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steve\Downloads\"/>
    </mc:Choice>
  </mc:AlternateContent>
  <xr:revisionPtr revIDLastSave="0" documentId="13_ncr:1_{61B18EEE-4BB1-4A70-B559-EBC3FFD01D48}" xr6:coauthVersionLast="47" xr6:coauthVersionMax="47" xr10:uidLastSave="{00000000-0000-0000-0000-000000000000}"/>
  <bookViews>
    <workbookView xWindow="-108" yWindow="-108" windowWidth="23256" windowHeight="12456" firstSheet="6" activeTab="21" xr2:uid="{00000000-000D-0000-FFFF-FFFF00000000}"/>
  </bookViews>
  <sheets>
    <sheet name="Enviar" sheetId="1" r:id="rId1"/>
    <sheet name="Agua cristal" sheetId="2" r:id="rId2"/>
    <sheet name="actividades" sheetId="3" state="hidden" r:id="rId3"/>
    <sheet name="M2" sheetId="4" r:id="rId4"/>
    <sheet name="Limpieza datos" sheetId="5" state="hidden" r:id="rId5"/>
    <sheet name="M2 Linea 1" sheetId="6" r:id="rId6"/>
    <sheet name="M2 Agua cristal" sheetId="7" r:id="rId7"/>
    <sheet name="Charlas de seguridad" sheetId="8" state="hidden" r:id="rId8"/>
    <sheet name="CHARLAS" sheetId="9" state="hidden" r:id="rId9"/>
    <sheet name="M2 Linea 8" sheetId="10" r:id="rId10"/>
    <sheet name="M2 Linea 10" sheetId="11" state="hidden" r:id="rId11"/>
    <sheet name="Pasado" sheetId="12" state="hidden" r:id="rId12"/>
    <sheet name="Presente" sheetId="13" state="hidden" r:id="rId13"/>
    <sheet name="Limpieza" sheetId="14" state="hidden" r:id="rId14"/>
    <sheet name="Anomalias" sheetId="15" state="hidden" r:id="rId15"/>
    <sheet name="Repetitividad1" sheetId="16" state="hidden" r:id="rId16"/>
    <sheet name="Repetitividad" sheetId="17" state="hidden" r:id="rId17"/>
    <sheet name="BasedatosM9" sheetId="18" r:id="rId18"/>
    <sheet name="TECNICOS" sheetId="19" state="hidden" r:id="rId19"/>
    <sheet name="Tecnicos III" sheetId="20" r:id="rId20"/>
    <sheet name="IW29EDITAR" sheetId="21" r:id="rId21"/>
    <sheet name="Linea 1" sheetId="22" r:id="rId22"/>
    <sheet name="Linea 8" sheetId="23" r:id="rId23"/>
    <sheet name="Linea 10" sheetId="24" r:id="rId24"/>
    <sheet name="Base de datos" sheetId="25" r:id="rId25"/>
  </sheets>
  <definedNames>
    <definedName name="_xlnm._FilterDatabase" localSheetId="24" hidden="1">'Base de datos'!$A$1:$B$92</definedName>
    <definedName name="_xlnm._FilterDatabase" localSheetId="17" hidden="1">BasedatosM9!$A$1:$R$167</definedName>
    <definedName name="_xlnm._FilterDatabase" localSheetId="21" hidden="1">'Linea 1'!$A$1:$K$149</definedName>
    <definedName name="_xlnm._FilterDatabase" localSheetId="6" hidden="1">'M2 Agua cristal'!$A$1:$K$28</definedName>
    <definedName name="_xlnm._FilterDatabase" localSheetId="15" hidden="1">Repetitividad1!$A$1:$F$18</definedName>
    <definedName name="menu">IW29EDITAR!$I$2:$I$1162</definedName>
  </definedNames>
  <calcPr calcId="191029"/>
</workbook>
</file>

<file path=xl/calcChain.xml><?xml version="1.0" encoding="utf-8"?>
<calcChain xmlns="http://schemas.openxmlformats.org/spreadsheetml/2006/main">
  <c r="K66" i="24" l="1"/>
  <c r="J66" i="24"/>
  <c r="H66" i="24"/>
  <c r="G66" i="24"/>
  <c r="F66" i="24"/>
  <c r="E66" i="24"/>
  <c r="D66" i="24"/>
  <c r="C66" i="24"/>
  <c r="B66" i="24"/>
  <c r="A66" i="24"/>
  <c r="K65" i="24"/>
  <c r="J65" i="24"/>
  <c r="H65" i="24"/>
  <c r="G65" i="24"/>
  <c r="F65" i="24"/>
  <c r="E65" i="24"/>
  <c r="D65" i="24"/>
  <c r="C65" i="24"/>
  <c r="B65" i="24"/>
  <c r="A65" i="24"/>
  <c r="K64" i="24"/>
  <c r="J64" i="24"/>
  <c r="H64" i="24"/>
  <c r="G64" i="24"/>
  <c r="F64" i="24"/>
  <c r="E64" i="24"/>
  <c r="D64" i="24"/>
  <c r="C64" i="24"/>
  <c r="B64" i="24"/>
  <c r="A64" i="24"/>
  <c r="K63" i="24"/>
  <c r="J63" i="24"/>
  <c r="I63" i="24"/>
  <c r="H63" i="24"/>
  <c r="G63" i="24"/>
  <c r="F63" i="24"/>
  <c r="E63" i="24"/>
  <c r="D63" i="24"/>
  <c r="C63" i="24"/>
  <c r="B63" i="24"/>
  <c r="A63" i="24"/>
  <c r="K62" i="24"/>
  <c r="J62" i="24"/>
  <c r="I62" i="24"/>
  <c r="H62" i="24"/>
  <c r="G62" i="24"/>
  <c r="F62" i="24"/>
  <c r="E62" i="24"/>
  <c r="D62" i="24"/>
  <c r="C62" i="24"/>
  <c r="B62" i="24"/>
  <c r="A62" i="24"/>
  <c r="K61" i="24"/>
  <c r="J61" i="24"/>
  <c r="H61" i="24"/>
  <c r="G61" i="24"/>
  <c r="F61" i="24"/>
  <c r="E61" i="24"/>
  <c r="D61" i="24"/>
  <c r="C61" i="24"/>
  <c r="B61" i="24"/>
  <c r="A61" i="24"/>
  <c r="K60" i="24"/>
  <c r="J60" i="24"/>
  <c r="H60" i="24"/>
  <c r="G60" i="24"/>
  <c r="F60" i="24"/>
  <c r="E60" i="24"/>
  <c r="D60" i="24"/>
  <c r="C60" i="24"/>
  <c r="B60" i="24"/>
  <c r="A60" i="24"/>
  <c r="K59" i="24"/>
  <c r="J59" i="24"/>
  <c r="I59" i="24"/>
  <c r="H59" i="24"/>
  <c r="G59" i="24"/>
  <c r="F59" i="24"/>
  <c r="E59" i="24"/>
  <c r="D59" i="24"/>
  <c r="C59" i="24"/>
  <c r="B59" i="24"/>
  <c r="A59" i="24"/>
  <c r="K58" i="24"/>
  <c r="J58" i="24"/>
  <c r="H58" i="24"/>
  <c r="G58" i="24"/>
  <c r="F58" i="24"/>
  <c r="E58" i="24"/>
  <c r="D58" i="24"/>
  <c r="C58" i="24"/>
  <c r="B58" i="24"/>
  <c r="A58" i="24"/>
  <c r="K57" i="24"/>
  <c r="J57" i="24"/>
  <c r="I57" i="24"/>
  <c r="H57" i="24"/>
  <c r="G57" i="24"/>
  <c r="F57" i="24"/>
  <c r="E57" i="24"/>
  <c r="D57" i="24"/>
  <c r="C57" i="24"/>
  <c r="B57" i="24"/>
  <c r="A57" i="24"/>
  <c r="K56" i="24"/>
  <c r="J56" i="24"/>
  <c r="I56" i="24"/>
  <c r="H56" i="24"/>
  <c r="G56" i="24"/>
  <c r="F56" i="24"/>
  <c r="E56" i="24"/>
  <c r="D56" i="24"/>
  <c r="C56" i="24"/>
  <c r="B56" i="24"/>
  <c r="A56" i="24"/>
  <c r="K55" i="24"/>
  <c r="J55" i="24"/>
  <c r="I55" i="24"/>
  <c r="H55" i="24"/>
  <c r="G55" i="24"/>
  <c r="F55" i="24"/>
  <c r="E55" i="24"/>
  <c r="D55" i="24"/>
  <c r="C55" i="24"/>
  <c r="B55" i="24"/>
  <c r="A55" i="24"/>
  <c r="K54" i="24"/>
  <c r="J54" i="24"/>
  <c r="H54" i="24"/>
  <c r="G54" i="24"/>
  <c r="F54" i="24"/>
  <c r="E54" i="24"/>
  <c r="D54" i="24"/>
  <c r="C54" i="24"/>
  <c r="B54" i="24"/>
  <c r="A54" i="24"/>
  <c r="K53" i="24"/>
  <c r="J53" i="24"/>
  <c r="H53" i="24"/>
  <c r="G53" i="24"/>
  <c r="F53" i="24"/>
  <c r="E53" i="24"/>
  <c r="D53" i="24"/>
  <c r="C53" i="24"/>
  <c r="B53" i="24"/>
  <c r="A53" i="24"/>
  <c r="K52" i="24"/>
  <c r="J52" i="24"/>
  <c r="I52" i="24"/>
  <c r="H52" i="24"/>
  <c r="G52" i="24"/>
  <c r="F52" i="24"/>
  <c r="E52" i="24"/>
  <c r="D52" i="24"/>
  <c r="C52" i="24"/>
  <c r="B52" i="24"/>
  <c r="A52" i="24"/>
  <c r="K51" i="24"/>
  <c r="J51" i="24"/>
  <c r="H51" i="24"/>
  <c r="G51" i="24"/>
  <c r="F51" i="24"/>
  <c r="E51" i="24"/>
  <c r="D51" i="24"/>
  <c r="C51" i="24"/>
  <c r="B51" i="24"/>
  <c r="A51" i="24"/>
  <c r="K50" i="24"/>
  <c r="J50" i="24"/>
  <c r="I50" i="24"/>
  <c r="H50" i="24"/>
  <c r="G50" i="24"/>
  <c r="F50" i="24"/>
  <c r="E50" i="24"/>
  <c r="D50" i="24"/>
  <c r="C50" i="24"/>
  <c r="B50" i="24"/>
  <c r="A50" i="24"/>
  <c r="K49" i="24"/>
  <c r="J49" i="24"/>
  <c r="H49" i="24"/>
  <c r="G49" i="24"/>
  <c r="F49" i="24"/>
  <c r="E49" i="24"/>
  <c r="D49" i="24"/>
  <c r="C49" i="24"/>
  <c r="B49" i="24"/>
  <c r="A49" i="24"/>
  <c r="K48" i="24"/>
  <c r="J48" i="24"/>
  <c r="I48" i="24"/>
  <c r="H48" i="24"/>
  <c r="G48" i="24"/>
  <c r="F48" i="24"/>
  <c r="E48" i="24"/>
  <c r="D48" i="24"/>
  <c r="C48" i="24"/>
  <c r="B48" i="24"/>
  <c r="A48" i="24"/>
  <c r="K47" i="24"/>
  <c r="J47" i="24"/>
  <c r="I47" i="24"/>
  <c r="H47" i="24"/>
  <c r="G47" i="24"/>
  <c r="F47" i="24"/>
  <c r="E47" i="24"/>
  <c r="D47" i="24"/>
  <c r="C47" i="24"/>
  <c r="B47" i="24"/>
  <c r="A47" i="24"/>
  <c r="K46" i="24"/>
  <c r="J46" i="24"/>
  <c r="I46" i="24"/>
  <c r="H46" i="24"/>
  <c r="G46" i="24"/>
  <c r="F46" i="24"/>
  <c r="E46" i="24"/>
  <c r="D46" i="24"/>
  <c r="C46" i="24"/>
  <c r="B46" i="24"/>
  <c r="A46" i="24"/>
  <c r="K45" i="24"/>
  <c r="J45" i="24"/>
  <c r="I45" i="24"/>
  <c r="H45" i="24"/>
  <c r="G45" i="24"/>
  <c r="F45" i="24"/>
  <c r="E45" i="24"/>
  <c r="D45" i="24"/>
  <c r="C45" i="24"/>
  <c r="B45" i="24"/>
  <c r="A45" i="24"/>
  <c r="K44" i="24"/>
  <c r="J44" i="24"/>
  <c r="I44" i="24"/>
  <c r="H44" i="24"/>
  <c r="G44" i="24"/>
  <c r="F44" i="24"/>
  <c r="E44" i="24"/>
  <c r="D44" i="24"/>
  <c r="C44" i="24"/>
  <c r="B44" i="24"/>
  <c r="A44" i="24"/>
  <c r="K43" i="24"/>
  <c r="J43" i="24"/>
  <c r="H43" i="24"/>
  <c r="G43" i="24"/>
  <c r="F43" i="24"/>
  <c r="E43" i="24"/>
  <c r="D43" i="24"/>
  <c r="C43" i="24"/>
  <c r="B43" i="24"/>
  <c r="A43" i="24"/>
  <c r="K42" i="24"/>
  <c r="J42" i="24"/>
  <c r="H42" i="24"/>
  <c r="G42" i="24"/>
  <c r="F42" i="24"/>
  <c r="E42" i="24"/>
  <c r="D42" i="24"/>
  <c r="C42" i="24"/>
  <c r="B42" i="24"/>
  <c r="A42" i="24"/>
  <c r="K41" i="24"/>
  <c r="J41" i="24"/>
  <c r="H41" i="24"/>
  <c r="G41" i="24"/>
  <c r="F41" i="24"/>
  <c r="E41" i="24"/>
  <c r="D41" i="24"/>
  <c r="C41" i="24"/>
  <c r="B41" i="24"/>
  <c r="A41" i="24"/>
  <c r="K40" i="24"/>
  <c r="J40" i="24"/>
  <c r="I40" i="24"/>
  <c r="H40" i="24"/>
  <c r="G40" i="24"/>
  <c r="F40" i="24"/>
  <c r="E40" i="24"/>
  <c r="D40" i="24"/>
  <c r="C40" i="24"/>
  <c r="B40" i="24"/>
  <c r="A40" i="24"/>
  <c r="K39" i="24"/>
  <c r="J39" i="24"/>
  <c r="I39" i="24"/>
  <c r="H39" i="24"/>
  <c r="G39" i="24"/>
  <c r="F39" i="24"/>
  <c r="E39" i="24"/>
  <c r="D39" i="24"/>
  <c r="C39" i="24"/>
  <c r="B39" i="24"/>
  <c r="A39" i="24"/>
  <c r="K38" i="24"/>
  <c r="J38" i="24"/>
  <c r="H38" i="24"/>
  <c r="G38" i="24"/>
  <c r="F38" i="24"/>
  <c r="E38" i="24"/>
  <c r="D38" i="24"/>
  <c r="C38" i="24"/>
  <c r="B38" i="24"/>
  <c r="A38" i="24"/>
  <c r="K37" i="24"/>
  <c r="J37" i="24"/>
  <c r="I37" i="24"/>
  <c r="H37" i="24"/>
  <c r="G37" i="24"/>
  <c r="F37" i="24"/>
  <c r="E37" i="24"/>
  <c r="D37" i="24"/>
  <c r="C37" i="24"/>
  <c r="B37" i="24"/>
  <c r="A37" i="24"/>
  <c r="K36" i="24"/>
  <c r="J36" i="24"/>
  <c r="I36" i="24"/>
  <c r="H36" i="24"/>
  <c r="G36" i="24"/>
  <c r="F36" i="24"/>
  <c r="E36" i="24"/>
  <c r="D36" i="24"/>
  <c r="C36" i="24"/>
  <c r="B36" i="24"/>
  <c r="A36" i="24"/>
  <c r="K35" i="24"/>
  <c r="J35" i="24"/>
  <c r="I35" i="24"/>
  <c r="H35" i="24"/>
  <c r="G35" i="24"/>
  <c r="F35" i="24"/>
  <c r="E35" i="24"/>
  <c r="D35" i="24"/>
  <c r="C35" i="24"/>
  <c r="B35" i="24"/>
  <c r="A35" i="24"/>
  <c r="K34" i="24"/>
  <c r="J34" i="24"/>
  <c r="I34" i="24"/>
  <c r="H34" i="24"/>
  <c r="G34" i="24"/>
  <c r="F34" i="24"/>
  <c r="E34" i="24"/>
  <c r="D34" i="24"/>
  <c r="C34" i="24"/>
  <c r="B34" i="24"/>
  <c r="A34" i="24"/>
  <c r="K33" i="24"/>
  <c r="J33" i="24"/>
  <c r="I33" i="24"/>
  <c r="H33" i="24"/>
  <c r="G33" i="24"/>
  <c r="F33" i="24"/>
  <c r="E33" i="24"/>
  <c r="D33" i="24"/>
  <c r="C33" i="24"/>
  <c r="B33" i="24"/>
  <c r="A33" i="24"/>
  <c r="K32" i="24"/>
  <c r="J32" i="24"/>
  <c r="H32" i="24"/>
  <c r="G32" i="24"/>
  <c r="F32" i="24"/>
  <c r="E32" i="24"/>
  <c r="D32" i="24"/>
  <c r="C32" i="24"/>
  <c r="B32" i="24"/>
  <c r="A32" i="24"/>
  <c r="K31" i="24"/>
  <c r="J31" i="24"/>
  <c r="I31" i="24"/>
  <c r="H31" i="24"/>
  <c r="G31" i="24"/>
  <c r="F31" i="24"/>
  <c r="E31" i="24"/>
  <c r="D31" i="24"/>
  <c r="C31" i="24"/>
  <c r="B31" i="24"/>
  <c r="A31" i="24"/>
  <c r="K30" i="24"/>
  <c r="J30" i="24"/>
  <c r="H30" i="24"/>
  <c r="G30" i="24"/>
  <c r="F30" i="24"/>
  <c r="E30" i="24"/>
  <c r="D30" i="24"/>
  <c r="C30" i="24"/>
  <c r="B30" i="24"/>
  <c r="A30" i="24"/>
  <c r="K29" i="24"/>
  <c r="J29" i="24"/>
  <c r="H29" i="24"/>
  <c r="G29" i="24"/>
  <c r="F29" i="24"/>
  <c r="E29" i="24"/>
  <c r="D29" i="24"/>
  <c r="C29" i="24"/>
  <c r="B29" i="24"/>
  <c r="A29" i="24"/>
  <c r="K28" i="24"/>
  <c r="J28" i="24"/>
  <c r="H28" i="24"/>
  <c r="G28" i="24"/>
  <c r="F28" i="24"/>
  <c r="E28" i="24"/>
  <c r="D28" i="24"/>
  <c r="C28" i="24"/>
  <c r="B28" i="24"/>
  <c r="A28" i="24"/>
  <c r="K27" i="24"/>
  <c r="J27" i="24"/>
  <c r="H27" i="24"/>
  <c r="G27" i="24"/>
  <c r="F27" i="24"/>
  <c r="E27" i="24"/>
  <c r="D27" i="24"/>
  <c r="C27" i="24"/>
  <c r="B27" i="24"/>
  <c r="A27" i="24"/>
  <c r="K26" i="24"/>
  <c r="J26" i="24"/>
  <c r="H26" i="24"/>
  <c r="G26" i="24"/>
  <c r="F26" i="24"/>
  <c r="E26" i="24"/>
  <c r="D26" i="24"/>
  <c r="C26" i="24"/>
  <c r="B26" i="24"/>
  <c r="A26" i="24"/>
  <c r="K25" i="24"/>
  <c r="J25" i="24"/>
  <c r="H25" i="24"/>
  <c r="G25" i="24"/>
  <c r="F25" i="24"/>
  <c r="E25" i="24"/>
  <c r="D25" i="24"/>
  <c r="C25" i="24"/>
  <c r="B25" i="24"/>
  <c r="A25" i="24"/>
  <c r="K24" i="24"/>
  <c r="J24" i="24"/>
  <c r="H24" i="24"/>
  <c r="G24" i="24"/>
  <c r="F24" i="24"/>
  <c r="E24" i="24"/>
  <c r="D24" i="24"/>
  <c r="C24" i="24"/>
  <c r="B24" i="24"/>
  <c r="A24" i="24"/>
  <c r="K23" i="24"/>
  <c r="J23" i="24"/>
  <c r="H23" i="24"/>
  <c r="G23" i="24"/>
  <c r="F23" i="24"/>
  <c r="E23" i="24"/>
  <c r="D23" i="24"/>
  <c r="C23" i="24"/>
  <c r="B23" i="24"/>
  <c r="A23" i="24"/>
  <c r="K22" i="24"/>
  <c r="J22" i="24"/>
  <c r="H22" i="24"/>
  <c r="G22" i="24"/>
  <c r="F22" i="24"/>
  <c r="E22" i="24"/>
  <c r="D22" i="24"/>
  <c r="C22" i="24"/>
  <c r="B22" i="24"/>
  <c r="A22" i="24"/>
  <c r="K21" i="24"/>
  <c r="J21" i="24"/>
  <c r="H21" i="24"/>
  <c r="G21" i="24"/>
  <c r="F21" i="24"/>
  <c r="E21" i="24"/>
  <c r="D21" i="24"/>
  <c r="C21" i="24"/>
  <c r="B21" i="24"/>
  <c r="A21" i="24"/>
  <c r="K20" i="24"/>
  <c r="J20" i="24"/>
  <c r="I20" i="24"/>
  <c r="H20" i="24"/>
  <c r="G20" i="24"/>
  <c r="F20" i="24"/>
  <c r="E20" i="24"/>
  <c r="D20" i="24"/>
  <c r="C20" i="24"/>
  <c r="B20" i="24"/>
  <c r="A20" i="24"/>
  <c r="K19" i="24"/>
  <c r="J19" i="24"/>
  <c r="H19" i="24"/>
  <c r="G19" i="24"/>
  <c r="F19" i="24"/>
  <c r="E19" i="24"/>
  <c r="D19" i="24"/>
  <c r="C19" i="24"/>
  <c r="B19" i="24"/>
  <c r="A19" i="24"/>
  <c r="K18" i="24"/>
  <c r="J18" i="24"/>
  <c r="I18" i="24"/>
  <c r="H18" i="24"/>
  <c r="G18" i="24"/>
  <c r="F18" i="24"/>
  <c r="E18" i="24"/>
  <c r="D18" i="24"/>
  <c r="C18" i="24"/>
  <c r="B18" i="24"/>
  <c r="A18" i="24"/>
  <c r="K17" i="24"/>
  <c r="J17" i="24"/>
  <c r="I17" i="24"/>
  <c r="H17" i="24"/>
  <c r="G17" i="24"/>
  <c r="F17" i="24"/>
  <c r="E17" i="24"/>
  <c r="D17" i="24"/>
  <c r="C17" i="24"/>
  <c r="B17" i="24"/>
  <c r="A17" i="24"/>
  <c r="K16" i="24"/>
  <c r="J16" i="24"/>
  <c r="H16" i="24"/>
  <c r="G16" i="24"/>
  <c r="F16" i="24"/>
  <c r="E16" i="24"/>
  <c r="D16" i="24"/>
  <c r="C16" i="24"/>
  <c r="B16" i="24"/>
  <c r="A16" i="24"/>
  <c r="K15" i="24"/>
  <c r="J15" i="24"/>
  <c r="I15" i="24"/>
  <c r="H15" i="24"/>
  <c r="G15" i="24"/>
  <c r="F15" i="24"/>
  <c r="E15" i="24"/>
  <c r="D15" i="24"/>
  <c r="C15" i="24"/>
  <c r="B15" i="24"/>
  <c r="A15" i="24"/>
  <c r="K14" i="24"/>
  <c r="J14" i="24"/>
  <c r="H14" i="24"/>
  <c r="G14" i="24"/>
  <c r="F14" i="24"/>
  <c r="E14" i="24"/>
  <c r="D14" i="24"/>
  <c r="C14" i="24"/>
  <c r="B14" i="24"/>
  <c r="A14" i="24"/>
  <c r="K13" i="24"/>
  <c r="J13" i="24"/>
  <c r="H13" i="24"/>
  <c r="G13" i="24"/>
  <c r="F13" i="24"/>
  <c r="E13" i="24"/>
  <c r="D13" i="24"/>
  <c r="C13" i="24"/>
  <c r="B13" i="24"/>
  <c r="A13" i="24"/>
  <c r="K12" i="24"/>
  <c r="J12" i="24"/>
  <c r="H12" i="24"/>
  <c r="G12" i="24"/>
  <c r="F12" i="24"/>
  <c r="E12" i="24"/>
  <c r="D12" i="24"/>
  <c r="C12" i="24"/>
  <c r="B12" i="24"/>
  <c r="A12" i="24"/>
  <c r="K11" i="24"/>
  <c r="J11" i="24"/>
  <c r="I11" i="24"/>
  <c r="H11" i="24"/>
  <c r="G11" i="24"/>
  <c r="F11" i="24"/>
  <c r="E11" i="24"/>
  <c r="D11" i="24"/>
  <c r="C11" i="24"/>
  <c r="B11" i="24"/>
  <c r="A11" i="24"/>
  <c r="K10" i="24"/>
  <c r="J10" i="24"/>
  <c r="H10" i="24"/>
  <c r="G10" i="24"/>
  <c r="F10" i="24"/>
  <c r="E10" i="24"/>
  <c r="D10" i="24"/>
  <c r="C10" i="24"/>
  <c r="B10" i="24"/>
  <c r="A10" i="24"/>
  <c r="K9" i="24"/>
  <c r="J9" i="24"/>
  <c r="I9" i="24"/>
  <c r="H9" i="24"/>
  <c r="G9" i="24"/>
  <c r="F9" i="24"/>
  <c r="E9" i="24"/>
  <c r="D9" i="24"/>
  <c r="C9" i="24"/>
  <c r="B9" i="24"/>
  <c r="A9" i="24"/>
  <c r="K8" i="24"/>
  <c r="J8" i="24"/>
  <c r="H8" i="24"/>
  <c r="G8" i="24"/>
  <c r="F8" i="24"/>
  <c r="E8" i="24"/>
  <c r="D8" i="24"/>
  <c r="C8" i="24"/>
  <c r="B8" i="24"/>
  <c r="A8" i="24"/>
  <c r="K7" i="24"/>
  <c r="J7" i="24"/>
  <c r="H7" i="24"/>
  <c r="G7" i="24"/>
  <c r="F7" i="24"/>
  <c r="E7" i="24"/>
  <c r="D7" i="24"/>
  <c r="C7" i="24"/>
  <c r="B7" i="24"/>
  <c r="A7" i="24"/>
  <c r="K6" i="24"/>
  <c r="J6" i="24"/>
  <c r="H6" i="24"/>
  <c r="G6" i="24"/>
  <c r="F6" i="24"/>
  <c r="E6" i="24"/>
  <c r="D6" i="24"/>
  <c r="C6" i="24"/>
  <c r="B6" i="24"/>
  <c r="A6" i="24"/>
  <c r="K5" i="24"/>
  <c r="J5" i="24"/>
  <c r="H5" i="24"/>
  <c r="G5" i="24"/>
  <c r="F5" i="24"/>
  <c r="E5" i="24"/>
  <c r="D5" i="24"/>
  <c r="C5" i="24"/>
  <c r="B5" i="24"/>
  <c r="A5" i="24"/>
  <c r="K4" i="24"/>
  <c r="J4" i="24"/>
  <c r="H4" i="24"/>
  <c r="G4" i="24"/>
  <c r="F4" i="24"/>
  <c r="E4" i="24"/>
  <c r="D4" i="24"/>
  <c r="C4" i="24"/>
  <c r="B4" i="24"/>
  <c r="A4" i="24"/>
  <c r="K3" i="24"/>
  <c r="J3" i="24"/>
  <c r="H3" i="24"/>
  <c r="G3" i="24"/>
  <c r="F3" i="24"/>
  <c r="E3" i="24"/>
  <c r="D3" i="24"/>
  <c r="C3" i="24"/>
  <c r="B3" i="24"/>
  <c r="A3" i="24"/>
  <c r="K2" i="24"/>
  <c r="J2" i="24"/>
  <c r="H2" i="24"/>
  <c r="G2" i="24"/>
  <c r="F2" i="24"/>
  <c r="E2" i="24"/>
  <c r="D2" i="24"/>
  <c r="C2" i="24"/>
  <c r="B2" i="24"/>
  <c r="A2" i="24"/>
  <c r="K38" i="23"/>
  <c r="J38" i="23"/>
  <c r="I38" i="23"/>
  <c r="H38" i="23"/>
  <c r="G38" i="23"/>
  <c r="F38" i="23"/>
  <c r="E38" i="23"/>
  <c r="D38" i="23"/>
  <c r="C38" i="23"/>
  <c r="B38" i="23"/>
  <c r="A38" i="23"/>
  <c r="K37" i="23"/>
  <c r="J37" i="23"/>
  <c r="I37" i="23"/>
  <c r="H37" i="23"/>
  <c r="G37" i="23"/>
  <c r="F37" i="23"/>
  <c r="E37" i="23"/>
  <c r="D37" i="23"/>
  <c r="C37" i="23"/>
  <c r="B37" i="23"/>
  <c r="A37" i="23"/>
  <c r="K36" i="23"/>
  <c r="J36" i="23"/>
  <c r="I36" i="23"/>
  <c r="H36" i="23"/>
  <c r="G36" i="23"/>
  <c r="F36" i="23"/>
  <c r="E36" i="23"/>
  <c r="D36" i="23"/>
  <c r="C36" i="23"/>
  <c r="B36" i="23"/>
  <c r="A36" i="23"/>
  <c r="K35" i="23"/>
  <c r="J35" i="23"/>
  <c r="H35" i="23"/>
  <c r="G35" i="23"/>
  <c r="F35" i="23"/>
  <c r="E35" i="23"/>
  <c r="D35" i="23"/>
  <c r="C35" i="23"/>
  <c r="B35" i="23"/>
  <c r="A35" i="23"/>
  <c r="K34" i="23"/>
  <c r="J34" i="23"/>
  <c r="I34" i="23"/>
  <c r="H34" i="23"/>
  <c r="G34" i="23"/>
  <c r="F34" i="23"/>
  <c r="E34" i="23"/>
  <c r="D34" i="23"/>
  <c r="C34" i="23"/>
  <c r="B34" i="23"/>
  <c r="A34" i="23"/>
  <c r="K33" i="23"/>
  <c r="J33" i="23"/>
  <c r="I33" i="23"/>
  <c r="H33" i="23"/>
  <c r="G33" i="23"/>
  <c r="F33" i="23"/>
  <c r="E33" i="23"/>
  <c r="D33" i="23"/>
  <c r="C33" i="23"/>
  <c r="B33" i="23"/>
  <c r="A33" i="23"/>
  <c r="K32" i="23"/>
  <c r="J32" i="23"/>
  <c r="I32" i="23"/>
  <c r="H32" i="23"/>
  <c r="G32" i="23"/>
  <c r="F32" i="23"/>
  <c r="E32" i="23"/>
  <c r="D32" i="23"/>
  <c r="C32" i="23"/>
  <c r="B32" i="23"/>
  <c r="A32" i="23"/>
  <c r="K31" i="23"/>
  <c r="J31" i="23"/>
  <c r="H31" i="23"/>
  <c r="G31" i="23"/>
  <c r="F31" i="23"/>
  <c r="E31" i="23"/>
  <c r="D31" i="23"/>
  <c r="C31" i="23"/>
  <c r="B31" i="23"/>
  <c r="A31" i="23"/>
  <c r="K30" i="23"/>
  <c r="J30" i="23"/>
  <c r="I30" i="23"/>
  <c r="H30" i="23"/>
  <c r="G30" i="23"/>
  <c r="F30" i="23"/>
  <c r="E30" i="23"/>
  <c r="D30" i="23"/>
  <c r="C30" i="23"/>
  <c r="B30" i="23"/>
  <c r="A30" i="23"/>
  <c r="K29" i="23"/>
  <c r="J29" i="23"/>
  <c r="I29" i="23"/>
  <c r="H29" i="23"/>
  <c r="G29" i="23"/>
  <c r="F29" i="23"/>
  <c r="E29" i="23"/>
  <c r="D29" i="23"/>
  <c r="C29" i="23"/>
  <c r="B29" i="23"/>
  <c r="A29" i="23"/>
  <c r="K28" i="23"/>
  <c r="J28" i="23"/>
  <c r="I28" i="23"/>
  <c r="H28" i="23"/>
  <c r="G28" i="23"/>
  <c r="F28" i="23"/>
  <c r="E28" i="23"/>
  <c r="D28" i="23"/>
  <c r="C28" i="23"/>
  <c r="B28" i="23"/>
  <c r="A28" i="23"/>
  <c r="K27" i="23"/>
  <c r="J27" i="23"/>
  <c r="I27" i="23"/>
  <c r="H27" i="23"/>
  <c r="G27" i="23"/>
  <c r="F27" i="23"/>
  <c r="E27" i="23"/>
  <c r="D27" i="23"/>
  <c r="C27" i="23"/>
  <c r="B27" i="23"/>
  <c r="A27" i="23"/>
  <c r="K26" i="23"/>
  <c r="J26" i="23"/>
  <c r="H26" i="23"/>
  <c r="G26" i="23"/>
  <c r="F26" i="23"/>
  <c r="E26" i="23"/>
  <c r="D26" i="23"/>
  <c r="C26" i="23"/>
  <c r="B26" i="23"/>
  <c r="A26" i="23"/>
  <c r="K25" i="23"/>
  <c r="J25" i="23"/>
  <c r="I25" i="23"/>
  <c r="H25" i="23"/>
  <c r="G25" i="23"/>
  <c r="F25" i="23"/>
  <c r="E25" i="23"/>
  <c r="D25" i="23"/>
  <c r="C25" i="23"/>
  <c r="B25" i="23"/>
  <c r="A25" i="23"/>
  <c r="K24" i="23"/>
  <c r="J24" i="23"/>
  <c r="H24" i="23"/>
  <c r="G24" i="23"/>
  <c r="F24" i="23"/>
  <c r="E24" i="23"/>
  <c r="D24" i="23"/>
  <c r="C24" i="23"/>
  <c r="B24" i="23"/>
  <c r="A24" i="23"/>
  <c r="K23" i="23"/>
  <c r="J23" i="23"/>
  <c r="H23" i="23"/>
  <c r="G23" i="23"/>
  <c r="F23" i="23"/>
  <c r="E23" i="23"/>
  <c r="D23" i="23"/>
  <c r="C23" i="23"/>
  <c r="B23" i="23"/>
  <c r="A23" i="23"/>
  <c r="K22" i="23"/>
  <c r="J22" i="23"/>
  <c r="H22" i="23"/>
  <c r="G22" i="23"/>
  <c r="F22" i="23"/>
  <c r="E22" i="23"/>
  <c r="D22" i="23"/>
  <c r="C22" i="23"/>
  <c r="B22" i="23"/>
  <c r="A22" i="23"/>
  <c r="K21" i="23"/>
  <c r="J21" i="23"/>
  <c r="H21" i="23"/>
  <c r="G21" i="23"/>
  <c r="F21" i="23"/>
  <c r="E21" i="23"/>
  <c r="D21" i="23"/>
  <c r="C21" i="23"/>
  <c r="B21" i="23"/>
  <c r="A21" i="23"/>
  <c r="K20" i="23"/>
  <c r="J20" i="23"/>
  <c r="I20" i="23"/>
  <c r="H20" i="23"/>
  <c r="G20" i="23"/>
  <c r="F20" i="23"/>
  <c r="E20" i="23"/>
  <c r="D20" i="23"/>
  <c r="C20" i="23"/>
  <c r="B20" i="23"/>
  <c r="A20" i="23"/>
  <c r="K19" i="23"/>
  <c r="J19" i="23"/>
  <c r="I19" i="23"/>
  <c r="H19" i="23"/>
  <c r="G19" i="23"/>
  <c r="F19" i="23"/>
  <c r="E19" i="23"/>
  <c r="D19" i="23"/>
  <c r="C19" i="23"/>
  <c r="B19" i="23"/>
  <c r="A19" i="23"/>
  <c r="K18" i="23"/>
  <c r="J18" i="23"/>
  <c r="I18" i="23"/>
  <c r="H18" i="23"/>
  <c r="G18" i="23"/>
  <c r="F18" i="23"/>
  <c r="E18" i="23"/>
  <c r="D18" i="23"/>
  <c r="C18" i="23"/>
  <c r="B18" i="23"/>
  <c r="A18" i="23"/>
  <c r="K17" i="23"/>
  <c r="J17" i="23"/>
  <c r="H17" i="23"/>
  <c r="G17" i="23"/>
  <c r="F17" i="23"/>
  <c r="E17" i="23"/>
  <c r="D17" i="23"/>
  <c r="C17" i="23"/>
  <c r="B17" i="23"/>
  <c r="A17" i="23"/>
  <c r="K16" i="23"/>
  <c r="J16" i="23"/>
  <c r="I16" i="23"/>
  <c r="H16" i="23"/>
  <c r="G16" i="23"/>
  <c r="F16" i="23"/>
  <c r="E16" i="23"/>
  <c r="D16" i="23"/>
  <c r="C16" i="23"/>
  <c r="B16" i="23"/>
  <c r="A16" i="23"/>
  <c r="K15" i="23"/>
  <c r="J15" i="23"/>
  <c r="I15" i="23"/>
  <c r="H15" i="23"/>
  <c r="G15" i="23"/>
  <c r="F15" i="23"/>
  <c r="E15" i="23"/>
  <c r="D15" i="23"/>
  <c r="C15" i="23"/>
  <c r="B15" i="23"/>
  <c r="A15" i="23"/>
  <c r="K14" i="23"/>
  <c r="J14" i="23"/>
  <c r="I14" i="23"/>
  <c r="H14" i="23"/>
  <c r="G14" i="23"/>
  <c r="F14" i="23"/>
  <c r="E14" i="23"/>
  <c r="D14" i="23"/>
  <c r="C14" i="23"/>
  <c r="B14" i="23"/>
  <c r="A14" i="23"/>
  <c r="K13" i="23"/>
  <c r="J13" i="23"/>
  <c r="I13" i="23"/>
  <c r="H13" i="23"/>
  <c r="G13" i="23"/>
  <c r="F13" i="23"/>
  <c r="E13" i="23"/>
  <c r="D13" i="23"/>
  <c r="C13" i="23"/>
  <c r="B13" i="23"/>
  <c r="A13" i="23"/>
  <c r="K12" i="23"/>
  <c r="J12" i="23"/>
  <c r="H12" i="23"/>
  <c r="G12" i="23"/>
  <c r="F12" i="23"/>
  <c r="E12" i="23"/>
  <c r="D12" i="23"/>
  <c r="C12" i="23"/>
  <c r="B12" i="23"/>
  <c r="A12" i="23"/>
  <c r="K11" i="23"/>
  <c r="J11" i="23"/>
  <c r="H11" i="23"/>
  <c r="G11" i="23"/>
  <c r="F11" i="23"/>
  <c r="E11" i="23"/>
  <c r="D11" i="23"/>
  <c r="C11" i="23"/>
  <c r="B11" i="23"/>
  <c r="A11" i="23"/>
  <c r="K10" i="23"/>
  <c r="J10" i="23"/>
  <c r="H10" i="23"/>
  <c r="G10" i="23"/>
  <c r="F10" i="23"/>
  <c r="E10" i="23"/>
  <c r="D10" i="23"/>
  <c r="C10" i="23"/>
  <c r="B10" i="23"/>
  <c r="A10" i="23"/>
  <c r="K9" i="23"/>
  <c r="J9" i="23"/>
  <c r="I9" i="23"/>
  <c r="H9" i="23"/>
  <c r="G9" i="23"/>
  <c r="F9" i="23"/>
  <c r="E9" i="23"/>
  <c r="D9" i="23"/>
  <c r="C9" i="23"/>
  <c r="B9" i="23"/>
  <c r="A9" i="23"/>
  <c r="K8" i="23"/>
  <c r="J8" i="23"/>
  <c r="I8" i="23"/>
  <c r="H8" i="23"/>
  <c r="G8" i="23"/>
  <c r="F8" i="23"/>
  <c r="E8" i="23"/>
  <c r="D8" i="23"/>
  <c r="C8" i="23"/>
  <c r="B8" i="23"/>
  <c r="A8" i="23"/>
  <c r="K7" i="23"/>
  <c r="J7" i="23"/>
  <c r="H7" i="23"/>
  <c r="G7" i="23"/>
  <c r="F7" i="23"/>
  <c r="E7" i="23"/>
  <c r="D7" i="23"/>
  <c r="C7" i="23"/>
  <c r="B7" i="23"/>
  <c r="A7" i="23"/>
  <c r="K6" i="23"/>
  <c r="J6" i="23"/>
  <c r="H6" i="23"/>
  <c r="G6" i="23"/>
  <c r="F6" i="23"/>
  <c r="E6" i="23"/>
  <c r="D6" i="23"/>
  <c r="C6" i="23"/>
  <c r="B6" i="23"/>
  <c r="A6" i="23"/>
  <c r="K5" i="23"/>
  <c r="J5" i="23"/>
  <c r="I5" i="23"/>
  <c r="H5" i="23"/>
  <c r="G5" i="23"/>
  <c r="F5" i="23"/>
  <c r="E5" i="23"/>
  <c r="D5" i="23"/>
  <c r="C5" i="23"/>
  <c r="B5" i="23"/>
  <c r="A5" i="23"/>
  <c r="K4" i="23"/>
  <c r="J4" i="23"/>
  <c r="H4" i="23"/>
  <c r="G4" i="23"/>
  <c r="F4" i="23"/>
  <c r="E4" i="23"/>
  <c r="D4" i="23"/>
  <c r="C4" i="23"/>
  <c r="B4" i="23"/>
  <c r="A4" i="23"/>
  <c r="K3" i="23"/>
  <c r="J3" i="23"/>
  <c r="H3" i="23"/>
  <c r="G3" i="23"/>
  <c r="F3" i="23"/>
  <c r="E3" i="23"/>
  <c r="D3" i="23"/>
  <c r="C3" i="23"/>
  <c r="B3" i="23"/>
  <c r="A3" i="23"/>
  <c r="K2" i="23"/>
  <c r="J2" i="23"/>
  <c r="I2" i="23"/>
  <c r="H2" i="23"/>
  <c r="G2" i="23"/>
  <c r="F2" i="23"/>
  <c r="E2" i="23"/>
  <c r="D2" i="23"/>
  <c r="C2" i="23"/>
  <c r="B2" i="23"/>
  <c r="A2" i="23"/>
  <c r="K149" i="22"/>
  <c r="J149" i="22"/>
  <c r="H149" i="22"/>
  <c r="G149" i="22"/>
  <c r="F149" i="22"/>
  <c r="E149" i="22"/>
  <c r="D149" i="22"/>
  <c r="C149" i="22"/>
  <c r="B149" i="22"/>
  <c r="A149" i="22"/>
  <c r="K148" i="22"/>
  <c r="J148" i="22"/>
  <c r="I148" i="22"/>
  <c r="H148" i="22"/>
  <c r="G148" i="22"/>
  <c r="F148" i="22"/>
  <c r="E148" i="22"/>
  <c r="D148" i="22"/>
  <c r="C148" i="22"/>
  <c r="B148" i="22"/>
  <c r="A148" i="22"/>
  <c r="K147" i="22"/>
  <c r="J147" i="22"/>
  <c r="I147" i="22"/>
  <c r="H147" i="22"/>
  <c r="G147" i="22"/>
  <c r="F147" i="22"/>
  <c r="E147" i="22"/>
  <c r="D147" i="22"/>
  <c r="C147" i="22"/>
  <c r="B147" i="22"/>
  <c r="A147" i="22"/>
  <c r="K146" i="22"/>
  <c r="J146" i="22"/>
  <c r="I146" i="22"/>
  <c r="H146" i="22"/>
  <c r="G146" i="22"/>
  <c r="F146" i="22"/>
  <c r="E146" i="22"/>
  <c r="D146" i="22"/>
  <c r="C146" i="22"/>
  <c r="B146" i="22"/>
  <c r="A146" i="22"/>
  <c r="K145" i="22"/>
  <c r="J145" i="22"/>
  <c r="H145" i="22"/>
  <c r="G145" i="22"/>
  <c r="F145" i="22"/>
  <c r="E145" i="22"/>
  <c r="D145" i="22"/>
  <c r="C145" i="22"/>
  <c r="B145" i="22"/>
  <c r="A145" i="22"/>
  <c r="K144" i="22"/>
  <c r="J144" i="22"/>
  <c r="I144" i="22"/>
  <c r="H144" i="22"/>
  <c r="G144" i="22"/>
  <c r="F144" i="22"/>
  <c r="E144" i="22"/>
  <c r="D144" i="22"/>
  <c r="C144" i="22"/>
  <c r="B144" i="22"/>
  <c r="A144" i="22"/>
  <c r="K143" i="22"/>
  <c r="J143" i="22"/>
  <c r="H143" i="22"/>
  <c r="G143" i="22"/>
  <c r="F143" i="22"/>
  <c r="E143" i="22"/>
  <c r="D143" i="22"/>
  <c r="C143" i="22"/>
  <c r="B143" i="22"/>
  <c r="A143" i="22"/>
  <c r="K142" i="22"/>
  <c r="J142" i="22"/>
  <c r="I142" i="22"/>
  <c r="H142" i="22"/>
  <c r="G142" i="22"/>
  <c r="F142" i="22"/>
  <c r="E142" i="22"/>
  <c r="D142" i="22"/>
  <c r="C142" i="22"/>
  <c r="B142" i="22"/>
  <c r="A142" i="22"/>
  <c r="K141" i="22"/>
  <c r="J141" i="22"/>
  <c r="I141" i="22"/>
  <c r="H141" i="22"/>
  <c r="G141" i="22"/>
  <c r="F141" i="22"/>
  <c r="E141" i="22"/>
  <c r="D141" i="22"/>
  <c r="C141" i="22"/>
  <c r="B141" i="22"/>
  <c r="A141" i="22"/>
  <c r="K140" i="22"/>
  <c r="J140" i="22"/>
  <c r="I140" i="22"/>
  <c r="H140" i="22"/>
  <c r="G140" i="22"/>
  <c r="F140" i="22"/>
  <c r="E140" i="22"/>
  <c r="D140" i="22"/>
  <c r="C140" i="22"/>
  <c r="B140" i="22"/>
  <c r="A140" i="22"/>
  <c r="K139" i="22"/>
  <c r="J139" i="22"/>
  <c r="I139" i="22"/>
  <c r="H139" i="22"/>
  <c r="G139" i="22"/>
  <c r="F139" i="22"/>
  <c r="E139" i="22"/>
  <c r="D139" i="22"/>
  <c r="C139" i="22"/>
  <c r="B139" i="22"/>
  <c r="A139" i="22"/>
  <c r="K138" i="22"/>
  <c r="J138" i="22"/>
  <c r="I138" i="22"/>
  <c r="H138" i="22"/>
  <c r="G138" i="22"/>
  <c r="F138" i="22"/>
  <c r="E138" i="22"/>
  <c r="D138" i="22"/>
  <c r="C138" i="22"/>
  <c r="B138" i="22"/>
  <c r="A138" i="22"/>
  <c r="K137" i="22"/>
  <c r="J137" i="22"/>
  <c r="H137" i="22"/>
  <c r="G137" i="22"/>
  <c r="F137" i="22"/>
  <c r="E137" i="22"/>
  <c r="D137" i="22"/>
  <c r="C137" i="22"/>
  <c r="B137" i="22"/>
  <c r="A137" i="22"/>
  <c r="K136" i="22"/>
  <c r="J136" i="22"/>
  <c r="I136" i="22"/>
  <c r="H136" i="22"/>
  <c r="G136" i="22"/>
  <c r="F136" i="22"/>
  <c r="E136" i="22"/>
  <c r="D136" i="22"/>
  <c r="C136" i="22"/>
  <c r="B136" i="22"/>
  <c r="A136" i="22"/>
  <c r="K135" i="22"/>
  <c r="J135" i="22"/>
  <c r="I135" i="22"/>
  <c r="H135" i="22"/>
  <c r="G135" i="22"/>
  <c r="F135" i="22"/>
  <c r="E135" i="22"/>
  <c r="D135" i="22"/>
  <c r="C135" i="22"/>
  <c r="B135" i="22"/>
  <c r="A135" i="22"/>
  <c r="K134" i="22"/>
  <c r="J134" i="22"/>
  <c r="I134" i="22"/>
  <c r="H134" i="22"/>
  <c r="G134" i="22"/>
  <c r="F134" i="22"/>
  <c r="E134" i="22"/>
  <c r="D134" i="22"/>
  <c r="C134" i="22"/>
  <c r="B134" i="22"/>
  <c r="A134" i="22"/>
  <c r="K133" i="22"/>
  <c r="J133" i="22"/>
  <c r="I133" i="22"/>
  <c r="H133" i="22"/>
  <c r="G133" i="22"/>
  <c r="F133" i="22"/>
  <c r="E133" i="22"/>
  <c r="D133" i="22"/>
  <c r="C133" i="22"/>
  <c r="B133" i="22"/>
  <c r="A133" i="22"/>
  <c r="K132" i="22"/>
  <c r="J132" i="22"/>
  <c r="I132" i="22"/>
  <c r="H132" i="22"/>
  <c r="G132" i="22"/>
  <c r="F132" i="22"/>
  <c r="E132" i="22"/>
  <c r="D132" i="22"/>
  <c r="C132" i="22"/>
  <c r="B132" i="22"/>
  <c r="A132" i="22"/>
  <c r="K131" i="22"/>
  <c r="J131" i="22"/>
  <c r="I131" i="22"/>
  <c r="H131" i="22"/>
  <c r="G131" i="22"/>
  <c r="F131" i="22"/>
  <c r="E131" i="22"/>
  <c r="D131" i="22"/>
  <c r="C131" i="22"/>
  <c r="B131" i="22"/>
  <c r="A131" i="22"/>
  <c r="K130" i="22"/>
  <c r="J130" i="22"/>
  <c r="I130" i="22"/>
  <c r="H130" i="22"/>
  <c r="G130" i="22"/>
  <c r="F130" i="22"/>
  <c r="E130" i="22"/>
  <c r="D130" i="22"/>
  <c r="C130" i="22"/>
  <c r="B130" i="22"/>
  <c r="A130" i="22"/>
  <c r="K129" i="22"/>
  <c r="J129" i="22"/>
  <c r="I129" i="22"/>
  <c r="H129" i="22"/>
  <c r="G129" i="22"/>
  <c r="F129" i="22"/>
  <c r="E129" i="22"/>
  <c r="D129" i="22"/>
  <c r="C129" i="22"/>
  <c r="B129" i="22"/>
  <c r="A129" i="22"/>
  <c r="K128" i="22"/>
  <c r="J128" i="22"/>
  <c r="I128" i="22"/>
  <c r="H128" i="22"/>
  <c r="G128" i="22"/>
  <c r="F128" i="22"/>
  <c r="E128" i="22"/>
  <c r="D128" i="22"/>
  <c r="C128" i="22"/>
  <c r="B128" i="22"/>
  <c r="A128" i="22"/>
  <c r="K127" i="22"/>
  <c r="J127" i="22"/>
  <c r="I127" i="22"/>
  <c r="H127" i="22"/>
  <c r="G127" i="22"/>
  <c r="F127" i="22"/>
  <c r="E127" i="22"/>
  <c r="D127" i="22"/>
  <c r="C127" i="22"/>
  <c r="B127" i="22"/>
  <c r="A127" i="22"/>
  <c r="K126" i="22"/>
  <c r="J126" i="22"/>
  <c r="I126" i="22"/>
  <c r="H126" i="22"/>
  <c r="G126" i="22"/>
  <c r="F126" i="22"/>
  <c r="E126" i="22"/>
  <c r="D126" i="22"/>
  <c r="C126" i="22"/>
  <c r="B126" i="22"/>
  <c r="A126" i="22"/>
  <c r="K125" i="22"/>
  <c r="J125" i="22"/>
  <c r="I125" i="22"/>
  <c r="H125" i="22"/>
  <c r="G125" i="22"/>
  <c r="F125" i="22"/>
  <c r="E125" i="22"/>
  <c r="D125" i="22"/>
  <c r="C125" i="22"/>
  <c r="B125" i="22"/>
  <c r="A125" i="22"/>
  <c r="K124" i="22"/>
  <c r="J124" i="22"/>
  <c r="I124" i="22"/>
  <c r="H124" i="22"/>
  <c r="G124" i="22"/>
  <c r="F124" i="22"/>
  <c r="E124" i="22"/>
  <c r="D124" i="22"/>
  <c r="C124" i="22"/>
  <c r="B124" i="22"/>
  <c r="A124" i="22"/>
  <c r="K123" i="22"/>
  <c r="J123" i="22"/>
  <c r="H123" i="22"/>
  <c r="G123" i="22"/>
  <c r="F123" i="22"/>
  <c r="E123" i="22"/>
  <c r="D123" i="22"/>
  <c r="C123" i="22"/>
  <c r="B123" i="22"/>
  <c r="A123" i="22"/>
  <c r="K122" i="22"/>
  <c r="J122" i="22"/>
  <c r="I122" i="22"/>
  <c r="H122" i="22"/>
  <c r="G122" i="22"/>
  <c r="F122" i="22"/>
  <c r="E122" i="22"/>
  <c r="D122" i="22"/>
  <c r="C122" i="22"/>
  <c r="B122" i="22"/>
  <c r="A122" i="22"/>
  <c r="K121" i="22"/>
  <c r="J121" i="22"/>
  <c r="I121" i="22"/>
  <c r="H121" i="22"/>
  <c r="G121" i="22"/>
  <c r="F121" i="22"/>
  <c r="E121" i="22"/>
  <c r="D121" i="22"/>
  <c r="C121" i="22"/>
  <c r="B121" i="22"/>
  <c r="A121" i="22"/>
  <c r="K120" i="22"/>
  <c r="J120" i="22"/>
  <c r="I120" i="22"/>
  <c r="H120" i="22"/>
  <c r="G120" i="22"/>
  <c r="F120" i="22"/>
  <c r="E120" i="22"/>
  <c r="D120" i="22"/>
  <c r="C120" i="22"/>
  <c r="B120" i="22"/>
  <c r="A120" i="22"/>
  <c r="K119" i="22"/>
  <c r="J119" i="22"/>
  <c r="H119" i="22"/>
  <c r="G119" i="22"/>
  <c r="F119" i="22"/>
  <c r="E119" i="22"/>
  <c r="D119" i="22"/>
  <c r="C119" i="22"/>
  <c r="B119" i="22"/>
  <c r="A119" i="22"/>
  <c r="K118" i="22"/>
  <c r="J118" i="22"/>
  <c r="I118" i="22"/>
  <c r="H118" i="22"/>
  <c r="G118" i="22"/>
  <c r="F118" i="22"/>
  <c r="E118" i="22"/>
  <c r="D118" i="22"/>
  <c r="C118" i="22"/>
  <c r="B118" i="22"/>
  <c r="A118" i="22"/>
  <c r="K117" i="22"/>
  <c r="J117" i="22"/>
  <c r="I117" i="22"/>
  <c r="H117" i="22"/>
  <c r="G117" i="22"/>
  <c r="F117" i="22"/>
  <c r="E117" i="22"/>
  <c r="D117" i="22"/>
  <c r="C117" i="22"/>
  <c r="B117" i="22"/>
  <c r="A117" i="22"/>
  <c r="K116" i="22"/>
  <c r="J116" i="22"/>
  <c r="I116" i="22"/>
  <c r="H116" i="22"/>
  <c r="G116" i="22"/>
  <c r="F116" i="22"/>
  <c r="E116" i="22"/>
  <c r="D116" i="22"/>
  <c r="C116" i="22"/>
  <c r="B116" i="22"/>
  <c r="A116" i="22"/>
  <c r="K115" i="22"/>
  <c r="J115" i="22"/>
  <c r="I115" i="22"/>
  <c r="H115" i="22"/>
  <c r="G115" i="22"/>
  <c r="F115" i="22"/>
  <c r="E115" i="22"/>
  <c r="D115" i="22"/>
  <c r="C115" i="22"/>
  <c r="B115" i="22"/>
  <c r="A115" i="22"/>
  <c r="K114" i="22"/>
  <c r="J114" i="22"/>
  <c r="I114" i="22"/>
  <c r="H114" i="22"/>
  <c r="G114" i="22"/>
  <c r="F114" i="22"/>
  <c r="E114" i="22"/>
  <c r="D114" i="22"/>
  <c r="C114" i="22"/>
  <c r="B114" i="22"/>
  <c r="A114" i="22"/>
  <c r="K113" i="22"/>
  <c r="J113" i="22"/>
  <c r="I113" i="22"/>
  <c r="H113" i="22"/>
  <c r="G113" i="22"/>
  <c r="F113" i="22"/>
  <c r="E113" i="22"/>
  <c r="D113" i="22"/>
  <c r="C113" i="22"/>
  <c r="B113" i="22"/>
  <c r="A113" i="22"/>
  <c r="K112" i="22"/>
  <c r="J112" i="22"/>
  <c r="I112" i="22"/>
  <c r="H112" i="22"/>
  <c r="G112" i="22"/>
  <c r="F112" i="22"/>
  <c r="E112" i="22"/>
  <c r="D112" i="22"/>
  <c r="C112" i="22"/>
  <c r="B112" i="22"/>
  <c r="A112" i="22"/>
  <c r="K111" i="22"/>
  <c r="J111" i="22"/>
  <c r="I111" i="22"/>
  <c r="H111" i="22"/>
  <c r="G111" i="22"/>
  <c r="F111" i="22"/>
  <c r="E111" i="22"/>
  <c r="D111" i="22"/>
  <c r="C111" i="22"/>
  <c r="B111" i="22"/>
  <c r="A111" i="22"/>
  <c r="K110" i="22"/>
  <c r="J110" i="22"/>
  <c r="I110" i="22"/>
  <c r="H110" i="22"/>
  <c r="G110" i="22"/>
  <c r="F110" i="22"/>
  <c r="E110" i="22"/>
  <c r="D110" i="22"/>
  <c r="C110" i="22"/>
  <c r="B110" i="22"/>
  <c r="A110" i="22"/>
  <c r="K109" i="22"/>
  <c r="J109" i="22"/>
  <c r="I109" i="22"/>
  <c r="H109" i="22"/>
  <c r="G109" i="22"/>
  <c r="F109" i="22"/>
  <c r="E109" i="22"/>
  <c r="D109" i="22"/>
  <c r="C109" i="22"/>
  <c r="B109" i="22"/>
  <c r="A109" i="22"/>
  <c r="K108" i="22"/>
  <c r="J108" i="22"/>
  <c r="H108" i="22"/>
  <c r="G108" i="22"/>
  <c r="F108" i="22"/>
  <c r="E108" i="22"/>
  <c r="D108" i="22"/>
  <c r="C108" i="22"/>
  <c r="B108" i="22"/>
  <c r="A108" i="22"/>
  <c r="K107" i="22"/>
  <c r="J107" i="22"/>
  <c r="I107" i="22"/>
  <c r="H107" i="22"/>
  <c r="G107" i="22"/>
  <c r="F107" i="22"/>
  <c r="E107" i="22"/>
  <c r="D107" i="22"/>
  <c r="C107" i="22"/>
  <c r="B107" i="22"/>
  <c r="A107" i="22"/>
  <c r="K106" i="22"/>
  <c r="J106" i="22"/>
  <c r="I106" i="22"/>
  <c r="H106" i="22"/>
  <c r="G106" i="22"/>
  <c r="F106" i="22"/>
  <c r="E106" i="22"/>
  <c r="D106" i="22"/>
  <c r="C106" i="22"/>
  <c r="B106" i="22"/>
  <c r="A106" i="22"/>
  <c r="K105" i="22"/>
  <c r="J105" i="22"/>
  <c r="I105" i="22"/>
  <c r="H105" i="22"/>
  <c r="G105" i="22"/>
  <c r="F105" i="22"/>
  <c r="E105" i="22"/>
  <c r="D105" i="22"/>
  <c r="C105" i="22"/>
  <c r="B105" i="22"/>
  <c r="A105" i="22"/>
  <c r="K104" i="22"/>
  <c r="J104" i="22"/>
  <c r="I104" i="22"/>
  <c r="H104" i="22"/>
  <c r="G104" i="22"/>
  <c r="F104" i="22"/>
  <c r="E104" i="22"/>
  <c r="D104" i="22"/>
  <c r="C104" i="22"/>
  <c r="B104" i="22"/>
  <c r="A104" i="22"/>
  <c r="K103" i="22"/>
  <c r="J103" i="22"/>
  <c r="I103" i="22"/>
  <c r="H103" i="22"/>
  <c r="G103" i="22"/>
  <c r="F103" i="22"/>
  <c r="E103" i="22"/>
  <c r="D103" i="22"/>
  <c r="C103" i="22"/>
  <c r="B103" i="22"/>
  <c r="A103" i="22"/>
  <c r="K102" i="22"/>
  <c r="J102" i="22"/>
  <c r="I102" i="22"/>
  <c r="H102" i="22"/>
  <c r="G102" i="22"/>
  <c r="F102" i="22"/>
  <c r="E102" i="22"/>
  <c r="D102" i="22"/>
  <c r="C102" i="22"/>
  <c r="B102" i="22"/>
  <c r="A102" i="22"/>
  <c r="K101" i="22"/>
  <c r="J101" i="22"/>
  <c r="I101" i="22"/>
  <c r="H101" i="22"/>
  <c r="G101" i="22"/>
  <c r="F101" i="22"/>
  <c r="E101" i="22"/>
  <c r="D101" i="22"/>
  <c r="C101" i="22"/>
  <c r="B101" i="22"/>
  <c r="A101" i="22"/>
  <c r="K100" i="22"/>
  <c r="J100" i="22"/>
  <c r="I100" i="22"/>
  <c r="H100" i="22"/>
  <c r="G100" i="22"/>
  <c r="F100" i="22"/>
  <c r="E100" i="22"/>
  <c r="D100" i="22"/>
  <c r="C100" i="22"/>
  <c r="B100" i="22"/>
  <c r="A100" i="22"/>
  <c r="K99" i="22"/>
  <c r="J99" i="22"/>
  <c r="I99" i="22"/>
  <c r="H99" i="22"/>
  <c r="G99" i="22"/>
  <c r="F99" i="22"/>
  <c r="E99" i="22"/>
  <c r="D99" i="22"/>
  <c r="C99" i="22"/>
  <c r="B99" i="22"/>
  <c r="A99" i="22"/>
  <c r="K98" i="22"/>
  <c r="J98" i="22"/>
  <c r="I98" i="22"/>
  <c r="H98" i="22"/>
  <c r="G98" i="22"/>
  <c r="F98" i="22"/>
  <c r="E98" i="22"/>
  <c r="D98" i="22"/>
  <c r="C98" i="22"/>
  <c r="B98" i="22"/>
  <c r="A98" i="22"/>
  <c r="K97" i="22"/>
  <c r="J97" i="22"/>
  <c r="I97" i="22"/>
  <c r="H97" i="22"/>
  <c r="G97" i="22"/>
  <c r="F97" i="22"/>
  <c r="E97" i="22"/>
  <c r="D97" i="22"/>
  <c r="C97" i="22"/>
  <c r="B97" i="22"/>
  <c r="A97" i="22"/>
  <c r="K96" i="22"/>
  <c r="J96" i="22"/>
  <c r="I96" i="22"/>
  <c r="H96" i="22"/>
  <c r="G96" i="22"/>
  <c r="F96" i="22"/>
  <c r="E96" i="22"/>
  <c r="D96" i="22"/>
  <c r="C96" i="22"/>
  <c r="B96" i="22"/>
  <c r="A96" i="22"/>
  <c r="K95" i="22"/>
  <c r="J95" i="22"/>
  <c r="I95" i="22"/>
  <c r="H95" i="22"/>
  <c r="G95" i="22"/>
  <c r="F95" i="22"/>
  <c r="E95" i="22"/>
  <c r="D95" i="22"/>
  <c r="C95" i="22"/>
  <c r="B95" i="22"/>
  <c r="A95" i="22"/>
  <c r="K94" i="22"/>
  <c r="J94" i="22"/>
  <c r="I94" i="22"/>
  <c r="H94" i="22"/>
  <c r="G94" i="22"/>
  <c r="F94" i="22"/>
  <c r="E94" i="22"/>
  <c r="D94" i="22"/>
  <c r="C94" i="22"/>
  <c r="B94" i="22"/>
  <c r="A94" i="22"/>
  <c r="K93" i="22"/>
  <c r="J93" i="22"/>
  <c r="I93" i="22"/>
  <c r="H93" i="22"/>
  <c r="G93" i="22"/>
  <c r="F93" i="22"/>
  <c r="E93" i="22"/>
  <c r="D93" i="22"/>
  <c r="C93" i="22"/>
  <c r="B93" i="22"/>
  <c r="A93" i="22"/>
  <c r="K92" i="22"/>
  <c r="J92" i="22"/>
  <c r="I92" i="22"/>
  <c r="H92" i="22"/>
  <c r="G92" i="22"/>
  <c r="F92" i="22"/>
  <c r="E92" i="22"/>
  <c r="D92" i="22"/>
  <c r="C92" i="22"/>
  <c r="B92" i="22"/>
  <c r="A92" i="22"/>
  <c r="K91" i="22"/>
  <c r="J91" i="22"/>
  <c r="I91" i="22"/>
  <c r="H91" i="22"/>
  <c r="G91" i="22"/>
  <c r="F91" i="22"/>
  <c r="E91" i="22"/>
  <c r="D91" i="22"/>
  <c r="C91" i="22"/>
  <c r="B91" i="22"/>
  <c r="A91" i="22"/>
  <c r="K90" i="22"/>
  <c r="J90" i="22"/>
  <c r="I90" i="22"/>
  <c r="H90" i="22"/>
  <c r="G90" i="22"/>
  <c r="F90" i="22"/>
  <c r="E90" i="22"/>
  <c r="D90" i="22"/>
  <c r="C90" i="22"/>
  <c r="B90" i="22"/>
  <c r="A90" i="22"/>
  <c r="K89" i="22"/>
  <c r="J89" i="22"/>
  <c r="I89" i="22"/>
  <c r="H89" i="22"/>
  <c r="G89" i="22"/>
  <c r="F89" i="22"/>
  <c r="E89" i="22"/>
  <c r="D89" i="22"/>
  <c r="C89" i="22"/>
  <c r="B89" i="22"/>
  <c r="A89" i="22"/>
  <c r="K88" i="22"/>
  <c r="J88" i="22"/>
  <c r="I88" i="22"/>
  <c r="H88" i="22"/>
  <c r="G88" i="22"/>
  <c r="F88" i="22"/>
  <c r="E88" i="22"/>
  <c r="D88" i="22"/>
  <c r="C88" i="22"/>
  <c r="B88" i="22"/>
  <c r="A88" i="22"/>
  <c r="K87" i="22"/>
  <c r="J87" i="22"/>
  <c r="I87" i="22"/>
  <c r="H87" i="22"/>
  <c r="G87" i="22"/>
  <c r="F87" i="22"/>
  <c r="E87" i="22"/>
  <c r="D87" i="22"/>
  <c r="C87" i="22"/>
  <c r="B87" i="22"/>
  <c r="A87" i="22"/>
  <c r="K86" i="22"/>
  <c r="J86" i="22"/>
  <c r="I86" i="22"/>
  <c r="H86" i="22"/>
  <c r="G86" i="22"/>
  <c r="F86" i="22"/>
  <c r="E86" i="22"/>
  <c r="D86" i="22"/>
  <c r="C86" i="22"/>
  <c r="B86" i="22"/>
  <c r="A86" i="22"/>
  <c r="K85" i="22"/>
  <c r="J85" i="22"/>
  <c r="I85" i="22"/>
  <c r="H85" i="22"/>
  <c r="G85" i="22"/>
  <c r="F85" i="22"/>
  <c r="E85" i="22"/>
  <c r="D85" i="22"/>
  <c r="C85" i="22"/>
  <c r="B85" i="22"/>
  <c r="A85" i="22"/>
  <c r="K84" i="22"/>
  <c r="J84" i="22"/>
  <c r="H84" i="22"/>
  <c r="G84" i="22"/>
  <c r="F84" i="22"/>
  <c r="E84" i="22"/>
  <c r="D84" i="22"/>
  <c r="C84" i="22"/>
  <c r="B84" i="22"/>
  <c r="A84" i="22"/>
  <c r="K83" i="22"/>
  <c r="J83" i="22"/>
  <c r="I83" i="22"/>
  <c r="H83" i="22"/>
  <c r="G83" i="22"/>
  <c r="F83" i="22"/>
  <c r="E83" i="22"/>
  <c r="D83" i="22"/>
  <c r="C83" i="22"/>
  <c r="B83" i="22"/>
  <c r="A83" i="22"/>
  <c r="K82" i="22"/>
  <c r="J82" i="22"/>
  <c r="I82" i="22"/>
  <c r="H82" i="22"/>
  <c r="G82" i="22"/>
  <c r="F82" i="22"/>
  <c r="E82" i="22"/>
  <c r="D82" i="22"/>
  <c r="C82" i="22"/>
  <c r="B82" i="22"/>
  <c r="A82" i="22"/>
  <c r="K81" i="22"/>
  <c r="J81" i="22"/>
  <c r="I81" i="22"/>
  <c r="H81" i="22"/>
  <c r="G81" i="22"/>
  <c r="F81" i="22"/>
  <c r="E81" i="22"/>
  <c r="D81" i="22"/>
  <c r="C81" i="22"/>
  <c r="B81" i="22"/>
  <c r="A81" i="22"/>
  <c r="K80" i="22"/>
  <c r="J80" i="22"/>
  <c r="I80" i="22"/>
  <c r="H80" i="22"/>
  <c r="G80" i="22"/>
  <c r="F80" i="22"/>
  <c r="E80" i="22"/>
  <c r="D80" i="22"/>
  <c r="C80" i="22"/>
  <c r="B80" i="22"/>
  <c r="A80" i="22"/>
  <c r="K79" i="22"/>
  <c r="J79" i="22"/>
  <c r="I79" i="22"/>
  <c r="H79" i="22"/>
  <c r="G79" i="22"/>
  <c r="F79" i="22"/>
  <c r="E79" i="22"/>
  <c r="D79" i="22"/>
  <c r="C79" i="22"/>
  <c r="B79" i="22"/>
  <c r="A79" i="22"/>
  <c r="K78" i="22"/>
  <c r="J78" i="22"/>
  <c r="H78" i="22"/>
  <c r="G78" i="22"/>
  <c r="F78" i="22"/>
  <c r="E78" i="22"/>
  <c r="D78" i="22"/>
  <c r="C78" i="22"/>
  <c r="B78" i="22"/>
  <c r="A78" i="22"/>
  <c r="K77" i="22"/>
  <c r="J77" i="22"/>
  <c r="I77" i="22"/>
  <c r="H77" i="22"/>
  <c r="G77" i="22"/>
  <c r="F77" i="22"/>
  <c r="E77" i="22"/>
  <c r="D77" i="22"/>
  <c r="C77" i="22"/>
  <c r="B77" i="22"/>
  <c r="A77" i="22"/>
  <c r="K76" i="22"/>
  <c r="J76" i="22"/>
  <c r="I76" i="22"/>
  <c r="H76" i="22"/>
  <c r="G76" i="22"/>
  <c r="F76" i="22"/>
  <c r="E76" i="22"/>
  <c r="D76" i="22"/>
  <c r="C76" i="22"/>
  <c r="B76" i="22"/>
  <c r="A76" i="22"/>
  <c r="K75" i="22"/>
  <c r="J75" i="22"/>
  <c r="I75" i="22"/>
  <c r="H75" i="22"/>
  <c r="G75" i="22"/>
  <c r="F75" i="22"/>
  <c r="E75" i="22"/>
  <c r="D75" i="22"/>
  <c r="C75" i="22"/>
  <c r="B75" i="22"/>
  <c r="A75" i="22"/>
  <c r="K74" i="22"/>
  <c r="J74" i="22"/>
  <c r="H74" i="22"/>
  <c r="G74" i="22"/>
  <c r="F74" i="22"/>
  <c r="E74" i="22"/>
  <c r="D74" i="22"/>
  <c r="C74" i="22"/>
  <c r="B74" i="22"/>
  <c r="A74" i="22"/>
  <c r="K73" i="22"/>
  <c r="J73" i="22"/>
  <c r="I73" i="22"/>
  <c r="H73" i="22"/>
  <c r="G73" i="22"/>
  <c r="F73" i="22"/>
  <c r="E73" i="22"/>
  <c r="D73" i="22"/>
  <c r="C73" i="22"/>
  <c r="B73" i="22"/>
  <c r="A73" i="22"/>
  <c r="K72" i="22"/>
  <c r="J72" i="22"/>
  <c r="I72" i="22"/>
  <c r="H72" i="22"/>
  <c r="G72" i="22"/>
  <c r="F72" i="22"/>
  <c r="E72" i="22"/>
  <c r="D72" i="22"/>
  <c r="C72" i="22"/>
  <c r="B72" i="22"/>
  <c r="A72" i="22"/>
  <c r="K71" i="22"/>
  <c r="J71" i="22"/>
  <c r="H71" i="22"/>
  <c r="G71" i="22"/>
  <c r="F71" i="22"/>
  <c r="E71" i="22"/>
  <c r="D71" i="22"/>
  <c r="C71" i="22"/>
  <c r="B71" i="22"/>
  <c r="A71" i="22"/>
  <c r="K70" i="22"/>
  <c r="J70" i="22"/>
  <c r="I70" i="22"/>
  <c r="H70" i="22"/>
  <c r="G70" i="22"/>
  <c r="F70" i="22"/>
  <c r="E70" i="22"/>
  <c r="D70" i="22"/>
  <c r="C70" i="22"/>
  <c r="B70" i="22"/>
  <c r="A70" i="22"/>
  <c r="K69" i="22"/>
  <c r="J69" i="22"/>
  <c r="I69" i="22"/>
  <c r="H69" i="22"/>
  <c r="G69" i="22"/>
  <c r="F69" i="22"/>
  <c r="E69" i="22"/>
  <c r="D69" i="22"/>
  <c r="C69" i="22"/>
  <c r="B69" i="22"/>
  <c r="A69" i="22"/>
  <c r="K68" i="22"/>
  <c r="J68" i="22"/>
  <c r="I68" i="22"/>
  <c r="H68" i="22"/>
  <c r="G68" i="22"/>
  <c r="F68" i="22"/>
  <c r="E68" i="22"/>
  <c r="D68" i="22"/>
  <c r="C68" i="22"/>
  <c r="B68" i="22"/>
  <c r="A68" i="22"/>
  <c r="K67" i="22"/>
  <c r="J67" i="22"/>
  <c r="I67" i="22"/>
  <c r="H67" i="22"/>
  <c r="G67" i="22"/>
  <c r="F67" i="22"/>
  <c r="E67" i="22"/>
  <c r="D67" i="22"/>
  <c r="C67" i="22"/>
  <c r="B67" i="22"/>
  <c r="A67" i="22"/>
  <c r="K66" i="22"/>
  <c r="J66" i="22"/>
  <c r="I66" i="22"/>
  <c r="H66" i="22"/>
  <c r="G66" i="22"/>
  <c r="F66" i="22"/>
  <c r="E66" i="22"/>
  <c r="D66" i="22"/>
  <c r="C66" i="22"/>
  <c r="B66" i="22"/>
  <c r="A66" i="22"/>
  <c r="K65" i="22"/>
  <c r="J65" i="22"/>
  <c r="I65" i="22"/>
  <c r="H65" i="22"/>
  <c r="G65" i="22"/>
  <c r="F65" i="22"/>
  <c r="E65" i="22"/>
  <c r="D65" i="22"/>
  <c r="C65" i="22"/>
  <c r="B65" i="22"/>
  <c r="A65" i="22"/>
  <c r="K64" i="22"/>
  <c r="J64" i="22"/>
  <c r="I64" i="22"/>
  <c r="H64" i="22"/>
  <c r="G64" i="22"/>
  <c r="F64" i="22"/>
  <c r="E64" i="22"/>
  <c r="D64" i="22"/>
  <c r="C64" i="22"/>
  <c r="B64" i="22"/>
  <c r="A64" i="22"/>
  <c r="K63" i="22"/>
  <c r="J63" i="22"/>
  <c r="I63" i="22"/>
  <c r="H63" i="22"/>
  <c r="G63" i="22"/>
  <c r="F63" i="22"/>
  <c r="E63" i="22"/>
  <c r="D63" i="22"/>
  <c r="C63" i="22"/>
  <c r="B63" i="22"/>
  <c r="A63" i="22"/>
  <c r="K62" i="22"/>
  <c r="J62" i="22"/>
  <c r="I62" i="22"/>
  <c r="H62" i="22"/>
  <c r="G62" i="22"/>
  <c r="F62" i="22"/>
  <c r="E62" i="22"/>
  <c r="D62" i="22"/>
  <c r="C62" i="22"/>
  <c r="B62" i="22"/>
  <c r="A62" i="22"/>
  <c r="K61" i="22"/>
  <c r="J61" i="22"/>
  <c r="I61" i="22"/>
  <c r="H61" i="22"/>
  <c r="G61" i="22"/>
  <c r="F61" i="22"/>
  <c r="E61" i="22"/>
  <c r="D61" i="22"/>
  <c r="C61" i="22"/>
  <c r="B61" i="22"/>
  <c r="A61" i="22"/>
  <c r="K60" i="22"/>
  <c r="J60" i="22"/>
  <c r="I60" i="22"/>
  <c r="H60" i="22"/>
  <c r="G60" i="22"/>
  <c r="F60" i="22"/>
  <c r="E60" i="22"/>
  <c r="D60" i="22"/>
  <c r="C60" i="22"/>
  <c r="B60" i="22"/>
  <c r="A60" i="22"/>
  <c r="K59" i="22"/>
  <c r="J59" i="22"/>
  <c r="I59" i="22"/>
  <c r="H59" i="22"/>
  <c r="G59" i="22"/>
  <c r="F59" i="22"/>
  <c r="E59" i="22"/>
  <c r="D59" i="22"/>
  <c r="C59" i="22"/>
  <c r="B59" i="22"/>
  <c r="A59" i="22"/>
  <c r="K58" i="22"/>
  <c r="J58" i="22"/>
  <c r="I58" i="22"/>
  <c r="H58" i="22"/>
  <c r="G58" i="22"/>
  <c r="F58" i="22"/>
  <c r="E58" i="22"/>
  <c r="D58" i="22"/>
  <c r="C58" i="22"/>
  <c r="B58" i="22"/>
  <c r="A58" i="22"/>
  <c r="K57" i="22"/>
  <c r="J57" i="22"/>
  <c r="H57" i="22"/>
  <c r="G57" i="22"/>
  <c r="F57" i="22"/>
  <c r="E57" i="22"/>
  <c r="D57" i="22"/>
  <c r="C57" i="22"/>
  <c r="B57" i="22"/>
  <c r="A57" i="22"/>
  <c r="K56" i="22"/>
  <c r="J56" i="22"/>
  <c r="I56" i="22"/>
  <c r="H56" i="22"/>
  <c r="G56" i="22"/>
  <c r="F56" i="22"/>
  <c r="E56" i="22"/>
  <c r="D56" i="22"/>
  <c r="C56" i="22"/>
  <c r="B56" i="22"/>
  <c r="A56" i="22"/>
  <c r="K55" i="22"/>
  <c r="J55" i="22"/>
  <c r="I55" i="22"/>
  <c r="H55" i="22"/>
  <c r="G55" i="22"/>
  <c r="F55" i="22"/>
  <c r="E55" i="22"/>
  <c r="D55" i="22"/>
  <c r="C55" i="22"/>
  <c r="B55" i="22"/>
  <c r="A55" i="22"/>
  <c r="K54" i="22"/>
  <c r="J54" i="22"/>
  <c r="I54" i="22"/>
  <c r="H54" i="22"/>
  <c r="G54" i="22"/>
  <c r="F54" i="22"/>
  <c r="E54" i="22"/>
  <c r="D54" i="22"/>
  <c r="C54" i="22"/>
  <c r="B54" i="22"/>
  <c r="A54" i="22"/>
  <c r="K53" i="22"/>
  <c r="J53" i="22"/>
  <c r="I53" i="22"/>
  <c r="H53" i="22"/>
  <c r="G53" i="22"/>
  <c r="F53" i="22"/>
  <c r="E53" i="22"/>
  <c r="D53" i="22"/>
  <c r="C53" i="22"/>
  <c r="B53" i="22"/>
  <c r="A53" i="22"/>
  <c r="K52" i="22"/>
  <c r="J52" i="22"/>
  <c r="I52" i="22"/>
  <c r="H52" i="22"/>
  <c r="G52" i="22"/>
  <c r="F52" i="22"/>
  <c r="E52" i="22"/>
  <c r="D52" i="22"/>
  <c r="C52" i="22"/>
  <c r="B52" i="22"/>
  <c r="A52" i="22"/>
  <c r="K51" i="22"/>
  <c r="J51" i="22"/>
  <c r="I51" i="22"/>
  <c r="H51" i="22"/>
  <c r="G51" i="22"/>
  <c r="F51" i="22"/>
  <c r="E51" i="22"/>
  <c r="D51" i="22"/>
  <c r="C51" i="22"/>
  <c r="B51" i="22"/>
  <c r="A51" i="22"/>
  <c r="K50" i="22"/>
  <c r="J50" i="22"/>
  <c r="I50" i="22"/>
  <c r="H50" i="22"/>
  <c r="G50" i="22"/>
  <c r="F50" i="22"/>
  <c r="E50" i="22"/>
  <c r="D50" i="22"/>
  <c r="C50" i="22"/>
  <c r="B50" i="22"/>
  <c r="A50" i="22"/>
  <c r="K49" i="22"/>
  <c r="J49" i="22"/>
  <c r="I49" i="22"/>
  <c r="H49" i="22"/>
  <c r="G49" i="22"/>
  <c r="F49" i="22"/>
  <c r="E49" i="22"/>
  <c r="D49" i="22"/>
  <c r="C49" i="22"/>
  <c r="B49" i="22"/>
  <c r="A49" i="22"/>
  <c r="K48" i="22"/>
  <c r="J48" i="22"/>
  <c r="I48" i="22"/>
  <c r="H48" i="22"/>
  <c r="G48" i="22"/>
  <c r="F48" i="22"/>
  <c r="E48" i="22"/>
  <c r="D48" i="22"/>
  <c r="C48" i="22"/>
  <c r="B48" i="22"/>
  <c r="A48" i="22"/>
  <c r="K47" i="22"/>
  <c r="J47" i="22"/>
  <c r="I47" i="22"/>
  <c r="H47" i="22"/>
  <c r="G47" i="22"/>
  <c r="F47" i="22"/>
  <c r="E47" i="22"/>
  <c r="D47" i="22"/>
  <c r="C47" i="22"/>
  <c r="B47" i="22"/>
  <c r="A47" i="22"/>
  <c r="K46" i="22"/>
  <c r="J46" i="22"/>
  <c r="I46" i="22"/>
  <c r="H46" i="22"/>
  <c r="G46" i="22"/>
  <c r="F46" i="22"/>
  <c r="E46" i="22"/>
  <c r="D46" i="22"/>
  <c r="C46" i="22"/>
  <c r="B46" i="22"/>
  <c r="A46" i="22"/>
  <c r="K45" i="22"/>
  <c r="J45" i="22"/>
  <c r="I45" i="22"/>
  <c r="H45" i="22"/>
  <c r="G45" i="22"/>
  <c r="F45" i="22"/>
  <c r="E45" i="22"/>
  <c r="D45" i="22"/>
  <c r="C45" i="22"/>
  <c r="B45" i="22"/>
  <c r="A45" i="22"/>
  <c r="K44" i="22"/>
  <c r="J44" i="22"/>
  <c r="I44" i="22"/>
  <c r="H44" i="22"/>
  <c r="G44" i="22"/>
  <c r="F44" i="22"/>
  <c r="E44" i="22"/>
  <c r="D44" i="22"/>
  <c r="C44" i="22"/>
  <c r="B44" i="22"/>
  <c r="A44" i="22"/>
  <c r="K43" i="22"/>
  <c r="J43" i="22"/>
  <c r="I43" i="22"/>
  <c r="H43" i="22"/>
  <c r="G43" i="22"/>
  <c r="F43" i="22"/>
  <c r="E43" i="22"/>
  <c r="D43" i="22"/>
  <c r="C43" i="22"/>
  <c r="B43" i="22"/>
  <c r="A43" i="22"/>
  <c r="K42" i="22"/>
  <c r="J42" i="22"/>
  <c r="I42" i="22"/>
  <c r="H42" i="22"/>
  <c r="G42" i="22"/>
  <c r="F42" i="22"/>
  <c r="E42" i="22"/>
  <c r="D42" i="22"/>
  <c r="C42" i="22"/>
  <c r="B42" i="22"/>
  <c r="A42" i="22"/>
  <c r="K41" i="22"/>
  <c r="J41" i="22"/>
  <c r="I41" i="22"/>
  <c r="H41" i="22"/>
  <c r="G41" i="22"/>
  <c r="F41" i="22"/>
  <c r="E41" i="22"/>
  <c r="D41" i="22"/>
  <c r="C41" i="22"/>
  <c r="B41" i="22"/>
  <c r="A41" i="22"/>
  <c r="K40" i="22"/>
  <c r="J40" i="22"/>
  <c r="H40" i="22"/>
  <c r="G40" i="22"/>
  <c r="F40" i="22"/>
  <c r="E40" i="22"/>
  <c r="D40" i="22"/>
  <c r="C40" i="22"/>
  <c r="B40" i="22"/>
  <c r="A40" i="22"/>
  <c r="K39" i="22"/>
  <c r="J39" i="22"/>
  <c r="I39" i="22"/>
  <c r="H39" i="22"/>
  <c r="G39" i="22"/>
  <c r="F39" i="22"/>
  <c r="E39" i="22"/>
  <c r="D39" i="22"/>
  <c r="C39" i="22"/>
  <c r="B39" i="22"/>
  <c r="A39" i="22"/>
  <c r="K38" i="22"/>
  <c r="J38" i="22"/>
  <c r="I38" i="22"/>
  <c r="H38" i="22"/>
  <c r="G38" i="22"/>
  <c r="F38" i="22"/>
  <c r="E38" i="22"/>
  <c r="D38" i="22"/>
  <c r="C38" i="22"/>
  <c r="B38" i="22"/>
  <c r="A38" i="22"/>
  <c r="K37" i="22"/>
  <c r="J37" i="22"/>
  <c r="I37" i="22"/>
  <c r="H37" i="22"/>
  <c r="G37" i="22"/>
  <c r="F37" i="22"/>
  <c r="E37" i="22"/>
  <c r="D37" i="22"/>
  <c r="C37" i="22"/>
  <c r="B37" i="22"/>
  <c r="A37" i="22"/>
  <c r="K36" i="22"/>
  <c r="J36" i="22"/>
  <c r="H36" i="22"/>
  <c r="G36" i="22"/>
  <c r="F36" i="22"/>
  <c r="E36" i="22"/>
  <c r="D36" i="22"/>
  <c r="C36" i="22"/>
  <c r="B36" i="22"/>
  <c r="A36" i="22"/>
  <c r="K35" i="22"/>
  <c r="J35" i="22"/>
  <c r="I35" i="22"/>
  <c r="H35" i="22"/>
  <c r="G35" i="22"/>
  <c r="F35" i="22"/>
  <c r="E35" i="22"/>
  <c r="D35" i="22"/>
  <c r="C35" i="22"/>
  <c r="B35" i="22"/>
  <c r="A35" i="22"/>
  <c r="K34" i="22"/>
  <c r="J34" i="22"/>
  <c r="I34" i="22"/>
  <c r="H34" i="22"/>
  <c r="G34" i="22"/>
  <c r="F34" i="22"/>
  <c r="E34" i="22"/>
  <c r="D34" i="22"/>
  <c r="C34" i="22"/>
  <c r="B34" i="22"/>
  <c r="A34" i="22"/>
  <c r="K33" i="22"/>
  <c r="J33" i="22"/>
  <c r="I33" i="22"/>
  <c r="H33" i="22"/>
  <c r="G33" i="22"/>
  <c r="F33" i="22"/>
  <c r="E33" i="22"/>
  <c r="D33" i="22"/>
  <c r="C33" i="22"/>
  <c r="B33" i="22"/>
  <c r="A33" i="22"/>
  <c r="K32" i="22"/>
  <c r="J32" i="22"/>
  <c r="I32" i="22"/>
  <c r="H32" i="22"/>
  <c r="G32" i="22"/>
  <c r="F32" i="22"/>
  <c r="E32" i="22"/>
  <c r="D32" i="22"/>
  <c r="C32" i="22"/>
  <c r="B32" i="22"/>
  <c r="A32" i="22"/>
  <c r="K31" i="22"/>
  <c r="J31" i="22"/>
  <c r="I31" i="22"/>
  <c r="H31" i="22"/>
  <c r="G31" i="22"/>
  <c r="F31" i="22"/>
  <c r="E31" i="22"/>
  <c r="D31" i="22"/>
  <c r="C31" i="22"/>
  <c r="B31" i="22"/>
  <c r="A31" i="22"/>
  <c r="K30" i="22"/>
  <c r="J30" i="22"/>
  <c r="I30" i="22"/>
  <c r="H30" i="22"/>
  <c r="G30" i="22"/>
  <c r="F30" i="22"/>
  <c r="E30" i="22"/>
  <c r="D30" i="22"/>
  <c r="C30" i="22"/>
  <c r="B30" i="22"/>
  <c r="A30" i="22"/>
  <c r="K29" i="22"/>
  <c r="J29" i="22"/>
  <c r="I29" i="22"/>
  <c r="H29" i="22"/>
  <c r="G29" i="22"/>
  <c r="F29" i="22"/>
  <c r="E29" i="22"/>
  <c r="D29" i="22"/>
  <c r="C29" i="22"/>
  <c r="B29" i="22"/>
  <c r="A29" i="22"/>
  <c r="K28" i="22"/>
  <c r="J28" i="22"/>
  <c r="I28" i="22"/>
  <c r="H28" i="22"/>
  <c r="G28" i="22"/>
  <c r="F28" i="22"/>
  <c r="E28" i="22"/>
  <c r="D28" i="22"/>
  <c r="C28" i="22"/>
  <c r="B28" i="22"/>
  <c r="A28" i="22"/>
  <c r="K27" i="22"/>
  <c r="J27" i="22"/>
  <c r="I27" i="22"/>
  <c r="H27" i="22"/>
  <c r="G27" i="22"/>
  <c r="F27" i="22"/>
  <c r="E27" i="22"/>
  <c r="D27" i="22"/>
  <c r="C27" i="22"/>
  <c r="B27" i="22"/>
  <c r="A27" i="22"/>
  <c r="K26" i="22"/>
  <c r="J26" i="22"/>
  <c r="I26" i="22"/>
  <c r="H26" i="22"/>
  <c r="G26" i="22"/>
  <c r="F26" i="22"/>
  <c r="E26" i="22"/>
  <c r="D26" i="22"/>
  <c r="C26" i="22"/>
  <c r="B26" i="22"/>
  <c r="A26" i="22"/>
  <c r="K25" i="22"/>
  <c r="J25" i="22"/>
  <c r="I25" i="22"/>
  <c r="H25" i="22"/>
  <c r="G25" i="22"/>
  <c r="F25" i="22"/>
  <c r="E25" i="22"/>
  <c r="D25" i="22"/>
  <c r="C25" i="22"/>
  <c r="B25" i="22"/>
  <c r="A25" i="22"/>
  <c r="K24" i="22"/>
  <c r="J24" i="22"/>
  <c r="I24" i="22"/>
  <c r="H24" i="22"/>
  <c r="G24" i="22"/>
  <c r="F24" i="22"/>
  <c r="E24" i="22"/>
  <c r="D24" i="22"/>
  <c r="C24" i="22"/>
  <c r="B24" i="22"/>
  <c r="A24" i="22"/>
  <c r="K23" i="22"/>
  <c r="J23" i="22"/>
  <c r="I23" i="22"/>
  <c r="H23" i="22"/>
  <c r="G23" i="22"/>
  <c r="F23" i="22"/>
  <c r="E23" i="22"/>
  <c r="D23" i="22"/>
  <c r="C23" i="22"/>
  <c r="B23" i="22"/>
  <c r="A23" i="22"/>
  <c r="K22" i="22"/>
  <c r="J22" i="22"/>
  <c r="I22" i="22"/>
  <c r="H22" i="22"/>
  <c r="G22" i="22"/>
  <c r="F22" i="22"/>
  <c r="E22" i="22"/>
  <c r="D22" i="22"/>
  <c r="C22" i="22"/>
  <c r="B22" i="22"/>
  <c r="A22" i="22"/>
  <c r="K21" i="22"/>
  <c r="J21" i="22"/>
  <c r="I21" i="22"/>
  <c r="H21" i="22"/>
  <c r="G21" i="22"/>
  <c r="F21" i="22"/>
  <c r="E21" i="22"/>
  <c r="D21" i="22"/>
  <c r="C21" i="22"/>
  <c r="B21" i="22"/>
  <c r="A21" i="22"/>
  <c r="K20" i="22"/>
  <c r="J20" i="22"/>
  <c r="I20" i="22"/>
  <c r="H20" i="22"/>
  <c r="G20" i="22"/>
  <c r="F20" i="22"/>
  <c r="E20" i="22"/>
  <c r="D20" i="22"/>
  <c r="C20" i="22"/>
  <c r="B20" i="22"/>
  <c r="A20" i="22"/>
  <c r="K19" i="22"/>
  <c r="J19" i="22"/>
  <c r="I19" i="22"/>
  <c r="H19" i="22"/>
  <c r="G19" i="22"/>
  <c r="F19" i="22"/>
  <c r="E19" i="22"/>
  <c r="D19" i="22"/>
  <c r="C19" i="22"/>
  <c r="B19" i="22"/>
  <c r="A19" i="22"/>
  <c r="K18" i="22"/>
  <c r="J18" i="22"/>
  <c r="I18" i="22"/>
  <c r="H18" i="22"/>
  <c r="G18" i="22"/>
  <c r="F18" i="22"/>
  <c r="E18" i="22"/>
  <c r="D18" i="22"/>
  <c r="C18" i="22"/>
  <c r="B18" i="22"/>
  <c r="A18" i="22"/>
  <c r="K17" i="22"/>
  <c r="J17" i="22"/>
  <c r="H17" i="22"/>
  <c r="G17" i="22"/>
  <c r="F17" i="22"/>
  <c r="E17" i="22"/>
  <c r="D17" i="22"/>
  <c r="C17" i="22"/>
  <c r="B17" i="22"/>
  <c r="A17" i="22"/>
  <c r="K16" i="22"/>
  <c r="J16" i="22"/>
  <c r="H16" i="22"/>
  <c r="G16" i="22"/>
  <c r="F16" i="22"/>
  <c r="E16" i="22"/>
  <c r="D16" i="22"/>
  <c r="C16" i="22"/>
  <c r="B16" i="22"/>
  <c r="A16" i="22"/>
  <c r="K15" i="22"/>
  <c r="J15" i="22"/>
  <c r="H15" i="22"/>
  <c r="G15" i="22"/>
  <c r="F15" i="22"/>
  <c r="E15" i="22"/>
  <c r="D15" i="22"/>
  <c r="C15" i="22"/>
  <c r="B15" i="22"/>
  <c r="A15" i="22"/>
  <c r="K14" i="22"/>
  <c r="J14" i="22"/>
  <c r="H14" i="22"/>
  <c r="G14" i="22"/>
  <c r="F14" i="22"/>
  <c r="E14" i="22"/>
  <c r="D14" i="22"/>
  <c r="C14" i="22"/>
  <c r="B14" i="22"/>
  <c r="A14" i="22"/>
  <c r="K13" i="22"/>
  <c r="J13" i="22"/>
  <c r="I13" i="22"/>
  <c r="H13" i="22"/>
  <c r="G13" i="22"/>
  <c r="F13" i="22"/>
  <c r="E13" i="22"/>
  <c r="D13" i="22"/>
  <c r="C13" i="22"/>
  <c r="B13" i="22"/>
  <c r="A13" i="22"/>
  <c r="K12" i="22"/>
  <c r="J12" i="22"/>
  <c r="I12" i="22"/>
  <c r="H12" i="22"/>
  <c r="G12" i="22"/>
  <c r="F12" i="22"/>
  <c r="E12" i="22"/>
  <c r="D12" i="22"/>
  <c r="C12" i="22"/>
  <c r="B12" i="22"/>
  <c r="A12" i="22"/>
  <c r="K11" i="22"/>
  <c r="J11" i="22"/>
  <c r="I11" i="22"/>
  <c r="H11" i="22"/>
  <c r="G11" i="22"/>
  <c r="F11" i="22"/>
  <c r="E11" i="22"/>
  <c r="D11" i="22"/>
  <c r="C11" i="22"/>
  <c r="B11" i="22"/>
  <c r="A11" i="22"/>
  <c r="K10" i="22"/>
  <c r="J10" i="22"/>
  <c r="I10" i="22"/>
  <c r="H10" i="22"/>
  <c r="G10" i="22"/>
  <c r="F10" i="22"/>
  <c r="E10" i="22"/>
  <c r="D10" i="22"/>
  <c r="C10" i="22"/>
  <c r="B10" i="22"/>
  <c r="A10" i="22"/>
  <c r="K9" i="22"/>
  <c r="J9" i="22"/>
  <c r="H9" i="22"/>
  <c r="G9" i="22"/>
  <c r="F9" i="22"/>
  <c r="E9" i="22"/>
  <c r="D9" i="22"/>
  <c r="C9" i="22"/>
  <c r="B9" i="22"/>
  <c r="A9" i="22"/>
  <c r="K8" i="22"/>
  <c r="J8" i="22"/>
  <c r="I8" i="22"/>
  <c r="H8" i="22"/>
  <c r="G8" i="22"/>
  <c r="F8" i="22"/>
  <c r="E8" i="22"/>
  <c r="D8" i="22"/>
  <c r="C8" i="22"/>
  <c r="B8" i="22"/>
  <c r="A8" i="22"/>
  <c r="K7" i="22"/>
  <c r="J7" i="22"/>
  <c r="H7" i="22"/>
  <c r="G7" i="22"/>
  <c r="F7" i="22"/>
  <c r="E7" i="22"/>
  <c r="D7" i="22"/>
  <c r="C7" i="22"/>
  <c r="B7" i="22"/>
  <c r="A7" i="22"/>
  <c r="K6" i="22"/>
  <c r="J6" i="22"/>
  <c r="I6" i="22"/>
  <c r="H6" i="22"/>
  <c r="G6" i="22"/>
  <c r="F6" i="22"/>
  <c r="E6" i="22"/>
  <c r="D6" i="22"/>
  <c r="C6" i="22"/>
  <c r="B6" i="22"/>
  <c r="A6" i="22"/>
  <c r="K5" i="22"/>
  <c r="J5" i="22"/>
  <c r="I5" i="22"/>
  <c r="H5" i="22"/>
  <c r="G5" i="22"/>
  <c r="F5" i="22"/>
  <c r="E5" i="22"/>
  <c r="D5" i="22"/>
  <c r="C5" i="22"/>
  <c r="B5" i="22"/>
  <c r="A5" i="22"/>
  <c r="K4" i="22"/>
  <c r="J4" i="22"/>
  <c r="I4" i="22"/>
  <c r="H4" i="22"/>
  <c r="G4" i="22"/>
  <c r="F4" i="22"/>
  <c r="E4" i="22"/>
  <c r="D4" i="22"/>
  <c r="C4" i="22"/>
  <c r="B4" i="22"/>
  <c r="A4" i="22"/>
  <c r="K3" i="22"/>
  <c r="J3" i="22"/>
  <c r="I3" i="22"/>
  <c r="H3" i="22"/>
  <c r="G3" i="22"/>
  <c r="F3" i="22"/>
  <c r="E3" i="22"/>
  <c r="D3" i="22"/>
  <c r="C3" i="22"/>
  <c r="B3" i="22"/>
  <c r="A3" i="22"/>
  <c r="K2" i="22"/>
  <c r="J2" i="22"/>
  <c r="I2" i="22"/>
  <c r="H2" i="22"/>
  <c r="G2" i="22"/>
  <c r="F2" i="22"/>
  <c r="E2" i="22"/>
  <c r="D2" i="22"/>
  <c r="C2" i="22"/>
  <c r="B2" i="22"/>
  <c r="A2" i="22"/>
  <c r="K3554" i="21"/>
  <c r="K3553" i="21"/>
  <c r="K3552" i="21"/>
  <c r="K3551" i="21"/>
  <c r="K3550" i="21"/>
  <c r="K3549" i="21"/>
  <c r="K3548" i="21"/>
  <c r="K3547" i="21"/>
  <c r="K3546" i="21"/>
  <c r="K3545" i="21"/>
  <c r="K3544" i="21"/>
  <c r="K3543" i="21"/>
  <c r="K3542" i="21"/>
  <c r="K3541" i="21"/>
  <c r="K3540" i="21"/>
  <c r="K3539" i="21"/>
  <c r="K3538" i="21"/>
  <c r="K3537" i="21"/>
  <c r="K3536" i="21"/>
  <c r="K3535" i="21"/>
  <c r="K3534" i="21"/>
  <c r="K3533" i="21"/>
  <c r="K3532" i="21"/>
  <c r="K3531" i="21"/>
  <c r="K3530" i="21"/>
  <c r="K3529" i="21"/>
  <c r="K3528" i="21"/>
  <c r="K3527" i="21"/>
  <c r="K3526" i="21"/>
  <c r="K3525" i="21"/>
  <c r="K3524" i="21"/>
  <c r="K3523" i="21"/>
  <c r="K3522" i="21"/>
  <c r="K3521" i="21"/>
  <c r="K3520" i="21"/>
  <c r="K3519" i="21"/>
  <c r="K3518" i="21"/>
  <c r="K3517" i="21"/>
  <c r="K3516" i="21"/>
  <c r="K3515" i="21"/>
  <c r="K3514" i="21"/>
  <c r="K3513" i="21"/>
  <c r="K3512" i="21"/>
  <c r="K3511" i="21"/>
  <c r="K3510" i="21"/>
  <c r="K3509" i="21"/>
  <c r="K3508" i="21"/>
  <c r="K3507" i="21"/>
  <c r="K3506" i="21"/>
  <c r="K3505" i="21"/>
  <c r="K3504" i="21"/>
  <c r="K3503" i="21"/>
  <c r="K3502" i="21"/>
  <c r="K3501" i="21"/>
  <c r="K3500" i="21"/>
  <c r="K3499" i="21"/>
  <c r="K3498" i="21"/>
  <c r="K3497" i="21"/>
  <c r="K3496" i="21"/>
  <c r="K3495" i="21"/>
  <c r="K3494" i="21"/>
  <c r="K3493" i="21"/>
  <c r="K3492" i="21"/>
  <c r="K3491" i="21"/>
  <c r="K3490" i="21"/>
  <c r="K3489" i="21"/>
  <c r="K3488" i="21"/>
  <c r="K3487" i="21"/>
  <c r="K3486" i="21"/>
  <c r="K3485" i="21"/>
  <c r="K3484" i="21"/>
  <c r="K3483" i="21"/>
  <c r="K3482" i="21"/>
  <c r="K3481" i="21"/>
  <c r="K3480" i="21"/>
  <c r="K3479" i="21"/>
  <c r="K3478" i="21"/>
  <c r="K3477" i="21"/>
  <c r="K3476" i="21"/>
  <c r="K3475" i="21"/>
  <c r="K3474" i="21"/>
  <c r="K3473" i="21"/>
  <c r="K3472" i="21"/>
  <c r="K3471" i="21"/>
  <c r="K3470" i="21"/>
  <c r="K3469" i="21"/>
  <c r="K3468" i="21"/>
  <c r="K3467" i="21"/>
  <c r="K3466" i="21"/>
  <c r="K3465" i="21"/>
  <c r="K3464" i="21"/>
  <c r="K3463" i="21"/>
  <c r="K3462" i="21"/>
  <c r="K3461" i="21"/>
  <c r="K3460" i="21"/>
  <c r="K3459" i="21"/>
  <c r="K3458" i="21"/>
  <c r="K3457" i="21"/>
  <c r="K3456" i="21"/>
  <c r="K3455" i="21"/>
  <c r="K3454" i="21"/>
  <c r="K3453" i="21"/>
  <c r="K3452" i="21"/>
  <c r="K3451" i="21"/>
  <c r="K3450" i="21"/>
  <c r="K3449" i="21"/>
  <c r="K3448" i="21"/>
  <c r="K3447" i="21"/>
  <c r="K3446" i="21"/>
  <c r="K3445" i="21"/>
  <c r="K3444" i="21"/>
  <c r="K3443" i="21"/>
  <c r="K3442" i="21"/>
  <c r="K3441" i="21"/>
  <c r="K3440" i="21"/>
  <c r="K3439" i="21"/>
  <c r="K3438" i="21"/>
  <c r="K3437" i="21"/>
  <c r="K3436" i="21"/>
  <c r="K3435" i="21"/>
  <c r="K3434" i="21"/>
  <c r="K3433" i="21"/>
  <c r="K3432" i="21"/>
  <c r="K3431" i="21"/>
  <c r="K3430" i="21"/>
  <c r="K3429" i="21"/>
  <c r="K3428" i="21"/>
  <c r="K3427" i="21"/>
  <c r="K3426" i="21"/>
  <c r="K3425" i="21"/>
  <c r="K3424" i="21"/>
  <c r="K3423" i="21"/>
  <c r="K3422" i="21"/>
  <c r="K3421" i="21"/>
  <c r="K3420" i="21"/>
  <c r="K3419" i="21"/>
  <c r="K3418" i="21"/>
  <c r="K3417" i="21"/>
  <c r="K3416" i="21"/>
  <c r="K3415" i="21"/>
  <c r="K3414" i="21"/>
  <c r="K3413" i="21"/>
  <c r="K3412" i="21"/>
  <c r="K3411" i="21"/>
  <c r="K3410" i="21"/>
  <c r="K3409" i="21"/>
  <c r="K3408" i="21"/>
  <c r="K3407" i="21"/>
  <c r="K3406" i="21"/>
  <c r="K3405" i="21"/>
  <c r="K3404" i="21"/>
  <c r="K3403" i="21"/>
  <c r="K3402" i="21"/>
  <c r="K3401" i="21"/>
  <c r="K3400" i="21"/>
  <c r="K3399" i="21"/>
  <c r="K3398" i="21"/>
  <c r="K3397" i="21"/>
  <c r="K3396" i="21"/>
  <c r="K3395" i="21"/>
  <c r="K3394" i="21"/>
  <c r="K3393" i="21"/>
  <c r="K3392" i="21"/>
  <c r="K3391" i="21"/>
  <c r="K3390" i="21"/>
  <c r="K3389" i="21"/>
  <c r="K3388" i="21"/>
  <c r="K3387" i="21"/>
  <c r="K3386" i="21"/>
  <c r="K3385" i="21"/>
  <c r="K3384" i="21"/>
  <c r="K3383" i="21"/>
  <c r="K3382" i="21"/>
  <c r="K3381" i="21"/>
  <c r="K3380" i="21"/>
  <c r="K3379" i="21"/>
  <c r="K3378" i="21"/>
  <c r="K3377" i="21"/>
  <c r="K3376" i="21"/>
  <c r="K3375" i="21"/>
  <c r="K3374" i="21"/>
  <c r="K3373" i="21"/>
  <c r="K3372" i="21"/>
  <c r="K3371" i="21"/>
  <c r="K3370" i="21"/>
  <c r="K3369" i="21"/>
  <c r="K3368" i="21"/>
  <c r="K3367" i="21"/>
  <c r="K3366" i="21"/>
  <c r="K3365" i="21"/>
  <c r="K3364" i="21"/>
  <c r="K3363" i="21"/>
  <c r="K3362" i="21"/>
  <c r="K3361" i="21"/>
  <c r="K3360" i="21"/>
  <c r="K3359" i="21"/>
  <c r="K3358" i="21"/>
  <c r="K3357" i="21"/>
  <c r="K3356" i="21"/>
  <c r="K3355" i="21"/>
  <c r="K3354" i="21"/>
  <c r="K3353" i="21"/>
  <c r="K3352" i="21"/>
  <c r="K3351" i="21"/>
  <c r="K3350" i="21"/>
  <c r="K3349" i="21"/>
  <c r="K3348" i="21"/>
  <c r="K3347" i="21"/>
  <c r="K3346" i="21"/>
  <c r="K3345" i="21"/>
  <c r="K3344" i="21"/>
  <c r="K3343" i="21"/>
  <c r="K3342" i="21"/>
  <c r="K3341" i="21"/>
  <c r="K3340" i="21"/>
  <c r="K3339" i="21"/>
  <c r="K3338" i="21"/>
  <c r="K3337" i="21"/>
  <c r="K3336" i="21"/>
  <c r="K3335" i="21"/>
  <c r="K3334" i="21"/>
  <c r="K3333" i="21"/>
  <c r="K3332" i="21"/>
  <c r="K3331" i="21"/>
  <c r="K3330" i="21"/>
  <c r="K3329" i="21"/>
  <c r="K3328" i="21"/>
  <c r="K3327" i="21"/>
  <c r="K3326" i="21"/>
  <c r="K3325" i="21"/>
  <c r="K3324" i="21"/>
  <c r="K3323" i="21"/>
  <c r="K3322" i="21"/>
  <c r="K3321" i="21"/>
  <c r="K3320" i="21"/>
  <c r="K3319" i="21"/>
  <c r="K3318" i="21"/>
  <c r="K3317" i="21"/>
  <c r="K3316" i="21"/>
  <c r="K3315" i="21"/>
  <c r="K3314" i="21"/>
  <c r="K3313" i="21"/>
  <c r="K3312" i="21"/>
  <c r="K3311" i="21"/>
  <c r="K3310" i="21"/>
  <c r="K3309" i="21"/>
  <c r="K3308" i="21"/>
  <c r="K3307" i="21"/>
  <c r="K3306" i="21"/>
  <c r="K3305" i="21"/>
  <c r="K3304" i="21"/>
  <c r="K3303" i="21"/>
  <c r="K3302" i="21"/>
  <c r="K3301" i="21"/>
  <c r="K3300" i="21"/>
  <c r="K3299" i="21"/>
  <c r="K3298" i="21"/>
  <c r="K3297" i="21"/>
  <c r="K3296" i="21"/>
  <c r="K3295" i="21"/>
  <c r="K3294" i="21"/>
  <c r="K3293" i="21"/>
  <c r="K3292" i="21"/>
  <c r="K3291" i="21"/>
  <c r="K3290" i="21"/>
  <c r="K3289" i="21"/>
  <c r="K3288" i="21"/>
  <c r="K3287" i="21"/>
  <c r="K3286" i="21"/>
  <c r="K3285" i="21"/>
  <c r="K3284" i="21"/>
  <c r="K3283" i="21"/>
  <c r="K3282" i="21"/>
  <c r="K3281" i="21"/>
  <c r="K3280" i="21"/>
  <c r="K3279" i="21"/>
  <c r="K3278" i="21"/>
  <c r="K3277" i="21"/>
  <c r="K3276" i="21"/>
  <c r="K3275" i="21"/>
  <c r="K3274" i="21"/>
  <c r="K3273" i="21"/>
  <c r="K3272" i="21"/>
  <c r="K3271" i="21"/>
  <c r="K3270" i="21"/>
  <c r="K3269" i="21"/>
  <c r="K3268" i="21"/>
  <c r="K3267" i="21"/>
  <c r="K3266" i="21"/>
  <c r="K3265" i="21"/>
  <c r="K3264" i="21"/>
  <c r="K3263" i="21"/>
  <c r="K3262" i="21"/>
  <c r="K3261" i="21"/>
  <c r="K3260" i="21"/>
  <c r="K3259" i="21"/>
  <c r="K3258" i="21"/>
  <c r="K3257" i="21"/>
  <c r="K3256" i="21"/>
  <c r="K3255" i="21"/>
  <c r="K3254" i="21"/>
  <c r="K3253" i="21"/>
  <c r="K3252" i="21"/>
  <c r="K3251" i="21"/>
  <c r="K3250" i="21"/>
  <c r="K3249" i="21"/>
  <c r="K3248" i="21"/>
  <c r="K3247" i="21"/>
  <c r="K3246" i="21"/>
  <c r="K3245" i="21"/>
  <c r="K3244" i="21"/>
  <c r="K3243" i="21"/>
  <c r="K3242" i="21"/>
  <c r="K3241" i="21"/>
  <c r="K3240" i="21"/>
  <c r="K3239" i="21"/>
  <c r="K3238" i="21"/>
  <c r="K3237" i="21"/>
  <c r="K3236" i="21"/>
  <c r="K3235" i="21"/>
  <c r="K3234" i="21"/>
  <c r="K3233" i="21"/>
  <c r="K3232" i="21"/>
  <c r="K3231" i="21"/>
  <c r="K3230" i="21"/>
  <c r="K3229" i="21"/>
  <c r="K3228" i="21"/>
  <c r="K3227" i="21"/>
  <c r="K3226" i="21"/>
  <c r="K3225" i="21"/>
  <c r="K3224" i="21"/>
  <c r="K3223" i="21"/>
  <c r="K3222" i="21"/>
  <c r="K3221" i="21"/>
  <c r="K3220" i="21"/>
  <c r="K3219" i="21"/>
  <c r="K3218" i="21"/>
  <c r="K3217" i="21"/>
  <c r="K3216" i="21"/>
  <c r="K3215" i="21"/>
  <c r="K3214" i="21"/>
  <c r="K3213" i="21"/>
  <c r="K3212" i="21"/>
  <c r="K3211" i="21"/>
  <c r="K3210" i="21"/>
  <c r="K3209" i="21"/>
  <c r="K3208" i="21"/>
  <c r="K3207" i="21"/>
  <c r="K3206" i="21"/>
  <c r="K3205" i="21"/>
  <c r="K3204" i="21"/>
  <c r="K3203" i="21"/>
  <c r="K3202" i="21"/>
  <c r="K3201" i="21"/>
  <c r="K3200" i="21"/>
  <c r="K3199" i="21"/>
  <c r="K3198" i="21"/>
  <c r="K3197" i="21"/>
  <c r="K3196" i="21"/>
  <c r="K3195" i="21"/>
  <c r="K3194" i="21"/>
  <c r="K3193" i="21"/>
  <c r="K3192" i="21"/>
  <c r="K3191" i="21"/>
  <c r="K3190" i="21"/>
  <c r="K3189" i="21"/>
  <c r="K3188" i="21"/>
  <c r="K3187" i="21"/>
  <c r="K3186" i="21"/>
  <c r="K3185" i="21"/>
  <c r="K3184" i="21"/>
  <c r="K3183" i="21"/>
  <c r="K3182" i="21"/>
  <c r="K3181" i="21"/>
  <c r="K3180" i="21"/>
  <c r="K3179" i="21"/>
  <c r="K3178" i="21"/>
  <c r="K3177" i="21"/>
  <c r="K3176" i="21"/>
  <c r="K3175" i="21"/>
  <c r="K3174" i="21"/>
  <c r="K3173" i="21"/>
  <c r="K3172" i="21"/>
  <c r="K3171" i="21"/>
  <c r="K3170" i="21"/>
  <c r="K3169" i="21"/>
  <c r="K3168" i="21"/>
  <c r="K3167" i="21"/>
  <c r="K3166" i="21"/>
  <c r="K3165" i="21"/>
  <c r="K3164" i="21"/>
  <c r="K3163" i="21"/>
  <c r="K3162" i="21"/>
  <c r="K3161" i="21"/>
  <c r="K3160" i="21"/>
  <c r="K3159" i="21"/>
  <c r="K3158" i="21"/>
  <c r="K3157" i="21"/>
  <c r="K3156" i="21"/>
  <c r="K3155" i="21"/>
  <c r="K3154" i="21"/>
  <c r="K3153" i="21"/>
  <c r="K3152" i="21"/>
  <c r="K3151" i="21"/>
  <c r="K3150" i="21"/>
  <c r="K3149" i="21"/>
  <c r="K3148" i="21"/>
  <c r="K3147" i="21"/>
  <c r="K3146" i="21"/>
  <c r="K3145" i="21"/>
  <c r="K3144" i="21"/>
  <c r="K3143" i="21"/>
  <c r="K3142" i="21"/>
  <c r="K3141" i="21"/>
  <c r="K3140" i="21"/>
  <c r="K3139" i="21"/>
  <c r="K3138" i="21"/>
  <c r="K3137" i="21"/>
  <c r="K3136" i="21"/>
  <c r="K3135" i="21"/>
  <c r="K3134" i="21"/>
  <c r="K3133" i="21"/>
  <c r="K3132" i="21"/>
  <c r="K3131" i="21"/>
  <c r="K3130" i="21"/>
  <c r="K3129" i="21"/>
  <c r="K3128" i="21"/>
  <c r="K3127" i="21"/>
  <c r="K3126" i="21"/>
  <c r="K3125" i="21"/>
  <c r="K3124" i="21"/>
  <c r="K3123" i="21"/>
  <c r="K3122" i="21"/>
  <c r="K3121" i="21"/>
  <c r="K3120" i="21"/>
  <c r="K3119" i="21"/>
  <c r="K3118" i="21"/>
  <c r="K3117" i="21"/>
  <c r="K3116" i="21"/>
  <c r="K3115" i="21"/>
  <c r="K3114" i="21"/>
  <c r="K3113" i="21"/>
  <c r="K3112" i="21"/>
  <c r="K3111" i="21"/>
  <c r="K3110" i="21"/>
  <c r="K3109" i="21"/>
  <c r="K3108" i="21"/>
  <c r="K3107" i="21"/>
  <c r="K3106" i="21"/>
  <c r="K3105" i="21"/>
  <c r="K3104" i="21"/>
  <c r="K3103" i="21"/>
  <c r="K3102" i="21"/>
  <c r="K3101" i="21"/>
  <c r="K3100" i="21"/>
  <c r="K3099" i="21"/>
  <c r="K3098" i="21"/>
  <c r="K3097" i="21"/>
  <c r="K3096" i="21"/>
  <c r="K3095" i="21"/>
  <c r="K3094" i="21"/>
  <c r="K3093" i="21"/>
  <c r="K3092" i="21"/>
  <c r="K3091" i="21"/>
  <c r="K3090" i="21"/>
  <c r="K3089" i="21"/>
  <c r="K3088" i="21"/>
  <c r="K3087" i="21"/>
  <c r="K3086" i="21"/>
  <c r="K3085" i="21"/>
  <c r="K3084" i="21"/>
  <c r="K3083" i="21"/>
  <c r="K3082" i="21"/>
  <c r="K3081" i="21"/>
  <c r="K3080" i="21"/>
  <c r="K3079" i="21"/>
  <c r="K3078" i="21"/>
  <c r="K3077" i="21"/>
  <c r="K3076" i="21"/>
  <c r="K3075" i="21"/>
  <c r="K3074" i="21"/>
  <c r="K3073" i="21"/>
  <c r="K3072" i="21"/>
  <c r="K3071" i="21"/>
  <c r="K3070" i="21"/>
  <c r="K3069" i="21"/>
  <c r="K3068" i="21"/>
  <c r="K3067" i="21"/>
  <c r="K3066" i="21"/>
  <c r="K3065" i="21"/>
  <c r="K3064" i="21"/>
  <c r="K3063" i="21"/>
  <c r="K3062" i="21"/>
  <c r="K3061" i="21"/>
  <c r="K3060" i="21"/>
  <c r="K3059" i="21"/>
  <c r="K3058" i="21"/>
  <c r="K3057" i="21"/>
  <c r="K3056" i="21"/>
  <c r="K3055" i="21"/>
  <c r="K3054" i="21"/>
  <c r="K3053" i="21"/>
  <c r="K3052" i="21"/>
  <c r="K3051" i="21"/>
  <c r="K3050" i="21"/>
  <c r="K3049" i="21"/>
  <c r="K3048" i="21"/>
  <c r="K3047" i="21"/>
  <c r="K3046" i="21"/>
  <c r="K3045" i="21"/>
  <c r="K3044" i="21"/>
  <c r="K3043" i="21"/>
  <c r="K3042" i="21"/>
  <c r="K3041" i="21"/>
  <c r="K3040" i="21"/>
  <c r="K3039" i="21"/>
  <c r="K3038" i="21"/>
  <c r="K3037" i="21"/>
  <c r="K3036" i="21"/>
  <c r="K3035" i="21"/>
  <c r="K3034" i="21"/>
  <c r="K3033" i="21"/>
  <c r="K3032" i="21"/>
  <c r="K3031" i="21"/>
  <c r="K3030" i="21"/>
  <c r="K3029" i="21"/>
  <c r="K3028" i="21"/>
  <c r="K3027" i="21"/>
  <c r="K3026" i="21"/>
  <c r="K3025" i="21"/>
  <c r="K3024" i="21"/>
  <c r="K3023" i="21"/>
  <c r="K3022" i="21"/>
  <c r="K3021" i="21"/>
  <c r="K3020" i="21"/>
  <c r="K3019" i="21"/>
  <c r="K3018" i="21"/>
  <c r="K3017" i="21"/>
  <c r="K3016" i="21"/>
  <c r="K3015" i="21"/>
  <c r="K3014" i="21"/>
  <c r="K3013" i="21"/>
  <c r="K3012" i="21"/>
  <c r="K3011" i="21"/>
  <c r="K3010" i="21"/>
  <c r="K3009" i="21"/>
  <c r="K3008" i="21"/>
  <c r="K3007" i="21"/>
  <c r="K3006" i="21"/>
  <c r="K3005" i="21"/>
  <c r="K3004" i="21"/>
  <c r="K3003" i="21"/>
  <c r="K3002" i="21"/>
  <c r="K3001" i="21"/>
  <c r="K3000" i="21"/>
  <c r="K2999" i="21"/>
  <c r="K2998" i="21"/>
  <c r="K2997" i="21"/>
  <c r="K2996" i="21"/>
  <c r="K2995" i="21"/>
  <c r="K2994" i="21"/>
  <c r="K2993" i="21"/>
  <c r="K2992" i="21"/>
  <c r="K2991" i="21"/>
  <c r="K2990" i="21"/>
  <c r="K2989" i="21"/>
  <c r="K2988" i="21"/>
  <c r="K2987" i="21"/>
  <c r="K2986" i="21"/>
  <c r="K2985" i="21"/>
  <c r="K2984" i="21"/>
  <c r="K2983" i="21"/>
  <c r="K2982" i="21"/>
  <c r="K2981" i="21"/>
  <c r="K2980" i="21"/>
  <c r="K2979" i="21"/>
  <c r="K2978" i="21"/>
  <c r="K2977" i="21"/>
  <c r="K2976" i="21"/>
  <c r="K2975" i="21"/>
  <c r="K2974" i="21"/>
  <c r="K2973" i="21"/>
  <c r="K2972" i="21"/>
  <c r="K2971" i="21"/>
  <c r="K2970" i="21"/>
  <c r="K2969" i="21"/>
  <c r="K2968" i="21"/>
  <c r="K2967" i="21"/>
  <c r="K2966" i="21"/>
  <c r="K2965" i="21"/>
  <c r="K2964" i="21"/>
  <c r="K2963" i="21"/>
  <c r="K2962" i="21"/>
  <c r="K2961" i="21"/>
  <c r="K2960" i="21"/>
  <c r="K2959" i="21"/>
  <c r="K2958" i="21"/>
  <c r="K2957" i="21"/>
  <c r="K2956" i="21"/>
  <c r="K2955" i="21"/>
  <c r="K2954" i="21"/>
  <c r="K2953" i="21"/>
  <c r="K2952" i="21"/>
  <c r="K2951" i="21"/>
  <c r="K2950" i="21"/>
  <c r="K2949" i="21"/>
  <c r="K2948" i="21"/>
  <c r="K2947" i="21"/>
  <c r="K2946" i="21"/>
  <c r="K2945" i="21"/>
  <c r="K2944" i="21"/>
  <c r="K2943" i="21"/>
  <c r="K2942" i="21"/>
  <c r="K2941" i="21"/>
  <c r="K2940" i="21"/>
  <c r="K2939" i="21"/>
  <c r="K2938" i="21"/>
  <c r="K2937" i="21"/>
  <c r="K2936" i="21"/>
  <c r="K2935" i="21"/>
  <c r="K2934" i="21"/>
  <c r="K2933" i="21"/>
  <c r="K2932" i="21"/>
  <c r="K2931" i="21"/>
  <c r="K2930" i="21"/>
  <c r="K2929" i="21"/>
  <c r="K2928" i="21"/>
  <c r="K2927" i="21"/>
  <c r="K2926" i="21"/>
  <c r="K2925" i="21"/>
  <c r="K2924" i="21"/>
  <c r="K2923" i="21"/>
  <c r="K2922" i="21"/>
  <c r="K2921" i="21"/>
  <c r="K2920" i="21"/>
  <c r="K2919" i="21"/>
  <c r="K2918" i="21"/>
  <c r="K2917" i="21"/>
  <c r="K2916" i="21"/>
  <c r="K2915" i="21"/>
  <c r="K2914" i="21"/>
  <c r="K2913" i="21"/>
  <c r="K2912" i="21"/>
  <c r="K2911" i="21"/>
  <c r="K2910" i="21"/>
  <c r="K2909" i="21"/>
  <c r="K2908" i="21"/>
  <c r="K2907" i="21"/>
  <c r="K2906" i="21"/>
  <c r="K2905" i="21"/>
  <c r="K2904" i="21"/>
  <c r="K2903" i="21"/>
  <c r="K2902" i="21"/>
  <c r="K2901" i="21"/>
  <c r="K2900" i="21"/>
  <c r="K2899" i="21"/>
  <c r="K2898" i="21"/>
  <c r="K2897" i="21"/>
  <c r="K2896" i="21"/>
  <c r="K2895" i="21"/>
  <c r="K2894" i="21"/>
  <c r="K2893" i="21"/>
  <c r="K2892" i="21"/>
  <c r="K2891" i="21"/>
  <c r="K2890" i="21"/>
  <c r="K2889" i="21"/>
  <c r="K2888" i="21"/>
  <c r="K2887" i="21"/>
  <c r="K2886" i="21"/>
  <c r="K2885" i="21"/>
  <c r="K2884" i="21"/>
  <c r="K2883" i="21"/>
  <c r="K2882" i="21"/>
  <c r="K2881" i="21"/>
  <c r="K2880" i="21"/>
  <c r="K2879" i="21"/>
  <c r="K2878" i="21"/>
  <c r="K2877" i="21"/>
  <c r="K2876" i="21"/>
  <c r="K2875" i="21"/>
  <c r="K2874" i="21"/>
  <c r="K2873" i="21"/>
  <c r="K2872" i="21"/>
  <c r="K2871" i="21"/>
  <c r="K2870" i="21"/>
  <c r="K2869" i="21"/>
  <c r="K2868" i="21"/>
  <c r="K2867" i="21"/>
  <c r="K2866" i="21"/>
  <c r="K2865" i="21"/>
  <c r="K2864" i="21"/>
  <c r="K2863" i="21"/>
  <c r="K2862" i="21"/>
  <c r="K2861" i="21"/>
  <c r="K2860" i="21"/>
  <c r="K2859" i="21"/>
  <c r="K2858" i="21"/>
  <c r="K2857" i="21"/>
  <c r="K2856" i="21"/>
  <c r="K2855" i="21"/>
  <c r="K2854" i="21"/>
  <c r="K2853" i="21"/>
  <c r="K2852" i="21"/>
  <c r="K2851" i="21"/>
  <c r="K2850" i="21"/>
  <c r="K2849" i="21"/>
  <c r="K2848" i="21"/>
  <c r="K2847" i="21"/>
  <c r="K2846" i="21"/>
  <c r="K2845" i="21"/>
  <c r="K2844" i="21"/>
  <c r="K2843" i="21"/>
  <c r="K2842" i="21"/>
  <c r="K2841" i="21"/>
  <c r="K2840" i="21"/>
  <c r="K2839" i="21"/>
  <c r="K2838" i="21"/>
  <c r="K2837" i="21"/>
  <c r="K2836" i="21"/>
  <c r="K2835" i="21"/>
  <c r="K2834" i="21"/>
  <c r="K2833" i="21"/>
  <c r="K2832" i="21"/>
  <c r="K2831" i="21"/>
  <c r="K2830" i="21"/>
  <c r="K2829" i="21"/>
  <c r="K2828" i="21"/>
  <c r="K2827" i="21"/>
  <c r="K2826" i="21"/>
  <c r="K2825" i="21"/>
  <c r="K2824" i="21"/>
  <c r="K2823" i="21"/>
  <c r="K2822" i="21"/>
  <c r="K2821" i="21"/>
  <c r="K2820" i="21"/>
  <c r="K2819" i="21"/>
  <c r="K2818" i="21"/>
  <c r="K2817" i="21"/>
  <c r="K2816" i="21"/>
  <c r="K2815" i="21"/>
  <c r="K2814" i="21"/>
  <c r="K2813" i="21"/>
  <c r="K2812" i="21"/>
  <c r="K2811" i="21"/>
  <c r="K2810" i="21"/>
  <c r="K2809" i="21"/>
  <c r="K2808" i="21"/>
  <c r="K2807" i="21"/>
  <c r="K2806" i="21"/>
  <c r="K2805" i="21"/>
  <c r="K2804" i="21"/>
  <c r="K2803" i="21"/>
  <c r="K2802" i="21"/>
  <c r="K2801" i="21"/>
  <c r="K2800" i="21"/>
  <c r="K2799" i="21"/>
  <c r="K2798" i="21"/>
  <c r="K2797" i="21"/>
  <c r="K2796" i="21"/>
  <c r="K2795" i="21"/>
  <c r="K2794" i="21"/>
  <c r="K2793" i="21"/>
  <c r="K2792" i="21"/>
  <c r="K2791" i="21"/>
  <c r="K2790" i="21"/>
  <c r="K2789" i="21"/>
  <c r="K2788" i="21"/>
  <c r="K2787" i="21"/>
  <c r="K2786" i="21"/>
  <c r="K2785" i="21"/>
  <c r="K2784" i="21"/>
  <c r="K2783" i="21"/>
  <c r="K2782" i="21"/>
  <c r="K2781" i="21"/>
  <c r="K2780" i="21"/>
  <c r="K2779" i="21"/>
  <c r="K2778" i="21"/>
  <c r="K2777" i="21"/>
  <c r="K2776" i="21"/>
  <c r="K2775" i="21"/>
  <c r="K2774" i="21"/>
  <c r="K2773" i="21"/>
  <c r="K2772" i="21"/>
  <c r="K2771" i="21"/>
  <c r="K2770" i="21"/>
  <c r="K2769" i="21"/>
  <c r="K2768" i="21"/>
  <c r="K2767" i="21"/>
  <c r="K2766" i="21"/>
  <c r="K2765" i="21"/>
  <c r="K2764" i="21"/>
  <c r="K2763" i="21"/>
  <c r="K2762" i="21"/>
  <c r="K2761" i="21"/>
  <c r="K2760" i="21"/>
  <c r="K2759" i="21"/>
  <c r="K2758" i="21"/>
  <c r="K2757" i="21"/>
  <c r="K2756" i="21"/>
  <c r="K2755" i="21"/>
  <c r="K2754" i="21"/>
  <c r="K2753" i="21"/>
  <c r="K2752" i="21"/>
  <c r="K2751" i="21"/>
  <c r="K2750" i="21"/>
  <c r="K2749" i="21"/>
  <c r="K2748" i="21"/>
  <c r="K2747" i="21"/>
  <c r="K2746" i="21"/>
  <c r="K2745" i="21"/>
  <c r="K2744" i="21"/>
  <c r="K2743" i="21"/>
  <c r="K2742" i="21"/>
  <c r="K2741" i="21"/>
  <c r="K2740" i="21"/>
  <c r="K2739" i="21"/>
  <c r="K2738" i="21"/>
  <c r="K2737" i="21"/>
  <c r="K2736" i="21"/>
  <c r="K2735" i="21"/>
  <c r="K2734" i="21"/>
  <c r="K2733" i="21"/>
  <c r="K2732" i="21"/>
  <c r="K2731" i="21"/>
  <c r="K2730" i="21"/>
  <c r="K2729" i="21"/>
  <c r="K2728" i="21"/>
  <c r="K2727" i="21"/>
  <c r="K2726" i="21"/>
  <c r="K2725" i="21"/>
  <c r="K2724" i="21"/>
  <c r="K2723" i="21"/>
  <c r="K2722" i="21"/>
  <c r="K2721" i="21"/>
  <c r="K2720" i="21"/>
  <c r="K2719" i="21"/>
  <c r="K2718" i="21"/>
  <c r="K2717" i="21"/>
  <c r="K2716" i="21"/>
  <c r="K2715" i="21"/>
  <c r="K2714" i="21"/>
  <c r="K2713" i="21"/>
  <c r="K2712" i="21"/>
  <c r="K2711" i="21"/>
  <c r="K2710" i="21"/>
  <c r="K2709" i="21"/>
  <c r="K2708" i="21"/>
  <c r="K2707" i="21"/>
  <c r="K2706" i="21"/>
  <c r="K2705" i="21"/>
  <c r="K2704" i="21"/>
  <c r="K2703" i="21"/>
  <c r="K2702" i="21"/>
  <c r="K2701" i="21"/>
  <c r="K2700" i="21"/>
  <c r="K2699" i="21"/>
  <c r="K2698" i="21"/>
  <c r="K2697" i="21"/>
  <c r="K2696" i="21"/>
  <c r="K2695" i="21"/>
  <c r="K2694" i="21"/>
  <c r="K2693" i="21"/>
  <c r="K2692" i="21"/>
  <c r="K2691" i="21"/>
  <c r="K2690" i="21"/>
  <c r="K2689" i="21"/>
  <c r="K2688" i="21"/>
  <c r="K2687" i="21"/>
  <c r="K2686" i="21"/>
  <c r="K2685" i="21"/>
  <c r="K2684" i="21"/>
  <c r="K2683" i="21"/>
  <c r="K2682" i="21"/>
  <c r="K2681" i="21"/>
  <c r="K2680" i="21"/>
  <c r="K2679" i="21"/>
  <c r="K2678" i="21"/>
  <c r="K2677" i="21"/>
  <c r="K2676" i="21"/>
  <c r="K2675" i="21"/>
  <c r="K2674" i="21"/>
  <c r="K2673" i="21"/>
  <c r="K2672" i="21"/>
  <c r="K2671" i="21"/>
  <c r="K2670" i="21"/>
  <c r="K2669" i="21"/>
  <c r="K2668" i="21"/>
  <c r="K2667" i="21"/>
  <c r="K2666" i="21"/>
  <c r="K2665" i="21"/>
  <c r="K2664" i="21"/>
  <c r="K2663" i="21"/>
  <c r="K2662" i="21"/>
  <c r="K2661" i="21"/>
  <c r="K2660" i="21"/>
  <c r="K2659" i="21"/>
  <c r="K2658" i="21"/>
  <c r="K2657" i="21"/>
  <c r="K2656" i="21"/>
  <c r="K2655" i="21"/>
  <c r="K2654" i="21"/>
  <c r="K2653" i="21"/>
  <c r="K2652" i="21"/>
  <c r="K2651" i="21"/>
  <c r="K2650" i="21"/>
  <c r="K2649" i="21"/>
  <c r="K2648" i="21"/>
  <c r="K2647" i="21"/>
  <c r="K2646" i="21"/>
  <c r="K2645" i="21"/>
  <c r="K2644" i="21"/>
  <c r="K2643" i="21"/>
  <c r="K2642" i="21"/>
  <c r="K2641" i="21"/>
  <c r="K2640" i="21"/>
  <c r="K2639" i="21"/>
  <c r="K2638" i="21"/>
  <c r="K2637" i="21"/>
  <c r="K2636" i="21"/>
  <c r="K2635" i="21"/>
  <c r="K2634" i="21"/>
  <c r="K2633" i="21"/>
  <c r="K2632" i="21"/>
  <c r="K2631" i="21"/>
  <c r="K2630" i="21"/>
  <c r="K2629" i="21"/>
  <c r="K2628" i="21"/>
  <c r="K2627" i="21"/>
  <c r="K2626" i="21"/>
  <c r="K2625" i="21"/>
  <c r="K2624" i="21"/>
  <c r="K2623" i="21"/>
  <c r="K2622" i="21"/>
  <c r="K2621" i="21"/>
  <c r="K2620" i="21"/>
  <c r="K2619" i="21"/>
  <c r="K2618" i="21"/>
  <c r="K2617" i="21"/>
  <c r="K2616" i="21"/>
  <c r="K2615" i="21"/>
  <c r="K2614" i="21"/>
  <c r="K2613" i="21"/>
  <c r="K2612" i="21"/>
  <c r="K2611" i="21"/>
  <c r="K2610" i="21"/>
  <c r="K2609" i="21"/>
  <c r="K2608" i="21"/>
  <c r="K2607" i="21"/>
  <c r="K2606" i="21"/>
  <c r="K2605" i="21"/>
  <c r="K2604" i="21"/>
  <c r="K2603" i="21"/>
  <c r="K2602" i="21"/>
  <c r="K2601" i="21"/>
  <c r="K2600" i="21"/>
  <c r="K2599" i="21"/>
  <c r="K2598" i="21"/>
  <c r="K2597" i="21"/>
  <c r="K2596" i="21"/>
  <c r="K2595" i="21"/>
  <c r="K2594" i="21"/>
  <c r="K2593" i="21"/>
  <c r="K2592" i="21"/>
  <c r="K2591" i="21"/>
  <c r="K2590" i="21"/>
  <c r="K2589" i="21"/>
  <c r="K2588" i="21"/>
  <c r="K2587" i="21"/>
  <c r="K2586" i="21"/>
  <c r="K2585" i="21"/>
  <c r="K2584" i="21"/>
  <c r="K2583" i="21"/>
  <c r="K2582" i="21"/>
  <c r="K2581" i="21"/>
  <c r="K2580" i="21"/>
  <c r="K2579" i="21"/>
  <c r="K2578" i="21"/>
  <c r="K2577" i="21"/>
  <c r="K2576" i="21"/>
  <c r="K2575" i="21"/>
  <c r="K2574" i="21"/>
  <c r="K2573" i="21"/>
  <c r="K2572" i="21"/>
  <c r="K2571" i="21"/>
  <c r="K2570" i="21"/>
  <c r="K2569" i="21"/>
  <c r="K2568" i="21"/>
  <c r="K2567" i="21"/>
  <c r="K2566" i="21"/>
  <c r="K2565" i="21"/>
  <c r="K2564" i="21"/>
  <c r="K2563" i="21"/>
  <c r="K2562" i="21"/>
  <c r="K2561" i="21"/>
  <c r="K2560" i="21"/>
  <c r="K2559" i="21"/>
  <c r="K2558" i="21"/>
  <c r="K2557" i="21"/>
  <c r="K2556" i="21"/>
  <c r="K2555" i="21"/>
  <c r="K2554" i="21"/>
  <c r="K2553" i="21"/>
  <c r="K2552" i="21"/>
  <c r="K2551" i="21"/>
  <c r="K2550" i="21"/>
  <c r="K2549" i="21"/>
  <c r="K2548" i="21"/>
  <c r="K2547" i="21"/>
  <c r="K2546" i="21"/>
  <c r="K2545" i="21"/>
  <c r="K2544" i="21"/>
  <c r="K2543" i="21"/>
  <c r="K2542" i="21"/>
  <c r="K2541" i="21"/>
  <c r="K2540" i="21"/>
  <c r="K2539" i="21"/>
  <c r="K2538" i="21"/>
  <c r="K2537" i="21"/>
  <c r="K2536" i="21"/>
  <c r="K2535" i="21"/>
  <c r="K2534" i="21"/>
  <c r="K2533" i="21"/>
  <c r="K2532" i="21"/>
  <c r="K2531" i="21"/>
  <c r="K2530" i="21"/>
  <c r="K2529" i="21"/>
  <c r="K2528" i="21"/>
  <c r="K2527" i="21"/>
  <c r="K2526" i="21"/>
  <c r="K2525" i="21"/>
  <c r="K2524" i="21"/>
  <c r="K2523" i="21"/>
  <c r="K2522" i="21"/>
  <c r="K2521" i="21"/>
  <c r="K2520" i="21"/>
  <c r="K2519" i="21"/>
  <c r="K2518" i="21"/>
  <c r="K2517" i="21"/>
  <c r="K2516" i="21"/>
  <c r="K2515" i="21"/>
  <c r="K2514" i="21"/>
  <c r="K2513" i="21"/>
  <c r="K2512" i="21"/>
  <c r="K2511" i="21"/>
  <c r="K2510" i="21"/>
  <c r="K2509" i="21"/>
  <c r="K2508" i="21"/>
  <c r="K2507" i="21"/>
  <c r="K2506" i="21"/>
  <c r="K2505" i="21"/>
  <c r="K2504" i="21"/>
  <c r="K2503" i="21"/>
  <c r="K2502" i="21"/>
  <c r="K2501" i="21"/>
  <c r="K2500" i="21"/>
  <c r="K2499" i="21"/>
  <c r="K2498" i="21"/>
  <c r="K2497" i="21"/>
  <c r="K2496" i="21"/>
  <c r="K2495" i="21"/>
  <c r="K2494" i="21"/>
  <c r="K2493" i="21"/>
  <c r="K2492" i="21"/>
  <c r="K2491" i="21"/>
  <c r="K2490" i="21"/>
  <c r="K2489" i="21"/>
  <c r="K2488" i="21"/>
  <c r="K2487" i="21"/>
  <c r="K2486" i="21"/>
  <c r="K2485" i="21"/>
  <c r="K2484" i="21"/>
  <c r="K2483" i="21"/>
  <c r="K2482" i="21"/>
  <c r="K2481" i="21"/>
  <c r="K2480" i="21"/>
  <c r="K2479" i="21"/>
  <c r="K2478" i="21"/>
  <c r="K2477" i="21"/>
  <c r="K2476" i="21"/>
  <c r="K2475" i="21"/>
  <c r="K2474" i="21"/>
  <c r="K2473" i="21"/>
  <c r="K2472" i="21"/>
  <c r="K2471" i="21"/>
  <c r="K2470" i="21"/>
  <c r="K2469" i="21"/>
  <c r="K2468" i="21"/>
  <c r="K2467" i="21"/>
  <c r="K2466" i="21"/>
  <c r="K2465" i="21"/>
  <c r="K2464" i="21"/>
  <c r="K2463" i="21"/>
  <c r="K2462" i="21"/>
  <c r="K2461" i="21"/>
  <c r="K2460" i="21"/>
  <c r="K2459" i="21"/>
  <c r="K2458" i="21"/>
  <c r="K2457" i="21"/>
  <c r="K2456" i="21"/>
  <c r="K2455" i="21"/>
  <c r="K2454" i="21"/>
  <c r="K2453" i="21"/>
  <c r="K2452" i="21"/>
  <c r="K2451" i="21"/>
  <c r="K2450" i="21"/>
  <c r="K2449" i="21"/>
  <c r="K2448" i="21"/>
  <c r="K2447" i="21"/>
  <c r="K2446" i="21"/>
  <c r="K2445" i="21"/>
  <c r="K2444" i="21"/>
  <c r="K2443" i="21"/>
  <c r="K2442" i="21"/>
  <c r="K2441" i="21"/>
  <c r="K2440" i="21"/>
  <c r="K2439" i="21"/>
  <c r="K2438" i="21"/>
  <c r="K2437" i="21"/>
  <c r="K2436" i="21"/>
  <c r="K2435" i="21"/>
  <c r="K2434" i="21"/>
  <c r="K2433" i="21"/>
  <c r="K2432" i="21"/>
  <c r="K2431" i="21"/>
  <c r="K2430" i="21"/>
  <c r="K2429" i="21"/>
  <c r="K2428" i="21"/>
  <c r="K2427" i="21"/>
  <c r="K2426" i="21"/>
  <c r="K2425" i="21"/>
  <c r="K2424" i="21"/>
  <c r="K2423" i="21"/>
  <c r="K2422" i="21"/>
  <c r="K2421" i="21"/>
  <c r="K2420" i="21"/>
  <c r="K2419" i="21"/>
  <c r="K2418" i="21"/>
  <c r="K2417" i="21"/>
  <c r="K2416" i="21"/>
  <c r="K2415" i="21"/>
  <c r="K2414" i="21"/>
  <c r="K2413" i="21"/>
  <c r="K2412" i="21"/>
  <c r="K2411" i="21"/>
  <c r="K2410" i="21"/>
  <c r="K2409" i="21"/>
  <c r="K2408" i="21"/>
  <c r="K2407" i="21"/>
  <c r="K2406" i="21"/>
  <c r="K2405" i="21"/>
  <c r="K2404" i="21"/>
  <c r="K2403" i="21"/>
  <c r="K2402" i="21"/>
  <c r="K2401" i="21"/>
  <c r="K2400" i="21"/>
  <c r="K2399" i="21"/>
  <c r="K2398" i="21"/>
  <c r="K2397" i="21"/>
  <c r="K2396" i="21"/>
  <c r="K2395" i="21"/>
  <c r="K2394" i="21"/>
  <c r="K2393" i="21"/>
  <c r="K2392" i="21"/>
  <c r="K2391" i="21"/>
  <c r="K2390" i="21"/>
  <c r="K2389" i="21"/>
  <c r="K2388" i="21"/>
  <c r="K2387" i="21"/>
  <c r="K2386" i="21"/>
  <c r="K2385" i="21"/>
  <c r="K2384" i="21"/>
  <c r="K2383" i="21"/>
  <c r="K2382" i="21"/>
  <c r="K2381" i="21"/>
  <c r="K2380" i="21"/>
  <c r="K2379" i="21"/>
  <c r="K2378" i="21"/>
  <c r="K2377" i="21"/>
  <c r="K2376" i="21"/>
  <c r="K2375" i="21"/>
  <c r="K2374" i="21"/>
  <c r="K2373" i="21"/>
  <c r="K2372" i="21"/>
  <c r="K2371" i="21"/>
  <c r="K2370" i="21"/>
  <c r="K2369" i="21"/>
  <c r="K2368" i="21"/>
  <c r="K2367" i="21"/>
  <c r="K2366" i="21"/>
  <c r="K2365" i="21"/>
  <c r="K2364" i="21"/>
  <c r="K2363" i="21"/>
  <c r="K2362" i="21"/>
  <c r="K2361" i="21"/>
  <c r="K2360" i="21"/>
  <c r="K2359" i="21"/>
  <c r="K2358" i="21"/>
  <c r="K2357" i="21"/>
  <c r="K2356" i="21"/>
  <c r="K2355" i="21"/>
  <c r="K2354" i="21"/>
  <c r="K2353" i="21"/>
  <c r="K2352" i="21"/>
  <c r="K2351" i="21"/>
  <c r="K2350" i="21"/>
  <c r="K2349" i="21"/>
  <c r="K2348" i="21"/>
  <c r="K2347" i="21"/>
  <c r="K2346" i="21"/>
  <c r="K2345" i="21"/>
  <c r="K2344" i="21"/>
  <c r="K2343" i="21"/>
  <c r="K2342" i="21"/>
  <c r="K2341" i="21"/>
  <c r="K2340" i="21"/>
  <c r="K2339" i="21"/>
  <c r="K2338" i="21"/>
  <c r="K2337" i="21"/>
  <c r="K2336" i="21"/>
  <c r="K2335" i="21"/>
  <c r="K2334" i="21"/>
  <c r="K2333" i="21"/>
  <c r="K2332" i="21"/>
  <c r="K2331" i="21"/>
  <c r="K2330" i="21"/>
  <c r="K2329" i="21"/>
  <c r="K2328" i="21"/>
  <c r="K2327" i="21"/>
  <c r="K2326" i="21"/>
  <c r="K2325" i="21"/>
  <c r="K2324" i="21"/>
  <c r="K2323" i="21"/>
  <c r="K2322" i="21"/>
  <c r="K2321" i="21"/>
  <c r="K2320" i="21"/>
  <c r="K2319" i="21"/>
  <c r="K2318" i="21"/>
  <c r="K2317" i="21"/>
  <c r="K2316" i="21"/>
  <c r="K2315" i="21"/>
  <c r="K2314" i="21"/>
  <c r="K2313" i="21"/>
  <c r="K2312" i="21"/>
  <c r="K2311" i="21"/>
  <c r="K2310" i="21"/>
  <c r="K2309" i="21"/>
  <c r="K2308" i="21"/>
  <c r="K2307" i="21"/>
  <c r="K2306" i="21"/>
  <c r="K2305" i="21"/>
  <c r="K2304" i="21"/>
  <c r="K2303" i="21"/>
  <c r="K2302" i="21"/>
  <c r="K2301" i="21"/>
  <c r="K2300" i="21"/>
  <c r="K2299" i="21"/>
  <c r="K2298" i="21"/>
  <c r="K2297" i="21"/>
  <c r="K2296" i="21"/>
  <c r="K2295" i="21"/>
  <c r="K2294" i="21"/>
  <c r="K2293" i="21"/>
  <c r="K2292" i="21"/>
  <c r="K2291" i="21"/>
  <c r="K2290" i="21"/>
  <c r="K2289" i="21"/>
  <c r="K2288" i="21"/>
  <c r="K2287" i="21"/>
  <c r="K2286" i="21"/>
  <c r="K2285" i="21"/>
  <c r="K2284" i="21"/>
  <c r="K2283" i="21"/>
  <c r="K2282" i="21"/>
  <c r="K2281" i="21"/>
  <c r="K2280" i="21"/>
  <c r="K2279" i="21"/>
  <c r="K2278" i="21"/>
  <c r="K2277" i="21"/>
  <c r="K2276" i="21"/>
  <c r="K2275" i="21"/>
  <c r="K2274" i="21"/>
  <c r="K2273" i="21"/>
  <c r="K2272" i="21"/>
  <c r="K2271" i="21"/>
  <c r="K2270" i="21"/>
  <c r="K2269" i="21"/>
  <c r="K2268" i="21"/>
  <c r="K2267" i="21"/>
  <c r="K2266" i="21"/>
  <c r="K2265" i="21"/>
  <c r="K2264" i="21"/>
  <c r="K2263" i="21"/>
  <c r="K2262" i="21"/>
  <c r="K2261" i="21"/>
  <c r="K2260" i="21"/>
  <c r="K2259" i="21"/>
  <c r="K2258" i="21"/>
  <c r="K2257" i="21"/>
  <c r="K2256" i="21"/>
  <c r="K2255" i="21"/>
  <c r="K2254" i="21"/>
  <c r="K2253" i="21"/>
  <c r="K2252" i="21"/>
  <c r="K2251" i="21"/>
  <c r="K2250" i="21"/>
  <c r="K2249" i="21"/>
  <c r="K2248" i="21"/>
  <c r="K2247" i="21"/>
  <c r="K2246" i="21"/>
  <c r="K2245" i="21"/>
  <c r="K2244" i="21"/>
  <c r="K2243" i="21"/>
  <c r="K2242" i="21"/>
  <c r="K2241" i="21"/>
  <c r="K2240" i="21"/>
  <c r="K2239" i="21"/>
  <c r="K2238" i="21"/>
  <c r="K2237" i="21"/>
  <c r="K2236" i="21"/>
  <c r="K2235" i="21"/>
  <c r="K2234" i="21"/>
  <c r="K2233" i="21"/>
  <c r="K2232" i="21"/>
  <c r="K2231" i="21"/>
  <c r="K2230" i="21"/>
  <c r="K2229" i="21"/>
  <c r="K2228" i="21"/>
  <c r="K2227" i="21"/>
  <c r="K2226" i="21"/>
  <c r="K2225" i="21"/>
  <c r="K2224" i="21"/>
  <c r="K2223" i="21"/>
  <c r="K2222" i="21"/>
  <c r="K2221" i="21"/>
  <c r="K2220" i="21"/>
  <c r="K2219" i="21"/>
  <c r="K2218" i="21"/>
  <c r="K2217" i="21"/>
  <c r="K2216" i="21"/>
  <c r="K2215" i="21"/>
  <c r="K2214" i="21"/>
  <c r="K2213" i="21"/>
  <c r="K2212" i="21"/>
  <c r="K2211" i="21"/>
  <c r="K2210" i="21"/>
  <c r="K2209" i="21"/>
  <c r="K2208" i="21"/>
  <c r="K2207" i="21"/>
  <c r="K2206" i="21"/>
  <c r="K2205" i="21"/>
  <c r="K2204" i="21"/>
  <c r="K2203" i="21"/>
  <c r="K2202" i="21"/>
  <c r="K2201" i="21"/>
  <c r="K2200" i="21"/>
  <c r="K2199" i="21"/>
  <c r="K2198" i="21"/>
  <c r="K2197" i="21"/>
  <c r="K2196" i="21"/>
  <c r="K2195" i="21"/>
  <c r="K2194" i="21"/>
  <c r="K2193" i="21"/>
  <c r="K2192" i="21"/>
  <c r="K2191" i="21"/>
  <c r="K2190" i="21"/>
  <c r="K2189" i="21"/>
  <c r="K2188" i="21"/>
  <c r="K2187" i="21"/>
  <c r="K2186" i="21"/>
  <c r="K2185" i="21"/>
  <c r="K2184" i="21"/>
  <c r="K2183" i="21"/>
  <c r="K2182" i="21"/>
  <c r="K2181" i="21"/>
  <c r="K2180" i="21"/>
  <c r="K2179" i="21"/>
  <c r="K2178" i="21"/>
  <c r="K2177" i="21"/>
  <c r="K2176" i="21"/>
  <c r="K2175" i="21"/>
  <c r="K2174" i="21"/>
  <c r="K2173" i="21"/>
  <c r="K2172" i="21"/>
  <c r="K2171" i="21"/>
  <c r="K2170" i="21"/>
  <c r="K2169" i="21"/>
  <c r="K2168" i="21"/>
  <c r="K2167" i="21"/>
  <c r="K2166" i="21"/>
  <c r="K2165" i="21"/>
  <c r="K2164" i="21"/>
  <c r="K2163" i="21"/>
  <c r="K2162" i="21"/>
  <c r="K2161" i="21"/>
  <c r="K2160" i="21"/>
  <c r="K2159" i="21"/>
  <c r="K2158" i="21"/>
  <c r="K2157" i="21"/>
  <c r="K2156" i="21"/>
  <c r="K2155" i="21"/>
  <c r="K2154" i="21"/>
  <c r="K2153" i="21"/>
  <c r="K2152" i="21"/>
  <c r="K2151" i="21"/>
  <c r="K2150" i="21"/>
  <c r="K2149" i="21"/>
  <c r="K2148" i="21"/>
  <c r="K2147" i="21"/>
  <c r="K2146" i="21"/>
  <c r="K2145" i="21"/>
  <c r="K2144" i="21"/>
  <c r="K2143" i="21"/>
  <c r="K2142" i="21"/>
  <c r="K2141" i="21"/>
  <c r="K2140" i="21"/>
  <c r="K2139" i="21"/>
  <c r="K2138" i="21"/>
  <c r="K2137" i="21"/>
  <c r="K2136" i="21"/>
  <c r="K2135" i="21"/>
  <c r="K2134" i="21"/>
  <c r="K2133" i="21"/>
  <c r="K2132" i="21"/>
  <c r="K2131" i="21"/>
  <c r="K2130" i="21"/>
  <c r="K2129" i="21"/>
  <c r="K2128" i="21"/>
  <c r="K2127" i="21"/>
  <c r="K2126" i="21"/>
  <c r="K2125" i="21"/>
  <c r="K2124" i="21"/>
  <c r="K2123" i="21"/>
  <c r="K2122" i="21"/>
  <c r="K2121" i="21"/>
  <c r="K2120" i="21"/>
  <c r="K2119" i="21"/>
  <c r="K2118" i="21"/>
  <c r="K2117" i="21"/>
  <c r="K2116" i="21"/>
  <c r="K2115" i="21"/>
  <c r="K2114" i="21"/>
  <c r="K2113" i="21"/>
  <c r="K2112" i="21"/>
  <c r="K2111" i="21"/>
  <c r="K2110" i="21"/>
  <c r="K2109" i="21"/>
  <c r="K2108" i="21"/>
  <c r="K2107" i="21"/>
  <c r="K2106" i="21"/>
  <c r="K2105" i="21"/>
  <c r="K2104" i="21"/>
  <c r="K2103" i="21"/>
  <c r="K2102" i="21"/>
  <c r="K2101" i="21"/>
  <c r="K2100" i="21"/>
  <c r="K2099" i="21"/>
  <c r="K2098" i="21"/>
  <c r="K2097" i="21"/>
  <c r="K2096" i="21"/>
  <c r="K2095" i="21"/>
  <c r="K2094" i="21"/>
  <c r="K2093" i="21"/>
  <c r="K2092" i="21"/>
  <c r="K2091" i="21"/>
  <c r="K2090" i="21"/>
  <c r="K2089" i="21"/>
  <c r="K2088" i="21"/>
  <c r="K2087" i="21"/>
  <c r="K2086" i="21"/>
  <c r="K2085" i="21"/>
  <c r="K2084" i="21"/>
  <c r="K2083" i="21"/>
  <c r="K2082" i="21"/>
  <c r="K2081" i="21"/>
  <c r="K2080" i="21"/>
  <c r="K2079" i="21"/>
  <c r="K2078" i="21"/>
  <c r="K2077" i="21"/>
  <c r="K2076" i="21"/>
  <c r="K2075" i="21"/>
  <c r="K2074" i="21"/>
  <c r="K2073" i="21"/>
  <c r="K2072" i="21"/>
  <c r="K2071" i="21"/>
  <c r="K2070" i="21"/>
  <c r="K2069" i="21"/>
  <c r="K2068" i="21"/>
  <c r="K2067" i="21"/>
  <c r="K2066" i="21"/>
  <c r="K2065" i="21"/>
  <c r="K2064" i="21"/>
  <c r="K2063" i="21"/>
  <c r="K2062" i="21"/>
  <c r="K2061" i="21"/>
  <c r="K2060" i="21"/>
  <c r="K2059" i="21"/>
  <c r="K2058" i="21"/>
  <c r="K2057" i="21"/>
  <c r="K2056" i="21"/>
  <c r="K2055" i="21"/>
  <c r="K2054" i="21"/>
  <c r="K2053" i="21"/>
  <c r="K2052" i="21"/>
  <c r="K2051" i="21"/>
  <c r="K2050" i="21"/>
  <c r="K2049" i="21"/>
  <c r="K2048" i="21"/>
  <c r="K2047" i="21"/>
  <c r="K2046" i="21"/>
  <c r="K2045" i="21"/>
  <c r="K2044" i="21"/>
  <c r="K2043" i="21"/>
  <c r="K2042" i="21"/>
  <c r="K2041" i="21"/>
  <c r="K2040" i="21"/>
  <c r="K2039" i="21"/>
  <c r="K2038" i="21"/>
  <c r="K2037" i="21"/>
  <c r="K2036" i="21"/>
  <c r="K2035" i="21"/>
  <c r="K2034" i="21"/>
  <c r="K2033" i="21"/>
  <c r="K2032" i="21"/>
  <c r="K2031" i="21"/>
  <c r="K2030" i="21"/>
  <c r="K2029" i="21"/>
  <c r="K2028" i="21"/>
  <c r="K2027" i="21"/>
  <c r="K2026" i="21"/>
  <c r="K2025" i="21"/>
  <c r="K2024" i="21"/>
  <c r="K2023" i="21"/>
  <c r="K2022" i="21"/>
  <c r="K2021" i="21"/>
  <c r="K2020" i="21"/>
  <c r="K2019" i="21"/>
  <c r="K2018" i="21"/>
  <c r="K2017" i="21"/>
  <c r="K2016" i="21"/>
  <c r="K2015" i="21"/>
  <c r="K2014" i="21"/>
  <c r="K2013" i="21"/>
  <c r="K2012" i="21"/>
  <c r="K2011" i="21"/>
  <c r="K2010" i="21"/>
  <c r="K2009" i="21"/>
  <c r="K2008" i="21"/>
  <c r="K2007" i="21"/>
  <c r="K2006" i="21"/>
  <c r="K2005" i="21"/>
  <c r="K2004" i="21"/>
  <c r="K2003" i="21"/>
  <c r="K2002" i="21"/>
  <c r="K2001" i="21"/>
  <c r="K2000" i="21"/>
  <c r="K1999" i="21"/>
  <c r="K1998" i="21"/>
  <c r="K1997" i="21"/>
  <c r="K1996" i="21"/>
  <c r="K1995" i="21"/>
  <c r="K1994" i="21"/>
  <c r="K1993" i="21"/>
  <c r="K1992" i="21"/>
  <c r="K1991" i="21"/>
  <c r="K1990" i="21"/>
  <c r="K1989" i="21"/>
  <c r="K1988" i="21"/>
  <c r="K1987" i="21"/>
  <c r="K1986" i="21"/>
  <c r="K1985" i="21"/>
  <c r="K1984" i="21"/>
  <c r="K1983" i="21"/>
  <c r="K1982" i="21"/>
  <c r="K1981" i="21"/>
  <c r="K1980" i="21"/>
  <c r="K1979" i="21"/>
  <c r="K1978" i="21"/>
  <c r="K1977" i="21"/>
  <c r="K1976" i="21"/>
  <c r="K1975" i="21"/>
  <c r="K1974" i="21"/>
  <c r="K1973" i="21"/>
  <c r="K1972" i="21"/>
  <c r="K1971" i="21"/>
  <c r="K1970" i="21"/>
  <c r="K1969" i="21"/>
  <c r="K1968" i="21"/>
  <c r="K1967" i="21"/>
  <c r="K1966" i="21"/>
  <c r="K1965" i="21"/>
  <c r="K1964" i="21"/>
  <c r="K1963" i="21"/>
  <c r="K1962" i="21"/>
  <c r="K1961" i="21"/>
  <c r="K1960" i="21"/>
  <c r="K1959" i="21"/>
  <c r="K1958" i="21"/>
  <c r="K1957" i="21"/>
  <c r="K1956" i="21"/>
  <c r="K1955" i="21"/>
  <c r="K1954" i="21"/>
  <c r="K1953" i="21"/>
  <c r="K1952" i="21"/>
  <c r="K1951" i="21"/>
  <c r="K1950" i="21"/>
  <c r="K1949" i="21"/>
  <c r="K1948" i="21"/>
  <c r="K1947" i="21"/>
  <c r="K1946" i="21"/>
  <c r="K1945" i="21"/>
  <c r="K1944" i="21"/>
  <c r="K1943" i="21"/>
  <c r="K1942" i="21"/>
  <c r="K1941" i="21"/>
  <c r="K1940" i="21"/>
  <c r="K1939" i="21"/>
  <c r="K1938" i="21"/>
  <c r="K1937" i="21"/>
  <c r="K1936" i="21"/>
  <c r="K1935" i="21"/>
  <c r="K1934" i="21"/>
  <c r="K1933" i="21"/>
  <c r="K1932" i="21"/>
  <c r="K1931" i="21"/>
  <c r="K1930" i="21"/>
  <c r="K1929" i="21"/>
  <c r="K1928" i="21"/>
  <c r="K1927" i="21"/>
  <c r="K1926" i="21"/>
  <c r="K1925" i="21"/>
  <c r="K1924" i="21"/>
  <c r="K1923" i="21"/>
  <c r="K1922" i="21"/>
  <c r="K1921" i="21"/>
  <c r="K1920" i="21"/>
  <c r="K1919" i="21"/>
  <c r="K1918" i="21"/>
  <c r="K1917" i="21"/>
  <c r="K1916" i="21"/>
  <c r="K1915" i="21"/>
  <c r="K1914" i="21"/>
  <c r="K1913" i="21"/>
  <c r="K1912" i="21"/>
  <c r="K1911" i="21"/>
  <c r="K1910" i="21"/>
  <c r="K1909" i="21"/>
  <c r="K1908" i="21"/>
  <c r="K1907" i="21"/>
  <c r="K1906" i="21"/>
  <c r="K1905" i="21"/>
  <c r="K1904" i="21"/>
  <c r="K1903" i="21"/>
  <c r="K1902" i="21"/>
  <c r="K1901" i="21"/>
  <c r="K1900" i="21"/>
  <c r="K1899" i="21"/>
  <c r="K1898" i="21"/>
  <c r="K1897" i="21"/>
  <c r="K1896" i="21"/>
  <c r="K1895" i="21"/>
  <c r="K1894" i="21"/>
  <c r="K1893" i="21"/>
  <c r="K1892" i="21"/>
  <c r="K1891" i="21"/>
  <c r="K1890" i="21"/>
  <c r="K1889" i="21"/>
  <c r="K1888" i="21"/>
  <c r="K1887" i="21"/>
  <c r="K1886" i="21"/>
  <c r="K1885" i="21"/>
  <c r="K1884" i="21"/>
  <c r="K1883" i="21"/>
  <c r="K1882" i="21"/>
  <c r="K1881" i="21"/>
  <c r="K1880" i="21"/>
  <c r="K1879" i="21"/>
  <c r="K1878" i="21"/>
  <c r="K1877" i="21"/>
  <c r="K1876" i="21"/>
  <c r="K1875" i="21"/>
  <c r="K1874" i="21"/>
  <c r="K1873" i="21"/>
  <c r="K1872" i="21"/>
  <c r="K1871" i="21"/>
  <c r="K1870" i="21"/>
  <c r="K1869" i="21"/>
  <c r="K1868" i="21"/>
  <c r="K1867" i="21"/>
  <c r="K1866" i="21"/>
  <c r="K1865" i="21"/>
  <c r="K1864" i="21"/>
  <c r="K1863" i="21"/>
  <c r="K1862" i="21"/>
  <c r="K1861" i="21"/>
  <c r="K1860" i="21"/>
  <c r="K1859" i="21"/>
  <c r="K1858" i="21"/>
  <c r="K1857" i="21"/>
  <c r="K1856" i="21"/>
  <c r="K1855" i="21"/>
  <c r="K1854" i="21"/>
  <c r="K1853" i="21"/>
  <c r="K1852" i="21"/>
  <c r="K1851" i="21"/>
  <c r="K1850" i="21"/>
  <c r="K1849" i="21"/>
  <c r="K1848" i="21"/>
  <c r="K1847" i="21"/>
  <c r="K1846" i="21"/>
  <c r="K1845" i="21"/>
  <c r="K1844" i="21"/>
  <c r="K1843" i="21"/>
  <c r="K1842" i="21"/>
  <c r="K1841" i="21"/>
  <c r="K1840" i="21"/>
  <c r="K1839" i="21"/>
  <c r="K1838" i="21"/>
  <c r="K1837" i="21"/>
  <c r="K1836" i="21"/>
  <c r="K1835" i="21"/>
  <c r="K1834" i="21"/>
  <c r="K1833" i="21"/>
  <c r="K1832" i="21"/>
  <c r="K1831" i="21"/>
  <c r="K1830" i="21"/>
  <c r="K1829" i="21"/>
  <c r="K1828" i="21"/>
  <c r="K1827" i="21"/>
  <c r="K1826" i="21"/>
  <c r="K1825" i="21"/>
  <c r="K1824" i="21"/>
  <c r="K1823" i="21"/>
  <c r="K1822" i="21"/>
  <c r="K1821" i="21"/>
  <c r="K1820" i="21"/>
  <c r="K1819" i="21"/>
  <c r="K1818" i="21"/>
  <c r="K1817" i="21"/>
  <c r="K1816" i="21"/>
  <c r="K1815" i="21"/>
  <c r="K1814" i="21"/>
  <c r="K1813" i="21"/>
  <c r="K1812" i="21"/>
  <c r="K1811" i="21"/>
  <c r="K1810" i="21"/>
  <c r="K1809" i="21"/>
  <c r="K1808" i="21"/>
  <c r="K1807" i="21"/>
  <c r="K1806" i="21"/>
  <c r="K1805" i="21"/>
  <c r="K1804" i="21"/>
  <c r="K1803" i="21"/>
  <c r="K1802" i="21"/>
  <c r="K1801" i="21"/>
  <c r="K1800" i="21"/>
  <c r="K1799" i="21"/>
  <c r="K1798" i="21"/>
  <c r="K1797" i="21"/>
  <c r="K1796" i="21"/>
  <c r="K1795" i="21"/>
  <c r="K1794" i="21"/>
  <c r="K1793" i="21"/>
  <c r="K1792" i="21"/>
  <c r="K1791" i="21"/>
  <c r="K1790" i="21"/>
  <c r="K1789" i="21"/>
  <c r="K1788" i="21"/>
  <c r="K1787" i="21"/>
  <c r="K1786" i="21"/>
  <c r="K1785" i="21"/>
  <c r="K1784" i="21"/>
  <c r="K1783" i="21"/>
  <c r="K1782" i="21"/>
  <c r="K1781" i="21"/>
  <c r="K1780" i="21"/>
  <c r="K1779" i="21"/>
  <c r="K1778" i="21"/>
  <c r="K1777" i="21"/>
  <c r="K1776" i="21"/>
  <c r="K1775" i="21"/>
  <c r="K1774" i="21"/>
  <c r="K1773" i="21"/>
  <c r="K1772" i="21"/>
  <c r="K1771" i="21"/>
  <c r="K1770" i="21"/>
  <c r="K1769" i="21"/>
  <c r="K1768" i="21"/>
  <c r="K1767" i="21"/>
  <c r="K1766" i="21"/>
  <c r="K1765" i="21"/>
  <c r="K1764" i="21"/>
  <c r="K1763" i="21"/>
  <c r="K1762" i="21"/>
  <c r="K1761" i="21"/>
  <c r="K1760" i="21"/>
  <c r="K1759" i="21"/>
  <c r="K1758" i="21"/>
  <c r="K1757" i="21"/>
  <c r="K1756" i="21"/>
  <c r="K1755" i="21"/>
  <c r="K1754" i="21"/>
  <c r="K1753" i="21"/>
  <c r="K1752" i="21"/>
  <c r="K1751" i="21"/>
  <c r="K1750" i="21"/>
  <c r="K1749" i="21"/>
  <c r="K1748" i="21"/>
  <c r="K1747" i="21"/>
  <c r="K1746" i="21"/>
  <c r="K1745" i="21"/>
  <c r="K1744" i="21"/>
  <c r="K1743" i="21"/>
  <c r="K1742" i="21"/>
  <c r="K1741" i="21"/>
  <c r="K1740" i="21"/>
  <c r="K1739" i="21"/>
  <c r="K1738" i="21"/>
  <c r="K1737" i="21"/>
  <c r="K1736" i="21"/>
  <c r="K1735" i="21"/>
  <c r="K1734" i="21"/>
  <c r="K1733" i="21"/>
  <c r="K1732" i="21"/>
  <c r="K1731" i="21"/>
  <c r="K1730" i="21"/>
  <c r="K1729" i="21"/>
  <c r="K1728" i="21"/>
  <c r="K1727" i="21"/>
  <c r="K1726" i="21"/>
  <c r="K1725" i="21"/>
  <c r="K1724" i="21"/>
  <c r="K1723" i="21"/>
  <c r="K1722" i="21"/>
  <c r="K1721" i="21"/>
  <c r="K1720" i="21"/>
  <c r="K1719" i="21"/>
  <c r="K1718" i="21"/>
  <c r="K1717" i="21"/>
  <c r="K1716" i="21"/>
  <c r="K1715" i="21"/>
  <c r="K1714" i="21"/>
  <c r="K1713" i="21"/>
  <c r="K1712" i="21"/>
  <c r="K1711" i="21"/>
  <c r="K1710" i="21"/>
  <c r="K1709" i="21"/>
  <c r="K1708" i="21"/>
  <c r="K1707" i="21"/>
  <c r="K1706" i="21"/>
  <c r="K1705" i="21"/>
  <c r="K1704" i="21"/>
  <c r="K1703" i="21"/>
  <c r="K1702" i="21"/>
  <c r="K1701" i="21"/>
  <c r="K1700" i="21"/>
  <c r="K1699" i="21"/>
  <c r="K1698" i="21"/>
  <c r="K1697" i="21"/>
  <c r="K1696" i="21"/>
  <c r="K1695" i="21"/>
  <c r="K1694" i="21"/>
  <c r="K1693" i="21"/>
  <c r="K1692" i="21"/>
  <c r="K1691" i="21"/>
  <c r="K1690" i="21"/>
  <c r="K1689" i="21"/>
  <c r="K1688" i="21"/>
  <c r="K1687" i="21"/>
  <c r="K1686" i="21"/>
  <c r="K1685" i="21"/>
  <c r="K1684" i="21"/>
  <c r="K1683" i="21"/>
  <c r="K1682" i="21"/>
  <c r="K1681" i="21"/>
  <c r="K1680" i="21"/>
  <c r="K1679" i="21"/>
  <c r="K1678" i="21"/>
  <c r="K1677" i="21"/>
  <c r="K1676" i="21"/>
  <c r="K1675" i="21"/>
  <c r="K1674" i="21"/>
  <c r="K1673" i="21"/>
  <c r="K1672" i="21"/>
  <c r="K1671" i="21"/>
  <c r="K1670" i="21"/>
  <c r="K1669" i="21"/>
  <c r="K1668" i="21"/>
  <c r="K1667" i="21"/>
  <c r="K1666" i="21"/>
  <c r="K1665" i="21"/>
  <c r="K1664" i="21"/>
  <c r="K1663" i="21"/>
  <c r="K1662" i="21"/>
  <c r="K1661" i="21"/>
  <c r="K1660" i="21"/>
  <c r="K1659" i="21"/>
  <c r="K1658" i="21"/>
  <c r="K1657" i="21"/>
  <c r="K1656" i="21"/>
  <c r="K1655" i="21"/>
  <c r="K1654" i="21"/>
  <c r="K1653" i="21"/>
  <c r="K1652" i="21"/>
  <c r="K1651" i="21"/>
  <c r="K1650" i="21"/>
  <c r="K1649" i="21"/>
  <c r="K1648" i="21"/>
  <c r="K1647" i="21"/>
  <c r="K1646" i="21"/>
  <c r="K1645" i="21"/>
  <c r="K1644" i="21"/>
  <c r="K1643" i="21"/>
  <c r="K1642" i="21"/>
  <c r="K1641" i="21"/>
  <c r="K1640" i="21"/>
  <c r="K1639" i="21"/>
  <c r="K1638" i="21"/>
  <c r="K1637" i="21"/>
  <c r="K1636" i="21"/>
  <c r="K1635" i="21"/>
  <c r="K1634" i="21"/>
  <c r="K1633" i="21"/>
  <c r="K1632" i="21"/>
  <c r="K1631" i="21"/>
  <c r="K1630" i="21"/>
  <c r="K1629" i="21"/>
  <c r="K1628" i="21"/>
  <c r="K1627" i="21"/>
  <c r="K1626" i="21"/>
  <c r="K1625" i="21"/>
  <c r="K1624" i="21"/>
  <c r="K1623" i="21"/>
  <c r="K1622" i="21"/>
  <c r="K1621" i="21"/>
  <c r="K1620" i="21"/>
  <c r="K1619" i="21"/>
  <c r="K1618" i="21"/>
  <c r="K1617" i="21"/>
  <c r="K1616" i="21"/>
  <c r="K1615" i="21"/>
  <c r="K1614" i="21"/>
  <c r="K1613" i="21"/>
  <c r="K1612" i="21"/>
  <c r="K1611" i="21"/>
  <c r="K1610" i="21"/>
  <c r="K1609" i="21"/>
  <c r="K1608" i="21"/>
  <c r="K1607" i="21"/>
  <c r="K1606" i="21"/>
  <c r="K1605" i="21"/>
  <c r="K1604" i="21"/>
  <c r="K1603" i="21"/>
  <c r="K1602" i="21"/>
  <c r="K1601" i="21"/>
  <c r="K1600" i="21"/>
  <c r="K1599" i="21"/>
  <c r="K1598" i="21"/>
  <c r="K1597" i="21"/>
  <c r="K1596" i="21"/>
  <c r="K1595" i="21"/>
  <c r="K1594" i="21"/>
  <c r="K1593" i="21"/>
  <c r="K1592" i="21"/>
  <c r="K1591" i="21"/>
  <c r="K1590" i="21"/>
  <c r="K1589" i="21"/>
  <c r="K1588" i="21"/>
  <c r="K1587" i="21"/>
  <c r="K1586" i="21"/>
  <c r="K1585" i="21"/>
  <c r="K1584" i="21"/>
  <c r="K1583" i="21"/>
  <c r="K1582" i="21"/>
  <c r="K1581" i="21"/>
  <c r="K1580" i="21"/>
  <c r="K1579" i="21"/>
  <c r="K1578" i="21"/>
  <c r="K1577" i="21"/>
  <c r="K1576" i="21"/>
  <c r="K1575" i="21"/>
  <c r="K1574" i="21"/>
  <c r="K1573" i="21"/>
  <c r="K1572" i="21"/>
  <c r="K1571" i="21"/>
  <c r="K1570" i="21"/>
  <c r="K1569" i="21"/>
  <c r="K1568" i="21"/>
  <c r="K1567" i="21"/>
  <c r="K1566" i="21"/>
  <c r="K1565" i="21"/>
  <c r="K1564" i="21"/>
  <c r="K1563" i="21"/>
  <c r="K1562" i="21"/>
  <c r="K1561" i="21"/>
  <c r="K1560" i="21"/>
  <c r="K1559" i="21"/>
  <c r="K1558" i="21"/>
  <c r="K1557" i="21"/>
  <c r="K1556" i="21"/>
  <c r="K1555" i="21"/>
  <c r="K1554" i="21"/>
  <c r="K1553" i="21"/>
  <c r="K1552" i="21"/>
  <c r="K1551" i="21"/>
  <c r="K1550" i="21"/>
  <c r="K1549" i="21"/>
  <c r="K1548" i="21"/>
  <c r="K1547" i="21"/>
  <c r="K1546" i="21"/>
  <c r="K1545" i="21"/>
  <c r="K1544" i="21"/>
  <c r="K1543" i="21"/>
  <c r="K1542" i="21"/>
  <c r="K1541" i="21"/>
  <c r="K1540" i="21"/>
  <c r="K1539" i="21"/>
  <c r="K1538" i="21"/>
  <c r="K1537" i="21"/>
  <c r="K1536" i="21"/>
  <c r="K1535" i="21"/>
  <c r="K1534" i="21"/>
  <c r="K1533" i="21"/>
  <c r="K1532" i="21"/>
  <c r="K1531" i="21"/>
  <c r="K1530" i="21"/>
  <c r="K1529" i="21"/>
  <c r="K1528" i="21"/>
  <c r="K1527" i="21"/>
  <c r="K1526" i="21"/>
  <c r="K1525" i="21"/>
  <c r="K1524" i="21"/>
  <c r="K1523" i="21"/>
  <c r="K1522" i="21"/>
  <c r="K1521" i="21"/>
  <c r="K1520" i="21"/>
  <c r="K1519" i="21"/>
  <c r="K1518" i="21"/>
  <c r="K1517" i="21"/>
  <c r="K1516" i="21"/>
  <c r="K1515" i="21"/>
  <c r="K1514" i="21"/>
  <c r="K1513" i="21"/>
  <c r="K1512" i="21"/>
  <c r="K1511" i="21"/>
  <c r="K1510" i="21"/>
  <c r="K1509" i="21"/>
  <c r="K1508" i="21"/>
  <c r="K1507" i="21"/>
  <c r="K1506" i="21"/>
  <c r="K1505" i="21"/>
  <c r="K1504" i="21"/>
  <c r="K1503" i="21"/>
  <c r="K1502" i="21"/>
  <c r="K1501" i="21"/>
  <c r="K1500" i="21"/>
  <c r="K1499" i="21"/>
  <c r="K1498" i="21"/>
  <c r="K1497" i="21"/>
  <c r="K1496" i="21"/>
  <c r="K1495" i="21"/>
  <c r="K1494" i="21"/>
  <c r="K1493" i="21"/>
  <c r="K1492" i="21"/>
  <c r="K1491" i="21"/>
  <c r="K1490" i="21"/>
  <c r="K1489" i="21"/>
  <c r="K1488" i="21"/>
  <c r="K1487" i="21"/>
  <c r="K1486" i="21"/>
  <c r="K1485" i="21"/>
  <c r="K1484" i="21"/>
  <c r="K1483" i="21"/>
  <c r="K1482" i="21"/>
  <c r="K1481" i="21"/>
  <c r="K1480" i="21"/>
  <c r="K1479" i="21"/>
  <c r="K1478" i="21"/>
  <c r="K1477" i="21"/>
  <c r="K1476" i="21"/>
  <c r="K1475" i="21"/>
  <c r="K1474" i="21"/>
  <c r="K1473" i="21"/>
  <c r="K1472" i="21"/>
  <c r="K1471" i="21"/>
  <c r="K1470" i="21"/>
  <c r="K1469" i="21"/>
  <c r="K1468" i="21"/>
  <c r="K1467" i="21"/>
  <c r="K1466" i="21"/>
  <c r="K1465" i="21"/>
  <c r="K1464" i="21"/>
  <c r="K1463" i="21"/>
  <c r="K1462" i="21"/>
  <c r="K1461" i="21"/>
  <c r="K1460" i="21"/>
  <c r="K1459" i="21"/>
  <c r="K1458" i="21"/>
  <c r="K1457" i="21"/>
  <c r="K1456" i="21"/>
  <c r="K1455" i="21"/>
  <c r="K1454" i="21"/>
  <c r="K1453" i="21"/>
  <c r="K1452" i="21"/>
  <c r="K1451" i="21"/>
  <c r="K1450" i="21"/>
  <c r="K1449" i="21"/>
  <c r="K1448" i="21"/>
  <c r="K1447" i="21"/>
  <c r="K1446" i="21"/>
  <c r="K1445" i="21"/>
  <c r="K1444" i="21"/>
  <c r="K1443" i="21"/>
  <c r="K1442" i="21"/>
  <c r="K1441" i="21"/>
  <c r="K1440" i="21"/>
  <c r="K1439" i="21"/>
  <c r="K1438" i="21"/>
  <c r="K1437" i="21"/>
  <c r="K1436" i="21"/>
  <c r="K1435" i="21"/>
  <c r="K1434" i="21"/>
  <c r="K1433" i="21"/>
  <c r="K1432" i="21"/>
  <c r="K1431" i="21"/>
  <c r="K1430" i="21"/>
  <c r="K1429" i="21"/>
  <c r="K1428" i="21"/>
  <c r="K1427" i="21"/>
  <c r="K1426" i="21"/>
  <c r="K1425" i="21"/>
  <c r="K1424" i="21"/>
  <c r="K1423" i="21"/>
  <c r="K1422" i="21"/>
  <c r="K1421" i="21"/>
  <c r="K1420" i="21"/>
  <c r="K1419" i="21"/>
  <c r="K1418" i="21"/>
  <c r="K1417" i="21"/>
  <c r="K1416" i="21"/>
  <c r="K1415" i="21"/>
  <c r="K1414" i="21"/>
  <c r="K1413" i="21"/>
  <c r="K1412" i="21"/>
  <c r="K1411" i="21"/>
  <c r="K1410" i="21"/>
  <c r="K1409" i="21"/>
  <c r="K1408" i="21"/>
  <c r="K1407" i="21"/>
  <c r="K1406" i="21"/>
  <c r="K1405" i="21"/>
  <c r="K1404" i="21"/>
  <c r="K1403" i="21"/>
  <c r="K1402" i="21"/>
  <c r="K1401" i="21"/>
  <c r="K1400" i="21"/>
  <c r="K1399" i="21"/>
  <c r="K1398" i="21"/>
  <c r="K1397" i="21"/>
  <c r="K1396" i="21"/>
  <c r="K1395" i="21"/>
  <c r="K1394" i="21"/>
  <c r="K1393" i="21"/>
  <c r="K1392" i="21"/>
  <c r="K1391" i="21"/>
  <c r="K1390" i="21"/>
  <c r="K1389" i="21"/>
  <c r="K1388" i="21"/>
  <c r="K1387" i="21"/>
  <c r="K1386" i="21"/>
  <c r="K1385" i="21"/>
  <c r="K1384" i="21"/>
  <c r="K1383" i="21"/>
  <c r="K1382" i="21"/>
  <c r="K1381" i="21"/>
  <c r="K1380" i="21"/>
  <c r="K1379" i="21"/>
  <c r="K1378" i="21"/>
  <c r="K1377" i="21"/>
  <c r="K1376" i="21"/>
  <c r="K1375" i="21"/>
  <c r="K1374" i="21"/>
  <c r="K1373" i="21"/>
  <c r="K1372" i="21"/>
  <c r="K1371" i="21"/>
  <c r="K1370" i="21"/>
  <c r="K1369" i="21"/>
  <c r="K1368" i="21"/>
  <c r="K1367" i="21"/>
  <c r="K1366" i="21"/>
  <c r="K1365" i="21"/>
  <c r="K1364" i="21"/>
  <c r="K1363" i="21"/>
  <c r="K1362" i="21"/>
  <c r="K1361" i="21"/>
  <c r="K1360" i="21"/>
  <c r="K1359" i="21"/>
  <c r="K1358" i="21"/>
  <c r="K1357" i="21"/>
  <c r="K1356" i="21"/>
  <c r="K1355" i="21"/>
  <c r="K1354" i="21"/>
  <c r="K1353" i="21"/>
  <c r="K1352" i="21"/>
  <c r="K1351" i="21"/>
  <c r="K1350" i="21"/>
  <c r="K1349" i="21"/>
  <c r="K1348" i="21"/>
  <c r="K1347" i="21"/>
  <c r="K1346" i="21"/>
  <c r="K1345" i="21"/>
  <c r="K1344" i="21"/>
  <c r="K1343" i="21"/>
  <c r="K1342" i="21"/>
  <c r="K1341" i="21"/>
  <c r="K1340" i="21"/>
  <c r="K1339" i="21"/>
  <c r="K1338" i="21"/>
  <c r="K1337" i="21"/>
  <c r="K1336" i="21"/>
  <c r="K1335" i="21"/>
  <c r="K1334" i="21"/>
  <c r="K1333" i="21"/>
  <c r="K1332" i="21"/>
  <c r="K1331" i="21"/>
  <c r="K1330" i="21"/>
  <c r="K1329" i="21"/>
  <c r="K1328" i="21"/>
  <c r="K1327" i="21"/>
  <c r="K1326" i="21"/>
  <c r="K1325" i="21"/>
  <c r="K1324" i="21"/>
  <c r="K1323" i="21"/>
  <c r="K1322" i="21"/>
  <c r="K1321" i="21"/>
  <c r="K1320" i="21"/>
  <c r="K1319" i="21"/>
  <c r="K1318" i="21"/>
  <c r="K1317" i="21"/>
  <c r="K1316" i="21"/>
  <c r="K1315" i="21"/>
  <c r="K1314" i="21"/>
  <c r="K1313" i="21"/>
  <c r="K1312" i="21"/>
  <c r="K1311" i="21"/>
  <c r="K1310" i="21"/>
  <c r="K1309" i="21"/>
  <c r="K1308" i="21"/>
  <c r="K1307" i="21"/>
  <c r="K1306" i="21"/>
  <c r="K1305" i="21"/>
  <c r="K1304" i="21"/>
  <c r="K1303" i="21"/>
  <c r="K1302" i="21"/>
  <c r="K1301" i="21"/>
  <c r="K1300" i="21"/>
  <c r="K1299" i="21"/>
  <c r="K1298" i="21"/>
  <c r="K1297" i="21"/>
  <c r="K1296" i="21"/>
  <c r="K1295" i="21"/>
  <c r="K1294" i="21"/>
  <c r="K1293" i="21"/>
  <c r="K1292" i="21"/>
  <c r="K1291" i="21"/>
  <c r="K1290" i="21"/>
  <c r="K1289" i="21"/>
  <c r="K1288" i="21"/>
  <c r="K1287" i="21"/>
  <c r="K1286" i="21"/>
  <c r="K1285" i="21"/>
  <c r="K1284" i="21"/>
  <c r="K1283" i="21"/>
  <c r="K1282" i="21"/>
  <c r="K1281" i="21"/>
  <c r="K1280" i="21"/>
  <c r="K1279" i="21"/>
  <c r="K1278" i="21"/>
  <c r="K1277" i="21"/>
  <c r="K1276" i="21"/>
  <c r="K1275" i="21"/>
  <c r="K1274" i="21"/>
  <c r="K1273" i="21"/>
  <c r="K1272" i="21"/>
  <c r="K1271" i="21"/>
  <c r="K1270" i="21"/>
  <c r="K1269" i="21"/>
  <c r="K1268" i="21"/>
  <c r="K1267" i="21"/>
  <c r="K1266" i="21"/>
  <c r="K1265" i="21"/>
  <c r="K1264" i="21"/>
  <c r="K1263" i="21"/>
  <c r="K1262" i="21"/>
  <c r="K1261" i="21"/>
  <c r="K1260" i="21"/>
  <c r="K1259" i="21"/>
  <c r="K1258" i="21"/>
  <c r="K1257" i="21"/>
  <c r="K1256" i="21"/>
  <c r="K1255" i="21"/>
  <c r="K1254" i="21"/>
  <c r="K1253" i="21"/>
  <c r="K1252" i="21"/>
  <c r="K1251" i="21"/>
  <c r="K1250" i="21"/>
  <c r="K1249" i="21"/>
  <c r="K1248" i="21"/>
  <c r="K1247" i="21"/>
  <c r="K1246" i="21"/>
  <c r="K1245" i="21"/>
  <c r="K1244" i="21"/>
  <c r="K1243" i="21"/>
  <c r="K1242" i="21"/>
  <c r="K1241" i="21"/>
  <c r="K1240" i="21"/>
  <c r="K1239" i="21"/>
  <c r="K1238" i="21"/>
  <c r="K1237" i="21"/>
  <c r="K1236" i="21"/>
  <c r="K1235" i="21"/>
  <c r="K1234" i="21"/>
  <c r="K1233" i="21"/>
  <c r="K1232" i="21"/>
  <c r="K1231" i="21"/>
  <c r="K1230" i="21"/>
  <c r="K1229" i="21"/>
  <c r="K1228" i="21"/>
  <c r="K1227" i="21"/>
  <c r="K1226" i="21"/>
  <c r="K1225" i="21"/>
  <c r="K1224" i="21"/>
  <c r="K1223" i="21"/>
  <c r="K1222" i="21"/>
  <c r="K1221" i="21"/>
  <c r="K1220" i="21"/>
  <c r="K1219" i="21"/>
  <c r="K1218" i="21"/>
  <c r="K1217" i="21"/>
  <c r="K1216" i="21"/>
  <c r="K1215" i="21"/>
  <c r="K1214" i="21"/>
  <c r="K1213" i="21"/>
  <c r="K1212" i="21"/>
  <c r="K1211" i="21"/>
  <c r="K1210" i="21"/>
  <c r="K1209" i="21"/>
  <c r="K1208" i="21"/>
  <c r="K1207" i="21"/>
  <c r="K1206" i="21"/>
  <c r="K1205" i="21"/>
  <c r="K1204" i="21"/>
  <c r="K1203" i="21"/>
  <c r="K1202" i="21"/>
  <c r="K1201" i="21"/>
  <c r="K1200" i="21"/>
  <c r="K1199" i="21"/>
  <c r="K1198" i="21"/>
  <c r="K1197" i="21"/>
  <c r="K1196" i="21"/>
  <c r="K1195" i="21"/>
  <c r="K1194" i="21"/>
  <c r="K1193" i="21"/>
  <c r="K1192" i="21"/>
  <c r="K1191" i="21"/>
  <c r="K1190" i="21"/>
  <c r="K1189" i="21"/>
  <c r="K1188" i="21"/>
  <c r="K1187" i="21"/>
  <c r="K1186" i="21"/>
  <c r="K1185" i="21"/>
  <c r="K1184" i="21"/>
  <c r="K1183" i="21"/>
  <c r="K1182" i="21"/>
  <c r="K1181" i="21"/>
  <c r="K1180" i="21"/>
  <c r="K1179" i="21"/>
  <c r="K1178" i="21"/>
  <c r="K1177" i="21"/>
  <c r="K1176" i="21"/>
  <c r="K1175" i="21"/>
  <c r="K1174" i="21"/>
  <c r="K1173" i="21"/>
  <c r="K1172" i="21"/>
  <c r="K1171" i="21"/>
  <c r="K1170" i="21"/>
  <c r="K1169" i="21"/>
  <c r="K1168" i="21"/>
  <c r="K1167" i="21"/>
  <c r="K1166" i="21"/>
  <c r="K1165" i="21"/>
  <c r="K1164" i="21"/>
  <c r="K1163" i="21"/>
  <c r="AU1162" i="21"/>
  <c r="AI1162" i="21"/>
  <c r="W1162" i="21"/>
  <c r="K1162" i="21"/>
  <c r="AU1161" i="21"/>
  <c r="AI1161" i="21"/>
  <c r="W1161" i="21"/>
  <c r="K1161" i="21"/>
  <c r="AU1160" i="21"/>
  <c r="AI1160" i="21"/>
  <c r="W1160" i="21"/>
  <c r="K1160" i="21"/>
  <c r="AU1159" i="21"/>
  <c r="AI1159" i="21"/>
  <c r="W1159" i="21"/>
  <c r="K1159" i="21"/>
  <c r="AU1158" i="21"/>
  <c r="AI1158" i="21"/>
  <c r="W1158" i="21"/>
  <c r="K1158" i="21"/>
  <c r="AU1157" i="21"/>
  <c r="AI1157" i="21"/>
  <c r="W1157" i="21"/>
  <c r="K1157" i="21"/>
  <c r="AU1156" i="21"/>
  <c r="AI1156" i="21"/>
  <c r="W1156" i="21"/>
  <c r="K1156" i="21"/>
  <c r="AU1155" i="21"/>
  <c r="AI1155" i="21"/>
  <c r="W1155" i="21"/>
  <c r="K1155" i="21"/>
  <c r="AU1154" i="21"/>
  <c r="AI1154" i="21"/>
  <c r="W1154" i="21"/>
  <c r="K1154" i="21"/>
  <c r="AU1153" i="21"/>
  <c r="AI1153" i="21"/>
  <c r="W1153" i="21"/>
  <c r="K1153" i="21"/>
  <c r="AU1152" i="21"/>
  <c r="AI1152" i="21"/>
  <c r="W1152" i="21"/>
  <c r="K1152" i="21"/>
  <c r="AU1151" i="21"/>
  <c r="AI1151" i="21"/>
  <c r="W1151" i="21"/>
  <c r="K1151" i="21"/>
  <c r="AU1150" i="21"/>
  <c r="AI1150" i="21"/>
  <c r="W1150" i="21"/>
  <c r="K1150" i="21"/>
  <c r="AU1149" i="21"/>
  <c r="AI1149" i="21"/>
  <c r="W1149" i="21"/>
  <c r="K1149" i="21"/>
  <c r="AU1148" i="21"/>
  <c r="AI1148" i="21"/>
  <c r="W1148" i="21"/>
  <c r="K1148" i="21"/>
  <c r="AU1147" i="21"/>
  <c r="AI1147" i="21"/>
  <c r="W1147" i="21"/>
  <c r="K1147" i="21"/>
  <c r="AU1146" i="21"/>
  <c r="AI1146" i="21"/>
  <c r="W1146" i="21"/>
  <c r="K1146" i="21"/>
  <c r="AU1145" i="21"/>
  <c r="AI1145" i="21"/>
  <c r="W1145" i="21"/>
  <c r="K1145" i="21"/>
  <c r="AU1144" i="21"/>
  <c r="AI1144" i="21"/>
  <c r="W1144" i="21"/>
  <c r="K1144" i="21"/>
  <c r="AU1143" i="21"/>
  <c r="AI1143" i="21"/>
  <c r="W1143" i="21"/>
  <c r="K1143" i="21"/>
  <c r="AU1142" i="21"/>
  <c r="AI1142" i="21"/>
  <c r="W1142" i="21"/>
  <c r="K1142" i="21"/>
  <c r="AU1141" i="21"/>
  <c r="AI1141" i="21"/>
  <c r="W1141" i="21"/>
  <c r="K1141" i="21"/>
  <c r="AU1140" i="21"/>
  <c r="AI1140" i="21"/>
  <c r="W1140" i="21"/>
  <c r="K1140" i="21"/>
  <c r="AU1139" i="21"/>
  <c r="AI1139" i="21"/>
  <c r="W1139" i="21"/>
  <c r="K1139" i="21"/>
  <c r="AU1138" i="21"/>
  <c r="AI1138" i="21"/>
  <c r="W1138" i="21"/>
  <c r="K1138" i="21"/>
  <c r="AU1137" i="21"/>
  <c r="AI1137" i="21"/>
  <c r="W1137" i="21"/>
  <c r="K1137" i="21"/>
  <c r="AU1136" i="21"/>
  <c r="AI1136" i="21"/>
  <c r="W1136" i="21"/>
  <c r="K1136" i="21"/>
  <c r="AU1135" i="21"/>
  <c r="AI1135" i="21"/>
  <c r="W1135" i="21"/>
  <c r="K1135" i="21"/>
  <c r="AU1134" i="21"/>
  <c r="AI1134" i="21"/>
  <c r="W1134" i="21"/>
  <c r="K1134" i="21"/>
  <c r="AU1133" i="21"/>
  <c r="AI1133" i="21"/>
  <c r="W1133" i="21"/>
  <c r="K1133" i="21"/>
  <c r="AU1132" i="21"/>
  <c r="AI1132" i="21"/>
  <c r="W1132" i="21"/>
  <c r="K1132" i="21"/>
  <c r="AU1131" i="21"/>
  <c r="AI1131" i="21"/>
  <c r="W1131" i="21"/>
  <c r="K1131" i="21"/>
  <c r="AU1130" i="21"/>
  <c r="AI1130" i="21"/>
  <c r="W1130" i="21"/>
  <c r="K1130" i="21"/>
  <c r="AU1129" i="21"/>
  <c r="AI1129" i="21"/>
  <c r="W1129" i="21"/>
  <c r="K1129" i="21"/>
  <c r="AU1128" i="21"/>
  <c r="AI1128" i="21"/>
  <c r="W1128" i="21"/>
  <c r="K1128" i="21"/>
  <c r="AU1127" i="21"/>
  <c r="AI1127" i="21"/>
  <c r="W1127" i="21"/>
  <c r="K1127" i="21"/>
  <c r="AU1126" i="21"/>
  <c r="AI1126" i="21"/>
  <c r="W1126" i="21"/>
  <c r="K1126" i="21"/>
  <c r="AU1125" i="21"/>
  <c r="AI1125" i="21"/>
  <c r="W1125" i="21"/>
  <c r="K1125" i="21"/>
  <c r="AU1124" i="21"/>
  <c r="AI1124" i="21"/>
  <c r="W1124" i="21"/>
  <c r="K1124" i="21"/>
  <c r="AU1123" i="21"/>
  <c r="AI1123" i="21"/>
  <c r="W1123" i="21"/>
  <c r="K1123" i="21"/>
  <c r="AU1122" i="21"/>
  <c r="AI1122" i="21"/>
  <c r="W1122" i="21"/>
  <c r="K1122" i="21"/>
  <c r="AU1121" i="21"/>
  <c r="AI1121" i="21"/>
  <c r="W1121" i="21"/>
  <c r="K1121" i="21"/>
  <c r="AU1120" i="21"/>
  <c r="AI1120" i="21"/>
  <c r="W1120" i="21"/>
  <c r="K1120" i="21"/>
  <c r="AU1119" i="21"/>
  <c r="AI1119" i="21"/>
  <c r="W1119" i="21"/>
  <c r="K1119" i="21"/>
  <c r="AU1118" i="21"/>
  <c r="AI1118" i="21"/>
  <c r="W1118" i="21"/>
  <c r="K1118" i="21"/>
  <c r="AU1117" i="21"/>
  <c r="AI1117" i="21"/>
  <c r="W1117" i="21"/>
  <c r="K1117" i="21"/>
  <c r="AU1116" i="21"/>
  <c r="AI1116" i="21"/>
  <c r="W1116" i="21"/>
  <c r="K1116" i="21"/>
  <c r="AU1115" i="21"/>
  <c r="AI1115" i="21"/>
  <c r="W1115" i="21"/>
  <c r="K1115" i="21"/>
  <c r="AU1114" i="21"/>
  <c r="AI1114" i="21"/>
  <c r="W1114" i="21"/>
  <c r="K1114" i="21"/>
  <c r="AU1113" i="21"/>
  <c r="AI1113" i="21"/>
  <c r="W1113" i="21"/>
  <c r="K1113" i="21"/>
  <c r="AU1112" i="21"/>
  <c r="AI1112" i="21"/>
  <c r="W1112" i="21"/>
  <c r="K1112" i="21"/>
  <c r="AU1111" i="21"/>
  <c r="AI1111" i="21"/>
  <c r="W1111" i="21"/>
  <c r="K1111" i="21"/>
  <c r="AU1110" i="21"/>
  <c r="AI1110" i="21"/>
  <c r="W1110" i="21"/>
  <c r="K1110" i="21"/>
  <c r="AU1109" i="21"/>
  <c r="AI1109" i="21"/>
  <c r="W1109" i="21"/>
  <c r="K1109" i="21"/>
  <c r="AU1108" i="21"/>
  <c r="AI1108" i="21"/>
  <c r="W1108" i="21"/>
  <c r="K1108" i="21"/>
  <c r="AU1107" i="21"/>
  <c r="AI1107" i="21"/>
  <c r="W1107" i="21"/>
  <c r="K1107" i="21"/>
  <c r="AU1106" i="21"/>
  <c r="AI1106" i="21"/>
  <c r="W1106" i="21"/>
  <c r="K1106" i="21"/>
  <c r="AU1105" i="21"/>
  <c r="AI1105" i="21"/>
  <c r="W1105" i="21"/>
  <c r="K1105" i="21"/>
  <c r="AU1104" i="21"/>
  <c r="AI1104" i="21"/>
  <c r="W1104" i="21"/>
  <c r="K1104" i="21"/>
  <c r="AU1103" i="21"/>
  <c r="AI1103" i="21"/>
  <c r="W1103" i="21"/>
  <c r="K1103" i="21"/>
  <c r="AU1102" i="21"/>
  <c r="AI1102" i="21"/>
  <c r="W1102" i="21"/>
  <c r="K1102" i="21"/>
  <c r="AU1101" i="21"/>
  <c r="AI1101" i="21"/>
  <c r="W1101" i="21"/>
  <c r="K1101" i="21"/>
  <c r="AU1100" i="21"/>
  <c r="AI1100" i="21"/>
  <c r="W1100" i="21"/>
  <c r="K1100" i="21"/>
  <c r="AU1099" i="21"/>
  <c r="AI1099" i="21"/>
  <c r="W1099" i="21"/>
  <c r="K1099" i="21"/>
  <c r="AU1098" i="21"/>
  <c r="AI1098" i="21"/>
  <c r="W1098" i="21"/>
  <c r="K1098" i="21"/>
  <c r="AU1097" i="21"/>
  <c r="AI1097" i="21"/>
  <c r="W1097" i="21"/>
  <c r="K1097" i="21"/>
  <c r="AU1096" i="21"/>
  <c r="AI1096" i="21"/>
  <c r="W1096" i="21"/>
  <c r="K1096" i="21"/>
  <c r="AU1095" i="21"/>
  <c r="AI1095" i="21"/>
  <c r="W1095" i="21"/>
  <c r="K1095" i="21"/>
  <c r="AU1094" i="21"/>
  <c r="AI1094" i="21"/>
  <c r="W1094" i="21"/>
  <c r="K1094" i="21"/>
  <c r="AU1093" i="21"/>
  <c r="AI1093" i="21"/>
  <c r="W1093" i="21"/>
  <c r="K1093" i="21"/>
  <c r="AU1092" i="21"/>
  <c r="AI1092" i="21"/>
  <c r="W1092" i="21"/>
  <c r="K1092" i="21"/>
  <c r="AU1091" i="21"/>
  <c r="AI1091" i="21"/>
  <c r="W1091" i="21"/>
  <c r="K1091" i="21"/>
  <c r="AU1090" i="21"/>
  <c r="AI1090" i="21"/>
  <c r="W1090" i="21"/>
  <c r="K1090" i="21"/>
  <c r="AU1089" i="21"/>
  <c r="AI1089" i="21"/>
  <c r="W1089" i="21"/>
  <c r="K1089" i="21"/>
  <c r="AU1088" i="21"/>
  <c r="AI1088" i="21"/>
  <c r="W1088" i="21"/>
  <c r="K1088" i="21"/>
  <c r="AU1087" i="21"/>
  <c r="AI1087" i="21"/>
  <c r="W1087" i="21"/>
  <c r="K1087" i="21"/>
  <c r="AU1086" i="21"/>
  <c r="AI1086" i="21"/>
  <c r="W1086" i="21"/>
  <c r="K1086" i="21"/>
  <c r="AU1085" i="21"/>
  <c r="AI1085" i="21"/>
  <c r="W1085" i="21"/>
  <c r="K1085" i="21"/>
  <c r="AU1084" i="21"/>
  <c r="AI1084" i="21"/>
  <c r="W1084" i="21"/>
  <c r="K1084" i="21"/>
  <c r="AU1083" i="21"/>
  <c r="AI1083" i="21"/>
  <c r="W1083" i="21"/>
  <c r="K1083" i="21"/>
  <c r="AU1082" i="21"/>
  <c r="AI1082" i="21"/>
  <c r="W1082" i="21"/>
  <c r="K1082" i="21"/>
  <c r="AU1081" i="21"/>
  <c r="AI1081" i="21"/>
  <c r="W1081" i="21"/>
  <c r="K1081" i="21"/>
  <c r="AU1080" i="21"/>
  <c r="AI1080" i="21"/>
  <c r="W1080" i="21"/>
  <c r="K1080" i="21"/>
  <c r="AU1079" i="21"/>
  <c r="AI1079" i="21"/>
  <c r="W1079" i="21"/>
  <c r="K1079" i="21"/>
  <c r="AU1078" i="21"/>
  <c r="AI1078" i="21"/>
  <c r="W1078" i="21"/>
  <c r="K1078" i="21"/>
  <c r="AU1077" i="21"/>
  <c r="AI1077" i="21"/>
  <c r="W1077" i="21"/>
  <c r="K1077" i="21"/>
  <c r="AU1076" i="21"/>
  <c r="AI1076" i="21"/>
  <c r="W1076" i="21"/>
  <c r="K1076" i="21"/>
  <c r="AU1075" i="21"/>
  <c r="AI1075" i="21"/>
  <c r="W1075" i="21"/>
  <c r="K1075" i="21"/>
  <c r="AU1074" i="21"/>
  <c r="AI1074" i="21"/>
  <c r="W1074" i="21"/>
  <c r="K1074" i="21"/>
  <c r="AU1073" i="21"/>
  <c r="AI1073" i="21"/>
  <c r="W1073" i="21"/>
  <c r="K1073" i="21"/>
  <c r="AU1072" i="21"/>
  <c r="AI1072" i="21"/>
  <c r="W1072" i="21"/>
  <c r="K1072" i="21"/>
  <c r="AU1071" i="21"/>
  <c r="AI1071" i="21"/>
  <c r="W1071" i="21"/>
  <c r="K1071" i="21"/>
  <c r="AU1070" i="21"/>
  <c r="AI1070" i="21"/>
  <c r="W1070" i="21"/>
  <c r="K1070" i="21"/>
  <c r="AU1069" i="21"/>
  <c r="AI1069" i="21"/>
  <c r="W1069" i="21"/>
  <c r="K1069" i="21"/>
  <c r="AU1068" i="21"/>
  <c r="AI1068" i="21"/>
  <c r="W1068" i="21"/>
  <c r="K1068" i="21"/>
  <c r="AU1067" i="21"/>
  <c r="AI1067" i="21"/>
  <c r="W1067" i="21"/>
  <c r="K1067" i="21"/>
  <c r="AU1066" i="21"/>
  <c r="AI1066" i="21"/>
  <c r="W1066" i="21"/>
  <c r="K1066" i="21"/>
  <c r="AU1065" i="21"/>
  <c r="AI1065" i="21"/>
  <c r="W1065" i="21"/>
  <c r="K1065" i="21"/>
  <c r="AU1064" i="21"/>
  <c r="AI1064" i="21"/>
  <c r="W1064" i="21"/>
  <c r="K1064" i="21"/>
  <c r="AU1063" i="21"/>
  <c r="AI1063" i="21"/>
  <c r="W1063" i="21"/>
  <c r="K1063" i="21"/>
  <c r="AU1062" i="21"/>
  <c r="AI1062" i="21"/>
  <c r="W1062" i="21"/>
  <c r="K1062" i="21"/>
  <c r="AU1061" i="21"/>
  <c r="AI1061" i="21"/>
  <c r="W1061" i="21"/>
  <c r="K1061" i="21"/>
  <c r="AU1060" i="21"/>
  <c r="AI1060" i="21"/>
  <c r="W1060" i="21"/>
  <c r="K1060" i="21"/>
  <c r="AU1059" i="21"/>
  <c r="AI1059" i="21"/>
  <c r="W1059" i="21"/>
  <c r="K1059" i="21"/>
  <c r="AU1058" i="21"/>
  <c r="AI1058" i="21"/>
  <c r="W1058" i="21"/>
  <c r="K1058" i="21"/>
  <c r="AU1057" i="21"/>
  <c r="AI1057" i="21"/>
  <c r="W1057" i="21"/>
  <c r="K1057" i="21"/>
  <c r="AU1056" i="21"/>
  <c r="AI1056" i="21"/>
  <c r="W1056" i="21"/>
  <c r="K1056" i="21"/>
  <c r="AU1055" i="21"/>
  <c r="AI1055" i="21"/>
  <c r="W1055" i="21"/>
  <c r="K1055" i="21"/>
  <c r="AU1054" i="21"/>
  <c r="AI1054" i="21"/>
  <c r="W1054" i="21"/>
  <c r="K1054" i="21"/>
  <c r="AU1053" i="21"/>
  <c r="AI1053" i="21"/>
  <c r="W1053" i="21"/>
  <c r="K1053" i="21"/>
  <c r="AU1052" i="21"/>
  <c r="AI1052" i="21"/>
  <c r="W1052" i="21"/>
  <c r="K1052" i="21"/>
  <c r="AU1051" i="21"/>
  <c r="AI1051" i="21"/>
  <c r="W1051" i="21"/>
  <c r="K1051" i="21"/>
  <c r="AU1050" i="21"/>
  <c r="AI1050" i="21"/>
  <c r="W1050" i="21"/>
  <c r="K1050" i="21"/>
  <c r="AU1049" i="21"/>
  <c r="AI1049" i="21"/>
  <c r="W1049" i="21"/>
  <c r="K1049" i="21"/>
  <c r="AU1048" i="21"/>
  <c r="AI1048" i="21"/>
  <c r="W1048" i="21"/>
  <c r="K1048" i="21"/>
  <c r="AU1047" i="21"/>
  <c r="AI1047" i="21"/>
  <c r="W1047" i="21"/>
  <c r="K1047" i="21"/>
  <c r="AU1046" i="21"/>
  <c r="AI1046" i="21"/>
  <c r="W1046" i="21"/>
  <c r="K1046" i="21"/>
  <c r="AU1045" i="21"/>
  <c r="AI1045" i="21"/>
  <c r="W1045" i="21"/>
  <c r="K1045" i="21"/>
  <c r="AU1044" i="21"/>
  <c r="AI1044" i="21"/>
  <c r="W1044" i="21"/>
  <c r="K1044" i="21"/>
  <c r="AU1043" i="21"/>
  <c r="AI1043" i="21"/>
  <c r="W1043" i="21"/>
  <c r="K1043" i="21"/>
  <c r="AU1042" i="21"/>
  <c r="AI1042" i="21"/>
  <c r="W1042" i="21"/>
  <c r="K1042" i="21"/>
  <c r="AU1041" i="21"/>
  <c r="AI1041" i="21"/>
  <c r="W1041" i="21"/>
  <c r="K1041" i="21"/>
  <c r="AU1040" i="21"/>
  <c r="AI1040" i="21"/>
  <c r="W1040" i="21"/>
  <c r="K1040" i="21"/>
  <c r="AU1039" i="21"/>
  <c r="AI1039" i="21"/>
  <c r="W1039" i="21"/>
  <c r="K1039" i="21"/>
  <c r="AU1038" i="21"/>
  <c r="AI1038" i="21"/>
  <c r="W1038" i="21"/>
  <c r="K1038" i="21"/>
  <c r="AU1037" i="21"/>
  <c r="AI1037" i="21"/>
  <c r="W1037" i="21"/>
  <c r="K1037" i="21"/>
  <c r="AU1036" i="21"/>
  <c r="AI1036" i="21"/>
  <c r="W1036" i="21"/>
  <c r="K1036" i="21"/>
  <c r="AU1035" i="21"/>
  <c r="AI1035" i="21"/>
  <c r="W1035" i="21"/>
  <c r="K1035" i="21"/>
  <c r="AU1034" i="21"/>
  <c r="AI1034" i="21"/>
  <c r="W1034" i="21"/>
  <c r="K1034" i="21"/>
  <c r="AU1033" i="21"/>
  <c r="AI1033" i="21"/>
  <c r="W1033" i="21"/>
  <c r="K1033" i="21"/>
  <c r="AU1032" i="21"/>
  <c r="AI1032" i="21"/>
  <c r="W1032" i="21"/>
  <c r="K1032" i="21"/>
  <c r="AU1031" i="21"/>
  <c r="AI1031" i="21"/>
  <c r="W1031" i="21"/>
  <c r="K1031" i="21"/>
  <c r="AU1030" i="21"/>
  <c r="AI1030" i="21"/>
  <c r="W1030" i="21"/>
  <c r="K1030" i="21"/>
  <c r="AU1029" i="21"/>
  <c r="AI1029" i="21"/>
  <c r="W1029" i="21"/>
  <c r="K1029" i="21"/>
  <c r="AU1028" i="21"/>
  <c r="AI1028" i="21"/>
  <c r="W1028" i="21"/>
  <c r="K1028" i="21"/>
  <c r="AU1027" i="21"/>
  <c r="AI1027" i="21"/>
  <c r="W1027" i="21"/>
  <c r="K1027" i="21"/>
  <c r="AU1026" i="21"/>
  <c r="AI1026" i="21"/>
  <c r="W1026" i="21"/>
  <c r="K1026" i="21"/>
  <c r="AU1025" i="21"/>
  <c r="AI1025" i="21"/>
  <c r="W1025" i="21"/>
  <c r="K1025" i="21"/>
  <c r="AU1024" i="21"/>
  <c r="AI1024" i="21"/>
  <c r="W1024" i="21"/>
  <c r="K1024" i="21"/>
  <c r="AU1023" i="21"/>
  <c r="AI1023" i="21"/>
  <c r="W1023" i="21"/>
  <c r="K1023" i="21"/>
  <c r="AU1022" i="21"/>
  <c r="AI1022" i="21"/>
  <c r="W1022" i="21"/>
  <c r="K1022" i="21"/>
  <c r="AU1021" i="21"/>
  <c r="AI1021" i="21"/>
  <c r="W1021" i="21"/>
  <c r="K1021" i="21"/>
  <c r="AU1020" i="21"/>
  <c r="AI1020" i="21"/>
  <c r="W1020" i="21"/>
  <c r="K1020" i="21"/>
  <c r="AU1019" i="21"/>
  <c r="AI1019" i="21"/>
  <c r="W1019" i="21"/>
  <c r="K1019" i="21"/>
  <c r="AU1018" i="21"/>
  <c r="AI1018" i="21"/>
  <c r="W1018" i="21"/>
  <c r="K1018" i="21"/>
  <c r="AU1017" i="21"/>
  <c r="AI1017" i="21"/>
  <c r="W1017" i="21"/>
  <c r="K1017" i="21"/>
  <c r="AU1016" i="21"/>
  <c r="AI1016" i="21"/>
  <c r="W1016" i="21"/>
  <c r="K1016" i="21"/>
  <c r="AU1015" i="21"/>
  <c r="AI1015" i="21"/>
  <c r="W1015" i="21"/>
  <c r="K1015" i="21"/>
  <c r="AU1014" i="21"/>
  <c r="AI1014" i="21"/>
  <c r="W1014" i="21"/>
  <c r="K1014" i="21"/>
  <c r="AU1013" i="21"/>
  <c r="AI1013" i="21"/>
  <c r="W1013" i="21"/>
  <c r="K1013" i="21"/>
  <c r="AU1012" i="21"/>
  <c r="AI1012" i="21"/>
  <c r="W1012" i="21"/>
  <c r="K1012" i="21"/>
  <c r="AU1011" i="21"/>
  <c r="AI1011" i="21"/>
  <c r="W1011" i="21"/>
  <c r="K1011" i="21"/>
  <c r="AU1010" i="21"/>
  <c r="AI1010" i="21"/>
  <c r="W1010" i="21"/>
  <c r="K1010" i="21"/>
  <c r="AU1009" i="21"/>
  <c r="AI1009" i="21"/>
  <c r="W1009" i="21"/>
  <c r="K1009" i="21"/>
  <c r="AU1008" i="21"/>
  <c r="AI1008" i="21"/>
  <c r="W1008" i="21"/>
  <c r="K1008" i="21"/>
  <c r="AU1007" i="21"/>
  <c r="AI1007" i="21"/>
  <c r="W1007" i="21"/>
  <c r="K1007" i="21"/>
  <c r="AU1006" i="21"/>
  <c r="AI1006" i="21"/>
  <c r="W1006" i="21"/>
  <c r="K1006" i="21"/>
  <c r="AU1005" i="21"/>
  <c r="AI1005" i="21"/>
  <c r="W1005" i="21"/>
  <c r="K1005" i="21"/>
  <c r="AU1004" i="21"/>
  <c r="AI1004" i="21"/>
  <c r="W1004" i="21"/>
  <c r="K1004" i="21"/>
  <c r="AU1003" i="21"/>
  <c r="AI1003" i="21"/>
  <c r="W1003" i="21"/>
  <c r="K1003" i="21"/>
  <c r="AU1002" i="21"/>
  <c r="AI1002" i="21"/>
  <c r="W1002" i="21"/>
  <c r="K1002" i="21"/>
  <c r="AU1001" i="21"/>
  <c r="AI1001" i="21"/>
  <c r="W1001" i="21"/>
  <c r="K1001" i="21"/>
  <c r="AU1000" i="21"/>
  <c r="AI1000" i="21"/>
  <c r="W1000" i="21"/>
  <c r="K1000" i="21"/>
  <c r="AU999" i="21"/>
  <c r="AI999" i="21"/>
  <c r="W999" i="21"/>
  <c r="K999" i="21"/>
  <c r="AU998" i="21"/>
  <c r="AI998" i="21"/>
  <c r="W998" i="21"/>
  <c r="K998" i="21"/>
  <c r="AU997" i="21"/>
  <c r="AI997" i="21"/>
  <c r="W997" i="21"/>
  <c r="K997" i="21"/>
  <c r="AU996" i="21"/>
  <c r="AI996" i="21"/>
  <c r="W996" i="21"/>
  <c r="K996" i="21"/>
  <c r="AU995" i="21"/>
  <c r="AI995" i="21"/>
  <c r="W995" i="21"/>
  <c r="K995" i="21"/>
  <c r="AU994" i="21"/>
  <c r="AI994" i="21"/>
  <c r="W994" i="21"/>
  <c r="K994" i="21"/>
  <c r="AU993" i="21"/>
  <c r="AI993" i="21"/>
  <c r="W993" i="21"/>
  <c r="K993" i="21"/>
  <c r="AU992" i="21"/>
  <c r="AI992" i="21"/>
  <c r="W992" i="21"/>
  <c r="K992" i="21"/>
  <c r="AU991" i="21"/>
  <c r="AI991" i="21"/>
  <c r="W991" i="21"/>
  <c r="K991" i="21"/>
  <c r="AU990" i="21"/>
  <c r="AI990" i="21"/>
  <c r="W990" i="21"/>
  <c r="K990" i="21"/>
  <c r="AU989" i="21"/>
  <c r="AI989" i="21"/>
  <c r="W989" i="21"/>
  <c r="K989" i="21"/>
  <c r="AU988" i="21"/>
  <c r="AI988" i="21"/>
  <c r="W988" i="21"/>
  <c r="K988" i="21"/>
  <c r="AU987" i="21"/>
  <c r="AI987" i="21"/>
  <c r="W987" i="21"/>
  <c r="K987" i="21"/>
  <c r="AU986" i="21"/>
  <c r="AI986" i="21"/>
  <c r="W986" i="21"/>
  <c r="K986" i="21"/>
  <c r="AU985" i="21"/>
  <c r="AI985" i="21"/>
  <c r="W985" i="21"/>
  <c r="K985" i="21"/>
  <c r="AU984" i="21"/>
  <c r="AI984" i="21"/>
  <c r="W984" i="21"/>
  <c r="K984" i="21"/>
  <c r="AU983" i="21"/>
  <c r="AI983" i="21"/>
  <c r="W983" i="21"/>
  <c r="K983" i="21"/>
  <c r="AU982" i="21"/>
  <c r="AI982" i="21"/>
  <c r="W982" i="21"/>
  <c r="K982" i="21"/>
  <c r="AU981" i="21"/>
  <c r="AI981" i="21"/>
  <c r="W981" i="21"/>
  <c r="K981" i="21"/>
  <c r="AU980" i="21"/>
  <c r="AI980" i="21"/>
  <c r="W980" i="21"/>
  <c r="K980" i="21"/>
  <c r="AU979" i="21"/>
  <c r="AI979" i="21"/>
  <c r="W979" i="21"/>
  <c r="K979" i="21"/>
  <c r="AU978" i="21"/>
  <c r="AI978" i="21"/>
  <c r="W978" i="21"/>
  <c r="K978" i="21"/>
  <c r="AU977" i="21"/>
  <c r="AI977" i="21"/>
  <c r="W977" i="21"/>
  <c r="K977" i="21"/>
  <c r="AU976" i="21"/>
  <c r="AI976" i="21"/>
  <c r="W976" i="21"/>
  <c r="K976" i="21"/>
  <c r="AU975" i="21"/>
  <c r="AI975" i="21"/>
  <c r="W975" i="21"/>
  <c r="K975" i="21"/>
  <c r="AU974" i="21"/>
  <c r="AI974" i="21"/>
  <c r="W974" i="21"/>
  <c r="K974" i="21"/>
  <c r="AU973" i="21"/>
  <c r="AI973" i="21"/>
  <c r="W973" i="21"/>
  <c r="K973" i="21"/>
  <c r="AU972" i="21"/>
  <c r="AI972" i="21"/>
  <c r="W972" i="21"/>
  <c r="K972" i="21"/>
  <c r="AU971" i="21"/>
  <c r="AI971" i="21"/>
  <c r="W971" i="21"/>
  <c r="K971" i="21"/>
  <c r="AU970" i="21"/>
  <c r="AI970" i="21"/>
  <c r="W970" i="21"/>
  <c r="K970" i="21"/>
  <c r="AU969" i="21"/>
  <c r="AI969" i="21"/>
  <c r="W969" i="21"/>
  <c r="K969" i="21"/>
  <c r="AU968" i="21"/>
  <c r="AI968" i="21"/>
  <c r="W968" i="21"/>
  <c r="K968" i="21"/>
  <c r="AU967" i="21"/>
  <c r="AI967" i="21"/>
  <c r="W967" i="21"/>
  <c r="K967" i="21"/>
  <c r="AU966" i="21"/>
  <c r="AI966" i="21"/>
  <c r="W966" i="21"/>
  <c r="K966" i="21"/>
  <c r="AU965" i="21"/>
  <c r="AI965" i="21"/>
  <c r="W965" i="21"/>
  <c r="K965" i="21"/>
  <c r="AU964" i="21"/>
  <c r="AI964" i="21"/>
  <c r="W964" i="21"/>
  <c r="K964" i="21"/>
  <c r="AU963" i="21"/>
  <c r="AI963" i="21"/>
  <c r="W963" i="21"/>
  <c r="K963" i="21"/>
  <c r="AU962" i="21"/>
  <c r="AI962" i="21"/>
  <c r="W962" i="21"/>
  <c r="K962" i="21"/>
  <c r="AU961" i="21"/>
  <c r="AI961" i="21"/>
  <c r="W961" i="21"/>
  <c r="K961" i="21"/>
  <c r="AU960" i="21"/>
  <c r="AI960" i="21"/>
  <c r="W960" i="21"/>
  <c r="K960" i="21"/>
  <c r="AU959" i="21"/>
  <c r="AI959" i="21"/>
  <c r="W959" i="21"/>
  <c r="K959" i="21"/>
  <c r="AU958" i="21"/>
  <c r="AI958" i="21"/>
  <c r="W958" i="21"/>
  <c r="K958" i="21"/>
  <c r="AU957" i="21"/>
  <c r="AI957" i="21"/>
  <c r="W957" i="21"/>
  <c r="K957" i="21"/>
  <c r="AU956" i="21"/>
  <c r="AI956" i="21"/>
  <c r="W956" i="21"/>
  <c r="K956" i="21"/>
  <c r="AU955" i="21"/>
  <c r="AI955" i="21"/>
  <c r="W955" i="21"/>
  <c r="K955" i="21"/>
  <c r="AU954" i="21"/>
  <c r="AI954" i="21"/>
  <c r="W954" i="21"/>
  <c r="K954" i="21"/>
  <c r="AU953" i="21"/>
  <c r="AI953" i="21"/>
  <c r="W953" i="21"/>
  <c r="K953" i="21"/>
  <c r="AU952" i="21"/>
  <c r="AI952" i="21"/>
  <c r="W952" i="21"/>
  <c r="K952" i="21"/>
  <c r="AU951" i="21"/>
  <c r="AI951" i="21"/>
  <c r="W951" i="21"/>
  <c r="K951" i="21"/>
  <c r="AU950" i="21"/>
  <c r="AI950" i="21"/>
  <c r="W950" i="21"/>
  <c r="K950" i="21"/>
  <c r="AU949" i="21"/>
  <c r="AI949" i="21"/>
  <c r="W949" i="21"/>
  <c r="K949" i="21"/>
  <c r="AU948" i="21"/>
  <c r="AI948" i="21"/>
  <c r="W948" i="21"/>
  <c r="K948" i="21"/>
  <c r="AU947" i="21"/>
  <c r="AI947" i="21"/>
  <c r="W947" i="21"/>
  <c r="K947" i="21"/>
  <c r="AU946" i="21"/>
  <c r="AI946" i="21"/>
  <c r="W946" i="21"/>
  <c r="K946" i="21"/>
  <c r="AU945" i="21"/>
  <c r="AI945" i="21"/>
  <c r="W945" i="21"/>
  <c r="K945" i="21"/>
  <c r="AU944" i="21"/>
  <c r="AI944" i="21"/>
  <c r="W944" i="21"/>
  <c r="K944" i="21"/>
  <c r="AU943" i="21"/>
  <c r="AI943" i="21"/>
  <c r="W943" i="21"/>
  <c r="K943" i="21"/>
  <c r="AU942" i="21"/>
  <c r="AI942" i="21"/>
  <c r="W942" i="21"/>
  <c r="K942" i="21"/>
  <c r="AU941" i="21"/>
  <c r="AI941" i="21"/>
  <c r="W941" i="21"/>
  <c r="K941" i="21"/>
  <c r="AU940" i="21"/>
  <c r="AI940" i="21"/>
  <c r="W940" i="21"/>
  <c r="K940" i="21"/>
  <c r="AU939" i="21"/>
  <c r="AI939" i="21"/>
  <c r="W939" i="21"/>
  <c r="K939" i="21"/>
  <c r="AU938" i="21"/>
  <c r="AI938" i="21"/>
  <c r="W938" i="21"/>
  <c r="K938" i="21"/>
  <c r="AU937" i="21"/>
  <c r="AI937" i="21"/>
  <c r="W937" i="21"/>
  <c r="K937" i="21"/>
  <c r="AU936" i="21"/>
  <c r="AI936" i="21"/>
  <c r="W936" i="21"/>
  <c r="K936" i="21"/>
  <c r="AU935" i="21"/>
  <c r="AI935" i="21"/>
  <c r="W935" i="21"/>
  <c r="K935" i="21"/>
  <c r="AU934" i="21"/>
  <c r="AI934" i="21"/>
  <c r="W934" i="21"/>
  <c r="K934" i="21"/>
  <c r="AU933" i="21"/>
  <c r="AI933" i="21"/>
  <c r="W933" i="21"/>
  <c r="K933" i="21"/>
  <c r="AU932" i="21"/>
  <c r="AI932" i="21"/>
  <c r="W932" i="21"/>
  <c r="K932" i="21"/>
  <c r="AU931" i="21"/>
  <c r="AI931" i="21"/>
  <c r="W931" i="21"/>
  <c r="K931" i="21"/>
  <c r="AU930" i="21"/>
  <c r="AI930" i="21"/>
  <c r="W930" i="21"/>
  <c r="K930" i="21"/>
  <c r="AU929" i="21"/>
  <c r="AI929" i="21"/>
  <c r="W929" i="21"/>
  <c r="K929" i="21"/>
  <c r="AU928" i="21"/>
  <c r="AI928" i="21"/>
  <c r="W928" i="21"/>
  <c r="K928" i="21"/>
  <c r="AU927" i="21"/>
  <c r="AI927" i="21"/>
  <c r="W927" i="21"/>
  <c r="K927" i="21"/>
  <c r="AU926" i="21"/>
  <c r="AI926" i="21"/>
  <c r="W926" i="21"/>
  <c r="K926" i="21"/>
  <c r="AU925" i="21"/>
  <c r="AI925" i="21"/>
  <c r="W925" i="21"/>
  <c r="K925" i="21"/>
  <c r="AU924" i="21"/>
  <c r="AI924" i="21"/>
  <c r="W924" i="21"/>
  <c r="K924" i="21"/>
  <c r="AU923" i="21"/>
  <c r="AI923" i="21"/>
  <c r="W923" i="21"/>
  <c r="K923" i="21"/>
  <c r="AU922" i="21"/>
  <c r="AI922" i="21"/>
  <c r="W922" i="21"/>
  <c r="K922" i="21"/>
  <c r="AU921" i="21"/>
  <c r="AI921" i="21"/>
  <c r="W921" i="21"/>
  <c r="K921" i="21"/>
  <c r="AU920" i="21"/>
  <c r="AI920" i="21"/>
  <c r="W920" i="21"/>
  <c r="K920" i="21"/>
  <c r="AU919" i="21"/>
  <c r="AI919" i="21"/>
  <c r="W919" i="21"/>
  <c r="K919" i="21"/>
  <c r="AU918" i="21"/>
  <c r="AI918" i="21"/>
  <c r="W918" i="21"/>
  <c r="K918" i="21"/>
  <c r="AU917" i="21"/>
  <c r="AI917" i="21"/>
  <c r="W917" i="21"/>
  <c r="K917" i="21"/>
  <c r="AU916" i="21"/>
  <c r="AI916" i="21"/>
  <c r="W916" i="21"/>
  <c r="K916" i="21"/>
  <c r="AU915" i="21"/>
  <c r="AI915" i="21"/>
  <c r="W915" i="21"/>
  <c r="K915" i="21"/>
  <c r="AU914" i="21"/>
  <c r="AI914" i="21"/>
  <c r="W914" i="21"/>
  <c r="K914" i="21"/>
  <c r="AU913" i="21"/>
  <c r="AI913" i="21"/>
  <c r="W913" i="21"/>
  <c r="K913" i="21"/>
  <c r="AU912" i="21"/>
  <c r="AI912" i="21"/>
  <c r="W912" i="21"/>
  <c r="K912" i="21"/>
  <c r="AU911" i="21"/>
  <c r="AI911" i="21"/>
  <c r="W911" i="21"/>
  <c r="K911" i="21"/>
  <c r="AU910" i="21"/>
  <c r="AI910" i="21"/>
  <c r="W910" i="21"/>
  <c r="K910" i="21"/>
  <c r="AU909" i="21"/>
  <c r="AI909" i="21"/>
  <c r="W909" i="21"/>
  <c r="K909" i="21"/>
  <c r="AU908" i="21"/>
  <c r="AI908" i="21"/>
  <c r="W908" i="21"/>
  <c r="K908" i="21"/>
  <c r="AU907" i="21"/>
  <c r="AI907" i="21"/>
  <c r="W907" i="21"/>
  <c r="K907" i="21"/>
  <c r="AU906" i="21"/>
  <c r="AI906" i="21"/>
  <c r="W906" i="21"/>
  <c r="K906" i="21"/>
  <c r="AU905" i="21"/>
  <c r="AI905" i="21"/>
  <c r="W905" i="21"/>
  <c r="K905" i="21"/>
  <c r="AU904" i="21"/>
  <c r="AI904" i="21"/>
  <c r="W904" i="21"/>
  <c r="K904" i="21"/>
  <c r="AU903" i="21"/>
  <c r="AI903" i="21"/>
  <c r="W903" i="21"/>
  <c r="K903" i="21"/>
  <c r="AU902" i="21"/>
  <c r="AI902" i="21"/>
  <c r="W902" i="21"/>
  <c r="K902" i="21"/>
  <c r="AU901" i="21"/>
  <c r="AI901" i="21"/>
  <c r="W901" i="21"/>
  <c r="K901" i="21"/>
  <c r="AU900" i="21"/>
  <c r="AI900" i="21"/>
  <c r="W900" i="21"/>
  <c r="K900" i="21"/>
  <c r="AU899" i="21"/>
  <c r="AI899" i="21"/>
  <c r="W899" i="21"/>
  <c r="K899" i="21"/>
  <c r="AU898" i="21"/>
  <c r="AI898" i="21"/>
  <c r="W898" i="21"/>
  <c r="K898" i="21"/>
  <c r="AU897" i="21"/>
  <c r="AI897" i="21"/>
  <c r="W897" i="21"/>
  <c r="K897" i="21"/>
  <c r="AU896" i="21"/>
  <c r="AI896" i="21"/>
  <c r="W896" i="21"/>
  <c r="K896" i="21"/>
  <c r="AU895" i="21"/>
  <c r="AI895" i="21"/>
  <c r="W895" i="21"/>
  <c r="K895" i="21"/>
  <c r="AU894" i="21"/>
  <c r="AI894" i="21"/>
  <c r="W894" i="21"/>
  <c r="K894" i="21"/>
  <c r="AU893" i="21"/>
  <c r="AI893" i="21"/>
  <c r="W893" i="21"/>
  <c r="K893" i="21"/>
  <c r="AU892" i="21"/>
  <c r="AI892" i="21"/>
  <c r="W892" i="21"/>
  <c r="K892" i="21"/>
  <c r="AU891" i="21"/>
  <c r="AI891" i="21"/>
  <c r="W891" i="21"/>
  <c r="K891" i="21"/>
  <c r="AU890" i="21"/>
  <c r="AI890" i="21"/>
  <c r="W890" i="21"/>
  <c r="K890" i="21"/>
  <c r="AU889" i="21"/>
  <c r="AI889" i="21"/>
  <c r="W889" i="21"/>
  <c r="K889" i="21"/>
  <c r="AU888" i="21"/>
  <c r="AI888" i="21"/>
  <c r="W888" i="21"/>
  <c r="K888" i="21"/>
  <c r="AU887" i="21"/>
  <c r="AI887" i="21"/>
  <c r="W887" i="21"/>
  <c r="K887" i="21"/>
  <c r="AU886" i="21"/>
  <c r="AI886" i="21"/>
  <c r="W886" i="21"/>
  <c r="K886" i="21"/>
  <c r="AU885" i="21"/>
  <c r="AI885" i="21"/>
  <c r="W885" i="21"/>
  <c r="K885" i="21"/>
  <c r="AU884" i="21"/>
  <c r="AI884" i="21"/>
  <c r="W884" i="21"/>
  <c r="K884" i="21"/>
  <c r="AU883" i="21"/>
  <c r="AI883" i="21"/>
  <c r="W883" i="21"/>
  <c r="K883" i="21"/>
  <c r="AU882" i="21"/>
  <c r="AI882" i="21"/>
  <c r="W882" i="21"/>
  <c r="K882" i="21"/>
  <c r="AU881" i="21"/>
  <c r="AI881" i="21"/>
  <c r="W881" i="21"/>
  <c r="K881" i="21"/>
  <c r="AU880" i="21"/>
  <c r="AI880" i="21"/>
  <c r="W880" i="21"/>
  <c r="K880" i="21"/>
  <c r="AU879" i="21"/>
  <c r="AI879" i="21"/>
  <c r="W879" i="21"/>
  <c r="K879" i="21"/>
  <c r="AU878" i="21"/>
  <c r="AI878" i="21"/>
  <c r="W878" i="21"/>
  <c r="K878" i="21"/>
  <c r="AU877" i="21"/>
  <c r="AI877" i="21"/>
  <c r="W877" i="21"/>
  <c r="K877" i="21"/>
  <c r="AU876" i="21"/>
  <c r="AI876" i="21"/>
  <c r="W876" i="21"/>
  <c r="K876" i="21"/>
  <c r="AU875" i="21"/>
  <c r="AI875" i="21"/>
  <c r="W875" i="21"/>
  <c r="K875" i="21"/>
  <c r="AU874" i="21"/>
  <c r="AI874" i="21"/>
  <c r="W874" i="21"/>
  <c r="K874" i="21"/>
  <c r="AU873" i="21"/>
  <c r="AI873" i="21"/>
  <c r="W873" i="21"/>
  <c r="K873" i="21"/>
  <c r="AU872" i="21"/>
  <c r="AI872" i="21"/>
  <c r="W872" i="21"/>
  <c r="K872" i="21"/>
  <c r="AU871" i="21"/>
  <c r="AI871" i="21"/>
  <c r="W871" i="21"/>
  <c r="K871" i="21"/>
  <c r="AU870" i="21"/>
  <c r="AI870" i="21"/>
  <c r="W870" i="21"/>
  <c r="K870" i="21"/>
  <c r="AU869" i="21"/>
  <c r="AI869" i="21"/>
  <c r="W869" i="21"/>
  <c r="K869" i="21"/>
  <c r="AU868" i="21"/>
  <c r="AI868" i="21"/>
  <c r="W868" i="21"/>
  <c r="K868" i="21"/>
  <c r="AU867" i="21"/>
  <c r="AI867" i="21"/>
  <c r="W867" i="21"/>
  <c r="K867" i="21"/>
  <c r="AU866" i="21"/>
  <c r="AI866" i="21"/>
  <c r="W866" i="21"/>
  <c r="K866" i="21"/>
  <c r="AU865" i="21"/>
  <c r="AI865" i="21"/>
  <c r="W865" i="21"/>
  <c r="K865" i="21"/>
  <c r="AU864" i="21"/>
  <c r="AI864" i="21"/>
  <c r="W864" i="21"/>
  <c r="K864" i="21"/>
  <c r="AU863" i="21"/>
  <c r="AI863" i="21"/>
  <c r="W863" i="21"/>
  <c r="K863" i="21"/>
  <c r="AU862" i="21"/>
  <c r="AI862" i="21"/>
  <c r="W862" i="21"/>
  <c r="K862" i="21"/>
  <c r="AU861" i="21"/>
  <c r="AI861" i="21"/>
  <c r="W861" i="21"/>
  <c r="K861" i="21"/>
  <c r="AU860" i="21"/>
  <c r="AI860" i="21"/>
  <c r="W860" i="21"/>
  <c r="K860" i="21"/>
  <c r="AU859" i="21"/>
  <c r="AI859" i="21"/>
  <c r="W859" i="21"/>
  <c r="K859" i="21"/>
  <c r="AU858" i="21"/>
  <c r="AI858" i="21"/>
  <c r="W858" i="21"/>
  <c r="K858" i="21"/>
  <c r="AU857" i="21"/>
  <c r="AI857" i="21"/>
  <c r="W857" i="21"/>
  <c r="K857" i="21"/>
  <c r="AU856" i="21"/>
  <c r="AI856" i="21"/>
  <c r="W856" i="21"/>
  <c r="K856" i="21"/>
  <c r="AU855" i="21"/>
  <c r="AI855" i="21"/>
  <c r="W855" i="21"/>
  <c r="K855" i="21"/>
  <c r="AU854" i="21"/>
  <c r="AI854" i="21"/>
  <c r="W854" i="21"/>
  <c r="K854" i="21"/>
  <c r="AU853" i="21"/>
  <c r="AI853" i="21"/>
  <c r="W853" i="21"/>
  <c r="K853" i="21"/>
  <c r="AU852" i="21"/>
  <c r="AI852" i="21"/>
  <c r="W852" i="21"/>
  <c r="K852" i="21"/>
  <c r="AU851" i="21"/>
  <c r="AI851" i="21"/>
  <c r="W851" i="21"/>
  <c r="K851" i="21"/>
  <c r="AU850" i="21"/>
  <c r="AI850" i="21"/>
  <c r="W850" i="21"/>
  <c r="K850" i="21"/>
  <c r="AU849" i="21"/>
  <c r="AI849" i="21"/>
  <c r="W849" i="21"/>
  <c r="K849" i="21"/>
  <c r="AU848" i="21"/>
  <c r="AI848" i="21"/>
  <c r="W848" i="21"/>
  <c r="K848" i="21"/>
  <c r="AU847" i="21"/>
  <c r="AI847" i="21"/>
  <c r="W847" i="21"/>
  <c r="K847" i="21"/>
  <c r="AU846" i="21"/>
  <c r="AI846" i="21"/>
  <c r="W846" i="21"/>
  <c r="K846" i="21"/>
  <c r="AU845" i="21"/>
  <c r="AI845" i="21"/>
  <c r="W845" i="21"/>
  <c r="K845" i="21"/>
  <c r="AU844" i="21"/>
  <c r="AI844" i="21"/>
  <c r="W844" i="21"/>
  <c r="K844" i="21"/>
  <c r="AU843" i="21"/>
  <c r="AI843" i="21"/>
  <c r="W843" i="21"/>
  <c r="K843" i="21"/>
  <c r="AU842" i="21"/>
  <c r="AI842" i="21"/>
  <c r="W842" i="21"/>
  <c r="K842" i="21"/>
  <c r="AU841" i="21"/>
  <c r="AI841" i="21"/>
  <c r="W841" i="21"/>
  <c r="K841" i="21"/>
  <c r="AU840" i="21"/>
  <c r="AI840" i="21"/>
  <c r="W840" i="21"/>
  <c r="K840" i="21"/>
  <c r="AU839" i="21"/>
  <c r="AI839" i="21"/>
  <c r="W839" i="21"/>
  <c r="K839" i="21"/>
  <c r="AU838" i="21"/>
  <c r="AI838" i="21"/>
  <c r="W838" i="21"/>
  <c r="K838" i="21"/>
  <c r="AU837" i="21"/>
  <c r="AI837" i="21"/>
  <c r="W837" i="21"/>
  <c r="K837" i="21"/>
  <c r="AU836" i="21"/>
  <c r="AI836" i="21"/>
  <c r="W836" i="21"/>
  <c r="K836" i="21"/>
  <c r="AU835" i="21"/>
  <c r="AI835" i="21"/>
  <c r="W835" i="21"/>
  <c r="K835" i="21"/>
  <c r="AU834" i="21"/>
  <c r="AI834" i="21"/>
  <c r="W834" i="21"/>
  <c r="K834" i="21"/>
  <c r="AU833" i="21"/>
  <c r="AI833" i="21"/>
  <c r="W833" i="21"/>
  <c r="K833" i="21"/>
  <c r="AU832" i="21"/>
  <c r="AI832" i="21"/>
  <c r="W832" i="21"/>
  <c r="K832" i="21"/>
  <c r="AU831" i="21"/>
  <c r="AI831" i="21"/>
  <c r="W831" i="21"/>
  <c r="K831" i="21"/>
  <c r="AU830" i="21"/>
  <c r="AI830" i="21"/>
  <c r="W830" i="21"/>
  <c r="K830" i="21"/>
  <c r="AU829" i="21"/>
  <c r="AI829" i="21"/>
  <c r="W829" i="21"/>
  <c r="K829" i="21"/>
  <c r="AU828" i="21"/>
  <c r="AI828" i="21"/>
  <c r="W828" i="21"/>
  <c r="K828" i="21"/>
  <c r="AU827" i="21"/>
  <c r="AI827" i="21"/>
  <c r="W827" i="21"/>
  <c r="K827" i="21"/>
  <c r="AU826" i="21"/>
  <c r="AI826" i="21"/>
  <c r="W826" i="21"/>
  <c r="K826" i="21"/>
  <c r="AU825" i="21"/>
  <c r="AI825" i="21"/>
  <c r="W825" i="21"/>
  <c r="K825" i="21"/>
  <c r="AU824" i="21"/>
  <c r="AI824" i="21"/>
  <c r="W824" i="21"/>
  <c r="K824" i="21"/>
  <c r="AU823" i="21"/>
  <c r="AI823" i="21"/>
  <c r="W823" i="21"/>
  <c r="K823" i="21"/>
  <c r="AU822" i="21"/>
  <c r="AI822" i="21"/>
  <c r="W822" i="21"/>
  <c r="K822" i="21"/>
  <c r="AU821" i="21"/>
  <c r="AI821" i="21"/>
  <c r="W821" i="21"/>
  <c r="K821" i="21"/>
  <c r="AU820" i="21"/>
  <c r="AI820" i="21"/>
  <c r="W820" i="21"/>
  <c r="K820" i="21"/>
  <c r="AU819" i="21"/>
  <c r="AI819" i="21"/>
  <c r="W819" i="21"/>
  <c r="K819" i="21"/>
  <c r="AU818" i="21"/>
  <c r="AI818" i="21"/>
  <c r="W818" i="21"/>
  <c r="K818" i="21"/>
  <c r="AU817" i="21"/>
  <c r="AI817" i="21"/>
  <c r="W817" i="21"/>
  <c r="K817" i="21"/>
  <c r="AU816" i="21"/>
  <c r="AI816" i="21"/>
  <c r="W816" i="21"/>
  <c r="K816" i="21"/>
  <c r="AU815" i="21"/>
  <c r="AI815" i="21"/>
  <c r="W815" i="21"/>
  <c r="K815" i="21"/>
  <c r="AU814" i="21"/>
  <c r="AI814" i="21"/>
  <c r="W814" i="21"/>
  <c r="K814" i="21"/>
  <c r="AU813" i="21"/>
  <c r="AI813" i="21"/>
  <c r="W813" i="21"/>
  <c r="K813" i="21"/>
  <c r="AU812" i="21"/>
  <c r="AI812" i="21"/>
  <c r="W812" i="21"/>
  <c r="K812" i="21"/>
  <c r="AU811" i="21"/>
  <c r="AI811" i="21"/>
  <c r="W811" i="21"/>
  <c r="K811" i="21"/>
  <c r="AU810" i="21"/>
  <c r="AI810" i="21"/>
  <c r="W810" i="21"/>
  <c r="K810" i="21"/>
  <c r="AU809" i="21"/>
  <c r="AI809" i="21"/>
  <c r="W809" i="21"/>
  <c r="K809" i="21"/>
  <c r="AU808" i="21"/>
  <c r="AI808" i="21"/>
  <c r="W808" i="21"/>
  <c r="K808" i="21"/>
  <c r="AU807" i="21"/>
  <c r="AI807" i="21"/>
  <c r="W807" i="21"/>
  <c r="K807" i="21"/>
  <c r="AU806" i="21"/>
  <c r="AI806" i="21"/>
  <c r="W806" i="21"/>
  <c r="K806" i="21"/>
  <c r="AU805" i="21"/>
  <c r="AI805" i="21"/>
  <c r="W805" i="21"/>
  <c r="K805" i="21"/>
  <c r="AU804" i="21"/>
  <c r="AI804" i="21"/>
  <c r="W804" i="21"/>
  <c r="K804" i="21"/>
  <c r="AU803" i="21"/>
  <c r="AI803" i="21"/>
  <c r="W803" i="21"/>
  <c r="K803" i="21"/>
  <c r="AU802" i="21"/>
  <c r="AI802" i="21"/>
  <c r="W802" i="21"/>
  <c r="K802" i="21"/>
  <c r="AU801" i="21"/>
  <c r="AI801" i="21"/>
  <c r="W801" i="21"/>
  <c r="K801" i="21"/>
  <c r="AU800" i="21"/>
  <c r="AI800" i="21"/>
  <c r="W800" i="21"/>
  <c r="K800" i="21"/>
  <c r="AU799" i="21"/>
  <c r="AI799" i="21"/>
  <c r="W799" i="21"/>
  <c r="K799" i="21"/>
  <c r="AU798" i="21"/>
  <c r="AI798" i="21"/>
  <c r="W798" i="21"/>
  <c r="K798" i="21"/>
  <c r="AU797" i="21"/>
  <c r="AI797" i="21"/>
  <c r="W797" i="21"/>
  <c r="K797" i="21"/>
  <c r="AU796" i="21"/>
  <c r="AI796" i="21"/>
  <c r="W796" i="21"/>
  <c r="K796" i="21"/>
  <c r="AU795" i="21"/>
  <c r="AI795" i="21"/>
  <c r="W795" i="21"/>
  <c r="K795" i="21"/>
  <c r="AU794" i="21"/>
  <c r="AI794" i="21"/>
  <c r="W794" i="21"/>
  <c r="K794" i="21"/>
  <c r="AU793" i="21"/>
  <c r="AI793" i="21"/>
  <c r="W793" i="21"/>
  <c r="K793" i="21"/>
  <c r="AU792" i="21"/>
  <c r="AI792" i="21"/>
  <c r="W792" i="21"/>
  <c r="K792" i="21"/>
  <c r="AU791" i="21"/>
  <c r="AI791" i="21"/>
  <c r="W791" i="21"/>
  <c r="K791" i="21"/>
  <c r="AU790" i="21"/>
  <c r="AI790" i="21"/>
  <c r="W790" i="21"/>
  <c r="K790" i="21"/>
  <c r="AU789" i="21"/>
  <c r="AI789" i="21"/>
  <c r="W789" i="21"/>
  <c r="K789" i="21"/>
  <c r="AU788" i="21"/>
  <c r="AI788" i="21"/>
  <c r="W788" i="21"/>
  <c r="K788" i="21"/>
  <c r="AU787" i="21"/>
  <c r="AI787" i="21"/>
  <c r="W787" i="21"/>
  <c r="K787" i="21"/>
  <c r="AU786" i="21"/>
  <c r="AI786" i="21"/>
  <c r="W786" i="21"/>
  <c r="K786" i="21"/>
  <c r="AU785" i="21"/>
  <c r="AI785" i="21"/>
  <c r="W785" i="21"/>
  <c r="K785" i="21"/>
  <c r="AU784" i="21"/>
  <c r="AI784" i="21"/>
  <c r="W784" i="21"/>
  <c r="K784" i="21"/>
  <c r="AU783" i="21"/>
  <c r="AI783" i="21"/>
  <c r="W783" i="21"/>
  <c r="K783" i="21"/>
  <c r="AU782" i="21"/>
  <c r="AI782" i="21"/>
  <c r="W782" i="21"/>
  <c r="K782" i="21"/>
  <c r="AU781" i="21"/>
  <c r="AI781" i="21"/>
  <c r="W781" i="21"/>
  <c r="K781" i="21"/>
  <c r="AU780" i="21"/>
  <c r="AI780" i="21"/>
  <c r="W780" i="21"/>
  <c r="K780" i="21"/>
  <c r="AU779" i="21"/>
  <c r="AI779" i="21"/>
  <c r="W779" i="21"/>
  <c r="K779" i="21"/>
  <c r="AU778" i="21"/>
  <c r="AI778" i="21"/>
  <c r="W778" i="21"/>
  <c r="K778" i="21"/>
  <c r="AU777" i="21"/>
  <c r="AI777" i="21"/>
  <c r="W777" i="21"/>
  <c r="K777" i="21"/>
  <c r="AU776" i="21"/>
  <c r="AI776" i="21"/>
  <c r="W776" i="21"/>
  <c r="K776" i="21"/>
  <c r="AU775" i="21"/>
  <c r="AI775" i="21"/>
  <c r="W775" i="21"/>
  <c r="K775" i="21"/>
  <c r="AU774" i="21"/>
  <c r="AI774" i="21"/>
  <c r="W774" i="21"/>
  <c r="K774" i="21"/>
  <c r="AU773" i="21"/>
  <c r="AI773" i="21"/>
  <c r="W773" i="21"/>
  <c r="K773" i="21"/>
  <c r="AU772" i="21"/>
  <c r="AI772" i="21"/>
  <c r="W772" i="21"/>
  <c r="K772" i="21"/>
  <c r="AU771" i="21"/>
  <c r="AI771" i="21"/>
  <c r="W771" i="21"/>
  <c r="K771" i="21"/>
  <c r="AU770" i="21"/>
  <c r="AI770" i="21"/>
  <c r="W770" i="21"/>
  <c r="K770" i="21"/>
  <c r="AU769" i="21"/>
  <c r="AI769" i="21"/>
  <c r="W769" i="21"/>
  <c r="K769" i="21"/>
  <c r="AU768" i="21"/>
  <c r="AI768" i="21"/>
  <c r="W768" i="21"/>
  <c r="K768" i="21"/>
  <c r="AU767" i="21"/>
  <c r="AI767" i="21"/>
  <c r="W767" i="21"/>
  <c r="K767" i="21"/>
  <c r="AU766" i="21"/>
  <c r="AI766" i="21"/>
  <c r="W766" i="21"/>
  <c r="K766" i="21"/>
  <c r="AU765" i="21"/>
  <c r="AI765" i="21"/>
  <c r="W765" i="21"/>
  <c r="K765" i="21"/>
  <c r="AU764" i="21"/>
  <c r="AI764" i="21"/>
  <c r="W764" i="21"/>
  <c r="K764" i="21"/>
  <c r="AU763" i="21"/>
  <c r="AI763" i="21"/>
  <c r="W763" i="21"/>
  <c r="K763" i="21"/>
  <c r="AU762" i="21"/>
  <c r="AI762" i="21"/>
  <c r="W762" i="21"/>
  <c r="K762" i="21"/>
  <c r="AU761" i="21"/>
  <c r="AI761" i="21"/>
  <c r="W761" i="21"/>
  <c r="K761" i="21"/>
  <c r="AU760" i="21"/>
  <c r="AI760" i="21"/>
  <c r="W760" i="21"/>
  <c r="K760" i="21"/>
  <c r="AU759" i="21"/>
  <c r="AI759" i="21"/>
  <c r="W759" i="21"/>
  <c r="K759" i="21"/>
  <c r="AU758" i="21"/>
  <c r="AI758" i="21"/>
  <c r="W758" i="21"/>
  <c r="K758" i="21"/>
  <c r="AU757" i="21"/>
  <c r="AI757" i="21"/>
  <c r="W757" i="21"/>
  <c r="K757" i="21"/>
  <c r="AU756" i="21"/>
  <c r="AI756" i="21"/>
  <c r="W756" i="21"/>
  <c r="K756" i="21"/>
  <c r="AU755" i="21"/>
  <c r="AI755" i="21"/>
  <c r="W755" i="21"/>
  <c r="K755" i="21"/>
  <c r="AU754" i="21"/>
  <c r="AI754" i="21"/>
  <c r="W754" i="21"/>
  <c r="K754" i="21"/>
  <c r="AU753" i="21"/>
  <c r="AI753" i="21"/>
  <c r="W753" i="21"/>
  <c r="K753" i="21"/>
  <c r="AU752" i="21"/>
  <c r="AI752" i="21"/>
  <c r="W752" i="21"/>
  <c r="K752" i="21"/>
  <c r="AU751" i="21"/>
  <c r="AI751" i="21"/>
  <c r="W751" i="21"/>
  <c r="K751" i="21"/>
  <c r="AU750" i="21"/>
  <c r="AI750" i="21"/>
  <c r="W750" i="21"/>
  <c r="K750" i="21"/>
  <c r="AU749" i="21"/>
  <c r="AI749" i="21"/>
  <c r="W749" i="21"/>
  <c r="K749" i="21"/>
  <c r="AU748" i="21"/>
  <c r="AI748" i="21"/>
  <c r="W748" i="21"/>
  <c r="K748" i="21"/>
  <c r="AU747" i="21"/>
  <c r="AI747" i="21"/>
  <c r="W747" i="21"/>
  <c r="K747" i="21"/>
  <c r="AU746" i="21"/>
  <c r="AI746" i="21"/>
  <c r="W746" i="21"/>
  <c r="K746" i="21"/>
  <c r="AU745" i="21"/>
  <c r="AI745" i="21"/>
  <c r="W745" i="21"/>
  <c r="K745" i="21"/>
  <c r="AU744" i="21"/>
  <c r="AI744" i="21"/>
  <c r="W744" i="21"/>
  <c r="K744" i="21"/>
  <c r="AU743" i="21"/>
  <c r="AI743" i="21"/>
  <c r="W743" i="21"/>
  <c r="K743" i="21"/>
  <c r="AU742" i="21"/>
  <c r="AI742" i="21"/>
  <c r="W742" i="21"/>
  <c r="K742" i="21"/>
  <c r="AU741" i="21"/>
  <c r="AI741" i="21"/>
  <c r="W741" i="21"/>
  <c r="K741" i="21"/>
  <c r="AU740" i="21"/>
  <c r="AI740" i="21"/>
  <c r="W740" i="21"/>
  <c r="K740" i="21"/>
  <c r="AU739" i="21"/>
  <c r="AI739" i="21"/>
  <c r="W739" i="21"/>
  <c r="K739" i="21"/>
  <c r="AU738" i="21"/>
  <c r="AI738" i="21"/>
  <c r="W738" i="21"/>
  <c r="K738" i="21"/>
  <c r="AU737" i="21"/>
  <c r="AI737" i="21"/>
  <c r="W737" i="21"/>
  <c r="K737" i="21"/>
  <c r="AU736" i="21"/>
  <c r="AI736" i="21"/>
  <c r="W736" i="21"/>
  <c r="K736" i="21"/>
  <c r="AU735" i="21"/>
  <c r="AI735" i="21"/>
  <c r="W735" i="21"/>
  <c r="K735" i="21"/>
  <c r="AU734" i="21"/>
  <c r="AI734" i="21"/>
  <c r="W734" i="21"/>
  <c r="K734" i="21"/>
  <c r="AU733" i="21"/>
  <c r="AI733" i="21"/>
  <c r="W733" i="21"/>
  <c r="K733" i="21"/>
  <c r="AU732" i="21"/>
  <c r="AI732" i="21"/>
  <c r="W732" i="21"/>
  <c r="K732" i="21"/>
  <c r="AU731" i="21"/>
  <c r="AI731" i="21"/>
  <c r="W731" i="21"/>
  <c r="K731" i="21"/>
  <c r="AU730" i="21"/>
  <c r="AI730" i="21"/>
  <c r="W730" i="21"/>
  <c r="K730" i="21"/>
  <c r="AU729" i="21"/>
  <c r="AI729" i="21"/>
  <c r="W729" i="21"/>
  <c r="K729" i="21"/>
  <c r="AU728" i="21"/>
  <c r="AI728" i="21"/>
  <c r="W728" i="21"/>
  <c r="K728" i="21"/>
  <c r="AU727" i="21"/>
  <c r="AI727" i="21"/>
  <c r="W727" i="21"/>
  <c r="K727" i="21"/>
  <c r="AU726" i="21"/>
  <c r="AI726" i="21"/>
  <c r="W726" i="21"/>
  <c r="K726" i="21"/>
  <c r="AU725" i="21"/>
  <c r="AI725" i="21"/>
  <c r="W725" i="21"/>
  <c r="K725" i="21"/>
  <c r="AU724" i="21"/>
  <c r="AI724" i="21"/>
  <c r="W724" i="21"/>
  <c r="K724" i="21"/>
  <c r="AU723" i="21"/>
  <c r="AI723" i="21"/>
  <c r="W723" i="21"/>
  <c r="K723" i="21"/>
  <c r="AU722" i="21"/>
  <c r="AI722" i="21"/>
  <c r="W722" i="21"/>
  <c r="K722" i="21"/>
  <c r="AU721" i="21"/>
  <c r="AI721" i="21"/>
  <c r="W721" i="21"/>
  <c r="K721" i="21"/>
  <c r="AU720" i="21"/>
  <c r="AI720" i="21"/>
  <c r="W720" i="21"/>
  <c r="K720" i="21"/>
  <c r="AU719" i="21"/>
  <c r="AI719" i="21"/>
  <c r="W719" i="21"/>
  <c r="K719" i="21"/>
  <c r="AU718" i="21"/>
  <c r="AI718" i="21"/>
  <c r="W718" i="21"/>
  <c r="K718" i="21"/>
  <c r="AU717" i="21"/>
  <c r="AI717" i="21"/>
  <c r="W717" i="21"/>
  <c r="K717" i="21"/>
  <c r="AU716" i="21"/>
  <c r="AI716" i="21"/>
  <c r="W716" i="21"/>
  <c r="K716" i="21"/>
  <c r="AU715" i="21"/>
  <c r="AI715" i="21"/>
  <c r="W715" i="21"/>
  <c r="K715" i="21"/>
  <c r="AU714" i="21"/>
  <c r="AI714" i="21"/>
  <c r="W714" i="21"/>
  <c r="K714" i="21"/>
  <c r="AU713" i="21"/>
  <c r="AI713" i="21"/>
  <c r="W713" i="21"/>
  <c r="K713" i="21"/>
  <c r="AU712" i="21"/>
  <c r="AI712" i="21"/>
  <c r="W712" i="21"/>
  <c r="K712" i="21"/>
  <c r="AU711" i="21"/>
  <c r="AI711" i="21"/>
  <c r="W711" i="21"/>
  <c r="K711" i="21"/>
  <c r="AU710" i="21"/>
  <c r="AI710" i="21"/>
  <c r="W710" i="21"/>
  <c r="K710" i="21"/>
  <c r="AU709" i="21"/>
  <c r="AI709" i="21"/>
  <c r="W709" i="21"/>
  <c r="K709" i="21"/>
  <c r="AU708" i="21"/>
  <c r="AI708" i="21"/>
  <c r="W708" i="21"/>
  <c r="K708" i="21"/>
  <c r="AU707" i="21"/>
  <c r="AI707" i="21"/>
  <c r="W707" i="21"/>
  <c r="K707" i="21"/>
  <c r="AU706" i="21"/>
  <c r="AI706" i="21"/>
  <c r="W706" i="21"/>
  <c r="K706" i="21"/>
  <c r="AU705" i="21"/>
  <c r="AI705" i="21"/>
  <c r="W705" i="21"/>
  <c r="K705" i="21"/>
  <c r="AU704" i="21"/>
  <c r="AI704" i="21"/>
  <c r="W704" i="21"/>
  <c r="K704" i="21"/>
  <c r="AU703" i="21"/>
  <c r="AI703" i="21"/>
  <c r="W703" i="21"/>
  <c r="K703" i="21"/>
  <c r="AU702" i="21"/>
  <c r="AI702" i="21"/>
  <c r="W702" i="21"/>
  <c r="K702" i="21"/>
  <c r="AU701" i="21"/>
  <c r="AI701" i="21"/>
  <c r="W701" i="21"/>
  <c r="K701" i="21"/>
  <c r="AU700" i="21"/>
  <c r="AI700" i="21"/>
  <c r="W700" i="21"/>
  <c r="K700" i="21"/>
  <c r="AU699" i="21"/>
  <c r="AI699" i="21"/>
  <c r="W699" i="21"/>
  <c r="K699" i="21"/>
  <c r="AU698" i="21"/>
  <c r="AI698" i="21"/>
  <c r="W698" i="21"/>
  <c r="K698" i="21"/>
  <c r="AU697" i="21"/>
  <c r="AI697" i="21"/>
  <c r="W697" i="21"/>
  <c r="K697" i="21"/>
  <c r="AU696" i="21"/>
  <c r="AI696" i="21"/>
  <c r="W696" i="21"/>
  <c r="K696" i="21"/>
  <c r="AU695" i="21"/>
  <c r="AI695" i="21"/>
  <c r="W695" i="21"/>
  <c r="K695" i="21"/>
  <c r="AU694" i="21"/>
  <c r="AI694" i="21"/>
  <c r="W694" i="21"/>
  <c r="K694" i="21"/>
  <c r="AU693" i="21"/>
  <c r="AI693" i="21"/>
  <c r="W693" i="21"/>
  <c r="K693" i="21"/>
  <c r="AU692" i="21"/>
  <c r="AI692" i="21"/>
  <c r="W692" i="21"/>
  <c r="K692" i="21"/>
  <c r="AU691" i="21"/>
  <c r="AI691" i="21"/>
  <c r="W691" i="21"/>
  <c r="K691" i="21"/>
  <c r="AU690" i="21"/>
  <c r="AI690" i="21"/>
  <c r="W690" i="21"/>
  <c r="K690" i="21"/>
  <c r="AU689" i="21"/>
  <c r="AI689" i="21"/>
  <c r="W689" i="21"/>
  <c r="K689" i="21"/>
  <c r="AU688" i="21"/>
  <c r="AI688" i="21"/>
  <c r="W688" i="21"/>
  <c r="K688" i="21"/>
  <c r="AU687" i="21"/>
  <c r="AI687" i="21"/>
  <c r="W687" i="21"/>
  <c r="K687" i="21"/>
  <c r="AU686" i="21"/>
  <c r="AI686" i="21"/>
  <c r="W686" i="21"/>
  <c r="K686" i="21"/>
  <c r="AU685" i="21"/>
  <c r="AI685" i="21"/>
  <c r="W685" i="21"/>
  <c r="K685" i="21"/>
  <c r="AU684" i="21"/>
  <c r="AI684" i="21"/>
  <c r="W684" i="21"/>
  <c r="K684" i="21"/>
  <c r="AU683" i="21"/>
  <c r="AI683" i="21"/>
  <c r="W683" i="21"/>
  <c r="K683" i="21"/>
  <c r="AU682" i="21"/>
  <c r="AI682" i="21"/>
  <c r="W682" i="21"/>
  <c r="K682" i="21"/>
  <c r="AU681" i="21"/>
  <c r="AI681" i="21"/>
  <c r="W681" i="21"/>
  <c r="K681" i="21"/>
  <c r="AU680" i="21"/>
  <c r="AI680" i="21"/>
  <c r="W680" i="21"/>
  <c r="K680" i="21"/>
  <c r="AU679" i="21"/>
  <c r="AI679" i="21"/>
  <c r="W679" i="21"/>
  <c r="K679" i="21"/>
  <c r="AU678" i="21"/>
  <c r="AI678" i="21"/>
  <c r="W678" i="21"/>
  <c r="K678" i="21"/>
  <c r="AU677" i="21"/>
  <c r="AI677" i="21"/>
  <c r="W677" i="21"/>
  <c r="K677" i="21"/>
  <c r="AU676" i="21"/>
  <c r="AI676" i="21"/>
  <c r="W676" i="21"/>
  <c r="K676" i="21"/>
  <c r="AU675" i="21"/>
  <c r="AI675" i="21"/>
  <c r="W675" i="21"/>
  <c r="K675" i="21"/>
  <c r="AU674" i="21"/>
  <c r="AI674" i="21"/>
  <c r="W674" i="21"/>
  <c r="K674" i="21"/>
  <c r="AU673" i="21"/>
  <c r="AI673" i="21"/>
  <c r="W673" i="21"/>
  <c r="K673" i="21"/>
  <c r="AU672" i="21"/>
  <c r="AI672" i="21"/>
  <c r="W672" i="21"/>
  <c r="K672" i="21"/>
  <c r="AU671" i="21"/>
  <c r="AI671" i="21"/>
  <c r="W671" i="21"/>
  <c r="K671" i="21"/>
  <c r="AU670" i="21"/>
  <c r="AI670" i="21"/>
  <c r="W670" i="21"/>
  <c r="K670" i="21"/>
  <c r="AU669" i="21"/>
  <c r="AI669" i="21"/>
  <c r="W669" i="21"/>
  <c r="K669" i="21"/>
  <c r="AU668" i="21"/>
  <c r="AI668" i="21"/>
  <c r="W668" i="21"/>
  <c r="K668" i="21"/>
  <c r="AU667" i="21"/>
  <c r="AI667" i="21"/>
  <c r="W667" i="21"/>
  <c r="K667" i="21"/>
  <c r="AU666" i="21"/>
  <c r="AI666" i="21"/>
  <c r="W666" i="21"/>
  <c r="K666" i="21"/>
  <c r="AU665" i="21"/>
  <c r="AI665" i="21"/>
  <c r="W665" i="21"/>
  <c r="K665" i="21"/>
  <c r="AU664" i="21"/>
  <c r="AI664" i="21"/>
  <c r="W664" i="21"/>
  <c r="K664" i="21"/>
  <c r="AU663" i="21"/>
  <c r="AI663" i="21"/>
  <c r="W663" i="21"/>
  <c r="K663" i="21"/>
  <c r="AU662" i="21"/>
  <c r="AI662" i="21"/>
  <c r="W662" i="21"/>
  <c r="K662" i="21"/>
  <c r="AU661" i="21"/>
  <c r="AI661" i="21"/>
  <c r="W661" i="21"/>
  <c r="K661" i="21"/>
  <c r="AU660" i="21"/>
  <c r="AI660" i="21"/>
  <c r="W660" i="21"/>
  <c r="K660" i="21"/>
  <c r="AU659" i="21"/>
  <c r="AI659" i="21"/>
  <c r="W659" i="21"/>
  <c r="K659" i="21"/>
  <c r="AU658" i="21"/>
  <c r="AI658" i="21"/>
  <c r="W658" i="21"/>
  <c r="K658" i="21"/>
  <c r="AU657" i="21"/>
  <c r="AI657" i="21"/>
  <c r="W657" i="21"/>
  <c r="K657" i="21"/>
  <c r="AU656" i="21"/>
  <c r="AI656" i="21"/>
  <c r="W656" i="21"/>
  <c r="K656" i="21"/>
  <c r="AU655" i="21"/>
  <c r="AI655" i="21"/>
  <c r="W655" i="21"/>
  <c r="K655" i="21"/>
  <c r="AU654" i="21"/>
  <c r="AI654" i="21"/>
  <c r="W654" i="21"/>
  <c r="K654" i="21"/>
  <c r="AU653" i="21"/>
  <c r="AI653" i="21"/>
  <c r="W653" i="21"/>
  <c r="K653" i="21"/>
  <c r="AU652" i="21"/>
  <c r="AI652" i="21"/>
  <c r="W652" i="21"/>
  <c r="K652" i="21"/>
  <c r="AU651" i="21"/>
  <c r="AI651" i="21"/>
  <c r="W651" i="21"/>
  <c r="K651" i="21"/>
  <c r="AU650" i="21"/>
  <c r="AI650" i="21"/>
  <c r="W650" i="21"/>
  <c r="K650" i="21"/>
  <c r="AU649" i="21"/>
  <c r="AI649" i="21"/>
  <c r="W649" i="21"/>
  <c r="K649" i="21"/>
  <c r="AU648" i="21"/>
  <c r="AI648" i="21"/>
  <c r="W648" i="21"/>
  <c r="K648" i="21"/>
  <c r="AU647" i="21"/>
  <c r="AI647" i="21"/>
  <c r="W647" i="21"/>
  <c r="K647" i="21"/>
  <c r="AU646" i="21"/>
  <c r="AI646" i="21"/>
  <c r="W646" i="21"/>
  <c r="K646" i="21"/>
  <c r="AU645" i="21"/>
  <c r="AI645" i="21"/>
  <c r="W645" i="21"/>
  <c r="K645" i="21"/>
  <c r="AU644" i="21"/>
  <c r="AI644" i="21"/>
  <c r="W644" i="21"/>
  <c r="K644" i="21"/>
  <c r="AU643" i="21"/>
  <c r="AI643" i="21"/>
  <c r="W643" i="21"/>
  <c r="K643" i="21"/>
  <c r="AU642" i="21"/>
  <c r="AI642" i="21"/>
  <c r="W642" i="21"/>
  <c r="K642" i="21"/>
  <c r="AU641" i="21"/>
  <c r="AI641" i="21"/>
  <c r="W641" i="21"/>
  <c r="K641" i="21"/>
  <c r="AU640" i="21"/>
  <c r="AI640" i="21"/>
  <c r="W640" i="21"/>
  <c r="K640" i="21"/>
  <c r="AU639" i="21"/>
  <c r="AI639" i="21"/>
  <c r="W639" i="21"/>
  <c r="K639" i="21"/>
  <c r="AU638" i="21"/>
  <c r="AI638" i="21"/>
  <c r="W638" i="21"/>
  <c r="K638" i="21"/>
  <c r="AU637" i="21"/>
  <c r="AI637" i="21"/>
  <c r="W637" i="21"/>
  <c r="K637" i="21"/>
  <c r="AU636" i="21"/>
  <c r="AI636" i="21"/>
  <c r="W636" i="21"/>
  <c r="K636" i="21"/>
  <c r="AU635" i="21"/>
  <c r="AI635" i="21"/>
  <c r="W635" i="21"/>
  <c r="K635" i="21"/>
  <c r="AU634" i="21"/>
  <c r="AI634" i="21"/>
  <c r="W634" i="21"/>
  <c r="K634" i="21"/>
  <c r="AU633" i="21"/>
  <c r="AI633" i="21"/>
  <c r="W633" i="21"/>
  <c r="K633" i="21"/>
  <c r="AU632" i="21"/>
  <c r="AI632" i="21"/>
  <c r="W632" i="21"/>
  <c r="K632" i="21"/>
  <c r="AU631" i="21"/>
  <c r="AI631" i="21"/>
  <c r="W631" i="21"/>
  <c r="K631" i="21"/>
  <c r="AU630" i="21"/>
  <c r="AI630" i="21"/>
  <c r="W630" i="21"/>
  <c r="K630" i="21"/>
  <c r="AU629" i="21"/>
  <c r="AI629" i="21"/>
  <c r="W629" i="21"/>
  <c r="K629" i="21"/>
  <c r="AU628" i="21"/>
  <c r="AI628" i="21"/>
  <c r="W628" i="21"/>
  <c r="K628" i="21"/>
  <c r="AU627" i="21"/>
  <c r="AI627" i="21"/>
  <c r="W627" i="21"/>
  <c r="K627" i="21"/>
  <c r="AU626" i="21"/>
  <c r="AI626" i="21"/>
  <c r="W626" i="21"/>
  <c r="K626" i="21"/>
  <c r="AU625" i="21"/>
  <c r="AI625" i="21"/>
  <c r="W625" i="21"/>
  <c r="K625" i="21"/>
  <c r="AU624" i="21"/>
  <c r="AI624" i="21"/>
  <c r="W624" i="21"/>
  <c r="K624" i="21"/>
  <c r="AU623" i="21"/>
  <c r="AI623" i="21"/>
  <c r="W623" i="21"/>
  <c r="K623" i="21"/>
  <c r="AU622" i="21"/>
  <c r="AI622" i="21"/>
  <c r="W622" i="21"/>
  <c r="K622" i="21"/>
  <c r="AU621" i="21"/>
  <c r="AI621" i="21"/>
  <c r="W621" i="21"/>
  <c r="K621" i="21"/>
  <c r="AU620" i="21"/>
  <c r="AI620" i="21"/>
  <c r="W620" i="21"/>
  <c r="K620" i="21"/>
  <c r="AU619" i="21"/>
  <c r="AI619" i="21"/>
  <c r="W619" i="21"/>
  <c r="K619" i="21"/>
  <c r="AU618" i="21"/>
  <c r="AI618" i="21"/>
  <c r="W618" i="21"/>
  <c r="K618" i="21"/>
  <c r="AU617" i="21"/>
  <c r="AI617" i="21"/>
  <c r="W617" i="21"/>
  <c r="K617" i="21"/>
  <c r="AU616" i="21"/>
  <c r="AI616" i="21"/>
  <c r="W616" i="21"/>
  <c r="K616" i="21"/>
  <c r="AU615" i="21"/>
  <c r="AI615" i="21"/>
  <c r="W615" i="21"/>
  <c r="K615" i="21"/>
  <c r="AU614" i="21"/>
  <c r="AI614" i="21"/>
  <c r="W614" i="21"/>
  <c r="K614" i="21"/>
  <c r="AU613" i="21"/>
  <c r="AI613" i="21"/>
  <c r="W613" i="21"/>
  <c r="K613" i="21"/>
  <c r="AU612" i="21"/>
  <c r="AI612" i="21"/>
  <c r="W612" i="21"/>
  <c r="K612" i="21"/>
  <c r="AU611" i="21"/>
  <c r="AI611" i="21"/>
  <c r="W611" i="21"/>
  <c r="K611" i="21"/>
  <c r="AU610" i="21"/>
  <c r="AI610" i="21"/>
  <c r="W610" i="21"/>
  <c r="K610" i="21"/>
  <c r="AU609" i="21"/>
  <c r="AI609" i="21"/>
  <c r="W609" i="21"/>
  <c r="K609" i="21"/>
  <c r="AU608" i="21"/>
  <c r="AI608" i="21"/>
  <c r="W608" i="21"/>
  <c r="K608" i="21"/>
  <c r="AU607" i="21"/>
  <c r="AI607" i="21"/>
  <c r="W607" i="21"/>
  <c r="K607" i="21"/>
  <c r="AU606" i="21"/>
  <c r="AI606" i="21"/>
  <c r="W606" i="21"/>
  <c r="K606" i="21"/>
  <c r="AU605" i="21"/>
  <c r="AI605" i="21"/>
  <c r="W605" i="21"/>
  <c r="K605" i="21"/>
  <c r="AU604" i="21"/>
  <c r="AI604" i="21"/>
  <c r="W604" i="21"/>
  <c r="K604" i="21"/>
  <c r="AU603" i="21"/>
  <c r="AI603" i="21"/>
  <c r="W603" i="21"/>
  <c r="K603" i="21"/>
  <c r="AU602" i="21"/>
  <c r="AI602" i="21"/>
  <c r="W602" i="21"/>
  <c r="K602" i="21"/>
  <c r="AU601" i="21"/>
  <c r="AI601" i="21"/>
  <c r="W601" i="21"/>
  <c r="K601" i="21"/>
  <c r="AU600" i="21"/>
  <c r="AI600" i="21"/>
  <c r="W600" i="21"/>
  <c r="K600" i="21"/>
  <c r="AU599" i="21"/>
  <c r="AI599" i="21"/>
  <c r="W599" i="21"/>
  <c r="K599" i="21"/>
  <c r="AU598" i="21"/>
  <c r="AI598" i="21"/>
  <c r="W598" i="21"/>
  <c r="K598" i="21"/>
  <c r="AU597" i="21"/>
  <c r="AI597" i="21"/>
  <c r="W597" i="21"/>
  <c r="K597" i="21"/>
  <c r="AU596" i="21"/>
  <c r="AI596" i="21"/>
  <c r="W596" i="21"/>
  <c r="K596" i="21"/>
  <c r="AU595" i="21"/>
  <c r="AI595" i="21"/>
  <c r="W595" i="21"/>
  <c r="K595" i="21"/>
  <c r="AU594" i="21"/>
  <c r="AI594" i="21"/>
  <c r="W594" i="21"/>
  <c r="K594" i="21"/>
  <c r="AU593" i="21"/>
  <c r="AI593" i="21"/>
  <c r="W593" i="21"/>
  <c r="K593" i="21"/>
  <c r="AU592" i="21"/>
  <c r="AI592" i="21"/>
  <c r="W592" i="21"/>
  <c r="K592" i="21"/>
  <c r="AU591" i="21"/>
  <c r="AI591" i="21"/>
  <c r="W591" i="21"/>
  <c r="K591" i="21"/>
  <c r="AU590" i="21"/>
  <c r="AI590" i="21"/>
  <c r="W590" i="21"/>
  <c r="K590" i="21"/>
  <c r="AU589" i="21"/>
  <c r="AI589" i="21"/>
  <c r="W589" i="21"/>
  <c r="K589" i="21"/>
  <c r="AU588" i="21"/>
  <c r="AI588" i="21"/>
  <c r="W588" i="21"/>
  <c r="K588" i="21"/>
  <c r="AU587" i="21"/>
  <c r="AI587" i="21"/>
  <c r="W587" i="21"/>
  <c r="K587" i="21"/>
  <c r="AU586" i="21"/>
  <c r="AI586" i="21"/>
  <c r="W586" i="21"/>
  <c r="K586" i="21"/>
  <c r="AU585" i="21"/>
  <c r="AI585" i="21"/>
  <c r="W585" i="21"/>
  <c r="K585" i="21"/>
  <c r="AU584" i="21"/>
  <c r="AI584" i="21"/>
  <c r="W584" i="21"/>
  <c r="K584" i="21"/>
  <c r="AU583" i="21"/>
  <c r="AI583" i="21"/>
  <c r="W583" i="21"/>
  <c r="K583" i="21"/>
  <c r="AU582" i="21"/>
  <c r="AI582" i="21"/>
  <c r="W582" i="21"/>
  <c r="K582" i="21"/>
  <c r="AU581" i="21"/>
  <c r="AI581" i="21"/>
  <c r="W581" i="21"/>
  <c r="K581" i="21"/>
  <c r="AU580" i="21"/>
  <c r="AI580" i="21"/>
  <c r="W580" i="21"/>
  <c r="K580" i="21"/>
  <c r="AU579" i="21"/>
  <c r="AI579" i="21"/>
  <c r="W579" i="21"/>
  <c r="K579" i="21"/>
  <c r="AU578" i="21"/>
  <c r="AI578" i="21"/>
  <c r="W578" i="21"/>
  <c r="K578" i="21"/>
  <c r="AU577" i="21"/>
  <c r="AI577" i="21"/>
  <c r="W577" i="21"/>
  <c r="K577" i="21"/>
  <c r="AU576" i="21"/>
  <c r="AI576" i="21"/>
  <c r="W576" i="21"/>
  <c r="K576" i="21"/>
  <c r="AU575" i="21"/>
  <c r="AI575" i="21"/>
  <c r="W575" i="21"/>
  <c r="K575" i="21"/>
  <c r="AU574" i="21"/>
  <c r="AI574" i="21"/>
  <c r="W574" i="21"/>
  <c r="K574" i="21"/>
  <c r="AU573" i="21"/>
  <c r="AI573" i="21"/>
  <c r="W573" i="21"/>
  <c r="K573" i="21"/>
  <c r="AU572" i="21"/>
  <c r="AI572" i="21"/>
  <c r="W572" i="21"/>
  <c r="K572" i="21"/>
  <c r="AU571" i="21"/>
  <c r="AI571" i="21"/>
  <c r="W571" i="21"/>
  <c r="K571" i="21"/>
  <c r="AU570" i="21"/>
  <c r="AI570" i="21"/>
  <c r="W570" i="21"/>
  <c r="K570" i="21"/>
  <c r="AU569" i="21"/>
  <c r="AI569" i="21"/>
  <c r="W569" i="21"/>
  <c r="K569" i="21"/>
  <c r="AU568" i="21"/>
  <c r="AI568" i="21"/>
  <c r="W568" i="21"/>
  <c r="K568" i="21"/>
  <c r="AU567" i="21"/>
  <c r="AI567" i="21"/>
  <c r="W567" i="21"/>
  <c r="K567" i="21"/>
  <c r="AU566" i="21"/>
  <c r="AI566" i="21"/>
  <c r="W566" i="21"/>
  <c r="K566" i="21"/>
  <c r="AU565" i="21"/>
  <c r="AI565" i="21"/>
  <c r="W565" i="21"/>
  <c r="K565" i="21"/>
  <c r="AU564" i="21"/>
  <c r="AI564" i="21"/>
  <c r="W564" i="21"/>
  <c r="K564" i="21"/>
  <c r="AU563" i="21"/>
  <c r="AI563" i="21"/>
  <c r="W563" i="21"/>
  <c r="K563" i="21"/>
  <c r="AU562" i="21"/>
  <c r="AI562" i="21"/>
  <c r="W562" i="21"/>
  <c r="K562" i="21"/>
  <c r="AU561" i="21"/>
  <c r="AI561" i="21"/>
  <c r="W561" i="21"/>
  <c r="K561" i="21"/>
  <c r="AU560" i="21"/>
  <c r="AI560" i="21"/>
  <c r="W560" i="21"/>
  <c r="K560" i="21"/>
  <c r="AU559" i="21"/>
  <c r="AI559" i="21"/>
  <c r="W559" i="21"/>
  <c r="K559" i="21"/>
  <c r="AU558" i="21"/>
  <c r="AI558" i="21"/>
  <c r="W558" i="21"/>
  <c r="K558" i="21"/>
  <c r="AU557" i="21"/>
  <c r="AI557" i="21"/>
  <c r="W557" i="21"/>
  <c r="K557" i="21"/>
  <c r="AU556" i="21"/>
  <c r="AI556" i="21"/>
  <c r="W556" i="21"/>
  <c r="K556" i="21"/>
  <c r="AU555" i="21"/>
  <c r="AI555" i="21"/>
  <c r="W555" i="21"/>
  <c r="K555" i="21"/>
  <c r="AU554" i="21"/>
  <c r="AI554" i="21"/>
  <c r="W554" i="21"/>
  <c r="K554" i="21"/>
  <c r="AU553" i="21"/>
  <c r="AI553" i="21"/>
  <c r="W553" i="21"/>
  <c r="K553" i="21"/>
  <c r="AU552" i="21"/>
  <c r="AI552" i="21"/>
  <c r="W552" i="21"/>
  <c r="K552" i="21"/>
  <c r="AU551" i="21"/>
  <c r="AI551" i="21"/>
  <c r="W551" i="21"/>
  <c r="K551" i="21"/>
  <c r="AU550" i="21"/>
  <c r="AI550" i="21"/>
  <c r="W550" i="21"/>
  <c r="K550" i="21"/>
  <c r="AU549" i="21"/>
  <c r="AI549" i="21"/>
  <c r="W549" i="21"/>
  <c r="K549" i="21"/>
  <c r="AU548" i="21"/>
  <c r="AI548" i="21"/>
  <c r="W548" i="21"/>
  <c r="K548" i="21"/>
  <c r="AU547" i="21"/>
  <c r="AI547" i="21"/>
  <c r="W547" i="21"/>
  <c r="K547" i="21"/>
  <c r="AU546" i="21"/>
  <c r="AI546" i="21"/>
  <c r="W546" i="21"/>
  <c r="K546" i="21"/>
  <c r="AU545" i="21"/>
  <c r="AI545" i="21"/>
  <c r="W545" i="21"/>
  <c r="K545" i="21"/>
  <c r="AU544" i="21"/>
  <c r="AI544" i="21"/>
  <c r="W544" i="21"/>
  <c r="K544" i="21"/>
  <c r="AU543" i="21"/>
  <c r="AI543" i="21"/>
  <c r="W543" i="21"/>
  <c r="K543" i="21"/>
  <c r="AU542" i="21"/>
  <c r="AI542" i="21"/>
  <c r="W542" i="21"/>
  <c r="K542" i="21"/>
  <c r="AU541" i="21"/>
  <c r="AI541" i="21"/>
  <c r="W541" i="21"/>
  <c r="K541" i="21"/>
  <c r="AU540" i="21"/>
  <c r="AI540" i="21"/>
  <c r="W540" i="21"/>
  <c r="K540" i="21"/>
  <c r="AU539" i="21"/>
  <c r="AI539" i="21"/>
  <c r="W539" i="21"/>
  <c r="K539" i="21"/>
  <c r="AU538" i="21"/>
  <c r="AI538" i="21"/>
  <c r="W538" i="21"/>
  <c r="K538" i="21"/>
  <c r="AU537" i="21"/>
  <c r="AI537" i="21"/>
  <c r="W537" i="21"/>
  <c r="K537" i="21"/>
  <c r="AU536" i="21"/>
  <c r="AI536" i="21"/>
  <c r="W536" i="21"/>
  <c r="K536" i="21"/>
  <c r="AU535" i="21"/>
  <c r="AI535" i="21"/>
  <c r="W535" i="21"/>
  <c r="K535" i="21"/>
  <c r="AU534" i="21"/>
  <c r="AI534" i="21"/>
  <c r="W534" i="21"/>
  <c r="K534" i="21"/>
  <c r="AU533" i="21"/>
  <c r="AI533" i="21"/>
  <c r="W533" i="21"/>
  <c r="K533" i="21"/>
  <c r="AU532" i="21"/>
  <c r="AI532" i="21"/>
  <c r="W532" i="21"/>
  <c r="K532" i="21"/>
  <c r="AU531" i="21"/>
  <c r="AI531" i="21"/>
  <c r="W531" i="21"/>
  <c r="K531" i="21"/>
  <c r="AU530" i="21"/>
  <c r="AI530" i="21"/>
  <c r="W530" i="21"/>
  <c r="K530" i="21"/>
  <c r="AU529" i="21"/>
  <c r="AI529" i="21"/>
  <c r="W529" i="21"/>
  <c r="K529" i="21"/>
  <c r="AU528" i="21"/>
  <c r="AI528" i="21"/>
  <c r="W528" i="21"/>
  <c r="K528" i="21"/>
  <c r="AU527" i="21"/>
  <c r="AI527" i="21"/>
  <c r="W527" i="21"/>
  <c r="K527" i="21"/>
  <c r="AU526" i="21"/>
  <c r="AI526" i="21"/>
  <c r="W526" i="21"/>
  <c r="K526" i="21"/>
  <c r="AU525" i="21"/>
  <c r="AI525" i="21"/>
  <c r="W525" i="21"/>
  <c r="K525" i="21"/>
  <c r="AU524" i="21"/>
  <c r="AI524" i="21"/>
  <c r="W524" i="21"/>
  <c r="K524" i="21"/>
  <c r="AU523" i="21"/>
  <c r="AI523" i="21"/>
  <c r="W523" i="21"/>
  <c r="K523" i="21"/>
  <c r="AU522" i="21"/>
  <c r="AI522" i="21"/>
  <c r="W522" i="21"/>
  <c r="K522" i="21"/>
  <c r="AU521" i="21"/>
  <c r="AI521" i="21"/>
  <c r="W521" i="21"/>
  <c r="K521" i="21"/>
  <c r="AU520" i="21"/>
  <c r="AI520" i="21"/>
  <c r="W520" i="21"/>
  <c r="K520" i="21"/>
  <c r="AU519" i="21"/>
  <c r="AI519" i="21"/>
  <c r="W519" i="21"/>
  <c r="K519" i="21"/>
  <c r="AU518" i="21"/>
  <c r="AI518" i="21"/>
  <c r="W518" i="21"/>
  <c r="K518" i="21"/>
  <c r="AU517" i="21"/>
  <c r="AI517" i="21"/>
  <c r="W517" i="21"/>
  <c r="K517" i="21"/>
  <c r="AU516" i="21"/>
  <c r="AI516" i="21"/>
  <c r="W516" i="21"/>
  <c r="K516" i="21"/>
  <c r="AU515" i="21"/>
  <c r="AI515" i="21"/>
  <c r="W515" i="21"/>
  <c r="K515" i="21"/>
  <c r="AU514" i="21"/>
  <c r="AI514" i="21"/>
  <c r="W514" i="21"/>
  <c r="K514" i="21"/>
  <c r="AU513" i="21"/>
  <c r="AI513" i="21"/>
  <c r="W513" i="21"/>
  <c r="K513" i="21"/>
  <c r="AU512" i="21"/>
  <c r="AI512" i="21"/>
  <c r="W512" i="21"/>
  <c r="K512" i="21"/>
  <c r="AU511" i="21"/>
  <c r="AI511" i="21"/>
  <c r="W511" i="21"/>
  <c r="K511" i="21"/>
  <c r="AU510" i="21"/>
  <c r="AI510" i="21"/>
  <c r="W510" i="21"/>
  <c r="K510" i="21"/>
  <c r="AU509" i="21"/>
  <c r="AI509" i="21"/>
  <c r="W509" i="21"/>
  <c r="K509" i="21"/>
  <c r="AU508" i="21"/>
  <c r="AI508" i="21"/>
  <c r="W508" i="21"/>
  <c r="K508" i="21"/>
  <c r="AU507" i="21"/>
  <c r="AI507" i="21"/>
  <c r="W507" i="21"/>
  <c r="K507" i="21"/>
  <c r="AU506" i="21"/>
  <c r="AI506" i="21"/>
  <c r="W506" i="21"/>
  <c r="K506" i="21"/>
  <c r="AU505" i="21"/>
  <c r="AI505" i="21"/>
  <c r="W505" i="21"/>
  <c r="K505" i="21"/>
  <c r="AU504" i="21"/>
  <c r="AI504" i="21"/>
  <c r="W504" i="21"/>
  <c r="K504" i="21"/>
  <c r="AU503" i="21"/>
  <c r="AI503" i="21"/>
  <c r="W503" i="21"/>
  <c r="K503" i="21"/>
  <c r="AU502" i="21"/>
  <c r="AI502" i="21"/>
  <c r="W502" i="21"/>
  <c r="K502" i="21"/>
  <c r="AU501" i="21"/>
  <c r="AI501" i="21"/>
  <c r="W501" i="21"/>
  <c r="K501" i="21"/>
  <c r="AU500" i="21"/>
  <c r="AI500" i="21"/>
  <c r="W500" i="21"/>
  <c r="K500" i="21"/>
  <c r="AU499" i="21"/>
  <c r="AI499" i="21"/>
  <c r="W499" i="21"/>
  <c r="K499" i="21"/>
  <c r="AU498" i="21"/>
  <c r="AI498" i="21"/>
  <c r="W498" i="21"/>
  <c r="K498" i="21"/>
  <c r="AU497" i="21"/>
  <c r="AI497" i="21"/>
  <c r="W497" i="21"/>
  <c r="K497" i="21"/>
  <c r="AU496" i="21"/>
  <c r="AI496" i="21"/>
  <c r="W496" i="21"/>
  <c r="K496" i="21"/>
  <c r="AU495" i="21"/>
  <c r="AI495" i="21"/>
  <c r="W495" i="21"/>
  <c r="K495" i="21"/>
  <c r="AU494" i="21"/>
  <c r="AI494" i="21"/>
  <c r="W494" i="21"/>
  <c r="K494" i="21"/>
  <c r="AU493" i="21"/>
  <c r="AI493" i="21"/>
  <c r="W493" i="21"/>
  <c r="K493" i="21"/>
  <c r="AU492" i="21"/>
  <c r="AI492" i="21"/>
  <c r="W492" i="21"/>
  <c r="K492" i="21"/>
  <c r="AU491" i="21"/>
  <c r="AI491" i="21"/>
  <c r="W491" i="21"/>
  <c r="K491" i="21"/>
  <c r="AU490" i="21"/>
  <c r="AI490" i="21"/>
  <c r="W490" i="21"/>
  <c r="K490" i="21"/>
  <c r="AU489" i="21"/>
  <c r="AI489" i="21"/>
  <c r="W489" i="21"/>
  <c r="K489" i="21"/>
  <c r="AU488" i="21"/>
  <c r="AI488" i="21"/>
  <c r="W488" i="21"/>
  <c r="K488" i="21"/>
  <c r="AU487" i="21"/>
  <c r="AI487" i="21"/>
  <c r="W487" i="21"/>
  <c r="K487" i="21"/>
  <c r="AU486" i="21"/>
  <c r="AI486" i="21"/>
  <c r="W486" i="21"/>
  <c r="K486" i="21"/>
  <c r="AU485" i="21"/>
  <c r="AI485" i="21"/>
  <c r="W485" i="21"/>
  <c r="K485" i="21"/>
  <c r="AU484" i="21"/>
  <c r="AI484" i="21"/>
  <c r="W484" i="21"/>
  <c r="K484" i="21"/>
  <c r="AU483" i="21"/>
  <c r="AI483" i="21"/>
  <c r="W483" i="21"/>
  <c r="K483" i="21"/>
  <c r="AU482" i="21"/>
  <c r="AI482" i="21"/>
  <c r="W482" i="21"/>
  <c r="K482" i="21"/>
  <c r="AU481" i="21"/>
  <c r="AI481" i="21"/>
  <c r="W481" i="21"/>
  <c r="K481" i="21"/>
  <c r="AU480" i="21"/>
  <c r="AI480" i="21"/>
  <c r="W480" i="21"/>
  <c r="K480" i="21"/>
  <c r="AU479" i="21"/>
  <c r="AI479" i="21"/>
  <c r="W479" i="21"/>
  <c r="K479" i="21"/>
  <c r="AU478" i="21"/>
  <c r="AI478" i="21"/>
  <c r="W478" i="21"/>
  <c r="K478" i="21"/>
  <c r="AU477" i="21"/>
  <c r="AI477" i="21"/>
  <c r="W477" i="21"/>
  <c r="K477" i="21"/>
  <c r="AU476" i="21"/>
  <c r="AI476" i="21"/>
  <c r="W476" i="21"/>
  <c r="K476" i="21"/>
  <c r="AU475" i="21"/>
  <c r="AI475" i="21"/>
  <c r="W475" i="21"/>
  <c r="K475" i="21"/>
  <c r="AU474" i="21"/>
  <c r="AI474" i="21"/>
  <c r="W474" i="21"/>
  <c r="K474" i="21"/>
  <c r="AU473" i="21"/>
  <c r="AI473" i="21"/>
  <c r="W473" i="21"/>
  <c r="K473" i="21"/>
  <c r="AU472" i="21"/>
  <c r="AI472" i="21"/>
  <c r="W472" i="21"/>
  <c r="K472" i="21"/>
  <c r="AU471" i="21"/>
  <c r="AI471" i="21"/>
  <c r="W471" i="21"/>
  <c r="K471" i="21"/>
  <c r="AU470" i="21"/>
  <c r="AI470" i="21"/>
  <c r="W470" i="21"/>
  <c r="K470" i="21"/>
  <c r="AU469" i="21"/>
  <c r="AI469" i="21"/>
  <c r="W469" i="21"/>
  <c r="K469" i="21"/>
  <c r="AU468" i="21"/>
  <c r="AI468" i="21"/>
  <c r="W468" i="21"/>
  <c r="K468" i="21"/>
  <c r="AU467" i="21"/>
  <c r="AI467" i="21"/>
  <c r="W467" i="21"/>
  <c r="K467" i="21"/>
  <c r="AU466" i="21"/>
  <c r="AI466" i="21"/>
  <c r="W466" i="21"/>
  <c r="K466" i="21"/>
  <c r="AU465" i="21"/>
  <c r="AI465" i="21"/>
  <c r="W465" i="21"/>
  <c r="K465" i="21"/>
  <c r="AU464" i="21"/>
  <c r="AI464" i="21"/>
  <c r="W464" i="21"/>
  <c r="K464" i="21"/>
  <c r="AU463" i="21"/>
  <c r="AI463" i="21"/>
  <c r="W463" i="21"/>
  <c r="K463" i="21"/>
  <c r="AU462" i="21"/>
  <c r="AI462" i="21"/>
  <c r="W462" i="21"/>
  <c r="K462" i="21"/>
  <c r="AU461" i="21"/>
  <c r="AI461" i="21"/>
  <c r="W461" i="21"/>
  <c r="K461" i="21"/>
  <c r="AU460" i="21"/>
  <c r="AI460" i="21"/>
  <c r="W460" i="21"/>
  <c r="K460" i="21"/>
  <c r="AU459" i="21"/>
  <c r="AI459" i="21"/>
  <c r="W459" i="21"/>
  <c r="K459" i="21"/>
  <c r="AU458" i="21"/>
  <c r="AI458" i="21"/>
  <c r="W458" i="21"/>
  <c r="K458" i="21"/>
  <c r="AU457" i="21"/>
  <c r="AI457" i="21"/>
  <c r="W457" i="21"/>
  <c r="K457" i="21"/>
  <c r="AU456" i="21"/>
  <c r="AI456" i="21"/>
  <c r="W456" i="21"/>
  <c r="K456" i="21"/>
  <c r="AU455" i="21"/>
  <c r="AI455" i="21"/>
  <c r="W455" i="21"/>
  <c r="K455" i="21"/>
  <c r="AU454" i="21"/>
  <c r="AI454" i="21"/>
  <c r="W454" i="21"/>
  <c r="K454" i="21"/>
  <c r="AU453" i="21"/>
  <c r="AI453" i="21"/>
  <c r="W453" i="21"/>
  <c r="K453" i="21"/>
  <c r="AU452" i="21"/>
  <c r="AI452" i="21"/>
  <c r="W452" i="21"/>
  <c r="K452" i="21"/>
  <c r="AU451" i="21"/>
  <c r="AI451" i="21"/>
  <c r="W451" i="21"/>
  <c r="K451" i="21"/>
  <c r="AU450" i="21"/>
  <c r="AI450" i="21"/>
  <c r="W450" i="21"/>
  <c r="K450" i="21"/>
  <c r="AU449" i="21"/>
  <c r="AI449" i="21"/>
  <c r="W449" i="21"/>
  <c r="K449" i="21"/>
  <c r="AU448" i="21"/>
  <c r="AI448" i="21"/>
  <c r="W448" i="21"/>
  <c r="K448" i="21"/>
  <c r="AU447" i="21"/>
  <c r="AI447" i="21"/>
  <c r="W447" i="21"/>
  <c r="K447" i="21"/>
  <c r="AU446" i="21"/>
  <c r="AI446" i="21"/>
  <c r="W446" i="21"/>
  <c r="K446" i="21"/>
  <c r="AU445" i="21"/>
  <c r="AI445" i="21"/>
  <c r="W445" i="21"/>
  <c r="K445" i="21"/>
  <c r="AU444" i="21"/>
  <c r="AI444" i="21"/>
  <c r="W444" i="21"/>
  <c r="K444" i="21"/>
  <c r="AU443" i="21"/>
  <c r="AI443" i="21"/>
  <c r="W443" i="21"/>
  <c r="K443" i="21"/>
  <c r="AU442" i="21"/>
  <c r="AI442" i="21"/>
  <c r="W442" i="21"/>
  <c r="K442" i="21"/>
  <c r="AU441" i="21"/>
  <c r="AI441" i="21"/>
  <c r="W441" i="21"/>
  <c r="K441" i="21"/>
  <c r="AU440" i="21"/>
  <c r="AI440" i="21"/>
  <c r="W440" i="21"/>
  <c r="K440" i="21"/>
  <c r="AU439" i="21"/>
  <c r="AI439" i="21"/>
  <c r="W439" i="21"/>
  <c r="K439" i="21"/>
  <c r="AU438" i="21"/>
  <c r="AI438" i="21"/>
  <c r="W438" i="21"/>
  <c r="K438" i="21"/>
  <c r="AU437" i="21"/>
  <c r="AI437" i="21"/>
  <c r="W437" i="21"/>
  <c r="K437" i="21"/>
  <c r="AU436" i="21"/>
  <c r="AI436" i="21"/>
  <c r="W436" i="21"/>
  <c r="K436" i="21"/>
  <c r="AU435" i="21"/>
  <c r="AI435" i="21"/>
  <c r="W435" i="21"/>
  <c r="K435" i="21"/>
  <c r="AU434" i="21"/>
  <c r="AI434" i="21"/>
  <c r="W434" i="21"/>
  <c r="K434" i="21"/>
  <c r="AU433" i="21"/>
  <c r="AI433" i="21"/>
  <c r="W433" i="21"/>
  <c r="K433" i="21"/>
  <c r="AU432" i="21"/>
  <c r="AI432" i="21"/>
  <c r="W432" i="21"/>
  <c r="K432" i="21"/>
  <c r="AU431" i="21"/>
  <c r="AI431" i="21"/>
  <c r="W431" i="21"/>
  <c r="K431" i="21"/>
  <c r="AU430" i="21"/>
  <c r="AI430" i="21"/>
  <c r="W430" i="21"/>
  <c r="K430" i="21"/>
  <c r="AU429" i="21"/>
  <c r="AI429" i="21"/>
  <c r="W429" i="21"/>
  <c r="K429" i="21"/>
  <c r="AU428" i="21"/>
  <c r="AI428" i="21"/>
  <c r="W428" i="21"/>
  <c r="K428" i="21"/>
  <c r="AU427" i="21"/>
  <c r="AI427" i="21"/>
  <c r="W427" i="21"/>
  <c r="K427" i="21"/>
  <c r="AU426" i="21"/>
  <c r="AI426" i="21"/>
  <c r="W426" i="21"/>
  <c r="K426" i="21"/>
  <c r="AU425" i="21"/>
  <c r="AI425" i="21"/>
  <c r="W425" i="21"/>
  <c r="K425" i="21"/>
  <c r="AU424" i="21"/>
  <c r="AI424" i="21"/>
  <c r="W424" i="21"/>
  <c r="K424" i="21"/>
  <c r="AU423" i="21"/>
  <c r="AI423" i="21"/>
  <c r="W423" i="21"/>
  <c r="K423" i="21"/>
  <c r="AU422" i="21"/>
  <c r="AI422" i="21"/>
  <c r="W422" i="21"/>
  <c r="K422" i="21"/>
  <c r="AU421" i="21"/>
  <c r="AI421" i="21"/>
  <c r="W421" i="21"/>
  <c r="K421" i="21"/>
  <c r="AU420" i="21"/>
  <c r="AI420" i="21"/>
  <c r="W420" i="21"/>
  <c r="K420" i="21"/>
  <c r="AU419" i="21"/>
  <c r="AI419" i="21"/>
  <c r="W419" i="21"/>
  <c r="K419" i="21"/>
  <c r="AU418" i="21"/>
  <c r="AI418" i="21"/>
  <c r="W418" i="21"/>
  <c r="K418" i="21"/>
  <c r="AU417" i="21"/>
  <c r="AI417" i="21"/>
  <c r="W417" i="21"/>
  <c r="K417" i="21"/>
  <c r="AU416" i="21"/>
  <c r="AI416" i="21"/>
  <c r="W416" i="21"/>
  <c r="K416" i="21"/>
  <c r="AU415" i="21"/>
  <c r="AI415" i="21"/>
  <c r="W415" i="21"/>
  <c r="K415" i="21"/>
  <c r="AU414" i="21"/>
  <c r="AI414" i="21"/>
  <c r="W414" i="21"/>
  <c r="K414" i="21"/>
  <c r="AU413" i="21"/>
  <c r="AI413" i="21"/>
  <c r="W413" i="21"/>
  <c r="K413" i="21"/>
  <c r="AU412" i="21"/>
  <c r="AI412" i="21"/>
  <c r="W412" i="21"/>
  <c r="K412" i="21"/>
  <c r="AU411" i="21"/>
  <c r="AI411" i="21"/>
  <c r="W411" i="21"/>
  <c r="K411" i="21"/>
  <c r="AU410" i="21"/>
  <c r="AI410" i="21"/>
  <c r="W410" i="21"/>
  <c r="K410" i="21"/>
  <c r="AU409" i="21"/>
  <c r="AI409" i="21"/>
  <c r="W409" i="21"/>
  <c r="K409" i="21"/>
  <c r="AU408" i="21"/>
  <c r="AI408" i="21"/>
  <c r="W408" i="21"/>
  <c r="K408" i="21"/>
  <c r="AU407" i="21"/>
  <c r="AI407" i="21"/>
  <c r="W407" i="21"/>
  <c r="K407" i="21"/>
  <c r="AU406" i="21"/>
  <c r="AI406" i="21"/>
  <c r="W406" i="21"/>
  <c r="K406" i="21"/>
  <c r="AU405" i="21"/>
  <c r="AI405" i="21"/>
  <c r="W405" i="21"/>
  <c r="K405" i="21"/>
  <c r="AU404" i="21"/>
  <c r="AI404" i="21"/>
  <c r="W404" i="21"/>
  <c r="K404" i="21"/>
  <c r="AU403" i="21"/>
  <c r="AI403" i="21"/>
  <c r="W403" i="21"/>
  <c r="K403" i="21"/>
  <c r="AU402" i="21"/>
  <c r="AI402" i="21"/>
  <c r="W402" i="21"/>
  <c r="K402" i="21"/>
  <c r="AU401" i="21"/>
  <c r="AI401" i="21"/>
  <c r="W401" i="21"/>
  <c r="K401" i="21"/>
  <c r="AU400" i="21"/>
  <c r="AI400" i="21"/>
  <c r="W400" i="21"/>
  <c r="K400" i="21"/>
  <c r="AU399" i="21"/>
  <c r="AI399" i="21"/>
  <c r="W399" i="21"/>
  <c r="K399" i="21"/>
  <c r="AU398" i="21"/>
  <c r="AI398" i="21"/>
  <c r="W398" i="21"/>
  <c r="K398" i="21"/>
  <c r="AU397" i="21"/>
  <c r="AI397" i="21"/>
  <c r="W397" i="21"/>
  <c r="K397" i="21"/>
  <c r="AU396" i="21"/>
  <c r="AI396" i="21"/>
  <c r="W396" i="21"/>
  <c r="K396" i="21"/>
  <c r="AU395" i="21"/>
  <c r="AI395" i="21"/>
  <c r="W395" i="21"/>
  <c r="K395" i="21"/>
  <c r="AU394" i="21"/>
  <c r="AI394" i="21"/>
  <c r="W394" i="21"/>
  <c r="K394" i="21"/>
  <c r="AU393" i="21"/>
  <c r="AI393" i="21"/>
  <c r="W393" i="21"/>
  <c r="K393" i="21"/>
  <c r="AU392" i="21"/>
  <c r="AI392" i="21"/>
  <c r="W392" i="21"/>
  <c r="K392" i="21"/>
  <c r="AU391" i="21"/>
  <c r="AI391" i="21"/>
  <c r="W391" i="21"/>
  <c r="K391" i="21"/>
  <c r="AU390" i="21"/>
  <c r="AI390" i="21"/>
  <c r="W390" i="21"/>
  <c r="K390" i="21"/>
  <c r="AU389" i="21"/>
  <c r="AI389" i="21"/>
  <c r="W389" i="21"/>
  <c r="K389" i="21"/>
  <c r="AU388" i="21"/>
  <c r="AI388" i="21"/>
  <c r="W388" i="21"/>
  <c r="K388" i="21"/>
  <c r="AU387" i="21"/>
  <c r="AI387" i="21"/>
  <c r="W387" i="21"/>
  <c r="K387" i="21"/>
  <c r="AU386" i="21"/>
  <c r="AI386" i="21"/>
  <c r="W386" i="21"/>
  <c r="K386" i="21"/>
  <c r="AU385" i="21"/>
  <c r="AI385" i="21"/>
  <c r="W385" i="21"/>
  <c r="K385" i="21"/>
  <c r="AU384" i="21"/>
  <c r="AI384" i="21"/>
  <c r="W384" i="21"/>
  <c r="K384" i="21"/>
  <c r="AU383" i="21"/>
  <c r="AI383" i="21"/>
  <c r="W383" i="21"/>
  <c r="K383" i="21"/>
  <c r="AU382" i="21"/>
  <c r="AI382" i="21"/>
  <c r="W382" i="21"/>
  <c r="K382" i="21"/>
  <c r="AU381" i="21"/>
  <c r="AI381" i="21"/>
  <c r="W381" i="21"/>
  <c r="K381" i="21"/>
  <c r="AU380" i="21"/>
  <c r="AI380" i="21"/>
  <c r="W380" i="21"/>
  <c r="K380" i="21"/>
  <c r="AU379" i="21"/>
  <c r="AI379" i="21"/>
  <c r="W379" i="21"/>
  <c r="K379" i="21"/>
  <c r="AU378" i="21"/>
  <c r="AI378" i="21"/>
  <c r="W378" i="21"/>
  <c r="K378" i="21"/>
  <c r="AU377" i="21"/>
  <c r="AI377" i="21"/>
  <c r="W377" i="21"/>
  <c r="K377" i="21"/>
  <c r="AU376" i="21"/>
  <c r="AI376" i="21"/>
  <c r="W376" i="21"/>
  <c r="K376" i="21"/>
  <c r="AU375" i="21"/>
  <c r="AI375" i="21"/>
  <c r="W375" i="21"/>
  <c r="K375" i="21"/>
  <c r="AU374" i="21"/>
  <c r="AI374" i="21"/>
  <c r="W374" i="21"/>
  <c r="K374" i="21"/>
  <c r="AU373" i="21"/>
  <c r="AI373" i="21"/>
  <c r="W373" i="21"/>
  <c r="K373" i="21"/>
  <c r="AU372" i="21"/>
  <c r="AI372" i="21"/>
  <c r="W372" i="21"/>
  <c r="K372" i="21"/>
  <c r="AU371" i="21"/>
  <c r="AI371" i="21"/>
  <c r="W371" i="21"/>
  <c r="K371" i="21"/>
  <c r="AU370" i="21"/>
  <c r="AI370" i="21"/>
  <c r="W370" i="21"/>
  <c r="K370" i="21"/>
  <c r="AU369" i="21"/>
  <c r="AI369" i="21"/>
  <c r="W369" i="21"/>
  <c r="K369" i="21"/>
  <c r="AU368" i="21"/>
  <c r="AI368" i="21"/>
  <c r="W368" i="21"/>
  <c r="K368" i="21"/>
  <c r="AU367" i="21"/>
  <c r="AI367" i="21"/>
  <c r="W367" i="21"/>
  <c r="K367" i="21"/>
  <c r="AU366" i="21"/>
  <c r="AI366" i="21"/>
  <c r="W366" i="21"/>
  <c r="K366" i="21"/>
  <c r="AU365" i="21"/>
  <c r="AI365" i="21"/>
  <c r="W365" i="21"/>
  <c r="K365" i="21"/>
  <c r="AU364" i="21"/>
  <c r="AI364" i="21"/>
  <c r="W364" i="21"/>
  <c r="K364" i="21"/>
  <c r="AU363" i="21"/>
  <c r="AI363" i="21"/>
  <c r="W363" i="21"/>
  <c r="K363" i="21"/>
  <c r="AU362" i="21"/>
  <c r="AI362" i="21"/>
  <c r="W362" i="21"/>
  <c r="K362" i="21"/>
  <c r="AU361" i="21"/>
  <c r="AI361" i="21"/>
  <c r="W361" i="21"/>
  <c r="K361" i="21"/>
  <c r="AU360" i="21"/>
  <c r="AI360" i="21"/>
  <c r="W360" i="21"/>
  <c r="K360" i="21"/>
  <c r="AU359" i="21"/>
  <c r="AI359" i="21"/>
  <c r="W359" i="21"/>
  <c r="K359" i="21"/>
  <c r="AU358" i="21"/>
  <c r="AI358" i="21"/>
  <c r="W358" i="21"/>
  <c r="K358" i="21"/>
  <c r="AU357" i="21"/>
  <c r="AI357" i="21"/>
  <c r="W357" i="21"/>
  <c r="K357" i="21"/>
  <c r="AU356" i="21"/>
  <c r="AI356" i="21"/>
  <c r="W356" i="21"/>
  <c r="K356" i="21"/>
  <c r="AU355" i="21"/>
  <c r="AI355" i="21"/>
  <c r="W355" i="21"/>
  <c r="K355" i="21"/>
  <c r="AU354" i="21"/>
  <c r="AI354" i="21"/>
  <c r="W354" i="21"/>
  <c r="K354" i="21"/>
  <c r="AU353" i="21"/>
  <c r="AI353" i="21"/>
  <c r="W353" i="21"/>
  <c r="K353" i="21"/>
  <c r="AU352" i="21"/>
  <c r="AI352" i="21"/>
  <c r="W352" i="21"/>
  <c r="K352" i="21"/>
  <c r="AU351" i="21"/>
  <c r="AI351" i="21"/>
  <c r="W351" i="21"/>
  <c r="K351" i="21"/>
  <c r="AU350" i="21"/>
  <c r="AI350" i="21"/>
  <c r="W350" i="21"/>
  <c r="K350" i="21"/>
  <c r="AU349" i="21"/>
  <c r="AI349" i="21"/>
  <c r="W349" i="21"/>
  <c r="K349" i="21"/>
  <c r="AU348" i="21"/>
  <c r="AI348" i="21"/>
  <c r="W348" i="21"/>
  <c r="K348" i="21"/>
  <c r="AU347" i="21"/>
  <c r="AI347" i="21"/>
  <c r="W347" i="21"/>
  <c r="K347" i="21"/>
  <c r="AU346" i="21"/>
  <c r="AI346" i="21"/>
  <c r="W346" i="21"/>
  <c r="K346" i="21"/>
  <c r="AU345" i="21"/>
  <c r="AI345" i="21"/>
  <c r="W345" i="21"/>
  <c r="K345" i="21"/>
  <c r="AU344" i="21"/>
  <c r="AI344" i="21"/>
  <c r="W344" i="21"/>
  <c r="K344" i="21"/>
  <c r="AU343" i="21"/>
  <c r="AI343" i="21"/>
  <c r="W343" i="21"/>
  <c r="K343" i="21"/>
  <c r="AU342" i="21"/>
  <c r="AI342" i="21"/>
  <c r="W342" i="21"/>
  <c r="K342" i="21"/>
  <c r="AU341" i="21"/>
  <c r="AI341" i="21"/>
  <c r="W341" i="21"/>
  <c r="K341" i="21"/>
  <c r="AU340" i="21"/>
  <c r="AI340" i="21"/>
  <c r="W340" i="21"/>
  <c r="K340" i="21"/>
  <c r="AU339" i="21"/>
  <c r="AI339" i="21"/>
  <c r="W339" i="21"/>
  <c r="K339" i="21"/>
  <c r="AU338" i="21"/>
  <c r="AI338" i="21"/>
  <c r="W338" i="21"/>
  <c r="K338" i="21"/>
  <c r="AU337" i="21"/>
  <c r="AI337" i="21"/>
  <c r="W337" i="21"/>
  <c r="K337" i="21"/>
  <c r="AU336" i="21"/>
  <c r="AI336" i="21"/>
  <c r="W336" i="21"/>
  <c r="K336" i="21"/>
  <c r="AU335" i="21"/>
  <c r="AI335" i="21"/>
  <c r="W335" i="21"/>
  <c r="K335" i="21"/>
  <c r="AU334" i="21"/>
  <c r="AI334" i="21"/>
  <c r="W334" i="21"/>
  <c r="K334" i="21"/>
  <c r="AU333" i="21"/>
  <c r="AI333" i="21"/>
  <c r="W333" i="21"/>
  <c r="K333" i="21"/>
  <c r="AU332" i="21"/>
  <c r="AI332" i="21"/>
  <c r="W332" i="21"/>
  <c r="K332" i="21"/>
  <c r="AU331" i="21"/>
  <c r="AI331" i="21"/>
  <c r="W331" i="21"/>
  <c r="K331" i="21"/>
  <c r="AU330" i="21"/>
  <c r="AI330" i="21"/>
  <c r="W330" i="21"/>
  <c r="K330" i="21"/>
  <c r="AU329" i="21"/>
  <c r="AI329" i="21"/>
  <c r="W329" i="21"/>
  <c r="K329" i="21"/>
  <c r="AU328" i="21"/>
  <c r="AI328" i="21"/>
  <c r="W328" i="21"/>
  <c r="K328" i="21"/>
  <c r="AU327" i="21"/>
  <c r="AI327" i="21"/>
  <c r="W327" i="21"/>
  <c r="K327" i="21"/>
  <c r="AU326" i="21"/>
  <c r="AI326" i="21"/>
  <c r="W326" i="21"/>
  <c r="K326" i="21"/>
  <c r="AU325" i="21"/>
  <c r="AI325" i="21"/>
  <c r="W325" i="21"/>
  <c r="K325" i="21"/>
  <c r="AU324" i="21"/>
  <c r="AI324" i="21"/>
  <c r="W324" i="21"/>
  <c r="K324" i="21"/>
  <c r="AU323" i="21"/>
  <c r="AI323" i="21"/>
  <c r="W323" i="21"/>
  <c r="K323" i="21"/>
  <c r="AU322" i="21"/>
  <c r="AI322" i="21"/>
  <c r="W322" i="21"/>
  <c r="K322" i="21"/>
  <c r="AU321" i="21"/>
  <c r="AI321" i="21"/>
  <c r="W321" i="21"/>
  <c r="K321" i="21"/>
  <c r="AU320" i="21"/>
  <c r="AI320" i="21"/>
  <c r="W320" i="21"/>
  <c r="K320" i="21"/>
  <c r="AU319" i="21"/>
  <c r="AI319" i="21"/>
  <c r="W319" i="21"/>
  <c r="K319" i="21"/>
  <c r="AU318" i="21"/>
  <c r="AI318" i="21"/>
  <c r="W318" i="21"/>
  <c r="K318" i="21"/>
  <c r="AU317" i="21"/>
  <c r="AI317" i="21"/>
  <c r="W317" i="21"/>
  <c r="K317" i="21"/>
  <c r="AU316" i="21"/>
  <c r="AI316" i="21"/>
  <c r="W316" i="21"/>
  <c r="K316" i="21"/>
  <c r="AU315" i="21"/>
  <c r="AI315" i="21"/>
  <c r="W315" i="21"/>
  <c r="K315" i="21"/>
  <c r="AU314" i="21"/>
  <c r="AI314" i="21"/>
  <c r="W314" i="21"/>
  <c r="K314" i="21"/>
  <c r="AU313" i="21"/>
  <c r="AI313" i="21"/>
  <c r="W313" i="21"/>
  <c r="K313" i="21"/>
  <c r="AU312" i="21"/>
  <c r="AI312" i="21"/>
  <c r="W312" i="21"/>
  <c r="K312" i="21"/>
  <c r="AU311" i="21"/>
  <c r="AI311" i="21"/>
  <c r="W311" i="21"/>
  <c r="K311" i="21"/>
  <c r="AU310" i="21"/>
  <c r="AI310" i="21"/>
  <c r="W310" i="21"/>
  <c r="K310" i="21"/>
  <c r="AU309" i="21"/>
  <c r="AI309" i="21"/>
  <c r="W309" i="21"/>
  <c r="K309" i="21"/>
  <c r="AU308" i="21"/>
  <c r="AI308" i="21"/>
  <c r="W308" i="21"/>
  <c r="K308" i="21"/>
  <c r="AU307" i="21"/>
  <c r="AI307" i="21"/>
  <c r="W307" i="21"/>
  <c r="K307" i="21"/>
  <c r="AU306" i="21"/>
  <c r="AI306" i="21"/>
  <c r="W306" i="21"/>
  <c r="K306" i="21"/>
  <c r="AU305" i="21"/>
  <c r="AI305" i="21"/>
  <c r="W305" i="21"/>
  <c r="K305" i="21"/>
  <c r="AU304" i="21"/>
  <c r="AI304" i="21"/>
  <c r="W304" i="21"/>
  <c r="K304" i="21"/>
  <c r="AU303" i="21"/>
  <c r="AI303" i="21"/>
  <c r="W303" i="21"/>
  <c r="K303" i="21"/>
  <c r="AU302" i="21"/>
  <c r="AI302" i="21"/>
  <c r="W302" i="21"/>
  <c r="K302" i="21"/>
  <c r="AU301" i="21"/>
  <c r="AI301" i="21"/>
  <c r="W301" i="21"/>
  <c r="K301" i="21"/>
  <c r="AU300" i="21"/>
  <c r="AI300" i="21"/>
  <c r="W300" i="21"/>
  <c r="K300" i="21"/>
  <c r="AU299" i="21"/>
  <c r="AI299" i="21"/>
  <c r="W299" i="21"/>
  <c r="K299" i="21"/>
  <c r="AU298" i="21"/>
  <c r="AI298" i="21"/>
  <c r="W298" i="21"/>
  <c r="K298" i="21"/>
  <c r="AU297" i="21"/>
  <c r="AI297" i="21"/>
  <c r="W297" i="21"/>
  <c r="K297" i="21"/>
  <c r="AU296" i="21"/>
  <c r="AI296" i="21"/>
  <c r="W296" i="21"/>
  <c r="K296" i="21"/>
  <c r="AU295" i="21"/>
  <c r="AI295" i="21"/>
  <c r="W295" i="21"/>
  <c r="K295" i="21"/>
  <c r="AU294" i="21"/>
  <c r="AI294" i="21"/>
  <c r="W294" i="21"/>
  <c r="K294" i="21"/>
  <c r="AU293" i="21"/>
  <c r="AI293" i="21"/>
  <c r="W293" i="21"/>
  <c r="K293" i="21"/>
  <c r="AU292" i="21"/>
  <c r="AI292" i="21"/>
  <c r="W292" i="21"/>
  <c r="K292" i="21"/>
  <c r="AU291" i="21"/>
  <c r="AI291" i="21"/>
  <c r="W291" i="21"/>
  <c r="K291" i="21"/>
  <c r="AU290" i="21"/>
  <c r="AI290" i="21"/>
  <c r="W290" i="21"/>
  <c r="K290" i="21"/>
  <c r="AU289" i="21"/>
  <c r="AI289" i="21"/>
  <c r="W289" i="21"/>
  <c r="K289" i="21"/>
  <c r="AU288" i="21"/>
  <c r="AI288" i="21"/>
  <c r="W288" i="21"/>
  <c r="K288" i="21"/>
  <c r="AU287" i="21"/>
  <c r="AI287" i="21"/>
  <c r="W287" i="21"/>
  <c r="K287" i="21"/>
  <c r="AU286" i="21"/>
  <c r="AI286" i="21"/>
  <c r="W286" i="21"/>
  <c r="K286" i="21"/>
  <c r="AU285" i="21"/>
  <c r="AI285" i="21"/>
  <c r="W285" i="21"/>
  <c r="K285" i="21"/>
  <c r="AU284" i="21"/>
  <c r="AI284" i="21"/>
  <c r="W284" i="21"/>
  <c r="K284" i="21"/>
  <c r="AU283" i="21"/>
  <c r="AI283" i="21"/>
  <c r="W283" i="21"/>
  <c r="K283" i="21"/>
  <c r="AU282" i="21"/>
  <c r="AI282" i="21"/>
  <c r="W282" i="21"/>
  <c r="K282" i="21"/>
  <c r="AU281" i="21"/>
  <c r="AI281" i="21"/>
  <c r="W281" i="21"/>
  <c r="K281" i="21"/>
  <c r="AU280" i="21"/>
  <c r="AI280" i="21"/>
  <c r="W280" i="21"/>
  <c r="K280" i="21"/>
  <c r="AU279" i="21"/>
  <c r="AI279" i="21"/>
  <c r="W279" i="21"/>
  <c r="K279" i="21"/>
  <c r="AU278" i="21"/>
  <c r="AI278" i="21"/>
  <c r="W278" i="21"/>
  <c r="K278" i="21"/>
  <c r="AU277" i="21"/>
  <c r="AI277" i="21"/>
  <c r="W277" i="21"/>
  <c r="K277" i="21"/>
  <c r="AU276" i="21"/>
  <c r="AI276" i="21"/>
  <c r="W276" i="21"/>
  <c r="K276" i="21"/>
  <c r="AU275" i="21"/>
  <c r="AI275" i="21"/>
  <c r="W275" i="21"/>
  <c r="K275" i="21"/>
  <c r="AU274" i="21"/>
  <c r="AI274" i="21"/>
  <c r="W274" i="21"/>
  <c r="K274" i="21"/>
  <c r="AU273" i="21"/>
  <c r="AI273" i="21"/>
  <c r="W273" i="21"/>
  <c r="K273" i="21"/>
  <c r="AU272" i="21"/>
  <c r="AI272" i="21"/>
  <c r="W272" i="21"/>
  <c r="K272" i="21"/>
  <c r="AU271" i="21"/>
  <c r="AI271" i="21"/>
  <c r="W271" i="21"/>
  <c r="K271" i="21"/>
  <c r="AU270" i="21"/>
  <c r="AI270" i="21"/>
  <c r="W270" i="21"/>
  <c r="K270" i="21"/>
  <c r="AU269" i="21"/>
  <c r="AI269" i="21"/>
  <c r="W269" i="21"/>
  <c r="K269" i="21"/>
  <c r="AU268" i="21"/>
  <c r="AI268" i="21"/>
  <c r="W268" i="21"/>
  <c r="K268" i="21"/>
  <c r="AU267" i="21"/>
  <c r="AI267" i="21"/>
  <c r="W267" i="21"/>
  <c r="K267" i="21"/>
  <c r="AU266" i="21"/>
  <c r="AI266" i="21"/>
  <c r="W266" i="21"/>
  <c r="K266" i="21"/>
  <c r="AU265" i="21"/>
  <c r="AI265" i="21"/>
  <c r="W265" i="21"/>
  <c r="K265" i="21"/>
  <c r="AU264" i="21"/>
  <c r="AI264" i="21"/>
  <c r="W264" i="21"/>
  <c r="K264" i="21"/>
  <c r="AU263" i="21"/>
  <c r="AI263" i="21"/>
  <c r="W263" i="21"/>
  <c r="K263" i="21"/>
  <c r="AU262" i="21"/>
  <c r="AI262" i="21"/>
  <c r="W262" i="21"/>
  <c r="K262" i="21"/>
  <c r="AU261" i="21"/>
  <c r="AI261" i="21"/>
  <c r="W261" i="21"/>
  <c r="K261" i="21"/>
  <c r="AU260" i="21"/>
  <c r="AI260" i="21"/>
  <c r="W260" i="21"/>
  <c r="K260" i="21"/>
  <c r="AU259" i="21"/>
  <c r="AI259" i="21"/>
  <c r="W259" i="21"/>
  <c r="K259" i="21"/>
  <c r="AU258" i="21"/>
  <c r="AI258" i="21"/>
  <c r="W258" i="21"/>
  <c r="K258" i="21"/>
  <c r="AU257" i="21"/>
  <c r="AI257" i="21"/>
  <c r="W257" i="21"/>
  <c r="K257" i="21"/>
  <c r="AU256" i="21"/>
  <c r="AI256" i="21"/>
  <c r="W256" i="21"/>
  <c r="K256" i="21"/>
  <c r="AU255" i="21"/>
  <c r="AI255" i="21"/>
  <c r="W255" i="21"/>
  <c r="K255" i="21"/>
  <c r="AU254" i="21"/>
  <c r="AI254" i="21"/>
  <c r="W254" i="21"/>
  <c r="K254" i="21"/>
  <c r="AU253" i="21"/>
  <c r="AI253" i="21"/>
  <c r="W253" i="21"/>
  <c r="K253" i="21"/>
  <c r="AU252" i="21"/>
  <c r="AI252" i="21"/>
  <c r="W252" i="21"/>
  <c r="K252" i="21"/>
  <c r="AU251" i="21"/>
  <c r="AI251" i="21"/>
  <c r="W251" i="21"/>
  <c r="K251" i="21"/>
  <c r="AU250" i="21"/>
  <c r="AI250" i="21"/>
  <c r="W250" i="21"/>
  <c r="K250" i="21"/>
  <c r="AU249" i="21"/>
  <c r="AI249" i="21"/>
  <c r="W249" i="21"/>
  <c r="K249" i="21"/>
  <c r="AU248" i="21"/>
  <c r="AI248" i="21"/>
  <c r="W248" i="21"/>
  <c r="K248" i="21"/>
  <c r="AU247" i="21"/>
  <c r="AI247" i="21"/>
  <c r="W247" i="21"/>
  <c r="K247" i="21"/>
  <c r="AU246" i="21"/>
  <c r="AI246" i="21"/>
  <c r="W246" i="21"/>
  <c r="K246" i="21"/>
  <c r="AU245" i="21"/>
  <c r="AI245" i="21"/>
  <c r="W245" i="21"/>
  <c r="K245" i="21"/>
  <c r="AU244" i="21"/>
  <c r="AI244" i="21"/>
  <c r="W244" i="21"/>
  <c r="K244" i="21"/>
  <c r="AU243" i="21"/>
  <c r="AI243" i="21"/>
  <c r="W243" i="21"/>
  <c r="K243" i="21"/>
  <c r="AU242" i="21"/>
  <c r="AI242" i="21"/>
  <c r="W242" i="21"/>
  <c r="K242" i="21"/>
  <c r="AU241" i="21"/>
  <c r="AI241" i="21"/>
  <c r="W241" i="21"/>
  <c r="K241" i="21"/>
  <c r="AU240" i="21"/>
  <c r="AI240" i="21"/>
  <c r="W240" i="21"/>
  <c r="K240" i="21"/>
  <c r="AU239" i="21"/>
  <c r="AI239" i="21"/>
  <c r="W239" i="21"/>
  <c r="K239" i="21"/>
  <c r="AU238" i="21"/>
  <c r="AI238" i="21"/>
  <c r="W238" i="21"/>
  <c r="K238" i="21"/>
  <c r="AU237" i="21"/>
  <c r="AI237" i="21"/>
  <c r="W237" i="21"/>
  <c r="K237" i="21"/>
  <c r="AU236" i="21"/>
  <c r="AI236" i="21"/>
  <c r="W236" i="21"/>
  <c r="K236" i="21"/>
  <c r="AU235" i="21"/>
  <c r="AI235" i="21"/>
  <c r="W235" i="21"/>
  <c r="K235" i="21"/>
  <c r="AU234" i="21"/>
  <c r="AI234" i="21"/>
  <c r="W234" i="21"/>
  <c r="K234" i="21"/>
  <c r="AU233" i="21"/>
  <c r="AI233" i="21"/>
  <c r="W233" i="21"/>
  <c r="K233" i="21"/>
  <c r="AU232" i="21"/>
  <c r="AI232" i="21"/>
  <c r="W232" i="21"/>
  <c r="K232" i="21"/>
  <c r="AU231" i="21"/>
  <c r="AI231" i="21"/>
  <c r="W231" i="21"/>
  <c r="K231" i="21"/>
  <c r="AU230" i="21"/>
  <c r="AI230" i="21"/>
  <c r="W230" i="21"/>
  <c r="K230" i="21"/>
  <c r="AU229" i="21"/>
  <c r="AI229" i="21"/>
  <c r="W229" i="21"/>
  <c r="K229" i="21"/>
  <c r="AU228" i="21"/>
  <c r="AI228" i="21"/>
  <c r="W228" i="21"/>
  <c r="K228" i="21"/>
  <c r="AU227" i="21"/>
  <c r="AI227" i="21"/>
  <c r="W227" i="21"/>
  <c r="K227" i="21"/>
  <c r="AU226" i="21"/>
  <c r="AI226" i="21"/>
  <c r="W226" i="21"/>
  <c r="K226" i="21"/>
  <c r="AU225" i="21"/>
  <c r="AI225" i="21"/>
  <c r="W225" i="21"/>
  <c r="K225" i="21"/>
  <c r="AU224" i="21"/>
  <c r="AI224" i="21"/>
  <c r="W224" i="21"/>
  <c r="K224" i="21"/>
  <c r="AU223" i="21"/>
  <c r="AI223" i="21"/>
  <c r="W223" i="21"/>
  <c r="K223" i="21"/>
  <c r="AU222" i="21"/>
  <c r="AI222" i="21"/>
  <c r="W222" i="21"/>
  <c r="K222" i="21"/>
  <c r="AU221" i="21"/>
  <c r="AI221" i="21"/>
  <c r="W221" i="21"/>
  <c r="K221" i="21"/>
  <c r="AU220" i="21"/>
  <c r="AI220" i="21"/>
  <c r="W220" i="21"/>
  <c r="K220" i="21"/>
  <c r="AU219" i="21"/>
  <c r="AI219" i="21"/>
  <c r="W219" i="21"/>
  <c r="K219" i="21"/>
  <c r="AU218" i="21"/>
  <c r="AI218" i="21"/>
  <c r="W218" i="21"/>
  <c r="K218" i="21"/>
  <c r="AU217" i="21"/>
  <c r="AI217" i="21"/>
  <c r="W217" i="21"/>
  <c r="K217" i="21"/>
  <c r="AU216" i="21"/>
  <c r="AI216" i="21"/>
  <c r="W216" i="21"/>
  <c r="K216" i="21"/>
  <c r="AU215" i="21"/>
  <c r="AI215" i="21"/>
  <c r="W215" i="21"/>
  <c r="K215" i="21"/>
  <c r="AU214" i="21"/>
  <c r="AI214" i="21"/>
  <c r="W214" i="21"/>
  <c r="K214" i="21"/>
  <c r="AU213" i="21"/>
  <c r="AI213" i="21"/>
  <c r="W213" i="21"/>
  <c r="K213" i="21"/>
  <c r="AU212" i="21"/>
  <c r="AI212" i="21"/>
  <c r="W212" i="21"/>
  <c r="K212" i="21"/>
  <c r="AU211" i="21"/>
  <c r="AI211" i="21"/>
  <c r="W211" i="21"/>
  <c r="K211" i="21"/>
  <c r="AU210" i="21"/>
  <c r="AI210" i="21"/>
  <c r="W210" i="21"/>
  <c r="K210" i="21"/>
  <c r="AU209" i="21"/>
  <c r="AI209" i="21"/>
  <c r="W209" i="21"/>
  <c r="K209" i="21"/>
  <c r="AU208" i="21"/>
  <c r="AI208" i="21"/>
  <c r="W208" i="21"/>
  <c r="K208" i="21"/>
  <c r="AU207" i="21"/>
  <c r="AI207" i="21"/>
  <c r="W207" i="21"/>
  <c r="K207" i="21"/>
  <c r="AU206" i="21"/>
  <c r="AI206" i="21"/>
  <c r="W206" i="21"/>
  <c r="K206" i="21"/>
  <c r="AU205" i="21"/>
  <c r="AI205" i="21"/>
  <c r="W205" i="21"/>
  <c r="K205" i="21"/>
  <c r="AU204" i="21"/>
  <c r="AI204" i="21"/>
  <c r="W204" i="21"/>
  <c r="K204" i="21"/>
  <c r="AU203" i="21"/>
  <c r="AI203" i="21"/>
  <c r="W203" i="21"/>
  <c r="K203" i="21"/>
  <c r="AU202" i="21"/>
  <c r="AI202" i="21"/>
  <c r="W202" i="21"/>
  <c r="K202" i="21"/>
  <c r="AU201" i="21"/>
  <c r="AI201" i="21"/>
  <c r="W201" i="21"/>
  <c r="K201" i="21"/>
  <c r="AU200" i="21"/>
  <c r="AI200" i="21"/>
  <c r="W200" i="21"/>
  <c r="K200" i="21"/>
  <c r="AU199" i="21"/>
  <c r="AI199" i="21"/>
  <c r="W199" i="21"/>
  <c r="K199" i="21"/>
  <c r="AU198" i="21"/>
  <c r="AI198" i="21"/>
  <c r="W198" i="21"/>
  <c r="K198" i="21"/>
  <c r="AU197" i="21"/>
  <c r="AI197" i="21"/>
  <c r="W197" i="21"/>
  <c r="K197" i="21"/>
  <c r="AU196" i="21"/>
  <c r="AI196" i="21"/>
  <c r="W196" i="21"/>
  <c r="K196" i="21"/>
  <c r="AU195" i="21"/>
  <c r="AI195" i="21"/>
  <c r="W195" i="21"/>
  <c r="K195" i="21"/>
  <c r="AU194" i="21"/>
  <c r="AI194" i="21"/>
  <c r="W194" i="21"/>
  <c r="K194" i="21"/>
  <c r="AU193" i="21"/>
  <c r="AI193" i="21"/>
  <c r="W193" i="21"/>
  <c r="K193" i="21"/>
  <c r="AU192" i="21"/>
  <c r="AI192" i="21"/>
  <c r="W192" i="21"/>
  <c r="K192" i="21"/>
  <c r="AU191" i="21"/>
  <c r="AI191" i="21"/>
  <c r="W191" i="21"/>
  <c r="K191" i="21"/>
  <c r="AU190" i="21"/>
  <c r="AI190" i="21"/>
  <c r="W190" i="21"/>
  <c r="K190" i="21"/>
  <c r="AU189" i="21"/>
  <c r="AI189" i="21"/>
  <c r="W189" i="21"/>
  <c r="K189" i="21"/>
  <c r="AU188" i="21"/>
  <c r="AI188" i="21"/>
  <c r="W188" i="21"/>
  <c r="K188" i="21"/>
  <c r="AU187" i="21"/>
  <c r="AI187" i="21"/>
  <c r="W187" i="21"/>
  <c r="K187" i="21"/>
  <c r="AU186" i="21"/>
  <c r="AI186" i="21"/>
  <c r="W186" i="21"/>
  <c r="K186" i="21"/>
  <c r="AU185" i="21"/>
  <c r="AI185" i="21"/>
  <c r="W185" i="21"/>
  <c r="K185" i="21"/>
  <c r="AU184" i="21"/>
  <c r="AI184" i="21"/>
  <c r="W184" i="21"/>
  <c r="K184" i="21"/>
  <c r="AU183" i="21"/>
  <c r="AI183" i="21"/>
  <c r="W183" i="21"/>
  <c r="K183" i="21"/>
  <c r="AU182" i="21"/>
  <c r="AI182" i="21"/>
  <c r="W182" i="21"/>
  <c r="K182" i="21"/>
  <c r="AU181" i="21"/>
  <c r="AI181" i="21"/>
  <c r="W181" i="21"/>
  <c r="K181" i="21"/>
  <c r="AU180" i="21"/>
  <c r="AI180" i="21"/>
  <c r="W180" i="21"/>
  <c r="K180" i="21"/>
  <c r="AU179" i="21"/>
  <c r="AI179" i="21"/>
  <c r="W179" i="21"/>
  <c r="K179" i="21"/>
  <c r="AU178" i="21"/>
  <c r="AI178" i="21"/>
  <c r="W178" i="21"/>
  <c r="K178" i="21"/>
  <c r="AU177" i="21"/>
  <c r="AI177" i="21"/>
  <c r="W177" i="21"/>
  <c r="K177" i="21"/>
  <c r="AU176" i="21"/>
  <c r="AI176" i="21"/>
  <c r="W176" i="21"/>
  <c r="K176" i="21"/>
  <c r="AU175" i="21"/>
  <c r="AI175" i="21"/>
  <c r="W175" i="21"/>
  <c r="K175" i="21"/>
  <c r="AU174" i="21"/>
  <c r="AI174" i="21"/>
  <c r="W174" i="21"/>
  <c r="K174" i="21"/>
  <c r="AU173" i="21"/>
  <c r="AI173" i="21"/>
  <c r="W173" i="21"/>
  <c r="K173" i="21"/>
  <c r="AU172" i="21"/>
  <c r="AI172" i="21"/>
  <c r="W172" i="21"/>
  <c r="K172" i="21"/>
  <c r="AU171" i="21"/>
  <c r="AI171" i="21"/>
  <c r="W171" i="21"/>
  <c r="K171" i="21"/>
  <c r="AU170" i="21"/>
  <c r="AI170" i="21"/>
  <c r="W170" i="21"/>
  <c r="K170" i="21"/>
  <c r="AU169" i="21"/>
  <c r="AI169" i="21"/>
  <c r="W169" i="21"/>
  <c r="K169" i="21"/>
  <c r="AU168" i="21"/>
  <c r="AI168" i="21"/>
  <c r="W168" i="21"/>
  <c r="K168" i="21"/>
  <c r="AU167" i="21"/>
  <c r="AI167" i="21"/>
  <c r="W167" i="21"/>
  <c r="K167" i="21"/>
  <c r="AU166" i="21"/>
  <c r="AI166" i="21"/>
  <c r="W166" i="21"/>
  <c r="K166" i="21"/>
  <c r="AU165" i="21"/>
  <c r="AI165" i="21"/>
  <c r="W165" i="21"/>
  <c r="K165" i="21"/>
  <c r="AU164" i="21"/>
  <c r="AI164" i="21"/>
  <c r="W164" i="21"/>
  <c r="K164" i="21"/>
  <c r="AU163" i="21"/>
  <c r="AI163" i="21"/>
  <c r="W163" i="21"/>
  <c r="K163" i="21"/>
  <c r="AU162" i="21"/>
  <c r="AI162" i="21"/>
  <c r="W162" i="21"/>
  <c r="K162" i="21"/>
  <c r="AU161" i="21"/>
  <c r="AI161" i="21"/>
  <c r="W161" i="21"/>
  <c r="K161" i="21"/>
  <c r="AU160" i="21"/>
  <c r="AI160" i="21"/>
  <c r="W160" i="21"/>
  <c r="K160" i="21"/>
  <c r="AU159" i="21"/>
  <c r="AI159" i="21"/>
  <c r="W159" i="21"/>
  <c r="K159" i="21"/>
  <c r="AU158" i="21"/>
  <c r="AI158" i="21"/>
  <c r="W158" i="21"/>
  <c r="K158" i="21"/>
  <c r="AU157" i="21"/>
  <c r="AI157" i="21"/>
  <c r="W157" i="21"/>
  <c r="K157" i="21"/>
  <c r="AU156" i="21"/>
  <c r="AI156" i="21"/>
  <c r="W156" i="21"/>
  <c r="K156" i="21"/>
  <c r="AU155" i="21"/>
  <c r="AI155" i="21"/>
  <c r="W155" i="21"/>
  <c r="K155" i="21"/>
  <c r="AU154" i="21"/>
  <c r="AI154" i="21"/>
  <c r="W154" i="21"/>
  <c r="K154" i="21"/>
  <c r="AU153" i="21"/>
  <c r="AI153" i="21"/>
  <c r="W153" i="21"/>
  <c r="K153" i="21"/>
  <c r="AU152" i="21"/>
  <c r="AI152" i="21"/>
  <c r="W152" i="21"/>
  <c r="K152" i="21"/>
  <c r="AU151" i="21"/>
  <c r="AI151" i="21"/>
  <c r="W151" i="21"/>
  <c r="K151" i="21"/>
  <c r="AU150" i="21"/>
  <c r="AI150" i="21"/>
  <c r="W150" i="21"/>
  <c r="K150" i="21"/>
  <c r="AU149" i="21"/>
  <c r="AI149" i="21"/>
  <c r="V149" i="21"/>
  <c r="T149" i="21"/>
  <c r="W149" i="21" s="1"/>
  <c r="S149" i="21"/>
  <c r="R149" i="21"/>
  <c r="Q149" i="21"/>
  <c r="P149" i="21"/>
  <c r="O149" i="21"/>
  <c r="N149" i="21"/>
  <c r="M149" i="21"/>
  <c r="K149" i="21"/>
  <c r="AU148" i="21"/>
  <c r="AI148" i="21"/>
  <c r="V148" i="21"/>
  <c r="U148" i="21"/>
  <c r="T148" i="21"/>
  <c r="S148" i="21"/>
  <c r="R148" i="21"/>
  <c r="Q148" i="21"/>
  <c r="P148" i="21"/>
  <c r="O148" i="21"/>
  <c r="N148" i="21"/>
  <c r="M148" i="21"/>
  <c r="K148" i="21"/>
  <c r="AU147" i="21"/>
  <c r="AI147" i="21"/>
  <c r="V147" i="21"/>
  <c r="U147" i="21"/>
  <c r="W147" i="21" s="1"/>
  <c r="T147" i="21"/>
  <c r="S147" i="21"/>
  <c r="R147" i="21"/>
  <c r="Q147" i="21"/>
  <c r="P147" i="21"/>
  <c r="O147" i="21"/>
  <c r="N147" i="21"/>
  <c r="M147" i="21"/>
  <c r="K147" i="21"/>
  <c r="AU146" i="21"/>
  <c r="AI146" i="21"/>
  <c r="V146" i="21"/>
  <c r="U146" i="21"/>
  <c r="T146" i="21"/>
  <c r="S146" i="21"/>
  <c r="R146" i="21"/>
  <c r="Q146" i="21"/>
  <c r="P146" i="21"/>
  <c r="O146" i="21"/>
  <c r="N146" i="21"/>
  <c r="M146" i="21"/>
  <c r="K146" i="21"/>
  <c r="AU145" i="21"/>
  <c r="AI145" i="21"/>
  <c r="V145" i="21"/>
  <c r="T145" i="21"/>
  <c r="W145" i="21" s="1"/>
  <c r="S145" i="21"/>
  <c r="R145" i="21"/>
  <c r="Q145" i="21"/>
  <c r="P145" i="21"/>
  <c r="O145" i="21"/>
  <c r="N145" i="21"/>
  <c r="M145" i="21"/>
  <c r="K145" i="21"/>
  <c r="AU144" i="21"/>
  <c r="AI144" i="21"/>
  <c r="V144" i="21"/>
  <c r="U144" i="21"/>
  <c r="T144" i="21"/>
  <c r="S144" i="21"/>
  <c r="R144" i="21"/>
  <c r="Q144" i="21"/>
  <c r="P144" i="21"/>
  <c r="O144" i="21"/>
  <c r="N144" i="21"/>
  <c r="M144" i="21"/>
  <c r="K144" i="21"/>
  <c r="AU143" i="21"/>
  <c r="AI143" i="21"/>
  <c r="V143" i="21"/>
  <c r="T143" i="21"/>
  <c r="W143" i="21" s="1"/>
  <c r="S143" i="21"/>
  <c r="R143" i="21"/>
  <c r="Q143" i="21"/>
  <c r="P143" i="21"/>
  <c r="O143" i="21"/>
  <c r="N143" i="21"/>
  <c r="M143" i="21"/>
  <c r="K143" i="21"/>
  <c r="AU142" i="21"/>
  <c r="AI142" i="21"/>
  <c r="V142" i="21"/>
  <c r="U142" i="21"/>
  <c r="T142" i="21"/>
  <c r="S142" i="21"/>
  <c r="R142" i="21"/>
  <c r="Q142" i="21"/>
  <c r="P142" i="21"/>
  <c r="O142" i="21"/>
  <c r="N142" i="21"/>
  <c r="M142" i="21"/>
  <c r="K142" i="21"/>
  <c r="AU141" i="21"/>
  <c r="AI141" i="21"/>
  <c r="V141" i="21"/>
  <c r="U141" i="21"/>
  <c r="T141" i="21"/>
  <c r="S141" i="21"/>
  <c r="R141" i="21"/>
  <c r="Q141" i="21"/>
  <c r="P141" i="21"/>
  <c r="O141" i="21"/>
  <c r="N141" i="21"/>
  <c r="M141" i="21"/>
  <c r="K141" i="21"/>
  <c r="AU140" i="21"/>
  <c r="AI140" i="21"/>
  <c r="V140" i="21"/>
  <c r="U140" i="21"/>
  <c r="T140" i="21"/>
  <c r="S140" i="21"/>
  <c r="R140" i="21"/>
  <c r="Q140" i="21"/>
  <c r="P140" i="21"/>
  <c r="O140" i="21"/>
  <c r="N140" i="21"/>
  <c r="M140" i="21"/>
  <c r="K140" i="21"/>
  <c r="AU139" i="21"/>
  <c r="AI139" i="21"/>
  <c r="V139" i="21"/>
  <c r="U139" i="21"/>
  <c r="T139" i="21"/>
  <c r="S139" i="21"/>
  <c r="R139" i="21"/>
  <c r="Q139" i="21"/>
  <c r="P139" i="21"/>
  <c r="O139" i="21"/>
  <c r="N139" i="21"/>
  <c r="M139" i="21"/>
  <c r="K139" i="21"/>
  <c r="AU138" i="21"/>
  <c r="AI138" i="21"/>
  <c r="V138" i="21"/>
  <c r="U138" i="21"/>
  <c r="T138" i="21"/>
  <c r="S138" i="21"/>
  <c r="R138" i="21"/>
  <c r="Q138" i="21"/>
  <c r="P138" i="21"/>
  <c r="O138" i="21"/>
  <c r="N138" i="21"/>
  <c r="M138" i="21"/>
  <c r="K138" i="21"/>
  <c r="AU137" i="21"/>
  <c r="AI137" i="21"/>
  <c r="V137" i="21"/>
  <c r="T137" i="21"/>
  <c r="W137" i="21" s="1"/>
  <c r="S137" i="21"/>
  <c r="R137" i="21"/>
  <c r="Q137" i="21"/>
  <c r="P137" i="21"/>
  <c r="O137" i="21"/>
  <c r="N137" i="21"/>
  <c r="M137" i="21"/>
  <c r="K137" i="21"/>
  <c r="AU136" i="21"/>
  <c r="AI136" i="21"/>
  <c r="V136" i="21"/>
  <c r="U136" i="21"/>
  <c r="T136" i="21"/>
  <c r="S136" i="21"/>
  <c r="R136" i="21"/>
  <c r="Q136" i="21"/>
  <c r="P136" i="21"/>
  <c r="O136" i="21"/>
  <c r="N136" i="21"/>
  <c r="M136" i="21"/>
  <c r="K136" i="21"/>
  <c r="AU135" i="21"/>
  <c r="AI135" i="21"/>
  <c r="V135" i="21"/>
  <c r="U135" i="21"/>
  <c r="T135" i="21"/>
  <c r="S135" i="21"/>
  <c r="R135" i="21"/>
  <c r="Q135" i="21"/>
  <c r="P135" i="21"/>
  <c r="O135" i="21"/>
  <c r="N135" i="21"/>
  <c r="M135" i="21"/>
  <c r="K135" i="21"/>
  <c r="AU134" i="21"/>
  <c r="AI134" i="21"/>
  <c r="V134" i="21"/>
  <c r="U134" i="21"/>
  <c r="T134" i="21"/>
  <c r="S134" i="21"/>
  <c r="R134" i="21"/>
  <c r="Q134" i="21"/>
  <c r="P134" i="21"/>
  <c r="O134" i="21"/>
  <c r="N134" i="21"/>
  <c r="M134" i="21"/>
  <c r="K134" i="21"/>
  <c r="AU133" i="21"/>
  <c r="AI133" i="21"/>
  <c r="V133" i="21"/>
  <c r="U133" i="21"/>
  <c r="T133" i="21"/>
  <c r="S133" i="21"/>
  <c r="R133" i="21"/>
  <c r="Q133" i="21"/>
  <c r="P133" i="21"/>
  <c r="O133" i="21"/>
  <c r="N133" i="21"/>
  <c r="M133" i="21"/>
  <c r="K133" i="21"/>
  <c r="AU132" i="21"/>
  <c r="AI132" i="21"/>
  <c r="V132" i="21"/>
  <c r="U132" i="21"/>
  <c r="T132" i="21"/>
  <c r="S132" i="21"/>
  <c r="R132" i="21"/>
  <c r="Q132" i="21"/>
  <c r="P132" i="21"/>
  <c r="O132" i="21"/>
  <c r="N132" i="21"/>
  <c r="M132" i="21"/>
  <c r="K132" i="21"/>
  <c r="AU131" i="21"/>
  <c r="AI131" i="21"/>
  <c r="V131" i="21"/>
  <c r="U131" i="21"/>
  <c r="T131" i="21"/>
  <c r="S131" i="21"/>
  <c r="R131" i="21"/>
  <c r="Q131" i="21"/>
  <c r="P131" i="21"/>
  <c r="O131" i="21"/>
  <c r="N131" i="21"/>
  <c r="M131" i="21"/>
  <c r="K131" i="21"/>
  <c r="AU130" i="21"/>
  <c r="AI130" i="21"/>
  <c r="V130" i="21"/>
  <c r="U130" i="21"/>
  <c r="T130" i="21"/>
  <c r="S130" i="21"/>
  <c r="R130" i="21"/>
  <c r="Q130" i="21"/>
  <c r="P130" i="21"/>
  <c r="O130" i="21"/>
  <c r="N130" i="21"/>
  <c r="M130" i="21"/>
  <c r="K130" i="21"/>
  <c r="AU129" i="21"/>
  <c r="AI129" i="21"/>
  <c r="V129" i="21"/>
  <c r="U129" i="21"/>
  <c r="T129" i="21"/>
  <c r="S129" i="21"/>
  <c r="R129" i="21"/>
  <c r="Q129" i="21"/>
  <c r="P129" i="21"/>
  <c r="O129" i="21"/>
  <c r="N129" i="21"/>
  <c r="M129" i="21"/>
  <c r="K129" i="21"/>
  <c r="AU128" i="21"/>
  <c r="AI128" i="21"/>
  <c r="V128" i="21"/>
  <c r="U128" i="21"/>
  <c r="T128" i="21"/>
  <c r="S128" i="21"/>
  <c r="R128" i="21"/>
  <c r="Q128" i="21"/>
  <c r="P128" i="21"/>
  <c r="O128" i="21"/>
  <c r="N128" i="21"/>
  <c r="M128" i="21"/>
  <c r="K128" i="21"/>
  <c r="AU127" i="21"/>
  <c r="AI127" i="21"/>
  <c r="V127" i="21"/>
  <c r="U127" i="21"/>
  <c r="T127" i="21"/>
  <c r="S127" i="21"/>
  <c r="R127" i="21"/>
  <c r="Q127" i="21"/>
  <c r="P127" i="21"/>
  <c r="O127" i="21"/>
  <c r="N127" i="21"/>
  <c r="M127" i="21"/>
  <c r="K127" i="21"/>
  <c r="AU126" i="21"/>
  <c r="AI126" i="21"/>
  <c r="V126" i="21"/>
  <c r="U126" i="21"/>
  <c r="T126" i="21"/>
  <c r="S126" i="21"/>
  <c r="R126" i="21"/>
  <c r="Q126" i="21"/>
  <c r="P126" i="21"/>
  <c r="O126" i="21"/>
  <c r="N126" i="21"/>
  <c r="M126" i="21"/>
  <c r="K126" i="21"/>
  <c r="AU125" i="21"/>
  <c r="AI125" i="21"/>
  <c r="V125" i="21"/>
  <c r="U125" i="21"/>
  <c r="T125" i="21"/>
  <c r="S125" i="21"/>
  <c r="R125" i="21"/>
  <c r="Q125" i="21"/>
  <c r="P125" i="21"/>
  <c r="O125" i="21"/>
  <c r="N125" i="21"/>
  <c r="M125" i="21"/>
  <c r="K125" i="21"/>
  <c r="AU124" i="21"/>
  <c r="AI124" i="21"/>
  <c r="V124" i="21"/>
  <c r="U124" i="21"/>
  <c r="T124" i="21"/>
  <c r="S124" i="21"/>
  <c r="R124" i="21"/>
  <c r="Q124" i="21"/>
  <c r="P124" i="21"/>
  <c r="O124" i="21"/>
  <c r="N124" i="21"/>
  <c r="M124" i="21"/>
  <c r="K124" i="21"/>
  <c r="AU123" i="21"/>
  <c r="AI123" i="21"/>
  <c r="V123" i="21"/>
  <c r="T123" i="21"/>
  <c r="W123" i="21" s="1"/>
  <c r="S123" i="21"/>
  <c r="R123" i="21"/>
  <c r="Q123" i="21"/>
  <c r="P123" i="21"/>
  <c r="O123" i="21"/>
  <c r="N123" i="21"/>
  <c r="M123" i="21"/>
  <c r="K123" i="21"/>
  <c r="AU122" i="21"/>
  <c r="AI122" i="21"/>
  <c r="V122" i="21"/>
  <c r="U122" i="21"/>
  <c r="T122" i="21"/>
  <c r="S122" i="21"/>
  <c r="R122" i="21"/>
  <c r="Q122" i="21"/>
  <c r="P122" i="21"/>
  <c r="O122" i="21"/>
  <c r="N122" i="21"/>
  <c r="M122" i="21"/>
  <c r="K122" i="21"/>
  <c r="AU121" i="21"/>
  <c r="AI121" i="21"/>
  <c r="V121" i="21"/>
  <c r="U121" i="21"/>
  <c r="T121" i="21"/>
  <c r="S121" i="21"/>
  <c r="R121" i="21"/>
  <c r="Q121" i="21"/>
  <c r="P121" i="21"/>
  <c r="O121" i="21"/>
  <c r="N121" i="21"/>
  <c r="M121" i="21"/>
  <c r="K121" i="21"/>
  <c r="AU120" i="21"/>
  <c r="AI120" i="21"/>
  <c r="V120" i="21"/>
  <c r="U120" i="21"/>
  <c r="T120" i="21"/>
  <c r="S120" i="21"/>
  <c r="R120" i="21"/>
  <c r="Q120" i="21"/>
  <c r="P120" i="21"/>
  <c r="O120" i="21"/>
  <c r="N120" i="21"/>
  <c r="M120" i="21"/>
  <c r="K120" i="21"/>
  <c r="AU119" i="21"/>
  <c r="AI119" i="21"/>
  <c r="V119" i="21"/>
  <c r="T119" i="21"/>
  <c r="W119" i="21" s="1"/>
  <c r="S119" i="21"/>
  <c r="R119" i="21"/>
  <c r="Q119" i="21"/>
  <c r="P119" i="21"/>
  <c r="O119" i="21"/>
  <c r="N119" i="21"/>
  <c r="M119" i="21"/>
  <c r="K119" i="21"/>
  <c r="AU118" i="21"/>
  <c r="AI118" i="21"/>
  <c r="V118" i="21"/>
  <c r="U118" i="21"/>
  <c r="T118" i="21"/>
  <c r="S118" i="21"/>
  <c r="R118" i="21"/>
  <c r="Q118" i="21"/>
  <c r="P118" i="21"/>
  <c r="O118" i="21"/>
  <c r="N118" i="21"/>
  <c r="M118" i="21"/>
  <c r="K118" i="21"/>
  <c r="AU117" i="21"/>
  <c r="AI117" i="21"/>
  <c r="V117" i="21"/>
  <c r="U117" i="21"/>
  <c r="T117" i="21"/>
  <c r="S117" i="21"/>
  <c r="R117" i="21"/>
  <c r="Q117" i="21"/>
  <c r="P117" i="21"/>
  <c r="O117" i="21"/>
  <c r="N117" i="21"/>
  <c r="M117" i="21"/>
  <c r="K117" i="21"/>
  <c r="AU116" i="21"/>
  <c r="AI116" i="21"/>
  <c r="V116" i="21"/>
  <c r="U116" i="21"/>
  <c r="T116" i="21"/>
  <c r="S116" i="21"/>
  <c r="R116" i="21"/>
  <c r="Q116" i="21"/>
  <c r="P116" i="21"/>
  <c r="O116" i="21"/>
  <c r="N116" i="21"/>
  <c r="M116" i="21"/>
  <c r="K116" i="21"/>
  <c r="AU115" i="21"/>
  <c r="AI115" i="21"/>
  <c r="V115" i="21"/>
  <c r="U115" i="21"/>
  <c r="T115" i="21"/>
  <c r="S115" i="21"/>
  <c r="R115" i="21"/>
  <c r="Q115" i="21"/>
  <c r="P115" i="21"/>
  <c r="O115" i="21"/>
  <c r="N115" i="21"/>
  <c r="M115" i="21"/>
  <c r="K115" i="21"/>
  <c r="AU114" i="21"/>
  <c r="AI114" i="21"/>
  <c r="V114" i="21"/>
  <c r="U114" i="21"/>
  <c r="T114" i="21"/>
  <c r="S114" i="21"/>
  <c r="R114" i="21"/>
  <c r="Q114" i="21"/>
  <c r="P114" i="21"/>
  <c r="O114" i="21"/>
  <c r="N114" i="21"/>
  <c r="M114" i="21"/>
  <c r="K114" i="21"/>
  <c r="AU113" i="21"/>
  <c r="AI113" i="21"/>
  <c r="V113" i="21"/>
  <c r="U113" i="21"/>
  <c r="T113" i="21"/>
  <c r="S113" i="21"/>
  <c r="R113" i="21"/>
  <c r="Q113" i="21"/>
  <c r="P113" i="21"/>
  <c r="O113" i="21"/>
  <c r="N113" i="21"/>
  <c r="M113" i="21"/>
  <c r="K113" i="21"/>
  <c r="AU112" i="21"/>
  <c r="AI112" i="21"/>
  <c r="V112" i="21"/>
  <c r="U112" i="21"/>
  <c r="T112" i="21"/>
  <c r="S112" i="21"/>
  <c r="R112" i="21"/>
  <c r="Q112" i="21"/>
  <c r="P112" i="21"/>
  <c r="O112" i="21"/>
  <c r="N112" i="21"/>
  <c r="M112" i="21"/>
  <c r="K112" i="21"/>
  <c r="AU111" i="21"/>
  <c r="AI111" i="21"/>
  <c r="V111" i="21"/>
  <c r="U111" i="21"/>
  <c r="T111" i="21"/>
  <c r="S111" i="21"/>
  <c r="R111" i="21"/>
  <c r="Q111" i="21"/>
  <c r="P111" i="21"/>
  <c r="O111" i="21"/>
  <c r="N111" i="21"/>
  <c r="M111" i="21"/>
  <c r="K111" i="21"/>
  <c r="AU110" i="21"/>
  <c r="AI110" i="21"/>
  <c r="V110" i="21"/>
  <c r="U110" i="21"/>
  <c r="T110" i="21"/>
  <c r="S110" i="21"/>
  <c r="R110" i="21"/>
  <c r="Q110" i="21"/>
  <c r="P110" i="21"/>
  <c r="O110" i="21"/>
  <c r="N110" i="21"/>
  <c r="M110" i="21"/>
  <c r="K110" i="21"/>
  <c r="AU109" i="21"/>
  <c r="AI109" i="21"/>
  <c r="V109" i="21"/>
  <c r="U109" i="21"/>
  <c r="T109" i="21"/>
  <c r="S109" i="21"/>
  <c r="R109" i="21"/>
  <c r="Q109" i="21"/>
  <c r="P109" i="21"/>
  <c r="O109" i="21"/>
  <c r="N109" i="21"/>
  <c r="M109" i="21"/>
  <c r="K109" i="21"/>
  <c r="AU108" i="21"/>
  <c r="AI108" i="21"/>
  <c r="V108" i="21"/>
  <c r="T108" i="21"/>
  <c r="W108" i="21" s="1"/>
  <c r="S108" i="21"/>
  <c r="R108" i="21"/>
  <c r="Q108" i="21"/>
  <c r="P108" i="21"/>
  <c r="O108" i="21"/>
  <c r="N108" i="21"/>
  <c r="M108" i="21"/>
  <c r="K108" i="21"/>
  <c r="AU107" i="21"/>
  <c r="AI107" i="21"/>
  <c r="V107" i="21"/>
  <c r="U107" i="21"/>
  <c r="T107" i="21"/>
  <c r="S107" i="21"/>
  <c r="R107" i="21"/>
  <c r="Q107" i="21"/>
  <c r="P107" i="21"/>
  <c r="O107" i="21"/>
  <c r="N107" i="21"/>
  <c r="M107" i="21"/>
  <c r="K107" i="21"/>
  <c r="AU106" i="21"/>
  <c r="AI106" i="21"/>
  <c r="V106" i="21"/>
  <c r="U106" i="21"/>
  <c r="T106" i="21"/>
  <c r="S106" i="21"/>
  <c r="R106" i="21"/>
  <c r="Q106" i="21"/>
  <c r="P106" i="21"/>
  <c r="O106" i="21"/>
  <c r="N106" i="21"/>
  <c r="M106" i="21"/>
  <c r="K106" i="21"/>
  <c r="AU105" i="21"/>
  <c r="AI105" i="21"/>
  <c r="V105" i="21"/>
  <c r="U105" i="21"/>
  <c r="T105" i="21"/>
  <c r="S105" i="21"/>
  <c r="R105" i="21"/>
  <c r="Q105" i="21"/>
  <c r="P105" i="21"/>
  <c r="O105" i="21"/>
  <c r="N105" i="21"/>
  <c r="M105" i="21"/>
  <c r="K105" i="21"/>
  <c r="AU104" i="21"/>
  <c r="AI104" i="21"/>
  <c r="V104" i="21"/>
  <c r="U104" i="21"/>
  <c r="T104" i="21"/>
  <c r="S104" i="21"/>
  <c r="R104" i="21"/>
  <c r="Q104" i="21"/>
  <c r="P104" i="21"/>
  <c r="O104" i="21"/>
  <c r="N104" i="21"/>
  <c r="M104" i="21"/>
  <c r="K104" i="21"/>
  <c r="AU103" i="21"/>
  <c r="AI103" i="21"/>
  <c r="V103" i="21"/>
  <c r="U103" i="21"/>
  <c r="T103" i="21"/>
  <c r="S103" i="21"/>
  <c r="R103" i="21"/>
  <c r="Q103" i="21"/>
  <c r="P103" i="21"/>
  <c r="O103" i="21"/>
  <c r="N103" i="21"/>
  <c r="M103" i="21"/>
  <c r="K103" i="21"/>
  <c r="AU102" i="21"/>
  <c r="AI102" i="21"/>
  <c r="V102" i="21"/>
  <c r="U102" i="21"/>
  <c r="T102" i="21"/>
  <c r="S102" i="21"/>
  <c r="R102" i="21"/>
  <c r="Q102" i="21"/>
  <c r="P102" i="21"/>
  <c r="O102" i="21"/>
  <c r="N102" i="21"/>
  <c r="M102" i="21"/>
  <c r="K102" i="21"/>
  <c r="AU101" i="21"/>
  <c r="AI101" i="21"/>
  <c r="V101" i="21"/>
  <c r="U101" i="21"/>
  <c r="T101" i="21"/>
  <c r="S101" i="21"/>
  <c r="R101" i="21"/>
  <c r="Q101" i="21"/>
  <c r="P101" i="21"/>
  <c r="O101" i="21"/>
  <c r="N101" i="21"/>
  <c r="M101" i="21"/>
  <c r="K101" i="21"/>
  <c r="AU100" i="21"/>
  <c r="AI100" i="21"/>
  <c r="V100" i="21"/>
  <c r="U100" i="21"/>
  <c r="T100" i="21"/>
  <c r="S100" i="21"/>
  <c r="R100" i="21"/>
  <c r="Q100" i="21"/>
  <c r="P100" i="21"/>
  <c r="O100" i="21"/>
  <c r="N100" i="21"/>
  <c r="M100" i="21"/>
  <c r="K100" i="21"/>
  <c r="AU99" i="21"/>
  <c r="AI99" i="21"/>
  <c r="V99" i="21"/>
  <c r="U99" i="21"/>
  <c r="T99" i="21"/>
  <c r="S99" i="21"/>
  <c r="R99" i="21"/>
  <c r="Q99" i="21"/>
  <c r="P99" i="21"/>
  <c r="O99" i="21"/>
  <c r="N99" i="21"/>
  <c r="M99" i="21"/>
  <c r="K99" i="21"/>
  <c r="AU98" i="21"/>
  <c r="AI98" i="21"/>
  <c r="V98" i="21"/>
  <c r="U98" i="21"/>
  <c r="T98" i="21"/>
  <c r="S98" i="21"/>
  <c r="R98" i="21"/>
  <c r="Q98" i="21"/>
  <c r="P98" i="21"/>
  <c r="O98" i="21"/>
  <c r="N98" i="21"/>
  <c r="M98" i="21"/>
  <c r="K98" i="21"/>
  <c r="AU97" i="21"/>
  <c r="AI97" i="21"/>
  <c r="V97" i="21"/>
  <c r="U97" i="21"/>
  <c r="T97" i="21"/>
  <c r="S97" i="21"/>
  <c r="R97" i="21"/>
  <c r="Q97" i="21"/>
  <c r="P97" i="21"/>
  <c r="O97" i="21"/>
  <c r="N97" i="21"/>
  <c r="M97" i="21"/>
  <c r="K97" i="21"/>
  <c r="AU96" i="21"/>
  <c r="AI96" i="21"/>
  <c r="V96" i="21"/>
  <c r="U96" i="21"/>
  <c r="T96" i="21"/>
  <c r="S96" i="21"/>
  <c r="R96" i="21"/>
  <c r="Q96" i="21"/>
  <c r="P96" i="21"/>
  <c r="O96" i="21"/>
  <c r="N96" i="21"/>
  <c r="M96" i="21"/>
  <c r="K96" i="21"/>
  <c r="AU95" i="21"/>
  <c r="AI95" i="21"/>
  <c r="V95" i="21"/>
  <c r="U95" i="21"/>
  <c r="T95" i="21"/>
  <c r="S95" i="21"/>
  <c r="R95" i="21"/>
  <c r="Q95" i="21"/>
  <c r="P95" i="21"/>
  <c r="O95" i="21"/>
  <c r="N95" i="21"/>
  <c r="M95" i="21"/>
  <c r="K95" i="21"/>
  <c r="AU94" i="21"/>
  <c r="AI94" i="21"/>
  <c r="V94" i="21"/>
  <c r="U94" i="21"/>
  <c r="T94" i="21"/>
  <c r="S94" i="21"/>
  <c r="R94" i="21"/>
  <c r="Q94" i="21"/>
  <c r="P94" i="21"/>
  <c r="O94" i="21"/>
  <c r="N94" i="21"/>
  <c r="M94" i="21"/>
  <c r="K94" i="21"/>
  <c r="AU93" i="21"/>
  <c r="AI93" i="21"/>
  <c r="V93" i="21"/>
  <c r="U93" i="21"/>
  <c r="T93" i="21"/>
  <c r="S93" i="21"/>
  <c r="R93" i="21"/>
  <c r="Q93" i="21"/>
  <c r="P93" i="21"/>
  <c r="O93" i="21"/>
  <c r="N93" i="21"/>
  <c r="M93" i="21"/>
  <c r="K93" i="21"/>
  <c r="AU92" i="21"/>
  <c r="AI92" i="21"/>
  <c r="V92" i="21"/>
  <c r="U92" i="21"/>
  <c r="T92" i="21"/>
  <c r="S92" i="21"/>
  <c r="R92" i="21"/>
  <c r="Q92" i="21"/>
  <c r="P92" i="21"/>
  <c r="O92" i="21"/>
  <c r="N92" i="21"/>
  <c r="M92" i="21"/>
  <c r="K92" i="21"/>
  <c r="AU91" i="21"/>
  <c r="AI91" i="21"/>
  <c r="V91" i="21"/>
  <c r="U91" i="21"/>
  <c r="T91" i="21"/>
  <c r="S91" i="21"/>
  <c r="R91" i="21"/>
  <c r="Q91" i="21"/>
  <c r="P91" i="21"/>
  <c r="O91" i="21"/>
  <c r="N91" i="21"/>
  <c r="M91" i="21"/>
  <c r="K91" i="21"/>
  <c r="AU90" i="21"/>
  <c r="AI90" i="21"/>
  <c r="V90" i="21"/>
  <c r="U90" i="21"/>
  <c r="T90" i="21"/>
  <c r="S90" i="21"/>
  <c r="R90" i="21"/>
  <c r="Q90" i="21"/>
  <c r="P90" i="21"/>
  <c r="O90" i="21"/>
  <c r="N90" i="21"/>
  <c r="M90" i="21"/>
  <c r="K90" i="21"/>
  <c r="AU89" i="21"/>
  <c r="AI89" i="21"/>
  <c r="V89" i="21"/>
  <c r="U89" i="21"/>
  <c r="T89" i="21"/>
  <c r="S89" i="21"/>
  <c r="R89" i="21"/>
  <c r="Q89" i="21"/>
  <c r="P89" i="21"/>
  <c r="O89" i="21"/>
  <c r="N89" i="21"/>
  <c r="M89" i="21"/>
  <c r="K89" i="21"/>
  <c r="AU88" i="21"/>
  <c r="AI88" i="21"/>
  <c r="V88" i="21"/>
  <c r="U88" i="21"/>
  <c r="T88" i="21"/>
  <c r="S88" i="21"/>
  <c r="R88" i="21"/>
  <c r="Q88" i="21"/>
  <c r="P88" i="21"/>
  <c r="O88" i="21"/>
  <c r="N88" i="21"/>
  <c r="M88" i="21"/>
  <c r="K88" i="21"/>
  <c r="AU87" i="21"/>
  <c r="AI87" i="21"/>
  <c r="V87" i="21"/>
  <c r="U87" i="21"/>
  <c r="T87" i="21"/>
  <c r="S87" i="21"/>
  <c r="R87" i="21"/>
  <c r="Q87" i="21"/>
  <c r="P87" i="21"/>
  <c r="O87" i="21"/>
  <c r="N87" i="21"/>
  <c r="M87" i="21"/>
  <c r="K87" i="21"/>
  <c r="AU86" i="21"/>
  <c r="AI86" i="21"/>
  <c r="V86" i="21"/>
  <c r="U86" i="21"/>
  <c r="T86" i="21"/>
  <c r="S86" i="21"/>
  <c r="R86" i="21"/>
  <c r="Q86" i="21"/>
  <c r="P86" i="21"/>
  <c r="O86" i="21"/>
  <c r="N86" i="21"/>
  <c r="M86" i="21"/>
  <c r="K86" i="21"/>
  <c r="AU85" i="21"/>
  <c r="AI85" i="21"/>
  <c r="V85" i="21"/>
  <c r="U85" i="21"/>
  <c r="T85" i="21"/>
  <c r="S85" i="21"/>
  <c r="R85" i="21"/>
  <c r="Q85" i="21"/>
  <c r="P85" i="21"/>
  <c r="O85" i="21"/>
  <c r="N85" i="21"/>
  <c r="M85" i="21"/>
  <c r="K85" i="21"/>
  <c r="AU84" i="21"/>
  <c r="AI84" i="21"/>
  <c r="V84" i="21"/>
  <c r="T84" i="21"/>
  <c r="W84" i="21" s="1"/>
  <c r="S84" i="21"/>
  <c r="R84" i="21"/>
  <c r="Q84" i="21"/>
  <c r="P84" i="21"/>
  <c r="O84" i="21"/>
  <c r="N84" i="21"/>
  <c r="M84" i="21"/>
  <c r="K84" i="21"/>
  <c r="AU83" i="21"/>
  <c r="AI83" i="21"/>
  <c r="V83" i="21"/>
  <c r="U83" i="21"/>
  <c r="T83" i="21"/>
  <c r="S83" i="21"/>
  <c r="R83" i="21"/>
  <c r="Q83" i="21"/>
  <c r="P83" i="21"/>
  <c r="O83" i="21"/>
  <c r="N83" i="21"/>
  <c r="M83" i="21"/>
  <c r="K83" i="21"/>
  <c r="AU82" i="21"/>
  <c r="AI82" i="21"/>
  <c r="V82" i="21"/>
  <c r="U82" i="21"/>
  <c r="T82" i="21"/>
  <c r="S82" i="21"/>
  <c r="R82" i="21"/>
  <c r="Q82" i="21"/>
  <c r="P82" i="21"/>
  <c r="O82" i="21"/>
  <c r="N82" i="21"/>
  <c r="M82" i="21"/>
  <c r="K82" i="21"/>
  <c r="AU81" i="21"/>
  <c r="AI81" i="21"/>
  <c r="V81" i="21"/>
  <c r="U81" i="21"/>
  <c r="T81" i="21"/>
  <c r="S81" i="21"/>
  <c r="R81" i="21"/>
  <c r="Q81" i="21"/>
  <c r="P81" i="21"/>
  <c r="O81" i="21"/>
  <c r="N81" i="21"/>
  <c r="M81" i="21"/>
  <c r="K81" i="21"/>
  <c r="AU80" i="21"/>
  <c r="AI80" i="21"/>
  <c r="V80" i="21"/>
  <c r="U80" i="21"/>
  <c r="T80" i="21"/>
  <c r="S80" i="21"/>
  <c r="R80" i="21"/>
  <c r="Q80" i="21"/>
  <c r="P80" i="21"/>
  <c r="O80" i="21"/>
  <c r="N80" i="21"/>
  <c r="M80" i="21"/>
  <c r="K80" i="21"/>
  <c r="AU79" i="21"/>
  <c r="AI79" i="21"/>
  <c r="V79" i="21"/>
  <c r="U79" i="21"/>
  <c r="T79" i="21"/>
  <c r="S79" i="21"/>
  <c r="R79" i="21"/>
  <c r="Q79" i="21"/>
  <c r="P79" i="21"/>
  <c r="O79" i="21"/>
  <c r="N79" i="21"/>
  <c r="M79" i="21"/>
  <c r="K79" i="21"/>
  <c r="AU78" i="21"/>
  <c r="AI78" i="21"/>
  <c r="V78" i="21"/>
  <c r="T78" i="21"/>
  <c r="W78" i="21" s="1"/>
  <c r="S78" i="21"/>
  <c r="R78" i="21"/>
  <c r="Q78" i="21"/>
  <c r="P78" i="21"/>
  <c r="O78" i="21"/>
  <c r="N78" i="21"/>
  <c r="M78" i="21"/>
  <c r="K78" i="21"/>
  <c r="AU77" i="21"/>
  <c r="AI77" i="21"/>
  <c r="V77" i="21"/>
  <c r="U77" i="21"/>
  <c r="T77" i="21"/>
  <c r="S77" i="21"/>
  <c r="R77" i="21"/>
  <c r="Q77" i="21"/>
  <c r="P77" i="21"/>
  <c r="O77" i="21"/>
  <c r="N77" i="21"/>
  <c r="M77" i="21"/>
  <c r="K77" i="21"/>
  <c r="AU76" i="21"/>
  <c r="AI76" i="21"/>
  <c r="V76" i="21"/>
  <c r="U76" i="21"/>
  <c r="T76" i="21"/>
  <c r="S76" i="21"/>
  <c r="R76" i="21"/>
  <c r="Q76" i="21"/>
  <c r="P76" i="21"/>
  <c r="O76" i="21"/>
  <c r="N76" i="21"/>
  <c r="M76" i="21"/>
  <c r="K76" i="21"/>
  <c r="AU75" i="21"/>
  <c r="AI75" i="21"/>
  <c r="V75" i="21"/>
  <c r="U75" i="21"/>
  <c r="T75" i="21"/>
  <c r="S75" i="21"/>
  <c r="R75" i="21"/>
  <c r="Q75" i="21"/>
  <c r="P75" i="21"/>
  <c r="O75" i="21"/>
  <c r="N75" i="21"/>
  <c r="M75" i="21"/>
  <c r="K75" i="21"/>
  <c r="AU74" i="21"/>
  <c r="AI74" i="21"/>
  <c r="V74" i="21"/>
  <c r="T74" i="21"/>
  <c r="W74" i="21" s="1"/>
  <c r="S74" i="21"/>
  <c r="R74" i="21"/>
  <c r="Q74" i="21"/>
  <c r="P74" i="21"/>
  <c r="O74" i="21"/>
  <c r="N74" i="21"/>
  <c r="M74" i="21"/>
  <c r="K74" i="21"/>
  <c r="AU73" i="21"/>
  <c r="AI73" i="21"/>
  <c r="V73" i="21"/>
  <c r="U73" i="21"/>
  <c r="T73" i="21"/>
  <c r="S73" i="21"/>
  <c r="R73" i="21"/>
  <c r="Q73" i="21"/>
  <c r="P73" i="21"/>
  <c r="O73" i="21"/>
  <c r="N73" i="21"/>
  <c r="M73" i="21"/>
  <c r="K73" i="21"/>
  <c r="AU72" i="21"/>
  <c r="AI72" i="21"/>
  <c r="V72" i="21"/>
  <c r="U72" i="21"/>
  <c r="T72" i="21"/>
  <c r="S72" i="21"/>
  <c r="R72" i="21"/>
  <c r="Q72" i="21"/>
  <c r="P72" i="21"/>
  <c r="O72" i="21"/>
  <c r="N72" i="21"/>
  <c r="M72" i="21"/>
  <c r="K72" i="21"/>
  <c r="AU71" i="21"/>
  <c r="AI71" i="21"/>
  <c r="V71" i="21"/>
  <c r="T71" i="21"/>
  <c r="W71" i="21" s="1"/>
  <c r="S71" i="21"/>
  <c r="R71" i="21"/>
  <c r="Q71" i="21"/>
  <c r="P71" i="21"/>
  <c r="O71" i="21"/>
  <c r="N71" i="21"/>
  <c r="M71" i="21"/>
  <c r="K71" i="21"/>
  <c r="AU70" i="21"/>
  <c r="AI70" i="21"/>
  <c r="V70" i="21"/>
  <c r="U70" i="21"/>
  <c r="T70" i="21"/>
  <c r="S70" i="21"/>
  <c r="R70" i="21"/>
  <c r="Q70" i="21"/>
  <c r="P70" i="21"/>
  <c r="O70" i="21"/>
  <c r="N70" i="21"/>
  <c r="M70" i="21"/>
  <c r="K70" i="21"/>
  <c r="AU69" i="21"/>
  <c r="AI69" i="21"/>
  <c r="V69" i="21"/>
  <c r="U69" i="21"/>
  <c r="T69" i="21"/>
  <c r="S69" i="21"/>
  <c r="R69" i="21"/>
  <c r="Q69" i="21"/>
  <c r="P69" i="21"/>
  <c r="O69" i="21"/>
  <c r="N69" i="21"/>
  <c r="M69" i="21"/>
  <c r="K69" i="21"/>
  <c r="AU68" i="21"/>
  <c r="AI68" i="21"/>
  <c r="V68" i="21"/>
  <c r="U68" i="21"/>
  <c r="T68" i="21"/>
  <c r="S68" i="21"/>
  <c r="R68" i="21"/>
  <c r="Q68" i="21"/>
  <c r="P68" i="21"/>
  <c r="O68" i="21"/>
  <c r="N68" i="21"/>
  <c r="M68" i="21"/>
  <c r="K68" i="21"/>
  <c r="AU67" i="21"/>
  <c r="AI67" i="21"/>
  <c r="V67" i="21"/>
  <c r="U67" i="21"/>
  <c r="T67" i="21"/>
  <c r="S67" i="21"/>
  <c r="R67" i="21"/>
  <c r="Q67" i="21"/>
  <c r="P67" i="21"/>
  <c r="O67" i="21"/>
  <c r="N67" i="21"/>
  <c r="M67" i="21"/>
  <c r="K67" i="21"/>
  <c r="AT66" i="21"/>
  <c r="AR66" i="21"/>
  <c r="AU66" i="21" s="1"/>
  <c r="AQ66" i="21"/>
  <c r="AP66" i="21"/>
  <c r="AO66" i="21"/>
  <c r="AN66" i="21"/>
  <c r="AM66" i="21"/>
  <c r="AL66" i="21"/>
  <c r="AK66" i="21"/>
  <c r="AI66" i="21"/>
  <c r="V66" i="21"/>
  <c r="U66" i="21"/>
  <c r="T66" i="21"/>
  <c r="S66" i="21"/>
  <c r="R66" i="21"/>
  <c r="Q66" i="21"/>
  <c r="P66" i="21"/>
  <c r="O66" i="21"/>
  <c r="N66" i="21"/>
  <c r="M66" i="21"/>
  <c r="K66" i="21"/>
  <c r="AT65" i="21"/>
  <c r="AR65" i="21"/>
  <c r="AU65" i="21" s="1"/>
  <c r="AQ65" i="21"/>
  <c r="AP65" i="21"/>
  <c r="AO65" i="21"/>
  <c r="AN65" i="21"/>
  <c r="AM65" i="21"/>
  <c r="AL65" i="21"/>
  <c r="AK65" i="21"/>
  <c r="AI65" i="21"/>
  <c r="V65" i="21"/>
  <c r="U65" i="21"/>
  <c r="T65" i="21"/>
  <c r="S65" i="21"/>
  <c r="R65" i="21"/>
  <c r="Q65" i="21"/>
  <c r="P65" i="21"/>
  <c r="O65" i="21"/>
  <c r="N65" i="21"/>
  <c r="M65" i="21"/>
  <c r="K65" i="21"/>
  <c r="AT64" i="21"/>
  <c r="AR64" i="21"/>
  <c r="AU64" i="21" s="1"/>
  <c r="AQ64" i="21"/>
  <c r="AP64" i="21"/>
  <c r="AO64" i="21"/>
  <c r="AN64" i="21"/>
  <c r="AM64" i="21"/>
  <c r="AL64" i="21"/>
  <c r="AK64" i="21"/>
  <c r="AI64" i="21"/>
  <c r="V64" i="21"/>
  <c r="U64" i="21"/>
  <c r="T64" i="21"/>
  <c r="S64" i="21"/>
  <c r="R64" i="21"/>
  <c r="Q64" i="21"/>
  <c r="P64" i="21"/>
  <c r="O64" i="21"/>
  <c r="N64" i="21"/>
  <c r="M64" i="21"/>
  <c r="K64" i="21"/>
  <c r="AT63" i="21"/>
  <c r="AS63" i="21"/>
  <c r="AR63" i="21"/>
  <c r="AQ63" i="21"/>
  <c r="AP63" i="21"/>
  <c r="AO63" i="21"/>
  <c r="AN63" i="21"/>
  <c r="AM63" i="21"/>
  <c r="AL63" i="21"/>
  <c r="AK63" i="21"/>
  <c r="AI63" i="21"/>
  <c r="V63" i="21"/>
  <c r="U63" i="21"/>
  <c r="T63" i="21"/>
  <c r="S63" i="21"/>
  <c r="R63" i="21"/>
  <c r="Q63" i="21"/>
  <c r="P63" i="21"/>
  <c r="O63" i="21"/>
  <c r="N63" i="21"/>
  <c r="M63" i="21"/>
  <c r="K63" i="21"/>
  <c r="AT62" i="21"/>
  <c r="AS62" i="21"/>
  <c r="AR62" i="21"/>
  <c r="AQ62" i="21"/>
  <c r="AP62" i="21"/>
  <c r="AO62" i="21"/>
  <c r="AN62" i="21"/>
  <c r="AM62" i="21"/>
  <c r="AL62" i="21"/>
  <c r="AK62" i="21"/>
  <c r="AI62" i="21"/>
  <c r="V62" i="21"/>
  <c r="U62" i="21"/>
  <c r="T62" i="21"/>
  <c r="S62" i="21"/>
  <c r="R62" i="21"/>
  <c r="Q62" i="21"/>
  <c r="P62" i="21"/>
  <c r="O62" i="21"/>
  <c r="N62" i="21"/>
  <c r="M62" i="21"/>
  <c r="K62" i="21"/>
  <c r="AT61" i="21"/>
  <c r="AR61" i="21"/>
  <c r="AU61" i="21" s="1"/>
  <c r="AQ61" i="21"/>
  <c r="AP61" i="21"/>
  <c r="AO61" i="21"/>
  <c r="AN61" i="21"/>
  <c r="AM61" i="21"/>
  <c r="AL61" i="21"/>
  <c r="AK61" i="21"/>
  <c r="AI61" i="21"/>
  <c r="V61" i="21"/>
  <c r="U61" i="21"/>
  <c r="T61" i="21"/>
  <c r="S61" i="21"/>
  <c r="R61" i="21"/>
  <c r="Q61" i="21"/>
  <c r="P61" i="21"/>
  <c r="O61" i="21"/>
  <c r="N61" i="21"/>
  <c r="M61" i="21"/>
  <c r="K61" i="21"/>
  <c r="AT60" i="21"/>
  <c r="AR60" i="21"/>
  <c r="AU60" i="21" s="1"/>
  <c r="AQ60" i="21"/>
  <c r="AP60" i="21"/>
  <c r="AO60" i="21"/>
  <c r="AN60" i="21"/>
  <c r="AM60" i="21"/>
  <c r="AL60" i="21"/>
  <c r="AK60" i="21"/>
  <c r="AI60" i="21"/>
  <c r="V60" i="21"/>
  <c r="U60" i="21"/>
  <c r="T60" i="21"/>
  <c r="S60" i="21"/>
  <c r="R60" i="21"/>
  <c r="Q60" i="21"/>
  <c r="P60" i="21"/>
  <c r="O60" i="21"/>
  <c r="N60" i="21"/>
  <c r="M60" i="21"/>
  <c r="K60" i="21"/>
  <c r="AT59" i="21"/>
  <c r="AS59" i="21"/>
  <c r="AR59" i="21"/>
  <c r="AQ59" i="21"/>
  <c r="AP59" i="21"/>
  <c r="AO59" i="21"/>
  <c r="AN59" i="21"/>
  <c r="AM59" i="21"/>
  <c r="AL59" i="21"/>
  <c r="AK59" i="21"/>
  <c r="AI59" i="21"/>
  <c r="V59" i="21"/>
  <c r="U59" i="21"/>
  <c r="T59" i="21"/>
  <c r="S59" i="21"/>
  <c r="R59" i="21"/>
  <c r="Q59" i="21"/>
  <c r="P59" i="21"/>
  <c r="O59" i="21"/>
  <c r="N59" i="21"/>
  <c r="M59" i="21"/>
  <c r="K59" i="21"/>
  <c r="AT58" i="21"/>
  <c r="AR58" i="21"/>
  <c r="AU58" i="21" s="1"/>
  <c r="AQ58" i="21"/>
  <c r="AP58" i="21"/>
  <c r="AO58" i="21"/>
  <c r="AN58" i="21"/>
  <c r="AM58" i="21"/>
  <c r="AL58" i="21"/>
  <c r="AK58" i="21"/>
  <c r="AI58" i="21"/>
  <c r="V58" i="21"/>
  <c r="U58" i="21"/>
  <c r="T58" i="21"/>
  <c r="S58" i="21"/>
  <c r="R58" i="21"/>
  <c r="Q58" i="21"/>
  <c r="P58" i="21"/>
  <c r="O58" i="21"/>
  <c r="N58" i="21"/>
  <c r="M58" i="21"/>
  <c r="K58" i="21"/>
  <c r="AT57" i="21"/>
  <c r="AS57" i="21"/>
  <c r="AR57" i="21"/>
  <c r="AQ57" i="21"/>
  <c r="AP57" i="21"/>
  <c r="AO57" i="21"/>
  <c r="AN57" i="21"/>
  <c r="AM57" i="21"/>
  <c r="AL57" i="21"/>
  <c r="AK57" i="21"/>
  <c r="AI57" i="21"/>
  <c r="V57" i="21"/>
  <c r="T57" i="21"/>
  <c r="W57" i="21" s="1"/>
  <c r="S57" i="21"/>
  <c r="R57" i="21"/>
  <c r="Q57" i="21"/>
  <c r="P57" i="21"/>
  <c r="O57" i="21"/>
  <c r="N57" i="21"/>
  <c r="M57" i="21"/>
  <c r="K57" i="21"/>
  <c r="AT56" i="21"/>
  <c r="AS56" i="21"/>
  <c r="AR56" i="21"/>
  <c r="AQ56" i="21"/>
  <c r="AP56" i="21"/>
  <c r="AO56" i="21"/>
  <c r="AN56" i="21"/>
  <c r="AM56" i="21"/>
  <c r="AL56" i="21"/>
  <c r="AK56" i="21"/>
  <c r="AI56" i="21"/>
  <c r="V56" i="21"/>
  <c r="U56" i="21"/>
  <c r="T56" i="21"/>
  <c r="S56" i="21"/>
  <c r="R56" i="21"/>
  <c r="Q56" i="21"/>
  <c r="P56" i="21"/>
  <c r="O56" i="21"/>
  <c r="N56" i="21"/>
  <c r="M56" i="21"/>
  <c r="K56" i="21"/>
  <c r="AT55" i="21"/>
  <c r="AS55" i="21"/>
  <c r="AR55" i="21"/>
  <c r="AQ55" i="21"/>
  <c r="AP55" i="21"/>
  <c r="AO55" i="21"/>
  <c r="AN55" i="21"/>
  <c r="AM55" i="21"/>
  <c r="AL55" i="21"/>
  <c r="AK55" i="21"/>
  <c r="AI55" i="21"/>
  <c r="V55" i="21"/>
  <c r="U55" i="21"/>
  <c r="T55" i="21"/>
  <c r="S55" i="21"/>
  <c r="R55" i="21"/>
  <c r="Q55" i="21"/>
  <c r="P55" i="21"/>
  <c r="O55" i="21"/>
  <c r="N55" i="21"/>
  <c r="M55" i="21"/>
  <c r="K55" i="21"/>
  <c r="AT54" i="21"/>
  <c r="AR54" i="21"/>
  <c r="AU54" i="21" s="1"/>
  <c r="AQ54" i="21"/>
  <c r="AP54" i="21"/>
  <c r="AO54" i="21"/>
  <c r="AN54" i="21"/>
  <c r="AM54" i="21"/>
  <c r="AL54" i="21"/>
  <c r="AK54" i="21"/>
  <c r="AI54" i="21"/>
  <c r="V54" i="21"/>
  <c r="U54" i="21"/>
  <c r="T54" i="21"/>
  <c r="S54" i="21"/>
  <c r="R54" i="21"/>
  <c r="Q54" i="21"/>
  <c r="P54" i="21"/>
  <c r="O54" i="21"/>
  <c r="N54" i="21"/>
  <c r="M54" i="21"/>
  <c r="K54" i="21"/>
  <c r="AT53" i="21"/>
  <c r="AR53" i="21"/>
  <c r="AU53" i="21" s="1"/>
  <c r="AQ53" i="21"/>
  <c r="AP53" i="21"/>
  <c r="AO53" i="21"/>
  <c r="AN53" i="21"/>
  <c r="AM53" i="21"/>
  <c r="AL53" i="21"/>
  <c r="AK53" i="21"/>
  <c r="AI53" i="21"/>
  <c r="V53" i="21"/>
  <c r="U53" i="21"/>
  <c r="T53" i="21"/>
  <c r="S53" i="21"/>
  <c r="R53" i="21"/>
  <c r="Q53" i="21"/>
  <c r="P53" i="21"/>
  <c r="O53" i="21"/>
  <c r="N53" i="21"/>
  <c r="M53" i="21"/>
  <c r="K53" i="21"/>
  <c r="AT52" i="21"/>
  <c r="AS52" i="21"/>
  <c r="AR52" i="21"/>
  <c r="AQ52" i="21"/>
  <c r="AP52" i="21"/>
  <c r="AO52" i="21"/>
  <c r="AN52" i="21"/>
  <c r="AM52" i="21"/>
  <c r="AL52" i="21"/>
  <c r="AK52" i="21"/>
  <c r="AI52" i="21"/>
  <c r="V52" i="21"/>
  <c r="U52" i="21"/>
  <c r="T52" i="21"/>
  <c r="S52" i="21"/>
  <c r="R52" i="21"/>
  <c r="Q52" i="21"/>
  <c r="P52" i="21"/>
  <c r="O52" i="21"/>
  <c r="N52" i="21"/>
  <c r="M52" i="21"/>
  <c r="K52" i="21"/>
  <c r="AT51" i="21"/>
  <c r="AR51" i="21"/>
  <c r="AU51" i="21" s="1"/>
  <c r="AQ51" i="21"/>
  <c r="AP51" i="21"/>
  <c r="AO51" i="21"/>
  <c r="AN51" i="21"/>
  <c r="AM51" i="21"/>
  <c r="AL51" i="21"/>
  <c r="AK51" i="21"/>
  <c r="AI51" i="21"/>
  <c r="V51" i="21"/>
  <c r="U51" i="21"/>
  <c r="T51" i="21"/>
  <c r="S51" i="21"/>
  <c r="R51" i="21"/>
  <c r="Q51" i="21"/>
  <c r="P51" i="21"/>
  <c r="O51" i="21"/>
  <c r="N51" i="21"/>
  <c r="M51" i="21"/>
  <c r="K51" i="21"/>
  <c r="AT50" i="21"/>
  <c r="AS50" i="21"/>
  <c r="AR50" i="21"/>
  <c r="AQ50" i="21"/>
  <c r="AP50" i="21"/>
  <c r="AO50" i="21"/>
  <c r="AN50" i="21"/>
  <c r="AM50" i="21"/>
  <c r="AL50" i="21"/>
  <c r="AK50" i="21"/>
  <c r="AI50" i="21"/>
  <c r="V50" i="21"/>
  <c r="U50" i="21"/>
  <c r="T50" i="21"/>
  <c r="S50" i="21"/>
  <c r="R50" i="21"/>
  <c r="Q50" i="21"/>
  <c r="P50" i="21"/>
  <c r="O50" i="21"/>
  <c r="N50" i="21"/>
  <c r="M50" i="21"/>
  <c r="K50" i="21"/>
  <c r="AT49" i="21"/>
  <c r="AR49" i="21"/>
  <c r="AU49" i="21" s="1"/>
  <c r="AQ49" i="21"/>
  <c r="AP49" i="21"/>
  <c r="AO49" i="21"/>
  <c r="AN49" i="21"/>
  <c r="AM49" i="21"/>
  <c r="AL49" i="21"/>
  <c r="AK49" i="21"/>
  <c r="AI49" i="21"/>
  <c r="V49" i="21"/>
  <c r="U49" i="21"/>
  <c r="T49" i="21"/>
  <c r="S49" i="21"/>
  <c r="R49" i="21"/>
  <c r="Q49" i="21"/>
  <c r="P49" i="21"/>
  <c r="O49" i="21"/>
  <c r="N49" i="21"/>
  <c r="M49" i="21"/>
  <c r="K49" i="21"/>
  <c r="AT48" i="21"/>
  <c r="AS48" i="21"/>
  <c r="AR48" i="21"/>
  <c r="AQ48" i="21"/>
  <c r="AP48" i="21"/>
  <c r="AO48" i="21"/>
  <c r="AN48" i="21"/>
  <c r="AM48" i="21"/>
  <c r="AL48" i="21"/>
  <c r="AK48" i="21"/>
  <c r="AI48" i="21"/>
  <c r="V48" i="21"/>
  <c r="U48" i="21"/>
  <c r="T48" i="21"/>
  <c r="S48" i="21"/>
  <c r="R48" i="21"/>
  <c r="Q48" i="21"/>
  <c r="P48" i="21"/>
  <c r="O48" i="21"/>
  <c r="N48" i="21"/>
  <c r="M48" i="21"/>
  <c r="K48" i="21"/>
  <c r="AT47" i="21"/>
  <c r="AS47" i="21"/>
  <c r="AR47" i="21"/>
  <c r="AQ47" i="21"/>
  <c r="AP47" i="21"/>
  <c r="AO47" i="21"/>
  <c r="AN47" i="21"/>
  <c r="AM47" i="21"/>
  <c r="AL47" i="21"/>
  <c r="AK47" i="21"/>
  <c r="AI47" i="21"/>
  <c r="V47" i="21"/>
  <c r="U47" i="21"/>
  <c r="T47" i="21"/>
  <c r="S47" i="21"/>
  <c r="R47" i="21"/>
  <c r="Q47" i="21"/>
  <c r="P47" i="21"/>
  <c r="O47" i="21"/>
  <c r="N47" i="21"/>
  <c r="M47" i="21"/>
  <c r="K47" i="21"/>
  <c r="AT46" i="21"/>
  <c r="AS46" i="21"/>
  <c r="AR46" i="21"/>
  <c r="AQ46" i="21"/>
  <c r="AP46" i="21"/>
  <c r="AO46" i="21"/>
  <c r="AN46" i="21"/>
  <c r="AM46" i="21"/>
  <c r="AL46" i="21"/>
  <c r="AK46" i="21"/>
  <c r="AI46" i="21"/>
  <c r="V46" i="21"/>
  <c r="U46" i="21"/>
  <c r="T46" i="21"/>
  <c r="S46" i="21"/>
  <c r="R46" i="21"/>
  <c r="Q46" i="21"/>
  <c r="P46" i="21"/>
  <c r="O46" i="21"/>
  <c r="N46" i="21"/>
  <c r="M46" i="21"/>
  <c r="K46" i="21"/>
  <c r="AT45" i="21"/>
  <c r="AS45" i="21"/>
  <c r="AR45" i="21"/>
  <c r="AQ45" i="21"/>
  <c r="AP45" i="21"/>
  <c r="AO45" i="21"/>
  <c r="AN45" i="21"/>
  <c r="AM45" i="21"/>
  <c r="AL45" i="21"/>
  <c r="AK45" i="21"/>
  <c r="AI45" i="21"/>
  <c r="V45" i="21"/>
  <c r="U45" i="21"/>
  <c r="T45" i="21"/>
  <c r="S45" i="21"/>
  <c r="R45" i="21"/>
  <c r="Q45" i="21"/>
  <c r="P45" i="21"/>
  <c r="O45" i="21"/>
  <c r="N45" i="21"/>
  <c r="M45" i="21"/>
  <c r="K45" i="21"/>
  <c r="AT44" i="21"/>
  <c r="AS44" i="21"/>
  <c r="AR44" i="21"/>
  <c r="AQ44" i="21"/>
  <c r="AP44" i="21"/>
  <c r="AO44" i="21"/>
  <c r="AN44" i="21"/>
  <c r="AM44" i="21"/>
  <c r="AL44" i="21"/>
  <c r="AK44" i="21"/>
  <c r="AI44" i="21"/>
  <c r="V44" i="21"/>
  <c r="U44" i="21"/>
  <c r="T44" i="21"/>
  <c r="S44" i="21"/>
  <c r="R44" i="21"/>
  <c r="Q44" i="21"/>
  <c r="P44" i="21"/>
  <c r="O44" i="21"/>
  <c r="N44" i="21"/>
  <c r="M44" i="21"/>
  <c r="K44" i="21"/>
  <c r="AT43" i="21"/>
  <c r="AR43" i="21"/>
  <c r="AU43" i="21" s="1"/>
  <c r="AQ43" i="21"/>
  <c r="AP43" i="21"/>
  <c r="AO43" i="21"/>
  <c r="AN43" i="21"/>
  <c r="AM43" i="21"/>
  <c r="AL43" i="21"/>
  <c r="AK43" i="21"/>
  <c r="AI43" i="21"/>
  <c r="V43" i="21"/>
  <c r="U43" i="21"/>
  <c r="T43" i="21"/>
  <c r="S43" i="21"/>
  <c r="R43" i="21"/>
  <c r="Q43" i="21"/>
  <c r="P43" i="21"/>
  <c r="O43" i="21"/>
  <c r="N43" i="21"/>
  <c r="M43" i="21"/>
  <c r="K43" i="21"/>
  <c r="AT42" i="21"/>
  <c r="AR42" i="21"/>
  <c r="AU42" i="21" s="1"/>
  <c r="AQ42" i="21"/>
  <c r="AP42" i="21"/>
  <c r="AO42" i="21"/>
  <c r="AN42" i="21"/>
  <c r="AM42" i="21"/>
  <c r="AL42" i="21"/>
  <c r="AK42" i="21"/>
  <c r="AI42" i="21"/>
  <c r="V42" i="21"/>
  <c r="U42" i="21"/>
  <c r="T42" i="21"/>
  <c r="S42" i="21"/>
  <c r="R42" i="21"/>
  <c r="Q42" i="21"/>
  <c r="P42" i="21"/>
  <c r="O42" i="21"/>
  <c r="N42" i="21"/>
  <c r="M42" i="21"/>
  <c r="K42" i="21"/>
  <c r="AT41" i="21"/>
  <c r="AR41" i="21"/>
  <c r="AU41" i="21" s="1"/>
  <c r="AQ41" i="21"/>
  <c r="AP41" i="21"/>
  <c r="AO41" i="21"/>
  <c r="AN41" i="21"/>
  <c r="AM41" i="21"/>
  <c r="AL41" i="21"/>
  <c r="AK41" i="21"/>
  <c r="AI41" i="21"/>
  <c r="V41" i="21"/>
  <c r="U41" i="21"/>
  <c r="T41" i="21"/>
  <c r="S41" i="21"/>
  <c r="R41" i="21"/>
  <c r="Q41" i="21"/>
  <c r="P41" i="21"/>
  <c r="O41" i="21"/>
  <c r="N41" i="21"/>
  <c r="M41" i="21"/>
  <c r="K41" i="21"/>
  <c r="AT40" i="21"/>
  <c r="AS40" i="21"/>
  <c r="AR40" i="21"/>
  <c r="AQ40" i="21"/>
  <c r="AP40" i="21"/>
  <c r="AO40" i="21"/>
  <c r="AN40" i="21"/>
  <c r="AM40" i="21"/>
  <c r="AL40" i="21"/>
  <c r="AK40" i="21"/>
  <c r="AI40" i="21"/>
  <c r="V40" i="21"/>
  <c r="T40" i="21"/>
  <c r="W40" i="21" s="1"/>
  <c r="S40" i="21"/>
  <c r="R40" i="21"/>
  <c r="Q40" i="21"/>
  <c r="P40" i="21"/>
  <c r="O40" i="21"/>
  <c r="N40" i="21"/>
  <c r="M40" i="21"/>
  <c r="K40" i="21"/>
  <c r="AT39" i="21"/>
  <c r="AS39" i="21"/>
  <c r="AR39" i="21"/>
  <c r="AQ39" i="21"/>
  <c r="AP39" i="21"/>
  <c r="AO39" i="21"/>
  <c r="AN39" i="21"/>
  <c r="AM39" i="21"/>
  <c r="AL39" i="21"/>
  <c r="AK39" i="21"/>
  <c r="AI39" i="21"/>
  <c r="V39" i="21"/>
  <c r="U39" i="21"/>
  <c r="T39" i="21"/>
  <c r="S39" i="21"/>
  <c r="R39" i="21"/>
  <c r="Q39" i="21"/>
  <c r="P39" i="21"/>
  <c r="O39" i="21"/>
  <c r="N39" i="21"/>
  <c r="M39" i="21"/>
  <c r="K39" i="21"/>
  <c r="AT38" i="21"/>
  <c r="AR38" i="21"/>
  <c r="AU38" i="21" s="1"/>
  <c r="AQ38" i="21"/>
  <c r="AP38" i="21"/>
  <c r="AO38" i="21"/>
  <c r="AN38" i="21"/>
  <c r="AM38" i="21"/>
  <c r="AL38" i="21"/>
  <c r="AK38" i="21"/>
  <c r="AI38" i="21"/>
  <c r="AH38" i="21"/>
  <c r="AG38" i="21"/>
  <c r="AF38" i="21"/>
  <c r="AE38" i="21"/>
  <c r="AD38" i="21"/>
  <c r="AC38" i="21"/>
  <c r="AB38" i="21"/>
  <c r="AA38" i="21"/>
  <c r="Z38" i="21"/>
  <c r="Y38" i="21"/>
  <c r="V38" i="21"/>
  <c r="U38" i="21"/>
  <c r="T38" i="21"/>
  <c r="S38" i="21"/>
  <c r="R38" i="21"/>
  <c r="Q38" i="21"/>
  <c r="P38" i="21"/>
  <c r="O38" i="21"/>
  <c r="N38" i="21"/>
  <c r="M38" i="21"/>
  <c r="K38" i="21"/>
  <c r="AT37" i="21"/>
  <c r="AS37" i="21"/>
  <c r="AR37" i="21"/>
  <c r="AQ37" i="21"/>
  <c r="AP37" i="21"/>
  <c r="AO37" i="21"/>
  <c r="AN37" i="21"/>
  <c r="AM37" i="21"/>
  <c r="AL37" i="21"/>
  <c r="AK37" i="21"/>
  <c r="AH37" i="21"/>
  <c r="AG37" i="21"/>
  <c r="AF37" i="21"/>
  <c r="AE37" i="21"/>
  <c r="AD37" i="21"/>
  <c r="AC37" i="21"/>
  <c r="AB37" i="21"/>
  <c r="AA37" i="21"/>
  <c r="Z37" i="21"/>
  <c r="Y37" i="21"/>
  <c r="V37" i="21"/>
  <c r="U37" i="21"/>
  <c r="T37" i="21"/>
  <c r="S37" i="21"/>
  <c r="R37" i="21"/>
  <c r="Q37" i="21"/>
  <c r="P37" i="21"/>
  <c r="O37" i="21"/>
  <c r="N37" i="21"/>
  <c r="M37" i="21"/>
  <c r="K37" i="21"/>
  <c r="AT36" i="21"/>
  <c r="AS36" i="21"/>
  <c r="AR36" i="21"/>
  <c r="AQ36" i="21"/>
  <c r="AP36" i="21"/>
  <c r="AO36" i="21"/>
  <c r="AN36" i="21"/>
  <c r="AM36" i="21"/>
  <c r="AL36" i="21"/>
  <c r="AK36" i="21"/>
  <c r="AH36" i="21"/>
  <c r="AG36" i="21"/>
  <c r="AF36" i="21"/>
  <c r="AE36" i="21"/>
  <c r="AD36" i="21"/>
  <c r="AC36" i="21"/>
  <c r="AB36" i="21"/>
  <c r="AA36" i="21"/>
  <c r="Z36" i="21"/>
  <c r="Y36" i="21"/>
  <c r="V36" i="21"/>
  <c r="T36" i="21"/>
  <c r="W36" i="21" s="1"/>
  <c r="S36" i="21"/>
  <c r="R36" i="21"/>
  <c r="Q36" i="21"/>
  <c r="P36" i="21"/>
  <c r="O36" i="21"/>
  <c r="N36" i="21"/>
  <c r="M36" i="21"/>
  <c r="K36" i="21"/>
  <c r="AT35" i="21"/>
  <c r="AS35" i="21"/>
  <c r="AR35" i="21"/>
  <c r="AQ35" i="21"/>
  <c r="AP35" i="21"/>
  <c r="AO35" i="21"/>
  <c r="AN35" i="21"/>
  <c r="AM35" i="21"/>
  <c r="AL35" i="21"/>
  <c r="AK35" i="21"/>
  <c r="AH35" i="21"/>
  <c r="AF35" i="21"/>
  <c r="AI35" i="21" s="1"/>
  <c r="AE35" i="21"/>
  <c r="AD35" i="21"/>
  <c r="AC35" i="21"/>
  <c r="AB35" i="21"/>
  <c r="AA35" i="21"/>
  <c r="Z35" i="21"/>
  <c r="Y35" i="21"/>
  <c r="V35" i="21"/>
  <c r="U35" i="21"/>
  <c r="T35" i="21"/>
  <c r="S35" i="21"/>
  <c r="R35" i="21"/>
  <c r="Q35" i="21"/>
  <c r="P35" i="21"/>
  <c r="O35" i="21"/>
  <c r="N35" i="21"/>
  <c r="M35" i="21"/>
  <c r="K35" i="21"/>
  <c r="AT34" i="21"/>
  <c r="AS34" i="21"/>
  <c r="AR34" i="21"/>
  <c r="AQ34" i="21"/>
  <c r="AP34" i="21"/>
  <c r="AO34" i="21"/>
  <c r="AN34" i="21"/>
  <c r="AM34" i="21"/>
  <c r="AL34" i="21"/>
  <c r="AK34" i="21"/>
  <c r="AH34" i="21"/>
  <c r="AG34" i="21"/>
  <c r="AF34" i="21"/>
  <c r="AE34" i="21"/>
  <c r="AD34" i="21"/>
  <c r="AC34" i="21"/>
  <c r="AB34" i="21"/>
  <c r="AA34" i="21"/>
  <c r="Z34" i="21"/>
  <c r="Y34" i="21"/>
  <c r="V34" i="21"/>
  <c r="U34" i="21"/>
  <c r="T34" i="21"/>
  <c r="S34" i="21"/>
  <c r="R34" i="21"/>
  <c r="Q34" i="21"/>
  <c r="P34" i="21"/>
  <c r="O34" i="21"/>
  <c r="N34" i="21"/>
  <c r="M34" i="21"/>
  <c r="K34" i="21"/>
  <c r="AT33" i="21"/>
  <c r="AS33" i="21"/>
  <c r="AR33" i="21"/>
  <c r="AQ33" i="21"/>
  <c r="AP33" i="21"/>
  <c r="AO33" i="21"/>
  <c r="AN33" i="21"/>
  <c r="AM33" i="21"/>
  <c r="AL33" i="21"/>
  <c r="AK33" i="21"/>
  <c r="AH33" i="21"/>
  <c r="AG33" i="21"/>
  <c r="AF33" i="21"/>
  <c r="AE33" i="21"/>
  <c r="AD33" i="21"/>
  <c r="AC33" i="21"/>
  <c r="AB33" i="21"/>
  <c r="AA33" i="21"/>
  <c r="Z33" i="21"/>
  <c r="Y33" i="21"/>
  <c r="V33" i="21"/>
  <c r="U33" i="21"/>
  <c r="T33" i="21"/>
  <c r="S33" i="21"/>
  <c r="R33" i="21"/>
  <c r="Q33" i="21"/>
  <c r="P33" i="21"/>
  <c r="O33" i="21"/>
  <c r="N33" i="21"/>
  <c r="M33" i="21"/>
  <c r="K33" i="21"/>
  <c r="AT32" i="21"/>
  <c r="AR32" i="21"/>
  <c r="AU32" i="21" s="1"/>
  <c r="AQ32" i="21"/>
  <c r="AP32" i="21"/>
  <c r="AO32" i="21"/>
  <c r="AN32" i="21"/>
  <c r="AM32" i="21"/>
  <c r="AL32" i="21"/>
  <c r="AK32" i="21"/>
  <c r="AH32" i="21"/>
  <c r="AG32" i="21"/>
  <c r="AF32" i="21"/>
  <c r="AE32" i="21"/>
  <c r="AD32" i="21"/>
  <c r="AC32" i="21"/>
  <c r="AB32" i="21"/>
  <c r="AA32" i="21"/>
  <c r="Z32" i="21"/>
  <c r="Y32" i="21"/>
  <c r="V32" i="21"/>
  <c r="U32" i="21"/>
  <c r="T32" i="21"/>
  <c r="S32" i="21"/>
  <c r="R32" i="21"/>
  <c r="Q32" i="21"/>
  <c r="P32" i="21"/>
  <c r="O32" i="21"/>
  <c r="N32" i="21"/>
  <c r="M32" i="21"/>
  <c r="K32" i="21"/>
  <c r="AT31" i="21"/>
  <c r="AS31" i="21"/>
  <c r="AR31" i="21"/>
  <c r="AQ31" i="21"/>
  <c r="AP31" i="21"/>
  <c r="AO31" i="21"/>
  <c r="AN31" i="21"/>
  <c r="AM31" i="21"/>
  <c r="AL31" i="21"/>
  <c r="AK31" i="21"/>
  <c r="AH31" i="21"/>
  <c r="AF31" i="21"/>
  <c r="AI31" i="21" s="1"/>
  <c r="AE31" i="21"/>
  <c r="AD31" i="21"/>
  <c r="AC31" i="21"/>
  <c r="AB31" i="21"/>
  <c r="AA31" i="21"/>
  <c r="Z31" i="21"/>
  <c r="Y31" i="21"/>
  <c r="V31" i="21"/>
  <c r="U31" i="21"/>
  <c r="T31" i="21"/>
  <c r="S31" i="21"/>
  <c r="R31" i="21"/>
  <c r="Q31" i="21"/>
  <c r="P31" i="21"/>
  <c r="O31" i="21"/>
  <c r="N31" i="21"/>
  <c r="M31" i="21"/>
  <c r="K31" i="21"/>
  <c r="AT30" i="21"/>
  <c r="AR30" i="21"/>
  <c r="AU30" i="21" s="1"/>
  <c r="AQ30" i="21"/>
  <c r="AP30" i="21"/>
  <c r="AO30" i="21"/>
  <c r="AN30" i="21"/>
  <c r="AM30" i="21"/>
  <c r="AL30" i="21"/>
  <c r="AK30" i="21"/>
  <c r="AH30" i="21"/>
  <c r="AG30" i="21"/>
  <c r="AF30" i="21"/>
  <c r="AE30" i="21"/>
  <c r="AD30" i="21"/>
  <c r="AC30" i="21"/>
  <c r="AB30" i="21"/>
  <c r="AA30" i="21"/>
  <c r="Z30" i="21"/>
  <c r="Y30" i="21"/>
  <c r="V30" i="21"/>
  <c r="U30" i="21"/>
  <c r="T30" i="21"/>
  <c r="S30" i="21"/>
  <c r="R30" i="21"/>
  <c r="Q30" i="21"/>
  <c r="P30" i="21"/>
  <c r="O30" i="21"/>
  <c r="N30" i="21"/>
  <c r="M30" i="21"/>
  <c r="K30" i="21"/>
  <c r="AT29" i="21"/>
  <c r="AR29" i="21"/>
  <c r="AU29" i="21" s="1"/>
  <c r="AQ29" i="21"/>
  <c r="AP29" i="21"/>
  <c r="AO29" i="21"/>
  <c r="AN29" i="21"/>
  <c r="AM29" i="21"/>
  <c r="AL29" i="21"/>
  <c r="AK29" i="21"/>
  <c r="AH29" i="21"/>
  <c r="AG29" i="21"/>
  <c r="AF29" i="21"/>
  <c r="AE29" i="21"/>
  <c r="AD29" i="21"/>
  <c r="AC29" i="21"/>
  <c r="AB29" i="21"/>
  <c r="AA29" i="21"/>
  <c r="Z29" i="21"/>
  <c r="Y29" i="21"/>
  <c r="V29" i="21"/>
  <c r="U29" i="21"/>
  <c r="T29" i="21"/>
  <c r="S29" i="21"/>
  <c r="R29" i="21"/>
  <c r="Q29" i="21"/>
  <c r="P29" i="21"/>
  <c r="O29" i="21"/>
  <c r="N29" i="21"/>
  <c r="M29" i="21"/>
  <c r="K29" i="21"/>
  <c r="AT28" i="21"/>
  <c r="AR28" i="21"/>
  <c r="AU28" i="21" s="1"/>
  <c r="AQ28" i="21"/>
  <c r="AP28" i="21"/>
  <c r="AO28" i="21"/>
  <c r="AN28" i="21"/>
  <c r="AM28" i="21"/>
  <c r="AL28" i="21"/>
  <c r="AK28" i="21"/>
  <c r="AH28" i="21"/>
  <c r="AG28" i="21"/>
  <c r="AF28" i="21"/>
  <c r="AE28" i="21"/>
  <c r="AD28" i="21"/>
  <c r="AC28" i="21"/>
  <c r="AB28" i="21"/>
  <c r="AA28" i="21"/>
  <c r="Z28" i="21"/>
  <c r="Y28" i="21"/>
  <c r="V28" i="21"/>
  <c r="U28" i="21"/>
  <c r="T28" i="21"/>
  <c r="W28" i="21" s="1"/>
  <c r="S28" i="21"/>
  <c r="R28" i="21"/>
  <c r="Q28" i="21"/>
  <c r="P28" i="21"/>
  <c r="O28" i="21"/>
  <c r="N28" i="21"/>
  <c r="M28" i="21"/>
  <c r="K28" i="21"/>
  <c r="AT27" i="21"/>
  <c r="AR27" i="21"/>
  <c r="AU27" i="21" s="1"/>
  <c r="AQ27" i="21"/>
  <c r="AP27" i="21"/>
  <c r="AO27" i="21"/>
  <c r="AN27" i="21"/>
  <c r="AM27" i="21"/>
  <c r="AL27" i="21"/>
  <c r="AK27" i="21"/>
  <c r="AH27" i="21"/>
  <c r="AG27" i="21"/>
  <c r="AF27" i="21"/>
  <c r="AE27" i="21"/>
  <c r="AD27" i="21"/>
  <c r="AC27" i="21"/>
  <c r="AB27" i="21"/>
  <c r="AA27" i="21"/>
  <c r="Z27" i="21"/>
  <c r="Y27" i="21"/>
  <c r="V27" i="21"/>
  <c r="U27" i="21"/>
  <c r="T27" i="21"/>
  <c r="W27" i="21" s="1"/>
  <c r="S27" i="21"/>
  <c r="R27" i="21"/>
  <c r="Q27" i="21"/>
  <c r="P27" i="21"/>
  <c r="O27" i="21"/>
  <c r="N27" i="21"/>
  <c r="M27" i="21"/>
  <c r="K27" i="21"/>
  <c r="AT26" i="21"/>
  <c r="AR26" i="21"/>
  <c r="AU26" i="21" s="1"/>
  <c r="AQ26" i="21"/>
  <c r="AP26" i="21"/>
  <c r="AO26" i="21"/>
  <c r="AN26" i="21"/>
  <c r="AM26" i="21"/>
  <c r="AL26" i="21"/>
  <c r="AK26" i="21"/>
  <c r="AH26" i="21"/>
  <c r="AF26" i="21"/>
  <c r="AI26" i="21" s="1"/>
  <c r="AE26" i="21"/>
  <c r="AD26" i="21"/>
  <c r="AC26" i="21"/>
  <c r="AB26" i="21"/>
  <c r="AA26" i="21"/>
  <c r="Z26" i="21"/>
  <c r="Y26" i="21"/>
  <c r="V26" i="21"/>
  <c r="U26" i="21"/>
  <c r="T26" i="21"/>
  <c r="S26" i="21"/>
  <c r="R26" i="21"/>
  <c r="Q26" i="21"/>
  <c r="P26" i="21"/>
  <c r="O26" i="21"/>
  <c r="N26" i="21"/>
  <c r="M26" i="21"/>
  <c r="K26" i="21"/>
  <c r="AT25" i="21"/>
  <c r="AR25" i="21"/>
  <c r="AU25" i="21" s="1"/>
  <c r="AQ25" i="21"/>
  <c r="AP25" i="21"/>
  <c r="AO25" i="21"/>
  <c r="AN25" i="21"/>
  <c r="AM25" i="21"/>
  <c r="AL25" i="21"/>
  <c r="AK25" i="21"/>
  <c r="AH25" i="21"/>
  <c r="AG25" i="21"/>
  <c r="AF25" i="21"/>
  <c r="AE25" i="21"/>
  <c r="AD25" i="21"/>
  <c r="AC25" i="21"/>
  <c r="AB25" i="21"/>
  <c r="AA25" i="21"/>
  <c r="Z25" i="21"/>
  <c r="Y25" i="21"/>
  <c r="V25" i="21"/>
  <c r="U25" i="21"/>
  <c r="T25" i="21"/>
  <c r="S25" i="21"/>
  <c r="R25" i="21"/>
  <c r="Q25" i="21"/>
  <c r="P25" i="21"/>
  <c r="O25" i="21"/>
  <c r="N25" i="21"/>
  <c r="M25" i="21"/>
  <c r="K25" i="21"/>
  <c r="AT24" i="21"/>
  <c r="AR24" i="21"/>
  <c r="AU24" i="21" s="1"/>
  <c r="AQ24" i="21"/>
  <c r="AP24" i="21"/>
  <c r="AO24" i="21"/>
  <c r="AN24" i="21"/>
  <c r="AM24" i="21"/>
  <c r="AL24" i="21"/>
  <c r="AK24" i="21"/>
  <c r="AH24" i="21"/>
  <c r="AF24" i="21"/>
  <c r="AI24" i="21" s="1"/>
  <c r="AE24" i="21"/>
  <c r="AD24" i="21"/>
  <c r="AC24" i="21"/>
  <c r="AB24" i="21"/>
  <c r="AA24" i="21"/>
  <c r="Z24" i="21"/>
  <c r="Y24" i="21"/>
  <c r="V24" i="21"/>
  <c r="U24" i="21"/>
  <c r="T24" i="21"/>
  <c r="S24" i="21"/>
  <c r="R24" i="21"/>
  <c r="Q24" i="21"/>
  <c r="P24" i="21"/>
  <c r="O24" i="21"/>
  <c r="N24" i="21"/>
  <c r="M24" i="21"/>
  <c r="K24" i="21"/>
  <c r="AT23" i="21"/>
  <c r="AR23" i="21"/>
  <c r="AU23" i="21" s="1"/>
  <c r="AQ23" i="21"/>
  <c r="AP23" i="21"/>
  <c r="AO23" i="21"/>
  <c r="AN23" i="21"/>
  <c r="AM23" i="21"/>
  <c r="AL23" i="21"/>
  <c r="AK23" i="21"/>
  <c r="AH23" i="21"/>
  <c r="AF23" i="21"/>
  <c r="AI23" i="21" s="1"/>
  <c r="AE23" i="21"/>
  <c r="AD23" i="21"/>
  <c r="AC23" i="21"/>
  <c r="AB23" i="21"/>
  <c r="AA23" i="21"/>
  <c r="Z23" i="21"/>
  <c r="Y23" i="21"/>
  <c r="V23" i="21"/>
  <c r="U23" i="21"/>
  <c r="T23" i="21"/>
  <c r="S23" i="21"/>
  <c r="R23" i="21"/>
  <c r="Q23" i="21"/>
  <c r="P23" i="21"/>
  <c r="O23" i="21"/>
  <c r="N23" i="21"/>
  <c r="M23" i="21"/>
  <c r="K23" i="21"/>
  <c r="AT22" i="21"/>
  <c r="AR22" i="21"/>
  <c r="AU22" i="21" s="1"/>
  <c r="AQ22" i="21"/>
  <c r="AP22" i="21"/>
  <c r="AO22" i="21"/>
  <c r="AN22" i="21"/>
  <c r="AM22" i="21"/>
  <c r="AL22" i="21"/>
  <c r="AK22" i="21"/>
  <c r="AH22" i="21"/>
  <c r="AF22" i="21"/>
  <c r="AI22" i="21" s="1"/>
  <c r="AE22" i="21"/>
  <c r="AD22" i="21"/>
  <c r="AC22" i="21"/>
  <c r="AB22" i="21"/>
  <c r="AA22" i="21"/>
  <c r="Z22" i="21"/>
  <c r="Y22" i="21"/>
  <c r="V22" i="21"/>
  <c r="U22" i="21"/>
  <c r="T22" i="21"/>
  <c r="S22" i="21"/>
  <c r="R22" i="21"/>
  <c r="Q22" i="21"/>
  <c r="P22" i="21"/>
  <c r="O22" i="21"/>
  <c r="N22" i="21"/>
  <c r="M22" i="21"/>
  <c r="K22" i="21"/>
  <c r="AT21" i="21"/>
  <c r="AR21" i="21"/>
  <c r="AU21" i="21" s="1"/>
  <c r="AQ21" i="21"/>
  <c r="AP21" i="21"/>
  <c r="AO21" i="21"/>
  <c r="AN21" i="21"/>
  <c r="AM21" i="21"/>
  <c r="AL21" i="21"/>
  <c r="AK21" i="21"/>
  <c r="AH21" i="21"/>
  <c r="AF21" i="21"/>
  <c r="AI21" i="21" s="1"/>
  <c r="AE21" i="21"/>
  <c r="AD21" i="21"/>
  <c r="AC21" i="21"/>
  <c r="AB21" i="21"/>
  <c r="AA21" i="21"/>
  <c r="Z21" i="21"/>
  <c r="Y21" i="21"/>
  <c r="V21" i="21"/>
  <c r="U21" i="21"/>
  <c r="T21" i="21"/>
  <c r="S21" i="21"/>
  <c r="R21" i="21"/>
  <c r="Q21" i="21"/>
  <c r="P21" i="21"/>
  <c r="O21" i="21"/>
  <c r="N21" i="21"/>
  <c r="M21" i="21"/>
  <c r="K21" i="21"/>
  <c r="AT20" i="21"/>
  <c r="AS20" i="21"/>
  <c r="AR20" i="21"/>
  <c r="AQ20" i="21"/>
  <c r="AP20" i="21"/>
  <c r="AO20" i="21"/>
  <c r="AN20" i="21"/>
  <c r="AM20" i="21"/>
  <c r="AL20" i="21"/>
  <c r="AK20" i="21"/>
  <c r="AH20" i="21"/>
  <c r="AG20" i="21"/>
  <c r="AF20" i="21"/>
  <c r="AE20" i="21"/>
  <c r="AD20" i="21"/>
  <c r="AC20" i="21"/>
  <c r="AB20" i="21"/>
  <c r="AA20" i="21"/>
  <c r="Z20" i="21"/>
  <c r="Y20" i="21"/>
  <c r="V20" i="21"/>
  <c r="U20" i="21"/>
  <c r="T20" i="21"/>
  <c r="S20" i="21"/>
  <c r="R20" i="21"/>
  <c r="Q20" i="21"/>
  <c r="P20" i="21"/>
  <c r="O20" i="21"/>
  <c r="N20" i="21"/>
  <c r="M20" i="21"/>
  <c r="K20" i="21"/>
  <c r="AT19" i="21"/>
  <c r="AR19" i="21"/>
  <c r="AU19" i="21" s="1"/>
  <c r="AQ19" i="21"/>
  <c r="AP19" i="21"/>
  <c r="AO19" i="21"/>
  <c r="AN19" i="21"/>
  <c r="AM19" i="21"/>
  <c r="AL19" i="21"/>
  <c r="AK19" i="21"/>
  <c r="AH19" i="21"/>
  <c r="AG19" i="21"/>
  <c r="AF19" i="21"/>
  <c r="AE19" i="21"/>
  <c r="AD19" i="21"/>
  <c r="AC19" i="21"/>
  <c r="AB19" i="21"/>
  <c r="AA19" i="21"/>
  <c r="Z19" i="21"/>
  <c r="Y19" i="21"/>
  <c r="V19" i="21"/>
  <c r="U19" i="21"/>
  <c r="T19" i="21"/>
  <c r="S19" i="21"/>
  <c r="R19" i="21"/>
  <c r="Q19" i="21"/>
  <c r="P19" i="21"/>
  <c r="O19" i="21"/>
  <c r="N19" i="21"/>
  <c r="M19" i="21"/>
  <c r="K19" i="21"/>
  <c r="AT18" i="21"/>
  <c r="AS18" i="21"/>
  <c r="AR18" i="21"/>
  <c r="AQ18" i="21"/>
  <c r="AP18" i="21"/>
  <c r="AO18" i="21"/>
  <c r="AN18" i="21"/>
  <c r="AM18" i="21"/>
  <c r="AL18" i="21"/>
  <c r="AK18" i="21"/>
  <c r="AH18" i="21"/>
  <c r="AG18" i="21"/>
  <c r="AF18" i="21"/>
  <c r="AE18" i="21"/>
  <c r="AD18" i="21"/>
  <c r="AC18" i="21"/>
  <c r="AB18" i="21"/>
  <c r="AA18" i="21"/>
  <c r="Z18" i="21"/>
  <c r="Y18" i="21"/>
  <c r="V18" i="21"/>
  <c r="U18" i="21"/>
  <c r="T18" i="21"/>
  <c r="S18" i="21"/>
  <c r="R18" i="21"/>
  <c r="Q18" i="21"/>
  <c r="P18" i="21"/>
  <c r="O18" i="21"/>
  <c r="N18" i="21"/>
  <c r="M18" i="21"/>
  <c r="K18" i="21"/>
  <c r="AT17" i="21"/>
  <c r="AS17" i="21"/>
  <c r="AR17" i="21"/>
  <c r="AQ17" i="21"/>
  <c r="AP17" i="21"/>
  <c r="AO17" i="21"/>
  <c r="AN17" i="21"/>
  <c r="AM17" i="21"/>
  <c r="AL17" i="21"/>
  <c r="AK17" i="21"/>
  <c r="AH17" i="21"/>
  <c r="AF17" i="21"/>
  <c r="AI17" i="21" s="1"/>
  <c r="AE17" i="21"/>
  <c r="AD17" i="21"/>
  <c r="AC17" i="21"/>
  <c r="AB17" i="21"/>
  <c r="AA17" i="21"/>
  <c r="Z17" i="21"/>
  <c r="Y17" i="21"/>
  <c r="V17" i="21"/>
  <c r="T17" i="21"/>
  <c r="W17" i="21" s="1"/>
  <c r="S17" i="21"/>
  <c r="R17" i="21"/>
  <c r="Q17" i="21"/>
  <c r="P17" i="21"/>
  <c r="O17" i="21"/>
  <c r="N17" i="21"/>
  <c r="M17" i="21"/>
  <c r="K17" i="21"/>
  <c r="AT16" i="21"/>
  <c r="AR16" i="21"/>
  <c r="AU16" i="21" s="1"/>
  <c r="AQ16" i="21"/>
  <c r="AP16" i="21"/>
  <c r="AO16" i="21"/>
  <c r="AN16" i="21"/>
  <c r="AM16" i="21"/>
  <c r="AL16" i="21"/>
  <c r="AK16" i="21"/>
  <c r="AH16" i="21"/>
  <c r="AG16" i="21"/>
  <c r="AF16" i="21"/>
  <c r="AE16" i="21"/>
  <c r="AD16" i="21"/>
  <c r="AC16" i="21"/>
  <c r="AB16" i="21"/>
  <c r="AA16" i="21"/>
  <c r="Z16" i="21"/>
  <c r="Y16" i="21"/>
  <c r="V16" i="21"/>
  <c r="T16" i="21"/>
  <c r="W16" i="21" s="1"/>
  <c r="S16" i="21"/>
  <c r="R16" i="21"/>
  <c r="Q16" i="21"/>
  <c r="P16" i="21"/>
  <c r="O16" i="21"/>
  <c r="N16" i="21"/>
  <c r="M16" i="21"/>
  <c r="K16" i="21"/>
  <c r="AT15" i="21"/>
  <c r="AS15" i="21"/>
  <c r="AR15" i="21"/>
  <c r="AQ15" i="21"/>
  <c r="AP15" i="21"/>
  <c r="AO15" i="21"/>
  <c r="AN15" i="21"/>
  <c r="AM15" i="21"/>
  <c r="AL15" i="21"/>
  <c r="AK15" i="21"/>
  <c r="AH15" i="21"/>
  <c r="AG15" i="21"/>
  <c r="AF15" i="21"/>
  <c r="AE15" i="21"/>
  <c r="AD15" i="21"/>
  <c r="AC15" i="21"/>
  <c r="AB15" i="21"/>
  <c r="AA15" i="21"/>
  <c r="Z15" i="21"/>
  <c r="Y15" i="21"/>
  <c r="V15" i="21"/>
  <c r="T15" i="21"/>
  <c r="W15" i="21" s="1"/>
  <c r="S15" i="21"/>
  <c r="R15" i="21"/>
  <c r="Q15" i="21"/>
  <c r="P15" i="21"/>
  <c r="O15" i="21"/>
  <c r="N15" i="21"/>
  <c r="M15" i="21"/>
  <c r="K15" i="21"/>
  <c r="AT14" i="21"/>
  <c r="AR14" i="21"/>
  <c r="AU14" i="21" s="1"/>
  <c r="AQ14" i="21"/>
  <c r="AP14" i="21"/>
  <c r="AO14" i="21"/>
  <c r="AN14" i="21"/>
  <c r="AM14" i="21"/>
  <c r="AL14" i="21"/>
  <c r="AK14" i="21"/>
  <c r="AH14" i="21"/>
  <c r="AG14" i="21"/>
  <c r="AF14" i="21"/>
  <c r="AE14" i="21"/>
  <c r="AD14" i="21"/>
  <c r="AC14" i="21"/>
  <c r="AB14" i="21"/>
  <c r="AA14" i="21"/>
  <c r="Z14" i="21"/>
  <c r="Y14" i="21"/>
  <c r="V14" i="21"/>
  <c r="T14" i="21"/>
  <c r="W14" i="21" s="1"/>
  <c r="S14" i="21"/>
  <c r="R14" i="21"/>
  <c r="Q14" i="21"/>
  <c r="P14" i="21"/>
  <c r="O14" i="21"/>
  <c r="N14" i="21"/>
  <c r="M14" i="21"/>
  <c r="K14" i="21"/>
  <c r="AT13" i="21"/>
  <c r="AR13" i="21"/>
  <c r="AU13" i="21" s="1"/>
  <c r="AQ13" i="21"/>
  <c r="AP13" i="21"/>
  <c r="AO13" i="21"/>
  <c r="AN13" i="21"/>
  <c r="AM13" i="21"/>
  <c r="AL13" i="21"/>
  <c r="AK13" i="21"/>
  <c r="AH13" i="21"/>
  <c r="AG13" i="21"/>
  <c r="AF13" i="21"/>
  <c r="AE13" i="21"/>
  <c r="AD13" i="21"/>
  <c r="AC13" i="21"/>
  <c r="AB13" i="21"/>
  <c r="AA13" i="21"/>
  <c r="Z13" i="21"/>
  <c r="Y13" i="21"/>
  <c r="V13" i="21"/>
  <c r="U13" i="21"/>
  <c r="T13" i="21"/>
  <c r="S13" i="21"/>
  <c r="R13" i="21"/>
  <c r="Q13" i="21"/>
  <c r="P13" i="21"/>
  <c r="O13" i="21"/>
  <c r="N13" i="21"/>
  <c r="M13" i="21"/>
  <c r="K13" i="21"/>
  <c r="AT12" i="21"/>
  <c r="AR12" i="21"/>
  <c r="AU12" i="21" s="1"/>
  <c r="AQ12" i="21"/>
  <c r="AP12" i="21"/>
  <c r="AO12" i="21"/>
  <c r="AN12" i="21"/>
  <c r="AM12" i="21"/>
  <c r="AL12" i="21"/>
  <c r="AK12" i="21"/>
  <c r="AH12" i="21"/>
  <c r="AF12" i="21"/>
  <c r="AI12" i="21" s="1"/>
  <c r="AE12" i="21"/>
  <c r="AD12" i="21"/>
  <c r="AC12" i="21"/>
  <c r="AB12" i="21"/>
  <c r="AA12" i="21"/>
  <c r="Z12" i="21"/>
  <c r="Y12" i="21"/>
  <c r="V12" i="21"/>
  <c r="U12" i="21"/>
  <c r="T12" i="21"/>
  <c r="S12" i="21"/>
  <c r="R12" i="21"/>
  <c r="Q12" i="21"/>
  <c r="P12" i="21"/>
  <c r="O12" i="21"/>
  <c r="N12" i="21"/>
  <c r="M12" i="21"/>
  <c r="K12" i="21"/>
  <c r="AT11" i="21"/>
  <c r="AS11" i="21"/>
  <c r="AR11" i="21"/>
  <c r="AQ11" i="21"/>
  <c r="AP11" i="21"/>
  <c r="AO11" i="21"/>
  <c r="AN11" i="21"/>
  <c r="AM11" i="21"/>
  <c r="AL11" i="21"/>
  <c r="AK11" i="21"/>
  <c r="AH11" i="21"/>
  <c r="AF11" i="21"/>
  <c r="AI11" i="21" s="1"/>
  <c r="AE11" i="21"/>
  <c r="AD11" i="21"/>
  <c r="AC11" i="21"/>
  <c r="AB11" i="21"/>
  <c r="AA11" i="21"/>
  <c r="Z11" i="21"/>
  <c r="Y11" i="21"/>
  <c r="V11" i="21"/>
  <c r="U11" i="21"/>
  <c r="T11" i="21"/>
  <c r="S11" i="21"/>
  <c r="R11" i="21"/>
  <c r="Q11" i="21"/>
  <c r="P11" i="21"/>
  <c r="O11" i="21"/>
  <c r="N11" i="21"/>
  <c r="M11" i="21"/>
  <c r="K11" i="21"/>
  <c r="AT10" i="21"/>
  <c r="AR10" i="21"/>
  <c r="AU10" i="21" s="1"/>
  <c r="AQ10" i="21"/>
  <c r="AP10" i="21"/>
  <c r="AO10" i="21"/>
  <c r="AN10" i="21"/>
  <c r="AM10" i="21"/>
  <c r="AL10" i="21"/>
  <c r="AK10" i="21"/>
  <c r="AH10" i="21"/>
  <c r="AF10" i="21"/>
  <c r="AI10" i="21" s="1"/>
  <c r="AE10" i="21"/>
  <c r="AD10" i="21"/>
  <c r="AC10" i="21"/>
  <c r="AB10" i="21"/>
  <c r="AA10" i="21"/>
  <c r="Z10" i="21"/>
  <c r="Y10" i="21"/>
  <c r="V10" i="21"/>
  <c r="U10" i="21"/>
  <c r="T10" i="21"/>
  <c r="S10" i="21"/>
  <c r="R10" i="21"/>
  <c r="Q10" i="21"/>
  <c r="P10" i="21"/>
  <c r="O10" i="21"/>
  <c r="N10" i="21"/>
  <c r="M10" i="21"/>
  <c r="K10" i="21"/>
  <c r="AT9" i="21"/>
  <c r="AS9" i="21"/>
  <c r="AR9" i="21"/>
  <c r="AQ9" i="21"/>
  <c r="AP9" i="21"/>
  <c r="AO9" i="21"/>
  <c r="AN9" i="21"/>
  <c r="AM9" i="21"/>
  <c r="AL9" i="21"/>
  <c r="AK9" i="21"/>
  <c r="AH9" i="21"/>
  <c r="AG9" i="21"/>
  <c r="AF9" i="21"/>
  <c r="AE9" i="21"/>
  <c r="AD9" i="21"/>
  <c r="AC9" i="21"/>
  <c r="AB9" i="21"/>
  <c r="AA9" i="21"/>
  <c r="Z9" i="21"/>
  <c r="Y9" i="21"/>
  <c r="V9" i="21"/>
  <c r="T9" i="21"/>
  <c r="W9" i="21" s="1"/>
  <c r="S9" i="21"/>
  <c r="R9" i="21"/>
  <c r="Q9" i="21"/>
  <c r="P9" i="21"/>
  <c r="O9" i="21"/>
  <c r="N9" i="21"/>
  <c r="M9" i="21"/>
  <c r="K9" i="21"/>
  <c r="AT8" i="21"/>
  <c r="AR8" i="21"/>
  <c r="AU8" i="21" s="1"/>
  <c r="AQ8" i="21"/>
  <c r="AP8" i="21"/>
  <c r="AO8" i="21"/>
  <c r="AN8" i="21"/>
  <c r="AM8" i="21"/>
  <c r="AL8" i="21"/>
  <c r="AK8" i="21"/>
  <c r="AH8" i="21"/>
  <c r="AG8" i="21"/>
  <c r="AF8" i="21"/>
  <c r="AE8" i="21"/>
  <c r="AD8" i="21"/>
  <c r="AC8" i="21"/>
  <c r="AB8" i="21"/>
  <c r="AA8" i="21"/>
  <c r="Z8" i="21"/>
  <c r="Y8" i="21"/>
  <c r="V8" i="21"/>
  <c r="U8" i="21"/>
  <c r="T8" i="21"/>
  <c r="S8" i="21"/>
  <c r="R8" i="21"/>
  <c r="Q8" i="21"/>
  <c r="P8" i="21"/>
  <c r="O8" i="21"/>
  <c r="N8" i="21"/>
  <c r="M8" i="21"/>
  <c r="K8" i="21"/>
  <c r="AT7" i="21"/>
  <c r="AR7" i="21"/>
  <c r="AU7" i="21" s="1"/>
  <c r="AQ7" i="21"/>
  <c r="AP7" i="21"/>
  <c r="AO7" i="21"/>
  <c r="AN7" i="21"/>
  <c r="AM7" i="21"/>
  <c r="AL7" i="21"/>
  <c r="AK7" i="21"/>
  <c r="AH7" i="21"/>
  <c r="AF7" i="21"/>
  <c r="AI7" i="21" s="1"/>
  <c r="AE7" i="21"/>
  <c r="AD7" i="21"/>
  <c r="AC7" i="21"/>
  <c r="AB7" i="21"/>
  <c r="AA7" i="21"/>
  <c r="Z7" i="21"/>
  <c r="Y7" i="21"/>
  <c r="V7" i="21"/>
  <c r="T7" i="21"/>
  <c r="W7" i="21" s="1"/>
  <c r="S7" i="21"/>
  <c r="R7" i="21"/>
  <c r="Q7" i="21"/>
  <c r="P7" i="21"/>
  <c r="O7" i="21"/>
  <c r="N7" i="21"/>
  <c r="M7" i="21"/>
  <c r="K7" i="21"/>
  <c r="AT6" i="21"/>
  <c r="AR6" i="21"/>
  <c r="AU6" i="21" s="1"/>
  <c r="AQ6" i="21"/>
  <c r="AP6" i="21"/>
  <c r="AO6" i="21"/>
  <c r="AN6" i="21"/>
  <c r="AM6" i="21"/>
  <c r="AL6" i="21"/>
  <c r="AK6" i="21"/>
  <c r="AH6" i="21"/>
  <c r="AF6" i="21"/>
  <c r="AI6" i="21" s="1"/>
  <c r="AE6" i="21"/>
  <c r="AD6" i="21"/>
  <c r="AC6" i="21"/>
  <c r="AB6" i="21"/>
  <c r="AA6" i="21"/>
  <c r="Z6" i="21"/>
  <c r="Y6" i="21"/>
  <c r="V6" i="21"/>
  <c r="U6" i="21"/>
  <c r="T6" i="21"/>
  <c r="S6" i="21"/>
  <c r="R6" i="21"/>
  <c r="Q6" i="21"/>
  <c r="P6" i="21"/>
  <c r="O6" i="21"/>
  <c r="N6" i="21"/>
  <c r="M6" i="21"/>
  <c r="K6" i="21"/>
  <c r="AT5" i="21"/>
  <c r="AR5" i="21"/>
  <c r="AU5" i="21" s="1"/>
  <c r="AQ5" i="21"/>
  <c r="AP5" i="21"/>
  <c r="AO5" i="21"/>
  <c r="AN5" i="21"/>
  <c r="AM5" i="21"/>
  <c r="AL5" i="21"/>
  <c r="AK5" i="21"/>
  <c r="AH5" i="21"/>
  <c r="AG5" i="21"/>
  <c r="AF5" i="21"/>
  <c r="AE5" i="21"/>
  <c r="AD5" i="21"/>
  <c r="AC5" i="21"/>
  <c r="AB5" i="21"/>
  <c r="AA5" i="21"/>
  <c r="Z5" i="21"/>
  <c r="Y5" i="21"/>
  <c r="V5" i="21"/>
  <c r="U5" i="21"/>
  <c r="T5" i="21"/>
  <c r="S5" i="21"/>
  <c r="R5" i="21"/>
  <c r="Q5" i="21"/>
  <c r="P5" i="21"/>
  <c r="O5" i="21"/>
  <c r="N5" i="21"/>
  <c r="M5" i="21"/>
  <c r="K5" i="21"/>
  <c r="AT4" i="21"/>
  <c r="AR4" i="21"/>
  <c r="AU4" i="21" s="1"/>
  <c r="AQ4" i="21"/>
  <c r="AP4" i="21"/>
  <c r="AO4" i="21"/>
  <c r="AN4" i="21"/>
  <c r="AM4" i="21"/>
  <c r="AL4" i="21"/>
  <c r="AK4" i="21"/>
  <c r="AH4" i="21"/>
  <c r="AF4" i="21"/>
  <c r="AI4" i="21" s="1"/>
  <c r="AE4" i="21"/>
  <c r="AD4" i="21"/>
  <c r="AC4" i="21"/>
  <c r="AB4" i="21"/>
  <c r="AA4" i="21"/>
  <c r="Z4" i="21"/>
  <c r="Y4" i="21"/>
  <c r="V4" i="21"/>
  <c r="U4" i="21"/>
  <c r="T4" i="21"/>
  <c r="S4" i="21"/>
  <c r="R4" i="21"/>
  <c r="Q4" i="21"/>
  <c r="P4" i="21"/>
  <c r="O4" i="21"/>
  <c r="N4" i="21"/>
  <c r="M4" i="21"/>
  <c r="K4" i="21"/>
  <c r="AT3" i="21"/>
  <c r="AR3" i="21"/>
  <c r="AU3" i="21" s="1"/>
  <c r="AQ3" i="21"/>
  <c r="AP3" i="21"/>
  <c r="AO3" i="21"/>
  <c r="AN3" i="21"/>
  <c r="AM3" i="21"/>
  <c r="AL3" i="21"/>
  <c r="AK3" i="21"/>
  <c r="AH3" i="21"/>
  <c r="AF3" i="21"/>
  <c r="AI3" i="21" s="1"/>
  <c r="AE3" i="21"/>
  <c r="AD3" i="21"/>
  <c r="AC3" i="21"/>
  <c r="AB3" i="21"/>
  <c r="AA3" i="21"/>
  <c r="Z3" i="21"/>
  <c r="Y3" i="21"/>
  <c r="V3" i="21"/>
  <c r="U3" i="21"/>
  <c r="T3" i="21"/>
  <c r="S3" i="21"/>
  <c r="R3" i="21"/>
  <c r="Q3" i="21"/>
  <c r="P3" i="21"/>
  <c r="O3" i="21"/>
  <c r="N3" i="21"/>
  <c r="M3" i="21"/>
  <c r="K3" i="21"/>
  <c r="AT2" i="21"/>
  <c r="AR2" i="21"/>
  <c r="AU2" i="21" s="1"/>
  <c r="AQ2" i="21"/>
  <c r="AP2" i="21"/>
  <c r="AO2" i="21"/>
  <c r="AN2" i="21"/>
  <c r="AM2" i="21"/>
  <c r="AL2" i="21"/>
  <c r="AK2" i="21"/>
  <c r="AH2" i="21"/>
  <c r="AG2" i="21"/>
  <c r="AF2" i="21"/>
  <c r="AE2" i="21"/>
  <c r="AD2" i="21"/>
  <c r="AC2" i="21"/>
  <c r="AB2" i="21"/>
  <c r="AA2" i="21"/>
  <c r="Z2" i="21"/>
  <c r="Y2" i="21"/>
  <c r="V2" i="21"/>
  <c r="U2" i="21"/>
  <c r="T2" i="21"/>
  <c r="S2" i="21"/>
  <c r="R2" i="21"/>
  <c r="Q2" i="21"/>
  <c r="P2" i="21"/>
  <c r="O2" i="21"/>
  <c r="N2" i="21"/>
  <c r="M2" i="21"/>
  <c r="K2" i="21"/>
  <c r="AF40" i="19"/>
  <c r="AF39" i="19"/>
  <c r="AF38" i="19"/>
  <c r="AF37" i="19"/>
  <c r="AE36" i="19"/>
  <c r="AF36" i="19" s="1"/>
  <c r="AE35" i="19"/>
  <c r="AF35" i="19" s="1"/>
  <c r="AE34" i="19"/>
  <c r="AF34" i="19" s="1"/>
  <c r="AE33" i="19"/>
  <c r="AF33" i="19" s="1"/>
  <c r="AE32" i="19"/>
  <c r="AF32" i="19" s="1"/>
  <c r="AE31" i="19"/>
  <c r="AF31" i="19" s="1"/>
  <c r="AE30" i="19"/>
  <c r="AF30" i="19" s="1"/>
  <c r="AE29" i="19"/>
  <c r="AF29" i="19" s="1"/>
  <c r="AE28" i="19"/>
  <c r="AF28" i="19" s="1"/>
  <c r="AE27" i="19"/>
  <c r="AF27" i="19" s="1"/>
  <c r="AE26" i="19"/>
  <c r="AF26" i="19" s="1"/>
  <c r="AE25" i="19"/>
  <c r="AF25" i="19" s="1"/>
  <c r="AE24" i="19"/>
  <c r="AF24" i="19" s="1"/>
  <c r="AE23" i="19"/>
  <c r="AF23" i="19" s="1"/>
  <c r="AE22" i="19"/>
  <c r="AF22" i="19" s="1"/>
  <c r="AE21" i="19"/>
  <c r="AF21" i="19" s="1"/>
  <c r="AE20" i="19"/>
  <c r="AF20" i="19" s="1"/>
  <c r="AE19" i="19"/>
  <c r="AF19" i="19" s="1"/>
  <c r="AE18" i="19"/>
  <c r="AF18" i="19" s="1"/>
  <c r="AE17" i="19"/>
  <c r="AF17" i="19" s="1"/>
  <c r="T17" i="19"/>
  <c r="R17" i="19"/>
  <c r="Q17" i="19"/>
  <c r="AE16" i="19"/>
  <c r="AF16" i="19" s="1"/>
  <c r="T16" i="19"/>
  <c r="S16" i="19"/>
  <c r="R16" i="19"/>
  <c r="Q16" i="19"/>
  <c r="AE15" i="19"/>
  <c r="AF15" i="19" s="1"/>
  <c r="T15" i="19"/>
  <c r="S15" i="19"/>
  <c r="R15" i="19"/>
  <c r="Q15" i="19"/>
  <c r="AE14" i="19"/>
  <c r="AF14" i="19" s="1"/>
  <c r="T14" i="19"/>
  <c r="S14" i="19"/>
  <c r="R14" i="19"/>
  <c r="Q14" i="19"/>
  <c r="AE13" i="19"/>
  <c r="AF13" i="19" s="1"/>
  <c r="T13" i="19"/>
  <c r="S13" i="19"/>
  <c r="R13" i="19"/>
  <c r="Q13" i="19"/>
  <c r="AE12" i="19"/>
  <c r="AF12" i="19" s="1"/>
  <c r="T12" i="19"/>
  <c r="S12" i="19"/>
  <c r="R12" i="19"/>
  <c r="Q12" i="19"/>
  <c r="AE11" i="19"/>
  <c r="AF11" i="19" s="1"/>
  <c r="T11" i="19"/>
  <c r="S11" i="19"/>
  <c r="R11" i="19"/>
  <c r="Q11" i="19"/>
  <c r="AE10" i="19"/>
  <c r="AF10" i="19" s="1"/>
  <c r="T10" i="19"/>
  <c r="S10" i="19"/>
  <c r="R10" i="19"/>
  <c r="Q10" i="19"/>
  <c r="J10" i="19"/>
  <c r="H10" i="19"/>
  <c r="G10" i="19"/>
  <c r="AE9" i="19"/>
  <c r="AF9" i="19" s="1"/>
  <c r="T9" i="19"/>
  <c r="S9" i="19"/>
  <c r="R9" i="19"/>
  <c r="Q9" i="19"/>
  <c r="O9" i="19"/>
  <c r="M9" i="19"/>
  <c r="L9" i="19"/>
  <c r="J9" i="19"/>
  <c r="I9" i="19"/>
  <c r="H9" i="19"/>
  <c r="G9" i="19"/>
  <c r="AE8" i="19"/>
  <c r="AF8" i="19" s="1"/>
  <c r="T8" i="19"/>
  <c r="S8" i="19"/>
  <c r="R8" i="19"/>
  <c r="Q8" i="19"/>
  <c r="O8" i="19"/>
  <c r="N8" i="19"/>
  <c r="M8" i="19"/>
  <c r="L8" i="19"/>
  <c r="J8" i="19"/>
  <c r="I8" i="19"/>
  <c r="H8" i="19"/>
  <c r="G8" i="19"/>
  <c r="AE7" i="19"/>
  <c r="AF7" i="19" s="1"/>
  <c r="T7" i="19"/>
  <c r="S7" i="19"/>
  <c r="R7" i="19"/>
  <c r="Q7" i="19"/>
  <c r="O7" i="19"/>
  <c r="N7" i="19"/>
  <c r="M7" i="19"/>
  <c r="L7" i="19"/>
  <c r="J7" i="19"/>
  <c r="I7" i="19"/>
  <c r="H7" i="19"/>
  <c r="G7" i="19"/>
  <c r="AE6" i="19"/>
  <c r="AF6" i="19" s="1"/>
  <c r="T6" i="19"/>
  <c r="S6" i="19"/>
  <c r="R6" i="19"/>
  <c r="Q6" i="19"/>
  <c r="O6" i="19"/>
  <c r="N6" i="19"/>
  <c r="M6" i="19"/>
  <c r="L6" i="19"/>
  <c r="J6" i="19"/>
  <c r="I6" i="19"/>
  <c r="H6" i="19"/>
  <c r="G6" i="19"/>
  <c r="AE5" i="19"/>
  <c r="AF5" i="19" s="1"/>
  <c r="T5" i="19"/>
  <c r="S5" i="19"/>
  <c r="R5" i="19"/>
  <c r="Q5" i="19"/>
  <c r="O5" i="19"/>
  <c r="N5" i="19"/>
  <c r="M5" i="19"/>
  <c r="L5" i="19"/>
  <c r="J5" i="19"/>
  <c r="I5" i="19"/>
  <c r="H5" i="19"/>
  <c r="G5" i="19"/>
  <c r="AF4" i="19"/>
  <c r="T4" i="19"/>
  <c r="S4" i="19"/>
  <c r="R4" i="19"/>
  <c r="Q4" i="19"/>
  <c r="O4" i="19"/>
  <c r="N4" i="19"/>
  <c r="M4" i="19"/>
  <c r="L4" i="19"/>
  <c r="J4" i="19"/>
  <c r="I4" i="19"/>
  <c r="H4" i="19"/>
  <c r="G4" i="19"/>
  <c r="AE3" i="19"/>
  <c r="AF3" i="19" s="1"/>
  <c r="T3" i="19"/>
  <c r="S3" i="19"/>
  <c r="R3" i="19"/>
  <c r="Q3" i="19"/>
  <c r="O3" i="19"/>
  <c r="N3" i="19"/>
  <c r="M3" i="19"/>
  <c r="L3" i="19"/>
  <c r="J3" i="19"/>
  <c r="I3" i="19"/>
  <c r="H3" i="19"/>
  <c r="G3" i="19"/>
  <c r="AE2" i="19"/>
  <c r="AF2" i="19" s="1"/>
  <c r="T2" i="19"/>
  <c r="S2" i="19"/>
  <c r="R2" i="19"/>
  <c r="Q2" i="19"/>
  <c r="O2" i="19"/>
  <c r="N2" i="19"/>
  <c r="M2" i="19"/>
  <c r="L2" i="19"/>
  <c r="J2" i="19"/>
  <c r="I2" i="19"/>
  <c r="H2" i="19"/>
  <c r="G2" i="19"/>
  <c r="AD1" i="19"/>
  <c r="AC1" i="19"/>
  <c r="AB1" i="19"/>
  <c r="AA1" i="19"/>
  <c r="Y1" i="19"/>
  <c r="X1" i="19"/>
  <c r="W1" i="19"/>
  <c r="V1" i="19"/>
  <c r="T1" i="19"/>
  <c r="S1" i="19"/>
  <c r="R1" i="19"/>
  <c r="Q1" i="19"/>
  <c r="O1" i="19"/>
  <c r="N1" i="19"/>
  <c r="M1" i="19"/>
  <c r="L1" i="19"/>
  <c r="J1" i="19"/>
  <c r="I1" i="19"/>
  <c r="H1" i="19"/>
  <c r="G1" i="19"/>
  <c r="A1" i="19"/>
  <c r="M167" i="18"/>
  <c r="K167" i="18"/>
  <c r="H167" i="18"/>
  <c r="A167" i="18"/>
  <c r="O166" i="18"/>
  <c r="N166" i="18"/>
  <c r="M166" i="18"/>
  <c r="L166" i="18"/>
  <c r="K166" i="18"/>
  <c r="J166" i="18"/>
  <c r="H166" i="18"/>
  <c r="F166" i="18"/>
  <c r="D166" i="18"/>
  <c r="C166" i="18"/>
  <c r="O165" i="18"/>
  <c r="N165" i="18"/>
  <c r="M165" i="18"/>
  <c r="L165" i="18"/>
  <c r="K165" i="18"/>
  <c r="J165" i="18"/>
  <c r="H165" i="18"/>
  <c r="F165" i="18"/>
  <c r="D165" i="18"/>
  <c r="C165" i="18"/>
  <c r="O164" i="18"/>
  <c r="N164" i="18"/>
  <c r="M164" i="18"/>
  <c r="L164" i="18"/>
  <c r="K164" i="18"/>
  <c r="J164" i="18"/>
  <c r="H164" i="18"/>
  <c r="F164" i="18"/>
  <c r="D164" i="18"/>
  <c r="C164" i="18"/>
  <c r="O163" i="18"/>
  <c r="N163" i="18"/>
  <c r="M163" i="18"/>
  <c r="L163" i="18"/>
  <c r="K163" i="18"/>
  <c r="J163" i="18"/>
  <c r="H163" i="18"/>
  <c r="F163" i="18"/>
  <c r="D163" i="18"/>
  <c r="C163" i="18"/>
  <c r="O162" i="18"/>
  <c r="N162" i="18"/>
  <c r="M162" i="18"/>
  <c r="L162" i="18"/>
  <c r="K162" i="18"/>
  <c r="J162" i="18"/>
  <c r="H162" i="18"/>
  <c r="F162" i="18"/>
  <c r="D162" i="18"/>
  <c r="C162" i="18"/>
  <c r="O161" i="18"/>
  <c r="N161" i="18"/>
  <c r="M161" i="18"/>
  <c r="L161" i="18"/>
  <c r="K161" i="18"/>
  <c r="J161" i="18"/>
  <c r="H161" i="18"/>
  <c r="F161" i="18"/>
  <c r="D161" i="18"/>
  <c r="C161" i="18"/>
  <c r="O160" i="18"/>
  <c r="N160" i="18"/>
  <c r="M160" i="18"/>
  <c r="L160" i="18"/>
  <c r="K160" i="18"/>
  <c r="J160" i="18"/>
  <c r="H160" i="18"/>
  <c r="F160" i="18"/>
  <c r="D160" i="18"/>
  <c r="C160" i="18"/>
  <c r="O159" i="18"/>
  <c r="N159" i="18"/>
  <c r="M159" i="18"/>
  <c r="L159" i="18"/>
  <c r="K159" i="18"/>
  <c r="J159" i="18"/>
  <c r="H159" i="18"/>
  <c r="F159" i="18"/>
  <c r="D159" i="18"/>
  <c r="C159" i="18"/>
  <c r="O158" i="18"/>
  <c r="N158" i="18"/>
  <c r="M158" i="18"/>
  <c r="L158" i="18"/>
  <c r="K158" i="18"/>
  <c r="J158" i="18"/>
  <c r="H158" i="18"/>
  <c r="F158" i="18"/>
  <c r="D158" i="18"/>
  <c r="C158" i="18"/>
  <c r="O157" i="18"/>
  <c r="N157" i="18"/>
  <c r="M157" i="18"/>
  <c r="L157" i="18"/>
  <c r="K157" i="18"/>
  <c r="J157" i="18"/>
  <c r="H157" i="18"/>
  <c r="F157" i="18"/>
  <c r="D157" i="18"/>
  <c r="C157" i="18"/>
  <c r="O156" i="18"/>
  <c r="N156" i="18"/>
  <c r="M156" i="18"/>
  <c r="L156" i="18"/>
  <c r="K156" i="18"/>
  <c r="J156" i="18"/>
  <c r="H156" i="18"/>
  <c r="F156" i="18"/>
  <c r="D156" i="18"/>
  <c r="C156" i="18"/>
  <c r="O155" i="18"/>
  <c r="N155" i="18"/>
  <c r="M155" i="18"/>
  <c r="L155" i="18"/>
  <c r="K155" i="18"/>
  <c r="J155" i="18"/>
  <c r="H155" i="18"/>
  <c r="F155" i="18"/>
  <c r="D155" i="18"/>
  <c r="C155" i="18"/>
  <c r="O154" i="18"/>
  <c r="N154" i="18"/>
  <c r="M154" i="18"/>
  <c r="L154" i="18"/>
  <c r="K154" i="18"/>
  <c r="J154" i="18"/>
  <c r="H154" i="18"/>
  <c r="F154" i="18"/>
  <c r="D154" i="18"/>
  <c r="C154" i="18"/>
  <c r="O153" i="18"/>
  <c r="N153" i="18"/>
  <c r="M153" i="18"/>
  <c r="L153" i="18"/>
  <c r="K153" i="18"/>
  <c r="J153" i="18"/>
  <c r="H153" i="18"/>
  <c r="F153" i="18"/>
  <c r="D153" i="18"/>
  <c r="C153" i="18"/>
  <c r="O152" i="18"/>
  <c r="N152" i="18"/>
  <c r="M152" i="18"/>
  <c r="L152" i="18"/>
  <c r="K152" i="18"/>
  <c r="J152" i="18"/>
  <c r="H152" i="18"/>
  <c r="F152" i="18"/>
  <c r="D152" i="18"/>
  <c r="C152" i="18"/>
  <c r="O151" i="18"/>
  <c r="N151" i="18"/>
  <c r="M151" i="18"/>
  <c r="L151" i="18"/>
  <c r="K151" i="18"/>
  <c r="J151" i="18"/>
  <c r="H151" i="18"/>
  <c r="F151" i="18"/>
  <c r="D151" i="18"/>
  <c r="C151" i="18"/>
  <c r="O150" i="18"/>
  <c r="N150" i="18"/>
  <c r="M150" i="18"/>
  <c r="L150" i="18"/>
  <c r="K150" i="18"/>
  <c r="J150" i="18"/>
  <c r="H150" i="18"/>
  <c r="F150" i="18"/>
  <c r="D150" i="18"/>
  <c r="C150" i="18"/>
  <c r="O149" i="18"/>
  <c r="N149" i="18"/>
  <c r="M149" i="18"/>
  <c r="L149" i="18"/>
  <c r="K149" i="18"/>
  <c r="J149" i="18"/>
  <c r="H149" i="18"/>
  <c r="F149" i="18"/>
  <c r="D149" i="18"/>
  <c r="C149" i="18"/>
  <c r="O148" i="18"/>
  <c r="N148" i="18"/>
  <c r="M148" i="18"/>
  <c r="L148" i="18"/>
  <c r="K148" i="18"/>
  <c r="J148" i="18"/>
  <c r="H148" i="18"/>
  <c r="F148" i="18"/>
  <c r="D148" i="18"/>
  <c r="C148" i="18"/>
  <c r="O147" i="18"/>
  <c r="N147" i="18"/>
  <c r="M147" i="18"/>
  <c r="L147" i="18"/>
  <c r="K147" i="18"/>
  <c r="J147" i="18"/>
  <c r="H147" i="18"/>
  <c r="F147" i="18"/>
  <c r="D147" i="18"/>
  <c r="C147" i="18"/>
  <c r="O146" i="18"/>
  <c r="N146" i="18"/>
  <c r="M146" i="18"/>
  <c r="L146" i="18"/>
  <c r="K146" i="18"/>
  <c r="J146" i="18"/>
  <c r="H146" i="18"/>
  <c r="F146" i="18"/>
  <c r="D146" i="18"/>
  <c r="C146" i="18"/>
  <c r="O145" i="18"/>
  <c r="N145" i="18"/>
  <c r="M145" i="18"/>
  <c r="L145" i="18"/>
  <c r="K145" i="18"/>
  <c r="J145" i="18"/>
  <c r="H145" i="18"/>
  <c r="F145" i="18"/>
  <c r="D145" i="18"/>
  <c r="C145" i="18"/>
  <c r="O144" i="18"/>
  <c r="N144" i="18"/>
  <c r="M144" i="18"/>
  <c r="L144" i="18"/>
  <c r="K144" i="18"/>
  <c r="J144" i="18"/>
  <c r="H144" i="18"/>
  <c r="F144" i="18"/>
  <c r="D144" i="18"/>
  <c r="C144" i="18"/>
  <c r="O143" i="18"/>
  <c r="N143" i="18"/>
  <c r="M143" i="18"/>
  <c r="L143" i="18"/>
  <c r="K143" i="18"/>
  <c r="J143" i="18"/>
  <c r="H143" i="18"/>
  <c r="F143" i="18"/>
  <c r="D143" i="18"/>
  <c r="C143" i="18"/>
  <c r="O142" i="18"/>
  <c r="N142" i="18"/>
  <c r="M142" i="18"/>
  <c r="L142" i="18"/>
  <c r="K142" i="18"/>
  <c r="J142" i="18"/>
  <c r="H142" i="18"/>
  <c r="F142" i="18"/>
  <c r="D142" i="18"/>
  <c r="C142" i="18"/>
  <c r="O141" i="18"/>
  <c r="N141" i="18"/>
  <c r="M141" i="18"/>
  <c r="L141" i="18"/>
  <c r="K141" i="18"/>
  <c r="J141" i="18"/>
  <c r="H141" i="18"/>
  <c r="F141" i="18"/>
  <c r="D141" i="18"/>
  <c r="C141" i="18"/>
  <c r="O140" i="18"/>
  <c r="N140" i="18"/>
  <c r="M140" i="18"/>
  <c r="L140" i="18"/>
  <c r="K140" i="18"/>
  <c r="J140" i="18"/>
  <c r="H140" i="18"/>
  <c r="F140" i="18"/>
  <c r="D140" i="18"/>
  <c r="C140" i="18"/>
  <c r="O139" i="18"/>
  <c r="N139" i="18"/>
  <c r="M139" i="18"/>
  <c r="L139" i="18"/>
  <c r="K139" i="18"/>
  <c r="J139" i="18"/>
  <c r="H139" i="18"/>
  <c r="F139" i="18"/>
  <c r="D139" i="18"/>
  <c r="C139" i="18"/>
  <c r="O138" i="18"/>
  <c r="N138" i="18"/>
  <c r="M138" i="18"/>
  <c r="L138" i="18"/>
  <c r="K138" i="18"/>
  <c r="J138" i="18"/>
  <c r="H138" i="18"/>
  <c r="F138" i="18"/>
  <c r="D138" i="18"/>
  <c r="C138" i="18"/>
  <c r="O137" i="18"/>
  <c r="N137" i="18"/>
  <c r="M137" i="18"/>
  <c r="L137" i="18"/>
  <c r="K137" i="18"/>
  <c r="J137" i="18"/>
  <c r="H137" i="18"/>
  <c r="F137" i="18"/>
  <c r="D137" i="18"/>
  <c r="C137" i="18"/>
  <c r="O136" i="18"/>
  <c r="N136" i="18"/>
  <c r="M136" i="18"/>
  <c r="L136" i="18"/>
  <c r="K136" i="18"/>
  <c r="J136" i="18"/>
  <c r="H136" i="18"/>
  <c r="F136" i="18"/>
  <c r="D136" i="18"/>
  <c r="C136" i="18"/>
  <c r="O135" i="18"/>
  <c r="N135" i="18"/>
  <c r="M135" i="18"/>
  <c r="L135" i="18"/>
  <c r="K135" i="18"/>
  <c r="J135" i="18"/>
  <c r="H135" i="18"/>
  <c r="F135" i="18"/>
  <c r="D135" i="18"/>
  <c r="C135" i="18"/>
  <c r="O134" i="18"/>
  <c r="N134" i="18"/>
  <c r="M134" i="18"/>
  <c r="L134" i="18"/>
  <c r="K134" i="18"/>
  <c r="J134" i="18"/>
  <c r="H134" i="18"/>
  <c r="F134" i="18"/>
  <c r="D134" i="18"/>
  <c r="C134" i="18"/>
  <c r="O133" i="18"/>
  <c r="N133" i="18"/>
  <c r="M133" i="18"/>
  <c r="L133" i="18"/>
  <c r="K133" i="18"/>
  <c r="J133" i="18"/>
  <c r="H133" i="18"/>
  <c r="F133" i="18"/>
  <c r="D133" i="18"/>
  <c r="C133" i="18"/>
  <c r="O132" i="18"/>
  <c r="N132" i="18"/>
  <c r="M132" i="18"/>
  <c r="L132" i="18"/>
  <c r="K132" i="18"/>
  <c r="J132" i="18"/>
  <c r="H132" i="18"/>
  <c r="F132" i="18"/>
  <c r="D132" i="18"/>
  <c r="C132" i="18"/>
  <c r="O131" i="18"/>
  <c r="N131" i="18"/>
  <c r="M131" i="18"/>
  <c r="L131" i="18"/>
  <c r="K131" i="18"/>
  <c r="J131" i="18"/>
  <c r="H131" i="18"/>
  <c r="F131" i="18"/>
  <c r="D131" i="18"/>
  <c r="C131" i="18"/>
  <c r="O130" i="18"/>
  <c r="N130" i="18"/>
  <c r="M130" i="18"/>
  <c r="L130" i="18"/>
  <c r="K130" i="18"/>
  <c r="J130" i="18"/>
  <c r="H130" i="18"/>
  <c r="F130" i="18"/>
  <c r="D130" i="18"/>
  <c r="C130" i="18"/>
  <c r="O129" i="18"/>
  <c r="N129" i="18"/>
  <c r="M129" i="18"/>
  <c r="L129" i="18"/>
  <c r="K129" i="18"/>
  <c r="J129" i="18"/>
  <c r="H129" i="18"/>
  <c r="F129" i="18"/>
  <c r="D129" i="18"/>
  <c r="C129" i="18"/>
  <c r="O128" i="18"/>
  <c r="N128" i="18"/>
  <c r="M128" i="18"/>
  <c r="L128" i="18"/>
  <c r="K128" i="18"/>
  <c r="J128" i="18"/>
  <c r="H128" i="18"/>
  <c r="F128" i="18"/>
  <c r="D128" i="18"/>
  <c r="C128" i="18"/>
  <c r="O127" i="18"/>
  <c r="N127" i="18"/>
  <c r="M127" i="18"/>
  <c r="L127" i="18"/>
  <c r="K127" i="18"/>
  <c r="J127" i="18"/>
  <c r="H127" i="18"/>
  <c r="F127" i="18"/>
  <c r="D127" i="18"/>
  <c r="C127" i="18"/>
  <c r="O126" i="18"/>
  <c r="N126" i="18"/>
  <c r="M126" i="18"/>
  <c r="L126" i="18"/>
  <c r="K126" i="18"/>
  <c r="J126" i="18"/>
  <c r="H126" i="18"/>
  <c r="F126" i="18"/>
  <c r="D126" i="18"/>
  <c r="C126" i="18"/>
  <c r="O125" i="18"/>
  <c r="N125" i="18"/>
  <c r="M125" i="18"/>
  <c r="L125" i="18"/>
  <c r="K125" i="18"/>
  <c r="J125" i="18"/>
  <c r="H125" i="18"/>
  <c r="F125" i="18"/>
  <c r="D125" i="18"/>
  <c r="C125" i="18"/>
  <c r="O124" i="18"/>
  <c r="N124" i="18"/>
  <c r="M124" i="18"/>
  <c r="L124" i="18"/>
  <c r="K124" i="18"/>
  <c r="J124" i="18"/>
  <c r="H124" i="18"/>
  <c r="F124" i="18"/>
  <c r="D124" i="18"/>
  <c r="C124" i="18"/>
  <c r="O123" i="18"/>
  <c r="N123" i="18"/>
  <c r="M123" i="18"/>
  <c r="L123" i="18"/>
  <c r="K123" i="18"/>
  <c r="J123" i="18"/>
  <c r="H123" i="18"/>
  <c r="F123" i="18"/>
  <c r="D123" i="18"/>
  <c r="C123" i="18"/>
  <c r="O122" i="18"/>
  <c r="N122" i="18"/>
  <c r="M122" i="18"/>
  <c r="L122" i="18"/>
  <c r="K122" i="18"/>
  <c r="J122" i="18"/>
  <c r="H122" i="18"/>
  <c r="F122" i="18"/>
  <c r="D122" i="18"/>
  <c r="C122" i="18"/>
  <c r="O121" i="18"/>
  <c r="N121" i="18"/>
  <c r="M121" i="18"/>
  <c r="L121" i="18"/>
  <c r="K121" i="18"/>
  <c r="J121" i="18"/>
  <c r="H121" i="18"/>
  <c r="F121" i="18"/>
  <c r="D121" i="18"/>
  <c r="C121" i="18"/>
  <c r="O120" i="18"/>
  <c r="N120" i="18"/>
  <c r="M120" i="18"/>
  <c r="L120" i="18"/>
  <c r="K120" i="18"/>
  <c r="J120" i="18"/>
  <c r="H120" i="18"/>
  <c r="F120" i="18"/>
  <c r="D120" i="18"/>
  <c r="C120" i="18"/>
  <c r="O119" i="18"/>
  <c r="N119" i="18"/>
  <c r="M119" i="18"/>
  <c r="L119" i="18"/>
  <c r="K119" i="18"/>
  <c r="J119" i="18"/>
  <c r="H119" i="18"/>
  <c r="F119" i="18"/>
  <c r="D119" i="18"/>
  <c r="C119" i="18"/>
  <c r="O118" i="18"/>
  <c r="N118" i="18"/>
  <c r="M118" i="18"/>
  <c r="L118" i="18"/>
  <c r="K118" i="18"/>
  <c r="J118" i="18"/>
  <c r="H118" i="18"/>
  <c r="F118" i="18"/>
  <c r="D118" i="18"/>
  <c r="C118" i="18"/>
  <c r="O117" i="18"/>
  <c r="N117" i="18"/>
  <c r="M117" i="18"/>
  <c r="L117" i="18"/>
  <c r="K117" i="18"/>
  <c r="J117" i="18"/>
  <c r="H117" i="18"/>
  <c r="F117" i="18"/>
  <c r="D117" i="18"/>
  <c r="C117" i="18"/>
  <c r="O116" i="18"/>
  <c r="N116" i="18"/>
  <c r="M116" i="18"/>
  <c r="L116" i="18"/>
  <c r="K116" i="18"/>
  <c r="J116" i="18"/>
  <c r="H116" i="18"/>
  <c r="F116" i="18"/>
  <c r="D116" i="18"/>
  <c r="C116" i="18"/>
  <c r="O115" i="18"/>
  <c r="N115" i="18"/>
  <c r="M115" i="18"/>
  <c r="L115" i="18"/>
  <c r="K115" i="18"/>
  <c r="J115" i="18"/>
  <c r="H115" i="18"/>
  <c r="F115" i="18"/>
  <c r="D115" i="18"/>
  <c r="C115" i="18"/>
  <c r="O114" i="18"/>
  <c r="N114" i="18"/>
  <c r="M114" i="18"/>
  <c r="L114" i="18"/>
  <c r="K114" i="18"/>
  <c r="J114" i="18"/>
  <c r="H114" i="18"/>
  <c r="F114" i="18"/>
  <c r="D114" i="18"/>
  <c r="C114" i="18"/>
  <c r="O113" i="18"/>
  <c r="N113" i="18"/>
  <c r="M113" i="18"/>
  <c r="L113" i="18"/>
  <c r="K113" i="18"/>
  <c r="J113" i="18"/>
  <c r="H113" i="18"/>
  <c r="F113" i="18"/>
  <c r="D113" i="18"/>
  <c r="C113" i="18"/>
  <c r="O112" i="18"/>
  <c r="N112" i="18"/>
  <c r="M112" i="18"/>
  <c r="L112" i="18"/>
  <c r="K112" i="18"/>
  <c r="J112" i="18"/>
  <c r="H112" i="18"/>
  <c r="F112" i="18"/>
  <c r="D112" i="18"/>
  <c r="C112" i="18"/>
  <c r="O111" i="18"/>
  <c r="N111" i="18"/>
  <c r="M111" i="18"/>
  <c r="L111" i="18"/>
  <c r="K111" i="18"/>
  <c r="J111" i="18"/>
  <c r="H111" i="18"/>
  <c r="F111" i="18"/>
  <c r="D111" i="18"/>
  <c r="C111" i="18"/>
  <c r="O110" i="18"/>
  <c r="N110" i="18"/>
  <c r="M110" i="18"/>
  <c r="L110" i="18"/>
  <c r="K110" i="18"/>
  <c r="J110" i="18"/>
  <c r="H110" i="18"/>
  <c r="F110" i="18"/>
  <c r="D110" i="18"/>
  <c r="C110" i="18"/>
  <c r="O109" i="18"/>
  <c r="N109" i="18"/>
  <c r="M109" i="18"/>
  <c r="L109" i="18"/>
  <c r="K109" i="18"/>
  <c r="J109" i="18"/>
  <c r="H109" i="18"/>
  <c r="F109" i="18"/>
  <c r="D109" i="18"/>
  <c r="C109" i="18"/>
  <c r="O108" i="18"/>
  <c r="N108" i="18"/>
  <c r="M108" i="18"/>
  <c r="L108" i="18"/>
  <c r="K108" i="18"/>
  <c r="J108" i="18"/>
  <c r="H108" i="18"/>
  <c r="F108" i="18"/>
  <c r="D108" i="18"/>
  <c r="C108" i="18"/>
  <c r="O107" i="18"/>
  <c r="N107" i="18"/>
  <c r="M107" i="18"/>
  <c r="L107" i="18"/>
  <c r="K107" i="18"/>
  <c r="J107" i="18"/>
  <c r="H107" i="18"/>
  <c r="F107" i="18"/>
  <c r="D107" i="18"/>
  <c r="C107" i="18"/>
  <c r="O106" i="18"/>
  <c r="N106" i="18"/>
  <c r="M106" i="18"/>
  <c r="L106" i="18"/>
  <c r="K106" i="18"/>
  <c r="J106" i="18"/>
  <c r="H106" i="18"/>
  <c r="F106" i="18"/>
  <c r="D106" i="18"/>
  <c r="C106" i="18"/>
  <c r="O105" i="18"/>
  <c r="N105" i="18"/>
  <c r="M105" i="18"/>
  <c r="L105" i="18"/>
  <c r="K105" i="18"/>
  <c r="J105" i="18"/>
  <c r="H105" i="18"/>
  <c r="F105" i="18"/>
  <c r="D105" i="18"/>
  <c r="C105" i="18"/>
  <c r="O104" i="18"/>
  <c r="N104" i="18"/>
  <c r="M104" i="18"/>
  <c r="L104" i="18"/>
  <c r="K104" i="18"/>
  <c r="J104" i="18"/>
  <c r="H104" i="18"/>
  <c r="F104" i="18"/>
  <c r="D104" i="18"/>
  <c r="C104" i="18"/>
  <c r="O103" i="18"/>
  <c r="N103" i="18"/>
  <c r="M103" i="18"/>
  <c r="L103" i="18"/>
  <c r="K103" i="18"/>
  <c r="J103" i="18"/>
  <c r="H103" i="18"/>
  <c r="F103" i="18"/>
  <c r="D103" i="18"/>
  <c r="C103" i="18"/>
  <c r="O102" i="18"/>
  <c r="N102" i="18"/>
  <c r="M102" i="18"/>
  <c r="L102" i="18"/>
  <c r="K102" i="18"/>
  <c r="J102" i="18"/>
  <c r="H102" i="18"/>
  <c r="F102" i="18"/>
  <c r="D102" i="18"/>
  <c r="C102" i="18"/>
  <c r="O101" i="18"/>
  <c r="N101" i="18"/>
  <c r="M101" i="18"/>
  <c r="L101" i="18"/>
  <c r="K101" i="18"/>
  <c r="J101" i="18"/>
  <c r="H101" i="18"/>
  <c r="F101" i="18"/>
  <c r="D101" i="18"/>
  <c r="C101" i="18"/>
  <c r="O100" i="18"/>
  <c r="N100" i="18"/>
  <c r="M100" i="18"/>
  <c r="L100" i="18"/>
  <c r="K100" i="18"/>
  <c r="J100" i="18"/>
  <c r="H100" i="18"/>
  <c r="F100" i="18"/>
  <c r="D100" i="18"/>
  <c r="C100" i="18"/>
  <c r="O99" i="18"/>
  <c r="N99" i="18"/>
  <c r="M99" i="18"/>
  <c r="L99" i="18"/>
  <c r="K99" i="18"/>
  <c r="J99" i="18"/>
  <c r="H99" i="18"/>
  <c r="F99" i="18"/>
  <c r="D99" i="18"/>
  <c r="C99" i="18"/>
  <c r="O98" i="18"/>
  <c r="N98" i="18"/>
  <c r="M98" i="18"/>
  <c r="L98" i="18"/>
  <c r="K98" i="18"/>
  <c r="J98" i="18"/>
  <c r="H98" i="18"/>
  <c r="F98" i="18"/>
  <c r="D98" i="18"/>
  <c r="C98" i="18"/>
  <c r="O97" i="18"/>
  <c r="N97" i="18"/>
  <c r="M97" i="18"/>
  <c r="L97" i="18"/>
  <c r="K97" i="18"/>
  <c r="J97" i="18"/>
  <c r="H97" i="18"/>
  <c r="F97" i="18"/>
  <c r="D97" i="18"/>
  <c r="C97" i="18"/>
  <c r="O96" i="18"/>
  <c r="N96" i="18"/>
  <c r="M96" i="18"/>
  <c r="L96" i="18"/>
  <c r="K96" i="18"/>
  <c r="J96" i="18"/>
  <c r="H96" i="18"/>
  <c r="F96" i="18"/>
  <c r="D96" i="18"/>
  <c r="C96" i="18"/>
  <c r="O95" i="18"/>
  <c r="N95" i="18"/>
  <c r="M95" i="18"/>
  <c r="L95" i="18"/>
  <c r="K95" i="18"/>
  <c r="J95" i="18"/>
  <c r="H95" i="18"/>
  <c r="F95" i="18"/>
  <c r="D95" i="18"/>
  <c r="C95" i="18"/>
  <c r="O94" i="18"/>
  <c r="N94" i="18"/>
  <c r="M94" i="18"/>
  <c r="L94" i="18"/>
  <c r="K94" i="18"/>
  <c r="J94" i="18"/>
  <c r="H94" i="18"/>
  <c r="F94" i="18"/>
  <c r="D94" i="18"/>
  <c r="C94" i="18"/>
  <c r="O93" i="18"/>
  <c r="N93" i="18"/>
  <c r="M93" i="18"/>
  <c r="L93" i="18"/>
  <c r="K93" i="18"/>
  <c r="J93" i="18"/>
  <c r="H93" i="18"/>
  <c r="F93" i="18"/>
  <c r="D93" i="18"/>
  <c r="C93" i="18"/>
  <c r="O92" i="18"/>
  <c r="N92" i="18"/>
  <c r="M92" i="18"/>
  <c r="L92" i="18"/>
  <c r="K92" i="18"/>
  <c r="J92" i="18"/>
  <c r="H92" i="18"/>
  <c r="F92" i="18"/>
  <c r="D92" i="18"/>
  <c r="C92" i="18"/>
  <c r="O91" i="18"/>
  <c r="N91" i="18"/>
  <c r="M91" i="18"/>
  <c r="L91" i="18"/>
  <c r="K91" i="18"/>
  <c r="J91" i="18"/>
  <c r="H91" i="18"/>
  <c r="F91" i="18"/>
  <c r="D91" i="18"/>
  <c r="C91" i="18"/>
  <c r="O90" i="18"/>
  <c r="N90" i="18"/>
  <c r="M90" i="18"/>
  <c r="L90" i="18"/>
  <c r="K90" i="18"/>
  <c r="J90" i="18"/>
  <c r="H90" i="18"/>
  <c r="F90" i="18"/>
  <c r="D90" i="18"/>
  <c r="C90" i="18"/>
  <c r="O89" i="18"/>
  <c r="N89" i="18"/>
  <c r="M89" i="18"/>
  <c r="L89" i="18"/>
  <c r="K89" i="18"/>
  <c r="J89" i="18"/>
  <c r="H89" i="18"/>
  <c r="F89" i="18"/>
  <c r="D89" i="18"/>
  <c r="C89" i="18"/>
  <c r="O88" i="18"/>
  <c r="N88" i="18"/>
  <c r="M88" i="18"/>
  <c r="L88" i="18"/>
  <c r="K88" i="18"/>
  <c r="J88" i="18"/>
  <c r="H88" i="18"/>
  <c r="F88" i="18"/>
  <c r="D88" i="18"/>
  <c r="C88" i="18"/>
  <c r="O87" i="18"/>
  <c r="N87" i="18"/>
  <c r="M87" i="18"/>
  <c r="L87" i="18"/>
  <c r="K87" i="18"/>
  <c r="J87" i="18"/>
  <c r="H87" i="18"/>
  <c r="F87" i="18"/>
  <c r="D87" i="18"/>
  <c r="C87" i="18"/>
  <c r="O86" i="18"/>
  <c r="N86" i="18"/>
  <c r="M86" i="18"/>
  <c r="L86" i="18"/>
  <c r="K86" i="18"/>
  <c r="J86" i="18"/>
  <c r="H86" i="18"/>
  <c r="F86" i="18"/>
  <c r="D86" i="18"/>
  <c r="C86" i="18"/>
  <c r="O85" i="18"/>
  <c r="N85" i="18"/>
  <c r="M85" i="18"/>
  <c r="L85" i="18"/>
  <c r="K85" i="18"/>
  <c r="J85" i="18"/>
  <c r="H85" i="18"/>
  <c r="F85" i="18"/>
  <c r="D85" i="18"/>
  <c r="C85" i="18"/>
  <c r="O84" i="18"/>
  <c r="N84" i="18"/>
  <c r="M84" i="18"/>
  <c r="L84" i="18"/>
  <c r="K84" i="18"/>
  <c r="J84" i="18"/>
  <c r="H84" i="18"/>
  <c r="F84" i="18"/>
  <c r="D84" i="18"/>
  <c r="C84" i="18"/>
  <c r="O83" i="18"/>
  <c r="N83" i="18"/>
  <c r="M83" i="18"/>
  <c r="L83" i="18"/>
  <c r="K83" i="18"/>
  <c r="J83" i="18"/>
  <c r="H83" i="18"/>
  <c r="F83" i="18"/>
  <c r="D83" i="18"/>
  <c r="C83" i="18"/>
  <c r="O82" i="18"/>
  <c r="N82" i="18"/>
  <c r="M82" i="18"/>
  <c r="L82" i="18"/>
  <c r="K82" i="18"/>
  <c r="J82" i="18"/>
  <c r="H82" i="18"/>
  <c r="F82" i="18"/>
  <c r="D82" i="18"/>
  <c r="C82" i="18"/>
  <c r="O81" i="18"/>
  <c r="N81" i="18"/>
  <c r="M81" i="18"/>
  <c r="L81" i="18"/>
  <c r="K81" i="18"/>
  <c r="J81" i="18"/>
  <c r="H81" i="18"/>
  <c r="F81" i="18"/>
  <c r="D81" i="18"/>
  <c r="C81" i="18"/>
  <c r="O80" i="18"/>
  <c r="N80" i="18"/>
  <c r="M80" i="18"/>
  <c r="L80" i="18"/>
  <c r="K80" i="18"/>
  <c r="J80" i="18"/>
  <c r="H80" i="18"/>
  <c r="F80" i="18"/>
  <c r="D80" i="18"/>
  <c r="C80" i="18"/>
  <c r="O79" i="18"/>
  <c r="N79" i="18"/>
  <c r="M79" i="18"/>
  <c r="L79" i="18"/>
  <c r="K79" i="18"/>
  <c r="J79" i="18"/>
  <c r="H79" i="18"/>
  <c r="F79" i="18"/>
  <c r="D79" i="18"/>
  <c r="C79" i="18"/>
  <c r="O78" i="18"/>
  <c r="N78" i="18"/>
  <c r="M78" i="18"/>
  <c r="L78" i="18"/>
  <c r="K78" i="18"/>
  <c r="J78" i="18"/>
  <c r="H78" i="18"/>
  <c r="F78" i="18"/>
  <c r="D78" i="18"/>
  <c r="C78" i="18"/>
  <c r="O77" i="18"/>
  <c r="N77" i="18"/>
  <c r="M77" i="18"/>
  <c r="L77" i="18"/>
  <c r="K77" i="18"/>
  <c r="J77" i="18"/>
  <c r="H77" i="18"/>
  <c r="F77" i="18"/>
  <c r="D77" i="18"/>
  <c r="C77" i="18"/>
  <c r="O76" i="18"/>
  <c r="N76" i="18"/>
  <c r="M76" i="18"/>
  <c r="L76" i="18"/>
  <c r="K76" i="18"/>
  <c r="J76" i="18"/>
  <c r="H76" i="18"/>
  <c r="F76" i="18"/>
  <c r="D76" i="18"/>
  <c r="C76" i="18"/>
  <c r="O75" i="18"/>
  <c r="N75" i="18"/>
  <c r="M75" i="18"/>
  <c r="L75" i="18"/>
  <c r="K75" i="18"/>
  <c r="J75" i="18"/>
  <c r="H75" i="18"/>
  <c r="F75" i="18"/>
  <c r="D75" i="18"/>
  <c r="C75" i="18"/>
  <c r="O74" i="18"/>
  <c r="N74" i="18"/>
  <c r="M74" i="18"/>
  <c r="L74" i="18"/>
  <c r="K74" i="18"/>
  <c r="J74" i="18"/>
  <c r="H74" i="18"/>
  <c r="F74" i="18"/>
  <c r="D74" i="18"/>
  <c r="C74" i="18"/>
  <c r="O73" i="18"/>
  <c r="N73" i="18"/>
  <c r="M73" i="18"/>
  <c r="L73" i="18"/>
  <c r="K73" i="18"/>
  <c r="J73" i="18"/>
  <c r="H73" i="18"/>
  <c r="F73" i="18"/>
  <c r="D73" i="18"/>
  <c r="C73" i="18"/>
  <c r="O72" i="18"/>
  <c r="N72" i="18"/>
  <c r="M72" i="18"/>
  <c r="L72" i="18"/>
  <c r="K72" i="18"/>
  <c r="J72" i="18"/>
  <c r="H72" i="18"/>
  <c r="F72" i="18"/>
  <c r="D72" i="18"/>
  <c r="C72" i="18"/>
  <c r="O71" i="18"/>
  <c r="N71" i="18"/>
  <c r="M71" i="18"/>
  <c r="L71" i="18"/>
  <c r="K71" i="18"/>
  <c r="J71" i="18"/>
  <c r="H71" i="18"/>
  <c r="F71" i="18"/>
  <c r="D71" i="18"/>
  <c r="C71" i="18"/>
  <c r="O70" i="18"/>
  <c r="N70" i="18"/>
  <c r="M70" i="18"/>
  <c r="L70" i="18"/>
  <c r="K70" i="18"/>
  <c r="J70" i="18"/>
  <c r="H70" i="18"/>
  <c r="F70" i="18"/>
  <c r="D70" i="18"/>
  <c r="C70" i="18"/>
  <c r="O69" i="18"/>
  <c r="N69" i="18"/>
  <c r="M69" i="18"/>
  <c r="L69" i="18"/>
  <c r="K69" i="18"/>
  <c r="J69" i="18"/>
  <c r="H69" i="18"/>
  <c r="F69" i="18"/>
  <c r="D69" i="18"/>
  <c r="C69" i="18"/>
  <c r="O68" i="18"/>
  <c r="N68" i="18"/>
  <c r="M68" i="18"/>
  <c r="L68" i="18"/>
  <c r="K68" i="18"/>
  <c r="J68" i="18"/>
  <c r="H68" i="18"/>
  <c r="F68" i="18"/>
  <c r="D68" i="18"/>
  <c r="C68" i="18"/>
  <c r="O67" i="18"/>
  <c r="N67" i="18"/>
  <c r="M67" i="18"/>
  <c r="L67" i="18"/>
  <c r="K67" i="18"/>
  <c r="J67" i="18"/>
  <c r="H67" i="18"/>
  <c r="F67" i="18"/>
  <c r="D67" i="18"/>
  <c r="C67" i="18"/>
  <c r="O66" i="18"/>
  <c r="N66" i="18"/>
  <c r="M66" i="18"/>
  <c r="L66" i="18"/>
  <c r="K66" i="18"/>
  <c r="J66" i="18"/>
  <c r="H66" i="18"/>
  <c r="F66" i="18"/>
  <c r="D66" i="18"/>
  <c r="C66" i="18"/>
  <c r="O65" i="18"/>
  <c r="N65" i="18"/>
  <c r="M65" i="18"/>
  <c r="L65" i="18"/>
  <c r="K65" i="18"/>
  <c r="J65" i="18"/>
  <c r="H65" i="18"/>
  <c r="F65" i="18"/>
  <c r="D65" i="18"/>
  <c r="C65" i="18"/>
  <c r="O64" i="18"/>
  <c r="N64" i="18"/>
  <c r="M64" i="18"/>
  <c r="L64" i="18"/>
  <c r="K64" i="18"/>
  <c r="J64" i="18"/>
  <c r="H64" i="18"/>
  <c r="F64" i="18"/>
  <c r="D64" i="18"/>
  <c r="C64" i="18"/>
  <c r="O63" i="18"/>
  <c r="N63" i="18"/>
  <c r="M63" i="18"/>
  <c r="L63" i="18"/>
  <c r="K63" i="18"/>
  <c r="J63" i="18"/>
  <c r="H63" i="18"/>
  <c r="F63" i="18"/>
  <c r="D63" i="18"/>
  <c r="C63" i="18"/>
  <c r="O62" i="18"/>
  <c r="N62" i="18"/>
  <c r="M62" i="18"/>
  <c r="L62" i="18"/>
  <c r="K62" i="18"/>
  <c r="J62" i="18"/>
  <c r="H62" i="18"/>
  <c r="F62" i="18"/>
  <c r="D62" i="18"/>
  <c r="C62" i="18"/>
  <c r="O61" i="18"/>
  <c r="N61" i="18"/>
  <c r="M61" i="18"/>
  <c r="L61" i="18"/>
  <c r="K61" i="18"/>
  <c r="J61" i="18"/>
  <c r="H61" i="18"/>
  <c r="F61" i="18"/>
  <c r="D61" i="18"/>
  <c r="C61" i="18"/>
  <c r="O60" i="18"/>
  <c r="N60" i="18"/>
  <c r="M60" i="18"/>
  <c r="L60" i="18"/>
  <c r="K60" i="18"/>
  <c r="J60" i="18"/>
  <c r="H60" i="18"/>
  <c r="F60" i="18"/>
  <c r="D60" i="18"/>
  <c r="C60" i="18"/>
  <c r="O59" i="18"/>
  <c r="N59" i="18"/>
  <c r="M59" i="18"/>
  <c r="L59" i="18"/>
  <c r="K59" i="18"/>
  <c r="J59" i="18"/>
  <c r="H59" i="18"/>
  <c r="F59" i="18"/>
  <c r="D59" i="18"/>
  <c r="C59" i="18"/>
  <c r="O58" i="18"/>
  <c r="N58" i="18"/>
  <c r="M58" i="18"/>
  <c r="L58" i="18"/>
  <c r="K58" i="18"/>
  <c r="J58" i="18"/>
  <c r="H58" i="18"/>
  <c r="F58" i="18"/>
  <c r="D58" i="18"/>
  <c r="C58" i="18"/>
  <c r="O57" i="18"/>
  <c r="N57" i="18"/>
  <c r="M57" i="18"/>
  <c r="L57" i="18"/>
  <c r="K57" i="18"/>
  <c r="J57" i="18"/>
  <c r="H57" i="18"/>
  <c r="F57" i="18"/>
  <c r="D57" i="18"/>
  <c r="C57" i="18"/>
  <c r="O56" i="18"/>
  <c r="N56" i="18"/>
  <c r="M56" i="18"/>
  <c r="L56" i="18"/>
  <c r="K56" i="18"/>
  <c r="J56" i="18"/>
  <c r="H56" i="18"/>
  <c r="F56" i="18"/>
  <c r="D56" i="18"/>
  <c r="C56" i="18"/>
  <c r="O55" i="18"/>
  <c r="N55" i="18"/>
  <c r="M55" i="18"/>
  <c r="L55" i="18"/>
  <c r="K55" i="18"/>
  <c r="J55" i="18"/>
  <c r="H55" i="18"/>
  <c r="F55" i="18"/>
  <c r="D55" i="18"/>
  <c r="C55" i="18"/>
  <c r="O54" i="18"/>
  <c r="N54" i="18"/>
  <c r="M54" i="18"/>
  <c r="L54" i="18"/>
  <c r="K54" i="18"/>
  <c r="J54" i="18"/>
  <c r="H54" i="18"/>
  <c r="F54" i="18"/>
  <c r="D54" i="18"/>
  <c r="C54" i="18"/>
  <c r="O53" i="18"/>
  <c r="N53" i="18"/>
  <c r="M53" i="18"/>
  <c r="L53" i="18"/>
  <c r="K53" i="18"/>
  <c r="J53" i="18"/>
  <c r="H53" i="18"/>
  <c r="F53" i="18"/>
  <c r="D53" i="18"/>
  <c r="C53" i="18"/>
  <c r="O52" i="18"/>
  <c r="N52" i="18"/>
  <c r="M52" i="18"/>
  <c r="L52" i="18"/>
  <c r="K52" i="18"/>
  <c r="J52" i="18"/>
  <c r="H52" i="18"/>
  <c r="F52" i="18"/>
  <c r="D52" i="18"/>
  <c r="C52" i="18"/>
  <c r="O51" i="18"/>
  <c r="N51" i="18"/>
  <c r="M51" i="18"/>
  <c r="L51" i="18"/>
  <c r="K51" i="18"/>
  <c r="J51" i="18"/>
  <c r="H51" i="18"/>
  <c r="F51" i="18"/>
  <c r="D51" i="18"/>
  <c r="C51" i="18"/>
  <c r="O50" i="18"/>
  <c r="N50" i="18"/>
  <c r="M50" i="18"/>
  <c r="L50" i="18"/>
  <c r="K50" i="18"/>
  <c r="J50" i="18"/>
  <c r="H50" i="18"/>
  <c r="F50" i="18"/>
  <c r="D50" i="18"/>
  <c r="C50" i="18"/>
  <c r="O49" i="18"/>
  <c r="N49" i="18"/>
  <c r="M49" i="18"/>
  <c r="L49" i="18"/>
  <c r="K49" i="18"/>
  <c r="J49" i="18"/>
  <c r="H49" i="18"/>
  <c r="F49" i="18"/>
  <c r="D49" i="18"/>
  <c r="C49" i="18"/>
  <c r="O48" i="18"/>
  <c r="N48" i="18"/>
  <c r="M48" i="18"/>
  <c r="L48" i="18"/>
  <c r="K48" i="18"/>
  <c r="J48" i="18"/>
  <c r="H48" i="18"/>
  <c r="F48" i="18"/>
  <c r="D48" i="18"/>
  <c r="C48" i="18"/>
  <c r="O47" i="18"/>
  <c r="N47" i="18"/>
  <c r="M47" i="18"/>
  <c r="L47" i="18"/>
  <c r="K47" i="18"/>
  <c r="J47" i="18"/>
  <c r="H47" i="18"/>
  <c r="F47" i="18"/>
  <c r="D47" i="18"/>
  <c r="C47" i="18"/>
  <c r="O46" i="18"/>
  <c r="N46" i="18"/>
  <c r="M46" i="18"/>
  <c r="L46" i="18"/>
  <c r="K46" i="18"/>
  <c r="J46" i="18"/>
  <c r="H46" i="18"/>
  <c r="F46" i="18"/>
  <c r="D46" i="18"/>
  <c r="C46" i="18"/>
  <c r="O45" i="18"/>
  <c r="N45" i="18"/>
  <c r="M45" i="18"/>
  <c r="L45" i="18"/>
  <c r="K45" i="18"/>
  <c r="J45" i="18"/>
  <c r="H45" i="18"/>
  <c r="F45" i="18"/>
  <c r="D45" i="18"/>
  <c r="C45" i="18"/>
  <c r="O44" i="18"/>
  <c r="N44" i="18"/>
  <c r="M44" i="18"/>
  <c r="L44" i="18"/>
  <c r="K44" i="18"/>
  <c r="J44" i="18"/>
  <c r="H44" i="18"/>
  <c r="F44" i="18"/>
  <c r="D44" i="18"/>
  <c r="C44" i="18"/>
  <c r="Q43" i="18"/>
  <c r="O43" i="18"/>
  <c r="N43" i="18"/>
  <c r="M43" i="18"/>
  <c r="L43" i="18"/>
  <c r="K43" i="18"/>
  <c r="J43" i="18"/>
  <c r="H43" i="18"/>
  <c r="F43" i="18"/>
  <c r="D43" i="18"/>
  <c r="C43" i="18"/>
  <c r="Q42" i="18"/>
  <c r="O42" i="18"/>
  <c r="N42" i="18"/>
  <c r="M42" i="18"/>
  <c r="L42" i="18"/>
  <c r="K42" i="18"/>
  <c r="J42" i="18"/>
  <c r="H42" i="18"/>
  <c r="F42" i="18"/>
  <c r="D42" i="18"/>
  <c r="C42" i="18"/>
  <c r="Q41" i="18"/>
  <c r="O41" i="18"/>
  <c r="N41" i="18"/>
  <c r="M41" i="18"/>
  <c r="L41" i="18"/>
  <c r="K41" i="18"/>
  <c r="J41" i="18"/>
  <c r="H41" i="18"/>
  <c r="F41" i="18"/>
  <c r="D41" i="18"/>
  <c r="C41" i="18"/>
  <c r="Q40" i="18"/>
  <c r="O40" i="18"/>
  <c r="N40" i="18"/>
  <c r="M40" i="18"/>
  <c r="L40" i="18"/>
  <c r="K40" i="18"/>
  <c r="J40" i="18"/>
  <c r="H40" i="18"/>
  <c r="F40" i="18"/>
  <c r="D40" i="18"/>
  <c r="C40" i="18"/>
  <c r="Q39" i="18"/>
  <c r="O39" i="18"/>
  <c r="N39" i="18"/>
  <c r="M39" i="18"/>
  <c r="L39" i="18"/>
  <c r="K39" i="18"/>
  <c r="J39" i="18"/>
  <c r="H39" i="18"/>
  <c r="F39" i="18"/>
  <c r="D39" i="18"/>
  <c r="C39" i="18"/>
  <c r="Q38" i="18"/>
  <c r="O38" i="18"/>
  <c r="N38" i="18"/>
  <c r="M38" i="18"/>
  <c r="L38" i="18"/>
  <c r="K38" i="18"/>
  <c r="J38" i="18"/>
  <c r="H38" i="18"/>
  <c r="F38" i="18"/>
  <c r="D38" i="18"/>
  <c r="C38" i="18"/>
  <c r="Q37" i="18"/>
  <c r="O37" i="18"/>
  <c r="N37" i="18"/>
  <c r="M37" i="18"/>
  <c r="L37" i="18"/>
  <c r="K37" i="18"/>
  <c r="J37" i="18"/>
  <c r="H37" i="18"/>
  <c r="F37" i="18"/>
  <c r="D37" i="18"/>
  <c r="C37" i="18"/>
  <c r="P36" i="18"/>
  <c r="Q36" i="18" s="1"/>
  <c r="O36" i="18"/>
  <c r="N36" i="18"/>
  <c r="M36" i="18"/>
  <c r="L36" i="18"/>
  <c r="K36" i="18"/>
  <c r="J36" i="18"/>
  <c r="H36" i="18"/>
  <c r="F36" i="18"/>
  <c r="D36" i="18"/>
  <c r="C36" i="18"/>
  <c r="P35" i="18"/>
  <c r="Q35" i="18" s="1"/>
  <c r="O35" i="18"/>
  <c r="N35" i="18"/>
  <c r="M35" i="18"/>
  <c r="L35" i="18"/>
  <c r="K35" i="18"/>
  <c r="J35" i="18"/>
  <c r="H35" i="18"/>
  <c r="F35" i="18"/>
  <c r="D35" i="18"/>
  <c r="C35" i="18"/>
  <c r="P34" i="18"/>
  <c r="Q34" i="18" s="1"/>
  <c r="O34" i="18"/>
  <c r="N34" i="18"/>
  <c r="M34" i="18"/>
  <c r="L34" i="18"/>
  <c r="K34" i="18"/>
  <c r="J34" i="18"/>
  <c r="H34" i="18"/>
  <c r="F34" i="18"/>
  <c r="D34" i="18"/>
  <c r="C34" i="18"/>
  <c r="P33" i="18"/>
  <c r="Q33" i="18" s="1"/>
  <c r="O33" i="18"/>
  <c r="N33" i="18"/>
  <c r="M33" i="18"/>
  <c r="L33" i="18"/>
  <c r="K33" i="18"/>
  <c r="J33" i="18"/>
  <c r="H33" i="18"/>
  <c r="F33" i="18"/>
  <c r="D33" i="18"/>
  <c r="C33" i="18"/>
  <c r="P32" i="18"/>
  <c r="Q32" i="18" s="1"/>
  <c r="O32" i="18"/>
  <c r="N32" i="18"/>
  <c r="M32" i="18"/>
  <c r="L32" i="18"/>
  <c r="K32" i="18"/>
  <c r="J32" i="18"/>
  <c r="H32" i="18"/>
  <c r="F32" i="18"/>
  <c r="D32" i="18"/>
  <c r="C32" i="18"/>
  <c r="P31" i="18"/>
  <c r="Q31" i="18" s="1"/>
  <c r="O31" i="18"/>
  <c r="N31" i="18"/>
  <c r="M31" i="18"/>
  <c r="L31" i="18"/>
  <c r="K31" i="18"/>
  <c r="J31" i="18"/>
  <c r="H31" i="18"/>
  <c r="F31" i="18"/>
  <c r="D31" i="18"/>
  <c r="C31" i="18"/>
  <c r="P30" i="18"/>
  <c r="Q30" i="18" s="1"/>
  <c r="O30" i="18"/>
  <c r="N30" i="18"/>
  <c r="M30" i="18"/>
  <c r="L30" i="18"/>
  <c r="K30" i="18"/>
  <c r="J30" i="18"/>
  <c r="H30" i="18"/>
  <c r="F30" i="18"/>
  <c r="D30" i="18"/>
  <c r="C30" i="18"/>
  <c r="P29" i="18"/>
  <c r="Q29" i="18" s="1"/>
  <c r="O29" i="18"/>
  <c r="N29" i="18"/>
  <c r="M29" i="18"/>
  <c r="L29" i="18"/>
  <c r="K29" i="18"/>
  <c r="J29" i="18"/>
  <c r="H29" i="18"/>
  <c r="F29" i="18"/>
  <c r="D29" i="18"/>
  <c r="C29" i="18"/>
  <c r="P28" i="18"/>
  <c r="Q28" i="18" s="1"/>
  <c r="O28" i="18"/>
  <c r="N28" i="18"/>
  <c r="M28" i="18"/>
  <c r="L28" i="18"/>
  <c r="K28" i="18"/>
  <c r="J28" i="18"/>
  <c r="H28" i="18"/>
  <c r="F28" i="18"/>
  <c r="D28" i="18"/>
  <c r="C28" i="18"/>
  <c r="P27" i="18"/>
  <c r="Q27" i="18" s="1"/>
  <c r="O27" i="18"/>
  <c r="N27" i="18"/>
  <c r="M27" i="18"/>
  <c r="L27" i="18"/>
  <c r="K27" i="18"/>
  <c r="J27" i="18"/>
  <c r="H27" i="18"/>
  <c r="F27" i="18"/>
  <c r="D27" i="18"/>
  <c r="C27" i="18"/>
  <c r="P26" i="18"/>
  <c r="Q26" i="18" s="1"/>
  <c r="O26" i="18"/>
  <c r="N26" i="18"/>
  <c r="M26" i="18"/>
  <c r="L26" i="18"/>
  <c r="K26" i="18"/>
  <c r="J26" i="18"/>
  <c r="H26" i="18"/>
  <c r="F26" i="18"/>
  <c r="D26" i="18"/>
  <c r="C26" i="18"/>
  <c r="P25" i="18"/>
  <c r="Q25" i="18" s="1"/>
  <c r="O25" i="18"/>
  <c r="N25" i="18"/>
  <c r="M25" i="18"/>
  <c r="L25" i="18"/>
  <c r="K25" i="18"/>
  <c r="J25" i="18"/>
  <c r="H25" i="18"/>
  <c r="F25" i="18"/>
  <c r="D25" i="18"/>
  <c r="C25" i="18"/>
  <c r="P24" i="18"/>
  <c r="Q24" i="18" s="1"/>
  <c r="O24" i="18"/>
  <c r="N24" i="18"/>
  <c r="M24" i="18"/>
  <c r="L24" i="18"/>
  <c r="K24" i="18"/>
  <c r="J24" i="18"/>
  <c r="H24" i="18"/>
  <c r="F24" i="18"/>
  <c r="D24" i="18"/>
  <c r="C24" i="18"/>
  <c r="P23" i="18"/>
  <c r="Q23" i="18" s="1"/>
  <c r="O23" i="18"/>
  <c r="N23" i="18"/>
  <c r="M23" i="18"/>
  <c r="L23" i="18"/>
  <c r="K23" i="18"/>
  <c r="J23" i="18"/>
  <c r="H23" i="18"/>
  <c r="F23" i="18"/>
  <c r="D23" i="18"/>
  <c r="C23" i="18"/>
  <c r="P22" i="18"/>
  <c r="Q22" i="18" s="1"/>
  <c r="O22" i="18"/>
  <c r="N22" i="18"/>
  <c r="M22" i="18"/>
  <c r="L22" i="18"/>
  <c r="K22" i="18"/>
  <c r="J22" i="18"/>
  <c r="H22" i="18"/>
  <c r="F22" i="18"/>
  <c r="D22" i="18"/>
  <c r="C22" i="18"/>
  <c r="P21" i="18"/>
  <c r="Q21" i="18" s="1"/>
  <c r="O21" i="18"/>
  <c r="N21" i="18"/>
  <c r="M21" i="18"/>
  <c r="L21" i="18"/>
  <c r="K21" i="18"/>
  <c r="J21" i="18"/>
  <c r="H21" i="18"/>
  <c r="F21" i="18"/>
  <c r="D21" i="18"/>
  <c r="C21" i="18"/>
  <c r="P20" i="18"/>
  <c r="Q20" i="18" s="1"/>
  <c r="O20" i="18"/>
  <c r="N20" i="18"/>
  <c r="M20" i="18"/>
  <c r="L20" i="18"/>
  <c r="K20" i="18"/>
  <c r="J20" i="18"/>
  <c r="H20" i="18"/>
  <c r="F20" i="18"/>
  <c r="D20" i="18"/>
  <c r="C20" i="18"/>
  <c r="P19" i="18"/>
  <c r="Q19" i="18" s="1"/>
  <c r="O19" i="18"/>
  <c r="N19" i="18"/>
  <c r="M19" i="18"/>
  <c r="L19" i="18"/>
  <c r="K19" i="18"/>
  <c r="J19" i="18"/>
  <c r="H19" i="18"/>
  <c r="F19" i="18"/>
  <c r="D19" i="18"/>
  <c r="C19" i="18"/>
  <c r="P18" i="18"/>
  <c r="Q18" i="18" s="1"/>
  <c r="O18" i="18"/>
  <c r="N18" i="18"/>
  <c r="M18" i="18"/>
  <c r="L18" i="18"/>
  <c r="K18" i="18"/>
  <c r="J18" i="18"/>
  <c r="H18" i="18"/>
  <c r="F18" i="18"/>
  <c r="D18" i="18"/>
  <c r="C18" i="18"/>
  <c r="P17" i="18"/>
  <c r="Q17" i="18" s="1"/>
  <c r="O17" i="18"/>
  <c r="N17" i="18"/>
  <c r="M17" i="18"/>
  <c r="L17" i="18"/>
  <c r="K17" i="18"/>
  <c r="J17" i="18"/>
  <c r="H17" i="18"/>
  <c r="F17" i="18"/>
  <c r="D17" i="18"/>
  <c r="C17" i="18"/>
  <c r="P16" i="18"/>
  <c r="Q16" i="18" s="1"/>
  <c r="O16" i="18"/>
  <c r="N16" i="18"/>
  <c r="M16" i="18"/>
  <c r="L16" i="18"/>
  <c r="K16" i="18"/>
  <c r="J16" i="18"/>
  <c r="H16" i="18"/>
  <c r="F16" i="18"/>
  <c r="D16" i="18"/>
  <c r="C16" i="18"/>
  <c r="P15" i="18"/>
  <c r="Q15" i="18" s="1"/>
  <c r="O15" i="18"/>
  <c r="N15" i="18"/>
  <c r="M15" i="18"/>
  <c r="L15" i="18"/>
  <c r="K15" i="18"/>
  <c r="J15" i="18"/>
  <c r="H15" i="18"/>
  <c r="F15" i="18"/>
  <c r="D15" i="18"/>
  <c r="C15" i="18"/>
  <c r="P14" i="18"/>
  <c r="Q14" i="18" s="1"/>
  <c r="O14" i="18"/>
  <c r="N14" i="18"/>
  <c r="M14" i="18"/>
  <c r="L14" i="18"/>
  <c r="K14" i="18"/>
  <c r="J14" i="18"/>
  <c r="H14" i="18"/>
  <c r="F14" i="18"/>
  <c r="D14" i="18"/>
  <c r="C14" i="18"/>
  <c r="P13" i="18"/>
  <c r="Q13" i="18" s="1"/>
  <c r="O13" i="18"/>
  <c r="N13" i="18"/>
  <c r="M13" i="18"/>
  <c r="L13" i="18"/>
  <c r="K13" i="18"/>
  <c r="J13" i="18"/>
  <c r="H13" i="18"/>
  <c r="F13" i="18"/>
  <c r="D13" i="18"/>
  <c r="C13" i="18"/>
  <c r="P12" i="18"/>
  <c r="Q12" i="18" s="1"/>
  <c r="O12" i="18"/>
  <c r="N12" i="18"/>
  <c r="M12" i="18"/>
  <c r="L12" i="18"/>
  <c r="K12" i="18"/>
  <c r="J12" i="18"/>
  <c r="H12" i="18"/>
  <c r="F12" i="18"/>
  <c r="D12" i="18"/>
  <c r="C12" i="18"/>
  <c r="P11" i="18"/>
  <c r="Q11" i="18" s="1"/>
  <c r="O11" i="18"/>
  <c r="N11" i="18"/>
  <c r="M11" i="18"/>
  <c r="L11" i="18"/>
  <c r="K11" i="18"/>
  <c r="J11" i="18"/>
  <c r="H11" i="18"/>
  <c r="F11" i="18"/>
  <c r="D11" i="18"/>
  <c r="C11" i="18"/>
  <c r="P10" i="18"/>
  <c r="Q10" i="18" s="1"/>
  <c r="O10" i="18"/>
  <c r="N10" i="18"/>
  <c r="M10" i="18"/>
  <c r="L10" i="18"/>
  <c r="K10" i="18"/>
  <c r="J10" i="18"/>
  <c r="H10" i="18"/>
  <c r="F10" i="18"/>
  <c r="D10" i="18"/>
  <c r="C10" i="18"/>
  <c r="P9" i="18"/>
  <c r="Q9" i="18" s="1"/>
  <c r="O9" i="18"/>
  <c r="N9" i="18"/>
  <c r="M9" i="18"/>
  <c r="L9" i="18"/>
  <c r="K9" i="18"/>
  <c r="J9" i="18"/>
  <c r="H9" i="18"/>
  <c r="F9" i="18"/>
  <c r="D9" i="18"/>
  <c r="C9" i="18"/>
  <c r="P8" i="18"/>
  <c r="Q8" i="18" s="1"/>
  <c r="O8" i="18"/>
  <c r="N8" i="18"/>
  <c r="M8" i="18"/>
  <c r="L8" i="18"/>
  <c r="K8" i="18"/>
  <c r="J8" i="18"/>
  <c r="H8" i="18"/>
  <c r="F8" i="18"/>
  <c r="D8" i="18"/>
  <c r="C8" i="18"/>
  <c r="P7" i="18"/>
  <c r="Q7" i="18" s="1"/>
  <c r="O7" i="18"/>
  <c r="N7" i="18"/>
  <c r="M7" i="18"/>
  <c r="L7" i="18"/>
  <c r="K7" i="18"/>
  <c r="J7" i="18"/>
  <c r="H7" i="18"/>
  <c r="F7" i="18"/>
  <c r="D7" i="18"/>
  <c r="C7" i="18"/>
  <c r="P6" i="18"/>
  <c r="Q6" i="18" s="1"/>
  <c r="O6" i="18"/>
  <c r="N6" i="18"/>
  <c r="M6" i="18"/>
  <c r="L6" i="18"/>
  <c r="K6" i="18"/>
  <c r="J6" i="18"/>
  <c r="H6" i="18"/>
  <c r="F6" i="18"/>
  <c r="D6" i="18"/>
  <c r="C6" i="18"/>
  <c r="P5" i="18"/>
  <c r="Q5" i="18" s="1"/>
  <c r="O5" i="18"/>
  <c r="N5" i="18"/>
  <c r="M5" i="18"/>
  <c r="L5" i="18"/>
  <c r="K5" i="18"/>
  <c r="J5" i="18"/>
  <c r="H5" i="18"/>
  <c r="F5" i="18"/>
  <c r="D5" i="18"/>
  <c r="C5" i="18"/>
  <c r="Q4" i="18"/>
  <c r="O4" i="18"/>
  <c r="N4" i="18"/>
  <c r="M4" i="18"/>
  <c r="L4" i="18"/>
  <c r="K4" i="18"/>
  <c r="J4" i="18"/>
  <c r="H4" i="18"/>
  <c r="F4" i="18"/>
  <c r="D4" i="18"/>
  <c r="C4" i="18"/>
  <c r="P3" i="18"/>
  <c r="Q3" i="18" s="1"/>
  <c r="O3" i="18"/>
  <c r="N3" i="18"/>
  <c r="M3" i="18"/>
  <c r="L3" i="18"/>
  <c r="K3" i="18"/>
  <c r="J3" i="18"/>
  <c r="H3" i="18"/>
  <c r="F3" i="18"/>
  <c r="D3" i="18"/>
  <c r="C3" i="18"/>
  <c r="R2" i="18"/>
  <c r="P2" i="18"/>
  <c r="Q2" i="18" s="1"/>
  <c r="O2" i="18"/>
  <c r="N2" i="18"/>
  <c r="M2" i="18"/>
  <c r="L2" i="18"/>
  <c r="K2" i="18"/>
  <c r="J2" i="18"/>
  <c r="H2" i="18"/>
  <c r="F2" i="18"/>
  <c r="D2" i="18"/>
  <c r="C2" i="18"/>
  <c r="F15" i="16"/>
  <c r="E15" i="16"/>
  <c r="D15" i="16"/>
  <c r="C15" i="16"/>
  <c r="B15" i="16"/>
  <c r="A15" i="16"/>
  <c r="F14" i="16"/>
  <c r="E14" i="16"/>
  <c r="D14" i="16"/>
  <c r="C14" i="16"/>
  <c r="B14" i="16"/>
  <c r="A14" i="16"/>
  <c r="F13" i="16"/>
  <c r="E13" i="16"/>
  <c r="D13" i="16"/>
  <c r="C13" i="16"/>
  <c r="B13" i="16"/>
  <c r="A13" i="16"/>
  <c r="F12" i="16"/>
  <c r="E12" i="16"/>
  <c r="D12" i="16"/>
  <c r="C12" i="16"/>
  <c r="B12" i="16"/>
  <c r="A12" i="16"/>
  <c r="F11" i="16"/>
  <c r="E11" i="16"/>
  <c r="D11" i="16"/>
  <c r="C11" i="16"/>
  <c r="B11" i="16"/>
  <c r="A11" i="16"/>
  <c r="F10" i="16"/>
  <c r="E10" i="16"/>
  <c r="D10" i="16"/>
  <c r="C10" i="16"/>
  <c r="B10" i="16"/>
  <c r="A10" i="16"/>
  <c r="F9" i="16"/>
  <c r="E9" i="16"/>
  <c r="D9" i="16"/>
  <c r="C9" i="16"/>
  <c r="B9" i="16"/>
  <c r="A9" i="16"/>
  <c r="F8" i="16"/>
  <c r="E8" i="16"/>
  <c r="D8" i="16"/>
  <c r="C8" i="16"/>
  <c r="B8" i="16"/>
  <c r="A8" i="16"/>
  <c r="F7" i="16"/>
  <c r="E7" i="16"/>
  <c r="D7" i="16"/>
  <c r="C7" i="16"/>
  <c r="B7" i="16"/>
  <c r="A7" i="16"/>
  <c r="F6" i="16"/>
  <c r="E6" i="16"/>
  <c r="D6" i="16"/>
  <c r="C6" i="16"/>
  <c r="B6" i="16"/>
  <c r="A6" i="16"/>
  <c r="F5" i="16"/>
  <c r="E5" i="16"/>
  <c r="D5" i="16"/>
  <c r="C5" i="16"/>
  <c r="B5" i="16"/>
  <c r="A5" i="16"/>
  <c r="F4" i="16"/>
  <c r="E4" i="16"/>
  <c r="D4" i="16"/>
  <c r="C4" i="16"/>
  <c r="B4" i="16"/>
  <c r="A4" i="16"/>
  <c r="F3" i="16"/>
  <c r="E3" i="16"/>
  <c r="D3" i="16"/>
  <c r="C3" i="16"/>
  <c r="B3" i="16"/>
  <c r="A3" i="16"/>
  <c r="F2" i="16"/>
  <c r="E2" i="16"/>
  <c r="D2" i="16"/>
  <c r="C2" i="16"/>
  <c r="B2" i="16"/>
  <c r="A2" i="16"/>
  <c r="F1" i="16"/>
  <c r="E1" i="16"/>
  <c r="D1" i="16"/>
  <c r="C1" i="16"/>
  <c r="B1" i="16"/>
  <c r="A1" i="16"/>
  <c r="F334" i="15"/>
  <c r="F333" i="15"/>
  <c r="F332" i="15"/>
  <c r="F331" i="15"/>
  <c r="F330" i="15"/>
  <c r="F329" i="15"/>
  <c r="F328" i="15"/>
  <c r="F327" i="15"/>
  <c r="F326" i="15"/>
  <c r="F325" i="15"/>
  <c r="F324" i="15"/>
  <c r="F323" i="15"/>
  <c r="F322" i="15"/>
  <c r="F321" i="15"/>
  <c r="F320" i="15"/>
  <c r="F319" i="15"/>
  <c r="F318" i="15"/>
  <c r="F317" i="15"/>
  <c r="F316" i="15"/>
  <c r="F315" i="15"/>
  <c r="F314" i="15"/>
  <c r="F313" i="15"/>
  <c r="F312" i="15"/>
  <c r="F311" i="15"/>
  <c r="F310" i="15"/>
  <c r="F309" i="15"/>
  <c r="F308" i="15"/>
  <c r="F307" i="15"/>
  <c r="F306" i="15"/>
  <c r="F305" i="15"/>
  <c r="F304" i="15"/>
  <c r="F303" i="15"/>
  <c r="F302" i="15"/>
  <c r="F301" i="15"/>
  <c r="F300" i="15"/>
  <c r="F299" i="15"/>
  <c r="F298" i="15"/>
  <c r="F297" i="15"/>
  <c r="F296" i="15"/>
  <c r="F295" i="15"/>
  <c r="F294" i="15"/>
  <c r="F293" i="15"/>
  <c r="F292" i="15"/>
  <c r="F291" i="15"/>
  <c r="F290" i="15"/>
  <c r="F289" i="15"/>
  <c r="F288" i="15"/>
  <c r="F287" i="15"/>
  <c r="F286" i="15"/>
  <c r="F285" i="15"/>
  <c r="F284" i="15"/>
  <c r="F283" i="15"/>
  <c r="F282" i="15"/>
  <c r="F281" i="15"/>
  <c r="F280" i="15"/>
  <c r="F279" i="15"/>
  <c r="F278" i="15"/>
  <c r="F277" i="15"/>
  <c r="F276" i="15"/>
  <c r="F275" i="15"/>
  <c r="F274" i="15"/>
  <c r="F273" i="15"/>
  <c r="F272" i="15"/>
  <c r="F271" i="15"/>
  <c r="F270" i="15"/>
  <c r="F269" i="15"/>
  <c r="F268" i="15"/>
  <c r="F267" i="15"/>
  <c r="F266" i="15"/>
  <c r="F265" i="15"/>
  <c r="F264" i="15"/>
  <c r="F263" i="15"/>
  <c r="F262" i="15"/>
  <c r="F261" i="15"/>
  <c r="F260" i="15"/>
  <c r="F259" i="15"/>
  <c r="F258" i="15"/>
  <c r="F257" i="15"/>
  <c r="F256" i="15"/>
  <c r="F255" i="15"/>
  <c r="F254" i="15"/>
  <c r="F253" i="15"/>
  <c r="F252" i="15"/>
  <c r="F251" i="15"/>
  <c r="F250" i="15"/>
  <c r="F249" i="15"/>
  <c r="F248" i="15"/>
  <c r="F247" i="15"/>
  <c r="F246" i="15"/>
  <c r="F245" i="15"/>
  <c r="F244" i="15"/>
  <c r="F243" i="15"/>
  <c r="F242" i="15"/>
  <c r="F241" i="15"/>
  <c r="F240" i="15"/>
  <c r="F239" i="15"/>
  <c r="F238" i="15"/>
  <c r="F237" i="15"/>
  <c r="F236" i="15"/>
  <c r="F235" i="15"/>
  <c r="F234" i="15"/>
  <c r="F233" i="15"/>
  <c r="F232" i="15"/>
  <c r="F231" i="15"/>
  <c r="F230" i="15"/>
  <c r="F229" i="15"/>
  <c r="F228" i="15"/>
  <c r="F227" i="15"/>
  <c r="F226" i="15"/>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F196" i="15"/>
  <c r="F195" i="15"/>
  <c r="F194" i="15"/>
  <c r="F193" i="15"/>
  <c r="F192" i="15"/>
  <c r="F191" i="15"/>
  <c r="F190" i="15"/>
  <c r="F189" i="15"/>
  <c r="F188" i="15"/>
  <c r="F187" i="15"/>
  <c r="F186" i="15"/>
  <c r="F185" i="15"/>
  <c r="F184" i="15"/>
  <c r="F183" i="15"/>
  <c r="F182" i="15"/>
  <c r="F181" i="15"/>
  <c r="F180" i="15"/>
  <c r="F179" i="15"/>
  <c r="F178" i="15"/>
  <c r="F177" i="15"/>
  <c r="F176" i="15"/>
  <c r="F175" i="15"/>
  <c r="F174" i="15"/>
  <c r="F173" i="15"/>
  <c r="F172" i="15"/>
  <c r="F171" i="15"/>
  <c r="F170" i="15"/>
  <c r="F169" i="15"/>
  <c r="F168" i="15"/>
  <c r="F167" i="15"/>
  <c r="F166" i="15"/>
  <c r="F165" i="15"/>
  <c r="F164" i="15"/>
  <c r="F163" i="15"/>
  <c r="F162" i="15"/>
  <c r="F161" i="15"/>
  <c r="F160" i="15"/>
  <c r="F159" i="15"/>
  <c r="F158" i="15"/>
  <c r="F157" i="15"/>
  <c r="F156" i="15"/>
  <c r="F155" i="15"/>
  <c r="F154" i="15"/>
  <c r="F153" i="15"/>
  <c r="F152" i="15"/>
  <c r="F151" i="15"/>
  <c r="F150" i="15"/>
  <c r="F149" i="15"/>
  <c r="F148" i="15"/>
  <c r="F147" i="15"/>
  <c r="F146" i="15"/>
  <c r="F145" i="15"/>
  <c r="F144" i="15"/>
  <c r="F143" i="15"/>
  <c r="F142" i="15"/>
  <c r="F141" i="15"/>
  <c r="F140" i="15"/>
  <c r="F139" i="15"/>
  <c r="F138" i="15"/>
  <c r="F137" i="15"/>
  <c r="F136" i="15"/>
  <c r="F135" i="15"/>
  <c r="F134" i="15"/>
  <c r="F133" i="15"/>
  <c r="F132" i="15"/>
  <c r="F131" i="15"/>
  <c r="F130" i="15"/>
  <c r="F129" i="15"/>
  <c r="F128" i="15"/>
  <c r="F127" i="15"/>
  <c r="F126" i="15"/>
  <c r="F125" i="15"/>
  <c r="F124" i="15"/>
  <c r="F123" i="15"/>
  <c r="F122" i="15"/>
  <c r="F121" i="15"/>
  <c r="F120" i="15"/>
  <c r="F119" i="15"/>
  <c r="F118" i="15"/>
  <c r="F117" i="15"/>
  <c r="F116" i="15"/>
  <c r="F115" i="15"/>
  <c r="F114" i="15"/>
  <c r="F113" i="15"/>
  <c r="F112" i="15"/>
  <c r="F111" i="15"/>
  <c r="F110" i="15"/>
  <c r="F109" i="15"/>
  <c r="F108" i="15"/>
  <c r="F107" i="15"/>
  <c r="F106" i="15"/>
  <c r="F105" i="15"/>
  <c r="F104" i="15"/>
  <c r="F103" i="15"/>
  <c r="F102" i="15"/>
  <c r="F101" i="15"/>
  <c r="F100" i="15"/>
  <c r="F99" i="15"/>
  <c r="F98" i="15"/>
  <c r="F97" i="15"/>
  <c r="F96" i="15"/>
  <c r="F95" i="15"/>
  <c r="F94" i="15"/>
  <c r="F93" i="15"/>
  <c r="F92" i="15"/>
  <c r="F91" i="15"/>
  <c r="F90" i="15"/>
  <c r="F89" i="15"/>
  <c r="F88" i="15"/>
  <c r="F87" i="15"/>
  <c r="F86" i="15"/>
  <c r="F85" i="15"/>
  <c r="F84" i="15"/>
  <c r="F83" i="15"/>
  <c r="F82" i="15"/>
  <c r="F81" i="15"/>
  <c r="F80" i="15"/>
  <c r="F79" i="15"/>
  <c r="F78" i="15"/>
  <c r="F77" i="15"/>
  <c r="F76" i="15"/>
  <c r="F75" i="15"/>
  <c r="F74" i="15"/>
  <c r="F73" i="15"/>
  <c r="F72" i="15"/>
  <c r="F71" i="15"/>
  <c r="F70" i="15"/>
  <c r="F69" i="15"/>
  <c r="F68" i="15"/>
  <c r="F67" i="15"/>
  <c r="F66" i="15"/>
  <c r="F65" i="15"/>
  <c r="F64" i="15"/>
  <c r="F63" i="15"/>
  <c r="F62" i="15"/>
  <c r="F61" i="15"/>
  <c r="F60" i="15"/>
  <c r="F59" i="15"/>
  <c r="F58" i="15"/>
  <c r="F57" i="15"/>
  <c r="F56" i="15"/>
  <c r="F55" i="15"/>
  <c r="F54" i="15"/>
  <c r="F53" i="15"/>
  <c r="F52" i="15"/>
  <c r="F51" i="15"/>
  <c r="F50" i="15"/>
  <c r="F49" i="15"/>
  <c r="F48" i="15"/>
  <c r="J47" i="15"/>
  <c r="I47" i="15"/>
  <c r="H47" i="15"/>
  <c r="G47" i="15"/>
  <c r="J46" i="15"/>
  <c r="I46" i="15"/>
  <c r="H46" i="15"/>
  <c r="G46" i="15"/>
  <c r="J45" i="15"/>
  <c r="I45" i="15"/>
  <c r="H45" i="15"/>
  <c r="G45" i="15"/>
  <c r="J44" i="15"/>
  <c r="I44" i="15"/>
  <c r="H44" i="15"/>
  <c r="G44" i="15"/>
  <c r="J43" i="15"/>
  <c r="I43" i="15"/>
  <c r="H43" i="15"/>
  <c r="G43" i="15"/>
  <c r="J42" i="15"/>
  <c r="I42" i="15"/>
  <c r="H42" i="15"/>
  <c r="G42" i="15"/>
  <c r="J41" i="15"/>
  <c r="I41" i="15"/>
  <c r="H41" i="15"/>
  <c r="G41" i="15"/>
  <c r="J40" i="15"/>
  <c r="I40" i="15"/>
  <c r="H40" i="15"/>
  <c r="G40" i="15"/>
  <c r="J39" i="15"/>
  <c r="I39" i="15"/>
  <c r="H39" i="15"/>
  <c r="G39" i="15"/>
  <c r="J38" i="15"/>
  <c r="I38" i="15"/>
  <c r="H38" i="15"/>
  <c r="G38" i="15"/>
  <c r="J37" i="15"/>
  <c r="I37" i="15"/>
  <c r="H37" i="15"/>
  <c r="G37" i="15"/>
  <c r="J36" i="15"/>
  <c r="I36" i="15"/>
  <c r="H36" i="15"/>
  <c r="G36" i="15"/>
  <c r="J35" i="15"/>
  <c r="I35" i="15"/>
  <c r="H35" i="15"/>
  <c r="G35" i="15"/>
  <c r="J34" i="15"/>
  <c r="I34" i="15"/>
  <c r="H34" i="15"/>
  <c r="G34" i="15"/>
  <c r="J33" i="15"/>
  <c r="I33" i="15"/>
  <c r="H33" i="15"/>
  <c r="G33" i="15"/>
  <c r="J32" i="15"/>
  <c r="I32" i="15"/>
  <c r="H32" i="15"/>
  <c r="G32" i="15"/>
  <c r="J31" i="15"/>
  <c r="I31" i="15"/>
  <c r="H31" i="15"/>
  <c r="G31" i="15"/>
  <c r="J30" i="15"/>
  <c r="I30" i="15"/>
  <c r="H30" i="15"/>
  <c r="G30" i="15"/>
  <c r="J29" i="15"/>
  <c r="I29" i="15"/>
  <c r="H29" i="15"/>
  <c r="G29" i="15"/>
  <c r="J28" i="15"/>
  <c r="I28" i="15"/>
  <c r="H28" i="15"/>
  <c r="G28" i="15"/>
  <c r="J27" i="15"/>
  <c r="I27" i="15"/>
  <c r="H27" i="15"/>
  <c r="G27" i="15"/>
  <c r="E27" i="15"/>
  <c r="D27" i="15"/>
  <c r="C27" i="15"/>
  <c r="B27" i="15"/>
  <c r="A27" i="15"/>
  <c r="J26" i="15"/>
  <c r="I26" i="15"/>
  <c r="H26" i="15"/>
  <c r="G26" i="15"/>
  <c r="E26" i="15"/>
  <c r="D26" i="15"/>
  <c r="C26" i="15"/>
  <c r="B26" i="15"/>
  <c r="A26" i="15"/>
  <c r="J25" i="15"/>
  <c r="I25" i="15"/>
  <c r="H25" i="15"/>
  <c r="G25" i="15"/>
  <c r="E25" i="15"/>
  <c r="D25" i="15"/>
  <c r="C25" i="15"/>
  <c r="B25" i="15"/>
  <c r="A25" i="15"/>
  <c r="J24" i="15"/>
  <c r="I24" i="15"/>
  <c r="H24" i="15"/>
  <c r="G24" i="15"/>
  <c r="E24" i="15"/>
  <c r="D24" i="15"/>
  <c r="C24" i="15"/>
  <c r="B24" i="15"/>
  <c r="A24" i="15"/>
  <c r="J23" i="15"/>
  <c r="I23" i="15"/>
  <c r="H23" i="15"/>
  <c r="G23" i="15"/>
  <c r="E23" i="15"/>
  <c r="D23" i="15"/>
  <c r="C23" i="15"/>
  <c r="B23" i="15"/>
  <c r="A23" i="15"/>
  <c r="J22" i="15"/>
  <c r="I22" i="15"/>
  <c r="H22" i="15"/>
  <c r="G22" i="15"/>
  <c r="E22" i="15"/>
  <c r="D22" i="15"/>
  <c r="C22" i="15"/>
  <c r="B22" i="15"/>
  <c r="A22" i="15"/>
  <c r="J21" i="15"/>
  <c r="I21" i="15"/>
  <c r="H21" i="15"/>
  <c r="G21" i="15"/>
  <c r="E21" i="15"/>
  <c r="D21" i="15"/>
  <c r="C21" i="15"/>
  <c r="B21" i="15"/>
  <c r="A21" i="15"/>
  <c r="J20" i="15"/>
  <c r="I20" i="15"/>
  <c r="H20" i="15"/>
  <c r="G20" i="15"/>
  <c r="E20" i="15"/>
  <c r="D20" i="15"/>
  <c r="C20" i="15"/>
  <c r="B20" i="15"/>
  <c r="A20" i="15"/>
  <c r="J19" i="15"/>
  <c r="I19" i="15"/>
  <c r="H19" i="15"/>
  <c r="G19" i="15"/>
  <c r="E19" i="15"/>
  <c r="D19" i="15"/>
  <c r="C19" i="15"/>
  <c r="B19" i="15"/>
  <c r="A19" i="15"/>
  <c r="J18" i="15"/>
  <c r="I18" i="15"/>
  <c r="H18" i="15"/>
  <c r="G18" i="15"/>
  <c r="E18" i="15"/>
  <c r="D18" i="15"/>
  <c r="C18" i="15"/>
  <c r="B18" i="15"/>
  <c r="A18" i="15"/>
  <c r="J17" i="15"/>
  <c r="I17" i="15"/>
  <c r="H17" i="15"/>
  <c r="G17" i="15"/>
  <c r="E17" i="15"/>
  <c r="D17" i="15"/>
  <c r="C17" i="15"/>
  <c r="B17" i="15"/>
  <c r="A17" i="15"/>
  <c r="J16" i="15"/>
  <c r="I16" i="15"/>
  <c r="H16" i="15"/>
  <c r="G16" i="15"/>
  <c r="E16" i="15"/>
  <c r="D16" i="15"/>
  <c r="C16" i="15"/>
  <c r="B16" i="15"/>
  <c r="A16" i="15"/>
  <c r="J15" i="15"/>
  <c r="I15" i="15"/>
  <c r="H15" i="15"/>
  <c r="G15" i="15"/>
  <c r="E15" i="15"/>
  <c r="D15" i="15"/>
  <c r="C15" i="15"/>
  <c r="B15" i="15"/>
  <c r="A15" i="15"/>
  <c r="J14" i="15"/>
  <c r="I14" i="15"/>
  <c r="H14" i="15"/>
  <c r="G14" i="15"/>
  <c r="E14" i="15"/>
  <c r="D14" i="15"/>
  <c r="C14" i="15"/>
  <c r="B14" i="15"/>
  <c r="A14" i="15"/>
  <c r="J13" i="15"/>
  <c r="I13" i="15"/>
  <c r="H13" i="15"/>
  <c r="G13" i="15"/>
  <c r="E13" i="15"/>
  <c r="D13" i="15"/>
  <c r="C13" i="15"/>
  <c r="B13" i="15"/>
  <c r="A13" i="15"/>
  <c r="J12" i="15"/>
  <c r="I12" i="15"/>
  <c r="H12" i="15"/>
  <c r="G12" i="15"/>
  <c r="E12" i="15"/>
  <c r="D12" i="15"/>
  <c r="C12" i="15"/>
  <c r="B12" i="15"/>
  <c r="A12" i="15"/>
  <c r="J11" i="15"/>
  <c r="I11" i="15"/>
  <c r="H11" i="15"/>
  <c r="G11" i="15"/>
  <c r="E11" i="15"/>
  <c r="D11" i="15"/>
  <c r="C11" i="15"/>
  <c r="B11" i="15"/>
  <c r="A11" i="15"/>
  <c r="J10" i="15"/>
  <c r="I10" i="15"/>
  <c r="H10" i="15"/>
  <c r="G10" i="15"/>
  <c r="E10" i="15"/>
  <c r="D10" i="15"/>
  <c r="C10" i="15"/>
  <c r="B10" i="15"/>
  <c r="A10" i="15"/>
  <c r="J9" i="15"/>
  <c r="I9" i="15"/>
  <c r="H9" i="15"/>
  <c r="G9" i="15"/>
  <c r="E9" i="15"/>
  <c r="D9" i="15"/>
  <c r="C9" i="15"/>
  <c r="B9" i="15"/>
  <c r="A9" i="15"/>
  <c r="J8" i="15"/>
  <c r="I8" i="15"/>
  <c r="H8" i="15"/>
  <c r="G8" i="15"/>
  <c r="E8" i="15"/>
  <c r="D8" i="15"/>
  <c r="C8" i="15"/>
  <c r="B8" i="15"/>
  <c r="A8" i="15"/>
  <c r="J7" i="15"/>
  <c r="I7" i="15"/>
  <c r="H7" i="15"/>
  <c r="G7" i="15"/>
  <c r="E7" i="15"/>
  <c r="D7" i="15"/>
  <c r="C7" i="15"/>
  <c r="B7" i="15"/>
  <c r="A7" i="15"/>
  <c r="J6" i="15"/>
  <c r="I6" i="15"/>
  <c r="H6" i="15"/>
  <c r="G6" i="15"/>
  <c r="E6" i="15"/>
  <c r="D6" i="15"/>
  <c r="C6" i="15"/>
  <c r="B6" i="15"/>
  <c r="A6" i="15"/>
  <c r="J5" i="15"/>
  <c r="I5" i="15"/>
  <c r="H5" i="15"/>
  <c r="G5" i="15"/>
  <c r="E5" i="15"/>
  <c r="D5" i="15"/>
  <c r="C5" i="15"/>
  <c r="B5" i="15"/>
  <c r="A5" i="15"/>
  <c r="J4" i="15"/>
  <c r="I4" i="15"/>
  <c r="H4" i="15"/>
  <c r="G4" i="15"/>
  <c r="E4" i="15"/>
  <c r="D4" i="15"/>
  <c r="C4" i="15"/>
  <c r="B4" i="15"/>
  <c r="A4" i="15"/>
  <c r="J3" i="15"/>
  <c r="I3" i="15"/>
  <c r="H3" i="15"/>
  <c r="G3" i="15"/>
  <c r="E3" i="15"/>
  <c r="D3" i="15"/>
  <c r="C3" i="15"/>
  <c r="B3" i="15"/>
  <c r="A3" i="15"/>
  <c r="J2" i="15"/>
  <c r="I2" i="15"/>
  <c r="H2" i="15"/>
  <c r="G2" i="15"/>
  <c r="E2" i="15"/>
  <c r="D2" i="15"/>
  <c r="C2" i="15"/>
  <c r="B2" i="15"/>
  <c r="A2" i="15"/>
  <c r="J1" i="15"/>
  <c r="I1" i="15"/>
  <c r="H1" i="15"/>
  <c r="G1" i="15"/>
  <c r="E1" i="15"/>
  <c r="D1" i="15"/>
  <c r="C1" i="15"/>
  <c r="B1" i="15"/>
  <c r="A1" i="15"/>
  <c r="J373" i="14"/>
  <c r="J372" i="14"/>
  <c r="J371" i="14"/>
  <c r="J370" i="14"/>
  <c r="J369" i="14"/>
  <c r="J368" i="14"/>
  <c r="J367" i="14"/>
  <c r="J366" i="14"/>
  <c r="J365" i="14"/>
  <c r="J364" i="14"/>
  <c r="J363" i="14"/>
  <c r="J362" i="14"/>
  <c r="J361" i="14"/>
  <c r="J360" i="14"/>
  <c r="G358" i="14"/>
  <c r="F358" i="14"/>
  <c r="E358" i="14"/>
  <c r="D358" i="14"/>
  <c r="C358" i="14"/>
  <c r="B358" i="14"/>
  <c r="J359" i="14" s="1"/>
  <c r="G357" i="14"/>
  <c r="F357" i="14"/>
  <c r="E357" i="14"/>
  <c r="D357" i="14"/>
  <c r="C357" i="14"/>
  <c r="B357" i="14"/>
  <c r="G356" i="14"/>
  <c r="F356" i="14"/>
  <c r="E356" i="14"/>
  <c r="D356" i="14"/>
  <c r="C356" i="14"/>
  <c r="B356" i="14"/>
  <c r="G355" i="14"/>
  <c r="F355" i="14"/>
  <c r="E355" i="14"/>
  <c r="D355" i="14"/>
  <c r="C355" i="14"/>
  <c r="B355" i="14"/>
  <c r="G354" i="14"/>
  <c r="F354" i="14"/>
  <c r="E354" i="14"/>
  <c r="D354" i="14"/>
  <c r="C354" i="14"/>
  <c r="B354" i="14"/>
  <c r="G353" i="14"/>
  <c r="F353" i="14"/>
  <c r="E353" i="14"/>
  <c r="D353" i="14"/>
  <c r="C353" i="14"/>
  <c r="B353" i="14"/>
  <c r="G352" i="14"/>
  <c r="F352" i="14"/>
  <c r="E352" i="14"/>
  <c r="D352" i="14"/>
  <c r="C352" i="14"/>
  <c r="B352" i="14"/>
  <c r="G351" i="14"/>
  <c r="F351" i="14"/>
  <c r="E351" i="14"/>
  <c r="D351" i="14"/>
  <c r="C351" i="14"/>
  <c r="B351" i="14"/>
  <c r="G350" i="14"/>
  <c r="F350" i="14"/>
  <c r="E350" i="14"/>
  <c r="D350" i="14"/>
  <c r="C350" i="14"/>
  <c r="B350" i="14"/>
  <c r="G349" i="14"/>
  <c r="F349" i="14"/>
  <c r="E349" i="14"/>
  <c r="D349" i="14"/>
  <c r="C349" i="14"/>
  <c r="B349" i="14"/>
  <c r="G348" i="14"/>
  <c r="F348" i="14"/>
  <c r="E348" i="14"/>
  <c r="D348" i="14"/>
  <c r="C348" i="14"/>
  <c r="B348" i="14"/>
  <c r="G347" i="14"/>
  <c r="F347" i="14"/>
  <c r="E347" i="14"/>
  <c r="D347" i="14"/>
  <c r="C347" i="14"/>
  <c r="B347" i="14"/>
  <c r="G346" i="14"/>
  <c r="F346" i="14"/>
  <c r="E346" i="14"/>
  <c r="D346" i="14"/>
  <c r="C346" i="14"/>
  <c r="B346" i="14"/>
  <c r="G345" i="14"/>
  <c r="F345" i="14"/>
  <c r="E345" i="14"/>
  <c r="D345" i="14"/>
  <c r="C345" i="14"/>
  <c r="B345" i="14"/>
  <c r="G344" i="14"/>
  <c r="F344" i="14"/>
  <c r="E344" i="14"/>
  <c r="D344" i="14"/>
  <c r="C344" i="14"/>
  <c r="B344" i="14"/>
  <c r="G343" i="14"/>
  <c r="F343" i="14"/>
  <c r="E343" i="14"/>
  <c r="D343" i="14"/>
  <c r="C343" i="14"/>
  <c r="B343" i="14"/>
  <c r="G342" i="14"/>
  <c r="F342" i="14"/>
  <c r="E342" i="14"/>
  <c r="D342" i="14"/>
  <c r="C342" i="14"/>
  <c r="B342" i="14"/>
  <c r="G341" i="14"/>
  <c r="F341" i="14"/>
  <c r="E341" i="14"/>
  <c r="D341" i="14"/>
  <c r="C341" i="14"/>
  <c r="B341" i="14"/>
  <c r="G340" i="14"/>
  <c r="F340" i="14"/>
  <c r="E340" i="14"/>
  <c r="D340" i="14"/>
  <c r="C340" i="14"/>
  <c r="B340" i="14"/>
  <c r="G339" i="14"/>
  <c r="F339" i="14"/>
  <c r="E339" i="14"/>
  <c r="D339" i="14"/>
  <c r="C339" i="14"/>
  <c r="B339" i="14"/>
  <c r="G338" i="14"/>
  <c r="F338" i="14"/>
  <c r="E338" i="14"/>
  <c r="D338" i="14"/>
  <c r="C338" i="14"/>
  <c r="B338" i="14"/>
  <c r="G337" i="14"/>
  <c r="F337" i="14"/>
  <c r="E337" i="14"/>
  <c r="D337" i="14"/>
  <c r="C337" i="14"/>
  <c r="B337" i="14"/>
  <c r="G336" i="14"/>
  <c r="F336" i="14"/>
  <c r="E336" i="14"/>
  <c r="D336" i="14"/>
  <c r="C336" i="14"/>
  <c r="B336" i="14"/>
  <c r="G335" i="14"/>
  <c r="F335" i="14"/>
  <c r="E335" i="14"/>
  <c r="D335" i="14"/>
  <c r="C335" i="14"/>
  <c r="B335" i="14"/>
  <c r="G334" i="14"/>
  <c r="F334" i="14"/>
  <c r="E334" i="14"/>
  <c r="D334" i="14"/>
  <c r="C334" i="14"/>
  <c r="B334" i="14"/>
  <c r="G333" i="14"/>
  <c r="F333" i="14"/>
  <c r="E333" i="14"/>
  <c r="D333" i="14"/>
  <c r="C333" i="14"/>
  <c r="B333" i="14"/>
  <c r="G332" i="14"/>
  <c r="F332" i="14"/>
  <c r="E332" i="14"/>
  <c r="D332" i="14"/>
  <c r="C332" i="14"/>
  <c r="B332" i="14"/>
  <c r="A332" i="14"/>
  <c r="G331" i="14"/>
  <c r="F331" i="14"/>
  <c r="E331" i="14"/>
  <c r="D331" i="14"/>
  <c r="C331" i="14"/>
  <c r="B331" i="14"/>
  <c r="G330" i="14"/>
  <c r="F330" i="14"/>
  <c r="E330" i="14"/>
  <c r="D330" i="14"/>
  <c r="C330" i="14"/>
  <c r="B330" i="14"/>
  <c r="G329" i="14"/>
  <c r="F329" i="14"/>
  <c r="E329" i="14"/>
  <c r="D329" i="14"/>
  <c r="C329" i="14"/>
  <c r="B329" i="14"/>
  <c r="G328" i="14"/>
  <c r="F328" i="14"/>
  <c r="E328" i="14"/>
  <c r="D328" i="14"/>
  <c r="C328" i="14"/>
  <c r="B328" i="14"/>
  <c r="G327" i="14"/>
  <c r="F327" i="14"/>
  <c r="E327" i="14"/>
  <c r="D327" i="14"/>
  <c r="C327" i="14"/>
  <c r="B327" i="14"/>
  <c r="G326" i="14"/>
  <c r="F326" i="14"/>
  <c r="E326" i="14"/>
  <c r="D326" i="14"/>
  <c r="C326" i="14"/>
  <c r="B326" i="14"/>
  <c r="G325" i="14"/>
  <c r="F325" i="14"/>
  <c r="E325" i="14"/>
  <c r="D325" i="14"/>
  <c r="C325" i="14"/>
  <c r="B325" i="14"/>
  <c r="G324" i="14"/>
  <c r="F324" i="14"/>
  <c r="E324" i="14"/>
  <c r="D324" i="14"/>
  <c r="C324" i="14"/>
  <c r="B324" i="14"/>
  <c r="G323" i="14"/>
  <c r="F323" i="14"/>
  <c r="E323" i="14"/>
  <c r="D323" i="14"/>
  <c r="C323" i="14"/>
  <c r="B323" i="14"/>
  <c r="G322" i="14"/>
  <c r="F322" i="14"/>
  <c r="E322" i="14"/>
  <c r="D322" i="14"/>
  <c r="C322" i="14"/>
  <c r="B322" i="14"/>
  <c r="G321" i="14"/>
  <c r="F321" i="14"/>
  <c r="E321" i="14"/>
  <c r="D321" i="14"/>
  <c r="C321" i="14"/>
  <c r="B321" i="14"/>
  <c r="G320" i="14"/>
  <c r="F320" i="14"/>
  <c r="E320" i="14"/>
  <c r="D320" i="14"/>
  <c r="C320" i="14"/>
  <c r="B320" i="14"/>
  <c r="G319" i="14"/>
  <c r="F319" i="14"/>
  <c r="E319" i="14"/>
  <c r="D319" i="14"/>
  <c r="C319" i="14"/>
  <c r="B319" i="14"/>
  <c r="G318" i="14"/>
  <c r="F318" i="14"/>
  <c r="E318" i="14"/>
  <c r="D318" i="14"/>
  <c r="C318" i="14"/>
  <c r="B318" i="14"/>
  <c r="G317" i="14"/>
  <c r="F317" i="14"/>
  <c r="E317" i="14"/>
  <c r="D317" i="14"/>
  <c r="C317" i="14"/>
  <c r="B317" i="14"/>
  <c r="A317" i="14"/>
  <c r="G316" i="14"/>
  <c r="F316" i="14"/>
  <c r="E316" i="14"/>
  <c r="D316" i="14"/>
  <c r="C316" i="14"/>
  <c r="B316" i="14"/>
  <c r="G315" i="14"/>
  <c r="F315" i="14"/>
  <c r="E315" i="14"/>
  <c r="D315" i="14"/>
  <c r="C315" i="14"/>
  <c r="B315" i="14"/>
  <c r="G314" i="14"/>
  <c r="F314" i="14"/>
  <c r="E314" i="14"/>
  <c r="D314" i="14"/>
  <c r="C314" i="14"/>
  <c r="B314" i="14"/>
  <c r="G313" i="14"/>
  <c r="F313" i="14"/>
  <c r="E313" i="14"/>
  <c r="D313" i="14"/>
  <c r="C313" i="14"/>
  <c r="B313" i="14"/>
  <c r="G312" i="14"/>
  <c r="F312" i="14"/>
  <c r="E312" i="14"/>
  <c r="D312" i="14"/>
  <c r="C312" i="14"/>
  <c r="B312" i="14"/>
  <c r="G311" i="14"/>
  <c r="F311" i="14"/>
  <c r="E311" i="14"/>
  <c r="D311" i="14"/>
  <c r="C311" i="14"/>
  <c r="B311" i="14"/>
  <c r="G310" i="14"/>
  <c r="F310" i="14"/>
  <c r="E310" i="14"/>
  <c r="D310" i="14"/>
  <c r="C310" i="14"/>
  <c r="B310" i="14"/>
  <c r="G309" i="14"/>
  <c r="F309" i="14"/>
  <c r="E309" i="14"/>
  <c r="D309" i="14"/>
  <c r="C309" i="14"/>
  <c r="B309" i="14"/>
  <c r="G308" i="14"/>
  <c r="F308" i="14"/>
  <c r="E308" i="14"/>
  <c r="D308" i="14"/>
  <c r="C308" i="14"/>
  <c r="B308" i="14"/>
  <c r="G307" i="14"/>
  <c r="F307" i="14"/>
  <c r="E307" i="14"/>
  <c r="D307" i="14"/>
  <c r="C307" i="14"/>
  <c r="B307" i="14"/>
  <c r="G306" i="14"/>
  <c r="F306" i="14"/>
  <c r="E306" i="14"/>
  <c r="D306" i="14"/>
  <c r="C306" i="14"/>
  <c r="B306" i="14"/>
  <c r="G305" i="14"/>
  <c r="F305" i="14"/>
  <c r="E305" i="14"/>
  <c r="D305" i="14"/>
  <c r="C305" i="14"/>
  <c r="B305" i="14"/>
  <c r="G304" i="14"/>
  <c r="F304" i="14"/>
  <c r="E304" i="14"/>
  <c r="D304" i="14"/>
  <c r="C304" i="14"/>
  <c r="B304" i="14"/>
  <c r="G303" i="14"/>
  <c r="F303" i="14"/>
  <c r="E303" i="14"/>
  <c r="D303" i="14"/>
  <c r="C303" i="14"/>
  <c r="B303" i="14"/>
  <c r="G302" i="14"/>
  <c r="F302" i="14"/>
  <c r="E302" i="14"/>
  <c r="D302" i="14"/>
  <c r="C302" i="14"/>
  <c r="B302" i="14"/>
  <c r="G301" i="14"/>
  <c r="F301" i="14"/>
  <c r="E301" i="14"/>
  <c r="D301" i="14"/>
  <c r="C301" i="14"/>
  <c r="B301" i="14"/>
  <c r="G300" i="14"/>
  <c r="F300" i="14"/>
  <c r="E300" i="14"/>
  <c r="D300" i="14"/>
  <c r="C300" i="14"/>
  <c r="B300" i="14"/>
  <c r="G299" i="14"/>
  <c r="F299" i="14"/>
  <c r="E299" i="14"/>
  <c r="D299" i="14"/>
  <c r="C299" i="14"/>
  <c r="B299" i="14"/>
  <c r="G298" i="14"/>
  <c r="F298" i="14"/>
  <c r="E298" i="14"/>
  <c r="D298" i="14"/>
  <c r="C298" i="14"/>
  <c r="B298" i="14"/>
  <c r="G297" i="14"/>
  <c r="F297" i="14"/>
  <c r="E297" i="14"/>
  <c r="D297" i="14"/>
  <c r="C297" i="14"/>
  <c r="B297" i="14"/>
  <c r="G296" i="14"/>
  <c r="F296" i="14"/>
  <c r="E296" i="14"/>
  <c r="D296" i="14"/>
  <c r="C296" i="14"/>
  <c r="B296" i="14"/>
  <c r="G295" i="14"/>
  <c r="F295" i="14"/>
  <c r="E295" i="14"/>
  <c r="D295" i="14"/>
  <c r="C295" i="14"/>
  <c r="B295" i="14"/>
  <c r="G294" i="14"/>
  <c r="F294" i="14"/>
  <c r="E294" i="14"/>
  <c r="D294" i="14"/>
  <c r="C294" i="14"/>
  <c r="B294" i="14"/>
  <c r="G293" i="14"/>
  <c r="F293" i="14"/>
  <c r="E293" i="14"/>
  <c r="D293" i="14"/>
  <c r="C293" i="14"/>
  <c r="B293" i="14"/>
  <c r="G292" i="14"/>
  <c r="F292" i="14"/>
  <c r="E292" i="14"/>
  <c r="D292" i="14"/>
  <c r="C292" i="14"/>
  <c r="B292" i="14"/>
  <c r="G291" i="14"/>
  <c r="F291" i="14"/>
  <c r="E291" i="14"/>
  <c r="D291" i="14"/>
  <c r="C291" i="14"/>
  <c r="B291" i="14"/>
  <c r="G290" i="14"/>
  <c r="F290" i="14"/>
  <c r="E290" i="14"/>
  <c r="D290" i="14"/>
  <c r="C290" i="14"/>
  <c r="B290" i="14"/>
  <c r="G289" i="14"/>
  <c r="F289" i="14"/>
  <c r="E289" i="14"/>
  <c r="D289" i="14"/>
  <c r="C289" i="14"/>
  <c r="B289" i="14"/>
  <c r="G288" i="14"/>
  <c r="F288" i="14"/>
  <c r="E288" i="14"/>
  <c r="D288" i="14"/>
  <c r="C288" i="14"/>
  <c r="B288" i="14"/>
  <c r="G287" i="14"/>
  <c r="F287" i="14"/>
  <c r="E287" i="14"/>
  <c r="D287" i="14"/>
  <c r="C287" i="14"/>
  <c r="B287" i="14"/>
  <c r="G286" i="14"/>
  <c r="F286" i="14"/>
  <c r="E286" i="14"/>
  <c r="D286" i="14"/>
  <c r="C286" i="14"/>
  <c r="B286" i="14"/>
  <c r="G285" i="14"/>
  <c r="F285" i="14"/>
  <c r="E285" i="14"/>
  <c r="D285" i="14"/>
  <c r="C285" i="14"/>
  <c r="B285" i="14"/>
  <c r="G284" i="14"/>
  <c r="F284" i="14"/>
  <c r="E284" i="14"/>
  <c r="D284" i="14"/>
  <c r="C284" i="14"/>
  <c r="B284" i="14"/>
  <c r="G283" i="14"/>
  <c r="F283" i="14"/>
  <c r="E283" i="14"/>
  <c r="D283" i="14"/>
  <c r="C283" i="14"/>
  <c r="B283" i="14"/>
  <c r="G282" i="14"/>
  <c r="F282" i="14"/>
  <c r="E282" i="14"/>
  <c r="D282" i="14"/>
  <c r="C282" i="14"/>
  <c r="B282" i="14"/>
  <c r="G281" i="14"/>
  <c r="F281" i="14"/>
  <c r="E281" i="14"/>
  <c r="D281" i="14"/>
  <c r="C281" i="14"/>
  <c r="B281" i="14"/>
  <c r="G280" i="14"/>
  <c r="F280" i="14"/>
  <c r="E280" i="14"/>
  <c r="D280" i="14"/>
  <c r="C280" i="14"/>
  <c r="B280" i="14"/>
  <c r="G279" i="14"/>
  <c r="F279" i="14"/>
  <c r="E279" i="14"/>
  <c r="D279" i="14"/>
  <c r="C279" i="14"/>
  <c r="B279" i="14"/>
  <c r="G278" i="14"/>
  <c r="F278" i="14"/>
  <c r="E278" i="14"/>
  <c r="D278" i="14"/>
  <c r="C278" i="14"/>
  <c r="B278" i="14"/>
  <c r="G277" i="14"/>
  <c r="F277" i="14"/>
  <c r="E277" i="14"/>
  <c r="D277" i="14"/>
  <c r="C277" i="14"/>
  <c r="B277" i="14"/>
  <c r="G276" i="14"/>
  <c r="F276" i="14"/>
  <c r="E276" i="14"/>
  <c r="D276" i="14"/>
  <c r="C276" i="14"/>
  <c r="B276" i="14"/>
  <c r="G275" i="14"/>
  <c r="F275" i="14"/>
  <c r="E275" i="14"/>
  <c r="D275" i="14"/>
  <c r="C275" i="14"/>
  <c r="B275" i="14"/>
  <c r="G274" i="14"/>
  <c r="F274" i="14"/>
  <c r="E274" i="14"/>
  <c r="D274" i="14"/>
  <c r="C274" i="14"/>
  <c r="B274" i="14"/>
  <c r="G273" i="14"/>
  <c r="F273" i="14"/>
  <c r="E273" i="14"/>
  <c r="D273" i="14"/>
  <c r="C273" i="14"/>
  <c r="B273" i="14"/>
  <c r="G272" i="14"/>
  <c r="F272" i="14"/>
  <c r="E272" i="14"/>
  <c r="D272" i="14"/>
  <c r="C272" i="14"/>
  <c r="B272" i="14"/>
  <c r="G271" i="14"/>
  <c r="F271" i="14"/>
  <c r="E271" i="14"/>
  <c r="D271" i="14"/>
  <c r="C271" i="14"/>
  <c r="B271" i="14"/>
  <c r="G270" i="14"/>
  <c r="F270" i="14"/>
  <c r="E270" i="14"/>
  <c r="D270" i="14"/>
  <c r="C270" i="14"/>
  <c r="B270" i="14"/>
  <c r="G269" i="14"/>
  <c r="F269" i="14"/>
  <c r="E269" i="14"/>
  <c r="D269" i="14"/>
  <c r="C269" i="14"/>
  <c r="B269" i="14"/>
  <c r="G268" i="14"/>
  <c r="F268" i="14"/>
  <c r="E268" i="14"/>
  <c r="D268" i="14"/>
  <c r="C268" i="14"/>
  <c r="B268" i="14"/>
  <c r="G267" i="14"/>
  <c r="F267" i="14"/>
  <c r="E267" i="14"/>
  <c r="D267" i="14"/>
  <c r="C267" i="14"/>
  <c r="B267" i="14"/>
  <c r="G266" i="14"/>
  <c r="F266" i="14"/>
  <c r="E266" i="14"/>
  <c r="D266" i="14"/>
  <c r="C266" i="14"/>
  <c r="B266" i="14"/>
  <c r="G265" i="14"/>
  <c r="F265" i="14"/>
  <c r="E265" i="14"/>
  <c r="D265" i="14"/>
  <c r="C265" i="14"/>
  <c r="B265" i="14"/>
  <c r="G264" i="14"/>
  <c r="F264" i="14"/>
  <c r="E264" i="14"/>
  <c r="D264" i="14"/>
  <c r="C264" i="14"/>
  <c r="B264" i="14"/>
  <c r="G263" i="14"/>
  <c r="F263" i="14"/>
  <c r="E263" i="14"/>
  <c r="D263" i="14"/>
  <c r="C263" i="14"/>
  <c r="B263" i="14"/>
  <c r="G262" i="14"/>
  <c r="F262" i="14"/>
  <c r="E262" i="14"/>
  <c r="D262" i="14"/>
  <c r="C262" i="14"/>
  <c r="B262" i="14"/>
  <c r="G261" i="14"/>
  <c r="F261" i="14"/>
  <c r="E261" i="14"/>
  <c r="D261" i="14"/>
  <c r="C261" i="14"/>
  <c r="B261" i="14"/>
  <c r="G260" i="14"/>
  <c r="F260" i="14"/>
  <c r="E260" i="14"/>
  <c r="D260" i="14"/>
  <c r="C260" i="14"/>
  <c r="B260" i="14"/>
  <c r="G259" i="14"/>
  <c r="F259" i="14"/>
  <c r="E259" i="14"/>
  <c r="D259" i="14"/>
  <c r="C259" i="14"/>
  <c r="B259" i="14"/>
  <c r="G258" i="14"/>
  <c r="F258" i="14"/>
  <c r="E258" i="14"/>
  <c r="D258" i="14"/>
  <c r="C258" i="14"/>
  <c r="B258" i="14"/>
  <c r="G257" i="14"/>
  <c r="F257" i="14"/>
  <c r="E257" i="14"/>
  <c r="D257" i="14"/>
  <c r="C257" i="14"/>
  <c r="B257" i="14"/>
  <c r="G256" i="14"/>
  <c r="F256" i="14"/>
  <c r="E256" i="14"/>
  <c r="D256" i="14"/>
  <c r="C256" i="14"/>
  <c r="B256" i="14"/>
  <c r="G255" i="14"/>
  <c r="F255" i="14"/>
  <c r="E255" i="14"/>
  <c r="D255" i="14"/>
  <c r="C255" i="14"/>
  <c r="B255" i="14"/>
  <c r="G254" i="14"/>
  <c r="F254" i="14"/>
  <c r="E254" i="14"/>
  <c r="D254" i="14"/>
  <c r="C254" i="14"/>
  <c r="B254" i="14"/>
  <c r="G253" i="14"/>
  <c r="F253" i="14"/>
  <c r="E253" i="14"/>
  <c r="D253" i="14"/>
  <c r="C253" i="14"/>
  <c r="B253" i="14"/>
  <c r="G252" i="14"/>
  <c r="F252" i="14"/>
  <c r="E252" i="14"/>
  <c r="D252" i="14"/>
  <c r="C252" i="14"/>
  <c r="B252" i="14"/>
  <c r="G251" i="14"/>
  <c r="F251" i="14"/>
  <c r="E251" i="14"/>
  <c r="D251" i="14"/>
  <c r="C251" i="14"/>
  <c r="B251" i="14"/>
  <c r="G250" i="14"/>
  <c r="F250" i="14"/>
  <c r="E250" i="14"/>
  <c r="D250" i="14"/>
  <c r="C250" i="14"/>
  <c r="B250" i="14"/>
  <c r="G249" i="14"/>
  <c r="F249" i="14"/>
  <c r="E249" i="14"/>
  <c r="D249" i="14"/>
  <c r="C249" i="14"/>
  <c r="B249" i="14"/>
  <c r="G248" i="14"/>
  <c r="F248" i="14"/>
  <c r="E248" i="14"/>
  <c r="D248" i="14"/>
  <c r="C248" i="14"/>
  <c r="B248" i="14"/>
  <c r="G247" i="14"/>
  <c r="F247" i="14"/>
  <c r="E247" i="14"/>
  <c r="D247" i="14"/>
  <c r="C247" i="14"/>
  <c r="B247" i="14"/>
  <c r="G246" i="14"/>
  <c r="F246" i="14"/>
  <c r="E246" i="14"/>
  <c r="D246" i="14"/>
  <c r="C246" i="14"/>
  <c r="B246" i="14"/>
  <c r="G245" i="14"/>
  <c r="F245" i="14"/>
  <c r="E245" i="14"/>
  <c r="D245" i="14"/>
  <c r="C245" i="14"/>
  <c r="B245" i="14"/>
  <c r="A245" i="14"/>
  <c r="G244" i="14"/>
  <c r="F244" i="14"/>
  <c r="E244" i="14"/>
  <c r="D244" i="14"/>
  <c r="C244" i="14"/>
  <c r="B244" i="14"/>
  <c r="G243" i="14"/>
  <c r="F243" i="14"/>
  <c r="E243" i="14"/>
  <c r="D243" i="14"/>
  <c r="C243" i="14"/>
  <c r="B243" i="14"/>
  <c r="G242" i="14"/>
  <c r="F242" i="14"/>
  <c r="E242" i="14"/>
  <c r="D242" i="14"/>
  <c r="C242" i="14"/>
  <c r="B242" i="14"/>
  <c r="G241" i="14"/>
  <c r="F241" i="14"/>
  <c r="E241" i="14"/>
  <c r="D241" i="14"/>
  <c r="C241" i="14"/>
  <c r="B241" i="14"/>
  <c r="G240" i="14"/>
  <c r="F240" i="14"/>
  <c r="E240" i="14"/>
  <c r="D240" i="14"/>
  <c r="C240" i="14"/>
  <c r="B240" i="14"/>
  <c r="G239" i="14"/>
  <c r="F239" i="14"/>
  <c r="E239" i="14"/>
  <c r="D239" i="14"/>
  <c r="C239" i="14"/>
  <c r="B239" i="14"/>
  <c r="G238" i="14"/>
  <c r="F238" i="14"/>
  <c r="E238" i="14"/>
  <c r="D238" i="14"/>
  <c r="C238" i="14"/>
  <c r="B238" i="14"/>
  <c r="G237" i="14"/>
  <c r="F237" i="14"/>
  <c r="E237" i="14"/>
  <c r="D237" i="14"/>
  <c r="C237" i="14"/>
  <c r="B237" i="14"/>
  <c r="G236" i="14"/>
  <c r="F236" i="14"/>
  <c r="E236" i="14"/>
  <c r="D236" i="14"/>
  <c r="C236" i="14"/>
  <c r="B236" i="14"/>
  <c r="G235" i="14"/>
  <c r="F235" i="14"/>
  <c r="E235" i="14"/>
  <c r="D235" i="14"/>
  <c r="C235" i="14"/>
  <c r="B235" i="14"/>
  <c r="G234" i="14"/>
  <c r="F234" i="14"/>
  <c r="E234" i="14"/>
  <c r="D234" i="14"/>
  <c r="C234" i="14"/>
  <c r="B234" i="14"/>
  <c r="G233" i="14"/>
  <c r="F233" i="14"/>
  <c r="E233" i="14"/>
  <c r="D233" i="14"/>
  <c r="C233" i="14"/>
  <c r="B233" i="14"/>
  <c r="G232" i="14"/>
  <c r="F232" i="14"/>
  <c r="E232" i="14"/>
  <c r="D232" i="14"/>
  <c r="C232" i="14"/>
  <c r="B232" i="14"/>
  <c r="G231" i="14"/>
  <c r="F231" i="14"/>
  <c r="E231" i="14"/>
  <c r="D231" i="14"/>
  <c r="C231" i="14"/>
  <c r="B231" i="14"/>
  <c r="G230" i="14"/>
  <c r="F230" i="14"/>
  <c r="E230" i="14"/>
  <c r="D230" i="14"/>
  <c r="C230" i="14"/>
  <c r="B230" i="14"/>
  <c r="A230" i="14"/>
  <c r="G229" i="14"/>
  <c r="F229" i="14"/>
  <c r="E229" i="14"/>
  <c r="D229" i="14"/>
  <c r="C229" i="14"/>
  <c r="B229" i="14"/>
  <c r="G228" i="14"/>
  <c r="F228" i="14"/>
  <c r="E228" i="14"/>
  <c r="D228" i="14"/>
  <c r="C228" i="14"/>
  <c r="B228" i="14"/>
  <c r="G227" i="14"/>
  <c r="F227" i="14"/>
  <c r="E227" i="14"/>
  <c r="D227" i="14"/>
  <c r="C227" i="14"/>
  <c r="B227" i="14"/>
  <c r="G226" i="14"/>
  <c r="F226" i="14"/>
  <c r="E226" i="14"/>
  <c r="D226" i="14"/>
  <c r="C226" i="14"/>
  <c r="B226" i="14"/>
  <c r="G225" i="14"/>
  <c r="F225" i="14"/>
  <c r="E225" i="14"/>
  <c r="D225" i="14"/>
  <c r="C225" i="14"/>
  <c r="B225" i="14"/>
  <c r="G224" i="14"/>
  <c r="F224" i="14"/>
  <c r="E224" i="14"/>
  <c r="D224" i="14"/>
  <c r="C224" i="14"/>
  <c r="B224" i="14"/>
  <c r="G223" i="14"/>
  <c r="F223" i="14"/>
  <c r="E223" i="14"/>
  <c r="D223" i="14"/>
  <c r="C223" i="14"/>
  <c r="B223" i="14"/>
  <c r="G222" i="14"/>
  <c r="F222" i="14"/>
  <c r="E222" i="14"/>
  <c r="D222" i="14"/>
  <c r="C222" i="14"/>
  <c r="B222" i="14"/>
  <c r="G221" i="14"/>
  <c r="F221" i="14"/>
  <c r="E221" i="14"/>
  <c r="D221" i="14"/>
  <c r="C221" i="14"/>
  <c r="B221" i="14"/>
  <c r="G220" i="14"/>
  <c r="F220" i="14"/>
  <c r="E220" i="14"/>
  <c r="D220" i="14"/>
  <c r="C220" i="14"/>
  <c r="B220" i="14"/>
  <c r="G219" i="14"/>
  <c r="F219" i="14"/>
  <c r="E219" i="14"/>
  <c r="D219" i="14"/>
  <c r="C219" i="14"/>
  <c r="B219" i="14"/>
  <c r="G218" i="14"/>
  <c r="F218" i="14"/>
  <c r="E218" i="14"/>
  <c r="D218" i="14"/>
  <c r="C218" i="14"/>
  <c r="B218" i="14"/>
  <c r="G217" i="14"/>
  <c r="F217" i="14"/>
  <c r="E217" i="14"/>
  <c r="D217" i="14"/>
  <c r="C217" i="14"/>
  <c r="B217" i="14"/>
  <c r="G216" i="14"/>
  <c r="F216" i="14"/>
  <c r="E216" i="14"/>
  <c r="D216" i="14"/>
  <c r="C216" i="14"/>
  <c r="B216" i="14"/>
  <c r="G215" i="14"/>
  <c r="F215" i="14"/>
  <c r="E215" i="14"/>
  <c r="D215" i="14"/>
  <c r="C215" i="14"/>
  <c r="B215" i="14"/>
  <c r="G214" i="14"/>
  <c r="F214" i="14"/>
  <c r="E214" i="14"/>
  <c r="D214" i="14"/>
  <c r="C214" i="14"/>
  <c r="B214" i="14"/>
  <c r="G213" i="14"/>
  <c r="F213" i="14"/>
  <c r="E213" i="14"/>
  <c r="D213" i="14"/>
  <c r="C213" i="14"/>
  <c r="B213" i="14"/>
  <c r="G212" i="14"/>
  <c r="F212" i="14"/>
  <c r="E212" i="14"/>
  <c r="D212" i="14"/>
  <c r="C212" i="14"/>
  <c r="B212" i="14"/>
  <c r="G211" i="14"/>
  <c r="F211" i="14"/>
  <c r="E211" i="14"/>
  <c r="D211" i="14"/>
  <c r="C211" i="14"/>
  <c r="B211" i="14"/>
  <c r="A211" i="14"/>
  <c r="G210" i="14"/>
  <c r="F210" i="14"/>
  <c r="E210" i="14"/>
  <c r="D210" i="14"/>
  <c r="C210" i="14"/>
  <c r="B210" i="14"/>
  <c r="G209" i="14"/>
  <c r="F209" i="14"/>
  <c r="E209" i="14"/>
  <c r="D209" i="14"/>
  <c r="C209" i="14"/>
  <c r="B209" i="14"/>
  <c r="G208" i="14"/>
  <c r="F208" i="14"/>
  <c r="E208" i="14"/>
  <c r="D208" i="14"/>
  <c r="C208" i="14"/>
  <c r="B208" i="14"/>
  <c r="G207" i="14"/>
  <c r="F207" i="14"/>
  <c r="E207" i="14"/>
  <c r="D207" i="14"/>
  <c r="C207" i="14"/>
  <c r="B207" i="14"/>
  <c r="G206" i="14"/>
  <c r="F206" i="14"/>
  <c r="E206" i="14"/>
  <c r="D206" i="14"/>
  <c r="C206" i="14"/>
  <c r="B206" i="14"/>
  <c r="G205" i="14"/>
  <c r="F205" i="14"/>
  <c r="E205" i="14"/>
  <c r="D205" i="14"/>
  <c r="C205" i="14"/>
  <c r="B205" i="14"/>
  <c r="G204" i="14"/>
  <c r="F204" i="14"/>
  <c r="E204" i="14"/>
  <c r="D204" i="14"/>
  <c r="C204" i="14"/>
  <c r="B204" i="14"/>
  <c r="G203" i="14"/>
  <c r="F203" i="14"/>
  <c r="E203" i="14"/>
  <c r="D203" i="14"/>
  <c r="C203" i="14"/>
  <c r="B203" i="14"/>
  <c r="G202" i="14"/>
  <c r="F202" i="14"/>
  <c r="E202" i="14"/>
  <c r="D202" i="14"/>
  <c r="C202" i="14"/>
  <c r="B202" i="14"/>
  <c r="G201" i="14"/>
  <c r="F201" i="14"/>
  <c r="E201" i="14"/>
  <c r="D201" i="14"/>
  <c r="C201" i="14"/>
  <c r="B201" i="14"/>
  <c r="G200" i="14"/>
  <c r="F200" i="14"/>
  <c r="E200" i="14"/>
  <c r="D200" i="14"/>
  <c r="C200" i="14"/>
  <c r="B200" i="14"/>
  <c r="G199" i="14"/>
  <c r="F199" i="14"/>
  <c r="E199" i="14"/>
  <c r="D199" i="14"/>
  <c r="C199" i="14"/>
  <c r="B199" i="14"/>
  <c r="G198" i="14"/>
  <c r="F198" i="14"/>
  <c r="E198" i="14"/>
  <c r="D198" i="14"/>
  <c r="C198" i="14"/>
  <c r="B198" i="14"/>
  <c r="G197" i="14"/>
  <c r="F197" i="14"/>
  <c r="E197" i="14"/>
  <c r="D197" i="14"/>
  <c r="C197" i="14"/>
  <c r="B197" i="14"/>
  <c r="G196" i="14"/>
  <c r="F196" i="14"/>
  <c r="E196" i="14"/>
  <c r="D196" i="14"/>
  <c r="C196" i="14"/>
  <c r="B196" i="14"/>
  <c r="G195" i="14"/>
  <c r="F195" i="14"/>
  <c r="E195" i="14"/>
  <c r="D195" i="14"/>
  <c r="C195" i="14"/>
  <c r="B195" i="14"/>
  <c r="G194" i="14"/>
  <c r="F194" i="14"/>
  <c r="E194" i="14"/>
  <c r="D194" i="14"/>
  <c r="C194" i="14"/>
  <c r="B194" i="14"/>
  <c r="G193" i="14"/>
  <c r="F193" i="14"/>
  <c r="E193" i="14"/>
  <c r="D193" i="14"/>
  <c r="C193" i="14"/>
  <c r="B193" i="14"/>
  <c r="G192" i="14"/>
  <c r="F192" i="14"/>
  <c r="E192" i="14"/>
  <c r="D192" i="14"/>
  <c r="C192" i="14"/>
  <c r="B192" i="14"/>
  <c r="G191" i="14"/>
  <c r="F191" i="14"/>
  <c r="E191" i="14"/>
  <c r="D191" i="14"/>
  <c r="C191" i="14"/>
  <c r="B191" i="14"/>
  <c r="G190" i="14"/>
  <c r="F190" i="14"/>
  <c r="E190" i="14"/>
  <c r="D190" i="14"/>
  <c r="C190" i="14"/>
  <c r="B190" i="14"/>
  <c r="A190" i="14"/>
  <c r="G189" i="14"/>
  <c r="F189" i="14"/>
  <c r="E189" i="14"/>
  <c r="D189" i="14"/>
  <c r="C189" i="14"/>
  <c r="B189" i="14"/>
  <c r="G188" i="14"/>
  <c r="F188" i="14"/>
  <c r="E188" i="14"/>
  <c r="D188" i="14"/>
  <c r="C188" i="14"/>
  <c r="B188" i="14"/>
  <c r="G187" i="14"/>
  <c r="F187" i="14"/>
  <c r="E187" i="14"/>
  <c r="D187" i="14"/>
  <c r="C187" i="14"/>
  <c r="B187" i="14"/>
  <c r="G186" i="14"/>
  <c r="F186" i="14"/>
  <c r="E186" i="14"/>
  <c r="D186" i="14"/>
  <c r="C186" i="14"/>
  <c r="B186" i="14"/>
  <c r="G185" i="14"/>
  <c r="F185" i="14"/>
  <c r="E185" i="14"/>
  <c r="D185" i="14"/>
  <c r="C185" i="14"/>
  <c r="B185" i="14"/>
  <c r="G184" i="14"/>
  <c r="F184" i="14"/>
  <c r="E184" i="14"/>
  <c r="D184" i="14"/>
  <c r="C184" i="14"/>
  <c r="B184" i="14"/>
  <c r="G183" i="14"/>
  <c r="F183" i="14"/>
  <c r="E183" i="14"/>
  <c r="D183" i="14"/>
  <c r="C183" i="14"/>
  <c r="B183" i="14"/>
  <c r="G182" i="14"/>
  <c r="F182" i="14"/>
  <c r="E182" i="14"/>
  <c r="D182" i="14"/>
  <c r="C182" i="14"/>
  <c r="B182" i="14"/>
  <c r="G181" i="14"/>
  <c r="F181" i="14"/>
  <c r="E181" i="14"/>
  <c r="D181" i="14"/>
  <c r="C181" i="14"/>
  <c r="B181" i="14"/>
  <c r="G180" i="14"/>
  <c r="F180" i="14"/>
  <c r="E180" i="14"/>
  <c r="D180" i="14"/>
  <c r="C180" i="14"/>
  <c r="B180" i="14"/>
  <c r="G179" i="14"/>
  <c r="F179" i="14"/>
  <c r="E179" i="14"/>
  <c r="D179" i="14"/>
  <c r="C179" i="14"/>
  <c r="B179" i="14"/>
  <c r="G178" i="14"/>
  <c r="F178" i="14"/>
  <c r="E178" i="14"/>
  <c r="D178" i="14"/>
  <c r="C178" i="14"/>
  <c r="B178" i="14"/>
  <c r="G177" i="14"/>
  <c r="F177" i="14"/>
  <c r="E177" i="14"/>
  <c r="D177" i="14"/>
  <c r="C177" i="14"/>
  <c r="B177" i="14"/>
  <c r="G176" i="14"/>
  <c r="F176" i="14"/>
  <c r="E176" i="14"/>
  <c r="D176" i="14"/>
  <c r="C176" i="14"/>
  <c r="B176" i="14"/>
  <c r="G175" i="14"/>
  <c r="F175" i="14"/>
  <c r="E175" i="14"/>
  <c r="D175" i="14"/>
  <c r="C175" i="14"/>
  <c r="B175" i="14"/>
  <c r="G174" i="14"/>
  <c r="F174" i="14"/>
  <c r="E174" i="14"/>
  <c r="D174" i="14"/>
  <c r="C174" i="14"/>
  <c r="B174" i="14"/>
  <c r="G173" i="14"/>
  <c r="F173" i="14"/>
  <c r="E173" i="14"/>
  <c r="D173" i="14"/>
  <c r="C173" i="14"/>
  <c r="B173" i="14"/>
  <c r="G172" i="14"/>
  <c r="F172" i="14"/>
  <c r="E172" i="14"/>
  <c r="D172" i="14"/>
  <c r="C172" i="14"/>
  <c r="B172" i="14"/>
  <c r="G171" i="14"/>
  <c r="F171" i="14"/>
  <c r="E171" i="14"/>
  <c r="D171" i="14"/>
  <c r="C171" i="14"/>
  <c r="B171" i="14"/>
  <c r="G170" i="14"/>
  <c r="F170" i="14"/>
  <c r="E170" i="14"/>
  <c r="D170" i="14"/>
  <c r="C170" i="14"/>
  <c r="B170" i="14"/>
  <c r="G169" i="14"/>
  <c r="F169" i="14"/>
  <c r="E169" i="14"/>
  <c r="D169" i="14"/>
  <c r="C169" i="14"/>
  <c r="B169" i="14"/>
  <c r="G168" i="14"/>
  <c r="F168" i="14"/>
  <c r="E168" i="14"/>
  <c r="D168" i="14"/>
  <c r="C168" i="14"/>
  <c r="B168" i="14"/>
  <c r="G167" i="14"/>
  <c r="F167" i="14"/>
  <c r="E167" i="14"/>
  <c r="D167" i="14"/>
  <c r="C167" i="14"/>
  <c r="B167" i="14"/>
  <c r="G166" i="14"/>
  <c r="F166" i="14"/>
  <c r="E166" i="14"/>
  <c r="D166" i="14"/>
  <c r="C166" i="14"/>
  <c r="B166" i="14"/>
  <c r="G165" i="14"/>
  <c r="F165" i="14"/>
  <c r="E165" i="14"/>
  <c r="D165" i="14"/>
  <c r="C165" i="14"/>
  <c r="B165" i="14"/>
  <c r="G164" i="14"/>
  <c r="F164" i="14"/>
  <c r="E164" i="14"/>
  <c r="D164" i="14"/>
  <c r="C164" i="14"/>
  <c r="B164" i="14"/>
  <c r="G163" i="14"/>
  <c r="F163" i="14"/>
  <c r="E163" i="14"/>
  <c r="D163" i="14"/>
  <c r="C163" i="14"/>
  <c r="B163" i="14"/>
  <c r="G162" i="14"/>
  <c r="F162" i="14"/>
  <c r="E162" i="14"/>
  <c r="D162" i="14"/>
  <c r="C162" i="14"/>
  <c r="B162" i="14"/>
  <c r="G161" i="14"/>
  <c r="F161" i="14"/>
  <c r="E161" i="14"/>
  <c r="D161" i="14"/>
  <c r="C161" i="14"/>
  <c r="B161" i="14"/>
  <c r="G160" i="14"/>
  <c r="F160" i="14"/>
  <c r="E160" i="14"/>
  <c r="D160" i="14"/>
  <c r="C160" i="14"/>
  <c r="B160" i="14"/>
  <c r="G159" i="14"/>
  <c r="F159" i="14"/>
  <c r="E159" i="14"/>
  <c r="D159" i="14"/>
  <c r="C159" i="14"/>
  <c r="B159" i="14"/>
  <c r="G158" i="14"/>
  <c r="F158" i="14"/>
  <c r="E158" i="14"/>
  <c r="D158" i="14"/>
  <c r="C158" i="14"/>
  <c r="B158" i="14"/>
  <c r="G157" i="14"/>
  <c r="F157" i="14"/>
  <c r="E157" i="14"/>
  <c r="D157" i="14"/>
  <c r="C157" i="14"/>
  <c r="B157" i="14"/>
  <c r="G156" i="14"/>
  <c r="F156" i="14"/>
  <c r="E156" i="14"/>
  <c r="D156" i="14"/>
  <c r="C156" i="14"/>
  <c r="B156" i="14"/>
  <c r="G155" i="14"/>
  <c r="F155" i="14"/>
  <c r="E155" i="14"/>
  <c r="D155" i="14"/>
  <c r="C155" i="14"/>
  <c r="B155" i="14"/>
  <c r="G154" i="14"/>
  <c r="F154" i="14"/>
  <c r="E154" i="14"/>
  <c r="D154" i="14"/>
  <c r="C154" i="14"/>
  <c r="B154" i="14"/>
  <c r="G153" i="14"/>
  <c r="F153" i="14"/>
  <c r="E153" i="14"/>
  <c r="D153" i="14"/>
  <c r="C153" i="14"/>
  <c r="B153" i="14"/>
  <c r="G152" i="14"/>
  <c r="F152" i="14"/>
  <c r="E152" i="14"/>
  <c r="D152" i="14"/>
  <c r="C152" i="14"/>
  <c r="B152" i="14"/>
  <c r="G151" i="14"/>
  <c r="F151" i="14"/>
  <c r="E151" i="14"/>
  <c r="D151" i="14"/>
  <c r="C151" i="14"/>
  <c r="B151" i="14"/>
  <c r="G150" i="14"/>
  <c r="F150" i="14"/>
  <c r="E150" i="14"/>
  <c r="D150" i="14"/>
  <c r="C150" i="14"/>
  <c r="B150" i="14"/>
  <c r="G149" i="14"/>
  <c r="F149" i="14"/>
  <c r="E149" i="14"/>
  <c r="D149" i="14"/>
  <c r="C149" i="14"/>
  <c r="B149" i="14"/>
  <c r="G148" i="14"/>
  <c r="F148" i="14"/>
  <c r="E148" i="14"/>
  <c r="D148" i="14"/>
  <c r="C148" i="14"/>
  <c r="B148" i="14"/>
  <c r="G147" i="14"/>
  <c r="F147" i="14"/>
  <c r="E147" i="14"/>
  <c r="D147" i="14"/>
  <c r="C147" i="14"/>
  <c r="B147" i="14"/>
  <c r="G146" i="14"/>
  <c r="F146" i="14"/>
  <c r="E146" i="14"/>
  <c r="D146" i="14"/>
  <c r="C146" i="14"/>
  <c r="B146" i="14"/>
  <c r="G145" i="14"/>
  <c r="F145" i="14"/>
  <c r="E145" i="14"/>
  <c r="D145" i="14"/>
  <c r="C145" i="14"/>
  <c r="B145" i="14"/>
  <c r="G144" i="14"/>
  <c r="F144" i="14"/>
  <c r="E144" i="14"/>
  <c r="D144" i="14"/>
  <c r="C144" i="14"/>
  <c r="B144" i="14"/>
  <c r="G143" i="14"/>
  <c r="F143" i="14"/>
  <c r="E143" i="14"/>
  <c r="D143" i="14"/>
  <c r="C143" i="14"/>
  <c r="B143" i="14"/>
  <c r="G142" i="14"/>
  <c r="F142" i="14"/>
  <c r="E142" i="14"/>
  <c r="D142" i="14"/>
  <c r="C142" i="14"/>
  <c r="B142" i="14"/>
  <c r="G141" i="14"/>
  <c r="F141" i="14"/>
  <c r="E141" i="14"/>
  <c r="D141" i="14"/>
  <c r="C141" i="14"/>
  <c r="B141" i="14"/>
  <c r="G140" i="14"/>
  <c r="F140" i="14"/>
  <c r="E140" i="14"/>
  <c r="D140" i="14"/>
  <c r="C140" i="14"/>
  <c r="B140" i="14"/>
  <c r="G139" i="14"/>
  <c r="F139" i="14"/>
  <c r="E139" i="14"/>
  <c r="D139" i="14"/>
  <c r="C139" i="14"/>
  <c r="B139" i="14"/>
  <c r="G138" i="14"/>
  <c r="F138" i="14"/>
  <c r="E138" i="14"/>
  <c r="D138" i="14"/>
  <c r="C138" i="14"/>
  <c r="B138" i="14"/>
  <c r="G137" i="14"/>
  <c r="F137" i="14"/>
  <c r="E137" i="14"/>
  <c r="D137" i="14"/>
  <c r="C137" i="14"/>
  <c r="B137" i="14"/>
  <c r="G136" i="14"/>
  <c r="F136" i="14"/>
  <c r="E136" i="14"/>
  <c r="D136" i="14"/>
  <c r="C136" i="14"/>
  <c r="B136" i="14"/>
  <c r="G135" i="14"/>
  <c r="F135" i="14"/>
  <c r="E135" i="14"/>
  <c r="D135" i="14"/>
  <c r="C135" i="14"/>
  <c r="B135" i="14"/>
  <c r="G134" i="14"/>
  <c r="F134" i="14"/>
  <c r="E134" i="14"/>
  <c r="D134" i="14"/>
  <c r="C134" i="14"/>
  <c r="B134" i="14"/>
  <c r="G133" i="14"/>
  <c r="F133" i="14"/>
  <c r="E133" i="14"/>
  <c r="D133" i="14"/>
  <c r="C133" i="14"/>
  <c r="B133" i="14"/>
  <c r="G132" i="14"/>
  <c r="F132" i="14"/>
  <c r="E132" i="14"/>
  <c r="D132" i="14"/>
  <c r="C132" i="14"/>
  <c r="B132" i="14"/>
  <c r="G131" i="14"/>
  <c r="F131" i="14"/>
  <c r="E131" i="14"/>
  <c r="D131" i="14"/>
  <c r="C131" i="14"/>
  <c r="B131" i="14"/>
  <c r="G130" i="14"/>
  <c r="F130" i="14"/>
  <c r="E130" i="14"/>
  <c r="D130" i="14"/>
  <c r="C130" i="14"/>
  <c r="B130" i="14"/>
  <c r="G129" i="14"/>
  <c r="F129" i="14"/>
  <c r="E129" i="14"/>
  <c r="D129" i="14"/>
  <c r="C129" i="14"/>
  <c r="B129" i="14"/>
  <c r="G128" i="14"/>
  <c r="F128" i="14"/>
  <c r="E128" i="14"/>
  <c r="D128" i="14"/>
  <c r="C128" i="14"/>
  <c r="B128" i="14"/>
  <c r="G127" i="14"/>
  <c r="F127" i="14"/>
  <c r="E127" i="14"/>
  <c r="D127" i="14"/>
  <c r="C127" i="14"/>
  <c r="B127" i="14"/>
  <c r="G126" i="14"/>
  <c r="F126" i="14"/>
  <c r="E126" i="14"/>
  <c r="D126" i="14"/>
  <c r="C126" i="14"/>
  <c r="B126" i="14"/>
  <c r="G125" i="14"/>
  <c r="F125" i="14"/>
  <c r="E125" i="14"/>
  <c r="D125" i="14"/>
  <c r="C125" i="14"/>
  <c r="B125" i="14"/>
  <c r="G124" i="14"/>
  <c r="F124" i="14"/>
  <c r="E124" i="14"/>
  <c r="D124" i="14"/>
  <c r="C124" i="14"/>
  <c r="B124" i="14"/>
  <c r="G123" i="14"/>
  <c r="F123" i="14"/>
  <c r="E123" i="14"/>
  <c r="D123" i="14"/>
  <c r="C123" i="14"/>
  <c r="B123" i="14"/>
  <c r="A123" i="14"/>
  <c r="G122" i="14"/>
  <c r="F122" i="14"/>
  <c r="E122" i="14"/>
  <c r="D122" i="14"/>
  <c r="C122" i="14"/>
  <c r="B122" i="14"/>
  <c r="G121" i="14"/>
  <c r="F121" i="14"/>
  <c r="E121" i="14"/>
  <c r="D121" i="14"/>
  <c r="C121" i="14"/>
  <c r="B121" i="14"/>
  <c r="G120" i="14"/>
  <c r="F120" i="14"/>
  <c r="E120" i="14"/>
  <c r="D120" i="14"/>
  <c r="C120" i="14"/>
  <c r="B120" i="14"/>
  <c r="G119" i="14"/>
  <c r="F119" i="14"/>
  <c r="E119" i="14"/>
  <c r="D119" i="14"/>
  <c r="C119" i="14"/>
  <c r="B119" i="14"/>
  <c r="G118" i="14"/>
  <c r="F118" i="14"/>
  <c r="E118" i="14"/>
  <c r="D118" i="14"/>
  <c r="C118" i="14"/>
  <c r="B118" i="14"/>
  <c r="G117" i="14"/>
  <c r="F117" i="14"/>
  <c r="E117" i="14"/>
  <c r="D117" i="14"/>
  <c r="C117" i="14"/>
  <c r="B117" i="14"/>
  <c r="G116" i="14"/>
  <c r="F116" i="14"/>
  <c r="E116" i="14"/>
  <c r="D116" i="14"/>
  <c r="C116" i="14"/>
  <c r="B116" i="14"/>
  <c r="G115" i="14"/>
  <c r="F115" i="14"/>
  <c r="E115" i="14"/>
  <c r="D115" i="14"/>
  <c r="C115" i="14"/>
  <c r="B115" i="14"/>
  <c r="G114" i="14"/>
  <c r="F114" i="14"/>
  <c r="E114" i="14"/>
  <c r="D114" i="14"/>
  <c r="C114" i="14"/>
  <c r="B114" i="14"/>
  <c r="G113" i="14"/>
  <c r="F113" i="14"/>
  <c r="E113" i="14"/>
  <c r="D113" i="14"/>
  <c r="C113" i="14"/>
  <c r="B113" i="14"/>
  <c r="G112" i="14"/>
  <c r="F112" i="14"/>
  <c r="E112" i="14"/>
  <c r="D112" i="14"/>
  <c r="C112" i="14"/>
  <c r="B112" i="14"/>
  <c r="G111" i="14"/>
  <c r="F111" i="14"/>
  <c r="E111" i="14"/>
  <c r="D111" i="14"/>
  <c r="C111" i="14"/>
  <c r="B111" i="14"/>
  <c r="G110" i="14"/>
  <c r="F110" i="14"/>
  <c r="E110" i="14"/>
  <c r="D110" i="14"/>
  <c r="C110" i="14"/>
  <c r="B110" i="14"/>
  <c r="G109" i="14"/>
  <c r="F109" i="14"/>
  <c r="E109" i="14"/>
  <c r="D109" i="14"/>
  <c r="C109" i="14"/>
  <c r="B109" i="14"/>
  <c r="G108" i="14"/>
  <c r="F108" i="14"/>
  <c r="E108" i="14"/>
  <c r="D108" i="14"/>
  <c r="C108" i="14"/>
  <c r="B108" i="14"/>
  <c r="G107" i="14"/>
  <c r="F107" i="14"/>
  <c r="E107" i="14"/>
  <c r="D107" i="14"/>
  <c r="C107" i="14"/>
  <c r="B107" i="14"/>
  <c r="A107" i="14"/>
  <c r="G106" i="14"/>
  <c r="F106" i="14"/>
  <c r="E106" i="14"/>
  <c r="D106" i="14"/>
  <c r="C106" i="14"/>
  <c r="B106" i="14"/>
  <c r="G105" i="14"/>
  <c r="F105" i="14"/>
  <c r="E105" i="14"/>
  <c r="D105" i="14"/>
  <c r="C105" i="14"/>
  <c r="B105" i="14"/>
  <c r="G104" i="14"/>
  <c r="F104" i="14"/>
  <c r="E104" i="14"/>
  <c r="D104" i="14"/>
  <c r="C104" i="14"/>
  <c r="B104" i="14"/>
  <c r="G103" i="14"/>
  <c r="F103" i="14"/>
  <c r="E103" i="14"/>
  <c r="D103" i="14"/>
  <c r="C103" i="14"/>
  <c r="B103" i="14"/>
  <c r="G102" i="14"/>
  <c r="F102" i="14"/>
  <c r="E102" i="14"/>
  <c r="D102" i="14"/>
  <c r="C102" i="14"/>
  <c r="B102" i="14"/>
  <c r="G101" i="14"/>
  <c r="F101" i="14"/>
  <c r="E101" i="14"/>
  <c r="D101" i="14"/>
  <c r="C101" i="14"/>
  <c r="B101" i="14"/>
  <c r="G100" i="14"/>
  <c r="F100" i="14"/>
  <c r="E100" i="14"/>
  <c r="D100" i="14"/>
  <c r="C100" i="14"/>
  <c r="B100" i="14"/>
  <c r="G99" i="14"/>
  <c r="F99" i="14"/>
  <c r="E99" i="14"/>
  <c r="D99" i="14"/>
  <c r="C99" i="14"/>
  <c r="B99" i="14"/>
  <c r="G98" i="14"/>
  <c r="F98" i="14"/>
  <c r="E98" i="14"/>
  <c r="D98" i="14"/>
  <c r="C98" i="14"/>
  <c r="B98" i="14"/>
  <c r="G97" i="14"/>
  <c r="F97" i="14"/>
  <c r="E97" i="14"/>
  <c r="D97" i="14"/>
  <c r="C97" i="14"/>
  <c r="B97" i="14"/>
  <c r="G96" i="14"/>
  <c r="F96" i="14"/>
  <c r="E96" i="14"/>
  <c r="D96" i="14"/>
  <c r="C96" i="14"/>
  <c r="B96" i="14"/>
  <c r="G95" i="14"/>
  <c r="F95" i="14"/>
  <c r="E95" i="14"/>
  <c r="D95" i="14"/>
  <c r="C95" i="14"/>
  <c r="B95" i="14"/>
  <c r="G94" i="14"/>
  <c r="F94" i="14"/>
  <c r="E94" i="14"/>
  <c r="D94" i="14"/>
  <c r="C94" i="14"/>
  <c r="B94" i="14"/>
  <c r="G93" i="14"/>
  <c r="F93" i="14"/>
  <c r="E93" i="14"/>
  <c r="D93" i="14"/>
  <c r="C93" i="14"/>
  <c r="B93" i="14"/>
  <c r="G92" i="14"/>
  <c r="F92" i="14"/>
  <c r="E92" i="14"/>
  <c r="D92" i="14"/>
  <c r="C92" i="14"/>
  <c r="B92" i="14"/>
  <c r="G91" i="14"/>
  <c r="F91" i="14"/>
  <c r="E91" i="14"/>
  <c r="D91" i="14"/>
  <c r="C91" i="14"/>
  <c r="B91" i="14"/>
  <c r="G90" i="14"/>
  <c r="F90" i="14"/>
  <c r="E90" i="14"/>
  <c r="D90" i="14"/>
  <c r="C90" i="14"/>
  <c r="B90" i="14"/>
  <c r="G89" i="14"/>
  <c r="F89" i="14"/>
  <c r="E89" i="14"/>
  <c r="D89" i="14"/>
  <c r="C89" i="14"/>
  <c r="B89" i="14"/>
  <c r="G88" i="14"/>
  <c r="F88" i="14"/>
  <c r="E88" i="14"/>
  <c r="D88" i="14"/>
  <c r="C88" i="14"/>
  <c r="B88" i="14"/>
  <c r="G87" i="14"/>
  <c r="F87" i="14"/>
  <c r="E87" i="14"/>
  <c r="D87" i="14"/>
  <c r="C87" i="14"/>
  <c r="B87" i="14"/>
  <c r="G86" i="14"/>
  <c r="F86" i="14"/>
  <c r="E86" i="14"/>
  <c r="D86" i="14"/>
  <c r="C86" i="14"/>
  <c r="B86" i="14"/>
  <c r="G85" i="14"/>
  <c r="F85" i="14"/>
  <c r="E85" i="14"/>
  <c r="D85" i="14"/>
  <c r="C85" i="14"/>
  <c r="B85" i="14"/>
  <c r="G84" i="14"/>
  <c r="F84" i="14"/>
  <c r="E84" i="14"/>
  <c r="D84" i="14"/>
  <c r="C84" i="14"/>
  <c r="B84" i="14"/>
  <c r="G83" i="14"/>
  <c r="F83" i="14"/>
  <c r="E83" i="14"/>
  <c r="D83" i="14"/>
  <c r="C83" i="14"/>
  <c r="B83" i="14"/>
  <c r="A83" i="14"/>
  <c r="G82" i="14"/>
  <c r="F82" i="14"/>
  <c r="E82" i="14"/>
  <c r="D82" i="14"/>
  <c r="C82" i="14"/>
  <c r="B82" i="14"/>
  <c r="G81" i="14"/>
  <c r="F81" i="14"/>
  <c r="E81" i="14"/>
  <c r="D81" i="14"/>
  <c r="C81" i="14"/>
  <c r="B81" i="14"/>
  <c r="G80" i="14"/>
  <c r="F80" i="14"/>
  <c r="E80" i="14"/>
  <c r="D80" i="14"/>
  <c r="C80" i="14"/>
  <c r="B80" i="14"/>
  <c r="G79" i="14"/>
  <c r="F79" i="14"/>
  <c r="E79" i="14"/>
  <c r="D79" i="14"/>
  <c r="C79" i="14"/>
  <c r="B79" i="14"/>
  <c r="G78" i="14"/>
  <c r="F78" i="14"/>
  <c r="E78" i="14"/>
  <c r="D78" i="14"/>
  <c r="C78" i="14"/>
  <c r="B78" i="14"/>
  <c r="G77" i="14"/>
  <c r="F77" i="14"/>
  <c r="E77" i="14"/>
  <c r="D77" i="14"/>
  <c r="C77" i="14"/>
  <c r="B77" i="14"/>
  <c r="G76" i="14"/>
  <c r="F76" i="14"/>
  <c r="E76" i="14"/>
  <c r="D76" i="14"/>
  <c r="C76" i="14"/>
  <c r="B76" i="14"/>
  <c r="G75" i="14"/>
  <c r="F75" i="14"/>
  <c r="E75" i="14"/>
  <c r="D75" i="14"/>
  <c r="C75" i="14"/>
  <c r="B75" i="14"/>
  <c r="G74" i="14"/>
  <c r="F74" i="14"/>
  <c r="E74" i="14"/>
  <c r="D74" i="14"/>
  <c r="C74" i="14"/>
  <c r="B74" i="14"/>
  <c r="G73" i="14"/>
  <c r="F73" i="14"/>
  <c r="E73" i="14"/>
  <c r="D73" i="14"/>
  <c r="C73" i="14"/>
  <c r="B73" i="14"/>
  <c r="G72" i="14"/>
  <c r="F72" i="14"/>
  <c r="E72" i="14"/>
  <c r="D72" i="14"/>
  <c r="C72" i="14"/>
  <c r="B72" i="14"/>
  <c r="G71" i="14"/>
  <c r="F71" i="14"/>
  <c r="E71" i="14"/>
  <c r="D71" i="14"/>
  <c r="C71" i="14"/>
  <c r="B71" i="14"/>
  <c r="G70" i="14"/>
  <c r="F70" i="14"/>
  <c r="E70" i="14"/>
  <c r="D70" i="14"/>
  <c r="C70" i="14"/>
  <c r="B70" i="14"/>
  <c r="G69" i="14"/>
  <c r="F69" i="14"/>
  <c r="E69" i="14"/>
  <c r="D69" i="14"/>
  <c r="C69" i="14"/>
  <c r="B69" i="14"/>
  <c r="G68" i="14"/>
  <c r="F68" i="14"/>
  <c r="E68" i="14"/>
  <c r="D68" i="14"/>
  <c r="C68" i="14"/>
  <c r="B68" i="14"/>
  <c r="G67" i="14"/>
  <c r="F67" i="14"/>
  <c r="E67" i="14"/>
  <c r="D67" i="14"/>
  <c r="C67" i="14"/>
  <c r="B67" i="14"/>
  <c r="G66" i="14"/>
  <c r="F66" i="14"/>
  <c r="E66" i="14"/>
  <c r="D66" i="14"/>
  <c r="C66" i="14"/>
  <c r="B66" i="14"/>
  <c r="G65" i="14"/>
  <c r="F65" i="14"/>
  <c r="E65" i="14"/>
  <c r="D65" i="14"/>
  <c r="C65" i="14"/>
  <c r="B65" i="14"/>
  <c r="G64" i="14"/>
  <c r="F64" i="14"/>
  <c r="E64" i="14"/>
  <c r="D64" i="14"/>
  <c r="C64" i="14"/>
  <c r="B64" i="14"/>
  <c r="G63" i="14"/>
  <c r="F63" i="14"/>
  <c r="E63" i="14"/>
  <c r="D63" i="14"/>
  <c r="C63" i="14"/>
  <c r="B63" i="14"/>
  <c r="G62" i="14"/>
  <c r="F62" i="14"/>
  <c r="E62" i="14"/>
  <c r="D62" i="14"/>
  <c r="C62" i="14"/>
  <c r="B62" i="14"/>
  <c r="G61" i="14"/>
  <c r="F61" i="14"/>
  <c r="E61" i="14"/>
  <c r="D61" i="14"/>
  <c r="C61" i="14"/>
  <c r="B61" i="14"/>
  <c r="G60" i="14"/>
  <c r="F60" i="14"/>
  <c r="E60" i="14"/>
  <c r="D60" i="14"/>
  <c r="C60" i="14"/>
  <c r="B60" i="14"/>
  <c r="G59" i="14"/>
  <c r="F59" i="14"/>
  <c r="E59" i="14"/>
  <c r="D59" i="14"/>
  <c r="C59" i="14"/>
  <c r="B59" i="14"/>
  <c r="G58" i="14"/>
  <c r="F58" i="14"/>
  <c r="E58" i="14"/>
  <c r="D58" i="14"/>
  <c r="C58" i="14"/>
  <c r="B58" i="14"/>
  <c r="G57" i="14"/>
  <c r="F57" i="14"/>
  <c r="E57" i="14"/>
  <c r="D57" i="14"/>
  <c r="C57" i="14"/>
  <c r="B57" i="14"/>
  <c r="G56" i="14"/>
  <c r="F56" i="14"/>
  <c r="E56" i="14"/>
  <c r="D56" i="14"/>
  <c r="C56" i="14"/>
  <c r="B56" i="14"/>
  <c r="G55" i="14"/>
  <c r="F55" i="14"/>
  <c r="E55" i="14"/>
  <c r="D55" i="14"/>
  <c r="C55" i="14"/>
  <c r="B55" i="14"/>
  <c r="G54" i="14"/>
  <c r="F54" i="14"/>
  <c r="E54" i="14"/>
  <c r="D54" i="14"/>
  <c r="C54" i="14"/>
  <c r="B54" i="14"/>
  <c r="G53" i="14"/>
  <c r="F53" i="14"/>
  <c r="E53" i="14"/>
  <c r="D53" i="14"/>
  <c r="C53" i="14"/>
  <c r="B53" i="14"/>
  <c r="A53" i="14"/>
  <c r="G52" i="14"/>
  <c r="F52" i="14"/>
  <c r="E52" i="14"/>
  <c r="D52" i="14"/>
  <c r="C52" i="14"/>
  <c r="B52" i="14"/>
  <c r="G51" i="14"/>
  <c r="F51" i="14"/>
  <c r="E51" i="14"/>
  <c r="D51" i="14"/>
  <c r="C51" i="14"/>
  <c r="B51" i="14"/>
  <c r="G50" i="14"/>
  <c r="F50" i="14"/>
  <c r="E50" i="14"/>
  <c r="D50" i="14"/>
  <c r="C50" i="14"/>
  <c r="B50" i="14"/>
  <c r="G49" i="14"/>
  <c r="F49" i="14"/>
  <c r="E49" i="14"/>
  <c r="D49" i="14"/>
  <c r="C49" i="14"/>
  <c r="B49" i="14"/>
  <c r="G48" i="14"/>
  <c r="F48" i="14"/>
  <c r="E48" i="14"/>
  <c r="D48" i="14"/>
  <c r="C48" i="14"/>
  <c r="B48" i="14"/>
  <c r="G47" i="14"/>
  <c r="F47" i="14"/>
  <c r="E47" i="14"/>
  <c r="D47" i="14"/>
  <c r="C47" i="14"/>
  <c r="B47" i="14"/>
  <c r="G46" i="14"/>
  <c r="F46" i="14"/>
  <c r="E46" i="14"/>
  <c r="D46" i="14"/>
  <c r="C46" i="14"/>
  <c r="B46" i="14"/>
  <c r="G45" i="14"/>
  <c r="F45" i="14"/>
  <c r="E45" i="14"/>
  <c r="D45" i="14"/>
  <c r="C45" i="14"/>
  <c r="B45" i="14"/>
  <c r="G44" i="14"/>
  <c r="F44" i="14"/>
  <c r="E44" i="14"/>
  <c r="D44" i="14"/>
  <c r="C44" i="14"/>
  <c r="B44" i="14"/>
  <c r="G43" i="14"/>
  <c r="F43" i="14"/>
  <c r="E43" i="14"/>
  <c r="D43" i="14"/>
  <c r="C43" i="14"/>
  <c r="B43" i="14"/>
  <c r="G42" i="14"/>
  <c r="F42" i="14"/>
  <c r="E42" i="14"/>
  <c r="D42" i="14"/>
  <c r="C42" i="14"/>
  <c r="B42" i="14"/>
  <c r="G41" i="14"/>
  <c r="F41" i="14"/>
  <c r="E41" i="14"/>
  <c r="D41" i="14"/>
  <c r="C41" i="14"/>
  <c r="B41" i="14"/>
  <c r="G40" i="14"/>
  <c r="F40" i="14"/>
  <c r="E40" i="14"/>
  <c r="D40" i="14"/>
  <c r="C40" i="14"/>
  <c r="B40" i="14"/>
  <c r="G39" i="14"/>
  <c r="F39" i="14"/>
  <c r="E39" i="14"/>
  <c r="D39" i="14"/>
  <c r="C39" i="14"/>
  <c r="B39" i="14"/>
  <c r="G38" i="14"/>
  <c r="F38" i="14"/>
  <c r="E38" i="14"/>
  <c r="D38" i="14"/>
  <c r="C38" i="14"/>
  <c r="B38" i="14"/>
  <c r="A38" i="14"/>
  <c r="G37" i="14"/>
  <c r="F37" i="14"/>
  <c r="E37" i="14"/>
  <c r="D37" i="14"/>
  <c r="C37" i="14"/>
  <c r="B37" i="14"/>
  <c r="G36" i="14"/>
  <c r="F36" i="14"/>
  <c r="E36" i="14"/>
  <c r="D36" i="14"/>
  <c r="C36" i="14"/>
  <c r="B36" i="14"/>
  <c r="G35" i="14"/>
  <c r="F35" i="14"/>
  <c r="E35" i="14"/>
  <c r="D35" i="14"/>
  <c r="C35" i="14"/>
  <c r="B35" i="14"/>
  <c r="G34" i="14"/>
  <c r="F34" i="14"/>
  <c r="E34" i="14"/>
  <c r="D34" i="14"/>
  <c r="C34" i="14"/>
  <c r="B34" i="14"/>
  <c r="G33" i="14"/>
  <c r="F33" i="14"/>
  <c r="E33" i="14"/>
  <c r="D33" i="14"/>
  <c r="C33" i="14"/>
  <c r="B33" i="14"/>
  <c r="G32" i="14"/>
  <c r="F32" i="14"/>
  <c r="E32" i="14"/>
  <c r="D32" i="14"/>
  <c r="C32" i="14"/>
  <c r="B32" i="14"/>
  <c r="G31" i="14"/>
  <c r="F31" i="14"/>
  <c r="E31" i="14"/>
  <c r="D31" i="14"/>
  <c r="C31" i="14"/>
  <c r="B31" i="14"/>
  <c r="G30" i="14"/>
  <c r="F30" i="14"/>
  <c r="E30" i="14"/>
  <c r="D30" i="14"/>
  <c r="C30" i="14"/>
  <c r="B30" i="14"/>
  <c r="G29" i="14"/>
  <c r="F29" i="14"/>
  <c r="E29" i="14"/>
  <c r="D29" i="14"/>
  <c r="C29" i="14"/>
  <c r="B29" i="14"/>
  <c r="G28" i="14"/>
  <c r="F28" i="14"/>
  <c r="E28" i="14"/>
  <c r="D28" i="14"/>
  <c r="C28" i="14"/>
  <c r="B28" i="14"/>
  <c r="G27" i="14"/>
  <c r="F27" i="14"/>
  <c r="E27" i="14"/>
  <c r="D27" i="14"/>
  <c r="C27" i="14"/>
  <c r="B27" i="14"/>
  <c r="G26" i="14"/>
  <c r="F26" i="14"/>
  <c r="E26" i="14"/>
  <c r="D26" i="14"/>
  <c r="C26" i="14"/>
  <c r="B26" i="14"/>
  <c r="G25" i="14"/>
  <c r="F25" i="14"/>
  <c r="E25" i="14"/>
  <c r="D25" i="14"/>
  <c r="C25" i="14"/>
  <c r="B25" i="14"/>
  <c r="G24" i="14"/>
  <c r="F24" i="14"/>
  <c r="E24" i="14"/>
  <c r="D24" i="14"/>
  <c r="C24" i="14"/>
  <c r="B24" i="14"/>
  <c r="G23" i="14"/>
  <c r="F23" i="14"/>
  <c r="E23" i="14"/>
  <c r="D23" i="14"/>
  <c r="C23" i="14"/>
  <c r="B23" i="14"/>
  <c r="G22" i="14"/>
  <c r="F22" i="14"/>
  <c r="E22" i="14"/>
  <c r="D22" i="14"/>
  <c r="C22" i="14"/>
  <c r="B22" i="14"/>
  <c r="G21" i="14"/>
  <c r="F21" i="14"/>
  <c r="E21" i="14"/>
  <c r="D21" i="14"/>
  <c r="C21" i="14"/>
  <c r="B21" i="14"/>
  <c r="G20" i="14"/>
  <c r="F20" i="14"/>
  <c r="E20" i="14"/>
  <c r="D20" i="14"/>
  <c r="C20" i="14"/>
  <c r="B20" i="14"/>
  <c r="G19" i="14"/>
  <c r="F19" i="14"/>
  <c r="E19" i="14"/>
  <c r="D19" i="14"/>
  <c r="C19" i="14"/>
  <c r="B19" i="14"/>
  <c r="G18" i="14"/>
  <c r="F18" i="14"/>
  <c r="E18" i="14"/>
  <c r="D18" i="14"/>
  <c r="C18" i="14"/>
  <c r="B18" i="14"/>
  <c r="G17" i="14"/>
  <c r="F17" i="14"/>
  <c r="E17" i="14"/>
  <c r="D17" i="14"/>
  <c r="C17" i="14"/>
  <c r="B17" i="14"/>
  <c r="G16" i="14"/>
  <c r="F16" i="14"/>
  <c r="E16" i="14"/>
  <c r="D16" i="14"/>
  <c r="C16" i="14"/>
  <c r="B16" i="14"/>
  <c r="G15" i="14"/>
  <c r="F15" i="14"/>
  <c r="E15" i="14"/>
  <c r="D15" i="14"/>
  <c r="C15" i="14"/>
  <c r="B15" i="14"/>
  <c r="G14" i="14"/>
  <c r="F14" i="14"/>
  <c r="E14" i="14"/>
  <c r="D14" i="14"/>
  <c r="C14" i="14"/>
  <c r="B14" i="14"/>
  <c r="G13" i="14"/>
  <c r="F13" i="14"/>
  <c r="E13" i="14"/>
  <c r="D13" i="14"/>
  <c r="C13" i="14"/>
  <c r="B13" i="14"/>
  <c r="G12" i="14"/>
  <c r="F12" i="14"/>
  <c r="E12" i="14"/>
  <c r="D12" i="14"/>
  <c r="C12" i="14"/>
  <c r="B12" i="14"/>
  <c r="G11" i="14"/>
  <c r="F11" i="14"/>
  <c r="E11" i="14"/>
  <c r="D11" i="14"/>
  <c r="C11" i="14"/>
  <c r="B11" i="14"/>
  <c r="G10" i="14"/>
  <c r="F10" i="14"/>
  <c r="E10" i="14"/>
  <c r="D10" i="14"/>
  <c r="C10" i="14"/>
  <c r="B10" i="14"/>
  <c r="G9" i="14"/>
  <c r="F9" i="14"/>
  <c r="E9" i="14"/>
  <c r="D9" i="14"/>
  <c r="C9" i="14"/>
  <c r="B9" i="14"/>
  <c r="G8" i="14"/>
  <c r="F8" i="14"/>
  <c r="E8" i="14"/>
  <c r="D8" i="14"/>
  <c r="C8" i="14"/>
  <c r="B8" i="14"/>
  <c r="G7" i="14"/>
  <c r="F7" i="14"/>
  <c r="E7" i="14"/>
  <c r="D7" i="14"/>
  <c r="C7" i="14"/>
  <c r="B7" i="14"/>
  <c r="G6" i="14"/>
  <c r="F6" i="14"/>
  <c r="E6" i="14"/>
  <c r="D6" i="14"/>
  <c r="C6" i="14"/>
  <c r="B6" i="14"/>
  <c r="G5" i="14"/>
  <c r="F5" i="14"/>
  <c r="E5" i="14"/>
  <c r="D5" i="14"/>
  <c r="C5" i="14"/>
  <c r="B5" i="14"/>
  <c r="G4" i="14"/>
  <c r="F4" i="14"/>
  <c r="E4" i="14"/>
  <c r="D4" i="14"/>
  <c r="C4" i="14"/>
  <c r="B4" i="14"/>
  <c r="G3" i="14"/>
  <c r="F3" i="14"/>
  <c r="E3" i="14"/>
  <c r="D3" i="14"/>
  <c r="C3" i="14"/>
  <c r="B3" i="14"/>
  <c r="G2" i="14"/>
  <c r="F2" i="14"/>
  <c r="E2" i="14"/>
  <c r="D2" i="14"/>
  <c r="C2" i="14"/>
  <c r="B2" i="14"/>
  <c r="I1" i="14"/>
  <c r="H1" i="14"/>
  <c r="E1" i="14"/>
  <c r="D1" i="14"/>
  <c r="C1" i="14"/>
  <c r="B1" i="14"/>
  <c r="A1" i="14"/>
  <c r="AG1539" i="13"/>
  <c r="AF1539" i="13"/>
  <c r="AE1539" i="13"/>
  <c r="AD1539" i="13"/>
  <c r="Z1539" i="13"/>
  <c r="Y1539" i="13"/>
  <c r="X1539" i="13"/>
  <c r="W1539" i="13"/>
  <c r="U1539" i="13"/>
  <c r="T1539" i="13"/>
  <c r="S1539" i="13"/>
  <c r="R1539" i="13"/>
  <c r="Q1539" i="13"/>
  <c r="P1539" i="13"/>
  <c r="O1539" i="13"/>
  <c r="N1539" i="13"/>
  <c r="M1539" i="13"/>
  <c r="L1539" i="13"/>
  <c r="J1539" i="13"/>
  <c r="G1539" i="13"/>
  <c r="F1539" i="13"/>
  <c r="E1539" i="13"/>
  <c r="D1539" i="13"/>
  <c r="C1539" i="13"/>
  <c r="B1539" i="13"/>
  <c r="A1539" i="13"/>
  <c r="AG1538" i="13"/>
  <c r="AF1538" i="13"/>
  <c r="AE1538" i="13"/>
  <c r="AD1538" i="13"/>
  <c r="Z1538" i="13"/>
  <c r="Y1538" i="13"/>
  <c r="X1538" i="13"/>
  <c r="W1538" i="13"/>
  <c r="U1538" i="13"/>
  <c r="T1538" i="13"/>
  <c r="S1538" i="13"/>
  <c r="R1538" i="13"/>
  <c r="Q1538" i="13"/>
  <c r="P1538" i="13"/>
  <c r="O1538" i="13"/>
  <c r="N1538" i="13"/>
  <c r="M1538" i="13"/>
  <c r="L1538" i="13"/>
  <c r="J1538" i="13"/>
  <c r="G1538" i="13"/>
  <c r="F1538" i="13"/>
  <c r="E1538" i="13"/>
  <c r="D1538" i="13"/>
  <c r="C1538" i="13"/>
  <c r="B1538" i="13"/>
  <c r="A1538" i="13"/>
  <c r="AG1537" i="13"/>
  <c r="AF1537" i="13"/>
  <c r="AE1537" i="13"/>
  <c r="AD1537" i="13"/>
  <c r="Z1537" i="13"/>
  <c r="Y1537" i="13"/>
  <c r="X1537" i="13"/>
  <c r="W1537" i="13"/>
  <c r="U1537" i="13"/>
  <c r="T1537" i="13"/>
  <c r="S1537" i="13"/>
  <c r="R1537" i="13"/>
  <c r="Q1537" i="13"/>
  <c r="P1537" i="13"/>
  <c r="O1537" i="13"/>
  <c r="N1537" i="13"/>
  <c r="M1537" i="13"/>
  <c r="L1537" i="13"/>
  <c r="J1537" i="13"/>
  <c r="G1537" i="13"/>
  <c r="F1537" i="13"/>
  <c r="E1537" i="13"/>
  <c r="D1537" i="13"/>
  <c r="C1537" i="13"/>
  <c r="B1537" i="13"/>
  <c r="A1537" i="13"/>
  <c r="AG1536" i="13"/>
  <c r="AF1536" i="13"/>
  <c r="AE1536" i="13"/>
  <c r="AD1536" i="13"/>
  <c r="Z1536" i="13"/>
  <c r="Y1536" i="13"/>
  <c r="X1536" i="13"/>
  <c r="W1536" i="13"/>
  <c r="U1536" i="13"/>
  <c r="T1536" i="13"/>
  <c r="S1536" i="13"/>
  <c r="R1536" i="13"/>
  <c r="Q1536" i="13"/>
  <c r="P1536" i="13"/>
  <c r="O1536" i="13"/>
  <c r="N1536" i="13"/>
  <c r="M1536" i="13"/>
  <c r="L1536" i="13"/>
  <c r="J1536" i="13"/>
  <c r="G1536" i="13"/>
  <c r="F1536" i="13"/>
  <c r="E1536" i="13"/>
  <c r="D1536" i="13"/>
  <c r="C1536" i="13"/>
  <c r="B1536" i="13"/>
  <c r="A1536" i="13"/>
  <c r="AG1535" i="13"/>
  <c r="AF1535" i="13"/>
  <c r="AE1535" i="13"/>
  <c r="AD1535" i="13"/>
  <c r="Z1535" i="13"/>
  <c r="Y1535" i="13"/>
  <c r="X1535" i="13"/>
  <c r="W1535" i="13"/>
  <c r="U1535" i="13"/>
  <c r="T1535" i="13"/>
  <c r="S1535" i="13"/>
  <c r="R1535" i="13"/>
  <c r="Q1535" i="13"/>
  <c r="P1535" i="13"/>
  <c r="O1535" i="13"/>
  <c r="N1535" i="13"/>
  <c r="M1535" i="13"/>
  <c r="L1535" i="13"/>
  <c r="J1535" i="13"/>
  <c r="G1535" i="13"/>
  <c r="F1535" i="13"/>
  <c r="E1535" i="13"/>
  <c r="D1535" i="13"/>
  <c r="C1535" i="13"/>
  <c r="B1535" i="13"/>
  <c r="A1535" i="13"/>
  <c r="AG1534" i="13"/>
  <c r="AF1534" i="13"/>
  <c r="AE1534" i="13"/>
  <c r="AD1534" i="13"/>
  <c r="Z1534" i="13"/>
  <c r="Y1534" i="13"/>
  <c r="X1534" i="13"/>
  <c r="W1534" i="13"/>
  <c r="U1534" i="13"/>
  <c r="T1534" i="13"/>
  <c r="S1534" i="13"/>
  <c r="R1534" i="13"/>
  <c r="Q1534" i="13"/>
  <c r="P1534" i="13"/>
  <c r="O1534" i="13"/>
  <c r="N1534" i="13"/>
  <c r="M1534" i="13"/>
  <c r="L1534" i="13"/>
  <c r="J1534" i="13"/>
  <c r="G1534" i="13"/>
  <c r="F1534" i="13"/>
  <c r="E1534" i="13"/>
  <c r="D1534" i="13"/>
  <c r="C1534" i="13"/>
  <c r="B1534" i="13"/>
  <c r="A1534" i="13"/>
  <c r="AG1533" i="13"/>
  <c r="AF1533" i="13"/>
  <c r="AE1533" i="13"/>
  <c r="AD1533" i="13"/>
  <c r="Z1533" i="13"/>
  <c r="Y1533" i="13"/>
  <c r="X1533" i="13"/>
  <c r="W1533" i="13"/>
  <c r="U1533" i="13"/>
  <c r="T1533" i="13"/>
  <c r="S1533" i="13"/>
  <c r="R1533" i="13"/>
  <c r="Q1533" i="13"/>
  <c r="O1533" i="13"/>
  <c r="N1533" i="13"/>
  <c r="M1533" i="13"/>
  <c r="L1533" i="13"/>
  <c r="G1533" i="13"/>
  <c r="F1533" i="13"/>
  <c r="E1533" i="13"/>
  <c r="D1533" i="13"/>
  <c r="C1533" i="13"/>
  <c r="B1533" i="13"/>
  <c r="A1533" i="13"/>
  <c r="AG1532" i="13"/>
  <c r="AF1532" i="13"/>
  <c r="AE1532" i="13"/>
  <c r="AD1532" i="13"/>
  <c r="Z1532" i="13"/>
  <c r="Y1532" i="13"/>
  <c r="X1532" i="13"/>
  <c r="W1532" i="13"/>
  <c r="U1532" i="13"/>
  <c r="T1532" i="13"/>
  <c r="S1532" i="13"/>
  <c r="R1532" i="13"/>
  <c r="Q1532" i="13"/>
  <c r="O1532" i="13"/>
  <c r="N1532" i="13"/>
  <c r="M1532" i="13"/>
  <c r="L1532" i="13"/>
  <c r="G1532" i="13"/>
  <c r="F1532" i="13"/>
  <c r="E1532" i="13"/>
  <c r="D1532" i="13"/>
  <c r="C1532" i="13"/>
  <c r="B1532" i="13"/>
  <c r="A1532" i="13"/>
  <c r="AG1531" i="13"/>
  <c r="AF1531" i="13"/>
  <c r="AE1531" i="13"/>
  <c r="AD1531" i="13"/>
  <c r="Z1531" i="13"/>
  <c r="Y1531" i="13"/>
  <c r="X1531" i="13"/>
  <c r="W1531" i="13"/>
  <c r="U1531" i="13"/>
  <c r="T1531" i="13"/>
  <c r="S1531" i="13"/>
  <c r="R1531" i="13"/>
  <c r="Q1531" i="13"/>
  <c r="O1531" i="13"/>
  <c r="N1531" i="13"/>
  <c r="M1531" i="13"/>
  <c r="L1531" i="13"/>
  <c r="G1531" i="13"/>
  <c r="F1531" i="13"/>
  <c r="E1531" i="13"/>
  <c r="D1531" i="13"/>
  <c r="C1531" i="13"/>
  <c r="B1531" i="13"/>
  <c r="A1531" i="13"/>
  <c r="AG1530" i="13"/>
  <c r="AF1530" i="13"/>
  <c r="AE1530" i="13"/>
  <c r="AD1530" i="13"/>
  <c r="Z1530" i="13"/>
  <c r="Y1530" i="13"/>
  <c r="X1530" i="13"/>
  <c r="W1530" i="13"/>
  <c r="U1530" i="13"/>
  <c r="T1530" i="13"/>
  <c r="S1530" i="13"/>
  <c r="R1530" i="13"/>
  <c r="Q1530" i="13"/>
  <c r="O1530" i="13"/>
  <c r="N1530" i="13"/>
  <c r="M1530" i="13"/>
  <c r="L1530" i="13"/>
  <c r="G1530" i="13"/>
  <c r="F1530" i="13"/>
  <c r="E1530" i="13"/>
  <c r="D1530" i="13"/>
  <c r="C1530" i="13"/>
  <c r="B1530" i="13"/>
  <c r="A1530" i="13"/>
  <c r="AG1529" i="13"/>
  <c r="AF1529" i="13"/>
  <c r="AE1529" i="13"/>
  <c r="AD1529" i="13"/>
  <c r="Z1529" i="13"/>
  <c r="Y1529" i="13"/>
  <c r="X1529" i="13"/>
  <c r="W1529" i="13"/>
  <c r="U1529" i="13"/>
  <c r="T1529" i="13"/>
  <c r="S1529" i="13"/>
  <c r="R1529" i="13"/>
  <c r="Q1529" i="13"/>
  <c r="O1529" i="13"/>
  <c r="N1529" i="13"/>
  <c r="M1529" i="13"/>
  <c r="L1529" i="13"/>
  <c r="G1529" i="13"/>
  <c r="F1529" i="13"/>
  <c r="E1529" i="13"/>
  <c r="D1529" i="13"/>
  <c r="C1529" i="13"/>
  <c r="B1529" i="13"/>
  <c r="A1529" i="13"/>
  <c r="AG1528" i="13"/>
  <c r="AF1528" i="13"/>
  <c r="AE1528" i="13"/>
  <c r="AD1528" i="13"/>
  <c r="Z1528" i="13"/>
  <c r="Y1528" i="13"/>
  <c r="X1528" i="13"/>
  <c r="U1528" i="13"/>
  <c r="T1528" i="13"/>
  <c r="S1528" i="13"/>
  <c r="R1528" i="13"/>
  <c r="Q1528" i="13"/>
  <c r="O1528" i="13"/>
  <c r="N1528" i="13"/>
  <c r="M1528" i="13"/>
  <c r="L1528" i="13"/>
  <c r="F1528" i="13"/>
  <c r="E1528" i="13"/>
  <c r="D1528" i="13"/>
  <c r="C1528" i="13"/>
  <c r="B1528" i="13"/>
  <c r="A1528" i="13"/>
  <c r="AG1527" i="13"/>
  <c r="AF1527" i="13"/>
  <c r="AE1527" i="13"/>
  <c r="AD1527" i="13"/>
  <c r="Z1527" i="13"/>
  <c r="Y1527" i="13"/>
  <c r="X1527" i="13"/>
  <c r="U1527" i="13"/>
  <c r="T1527" i="13"/>
  <c r="S1527" i="13"/>
  <c r="R1527" i="13"/>
  <c r="Q1527" i="13"/>
  <c r="O1527" i="13"/>
  <c r="N1527" i="13"/>
  <c r="M1527" i="13"/>
  <c r="L1527" i="13"/>
  <c r="F1527" i="13"/>
  <c r="E1527" i="13"/>
  <c r="D1527" i="13"/>
  <c r="C1527" i="13"/>
  <c r="B1527" i="13"/>
  <c r="A1527" i="13"/>
  <c r="AG1526" i="13"/>
  <c r="AF1526" i="13"/>
  <c r="AE1526" i="13"/>
  <c r="AD1526" i="13"/>
  <c r="Z1526" i="13"/>
  <c r="Y1526" i="13"/>
  <c r="X1526" i="13"/>
  <c r="U1526" i="13"/>
  <c r="T1526" i="13"/>
  <c r="S1526" i="13"/>
  <c r="R1526" i="13"/>
  <c r="Q1526" i="13"/>
  <c r="O1526" i="13"/>
  <c r="N1526" i="13"/>
  <c r="M1526" i="13"/>
  <c r="L1526" i="13"/>
  <c r="F1526" i="13"/>
  <c r="E1526" i="13"/>
  <c r="D1526" i="13"/>
  <c r="C1526" i="13"/>
  <c r="B1526" i="13"/>
  <c r="A1526" i="13"/>
  <c r="AG1525" i="13"/>
  <c r="AF1525" i="13"/>
  <c r="AE1525" i="13"/>
  <c r="AD1525" i="13"/>
  <c r="Z1525" i="13"/>
  <c r="Y1525" i="13"/>
  <c r="X1525" i="13"/>
  <c r="U1525" i="13"/>
  <c r="T1525" i="13"/>
  <c r="S1525" i="13"/>
  <c r="R1525" i="13"/>
  <c r="Q1525" i="13"/>
  <c r="O1525" i="13"/>
  <c r="N1525" i="13"/>
  <c r="M1525" i="13"/>
  <c r="L1525" i="13"/>
  <c r="F1525" i="13"/>
  <c r="E1525" i="13"/>
  <c r="D1525" i="13"/>
  <c r="C1525" i="13"/>
  <c r="B1525" i="13"/>
  <c r="A1525" i="13"/>
  <c r="AG1524" i="13"/>
  <c r="AF1524" i="13"/>
  <c r="AE1524" i="13"/>
  <c r="AD1524" i="13"/>
  <c r="Z1524" i="13"/>
  <c r="Y1524" i="13"/>
  <c r="X1524" i="13"/>
  <c r="U1524" i="13"/>
  <c r="T1524" i="13"/>
  <c r="S1524" i="13"/>
  <c r="R1524" i="13"/>
  <c r="Q1524" i="13"/>
  <c r="O1524" i="13"/>
  <c r="N1524" i="13"/>
  <c r="M1524" i="13"/>
  <c r="L1524" i="13"/>
  <c r="F1524" i="13"/>
  <c r="E1524" i="13"/>
  <c r="D1524" i="13"/>
  <c r="C1524" i="13"/>
  <c r="B1524" i="13"/>
  <c r="A1524" i="13"/>
  <c r="AG1523" i="13"/>
  <c r="AF1523" i="13"/>
  <c r="AE1523" i="13"/>
  <c r="AD1523" i="13"/>
  <c r="Z1523" i="13"/>
  <c r="Y1523" i="13"/>
  <c r="X1523" i="13"/>
  <c r="U1523" i="13"/>
  <c r="T1523" i="13"/>
  <c r="S1523" i="13"/>
  <c r="R1523" i="13"/>
  <c r="Q1523" i="13"/>
  <c r="O1523" i="13"/>
  <c r="N1523" i="13"/>
  <c r="M1523" i="13"/>
  <c r="L1523" i="13"/>
  <c r="F1523" i="13"/>
  <c r="E1523" i="13"/>
  <c r="D1523" i="13"/>
  <c r="C1523" i="13"/>
  <c r="B1523" i="13"/>
  <c r="A1523" i="13"/>
  <c r="AG1522" i="13"/>
  <c r="AF1522" i="13"/>
  <c r="AE1522" i="13"/>
  <c r="AD1522" i="13"/>
  <c r="Z1522" i="13"/>
  <c r="Y1522" i="13"/>
  <c r="X1522" i="13"/>
  <c r="U1522" i="13"/>
  <c r="T1522" i="13"/>
  <c r="S1522" i="13"/>
  <c r="R1522" i="13"/>
  <c r="Q1522" i="13"/>
  <c r="O1522" i="13"/>
  <c r="N1522" i="13"/>
  <c r="M1522" i="13"/>
  <c r="L1522" i="13"/>
  <c r="F1522" i="13"/>
  <c r="E1522" i="13"/>
  <c r="D1522" i="13"/>
  <c r="C1522" i="13"/>
  <c r="B1522" i="13"/>
  <c r="A1522" i="13"/>
  <c r="AG1521" i="13"/>
  <c r="AF1521" i="13"/>
  <c r="AE1521" i="13"/>
  <c r="AD1521" i="13"/>
  <c r="Z1521" i="13"/>
  <c r="Y1521" i="13"/>
  <c r="X1521" i="13"/>
  <c r="U1521" i="13"/>
  <c r="T1521" i="13"/>
  <c r="S1521" i="13"/>
  <c r="R1521" i="13"/>
  <c r="Q1521" i="13"/>
  <c r="O1521" i="13"/>
  <c r="N1521" i="13"/>
  <c r="M1521" i="13"/>
  <c r="L1521" i="13"/>
  <c r="F1521" i="13"/>
  <c r="E1521" i="13"/>
  <c r="D1521" i="13"/>
  <c r="C1521" i="13"/>
  <c r="B1521" i="13"/>
  <c r="A1521" i="13"/>
  <c r="AG1520" i="13"/>
  <c r="AF1520" i="13"/>
  <c r="AE1520" i="13"/>
  <c r="AD1520" i="13"/>
  <c r="Z1520" i="13"/>
  <c r="Y1520" i="13"/>
  <c r="X1520" i="13"/>
  <c r="U1520" i="13"/>
  <c r="T1520" i="13"/>
  <c r="S1520" i="13"/>
  <c r="R1520" i="13"/>
  <c r="Q1520" i="13"/>
  <c r="O1520" i="13"/>
  <c r="N1520" i="13"/>
  <c r="M1520" i="13"/>
  <c r="L1520" i="13"/>
  <c r="F1520" i="13"/>
  <c r="E1520" i="13"/>
  <c r="D1520" i="13"/>
  <c r="C1520" i="13"/>
  <c r="B1520" i="13"/>
  <c r="A1520" i="13"/>
  <c r="AG1519" i="13"/>
  <c r="AF1519" i="13"/>
  <c r="AE1519" i="13"/>
  <c r="AD1519" i="13"/>
  <c r="Z1519" i="13"/>
  <c r="Y1519" i="13"/>
  <c r="X1519" i="13"/>
  <c r="U1519" i="13"/>
  <c r="T1519" i="13"/>
  <c r="S1519" i="13"/>
  <c r="R1519" i="13"/>
  <c r="Q1519" i="13"/>
  <c r="O1519" i="13"/>
  <c r="N1519" i="13"/>
  <c r="M1519" i="13"/>
  <c r="L1519" i="13"/>
  <c r="F1519" i="13"/>
  <c r="E1519" i="13"/>
  <c r="D1519" i="13"/>
  <c r="C1519" i="13"/>
  <c r="B1519" i="13"/>
  <c r="A1519" i="13"/>
  <c r="AG1518" i="13"/>
  <c r="AF1518" i="13"/>
  <c r="AE1518" i="13"/>
  <c r="AD1518" i="13"/>
  <c r="Z1518" i="13"/>
  <c r="Y1518" i="13"/>
  <c r="X1518" i="13"/>
  <c r="U1518" i="13"/>
  <c r="T1518" i="13"/>
  <c r="S1518" i="13"/>
  <c r="R1518" i="13"/>
  <c r="Q1518" i="13"/>
  <c r="O1518" i="13"/>
  <c r="N1518" i="13"/>
  <c r="M1518" i="13"/>
  <c r="L1518" i="13"/>
  <c r="F1518" i="13"/>
  <c r="E1518" i="13"/>
  <c r="D1518" i="13"/>
  <c r="C1518" i="13"/>
  <c r="B1518" i="13"/>
  <c r="A1518" i="13"/>
  <c r="AG1517" i="13"/>
  <c r="AF1517" i="13"/>
  <c r="AE1517" i="13"/>
  <c r="AD1517" i="13"/>
  <c r="Z1517" i="13"/>
  <c r="Y1517" i="13"/>
  <c r="X1517" i="13"/>
  <c r="U1517" i="13"/>
  <c r="T1517" i="13"/>
  <c r="S1517" i="13"/>
  <c r="R1517" i="13"/>
  <c r="Q1517" i="13"/>
  <c r="O1517" i="13"/>
  <c r="N1517" i="13"/>
  <c r="M1517" i="13"/>
  <c r="L1517" i="13"/>
  <c r="F1517" i="13"/>
  <c r="E1517" i="13"/>
  <c r="D1517" i="13"/>
  <c r="C1517" i="13"/>
  <c r="B1517" i="13"/>
  <c r="A1517" i="13"/>
  <c r="AG1516" i="13"/>
  <c r="AF1516" i="13"/>
  <c r="AE1516" i="13"/>
  <c r="AD1516" i="13"/>
  <c r="Z1516" i="13"/>
  <c r="Y1516" i="13"/>
  <c r="X1516" i="13"/>
  <c r="U1516" i="13"/>
  <c r="T1516" i="13"/>
  <c r="S1516" i="13"/>
  <c r="R1516" i="13"/>
  <c r="Q1516" i="13"/>
  <c r="O1516" i="13"/>
  <c r="N1516" i="13"/>
  <c r="M1516" i="13"/>
  <c r="L1516" i="13"/>
  <c r="F1516" i="13"/>
  <c r="E1516" i="13"/>
  <c r="D1516" i="13"/>
  <c r="C1516" i="13"/>
  <c r="B1516" i="13"/>
  <c r="A1516" i="13"/>
  <c r="AG1515" i="13"/>
  <c r="AF1515" i="13"/>
  <c r="AE1515" i="13"/>
  <c r="AD1515" i="13"/>
  <c r="Z1515" i="13"/>
  <c r="Y1515" i="13"/>
  <c r="X1515" i="13"/>
  <c r="U1515" i="13"/>
  <c r="T1515" i="13"/>
  <c r="S1515" i="13"/>
  <c r="R1515" i="13"/>
  <c r="Q1515" i="13"/>
  <c r="O1515" i="13"/>
  <c r="N1515" i="13"/>
  <c r="M1515" i="13"/>
  <c r="L1515" i="13"/>
  <c r="F1515" i="13"/>
  <c r="E1515" i="13"/>
  <c r="D1515" i="13"/>
  <c r="C1515" i="13"/>
  <c r="B1515" i="13"/>
  <c r="A1515" i="13"/>
  <c r="AG1514" i="13"/>
  <c r="AF1514" i="13"/>
  <c r="AE1514" i="13"/>
  <c r="AD1514" i="13"/>
  <c r="Z1514" i="13"/>
  <c r="Y1514" i="13"/>
  <c r="X1514" i="13"/>
  <c r="U1514" i="13"/>
  <c r="T1514" i="13"/>
  <c r="S1514" i="13"/>
  <c r="R1514" i="13"/>
  <c r="Q1514" i="13"/>
  <c r="O1514" i="13"/>
  <c r="N1514" i="13"/>
  <c r="M1514" i="13"/>
  <c r="L1514" i="13"/>
  <c r="F1514" i="13"/>
  <c r="E1514" i="13"/>
  <c r="D1514" i="13"/>
  <c r="C1514" i="13"/>
  <c r="B1514" i="13"/>
  <c r="A1514" i="13"/>
  <c r="AG1513" i="13"/>
  <c r="AF1513" i="13"/>
  <c r="AE1513" i="13"/>
  <c r="AD1513" i="13"/>
  <c r="Z1513" i="13"/>
  <c r="Y1513" i="13"/>
  <c r="X1513" i="13"/>
  <c r="W1513" i="13"/>
  <c r="U1513" i="13"/>
  <c r="T1513" i="13"/>
  <c r="S1513" i="13"/>
  <c r="R1513" i="13"/>
  <c r="Q1513" i="13"/>
  <c r="P1513" i="13"/>
  <c r="O1513" i="13"/>
  <c r="N1513" i="13"/>
  <c r="M1513" i="13"/>
  <c r="L1513" i="13"/>
  <c r="J1513" i="13"/>
  <c r="G1513" i="13"/>
  <c r="F1513" i="13"/>
  <c r="E1513" i="13"/>
  <c r="D1513" i="13"/>
  <c r="C1513" i="13"/>
  <c r="B1513" i="13"/>
  <c r="A1513" i="13"/>
  <c r="AG1512" i="13"/>
  <c r="AF1512" i="13"/>
  <c r="AE1512" i="13"/>
  <c r="AD1512" i="13"/>
  <c r="Z1512" i="13"/>
  <c r="Y1512" i="13"/>
  <c r="X1512" i="13"/>
  <c r="W1512" i="13"/>
  <c r="U1512" i="13"/>
  <c r="T1512" i="13"/>
  <c r="S1512" i="13"/>
  <c r="R1512" i="13"/>
  <c r="Q1512" i="13"/>
  <c r="P1512" i="13"/>
  <c r="O1512" i="13"/>
  <c r="N1512" i="13"/>
  <c r="M1512" i="13"/>
  <c r="L1512" i="13"/>
  <c r="J1512" i="13"/>
  <c r="G1512" i="13"/>
  <c r="F1512" i="13"/>
  <c r="E1512" i="13"/>
  <c r="D1512" i="13"/>
  <c r="C1512" i="13"/>
  <c r="B1512" i="13"/>
  <c r="A1512" i="13"/>
  <c r="AG1511" i="13"/>
  <c r="AF1511" i="13"/>
  <c r="AE1511" i="13"/>
  <c r="AD1511" i="13"/>
  <c r="Z1511" i="13"/>
  <c r="Y1511" i="13"/>
  <c r="X1511" i="13"/>
  <c r="W1511" i="13"/>
  <c r="U1511" i="13"/>
  <c r="T1511" i="13"/>
  <c r="S1511" i="13"/>
  <c r="R1511" i="13"/>
  <c r="Q1511" i="13"/>
  <c r="P1511" i="13"/>
  <c r="O1511" i="13"/>
  <c r="N1511" i="13"/>
  <c r="M1511" i="13"/>
  <c r="L1511" i="13"/>
  <c r="J1511" i="13"/>
  <c r="G1511" i="13"/>
  <c r="F1511" i="13"/>
  <c r="E1511" i="13"/>
  <c r="D1511" i="13"/>
  <c r="C1511" i="13"/>
  <c r="B1511" i="13"/>
  <c r="A1511" i="13"/>
  <c r="AG1510" i="13"/>
  <c r="AF1510" i="13"/>
  <c r="AE1510" i="13"/>
  <c r="AD1510" i="13"/>
  <c r="Z1510" i="13"/>
  <c r="Y1510" i="13"/>
  <c r="X1510" i="13"/>
  <c r="W1510" i="13"/>
  <c r="U1510" i="13"/>
  <c r="T1510" i="13"/>
  <c r="S1510" i="13"/>
  <c r="R1510" i="13"/>
  <c r="Q1510" i="13"/>
  <c r="P1510" i="13"/>
  <c r="O1510" i="13"/>
  <c r="N1510" i="13"/>
  <c r="M1510" i="13"/>
  <c r="L1510" i="13"/>
  <c r="J1510" i="13"/>
  <c r="G1510" i="13"/>
  <c r="F1510" i="13"/>
  <c r="E1510" i="13"/>
  <c r="D1510" i="13"/>
  <c r="C1510" i="13"/>
  <c r="B1510" i="13"/>
  <c r="A1510" i="13"/>
  <c r="AG1509" i="13"/>
  <c r="AF1509" i="13"/>
  <c r="AE1509" i="13"/>
  <c r="AD1509" i="13"/>
  <c r="Z1509" i="13"/>
  <c r="Y1509" i="13"/>
  <c r="X1509" i="13"/>
  <c r="W1509" i="13"/>
  <c r="U1509" i="13"/>
  <c r="T1509" i="13"/>
  <c r="S1509" i="13"/>
  <c r="R1509" i="13"/>
  <c r="Q1509" i="13"/>
  <c r="P1509" i="13"/>
  <c r="O1509" i="13"/>
  <c r="N1509" i="13"/>
  <c r="M1509" i="13"/>
  <c r="L1509" i="13"/>
  <c r="J1509" i="13"/>
  <c r="G1509" i="13"/>
  <c r="F1509" i="13"/>
  <c r="E1509" i="13"/>
  <c r="D1509" i="13"/>
  <c r="C1509" i="13"/>
  <c r="B1509" i="13"/>
  <c r="A1509" i="13"/>
  <c r="AG1508" i="13"/>
  <c r="AF1508" i="13"/>
  <c r="AE1508" i="13"/>
  <c r="AD1508" i="13"/>
  <c r="Z1508" i="13"/>
  <c r="Y1508" i="13"/>
  <c r="X1508" i="13"/>
  <c r="W1508" i="13"/>
  <c r="U1508" i="13"/>
  <c r="T1508" i="13"/>
  <c r="S1508" i="13"/>
  <c r="R1508" i="13"/>
  <c r="Q1508" i="13"/>
  <c r="P1508" i="13"/>
  <c r="O1508" i="13"/>
  <c r="N1508" i="13"/>
  <c r="M1508" i="13"/>
  <c r="L1508" i="13"/>
  <c r="J1508" i="13"/>
  <c r="G1508" i="13"/>
  <c r="F1508" i="13"/>
  <c r="E1508" i="13"/>
  <c r="D1508" i="13"/>
  <c r="C1508" i="13"/>
  <c r="B1508" i="13"/>
  <c r="A1508" i="13"/>
  <c r="AG1507" i="13"/>
  <c r="AF1507" i="13"/>
  <c r="AE1507" i="13"/>
  <c r="AD1507" i="13"/>
  <c r="Z1507" i="13"/>
  <c r="Y1507" i="13"/>
  <c r="X1507" i="13"/>
  <c r="W1507" i="13"/>
  <c r="U1507" i="13"/>
  <c r="T1507" i="13"/>
  <c r="S1507" i="13"/>
  <c r="R1507" i="13"/>
  <c r="Q1507" i="13"/>
  <c r="P1507" i="13"/>
  <c r="O1507" i="13"/>
  <c r="N1507" i="13"/>
  <c r="M1507" i="13"/>
  <c r="L1507" i="13"/>
  <c r="J1507" i="13"/>
  <c r="G1507" i="13"/>
  <c r="F1507" i="13"/>
  <c r="E1507" i="13"/>
  <c r="D1507" i="13"/>
  <c r="C1507" i="13"/>
  <c r="B1507" i="13"/>
  <c r="A1507" i="13"/>
  <c r="AG1506" i="13"/>
  <c r="AF1506" i="13"/>
  <c r="AE1506" i="13"/>
  <c r="AD1506" i="13"/>
  <c r="Z1506" i="13"/>
  <c r="Y1506" i="13"/>
  <c r="X1506" i="13"/>
  <c r="W1506" i="13"/>
  <c r="U1506" i="13"/>
  <c r="T1506" i="13"/>
  <c r="S1506" i="13"/>
  <c r="R1506" i="13"/>
  <c r="Q1506" i="13"/>
  <c r="P1506" i="13"/>
  <c r="O1506" i="13"/>
  <c r="N1506" i="13"/>
  <c r="M1506" i="13"/>
  <c r="L1506" i="13"/>
  <c r="J1506" i="13"/>
  <c r="G1506" i="13"/>
  <c r="F1506" i="13"/>
  <c r="E1506" i="13"/>
  <c r="D1506" i="13"/>
  <c r="C1506" i="13"/>
  <c r="B1506" i="13"/>
  <c r="A1506" i="13"/>
  <c r="AG1505" i="13"/>
  <c r="AF1505" i="13"/>
  <c r="AE1505" i="13"/>
  <c r="AD1505" i="13"/>
  <c r="Z1505" i="13"/>
  <c r="Y1505" i="13"/>
  <c r="X1505" i="13"/>
  <c r="W1505" i="13"/>
  <c r="U1505" i="13"/>
  <c r="T1505" i="13"/>
  <c r="S1505" i="13"/>
  <c r="R1505" i="13"/>
  <c r="Q1505" i="13"/>
  <c r="P1505" i="13"/>
  <c r="O1505" i="13"/>
  <c r="N1505" i="13"/>
  <c r="M1505" i="13"/>
  <c r="L1505" i="13"/>
  <c r="J1505" i="13"/>
  <c r="G1505" i="13"/>
  <c r="F1505" i="13"/>
  <c r="E1505" i="13"/>
  <c r="D1505" i="13"/>
  <c r="C1505" i="13"/>
  <c r="B1505" i="13"/>
  <c r="A1505" i="13"/>
  <c r="AG1504" i="13"/>
  <c r="AF1504" i="13"/>
  <c r="AE1504" i="13"/>
  <c r="AD1504" i="13"/>
  <c r="Z1504" i="13"/>
  <c r="Y1504" i="13"/>
  <c r="X1504" i="13"/>
  <c r="W1504" i="13"/>
  <c r="U1504" i="13"/>
  <c r="T1504" i="13"/>
  <c r="S1504" i="13"/>
  <c r="R1504" i="13"/>
  <c r="Q1504" i="13"/>
  <c r="P1504" i="13"/>
  <c r="O1504" i="13"/>
  <c r="N1504" i="13"/>
  <c r="M1504" i="13"/>
  <c r="L1504" i="13"/>
  <c r="J1504" i="13"/>
  <c r="G1504" i="13"/>
  <c r="F1504" i="13"/>
  <c r="E1504" i="13"/>
  <c r="D1504" i="13"/>
  <c r="C1504" i="13"/>
  <c r="B1504" i="13"/>
  <c r="A1504" i="13"/>
  <c r="AG1503" i="13"/>
  <c r="AF1503" i="13"/>
  <c r="AE1503" i="13"/>
  <c r="AD1503" i="13"/>
  <c r="Z1503" i="13"/>
  <c r="Y1503" i="13"/>
  <c r="X1503" i="13"/>
  <c r="W1503" i="13"/>
  <c r="U1503" i="13"/>
  <c r="T1503" i="13"/>
  <c r="S1503" i="13"/>
  <c r="R1503" i="13"/>
  <c r="Q1503" i="13"/>
  <c r="P1503" i="13"/>
  <c r="O1503" i="13"/>
  <c r="N1503" i="13"/>
  <c r="M1503" i="13"/>
  <c r="L1503" i="13"/>
  <c r="J1503" i="13"/>
  <c r="G1503" i="13"/>
  <c r="F1503" i="13"/>
  <c r="E1503" i="13"/>
  <c r="D1503" i="13"/>
  <c r="C1503" i="13"/>
  <c r="B1503" i="13"/>
  <c r="A1503" i="13"/>
  <c r="AG1502" i="13"/>
  <c r="AF1502" i="13"/>
  <c r="AE1502" i="13"/>
  <c r="AD1502" i="13"/>
  <c r="Z1502" i="13"/>
  <c r="Y1502" i="13"/>
  <c r="X1502" i="13"/>
  <c r="W1502" i="13"/>
  <c r="U1502" i="13"/>
  <c r="T1502" i="13"/>
  <c r="S1502" i="13"/>
  <c r="R1502" i="13"/>
  <c r="Q1502" i="13"/>
  <c r="P1502" i="13"/>
  <c r="O1502" i="13"/>
  <c r="N1502" i="13"/>
  <c r="M1502" i="13"/>
  <c r="L1502" i="13"/>
  <c r="J1502" i="13"/>
  <c r="G1502" i="13"/>
  <c r="F1502" i="13"/>
  <c r="E1502" i="13"/>
  <c r="D1502" i="13"/>
  <c r="C1502" i="13"/>
  <c r="B1502" i="13"/>
  <c r="A1502" i="13"/>
  <c r="AG1501" i="13"/>
  <c r="AF1501" i="13"/>
  <c r="AE1501" i="13"/>
  <c r="AD1501" i="13"/>
  <c r="Z1501" i="13"/>
  <c r="Y1501" i="13"/>
  <c r="X1501" i="13"/>
  <c r="W1501" i="13"/>
  <c r="U1501" i="13"/>
  <c r="T1501" i="13"/>
  <c r="S1501" i="13"/>
  <c r="R1501" i="13"/>
  <c r="Q1501" i="13"/>
  <c r="P1501" i="13"/>
  <c r="O1501" i="13"/>
  <c r="N1501" i="13"/>
  <c r="M1501" i="13"/>
  <c r="L1501" i="13"/>
  <c r="J1501" i="13"/>
  <c r="G1501" i="13"/>
  <c r="F1501" i="13"/>
  <c r="E1501" i="13"/>
  <c r="D1501" i="13"/>
  <c r="C1501" i="13"/>
  <c r="B1501" i="13"/>
  <c r="A1501" i="13"/>
  <c r="AG1500" i="13"/>
  <c r="AF1500" i="13"/>
  <c r="AE1500" i="13"/>
  <c r="AD1500" i="13"/>
  <c r="Z1500" i="13"/>
  <c r="Y1500" i="13"/>
  <c r="X1500" i="13"/>
  <c r="W1500" i="13"/>
  <c r="U1500" i="13"/>
  <c r="T1500" i="13"/>
  <c r="S1500" i="13"/>
  <c r="R1500" i="13"/>
  <c r="Q1500" i="13"/>
  <c r="P1500" i="13"/>
  <c r="O1500" i="13"/>
  <c r="N1500" i="13"/>
  <c r="M1500" i="13"/>
  <c r="L1500" i="13"/>
  <c r="J1500" i="13"/>
  <c r="G1500" i="13"/>
  <c r="F1500" i="13"/>
  <c r="E1500" i="13"/>
  <c r="D1500" i="13"/>
  <c r="C1500" i="13"/>
  <c r="B1500" i="13"/>
  <c r="A1500" i="13"/>
  <c r="AG1499" i="13"/>
  <c r="AF1499" i="13"/>
  <c r="AE1499" i="13"/>
  <c r="AD1499" i="13"/>
  <c r="Z1499" i="13"/>
  <c r="Y1499" i="13"/>
  <c r="X1499" i="13"/>
  <c r="W1499" i="13"/>
  <c r="U1499" i="13"/>
  <c r="T1499" i="13"/>
  <c r="S1499" i="13"/>
  <c r="R1499" i="13"/>
  <c r="Q1499" i="13"/>
  <c r="P1499" i="13"/>
  <c r="O1499" i="13"/>
  <c r="N1499" i="13"/>
  <c r="M1499" i="13"/>
  <c r="L1499" i="13"/>
  <c r="J1499" i="13"/>
  <c r="G1499" i="13"/>
  <c r="F1499" i="13"/>
  <c r="E1499" i="13"/>
  <c r="D1499" i="13"/>
  <c r="C1499" i="13"/>
  <c r="B1499" i="13"/>
  <c r="A1499" i="13"/>
  <c r="AG1498" i="13"/>
  <c r="AF1498" i="13"/>
  <c r="AE1498" i="13"/>
  <c r="AD1498" i="13"/>
  <c r="Z1498" i="13"/>
  <c r="Y1498" i="13"/>
  <c r="X1498" i="13"/>
  <c r="U1498" i="13"/>
  <c r="T1498" i="13"/>
  <c r="S1498" i="13"/>
  <c r="R1498" i="13"/>
  <c r="Q1498" i="13"/>
  <c r="P1498" i="13"/>
  <c r="O1498" i="13"/>
  <c r="N1498" i="13"/>
  <c r="M1498" i="13"/>
  <c r="L1498" i="13"/>
  <c r="G1498" i="13"/>
  <c r="F1498" i="13"/>
  <c r="E1498" i="13"/>
  <c r="D1498" i="13"/>
  <c r="C1498" i="13"/>
  <c r="B1498" i="13"/>
  <c r="A1498" i="13"/>
  <c r="AG1497" i="13"/>
  <c r="AF1497" i="13"/>
  <c r="AE1497" i="13"/>
  <c r="AD1497" i="13"/>
  <c r="Z1497" i="13"/>
  <c r="Y1497" i="13"/>
  <c r="X1497" i="13"/>
  <c r="U1497" i="13"/>
  <c r="T1497" i="13"/>
  <c r="S1497" i="13"/>
  <c r="R1497" i="13"/>
  <c r="Q1497" i="13"/>
  <c r="P1497" i="13"/>
  <c r="O1497" i="13"/>
  <c r="N1497" i="13"/>
  <c r="M1497" i="13"/>
  <c r="L1497" i="13"/>
  <c r="G1497" i="13"/>
  <c r="F1497" i="13"/>
  <c r="E1497" i="13"/>
  <c r="D1497" i="13"/>
  <c r="C1497" i="13"/>
  <c r="B1497" i="13"/>
  <c r="A1497" i="13"/>
  <c r="AG1496" i="13"/>
  <c r="AF1496" i="13"/>
  <c r="AE1496" i="13"/>
  <c r="AD1496" i="13"/>
  <c r="Z1496" i="13"/>
  <c r="Y1496" i="13"/>
  <c r="X1496" i="13"/>
  <c r="U1496" i="13"/>
  <c r="T1496" i="13"/>
  <c r="S1496" i="13"/>
  <c r="R1496" i="13"/>
  <c r="Q1496" i="13"/>
  <c r="P1496" i="13"/>
  <c r="O1496" i="13"/>
  <c r="N1496" i="13"/>
  <c r="M1496" i="13"/>
  <c r="L1496" i="13"/>
  <c r="G1496" i="13"/>
  <c r="F1496" i="13"/>
  <c r="E1496" i="13"/>
  <c r="D1496" i="13"/>
  <c r="C1496" i="13"/>
  <c r="B1496" i="13"/>
  <c r="A1496" i="13"/>
  <c r="AG1495" i="13"/>
  <c r="AF1495" i="13"/>
  <c r="AE1495" i="13"/>
  <c r="AD1495" i="13"/>
  <c r="Z1495" i="13"/>
  <c r="Y1495" i="13"/>
  <c r="X1495" i="13"/>
  <c r="U1495" i="13"/>
  <c r="T1495" i="13"/>
  <c r="S1495" i="13"/>
  <c r="R1495" i="13"/>
  <c r="Q1495" i="13"/>
  <c r="P1495" i="13"/>
  <c r="O1495" i="13"/>
  <c r="N1495" i="13"/>
  <c r="M1495" i="13"/>
  <c r="L1495" i="13"/>
  <c r="G1495" i="13"/>
  <c r="F1495" i="13"/>
  <c r="E1495" i="13"/>
  <c r="D1495" i="13"/>
  <c r="C1495" i="13"/>
  <c r="B1495" i="13"/>
  <c r="A1495" i="13"/>
  <c r="AG1494" i="13"/>
  <c r="AF1494" i="13"/>
  <c r="AE1494" i="13"/>
  <c r="AD1494" i="13"/>
  <c r="Z1494" i="13"/>
  <c r="Y1494" i="13"/>
  <c r="X1494" i="13"/>
  <c r="W1494" i="13"/>
  <c r="U1494" i="13"/>
  <c r="T1494" i="13"/>
  <c r="S1494" i="13"/>
  <c r="R1494" i="13"/>
  <c r="Q1494" i="13"/>
  <c r="P1494" i="13"/>
  <c r="O1494" i="13"/>
  <c r="N1494" i="13"/>
  <c r="M1494" i="13"/>
  <c r="L1494" i="13"/>
  <c r="J1494" i="13"/>
  <c r="G1494" i="13"/>
  <c r="F1494" i="13"/>
  <c r="E1494" i="13"/>
  <c r="D1494" i="13"/>
  <c r="C1494" i="13"/>
  <c r="B1494" i="13"/>
  <c r="A1494" i="13"/>
  <c r="AG1493" i="13"/>
  <c r="AF1493" i="13"/>
  <c r="AE1493" i="13"/>
  <c r="AD1493" i="13"/>
  <c r="Z1493" i="13"/>
  <c r="Y1493" i="13"/>
  <c r="X1493" i="13"/>
  <c r="W1493" i="13"/>
  <c r="U1493" i="13"/>
  <c r="T1493" i="13"/>
  <c r="S1493" i="13"/>
  <c r="R1493" i="13"/>
  <c r="Q1493" i="13"/>
  <c r="P1493" i="13"/>
  <c r="O1493" i="13"/>
  <c r="N1493" i="13"/>
  <c r="M1493" i="13"/>
  <c r="L1493" i="13"/>
  <c r="J1493" i="13"/>
  <c r="G1493" i="13"/>
  <c r="F1493" i="13"/>
  <c r="E1493" i="13"/>
  <c r="D1493" i="13"/>
  <c r="C1493" i="13"/>
  <c r="B1493" i="13"/>
  <c r="A1493" i="13"/>
  <c r="AG1492" i="13"/>
  <c r="AF1492" i="13"/>
  <c r="AE1492" i="13"/>
  <c r="AD1492" i="13"/>
  <c r="Z1492" i="13"/>
  <c r="Y1492" i="13"/>
  <c r="X1492" i="13"/>
  <c r="W1492" i="13"/>
  <c r="U1492" i="13"/>
  <c r="T1492" i="13"/>
  <c r="S1492" i="13"/>
  <c r="R1492" i="13"/>
  <c r="Q1492" i="13"/>
  <c r="P1492" i="13"/>
  <c r="O1492" i="13"/>
  <c r="N1492" i="13"/>
  <c r="M1492" i="13"/>
  <c r="L1492" i="13"/>
  <c r="J1492" i="13"/>
  <c r="G1492" i="13"/>
  <c r="F1492" i="13"/>
  <c r="E1492" i="13"/>
  <c r="D1492" i="13"/>
  <c r="C1492" i="13"/>
  <c r="B1492" i="13"/>
  <c r="A1492" i="13"/>
  <c r="AG1491" i="13"/>
  <c r="AF1491" i="13"/>
  <c r="AE1491" i="13"/>
  <c r="AD1491" i="13"/>
  <c r="Z1491" i="13"/>
  <c r="Y1491" i="13"/>
  <c r="X1491" i="13"/>
  <c r="W1491" i="13"/>
  <c r="U1491" i="13"/>
  <c r="T1491" i="13"/>
  <c r="S1491" i="13"/>
  <c r="R1491" i="13"/>
  <c r="Q1491" i="13"/>
  <c r="P1491" i="13"/>
  <c r="O1491" i="13"/>
  <c r="N1491" i="13"/>
  <c r="M1491" i="13"/>
  <c r="L1491" i="13"/>
  <c r="J1491" i="13"/>
  <c r="G1491" i="13"/>
  <c r="F1491" i="13"/>
  <c r="E1491" i="13"/>
  <c r="D1491" i="13"/>
  <c r="C1491" i="13"/>
  <c r="B1491" i="13"/>
  <c r="A1491" i="13"/>
  <c r="AG1490" i="13"/>
  <c r="AF1490" i="13"/>
  <c r="AE1490" i="13"/>
  <c r="AD1490" i="13"/>
  <c r="Z1490" i="13"/>
  <c r="Y1490" i="13"/>
  <c r="X1490" i="13"/>
  <c r="W1490" i="13"/>
  <c r="U1490" i="13"/>
  <c r="T1490" i="13"/>
  <c r="S1490" i="13"/>
  <c r="R1490" i="13"/>
  <c r="Q1490" i="13"/>
  <c r="P1490" i="13"/>
  <c r="O1490" i="13"/>
  <c r="N1490" i="13"/>
  <c r="M1490" i="13"/>
  <c r="L1490" i="13"/>
  <c r="J1490" i="13"/>
  <c r="G1490" i="13"/>
  <c r="F1490" i="13"/>
  <c r="E1490" i="13"/>
  <c r="D1490" i="13"/>
  <c r="C1490" i="13"/>
  <c r="B1490" i="13"/>
  <c r="A1490" i="13"/>
  <c r="AG1489" i="13"/>
  <c r="AF1489" i="13"/>
  <c r="AE1489" i="13"/>
  <c r="AD1489" i="13"/>
  <c r="Z1489" i="13"/>
  <c r="Y1489" i="13"/>
  <c r="X1489" i="13"/>
  <c r="W1489" i="13"/>
  <c r="U1489" i="13"/>
  <c r="T1489" i="13"/>
  <c r="S1489" i="13"/>
  <c r="R1489" i="13"/>
  <c r="Q1489" i="13"/>
  <c r="P1489" i="13"/>
  <c r="O1489" i="13"/>
  <c r="N1489" i="13"/>
  <c r="M1489" i="13"/>
  <c r="L1489" i="13"/>
  <c r="J1489" i="13"/>
  <c r="G1489" i="13"/>
  <c r="F1489" i="13"/>
  <c r="E1489" i="13"/>
  <c r="D1489" i="13"/>
  <c r="C1489" i="13"/>
  <c r="B1489" i="13"/>
  <c r="A1489" i="13"/>
  <c r="AG1488" i="13"/>
  <c r="AF1488" i="13"/>
  <c r="AE1488" i="13"/>
  <c r="AD1488" i="13"/>
  <c r="Z1488" i="13"/>
  <c r="Y1488" i="13"/>
  <c r="X1488" i="13"/>
  <c r="W1488" i="13"/>
  <c r="U1488" i="13"/>
  <c r="T1488" i="13"/>
  <c r="S1488" i="13"/>
  <c r="R1488" i="13"/>
  <c r="Q1488" i="13"/>
  <c r="P1488" i="13"/>
  <c r="O1488" i="13"/>
  <c r="N1488" i="13"/>
  <c r="M1488" i="13"/>
  <c r="L1488" i="13"/>
  <c r="J1488" i="13"/>
  <c r="G1488" i="13"/>
  <c r="F1488" i="13"/>
  <c r="E1488" i="13"/>
  <c r="D1488" i="13"/>
  <c r="C1488" i="13"/>
  <c r="B1488" i="13"/>
  <c r="A1488" i="13"/>
  <c r="AG1487" i="13"/>
  <c r="AF1487" i="13"/>
  <c r="AE1487" i="13"/>
  <c r="AD1487" i="13"/>
  <c r="Z1487" i="13"/>
  <c r="Y1487" i="13"/>
  <c r="X1487" i="13"/>
  <c r="W1487" i="13"/>
  <c r="U1487" i="13"/>
  <c r="T1487" i="13"/>
  <c r="S1487" i="13"/>
  <c r="R1487" i="13"/>
  <c r="Q1487" i="13"/>
  <c r="P1487" i="13"/>
  <c r="O1487" i="13"/>
  <c r="N1487" i="13"/>
  <c r="M1487" i="13"/>
  <c r="L1487" i="13"/>
  <c r="J1487" i="13"/>
  <c r="G1487" i="13"/>
  <c r="F1487" i="13"/>
  <c r="E1487" i="13"/>
  <c r="D1487" i="13"/>
  <c r="C1487" i="13"/>
  <c r="B1487" i="13"/>
  <c r="A1487" i="13"/>
  <c r="AG1486" i="13"/>
  <c r="AF1486" i="13"/>
  <c r="AE1486" i="13"/>
  <c r="AD1486" i="13"/>
  <c r="Z1486" i="13"/>
  <c r="Y1486" i="13"/>
  <c r="X1486" i="13"/>
  <c r="W1486" i="13"/>
  <c r="U1486" i="13"/>
  <c r="T1486" i="13"/>
  <c r="S1486" i="13"/>
  <c r="R1486" i="13"/>
  <c r="Q1486" i="13"/>
  <c r="P1486" i="13"/>
  <c r="O1486" i="13"/>
  <c r="N1486" i="13"/>
  <c r="M1486" i="13"/>
  <c r="L1486" i="13"/>
  <c r="J1486" i="13"/>
  <c r="G1486" i="13"/>
  <c r="F1486" i="13"/>
  <c r="E1486" i="13"/>
  <c r="D1486" i="13"/>
  <c r="C1486" i="13"/>
  <c r="B1486" i="13"/>
  <c r="A1486" i="13"/>
  <c r="AG1485" i="13"/>
  <c r="AF1485" i="13"/>
  <c r="AE1485" i="13"/>
  <c r="AD1485" i="13"/>
  <c r="Z1485" i="13"/>
  <c r="Y1485" i="13"/>
  <c r="X1485" i="13"/>
  <c r="W1485" i="13"/>
  <c r="U1485" i="13"/>
  <c r="T1485" i="13"/>
  <c r="S1485" i="13"/>
  <c r="R1485" i="13"/>
  <c r="Q1485" i="13"/>
  <c r="P1485" i="13"/>
  <c r="O1485" i="13"/>
  <c r="N1485" i="13"/>
  <c r="M1485" i="13"/>
  <c r="L1485" i="13"/>
  <c r="J1485" i="13"/>
  <c r="G1485" i="13"/>
  <c r="F1485" i="13"/>
  <c r="E1485" i="13"/>
  <c r="D1485" i="13"/>
  <c r="C1485" i="13"/>
  <c r="B1485" i="13"/>
  <c r="A1485" i="13"/>
  <c r="AG1484" i="13"/>
  <c r="AF1484" i="13"/>
  <c r="AE1484" i="13"/>
  <c r="AD1484" i="13"/>
  <c r="Z1484" i="13"/>
  <c r="Y1484" i="13"/>
  <c r="X1484" i="13"/>
  <c r="W1484" i="13"/>
  <c r="U1484" i="13"/>
  <c r="T1484" i="13"/>
  <c r="S1484" i="13"/>
  <c r="R1484" i="13"/>
  <c r="Q1484" i="13"/>
  <c r="P1484" i="13"/>
  <c r="O1484" i="13"/>
  <c r="N1484" i="13"/>
  <c r="M1484" i="13"/>
  <c r="L1484" i="13"/>
  <c r="J1484" i="13"/>
  <c r="G1484" i="13"/>
  <c r="F1484" i="13"/>
  <c r="E1484" i="13"/>
  <c r="D1484" i="13"/>
  <c r="C1484" i="13"/>
  <c r="B1484" i="13"/>
  <c r="A1484" i="13"/>
  <c r="AG1483" i="13"/>
  <c r="AF1483" i="13"/>
  <c r="AE1483" i="13"/>
  <c r="AD1483" i="13"/>
  <c r="Z1483" i="13"/>
  <c r="Y1483" i="13"/>
  <c r="X1483" i="13"/>
  <c r="W1483" i="13"/>
  <c r="U1483" i="13"/>
  <c r="T1483" i="13"/>
  <c r="S1483" i="13"/>
  <c r="R1483" i="13"/>
  <c r="Q1483" i="13"/>
  <c r="P1483" i="13"/>
  <c r="O1483" i="13"/>
  <c r="N1483" i="13"/>
  <c r="M1483" i="13"/>
  <c r="L1483" i="13"/>
  <c r="J1483" i="13"/>
  <c r="G1483" i="13"/>
  <c r="F1483" i="13"/>
  <c r="E1483" i="13"/>
  <c r="D1483" i="13"/>
  <c r="C1483" i="13"/>
  <c r="B1483" i="13"/>
  <c r="A1483" i="13"/>
  <c r="AG1482" i="13"/>
  <c r="AF1482" i="13"/>
  <c r="AE1482" i="13"/>
  <c r="AD1482" i="13"/>
  <c r="AA1482" i="13"/>
  <c r="Z1482" i="13"/>
  <c r="Y1482" i="13"/>
  <c r="X1482" i="13"/>
  <c r="W1482" i="13"/>
  <c r="U1482" i="13"/>
  <c r="T1482" i="13"/>
  <c r="S1482" i="13"/>
  <c r="R1482" i="13"/>
  <c r="Q1482" i="13"/>
  <c r="P1482" i="13"/>
  <c r="O1482" i="13"/>
  <c r="N1482" i="13"/>
  <c r="M1482" i="13"/>
  <c r="L1482" i="13"/>
  <c r="J1482" i="13"/>
  <c r="H1482" i="13"/>
  <c r="G1482" i="13"/>
  <c r="F1482" i="13"/>
  <c r="E1482" i="13"/>
  <c r="D1482" i="13"/>
  <c r="C1482" i="13"/>
  <c r="B1482" i="13"/>
  <c r="A1482" i="13"/>
  <c r="AG1481" i="13"/>
  <c r="AF1481" i="13"/>
  <c r="AE1481" i="13"/>
  <c r="AD1481" i="13"/>
  <c r="Z1481" i="13"/>
  <c r="Y1481" i="13"/>
  <c r="X1481" i="13"/>
  <c r="W1481" i="13"/>
  <c r="U1481" i="13"/>
  <c r="T1481" i="13"/>
  <c r="S1481" i="13"/>
  <c r="R1481" i="13"/>
  <c r="Q1481" i="13"/>
  <c r="P1481" i="13"/>
  <c r="O1481" i="13"/>
  <c r="N1481" i="13"/>
  <c r="M1481" i="13"/>
  <c r="L1481" i="13"/>
  <c r="J1481" i="13"/>
  <c r="G1481" i="13"/>
  <c r="F1481" i="13"/>
  <c r="E1481" i="13"/>
  <c r="D1481" i="13"/>
  <c r="C1481" i="13"/>
  <c r="B1481" i="13"/>
  <c r="A1481" i="13"/>
  <c r="AG1480" i="13"/>
  <c r="AF1480" i="13"/>
  <c r="AE1480" i="13"/>
  <c r="AD1480" i="13"/>
  <c r="AA1480" i="13"/>
  <c r="Z1480" i="13"/>
  <c r="Y1480" i="13"/>
  <c r="X1480" i="13"/>
  <c r="W1480" i="13"/>
  <c r="U1480" i="13"/>
  <c r="T1480" i="13"/>
  <c r="S1480" i="13"/>
  <c r="R1480" i="13"/>
  <c r="Q1480" i="13"/>
  <c r="P1480" i="13"/>
  <c r="O1480" i="13"/>
  <c r="N1480" i="13"/>
  <c r="M1480" i="13"/>
  <c r="L1480" i="13"/>
  <c r="J1480" i="13"/>
  <c r="H1480" i="13"/>
  <c r="G1480" i="13"/>
  <c r="F1480" i="13"/>
  <c r="E1480" i="13"/>
  <c r="D1480" i="13"/>
  <c r="C1480" i="13"/>
  <c r="B1480" i="13"/>
  <c r="A1480" i="13"/>
  <c r="AG1479" i="13"/>
  <c r="AF1479" i="13"/>
  <c r="AE1479" i="13"/>
  <c r="AD1479" i="13"/>
  <c r="Z1479" i="13"/>
  <c r="Y1479" i="13"/>
  <c r="X1479" i="13"/>
  <c r="W1479" i="13"/>
  <c r="U1479" i="13"/>
  <c r="T1479" i="13"/>
  <c r="S1479" i="13"/>
  <c r="R1479" i="13"/>
  <c r="Q1479" i="13"/>
  <c r="P1479" i="13"/>
  <c r="O1479" i="13"/>
  <c r="N1479" i="13"/>
  <c r="M1479" i="13"/>
  <c r="L1479" i="13"/>
  <c r="J1479" i="13"/>
  <c r="G1479" i="13"/>
  <c r="F1479" i="13"/>
  <c r="E1479" i="13"/>
  <c r="D1479" i="13"/>
  <c r="C1479" i="13"/>
  <c r="B1479" i="13"/>
  <c r="A1479" i="13"/>
  <c r="AG1478" i="13"/>
  <c r="AF1478" i="13"/>
  <c r="AE1478" i="13"/>
  <c r="AD1478" i="13"/>
  <c r="AA1478" i="13"/>
  <c r="Z1478" i="13"/>
  <c r="Y1478" i="13"/>
  <c r="X1478" i="13"/>
  <c r="W1478" i="13"/>
  <c r="U1478" i="13"/>
  <c r="T1478" i="13"/>
  <c r="S1478" i="13"/>
  <c r="R1478" i="13"/>
  <c r="Q1478" i="13"/>
  <c r="P1478" i="13"/>
  <c r="O1478" i="13"/>
  <c r="N1478" i="13"/>
  <c r="M1478" i="13"/>
  <c r="L1478" i="13"/>
  <c r="J1478" i="13"/>
  <c r="H1478" i="13"/>
  <c r="G1478" i="13"/>
  <c r="F1478" i="13"/>
  <c r="E1478" i="13"/>
  <c r="D1478" i="13"/>
  <c r="C1478" i="13"/>
  <c r="B1478" i="13"/>
  <c r="A1478" i="13"/>
  <c r="AG1477" i="13"/>
  <c r="AF1477" i="13"/>
  <c r="AE1477" i="13"/>
  <c r="AD1477" i="13"/>
  <c r="Z1477" i="13"/>
  <c r="Y1477" i="13"/>
  <c r="X1477" i="13"/>
  <c r="W1477" i="13"/>
  <c r="U1477" i="13"/>
  <c r="T1477" i="13"/>
  <c r="S1477" i="13"/>
  <c r="R1477" i="13"/>
  <c r="Q1477" i="13"/>
  <c r="P1477" i="13"/>
  <c r="O1477" i="13"/>
  <c r="N1477" i="13"/>
  <c r="M1477" i="13"/>
  <c r="L1477" i="13"/>
  <c r="J1477" i="13"/>
  <c r="G1477" i="13"/>
  <c r="F1477" i="13"/>
  <c r="E1477" i="13"/>
  <c r="D1477" i="13"/>
  <c r="C1477" i="13"/>
  <c r="B1477" i="13"/>
  <c r="A1477" i="13"/>
  <c r="AG1476" i="13"/>
  <c r="AF1476" i="13"/>
  <c r="AE1476" i="13"/>
  <c r="AD1476" i="13"/>
  <c r="Z1476" i="13"/>
  <c r="Y1476" i="13"/>
  <c r="X1476" i="13"/>
  <c r="W1476" i="13"/>
  <c r="U1476" i="13"/>
  <c r="T1476" i="13"/>
  <c r="S1476" i="13"/>
  <c r="R1476" i="13"/>
  <c r="Q1476" i="13"/>
  <c r="P1476" i="13"/>
  <c r="O1476" i="13"/>
  <c r="N1476" i="13"/>
  <c r="M1476" i="13"/>
  <c r="L1476" i="13"/>
  <c r="J1476" i="13"/>
  <c r="G1476" i="13"/>
  <c r="F1476" i="13"/>
  <c r="E1476" i="13"/>
  <c r="D1476" i="13"/>
  <c r="C1476" i="13"/>
  <c r="B1476" i="13"/>
  <c r="A1476" i="13"/>
  <c r="AG1475" i="13"/>
  <c r="AF1475" i="13"/>
  <c r="AE1475" i="13"/>
  <c r="AD1475" i="13"/>
  <c r="Z1475" i="13"/>
  <c r="Y1475" i="13"/>
  <c r="X1475" i="13"/>
  <c r="W1475" i="13"/>
  <c r="U1475" i="13"/>
  <c r="T1475" i="13"/>
  <c r="S1475" i="13"/>
  <c r="R1475" i="13"/>
  <c r="Q1475" i="13"/>
  <c r="P1475" i="13"/>
  <c r="O1475" i="13"/>
  <c r="N1475" i="13"/>
  <c r="M1475" i="13"/>
  <c r="L1475" i="13"/>
  <c r="J1475" i="13"/>
  <c r="G1475" i="13"/>
  <c r="F1475" i="13"/>
  <c r="E1475" i="13"/>
  <c r="D1475" i="13"/>
  <c r="C1475" i="13"/>
  <c r="B1475" i="13"/>
  <c r="A1475" i="13"/>
  <c r="AG1474" i="13"/>
  <c r="AF1474" i="13"/>
  <c r="AE1474" i="13"/>
  <c r="AD1474" i="13"/>
  <c r="Z1474" i="13"/>
  <c r="Y1474" i="13"/>
  <c r="X1474" i="13"/>
  <c r="W1474" i="13"/>
  <c r="U1474" i="13"/>
  <c r="T1474" i="13"/>
  <c r="S1474" i="13"/>
  <c r="R1474" i="13"/>
  <c r="Q1474" i="13"/>
  <c r="P1474" i="13"/>
  <c r="O1474" i="13"/>
  <c r="N1474" i="13"/>
  <c r="M1474" i="13"/>
  <c r="L1474" i="13"/>
  <c r="J1474" i="13"/>
  <c r="G1474" i="13"/>
  <c r="F1474" i="13"/>
  <c r="E1474" i="13"/>
  <c r="D1474" i="13"/>
  <c r="C1474" i="13"/>
  <c r="B1474" i="13"/>
  <c r="A1474" i="13"/>
  <c r="AG1473" i="13"/>
  <c r="AF1473" i="13"/>
  <c r="AE1473" i="13"/>
  <c r="AD1473" i="13"/>
  <c r="Z1473" i="13"/>
  <c r="Y1473" i="13"/>
  <c r="X1473" i="13"/>
  <c r="W1473" i="13"/>
  <c r="U1473" i="13"/>
  <c r="T1473" i="13"/>
  <c r="S1473" i="13"/>
  <c r="R1473" i="13"/>
  <c r="Q1473" i="13"/>
  <c r="P1473" i="13"/>
  <c r="O1473" i="13"/>
  <c r="N1473" i="13"/>
  <c r="M1473" i="13"/>
  <c r="L1473" i="13"/>
  <c r="J1473" i="13"/>
  <c r="G1473" i="13"/>
  <c r="F1473" i="13"/>
  <c r="E1473" i="13"/>
  <c r="D1473" i="13"/>
  <c r="C1473" i="13"/>
  <c r="B1473" i="13"/>
  <c r="A1473" i="13"/>
  <c r="AG1472" i="13"/>
  <c r="AF1472" i="13"/>
  <c r="AE1472" i="13"/>
  <c r="AD1472" i="13"/>
  <c r="Z1472" i="13"/>
  <c r="Y1472" i="13"/>
  <c r="X1472" i="13"/>
  <c r="W1472" i="13"/>
  <c r="U1472" i="13"/>
  <c r="T1472" i="13"/>
  <c r="S1472" i="13"/>
  <c r="R1472" i="13"/>
  <c r="Q1472" i="13"/>
  <c r="P1472" i="13"/>
  <c r="O1472" i="13"/>
  <c r="N1472" i="13"/>
  <c r="M1472" i="13"/>
  <c r="L1472" i="13"/>
  <c r="J1472" i="13"/>
  <c r="G1472" i="13"/>
  <c r="F1472" i="13"/>
  <c r="E1472" i="13"/>
  <c r="D1472" i="13"/>
  <c r="C1472" i="13"/>
  <c r="B1472" i="13"/>
  <c r="A1472" i="13"/>
  <c r="AG1471" i="13"/>
  <c r="AF1471" i="13"/>
  <c r="AE1471" i="13"/>
  <c r="AD1471" i="13"/>
  <c r="AA1471" i="13"/>
  <c r="Z1471" i="13"/>
  <c r="Y1471" i="13"/>
  <c r="X1471" i="13"/>
  <c r="W1471" i="13"/>
  <c r="U1471" i="13"/>
  <c r="T1471" i="13"/>
  <c r="S1471" i="13"/>
  <c r="R1471" i="13"/>
  <c r="Q1471" i="13"/>
  <c r="P1471" i="13"/>
  <c r="O1471" i="13"/>
  <c r="N1471" i="13"/>
  <c r="M1471" i="13"/>
  <c r="L1471" i="13"/>
  <c r="J1471" i="13"/>
  <c r="H1471" i="13"/>
  <c r="G1471" i="13"/>
  <c r="F1471" i="13"/>
  <c r="E1471" i="13"/>
  <c r="D1471" i="13"/>
  <c r="C1471" i="13"/>
  <c r="B1471" i="13"/>
  <c r="A1471" i="13"/>
  <c r="AG1470" i="13"/>
  <c r="AF1470" i="13"/>
  <c r="AE1470" i="13"/>
  <c r="AD1470" i="13"/>
  <c r="Z1470" i="13"/>
  <c r="Y1470" i="13"/>
  <c r="X1470" i="13"/>
  <c r="W1470" i="13"/>
  <c r="U1470" i="13"/>
  <c r="T1470" i="13"/>
  <c r="S1470" i="13"/>
  <c r="R1470" i="13"/>
  <c r="Q1470" i="13"/>
  <c r="P1470" i="13"/>
  <c r="O1470" i="13"/>
  <c r="N1470" i="13"/>
  <c r="M1470" i="13"/>
  <c r="L1470" i="13"/>
  <c r="J1470" i="13"/>
  <c r="G1470" i="13"/>
  <c r="F1470" i="13"/>
  <c r="E1470" i="13"/>
  <c r="D1470" i="13"/>
  <c r="C1470" i="13"/>
  <c r="B1470" i="13"/>
  <c r="A1470" i="13"/>
  <c r="AG1469" i="13"/>
  <c r="AF1469" i="13"/>
  <c r="AE1469" i="13"/>
  <c r="AD1469" i="13"/>
  <c r="Z1469" i="13"/>
  <c r="Y1469" i="13"/>
  <c r="X1469" i="13"/>
  <c r="W1469" i="13"/>
  <c r="U1469" i="13"/>
  <c r="T1469" i="13"/>
  <c r="S1469" i="13"/>
  <c r="R1469" i="13"/>
  <c r="Q1469" i="13"/>
  <c r="P1469" i="13"/>
  <c r="O1469" i="13"/>
  <c r="N1469" i="13"/>
  <c r="M1469" i="13"/>
  <c r="L1469" i="13"/>
  <c r="J1469" i="13"/>
  <c r="G1469" i="13"/>
  <c r="F1469" i="13"/>
  <c r="E1469" i="13"/>
  <c r="D1469" i="13"/>
  <c r="C1469" i="13"/>
  <c r="B1469" i="13"/>
  <c r="A1469" i="13"/>
  <c r="AG1468" i="13"/>
  <c r="AF1468" i="13"/>
  <c r="AE1468" i="13"/>
  <c r="AD1468" i="13"/>
  <c r="Z1468" i="13"/>
  <c r="Y1468" i="13"/>
  <c r="X1468" i="13"/>
  <c r="W1468" i="13"/>
  <c r="U1468" i="13"/>
  <c r="T1468" i="13"/>
  <c r="S1468" i="13"/>
  <c r="R1468" i="13"/>
  <c r="Q1468" i="13"/>
  <c r="P1468" i="13"/>
  <c r="O1468" i="13"/>
  <c r="N1468" i="13"/>
  <c r="M1468" i="13"/>
  <c r="L1468" i="13"/>
  <c r="J1468" i="13"/>
  <c r="G1468" i="13"/>
  <c r="F1468" i="13"/>
  <c r="E1468" i="13"/>
  <c r="D1468" i="13"/>
  <c r="C1468" i="13"/>
  <c r="B1468" i="13"/>
  <c r="A1468" i="13"/>
  <c r="AG1467" i="13"/>
  <c r="AF1467" i="13"/>
  <c r="AE1467" i="13"/>
  <c r="AD1467" i="13"/>
  <c r="Z1467" i="13"/>
  <c r="Y1467" i="13"/>
  <c r="X1467" i="13"/>
  <c r="W1467" i="13"/>
  <c r="U1467" i="13"/>
  <c r="T1467" i="13"/>
  <c r="S1467" i="13"/>
  <c r="R1467" i="13"/>
  <c r="Q1467" i="13"/>
  <c r="P1467" i="13"/>
  <c r="O1467" i="13"/>
  <c r="N1467" i="13"/>
  <c r="M1467" i="13"/>
  <c r="L1467" i="13"/>
  <c r="J1467" i="13"/>
  <c r="G1467" i="13"/>
  <c r="F1467" i="13"/>
  <c r="E1467" i="13"/>
  <c r="D1467" i="13"/>
  <c r="C1467" i="13"/>
  <c r="B1467" i="13"/>
  <c r="A1467" i="13"/>
  <c r="AG1466" i="13"/>
  <c r="AF1466" i="13"/>
  <c r="AE1466" i="13"/>
  <c r="AD1466" i="13"/>
  <c r="Z1466" i="13"/>
  <c r="Y1466" i="13"/>
  <c r="X1466" i="13"/>
  <c r="W1466" i="13"/>
  <c r="U1466" i="13"/>
  <c r="T1466" i="13"/>
  <c r="S1466" i="13"/>
  <c r="R1466" i="13"/>
  <c r="Q1466" i="13"/>
  <c r="P1466" i="13"/>
  <c r="O1466" i="13"/>
  <c r="N1466" i="13"/>
  <c r="M1466" i="13"/>
  <c r="L1466" i="13"/>
  <c r="J1466" i="13"/>
  <c r="G1466" i="13"/>
  <c r="F1466" i="13"/>
  <c r="E1466" i="13"/>
  <c r="D1466" i="13"/>
  <c r="C1466" i="13"/>
  <c r="B1466" i="13"/>
  <c r="A1466" i="13"/>
  <c r="AG1465" i="13"/>
  <c r="AF1465" i="13"/>
  <c r="AE1465" i="13"/>
  <c r="AD1465" i="13"/>
  <c r="Z1465" i="13"/>
  <c r="Y1465" i="13"/>
  <c r="X1465" i="13"/>
  <c r="W1465" i="13"/>
  <c r="U1465" i="13"/>
  <c r="T1465" i="13"/>
  <c r="S1465" i="13"/>
  <c r="R1465" i="13"/>
  <c r="Q1465" i="13"/>
  <c r="P1465" i="13"/>
  <c r="O1465" i="13"/>
  <c r="N1465" i="13"/>
  <c r="M1465" i="13"/>
  <c r="L1465" i="13"/>
  <c r="J1465" i="13"/>
  <c r="G1465" i="13"/>
  <c r="F1465" i="13"/>
  <c r="E1465" i="13"/>
  <c r="D1465" i="13"/>
  <c r="C1465" i="13"/>
  <c r="B1465" i="13"/>
  <c r="A1465" i="13"/>
  <c r="AG1464" i="13"/>
  <c r="AF1464" i="13"/>
  <c r="AE1464" i="13"/>
  <c r="AD1464" i="13"/>
  <c r="Z1464" i="13"/>
  <c r="Y1464" i="13"/>
  <c r="X1464" i="13"/>
  <c r="W1464" i="13"/>
  <c r="U1464" i="13"/>
  <c r="T1464" i="13"/>
  <c r="S1464" i="13"/>
  <c r="R1464" i="13"/>
  <c r="Q1464" i="13"/>
  <c r="P1464" i="13"/>
  <c r="O1464" i="13"/>
  <c r="N1464" i="13"/>
  <c r="M1464" i="13"/>
  <c r="L1464" i="13"/>
  <c r="J1464" i="13"/>
  <c r="G1464" i="13"/>
  <c r="F1464" i="13"/>
  <c r="E1464" i="13"/>
  <c r="D1464" i="13"/>
  <c r="C1464" i="13"/>
  <c r="B1464" i="13"/>
  <c r="A1464" i="13"/>
  <c r="AG1463" i="13"/>
  <c r="AF1463" i="13"/>
  <c r="AE1463" i="13"/>
  <c r="AD1463" i="13"/>
  <c r="Z1463" i="13"/>
  <c r="Y1463" i="13"/>
  <c r="X1463" i="13"/>
  <c r="W1463" i="13"/>
  <c r="U1463" i="13"/>
  <c r="T1463" i="13"/>
  <c r="S1463" i="13"/>
  <c r="R1463" i="13"/>
  <c r="Q1463" i="13"/>
  <c r="P1463" i="13"/>
  <c r="O1463" i="13"/>
  <c r="N1463" i="13"/>
  <c r="M1463" i="13"/>
  <c r="L1463" i="13"/>
  <c r="J1463" i="13"/>
  <c r="G1463" i="13"/>
  <c r="F1463" i="13"/>
  <c r="E1463" i="13"/>
  <c r="D1463" i="13"/>
  <c r="C1463" i="13"/>
  <c r="B1463" i="13"/>
  <c r="A1463" i="13"/>
  <c r="AG1462" i="13"/>
  <c r="AF1462" i="13"/>
  <c r="AE1462" i="13"/>
  <c r="AD1462" i="13"/>
  <c r="AA1462" i="13"/>
  <c r="Z1462" i="13"/>
  <c r="Y1462" i="13"/>
  <c r="X1462" i="13"/>
  <c r="W1462" i="13"/>
  <c r="U1462" i="13"/>
  <c r="T1462" i="13"/>
  <c r="S1462" i="13"/>
  <c r="R1462" i="13"/>
  <c r="Q1462" i="13"/>
  <c r="P1462" i="13"/>
  <c r="O1462" i="13"/>
  <c r="N1462" i="13"/>
  <c r="M1462" i="13"/>
  <c r="L1462" i="13"/>
  <c r="J1462" i="13"/>
  <c r="H1462" i="13"/>
  <c r="G1462" i="13"/>
  <c r="F1462" i="13"/>
  <c r="E1462" i="13"/>
  <c r="D1462" i="13"/>
  <c r="C1462" i="13"/>
  <c r="B1462" i="13"/>
  <c r="A1462" i="13"/>
  <c r="AG1461" i="13"/>
  <c r="AF1461" i="13"/>
  <c r="AE1461" i="13"/>
  <c r="AD1461" i="13"/>
  <c r="Z1461" i="13"/>
  <c r="Y1461" i="13"/>
  <c r="X1461" i="13"/>
  <c r="W1461" i="13"/>
  <c r="U1461" i="13"/>
  <c r="T1461" i="13"/>
  <c r="S1461" i="13"/>
  <c r="R1461" i="13"/>
  <c r="Q1461" i="13"/>
  <c r="P1461" i="13"/>
  <c r="O1461" i="13"/>
  <c r="N1461" i="13"/>
  <c r="M1461" i="13"/>
  <c r="L1461" i="13"/>
  <c r="J1461" i="13"/>
  <c r="G1461" i="13"/>
  <c r="F1461" i="13"/>
  <c r="E1461" i="13"/>
  <c r="D1461" i="13"/>
  <c r="C1461" i="13"/>
  <c r="B1461" i="13"/>
  <c r="A1461" i="13"/>
  <c r="AG1460" i="13"/>
  <c r="AF1460" i="13"/>
  <c r="AE1460" i="13"/>
  <c r="AD1460" i="13"/>
  <c r="Z1460" i="13"/>
  <c r="Y1460" i="13"/>
  <c r="X1460" i="13"/>
  <c r="W1460" i="13"/>
  <c r="U1460" i="13"/>
  <c r="T1460" i="13"/>
  <c r="S1460" i="13"/>
  <c r="R1460" i="13"/>
  <c r="Q1460" i="13"/>
  <c r="P1460" i="13"/>
  <c r="O1460" i="13"/>
  <c r="N1460" i="13"/>
  <c r="M1460" i="13"/>
  <c r="L1460" i="13"/>
  <c r="J1460" i="13"/>
  <c r="G1460" i="13"/>
  <c r="F1460" i="13"/>
  <c r="E1460" i="13"/>
  <c r="D1460" i="13"/>
  <c r="C1460" i="13"/>
  <c r="B1460" i="13"/>
  <c r="A1460" i="13"/>
  <c r="AG1459" i="13"/>
  <c r="AF1459" i="13"/>
  <c r="AE1459" i="13"/>
  <c r="AD1459" i="13"/>
  <c r="Z1459" i="13"/>
  <c r="Y1459" i="13"/>
  <c r="X1459" i="13"/>
  <c r="W1459" i="13"/>
  <c r="U1459" i="13"/>
  <c r="T1459" i="13"/>
  <c r="S1459" i="13"/>
  <c r="R1459" i="13"/>
  <c r="Q1459" i="13"/>
  <c r="P1459" i="13"/>
  <c r="O1459" i="13"/>
  <c r="N1459" i="13"/>
  <c r="M1459" i="13"/>
  <c r="L1459" i="13"/>
  <c r="J1459" i="13"/>
  <c r="G1459" i="13"/>
  <c r="F1459" i="13"/>
  <c r="E1459" i="13"/>
  <c r="D1459" i="13"/>
  <c r="C1459" i="13"/>
  <c r="B1459" i="13"/>
  <c r="A1459" i="13"/>
  <c r="AG1458" i="13"/>
  <c r="AF1458" i="13"/>
  <c r="AE1458" i="13"/>
  <c r="AD1458" i="13"/>
  <c r="Z1458" i="13"/>
  <c r="Y1458" i="13"/>
  <c r="X1458" i="13"/>
  <c r="W1458" i="13"/>
  <c r="U1458" i="13"/>
  <c r="T1458" i="13"/>
  <c r="S1458" i="13"/>
  <c r="R1458" i="13"/>
  <c r="Q1458" i="13"/>
  <c r="P1458" i="13"/>
  <c r="O1458" i="13"/>
  <c r="N1458" i="13"/>
  <c r="M1458" i="13"/>
  <c r="L1458" i="13"/>
  <c r="J1458" i="13"/>
  <c r="G1458" i="13"/>
  <c r="F1458" i="13"/>
  <c r="E1458" i="13"/>
  <c r="D1458" i="13"/>
  <c r="C1458" i="13"/>
  <c r="B1458" i="13"/>
  <c r="A1458" i="13"/>
  <c r="AG1457" i="13"/>
  <c r="AF1457" i="13"/>
  <c r="AE1457" i="13"/>
  <c r="AD1457" i="13"/>
  <c r="Z1457" i="13"/>
  <c r="Y1457" i="13"/>
  <c r="X1457" i="13"/>
  <c r="W1457" i="13"/>
  <c r="U1457" i="13"/>
  <c r="T1457" i="13"/>
  <c r="S1457" i="13"/>
  <c r="R1457" i="13"/>
  <c r="Q1457" i="13"/>
  <c r="P1457" i="13"/>
  <c r="O1457" i="13"/>
  <c r="N1457" i="13"/>
  <c r="M1457" i="13"/>
  <c r="L1457" i="13"/>
  <c r="J1457" i="13"/>
  <c r="G1457" i="13"/>
  <c r="F1457" i="13"/>
  <c r="E1457" i="13"/>
  <c r="D1457" i="13"/>
  <c r="C1457" i="13"/>
  <c r="B1457" i="13"/>
  <c r="A1457" i="13"/>
  <c r="AG1456" i="13"/>
  <c r="AF1456" i="13"/>
  <c r="AE1456" i="13"/>
  <c r="AD1456" i="13"/>
  <c r="AA1456" i="13"/>
  <c r="Z1456" i="13"/>
  <c r="Y1456" i="13"/>
  <c r="X1456" i="13"/>
  <c r="W1456" i="13"/>
  <c r="U1456" i="13"/>
  <c r="T1456" i="13"/>
  <c r="S1456" i="13"/>
  <c r="R1456" i="13"/>
  <c r="Q1456" i="13"/>
  <c r="P1456" i="13"/>
  <c r="O1456" i="13"/>
  <c r="N1456" i="13"/>
  <c r="M1456" i="13"/>
  <c r="L1456" i="13"/>
  <c r="J1456" i="13"/>
  <c r="H1456" i="13"/>
  <c r="G1456" i="13"/>
  <c r="F1456" i="13"/>
  <c r="E1456" i="13"/>
  <c r="D1456" i="13"/>
  <c r="C1456" i="13"/>
  <c r="B1456" i="13"/>
  <c r="A1456" i="13"/>
  <c r="AG1455" i="13"/>
  <c r="AF1455" i="13"/>
  <c r="AE1455" i="13"/>
  <c r="AD1455" i="13"/>
  <c r="Z1455" i="13"/>
  <c r="Y1455" i="13"/>
  <c r="X1455" i="13"/>
  <c r="W1455" i="13"/>
  <c r="U1455" i="13"/>
  <c r="T1455" i="13"/>
  <c r="S1455" i="13"/>
  <c r="R1455" i="13"/>
  <c r="Q1455" i="13"/>
  <c r="P1455" i="13"/>
  <c r="O1455" i="13"/>
  <c r="N1455" i="13"/>
  <c r="M1455" i="13"/>
  <c r="L1455" i="13"/>
  <c r="J1455" i="13"/>
  <c r="G1455" i="13"/>
  <c r="F1455" i="13"/>
  <c r="E1455" i="13"/>
  <c r="D1455" i="13"/>
  <c r="C1455" i="13"/>
  <c r="B1455" i="13"/>
  <c r="A1455" i="13"/>
  <c r="AG1454" i="13"/>
  <c r="AF1454" i="13"/>
  <c r="AE1454" i="13"/>
  <c r="AD1454" i="13"/>
  <c r="Z1454" i="13"/>
  <c r="Y1454" i="13"/>
  <c r="X1454" i="13"/>
  <c r="W1454" i="13"/>
  <c r="U1454" i="13"/>
  <c r="T1454" i="13"/>
  <c r="S1454" i="13"/>
  <c r="R1454" i="13"/>
  <c r="Q1454" i="13"/>
  <c r="P1454" i="13"/>
  <c r="O1454" i="13"/>
  <c r="N1454" i="13"/>
  <c r="M1454" i="13"/>
  <c r="L1454" i="13"/>
  <c r="J1454" i="13"/>
  <c r="G1454" i="13"/>
  <c r="F1454" i="13"/>
  <c r="E1454" i="13"/>
  <c r="D1454" i="13"/>
  <c r="C1454" i="13"/>
  <c r="B1454" i="13"/>
  <c r="A1454" i="13"/>
  <c r="AG1453" i="13"/>
  <c r="AF1453" i="13"/>
  <c r="AE1453" i="13"/>
  <c r="AD1453" i="13"/>
  <c r="Z1453" i="13"/>
  <c r="Y1453" i="13"/>
  <c r="X1453" i="13"/>
  <c r="W1453" i="13"/>
  <c r="U1453" i="13"/>
  <c r="T1453" i="13"/>
  <c r="S1453" i="13"/>
  <c r="R1453" i="13"/>
  <c r="Q1453" i="13"/>
  <c r="P1453" i="13"/>
  <c r="O1453" i="13"/>
  <c r="N1453" i="13"/>
  <c r="M1453" i="13"/>
  <c r="L1453" i="13"/>
  <c r="J1453" i="13"/>
  <c r="G1453" i="13"/>
  <c r="F1453" i="13"/>
  <c r="E1453" i="13"/>
  <c r="D1453" i="13"/>
  <c r="C1453" i="13"/>
  <c r="B1453" i="13"/>
  <c r="A1453" i="13"/>
  <c r="AG1452" i="13"/>
  <c r="AF1452" i="13"/>
  <c r="AE1452" i="13"/>
  <c r="AD1452" i="13"/>
  <c r="Z1452" i="13"/>
  <c r="Y1452" i="13"/>
  <c r="X1452" i="13"/>
  <c r="W1452" i="13"/>
  <c r="U1452" i="13"/>
  <c r="T1452" i="13"/>
  <c r="S1452" i="13"/>
  <c r="R1452" i="13"/>
  <c r="Q1452" i="13"/>
  <c r="P1452" i="13"/>
  <c r="O1452" i="13"/>
  <c r="N1452" i="13"/>
  <c r="M1452" i="13"/>
  <c r="L1452" i="13"/>
  <c r="J1452" i="13"/>
  <c r="G1452" i="13"/>
  <c r="F1452" i="13"/>
  <c r="E1452" i="13"/>
  <c r="D1452" i="13"/>
  <c r="C1452" i="13"/>
  <c r="B1452" i="13"/>
  <c r="A1452" i="13"/>
  <c r="AG1451" i="13"/>
  <c r="AF1451" i="13"/>
  <c r="AE1451" i="13"/>
  <c r="AD1451" i="13"/>
  <c r="Z1451" i="13"/>
  <c r="Y1451" i="13"/>
  <c r="X1451" i="13"/>
  <c r="W1451" i="13"/>
  <c r="U1451" i="13"/>
  <c r="T1451" i="13"/>
  <c r="S1451" i="13"/>
  <c r="R1451" i="13"/>
  <c r="Q1451" i="13"/>
  <c r="P1451" i="13"/>
  <c r="O1451" i="13"/>
  <c r="N1451" i="13"/>
  <c r="M1451" i="13"/>
  <c r="L1451" i="13"/>
  <c r="J1451" i="13"/>
  <c r="G1451" i="13"/>
  <c r="F1451" i="13"/>
  <c r="E1451" i="13"/>
  <c r="D1451" i="13"/>
  <c r="C1451" i="13"/>
  <c r="B1451" i="13"/>
  <c r="A1451" i="13"/>
  <c r="AG1450" i="13"/>
  <c r="AF1450" i="13"/>
  <c r="AE1450" i="13"/>
  <c r="AD1450" i="13"/>
  <c r="Z1450" i="13"/>
  <c r="Y1450" i="13"/>
  <c r="X1450" i="13"/>
  <c r="W1450" i="13"/>
  <c r="U1450" i="13"/>
  <c r="T1450" i="13"/>
  <c r="S1450" i="13"/>
  <c r="R1450" i="13"/>
  <c r="Q1450" i="13"/>
  <c r="P1450" i="13"/>
  <c r="O1450" i="13"/>
  <c r="N1450" i="13"/>
  <c r="M1450" i="13"/>
  <c r="L1450" i="13"/>
  <c r="J1450" i="13"/>
  <c r="G1450" i="13"/>
  <c r="F1450" i="13"/>
  <c r="E1450" i="13"/>
  <c r="D1450" i="13"/>
  <c r="C1450" i="13"/>
  <c r="B1450" i="13"/>
  <c r="A1450" i="13"/>
  <c r="AG1449" i="13"/>
  <c r="AF1449" i="13"/>
  <c r="AE1449" i="13"/>
  <c r="AD1449" i="13"/>
  <c r="Z1449" i="13"/>
  <c r="Y1449" i="13"/>
  <c r="X1449" i="13"/>
  <c r="W1449" i="13"/>
  <c r="U1449" i="13"/>
  <c r="T1449" i="13"/>
  <c r="S1449" i="13"/>
  <c r="R1449" i="13"/>
  <c r="Q1449" i="13"/>
  <c r="P1449" i="13"/>
  <c r="O1449" i="13"/>
  <c r="N1449" i="13"/>
  <c r="M1449" i="13"/>
  <c r="L1449" i="13"/>
  <c r="J1449" i="13"/>
  <c r="G1449" i="13"/>
  <c r="F1449" i="13"/>
  <c r="E1449" i="13"/>
  <c r="D1449" i="13"/>
  <c r="C1449" i="13"/>
  <c r="B1449" i="13"/>
  <c r="A1449" i="13"/>
  <c r="AG1448" i="13"/>
  <c r="AF1448" i="13"/>
  <c r="AE1448" i="13"/>
  <c r="AD1448" i="13"/>
  <c r="Z1448" i="13"/>
  <c r="Y1448" i="13"/>
  <c r="X1448" i="13"/>
  <c r="W1448" i="13"/>
  <c r="U1448" i="13"/>
  <c r="T1448" i="13"/>
  <c r="S1448" i="13"/>
  <c r="R1448" i="13"/>
  <c r="Q1448" i="13"/>
  <c r="P1448" i="13"/>
  <c r="O1448" i="13"/>
  <c r="N1448" i="13"/>
  <c r="M1448" i="13"/>
  <c r="L1448" i="13"/>
  <c r="J1448" i="13"/>
  <c r="G1448" i="13"/>
  <c r="F1448" i="13"/>
  <c r="E1448" i="13"/>
  <c r="D1448" i="13"/>
  <c r="C1448" i="13"/>
  <c r="B1448" i="13"/>
  <c r="A1448" i="13"/>
  <c r="AG1447" i="13"/>
  <c r="AF1447" i="13"/>
  <c r="AE1447" i="13"/>
  <c r="AD1447" i="13"/>
  <c r="Z1447" i="13"/>
  <c r="Y1447" i="13"/>
  <c r="X1447" i="13"/>
  <c r="W1447" i="13"/>
  <c r="U1447" i="13"/>
  <c r="T1447" i="13"/>
  <c r="S1447" i="13"/>
  <c r="R1447" i="13"/>
  <c r="Q1447" i="13"/>
  <c r="P1447" i="13"/>
  <c r="O1447" i="13"/>
  <c r="N1447" i="13"/>
  <c r="M1447" i="13"/>
  <c r="L1447" i="13"/>
  <c r="J1447" i="13"/>
  <c r="G1447" i="13"/>
  <c r="F1447" i="13"/>
  <c r="E1447" i="13"/>
  <c r="D1447" i="13"/>
  <c r="C1447" i="13"/>
  <c r="B1447" i="13"/>
  <c r="A1447" i="13"/>
  <c r="AG1446" i="13"/>
  <c r="AF1446" i="13"/>
  <c r="AE1446" i="13"/>
  <c r="AD1446" i="13"/>
  <c r="Z1446" i="13"/>
  <c r="Y1446" i="13"/>
  <c r="X1446" i="13"/>
  <c r="U1446" i="13"/>
  <c r="T1446" i="13"/>
  <c r="S1446" i="13"/>
  <c r="R1446" i="13"/>
  <c r="Q1446" i="13"/>
  <c r="O1446" i="13"/>
  <c r="N1446" i="13"/>
  <c r="M1446" i="13"/>
  <c r="L1446" i="13"/>
  <c r="F1446" i="13"/>
  <c r="E1446" i="13"/>
  <c r="D1446" i="13"/>
  <c r="C1446" i="13"/>
  <c r="B1446" i="13"/>
  <c r="A1446" i="13"/>
  <c r="AG1445" i="13"/>
  <c r="AF1445" i="13"/>
  <c r="AE1445" i="13"/>
  <c r="AD1445" i="13"/>
  <c r="Z1445" i="13"/>
  <c r="Y1445" i="13"/>
  <c r="X1445" i="13"/>
  <c r="W1445" i="13"/>
  <c r="U1445" i="13"/>
  <c r="T1445" i="13"/>
  <c r="S1445" i="13"/>
  <c r="R1445" i="13"/>
  <c r="Q1445" i="13"/>
  <c r="P1445" i="13"/>
  <c r="O1445" i="13"/>
  <c r="N1445" i="13"/>
  <c r="M1445" i="13"/>
  <c r="L1445" i="13"/>
  <c r="J1445" i="13"/>
  <c r="G1445" i="13"/>
  <c r="F1445" i="13"/>
  <c r="E1445" i="13"/>
  <c r="D1445" i="13"/>
  <c r="C1445" i="13"/>
  <c r="B1445" i="13"/>
  <c r="A1445" i="13"/>
  <c r="AG1444" i="13"/>
  <c r="AF1444" i="13"/>
  <c r="AE1444" i="13"/>
  <c r="AD1444" i="13"/>
  <c r="Z1444" i="13"/>
  <c r="Y1444" i="13"/>
  <c r="X1444" i="13"/>
  <c r="W1444" i="13"/>
  <c r="U1444" i="13"/>
  <c r="T1444" i="13"/>
  <c r="S1444" i="13"/>
  <c r="R1444" i="13"/>
  <c r="Q1444" i="13"/>
  <c r="P1444" i="13"/>
  <c r="O1444" i="13"/>
  <c r="N1444" i="13"/>
  <c r="M1444" i="13"/>
  <c r="L1444" i="13"/>
  <c r="J1444" i="13"/>
  <c r="G1444" i="13"/>
  <c r="F1444" i="13"/>
  <c r="E1444" i="13"/>
  <c r="D1444" i="13"/>
  <c r="C1444" i="13"/>
  <c r="B1444" i="13"/>
  <c r="A1444" i="13"/>
  <c r="AG1443" i="13"/>
  <c r="AF1443" i="13"/>
  <c r="AE1443" i="13"/>
  <c r="AD1443" i="13"/>
  <c r="Z1443" i="13"/>
  <c r="Y1443" i="13"/>
  <c r="X1443" i="13"/>
  <c r="W1443" i="13"/>
  <c r="U1443" i="13"/>
  <c r="T1443" i="13"/>
  <c r="S1443" i="13"/>
  <c r="R1443" i="13"/>
  <c r="Q1443" i="13"/>
  <c r="P1443" i="13"/>
  <c r="O1443" i="13"/>
  <c r="N1443" i="13"/>
  <c r="M1443" i="13"/>
  <c r="L1443" i="13"/>
  <c r="J1443" i="13"/>
  <c r="G1443" i="13"/>
  <c r="F1443" i="13"/>
  <c r="E1443" i="13"/>
  <c r="D1443" i="13"/>
  <c r="C1443" i="13"/>
  <c r="B1443" i="13"/>
  <c r="A1443" i="13"/>
  <c r="AG1442" i="13"/>
  <c r="AF1442" i="13"/>
  <c r="AE1442" i="13"/>
  <c r="AD1442" i="13"/>
  <c r="Z1442" i="13"/>
  <c r="Y1442" i="13"/>
  <c r="X1442" i="13"/>
  <c r="W1442" i="13"/>
  <c r="U1442" i="13"/>
  <c r="T1442" i="13"/>
  <c r="S1442" i="13"/>
  <c r="R1442" i="13"/>
  <c r="Q1442" i="13"/>
  <c r="P1442" i="13"/>
  <c r="O1442" i="13"/>
  <c r="N1442" i="13"/>
  <c r="M1442" i="13"/>
  <c r="L1442" i="13"/>
  <c r="J1442" i="13"/>
  <c r="G1442" i="13"/>
  <c r="F1442" i="13"/>
  <c r="E1442" i="13"/>
  <c r="D1442" i="13"/>
  <c r="C1442" i="13"/>
  <c r="B1442" i="13"/>
  <c r="A1442" i="13"/>
  <c r="AG1441" i="13"/>
  <c r="AF1441" i="13"/>
  <c r="AE1441" i="13"/>
  <c r="AD1441" i="13"/>
  <c r="Z1441" i="13"/>
  <c r="Y1441" i="13"/>
  <c r="X1441" i="13"/>
  <c r="W1441" i="13"/>
  <c r="U1441" i="13"/>
  <c r="T1441" i="13"/>
  <c r="S1441" i="13"/>
  <c r="R1441" i="13"/>
  <c r="Q1441" i="13"/>
  <c r="P1441" i="13"/>
  <c r="O1441" i="13"/>
  <c r="N1441" i="13"/>
  <c r="M1441" i="13"/>
  <c r="L1441" i="13"/>
  <c r="J1441" i="13"/>
  <c r="G1441" i="13"/>
  <c r="F1441" i="13"/>
  <c r="E1441" i="13"/>
  <c r="D1441" i="13"/>
  <c r="C1441" i="13"/>
  <c r="B1441" i="13"/>
  <c r="A1441" i="13"/>
  <c r="AG1440" i="13"/>
  <c r="AF1440" i="13"/>
  <c r="AE1440" i="13"/>
  <c r="AD1440" i="13"/>
  <c r="Z1440" i="13"/>
  <c r="Y1440" i="13"/>
  <c r="X1440" i="13"/>
  <c r="W1440" i="13"/>
  <c r="U1440" i="13"/>
  <c r="T1440" i="13"/>
  <c r="S1440" i="13"/>
  <c r="R1440" i="13"/>
  <c r="Q1440" i="13"/>
  <c r="P1440" i="13"/>
  <c r="O1440" i="13"/>
  <c r="N1440" i="13"/>
  <c r="M1440" i="13"/>
  <c r="L1440" i="13"/>
  <c r="J1440" i="13"/>
  <c r="G1440" i="13"/>
  <c r="F1440" i="13"/>
  <c r="E1440" i="13"/>
  <c r="D1440" i="13"/>
  <c r="C1440" i="13"/>
  <c r="B1440" i="13"/>
  <c r="A1440" i="13"/>
  <c r="AG1439" i="13"/>
  <c r="AF1439" i="13"/>
  <c r="AE1439" i="13"/>
  <c r="AD1439" i="13"/>
  <c r="Z1439" i="13"/>
  <c r="Y1439" i="13"/>
  <c r="X1439" i="13"/>
  <c r="W1439" i="13"/>
  <c r="U1439" i="13"/>
  <c r="T1439" i="13"/>
  <c r="S1439" i="13"/>
  <c r="R1439" i="13"/>
  <c r="Q1439" i="13"/>
  <c r="P1439" i="13"/>
  <c r="O1439" i="13"/>
  <c r="N1439" i="13"/>
  <c r="M1439" i="13"/>
  <c r="L1439" i="13"/>
  <c r="J1439" i="13"/>
  <c r="G1439" i="13"/>
  <c r="F1439" i="13"/>
  <c r="E1439" i="13"/>
  <c r="D1439" i="13"/>
  <c r="C1439" i="13"/>
  <c r="B1439" i="13"/>
  <c r="A1439" i="13"/>
  <c r="AG1438" i="13"/>
  <c r="AF1438" i="13"/>
  <c r="AE1438" i="13"/>
  <c r="AD1438" i="13"/>
  <c r="Z1438" i="13"/>
  <c r="Y1438" i="13"/>
  <c r="X1438" i="13"/>
  <c r="W1438" i="13"/>
  <c r="U1438" i="13"/>
  <c r="T1438" i="13"/>
  <c r="S1438" i="13"/>
  <c r="R1438" i="13"/>
  <c r="Q1438" i="13"/>
  <c r="P1438" i="13"/>
  <c r="O1438" i="13"/>
  <c r="N1438" i="13"/>
  <c r="M1438" i="13"/>
  <c r="L1438" i="13"/>
  <c r="J1438" i="13"/>
  <c r="G1438" i="13"/>
  <c r="F1438" i="13"/>
  <c r="E1438" i="13"/>
  <c r="D1438" i="13"/>
  <c r="C1438" i="13"/>
  <c r="B1438" i="13"/>
  <c r="A1438" i="13"/>
  <c r="AG1437" i="13"/>
  <c r="AF1437" i="13"/>
  <c r="AE1437" i="13"/>
  <c r="AD1437" i="13"/>
  <c r="Z1437" i="13"/>
  <c r="Y1437" i="13"/>
  <c r="X1437" i="13"/>
  <c r="W1437" i="13"/>
  <c r="U1437" i="13"/>
  <c r="T1437" i="13"/>
  <c r="S1437" i="13"/>
  <c r="R1437" i="13"/>
  <c r="Q1437" i="13"/>
  <c r="P1437" i="13"/>
  <c r="O1437" i="13"/>
  <c r="N1437" i="13"/>
  <c r="M1437" i="13"/>
  <c r="L1437" i="13"/>
  <c r="J1437" i="13"/>
  <c r="G1437" i="13"/>
  <c r="F1437" i="13"/>
  <c r="E1437" i="13"/>
  <c r="D1437" i="13"/>
  <c r="C1437" i="13"/>
  <c r="B1437" i="13"/>
  <c r="A1437" i="13"/>
  <c r="AG1436" i="13"/>
  <c r="AF1436" i="13"/>
  <c r="AE1436" i="13"/>
  <c r="AD1436" i="13"/>
  <c r="Z1436" i="13"/>
  <c r="Y1436" i="13"/>
  <c r="X1436" i="13"/>
  <c r="W1436" i="13"/>
  <c r="U1436" i="13"/>
  <c r="T1436" i="13"/>
  <c r="S1436" i="13"/>
  <c r="R1436" i="13"/>
  <c r="Q1436" i="13"/>
  <c r="P1436" i="13"/>
  <c r="O1436" i="13"/>
  <c r="N1436" i="13"/>
  <c r="M1436" i="13"/>
  <c r="L1436" i="13"/>
  <c r="J1436" i="13"/>
  <c r="G1436" i="13"/>
  <c r="F1436" i="13"/>
  <c r="E1436" i="13"/>
  <c r="D1436" i="13"/>
  <c r="C1436" i="13"/>
  <c r="B1436" i="13"/>
  <c r="A1436" i="13"/>
  <c r="AG1435" i="13"/>
  <c r="AF1435" i="13"/>
  <c r="AE1435" i="13"/>
  <c r="AD1435" i="13"/>
  <c r="Z1435" i="13"/>
  <c r="Y1435" i="13"/>
  <c r="X1435" i="13"/>
  <c r="W1435" i="13"/>
  <c r="U1435" i="13"/>
  <c r="T1435" i="13"/>
  <c r="S1435" i="13"/>
  <c r="R1435" i="13"/>
  <c r="Q1435" i="13"/>
  <c r="P1435" i="13"/>
  <c r="O1435" i="13"/>
  <c r="N1435" i="13"/>
  <c r="M1435" i="13"/>
  <c r="L1435" i="13"/>
  <c r="J1435" i="13"/>
  <c r="G1435" i="13"/>
  <c r="F1435" i="13"/>
  <c r="E1435" i="13"/>
  <c r="D1435" i="13"/>
  <c r="C1435" i="13"/>
  <c r="B1435" i="13"/>
  <c r="A1435" i="13"/>
  <c r="AG1434" i="13"/>
  <c r="AF1434" i="13"/>
  <c r="AE1434" i="13"/>
  <c r="AD1434" i="13"/>
  <c r="Z1434" i="13"/>
  <c r="Y1434" i="13"/>
  <c r="X1434" i="13"/>
  <c r="W1434" i="13"/>
  <c r="U1434" i="13"/>
  <c r="T1434" i="13"/>
  <c r="S1434" i="13"/>
  <c r="R1434" i="13"/>
  <c r="Q1434" i="13"/>
  <c r="P1434" i="13"/>
  <c r="O1434" i="13"/>
  <c r="N1434" i="13"/>
  <c r="M1434" i="13"/>
  <c r="L1434" i="13"/>
  <c r="J1434" i="13"/>
  <c r="G1434" i="13"/>
  <c r="F1434" i="13"/>
  <c r="E1434" i="13"/>
  <c r="D1434" i="13"/>
  <c r="C1434" i="13"/>
  <c r="B1434" i="13"/>
  <c r="A1434" i="13"/>
  <c r="AG1433" i="13"/>
  <c r="AF1433" i="13"/>
  <c r="AE1433" i="13"/>
  <c r="AD1433" i="13"/>
  <c r="Z1433" i="13"/>
  <c r="Y1433" i="13"/>
  <c r="X1433" i="13"/>
  <c r="W1433" i="13"/>
  <c r="U1433" i="13"/>
  <c r="T1433" i="13"/>
  <c r="S1433" i="13"/>
  <c r="R1433" i="13"/>
  <c r="Q1433" i="13"/>
  <c r="P1433" i="13"/>
  <c r="O1433" i="13"/>
  <c r="N1433" i="13"/>
  <c r="M1433" i="13"/>
  <c r="L1433" i="13"/>
  <c r="J1433" i="13"/>
  <c r="G1433" i="13"/>
  <c r="F1433" i="13"/>
  <c r="E1433" i="13"/>
  <c r="D1433" i="13"/>
  <c r="C1433" i="13"/>
  <c r="B1433" i="13"/>
  <c r="A1433" i="13"/>
  <c r="AG1432" i="13"/>
  <c r="AF1432" i="13"/>
  <c r="AE1432" i="13"/>
  <c r="AD1432" i="13"/>
  <c r="Z1432" i="13"/>
  <c r="Y1432" i="13"/>
  <c r="X1432" i="13"/>
  <c r="W1432" i="13"/>
  <c r="U1432" i="13"/>
  <c r="T1432" i="13"/>
  <c r="S1432" i="13"/>
  <c r="R1432" i="13"/>
  <c r="Q1432" i="13"/>
  <c r="P1432" i="13"/>
  <c r="O1432" i="13"/>
  <c r="N1432" i="13"/>
  <c r="M1432" i="13"/>
  <c r="L1432" i="13"/>
  <c r="J1432" i="13"/>
  <c r="G1432" i="13"/>
  <c r="F1432" i="13"/>
  <c r="E1432" i="13"/>
  <c r="D1432" i="13"/>
  <c r="C1432" i="13"/>
  <c r="B1432" i="13"/>
  <c r="A1432" i="13"/>
  <c r="AG1431" i="13"/>
  <c r="AF1431" i="13"/>
  <c r="AE1431" i="13"/>
  <c r="AD1431" i="13"/>
  <c r="Z1431" i="13"/>
  <c r="Y1431" i="13"/>
  <c r="X1431" i="13"/>
  <c r="W1431" i="13"/>
  <c r="U1431" i="13"/>
  <c r="T1431" i="13"/>
  <c r="S1431" i="13"/>
  <c r="R1431" i="13"/>
  <c r="Q1431" i="13"/>
  <c r="P1431" i="13"/>
  <c r="O1431" i="13"/>
  <c r="N1431" i="13"/>
  <c r="M1431" i="13"/>
  <c r="L1431" i="13"/>
  <c r="J1431" i="13"/>
  <c r="G1431" i="13"/>
  <c r="F1431" i="13"/>
  <c r="E1431" i="13"/>
  <c r="D1431" i="13"/>
  <c r="C1431" i="13"/>
  <c r="B1431" i="13"/>
  <c r="A1431" i="13"/>
  <c r="AG1430" i="13"/>
  <c r="AF1430" i="13"/>
  <c r="AE1430" i="13"/>
  <c r="AD1430" i="13"/>
  <c r="Z1430" i="13"/>
  <c r="Y1430" i="13"/>
  <c r="X1430" i="13"/>
  <c r="W1430" i="13"/>
  <c r="U1430" i="13"/>
  <c r="T1430" i="13"/>
  <c r="S1430" i="13"/>
  <c r="R1430" i="13"/>
  <c r="Q1430" i="13"/>
  <c r="P1430" i="13"/>
  <c r="O1430" i="13"/>
  <c r="N1430" i="13"/>
  <c r="M1430" i="13"/>
  <c r="L1430" i="13"/>
  <c r="J1430" i="13"/>
  <c r="G1430" i="13"/>
  <c r="F1430" i="13"/>
  <c r="E1430" i="13"/>
  <c r="D1430" i="13"/>
  <c r="C1430" i="13"/>
  <c r="B1430" i="13"/>
  <c r="A1430" i="13"/>
  <c r="AG1429" i="13"/>
  <c r="AF1429" i="13"/>
  <c r="AE1429" i="13"/>
  <c r="AD1429" i="13"/>
  <c r="Z1429" i="13"/>
  <c r="Y1429" i="13"/>
  <c r="X1429" i="13"/>
  <c r="W1429" i="13"/>
  <c r="U1429" i="13"/>
  <c r="T1429" i="13"/>
  <c r="S1429" i="13"/>
  <c r="R1429" i="13"/>
  <c r="Q1429" i="13"/>
  <c r="P1429" i="13"/>
  <c r="O1429" i="13"/>
  <c r="N1429" i="13"/>
  <c r="M1429" i="13"/>
  <c r="L1429" i="13"/>
  <c r="J1429" i="13"/>
  <c r="G1429" i="13"/>
  <c r="F1429" i="13"/>
  <c r="E1429" i="13"/>
  <c r="D1429" i="13"/>
  <c r="C1429" i="13"/>
  <c r="B1429" i="13"/>
  <c r="A1429" i="13"/>
  <c r="AG1428" i="13"/>
  <c r="AF1428" i="13"/>
  <c r="AE1428" i="13"/>
  <c r="AD1428" i="13"/>
  <c r="Z1428" i="13"/>
  <c r="Y1428" i="13"/>
  <c r="X1428" i="13"/>
  <c r="W1428" i="13"/>
  <c r="U1428" i="13"/>
  <c r="T1428" i="13"/>
  <c r="S1428" i="13"/>
  <c r="R1428" i="13"/>
  <c r="Q1428" i="13"/>
  <c r="P1428" i="13"/>
  <c r="O1428" i="13"/>
  <c r="N1428" i="13"/>
  <c r="M1428" i="13"/>
  <c r="L1428" i="13"/>
  <c r="J1428" i="13"/>
  <c r="G1428" i="13"/>
  <c r="F1428" i="13"/>
  <c r="E1428" i="13"/>
  <c r="D1428" i="13"/>
  <c r="C1428" i="13"/>
  <c r="B1428" i="13"/>
  <c r="A1428" i="13"/>
  <c r="AG1427" i="13"/>
  <c r="AF1427" i="13"/>
  <c r="AE1427" i="13"/>
  <c r="AD1427" i="13"/>
  <c r="Z1427" i="13"/>
  <c r="Y1427" i="13"/>
  <c r="X1427" i="13"/>
  <c r="W1427" i="13"/>
  <c r="U1427" i="13"/>
  <c r="T1427" i="13"/>
  <c r="S1427" i="13"/>
  <c r="R1427" i="13"/>
  <c r="Q1427" i="13"/>
  <c r="P1427" i="13"/>
  <c r="O1427" i="13"/>
  <c r="N1427" i="13"/>
  <c r="M1427" i="13"/>
  <c r="L1427" i="13"/>
  <c r="J1427" i="13"/>
  <c r="G1427" i="13"/>
  <c r="F1427" i="13"/>
  <c r="E1427" i="13"/>
  <c r="D1427" i="13"/>
  <c r="C1427" i="13"/>
  <c r="B1427" i="13"/>
  <c r="A1427" i="13"/>
  <c r="AG1426" i="13"/>
  <c r="AF1426" i="13"/>
  <c r="AE1426" i="13"/>
  <c r="AD1426" i="13"/>
  <c r="Z1426" i="13"/>
  <c r="Y1426" i="13"/>
  <c r="X1426" i="13"/>
  <c r="W1426" i="13"/>
  <c r="U1426" i="13"/>
  <c r="T1426" i="13"/>
  <c r="S1426" i="13"/>
  <c r="R1426" i="13"/>
  <c r="Q1426" i="13"/>
  <c r="P1426" i="13"/>
  <c r="O1426" i="13"/>
  <c r="N1426" i="13"/>
  <c r="M1426" i="13"/>
  <c r="L1426" i="13"/>
  <c r="J1426" i="13"/>
  <c r="G1426" i="13"/>
  <c r="F1426" i="13"/>
  <c r="E1426" i="13"/>
  <c r="D1426" i="13"/>
  <c r="C1426" i="13"/>
  <c r="B1426" i="13"/>
  <c r="A1426" i="13"/>
  <c r="AG1425" i="13"/>
  <c r="AF1425" i="13"/>
  <c r="AE1425" i="13"/>
  <c r="AD1425" i="13"/>
  <c r="Z1425" i="13"/>
  <c r="Y1425" i="13"/>
  <c r="X1425" i="13"/>
  <c r="W1425" i="13"/>
  <c r="U1425" i="13"/>
  <c r="T1425" i="13"/>
  <c r="S1425" i="13"/>
  <c r="R1425" i="13"/>
  <c r="Q1425" i="13"/>
  <c r="P1425" i="13"/>
  <c r="O1425" i="13"/>
  <c r="N1425" i="13"/>
  <c r="M1425" i="13"/>
  <c r="L1425" i="13"/>
  <c r="J1425" i="13"/>
  <c r="G1425" i="13"/>
  <c r="F1425" i="13"/>
  <c r="E1425" i="13"/>
  <c r="D1425" i="13"/>
  <c r="C1425" i="13"/>
  <c r="B1425" i="13"/>
  <c r="A1425" i="13"/>
  <c r="AG1424" i="13"/>
  <c r="AF1424" i="13"/>
  <c r="AE1424" i="13"/>
  <c r="AD1424" i="13"/>
  <c r="Z1424" i="13"/>
  <c r="Y1424" i="13"/>
  <c r="X1424" i="13"/>
  <c r="W1424" i="13"/>
  <c r="U1424" i="13"/>
  <c r="T1424" i="13"/>
  <c r="S1424" i="13"/>
  <c r="R1424" i="13"/>
  <c r="Q1424" i="13"/>
  <c r="P1424" i="13"/>
  <c r="O1424" i="13"/>
  <c r="N1424" i="13"/>
  <c r="M1424" i="13"/>
  <c r="L1424" i="13"/>
  <c r="J1424" i="13"/>
  <c r="G1424" i="13"/>
  <c r="F1424" i="13"/>
  <c r="E1424" i="13"/>
  <c r="D1424" i="13"/>
  <c r="C1424" i="13"/>
  <c r="B1424" i="13"/>
  <c r="A1424" i="13"/>
  <c r="AG1423" i="13"/>
  <c r="AF1423" i="13"/>
  <c r="AE1423" i="13"/>
  <c r="AD1423" i="13"/>
  <c r="Z1423" i="13"/>
  <c r="Y1423" i="13"/>
  <c r="X1423" i="13"/>
  <c r="W1423" i="13"/>
  <c r="U1423" i="13"/>
  <c r="T1423" i="13"/>
  <c r="S1423" i="13"/>
  <c r="R1423" i="13"/>
  <c r="Q1423" i="13"/>
  <c r="P1423" i="13"/>
  <c r="O1423" i="13"/>
  <c r="N1423" i="13"/>
  <c r="M1423" i="13"/>
  <c r="L1423" i="13"/>
  <c r="J1423" i="13"/>
  <c r="G1423" i="13"/>
  <c r="F1423" i="13"/>
  <c r="E1423" i="13"/>
  <c r="D1423" i="13"/>
  <c r="C1423" i="13"/>
  <c r="B1423" i="13"/>
  <c r="A1423" i="13"/>
  <c r="AG1422" i="13"/>
  <c r="AF1422" i="13"/>
  <c r="AE1422" i="13"/>
  <c r="AD1422" i="13"/>
  <c r="Z1422" i="13"/>
  <c r="Y1422" i="13"/>
  <c r="X1422" i="13"/>
  <c r="W1422" i="13"/>
  <c r="U1422" i="13"/>
  <c r="T1422" i="13"/>
  <c r="S1422" i="13"/>
  <c r="R1422" i="13"/>
  <c r="Q1422" i="13"/>
  <c r="P1422" i="13"/>
  <c r="O1422" i="13"/>
  <c r="N1422" i="13"/>
  <c r="M1422" i="13"/>
  <c r="L1422" i="13"/>
  <c r="J1422" i="13"/>
  <c r="G1422" i="13"/>
  <c r="F1422" i="13"/>
  <c r="E1422" i="13"/>
  <c r="D1422" i="13"/>
  <c r="C1422" i="13"/>
  <c r="B1422" i="13"/>
  <c r="A1422" i="13"/>
  <c r="AG1421" i="13"/>
  <c r="AF1421" i="13"/>
  <c r="AE1421" i="13"/>
  <c r="AD1421" i="13"/>
  <c r="Z1421" i="13"/>
  <c r="Y1421" i="13"/>
  <c r="X1421" i="13"/>
  <c r="W1421" i="13"/>
  <c r="U1421" i="13"/>
  <c r="T1421" i="13"/>
  <c r="S1421" i="13"/>
  <c r="R1421" i="13"/>
  <c r="Q1421" i="13"/>
  <c r="P1421" i="13"/>
  <c r="O1421" i="13"/>
  <c r="N1421" i="13"/>
  <c r="M1421" i="13"/>
  <c r="L1421" i="13"/>
  <c r="J1421" i="13"/>
  <c r="G1421" i="13"/>
  <c r="F1421" i="13"/>
  <c r="E1421" i="13"/>
  <c r="D1421" i="13"/>
  <c r="C1421" i="13"/>
  <c r="B1421" i="13"/>
  <c r="A1421" i="13"/>
  <c r="AG1420" i="13"/>
  <c r="AF1420" i="13"/>
  <c r="AE1420" i="13"/>
  <c r="AD1420" i="13"/>
  <c r="Z1420" i="13"/>
  <c r="Y1420" i="13"/>
  <c r="X1420" i="13"/>
  <c r="W1420" i="13"/>
  <c r="U1420" i="13"/>
  <c r="T1420" i="13"/>
  <c r="S1420" i="13"/>
  <c r="R1420" i="13"/>
  <c r="Q1420" i="13"/>
  <c r="P1420" i="13"/>
  <c r="O1420" i="13"/>
  <c r="N1420" i="13"/>
  <c r="M1420" i="13"/>
  <c r="L1420" i="13"/>
  <c r="J1420" i="13"/>
  <c r="G1420" i="13"/>
  <c r="F1420" i="13"/>
  <c r="E1420" i="13"/>
  <c r="D1420" i="13"/>
  <c r="C1420" i="13"/>
  <c r="B1420" i="13"/>
  <c r="A1420" i="13"/>
  <c r="AG1419" i="13"/>
  <c r="AF1419" i="13"/>
  <c r="AE1419" i="13"/>
  <c r="AD1419" i="13"/>
  <c r="Z1419" i="13"/>
  <c r="Y1419" i="13"/>
  <c r="X1419" i="13"/>
  <c r="W1419" i="13"/>
  <c r="U1419" i="13"/>
  <c r="T1419" i="13"/>
  <c r="S1419" i="13"/>
  <c r="R1419" i="13"/>
  <c r="Q1419" i="13"/>
  <c r="P1419" i="13"/>
  <c r="O1419" i="13"/>
  <c r="N1419" i="13"/>
  <c r="M1419" i="13"/>
  <c r="L1419" i="13"/>
  <c r="J1419" i="13"/>
  <c r="G1419" i="13"/>
  <c r="F1419" i="13"/>
  <c r="E1419" i="13"/>
  <c r="D1419" i="13"/>
  <c r="C1419" i="13"/>
  <c r="B1419" i="13"/>
  <c r="A1419" i="13"/>
  <c r="AG1418" i="13"/>
  <c r="AF1418" i="13"/>
  <c r="AE1418" i="13"/>
  <c r="AD1418" i="13"/>
  <c r="Z1418" i="13"/>
  <c r="Y1418" i="13"/>
  <c r="X1418" i="13"/>
  <c r="W1418" i="13"/>
  <c r="U1418" i="13"/>
  <c r="T1418" i="13"/>
  <c r="S1418" i="13"/>
  <c r="R1418" i="13"/>
  <c r="Q1418" i="13"/>
  <c r="P1418" i="13"/>
  <c r="O1418" i="13"/>
  <c r="N1418" i="13"/>
  <c r="M1418" i="13"/>
  <c r="L1418" i="13"/>
  <c r="J1418" i="13"/>
  <c r="G1418" i="13"/>
  <c r="F1418" i="13"/>
  <c r="E1418" i="13"/>
  <c r="D1418" i="13"/>
  <c r="C1418" i="13"/>
  <c r="B1418" i="13"/>
  <c r="A1418" i="13"/>
  <c r="AG1417" i="13"/>
  <c r="AF1417" i="13"/>
  <c r="AE1417" i="13"/>
  <c r="AD1417" i="13"/>
  <c r="Z1417" i="13"/>
  <c r="Y1417" i="13"/>
  <c r="X1417" i="13"/>
  <c r="W1417" i="13"/>
  <c r="U1417" i="13"/>
  <c r="T1417" i="13"/>
  <c r="S1417" i="13"/>
  <c r="R1417" i="13"/>
  <c r="Q1417" i="13"/>
  <c r="P1417" i="13"/>
  <c r="O1417" i="13"/>
  <c r="N1417" i="13"/>
  <c r="M1417" i="13"/>
  <c r="L1417" i="13"/>
  <c r="J1417" i="13"/>
  <c r="G1417" i="13"/>
  <c r="F1417" i="13"/>
  <c r="E1417" i="13"/>
  <c r="D1417" i="13"/>
  <c r="C1417" i="13"/>
  <c r="B1417" i="13"/>
  <c r="A1417" i="13"/>
  <c r="AG1416" i="13"/>
  <c r="AF1416" i="13"/>
  <c r="AE1416" i="13"/>
  <c r="AD1416" i="13"/>
  <c r="Z1416" i="13"/>
  <c r="Y1416" i="13"/>
  <c r="X1416" i="13"/>
  <c r="W1416" i="13"/>
  <c r="U1416" i="13"/>
  <c r="T1416" i="13"/>
  <c r="S1416" i="13"/>
  <c r="R1416" i="13"/>
  <c r="Q1416" i="13"/>
  <c r="P1416" i="13"/>
  <c r="O1416" i="13"/>
  <c r="N1416" i="13"/>
  <c r="M1416" i="13"/>
  <c r="L1416" i="13"/>
  <c r="J1416" i="13"/>
  <c r="G1416" i="13"/>
  <c r="F1416" i="13"/>
  <c r="E1416" i="13"/>
  <c r="D1416" i="13"/>
  <c r="C1416" i="13"/>
  <c r="B1416" i="13"/>
  <c r="A1416" i="13"/>
  <c r="AG1415" i="13"/>
  <c r="AF1415" i="13"/>
  <c r="AE1415" i="13"/>
  <c r="AD1415" i="13"/>
  <c r="Z1415" i="13"/>
  <c r="Y1415" i="13"/>
  <c r="X1415" i="13"/>
  <c r="W1415" i="13"/>
  <c r="U1415" i="13"/>
  <c r="T1415" i="13"/>
  <c r="S1415" i="13"/>
  <c r="R1415" i="13"/>
  <c r="Q1415" i="13"/>
  <c r="P1415" i="13"/>
  <c r="O1415" i="13"/>
  <c r="N1415" i="13"/>
  <c r="M1415" i="13"/>
  <c r="L1415" i="13"/>
  <c r="J1415" i="13"/>
  <c r="G1415" i="13"/>
  <c r="F1415" i="13"/>
  <c r="E1415" i="13"/>
  <c r="D1415" i="13"/>
  <c r="C1415" i="13"/>
  <c r="B1415" i="13"/>
  <c r="A1415" i="13"/>
  <c r="AG1414" i="13"/>
  <c r="AF1414" i="13"/>
  <c r="AE1414" i="13"/>
  <c r="AD1414" i="13"/>
  <c r="Z1414" i="13"/>
  <c r="Y1414" i="13"/>
  <c r="X1414" i="13"/>
  <c r="W1414" i="13"/>
  <c r="U1414" i="13"/>
  <c r="T1414" i="13"/>
  <c r="S1414" i="13"/>
  <c r="R1414" i="13"/>
  <c r="Q1414" i="13"/>
  <c r="P1414" i="13"/>
  <c r="O1414" i="13"/>
  <c r="N1414" i="13"/>
  <c r="M1414" i="13"/>
  <c r="L1414" i="13"/>
  <c r="J1414" i="13"/>
  <c r="G1414" i="13"/>
  <c r="F1414" i="13"/>
  <c r="E1414" i="13"/>
  <c r="D1414" i="13"/>
  <c r="C1414" i="13"/>
  <c r="B1414" i="13"/>
  <c r="A1414" i="13"/>
  <c r="AG1413" i="13"/>
  <c r="AF1413" i="13"/>
  <c r="AE1413" i="13"/>
  <c r="AD1413" i="13"/>
  <c r="Z1413" i="13"/>
  <c r="Y1413" i="13"/>
  <c r="X1413" i="13"/>
  <c r="W1413" i="13"/>
  <c r="U1413" i="13"/>
  <c r="T1413" i="13"/>
  <c r="S1413" i="13"/>
  <c r="R1413" i="13"/>
  <c r="Q1413" i="13"/>
  <c r="P1413" i="13"/>
  <c r="O1413" i="13"/>
  <c r="N1413" i="13"/>
  <c r="M1413" i="13"/>
  <c r="L1413" i="13"/>
  <c r="J1413" i="13"/>
  <c r="G1413" i="13"/>
  <c r="F1413" i="13"/>
  <c r="E1413" i="13"/>
  <c r="D1413" i="13"/>
  <c r="C1413" i="13"/>
  <c r="B1413" i="13"/>
  <c r="A1413" i="13"/>
  <c r="AG1412" i="13"/>
  <c r="AF1412" i="13"/>
  <c r="AE1412" i="13"/>
  <c r="AD1412" i="13"/>
  <c r="Z1412" i="13"/>
  <c r="Y1412" i="13"/>
  <c r="X1412" i="13"/>
  <c r="W1412" i="13"/>
  <c r="U1412" i="13"/>
  <c r="T1412" i="13"/>
  <c r="S1412" i="13"/>
  <c r="R1412" i="13"/>
  <c r="Q1412" i="13"/>
  <c r="P1412" i="13"/>
  <c r="O1412" i="13"/>
  <c r="N1412" i="13"/>
  <c r="M1412" i="13"/>
  <c r="L1412" i="13"/>
  <c r="J1412" i="13"/>
  <c r="G1412" i="13"/>
  <c r="F1412" i="13"/>
  <c r="E1412" i="13"/>
  <c r="D1412" i="13"/>
  <c r="C1412" i="13"/>
  <c r="B1412" i="13"/>
  <c r="A1412" i="13"/>
  <c r="AG1411" i="13"/>
  <c r="AF1411" i="13"/>
  <c r="AE1411" i="13"/>
  <c r="AD1411" i="13"/>
  <c r="Z1411" i="13"/>
  <c r="Y1411" i="13"/>
  <c r="X1411" i="13"/>
  <c r="W1411" i="13"/>
  <c r="U1411" i="13"/>
  <c r="T1411" i="13"/>
  <c r="S1411" i="13"/>
  <c r="R1411" i="13"/>
  <c r="Q1411" i="13"/>
  <c r="P1411" i="13"/>
  <c r="O1411" i="13"/>
  <c r="N1411" i="13"/>
  <c r="M1411" i="13"/>
  <c r="L1411" i="13"/>
  <c r="J1411" i="13"/>
  <c r="G1411" i="13"/>
  <c r="F1411" i="13"/>
  <c r="E1411" i="13"/>
  <c r="D1411" i="13"/>
  <c r="C1411" i="13"/>
  <c r="B1411" i="13"/>
  <c r="A1411" i="13"/>
  <c r="AG1410" i="13"/>
  <c r="AF1410" i="13"/>
  <c r="AE1410" i="13"/>
  <c r="AD1410" i="13"/>
  <c r="Z1410" i="13"/>
  <c r="Y1410" i="13"/>
  <c r="X1410" i="13"/>
  <c r="W1410" i="13"/>
  <c r="U1410" i="13"/>
  <c r="T1410" i="13"/>
  <c r="S1410" i="13"/>
  <c r="R1410" i="13"/>
  <c r="Q1410" i="13"/>
  <c r="P1410" i="13"/>
  <c r="O1410" i="13"/>
  <c r="N1410" i="13"/>
  <c r="M1410" i="13"/>
  <c r="L1410" i="13"/>
  <c r="J1410" i="13"/>
  <c r="G1410" i="13"/>
  <c r="F1410" i="13"/>
  <c r="E1410" i="13"/>
  <c r="D1410" i="13"/>
  <c r="C1410" i="13"/>
  <c r="B1410" i="13"/>
  <c r="A1410" i="13"/>
  <c r="AG1409" i="13"/>
  <c r="AF1409" i="13"/>
  <c r="AE1409" i="13"/>
  <c r="AD1409" i="13"/>
  <c r="Z1409" i="13"/>
  <c r="Y1409" i="13"/>
  <c r="X1409" i="13"/>
  <c r="W1409" i="13"/>
  <c r="U1409" i="13"/>
  <c r="T1409" i="13"/>
  <c r="S1409" i="13"/>
  <c r="R1409" i="13"/>
  <c r="Q1409" i="13"/>
  <c r="P1409" i="13"/>
  <c r="O1409" i="13"/>
  <c r="N1409" i="13"/>
  <c r="M1409" i="13"/>
  <c r="L1409" i="13"/>
  <c r="J1409" i="13"/>
  <c r="G1409" i="13"/>
  <c r="F1409" i="13"/>
  <c r="E1409" i="13"/>
  <c r="D1409" i="13"/>
  <c r="C1409" i="13"/>
  <c r="B1409" i="13"/>
  <c r="A1409" i="13"/>
  <c r="AG1408" i="13"/>
  <c r="AF1408" i="13"/>
  <c r="AE1408" i="13"/>
  <c r="AD1408" i="13"/>
  <c r="Z1408" i="13"/>
  <c r="Y1408" i="13"/>
  <c r="X1408" i="13"/>
  <c r="W1408" i="13"/>
  <c r="U1408" i="13"/>
  <c r="T1408" i="13"/>
  <c r="S1408" i="13"/>
  <c r="R1408" i="13"/>
  <c r="Q1408" i="13"/>
  <c r="P1408" i="13"/>
  <c r="O1408" i="13"/>
  <c r="N1408" i="13"/>
  <c r="M1408" i="13"/>
  <c r="L1408" i="13"/>
  <c r="J1408" i="13"/>
  <c r="G1408" i="13"/>
  <c r="F1408" i="13"/>
  <c r="E1408" i="13"/>
  <c r="D1408" i="13"/>
  <c r="C1408" i="13"/>
  <c r="B1408" i="13"/>
  <c r="A1408" i="13"/>
  <c r="AG1407" i="13"/>
  <c r="AF1407" i="13"/>
  <c r="AE1407" i="13"/>
  <c r="AD1407" i="13"/>
  <c r="Z1407" i="13"/>
  <c r="Y1407" i="13"/>
  <c r="X1407" i="13"/>
  <c r="W1407" i="13"/>
  <c r="U1407" i="13"/>
  <c r="T1407" i="13"/>
  <c r="S1407" i="13"/>
  <c r="R1407" i="13"/>
  <c r="Q1407" i="13"/>
  <c r="P1407" i="13"/>
  <c r="O1407" i="13"/>
  <c r="N1407" i="13"/>
  <c r="M1407" i="13"/>
  <c r="L1407" i="13"/>
  <c r="J1407" i="13"/>
  <c r="G1407" i="13"/>
  <c r="F1407" i="13"/>
  <c r="E1407" i="13"/>
  <c r="D1407" i="13"/>
  <c r="C1407" i="13"/>
  <c r="B1407" i="13"/>
  <c r="A1407" i="13"/>
  <c r="AG1406" i="13"/>
  <c r="AF1406" i="13"/>
  <c r="AE1406" i="13"/>
  <c r="AD1406" i="13"/>
  <c r="Z1406" i="13"/>
  <c r="Y1406" i="13"/>
  <c r="X1406" i="13"/>
  <c r="W1406" i="13"/>
  <c r="U1406" i="13"/>
  <c r="T1406" i="13"/>
  <c r="S1406" i="13"/>
  <c r="R1406" i="13"/>
  <c r="Q1406" i="13"/>
  <c r="P1406" i="13"/>
  <c r="O1406" i="13"/>
  <c r="N1406" i="13"/>
  <c r="M1406" i="13"/>
  <c r="L1406" i="13"/>
  <c r="J1406" i="13"/>
  <c r="G1406" i="13"/>
  <c r="F1406" i="13"/>
  <c r="E1406" i="13"/>
  <c r="D1406" i="13"/>
  <c r="C1406" i="13"/>
  <c r="B1406" i="13"/>
  <c r="A1406" i="13"/>
  <c r="AG1405" i="13"/>
  <c r="AF1405" i="13"/>
  <c r="AE1405" i="13"/>
  <c r="AD1405" i="13"/>
  <c r="Z1405" i="13"/>
  <c r="Y1405" i="13"/>
  <c r="X1405" i="13"/>
  <c r="W1405" i="13"/>
  <c r="U1405" i="13"/>
  <c r="T1405" i="13"/>
  <c r="S1405" i="13"/>
  <c r="R1405" i="13"/>
  <c r="Q1405" i="13"/>
  <c r="P1405" i="13"/>
  <c r="O1405" i="13"/>
  <c r="N1405" i="13"/>
  <c r="M1405" i="13"/>
  <c r="L1405" i="13"/>
  <c r="J1405" i="13"/>
  <c r="G1405" i="13"/>
  <c r="F1405" i="13"/>
  <c r="E1405" i="13"/>
  <c r="D1405" i="13"/>
  <c r="C1405" i="13"/>
  <c r="B1405" i="13"/>
  <c r="A1405" i="13"/>
  <c r="AG1404" i="13"/>
  <c r="AF1404" i="13"/>
  <c r="AE1404" i="13"/>
  <c r="AD1404" i="13"/>
  <c r="Z1404" i="13"/>
  <c r="Y1404" i="13"/>
  <c r="X1404" i="13"/>
  <c r="W1404" i="13"/>
  <c r="U1404" i="13"/>
  <c r="T1404" i="13"/>
  <c r="S1404" i="13"/>
  <c r="R1404" i="13"/>
  <c r="Q1404" i="13"/>
  <c r="P1404" i="13"/>
  <c r="O1404" i="13"/>
  <c r="N1404" i="13"/>
  <c r="M1404" i="13"/>
  <c r="L1404" i="13"/>
  <c r="J1404" i="13"/>
  <c r="G1404" i="13"/>
  <c r="F1404" i="13"/>
  <c r="E1404" i="13"/>
  <c r="D1404" i="13"/>
  <c r="C1404" i="13"/>
  <c r="B1404" i="13"/>
  <c r="A1404" i="13"/>
  <c r="AG1403" i="13"/>
  <c r="AF1403" i="13"/>
  <c r="AE1403" i="13"/>
  <c r="AD1403" i="13"/>
  <c r="Z1403" i="13"/>
  <c r="Y1403" i="13"/>
  <c r="X1403" i="13"/>
  <c r="W1403" i="13"/>
  <c r="U1403" i="13"/>
  <c r="T1403" i="13"/>
  <c r="S1403" i="13"/>
  <c r="R1403" i="13"/>
  <c r="Q1403" i="13"/>
  <c r="P1403" i="13"/>
  <c r="O1403" i="13"/>
  <c r="N1403" i="13"/>
  <c r="M1403" i="13"/>
  <c r="L1403" i="13"/>
  <c r="J1403" i="13"/>
  <c r="G1403" i="13"/>
  <c r="F1403" i="13"/>
  <c r="E1403" i="13"/>
  <c r="D1403" i="13"/>
  <c r="C1403" i="13"/>
  <c r="B1403" i="13"/>
  <c r="A1403" i="13"/>
  <c r="AG1402" i="13"/>
  <c r="AF1402" i="13"/>
  <c r="AE1402" i="13"/>
  <c r="AD1402" i="13"/>
  <c r="Z1402" i="13"/>
  <c r="Y1402" i="13"/>
  <c r="X1402" i="13"/>
  <c r="W1402" i="13"/>
  <c r="U1402" i="13"/>
  <c r="T1402" i="13"/>
  <c r="S1402" i="13"/>
  <c r="R1402" i="13"/>
  <c r="Q1402" i="13"/>
  <c r="P1402" i="13"/>
  <c r="O1402" i="13"/>
  <c r="N1402" i="13"/>
  <c r="M1402" i="13"/>
  <c r="L1402" i="13"/>
  <c r="J1402" i="13"/>
  <c r="G1402" i="13"/>
  <c r="F1402" i="13"/>
  <c r="E1402" i="13"/>
  <c r="D1402" i="13"/>
  <c r="C1402" i="13"/>
  <c r="B1402" i="13"/>
  <c r="A1402" i="13"/>
  <c r="AG1401" i="13"/>
  <c r="AF1401" i="13"/>
  <c r="AE1401" i="13"/>
  <c r="AD1401" i="13"/>
  <c r="Z1401" i="13"/>
  <c r="Y1401" i="13"/>
  <c r="X1401" i="13"/>
  <c r="W1401" i="13"/>
  <c r="U1401" i="13"/>
  <c r="T1401" i="13"/>
  <c r="S1401" i="13"/>
  <c r="R1401" i="13"/>
  <c r="Q1401" i="13"/>
  <c r="P1401" i="13"/>
  <c r="O1401" i="13"/>
  <c r="N1401" i="13"/>
  <c r="M1401" i="13"/>
  <c r="L1401" i="13"/>
  <c r="J1401" i="13"/>
  <c r="G1401" i="13"/>
  <c r="F1401" i="13"/>
  <c r="E1401" i="13"/>
  <c r="D1401" i="13"/>
  <c r="C1401" i="13"/>
  <c r="B1401" i="13"/>
  <c r="A1401" i="13"/>
  <c r="AG1400" i="13"/>
  <c r="AF1400" i="13"/>
  <c r="AE1400" i="13"/>
  <c r="AD1400" i="13"/>
  <c r="Z1400" i="13"/>
  <c r="Y1400" i="13"/>
  <c r="X1400" i="13"/>
  <c r="W1400" i="13"/>
  <c r="U1400" i="13"/>
  <c r="T1400" i="13"/>
  <c r="S1400" i="13"/>
  <c r="R1400" i="13"/>
  <c r="Q1400" i="13"/>
  <c r="O1400" i="13"/>
  <c r="N1400" i="13"/>
  <c r="M1400" i="13"/>
  <c r="L1400" i="13"/>
  <c r="G1400" i="13"/>
  <c r="F1400" i="13"/>
  <c r="E1400" i="13"/>
  <c r="D1400" i="13"/>
  <c r="C1400" i="13"/>
  <c r="B1400" i="13"/>
  <c r="A1400" i="13"/>
  <c r="AG1399" i="13"/>
  <c r="AF1399" i="13"/>
  <c r="AE1399" i="13"/>
  <c r="AD1399" i="13"/>
  <c r="Z1399" i="13"/>
  <c r="Y1399" i="13"/>
  <c r="X1399" i="13"/>
  <c r="W1399" i="13"/>
  <c r="U1399" i="13"/>
  <c r="T1399" i="13"/>
  <c r="S1399" i="13"/>
  <c r="R1399" i="13"/>
  <c r="Q1399" i="13"/>
  <c r="O1399" i="13"/>
  <c r="N1399" i="13"/>
  <c r="M1399" i="13"/>
  <c r="L1399" i="13"/>
  <c r="G1399" i="13"/>
  <c r="F1399" i="13"/>
  <c r="E1399" i="13"/>
  <c r="D1399" i="13"/>
  <c r="C1399" i="13"/>
  <c r="B1399" i="13"/>
  <c r="A1399" i="13"/>
  <c r="AG1398" i="13"/>
  <c r="AF1398" i="13"/>
  <c r="AE1398" i="13"/>
  <c r="AD1398" i="13"/>
  <c r="Z1398" i="13"/>
  <c r="Y1398" i="13"/>
  <c r="X1398" i="13"/>
  <c r="W1398" i="13"/>
  <c r="U1398" i="13"/>
  <c r="T1398" i="13"/>
  <c r="S1398" i="13"/>
  <c r="R1398" i="13"/>
  <c r="Q1398" i="13"/>
  <c r="P1398" i="13"/>
  <c r="O1398" i="13"/>
  <c r="N1398" i="13"/>
  <c r="M1398" i="13"/>
  <c r="L1398" i="13"/>
  <c r="J1398" i="13"/>
  <c r="G1398" i="13"/>
  <c r="F1398" i="13"/>
  <c r="E1398" i="13"/>
  <c r="D1398" i="13"/>
  <c r="C1398" i="13"/>
  <c r="B1398" i="13"/>
  <c r="A1398" i="13"/>
  <c r="AG1397" i="13"/>
  <c r="AF1397" i="13"/>
  <c r="AE1397" i="13"/>
  <c r="AD1397" i="13"/>
  <c r="Z1397" i="13"/>
  <c r="Y1397" i="13"/>
  <c r="X1397" i="13"/>
  <c r="W1397" i="13"/>
  <c r="U1397" i="13"/>
  <c r="T1397" i="13"/>
  <c r="S1397" i="13"/>
  <c r="R1397" i="13"/>
  <c r="Q1397" i="13"/>
  <c r="P1397" i="13"/>
  <c r="O1397" i="13"/>
  <c r="N1397" i="13"/>
  <c r="M1397" i="13"/>
  <c r="L1397" i="13"/>
  <c r="J1397" i="13"/>
  <c r="G1397" i="13"/>
  <c r="F1397" i="13"/>
  <c r="E1397" i="13"/>
  <c r="D1397" i="13"/>
  <c r="C1397" i="13"/>
  <c r="B1397" i="13"/>
  <c r="A1397" i="13"/>
  <c r="AG1396" i="13"/>
  <c r="AF1396" i="13"/>
  <c r="AE1396" i="13"/>
  <c r="AD1396" i="13"/>
  <c r="Z1396" i="13"/>
  <c r="Y1396" i="13"/>
  <c r="X1396" i="13"/>
  <c r="W1396" i="13"/>
  <c r="U1396" i="13"/>
  <c r="T1396" i="13"/>
  <c r="S1396" i="13"/>
  <c r="R1396" i="13"/>
  <c r="Q1396" i="13"/>
  <c r="P1396" i="13"/>
  <c r="O1396" i="13"/>
  <c r="N1396" i="13"/>
  <c r="M1396" i="13"/>
  <c r="L1396" i="13"/>
  <c r="J1396" i="13"/>
  <c r="G1396" i="13"/>
  <c r="F1396" i="13"/>
  <c r="E1396" i="13"/>
  <c r="D1396" i="13"/>
  <c r="C1396" i="13"/>
  <c r="B1396" i="13"/>
  <c r="A1396" i="13"/>
  <c r="AG1395" i="13"/>
  <c r="AF1395" i="13"/>
  <c r="AE1395" i="13"/>
  <c r="AD1395" i="13"/>
  <c r="Z1395" i="13"/>
  <c r="Y1395" i="13"/>
  <c r="X1395" i="13"/>
  <c r="W1395" i="13"/>
  <c r="U1395" i="13"/>
  <c r="T1395" i="13"/>
  <c r="S1395" i="13"/>
  <c r="R1395" i="13"/>
  <c r="Q1395" i="13"/>
  <c r="P1395" i="13"/>
  <c r="O1395" i="13"/>
  <c r="N1395" i="13"/>
  <c r="M1395" i="13"/>
  <c r="L1395" i="13"/>
  <c r="J1395" i="13"/>
  <c r="G1395" i="13"/>
  <c r="F1395" i="13"/>
  <c r="E1395" i="13"/>
  <c r="D1395" i="13"/>
  <c r="C1395" i="13"/>
  <c r="B1395" i="13"/>
  <c r="A1395" i="13"/>
  <c r="AG1394" i="13"/>
  <c r="AF1394" i="13"/>
  <c r="AE1394" i="13"/>
  <c r="AD1394" i="13"/>
  <c r="Z1394" i="13"/>
  <c r="Y1394" i="13"/>
  <c r="X1394" i="13"/>
  <c r="W1394" i="13"/>
  <c r="U1394" i="13"/>
  <c r="T1394" i="13"/>
  <c r="S1394" i="13"/>
  <c r="R1394" i="13"/>
  <c r="Q1394" i="13"/>
  <c r="P1394" i="13"/>
  <c r="O1394" i="13"/>
  <c r="N1394" i="13"/>
  <c r="M1394" i="13"/>
  <c r="L1394" i="13"/>
  <c r="J1394" i="13"/>
  <c r="G1394" i="13"/>
  <c r="F1394" i="13"/>
  <c r="E1394" i="13"/>
  <c r="D1394" i="13"/>
  <c r="C1394" i="13"/>
  <c r="B1394" i="13"/>
  <c r="A1394" i="13"/>
  <c r="AG1393" i="13"/>
  <c r="AF1393" i="13"/>
  <c r="AE1393" i="13"/>
  <c r="AD1393" i="13"/>
  <c r="Z1393" i="13"/>
  <c r="Y1393" i="13"/>
  <c r="X1393" i="13"/>
  <c r="W1393" i="13"/>
  <c r="U1393" i="13"/>
  <c r="T1393" i="13"/>
  <c r="S1393" i="13"/>
  <c r="R1393" i="13"/>
  <c r="Q1393" i="13"/>
  <c r="P1393" i="13"/>
  <c r="O1393" i="13"/>
  <c r="N1393" i="13"/>
  <c r="M1393" i="13"/>
  <c r="L1393" i="13"/>
  <c r="J1393" i="13"/>
  <c r="G1393" i="13"/>
  <c r="F1393" i="13"/>
  <c r="E1393" i="13"/>
  <c r="D1393" i="13"/>
  <c r="C1393" i="13"/>
  <c r="B1393" i="13"/>
  <c r="A1393" i="13"/>
  <c r="AG1392" i="13"/>
  <c r="AF1392" i="13"/>
  <c r="AE1392" i="13"/>
  <c r="AD1392" i="13"/>
  <c r="Z1392" i="13"/>
  <c r="Y1392" i="13"/>
  <c r="X1392" i="13"/>
  <c r="W1392" i="13"/>
  <c r="U1392" i="13"/>
  <c r="T1392" i="13"/>
  <c r="S1392" i="13"/>
  <c r="R1392" i="13"/>
  <c r="Q1392" i="13"/>
  <c r="P1392" i="13"/>
  <c r="O1392" i="13"/>
  <c r="N1392" i="13"/>
  <c r="M1392" i="13"/>
  <c r="L1392" i="13"/>
  <c r="J1392" i="13"/>
  <c r="G1392" i="13"/>
  <c r="F1392" i="13"/>
  <c r="E1392" i="13"/>
  <c r="D1392" i="13"/>
  <c r="C1392" i="13"/>
  <c r="B1392" i="13"/>
  <c r="A1392" i="13"/>
  <c r="AG1391" i="13"/>
  <c r="AF1391" i="13"/>
  <c r="AE1391" i="13"/>
  <c r="AD1391" i="13"/>
  <c r="Z1391" i="13"/>
  <c r="Y1391" i="13"/>
  <c r="X1391" i="13"/>
  <c r="W1391" i="13"/>
  <c r="U1391" i="13"/>
  <c r="T1391" i="13"/>
  <c r="S1391" i="13"/>
  <c r="R1391" i="13"/>
  <c r="Q1391" i="13"/>
  <c r="P1391" i="13"/>
  <c r="O1391" i="13"/>
  <c r="N1391" i="13"/>
  <c r="M1391" i="13"/>
  <c r="L1391" i="13"/>
  <c r="J1391" i="13"/>
  <c r="G1391" i="13"/>
  <c r="F1391" i="13"/>
  <c r="E1391" i="13"/>
  <c r="D1391" i="13"/>
  <c r="C1391" i="13"/>
  <c r="B1391" i="13"/>
  <c r="A1391" i="13"/>
  <c r="AG1390" i="13"/>
  <c r="AF1390" i="13"/>
  <c r="AE1390" i="13"/>
  <c r="AD1390" i="13"/>
  <c r="Z1390" i="13"/>
  <c r="Y1390" i="13"/>
  <c r="X1390" i="13"/>
  <c r="W1390" i="13"/>
  <c r="U1390" i="13"/>
  <c r="T1390" i="13"/>
  <c r="S1390" i="13"/>
  <c r="R1390" i="13"/>
  <c r="Q1390" i="13"/>
  <c r="P1390" i="13"/>
  <c r="O1390" i="13"/>
  <c r="N1390" i="13"/>
  <c r="M1390" i="13"/>
  <c r="L1390" i="13"/>
  <c r="J1390" i="13"/>
  <c r="G1390" i="13"/>
  <c r="F1390" i="13"/>
  <c r="E1390" i="13"/>
  <c r="D1390" i="13"/>
  <c r="C1390" i="13"/>
  <c r="B1390" i="13"/>
  <c r="A1390" i="13"/>
  <c r="AG1389" i="13"/>
  <c r="AF1389" i="13"/>
  <c r="AE1389" i="13"/>
  <c r="AD1389" i="13"/>
  <c r="Z1389" i="13"/>
  <c r="Y1389" i="13"/>
  <c r="X1389" i="13"/>
  <c r="W1389" i="13"/>
  <c r="U1389" i="13"/>
  <c r="T1389" i="13"/>
  <c r="S1389" i="13"/>
  <c r="R1389" i="13"/>
  <c r="Q1389" i="13"/>
  <c r="P1389" i="13"/>
  <c r="O1389" i="13"/>
  <c r="N1389" i="13"/>
  <c r="M1389" i="13"/>
  <c r="L1389" i="13"/>
  <c r="J1389" i="13"/>
  <c r="G1389" i="13"/>
  <c r="F1389" i="13"/>
  <c r="E1389" i="13"/>
  <c r="D1389" i="13"/>
  <c r="C1389" i="13"/>
  <c r="B1389" i="13"/>
  <c r="A1389" i="13"/>
  <c r="AG1388" i="13"/>
  <c r="AF1388" i="13"/>
  <c r="AE1388" i="13"/>
  <c r="AD1388" i="13"/>
  <c r="Z1388" i="13"/>
  <c r="Y1388" i="13"/>
  <c r="X1388" i="13"/>
  <c r="W1388" i="13"/>
  <c r="U1388" i="13"/>
  <c r="T1388" i="13"/>
  <c r="S1388" i="13"/>
  <c r="R1388" i="13"/>
  <c r="Q1388" i="13"/>
  <c r="P1388" i="13"/>
  <c r="O1388" i="13"/>
  <c r="N1388" i="13"/>
  <c r="M1388" i="13"/>
  <c r="L1388" i="13"/>
  <c r="J1388" i="13"/>
  <c r="G1388" i="13"/>
  <c r="F1388" i="13"/>
  <c r="E1388" i="13"/>
  <c r="D1388" i="13"/>
  <c r="C1388" i="13"/>
  <c r="B1388" i="13"/>
  <c r="A1388" i="13"/>
  <c r="AG1387" i="13"/>
  <c r="AF1387" i="13"/>
  <c r="AE1387" i="13"/>
  <c r="AD1387" i="13"/>
  <c r="Z1387" i="13"/>
  <c r="Y1387" i="13"/>
  <c r="X1387" i="13"/>
  <c r="W1387" i="13"/>
  <c r="U1387" i="13"/>
  <c r="T1387" i="13"/>
  <c r="S1387" i="13"/>
  <c r="R1387" i="13"/>
  <c r="Q1387" i="13"/>
  <c r="P1387" i="13"/>
  <c r="O1387" i="13"/>
  <c r="N1387" i="13"/>
  <c r="M1387" i="13"/>
  <c r="L1387" i="13"/>
  <c r="J1387" i="13"/>
  <c r="G1387" i="13"/>
  <c r="F1387" i="13"/>
  <c r="E1387" i="13"/>
  <c r="D1387" i="13"/>
  <c r="C1387" i="13"/>
  <c r="B1387" i="13"/>
  <c r="A1387" i="13"/>
  <c r="AG1386" i="13"/>
  <c r="AF1386" i="13"/>
  <c r="AE1386" i="13"/>
  <c r="AD1386" i="13"/>
  <c r="AC1386" i="13"/>
  <c r="Z1386" i="13"/>
  <c r="Y1386" i="13"/>
  <c r="X1386" i="13"/>
  <c r="W1386" i="13"/>
  <c r="U1386" i="13"/>
  <c r="T1386" i="13"/>
  <c r="S1386" i="13"/>
  <c r="R1386" i="13"/>
  <c r="Q1386" i="13"/>
  <c r="P1386" i="13"/>
  <c r="O1386" i="13"/>
  <c r="N1386" i="13"/>
  <c r="M1386" i="13"/>
  <c r="L1386" i="13"/>
  <c r="J1386" i="13"/>
  <c r="H1386" i="13"/>
  <c r="G1386" i="13"/>
  <c r="F1386" i="13"/>
  <c r="E1386" i="13"/>
  <c r="D1386" i="13"/>
  <c r="C1386" i="13"/>
  <c r="B1386" i="13"/>
  <c r="A1386" i="13"/>
  <c r="AG1385" i="13"/>
  <c r="AF1385" i="13"/>
  <c r="AE1385" i="13"/>
  <c r="AD1385" i="13"/>
  <c r="Z1385" i="13"/>
  <c r="Y1385" i="13"/>
  <c r="X1385" i="13"/>
  <c r="W1385" i="13"/>
  <c r="U1385" i="13"/>
  <c r="T1385" i="13"/>
  <c r="S1385" i="13"/>
  <c r="R1385" i="13"/>
  <c r="Q1385" i="13"/>
  <c r="P1385" i="13"/>
  <c r="O1385" i="13"/>
  <c r="N1385" i="13"/>
  <c r="M1385" i="13"/>
  <c r="L1385" i="13"/>
  <c r="J1385" i="13"/>
  <c r="G1385" i="13"/>
  <c r="F1385" i="13"/>
  <c r="E1385" i="13"/>
  <c r="D1385" i="13"/>
  <c r="C1385" i="13"/>
  <c r="B1385" i="13"/>
  <c r="A1385" i="13"/>
  <c r="AG1384" i="13"/>
  <c r="AF1384" i="13"/>
  <c r="AE1384" i="13"/>
  <c r="AD1384" i="13"/>
  <c r="Z1384" i="13"/>
  <c r="Y1384" i="13"/>
  <c r="X1384" i="13"/>
  <c r="W1384" i="13"/>
  <c r="U1384" i="13"/>
  <c r="T1384" i="13"/>
  <c r="S1384" i="13"/>
  <c r="R1384" i="13"/>
  <c r="Q1384" i="13"/>
  <c r="P1384" i="13"/>
  <c r="O1384" i="13"/>
  <c r="N1384" i="13"/>
  <c r="M1384" i="13"/>
  <c r="L1384" i="13"/>
  <c r="J1384" i="13"/>
  <c r="G1384" i="13"/>
  <c r="F1384" i="13"/>
  <c r="E1384" i="13"/>
  <c r="D1384" i="13"/>
  <c r="C1384" i="13"/>
  <c r="B1384" i="13"/>
  <c r="A1384" i="13"/>
  <c r="AG1383" i="13"/>
  <c r="AF1383" i="13"/>
  <c r="AE1383" i="13"/>
  <c r="AD1383" i="13"/>
  <c r="Z1383" i="13"/>
  <c r="Y1383" i="13"/>
  <c r="X1383" i="13"/>
  <c r="W1383" i="13"/>
  <c r="U1383" i="13"/>
  <c r="T1383" i="13"/>
  <c r="S1383" i="13"/>
  <c r="R1383" i="13"/>
  <c r="Q1383" i="13"/>
  <c r="P1383" i="13"/>
  <c r="O1383" i="13"/>
  <c r="N1383" i="13"/>
  <c r="M1383" i="13"/>
  <c r="L1383" i="13"/>
  <c r="J1383" i="13"/>
  <c r="G1383" i="13"/>
  <c r="F1383" i="13"/>
  <c r="E1383" i="13"/>
  <c r="D1383" i="13"/>
  <c r="C1383" i="13"/>
  <c r="B1383" i="13"/>
  <c r="A1383" i="13"/>
  <c r="AG1382" i="13"/>
  <c r="AF1382" i="13"/>
  <c r="AE1382" i="13"/>
  <c r="AD1382" i="13"/>
  <c r="Z1382" i="13"/>
  <c r="Y1382" i="13"/>
  <c r="X1382" i="13"/>
  <c r="W1382" i="13"/>
  <c r="U1382" i="13"/>
  <c r="T1382" i="13"/>
  <c r="S1382" i="13"/>
  <c r="R1382" i="13"/>
  <c r="Q1382" i="13"/>
  <c r="P1382" i="13"/>
  <c r="O1382" i="13"/>
  <c r="N1382" i="13"/>
  <c r="M1382" i="13"/>
  <c r="L1382" i="13"/>
  <c r="J1382" i="13"/>
  <c r="G1382" i="13"/>
  <c r="F1382" i="13"/>
  <c r="E1382" i="13"/>
  <c r="D1382" i="13"/>
  <c r="C1382" i="13"/>
  <c r="B1382" i="13"/>
  <c r="A1382" i="13"/>
  <c r="AG1381" i="13"/>
  <c r="AF1381" i="13"/>
  <c r="AE1381" i="13"/>
  <c r="AD1381" i="13"/>
  <c r="Z1381" i="13"/>
  <c r="Y1381" i="13"/>
  <c r="X1381" i="13"/>
  <c r="W1381" i="13"/>
  <c r="U1381" i="13"/>
  <c r="T1381" i="13"/>
  <c r="S1381" i="13"/>
  <c r="R1381" i="13"/>
  <c r="Q1381" i="13"/>
  <c r="P1381" i="13"/>
  <c r="O1381" i="13"/>
  <c r="N1381" i="13"/>
  <c r="M1381" i="13"/>
  <c r="L1381" i="13"/>
  <c r="J1381" i="13"/>
  <c r="G1381" i="13"/>
  <c r="F1381" i="13"/>
  <c r="E1381" i="13"/>
  <c r="D1381" i="13"/>
  <c r="C1381" i="13"/>
  <c r="B1381" i="13"/>
  <c r="A1381" i="13"/>
  <c r="AG1380" i="13"/>
  <c r="AF1380" i="13"/>
  <c r="AE1380" i="13"/>
  <c r="AD1380" i="13"/>
  <c r="Z1380" i="13"/>
  <c r="Y1380" i="13"/>
  <c r="X1380" i="13"/>
  <c r="W1380" i="13"/>
  <c r="U1380" i="13"/>
  <c r="T1380" i="13"/>
  <c r="S1380" i="13"/>
  <c r="R1380" i="13"/>
  <c r="Q1380" i="13"/>
  <c r="P1380" i="13"/>
  <c r="O1380" i="13"/>
  <c r="N1380" i="13"/>
  <c r="M1380" i="13"/>
  <c r="L1380" i="13"/>
  <c r="J1380" i="13"/>
  <c r="G1380" i="13"/>
  <c r="F1380" i="13"/>
  <c r="E1380" i="13"/>
  <c r="D1380" i="13"/>
  <c r="C1380" i="13"/>
  <c r="B1380" i="13"/>
  <c r="A1380" i="13"/>
  <c r="AG1379" i="13"/>
  <c r="AF1379" i="13"/>
  <c r="AE1379" i="13"/>
  <c r="AD1379" i="13"/>
  <c r="Z1379" i="13"/>
  <c r="Y1379" i="13"/>
  <c r="X1379" i="13"/>
  <c r="W1379" i="13"/>
  <c r="U1379" i="13"/>
  <c r="T1379" i="13"/>
  <c r="S1379" i="13"/>
  <c r="R1379" i="13"/>
  <c r="Q1379" i="13"/>
  <c r="P1379" i="13"/>
  <c r="O1379" i="13"/>
  <c r="N1379" i="13"/>
  <c r="M1379" i="13"/>
  <c r="L1379" i="13"/>
  <c r="J1379" i="13"/>
  <c r="G1379" i="13"/>
  <c r="F1379" i="13"/>
  <c r="E1379" i="13"/>
  <c r="D1379" i="13"/>
  <c r="C1379" i="13"/>
  <c r="B1379" i="13"/>
  <c r="A1379" i="13"/>
  <c r="AG1378" i="13"/>
  <c r="AF1378" i="13"/>
  <c r="AE1378" i="13"/>
  <c r="AD1378" i="13"/>
  <c r="Z1378" i="13"/>
  <c r="Y1378" i="13"/>
  <c r="X1378" i="13"/>
  <c r="W1378" i="13"/>
  <c r="U1378" i="13"/>
  <c r="T1378" i="13"/>
  <c r="S1378" i="13"/>
  <c r="R1378" i="13"/>
  <c r="Q1378" i="13"/>
  <c r="P1378" i="13"/>
  <c r="O1378" i="13"/>
  <c r="N1378" i="13"/>
  <c r="M1378" i="13"/>
  <c r="L1378" i="13"/>
  <c r="J1378" i="13"/>
  <c r="G1378" i="13"/>
  <c r="F1378" i="13"/>
  <c r="E1378" i="13"/>
  <c r="D1378" i="13"/>
  <c r="C1378" i="13"/>
  <c r="B1378" i="13"/>
  <c r="A1378" i="13"/>
  <c r="AG1377" i="13"/>
  <c r="AF1377" i="13"/>
  <c r="AE1377" i="13"/>
  <c r="AD1377" i="13"/>
  <c r="Z1377" i="13"/>
  <c r="Y1377" i="13"/>
  <c r="X1377" i="13"/>
  <c r="W1377" i="13"/>
  <c r="U1377" i="13"/>
  <c r="T1377" i="13"/>
  <c r="S1377" i="13"/>
  <c r="R1377" i="13"/>
  <c r="Q1377" i="13"/>
  <c r="P1377" i="13"/>
  <c r="O1377" i="13"/>
  <c r="N1377" i="13"/>
  <c r="M1377" i="13"/>
  <c r="L1377" i="13"/>
  <c r="J1377" i="13"/>
  <c r="G1377" i="13"/>
  <c r="F1377" i="13"/>
  <c r="E1377" i="13"/>
  <c r="D1377" i="13"/>
  <c r="C1377" i="13"/>
  <c r="B1377" i="13"/>
  <c r="A1377" i="13"/>
  <c r="AG1376" i="13"/>
  <c r="AF1376" i="13"/>
  <c r="AE1376" i="13"/>
  <c r="AD1376" i="13"/>
  <c r="Z1376" i="13"/>
  <c r="Y1376" i="13"/>
  <c r="X1376" i="13"/>
  <c r="W1376" i="13"/>
  <c r="U1376" i="13"/>
  <c r="T1376" i="13"/>
  <c r="S1376" i="13"/>
  <c r="R1376" i="13"/>
  <c r="Q1376" i="13"/>
  <c r="P1376" i="13"/>
  <c r="O1376" i="13"/>
  <c r="N1376" i="13"/>
  <c r="M1376" i="13"/>
  <c r="L1376" i="13"/>
  <c r="J1376" i="13"/>
  <c r="G1376" i="13"/>
  <c r="F1376" i="13"/>
  <c r="E1376" i="13"/>
  <c r="D1376" i="13"/>
  <c r="C1376" i="13"/>
  <c r="B1376" i="13"/>
  <c r="A1376" i="13"/>
  <c r="AG1375" i="13"/>
  <c r="AF1375" i="13"/>
  <c r="AE1375" i="13"/>
  <c r="AD1375" i="13"/>
  <c r="Z1375" i="13"/>
  <c r="Y1375" i="13"/>
  <c r="X1375" i="13"/>
  <c r="W1375" i="13"/>
  <c r="U1375" i="13"/>
  <c r="T1375" i="13"/>
  <c r="S1375" i="13"/>
  <c r="R1375" i="13"/>
  <c r="Q1375" i="13"/>
  <c r="P1375" i="13"/>
  <c r="O1375" i="13"/>
  <c r="N1375" i="13"/>
  <c r="M1375" i="13"/>
  <c r="L1375" i="13"/>
  <c r="J1375" i="13"/>
  <c r="G1375" i="13"/>
  <c r="F1375" i="13"/>
  <c r="E1375" i="13"/>
  <c r="D1375" i="13"/>
  <c r="C1375" i="13"/>
  <c r="B1375" i="13"/>
  <c r="A1375" i="13"/>
  <c r="AG1374" i="13"/>
  <c r="AF1374" i="13"/>
  <c r="AE1374" i="13"/>
  <c r="AD1374" i="13"/>
  <c r="Z1374" i="13"/>
  <c r="Y1374" i="13"/>
  <c r="X1374" i="13"/>
  <c r="W1374" i="13"/>
  <c r="U1374" i="13"/>
  <c r="T1374" i="13"/>
  <c r="S1374" i="13"/>
  <c r="R1374" i="13"/>
  <c r="Q1374" i="13"/>
  <c r="P1374" i="13"/>
  <c r="O1374" i="13"/>
  <c r="N1374" i="13"/>
  <c r="M1374" i="13"/>
  <c r="L1374" i="13"/>
  <c r="J1374" i="13"/>
  <c r="G1374" i="13"/>
  <c r="F1374" i="13"/>
  <c r="E1374" i="13"/>
  <c r="D1374" i="13"/>
  <c r="C1374" i="13"/>
  <c r="B1374" i="13"/>
  <c r="A1374" i="13"/>
  <c r="AG1373" i="13"/>
  <c r="AF1373" i="13"/>
  <c r="AE1373" i="13"/>
  <c r="AD1373" i="13"/>
  <c r="Z1373" i="13"/>
  <c r="Y1373" i="13"/>
  <c r="X1373" i="13"/>
  <c r="W1373" i="13"/>
  <c r="U1373" i="13"/>
  <c r="T1373" i="13"/>
  <c r="S1373" i="13"/>
  <c r="R1373" i="13"/>
  <c r="Q1373" i="13"/>
  <c r="P1373" i="13"/>
  <c r="O1373" i="13"/>
  <c r="N1373" i="13"/>
  <c r="M1373" i="13"/>
  <c r="L1373" i="13"/>
  <c r="J1373" i="13"/>
  <c r="G1373" i="13"/>
  <c r="F1373" i="13"/>
  <c r="E1373" i="13"/>
  <c r="D1373" i="13"/>
  <c r="C1373" i="13"/>
  <c r="B1373" i="13"/>
  <c r="A1373" i="13"/>
  <c r="AG1372" i="13"/>
  <c r="AF1372" i="13"/>
  <c r="AE1372" i="13"/>
  <c r="AD1372" i="13"/>
  <c r="Z1372" i="13"/>
  <c r="Y1372" i="13"/>
  <c r="X1372" i="13"/>
  <c r="W1372" i="13"/>
  <c r="U1372" i="13"/>
  <c r="T1372" i="13"/>
  <c r="S1372" i="13"/>
  <c r="R1372" i="13"/>
  <c r="Q1372" i="13"/>
  <c r="P1372" i="13"/>
  <c r="O1372" i="13"/>
  <c r="N1372" i="13"/>
  <c r="M1372" i="13"/>
  <c r="L1372" i="13"/>
  <c r="J1372" i="13"/>
  <c r="G1372" i="13"/>
  <c r="F1372" i="13"/>
  <c r="E1372" i="13"/>
  <c r="D1372" i="13"/>
  <c r="C1372" i="13"/>
  <c r="B1372" i="13"/>
  <c r="A1372" i="13"/>
  <c r="AG1371" i="13"/>
  <c r="AF1371" i="13"/>
  <c r="AE1371" i="13"/>
  <c r="AD1371" i="13"/>
  <c r="Z1371" i="13"/>
  <c r="Y1371" i="13"/>
  <c r="X1371" i="13"/>
  <c r="W1371" i="13"/>
  <c r="U1371" i="13"/>
  <c r="T1371" i="13"/>
  <c r="S1371" i="13"/>
  <c r="R1371" i="13"/>
  <c r="Q1371" i="13"/>
  <c r="P1371" i="13"/>
  <c r="O1371" i="13"/>
  <c r="N1371" i="13"/>
  <c r="M1371" i="13"/>
  <c r="L1371" i="13"/>
  <c r="J1371" i="13"/>
  <c r="G1371" i="13"/>
  <c r="F1371" i="13"/>
  <c r="E1371" i="13"/>
  <c r="D1371" i="13"/>
  <c r="C1371" i="13"/>
  <c r="B1371" i="13"/>
  <c r="A1371" i="13"/>
  <c r="AG1370" i="13"/>
  <c r="AF1370" i="13"/>
  <c r="AE1370" i="13"/>
  <c r="AD1370" i="13"/>
  <c r="Z1370" i="13"/>
  <c r="Y1370" i="13"/>
  <c r="X1370" i="13"/>
  <c r="W1370" i="13"/>
  <c r="U1370" i="13"/>
  <c r="T1370" i="13"/>
  <c r="S1370" i="13"/>
  <c r="R1370" i="13"/>
  <c r="Q1370" i="13"/>
  <c r="P1370" i="13"/>
  <c r="O1370" i="13"/>
  <c r="N1370" i="13"/>
  <c r="M1370" i="13"/>
  <c r="L1370" i="13"/>
  <c r="J1370" i="13"/>
  <c r="G1370" i="13"/>
  <c r="F1370" i="13"/>
  <c r="E1370" i="13"/>
  <c r="D1370" i="13"/>
  <c r="C1370" i="13"/>
  <c r="B1370" i="13"/>
  <c r="A1370" i="13"/>
  <c r="AG1369" i="13"/>
  <c r="AF1369" i="13"/>
  <c r="AE1369" i="13"/>
  <c r="AD1369" i="13"/>
  <c r="Z1369" i="13"/>
  <c r="Y1369" i="13"/>
  <c r="X1369" i="13"/>
  <c r="W1369" i="13"/>
  <c r="U1369" i="13"/>
  <c r="T1369" i="13"/>
  <c r="S1369" i="13"/>
  <c r="R1369" i="13"/>
  <c r="Q1369" i="13"/>
  <c r="P1369" i="13"/>
  <c r="O1369" i="13"/>
  <c r="N1369" i="13"/>
  <c r="M1369" i="13"/>
  <c r="L1369" i="13"/>
  <c r="J1369" i="13"/>
  <c r="G1369" i="13"/>
  <c r="F1369" i="13"/>
  <c r="E1369" i="13"/>
  <c r="D1369" i="13"/>
  <c r="C1369" i="13"/>
  <c r="B1369" i="13"/>
  <c r="A1369" i="13"/>
  <c r="AG1368" i="13"/>
  <c r="AF1368" i="13"/>
  <c r="AE1368" i="13"/>
  <c r="AD1368" i="13"/>
  <c r="Z1368" i="13"/>
  <c r="Y1368" i="13"/>
  <c r="X1368" i="13"/>
  <c r="W1368" i="13"/>
  <c r="U1368" i="13"/>
  <c r="T1368" i="13"/>
  <c r="S1368" i="13"/>
  <c r="R1368" i="13"/>
  <c r="Q1368" i="13"/>
  <c r="P1368" i="13"/>
  <c r="O1368" i="13"/>
  <c r="N1368" i="13"/>
  <c r="M1368" i="13"/>
  <c r="L1368" i="13"/>
  <c r="J1368" i="13"/>
  <c r="G1368" i="13"/>
  <c r="F1368" i="13"/>
  <c r="E1368" i="13"/>
  <c r="D1368" i="13"/>
  <c r="C1368" i="13"/>
  <c r="B1368" i="13"/>
  <c r="A1368" i="13"/>
  <c r="AG1367" i="13"/>
  <c r="AF1367" i="13"/>
  <c r="AE1367" i="13"/>
  <c r="AD1367" i="13"/>
  <c r="Z1367" i="13"/>
  <c r="Y1367" i="13"/>
  <c r="X1367" i="13"/>
  <c r="W1367" i="13"/>
  <c r="U1367" i="13"/>
  <c r="T1367" i="13"/>
  <c r="S1367" i="13"/>
  <c r="R1367" i="13"/>
  <c r="Q1367" i="13"/>
  <c r="P1367" i="13"/>
  <c r="O1367" i="13"/>
  <c r="N1367" i="13"/>
  <c r="M1367" i="13"/>
  <c r="L1367" i="13"/>
  <c r="J1367" i="13"/>
  <c r="G1367" i="13"/>
  <c r="F1367" i="13"/>
  <c r="E1367" i="13"/>
  <c r="D1367" i="13"/>
  <c r="C1367" i="13"/>
  <c r="B1367" i="13"/>
  <c r="A1367" i="13"/>
  <c r="AG1366" i="13"/>
  <c r="AF1366" i="13"/>
  <c r="AE1366" i="13"/>
  <c r="AD1366" i="13"/>
  <c r="Z1366" i="13"/>
  <c r="Y1366" i="13"/>
  <c r="X1366" i="13"/>
  <c r="W1366" i="13"/>
  <c r="U1366" i="13"/>
  <c r="T1366" i="13"/>
  <c r="S1366" i="13"/>
  <c r="R1366" i="13"/>
  <c r="Q1366" i="13"/>
  <c r="P1366" i="13"/>
  <c r="O1366" i="13"/>
  <c r="N1366" i="13"/>
  <c r="M1366" i="13"/>
  <c r="L1366" i="13"/>
  <c r="J1366" i="13"/>
  <c r="G1366" i="13"/>
  <c r="F1366" i="13"/>
  <c r="E1366" i="13"/>
  <c r="D1366" i="13"/>
  <c r="C1366" i="13"/>
  <c r="B1366" i="13"/>
  <c r="A1366" i="13"/>
  <c r="AG1365" i="13"/>
  <c r="AF1365" i="13"/>
  <c r="AE1365" i="13"/>
  <c r="AD1365" i="13"/>
  <c r="Z1365" i="13"/>
  <c r="Y1365" i="13"/>
  <c r="X1365" i="13"/>
  <c r="W1365" i="13"/>
  <c r="U1365" i="13"/>
  <c r="T1365" i="13"/>
  <c r="S1365" i="13"/>
  <c r="R1365" i="13"/>
  <c r="Q1365" i="13"/>
  <c r="P1365" i="13"/>
  <c r="O1365" i="13"/>
  <c r="N1365" i="13"/>
  <c r="M1365" i="13"/>
  <c r="L1365" i="13"/>
  <c r="J1365" i="13"/>
  <c r="G1365" i="13"/>
  <c r="F1365" i="13"/>
  <c r="E1365" i="13"/>
  <c r="D1365" i="13"/>
  <c r="C1365" i="13"/>
  <c r="B1365" i="13"/>
  <c r="A1365" i="13"/>
  <c r="AG1364" i="13"/>
  <c r="AF1364" i="13"/>
  <c r="AE1364" i="13"/>
  <c r="AD1364" i="13"/>
  <c r="Z1364" i="13"/>
  <c r="Y1364" i="13"/>
  <c r="X1364" i="13"/>
  <c r="W1364" i="13"/>
  <c r="U1364" i="13"/>
  <c r="T1364" i="13"/>
  <c r="S1364" i="13"/>
  <c r="R1364" i="13"/>
  <c r="Q1364" i="13"/>
  <c r="P1364" i="13"/>
  <c r="O1364" i="13"/>
  <c r="N1364" i="13"/>
  <c r="M1364" i="13"/>
  <c r="L1364" i="13"/>
  <c r="J1364" i="13"/>
  <c r="G1364" i="13"/>
  <c r="F1364" i="13"/>
  <c r="E1364" i="13"/>
  <c r="D1364" i="13"/>
  <c r="C1364" i="13"/>
  <c r="B1364" i="13"/>
  <c r="A1364" i="13"/>
  <c r="AG1363" i="13"/>
  <c r="AF1363" i="13"/>
  <c r="AE1363" i="13"/>
  <c r="AD1363" i="13"/>
  <c r="Z1363" i="13"/>
  <c r="Y1363" i="13"/>
  <c r="X1363" i="13"/>
  <c r="W1363" i="13"/>
  <c r="U1363" i="13"/>
  <c r="T1363" i="13"/>
  <c r="S1363" i="13"/>
  <c r="R1363" i="13"/>
  <c r="Q1363" i="13"/>
  <c r="P1363" i="13"/>
  <c r="O1363" i="13"/>
  <c r="N1363" i="13"/>
  <c r="M1363" i="13"/>
  <c r="L1363" i="13"/>
  <c r="J1363" i="13"/>
  <c r="G1363" i="13"/>
  <c r="F1363" i="13"/>
  <c r="E1363" i="13"/>
  <c r="D1363" i="13"/>
  <c r="C1363" i="13"/>
  <c r="B1363" i="13"/>
  <c r="A1363" i="13"/>
  <c r="AG1362" i="13"/>
  <c r="AF1362" i="13"/>
  <c r="AE1362" i="13"/>
  <c r="AD1362" i="13"/>
  <c r="Z1362" i="13"/>
  <c r="Y1362" i="13"/>
  <c r="X1362" i="13"/>
  <c r="W1362" i="13"/>
  <c r="U1362" i="13"/>
  <c r="T1362" i="13"/>
  <c r="S1362" i="13"/>
  <c r="R1362" i="13"/>
  <c r="Q1362" i="13"/>
  <c r="P1362" i="13"/>
  <c r="O1362" i="13"/>
  <c r="N1362" i="13"/>
  <c r="M1362" i="13"/>
  <c r="L1362" i="13"/>
  <c r="J1362" i="13"/>
  <c r="G1362" i="13"/>
  <c r="F1362" i="13"/>
  <c r="E1362" i="13"/>
  <c r="D1362" i="13"/>
  <c r="C1362" i="13"/>
  <c r="B1362" i="13"/>
  <c r="A1362" i="13"/>
  <c r="AG1361" i="13"/>
  <c r="AF1361" i="13"/>
  <c r="AE1361" i="13"/>
  <c r="AD1361" i="13"/>
  <c r="Z1361" i="13"/>
  <c r="Y1361" i="13"/>
  <c r="X1361" i="13"/>
  <c r="W1361" i="13"/>
  <c r="U1361" i="13"/>
  <c r="T1361" i="13"/>
  <c r="S1361" i="13"/>
  <c r="R1361" i="13"/>
  <c r="Q1361" i="13"/>
  <c r="P1361" i="13"/>
  <c r="O1361" i="13"/>
  <c r="N1361" i="13"/>
  <c r="M1361" i="13"/>
  <c r="L1361" i="13"/>
  <c r="J1361" i="13"/>
  <c r="G1361" i="13"/>
  <c r="F1361" i="13"/>
  <c r="E1361" i="13"/>
  <c r="D1361" i="13"/>
  <c r="C1361" i="13"/>
  <c r="B1361" i="13"/>
  <c r="A1361" i="13"/>
  <c r="AG1360" i="13"/>
  <c r="AF1360" i="13"/>
  <c r="AE1360" i="13"/>
  <c r="AD1360" i="13"/>
  <c r="AA1360" i="13"/>
  <c r="Z1360" i="13"/>
  <c r="Y1360" i="13"/>
  <c r="X1360" i="13"/>
  <c r="W1360" i="13"/>
  <c r="U1360" i="13"/>
  <c r="T1360" i="13"/>
  <c r="S1360" i="13"/>
  <c r="R1360" i="13"/>
  <c r="Q1360" i="13"/>
  <c r="P1360" i="13"/>
  <c r="O1360" i="13"/>
  <c r="N1360" i="13"/>
  <c r="M1360" i="13"/>
  <c r="L1360" i="13"/>
  <c r="J1360" i="13"/>
  <c r="H1360" i="13"/>
  <c r="G1360" i="13"/>
  <c r="F1360" i="13"/>
  <c r="E1360" i="13"/>
  <c r="D1360" i="13"/>
  <c r="C1360" i="13"/>
  <c r="B1360" i="13"/>
  <c r="A1360" i="13"/>
  <c r="AG1359" i="13"/>
  <c r="AF1359" i="13"/>
  <c r="AE1359" i="13"/>
  <c r="AD1359" i="13"/>
  <c r="Z1359" i="13"/>
  <c r="Y1359" i="13"/>
  <c r="X1359" i="13"/>
  <c r="W1359" i="13"/>
  <c r="U1359" i="13"/>
  <c r="T1359" i="13"/>
  <c r="S1359" i="13"/>
  <c r="R1359" i="13"/>
  <c r="Q1359" i="13"/>
  <c r="P1359" i="13"/>
  <c r="O1359" i="13"/>
  <c r="N1359" i="13"/>
  <c r="M1359" i="13"/>
  <c r="L1359" i="13"/>
  <c r="J1359" i="13"/>
  <c r="G1359" i="13"/>
  <c r="F1359" i="13"/>
  <c r="E1359" i="13"/>
  <c r="D1359" i="13"/>
  <c r="C1359" i="13"/>
  <c r="B1359" i="13"/>
  <c r="A1359" i="13"/>
  <c r="AG1358" i="13"/>
  <c r="AF1358" i="13"/>
  <c r="AE1358" i="13"/>
  <c r="AD1358" i="13"/>
  <c r="Z1358" i="13"/>
  <c r="Y1358" i="13"/>
  <c r="X1358" i="13"/>
  <c r="W1358" i="13"/>
  <c r="U1358" i="13"/>
  <c r="T1358" i="13"/>
  <c r="S1358" i="13"/>
  <c r="R1358" i="13"/>
  <c r="Q1358" i="13"/>
  <c r="P1358" i="13"/>
  <c r="O1358" i="13"/>
  <c r="N1358" i="13"/>
  <c r="M1358" i="13"/>
  <c r="L1358" i="13"/>
  <c r="J1358" i="13"/>
  <c r="G1358" i="13"/>
  <c r="F1358" i="13"/>
  <c r="E1358" i="13"/>
  <c r="D1358" i="13"/>
  <c r="C1358" i="13"/>
  <c r="B1358" i="13"/>
  <c r="A1358" i="13"/>
  <c r="AG1357" i="13"/>
  <c r="AF1357" i="13"/>
  <c r="AE1357" i="13"/>
  <c r="AD1357" i="13"/>
  <c r="Z1357" i="13"/>
  <c r="Y1357" i="13"/>
  <c r="X1357" i="13"/>
  <c r="U1357" i="13"/>
  <c r="T1357" i="13"/>
  <c r="S1357" i="13"/>
  <c r="R1357" i="13"/>
  <c r="Q1357" i="13"/>
  <c r="O1357" i="13"/>
  <c r="N1357" i="13"/>
  <c r="M1357" i="13"/>
  <c r="L1357" i="13"/>
  <c r="F1357" i="13"/>
  <c r="E1357" i="13"/>
  <c r="D1357" i="13"/>
  <c r="C1357" i="13"/>
  <c r="B1357" i="13"/>
  <c r="A1357" i="13"/>
  <c r="AG1356" i="13"/>
  <c r="AF1356" i="13"/>
  <c r="AE1356" i="13"/>
  <c r="AD1356" i="13"/>
  <c r="Z1356" i="13"/>
  <c r="Y1356" i="13"/>
  <c r="X1356" i="13"/>
  <c r="U1356" i="13"/>
  <c r="T1356" i="13"/>
  <c r="S1356" i="13"/>
  <c r="R1356" i="13"/>
  <c r="Q1356" i="13"/>
  <c r="O1356" i="13"/>
  <c r="N1356" i="13"/>
  <c r="M1356" i="13"/>
  <c r="L1356" i="13"/>
  <c r="F1356" i="13"/>
  <c r="E1356" i="13"/>
  <c r="D1356" i="13"/>
  <c r="C1356" i="13"/>
  <c r="B1356" i="13"/>
  <c r="A1356" i="13"/>
  <c r="AG1355" i="13"/>
  <c r="AF1355" i="13"/>
  <c r="AE1355" i="13"/>
  <c r="AD1355" i="13"/>
  <c r="Z1355" i="13"/>
  <c r="Y1355" i="13"/>
  <c r="X1355" i="13"/>
  <c r="U1355" i="13"/>
  <c r="T1355" i="13"/>
  <c r="S1355" i="13"/>
  <c r="R1355" i="13"/>
  <c r="Q1355" i="13"/>
  <c r="O1355" i="13"/>
  <c r="N1355" i="13"/>
  <c r="M1355" i="13"/>
  <c r="L1355" i="13"/>
  <c r="F1355" i="13"/>
  <c r="E1355" i="13"/>
  <c r="D1355" i="13"/>
  <c r="C1355" i="13"/>
  <c r="B1355" i="13"/>
  <c r="A1355" i="13"/>
  <c r="AG1354" i="13"/>
  <c r="AF1354" i="13"/>
  <c r="AE1354" i="13"/>
  <c r="AD1354" i="13"/>
  <c r="Z1354" i="13"/>
  <c r="Y1354" i="13"/>
  <c r="X1354" i="13"/>
  <c r="U1354" i="13"/>
  <c r="T1354" i="13"/>
  <c r="S1354" i="13"/>
  <c r="R1354" i="13"/>
  <c r="Q1354" i="13"/>
  <c r="O1354" i="13"/>
  <c r="N1354" i="13"/>
  <c r="M1354" i="13"/>
  <c r="L1354" i="13"/>
  <c r="F1354" i="13"/>
  <c r="E1354" i="13"/>
  <c r="D1354" i="13"/>
  <c r="C1354" i="13"/>
  <c r="B1354" i="13"/>
  <c r="A1354" i="13"/>
  <c r="AG1353" i="13"/>
  <c r="AF1353" i="13"/>
  <c r="AE1353" i="13"/>
  <c r="AD1353" i="13"/>
  <c r="Z1353" i="13"/>
  <c r="Y1353" i="13"/>
  <c r="X1353" i="13"/>
  <c r="U1353" i="13"/>
  <c r="T1353" i="13"/>
  <c r="S1353" i="13"/>
  <c r="R1353" i="13"/>
  <c r="Q1353" i="13"/>
  <c r="O1353" i="13"/>
  <c r="N1353" i="13"/>
  <c r="M1353" i="13"/>
  <c r="L1353" i="13"/>
  <c r="F1353" i="13"/>
  <c r="E1353" i="13"/>
  <c r="D1353" i="13"/>
  <c r="C1353" i="13"/>
  <c r="B1353" i="13"/>
  <c r="A1353" i="13"/>
  <c r="AG1352" i="13"/>
  <c r="AF1352" i="13"/>
  <c r="AE1352" i="13"/>
  <c r="AD1352" i="13"/>
  <c r="Z1352" i="13"/>
  <c r="Y1352" i="13"/>
  <c r="X1352" i="13"/>
  <c r="U1352" i="13"/>
  <c r="T1352" i="13"/>
  <c r="S1352" i="13"/>
  <c r="R1352" i="13"/>
  <c r="Q1352" i="13"/>
  <c r="O1352" i="13"/>
  <c r="N1352" i="13"/>
  <c r="M1352" i="13"/>
  <c r="L1352" i="13"/>
  <c r="F1352" i="13"/>
  <c r="E1352" i="13"/>
  <c r="D1352" i="13"/>
  <c r="C1352" i="13"/>
  <c r="B1352" i="13"/>
  <c r="A1352" i="13"/>
  <c r="AG1351" i="13"/>
  <c r="AF1351" i="13"/>
  <c r="AE1351" i="13"/>
  <c r="AD1351" i="13"/>
  <c r="Z1351" i="13"/>
  <c r="Y1351" i="13"/>
  <c r="X1351" i="13"/>
  <c r="U1351" i="13"/>
  <c r="T1351" i="13"/>
  <c r="S1351" i="13"/>
  <c r="R1351" i="13"/>
  <c r="Q1351" i="13"/>
  <c r="O1351" i="13"/>
  <c r="N1351" i="13"/>
  <c r="M1351" i="13"/>
  <c r="L1351" i="13"/>
  <c r="F1351" i="13"/>
  <c r="E1351" i="13"/>
  <c r="D1351" i="13"/>
  <c r="C1351" i="13"/>
  <c r="B1351" i="13"/>
  <c r="A1351" i="13"/>
  <c r="AG1350" i="13"/>
  <c r="AF1350" i="13"/>
  <c r="AE1350" i="13"/>
  <c r="AD1350" i="13"/>
  <c r="Z1350" i="13"/>
  <c r="Y1350" i="13"/>
  <c r="X1350" i="13"/>
  <c r="U1350" i="13"/>
  <c r="T1350" i="13"/>
  <c r="S1350" i="13"/>
  <c r="R1350" i="13"/>
  <c r="Q1350" i="13"/>
  <c r="O1350" i="13"/>
  <c r="N1350" i="13"/>
  <c r="M1350" i="13"/>
  <c r="L1350" i="13"/>
  <c r="F1350" i="13"/>
  <c r="E1350" i="13"/>
  <c r="D1350" i="13"/>
  <c r="C1350" i="13"/>
  <c r="B1350" i="13"/>
  <c r="A1350" i="13"/>
  <c r="AG1349" i="13"/>
  <c r="AF1349" i="13"/>
  <c r="AE1349" i="13"/>
  <c r="AD1349" i="13"/>
  <c r="Z1349" i="13"/>
  <c r="Y1349" i="13"/>
  <c r="X1349" i="13"/>
  <c r="U1349" i="13"/>
  <c r="T1349" i="13"/>
  <c r="S1349" i="13"/>
  <c r="R1349" i="13"/>
  <c r="Q1349" i="13"/>
  <c r="O1349" i="13"/>
  <c r="N1349" i="13"/>
  <c r="M1349" i="13"/>
  <c r="L1349" i="13"/>
  <c r="F1349" i="13"/>
  <c r="E1349" i="13"/>
  <c r="D1349" i="13"/>
  <c r="C1349" i="13"/>
  <c r="B1349" i="13"/>
  <c r="A1349" i="13"/>
  <c r="AG1348" i="13"/>
  <c r="AF1348" i="13"/>
  <c r="AE1348" i="13"/>
  <c r="AD1348" i="13"/>
  <c r="Z1348" i="13"/>
  <c r="Y1348" i="13"/>
  <c r="X1348" i="13"/>
  <c r="U1348" i="13"/>
  <c r="T1348" i="13"/>
  <c r="S1348" i="13"/>
  <c r="R1348" i="13"/>
  <c r="Q1348" i="13"/>
  <c r="O1348" i="13"/>
  <c r="N1348" i="13"/>
  <c r="M1348" i="13"/>
  <c r="L1348" i="13"/>
  <c r="F1348" i="13"/>
  <c r="E1348" i="13"/>
  <c r="D1348" i="13"/>
  <c r="C1348" i="13"/>
  <c r="B1348" i="13"/>
  <c r="A1348" i="13"/>
  <c r="AG1347" i="13"/>
  <c r="AF1347" i="13"/>
  <c r="AE1347" i="13"/>
  <c r="AD1347" i="13"/>
  <c r="Z1347" i="13"/>
  <c r="Y1347" i="13"/>
  <c r="X1347" i="13"/>
  <c r="U1347" i="13"/>
  <c r="T1347" i="13"/>
  <c r="S1347" i="13"/>
  <c r="R1347" i="13"/>
  <c r="Q1347" i="13"/>
  <c r="O1347" i="13"/>
  <c r="N1347" i="13"/>
  <c r="M1347" i="13"/>
  <c r="L1347" i="13"/>
  <c r="F1347" i="13"/>
  <c r="E1347" i="13"/>
  <c r="D1347" i="13"/>
  <c r="C1347" i="13"/>
  <c r="B1347" i="13"/>
  <c r="A1347" i="13"/>
  <c r="AG1346" i="13"/>
  <c r="AF1346" i="13"/>
  <c r="AE1346" i="13"/>
  <c r="AD1346" i="13"/>
  <c r="Z1346" i="13"/>
  <c r="Y1346" i="13"/>
  <c r="X1346" i="13"/>
  <c r="U1346" i="13"/>
  <c r="T1346" i="13"/>
  <c r="S1346" i="13"/>
  <c r="R1346" i="13"/>
  <c r="Q1346" i="13"/>
  <c r="O1346" i="13"/>
  <c r="N1346" i="13"/>
  <c r="M1346" i="13"/>
  <c r="L1346" i="13"/>
  <c r="F1346" i="13"/>
  <c r="E1346" i="13"/>
  <c r="D1346" i="13"/>
  <c r="C1346" i="13"/>
  <c r="B1346" i="13"/>
  <c r="A1346" i="13"/>
  <c r="AG1345" i="13"/>
  <c r="AF1345" i="13"/>
  <c r="AE1345" i="13"/>
  <c r="AD1345" i="13"/>
  <c r="Z1345" i="13"/>
  <c r="Y1345" i="13"/>
  <c r="X1345" i="13"/>
  <c r="U1345" i="13"/>
  <c r="T1345" i="13"/>
  <c r="S1345" i="13"/>
  <c r="R1345" i="13"/>
  <c r="Q1345" i="13"/>
  <c r="O1345" i="13"/>
  <c r="N1345" i="13"/>
  <c r="M1345" i="13"/>
  <c r="L1345" i="13"/>
  <c r="F1345" i="13"/>
  <c r="E1345" i="13"/>
  <c r="D1345" i="13"/>
  <c r="C1345" i="13"/>
  <c r="B1345" i="13"/>
  <c r="A1345" i="13"/>
  <c r="AG1344" i="13"/>
  <c r="AF1344" i="13"/>
  <c r="AE1344" i="13"/>
  <c r="AD1344" i="13"/>
  <c r="Z1344" i="13"/>
  <c r="Y1344" i="13"/>
  <c r="X1344" i="13"/>
  <c r="U1344" i="13"/>
  <c r="T1344" i="13"/>
  <c r="S1344" i="13"/>
  <c r="R1344" i="13"/>
  <c r="Q1344" i="13"/>
  <c r="O1344" i="13"/>
  <c r="N1344" i="13"/>
  <c r="M1344" i="13"/>
  <c r="L1344" i="13"/>
  <c r="F1344" i="13"/>
  <c r="E1344" i="13"/>
  <c r="D1344" i="13"/>
  <c r="C1344" i="13"/>
  <c r="B1344" i="13"/>
  <c r="A1344" i="13"/>
  <c r="AG1343" i="13"/>
  <c r="AF1343" i="13"/>
  <c r="AE1343" i="13"/>
  <c r="AD1343" i="13"/>
  <c r="Z1343" i="13"/>
  <c r="Y1343" i="13"/>
  <c r="X1343" i="13"/>
  <c r="U1343" i="13"/>
  <c r="T1343" i="13"/>
  <c r="S1343" i="13"/>
  <c r="R1343" i="13"/>
  <c r="Q1343" i="13"/>
  <c r="O1343" i="13"/>
  <c r="N1343" i="13"/>
  <c r="M1343" i="13"/>
  <c r="L1343" i="13"/>
  <c r="F1343" i="13"/>
  <c r="E1343" i="13"/>
  <c r="D1343" i="13"/>
  <c r="C1343" i="13"/>
  <c r="B1343" i="13"/>
  <c r="A1343" i="13"/>
  <c r="AG1342" i="13"/>
  <c r="AF1342" i="13"/>
  <c r="AE1342" i="13"/>
  <c r="AD1342" i="13"/>
  <c r="Z1342" i="13"/>
  <c r="Y1342" i="13"/>
  <c r="X1342" i="13"/>
  <c r="U1342" i="13"/>
  <c r="T1342" i="13"/>
  <c r="S1342" i="13"/>
  <c r="R1342" i="13"/>
  <c r="Q1342" i="13"/>
  <c r="O1342" i="13"/>
  <c r="N1342" i="13"/>
  <c r="M1342" i="13"/>
  <c r="L1342" i="13"/>
  <c r="F1342" i="13"/>
  <c r="E1342" i="13"/>
  <c r="D1342" i="13"/>
  <c r="C1342" i="13"/>
  <c r="B1342" i="13"/>
  <c r="A1342" i="13"/>
  <c r="AG1341" i="13"/>
  <c r="AF1341" i="13"/>
  <c r="AE1341" i="13"/>
  <c r="AD1341" i="13"/>
  <c r="Z1341" i="13"/>
  <c r="Y1341" i="13"/>
  <c r="X1341" i="13"/>
  <c r="U1341" i="13"/>
  <c r="T1341" i="13"/>
  <c r="S1341" i="13"/>
  <c r="R1341" i="13"/>
  <c r="Q1341" i="13"/>
  <c r="O1341" i="13"/>
  <c r="N1341" i="13"/>
  <c r="M1341" i="13"/>
  <c r="L1341" i="13"/>
  <c r="F1341" i="13"/>
  <c r="E1341" i="13"/>
  <c r="D1341" i="13"/>
  <c r="C1341" i="13"/>
  <c r="B1341" i="13"/>
  <c r="A1341" i="13"/>
  <c r="AG1340" i="13"/>
  <c r="AF1340" i="13"/>
  <c r="AE1340" i="13"/>
  <c r="AD1340" i="13"/>
  <c r="Z1340" i="13"/>
  <c r="Y1340" i="13"/>
  <c r="X1340" i="13"/>
  <c r="U1340" i="13"/>
  <c r="T1340" i="13"/>
  <c r="S1340" i="13"/>
  <c r="R1340" i="13"/>
  <c r="Q1340" i="13"/>
  <c r="O1340" i="13"/>
  <c r="N1340" i="13"/>
  <c r="M1340" i="13"/>
  <c r="L1340" i="13"/>
  <c r="F1340" i="13"/>
  <c r="E1340" i="13"/>
  <c r="D1340" i="13"/>
  <c r="C1340" i="13"/>
  <c r="B1340" i="13"/>
  <c r="A1340" i="13"/>
  <c r="AG1339" i="13"/>
  <c r="AF1339" i="13"/>
  <c r="AE1339" i="13"/>
  <c r="AD1339" i="13"/>
  <c r="Z1339" i="13"/>
  <c r="Y1339" i="13"/>
  <c r="X1339" i="13"/>
  <c r="U1339" i="13"/>
  <c r="T1339" i="13"/>
  <c r="S1339" i="13"/>
  <c r="R1339" i="13"/>
  <c r="Q1339" i="13"/>
  <c r="O1339" i="13"/>
  <c r="N1339" i="13"/>
  <c r="M1339" i="13"/>
  <c r="L1339" i="13"/>
  <c r="F1339" i="13"/>
  <c r="E1339" i="13"/>
  <c r="D1339" i="13"/>
  <c r="C1339" i="13"/>
  <c r="B1339" i="13"/>
  <c r="A1339" i="13"/>
  <c r="AG1338" i="13"/>
  <c r="AF1338" i="13"/>
  <c r="AE1338" i="13"/>
  <c r="AD1338" i="13"/>
  <c r="Z1338" i="13"/>
  <c r="Y1338" i="13"/>
  <c r="X1338" i="13"/>
  <c r="U1338" i="13"/>
  <c r="T1338" i="13"/>
  <c r="S1338" i="13"/>
  <c r="R1338" i="13"/>
  <c r="Q1338" i="13"/>
  <c r="O1338" i="13"/>
  <c r="N1338" i="13"/>
  <c r="M1338" i="13"/>
  <c r="L1338" i="13"/>
  <c r="F1338" i="13"/>
  <c r="E1338" i="13"/>
  <c r="D1338" i="13"/>
  <c r="C1338" i="13"/>
  <c r="B1338" i="13"/>
  <c r="A1338" i="13"/>
  <c r="AG1337" i="13"/>
  <c r="AF1337" i="13"/>
  <c r="AE1337" i="13"/>
  <c r="AD1337" i="13"/>
  <c r="Z1337" i="13"/>
  <c r="Y1337" i="13"/>
  <c r="X1337" i="13"/>
  <c r="U1337" i="13"/>
  <c r="T1337" i="13"/>
  <c r="S1337" i="13"/>
  <c r="R1337" i="13"/>
  <c r="Q1337" i="13"/>
  <c r="O1337" i="13"/>
  <c r="N1337" i="13"/>
  <c r="M1337" i="13"/>
  <c r="L1337" i="13"/>
  <c r="F1337" i="13"/>
  <c r="E1337" i="13"/>
  <c r="D1337" i="13"/>
  <c r="C1337" i="13"/>
  <c r="B1337" i="13"/>
  <c r="A1337" i="13"/>
  <c r="AG1336" i="13"/>
  <c r="AF1336" i="13"/>
  <c r="AE1336" i="13"/>
  <c r="AD1336" i="13"/>
  <c r="Z1336" i="13"/>
  <c r="Y1336" i="13"/>
  <c r="X1336" i="13"/>
  <c r="U1336" i="13"/>
  <c r="T1336" i="13"/>
  <c r="S1336" i="13"/>
  <c r="R1336" i="13"/>
  <c r="Q1336" i="13"/>
  <c r="O1336" i="13"/>
  <c r="N1336" i="13"/>
  <c r="M1336" i="13"/>
  <c r="L1336" i="13"/>
  <c r="F1336" i="13"/>
  <c r="E1336" i="13"/>
  <c r="D1336" i="13"/>
  <c r="C1336" i="13"/>
  <c r="B1336" i="13"/>
  <c r="A1336" i="13"/>
  <c r="AG1335" i="13"/>
  <c r="AF1335" i="13"/>
  <c r="AE1335" i="13"/>
  <c r="AD1335" i="13"/>
  <c r="Z1335" i="13"/>
  <c r="Y1335" i="13"/>
  <c r="X1335" i="13"/>
  <c r="U1335" i="13"/>
  <c r="T1335" i="13"/>
  <c r="S1335" i="13"/>
  <c r="R1335" i="13"/>
  <c r="Q1335" i="13"/>
  <c r="O1335" i="13"/>
  <c r="N1335" i="13"/>
  <c r="M1335" i="13"/>
  <c r="L1335" i="13"/>
  <c r="F1335" i="13"/>
  <c r="E1335" i="13"/>
  <c r="D1335" i="13"/>
  <c r="C1335" i="13"/>
  <c r="B1335" i="13"/>
  <c r="A1335" i="13"/>
  <c r="AG1334" i="13"/>
  <c r="AF1334" i="13"/>
  <c r="AE1334" i="13"/>
  <c r="AD1334" i="13"/>
  <c r="Z1334" i="13"/>
  <c r="Y1334" i="13"/>
  <c r="X1334" i="13"/>
  <c r="W1334" i="13"/>
  <c r="U1334" i="13"/>
  <c r="T1334" i="13"/>
  <c r="S1334" i="13"/>
  <c r="R1334" i="13"/>
  <c r="Q1334" i="13"/>
  <c r="P1334" i="13"/>
  <c r="O1334" i="13"/>
  <c r="N1334" i="13"/>
  <c r="M1334" i="13"/>
  <c r="L1334" i="13"/>
  <c r="J1334" i="13"/>
  <c r="G1334" i="13"/>
  <c r="F1334" i="13"/>
  <c r="E1334" i="13"/>
  <c r="D1334" i="13"/>
  <c r="C1334" i="13"/>
  <c r="B1334" i="13"/>
  <c r="A1334" i="13"/>
  <c r="AG1333" i="13"/>
  <c r="AF1333" i="13"/>
  <c r="AE1333" i="13"/>
  <c r="AD1333" i="13"/>
  <c r="Z1333" i="13"/>
  <c r="Y1333" i="13"/>
  <c r="X1333" i="13"/>
  <c r="W1333" i="13"/>
  <c r="U1333" i="13"/>
  <c r="T1333" i="13"/>
  <c r="S1333" i="13"/>
  <c r="R1333" i="13"/>
  <c r="Q1333" i="13"/>
  <c r="P1333" i="13"/>
  <c r="O1333" i="13"/>
  <c r="N1333" i="13"/>
  <c r="M1333" i="13"/>
  <c r="L1333" i="13"/>
  <c r="J1333" i="13"/>
  <c r="G1333" i="13"/>
  <c r="F1333" i="13"/>
  <c r="E1333" i="13"/>
  <c r="D1333" i="13"/>
  <c r="C1333" i="13"/>
  <c r="B1333" i="13"/>
  <c r="A1333" i="13"/>
  <c r="AG1332" i="13"/>
  <c r="AF1332" i="13"/>
  <c r="AE1332" i="13"/>
  <c r="AD1332" i="13"/>
  <c r="Z1332" i="13"/>
  <c r="Y1332" i="13"/>
  <c r="X1332" i="13"/>
  <c r="W1332" i="13"/>
  <c r="U1332" i="13"/>
  <c r="T1332" i="13"/>
  <c r="S1332" i="13"/>
  <c r="R1332" i="13"/>
  <c r="Q1332" i="13"/>
  <c r="P1332" i="13"/>
  <c r="O1332" i="13"/>
  <c r="N1332" i="13"/>
  <c r="M1332" i="13"/>
  <c r="L1332" i="13"/>
  <c r="J1332" i="13"/>
  <c r="G1332" i="13"/>
  <c r="F1332" i="13"/>
  <c r="E1332" i="13"/>
  <c r="D1332" i="13"/>
  <c r="C1332" i="13"/>
  <c r="B1332" i="13"/>
  <c r="A1332" i="13"/>
  <c r="AG1331" i="13"/>
  <c r="AF1331" i="13"/>
  <c r="AE1331" i="13"/>
  <c r="AD1331" i="13"/>
  <c r="Z1331" i="13"/>
  <c r="Y1331" i="13"/>
  <c r="X1331" i="13"/>
  <c r="W1331" i="13"/>
  <c r="U1331" i="13"/>
  <c r="T1331" i="13"/>
  <c r="S1331" i="13"/>
  <c r="R1331" i="13"/>
  <c r="Q1331" i="13"/>
  <c r="P1331" i="13"/>
  <c r="O1331" i="13"/>
  <c r="N1331" i="13"/>
  <c r="M1331" i="13"/>
  <c r="L1331" i="13"/>
  <c r="J1331" i="13"/>
  <c r="G1331" i="13"/>
  <c r="F1331" i="13"/>
  <c r="E1331" i="13"/>
  <c r="D1331" i="13"/>
  <c r="C1331" i="13"/>
  <c r="B1331" i="13"/>
  <c r="A1331" i="13"/>
  <c r="AG1330" i="13"/>
  <c r="AF1330" i="13"/>
  <c r="AE1330" i="13"/>
  <c r="AD1330" i="13"/>
  <c r="Z1330" i="13"/>
  <c r="Y1330" i="13"/>
  <c r="X1330" i="13"/>
  <c r="W1330" i="13"/>
  <c r="U1330" i="13"/>
  <c r="T1330" i="13"/>
  <c r="S1330" i="13"/>
  <c r="R1330" i="13"/>
  <c r="Q1330" i="13"/>
  <c r="P1330" i="13"/>
  <c r="O1330" i="13"/>
  <c r="N1330" i="13"/>
  <c r="M1330" i="13"/>
  <c r="L1330" i="13"/>
  <c r="J1330" i="13"/>
  <c r="G1330" i="13"/>
  <c r="F1330" i="13"/>
  <c r="E1330" i="13"/>
  <c r="D1330" i="13"/>
  <c r="C1330" i="13"/>
  <c r="B1330" i="13"/>
  <c r="A1330" i="13"/>
  <c r="AG1329" i="13"/>
  <c r="AF1329" i="13"/>
  <c r="AE1329" i="13"/>
  <c r="AD1329" i="13"/>
  <c r="Z1329" i="13"/>
  <c r="Y1329" i="13"/>
  <c r="X1329" i="13"/>
  <c r="W1329" i="13"/>
  <c r="U1329" i="13"/>
  <c r="T1329" i="13"/>
  <c r="S1329" i="13"/>
  <c r="R1329" i="13"/>
  <c r="Q1329" i="13"/>
  <c r="P1329" i="13"/>
  <c r="O1329" i="13"/>
  <c r="N1329" i="13"/>
  <c r="M1329" i="13"/>
  <c r="L1329" i="13"/>
  <c r="J1329" i="13"/>
  <c r="G1329" i="13"/>
  <c r="F1329" i="13"/>
  <c r="E1329" i="13"/>
  <c r="D1329" i="13"/>
  <c r="C1329" i="13"/>
  <c r="B1329" i="13"/>
  <c r="A1329" i="13"/>
  <c r="AG1328" i="13"/>
  <c r="AF1328" i="13"/>
  <c r="AE1328" i="13"/>
  <c r="AD1328" i="13"/>
  <c r="Z1328" i="13"/>
  <c r="Y1328" i="13"/>
  <c r="X1328" i="13"/>
  <c r="W1328" i="13"/>
  <c r="U1328" i="13"/>
  <c r="T1328" i="13"/>
  <c r="S1328" i="13"/>
  <c r="R1328" i="13"/>
  <c r="Q1328" i="13"/>
  <c r="P1328" i="13"/>
  <c r="O1328" i="13"/>
  <c r="N1328" i="13"/>
  <c r="M1328" i="13"/>
  <c r="L1328" i="13"/>
  <c r="J1328" i="13"/>
  <c r="G1328" i="13"/>
  <c r="F1328" i="13"/>
  <c r="E1328" i="13"/>
  <c r="D1328" i="13"/>
  <c r="C1328" i="13"/>
  <c r="B1328" i="13"/>
  <c r="A1328" i="13"/>
  <c r="AG1327" i="13"/>
  <c r="AF1327" i="13"/>
  <c r="AE1327" i="13"/>
  <c r="AD1327" i="13"/>
  <c r="Z1327" i="13"/>
  <c r="Y1327" i="13"/>
  <c r="X1327" i="13"/>
  <c r="W1327" i="13"/>
  <c r="U1327" i="13"/>
  <c r="T1327" i="13"/>
  <c r="S1327" i="13"/>
  <c r="R1327" i="13"/>
  <c r="Q1327" i="13"/>
  <c r="P1327" i="13"/>
  <c r="O1327" i="13"/>
  <c r="N1327" i="13"/>
  <c r="M1327" i="13"/>
  <c r="L1327" i="13"/>
  <c r="J1327" i="13"/>
  <c r="G1327" i="13"/>
  <c r="F1327" i="13"/>
  <c r="E1327" i="13"/>
  <c r="D1327" i="13"/>
  <c r="C1327" i="13"/>
  <c r="B1327" i="13"/>
  <c r="A1327" i="13"/>
  <c r="AG1326" i="13"/>
  <c r="AF1326" i="13"/>
  <c r="AE1326" i="13"/>
  <c r="AD1326" i="13"/>
  <c r="Z1326" i="13"/>
  <c r="Y1326" i="13"/>
  <c r="X1326" i="13"/>
  <c r="W1326" i="13"/>
  <c r="U1326" i="13"/>
  <c r="T1326" i="13"/>
  <c r="S1326" i="13"/>
  <c r="R1326" i="13"/>
  <c r="Q1326" i="13"/>
  <c r="P1326" i="13"/>
  <c r="O1326" i="13"/>
  <c r="N1326" i="13"/>
  <c r="M1326" i="13"/>
  <c r="L1326" i="13"/>
  <c r="J1326" i="13"/>
  <c r="G1326" i="13"/>
  <c r="F1326" i="13"/>
  <c r="E1326" i="13"/>
  <c r="D1326" i="13"/>
  <c r="C1326" i="13"/>
  <c r="B1326" i="13"/>
  <c r="A1326" i="13"/>
  <c r="AG1325" i="13"/>
  <c r="AF1325" i="13"/>
  <c r="AE1325" i="13"/>
  <c r="AD1325" i="13"/>
  <c r="Z1325" i="13"/>
  <c r="Y1325" i="13"/>
  <c r="X1325" i="13"/>
  <c r="W1325" i="13"/>
  <c r="U1325" i="13"/>
  <c r="T1325" i="13"/>
  <c r="S1325" i="13"/>
  <c r="R1325" i="13"/>
  <c r="Q1325" i="13"/>
  <c r="P1325" i="13"/>
  <c r="O1325" i="13"/>
  <c r="N1325" i="13"/>
  <c r="M1325" i="13"/>
  <c r="L1325" i="13"/>
  <c r="J1325" i="13"/>
  <c r="G1325" i="13"/>
  <c r="F1325" i="13"/>
  <c r="E1325" i="13"/>
  <c r="D1325" i="13"/>
  <c r="C1325" i="13"/>
  <c r="B1325" i="13"/>
  <c r="A1325" i="13"/>
  <c r="AG1324" i="13"/>
  <c r="AF1324" i="13"/>
  <c r="AE1324" i="13"/>
  <c r="AD1324" i="13"/>
  <c r="Z1324" i="13"/>
  <c r="Y1324" i="13"/>
  <c r="X1324" i="13"/>
  <c r="W1324" i="13"/>
  <c r="U1324" i="13"/>
  <c r="T1324" i="13"/>
  <c r="S1324" i="13"/>
  <c r="R1324" i="13"/>
  <c r="Q1324" i="13"/>
  <c r="P1324" i="13"/>
  <c r="O1324" i="13"/>
  <c r="N1324" i="13"/>
  <c r="M1324" i="13"/>
  <c r="L1324" i="13"/>
  <c r="J1324" i="13"/>
  <c r="G1324" i="13"/>
  <c r="F1324" i="13"/>
  <c r="E1324" i="13"/>
  <c r="D1324" i="13"/>
  <c r="C1324" i="13"/>
  <c r="B1324" i="13"/>
  <c r="A1324" i="13"/>
  <c r="AG1323" i="13"/>
  <c r="AF1323" i="13"/>
  <c r="AE1323" i="13"/>
  <c r="AD1323" i="13"/>
  <c r="Z1323" i="13"/>
  <c r="Y1323" i="13"/>
  <c r="X1323" i="13"/>
  <c r="W1323" i="13"/>
  <c r="U1323" i="13"/>
  <c r="T1323" i="13"/>
  <c r="S1323" i="13"/>
  <c r="R1323" i="13"/>
  <c r="Q1323" i="13"/>
  <c r="P1323" i="13"/>
  <c r="O1323" i="13"/>
  <c r="N1323" i="13"/>
  <c r="M1323" i="13"/>
  <c r="L1323" i="13"/>
  <c r="J1323" i="13"/>
  <c r="G1323" i="13"/>
  <c r="F1323" i="13"/>
  <c r="E1323" i="13"/>
  <c r="D1323" i="13"/>
  <c r="C1323" i="13"/>
  <c r="B1323" i="13"/>
  <c r="A1323" i="13"/>
  <c r="AG1322" i="13"/>
  <c r="AF1322" i="13"/>
  <c r="AE1322" i="13"/>
  <c r="AD1322" i="13"/>
  <c r="Z1322" i="13"/>
  <c r="Y1322" i="13"/>
  <c r="X1322" i="13"/>
  <c r="W1322" i="13"/>
  <c r="U1322" i="13"/>
  <c r="T1322" i="13"/>
  <c r="S1322" i="13"/>
  <c r="R1322" i="13"/>
  <c r="Q1322" i="13"/>
  <c r="P1322" i="13"/>
  <c r="O1322" i="13"/>
  <c r="N1322" i="13"/>
  <c r="M1322" i="13"/>
  <c r="L1322" i="13"/>
  <c r="J1322" i="13"/>
  <c r="G1322" i="13"/>
  <c r="F1322" i="13"/>
  <c r="E1322" i="13"/>
  <c r="D1322" i="13"/>
  <c r="C1322" i="13"/>
  <c r="B1322" i="13"/>
  <c r="A1322" i="13"/>
  <c r="AG1321" i="13"/>
  <c r="AF1321" i="13"/>
  <c r="AE1321" i="13"/>
  <c r="AD1321" i="13"/>
  <c r="Z1321" i="13"/>
  <c r="Y1321" i="13"/>
  <c r="X1321" i="13"/>
  <c r="W1321" i="13"/>
  <c r="U1321" i="13"/>
  <c r="T1321" i="13"/>
  <c r="S1321" i="13"/>
  <c r="R1321" i="13"/>
  <c r="Q1321" i="13"/>
  <c r="P1321" i="13"/>
  <c r="O1321" i="13"/>
  <c r="N1321" i="13"/>
  <c r="M1321" i="13"/>
  <c r="L1321" i="13"/>
  <c r="J1321" i="13"/>
  <c r="G1321" i="13"/>
  <c r="F1321" i="13"/>
  <c r="E1321" i="13"/>
  <c r="D1321" i="13"/>
  <c r="C1321" i="13"/>
  <c r="B1321" i="13"/>
  <c r="A1321" i="13"/>
  <c r="AG1320" i="13"/>
  <c r="AF1320" i="13"/>
  <c r="AE1320" i="13"/>
  <c r="AD1320" i="13"/>
  <c r="Z1320" i="13"/>
  <c r="Y1320" i="13"/>
  <c r="X1320" i="13"/>
  <c r="W1320" i="13"/>
  <c r="U1320" i="13"/>
  <c r="T1320" i="13"/>
  <c r="S1320" i="13"/>
  <c r="R1320" i="13"/>
  <c r="Q1320" i="13"/>
  <c r="P1320" i="13"/>
  <c r="O1320" i="13"/>
  <c r="N1320" i="13"/>
  <c r="M1320" i="13"/>
  <c r="L1320" i="13"/>
  <c r="J1320" i="13"/>
  <c r="G1320" i="13"/>
  <c r="F1320" i="13"/>
  <c r="E1320" i="13"/>
  <c r="D1320" i="13"/>
  <c r="C1320" i="13"/>
  <c r="B1320" i="13"/>
  <c r="A1320" i="13"/>
  <c r="AG1319" i="13"/>
  <c r="AF1319" i="13"/>
  <c r="AE1319" i="13"/>
  <c r="AD1319" i="13"/>
  <c r="Z1319" i="13"/>
  <c r="Y1319" i="13"/>
  <c r="X1319" i="13"/>
  <c r="W1319" i="13"/>
  <c r="U1319" i="13"/>
  <c r="T1319" i="13"/>
  <c r="S1319" i="13"/>
  <c r="R1319" i="13"/>
  <c r="Q1319" i="13"/>
  <c r="P1319" i="13"/>
  <c r="O1319" i="13"/>
  <c r="N1319" i="13"/>
  <c r="M1319" i="13"/>
  <c r="L1319" i="13"/>
  <c r="J1319" i="13"/>
  <c r="G1319" i="13"/>
  <c r="F1319" i="13"/>
  <c r="E1319" i="13"/>
  <c r="D1319" i="13"/>
  <c r="C1319" i="13"/>
  <c r="B1319" i="13"/>
  <c r="A1319" i="13"/>
  <c r="AG1318" i="13"/>
  <c r="AF1318" i="13"/>
  <c r="AE1318" i="13"/>
  <c r="AD1318" i="13"/>
  <c r="Z1318" i="13"/>
  <c r="Y1318" i="13"/>
  <c r="X1318" i="13"/>
  <c r="W1318" i="13"/>
  <c r="U1318" i="13"/>
  <c r="T1318" i="13"/>
  <c r="S1318" i="13"/>
  <c r="R1318" i="13"/>
  <c r="Q1318" i="13"/>
  <c r="P1318" i="13"/>
  <c r="O1318" i="13"/>
  <c r="N1318" i="13"/>
  <c r="M1318" i="13"/>
  <c r="L1318" i="13"/>
  <c r="J1318" i="13"/>
  <c r="G1318" i="13"/>
  <c r="F1318" i="13"/>
  <c r="E1318" i="13"/>
  <c r="D1318" i="13"/>
  <c r="C1318" i="13"/>
  <c r="B1318" i="13"/>
  <c r="A1318" i="13"/>
  <c r="AG1317" i="13"/>
  <c r="AF1317" i="13"/>
  <c r="AE1317" i="13"/>
  <c r="AD1317" i="13"/>
  <c r="Z1317" i="13"/>
  <c r="Y1317" i="13"/>
  <c r="X1317" i="13"/>
  <c r="W1317" i="13"/>
  <c r="U1317" i="13"/>
  <c r="T1317" i="13"/>
  <c r="S1317" i="13"/>
  <c r="R1317" i="13"/>
  <c r="Q1317" i="13"/>
  <c r="P1317" i="13"/>
  <c r="O1317" i="13"/>
  <c r="N1317" i="13"/>
  <c r="M1317" i="13"/>
  <c r="L1317" i="13"/>
  <c r="J1317" i="13"/>
  <c r="G1317" i="13"/>
  <c r="F1317" i="13"/>
  <c r="E1317" i="13"/>
  <c r="D1317" i="13"/>
  <c r="C1317" i="13"/>
  <c r="B1317" i="13"/>
  <c r="A1317" i="13"/>
  <c r="AG1316" i="13"/>
  <c r="AF1316" i="13"/>
  <c r="AE1316" i="13"/>
  <c r="AD1316" i="13"/>
  <c r="Z1316" i="13"/>
  <c r="Y1316" i="13"/>
  <c r="X1316" i="13"/>
  <c r="W1316" i="13"/>
  <c r="U1316" i="13"/>
  <c r="T1316" i="13"/>
  <c r="S1316" i="13"/>
  <c r="R1316" i="13"/>
  <c r="Q1316" i="13"/>
  <c r="P1316" i="13"/>
  <c r="O1316" i="13"/>
  <c r="N1316" i="13"/>
  <c r="M1316" i="13"/>
  <c r="L1316" i="13"/>
  <c r="J1316" i="13"/>
  <c r="G1316" i="13"/>
  <c r="F1316" i="13"/>
  <c r="E1316" i="13"/>
  <c r="D1316" i="13"/>
  <c r="C1316" i="13"/>
  <c r="B1316" i="13"/>
  <c r="A1316" i="13"/>
  <c r="AG1315" i="13"/>
  <c r="AF1315" i="13"/>
  <c r="AE1315" i="13"/>
  <c r="AD1315" i="13"/>
  <c r="Z1315" i="13"/>
  <c r="Y1315" i="13"/>
  <c r="X1315" i="13"/>
  <c r="W1315" i="13"/>
  <c r="U1315" i="13"/>
  <c r="T1315" i="13"/>
  <c r="S1315" i="13"/>
  <c r="R1315" i="13"/>
  <c r="Q1315" i="13"/>
  <c r="P1315" i="13"/>
  <c r="O1315" i="13"/>
  <c r="N1315" i="13"/>
  <c r="M1315" i="13"/>
  <c r="L1315" i="13"/>
  <c r="J1315" i="13"/>
  <c r="G1315" i="13"/>
  <c r="F1315" i="13"/>
  <c r="E1315" i="13"/>
  <c r="D1315" i="13"/>
  <c r="C1315" i="13"/>
  <c r="B1315" i="13"/>
  <c r="A1315" i="13"/>
  <c r="AG1314" i="13"/>
  <c r="AF1314" i="13"/>
  <c r="AE1314" i="13"/>
  <c r="AD1314" i="13"/>
  <c r="Z1314" i="13"/>
  <c r="Y1314" i="13"/>
  <c r="X1314" i="13"/>
  <c r="W1314" i="13"/>
  <c r="U1314" i="13"/>
  <c r="T1314" i="13"/>
  <c r="S1314" i="13"/>
  <c r="R1314" i="13"/>
  <c r="Q1314" i="13"/>
  <c r="P1314" i="13"/>
  <c r="O1314" i="13"/>
  <c r="N1314" i="13"/>
  <c r="M1314" i="13"/>
  <c r="L1314" i="13"/>
  <c r="J1314" i="13"/>
  <c r="G1314" i="13"/>
  <c r="F1314" i="13"/>
  <c r="E1314" i="13"/>
  <c r="D1314" i="13"/>
  <c r="C1314" i="13"/>
  <c r="B1314" i="13"/>
  <c r="A1314" i="13"/>
  <c r="AG1313" i="13"/>
  <c r="AF1313" i="13"/>
  <c r="AE1313" i="13"/>
  <c r="AD1313" i="13"/>
  <c r="Z1313" i="13"/>
  <c r="Y1313" i="13"/>
  <c r="X1313" i="13"/>
  <c r="W1313" i="13"/>
  <c r="U1313" i="13"/>
  <c r="T1313" i="13"/>
  <c r="S1313" i="13"/>
  <c r="R1313" i="13"/>
  <c r="Q1313" i="13"/>
  <c r="P1313" i="13"/>
  <c r="O1313" i="13"/>
  <c r="N1313" i="13"/>
  <c r="M1313" i="13"/>
  <c r="L1313" i="13"/>
  <c r="J1313" i="13"/>
  <c r="G1313" i="13"/>
  <c r="F1313" i="13"/>
  <c r="E1313" i="13"/>
  <c r="D1313" i="13"/>
  <c r="C1313" i="13"/>
  <c r="B1313" i="13"/>
  <c r="A1313" i="13"/>
  <c r="AG1312" i="13"/>
  <c r="AF1312" i="13"/>
  <c r="AE1312" i="13"/>
  <c r="AD1312" i="13"/>
  <c r="Z1312" i="13"/>
  <c r="Y1312" i="13"/>
  <c r="X1312" i="13"/>
  <c r="W1312" i="13"/>
  <c r="U1312" i="13"/>
  <c r="T1312" i="13"/>
  <c r="S1312" i="13"/>
  <c r="R1312" i="13"/>
  <c r="Q1312" i="13"/>
  <c r="P1312" i="13"/>
  <c r="O1312" i="13"/>
  <c r="N1312" i="13"/>
  <c r="M1312" i="13"/>
  <c r="L1312" i="13"/>
  <c r="J1312" i="13"/>
  <c r="G1312" i="13"/>
  <c r="F1312" i="13"/>
  <c r="E1312" i="13"/>
  <c r="D1312" i="13"/>
  <c r="C1312" i="13"/>
  <c r="B1312" i="13"/>
  <c r="A1312" i="13"/>
  <c r="AG1311" i="13"/>
  <c r="AF1311" i="13"/>
  <c r="AE1311" i="13"/>
  <c r="AD1311" i="13"/>
  <c r="Z1311" i="13"/>
  <c r="Y1311" i="13"/>
  <c r="X1311" i="13"/>
  <c r="W1311" i="13"/>
  <c r="U1311" i="13"/>
  <c r="T1311" i="13"/>
  <c r="S1311" i="13"/>
  <c r="R1311" i="13"/>
  <c r="Q1311" i="13"/>
  <c r="P1311" i="13"/>
  <c r="O1311" i="13"/>
  <c r="N1311" i="13"/>
  <c r="M1311" i="13"/>
  <c r="L1311" i="13"/>
  <c r="J1311" i="13"/>
  <c r="G1311" i="13"/>
  <c r="F1311" i="13"/>
  <c r="E1311" i="13"/>
  <c r="D1311" i="13"/>
  <c r="C1311" i="13"/>
  <c r="B1311" i="13"/>
  <c r="A1311" i="13"/>
  <c r="AG1310" i="13"/>
  <c r="AF1310" i="13"/>
  <c r="AE1310" i="13"/>
  <c r="AD1310" i="13"/>
  <c r="Z1310" i="13"/>
  <c r="Y1310" i="13"/>
  <c r="X1310" i="13"/>
  <c r="W1310" i="13"/>
  <c r="U1310" i="13"/>
  <c r="T1310" i="13"/>
  <c r="S1310" i="13"/>
  <c r="R1310" i="13"/>
  <c r="Q1310" i="13"/>
  <c r="P1310" i="13"/>
  <c r="O1310" i="13"/>
  <c r="N1310" i="13"/>
  <c r="M1310" i="13"/>
  <c r="L1310" i="13"/>
  <c r="J1310" i="13"/>
  <c r="G1310" i="13"/>
  <c r="F1310" i="13"/>
  <c r="E1310" i="13"/>
  <c r="D1310" i="13"/>
  <c r="C1310" i="13"/>
  <c r="B1310" i="13"/>
  <c r="A1310" i="13"/>
  <c r="AG1309" i="13"/>
  <c r="AF1309" i="13"/>
  <c r="AE1309" i="13"/>
  <c r="AD1309" i="13"/>
  <c r="Z1309" i="13"/>
  <c r="Y1309" i="13"/>
  <c r="X1309" i="13"/>
  <c r="W1309" i="13"/>
  <c r="U1309" i="13"/>
  <c r="T1309" i="13"/>
  <c r="S1309" i="13"/>
  <c r="R1309" i="13"/>
  <c r="Q1309" i="13"/>
  <c r="P1309" i="13"/>
  <c r="O1309" i="13"/>
  <c r="N1309" i="13"/>
  <c r="M1309" i="13"/>
  <c r="L1309" i="13"/>
  <c r="J1309" i="13"/>
  <c r="G1309" i="13"/>
  <c r="F1309" i="13"/>
  <c r="E1309" i="13"/>
  <c r="D1309" i="13"/>
  <c r="C1309" i="13"/>
  <c r="B1309" i="13"/>
  <c r="A1309" i="13"/>
  <c r="AG1308" i="13"/>
  <c r="AF1308" i="13"/>
  <c r="AE1308" i="13"/>
  <c r="AD1308" i="13"/>
  <c r="Z1308" i="13"/>
  <c r="Y1308" i="13"/>
  <c r="X1308" i="13"/>
  <c r="W1308" i="13"/>
  <c r="U1308" i="13"/>
  <c r="T1308" i="13"/>
  <c r="S1308" i="13"/>
  <c r="R1308" i="13"/>
  <c r="Q1308" i="13"/>
  <c r="P1308" i="13"/>
  <c r="O1308" i="13"/>
  <c r="N1308" i="13"/>
  <c r="M1308" i="13"/>
  <c r="L1308" i="13"/>
  <c r="J1308" i="13"/>
  <c r="G1308" i="13"/>
  <c r="F1308" i="13"/>
  <c r="E1308" i="13"/>
  <c r="D1308" i="13"/>
  <c r="C1308" i="13"/>
  <c r="B1308" i="13"/>
  <c r="A1308" i="13"/>
  <c r="AG1307" i="13"/>
  <c r="AF1307" i="13"/>
  <c r="AE1307" i="13"/>
  <c r="AD1307" i="13"/>
  <c r="Z1307" i="13"/>
  <c r="Y1307" i="13"/>
  <c r="X1307" i="13"/>
  <c r="W1307" i="13"/>
  <c r="U1307" i="13"/>
  <c r="T1307" i="13"/>
  <c r="S1307" i="13"/>
  <c r="R1307" i="13"/>
  <c r="Q1307" i="13"/>
  <c r="P1307" i="13"/>
  <c r="O1307" i="13"/>
  <c r="N1307" i="13"/>
  <c r="M1307" i="13"/>
  <c r="L1307" i="13"/>
  <c r="J1307" i="13"/>
  <c r="G1307" i="13"/>
  <c r="F1307" i="13"/>
  <c r="E1307" i="13"/>
  <c r="D1307" i="13"/>
  <c r="C1307" i="13"/>
  <c r="B1307" i="13"/>
  <c r="A1307" i="13"/>
  <c r="AG1306" i="13"/>
  <c r="AF1306" i="13"/>
  <c r="AE1306" i="13"/>
  <c r="AD1306" i="13"/>
  <c r="Z1306" i="13"/>
  <c r="Y1306" i="13"/>
  <c r="X1306" i="13"/>
  <c r="W1306" i="13"/>
  <c r="U1306" i="13"/>
  <c r="T1306" i="13"/>
  <c r="S1306" i="13"/>
  <c r="R1306" i="13"/>
  <c r="Q1306" i="13"/>
  <c r="P1306" i="13"/>
  <c r="O1306" i="13"/>
  <c r="N1306" i="13"/>
  <c r="M1306" i="13"/>
  <c r="L1306" i="13"/>
  <c r="J1306" i="13"/>
  <c r="G1306" i="13"/>
  <c r="F1306" i="13"/>
  <c r="E1306" i="13"/>
  <c r="D1306" i="13"/>
  <c r="C1306" i="13"/>
  <c r="B1306" i="13"/>
  <c r="A1306" i="13"/>
  <c r="AG1305" i="13"/>
  <c r="AF1305" i="13"/>
  <c r="AE1305" i="13"/>
  <c r="AD1305" i="13"/>
  <c r="Z1305" i="13"/>
  <c r="Y1305" i="13"/>
  <c r="X1305" i="13"/>
  <c r="W1305" i="13"/>
  <c r="U1305" i="13"/>
  <c r="T1305" i="13"/>
  <c r="S1305" i="13"/>
  <c r="R1305" i="13"/>
  <c r="Q1305" i="13"/>
  <c r="P1305" i="13"/>
  <c r="O1305" i="13"/>
  <c r="N1305" i="13"/>
  <c r="M1305" i="13"/>
  <c r="L1305" i="13"/>
  <c r="J1305" i="13"/>
  <c r="G1305" i="13"/>
  <c r="F1305" i="13"/>
  <c r="E1305" i="13"/>
  <c r="D1305" i="13"/>
  <c r="C1305" i="13"/>
  <c r="B1305" i="13"/>
  <c r="A1305" i="13"/>
  <c r="AG1304" i="13"/>
  <c r="AF1304" i="13"/>
  <c r="AE1304" i="13"/>
  <c r="AD1304" i="13"/>
  <c r="Z1304" i="13"/>
  <c r="Y1304" i="13"/>
  <c r="X1304" i="13"/>
  <c r="W1304" i="13"/>
  <c r="U1304" i="13"/>
  <c r="T1304" i="13"/>
  <c r="S1304" i="13"/>
  <c r="R1304" i="13"/>
  <c r="Q1304" i="13"/>
  <c r="P1304" i="13"/>
  <c r="O1304" i="13"/>
  <c r="N1304" i="13"/>
  <c r="M1304" i="13"/>
  <c r="L1304" i="13"/>
  <c r="J1304" i="13"/>
  <c r="G1304" i="13"/>
  <c r="F1304" i="13"/>
  <c r="E1304" i="13"/>
  <c r="D1304" i="13"/>
  <c r="C1304" i="13"/>
  <c r="B1304" i="13"/>
  <c r="A1304" i="13"/>
  <c r="AG1303" i="13"/>
  <c r="AF1303" i="13"/>
  <c r="AE1303" i="13"/>
  <c r="AD1303" i="13"/>
  <c r="Z1303" i="13"/>
  <c r="Y1303" i="13"/>
  <c r="X1303" i="13"/>
  <c r="W1303" i="13"/>
  <c r="U1303" i="13"/>
  <c r="T1303" i="13"/>
  <c r="S1303" i="13"/>
  <c r="R1303" i="13"/>
  <c r="Q1303" i="13"/>
  <c r="P1303" i="13"/>
  <c r="O1303" i="13"/>
  <c r="N1303" i="13"/>
  <c r="M1303" i="13"/>
  <c r="L1303" i="13"/>
  <c r="J1303" i="13"/>
  <c r="G1303" i="13"/>
  <c r="F1303" i="13"/>
  <c r="E1303" i="13"/>
  <c r="D1303" i="13"/>
  <c r="C1303" i="13"/>
  <c r="B1303" i="13"/>
  <c r="A1303" i="13"/>
  <c r="AG1302" i="13"/>
  <c r="AF1302" i="13"/>
  <c r="AE1302" i="13"/>
  <c r="AD1302" i="13"/>
  <c r="Z1302" i="13"/>
  <c r="Y1302" i="13"/>
  <c r="X1302" i="13"/>
  <c r="W1302" i="13"/>
  <c r="U1302" i="13"/>
  <c r="T1302" i="13"/>
  <c r="S1302" i="13"/>
  <c r="R1302" i="13"/>
  <c r="Q1302" i="13"/>
  <c r="P1302" i="13"/>
  <c r="O1302" i="13"/>
  <c r="N1302" i="13"/>
  <c r="M1302" i="13"/>
  <c r="L1302" i="13"/>
  <c r="J1302" i="13"/>
  <c r="G1302" i="13"/>
  <c r="F1302" i="13"/>
  <c r="E1302" i="13"/>
  <c r="D1302" i="13"/>
  <c r="C1302" i="13"/>
  <c r="B1302" i="13"/>
  <c r="A1302" i="13"/>
  <c r="AG1301" i="13"/>
  <c r="AF1301" i="13"/>
  <c r="AE1301" i="13"/>
  <c r="AD1301" i="13"/>
  <c r="Z1301" i="13"/>
  <c r="Y1301" i="13"/>
  <c r="X1301" i="13"/>
  <c r="W1301" i="13"/>
  <c r="U1301" i="13"/>
  <c r="T1301" i="13"/>
  <c r="S1301" i="13"/>
  <c r="R1301" i="13"/>
  <c r="Q1301" i="13"/>
  <c r="P1301" i="13"/>
  <c r="O1301" i="13"/>
  <c r="N1301" i="13"/>
  <c r="M1301" i="13"/>
  <c r="L1301" i="13"/>
  <c r="J1301" i="13"/>
  <c r="G1301" i="13"/>
  <c r="F1301" i="13"/>
  <c r="E1301" i="13"/>
  <c r="D1301" i="13"/>
  <c r="C1301" i="13"/>
  <c r="B1301" i="13"/>
  <c r="A1301" i="13"/>
  <c r="AG1300" i="13"/>
  <c r="AF1300" i="13"/>
  <c r="AE1300" i="13"/>
  <c r="AD1300" i="13"/>
  <c r="Z1300" i="13"/>
  <c r="Y1300" i="13"/>
  <c r="X1300" i="13"/>
  <c r="W1300" i="13"/>
  <c r="U1300" i="13"/>
  <c r="T1300" i="13"/>
  <c r="S1300" i="13"/>
  <c r="R1300" i="13"/>
  <c r="Q1300" i="13"/>
  <c r="P1300" i="13"/>
  <c r="O1300" i="13"/>
  <c r="N1300" i="13"/>
  <c r="M1300" i="13"/>
  <c r="L1300" i="13"/>
  <c r="J1300" i="13"/>
  <c r="G1300" i="13"/>
  <c r="F1300" i="13"/>
  <c r="E1300" i="13"/>
  <c r="D1300" i="13"/>
  <c r="C1300" i="13"/>
  <c r="B1300" i="13"/>
  <c r="A1300" i="13"/>
  <c r="AG1299" i="13"/>
  <c r="AF1299" i="13"/>
  <c r="AE1299" i="13"/>
  <c r="AD1299" i="13"/>
  <c r="Z1299" i="13"/>
  <c r="Y1299" i="13"/>
  <c r="X1299" i="13"/>
  <c r="W1299" i="13"/>
  <c r="U1299" i="13"/>
  <c r="T1299" i="13"/>
  <c r="S1299" i="13"/>
  <c r="R1299" i="13"/>
  <c r="Q1299" i="13"/>
  <c r="P1299" i="13"/>
  <c r="O1299" i="13"/>
  <c r="N1299" i="13"/>
  <c r="M1299" i="13"/>
  <c r="L1299" i="13"/>
  <c r="J1299" i="13"/>
  <c r="G1299" i="13"/>
  <c r="F1299" i="13"/>
  <c r="E1299" i="13"/>
  <c r="D1299" i="13"/>
  <c r="C1299" i="13"/>
  <c r="B1299" i="13"/>
  <c r="A1299" i="13"/>
  <c r="AG1298" i="13"/>
  <c r="AF1298" i="13"/>
  <c r="AE1298" i="13"/>
  <c r="AD1298" i="13"/>
  <c r="Z1298" i="13"/>
  <c r="Y1298" i="13"/>
  <c r="X1298" i="13"/>
  <c r="W1298" i="13"/>
  <c r="U1298" i="13"/>
  <c r="T1298" i="13"/>
  <c r="S1298" i="13"/>
  <c r="R1298" i="13"/>
  <c r="Q1298" i="13"/>
  <c r="P1298" i="13"/>
  <c r="O1298" i="13"/>
  <c r="N1298" i="13"/>
  <c r="M1298" i="13"/>
  <c r="L1298" i="13"/>
  <c r="J1298" i="13"/>
  <c r="G1298" i="13"/>
  <c r="F1298" i="13"/>
  <c r="E1298" i="13"/>
  <c r="D1298" i="13"/>
  <c r="C1298" i="13"/>
  <c r="B1298" i="13"/>
  <c r="A1298" i="13"/>
  <c r="AG1297" i="13"/>
  <c r="AF1297" i="13"/>
  <c r="AE1297" i="13"/>
  <c r="AD1297" i="13"/>
  <c r="Z1297" i="13"/>
  <c r="Y1297" i="13"/>
  <c r="X1297" i="13"/>
  <c r="W1297" i="13"/>
  <c r="U1297" i="13"/>
  <c r="T1297" i="13"/>
  <c r="S1297" i="13"/>
  <c r="R1297" i="13"/>
  <c r="Q1297" i="13"/>
  <c r="P1297" i="13"/>
  <c r="O1297" i="13"/>
  <c r="N1297" i="13"/>
  <c r="M1297" i="13"/>
  <c r="L1297" i="13"/>
  <c r="J1297" i="13"/>
  <c r="G1297" i="13"/>
  <c r="F1297" i="13"/>
  <c r="E1297" i="13"/>
  <c r="D1297" i="13"/>
  <c r="C1297" i="13"/>
  <c r="B1297" i="13"/>
  <c r="A1297" i="13"/>
  <c r="AG1296" i="13"/>
  <c r="AF1296" i="13"/>
  <c r="AE1296" i="13"/>
  <c r="AD1296" i="13"/>
  <c r="Z1296" i="13"/>
  <c r="Y1296" i="13"/>
  <c r="X1296" i="13"/>
  <c r="W1296" i="13"/>
  <c r="U1296" i="13"/>
  <c r="T1296" i="13"/>
  <c r="S1296" i="13"/>
  <c r="R1296" i="13"/>
  <c r="Q1296" i="13"/>
  <c r="P1296" i="13"/>
  <c r="O1296" i="13"/>
  <c r="N1296" i="13"/>
  <c r="M1296" i="13"/>
  <c r="L1296" i="13"/>
  <c r="J1296" i="13"/>
  <c r="G1296" i="13"/>
  <c r="F1296" i="13"/>
  <c r="E1296" i="13"/>
  <c r="D1296" i="13"/>
  <c r="C1296" i="13"/>
  <c r="B1296" i="13"/>
  <c r="A1296" i="13"/>
  <c r="AG1295" i="13"/>
  <c r="AF1295" i="13"/>
  <c r="AE1295" i="13"/>
  <c r="AD1295" i="13"/>
  <c r="Z1295" i="13"/>
  <c r="Y1295" i="13"/>
  <c r="X1295" i="13"/>
  <c r="W1295" i="13"/>
  <c r="U1295" i="13"/>
  <c r="T1295" i="13"/>
  <c r="S1295" i="13"/>
  <c r="R1295" i="13"/>
  <c r="Q1295" i="13"/>
  <c r="P1295" i="13"/>
  <c r="O1295" i="13"/>
  <c r="N1295" i="13"/>
  <c r="M1295" i="13"/>
  <c r="L1295" i="13"/>
  <c r="J1295" i="13"/>
  <c r="G1295" i="13"/>
  <c r="F1295" i="13"/>
  <c r="E1295" i="13"/>
  <c r="D1295" i="13"/>
  <c r="C1295" i="13"/>
  <c r="B1295" i="13"/>
  <c r="A1295" i="13"/>
  <c r="AG1294" i="13"/>
  <c r="AF1294" i="13"/>
  <c r="AE1294" i="13"/>
  <c r="AD1294" i="13"/>
  <c r="Z1294" i="13"/>
  <c r="Y1294" i="13"/>
  <c r="X1294" i="13"/>
  <c r="W1294" i="13"/>
  <c r="U1294" i="13"/>
  <c r="T1294" i="13"/>
  <c r="S1294" i="13"/>
  <c r="R1294" i="13"/>
  <c r="Q1294" i="13"/>
  <c r="P1294" i="13"/>
  <c r="O1294" i="13"/>
  <c r="N1294" i="13"/>
  <c r="M1294" i="13"/>
  <c r="L1294" i="13"/>
  <c r="J1294" i="13"/>
  <c r="G1294" i="13"/>
  <c r="F1294" i="13"/>
  <c r="E1294" i="13"/>
  <c r="D1294" i="13"/>
  <c r="C1294" i="13"/>
  <c r="B1294" i="13"/>
  <c r="A1294" i="13"/>
  <c r="AG1293" i="13"/>
  <c r="AF1293" i="13"/>
  <c r="AE1293" i="13"/>
  <c r="AD1293" i="13"/>
  <c r="Z1293" i="13"/>
  <c r="Y1293" i="13"/>
  <c r="X1293" i="13"/>
  <c r="W1293" i="13"/>
  <c r="U1293" i="13"/>
  <c r="T1293" i="13"/>
  <c r="S1293" i="13"/>
  <c r="R1293" i="13"/>
  <c r="Q1293" i="13"/>
  <c r="P1293" i="13"/>
  <c r="O1293" i="13"/>
  <c r="N1293" i="13"/>
  <c r="M1293" i="13"/>
  <c r="L1293" i="13"/>
  <c r="J1293" i="13"/>
  <c r="G1293" i="13"/>
  <c r="F1293" i="13"/>
  <c r="E1293" i="13"/>
  <c r="D1293" i="13"/>
  <c r="C1293" i="13"/>
  <c r="B1293" i="13"/>
  <c r="A1293" i="13"/>
  <c r="AG1292" i="13"/>
  <c r="AF1292" i="13"/>
  <c r="AE1292" i="13"/>
  <c r="AD1292" i="13"/>
  <c r="Z1292" i="13"/>
  <c r="Y1292" i="13"/>
  <c r="X1292" i="13"/>
  <c r="W1292" i="13"/>
  <c r="U1292" i="13"/>
  <c r="T1292" i="13"/>
  <c r="S1292" i="13"/>
  <c r="R1292" i="13"/>
  <c r="Q1292" i="13"/>
  <c r="P1292" i="13"/>
  <c r="O1292" i="13"/>
  <c r="N1292" i="13"/>
  <c r="M1292" i="13"/>
  <c r="L1292" i="13"/>
  <c r="J1292" i="13"/>
  <c r="G1292" i="13"/>
  <c r="F1292" i="13"/>
  <c r="E1292" i="13"/>
  <c r="D1292" i="13"/>
  <c r="C1292" i="13"/>
  <c r="B1292" i="13"/>
  <c r="A1292" i="13"/>
  <c r="AG1291" i="13"/>
  <c r="AF1291" i="13"/>
  <c r="AE1291" i="13"/>
  <c r="AD1291" i="13"/>
  <c r="Z1291" i="13"/>
  <c r="Y1291" i="13"/>
  <c r="X1291" i="13"/>
  <c r="W1291" i="13"/>
  <c r="U1291" i="13"/>
  <c r="T1291" i="13"/>
  <c r="S1291" i="13"/>
  <c r="R1291" i="13"/>
  <c r="Q1291" i="13"/>
  <c r="P1291" i="13"/>
  <c r="O1291" i="13"/>
  <c r="N1291" i="13"/>
  <c r="M1291" i="13"/>
  <c r="L1291" i="13"/>
  <c r="J1291" i="13"/>
  <c r="G1291" i="13"/>
  <c r="F1291" i="13"/>
  <c r="E1291" i="13"/>
  <c r="D1291" i="13"/>
  <c r="C1291" i="13"/>
  <c r="B1291" i="13"/>
  <c r="A1291" i="13"/>
  <c r="AG1290" i="13"/>
  <c r="AF1290" i="13"/>
  <c r="AE1290" i="13"/>
  <c r="AD1290" i="13"/>
  <c r="Z1290" i="13"/>
  <c r="Y1290" i="13"/>
  <c r="X1290" i="13"/>
  <c r="W1290" i="13"/>
  <c r="U1290" i="13"/>
  <c r="T1290" i="13"/>
  <c r="S1290" i="13"/>
  <c r="R1290" i="13"/>
  <c r="Q1290" i="13"/>
  <c r="P1290" i="13"/>
  <c r="O1290" i="13"/>
  <c r="N1290" i="13"/>
  <c r="M1290" i="13"/>
  <c r="L1290" i="13"/>
  <c r="J1290" i="13"/>
  <c r="G1290" i="13"/>
  <c r="F1290" i="13"/>
  <c r="E1290" i="13"/>
  <c r="D1290" i="13"/>
  <c r="C1290" i="13"/>
  <c r="B1290" i="13"/>
  <c r="A1290" i="13"/>
  <c r="AG1289" i="13"/>
  <c r="AF1289" i="13"/>
  <c r="AE1289" i="13"/>
  <c r="AD1289" i="13"/>
  <c r="Z1289" i="13"/>
  <c r="Y1289" i="13"/>
  <c r="X1289" i="13"/>
  <c r="W1289" i="13"/>
  <c r="U1289" i="13"/>
  <c r="T1289" i="13"/>
  <c r="S1289" i="13"/>
  <c r="R1289" i="13"/>
  <c r="Q1289" i="13"/>
  <c r="P1289" i="13"/>
  <c r="O1289" i="13"/>
  <c r="N1289" i="13"/>
  <c r="M1289" i="13"/>
  <c r="L1289" i="13"/>
  <c r="J1289" i="13"/>
  <c r="G1289" i="13"/>
  <c r="F1289" i="13"/>
  <c r="E1289" i="13"/>
  <c r="D1289" i="13"/>
  <c r="C1289" i="13"/>
  <c r="B1289" i="13"/>
  <c r="A1289" i="13"/>
  <c r="AG1288" i="13"/>
  <c r="AF1288" i="13"/>
  <c r="AE1288" i="13"/>
  <c r="AD1288" i="13"/>
  <c r="Z1288" i="13"/>
  <c r="Y1288" i="13"/>
  <c r="X1288" i="13"/>
  <c r="W1288" i="13"/>
  <c r="U1288" i="13"/>
  <c r="T1288" i="13"/>
  <c r="S1288" i="13"/>
  <c r="R1288" i="13"/>
  <c r="Q1288" i="13"/>
  <c r="P1288" i="13"/>
  <c r="O1288" i="13"/>
  <c r="N1288" i="13"/>
  <c r="M1288" i="13"/>
  <c r="L1288" i="13"/>
  <c r="J1288" i="13"/>
  <c r="G1288" i="13"/>
  <c r="F1288" i="13"/>
  <c r="E1288" i="13"/>
  <c r="D1288" i="13"/>
  <c r="C1288" i="13"/>
  <c r="B1288" i="13"/>
  <c r="A1288" i="13"/>
  <c r="AG1287" i="13"/>
  <c r="AF1287" i="13"/>
  <c r="AE1287" i="13"/>
  <c r="AD1287" i="13"/>
  <c r="Z1287" i="13"/>
  <c r="Y1287" i="13"/>
  <c r="X1287" i="13"/>
  <c r="W1287" i="13"/>
  <c r="U1287" i="13"/>
  <c r="T1287" i="13"/>
  <c r="S1287" i="13"/>
  <c r="R1287" i="13"/>
  <c r="Q1287" i="13"/>
  <c r="P1287" i="13"/>
  <c r="O1287" i="13"/>
  <c r="N1287" i="13"/>
  <c r="M1287" i="13"/>
  <c r="L1287" i="13"/>
  <c r="J1287" i="13"/>
  <c r="G1287" i="13"/>
  <c r="F1287" i="13"/>
  <c r="E1287" i="13"/>
  <c r="D1287" i="13"/>
  <c r="C1287" i="13"/>
  <c r="B1287" i="13"/>
  <c r="A1287" i="13"/>
  <c r="AG1286" i="13"/>
  <c r="AF1286" i="13"/>
  <c r="AE1286" i="13"/>
  <c r="AD1286" i="13"/>
  <c r="Z1286" i="13"/>
  <c r="Y1286" i="13"/>
  <c r="X1286" i="13"/>
  <c r="W1286" i="13"/>
  <c r="U1286" i="13"/>
  <c r="T1286" i="13"/>
  <c r="S1286" i="13"/>
  <c r="R1286" i="13"/>
  <c r="Q1286" i="13"/>
  <c r="P1286" i="13"/>
  <c r="O1286" i="13"/>
  <c r="N1286" i="13"/>
  <c r="M1286" i="13"/>
  <c r="L1286" i="13"/>
  <c r="J1286" i="13"/>
  <c r="G1286" i="13"/>
  <c r="F1286" i="13"/>
  <c r="E1286" i="13"/>
  <c r="D1286" i="13"/>
  <c r="C1286" i="13"/>
  <c r="B1286" i="13"/>
  <c r="A1286" i="13"/>
  <c r="AG1285" i="13"/>
  <c r="AF1285" i="13"/>
  <c r="AE1285" i="13"/>
  <c r="AD1285" i="13"/>
  <c r="Z1285" i="13"/>
  <c r="Y1285" i="13"/>
  <c r="X1285" i="13"/>
  <c r="W1285" i="13"/>
  <c r="U1285" i="13"/>
  <c r="T1285" i="13"/>
  <c r="S1285" i="13"/>
  <c r="R1285" i="13"/>
  <c r="Q1285" i="13"/>
  <c r="P1285" i="13"/>
  <c r="O1285" i="13"/>
  <c r="N1285" i="13"/>
  <c r="M1285" i="13"/>
  <c r="L1285" i="13"/>
  <c r="J1285" i="13"/>
  <c r="G1285" i="13"/>
  <c r="F1285" i="13"/>
  <c r="E1285" i="13"/>
  <c r="D1285" i="13"/>
  <c r="C1285" i="13"/>
  <c r="B1285" i="13"/>
  <c r="A1285" i="13"/>
  <c r="AG1284" i="13"/>
  <c r="AF1284" i="13"/>
  <c r="AE1284" i="13"/>
  <c r="AD1284" i="13"/>
  <c r="Z1284" i="13"/>
  <c r="Y1284" i="13"/>
  <c r="X1284" i="13"/>
  <c r="W1284" i="13"/>
  <c r="U1284" i="13"/>
  <c r="T1284" i="13"/>
  <c r="S1284" i="13"/>
  <c r="R1284" i="13"/>
  <c r="Q1284" i="13"/>
  <c r="P1284" i="13"/>
  <c r="O1284" i="13"/>
  <c r="N1284" i="13"/>
  <c r="M1284" i="13"/>
  <c r="L1284" i="13"/>
  <c r="J1284" i="13"/>
  <c r="G1284" i="13"/>
  <c r="F1284" i="13"/>
  <c r="E1284" i="13"/>
  <c r="D1284" i="13"/>
  <c r="C1284" i="13"/>
  <c r="B1284" i="13"/>
  <c r="A1284" i="13"/>
  <c r="AG1283" i="13"/>
  <c r="AF1283" i="13"/>
  <c r="AE1283" i="13"/>
  <c r="AD1283" i="13"/>
  <c r="Z1283" i="13"/>
  <c r="Y1283" i="13"/>
  <c r="X1283" i="13"/>
  <c r="W1283" i="13"/>
  <c r="U1283" i="13"/>
  <c r="T1283" i="13"/>
  <c r="S1283" i="13"/>
  <c r="R1283" i="13"/>
  <c r="Q1283" i="13"/>
  <c r="P1283" i="13"/>
  <c r="O1283" i="13"/>
  <c r="N1283" i="13"/>
  <c r="M1283" i="13"/>
  <c r="L1283" i="13"/>
  <c r="J1283" i="13"/>
  <c r="G1283" i="13"/>
  <c r="F1283" i="13"/>
  <c r="E1283" i="13"/>
  <c r="D1283" i="13"/>
  <c r="C1283" i="13"/>
  <c r="B1283" i="13"/>
  <c r="A1283" i="13"/>
  <c r="AG1282" i="13"/>
  <c r="AF1282" i="13"/>
  <c r="AE1282" i="13"/>
  <c r="AD1282" i="13"/>
  <c r="Z1282" i="13"/>
  <c r="Y1282" i="13"/>
  <c r="X1282" i="13"/>
  <c r="W1282" i="13"/>
  <c r="U1282" i="13"/>
  <c r="T1282" i="13"/>
  <c r="S1282" i="13"/>
  <c r="R1282" i="13"/>
  <c r="Q1282" i="13"/>
  <c r="P1282" i="13"/>
  <c r="O1282" i="13"/>
  <c r="N1282" i="13"/>
  <c r="M1282" i="13"/>
  <c r="L1282" i="13"/>
  <c r="J1282" i="13"/>
  <c r="G1282" i="13"/>
  <c r="F1282" i="13"/>
  <c r="E1282" i="13"/>
  <c r="D1282" i="13"/>
  <c r="C1282" i="13"/>
  <c r="B1282" i="13"/>
  <c r="A1282" i="13"/>
  <c r="AG1281" i="13"/>
  <c r="AF1281" i="13"/>
  <c r="AE1281" i="13"/>
  <c r="AD1281" i="13"/>
  <c r="Z1281" i="13"/>
  <c r="Y1281" i="13"/>
  <c r="X1281" i="13"/>
  <c r="W1281" i="13"/>
  <c r="U1281" i="13"/>
  <c r="T1281" i="13"/>
  <c r="S1281" i="13"/>
  <c r="R1281" i="13"/>
  <c r="Q1281" i="13"/>
  <c r="P1281" i="13"/>
  <c r="O1281" i="13"/>
  <c r="N1281" i="13"/>
  <c r="M1281" i="13"/>
  <c r="L1281" i="13"/>
  <c r="J1281" i="13"/>
  <c r="G1281" i="13"/>
  <c r="F1281" i="13"/>
  <c r="E1281" i="13"/>
  <c r="D1281" i="13"/>
  <c r="C1281" i="13"/>
  <c r="B1281" i="13"/>
  <c r="A1281" i="13"/>
  <c r="AG1280" i="13"/>
  <c r="AF1280" i="13"/>
  <c r="AE1280" i="13"/>
  <c r="AD1280" i="13"/>
  <c r="Z1280" i="13"/>
  <c r="Y1280" i="13"/>
  <c r="X1280" i="13"/>
  <c r="W1280" i="13"/>
  <c r="U1280" i="13"/>
  <c r="T1280" i="13"/>
  <c r="S1280" i="13"/>
  <c r="R1280" i="13"/>
  <c r="Q1280" i="13"/>
  <c r="P1280" i="13"/>
  <c r="O1280" i="13"/>
  <c r="N1280" i="13"/>
  <c r="M1280" i="13"/>
  <c r="L1280" i="13"/>
  <c r="J1280" i="13"/>
  <c r="G1280" i="13"/>
  <c r="F1280" i="13"/>
  <c r="E1280" i="13"/>
  <c r="D1280" i="13"/>
  <c r="C1280" i="13"/>
  <c r="B1280" i="13"/>
  <c r="A1280" i="13"/>
  <c r="AG1279" i="13"/>
  <c r="AF1279" i="13"/>
  <c r="AE1279" i="13"/>
  <c r="AD1279" i="13"/>
  <c r="Z1279" i="13"/>
  <c r="Y1279" i="13"/>
  <c r="X1279" i="13"/>
  <c r="W1279" i="13"/>
  <c r="U1279" i="13"/>
  <c r="T1279" i="13"/>
  <c r="S1279" i="13"/>
  <c r="R1279" i="13"/>
  <c r="Q1279" i="13"/>
  <c r="P1279" i="13"/>
  <c r="O1279" i="13"/>
  <c r="N1279" i="13"/>
  <c r="M1279" i="13"/>
  <c r="L1279" i="13"/>
  <c r="J1279" i="13"/>
  <c r="G1279" i="13"/>
  <c r="F1279" i="13"/>
  <c r="E1279" i="13"/>
  <c r="D1279" i="13"/>
  <c r="C1279" i="13"/>
  <c r="B1279" i="13"/>
  <c r="A1279" i="13"/>
  <c r="AG1278" i="13"/>
  <c r="AF1278" i="13"/>
  <c r="AE1278" i="13"/>
  <c r="AD1278" i="13"/>
  <c r="Z1278" i="13"/>
  <c r="Y1278" i="13"/>
  <c r="X1278" i="13"/>
  <c r="W1278" i="13"/>
  <c r="U1278" i="13"/>
  <c r="T1278" i="13"/>
  <c r="S1278" i="13"/>
  <c r="R1278" i="13"/>
  <c r="Q1278" i="13"/>
  <c r="P1278" i="13"/>
  <c r="O1278" i="13"/>
  <c r="N1278" i="13"/>
  <c r="M1278" i="13"/>
  <c r="L1278" i="13"/>
  <c r="J1278" i="13"/>
  <c r="G1278" i="13"/>
  <c r="F1278" i="13"/>
  <c r="E1278" i="13"/>
  <c r="D1278" i="13"/>
  <c r="C1278" i="13"/>
  <c r="B1278" i="13"/>
  <c r="A1278" i="13"/>
  <c r="AG1277" i="13"/>
  <c r="AF1277" i="13"/>
  <c r="AE1277" i="13"/>
  <c r="AD1277" i="13"/>
  <c r="Z1277" i="13"/>
  <c r="Y1277" i="13"/>
  <c r="X1277" i="13"/>
  <c r="W1277" i="13"/>
  <c r="U1277" i="13"/>
  <c r="T1277" i="13"/>
  <c r="S1277" i="13"/>
  <c r="R1277" i="13"/>
  <c r="Q1277" i="13"/>
  <c r="P1277" i="13"/>
  <c r="O1277" i="13"/>
  <c r="N1277" i="13"/>
  <c r="M1277" i="13"/>
  <c r="L1277" i="13"/>
  <c r="J1277" i="13"/>
  <c r="G1277" i="13"/>
  <c r="F1277" i="13"/>
  <c r="E1277" i="13"/>
  <c r="D1277" i="13"/>
  <c r="C1277" i="13"/>
  <c r="B1277" i="13"/>
  <c r="A1277" i="13"/>
  <c r="AG1276" i="13"/>
  <c r="AF1276" i="13"/>
  <c r="AE1276" i="13"/>
  <c r="AD1276" i="13"/>
  <c r="Z1276" i="13"/>
  <c r="Y1276" i="13"/>
  <c r="X1276" i="13"/>
  <c r="W1276" i="13"/>
  <c r="U1276" i="13"/>
  <c r="T1276" i="13"/>
  <c r="S1276" i="13"/>
  <c r="R1276" i="13"/>
  <c r="Q1276" i="13"/>
  <c r="P1276" i="13"/>
  <c r="O1276" i="13"/>
  <c r="N1276" i="13"/>
  <c r="M1276" i="13"/>
  <c r="L1276" i="13"/>
  <c r="J1276" i="13"/>
  <c r="G1276" i="13"/>
  <c r="F1276" i="13"/>
  <c r="E1276" i="13"/>
  <c r="D1276" i="13"/>
  <c r="C1276" i="13"/>
  <c r="B1276" i="13"/>
  <c r="A1276" i="13"/>
  <c r="AG1275" i="13"/>
  <c r="AF1275" i="13"/>
  <c r="AE1275" i="13"/>
  <c r="AD1275" i="13"/>
  <c r="Z1275" i="13"/>
  <c r="Y1275" i="13"/>
  <c r="X1275" i="13"/>
  <c r="W1275" i="13"/>
  <c r="U1275" i="13"/>
  <c r="T1275" i="13"/>
  <c r="S1275" i="13"/>
  <c r="R1275" i="13"/>
  <c r="Q1275" i="13"/>
  <c r="P1275" i="13"/>
  <c r="O1275" i="13"/>
  <c r="N1275" i="13"/>
  <c r="M1275" i="13"/>
  <c r="L1275" i="13"/>
  <c r="J1275" i="13"/>
  <c r="G1275" i="13"/>
  <c r="F1275" i="13"/>
  <c r="E1275" i="13"/>
  <c r="D1275" i="13"/>
  <c r="C1275" i="13"/>
  <c r="B1275" i="13"/>
  <c r="A1275" i="13"/>
  <c r="AG1274" i="13"/>
  <c r="AF1274" i="13"/>
  <c r="AE1274" i="13"/>
  <c r="AD1274" i="13"/>
  <c r="Z1274" i="13"/>
  <c r="Y1274" i="13"/>
  <c r="X1274" i="13"/>
  <c r="W1274" i="13"/>
  <c r="U1274" i="13"/>
  <c r="T1274" i="13"/>
  <c r="S1274" i="13"/>
  <c r="R1274" i="13"/>
  <c r="Q1274" i="13"/>
  <c r="P1274" i="13"/>
  <c r="O1274" i="13"/>
  <c r="N1274" i="13"/>
  <c r="M1274" i="13"/>
  <c r="L1274" i="13"/>
  <c r="J1274" i="13"/>
  <c r="G1274" i="13"/>
  <c r="F1274" i="13"/>
  <c r="E1274" i="13"/>
  <c r="D1274" i="13"/>
  <c r="C1274" i="13"/>
  <c r="B1274" i="13"/>
  <c r="A1274" i="13"/>
  <c r="AG1273" i="13"/>
  <c r="AF1273" i="13"/>
  <c r="AE1273" i="13"/>
  <c r="AD1273" i="13"/>
  <c r="Z1273" i="13"/>
  <c r="Y1273" i="13"/>
  <c r="X1273" i="13"/>
  <c r="W1273" i="13"/>
  <c r="U1273" i="13"/>
  <c r="T1273" i="13"/>
  <c r="S1273" i="13"/>
  <c r="R1273" i="13"/>
  <c r="Q1273" i="13"/>
  <c r="P1273" i="13"/>
  <c r="O1273" i="13"/>
  <c r="N1273" i="13"/>
  <c r="M1273" i="13"/>
  <c r="L1273" i="13"/>
  <c r="J1273" i="13"/>
  <c r="G1273" i="13"/>
  <c r="F1273" i="13"/>
  <c r="E1273" i="13"/>
  <c r="D1273" i="13"/>
  <c r="C1273" i="13"/>
  <c r="B1273" i="13"/>
  <c r="A1273" i="13"/>
  <c r="AG1272" i="13"/>
  <c r="AF1272" i="13"/>
  <c r="AE1272" i="13"/>
  <c r="AD1272" i="13"/>
  <c r="Z1272" i="13"/>
  <c r="Y1272" i="13"/>
  <c r="X1272" i="13"/>
  <c r="W1272" i="13"/>
  <c r="U1272" i="13"/>
  <c r="T1272" i="13"/>
  <c r="S1272" i="13"/>
  <c r="R1272" i="13"/>
  <c r="Q1272" i="13"/>
  <c r="P1272" i="13"/>
  <c r="O1272" i="13"/>
  <c r="N1272" i="13"/>
  <c r="M1272" i="13"/>
  <c r="L1272" i="13"/>
  <c r="J1272" i="13"/>
  <c r="G1272" i="13"/>
  <c r="F1272" i="13"/>
  <c r="E1272" i="13"/>
  <c r="D1272" i="13"/>
  <c r="C1272" i="13"/>
  <c r="B1272" i="13"/>
  <c r="A1272" i="13"/>
  <c r="AG1271" i="13"/>
  <c r="AF1271" i="13"/>
  <c r="AE1271" i="13"/>
  <c r="AD1271" i="13"/>
  <c r="Z1271" i="13"/>
  <c r="Y1271" i="13"/>
  <c r="X1271" i="13"/>
  <c r="W1271" i="13"/>
  <c r="U1271" i="13"/>
  <c r="T1271" i="13"/>
  <c r="S1271" i="13"/>
  <c r="R1271" i="13"/>
  <c r="Q1271" i="13"/>
  <c r="P1271" i="13"/>
  <c r="O1271" i="13"/>
  <c r="N1271" i="13"/>
  <c r="M1271" i="13"/>
  <c r="L1271" i="13"/>
  <c r="J1271" i="13"/>
  <c r="G1271" i="13"/>
  <c r="F1271" i="13"/>
  <c r="E1271" i="13"/>
  <c r="D1271" i="13"/>
  <c r="C1271" i="13"/>
  <c r="B1271" i="13"/>
  <c r="A1271" i="13"/>
  <c r="AG1270" i="13"/>
  <c r="AF1270" i="13"/>
  <c r="AE1270" i="13"/>
  <c r="AD1270" i="13"/>
  <c r="Z1270" i="13"/>
  <c r="Y1270" i="13"/>
  <c r="X1270" i="13"/>
  <c r="W1270" i="13"/>
  <c r="U1270" i="13"/>
  <c r="T1270" i="13"/>
  <c r="S1270" i="13"/>
  <c r="R1270" i="13"/>
  <c r="Q1270" i="13"/>
  <c r="P1270" i="13"/>
  <c r="O1270" i="13"/>
  <c r="N1270" i="13"/>
  <c r="M1270" i="13"/>
  <c r="L1270" i="13"/>
  <c r="J1270" i="13"/>
  <c r="G1270" i="13"/>
  <c r="F1270" i="13"/>
  <c r="E1270" i="13"/>
  <c r="D1270" i="13"/>
  <c r="C1270" i="13"/>
  <c r="B1270" i="13"/>
  <c r="A1270" i="13"/>
  <c r="AG1269" i="13"/>
  <c r="AF1269" i="13"/>
  <c r="AE1269" i="13"/>
  <c r="AD1269" i="13"/>
  <c r="Z1269" i="13"/>
  <c r="Y1269" i="13"/>
  <c r="X1269" i="13"/>
  <c r="W1269" i="13"/>
  <c r="U1269" i="13"/>
  <c r="T1269" i="13"/>
  <c r="S1269" i="13"/>
  <c r="R1269" i="13"/>
  <c r="Q1269" i="13"/>
  <c r="P1269" i="13"/>
  <c r="O1269" i="13"/>
  <c r="N1269" i="13"/>
  <c r="M1269" i="13"/>
  <c r="L1269" i="13"/>
  <c r="J1269" i="13"/>
  <c r="G1269" i="13"/>
  <c r="F1269" i="13"/>
  <c r="E1269" i="13"/>
  <c r="D1269" i="13"/>
  <c r="C1269" i="13"/>
  <c r="B1269" i="13"/>
  <c r="A1269" i="13"/>
  <c r="AG1268" i="13"/>
  <c r="AF1268" i="13"/>
  <c r="AE1268" i="13"/>
  <c r="AD1268" i="13"/>
  <c r="Z1268" i="13"/>
  <c r="Y1268" i="13"/>
  <c r="X1268" i="13"/>
  <c r="W1268" i="13"/>
  <c r="U1268" i="13"/>
  <c r="T1268" i="13"/>
  <c r="S1268" i="13"/>
  <c r="R1268" i="13"/>
  <c r="Q1268" i="13"/>
  <c r="P1268" i="13"/>
  <c r="O1268" i="13"/>
  <c r="N1268" i="13"/>
  <c r="M1268" i="13"/>
  <c r="L1268" i="13"/>
  <c r="J1268" i="13"/>
  <c r="G1268" i="13"/>
  <c r="F1268" i="13"/>
  <c r="E1268" i="13"/>
  <c r="D1268" i="13"/>
  <c r="C1268" i="13"/>
  <c r="B1268" i="13"/>
  <c r="A1268" i="13"/>
  <c r="AG1267" i="13"/>
  <c r="AF1267" i="13"/>
  <c r="AE1267" i="13"/>
  <c r="AD1267" i="13"/>
  <c r="Z1267" i="13"/>
  <c r="Y1267" i="13"/>
  <c r="X1267" i="13"/>
  <c r="W1267" i="13"/>
  <c r="U1267" i="13"/>
  <c r="T1267" i="13"/>
  <c r="S1267" i="13"/>
  <c r="R1267" i="13"/>
  <c r="Q1267" i="13"/>
  <c r="P1267" i="13"/>
  <c r="O1267" i="13"/>
  <c r="N1267" i="13"/>
  <c r="M1267" i="13"/>
  <c r="L1267" i="13"/>
  <c r="J1267" i="13"/>
  <c r="G1267" i="13"/>
  <c r="F1267" i="13"/>
  <c r="E1267" i="13"/>
  <c r="D1267" i="13"/>
  <c r="C1267" i="13"/>
  <c r="B1267" i="13"/>
  <c r="A1267" i="13"/>
  <c r="AG1266" i="13"/>
  <c r="AF1266" i="13"/>
  <c r="AE1266" i="13"/>
  <c r="AD1266" i="13"/>
  <c r="Z1266" i="13"/>
  <c r="Y1266" i="13"/>
  <c r="X1266" i="13"/>
  <c r="W1266" i="13"/>
  <c r="U1266" i="13"/>
  <c r="T1266" i="13"/>
  <c r="S1266" i="13"/>
  <c r="R1266" i="13"/>
  <c r="Q1266" i="13"/>
  <c r="P1266" i="13"/>
  <c r="O1266" i="13"/>
  <c r="N1266" i="13"/>
  <c r="M1266" i="13"/>
  <c r="L1266" i="13"/>
  <c r="J1266" i="13"/>
  <c r="G1266" i="13"/>
  <c r="F1266" i="13"/>
  <c r="E1266" i="13"/>
  <c r="D1266" i="13"/>
  <c r="C1266" i="13"/>
  <c r="B1266" i="13"/>
  <c r="A1266" i="13"/>
  <c r="AG1265" i="13"/>
  <c r="AF1265" i="13"/>
  <c r="AE1265" i="13"/>
  <c r="AD1265" i="13"/>
  <c r="Z1265" i="13"/>
  <c r="Y1265" i="13"/>
  <c r="X1265" i="13"/>
  <c r="W1265" i="13"/>
  <c r="U1265" i="13"/>
  <c r="T1265" i="13"/>
  <c r="S1265" i="13"/>
  <c r="R1265" i="13"/>
  <c r="Q1265" i="13"/>
  <c r="P1265" i="13"/>
  <c r="O1265" i="13"/>
  <c r="N1265" i="13"/>
  <c r="M1265" i="13"/>
  <c r="L1265" i="13"/>
  <c r="J1265" i="13"/>
  <c r="G1265" i="13"/>
  <c r="F1265" i="13"/>
  <c r="E1265" i="13"/>
  <c r="D1265" i="13"/>
  <c r="C1265" i="13"/>
  <c r="B1265" i="13"/>
  <c r="A1265" i="13"/>
  <c r="AG1264" i="13"/>
  <c r="AF1264" i="13"/>
  <c r="AE1264" i="13"/>
  <c r="AD1264" i="13"/>
  <c r="Z1264" i="13"/>
  <c r="Y1264" i="13"/>
  <c r="X1264" i="13"/>
  <c r="W1264" i="13"/>
  <c r="U1264" i="13"/>
  <c r="T1264" i="13"/>
  <c r="S1264" i="13"/>
  <c r="R1264" i="13"/>
  <c r="Q1264" i="13"/>
  <c r="P1264" i="13"/>
  <c r="O1264" i="13"/>
  <c r="N1264" i="13"/>
  <c r="M1264" i="13"/>
  <c r="L1264" i="13"/>
  <c r="J1264" i="13"/>
  <c r="G1264" i="13"/>
  <c r="F1264" i="13"/>
  <c r="E1264" i="13"/>
  <c r="D1264" i="13"/>
  <c r="C1264" i="13"/>
  <c r="B1264" i="13"/>
  <c r="A1264" i="13"/>
  <c r="AG1263" i="13"/>
  <c r="AF1263" i="13"/>
  <c r="AE1263" i="13"/>
  <c r="AD1263" i="13"/>
  <c r="Z1263" i="13"/>
  <c r="Y1263" i="13"/>
  <c r="X1263" i="13"/>
  <c r="W1263" i="13"/>
  <c r="U1263" i="13"/>
  <c r="T1263" i="13"/>
  <c r="S1263" i="13"/>
  <c r="R1263" i="13"/>
  <c r="Q1263" i="13"/>
  <c r="P1263" i="13"/>
  <c r="O1263" i="13"/>
  <c r="N1263" i="13"/>
  <c r="M1263" i="13"/>
  <c r="L1263" i="13"/>
  <c r="J1263" i="13"/>
  <c r="G1263" i="13"/>
  <c r="F1263" i="13"/>
  <c r="E1263" i="13"/>
  <c r="D1263" i="13"/>
  <c r="C1263" i="13"/>
  <c r="B1263" i="13"/>
  <c r="A1263" i="13"/>
  <c r="AG1262" i="13"/>
  <c r="AF1262" i="13"/>
  <c r="AE1262" i="13"/>
  <c r="AD1262" i="13"/>
  <c r="Z1262" i="13"/>
  <c r="Y1262" i="13"/>
  <c r="X1262" i="13"/>
  <c r="W1262" i="13"/>
  <c r="U1262" i="13"/>
  <c r="T1262" i="13"/>
  <c r="S1262" i="13"/>
  <c r="R1262" i="13"/>
  <c r="Q1262" i="13"/>
  <c r="P1262" i="13"/>
  <c r="O1262" i="13"/>
  <c r="N1262" i="13"/>
  <c r="M1262" i="13"/>
  <c r="L1262" i="13"/>
  <c r="J1262" i="13"/>
  <c r="G1262" i="13"/>
  <c r="F1262" i="13"/>
  <c r="E1262" i="13"/>
  <c r="D1262" i="13"/>
  <c r="C1262" i="13"/>
  <c r="B1262" i="13"/>
  <c r="A1262" i="13"/>
  <c r="AG1261" i="13"/>
  <c r="AF1261" i="13"/>
  <c r="AE1261" i="13"/>
  <c r="AD1261" i="13"/>
  <c r="Z1261" i="13"/>
  <c r="Y1261" i="13"/>
  <c r="X1261" i="13"/>
  <c r="W1261" i="13"/>
  <c r="U1261" i="13"/>
  <c r="T1261" i="13"/>
  <c r="S1261" i="13"/>
  <c r="R1261" i="13"/>
  <c r="Q1261" i="13"/>
  <c r="P1261" i="13"/>
  <c r="O1261" i="13"/>
  <c r="N1261" i="13"/>
  <c r="M1261" i="13"/>
  <c r="L1261" i="13"/>
  <c r="J1261" i="13"/>
  <c r="G1261" i="13"/>
  <c r="F1261" i="13"/>
  <c r="E1261" i="13"/>
  <c r="D1261" i="13"/>
  <c r="C1261" i="13"/>
  <c r="B1261" i="13"/>
  <c r="A1261" i="13"/>
  <c r="AG1260" i="13"/>
  <c r="AF1260" i="13"/>
  <c r="AE1260" i="13"/>
  <c r="AD1260" i="13"/>
  <c r="Z1260" i="13"/>
  <c r="Y1260" i="13"/>
  <c r="X1260" i="13"/>
  <c r="W1260" i="13"/>
  <c r="U1260" i="13"/>
  <c r="T1260" i="13"/>
  <c r="S1260" i="13"/>
  <c r="R1260" i="13"/>
  <c r="Q1260" i="13"/>
  <c r="P1260" i="13"/>
  <c r="O1260" i="13"/>
  <c r="N1260" i="13"/>
  <c r="M1260" i="13"/>
  <c r="L1260" i="13"/>
  <c r="J1260" i="13"/>
  <c r="G1260" i="13"/>
  <c r="F1260" i="13"/>
  <c r="E1260" i="13"/>
  <c r="D1260" i="13"/>
  <c r="C1260" i="13"/>
  <c r="B1260" i="13"/>
  <c r="A1260" i="13"/>
  <c r="AG1259" i="13"/>
  <c r="AF1259" i="13"/>
  <c r="AE1259" i="13"/>
  <c r="AD1259" i="13"/>
  <c r="Z1259" i="13"/>
  <c r="Y1259" i="13"/>
  <c r="X1259" i="13"/>
  <c r="W1259" i="13"/>
  <c r="U1259" i="13"/>
  <c r="T1259" i="13"/>
  <c r="S1259" i="13"/>
  <c r="R1259" i="13"/>
  <c r="Q1259" i="13"/>
  <c r="P1259" i="13"/>
  <c r="O1259" i="13"/>
  <c r="N1259" i="13"/>
  <c r="M1259" i="13"/>
  <c r="L1259" i="13"/>
  <c r="J1259" i="13"/>
  <c r="G1259" i="13"/>
  <c r="F1259" i="13"/>
  <c r="E1259" i="13"/>
  <c r="D1259" i="13"/>
  <c r="C1259" i="13"/>
  <c r="B1259" i="13"/>
  <c r="A1259" i="13"/>
  <c r="AG1258" i="13"/>
  <c r="AF1258" i="13"/>
  <c r="AE1258" i="13"/>
  <c r="AD1258" i="13"/>
  <c r="Z1258" i="13"/>
  <c r="Y1258" i="13"/>
  <c r="X1258" i="13"/>
  <c r="W1258" i="13"/>
  <c r="U1258" i="13"/>
  <c r="T1258" i="13"/>
  <c r="S1258" i="13"/>
  <c r="R1258" i="13"/>
  <c r="Q1258" i="13"/>
  <c r="P1258" i="13"/>
  <c r="O1258" i="13"/>
  <c r="N1258" i="13"/>
  <c r="M1258" i="13"/>
  <c r="L1258" i="13"/>
  <c r="J1258" i="13"/>
  <c r="G1258" i="13"/>
  <c r="F1258" i="13"/>
  <c r="E1258" i="13"/>
  <c r="D1258" i="13"/>
  <c r="C1258" i="13"/>
  <c r="B1258" i="13"/>
  <c r="A1258" i="13"/>
  <c r="AG1257" i="13"/>
  <c r="AF1257" i="13"/>
  <c r="AE1257" i="13"/>
  <c r="AD1257" i="13"/>
  <c r="Z1257" i="13"/>
  <c r="Y1257" i="13"/>
  <c r="X1257" i="13"/>
  <c r="W1257" i="13"/>
  <c r="U1257" i="13"/>
  <c r="T1257" i="13"/>
  <c r="S1257" i="13"/>
  <c r="R1257" i="13"/>
  <c r="Q1257" i="13"/>
  <c r="P1257" i="13"/>
  <c r="O1257" i="13"/>
  <c r="N1257" i="13"/>
  <c r="M1257" i="13"/>
  <c r="L1257" i="13"/>
  <c r="J1257" i="13"/>
  <c r="G1257" i="13"/>
  <c r="F1257" i="13"/>
  <c r="E1257" i="13"/>
  <c r="D1257" i="13"/>
  <c r="C1257" i="13"/>
  <c r="B1257" i="13"/>
  <c r="A1257" i="13"/>
  <c r="AG1256" i="13"/>
  <c r="AF1256" i="13"/>
  <c r="AE1256" i="13"/>
  <c r="AD1256" i="13"/>
  <c r="Z1256" i="13"/>
  <c r="Y1256" i="13"/>
  <c r="X1256" i="13"/>
  <c r="W1256" i="13"/>
  <c r="U1256" i="13"/>
  <c r="T1256" i="13"/>
  <c r="S1256" i="13"/>
  <c r="R1256" i="13"/>
  <c r="Q1256" i="13"/>
  <c r="P1256" i="13"/>
  <c r="O1256" i="13"/>
  <c r="N1256" i="13"/>
  <c r="M1256" i="13"/>
  <c r="L1256" i="13"/>
  <c r="J1256" i="13"/>
  <c r="G1256" i="13"/>
  <c r="F1256" i="13"/>
  <c r="E1256" i="13"/>
  <c r="D1256" i="13"/>
  <c r="C1256" i="13"/>
  <c r="B1256" i="13"/>
  <c r="A1256" i="13"/>
  <c r="AG1255" i="13"/>
  <c r="AF1255" i="13"/>
  <c r="AE1255" i="13"/>
  <c r="AD1255" i="13"/>
  <c r="Z1255" i="13"/>
  <c r="Y1255" i="13"/>
  <c r="X1255" i="13"/>
  <c r="W1255" i="13"/>
  <c r="U1255" i="13"/>
  <c r="T1255" i="13"/>
  <c r="S1255" i="13"/>
  <c r="R1255" i="13"/>
  <c r="Q1255" i="13"/>
  <c r="P1255" i="13"/>
  <c r="O1255" i="13"/>
  <c r="N1255" i="13"/>
  <c r="M1255" i="13"/>
  <c r="L1255" i="13"/>
  <c r="J1255" i="13"/>
  <c r="G1255" i="13"/>
  <c r="F1255" i="13"/>
  <c r="E1255" i="13"/>
  <c r="D1255" i="13"/>
  <c r="C1255" i="13"/>
  <c r="B1255" i="13"/>
  <c r="A1255" i="13"/>
  <c r="AG1254" i="13"/>
  <c r="AF1254" i="13"/>
  <c r="AE1254" i="13"/>
  <c r="AD1254" i="13"/>
  <c r="Z1254" i="13"/>
  <c r="Y1254" i="13"/>
  <c r="X1254" i="13"/>
  <c r="W1254" i="13"/>
  <c r="U1254" i="13"/>
  <c r="T1254" i="13"/>
  <c r="S1254" i="13"/>
  <c r="R1254" i="13"/>
  <c r="Q1254" i="13"/>
  <c r="P1254" i="13"/>
  <c r="O1254" i="13"/>
  <c r="N1254" i="13"/>
  <c r="M1254" i="13"/>
  <c r="L1254" i="13"/>
  <c r="J1254" i="13"/>
  <c r="G1254" i="13"/>
  <c r="F1254" i="13"/>
  <c r="E1254" i="13"/>
  <c r="D1254" i="13"/>
  <c r="C1254" i="13"/>
  <c r="B1254" i="13"/>
  <c r="A1254" i="13"/>
  <c r="AG1253" i="13"/>
  <c r="AF1253" i="13"/>
  <c r="AE1253" i="13"/>
  <c r="AD1253" i="13"/>
  <c r="Z1253" i="13"/>
  <c r="Y1253" i="13"/>
  <c r="X1253" i="13"/>
  <c r="W1253" i="13"/>
  <c r="U1253" i="13"/>
  <c r="T1253" i="13"/>
  <c r="S1253" i="13"/>
  <c r="R1253" i="13"/>
  <c r="Q1253" i="13"/>
  <c r="P1253" i="13"/>
  <c r="O1253" i="13"/>
  <c r="N1253" i="13"/>
  <c r="M1253" i="13"/>
  <c r="L1253" i="13"/>
  <c r="J1253" i="13"/>
  <c r="G1253" i="13"/>
  <c r="F1253" i="13"/>
  <c r="E1253" i="13"/>
  <c r="D1253" i="13"/>
  <c r="C1253" i="13"/>
  <c r="B1253" i="13"/>
  <c r="A1253" i="13"/>
  <c r="AG1252" i="13"/>
  <c r="AF1252" i="13"/>
  <c r="AE1252" i="13"/>
  <c r="AD1252" i="13"/>
  <c r="Z1252" i="13"/>
  <c r="Y1252" i="13"/>
  <c r="X1252" i="13"/>
  <c r="W1252" i="13"/>
  <c r="U1252" i="13"/>
  <c r="T1252" i="13"/>
  <c r="S1252" i="13"/>
  <c r="R1252" i="13"/>
  <c r="Q1252" i="13"/>
  <c r="P1252" i="13"/>
  <c r="O1252" i="13"/>
  <c r="N1252" i="13"/>
  <c r="M1252" i="13"/>
  <c r="L1252" i="13"/>
  <c r="J1252" i="13"/>
  <c r="G1252" i="13"/>
  <c r="F1252" i="13"/>
  <c r="E1252" i="13"/>
  <c r="D1252" i="13"/>
  <c r="C1252" i="13"/>
  <c r="B1252" i="13"/>
  <c r="A1252" i="13"/>
  <c r="AG1251" i="13"/>
  <c r="AF1251" i="13"/>
  <c r="AE1251" i="13"/>
  <c r="AD1251" i="13"/>
  <c r="Z1251" i="13"/>
  <c r="Y1251" i="13"/>
  <c r="X1251" i="13"/>
  <c r="W1251" i="13"/>
  <c r="U1251" i="13"/>
  <c r="T1251" i="13"/>
  <c r="S1251" i="13"/>
  <c r="R1251" i="13"/>
  <c r="Q1251" i="13"/>
  <c r="P1251" i="13"/>
  <c r="O1251" i="13"/>
  <c r="N1251" i="13"/>
  <c r="M1251" i="13"/>
  <c r="L1251" i="13"/>
  <c r="J1251" i="13"/>
  <c r="G1251" i="13"/>
  <c r="F1251" i="13"/>
  <c r="E1251" i="13"/>
  <c r="D1251" i="13"/>
  <c r="C1251" i="13"/>
  <c r="B1251" i="13"/>
  <c r="A1251" i="13"/>
  <c r="AG1250" i="13"/>
  <c r="AF1250" i="13"/>
  <c r="AE1250" i="13"/>
  <c r="AD1250" i="13"/>
  <c r="Z1250" i="13"/>
  <c r="Y1250" i="13"/>
  <c r="X1250" i="13"/>
  <c r="W1250" i="13"/>
  <c r="U1250" i="13"/>
  <c r="T1250" i="13"/>
  <c r="S1250" i="13"/>
  <c r="R1250" i="13"/>
  <c r="Q1250" i="13"/>
  <c r="P1250" i="13"/>
  <c r="O1250" i="13"/>
  <c r="N1250" i="13"/>
  <c r="M1250" i="13"/>
  <c r="L1250" i="13"/>
  <c r="J1250" i="13"/>
  <c r="G1250" i="13"/>
  <c r="F1250" i="13"/>
  <c r="E1250" i="13"/>
  <c r="D1250" i="13"/>
  <c r="C1250" i="13"/>
  <c r="B1250" i="13"/>
  <c r="A1250" i="13"/>
  <c r="AG1249" i="13"/>
  <c r="AF1249" i="13"/>
  <c r="AE1249" i="13"/>
  <c r="AD1249" i="13"/>
  <c r="Z1249" i="13"/>
  <c r="Y1249" i="13"/>
  <c r="X1249" i="13"/>
  <c r="W1249" i="13"/>
  <c r="U1249" i="13"/>
  <c r="T1249" i="13"/>
  <c r="S1249" i="13"/>
  <c r="R1249" i="13"/>
  <c r="Q1249" i="13"/>
  <c r="P1249" i="13"/>
  <c r="O1249" i="13"/>
  <c r="N1249" i="13"/>
  <c r="M1249" i="13"/>
  <c r="L1249" i="13"/>
  <c r="J1249" i="13"/>
  <c r="G1249" i="13"/>
  <c r="F1249" i="13"/>
  <c r="E1249" i="13"/>
  <c r="D1249" i="13"/>
  <c r="C1249" i="13"/>
  <c r="B1249" i="13"/>
  <c r="A1249" i="13"/>
  <c r="AG1248" i="13"/>
  <c r="AF1248" i="13"/>
  <c r="AE1248" i="13"/>
  <c r="AD1248" i="13"/>
  <c r="Z1248" i="13"/>
  <c r="Y1248" i="13"/>
  <c r="X1248" i="13"/>
  <c r="W1248" i="13"/>
  <c r="U1248" i="13"/>
  <c r="T1248" i="13"/>
  <c r="S1248" i="13"/>
  <c r="R1248" i="13"/>
  <c r="Q1248" i="13"/>
  <c r="P1248" i="13"/>
  <c r="O1248" i="13"/>
  <c r="N1248" i="13"/>
  <c r="M1248" i="13"/>
  <c r="L1248" i="13"/>
  <c r="J1248" i="13"/>
  <c r="G1248" i="13"/>
  <c r="F1248" i="13"/>
  <c r="E1248" i="13"/>
  <c r="D1248" i="13"/>
  <c r="C1248" i="13"/>
  <c r="B1248" i="13"/>
  <c r="A1248" i="13"/>
  <c r="AG1247" i="13"/>
  <c r="AF1247" i="13"/>
  <c r="AE1247" i="13"/>
  <c r="AD1247" i="13"/>
  <c r="Z1247" i="13"/>
  <c r="Y1247" i="13"/>
  <c r="X1247" i="13"/>
  <c r="W1247" i="13"/>
  <c r="U1247" i="13"/>
  <c r="T1247" i="13"/>
  <c r="S1247" i="13"/>
  <c r="R1247" i="13"/>
  <c r="Q1247" i="13"/>
  <c r="P1247" i="13"/>
  <c r="O1247" i="13"/>
  <c r="N1247" i="13"/>
  <c r="M1247" i="13"/>
  <c r="L1247" i="13"/>
  <c r="J1247" i="13"/>
  <c r="G1247" i="13"/>
  <c r="F1247" i="13"/>
  <c r="E1247" i="13"/>
  <c r="D1247" i="13"/>
  <c r="C1247" i="13"/>
  <c r="B1247" i="13"/>
  <c r="A1247" i="13"/>
  <c r="AG1246" i="13"/>
  <c r="AF1246" i="13"/>
  <c r="AE1246" i="13"/>
  <c r="AD1246" i="13"/>
  <c r="Z1246" i="13"/>
  <c r="Y1246" i="13"/>
  <c r="X1246" i="13"/>
  <c r="W1246" i="13"/>
  <c r="U1246" i="13"/>
  <c r="T1246" i="13"/>
  <c r="S1246" i="13"/>
  <c r="R1246" i="13"/>
  <c r="Q1246" i="13"/>
  <c r="P1246" i="13"/>
  <c r="O1246" i="13"/>
  <c r="N1246" i="13"/>
  <c r="M1246" i="13"/>
  <c r="L1246" i="13"/>
  <c r="J1246" i="13"/>
  <c r="G1246" i="13"/>
  <c r="F1246" i="13"/>
  <c r="E1246" i="13"/>
  <c r="D1246" i="13"/>
  <c r="C1246" i="13"/>
  <c r="B1246" i="13"/>
  <c r="A1246" i="13"/>
  <c r="AG1245" i="13"/>
  <c r="AF1245" i="13"/>
  <c r="AE1245" i="13"/>
  <c r="AD1245" i="13"/>
  <c r="Z1245" i="13"/>
  <c r="Y1245" i="13"/>
  <c r="X1245" i="13"/>
  <c r="W1245" i="13"/>
  <c r="U1245" i="13"/>
  <c r="T1245" i="13"/>
  <c r="S1245" i="13"/>
  <c r="R1245" i="13"/>
  <c r="Q1245" i="13"/>
  <c r="P1245" i="13"/>
  <c r="O1245" i="13"/>
  <c r="N1245" i="13"/>
  <c r="M1245" i="13"/>
  <c r="L1245" i="13"/>
  <c r="J1245" i="13"/>
  <c r="G1245" i="13"/>
  <c r="F1245" i="13"/>
  <c r="E1245" i="13"/>
  <c r="D1245" i="13"/>
  <c r="C1245" i="13"/>
  <c r="B1245" i="13"/>
  <c r="A1245" i="13"/>
  <c r="AG1244" i="13"/>
  <c r="AF1244" i="13"/>
  <c r="AE1244" i="13"/>
  <c r="AD1244" i="13"/>
  <c r="Z1244" i="13"/>
  <c r="Y1244" i="13"/>
  <c r="X1244" i="13"/>
  <c r="W1244" i="13"/>
  <c r="U1244" i="13"/>
  <c r="T1244" i="13"/>
  <c r="S1244" i="13"/>
  <c r="R1244" i="13"/>
  <c r="Q1244" i="13"/>
  <c r="P1244" i="13"/>
  <c r="O1244" i="13"/>
  <c r="N1244" i="13"/>
  <c r="M1244" i="13"/>
  <c r="L1244" i="13"/>
  <c r="J1244" i="13"/>
  <c r="G1244" i="13"/>
  <c r="F1244" i="13"/>
  <c r="E1244" i="13"/>
  <c r="D1244" i="13"/>
  <c r="C1244" i="13"/>
  <c r="B1244" i="13"/>
  <c r="A1244" i="13"/>
  <c r="AG1243" i="13"/>
  <c r="AF1243" i="13"/>
  <c r="AE1243" i="13"/>
  <c r="AD1243" i="13"/>
  <c r="Z1243" i="13"/>
  <c r="Y1243" i="13"/>
  <c r="X1243" i="13"/>
  <c r="W1243" i="13"/>
  <c r="U1243" i="13"/>
  <c r="T1243" i="13"/>
  <c r="S1243" i="13"/>
  <c r="R1243" i="13"/>
  <c r="Q1243" i="13"/>
  <c r="P1243" i="13"/>
  <c r="O1243" i="13"/>
  <c r="N1243" i="13"/>
  <c r="M1243" i="13"/>
  <c r="L1243" i="13"/>
  <c r="J1243" i="13"/>
  <c r="G1243" i="13"/>
  <c r="F1243" i="13"/>
  <c r="E1243" i="13"/>
  <c r="D1243" i="13"/>
  <c r="C1243" i="13"/>
  <c r="B1243" i="13"/>
  <c r="A1243" i="13"/>
  <c r="AG1242" i="13"/>
  <c r="AF1242" i="13"/>
  <c r="AE1242" i="13"/>
  <c r="AD1242" i="13"/>
  <c r="Z1242" i="13"/>
  <c r="Y1242" i="13"/>
  <c r="X1242" i="13"/>
  <c r="W1242" i="13"/>
  <c r="U1242" i="13"/>
  <c r="T1242" i="13"/>
  <c r="S1242" i="13"/>
  <c r="R1242" i="13"/>
  <c r="Q1242" i="13"/>
  <c r="P1242" i="13"/>
  <c r="O1242" i="13"/>
  <c r="N1242" i="13"/>
  <c r="M1242" i="13"/>
  <c r="L1242" i="13"/>
  <c r="J1242" i="13"/>
  <c r="G1242" i="13"/>
  <c r="F1242" i="13"/>
  <c r="E1242" i="13"/>
  <c r="D1242" i="13"/>
  <c r="C1242" i="13"/>
  <c r="B1242" i="13"/>
  <c r="A1242" i="13"/>
  <c r="AG1241" i="13"/>
  <c r="AF1241" i="13"/>
  <c r="AE1241" i="13"/>
  <c r="AD1241" i="13"/>
  <c r="Z1241" i="13"/>
  <c r="Y1241" i="13"/>
  <c r="X1241" i="13"/>
  <c r="W1241" i="13"/>
  <c r="U1241" i="13"/>
  <c r="T1241" i="13"/>
  <c r="S1241" i="13"/>
  <c r="R1241" i="13"/>
  <c r="Q1241" i="13"/>
  <c r="P1241" i="13"/>
  <c r="O1241" i="13"/>
  <c r="N1241" i="13"/>
  <c r="M1241" i="13"/>
  <c r="L1241" i="13"/>
  <c r="J1241" i="13"/>
  <c r="G1241" i="13"/>
  <c r="F1241" i="13"/>
  <c r="E1241" i="13"/>
  <c r="D1241" i="13"/>
  <c r="C1241" i="13"/>
  <c r="B1241" i="13"/>
  <c r="A1241" i="13"/>
  <c r="AG1240" i="13"/>
  <c r="AF1240" i="13"/>
  <c r="AE1240" i="13"/>
  <c r="AD1240" i="13"/>
  <c r="Z1240" i="13"/>
  <c r="Y1240" i="13"/>
  <c r="X1240" i="13"/>
  <c r="W1240" i="13"/>
  <c r="U1240" i="13"/>
  <c r="T1240" i="13"/>
  <c r="S1240" i="13"/>
  <c r="R1240" i="13"/>
  <c r="Q1240" i="13"/>
  <c r="P1240" i="13"/>
  <c r="O1240" i="13"/>
  <c r="N1240" i="13"/>
  <c r="M1240" i="13"/>
  <c r="L1240" i="13"/>
  <c r="J1240" i="13"/>
  <c r="G1240" i="13"/>
  <c r="F1240" i="13"/>
  <c r="E1240" i="13"/>
  <c r="D1240" i="13"/>
  <c r="C1240" i="13"/>
  <c r="B1240" i="13"/>
  <c r="A1240" i="13"/>
  <c r="AG1239" i="13"/>
  <c r="AF1239" i="13"/>
  <c r="AE1239" i="13"/>
  <c r="AD1239" i="13"/>
  <c r="Z1239" i="13"/>
  <c r="Y1239" i="13"/>
  <c r="X1239" i="13"/>
  <c r="W1239" i="13"/>
  <c r="U1239" i="13"/>
  <c r="T1239" i="13"/>
  <c r="S1239" i="13"/>
  <c r="R1239" i="13"/>
  <c r="Q1239" i="13"/>
  <c r="P1239" i="13"/>
  <c r="O1239" i="13"/>
  <c r="N1239" i="13"/>
  <c r="M1239" i="13"/>
  <c r="L1239" i="13"/>
  <c r="J1239" i="13"/>
  <c r="G1239" i="13"/>
  <c r="F1239" i="13"/>
  <c r="E1239" i="13"/>
  <c r="D1239" i="13"/>
  <c r="C1239" i="13"/>
  <c r="B1239" i="13"/>
  <c r="A1239" i="13"/>
  <c r="AG1238" i="13"/>
  <c r="AF1238" i="13"/>
  <c r="AE1238" i="13"/>
  <c r="AD1238" i="13"/>
  <c r="Z1238" i="13"/>
  <c r="Y1238" i="13"/>
  <c r="X1238" i="13"/>
  <c r="W1238" i="13"/>
  <c r="U1238" i="13"/>
  <c r="T1238" i="13"/>
  <c r="S1238" i="13"/>
  <c r="R1238" i="13"/>
  <c r="Q1238" i="13"/>
  <c r="P1238" i="13"/>
  <c r="O1238" i="13"/>
  <c r="N1238" i="13"/>
  <c r="M1238" i="13"/>
  <c r="L1238" i="13"/>
  <c r="J1238" i="13"/>
  <c r="G1238" i="13"/>
  <c r="F1238" i="13"/>
  <c r="E1238" i="13"/>
  <c r="D1238" i="13"/>
  <c r="C1238" i="13"/>
  <c r="B1238" i="13"/>
  <c r="A1238" i="13"/>
  <c r="AG1237" i="13"/>
  <c r="AF1237" i="13"/>
  <c r="AE1237" i="13"/>
  <c r="AD1237" i="13"/>
  <c r="Z1237" i="13"/>
  <c r="Y1237" i="13"/>
  <c r="X1237" i="13"/>
  <c r="W1237" i="13"/>
  <c r="U1237" i="13"/>
  <c r="T1237" i="13"/>
  <c r="S1237" i="13"/>
  <c r="R1237" i="13"/>
  <c r="Q1237" i="13"/>
  <c r="P1237" i="13"/>
  <c r="O1237" i="13"/>
  <c r="N1237" i="13"/>
  <c r="M1237" i="13"/>
  <c r="L1237" i="13"/>
  <c r="J1237" i="13"/>
  <c r="G1237" i="13"/>
  <c r="F1237" i="13"/>
  <c r="E1237" i="13"/>
  <c r="D1237" i="13"/>
  <c r="C1237" i="13"/>
  <c r="B1237" i="13"/>
  <c r="A1237" i="13"/>
  <c r="AG1236" i="13"/>
  <c r="AF1236" i="13"/>
  <c r="AE1236" i="13"/>
  <c r="AD1236" i="13"/>
  <c r="Z1236" i="13"/>
  <c r="Y1236" i="13"/>
  <c r="X1236" i="13"/>
  <c r="W1236" i="13"/>
  <c r="U1236" i="13"/>
  <c r="T1236" i="13"/>
  <c r="S1236" i="13"/>
  <c r="R1236" i="13"/>
  <c r="Q1236" i="13"/>
  <c r="P1236" i="13"/>
  <c r="O1236" i="13"/>
  <c r="N1236" i="13"/>
  <c r="M1236" i="13"/>
  <c r="L1236" i="13"/>
  <c r="J1236" i="13"/>
  <c r="G1236" i="13"/>
  <c r="F1236" i="13"/>
  <c r="E1236" i="13"/>
  <c r="D1236" i="13"/>
  <c r="C1236" i="13"/>
  <c r="B1236" i="13"/>
  <c r="A1236" i="13"/>
  <c r="AG1235" i="13"/>
  <c r="AF1235" i="13"/>
  <c r="AE1235" i="13"/>
  <c r="AD1235" i="13"/>
  <c r="Z1235" i="13"/>
  <c r="Y1235" i="13"/>
  <c r="X1235" i="13"/>
  <c r="W1235" i="13"/>
  <c r="U1235" i="13"/>
  <c r="T1235" i="13"/>
  <c r="S1235" i="13"/>
  <c r="R1235" i="13"/>
  <c r="Q1235" i="13"/>
  <c r="P1235" i="13"/>
  <c r="O1235" i="13"/>
  <c r="N1235" i="13"/>
  <c r="M1235" i="13"/>
  <c r="L1235" i="13"/>
  <c r="J1235" i="13"/>
  <c r="G1235" i="13"/>
  <c r="F1235" i="13"/>
  <c r="E1235" i="13"/>
  <c r="D1235" i="13"/>
  <c r="C1235" i="13"/>
  <c r="B1235" i="13"/>
  <c r="A1235" i="13"/>
  <c r="AG1234" i="13"/>
  <c r="AF1234" i="13"/>
  <c r="AE1234" i="13"/>
  <c r="AD1234" i="13"/>
  <c r="Z1234" i="13"/>
  <c r="Y1234" i="13"/>
  <c r="X1234" i="13"/>
  <c r="U1234" i="13"/>
  <c r="T1234" i="13"/>
  <c r="S1234" i="13"/>
  <c r="R1234" i="13"/>
  <c r="Q1234" i="13"/>
  <c r="O1234" i="13"/>
  <c r="N1234" i="13"/>
  <c r="M1234" i="13"/>
  <c r="L1234" i="13"/>
  <c r="F1234" i="13"/>
  <c r="E1234" i="13"/>
  <c r="D1234" i="13"/>
  <c r="C1234" i="13"/>
  <c r="B1234" i="13"/>
  <c r="A1234" i="13"/>
  <c r="AG1233" i="13"/>
  <c r="AF1233" i="13"/>
  <c r="AE1233" i="13"/>
  <c r="AD1233" i="13"/>
  <c r="Z1233" i="13"/>
  <c r="Y1233" i="13"/>
  <c r="X1233" i="13"/>
  <c r="U1233" i="13"/>
  <c r="T1233" i="13"/>
  <c r="S1233" i="13"/>
  <c r="R1233" i="13"/>
  <c r="Q1233" i="13"/>
  <c r="O1233" i="13"/>
  <c r="N1233" i="13"/>
  <c r="M1233" i="13"/>
  <c r="L1233" i="13"/>
  <c r="F1233" i="13"/>
  <c r="E1233" i="13"/>
  <c r="D1233" i="13"/>
  <c r="C1233" i="13"/>
  <c r="B1233" i="13"/>
  <c r="A1233" i="13"/>
  <c r="AG1232" i="13"/>
  <c r="AF1232" i="13"/>
  <c r="AE1232" i="13"/>
  <c r="AD1232" i="13"/>
  <c r="Z1232" i="13"/>
  <c r="Y1232" i="13"/>
  <c r="X1232" i="13"/>
  <c r="U1232" i="13"/>
  <c r="T1232" i="13"/>
  <c r="S1232" i="13"/>
  <c r="R1232" i="13"/>
  <c r="Q1232" i="13"/>
  <c r="O1232" i="13"/>
  <c r="N1232" i="13"/>
  <c r="M1232" i="13"/>
  <c r="L1232" i="13"/>
  <c r="F1232" i="13"/>
  <c r="E1232" i="13"/>
  <c r="D1232" i="13"/>
  <c r="C1232" i="13"/>
  <c r="B1232" i="13"/>
  <c r="A1232" i="13"/>
  <c r="AG1231" i="13"/>
  <c r="AF1231" i="13"/>
  <c r="AE1231" i="13"/>
  <c r="AD1231" i="13"/>
  <c r="Z1231" i="13"/>
  <c r="Y1231" i="13"/>
  <c r="X1231" i="13"/>
  <c r="U1231" i="13"/>
  <c r="T1231" i="13"/>
  <c r="S1231" i="13"/>
  <c r="R1231" i="13"/>
  <c r="Q1231" i="13"/>
  <c r="O1231" i="13"/>
  <c r="N1231" i="13"/>
  <c r="M1231" i="13"/>
  <c r="L1231" i="13"/>
  <c r="F1231" i="13"/>
  <c r="E1231" i="13"/>
  <c r="D1231" i="13"/>
  <c r="C1231" i="13"/>
  <c r="B1231" i="13"/>
  <c r="A1231" i="13"/>
  <c r="AG1230" i="13"/>
  <c r="AF1230" i="13"/>
  <c r="AE1230" i="13"/>
  <c r="AD1230" i="13"/>
  <c r="Z1230" i="13"/>
  <c r="Y1230" i="13"/>
  <c r="X1230" i="13"/>
  <c r="U1230" i="13"/>
  <c r="T1230" i="13"/>
  <c r="S1230" i="13"/>
  <c r="R1230" i="13"/>
  <c r="Q1230" i="13"/>
  <c r="O1230" i="13"/>
  <c r="N1230" i="13"/>
  <c r="M1230" i="13"/>
  <c r="L1230" i="13"/>
  <c r="F1230" i="13"/>
  <c r="E1230" i="13"/>
  <c r="D1230" i="13"/>
  <c r="C1230" i="13"/>
  <c r="B1230" i="13"/>
  <c r="A1230" i="13"/>
  <c r="AG1229" i="13"/>
  <c r="AF1229" i="13"/>
  <c r="AE1229" i="13"/>
  <c r="AD1229" i="13"/>
  <c r="Z1229" i="13"/>
  <c r="Y1229" i="13"/>
  <c r="X1229" i="13"/>
  <c r="U1229" i="13"/>
  <c r="T1229" i="13"/>
  <c r="S1229" i="13"/>
  <c r="R1229" i="13"/>
  <c r="Q1229" i="13"/>
  <c r="O1229" i="13"/>
  <c r="N1229" i="13"/>
  <c r="M1229" i="13"/>
  <c r="L1229" i="13"/>
  <c r="F1229" i="13"/>
  <c r="E1229" i="13"/>
  <c r="D1229" i="13"/>
  <c r="C1229" i="13"/>
  <c r="B1229" i="13"/>
  <c r="A1229" i="13"/>
  <c r="AG1228" i="13"/>
  <c r="AF1228" i="13"/>
  <c r="AE1228" i="13"/>
  <c r="AD1228" i="13"/>
  <c r="Z1228" i="13"/>
  <c r="Y1228" i="13"/>
  <c r="X1228" i="13"/>
  <c r="U1228" i="13"/>
  <c r="T1228" i="13"/>
  <c r="S1228" i="13"/>
  <c r="R1228" i="13"/>
  <c r="Q1228" i="13"/>
  <c r="O1228" i="13"/>
  <c r="N1228" i="13"/>
  <c r="M1228" i="13"/>
  <c r="L1228" i="13"/>
  <c r="F1228" i="13"/>
  <c r="E1228" i="13"/>
  <c r="D1228" i="13"/>
  <c r="C1228" i="13"/>
  <c r="B1228" i="13"/>
  <c r="A1228" i="13"/>
  <c r="AG1227" i="13"/>
  <c r="AF1227" i="13"/>
  <c r="AE1227" i="13"/>
  <c r="AD1227" i="13"/>
  <c r="Z1227" i="13"/>
  <c r="Y1227" i="13"/>
  <c r="X1227" i="13"/>
  <c r="U1227" i="13"/>
  <c r="T1227" i="13"/>
  <c r="S1227" i="13"/>
  <c r="R1227" i="13"/>
  <c r="Q1227" i="13"/>
  <c r="O1227" i="13"/>
  <c r="N1227" i="13"/>
  <c r="M1227" i="13"/>
  <c r="L1227" i="13"/>
  <c r="F1227" i="13"/>
  <c r="E1227" i="13"/>
  <c r="D1227" i="13"/>
  <c r="C1227" i="13"/>
  <c r="B1227" i="13"/>
  <c r="A1227" i="13"/>
  <c r="AG1226" i="13"/>
  <c r="AF1226" i="13"/>
  <c r="AE1226" i="13"/>
  <c r="AD1226" i="13"/>
  <c r="Z1226" i="13"/>
  <c r="Y1226" i="13"/>
  <c r="X1226" i="13"/>
  <c r="W1226" i="13"/>
  <c r="U1226" i="13"/>
  <c r="T1226" i="13"/>
  <c r="S1226" i="13"/>
  <c r="R1226" i="13"/>
  <c r="Q1226" i="13"/>
  <c r="P1226" i="13"/>
  <c r="O1226" i="13"/>
  <c r="N1226" i="13"/>
  <c r="M1226" i="13"/>
  <c r="L1226" i="13"/>
  <c r="J1226" i="13"/>
  <c r="G1226" i="13"/>
  <c r="F1226" i="13"/>
  <c r="E1226" i="13"/>
  <c r="D1226" i="13"/>
  <c r="C1226" i="13"/>
  <c r="B1226" i="13"/>
  <c r="A1226" i="13"/>
  <c r="AG1225" i="13"/>
  <c r="AF1225" i="13"/>
  <c r="AE1225" i="13"/>
  <c r="AD1225" i="13"/>
  <c r="Z1225" i="13"/>
  <c r="Y1225" i="13"/>
  <c r="X1225" i="13"/>
  <c r="W1225" i="13"/>
  <c r="U1225" i="13"/>
  <c r="T1225" i="13"/>
  <c r="S1225" i="13"/>
  <c r="R1225" i="13"/>
  <c r="Q1225" i="13"/>
  <c r="P1225" i="13"/>
  <c r="O1225" i="13"/>
  <c r="N1225" i="13"/>
  <c r="M1225" i="13"/>
  <c r="L1225" i="13"/>
  <c r="J1225" i="13"/>
  <c r="G1225" i="13"/>
  <c r="F1225" i="13"/>
  <c r="E1225" i="13"/>
  <c r="D1225" i="13"/>
  <c r="C1225" i="13"/>
  <c r="B1225" i="13"/>
  <c r="A1225" i="13"/>
  <c r="AG1224" i="13"/>
  <c r="AF1224" i="13"/>
  <c r="AE1224" i="13"/>
  <c r="AD1224" i="13"/>
  <c r="Z1224" i="13"/>
  <c r="Y1224" i="13"/>
  <c r="X1224" i="13"/>
  <c r="W1224" i="13"/>
  <c r="U1224" i="13"/>
  <c r="T1224" i="13"/>
  <c r="S1224" i="13"/>
  <c r="R1224" i="13"/>
  <c r="Q1224" i="13"/>
  <c r="P1224" i="13"/>
  <c r="O1224" i="13"/>
  <c r="N1224" i="13"/>
  <c r="M1224" i="13"/>
  <c r="L1224" i="13"/>
  <c r="J1224" i="13"/>
  <c r="G1224" i="13"/>
  <c r="F1224" i="13"/>
  <c r="E1224" i="13"/>
  <c r="D1224" i="13"/>
  <c r="C1224" i="13"/>
  <c r="B1224" i="13"/>
  <c r="A1224" i="13"/>
  <c r="AG1223" i="13"/>
  <c r="AF1223" i="13"/>
  <c r="AE1223" i="13"/>
  <c r="AD1223" i="13"/>
  <c r="Z1223" i="13"/>
  <c r="Y1223" i="13"/>
  <c r="X1223" i="13"/>
  <c r="W1223" i="13"/>
  <c r="U1223" i="13"/>
  <c r="T1223" i="13"/>
  <c r="S1223" i="13"/>
  <c r="R1223" i="13"/>
  <c r="Q1223" i="13"/>
  <c r="P1223" i="13"/>
  <c r="O1223" i="13"/>
  <c r="N1223" i="13"/>
  <c r="M1223" i="13"/>
  <c r="L1223" i="13"/>
  <c r="J1223" i="13"/>
  <c r="G1223" i="13"/>
  <c r="F1223" i="13"/>
  <c r="E1223" i="13"/>
  <c r="D1223" i="13"/>
  <c r="C1223" i="13"/>
  <c r="B1223" i="13"/>
  <c r="A1223" i="13"/>
  <c r="AG1222" i="13"/>
  <c r="AF1222" i="13"/>
  <c r="AE1222" i="13"/>
  <c r="AD1222" i="13"/>
  <c r="Z1222" i="13"/>
  <c r="Y1222" i="13"/>
  <c r="X1222" i="13"/>
  <c r="W1222" i="13"/>
  <c r="U1222" i="13"/>
  <c r="T1222" i="13"/>
  <c r="S1222" i="13"/>
  <c r="R1222" i="13"/>
  <c r="Q1222" i="13"/>
  <c r="P1222" i="13"/>
  <c r="O1222" i="13"/>
  <c r="N1222" i="13"/>
  <c r="M1222" i="13"/>
  <c r="L1222" i="13"/>
  <c r="J1222" i="13"/>
  <c r="G1222" i="13"/>
  <c r="F1222" i="13"/>
  <c r="E1222" i="13"/>
  <c r="D1222" i="13"/>
  <c r="C1222" i="13"/>
  <c r="B1222" i="13"/>
  <c r="A1222" i="13"/>
  <c r="AG1221" i="13"/>
  <c r="AF1221" i="13"/>
  <c r="AE1221" i="13"/>
  <c r="AD1221" i="13"/>
  <c r="Z1221" i="13"/>
  <c r="Y1221" i="13"/>
  <c r="X1221" i="13"/>
  <c r="W1221" i="13"/>
  <c r="U1221" i="13"/>
  <c r="T1221" i="13"/>
  <c r="S1221" i="13"/>
  <c r="R1221" i="13"/>
  <c r="Q1221" i="13"/>
  <c r="P1221" i="13"/>
  <c r="O1221" i="13"/>
  <c r="N1221" i="13"/>
  <c r="M1221" i="13"/>
  <c r="L1221" i="13"/>
  <c r="J1221" i="13"/>
  <c r="G1221" i="13"/>
  <c r="F1221" i="13"/>
  <c r="E1221" i="13"/>
  <c r="D1221" i="13"/>
  <c r="C1221" i="13"/>
  <c r="B1221" i="13"/>
  <c r="A1221" i="13"/>
  <c r="AG1220" i="13"/>
  <c r="AF1220" i="13"/>
  <c r="AE1220" i="13"/>
  <c r="AD1220" i="13"/>
  <c r="Z1220" i="13"/>
  <c r="Y1220" i="13"/>
  <c r="X1220" i="13"/>
  <c r="W1220" i="13"/>
  <c r="U1220" i="13"/>
  <c r="T1220" i="13"/>
  <c r="S1220" i="13"/>
  <c r="R1220" i="13"/>
  <c r="Q1220" i="13"/>
  <c r="P1220" i="13"/>
  <c r="O1220" i="13"/>
  <c r="N1220" i="13"/>
  <c r="M1220" i="13"/>
  <c r="L1220" i="13"/>
  <c r="J1220" i="13"/>
  <c r="G1220" i="13"/>
  <c r="F1220" i="13"/>
  <c r="E1220" i="13"/>
  <c r="D1220" i="13"/>
  <c r="C1220" i="13"/>
  <c r="B1220" i="13"/>
  <c r="A1220" i="13"/>
  <c r="AG1219" i="13"/>
  <c r="AF1219" i="13"/>
  <c r="AE1219" i="13"/>
  <c r="AD1219" i="13"/>
  <c r="Z1219" i="13"/>
  <c r="Y1219" i="13"/>
  <c r="X1219" i="13"/>
  <c r="W1219" i="13"/>
  <c r="U1219" i="13"/>
  <c r="T1219" i="13"/>
  <c r="S1219" i="13"/>
  <c r="R1219" i="13"/>
  <c r="Q1219" i="13"/>
  <c r="P1219" i="13"/>
  <c r="O1219" i="13"/>
  <c r="N1219" i="13"/>
  <c r="M1219" i="13"/>
  <c r="L1219" i="13"/>
  <c r="J1219" i="13"/>
  <c r="G1219" i="13"/>
  <c r="F1219" i="13"/>
  <c r="E1219" i="13"/>
  <c r="D1219" i="13"/>
  <c r="C1219" i="13"/>
  <c r="B1219" i="13"/>
  <c r="A1219" i="13"/>
  <c r="AG1218" i="13"/>
  <c r="AF1218" i="13"/>
  <c r="AE1218" i="13"/>
  <c r="AD1218" i="13"/>
  <c r="Z1218" i="13"/>
  <c r="Y1218" i="13"/>
  <c r="X1218" i="13"/>
  <c r="W1218" i="13"/>
  <c r="U1218" i="13"/>
  <c r="T1218" i="13"/>
  <c r="S1218" i="13"/>
  <c r="R1218" i="13"/>
  <c r="Q1218" i="13"/>
  <c r="O1218" i="13"/>
  <c r="N1218" i="13"/>
  <c r="M1218" i="13"/>
  <c r="L1218" i="13"/>
  <c r="G1218" i="13"/>
  <c r="F1218" i="13"/>
  <c r="E1218" i="13"/>
  <c r="D1218" i="13"/>
  <c r="C1218" i="13"/>
  <c r="B1218" i="13"/>
  <c r="A1218" i="13"/>
  <c r="AG1217" i="13"/>
  <c r="AF1217" i="13"/>
  <c r="AE1217" i="13"/>
  <c r="AD1217" i="13"/>
  <c r="Z1217" i="13"/>
  <c r="Y1217" i="13"/>
  <c r="X1217" i="13"/>
  <c r="U1217" i="13"/>
  <c r="T1217" i="13"/>
  <c r="S1217" i="13"/>
  <c r="R1217" i="13"/>
  <c r="Q1217" i="13"/>
  <c r="O1217" i="13"/>
  <c r="N1217" i="13"/>
  <c r="M1217" i="13"/>
  <c r="L1217" i="13"/>
  <c r="F1217" i="13"/>
  <c r="E1217" i="13"/>
  <c r="D1217" i="13"/>
  <c r="C1217" i="13"/>
  <c r="B1217" i="13"/>
  <c r="A1217" i="13"/>
  <c r="AG1216" i="13"/>
  <c r="AF1216" i="13"/>
  <c r="AE1216" i="13"/>
  <c r="AD1216" i="13"/>
  <c r="Z1216" i="13"/>
  <c r="Y1216" i="13"/>
  <c r="X1216" i="13"/>
  <c r="W1216" i="13"/>
  <c r="U1216" i="13"/>
  <c r="T1216" i="13"/>
  <c r="S1216" i="13"/>
  <c r="R1216" i="13"/>
  <c r="Q1216" i="13"/>
  <c r="P1216" i="13"/>
  <c r="O1216" i="13"/>
  <c r="N1216" i="13"/>
  <c r="M1216" i="13"/>
  <c r="L1216" i="13"/>
  <c r="J1216" i="13"/>
  <c r="G1216" i="13"/>
  <c r="F1216" i="13"/>
  <c r="E1216" i="13"/>
  <c r="D1216" i="13"/>
  <c r="C1216" i="13"/>
  <c r="B1216" i="13"/>
  <c r="A1216" i="13"/>
  <c r="AG1215" i="13"/>
  <c r="AF1215" i="13"/>
  <c r="AE1215" i="13"/>
  <c r="AD1215" i="13"/>
  <c r="Z1215" i="13"/>
  <c r="Y1215" i="13"/>
  <c r="X1215" i="13"/>
  <c r="W1215" i="13"/>
  <c r="U1215" i="13"/>
  <c r="T1215" i="13"/>
  <c r="S1215" i="13"/>
  <c r="R1215" i="13"/>
  <c r="Q1215" i="13"/>
  <c r="P1215" i="13"/>
  <c r="O1215" i="13"/>
  <c r="N1215" i="13"/>
  <c r="M1215" i="13"/>
  <c r="L1215" i="13"/>
  <c r="J1215" i="13"/>
  <c r="G1215" i="13"/>
  <c r="F1215" i="13"/>
  <c r="E1215" i="13"/>
  <c r="D1215" i="13"/>
  <c r="C1215" i="13"/>
  <c r="B1215" i="13"/>
  <c r="A1215" i="13"/>
  <c r="AG1214" i="13"/>
  <c r="AF1214" i="13"/>
  <c r="AE1214" i="13"/>
  <c r="AD1214" i="13"/>
  <c r="Z1214" i="13"/>
  <c r="Y1214" i="13"/>
  <c r="X1214" i="13"/>
  <c r="W1214" i="13"/>
  <c r="U1214" i="13"/>
  <c r="T1214" i="13"/>
  <c r="S1214" i="13"/>
  <c r="R1214" i="13"/>
  <c r="Q1214" i="13"/>
  <c r="P1214" i="13"/>
  <c r="O1214" i="13"/>
  <c r="N1214" i="13"/>
  <c r="M1214" i="13"/>
  <c r="L1214" i="13"/>
  <c r="J1214" i="13"/>
  <c r="G1214" i="13"/>
  <c r="F1214" i="13"/>
  <c r="E1214" i="13"/>
  <c r="D1214" i="13"/>
  <c r="C1214" i="13"/>
  <c r="B1214" i="13"/>
  <c r="A1214" i="13"/>
  <c r="AG1213" i="13"/>
  <c r="AF1213" i="13"/>
  <c r="AE1213" i="13"/>
  <c r="AD1213" i="13"/>
  <c r="Z1213" i="13"/>
  <c r="Y1213" i="13"/>
  <c r="X1213" i="13"/>
  <c r="W1213" i="13"/>
  <c r="U1213" i="13"/>
  <c r="T1213" i="13"/>
  <c r="S1213" i="13"/>
  <c r="R1213" i="13"/>
  <c r="Q1213" i="13"/>
  <c r="P1213" i="13"/>
  <c r="O1213" i="13"/>
  <c r="N1213" i="13"/>
  <c r="M1213" i="13"/>
  <c r="L1213" i="13"/>
  <c r="J1213" i="13"/>
  <c r="G1213" i="13"/>
  <c r="F1213" i="13"/>
  <c r="E1213" i="13"/>
  <c r="D1213" i="13"/>
  <c r="C1213" i="13"/>
  <c r="B1213" i="13"/>
  <c r="A1213" i="13"/>
  <c r="AG1212" i="13"/>
  <c r="AF1212" i="13"/>
  <c r="AE1212" i="13"/>
  <c r="AD1212" i="13"/>
  <c r="Z1212" i="13"/>
  <c r="Y1212" i="13"/>
  <c r="X1212" i="13"/>
  <c r="W1212" i="13"/>
  <c r="U1212" i="13"/>
  <c r="T1212" i="13"/>
  <c r="S1212" i="13"/>
  <c r="R1212" i="13"/>
  <c r="Q1212" i="13"/>
  <c r="P1212" i="13"/>
  <c r="O1212" i="13"/>
  <c r="N1212" i="13"/>
  <c r="M1212" i="13"/>
  <c r="L1212" i="13"/>
  <c r="J1212" i="13"/>
  <c r="G1212" i="13"/>
  <c r="F1212" i="13"/>
  <c r="E1212" i="13"/>
  <c r="D1212" i="13"/>
  <c r="C1212" i="13"/>
  <c r="B1212" i="13"/>
  <c r="A1212" i="13"/>
  <c r="AG1211" i="13"/>
  <c r="AF1211" i="13"/>
  <c r="AE1211" i="13"/>
  <c r="AD1211" i="13"/>
  <c r="Z1211" i="13"/>
  <c r="Y1211" i="13"/>
  <c r="X1211" i="13"/>
  <c r="W1211" i="13"/>
  <c r="U1211" i="13"/>
  <c r="T1211" i="13"/>
  <c r="S1211" i="13"/>
  <c r="R1211" i="13"/>
  <c r="Q1211" i="13"/>
  <c r="P1211" i="13"/>
  <c r="O1211" i="13"/>
  <c r="N1211" i="13"/>
  <c r="M1211" i="13"/>
  <c r="L1211" i="13"/>
  <c r="J1211" i="13"/>
  <c r="G1211" i="13"/>
  <c r="F1211" i="13"/>
  <c r="E1211" i="13"/>
  <c r="D1211" i="13"/>
  <c r="C1211" i="13"/>
  <c r="B1211" i="13"/>
  <c r="A1211" i="13"/>
  <c r="AG1210" i="13"/>
  <c r="AF1210" i="13"/>
  <c r="AE1210" i="13"/>
  <c r="AD1210" i="13"/>
  <c r="Z1210" i="13"/>
  <c r="Y1210" i="13"/>
  <c r="X1210" i="13"/>
  <c r="W1210" i="13"/>
  <c r="U1210" i="13"/>
  <c r="T1210" i="13"/>
  <c r="S1210" i="13"/>
  <c r="R1210" i="13"/>
  <c r="Q1210" i="13"/>
  <c r="P1210" i="13"/>
  <c r="O1210" i="13"/>
  <c r="N1210" i="13"/>
  <c r="M1210" i="13"/>
  <c r="L1210" i="13"/>
  <c r="J1210" i="13"/>
  <c r="G1210" i="13"/>
  <c r="F1210" i="13"/>
  <c r="E1210" i="13"/>
  <c r="D1210" i="13"/>
  <c r="C1210" i="13"/>
  <c r="B1210" i="13"/>
  <c r="A1210" i="13"/>
  <c r="AG1209" i="13"/>
  <c r="AF1209" i="13"/>
  <c r="AE1209" i="13"/>
  <c r="AD1209" i="13"/>
  <c r="Z1209" i="13"/>
  <c r="Y1209" i="13"/>
  <c r="X1209" i="13"/>
  <c r="W1209" i="13"/>
  <c r="U1209" i="13"/>
  <c r="T1209" i="13"/>
  <c r="S1209" i="13"/>
  <c r="R1209" i="13"/>
  <c r="Q1209" i="13"/>
  <c r="P1209" i="13"/>
  <c r="O1209" i="13"/>
  <c r="N1209" i="13"/>
  <c r="M1209" i="13"/>
  <c r="L1209" i="13"/>
  <c r="J1209" i="13"/>
  <c r="G1209" i="13"/>
  <c r="F1209" i="13"/>
  <c r="E1209" i="13"/>
  <c r="D1209" i="13"/>
  <c r="C1209" i="13"/>
  <c r="B1209" i="13"/>
  <c r="A1209" i="13"/>
  <c r="AG1208" i="13"/>
  <c r="AF1208" i="13"/>
  <c r="AE1208" i="13"/>
  <c r="AD1208" i="13"/>
  <c r="Z1208" i="13"/>
  <c r="Y1208" i="13"/>
  <c r="X1208" i="13"/>
  <c r="W1208" i="13"/>
  <c r="U1208" i="13"/>
  <c r="T1208" i="13"/>
  <c r="S1208" i="13"/>
  <c r="R1208" i="13"/>
  <c r="Q1208" i="13"/>
  <c r="P1208" i="13"/>
  <c r="O1208" i="13"/>
  <c r="N1208" i="13"/>
  <c r="M1208" i="13"/>
  <c r="L1208" i="13"/>
  <c r="J1208" i="13"/>
  <c r="G1208" i="13"/>
  <c r="F1208" i="13"/>
  <c r="E1208" i="13"/>
  <c r="D1208" i="13"/>
  <c r="C1208" i="13"/>
  <c r="B1208" i="13"/>
  <c r="A1208" i="13"/>
  <c r="AG1207" i="13"/>
  <c r="AF1207" i="13"/>
  <c r="AE1207" i="13"/>
  <c r="AD1207" i="13"/>
  <c r="Z1207" i="13"/>
  <c r="Y1207" i="13"/>
  <c r="X1207" i="13"/>
  <c r="W1207" i="13"/>
  <c r="U1207" i="13"/>
  <c r="T1207" i="13"/>
  <c r="S1207" i="13"/>
  <c r="R1207" i="13"/>
  <c r="Q1207" i="13"/>
  <c r="P1207" i="13"/>
  <c r="O1207" i="13"/>
  <c r="N1207" i="13"/>
  <c r="M1207" i="13"/>
  <c r="L1207" i="13"/>
  <c r="J1207" i="13"/>
  <c r="G1207" i="13"/>
  <c r="F1207" i="13"/>
  <c r="E1207" i="13"/>
  <c r="D1207" i="13"/>
  <c r="C1207" i="13"/>
  <c r="B1207" i="13"/>
  <c r="A1207" i="13"/>
  <c r="AG1206" i="13"/>
  <c r="AF1206" i="13"/>
  <c r="AE1206" i="13"/>
  <c r="AD1206" i="13"/>
  <c r="Z1206" i="13"/>
  <c r="Y1206" i="13"/>
  <c r="X1206" i="13"/>
  <c r="W1206" i="13"/>
  <c r="U1206" i="13"/>
  <c r="T1206" i="13"/>
  <c r="S1206" i="13"/>
  <c r="R1206" i="13"/>
  <c r="Q1206" i="13"/>
  <c r="P1206" i="13"/>
  <c r="O1206" i="13"/>
  <c r="N1206" i="13"/>
  <c r="M1206" i="13"/>
  <c r="L1206" i="13"/>
  <c r="J1206" i="13"/>
  <c r="G1206" i="13"/>
  <c r="F1206" i="13"/>
  <c r="E1206" i="13"/>
  <c r="D1206" i="13"/>
  <c r="C1206" i="13"/>
  <c r="B1206" i="13"/>
  <c r="A1206" i="13"/>
  <c r="AG1205" i="13"/>
  <c r="AF1205" i="13"/>
  <c r="AE1205" i="13"/>
  <c r="AD1205" i="13"/>
  <c r="Z1205" i="13"/>
  <c r="Y1205" i="13"/>
  <c r="X1205" i="13"/>
  <c r="W1205" i="13"/>
  <c r="U1205" i="13"/>
  <c r="T1205" i="13"/>
  <c r="S1205" i="13"/>
  <c r="R1205" i="13"/>
  <c r="Q1205" i="13"/>
  <c r="P1205" i="13"/>
  <c r="O1205" i="13"/>
  <c r="N1205" i="13"/>
  <c r="M1205" i="13"/>
  <c r="L1205" i="13"/>
  <c r="J1205" i="13"/>
  <c r="G1205" i="13"/>
  <c r="F1205" i="13"/>
  <c r="E1205" i="13"/>
  <c r="D1205" i="13"/>
  <c r="C1205" i="13"/>
  <c r="B1205" i="13"/>
  <c r="A1205" i="13"/>
  <c r="AG1204" i="13"/>
  <c r="AF1204" i="13"/>
  <c r="AE1204" i="13"/>
  <c r="AD1204" i="13"/>
  <c r="Z1204" i="13"/>
  <c r="Y1204" i="13"/>
  <c r="X1204" i="13"/>
  <c r="W1204" i="13"/>
  <c r="U1204" i="13"/>
  <c r="T1204" i="13"/>
  <c r="S1204" i="13"/>
  <c r="R1204" i="13"/>
  <c r="Q1204" i="13"/>
  <c r="P1204" i="13"/>
  <c r="O1204" i="13"/>
  <c r="N1204" i="13"/>
  <c r="M1204" i="13"/>
  <c r="L1204" i="13"/>
  <c r="J1204" i="13"/>
  <c r="G1204" i="13"/>
  <c r="F1204" i="13"/>
  <c r="E1204" i="13"/>
  <c r="D1204" i="13"/>
  <c r="C1204" i="13"/>
  <c r="B1204" i="13"/>
  <c r="A1204" i="13"/>
  <c r="AG1203" i="13"/>
  <c r="AF1203" i="13"/>
  <c r="AE1203" i="13"/>
  <c r="AD1203" i="13"/>
  <c r="Z1203" i="13"/>
  <c r="Y1203" i="13"/>
  <c r="X1203" i="13"/>
  <c r="W1203" i="13"/>
  <c r="U1203" i="13"/>
  <c r="T1203" i="13"/>
  <c r="S1203" i="13"/>
  <c r="R1203" i="13"/>
  <c r="Q1203" i="13"/>
  <c r="P1203" i="13"/>
  <c r="O1203" i="13"/>
  <c r="N1203" i="13"/>
  <c r="M1203" i="13"/>
  <c r="L1203" i="13"/>
  <c r="J1203" i="13"/>
  <c r="G1203" i="13"/>
  <c r="F1203" i="13"/>
  <c r="E1203" i="13"/>
  <c r="D1203" i="13"/>
  <c r="C1203" i="13"/>
  <c r="B1203" i="13"/>
  <c r="A1203" i="13"/>
  <c r="AG1202" i="13"/>
  <c r="AF1202" i="13"/>
  <c r="AE1202" i="13"/>
  <c r="AD1202" i="13"/>
  <c r="Z1202" i="13"/>
  <c r="Y1202" i="13"/>
  <c r="X1202" i="13"/>
  <c r="W1202" i="13"/>
  <c r="U1202" i="13"/>
  <c r="T1202" i="13"/>
  <c r="S1202" i="13"/>
  <c r="R1202" i="13"/>
  <c r="Q1202" i="13"/>
  <c r="P1202" i="13"/>
  <c r="O1202" i="13"/>
  <c r="N1202" i="13"/>
  <c r="M1202" i="13"/>
  <c r="L1202" i="13"/>
  <c r="J1202" i="13"/>
  <c r="G1202" i="13"/>
  <c r="F1202" i="13"/>
  <c r="E1202" i="13"/>
  <c r="D1202" i="13"/>
  <c r="C1202" i="13"/>
  <c r="B1202" i="13"/>
  <c r="A1202" i="13"/>
  <c r="AG1201" i="13"/>
  <c r="AF1201" i="13"/>
  <c r="AE1201" i="13"/>
  <c r="AD1201" i="13"/>
  <c r="Z1201" i="13"/>
  <c r="Y1201" i="13"/>
  <c r="X1201" i="13"/>
  <c r="W1201" i="13"/>
  <c r="U1201" i="13"/>
  <c r="T1201" i="13"/>
  <c r="S1201" i="13"/>
  <c r="R1201" i="13"/>
  <c r="Q1201" i="13"/>
  <c r="P1201" i="13"/>
  <c r="O1201" i="13"/>
  <c r="N1201" i="13"/>
  <c r="M1201" i="13"/>
  <c r="L1201" i="13"/>
  <c r="J1201" i="13"/>
  <c r="G1201" i="13"/>
  <c r="F1201" i="13"/>
  <c r="E1201" i="13"/>
  <c r="D1201" i="13"/>
  <c r="C1201" i="13"/>
  <c r="B1201" i="13"/>
  <c r="A1201" i="13"/>
  <c r="AG1200" i="13"/>
  <c r="AF1200" i="13"/>
  <c r="AE1200" i="13"/>
  <c r="AD1200" i="13"/>
  <c r="Z1200" i="13"/>
  <c r="Y1200" i="13"/>
  <c r="X1200" i="13"/>
  <c r="W1200" i="13"/>
  <c r="U1200" i="13"/>
  <c r="T1200" i="13"/>
  <c r="S1200" i="13"/>
  <c r="R1200" i="13"/>
  <c r="Q1200" i="13"/>
  <c r="P1200" i="13"/>
  <c r="O1200" i="13"/>
  <c r="N1200" i="13"/>
  <c r="M1200" i="13"/>
  <c r="L1200" i="13"/>
  <c r="J1200" i="13"/>
  <c r="G1200" i="13"/>
  <c r="F1200" i="13"/>
  <c r="E1200" i="13"/>
  <c r="D1200" i="13"/>
  <c r="C1200" i="13"/>
  <c r="B1200" i="13"/>
  <c r="A1200" i="13"/>
  <c r="AG1199" i="13"/>
  <c r="AF1199" i="13"/>
  <c r="AE1199" i="13"/>
  <c r="AD1199" i="13"/>
  <c r="Z1199" i="13"/>
  <c r="Y1199" i="13"/>
  <c r="X1199" i="13"/>
  <c r="W1199" i="13"/>
  <c r="U1199" i="13"/>
  <c r="T1199" i="13"/>
  <c r="S1199" i="13"/>
  <c r="R1199" i="13"/>
  <c r="Q1199" i="13"/>
  <c r="P1199" i="13"/>
  <c r="O1199" i="13"/>
  <c r="N1199" i="13"/>
  <c r="M1199" i="13"/>
  <c r="L1199" i="13"/>
  <c r="J1199" i="13"/>
  <c r="G1199" i="13"/>
  <c r="F1199" i="13"/>
  <c r="E1199" i="13"/>
  <c r="D1199" i="13"/>
  <c r="C1199" i="13"/>
  <c r="B1199" i="13"/>
  <c r="A1199" i="13"/>
  <c r="AG1198" i="13"/>
  <c r="AF1198" i="13"/>
  <c r="AE1198" i="13"/>
  <c r="AD1198" i="13"/>
  <c r="Z1198" i="13"/>
  <c r="Y1198" i="13"/>
  <c r="X1198" i="13"/>
  <c r="W1198" i="13"/>
  <c r="U1198" i="13"/>
  <c r="T1198" i="13"/>
  <c r="S1198" i="13"/>
  <c r="R1198" i="13"/>
  <c r="Q1198" i="13"/>
  <c r="P1198" i="13"/>
  <c r="O1198" i="13"/>
  <c r="N1198" i="13"/>
  <c r="M1198" i="13"/>
  <c r="L1198" i="13"/>
  <c r="J1198" i="13"/>
  <c r="G1198" i="13"/>
  <c r="F1198" i="13"/>
  <c r="E1198" i="13"/>
  <c r="D1198" i="13"/>
  <c r="C1198" i="13"/>
  <c r="B1198" i="13"/>
  <c r="A1198" i="13"/>
  <c r="AG1197" i="13"/>
  <c r="AF1197" i="13"/>
  <c r="AE1197" i="13"/>
  <c r="AD1197" i="13"/>
  <c r="Z1197" i="13"/>
  <c r="Y1197" i="13"/>
  <c r="X1197" i="13"/>
  <c r="W1197" i="13"/>
  <c r="U1197" i="13"/>
  <c r="T1197" i="13"/>
  <c r="S1197" i="13"/>
  <c r="R1197" i="13"/>
  <c r="Q1197" i="13"/>
  <c r="P1197" i="13"/>
  <c r="O1197" i="13"/>
  <c r="N1197" i="13"/>
  <c r="M1197" i="13"/>
  <c r="L1197" i="13"/>
  <c r="J1197" i="13"/>
  <c r="G1197" i="13"/>
  <c r="F1197" i="13"/>
  <c r="E1197" i="13"/>
  <c r="D1197" i="13"/>
  <c r="C1197" i="13"/>
  <c r="B1197" i="13"/>
  <c r="A1197" i="13"/>
  <c r="AG1196" i="13"/>
  <c r="AF1196" i="13"/>
  <c r="AE1196" i="13"/>
  <c r="AD1196" i="13"/>
  <c r="Z1196" i="13"/>
  <c r="Y1196" i="13"/>
  <c r="X1196" i="13"/>
  <c r="W1196" i="13"/>
  <c r="U1196" i="13"/>
  <c r="T1196" i="13"/>
  <c r="S1196" i="13"/>
  <c r="R1196" i="13"/>
  <c r="Q1196" i="13"/>
  <c r="P1196" i="13"/>
  <c r="O1196" i="13"/>
  <c r="N1196" i="13"/>
  <c r="M1196" i="13"/>
  <c r="L1196" i="13"/>
  <c r="J1196" i="13"/>
  <c r="G1196" i="13"/>
  <c r="F1196" i="13"/>
  <c r="E1196" i="13"/>
  <c r="D1196" i="13"/>
  <c r="C1196" i="13"/>
  <c r="B1196" i="13"/>
  <c r="A1196" i="13"/>
  <c r="AG1195" i="13"/>
  <c r="AF1195" i="13"/>
  <c r="AE1195" i="13"/>
  <c r="AD1195" i="13"/>
  <c r="Z1195" i="13"/>
  <c r="Y1195" i="13"/>
  <c r="X1195" i="13"/>
  <c r="W1195" i="13"/>
  <c r="U1195" i="13"/>
  <c r="T1195" i="13"/>
  <c r="S1195" i="13"/>
  <c r="R1195" i="13"/>
  <c r="Q1195" i="13"/>
  <c r="P1195" i="13"/>
  <c r="O1195" i="13"/>
  <c r="N1195" i="13"/>
  <c r="M1195" i="13"/>
  <c r="L1195" i="13"/>
  <c r="J1195" i="13"/>
  <c r="G1195" i="13"/>
  <c r="F1195" i="13"/>
  <c r="E1195" i="13"/>
  <c r="D1195" i="13"/>
  <c r="C1195" i="13"/>
  <c r="B1195" i="13"/>
  <c r="A1195" i="13"/>
  <c r="AG1194" i="13"/>
  <c r="AF1194" i="13"/>
  <c r="AE1194" i="13"/>
  <c r="AD1194" i="13"/>
  <c r="Z1194" i="13"/>
  <c r="Y1194" i="13"/>
  <c r="X1194" i="13"/>
  <c r="W1194" i="13"/>
  <c r="U1194" i="13"/>
  <c r="T1194" i="13"/>
  <c r="S1194" i="13"/>
  <c r="R1194" i="13"/>
  <c r="Q1194" i="13"/>
  <c r="P1194" i="13"/>
  <c r="O1194" i="13"/>
  <c r="N1194" i="13"/>
  <c r="M1194" i="13"/>
  <c r="L1194" i="13"/>
  <c r="J1194" i="13"/>
  <c r="G1194" i="13"/>
  <c r="F1194" i="13"/>
  <c r="E1194" i="13"/>
  <c r="D1194" i="13"/>
  <c r="C1194" i="13"/>
  <c r="B1194" i="13"/>
  <c r="A1194" i="13"/>
  <c r="AG1193" i="13"/>
  <c r="AF1193" i="13"/>
  <c r="AE1193" i="13"/>
  <c r="AD1193" i="13"/>
  <c r="Z1193" i="13"/>
  <c r="Y1193" i="13"/>
  <c r="X1193" i="13"/>
  <c r="W1193" i="13"/>
  <c r="U1193" i="13"/>
  <c r="T1193" i="13"/>
  <c r="S1193" i="13"/>
  <c r="R1193" i="13"/>
  <c r="Q1193" i="13"/>
  <c r="P1193" i="13"/>
  <c r="O1193" i="13"/>
  <c r="N1193" i="13"/>
  <c r="M1193" i="13"/>
  <c r="L1193" i="13"/>
  <c r="J1193" i="13"/>
  <c r="G1193" i="13"/>
  <c r="F1193" i="13"/>
  <c r="E1193" i="13"/>
  <c r="D1193" i="13"/>
  <c r="C1193" i="13"/>
  <c r="B1193" i="13"/>
  <c r="A1193" i="13"/>
  <c r="AG1192" i="13"/>
  <c r="AF1192" i="13"/>
  <c r="AE1192" i="13"/>
  <c r="AD1192" i="13"/>
  <c r="Z1192" i="13"/>
  <c r="Y1192" i="13"/>
  <c r="X1192" i="13"/>
  <c r="W1192" i="13"/>
  <c r="U1192" i="13"/>
  <c r="T1192" i="13"/>
  <c r="S1192" i="13"/>
  <c r="R1192" i="13"/>
  <c r="Q1192" i="13"/>
  <c r="P1192" i="13"/>
  <c r="O1192" i="13"/>
  <c r="N1192" i="13"/>
  <c r="M1192" i="13"/>
  <c r="L1192" i="13"/>
  <c r="J1192" i="13"/>
  <c r="G1192" i="13"/>
  <c r="F1192" i="13"/>
  <c r="E1192" i="13"/>
  <c r="D1192" i="13"/>
  <c r="C1192" i="13"/>
  <c r="B1192" i="13"/>
  <c r="A1192" i="13"/>
  <c r="AG1191" i="13"/>
  <c r="AF1191" i="13"/>
  <c r="AE1191" i="13"/>
  <c r="AD1191" i="13"/>
  <c r="Z1191" i="13"/>
  <c r="Y1191" i="13"/>
  <c r="X1191" i="13"/>
  <c r="W1191" i="13"/>
  <c r="U1191" i="13"/>
  <c r="T1191" i="13"/>
  <c r="S1191" i="13"/>
  <c r="R1191" i="13"/>
  <c r="Q1191" i="13"/>
  <c r="P1191" i="13"/>
  <c r="O1191" i="13"/>
  <c r="N1191" i="13"/>
  <c r="M1191" i="13"/>
  <c r="L1191" i="13"/>
  <c r="J1191" i="13"/>
  <c r="G1191" i="13"/>
  <c r="F1191" i="13"/>
  <c r="E1191" i="13"/>
  <c r="D1191" i="13"/>
  <c r="C1191" i="13"/>
  <c r="B1191" i="13"/>
  <c r="A1191" i="13"/>
  <c r="AG1190" i="13"/>
  <c r="AF1190" i="13"/>
  <c r="AE1190" i="13"/>
  <c r="AD1190" i="13"/>
  <c r="Z1190" i="13"/>
  <c r="Y1190" i="13"/>
  <c r="X1190" i="13"/>
  <c r="W1190" i="13"/>
  <c r="U1190" i="13"/>
  <c r="T1190" i="13"/>
  <c r="S1190" i="13"/>
  <c r="R1190" i="13"/>
  <c r="Q1190" i="13"/>
  <c r="P1190" i="13"/>
  <c r="O1190" i="13"/>
  <c r="N1190" i="13"/>
  <c r="M1190" i="13"/>
  <c r="L1190" i="13"/>
  <c r="J1190" i="13"/>
  <c r="G1190" i="13"/>
  <c r="F1190" i="13"/>
  <c r="E1190" i="13"/>
  <c r="D1190" i="13"/>
  <c r="C1190" i="13"/>
  <c r="B1190" i="13"/>
  <c r="A1190" i="13"/>
  <c r="AG1189" i="13"/>
  <c r="AF1189" i="13"/>
  <c r="AE1189" i="13"/>
  <c r="AD1189" i="13"/>
  <c r="Z1189" i="13"/>
  <c r="Y1189" i="13"/>
  <c r="X1189" i="13"/>
  <c r="W1189" i="13"/>
  <c r="U1189" i="13"/>
  <c r="T1189" i="13"/>
  <c r="S1189" i="13"/>
  <c r="R1189" i="13"/>
  <c r="Q1189" i="13"/>
  <c r="P1189" i="13"/>
  <c r="O1189" i="13"/>
  <c r="N1189" i="13"/>
  <c r="M1189" i="13"/>
  <c r="L1189" i="13"/>
  <c r="J1189" i="13"/>
  <c r="G1189" i="13"/>
  <c r="F1189" i="13"/>
  <c r="E1189" i="13"/>
  <c r="D1189" i="13"/>
  <c r="C1189" i="13"/>
  <c r="B1189" i="13"/>
  <c r="A1189" i="13"/>
  <c r="AG1188" i="13"/>
  <c r="AF1188" i="13"/>
  <c r="AE1188" i="13"/>
  <c r="AD1188" i="13"/>
  <c r="Z1188" i="13"/>
  <c r="Y1188" i="13"/>
  <c r="X1188" i="13"/>
  <c r="W1188" i="13"/>
  <c r="U1188" i="13"/>
  <c r="T1188" i="13"/>
  <c r="S1188" i="13"/>
  <c r="R1188" i="13"/>
  <c r="Q1188" i="13"/>
  <c r="P1188" i="13"/>
  <c r="O1188" i="13"/>
  <c r="N1188" i="13"/>
  <c r="M1188" i="13"/>
  <c r="L1188" i="13"/>
  <c r="J1188" i="13"/>
  <c r="G1188" i="13"/>
  <c r="F1188" i="13"/>
  <c r="E1188" i="13"/>
  <c r="D1188" i="13"/>
  <c r="C1188" i="13"/>
  <c r="B1188" i="13"/>
  <c r="A1188" i="13"/>
  <c r="AG1187" i="13"/>
  <c r="AF1187" i="13"/>
  <c r="AE1187" i="13"/>
  <c r="AD1187" i="13"/>
  <c r="Z1187" i="13"/>
  <c r="Y1187" i="13"/>
  <c r="X1187" i="13"/>
  <c r="W1187" i="13"/>
  <c r="U1187" i="13"/>
  <c r="T1187" i="13"/>
  <c r="S1187" i="13"/>
  <c r="R1187" i="13"/>
  <c r="Q1187" i="13"/>
  <c r="P1187" i="13"/>
  <c r="O1187" i="13"/>
  <c r="N1187" i="13"/>
  <c r="M1187" i="13"/>
  <c r="L1187" i="13"/>
  <c r="J1187" i="13"/>
  <c r="G1187" i="13"/>
  <c r="F1187" i="13"/>
  <c r="E1187" i="13"/>
  <c r="D1187" i="13"/>
  <c r="C1187" i="13"/>
  <c r="B1187" i="13"/>
  <c r="A1187" i="13"/>
  <c r="AG1186" i="13"/>
  <c r="AF1186" i="13"/>
  <c r="AE1186" i="13"/>
  <c r="AD1186" i="13"/>
  <c r="Z1186" i="13"/>
  <c r="Y1186" i="13"/>
  <c r="X1186" i="13"/>
  <c r="W1186" i="13"/>
  <c r="U1186" i="13"/>
  <c r="T1186" i="13"/>
  <c r="S1186" i="13"/>
  <c r="R1186" i="13"/>
  <c r="Q1186" i="13"/>
  <c r="P1186" i="13"/>
  <c r="O1186" i="13"/>
  <c r="N1186" i="13"/>
  <c r="M1186" i="13"/>
  <c r="L1186" i="13"/>
  <c r="J1186" i="13"/>
  <c r="G1186" i="13"/>
  <c r="F1186" i="13"/>
  <c r="E1186" i="13"/>
  <c r="D1186" i="13"/>
  <c r="C1186" i="13"/>
  <c r="B1186" i="13"/>
  <c r="A1186" i="13"/>
  <c r="AG1185" i="13"/>
  <c r="AF1185" i="13"/>
  <c r="AE1185" i="13"/>
  <c r="AD1185" i="13"/>
  <c r="Z1185" i="13"/>
  <c r="Y1185" i="13"/>
  <c r="X1185" i="13"/>
  <c r="W1185" i="13"/>
  <c r="U1185" i="13"/>
  <c r="T1185" i="13"/>
  <c r="S1185" i="13"/>
  <c r="R1185" i="13"/>
  <c r="Q1185" i="13"/>
  <c r="P1185" i="13"/>
  <c r="O1185" i="13"/>
  <c r="N1185" i="13"/>
  <c r="M1185" i="13"/>
  <c r="L1185" i="13"/>
  <c r="J1185" i="13"/>
  <c r="G1185" i="13"/>
  <c r="F1185" i="13"/>
  <c r="E1185" i="13"/>
  <c r="D1185" i="13"/>
  <c r="C1185" i="13"/>
  <c r="B1185" i="13"/>
  <c r="A1185" i="13"/>
  <c r="AG1184" i="13"/>
  <c r="AF1184" i="13"/>
  <c r="AE1184" i="13"/>
  <c r="AD1184" i="13"/>
  <c r="Z1184" i="13"/>
  <c r="Y1184" i="13"/>
  <c r="X1184" i="13"/>
  <c r="W1184" i="13"/>
  <c r="U1184" i="13"/>
  <c r="T1184" i="13"/>
  <c r="S1184" i="13"/>
  <c r="R1184" i="13"/>
  <c r="Q1184" i="13"/>
  <c r="P1184" i="13"/>
  <c r="O1184" i="13"/>
  <c r="N1184" i="13"/>
  <c r="M1184" i="13"/>
  <c r="L1184" i="13"/>
  <c r="J1184" i="13"/>
  <c r="G1184" i="13"/>
  <c r="F1184" i="13"/>
  <c r="E1184" i="13"/>
  <c r="D1184" i="13"/>
  <c r="C1184" i="13"/>
  <c r="B1184" i="13"/>
  <c r="A1184" i="13"/>
  <c r="AG1183" i="13"/>
  <c r="AF1183" i="13"/>
  <c r="AE1183" i="13"/>
  <c r="AD1183" i="13"/>
  <c r="Z1183" i="13"/>
  <c r="Y1183" i="13"/>
  <c r="X1183" i="13"/>
  <c r="W1183" i="13"/>
  <c r="U1183" i="13"/>
  <c r="T1183" i="13"/>
  <c r="S1183" i="13"/>
  <c r="R1183" i="13"/>
  <c r="Q1183" i="13"/>
  <c r="P1183" i="13"/>
  <c r="O1183" i="13"/>
  <c r="N1183" i="13"/>
  <c r="M1183" i="13"/>
  <c r="L1183" i="13"/>
  <c r="J1183" i="13"/>
  <c r="G1183" i="13"/>
  <c r="F1183" i="13"/>
  <c r="E1183" i="13"/>
  <c r="D1183" i="13"/>
  <c r="C1183" i="13"/>
  <c r="B1183" i="13"/>
  <c r="A1183" i="13"/>
  <c r="AG1182" i="13"/>
  <c r="AF1182" i="13"/>
  <c r="AE1182" i="13"/>
  <c r="AD1182" i="13"/>
  <c r="Z1182" i="13"/>
  <c r="Y1182" i="13"/>
  <c r="X1182" i="13"/>
  <c r="W1182" i="13"/>
  <c r="U1182" i="13"/>
  <c r="T1182" i="13"/>
  <c r="S1182" i="13"/>
  <c r="R1182" i="13"/>
  <c r="Q1182" i="13"/>
  <c r="P1182" i="13"/>
  <c r="O1182" i="13"/>
  <c r="N1182" i="13"/>
  <c r="M1182" i="13"/>
  <c r="L1182" i="13"/>
  <c r="J1182" i="13"/>
  <c r="G1182" i="13"/>
  <c r="F1182" i="13"/>
  <c r="E1182" i="13"/>
  <c r="D1182" i="13"/>
  <c r="C1182" i="13"/>
  <c r="B1182" i="13"/>
  <c r="A1182" i="13"/>
  <c r="AG1181" i="13"/>
  <c r="AF1181" i="13"/>
  <c r="AE1181" i="13"/>
  <c r="AD1181" i="13"/>
  <c r="Z1181" i="13"/>
  <c r="Y1181" i="13"/>
  <c r="X1181" i="13"/>
  <c r="W1181" i="13"/>
  <c r="U1181" i="13"/>
  <c r="T1181" i="13"/>
  <c r="S1181" i="13"/>
  <c r="R1181" i="13"/>
  <c r="Q1181" i="13"/>
  <c r="P1181" i="13"/>
  <c r="O1181" i="13"/>
  <c r="N1181" i="13"/>
  <c r="M1181" i="13"/>
  <c r="L1181" i="13"/>
  <c r="J1181" i="13"/>
  <c r="G1181" i="13"/>
  <c r="F1181" i="13"/>
  <c r="E1181" i="13"/>
  <c r="D1181" i="13"/>
  <c r="C1181" i="13"/>
  <c r="B1181" i="13"/>
  <c r="A1181" i="13"/>
  <c r="AG1180" i="13"/>
  <c r="AF1180" i="13"/>
  <c r="AE1180" i="13"/>
  <c r="AD1180" i="13"/>
  <c r="Z1180" i="13"/>
  <c r="Y1180" i="13"/>
  <c r="X1180" i="13"/>
  <c r="W1180" i="13"/>
  <c r="U1180" i="13"/>
  <c r="T1180" i="13"/>
  <c r="S1180" i="13"/>
  <c r="R1180" i="13"/>
  <c r="Q1180" i="13"/>
  <c r="P1180" i="13"/>
  <c r="O1180" i="13"/>
  <c r="N1180" i="13"/>
  <c r="M1180" i="13"/>
  <c r="L1180" i="13"/>
  <c r="J1180" i="13"/>
  <c r="G1180" i="13"/>
  <c r="F1180" i="13"/>
  <c r="E1180" i="13"/>
  <c r="D1180" i="13"/>
  <c r="C1180" i="13"/>
  <c r="B1180" i="13"/>
  <c r="A1180" i="13"/>
  <c r="AG1179" i="13"/>
  <c r="AF1179" i="13"/>
  <c r="AE1179" i="13"/>
  <c r="AD1179" i="13"/>
  <c r="Z1179" i="13"/>
  <c r="Y1179" i="13"/>
  <c r="X1179" i="13"/>
  <c r="W1179" i="13"/>
  <c r="U1179" i="13"/>
  <c r="T1179" i="13"/>
  <c r="S1179" i="13"/>
  <c r="R1179" i="13"/>
  <c r="Q1179" i="13"/>
  <c r="P1179" i="13"/>
  <c r="O1179" i="13"/>
  <c r="N1179" i="13"/>
  <c r="M1179" i="13"/>
  <c r="L1179" i="13"/>
  <c r="J1179" i="13"/>
  <c r="G1179" i="13"/>
  <c r="F1179" i="13"/>
  <c r="E1179" i="13"/>
  <c r="D1179" i="13"/>
  <c r="C1179" i="13"/>
  <c r="B1179" i="13"/>
  <c r="A1179" i="13"/>
  <c r="AG1178" i="13"/>
  <c r="AF1178" i="13"/>
  <c r="AE1178" i="13"/>
  <c r="AD1178" i="13"/>
  <c r="Z1178" i="13"/>
  <c r="Y1178" i="13"/>
  <c r="X1178" i="13"/>
  <c r="W1178" i="13"/>
  <c r="U1178" i="13"/>
  <c r="T1178" i="13"/>
  <c r="S1178" i="13"/>
  <c r="R1178" i="13"/>
  <c r="Q1178" i="13"/>
  <c r="P1178" i="13"/>
  <c r="O1178" i="13"/>
  <c r="N1178" i="13"/>
  <c r="M1178" i="13"/>
  <c r="L1178" i="13"/>
  <c r="J1178" i="13"/>
  <c r="G1178" i="13"/>
  <c r="F1178" i="13"/>
  <c r="E1178" i="13"/>
  <c r="D1178" i="13"/>
  <c r="C1178" i="13"/>
  <c r="B1178" i="13"/>
  <c r="A1178" i="13"/>
  <c r="AG1177" i="13"/>
  <c r="AF1177" i="13"/>
  <c r="AE1177" i="13"/>
  <c r="AD1177" i="13"/>
  <c r="Z1177" i="13"/>
  <c r="Y1177" i="13"/>
  <c r="X1177" i="13"/>
  <c r="W1177" i="13"/>
  <c r="U1177" i="13"/>
  <c r="T1177" i="13"/>
  <c r="S1177" i="13"/>
  <c r="R1177" i="13"/>
  <c r="Q1177" i="13"/>
  <c r="P1177" i="13"/>
  <c r="O1177" i="13"/>
  <c r="N1177" i="13"/>
  <c r="M1177" i="13"/>
  <c r="L1177" i="13"/>
  <c r="J1177" i="13"/>
  <c r="G1177" i="13"/>
  <c r="F1177" i="13"/>
  <c r="E1177" i="13"/>
  <c r="D1177" i="13"/>
  <c r="C1177" i="13"/>
  <c r="B1177" i="13"/>
  <c r="A1177" i="13"/>
  <c r="AG1176" i="13"/>
  <c r="AF1176" i="13"/>
  <c r="AE1176" i="13"/>
  <c r="AD1176" i="13"/>
  <c r="Z1176" i="13"/>
  <c r="Y1176" i="13"/>
  <c r="X1176" i="13"/>
  <c r="W1176" i="13"/>
  <c r="U1176" i="13"/>
  <c r="T1176" i="13"/>
  <c r="S1176" i="13"/>
  <c r="R1176" i="13"/>
  <c r="Q1176" i="13"/>
  <c r="P1176" i="13"/>
  <c r="O1176" i="13"/>
  <c r="N1176" i="13"/>
  <c r="M1176" i="13"/>
  <c r="L1176" i="13"/>
  <c r="J1176" i="13"/>
  <c r="G1176" i="13"/>
  <c r="F1176" i="13"/>
  <c r="E1176" i="13"/>
  <c r="D1176" i="13"/>
  <c r="C1176" i="13"/>
  <c r="B1176" i="13"/>
  <c r="A1176" i="13"/>
  <c r="AG1175" i="13"/>
  <c r="AF1175" i="13"/>
  <c r="AE1175" i="13"/>
  <c r="AD1175" i="13"/>
  <c r="Z1175" i="13"/>
  <c r="Y1175" i="13"/>
  <c r="X1175" i="13"/>
  <c r="W1175" i="13"/>
  <c r="U1175" i="13"/>
  <c r="T1175" i="13"/>
  <c r="S1175" i="13"/>
  <c r="R1175" i="13"/>
  <c r="Q1175" i="13"/>
  <c r="P1175" i="13"/>
  <c r="O1175" i="13"/>
  <c r="N1175" i="13"/>
  <c r="M1175" i="13"/>
  <c r="L1175" i="13"/>
  <c r="J1175" i="13"/>
  <c r="G1175" i="13"/>
  <c r="F1175" i="13"/>
  <c r="E1175" i="13"/>
  <c r="D1175" i="13"/>
  <c r="C1175" i="13"/>
  <c r="B1175" i="13"/>
  <c r="A1175" i="13"/>
  <c r="AG1174" i="13"/>
  <c r="AF1174" i="13"/>
  <c r="AE1174" i="13"/>
  <c r="AD1174" i="13"/>
  <c r="Z1174" i="13"/>
  <c r="Y1174" i="13"/>
  <c r="X1174" i="13"/>
  <c r="W1174" i="13"/>
  <c r="U1174" i="13"/>
  <c r="T1174" i="13"/>
  <c r="S1174" i="13"/>
  <c r="R1174" i="13"/>
  <c r="Q1174" i="13"/>
  <c r="P1174" i="13"/>
  <c r="O1174" i="13"/>
  <c r="N1174" i="13"/>
  <c r="M1174" i="13"/>
  <c r="L1174" i="13"/>
  <c r="J1174" i="13"/>
  <c r="G1174" i="13"/>
  <c r="F1174" i="13"/>
  <c r="E1174" i="13"/>
  <c r="D1174" i="13"/>
  <c r="C1174" i="13"/>
  <c r="B1174" i="13"/>
  <c r="A1174" i="13"/>
  <c r="AG1173" i="13"/>
  <c r="AF1173" i="13"/>
  <c r="AE1173" i="13"/>
  <c r="AD1173" i="13"/>
  <c r="Z1173" i="13"/>
  <c r="Y1173" i="13"/>
  <c r="X1173" i="13"/>
  <c r="W1173" i="13"/>
  <c r="U1173" i="13"/>
  <c r="T1173" i="13"/>
  <c r="S1173" i="13"/>
  <c r="R1173" i="13"/>
  <c r="Q1173" i="13"/>
  <c r="P1173" i="13"/>
  <c r="O1173" i="13"/>
  <c r="N1173" i="13"/>
  <c r="M1173" i="13"/>
  <c r="L1173" i="13"/>
  <c r="J1173" i="13"/>
  <c r="G1173" i="13"/>
  <c r="F1173" i="13"/>
  <c r="E1173" i="13"/>
  <c r="D1173" i="13"/>
  <c r="C1173" i="13"/>
  <c r="B1173" i="13"/>
  <c r="A1173" i="13"/>
  <c r="AG1172" i="13"/>
  <c r="AF1172" i="13"/>
  <c r="AE1172" i="13"/>
  <c r="AD1172" i="13"/>
  <c r="Z1172" i="13"/>
  <c r="Y1172" i="13"/>
  <c r="X1172" i="13"/>
  <c r="W1172" i="13"/>
  <c r="U1172" i="13"/>
  <c r="T1172" i="13"/>
  <c r="S1172" i="13"/>
  <c r="R1172" i="13"/>
  <c r="Q1172" i="13"/>
  <c r="P1172" i="13"/>
  <c r="O1172" i="13"/>
  <c r="N1172" i="13"/>
  <c r="M1172" i="13"/>
  <c r="L1172" i="13"/>
  <c r="J1172" i="13"/>
  <c r="G1172" i="13"/>
  <c r="F1172" i="13"/>
  <c r="E1172" i="13"/>
  <c r="D1172" i="13"/>
  <c r="C1172" i="13"/>
  <c r="B1172" i="13"/>
  <c r="A1172" i="13"/>
  <c r="AG1171" i="13"/>
  <c r="AF1171" i="13"/>
  <c r="AE1171" i="13"/>
  <c r="AD1171" i="13"/>
  <c r="Z1171" i="13"/>
  <c r="Y1171" i="13"/>
  <c r="X1171" i="13"/>
  <c r="W1171" i="13"/>
  <c r="U1171" i="13"/>
  <c r="T1171" i="13"/>
  <c r="S1171" i="13"/>
  <c r="R1171" i="13"/>
  <c r="Q1171" i="13"/>
  <c r="P1171" i="13"/>
  <c r="O1171" i="13"/>
  <c r="N1171" i="13"/>
  <c r="M1171" i="13"/>
  <c r="L1171" i="13"/>
  <c r="J1171" i="13"/>
  <c r="G1171" i="13"/>
  <c r="F1171" i="13"/>
  <c r="E1171" i="13"/>
  <c r="D1171" i="13"/>
  <c r="C1171" i="13"/>
  <c r="B1171" i="13"/>
  <c r="A1171" i="13"/>
  <c r="AG1170" i="13"/>
  <c r="AF1170" i="13"/>
  <c r="AE1170" i="13"/>
  <c r="AD1170" i="13"/>
  <c r="Z1170" i="13"/>
  <c r="Y1170" i="13"/>
  <c r="X1170" i="13"/>
  <c r="W1170" i="13"/>
  <c r="U1170" i="13"/>
  <c r="T1170" i="13"/>
  <c r="S1170" i="13"/>
  <c r="R1170" i="13"/>
  <c r="Q1170" i="13"/>
  <c r="P1170" i="13"/>
  <c r="O1170" i="13"/>
  <c r="N1170" i="13"/>
  <c r="M1170" i="13"/>
  <c r="L1170" i="13"/>
  <c r="J1170" i="13"/>
  <c r="G1170" i="13"/>
  <c r="F1170" i="13"/>
  <c r="E1170" i="13"/>
  <c r="D1170" i="13"/>
  <c r="C1170" i="13"/>
  <c r="B1170" i="13"/>
  <c r="A1170" i="13"/>
  <c r="AG1169" i="13"/>
  <c r="AF1169" i="13"/>
  <c r="AE1169" i="13"/>
  <c r="AD1169" i="13"/>
  <c r="Z1169" i="13"/>
  <c r="Y1169" i="13"/>
  <c r="X1169" i="13"/>
  <c r="W1169" i="13"/>
  <c r="U1169" i="13"/>
  <c r="T1169" i="13"/>
  <c r="S1169" i="13"/>
  <c r="R1169" i="13"/>
  <c r="Q1169" i="13"/>
  <c r="P1169" i="13"/>
  <c r="O1169" i="13"/>
  <c r="N1169" i="13"/>
  <c r="M1169" i="13"/>
  <c r="L1169" i="13"/>
  <c r="J1169" i="13"/>
  <c r="G1169" i="13"/>
  <c r="F1169" i="13"/>
  <c r="E1169" i="13"/>
  <c r="D1169" i="13"/>
  <c r="C1169" i="13"/>
  <c r="B1169" i="13"/>
  <c r="A1169" i="13"/>
  <c r="AG1168" i="13"/>
  <c r="AF1168" i="13"/>
  <c r="AE1168" i="13"/>
  <c r="AD1168" i="13"/>
  <c r="Z1168" i="13"/>
  <c r="Y1168" i="13"/>
  <c r="X1168" i="13"/>
  <c r="W1168" i="13"/>
  <c r="U1168" i="13"/>
  <c r="T1168" i="13"/>
  <c r="S1168" i="13"/>
  <c r="R1168" i="13"/>
  <c r="Q1168" i="13"/>
  <c r="P1168" i="13"/>
  <c r="O1168" i="13"/>
  <c r="N1168" i="13"/>
  <c r="M1168" i="13"/>
  <c r="L1168" i="13"/>
  <c r="J1168" i="13"/>
  <c r="G1168" i="13"/>
  <c r="F1168" i="13"/>
  <c r="E1168" i="13"/>
  <c r="D1168" i="13"/>
  <c r="C1168" i="13"/>
  <c r="B1168" i="13"/>
  <c r="A1168" i="13"/>
  <c r="AG1167" i="13"/>
  <c r="AF1167" i="13"/>
  <c r="AE1167" i="13"/>
  <c r="AD1167" i="13"/>
  <c r="Z1167" i="13"/>
  <c r="Y1167" i="13"/>
  <c r="X1167" i="13"/>
  <c r="W1167" i="13"/>
  <c r="U1167" i="13"/>
  <c r="T1167" i="13"/>
  <c r="S1167" i="13"/>
  <c r="R1167" i="13"/>
  <c r="Q1167" i="13"/>
  <c r="P1167" i="13"/>
  <c r="O1167" i="13"/>
  <c r="N1167" i="13"/>
  <c r="M1167" i="13"/>
  <c r="L1167" i="13"/>
  <c r="J1167" i="13"/>
  <c r="G1167" i="13"/>
  <c r="F1167" i="13"/>
  <c r="E1167" i="13"/>
  <c r="D1167" i="13"/>
  <c r="C1167" i="13"/>
  <c r="B1167" i="13"/>
  <c r="A1167" i="13"/>
  <c r="AG1166" i="13"/>
  <c r="AF1166" i="13"/>
  <c r="AE1166" i="13"/>
  <c r="AD1166" i="13"/>
  <c r="Z1166" i="13"/>
  <c r="Y1166" i="13"/>
  <c r="X1166" i="13"/>
  <c r="W1166" i="13"/>
  <c r="U1166" i="13"/>
  <c r="T1166" i="13"/>
  <c r="S1166" i="13"/>
  <c r="R1166" i="13"/>
  <c r="Q1166" i="13"/>
  <c r="P1166" i="13"/>
  <c r="O1166" i="13"/>
  <c r="N1166" i="13"/>
  <c r="M1166" i="13"/>
  <c r="L1166" i="13"/>
  <c r="J1166" i="13"/>
  <c r="G1166" i="13"/>
  <c r="F1166" i="13"/>
  <c r="E1166" i="13"/>
  <c r="D1166" i="13"/>
  <c r="C1166" i="13"/>
  <c r="B1166" i="13"/>
  <c r="A1166" i="13"/>
  <c r="AG1165" i="13"/>
  <c r="AF1165" i="13"/>
  <c r="AE1165" i="13"/>
  <c r="AD1165" i="13"/>
  <c r="Z1165" i="13"/>
  <c r="Y1165" i="13"/>
  <c r="X1165" i="13"/>
  <c r="W1165" i="13"/>
  <c r="U1165" i="13"/>
  <c r="T1165" i="13"/>
  <c r="S1165" i="13"/>
  <c r="R1165" i="13"/>
  <c r="Q1165" i="13"/>
  <c r="P1165" i="13"/>
  <c r="O1165" i="13"/>
  <c r="N1165" i="13"/>
  <c r="M1165" i="13"/>
  <c r="L1165" i="13"/>
  <c r="J1165" i="13"/>
  <c r="G1165" i="13"/>
  <c r="F1165" i="13"/>
  <c r="E1165" i="13"/>
  <c r="D1165" i="13"/>
  <c r="C1165" i="13"/>
  <c r="B1165" i="13"/>
  <c r="A1165" i="13"/>
  <c r="AG1164" i="13"/>
  <c r="AF1164" i="13"/>
  <c r="AE1164" i="13"/>
  <c r="AD1164" i="13"/>
  <c r="Z1164" i="13"/>
  <c r="Y1164" i="13"/>
  <c r="X1164" i="13"/>
  <c r="W1164" i="13"/>
  <c r="U1164" i="13"/>
  <c r="T1164" i="13"/>
  <c r="S1164" i="13"/>
  <c r="R1164" i="13"/>
  <c r="Q1164" i="13"/>
  <c r="P1164" i="13"/>
  <c r="O1164" i="13"/>
  <c r="N1164" i="13"/>
  <c r="M1164" i="13"/>
  <c r="L1164" i="13"/>
  <c r="J1164" i="13"/>
  <c r="G1164" i="13"/>
  <c r="F1164" i="13"/>
  <c r="E1164" i="13"/>
  <c r="D1164" i="13"/>
  <c r="C1164" i="13"/>
  <c r="B1164" i="13"/>
  <c r="A1164" i="13"/>
  <c r="AG1163" i="13"/>
  <c r="AF1163" i="13"/>
  <c r="AE1163" i="13"/>
  <c r="AD1163" i="13"/>
  <c r="Z1163" i="13"/>
  <c r="Y1163" i="13"/>
  <c r="X1163" i="13"/>
  <c r="W1163" i="13"/>
  <c r="U1163" i="13"/>
  <c r="T1163" i="13"/>
  <c r="S1163" i="13"/>
  <c r="R1163" i="13"/>
  <c r="Q1163" i="13"/>
  <c r="P1163" i="13"/>
  <c r="O1163" i="13"/>
  <c r="N1163" i="13"/>
  <c r="M1163" i="13"/>
  <c r="L1163" i="13"/>
  <c r="J1163" i="13"/>
  <c r="G1163" i="13"/>
  <c r="F1163" i="13"/>
  <c r="E1163" i="13"/>
  <c r="D1163" i="13"/>
  <c r="C1163" i="13"/>
  <c r="B1163" i="13"/>
  <c r="A1163" i="13"/>
  <c r="AG1162" i="13"/>
  <c r="AF1162" i="13"/>
  <c r="AE1162" i="13"/>
  <c r="AD1162" i="13"/>
  <c r="Z1162" i="13"/>
  <c r="Y1162" i="13"/>
  <c r="X1162" i="13"/>
  <c r="W1162" i="13"/>
  <c r="U1162" i="13"/>
  <c r="T1162" i="13"/>
  <c r="S1162" i="13"/>
  <c r="R1162" i="13"/>
  <c r="Q1162" i="13"/>
  <c r="P1162" i="13"/>
  <c r="O1162" i="13"/>
  <c r="N1162" i="13"/>
  <c r="M1162" i="13"/>
  <c r="L1162" i="13"/>
  <c r="J1162" i="13"/>
  <c r="G1162" i="13"/>
  <c r="F1162" i="13"/>
  <c r="E1162" i="13"/>
  <c r="D1162" i="13"/>
  <c r="C1162" i="13"/>
  <c r="B1162" i="13"/>
  <c r="A1162" i="13"/>
  <c r="AG1161" i="13"/>
  <c r="AF1161" i="13"/>
  <c r="AE1161" i="13"/>
  <c r="AD1161" i="13"/>
  <c r="Z1161" i="13"/>
  <c r="Y1161" i="13"/>
  <c r="X1161" i="13"/>
  <c r="W1161" i="13"/>
  <c r="U1161" i="13"/>
  <c r="T1161" i="13"/>
  <c r="S1161" i="13"/>
  <c r="R1161" i="13"/>
  <c r="Q1161" i="13"/>
  <c r="P1161" i="13"/>
  <c r="O1161" i="13"/>
  <c r="N1161" i="13"/>
  <c r="M1161" i="13"/>
  <c r="L1161" i="13"/>
  <c r="J1161" i="13"/>
  <c r="G1161" i="13"/>
  <c r="F1161" i="13"/>
  <c r="E1161" i="13"/>
  <c r="D1161" i="13"/>
  <c r="C1161" i="13"/>
  <c r="B1161" i="13"/>
  <c r="A1161" i="13"/>
  <c r="AG1160" i="13"/>
  <c r="AF1160" i="13"/>
  <c r="AE1160" i="13"/>
  <c r="AD1160" i="13"/>
  <c r="Z1160" i="13"/>
  <c r="Y1160" i="13"/>
  <c r="X1160" i="13"/>
  <c r="W1160" i="13"/>
  <c r="U1160" i="13"/>
  <c r="T1160" i="13"/>
  <c r="S1160" i="13"/>
  <c r="R1160" i="13"/>
  <c r="Q1160" i="13"/>
  <c r="P1160" i="13"/>
  <c r="O1160" i="13"/>
  <c r="N1160" i="13"/>
  <c r="M1160" i="13"/>
  <c r="L1160" i="13"/>
  <c r="J1160" i="13"/>
  <c r="G1160" i="13"/>
  <c r="F1160" i="13"/>
  <c r="E1160" i="13"/>
  <c r="D1160" i="13"/>
  <c r="C1160" i="13"/>
  <c r="B1160" i="13"/>
  <c r="A1160" i="13"/>
  <c r="AG1159" i="13"/>
  <c r="AF1159" i="13"/>
  <c r="AE1159" i="13"/>
  <c r="AD1159" i="13"/>
  <c r="Z1159" i="13"/>
  <c r="Y1159" i="13"/>
  <c r="X1159" i="13"/>
  <c r="W1159" i="13"/>
  <c r="U1159" i="13"/>
  <c r="T1159" i="13"/>
  <c r="S1159" i="13"/>
  <c r="R1159" i="13"/>
  <c r="Q1159" i="13"/>
  <c r="P1159" i="13"/>
  <c r="O1159" i="13"/>
  <c r="N1159" i="13"/>
  <c r="M1159" i="13"/>
  <c r="L1159" i="13"/>
  <c r="J1159" i="13"/>
  <c r="G1159" i="13"/>
  <c r="F1159" i="13"/>
  <c r="E1159" i="13"/>
  <c r="D1159" i="13"/>
  <c r="C1159" i="13"/>
  <c r="B1159" i="13"/>
  <c r="A1159" i="13"/>
  <c r="AG1158" i="13"/>
  <c r="AF1158" i="13"/>
  <c r="AE1158" i="13"/>
  <c r="AD1158" i="13"/>
  <c r="Z1158" i="13"/>
  <c r="Y1158" i="13"/>
  <c r="X1158" i="13"/>
  <c r="W1158" i="13"/>
  <c r="U1158" i="13"/>
  <c r="T1158" i="13"/>
  <c r="S1158" i="13"/>
  <c r="R1158" i="13"/>
  <c r="Q1158" i="13"/>
  <c r="P1158" i="13"/>
  <c r="O1158" i="13"/>
  <c r="N1158" i="13"/>
  <c r="M1158" i="13"/>
  <c r="L1158" i="13"/>
  <c r="J1158" i="13"/>
  <c r="G1158" i="13"/>
  <c r="F1158" i="13"/>
  <c r="E1158" i="13"/>
  <c r="D1158" i="13"/>
  <c r="C1158" i="13"/>
  <c r="B1158" i="13"/>
  <c r="A1158" i="13"/>
  <c r="AG1157" i="13"/>
  <c r="AF1157" i="13"/>
  <c r="AE1157" i="13"/>
  <c r="AD1157" i="13"/>
  <c r="Z1157" i="13"/>
  <c r="Y1157" i="13"/>
  <c r="X1157" i="13"/>
  <c r="W1157" i="13"/>
  <c r="U1157" i="13"/>
  <c r="T1157" i="13"/>
  <c r="S1157" i="13"/>
  <c r="R1157" i="13"/>
  <c r="Q1157" i="13"/>
  <c r="P1157" i="13"/>
  <c r="O1157" i="13"/>
  <c r="N1157" i="13"/>
  <c r="M1157" i="13"/>
  <c r="L1157" i="13"/>
  <c r="J1157" i="13"/>
  <c r="G1157" i="13"/>
  <c r="F1157" i="13"/>
  <c r="E1157" i="13"/>
  <c r="D1157" i="13"/>
  <c r="C1157" i="13"/>
  <c r="B1157" i="13"/>
  <c r="A1157" i="13"/>
  <c r="AG1156" i="13"/>
  <c r="AF1156" i="13"/>
  <c r="AE1156" i="13"/>
  <c r="AD1156" i="13"/>
  <c r="Z1156" i="13"/>
  <c r="Y1156" i="13"/>
  <c r="X1156" i="13"/>
  <c r="W1156" i="13"/>
  <c r="U1156" i="13"/>
  <c r="T1156" i="13"/>
  <c r="S1156" i="13"/>
  <c r="R1156" i="13"/>
  <c r="Q1156" i="13"/>
  <c r="P1156" i="13"/>
  <c r="O1156" i="13"/>
  <c r="N1156" i="13"/>
  <c r="M1156" i="13"/>
  <c r="L1156" i="13"/>
  <c r="J1156" i="13"/>
  <c r="G1156" i="13"/>
  <c r="F1156" i="13"/>
  <c r="E1156" i="13"/>
  <c r="D1156" i="13"/>
  <c r="C1156" i="13"/>
  <c r="B1156" i="13"/>
  <c r="A1156" i="13"/>
  <c r="AG1155" i="13"/>
  <c r="AF1155" i="13"/>
  <c r="AE1155" i="13"/>
  <c r="AD1155" i="13"/>
  <c r="Z1155" i="13"/>
  <c r="Y1155" i="13"/>
  <c r="X1155" i="13"/>
  <c r="W1155" i="13"/>
  <c r="U1155" i="13"/>
  <c r="T1155" i="13"/>
  <c r="S1155" i="13"/>
  <c r="R1155" i="13"/>
  <c r="Q1155" i="13"/>
  <c r="P1155" i="13"/>
  <c r="O1155" i="13"/>
  <c r="N1155" i="13"/>
  <c r="M1155" i="13"/>
  <c r="L1155" i="13"/>
  <c r="J1155" i="13"/>
  <c r="G1155" i="13"/>
  <c r="F1155" i="13"/>
  <c r="E1155" i="13"/>
  <c r="D1155" i="13"/>
  <c r="C1155" i="13"/>
  <c r="B1155" i="13"/>
  <c r="A1155" i="13"/>
  <c r="AG1154" i="13"/>
  <c r="AF1154" i="13"/>
  <c r="AE1154" i="13"/>
  <c r="AD1154" i="13"/>
  <c r="Z1154" i="13"/>
  <c r="Y1154" i="13"/>
  <c r="X1154" i="13"/>
  <c r="W1154" i="13"/>
  <c r="U1154" i="13"/>
  <c r="T1154" i="13"/>
  <c r="S1154" i="13"/>
  <c r="R1154" i="13"/>
  <c r="Q1154" i="13"/>
  <c r="O1154" i="13"/>
  <c r="N1154" i="13"/>
  <c r="M1154" i="13"/>
  <c r="L1154" i="13"/>
  <c r="G1154" i="13"/>
  <c r="F1154" i="13"/>
  <c r="E1154" i="13"/>
  <c r="D1154" i="13"/>
  <c r="C1154" i="13"/>
  <c r="B1154" i="13"/>
  <c r="A1154" i="13"/>
  <c r="AG1153" i="13"/>
  <c r="AF1153" i="13"/>
  <c r="AE1153" i="13"/>
  <c r="AD1153" i="13"/>
  <c r="Z1153" i="13"/>
  <c r="Y1153" i="13"/>
  <c r="X1153" i="13"/>
  <c r="W1153" i="13"/>
  <c r="U1153" i="13"/>
  <c r="T1153" i="13"/>
  <c r="S1153" i="13"/>
  <c r="R1153" i="13"/>
  <c r="Q1153" i="13"/>
  <c r="O1153" i="13"/>
  <c r="N1153" i="13"/>
  <c r="M1153" i="13"/>
  <c r="L1153" i="13"/>
  <c r="G1153" i="13"/>
  <c r="F1153" i="13"/>
  <c r="E1153" i="13"/>
  <c r="D1153" i="13"/>
  <c r="C1153" i="13"/>
  <c r="B1153" i="13"/>
  <c r="A1153" i="13"/>
  <c r="AG1152" i="13"/>
  <c r="AF1152" i="13"/>
  <c r="AE1152" i="13"/>
  <c r="AD1152" i="13"/>
  <c r="Z1152" i="13"/>
  <c r="Y1152" i="13"/>
  <c r="X1152" i="13"/>
  <c r="W1152" i="13"/>
  <c r="U1152" i="13"/>
  <c r="T1152" i="13"/>
  <c r="S1152" i="13"/>
  <c r="R1152" i="13"/>
  <c r="Q1152" i="13"/>
  <c r="O1152" i="13"/>
  <c r="N1152" i="13"/>
  <c r="M1152" i="13"/>
  <c r="L1152" i="13"/>
  <c r="G1152" i="13"/>
  <c r="F1152" i="13"/>
  <c r="E1152" i="13"/>
  <c r="D1152" i="13"/>
  <c r="C1152" i="13"/>
  <c r="B1152" i="13"/>
  <c r="A1152" i="13"/>
  <c r="AH1151" i="13"/>
  <c r="AG1151" i="13"/>
  <c r="AF1151" i="13"/>
  <c r="AE1151" i="13"/>
  <c r="AD1151" i="13"/>
  <c r="Z1151" i="13"/>
  <c r="Y1151" i="13"/>
  <c r="X1151" i="13"/>
  <c r="W1151" i="13"/>
  <c r="U1151" i="13"/>
  <c r="T1151" i="13"/>
  <c r="S1151" i="13"/>
  <c r="R1151" i="13"/>
  <c r="Q1151" i="13"/>
  <c r="P1151" i="13"/>
  <c r="O1151" i="13"/>
  <c r="N1151" i="13"/>
  <c r="M1151" i="13"/>
  <c r="L1151" i="13"/>
  <c r="J1151" i="13"/>
  <c r="G1151" i="13"/>
  <c r="F1151" i="13"/>
  <c r="E1151" i="13"/>
  <c r="D1151" i="13"/>
  <c r="C1151" i="13"/>
  <c r="B1151" i="13"/>
  <c r="A1151" i="13"/>
  <c r="AG1150" i="13"/>
  <c r="AF1150" i="13"/>
  <c r="AE1150" i="13"/>
  <c r="AD1150" i="13"/>
  <c r="Z1150" i="13"/>
  <c r="Y1150" i="13"/>
  <c r="X1150" i="13"/>
  <c r="W1150" i="13"/>
  <c r="U1150" i="13"/>
  <c r="T1150" i="13"/>
  <c r="S1150" i="13"/>
  <c r="R1150" i="13"/>
  <c r="Q1150" i="13"/>
  <c r="P1150" i="13"/>
  <c r="O1150" i="13"/>
  <c r="N1150" i="13"/>
  <c r="M1150" i="13"/>
  <c r="L1150" i="13"/>
  <c r="J1150" i="13"/>
  <c r="G1150" i="13"/>
  <c r="F1150" i="13"/>
  <c r="E1150" i="13"/>
  <c r="D1150" i="13"/>
  <c r="C1150" i="13"/>
  <c r="B1150" i="13"/>
  <c r="A1150" i="13"/>
  <c r="AG1149" i="13"/>
  <c r="AF1149" i="13"/>
  <c r="AE1149" i="13"/>
  <c r="AD1149" i="13"/>
  <c r="Z1149" i="13"/>
  <c r="Y1149" i="13"/>
  <c r="X1149" i="13"/>
  <c r="W1149" i="13"/>
  <c r="U1149" i="13"/>
  <c r="T1149" i="13"/>
  <c r="S1149" i="13"/>
  <c r="R1149" i="13"/>
  <c r="Q1149" i="13"/>
  <c r="P1149" i="13"/>
  <c r="O1149" i="13"/>
  <c r="N1149" i="13"/>
  <c r="M1149" i="13"/>
  <c r="L1149" i="13"/>
  <c r="J1149" i="13"/>
  <c r="G1149" i="13"/>
  <c r="F1149" i="13"/>
  <c r="E1149" i="13"/>
  <c r="D1149" i="13"/>
  <c r="C1149" i="13"/>
  <c r="B1149" i="13"/>
  <c r="A1149" i="13"/>
  <c r="AG1148" i="13"/>
  <c r="AF1148" i="13"/>
  <c r="AE1148" i="13"/>
  <c r="AD1148" i="13"/>
  <c r="Z1148" i="13"/>
  <c r="Y1148" i="13"/>
  <c r="X1148" i="13"/>
  <c r="W1148" i="13"/>
  <c r="U1148" i="13"/>
  <c r="T1148" i="13"/>
  <c r="S1148" i="13"/>
  <c r="R1148" i="13"/>
  <c r="Q1148" i="13"/>
  <c r="P1148" i="13"/>
  <c r="O1148" i="13"/>
  <c r="N1148" i="13"/>
  <c r="M1148" i="13"/>
  <c r="L1148" i="13"/>
  <c r="J1148" i="13"/>
  <c r="G1148" i="13"/>
  <c r="F1148" i="13"/>
  <c r="E1148" i="13"/>
  <c r="D1148" i="13"/>
  <c r="C1148" i="13"/>
  <c r="B1148" i="13"/>
  <c r="A1148" i="13"/>
  <c r="AG1147" i="13"/>
  <c r="AF1147" i="13"/>
  <c r="AE1147" i="13"/>
  <c r="AD1147" i="13"/>
  <c r="Z1147" i="13"/>
  <c r="Y1147" i="13"/>
  <c r="X1147" i="13"/>
  <c r="W1147" i="13"/>
  <c r="U1147" i="13"/>
  <c r="T1147" i="13"/>
  <c r="S1147" i="13"/>
  <c r="R1147" i="13"/>
  <c r="Q1147" i="13"/>
  <c r="P1147" i="13"/>
  <c r="O1147" i="13"/>
  <c r="N1147" i="13"/>
  <c r="M1147" i="13"/>
  <c r="L1147" i="13"/>
  <c r="J1147" i="13"/>
  <c r="G1147" i="13"/>
  <c r="F1147" i="13"/>
  <c r="E1147" i="13"/>
  <c r="D1147" i="13"/>
  <c r="C1147" i="13"/>
  <c r="B1147" i="13"/>
  <c r="A1147" i="13"/>
  <c r="AG1146" i="13"/>
  <c r="AF1146" i="13"/>
  <c r="AE1146" i="13"/>
  <c r="AD1146" i="13"/>
  <c r="Z1146" i="13"/>
  <c r="Y1146" i="13"/>
  <c r="X1146" i="13"/>
  <c r="W1146" i="13"/>
  <c r="U1146" i="13"/>
  <c r="T1146" i="13"/>
  <c r="S1146" i="13"/>
  <c r="R1146" i="13"/>
  <c r="Q1146" i="13"/>
  <c r="P1146" i="13"/>
  <c r="O1146" i="13"/>
  <c r="N1146" i="13"/>
  <c r="M1146" i="13"/>
  <c r="L1146" i="13"/>
  <c r="J1146" i="13"/>
  <c r="G1146" i="13"/>
  <c r="F1146" i="13"/>
  <c r="E1146" i="13"/>
  <c r="D1146" i="13"/>
  <c r="C1146" i="13"/>
  <c r="B1146" i="13"/>
  <c r="A1146" i="13"/>
  <c r="AG1145" i="13"/>
  <c r="AF1145" i="13"/>
  <c r="AE1145" i="13"/>
  <c r="AD1145" i="13"/>
  <c r="Z1145" i="13"/>
  <c r="Y1145" i="13"/>
  <c r="X1145" i="13"/>
  <c r="W1145" i="13"/>
  <c r="U1145" i="13"/>
  <c r="T1145" i="13"/>
  <c r="S1145" i="13"/>
  <c r="R1145" i="13"/>
  <c r="Q1145" i="13"/>
  <c r="P1145" i="13"/>
  <c r="O1145" i="13"/>
  <c r="N1145" i="13"/>
  <c r="M1145" i="13"/>
  <c r="L1145" i="13"/>
  <c r="J1145" i="13"/>
  <c r="G1145" i="13"/>
  <c r="F1145" i="13"/>
  <c r="E1145" i="13"/>
  <c r="D1145" i="13"/>
  <c r="C1145" i="13"/>
  <c r="B1145" i="13"/>
  <c r="A1145" i="13"/>
  <c r="AG1144" i="13"/>
  <c r="AF1144" i="13"/>
  <c r="AE1144" i="13"/>
  <c r="AD1144" i="13"/>
  <c r="Z1144" i="13"/>
  <c r="Y1144" i="13"/>
  <c r="X1144" i="13"/>
  <c r="W1144" i="13"/>
  <c r="U1144" i="13"/>
  <c r="T1144" i="13"/>
  <c r="S1144" i="13"/>
  <c r="R1144" i="13"/>
  <c r="Q1144" i="13"/>
  <c r="P1144" i="13"/>
  <c r="O1144" i="13"/>
  <c r="N1144" i="13"/>
  <c r="M1144" i="13"/>
  <c r="L1144" i="13"/>
  <c r="J1144" i="13"/>
  <c r="G1144" i="13"/>
  <c r="F1144" i="13"/>
  <c r="E1144" i="13"/>
  <c r="D1144" i="13"/>
  <c r="C1144" i="13"/>
  <c r="B1144" i="13"/>
  <c r="A1144" i="13"/>
  <c r="AG1143" i="13"/>
  <c r="AF1143" i="13"/>
  <c r="AE1143" i="13"/>
  <c r="AD1143" i="13"/>
  <c r="Z1143" i="13"/>
  <c r="Y1143" i="13"/>
  <c r="X1143" i="13"/>
  <c r="W1143" i="13"/>
  <c r="U1143" i="13"/>
  <c r="T1143" i="13"/>
  <c r="S1143" i="13"/>
  <c r="R1143" i="13"/>
  <c r="Q1143" i="13"/>
  <c r="O1143" i="13"/>
  <c r="N1143" i="13"/>
  <c r="M1143" i="13"/>
  <c r="L1143" i="13"/>
  <c r="G1143" i="13"/>
  <c r="F1143" i="13"/>
  <c r="E1143" i="13"/>
  <c r="D1143" i="13"/>
  <c r="C1143" i="13"/>
  <c r="B1143" i="13"/>
  <c r="A1143" i="13"/>
  <c r="AG1142" i="13"/>
  <c r="AF1142" i="13"/>
  <c r="AE1142" i="13"/>
  <c r="AD1142" i="13"/>
  <c r="Z1142" i="13"/>
  <c r="Y1142" i="13"/>
  <c r="X1142" i="13"/>
  <c r="W1142" i="13"/>
  <c r="U1142" i="13"/>
  <c r="T1142" i="13"/>
  <c r="S1142" i="13"/>
  <c r="R1142" i="13"/>
  <c r="Q1142" i="13"/>
  <c r="O1142" i="13"/>
  <c r="N1142" i="13"/>
  <c r="M1142" i="13"/>
  <c r="L1142" i="13"/>
  <c r="G1142" i="13"/>
  <c r="F1142" i="13"/>
  <c r="E1142" i="13"/>
  <c r="D1142" i="13"/>
  <c r="C1142" i="13"/>
  <c r="B1142" i="13"/>
  <c r="A1142" i="13"/>
  <c r="AH1141" i="13"/>
  <c r="AG1141" i="13"/>
  <c r="AF1141" i="13"/>
  <c r="AE1141" i="13"/>
  <c r="AD1141" i="13"/>
  <c r="Z1141" i="13"/>
  <c r="Y1141" i="13"/>
  <c r="X1141" i="13"/>
  <c r="W1141" i="13"/>
  <c r="U1141" i="13"/>
  <c r="T1141" i="13"/>
  <c r="S1141" i="13"/>
  <c r="R1141" i="13"/>
  <c r="Q1141" i="13"/>
  <c r="O1141" i="13"/>
  <c r="N1141" i="13"/>
  <c r="M1141" i="13"/>
  <c r="L1141" i="13"/>
  <c r="G1141" i="13"/>
  <c r="F1141" i="13"/>
  <c r="E1141" i="13"/>
  <c r="D1141" i="13"/>
  <c r="C1141" i="13"/>
  <c r="B1141" i="13"/>
  <c r="A1141" i="13"/>
  <c r="AG1140" i="13"/>
  <c r="AF1140" i="13"/>
  <c r="AE1140" i="13"/>
  <c r="AD1140" i="13"/>
  <c r="Z1140" i="13"/>
  <c r="Y1140" i="13"/>
  <c r="X1140" i="13"/>
  <c r="U1140" i="13"/>
  <c r="T1140" i="13"/>
  <c r="S1140" i="13"/>
  <c r="R1140" i="13"/>
  <c r="Q1140" i="13"/>
  <c r="O1140" i="13"/>
  <c r="N1140" i="13"/>
  <c r="M1140" i="13"/>
  <c r="L1140" i="13"/>
  <c r="F1140" i="13"/>
  <c r="E1140" i="13"/>
  <c r="D1140" i="13"/>
  <c r="C1140" i="13"/>
  <c r="B1140" i="13"/>
  <c r="A1140" i="13"/>
  <c r="AG1139" i="13"/>
  <c r="AF1139" i="13"/>
  <c r="AE1139" i="13"/>
  <c r="AD1139" i="13"/>
  <c r="Z1139" i="13"/>
  <c r="Y1139" i="13"/>
  <c r="X1139" i="13"/>
  <c r="W1139" i="13"/>
  <c r="U1139" i="13"/>
  <c r="T1139" i="13"/>
  <c r="S1139" i="13"/>
  <c r="R1139" i="13"/>
  <c r="Q1139" i="13"/>
  <c r="O1139" i="13"/>
  <c r="N1139" i="13"/>
  <c r="M1139" i="13"/>
  <c r="L1139" i="13"/>
  <c r="G1139" i="13"/>
  <c r="F1139" i="13"/>
  <c r="E1139" i="13"/>
  <c r="D1139" i="13"/>
  <c r="C1139" i="13"/>
  <c r="B1139" i="13"/>
  <c r="A1139" i="13"/>
  <c r="AG1138" i="13"/>
  <c r="AF1138" i="13"/>
  <c r="AE1138" i="13"/>
  <c r="AD1138" i="13"/>
  <c r="Z1138" i="13"/>
  <c r="Y1138" i="13"/>
  <c r="X1138" i="13"/>
  <c r="U1138" i="13"/>
  <c r="T1138" i="13"/>
  <c r="S1138" i="13"/>
  <c r="R1138" i="13"/>
  <c r="Q1138" i="13"/>
  <c r="O1138" i="13"/>
  <c r="N1138" i="13"/>
  <c r="M1138" i="13"/>
  <c r="L1138" i="13"/>
  <c r="F1138" i="13"/>
  <c r="E1138" i="13"/>
  <c r="D1138" i="13"/>
  <c r="C1138" i="13"/>
  <c r="B1138" i="13"/>
  <c r="A1138" i="13"/>
  <c r="AG1137" i="13"/>
  <c r="AF1137" i="13"/>
  <c r="AE1137" i="13"/>
  <c r="AD1137" i="13"/>
  <c r="Z1137" i="13"/>
  <c r="Y1137" i="13"/>
  <c r="X1137" i="13"/>
  <c r="W1137" i="13"/>
  <c r="U1137" i="13"/>
  <c r="T1137" i="13"/>
  <c r="S1137" i="13"/>
  <c r="R1137" i="13"/>
  <c r="Q1137" i="13"/>
  <c r="P1137" i="13"/>
  <c r="O1137" i="13"/>
  <c r="N1137" i="13"/>
  <c r="M1137" i="13"/>
  <c r="L1137" i="13"/>
  <c r="J1137" i="13"/>
  <c r="G1137" i="13"/>
  <c r="F1137" i="13"/>
  <c r="E1137" i="13"/>
  <c r="D1137" i="13"/>
  <c r="C1137" i="13"/>
  <c r="B1137" i="13"/>
  <c r="A1137" i="13"/>
  <c r="AG1136" i="13"/>
  <c r="AF1136" i="13"/>
  <c r="AE1136" i="13"/>
  <c r="AD1136" i="13"/>
  <c r="Z1136" i="13"/>
  <c r="Y1136" i="13"/>
  <c r="X1136" i="13"/>
  <c r="W1136" i="13"/>
  <c r="U1136" i="13"/>
  <c r="T1136" i="13"/>
  <c r="S1136" i="13"/>
  <c r="R1136" i="13"/>
  <c r="Q1136" i="13"/>
  <c r="P1136" i="13"/>
  <c r="O1136" i="13"/>
  <c r="N1136" i="13"/>
  <c r="M1136" i="13"/>
  <c r="L1136" i="13"/>
  <c r="J1136" i="13"/>
  <c r="G1136" i="13"/>
  <c r="F1136" i="13"/>
  <c r="E1136" i="13"/>
  <c r="D1136" i="13"/>
  <c r="C1136" i="13"/>
  <c r="B1136" i="13"/>
  <c r="A1136" i="13"/>
  <c r="AG1135" i="13"/>
  <c r="AF1135" i="13"/>
  <c r="AE1135" i="13"/>
  <c r="AD1135" i="13"/>
  <c r="Z1135" i="13"/>
  <c r="Y1135" i="13"/>
  <c r="X1135" i="13"/>
  <c r="W1135" i="13"/>
  <c r="U1135" i="13"/>
  <c r="T1135" i="13"/>
  <c r="S1135" i="13"/>
  <c r="R1135" i="13"/>
  <c r="Q1135" i="13"/>
  <c r="P1135" i="13"/>
  <c r="O1135" i="13"/>
  <c r="N1135" i="13"/>
  <c r="M1135" i="13"/>
  <c r="L1135" i="13"/>
  <c r="J1135" i="13"/>
  <c r="G1135" i="13"/>
  <c r="F1135" i="13"/>
  <c r="E1135" i="13"/>
  <c r="D1135" i="13"/>
  <c r="C1135" i="13"/>
  <c r="B1135" i="13"/>
  <c r="A1135" i="13"/>
  <c r="AG1134" i="13"/>
  <c r="AF1134" i="13"/>
  <c r="AE1134" i="13"/>
  <c r="AD1134" i="13"/>
  <c r="Z1134" i="13"/>
  <c r="Y1134" i="13"/>
  <c r="X1134" i="13"/>
  <c r="W1134" i="13"/>
  <c r="U1134" i="13"/>
  <c r="T1134" i="13"/>
  <c r="S1134" i="13"/>
  <c r="R1134" i="13"/>
  <c r="Q1134" i="13"/>
  <c r="P1134" i="13"/>
  <c r="O1134" i="13"/>
  <c r="N1134" i="13"/>
  <c r="M1134" i="13"/>
  <c r="L1134" i="13"/>
  <c r="J1134" i="13"/>
  <c r="G1134" i="13"/>
  <c r="F1134" i="13"/>
  <c r="E1134" i="13"/>
  <c r="D1134" i="13"/>
  <c r="C1134" i="13"/>
  <c r="B1134" i="13"/>
  <c r="A1134" i="13"/>
  <c r="AG1133" i="13"/>
  <c r="AF1133" i="13"/>
  <c r="AE1133" i="13"/>
  <c r="AD1133" i="13"/>
  <c r="Z1133" i="13"/>
  <c r="Y1133" i="13"/>
  <c r="X1133" i="13"/>
  <c r="W1133" i="13"/>
  <c r="U1133" i="13"/>
  <c r="T1133" i="13"/>
  <c r="S1133" i="13"/>
  <c r="R1133" i="13"/>
  <c r="Q1133" i="13"/>
  <c r="P1133" i="13"/>
  <c r="O1133" i="13"/>
  <c r="N1133" i="13"/>
  <c r="M1133" i="13"/>
  <c r="L1133" i="13"/>
  <c r="J1133" i="13"/>
  <c r="G1133" i="13"/>
  <c r="F1133" i="13"/>
  <c r="E1133" i="13"/>
  <c r="D1133" i="13"/>
  <c r="C1133" i="13"/>
  <c r="B1133" i="13"/>
  <c r="A1133" i="13"/>
  <c r="AG1132" i="13"/>
  <c r="AF1132" i="13"/>
  <c r="AE1132" i="13"/>
  <c r="AD1132" i="13"/>
  <c r="Z1132" i="13"/>
  <c r="Y1132" i="13"/>
  <c r="X1132" i="13"/>
  <c r="W1132" i="13"/>
  <c r="U1132" i="13"/>
  <c r="T1132" i="13"/>
  <c r="S1132" i="13"/>
  <c r="R1132" i="13"/>
  <c r="Q1132" i="13"/>
  <c r="P1132" i="13"/>
  <c r="O1132" i="13"/>
  <c r="N1132" i="13"/>
  <c r="M1132" i="13"/>
  <c r="L1132" i="13"/>
  <c r="J1132" i="13"/>
  <c r="G1132" i="13"/>
  <c r="F1132" i="13"/>
  <c r="E1132" i="13"/>
  <c r="D1132" i="13"/>
  <c r="C1132" i="13"/>
  <c r="B1132" i="13"/>
  <c r="A1132" i="13"/>
  <c r="AG1131" i="13"/>
  <c r="AF1131" i="13"/>
  <c r="AE1131" i="13"/>
  <c r="AD1131" i="13"/>
  <c r="Z1131" i="13"/>
  <c r="Y1131" i="13"/>
  <c r="X1131" i="13"/>
  <c r="W1131" i="13"/>
  <c r="U1131" i="13"/>
  <c r="T1131" i="13"/>
  <c r="S1131" i="13"/>
  <c r="R1131" i="13"/>
  <c r="Q1131" i="13"/>
  <c r="P1131" i="13"/>
  <c r="O1131" i="13"/>
  <c r="N1131" i="13"/>
  <c r="M1131" i="13"/>
  <c r="L1131" i="13"/>
  <c r="J1131" i="13"/>
  <c r="G1131" i="13"/>
  <c r="F1131" i="13"/>
  <c r="E1131" i="13"/>
  <c r="D1131" i="13"/>
  <c r="C1131" i="13"/>
  <c r="B1131" i="13"/>
  <c r="A1131" i="13"/>
  <c r="AH1130" i="13"/>
  <c r="AG1130" i="13"/>
  <c r="AF1130" i="13"/>
  <c r="AE1130" i="13"/>
  <c r="AD1130" i="13"/>
  <c r="Z1130" i="13"/>
  <c r="Y1130" i="13"/>
  <c r="X1130" i="13"/>
  <c r="W1130" i="13"/>
  <c r="U1130" i="13"/>
  <c r="T1130" i="13"/>
  <c r="S1130" i="13"/>
  <c r="R1130" i="13"/>
  <c r="Q1130" i="13"/>
  <c r="P1130" i="13"/>
  <c r="O1130" i="13"/>
  <c r="N1130" i="13"/>
  <c r="M1130" i="13"/>
  <c r="L1130" i="13"/>
  <c r="J1130" i="13"/>
  <c r="G1130" i="13"/>
  <c r="F1130" i="13"/>
  <c r="E1130" i="13"/>
  <c r="D1130" i="13"/>
  <c r="C1130" i="13"/>
  <c r="B1130" i="13"/>
  <c r="A1130" i="13"/>
  <c r="AG1129" i="13"/>
  <c r="AF1129" i="13"/>
  <c r="AE1129" i="13"/>
  <c r="AD1129" i="13"/>
  <c r="Z1129" i="13"/>
  <c r="Y1129" i="13"/>
  <c r="X1129" i="13"/>
  <c r="W1129" i="13"/>
  <c r="U1129" i="13"/>
  <c r="T1129" i="13"/>
  <c r="S1129" i="13"/>
  <c r="R1129" i="13"/>
  <c r="Q1129" i="13"/>
  <c r="P1129" i="13"/>
  <c r="O1129" i="13"/>
  <c r="N1129" i="13"/>
  <c r="M1129" i="13"/>
  <c r="L1129" i="13"/>
  <c r="J1129" i="13"/>
  <c r="G1129" i="13"/>
  <c r="F1129" i="13"/>
  <c r="E1129" i="13"/>
  <c r="D1129" i="13"/>
  <c r="C1129" i="13"/>
  <c r="B1129" i="13"/>
  <c r="A1129" i="13"/>
  <c r="AG1128" i="13"/>
  <c r="AF1128" i="13"/>
  <c r="AE1128" i="13"/>
  <c r="AD1128" i="13"/>
  <c r="Z1128" i="13"/>
  <c r="Y1128" i="13"/>
  <c r="X1128" i="13"/>
  <c r="W1128" i="13"/>
  <c r="U1128" i="13"/>
  <c r="T1128" i="13"/>
  <c r="S1128" i="13"/>
  <c r="R1128" i="13"/>
  <c r="Q1128" i="13"/>
  <c r="P1128" i="13"/>
  <c r="O1128" i="13"/>
  <c r="N1128" i="13"/>
  <c r="M1128" i="13"/>
  <c r="L1128" i="13"/>
  <c r="J1128" i="13"/>
  <c r="G1128" i="13"/>
  <c r="F1128" i="13"/>
  <c r="E1128" i="13"/>
  <c r="D1128" i="13"/>
  <c r="C1128" i="13"/>
  <c r="B1128" i="13"/>
  <c r="A1128" i="13"/>
  <c r="AG1127" i="13"/>
  <c r="AF1127" i="13"/>
  <c r="AE1127" i="13"/>
  <c r="AD1127" i="13"/>
  <c r="Z1127" i="13"/>
  <c r="Y1127" i="13"/>
  <c r="X1127" i="13"/>
  <c r="W1127" i="13"/>
  <c r="U1127" i="13"/>
  <c r="T1127" i="13"/>
  <c r="S1127" i="13"/>
  <c r="R1127" i="13"/>
  <c r="Q1127" i="13"/>
  <c r="P1127" i="13"/>
  <c r="O1127" i="13"/>
  <c r="N1127" i="13"/>
  <c r="M1127" i="13"/>
  <c r="L1127" i="13"/>
  <c r="J1127" i="13"/>
  <c r="G1127" i="13"/>
  <c r="F1127" i="13"/>
  <c r="E1127" i="13"/>
  <c r="D1127" i="13"/>
  <c r="C1127" i="13"/>
  <c r="B1127" i="13"/>
  <c r="A1127" i="13"/>
  <c r="AG1126" i="13"/>
  <c r="AF1126" i="13"/>
  <c r="AE1126" i="13"/>
  <c r="AD1126" i="13"/>
  <c r="Z1126" i="13"/>
  <c r="Y1126" i="13"/>
  <c r="X1126" i="13"/>
  <c r="W1126" i="13"/>
  <c r="U1126" i="13"/>
  <c r="T1126" i="13"/>
  <c r="S1126" i="13"/>
  <c r="R1126" i="13"/>
  <c r="Q1126" i="13"/>
  <c r="P1126" i="13"/>
  <c r="O1126" i="13"/>
  <c r="N1126" i="13"/>
  <c r="M1126" i="13"/>
  <c r="L1126" i="13"/>
  <c r="J1126" i="13"/>
  <c r="G1126" i="13"/>
  <c r="F1126" i="13"/>
  <c r="E1126" i="13"/>
  <c r="D1126" i="13"/>
  <c r="C1126" i="13"/>
  <c r="B1126" i="13"/>
  <c r="A1126" i="13"/>
  <c r="AG1125" i="13"/>
  <c r="AF1125" i="13"/>
  <c r="AE1125" i="13"/>
  <c r="AD1125" i="13"/>
  <c r="Z1125" i="13"/>
  <c r="Y1125" i="13"/>
  <c r="X1125" i="13"/>
  <c r="W1125" i="13"/>
  <c r="U1125" i="13"/>
  <c r="T1125" i="13"/>
  <c r="S1125" i="13"/>
  <c r="R1125" i="13"/>
  <c r="Q1125" i="13"/>
  <c r="P1125" i="13"/>
  <c r="O1125" i="13"/>
  <c r="N1125" i="13"/>
  <c r="M1125" i="13"/>
  <c r="L1125" i="13"/>
  <c r="J1125" i="13"/>
  <c r="G1125" i="13"/>
  <c r="F1125" i="13"/>
  <c r="E1125" i="13"/>
  <c r="D1125" i="13"/>
  <c r="C1125" i="13"/>
  <c r="B1125" i="13"/>
  <c r="A1125" i="13"/>
  <c r="AG1124" i="13"/>
  <c r="AF1124" i="13"/>
  <c r="AE1124" i="13"/>
  <c r="AD1124" i="13"/>
  <c r="Z1124" i="13"/>
  <c r="Y1124" i="13"/>
  <c r="X1124" i="13"/>
  <c r="W1124" i="13"/>
  <c r="U1124" i="13"/>
  <c r="T1124" i="13"/>
  <c r="S1124" i="13"/>
  <c r="R1124" i="13"/>
  <c r="Q1124" i="13"/>
  <c r="P1124" i="13"/>
  <c r="O1124" i="13"/>
  <c r="N1124" i="13"/>
  <c r="M1124" i="13"/>
  <c r="L1124" i="13"/>
  <c r="J1124" i="13"/>
  <c r="G1124" i="13"/>
  <c r="F1124" i="13"/>
  <c r="E1124" i="13"/>
  <c r="D1124" i="13"/>
  <c r="C1124" i="13"/>
  <c r="B1124" i="13"/>
  <c r="A1124" i="13"/>
  <c r="AG1123" i="13"/>
  <c r="AF1123" i="13"/>
  <c r="AE1123" i="13"/>
  <c r="AD1123" i="13"/>
  <c r="Z1123" i="13"/>
  <c r="Y1123" i="13"/>
  <c r="X1123" i="13"/>
  <c r="W1123" i="13"/>
  <c r="U1123" i="13"/>
  <c r="T1123" i="13"/>
  <c r="S1123" i="13"/>
  <c r="R1123" i="13"/>
  <c r="Q1123" i="13"/>
  <c r="P1123" i="13"/>
  <c r="O1123" i="13"/>
  <c r="N1123" i="13"/>
  <c r="M1123" i="13"/>
  <c r="L1123" i="13"/>
  <c r="J1123" i="13"/>
  <c r="G1123" i="13"/>
  <c r="F1123" i="13"/>
  <c r="E1123" i="13"/>
  <c r="D1123" i="13"/>
  <c r="C1123" i="13"/>
  <c r="B1123" i="13"/>
  <c r="A1123" i="13"/>
  <c r="AH1122" i="13"/>
  <c r="AG1122" i="13"/>
  <c r="AF1122" i="13"/>
  <c r="AE1122" i="13"/>
  <c r="AD1122" i="13"/>
  <c r="Z1122" i="13"/>
  <c r="Y1122" i="13"/>
  <c r="X1122" i="13"/>
  <c r="W1122" i="13"/>
  <c r="U1122" i="13"/>
  <c r="T1122" i="13"/>
  <c r="S1122" i="13"/>
  <c r="R1122" i="13"/>
  <c r="Q1122" i="13"/>
  <c r="P1122" i="13"/>
  <c r="O1122" i="13"/>
  <c r="N1122" i="13"/>
  <c r="M1122" i="13"/>
  <c r="L1122" i="13"/>
  <c r="J1122" i="13"/>
  <c r="G1122" i="13"/>
  <c r="F1122" i="13"/>
  <c r="E1122" i="13"/>
  <c r="D1122" i="13"/>
  <c r="C1122" i="13"/>
  <c r="B1122" i="13"/>
  <c r="A1122" i="13"/>
  <c r="AG1121" i="13"/>
  <c r="AF1121" i="13"/>
  <c r="AE1121" i="13"/>
  <c r="AD1121" i="13"/>
  <c r="Z1121" i="13"/>
  <c r="Y1121" i="13"/>
  <c r="X1121" i="13"/>
  <c r="W1121" i="13"/>
  <c r="U1121" i="13"/>
  <c r="T1121" i="13"/>
  <c r="S1121" i="13"/>
  <c r="R1121" i="13"/>
  <c r="Q1121" i="13"/>
  <c r="P1121" i="13"/>
  <c r="O1121" i="13"/>
  <c r="N1121" i="13"/>
  <c r="M1121" i="13"/>
  <c r="L1121" i="13"/>
  <c r="J1121" i="13"/>
  <c r="G1121" i="13"/>
  <c r="F1121" i="13"/>
  <c r="E1121" i="13"/>
  <c r="D1121" i="13"/>
  <c r="C1121" i="13"/>
  <c r="B1121" i="13"/>
  <c r="A1121" i="13"/>
  <c r="AG1120" i="13"/>
  <c r="AF1120" i="13"/>
  <c r="AE1120" i="13"/>
  <c r="AD1120" i="13"/>
  <c r="Z1120" i="13"/>
  <c r="Y1120" i="13"/>
  <c r="X1120" i="13"/>
  <c r="W1120" i="13"/>
  <c r="U1120" i="13"/>
  <c r="T1120" i="13"/>
  <c r="S1120" i="13"/>
  <c r="R1120" i="13"/>
  <c r="Q1120" i="13"/>
  <c r="P1120" i="13"/>
  <c r="O1120" i="13"/>
  <c r="N1120" i="13"/>
  <c r="M1120" i="13"/>
  <c r="L1120" i="13"/>
  <c r="J1120" i="13"/>
  <c r="G1120" i="13"/>
  <c r="F1120" i="13"/>
  <c r="E1120" i="13"/>
  <c r="D1120" i="13"/>
  <c r="C1120" i="13"/>
  <c r="B1120" i="13"/>
  <c r="A1120" i="13"/>
  <c r="AG1119" i="13"/>
  <c r="AF1119" i="13"/>
  <c r="AE1119" i="13"/>
  <c r="AD1119" i="13"/>
  <c r="Z1119" i="13"/>
  <c r="Y1119" i="13"/>
  <c r="X1119" i="13"/>
  <c r="W1119" i="13"/>
  <c r="U1119" i="13"/>
  <c r="T1119" i="13"/>
  <c r="S1119" i="13"/>
  <c r="R1119" i="13"/>
  <c r="Q1119" i="13"/>
  <c r="P1119" i="13"/>
  <c r="O1119" i="13"/>
  <c r="N1119" i="13"/>
  <c r="M1119" i="13"/>
  <c r="L1119" i="13"/>
  <c r="J1119" i="13"/>
  <c r="G1119" i="13"/>
  <c r="F1119" i="13"/>
  <c r="E1119" i="13"/>
  <c r="D1119" i="13"/>
  <c r="C1119" i="13"/>
  <c r="B1119" i="13"/>
  <c r="A1119" i="13"/>
  <c r="AG1118" i="13"/>
  <c r="AF1118" i="13"/>
  <c r="AE1118" i="13"/>
  <c r="AD1118" i="13"/>
  <c r="Z1118" i="13"/>
  <c r="Y1118" i="13"/>
  <c r="X1118" i="13"/>
  <c r="W1118" i="13"/>
  <c r="U1118" i="13"/>
  <c r="T1118" i="13"/>
  <c r="S1118" i="13"/>
  <c r="R1118" i="13"/>
  <c r="Q1118" i="13"/>
  <c r="P1118" i="13"/>
  <c r="O1118" i="13"/>
  <c r="N1118" i="13"/>
  <c r="M1118" i="13"/>
  <c r="L1118" i="13"/>
  <c r="J1118" i="13"/>
  <c r="G1118" i="13"/>
  <c r="F1118" i="13"/>
  <c r="E1118" i="13"/>
  <c r="D1118" i="13"/>
  <c r="C1118" i="13"/>
  <c r="B1118" i="13"/>
  <c r="A1118" i="13"/>
  <c r="AG1117" i="13"/>
  <c r="AF1117" i="13"/>
  <c r="AE1117" i="13"/>
  <c r="AD1117" i="13"/>
  <c r="Z1117" i="13"/>
  <c r="Y1117" i="13"/>
  <c r="X1117" i="13"/>
  <c r="W1117" i="13"/>
  <c r="U1117" i="13"/>
  <c r="T1117" i="13"/>
  <c r="S1117" i="13"/>
  <c r="R1117" i="13"/>
  <c r="Q1117" i="13"/>
  <c r="P1117" i="13"/>
  <c r="O1117" i="13"/>
  <c r="N1117" i="13"/>
  <c r="M1117" i="13"/>
  <c r="L1117" i="13"/>
  <c r="J1117" i="13"/>
  <c r="G1117" i="13"/>
  <c r="F1117" i="13"/>
  <c r="E1117" i="13"/>
  <c r="D1117" i="13"/>
  <c r="C1117" i="13"/>
  <c r="B1117" i="13"/>
  <c r="A1117" i="13"/>
  <c r="AG1116" i="13"/>
  <c r="AF1116" i="13"/>
  <c r="AE1116" i="13"/>
  <c r="AD1116" i="13"/>
  <c r="Z1116" i="13"/>
  <c r="Y1116" i="13"/>
  <c r="X1116" i="13"/>
  <c r="W1116" i="13"/>
  <c r="U1116" i="13"/>
  <c r="T1116" i="13"/>
  <c r="S1116" i="13"/>
  <c r="R1116" i="13"/>
  <c r="Q1116" i="13"/>
  <c r="P1116" i="13"/>
  <c r="O1116" i="13"/>
  <c r="N1116" i="13"/>
  <c r="M1116" i="13"/>
  <c r="L1116" i="13"/>
  <c r="J1116" i="13"/>
  <c r="G1116" i="13"/>
  <c r="F1116" i="13"/>
  <c r="E1116" i="13"/>
  <c r="D1116" i="13"/>
  <c r="C1116" i="13"/>
  <c r="B1116" i="13"/>
  <c r="A1116" i="13"/>
  <c r="AG1115" i="13"/>
  <c r="AF1115" i="13"/>
  <c r="AE1115" i="13"/>
  <c r="AD1115" i="13"/>
  <c r="Z1115" i="13"/>
  <c r="Y1115" i="13"/>
  <c r="X1115" i="13"/>
  <c r="W1115" i="13"/>
  <c r="U1115" i="13"/>
  <c r="T1115" i="13"/>
  <c r="S1115" i="13"/>
  <c r="R1115" i="13"/>
  <c r="Q1115" i="13"/>
  <c r="P1115" i="13"/>
  <c r="O1115" i="13"/>
  <c r="N1115" i="13"/>
  <c r="M1115" i="13"/>
  <c r="L1115" i="13"/>
  <c r="J1115" i="13"/>
  <c r="G1115" i="13"/>
  <c r="F1115" i="13"/>
  <c r="E1115" i="13"/>
  <c r="D1115" i="13"/>
  <c r="C1115" i="13"/>
  <c r="B1115" i="13"/>
  <c r="A1115" i="13"/>
  <c r="AG1114" i="13"/>
  <c r="AF1114" i="13"/>
  <c r="AE1114" i="13"/>
  <c r="AD1114" i="13"/>
  <c r="Z1114" i="13"/>
  <c r="Y1114" i="13"/>
  <c r="X1114" i="13"/>
  <c r="W1114" i="13"/>
  <c r="U1114" i="13"/>
  <c r="T1114" i="13"/>
  <c r="S1114" i="13"/>
  <c r="R1114" i="13"/>
  <c r="Q1114" i="13"/>
  <c r="P1114" i="13"/>
  <c r="O1114" i="13"/>
  <c r="N1114" i="13"/>
  <c r="M1114" i="13"/>
  <c r="L1114" i="13"/>
  <c r="J1114" i="13"/>
  <c r="G1114" i="13"/>
  <c r="F1114" i="13"/>
  <c r="E1114" i="13"/>
  <c r="D1114" i="13"/>
  <c r="C1114" i="13"/>
  <c r="B1114" i="13"/>
  <c r="A1114" i="13"/>
  <c r="AG1113" i="13"/>
  <c r="AF1113" i="13"/>
  <c r="AE1113" i="13"/>
  <c r="AD1113" i="13"/>
  <c r="Z1113" i="13"/>
  <c r="Y1113" i="13"/>
  <c r="X1113" i="13"/>
  <c r="W1113" i="13"/>
  <c r="U1113" i="13"/>
  <c r="T1113" i="13"/>
  <c r="S1113" i="13"/>
  <c r="R1113" i="13"/>
  <c r="Q1113" i="13"/>
  <c r="P1113" i="13"/>
  <c r="O1113" i="13"/>
  <c r="N1113" i="13"/>
  <c r="M1113" i="13"/>
  <c r="L1113" i="13"/>
  <c r="J1113" i="13"/>
  <c r="G1113" i="13"/>
  <c r="F1113" i="13"/>
  <c r="E1113" i="13"/>
  <c r="D1113" i="13"/>
  <c r="C1113" i="13"/>
  <c r="B1113" i="13"/>
  <c r="A1113" i="13"/>
  <c r="AG1112" i="13"/>
  <c r="AF1112" i="13"/>
  <c r="AE1112" i="13"/>
  <c r="AD1112" i="13"/>
  <c r="Z1112" i="13"/>
  <c r="Y1112" i="13"/>
  <c r="X1112" i="13"/>
  <c r="W1112" i="13"/>
  <c r="U1112" i="13"/>
  <c r="T1112" i="13"/>
  <c r="S1112" i="13"/>
  <c r="R1112" i="13"/>
  <c r="Q1112" i="13"/>
  <c r="P1112" i="13"/>
  <c r="O1112" i="13"/>
  <c r="N1112" i="13"/>
  <c r="M1112" i="13"/>
  <c r="L1112" i="13"/>
  <c r="J1112" i="13"/>
  <c r="G1112" i="13"/>
  <c r="F1112" i="13"/>
  <c r="E1112" i="13"/>
  <c r="D1112" i="13"/>
  <c r="C1112" i="13"/>
  <c r="B1112" i="13"/>
  <c r="A1112" i="13"/>
  <c r="AG1111" i="13"/>
  <c r="AF1111" i="13"/>
  <c r="AE1111" i="13"/>
  <c r="AD1111" i="13"/>
  <c r="Z1111" i="13"/>
  <c r="Y1111" i="13"/>
  <c r="X1111" i="13"/>
  <c r="W1111" i="13"/>
  <c r="U1111" i="13"/>
  <c r="T1111" i="13"/>
  <c r="S1111" i="13"/>
  <c r="R1111" i="13"/>
  <c r="Q1111" i="13"/>
  <c r="P1111" i="13"/>
  <c r="O1111" i="13"/>
  <c r="N1111" i="13"/>
  <c r="M1111" i="13"/>
  <c r="L1111" i="13"/>
  <c r="J1111" i="13"/>
  <c r="G1111" i="13"/>
  <c r="F1111" i="13"/>
  <c r="E1111" i="13"/>
  <c r="D1111" i="13"/>
  <c r="C1111" i="13"/>
  <c r="B1111" i="13"/>
  <c r="A1111" i="13"/>
  <c r="AG1110" i="13"/>
  <c r="AF1110" i="13"/>
  <c r="AE1110" i="13"/>
  <c r="AD1110" i="13"/>
  <c r="Z1110" i="13"/>
  <c r="Y1110" i="13"/>
  <c r="X1110" i="13"/>
  <c r="W1110" i="13"/>
  <c r="U1110" i="13"/>
  <c r="T1110" i="13"/>
  <c r="S1110" i="13"/>
  <c r="R1110" i="13"/>
  <c r="Q1110" i="13"/>
  <c r="P1110" i="13"/>
  <c r="O1110" i="13"/>
  <c r="N1110" i="13"/>
  <c r="M1110" i="13"/>
  <c r="L1110" i="13"/>
  <c r="J1110" i="13"/>
  <c r="G1110" i="13"/>
  <c r="F1110" i="13"/>
  <c r="E1110" i="13"/>
  <c r="D1110" i="13"/>
  <c r="C1110" i="13"/>
  <c r="B1110" i="13"/>
  <c r="A1110" i="13"/>
  <c r="AG1109" i="13"/>
  <c r="AF1109" i="13"/>
  <c r="AE1109" i="13"/>
  <c r="AD1109" i="13"/>
  <c r="Z1109" i="13"/>
  <c r="Y1109" i="13"/>
  <c r="X1109" i="13"/>
  <c r="W1109" i="13"/>
  <c r="U1109" i="13"/>
  <c r="T1109" i="13"/>
  <c r="S1109" i="13"/>
  <c r="R1109" i="13"/>
  <c r="Q1109" i="13"/>
  <c r="P1109" i="13"/>
  <c r="O1109" i="13"/>
  <c r="N1109" i="13"/>
  <c r="M1109" i="13"/>
  <c r="L1109" i="13"/>
  <c r="J1109" i="13"/>
  <c r="G1109" i="13"/>
  <c r="F1109" i="13"/>
  <c r="E1109" i="13"/>
  <c r="D1109" i="13"/>
  <c r="C1109" i="13"/>
  <c r="B1109" i="13"/>
  <c r="A1109" i="13"/>
  <c r="AG1108" i="13"/>
  <c r="AF1108" i="13"/>
  <c r="AE1108" i="13"/>
  <c r="AD1108" i="13"/>
  <c r="Z1108" i="13"/>
  <c r="Y1108" i="13"/>
  <c r="X1108" i="13"/>
  <c r="W1108" i="13"/>
  <c r="U1108" i="13"/>
  <c r="T1108" i="13"/>
  <c r="S1108" i="13"/>
  <c r="R1108" i="13"/>
  <c r="Q1108" i="13"/>
  <c r="P1108" i="13"/>
  <c r="O1108" i="13"/>
  <c r="N1108" i="13"/>
  <c r="M1108" i="13"/>
  <c r="L1108" i="13"/>
  <c r="J1108" i="13"/>
  <c r="G1108" i="13"/>
  <c r="F1108" i="13"/>
  <c r="E1108" i="13"/>
  <c r="D1108" i="13"/>
  <c r="C1108" i="13"/>
  <c r="B1108" i="13"/>
  <c r="A1108" i="13"/>
  <c r="AG1107" i="13"/>
  <c r="AF1107" i="13"/>
  <c r="AE1107" i="13"/>
  <c r="AD1107" i="13"/>
  <c r="Z1107" i="13"/>
  <c r="Y1107" i="13"/>
  <c r="X1107" i="13"/>
  <c r="W1107" i="13"/>
  <c r="U1107" i="13"/>
  <c r="T1107" i="13"/>
  <c r="S1107" i="13"/>
  <c r="R1107" i="13"/>
  <c r="Q1107" i="13"/>
  <c r="P1107" i="13"/>
  <c r="O1107" i="13"/>
  <c r="N1107" i="13"/>
  <c r="M1107" i="13"/>
  <c r="L1107" i="13"/>
  <c r="J1107" i="13"/>
  <c r="G1107" i="13"/>
  <c r="F1107" i="13"/>
  <c r="E1107" i="13"/>
  <c r="D1107" i="13"/>
  <c r="C1107" i="13"/>
  <c r="B1107" i="13"/>
  <c r="A1107" i="13"/>
  <c r="AG1106" i="13"/>
  <c r="AF1106" i="13"/>
  <c r="AE1106" i="13"/>
  <c r="AD1106" i="13"/>
  <c r="Z1106" i="13"/>
  <c r="Y1106" i="13"/>
  <c r="X1106" i="13"/>
  <c r="W1106" i="13"/>
  <c r="U1106" i="13"/>
  <c r="T1106" i="13"/>
  <c r="S1106" i="13"/>
  <c r="R1106" i="13"/>
  <c r="Q1106" i="13"/>
  <c r="P1106" i="13"/>
  <c r="O1106" i="13"/>
  <c r="N1106" i="13"/>
  <c r="M1106" i="13"/>
  <c r="L1106" i="13"/>
  <c r="J1106" i="13"/>
  <c r="G1106" i="13"/>
  <c r="F1106" i="13"/>
  <c r="E1106" i="13"/>
  <c r="D1106" i="13"/>
  <c r="C1106" i="13"/>
  <c r="B1106" i="13"/>
  <c r="A1106" i="13"/>
  <c r="AG1105" i="13"/>
  <c r="AF1105" i="13"/>
  <c r="AE1105" i="13"/>
  <c r="AD1105" i="13"/>
  <c r="Z1105" i="13"/>
  <c r="Y1105" i="13"/>
  <c r="X1105" i="13"/>
  <c r="W1105" i="13"/>
  <c r="U1105" i="13"/>
  <c r="T1105" i="13"/>
  <c r="S1105" i="13"/>
  <c r="R1105" i="13"/>
  <c r="Q1105" i="13"/>
  <c r="P1105" i="13"/>
  <c r="O1105" i="13"/>
  <c r="N1105" i="13"/>
  <c r="M1105" i="13"/>
  <c r="L1105" i="13"/>
  <c r="J1105" i="13"/>
  <c r="G1105" i="13"/>
  <c r="F1105" i="13"/>
  <c r="E1105" i="13"/>
  <c r="D1105" i="13"/>
  <c r="C1105" i="13"/>
  <c r="B1105" i="13"/>
  <c r="A1105" i="13"/>
  <c r="AG1104" i="13"/>
  <c r="AF1104" i="13"/>
  <c r="AE1104" i="13"/>
  <c r="AD1104" i="13"/>
  <c r="Z1104" i="13"/>
  <c r="Y1104" i="13"/>
  <c r="X1104" i="13"/>
  <c r="W1104" i="13"/>
  <c r="U1104" i="13"/>
  <c r="T1104" i="13"/>
  <c r="S1104" i="13"/>
  <c r="R1104" i="13"/>
  <c r="Q1104" i="13"/>
  <c r="P1104" i="13"/>
  <c r="O1104" i="13"/>
  <c r="N1104" i="13"/>
  <c r="M1104" i="13"/>
  <c r="L1104" i="13"/>
  <c r="J1104" i="13"/>
  <c r="G1104" i="13"/>
  <c r="F1104" i="13"/>
  <c r="E1104" i="13"/>
  <c r="D1104" i="13"/>
  <c r="C1104" i="13"/>
  <c r="B1104" i="13"/>
  <c r="A1104" i="13"/>
  <c r="AH1103" i="13"/>
  <c r="AG1103" i="13"/>
  <c r="AF1103" i="13"/>
  <c r="AE1103" i="13"/>
  <c r="AD1103" i="13"/>
  <c r="Z1103" i="13"/>
  <c r="Y1103" i="13"/>
  <c r="X1103" i="13"/>
  <c r="W1103" i="13"/>
  <c r="U1103" i="13"/>
  <c r="T1103" i="13"/>
  <c r="S1103" i="13"/>
  <c r="R1103" i="13"/>
  <c r="Q1103" i="13"/>
  <c r="P1103" i="13"/>
  <c r="O1103" i="13"/>
  <c r="N1103" i="13"/>
  <c r="M1103" i="13"/>
  <c r="L1103" i="13"/>
  <c r="J1103" i="13"/>
  <c r="G1103" i="13"/>
  <c r="F1103" i="13"/>
  <c r="E1103" i="13"/>
  <c r="D1103" i="13"/>
  <c r="C1103" i="13"/>
  <c r="B1103" i="13"/>
  <c r="A1103" i="13"/>
  <c r="AG1102" i="13"/>
  <c r="AF1102" i="13"/>
  <c r="AE1102" i="13"/>
  <c r="AD1102" i="13"/>
  <c r="Z1102" i="13"/>
  <c r="Y1102" i="13"/>
  <c r="X1102" i="13"/>
  <c r="W1102" i="13"/>
  <c r="U1102" i="13"/>
  <c r="T1102" i="13"/>
  <c r="S1102" i="13"/>
  <c r="R1102" i="13"/>
  <c r="Q1102" i="13"/>
  <c r="P1102" i="13"/>
  <c r="O1102" i="13"/>
  <c r="N1102" i="13"/>
  <c r="M1102" i="13"/>
  <c r="L1102" i="13"/>
  <c r="J1102" i="13"/>
  <c r="G1102" i="13"/>
  <c r="F1102" i="13"/>
  <c r="E1102" i="13"/>
  <c r="D1102" i="13"/>
  <c r="C1102" i="13"/>
  <c r="B1102" i="13"/>
  <c r="A1102" i="13"/>
  <c r="AG1101" i="13"/>
  <c r="AF1101" i="13"/>
  <c r="AE1101" i="13"/>
  <c r="AD1101" i="13"/>
  <c r="Z1101" i="13"/>
  <c r="Y1101" i="13"/>
  <c r="X1101" i="13"/>
  <c r="W1101" i="13"/>
  <c r="U1101" i="13"/>
  <c r="T1101" i="13"/>
  <c r="S1101" i="13"/>
  <c r="R1101" i="13"/>
  <c r="Q1101" i="13"/>
  <c r="P1101" i="13"/>
  <c r="O1101" i="13"/>
  <c r="N1101" i="13"/>
  <c r="M1101" i="13"/>
  <c r="L1101" i="13"/>
  <c r="J1101" i="13"/>
  <c r="G1101" i="13"/>
  <c r="F1101" i="13"/>
  <c r="E1101" i="13"/>
  <c r="D1101" i="13"/>
  <c r="C1101" i="13"/>
  <c r="B1101" i="13"/>
  <c r="A1101" i="13"/>
  <c r="AG1100" i="13"/>
  <c r="AF1100" i="13"/>
  <c r="AE1100" i="13"/>
  <c r="AD1100" i="13"/>
  <c r="Z1100" i="13"/>
  <c r="Y1100" i="13"/>
  <c r="X1100" i="13"/>
  <c r="W1100" i="13"/>
  <c r="U1100" i="13"/>
  <c r="T1100" i="13"/>
  <c r="S1100" i="13"/>
  <c r="R1100" i="13"/>
  <c r="Q1100" i="13"/>
  <c r="P1100" i="13"/>
  <c r="O1100" i="13"/>
  <c r="N1100" i="13"/>
  <c r="M1100" i="13"/>
  <c r="L1100" i="13"/>
  <c r="J1100" i="13"/>
  <c r="G1100" i="13"/>
  <c r="F1100" i="13"/>
  <c r="E1100" i="13"/>
  <c r="D1100" i="13"/>
  <c r="C1100" i="13"/>
  <c r="B1100" i="13"/>
  <c r="A1100" i="13"/>
  <c r="AG1099" i="13"/>
  <c r="AF1099" i="13"/>
  <c r="AE1099" i="13"/>
  <c r="AD1099" i="13"/>
  <c r="Z1099" i="13"/>
  <c r="Y1099" i="13"/>
  <c r="X1099" i="13"/>
  <c r="W1099" i="13"/>
  <c r="U1099" i="13"/>
  <c r="T1099" i="13"/>
  <c r="S1099" i="13"/>
  <c r="R1099" i="13"/>
  <c r="Q1099" i="13"/>
  <c r="P1099" i="13"/>
  <c r="O1099" i="13"/>
  <c r="N1099" i="13"/>
  <c r="M1099" i="13"/>
  <c r="L1099" i="13"/>
  <c r="J1099" i="13"/>
  <c r="G1099" i="13"/>
  <c r="F1099" i="13"/>
  <c r="E1099" i="13"/>
  <c r="D1099" i="13"/>
  <c r="C1099" i="13"/>
  <c r="B1099" i="13"/>
  <c r="A1099" i="13"/>
  <c r="AG1098" i="13"/>
  <c r="AF1098" i="13"/>
  <c r="AE1098" i="13"/>
  <c r="AD1098" i="13"/>
  <c r="Z1098" i="13"/>
  <c r="Y1098" i="13"/>
  <c r="X1098" i="13"/>
  <c r="W1098" i="13"/>
  <c r="U1098" i="13"/>
  <c r="T1098" i="13"/>
  <c r="S1098" i="13"/>
  <c r="R1098" i="13"/>
  <c r="Q1098" i="13"/>
  <c r="P1098" i="13"/>
  <c r="O1098" i="13"/>
  <c r="N1098" i="13"/>
  <c r="M1098" i="13"/>
  <c r="L1098" i="13"/>
  <c r="J1098" i="13"/>
  <c r="G1098" i="13"/>
  <c r="F1098" i="13"/>
  <c r="E1098" i="13"/>
  <c r="D1098" i="13"/>
  <c r="C1098" i="13"/>
  <c r="B1098" i="13"/>
  <c r="A1098" i="13"/>
  <c r="AG1097" i="13"/>
  <c r="AF1097" i="13"/>
  <c r="AE1097" i="13"/>
  <c r="AD1097" i="13"/>
  <c r="Z1097" i="13"/>
  <c r="Y1097" i="13"/>
  <c r="X1097" i="13"/>
  <c r="W1097" i="13"/>
  <c r="U1097" i="13"/>
  <c r="T1097" i="13"/>
  <c r="S1097" i="13"/>
  <c r="R1097" i="13"/>
  <c r="Q1097" i="13"/>
  <c r="P1097" i="13"/>
  <c r="O1097" i="13"/>
  <c r="N1097" i="13"/>
  <c r="M1097" i="13"/>
  <c r="L1097" i="13"/>
  <c r="J1097" i="13"/>
  <c r="G1097" i="13"/>
  <c r="F1097" i="13"/>
  <c r="E1097" i="13"/>
  <c r="D1097" i="13"/>
  <c r="C1097" i="13"/>
  <c r="B1097" i="13"/>
  <c r="A1097" i="13"/>
  <c r="AG1096" i="13"/>
  <c r="AF1096" i="13"/>
  <c r="AE1096" i="13"/>
  <c r="AD1096" i="13"/>
  <c r="Z1096" i="13"/>
  <c r="Y1096" i="13"/>
  <c r="X1096" i="13"/>
  <c r="W1096" i="13"/>
  <c r="U1096" i="13"/>
  <c r="T1096" i="13"/>
  <c r="S1096" i="13"/>
  <c r="R1096" i="13"/>
  <c r="Q1096" i="13"/>
  <c r="P1096" i="13"/>
  <c r="O1096" i="13"/>
  <c r="N1096" i="13"/>
  <c r="M1096" i="13"/>
  <c r="L1096" i="13"/>
  <c r="J1096" i="13"/>
  <c r="G1096" i="13"/>
  <c r="F1096" i="13"/>
  <c r="E1096" i="13"/>
  <c r="D1096" i="13"/>
  <c r="C1096" i="13"/>
  <c r="B1096" i="13"/>
  <c r="A1096" i="13"/>
  <c r="AG1095" i="13"/>
  <c r="AF1095" i="13"/>
  <c r="AE1095" i="13"/>
  <c r="AD1095" i="13"/>
  <c r="Z1095" i="13"/>
  <c r="Y1095" i="13"/>
  <c r="X1095" i="13"/>
  <c r="W1095" i="13"/>
  <c r="U1095" i="13"/>
  <c r="T1095" i="13"/>
  <c r="S1095" i="13"/>
  <c r="R1095" i="13"/>
  <c r="Q1095" i="13"/>
  <c r="P1095" i="13"/>
  <c r="O1095" i="13"/>
  <c r="N1095" i="13"/>
  <c r="M1095" i="13"/>
  <c r="L1095" i="13"/>
  <c r="J1095" i="13"/>
  <c r="G1095" i="13"/>
  <c r="F1095" i="13"/>
  <c r="E1095" i="13"/>
  <c r="D1095" i="13"/>
  <c r="C1095" i="13"/>
  <c r="B1095" i="13"/>
  <c r="A1095" i="13"/>
  <c r="AG1094" i="13"/>
  <c r="AF1094" i="13"/>
  <c r="AE1094" i="13"/>
  <c r="AD1094" i="13"/>
  <c r="Z1094" i="13"/>
  <c r="Y1094" i="13"/>
  <c r="X1094" i="13"/>
  <c r="W1094" i="13"/>
  <c r="U1094" i="13"/>
  <c r="T1094" i="13"/>
  <c r="S1094" i="13"/>
  <c r="R1094" i="13"/>
  <c r="Q1094" i="13"/>
  <c r="P1094" i="13"/>
  <c r="O1094" i="13"/>
  <c r="N1094" i="13"/>
  <c r="M1094" i="13"/>
  <c r="L1094" i="13"/>
  <c r="J1094" i="13"/>
  <c r="G1094" i="13"/>
  <c r="F1094" i="13"/>
  <c r="E1094" i="13"/>
  <c r="D1094" i="13"/>
  <c r="C1094" i="13"/>
  <c r="B1094" i="13"/>
  <c r="A1094" i="13"/>
  <c r="AG1093" i="13"/>
  <c r="AF1093" i="13"/>
  <c r="AE1093" i="13"/>
  <c r="AD1093" i="13"/>
  <c r="Z1093" i="13"/>
  <c r="Y1093" i="13"/>
  <c r="X1093" i="13"/>
  <c r="W1093" i="13"/>
  <c r="U1093" i="13"/>
  <c r="T1093" i="13"/>
  <c r="S1093" i="13"/>
  <c r="R1093" i="13"/>
  <c r="Q1093" i="13"/>
  <c r="P1093" i="13"/>
  <c r="O1093" i="13"/>
  <c r="N1093" i="13"/>
  <c r="M1093" i="13"/>
  <c r="L1093" i="13"/>
  <c r="J1093" i="13"/>
  <c r="G1093" i="13"/>
  <c r="F1093" i="13"/>
  <c r="E1093" i="13"/>
  <c r="D1093" i="13"/>
  <c r="C1093" i="13"/>
  <c r="B1093" i="13"/>
  <c r="A1093" i="13"/>
  <c r="AG1092" i="13"/>
  <c r="AF1092" i="13"/>
  <c r="AE1092" i="13"/>
  <c r="AD1092" i="13"/>
  <c r="Z1092" i="13"/>
  <c r="Y1092" i="13"/>
  <c r="X1092" i="13"/>
  <c r="W1092" i="13"/>
  <c r="U1092" i="13"/>
  <c r="T1092" i="13"/>
  <c r="S1092" i="13"/>
  <c r="R1092" i="13"/>
  <c r="Q1092" i="13"/>
  <c r="P1092" i="13"/>
  <c r="O1092" i="13"/>
  <c r="N1092" i="13"/>
  <c r="M1092" i="13"/>
  <c r="L1092" i="13"/>
  <c r="J1092" i="13"/>
  <c r="G1092" i="13"/>
  <c r="F1092" i="13"/>
  <c r="E1092" i="13"/>
  <c r="D1092" i="13"/>
  <c r="C1092" i="13"/>
  <c r="B1092" i="13"/>
  <c r="A1092" i="13"/>
  <c r="AG1091" i="13"/>
  <c r="AF1091" i="13"/>
  <c r="AE1091" i="13"/>
  <c r="AD1091" i="13"/>
  <c r="Z1091" i="13"/>
  <c r="Y1091" i="13"/>
  <c r="X1091" i="13"/>
  <c r="W1091" i="13"/>
  <c r="U1091" i="13"/>
  <c r="T1091" i="13"/>
  <c r="S1091" i="13"/>
  <c r="R1091" i="13"/>
  <c r="Q1091" i="13"/>
  <c r="P1091" i="13"/>
  <c r="O1091" i="13"/>
  <c r="N1091" i="13"/>
  <c r="M1091" i="13"/>
  <c r="L1091" i="13"/>
  <c r="J1091" i="13"/>
  <c r="G1091" i="13"/>
  <c r="F1091" i="13"/>
  <c r="E1091" i="13"/>
  <c r="D1091" i="13"/>
  <c r="C1091" i="13"/>
  <c r="B1091" i="13"/>
  <c r="A1091" i="13"/>
  <c r="AG1090" i="13"/>
  <c r="AF1090" i="13"/>
  <c r="AE1090" i="13"/>
  <c r="AD1090" i="13"/>
  <c r="Z1090" i="13"/>
  <c r="Y1090" i="13"/>
  <c r="X1090" i="13"/>
  <c r="U1090" i="13"/>
  <c r="T1090" i="13"/>
  <c r="S1090" i="13"/>
  <c r="R1090" i="13"/>
  <c r="Q1090" i="13"/>
  <c r="P1090" i="13"/>
  <c r="O1090" i="13"/>
  <c r="N1090" i="13"/>
  <c r="M1090" i="13"/>
  <c r="L1090" i="13"/>
  <c r="G1090" i="13"/>
  <c r="F1090" i="13"/>
  <c r="E1090" i="13"/>
  <c r="D1090" i="13"/>
  <c r="C1090" i="13"/>
  <c r="B1090" i="13"/>
  <c r="A1090" i="13"/>
  <c r="AG1089" i="13"/>
  <c r="AF1089" i="13"/>
  <c r="AE1089" i="13"/>
  <c r="AD1089" i="13"/>
  <c r="Z1089" i="13"/>
  <c r="Y1089" i="13"/>
  <c r="X1089" i="13"/>
  <c r="W1089" i="13"/>
  <c r="U1089" i="13"/>
  <c r="T1089" i="13"/>
  <c r="S1089" i="13"/>
  <c r="R1089" i="13"/>
  <c r="Q1089" i="13"/>
  <c r="O1089" i="13"/>
  <c r="N1089" i="13"/>
  <c r="M1089" i="13"/>
  <c r="L1089" i="13"/>
  <c r="G1089" i="13"/>
  <c r="F1089" i="13"/>
  <c r="E1089" i="13"/>
  <c r="D1089" i="13"/>
  <c r="C1089" i="13"/>
  <c r="B1089" i="13"/>
  <c r="A1089" i="13"/>
  <c r="AG1088" i="13"/>
  <c r="AF1088" i="13"/>
  <c r="AE1088" i="13"/>
  <c r="AD1088" i="13"/>
  <c r="Z1088" i="13"/>
  <c r="Y1088" i="13"/>
  <c r="X1088" i="13"/>
  <c r="W1088" i="13"/>
  <c r="U1088" i="13"/>
  <c r="T1088" i="13"/>
  <c r="S1088" i="13"/>
  <c r="R1088" i="13"/>
  <c r="Q1088" i="13"/>
  <c r="P1088" i="13"/>
  <c r="O1088" i="13"/>
  <c r="N1088" i="13"/>
  <c r="M1088" i="13"/>
  <c r="L1088" i="13"/>
  <c r="J1088" i="13"/>
  <c r="G1088" i="13"/>
  <c r="F1088" i="13"/>
  <c r="E1088" i="13"/>
  <c r="D1088" i="13"/>
  <c r="C1088" i="13"/>
  <c r="B1088" i="13"/>
  <c r="A1088" i="13"/>
  <c r="AG1087" i="13"/>
  <c r="AF1087" i="13"/>
  <c r="AE1087" i="13"/>
  <c r="AD1087" i="13"/>
  <c r="Z1087" i="13"/>
  <c r="Y1087" i="13"/>
  <c r="X1087" i="13"/>
  <c r="W1087" i="13"/>
  <c r="U1087" i="13"/>
  <c r="T1087" i="13"/>
  <c r="S1087" i="13"/>
  <c r="R1087" i="13"/>
  <c r="Q1087" i="13"/>
  <c r="P1087" i="13"/>
  <c r="O1087" i="13"/>
  <c r="N1087" i="13"/>
  <c r="M1087" i="13"/>
  <c r="L1087" i="13"/>
  <c r="J1087" i="13"/>
  <c r="G1087" i="13"/>
  <c r="F1087" i="13"/>
  <c r="E1087" i="13"/>
  <c r="D1087" i="13"/>
  <c r="C1087" i="13"/>
  <c r="B1087" i="13"/>
  <c r="A1087" i="13"/>
  <c r="AG1086" i="13"/>
  <c r="AF1086" i="13"/>
  <c r="AE1086" i="13"/>
  <c r="AD1086" i="13"/>
  <c r="Z1086" i="13"/>
  <c r="Y1086" i="13"/>
  <c r="X1086" i="13"/>
  <c r="W1086" i="13"/>
  <c r="U1086" i="13"/>
  <c r="T1086" i="13"/>
  <c r="S1086" i="13"/>
  <c r="R1086" i="13"/>
  <c r="Q1086" i="13"/>
  <c r="P1086" i="13"/>
  <c r="O1086" i="13"/>
  <c r="N1086" i="13"/>
  <c r="M1086" i="13"/>
  <c r="L1086" i="13"/>
  <c r="J1086" i="13"/>
  <c r="G1086" i="13"/>
  <c r="F1086" i="13"/>
  <c r="E1086" i="13"/>
  <c r="D1086" i="13"/>
  <c r="C1086" i="13"/>
  <c r="B1086" i="13"/>
  <c r="A1086" i="13"/>
  <c r="AG1085" i="13"/>
  <c r="AF1085" i="13"/>
  <c r="AE1085" i="13"/>
  <c r="AD1085" i="13"/>
  <c r="Z1085" i="13"/>
  <c r="Y1085" i="13"/>
  <c r="X1085" i="13"/>
  <c r="W1085" i="13"/>
  <c r="U1085" i="13"/>
  <c r="T1085" i="13"/>
  <c r="S1085" i="13"/>
  <c r="R1085" i="13"/>
  <c r="Q1085" i="13"/>
  <c r="P1085" i="13"/>
  <c r="O1085" i="13"/>
  <c r="N1085" i="13"/>
  <c r="M1085" i="13"/>
  <c r="L1085" i="13"/>
  <c r="J1085" i="13"/>
  <c r="G1085" i="13"/>
  <c r="F1085" i="13"/>
  <c r="E1085" i="13"/>
  <c r="D1085" i="13"/>
  <c r="C1085" i="13"/>
  <c r="B1085" i="13"/>
  <c r="A1085" i="13"/>
  <c r="AG1084" i="13"/>
  <c r="AF1084" i="13"/>
  <c r="AE1084" i="13"/>
  <c r="AD1084" i="13"/>
  <c r="Z1084" i="13"/>
  <c r="Y1084" i="13"/>
  <c r="X1084" i="13"/>
  <c r="W1084" i="13"/>
  <c r="U1084" i="13"/>
  <c r="T1084" i="13"/>
  <c r="S1084" i="13"/>
  <c r="R1084" i="13"/>
  <c r="Q1084" i="13"/>
  <c r="P1084" i="13"/>
  <c r="O1084" i="13"/>
  <c r="N1084" i="13"/>
  <c r="M1084" i="13"/>
  <c r="L1084" i="13"/>
  <c r="J1084" i="13"/>
  <c r="G1084" i="13"/>
  <c r="F1084" i="13"/>
  <c r="E1084" i="13"/>
  <c r="D1084" i="13"/>
  <c r="C1084" i="13"/>
  <c r="B1084" i="13"/>
  <c r="A1084" i="13"/>
  <c r="AG1083" i="13"/>
  <c r="AF1083" i="13"/>
  <c r="AE1083" i="13"/>
  <c r="AD1083" i="13"/>
  <c r="Z1083" i="13"/>
  <c r="Y1083" i="13"/>
  <c r="X1083" i="13"/>
  <c r="U1083" i="13"/>
  <c r="T1083" i="13"/>
  <c r="S1083" i="13"/>
  <c r="R1083" i="13"/>
  <c r="Q1083" i="13"/>
  <c r="O1083" i="13"/>
  <c r="N1083" i="13"/>
  <c r="M1083" i="13"/>
  <c r="L1083" i="13"/>
  <c r="F1083" i="13"/>
  <c r="E1083" i="13"/>
  <c r="D1083" i="13"/>
  <c r="C1083" i="13"/>
  <c r="B1083" i="13"/>
  <c r="A1083" i="13"/>
  <c r="AG1082" i="13"/>
  <c r="AF1082" i="13"/>
  <c r="AE1082" i="13"/>
  <c r="AD1082" i="13"/>
  <c r="Z1082" i="13"/>
  <c r="Y1082" i="13"/>
  <c r="X1082" i="13"/>
  <c r="U1082" i="13"/>
  <c r="T1082" i="13"/>
  <c r="S1082" i="13"/>
  <c r="R1082" i="13"/>
  <c r="Q1082" i="13"/>
  <c r="O1082" i="13"/>
  <c r="N1082" i="13"/>
  <c r="M1082" i="13"/>
  <c r="L1082" i="13"/>
  <c r="F1082" i="13"/>
  <c r="E1082" i="13"/>
  <c r="D1082" i="13"/>
  <c r="C1082" i="13"/>
  <c r="B1082" i="13"/>
  <c r="A1082" i="13"/>
  <c r="AG1081" i="13"/>
  <c r="AF1081" i="13"/>
  <c r="AE1081" i="13"/>
  <c r="AD1081" i="13"/>
  <c r="Z1081" i="13"/>
  <c r="Y1081" i="13"/>
  <c r="X1081" i="13"/>
  <c r="U1081" i="13"/>
  <c r="T1081" i="13"/>
  <c r="S1081" i="13"/>
  <c r="R1081" i="13"/>
  <c r="Q1081" i="13"/>
  <c r="O1081" i="13"/>
  <c r="N1081" i="13"/>
  <c r="M1081" i="13"/>
  <c r="L1081" i="13"/>
  <c r="F1081" i="13"/>
  <c r="E1081" i="13"/>
  <c r="D1081" i="13"/>
  <c r="C1081" i="13"/>
  <c r="B1081" i="13"/>
  <c r="A1081" i="13"/>
  <c r="AG1080" i="13"/>
  <c r="AF1080" i="13"/>
  <c r="AE1080" i="13"/>
  <c r="AD1080" i="13"/>
  <c r="Z1080" i="13"/>
  <c r="Y1080" i="13"/>
  <c r="X1080" i="13"/>
  <c r="U1080" i="13"/>
  <c r="T1080" i="13"/>
  <c r="S1080" i="13"/>
  <c r="R1080" i="13"/>
  <c r="Q1080" i="13"/>
  <c r="O1080" i="13"/>
  <c r="N1080" i="13"/>
  <c r="M1080" i="13"/>
  <c r="L1080" i="13"/>
  <c r="F1080" i="13"/>
  <c r="E1080" i="13"/>
  <c r="D1080" i="13"/>
  <c r="C1080" i="13"/>
  <c r="B1080" i="13"/>
  <c r="A1080" i="13"/>
  <c r="AG1079" i="13"/>
  <c r="AF1079" i="13"/>
  <c r="AE1079" i="13"/>
  <c r="AD1079" i="13"/>
  <c r="Z1079" i="13"/>
  <c r="Y1079" i="13"/>
  <c r="X1079" i="13"/>
  <c r="U1079" i="13"/>
  <c r="T1079" i="13"/>
  <c r="S1079" i="13"/>
  <c r="R1079" i="13"/>
  <c r="Q1079" i="13"/>
  <c r="O1079" i="13"/>
  <c r="N1079" i="13"/>
  <c r="M1079" i="13"/>
  <c r="L1079" i="13"/>
  <c r="F1079" i="13"/>
  <c r="E1079" i="13"/>
  <c r="D1079" i="13"/>
  <c r="C1079" i="13"/>
  <c r="B1079" i="13"/>
  <c r="A1079" i="13"/>
  <c r="AG1078" i="13"/>
  <c r="AF1078" i="13"/>
  <c r="AE1078" i="13"/>
  <c r="AD1078" i="13"/>
  <c r="Z1078" i="13"/>
  <c r="Y1078" i="13"/>
  <c r="X1078" i="13"/>
  <c r="U1078" i="13"/>
  <c r="T1078" i="13"/>
  <c r="S1078" i="13"/>
  <c r="R1078" i="13"/>
  <c r="Q1078" i="13"/>
  <c r="O1078" i="13"/>
  <c r="N1078" i="13"/>
  <c r="M1078" i="13"/>
  <c r="L1078" i="13"/>
  <c r="F1078" i="13"/>
  <c r="E1078" i="13"/>
  <c r="D1078" i="13"/>
  <c r="C1078" i="13"/>
  <c r="B1078" i="13"/>
  <c r="A1078" i="13"/>
  <c r="AG1077" i="13"/>
  <c r="AF1077" i="13"/>
  <c r="AE1077" i="13"/>
  <c r="AD1077" i="13"/>
  <c r="Z1077" i="13"/>
  <c r="Y1077" i="13"/>
  <c r="X1077" i="13"/>
  <c r="U1077" i="13"/>
  <c r="T1077" i="13"/>
  <c r="S1077" i="13"/>
  <c r="R1077" i="13"/>
  <c r="Q1077" i="13"/>
  <c r="O1077" i="13"/>
  <c r="N1077" i="13"/>
  <c r="M1077" i="13"/>
  <c r="L1077" i="13"/>
  <c r="F1077" i="13"/>
  <c r="E1077" i="13"/>
  <c r="D1077" i="13"/>
  <c r="C1077" i="13"/>
  <c r="B1077" i="13"/>
  <c r="A1077" i="13"/>
  <c r="AG1076" i="13"/>
  <c r="AF1076" i="13"/>
  <c r="AE1076" i="13"/>
  <c r="AD1076" i="13"/>
  <c r="Z1076" i="13"/>
  <c r="Y1076" i="13"/>
  <c r="X1076" i="13"/>
  <c r="W1076" i="13"/>
  <c r="U1076" i="13"/>
  <c r="T1076" i="13"/>
  <c r="S1076" i="13"/>
  <c r="R1076" i="13"/>
  <c r="Q1076" i="13"/>
  <c r="P1076" i="13"/>
  <c r="O1076" i="13"/>
  <c r="N1076" i="13"/>
  <c r="M1076" i="13"/>
  <c r="L1076" i="13"/>
  <c r="J1076" i="13"/>
  <c r="G1076" i="13"/>
  <c r="F1076" i="13"/>
  <c r="E1076" i="13"/>
  <c r="D1076" i="13"/>
  <c r="C1076" i="13"/>
  <c r="B1076" i="13"/>
  <c r="A1076" i="13"/>
  <c r="AG1075" i="13"/>
  <c r="AF1075" i="13"/>
  <c r="AE1075" i="13"/>
  <c r="AD1075" i="13"/>
  <c r="Z1075" i="13"/>
  <c r="Y1075" i="13"/>
  <c r="X1075" i="13"/>
  <c r="W1075" i="13"/>
  <c r="U1075" i="13"/>
  <c r="T1075" i="13"/>
  <c r="S1075" i="13"/>
  <c r="R1075" i="13"/>
  <c r="Q1075" i="13"/>
  <c r="P1075" i="13"/>
  <c r="O1075" i="13"/>
  <c r="N1075" i="13"/>
  <c r="M1075" i="13"/>
  <c r="L1075" i="13"/>
  <c r="J1075" i="13"/>
  <c r="G1075" i="13"/>
  <c r="F1075" i="13"/>
  <c r="E1075" i="13"/>
  <c r="D1075" i="13"/>
  <c r="C1075" i="13"/>
  <c r="B1075" i="13"/>
  <c r="A1075" i="13"/>
  <c r="AG1074" i="13"/>
  <c r="AF1074" i="13"/>
  <c r="AE1074" i="13"/>
  <c r="AD1074" i="13"/>
  <c r="Z1074" i="13"/>
  <c r="Y1074" i="13"/>
  <c r="X1074" i="13"/>
  <c r="W1074" i="13"/>
  <c r="U1074" i="13"/>
  <c r="T1074" i="13"/>
  <c r="S1074" i="13"/>
  <c r="R1074" i="13"/>
  <c r="Q1074" i="13"/>
  <c r="P1074" i="13"/>
  <c r="O1074" i="13"/>
  <c r="N1074" i="13"/>
  <c r="M1074" i="13"/>
  <c r="L1074" i="13"/>
  <c r="J1074" i="13"/>
  <c r="G1074" i="13"/>
  <c r="F1074" i="13"/>
  <c r="E1074" i="13"/>
  <c r="D1074" i="13"/>
  <c r="C1074" i="13"/>
  <c r="B1074" i="13"/>
  <c r="A1074" i="13"/>
  <c r="AG1073" i="13"/>
  <c r="AF1073" i="13"/>
  <c r="AE1073" i="13"/>
  <c r="AD1073" i="13"/>
  <c r="Z1073" i="13"/>
  <c r="Y1073" i="13"/>
  <c r="X1073" i="13"/>
  <c r="W1073" i="13"/>
  <c r="U1073" i="13"/>
  <c r="T1073" i="13"/>
  <c r="S1073" i="13"/>
  <c r="R1073" i="13"/>
  <c r="Q1073" i="13"/>
  <c r="P1073" i="13"/>
  <c r="O1073" i="13"/>
  <c r="N1073" i="13"/>
  <c r="M1073" i="13"/>
  <c r="L1073" i="13"/>
  <c r="J1073" i="13"/>
  <c r="G1073" i="13"/>
  <c r="F1073" i="13"/>
  <c r="E1073" i="13"/>
  <c r="D1073" i="13"/>
  <c r="C1073" i="13"/>
  <c r="B1073" i="13"/>
  <c r="A1073" i="13"/>
  <c r="AG1072" i="13"/>
  <c r="AF1072" i="13"/>
  <c r="AE1072" i="13"/>
  <c r="AD1072" i="13"/>
  <c r="Z1072" i="13"/>
  <c r="Y1072" i="13"/>
  <c r="X1072" i="13"/>
  <c r="W1072" i="13"/>
  <c r="U1072" i="13"/>
  <c r="T1072" i="13"/>
  <c r="S1072" i="13"/>
  <c r="R1072" i="13"/>
  <c r="Q1072" i="13"/>
  <c r="P1072" i="13"/>
  <c r="O1072" i="13"/>
  <c r="N1072" i="13"/>
  <c r="M1072" i="13"/>
  <c r="L1072" i="13"/>
  <c r="J1072" i="13"/>
  <c r="G1072" i="13"/>
  <c r="F1072" i="13"/>
  <c r="E1072" i="13"/>
  <c r="D1072" i="13"/>
  <c r="C1072" i="13"/>
  <c r="B1072" i="13"/>
  <c r="A1072" i="13"/>
  <c r="AG1071" i="13"/>
  <c r="AF1071" i="13"/>
  <c r="AE1071" i="13"/>
  <c r="AD1071" i="13"/>
  <c r="Z1071" i="13"/>
  <c r="Y1071" i="13"/>
  <c r="X1071" i="13"/>
  <c r="W1071" i="13"/>
  <c r="U1071" i="13"/>
  <c r="T1071" i="13"/>
  <c r="S1071" i="13"/>
  <c r="R1071" i="13"/>
  <c r="Q1071" i="13"/>
  <c r="P1071" i="13"/>
  <c r="O1071" i="13"/>
  <c r="N1071" i="13"/>
  <c r="M1071" i="13"/>
  <c r="L1071" i="13"/>
  <c r="J1071" i="13"/>
  <c r="G1071" i="13"/>
  <c r="F1071" i="13"/>
  <c r="E1071" i="13"/>
  <c r="D1071" i="13"/>
  <c r="C1071" i="13"/>
  <c r="B1071" i="13"/>
  <c r="A1071" i="13"/>
  <c r="AG1070" i="13"/>
  <c r="AF1070" i="13"/>
  <c r="AE1070" i="13"/>
  <c r="AD1070" i="13"/>
  <c r="Z1070" i="13"/>
  <c r="Y1070" i="13"/>
  <c r="X1070" i="13"/>
  <c r="W1070" i="13"/>
  <c r="U1070" i="13"/>
  <c r="T1070" i="13"/>
  <c r="S1070" i="13"/>
  <c r="R1070" i="13"/>
  <c r="Q1070" i="13"/>
  <c r="P1070" i="13"/>
  <c r="O1070" i="13"/>
  <c r="N1070" i="13"/>
  <c r="M1070" i="13"/>
  <c r="L1070" i="13"/>
  <c r="J1070" i="13"/>
  <c r="G1070" i="13"/>
  <c r="F1070" i="13"/>
  <c r="E1070" i="13"/>
  <c r="D1070" i="13"/>
  <c r="C1070" i="13"/>
  <c r="B1070" i="13"/>
  <c r="A1070" i="13"/>
  <c r="AG1069" i="13"/>
  <c r="AF1069" i="13"/>
  <c r="AE1069" i="13"/>
  <c r="AD1069" i="13"/>
  <c r="Z1069" i="13"/>
  <c r="Y1069" i="13"/>
  <c r="X1069" i="13"/>
  <c r="W1069" i="13"/>
  <c r="U1069" i="13"/>
  <c r="T1069" i="13"/>
  <c r="S1069" i="13"/>
  <c r="R1069" i="13"/>
  <c r="Q1069" i="13"/>
  <c r="P1069" i="13"/>
  <c r="O1069" i="13"/>
  <c r="N1069" i="13"/>
  <c r="M1069" i="13"/>
  <c r="L1069" i="13"/>
  <c r="J1069" i="13"/>
  <c r="G1069" i="13"/>
  <c r="F1069" i="13"/>
  <c r="E1069" i="13"/>
  <c r="D1069" i="13"/>
  <c r="C1069" i="13"/>
  <c r="B1069" i="13"/>
  <c r="A1069" i="13"/>
  <c r="AG1068" i="13"/>
  <c r="AF1068" i="13"/>
  <c r="AE1068" i="13"/>
  <c r="AD1068" i="13"/>
  <c r="Z1068" i="13"/>
  <c r="Y1068" i="13"/>
  <c r="X1068" i="13"/>
  <c r="W1068" i="13"/>
  <c r="U1068" i="13"/>
  <c r="T1068" i="13"/>
  <c r="S1068" i="13"/>
  <c r="R1068" i="13"/>
  <c r="Q1068" i="13"/>
  <c r="P1068" i="13"/>
  <c r="O1068" i="13"/>
  <c r="N1068" i="13"/>
  <c r="M1068" i="13"/>
  <c r="L1068" i="13"/>
  <c r="J1068" i="13"/>
  <c r="G1068" i="13"/>
  <c r="F1068" i="13"/>
  <c r="E1068" i="13"/>
  <c r="D1068" i="13"/>
  <c r="C1068" i="13"/>
  <c r="B1068" i="13"/>
  <c r="A1068" i="13"/>
  <c r="AG1067" i="13"/>
  <c r="AF1067" i="13"/>
  <c r="AE1067" i="13"/>
  <c r="AD1067" i="13"/>
  <c r="Z1067" i="13"/>
  <c r="Y1067" i="13"/>
  <c r="X1067" i="13"/>
  <c r="W1067" i="13"/>
  <c r="U1067" i="13"/>
  <c r="T1067" i="13"/>
  <c r="S1067" i="13"/>
  <c r="R1067" i="13"/>
  <c r="Q1067" i="13"/>
  <c r="P1067" i="13"/>
  <c r="O1067" i="13"/>
  <c r="N1067" i="13"/>
  <c r="M1067" i="13"/>
  <c r="L1067" i="13"/>
  <c r="J1067" i="13"/>
  <c r="G1067" i="13"/>
  <c r="F1067" i="13"/>
  <c r="E1067" i="13"/>
  <c r="D1067" i="13"/>
  <c r="C1067" i="13"/>
  <c r="B1067" i="13"/>
  <c r="A1067" i="13"/>
  <c r="AG1066" i="13"/>
  <c r="AF1066" i="13"/>
  <c r="AE1066" i="13"/>
  <c r="AD1066" i="13"/>
  <c r="Z1066" i="13"/>
  <c r="Y1066" i="13"/>
  <c r="X1066" i="13"/>
  <c r="W1066" i="13"/>
  <c r="U1066" i="13"/>
  <c r="T1066" i="13"/>
  <c r="S1066" i="13"/>
  <c r="R1066" i="13"/>
  <c r="Q1066" i="13"/>
  <c r="P1066" i="13"/>
  <c r="O1066" i="13"/>
  <c r="N1066" i="13"/>
  <c r="M1066" i="13"/>
  <c r="L1066" i="13"/>
  <c r="J1066" i="13"/>
  <c r="G1066" i="13"/>
  <c r="F1066" i="13"/>
  <c r="E1066" i="13"/>
  <c r="D1066" i="13"/>
  <c r="C1066" i="13"/>
  <c r="B1066" i="13"/>
  <c r="A1066" i="13"/>
  <c r="AG1065" i="13"/>
  <c r="AF1065" i="13"/>
  <c r="AE1065" i="13"/>
  <c r="AD1065" i="13"/>
  <c r="Z1065" i="13"/>
  <c r="Y1065" i="13"/>
  <c r="X1065" i="13"/>
  <c r="W1065" i="13"/>
  <c r="U1065" i="13"/>
  <c r="T1065" i="13"/>
  <c r="S1065" i="13"/>
  <c r="R1065" i="13"/>
  <c r="Q1065" i="13"/>
  <c r="P1065" i="13"/>
  <c r="O1065" i="13"/>
  <c r="N1065" i="13"/>
  <c r="M1065" i="13"/>
  <c r="L1065" i="13"/>
  <c r="J1065" i="13"/>
  <c r="G1065" i="13"/>
  <c r="F1065" i="13"/>
  <c r="E1065" i="13"/>
  <c r="D1065" i="13"/>
  <c r="C1065" i="13"/>
  <c r="B1065" i="13"/>
  <c r="A1065" i="13"/>
  <c r="AG1064" i="13"/>
  <c r="AF1064" i="13"/>
  <c r="AE1064" i="13"/>
  <c r="AD1064" i="13"/>
  <c r="Z1064" i="13"/>
  <c r="Y1064" i="13"/>
  <c r="X1064" i="13"/>
  <c r="W1064" i="13"/>
  <c r="U1064" i="13"/>
  <c r="T1064" i="13"/>
  <c r="S1064" i="13"/>
  <c r="R1064" i="13"/>
  <c r="Q1064" i="13"/>
  <c r="P1064" i="13"/>
  <c r="O1064" i="13"/>
  <c r="N1064" i="13"/>
  <c r="M1064" i="13"/>
  <c r="L1064" i="13"/>
  <c r="J1064" i="13"/>
  <c r="G1064" i="13"/>
  <c r="F1064" i="13"/>
  <c r="E1064" i="13"/>
  <c r="D1064" i="13"/>
  <c r="C1064" i="13"/>
  <c r="B1064" i="13"/>
  <c r="A1064" i="13"/>
  <c r="AG1063" i="13"/>
  <c r="AF1063" i="13"/>
  <c r="AE1063" i="13"/>
  <c r="AD1063" i="13"/>
  <c r="Z1063" i="13"/>
  <c r="Y1063" i="13"/>
  <c r="X1063" i="13"/>
  <c r="W1063" i="13"/>
  <c r="U1063" i="13"/>
  <c r="T1063" i="13"/>
  <c r="S1063" i="13"/>
  <c r="R1063" i="13"/>
  <c r="Q1063" i="13"/>
  <c r="P1063" i="13"/>
  <c r="O1063" i="13"/>
  <c r="N1063" i="13"/>
  <c r="M1063" i="13"/>
  <c r="L1063" i="13"/>
  <c r="J1063" i="13"/>
  <c r="G1063" i="13"/>
  <c r="F1063" i="13"/>
  <c r="E1063" i="13"/>
  <c r="D1063" i="13"/>
  <c r="C1063" i="13"/>
  <c r="B1063" i="13"/>
  <c r="A1063" i="13"/>
  <c r="AG1062" i="13"/>
  <c r="AF1062" i="13"/>
  <c r="AE1062" i="13"/>
  <c r="AD1062" i="13"/>
  <c r="Z1062" i="13"/>
  <c r="Y1062" i="13"/>
  <c r="X1062" i="13"/>
  <c r="W1062" i="13"/>
  <c r="U1062" i="13"/>
  <c r="T1062" i="13"/>
  <c r="S1062" i="13"/>
  <c r="R1062" i="13"/>
  <c r="Q1062" i="13"/>
  <c r="P1062" i="13"/>
  <c r="O1062" i="13"/>
  <c r="N1062" i="13"/>
  <c r="M1062" i="13"/>
  <c r="L1062" i="13"/>
  <c r="J1062" i="13"/>
  <c r="G1062" i="13"/>
  <c r="F1062" i="13"/>
  <c r="E1062" i="13"/>
  <c r="D1062" i="13"/>
  <c r="C1062" i="13"/>
  <c r="B1062" i="13"/>
  <c r="A1062" i="13"/>
  <c r="AG1061" i="13"/>
  <c r="AF1061" i="13"/>
  <c r="AE1061" i="13"/>
  <c r="AD1061" i="13"/>
  <c r="Z1061" i="13"/>
  <c r="Y1061" i="13"/>
  <c r="X1061" i="13"/>
  <c r="W1061" i="13"/>
  <c r="U1061" i="13"/>
  <c r="T1061" i="13"/>
  <c r="S1061" i="13"/>
  <c r="R1061" i="13"/>
  <c r="Q1061" i="13"/>
  <c r="P1061" i="13"/>
  <c r="O1061" i="13"/>
  <c r="N1061" i="13"/>
  <c r="M1061" i="13"/>
  <c r="L1061" i="13"/>
  <c r="J1061" i="13"/>
  <c r="G1061" i="13"/>
  <c r="F1061" i="13"/>
  <c r="E1061" i="13"/>
  <c r="D1061" i="13"/>
  <c r="C1061" i="13"/>
  <c r="B1061" i="13"/>
  <c r="A1061" i="13"/>
  <c r="AG1060" i="13"/>
  <c r="AF1060" i="13"/>
  <c r="AE1060" i="13"/>
  <c r="AD1060" i="13"/>
  <c r="Z1060" i="13"/>
  <c r="Y1060" i="13"/>
  <c r="X1060" i="13"/>
  <c r="W1060" i="13"/>
  <c r="U1060" i="13"/>
  <c r="T1060" i="13"/>
  <c r="S1060" i="13"/>
  <c r="R1060" i="13"/>
  <c r="Q1060" i="13"/>
  <c r="P1060" i="13"/>
  <c r="O1060" i="13"/>
  <c r="N1060" i="13"/>
  <c r="M1060" i="13"/>
  <c r="L1060" i="13"/>
  <c r="J1060" i="13"/>
  <c r="G1060" i="13"/>
  <c r="F1060" i="13"/>
  <c r="E1060" i="13"/>
  <c r="D1060" i="13"/>
  <c r="C1060" i="13"/>
  <c r="B1060" i="13"/>
  <c r="A1060" i="13"/>
  <c r="AG1059" i="13"/>
  <c r="AF1059" i="13"/>
  <c r="AE1059" i="13"/>
  <c r="AD1059" i="13"/>
  <c r="Z1059" i="13"/>
  <c r="Y1059" i="13"/>
  <c r="X1059" i="13"/>
  <c r="W1059" i="13"/>
  <c r="U1059" i="13"/>
  <c r="T1059" i="13"/>
  <c r="S1059" i="13"/>
  <c r="R1059" i="13"/>
  <c r="Q1059" i="13"/>
  <c r="P1059" i="13"/>
  <c r="O1059" i="13"/>
  <c r="N1059" i="13"/>
  <c r="M1059" i="13"/>
  <c r="L1059" i="13"/>
  <c r="J1059" i="13"/>
  <c r="G1059" i="13"/>
  <c r="F1059" i="13"/>
  <c r="E1059" i="13"/>
  <c r="D1059" i="13"/>
  <c r="C1059" i="13"/>
  <c r="B1059" i="13"/>
  <c r="A1059" i="13"/>
  <c r="AG1058" i="13"/>
  <c r="AF1058" i="13"/>
  <c r="AE1058" i="13"/>
  <c r="AD1058" i="13"/>
  <c r="Z1058" i="13"/>
  <c r="Y1058" i="13"/>
  <c r="X1058" i="13"/>
  <c r="W1058" i="13"/>
  <c r="U1058" i="13"/>
  <c r="T1058" i="13"/>
  <c r="S1058" i="13"/>
  <c r="R1058" i="13"/>
  <c r="Q1058" i="13"/>
  <c r="P1058" i="13"/>
  <c r="O1058" i="13"/>
  <c r="N1058" i="13"/>
  <c r="M1058" i="13"/>
  <c r="L1058" i="13"/>
  <c r="J1058" i="13"/>
  <c r="G1058" i="13"/>
  <c r="F1058" i="13"/>
  <c r="E1058" i="13"/>
  <c r="D1058" i="13"/>
  <c r="C1058" i="13"/>
  <c r="B1058" i="13"/>
  <c r="A1058" i="13"/>
  <c r="AG1057" i="13"/>
  <c r="AF1057" i="13"/>
  <c r="AE1057" i="13"/>
  <c r="AD1057" i="13"/>
  <c r="Z1057" i="13"/>
  <c r="Y1057" i="13"/>
  <c r="X1057" i="13"/>
  <c r="W1057" i="13"/>
  <c r="U1057" i="13"/>
  <c r="T1057" i="13"/>
  <c r="S1057" i="13"/>
  <c r="R1057" i="13"/>
  <c r="Q1057" i="13"/>
  <c r="P1057" i="13"/>
  <c r="O1057" i="13"/>
  <c r="N1057" i="13"/>
  <c r="M1057" i="13"/>
  <c r="L1057" i="13"/>
  <c r="J1057" i="13"/>
  <c r="G1057" i="13"/>
  <c r="F1057" i="13"/>
  <c r="E1057" i="13"/>
  <c r="D1057" i="13"/>
  <c r="C1057" i="13"/>
  <c r="B1057" i="13"/>
  <c r="A1057" i="13"/>
  <c r="AG1056" i="13"/>
  <c r="AF1056" i="13"/>
  <c r="AE1056" i="13"/>
  <c r="AD1056" i="13"/>
  <c r="Z1056" i="13"/>
  <c r="Y1056" i="13"/>
  <c r="X1056" i="13"/>
  <c r="W1056" i="13"/>
  <c r="U1056" i="13"/>
  <c r="T1056" i="13"/>
  <c r="S1056" i="13"/>
  <c r="R1056" i="13"/>
  <c r="Q1056" i="13"/>
  <c r="P1056" i="13"/>
  <c r="O1056" i="13"/>
  <c r="N1056" i="13"/>
  <c r="M1056" i="13"/>
  <c r="L1056" i="13"/>
  <c r="J1056" i="13"/>
  <c r="G1056" i="13"/>
  <c r="F1056" i="13"/>
  <c r="E1056" i="13"/>
  <c r="D1056" i="13"/>
  <c r="C1056" i="13"/>
  <c r="B1056" i="13"/>
  <c r="A1056" i="13"/>
  <c r="AG1055" i="13"/>
  <c r="AF1055" i="13"/>
  <c r="AE1055" i="13"/>
  <c r="AD1055" i="13"/>
  <c r="Z1055" i="13"/>
  <c r="Y1055" i="13"/>
  <c r="X1055" i="13"/>
  <c r="W1055" i="13"/>
  <c r="U1055" i="13"/>
  <c r="T1055" i="13"/>
  <c r="S1055" i="13"/>
  <c r="R1055" i="13"/>
  <c r="Q1055" i="13"/>
  <c r="P1055" i="13"/>
  <c r="O1055" i="13"/>
  <c r="N1055" i="13"/>
  <c r="M1055" i="13"/>
  <c r="L1055" i="13"/>
  <c r="J1055" i="13"/>
  <c r="G1055" i="13"/>
  <c r="F1055" i="13"/>
  <c r="E1055" i="13"/>
  <c r="D1055" i="13"/>
  <c r="C1055" i="13"/>
  <c r="B1055" i="13"/>
  <c r="A1055" i="13"/>
  <c r="AG1054" i="13"/>
  <c r="AF1054" i="13"/>
  <c r="AE1054" i="13"/>
  <c r="AD1054" i="13"/>
  <c r="Z1054" i="13"/>
  <c r="Y1054" i="13"/>
  <c r="X1054" i="13"/>
  <c r="W1054" i="13"/>
  <c r="U1054" i="13"/>
  <c r="T1054" i="13"/>
  <c r="S1054" i="13"/>
  <c r="R1054" i="13"/>
  <c r="Q1054" i="13"/>
  <c r="P1054" i="13"/>
  <c r="O1054" i="13"/>
  <c r="N1054" i="13"/>
  <c r="M1054" i="13"/>
  <c r="L1054" i="13"/>
  <c r="J1054" i="13"/>
  <c r="G1054" i="13"/>
  <c r="F1054" i="13"/>
  <c r="E1054" i="13"/>
  <c r="D1054" i="13"/>
  <c r="C1054" i="13"/>
  <c r="B1054" i="13"/>
  <c r="A1054" i="13"/>
  <c r="AG1053" i="13"/>
  <c r="AF1053" i="13"/>
  <c r="AE1053" i="13"/>
  <c r="AD1053" i="13"/>
  <c r="Z1053" i="13"/>
  <c r="Y1053" i="13"/>
  <c r="X1053" i="13"/>
  <c r="W1053" i="13"/>
  <c r="U1053" i="13"/>
  <c r="T1053" i="13"/>
  <c r="S1053" i="13"/>
  <c r="R1053" i="13"/>
  <c r="Q1053" i="13"/>
  <c r="P1053" i="13"/>
  <c r="O1053" i="13"/>
  <c r="N1053" i="13"/>
  <c r="M1053" i="13"/>
  <c r="L1053" i="13"/>
  <c r="J1053" i="13"/>
  <c r="G1053" i="13"/>
  <c r="F1053" i="13"/>
  <c r="E1053" i="13"/>
  <c r="D1053" i="13"/>
  <c r="C1053" i="13"/>
  <c r="B1053" i="13"/>
  <c r="A1053" i="13"/>
  <c r="AG1052" i="13"/>
  <c r="AF1052" i="13"/>
  <c r="AE1052" i="13"/>
  <c r="AD1052" i="13"/>
  <c r="Z1052" i="13"/>
  <c r="Y1052" i="13"/>
  <c r="X1052" i="13"/>
  <c r="W1052" i="13"/>
  <c r="U1052" i="13"/>
  <c r="T1052" i="13"/>
  <c r="S1052" i="13"/>
  <c r="R1052" i="13"/>
  <c r="Q1052" i="13"/>
  <c r="P1052" i="13"/>
  <c r="O1052" i="13"/>
  <c r="N1052" i="13"/>
  <c r="M1052" i="13"/>
  <c r="L1052" i="13"/>
  <c r="J1052" i="13"/>
  <c r="G1052" i="13"/>
  <c r="F1052" i="13"/>
  <c r="E1052" i="13"/>
  <c r="D1052" i="13"/>
  <c r="C1052" i="13"/>
  <c r="B1052" i="13"/>
  <c r="A1052" i="13"/>
  <c r="AG1051" i="13"/>
  <c r="AF1051" i="13"/>
  <c r="AE1051" i="13"/>
  <c r="AD1051" i="13"/>
  <c r="Z1051" i="13"/>
  <c r="Y1051" i="13"/>
  <c r="X1051" i="13"/>
  <c r="W1051" i="13"/>
  <c r="U1051" i="13"/>
  <c r="T1051" i="13"/>
  <c r="S1051" i="13"/>
  <c r="R1051" i="13"/>
  <c r="Q1051" i="13"/>
  <c r="P1051" i="13"/>
  <c r="O1051" i="13"/>
  <c r="N1051" i="13"/>
  <c r="M1051" i="13"/>
  <c r="L1051" i="13"/>
  <c r="J1051" i="13"/>
  <c r="G1051" i="13"/>
  <c r="F1051" i="13"/>
  <c r="E1051" i="13"/>
  <c r="D1051" i="13"/>
  <c r="C1051" i="13"/>
  <c r="B1051" i="13"/>
  <c r="A1051" i="13"/>
  <c r="AG1050" i="13"/>
  <c r="AF1050" i="13"/>
  <c r="AE1050" i="13"/>
  <c r="AD1050" i="13"/>
  <c r="Z1050" i="13"/>
  <c r="Y1050" i="13"/>
  <c r="X1050" i="13"/>
  <c r="W1050" i="13"/>
  <c r="U1050" i="13"/>
  <c r="T1050" i="13"/>
  <c r="S1050" i="13"/>
  <c r="R1050" i="13"/>
  <c r="Q1050" i="13"/>
  <c r="P1050" i="13"/>
  <c r="O1050" i="13"/>
  <c r="N1050" i="13"/>
  <c r="M1050" i="13"/>
  <c r="L1050" i="13"/>
  <c r="J1050" i="13"/>
  <c r="G1050" i="13"/>
  <c r="F1050" i="13"/>
  <c r="E1050" i="13"/>
  <c r="D1050" i="13"/>
  <c r="C1050" i="13"/>
  <c r="B1050" i="13"/>
  <c r="A1050" i="13"/>
  <c r="AG1049" i="13"/>
  <c r="AF1049" i="13"/>
  <c r="AE1049" i="13"/>
  <c r="AD1049" i="13"/>
  <c r="Z1049" i="13"/>
  <c r="Y1049" i="13"/>
  <c r="X1049" i="13"/>
  <c r="W1049" i="13"/>
  <c r="U1049" i="13"/>
  <c r="T1049" i="13"/>
  <c r="S1049" i="13"/>
  <c r="R1049" i="13"/>
  <c r="Q1049" i="13"/>
  <c r="P1049" i="13"/>
  <c r="O1049" i="13"/>
  <c r="N1049" i="13"/>
  <c r="M1049" i="13"/>
  <c r="L1049" i="13"/>
  <c r="J1049" i="13"/>
  <c r="G1049" i="13"/>
  <c r="F1049" i="13"/>
  <c r="E1049" i="13"/>
  <c r="D1049" i="13"/>
  <c r="C1049" i="13"/>
  <c r="B1049" i="13"/>
  <c r="A1049" i="13"/>
  <c r="AG1048" i="13"/>
  <c r="AF1048" i="13"/>
  <c r="AE1048" i="13"/>
  <c r="AD1048" i="13"/>
  <c r="Z1048" i="13"/>
  <c r="Y1048" i="13"/>
  <c r="X1048" i="13"/>
  <c r="W1048" i="13"/>
  <c r="U1048" i="13"/>
  <c r="T1048" i="13"/>
  <c r="S1048" i="13"/>
  <c r="R1048" i="13"/>
  <c r="Q1048" i="13"/>
  <c r="P1048" i="13"/>
  <c r="O1048" i="13"/>
  <c r="N1048" i="13"/>
  <c r="M1048" i="13"/>
  <c r="L1048" i="13"/>
  <c r="J1048" i="13"/>
  <c r="G1048" i="13"/>
  <c r="F1048" i="13"/>
  <c r="E1048" i="13"/>
  <c r="D1048" i="13"/>
  <c r="C1048" i="13"/>
  <c r="B1048" i="13"/>
  <c r="A1048" i="13"/>
  <c r="AG1047" i="13"/>
  <c r="AF1047" i="13"/>
  <c r="AE1047" i="13"/>
  <c r="AD1047" i="13"/>
  <c r="Z1047" i="13"/>
  <c r="Y1047" i="13"/>
  <c r="X1047" i="13"/>
  <c r="W1047" i="13"/>
  <c r="U1047" i="13"/>
  <c r="T1047" i="13"/>
  <c r="S1047" i="13"/>
  <c r="R1047" i="13"/>
  <c r="Q1047" i="13"/>
  <c r="P1047" i="13"/>
  <c r="O1047" i="13"/>
  <c r="N1047" i="13"/>
  <c r="M1047" i="13"/>
  <c r="L1047" i="13"/>
  <c r="J1047" i="13"/>
  <c r="G1047" i="13"/>
  <c r="F1047" i="13"/>
  <c r="E1047" i="13"/>
  <c r="D1047" i="13"/>
  <c r="C1047" i="13"/>
  <c r="B1047" i="13"/>
  <c r="A1047" i="13"/>
  <c r="AG1046" i="13"/>
  <c r="AF1046" i="13"/>
  <c r="AE1046" i="13"/>
  <c r="AD1046" i="13"/>
  <c r="Z1046" i="13"/>
  <c r="Y1046" i="13"/>
  <c r="X1046" i="13"/>
  <c r="W1046" i="13"/>
  <c r="U1046" i="13"/>
  <c r="T1046" i="13"/>
  <c r="S1046" i="13"/>
  <c r="R1046" i="13"/>
  <c r="Q1046" i="13"/>
  <c r="P1046" i="13"/>
  <c r="O1046" i="13"/>
  <c r="N1046" i="13"/>
  <c r="M1046" i="13"/>
  <c r="L1046" i="13"/>
  <c r="J1046" i="13"/>
  <c r="G1046" i="13"/>
  <c r="F1046" i="13"/>
  <c r="E1046" i="13"/>
  <c r="D1046" i="13"/>
  <c r="C1046" i="13"/>
  <c r="B1046" i="13"/>
  <c r="A1046" i="13"/>
  <c r="AG1045" i="13"/>
  <c r="AF1045" i="13"/>
  <c r="AE1045" i="13"/>
  <c r="AD1045" i="13"/>
  <c r="Z1045" i="13"/>
  <c r="Y1045" i="13"/>
  <c r="X1045" i="13"/>
  <c r="W1045" i="13"/>
  <c r="U1045" i="13"/>
  <c r="T1045" i="13"/>
  <c r="S1045" i="13"/>
  <c r="R1045" i="13"/>
  <c r="Q1045" i="13"/>
  <c r="P1045" i="13"/>
  <c r="O1045" i="13"/>
  <c r="N1045" i="13"/>
  <c r="M1045" i="13"/>
  <c r="L1045" i="13"/>
  <c r="J1045" i="13"/>
  <c r="G1045" i="13"/>
  <c r="F1045" i="13"/>
  <c r="E1045" i="13"/>
  <c r="D1045" i="13"/>
  <c r="C1045" i="13"/>
  <c r="B1045" i="13"/>
  <c r="A1045" i="13"/>
  <c r="AG1044" i="13"/>
  <c r="AF1044" i="13"/>
  <c r="AE1044" i="13"/>
  <c r="AD1044" i="13"/>
  <c r="Z1044" i="13"/>
  <c r="Y1044" i="13"/>
  <c r="X1044" i="13"/>
  <c r="W1044" i="13"/>
  <c r="U1044" i="13"/>
  <c r="T1044" i="13"/>
  <c r="S1044" i="13"/>
  <c r="R1044" i="13"/>
  <c r="Q1044" i="13"/>
  <c r="P1044" i="13"/>
  <c r="O1044" i="13"/>
  <c r="N1044" i="13"/>
  <c r="M1044" i="13"/>
  <c r="L1044" i="13"/>
  <c r="J1044" i="13"/>
  <c r="G1044" i="13"/>
  <c r="F1044" i="13"/>
  <c r="E1044" i="13"/>
  <c r="D1044" i="13"/>
  <c r="C1044" i="13"/>
  <c r="B1044" i="13"/>
  <c r="A1044" i="13"/>
  <c r="AG1043" i="13"/>
  <c r="AF1043" i="13"/>
  <c r="AE1043" i="13"/>
  <c r="AD1043" i="13"/>
  <c r="Z1043" i="13"/>
  <c r="Y1043" i="13"/>
  <c r="X1043" i="13"/>
  <c r="W1043" i="13"/>
  <c r="U1043" i="13"/>
  <c r="T1043" i="13"/>
  <c r="S1043" i="13"/>
  <c r="R1043" i="13"/>
  <c r="Q1043" i="13"/>
  <c r="P1043" i="13"/>
  <c r="O1043" i="13"/>
  <c r="N1043" i="13"/>
  <c r="M1043" i="13"/>
  <c r="L1043" i="13"/>
  <c r="J1043" i="13"/>
  <c r="G1043" i="13"/>
  <c r="F1043" i="13"/>
  <c r="E1043" i="13"/>
  <c r="D1043" i="13"/>
  <c r="C1043" i="13"/>
  <c r="B1043" i="13"/>
  <c r="A1043" i="13"/>
  <c r="AG1042" i="13"/>
  <c r="AF1042" i="13"/>
  <c r="AE1042" i="13"/>
  <c r="AD1042" i="13"/>
  <c r="Z1042" i="13"/>
  <c r="Y1042" i="13"/>
  <c r="X1042" i="13"/>
  <c r="W1042" i="13"/>
  <c r="U1042" i="13"/>
  <c r="T1042" i="13"/>
  <c r="S1042" i="13"/>
  <c r="R1042" i="13"/>
  <c r="Q1042" i="13"/>
  <c r="P1042" i="13"/>
  <c r="O1042" i="13"/>
  <c r="N1042" i="13"/>
  <c r="M1042" i="13"/>
  <c r="L1042" i="13"/>
  <c r="J1042" i="13"/>
  <c r="G1042" i="13"/>
  <c r="F1042" i="13"/>
  <c r="E1042" i="13"/>
  <c r="D1042" i="13"/>
  <c r="C1042" i="13"/>
  <c r="B1042" i="13"/>
  <c r="A1042" i="13"/>
  <c r="AG1041" i="13"/>
  <c r="AF1041" i="13"/>
  <c r="AE1041" i="13"/>
  <c r="AD1041" i="13"/>
  <c r="Z1041" i="13"/>
  <c r="Y1041" i="13"/>
  <c r="X1041" i="13"/>
  <c r="W1041" i="13"/>
  <c r="U1041" i="13"/>
  <c r="T1041" i="13"/>
  <c r="S1041" i="13"/>
  <c r="R1041" i="13"/>
  <c r="Q1041" i="13"/>
  <c r="P1041" i="13"/>
  <c r="O1041" i="13"/>
  <c r="N1041" i="13"/>
  <c r="M1041" i="13"/>
  <c r="L1041" i="13"/>
  <c r="J1041" i="13"/>
  <c r="G1041" i="13"/>
  <c r="F1041" i="13"/>
  <c r="E1041" i="13"/>
  <c r="D1041" i="13"/>
  <c r="C1041" i="13"/>
  <c r="B1041" i="13"/>
  <c r="A1041" i="13"/>
  <c r="AG1040" i="13"/>
  <c r="AF1040" i="13"/>
  <c r="AE1040" i="13"/>
  <c r="AD1040" i="13"/>
  <c r="Z1040" i="13"/>
  <c r="Y1040" i="13"/>
  <c r="X1040" i="13"/>
  <c r="W1040" i="13"/>
  <c r="U1040" i="13"/>
  <c r="T1040" i="13"/>
  <c r="S1040" i="13"/>
  <c r="R1040" i="13"/>
  <c r="Q1040" i="13"/>
  <c r="P1040" i="13"/>
  <c r="O1040" i="13"/>
  <c r="N1040" i="13"/>
  <c r="M1040" i="13"/>
  <c r="L1040" i="13"/>
  <c r="J1040" i="13"/>
  <c r="G1040" i="13"/>
  <c r="F1040" i="13"/>
  <c r="E1040" i="13"/>
  <c r="D1040" i="13"/>
  <c r="C1040" i="13"/>
  <c r="B1040" i="13"/>
  <c r="A1040" i="13"/>
  <c r="AG1039" i="13"/>
  <c r="AF1039" i="13"/>
  <c r="AE1039" i="13"/>
  <c r="AD1039" i="13"/>
  <c r="Z1039" i="13"/>
  <c r="Y1039" i="13"/>
  <c r="X1039" i="13"/>
  <c r="W1039" i="13"/>
  <c r="U1039" i="13"/>
  <c r="T1039" i="13"/>
  <c r="S1039" i="13"/>
  <c r="R1039" i="13"/>
  <c r="Q1039" i="13"/>
  <c r="P1039" i="13"/>
  <c r="O1039" i="13"/>
  <c r="N1039" i="13"/>
  <c r="M1039" i="13"/>
  <c r="L1039" i="13"/>
  <c r="J1039" i="13"/>
  <c r="G1039" i="13"/>
  <c r="F1039" i="13"/>
  <c r="E1039" i="13"/>
  <c r="D1039" i="13"/>
  <c r="C1039" i="13"/>
  <c r="B1039" i="13"/>
  <c r="A1039" i="13"/>
  <c r="AG1038" i="13"/>
  <c r="AF1038" i="13"/>
  <c r="AE1038" i="13"/>
  <c r="AD1038" i="13"/>
  <c r="Z1038" i="13"/>
  <c r="Y1038" i="13"/>
  <c r="X1038" i="13"/>
  <c r="W1038" i="13"/>
  <c r="U1038" i="13"/>
  <c r="T1038" i="13"/>
  <c r="S1038" i="13"/>
  <c r="R1038" i="13"/>
  <c r="Q1038" i="13"/>
  <c r="P1038" i="13"/>
  <c r="O1038" i="13"/>
  <c r="N1038" i="13"/>
  <c r="M1038" i="13"/>
  <c r="L1038" i="13"/>
  <c r="J1038" i="13"/>
  <c r="G1038" i="13"/>
  <c r="F1038" i="13"/>
  <c r="E1038" i="13"/>
  <c r="D1038" i="13"/>
  <c r="C1038" i="13"/>
  <c r="B1038" i="13"/>
  <c r="A1038" i="13"/>
  <c r="AG1037" i="13"/>
  <c r="AF1037" i="13"/>
  <c r="AE1037" i="13"/>
  <c r="AD1037" i="13"/>
  <c r="Z1037" i="13"/>
  <c r="Y1037" i="13"/>
  <c r="X1037" i="13"/>
  <c r="W1037" i="13"/>
  <c r="U1037" i="13"/>
  <c r="T1037" i="13"/>
  <c r="S1037" i="13"/>
  <c r="R1037" i="13"/>
  <c r="Q1037" i="13"/>
  <c r="P1037" i="13"/>
  <c r="O1037" i="13"/>
  <c r="N1037" i="13"/>
  <c r="M1037" i="13"/>
  <c r="L1037" i="13"/>
  <c r="J1037" i="13"/>
  <c r="G1037" i="13"/>
  <c r="F1037" i="13"/>
  <c r="E1037" i="13"/>
  <c r="D1037" i="13"/>
  <c r="C1037" i="13"/>
  <c r="B1037" i="13"/>
  <c r="A1037" i="13"/>
  <c r="AG1036" i="13"/>
  <c r="AF1036" i="13"/>
  <c r="AE1036" i="13"/>
  <c r="AD1036" i="13"/>
  <c r="Z1036" i="13"/>
  <c r="Y1036" i="13"/>
  <c r="X1036" i="13"/>
  <c r="W1036" i="13"/>
  <c r="U1036" i="13"/>
  <c r="T1036" i="13"/>
  <c r="S1036" i="13"/>
  <c r="R1036" i="13"/>
  <c r="Q1036" i="13"/>
  <c r="P1036" i="13"/>
  <c r="O1036" i="13"/>
  <c r="N1036" i="13"/>
  <c r="M1036" i="13"/>
  <c r="L1036" i="13"/>
  <c r="J1036" i="13"/>
  <c r="G1036" i="13"/>
  <c r="F1036" i="13"/>
  <c r="E1036" i="13"/>
  <c r="D1036" i="13"/>
  <c r="C1036" i="13"/>
  <c r="B1036" i="13"/>
  <c r="A1036" i="13"/>
  <c r="AG1035" i="13"/>
  <c r="AF1035" i="13"/>
  <c r="AE1035" i="13"/>
  <c r="AD1035" i="13"/>
  <c r="Z1035" i="13"/>
  <c r="Y1035" i="13"/>
  <c r="X1035" i="13"/>
  <c r="W1035" i="13"/>
  <c r="U1035" i="13"/>
  <c r="T1035" i="13"/>
  <c r="S1035" i="13"/>
  <c r="R1035" i="13"/>
  <c r="Q1035" i="13"/>
  <c r="P1035" i="13"/>
  <c r="O1035" i="13"/>
  <c r="N1035" i="13"/>
  <c r="M1035" i="13"/>
  <c r="L1035" i="13"/>
  <c r="J1035" i="13"/>
  <c r="G1035" i="13"/>
  <c r="F1035" i="13"/>
  <c r="E1035" i="13"/>
  <c r="D1035" i="13"/>
  <c r="C1035" i="13"/>
  <c r="B1035" i="13"/>
  <c r="A1035" i="13"/>
  <c r="AG1034" i="13"/>
  <c r="AF1034" i="13"/>
  <c r="AE1034" i="13"/>
  <c r="AD1034" i="13"/>
  <c r="Z1034" i="13"/>
  <c r="Y1034" i="13"/>
  <c r="X1034" i="13"/>
  <c r="W1034" i="13"/>
  <c r="U1034" i="13"/>
  <c r="T1034" i="13"/>
  <c r="S1034" i="13"/>
  <c r="R1034" i="13"/>
  <c r="Q1034" i="13"/>
  <c r="P1034" i="13"/>
  <c r="O1034" i="13"/>
  <c r="N1034" i="13"/>
  <c r="M1034" i="13"/>
  <c r="L1034" i="13"/>
  <c r="J1034" i="13"/>
  <c r="G1034" i="13"/>
  <c r="F1034" i="13"/>
  <c r="E1034" i="13"/>
  <c r="D1034" i="13"/>
  <c r="C1034" i="13"/>
  <c r="B1034" i="13"/>
  <c r="A1034" i="13"/>
  <c r="AG1033" i="13"/>
  <c r="AF1033" i="13"/>
  <c r="AE1033" i="13"/>
  <c r="AD1033" i="13"/>
  <c r="Z1033" i="13"/>
  <c r="Y1033" i="13"/>
  <c r="X1033" i="13"/>
  <c r="W1033" i="13"/>
  <c r="U1033" i="13"/>
  <c r="T1033" i="13"/>
  <c r="S1033" i="13"/>
  <c r="R1033" i="13"/>
  <c r="Q1033" i="13"/>
  <c r="P1033" i="13"/>
  <c r="O1033" i="13"/>
  <c r="N1033" i="13"/>
  <c r="M1033" i="13"/>
  <c r="L1033" i="13"/>
  <c r="J1033" i="13"/>
  <c r="G1033" i="13"/>
  <c r="F1033" i="13"/>
  <c r="E1033" i="13"/>
  <c r="D1033" i="13"/>
  <c r="C1033" i="13"/>
  <c r="B1033" i="13"/>
  <c r="A1033" i="13"/>
  <c r="AG1032" i="13"/>
  <c r="AF1032" i="13"/>
  <c r="AE1032" i="13"/>
  <c r="AD1032" i="13"/>
  <c r="Z1032" i="13"/>
  <c r="Y1032" i="13"/>
  <c r="X1032" i="13"/>
  <c r="W1032" i="13"/>
  <c r="U1032" i="13"/>
  <c r="T1032" i="13"/>
  <c r="S1032" i="13"/>
  <c r="R1032" i="13"/>
  <c r="Q1032" i="13"/>
  <c r="P1032" i="13"/>
  <c r="O1032" i="13"/>
  <c r="N1032" i="13"/>
  <c r="M1032" i="13"/>
  <c r="L1032" i="13"/>
  <c r="J1032" i="13"/>
  <c r="G1032" i="13"/>
  <c r="F1032" i="13"/>
  <c r="E1032" i="13"/>
  <c r="D1032" i="13"/>
  <c r="C1032" i="13"/>
  <c r="B1032" i="13"/>
  <c r="A1032" i="13"/>
  <c r="AG1031" i="13"/>
  <c r="AF1031" i="13"/>
  <c r="AE1031" i="13"/>
  <c r="AD1031" i="13"/>
  <c r="Z1031" i="13"/>
  <c r="Y1031" i="13"/>
  <c r="X1031" i="13"/>
  <c r="W1031" i="13"/>
  <c r="U1031" i="13"/>
  <c r="T1031" i="13"/>
  <c r="S1031" i="13"/>
  <c r="R1031" i="13"/>
  <c r="Q1031" i="13"/>
  <c r="P1031" i="13"/>
  <c r="O1031" i="13"/>
  <c r="N1031" i="13"/>
  <c r="M1031" i="13"/>
  <c r="L1031" i="13"/>
  <c r="J1031" i="13"/>
  <c r="G1031" i="13"/>
  <c r="F1031" i="13"/>
  <c r="E1031" i="13"/>
  <c r="D1031" i="13"/>
  <c r="C1031" i="13"/>
  <c r="B1031" i="13"/>
  <c r="A1031" i="13"/>
  <c r="AG1030" i="13"/>
  <c r="AF1030" i="13"/>
  <c r="AE1030" i="13"/>
  <c r="AD1030" i="13"/>
  <c r="Z1030" i="13"/>
  <c r="Y1030" i="13"/>
  <c r="X1030" i="13"/>
  <c r="W1030" i="13"/>
  <c r="U1030" i="13"/>
  <c r="T1030" i="13"/>
  <c r="S1030" i="13"/>
  <c r="R1030" i="13"/>
  <c r="Q1030" i="13"/>
  <c r="P1030" i="13"/>
  <c r="O1030" i="13"/>
  <c r="N1030" i="13"/>
  <c r="M1030" i="13"/>
  <c r="L1030" i="13"/>
  <c r="J1030" i="13"/>
  <c r="G1030" i="13"/>
  <c r="F1030" i="13"/>
  <c r="E1030" i="13"/>
  <c r="D1030" i="13"/>
  <c r="C1030" i="13"/>
  <c r="B1030" i="13"/>
  <c r="A1030" i="13"/>
  <c r="AG1029" i="13"/>
  <c r="AF1029" i="13"/>
  <c r="AE1029" i="13"/>
  <c r="AD1029" i="13"/>
  <c r="Z1029" i="13"/>
  <c r="Y1029" i="13"/>
  <c r="X1029" i="13"/>
  <c r="W1029" i="13"/>
  <c r="U1029" i="13"/>
  <c r="T1029" i="13"/>
  <c r="S1029" i="13"/>
  <c r="R1029" i="13"/>
  <c r="Q1029" i="13"/>
  <c r="P1029" i="13"/>
  <c r="O1029" i="13"/>
  <c r="N1029" i="13"/>
  <c r="M1029" i="13"/>
  <c r="L1029" i="13"/>
  <c r="J1029" i="13"/>
  <c r="G1029" i="13"/>
  <c r="F1029" i="13"/>
  <c r="E1029" i="13"/>
  <c r="D1029" i="13"/>
  <c r="C1029" i="13"/>
  <c r="B1029" i="13"/>
  <c r="A1029" i="13"/>
  <c r="AG1028" i="13"/>
  <c r="AF1028" i="13"/>
  <c r="AE1028" i="13"/>
  <c r="AD1028" i="13"/>
  <c r="Z1028" i="13"/>
  <c r="Y1028" i="13"/>
  <c r="X1028" i="13"/>
  <c r="W1028" i="13"/>
  <c r="U1028" i="13"/>
  <c r="T1028" i="13"/>
  <c r="S1028" i="13"/>
  <c r="R1028" i="13"/>
  <c r="Q1028" i="13"/>
  <c r="P1028" i="13"/>
  <c r="O1028" i="13"/>
  <c r="N1028" i="13"/>
  <c r="M1028" i="13"/>
  <c r="L1028" i="13"/>
  <c r="J1028" i="13"/>
  <c r="G1028" i="13"/>
  <c r="F1028" i="13"/>
  <c r="E1028" i="13"/>
  <c r="D1028" i="13"/>
  <c r="C1028" i="13"/>
  <c r="B1028" i="13"/>
  <c r="A1028" i="13"/>
  <c r="AG1027" i="13"/>
  <c r="AF1027" i="13"/>
  <c r="AE1027" i="13"/>
  <c r="AD1027" i="13"/>
  <c r="Z1027" i="13"/>
  <c r="Y1027" i="13"/>
  <c r="X1027" i="13"/>
  <c r="W1027" i="13"/>
  <c r="U1027" i="13"/>
  <c r="T1027" i="13"/>
  <c r="S1027" i="13"/>
  <c r="R1027" i="13"/>
  <c r="Q1027" i="13"/>
  <c r="P1027" i="13"/>
  <c r="O1027" i="13"/>
  <c r="N1027" i="13"/>
  <c r="M1027" i="13"/>
  <c r="L1027" i="13"/>
  <c r="J1027" i="13"/>
  <c r="G1027" i="13"/>
  <c r="F1027" i="13"/>
  <c r="E1027" i="13"/>
  <c r="D1027" i="13"/>
  <c r="C1027" i="13"/>
  <c r="B1027" i="13"/>
  <c r="A1027" i="13"/>
  <c r="AG1026" i="13"/>
  <c r="AF1026" i="13"/>
  <c r="AE1026" i="13"/>
  <c r="AD1026" i="13"/>
  <c r="Z1026" i="13"/>
  <c r="Y1026" i="13"/>
  <c r="X1026" i="13"/>
  <c r="W1026" i="13"/>
  <c r="U1026" i="13"/>
  <c r="T1026" i="13"/>
  <c r="S1026" i="13"/>
  <c r="R1026" i="13"/>
  <c r="Q1026" i="13"/>
  <c r="P1026" i="13"/>
  <c r="O1026" i="13"/>
  <c r="N1026" i="13"/>
  <c r="M1026" i="13"/>
  <c r="L1026" i="13"/>
  <c r="J1026" i="13"/>
  <c r="G1026" i="13"/>
  <c r="F1026" i="13"/>
  <c r="E1026" i="13"/>
  <c r="D1026" i="13"/>
  <c r="C1026" i="13"/>
  <c r="B1026" i="13"/>
  <c r="A1026" i="13"/>
  <c r="AG1025" i="13"/>
  <c r="AF1025" i="13"/>
  <c r="AE1025" i="13"/>
  <c r="AD1025" i="13"/>
  <c r="Z1025" i="13"/>
  <c r="Y1025" i="13"/>
  <c r="X1025" i="13"/>
  <c r="W1025" i="13"/>
  <c r="U1025" i="13"/>
  <c r="T1025" i="13"/>
  <c r="S1025" i="13"/>
  <c r="R1025" i="13"/>
  <c r="Q1025" i="13"/>
  <c r="P1025" i="13"/>
  <c r="O1025" i="13"/>
  <c r="N1025" i="13"/>
  <c r="M1025" i="13"/>
  <c r="L1025" i="13"/>
  <c r="J1025" i="13"/>
  <c r="G1025" i="13"/>
  <c r="F1025" i="13"/>
  <c r="E1025" i="13"/>
  <c r="D1025" i="13"/>
  <c r="C1025" i="13"/>
  <c r="B1025" i="13"/>
  <c r="A1025" i="13"/>
  <c r="AG1024" i="13"/>
  <c r="AF1024" i="13"/>
  <c r="AE1024" i="13"/>
  <c r="AD1024" i="13"/>
  <c r="Z1024" i="13"/>
  <c r="Y1024" i="13"/>
  <c r="X1024" i="13"/>
  <c r="W1024" i="13"/>
  <c r="U1024" i="13"/>
  <c r="T1024" i="13"/>
  <c r="S1024" i="13"/>
  <c r="R1024" i="13"/>
  <c r="Q1024" i="13"/>
  <c r="P1024" i="13"/>
  <c r="O1024" i="13"/>
  <c r="N1024" i="13"/>
  <c r="M1024" i="13"/>
  <c r="L1024" i="13"/>
  <c r="J1024" i="13"/>
  <c r="G1024" i="13"/>
  <c r="F1024" i="13"/>
  <c r="E1024" i="13"/>
  <c r="D1024" i="13"/>
  <c r="C1024" i="13"/>
  <c r="B1024" i="13"/>
  <c r="A1024" i="13"/>
  <c r="AG1023" i="13"/>
  <c r="AF1023" i="13"/>
  <c r="AE1023" i="13"/>
  <c r="AD1023" i="13"/>
  <c r="Z1023" i="13"/>
  <c r="Y1023" i="13"/>
  <c r="X1023" i="13"/>
  <c r="W1023" i="13"/>
  <c r="U1023" i="13"/>
  <c r="T1023" i="13"/>
  <c r="S1023" i="13"/>
  <c r="R1023" i="13"/>
  <c r="Q1023" i="13"/>
  <c r="P1023" i="13"/>
  <c r="O1023" i="13"/>
  <c r="N1023" i="13"/>
  <c r="M1023" i="13"/>
  <c r="L1023" i="13"/>
  <c r="J1023" i="13"/>
  <c r="G1023" i="13"/>
  <c r="F1023" i="13"/>
  <c r="E1023" i="13"/>
  <c r="D1023" i="13"/>
  <c r="C1023" i="13"/>
  <c r="B1023" i="13"/>
  <c r="A1023" i="13"/>
  <c r="AG1022" i="13"/>
  <c r="AF1022" i="13"/>
  <c r="AE1022" i="13"/>
  <c r="AD1022" i="13"/>
  <c r="Z1022" i="13"/>
  <c r="Y1022" i="13"/>
  <c r="X1022" i="13"/>
  <c r="W1022" i="13"/>
  <c r="U1022" i="13"/>
  <c r="T1022" i="13"/>
  <c r="S1022" i="13"/>
  <c r="R1022" i="13"/>
  <c r="Q1022" i="13"/>
  <c r="P1022" i="13"/>
  <c r="O1022" i="13"/>
  <c r="N1022" i="13"/>
  <c r="M1022" i="13"/>
  <c r="L1022" i="13"/>
  <c r="J1022" i="13"/>
  <c r="G1022" i="13"/>
  <c r="F1022" i="13"/>
  <c r="E1022" i="13"/>
  <c r="D1022" i="13"/>
  <c r="C1022" i="13"/>
  <c r="B1022" i="13"/>
  <c r="A1022" i="13"/>
  <c r="AG1021" i="13"/>
  <c r="AF1021" i="13"/>
  <c r="AE1021" i="13"/>
  <c r="AD1021" i="13"/>
  <c r="Z1021" i="13"/>
  <c r="Y1021" i="13"/>
  <c r="X1021" i="13"/>
  <c r="W1021" i="13"/>
  <c r="U1021" i="13"/>
  <c r="T1021" i="13"/>
  <c r="S1021" i="13"/>
  <c r="R1021" i="13"/>
  <c r="Q1021" i="13"/>
  <c r="P1021" i="13"/>
  <c r="O1021" i="13"/>
  <c r="N1021" i="13"/>
  <c r="M1021" i="13"/>
  <c r="L1021" i="13"/>
  <c r="J1021" i="13"/>
  <c r="G1021" i="13"/>
  <c r="F1021" i="13"/>
  <c r="E1021" i="13"/>
  <c r="D1021" i="13"/>
  <c r="C1021" i="13"/>
  <c r="B1021" i="13"/>
  <c r="A1021" i="13"/>
  <c r="AG1020" i="13"/>
  <c r="AF1020" i="13"/>
  <c r="AE1020" i="13"/>
  <c r="AD1020" i="13"/>
  <c r="Z1020" i="13"/>
  <c r="Y1020" i="13"/>
  <c r="X1020" i="13"/>
  <c r="W1020" i="13"/>
  <c r="U1020" i="13"/>
  <c r="T1020" i="13"/>
  <c r="S1020" i="13"/>
  <c r="R1020" i="13"/>
  <c r="Q1020" i="13"/>
  <c r="P1020" i="13"/>
  <c r="O1020" i="13"/>
  <c r="N1020" i="13"/>
  <c r="M1020" i="13"/>
  <c r="L1020" i="13"/>
  <c r="J1020" i="13"/>
  <c r="G1020" i="13"/>
  <c r="F1020" i="13"/>
  <c r="E1020" i="13"/>
  <c r="D1020" i="13"/>
  <c r="C1020" i="13"/>
  <c r="B1020" i="13"/>
  <c r="A1020" i="13"/>
  <c r="AG1019" i="13"/>
  <c r="AF1019" i="13"/>
  <c r="AE1019" i="13"/>
  <c r="AD1019" i="13"/>
  <c r="Z1019" i="13"/>
  <c r="Y1019" i="13"/>
  <c r="X1019" i="13"/>
  <c r="W1019" i="13"/>
  <c r="U1019" i="13"/>
  <c r="T1019" i="13"/>
  <c r="S1019" i="13"/>
  <c r="R1019" i="13"/>
  <c r="Q1019" i="13"/>
  <c r="P1019" i="13"/>
  <c r="O1019" i="13"/>
  <c r="N1019" i="13"/>
  <c r="M1019" i="13"/>
  <c r="L1019" i="13"/>
  <c r="J1019" i="13"/>
  <c r="G1019" i="13"/>
  <c r="F1019" i="13"/>
  <c r="E1019" i="13"/>
  <c r="D1019" i="13"/>
  <c r="C1019" i="13"/>
  <c r="B1019" i="13"/>
  <c r="A1019" i="13"/>
  <c r="AG1018" i="13"/>
  <c r="AF1018" i="13"/>
  <c r="AE1018" i="13"/>
  <c r="AD1018" i="13"/>
  <c r="Z1018" i="13"/>
  <c r="Y1018" i="13"/>
  <c r="X1018" i="13"/>
  <c r="W1018" i="13"/>
  <c r="U1018" i="13"/>
  <c r="T1018" i="13"/>
  <c r="S1018" i="13"/>
  <c r="R1018" i="13"/>
  <c r="Q1018" i="13"/>
  <c r="P1018" i="13"/>
  <c r="O1018" i="13"/>
  <c r="N1018" i="13"/>
  <c r="M1018" i="13"/>
  <c r="L1018" i="13"/>
  <c r="J1018" i="13"/>
  <c r="G1018" i="13"/>
  <c r="F1018" i="13"/>
  <c r="E1018" i="13"/>
  <c r="D1018" i="13"/>
  <c r="C1018" i="13"/>
  <c r="B1018" i="13"/>
  <c r="A1018" i="13"/>
  <c r="AG1017" i="13"/>
  <c r="AF1017" i="13"/>
  <c r="AE1017" i="13"/>
  <c r="AD1017" i="13"/>
  <c r="Z1017" i="13"/>
  <c r="Y1017" i="13"/>
  <c r="X1017" i="13"/>
  <c r="W1017" i="13"/>
  <c r="U1017" i="13"/>
  <c r="T1017" i="13"/>
  <c r="S1017" i="13"/>
  <c r="R1017" i="13"/>
  <c r="Q1017" i="13"/>
  <c r="P1017" i="13"/>
  <c r="O1017" i="13"/>
  <c r="N1017" i="13"/>
  <c r="M1017" i="13"/>
  <c r="L1017" i="13"/>
  <c r="J1017" i="13"/>
  <c r="G1017" i="13"/>
  <c r="F1017" i="13"/>
  <c r="E1017" i="13"/>
  <c r="D1017" i="13"/>
  <c r="C1017" i="13"/>
  <c r="B1017" i="13"/>
  <c r="A1017" i="13"/>
  <c r="AG1016" i="13"/>
  <c r="AF1016" i="13"/>
  <c r="AE1016" i="13"/>
  <c r="AD1016" i="13"/>
  <c r="Z1016" i="13"/>
  <c r="Y1016" i="13"/>
  <c r="X1016" i="13"/>
  <c r="W1016" i="13"/>
  <c r="U1016" i="13"/>
  <c r="T1016" i="13"/>
  <c r="S1016" i="13"/>
  <c r="R1016" i="13"/>
  <c r="Q1016" i="13"/>
  <c r="P1016" i="13"/>
  <c r="O1016" i="13"/>
  <c r="N1016" i="13"/>
  <c r="M1016" i="13"/>
  <c r="L1016" i="13"/>
  <c r="J1016" i="13"/>
  <c r="G1016" i="13"/>
  <c r="F1016" i="13"/>
  <c r="E1016" i="13"/>
  <c r="D1016" i="13"/>
  <c r="C1016" i="13"/>
  <c r="B1016" i="13"/>
  <c r="A1016" i="13"/>
  <c r="AG1015" i="13"/>
  <c r="AF1015" i="13"/>
  <c r="AE1015" i="13"/>
  <c r="AD1015" i="13"/>
  <c r="Z1015" i="13"/>
  <c r="Y1015" i="13"/>
  <c r="X1015" i="13"/>
  <c r="W1015" i="13"/>
  <c r="U1015" i="13"/>
  <c r="T1015" i="13"/>
  <c r="S1015" i="13"/>
  <c r="R1015" i="13"/>
  <c r="Q1015" i="13"/>
  <c r="P1015" i="13"/>
  <c r="O1015" i="13"/>
  <c r="N1015" i="13"/>
  <c r="M1015" i="13"/>
  <c r="L1015" i="13"/>
  <c r="J1015" i="13"/>
  <c r="G1015" i="13"/>
  <c r="F1015" i="13"/>
  <c r="E1015" i="13"/>
  <c r="D1015" i="13"/>
  <c r="C1015" i="13"/>
  <c r="B1015" i="13"/>
  <c r="A1015" i="13"/>
  <c r="AG1014" i="13"/>
  <c r="AF1014" i="13"/>
  <c r="AE1014" i="13"/>
  <c r="AD1014" i="13"/>
  <c r="Z1014" i="13"/>
  <c r="Y1014" i="13"/>
  <c r="X1014" i="13"/>
  <c r="W1014" i="13"/>
  <c r="U1014" i="13"/>
  <c r="T1014" i="13"/>
  <c r="S1014" i="13"/>
  <c r="R1014" i="13"/>
  <c r="Q1014" i="13"/>
  <c r="P1014" i="13"/>
  <c r="O1014" i="13"/>
  <c r="N1014" i="13"/>
  <c r="M1014" i="13"/>
  <c r="L1014" i="13"/>
  <c r="J1014" i="13"/>
  <c r="G1014" i="13"/>
  <c r="F1014" i="13"/>
  <c r="E1014" i="13"/>
  <c r="D1014" i="13"/>
  <c r="C1014" i="13"/>
  <c r="B1014" i="13"/>
  <c r="A1014" i="13"/>
  <c r="AG1013" i="13"/>
  <c r="AF1013" i="13"/>
  <c r="AE1013" i="13"/>
  <c r="AD1013" i="13"/>
  <c r="Z1013" i="13"/>
  <c r="Y1013" i="13"/>
  <c r="X1013" i="13"/>
  <c r="W1013" i="13"/>
  <c r="U1013" i="13"/>
  <c r="T1013" i="13"/>
  <c r="S1013" i="13"/>
  <c r="R1013" i="13"/>
  <c r="Q1013" i="13"/>
  <c r="P1013" i="13"/>
  <c r="O1013" i="13"/>
  <c r="N1013" i="13"/>
  <c r="M1013" i="13"/>
  <c r="L1013" i="13"/>
  <c r="J1013" i="13"/>
  <c r="G1013" i="13"/>
  <c r="F1013" i="13"/>
  <c r="E1013" i="13"/>
  <c r="D1013" i="13"/>
  <c r="C1013" i="13"/>
  <c r="B1013" i="13"/>
  <c r="A1013" i="13"/>
  <c r="AG1012" i="13"/>
  <c r="AF1012" i="13"/>
  <c r="AE1012" i="13"/>
  <c r="AD1012" i="13"/>
  <c r="Z1012" i="13"/>
  <c r="Y1012" i="13"/>
  <c r="X1012" i="13"/>
  <c r="W1012" i="13"/>
  <c r="U1012" i="13"/>
  <c r="T1012" i="13"/>
  <c r="S1012" i="13"/>
  <c r="R1012" i="13"/>
  <c r="Q1012" i="13"/>
  <c r="O1012" i="13"/>
  <c r="N1012" i="13"/>
  <c r="M1012" i="13"/>
  <c r="L1012" i="13"/>
  <c r="G1012" i="13"/>
  <c r="F1012" i="13"/>
  <c r="E1012" i="13"/>
  <c r="D1012" i="13"/>
  <c r="C1012" i="13"/>
  <c r="B1012" i="13"/>
  <c r="A1012" i="13"/>
  <c r="AG1011" i="13"/>
  <c r="AF1011" i="13"/>
  <c r="AE1011" i="13"/>
  <c r="AD1011" i="13"/>
  <c r="Z1011" i="13"/>
  <c r="Y1011" i="13"/>
  <c r="X1011" i="13"/>
  <c r="W1011" i="13"/>
  <c r="U1011" i="13"/>
  <c r="T1011" i="13"/>
  <c r="S1011" i="13"/>
  <c r="R1011" i="13"/>
  <c r="Q1011" i="13"/>
  <c r="O1011" i="13"/>
  <c r="N1011" i="13"/>
  <c r="M1011" i="13"/>
  <c r="L1011" i="13"/>
  <c r="G1011" i="13"/>
  <c r="F1011" i="13"/>
  <c r="E1011" i="13"/>
  <c r="D1011" i="13"/>
  <c r="C1011" i="13"/>
  <c r="B1011" i="13"/>
  <c r="A1011" i="13"/>
  <c r="AG1010" i="13"/>
  <c r="AF1010" i="13"/>
  <c r="AE1010" i="13"/>
  <c r="AD1010" i="13"/>
  <c r="Z1010" i="13"/>
  <c r="Y1010" i="13"/>
  <c r="X1010" i="13"/>
  <c r="W1010" i="13"/>
  <c r="U1010" i="13"/>
  <c r="T1010" i="13"/>
  <c r="S1010" i="13"/>
  <c r="R1010" i="13"/>
  <c r="Q1010" i="13"/>
  <c r="O1010" i="13"/>
  <c r="N1010" i="13"/>
  <c r="M1010" i="13"/>
  <c r="L1010" i="13"/>
  <c r="G1010" i="13"/>
  <c r="F1010" i="13"/>
  <c r="E1010" i="13"/>
  <c r="D1010" i="13"/>
  <c r="C1010" i="13"/>
  <c r="B1010" i="13"/>
  <c r="A1010" i="13"/>
  <c r="AG1009" i="13"/>
  <c r="AF1009" i="13"/>
  <c r="AE1009" i="13"/>
  <c r="AD1009" i="13"/>
  <c r="Z1009" i="13"/>
  <c r="Y1009" i="13"/>
  <c r="X1009" i="13"/>
  <c r="W1009" i="13"/>
  <c r="U1009" i="13"/>
  <c r="T1009" i="13"/>
  <c r="S1009" i="13"/>
  <c r="R1009" i="13"/>
  <c r="Q1009" i="13"/>
  <c r="O1009" i="13"/>
  <c r="N1009" i="13"/>
  <c r="M1009" i="13"/>
  <c r="L1009" i="13"/>
  <c r="G1009" i="13"/>
  <c r="F1009" i="13"/>
  <c r="E1009" i="13"/>
  <c r="D1009" i="13"/>
  <c r="C1009" i="13"/>
  <c r="B1009" i="13"/>
  <c r="A1009" i="13"/>
  <c r="AG1008" i="13"/>
  <c r="AF1008" i="13"/>
  <c r="AE1008" i="13"/>
  <c r="AD1008" i="13"/>
  <c r="Z1008" i="13"/>
  <c r="Y1008" i="13"/>
  <c r="X1008" i="13"/>
  <c r="W1008" i="13"/>
  <c r="U1008" i="13"/>
  <c r="T1008" i="13"/>
  <c r="S1008" i="13"/>
  <c r="R1008" i="13"/>
  <c r="Q1008" i="13"/>
  <c r="O1008" i="13"/>
  <c r="N1008" i="13"/>
  <c r="M1008" i="13"/>
  <c r="L1008" i="13"/>
  <c r="G1008" i="13"/>
  <c r="F1008" i="13"/>
  <c r="E1008" i="13"/>
  <c r="D1008" i="13"/>
  <c r="C1008" i="13"/>
  <c r="B1008" i="13"/>
  <c r="A1008" i="13"/>
  <c r="AG1007" i="13"/>
  <c r="AF1007" i="13"/>
  <c r="AE1007" i="13"/>
  <c r="AD1007" i="13"/>
  <c r="Z1007" i="13"/>
  <c r="Y1007" i="13"/>
  <c r="X1007" i="13"/>
  <c r="W1007" i="13"/>
  <c r="U1007" i="13"/>
  <c r="T1007" i="13"/>
  <c r="S1007" i="13"/>
  <c r="R1007" i="13"/>
  <c r="Q1007" i="13"/>
  <c r="P1007" i="13"/>
  <c r="O1007" i="13"/>
  <c r="N1007" i="13"/>
  <c r="M1007" i="13"/>
  <c r="L1007" i="13"/>
  <c r="J1007" i="13"/>
  <c r="G1007" i="13"/>
  <c r="F1007" i="13"/>
  <c r="E1007" i="13"/>
  <c r="D1007" i="13"/>
  <c r="C1007" i="13"/>
  <c r="B1007" i="13"/>
  <c r="A1007" i="13"/>
  <c r="AG1006" i="13"/>
  <c r="AF1006" i="13"/>
  <c r="AE1006" i="13"/>
  <c r="AD1006" i="13"/>
  <c r="Z1006" i="13"/>
  <c r="Y1006" i="13"/>
  <c r="X1006" i="13"/>
  <c r="W1006" i="13"/>
  <c r="U1006" i="13"/>
  <c r="T1006" i="13"/>
  <c r="S1006" i="13"/>
  <c r="R1006" i="13"/>
  <c r="Q1006" i="13"/>
  <c r="P1006" i="13"/>
  <c r="O1006" i="13"/>
  <c r="N1006" i="13"/>
  <c r="M1006" i="13"/>
  <c r="L1006" i="13"/>
  <c r="J1006" i="13"/>
  <c r="G1006" i="13"/>
  <c r="F1006" i="13"/>
  <c r="E1006" i="13"/>
  <c r="D1006" i="13"/>
  <c r="C1006" i="13"/>
  <c r="B1006" i="13"/>
  <c r="A1006" i="13"/>
  <c r="AG1005" i="13"/>
  <c r="AF1005" i="13"/>
  <c r="AE1005" i="13"/>
  <c r="AD1005" i="13"/>
  <c r="Z1005" i="13"/>
  <c r="Y1005" i="13"/>
  <c r="X1005" i="13"/>
  <c r="W1005" i="13"/>
  <c r="U1005" i="13"/>
  <c r="T1005" i="13"/>
  <c r="S1005" i="13"/>
  <c r="R1005" i="13"/>
  <c r="Q1005" i="13"/>
  <c r="P1005" i="13"/>
  <c r="O1005" i="13"/>
  <c r="N1005" i="13"/>
  <c r="M1005" i="13"/>
  <c r="L1005" i="13"/>
  <c r="J1005" i="13"/>
  <c r="G1005" i="13"/>
  <c r="F1005" i="13"/>
  <c r="E1005" i="13"/>
  <c r="D1005" i="13"/>
  <c r="C1005" i="13"/>
  <c r="B1005" i="13"/>
  <c r="A1005" i="13"/>
  <c r="AG1004" i="13"/>
  <c r="AF1004" i="13"/>
  <c r="AE1004" i="13"/>
  <c r="AD1004" i="13"/>
  <c r="Z1004" i="13"/>
  <c r="Y1004" i="13"/>
  <c r="X1004" i="13"/>
  <c r="W1004" i="13"/>
  <c r="U1004" i="13"/>
  <c r="T1004" i="13"/>
  <c r="S1004" i="13"/>
  <c r="R1004" i="13"/>
  <c r="Q1004" i="13"/>
  <c r="P1004" i="13"/>
  <c r="O1004" i="13"/>
  <c r="N1004" i="13"/>
  <c r="M1004" i="13"/>
  <c r="L1004" i="13"/>
  <c r="J1004" i="13"/>
  <c r="G1004" i="13"/>
  <c r="F1004" i="13"/>
  <c r="E1004" i="13"/>
  <c r="D1004" i="13"/>
  <c r="C1004" i="13"/>
  <c r="B1004" i="13"/>
  <c r="A1004" i="13"/>
  <c r="AG1003" i="13"/>
  <c r="AF1003" i="13"/>
  <c r="AE1003" i="13"/>
  <c r="AD1003" i="13"/>
  <c r="Z1003" i="13"/>
  <c r="Y1003" i="13"/>
  <c r="X1003" i="13"/>
  <c r="W1003" i="13"/>
  <c r="U1003" i="13"/>
  <c r="T1003" i="13"/>
  <c r="S1003" i="13"/>
  <c r="R1003" i="13"/>
  <c r="Q1003" i="13"/>
  <c r="P1003" i="13"/>
  <c r="O1003" i="13"/>
  <c r="N1003" i="13"/>
  <c r="M1003" i="13"/>
  <c r="L1003" i="13"/>
  <c r="J1003" i="13"/>
  <c r="G1003" i="13"/>
  <c r="F1003" i="13"/>
  <c r="E1003" i="13"/>
  <c r="D1003" i="13"/>
  <c r="C1003" i="13"/>
  <c r="B1003" i="13"/>
  <c r="A1003" i="13"/>
  <c r="AG1002" i="13"/>
  <c r="AF1002" i="13"/>
  <c r="AE1002" i="13"/>
  <c r="AD1002" i="13"/>
  <c r="Z1002" i="13"/>
  <c r="Y1002" i="13"/>
  <c r="X1002" i="13"/>
  <c r="W1002" i="13"/>
  <c r="U1002" i="13"/>
  <c r="T1002" i="13"/>
  <c r="S1002" i="13"/>
  <c r="R1002" i="13"/>
  <c r="Q1002" i="13"/>
  <c r="P1002" i="13"/>
  <c r="O1002" i="13"/>
  <c r="N1002" i="13"/>
  <c r="M1002" i="13"/>
  <c r="L1002" i="13"/>
  <c r="J1002" i="13"/>
  <c r="G1002" i="13"/>
  <c r="F1002" i="13"/>
  <c r="E1002" i="13"/>
  <c r="D1002" i="13"/>
  <c r="C1002" i="13"/>
  <c r="B1002" i="13"/>
  <c r="A1002" i="13"/>
  <c r="AG1001" i="13"/>
  <c r="AF1001" i="13"/>
  <c r="AE1001" i="13"/>
  <c r="AD1001" i="13"/>
  <c r="Z1001" i="13"/>
  <c r="Y1001" i="13"/>
  <c r="X1001" i="13"/>
  <c r="W1001" i="13"/>
  <c r="U1001" i="13"/>
  <c r="T1001" i="13"/>
  <c r="S1001" i="13"/>
  <c r="R1001" i="13"/>
  <c r="Q1001" i="13"/>
  <c r="P1001" i="13"/>
  <c r="O1001" i="13"/>
  <c r="N1001" i="13"/>
  <c r="M1001" i="13"/>
  <c r="L1001" i="13"/>
  <c r="J1001" i="13"/>
  <c r="G1001" i="13"/>
  <c r="F1001" i="13"/>
  <c r="E1001" i="13"/>
  <c r="D1001" i="13"/>
  <c r="C1001" i="13"/>
  <c r="B1001" i="13"/>
  <c r="A1001" i="13"/>
  <c r="AG1000" i="13"/>
  <c r="AF1000" i="13"/>
  <c r="AE1000" i="13"/>
  <c r="AD1000" i="13"/>
  <c r="Z1000" i="13"/>
  <c r="Y1000" i="13"/>
  <c r="X1000" i="13"/>
  <c r="U1000" i="13"/>
  <c r="T1000" i="13"/>
  <c r="S1000" i="13"/>
  <c r="R1000" i="13"/>
  <c r="Q1000" i="13"/>
  <c r="P1000" i="13"/>
  <c r="O1000" i="13"/>
  <c r="N1000" i="13"/>
  <c r="M1000" i="13"/>
  <c r="L1000" i="13"/>
  <c r="J1000" i="13"/>
  <c r="G1000" i="13"/>
  <c r="F1000" i="13"/>
  <c r="E1000" i="13"/>
  <c r="D1000" i="13"/>
  <c r="C1000" i="13"/>
  <c r="B1000" i="13"/>
  <c r="A1000" i="13"/>
  <c r="AG999" i="13"/>
  <c r="AF999" i="13"/>
  <c r="AE999" i="13"/>
  <c r="AD999" i="13"/>
  <c r="Z999" i="13"/>
  <c r="Y999" i="13"/>
  <c r="X999" i="13"/>
  <c r="W999" i="13"/>
  <c r="U999" i="13"/>
  <c r="T999" i="13"/>
  <c r="S999" i="13"/>
  <c r="R999" i="13"/>
  <c r="Q999" i="13"/>
  <c r="P999" i="13"/>
  <c r="O999" i="13"/>
  <c r="N999" i="13"/>
  <c r="M999" i="13"/>
  <c r="L999" i="13"/>
  <c r="J999" i="13"/>
  <c r="G999" i="13"/>
  <c r="F999" i="13"/>
  <c r="E999" i="13"/>
  <c r="D999" i="13"/>
  <c r="C999" i="13"/>
  <c r="B999" i="13"/>
  <c r="A999" i="13"/>
  <c r="AG998" i="13"/>
  <c r="AF998" i="13"/>
  <c r="AE998" i="13"/>
  <c r="AD998" i="13"/>
  <c r="Z998" i="13"/>
  <c r="Y998" i="13"/>
  <c r="X998" i="13"/>
  <c r="U998" i="13"/>
  <c r="T998" i="13"/>
  <c r="S998" i="13"/>
  <c r="R998" i="13"/>
  <c r="Q998" i="13"/>
  <c r="P998" i="13"/>
  <c r="O998" i="13"/>
  <c r="N998" i="13"/>
  <c r="M998" i="13"/>
  <c r="L998" i="13"/>
  <c r="J998" i="13"/>
  <c r="G998" i="13"/>
  <c r="F998" i="13"/>
  <c r="E998" i="13"/>
  <c r="D998" i="13"/>
  <c r="C998" i="13"/>
  <c r="B998" i="13"/>
  <c r="A998" i="13"/>
  <c r="AG997" i="13"/>
  <c r="AF997" i="13"/>
  <c r="AE997" i="13"/>
  <c r="AD997" i="13"/>
  <c r="Z997" i="13"/>
  <c r="Y997" i="13"/>
  <c r="X997" i="13"/>
  <c r="W997" i="13"/>
  <c r="U997" i="13"/>
  <c r="T997" i="13"/>
  <c r="S997" i="13"/>
  <c r="R997" i="13"/>
  <c r="Q997" i="13"/>
  <c r="P997" i="13"/>
  <c r="O997" i="13"/>
  <c r="N997" i="13"/>
  <c r="M997" i="13"/>
  <c r="L997" i="13"/>
  <c r="J997" i="13"/>
  <c r="G997" i="13"/>
  <c r="F997" i="13"/>
  <c r="E997" i="13"/>
  <c r="D997" i="13"/>
  <c r="C997" i="13"/>
  <c r="B997" i="13"/>
  <c r="A997" i="13"/>
  <c r="AG996" i="13"/>
  <c r="AF996" i="13"/>
  <c r="AE996" i="13"/>
  <c r="AD996" i="13"/>
  <c r="Z996" i="13"/>
  <c r="Y996" i="13"/>
  <c r="X996" i="13"/>
  <c r="W996" i="13"/>
  <c r="U996" i="13"/>
  <c r="T996" i="13"/>
  <c r="S996" i="13"/>
  <c r="R996" i="13"/>
  <c r="Q996" i="13"/>
  <c r="P996" i="13"/>
  <c r="O996" i="13"/>
  <c r="N996" i="13"/>
  <c r="M996" i="13"/>
  <c r="L996" i="13"/>
  <c r="J996" i="13"/>
  <c r="G996" i="13"/>
  <c r="F996" i="13"/>
  <c r="E996" i="13"/>
  <c r="D996" i="13"/>
  <c r="C996" i="13"/>
  <c r="B996" i="13"/>
  <c r="A996" i="13"/>
  <c r="AG995" i="13"/>
  <c r="AF995" i="13"/>
  <c r="AE995" i="13"/>
  <c r="AD995" i="13"/>
  <c r="Z995" i="13"/>
  <c r="Y995" i="13"/>
  <c r="X995" i="13"/>
  <c r="W995" i="13"/>
  <c r="U995" i="13"/>
  <c r="T995" i="13"/>
  <c r="S995" i="13"/>
  <c r="R995" i="13"/>
  <c r="Q995" i="13"/>
  <c r="P995" i="13"/>
  <c r="O995" i="13"/>
  <c r="N995" i="13"/>
  <c r="M995" i="13"/>
  <c r="L995" i="13"/>
  <c r="J995" i="13"/>
  <c r="G995" i="13"/>
  <c r="F995" i="13"/>
  <c r="E995" i="13"/>
  <c r="D995" i="13"/>
  <c r="C995" i="13"/>
  <c r="B995" i="13"/>
  <c r="A995" i="13"/>
  <c r="AG994" i="13"/>
  <c r="AF994" i="13"/>
  <c r="AE994" i="13"/>
  <c r="AD994" i="13"/>
  <c r="Z994" i="13"/>
  <c r="Y994" i="13"/>
  <c r="X994" i="13"/>
  <c r="W994" i="13"/>
  <c r="U994" i="13"/>
  <c r="T994" i="13"/>
  <c r="S994" i="13"/>
  <c r="R994" i="13"/>
  <c r="Q994" i="13"/>
  <c r="P994" i="13"/>
  <c r="O994" i="13"/>
  <c r="N994" i="13"/>
  <c r="M994" i="13"/>
  <c r="L994" i="13"/>
  <c r="J994" i="13"/>
  <c r="G994" i="13"/>
  <c r="F994" i="13"/>
  <c r="E994" i="13"/>
  <c r="D994" i="13"/>
  <c r="C994" i="13"/>
  <c r="B994" i="13"/>
  <c r="A994" i="13"/>
  <c r="AG993" i="13"/>
  <c r="AF993" i="13"/>
  <c r="AE993" i="13"/>
  <c r="AD993" i="13"/>
  <c r="Z993" i="13"/>
  <c r="Y993" i="13"/>
  <c r="X993" i="13"/>
  <c r="W993" i="13"/>
  <c r="U993" i="13"/>
  <c r="T993" i="13"/>
  <c r="S993" i="13"/>
  <c r="R993" i="13"/>
  <c r="Q993" i="13"/>
  <c r="P993" i="13"/>
  <c r="O993" i="13"/>
  <c r="N993" i="13"/>
  <c r="M993" i="13"/>
  <c r="L993" i="13"/>
  <c r="J993" i="13"/>
  <c r="G993" i="13"/>
  <c r="F993" i="13"/>
  <c r="E993" i="13"/>
  <c r="D993" i="13"/>
  <c r="C993" i="13"/>
  <c r="B993" i="13"/>
  <c r="A993" i="13"/>
  <c r="AG992" i="13"/>
  <c r="AF992" i="13"/>
  <c r="AE992" i="13"/>
  <c r="AD992" i="13"/>
  <c r="Z992" i="13"/>
  <c r="Y992" i="13"/>
  <c r="X992" i="13"/>
  <c r="W992" i="13"/>
  <c r="U992" i="13"/>
  <c r="T992" i="13"/>
  <c r="S992" i="13"/>
  <c r="R992" i="13"/>
  <c r="Q992" i="13"/>
  <c r="P992" i="13"/>
  <c r="O992" i="13"/>
  <c r="N992" i="13"/>
  <c r="M992" i="13"/>
  <c r="L992" i="13"/>
  <c r="J992" i="13"/>
  <c r="G992" i="13"/>
  <c r="F992" i="13"/>
  <c r="E992" i="13"/>
  <c r="D992" i="13"/>
  <c r="C992" i="13"/>
  <c r="B992" i="13"/>
  <c r="A992" i="13"/>
  <c r="AG991" i="13"/>
  <c r="AF991" i="13"/>
  <c r="AE991" i="13"/>
  <c r="AD991" i="13"/>
  <c r="Z991" i="13"/>
  <c r="Y991" i="13"/>
  <c r="X991" i="13"/>
  <c r="W991" i="13"/>
  <c r="U991" i="13"/>
  <c r="T991" i="13"/>
  <c r="S991" i="13"/>
  <c r="R991" i="13"/>
  <c r="Q991" i="13"/>
  <c r="P991" i="13"/>
  <c r="O991" i="13"/>
  <c r="N991" i="13"/>
  <c r="M991" i="13"/>
  <c r="L991" i="13"/>
  <c r="J991" i="13"/>
  <c r="G991" i="13"/>
  <c r="F991" i="13"/>
  <c r="E991" i="13"/>
  <c r="D991" i="13"/>
  <c r="C991" i="13"/>
  <c r="B991" i="13"/>
  <c r="A991" i="13"/>
  <c r="AG990" i="13"/>
  <c r="AF990" i="13"/>
  <c r="AE990" i="13"/>
  <c r="AD990" i="13"/>
  <c r="Z990" i="13"/>
  <c r="Y990" i="13"/>
  <c r="X990" i="13"/>
  <c r="W990" i="13"/>
  <c r="U990" i="13"/>
  <c r="T990" i="13"/>
  <c r="S990" i="13"/>
  <c r="R990" i="13"/>
  <c r="Q990" i="13"/>
  <c r="P990" i="13"/>
  <c r="O990" i="13"/>
  <c r="N990" i="13"/>
  <c r="M990" i="13"/>
  <c r="L990" i="13"/>
  <c r="J990" i="13"/>
  <c r="G990" i="13"/>
  <c r="F990" i="13"/>
  <c r="E990" i="13"/>
  <c r="D990" i="13"/>
  <c r="C990" i="13"/>
  <c r="B990" i="13"/>
  <c r="A990" i="13"/>
  <c r="AG989" i="13"/>
  <c r="AF989" i="13"/>
  <c r="AE989" i="13"/>
  <c r="AD989" i="13"/>
  <c r="Z989" i="13"/>
  <c r="Y989" i="13"/>
  <c r="X989" i="13"/>
  <c r="W989" i="13"/>
  <c r="U989" i="13"/>
  <c r="T989" i="13"/>
  <c r="S989" i="13"/>
  <c r="R989" i="13"/>
  <c r="Q989" i="13"/>
  <c r="P989" i="13"/>
  <c r="O989" i="13"/>
  <c r="N989" i="13"/>
  <c r="M989" i="13"/>
  <c r="L989" i="13"/>
  <c r="J989" i="13"/>
  <c r="G989" i="13"/>
  <c r="F989" i="13"/>
  <c r="E989" i="13"/>
  <c r="D989" i="13"/>
  <c r="C989" i="13"/>
  <c r="B989" i="13"/>
  <c r="A989" i="13"/>
  <c r="AG988" i="13"/>
  <c r="AF988" i="13"/>
  <c r="AE988" i="13"/>
  <c r="AD988" i="13"/>
  <c r="Z988" i="13"/>
  <c r="Y988" i="13"/>
  <c r="X988" i="13"/>
  <c r="W988" i="13"/>
  <c r="U988" i="13"/>
  <c r="T988" i="13"/>
  <c r="S988" i="13"/>
  <c r="R988" i="13"/>
  <c r="Q988" i="13"/>
  <c r="P988" i="13"/>
  <c r="O988" i="13"/>
  <c r="N988" i="13"/>
  <c r="M988" i="13"/>
  <c r="L988" i="13"/>
  <c r="J988" i="13"/>
  <c r="G988" i="13"/>
  <c r="F988" i="13"/>
  <c r="E988" i="13"/>
  <c r="D988" i="13"/>
  <c r="C988" i="13"/>
  <c r="B988" i="13"/>
  <c r="A988" i="13"/>
  <c r="AG987" i="13"/>
  <c r="AF987" i="13"/>
  <c r="AE987" i="13"/>
  <c r="AD987" i="13"/>
  <c r="Z987" i="13"/>
  <c r="Y987" i="13"/>
  <c r="X987" i="13"/>
  <c r="W987" i="13"/>
  <c r="U987" i="13"/>
  <c r="T987" i="13"/>
  <c r="S987" i="13"/>
  <c r="R987" i="13"/>
  <c r="Q987" i="13"/>
  <c r="P987" i="13"/>
  <c r="O987" i="13"/>
  <c r="N987" i="13"/>
  <c r="M987" i="13"/>
  <c r="L987" i="13"/>
  <c r="J987" i="13"/>
  <c r="G987" i="13"/>
  <c r="F987" i="13"/>
  <c r="E987" i="13"/>
  <c r="D987" i="13"/>
  <c r="C987" i="13"/>
  <c r="B987" i="13"/>
  <c r="A987" i="13"/>
  <c r="AG986" i="13"/>
  <c r="AF986" i="13"/>
  <c r="AE986" i="13"/>
  <c r="AD986" i="13"/>
  <c r="Z986" i="13"/>
  <c r="Y986" i="13"/>
  <c r="X986" i="13"/>
  <c r="W986" i="13"/>
  <c r="U986" i="13"/>
  <c r="T986" i="13"/>
  <c r="S986" i="13"/>
  <c r="R986" i="13"/>
  <c r="Q986" i="13"/>
  <c r="P986" i="13"/>
  <c r="O986" i="13"/>
  <c r="N986" i="13"/>
  <c r="M986" i="13"/>
  <c r="L986" i="13"/>
  <c r="J986" i="13"/>
  <c r="G986" i="13"/>
  <c r="F986" i="13"/>
  <c r="E986" i="13"/>
  <c r="D986" i="13"/>
  <c r="C986" i="13"/>
  <c r="B986" i="13"/>
  <c r="A986" i="13"/>
  <c r="AG985" i="13"/>
  <c r="AF985" i="13"/>
  <c r="AE985" i="13"/>
  <c r="AD985" i="13"/>
  <c r="Z985" i="13"/>
  <c r="Y985" i="13"/>
  <c r="X985" i="13"/>
  <c r="W985" i="13"/>
  <c r="U985" i="13"/>
  <c r="T985" i="13"/>
  <c r="S985" i="13"/>
  <c r="R985" i="13"/>
  <c r="Q985" i="13"/>
  <c r="P985" i="13"/>
  <c r="O985" i="13"/>
  <c r="N985" i="13"/>
  <c r="M985" i="13"/>
  <c r="L985" i="13"/>
  <c r="J985" i="13"/>
  <c r="G985" i="13"/>
  <c r="F985" i="13"/>
  <c r="E985" i="13"/>
  <c r="D985" i="13"/>
  <c r="C985" i="13"/>
  <c r="B985" i="13"/>
  <c r="A985" i="13"/>
  <c r="AG984" i="13"/>
  <c r="AF984" i="13"/>
  <c r="AE984" i="13"/>
  <c r="AD984" i="13"/>
  <c r="Z984" i="13"/>
  <c r="Y984" i="13"/>
  <c r="X984" i="13"/>
  <c r="W984" i="13"/>
  <c r="U984" i="13"/>
  <c r="T984" i="13"/>
  <c r="S984" i="13"/>
  <c r="R984" i="13"/>
  <c r="Q984" i="13"/>
  <c r="P984" i="13"/>
  <c r="O984" i="13"/>
  <c r="N984" i="13"/>
  <c r="M984" i="13"/>
  <c r="L984" i="13"/>
  <c r="J984" i="13"/>
  <c r="G984" i="13"/>
  <c r="F984" i="13"/>
  <c r="E984" i="13"/>
  <c r="D984" i="13"/>
  <c r="C984" i="13"/>
  <c r="B984" i="13"/>
  <c r="A984" i="13"/>
  <c r="AG983" i="13"/>
  <c r="AF983" i="13"/>
  <c r="AE983" i="13"/>
  <c r="AD983" i="13"/>
  <c r="Z983" i="13"/>
  <c r="Y983" i="13"/>
  <c r="X983" i="13"/>
  <c r="W983" i="13"/>
  <c r="U983" i="13"/>
  <c r="T983" i="13"/>
  <c r="S983" i="13"/>
  <c r="R983" i="13"/>
  <c r="Q983" i="13"/>
  <c r="P983" i="13"/>
  <c r="O983" i="13"/>
  <c r="N983" i="13"/>
  <c r="M983" i="13"/>
  <c r="L983" i="13"/>
  <c r="J983" i="13"/>
  <c r="G983" i="13"/>
  <c r="F983" i="13"/>
  <c r="E983" i="13"/>
  <c r="D983" i="13"/>
  <c r="C983" i="13"/>
  <c r="B983" i="13"/>
  <c r="A983" i="13"/>
  <c r="AG982" i="13"/>
  <c r="AF982" i="13"/>
  <c r="AE982" i="13"/>
  <c r="AD982" i="13"/>
  <c r="Z982" i="13"/>
  <c r="Y982" i="13"/>
  <c r="X982" i="13"/>
  <c r="W982" i="13"/>
  <c r="U982" i="13"/>
  <c r="T982" i="13"/>
  <c r="S982" i="13"/>
  <c r="R982" i="13"/>
  <c r="Q982" i="13"/>
  <c r="P982" i="13"/>
  <c r="O982" i="13"/>
  <c r="N982" i="13"/>
  <c r="M982" i="13"/>
  <c r="L982" i="13"/>
  <c r="J982" i="13"/>
  <c r="G982" i="13"/>
  <c r="F982" i="13"/>
  <c r="E982" i="13"/>
  <c r="D982" i="13"/>
  <c r="C982" i="13"/>
  <c r="B982" i="13"/>
  <c r="A982" i="13"/>
  <c r="AG981" i="13"/>
  <c r="AF981" i="13"/>
  <c r="AE981" i="13"/>
  <c r="AD981" i="13"/>
  <c r="Z981" i="13"/>
  <c r="Y981" i="13"/>
  <c r="X981" i="13"/>
  <c r="U981" i="13"/>
  <c r="T981" i="13"/>
  <c r="S981" i="13"/>
  <c r="R981" i="13"/>
  <c r="Q981" i="13"/>
  <c r="P981" i="13"/>
  <c r="O981" i="13"/>
  <c r="N981" i="13"/>
  <c r="M981" i="13"/>
  <c r="L981" i="13"/>
  <c r="J981" i="13"/>
  <c r="G981" i="13"/>
  <c r="F981" i="13"/>
  <c r="E981" i="13"/>
  <c r="D981" i="13"/>
  <c r="C981" i="13"/>
  <c r="B981" i="13"/>
  <c r="A981" i="13"/>
  <c r="AG980" i="13"/>
  <c r="AF980" i="13"/>
  <c r="AE980" i="13"/>
  <c r="AD980" i="13"/>
  <c r="Z980" i="13"/>
  <c r="Y980" i="13"/>
  <c r="X980" i="13"/>
  <c r="W980" i="13"/>
  <c r="U980" i="13"/>
  <c r="T980" i="13"/>
  <c r="S980" i="13"/>
  <c r="R980" i="13"/>
  <c r="Q980" i="13"/>
  <c r="P980" i="13"/>
  <c r="O980" i="13"/>
  <c r="N980" i="13"/>
  <c r="M980" i="13"/>
  <c r="L980" i="13"/>
  <c r="J980" i="13"/>
  <c r="G980" i="13"/>
  <c r="F980" i="13"/>
  <c r="E980" i="13"/>
  <c r="D980" i="13"/>
  <c r="C980" i="13"/>
  <c r="B980" i="13"/>
  <c r="A980" i="13"/>
  <c r="AG979" i="13"/>
  <c r="AF979" i="13"/>
  <c r="AE979" i="13"/>
  <c r="AD979" i="13"/>
  <c r="Z979" i="13"/>
  <c r="Y979" i="13"/>
  <c r="X979" i="13"/>
  <c r="U979" i="13"/>
  <c r="T979" i="13"/>
  <c r="S979" i="13"/>
  <c r="R979" i="13"/>
  <c r="Q979" i="13"/>
  <c r="P979" i="13"/>
  <c r="O979" i="13"/>
  <c r="N979" i="13"/>
  <c r="M979" i="13"/>
  <c r="L979" i="13"/>
  <c r="J979" i="13"/>
  <c r="G979" i="13"/>
  <c r="F979" i="13"/>
  <c r="E979" i="13"/>
  <c r="D979" i="13"/>
  <c r="C979" i="13"/>
  <c r="B979" i="13"/>
  <c r="A979" i="13"/>
  <c r="AG978" i="13"/>
  <c r="AF978" i="13"/>
  <c r="AE978" i="13"/>
  <c r="AD978" i="13"/>
  <c r="Z978" i="13"/>
  <c r="Y978" i="13"/>
  <c r="X978" i="13"/>
  <c r="W978" i="13"/>
  <c r="U978" i="13"/>
  <c r="T978" i="13"/>
  <c r="S978" i="13"/>
  <c r="R978" i="13"/>
  <c r="Q978" i="13"/>
  <c r="P978" i="13"/>
  <c r="O978" i="13"/>
  <c r="N978" i="13"/>
  <c r="M978" i="13"/>
  <c r="L978" i="13"/>
  <c r="J978" i="13"/>
  <c r="G978" i="13"/>
  <c r="F978" i="13"/>
  <c r="E978" i="13"/>
  <c r="D978" i="13"/>
  <c r="C978" i="13"/>
  <c r="B978" i="13"/>
  <c r="A978" i="13"/>
  <c r="AG977" i="13"/>
  <c r="AF977" i="13"/>
  <c r="AE977" i="13"/>
  <c r="AD977" i="13"/>
  <c r="Z977" i="13"/>
  <c r="Y977" i="13"/>
  <c r="X977" i="13"/>
  <c r="W977" i="13"/>
  <c r="U977" i="13"/>
  <c r="T977" i="13"/>
  <c r="S977" i="13"/>
  <c r="R977" i="13"/>
  <c r="Q977" i="13"/>
  <c r="P977" i="13"/>
  <c r="O977" i="13"/>
  <c r="N977" i="13"/>
  <c r="M977" i="13"/>
  <c r="L977" i="13"/>
  <c r="J977" i="13"/>
  <c r="G977" i="13"/>
  <c r="F977" i="13"/>
  <c r="E977" i="13"/>
  <c r="D977" i="13"/>
  <c r="C977" i="13"/>
  <c r="B977" i="13"/>
  <c r="A977" i="13"/>
  <c r="AG976" i="13"/>
  <c r="AF976" i="13"/>
  <c r="AE976" i="13"/>
  <c r="AD976" i="13"/>
  <c r="Z976" i="13"/>
  <c r="Y976" i="13"/>
  <c r="X976" i="13"/>
  <c r="W976" i="13"/>
  <c r="U976" i="13"/>
  <c r="T976" i="13"/>
  <c r="S976" i="13"/>
  <c r="R976" i="13"/>
  <c r="Q976" i="13"/>
  <c r="P976" i="13"/>
  <c r="O976" i="13"/>
  <c r="N976" i="13"/>
  <c r="M976" i="13"/>
  <c r="L976" i="13"/>
  <c r="J976" i="13"/>
  <c r="G976" i="13"/>
  <c r="F976" i="13"/>
  <c r="E976" i="13"/>
  <c r="D976" i="13"/>
  <c r="C976" i="13"/>
  <c r="B976" i="13"/>
  <c r="A976" i="13"/>
  <c r="AG975" i="13"/>
  <c r="AF975" i="13"/>
  <c r="AE975" i="13"/>
  <c r="AD975" i="13"/>
  <c r="Z975" i="13"/>
  <c r="Y975" i="13"/>
  <c r="X975" i="13"/>
  <c r="W975" i="13"/>
  <c r="U975" i="13"/>
  <c r="T975" i="13"/>
  <c r="S975" i="13"/>
  <c r="R975" i="13"/>
  <c r="Q975" i="13"/>
  <c r="P975" i="13"/>
  <c r="O975" i="13"/>
  <c r="N975" i="13"/>
  <c r="M975" i="13"/>
  <c r="L975" i="13"/>
  <c r="J975" i="13"/>
  <c r="G975" i="13"/>
  <c r="F975" i="13"/>
  <c r="E975" i="13"/>
  <c r="D975" i="13"/>
  <c r="C975" i="13"/>
  <c r="B975" i="13"/>
  <c r="A975" i="13"/>
  <c r="AG974" i="13"/>
  <c r="AF974" i="13"/>
  <c r="AE974" i="13"/>
  <c r="AD974" i="13"/>
  <c r="Z974" i="13"/>
  <c r="Y974" i="13"/>
  <c r="X974" i="13"/>
  <c r="W974" i="13"/>
  <c r="U974" i="13"/>
  <c r="T974" i="13"/>
  <c r="S974" i="13"/>
  <c r="R974" i="13"/>
  <c r="Q974" i="13"/>
  <c r="P974" i="13"/>
  <c r="O974" i="13"/>
  <c r="N974" i="13"/>
  <c r="M974" i="13"/>
  <c r="L974" i="13"/>
  <c r="J974" i="13"/>
  <c r="G974" i="13"/>
  <c r="F974" i="13"/>
  <c r="E974" i="13"/>
  <c r="D974" i="13"/>
  <c r="C974" i="13"/>
  <c r="B974" i="13"/>
  <c r="A974" i="13"/>
  <c r="AG973" i="13"/>
  <c r="AF973" i="13"/>
  <c r="AE973" i="13"/>
  <c r="AD973" i="13"/>
  <c r="Z973" i="13"/>
  <c r="Y973" i="13"/>
  <c r="X973" i="13"/>
  <c r="W973" i="13"/>
  <c r="U973" i="13"/>
  <c r="T973" i="13"/>
  <c r="S973" i="13"/>
  <c r="R973" i="13"/>
  <c r="Q973" i="13"/>
  <c r="P973" i="13"/>
  <c r="O973" i="13"/>
  <c r="N973" i="13"/>
  <c r="M973" i="13"/>
  <c r="L973" i="13"/>
  <c r="J973" i="13"/>
  <c r="G973" i="13"/>
  <c r="F973" i="13"/>
  <c r="E973" i="13"/>
  <c r="D973" i="13"/>
  <c r="C973" i="13"/>
  <c r="B973" i="13"/>
  <c r="A973" i="13"/>
  <c r="AG972" i="13"/>
  <c r="AF972" i="13"/>
  <c r="AE972" i="13"/>
  <c r="AD972" i="13"/>
  <c r="Z972" i="13"/>
  <c r="Y972" i="13"/>
  <c r="X972" i="13"/>
  <c r="W972" i="13"/>
  <c r="U972" i="13"/>
  <c r="T972" i="13"/>
  <c r="S972" i="13"/>
  <c r="R972" i="13"/>
  <c r="Q972" i="13"/>
  <c r="P972" i="13"/>
  <c r="O972" i="13"/>
  <c r="N972" i="13"/>
  <c r="M972" i="13"/>
  <c r="L972" i="13"/>
  <c r="J972" i="13"/>
  <c r="G972" i="13"/>
  <c r="F972" i="13"/>
  <c r="E972" i="13"/>
  <c r="D972" i="13"/>
  <c r="C972" i="13"/>
  <c r="B972" i="13"/>
  <c r="A972" i="13"/>
  <c r="AG971" i="13"/>
  <c r="AF971" i="13"/>
  <c r="AE971" i="13"/>
  <c r="AD971" i="13"/>
  <c r="Z971" i="13"/>
  <c r="Y971" i="13"/>
  <c r="X971" i="13"/>
  <c r="W971" i="13"/>
  <c r="U971" i="13"/>
  <c r="T971" i="13"/>
  <c r="S971" i="13"/>
  <c r="R971" i="13"/>
  <c r="Q971" i="13"/>
  <c r="P971" i="13"/>
  <c r="O971" i="13"/>
  <c r="N971" i="13"/>
  <c r="M971" i="13"/>
  <c r="L971" i="13"/>
  <c r="J971" i="13"/>
  <c r="G971" i="13"/>
  <c r="F971" i="13"/>
  <c r="E971" i="13"/>
  <c r="D971" i="13"/>
  <c r="C971" i="13"/>
  <c r="B971" i="13"/>
  <c r="A971" i="13"/>
  <c r="AG970" i="13"/>
  <c r="AF970" i="13"/>
  <c r="AE970" i="13"/>
  <c r="AD970" i="13"/>
  <c r="Z970" i="13"/>
  <c r="Y970" i="13"/>
  <c r="X970" i="13"/>
  <c r="W970" i="13"/>
  <c r="U970" i="13"/>
  <c r="T970" i="13"/>
  <c r="S970" i="13"/>
  <c r="R970" i="13"/>
  <c r="Q970" i="13"/>
  <c r="P970" i="13"/>
  <c r="O970" i="13"/>
  <c r="N970" i="13"/>
  <c r="M970" i="13"/>
  <c r="L970" i="13"/>
  <c r="J970" i="13"/>
  <c r="G970" i="13"/>
  <c r="F970" i="13"/>
  <c r="E970" i="13"/>
  <c r="D970" i="13"/>
  <c r="C970" i="13"/>
  <c r="B970" i="13"/>
  <c r="A970" i="13"/>
  <c r="AG969" i="13"/>
  <c r="AF969" i="13"/>
  <c r="AE969" i="13"/>
  <c r="AD969" i="13"/>
  <c r="Z969" i="13"/>
  <c r="Y969" i="13"/>
  <c r="X969" i="13"/>
  <c r="W969" i="13"/>
  <c r="U969" i="13"/>
  <c r="T969" i="13"/>
  <c r="S969" i="13"/>
  <c r="R969" i="13"/>
  <c r="Q969" i="13"/>
  <c r="P969" i="13"/>
  <c r="O969" i="13"/>
  <c r="N969" i="13"/>
  <c r="M969" i="13"/>
  <c r="L969" i="13"/>
  <c r="J969" i="13"/>
  <c r="G969" i="13"/>
  <c r="F969" i="13"/>
  <c r="E969" i="13"/>
  <c r="D969" i="13"/>
  <c r="C969" i="13"/>
  <c r="B969" i="13"/>
  <c r="A969" i="13"/>
  <c r="AG968" i="13"/>
  <c r="AF968" i="13"/>
  <c r="AE968" i="13"/>
  <c r="AD968" i="13"/>
  <c r="Z968" i="13"/>
  <c r="Y968" i="13"/>
  <c r="X968" i="13"/>
  <c r="W968" i="13"/>
  <c r="U968" i="13"/>
  <c r="T968" i="13"/>
  <c r="S968" i="13"/>
  <c r="R968" i="13"/>
  <c r="Q968" i="13"/>
  <c r="P968" i="13"/>
  <c r="O968" i="13"/>
  <c r="N968" i="13"/>
  <c r="M968" i="13"/>
  <c r="L968" i="13"/>
  <c r="J968" i="13"/>
  <c r="G968" i="13"/>
  <c r="F968" i="13"/>
  <c r="E968" i="13"/>
  <c r="D968" i="13"/>
  <c r="C968" i="13"/>
  <c r="B968" i="13"/>
  <c r="A968" i="13"/>
  <c r="AG967" i="13"/>
  <c r="AF967" i="13"/>
  <c r="AE967" i="13"/>
  <c r="AD967" i="13"/>
  <c r="Z967" i="13"/>
  <c r="Y967" i="13"/>
  <c r="X967" i="13"/>
  <c r="W967" i="13"/>
  <c r="U967" i="13"/>
  <c r="T967" i="13"/>
  <c r="S967" i="13"/>
  <c r="R967" i="13"/>
  <c r="Q967" i="13"/>
  <c r="P967" i="13"/>
  <c r="O967" i="13"/>
  <c r="N967" i="13"/>
  <c r="M967" i="13"/>
  <c r="L967" i="13"/>
  <c r="J967" i="13"/>
  <c r="G967" i="13"/>
  <c r="F967" i="13"/>
  <c r="E967" i="13"/>
  <c r="D967" i="13"/>
  <c r="C967" i="13"/>
  <c r="B967" i="13"/>
  <c r="A967" i="13"/>
  <c r="AG966" i="13"/>
  <c r="AF966" i="13"/>
  <c r="AE966" i="13"/>
  <c r="AD966" i="13"/>
  <c r="Z966" i="13"/>
  <c r="Y966" i="13"/>
  <c r="X966" i="13"/>
  <c r="W966" i="13"/>
  <c r="U966" i="13"/>
  <c r="T966" i="13"/>
  <c r="S966" i="13"/>
  <c r="R966" i="13"/>
  <c r="Q966" i="13"/>
  <c r="P966" i="13"/>
  <c r="O966" i="13"/>
  <c r="N966" i="13"/>
  <c r="M966" i="13"/>
  <c r="L966" i="13"/>
  <c r="J966" i="13"/>
  <c r="G966" i="13"/>
  <c r="F966" i="13"/>
  <c r="E966" i="13"/>
  <c r="D966" i="13"/>
  <c r="C966" i="13"/>
  <c r="B966" i="13"/>
  <c r="A966" i="13"/>
  <c r="AG965" i="13"/>
  <c r="AF965" i="13"/>
  <c r="AE965" i="13"/>
  <c r="AD965" i="13"/>
  <c r="Z965" i="13"/>
  <c r="Y965" i="13"/>
  <c r="X965" i="13"/>
  <c r="W965" i="13"/>
  <c r="U965" i="13"/>
  <c r="T965" i="13"/>
  <c r="S965" i="13"/>
  <c r="R965" i="13"/>
  <c r="Q965" i="13"/>
  <c r="P965" i="13"/>
  <c r="O965" i="13"/>
  <c r="N965" i="13"/>
  <c r="M965" i="13"/>
  <c r="L965" i="13"/>
  <c r="J965" i="13"/>
  <c r="G965" i="13"/>
  <c r="F965" i="13"/>
  <c r="E965" i="13"/>
  <c r="D965" i="13"/>
  <c r="C965" i="13"/>
  <c r="B965" i="13"/>
  <c r="A965" i="13"/>
  <c r="AG964" i="13"/>
  <c r="AF964" i="13"/>
  <c r="AE964" i="13"/>
  <c r="AD964" i="13"/>
  <c r="Z964" i="13"/>
  <c r="Y964" i="13"/>
  <c r="X964" i="13"/>
  <c r="W964" i="13"/>
  <c r="U964" i="13"/>
  <c r="T964" i="13"/>
  <c r="S964" i="13"/>
  <c r="R964" i="13"/>
  <c r="Q964" i="13"/>
  <c r="P964" i="13"/>
  <c r="O964" i="13"/>
  <c r="N964" i="13"/>
  <c r="M964" i="13"/>
  <c r="L964" i="13"/>
  <c r="J964" i="13"/>
  <c r="G964" i="13"/>
  <c r="F964" i="13"/>
  <c r="E964" i="13"/>
  <c r="D964" i="13"/>
  <c r="C964" i="13"/>
  <c r="B964" i="13"/>
  <c r="A964" i="13"/>
  <c r="AG963" i="13"/>
  <c r="AF963" i="13"/>
  <c r="AE963" i="13"/>
  <c r="AD963" i="13"/>
  <c r="Z963" i="13"/>
  <c r="Y963" i="13"/>
  <c r="X963" i="13"/>
  <c r="W963" i="13"/>
  <c r="U963" i="13"/>
  <c r="T963" i="13"/>
  <c r="S963" i="13"/>
  <c r="R963" i="13"/>
  <c r="Q963" i="13"/>
  <c r="P963" i="13"/>
  <c r="O963" i="13"/>
  <c r="N963" i="13"/>
  <c r="M963" i="13"/>
  <c r="L963" i="13"/>
  <c r="J963" i="13"/>
  <c r="G963" i="13"/>
  <c r="F963" i="13"/>
  <c r="E963" i="13"/>
  <c r="D963" i="13"/>
  <c r="C963" i="13"/>
  <c r="B963" i="13"/>
  <c r="A963" i="13"/>
  <c r="AG962" i="13"/>
  <c r="AF962" i="13"/>
  <c r="AE962" i="13"/>
  <c r="AD962" i="13"/>
  <c r="Z962" i="13"/>
  <c r="Y962" i="13"/>
  <c r="X962" i="13"/>
  <c r="W962" i="13"/>
  <c r="U962" i="13"/>
  <c r="T962" i="13"/>
  <c r="S962" i="13"/>
  <c r="R962" i="13"/>
  <c r="Q962" i="13"/>
  <c r="P962" i="13"/>
  <c r="O962" i="13"/>
  <c r="N962" i="13"/>
  <c r="M962" i="13"/>
  <c r="L962" i="13"/>
  <c r="J962" i="13"/>
  <c r="G962" i="13"/>
  <c r="F962" i="13"/>
  <c r="E962" i="13"/>
  <c r="D962" i="13"/>
  <c r="C962" i="13"/>
  <c r="B962" i="13"/>
  <c r="A962" i="13"/>
  <c r="AG961" i="13"/>
  <c r="AF961" i="13"/>
  <c r="AE961" i="13"/>
  <c r="AD961" i="13"/>
  <c r="Z961" i="13"/>
  <c r="Y961" i="13"/>
  <c r="X961" i="13"/>
  <c r="W961" i="13"/>
  <c r="U961" i="13"/>
  <c r="T961" i="13"/>
  <c r="S961" i="13"/>
  <c r="R961" i="13"/>
  <c r="Q961" i="13"/>
  <c r="P961" i="13"/>
  <c r="O961" i="13"/>
  <c r="N961" i="13"/>
  <c r="M961" i="13"/>
  <c r="L961" i="13"/>
  <c r="J961" i="13"/>
  <c r="G961" i="13"/>
  <c r="F961" i="13"/>
  <c r="E961" i="13"/>
  <c r="D961" i="13"/>
  <c r="C961" i="13"/>
  <c r="B961" i="13"/>
  <c r="A961" i="13"/>
  <c r="AG960" i="13"/>
  <c r="AF960" i="13"/>
  <c r="AE960" i="13"/>
  <c r="AD960" i="13"/>
  <c r="Z960" i="13"/>
  <c r="Y960" i="13"/>
  <c r="X960" i="13"/>
  <c r="W960" i="13"/>
  <c r="U960" i="13"/>
  <c r="T960" i="13"/>
  <c r="S960" i="13"/>
  <c r="R960" i="13"/>
  <c r="Q960" i="13"/>
  <c r="P960" i="13"/>
  <c r="O960" i="13"/>
  <c r="N960" i="13"/>
  <c r="M960" i="13"/>
  <c r="L960" i="13"/>
  <c r="J960" i="13"/>
  <c r="G960" i="13"/>
  <c r="F960" i="13"/>
  <c r="E960" i="13"/>
  <c r="D960" i="13"/>
  <c r="C960" i="13"/>
  <c r="B960" i="13"/>
  <c r="A960" i="13"/>
  <c r="AG959" i="13"/>
  <c r="AF959" i="13"/>
  <c r="AE959" i="13"/>
  <c r="AD959" i="13"/>
  <c r="Z959" i="13"/>
  <c r="Y959" i="13"/>
  <c r="X959" i="13"/>
  <c r="W959" i="13"/>
  <c r="U959" i="13"/>
  <c r="T959" i="13"/>
  <c r="S959" i="13"/>
  <c r="R959" i="13"/>
  <c r="Q959" i="13"/>
  <c r="P959" i="13"/>
  <c r="O959" i="13"/>
  <c r="N959" i="13"/>
  <c r="M959" i="13"/>
  <c r="L959" i="13"/>
  <c r="J959" i="13"/>
  <c r="G959" i="13"/>
  <c r="F959" i="13"/>
  <c r="E959" i="13"/>
  <c r="D959" i="13"/>
  <c r="C959" i="13"/>
  <c r="B959" i="13"/>
  <c r="A959" i="13"/>
  <c r="AG958" i="13"/>
  <c r="AF958" i="13"/>
  <c r="AE958" i="13"/>
  <c r="AD958" i="13"/>
  <c r="Z958" i="13"/>
  <c r="Y958" i="13"/>
  <c r="X958" i="13"/>
  <c r="W958" i="13"/>
  <c r="U958" i="13"/>
  <c r="T958" i="13"/>
  <c r="S958" i="13"/>
  <c r="R958" i="13"/>
  <c r="Q958" i="13"/>
  <c r="P958" i="13"/>
  <c r="O958" i="13"/>
  <c r="N958" i="13"/>
  <c r="M958" i="13"/>
  <c r="L958" i="13"/>
  <c r="J958" i="13"/>
  <c r="G958" i="13"/>
  <c r="F958" i="13"/>
  <c r="E958" i="13"/>
  <c r="D958" i="13"/>
  <c r="C958" i="13"/>
  <c r="B958" i="13"/>
  <c r="A958" i="13"/>
  <c r="AG957" i="13"/>
  <c r="AF957" i="13"/>
  <c r="AE957" i="13"/>
  <c r="AD957" i="13"/>
  <c r="Z957" i="13"/>
  <c r="Y957" i="13"/>
  <c r="X957" i="13"/>
  <c r="W957" i="13"/>
  <c r="U957" i="13"/>
  <c r="T957" i="13"/>
  <c r="S957" i="13"/>
  <c r="R957" i="13"/>
  <c r="Q957" i="13"/>
  <c r="P957" i="13"/>
  <c r="O957" i="13"/>
  <c r="N957" i="13"/>
  <c r="M957" i="13"/>
  <c r="L957" i="13"/>
  <c r="J957" i="13"/>
  <c r="G957" i="13"/>
  <c r="F957" i="13"/>
  <c r="E957" i="13"/>
  <c r="D957" i="13"/>
  <c r="C957" i="13"/>
  <c r="B957" i="13"/>
  <c r="A957" i="13"/>
  <c r="AH956" i="13"/>
  <c r="AG956" i="13"/>
  <c r="AF956" i="13"/>
  <c r="AE956" i="13"/>
  <c r="AD956" i="13"/>
  <c r="Z956" i="13"/>
  <c r="Y956" i="13"/>
  <c r="X956" i="13"/>
  <c r="W956" i="13"/>
  <c r="U956" i="13"/>
  <c r="T956" i="13"/>
  <c r="S956" i="13"/>
  <c r="R956" i="13"/>
  <c r="Q956" i="13"/>
  <c r="P956" i="13"/>
  <c r="O956" i="13"/>
  <c r="N956" i="13"/>
  <c r="M956" i="13"/>
  <c r="L956" i="13"/>
  <c r="J956" i="13"/>
  <c r="G956" i="13"/>
  <c r="F956" i="13"/>
  <c r="E956" i="13"/>
  <c r="D956" i="13"/>
  <c r="C956" i="13"/>
  <c r="B956" i="13"/>
  <c r="A956" i="13"/>
  <c r="AG955" i="13"/>
  <c r="AF955" i="13"/>
  <c r="AE955" i="13"/>
  <c r="AD955" i="13"/>
  <c r="Z955" i="13"/>
  <c r="Y955" i="13"/>
  <c r="X955" i="13"/>
  <c r="W955" i="13"/>
  <c r="U955" i="13"/>
  <c r="T955" i="13"/>
  <c r="S955" i="13"/>
  <c r="R955" i="13"/>
  <c r="Q955" i="13"/>
  <c r="P955" i="13"/>
  <c r="O955" i="13"/>
  <c r="N955" i="13"/>
  <c r="M955" i="13"/>
  <c r="L955" i="13"/>
  <c r="J955" i="13"/>
  <c r="G955" i="13"/>
  <c r="F955" i="13"/>
  <c r="E955" i="13"/>
  <c r="D955" i="13"/>
  <c r="C955" i="13"/>
  <c r="B955" i="13"/>
  <c r="A955" i="13"/>
  <c r="AG954" i="13"/>
  <c r="AF954" i="13"/>
  <c r="AE954" i="13"/>
  <c r="AD954" i="13"/>
  <c r="Z954" i="13"/>
  <c r="Y954" i="13"/>
  <c r="X954" i="13"/>
  <c r="W954" i="13"/>
  <c r="U954" i="13"/>
  <c r="T954" i="13"/>
  <c r="S954" i="13"/>
  <c r="R954" i="13"/>
  <c r="Q954" i="13"/>
  <c r="P954" i="13"/>
  <c r="O954" i="13"/>
  <c r="N954" i="13"/>
  <c r="M954" i="13"/>
  <c r="L954" i="13"/>
  <c r="J954" i="13"/>
  <c r="G954" i="13"/>
  <c r="F954" i="13"/>
  <c r="E954" i="13"/>
  <c r="D954" i="13"/>
  <c r="C954" i="13"/>
  <c r="B954" i="13"/>
  <c r="A954" i="13"/>
  <c r="AG953" i="13"/>
  <c r="AF953" i="13"/>
  <c r="AE953" i="13"/>
  <c r="AD953" i="13"/>
  <c r="Z953" i="13"/>
  <c r="Y953" i="13"/>
  <c r="X953" i="13"/>
  <c r="W953" i="13"/>
  <c r="U953" i="13"/>
  <c r="T953" i="13"/>
  <c r="S953" i="13"/>
  <c r="R953" i="13"/>
  <c r="Q953" i="13"/>
  <c r="P953" i="13"/>
  <c r="O953" i="13"/>
  <c r="N953" i="13"/>
  <c r="M953" i="13"/>
  <c r="L953" i="13"/>
  <c r="J953" i="13"/>
  <c r="G953" i="13"/>
  <c r="F953" i="13"/>
  <c r="E953" i="13"/>
  <c r="D953" i="13"/>
  <c r="C953" i="13"/>
  <c r="B953" i="13"/>
  <c r="A953" i="13"/>
  <c r="AG952" i="13"/>
  <c r="AF952" i="13"/>
  <c r="AE952" i="13"/>
  <c r="AD952" i="13"/>
  <c r="Z952" i="13"/>
  <c r="Y952" i="13"/>
  <c r="X952" i="13"/>
  <c r="W952" i="13"/>
  <c r="U952" i="13"/>
  <c r="T952" i="13"/>
  <c r="S952" i="13"/>
  <c r="R952" i="13"/>
  <c r="Q952" i="13"/>
  <c r="P952" i="13"/>
  <c r="O952" i="13"/>
  <c r="N952" i="13"/>
  <c r="M952" i="13"/>
  <c r="L952" i="13"/>
  <c r="J952" i="13"/>
  <c r="G952" i="13"/>
  <c r="F952" i="13"/>
  <c r="E952" i="13"/>
  <c r="D952" i="13"/>
  <c r="C952" i="13"/>
  <c r="B952" i="13"/>
  <c r="A952" i="13"/>
  <c r="AG951" i="13"/>
  <c r="AF951" i="13"/>
  <c r="AE951" i="13"/>
  <c r="AD951" i="13"/>
  <c r="Z951" i="13"/>
  <c r="Y951" i="13"/>
  <c r="X951" i="13"/>
  <c r="W951" i="13"/>
  <c r="U951" i="13"/>
  <c r="T951" i="13"/>
  <c r="S951" i="13"/>
  <c r="R951" i="13"/>
  <c r="Q951" i="13"/>
  <c r="P951" i="13"/>
  <c r="O951" i="13"/>
  <c r="N951" i="13"/>
  <c r="M951" i="13"/>
  <c r="L951" i="13"/>
  <c r="J951" i="13"/>
  <c r="G951" i="13"/>
  <c r="F951" i="13"/>
  <c r="E951" i="13"/>
  <c r="D951" i="13"/>
  <c r="C951" i="13"/>
  <c r="B951" i="13"/>
  <c r="A951" i="13"/>
  <c r="AG950" i="13"/>
  <c r="AF950" i="13"/>
  <c r="AE950" i="13"/>
  <c r="AD950" i="13"/>
  <c r="Z950" i="13"/>
  <c r="Y950" i="13"/>
  <c r="X950" i="13"/>
  <c r="U950" i="13"/>
  <c r="T950" i="13"/>
  <c r="S950" i="13"/>
  <c r="R950" i="13"/>
  <c r="Q950" i="13"/>
  <c r="O950" i="13"/>
  <c r="N950" i="13"/>
  <c r="M950" i="13"/>
  <c r="L950" i="13"/>
  <c r="F950" i="13"/>
  <c r="E950" i="13"/>
  <c r="D950" i="13"/>
  <c r="C950" i="13"/>
  <c r="B950" i="13"/>
  <c r="A950" i="13"/>
  <c r="AG949" i="13"/>
  <c r="AF949" i="13"/>
  <c r="AE949" i="13"/>
  <c r="AD949" i="13"/>
  <c r="Z949" i="13"/>
  <c r="Y949" i="13"/>
  <c r="X949" i="13"/>
  <c r="U949" i="13"/>
  <c r="T949" i="13"/>
  <c r="S949" i="13"/>
  <c r="R949" i="13"/>
  <c r="Q949" i="13"/>
  <c r="O949" i="13"/>
  <c r="N949" i="13"/>
  <c r="M949" i="13"/>
  <c r="L949" i="13"/>
  <c r="F949" i="13"/>
  <c r="E949" i="13"/>
  <c r="D949" i="13"/>
  <c r="C949" i="13"/>
  <c r="B949" i="13"/>
  <c r="A949" i="13"/>
  <c r="AG948" i="13"/>
  <c r="AF948" i="13"/>
  <c r="AE948" i="13"/>
  <c r="AD948" i="13"/>
  <c r="Z948" i="13"/>
  <c r="Y948" i="13"/>
  <c r="X948" i="13"/>
  <c r="U948" i="13"/>
  <c r="T948" i="13"/>
  <c r="S948" i="13"/>
  <c r="R948" i="13"/>
  <c r="Q948" i="13"/>
  <c r="O948" i="13"/>
  <c r="N948" i="13"/>
  <c r="M948" i="13"/>
  <c r="L948" i="13"/>
  <c r="F948" i="13"/>
  <c r="E948" i="13"/>
  <c r="D948" i="13"/>
  <c r="C948" i="13"/>
  <c r="B948" i="13"/>
  <c r="A948" i="13"/>
  <c r="AG947" i="13"/>
  <c r="AF947" i="13"/>
  <c r="AE947" i="13"/>
  <c r="AD947" i="13"/>
  <c r="Z947" i="13"/>
  <c r="Y947" i="13"/>
  <c r="X947" i="13"/>
  <c r="U947" i="13"/>
  <c r="T947" i="13"/>
  <c r="S947" i="13"/>
  <c r="R947" i="13"/>
  <c r="Q947" i="13"/>
  <c r="O947" i="13"/>
  <c r="N947" i="13"/>
  <c r="M947" i="13"/>
  <c r="L947" i="13"/>
  <c r="F947" i="13"/>
  <c r="E947" i="13"/>
  <c r="D947" i="13"/>
  <c r="C947" i="13"/>
  <c r="B947" i="13"/>
  <c r="A947" i="13"/>
  <c r="AG946" i="13"/>
  <c r="AF946" i="13"/>
  <c r="AE946" i="13"/>
  <c r="AD946" i="13"/>
  <c r="Z946" i="13"/>
  <c r="Y946" i="13"/>
  <c r="X946" i="13"/>
  <c r="U946" i="13"/>
  <c r="T946" i="13"/>
  <c r="S946" i="13"/>
  <c r="R946" i="13"/>
  <c r="Q946" i="13"/>
  <c r="O946" i="13"/>
  <c r="N946" i="13"/>
  <c r="M946" i="13"/>
  <c r="L946" i="13"/>
  <c r="F946" i="13"/>
  <c r="E946" i="13"/>
  <c r="D946" i="13"/>
  <c r="C946" i="13"/>
  <c r="B946" i="13"/>
  <c r="A946" i="13"/>
  <c r="AG945" i="13"/>
  <c r="AF945" i="13"/>
  <c r="AE945" i="13"/>
  <c r="AD945" i="13"/>
  <c r="Z945" i="13"/>
  <c r="Y945" i="13"/>
  <c r="X945" i="13"/>
  <c r="U945" i="13"/>
  <c r="T945" i="13"/>
  <c r="S945" i="13"/>
  <c r="R945" i="13"/>
  <c r="Q945" i="13"/>
  <c r="O945" i="13"/>
  <c r="N945" i="13"/>
  <c r="M945" i="13"/>
  <c r="L945" i="13"/>
  <c r="F945" i="13"/>
  <c r="E945" i="13"/>
  <c r="D945" i="13"/>
  <c r="C945" i="13"/>
  <c r="B945" i="13"/>
  <c r="A945" i="13"/>
  <c r="AG944" i="13"/>
  <c r="AF944" i="13"/>
  <c r="AE944" i="13"/>
  <c r="AD944" i="13"/>
  <c r="Z944" i="13"/>
  <c r="Y944" i="13"/>
  <c r="X944" i="13"/>
  <c r="U944" i="13"/>
  <c r="T944" i="13"/>
  <c r="S944" i="13"/>
  <c r="R944" i="13"/>
  <c r="Q944" i="13"/>
  <c r="O944" i="13"/>
  <c r="N944" i="13"/>
  <c r="M944" i="13"/>
  <c r="L944" i="13"/>
  <c r="F944" i="13"/>
  <c r="E944" i="13"/>
  <c r="D944" i="13"/>
  <c r="C944" i="13"/>
  <c r="B944" i="13"/>
  <c r="A944" i="13"/>
  <c r="AG943" i="13"/>
  <c r="AF943" i="13"/>
  <c r="AE943" i="13"/>
  <c r="AD943" i="13"/>
  <c r="Z943" i="13"/>
  <c r="Y943" i="13"/>
  <c r="X943" i="13"/>
  <c r="U943" i="13"/>
  <c r="T943" i="13"/>
  <c r="S943" i="13"/>
  <c r="R943" i="13"/>
  <c r="Q943" i="13"/>
  <c r="O943" i="13"/>
  <c r="N943" i="13"/>
  <c r="M943" i="13"/>
  <c r="L943" i="13"/>
  <c r="F943" i="13"/>
  <c r="E943" i="13"/>
  <c r="D943" i="13"/>
  <c r="C943" i="13"/>
  <c r="B943" i="13"/>
  <c r="A943" i="13"/>
  <c r="AG942" i="13"/>
  <c r="AF942" i="13"/>
  <c r="AE942" i="13"/>
  <c r="AD942" i="13"/>
  <c r="Z942" i="13"/>
  <c r="Y942" i="13"/>
  <c r="X942" i="13"/>
  <c r="U942" i="13"/>
  <c r="T942" i="13"/>
  <c r="S942" i="13"/>
  <c r="R942" i="13"/>
  <c r="Q942" i="13"/>
  <c r="O942" i="13"/>
  <c r="N942" i="13"/>
  <c r="M942" i="13"/>
  <c r="L942" i="13"/>
  <c r="F942" i="13"/>
  <c r="E942" i="13"/>
  <c r="D942" i="13"/>
  <c r="C942" i="13"/>
  <c r="B942" i="13"/>
  <c r="A942" i="13"/>
  <c r="AG941" i="13"/>
  <c r="AF941" i="13"/>
  <c r="AE941" i="13"/>
  <c r="AD941" i="13"/>
  <c r="Z941" i="13"/>
  <c r="Y941" i="13"/>
  <c r="X941" i="13"/>
  <c r="U941" i="13"/>
  <c r="T941" i="13"/>
  <c r="S941" i="13"/>
  <c r="R941" i="13"/>
  <c r="Q941" i="13"/>
  <c r="O941" i="13"/>
  <c r="N941" i="13"/>
  <c r="M941" i="13"/>
  <c r="L941" i="13"/>
  <c r="F941" i="13"/>
  <c r="E941" i="13"/>
  <c r="D941" i="13"/>
  <c r="C941" i="13"/>
  <c r="B941" i="13"/>
  <c r="A941" i="13"/>
  <c r="AG940" i="13"/>
  <c r="AF940" i="13"/>
  <c r="AE940" i="13"/>
  <c r="AD940" i="13"/>
  <c r="Z940" i="13"/>
  <c r="Y940" i="13"/>
  <c r="X940" i="13"/>
  <c r="U940" i="13"/>
  <c r="T940" i="13"/>
  <c r="S940" i="13"/>
  <c r="R940" i="13"/>
  <c r="Q940" i="13"/>
  <c r="O940" i="13"/>
  <c r="N940" i="13"/>
  <c r="M940" i="13"/>
  <c r="L940" i="13"/>
  <c r="F940" i="13"/>
  <c r="E940" i="13"/>
  <c r="D940" i="13"/>
  <c r="C940" i="13"/>
  <c r="B940" i="13"/>
  <c r="A940" i="13"/>
  <c r="AG939" i="13"/>
  <c r="AF939" i="13"/>
  <c r="AE939" i="13"/>
  <c r="AD939" i="13"/>
  <c r="Z939" i="13"/>
  <c r="Y939" i="13"/>
  <c r="X939" i="13"/>
  <c r="U939" i="13"/>
  <c r="T939" i="13"/>
  <c r="S939" i="13"/>
  <c r="R939" i="13"/>
  <c r="Q939" i="13"/>
  <c r="O939" i="13"/>
  <c r="N939" i="13"/>
  <c r="M939" i="13"/>
  <c r="L939" i="13"/>
  <c r="F939" i="13"/>
  <c r="E939" i="13"/>
  <c r="D939" i="13"/>
  <c r="C939" i="13"/>
  <c r="B939" i="13"/>
  <c r="A939" i="13"/>
  <c r="AG938" i="13"/>
  <c r="AF938" i="13"/>
  <c r="AE938" i="13"/>
  <c r="AD938" i="13"/>
  <c r="Z938" i="13"/>
  <c r="Y938" i="13"/>
  <c r="X938" i="13"/>
  <c r="U938" i="13"/>
  <c r="T938" i="13"/>
  <c r="S938" i="13"/>
  <c r="R938" i="13"/>
  <c r="Q938" i="13"/>
  <c r="O938" i="13"/>
  <c r="N938" i="13"/>
  <c r="M938" i="13"/>
  <c r="L938" i="13"/>
  <c r="F938" i="13"/>
  <c r="E938" i="13"/>
  <c r="D938" i="13"/>
  <c r="C938" i="13"/>
  <c r="B938" i="13"/>
  <c r="A938" i="13"/>
  <c r="AG937" i="13"/>
  <c r="AF937" i="13"/>
  <c r="AE937" i="13"/>
  <c r="AD937" i="13"/>
  <c r="Z937" i="13"/>
  <c r="Y937" i="13"/>
  <c r="X937" i="13"/>
  <c r="U937" i="13"/>
  <c r="T937" i="13"/>
  <c r="S937" i="13"/>
  <c r="R937" i="13"/>
  <c r="Q937" i="13"/>
  <c r="O937" i="13"/>
  <c r="N937" i="13"/>
  <c r="M937" i="13"/>
  <c r="L937" i="13"/>
  <c r="F937" i="13"/>
  <c r="E937" i="13"/>
  <c r="D937" i="13"/>
  <c r="C937" i="13"/>
  <c r="B937" i="13"/>
  <c r="A937" i="13"/>
  <c r="AG936" i="13"/>
  <c r="AF936" i="13"/>
  <c r="AE936" i="13"/>
  <c r="AD936" i="13"/>
  <c r="Z936" i="13"/>
  <c r="Y936" i="13"/>
  <c r="X936" i="13"/>
  <c r="U936" i="13"/>
  <c r="T936" i="13"/>
  <c r="S936" i="13"/>
  <c r="R936" i="13"/>
  <c r="Q936" i="13"/>
  <c r="O936" i="13"/>
  <c r="N936" i="13"/>
  <c r="M936" i="13"/>
  <c r="L936" i="13"/>
  <c r="F936" i="13"/>
  <c r="E936" i="13"/>
  <c r="D936" i="13"/>
  <c r="C936" i="13"/>
  <c r="B936" i="13"/>
  <c r="A936" i="13"/>
  <c r="AG935" i="13"/>
  <c r="AF935" i="13"/>
  <c r="AE935" i="13"/>
  <c r="AD935" i="13"/>
  <c r="Z935" i="13"/>
  <c r="Y935" i="13"/>
  <c r="X935" i="13"/>
  <c r="U935" i="13"/>
  <c r="T935" i="13"/>
  <c r="S935" i="13"/>
  <c r="R935" i="13"/>
  <c r="Q935" i="13"/>
  <c r="O935" i="13"/>
  <c r="N935" i="13"/>
  <c r="M935" i="13"/>
  <c r="L935" i="13"/>
  <c r="F935" i="13"/>
  <c r="E935" i="13"/>
  <c r="D935" i="13"/>
  <c r="C935" i="13"/>
  <c r="B935" i="13"/>
  <c r="A935" i="13"/>
  <c r="AG934" i="13"/>
  <c r="AF934" i="13"/>
  <c r="AE934" i="13"/>
  <c r="AD934" i="13"/>
  <c r="Z934" i="13"/>
  <c r="Y934" i="13"/>
  <c r="X934" i="13"/>
  <c r="U934" i="13"/>
  <c r="T934" i="13"/>
  <c r="S934" i="13"/>
  <c r="R934" i="13"/>
  <c r="Q934" i="13"/>
  <c r="O934" i="13"/>
  <c r="N934" i="13"/>
  <c r="M934" i="13"/>
  <c r="L934" i="13"/>
  <c r="F934" i="13"/>
  <c r="E934" i="13"/>
  <c r="D934" i="13"/>
  <c r="C934" i="13"/>
  <c r="B934" i="13"/>
  <c r="A934" i="13"/>
  <c r="AG933" i="13"/>
  <c r="AF933" i="13"/>
  <c r="AE933" i="13"/>
  <c r="AD933" i="13"/>
  <c r="Z933" i="13"/>
  <c r="Y933" i="13"/>
  <c r="X933" i="13"/>
  <c r="U933" i="13"/>
  <c r="T933" i="13"/>
  <c r="S933" i="13"/>
  <c r="R933" i="13"/>
  <c r="Q933" i="13"/>
  <c r="O933" i="13"/>
  <c r="N933" i="13"/>
  <c r="M933" i="13"/>
  <c r="L933" i="13"/>
  <c r="F933" i="13"/>
  <c r="E933" i="13"/>
  <c r="D933" i="13"/>
  <c r="C933" i="13"/>
  <c r="B933" i="13"/>
  <c r="A933" i="13"/>
  <c r="AG932" i="13"/>
  <c r="AF932" i="13"/>
  <c r="AE932" i="13"/>
  <c r="AD932" i="13"/>
  <c r="Z932" i="13"/>
  <c r="Y932" i="13"/>
  <c r="X932" i="13"/>
  <c r="U932" i="13"/>
  <c r="T932" i="13"/>
  <c r="S932" i="13"/>
  <c r="R932" i="13"/>
  <c r="Q932" i="13"/>
  <c r="O932" i="13"/>
  <c r="N932" i="13"/>
  <c r="M932" i="13"/>
  <c r="L932" i="13"/>
  <c r="F932" i="13"/>
  <c r="E932" i="13"/>
  <c r="D932" i="13"/>
  <c r="C932" i="13"/>
  <c r="B932" i="13"/>
  <c r="A932" i="13"/>
  <c r="AG931" i="13"/>
  <c r="AF931" i="13"/>
  <c r="AE931" i="13"/>
  <c r="AD931" i="13"/>
  <c r="Z931" i="13"/>
  <c r="Y931" i="13"/>
  <c r="X931" i="13"/>
  <c r="U931" i="13"/>
  <c r="T931" i="13"/>
  <c r="S931" i="13"/>
  <c r="R931" i="13"/>
  <c r="Q931" i="13"/>
  <c r="O931" i="13"/>
  <c r="N931" i="13"/>
  <c r="M931" i="13"/>
  <c r="L931" i="13"/>
  <c r="F931" i="13"/>
  <c r="E931" i="13"/>
  <c r="D931" i="13"/>
  <c r="C931" i="13"/>
  <c r="B931" i="13"/>
  <c r="A931" i="13"/>
  <c r="AG930" i="13"/>
  <c r="AF930" i="13"/>
  <c r="AE930" i="13"/>
  <c r="AD930" i="13"/>
  <c r="Z930" i="13"/>
  <c r="Y930" i="13"/>
  <c r="X930" i="13"/>
  <c r="U930" i="13"/>
  <c r="T930" i="13"/>
  <c r="S930" i="13"/>
  <c r="R930" i="13"/>
  <c r="Q930" i="13"/>
  <c r="O930" i="13"/>
  <c r="N930" i="13"/>
  <c r="M930" i="13"/>
  <c r="L930" i="13"/>
  <c r="F930" i="13"/>
  <c r="E930" i="13"/>
  <c r="D930" i="13"/>
  <c r="C930" i="13"/>
  <c r="B930" i="13"/>
  <c r="A930" i="13"/>
  <c r="AG929" i="13"/>
  <c r="AF929" i="13"/>
  <c r="AE929" i="13"/>
  <c r="AD929" i="13"/>
  <c r="Z929" i="13"/>
  <c r="Y929" i="13"/>
  <c r="X929" i="13"/>
  <c r="U929" i="13"/>
  <c r="T929" i="13"/>
  <c r="S929" i="13"/>
  <c r="R929" i="13"/>
  <c r="Q929" i="13"/>
  <c r="O929" i="13"/>
  <c r="N929" i="13"/>
  <c r="M929" i="13"/>
  <c r="L929" i="13"/>
  <c r="F929" i="13"/>
  <c r="E929" i="13"/>
  <c r="D929" i="13"/>
  <c r="C929" i="13"/>
  <c r="B929" i="13"/>
  <c r="A929" i="13"/>
  <c r="AG928" i="13"/>
  <c r="AF928" i="13"/>
  <c r="AE928" i="13"/>
  <c r="AD928" i="13"/>
  <c r="Z928" i="13"/>
  <c r="Y928" i="13"/>
  <c r="X928" i="13"/>
  <c r="U928" i="13"/>
  <c r="T928" i="13"/>
  <c r="S928" i="13"/>
  <c r="R928" i="13"/>
  <c r="Q928" i="13"/>
  <c r="O928" i="13"/>
  <c r="N928" i="13"/>
  <c r="M928" i="13"/>
  <c r="L928" i="13"/>
  <c r="F928" i="13"/>
  <c r="E928" i="13"/>
  <c r="D928" i="13"/>
  <c r="C928" i="13"/>
  <c r="B928" i="13"/>
  <c r="A928" i="13"/>
  <c r="AG927" i="13"/>
  <c r="AF927" i="13"/>
  <c r="AE927" i="13"/>
  <c r="AD927" i="13"/>
  <c r="Z927" i="13"/>
  <c r="Y927" i="13"/>
  <c r="X927" i="13"/>
  <c r="U927" i="13"/>
  <c r="T927" i="13"/>
  <c r="S927" i="13"/>
  <c r="R927" i="13"/>
  <c r="Q927" i="13"/>
  <c r="O927" i="13"/>
  <c r="N927" i="13"/>
  <c r="M927" i="13"/>
  <c r="L927" i="13"/>
  <c r="F927" i="13"/>
  <c r="E927" i="13"/>
  <c r="D927" i="13"/>
  <c r="C927" i="13"/>
  <c r="B927" i="13"/>
  <c r="A927" i="13"/>
  <c r="AG926" i="13"/>
  <c r="AF926" i="13"/>
  <c r="AE926" i="13"/>
  <c r="AD926" i="13"/>
  <c r="Z926" i="13"/>
  <c r="Y926" i="13"/>
  <c r="X926" i="13"/>
  <c r="U926" i="13"/>
  <c r="T926" i="13"/>
  <c r="S926" i="13"/>
  <c r="R926" i="13"/>
  <c r="Q926" i="13"/>
  <c r="O926" i="13"/>
  <c r="N926" i="13"/>
  <c r="M926" i="13"/>
  <c r="L926" i="13"/>
  <c r="F926" i="13"/>
  <c r="E926" i="13"/>
  <c r="D926" i="13"/>
  <c r="C926" i="13"/>
  <c r="B926" i="13"/>
  <c r="A926" i="13"/>
  <c r="AG925" i="13"/>
  <c r="AF925" i="13"/>
  <c r="AE925" i="13"/>
  <c r="AD925" i="13"/>
  <c r="Z925" i="13"/>
  <c r="Y925" i="13"/>
  <c r="X925" i="13"/>
  <c r="U925" i="13"/>
  <c r="T925" i="13"/>
  <c r="S925" i="13"/>
  <c r="R925" i="13"/>
  <c r="Q925" i="13"/>
  <c r="O925" i="13"/>
  <c r="N925" i="13"/>
  <c r="M925" i="13"/>
  <c r="L925" i="13"/>
  <c r="F925" i="13"/>
  <c r="E925" i="13"/>
  <c r="D925" i="13"/>
  <c r="C925" i="13"/>
  <c r="B925" i="13"/>
  <c r="A925" i="13"/>
  <c r="AG924" i="13"/>
  <c r="AF924" i="13"/>
  <c r="AE924" i="13"/>
  <c r="AD924" i="13"/>
  <c r="Z924" i="13"/>
  <c r="Y924" i="13"/>
  <c r="X924" i="13"/>
  <c r="U924" i="13"/>
  <c r="T924" i="13"/>
  <c r="S924" i="13"/>
  <c r="R924" i="13"/>
  <c r="Q924" i="13"/>
  <c r="O924" i="13"/>
  <c r="N924" i="13"/>
  <c r="M924" i="13"/>
  <c r="L924" i="13"/>
  <c r="F924" i="13"/>
  <c r="E924" i="13"/>
  <c r="D924" i="13"/>
  <c r="C924" i="13"/>
  <c r="B924" i="13"/>
  <c r="A924" i="13"/>
  <c r="AG923" i="13"/>
  <c r="AF923" i="13"/>
  <c r="AE923" i="13"/>
  <c r="AD923" i="13"/>
  <c r="Z923" i="13"/>
  <c r="Y923" i="13"/>
  <c r="X923" i="13"/>
  <c r="U923" i="13"/>
  <c r="T923" i="13"/>
  <c r="S923" i="13"/>
  <c r="R923" i="13"/>
  <c r="Q923" i="13"/>
  <c r="O923" i="13"/>
  <c r="N923" i="13"/>
  <c r="M923" i="13"/>
  <c r="L923" i="13"/>
  <c r="F923" i="13"/>
  <c r="E923" i="13"/>
  <c r="D923" i="13"/>
  <c r="C923" i="13"/>
  <c r="B923" i="13"/>
  <c r="A923" i="13"/>
  <c r="AG922" i="13"/>
  <c r="AF922" i="13"/>
  <c r="AE922" i="13"/>
  <c r="AD922" i="13"/>
  <c r="Z922" i="13"/>
  <c r="Y922" i="13"/>
  <c r="X922" i="13"/>
  <c r="U922" i="13"/>
  <c r="T922" i="13"/>
  <c r="S922" i="13"/>
  <c r="R922" i="13"/>
  <c r="Q922" i="13"/>
  <c r="O922" i="13"/>
  <c r="N922" i="13"/>
  <c r="M922" i="13"/>
  <c r="L922" i="13"/>
  <c r="F922" i="13"/>
  <c r="E922" i="13"/>
  <c r="D922" i="13"/>
  <c r="C922" i="13"/>
  <c r="B922" i="13"/>
  <c r="A922" i="13"/>
  <c r="AG921" i="13"/>
  <c r="AF921" i="13"/>
  <c r="AE921" i="13"/>
  <c r="AD921" i="13"/>
  <c r="Z921" i="13"/>
  <c r="Y921" i="13"/>
  <c r="X921" i="13"/>
  <c r="U921" i="13"/>
  <c r="T921" i="13"/>
  <c r="S921" i="13"/>
  <c r="R921" i="13"/>
  <c r="Q921" i="13"/>
  <c r="O921" i="13"/>
  <c r="N921" i="13"/>
  <c r="M921" i="13"/>
  <c r="L921" i="13"/>
  <c r="F921" i="13"/>
  <c r="E921" i="13"/>
  <c r="D921" i="13"/>
  <c r="C921" i="13"/>
  <c r="B921" i="13"/>
  <c r="A921" i="13"/>
  <c r="AG920" i="13"/>
  <c r="AF920" i="13"/>
  <c r="AE920" i="13"/>
  <c r="AD920" i="13"/>
  <c r="Z920" i="13"/>
  <c r="Y920" i="13"/>
  <c r="X920" i="13"/>
  <c r="U920" i="13"/>
  <c r="T920" i="13"/>
  <c r="S920" i="13"/>
  <c r="R920" i="13"/>
  <c r="Q920" i="13"/>
  <c r="O920" i="13"/>
  <c r="N920" i="13"/>
  <c r="M920" i="13"/>
  <c r="L920" i="13"/>
  <c r="F920" i="13"/>
  <c r="E920" i="13"/>
  <c r="D920" i="13"/>
  <c r="C920" i="13"/>
  <c r="B920" i="13"/>
  <c r="A920" i="13"/>
  <c r="AG919" i="13"/>
  <c r="AF919" i="13"/>
  <c r="AE919" i="13"/>
  <c r="AD919" i="13"/>
  <c r="Z919" i="13"/>
  <c r="Y919" i="13"/>
  <c r="X919" i="13"/>
  <c r="U919" i="13"/>
  <c r="T919" i="13"/>
  <c r="S919" i="13"/>
  <c r="R919" i="13"/>
  <c r="Q919" i="13"/>
  <c r="O919" i="13"/>
  <c r="N919" i="13"/>
  <c r="M919" i="13"/>
  <c r="L919" i="13"/>
  <c r="F919" i="13"/>
  <c r="E919" i="13"/>
  <c r="D919" i="13"/>
  <c r="C919" i="13"/>
  <c r="B919" i="13"/>
  <c r="A919" i="13"/>
  <c r="AG918" i="13"/>
  <c r="AF918" i="13"/>
  <c r="AE918" i="13"/>
  <c r="AD918" i="13"/>
  <c r="Z918" i="13"/>
  <c r="Y918" i="13"/>
  <c r="X918" i="13"/>
  <c r="U918" i="13"/>
  <c r="T918" i="13"/>
  <c r="S918" i="13"/>
  <c r="R918" i="13"/>
  <c r="Q918" i="13"/>
  <c r="O918" i="13"/>
  <c r="N918" i="13"/>
  <c r="M918" i="13"/>
  <c r="L918" i="13"/>
  <c r="F918" i="13"/>
  <c r="E918" i="13"/>
  <c r="D918" i="13"/>
  <c r="C918" i="13"/>
  <c r="B918" i="13"/>
  <c r="A918" i="13"/>
  <c r="AG917" i="13"/>
  <c r="AF917" i="13"/>
  <c r="AE917" i="13"/>
  <c r="AD917" i="13"/>
  <c r="Z917" i="13"/>
  <c r="Y917" i="13"/>
  <c r="X917" i="13"/>
  <c r="W917" i="13"/>
  <c r="U917" i="13"/>
  <c r="T917" i="13"/>
  <c r="S917" i="13"/>
  <c r="R917" i="13"/>
  <c r="Q917" i="13"/>
  <c r="P917" i="13"/>
  <c r="O917" i="13"/>
  <c r="N917" i="13"/>
  <c r="M917" i="13"/>
  <c r="L917" i="13"/>
  <c r="J917" i="13"/>
  <c r="G917" i="13"/>
  <c r="F917" i="13"/>
  <c r="E917" i="13"/>
  <c r="D917" i="13"/>
  <c r="C917" i="13"/>
  <c r="B917" i="13"/>
  <c r="A917" i="13"/>
  <c r="AG916" i="13"/>
  <c r="AF916" i="13"/>
  <c r="AE916" i="13"/>
  <c r="AD916" i="13"/>
  <c r="Z916" i="13"/>
  <c r="Y916" i="13"/>
  <c r="X916" i="13"/>
  <c r="W916" i="13"/>
  <c r="U916" i="13"/>
  <c r="T916" i="13"/>
  <c r="S916" i="13"/>
  <c r="R916" i="13"/>
  <c r="Q916" i="13"/>
  <c r="P916" i="13"/>
  <c r="O916" i="13"/>
  <c r="N916" i="13"/>
  <c r="M916" i="13"/>
  <c r="L916" i="13"/>
  <c r="J916" i="13"/>
  <c r="G916" i="13"/>
  <c r="F916" i="13"/>
  <c r="E916" i="13"/>
  <c r="D916" i="13"/>
  <c r="C916" i="13"/>
  <c r="B916" i="13"/>
  <c r="A916" i="13"/>
  <c r="AG915" i="13"/>
  <c r="AF915" i="13"/>
  <c r="AE915" i="13"/>
  <c r="AD915" i="13"/>
  <c r="Z915" i="13"/>
  <c r="Y915" i="13"/>
  <c r="X915" i="13"/>
  <c r="W915" i="13"/>
  <c r="U915" i="13"/>
  <c r="T915" i="13"/>
  <c r="S915" i="13"/>
  <c r="R915" i="13"/>
  <c r="Q915" i="13"/>
  <c r="P915" i="13"/>
  <c r="O915" i="13"/>
  <c r="N915" i="13"/>
  <c r="M915" i="13"/>
  <c r="L915" i="13"/>
  <c r="J915" i="13"/>
  <c r="G915" i="13"/>
  <c r="F915" i="13"/>
  <c r="E915" i="13"/>
  <c r="D915" i="13"/>
  <c r="C915" i="13"/>
  <c r="B915" i="13"/>
  <c r="A915" i="13"/>
  <c r="AG914" i="13"/>
  <c r="AF914" i="13"/>
  <c r="AE914" i="13"/>
  <c r="AD914" i="13"/>
  <c r="Z914" i="13"/>
  <c r="Y914" i="13"/>
  <c r="X914" i="13"/>
  <c r="W914" i="13"/>
  <c r="U914" i="13"/>
  <c r="T914" i="13"/>
  <c r="S914" i="13"/>
  <c r="R914" i="13"/>
  <c r="Q914" i="13"/>
  <c r="P914" i="13"/>
  <c r="O914" i="13"/>
  <c r="N914" i="13"/>
  <c r="M914" i="13"/>
  <c r="L914" i="13"/>
  <c r="J914" i="13"/>
  <c r="G914" i="13"/>
  <c r="F914" i="13"/>
  <c r="E914" i="13"/>
  <c r="D914" i="13"/>
  <c r="C914" i="13"/>
  <c r="B914" i="13"/>
  <c r="A914" i="13"/>
  <c r="AG913" i="13"/>
  <c r="AF913" i="13"/>
  <c r="AE913" i="13"/>
  <c r="AD913" i="13"/>
  <c r="Z913" i="13"/>
  <c r="Y913" i="13"/>
  <c r="X913" i="13"/>
  <c r="W913" i="13"/>
  <c r="U913" i="13"/>
  <c r="T913" i="13"/>
  <c r="S913" i="13"/>
  <c r="R913" i="13"/>
  <c r="Q913" i="13"/>
  <c r="P913" i="13"/>
  <c r="O913" i="13"/>
  <c r="N913" i="13"/>
  <c r="M913" i="13"/>
  <c r="L913" i="13"/>
  <c r="J913" i="13"/>
  <c r="G913" i="13"/>
  <c r="F913" i="13"/>
  <c r="E913" i="13"/>
  <c r="D913" i="13"/>
  <c r="C913" i="13"/>
  <c r="B913" i="13"/>
  <c r="A913" i="13"/>
  <c r="AG912" i="13"/>
  <c r="AF912" i="13"/>
  <c r="AE912" i="13"/>
  <c r="AD912" i="13"/>
  <c r="Z912" i="13"/>
  <c r="Y912" i="13"/>
  <c r="X912" i="13"/>
  <c r="W912" i="13"/>
  <c r="U912" i="13"/>
  <c r="T912" i="13"/>
  <c r="S912" i="13"/>
  <c r="R912" i="13"/>
  <c r="Q912" i="13"/>
  <c r="P912" i="13"/>
  <c r="O912" i="13"/>
  <c r="N912" i="13"/>
  <c r="M912" i="13"/>
  <c r="L912" i="13"/>
  <c r="J912" i="13"/>
  <c r="G912" i="13"/>
  <c r="F912" i="13"/>
  <c r="E912" i="13"/>
  <c r="D912" i="13"/>
  <c r="C912" i="13"/>
  <c r="B912" i="13"/>
  <c r="A912" i="13"/>
  <c r="AG911" i="13"/>
  <c r="AF911" i="13"/>
  <c r="AE911" i="13"/>
  <c r="AD911" i="13"/>
  <c r="Z911" i="13"/>
  <c r="Y911" i="13"/>
  <c r="X911" i="13"/>
  <c r="W911" i="13"/>
  <c r="U911" i="13"/>
  <c r="T911" i="13"/>
  <c r="S911" i="13"/>
  <c r="R911" i="13"/>
  <c r="Q911" i="13"/>
  <c r="P911" i="13"/>
  <c r="O911" i="13"/>
  <c r="N911" i="13"/>
  <c r="M911" i="13"/>
  <c r="L911" i="13"/>
  <c r="J911" i="13"/>
  <c r="G911" i="13"/>
  <c r="F911" i="13"/>
  <c r="E911" i="13"/>
  <c r="D911" i="13"/>
  <c r="C911" i="13"/>
  <c r="B911" i="13"/>
  <c r="A911" i="13"/>
  <c r="AG910" i="13"/>
  <c r="AF910" i="13"/>
  <c r="AE910" i="13"/>
  <c r="AD910" i="13"/>
  <c r="Z910" i="13"/>
  <c r="Y910" i="13"/>
  <c r="X910" i="13"/>
  <c r="W910" i="13"/>
  <c r="U910" i="13"/>
  <c r="T910" i="13"/>
  <c r="S910" i="13"/>
  <c r="R910" i="13"/>
  <c r="Q910" i="13"/>
  <c r="P910" i="13"/>
  <c r="O910" i="13"/>
  <c r="N910" i="13"/>
  <c r="M910" i="13"/>
  <c r="L910" i="13"/>
  <c r="J910" i="13"/>
  <c r="G910" i="13"/>
  <c r="F910" i="13"/>
  <c r="E910" i="13"/>
  <c r="D910" i="13"/>
  <c r="C910" i="13"/>
  <c r="B910" i="13"/>
  <c r="A910" i="13"/>
  <c r="AG909" i="13"/>
  <c r="AF909" i="13"/>
  <c r="AE909" i="13"/>
  <c r="AD909" i="13"/>
  <c r="Z909" i="13"/>
  <c r="Y909" i="13"/>
  <c r="X909" i="13"/>
  <c r="W909" i="13"/>
  <c r="U909" i="13"/>
  <c r="T909" i="13"/>
  <c r="S909" i="13"/>
  <c r="R909" i="13"/>
  <c r="Q909" i="13"/>
  <c r="P909" i="13"/>
  <c r="O909" i="13"/>
  <c r="N909" i="13"/>
  <c r="M909" i="13"/>
  <c r="L909" i="13"/>
  <c r="J909" i="13"/>
  <c r="G909" i="13"/>
  <c r="F909" i="13"/>
  <c r="E909" i="13"/>
  <c r="D909" i="13"/>
  <c r="C909" i="13"/>
  <c r="B909" i="13"/>
  <c r="A909" i="13"/>
  <c r="AG908" i="13"/>
  <c r="AF908" i="13"/>
  <c r="AE908" i="13"/>
  <c r="AD908" i="13"/>
  <c r="Z908" i="13"/>
  <c r="Y908" i="13"/>
  <c r="X908" i="13"/>
  <c r="W908" i="13"/>
  <c r="U908" i="13"/>
  <c r="T908" i="13"/>
  <c r="S908" i="13"/>
  <c r="R908" i="13"/>
  <c r="Q908" i="13"/>
  <c r="P908" i="13"/>
  <c r="O908" i="13"/>
  <c r="N908" i="13"/>
  <c r="M908" i="13"/>
  <c r="L908" i="13"/>
  <c r="J908" i="13"/>
  <c r="G908" i="13"/>
  <c r="F908" i="13"/>
  <c r="E908" i="13"/>
  <c r="D908" i="13"/>
  <c r="C908" i="13"/>
  <c r="B908" i="13"/>
  <c r="A908" i="13"/>
  <c r="AG907" i="13"/>
  <c r="AF907" i="13"/>
  <c r="AE907" i="13"/>
  <c r="AD907" i="13"/>
  <c r="Z907" i="13"/>
  <c r="Y907" i="13"/>
  <c r="X907" i="13"/>
  <c r="W907" i="13"/>
  <c r="U907" i="13"/>
  <c r="T907" i="13"/>
  <c r="S907" i="13"/>
  <c r="R907" i="13"/>
  <c r="Q907" i="13"/>
  <c r="P907" i="13"/>
  <c r="O907" i="13"/>
  <c r="N907" i="13"/>
  <c r="M907" i="13"/>
  <c r="L907" i="13"/>
  <c r="J907" i="13"/>
  <c r="G907" i="13"/>
  <c r="F907" i="13"/>
  <c r="E907" i="13"/>
  <c r="D907" i="13"/>
  <c r="C907" i="13"/>
  <c r="B907" i="13"/>
  <c r="A907" i="13"/>
  <c r="AG906" i="13"/>
  <c r="AF906" i="13"/>
  <c r="AE906" i="13"/>
  <c r="AD906" i="13"/>
  <c r="Z906" i="13"/>
  <c r="Y906" i="13"/>
  <c r="X906" i="13"/>
  <c r="W906" i="13"/>
  <c r="U906" i="13"/>
  <c r="T906" i="13"/>
  <c r="S906" i="13"/>
  <c r="R906" i="13"/>
  <c r="Q906" i="13"/>
  <c r="P906" i="13"/>
  <c r="O906" i="13"/>
  <c r="N906" i="13"/>
  <c r="M906" i="13"/>
  <c r="L906" i="13"/>
  <c r="J906" i="13"/>
  <c r="G906" i="13"/>
  <c r="F906" i="13"/>
  <c r="E906" i="13"/>
  <c r="D906" i="13"/>
  <c r="C906" i="13"/>
  <c r="B906" i="13"/>
  <c r="A906" i="13"/>
  <c r="AG905" i="13"/>
  <c r="AF905" i="13"/>
  <c r="AE905" i="13"/>
  <c r="AD905" i="13"/>
  <c r="Z905" i="13"/>
  <c r="Y905" i="13"/>
  <c r="X905" i="13"/>
  <c r="W905" i="13"/>
  <c r="U905" i="13"/>
  <c r="T905" i="13"/>
  <c r="S905" i="13"/>
  <c r="R905" i="13"/>
  <c r="Q905" i="13"/>
  <c r="P905" i="13"/>
  <c r="O905" i="13"/>
  <c r="N905" i="13"/>
  <c r="M905" i="13"/>
  <c r="L905" i="13"/>
  <c r="J905" i="13"/>
  <c r="G905" i="13"/>
  <c r="F905" i="13"/>
  <c r="E905" i="13"/>
  <c r="D905" i="13"/>
  <c r="C905" i="13"/>
  <c r="B905" i="13"/>
  <c r="A905" i="13"/>
  <c r="AG904" i="13"/>
  <c r="AF904" i="13"/>
  <c r="AE904" i="13"/>
  <c r="AD904" i="13"/>
  <c r="Z904" i="13"/>
  <c r="Y904" i="13"/>
  <c r="X904" i="13"/>
  <c r="W904" i="13"/>
  <c r="U904" i="13"/>
  <c r="T904" i="13"/>
  <c r="S904" i="13"/>
  <c r="R904" i="13"/>
  <c r="Q904" i="13"/>
  <c r="P904" i="13"/>
  <c r="O904" i="13"/>
  <c r="N904" i="13"/>
  <c r="M904" i="13"/>
  <c r="L904" i="13"/>
  <c r="J904" i="13"/>
  <c r="G904" i="13"/>
  <c r="F904" i="13"/>
  <c r="E904" i="13"/>
  <c r="D904" i="13"/>
  <c r="C904" i="13"/>
  <c r="B904" i="13"/>
  <c r="A904" i="13"/>
  <c r="AG903" i="13"/>
  <c r="AF903" i="13"/>
  <c r="AE903" i="13"/>
  <c r="AD903" i="13"/>
  <c r="Z903" i="13"/>
  <c r="Y903" i="13"/>
  <c r="X903" i="13"/>
  <c r="W903" i="13"/>
  <c r="U903" i="13"/>
  <c r="T903" i="13"/>
  <c r="S903" i="13"/>
  <c r="R903" i="13"/>
  <c r="Q903" i="13"/>
  <c r="P903" i="13"/>
  <c r="O903" i="13"/>
  <c r="N903" i="13"/>
  <c r="M903" i="13"/>
  <c r="L903" i="13"/>
  <c r="J903" i="13"/>
  <c r="G903" i="13"/>
  <c r="F903" i="13"/>
  <c r="E903" i="13"/>
  <c r="D903" i="13"/>
  <c r="C903" i="13"/>
  <c r="B903" i="13"/>
  <c r="A903" i="13"/>
  <c r="AG902" i="13"/>
  <c r="AF902" i="13"/>
  <c r="AE902" i="13"/>
  <c r="AD902" i="13"/>
  <c r="Z902" i="13"/>
  <c r="Y902" i="13"/>
  <c r="X902" i="13"/>
  <c r="W902" i="13"/>
  <c r="U902" i="13"/>
  <c r="T902" i="13"/>
  <c r="S902" i="13"/>
  <c r="R902" i="13"/>
  <c r="Q902" i="13"/>
  <c r="P902" i="13"/>
  <c r="O902" i="13"/>
  <c r="N902" i="13"/>
  <c r="M902" i="13"/>
  <c r="L902" i="13"/>
  <c r="J902" i="13"/>
  <c r="G902" i="13"/>
  <c r="F902" i="13"/>
  <c r="E902" i="13"/>
  <c r="D902" i="13"/>
  <c r="C902" i="13"/>
  <c r="B902" i="13"/>
  <c r="A902" i="13"/>
  <c r="AG901" i="13"/>
  <c r="AF901" i="13"/>
  <c r="AE901" i="13"/>
  <c r="AD901" i="13"/>
  <c r="Z901" i="13"/>
  <c r="Y901" i="13"/>
  <c r="X901" i="13"/>
  <c r="W901" i="13"/>
  <c r="U901" i="13"/>
  <c r="T901" i="13"/>
  <c r="S901" i="13"/>
  <c r="R901" i="13"/>
  <c r="Q901" i="13"/>
  <c r="P901" i="13"/>
  <c r="O901" i="13"/>
  <c r="N901" i="13"/>
  <c r="M901" i="13"/>
  <c r="L901" i="13"/>
  <c r="J901" i="13"/>
  <c r="G901" i="13"/>
  <c r="F901" i="13"/>
  <c r="E901" i="13"/>
  <c r="D901" i="13"/>
  <c r="C901" i="13"/>
  <c r="B901" i="13"/>
  <c r="A901" i="13"/>
  <c r="AG900" i="13"/>
  <c r="AF900" i="13"/>
  <c r="AE900" i="13"/>
  <c r="AD900" i="13"/>
  <c r="Z900" i="13"/>
  <c r="Y900" i="13"/>
  <c r="X900" i="13"/>
  <c r="W900" i="13"/>
  <c r="U900" i="13"/>
  <c r="T900" i="13"/>
  <c r="S900" i="13"/>
  <c r="R900" i="13"/>
  <c r="Q900" i="13"/>
  <c r="P900" i="13"/>
  <c r="O900" i="13"/>
  <c r="N900" i="13"/>
  <c r="M900" i="13"/>
  <c r="L900" i="13"/>
  <c r="J900" i="13"/>
  <c r="G900" i="13"/>
  <c r="F900" i="13"/>
  <c r="E900" i="13"/>
  <c r="D900" i="13"/>
  <c r="C900" i="13"/>
  <c r="B900" i="13"/>
  <c r="A900" i="13"/>
  <c r="AG899" i="13"/>
  <c r="AF899" i="13"/>
  <c r="AE899" i="13"/>
  <c r="AD899" i="13"/>
  <c r="Z899" i="13"/>
  <c r="Y899" i="13"/>
  <c r="X899" i="13"/>
  <c r="W899" i="13"/>
  <c r="U899" i="13"/>
  <c r="T899" i="13"/>
  <c r="S899" i="13"/>
  <c r="R899" i="13"/>
  <c r="Q899" i="13"/>
  <c r="P899" i="13"/>
  <c r="O899" i="13"/>
  <c r="N899" i="13"/>
  <c r="M899" i="13"/>
  <c r="L899" i="13"/>
  <c r="J899" i="13"/>
  <c r="G899" i="13"/>
  <c r="F899" i="13"/>
  <c r="E899" i="13"/>
  <c r="D899" i="13"/>
  <c r="C899" i="13"/>
  <c r="B899" i="13"/>
  <c r="A899" i="13"/>
  <c r="AG898" i="13"/>
  <c r="AF898" i="13"/>
  <c r="AE898" i="13"/>
  <c r="AD898" i="13"/>
  <c r="Z898" i="13"/>
  <c r="Y898" i="13"/>
  <c r="X898" i="13"/>
  <c r="W898" i="13"/>
  <c r="U898" i="13"/>
  <c r="T898" i="13"/>
  <c r="S898" i="13"/>
  <c r="R898" i="13"/>
  <c r="Q898" i="13"/>
  <c r="P898" i="13"/>
  <c r="O898" i="13"/>
  <c r="N898" i="13"/>
  <c r="M898" i="13"/>
  <c r="L898" i="13"/>
  <c r="J898" i="13"/>
  <c r="G898" i="13"/>
  <c r="F898" i="13"/>
  <c r="E898" i="13"/>
  <c r="D898" i="13"/>
  <c r="C898" i="13"/>
  <c r="B898" i="13"/>
  <c r="A898" i="13"/>
  <c r="AG897" i="13"/>
  <c r="AF897" i="13"/>
  <c r="AE897" i="13"/>
  <c r="AD897" i="13"/>
  <c r="Z897" i="13"/>
  <c r="Y897" i="13"/>
  <c r="X897" i="13"/>
  <c r="W897" i="13"/>
  <c r="U897" i="13"/>
  <c r="T897" i="13"/>
  <c r="S897" i="13"/>
  <c r="R897" i="13"/>
  <c r="Q897" i="13"/>
  <c r="P897" i="13"/>
  <c r="O897" i="13"/>
  <c r="N897" i="13"/>
  <c r="M897" i="13"/>
  <c r="L897" i="13"/>
  <c r="J897" i="13"/>
  <c r="G897" i="13"/>
  <c r="F897" i="13"/>
  <c r="E897" i="13"/>
  <c r="D897" i="13"/>
  <c r="C897" i="13"/>
  <c r="B897" i="13"/>
  <c r="A897" i="13"/>
  <c r="AG896" i="13"/>
  <c r="AF896" i="13"/>
  <c r="AE896" i="13"/>
  <c r="AD896" i="13"/>
  <c r="Z896" i="13"/>
  <c r="Y896" i="13"/>
  <c r="X896" i="13"/>
  <c r="W896" i="13"/>
  <c r="U896" i="13"/>
  <c r="T896" i="13"/>
  <c r="S896" i="13"/>
  <c r="R896" i="13"/>
  <c r="Q896" i="13"/>
  <c r="P896" i="13"/>
  <c r="O896" i="13"/>
  <c r="N896" i="13"/>
  <c r="M896" i="13"/>
  <c r="L896" i="13"/>
  <c r="J896" i="13"/>
  <c r="G896" i="13"/>
  <c r="F896" i="13"/>
  <c r="E896" i="13"/>
  <c r="D896" i="13"/>
  <c r="C896" i="13"/>
  <c r="B896" i="13"/>
  <c r="A896" i="13"/>
  <c r="AG895" i="13"/>
  <c r="AF895" i="13"/>
  <c r="AE895" i="13"/>
  <c r="AD895" i="13"/>
  <c r="Z895" i="13"/>
  <c r="Y895" i="13"/>
  <c r="X895" i="13"/>
  <c r="W895" i="13"/>
  <c r="U895" i="13"/>
  <c r="T895" i="13"/>
  <c r="S895" i="13"/>
  <c r="R895" i="13"/>
  <c r="Q895" i="13"/>
  <c r="P895" i="13"/>
  <c r="O895" i="13"/>
  <c r="N895" i="13"/>
  <c r="M895" i="13"/>
  <c r="L895" i="13"/>
  <c r="J895" i="13"/>
  <c r="G895" i="13"/>
  <c r="F895" i="13"/>
  <c r="E895" i="13"/>
  <c r="D895" i="13"/>
  <c r="C895" i="13"/>
  <c r="B895" i="13"/>
  <c r="A895" i="13"/>
  <c r="AG894" i="13"/>
  <c r="AF894" i="13"/>
  <c r="AE894" i="13"/>
  <c r="AD894" i="13"/>
  <c r="Z894" i="13"/>
  <c r="Y894" i="13"/>
  <c r="X894" i="13"/>
  <c r="W894" i="13"/>
  <c r="U894" i="13"/>
  <c r="T894" i="13"/>
  <c r="S894" i="13"/>
  <c r="R894" i="13"/>
  <c r="Q894" i="13"/>
  <c r="P894" i="13"/>
  <c r="O894" i="13"/>
  <c r="N894" i="13"/>
  <c r="M894" i="13"/>
  <c r="L894" i="13"/>
  <c r="J894" i="13"/>
  <c r="G894" i="13"/>
  <c r="F894" i="13"/>
  <c r="E894" i="13"/>
  <c r="D894" i="13"/>
  <c r="C894" i="13"/>
  <c r="B894" i="13"/>
  <c r="A894" i="13"/>
  <c r="AG893" i="13"/>
  <c r="AF893" i="13"/>
  <c r="AE893" i="13"/>
  <c r="AD893" i="13"/>
  <c r="Z893" i="13"/>
  <c r="Y893" i="13"/>
  <c r="X893" i="13"/>
  <c r="W893" i="13"/>
  <c r="U893" i="13"/>
  <c r="T893" i="13"/>
  <c r="S893" i="13"/>
  <c r="R893" i="13"/>
  <c r="Q893" i="13"/>
  <c r="P893" i="13"/>
  <c r="O893" i="13"/>
  <c r="N893" i="13"/>
  <c r="M893" i="13"/>
  <c r="L893" i="13"/>
  <c r="J893" i="13"/>
  <c r="G893" i="13"/>
  <c r="F893" i="13"/>
  <c r="E893" i="13"/>
  <c r="D893" i="13"/>
  <c r="C893" i="13"/>
  <c r="B893" i="13"/>
  <c r="A893" i="13"/>
  <c r="AG892" i="13"/>
  <c r="AF892" i="13"/>
  <c r="AE892" i="13"/>
  <c r="AD892" i="13"/>
  <c r="Z892" i="13"/>
  <c r="Y892" i="13"/>
  <c r="X892" i="13"/>
  <c r="U892" i="13"/>
  <c r="T892" i="13"/>
  <c r="S892" i="13"/>
  <c r="R892" i="13"/>
  <c r="Q892" i="13"/>
  <c r="O892" i="13"/>
  <c r="N892" i="13"/>
  <c r="M892" i="13"/>
  <c r="L892" i="13"/>
  <c r="G892" i="13"/>
  <c r="F892" i="13"/>
  <c r="E892" i="13"/>
  <c r="D892" i="13"/>
  <c r="C892" i="13"/>
  <c r="B892" i="13"/>
  <c r="A892" i="13"/>
  <c r="AG891" i="13"/>
  <c r="AF891" i="13"/>
  <c r="AE891" i="13"/>
  <c r="AD891" i="13"/>
  <c r="Z891" i="13"/>
  <c r="Y891" i="13"/>
  <c r="X891" i="13"/>
  <c r="W891" i="13"/>
  <c r="U891" i="13"/>
  <c r="T891" i="13"/>
  <c r="S891" i="13"/>
  <c r="R891" i="13"/>
  <c r="Q891" i="13"/>
  <c r="P891" i="13"/>
  <c r="O891" i="13"/>
  <c r="N891" i="13"/>
  <c r="M891" i="13"/>
  <c r="L891" i="13"/>
  <c r="J891" i="13"/>
  <c r="G891" i="13"/>
  <c r="F891" i="13"/>
  <c r="E891" i="13"/>
  <c r="D891" i="13"/>
  <c r="C891" i="13"/>
  <c r="B891" i="13"/>
  <c r="A891" i="13"/>
  <c r="AG890" i="13"/>
  <c r="AF890" i="13"/>
  <c r="AE890" i="13"/>
  <c r="AD890" i="13"/>
  <c r="Z890" i="13"/>
  <c r="Y890" i="13"/>
  <c r="X890" i="13"/>
  <c r="W890" i="13"/>
  <c r="U890" i="13"/>
  <c r="T890" i="13"/>
  <c r="S890" i="13"/>
  <c r="R890" i="13"/>
  <c r="Q890" i="13"/>
  <c r="P890" i="13"/>
  <c r="O890" i="13"/>
  <c r="N890" i="13"/>
  <c r="M890" i="13"/>
  <c r="L890" i="13"/>
  <c r="J890" i="13"/>
  <c r="G890" i="13"/>
  <c r="F890" i="13"/>
  <c r="E890" i="13"/>
  <c r="D890" i="13"/>
  <c r="C890" i="13"/>
  <c r="B890" i="13"/>
  <c r="A890" i="13"/>
  <c r="AG889" i="13"/>
  <c r="AF889" i="13"/>
  <c r="AE889" i="13"/>
  <c r="AD889" i="13"/>
  <c r="Z889" i="13"/>
  <c r="Y889" i="13"/>
  <c r="X889" i="13"/>
  <c r="W889" i="13"/>
  <c r="U889" i="13"/>
  <c r="T889" i="13"/>
  <c r="S889" i="13"/>
  <c r="R889" i="13"/>
  <c r="Q889" i="13"/>
  <c r="P889" i="13"/>
  <c r="O889" i="13"/>
  <c r="N889" i="13"/>
  <c r="M889" i="13"/>
  <c r="L889" i="13"/>
  <c r="J889" i="13"/>
  <c r="G889" i="13"/>
  <c r="F889" i="13"/>
  <c r="E889" i="13"/>
  <c r="D889" i="13"/>
  <c r="C889" i="13"/>
  <c r="B889" i="13"/>
  <c r="A889" i="13"/>
  <c r="AG888" i="13"/>
  <c r="AF888" i="13"/>
  <c r="AE888" i="13"/>
  <c r="AD888" i="13"/>
  <c r="Z888" i="13"/>
  <c r="Y888" i="13"/>
  <c r="X888" i="13"/>
  <c r="W888" i="13"/>
  <c r="U888" i="13"/>
  <c r="T888" i="13"/>
  <c r="S888" i="13"/>
  <c r="R888" i="13"/>
  <c r="Q888" i="13"/>
  <c r="P888" i="13"/>
  <c r="O888" i="13"/>
  <c r="N888" i="13"/>
  <c r="M888" i="13"/>
  <c r="L888" i="13"/>
  <c r="J888" i="13"/>
  <c r="G888" i="13"/>
  <c r="F888" i="13"/>
  <c r="E888" i="13"/>
  <c r="D888" i="13"/>
  <c r="C888" i="13"/>
  <c r="B888" i="13"/>
  <c r="A888" i="13"/>
  <c r="AG887" i="13"/>
  <c r="AF887" i="13"/>
  <c r="AE887" i="13"/>
  <c r="AD887" i="13"/>
  <c r="Z887" i="13"/>
  <c r="Y887" i="13"/>
  <c r="X887" i="13"/>
  <c r="W887" i="13"/>
  <c r="U887" i="13"/>
  <c r="T887" i="13"/>
  <c r="S887" i="13"/>
  <c r="R887" i="13"/>
  <c r="Q887" i="13"/>
  <c r="P887" i="13"/>
  <c r="O887" i="13"/>
  <c r="N887" i="13"/>
  <c r="M887" i="13"/>
  <c r="L887" i="13"/>
  <c r="J887" i="13"/>
  <c r="G887" i="13"/>
  <c r="F887" i="13"/>
  <c r="E887" i="13"/>
  <c r="D887" i="13"/>
  <c r="C887" i="13"/>
  <c r="B887" i="13"/>
  <c r="A887" i="13"/>
  <c r="AG886" i="13"/>
  <c r="AF886" i="13"/>
  <c r="AE886" i="13"/>
  <c r="AD886" i="13"/>
  <c r="Z886" i="13"/>
  <c r="Y886" i="13"/>
  <c r="X886" i="13"/>
  <c r="W886" i="13"/>
  <c r="U886" i="13"/>
  <c r="T886" i="13"/>
  <c r="S886" i="13"/>
  <c r="R886" i="13"/>
  <c r="Q886" i="13"/>
  <c r="P886" i="13"/>
  <c r="O886" i="13"/>
  <c r="N886" i="13"/>
  <c r="M886" i="13"/>
  <c r="L886" i="13"/>
  <c r="J886" i="13"/>
  <c r="G886" i="13"/>
  <c r="F886" i="13"/>
  <c r="E886" i="13"/>
  <c r="D886" i="13"/>
  <c r="C886" i="13"/>
  <c r="B886" i="13"/>
  <c r="A886" i="13"/>
  <c r="AG885" i="13"/>
  <c r="AF885" i="13"/>
  <c r="AE885" i="13"/>
  <c r="AD885" i="13"/>
  <c r="Z885" i="13"/>
  <c r="Y885" i="13"/>
  <c r="X885" i="13"/>
  <c r="W885" i="13"/>
  <c r="U885" i="13"/>
  <c r="T885" i="13"/>
  <c r="S885" i="13"/>
  <c r="R885" i="13"/>
  <c r="Q885" i="13"/>
  <c r="P885" i="13"/>
  <c r="O885" i="13"/>
  <c r="N885" i="13"/>
  <c r="M885" i="13"/>
  <c r="L885" i="13"/>
  <c r="J885" i="13"/>
  <c r="G885" i="13"/>
  <c r="F885" i="13"/>
  <c r="E885" i="13"/>
  <c r="D885" i="13"/>
  <c r="C885" i="13"/>
  <c r="B885" i="13"/>
  <c r="A885" i="13"/>
  <c r="AG884" i="13"/>
  <c r="AF884" i="13"/>
  <c r="AE884" i="13"/>
  <c r="AD884" i="13"/>
  <c r="Z884" i="13"/>
  <c r="Y884" i="13"/>
  <c r="X884" i="13"/>
  <c r="W884" i="13"/>
  <c r="U884" i="13"/>
  <c r="T884" i="13"/>
  <c r="S884" i="13"/>
  <c r="R884" i="13"/>
  <c r="Q884" i="13"/>
  <c r="P884" i="13"/>
  <c r="O884" i="13"/>
  <c r="N884" i="13"/>
  <c r="M884" i="13"/>
  <c r="L884" i="13"/>
  <c r="J884" i="13"/>
  <c r="G884" i="13"/>
  <c r="F884" i="13"/>
  <c r="E884" i="13"/>
  <c r="D884" i="13"/>
  <c r="C884" i="13"/>
  <c r="B884" i="13"/>
  <c r="A884" i="13"/>
  <c r="AG883" i="13"/>
  <c r="AF883" i="13"/>
  <c r="AE883" i="13"/>
  <c r="AD883" i="13"/>
  <c r="Z883" i="13"/>
  <c r="Y883" i="13"/>
  <c r="X883" i="13"/>
  <c r="W883" i="13"/>
  <c r="U883" i="13"/>
  <c r="T883" i="13"/>
  <c r="S883" i="13"/>
  <c r="R883" i="13"/>
  <c r="Q883" i="13"/>
  <c r="P883" i="13"/>
  <c r="O883" i="13"/>
  <c r="N883" i="13"/>
  <c r="M883" i="13"/>
  <c r="L883" i="13"/>
  <c r="J883" i="13"/>
  <c r="G883" i="13"/>
  <c r="F883" i="13"/>
  <c r="E883" i="13"/>
  <c r="D883" i="13"/>
  <c r="C883" i="13"/>
  <c r="B883" i="13"/>
  <c r="A883" i="13"/>
  <c r="AG882" i="13"/>
  <c r="AF882" i="13"/>
  <c r="AE882" i="13"/>
  <c r="AD882" i="13"/>
  <c r="Z882" i="13"/>
  <c r="Y882" i="13"/>
  <c r="X882" i="13"/>
  <c r="W882" i="13"/>
  <c r="U882" i="13"/>
  <c r="T882" i="13"/>
  <c r="S882" i="13"/>
  <c r="R882" i="13"/>
  <c r="Q882" i="13"/>
  <c r="P882" i="13"/>
  <c r="O882" i="13"/>
  <c r="N882" i="13"/>
  <c r="M882" i="13"/>
  <c r="L882" i="13"/>
  <c r="J882" i="13"/>
  <c r="G882" i="13"/>
  <c r="F882" i="13"/>
  <c r="E882" i="13"/>
  <c r="D882" i="13"/>
  <c r="C882" i="13"/>
  <c r="B882" i="13"/>
  <c r="A882" i="13"/>
  <c r="AG881" i="13"/>
  <c r="AF881" i="13"/>
  <c r="AE881" i="13"/>
  <c r="AD881" i="13"/>
  <c r="Z881" i="13"/>
  <c r="Y881" i="13"/>
  <c r="X881" i="13"/>
  <c r="W881" i="13"/>
  <c r="U881" i="13"/>
  <c r="T881" i="13"/>
  <c r="S881" i="13"/>
  <c r="R881" i="13"/>
  <c r="Q881" i="13"/>
  <c r="P881" i="13"/>
  <c r="O881" i="13"/>
  <c r="N881" i="13"/>
  <c r="M881" i="13"/>
  <c r="L881" i="13"/>
  <c r="J881" i="13"/>
  <c r="G881" i="13"/>
  <c r="F881" i="13"/>
  <c r="E881" i="13"/>
  <c r="D881" i="13"/>
  <c r="C881" i="13"/>
  <c r="B881" i="13"/>
  <c r="A881" i="13"/>
  <c r="AG880" i="13"/>
  <c r="AF880" i="13"/>
  <c r="AE880" i="13"/>
  <c r="AD880" i="13"/>
  <c r="Z880" i="13"/>
  <c r="Y880" i="13"/>
  <c r="X880" i="13"/>
  <c r="W880" i="13"/>
  <c r="U880" i="13"/>
  <c r="T880" i="13"/>
  <c r="S880" i="13"/>
  <c r="R880" i="13"/>
  <c r="Q880" i="13"/>
  <c r="P880" i="13"/>
  <c r="O880" i="13"/>
  <c r="N880" i="13"/>
  <c r="M880" i="13"/>
  <c r="L880" i="13"/>
  <c r="J880" i="13"/>
  <c r="G880" i="13"/>
  <c r="F880" i="13"/>
  <c r="E880" i="13"/>
  <c r="D880" i="13"/>
  <c r="C880" i="13"/>
  <c r="B880" i="13"/>
  <c r="A880" i="13"/>
  <c r="AG879" i="13"/>
  <c r="AF879" i="13"/>
  <c r="AE879" i="13"/>
  <c r="AD879" i="13"/>
  <c r="Z879" i="13"/>
  <c r="Y879" i="13"/>
  <c r="X879" i="13"/>
  <c r="W879" i="13"/>
  <c r="U879" i="13"/>
  <c r="T879" i="13"/>
  <c r="S879" i="13"/>
  <c r="R879" i="13"/>
  <c r="Q879" i="13"/>
  <c r="P879" i="13"/>
  <c r="O879" i="13"/>
  <c r="N879" i="13"/>
  <c r="M879" i="13"/>
  <c r="L879" i="13"/>
  <c r="J879" i="13"/>
  <c r="G879" i="13"/>
  <c r="F879" i="13"/>
  <c r="E879" i="13"/>
  <c r="D879" i="13"/>
  <c r="C879" i="13"/>
  <c r="B879" i="13"/>
  <c r="A879" i="13"/>
  <c r="AG878" i="13"/>
  <c r="AF878" i="13"/>
  <c r="AE878" i="13"/>
  <c r="AD878" i="13"/>
  <c r="Z878" i="13"/>
  <c r="Y878" i="13"/>
  <c r="X878" i="13"/>
  <c r="W878" i="13"/>
  <c r="U878" i="13"/>
  <c r="T878" i="13"/>
  <c r="S878" i="13"/>
  <c r="R878" i="13"/>
  <c r="Q878" i="13"/>
  <c r="P878" i="13"/>
  <c r="O878" i="13"/>
  <c r="N878" i="13"/>
  <c r="M878" i="13"/>
  <c r="L878" i="13"/>
  <c r="J878" i="13"/>
  <c r="G878" i="13"/>
  <c r="F878" i="13"/>
  <c r="E878" i="13"/>
  <c r="D878" i="13"/>
  <c r="C878" i="13"/>
  <c r="B878" i="13"/>
  <c r="A878" i="13"/>
  <c r="AG877" i="13"/>
  <c r="AF877" i="13"/>
  <c r="AE877" i="13"/>
  <c r="AD877" i="13"/>
  <c r="Z877" i="13"/>
  <c r="Y877" i="13"/>
  <c r="X877" i="13"/>
  <c r="W877" i="13"/>
  <c r="U877" i="13"/>
  <c r="T877" i="13"/>
  <c r="S877" i="13"/>
  <c r="R877" i="13"/>
  <c r="Q877" i="13"/>
  <c r="P877" i="13"/>
  <c r="O877" i="13"/>
  <c r="N877" i="13"/>
  <c r="M877" i="13"/>
  <c r="L877" i="13"/>
  <c r="J877" i="13"/>
  <c r="G877" i="13"/>
  <c r="F877" i="13"/>
  <c r="E877" i="13"/>
  <c r="D877" i="13"/>
  <c r="C877" i="13"/>
  <c r="B877" i="13"/>
  <c r="A877" i="13"/>
  <c r="AG876" i="13"/>
  <c r="AF876" i="13"/>
  <c r="AE876" i="13"/>
  <c r="AD876" i="13"/>
  <c r="Z876" i="13"/>
  <c r="Y876" i="13"/>
  <c r="X876" i="13"/>
  <c r="W876" i="13"/>
  <c r="U876" i="13"/>
  <c r="T876" i="13"/>
  <c r="S876" i="13"/>
  <c r="R876" i="13"/>
  <c r="Q876" i="13"/>
  <c r="P876" i="13"/>
  <c r="O876" i="13"/>
  <c r="N876" i="13"/>
  <c r="M876" i="13"/>
  <c r="L876" i="13"/>
  <c r="J876" i="13"/>
  <c r="G876" i="13"/>
  <c r="F876" i="13"/>
  <c r="E876" i="13"/>
  <c r="D876" i="13"/>
  <c r="C876" i="13"/>
  <c r="B876" i="13"/>
  <c r="A876" i="13"/>
  <c r="AG875" i="13"/>
  <c r="AF875" i="13"/>
  <c r="AE875" i="13"/>
  <c r="AD875" i="13"/>
  <c r="Z875" i="13"/>
  <c r="Y875" i="13"/>
  <c r="X875" i="13"/>
  <c r="W875" i="13"/>
  <c r="U875" i="13"/>
  <c r="T875" i="13"/>
  <c r="S875" i="13"/>
  <c r="R875" i="13"/>
  <c r="Q875" i="13"/>
  <c r="P875" i="13"/>
  <c r="O875" i="13"/>
  <c r="N875" i="13"/>
  <c r="M875" i="13"/>
  <c r="L875" i="13"/>
  <c r="J875" i="13"/>
  <c r="G875" i="13"/>
  <c r="F875" i="13"/>
  <c r="E875" i="13"/>
  <c r="D875" i="13"/>
  <c r="C875" i="13"/>
  <c r="B875" i="13"/>
  <c r="A875" i="13"/>
  <c r="AG874" i="13"/>
  <c r="AF874" i="13"/>
  <c r="AE874" i="13"/>
  <c r="AD874" i="13"/>
  <c r="Z874" i="13"/>
  <c r="Y874" i="13"/>
  <c r="X874" i="13"/>
  <c r="W874" i="13"/>
  <c r="U874" i="13"/>
  <c r="T874" i="13"/>
  <c r="S874" i="13"/>
  <c r="R874" i="13"/>
  <c r="Q874" i="13"/>
  <c r="P874" i="13"/>
  <c r="O874" i="13"/>
  <c r="N874" i="13"/>
  <c r="M874" i="13"/>
  <c r="L874" i="13"/>
  <c r="J874" i="13"/>
  <c r="G874" i="13"/>
  <c r="F874" i="13"/>
  <c r="E874" i="13"/>
  <c r="D874" i="13"/>
  <c r="C874" i="13"/>
  <c r="B874" i="13"/>
  <c r="A874" i="13"/>
  <c r="AG873" i="13"/>
  <c r="AF873" i="13"/>
  <c r="AE873" i="13"/>
  <c r="AD873" i="13"/>
  <c r="Z873" i="13"/>
  <c r="Y873" i="13"/>
  <c r="X873" i="13"/>
  <c r="W873" i="13"/>
  <c r="U873" i="13"/>
  <c r="T873" i="13"/>
  <c r="S873" i="13"/>
  <c r="R873" i="13"/>
  <c r="Q873" i="13"/>
  <c r="P873" i="13"/>
  <c r="O873" i="13"/>
  <c r="N873" i="13"/>
  <c r="M873" i="13"/>
  <c r="L873" i="13"/>
  <c r="J873" i="13"/>
  <c r="G873" i="13"/>
  <c r="F873" i="13"/>
  <c r="E873" i="13"/>
  <c r="D873" i="13"/>
  <c r="C873" i="13"/>
  <c r="B873" i="13"/>
  <c r="A873" i="13"/>
  <c r="AG872" i="13"/>
  <c r="AF872" i="13"/>
  <c r="AE872" i="13"/>
  <c r="AD872" i="13"/>
  <c r="Z872" i="13"/>
  <c r="Y872" i="13"/>
  <c r="X872" i="13"/>
  <c r="W872" i="13"/>
  <c r="U872" i="13"/>
  <c r="T872" i="13"/>
  <c r="S872" i="13"/>
  <c r="R872" i="13"/>
  <c r="Q872" i="13"/>
  <c r="P872" i="13"/>
  <c r="O872" i="13"/>
  <c r="N872" i="13"/>
  <c r="M872" i="13"/>
  <c r="L872" i="13"/>
  <c r="J872" i="13"/>
  <c r="G872" i="13"/>
  <c r="F872" i="13"/>
  <c r="E872" i="13"/>
  <c r="D872" i="13"/>
  <c r="C872" i="13"/>
  <c r="B872" i="13"/>
  <c r="A872" i="13"/>
  <c r="AG871" i="13"/>
  <c r="AF871" i="13"/>
  <c r="AE871" i="13"/>
  <c r="AD871" i="13"/>
  <c r="Z871" i="13"/>
  <c r="Y871" i="13"/>
  <c r="X871" i="13"/>
  <c r="W871" i="13"/>
  <c r="U871" i="13"/>
  <c r="T871" i="13"/>
  <c r="S871" i="13"/>
  <c r="R871" i="13"/>
  <c r="Q871" i="13"/>
  <c r="P871" i="13"/>
  <c r="O871" i="13"/>
  <c r="N871" i="13"/>
  <c r="M871" i="13"/>
  <c r="L871" i="13"/>
  <c r="J871" i="13"/>
  <c r="G871" i="13"/>
  <c r="F871" i="13"/>
  <c r="E871" i="13"/>
  <c r="D871" i="13"/>
  <c r="C871" i="13"/>
  <c r="B871" i="13"/>
  <c r="A871" i="13"/>
  <c r="AG870" i="13"/>
  <c r="AF870" i="13"/>
  <c r="AE870" i="13"/>
  <c r="AD870" i="13"/>
  <c r="Z870" i="13"/>
  <c r="Y870" i="13"/>
  <c r="X870" i="13"/>
  <c r="W870" i="13"/>
  <c r="U870" i="13"/>
  <c r="T870" i="13"/>
  <c r="S870" i="13"/>
  <c r="R870" i="13"/>
  <c r="Q870" i="13"/>
  <c r="P870" i="13"/>
  <c r="O870" i="13"/>
  <c r="N870" i="13"/>
  <c r="M870" i="13"/>
  <c r="L870" i="13"/>
  <c r="J870" i="13"/>
  <c r="G870" i="13"/>
  <c r="F870" i="13"/>
  <c r="E870" i="13"/>
  <c r="D870" i="13"/>
  <c r="C870" i="13"/>
  <c r="B870" i="13"/>
  <c r="A870" i="13"/>
  <c r="AG869" i="13"/>
  <c r="AF869" i="13"/>
  <c r="AE869" i="13"/>
  <c r="AD869" i="13"/>
  <c r="Z869" i="13"/>
  <c r="Y869" i="13"/>
  <c r="X869" i="13"/>
  <c r="W869" i="13"/>
  <c r="U869" i="13"/>
  <c r="T869" i="13"/>
  <c r="S869" i="13"/>
  <c r="R869" i="13"/>
  <c r="Q869" i="13"/>
  <c r="P869" i="13"/>
  <c r="O869" i="13"/>
  <c r="N869" i="13"/>
  <c r="M869" i="13"/>
  <c r="L869" i="13"/>
  <c r="J869" i="13"/>
  <c r="G869" i="13"/>
  <c r="F869" i="13"/>
  <c r="E869" i="13"/>
  <c r="D869" i="13"/>
  <c r="C869" i="13"/>
  <c r="B869" i="13"/>
  <c r="A869" i="13"/>
  <c r="AG868" i="13"/>
  <c r="AF868" i="13"/>
  <c r="AE868" i="13"/>
  <c r="AD868" i="13"/>
  <c r="Z868" i="13"/>
  <c r="Y868" i="13"/>
  <c r="X868" i="13"/>
  <c r="W868" i="13"/>
  <c r="U868" i="13"/>
  <c r="T868" i="13"/>
  <c r="S868" i="13"/>
  <c r="R868" i="13"/>
  <c r="Q868" i="13"/>
  <c r="P868" i="13"/>
  <c r="O868" i="13"/>
  <c r="N868" i="13"/>
  <c r="M868" i="13"/>
  <c r="L868" i="13"/>
  <c r="J868" i="13"/>
  <c r="G868" i="13"/>
  <c r="F868" i="13"/>
  <c r="E868" i="13"/>
  <c r="D868" i="13"/>
  <c r="C868" i="13"/>
  <c r="B868" i="13"/>
  <c r="A868" i="13"/>
  <c r="AG867" i="13"/>
  <c r="AF867" i="13"/>
  <c r="AE867" i="13"/>
  <c r="AD867" i="13"/>
  <c r="Z867" i="13"/>
  <c r="Y867" i="13"/>
  <c r="X867" i="13"/>
  <c r="W867" i="13"/>
  <c r="U867" i="13"/>
  <c r="T867" i="13"/>
  <c r="S867" i="13"/>
  <c r="R867" i="13"/>
  <c r="Q867" i="13"/>
  <c r="P867" i="13"/>
  <c r="O867" i="13"/>
  <c r="N867" i="13"/>
  <c r="M867" i="13"/>
  <c r="L867" i="13"/>
  <c r="J867" i="13"/>
  <c r="G867" i="13"/>
  <c r="F867" i="13"/>
  <c r="E867" i="13"/>
  <c r="D867" i="13"/>
  <c r="C867" i="13"/>
  <c r="B867" i="13"/>
  <c r="A867" i="13"/>
  <c r="AG866" i="13"/>
  <c r="AF866" i="13"/>
  <c r="AE866" i="13"/>
  <c r="AD866" i="13"/>
  <c r="Z866" i="13"/>
  <c r="Y866" i="13"/>
  <c r="X866" i="13"/>
  <c r="W866" i="13"/>
  <c r="U866" i="13"/>
  <c r="T866" i="13"/>
  <c r="S866" i="13"/>
  <c r="R866" i="13"/>
  <c r="Q866" i="13"/>
  <c r="P866" i="13"/>
  <c r="O866" i="13"/>
  <c r="N866" i="13"/>
  <c r="M866" i="13"/>
  <c r="L866" i="13"/>
  <c r="J866" i="13"/>
  <c r="G866" i="13"/>
  <c r="F866" i="13"/>
  <c r="E866" i="13"/>
  <c r="D866" i="13"/>
  <c r="C866" i="13"/>
  <c r="B866" i="13"/>
  <c r="A866" i="13"/>
  <c r="AG865" i="13"/>
  <c r="AF865" i="13"/>
  <c r="AE865" i="13"/>
  <c r="AD865" i="13"/>
  <c r="Z865" i="13"/>
  <c r="Y865" i="13"/>
  <c r="X865" i="13"/>
  <c r="W865" i="13"/>
  <c r="U865" i="13"/>
  <c r="T865" i="13"/>
  <c r="S865" i="13"/>
  <c r="R865" i="13"/>
  <c r="Q865" i="13"/>
  <c r="P865" i="13"/>
  <c r="O865" i="13"/>
  <c r="N865" i="13"/>
  <c r="M865" i="13"/>
  <c r="L865" i="13"/>
  <c r="J865" i="13"/>
  <c r="G865" i="13"/>
  <c r="F865" i="13"/>
  <c r="E865" i="13"/>
  <c r="D865" i="13"/>
  <c r="C865" i="13"/>
  <c r="B865" i="13"/>
  <c r="A865" i="13"/>
  <c r="AG864" i="13"/>
  <c r="AF864" i="13"/>
  <c r="AE864" i="13"/>
  <c r="AD864" i="13"/>
  <c r="Z864" i="13"/>
  <c r="Y864" i="13"/>
  <c r="X864" i="13"/>
  <c r="W864" i="13"/>
  <c r="U864" i="13"/>
  <c r="T864" i="13"/>
  <c r="S864" i="13"/>
  <c r="R864" i="13"/>
  <c r="Q864" i="13"/>
  <c r="P864" i="13"/>
  <c r="O864" i="13"/>
  <c r="N864" i="13"/>
  <c r="M864" i="13"/>
  <c r="L864" i="13"/>
  <c r="J864" i="13"/>
  <c r="G864" i="13"/>
  <c r="F864" i="13"/>
  <c r="E864" i="13"/>
  <c r="D864" i="13"/>
  <c r="C864" i="13"/>
  <c r="B864" i="13"/>
  <c r="A864" i="13"/>
  <c r="AG863" i="13"/>
  <c r="AF863" i="13"/>
  <c r="AE863" i="13"/>
  <c r="AD863" i="13"/>
  <c r="Z863" i="13"/>
  <c r="Y863" i="13"/>
  <c r="X863" i="13"/>
  <c r="W863" i="13"/>
  <c r="U863" i="13"/>
  <c r="T863" i="13"/>
  <c r="S863" i="13"/>
  <c r="R863" i="13"/>
  <c r="Q863" i="13"/>
  <c r="P863" i="13"/>
  <c r="O863" i="13"/>
  <c r="N863" i="13"/>
  <c r="M863" i="13"/>
  <c r="L863" i="13"/>
  <c r="J863" i="13"/>
  <c r="G863" i="13"/>
  <c r="F863" i="13"/>
  <c r="E863" i="13"/>
  <c r="D863" i="13"/>
  <c r="C863" i="13"/>
  <c r="B863" i="13"/>
  <c r="A863" i="13"/>
  <c r="AG862" i="13"/>
  <c r="AF862" i="13"/>
  <c r="AE862" i="13"/>
  <c r="AD862" i="13"/>
  <c r="Z862" i="13"/>
  <c r="Y862" i="13"/>
  <c r="X862" i="13"/>
  <c r="W862" i="13"/>
  <c r="U862" i="13"/>
  <c r="T862" i="13"/>
  <c r="S862" i="13"/>
  <c r="R862" i="13"/>
  <c r="Q862" i="13"/>
  <c r="P862" i="13"/>
  <c r="O862" i="13"/>
  <c r="N862" i="13"/>
  <c r="M862" i="13"/>
  <c r="L862" i="13"/>
  <c r="J862" i="13"/>
  <c r="G862" i="13"/>
  <c r="F862" i="13"/>
  <c r="E862" i="13"/>
  <c r="D862" i="13"/>
  <c r="C862" i="13"/>
  <c r="B862" i="13"/>
  <c r="A862" i="13"/>
  <c r="AG861" i="13"/>
  <c r="AF861" i="13"/>
  <c r="AE861" i="13"/>
  <c r="AD861" i="13"/>
  <c r="Z861" i="13"/>
  <c r="Y861" i="13"/>
  <c r="X861" i="13"/>
  <c r="W861" i="13"/>
  <c r="U861" i="13"/>
  <c r="T861" i="13"/>
  <c r="S861" i="13"/>
  <c r="R861" i="13"/>
  <c r="Q861" i="13"/>
  <c r="P861" i="13"/>
  <c r="O861" i="13"/>
  <c r="N861" i="13"/>
  <c r="M861" i="13"/>
  <c r="L861" i="13"/>
  <c r="J861" i="13"/>
  <c r="G861" i="13"/>
  <c r="F861" i="13"/>
  <c r="E861" i="13"/>
  <c r="D861" i="13"/>
  <c r="C861" i="13"/>
  <c r="B861" i="13"/>
  <c r="A861" i="13"/>
  <c r="AG860" i="13"/>
  <c r="AF860" i="13"/>
  <c r="AE860" i="13"/>
  <c r="AD860" i="13"/>
  <c r="Z860" i="13"/>
  <c r="Y860" i="13"/>
  <c r="X860" i="13"/>
  <c r="W860" i="13"/>
  <c r="U860" i="13"/>
  <c r="T860" i="13"/>
  <c r="S860" i="13"/>
  <c r="R860" i="13"/>
  <c r="Q860" i="13"/>
  <c r="P860" i="13"/>
  <c r="O860" i="13"/>
  <c r="N860" i="13"/>
  <c r="M860" i="13"/>
  <c r="L860" i="13"/>
  <c r="J860" i="13"/>
  <c r="G860" i="13"/>
  <c r="F860" i="13"/>
  <c r="E860" i="13"/>
  <c r="D860" i="13"/>
  <c r="C860" i="13"/>
  <c r="B860" i="13"/>
  <c r="A860" i="13"/>
  <c r="AG859" i="13"/>
  <c r="AF859" i="13"/>
  <c r="AE859" i="13"/>
  <c r="AD859" i="13"/>
  <c r="Z859" i="13"/>
  <c r="Y859" i="13"/>
  <c r="X859" i="13"/>
  <c r="W859" i="13"/>
  <c r="U859" i="13"/>
  <c r="T859" i="13"/>
  <c r="S859" i="13"/>
  <c r="R859" i="13"/>
  <c r="Q859" i="13"/>
  <c r="P859" i="13"/>
  <c r="O859" i="13"/>
  <c r="N859" i="13"/>
  <c r="M859" i="13"/>
  <c r="L859" i="13"/>
  <c r="J859" i="13"/>
  <c r="G859" i="13"/>
  <c r="F859" i="13"/>
  <c r="E859" i="13"/>
  <c r="D859" i="13"/>
  <c r="C859" i="13"/>
  <c r="B859" i="13"/>
  <c r="A859" i="13"/>
  <c r="AG858" i="13"/>
  <c r="AF858" i="13"/>
  <c r="AE858" i="13"/>
  <c r="AD858" i="13"/>
  <c r="Z858" i="13"/>
  <c r="Y858" i="13"/>
  <c r="X858" i="13"/>
  <c r="W858" i="13"/>
  <c r="U858" i="13"/>
  <c r="T858" i="13"/>
  <c r="S858" i="13"/>
  <c r="R858" i="13"/>
  <c r="Q858" i="13"/>
  <c r="P858" i="13"/>
  <c r="O858" i="13"/>
  <c r="N858" i="13"/>
  <c r="M858" i="13"/>
  <c r="L858" i="13"/>
  <c r="J858" i="13"/>
  <c r="G858" i="13"/>
  <c r="F858" i="13"/>
  <c r="E858" i="13"/>
  <c r="D858" i="13"/>
  <c r="C858" i="13"/>
  <c r="B858" i="13"/>
  <c r="A858" i="13"/>
  <c r="AG857" i="13"/>
  <c r="AF857" i="13"/>
  <c r="AE857" i="13"/>
  <c r="AD857" i="13"/>
  <c r="Z857" i="13"/>
  <c r="Y857" i="13"/>
  <c r="X857" i="13"/>
  <c r="W857" i="13"/>
  <c r="U857" i="13"/>
  <c r="T857" i="13"/>
  <c r="S857" i="13"/>
  <c r="R857" i="13"/>
  <c r="Q857" i="13"/>
  <c r="P857" i="13"/>
  <c r="O857" i="13"/>
  <c r="N857" i="13"/>
  <c r="M857" i="13"/>
  <c r="L857" i="13"/>
  <c r="J857" i="13"/>
  <c r="G857" i="13"/>
  <c r="F857" i="13"/>
  <c r="E857" i="13"/>
  <c r="D857" i="13"/>
  <c r="C857" i="13"/>
  <c r="B857" i="13"/>
  <c r="A857" i="13"/>
  <c r="AG856" i="13"/>
  <c r="AF856" i="13"/>
  <c r="AE856" i="13"/>
  <c r="AD856" i="13"/>
  <c r="Z856" i="13"/>
  <c r="Y856" i="13"/>
  <c r="X856" i="13"/>
  <c r="W856" i="13"/>
  <c r="U856" i="13"/>
  <c r="T856" i="13"/>
  <c r="S856" i="13"/>
  <c r="R856" i="13"/>
  <c r="Q856" i="13"/>
  <c r="P856" i="13"/>
  <c r="O856" i="13"/>
  <c r="N856" i="13"/>
  <c r="M856" i="13"/>
  <c r="L856" i="13"/>
  <c r="J856" i="13"/>
  <c r="G856" i="13"/>
  <c r="F856" i="13"/>
  <c r="E856" i="13"/>
  <c r="D856" i="13"/>
  <c r="C856" i="13"/>
  <c r="B856" i="13"/>
  <c r="A856" i="13"/>
  <c r="AG855" i="13"/>
  <c r="AF855" i="13"/>
  <c r="AE855" i="13"/>
  <c r="AD855" i="13"/>
  <c r="Z855" i="13"/>
  <c r="Y855" i="13"/>
  <c r="X855" i="13"/>
  <c r="W855" i="13"/>
  <c r="U855" i="13"/>
  <c r="T855" i="13"/>
  <c r="S855" i="13"/>
  <c r="R855" i="13"/>
  <c r="Q855" i="13"/>
  <c r="P855" i="13"/>
  <c r="O855" i="13"/>
  <c r="N855" i="13"/>
  <c r="M855" i="13"/>
  <c r="L855" i="13"/>
  <c r="J855" i="13"/>
  <c r="G855" i="13"/>
  <c r="F855" i="13"/>
  <c r="E855" i="13"/>
  <c r="D855" i="13"/>
  <c r="C855" i="13"/>
  <c r="B855" i="13"/>
  <c r="A855" i="13"/>
  <c r="AG854" i="13"/>
  <c r="AF854" i="13"/>
  <c r="AE854" i="13"/>
  <c r="AD854" i="13"/>
  <c r="Z854" i="13"/>
  <c r="Y854" i="13"/>
  <c r="X854" i="13"/>
  <c r="W854" i="13"/>
  <c r="U854" i="13"/>
  <c r="T854" i="13"/>
  <c r="S854" i="13"/>
  <c r="R854" i="13"/>
  <c r="Q854" i="13"/>
  <c r="P854" i="13"/>
  <c r="O854" i="13"/>
  <c r="N854" i="13"/>
  <c r="M854" i="13"/>
  <c r="L854" i="13"/>
  <c r="J854" i="13"/>
  <c r="G854" i="13"/>
  <c r="F854" i="13"/>
  <c r="E854" i="13"/>
  <c r="D854" i="13"/>
  <c r="C854" i="13"/>
  <c r="B854" i="13"/>
  <c r="A854" i="13"/>
  <c r="AG853" i="13"/>
  <c r="AF853" i="13"/>
  <c r="AE853" i="13"/>
  <c r="AD853" i="13"/>
  <c r="Z853" i="13"/>
  <c r="Y853" i="13"/>
  <c r="X853" i="13"/>
  <c r="W853" i="13"/>
  <c r="U853" i="13"/>
  <c r="T853" i="13"/>
  <c r="S853" i="13"/>
  <c r="R853" i="13"/>
  <c r="Q853" i="13"/>
  <c r="P853" i="13"/>
  <c r="O853" i="13"/>
  <c r="N853" i="13"/>
  <c r="M853" i="13"/>
  <c r="L853" i="13"/>
  <c r="J853" i="13"/>
  <c r="G853" i="13"/>
  <c r="F853" i="13"/>
  <c r="E853" i="13"/>
  <c r="D853" i="13"/>
  <c r="C853" i="13"/>
  <c r="B853" i="13"/>
  <c r="A853" i="13"/>
  <c r="AG852" i="13"/>
  <c r="AF852" i="13"/>
  <c r="AE852" i="13"/>
  <c r="AD852" i="13"/>
  <c r="Z852" i="13"/>
  <c r="Y852" i="13"/>
  <c r="X852" i="13"/>
  <c r="W852" i="13"/>
  <c r="U852" i="13"/>
  <c r="T852" i="13"/>
  <c r="S852" i="13"/>
  <c r="R852" i="13"/>
  <c r="Q852" i="13"/>
  <c r="P852" i="13"/>
  <c r="O852" i="13"/>
  <c r="N852" i="13"/>
  <c r="M852" i="13"/>
  <c r="L852" i="13"/>
  <c r="J852" i="13"/>
  <c r="G852" i="13"/>
  <c r="F852" i="13"/>
  <c r="E852" i="13"/>
  <c r="D852" i="13"/>
  <c r="C852" i="13"/>
  <c r="B852" i="13"/>
  <c r="A852" i="13"/>
  <c r="AG851" i="13"/>
  <c r="AF851" i="13"/>
  <c r="AE851" i="13"/>
  <c r="AD851" i="13"/>
  <c r="Z851" i="13"/>
  <c r="Y851" i="13"/>
  <c r="X851" i="13"/>
  <c r="W851" i="13"/>
  <c r="U851" i="13"/>
  <c r="T851" i="13"/>
  <c r="S851" i="13"/>
  <c r="R851" i="13"/>
  <c r="Q851" i="13"/>
  <c r="P851" i="13"/>
  <c r="O851" i="13"/>
  <c r="N851" i="13"/>
  <c r="M851" i="13"/>
  <c r="L851" i="13"/>
  <c r="J851" i="13"/>
  <c r="G851" i="13"/>
  <c r="F851" i="13"/>
  <c r="E851" i="13"/>
  <c r="D851" i="13"/>
  <c r="C851" i="13"/>
  <c r="B851" i="13"/>
  <c r="A851" i="13"/>
  <c r="AG850" i="13"/>
  <c r="AF850" i="13"/>
  <c r="AE850" i="13"/>
  <c r="AD850" i="13"/>
  <c r="Z850" i="13"/>
  <c r="Y850" i="13"/>
  <c r="X850" i="13"/>
  <c r="W850" i="13"/>
  <c r="U850" i="13"/>
  <c r="T850" i="13"/>
  <c r="S850" i="13"/>
  <c r="R850" i="13"/>
  <c r="Q850" i="13"/>
  <c r="P850" i="13"/>
  <c r="O850" i="13"/>
  <c r="N850" i="13"/>
  <c r="M850" i="13"/>
  <c r="L850" i="13"/>
  <c r="J850" i="13"/>
  <c r="G850" i="13"/>
  <c r="F850" i="13"/>
  <c r="E850" i="13"/>
  <c r="D850" i="13"/>
  <c r="C850" i="13"/>
  <c r="B850" i="13"/>
  <c r="A850" i="13"/>
  <c r="AG849" i="13"/>
  <c r="AF849" i="13"/>
  <c r="AE849" i="13"/>
  <c r="AD849" i="13"/>
  <c r="Z849" i="13"/>
  <c r="Y849" i="13"/>
  <c r="X849" i="13"/>
  <c r="W849" i="13"/>
  <c r="U849" i="13"/>
  <c r="T849" i="13"/>
  <c r="S849" i="13"/>
  <c r="R849" i="13"/>
  <c r="Q849" i="13"/>
  <c r="P849" i="13"/>
  <c r="O849" i="13"/>
  <c r="N849" i="13"/>
  <c r="M849" i="13"/>
  <c r="L849" i="13"/>
  <c r="J849" i="13"/>
  <c r="G849" i="13"/>
  <c r="F849" i="13"/>
  <c r="E849" i="13"/>
  <c r="D849" i="13"/>
  <c r="C849" i="13"/>
  <c r="B849" i="13"/>
  <c r="A849" i="13"/>
  <c r="AG848" i="13"/>
  <c r="AF848" i="13"/>
  <c r="AE848" i="13"/>
  <c r="AD848" i="13"/>
  <c r="Z848" i="13"/>
  <c r="Y848" i="13"/>
  <c r="X848" i="13"/>
  <c r="W848" i="13"/>
  <c r="U848" i="13"/>
  <c r="T848" i="13"/>
  <c r="S848" i="13"/>
  <c r="R848" i="13"/>
  <c r="Q848" i="13"/>
  <c r="P848" i="13"/>
  <c r="O848" i="13"/>
  <c r="N848" i="13"/>
  <c r="M848" i="13"/>
  <c r="L848" i="13"/>
  <c r="J848" i="13"/>
  <c r="G848" i="13"/>
  <c r="F848" i="13"/>
  <c r="E848" i="13"/>
  <c r="D848" i="13"/>
  <c r="C848" i="13"/>
  <c r="B848" i="13"/>
  <c r="A848" i="13"/>
  <c r="AG847" i="13"/>
  <c r="AF847" i="13"/>
  <c r="AE847" i="13"/>
  <c r="AD847" i="13"/>
  <c r="Z847" i="13"/>
  <c r="Y847" i="13"/>
  <c r="X847" i="13"/>
  <c r="W847" i="13"/>
  <c r="U847" i="13"/>
  <c r="T847" i="13"/>
  <c r="S847" i="13"/>
  <c r="R847" i="13"/>
  <c r="Q847" i="13"/>
  <c r="P847" i="13"/>
  <c r="O847" i="13"/>
  <c r="N847" i="13"/>
  <c r="M847" i="13"/>
  <c r="L847" i="13"/>
  <c r="J847" i="13"/>
  <c r="G847" i="13"/>
  <c r="F847" i="13"/>
  <c r="E847" i="13"/>
  <c r="D847" i="13"/>
  <c r="C847" i="13"/>
  <c r="B847" i="13"/>
  <c r="A847" i="13"/>
  <c r="AG846" i="13"/>
  <c r="AF846" i="13"/>
  <c r="AE846" i="13"/>
  <c r="AD846" i="13"/>
  <c r="Z846" i="13"/>
  <c r="Y846" i="13"/>
  <c r="X846" i="13"/>
  <c r="W846" i="13"/>
  <c r="U846" i="13"/>
  <c r="T846" i="13"/>
  <c r="S846" i="13"/>
  <c r="R846" i="13"/>
  <c r="Q846" i="13"/>
  <c r="P846" i="13"/>
  <c r="O846" i="13"/>
  <c r="N846" i="13"/>
  <c r="M846" i="13"/>
  <c r="L846" i="13"/>
  <c r="J846" i="13"/>
  <c r="G846" i="13"/>
  <c r="F846" i="13"/>
  <c r="E846" i="13"/>
  <c r="D846" i="13"/>
  <c r="C846" i="13"/>
  <c r="B846" i="13"/>
  <c r="A846" i="13"/>
  <c r="AG845" i="13"/>
  <c r="AF845" i="13"/>
  <c r="AE845" i="13"/>
  <c r="AD845" i="13"/>
  <c r="Z845" i="13"/>
  <c r="Y845" i="13"/>
  <c r="X845" i="13"/>
  <c r="W845" i="13"/>
  <c r="U845" i="13"/>
  <c r="T845" i="13"/>
  <c r="S845" i="13"/>
  <c r="R845" i="13"/>
  <c r="Q845" i="13"/>
  <c r="P845" i="13"/>
  <c r="O845" i="13"/>
  <c r="N845" i="13"/>
  <c r="M845" i="13"/>
  <c r="L845" i="13"/>
  <c r="J845" i="13"/>
  <c r="G845" i="13"/>
  <c r="F845" i="13"/>
  <c r="E845" i="13"/>
  <c r="D845" i="13"/>
  <c r="C845" i="13"/>
  <c r="B845" i="13"/>
  <c r="A845" i="13"/>
  <c r="AG844" i="13"/>
  <c r="AF844" i="13"/>
  <c r="AE844" i="13"/>
  <c r="AD844" i="13"/>
  <c r="Z844" i="13"/>
  <c r="Y844" i="13"/>
  <c r="X844" i="13"/>
  <c r="W844" i="13"/>
  <c r="U844" i="13"/>
  <c r="T844" i="13"/>
  <c r="S844" i="13"/>
  <c r="R844" i="13"/>
  <c r="Q844" i="13"/>
  <c r="P844" i="13"/>
  <c r="O844" i="13"/>
  <c r="N844" i="13"/>
  <c r="M844" i="13"/>
  <c r="L844" i="13"/>
  <c r="J844" i="13"/>
  <c r="G844" i="13"/>
  <c r="F844" i="13"/>
  <c r="E844" i="13"/>
  <c r="D844" i="13"/>
  <c r="C844" i="13"/>
  <c r="B844" i="13"/>
  <c r="A844" i="13"/>
  <c r="AG843" i="13"/>
  <c r="AF843" i="13"/>
  <c r="AE843" i="13"/>
  <c r="AD843" i="13"/>
  <c r="Z843" i="13"/>
  <c r="Y843" i="13"/>
  <c r="X843" i="13"/>
  <c r="W843" i="13"/>
  <c r="U843" i="13"/>
  <c r="T843" i="13"/>
  <c r="S843" i="13"/>
  <c r="R843" i="13"/>
  <c r="Q843" i="13"/>
  <c r="P843" i="13"/>
  <c r="O843" i="13"/>
  <c r="N843" i="13"/>
  <c r="M843" i="13"/>
  <c r="L843" i="13"/>
  <c r="J843" i="13"/>
  <c r="G843" i="13"/>
  <c r="F843" i="13"/>
  <c r="E843" i="13"/>
  <c r="D843" i="13"/>
  <c r="C843" i="13"/>
  <c r="B843" i="13"/>
  <c r="A843" i="13"/>
  <c r="AG842" i="13"/>
  <c r="AF842" i="13"/>
  <c r="AE842" i="13"/>
  <c r="AD842" i="13"/>
  <c r="Z842" i="13"/>
  <c r="Y842" i="13"/>
  <c r="X842" i="13"/>
  <c r="W842" i="13"/>
  <c r="U842" i="13"/>
  <c r="T842" i="13"/>
  <c r="S842" i="13"/>
  <c r="R842" i="13"/>
  <c r="Q842" i="13"/>
  <c r="P842" i="13"/>
  <c r="O842" i="13"/>
  <c r="N842" i="13"/>
  <c r="M842" i="13"/>
  <c r="L842" i="13"/>
  <c r="J842" i="13"/>
  <c r="G842" i="13"/>
  <c r="F842" i="13"/>
  <c r="E842" i="13"/>
  <c r="D842" i="13"/>
  <c r="C842" i="13"/>
  <c r="B842" i="13"/>
  <c r="A842" i="13"/>
  <c r="AG841" i="13"/>
  <c r="AF841" i="13"/>
  <c r="AE841" i="13"/>
  <c r="AD841" i="13"/>
  <c r="Z841" i="13"/>
  <c r="Y841" i="13"/>
  <c r="X841" i="13"/>
  <c r="W841" i="13"/>
  <c r="U841" i="13"/>
  <c r="T841" i="13"/>
  <c r="S841" i="13"/>
  <c r="R841" i="13"/>
  <c r="Q841" i="13"/>
  <c r="P841" i="13"/>
  <c r="O841" i="13"/>
  <c r="N841" i="13"/>
  <c r="M841" i="13"/>
  <c r="L841" i="13"/>
  <c r="J841" i="13"/>
  <c r="G841" i="13"/>
  <c r="F841" i="13"/>
  <c r="E841" i="13"/>
  <c r="D841" i="13"/>
  <c r="C841" i="13"/>
  <c r="B841" i="13"/>
  <c r="A841" i="13"/>
  <c r="AG840" i="13"/>
  <c r="AF840" i="13"/>
  <c r="AE840" i="13"/>
  <c r="AD840" i="13"/>
  <c r="Z840" i="13"/>
  <c r="Y840" i="13"/>
  <c r="X840" i="13"/>
  <c r="W840" i="13"/>
  <c r="U840" i="13"/>
  <c r="T840" i="13"/>
  <c r="S840" i="13"/>
  <c r="R840" i="13"/>
  <c r="Q840" i="13"/>
  <c r="P840" i="13"/>
  <c r="O840" i="13"/>
  <c r="N840" i="13"/>
  <c r="M840" i="13"/>
  <c r="L840" i="13"/>
  <c r="J840" i="13"/>
  <c r="G840" i="13"/>
  <c r="F840" i="13"/>
  <c r="E840" i="13"/>
  <c r="D840" i="13"/>
  <c r="C840" i="13"/>
  <c r="B840" i="13"/>
  <c r="A840" i="13"/>
  <c r="AG839" i="13"/>
  <c r="AF839" i="13"/>
  <c r="AE839" i="13"/>
  <c r="AD839" i="13"/>
  <c r="Z839" i="13"/>
  <c r="Y839" i="13"/>
  <c r="X839" i="13"/>
  <c r="W839" i="13"/>
  <c r="U839" i="13"/>
  <c r="T839" i="13"/>
  <c r="S839" i="13"/>
  <c r="R839" i="13"/>
  <c r="Q839" i="13"/>
  <c r="P839" i="13"/>
  <c r="O839" i="13"/>
  <c r="N839" i="13"/>
  <c r="M839" i="13"/>
  <c r="L839" i="13"/>
  <c r="J839" i="13"/>
  <c r="G839" i="13"/>
  <c r="F839" i="13"/>
  <c r="E839" i="13"/>
  <c r="D839" i="13"/>
  <c r="C839" i="13"/>
  <c r="B839" i="13"/>
  <c r="A839" i="13"/>
  <c r="AG838" i="13"/>
  <c r="AF838" i="13"/>
  <c r="AE838" i="13"/>
  <c r="AD838" i="13"/>
  <c r="Z838" i="13"/>
  <c r="Y838" i="13"/>
  <c r="X838" i="13"/>
  <c r="W838" i="13"/>
  <c r="U838" i="13"/>
  <c r="T838" i="13"/>
  <c r="S838" i="13"/>
  <c r="R838" i="13"/>
  <c r="Q838" i="13"/>
  <c r="P838" i="13"/>
  <c r="O838" i="13"/>
  <c r="N838" i="13"/>
  <c r="M838" i="13"/>
  <c r="L838" i="13"/>
  <c r="J838" i="13"/>
  <c r="G838" i="13"/>
  <c r="F838" i="13"/>
  <c r="E838" i="13"/>
  <c r="D838" i="13"/>
  <c r="C838" i="13"/>
  <c r="B838" i="13"/>
  <c r="A838" i="13"/>
  <c r="AG837" i="13"/>
  <c r="AF837" i="13"/>
  <c r="AE837" i="13"/>
  <c r="AD837" i="13"/>
  <c r="Z837" i="13"/>
  <c r="Y837" i="13"/>
  <c r="X837" i="13"/>
  <c r="W837" i="13"/>
  <c r="U837" i="13"/>
  <c r="T837" i="13"/>
  <c r="S837" i="13"/>
  <c r="R837" i="13"/>
  <c r="Q837" i="13"/>
  <c r="P837" i="13"/>
  <c r="O837" i="13"/>
  <c r="N837" i="13"/>
  <c r="M837" i="13"/>
  <c r="L837" i="13"/>
  <c r="J837" i="13"/>
  <c r="G837" i="13"/>
  <c r="F837" i="13"/>
  <c r="E837" i="13"/>
  <c r="D837" i="13"/>
  <c r="C837" i="13"/>
  <c r="B837" i="13"/>
  <c r="A837" i="13"/>
  <c r="AG836" i="13"/>
  <c r="AF836" i="13"/>
  <c r="AE836" i="13"/>
  <c r="AD836" i="13"/>
  <c r="Z836" i="13"/>
  <c r="Y836" i="13"/>
  <c r="X836" i="13"/>
  <c r="W836" i="13"/>
  <c r="U836" i="13"/>
  <c r="T836" i="13"/>
  <c r="S836" i="13"/>
  <c r="R836" i="13"/>
  <c r="Q836" i="13"/>
  <c r="O836" i="13"/>
  <c r="N836" i="13"/>
  <c r="M836" i="13"/>
  <c r="L836" i="13"/>
  <c r="G836" i="13"/>
  <c r="F836" i="13"/>
  <c r="E836" i="13"/>
  <c r="D836" i="13"/>
  <c r="C836" i="13"/>
  <c r="B836" i="13"/>
  <c r="A836" i="13"/>
  <c r="AG835" i="13"/>
  <c r="AF835" i="13"/>
  <c r="AE835" i="13"/>
  <c r="AD835" i="13"/>
  <c r="Z835" i="13"/>
  <c r="Y835" i="13"/>
  <c r="X835" i="13"/>
  <c r="W835" i="13"/>
  <c r="U835" i="13"/>
  <c r="T835" i="13"/>
  <c r="S835" i="13"/>
  <c r="R835" i="13"/>
  <c r="Q835" i="13"/>
  <c r="O835" i="13"/>
  <c r="N835" i="13"/>
  <c r="M835" i="13"/>
  <c r="L835" i="13"/>
  <c r="G835" i="13"/>
  <c r="F835" i="13"/>
  <c r="E835" i="13"/>
  <c r="D835" i="13"/>
  <c r="C835" i="13"/>
  <c r="B835" i="13"/>
  <c r="A835" i="13"/>
  <c r="AG834" i="13"/>
  <c r="AF834" i="13"/>
  <c r="AE834" i="13"/>
  <c r="AD834" i="13"/>
  <c r="Z834" i="13"/>
  <c r="Y834" i="13"/>
  <c r="X834" i="13"/>
  <c r="W834" i="13"/>
  <c r="U834" i="13"/>
  <c r="T834" i="13"/>
  <c r="S834" i="13"/>
  <c r="R834" i="13"/>
  <c r="Q834" i="13"/>
  <c r="O834" i="13"/>
  <c r="N834" i="13"/>
  <c r="M834" i="13"/>
  <c r="L834" i="13"/>
  <c r="G834" i="13"/>
  <c r="F834" i="13"/>
  <c r="E834" i="13"/>
  <c r="D834" i="13"/>
  <c r="C834" i="13"/>
  <c r="B834" i="13"/>
  <c r="A834" i="13"/>
  <c r="AG833" i="13"/>
  <c r="AF833" i="13"/>
  <c r="AE833" i="13"/>
  <c r="AD833" i="13"/>
  <c r="Z833" i="13"/>
  <c r="Y833" i="13"/>
  <c r="X833" i="13"/>
  <c r="W833" i="13"/>
  <c r="U833" i="13"/>
  <c r="T833" i="13"/>
  <c r="S833" i="13"/>
  <c r="R833" i="13"/>
  <c r="Q833" i="13"/>
  <c r="O833" i="13"/>
  <c r="N833" i="13"/>
  <c r="M833" i="13"/>
  <c r="L833" i="13"/>
  <c r="G833" i="13"/>
  <c r="F833" i="13"/>
  <c r="E833" i="13"/>
  <c r="D833" i="13"/>
  <c r="C833" i="13"/>
  <c r="B833" i="13"/>
  <c r="A833" i="13"/>
  <c r="AG832" i="13"/>
  <c r="AF832" i="13"/>
  <c r="AE832" i="13"/>
  <c r="AD832" i="13"/>
  <c r="Z832" i="13"/>
  <c r="Y832" i="13"/>
  <c r="X832" i="13"/>
  <c r="W832" i="13"/>
  <c r="U832" i="13"/>
  <c r="T832" i="13"/>
  <c r="S832" i="13"/>
  <c r="R832" i="13"/>
  <c r="Q832" i="13"/>
  <c r="O832" i="13"/>
  <c r="N832" i="13"/>
  <c r="M832" i="13"/>
  <c r="L832" i="13"/>
  <c r="G832" i="13"/>
  <c r="F832" i="13"/>
  <c r="E832" i="13"/>
  <c r="D832" i="13"/>
  <c r="C832" i="13"/>
  <c r="B832" i="13"/>
  <c r="A832" i="13"/>
  <c r="AG831" i="13"/>
  <c r="AF831" i="13"/>
  <c r="AE831" i="13"/>
  <c r="AD831" i="13"/>
  <c r="Z831" i="13"/>
  <c r="Y831" i="13"/>
  <c r="X831" i="13"/>
  <c r="W831" i="13"/>
  <c r="U831" i="13"/>
  <c r="T831" i="13"/>
  <c r="S831" i="13"/>
  <c r="R831" i="13"/>
  <c r="Q831" i="13"/>
  <c r="O831" i="13"/>
  <c r="N831" i="13"/>
  <c r="M831" i="13"/>
  <c r="L831" i="13"/>
  <c r="G831" i="13"/>
  <c r="F831" i="13"/>
  <c r="E831" i="13"/>
  <c r="D831" i="13"/>
  <c r="C831" i="13"/>
  <c r="B831" i="13"/>
  <c r="A831" i="13"/>
  <c r="AG830" i="13"/>
  <c r="AF830" i="13"/>
  <c r="AE830" i="13"/>
  <c r="AD830" i="13"/>
  <c r="Z830" i="13"/>
  <c r="Y830" i="13"/>
  <c r="X830" i="13"/>
  <c r="W830" i="13"/>
  <c r="U830" i="13"/>
  <c r="T830" i="13"/>
  <c r="S830" i="13"/>
  <c r="R830" i="13"/>
  <c r="Q830" i="13"/>
  <c r="O830" i="13"/>
  <c r="N830" i="13"/>
  <c r="M830" i="13"/>
  <c r="L830" i="13"/>
  <c r="G830" i="13"/>
  <c r="F830" i="13"/>
  <c r="E830" i="13"/>
  <c r="D830" i="13"/>
  <c r="C830" i="13"/>
  <c r="B830" i="13"/>
  <c r="A830" i="13"/>
  <c r="AG829" i="13"/>
  <c r="AF829" i="13"/>
  <c r="AE829" i="13"/>
  <c r="AD829" i="13"/>
  <c r="Z829" i="13"/>
  <c r="Y829" i="13"/>
  <c r="X829" i="13"/>
  <c r="W829" i="13"/>
  <c r="U829" i="13"/>
  <c r="T829" i="13"/>
  <c r="S829" i="13"/>
  <c r="R829" i="13"/>
  <c r="Q829" i="13"/>
  <c r="O829" i="13"/>
  <c r="N829" i="13"/>
  <c r="M829" i="13"/>
  <c r="L829" i="13"/>
  <c r="G829" i="13"/>
  <c r="F829" i="13"/>
  <c r="E829" i="13"/>
  <c r="D829" i="13"/>
  <c r="C829" i="13"/>
  <c r="B829" i="13"/>
  <c r="A829" i="13"/>
  <c r="AG828" i="13"/>
  <c r="AF828" i="13"/>
  <c r="AE828" i="13"/>
  <c r="AD828" i="13"/>
  <c r="Z828" i="13"/>
  <c r="Y828" i="13"/>
  <c r="X828" i="13"/>
  <c r="W828" i="13"/>
  <c r="U828" i="13"/>
  <c r="T828" i="13"/>
  <c r="S828" i="13"/>
  <c r="R828" i="13"/>
  <c r="Q828" i="13"/>
  <c r="O828" i="13"/>
  <c r="N828" i="13"/>
  <c r="M828" i="13"/>
  <c r="L828" i="13"/>
  <c r="G828" i="13"/>
  <c r="F828" i="13"/>
  <c r="E828" i="13"/>
  <c r="D828" i="13"/>
  <c r="C828" i="13"/>
  <c r="B828" i="13"/>
  <c r="A828" i="13"/>
  <c r="AG827" i="13"/>
  <c r="AF827" i="13"/>
  <c r="AE827" i="13"/>
  <c r="AD827" i="13"/>
  <c r="Z827" i="13"/>
  <c r="Y827" i="13"/>
  <c r="X827" i="13"/>
  <c r="W827" i="13"/>
  <c r="U827" i="13"/>
  <c r="T827" i="13"/>
  <c r="S827" i="13"/>
  <c r="R827" i="13"/>
  <c r="Q827" i="13"/>
  <c r="O827" i="13"/>
  <c r="N827" i="13"/>
  <c r="M827" i="13"/>
  <c r="L827" i="13"/>
  <c r="G827" i="13"/>
  <c r="F827" i="13"/>
  <c r="E827" i="13"/>
  <c r="D827" i="13"/>
  <c r="C827" i="13"/>
  <c r="B827" i="13"/>
  <c r="A827" i="13"/>
  <c r="AG826" i="13"/>
  <c r="AF826" i="13"/>
  <c r="AE826" i="13"/>
  <c r="AD826" i="13"/>
  <c r="Z826" i="13"/>
  <c r="Y826" i="13"/>
  <c r="X826" i="13"/>
  <c r="W826" i="13"/>
  <c r="U826" i="13"/>
  <c r="T826" i="13"/>
  <c r="S826" i="13"/>
  <c r="R826" i="13"/>
  <c r="Q826" i="13"/>
  <c r="O826" i="13"/>
  <c r="N826" i="13"/>
  <c r="M826" i="13"/>
  <c r="L826" i="13"/>
  <c r="G826" i="13"/>
  <c r="F826" i="13"/>
  <c r="E826" i="13"/>
  <c r="D826" i="13"/>
  <c r="C826" i="13"/>
  <c r="B826" i="13"/>
  <c r="A826" i="13"/>
  <c r="AG825" i="13"/>
  <c r="AF825" i="13"/>
  <c r="AE825" i="13"/>
  <c r="AD825" i="13"/>
  <c r="Z825" i="13"/>
  <c r="Y825" i="13"/>
  <c r="X825" i="13"/>
  <c r="W825" i="13"/>
  <c r="U825" i="13"/>
  <c r="T825" i="13"/>
  <c r="S825" i="13"/>
  <c r="R825" i="13"/>
  <c r="Q825" i="13"/>
  <c r="O825" i="13"/>
  <c r="N825" i="13"/>
  <c r="M825" i="13"/>
  <c r="L825" i="13"/>
  <c r="G825" i="13"/>
  <c r="F825" i="13"/>
  <c r="E825" i="13"/>
  <c r="D825" i="13"/>
  <c r="C825" i="13"/>
  <c r="B825" i="13"/>
  <c r="A825" i="13"/>
  <c r="AG824" i="13"/>
  <c r="AF824" i="13"/>
  <c r="AE824" i="13"/>
  <c r="AD824" i="13"/>
  <c r="Z824" i="13"/>
  <c r="Y824" i="13"/>
  <c r="X824" i="13"/>
  <c r="W824" i="13"/>
  <c r="U824" i="13"/>
  <c r="T824" i="13"/>
  <c r="S824" i="13"/>
  <c r="R824" i="13"/>
  <c r="Q824" i="13"/>
  <c r="O824" i="13"/>
  <c r="N824" i="13"/>
  <c r="M824" i="13"/>
  <c r="L824" i="13"/>
  <c r="G824" i="13"/>
  <c r="F824" i="13"/>
  <c r="E824" i="13"/>
  <c r="D824" i="13"/>
  <c r="C824" i="13"/>
  <c r="B824" i="13"/>
  <c r="A824" i="13"/>
  <c r="AG823" i="13"/>
  <c r="AF823" i="13"/>
  <c r="AE823" i="13"/>
  <c r="AD823" i="13"/>
  <c r="Z823" i="13"/>
  <c r="Y823" i="13"/>
  <c r="X823" i="13"/>
  <c r="W823" i="13"/>
  <c r="U823" i="13"/>
  <c r="T823" i="13"/>
  <c r="S823" i="13"/>
  <c r="R823" i="13"/>
  <c r="Q823" i="13"/>
  <c r="O823" i="13"/>
  <c r="N823" i="13"/>
  <c r="M823" i="13"/>
  <c r="L823" i="13"/>
  <c r="G823" i="13"/>
  <c r="F823" i="13"/>
  <c r="E823" i="13"/>
  <c r="D823" i="13"/>
  <c r="C823" i="13"/>
  <c r="B823" i="13"/>
  <c r="A823" i="13"/>
  <c r="AG822" i="13"/>
  <c r="AF822" i="13"/>
  <c r="AE822" i="13"/>
  <c r="AD822" i="13"/>
  <c r="Z822" i="13"/>
  <c r="Y822" i="13"/>
  <c r="X822" i="13"/>
  <c r="W822" i="13"/>
  <c r="U822" i="13"/>
  <c r="T822" i="13"/>
  <c r="S822" i="13"/>
  <c r="R822" i="13"/>
  <c r="Q822" i="13"/>
  <c r="O822" i="13"/>
  <c r="N822" i="13"/>
  <c r="M822" i="13"/>
  <c r="L822" i="13"/>
  <c r="G822" i="13"/>
  <c r="F822" i="13"/>
  <c r="E822" i="13"/>
  <c r="D822" i="13"/>
  <c r="C822" i="13"/>
  <c r="B822" i="13"/>
  <c r="A822" i="13"/>
  <c r="AG821" i="13"/>
  <c r="AF821" i="13"/>
  <c r="AE821" i="13"/>
  <c r="AD821" i="13"/>
  <c r="Z821" i="13"/>
  <c r="Y821" i="13"/>
  <c r="X821" i="13"/>
  <c r="W821" i="13"/>
  <c r="U821" i="13"/>
  <c r="T821" i="13"/>
  <c r="S821" i="13"/>
  <c r="R821" i="13"/>
  <c r="Q821" i="13"/>
  <c r="O821" i="13"/>
  <c r="N821" i="13"/>
  <c r="M821" i="13"/>
  <c r="L821" i="13"/>
  <c r="G821" i="13"/>
  <c r="F821" i="13"/>
  <c r="E821" i="13"/>
  <c r="D821" i="13"/>
  <c r="C821" i="13"/>
  <c r="B821" i="13"/>
  <c r="A821" i="13"/>
  <c r="AG820" i="13"/>
  <c r="AF820" i="13"/>
  <c r="AE820" i="13"/>
  <c r="AD820" i="13"/>
  <c r="Z820" i="13"/>
  <c r="Y820" i="13"/>
  <c r="X820" i="13"/>
  <c r="W820" i="13"/>
  <c r="U820" i="13"/>
  <c r="T820" i="13"/>
  <c r="S820" i="13"/>
  <c r="R820" i="13"/>
  <c r="Q820" i="13"/>
  <c r="P820" i="13"/>
  <c r="O820" i="13"/>
  <c r="N820" i="13"/>
  <c r="M820" i="13"/>
  <c r="L820" i="13"/>
  <c r="J820" i="13"/>
  <c r="G820" i="13"/>
  <c r="F820" i="13"/>
  <c r="E820" i="13"/>
  <c r="D820" i="13"/>
  <c r="C820" i="13"/>
  <c r="B820" i="13"/>
  <c r="A820" i="13"/>
  <c r="AG819" i="13"/>
  <c r="AF819" i="13"/>
  <c r="AE819" i="13"/>
  <c r="AD819" i="13"/>
  <c r="Z819" i="13"/>
  <c r="Y819" i="13"/>
  <c r="X819" i="13"/>
  <c r="W819" i="13"/>
  <c r="U819" i="13"/>
  <c r="T819" i="13"/>
  <c r="S819" i="13"/>
  <c r="R819" i="13"/>
  <c r="Q819" i="13"/>
  <c r="P819" i="13"/>
  <c r="O819" i="13"/>
  <c r="N819" i="13"/>
  <c r="M819" i="13"/>
  <c r="L819" i="13"/>
  <c r="J819" i="13"/>
  <c r="G819" i="13"/>
  <c r="F819" i="13"/>
  <c r="E819" i="13"/>
  <c r="D819" i="13"/>
  <c r="C819" i="13"/>
  <c r="B819" i="13"/>
  <c r="A819" i="13"/>
  <c r="AG818" i="13"/>
  <c r="AF818" i="13"/>
  <c r="AE818" i="13"/>
  <c r="AD818" i="13"/>
  <c r="Z818" i="13"/>
  <c r="Y818" i="13"/>
  <c r="X818" i="13"/>
  <c r="W818" i="13"/>
  <c r="U818" i="13"/>
  <c r="T818" i="13"/>
  <c r="S818" i="13"/>
  <c r="R818" i="13"/>
  <c r="Q818" i="13"/>
  <c r="P818" i="13"/>
  <c r="O818" i="13"/>
  <c r="N818" i="13"/>
  <c r="M818" i="13"/>
  <c r="L818" i="13"/>
  <c r="J818" i="13"/>
  <c r="G818" i="13"/>
  <c r="F818" i="13"/>
  <c r="E818" i="13"/>
  <c r="D818" i="13"/>
  <c r="C818" i="13"/>
  <c r="B818" i="13"/>
  <c r="A818" i="13"/>
  <c r="AG817" i="13"/>
  <c r="AF817" i="13"/>
  <c r="AE817" i="13"/>
  <c r="AD817" i="13"/>
  <c r="Z817" i="13"/>
  <c r="Y817" i="13"/>
  <c r="X817" i="13"/>
  <c r="W817" i="13"/>
  <c r="U817" i="13"/>
  <c r="T817" i="13"/>
  <c r="S817" i="13"/>
  <c r="R817" i="13"/>
  <c r="Q817" i="13"/>
  <c r="P817" i="13"/>
  <c r="O817" i="13"/>
  <c r="N817" i="13"/>
  <c r="M817" i="13"/>
  <c r="L817" i="13"/>
  <c r="J817" i="13"/>
  <c r="G817" i="13"/>
  <c r="F817" i="13"/>
  <c r="E817" i="13"/>
  <c r="D817" i="13"/>
  <c r="C817" i="13"/>
  <c r="B817" i="13"/>
  <c r="A817" i="13"/>
  <c r="AG816" i="13"/>
  <c r="AF816" i="13"/>
  <c r="AE816" i="13"/>
  <c r="AD816" i="13"/>
  <c r="Z816" i="13"/>
  <c r="Y816" i="13"/>
  <c r="X816" i="13"/>
  <c r="W816" i="13"/>
  <c r="U816" i="13"/>
  <c r="T816" i="13"/>
  <c r="S816" i="13"/>
  <c r="R816" i="13"/>
  <c r="Q816" i="13"/>
  <c r="P816" i="13"/>
  <c r="O816" i="13"/>
  <c r="N816" i="13"/>
  <c r="M816" i="13"/>
  <c r="L816" i="13"/>
  <c r="J816" i="13"/>
  <c r="G816" i="13"/>
  <c r="F816" i="13"/>
  <c r="E816" i="13"/>
  <c r="D816" i="13"/>
  <c r="C816" i="13"/>
  <c r="B816" i="13"/>
  <c r="A816" i="13"/>
  <c r="AG815" i="13"/>
  <c r="AF815" i="13"/>
  <c r="AE815" i="13"/>
  <c r="AD815" i="13"/>
  <c r="Z815" i="13"/>
  <c r="Y815" i="13"/>
  <c r="X815" i="13"/>
  <c r="W815" i="13"/>
  <c r="U815" i="13"/>
  <c r="T815" i="13"/>
  <c r="S815" i="13"/>
  <c r="R815" i="13"/>
  <c r="Q815" i="13"/>
  <c r="P815" i="13"/>
  <c r="O815" i="13"/>
  <c r="N815" i="13"/>
  <c r="M815" i="13"/>
  <c r="L815" i="13"/>
  <c r="J815" i="13"/>
  <c r="G815" i="13"/>
  <c r="F815" i="13"/>
  <c r="E815" i="13"/>
  <c r="D815" i="13"/>
  <c r="C815" i="13"/>
  <c r="B815" i="13"/>
  <c r="A815" i="13"/>
  <c r="AG814" i="13"/>
  <c r="AF814" i="13"/>
  <c r="AE814" i="13"/>
  <c r="AD814" i="13"/>
  <c r="Z814" i="13"/>
  <c r="Y814" i="13"/>
  <c r="X814" i="13"/>
  <c r="W814" i="13"/>
  <c r="U814" i="13"/>
  <c r="T814" i="13"/>
  <c r="S814" i="13"/>
  <c r="R814" i="13"/>
  <c r="Q814" i="13"/>
  <c r="P814" i="13"/>
  <c r="O814" i="13"/>
  <c r="N814" i="13"/>
  <c r="M814" i="13"/>
  <c r="L814" i="13"/>
  <c r="J814" i="13"/>
  <c r="G814" i="13"/>
  <c r="F814" i="13"/>
  <c r="E814" i="13"/>
  <c r="D814" i="13"/>
  <c r="C814" i="13"/>
  <c r="B814" i="13"/>
  <c r="A814" i="13"/>
  <c r="AG813" i="13"/>
  <c r="AF813" i="13"/>
  <c r="AE813" i="13"/>
  <c r="AD813" i="13"/>
  <c r="Z813" i="13"/>
  <c r="Y813" i="13"/>
  <c r="X813" i="13"/>
  <c r="W813" i="13"/>
  <c r="U813" i="13"/>
  <c r="T813" i="13"/>
  <c r="S813" i="13"/>
  <c r="R813" i="13"/>
  <c r="Q813" i="13"/>
  <c r="P813" i="13"/>
  <c r="O813" i="13"/>
  <c r="N813" i="13"/>
  <c r="M813" i="13"/>
  <c r="L813" i="13"/>
  <c r="J813" i="13"/>
  <c r="G813" i="13"/>
  <c r="F813" i="13"/>
  <c r="E813" i="13"/>
  <c r="D813" i="13"/>
  <c r="C813" i="13"/>
  <c r="B813" i="13"/>
  <c r="A813" i="13"/>
  <c r="AG812" i="13"/>
  <c r="AF812" i="13"/>
  <c r="AE812" i="13"/>
  <c r="AD812" i="13"/>
  <c r="Z812" i="13"/>
  <c r="Y812" i="13"/>
  <c r="X812" i="13"/>
  <c r="W812" i="13"/>
  <c r="U812" i="13"/>
  <c r="T812" i="13"/>
  <c r="S812" i="13"/>
  <c r="R812" i="13"/>
  <c r="Q812" i="13"/>
  <c r="P812" i="13"/>
  <c r="O812" i="13"/>
  <c r="N812" i="13"/>
  <c r="M812" i="13"/>
  <c r="L812" i="13"/>
  <c r="J812" i="13"/>
  <c r="G812" i="13"/>
  <c r="F812" i="13"/>
  <c r="E812" i="13"/>
  <c r="D812" i="13"/>
  <c r="C812" i="13"/>
  <c r="B812" i="13"/>
  <c r="A812" i="13"/>
  <c r="AG811" i="13"/>
  <c r="AF811" i="13"/>
  <c r="AE811" i="13"/>
  <c r="AD811" i="13"/>
  <c r="Z811" i="13"/>
  <c r="Y811" i="13"/>
  <c r="X811" i="13"/>
  <c r="W811" i="13"/>
  <c r="U811" i="13"/>
  <c r="T811" i="13"/>
  <c r="S811" i="13"/>
  <c r="R811" i="13"/>
  <c r="Q811" i="13"/>
  <c r="P811" i="13"/>
  <c r="O811" i="13"/>
  <c r="N811" i="13"/>
  <c r="M811" i="13"/>
  <c r="L811" i="13"/>
  <c r="J811" i="13"/>
  <c r="G811" i="13"/>
  <c r="F811" i="13"/>
  <c r="E811" i="13"/>
  <c r="D811" i="13"/>
  <c r="C811" i="13"/>
  <c r="B811" i="13"/>
  <c r="A811" i="13"/>
  <c r="AG810" i="13"/>
  <c r="AF810" i="13"/>
  <c r="AE810" i="13"/>
  <c r="AD810" i="13"/>
  <c r="Z810" i="13"/>
  <c r="Y810" i="13"/>
  <c r="X810" i="13"/>
  <c r="W810" i="13"/>
  <c r="U810" i="13"/>
  <c r="T810" i="13"/>
  <c r="S810" i="13"/>
  <c r="R810" i="13"/>
  <c r="Q810" i="13"/>
  <c r="P810" i="13"/>
  <c r="O810" i="13"/>
  <c r="N810" i="13"/>
  <c r="M810" i="13"/>
  <c r="L810" i="13"/>
  <c r="J810" i="13"/>
  <c r="G810" i="13"/>
  <c r="F810" i="13"/>
  <c r="E810" i="13"/>
  <c r="D810" i="13"/>
  <c r="C810" i="13"/>
  <c r="B810" i="13"/>
  <c r="A810" i="13"/>
  <c r="AG809" i="13"/>
  <c r="AF809" i="13"/>
  <c r="AE809" i="13"/>
  <c r="AD809" i="13"/>
  <c r="Z809" i="13"/>
  <c r="Y809" i="13"/>
  <c r="X809" i="13"/>
  <c r="W809" i="13"/>
  <c r="U809" i="13"/>
  <c r="T809" i="13"/>
  <c r="S809" i="13"/>
  <c r="R809" i="13"/>
  <c r="Q809" i="13"/>
  <c r="P809" i="13"/>
  <c r="O809" i="13"/>
  <c r="N809" i="13"/>
  <c r="M809" i="13"/>
  <c r="L809" i="13"/>
  <c r="J809" i="13"/>
  <c r="G809" i="13"/>
  <c r="F809" i="13"/>
  <c r="E809" i="13"/>
  <c r="D809" i="13"/>
  <c r="C809" i="13"/>
  <c r="B809" i="13"/>
  <c r="A809" i="13"/>
  <c r="AG808" i="13"/>
  <c r="AF808" i="13"/>
  <c r="AE808" i="13"/>
  <c r="AD808" i="13"/>
  <c r="Z808" i="13"/>
  <c r="Y808" i="13"/>
  <c r="X808" i="13"/>
  <c r="W808" i="13"/>
  <c r="U808" i="13"/>
  <c r="T808" i="13"/>
  <c r="S808" i="13"/>
  <c r="R808" i="13"/>
  <c r="Q808" i="13"/>
  <c r="P808" i="13"/>
  <c r="O808" i="13"/>
  <c r="N808" i="13"/>
  <c r="M808" i="13"/>
  <c r="L808" i="13"/>
  <c r="J808" i="13"/>
  <c r="G808" i="13"/>
  <c r="F808" i="13"/>
  <c r="E808" i="13"/>
  <c r="D808" i="13"/>
  <c r="C808" i="13"/>
  <c r="B808" i="13"/>
  <c r="A808" i="13"/>
  <c r="AG807" i="13"/>
  <c r="AF807" i="13"/>
  <c r="AE807" i="13"/>
  <c r="AD807" i="13"/>
  <c r="Z807" i="13"/>
  <c r="Y807" i="13"/>
  <c r="X807" i="13"/>
  <c r="W807" i="13"/>
  <c r="U807" i="13"/>
  <c r="T807" i="13"/>
  <c r="S807" i="13"/>
  <c r="R807" i="13"/>
  <c r="Q807" i="13"/>
  <c r="P807" i="13"/>
  <c r="O807" i="13"/>
  <c r="N807" i="13"/>
  <c r="M807" i="13"/>
  <c r="L807" i="13"/>
  <c r="J807" i="13"/>
  <c r="G807" i="13"/>
  <c r="F807" i="13"/>
  <c r="E807" i="13"/>
  <c r="D807" i="13"/>
  <c r="C807" i="13"/>
  <c r="B807" i="13"/>
  <c r="A807" i="13"/>
  <c r="AG806" i="13"/>
  <c r="AF806" i="13"/>
  <c r="AE806" i="13"/>
  <c r="AD806" i="13"/>
  <c r="Z806" i="13"/>
  <c r="Y806" i="13"/>
  <c r="X806" i="13"/>
  <c r="W806" i="13"/>
  <c r="U806" i="13"/>
  <c r="T806" i="13"/>
  <c r="S806" i="13"/>
  <c r="R806" i="13"/>
  <c r="Q806" i="13"/>
  <c r="P806" i="13"/>
  <c r="O806" i="13"/>
  <c r="N806" i="13"/>
  <c r="M806" i="13"/>
  <c r="L806" i="13"/>
  <c r="J806" i="13"/>
  <c r="G806" i="13"/>
  <c r="F806" i="13"/>
  <c r="E806" i="13"/>
  <c r="D806" i="13"/>
  <c r="C806" i="13"/>
  <c r="B806" i="13"/>
  <c r="A806" i="13"/>
  <c r="AG805" i="13"/>
  <c r="AF805" i="13"/>
  <c r="AE805" i="13"/>
  <c r="AD805" i="13"/>
  <c r="Z805" i="13"/>
  <c r="Y805" i="13"/>
  <c r="X805" i="13"/>
  <c r="W805" i="13"/>
  <c r="U805" i="13"/>
  <c r="T805" i="13"/>
  <c r="S805" i="13"/>
  <c r="R805" i="13"/>
  <c r="Q805" i="13"/>
  <c r="P805" i="13"/>
  <c r="O805" i="13"/>
  <c r="N805" i="13"/>
  <c r="M805" i="13"/>
  <c r="L805" i="13"/>
  <c r="J805" i="13"/>
  <c r="G805" i="13"/>
  <c r="F805" i="13"/>
  <c r="E805" i="13"/>
  <c r="D805" i="13"/>
  <c r="C805" i="13"/>
  <c r="B805" i="13"/>
  <c r="A805" i="13"/>
  <c r="AG804" i="13"/>
  <c r="AF804" i="13"/>
  <c r="AE804" i="13"/>
  <c r="AD804" i="13"/>
  <c r="Z804" i="13"/>
  <c r="Y804" i="13"/>
  <c r="X804" i="13"/>
  <c r="W804" i="13"/>
  <c r="U804" i="13"/>
  <c r="T804" i="13"/>
  <c r="S804" i="13"/>
  <c r="R804" i="13"/>
  <c r="Q804" i="13"/>
  <c r="P804" i="13"/>
  <c r="O804" i="13"/>
  <c r="N804" i="13"/>
  <c r="M804" i="13"/>
  <c r="L804" i="13"/>
  <c r="J804" i="13"/>
  <c r="G804" i="13"/>
  <c r="F804" i="13"/>
  <c r="E804" i="13"/>
  <c r="D804" i="13"/>
  <c r="C804" i="13"/>
  <c r="B804" i="13"/>
  <c r="A804" i="13"/>
  <c r="AG803" i="13"/>
  <c r="AF803" i="13"/>
  <c r="AE803" i="13"/>
  <c r="AD803" i="13"/>
  <c r="Z803" i="13"/>
  <c r="Y803" i="13"/>
  <c r="X803" i="13"/>
  <c r="W803" i="13"/>
  <c r="U803" i="13"/>
  <c r="T803" i="13"/>
  <c r="S803" i="13"/>
  <c r="R803" i="13"/>
  <c r="Q803" i="13"/>
  <c r="P803" i="13"/>
  <c r="O803" i="13"/>
  <c r="N803" i="13"/>
  <c r="M803" i="13"/>
  <c r="L803" i="13"/>
  <c r="J803" i="13"/>
  <c r="G803" i="13"/>
  <c r="F803" i="13"/>
  <c r="E803" i="13"/>
  <c r="D803" i="13"/>
  <c r="C803" i="13"/>
  <c r="B803" i="13"/>
  <c r="A803" i="13"/>
  <c r="AG802" i="13"/>
  <c r="AF802" i="13"/>
  <c r="AE802" i="13"/>
  <c r="AD802" i="13"/>
  <c r="Z802" i="13"/>
  <c r="Y802" i="13"/>
  <c r="X802" i="13"/>
  <c r="W802" i="13"/>
  <c r="U802" i="13"/>
  <c r="T802" i="13"/>
  <c r="S802" i="13"/>
  <c r="R802" i="13"/>
  <c r="Q802" i="13"/>
  <c r="P802" i="13"/>
  <c r="O802" i="13"/>
  <c r="N802" i="13"/>
  <c r="M802" i="13"/>
  <c r="L802" i="13"/>
  <c r="J802" i="13"/>
  <c r="G802" i="13"/>
  <c r="F802" i="13"/>
  <c r="E802" i="13"/>
  <c r="D802" i="13"/>
  <c r="C802" i="13"/>
  <c r="B802" i="13"/>
  <c r="A802" i="13"/>
  <c r="AG801" i="13"/>
  <c r="AF801" i="13"/>
  <c r="AE801" i="13"/>
  <c r="AD801" i="13"/>
  <c r="Z801" i="13"/>
  <c r="Y801" i="13"/>
  <c r="X801" i="13"/>
  <c r="W801" i="13"/>
  <c r="U801" i="13"/>
  <c r="T801" i="13"/>
  <c r="S801" i="13"/>
  <c r="R801" i="13"/>
  <c r="Q801" i="13"/>
  <c r="P801" i="13"/>
  <c r="O801" i="13"/>
  <c r="N801" i="13"/>
  <c r="M801" i="13"/>
  <c r="L801" i="13"/>
  <c r="J801" i="13"/>
  <c r="G801" i="13"/>
  <c r="F801" i="13"/>
  <c r="E801" i="13"/>
  <c r="D801" i="13"/>
  <c r="C801" i="13"/>
  <c r="B801" i="13"/>
  <c r="A801" i="13"/>
  <c r="AG800" i="13"/>
  <c r="AF800" i="13"/>
  <c r="AE800" i="13"/>
  <c r="AD800" i="13"/>
  <c r="Z800" i="13"/>
  <c r="Y800" i="13"/>
  <c r="X800" i="13"/>
  <c r="W800" i="13"/>
  <c r="U800" i="13"/>
  <c r="T800" i="13"/>
  <c r="S800" i="13"/>
  <c r="R800" i="13"/>
  <c r="Q800" i="13"/>
  <c r="P800" i="13"/>
  <c r="O800" i="13"/>
  <c r="N800" i="13"/>
  <c r="M800" i="13"/>
  <c r="L800" i="13"/>
  <c r="J800" i="13"/>
  <c r="G800" i="13"/>
  <c r="F800" i="13"/>
  <c r="E800" i="13"/>
  <c r="D800" i="13"/>
  <c r="C800" i="13"/>
  <c r="B800" i="13"/>
  <c r="A800" i="13"/>
  <c r="AG799" i="13"/>
  <c r="AF799" i="13"/>
  <c r="AE799" i="13"/>
  <c r="AD799" i="13"/>
  <c r="Z799" i="13"/>
  <c r="Y799" i="13"/>
  <c r="X799" i="13"/>
  <c r="W799" i="13"/>
  <c r="U799" i="13"/>
  <c r="T799" i="13"/>
  <c r="S799" i="13"/>
  <c r="R799" i="13"/>
  <c r="Q799" i="13"/>
  <c r="P799" i="13"/>
  <c r="O799" i="13"/>
  <c r="N799" i="13"/>
  <c r="M799" i="13"/>
  <c r="L799" i="13"/>
  <c r="J799" i="13"/>
  <c r="G799" i="13"/>
  <c r="F799" i="13"/>
  <c r="E799" i="13"/>
  <c r="D799" i="13"/>
  <c r="C799" i="13"/>
  <c r="B799" i="13"/>
  <c r="A799" i="13"/>
  <c r="AG798" i="13"/>
  <c r="AF798" i="13"/>
  <c r="AE798" i="13"/>
  <c r="AD798" i="13"/>
  <c r="Z798" i="13"/>
  <c r="Y798" i="13"/>
  <c r="X798" i="13"/>
  <c r="W798" i="13"/>
  <c r="U798" i="13"/>
  <c r="T798" i="13"/>
  <c r="S798" i="13"/>
  <c r="R798" i="13"/>
  <c r="Q798" i="13"/>
  <c r="P798" i="13"/>
  <c r="O798" i="13"/>
  <c r="N798" i="13"/>
  <c r="M798" i="13"/>
  <c r="L798" i="13"/>
  <c r="J798" i="13"/>
  <c r="G798" i="13"/>
  <c r="F798" i="13"/>
  <c r="E798" i="13"/>
  <c r="D798" i="13"/>
  <c r="C798" i="13"/>
  <c r="B798" i="13"/>
  <c r="A798" i="13"/>
  <c r="AG797" i="13"/>
  <c r="AF797" i="13"/>
  <c r="AE797" i="13"/>
  <c r="AD797" i="13"/>
  <c r="Z797" i="13"/>
  <c r="Y797" i="13"/>
  <c r="X797" i="13"/>
  <c r="W797" i="13"/>
  <c r="U797" i="13"/>
  <c r="T797" i="13"/>
  <c r="S797" i="13"/>
  <c r="R797" i="13"/>
  <c r="Q797" i="13"/>
  <c r="P797" i="13"/>
  <c r="O797" i="13"/>
  <c r="N797" i="13"/>
  <c r="M797" i="13"/>
  <c r="L797" i="13"/>
  <c r="J797" i="13"/>
  <c r="G797" i="13"/>
  <c r="F797" i="13"/>
  <c r="E797" i="13"/>
  <c r="D797" i="13"/>
  <c r="C797" i="13"/>
  <c r="B797" i="13"/>
  <c r="A797" i="13"/>
  <c r="AG796" i="13"/>
  <c r="AF796" i="13"/>
  <c r="AE796" i="13"/>
  <c r="AD796" i="13"/>
  <c r="Z796" i="13"/>
  <c r="Y796" i="13"/>
  <c r="X796" i="13"/>
  <c r="W796" i="13"/>
  <c r="U796" i="13"/>
  <c r="T796" i="13"/>
  <c r="S796" i="13"/>
  <c r="R796" i="13"/>
  <c r="Q796" i="13"/>
  <c r="P796" i="13"/>
  <c r="O796" i="13"/>
  <c r="N796" i="13"/>
  <c r="M796" i="13"/>
  <c r="L796" i="13"/>
  <c r="J796" i="13"/>
  <c r="G796" i="13"/>
  <c r="F796" i="13"/>
  <c r="E796" i="13"/>
  <c r="D796" i="13"/>
  <c r="C796" i="13"/>
  <c r="B796" i="13"/>
  <c r="A796" i="13"/>
  <c r="AG795" i="13"/>
  <c r="AF795" i="13"/>
  <c r="AE795" i="13"/>
  <c r="AD795" i="13"/>
  <c r="Z795" i="13"/>
  <c r="Y795" i="13"/>
  <c r="X795" i="13"/>
  <c r="W795" i="13"/>
  <c r="U795" i="13"/>
  <c r="T795" i="13"/>
  <c r="S795" i="13"/>
  <c r="R795" i="13"/>
  <c r="Q795" i="13"/>
  <c r="P795" i="13"/>
  <c r="O795" i="13"/>
  <c r="N795" i="13"/>
  <c r="M795" i="13"/>
  <c r="L795" i="13"/>
  <c r="J795" i="13"/>
  <c r="G795" i="13"/>
  <c r="F795" i="13"/>
  <c r="E795" i="13"/>
  <c r="D795" i="13"/>
  <c r="C795" i="13"/>
  <c r="B795" i="13"/>
  <c r="A795" i="13"/>
  <c r="AG794" i="13"/>
  <c r="AF794" i="13"/>
  <c r="AE794" i="13"/>
  <c r="AD794" i="13"/>
  <c r="Z794" i="13"/>
  <c r="Y794" i="13"/>
  <c r="X794" i="13"/>
  <c r="W794" i="13"/>
  <c r="U794" i="13"/>
  <c r="T794" i="13"/>
  <c r="S794" i="13"/>
  <c r="R794" i="13"/>
  <c r="Q794" i="13"/>
  <c r="P794" i="13"/>
  <c r="O794" i="13"/>
  <c r="N794" i="13"/>
  <c r="M794" i="13"/>
  <c r="L794" i="13"/>
  <c r="J794" i="13"/>
  <c r="G794" i="13"/>
  <c r="F794" i="13"/>
  <c r="E794" i="13"/>
  <c r="D794" i="13"/>
  <c r="C794" i="13"/>
  <c r="B794" i="13"/>
  <c r="A794" i="13"/>
  <c r="AG793" i="13"/>
  <c r="AF793" i="13"/>
  <c r="AE793" i="13"/>
  <c r="AD793" i="13"/>
  <c r="Z793" i="13"/>
  <c r="Y793" i="13"/>
  <c r="X793" i="13"/>
  <c r="W793" i="13"/>
  <c r="U793" i="13"/>
  <c r="T793" i="13"/>
  <c r="S793" i="13"/>
  <c r="R793" i="13"/>
  <c r="Q793" i="13"/>
  <c r="P793" i="13"/>
  <c r="O793" i="13"/>
  <c r="N793" i="13"/>
  <c r="M793" i="13"/>
  <c r="L793" i="13"/>
  <c r="J793" i="13"/>
  <c r="G793" i="13"/>
  <c r="F793" i="13"/>
  <c r="E793" i="13"/>
  <c r="D793" i="13"/>
  <c r="C793" i="13"/>
  <c r="B793" i="13"/>
  <c r="A793" i="13"/>
  <c r="AG792" i="13"/>
  <c r="AF792" i="13"/>
  <c r="AE792" i="13"/>
  <c r="AD792" i="13"/>
  <c r="Z792" i="13"/>
  <c r="Y792" i="13"/>
  <c r="X792" i="13"/>
  <c r="W792" i="13"/>
  <c r="U792" i="13"/>
  <c r="T792" i="13"/>
  <c r="S792" i="13"/>
  <c r="R792" i="13"/>
  <c r="Q792" i="13"/>
  <c r="P792" i="13"/>
  <c r="O792" i="13"/>
  <c r="N792" i="13"/>
  <c r="M792" i="13"/>
  <c r="L792" i="13"/>
  <c r="J792" i="13"/>
  <c r="G792" i="13"/>
  <c r="F792" i="13"/>
  <c r="E792" i="13"/>
  <c r="D792" i="13"/>
  <c r="C792" i="13"/>
  <c r="B792" i="13"/>
  <c r="A792" i="13"/>
  <c r="AG791" i="13"/>
  <c r="AF791" i="13"/>
  <c r="AE791" i="13"/>
  <c r="AD791" i="13"/>
  <c r="Z791" i="13"/>
  <c r="Y791" i="13"/>
  <c r="X791" i="13"/>
  <c r="W791" i="13"/>
  <c r="U791" i="13"/>
  <c r="T791" i="13"/>
  <c r="S791" i="13"/>
  <c r="R791" i="13"/>
  <c r="Q791" i="13"/>
  <c r="P791" i="13"/>
  <c r="O791" i="13"/>
  <c r="N791" i="13"/>
  <c r="M791" i="13"/>
  <c r="L791" i="13"/>
  <c r="J791" i="13"/>
  <c r="G791" i="13"/>
  <c r="F791" i="13"/>
  <c r="E791" i="13"/>
  <c r="D791" i="13"/>
  <c r="C791" i="13"/>
  <c r="B791" i="13"/>
  <c r="A791" i="13"/>
  <c r="AG790" i="13"/>
  <c r="AF790" i="13"/>
  <c r="AE790" i="13"/>
  <c r="AD790" i="13"/>
  <c r="Z790" i="13"/>
  <c r="Y790" i="13"/>
  <c r="X790" i="13"/>
  <c r="W790" i="13"/>
  <c r="U790" i="13"/>
  <c r="T790" i="13"/>
  <c r="S790" i="13"/>
  <c r="R790" i="13"/>
  <c r="Q790" i="13"/>
  <c r="P790" i="13"/>
  <c r="O790" i="13"/>
  <c r="N790" i="13"/>
  <c r="M790" i="13"/>
  <c r="L790" i="13"/>
  <c r="J790" i="13"/>
  <c r="G790" i="13"/>
  <c r="F790" i="13"/>
  <c r="E790" i="13"/>
  <c r="D790" i="13"/>
  <c r="C790" i="13"/>
  <c r="B790" i="13"/>
  <c r="A790" i="13"/>
  <c r="AG789" i="13"/>
  <c r="AF789" i="13"/>
  <c r="AE789" i="13"/>
  <c r="AD789" i="13"/>
  <c r="Z789" i="13"/>
  <c r="Y789" i="13"/>
  <c r="X789" i="13"/>
  <c r="W789" i="13"/>
  <c r="U789" i="13"/>
  <c r="T789" i="13"/>
  <c r="S789" i="13"/>
  <c r="R789" i="13"/>
  <c r="Q789" i="13"/>
  <c r="P789" i="13"/>
  <c r="O789" i="13"/>
  <c r="N789" i="13"/>
  <c r="M789" i="13"/>
  <c r="L789" i="13"/>
  <c r="J789" i="13"/>
  <c r="G789" i="13"/>
  <c r="F789" i="13"/>
  <c r="E789" i="13"/>
  <c r="D789" i="13"/>
  <c r="C789" i="13"/>
  <c r="B789" i="13"/>
  <c r="A789" i="13"/>
  <c r="AG788" i="13"/>
  <c r="AF788" i="13"/>
  <c r="AE788" i="13"/>
  <c r="AD788" i="13"/>
  <c r="Z788" i="13"/>
  <c r="Y788" i="13"/>
  <c r="X788" i="13"/>
  <c r="W788" i="13"/>
  <c r="U788" i="13"/>
  <c r="T788" i="13"/>
  <c r="S788" i="13"/>
  <c r="R788" i="13"/>
  <c r="Q788" i="13"/>
  <c r="P788" i="13"/>
  <c r="O788" i="13"/>
  <c r="N788" i="13"/>
  <c r="M788" i="13"/>
  <c r="L788" i="13"/>
  <c r="J788" i="13"/>
  <c r="G788" i="13"/>
  <c r="F788" i="13"/>
  <c r="E788" i="13"/>
  <c r="D788" i="13"/>
  <c r="C788" i="13"/>
  <c r="B788" i="13"/>
  <c r="A788" i="13"/>
  <c r="AG787" i="13"/>
  <c r="AF787" i="13"/>
  <c r="AE787" i="13"/>
  <c r="AD787" i="13"/>
  <c r="Z787" i="13"/>
  <c r="Y787" i="13"/>
  <c r="X787" i="13"/>
  <c r="W787" i="13"/>
  <c r="U787" i="13"/>
  <c r="T787" i="13"/>
  <c r="S787" i="13"/>
  <c r="R787" i="13"/>
  <c r="Q787" i="13"/>
  <c r="P787" i="13"/>
  <c r="O787" i="13"/>
  <c r="N787" i="13"/>
  <c r="M787" i="13"/>
  <c r="L787" i="13"/>
  <c r="J787" i="13"/>
  <c r="G787" i="13"/>
  <c r="F787" i="13"/>
  <c r="E787" i="13"/>
  <c r="D787" i="13"/>
  <c r="C787" i="13"/>
  <c r="B787" i="13"/>
  <c r="A787" i="13"/>
  <c r="AG786" i="13"/>
  <c r="AF786" i="13"/>
  <c r="AE786" i="13"/>
  <c r="AD786" i="13"/>
  <c r="Z786" i="13"/>
  <c r="Y786" i="13"/>
  <c r="X786" i="13"/>
  <c r="W786" i="13"/>
  <c r="U786" i="13"/>
  <c r="T786" i="13"/>
  <c r="S786" i="13"/>
  <c r="R786" i="13"/>
  <c r="Q786" i="13"/>
  <c r="P786" i="13"/>
  <c r="O786" i="13"/>
  <c r="N786" i="13"/>
  <c r="M786" i="13"/>
  <c r="L786" i="13"/>
  <c r="J786" i="13"/>
  <c r="G786" i="13"/>
  <c r="F786" i="13"/>
  <c r="E786" i="13"/>
  <c r="D786" i="13"/>
  <c r="C786" i="13"/>
  <c r="B786" i="13"/>
  <c r="A786" i="13"/>
  <c r="AG785" i="13"/>
  <c r="AF785" i="13"/>
  <c r="AE785" i="13"/>
  <c r="AD785" i="13"/>
  <c r="Z785" i="13"/>
  <c r="Y785" i="13"/>
  <c r="X785" i="13"/>
  <c r="W785" i="13"/>
  <c r="U785" i="13"/>
  <c r="T785" i="13"/>
  <c r="S785" i="13"/>
  <c r="R785" i="13"/>
  <c r="Q785" i="13"/>
  <c r="O785" i="13"/>
  <c r="N785" i="13"/>
  <c r="M785" i="13"/>
  <c r="L785" i="13"/>
  <c r="G785" i="13"/>
  <c r="F785" i="13"/>
  <c r="E785" i="13"/>
  <c r="D785" i="13"/>
  <c r="C785" i="13"/>
  <c r="B785" i="13"/>
  <c r="A785" i="13"/>
  <c r="AG784" i="13"/>
  <c r="AF784" i="13"/>
  <c r="AE784" i="13"/>
  <c r="AD784" i="13"/>
  <c r="Z784" i="13"/>
  <c r="Y784" i="13"/>
  <c r="X784" i="13"/>
  <c r="W784" i="13"/>
  <c r="U784" i="13"/>
  <c r="T784" i="13"/>
  <c r="S784" i="13"/>
  <c r="R784" i="13"/>
  <c r="Q784" i="13"/>
  <c r="O784" i="13"/>
  <c r="N784" i="13"/>
  <c r="M784" i="13"/>
  <c r="L784" i="13"/>
  <c r="G784" i="13"/>
  <c r="F784" i="13"/>
  <c r="E784" i="13"/>
  <c r="D784" i="13"/>
  <c r="C784" i="13"/>
  <c r="B784" i="13"/>
  <c r="A784" i="13"/>
  <c r="AG783" i="13"/>
  <c r="AF783" i="13"/>
  <c r="AE783" i="13"/>
  <c r="AD783" i="13"/>
  <c r="Z783" i="13"/>
  <c r="Y783" i="13"/>
  <c r="X783" i="13"/>
  <c r="W783" i="13"/>
  <c r="U783" i="13"/>
  <c r="T783" i="13"/>
  <c r="S783" i="13"/>
  <c r="R783" i="13"/>
  <c r="Q783" i="13"/>
  <c r="O783" i="13"/>
  <c r="N783" i="13"/>
  <c r="M783" i="13"/>
  <c r="L783" i="13"/>
  <c r="G783" i="13"/>
  <c r="F783" i="13"/>
  <c r="E783" i="13"/>
  <c r="D783" i="13"/>
  <c r="C783" i="13"/>
  <c r="B783" i="13"/>
  <c r="A783" i="13"/>
  <c r="AG782" i="13"/>
  <c r="AF782" i="13"/>
  <c r="AE782" i="13"/>
  <c r="AD782" i="13"/>
  <c r="Z782" i="13"/>
  <c r="Y782" i="13"/>
  <c r="X782" i="13"/>
  <c r="W782" i="13"/>
  <c r="U782" i="13"/>
  <c r="T782" i="13"/>
  <c r="S782" i="13"/>
  <c r="R782" i="13"/>
  <c r="Q782" i="13"/>
  <c r="O782" i="13"/>
  <c r="N782" i="13"/>
  <c r="M782" i="13"/>
  <c r="L782" i="13"/>
  <c r="G782" i="13"/>
  <c r="F782" i="13"/>
  <c r="E782" i="13"/>
  <c r="D782" i="13"/>
  <c r="C782" i="13"/>
  <c r="B782" i="13"/>
  <c r="A782" i="13"/>
  <c r="AG781" i="13"/>
  <c r="AF781" i="13"/>
  <c r="AE781" i="13"/>
  <c r="AD781" i="13"/>
  <c r="Z781" i="13"/>
  <c r="Y781" i="13"/>
  <c r="X781" i="13"/>
  <c r="W781" i="13"/>
  <c r="U781" i="13"/>
  <c r="T781" i="13"/>
  <c r="S781" i="13"/>
  <c r="R781" i="13"/>
  <c r="Q781" i="13"/>
  <c r="O781" i="13"/>
  <c r="N781" i="13"/>
  <c r="M781" i="13"/>
  <c r="L781" i="13"/>
  <c r="G781" i="13"/>
  <c r="F781" i="13"/>
  <c r="E781" i="13"/>
  <c r="D781" i="13"/>
  <c r="C781" i="13"/>
  <c r="B781" i="13"/>
  <c r="A781" i="13"/>
  <c r="AG780" i="13"/>
  <c r="AF780" i="13"/>
  <c r="AE780" i="13"/>
  <c r="AD780" i="13"/>
  <c r="Z780" i="13"/>
  <c r="Y780" i="13"/>
  <c r="X780" i="13"/>
  <c r="W780" i="13"/>
  <c r="U780" i="13"/>
  <c r="T780" i="13"/>
  <c r="S780" i="13"/>
  <c r="R780" i="13"/>
  <c r="Q780" i="13"/>
  <c r="O780" i="13"/>
  <c r="N780" i="13"/>
  <c r="M780" i="13"/>
  <c r="L780" i="13"/>
  <c r="G780" i="13"/>
  <c r="F780" i="13"/>
  <c r="E780" i="13"/>
  <c r="D780" i="13"/>
  <c r="C780" i="13"/>
  <c r="B780" i="13"/>
  <c r="A780" i="13"/>
  <c r="AG779" i="13"/>
  <c r="AF779" i="13"/>
  <c r="AE779" i="13"/>
  <c r="AD779" i="13"/>
  <c r="Z779" i="13"/>
  <c r="Y779" i="13"/>
  <c r="X779" i="13"/>
  <c r="W779" i="13"/>
  <c r="U779" i="13"/>
  <c r="T779" i="13"/>
  <c r="S779" i="13"/>
  <c r="R779" i="13"/>
  <c r="Q779" i="13"/>
  <c r="O779" i="13"/>
  <c r="N779" i="13"/>
  <c r="M779" i="13"/>
  <c r="L779" i="13"/>
  <c r="G779" i="13"/>
  <c r="F779" i="13"/>
  <c r="E779" i="13"/>
  <c r="D779" i="13"/>
  <c r="C779" i="13"/>
  <c r="B779" i="13"/>
  <c r="A779" i="13"/>
  <c r="AG778" i="13"/>
  <c r="AF778" i="13"/>
  <c r="AE778" i="13"/>
  <c r="AD778" i="13"/>
  <c r="Z778" i="13"/>
  <c r="Y778" i="13"/>
  <c r="X778" i="13"/>
  <c r="W778" i="13"/>
  <c r="U778" i="13"/>
  <c r="T778" i="13"/>
  <c r="S778" i="13"/>
  <c r="R778" i="13"/>
  <c r="Q778" i="13"/>
  <c r="O778" i="13"/>
  <c r="N778" i="13"/>
  <c r="M778" i="13"/>
  <c r="L778" i="13"/>
  <c r="G778" i="13"/>
  <c r="F778" i="13"/>
  <c r="E778" i="13"/>
  <c r="D778" i="13"/>
  <c r="C778" i="13"/>
  <c r="B778" i="13"/>
  <c r="A778" i="13"/>
  <c r="AG777" i="13"/>
  <c r="AF777" i="13"/>
  <c r="AE777" i="13"/>
  <c r="AD777" i="13"/>
  <c r="Z777" i="13"/>
  <c r="Y777" i="13"/>
  <c r="X777" i="13"/>
  <c r="W777" i="13"/>
  <c r="U777" i="13"/>
  <c r="T777" i="13"/>
  <c r="S777" i="13"/>
  <c r="R777" i="13"/>
  <c r="Q777" i="13"/>
  <c r="O777" i="13"/>
  <c r="N777" i="13"/>
  <c r="M777" i="13"/>
  <c r="L777" i="13"/>
  <c r="G777" i="13"/>
  <c r="F777" i="13"/>
  <c r="E777" i="13"/>
  <c r="D777" i="13"/>
  <c r="C777" i="13"/>
  <c r="B777" i="13"/>
  <c r="A777" i="13"/>
  <c r="AG776" i="13"/>
  <c r="AF776" i="13"/>
  <c r="AE776" i="13"/>
  <c r="AD776" i="13"/>
  <c r="Z776" i="13"/>
  <c r="Y776" i="13"/>
  <c r="X776" i="13"/>
  <c r="W776" i="13"/>
  <c r="U776" i="13"/>
  <c r="T776" i="13"/>
  <c r="S776" i="13"/>
  <c r="R776" i="13"/>
  <c r="Q776" i="13"/>
  <c r="O776" i="13"/>
  <c r="N776" i="13"/>
  <c r="M776" i="13"/>
  <c r="L776" i="13"/>
  <c r="G776" i="13"/>
  <c r="F776" i="13"/>
  <c r="E776" i="13"/>
  <c r="D776" i="13"/>
  <c r="C776" i="13"/>
  <c r="B776" i="13"/>
  <c r="A776" i="13"/>
  <c r="AG775" i="13"/>
  <c r="AF775" i="13"/>
  <c r="AE775" i="13"/>
  <c r="AD775" i="13"/>
  <c r="Z775" i="13"/>
  <c r="Y775" i="13"/>
  <c r="X775" i="13"/>
  <c r="W775" i="13"/>
  <c r="U775" i="13"/>
  <c r="T775" i="13"/>
  <c r="S775" i="13"/>
  <c r="R775" i="13"/>
  <c r="Q775" i="13"/>
  <c r="O775" i="13"/>
  <c r="N775" i="13"/>
  <c r="M775" i="13"/>
  <c r="L775" i="13"/>
  <c r="G775" i="13"/>
  <c r="F775" i="13"/>
  <c r="E775" i="13"/>
  <c r="D775" i="13"/>
  <c r="C775" i="13"/>
  <c r="B775" i="13"/>
  <c r="A775" i="13"/>
  <c r="AG774" i="13"/>
  <c r="AF774" i="13"/>
  <c r="AE774" i="13"/>
  <c r="AD774" i="13"/>
  <c r="Z774" i="13"/>
  <c r="Y774" i="13"/>
  <c r="X774" i="13"/>
  <c r="W774" i="13"/>
  <c r="U774" i="13"/>
  <c r="T774" i="13"/>
  <c r="S774" i="13"/>
  <c r="R774" i="13"/>
  <c r="Q774" i="13"/>
  <c r="O774" i="13"/>
  <c r="N774" i="13"/>
  <c r="M774" i="13"/>
  <c r="L774" i="13"/>
  <c r="G774" i="13"/>
  <c r="F774" i="13"/>
  <c r="E774" i="13"/>
  <c r="D774" i="13"/>
  <c r="C774" i="13"/>
  <c r="B774" i="13"/>
  <c r="A774" i="13"/>
  <c r="AG773" i="13"/>
  <c r="AF773" i="13"/>
  <c r="AE773" i="13"/>
  <c r="AD773" i="13"/>
  <c r="Z773" i="13"/>
  <c r="Y773" i="13"/>
  <c r="X773" i="13"/>
  <c r="W773" i="13"/>
  <c r="U773" i="13"/>
  <c r="T773" i="13"/>
  <c r="S773" i="13"/>
  <c r="R773" i="13"/>
  <c r="Q773" i="13"/>
  <c r="O773" i="13"/>
  <c r="N773" i="13"/>
  <c r="M773" i="13"/>
  <c r="L773" i="13"/>
  <c r="G773" i="13"/>
  <c r="F773" i="13"/>
  <c r="E773" i="13"/>
  <c r="D773" i="13"/>
  <c r="C773" i="13"/>
  <c r="B773" i="13"/>
  <c r="A773" i="13"/>
  <c r="AG772" i="13"/>
  <c r="AF772" i="13"/>
  <c r="AE772" i="13"/>
  <c r="AD772" i="13"/>
  <c r="Z772" i="13"/>
  <c r="Y772" i="13"/>
  <c r="X772" i="13"/>
  <c r="W772" i="13"/>
  <c r="U772" i="13"/>
  <c r="T772" i="13"/>
  <c r="S772" i="13"/>
  <c r="R772" i="13"/>
  <c r="Q772" i="13"/>
  <c r="O772" i="13"/>
  <c r="N772" i="13"/>
  <c r="M772" i="13"/>
  <c r="L772" i="13"/>
  <c r="G772" i="13"/>
  <c r="F772" i="13"/>
  <c r="E772" i="13"/>
  <c r="D772" i="13"/>
  <c r="C772" i="13"/>
  <c r="B772" i="13"/>
  <c r="A772" i="13"/>
  <c r="AG771" i="13"/>
  <c r="AF771" i="13"/>
  <c r="AE771" i="13"/>
  <c r="AD771" i="13"/>
  <c r="Z771" i="13"/>
  <c r="Y771" i="13"/>
  <c r="X771" i="13"/>
  <c r="W771" i="13"/>
  <c r="U771" i="13"/>
  <c r="T771" i="13"/>
  <c r="S771" i="13"/>
  <c r="R771" i="13"/>
  <c r="Q771" i="13"/>
  <c r="O771" i="13"/>
  <c r="N771" i="13"/>
  <c r="M771" i="13"/>
  <c r="L771" i="13"/>
  <c r="G771" i="13"/>
  <c r="F771" i="13"/>
  <c r="E771" i="13"/>
  <c r="D771" i="13"/>
  <c r="C771" i="13"/>
  <c r="B771" i="13"/>
  <c r="A771" i="13"/>
  <c r="AG770" i="13"/>
  <c r="AF770" i="13"/>
  <c r="AE770" i="13"/>
  <c r="AD770" i="13"/>
  <c r="Z770" i="13"/>
  <c r="Y770" i="13"/>
  <c r="X770" i="13"/>
  <c r="W770" i="13"/>
  <c r="U770" i="13"/>
  <c r="T770" i="13"/>
  <c r="S770" i="13"/>
  <c r="R770" i="13"/>
  <c r="Q770" i="13"/>
  <c r="O770" i="13"/>
  <c r="N770" i="13"/>
  <c r="M770" i="13"/>
  <c r="L770" i="13"/>
  <c r="G770" i="13"/>
  <c r="F770" i="13"/>
  <c r="E770" i="13"/>
  <c r="D770" i="13"/>
  <c r="C770" i="13"/>
  <c r="B770" i="13"/>
  <c r="A770" i="13"/>
  <c r="AG769" i="13"/>
  <c r="AF769" i="13"/>
  <c r="AE769" i="13"/>
  <c r="AD769" i="13"/>
  <c r="Z769" i="13"/>
  <c r="Y769" i="13"/>
  <c r="X769" i="13"/>
  <c r="W769" i="13"/>
  <c r="U769" i="13"/>
  <c r="T769" i="13"/>
  <c r="S769" i="13"/>
  <c r="R769" i="13"/>
  <c r="Q769" i="13"/>
  <c r="O769" i="13"/>
  <c r="N769" i="13"/>
  <c r="M769" i="13"/>
  <c r="L769" i="13"/>
  <c r="G769" i="13"/>
  <c r="F769" i="13"/>
  <c r="E769" i="13"/>
  <c r="D769" i="13"/>
  <c r="C769" i="13"/>
  <c r="B769" i="13"/>
  <c r="A769" i="13"/>
  <c r="AG768" i="13"/>
  <c r="AF768" i="13"/>
  <c r="AE768" i="13"/>
  <c r="AD768" i="13"/>
  <c r="Z768" i="13"/>
  <c r="Y768" i="13"/>
  <c r="X768" i="13"/>
  <c r="W768" i="13"/>
  <c r="U768" i="13"/>
  <c r="T768" i="13"/>
  <c r="S768" i="13"/>
  <c r="R768" i="13"/>
  <c r="Q768" i="13"/>
  <c r="O768" i="13"/>
  <c r="N768" i="13"/>
  <c r="M768" i="13"/>
  <c r="L768" i="13"/>
  <c r="G768" i="13"/>
  <c r="F768" i="13"/>
  <c r="E768" i="13"/>
  <c r="D768" i="13"/>
  <c r="C768" i="13"/>
  <c r="B768" i="13"/>
  <c r="A768" i="13"/>
  <c r="AG767" i="13"/>
  <c r="AF767" i="13"/>
  <c r="AE767" i="13"/>
  <c r="AD767" i="13"/>
  <c r="Z767" i="13"/>
  <c r="Y767" i="13"/>
  <c r="X767" i="13"/>
  <c r="W767" i="13"/>
  <c r="U767" i="13"/>
  <c r="T767" i="13"/>
  <c r="S767" i="13"/>
  <c r="R767" i="13"/>
  <c r="Q767" i="13"/>
  <c r="O767" i="13"/>
  <c r="N767" i="13"/>
  <c r="M767" i="13"/>
  <c r="L767" i="13"/>
  <c r="G767" i="13"/>
  <c r="F767" i="13"/>
  <c r="E767" i="13"/>
  <c r="D767" i="13"/>
  <c r="C767" i="13"/>
  <c r="B767" i="13"/>
  <c r="A767" i="13"/>
  <c r="AG766" i="13"/>
  <c r="AF766" i="13"/>
  <c r="AE766" i="13"/>
  <c r="AD766" i="13"/>
  <c r="Z766" i="13"/>
  <c r="Y766" i="13"/>
  <c r="X766" i="13"/>
  <c r="W766" i="13"/>
  <c r="U766" i="13"/>
  <c r="T766" i="13"/>
  <c r="S766" i="13"/>
  <c r="R766" i="13"/>
  <c r="Q766" i="13"/>
  <c r="O766" i="13"/>
  <c r="N766" i="13"/>
  <c r="M766" i="13"/>
  <c r="L766" i="13"/>
  <c r="G766" i="13"/>
  <c r="F766" i="13"/>
  <c r="E766" i="13"/>
  <c r="D766" i="13"/>
  <c r="C766" i="13"/>
  <c r="B766" i="13"/>
  <c r="A766" i="13"/>
  <c r="AG765" i="13"/>
  <c r="AF765" i="13"/>
  <c r="AE765" i="13"/>
  <c r="AD765" i="13"/>
  <c r="Z765" i="13"/>
  <c r="Y765" i="13"/>
  <c r="X765" i="13"/>
  <c r="W765" i="13"/>
  <c r="U765" i="13"/>
  <c r="T765" i="13"/>
  <c r="S765" i="13"/>
  <c r="R765" i="13"/>
  <c r="Q765" i="13"/>
  <c r="O765" i="13"/>
  <c r="N765" i="13"/>
  <c r="M765" i="13"/>
  <c r="L765" i="13"/>
  <c r="G765" i="13"/>
  <c r="F765" i="13"/>
  <c r="E765" i="13"/>
  <c r="D765" i="13"/>
  <c r="C765" i="13"/>
  <c r="B765" i="13"/>
  <c r="A765" i="13"/>
  <c r="AG764" i="13"/>
  <c r="AF764" i="13"/>
  <c r="AE764" i="13"/>
  <c r="AD764" i="13"/>
  <c r="Z764" i="13"/>
  <c r="Y764" i="13"/>
  <c r="X764" i="13"/>
  <c r="W764" i="13"/>
  <c r="U764" i="13"/>
  <c r="T764" i="13"/>
  <c r="S764" i="13"/>
  <c r="R764" i="13"/>
  <c r="Q764" i="13"/>
  <c r="O764" i="13"/>
  <c r="N764" i="13"/>
  <c r="M764" i="13"/>
  <c r="L764" i="13"/>
  <c r="G764" i="13"/>
  <c r="F764" i="13"/>
  <c r="E764" i="13"/>
  <c r="D764" i="13"/>
  <c r="C764" i="13"/>
  <c r="B764" i="13"/>
  <c r="A764" i="13"/>
  <c r="AG763" i="13"/>
  <c r="AF763" i="13"/>
  <c r="AE763" i="13"/>
  <c r="AD763" i="13"/>
  <c r="Z763" i="13"/>
  <c r="Y763" i="13"/>
  <c r="X763" i="13"/>
  <c r="W763" i="13"/>
  <c r="U763" i="13"/>
  <c r="T763" i="13"/>
  <c r="S763" i="13"/>
  <c r="R763" i="13"/>
  <c r="Q763" i="13"/>
  <c r="O763" i="13"/>
  <c r="N763" i="13"/>
  <c r="M763" i="13"/>
  <c r="L763" i="13"/>
  <c r="G763" i="13"/>
  <c r="F763" i="13"/>
  <c r="E763" i="13"/>
  <c r="D763" i="13"/>
  <c r="C763" i="13"/>
  <c r="B763" i="13"/>
  <c r="A763" i="13"/>
  <c r="AG762" i="13"/>
  <c r="AF762" i="13"/>
  <c r="AE762" i="13"/>
  <c r="AD762" i="13"/>
  <c r="Z762" i="13"/>
  <c r="Y762" i="13"/>
  <c r="X762" i="13"/>
  <c r="W762" i="13"/>
  <c r="U762" i="13"/>
  <c r="T762" i="13"/>
  <c r="S762" i="13"/>
  <c r="R762" i="13"/>
  <c r="Q762" i="13"/>
  <c r="O762" i="13"/>
  <c r="N762" i="13"/>
  <c r="M762" i="13"/>
  <c r="L762" i="13"/>
  <c r="G762" i="13"/>
  <c r="F762" i="13"/>
  <c r="E762" i="13"/>
  <c r="D762" i="13"/>
  <c r="C762" i="13"/>
  <c r="B762" i="13"/>
  <c r="A762" i="13"/>
  <c r="AG761" i="13"/>
  <c r="AF761" i="13"/>
  <c r="AE761" i="13"/>
  <c r="AD761" i="13"/>
  <c r="Z761" i="13"/>
  <c r="Y761" i="13"/>
  <c r="X761" i="13"/>
  <c r="W761" i="13"/>
  <c r="U761" i="13"/>
  <c r="T761" i="13"/>
  <c r="S761" i="13"/>
  <c r="R761" i="13"/>
  <c r="Q761" i="13"/>
  <c r="O761" i="13"/>
  <c r="N761" i="13"/>
  <c r="M761" i="13"/>
  <c r="L761" i="13"/>
  <c r="G761" i="13"/>
  <c r="F761" i="13"/>
  <c r="E761" i="13"/>
  <c r="D761" i="13"/>
  <c r="C761" i="13"/>
  <c r="B761" i="13"/>
  <c r="A761" i="13"/>
  <c r="AG760" i="13"/>
  <c r="AF760" i="13"/>
  <c r="AE760" i="13"/>
  <c r="AD760" i="13"/>
  <c r="Z760" i="13"/>
  <c r="Y760" i="13"/>
  <c r="X760" i="13"/>
  <c r="W760" i="13"/>
  <c r="U760" i="13"/>
  <c r="T760" i="13"/>
  <c r="S760" i="13"/>
  <c r="R760" i="13"/>
  <c r="Q760" i="13"/>
  <c r="O760" i="13"/>
  <c r="N760" i="13"/>
  <c r="M760" i="13"/>
  <c r="L760" i="13"/>
  <c r="G760" i="13"/>
  <c r="F760" i="13"/>
  <c r="E760" i="13"/>
  <c r="D760" i="13"/>
  <c r="C760" i="13"/>
  <c r="B760" i="13"/>
  <c r="A760" i="13"/>
  <c r="AG759" i="13"/>
  <c r="AF759" i="13"/>
  <c r="AE759" i="13"/>
  <c r="AD759" i="13"/>
  <c r="Z759" i="13"/>
  <c r="Y759" i="13"/>
  <c r="X759" i="13"/>
  <c r="W759" i="13"/>
  <c r="U759" i="13"/>
  <c r="T759" i="13"/>
  <c r="S759" i="13"/>
  <c r="R759" i="13"/>
  <c r="Q759" i="13"/>
  <c r="O759" i="13"/>
  <c r="N759" i="13"/>
  <c r="M759" i="13"/>
  <c r="L759" i="13"/>
  <c r="G759" i="13"/>
  <c r="F759" i="13"/>
  <c r="E759" i="13"/>
  <c r="D759" i="13"/>
  <c r="C759" i="13"/>
  <c r="B759" i="13"/>
  <c r="A759" i="13"/>
  <c r="AG758" i="13"/>
  <c r="AF758" i="13"/>
  <c r="AE758" i="13"/>
  <c r="AD758" i="13"/>
  <c r="Z758" i="13"/>
  <c r="Y758" i="13"/>
  <c r="X758" i="13"/>
  <c r="W758" i="13"/>
  <c r="U758" i="13"/>
  <c r="T758" i="13"/>
  <c r="S758" i="13"/>
  <c r="R758" i="13"/>
  <c r="Q758" i="13"/>
  <c r="O758" i="13"/>
  <c r="N758" i="13"/>
  <c r="M758" i="13"/>
  <c r="L758" i="13"/>
  <c r="G758" i="13"/>
  <c r="F758" i="13"/>
  <c r="E758" i="13"/>
  <c r="D758" i="13"/>
  <c r="C758" i="13"/>
  <c r="B758" i="13"/>
  <c r="A758" i="13"/>
  <c r="AG757" i="13"/>
  <c r="AF757" i="13"/>
  <c r="AE757" i="13"/>
  <c r="AD757" i="13"/>
  <c r="Z757" i="13"/>
  <c r="Y757" i="13"/>
  <c r="X757" i="13"/>
  <c r="W757" i="13"/>
  <c r="U757" i="13"/>
  <c r="T757" i="13"/>
  <c r="S757" i="13"/>
  <c r="R757" i="13"/>
  <c r="Q757" i="13"/>
  <c r="P757" i="13"/>
  <c r="O757" i="13"/>
  <c r="N757" i="13"/>
  <c r="M757" i="13"/>
  <c r="L757" i="13"/>
  <c r="J757" i="13"/>
  <c r="G757" i="13"/>
  <c r="F757" i="13"/>
  <c r="E757" i="13"/>
  <c r="D757" i="13"/>
  <c r="C757" i="13"/>
  <c r="B757" i="13"/>
  <c r="A757" i="13"/>
  <c r="AG756" i="13"/>
  <c r="AF756" i="13"/>
  <c r="AE756" i="13"/>
  <c r="AD756" i="13"/>
  <c r="Z756" i="13"/>
  <c r="Y756" i="13"/>
  <c r="X756" i="13"/>
  <c r="W756" i="13"/>
  <c r="U756" i="13"/>
  <c r="T756" i="13"/>
  <c r="S756" i="13"/>
  <c r="R756" i="13"/>
  <c r="Q756" i="13"/>
  <c r="P756" i="13"/>
  <c r="O756" i="13"/>
  <c r="N756" i="13"/>
  <c r="M756" i="13"/>
  <c r="L756" i="13"/>
  <c r="J756" i="13"/>
  <c r="G756" i="13"/>
  <c r="F756" i="13"/>
  <c r="E756" i="13"/>
  <c r="D756" i="13"/>
  <c r="C756" i="13"/>
  <c r="B756" i="13"/>
  <c r="A756" i="13"/>
  <c r="AG755" i="13"/>
  <c r="AF755" i="13"/>
  <c r="AE755" i="13"/>
  <c r="AD755" i="13"/>
  <c r="Z755" i="13"/>
  <c r="Y755" i="13"/>
  <c r="X755" i="13"/>
  <c r="W755" i="13"/>
  <c r="U755" i="13"/>
  <c r="T755" i="13"/>
  <c r="S755" i="13"/>
  <c r="R755" i="13"/>
  <c r="Q755" i="13"/>
  <c r="P755" i="13"/>
  <c r="O755" i="13"/>
  <c r="N755" i="13"/>
  <c r="M755" i="13"/>
  <c r="L755" i="13"/>
  <c r="J755" i="13"/>
  <c r="G755" i="13"/>
  <c r="F755" i="13"/>
  <c r="E755" i="13"/>
  <c r="D755" i="13"/>
  <c r="C755" i="13"/>
  <c r="B755" i="13"/>
  <c r="A755" i="13"/>
  <c r="AG754" i="13"/>
  <c r="AF754" i="13"/>
  <c r="AE754" i="13"/>
  <c r="AD754" i="13"/>
  <c r="Z754" i="13"/>
  <c r="Y754" i="13"/>
  <c r="X754" i="13"/>
  <c r="W754" i="13"/>
  <c r="U754" i="13"/>
  <c r="T754" i="13"/>
  <c r="S754" i="13"/>
  <c r="R754" i="13"/>
  <c r="Q754" i="13"/>
  <c r="P754" i="13"/>
  <c r="O754" i="13"/>
  <c r="N754" i="13"/>
  <c r="M754" i="13"/>
  <c r="L754" i="13"/>
  <c r="J754" i="13"/>
  <c r="G754" i="13"/>
  <c r="F754" i="13"/>
  <c r="E754" i="13"/>
  <c r="D754" i="13"/>
  <c r="C754" i="13"/>
  <c r="B754" i="13"/>
  <c r="A754" i="13"/>
  <c r="AG753" i="13"/>
  <c r="AF753" i="13"/>
  <c r="AE753" i="13"/>
  <c r="AD753" i="13"/>
  <c r="Z753" i="13"/>
  <c r="Y753" i="13"/>
  <c r="X753" i="13"/>
  <c r="W753" i="13"/>
  <c r="U753" i="13"/>
  <c r="T753" i="13"/>
  <c r="S753" i="13"/>
  <c r="R753" i="13"/>
  <c r="Q753" i="13"/>
  <c r="P753" i="13"/>
  <c r="O753" i="13"/>
  <c r="N753" i="13"/>
  <c r="M753" i="13"/>
  <c r="L753" i="13"/>
  <c r="J753" i="13"/>
  <c r="G753" i="13"/>
  <c r="F753" i="13"/>
  <c r="E753" i="13"/>
  <c r="D753" i="13"/>
  <c r="C753" i="13"/>
  <c r="B753" i="13"/>
  <c r="A753" i="13"/>
  <c r="AG752" i="13"/>
  <c r="AF752" i="13"/>
  <c r="AE752" i="13"/>
  <c r="AD752" i="13"/>
  <c r="Z752" i="13"/>
  <c r="Y752" i="13"/>
  <c r="X752" i="13"/>
  <c r="W752" i="13"/>
  <c r="U752" i="13"/>
  <c r="T752" i="13"/>
  <c r="S752" i="13"/>
  <c r="R752" i="13"/>
  <c r="Q752" i="13"/>
  <c r="P752" i="13"/>
  <c r="O752" i="13"/>
  <c r="N752" i="13"/>
  <c r="M752" i="13"/>
  <c r="L752" i="13"/>
  <c r="J752" i="13"/>
  <c r="G752" i="13"/>
  <c r="F752" i="13"/>
  <c r="E752" i="13"/>
  <c r="D752" i="13"/>
  <c r="C752" i="13"/>
  <c r="B752" i="13"/>
  <c r="A752" i="13"/>
  <c r="AG751" i="13"/>
  <c r="AF751" i="13"/>
  <c r="AE751" i="13"/>
  <c r="AD751" i="13"/>
  <c r="Z751" i="13"/>
  <c r="Y751" i="13"/>
  <c r="X751" i="13"/>
  <c r="W751" i="13"/>
  <c r="U751" i="13"/>
  <c r="T751" i="13"/>
  <c r="S751" i="13"/>
  <c r="R751" i="13"/>
  <c r="Q751" i="13"/>
  <c r="P751" i="13"/>
  <c r="O751" i="13"/>
  <c r="N751" i="13"/>
  <c r="M751" i="13"/>
  <c r="L751" i="13"/>
  <c r="J751" i="13"/>
  <c r="G751" i="13"/>
  <c r="F751" i="13"/>
  <c r="E751" i="13"/>
  <c r="D751" i="13"/>
  <c r="C751" i="13"/>
  <c r="B751" i="13"/>
  <c r="A751" i="13"/>
  <c r="AG750" i="13"/>
  <c r="AF750" i="13"/>
  <c r="AE750" i="13"/>
  <c r="AD750" i="13"/>
  <c r="Z750" i="13"/>
  <c r="Y750" i="13"/>
  <c r="X750" i="13"/>
  <c r="W750" i="13"/>
  <c r="U750" i="13"/>
  <c r="T750" i="13"/>
  <c r="S750" i="13"/>
  <c r="R750" i="13"/>
  <c r="Q750" i="13"/>
  <c r="P750" i="13"/>
  <c r="O750" i="13"/>
  <c r="N750" i="13"/>
  <c r="M750" i="13"/>
  <c r="L750" i="13"/>
  <c r="J750" i="13"/>
  <c r="G750" i="13"/>
  <c r="F750" i="13"/>
  <c r="E750" i="13"/>
  <c r="D750" i="13"/>
  <c r="C750" i="13"/>
  <c r="B750" i="13"/>
  <c r="A750" i="13"/>
  <c r="AG749" i="13"/>
  <c r="AF749" i="13"/>
  <c r="AE749" i="13"/>
  <c r="AD749" i="13"/>
  <c r="Z749" i="13"/>
  <c r="Y749" i="13"/>
  <c r="X749" i="13"/>
  <c r="W749" i="13"/>
  <c r="U749" i="13"/>
  <c r="T749" i="13"/>
  <c r="S749" i="13"/>
  <c r="R749" i="13"/>
  <c r="Q749" i="13"/>
  <c r="P749" i="13"/>
  <c r="O749" i="13"/>
  <c r="N749" i="13"/>
  <c r="M749" i="13"/>
  <c r="L749" i="13"/>
  <c r="J749" i="13"/>
  <c r="G749" i="13"/>
  <c r="F749" i="13"/>
  <c r="E749" i="13"/>
  <c r="D749" i="13"/>
  <c r="C749" i="13"/>
  <c r="B749" i="13"/>
  <c r="A749" i="13"/>
  <c r="AG748" i="13"/>
  <c r="AF748" i="13"/>
  <c r="AE748" i="13"/>
  <c r="AD748" i="13"/>
  <c r="Z748" i="13"/>
  <c r="Y748" i="13"/>
  <c r="X748" i="13"/>
  <c r="W748" i="13"/>
  <c r="U748" i="13"/>
  <c r="T748" i="13"/>
  <c r="S748" i="13"/>
  <c r="R748" i="13"/>
  <c r="Q748" i="13"/>
  <c r="P748" i="13"/>
  <c r="O748" i="13"/>
  <c r="N748" i="13"/>
  <c r="M748" i="13"/>
  <c r="L748" i="13"/>
  <c r="J748" i="13"/>
  <c r="G748" i="13"/>
  <c r="F748" i="13"/>
  <c r="E748" i="13"/>
  <c r="D748" i="13"/>
  <c r="C748" i="13"/>
  <c r="B748" i="13"/>
  <c r="A748" i="13"/>
  <c r="AG747" i="13"/>
  <c r="AF747" i="13"/>
  <c r="AE747" i="13"/>
  <c r="AD747" i="13"/>
  <c r="Z747" i="13"/>
  <c r="Y747" i="13"/>
  <c r="X747" i="13"/>
  <c r="W747" i="13"/>
  <c r="U747" i="13"/>
  <c r="T747" i="13"/>
  <c r="S747" i="13"/>
  <c r="R747" i="13"/>
  <c r="Q747" i="13"/>
  <c r="P747" i="13"/>
  <c r="O747" i="13"/>
  <c r="N747" i="13"/>
  <c r="M747" i="13"/>
  <c r="L747" i="13"/>
  <c r="J747" i="13"/>
  <c r="G747" i="13"/>
  <c r="F747" i="13"/>
  <c r="E747" i="13"/>
  <c r="D747" i="13"/>
  <c r="C747" i="13"/>
  <c r="B747" i="13"/>
  <c r="A747" i="13"/>
  <c r="AG746" i="13"/>
  <c r="AF746" i="13"/>
  <c r="AE746" i="13"/>
  <c r="AD746" i="13"/>
  <c r="Z746" i="13"/>
  <c r="Y746" i="13"/>
  <c r="X746" i="13"/>
  <c r="W746" i="13"/>
  <c r="U746" i="13"/>
  <c r="T746" i="13"/>
  <c r="S746" i="13"/>
  <c r="R746" i="13"/>
  <c r="Q746" i="13"/>
  <c r="P746" i="13"/>
  <c r="O746" i="13"/>
  <c r="N746" i="13"/>
  <c r="M746" i="13"/>
  <c r="L746" i="13"/>
  <c r="J746" i="13"/>
  <c r="G746" i="13"/>
  <c r="F746" i="13"/>
  <c r="E746" i="13"/>
  <c r="D746" i="13"/>
  <c r="C746" i="13"/>
  <c r="B746" i="13"/>
  <c r="A746" i="13"/>
  <c r="AG745" i="13"/>
  <c r="AF745" i="13"/>
  <c r="AE745" i="13"/>
  <c r="AD745" i="13"/>
  <c r="Z745" i="13"/>
  <c r="Y745" i="13"/>
  <c r="X745" i="13"/>
  <c r="W745" i="13"/>
  <c r="U745" i="13"/>
  <c r="T745" i="13"/>
  <c r="S745" i="13"/>
  <c r="R745" i="13"/>
  <c r="Q745" i="13"/>
  <c r="P745" i="13"/>
  <c r="O745" i="13"/>
  <c r="N745" i="13"/>
  <c r="M745" i="13"/>
  <c r="L745" i="13"/>
  <c r="J745" i="13"/>
  <c r="G745" i="13"/>
  <c r="F745" i="13"/>
  <c r="E745" i="13"/>
  <c r="D745" i="13"/>
  <c r="C745" i="13"/>
  <c r="B745" i="13"/>
  <c r="A745" i="13"/>
  <c r="AG744" i="13"/>
  <c r="AF744" i="13"/>
  <c r="AE744" i="13"/>
  <c r="AD744" i="13"/>
  <c r="Z744" i="13"/>
  <c r="Y744" i="13"/>
  <c r="X744" i="13"/>
  <c r="W744" i="13"/>
  <c r="U744" i="13"/>
  <c r="T744" i="13"/>
  <c r="S744" i="13"/>
  <c r="R744" i="13"/>
  <c r="Q744" i="13"/>
  <c r="P744" i="13"/>
  <c r="O744" i="13"/>
  <c r="N744" i="13"/>
  <c r="M744" i="13"/>
  <c r="L744" i="13"/>
  <c r="J744" i="13"/>
  <c r="G744" i="13"/>
  <c r="F744" i="13"/>
  <c r="E744" i="13"/>
  <c r="D744" i="13"/>
  <c r="C744" i="13"/>
  <c r="B744" i="13"/>
  <c r="A744" i="13"/>
  <c r="AG743" i="13"/>
  <c r="AF743" i="13"/>
  <c r="AE743" i="13"/>
  <c r="AD743" i="13"/>
  <c r="Z743" i="13"/>
  <c r="Y743" i="13"/>
  <c r="X743" i="13"/>
  <c r="W743" i="13"/>
  <c r="U743" i="13"/>
  <c r="T743" i="13"/>
  <c r="S743" i="13"/>
  <c r="R743" i="13"/>
  <c r="Q743" i="13"/>
  <c r="P743" i="13"/>
  <c r="O743" i="13"/>
  <c r="N743" i="13"/>
  <c r="M743" i="13"/>
  <c r="L743" i="13"/>
  <c r="J743" i="13"/>
  <c r="G743" i="13"/>
  <c r="F743" i="13"/>
  <c r="E743" i="13"/>
  <c r="D743" i="13"/>
  <c r="C743" i="13"/>
  <c r="B743" i="13"/>
  <c r="A743" i="13"/>
  <c r="AG742" i="13"/>
  <c r="AF742" i="13"/>
  <c r="AE742" i="13"/>
  <c r="AD742" i="13"/>
  <c r="Z742" i="13"/>
  <c r="Y742" i="13"/>
  <c r="X742" i="13"/>
  <c r="W742" i="13"/>
  <c r="U742" i="13"/>
  <c r="T742" i="13"/>
  <c r="S742" i="13"/>
  <c r="R742" i="13"/>
  <c r="Q742" i="13"/>
  <c r="P742" i="13"/>
  <c r="O742" i="13"/>
  <c r="N742" i="13"/>
  <c r="M742" i="13"/>
  <c r="L742" i="13"/>
  <c r="J742" i="13"/>
  <c r="G742" i="13"/>
  <c r="F742" i="13"/>
  <c r="E742" i="13"/>
  <c r="D742" i="13"/>
  <c r="C742" i="13"/>
  <c r="B742" i="13"/>
  <c r="A742" i="13"/>
  <c r="AG741" i="13"/>
  <c r="AF741" i="13"/>
  <c r="AE741" i="13"/>
  <c r="AD741" i="13"/>
  <c r="Z741" i="13"/>
  <c r="Y741" i="13"/>
  <c r="X741" i="13"/>
  <c r="W741" i="13"/>
  <c r="U741" i="13"/>
  <c r="T741" i="13"/>
  <c r="S741" i="13"/>
  <c r="R741" i="13"/>
  <c r="Q741" i="13"/>
  <c r="P741" i="13"/>
  <c r="O741" i="13"/>
  <c r="N741" i="13"/>
  <c r="M741" i="13"/>
  <c r="L741" i="13"/>
  <c r="J741" i="13"/>
  <c r="G741" i="13"/>
  <c r="F741" i="13"/>
  <c r="E741" i="13"/>
  <c r="D741" i="13"/>
  <c r="C741" i="13"/>
  <c r="B741" i="13"/>
  <c r="A741" i="13"/>
  <c r="AG740" i="13"/>
  <c r="AF740" i="13"/>
  <c r="AE740" i="13"/>
  <c r="AD740" i="13"/>
  <c r="Z740" i="13"/>
  <c r="Y740" i="13"/>
  <c r="X740" i="13"/>
  <c r="W740" i="13"/>
  <c r="U740" i="13"/>
  <c r="T740" i="13"/>
  <c r="S740" i="13"/>
  <c r="R740" i="13"/>
  <c r="Q740" i="13"/>
  <c r="P740" i="13"/>
  <c r="O740" i="13"/>
  <c r="N740" i="13"/>
  <c r="M740" i="13"/>
  <c r="L740" i="13"/>
  <c r="J740" i="13"/>
  <c r="G740" i="13"/>
  <c r="F740" i="13"/>
  <c r="E740" i="13"/>
  <c r="D740" i="13"/>
  <c r="C740" i="13"/>
  <c r="B740" i="13"/>
  <c r="A740" i="13"/>
  <c r="AG739" i="13"/>
  <c r="AF739" i="13"/>
  <c r="AE739" i="13"/>
  <c r="AD739" i="13"/>
  <c r="Z739" i="13"/>
  <c r="Y739" i="13"/>
  <c r="X739" i="13"/>
  <c r="W739" i="13"/>
  <c r="U739" i="13"/>
  <c r="T739" i="13"/>
  <c r="S739" i="13"/>
  <c r="R739" i="13"/>
  <c r="Q739" i="13"/>
  <c r="P739" i="13"/>
  <c r="O739" i="13"/>
  <c r="N739" i="13"/>
  <c r="M739" i="13"/>
  <c r="L739" i="13"/>
  <c r="J739" i="13"/>
  <c r="G739" i="13"/>
  <c r="F739" i="13"/>
  <c r="E739" i="13"/>
  <c r="D739" i="13"/>
  <c r="C739" i="13"/>
  <c r="B739" i="13"/>
  <c r="A739" i="13"/>
  <c r="AG738" i="13"/>
  <c r="AF738" i="13"/>
  <c r="AE738" i="13"/>
  <c r="AD738" i="13"/>
  <c r="Z738" i="13"/>
  <c r="Y738" i="13"/>
  <c r="X738" i="13"/>
  <c r="W738" i="13"/>
  <c r="U738" i="13"/>
  <c r="T738" i="13"/>
  <c r="S738" i="13"/>
  <c r="R738" i="13"/>
  <c r="Q738" i="13"/>
  <c r="P738" i="13"/>
  <c r="O738" i="13"/>
  <c r="N738" i="13"/>
  <c r="M738" i="13"/>
  <c r="L738" i="13"/>
  <c r="J738" i="13"/>
  <c r="G738" i="13"/>
  <c r="F738" i="13"/>
  <c r="E738" i="13"/>
  <c r="D738" i="13"/>
  <c r="C738" i="13"/>
  <c r="B738" i="13"/>
  <c r="A738" i="13"/>
  <c r="AG737" i="13"/>
  <c r="AF737" i="13"/>
  <c r="AE737" i="13"/>
  <c r="AD737" i="13"/>
  <c r="Z737" i="13"/>
  <c r="Y737" i="13"/>
  <c r="X737" i="13"/>
  <c r="W737" i="13"/>
  <c r="U737" i="13"/>
  <c r="T737" i="13"/>
  <c r="S737" i="13"/>
  <c r="R737" i="13"/>
  <c r="Q737" i="13"/>
  <c r="P737" i="13"/>
  <c r="O737" i="13"/>
  <c r="N737" i="13"/>
  <c r="M737" i="13"/>
  <c r="L737" i="13"/>
  <c r="J737" i="13"/>
  <c r="G737" i="13"/>
  <c r="F737" i="13"/>
  <c r="E737" i="13"/>
  <c r="D737" i="13"/>
  <c r="C737" i="13"/>
  <c r="B737" i="13"/>
  <c r="A737" i="13"/>
  <c r="AG736" i="13"/>
  <c r="AF736" i="13"/>
  <c r="AE736" i="13"/>
  <c r="AD736" i="13"/>
  <c r="Z736" i="13"/>
  <c r="Y736" i="13"/>
  <c r="X736" i="13"/>
  <c r="W736" i="13"/>
  <c r="U736" i="13"/>
  <c r="T736" i="13"/>
  <c r="S736" i="13"/>
  <c r="R736" i="13"/>
  <c r="Q736" i="13"/>
  <c r="P736" i="13"/>
  <c r="O736" i="13"/>
  <c r="N736" i="13"/>
  <c r="M736" i="13"/>
  <c r="L736" i="13"/>
  <c r="J736" i="13"/>
  <c r="G736" i="13"/>
  <c r="F736" i="13"/>
  <c r="E736" i="13"/>
  <c r="D736" i="13"/>
  <c r="C736" i="13"/>
  <c r="B736" i="13"/>
  <c r="A736" i="13"/>
  <c r="AG735" i="13"/>
  <c r="AF735" i="13"/>
  <c r="AE735" i="13"/>
  <c r="AD735" i="13"/>
  <c r="Z735" i="13"/>
  <c r="Y735" i="13"/>
  <c r="X735" i="13"/>
  <c r="W735" i="13"/>
  <c r="U735" i="13"/>
  <c r="T735" i="13"/>
  <c r="S735" i="13"/>
  <c r="R735" i="13"/>
  <c r="Q735" i="13"/>
  <c r="P735" i="13"/>
  <c r="O735" i="13"/>
  <c r="N735" i="13"/>
  <c r="M735" i="13"/>
  <c r="L735" i="13"/>
  <c r="J735" i="13"/>
  <c r="G735" i="13"/>
  <c r="F735" i="13"/>
  <c r="E735" i="13"/>
  <c r="D735" i="13"/>
  <c r="C735" i="13"/>
  <c r="B735" i="13"/>
  <c r="A735" i="13"/>
  <c r="AG734" i="13"/>
  <c r="AF734" i="13"/>
  <c r="AE734" i="13"/>
  <c r="AD734" i="13"/>
  <c r="Z734" i="13"/>
  <c r="Y734" i="13"/>
  <c r="X734" i="13"/>
  <c r="W734" i="13"/>
  <c r="U734" i="13"/>
  <c r="T734" i="13"/>
  <c r="S734" i="13"/>
  <c r="R734" i="13"/>
  <c r="Q734" i="13"/>
  <c r="P734" i="13"/>
  <c r="O734" i="13"/>
  <c r="N734" i="13"/>
  <c r="M734" i="13"/>
  <c r="L734" i="13"/>
  <c r="J734" i="13"/>
  <c r="G734" i="13"/>
  <c r="F734" i="13"/>
  <c r="E734" i="13"/>
  <c r="D734" i="13"/>
  <c r="C734" i="13"/>
  <c r="B734" i="13"/>
  <c r="A734" i="13"/>
  <c r="AG733" i="13"/>
  <c r="AF733" i="13"/>
  <c r="AE733" i="13"/>
  <c r="AD733" i="13"/>
  <c r="Z733" i="13"/>
  <c r="Y733" i="13"/>
  <c r="X733" i="13"/>
  <c r="W733" i="13"/>
  <c r="U733" i="13"/>
  <c r="T733" i="13"/>
  <c r="S733" i="13"/>
  <c r="R733" i="13"/>
  <c r="Q733" i="13"/>
  <c r="P733" i="13"/>
  <c r="O733" i="13"/>
  <c r="N733" i="13"/>
  <c r="M733" i="13"/>
  <c r="L733" i="13"/>
  <c r="J733" i="13"/>
  <c r="G733" i="13"/>
  <c r="F733" i="13"/>
  <c r="E733" i="13"/>
  <c r="D733" i="13"/>
  <c r="C733" i="13"/>
  <c r="B733" i="13"/>
  <c r="A733" i="13"/>
  <c r="AG732" i="13"/>
  <c r="AF732" i="13"/>
  <c r="AE732" i="13"/>
  <c r="AD732" i="13"/>
  <c r="Z732" i="13"/>
  <c r="Y732" i="13"/>
  <c r="X732" i="13"/>
  <c r="W732" i="13"/>
  <c r="U732" i="13"/>
  <c r="T732" i="13"/>
  <c r="S732" i="13"/>
  <c r="R732" i="13"/>
  <c r="Q732" i="13"/>
  <c r="P732" i="13"/>
  <c r="O732" i="13"/>
  <c r="N732" i="13"/>
  <c r="M732" i="13"/>
  <c r="L732" i="13"/>
  <c r="J732" i="13"/>
  <c r="G732" i="13"/>
  <c r="F732" i="13"/>
  <c r="E732" i="13"/>
  <c r="D732" i="13"/>
  <c r="C732" i="13"/>
  <c r="B732" i="13"/>
  <c r="A732" i="13"/>
  <c r="AG731" i="13"/>
  <c r="AF731" i="13"/>
  <c r="AE731" i="13"/>
  <c r="AD731" i="13"/>
  <c r="Z731" i="13"/>
  <c r="Y731" i="13"/>
  <c r="X731" i="13"/>
  <c r="W731" i="13"/>
  <c r="U731" i="13"/>
  <c r="T731" i="13"/>
  <c r="S731" i="13"/>
  <c r="R731" i="13"/>
  <c r="Q731" i="13"/>
  <c r="P731" i="13"/>
  <c r="O731" i="13"/>
  <c r="N731" i="13"/>
  <c r="M731" i="13"/>
  <c r="L731" i="13"/>
  <c r="J731" i="13"/>
  <c r="G731" i="13"/>
  <c r="F731" i="13"/>
  <c r="E731" i="13"/>
  <c r="D731" i="13"/>
  <c r="C731" i="13"/>
  <c r="B731" i="13"/>
  <c r="A731" i="13"/>
  <c r="AG730" i="13"/>
  <c r="AF730" i="13"/>
  <c r="AE730" i="13"/>
  <c r="AD730" i="13"/>
  <c r="Z730" i="13"/>
  <c r="Y730" i="13"/>
  <c r="X730" i="13"/>
  <c r="W730" i="13"/>
  <c r="U730" i="13"/>
  <c r="T730" i="13"/>
  <c r="S730" i="13"/>
  <c r="R730" i="13"/>
  <c r="Q730" i="13"/>
  <c r="P730" i="13"/>
  <c r="O730" i="13"/>
  <c r="N730" i="13"/>
  <c r="M730" i="13"/>
  <c r="L730" i="13"/>
  <c r="J730" i="13"/>
  <c r="G730" i="13"/>
  <c r="F730" i="13"/>
  <c r="E730" i="13"/>
  <c r="D730" i="13"/>
  <c r="C730" i="13"/>
  <c r="B730" i="13"/>
  <c r="A730" i="13"/>
  <c r="AG729" i="13"/>
  <c r="AF729" i="13"/>
  <c r="AE729" i="13"/>
  <c r="AD729" i="13"/>
  <c r="Z729" i="13"/>
  <c r="Y729" i="13"/>
  <c r="X729" i="13"/>
  <c r="W729" i="13"/>
  <c r="U729" i="13"/>
  <c r="T729" i="13"/>
  <c r="S729" i="13"/>
  <c r="R729" i="13"/>
  <c r="Q729" i="13"/>
  <c r="P729" i="13"/>
  <c r="O729" i="13"/>
  <c r="N729" i="13"/>
  <c r="M729" i="13"/>
  <c r="L729" i="13"/>
  <c r="J729" i="13"/>
  <c r="G729" i="13"/>
  <c r="F729" i="13"/>
  <c r="E729" i="13"/>
  <c r="D729" i="13"/>
  <c r="C729" i="13"/>
  <c r="B729" i="13"/>
  <c r="A729" i="13"/>
  <c r="AG728" i="13"/>
  <c r="AF728" i="13"/>
  <c r="AE728" i="13"/>
  <c r="AD728" i="13"/>
  <c r="Z728" i="13"/>
  <c r="Y728" i="13"/>
  <c r="X728" i="13"/>
  <c r="W728" i="13"/>
  <c r="U728" i="13"/>
  <c r="T728" i="13"/>
  <c r="S728" i="13"/>
  <c r="R728" i="13"/>
  <c r="Q728" i="13"/>
  <c r="P728" i="13"/>
  <c r="O728" i="13"/>
  <c r="N728" i="13"/>
  <c r="M728" i="13"/>
  <c r="L728" i="13"/>
  <c r="J728" i="13"/>
  <c r="G728" i="13"/>
  <c r="F728" i="13"/>
  <c r="E728" i="13"/>
  <c r="D728" i="13"/>
  <c r="C728" i="13"/>
  <c r="B728" i="13"/>
  <c r="A728" i="13"/>
  <c r="AG727" i="13"/>
  <c r="AF727" i="13"/>
  <c r="AE727" i="13"/>
  <c r="AD727" i="13"/>
  <c r="Z727" i="13"/>
  <c r="Y727" i="13"/>
  <c r="X727" i="13"/>
  <c r="W727" i="13"/>
  <c r="U727" i="13"/>
  <c r="T727" i="13"/>
  <c r="S727" i="13"/>
  <c r="R727" i="13"/>
  <c r="Q727" i="13"/>
  <c r="P727" i="13"/>
  <c r="O727" i="13"/>
  <c r="N727" i="13"/>
  <c r="M727" i="13"/>
  <c r="L727" i="13"/>
  <c r="J727" i="13"/>
  <c r="G727" i="13"/>
  <c r="F727" i="13"/>
  <c r="E727" i="13"/>
  <c r="D727" i="13"/>
  <c r="C727" i="13"/>
  <c r="B727" i="13"/>
  <c r="A727" i="13"/>
  <c r="AG726" i="13"/>
  <c r="AF726" i="13"/>
  <c r="AE726" i="13"/>
  <c r="AD726" i="13"/>
  <c r="Z726" i="13"/>
  <c r="Y726" i="13"/>
  <c r="X726" i="13"/>
  <c r="W726" i="13"/>
  <c r="U726" i="13"/>
  <c r="T726" i="13"/>
  <c r="S726" i="13"/>
  <c r="R726" i="13"/>
  <c r="Q726" i="13"/>
  <c r="P726" i="13"/>
  <c r="O726" i="13"/>
  <c r="N726" i="13"/>
  <c r="M726" i="13"/>
  <c r="L726" i="13"/>
  <c r="J726" i="13"/>
  <c r="G726" i="13"/>
  <c r="F726" i="13"/>
  <c r="E726" i="13"/>
  <c r="D726" i="13"/>
  <c r="C726" i="13"/>
  <c r="B726" i="13"/>
  <c r="A726" i="13"/>
  <c r="AG725" i="13"/>
  <c r="AF725" i="13"/>
  <c r="AE725" i="13"/>
  <c r="AD725" i="13"/>
  <c r="Z725" i="13"/>
  <c r="Y725" i="13"/>
  <c r="X725" i="13"/>
  <c r="W725" i="13"/>
  <c r="U725" i="13"/>
  <c r="T725" i="13"/>
  <c r="S725" i="13"/>
  <c r="R725" i="13"/>
  <c r="Q725" i="13"/>
  <c r="P725" i="13"/>
  <c r="O725" i="13"/>
  <c r="N725" i="13"/>
  <c r="M725" i="13"/>
  <c r="L725" i="13"/>
  <c r="J725" i="13"/>
  <c r="G725" i="13"/>
  <c r="F725" i="13"/>
  <c r="E725" i="13"/>
  <c r="D725" i="13"/>
  <c r="C725" i="13"/>
  <c r="B725" i="13"/>
  <c r="A725" i="13"/>
  <c r="AG724" i="13"/>
  <c r="AF724" i="13"/>
  <c r="AE724" i="13"/>
  <c r="AD724" i="13"/>
  <c r="Z724" i="13"/>
  <c r="Y724" i="13"/>
  <c r="X724" i="13"/>
  <c r="W724" i="13"/>
  <c r="U724" i="13"/>
  <c r="T724" i="13"/>
  <c r="S724" i="13"/>
  <c r="R724" i="13"/>
  <c r="Q724" i="13"/>
  <c r="P724" i="13"/>
  <c r="O724" i="13"/>
  <c r="N724" i="13"/>
  <c r="M724" i="13"/>
  <c r="L724" i="13"/>
  <c r="J724" i="13"/>
  <c r="G724" i="13"/>
  <c r="F724" i="13"/>
  <c r="E724" i="13"/>
  <c r="D724" i="13"/>
  <c r="C724" i="13"/>
  <c r="B724" i="13"/>
  <c r="A724" i="13"/>
  <c r="AG723" i="13"/>
  <c r="AF723" i="13"/>
  <c r="AE723" i="13"/>
  <c r="AD723" i="13"/>
  <c r="Z723" i="13"/>
  <c r="Y723" i="13"/>
  <c r="X723" i="13"/>
  <c r="W723" i="13"/>
  <c r="U723" i="13"/>
  <c r="T723" i="13"/>
  <c r="S723" i="13"/>
  <c r="R723" i="13"/>
  <c r="Q723" i="13"/>
  <c r="P723" i="13"/>
  <c r="O723" i="13"/>
  <c r="N723" i="13"/>
  <c r="M723" i="13"/>
  <c r="L723" i="13"/>
  <c r="J723" i="13"/>
  <c r="G723" i="13"/>
  <c r="F723" i="13"/>
  <c r="E723" i="13"/>
  <c r="D723" i="13"/>
  <c r="C723" i="13"/>
  <c r="B723" i="13"/>
  <c r="A723" i="13"/>
  <c r="AG722" i="13"/>
  <c r="AF722" i="13"/>
  <c r="AE722" i="13"/>
  <c r="AD722" i="13"/>
  <c r="Z722" i="13"/>
  <c r="Y722" i="13"/>
  <c r="X722" i="13"/>
  <c r="W722" i="13"/>
  <c r="U722" i="13"/>
  <c r="T722" i="13"/>
  <c r="S722" i="13"/>
  <c r="R722" i="13"/>
  <c r="Q722" i="13"/>
  <c r="P722" i="13"/>
  <c r="O722" i="13"/>
  <c r="N722" i="13"/>
  <c r="M722" i="13"/>
  <c r="L722" i="13"/>
  <c r="J722" i="13"/>
  <c r="G722" i="13"/>
  <c r="F722" i="13"/>
  <c r="E722" i="13"/>
  <c r="D722" i="13"/>
  <c r="C722" i="13"/>
  <c r="B722" i="13"/>
  <c r="A722" i="13"/>
  <c r="AG721" i="13"/>
  <c r="AF721" i="13"/>
  <c r="AE721" i="13"/>
  <c r="AD721" i="13"/>
  <c r="Z721" i="13"/>
  <c r="Y721" i="13"/>
  <c r="X721" i="13"/>
  <c r="W721" i="13"/>
  <c r="U721" i="13"/>
  <c r="T721" i="13"/>
  <c r="S721" i="13"/>
  <c r="R721" i="13"/>
  <c r="Q721" i="13"/>
  <c r="P721" i="13"/>
  <c r="O721" i="13"/>
  <c r="N721" i="13"/>
  <c r="M721" i="13"/>
  <c r="L721" i="13"/>
  <c r="J721" i="13"/>
  <c r="G721" i="13"/>
  <c r="F721" i="13"/>
  <c r="E721" i="13"/>
  <c r="D721" i="13"/>
  <c r="C721" i="13"/>
  <c r="B721" i="13"/>
  <c r="A721" i="13"/>
  <c r="AG720" i="13"/>
  <c r="AF720" i="13"/>
  <c r="AE720" i="13"/>
  <c r="AD720" i="13"/>
  <c r="Z720" i="13"/>
  <c r="Y720" i="13"/>
  <c r="X720" i="13"/>
  <c r="W720" i="13"/>
  <c r="U720" i="13"/>
  <c r="T720" i="13"/>
  <c r="S720" i="13"/>
  <c r="R720" i="13"/>
  <c r="Q720" i="13"/>
  <c r="P720" i="13"/>
  <c r="O720" i="13"/>
  <c r="N720" i="13"/>
  <c r="M720" i="13"/>
  <c r="L720" i="13"/>
  <c r="J720" i="13"/>
  <c r="G720" i="13"/>
  <c r="F720" i="13"/>
  <c r="E720" i="13"/>
  <c r="D720" i="13"/>
  <c r="C720" i="13"/>
  <c r="B720" i="13"/>
  <c r="A720" i="13"/>
  <c r="AG719" i="13"/>
  <c r="AF719" i="13"/>
  <c r="AE719" i="13"/>
  <c r="AD719" i="13"/>
  <c r="Z719" i="13"/>
  <c r="Y719" i="13"/>
  <c r="X719" i="13"/>
  <c r="W719" i="13"/>
  <c r="U719" i="13"/>
  <c r="T719" i="13"/>
  <c r="S719" i="13"/>
  <c r="R719" i="13"/>
  <c r="Q719" i="13"/>
  <c r="P719" i="13"/>
  <c r="O719" i="13"/>
  <c r="N719" i="13"/>
  <c r="M719" i="13"/>
  <c r="L719" i="13"/>
  <c r="J719" i="13"/>
  <c r="G719" i="13"/>
  <c r="F719" i="13"/>
  <c r="E719" i="13"/>
  <c r="D719" i="13"/>
  <c r="C719" i="13"/>
  <c r="B719" i="13"/>
  <c r="A719" i="13"/>
  <c r="AG718" i="13"/>
  <c r="AF718" i="13"/>
  <c r="AE718" i="13"/>
  <c r="AD718" i="13"/>
  <c r="Z718" i="13"/>
  <c r="Y718" i="13"/>
  <c r="X718" i="13"/>
  <c r="W718" i="13"/>
  <c r="U718" i="13"/>
  <c r="T718" i="13"/>
  <c r="S718" i="13"/>
  <c r="R718" i="13"/>
  <c r="Q718" i="13"/>
  <c r="P718" i="13"/>
  <c r="O718" i="13"/>
  <c r="N718" i="13"/>
  <c r="M718" i="13"/>
  <c r="L718" i="13"/>
  <c r="J718" i="13"/>
  <c r="G718" i="13"/>
  <c r="F718" i="13"/>
  <c r="E718" i="13"/>
  <c r="D718" i="13"/>
  <c r="C718" i="13"/>
  <c r="B718" i="13"/>
  <c r="A718" i="13"/>
  <c r="AG717" i="13"/>
  <c r="AF717" i="13"/>
  <c r="AE717" i="13"/>
  <c r="AD717" i="13"/>
  <c r="Z717" i="13"/>
  <c r="Y717" i="13"/>
  <c r="X717" i="13"/>
  <c r="W717" i="13"/>
  <c r="U717" i="13"/>
  <c r="T717" i="13"/>
  <c r="S717" i="13"/>
  <c r="R717" i="13"/>
  <c r="Q717" i="13"/>
  <c r="P717" i="13"/>
  <c r="O717" i="13"/>
  <c r="N717" i="13"/>
  <c r="M717" i="13"/>
  <c r="L717" i="13"/>
  <c r="J717" i="13"/>
  <c r="G717" i="13"/>
  <c r="F717" i="13"/>
  <c r="E717" i="13"/>
  <c r="D717" i="13"/>
  <c r="C717" i="13"/>
  <c r="B717" i="13"/>
  <c r="A717" i="13"/>
  <c r="AG716" i="13"/>
  <c r="AF716" i="13"/>
  <c r="AE716" i="13"/>
  <c r="AD716" i="13"/>
  <c r="Z716" i="13"/>
  <c r="Y716" i="13"/>
  <c r="X716" i="13"/>
  <c r="W716" i="13"/>
  <c r="U716" i="13"/>
  <c r="T716" i="13"/>
  <c r="S716" i="13"/>
  <c r="R716" i="13"/>
  <c r="Q716" i="13"/>
  <c r="P716" i="13"/>
  <c r="O716" i="13"/>
  <c r="N716" i="13"/>
  <c r="M716" i="13"/>
  <c r="L716" i="13"/>
  <c r="J716" i="13"/>
  <c r="G716" i="13"/>
  <c r="F716" i="13"/>
  <c r="E716" i="13"/>
  <c r="D716" i="13"/>
  <c r="C716" i="13"/>
  <c r="B716" i="13"/>
  <c r="A716" i="13"/>
  <c r="AG715" i="13"/>
  <c r="AF715" i="13"/>
  <c r="AE715" i="13"/>
  <c r="AD715" i="13"/>
  <c r="Z715" i="13"/>
  <c r="Y715" i="13"/>
  <c r="X715" i="13"/>
  <c r="W715" i="13"/>
  <c r="U715" i="13"/>
  <c r="T715" i="13"/>
  <c r="S715" i="13"/>
  <c r="R715" i="13"/>
  <c r="Q715" i="13"/>
  <c r="P715" i="13"/>
  <c r="O715" i="13"/>
  <c r="N715" i="13"/>
  <c r="M715" i="13"/>
  <c r="L715" i="13"/>
  <c r="J715" i="13"/>
  <c r="G715" i="13"/>
  <c r="F715" i="13"/>
  <c r="E715" i="13"/>
  <c r="D715" i="13"/>
  <c r="C715" i="13"/>
  <c r="B715" i="13"/>
  <c r="A715" i="13"/>
  <c r="AG714" i="13"/>
  <c r="AF714" i="13"/>
  <c r="AE714" i="13"/>
  <c r="AD714" i="13"/>
  <c r="Z714" i="13"/>
  <c r="Y714" i="13"/>
  <c r="X714" i="13"/>
  <c r="W714" i="13"/>
  <c r="U714" i="13"/>
  <c r="T714" i="13"/>
  <c r="S714" i="13"/>
  <c r="R714" i="13"/>
  <c r="Q714" i="13"/>
  <c r="P714" i="13"/>
  <c r="O714" i="13"/>
  <c r="N714" i="13"/>
  <c r="M714" i="13"/>
  <c r="L714" i="13"/>
  <c r="J714" i="13"/>
  <c r="G714" i="13"/>
  <c r="F714" i="13"/>
  <c r="E714" i="13"/>
  <c r="D714" i="13"/>
  <c r="C714" i="13"/>
  <c r="B714" i="13"/>
  <c r="A714" i="13"/>
  <c r="AG713" i="13"/>
  <c r="AF713" i="13"/>
  <c r="AE713" i="13"/>
  <c r="AD713" i="13"/>
  <c r="Z713" i="13"/>
  <c r="Y713" i="13"/>
  <c r="X713" i="13"/>
  <c r="W713" i="13"/>
  <c r="U713" i="13"/>
  <c r="T713" i="13"/>
  <c r="S713" i="13"/>
  <c r="R713" i="13"/>
  <c r="Q713" i="13"/>
  <c r="P713" i="13"/>
  <c r="O713" i="13"/>
  <c r="N713" i="13"/>
  <c r="M713" i="13"/>
  <c r="L713" i="13"/>
  <c r="J713" i="13"/>
  <c r="G713" i="13"/>
  <c r="F713" i="13"/>
  <c r="E713" i="13"/>
  <c r="D713" i="13"/>
  <c r="C713" i="13"/>
  <c r="B713" i="13"/>
  <c r="A713" i="13"/>
  <c r="AG712" i="13"/>
  <c r="AF712" i="13"/>
  <c r="AE712" i="13"/>
  <c r="AD712" i="13"/>
  <c r="Z712" i="13"/>
  <c r="Y712" i="13"/>
  <c r="X712" i="13"/>
  <c r="W712" i="13"/>
  <c r="U712" i="13"/>
  <c r="T712" i="13"/>
  <c r="S712" i="13"/>
  <c r="R712" i="13"/>
  <c r="Q712" i="13"/>
  <c r="P712" i="13"/>
  <c r="O712" i="13"/>
  <c r="N712" i="13"/>
  <c r="M712" i="13"/>
  <c r="L712" i="13"/>
  <c r="J712" i="13"/>
  <c r="G712" i="13"/>
  <c r="F712" i="13"/>
  <c r="E712" i="13"/>
  <c r="D712" i="13"/>
  <c r="C712" i="13"/>
  <c r="B712" i="13"/>
  <c r="A712" i="13"/>
  <c r="AG711" i="13"/>
  <c r="AF711" i="13"/>
  <c r="AE711" i="13"/>
  <c r="AD711" i="13"/>
  <c r="Z711" i="13"/>
  <c r="Y711" i="13"/>
  <c r="X711" i="13"/>
  <c r="W711" i="13"/>
  <c r="U711" i="13"/>
  <c r="T711" i="13"/>
  <c r="S711" i="13"/>
  <c r="R711" i="13"/>
  <c r="Q711" i="13"/>
  <c r="P711" i="13"/>
  <c r="O711" i="13"/>
  <c r="N711" i="13"/>
  <c r="M711" i="13"/>
  <c r="L711" i="13"/>
  <c r="J711" i="13"/>
  <c r="G711" i="13"/>
  <c r="F711" i="13"/>
  <c r="E711" i="13"/>
  <c r="D711" i="13"/>
  <c r="C711" i="13"/>
  <c r="B711" i="13"/>
  <c r="A711" i="13"/>
  <c r="AG710" i="13"/>
  <c r="AF710" i="13"/>
  <c r="AE710" i="13"/>
  <c r="AD710" i="13"/>
  <c r="Z710" i="13"/>
  <c r="Y710" i="13"/>
  <c r="X710" i="13"/>
  <c r="W710" i="13"/>
  <c r="U710" i="13"/>
  <c r="T710" i="13"/>
  <c r="S710" i="13"/>
  <c r="R710" i="13"/>
  <c r="Q710" i="13"/>
  <c r="P710" i="13"/>
  <c r="O710" i="13"/>
  <c r="N710" i="13"/>
  <c r="M710" i="13"/>
  <c r="L710" i="13"/>
  <c r="J710" i="13"/>
  <c r="G710" i="13"/>
  <c r="F710" i="13"/>
  <c r="E710" i="13"/>
  <c r="D710" i="13"/>
  <c r="C710" i="13"/>
  <c r="B710" i="13"/>
  <c r="A710" i="13"/>
  <c r="AG709" i="13"/>
  <c r="AF709" i="13"/>
  <c r="AE709" i="13"/>
  <c r="AD709" i="13"/>
  <c r="Z709" i="13"/>
  <c r="Y709" i="13"/>
  <c r="X709" i="13"/>
  <c r="U709" i="13"/>
  <c r="T709" i="13"/>
  <c r="S709" i="13"/>
  <c r="R709" i="13"/>
  <c r="Q709" i="13"/>
  <c r="O709" i="13"/>
  <c r="N709" i="13"/>
  <c r="M709" i="13"/>
  <c r="L709" i="13"/>
  <c r="F709" i="13"/>
  <c r="E709" i="13"/>
  <c r="D709" i="13"/>
  <c r="C709" i="13"/>
  <c r="B709" i="13"/>
  <c r="A709" i="13"/>
  <c r="AG708" i="13"/>
  <c r="AF708" i="13"/>
  <c r="AE708" i="13"/>
  <c r="AD708" i="13"/>
  <c r="Z708" i="13"/>
  <c r="Y708" i="13"/>
  <c r="X708" i="13"/>
  <c r="U708" i="13"/>
  <c r="T708" i="13"/>
  <c r="S708" i="13"/>
  <c r="R708" i="13"/>
  <c r="Q708" i="13"/>
  <c r="O708" i="13"/>
  <c r="N708" i="13"/>
  <c r="M708" i="13"/>
  <c r="L708" i="13"/>
  <c r="F708" i="13"/>
  <c r="E708" i="13"/>
  <c r="D708" i="13"/>
  <c r="C708" i="13"/>
  <c r="B708" i="13"/>
  <c r="A708" i="13"/>
  <c r="AG707" i="13"/>
  <c r="AF707" i="13"/>
  <c r="AE707" i="13"/>
  <c r="AD707" i="13"/>
  <c r="Z707" i="13"/>
  <c r="Y707" i="13"/>
  <c r="X707" i="13"/>
  <c r="U707" i="13"/>
  <c r="T707" i="13"/>
  <c r="S707" i="13"/>
  <c r="R707" i="13"/>
  <c r="Q707" i="13"/>
  <c r="O707" i="13"/>
  <c r="N707" i="13"/>
  <c r="M707" i="13"/>
  <c r="L707" i="13"/>
  <c r="F707" i="13"/>
  <c r="E707" i="13"/>
  <c r="D707" i="13"/>
  <c r="C707" i="13"/>
  <c r="B707" i="13"/>
  <c r="A707" i="13"/>
  <c r="AG706" i="13"/>
  <c r="AF706" i="13"/>
  <c r="AE706" i="13"/>
  <c r="AD706" i="13"/>
  <c r="Z706" i="13"/>
  <c r="Y706" i="13"/>
  <c r="X706" i="13"/>
  <c r="W706" i="13"/>
  <c r="U706" i="13"/>
  <c r="T706" i="13"/>
  <c r="S706" i="13"/>
  <c r="R706" i="13"/>
  <c r="Q706" i="13"/>
  <c r="P706" i="13"/>
  <c r="O706" i="13"/>
  <c r="N706" i="13"/>
  <c r="M706" i="13"/>
  <c r="L706" i="13"/>
  <c r="J706" i="13"/>
  <c r="G706" i="13"/>
  <c r="F706" i="13"/>
  <c r="E706" i="13"/>
  <c r="D706" i="13"/>
  <c r="C706" i="13"/>
  <c r="B706" i="13"/>
  <c r="A706" i="13"/>
  <c r="AG705" i="13"/>
  <c r="AF705" i="13"/>
  <c r="AE705" i="13"/>
  <c r="AD705" i="13"/>
  <c r="Z705" i="13"/>
  <c r="Y705" i="13"/>
  <c r="X705" i="13"/>
  <c r="W705" i="13"/>
  <c r="U705" i="13"/>
  <c r="T705" i="13"/>
  <c r="S705" i="13"/>
  <c r="R705" i="13"/>
  <c r="Q705" i="13"/>
  <c r="P705" i="13"/>
  <c r="O705" i="13"/>
  <c r="N705" i="13"/>
  <c r="M705" i="13"/>
  <c r="L705" i="13"/>
  <c r="J705" i="13"/>
  <c r="G705" i="13"/>
  <c r="F705" i="13"/>
  <c r="E705" i="13"/>
  <c r="D705" i="13"/>
  <c r="C705" i="13"/>
  <c r="B705" i="13"/>
  <c r="A705" i="13"/>
  <c r="AG704" i="13"/>
  <c r="AF704" i="13"/>
  <c r="AE704" i="13"/>
  <c r="AD704" i="13"/>
  <c r="Z704" i="13"/>
  <c r="Y704" i="13"/>
  <c r="X704" i="13"/>
  <c r="W704" i="13"/>
  <c r="U704" i="13"/>
  <c r="T704" i="13"/>
  <c r="S704" i="13"/>
  <c r="R704" i="13"/>
  <c r="Q704" i="13"/>
  <c r="P704" i="13"/>
  <c r="O704" i="13"/>
  <c r="N704" i="13"/>
  <c r="M704" i="13"/>
  <c r="L704" i="13"/>
  <c r="J704" i="13"/>
  <c r="G704" i="13"/>
  <c r="F704" i="13"/>
  <c r="E704" i="13"/>
  <c r="D704" i="13"/>
  <c r="C704" i="13"/>
  <c r="B704" i="13"/>
  <c r="A704" i="13"/>
  <c r="AG703" i="13"/>
  <c r="AF703" i="13"/>
  <c r="AE703" i="13"/>
  <c r="AD703" i="13"/>
  <c r="Z703" i="13"/>
  <c r="Y703" i="13"/>
  <c r="X703" i="13"/>
  <c r="W703" i="13"/>
  <c r="U703" i="13"/>
  <c r="T703" i="13"/>
  <c r="S703" i="13"/>
  <c r="R703" i="13"/>
  <c r="Q703" i="13"/>
  <c r="P703" i="13"/>
  <c r="O703" i="13"/>
  <c r="N703" i="13"/>
  <c r="M703" i="13"/>
  <c r="L703" i="13"/>
  <c r="J703" i="13"/>
  <c r="G703" i="13"/>
  <c r="F703" i="13"/>
  <c r="E703" i="13"/>
  <c r="D703" i="13"/>
  <c r="C703" i="13"/>
  <c r="B703" i="13"/>
  <c r="A703" i="13"/>
  <c r="AG702" i="13"/>
  <c r="AF702" i="13"/>
  <c r="AE702" i="13"/>
  <c r="AD702" i="13"/>
  <c r="Z702" i="13"/>
  <c r="Y702" i="13"/>
  <c r="X702" i="13"/>
  <c r="W702" i="13"/>
  <c r="U702" i="13"/>
  <c r="T702" i="13"/>
  <c r="S702" i="13"/>
  <c r="R702" i="13"/>
  <c r="Q702" i="13"/>
  <c r="P702" i="13"/>
  <c r="O702" i="13"/>
  <c r="N702" i="13"/>
  <c r="M702" i="13"/>
  <c r="L702" i="13"/>
  <c r="J702" i="13"/>
  <c r="G702" i="13"/>
  <c r="F702" i="13"/>
  <c r="E702" i="13"/>
  <c r="D702" i="13"/>
  <c r="C702" i="13"/>
  <c r="B702" i="13"/>
  <c r="A702" i="13"/>
  <c r="AG701" i="13"/>
  <c r="AF701" i="13"/>
  <c r="AE701" i="13"/>
  <c r="AD701" i="13"/>
  <c r="Z701" i="13"/>
  <c r="Y701" i="13"/>
  <c r="X701" i="13"/>
  <c r="W701" i="13"/>
  <c r="U701" i="13"/>
  <c r="T701" i="13"/>
  <c r="S701" i="13"/>
  <c r="R701" i="13"/>
  <c r="Q701" i="13"/>
  <c r="P701" i="13"/>
  <c r="O701" i="13"/>
  <c r="N701" i="13"/>
  <c r="M701" i="13"/>
  <c r="L701" i="13"/>
  <c r="J701" i="13"/>
  <c r="G701" i="13"/>
  <c r="F701" i="13"/>
  <c r="E701" i="13"/>
  <c r="D701" i="13"/>
  <c r="C701" i="13"/>
  <c r="B701" i="13"/>
  <c r="A701" i="13"/>
  <c r="AG700" i="13"/>
  <c r="AF700" i="13"/>
  <c r="AE700" i="13"/>
  <c r="AD700" i="13"/>
  <c r="Z700" i="13"/>
  <c r="Y700" i="13"/>
  <c r="X700" i="13"/>
  <c r="W700" i="13"/>
  <c r="U700" i="13"/>
  <c r="T700" i="13"/>
  <c r="S700" i="13"/>
  <c r="R700" i="13"/>
  <c r="Q700" i="13"/>
  <c r="P700" i="13"/>
  <c r="O700" i="13"/>
  <c r="N700" i="13"/>
  <c r="M700" i="13"/>
  <c r="L700" i="13"/>
  <c r="J700" i="13"/>
  <c r="G700" i="13"/>
  <c r="F700" i="13"/>
  <c r="E700" i="13"/>
  <c r="D700" i="13"/>
  <c r="C700" i="13"/>
  <c r="B700" i="13"/>
  <c r="A700" i="13"/>
  <c r="AG699" i="13"/>
  <c r="AF699" i="13"/>
  <c r="AE699" i="13"/>
  <c r="AD699" i="13"/>
  <c r="Z699" i="13"/>
  <c r="Y699" i="13"/>
  <c r="X699" i="13"/>
  <c r="W699" i="13"/>
  <c r="U699" i="13"/>
  <c r="T699" i="13"/>
  <c r="S699" i="13"/>
  <c r="R699" i="13"/>
  <c r="Q699" i="13"/>
  <c r="P699" i="13"/>
  <c r="O699" i="13"/>
  <c r="N699" i="13"/>
  <c r="M699" i="13"/>
  <c r="L699" i="13"/>
  <c r="J699" i="13"/>
  <c r="G699" i="13"/>
  <c r="F699" i="13"/>
  <c r="E699" i="13"/>
  <c r="D699" i="13"/>
  <c r="C699" i="13"/>
  <c r="B699" i="13"/>
  <c r="A699" i="13"/>
  <c r="AG698" i="13"/>
  <c r="AF698" i="13"/>
  <c r="AE698" i="13"/>
  <c r="AD698" i="13"/>
  <c r="Z698" i="13"/>
  <c r="Y698" i="13"/>
  <c r="X698" i="13"/>
  <c r="W698" i="13"/>
  <c r="U698" i="13"/>
  <c r="T698" i="13"/>
  <c r="S698" i="13"/>
  <c r="R698" i="13"/>
  <c r="Q698" i="13"/>
  <c r="P698" i="13"/>
  <c r="O698" i="13"/>
  <c r="N698" i="13"/>
  <c r="M698" i="13"/>
  <c r="L698" i="13"/>
  <c r="J698" i="13"/>
  <c r="G698" i="13"/>
  <c r="F698" i="13"/>
  <c r="E698" i="13"/>
  <c r="D698" i="13"/>
  <c r="C698" i="13"/>
  <c r="B698" i="13"/>
  <c r="A698" i="13"/>
  <c r="AG697" i="13"/>
  <c r="AF697" i="13"/>
  <c r="AE697" i="13"/>
  <c r="AD697" i="13"/>
  <c r="Z697" i="13"/>
  <c r="Y697" i="13"/>
  <c r="X697" i="13"/>
  <c r="W697" i="13"/>
  <c r="U697" i="13"/>
  <c r="T697" i="13"/>
  <c r="S697" i="13"/>
  <c r="R697" i="13"/>
  <c r="Q697" i="13"/>
  <c r="P697" i="13"/>
  <c r="O697" i="13"/>
  <c r="N697" i="13"/>
  <c r="M697" i="13"/>
  <c r="L697" i="13"/>
  <c r="J697" i="13"/>
  <c r="G697" i="13"/>
  <c r="F697" i="13"/>
  <c r="E697" i="13"/>
  <c r="D697" i="13"/>
  <c r="C697" i="13"/>
  <c r="B697" i="13"/>
  <c r="A697" i="13"/>
  <c r="AG696" i="13"/>
  <c r="AF696" i="13"/>
  <c r="AE696" i="13"/>
  <c r="AD696" i="13"/>
  <c r="Z696" i="13"/>
  <c r="Y696" i="13"/>
  <c r="X696" i="13"/>
  <c r="W696" i="13"/>
  <c r="U696" i="13"/>
  <c r="T696" i="13"/>
  <c r="S696" i="13"/>
  <c r="R696" i="13"/>
  <c r="Q696" i="13"/>
  <c r="P696" i="13"/>
  <c r="O696" i="13"/>
  <c r="N696" i="13"/>
  <c r="M696" i="13"/>
  <c r="L696" i="13"/>
  <c r="J696" i="13"/>
  <c r="G696" i="13"/>
  <c r="F696" i="13"/>
  <c r="E696" i="13"/>
  <c r="D696" i="13"/>
  <c r="C696" i="13"/>
  <c r="B696" i="13"/>
  <c r="A696" i="13"/>
  <c r="AG695" i="13"/>
  <c r="AF695" i="13"/>
  <c r="AE695" i="13"/>
  <c r="AD695" i="13"/>
  <c r="Z695" i="13"/>
  <c r="Y695" i="13"/>
  <c r="X695" i="13"/>
  <c r="W695" i="13"/>
  <c r="U695" i="13"/>
  <c r="T695" i="13"/>
  <c r="S695" i="13"/>
  <c r="R695" i="13"/>
  <c r="Q695" i="13"/>
  <c r="P695" i="13"/>
  <c r="O695" i="13"/>
  <c r="N695" i="13"/>
  <c r="M695" i="13"/>
  <c r="L695" i="13"/>
  <c r="J695" i="13"/>
  <c r="G695" i="13"/>
  <c r="F695" i="13"/>
  <c r="E695" i="13"/>
  <c r="D695" i="13"/>
  <c r="C695" i="13"/>
  <c r="B695" i="13"/>
  <c r="A695" i="13"/>
  <c r="AG694" i="13"/>
  <c r="AF694" i="13"/>
  <c r="AE694" i="13"/>
  <c r="AD694" i="13"/>
  <c r="Z694" i="13"/>
  <c r="Y694" i="13"/>
  <c r="X694" i="13"/>
  <c r="W694" i="13"/>
  <c r="U694" i="13"/>
  <c r="T694" i="13"/>
  <c r="S694" i="13"/>
  <c r="R694" i="13"/>
  <c r="Q694" i="13"/>
  <c r="P694" i="13"/>
  <c r="O694" i="13"/>
  <c r="N694" i="13"/>
  <c r="M694" i="13"/>
  <c r="L694" i="13"/>
  <c r="J694" i="13"/>
  <c r="G694" i="13"/>
  <c r="F694" i="13"/>
  <c r="E694" i="13"/>
  <c r="D694" i="13"/>
  <c r="C694" i="13"/>
  <c r="B694" i="13"/>
  <c r="A694" i="13"/>
  <c r="AG693" i="13"/>
  <c r="AF693" i="13"/>
  <c r="AE693" i="13"/>
  <c r="AD693" i="13"/>
  <c r="Z693" i="13"/>
  <c r="Y693" i="13"/>
  <c r="X693" i="13"/>
  <c r="W693" i="13"/>
  <c r="U693" i="13"/>
  <c r="T693" i="13"/>
  <c r="S693" i="13"/>
  <c r="R693" i="13"/>
  <c r="Q693" i="13"/>
  <c r="P693" i="13"/>
  <c r="O693" i="13"/>
  <c r="N693" i="13"/>
  <c r="M693" i="13"/>
  <c r="L693" i="13"/>
  <c r="J693" i="13"/>
  <c r="G693" i="13"/>
  <c r="F693" i="13"/>
  <c r="E693" i="13"/>
  <c r="D693" i="13"/>
  <c r="C693" i="13"/>
  <c r="B693" i="13"/>
  <c r="A693" i="13"/>
  <c r="AG692" i="13"/>
  <c r="AF692" i="13"/>
  <c r="AE692" i="13"/>
  <c r="AD692" i="13"/>
  <c r="Z692" i="13"/>
  <c r="Y692" i="13"/>
  <c r="X692" i="13"/>
  <c r="W692" i="13"/>
  <c r="U692" i="13"/>
  <c r="T692" i="13"/>
  <c r="S692" i="13"/>
  <c r="R692" i="13"/>
  <c r="Q692" i="13"/>
  <c r="P692" i="13"/>
  <c r="O692" i="13"/>
  <c r="N692" i="13"/>
  <c r="M692" i="13"/>
  <c r="L692" i="13"/>
  <c r="J692" i="13"/>
  <c r="G692" i="13"/>
  <c r="F692" i="13"/>
  <c r="E692" i="13"/>
  <c r="D692" i="13"/>
  <c r="C692" i="13"/>
  <c r="B692" i="13"/>
  <c r="A692" i="13"/>
  <c r="AG691" i="13"/>
  <c r="AF691" i="13"/>
  <c r="AE691" i="13"/>
  <c r="AD691" i="13"/>
  <c r="Z691" i="13"/>
  <c r="Y691" i="13"/>
  <c r="X691" i="13"/>
  <c r="W691" i="13"/>
  <c r="U691" i="13"/>
  <c r="T691" i="13"/>
  <c r="S691" i="13"/>
  <c r="R691" i="13"/>
  <c r="Q691" i="13"/>
  <c r="P691" i="13"/>
  <c r="O691" i="13"/>
  <c r="N691" i="13"/>
  <c r="M691" i="13"/>
  <c r="L691" i="13"/>
  <c r="J691" i="13"/>
  <c r="G691" i="13"/>
  <c r="F691" i="13"/>
  <c r="E691" i="13"/>
  <c r="D691" i="13"/>
  <c r="C691" i="13"/>
  <c r="B691" i="13"/>
  <c r="A691" i="13"/>
  <c r="AG690" i="13"/>
  <c r="AF690" i="13"/>
  <c r="AE690" i="13"/>
  <c r="AD690" i="13"/>
  <c r="Z690" i="13"/>
  <c r="Y690" i="13"/>
  <c r="X690" i="13"/>
  <c r="W690" i="13"/>
  <c r="U690" i="13"/>
  <c r="T690" i="13"/>
  <c r="S690" i="13"/>
  <c r="R690" i="13"/>
  <c r="Q690" i="13"/>
  <c r="P690" i="13"/>
  <c r="O690" i="13"/>
  <c r="N690" i="13"/>
  <c r="M690" i="13"/>
  <c r="L690" i="13"/>
  <c r="J690" i="13"/>
  <c r="G690" i="13"/>
  <c r="F690" i="13"/>
  <c r="E690" i="13"/>
  <c r="D690" i="13"/>
  <c r="C690" i="13"/>
  <c r="B690" i="13"/>
  <c r="A690" i="13"/>
  <c r="AG689" i="13"/>
  <c r="AF689" i="13"/>
  <c r="AE689" i="13"/>
  <c r="AD689" i="13"/>
  <c r="Z689" i="13"/>
  <c r="Y689" i="13"/>
  <c r="X689" i="13"/>
  <c r="W689" i="13"/>
  <c r="U689" i="13"/>
  <c r="T689" i="13"/>
  <c r="S689" i="13"/>
  <c r="R689" i="13"/>
  <c r="Q689" i="13"/>
  <c r="P689" i="13"/>
  <c r="O689" i="13"/>
  <c r="N689" i="13"/>
  <c r="M689" i="13"/>
  <c r="L689" i="13"/>
  <c r="J689" i="13"/>
  <c r="G689" i="13"/>
  <c r="F689" i="13"/>
  <c r="E689" i="13"/>
  <c r="D689" i="13"/>
  <c r="C689" i="13"/>
  <c r="B689" i="13"/>
  <c r="A689" i="13"/>
  <c r="AG688" i="13"/>
  <c r="AF688" i="13"/>
  <c r="AE688" i="13"/>
  <c r="AD688" i="13"/>
  <c r="Z688" i="13"/>
  <c r="Y688" i="13"/>
  <c r="X688" i="13"/>
  <c r="W688" i="13"/>
  <c r="U688" i="13"/>
  <c r="T688" i="13"/>
  <c r="S688" i="13"/>
  <c r="R688" i="13"/>
  <c r="Q688" i="13"/>
  <c r="P688" i="13"/>
  <c r="O688" i="13"/>
  <c r="N688" i="13"/>
  <c r="M688" i="13"/>
  <c r="L688" i="13"/>
  <c r="J688" i="13"/>
  <c r="G688" i="13"/>
  <c r="F688" i="13"/>
  <c r="E688" i="13"/>
  <c r="D688" i="13"/>
  <c r="C688" i="13"/>
  <c r="B688" i="13"/>
  <c r="A688" i="13"/>
  <c r="AG687" i="13"/>
  <c r="AF687" i="13"/>
  <c r="AE687" i="13"/>
  <c r="AD687" i="13"/>
  <c r="Z687" i="13"/>
  <c r="Y687" i="13"/>
  <c r="X687" i="13"/>
  <c r="W687" i="13"/>
  <c r="U687" i="13"/>
  <c r="T687" i="13"/>
  <c r="S687" i="13"/>
  <c r="R687" i="13"/>
  <c r="Q687" i="13"/>
  <c r="P687" i="13"/>
  <c r="O687" i="13"/>
  <c r="N687" i="13"/>
  <c r="M687" i="13"/>
  <c r="L687" i="13"/>
  <c r="J687" i="13"/>
  <c r="G687" i="13"/>
  <c r="F687" i="13"/>
  <c r="E687" i="13"/>
  <c r="D687" i="13"/>
  <c r="C687" i="13"/>
  <c r="B687" i="13"/>
  <c r="A687" i="13"/>
  <c r="AG686" i="13"/>
  <c r="AF686" i="13"/>
  <c r="AE686" i="13"/>
  <c r="AD686" i="13"/>
  <c r="Z686" i="13"/>
  <c r="Y686" i="13"/>
  <c r="X686" i="13"/>
  <c r="W686" i="13"/>
  <c r="U686" i="13"/>
  <c r="T686" i="13"/>
  <c r="S686" i="13"/>
  <c r="R686" i="13"/>
  <c r="Q686" i="13"/>
  <c r="P686" i="13"/>
  <c r="O686" i="13"/>
  <c r="N686" i="13"/>
  <c r="M686" i="13"/>
  <c r="L686" i="13"/>
  <c r="J686" i="13"/>
  <c r="G686" i="13"/>
  <c r="F686" i="13"/>
  <c r="E686" i="13"/>
  <c r="D686" i="13"/>
  <c r="C686" i="13"/>
  <c r="B686" i="13"/>
  <c r="A686" i="13"/>
  <c r="AG685" i="13"/>
  <c r="AF685" i="13"/>
  <c r="AE685" i="13"/>
  <c r="AD685" i="13"/>
  <c r="Z685" i="13"/>
  <c r="Y685" i="13"/>
  <c r="X685" i="13"/>
  <c r="W685" i="13"/>
  <c r="U685" i="13"/>
  <c r="T685" i="13"/>
  <c r="S685" i="13"/>
  <c r="R685" i="13"/>
  <c r="Q685" i="13"/>
  <c r="P685" i="13"/>
  <c r="O685" i="13"/>
  <c r="N685" i="13"/>
  <c r="M685" i="13"/>
  <c r="L685" i="13"/>
  <c r="J685" i="13"/>
  <c r="G685" i="13"/>
  <c r="F685" i="13"/>
  <c r="E685" i="13"/>
  <c r="D685" i="13"/>
  <c r="C685" i="13"/>
  <c r="B685" i="13"/>
  <c r="A685" i="13"/>
  <c r="AG684" i="13"/>
  <c r="AF684" i="13"/>
  <c r="AE684" i="13"/>
  <c r="AD684" i="13"/>
  <c r="Z684" i="13"/>
  <c r="Y684" i="13"/>
  <c r="X684" i="13"/>
  <c r="W684" i="13"/>
  <c r="U684" i="13"/>
  <c r="T684" i="13"/>
  <c r="S684" i="13"/>
  <c r="R684" i="13"/>
  <c r="Q684" i="13"/>
  <c r="P684" i="13"/>
  <c r="O684" i="13"/>
  <c r="N684" i="13"/>
  <c r="M684" i="13"/>
  <c r="L684" i="13"/>
  <c r="J684" i="13"/>
  <c r="G684" i="13"/>
  <c r="F684" i="13"/>
  <c r="E684" i="13"/>
  <c r="D684" i="13"/>
  <c r="C684" i="13"/>
  <c r="B684" i="13"/>
  <c r="A684" i="13"/>
  <c r="AG683" i="13"/>
  <c r="AF683" i="13"/>
  <c r="AE683" i="13"/>
  <c r="AD683" i="13"/>
  <c r="Z683" i="13"/>
  <c r="Y683" i="13"/>
  <c r="X683" i="13"/>
  <c r="W683" i="13"/>
  <c r="U683" i="13"/>
  <c r="T683" i="13"/>
  <c r="S683" i="13"/>
  <c r="R683" i="13"/>
  <c r="Q683" i="13"/>
  <c r="P683" i="13"/>
  <c r="O683" i="13"/>
  <c r="N683" i="13"/>
  <c r="M683" i="13"/>
  <c r="L683" i="13"/>
  <c r="J683" i="13"/>
  <c r="G683" i="13"/>
  <c r="F683" i="13"/>
  <c r="E683" i="13"/>
  <c r="D683" i="13"/>
  <c r="C683" i="13"/>
  <c r="B683" i="13"/>
  <c r="A683" i="13"/>
  <c r="AG682" i="13"/>
  <c r="AF682" i="13"/>
  <c r="AE682" i="13"/>
  <c r="AD682" i="13"/>
  <c r="Z682" i="13"/>
  <c r="Y682" i="13"/>
  <c r="X682" i="13"/>
  <c r="W682" i="13"/>
  <c r="U682" i="13"/>
  <c r="T682" i="13"/>
  <c r="S682" i="13"/>
  <c r="R682" i="13"/>
  <c r="Q682" i="13"/>
  <c r="P682" i="13"/>
  <c r="O682" i="13"/>
  <c r="N682" i="13"/>
  <c r="M682" i="13"/>
  <c r="L682" i="13"/>
  <c r="J682" i="13"/>
  <c r="G682" i="13"/>
  <c r="F682" i="13"/>
  <c r="E682" i="13"/>
  <c r="D682" i="13"/>
  <c r="C682" i="13"/>
  <c r="B682" i="13"/>
  <c r="A682" i="13"/>
  <c r="AG681" i="13"/>
  <c r="AF681" i="13"/>
  <c r="AE681" i="13"/>
  <c r="AD681" i="13"/>
  <c r="Z681" i="13"/>
  <c r="Y681" i="13"/>
  <c r="X681" i="13"/>
  <c r="W681" i="13"/>
  <c r="U681" i="13"/>
  <c r="T681" i="13"/>
  <c r="S681" i="13"/>
  <c r="R681" i="13"/>
  <c r="Q681" i="13"/>
  <c r="P681" i="13"/>
  <c r="O681" i="13"/>
  <c r="N681" i="13"/>
  <c r="M681" i="13"/>
  <c r="L681" i="13"/>
  <c r="J681" i="13"/>
  <c r="G681" i="13"/>
  <c r="F681" i="13"/>
  <c r="E681" i="13"/>
  <c r="D681" i="13"/>
  <c r="C681" i="13"/>
  <c r="B681" i="13"/>
  <c r="A681" i="13"/>
  <c r="AG680" i="13"/>
  <c r="AF680" i="13"/>
  <c r="AE680" i="13"/>
  <c r="AD680" i="13"/>
  <c r="Z680" i="13"/>
  <c r="Y680" i="13"/>
  <c r="X680" i="13"/>
  <c r="W680" i="13"/>
  <c r="U680" i="13"/>
  <c r="T680" i="13"/>
  <c r="S680" i="13"/>
  <c r="R680" i="13"/>
  <c r="Q680" i="13"/>
  <c r="P680" i="13"/>
  <c r="O680" i="13"/>
  <c r="N680" i="13"/>
  <c r="M680" i="13"/>
  <c r="L680" i="13"/>
  <c r="J680" i="13"/>
  <c r="G680" i="13"/>
  <c r="F680" i="13"/>
  <c r="E680" i="13"/>
  <c r="D680" i="13"/>
  <c r="C680" i="13"/>
  <c r="B680" i="13"/>
  <c r="A680" i="13"/>
  <c r="AG679" i="13"/>
  <c r="AF679" i="13"/>
  <c r="AE679" i="13"/>
  <c r="AD679" i="13"/>
  <c r="Z679" i="13"/>
  <c r="Y679" i="13"/>
  <c r="X679" i="13"/>
  <c r="W679" i="13"/>
  <c r="U679" i="13"/>
  <c r="T679" i="13"/>
  <c r="S679" i="13"/>
  <c r="R679" i="13"/>
  <c r="Q679" i="13"/>
  <c r="P679" i="13"/>
  <c r="O679" i="13"/>
  <c r="N679" i="13"/>
  <c r="M679" i="13"/>
  <c r="L679" i="13"/>
  <c r="J679" i="13"/>
  <c r="G679" i="13"/>
  <c r="F679" i="13"/>
  <c r="E679" i="13"/>
  <c r="D679" i="13"/>
  <c r="C679" i="13"/>
  <c r="B679" i="13"/>
  <c r="A679" i="13"/>
  <c r="AG678" i="13"/>
  <c r="AF678" i="13"/>
  <c r="AE678" i="13"/>
  <c r="AD678" i="13"/>
  <c r="Z678" i="13"/>
  <c r="Y678" i="13"/>
  <c r="X678" i="13"/>
  <c r="W678" i="13"/>
  <c r="U678" i="13"/>
  <c r="T678" i="13"/>
  <c r="S678" i="13"/>
  <c r="R678" i="13"/>
  <c r="Q678" i="13"/>
  <c r="P678" i="13"/>
  <c r="O678" i="13"/>
  <c r="N678" i="13"/>
  <c r="M678" i="13"/>
  <c r="L678" i="13"/>
  <c r="J678" i="13"/>
  <c r="G678" i="13"/>
  <c r="F678" i="13"/>
  <c r="E678" i="13"/>
  <c r="D678" i="13"/>
  <c r="C678" i="13"/>
  <c r="B678" i="13"/>
  <c r="A678" i="13"/>
  <c r="AG677" i="13"/>
  <c r="AF677" i="13"/>
  <c r="AE677" i="13"/>
  <c r="AD677" i="13"/>
  <c r="Z677" i="13"/>
  <c r="Y677" i="13"/>
  <c r="X677" i="13"/>
  <c r="W677" i="13"/>
  <c r="U677" i="13"/>
  <c r="T677" i="13"/>
  <c r="S677" i="13"/>
  <c r="R677" i="13"/>
  <c r="Q677" i="13"/>
  <c r="P677" i="13"/>
  <c r="O677" i="13"/>
  <c r="N677" i="13"/>
  <c r="M677" i="13"/>
  <c r="L677" i="13"/>
  <c r="J677" i="13"/>
  <c r="G677" i="13"/>
  <c r="F677" i="13"/>
  <c r="E677" i="13"/>
  <c r="D677" i="13"/>
  <c r="C677" i="13"/>
  <c r="B677" i="13"/>
  <c r="A677" i="13"/>
  <c r="AG676" i="13"/>
  <c r="AF676" i="13"/>
  <c r="AE676" i="13"/>
  <c r="AD676" i="13"/>
  <c r="Z676" i="13"/>
  <c r="Y676" i="13"/>
  <c r="X676" i="13"/>
  <c r="W676" i="13"/>
  <c r="U676" i="13"/>
  <c r="T676" i="13"/>
  <c r="S676" i="13"/>
  <c r="R676" i="13"/>
  <c r="Q676" i="13"/>
  <c r="P676" i="13"/>
  <c r="O676" i="13"/>
  <c r="N676" i="13"/>
  <c r="M676" i="13"/>
  <c r="L676" i="13"/>
  <c r="J676" i="13"/>
  <c r="G676" i="13"/>
  <c r="F676" i="13"/>
  <c r="E676" i="13"/>
  <c r="D676" i="13"/>
  <c r="C676" i="13"/>
  <c r="B676" i="13"/>
  <c r="A676" i="13"/>
  <c r="AG675" i="13"/>
  <c r="AF675" i="13"/>
  <c r="AE675" i="13"/>
  <c r="AD675" i="13"/>
  <c r="Z675" i="13"/>
  <c r="Y675" i="13"/>
  <c r="X675" i="13"/>
  <c r="W675" i="13"/>
  <c r="U675" i="13"/>
  <c r="T675" i="13"/>
  <c r="S675" i="13"/>
  <c r="R675" i="13"/>
  <c r="Q675" i="13"/>
  <c r="P675" i="13"/>
  <c r="O675" i="13"/>
  <c r="N675" i="13"/>
  <c r="M675" i="13"/>
  <c r="L675" i="13"/>
  <c r="J675" i="13"/>
  <c r="G675" i="13"/>
  <c r="F675" i="13"/>
  <c r="E675" i="13"/>
  <c r="D675" i="13"/>
  <c r="C675" i="13"/>
  <c r="B675" i="13"/>
  <c r="A675" i="13"/>
  <c r="AG674" i="13"/>
  <c r="AF674" i="13"/>
  <c r="AE674" i="13"/>
  <c r="AD674" i="13"/>
  <c r="Z674" i="13"/>
  <c r="Y674" i="13"/>
  <c r="X674" i="13"/>
  <c r="W674" i="13"/>
  <c r="U674" i="13"/>
  <c r="T674" i="13"/>
  <c r="S674" i="13"/>
  <c r="R674" i="13"/>
  <c r="Q674" i="13"/>
  <c r="P674" i="13"/>
  <c r="O674" i="13"/>
  <c r="N674" i="13"/>
  <c r="M674" i="13"/>
  <c r="L674" i="13"/>
  <c r="J674" i="13"/>
  <c r="G674" i="13"/>
  <c r="F674" i="13"/>
  <c r="E674" i="13"/>
  <c r="D674" i="13"/>
  <c r="C674" i="13"/>
  <c r="B674" i="13"/>
  <c r="A674" i="13"/>
  <c r="AG673" i="13"/>
  <c r="AF673" i="13"/>
  <c r="AE673" i="13"/>
  <c r="AD673" i="13"/>
  <c r="Z673" i="13"/>
  <c r="Y673" i="13"/>
  <c r="X673" i="13"/>
  <c r="W673" i="13"/>
  <c r="U673" i="13"/>
  <c r="T673" i="13"/>
  <c r="S673" i="13"/>
  <c r="R673" i="13"/>
  <c r="Q673" i="13"/>
  <c r="P673" i="13"/>
  <c r="O673" i="13"/>
  <c r="N673" i="13"/>
  <c r="M673" i="13"/>
  <c r="L673" i="13"/>
  <c r="J673" i="13"/>
  <c r="G673" i="13"/>
  <c r="F673" i="13"/>
  <c r="E673" i="13"/>
  <c r="D673" i="13"/>
  <c r="C673" i="13"/>
  <c r="B673" i="13"/>
  <c r="A673" i="13"/>
  <c r="AG672" i="13"/>
  <c r="AF672" i="13"/>
  <c r="AE672" i="13"/>
  <c r="AD672" i="13"/>
  <c r="Z672" i="13"/>
  <c r="Y672" i="13"/>
  <c r="X672" i="13"/>
  <c r="W672" i="13"/>
  <c r="U672" i="13"/>
  <c r="T672" i="13"/>
  <c r="S672" i="13"/>
  <c r="R672" i="13"/>
  <c r="Q672" i="13"/>
  <c r="P672" i="13"/>
  <c r="O672" i="13"/>
  <c r="N672" i="13"/>
  <c r="M672" i="13"/>
  <c r="L672" i="13"/>
  <c r="J672" i="13"/>
  <c r="G672" i="13"/>
  <c r="F672" i="13"/>
  <c r="E672" i="13"/>
  <c r="D672" i="13"/>
  <c r="C672" i="13"/>
  <c r="B672" i="13"/>
  <c r="A672" i="13"/>
  <c r="AG671" i="13"/>
  <c r="AF671" i="13"/>
  <c r="AE671" i="13"/>
  <c r="AD671" i="13"/>
  <c r="Z671" i="13"/>
  <c r="Y671" i="13"/>
  <c r="X671" i="13"/>
  <c r="W671" i="13"/>
  <c r="U671" i="13"/>
  <c r="T671" i="13"/>
  <c r="S671" i="13"/>
  <c r="R671" i="13"/>
  <c r="Q671" i="13"/>
  <c r="P671" i="13"/>
  <c r="O671" i="13"/>
  <c r="N671" i="13"/>
  <c r="M671" i="13"/>
  <c r="L671" i="13"/>
  <c r="J671" i="13"/>
  <c r="G671" i="13"/>
  <c r="F671" i="13"/>
  <c r="E671" i="13"/>
  <c r="D671" i="13"/>
  <c r="C671" i="13"/>
  <c r="B671" i="13"/>
  <c r="A671" i="13"/>
  <c r="AG670" i="13"/>
  <c r="AF670" i="13"/>
  <c r="AE670" i="13"/>
  <c r="AD670" i="13"/>
  <c r="Z670" i="13"/>
  <c r="Y670" i="13"/>
  <c r="X670" i="13"/>
  <c r="W670" i="13"/>
  <c r="U670" i="13"/>
  <c r="T670" i="13"/>
  <c r="S670" i="13"/>
  <c r="R670" i="13"/>
  <c r="Q670" i="13"/>
  <c r="P670" i="13"/>
  <c r="O670" i="13"/>
  <c r="N670" i="13"/>
  <c r="M670" i="13"/>
  <c r="L670" i="13"/>
  <c r="J670" i="13"/>
  <c r="G670" i="13"/>
  <c r="F670" i="13"/>
  <c r="E670" i="13"/>
  <c r="D670" i="13"/>
  <c r="C670" i="13"/>
  <c r="B670" i="13"/>
  <c r="A670" i="13"/>
  <c r="AG669" i="13"/>
  <c r="AF669" i="13"/>
  <c r="AE669" i="13"/>
  <c r="AD669" i="13"/>
  <c r="Z669" i="13"/>
  <c r="Y669" i="13"/>
  <c r="X669" i="13"/>
  <c r="W669" i="13"/>
  <c r="U669" i="13"/>
  <c r="T669" i="13"/>
  <c r="S669" i="13"/>
  <c r="R669" i="13"/>
  <c r="Q669" i="13"/>
  <c r="P669" i="13"/>
  <c r="O669" i="13"/>
  <c r="N669" i="13"/>
  <c r="M669" i="13"/>
  <c r="L669" i="13"/>
  <c r="J669" i="13"/>
  <c r="G669" i="13"/>
  <c r="F669" i="13"/>
  <c r="E669" i="13"/>
  <c r="D669" i="13"/>
  <c r="C669" i="13"/>
  <c r="B669" i="13"/>
  <c r="A669" i="13"/>
  <c r="AG668" i="13"/>
  <c r="AF668" i="13"/>
  <c r="AE668" i="13"/>
  <c r="AD668" i="13"/>
  <c r="Z668" i="13"/>
  <c r="Y668" i="13"/>
  <c r="X668" i="13"/>
  <c r="W668" i="13"/>
  <c r="U668" i="13"/>
  <c r="T668" i="13"/>
  <c r="S668" i="13"/>
  <c r="R668" i="13"/>
  <c r="Q668" i="13"/>
  <c r="P668" i="13"/>
  <c r="O668" i="13"/>
  <c r="N668" i="13"/>
  <c r="M668" i="13"/>
  <c r="L668" i="13"/>
  <c r="J668" i="13"/>
  <c r="G668" i="13"/>
  <c r="F668" i="13"/>
  <c r="E668" i="13"/>
  <c r="D668" i="13"/>
  <c r="C668" i="13"/>
  <c r="B668" i="13"/>
  <c r="A668" i="13"/>
  <c r="AG667" i="13"/>
  <c r="AF667" i="13"/>
  <c r="AE667" i="13"/>
  <c r="AD667" i="13"/>
  <c r="Z667" i="13"/>
  <c r="Y667" i="13"/>
  <c r="X667" i="13"/>
  <c r="U667" i="13"/>
  <c r="T667" i="13"/>
  <c r="S667" i="13"/>
  <c r="R667" i="13"/>
  <c r="Q667" i="13"/>
  <c r="P667" i="13"/>
  <c r="O667" i="13"/>
  <c r="N667" i="13"/>
  <c r="M667" i="13"/>
  <c r="L667" i="13"/>
  <c r="J667" i="13"/>
  <c r="G667" i="13"/>
  <c r="F667" i="13"/>
  <c r="E667" i="13"/>
  <c r="D667" i="13"/>
  <c r="C667" i="13"/>
  <c r="B667" i="13"/>
  <c r="A667" i="13"/>
  <c r="AG666" i="13"/>
  <c r="AF666" i="13"/>
  <c r="AE666" i="13"/>
  <c r="AD666" i="13"/>
  <c r="Z666" i="13"/>
  <c r="Y666" i="13"/>
  <c r="X666" i="13"/>
  <c r="W666" i="13"/>
  <c r="U666" i="13"/>
  <c r="T666" i="13"/>
  <c r="S666" i="13"/>
  <c r="R666" i="13"/>
  <c r="Q666" i="13"/>
  <c r="O666" i="13"/>
  <c r="N666" i="13"/>
  <c r="M666" i="13"/>
  <c r="L666" i="13"/>
  <c r="G666" i="13"/>
  <c r="F666" i="13"/>
  <c r="E666" i="13"/>
  <c r="D666" i="13"/>
  <c r="C666" i="13"/>
  <c r="B666" i="13"/>
  <c r="A666" i="13"/>
  <c r="AG665" i="13"/>
  <c r="AF665" i="13"/>
  <c r="AE665" i="13"/>
  <c r="AD665" i="13"/>
  <c r="Z665" i="13"/>
  <c r="Y665" i="13"/>
  <c r="X665" i="13"/>
  <c r="W665" i="13"/>
  <c r="U665" i="13"/>
  <c r="T665" i="13"/>
  <c r="S665" i="13"/>
  <c r="R665" i="13"/>
  <c r="Q665" i="13"/>
  <c r="O665" i="13"/>
  <c r="N665" i="13"/>
  <c r="M665" i="13"/>
  <c r="L665" i="13"/>
  <c r="G665" i="13"/>
  <c r="F665" i="13"/>
  <c r="E665" i="13"/>
  <c r="D665" i="13"/>
  <c r="C665" i="13"/>
  <c r="B665" i="13"/>
  <c r="A665" i="13"/>
  <c r="AG664" i="13"/>
  <c r="AF664" i="13"/>
  <c r="AE664" i="13"/>
  <c r="AD664" i="13"/>
  <c r="Z664" i="13"/>
  <c r="Y664" i="13"/>
  <c r="X664" i="13"/>
  <c r="W664" i="13"/>
  <c r="U664" i="13"/>
  <c r="T664" i="13"/>
  <c r="S664" i="13"/>
  <c r="R664" i="13"/>
  <c r="Q664" i="13"/>
  <c r="O664" i="13"/>
  <c r="N664" i="13"/>
  <c r="M664" i="13"/>
  <c r="L664" i="13"/>
  <c r="G664" i="13"/>
  <c r="F664" i="13"/>
  <c r="E664" i="13"/>
  <c r="D664" i="13"/>
  <c r="C664" i="13"/>
  <c r="B664" i="13"/>
  <c r="A664" i="13"/>
  <c r="AG663" i="13"/>
  <c r="AF663" i="13"/>
  <c r="AE663" i="13"/>
  <c r="AD663" i="13"/>
  <c r="Z663" i="13"/>
  <c r="Y663" i="13"/>
  <c r="X663" i="13"/>
  <c r="W663" i="13"/>
  <c r="U663" i="13"/>
  <c r="T663" i="13"/>
  <c r="S663" i="13"/>
  <c r="R663" i="13"/>
  <c r="Q663" i="13"/>
  <c r="O663" i="13"/>
  <c r="N663" i="13"/>
  <c r="M663" i="13"/>
  <c r="L663" i="13"/>
  <c r="G663" i="13"/>
  <c r="F663" i="13"/>
  <c r="E663" i="13"/>
  <c r="D663" i="13"/>
  <c r="C663" i="13"/>
  <c r="B663" i="13"/>
  <c r="A663" i="13"/>
  <c r="AG662" i="13"/>
  <c r="AF662" i="13"/>
  <c r="AE662" i="13"/>
  <c r="AD662" i="13"/>
  <c r="Z662" i="13"/>
  <c r="Y662" i="13"/>
  <c r="X662" i="13"/>
  <c r="W662" i="13"/>
  <c r="U662" i="13"/>
  <c r="T662" i="13"/>
  <c r="S662" i="13"/>
  <c r="R662" i="13"/>
  <c r="Q662" i="13"/>
  <c r="O662" i="13"/>
  <c r="N662" i="13"/>
  <c r="M662" i="13"/>
  <c r="L662" i="13"/>
  <c r="G662" i="13"/>
  <c r="F662" i="13"/>
  <c r="E662" i="13"/>
  <c r="D662" i="13"/>
  <c r="C662" i="13"/>
  <c r="B662" i="13"/>
  <c r="A662" i="13"/>
  <c r="AG661" i="13"/>
  <c r="AF661" i="13"/>
  <c r="AE661" i="13"/>
  <c r="AD661" i="13"/>
  <c r="Z661" i="13"/>
  <c r="Y661" i="13"/>
  <c r="X661" i="13"/>
  <c r="W661" i="13"/>
  <c r="U661" i="13"/>
  <c r="T661" i="13"/>
  <c r="S661" i="13"/>
  <c r="R661" i="13"/>
  <c r="Q661" i="13"/>
  <c r="O661" i="13"/>
  <c r="N661" i="13"/>
  <c r="M661" i="13"/>
  <c r="L661" i="13"/>
  <c r="G661" i="13"/>
  <c r="F661" i="13"/>
  <c r="E661" i="13"/>
  <c r="D661" i="13"/>
  <c r="C661" i="13"/>
  <c r="B661" i="13"/>
  <c r="A661" i="13"/>
  <c r="AG660" i="13"/>
  <c r="AF660" i="13"/>
  <c r="AE660" i="13"/>
  <c r="AD660" i="13"/>
  <c r="Z660" i="13"/>
  <c r="Y660" i="13"/>
  <c r="X660" i="13"/>
  <c r="W660" i="13"/>
  <c r="U660" i="13"/>
  <c r="T660" i="13"/>
  <c r="S660" i="13"/>
  <c r="R660" i="13"/>
  <c r="Q660" i="13"/>
  <c r="O660" i="13"/>
  <c r="N660" i="13"/>
  <c r="M660" i="13"/>
  <c r="L660" i="13"/>
  <c r="G660" i="13"/>
  <c r="F660" i="13"/>
  <c r="E660" i="13"/>
  <c r="D660" i="13"/>
  <c r="C660" i="13"/>
  <c r="B660" i="13"/>
  <c r="A660" i="13"/>
  <c r="AG659" i="13"/>
  <c r="AF659" i="13"/>
  <c r="AE659" i="13"/>
  <c r="AD659" i="13"/>
  <c r="Z659" i="13"/>
  <c r="Y659" i="13"/>
  <c r="X659" i="13"/>
  <c r="W659" i="13"/>
  <c r="U659" i="13"/>
  <c r="T659" i="13"/>
  <c r="S659" i="13"/>
  <c r="R659" i="13"/>
  <c r="Q659" i="13"/>
  <c r="O659" i="13"/>
  <c r="N659" i="13"/>
  <c r="M659" i="13"/>
  <c r="L659" i="13"/>
  <c r="G659" i="13"/>
  <c r="F659" i="13"/>
  <c r="E659" i="13"/>
  <c r="D659" i="13"/>
  <c r="C659" i="13"/>
  <c r="B659" i="13"/>
  <c r="A659" i="13"/>
  <c r="AG658" i="13"/>
  <c r="AF658" i="13"/>
  <c r="AE658" i="13"/>
  <c r="AD658" i="13"/>
  <c r="Z658" i="13"/>
  <c r="Y658" i="13"/>
  <c r="X658" i="13"/>
  <c r="W658" i="13"/>
  <c r="U658" i="13"/>
  <c r="T658" i="13"/>
  <c r="S658" i="13"/>
  <c r="R658" i="13"/>
  <c r="Q658" i="13"/>
  <c r="O658" i="13"/>
  <c r="N658" i="13"/>
  <c r="M658" i="13"/>
  <c r="L658" i="13"/>
  <c r="G658" i="13"/>
  <c r="F658" i="13"/>
  <c r="E658" i="13"/>
  <c r="D658" i="13"/>
  <c r="C658" i="13"/>
  <c r="B658" i="13"/>
  <c r="A658" i="13"/>
  <c r="AG657" i="13"/>
  <c r="AF657" i="13"/>
  <c r="AE657" i="13"/>
  <c r="AD657" i="13"/>
  <c r="Z657" i="13"/>
  <c r="Y657" i="13"/>
  <c r="X657" i="13"/>
  <c r="W657" i="13"/>
  <c r="U657" i="13"/>
  <c r="T657" i="13"/>
  <c r="S657" i="13"/>
  <c r="R657" i="13"/>
  <c r="Q657" i="13"/>
  <c r="O657" i="13"/>
  <c r="N657" i="13"/>
  <c r="M657" i="13"/>
  <c r="L657" i="13"/>
  <c r="G657" i="13"/>
  <c r="F657" i="13"/>
  <c r="E657" i="13"/>
  <c r="D657" i="13"/>
  <c r="C657" i="13"/>
  <c r="B657" i="13"/>
  <c r="A657" i="13"/>
  <c r="AG656" i="13"/>
  <c r="AF656" i="13"/>
  <c r="AE656" i="13"/>
  <c r="AD656" i="13"/>
  <c r="Z656" i="13"/>
  <c r="Y656" i="13"/>
  <c r="X656" i="13"/>
  <c r="W656" i="13"/>
  <c r="U656" i="13"/>
  <c r="T656" i="13"/>
  <c r="S656" i="13"/>
  <c r="R656" i="13"/>
  <c r="Q656" i="13"/>
  <c r="O656" i="13"/>
  <c r="N656" i="13"/>
  <c r="M656" i="13"/>
  <c r="L656" i="13"/>
  <c r="G656" i="13"/>
  <c r="F656" i="13"/>
  <c r="E656" i="13"/>
  <c r="D656" i="13"/>
  <c r="C656" i="13"/>
  <c r="B656" i="13"/>
  <c r="A656" i="13"/>
  <c r="AG655" i="13"/>
  <c r="AF655" i="13"/>
  <c r="AE655" i="13"/>
  <c r="AD655" i="13"/>
  <c r="Z655" i="13"/>
  <c r="Y655" i="13"/>
  <c r="X655" i="13"/>
  <c r="W655" i="13"/>
  <c r="U655" i="13"/>
  <c r="T655" i="13"/>
  <c r="S655" i="13"/>
  <c r="R655" i="13"/>
  <c r="Q655" i="13"/>
  <c r="O655" i="13"/>
  <c r="N655" i="13"/>
  <c r="M655" i="13"/>
  <c r="L655" i="13"/>
  <c r="G655" i="13"/>
  <c r="F655" i="13"/>
  <c r="E655" i="13"/>
  <c r="D655" i="13"/>
  <c r="C655" i="13"/>
  <c r="B655" i="13"/>
  <c r="A655" i="13"/>
  <c r="AG654" i="13"/>
  <c r="AF654" i="13"/>
  <c r="AE654" i="13"/>
  <c r="AD654" i="13"/>
  <c r="Z654" i="13"/>
  <c r="Y654" i="13"/>
  <c r="X654" i="13"/>
  <c r="W654" i="13"/>
  <c r="U654" i="13"/>
  <c r="T654" i="13"/>
  <c r="S654" i="13"/>
  <c r="R654" i="13"/>
  <c r="Q654" i="13"/>
  <c r="O654" i="13"/>
  <c r="N654" i="13"/>
  <c r="M654" i="13"/>
  <c r="L654" i="13"/>
  <c r="G654" i="13"/>
  <c r="F654" i="13"/>
  <c r="E654" i="13"/>
  <c r="D654" i="13"/>
  <c r="C654" i="13"/>
  <c r="B654" i="13"/>
  <c r="A654" i="13"/>
  <c r="AG653" i="13"/>
  <c r="AF653" i="13"/>
  <c r="AE653" i="13"/>
  <c r="AD653" i="13"/>
  <c r="Z653" i="13"/>
  <c r="Y653" i="13"/>
  <c r="X653" i="13"/>
  <c r="W653" i="13"/>
  <c r="U653" i="13"/>
  <c r="T653" i="13"/>
  <c r="S653" i="13"/>
  <c r="R653" i="13"/>
  <c r="Q653" i="13"/>
  <c r="O653" i="13"/>
  <c r="N653" i="13"/>
  <c r="M653" i="13"/>
  <c r="L653" i="13"/>
  <c r="G653" i="13"/>
  <c r="F653" i="13"/>
  <c r="E653" i="13"/>
  <c r="D653" i="13"/>
  <c r="C653" i="13"/>
  <c r="B653" i="13"/>
  <c r="A653" i="13"/>
  <c r="AG652" i="13"/>
  <c r="AF652" i="13"/>
  <c r="AE652" i="13"/>
  <c r="AD652" i="13"/>
  <c r="Z652" i="13"/>
  <c r="Y652" i="13"/>
  <c r="X652" i="13"/>
  <c r="W652" i="13"/>
  <c r="U652" i="13"/>
  <c r="T652" i="13"/>
  <c r="S652" i="13"/>
  <c r="R652" i="13"/>
  <c r="Q652" i="13"/>
  <c r="O652" i="13"/>
  <c r="N652" i="13"/>
  <c r="M652" i="13"/>
  <c r="L652" i="13"/>
  <c r="G652" i="13"/>
  <c r="F652" i="13"/>
  <c r="E652" i="13"/>
  <c r="D652" i="13"/>
  <c r="C652" i="13"/>
  <c r="B652" i="13"/>
  <c r="A652" i="13"/>
  <c r="AG651" i="13"/>
  <c r="AF651" i="13"/>
  <c r="AE651" i="13"/>
  <c r="AD651" i="13"/>
  <c r="Z651" i="13"/>
  <c r="Y651" i="13"/>
  <c r="X651" i="13"/>
  <c r="W651" i="13"/>
  <c r="U651" i="13"/>
  <c r="T651" i="13"/>
  <c r="S651" i="13"/>
  <c r="R651" i="13"/>
  <c r="Q651" i="13"/>
  <c r="O651" i="13"/>
  <c r="N651" i="13"/>
  <c r="M651" i="13"/>
  <c r="L651" i="13"/>
  <c r="G651" i="13"/>
  <c r="F651" i="13"/>
  <c r="E651" i="13"/>
  <c r="D651" i="13"/>
  <c r="C651" i="13"/>
  <c r="B651" i="13"/>
  <c r="A651" i="13"/>
  <c r="AG650" i="13"/>
  <c r="AF650" i="13"/>
  <c r="AE650" i="13"/>
  <c r="AD650" i="13"/>
  <c r="Z650" i="13"/>
  <c r="Y650" i="13"/>
  <c r="X650" i="13"/>
  <c r="W650" i="13"/>
  <c r="U650" i="13"/>
  <c r="T650" i="13"/>
  <c r="S650" i="13"/>
  <c r="R650" i="13"/>
  <c r="Q650" i="13"/>
  <c r="O650" i="13"/>
  <c r="N650" i="13"/>
  <c r="M650" i="13"/>
  <c r="L650" i="13"/>
  <c r="G650" i="13"/>
  <c r="F650" i="13"/>
  <c r="E650" i="13"/>
  <c r="D650" i="13"/>
  <c r="C650" i="13"/>
  <c r="B650" i="13"/>
  <c r="A650" i="13"/>
  <c r="AG649" i="13"/>
  <c r="AF649" i="13"/>
  <c r="AE649" i="13"/>
  <c r="AD649" i="13"/>
  <c r="Z649" i="13"/>
  <c r="Y649" i="13"/>
  <c r="X649" i="13"/>
  <c r="W649" i="13"/>
  <c r="U649" i="13"/>
  <c r="T649" i="13"/>
  <c r="S649" i="13"/>
  <c r="R649" i="13"/>
  <c r="Q649" i="13"/>
  <c r="O649" i="13"/>
  <c r="N649" i="13"/>
  <c r="M649" i="13"/>
  <c r="L649" i="13"/>
  <c r="G649" i="13"/>
  <c r="F649" i="13"/>
  <c r="E649" i="13"/>
  <c r="D649" i="13"/>
  <c r="C649" i="13"/>
  <c r="B649" i="13"/>
  <c r="A649" i="13"/>
  <c r="AG648" i="13"/>
  <c r="AF648" i="13"/>
  <c r="AE648" i="13"/>
  <c r="AD648" i="13"/>
  <c r="Z648" i="13"/>
  <c r="Y648" i="13"/>
  <c r="X648" i="13"/>
  <c r="W648" i="13"/>
  <c r="U648" i="13"/>
  <c r="T648" i="13"/>
  <c r="S648" i="13"/>
  <c r="R648" i="13"/>
  <c r="Q648" i="13"/>
  <c r="P648" i="13"/>
  <c r="O648" i="13"/>
  <c r="N648" i="13"/>
  <c r="M648" i="13"/>
  <c r="L648" i="13"/>
  <c r="J648" i="13"/>
  <c r="G648" i="13"/>
  <c r="F648" i="13"/>
  <c r="E648" i="13"/>
  <c r="D648" i="13"/>
  <c r="C648" i="13"/>
  <c r="B648" i="13"/>
  <c r="A648" i="13"/>
  <c r="AG647" i="13"/>
  <c r="AF647" i="13"/>
  <c r="AE647" i="13"/>
  <c r="AD647" i="13"/>
  <c r="Z647" i="13"/>
  <c r="Y647" i="13"/>
  <c r="X647" i="13"/>
  <c r="W647" i="13"/>
  <c r="U647" i="13"/>
  <c r="T647" i="13"/>
  <c r="S647" i="13"/>
  <c r="R647" i="13"/>
  <c r="Q647" i="13"/>
  <c r="P647" i="13"/>
  <c r="O647" i="13"/>
  <c r="N647" i="13"/>
  <c r="M647" i="13"/>
  <c r="L647" i="13"/>
  <c r="J647" i="13"/>
  <c r="G647" i="13"/>
  <c r="F647" i="13"/>
  <c r="E647" i="13"/>
  <c r="D647" i="13"/>
  <c r="C647" i="13"/>
  <c r="B647" i="13"/>
  <c r="A647" i="13"/>
  <c r="AG646" i="13"/>
  <c r="AF646" i="13"/>
  <c r="AE646" i="13"/>
  <c r="AD646" i="13"/>
  <c r="Z646" i="13"/>
  <c r="Y646" i="13"/>
  <c r="X646" i="13"/>
  <c r="W646" i="13"/>
  <c r="U646" i="13"/>
  <c r="T646" i="13"/>
  <c r="S646" i="13"/>
  <c r="R646" i="13"/>
  <c r="Q646" i="13"/>
  <c r="P646" i="13"/>
  <c r="O646" i="13"/>
  <c r="N646" i="13"/>
  <c r="M646" i="13"/>
  <c r="L646" i="13"/>
  <c r="J646" i="13"/>
  <c r="G646" i="13"/>
  <c r="F646" i="13"/>
  <c r="E646" i="13"/>
  <c r="D646" i="13"/>
  <c r="C646" i="13"/>
  <c r="B646" i="13"/>
  <c r="A646" i="13"/>
  <c r="AG645" i="13"/>
  <c r="AF645" i="13"/>
  <c r="AE645" i="13"/>
  <c r="AD645" i="13"/>
  <c r="Z645" i="13"/>
  <c r="Y645" i="13"/>
  <c r="X645" i="13"/>
  <c r="W645" i="13"/>
  <c r="U645" i="13"/>
  <c r="T645" i="13"/>
  <c r="S645" i="13"/>
  <c r="R645" i="13"/>
  <c r="Q645" i="13"/>
  <c r="P645" i="13"/>
  <c r="O645" i="13"/>
  <c r="N645" i="13"/>
  <c r="M645" i="13"/>
  <c r="L645" i="13"/>
  <c r="J645" i="13"/>
  <c r="G645" i="13"/>
  <c r="F645" i="13"/>
  <c r="E645" i="13"/>
  <c r="D645" i="13"/>
  <c r="C645" i="13"/>
  <c r="B645" i="13"/>
  <c r="A645" i="13"/>
  <c r="AG644" i="13"/>
  <c r="AF644" i="13"/>
  <c r="AE644" i="13"/>
  <c r="AD644" i="13"/>
  <c r="Z644" i="13"/>
  <c r="Y644" i="13"/>
  <c r="X644" i="13"/>
  <c r="W644" i="13"/>
  <c r="U644" i="13"/>
  <c r="T644" i="13"/>
  <c r="S644" i="13"/>
  <c r="R644" i="13"/>
  <c r="Q644" i="13"/>
  <c r="P644" i="13"/>
  <c r="O644" i="13"/>
  <c r="N644" i="13"/>
  <c r="M644" i="13"/>
  <c r="L644" i="13"/>
  <c r="J644" i="13"/>
  <c r="G644" i="13"/>
  <c r="F644" i="13"/>
  <c r="E644" i="13"/>
  <c r="D644" i="13"/>
  <c r="C644" i="13"/>
  <c r="B644" i="13"/>
  <c r="A644" i="13"/>
  <c r="AG643" i="13"/>
  <c r="AF643" i="13"/>
  <c r="AE643" i="13"/>
  <c r="AD643" i="13"/>
  <c r="Z643" i="13"/>
  <c r="Y643" i="13"/>
  <c r="X643" i="13"/>
  <c r="W643" i="13"/>
  <c r="U643" i="13"/>
  <c r="T643" i="13"/>
  <c r="S643" i="13"/>
  <c r="R643" i="13"/>
  <c r="Q643" i="13"/>
  <c r="P643" i="13"/>
  <c r="O643" i="13"/>
  <c r="N643" i="13"/>
  <c r="M643" i="13"/>
  <c r="L643" i="13"/>
  <c r="J643" i="13"/>
  <c r="G643" i="13"/>
  <c r="F643" i="13"/>
  <c r="E643" i="13"/>
  <c r="D643" i="13"/>
  <c r="C643" i="13"/>
  <c r="B643" i="13"/>
  <c r="A643" i="13"/>
  <c r="AG642" i="13"/>
  <c r="AF642" i="13"/>
  <c r="AE642" i="13"/>
  <c r="AD642" i="13"/>
  <c r="Z642" i="13"/>
  <c r="Y642" i="13"/>
  <c r="X642" i="13"/>
  <c r="W642" i="13"/>
  <c r="U642" i="13"/>
  <c r="T642" i="13"/>
  <c r="S642" i="13"/>
  <c r="R642" i="13"/>
  <c r="Q642" i="13"/>
  <c r="P642" i="13"/>
  <c r="O642" i="13"/>
  <c r="N642" i="13"/>
  <c r="M642" i="13"/>
  <c r="L642" i="13"/>
  <c r="J642" i="13"/>
  <c r="G642" i="13"/>
  <c r="F642" i="13"/>
  <c r="E642" i="13"/>
  <c r="D642" i="13"/>
  <c r="C642" i="13"/>
  <c r="B642" i="13"/>
  <c r="A642" i="13"/>
  <c r="AG641" i="13"/>
  <c r="AF641" i="13"/>
  <c r="AE641" i="13"/>
  <c r="AD641" i="13"/>
  <c r="Z641" i="13"/>
  <c r="Y641" i="13"/>
  <c r="X641" i="13"/>
  <c r="W641" i="13"/>
  <c r="U641" i="13"/>
  <c r="T641" i="13"/>
  <c r="S641" i="13"/>
  <c r="R641" i="13"/>
  <c r="Q641" i="13"/>
  <c r="P641" i="13"/>
  <c r="O641" i="13"/>
  <c r="N641" i="13"/>
  <c r="M641" i="13"/>
  <c r="L641" i="13"/>
  <c r="J641" i="13"/>
  <c r="G641" i="13"/>
  <c r="F641" i="13"/>
  <c r="E641" i="13"/>
  <c r="D641" i="13"/>
  <c r="C641" i="13"/>
  <c r="B641" i="13"/>
  <c r="A641" i="13"/>
  <c r="AG640" i="13"/>
  <c r="AF640" i="13"/>
  <c r="AE640" i="13"/>
  <c r="AD640" i="13"/>
  <c r="Z640" i="13"/>
  <c r="Y640" i="13"/>
  <c r="X640" i="13"/>
  <c r="W640" i="13"/>
  <c r="U640" i="13"/>
  <c r="T640" i="13"/>
  <c r="S640" i="13"/>
  <c r="R640" i="13"/>
  <c r="Q640" i="13"/>
  <c r="P640" i="13"/>
  <c r="O640" i="13"/>
  <c r="N640" i="13"/>
  <c r="M640" i="13"/>
  <c r="L640" i="13"/>
  <c r="J640" i="13"/>
  <c r="G640" i="13"/>
  <c r="F640" i="13"/>
  <c r="E640" i="13"/>
  <c r="D640" i="13"/>
  <c r="C640" i="13"/>
  <c r="B640" i="13"/>
  <c r="A640" i="13"/>
  <c r="AG639" i="13"/>
  <c r="AF639" i="13"/>
  <c r="AE639" i="13"/>
  <c r="AD639" i="13"/>
  <c r="Z639" i="13"/>
  <c r="Y639" i="13"/>
  <c r="X639" i="13"/>
  <c r="W639" i="13"/>
  <c r="U639" i="13"/>
  <c r="T639" i="13"/>
  <c r="S639" i="13"/>
  <c r="R639" i="13"/>
  <c r="Q639" i="13"/>
  <c r="P639" i="13"/>
  <c r="O639" i="13"/>
  <c r="N639" i="13"/>
  <c r="M639" i="13"/>
  <c r="L639" i="13"/>
  <c r="J639" i="13"/>
  <c r="G639" i="13"/>
  <c r="F639" i="13"/>
  <c r="E639" i="13"/>
  <c r="D639" i="13"/>
  <c r="C639" i="13"/>
  <c r="B639" i="13"/>
  <c r="A639" i="13"/>
  <c r="AG638" i="13"/>
  <c r="AF638" i="13"/>
  <c r="AE638" i="13"/>
  <c r="AD638" i="13"/>
  <c r="Z638" i="13"/>
  <c r="Y638" i="13"/>
  <c r="X638" i="13"/>
  <c r="W638" i="13"/>
  <c r="U638" i="13"/>
  <c r="T638" i="13"/>
  <c r="S638" i="13"/>
  <c r="R638" i="13"/>
  <c r="Q638" i="13"/>
  <c r="P638" i="13"/>
  <c r="O638" i="13"/>
  <c r="N638" i="13"/>
  <c r="M638" i="13"/>
  <c r="L638" i="13"/>
  <c r="J638" i="13"/>
  <c r="G638" i="13"/>
  <c r="F638" i="13"/>
  <c r="E638" i="13"/>
  <c r="D638" i="13"/>
  <c r="C638" i="13"/>
  <c r="B638" i="13"/>
  <c r="A638" i="13"/>
  <c r="AG637" i="13"/>
  <c r="AF637" i="13"/>
  <c r="AE637" i="13"/>
  <c r="AD637" i="13"/>
  <c r="Z637" i="13"/>
  <c r="Y637" i="13"/>
  <c r="X637" i="13"/>
  <c r="W637" i="13"/>
  <c r="U637" i="13"/>
  <c r="T637" i="13"/>
  <c r="S637" i="13"/>
  <c r="R637" i="13"/>
  <c r="Q637" i="13"/>
  <c r="P637" i="13"/>
  <c r="O637" i="13"/>
  <c r="N637" i="13"/>
  <c r="M637" i="13"/>
  <c r="L637" i="13"/>
  <c r="J637" i="13"/>
  <c r="G637" i="13"/>
  <c r="F637" i="13"/>
  <c r="E637" i="13"/>
  <c r="D637" i="13"/>
  <c r="C637" i="13"/>
  <c r="B637" i="13"/>
  <c r="A637" i="13"/>
  <c r="AG636" i="13"/>
  <c r="AF636" i="13"/>
  <c r="AE636" i="13"/>
  <c r="AD636" i="13"/>
  <c r="Z636" i="13"/>
  <c r="Y636" i="13"/>
  <c r="X636" i="13"/>
  <c r="W636" i="13"/>
  <c r="U636" i="13"/>
  <c r="T636" i="13"/>
  <c r="S636" i="13"/>
  <c r="R636" i="13"/>
  <c r="Q636" i="13"/>
  <c r="P636" i="13"/>
  <c r="O636" i="13"/>
  <c r="N636" i="13"/>
  <c r="M636" i="13"/>
  <c r="L636" i="13"/>
  <c r="J636" i="13"/>
  <c r="G636" i="13"/>
  <c r="F636" i="13"/>
  <c r="E636" i="13"/>
  <c r="D636" i="13"/>
  <c r="C636" i="13"/>
  <c r="B636" i="13"/>
  <c r="A636" i="13"/>
  <c r="AG635" i="13"/>
  <c r="AF635" i="13"/>
  <c r="AE635" i="13"/>
  <c r="AD635" i="13"/>
  <c r="Z635" i="13"/>
  <c r="Y635" i="13"/>
  <c r="X635" i="13"/>
  <c r="W635" i="13"/>
  <c r="U635" i="13"/>
  <c r="T635" i="13"/>
  <c r="S635" i="13"/>
  <c r="R635" i="13"/>
  <c r="Q635" i="13"/>
  <c r="P635" i="13"/>
  <c r="O635" i="13"/>
  <c r="N635" i="13"/>
  <c r="M635" i="13"/>
  <c r="L635" i="13"/>
  <c r="J635" i="13"/>
  <c r="G635" i="13"/>
  <c r="F635" i="13"/>
  <c r="E635" i="13"/>
  <c r="D635" i="13"/>
  <c r="C635" i="13"/>
  <c r="B635" i="13"/>
  <c r="A635" i="13"/>
  <c r="AG634" i="13"/>
  <c r="AF634" i="13"/>
  <c r="AE634" i="13"/>
  <c r="AD634" i="13"/>
  <c r="Z634" i="13"/>
  <c r="Y634" i="13"/>
  <c r="X634" i="13"/>
  <c r="W634" i="13"/>
  <c r="U634" i="13"/>
  <c r="T634" i="13"/>
  <c r="S634" i="13"/>
  <c r="R634" i="13"/>
  <c r="Q634" i="13"/>
  <c r="P634" i="13"/>
  <c r="O634" i="13"/>
  <c r="N634" i="13"/>
  <c r="M634" i="13"/>
  <c r="L634" i="13"/>
  <c r="J634" i="13"/>
  <c r="G634" i="13"/>
  <c r="F634" i="13"/>
  <c r="E634" i="13"/>
  <c r="D634" i="13"/>
  <c r="C634" i="13"/>
  <c r="B634" i="13"/>
  <c r="A634" i="13"/>
  <c r="AG633" i="13"/>
  <c r="AF633" i="13"/>
  <c r="AE633" i="13"/>
  <c r="AD633" i="13"/>
  <c r="Z633" i="13"/>
  <c r="Y633" i="13"/>
  <c r="X633" i="13"/>
  <c r="W633" i="13"/>
  <c r="U633" i="13"/>
  <c r="T633" i="13"/>
  <c r="S633" i="13"/>
  <c r="R633" i="13"/>
  <c r="Q633" i="13"/>
  <c r="P633" i="13"/>
  <c r="O633" i="13"/>
  <c r="N633" i="13"/>
  <c r="M633" i="13"/>
  <c r="L633" i="13"/>
  <c r="J633" i="13"/>
  <c r="G633" i="13"/>
  <c r="F633" i="13"/>
  <c r="E633" i="13"/>
  <c r="D633" i="13"/>
  <c r="C633" i="13"/>
  <c r="B633" i="13"/>
  <c r="A633" i="13"/>
  <c r="AG632" i="13"/>
  <c r="AF632" i="13"/>
  <c r="AE632" i="13"/>
  <c r="AD632" i="13"/>
  <c r="Z632" i="13"/>
  <c r="Y632" i="13"/>
  <c r="X632" i="13"/>
  <c r="W632" i="13"/>
  <c r="U632" i="13"/>
  <c r="T632" i="13"/>
  <c r="S632" i="13"/>
  <c r="R632" i="13"/>
  <c r="Q632" i="13"/>
  <c r="P632" i="13"/>
  <c r="O632" i="13"/>
  <c r="N632" i="13"/>
  <c r="M632" i="13"/>
  <c r="L632" i="13"/>
  <c r="J632" i="13"/>
  <c r="G632" i="13"/>
  <c r="F632" i="13"/>
  <c r="E632" i="13"/>
  <c r="D632" i="13"/>
  <c r="C632" i="13"/>
  <c r="B632" i="13"/>
  <c r="A632" i="13"/>
  <c r="AG631" i="13"/>
  <c r="AF631" i="13"/>
  <c r="AE631" i="13"/>
  <c r="AD631" i="13"/>
  <c r="Z631" i="13"/>
  <c r="Y631" i="13"/>
  <c r="X631" i="13"/>
  <c r="W631" i="13"/>
  <c r="U631" i="13"/>
  <c r="T631" i="13"/>
  <c r="S631" i="13"/>
  <c r="R631" i="13"/>
  <c r="Q631" i="13"/>
  <c r="P631" i="13"/>
  <c r="O631" i="13"/>
  <c r="N631" i="13"/>
  <c r="M631" i="13"/>
  <c r="L631" i="13"/>
  <c r="J631" i="13"/>
  <c r="G631" i="13"/>
  <c r="F631" i="13"/>
  <c r="E631" i="13"/>
  <c r="D631" i="13"/>
  <c r="C631" i="13"/>
  <c r="B631" i="13"/>
  <c r="A631" i="13"/>
  <c r="AG630" i="13"/>
  <c r="AF630" i="13"/>
  <c r="AE630" i="13"/>
  <c r="AD630" i="13"/>
  <c r="Z630" i="13"/>
  <c r="Y630" i="13"/>
  <c r="X630" i="13"/>
  <c r="W630" i="13"/>
  <c r="U630" i="13"/>
  <c r="T630" i="13"/>
  <c r="S630" i="13"/>
  <c r="R630" i="13"/>
  <c r="Q630" i="13"/>
  <c r="P630" i="13"/>
  <c r="O630" i="13"/>
  <c r="N630" i="13"/>
  <c r="M630" i="13"/>
  <c r="L630" i="13"/>
  <c r="J630" i="13"/>
  <c r="G630" i="13"/>
  <c r="F630" i="13"/>
  <c r="E630" i="13"/>
  <c r="D630" i="13"/>
  <c r="C630" i="13"/>
  <c r="B630" i="13"/>
  <c r="A630" i="13"/>
  <c r="AG629" i="13"/>
  <c r="AF629" i="13"/>
  <c r="AE629" i="13"/>
  <c r="AD629" i="13"/>
  <c r="Z629" i="13"/>
  <c r="Y629" i="13"/>
  <c r="X629" i="13"/>
  <c r="W629" i="13"/>
  <c r="U629" i="13"/>
  <c r="T629" i="13"/>
  <c r="S629" i="13"/>
  <c r="R629" i="13"/>
  <c r="Q629" i="13"/>
  <c r="P629" i="13"/>
  <c r="O629" i="13"/>
  <c r="N629" i="13"/>
  <c r="M629" i="13"/>
  <c r="L629" i="13"/>
  <c r="J629" i="13"/>
  <c r="G629" i="13"/>
  <c r="F629" i="13"/>
  <c r="E629" i="13"/>
  <c r="D629" i="13"/>
  <c r="C629" i="13"/>
  <c r="B629" i="13"/>
  <c r="A629" i="13"/>
  <c r="AG628" i="13"/>
  <c r="AF628" i="13"/>
  <c r="AE628" i="13"/>
  <c r="AD628" i="13"/>
  <c r="Z628" i="13"/>
  <c r="Y628" i="13"/>
  <c r="X628" i="13"/>
  <c r="W628" i="13"/>
  <c r="U628" i="13"/>
  <c r="T628" i="13"/>
  <c r="S628" i="13"/>
  <c r="R628" i="13"/>
  <c r="Q628" i="13"/>
  <c r="P628" i="13"/>
  <c r="O628" i="13"/>
  <c r="N628" i="13"/>
  <c r="M628" i="13"/>
  <c r="L628" i="13"/>
  <c r="J628" i="13"/>
  <c r="G628" i="13"/>
  <c r="F628" i="13"/>
  <c r="E628" i="13"/>
  <c r="D628" i="13"/>
  <c r="C628" i="13"/>
  <c r="B628" i="13"/>
  <c r="A628" i="13"/>
  <c r="AG627" i="13"/>
  <c r="AF627" i="13"/>
  <c r="AE627" i="13"/>
  <c r="AD627" i="13"/>
  <c r="Z627" i="13"/>
  <c r="Y627" i="13"/>
  <c r="X627" i="13"/>
  <c r="W627" i="13"/>
  <c r="U627" i="13"/>
  <c r="T627" i="13"/>
  <c r="S627" i="13"/>
  <c r="R627" i="13"/>
  <c r="Q627" i="13"/>
  <c r="P627" i="13"/>
  <c r="O627" i="13"/>
  <c r="N627" i="13"/>
  <c r="M627" i="13"/>
  <c r="L627" i="13"/>
  <c r="J627" i="13"/>
  <c r="G627" i="13"/>
  <c r="F627" i="13"/>
  <c r="E627" i="13"/>
  <c r="D627" i="13"/>
  <c r="C627" i="13"/>
  <c r="B627" i="13"/>
  <c r="A627" i="13"/>
  <c r="AG626" i="13"/>
  <c r="AF626" i="13"/>
  <c r="AE626" i="13"/>
  <c r="AD626" i="13"/>
  <c r="Z626" i="13"/>
  <c r="Y626" i="13"/>
  <c r="X626" i="13"/>
  <c r="W626" i="13"/>
  <c r="U626" i="13"/>
  <c r="T626" i="13"/>
  <c r="S626" i="13"/>
  <c r="R626" i="13"/>
  <c r="Q626" i="13"/>
  <c r="P626" i="13"/>
  <c r="O626" i="13"/>
  <c r="N626" i="13"/>
  <c r="M626" i="13"/>
  <c r="L626" i="13"/>
  <c r="J626" i="13"/>
  <c r="G626" i="13"/>
  <c r="F626" i="13"/>
  <c r="E626" i="13"/>
  <c r="D626" i="13"/>
  <c r="C626" i="13"/>
  <c r="B626" i="13"/>
  <c r="A626" i="13"/>
  <c r="AG625" i="13"/>
  <c r="AF625" i="13"/>
  <c r="AE625" i="13"/>
  <c r="AD625" i="13"/>
  <c r="Z625" i="13"/>
  <c r="Y625" i="13"/>
  <c r="X625" i="13"/>
  <c r="W625" i="13"/>
  <c r="U625" i="13"/>
  <c r="T625" i="13"/>
  <c r="S625" i="13"/>
  <c r="R625" i="13"/>
  <c r="Q625" i="13"/>
  <c r="P625" i="13"/>
  <c r="O625" i="13"/>
  <c r="N625" i="13"/>
  <c r="M625" i="13"/>
  <c r="L625" i="13"/>
  <c r="J625" i="13"/>
  <c r="G625" i="13"/>
  <c r="F625" i="13"/>
  <c r="E625" i="13"/>
  <c r="D625" i="13"/>
  <c r="C625" i="13"/>
  <c r="B625" i="13"/>
  <c r="A625" i="13"/>
  <c r="AG624" i="13"/>
  <c r="AF624" i="13"/>
  <c r="AE624" i="13"/>
  <c r="AD624" i="13"/>
  <c r="Z624" i="13"/>
  <c r="Y624" i="13"/>
  <c r="X624" i="13"/>
  <c r="W624" i="13"/>
  <c r="U624" i="13"/>
  <c r="T624" i="13"/>
  <c r="S624" i="13"/>
  <c r="R624" i="13"/>
  <c r="Q624" i="13"/>
  <c r="P624" i="13"/>
  <c r="O624" i="13"/>
  <c r="N624" i="13"/>
  <c r="M624" i="13"/>
  <c r="L624" i="13"/>
  <c r="J624" i="13"/>
  <c r="G624" i="13"/>
  <c r="F624" i="13"/>
  <c r="E624" i="13"/>
  <c r="D624" i="13"/>
  <c r="C624" i="13"/>
  <c r="B624" i="13"/>
  <c r="A624" i="13"/>
  <c r="AG623" i="13"/>
  <c r="AF623" i="13"/>
  <c r="AE623" i="13"/>
  <c r="AD623" i="13"/>
  <c r="Z623" i="13"/>
  <c r="Y623" i="13"/>
  <c r="X623" i="13"/>
  <c r="U623" i="13"/>
  <c r="T623" i="13"/>
  <c r="S623" i="13"/>
  <c r="R623" i="13"/>
  <c r="Q623" i="13"/>
  <c r="O623" i="13"/>
  <c r="N623" i="13"/>
  <c r="M623" i="13"/>
  <c r="L623" i="13"/>
  <c r="F623" i="13"/>
  <c r="E623" i="13"/>
  <c r="D623" i="13"/>
  <c r="C623" i="13"/>
  <c r="B623" i="13"/>
  <c r="A623" i="13"/>
  <c r="AG622" i="13"/>
  <c r="AF622" i="13"/>
  <c r="AE622" i="13"/>
  <c r="AD622" i="13"/>
  <c r="Z622" i="13"/>
  <c r="Y622" i="13"/>
  <c r="X622" i="13"/>
  <c r="W622" i="13"/>
  <c r="U622" i="13"/>
  <c r="T622" i="13"/>
  <c r="S622" i="13"/>
  <c r="R622" i="13"/>
  <c r="Q622" i="13"/>
  <c r="P622" i="13"/>
  <c r="O622" i="13"/>
  <c r="N622" i="13"/>
  <c r="M622" i="13"/>
  <c r="L622" i="13"/>
  <c r="J622" i="13"/>
  <c r="G622" i="13"/>
  <c r="F622" i="13"/>
  <c r="E622" i="13"/>
  <c r="D622" i="13"/>
  <c r="C622" i="13"/>
  <c r="B622" i="13"/>
  <c r="A622" i="13"/>
  <c r="AG621" i="13"/>
  <c r="AF621" i="13"/>
  <c r="AE621" i="13"/>
  <c r="AD621" i="13"/>
  <c r="Z621" i="13"/>
  <c r="Y621" i="13"/>
  <c r="X621" i="13"/>
  <c r="W621" i="13"/>
  <c r="U621" i="13"/>
  <c r="T621" i="13"/>
  <c r="S621" i="13"/>
  <c r="R621" i="13"/>
  <c r="Q621" i="13"/>
  <c r="P621" i="13"/>
  <c r="O621" i="13"/>
  <c r="N621" i="13"/>
  <c r="M621" i="13"/>
  <c r="L621" i="13"/>
  <c r="J621" i="13"/>
  <c r="G621" i="13"/>
  <c r="F621" i="13"/>
  <c r="E621" i="13"/>
  <c r="D621" i="13"/>
  <c r="C621" i="13"/>
  <c r="B621" i="13"/>
  <c r="A621" i="13"/>
  <c r="AG620" i="13"/>
  <c r="AF620" i="13"/>
  <c r="AE620" i="13"/>
  <c r="AD620" i="13"/>
  <c r="Z620" i="13"/>
  <c r="Y620" i="13"/>
  <c r="X620" i="13"/>
  <c r="W620" i="13"/>
  <c r="U620" i="13"/>
  <c r="T620" i="13"/>
  <c r="S620" i="13"/>
  <c r="R620" i="13"/>
  <c r="Q620" i="13"/>
  <c r="P620" i="13"/>
  <c r="O620" i="13"/>
  <c r="N620" i="13"/>
  <c r="M620" i="13"/>
  <c r="L620" i="13"/>
  <c r="J620" i="13"/>
  <c r="G620" i="13"/>
  <c r="F620" i="13"/>
  <c r="E620" i="13"/>
  <c r="D620" i="13"/>
  <c r="C620" i="13"/>
  <c r="B620" i="13"/>
  <c r="A620" i="13"/>
  <c r="AG619" i="13"/>
  <c r="AF619" i="13"/>
  <c r="AE619" i="13"/>
  <c r="AD619" i="13"/>
  <c r="Z619" i="13"/>
  <c r="Y619" i="13"/>
  <c r="X619" i="13"/>
  <c r="W619" i="13"/>
  <c r="U619" i="13"/>
  <c r="T619" i="13"/>
  <c r="S619" i="13"/>
  <c r="R619" i="13"/>
  <c r="Q619" i="13"/>
  <c r="P619" i="13"/>
  <c r="O619" i="13"/>
  <c r="N619" i="13"/>
  <c r="M619" i="13"/>
  <c r="L619" i="13"/>
  <c r="J619" i="13"/>
  <c r="G619" i="13"/>
  <c r="F619" i="13"/>
  <c r="E619" i="13"/>
  <c r="D619" i="13"/>
  <c r="C619" i="13"/>
  <c r="B619" i="13"/>
  <c r="A619" i="13"/>
  <c r="AG618" i="13"/>
  <c r="AF618" i="13"/>
  <c r="AE618" i="13"/>
  <c r="AD618" i="13"/>
  <c r="Z618" i="13"/>
  <c r="Y618" i="13"/>
  <c r="X618" i="13"/>
  <c r="W618" i="13"/>
  <c r="U618" i="13"/>
  <c r="T618" i="13"/>
  <c r="S618" i="13"/>
  <c r="R618" i="13"/>
  <c r="Q618" i="13"/>
  <c r="P618" i="13"/>
  <c r="O618" i="13"/>
  <c r="N618" i="13"/>
  <c r="M618" i="13"/>
  <c r="L618" i="13"/>
  <c r="J618" i="13"/>
  <c r="G618" i="13"/>
  <c r="F618" i="13"/>
  <c r="E618" i="13"/>
  <c r="D618" i="13"/>
  <c r="C618" i="13"/>
  <c r="B618" i="13"/>
  <c r="A618" i="13"/>
  <c r="AG617" i="13"/>
  <c r="AF617" i="13"/>
  <c r="AE617" i="13"/>
  <c r="AD617" i="13"/>
  <c r="Z617" i="13"/>
  <c r="Y617" i="13"/>
  <c r="X617" i="13"/>
  <c r="W617" i="13"/>
  <c r="U617" i="13"/>
  <c r="T617" i="13"/>
  <c r="S617" i="13"/>
  <c r="R617" i="13"/>
  <c r="Q617" i="13"/>
  <c r="P617" i="13"/>
  <c r="O617" i="13"/>
  <c r="N617" i="13"/>
  <c r="M617" i="13"/>
  <c r="L617" i="13"/>
  <c r="J617" i="13"/>
  <c r="G617" i="13"/>
  <c r="F617" i="13"/>
  <c r="E617" i="13"/>
  <c r="D617" i="13"/>
  <c r="C617" i="13"/>
  <c r="B617" i="13"/>
  <c r="A617" i="13"/>
  <c r="AG616" i="13"/>
  <c r="AF616" i="13"/>
  <c r="AE616" i="13"/>
  <c r="AD616" i="13"/>
  <c r="Z616" i="13"/>
  <c r="Y616" i="13"/>
  <c r="X616" i="13"/>
  <c r="W616" i="13"/>
  <c r="U616" i="13"/>
  <c r="T616" i="13"/>
  <c r="S616" i="13"/>
  <c r="R616" i="13"/>
  <c r="Q616" i="13"/>
  <c r="P616" i="13"/>
  <c r="O616" i="13"/>
  <c r="N616" i="13"/>
  <c r="M616" i="13"/>
  <c r="L616" i="13"/>
  <c r="J616" i="13"/>
  <c r="G616" i="13"/>
  <c r="F616" i="13"/>
  <c r="E616" i="13"/>
  <c r="D616" i="13"/>
  <c r="C616" i="13"/>
  <c r="B616" i="13"/>
  <c r="A616" i="13"/>
  <c r="AG615" i="13"/>
  <c r="AF615" i="13"/>
  <c r="AE615" i="13"/>
  <c r="AD615" i="13"/>
  <c r="Z615" i="13"/>
  <c r="Y615" i="13"/>
  <c r="X615" i="13"/>
  <c r="W615" i="13"/>
  <c r="U615" i="13"/>
  <c r="T615" i="13"/>
  <c r="S615" i="13"/>
  <c r="R615" i="13"/>
  <c r="Q615" i="13"/>
  <c r="P615" i="13"/>
  <c r="O615" i="13"/>
  <c r="N615" i="13"/>
  <c r="M615" i="13"/>
  <c r="L615" i="13"/>
  <c r="J615" i="13"/>
  <c r="G615" i="13"/>
  <c r="F615" i="13"/>
  <c r="E615" i="13"/>
  <c r="D615" i="13"/>
  <c r="C615" i="13"/>
  <c r="B615" i="13"/>
  <c r="A615" i="13"/>
  <c r="AG614" i="13"/>
  <c r="AF614" i="13"/>
  <c r="AE614" i="13"/>
  <c r="AD614" i="13"/>
  <c r="Z614" i="13"/>
  <c r="Y614" i="13"/>
  <c r="X614" i="13"/>
  <c r="W614" i="13"/>
  <c r="U614" i="13"/>
  <c r="T614" i="13"/>
  <c r="S614" i="13"/>
  <c r="R614" i="13"/>
  <c r="Q614" i="13"/>
  <c r="P614" i="13"/>
  <c r="O614" i="13"/>
  <c r="N614" i="13"/>
  <c r="M614" i="13"/>
  <c r="L614" i="13"/>
  <c r="J614" i="13"/>
  <c r="G614" i="13"/>
  <c r="F614" i="13"/>
  <c r="E614" i="13"/>
  <c r="D614" i="13"/>
  <c r="C614" i="13"/>
  <c r="B614" i="13"/>
  <c r="A614" i="13"/>
  <c r="AG613" i="13"/>
  <c r="AF613" i="13"/>
  <c r="AE613" i="13"/>
  <c r="AD613" i="13"/>
  <c r="Z613" i="13"/>
  <c r="Y613" i="13"/>
  <c r="X613" i="13"/>
  <c r="W613" i="13"/>
  <c r="U613" i="13"/>
  <c r="T613" i="13"/>
  <c r="S613" i="13"/>
  <c r="R613" i="13"/>
  <c r="Q613" i="13"/>
  <c r="P613" i="13"/>
  <c r="O613" i="13"/>
  <c r="N613" i="13"/>
  <c r="M613" i="13"/>
  <c r="L613" i="13"/>
  <c r="J613" i="13"/>
  <c r="G613" i="13"/>
  <c r="F613" i="13"/>
  <c r="E613" i="13"/>
  <c r="D613" i="13"/>
  <c r="C613" i="13"/>
  <c r="B613" i="13"/>
  <c r="A613" i="13"/>
  <c r="AG612" i="13"/>
  <c r="AF612" i="13"/>
  <c r="AE612" i="13"/>
  <c r="AD612" i="13"/>
  <c r="Z612" i="13"/>
  <c r="Y612" i="13"/>
  <c r="X612" i="13"/>
  <c r="W612" i="13"/>
  <c r="U612" i="13"/>
  <c r="T612" i="13"/>
  <c r="S612" i="13"/>
  <c r="R612" i="13"/>
  <c r="Q612" i="13"/>
  <c r="P612" i="13"/>
  <c r="O612" i="13"/>
  <c r="N612" i="13"/>
  <c r="M612" i="13"/>
  <c r="L612" i="13"/>
  <c r="J612" i="13"/>
  <c r="G612" i="13"/>
  <c r="F612" i="13"/>
  <c r="E612" i="13"/>
  <c r="D612" i="13"/>
  <c r="C612" i="13"/>
  <c r="B612" i="13"/>
  <c r="A612" i="13"/>
  <c r="AG611" i="13"/>
  <c r="AF611" i="13"/>
  <c r="AE611" i="13"/>
  <c r="AD611" i="13"/>
  <c r="Z611" i="13"/>
  <c r="Y611" i="13"/>
  <c r="X611" i="13"/>
  <c r="W611" i="13"/>
  <c r="U611" i="13"/>
  <c r="T611" i="13"/>
  <c r="S611" i="13"/>
  <c r="R611" i="13"/>
  <c r="Q611" i="13"/>
  <c r="P611" i="13"/>
  <c r="O611" i="13"/>
  <c r="N611" i="13"/>
  <c r="M611" i="13"/>
  <c r="L611" i="13"/>
  <c r="J611" i="13"/>
  <c r="G611" i="13"/>
  <c r="F611" i="13"/>
  <c r="E611" i="13"/>
  <c r="D611" i="13"/>
  <c r="C611" i="13"/>
  <c r="B611" i="13"/>
  <c r="A611" i="13"/>
  <c r="AG610" i="13"/>
  <c r="AF610" i="13"/>
  <c r="AE610" i="13"/>
  <c r="AD610" i="13"/>
  <c r="Z610" i="13"/>
  <c r="Y610" i="13"/>
  <c r="X610" i="13"/>
  <c r="W610" i="13"/>
  <c r="U610" i="13"/>
  <c r="T610" i="13"/>
  <c r="S610" i="13"/>
  <c r="R610" i="13"/>
  <c r="Q610" i="13"/>
  <c r="P610" i="13"/>
  <c r="O610" i="13"/>
  <c r="N610" i="13"/>
  <c r="M610" i="13"/>
  <c r="L610" i="13"/>
  <c r="J610" i="13"/>
  <c r="G610" i="13"/>
  <c r="F610" i="13"/>
  <c r="E610" i="13"/>
  <c r="D610" i="13"/>
  <c r="C610" i="13"/>
  <c r="B610" i="13"/>
  <c r="A610" i="13"/>
  <c r="AG609" i="13"/>
  <c r="AF609" i="13"/>
  <c r="AE609" i="13"/>
  <c r="AD609" i="13"/>
  <c r="Z609" i="13"/>
  <c r="Y609" i="13"/>
  <c r="X609" i="13"/>
  <c r="W609" i="13"/>
  <c r="U609" i="13"/>
  <c r="T609" i="13"/>
  <c r="S609" i="13"/>
  <c r="R609" i="13"/>
  <c r="Q609" i="13"/>
  <c r="P609" i="13"/>
  <c r="O609" i="13"/>
  <c r="N609" i="13"/>
  <c r="M609" i="13"/>
  <c r="L609" i="13"/>
  <c r="J609" i="13"/>
  <c r="H609" i="13"/>
  <c r="G609" i="13"/>
  <c r="F609" i="13"/>
  <c r="E609" i="13"/>
  <c r="D609" i="13"/>
  <c r="C609" i="13"/>
  <c r="B609" i="13"/>
  <c r="A609" i="13"/>
  <c r="AG608" i="13"/>
  <c r="AF608" i="13"/>
  <c r="AE608" i="13"/>
  <c r="AD608" i="13"/>
  <c r="Z608" i="13"/>
  <c r="Y608" i="13"/>
  <c r="X608" i="13"/>
  <c r="W608" i="13"/>
  <c r="U608" i="13"/>
  <c r="T608" i="13"/>
  <c r="S608" i="13"/>
  <c r="R608" i="13"/>
  <c r="Q608" i="13"/>
  <c r="P608" i="13"/>
  <c r="O608" i="13"/>
  <c r="N608" i="13"/>
  <c r="M608" i="13"/>
  <c r="L608" i="13"/>
  <c r="J608" i="13"/>
  <c r="G608" i="13"/>
  <c r="F608" i="13"/>
  <c r="E608" i="13"/>
  <c r="D608" i="13"/>
  <c r="C608" i="13"/>
  <c r="B608" i="13"/>
  <c r="A608" i="13"/>
  <c r="AG607" i="13"/>
  <c r="AF607" i="13"/>
  <c r="AE607" i="13"/>
  <c r="AD607" i="13"/>
  <c r="Z607" i="13"/>
  <c r="Y607" i="13"/>
  <c r="X607" i="13"/>
  <c r="W607" i="13"/>
  <c r="U607" i="13"/>
  <c r="T607" i="13"/>
  <c r="S607" i="13"/>
  <c r="R607" i="13"/>
  <c r="Q607" i="13"/>
  <c r="P607" i="13"/>
  <c r="O607" i="13"/>
  <c r="N607" i="13"/>
  <c r="M607" i="13"/>
  <c r="L607" i="13"/>
  <c r="J607" i="13"/>
  <c r="G607" i="13"/>
  <c r="F607" i="13"/>
  <c r="E607" i="13"/>
  <c r="D607" i="13"/>
  <c r="C607" i="13"/>
  <c r="B607" i="13"/>
  <c r="A607" i="13"/>
  <c r="AG606" i="13"/>
  <c r="AF606" i="13"/>
  <c r="AE606" i="13"/>
  <c r="AD606" i="13"/>
  <c r="Z606" i="13"/>
  <c r="Y606" i="13"/>
  <c r="X606" i="13"/>
  <c r="W606" i="13"/>
  <c r="U606" i="13"/>
  <c r="T606" i="13"/>
  <c r="S606" i="13"/>
  <c r="R606" i="13"/>
  <c r="Q606" i="13"/>
  <c r="P606" i="13"/>
  <c r="O606" i="13"/>
  <c r="N606" i="13"/>
  <c r="M606" i="13"/>
  <c r="L606" i="13"/>
  <c r="J606" i="13"/>
  <c r="H606" i="13"/>
  <c r="G606" i="13"/>
  <c r="F606" i="13"/>
  <c r="E606" i="13"/>
  <c r="D606" i="13"/>
  <c r="C606" i="13"/>
  <c r="B606" i="13"/>
  <c r="A606" i="13"/>
  <c r="AG605" i="13"/>
  <c r="AF605" i="13"/>
  <c r="AE605" i="13"/>
  <c r="AD605" i="13"/>
  <c r="Z605" i="13"/>
  <c r="Y605" i="13"/>
  <c r="X605" i="13"/>
  <c r="W605" i="13"/>
  <c r="U605" i="13"/>
  <c r="T605" i="13"/>
  <c r="S605" i="13"/>
  <c r="R605" i="13"/>
  <c r="Q605" i="13"/>
  <c r="P605" i="13"/>
  <c r="O605" i="13"/>
  <c r="N605" i="13"/>
  <c r="M605" i="13"/>
  <c r="L605" i="13"/>
  <c r="J605" i="13"/>
  <c r="G605" i="13"/>
  <c r="F605" i="13"/>
  <c r="E605" i="13"/>
  <c r="D605" i="13"/>
  <c r="C605" i="13"/>
  <c r="B605" i="13"/>
  <c r="A605" i="13"/>
  <c r="AG604" i="13"/>
  <c r="AF604" i="13"/>
  <c r="AE604" i="13"/>
  <c r="AD604" i="13"/>
  <c r="Z604" i="13"/>
  <c r="Y604" i="13"/>
  <c r="X604" i="13"/>
  <c r="W604" i="13"/>
  <c r="U604" i="13"/>
  <c r="T604" i="13"/>
  <c r="S604" i="13"/>
  <c r="R604" i="13"/>
  <c r="Q604" i="13"/>
  <c r="P604" i="13"/>
  <c r="O604" i="13"/>
  <c r="N604" i="13"/>
  <c r="M604" i="13"/>
  <c r="L604" i="13"/>
  <c r="J604" i="13"/>
  <c r="G604" i="13"/>
  <c r="F604" i="13"/>
  <c r="E604" i="13"/>
  <c r="D604" i="13"/>
  <c r="C604" i="13"/>
  <c r="B604" i="13"/>
  <c r="A604" i="13"/>
  <c r="AG603" i="13"/>
  <c r="AF603" i="13"/>
  <c r="AE603" i="13"/>
  <c r="AD603" i="13"/>
  <c r="Z603" i="13"/>
  <c r="Y603" i="13"/>
  <c r="X603" i="13"/>
  <c r="W603" i="13"/>
  <c r="U603" i="13"/>
  <c r="T603" i="13"/>
  <c r="S603" i="13"/>
  <c r="R603" i="13"/>
  <c r="Q603" i="13"/>
  <c r="P603" i="13"/>
  <c r="O603" i="13"/>
  <c r="N603" i="13"/>
  <c r="M603" i="13"/>
  <c r="L603" i="13"/>
  <c r="J603" i="13"/>
  <c r="G603" i="13"/>
  <c r="F603" i="13"/>
  <c r="E603" i="13"/>
  <c r="D603" i="13"/>
  <c r="C603" i="13"/>
  <c r="B603" i="13"/>
  <c r="A603" i="13"/>
  <c r="AG602" i="13"/>
  <c r="AF602" i="13"/>
  <c r="AE602" i="13"/>
  <c r="AD602" i="13"/>
  <c r="Z602" i="13"/>
  <c r="Y602" i="13"/>
  <c r="X602" i="13"/>
  <c r="W602" i="13"/>
  <c r="U602" i="13"/>
  <c r="T602" i="13"/>
  <c r="S602" i="13"/>
  <c r="R602" i="13"/>
  <c r="Q602" i="13"/>
  <c r="P602" i="13"/>
  <c r="O602" i="13"/>
  <c r="N602" i="13"/>
  <c r="M602" i="13"/>
  <c r="L602" i="13"/>
  <c r="J602" i="13"/>
  <c r="G602" i="13"/>
  <c r="F602" i="13"/>
  <c r="E602" i="13"/>
  <c r="D602" i="13"/>
  <c r="C602" i="13"/>
  <c r="B602" i="13"/>
  <c r="A602" i="13"/>
  <c r="AG601" i="13"/>
  <c r="AF601" i="13"/>
  <c r="AE601" i="13"/>
  <c r="AD601" i="13"/>
  <c r="Z601" i="13"/>
  <c r="Y601" i="13"/>
  <c r="X601" i="13"/>
  <c r="W601" i="13"/>
  <c r="U601" i="13"/>
  <c r="T601" i="13"/>
  <c r="S601" i="13"/>
  <c r="R601" i="13"/>
  <c r="Q601" i="13"/>
  <c r="P601" i="13"/>
  <c r="O601" i="13"/>
  <c r="N601" i="13"/>
  <c r="M601" i="13"/>
  <c r="L601" i="13"/>
  <c r="J601" i="13"/>
  <c r="G601" i="13"/>
  <c r="F601" i="13"/>
  <c r="E601" i="13"/>
  <c r="D601" i="13"/>
  <c r="C601" i="13"/>
  <c r="B601" i="13"/>
  <c r="A601" i="13"/>
  <c r="AG600" i="13"/>
  <c r="AF600" i="13"/>
  <c r="AE600" i="13"/>
  <c r="AD600" i="13"/>
  <c r="Z600" i="13"/>
  <c r="Y600" i="13"/>
  <c r="X600" i="13"/>
  <c r="W600" i="13"/>
  <c r="U600" i="13"/>
  <c r="T600" i="13"/>
  <c r="S600" i="13"/>
  <c r="R600" i="13"/>
  <c r="Q600" i="13"/>
  <c r="P600" i="13"/>
  <c r="O600" i="13"/>
  <c r="N600" i="13"/>
  <c r="M600" i="13"/>
  <c r="L600" i="13"/>
  <c r="J600" i="13"/>
  <c r="G600" i="13"/>
  <c r="F600" i="13"/>
  <c r="E600" i="13"/>
  <c r="D600" i="13"/>
  <c r="C600" i="13"/>
  <c r="B600" i="13"/>
  <c r="A600" i="13"/>
  <c r="AG599" i="13"/>
  <c r="AF599" i="13"/>
  <c r="AE599" i="13"/>
  <c r="AD599" i="13"/>
  <c r="Z599" i="13"/>
  <c r="Y599" i="13"/>
  <c r="X599" i="13"/>
  <c r="W599" i="13"/>
  <c r="U599" i="13"/>
  <c r="T599" i="13"/>
  <c r="S599" i="13"/>
  <c r="R599" i="13"/>
  <c r="Q599" i="13"/>
  <c r="P599" i="13"/>
  <c r="O599" i="13"/>
  <c r="N599" i="13"/>
  <c r="M599" i="13"/>
  <c r="L599" i="13"/>
  <c r="J599" i="13"/>
  <c r="G599" i="13"/>
  <c r="F599" i="13"/>
  <c r="E599" i="13"/>
  <c r="D599" i="13"/>
  <c r="C599" i="13"/>
  <c r="B599" i="13"/>
  <c r="A599" i="13"/>
  <c r="AG598" i="13"/>
  <c r="AF598" i="13"/>
  <c r="AE598" i="13"/>
  <c r="AD598" i="13"/>
  <c r="Z598" i="13"/>
  <c r="Y598" i="13"/>
  <c r="X598" i="13"/>
  <c r="W598" i="13"/>
  <c r="U598" i="13"/>
  <c r="T598" i="13"/>
  <c r="S598" i="13"/>
  <c r="R598" i="13"/>
  <c r="Q598" i="13"/>
  <c r="P598" i="13"/>
  <c r="O598" i="13"/>
  <c r="N598" i="13"/>
  <c r="M598" i="13"/>
  <c r="L598" i="13"/>
  <c r="J598" i="13"/>
  <c r="G598" i="13"/>
  <c r="F598" i="13"/>
  <c r="E598" i="13"/>
  <c r="D598" i="13"/>
  <c r="C598" i="13"/>
  <c r="B598" i="13"/>
  <c r="A598" i="13"/>
  <c r="AG597" i="13"/>
  <c r="AF597" i="13"/>
  <c r="AE597" i="13"/>
  <c r="AD597" i="13"/>
  <c r="Z597" i="13"/>
  <c r="Y597" i="13"/>
  <c r="X597" i="13"/>
  <c r="W597" i="13"/>
  <c r="U597" i="13"/>
  <c r="T597" i="13"/>
  <c r="S597" i="13"/>
  <c r="R597" i="13"/>
  <c r="Q597" i="13"/>
  <c r="P597" i="13"/>
  <c r="O597" i="13"/>
  <c r="N597" i="13"/>
  <c r="M597" i="13"/>
  <c r="L597" i="13"/>
  <c r="J597" i="13"/>
  <c r="G597" i="13"/>
  <c r="F597" i="13"/>
  <c r="E597" i="13"/>
  <c r="D597" i="13"/>
  <c r="C597" i="13"/>
  <c r="B597" i="13"/>
  <c r="A597" i="13"/>
  <c r="AG596" i="13"/>
  <c r="AF596" i="13"/>
  <c r="AE596" i="13"/>
  <c r="AD596" i="13"/>
  <c r="Z596" i="13"/>
  <c r="Y596" i="13"/>
  <c r="X596" i="13"/>
  <c r="W596" i="13"/>
  <c r="U596" i="13"/>
  <c r="T596" i="13"/>
  <c r="S596" i="13"/>
  <c r="R596" i="13"/>
  <c r="Q596" i="13"/>
  <c r="P596" i="13"/>
  <c r="O596" i="13"/>
  <c r="N596" i="13"/>
  <c r="M596" i="13"/>
  <c r="L596" i="13"/>
  <c r="J596" i="13"/>
  <c r="G596" i="13"/>
  <c r="F596" i="13"/>
  <c r="E596" i="13"/>
  <c r="D596" i="13"/>
  <c r="C596" i="13"/>
  <c r="B596" i="13"/>
  <c r="A596" i="13"/>
  <c r="AG595" i="13"/>
  <c r="AF595" i="13"/>
  <c r="AE595" i="13"/>
  <c r="AD595" i="13"/>
  <c r="Z595" i="13"/>
  <c r="Y595" i="13"/>
  <c r="X595" i="13"/>
  <c r="W595" i="13"/>
  <c r="U595" i="13"/>
  <c r="T595" i="13"/>
  <c r="S595" i="13"/>
  <c r="R595" i="13"/>
  <c r="Q595" i="13"/>
  <c r="P595" i="13"/>
  <c r="O595" i="13"/>
  <c r="N595" i="13"/>
  <c r="M595" i="13"/>
  <c r="L595" i="13"/>
  <c r="J595" i="13"/>
  <c r="G595" i="13"/>
  <c r="F595" i="13"/>
  <c r="E595" i="13"/>
  <c r="D595" i="13"/>
  <c r="C595" i="13"/>
  <c r="B595" i="13"/>
  <c r="A595" i="13"/>
  <c r="AG594" i="13"/>
  <c r="AF594" i="13"/>
  <c r="AE594" i="13"/>
  <c r="AD594" i="13"/>
  <c r="Z594" i="13"/>
  <c r="Y594" i="13"/>
  <c r="X594" i="13"/>
  <c r="W594" i="13"/>
  <c r="U594" i="13"/>
  <c r="T594" i="13"/>
  <c r="S594" i="13"/>
  <c r="R594" i="13"/>
  <c r="Q594" i="13"/>
  <c r="P594" i="13"/>
  <c r="O594" i="13"/>
  <c r="N594" i="13"/>
  <c r="M594" i="13"/>
  <c r="L594" i="13"/>
  <c r="J594" i="13"/>
  <c r="G594" i="13"/>
  <c r="F594" i="13"/>
  <c r="E594" i="13"/>
  <c r="D594" i="13"/>
  <c r="C594" i="13"/>
  <c r="B594" i="13"/>
  <c r="A594" i="13"/>
  <c r="AG593" i="13"/>
  <c r="AF593" i="13"/>
  <c r="AE593" i="13"/>
  <c r="AD593" i="13"/>
  <c r="Z593" i="13"/>
  <c r="Y593" i="13"/>
  <c r="X593" i="13"/>
  <c r="W593" i="13"/>
  <c r="U593" i="13"/>
  <c r="T593" i="13"/>
  <c r="S593" i="13"/>
  <c r="R593" i="13"/>
  <c r="Q593" i="13"/>
  <c r="P593" i="13"/>
  <c r="O593" i="13"/>
  <c r="N593" i="13"/>
  <c r="M593" i="13"/>
  <c r="L593" i="13"/>
  <c r="J593" i="13"/>
  <c r="G593" i="13"/>
  <c r="F593" i="13"/>
  <c r="E593" i="13"/>
  <c r="D593" i="13"/>
  <c r="C593" i="13"/>
  <c r="B593" i="13"/>
  <c r="A593" i="13"/>
  <c r="AG592" i="13"/>
  <c r="AF592" i="13"/>
  <c r="AE592" i="13"/>
  <c r="AD592" i="13"/>
  <c r="Z592" i="13"/>
  <c r="Y592" i="13"/>
  <c r="X592" i="13"/>
  <c r="W592" i="13"/>
  <c r="U592" i="13"/>
  <c r="T592" i="13"/>
  <c r="S592" i="13"/>
  <c r="R592" i="13"/>
  <c r="Q592" i="13"/>
  <c r="P592" i="13"/>
  <c r="O592" i="13"/>
  <c r="N592" i="13"/>
  <c r="M592" i="13"/>
  <c r="L592" i="13"/>
  <c r="J592" i="13"/>
  <c r="G592" i="13"/>
  <c r="F592" i="13"/>
  <c r="E592" i="13"/>
  <c r="D592" i="13"/>
  <c r="C592" i="13"/>
  <c r="B592" i="13"/>
  <c r="A592" i="13"/>
  <c r="AG591" i="13"/>
  <c r="AF591" i="13"/>
  <c r="AE591" i="13"/>
  <c r="AD591" i="13"/>
  <c r="Z591" i="13"/>
  <c r="Y591" i="13"/>
  <c r="X591" i="13"/>
  <c r="W591" i="13"/>
  <c r="U591" i="13"/>
  <c r="T591" i="13"/>
  <c r="S591" i="13"/>
  <c r="R591" i="13"/>
  <c r="Q591" i="13"/>
  <c r="P591" i="13"/>
  <c r="O591" i="13"/>
  <c r="N591" i="13"/>
  <c r="M591" i="13"/>
  <c r="L591" i="13"/>
  <c r="J591" i="13"/>
  <c r="G591" i="13"/>
  <c r="F591" i="13"/>
  <c r="E591" i="13"/>
  <c r="D591" i="13"/>
  <c r="C591" i="13"/>
  <c r="B591" i="13"/>
  <c r="A591" i="13"/>
  <c r="AG590" i="13"/>
  <c r="AF590" i="13"/>
  <c r="AE590" i="13"/>
  <c r="AD590" i="13"/>
  <c r="Z590" i="13"/>
  <c r="Y590" i="13"/>
  <c r="X590" i="13"/>
  <c r="W590" i="13"/>
  <c r="U590" i="13"/>
  <c r="T590" i="13"/>
  <c r="S590" i="13"/>
  <c r="R590" i="13"/>
  <c r="Q590" i="13"/>
  <c r="P590" i="13"/>
  <c r="O590" i="13"/>
  <c r="N590" i="13"/>
  <c r="M590" i="13"/>
  <c r="L590" i="13"/>
  <c r="J590" i="13"/>
  <c r="G590" i="13"/>
  <c r="F590" i="13"/>
  <c r="E590" i="13"/>
  <c r="D590" i="13"/>
  <c r="C590" i="13"/>
  <c r="B590" i="13"/>
  <c r="A590" i="13"/>
  <c r="AG589" i="13"/>
  <c r="AF589" i="13"/>
  <c r="AE589" i="13"/>
  <c r="AD589" i="13"/>
  <c r="Z589" i="13"/>
  <c r="Y589" i="13"/>
  <c r="X589" i="13"/>
  <c r="U589" i="13"/>
  <c r="T589" i="13"/>
  <c r="S589" i="13"/>
  <c r="R589" i="13"/>
  <c r="Q589" i="13"/>
  <c r="O589" i="13"/>
  <c r="N589" i="13"/>
  <c r="M589" i="13"/>
  <c r="L589" i="13"/>
  <c r="F589" i="13"/>
  <c r="E589" i="13"/>
  <c r="D589" i="13"/>
  <c r="C589" i="13"/>
  <c r="B589" i="13"/>
  <c r="A589" i="13"/>
  <c r="AG588" i="13"/>
  <c r="AF588" i="13"/>
  <c r="AE588" i="13"/>
  <c r="AD588" i="13"/>
  <c r="Z588" i="13"/>
  <c r="Y588" i="13"/>
  <c r="X588" i="13"/>
  <c r="U588" i="13"/>
  <c r="T588" i="13"/>
  <c r="S588" i="13"/>
  <c r="R588" i="13"/>
  <c r="Q588" i="13"/>
  <c r="O588" i="13"/>
  <c r="N588" i="13"/>
  <c r="M588" i="13"/>
  <c r="L588" i="13"/>
  <c r="F588" i="13"/>
  <c r="E588" i="13"/>
  <c r="D588" i="13"/>
  <c r="C588" i="13"/>
  <c r="B588" i="13"/>
  <c r="A588" i="13"/>
  <c r="AG587" i="13"/>
  <c r="AF587" i="13"/>
  <c r="AE587" i="13"/>
  <c r="AD587" i="13"/>
  <c r="Z587" i="13"/>
  <c r="Y587" i="13"/>
  <c r="X587" i="13"/>
  <c r="U587" i="13"/>
  <c r="T587" i="13"/>
  <c r="S587" i="13"/>
  <c r="R587" i="13"/>
  <c r="Q587" i="13"/>
  <c r="O587" i="13"/>
  <c r="N587" i="13"/>
  <c r="M587" i="13"/>
  <c r="L587" i="13"/>
  <c r="F587" i="13"/>
  <c r="E587" i="13"/>
  <c r="D587" i="13"/>
  <c r="C587" i="13"/>
  <c r="B587" i="13"/>
  <c r="A587" i="13"/>
  <c r="AG586" i="13"/>
  <c r="AF586" i="13"/>
  <c r="AE586" i="13"/>
  <c r="AD586" i="13"/>
  <c r="Z586" i="13"/>
  <c r="Y586" i="13"/>
  <c r="X586" i="13"/>
  <c r="U586" i="13"/>
  <c r="T586" i="13"/>
  <c r="S586" i="13"/>
  <c r="R586" i="13"/>
  <c r="Q586" i="13"/>
  <c r="O586" i="13"/>
  <c r="N586" i="13"/>
  <c r="M586" i="13"/>
  <c r="L586" i="13"/>
  <c r="F586" i="13"/>
  <c r="E586" i="13"/>
  <c r="D586" i="13"/>
  <c r="C586" i="13"/>
  <c r="B586" i="13"/>
  <c r="A586" i="13"/>
  <c r="AG585" i="13"/>
  <c r="AF585" i="13"/>
  <c r="AE585" i="13"/>
  <c r="AD585" i="13"/>
  <c r="Z585" i="13"/>
  <c r="Y585" i="13"/>
  <c r="X585" i="13"/>
  <c r="U585" i="13"/>
  <c r="T585" i="13"/>
  <c r="S585" i="13"/>
  <c r="R585" i="13"/>
  <c r="Q585" i="13"/>
  <c r="O585" i="13"/>
  <c r="N585" i="13"/>
  <c r="M585" i="13"/>
  <c r="L585" i="13"/>
  <c r="F585" i="13"/>
  <c r="E585" i="13"/>
  <c r="D585" i="13"/>
  <c r="C585" i="13"/>
  <c r="B585" i="13"/>
  <c r="A585" i="13"/>
  <c r="AG584" i="13"/>
  <c r="AF584" i="13"/>
  <c r="AE584" i="13"/>
  <c r="AD584" i="13"/>
  <c r="Z584" i="13"/>
  <c r="Y584" i="13"/>
  <c r="X584" i="13"/>
  <c r="U584" i="13"/>
  <c r="T584" i="13"/>
  <c r="S584" i="13"/>
  <c r="R584" i="13"/>
  <c r="Q584" i="13"/>
  <c r="O584" i="13"/>
  <c r="N584" i="13"/>
  <c r="M584" i="13"/>
  <c r="L584" i="13"/>
  <c r="F584" i="13"/>
  <c r="E584" i="13"/>
  <c r="D584" i="13"/>
  <c r="C584" i="13"/>
  <c r="B584" i="13"/>
  <c r="A584" i="13"/>
  <c r="AG583" i="13"/>
  <c r="AF583" i="13"/>
  <c r="AE583" i="13"/>
  <c r="AD583" i="13"/>
  <c r="Z583" i="13"/>
  <c r="Y583" i="13"/>
  <c r="X583" i="13"/>
  <c r="U583" i="13"/>
  <c r="T583" i="13"/>
  <c r="S583" i="13"/>
  <c r="R583" i="13"/>
  <c r="Q583" i="13"/>
  <c r="O583" i="13"/>
  <c r="N583" i="13"/>
  <c r="M583" i="13"/>
  <c r="L583" i="13"/>
  <c r="F583" i="13"/>
  <c r="E583" i="13"/>
  <c r="D583" i="13"/>
  <c r="C583" i="13"/>
  <c r="B583" i="13"/>
  <c r="A583" i="13"/>
  <c r="AG582" i="13"/>
  <c r="AF582" i="13"/>
  <c r="AE582" i="13"/>
  <c r="AD582" i="13"/>
  <c r="Z582" i="13"/>
  <c r="Y582" i="13"/>
  <c r="X582" i="13"/>
  <c r="U582" i="13"/>
  <c r="T582" i="13"/>
  <c r="S582" i="13"/>
  <c r="R582" i="13"/>
  <c r="Q582" i="13"/>
  <c r="O582" i="13"/>
  <c r="N582" i="13"/>
  <c r="M582" i="13"/>
  <c r="L582" i="13"/>
  <c r="F582" i="13"/>
  <c r="E582" i="13"/>
  <c r="D582" i="13"/>
  <c r="C582" i="13"/>
  <c r="B582" i="13"/>
  <c r="A582" i="13"/>
  <c r="AG581" i="13"/>
  <c r="AF581" i="13"/>
  <c r="AE581" i="13"/>
  <c r="AD581" i="13"/>
  <c r="Z581" i="13"/>
  <c r="Y581" i="13"/>
  <c r="X581" i="13"/>
  <c r="U581" i="13"/>
  <c r="T581" i="13"/>
  <c r="S581" i="13"/>
  <c r="R581" i="13"/>
  <c r="Q581" i="13"/>
  <c r="O581" i="13"/>
  <c r="N581" i="13"/>
  <c r="M581" i="13"/>
  <c r="L581" i="13"/>
  <c r="F581" i="13"/>
  <c r="E581" i="13"/>
  <c r="D581" i="13"/>
  <c r="C581" i="13"/>
  <c r="B581" i="13"/>
  <c r="A581" i="13"/>
  <c r="AG580" i="13"/>
  <c r="AF580" i="13"/>
  <c r="AE580" i="13"/>
  <c r="AD580" i="13"/>
  <c r="Z580" i="13"/>
  <c r="Y580" i="13"/>
  <c r="X580" i="13"/>
  <c r="U580" i="13"/>
  <c r="T580" i="13"/>
  <c r="S580" i="13"/>
  <c r="R580" i="13"/>
  <c r="Q580" i="13"/>
  <c r="O580" i="13"/>
  <c r="N580" i="13"/>
  <c r="M580" i="13"/>
  <c r="L580" i="13"/>
  <c r="F580" i="13"/>
  <c r="E580" i="13"/>
  <c r="D580" i="13"/>
  <c r="C580" i="13"/>
  <c r="B580" i="13"/>
  <c r="A580" i="13"/>
  <c r="AG579" i="13"/>
  <c r="AF579" i="13"/>
  <c r="AE579" i="13"/>
  <c r="AD579" i="13"/>
  <c r="Z579" i="13"/>
  <c r="Y579" i="13"/>
  <c r="X579" i="13"/>
  <c r="U579" i="13"/>
  <c r="T579" i="13"/>
  <c r="S579" i="13"/>
  <c r="R579" i="13"/>
  <c r="Q579" i="13"/>
  <c r="O579" i="13"/>
  <c r="N579" i="13"/>
  <c r="M579" i="13"/>
  <c r="L579" i="13"/>
  <c r="F579" i="13"/>
  <c r="E579" i="13"/>
  <c r="D579" i="13"/>
  <c r="C579" i="13"/>
  <c r="B579" i="13"/>
  <c r="A579" i="13"/>
  <c r="AG578" i="13"/>
  <c r="AF578" i="13"/>
  <c r="AE578" i="13"/>
  <c r="AD578" i="13"/>
  <c r="Z578" i="13"/>
  <c r="Y578" i="13"/>
  <c r="X578" i="13"/>
  <c r="U578" i="13"/>
  <c r="T578" i="13"/>
  <c r="S578" i="13"/>
  <c r="R578" i="13"/>
  <c r="Q578" i="13"/>
  <c r="O578" i="13"/>
  <c r="N578" i="13"/>
  <c r="M578" i="13"/>
  <c r="L578" i="13"/>
  <c r="F578" i="13"/>
  <c r="E578" i="13"/>
  <c r="D578" i="13"/>
  <c r="C578" i="13"/>
  <c r="B578" i="13"/>
  <c r="A578" i="13"/>
  <c r="AG577" i="13"/>
  <c r="AF577" i="13"/>
  <c r="AE577" i="13"/>
  <c r="AD577" i="13"/>
  <c r="Z577" i="13"/>
  <c r="Y577" i="13"/>
  <c r="X577" i="13"/>
  <c r="U577" i="13"/>
  <c r="T577" i="13"/>
  <c r="S577" i="13"/>
  <c r="R577" i="13"/>
  <c r="Q577" i="13"/>
  <c r="O577" i="13"/>
  <c r="N577" i="13"/>
  <c r="M577" i="13"/>
  <c r="L577" i="13"/>
  <c r="F577" i="13"/>
  <c r="E577" i="13"/>
  <c r="D577" i="13"/>
  <c r="C577" i="13"/>
  <c r="B577" i="13"/>
  <c r="A577" i="13"/>
  <c r="AG576" i="13"/>
  <c r="AF576" i="13"/>
  <c r="AE576" i="13"/>
  <c r="AD576" i="13"/>
  <c r="Z576" i="13"/>
  <c r="Y576" i="13"/>
  <c r="X576" i="13"/>
  <c r="U576" i="13"/>
  <c r="T576" i="13"/>
  <c r="S576" i="13"/>
  <c r="R576" i="13"/>
  <c r="Q576" i="13"/>
  <c r="O576" i="13"/>
  <c r="N576" i="13"/>
  <c r="M576" i="13"/>
  <c r="L576" i="13"/>
  <c r="F576" i="13"/>
  <c r="E576" i="13"/>
  <c r="D576" i="13"/>
  <c r="C576" i="13"/>
  <c r="B576" i="13"/>
  <c r="A576" i="13"/>
  <c r="AG575" i="13"/>
  <c r="AF575" i="13"/>
  <c r="AE575" i="13"/>
  <c r="AD575" i="13"/>
  <c r="Z575" i="13"/>
  <c r="Y575" i="13"/>
  <c r="X575" i="13"/>
  <c r="U575" i="13"/>
  <c r="T575" i="13"/>
  <c r="S575" i="13"/>
  <c r="R575" i="13"/>
  <c r="Q575" i="13"/>
  <c r="O575" i="13"/>
  <c r="N575" i="13"/>
  <c r="M575" i="13"/>
  <c r="L575" i="13"/>
  <c r="F575" i="13"/>
  <c r="E575" i="13"/>
  <c r="D575" i="13"/>
  <c r="C575" i="13"/>
  <c r="B575" i="13"/>
  <c r="A575" i="13"/>
  <c r="AG574" i="13"/>
  <c r="AF574" i="13"/>
  <c r="AE574" i="13"/>
  <c r="AD574" i="13"/>
  <c r="Z574" i="13"/>
  <c r="Y574" i="13"/>
  <c r="X574" i="13"/>
  <c r="U574" i="13"/>
  <c r="T574" i="13"/>
  <c r="S574" i="13"/>
  <c r="R574" i="13"/>
  <c r="Q574" i="13"/>
  <c r="O574" i="13"/>
  <c r="N574" i="13"/>
  <c r="M574" i="13"/>
  <c r="L574" i="13"/>
  <c r="F574" i="13"/>
  <c r="E574" i="13"/>
  <c r="D574" i="13"/>
  <c r="C574" i="13"/>
  <c r="B574" i="13"/>
  <c r="A574" i="13"/>
  <c r="AG573" i="13"/>
  <c r="AF573" i="13"/>
  <c r="AE573" i="13"/>
  <c r="AD573" i="13"/>
  <c r="Z573" i="13"/>
  <c r="Y573" i="13"/>
  <c r="X573" i="13"/>
  <c r="U573" i="13"/>
  <c r="T573" i="13"/>
  <c r="S573" i="13"/>
  <c r="R573" i="13"/>
  <c r="Q573" i="13"/>
  <c r="O573" i="13"/>
  <c r="N573" i="13"/>
  <c r="M573" i="13"/>
  <c r="L573" i="13"/>
  <c r="F573" i="13"/>
  <c r="E573" i="13"/>
  <c r="D573" i="13"/>
  <c r="C573" i="13"/>
  <c r="B573" i="13"/>
  <c r="A573" i="13"/>
  <c r="AG572" i="13"/>
  <c r="AF572" i="13"/>
  <c r="AE572" i="13"/>
  <c r="AD572" i="13"/>
  <c r="Z572" i="13"/>
  <c r="Y572" i="13"/>
  <c r="X572" i="13"/>
  <c r="U572" i="13"/>
  <c r="T572" i="13"/>
  <c r="S572" i="13"/>
  <c r="R572" i="13"/>
  <c r="Q572" i="13"/>
  <c r="O572" i="13"/>
  <c r="N572" i="13"/>
  <c r="M572" i="13"/>
  <c r="L572" i="13"/>
  <c r="F572" i="13"/>
  <c r="E572" i="13"/>
  <c r="D572" i="13"/>
  <c r="C572" i="13"/>
  <c r="B572" i="13"/>
  <c r="A572" i="13"/>
  <c r="AG571" i="13"/>
  <c r="AF571" i="13"/>
  <c r="AE571" i="13"/>
  <c r="AD571" i="13"/>
  <c r="Z571" i="13"/>
  <c r="Y571" i="13"/>
  <c r="X571" i="13"/>
  <c r="U571" i="13"/>
  <c r="T571" i="13"/>
  <c r="S571" i="13"/>
  <c r="R571" i="13"/>
  <c r="Q571" i="13"/>
  <c r="O571" i="13"/>
  <c r="N571" i="13"/>
  <c r="M571" i="13"/>
  <c r="L571" i="13"/>
  <c r="F571" i="13"/>
  <c r="E571" i="13"/>
  <c r="D571" i="13"/>
  <c r="C571" i="13"/>
  <c r="B571" i="13"/>
  <c r="A571" i="13"/>
  <c r="AG570" i="13"/>
  <c r="AF570" i="13"/>
  <c r="AE570" i="13"/>
  <c r="AD570" i="13"/>
  <c r="Z570" i="13"/>
  <c r="Y570" i="13"/>
  <c r="X570" i="13"/>
  <c r="U570" i="13"/>
  <c r="T570" i="13"/>
  <c r="S570" i="13"/>
  <c r="R570" i="13"/>
  <c r="Q570" i="13"/>
  <c r="O570" i="13"/>
  <c r="N570" i="13"/>
  <c r="M570" i="13"/>
  <c r="L570" i="13"/>
  <c r="F570" i="13"/>
  <c r="E570" i="13"/>
  <c r="D570" i="13"/>
  <c r="C570" i="13"/>
  <c r="B570" i="13"/>
  <c r="A570" i="13"/>
  <c r="AG569" i="13"/>
  <c r="AF569" i="13"/>
  <c r="AE569" i="13"/>
  <c r="AD569" i="13"/>
  <c r="Z569" i="13"/>
  <c r="Y569" i="13"/>
  <c r="X569" i="13"/>
  <c r="W569" i="13"/>
  <c r="U569" i="13"/>
  <c r="T569" i="13"/>
  <c r="S569" i="13"/>
  <c r="R569" i="13"/>
  <c r="Q569" i="13"/>
  <c r="P569" i="13"/>
  <c r="O569" i="13"/>
  <c r="N569" i="13"/>
  <c r="M569" i="13"/>
  <c r="L569" i="13"/>
  <c r="J569" i="13"/>
  <c r="G569" i="13"/>
  <c r="F569" i="13"/>
  <c r="E569" i="13"/>
  <c r="D569" i="13"/>
  <c r="C569" i="13"/>
  <c r="B569" i="13"/>
  <c r="A569" i="13"/>
  <c r="AG568" i="13"/>
  <c r="AF568" i="13"/>
  <c r="AE568" i="13"/>
  <c r="AD568" i="13"/>
  <c r="Z568" i="13"/>
  <c r="Y568" i="13"/>
  <c r="X568" i="13"/>
  <c r="W568" i="13"/>
  <c r="U568" i="13"/>
  <c r="T568" i="13"/>
  <c r="S568" i="13"/>
  <c r="R568" i="13"/>
  <c r="Q568" i="13"/>
  <c r="O568" i="13"/>
  <c r="N568" i="13"/>
  <c r="M568" i="13"/>
  <c r="L568" i="13"/>
  <c r="G568" i="13"/>
  <c r="F568" i="13"/>
  <c r="E568" i="13"/>
  <c r="D568" i="13"/>
  <c r="C568" i="13"/>
  <c r="B568" i="13"/>
  <c r="A568" i="13"/>
  <c r="AG567" i="13"/>
  <c r="AF567" i="13"/>
  <c r="AE567" i="13"/>
  <c r="AD567" i="13"/>
  <c r="Z567" i="13"/>
  <c r="Y567" i="13"/>
  <c r="X567" i="13"/>
  <c r="W567" i="13"/>
  <c r="U567" i="13"/>
  <c r="T567" i="13"/>
  <c r="S567" i="13"/>
  <c r="R567" i="13"/>
  <c r="Q567" i="13"/>
  <c r="O567" i="13"/>
  <c r="N567" i="13"/>
  <c r="M567" i="13"/>
  <c r="L567" i="13"/>
  <c r="G567" i="13"/>
  <c r="F567" i="13"/>
  <c r="E567" i="13"/>
  <c r="D567" i="13"/>
  <c r="C567" i="13"/>
  <c r="B567" i="13"/>
  <c r="A567" i="13"/>
  <c r="AG566" i="13"/>
  <c r="AF566" i="13"/>
  <c r="AE566" i="13"/>
  <c r="AD566" i="13"/>
  <c r="Z566" i="13"/>
  <c r="Y566" i="13"/>
  <c r="X566" i="13"/>
  <c r="W566" i="13"/>
  <c r="U566" i="13"/>
  <c r="T566" i="13"/>
  <c r="S566" i="13"/>
  <c r="R566" i="13"/>
  <c r="Q566" i="13"/>
  <c r="O566" i="13"/>
  <c r="N566" i="13"/>
  <c r="M566" i="13"/>
  <c r="L566" i="13"/>
  <c r="G566" i="13"/>
  <c r="F566" i="13"/>
  <c r="E566" i="13"/>
  <c r="D566" i="13"/>
  <c r="C566" i="13"/>
  <c r="B566" i="13"/>
  <c r="A566" i="13"/>
  <c r="AG565" i="13"/>
  <c r="AF565" i="13"/>
  <c r="AE565" i="13"/>
  <c r="AD565" i="13"/>
  <c r="Z565" i="13"/>
  <c r="Y565" i="13"/>
  <c r="X565" i="13"/>
  <c r="W565" i="13"/>
  <c r="U565" i="13"/>
  <c r="T565" i="13"/>
  <c r="S565" i="13"/>
  <c r="R565" i="13"/>
  <c r="Q565" i="13"/>
  <c r="O565" i="13"/>
  <c r="N565" i="13"/>
  <c r="M565" i="13"/>
  <c r="L565" i="13"/>
  <c r="G565" i="13"/>
  <c r="F565" i="13"/>
  <c r="E565" i="13"/>
  <c r="D565" i="13"/>
  <c r="C565" i="13"/>
  <c r="B565" i="13"/>
  <c r="A565" i="13"/>
  <c r="AG564" i="13"/>
  <c r="AF564" i="13"/>
  <c r="AE564" i="13"/>
  <c r="AD564" i="13"/>
  <c r="Z564" i="13"/>
  <c r="Y564" i="13"/>
  <c r="X564" i="13"/>
  <c r="W564" i="13"/>
  <c r="U564" i="13"/>
  <c r="T564" i="13"/>
  <c r="S564" i="13"/>
  <c r="R564" i="13"/>
  <c r="Q564" i="13"/>
  <c r="O564" i="13"/>
  <c r="N564" i="13"/>
  <c r="M564" i="13"/>
  <c r="L564" i="13"/>
  <c r="G564" i="13"/>
  <c r="F564" i="13"/>
  <c r="E564" i="13"/>
  <c r="D564" i="13"/>
  <c r="C564" i="13"/>
  <c r="B564" i="13"/>
  <c r="A564" i="13"/>
  <c r="AG563" i="13"/>
  <c r="AF563" i="13"/>
  <c r="AE563" i="13"/>
  <c r="AD563" i="13"/>
  <c r="Z563" i="13"/>
  <c r="Y563" i="13"/>
  <c r="X563" i="13"/>
  <c r="W563" i="13"/>
  <c r="U563" i="13"/>
  <c r="T563" i="13"/>
  <c r="S563" i="13"/>
  <c r="R563" i="13"/>
  <c r="Q563" i="13"/>
  <c r="O563" i="13"/>
  <c r="N563" i="13"/>
  <c r="M563" i="13"/>
  <c r="L563" i="13"/>
  <c r="G563" i="13"/>
  <c r="F563" i="13"/>
  <c r="E563" i="13"/>
  <c r="D563" i="13"/>
  <c r="C563" i="13"/>
  <c r="B563" i="13"/>
  <c r="A563" i="13"/>
  <c r="AG562" i="13"/>
  <c r="AF562" i="13"/>
  <c r="AE562" i="13"/>
  <c r="AD562" i="13"/>
  <c r="Z562" i="13"/>
  <c r="Y562" i="13"/>
  <c r="X562" i="13"/>
  <c r="W562" i="13"/>
  <c r="U562" i="13"/>
  <c r="T562" i="13"/>
  <c r="S562" i="13"/>
  <c r="R562" i="13"/>
  <c r="Q562" i="13"/>
  <c r="O562" i="13"/>
  <c r="N562" i="13"/>
  <c r="M562" i="13"/>
  <c r="L562" i="13"/>
  <c r="G562" i="13"/>
  <c r="F562" i="13"/>
  <c r="E562" i="13"/>
  <c r="D562" i="13"/>
  <c r="C562" i="13"/>
  <c r="B562" i="13"/>
  <c r="A562" i="13"/>
  <c r="AG561" i="13"/>
  <c r="AF561" i="13"/>
  <c r="AE561" i="13"/>
  <c r="AD561" i="13"/>
  <c r="Z561" i="13"/>
  <c r="Y561" i="13"/>
  <c r="X561" i="13"/>
  <c r="W561" i="13"/>
  <c r="U561" i="13"/>
  <c r="T561" i="13"/>
  <c r="S561" i="13"/>
  <c r="R561" i="13"/>
  <c r="Q561" i="13"/>
  <c r="O561" i="13"/>
  <c r="N561" i="13"/>
  <c r="M561" i="13"/>
  <c r="L561" i="13"/>
  <c r="G561" i="13"/>
  <c r="F561" i="13"/>
  <c r="E561" i="13"/>
  <c r="D561" i="13"/>
  <c r="C561" i="13"/>
  <c r="B561" i="13"/>
  <c r="A561" i="13"/>
  <c r="AG560" i="13"/>
  <c r="AF560" i="13"/>
  <c r="AE560" i="13"/>
  <c r="AD560" i="13"/>
  <c r="Z560" i="13"/>
  <c r="Y560" i="13"/>
  <c r="X560" i="13"/>
  <c r="W560" i="13"/>
  <c r="U560" i="13"/>
  <c r="T560" i="13"/>
  <c r="S560" i="13"/>
  <c r="R560" i="13"/>
  <c r="Q560" i="13"/>
  <c r="O560" i="13"/>
  <c r="N560" i="13"/>
  <c r="M560" i="13"/>
  <c r="L560" i="13"/>
  <c r="G560" i="13"/>
  <c r="F560" i="13"/>
  <c r="E560" i="13"/>
  <c r="D560" i="13"/>
  <c r="C560" i="13"/>
  <c r="B560" i="13"/>
  <c r="A560" i="13"/>
  <c r="AG559" i="13"/>
  <c r="AF559" i="13"/>
  <c r="AE559" i="13"/>
  <c r="AD559" i="13"/>
  <c r="Z559" i="13"/>
  <c r="Y559" i="13"/>
  <c r="X559" i="13"/>
  <c r="W559" i="13"/>
  <c r="U559" i="13"/>
  <c r="T559" i="13"/>
  <c r="S559" i="13"/>
  <c r="R559" i="13"/>
  <c r="Q559" i="13"/>
  <c r="O559" i="13"/>
  <c r="N559" i="13"/>
  <c r="M559" i="13"/>
  <c r="L559" i="13"/>
  <c r="G559" i="13"/>
  <c r="F559" i="13"/>
  <c r="E559" i="13"/>
  <c r="D559" i="13"/>
  <c r="C559" i="13"/>
  <c r="B559" i="13"/>
  <c r="A559" i="13"/>
  <c r="AG558" i="13"/>
  <c r="AF558" i="13"/>
  <c r="AE558" i="13"/>
  <c r="AD558" i="13"/>
  <c r="Z558" i="13"/>
  <c r="Y558" i="13"/>
  <c r="X558" i="13"/>
  <c r="W558" i="13"/>
  <c r="U558" i="13"/>
  <c r="T558" i="13"/>
  <c r="S558" i="13"/>
  <c r="R558" i="13"/>
  <c r="Q558" i="13"/>
  <c r="O558" i="13"/>
  <c r="N558" i="13"/>
  <c r="M558" i="13"/>
  <c r="L558" i="13"/>
  <c r="G558" i="13"/>
  <c r="F558" i="13"/>
  <c r="E558" i="13"/>
  <c r="D558" i="13"/>
  <c r="C558" i="13"/>
  <c r="B558" i="13"/>
  <c r="A558" i="13"/>
  <c r="AG557" i="13"/>
  <c r="AF557" i="13"/>
  <c r="AE557" i="13"/>
  <c r="AD557" i="13"/>
  <c r="Z557" i="13"/>
  <c r="Y557" i="13"/>
  <c r="X557" i="13"/>
  <c r="W557" i="13"/>
  <c r="U557" i="13"/>
  <c r="T557" i="13"/>
  <c r="S557" i="13"/>
  <c r="R557" i="13"/>
  <c r="Q557" i="13"/>
  <c r="O557" i="13"/>
  <c r="N557" i="13"/>
  <c r="M557" i="13"/>
  <c r="L557" i="13"/>
  <c r="G557" i="13"/>
  <c r="F557" i="13"/>
  <c r="E557" i="13"/>
  <c r="D557" i="13"/>
  <c r="C557" i="13"/>
  <c r="B557" i="13"/>
  <c r="A557" i="13"/>
  <c r="AG556" i="13"/>
  <c r="AF556" i="13"/>
  <c r="AE556" i="13"/>
  <c r="AD556" i="13"/>
  <c r="Z556" i="13"/>
  <c r="Y556" i="13"/>
  <c r="X556" i="13"/>
  <c r="W556" i="13"/>
  <c r="U556" i="13"/>
  <c r="T556" i="13"/>
  <c r="S556" i="13"/>
  <c r="R556" i="13"/>
  <c r="Q556" i="13"/>
  <c r="O556" i="13"/>
  <c r="N556" i="13"/>
  <c r="M556" i="13"/>
  <c r="L556" i="13"/>
  <c r="G556" i="13"/>
  <c r="F556" i="13"/>
  <c r="E556" i="13"/>
  <c r="D556" i="13"/>
  <c r="C556" i="13"/>
  <c r="B556" i="13"/>
  <c r="A556" i="13"/>
  <c r="AG555" i="13"/>
  <c r="AF555" i="13"/>
  <c r="AE555" i="13"/>
  <c r="AD555" i="13"/>
  <c r="Z555" i="13"/>
  <c r="Y555" i="13"/>
  <c r="X555" i="13"/>
  <c r="W555" i="13"/>
  <c r="U555" i="13"/>
  <c r="T555" i="13"/>
  <c r="S555" i="13"/>
  <c r="R555" i="13"/>
  <c r="Q555" i="13"/>
  <c r="O555" i="13"/>
  <c r="N555" i="13"/>
  <c r="M555" i="13"/>
  <c r="L555" i="13"/>
  <c r="G555" i="13"/>
  <c r="F555" i="13"/>
  <c r="E555" i="13"/>
  <c r="D555" i="13"/>
  <c r="C555" i="13"/>
  <c r="B555" i="13"/>
  <c r="A555" i="13"/>
  <c r="AG554" i="13"/>
  <c r="AF554" i="13"/>
  <c r="AE554" i="13"/>
  <c r="AD554" i="13"/>
  <c r="Z554" i="13"/>
  <c r="Y554" i="13"/>
  <c r="X554" i="13"/>
  <c r="W554" i="13"/>
  <c r="U554" i="13"/>
  <c r="T554" i="13"/>
  <c r="S554" i="13"/>
  <c r="R554" i="13"/>
  <c r="Q554" i="13"/>
  <c r="O554" i="13"/>
  <c r="N554" i="13"/>
  <c r="M554" i="13"/>
  <c r="L554" i="13"/>
  <c r="G554" i="13"/>
  <c r="F554" i="13"/>
  <c r="E554" i="13"/>
  <c r="D554" i="13"/>
  <c r="C554" i="13"/>
  <c r="B554" i="13"/>
  <c r="A554" i="13"/>
  <c r="AG553" i="13"/>
  <c r="AF553" i="13"/>
  <c r="AE553" i="13"/>
  <c r="AD553" i="13"/>
  <c r="Z553" i="13"/>
  <c r="Y553" i="13"/>
  <c r="X553" i="13"/>
  <c r="W553" i="13"/>
  <c r="U553" i="13"/>
  <c r="T553" i="13"/>
  <c r="S553" i="13"/>
  <c r="R553" i="13"/>
  <c r="Q553" i="13"/>
  <c r="O553" i="13"/>
  <c r="N553" i="13"/>
  <c r="M553" i="13"/>
  <c r="L553" i="13"/>
  <c r="G553" i="13"/>
  <c r="F553" i="13"/>
  <c r="E553" i="13"/>
  <c r="D553" i="13"/>
  <c r="C553" i="13"/>
  <c r="B553" i="13"/>
  <c r="A553" i="13"/>
  <c r="AG552" i="13"/>
  <c r="AF552" i="13"/>
  <c r="AE552" i="13"/>
  <c r="AD552" i="13"/>
  <c r="Z552" i="13"/>
  <c r="Y552" i="13"/>
  <c r="X552" i="13"/>
  <c r="W552" i="13"/>
  <c r="U552" i="13"/>
  <c r="T552" i="13"/>
  <c r="S552" i="13"/>
  <c r="R552" i="13"/>
  <c r="Q552" i="13"/>
  <c r="O552" i="13"/>
  <c r="N552" i="13"/>
  <c r="M552" i="13"/>
  <c r="L552" i="13"/>
  <c r="G552" i="13"/>
  <c r="F552" i="13"/>
  <c r="E552" i="13"/>
  <c r="D552" i="13"/>
  <c r="C552" i="13"/>
  <c r="B552" i="13"/>
  <c r="A552" i="13"/>
  <c r="AG551" i="13"/>
  <c r="AF551" i="13"/>
  <c r="AE551" i="13"/>
  <c r="AD551" i="13"/>
  <c r="Z551" i="13"/>
  <c r="Y551" i="13"/>
  <c r="X551" i="13"/>
  <c r="W551" i="13"/>
  <c r="U551" i="13"/>
  <c r="T551" i="13"/>
  <c r="S551" i="13"/>
  <c r="R551" i="13"/>
  <c r="Q551" i="13"/>
  <c r="O551" i="13"/>
  <c r="N551" i="13"/>
  <c r="M551" i="13"/>
  <c r="L551" i="13"/>
  <c r="G551" i="13"/>
  <c r="F551" i="13"/>
  <c r="E551" i="13"/>
  <c r="D551" i="13"/>
  <c r="C551" i="13"/>
  <c r="B551" i="13"/>
  <c r="A551" i="13"/>
  <c r="AG550" i="13"/>
  <c r="AF550" i="13"/>
  <c r="AE550" i="13"/>
  <c r="AD550" i="13"/>
  <c r="Z550" i="13"/>
  <c r="Y550" i="13"/>
  <c r="X550" i="13"/>
  <c r="W550" i="13"/>
  <c r="U550" i="13"/>
  <c r="T550" i="13"/>
  <c r="S550" i="13"/>
  <c r="R550" i="13"/>
  <c r="Q550" i="13"/>
  <c r="P550" i="13"/>
  <c r="O550" i="13"/>
  <c r="N550" i="13"/>
  <c r="M550" i="13"/>
  <c r="L550" i="13"/>
  <c r="J550" i="13"/>
  <c r="G550" i="13"/>
  <c r="F550" i="13"/>
  <c r="E550" i="13"/>
  <c r="D550" i="13"/>
  <c r="C550" i="13"/>
  <c r="B550" i="13"/>
  <c r="A550" i="13"/>
  <c r="AG549" i="13"/>
  <c r="AF549" i="13"/>
  <c r="AE549" i="13"/>
  <c r="AD549" i="13"/>
  <c r="Z549" i="13"/>
  <c r="Y549" i="13"/>
  <c r="X549" i="13"/>
  <c r="U549" i="13"/>
  <c r="T549" i="13"/>
  <c r="S549" i="13"/>
  <c r="R549" i="13"/>
  <c r="Q549" i="13"/>
  <c r="O549" i="13"/>
  <c r="N549" i="13"/>
  <c r="M549" i="13"/>
  <c r="L549" i="13"/>
  <c r="F549" i="13"/>
  <c r="E549" i="13"/>
  <c r="D549" i="13"/>
  <c r="C549" i="13"/>
  <c r="B549" i="13"/>
  <c r="A549" i="13"/>
  <c r="AG548" i="13"/>
  <c r="AF548" i="13"/>
  <c r="AE548" i="13"/>
  <c r="AD548" i="13"/>
  <c r="AA548" i="13"/>
  <c r="Z548" i="13"/>
  <c r="Y548" i="13"/>
  <c r="X548" i="13"/>
  <c r="W548" i="13"/>
  <c r="U548" i="13"/>
  <c r="T548" i="13"/>
  <c r="S548" i="13"/>
  <c r="R548" i="13"/>
  <c r="Q548" i="13"/>
  <c r="P548" i="13"/>
  <c r="O548" i="13"/>
  <c r="N548" i="13"/>
  <c r="M548" i="13"/>
  <c r="L548" i="13"/>
  <c r="J548" i="13"/>
  <c r="H548" i="13"/>
  <c r="G548" i="13"/>
  <c r="F548" i="13"/>
  <c r="E548" i="13"/>
  <c r="D548" i="13"/>
  <c r="C548" i="13"/>
  <c r="B548" i="13"/>
  <c r="A548" i="13"/>
  <c r="AG547" i="13"/>
  <c r="AF547" i="13"/>
  <c r="AE547" i="13"/>
  <c r="AD547" i="13"/>
  <c r="Z547" i="13"/>
  <c r="Y547" i="13"/>
  <c r="X547" i="13"/>
  <c r="W547" i="13"/>
  <c r="U547" i="13"/>
  <c r="T547" i="13"/>
  <c r="S547" i="13"/>
  <c r="R547" i="13"/>
  <c r="Q547" i="13"/>
  <c r="P547" i="13"/>
  <c r="O547" i="13"/>
  <c r="N547" i="13"/>
  <c r="M547" i="13"/>
  <c r="L547" i="13"/>
  <c r="J547" i="13"/>
  <c r="G547" i="13"/>
  <c r="F547" i="13"/>
  <c r="E547" i="13"/>
  <c r="D547" i="13"/>
  <c r="C547" i="13"/>
  <c r="B547" i="13"/>
  <c r="A547" i="13"/>
  <c r="AG546" i="13"/>
  <c r="AF546" i="13"/>
  <c r="AE546" i="13"/>
  <c r="AD546" i="13"/>
  <c r="Z546" i="13"/>
  <c r="Y546" i="13"/>
  <c r="X546" i="13"/>
  <c r="W546" i="13"/>
  <c r="U546" i="13"/>
  <c r="T546" i="13"/>
  <c r="S546" i="13"/>
  <c r="R546" i="13"/>
  <c r="Q546" i="13"/>
  <c r="P546" i="13"/>
  <c r="O546" i="13"/>
  <c r="N546" i="13"/>
  <c r="M546" i="13"/>
  <c r="L546" i="13"/>
  <c r="J546" i="13"/>
  <c r="G546" i="13"/>
  <c r="F546" i="13"/>
  <c r="E546" i="13"/>
  <c r="D546" i="13"/>
  <c r="C546" i="13"/>
  <c r="B546" i="13"/>
  <c r="A546" i="13"/>
  <c r="AG545" i="13"/>
  <c r="AF545" i="13"/>
  <c r="AE545" i="13"/>
  <c r="AD545" i="13"/>
  <c r="Z545" i="13"/>
  <c r="Y545" i="13"/>
  <c r="X545" i="13"/>
  <c r="W545" i="13"/>
  <c r="U545" i="13"/>
  <c r="T545" i="13"/>
  <c r="S545" i="13"/>
  <c r="R545" i="13"/>
  <c r="Q545" i="13"/>
  <c r="P545" i="13"/>
  <c r="O545" i="13"/>
  <c r="N545" i="13"/>
  <c r="M545" i="13"/>
  <c r="L545" i="13"/>
  <c r="J545" i="13"/>
  <c r="G545" i="13"/>
  <c r="F545" i="13"/>
  <c r="E545" i="13"/>
  <c r="D545" i="13"/>
  <c r="C545" i="13"/>
  <c r="B545" i="13"/>
  <c r="A545" i="13"/>
  <c r="AG544" i="13"/>
  <c r="AF544" i="13"/>
  <c r="AE544" i="13"/>
  <c r="AD544" i="13"/>
  <c r="Z544" i="13"/>
  <c r="Y544" i="13"/>
  <c r="X544" i="13"/>
  <c r="W544" i="13"/>
  <c r="U544" i="13"/>
  <c r="T544" i="13"/>
  <c r="S544" i="13"/>
  <c r="R544" i="13"/>
  <c r="Q544" i="13"/>
  <c r="P544" i="13"/>
  <c r="O544" i="13"/>
  <c r="N544" i="13"/>
  <c r="M544" i="13"/>
  <c r="L544" i="13"/>
  <c r="J544" i="13"/>
  <c r="G544" i="13"/>
  <c r="F544" i="13"/>
  <c r="E544" i="13"/>
  <c r="D544" i="13"/>
  <c r="C544" i="13"/>
  <c r="B544" i="13"/>
  <c r="A544" i="13"/>
  <c r="AG543" i="13"/>
  <c r="AF543" i="13"/>
  <c r="AE543" i="13"/>
  <c r="AD543" i="13"/>
  <c r="Z543" i="13"/>
  <c r="Y543" i="13"/>
  <c r="X543" i="13"/>
  <c r="W543" i="13"/>
  <c r="U543" i="13"/>
  <c r="T543" i="13"/>
  <c r="S543" i="13"/>
  <c r="R543" i="13"/>
  <c r="Q543" i="13"/>
  <c r="P543" i="13"/>
  <c r="O543" i="13"/>
  <c r="N543" i="13"/>
  <c r="M543" i="13"/>
  <c r="L543" i="13"/>
  <c r="J543" i="13"/>
  <c r="G543" i="13"/>
  <c r="F543" i="13"/>
  <c r="E543" i="13"/>
  <c r="D543" i="13"/>
  <c r="C543" i="13"/>
  <c r="B543" i="13"/>
  <c r="A543" i="13"/>
  <c r="AG542" i="13"/>
  <c r="AF542" i="13"/>
  <c r="AE542" i="13"/>
  <c r="AD542" i="13"/>
  <c r="Z542" i="13"/>
  <c r="Y542" i="13"/>
  <c r="X542" i="13"/>
  <c r="W542" i="13"/>
  <c r="U542" i="13"/>
  <c r="T542" i="13"/>
  <c r="S542" i="13"/>
  <c r="R542" i="13"/>
  <c r="Q542" i="13"/>
  <c r="P542" i="13"/>
  <c r="O542" i="13"/>
  <c r="N542" i="13"/>
  <c r="M542" i="13"/>
  <c r="L542" i="13"/>
  <c r="J542" i="13"/>
  <c r="G542" i="13"/>
  <c r="F542" i="13"/>
  <c r="E542" i="13"/>
  <c r="D542" i="13"/>
  <c r="C542" i="13"/>
  <c r="B542" i="13"/>
  <c r="A542" i="13"/>
  <c r="AG541" i="13"/>
  <c r="AF541" i="13"/>
  <c r="AE541" i="13"/>
  <c r="AD541" i="13"/>
  <c r="Z541" i="13"/>
  <c r="Y541" i="13"/>
  <c r="X541" i="13"/>
  <c r="W541" i="13"/>
  <c r="U541" i="13"/>
  <c r="T541" i="13"/>
  <c r="S541" i="13"/>
  <c r="R541" i="13"/>
  <c r="Q541" i="13"/>
  <c r="P541" i="13"/>
  <c r="O541" i="13"/>
  <c r="N541" i="13"/>
  <c r="M541" i="13"/>
  <c r="L541" i="13"/>
  <c r="J541" i="13"/>
  <c r="G541" i="13"/>
  <c r="F541" i="13"/>
  <c r="E541" i="13"/>
  <c r="D541" i="13"/>
  <c r="C541" i="13"/>
  <c r="B541" i="13"/>
  <c r="A541" i="13"/>
  <c r="AG540" i="13"/>
  <c r="AF540" i="13"/>
  <c r="AE540" i="13"/>
  <c r="AD540" i="13"/>
  <c r="Z540" i="13"/>
  <c r="Y540" i="13"/>
  <c r="X540" i="13"/>
  <c r="W540" i="13"/>
  <c r="U540" i="13"/>
  <c r="T540" i="13"/>
  <c r="S540" i="13"/>
  <c r="R540" i="13"/>
  <c r="Q540" i="13"/>
  <c r="P540" i="13"/>
  <c r="O540" i="13"/>
  <c r="N540" i="13"/>
  <c r="M540" i="13"/>
  <c r="L540" i="13"/>
  <c r="J540" i="13"/>
  <c r="G540" i="13"/>
  <c r="F540" i="13"/>
  <c r="E540" i="13"/>
  <c r="D540" i="13"/>
  <c r="C540" i="13"/>
  <c r="B540" i="13"/>
  <c r="A540" i="13"/>
  <c r="AG539" i="13"/>
  <c r="AF539" i="13"/>
  <c r="AE539" i="13"/>
  <c r="AD539" i="13"/>
  <c r="Z539" i="13"/>
  <c r="Y539" i="13"/>
  <c r="X539" i="13"/>
  <c r="W539" i="13"/>
  <c r="U539" i="13"/>
  <c r="T539" i="13"/>
  <c r="S539" i="13"/>
  <c r="R539" i="13"/>
  <c r="Q539" i="13"/>
  <c r="P539" i="13"/>
  <c r="O539" i="13"/>
  <c r="N539" i="13"/>
  <c r="M539" i="13"/>
  <c r="L539" i="13"/>
  <c r="J539" i="13"/>
  <c r="G539" i="13"/>
  <c r="F539" i="13"/>
  <c r="E539" i="13"/>
  <c r="D539" i="13"/>
  <c r="C539" i="13"/>
  <c r="B539" i="13"/>
  <c r="A539" i="13"/>
  <c r="AG538" i="13"/>
  <c r="AF538" i="13"/>
  <c r="AE538" i="13"/>
  <c r="AD538" i="13"/>
  <c r="Z538" i="13"/>
  <c r="Y538" i="13"/>
  <c r="X538" i="13"/>
  <c r="W538" i="13"/>
  <c r="U538" i="13"/>
  <c r="T538" i="13"/>
  <c r="S538" i="13"/>
  <c r="R538" i="13"/>
  <c r="Q538" i="13"/>
  <c r="P538" i="13"/>
  <c r="O538" i="13"/>
  <c r="N538" i="13"/>
  <c r="M538" i="13"/>
  <c r="L538" i="13"/>
  <c r="J538" i="13"/>
  <c r="G538" i="13"/>
  <c r="F538" i="13"/>
  <c r="E538" i="13"/>
  <c r="D538" i="13"/>
  <c r="C538" i="13"/>
  <c r="B538" i="13"/>
  <c r="A538" i="13"/>
  <c r="AG537" i="13"/>
  <c r="AF537" i="13"/>
  <c r="AE537" i="13"/>
  <c r="AD537" i="13"/>
  <c r="Z537" i="13"/>
  <c r="Y537" i="13"/>
  <c r="X537" i="13"/>
  <c r="W537" i="13"/>
  <c r="U537" i="13"/>
  <c r="T537" i="13"/>
  <c r="S537" i="13"/>
  <c r="R537" i="13"/>
  <c r="Q537" i="13"/>
  <c r="P537" i="13"/>
  <c r="O537" i="13"/>
  <c r="N537" i="13"/>
  <c r="M537" i="13"/>
  <c r="L537" i="13"/>
  <c r="J537" i="13"/>
  <c r="G537" i="13"/>
  <c r="F537" i="13"/>
  <c r="E537" i="13"/>
  <c r="D537" i="13"/>
  <c r="C537" i="13"/>
  <c r="B537" i="13"/>
  <c r="A537" i="13"/>
  <c r="AG536" i="13"/>
  <c r="AF536" i="13"/>
  <c r="AE536" i="13"/>
  <c r="AD536" i="13"/>
  <c r="Z536" i="13"/>
  <c r="Y536" i="13"/>
  <c r="X536" i="13"/>
  <c r="W536" i="13"/>
  <c r="U536" i="13"/>
  <c r="T536" i="13"/>
  <c r="S536" i="13"/>
  <c r="R536" i="13"/>
  <c r="Q536" i="13"/>
  <c r="P536" i="13"/>
  <c r="O536" i="13"/>
  <c r="N536" i="13"/>
  <c r="M536" i="13"/>
  <c r="L536" i="13"/>
  <c r="J536" i="13"/>
  <c r="G536" i="13"/>
  <c r="F536" i="13"/>
  <c r="E536" i="13"/>
  <c r="D536" i="13"/>
  <c r="C536" i="13"/>
  <c r="B536" i="13"/>
  <c r="A536" i="13"/>
  <c r="AG535" i="13"/>
  <c r="AF535" i="13"/>
  <c r="AE535" i="13"/>
  <c r="AD535" i="13"/>
  <c r="Z535" i="13"/>
  <c r="Y535" i="13"/>
  <c r="X535" i="13"/>
  <c r="W535" i="13"/>
  <c r="U535" i="13"/>
  <c r="T535" i="13"/>
  <c r="S535" i="13"/>
  <c r="R535" i="13"/>
  <c r="Q535" i="13"/>
  <c r="P535" i="13"/>
  <c r="O535" i="13"/>
  <c r="N535" i="13"/>
  <c r="M535" i="13"/>
  <c r="L535" i="13"/>
  <c r="J535" i="13"/>
  <c r="G535" i="13"/>
  <c r="F535" i="13"/>
  <c r="E535" i="13"/>
  <c r="D535" i="13"/>
  <c r="C535" i="13"/>
  <c r="B535" i="13"/>
  <c r="A535" i="13"/>
  <c r="AG534" i="13"/>
  <c r="AF534" i="13"/>
  <c r="AE534" i="13"/>
  <c r="AD534" i="13"/>
  <c r="Z534" i="13"/>
  <c r="Y534" i="13"/>
  <c r="X534" i="13"/>
  <c r="W534" i="13"/>
  <c r="U534" i="13"/>
  <c r="T534" i="13"/>
  <c r="S534" i="13"/>
  <c r="R534" i="13"/>
  <c r="Q534" i="13"/>
  <c r="P534" i="13"/>
  <c r="O534" i="13"/>
  <c r="N534" i="13"/>
  <c r="M534" i="13"/>
  <c r="L534" i="13"/>
  <c r="J534" i="13"/>
  <c r="G534" i="13"/>
  <c r="F534" i="13"/>
  <c r="E534" i="13"/>
  <c r="D534" i="13"/>
  <c r="C534" i="13"/>
  <c r="B534" i="13"/>
  <c r="A534" i="13"/>
  <c r="AG533" i="13"/>
  <c r="AF533" i="13"/>
  <c r="AE533" i="13"/>
  <c r="AD533" i="13"/>
  <c r="Z533" i="13"/>
  <c r="Y533" i="13"/>
  <c r="X533" i="13"/>
  <c r="W533" i="13"/>
  <c r="U533" i="13"/>
  <c r="T533" i="13"/>
  <c r="S533" i="13"/>
  <c r="R533" i="13"/>
  <c r="Q533" i="13"/>
  <c r="P533" i="13"/>
  <c r="O533" i="13"/>
  <c r="N533" i="13"/>
  <c r="M533" i="13"/>
  <c r="L533" i="13"/>
  <c r="J533" i="13"/>
  <c r="G533" i="13"/>
  <c r="F533" i="13"/>
  <c r="E533" i="13"/>
  <c r="D533" i="13"/>
  <c r="C533" i="13"/>
  <c r="B533" i="13"/>
  <c r="A533" i="13"/>
  <c r="AG532" i="13"/>
  <c r="AF532" i="13"/>
  <c r="AE532" i="13"/>
  <c r="AD532" i="13"/>
  <c r="Z532" i="13"/>
  <c r="Y532" i="13"/>
  <c r="X532" i="13"/>
  <c r="W532" i="13"/>
  <c r="U532" i="13"/>
  <c r="T532" i="13"/>
  <c r="S532" i="13"/>
  <c r="R532" i="13"/>
  <c r="Q532" i="13"/>
  <c r="P532" i="13"/>
  <c r="O532" i="13"/>
  <c r="N532" i="13"/>
  <c r="M532" i="13"/>
  <c r="L532" i="13"/>
  <c r="J532" i="13"/>
  <c r="G532" i="13"/>
  <c r="F532" i="13"/>
  <c r="E532" i="13"/>
  <c r="D532" i="13"/>
  <c r="C532" i="13"/>
  <c r="B532" i="13"/>
  <c r="A532" i="13"/>
  <c r="AG531" i="13"/>
  <c r="AF531" i="13"/>
  <c r="AE531" i="13"/>
  <c r="AD531" i="13"/>
  <c r="Z531" i="13"/>
  <c r="Y531" i="13"/>
  <c r="X531" i="13"/>
  <c r="W531" i="13"/>
  <c r="U531" i="13"/>
  <c r="T531" i="13"/>
  <c r="S531" i="13"/>
  <c r="R531" i="13"/>
  <c r="Q531" i="13"/>
  <c r="P531" i="13"/>
  <c r="O531" i="13"/>
  <c r="N531" i="13"/>
  <c r="M531" i="13"/>
  <c r="L531" i="13"/>
  <c r="J531" i="13"/>
  <c r="G531" i="13"/>
  <c r="F531" i="13"/>
  <c r="E531" i="13"/>
  <c r="D531" i="13"/>
  <c r="C531" i="13"/>
  <c r="B531" i="13"/>
  <c r="A531" i="13"/>
  <c r="AG530" i="13"/>
  <c r="AF530" i="13"/>
  <c r="AE530" i="13"/>
  <c r="AD530" i="13"/>
  <c r="Z530" i="13"/>
  <c r="Y530" i="13"/>
  <c r="X530" i="13"/>
  <c r="W530" i="13"/>
  <c r="U530" i="13"/>
  <c r="T530" i="13"/>
  <c r="S530" i="13"/>
  <c r="R530" i="13"/>
  <c r="Q530" i="13"/>
  <c r="P530" i="13"/>
  <c r="O530" i="13"/>
  <c r="N530" i="13"/>
  <c r="M530" i="13"/>
  <c r="L530" i="13"/>
  <c r="J530" i="13"/>
  <c r="G530" i="13"/>
  <c r="F530" i="13"/>
  <c r="E530" i="13"/>
  <c r="D530" i="13"/>
  <c r="C530" i="13"/>
  <c r="B530" i="13"/>
  <c r="A530" i="13"/>
  <c r="AG529" i="13"/>
  <c r="AF529" i="13"/>
  <c r="AE529" i="13"/>
  <c r="AD529" i="13"/>
  <c r="Z529" i="13"/>
  <c r="Y529" i="13"/>
  <c r="X529" i="13"/>
  <c r="W529" i="13"/>
  <c r="U529" i="13"/>
  <c r="T529" i="13"/>
  <c r="S529" i="13"/>
  <c r="R529" i="13"/>
  <c r="Q529" i="13"/>
  <c r="P529" i="13"/>
  <c r="O529" i="13"/>
  <c r="N529" i="13"/>
  <c r="M529" i="13"/>
  <c r="L529" i="13"/>
  <c r="J529" i="13"/>
  <c r="G529" i="13"/>
  <c r="F529" i="13"/>
  <c r="E529" i="13"/>
  <c r="D529" i="13"/>
  <c r="C529" i="13"/>
  <c r="B529" i="13"/>
  <c r="A529" i="13"/>
  <c r="AG528" i="13"/>
  <c r="AF528" i="13"/>
  <c r="AE528" i="13"/>
  <c r="AD528" i="13"/>
  <c r="Z528" i="13"/>
  <c r="Y528" i="13"/>
  <c r="X528" i="13"/>
  <c r="W528" i="13"/>
  <c r="U528" i="13"/>
  <c r="T528" i="13"/>
  <c r="S528" i="13"/>
  <c r="R528" i="13"/>
  <c r="Q528" i="13"/>
  <c r="P528" i="13"/>
  <c r="O528" i="13"/>
  <c r="N528" i="13"/>
  <c r="M528" i="13"/>
  <c r="L528" i="13"/>
  <c r="J528" i="13"/>
  <c r="G528" i="13"/>
  <c r="F528" i="13"/>
  <c r="E528" i="13"/>
  <c r="D528" i="13"/>
  <c r="C528" i="13"/>
  <c r="B528" i="13"/>
  <c r="A528" i="13"/>
  <c r="AG527" i="13"/>
  <c r="AF527" i="13"/>
  <c r="AE527" i="13"/>
  <c r="AD527" i="13"/>
  <c r="Z527" i="13"/>
  <c r="Y527" i="13"/>
  <c r="X527" i="13"/>
  <c r="W527" i="13"/>
  <c r="U527" i="13"/>
  <c r="T527" i="13"/>
  <c r="S527" i="13"/>
  <c r="R527" i="13"/>
  <c r="Q527" i="13"/>
  <c r="P527" i="13"/>
  <c r="O527" i="13"/>
  <c r="N527" i="13"/>
  <c r="M527" i="13"/>
  <c r="L527" i="13"/>
  <c r="J527" i="13"/>
  <c r="G527" i="13"/>
  <c r="F527" i="13"/>
  <c r="E527" i="13"/>
  <c r="D527" i="13"/>
  <c r="C527" i="13"/>
  <c r="B527" i="13"/>
  <c r="A527" i="13"/>
  <c r="AG526" i="13"/>
  <c r="AF526" i="13"/>
  <c r="AE526" i="13"/>
  <c r="AD526" i="13"/>
  <c r="Z526" i="13"/>
  <c r="Y526" i="13"/>
  <c r="X526" i="13"/>
  <c r="W526" i="13"/>
  <c r="U526" i="13"/>
  <c r="T526" i="13"/>
  <c r="S526" i="13"/>
  <c r="R526" i="13"/>
  <c r="Q526" i="13"/>
  <c r="P526" i="13"/>
  <c r="O526" i="13"/>
  <c r="N526" i="13"/>
  <c r="M526" i="13"/>
  <c r="L526" i="13"/>
  <c r="J526" i="13"/>
  <c r="G526" i="13"/>
  <c r="F526" i="13"/>
  <c r="E526" i="13"/>
  <c r="D526" i="13"/>
  <c r="C526" i="13"/>
  <c r="B526" i="13"/>
  <c r="A526" i="13"/>
  <c r="AG525" i="13"/>
  <c r="AF525" i="13"/>
  <c r="AE525" i="13"/>
  <c r="AD525" i="13"/>
  <c r="Z525" i="13"/>
  <c r="Y525" i="13"/>
  <c r="X525" i="13"/>
  <c r="W525" i="13"/>
  <c r="U525" i="13"/>
  <c r="T525" i="13"/>
  <c r="S525" i="13"/>
  <c r="R525" i="13"/>
  <c r="Q525" i="13"/>
  <c r="P525" i="13"/>
  <c r="O525" i="13"/>
  <c r="N525" i="13"/>
  <c r="M525" i="13"/>
  <c r="L525" i="13"/>
  <c r="J525" i="13"/>
  <c r="G525" i="13"/>
  <c r="F525" i="13"/>
  <c r="E525" i="13"/>
  <c r="D525" i="13"/>
  <c r="C525" i="13"/>
  <c r="B525" i="13"/>
  <c r="A525" i="13"/>
  <c r="AG524" i="13"/>
  <c r="AF524" i="13"/>
  <c r="AE524" i="13"/>
  <c r="AD524" i="13"/>
  <c r="Z524" i="13"/>
  <c r="Y524" i="13"/>
  <c r="X524" i="13"/>
  <c r="W524" i="13"/>
  <c r="U524" i="13"/>
  <c r="T524" i="13"/>
  <c r="S524" i="13"/>
  <c r="R524" i="13"/>
  <c r="Q524" i="13"/>
  <c r="P524" i="13"/>
  <c r="O524" i="13"/>
  <c r="N524" i="13"/>
  <c r="M524" i="13"/>
  <c r="L524" i="13"/>
  <c r="J524" i="13"/>
  <c r="G524" i="13"/>
  <c r="F524" i="13"/>
  <c r="E524" i="13"/>
  <c r="D524" i="13"/>
  <c r="C524" i="13"/>
  <c r="B524" i="13"/>
  <c r="A524" i="13"/>
  <c r="AG523" i="13"/>
  <c r="AF523" i="13"/>
  <c r="AE523" i="13"/>
  <c r="AD523" i="13"/>
  <c r="Z523" i="13"/>
  <c r="Y523" i="13"/>
  <c r="X523" i="13"/>
  <c r="W523" i="13"/>
  <c r="U523" i="13"/>
  <c r="T523" i="13"/>
  <c r="S523" i="13"/>
  <c r="R523" i="13"/>
  <c r="Q523" i="13"/>
  <c r="P523" i="13"/>
  <c r="O523" i="13"/>
  <c r="N523" i="13"/>
  <c r="M523" i="13"/>
  <c r="L523" i="13"/>
  <c r="J523" i="13"/>
  <c r="G523" i="13"/>
  <c r="F523" i="13"/>
  <c r="E523" i="13"/>
  <c r="D523" i="13"/>
  <c r="C523" i="13"/>
  <c r="B523" i="13"/>
  <c r="A523" i="13"/>
  <c r="AG522" i="13"/>
  <c r="AF522" i="13"/>
  <c r="AE522" i="13"/>
  <c r="AD522" i="13"/>
  <c r="Z522" i="13"/>
  <c r="Y522" i="13"/>
  <c r="X522" i="13"/>
  <c r="W522" i="13"/>
  <c r="U522" i="13"/>
  <c r="T522" i="13"/>
  <c r="S522" i="13"/>
  <c r="R522" i="13"/>
  <c r="Q522" i="13"/>
  <c r="P522" i="13"/>
  <c r="O522" i="13"/>
  <c r="N522" i="13"/>
  <c r="M522" i="13"/>
  <c r="L522" i="13"/>
  <c r="J522" i="13"/>
  <c r="G522" i="13"/>
  <c r="F522" i="13"/>
  <c r="E522" i="13"/>
  <c r="D522" i="13"/>
  <c r="C522" i="13"/>
  <c r="B522" i="13"/>
  <c r="A522" i="13"/>
  <c r="AG521" i="13"/>
  <c r="AF521" i="13"/>
  <c r="AE521" i="13"/>
  <c r="AD521" i="13"/>
  <c r="Z521" i="13"/>
  <c r="Y521" i="13"/>
  <c r="X521" i="13"/>
  <c r="W521" i="13"/>
  <c r="U521" i="13"/>
  <c r="T521" i="13"/>
  <c r="S521" i="13"/>
  <c r="R521" i="13"/>
  <c r="Q521" i="13"/>
  <c r="P521" i="13"/>
  <c r="O521" i="13"/>
  <c r="N521" i="13"/>
  <c r="M521" i="13"/>
  <c r="L521" i="13"/>
  <c r="J521" i="13"/>
  <c r="G521" i="13"/>
  <c r="F521" i="13"/>
  <c r="E521" i="13"/>
  <c r="D521" i="13"/>
  <c r="C521" i="13"/>
  <c r="B521" i="13"/>
  <c r="A521" i="13"/>
  <c r="AG520" i="13"/>
  <c r="AF520" i="13"/>
  <c r="AE520" i="13"/>
  <c r="AD520" i="13"/>
  <c r="Z520" i="13"/>
  <c r="Y520" i="13"/>
  <c r="X520" i="13"/>
  <c r="W520" i="13"/>
  <c r="U520" i="13"/>
  <c r="T520" i="13"/>
  <c r="S520" i="13"/>
  <c r="R520" i="13"/>
  <c r="Q520" i="13"/>
  <c r="P520" i="13"/>
  <c r="O520" i="13"/>
  <c r="N520" i="13"/>
  <c r="M520" i="13"/>
  <c r="L520" i="13"/>
  <c r="J520" i="13"/>
  <c r="G520" i="13"/>
  <c r="F520" i="13"/>
  <c r="E520" i="13"/>
  <c r="D520" i="13"/>
  <c r="C520" i="13"/>
  <c r="B520" i="13"/>
  <c r="A520" i="13"/>
  <c r="AG519" i="13"/>
  <c r="AF519" i="13"/>
  <c r="AE519" i="13"/>
  <c r="AD519" i="13"/>
  <c r="Z519" i="13"/>
  <c r="Y519" i="13"/>
  <c r="X519" i="13"/>
  <c r="W519" i="13"/>
  <c r="U519" i="13"/>
  <c r="T519" i="13"/>
  <c r="S519" i="13"/>
  <c r="R519" i="13"/>
  <c r="Q519" i="13"/>
  <c r="P519" i="13"/>
  <c r="O519" i="13"/>
  <c r="N519" i="13"/>
  <c r="M519" i="13"/>
  <c r="L519" i="13"/>
  <c r="J519" i="13"/>
  <c r="G519" i="13"/>
  <c r="F519" i="13"/>
  <c r="E519" i="13"/>
  <c r="D519" i="13"/>
  <c r="C519" i="13"/>
  <c r="B519" i="13"/>
  <c r="A519" i="13"/>
  <c r="AG518" i="13"/>
  <c r="AF518" i="13"/>
  <c r="AE518" i="13"/>
  <c r="AD518" i="13"/>
  <c r="Z518" i="13"/>
  <c r="Y518" i="13"/>
  <c r="X518" i="13"/>
  <c r="W518" i="13"/>
  <c r="U518" i="13"/>
  <c r="T518" i="13"/>
  <c r="S518" i="13"/>
  <c r="R518" i="13"/>
  <c r="Q518" i="13"/>
  <c r="P518" i="13"/>
  <c r="O518" i="13"/>
  <c r="N518" i="13"/>
  <c r="M518" i="13"/>
  <c r="L518" i="13"/>
  <c r="J518" i="13"/>
  <c r="G518" i="13"/>
  <c r="F518" i="13"/>
  <c r="E518" i="13"/>
  <c r="D518" i="13"/>
  <c r="C518" i="13"/>
  <c r="B518" i="13"/>
  <c r="A518" i="13"/>
  <c r="AG517" i="13"/>
  <c r="AF517" i="13"/>
  <c r="AE517" i="13"/>
  <c r="AD517" i="13"/>
  <c r="Z517" i="13"/>
  <c r="Y517" i="13"/>
  <c r="X517" i="13"/>
  <c r="W517" i="13"/>
  <c r="U517" i="13"/>
  <c r="T517" i="13"/>
  <c r="S517" i="13"/>
  <c r="R517" i="13"/>
  <c r="Q517" i="13"/>
  <c r="P517" i="13"/>
  <c r="O517" i="13"/>
  <c r="N517" i="13"/>
  <c r="M517" i="13"/>
  <c r="L517" i="13"/>
  <c r="J517" i="13"/>
  <c r="G517" i="13"/>
  <c r="F517" i="13"/>
  <c r="E517" i="13"/>
  <c r="D517" i="13"/>
  <c r="C517" i="13"/>
  <c r="B517" i="13"/>
  <c r="A517" i="13"/>
  <c r="AG516" i="13"/>
  <c r="AF516" i="13"/>
  <c r="AE516" i="13"/>
  <c r="AD516" i="13"/>
  <c r="Z516" i="13"/>
  <c r="Y516" i="13"/>
  <c r="X516" i="13"/>
  <c r="W516" i="13"/>
  <c r="U516" i="13"/>
  <c r="T516" i="13"/>
  <c r="S516" i="13"/>
  <c r="R516" i="13"/>
  <c r="Q516" i="13"/>
  <c r="P516" i="13"/>
  <c r="O516" i="13"/>
  <c r="N516" i="13"/>
  <c r="M516" i="13"/>
  <c r="L516" i="13"/>
  <c r="J516" i="13"/>
  <c r="G516" i="13"/>
  <c r="F516" i="13"/>
  <c r="E516" i="13"/>
  <c r="D516" i="13"/>
  <c r="C516" i="13"/>
  <c r="B516" i="13"/>
  <c r="A516" i="13"/>
  <c r="AG515" i="13"/>
  <c r="AF515" i="13"/>
  <c r="AE515" i="13"/>
  <c r="AD515" i="13"/>
  <c r="Z515" i="13"/>
  <c r="Y515" i="13"/>
  <c r="X515" i="13"/>
  <c r="W515" i="13"/>
  <c r="U515" i="13"/>
  <c r="T515" i="13"/>
  <c r="S515" i="13"/>
  <c r="R515" i="13"/>
  <c r="Q515" i="13"/>
  <c r="P515" i="13"/>
  <c r="O515" i="13"/>
  <c r="N515" i="13"/>
  <c r="M515" i="13"/>
  <c r="L515" i="13"/>
  <c r="J515" i="13"/>
  <c r="G515" i="13"/>
  <c r="F515" i="13"/>
  <c r="E515" i="13"/>
  <c r="D515" i="13"/>
  <c r="C515" i="13"/>
  <c r="B515" i="13"/>
  <c r="A515" i="13"/>
  <c r="AG514" i="13"/>
  <c r="AF514" i="13"/>
  <c r="AE514" i="13"/>
  <c r="AD514" i="13"/>
  <c r="Z514" i="13"/>
  <c r="Y514" i="13"/>
  <c r="X514" i="13"/>
  <c r="W514" i="13"/>
  <c r="U514" i="13"/>
  <c r="T514" i="13"/>
  <c r="S514" i="13"/>
  <c r="R514" i="13"/>
  <c r="Q514" i="13"/>
  <c r="P514" i="13"/>
  <c r="O514" i="13"/>
  <c r="N514" i="13"/>
  <c r="M514" i="13"/>
  <c r="L514" i="13"/>
  <c r="J514" i="13"/>
  <c r="G514" i="13"/>
  <c r="F514" i="13"/>
  <c r="E514" i="13"/>
  <c r="D514" i="13"/>
  <c r="C514" i="13"/>
  <c r="B514" i="13"/>
  <c r="A514" i="13"/>
  <c r="AG513" i="13"/>
  <c r="AF513" i="13"/>
  <c r="AE513" i="13"/>
  <c r="AD513" i="13"/>
  <c r="Z513" i="13"/>
  <c r="Y513" i="13"/>
  <c r="X513" i="13"/>
  <c r="W513" i="13"/>
  <c r="U513" i="13"/>
  <c r="T513" i="13"/>
  <c r="S513" i="13"/>
  <c r="R513" i="13"/>
  <c r="Q513" i="13"/>
  <c r="P513" i="13"/>
  <c r="O513" i="13"/>
  <c r="N513" i="13"/>
  <c r="M513" i="13"/>
  <c r="L513" i="13"/>
  <c r="J513" i="13"/>
  <c r="G513" i="13"/>
  <c r="F513" i="13"/>
  <c r="E513" i="13"/>
  <c r="D513" i="13"/>
  <c r="C513" i="13"/>
  <c r="B513" i="13"/>
  <c r="A513" i="13"/>
  <c r="AG512" i="13"/>
  <c r="AF512" i="13"/>
  <c r="AE512" i="13"/>
  <c r="AD512" i="13"/>
  <c r="Z512" i="13"/>
  <c r="Y512" i="13"/>
  <c r="X512" i="13"/>
  <c r="W512" i="13"/>
  <c r="U512" i="13"/>
  <c r="T512" i="13"/>
  <c r="S512" i="13"/>
  <c r="R512" i="13"/>
  <c r="Q512" i="13"/>
  <c r="P512" i="13"/>
  <c r="O512" i="13"/>
  <c r="N512" i="13"/>
  <c r="M512" i="13"/>
  <c r="L512" i="13"/>
  <c r="J512" i="13"/>
  <c r="G512" i="13"/>
  <c r="F512" i="13"/>
  <c r="E512" i="13"/>
  <c r="D512" i="13"/>
  <c r="C512" i="13"/>
  <c r="B512" i="13"/>
  <c r="A512" i="13"/>
  <c r="AG511" i="13"/>
  <c r="AF511" i="13"/>
  <c r="AE511" i="13"/>
  <c r="AD511" i="13"/>
  <c r="Z511" i="13"/>
  <c r="Y511" i="13"/>
  <c r="X511" i="13"/>
  <c r="W511" i="13"/>
  <c r="U511" i="13"/>
  <c r="T511" i="13"/>
  <c r="S511" i="13"/>
  <c r="R511" i="13"/>
  <c r="Q511" i="13"/>
  <c r="P511" i="13"/>
  <c r="O511" i="13"/>
  <c r="N511" i="13"/>
  <c r="M511" i="13"/>
  <c r="L511" i="13"/>
  <c r="J511" i="13"/>
  <c r="G511" i="13"/>
  <c r="F511" i="13"/>
  <c r="E511" i="13"/>
  <c r="D511" i="13"/>
  <c r="C511" i="13"/>
  <c r="B511" i="13"/>
  <c r="A511" i="13"/>
  <c r="AG510" i="13"/>
  <c r="AF510" i="13"/>
  <c r="AE510" i="13"/>
  <c r="AD510" i="13"/>
  <c r="Z510" i="13"/>
  <c r="Y510" i="13"/>
  <c r="X510" i="13"/>
  <c r="W510" i="13"/>
  <c r="U510" i="13"/>
  <c r="T510" i="13"/>
  <c r="S510" i="13"/>
  <c r="R510" i="13"/>
  <c r="Q510" i="13"/>
  <c r="P510" i="13"/>
  <c r="O510" i="13"/>
  <c r="N510" i="13"/>
  <c r="M510" i="13"/>
  <c r="L510" i="13"/>
  <c r="J510" i="13"/>
  <c r="H510" i="13"/>
  <c r="G510" i="13"/>
  <c r="F510" i="13"/>
  <c r="E510" i="13"/>
  <c r="D510" i="13"/>
  <c r="C510" i="13"/>
  <c r="B510" i="13"/>
  <c r="A510" i="13"/>
  <c r="AG509" i="13"/>
  <c r="AF509" i="13"/>
  <c r="AE509" i="13"/>
  <c r="AD509" i="13"/>
  <c r="Z509" i="13"/>
  <c r="Y509" i="13"/>
  <c r="X509" i="13"/>
  <c r="W509" i="13"/>
  <c r="U509" i="13"/>
  <c r="T509" i="13"/>
  <c r="S509" i="13"/>
  <c r="R509" i="13"/>
  <c r="Q509" i="13"/>
  <c r="P509" i="13"/>
  <c r="O509" i="13"/>
  <c r="N509" i="13"/>
  <c r="M509" i="13"/>
  <c r="L509" i="13"/>
  <c r="J509" i="13"/>
  <c r="G509" i="13"/>
  <c r="F509" i="13"/>
  <c r="E509" i="13"/>
  <c r="D509" i="13"/>
  <c r="C509" i="13"/>
  <c r="B509" i="13"/>
  <c r="A509" i="13"/>
  <c r="AG508" i="13"/>
  <c r="AF508" i="13"/>
  <c r="AE508" i="13"/>
  <c r="AD508" i="13"/>
  <c r="Z508" i="13"/>
  <c r="Y508" i="13"/>
  <c r="X508" i="13"/>
  <c r="W508" i="13"/>
  <c r="U508" i="13"/>
  <c r="T508" i="13"/>
  <c r="S508" i="13"/>
  <c r="R508" i="13"/>
  <c r="Q508" i="13"/>
  <c r="P508" i="13"/>
  <c r="O508" i="13"/>
  <c r="N508" i="13"/>
  <c r="M508" i="13"/>
  <c r="L508" i="13"/>
  <c r="J508" i="13"/>
  <c r="H508" i="13"/>
  <c r="G508" i="13"/>
  <c r="F508" i="13"/>
  <c r="E508" i="13"/>
  <c r="D508" i="13"/>
  <c r="C508" i="13"/>
  <c r="B508" i="13"/>
  <c r="A508" i="13"/>
  <c r="AG507" i="13"/>
  <c r="AF507" i="13"/>
  <c r="AE507" i="13"/>
  <c r="AD507" i="13"/>
  <c r="Z507" i="13"/>
  <c r="Y507" i="13"/>
  <c r="X507" i="13"/>
  <c r="W507" i="13"/>
  <c r="U507" i="13"/>
  <c r="T507" i="13"/>
  <c r="S507" i="13"/>
  <c r="R507" i="13"/>
  <c r="Q507" i="13"/>
  <c r="P507" i="13"/>
  <c r="O507" i="13"/>
  <c r="N507" i="13"/>
  <c r="M507" i="13"/>
  <c r="L507" i="13"/>
  <c r="J507" i="13"/>
  <c r="G507" i="13"/>
  <c r="F507" i="13"/>
  <c r="E507" i="13"/>
  <c r="D507" i="13"/>
  <c r="C507" i="13"/>
  <c r="B507" i="13"/>
  <c r="A507" i="13"/>
  <c r="AG506" i="13"/>
  <c r="AF506" i="13"/>
  <c r="AE506" i="13"/>
  <c r="AD506" i="13"/>
  <c r="Z506" i="13"/>
  <c r="Y506" i="13"/>
  <c r="X506" i="13"/>
  <c r="W506" i="13"/>
  <c r="U506" i="13"/>
  <c r="T506" i="13"/>
  <c r="S506" i="13"/>
  <c r="R506" i="13"/>
  <c r="Q506" i="13"/>
  <c r="P506" i="13"/>
  <c r="O506" i="13"/>
  <c r="N506" i="13"/>
  <c r="M506" i="13"/>
  <c r="L506" i="13"/>
  <c r="J506" i="13"/>
  <c r="G506" i="13"/>
  <c r="F506" i="13"/>
  <c r="E506" i="13"/>
  <c r="D506" i="13"/>
  <c r="C506" i="13"/>
  <c r="B506" i="13"/>
  <c r="A506" i="13"/>
  <c r="AG505" i="13"/>
  <c r="AF505" i="13"/>
  <c r="AE505" i="13"/>
  <c r="AD505" i="13"/>
  <c r="Z505" i="13"/>
  <c r="Y505" i="13"/>
  <c r="X505" i="13"/>
  <c r="W505" i="13"/>
  <c r="U505" i="13"/>
  <c r="T505" i="13"/>
  <c r="S505" i="13"/>
  <c r="R505" i="13"/>
  <c r="Q505" i="13"/>
  <c r="P505" i="13"/>
  <c r="O505" i="13"/>
  <c r="N505" i="13"/>
  <c r="M505" i="13"/>
  <c r="L505" i="13"/>
  <c r="J505" i="13"/>
  <c r="G505" i="13"/>
  <c r="F505" i="13"/>
  <c r="E505" i="13"/>
  <c r="D505" i="13"/>
  <c r="C505" i="13"/>
  <c r="B505" i="13"/>
  <c r="A505" i="13"/>
  <c r="AG504" i="13"/>
  <c r="AF504" i="13"/>
  <c r="AE504" i="13"/>
  <c r="AD504" i="13"/>
  <c r="Z504" i="13"/>
  <c r="Y504" i="13"/>
  <c r="X504" i="13"/>
  <c r="W504" i="13"/>
  <c r="U504" i="13"/>
  <c r="T504" i="13"/>
  <c r="S504" i="13"/>
  <c r="R504" i="13"/>
  <c r="Q504" i="13"/>
  <c r="P504" i="13"/>
  <c r="O504" i="13"/>
  <c r="N504" i="13"/>
  <c r="M504" i="13"/>
  <c r="L504" i="13"/>
  <c r="J504" i="13"/>
  <c r="G504" i="13"/>
  <c r="F504" i="13"/>
  <c r="E504" i="13"/>
  <c r="D504" i="13"/>
  <c r="C504" i="13"/>
  <c r="B504" i="13"/>
  <c r="A504" i="13"/>
  <c r="AG503" i="13"/>
  <c r="AF503" i="13"/>
  <c r="AE503" i="13"/>
  <c r="AD503" i="13"/>
  <c r="Z503" i="13"/>
  <c r="Y503" i="13"/>
  <c r="X503" i="13"/>
  <c r="W503" i="13"/>
  <c r="U503" i="13"/>
  <c r="T503" i="13"/>
  <c r="S503" i="13"/>
  <c r="R503" i="13"/>
  <c r="Q503" i="13"/>
  <c r="P503" i="13"/>
  <c r="O503" i="13"/>
  <c r="N503" i="13"/>
  <c r="M503" i="13"/>
  <c r="L503" i="13"/>
  <c r="J503" i="13"/>
  <c r="G503" i="13"/>
  <c r="F503" i="13"/>
  <c r="E503" i="13"/>
  <c r="D503" i="13"/>
  <c r="C503" i="13"/>
  <c r="B503" i="13"/>
  <c r="A503" i="13"/>
  <c r="AG502" i="13"/>
  <c r="AF502" i="13"/>
  <c r="AE502" i="13"/>
  <c r="AD502" i="13"/>
  <c r="Z502" i="13"/>
  <c r="Y502" i="13"/>
  <c r="X502" i="13"/>
  <c r="W502" i="13"/>
  <c r="U502" i="13"/>
  <c r="T502" i="13"/>
  <c r="S502" i="13"/>
  <c r="R502" i="13"/>
  <c r="Q502" i="13"/>
  <c r="P502" i="13"/>
  <c r="O502" i="13"/>
  <c r="N502" i="13"/>
  <c r="M502" i="13"/>
  <c r="L502" i="13"/>
  <c r="J502" i="13"/>
  <c r="G502" i="13"/>
  <c r="F502" i="13"/>
  <c r="E502" i="13"/>
  <c r="D502" i="13"/>
  <c r="C502" i="13"/>
  <c r="B502" i="13"/>
  <c r="A502" i="13"/>
  <c r="AG501" i="13"/>
  <c r="AF501" i="13"/>
  <c r="AE501" i="13"/>
  <c r="AD501" i="13"/>
  <c r="Z501" i="13"/>
  <c r="Y501" i="13"/>
  <c r="X501" i="13"/>
  <c r="W501" i="13"/>
  <c r="U501" i="13"/>
  <c r="T501" i="13"/>
  <c r="S501" i="13"/>
  <c r="R501" i="13"/>
  <c r="Q501" i="13"/>
  <c r="P501" i="13"/>
  <c r="O501" i="13"/>
  <c r="N501" i="13"/>
  <c r="M501" i="13"/>
  <c r="L501" i="13"/>
  <c r="J501" i="13"/>
  <c r="G501" i="13"/>
  <c r="F501" i="13"/>
  <c r="E501" i="13"/>
  <c r="D501" i="13"/>
  <c r="C501" i="13"/>
  <c r="B501" i="13"/>
  <c r="A501" i="13"/>
  <c r="AG500" i="13"/>
  <c r="AF500" i="13"/>
  <c r="AE500" i="13"/>
  <c r="AD500" i="13"/>
  <c r="Z500" i="13"/>
  <c r="Y500" i="13"/>
  <c r="X500" i="13"/>
  <c r="W500" i="13"/>
  <c r="U500" i="13"/>
  <c r="T500" i="13"/>
  <c r="S500" i="13"/>
  <c r="R500" i="13"/>
  <c r="Q500" i="13"/>
  <c r="P500" i="13"/>
  <c r="O500" i="13"/>
  <c r="N500" i="13"/>
  <c r="M500" i="13"/>
  <c r="L500" i="13"/>
  <c r="J500" i="13"/>
  <c r="G500" i="13"/>
  <c r="F500" i="13"/>
  <c r="E500" i="13"/>
  <c r="D500" i="13"/>
  <c r="C500" i="13"/>
  <c r="B500" i="13"/>
  <c r="A500" i="13"/>
  <c r="AG499" i="13"/>
  <c r="AF499" i="13"/>
  <c r="AE499" i="13"/>
  <c r="AD499" i="13"/>
  <c r="Z499" i="13"/>
  <c r="Y499" i="13"/>
  <c r="X499" i="13"/>
  <c r="W499" i="13"/>
  <c r="U499" i="13"/>
  <c r="T499" i="13"/>
  <c r="S499" i="13"/>
  <c r="R499" i="13"/>
  <c r="Q499" i="13"/>
  <c r="P499" i="13"/>
  <c r="O499" i="13"/>
  <c r="N499" i="13"/>
  <c r="M499" i="13"/>
  <c r="L499" i="13"/>
  <c r="J499" i="13"/>
  <c r="H499" i="13"/>
  <c r="G499" i="13"/>
  <c r="F499" i="13"/>
  <c r="E499" i="13"/>
  <c r="D499" i="13"/>
  <c r="C499" i="13"/>
  <c r="B499" i="13"/>
  <c r="A499" i="13"/>
  <c r="AG498" i="13"/>
  <c r="AF498" i="13"/>
  <c r="AE498" i="13"/>
  <c r="AD498" i="13"/>
  <c r="Z498" i="13"/>
  <c r="Y498" i="13"/>
  <c r="X498" i="13"/>
  <c r="W498" i="13"/>
  <c r="U498" i="13"/>
  <c r="T498" i="13"/>
  <c r="S498" i="13"/>
  <c r="R498" i="13"/>
  <c r="Q498" i="13"/>
  <c r="P498" i="13"/>
  <c r="O498" i="13"/>
  <c r="N498" i="13"/>
  <c r="M498" i="13"/>
  <c r="L498" i="13"/>
  <c r="J498" i="13"/>
  <c r="G498" i="13"/>
  <c r="F498" i="13"/>
  <c r="E498" i="13"/>
  <c r="D498" i="13"/>
  <c r="C498" i="13"/>
  <c r="B498" i="13"/>
  <c r="A498" i="13"/>
  <c r="AG497" i="13"/>
  <c r="AF497" i="13"/>
  <c r="AE497" i="13"/>
  <c r="AD497" i="13"/>
  <c r="Z497" i="13"/>
  <c r="Y497" i="13"/>
  <c r="X497" i="13"/>
  <c r="W497" i="13"/>
  <c r="U497" i="13"/>
  <c r="T497" i="13"/>
  <c r="S497" i="13"/>
  <c r="R497" i="13"/>
  <c r="Q497" i="13"/>
  <c r="P497" i="13"/>
  <c r="O497" i="13"/>
  <c r="N497" i="13"/>
  <c r="M497" i="13"/>
  <c r="L497" i="13"/>
  <c r="J497" i="13"/>
  <c r="G497" i="13"/>
  <c r="F497" i="13"/>
  <c r="E497" i="13"/>
  <c r="D497" i="13"/>
  <c r="C497" i="13"/>
  <c r="B497" i="13"/>
  <c r="A497" i="13"/>
  <c r="AG496" i="13"/>
  <c r="AF496" i="13"/>
  <c r="AE496" i="13"/>
  <c r="AD496" i="13"/>
  <c r="Z496" i="13"/>
  <c r="Y496" i="13"/>
  <c r="X496" i="13"/>
  <c r="W496" i="13"/>
  <c r="U496" i="13"/>
  <c r="T496" i="13"/>
  <c r="S496" i="13"/>
  <c r="R496" i="13"/>
  <c r="Q496" i="13"/>
  <c r="P496" i="13"/>
  <c r="O496" i="13"/>
  <c r="N496" i="13"/>
  <c r="M496" i="13"/>
  <c r="L496" i="13"/>
  <c r="J496" i="13"/>
  <c r="H496" i="13"/>
  <c r="G496" i="13"/>
  <c r="F496" i="13"/>
  <c r="E496" i="13"/>
  <c r="D496" i="13"/>
  <c r="C496" i="13"/>
  <c r="B496" i="13"/>
  <c r="A496" i="13"/>
  <c r="AG495" i="13"/>
  <c r="AF495" i="13"/>
  <c r="AE495" i="13"/>
  <c r="AD495" i="13"/>
  <c r="Z495" i="13"/>
  <c r="Y495" i="13"/>
  <c r="X495" i="13"/>
  <c r="W495" i="13"/>
  <c r="U495" i="13"/>
  <c r="T495" i="13"/>
  <c r="S495" i="13"/>
  <c r="R495" i="13"/>
  <c r="Q495" i="13"/>
  <c r="P495" i="13"/>
  <c r="O495" i="13"/>
  <c r="N495" i="13"/>
  <c r="M495" i="13"/>
  <c r="L495" i="13"/>
  <c r="J495" i="13"/>
  <c r="G495" i="13"/>
  <c r="F495" i="13"/>
  <c r="E495" i="13"/>
  <c r="D495" i="13"/>
  <c r="C495" i="13"/>
  <c r="B495" i="13"/>
  <c r="A495" i="13"/>
  <c r="AG494" i="13"/>
  <c r="AF494" i="13"/>
  <c r="AE494" i="13"/>
  <c r="AD494" i="13"/>
  <c r="Z494" i="13"/>
  <c r="Y494" i="13"/>
  <c r="X494" i="13"/>
  <c r="W494" i="13"/>
  <c r="U494" i="13"/>
  <c r="T494" i="13"/>
  <c r="S494" i="13"/>
  <c r="R494" i="13"/>
  <c r="Q494" i="13"/>
  <c r="P494" i="13"/>
  <c r="O494" i="13"/>
  <c r="N494" i="13"/>
  <c r="M494" i="13"/>
  <c r="L494" i="13"/>
  <c r="J494" i="13"/>
  <c r="G494" i="13"/>
  <c r="F494" i="13"/>
  <c r="E494" i="13"/>
  <c r="D494" i="13"/>
  <c r="C494" i="13"/>
  <c r="B494" i="13"/>
  <c r="A494" i="13"/>
  <c r="AG493" i="13"/>
  <c r="AF493" i="13"/>
  <c r="AE493" i="13"/>
  <c r="AD493" i="13"/>
  <c r="Z493" i="13"/>
  <c r="Y493" i="13"/>
  <c r="X493" i="13"/>
  <c r="W493" i="13"/>
  <c r="U493" i="13"/>
  <c r="T493" i="13"/>
  <c r="S493" i="13"/>
  <c r="R493" i="13"/>
  <c r="Q493" i="13"/>
  <c r="P493" i="13"/>
  <c r="O493" i="13"/>
  <c r="N493" i="13"/>
  <c r="M493" i="13"/>
  <c r="L493" i="13"/>
  <c r="J493" i="13"/>
  <c r="G493" i="13"/>
  <c r="F493" i="13"/>
  <c r="E493" i="13"/>
  <c r="D493" i="13"/>
  <c r="C493" i="13"/>
  <c r="B493" i="13"/>
  <c r="A493" i="13"/>
  <c r="AG492" i="13"/>
  <c r="AF492" i="13"/>
  <c r="AE492" i="13"/>
  <c r="AD492" i="13"/>
  <c r="Z492" i="13"/>
  <c r="Y492" i="13"/>
  <c r="X492" i="13"/>
  <c r="W492" i="13"/>
  <c r="U492" i="13"/>
  <c r="T492" i="13"/>
  <c r="S492" i="13"/>
  <c r="R492" i="13"/>
  <c r="Q492" i="13"/>
  <c r="P492" i="13"/>
  <c r="O492" i="13"/>
  <c r="N492" i="13"/>
  <c r="M492" i="13"/>
  <c r="L492" i="13"/>
  <c r="J492" i="13"/>
  <c r="H492" i="13"/>
  <c r="G492" i="13"/>
  <c r="F492" i="13"/>
  <c r="E492" i="13"/>
  <c r="D492" i="13"/>
  <c r="C492" i="13"/>
  <c r="B492" i="13"/>
  <c r="A492" i="13"/>
  <c r="AG491" i="13"/>
  <c r="AF491" i="13"/>
  <c r="AE491" i="13"/>
  <c r="AD491" i="13"/>
  <c r="Z491" i="13"/>
  <c r="Y491" i="13"/>
  <c r="X491" i="13"/>
  <c r="W491" i="13"/>
  <c r="U491" i="13"/>
  <c r="T491" i="13"/>
  <c r="S491" i="13"/>
  <c r="R491" i="13"/>
  <c r="Q491" i="13"/>
  <c r="P491" i="13"/>
  <c r="O491" i="13"/>
  <c r="N491" i="13"/>
  <c r="M491" i="13"/>
  <c r="L491" i="13"/>
  <c r="J491" i="13"/>
  <c r="H491" i="13"/>
  <c r="G491" i="13"/>
  <c r="F491" i="13"/>
  <c r="E491" i="13"/>
  <c r="D491" i="13"/>
  <c r="C491" i="13"/>
  <c r="B491" i="13"/>
  <c r="A491" i="13"/>
  <c r="AG490" i="13"/>
  <c r="AF490" i="13"/>
  <c r="AE490" i="13"/>
  <c r="AD490" i="13"/>
  <c r="Z490" i="13"/>
  <c r="Y490" i="13"/>
  <c r="X490" i="13"/>
  <c r="U490" i="13"/>
  <c r="T490" i="13"/>
  <c r="S490" i="13"/>
  <c r="R490" i="13"/>
  <c r="Q490" i="13"/>
  <c r="O490" i="13"/>
  <c r="N490" i="13"/>
  <c r="M490" i="13"/>
  <c r="L490" i="13"/>
  <c r="F490" i="13"/>
  <c r="E490" i="13"/>
  <c r="D490" i="13"/>
  <c r="C490" i="13"/>
  <c r="B490" i="13"/>
  <c r="A490" i="13"/>
  <c r="AG489" i="13"/>
  <c r="AF489" i="13"/>
  <c r="AE489" i="13"/>
  <c r="AD489" i="13"/>
  <c r="Z489" i="13"/>
  <c r="Y489" i="13"/>
  <c r="X489" i="13"/>
  <c r="U489" i="13"/>
  <c r="T489" i="13"/>
  <c r="S489" i="13"/>
  <c r="R489" i="13"/>
  <c r="Q489" i="13"/>
  <c r="O489" i="13"/>
  <c r="N489" i="13"/>
  <c r="M489" i="13"/>
  <c r="L489" i="13"/>
  <c r="F489" i="13"/>
  <c r="E489" i="13"/>
  <c r="D489" i="13"/>
  <c r="C489" i="13"/>
  <c r="B489" i="13"/>
  <c r="A489" i="13"/>
  <c r="AG488" i="13"/>
  <c r="AF488" i="13"/>
  <c r="AE488" i="13"/>
  <c r="AD488" i="13"/>
  <c r="Z488" i="13"/>
  <c r="Y488" i="13"/>
  <c r="X488" i="13"/>
  <c r="U488" i="13"/>
  <c r="T488" i="13"/>
  <c r="S488" i="13"/>
  <c r="R488" i="13"/>
  <c r="Q488" i="13"/>
  <c r="O488" i="13"/>
  <c r="N488" i="13"/>
  <c r="M488" i="13"/>
  <c r="L488" i="13"/>
  <c r="F488" i="13"/>
  <c r="E488" i="13"/>
  <c r="D488" i="13"/>
  <c r="C488" i="13"/>
  <c r="B488" i="13"/>
  <c r="A488" i="13"/>
  <c r="AG487" i="13"/>
  <c r="AF487" i="13"/>
  <c r="AE487" i="13"/>
  <c r="AD487" i="13"/>
  <c r="Z487" i="13"/>
  <c r="Y487" i="13"/>
  <c r="X487" i="13"/>
  <c r="U487" i="13"/>
  <c r="T487" i="13"/>
  <c r="S487" i="13"/>
  <c r="R487" i="13"/>
  <c r="Q487" i="13"/>
  <c r="O487" i="13"/>
  <c r="N487" i="13"/>
  <c r="M487" i="13"/>
  <c r="L487" i="13"/>
  <c r="F487" i="13"/>
  <c r="E487" i="13"/>
  <c r="D487" i="13"/>
  <c r="C487" i="13"/>
  <c r="B487" i="13"/>
  <c r="A487" i="13"/>
  <c r="AG486" i="13"/>
  <c r="AF486" i="13"/>
  <c r="AE486" i="13"/>
  <c r="AD486" i="13"/>
  <c r="Z486" i="13"/>
  <c r="Y486" i="13"/>
  <c r="X486" i="13"/>
  <c r="U486" i="13"/>
  <c r="T486" i="13"/>
  <c r="S486" i="13"/>
  <c r="R486" i="13"/>
  <c r="Q486" i="13"/>
  <c r="O486" i="13"/>
  <c r="N486" i="13"/>
  <c r="M486" i="13"/>
  <c r="L486" i="13"/>
  <c r="F486" i="13"/>
  <c r="E486" i="13"/>
  <c r="D486" i="13"/>
  <c r="C486" i="13"/>
  <c r="B486" i="13"/>
  <c r="A486" i="13"/>
  <c r="AG485" i="13"/>
  <c r="AF485" i="13"/>
  <c r="AE485" i="13"/>
  <c r="AD485" i="13"/>
  <c r="Z485" i="13"/>
  <c r="Y485" i="13"/>
  <c r="X485" i="13"/>
  <c r="U485" i="13"/>
  <c r="T485" i="13"/>
  <c r="S485" i="13"/>
  <c r="R485" i="13"/>
  <c r="Q485" i="13"/>
  <c r="O485" i="13"/>
  <c r="N485" i="13"/>
  <c r="M485" i="13"/>
  <c r="L485" i="13"/>
  <c r="F485" i="13"/>
  <c r="E485" i="13"/>
  <c r="D485" i="13"/>
  <c r="C485" i="13"/>
  <c r="B485" i="13"/>
  <c r="A485" i="13"/>
  <c r="AG484" i="13"/>
  <c r="AF484" i="13"/>
  <c r="AE484" i="13"/>
  <c r="AD484" i="13"/>
  <c r="Z484" i="13"/>
  <c r="Y484" i="13"/>
  <c r="X484" i="13"/>
  <c r="U484" i="13"/>
  <c r="T484" i="13"/>
  <c r="S484" i="13"/>
  <c r="R484" i="13"/>
  <c r="Q484" i="13"/>
  <c r="O484" i="13"/>
  <c r="N484" i="13"/>
  <c r="M484" i="13"/>
  <c r="L484" i="13"/>
  <c r="F484" i="13"/>
  <c r="E484" i="13"/>
  <c r="D484" i="13"/>
  <c r="C484" i="13"/>
  <c r="B484" i="13"/>
  <c r="A484" i="13"/>
  <c r="AG483" i="13"/>
  <c r="AF483" i="13"/>
  <c r="AE483" i="13"/>
  <c r="AD483" i="13"/>
  <c r="Z483" i="13"/>
  <c r="Y483" i="13"/>
  <c r="X483" i="13"/>
  <c r="U483" i="13"/>
  <c r="T483" i="13"/>
  <c r="S483" i="13"/>
  <c r="R483" i="13"/>
  <c r="Q483" i="13"/>
  <c r="O483" i="13"/>
  <c r="N483" i="13"/>
  <c r="M483" i="13"/>
  <c r="L483" i="13"/>
  <c r="F483" i="13"/>
  <c r="E483" i="13"/>
  <c r="D483" i="13"/>
  <c r="C483" i="13"/>
  <c r="B483" i="13"/>
  <c r="A483" i="13"/>
  <c r="AG482" i="13"/>
  <c r="AF482" i="13"/>
  <c r="AE482" i="13"/>
  <c r="AD482" i="13"/>
  <c r="Z482" i="13"/>
  <c r="Y482" i="13"/>
  <c r="X482" i="13"/>
  <c r="U482" i="13"/>
  <c r="T482" i="13"/>
  <c r="S482" i="13"/>
  <c r="R482" i="13"/>
  <c r="Q482" i="13"/>
  <c r="O482" i="13"/>
  <c r="N482" i="13"/>
  <c r="M482" i="13"/>
  <c r="L482" i="13"/>
  <c r="F482" i="13"/>
  <c r="E482" i="13"/>
  <c r="D482" i="13"/>
  <c r="C482" i="13"/>
  <c r="B482" i="13"/>
  <c r="A482" i="13"/>
  <c r="AG481" i="13"/>
  <c r="AF481" i="13"/>
  <c r="AE481" i="13"/>
  <c r="AD481" i="13"/>
  <c r="Z481" i="13"/>
  <c r="Y481" i="13"/>
  <c r="X481" i="13"/>
  <c r="W481" i="13"/>
  <c r="U481" i="13"/>
  <c r="T481" i="13"/>
  <c r="S481" i="13"/>
  <c r="R481" i="13"/>
  <c r="Q481" i="13"/>
  <c r="P481" i="13"/>
  <c r="O481" i="13"/>
  <c r="N481" i="13"/>
  <c r="M481" i="13"/>
  <c r="L481" i="13"/>
  <c r="J481" i="13"/>
  <c r="G481" i="13"/>
  <c r="F481" i="13"/>
  <c r="E481" i="13"/>
  <c r="D481" i="13"/>
  <c r="C481" i="13"/>
  <c r="B481" i="13"/>
  <c r="A481" i="13"/>
  <c r="AG480" i="13"/>
  <c r="AF480" i="13"/>
  <c r="AE480" i="13"/>
  <c r="AD480" i="13"/>
  <c r="Z480" i="13"/>
  <c r="Y480" i="13"/>
  <c r="X480" i="13"/>
  <c r="W480" i="13"/>
  <c r="U480" i="13"/>
  <c r="T480" i="13"/>
  <c r="S480" i="13"/>
  <c r="R480" i="13"/>
  <c r="Q480" i="13"/>
  <c r="P480" i="13"/>
  <c r="O480" i="13"/>
  <c r="N480" i="13"/>
  <c r="M480" i="13"/>
  <c r="L480" i="13"/>
  <c r="J480" i="13"/>
  <c r="G480" i="13"/>
  <c r="F480" i="13"/>
  <c r="E480" i="13"/>
  <c r="D480" i="13"/>
  <c r="C480" i="13"/>
  <c r="B480" i="13"/>
  <c r="A480" i="13"/>
  <c r="AG479" i="13"/>
  <c r="AF479" i="13"/>
  <c r="AE479" i="13"/>
  <c r="AD479" i="13"/>
  <c r="Z479" i="13"/>
  <c r="Y479" i="13"/>
  <c r="X479" i="13"/>
  <c r="U479" i="13"/>
  <c r="T479" i="13"/>
  <c r="S479" i="13"/>
  <c r="R479" i="13"/>
  <c r="Q479" i="13"/>
  <c r="O479" i="13"/>
  <c r="N479" i="13"/>
  <c r="M479" i="13"/>
  <c r="L479" i="13"/>
  <c r="F479" i="13"/>
  <c r="E479" i="13"/>
  <c r="D479" i="13"/>
  <c r="C479" i="13"/>
  <c r="B479" i="13"/>
  <c r="A479" i="13"/>
  <c r="AG478" i="13"/>
  <c r="AF478" i="13"/>
  <c r="AE478" i="13"/>
  <c r="AD478" i="13"/>
  <c r="AA478" i="13"/>
  <c r="Z478" i="13"/>
  <c r="Y478" i="13"/>
  <c r="X478" i="13"/>
  <c r="W478" i="13"/>
  <c r="U478" i="13"/>
  <c r="T478" i="13"/>
  <c r="S478" i="13"/>
  <c r="R478" i="13"/>
  <c r="Q478" i="13"/>
  <c r="P478" i="13"/>
  <c r="O478" i="13"/>
  <c r="N478" i="13"/>
  <c r="M478" i="13"/>
  <c r="L478" i="13"/>
  <c r="J478" i="13"/>
  <c r="H478" i="13"/>
  <c r="G478" i="13"/>
  <c r="F478" i="13"/>
  <c r="E478" i="13"/>
  <c r="D478" i="13"/>
  <c r="C478" i="13"/>
  <c r="B478" i="13"/>
  <c r="A478" i="13"/>
  <c r="AG477" i="13"/>
  <c r="AF477" i="13"/>
  <c r="AE477" i="13"/>
  <c r="AD477" i="13"/>
  <c r="Z477" i="13"/>
  <c r="Y477" i="13"/>
  <c r="X477" i="13"/>
  <c r="W477" i="13"/>
  <c r="U477" i="13"/>
  <c r="T477" i="13"/>
  <c r="S477" i="13"/>
  <c r="R477" i="13"/>
  <c r="Q477" i="13"/>
  <c r="P477" i="13"/>
  <c r="O477" i="13"/>
  <c r="N477" i="13"/>
  <c r="M477" i="13"/>
  <c r="L477" i="13"/>
  <c r="J477" i="13"/>
  <c r="G477" i="13"/>
  <c r="F477" i="13"/>
  <c r="E477" i="13"/>
  <c r="D477" i="13"/>
  <c r="C477" i="13"/>
  <c r="B477" i="13"/>
  <c r="A477" i="13"/>
  <c r="AG476" i="13"/>
  <c r="AF476" i="13"/>
  <c r="AE476" i="13"/>
  <c r="AD476" i="13"/>
  <c r="Z476" i="13"/>
  <c r="Y476" i="13"/>
  <c r="X476" i="13"/>
  <c r="W476" i="13"/>
  <c r="U476" i="13"/>
  <c r="T476" i="13"/>
  <c r="S476" i="13"/>
  <c r="R476" i="13"/>
  <c r="Q476" i="13"/>
  <c r="P476" i="13"/>
  <c r="O476" i="13"/>
  <c r="N476" i="13"/>
  <c r="M476" i="13"/>
  <c r="L476" i="13"/>
  <c r="J476" i="13"/>
  <c r="G476" i="13"/>
  <c r="F476" i="13"/>
  <c r="E476" i="13"/>
  <c r="D476" i="13"/>
  <c r="C476" i="13"/>
  <c r="B476" i="13"/>
  <c r="A476" i="13"/>
  <c r="AG475" i="13"/>
  <c r="AF475" i="13"/>
  <c r="AE475" i="13"/>
  <c r="AD475" i="13"/>
  <c r="Z475" i="13"/>
  <c r="Y475" i="13"/>
  <c r="X475" i="13"/>
  <c r="W475" i="13"/>
  <c r="U475" i="13"/>
  <c r="T475" i="13"/>
  <c r="S475" i="13"/>
  <c r="R475" i="13"/>
  <c r="Q475" i="13"/>
  <c r="P475" i="13"/>
  <c r="O475" i="13"/>
  <c r="N475" i="13"/>
  <c r="M475" i="13"/>
  <c r="L475" i="13"/>
  <c r="J475" i="13"/>
  <c r="G475" i="13"/>
  <c r="F475" i="13"/>
  <c r="E475" i="13"/>
  <c r="D475" i="13"/>
  <c r="C475" i="13"/>
  <c r="B475" i="13"/>
  <c r="A475" i="13"/>
  <c r="AG474" i="13"/>
  <c r="AF474" i="13"/>
  <c r="AE474" i="13"/>
  <c r="AD474" i="13"/>
  <c r="Z474" i="13"/>
  <c r="Y474" i="13"/>
  <c r="X474" i="13"/>
  <c r="W474" i="13"/>
  <c r="U474" i="13"/>
  <c r="T474" i="13"/>
  <c r="S474" i="13"/>
  <c r="R474" i="13"/>
  <c r="Q474" i="13"/>
  <c r="P474" i="13"/>
  <c r="O474" i="13"/>
  <c r="N474" i="13"/>
  <c r="M474" i="13"/>
  <c r="L474" i="13"/>
  <c r="J474" i="13"/>
  <c r="G474" i="13"/>
  <c r="F474" i="13"/>
  <c r="E474" i="13"/>
  <c r="D474" i="13"/>
  <c r="C474" i="13"/>
  <c r="B474" i="13"/>
  <c r="A474" i="13"/>
  <c r="AG473" i="13"/>
  <c r="AF473" i="13"/>
  <c r="AE473" i="13"/>
  <c r="AD473" i="13"/>
  <c r="Z473" i="13"/>
  <c r="Y473" i="13"/>
  <c r="X473" i="13"/>
  <c r="W473" i="13"/>
  <c r="U473" i="13"/>
  <c r="T473" i="13"/>
  <c r="S473" i="13"/>
  <c r="R473" i="13"/>
  <c r="Q473" i="13"/>
  <c r="P473" i="13"/>
  <c r="O473" i="13"/>
  <c r="N473" i="13"/>
  <c r="M473" i="13"/>
  <c r="L473" i="13"/>
  <c r="J473" i="13"/>
  <c r="G473" i="13"/>
  <c r="F473" i="13"/>
  <c r="E473" i="13"/>
  <c r="D473" i="13"/>
  <c r="C473" i="13"/>
  <c r="B473" i="13"/>
  <c r="A473" i="13"/>
  <c r="AG472" i="13"/>
  <c r="AF472" i="13"/>
  <c r="AE472" i="13"/>
  <c r="AD472" i="13"/>
  <c r="Z472" i="13"/>
  <c r="Y472" i="13"/>
  <c r="X472" i="13"/>
  <c r="W472" i="13"/>
  <c r="U472" i="13"/>
  <c r="T472" i="13"/>
  <c r="S472" i="13"/>
  <c r="R472" i="13"/>
  <c r="Q472" i="13"/>
  <c r="P472" i="13"/>
  <c r="O472" i="13"/>
  <c r="N472" i="13"/>
  <c r="M472" i="13"/>
  <c r="L472" i="13"/>
  <c r="J472" i="13"/>
  <c r="G472" i="13"/>
  <c r="F472" i="13"/>
  <c r="E472" i="13"/>
  <c r="D472" i="13"/>
  <c r="C472" i="13"/>
  <c r="B472" i="13"/>
  <c r="A472" i="13"/>
  <c r="AG471" i="13"/>
  <c r="AF471" i="13"/>
  <c r="AE471" i="13"/>
  <c r="AD471" i="13"/>
  <c r="Z471" i="13"/>
  <c r="Y471" i="13"/>
  <c r="X471" i="13"/>
  <c r="W471" i="13"/>
  <c r="U471" i="13"/>
  <c r="T471" i="13"/>
  <c r="S471" i="13"/>
  <c r="R471" i="13"/>
  <c r="Q471" i="13"/>
  <c r="P471" i="13"/>
  <c r="O471" i="13"/>
  <c r="N471" i="13"/>
  <c r="M471" i="13"/>
  <c r="L471" i="13"/>
  <c r="J471" i="13"/>
  <c r="G471" i="13"/>
  <c r="F471" i="13"/>
  <c r="E471" i="13"/>
  <c r="D471" i="13"/>
  <c r="C471" i="13"/>
  <c r="B471" i="13"/>
  <c r="A471" i="13"/>
  <c r="AG470" i="13"/>
  <c r="AF470" i="13"/>
  <c r="AE470" i="13"/>
  <c r="AD470" i="13"/>
  <c r="Z470" i="13"/>
  <c r="Y470" i="13"/>
  <c r="X470" i="13"/>
  <c r="W470" i="13"/>
  <c r="U470" i="13"/>
  <c r="T470" i="13"/>
  <c r="S470" i="13"/>
  <c r="R470" i="13"/>
  <c r="Q470" i="13"/>
  <c r="P470" i="13"/>
  <c r="O470" i="13"/>
  <c r="N470" i="13"/>
  <c r="M470" i="13"/>
  <c r="L470" i="13"/>
  <c r="J470" i="13"/>
  <c r="G470" i="13"/>
  <c r="F470" i="13"/>
  <c r="E470" i="13"/>
  <c r="D470" i="13"/>
  <c r="C470" i="13"/>
  <c r="B470" i="13"/>
  <c r="A470" i="13"/>
  <c r="AG469" i="13"/>
  <c r="AF469" i="13"/>
  <c r="AE469" i="13"/>
  <c r="AD469" i="13"/>
  <c r="Z469" i="13"/>
  <c r="Y469" i="13"/>
  <c r="X469" i="13"/>
  <c r="U469" i="13"/>
  <c r="T469" i="13"/>
  <c r="S469" i="13"/>
  <c r="R469" i="13"/>
  <c r="Q469" i="13"/>
  <c r="O469" i="13"/>
  <c r="N469" i="13"/>
  <c r="M469" i="13"/>
  <c r="L469" i="13"/>
  <c r="F469" i="13"/>
  <c r="E469" i="13"/>
  <c r="D469" i="13"/>
  <c r="C469" i="13"/>
  <c r="B469" i="13"/>
  <c r="A469" i="13"/>
  <c r="AG468" i="13"/>
  <c r="AF468" i="13"/>
  <c r="AE468" i="13"/>
  <c r="AD468" i="13"/>
  <c r="Z468" i="13"/>
  <c r="Y468" i="13"/>
  <c r="X468" i="13"/>
  <c r="U468" i="13"/>
  <c r="T468" i="13"/>
  <c r="S468" i="13"/>
  <c r="R468" i="13"/>
  <c r="Q468" i="13"/>
  <c r="O468" i="13"/>
  <c r="N468" i="13"/>
  <c r="M468" i="13"/>
  <c r="L468" i="13"/>
  <c r="F468" i="13"/>
  <c r="E468" i="13"/>
  <c r="D468" i="13"/>
  <c r="C468" i="13"/>
  <c r="B468" i="13"/>
  <c r="A468" i="13"/>
  <c r="AG467" i="13"/>
  <c r="AF467" i="13"/>
  <c r="AE467" i="13"/>
  <c r="AD467" i="13"/>
  <c r="Z467" i="13"/>
  <c r="Y467" i="13"/>
  <c r="X467" i="13"/>
  <c r="U467" i="13"/>
  <c r="T467" i="13"/>
  <c r="S467" i="13"/>
  <c r="R467" i="13"/>
  <c r="Q467" i="13"/>
  <c r="O467" i="13"/>
  <c r="N467" i="13"/>
  <c r="M467" i="13"/>
  <c r="L467" i="13"/>
  <c r="F467" i="13"/>
  <c r="E467" i="13"/>
  <c r="D467" i="13"/>
  <c r="C467" i="13"/>
  <c r="B467" i="13"/>
  <c r="A467" i="13"/>
  <c r="AG466" i="13"/>
  <c r="AF466" i="13"/>
  <c r="AE466" i="13"/>
  <c r="AD466" i="13"/>
  <c r="Z466" i="13"/>
  <c r="Y466" i="13"/>
  <c r="X466" i="13"/>
  <c r="U466" i="13"/>
  <c r="T466" i="13"/>
  <c r="S466" i="13"/>
  <c r="R466" i="13"/>
  <c r="Q466" i="13"/>
  <c r="O466" i="13"/>
  <c r="N466" i="13"/>
  <c r="M466" i="13"/>
  <c r="L466" i="13"/>
  <c r="F466" i="13"/>
  <c r="E466" i="13"/>
  <c r="D466" i="13"/>
  <c r="C466" i="13"/>
  <c r="B466" i="13"/>
  <c r="A466" i="13"/>
  <c r="AG465" i="13"/>
  <c r="AF465" i="13"/>
  <c r="AE465" i="13"/>
  <c r="AD465" i="13"/>
  <c r="Z465" i="13"/>
  <c r="Y465" i="13"/>
  <c r="X465" i="13"/>
  <c r="U465" i="13"/>
  <c r="T465" i="13"/>
  <c r="S465" i="13"/>
  <c r="R465" i="13"/>
  <c r="Q465" i="13"/>
  <c r="O465" i="13"/>
  <c r="N465" i="13"/>
  <c r="M465" i="13"/>
  <c r="L465" i="13"/>
  <c r="F465" i="13"/>
  <c r="E465" i="13"/>
  <c r="D465" i="13"/>
  <c r="C465" i="13"/>
  <c r="B465" i="13"/>
  <c r="A465" i="13"/>
  <c r="AG464" i="13"/>
  <c r="AF464" i="13"/>
  <c r="AE464" i="13"/>
  <c r="AD464" i="13"/>
  <c r="Z464" i="13"/>
  <c r="Y464" i="13"/>
  <c r="X464" i="13"/>
  <c r="U464" i="13"/>
  <c r="T464" i="13"/>
  <c r="S464" i="13"/>
  <c r="R464" i="13"/>
  <c r="Q464" i="13"/>
  <c r="O464" i="13"/>
  <c r="N464" i="13"/>
  <c r="M464" i="13"/>
  <c r="L464" i="13"/>
  <c r="F464" i="13"/>
  <c r="E464" i="13"/>
  <c r="D464" i="13"/>
  <c r="C464" i="13"/>
  <c r="B464" i="13"/>
  <c r="A464" i="13"/>
  <c r="AG463" i="13"/>
  <c r="AF463" i="13"/>
  <c r="AE463" i="13"/>
  <c r="AD463" i="13"/>
  <c r="Z463" i="13"/>
  <c r="Y463" i="13"/>
  <c r="X463" i="13"/>
  <c r="U463" i="13"/>
  <c r="T463" i="13"/>
  <c r="S463" i="13"/>
  <c r="R463" i="13"/>
  <c r="Q463" i="13"/>
  <c r="O463" i="13"/>
  <c r="N463" i="13"/>
  <c r="M463" i="13"/>
  <c r="L463" i="13"/>
  <c r="F463" i="13"/>
  <c r="E463" i="13"/>
  <c r="D463" i="13"/>
  <c r="C463" i="13"/>
  <c r="B463" i="13"/>
  <c r="A463" i="13"/>
  <c r="AG462" i="13"/>
  <c r="AF462" i="13"/>
  <c r="AE462" i="13"/>
  <c r="AD462" i="13"/>
  <c r="Z462" i="13"/>
  <c r="Y462" i="13"/>
  <c r="X462" i="13"/>
  <c r="U462" i="13"/>
  <c r="T462" i="13"/>
  <c r="S462" i="13"/>
  <c r="R462" i="13"/>
  <c r="Q462" i="13"/>
  <c r="O462" i="13"/>
  <c r="N462" i="13"/>
  <c r="M462" i="13"/>
  <c r="L462" i="13"/>
  <c r="F462" i="13"/>
  <c r="E462" i="13"/>
  <c r="D462" i="13"/>
  <c r="C462" i="13"/>
  <c r="B462" i="13"/>
  <c r="A462" i="13"/>
  <c r="AG461" i="13"/>
  <c r="AF461" i="13"/>
  <c r="AE461" i="13"/>
  <c r="AD461" i="13"/>
  <c r="Z461" i="13"/>
  <c r="Y461" i="13"/>
  <c r="X461" i="13"/>
  <c r="U461" i="13"/>
  <c r="T461" i="13"/>
  <c r="S461" i="13"/>
  <c r="R461" i="13"/>
  <c r="Q461" i="13"/>
  <c r="O461" i="13"/>
  <c r="N461" i="13"/>
  <c r="M461" i="13"/>
  <c r="L461" i="13"/>
  <c r="F461" i="13"/>
  <c r="E461" i="13"/>
  <c r="D461" i="13"/>
  <c r="C461" i="13"/>
  <c r="B461" i="13"/>
  <c r="A461" i="13"/>
  <c r="AG460" i="13"/>
  <c r="AF460" i="13"/>
  <c r="AE460" i="13"/>
  <c r="AD460" i="13"/>
  <c r="Z460" i="13"/>
  <c r="Y460" i="13"/>
  <c r="X460" i="13"/>
  <c r="U460" i="13"/>
  <c r="T460" i="13"/>
  <c r="S460" i="13"/>
  <c r="R460" i="13"/>
  <c r="Q460" i="13"/>
  <c r="O460" i="13"/>
  <c r="N460" i="13"/>
  <c r="M460" i="13"/>
  <c r="L460" i="13"/>
  <c r="F460" i="13"/>
  <c r="E460" i="13"/>
  <c r="D460" i="13"/>
  <c r="C460" i="13"/>
  <c r="B460" i="13"/>
  <c r="A460" i="13"/>
  <c r="AG459" i="13"/>
  <c r="AF459" i="13"/>
  <c r="AE459" i="13"/>
  <c r="AD459" i="13"/>
  <c r="Z459" i="13"/>
  <c r="Y459" i="13"/>
  <c r="X459" i="13"/>
  <c r="U459" i="13"/>
  <c r="T459" i="13"/>
  <c r="S459" i="13"/>
  <c r="R459" i="13"/>
  <c r="Q459" i="13"/>
  <c r="O459" i="13"/>
  <c r="N459" i="13"/>
  <c r="M459" i="13"/>
  <c r="L459" i="13"/>
  <c r="F459" i="13"/>
  <c r="E459" i="13"/>
  <c r="D459" i="13"/>
  <c r="C459" i="13"/>
  <c r="B459" i="13"/>
  <c r="A459" i="13"/>
  <c r="AG458" i="13"/>
  <c r="AF458" i="13"/>
  <c r="AE458" i="13"/>
  <c r="AD458" i="13"/>
  <c r="Z458" i="13"/>
  <c r="Y458" i="13"/>
  <c r="X458" i="13"/>
  <c r="U458" i="13"/>
  <c r="T458" i="13"/>
  <c r="S458" i="13"/>
  <c r="R458" i="13"/>
  <c r="Q458" i="13"/>
  <c r="O458" i="13"/>
  <c r="N458" i="13"/>
  <c r="M458" i="13"/>
  <c r="L458" i="13"/>
  <c r="F458" i="13"/>
  <c r="E458" i="13"/>
  <c r="D458" i="13"/>
  <c r="C458" i="13"/>
  <c r="B458" i="13"/>
  <c r="A458" i="13"/>
  <c r="AG457" i="13"/>
  <c r="AF457" i="13"/>
  <c r="AE457" i="13"/>
  <c r="AD457" i="13"/>
  <c r="Z457" i="13"/>
  <c r="Y457" i="13"/>
  <c r="X457" i="13"/>
  <c r="U457" i="13"/>
  <c r="T457" i="13"/>
  <c r="S457" i="13"/>
  <c r="R457" i="13"/>
  <c r="Q457" i="13"/>
  <c r="O457" i="13"/>
  <c r="N457" i="13"/>
  <c r="M457" i="13"/>
  <c r="L457" i="13"/>
  <c r="F457" i="13"/>
  <c r="E457" i="13"/>
  <c r="D457" i="13"/>
  <c r="C457" i="13"/>
  <c r="B457" i="13"/>
  <c r="A457" i="13"/>
  <c r="AG456" i="13"/>
  <c r="AF456" i="13"/>
  <c r="AE456" i="13"/>
  <c r="AD456" i="13"/>
  <c r="Z456" i="13"/>
  <c r="Y456" i="13"/>
  <c r="X456" i="13"/>
  <c r="U456" i="13"/>
  <c r="T456" i="13"/>
  <c r="S456" i="13"/>
  <c r="R456" i="13"/>
  <c r="Q456" i="13"/>
  <c r="O456" i="13"/>
  <c r="N456" i="13"/>
  <c r="M456" i="13"/>
  <c r="L456" i="13"/>
  <c r="F456" i="13"/>
  <c r="E456" i="13"/>
  <c r="D456" i="13"/>
  <c r="C456" i="13"/>
  <c r="B456" i="13"/>
  <c r="A456" i="13"/>
  <c r="AG455" i="13"/>
  <c r="AF455" i="13"/>
  <c r="AE455" i="13"/>
  <c r="AD455" i="13"/>
  <c r="Z455" i="13"/>
  <c r="Y455" i="13"/>
  <c r="X455" i="13"/>
  <c r="U455" i="13"/>
  <c r="T455" i="13"/>
  <c r="S455" i="13"/>
  <c r="R455" i="13"/>
  <c r="Q455" i="13"/>
  <c r="O455" i="13"/>
  <c r="N455" i="13"/>
  <c r="M455" i="13"/>
  <c r="L455" i="13"/>
  <c r="F455" i="13"/>
  <c r="E455" i="13"/>
  <c r="D455" i="13"/>
  <c r="C455" i="13"/>
  <c r="B455" i="13"/>
  <c r="A455" i="13"/>
  <c r="AG454" i="13"/>
  <c r="AF454" i="13"/>
  <c r="AE454" i="13"/>
  <c r="AD454" i="13"/>
  <c r="Z454" i="13"/>
  <c r="Y454" i="13"/>
  <c r="X454" i="13"/>
  <c r="U454" i="13"/>
  <c r="T454" i="13"/>
  <c r="S454" i="13"/>
  <c r="R454" i="13"/>
  <c r="Q454" i="13"/>
  <c r="O454" i="13"/>
  <c r="N454" i="13"/>
  <c r="M454" i="13"/>
  <c r="L454" i="13"/>
  <c r="F454" i="13"/>
  <c r="E454" i="13"/>
  <c r="D454" i="13"/>
  <c r="C454" i="13"/>
  <c r="B454" i="13"/>
  <c r="A454" i="13"/>
  <c r="AG453" i="13"/>
  <c r="AF453" i="13"/>
  <c r="AE453" i="13"/>
  <c r="AD453" i="13"/>
  <c r="Z453" i="13"/>
  <c r="Y453" i="13"/>
  <c r="X453" i="13"/>
  <c r="U453" i="13"/>
  <c r="T453" i="13"/>
  <c r="S453" i="13"/>
  <c r="R453" i="13"/>
  <c r="Q453" i="13"/>
  <c r="O453" i="13"/>
  <c r="N453" i="13"/>
  <c r="M453" i="13"/>
  <c r="L453" i="13"/>
  <c r="F453" i="13"/>
  <c r="E453" i="13"/>
  <c r="D453" i="13"/>
  <c r="C453" i="13"/>
  <c r="B453" i="13"/>
  <c r="A453" i="13"/>
  <c r="AG452" i="13"/>
  <c r="AF452" i="13"/>
  <c r="AE452" i="13"/>
  <c r="AD452" i="13"/>
  <c r="Z452" i="13"/>
  <c r="Y452" i="13"/>
  <c r="X452" i="13"/>
  <c r="U452" i="13"/>
  <c r="T452" i="13"/>
  <c r="S452" i="13"/>
  <c r="R452" i="13"/>
  <c r="Q452" i="13"/>
  <c r="O452" i="13"/>
  <c r="N452" i="13"/>
  <c r="M452" i="13"/>
  <c r="L452" i="13"/>
  <c r="F452" i="13"/>
  <c r="E452" i="13"/>
  <c r="D452" i="13"/>
  <c r="C452" i="13"/>
  <c r="B452" i="13"/>
  <c r="A452" i="13"/>
  <c r="AG451" i="13"/>
  <c r="AF451" i="13"/>
  <c r="AE451" i="13"/>
  <c r="AD451" i="13"/>
  <c r="Z451" i="13"/>
  <c r="Y451" i="13"/>
  <c r="X451" i="13"/>
  <c r="U451" i="13"/>
  <c r="T451" i="13"/>
  <c r="S451" i="13"/>
  <c r="R451" i="13"/>
  <c r="Q451" i="13"/>
  <c r="O451" i="13"/>
  <c r="N451" i="13"/>
  <c r="M451" i="13"/>
  <c r="L451" i="13"/>
  <c r="F451" i="13"/>
  <c r="E451" i="13"/>
  <c r="D451" i="13"/>
  <c r="C451" i="13"/>
  <c r="B451" i="13"/>
  <c r="A451" i="13"/>
  <c r="AG450" i="13"/>
  <c r="AF450" i="13"/>
  <c r="AE450" i="13"/>
  <c r="AD450" i="13"/>
  <c r="Z450" i="13"/>
  <c r="Y450" i="13"/>
  <c r="X450" i="13"/>
  <c r="U450" i="13"/>
  <c r="T450" i="13"/>
  <c r="S450" i="13"/>
  <c r="R450" i="13"/>
  <c r="Q450" i="13"/>
  <c r="O450" i="13"/>
  <c r="N450" i="13"/>
  <c r="M450" i="13"/>
  <c r="L450" i="13"/>
  <c r="F450" i="13"/>
  <c r="E450" i="13"/>
  <c r="D450" i="13"/>
  <c r="C450" i="13"/>
  <c r="B450" i="13"/>
  <c r="A450" i="13"/>
  <c r="AG449" i="13"/>
  <c r="AF449" i="13"/>
  <c r="AE449" i="13"/>
  <c r="AD449" i="13"/>
  <c r="Z449" i="13"/>
  <c r="Y449" i="13"/>
  <c r="X449" i="13"/>
  <c r="U449" i="13"/>
  <c r="T449" i="13"/>
  <c r="S449" i="13"/>
  <c r="R449" i="13"/>
  <c r="Q449" i="13"/>
  <c r="O449" i="13"/>
  <c r="N449" i="13"/>
  <c r="M449" i="13"/>
  <c r="L449" i="13"/>
  <c r="F449" i="13"/>
  <c r="E449" i="13"/>
  <c r="D449" i="13"/>
  <c r="C449" i="13"/>
  <c r="B449" i="13"/>
  <c r="A449" i="13"/>
  <c r="AG448" i="13"/>
  <c r="AF448" i="13"/>
  <c r="AE448" i="13"/>
  <c r="AD448" i="13"/>
  <c r="Z448" i="13"/>
  <c r="Y448" i="13"/>
  <c r="X448" i="13"/>
  <c r="U448" i="13"/>
  <c r="T448" i="13"/>
  <c r="S448" i="13"/>
  <c r="R448" i="13"/>
  <c r="Q448" i="13"/>
  <c r="O448" i="13"/>
  <c r="N448" i="13"/>
  <c r="M448" i="13"/>
  <c r="L448" i="13"/>
  <c r="F448" i="13"/>
  <c r="E448" i="13"/>
  <c r="D448" i="13"/>
  <c r="C448" i="13"/>
  <c r="B448" i="13"/>
  <c r="A448" i="13"/>
  <c r="AG447" i="13"/>
  <c r="AF447" i="13"/>
  <c r="AE447" i="13"/>
  <c r="AD447" i="13"/>
  <c r="Z447" i="13"/>
  <c r="Y447" i="13"/>
  <c r="X447" i="13"/>
  <c r="U447" i="13"/>
  <c r="T447" i="13"/>
  <c r="S447" i="13"/>
  <c r="R447" i="13"/>
  <c r="Q447" i="13"/>
  <c r="O447" i="13"/>
  <c r="N447" i="13"/>
  <c r="M447" i="13"/>
  <c r="L447" i="13"/>
  <c r="F447" i="13"/>
  <c r="E447" i="13"/>
  <c r="D447" i="13"/>
  <c r="C447" i="13"/>
  <c r="B447" i="13"/>
  <c r="A447" i="13"/>
  <c r="AG446" i="13"/>
  <c r="AF446" i="13"/>
  <c r="AE446" i="13"/>
  <c r="AD446" i="13"/>
  <c r="Z446" i="13"/>
  <c r="Y446" i="13"/>
  <c r="X446" i="13"/>
  <c r="U446" i="13"/>
  <c r="T446" i="13"/>
  <c r="S446" i="13"/>
  <c r="R446" i="13"/>
  <c r="Q446" i="13"/>
  <c r="O446" i="13"/>
  <c r="N446" i="13"/>
  <c r="M446" i="13"/>
  <c r="L446" i="13"/>
  <c r="F446" i="13"/>
  <c r="E446" i="13"/>
  <c r="D446" i="13"/>
  <c r="C446" i="13"/>
  <c r="B446" i="13"/>
  <c r="A446" i="13"/>
  <c r="AG445" i="13"/>
  <c r="AF445" i="13"/>
  <c r="AE445" i="13"/>
  <c r="AD445" i="13"/>
  <c r="Z445" i="13"/>
  <c r="Y445" i="13"/>
  <c r="X445" i="13"/>
  <c r="U445" i="13"/>
  <c r="T445" i="13"/>
  <c r="S445" i="13"/>
  <c r="R445" i="13"/>
  <c r="Q445" i="13"/>
  <c r="O445" i="13"/>
  <c r="N445" i="13"/>
  <c r="M445" i="13"/>
  <c r="L445" i="13"/>
  <c r="F445" i="13"/>
  <c r="E445" i="13"/>
  <c r="D445" i="13"/>
  <c r="C445" i="13"/>
  <c r="B445" i="13"/>
  <c r="A445" i="13"/>
  <c r="AG444" i="13"/>
  <c r="AF444" i="13"/>
  <c r="AE444" i="13"/>
  <c r="AD444" i="13"/>
  <c r="Z444" i="13"/>
  <c r="Y444" i="13"/>
  <c r="X444" i="13"/>
  <c r="U444" i="13"/>
  <c r="T444" i="13"/>
  <c r="S444" i="13"/>
  <c r="R444" i="13"/>
  <c r="Q444" i="13"/>
  <c r="O444" i="13"/>
  <c r="N444" i="13"/>
  <c r="M444" i="13"/>
  <c r="L444" i="13"/>
  <c r="F444" i="13"/>
  <c r="E444" i="13"/>
  <c r="D444" i="13"/>
  <c r="C444" i="13"/>
  <c r="B444" i="13"/>
  <c r="A444" i="13"/>
  <c r="AG443" i="13"/>
  <c r="AF443" i="13"/>
  <c r="AE443" i="13"/>
  <c r="AD443" i="13"/>
  <c r="Z443" i="13"/>
  <c r="Y443" i="13"/>
  <c r="X443" i="13"/>
  <c r="U443" i="13"/>
  <c r="T443" i="13"/>
  <c r="S443" i="13"/>
  <c r="R443" i="13"/>
  <c r="Q443" i="13"/>
  <c r="O443" i="13"/>
  <c r="N443" i="13"/>
  <c r="M443" i="13"/>
  <c r="L443" i="13"/>
  <c r="F443" i="13"/>
  <c r="E443" i="13"/>
  <c r="D443" i="13"/>
  <c r="C443" i="13"/>
  <c r="B443" i="13"/>
  <c r="A443" i="13"/>
  <c r="AG442" i="13"/>
  <c r="AF442" i="13"/>
  <c r="AE442" i="13"/>
  <c r="AD442" i="13"/>
  <c r="Z442" i="13"/>
  <c r="Y442" i="13"/>
  <c r="X442" i="13"/>
  <c r="U442" i="13"/>
  <c r="T442" i="13"/>
  <c r="S442" i="13"/>
  <c r="R442" i="13"/>
  <c r="Q442" i="13"/>
  <c r="O442" i="13"/>
  <c r="N442" i="13"/>
  <c r="M442" i="13"/>
  <c r="L442" i="13"/>
  <c r="F442" i="13"/>
  <c r="E442" i="13"/>
  <c r="D442" i="13"/>
  <c r="C442" i="13"/>
  <c r="B442" i="13"/>
  <c r="A442" i="13"/>
  <c r="AG441" i="13"/>
  <c r="AF441" i="13"/>
  <c r="AE441" i="13"/>
  <c r="AD441" i="13"/>
  <c r="Z441" i="13"/>
  <c r="Y441" i="13"/>
  <c r="X441" i="13"/>
  <c r="U441" i="13"/>
  <c r="T441" i="13"/>
  <c r="S441" i="13"/>
  <c r="R441" i="13"/>
  <c r="Q441" i="13"/>
  <c r="O441" i="13"/>
  <c r="N441" i="13"/>
  <c r="M441" i="13"/>
  <c r="L441" i="13"/>
  <c r="F441" i="13"/>
  <c r="E441" i="13"/>
  <c r="D441" i="13"/>
  <c r="C441" i="13"/>
  <c r="B441" i="13"/>
  <c r="A441" i="13"/>
  <c r="AG440" i="13"/>
  <c r="AF440" i="13"/>
  <c r="AE440" i="13"/>
  <c r="AD440" i="13"/>
  <c r="Z440" i="13"/>
  <c r="Y440" i="13"/>
  <c r="X440" i="13"/>
  <c r="U440" i="13"/>
  <c r="T440" i="13"/>
  <c r="S440" i="13"/>
  <c r="R440" i="13"/>
  <c r="Q440" i="13"/>
  <c r="O440" i="13"/>
  <c r="N440" i="13"/>
  <c r="M440" i="13"/>
  <c r="L440" i="13"/>
  <c r="F440" i="13"/>
  <c r="E440" i="13"/>
  <c r="D440" i="13"/>
  <c r="C440" i="13"/>
  <c r="B440" i="13"/>
  <c r="A440" i="13"/>
  <c r="AG439" i="13"/>
  <c r="AF439" i="13"/>
  <c r="AE439" i="13"/>
  <c r="AD439" i="13"/>
  <c r="Z439" i="13"/>
  <c r="Y439" i="13"/>
  <c r="X439" i="13"/>
  <c r="U439" i="13"/>
  <c r="T439" i="13"/>
  <c r="S439" i="13"/>
  <c r="R439" i="13"/>
  <c r="Q439" i="13"/>
  <c r="O439" i="13"/>
  <c r="N439" i="13"/>
  <c r="M439" i="13"/>
  <c r="L439" i="13"/>
  <c r="F439" i="13"/>
  <c r="E439" i="13"/>
  <c r="D439" i="13"/>
  <c r="C439" i="13"/>
  <c r="B439" i="13"/>
  <c r="A439" i="13"/>
  <c r="AG438" i="13"/>
  <c r="AF438" i="13"/>
  <c r="AE438" i="13"/>
  <c r="AD438" i="13"/>
  <c r="Z438" i="13"/>
  <c r="Y438" i="13"/>
  <c r="X438" i="13"/>
  <c r="U438" i="13"/>
  <c r="T438" i="13"/>
  <c r="S438" i="13"/>
  <c r="R438" i="13"/>
  <c r="Q438" i="13"/>
  <c r="O438" i="13"/>
  <c r="N438" i="13"/>
  <c r="M438" i="13"/>
  <c r="L438" i="13"/>
  <c r="F438" i="13"/>
  <c r="E438" i="13"/>
  <c r="D438" i="13"/>
  <c r="C438" i="13"/>
  <c r="B438" i="13"/>
  <c r="A438" i="13"/>
  <c r="AG437" i="13"/>
  <c r="AF437" i="13"/>
  <c r="AE437" i="13"/>
  <c r="AD437" i="13"/>
  <c r="Z437" i="13"/>
  <c r="Y437" i="13"/>
  <c r="X437" i="13"/>
  <c r="W437" i="13"/>
  <c r="U437" i="13"/>
  <c r="T437" i="13"/>
  <c r="S437" i="13"/>
  <c r="R437" i="13"/>
  <c r="Q437" i="13"/>
  <c r="P437" i="13"/>
  <c r="O437" i="13"/>
  <c r="N437" i="13"/>
  <c r="M437" i="13"/>
  <c r="L437" i="13"/>
  <c r="J437" i="13"/>
  <c r="G437" i="13"/>
  <c r="F437" i="13"/>
  <c r="E437" i="13"/>
  <c r="D437" i="13"/>
  <c r="C437" i="13"/>
  <c r="B437" i="13"/>
  <c r="A437" i="13"/>
  <c r="AG436" i="13"/>
  <c r="AF436" i="13"/>
  <c r="AE436" i="13"/>
  <c r="AD436" i="13"/>
  <c r="Z436" i="13"/>
  <c r="Y436" i="13"/>
  <c r="X436" i="13"/>
  <c r="W436" i="13"/>
  <c r="U436" i="13"/>
  <c r="T436" i="13"/>
  <c r="S436" i="13"/>
  <c r="R436" i="13"/>
  <c r="Q436" i="13"/>
  <c r="P436" i="13"/>
  <c r="O436" i="13"/>
  <c r="N436" i="13"/>
  <c r="M436" i="13"/>
  <c r="L436" i="13"/>
  <c r="J436" i="13"/>
  <c r="G436" i="13"/>
  <c r="F436" i="13"/>
  <c r="E436" i="13"/>
  <c r="D436" i="13"/>
  <c r="C436" i="13"/>
  <c r="B436" i="13"/>
  <c r="A436" i="13"/>
  <c r="AG435" i="13"/>
  <c r="AF435" i="13"/>
  <c r="AE435" i="13"/>
  <c r="AD435" i="13"/>
  <c r="Z435" i="13"/>
  <c r="Y435" i="13"/>
  <c r="X435" i="13"/>
  <c r="W435" i="13"/>
  <c r="U435" i="13"/>
  <c r="T435" i="13"/>
  <c r="S435" i="13"/>
  <c r="R435" i="13"/>
  <c r="Q435" i="13"/>
  <c r="P435" i="13"/>
  <c r="O435" i="13"/>
  <c r="N435" i="13"/>
  <c r="M435" i="13"/>
  <c r="L435" i="13"/>
  <c r="J435" i="13"/>
  <c r="G435" i="13"/>
  <c r="F435" i="13"/>
  <c r="E435" i="13"/>
  <c r="D435" i="13"/>
  <c r="C435" i="13"/>
  <c r="B435" i="13"/>
  <c r="A435" i="13"/>
  <c r="AG434" i="13"/>
  <c r="AF434" i="13"/>
  <c r="AE434" i="13"/>
  <c r="AD434" i="13"/>
  <c r="Z434" i="13"/>
  <c r="Y434" i="13"/>
  <c r="X434" i="13"/>
  <c r="W434" i="13"/>
  <c r="U434" i="13"/>
  <c r="T434" i="13"/>
  <c r="S434" i="13"/>
  <c r="R434" i="13"/>
  <c r="Q434" i="13"/>
  <c r="P434" i="13"/>
  <c r="O434" i="13"/>
  <c r="N434" i="13"/>
  <c r="M434" i="13"/>
  <c r="L434" i="13"/>
  <c r="J434" i="13"/>
  <c r="G434" i="13"/>
  <c r="F434" i="13"/>
  <c r="E434" i="13"/>
  <c r="D434" i="13"/>
  <c r="C434" i="13"/>
  <c r="B434" i="13"/>
  <c r="A434" i="13"/>
  <c r="AG433" i="13"/>
  <c r="AF433" i="13"/>
  <c r="AE433" i="13"/>
  <c r="AD433" i="13"/>
  <c r="Z433" i="13"/>
  <c r="Y433" i="13"/>
  <c r="X433" i="13"/>
  <c r="W433" i="13"/>
  <c r="U433" i="13"/>
  <c r="T433" i="13"/>
  <c r="S433" i="13"/>
  <c r="R433" i="13"/>
  <c r="Q433" i="13"/>
  <c r="P433" i="13"/>
  <c r="O433" i="13"/>
  <c r="N433" i="13"/>
  <c r="M433" i="13"/>
  <c r="L433" i="13"/>
  <c r="J433" i="13"/>
  <c r="G433" i="13"/>
  <c r="F433" i="13"/>
  <c r="E433" i="13"/>
  <c r="D433" i="13"/>
  <c r="C433" i="13"/>
  <c r="B433" i="13"/>
  <c r="A433" i="13"/>
  <c r="AG432" i="13"/>
  <c r="AF432" i="13"/>
  <c r="AE432" i="13"/>
  <c r="AD432" i="13"/>
  <c r="Z432" i="13"/>
  <c r="Y432" i="13"/>
  <c r="X432" i="13"/>
  <c r="W432" i="13"/>
  <c r="U432" i="13"/>
  <c r="T432" i="13"/>
  <c r="S432" i="13"/>
  <c r="R432" i="13"/>
  <c r="Q432" i="13"/>
  <c r="P432" i="13"/>
  <c r="O432" i="13"/>
  <c r="N432" i="13"/>
  <c r="M432" i="13"/>
  <c r="L432" i="13"/>
  <c r="J432" i="13"/>
  <c r="G432" i="13"/>
  <c r="F432" i="13"/>
  <c r="E432" i="13"/>
  <c r="D432" i="13"/>
  <c r="C432" i="13"/>
  <c r="B432" i="13"/>
  <c r="A432" i="13"/>
  <c r="AH431" i="13"/>
  <c r="AG431" i="13"/>
  <c r="AF431" i="13"/>
  <c r="AE431" i="13"/>
  <c r="AD431" i="13"/>
  <c r="Z431" i="13"/>
  <c r="Y431" i="13"/>
  <c r="X431" i="13"/>
  <c r="W431" i="13"/>
  <c r="U431" i="13"/>
  <c r="T431" i="13"/>
  <c r="S431" i="13"/>
  <c r="R431" i="13"/>
  <c r="Q431" i="13"/>
  <c r="P431" i="13"/>
  <c r="O431" i="13"/>
  <c r="N431" i="13"/>
  <c r="M431" i="13"/>
  <c r="L431" i="13"/>
  <c r="J431" i="13"/>
  <c r="G431" i="13"/>
  <c r="F431" i="13"/>
  <c r="E431" i="13"/>
  <c r="D431" i="13"/>
  <c r="C431" i="13"/>
  <c r="B431" i="13"/>
  <c r="A431" i="13"/>
  <c r="AH430" i="13"/>
  <c r="AG430" i="13"/>
  <c r="AF430" i="13"/>
  <c r="AE430" i="13"/>
  <c r="AD430" i="13"/>
  <c r="Z430" i="13"/>
  <c r="Y430" i="13"/>
  <c r="X430" i="13"/>
  <c r="W430" i="13"/>
  <c r="U430" i="13"/>
  <c r="T430" i="13"/>
  <c r="S430" i="13"/>
  <c r="R430" i="13"/>
  <c r="Q430" i="13"/>
  <c r="P430" i="13"/>
  <c r="O430" i="13"/>
  <c r="N430" i="13"/>
  <c r="M430" i="13"/>
  <c r="L430" i="13"/>
  <c r="J430" i="13"/>
  <c r="G430" i="13"/>
  <c r="F430" i="13"/>
  <c r="E430" i="13"/>
  <c r="D430" i="13"/>
  <c r="C430" i="13"/>
  <c r="B430" i="13"/>
  <c r="A430" i="13"/>
  <c r="AG429" i="13"/>
  <c r="AF429" i="13"/>
  <c r="AE429" i="13"/>
  <c r="AD429" i="13"/>
  <c r="Z429" i="13"/>
  <c r="Y429" i="13"/>
  <c r="X429" i="13"/>
  <c r="W429" i="13"/>
  <c r="U429" i="13"/>
  <c r="T429" i="13"/>
  <c r="S429" i="13"/>
  <c r="R429" i="13"/>
  <c r="Q429" i="13"/>
  <c r="P429" i="13"/>
  <c r="O429" i="13"/>
  <c r="N429" i="13"/>
  <c r="M429" i="13"/>
  <c r="L429" i="13"/>
  <c r="J429" i="13"/>
  <c r="G429" i="13"/>
  <c r="F429" i="13"/>
  <c r="E429" i="13"/>
  <c r="D429" i="13"/>
  <c r="C429" i="13"/>
  <c r="B429" i="13"/>
  <c r="A429" i="13"/>
  <c r="AG428" i="13"/>
  <c r="AF428" i="13"/>
  <c r="AE428" i="13"/>
  <c r="AD428" i="13"/>
  <c r="Z428" i="13"/>
  <c r="Y428" i="13"/>
  <c r="X428" i="13"/>
  <c r="W428" i="13"/>
  <c r="U428" i="13"/>
  <c r="T428" i="13"/>
  <c r="S428" i="13"/>
  <c r="R428" i="13"/>
  <c r="Q428" i="13"/>
  <c r="P428" i="13"/>
  <c r="O428" i="13"/>
  <c r="N428" i="13"/>
  <c r="M428" i="13"/>
  <c r="L428" i="13"/>
  <c r="J428" i="13"/>
  <c r="G428" i="13"/>
  <c r="F428" i="13"/>
  <c r="E428" i="13"/>
  <c r="D428" i="13"/>
  <c r="C428" i="13"/>
  <c r="B428" i="13"/>
  <c r="A428" i="13"/>
  <c r="AG427" i="13"/>
  <c r="AF427" i="13"/>
  <c r="AE427" i="13"/>
  <c r="AD427" i="13"/>
  <c r="Z427" i="13"/>
  <c r="Y427" i="13"/>
  <c r="X427" i="13"/>
  <c r="W427" i="13"/>
  <c r="U427" i="13"/>
  <c r="T427" i="13"/>
  <c r="S427" i="13"/>
  <c r="R427" i="13"/>
  <c r="Q427" i="13"/>
  <c r="P427" i="13"/>
  <c r="O427" i="13"/>
  <c r="N427" i="13"/>
  <c r="M427" i="13"/>
  <c r="L427" i="13"/>
  <c r="J427" i="13"/>
  <c r="G427" i="13"/>
  <c r="F427" i="13"/>
  <c r="E427" i="13"/>
  <c r="D427" i="13"/>
  <c r="C427" i="13"/>
  <c r="B427" i="13"/>
  <c r="A427" i="13"/>
  <c r="AG426" i="13"/>
  <c r="AF426" i="13"/>
  <c r="AE426" i="13"/>
  <c r="AD426" i="13"/>
  <c r="Z426" i="13"/>
  <c r="Y426" i="13"/>
  <c r="X426" i="13"/>
  <c r="W426" i="13"/>
  <c r="U426" i="13"/>
  <c r="T426" i="13"/>
  <c r="S426" i="13"/>
  <c r="R426" i="13"/>
  <c r="Q426" i="13"/>
  <c r="P426" i="13"/>
  <c r="O426" i="13"/>
  <c r="N426" i="13"/>
  <c r="M426" i="13"/>
  <c r="L426" i="13"/>
  <c r="J426" i="13"/>
  <c r="G426" i="13"/>
  <c r="F426" i="13"/>
  <c r="E426" i="13"/>
  <c r="D426" i="13"/>
  <c r="C426" i="13"/>
  <c r="B426" i="13"/>
  <c r="A426" i="13"/>
  <c r="AG425" i="13"/>
  <c r="AF425" i="13"/>
  <c r="AE425" i="13"/>
  <c r="AD425" i="13"/>
  <c r="Z425" i="13"/>
  <c r="Y425" i="13"/>
  <c r="X425" i="13"/>
  <c r="W425" i="13"/>
  <c r="U425" i="13"/>
  <c r="T425" i="13"/>
  <c r="S425" i="13"/>
  <c r="R425" i="13"/>
  <c r="Q425" i="13"/>
  <c r="P425" i="13"/>
  <c r="O425" i="13"/>
  <c r="N425" i="13"/>
  <c r="M425" i="13"/>
  <c r="L425" i="13"/>
  <c r="J425" i="13"/>
  <c r="G425" i="13"/>
  <c r="F425" i="13"/>
  <c r="E425" i="13"/>
  <c r="D425" i="13"/>
  <c r="C425" i="13"/>
  <c r="B425" i="13"/>
  <c r="A425" i="13"/>
  <c r="AG424" i="13"/>
  <c r="AF424" i="13"/>
  <c r="AE424" i="13"/>
  <c r="AD424" i="13"/>
  <c r="Z424" i="13"/>
  <c r="Y424" i="13"/>
  <c r="X424" i="13"/>
  <c r="W424" i="13"/>
  <c r="U424" i="13"/>
  <c r="T424" i="13"/>
  <c r="S424" i="13"/>
  <c r="R424" i="13"/>
  <c r="Q424" i="13"/>
  <c r="P424" i="13"/>
  <c r="O424" i="13"/>
  <c r="N424" i="13"/>
  <c r="M424" i="13"/>
  <c r="L424" i="13"/>
  <c r="J424" i="13"/>
  <c r="G424" i="13"/>
  <c r="F424" i="13"/>
  <c r="E424" i="13"/>
  <c r="D424" i="13"/>
  <c r="C424" i="13"/>
  <c r="B424" i="13"/>
  <c r="A424" i="13"/>
  <c r="AG423" i="13"/>
  <c r="AF423" i="13"/>
  <c r="AE423" i="13"/>
  <c r="AD423" i="13"/>
  <c r="Z423" i="13"/>
  <c r="Y423" i="13"/>
  <c r="X423" i="13"/>
  <c r="W423" i="13"/>
  <c r="U423" i="13"/>
  <c r="T423" i="13"/>
  <c r="S423" i="13"/>
  <c r="R423" i="13"/>
  <c r="Q423" i="13"/>
  <c r="P423" i="13"/>
  <c r="O423" i="13"/>
  <c r="N423" i="13"/>
  <c r="M423" i="13"/>
  <c r="L423" i="13"/>
  <c r="J423" i="13"/>
  <c r="G423" i="13"/>
  <c r="F423" i="13"/>
  <c r="E423" i="13"/>
  <c r="D423" i="13"/>
  <c r="C423" i="13"/>
  <c r="B423" i="13"/>
  <c r="A423" i="13"/>
  <c r="AG422" i="13"/>
  <c r="AF422" i="13"/>
  <c r="AE422" i="13"/>
  <c r="AD422" i="13"/>
  <c r="Z422" i="13"/>
  <c r="Y422" i="13"/>
  <c r="X422" i="13"/>
  <c r="W422" i="13"/>
  <c r="U422" i="13"/>
  <c r="T422" i="13"/>
  <c r="S422" i="13"/>
  <c r="R422" i="13"/>
  <c r="Q422" i="13"/>
  <c r="P422" i="13"/>
  <c r="O422" i="13"/>
  <c r="N422" i="13"/>
  <c r="M422" i="13"/>
  <c r="L422" i="13"/>
  <c r="J422" i="13"/>
  <c r="G422" i="13"/>
  <c r="F422" i="13"/>
  <c r="E422" i="13"/>
  <c r="D422" i="13"/>
  <c r="C422" i="13"/>
  <c r="B422" i="13"/>
  <c r="A422" i="13"/>
  <c r="AG421" i="13"/>
  <c r="AF421" i="13"/>
  <c r="AE421" i="13"/>
  <c r="AD421" i="13"/>
  <c r="Z421" i="13"/>
  <c r="Y421" i="13"/>
  <c r="X421" i="13"/>
  <c r="W421" i="13"/>
  <c r="U421" i="13"/>
  <c r="T421" i="13"/>
  <c r="S421" i="13"/>
  <c r="R421" i="13"/>
  <c r="Q421" i="13"/>
  <c r="P421" i="13"/>
  <c r="O421" i="13"/>
  <c r="N421" i="13"/>
  <c r="M421" i="13"/>
  <c r="L421" i="13"/>
  <c r="J421" i="13"/>
  <c r="G421" i="13"/>
  <c r="F421" i="13"/>
  <c r="E421" i="13"/>
  <c r="D421" i="13"/>
  <c r="C421" i="13"/>
  <c r="B421" i="13"/>
  <c r="A421" i="13"/>
  <c r="AG420" i="13"/>
  <c r="AF420" i="13"/>
  <c r="AE420" i="13"/>
  <c r="AD420" i="13"/>
  <c r="Z420" i="13"/>
  <c r="Y420" i="13"/>
  <c r="X420" i="13"/>
  <c r="W420" i="13"/>
  <c r="U420" i="13"/>
  <c r="T420" i="13"/>
  <c r="S420" i="13"/>
  <c r="R420" i="13"/>
  <c r="Q420" i="13"/>
  <c r="P420" i="13"/>
  <c r="O420" i="13"/>
  <c r="N420" i="13"/>
  <c r="M420" i="13"/>
  <c r="L420" i="13"/>
  <c r="J420" i="13"/>
  <c r="G420" i="13"/>
  <c r="F420" i="13"/>
  <c r="E420" i="13"/>
  <c r="D420" i="13"/>
  <c r="C420" i="13"/>
  <c r="B420" i="13"/>
  <c r="A420" i="13"/>
  <c r="AG419" i="13"/>
  <c r="AF419" i="13"/>
  <c r="AE419" i="13"/>
  <c r="AD419" i="13"/>
  <c r="Z419" i="13"/>
  <c r="Y419" i="13"/>
  <c r="X419" i="13"/>
  <c r="W419" i="13"/>
  <c r="U419" i="13"/>
  <c r="T419" i="13"/>
  <c r="S419" i="13"/>
  <c r="R419" i="13"/>
  <c r="Q419" i="13"/>
  <c r="P419" i="13"/>
  <c r="O419" i="13"/>
  <c r="N419" i="13"/>
  <c r="M419" i="13"/>
  <c r="L419" i="13"/>
  <c r="J419" i="13"/>
  <c r="G419" i="13"/>
  <c r="F419" i="13"/>
  <c r="E419" i="13"/>
  <c r="D419" i="13"/>
  <c r="C419" i="13"/>
  <c r="B419" i="13"/>
  <c r="A419" i="13"/>
  <c r="AG418" i="13"/>
  <c r="AF418" i="13"/>
  <c r="AE418" i="13"/>
  <c r="AD418" i="13"/>
  <c r="Z418" i="13"/>
  <c r="Y418" i="13"/>
  <c r="X418" i="13"/>
  <c r="W418" i="13"/>
  <c r="U418" i="13"/>
  <c r="T418" i="13"/>
  <c r="S418" i="13"/>
  <c r="R418" i="13"/>
  <c r="Q418" i="13"/>
  <c r="P418" i="13"/>
  <c r="O418" i="13"/>
  <c r="N418" i="13"/>
  <c r="M418" i="13"/>
  <c r="L418" i="13"/>
  <c r="J418" i="13"/>
  <c r="G418" i="13"/>
  <c r="F418" i="13"/>
  <c r="E418" i="13"/>
  <c r="D418" i="13"/>
  <c r="C418" i="13"/>
  <c r="B418" i="13"/>
  <c r="A418" i="13"/>
  <c r="AG417" i="13"/>
  <c r="AF417" i="13"/>
  <c r="AE417" i="13"/>
  <c r="AD417" i="13"/>
  <c r="Z417" i="13"/>
  <c r="Y417" i="13"/>
  <c r="X417" i="13"/>
  <c r="W417" i="13"/>
  <c r="U417" i="13"/>
  <c r="T417" i="13"/>
  <c r="S417" i="13"/>
  <c r="R417" i="13"/>
  <c r="Q417" i="13"/>
  <c r="P417" i="13"/>
  <c r="O417" i="13"/>
  <c r="N417" i="13"/>
  <c r="M417" i="13"/>
  <c r="L417" i="13"/>
  <c r="J417" i="13"/>
  <c r="G417" i="13"/>
  <c r="F417" i="13"/>
  <c r="E417" i="13"/>
  <c r="D417" i="13"/>
  <c r="C417" i="13"/>
  <c r="B417" i="13"/>
  <c r="A417" i="13"/>
  <c r="AG416" i="13"/>
  <c r="AF416" i="13"/>
  <c r="AE416" i="13"/>
  <c r="AD416" i="13"/>
  <c r="Z416" i="13"/>
  <c r="Y416" i="13"/>
  <c r="X416" i="13"/>
  <c r="W416" i="13"/>
  <c r="U416" i="13"/>
  <c r="T416" i="13"/>
  <c r="S416" i="13"/>
  <c r="R416" i="13"/>
  <c r="Q416" i="13"/>
  <c r="P416" i="13"/>
  <c r="O416" i="13"/>
  <c r="N416" i="13"/>
  <c r="M416" i="13"/>
  <c r="L416" i="13"/>
  <c r="J416" i="13"/>
  <c r="G416" i="13"/>
  <c r="F416" i="13"/>
  <c r="E416" i="13"/>
  <c r="D416" i="13"/>
  <c r="C416" i="13"/>
  <c r="B416" i="13"/>
  <c r="A416" i="13"/>
  <c r="AG415" i="13"/>
  <c r="AF415" i="13"/>
  <c r="AE415" i="13"/>
  <c r="AD415" i="13"/>
  <c r="Z415" i="13"/>
  <c r="Y415" i="13"/>
  <c r="X415" i="13"/>
  <c r="W415" i="13"/>
  <c r="U415" i="13"/>
  <c r="T415" i="13"/>
  <c r="S415" i="13"/>
  <c r="R415" i="13"/>
  <c r="Q415" i="13"/>
  <c r="P415" i="13"/>
  <c r="O415" i="13"/>
  <c r="N415" i="13"/>
  <c r="M415" i="13"/>
  <c r="L415" i="13"/>
  <c r="J415" i="13"/>
  <c r="G415" i="13"/>
  <c r="F415" i="13"/>
  <c r="E415" i="13"/>
  <c r="D415" i="13"/>
  <c r="C415" i="13"/>
  <c r="B415" i="13"/>
  <c r="A415" i="13"/>
  <c r="AG414" i="13"/>
  <c r="AF414" i="13"/>
  <c r="AE414" i="13"/>
  <c r="AD414" i="13"/>
  <c r="Z414" i="13"/>
  <c r="Y414" i="13"/>
  <c r="X414" i="13"/>
  <c r="W414" i="13"/>
  <c r="U414" i="13"/>
  <c r="T414" i="13"/>
  <c r="S414" i="13"/>
  <c r="R414" i="13"/>
  <c r="Q414" i="13"/>
  <c r="P414" i="13"/>
  <c r="O414" i="13"/>
  <c r="N414" i="13"/>
  <c r="M414" i="13"/>
  <c r="L414" i="13"/>
  <c r="J414" i="13"/>
  <c r="G414" i="13"/>
  <c r="F414" i="13"/>
  <c r="E414" i="13"/>
  <c r="D414" i="13"/>
  <c r="C414" i="13"/>
  <c r="B414" i="13"/>
  <c r="A414" i="13"/>
  <c r="AG413" i="13"/>
  <c r="AF413" i="13"/>
  <c r="AE413" i="13"/>
  <c r="AD413" i="13"/>
  <c r="Z413" i="13"/>
  <c r="Y413" i="13"/>
  <c r="X413" i="13"/>
  <c r="W413" i="13"/>
  <c r="U413" i="13"/>
  <c r="T413" i="13"/>
  <c r="S413" i="13"/>
  <c r="R413" i="13"/>
  <c r="Q413" i="13"/>
  <c r="P413" i="13"/>
  <c r="O413" i="13"/>
  <c r="N413" i="13"/>
  <c r="M413" i="13"/>
  <c r="L413" i="13"/>
  <c r="J413" i="13"/>
  <c r="G413" i="13"/>
  <c r="F413" i="13"/>
  <c r="E413" i="13"/>
  <c r="D413" i="13"/>
  <c r="C413" i="13"/>
  <c r="B413" i="13"/>
  <c r="A413" i="13"/>
  <c r="AG412" i="13"/>
  <c r="AF412" i="13"/>
  <c r="AE412" i="13"/>
  <c r="AD412" i="13"/>
  <c r="Z412" i="13"/>
  <c r="Y412" i="13"/>
  <c r="X412" i="13"/>
  <c r="W412" i="13"/>
  <c r="U412" i="13"/>
  <c r="T412" i="13"/>
  <c r="S412" i="13"/>
  <c r="R412" i="13"/>
  <c r="Q412" i="13"/>
  <c r="P412" i="13"/>
  <c r="O412" i="13"/>
  <c r="N412" i="13"/>
  <c r="M412" i="13"/>
  <c r="L412" i="13"/>
  <c r="J412" i="13"/>
  <c r="G412" i="13"/>
  <c r="F412" i="13"/>
  <c r="E412" i="13"/>
  <c r="D412" i="13"/>
  <c r="C412" i="13"/>
  <c r="B412" i="13"/>
  <c r="A412" i="13"/>
  <c r="AG411" i="13"/>
  <c r="AF411" i="13"/>
  <c r="AE411" i="13"/>
  <c r="AD411" i="13"/>
  <c r="Z411" i="13"/>
  <c r="Y411" i="13"/>
  <c r="X411" i="13"/>
  <c r="W411" i="13"/>
  <c r="U411" i="13"/>
  <c r="T411" i="13"/>
  <c r="S411" i="13"/>
  <c r="R411" i="13"/>
  <c r="Q411" i="13"/>
  <c r="P411" i="13"/>
  <c r="O411" i="13"/>
  <c r="N411" i="13"/>
  <c r="M411" i="13"/>
  <c r="L411" i="13"/>
  <c r="J411" i="13"/>
  <c r="G411" i="13"/>
  <c r="F411" i="13"/>
  <c r="E411" i="13"/>
  <c r="D411" i="13"/>
  <c r="C411" i="13"/>
  <c r="B411" i="13"/>
  <c r="A411" i="13"/>
  <c r="AG410" i="13"/>
  <c r="AF410" i="13"/>
  <c r="AE410" i="13"/>
  <c r="AD410" i="13"/>
  <c r="Z410" i="13"/>
  <c r="Y410" i="13"/>
  <c r="X410" i="13"/>
  <c r="W410" i="13"/>
  <c r="U410" i="13"/>
  <c r="T410" i="13"/>
  <c r="S410" i="13"/>
  <c r="R410" i="13"/>
  <c r="Q410" i="13"/>
  <c r="P410" i="13"/>
  <c r="O410" i="13"/>
  <c r="N410" i="13"/>
  <c r="M410" i="13"/>
  <c r="L410" i="13"/>
  <c r="J410" i="13"/>
  <c r="G410" i="13"/>
  <c r="F410" i="13"/>
  <c r="E410" i="13"/>
  <c r="D410" i="13"/>
  <c r="C410" i="13"/>
  <c r="B410" i="13"/>
  <c r="A410" i="13"/>
  <c r="AG409" i="13"/>
  <c r="AF409" i="13"/>
  <c r="AE409" i="13"/>
  <c r="AD409" i="13"/>
  <c r="Z409" i="13"/>
  <c r="Y409" i="13"/>
  <c r="X409" i="13"/>
  <c r="W409" i="13"/>
  <c r="U409" i="13"/>
  <c r="T409" i="13"/>
  <c r="S409" i="13"/>
  <c r="R409" i="13"/>
  <c r="Q409" i="13"/>
  <c r="P409" i="13"/>
  <c r="O409" i="13"/>
  <c r="N409" i="13"/>
  <c r="M409" i="13"/>
  <c r="L409" i="13"/>
  <c r="J409" i="13"/>
  <c r="G409" i="13"/>
  <c r="F409" i="13"/>
  <c r="E409" i="13"/>
  <c r="D409" i="13"/>
  <c r="C409" i="13"/>
  <c r="B409" i="13"/>
  <c r="A409" i="13"/>
  <c r="AG408" i="13"/>
  <c r="AF408" i="13"/>
  <c r="AE408" i="13"/>
  <c r="AD408" i="13"/>
  <c r="Z408" i="13"/>
  <c r="Y408" i="13"/>
  <c r="X408" i="13"/>
  <c r="W408" i="13"/>
  <c r="U408" i="13"/>
  <c r="T408" i="13"/>
  <c r="S408" i="13"/>
  <c r="R408" i="13"/>
  <c r="Q408" i="13"/>
  <c r="P408" i="13"/>
  <c r="O408" i="13"/>
  <c r="N408" i="13"/>
  <c r="M408" i="13"/>
  <c r="L408" i="13"/>
  <c r="J408" i="13"/>
  <c r="G408" i="13"/>
  <c r="F408" i="13"/>
  <c r="E408" i="13"/>
  <c r="D408" i="13"/>
  <c r="C408" i="13"/>
  <c r="B408" i="13"/>
  <c r="A408" i="13"/>
  <c r="AG407" i="13"/>
  <c r="AF407" i="13"/>
  <c r="AE407" i="13"/>
  <c r="AD407" i="13"/>
  <c r="Z407" i="13"/>
  <c r="Y407" i="13"/>
  <c r="X407" i="13"/>
  <c r="W407" i="13"/>
  <c r="U407" i="13"/>
  <c r="T407" i="13"/>
  <c r="S407" i="13"/>
  <c r="R407" i="13"/>
  <c r="Q407" i="13"/>
  <c r="P407" i="13"/>
  <c r="O407" i="13"/>
  <c r="N407" i="13"/>
  <c r="M407" i="13"/>
  <c r="L407" i="13"/>
  <c r="J407" i="13"/>
  <c r="G407" i="13"/>
  <c r="F407" i="13"/>
  <c r="E407" i="13"/>
  <c r="D407" i="13"/>
  <c r="C407" i="13"/>
  <c r="B407" i="13"/>
  <c r="A407" i="13"/>
  <c r="AG406" i="13"/>
  <c r="AF406" i="13"/>
  <c r="AE406" i="13"/>
  <c r="AD406" i="13"/>
  <c r="Z406" i="13"/>
  <c r="Y406" i="13"/>
  <c r="X406" i="13"/>
  <c r="W406" i="13"/>
  <c r="U406" i="13"/>
  <c r="T406" i="13"/>
  <c r="S406" i="13"/>
  <c r="R406" i="13"/>
  <c r="Q406" i="13"/>
  <c r="P406" i="13"/>
  <c r="O406" i="13"/>
  <c r="N406" i="13"/>
  <c r="M406" i="13"/>
  <c r="L406" i="13"/>
  <c r="J406" i="13"/>
  <c r="G406" i="13"/>
  <c r="F406" i="13"/>
  <c r="E406" i="13"/>
  <c r="D406" i="13"/>
  <c r="C406" i="13"/>
  <c r="B406" i="13"/>
  <c r="A406" i="13"/>
  <c r="AG405" i="13"/>
  <c r="AF405" i="13"/>
  <c r="AE405" i="13"/>
  <c r="AD405" i="13"/>
  <c r="Z405" i="13"/>
  <c r="Y405" i="13"/>
  <c r="X405" i="13"/>
  <c r="W405" i="13"/>
  <c r="U405" i="13"/>
  <c r="T405" i="13"/>
  <c r="S405" i="13"/>
  <c r="R405" i="13"/>
  <c r="Q405" i="13"/>
  <c r="P405" i="13"/>
  <c r="O405" i="13"/>
  <c r="N405" i="13"/>
  <c r="M405" i="13"/>
  <c r="L405" i="13"/>
  <c r="J405" i="13"/>
  <c r="G405" i="13"/>
  <c r="F405" i="13"/>
  <c r="E405" i="13"/>
  <c r="D405" i="13"/>
  <c r="C405" i="13"/>
  <c r="B405" i="13"/>
  <c r="A405" i="13"/>
  <c r="AG404" i="13"/>
  <c r="AF404" i="13"/>
  <c r="AE404" i="13"/>
  <c r="AD404" i="13"/>
  <c r="Z404" i="13"/>
  <c r="Y404" i="13"/>
  <c r="X404" i="13"/>
  <c r="W404" i="13"/>
  <c r="U404" i="13"/>
  <c r="T404" i="13"/>
  <c r="S404" i="13"/>
  <c r="R404" i="13"/>
  <c r="Q404" i="13"/>
  <c r="P404" i="13"/>
  <c r="O404" i="13"/>
  <c r="N404" i="13"/>
  <c r="M404" i="13"/>
  <c r="L404" i="13"/>
  <c r="J404" i="13"/>
  <c r="G404" i="13"/>
  <c r="F404" i="13"/>
  <c r="E404" i="13"/>
  <c r="D404" i="13"/>
  <c r="C404" i="13"/>
  <c r="B404" i="13"/>
  <c r="A404" i="13"/>
  <c r="AG403" i="13"/>
  <c r="AF403" i="13"/>
  <c r="AE403" i="13"/>
  <c r="AD403" i="13"/>
  <c r="Z403" i="13"/>
  <c r="Y403" i="13"/>
  <c r="X403" i="13"/>
  <c r="W403" i="13"/>
  <c r="U403" i="13"/>
  <c r="T403" i="13"/>
  <c r="S403" i="13"/>
  <c r="R403" i="13"/>
  <c r="Q403" i="13"/>
  <c r="P403" i="13"/>
  <c r="O403" i="13"/>
  <c r="N403" i="13"/>
  <c r="M403" i="13"/>
  <c r="L403" i="13"/>
  <c r="J403" i="13"/>
  <c r="G403" i="13"/>
  <c r="F403" i="13"/>
  <c r="E403" i="13"/>
  <c r="D403" i="13"/>
  <c r="C403" i="13"/>
  <c r="B403" i="13"/>
  <c r="A403" i="13"/>
  <c r="AG402" i="13"/>
  <c r="AF402" i="13"/>
  <c r="AE402" i="13"/>
  <c r="AD402" i="13"/>
  <c r="Z402" i="13"/>
  <c r="Y402" i="13"/>
  <c r="X402" i="13"/>
  <c r="W402" i="13"/>
  <c r="U402" i="13"/>
  <c r="T402" i="13"/>
  <c r="S402" i="13"/>
  <c r="R402" i="13"/>
  <c r="Q402" i="13"/>
  <c r="P402" i="13"/>
  <c r="O402" i="13"/>
  <c r="N402" i="13"/>
  <c r="M402" i="13"/>
  <c r="L402" i="13"/>
  <c r="J402" i="13"/>
  <c r="G402" i="13"/>
  <c r="F402" i="13"/>
  <c r="E402" i="13"/>
  <c r="D402" i="13"/>
  <c r="C402" i="13"/>
  <c r="B402" i="13"/>
  <c r="A402" i="13"/>
  <c r="AG401" i="13"/>
  <c r="AF401" i="13"/>
  <c r="AE401" i="13"/>
  <c r="AD401" i="13"/>
  <c r="Z401" i="13"/>
  <c r="Y401" i="13"/>
  <c r="X401" i="13"/>
  <c r="W401" i="13"/>
  <c r="U401" i="13"/>
  <c r="T401" i="13"/>
  <c r="S401" i="13"/>
  <c r="R401" i="13"/>
  <c r="Q401" i="13"/>
  <c r="P401" i="13"/>
  <c r="O401" i="13"/>
  <c r="N401" i="13"/>
  <c r="M401" i="13"/>
  <c r="L401" i="13"/>
  <c r="J401" i="13"/>
  <c r="G401" i="13"/>
  <c r="F401" i="13"/>
  <c r="E401" i="13"/>
  <c r="D401" i="13"/>
  <c r="C401" i="13"/>
  <c r="B401" i="13"/>
  <c r="A401" i="13"/>
  <c r="AG400" i="13"/>
  <c r="AF400" i="13"/>
  <c r="AE400" i="13"/>
  <c r="AD400" i="13"/>
  <c r="Z400" i="13"/>
  <c r="Y400" i="13"/>
  <c r="X400" i="13"/>
  <c r="W400" i="13"/>
  <c r="U400" i="13"/>
  <c r="T400" i="13"/>
  <c r="S400" i="13"/>
  <c r="R400" i="13"/>
  <c r="Q400" i="13"/>
  <c r="P400" i="13"/>
  <c r="O400" i="13"/>
  <c r="N400" i="13"/>
  <c r="M400" i="13"/>
  <c r="L400" i="13"/>
  <c r="J400" i="13"/>
  <c r="G400" i="13"/>
  <c r="F400" i="13"/>
  <c r="E400" i="13"/>
  <c r="D400" i="13"/>
  <c r="C400" i="13"/>
  <c r="B400" i="13"/>
  <c r="A400" i="13"/>
  <c r="AG399" i="13"/>
  <c r="AF399" i="13"/>
  <c r="AE399" i="13"/>
  <c r="AD399" i="13"/>
  <c r="Z399" i="13"/>
  <c r="Y399" i="13"/>
  <c r="X399" i="13"/>
  <c r="W399" i="13"/>
  <c r="U399" i="13"/>
  <c r="T399" i="13"/>
  <c r="S399" i="13"/>
  <c r="R399" i="13"/>
  <c r="Q399" i="13"/>
  <c r="P399" i="13"/>
  <c r="O399" i="13"/>
  <c r="N399" i="13"/>
  <c r="M399" i="13"/>
  <c r="L399" i="13"/>
  <c r="J399" i="13"/>
  <c r="G399" i="13"/>
  <c r="F399" i="13"/>
  <c r="E399" i="13"/>
  <c r="D399" i="13"/>
  <c r="C399" i="13"/>
  <c r="B399" i="13"/>
  <c r="A399" i="13"/>
  <c r="AG398" i="13"/>
  <c r="AF398" i="13"/>
  <c r="AE398" i="13"/>
  <c r="AD398" i="13"/>
  <c r="Z398" i="13"/>
  <c r="Y398" i="13"/>
  <c r="X398" i="13"/>
  <c r="W398" i="13"/>
  <c r="U398" i="13"/>
  <c r="T398" i="13"/>
  <c r="S398" i="13"/>
  <c r="R398" i="13"/>
  <c r="Q398" i="13"/>
  <c r="P398" i="13"/>
  <c r="O398" i="13"/>
  <c r="N398" i="13"/>
  <c r="M398" i="13"/>
  <c r="L398" i="13"/>
  <c r="J398" i="13"/>
  <c r="G398" i="13"/>
  <c r="F398" i="13"/>
  <c r="E398" i="13"/>
  <c r="D398" i="13"/>
  <c r="C398" i="13"/>
  <c r="B398" i="13"/>
  <c r="A398" i="13"/>
  <c r="AG397" i="13"/>
  <c r="AF397" i="13"/>
  <c r="AE397" i="13"/>
  <c r="AD397" i="13"/>
  <c r="Z397" i="13"/>
  <c r="Y397" i="13"/>
  <c r="X397" i="13"/>
  <c r="W397" i="13"/>
  <c r="U397" i="13"/>
  <c r="T397" i="13"/>
  <c r="S397" i="13"/>
  <c r="R397" i="13"/>
  <c r="Q397" i="13"/>
  <c r="P397" i="13"/>
  <c r="O397" i="13"/>
  <c r="N397" i="13"/>
  <c r="M397" i="13"/>
  <c r="L397" i="13"/>
  <c r="J397" i="13"/>
  <c r="G397" i="13"/>
  <c r="F397" i="13"/>
  <c r="E397" i="13"/>
  <c r="D397" i="13"/>
  <c r="C397" i="13"/>
  <c r="B397" i="13"/>
  <c r="A397" i="13"/>
  <c r="AG396" i="13"/>
  <c r="AF396" i="13"/>
  <c r="AE396" i="13"/>
  <c r="AD396" i="13"/>
  <c r="Z396" i="13"/>
  <c r="Y396" i="13"/>
  <c r="X396" i="13"/>
  <c r="W396" i="13"/>
  <c r="U396" i="13"/>
  <c r="T396" i="13"/>
  <c r="S396" i="13"/>
  <c r="R396" i="13"/>
  <c r="Q396" i="13"/>
  <c r="P396" i="13"/>
  <c r="O396" i="13"/>
  <c r="N396" i="13"/>
  <c r="M396" i="13"/>
  <c r="L396" i="13"/>
  <c r="J396" i="13"/>
  <c r="G396" i="13"/>
  <c r="F396" i="13"/>
  <c r="E396" i="13"/>
  <c r="D396" i="13"/>
  <c r="C396" i="13"/>
  <c r="B396" i="13"/>
  <c r="A396" i="13"/>
  <c r="AG395" i="13"/>
  <c r="AF395" i="13"/>
  <c r="AE395" i="13"/>
  <c r="AD395" i="13"/>
  <c r="Z395" i="13"/>
  <c r="Y395" i="13"/>
  <c r="X395" i="13"/>
  <c r="W395" i="13"/>
  <c r="U395" i="13"/>
  <c r="T395" i="13"/>
  <c r="S395" i="13"/>
  <c r="R395" i="13"/>
  <c r="Q395" i="13"/>
  <c r="P395" i="13"/>
  <c r="O395" i="13"/>
  <c r="N395" i="13"/>
  <c r="M395" i="13"/>
  <c r="L395" i="13"/>
  <c r="J395" i="13"/>
  <c r="G395" i="13"/>
  <c r="F395" i="13"/>
  <c r="E395" i="13"/>
  <c r="D395" i="13"/>
  <c r="C395" i="13"/>
  <c r="B395" i="13"/>
  <c r="A395" i="13"/>
  <c r="AG394" i="13"/>
  <c r="AF394" i="13"/>
  <c r="AE394" i="13"/>
  <c r="AD394" i="13"/>
  <c r="Z394" i="13"/>
  <c r="Y394" i="13"/>
  <c r="X394" i="13"/>
  <c r="W394" i="13"/>
  <c r="U394" i="13"/>
  <c r="T394" i="13"/>
  <c r="S394" i="13"/>
  <c r="R394" i="13"/>
  <c r="Q394" i="13"/>
  <c r="P394" i="13"/>
  <c r="O394" i="13"/>
  <c r="N394" i="13"/>
  <c r="M394" i="13"/>
  <c r="L394" i="13"/>
  <c r="J394" i="13"/>
  <c r="G394" i="13"/>
  <c r="F394" i="13"/>
  <c r="E394" i="13"/>
  <c r="D394" i="13"/>
  <c r="C394" i="13"/>
  <c r="B394" i="13"/>
  <c r="A394" i="13"/>
  <c r="AG393" i="13"/>
  <c r="AF393" i="13"/>
  <c r="AE393" i="13"/>
  <c r="AD393" i="13"/>
  <c r="Z393" i="13"/>
  <c r="Y393" i="13"/>
  <c r="X393" i="13"/>
  <c r="W393" i="13"/>
  <c r="U393" i="13"/>
  <c r="T393" i="13"/>
  <c r="S393" i="13"/>
  <c r="R393" i="13"/>
  <c r="Q393" i="13"/>
  <c r="P393" i="13"/>
  <c r="O393" i="13"/>
  <c r="N393" i="13"/>
  <c r="M393" i="13"/>
  <c r="L393" i="13"/>
  <c r="J393" i="13"/>
  <c r="G393" i="13"/>
  <c r="F393" i="13"/>
  <c r="E393" i="13"/>
  <c r="D393" i="13"/>
  <c r="C393" i="13"/>
  <c r="B393" i="13"/>
  <c r="A393" i="13"/>
  <c r="AG392" i="13"/>
  <c r="AF392" i="13"/>
  <c r="AE392" i="13"/>
  <c r="AD392" i="13"/>
  <c r="Z392" i="13"/>
  <c r="Y392" i="13"/>
  <c r="X392" i="13"/>
  <c r="W392" i="13"/>
  <c r="U392" i="13"/>
  <c r="T392" i="13"/>
  <c r="S392" i="13"/>
  <c r="R392" i="13"/>
  <c r="Q392" i="13"/>
  <c r="P392" i="13"/>
  <c r="O392" i="13"/>
  <c r="N392" i="13"/>
  <c r="M392" i="13"/>
  <c r="L392" i="13"/>
  <c r="J392" i="13"/>
  <c r="G392" i="13"/>
  <c r="F392" i="13"/>
  <c r="E392" i="13"/>
  <c r="D392" i="13"/>
  <c r="C392" i="13"/>
  <c r="B392" i="13"/>
  <c r="A392" i="13"/>
  <c r="AG391" i="13"/>
  <c r="AF391" i="13"/>
  <c r="AE391" i="13"/>
  <c r="AD391" i="13"/>
  <c r="Z391" i="13"/>
  <c r="Y391" i="13"/>
  <c r="X391" i="13"/>
  <c r="W391" i="13"/>
  <c r="U391" i="13"/>
  <c r="T391" i="13"/>
  <c r="S391" i="13"/>
  <c r="R391" i="13"/>
  <c r="Q391" i="13"/>
  <c r="P391" i="13"/>
  <c r="O391" i="13"/>
  <c r="N391" i="13"/>
  <c r="M391" i="13"/>
  <c r="L391" i="13"/>
  <c r="J391" i="13"/>
  <c r="G391" i="13"/>
  <c r="F391" i="13"/>
  <c r="E391" i="13"/>
  <c r="D391" i="13"/>
  <c r="C391" i="13"/>
  <c r="B391" i="13"/>
  <c r="A391" i="13"/>
  <c r="AG390" i="13"/>
  <c r="AF390" i="13"/>
  <c r="AE390" i="13"/>
  <c r="AD390" i="13"/>
  <c r="Z390" i="13"/>
  <c r="Y390" i="13"/>
  <c r="X390" i="13"/>
  <c r="W390" i="13"/>
  <c r="U390" i="13"/>
  <c r="T390" i="13"/>
  <c r="S390" i="13"/>
  <c r="R390" i="13"/>
  <c r="Q390" i="13"/>
  <c r="P390" i="13"/>
  <c r="O390" i="13"/>
  <c r="N390" i="13"/>
  <c r="M390" i="13"/>
  <c r="L390" i="13"/>
  <c r="J390" i="13"/>
  <c r="G390" i="13"/>
  <c r="F390" i="13"/>
  <c r="E390" i="13"/>
  <c r="D390" i="13"/>
  <c r="C390" i="13"/>
  <c r="B390" i="13"/>
  <c r="A390" i="13"/>
  <c r="AG389" i="13"/>
  <c r="AF389" i="13"/>
  <c r="AE389" i="13"/>
  <c r="AD389" i="13"/>
  <c r="Z389" i="13"/>
  <c r="Y389" i="13"/>
  <c r="X389" i="13"/>
  <c r="W389" i="13"/>
  <c r="U389" i="13"/>
  <c r="T389" i="13"/>
  <c r="S389" i="13"/>
  <c r="R389" i="13"/>
  <c r="Q389" i="13"/>
  <c r="P389" i="13"/>
  <c r="O389" i="13"/>
  <c r="N389" i="13"/>
  <c r="M389" i="13"/>
  <c r="L389" i="13"/>
  <c r="J389" i="13"/>
  <c r="G389" i="13"/>
  <c r="F389" i="13"/>
  <c r="E389" i="13"/>
  <c r="D389" i="13"/>
  <c r="C389" i="13"/>
  <c r="B389" i="13"/>
  <c r="A389" i="13"/>
  <c r="AG388" i="13"/>
  <c r="AF388" i="13"/>
  <c r="AE388" i="13"/>
  <c r="AD388" i="13"/>
  <c r="Z388" i="13"/>
  <c r="Y388" i="13"/>
  <c r="X388" i="13"/>
  <c r="W388" i="13"/>
  <c r="U388" i="13"/>
  <c r="T388" i="13"/>
  <c r="S388" i="13"/>
  <c r="R388" i="13"/>
  <c r="Q388" i="13"/>
  <c r="P388" i="13"/>
  <c r="O388" i="13"/>
  <c r="N388" i="13"/>
  <c r="M388" i="13"/>
  <c r="L388" i="13"/>
  <c r="J388" i="13"/>
  <c r="G388" i="13"/>
  <c r="F388" i="13"/>
  <c r="E388" i="13"/>
  <c r="D388" i="13"/>
  <c r="C388" i="13"/>
  <c r="B388" i="13"/>
  <c r="A388" i="13"/>
  <c r="AG387" i="13"/>
  <c r="AF387" i="13"/>
  <c r="AE387" i="13"/>
  <c r="AD387" i="13"/>
  <c r="Z387" i="13"/>
  <c r="Y387" i="13"/>
  <c r="X387" i="13"/>
  <c r="W387" i="13"/>
  <c r="U387" i="13"/>
  <c r="T387" i="13"/>
  <c r="S387" i="13"/>
  <c r="R387" i="13"/>
  <c r="Q387" i="13"/>
  <c r="P387" i="13"/>
  <c r="O387" i="13"/>
  <c r="N387" i="13"/>
  <c r="M387" i="13"/>
  <c r="L387" i="13"/>
  <c r="J387" i="13"/>
  <c r="G387" i="13"/>
  <c r="F387" i="13"/>
  <c r="E387" i="13"/>
  <c r="D387" i="13"/>
  <c r="C387" i="13"/>
  <c r="B387" i="13"/>
  <c r="A387" i="13"/>
  <c r="AG386" i="13"/>
  <c r="AF386" i="13"/>
  <c r="AE386" i="13"/>
  <c r="AD386" i="13"/>
  <c r="Z386" i="13"/>
  <c r="Y386" i="13"/>
  <c r="X386" i="13"/>
  <c r="W386" i="13"/>
  <c r="U386" i="13"/>
  <c r="T386" i="13"/>
  <c r="S386" i="13"/>
  <c r="R386" i="13"/>
  <c r="Q386" i="13"/>
  <c r="P386" i="13"/>
  <c r="O386" i="13"/>
  <c r="N386" i="13"/>
  <c r="M386" i="13"/>
  <c r="L386" i="13"/>
  <c r="J386" i="13"/>
  <c r="G386" i="13"/>
  <c r="F386" i="13"/>
  <c r="E386" i="13"/>
  <c r="D386" i="13"/>
  <c r="C386" i="13"/>
  <c r="B386" i="13"/>
  <c r="A386" i="13"/>
  <c r="AG385" i="13"/>
  <c r="AF385" i="13"/>
  <c r="AE385" i="13"/>
  <c r="AD385" i="13"/>
  <c r="Z385" i="13"/>
  <c r="Y385" i="13"/>
  <c r="X385" i="13"/>
  <c r="W385" i="13"/>
  <c r="U385" i="13"/>
  <c r="T385" i="13"/>
  <c r="S385" i="13"/>
  <c r="R385" i="13"/>
  <c r="Q385" i="13"/>
  <c r="P385" i="13"/>
  <c r="O385" i="13"/>
  <c r="N385" i="13"/>
  <c r="M385" i="13"/>
  <c r="L385" i="13"/>
  <c r="J385" i="13"/>
  <c r="G385" i="13"/>
  <c r="F385" i="13"/>
  <c r="E385" i="13"/>
  <c r="D385" i="13"/>
  <c r="C385" i="13"/>
  <c r="B385" i="13"/>
  <c r="A385" i="13"/>
  <c r="AG384" i="13"/>
  <c r="AF384" i="13"/>
  <c r="AE384" i="13"/>
  <c r="AD384" i="13"/>
  <c r="Z384" i="13"/>
  <c r="Y384" i="13"/>
  <c r="X384" i="13"/>
  <c r="W384" i="13"/>
  <c r="U384" i="13"/>
  <c r="T384" i="13"/>
  <c r="S384" i="13"/>
  <c r="R384" i="13"/>
  <c r="Q384" i="13"/>
  <c r="P384" i="13"/>
  <c r="O384" i="13"/>
  <c r="N384" i="13"/>
  <c r="M384" i="13"/>
  <c r="L384" i="13"/>
  <c r="J384" i="13"/>
  <c r="G384" i="13"/>
  <c r="F384" i="13"/>
  <c r="E384" i="13"/>
  <c r="D384" i="13"/>
  <c r="C384" i="13"/>
  <c r="B384" i="13"/>
  <c r="A384" i="13"/>
  <c r="AG383" i="13"/>
  <c r="AF383" i="13"/>
  <c r="AE383" i="13"/>
  <c r="AD383" i="13"/>
  <c r="Z383" i="13"/>
  <c r="Y383" i="13"/>
  <c r="X383" i="13"/>
  <c r="W383" i="13"/>
  <c r="U383" i="13"/>
  <c r="T383" i="13"/>
  <c r="S383" i="13"/>
  <c r="R383" i="13"/>
  <c r="Q383" i="13"/>
  <c r="P383" i="13"/>
  <c r="O383" i="13"/>
  <c r="N383" i="13"/>
  <c r="M383" i="13"/>
  <c r="L383" i="13"/>
  <c r="J383" i="13"/>
  <c r="G383" i="13"/>
  <c r="F383" i="13"/>
  <c r="E383" i="13"/>
  <c r="D383" i="13"/>
  <c r="C383" i="13"/>
  <c r="B383" i="13"/>
  <c r="A383" i="13"/>
  <c r="AG382" i="13"/>
  <c r="AF382" i="13"/>
  <c r="AE382" i="13"/>
  <c r="AD382" i="13"/>
  <c r="Z382" i="13"/>
  <c r="Y382" i="13"/>
  <c r="X382" i="13"/>
  <c r="W382" i="13"/>
  <c r="U382" i="13"/>
  <c r="T382" i="13"/>
  <c r="S382" i="13"/>
  <c r="R382" i="13"/>
  <c r="Q382" i="13"/>
  <c r="P382" i="13"/>
  <c r="O382" i="13"/>
  <c r="N382" i="13"/>
  <c r="M382" i="13"/>
  <c r="L382" i="13"/>
  <c r="J382" i="13"/>
  <c r="G382" i="13"/>
  <c r="F382" i="13"/>
  <c r="E382" i="13"/>
  <c r="D382" i="13"/>
  <c r="C382" i="13"/>
  <c r="B382" i="13"/>
  <c r="A382" i="13"/>
  <c r="AG381" i="13"/>
  <c r="AF381" i="13"/>
  <c r="AE381" i="13"/>
  <c r="AD381" i="13"/>
  <c r="Z381" i="13"/>
  <c r="Y381" i="13"/>
  <c r="X381" i="13"/>
  <c r="W381" i="13"/>
  <c r="U381" i="13"/>
  <c r="T381" i="13"/>
  <c r="S381" i="13"/>
  <c r="R381" i="13"/>
  <c r="Q381" i="13"/>
  <c r="P381" i="13"/>
  <c r="O381" i="13"/>
  <c r="N381" i="13"/>
  <c r="M381" i="13"/>
  <c r="L381" i="13"/>
  <c r="J381" i="13"/>
  <c r="G381" i="13"/>
  <c r="F381" i="13"/>
  <c r="E381" i="13"/>
  <c r="D381" i="13"/>
  <c r="C381" i="13"/>
  <c r="B381" i="13"/>
  <c r="A381" i="13"/>
  <c r="AG380" i="13"/>
  <c r="AF380" i="13"/>
  <c r="AE380" i="13"/>
  <c r="AD380" i="13"/>
  <c r="Z380" i="13"/>
  <c r="Y380" i="13"/>
  <c r="X380" i="13"/>
  <c r="W380" i="13"/>
  <c r="U380" i="13"/>
  <c r="T380" i="13"/>
  <c r="S380" i="13"/>
  <c r="R380" i="13"/>
  <c r="Q380" i="13"/>
  <c r="P380" i="13"/>
  <c r="O380" i="13"/>
  <c r="N380" i="13"/>
  <c r="M380" i="13"/>
  <c r="L380" i="13"/>
  <c r="J380" i="13"/>
  <c r="G380" i="13"/>
  <c r="F380" i="13"/>
  <c r="E380" i="13"/>
  <c r="D380" i="13"/>
  <c r="C380" i="13"/>
  <c r="B380" i="13"/>
  <c r="A380" i="13"/>
  <c r="AG379" i="13"/>
  <c r="AF379" i="13"/>
  <c r="AE379" i="13"/>
  <c r="AD379" i="13"/>
  <c r="Z379" i="13"/>
  <c r="Y379" i="13"/>
  <c r="X379" i="13"/>
  <c r="W379" i="13"/>
  <c r="U379" i="13"/>
  <c r="T379" i="13"/>
  <c r="S379" i="13"/>
  <c r="R379" i="13"/>
  <c r="Q379" i="13"/>
  <c r="P379" i="13"/>
  <c r="O379" i="13"/>
  <c r="N379" i="13"/>
  <c r="M379" i="13"/>
  <c r="L379" i="13"/>
  <c r="J379" i="13"/>
  <c r="G379" i="13"/>
  <c r="F379" i="13"/>
  <c r="E379" i="13"/>
  <c r="D379" i="13"/>
  <c r="C379" i="13"/>
  <c r="B379" i="13"/>
  <c r="A379" i="13"/>
  <c r="AG378" i="13"/>
  <c r="AF378" i="13"/>
  <c r="AE378" i="13"/>
  <c r="AD378" i="13"/>
  <c r="Z378" i="13"/>
  <c r="Y378" i="13"/>
  <c r="X378" i="13"/>
  <c r="W378" i="13"/>
  <c r="U378" i="13"/>
  <c r="T378" i="13"/>
  <c r="S378" i="13"/>
  <c r="R378" i="13"/>
  <c r="Q378" i="13"/>
  <c r="P378" i="13"/>
  <c r="O378" i="13"/>
  <c r="N378" i="13"/>
  <c r="M378" i="13"/>
  <c r="L378" i="13"/>
  <c r="J378" i="13"/>
  <c r="G378" i="13"/>
  <c r="F378" i="13"/>
  <c r="E378" i="13"/>
  <c r="D378" i="13"/>
  <c r="C378" i="13"/>
  <c r="B378" i="13"/>
  <c r="A378" i="13"/>
  <c r="AG377" i="13"/>
  <c r="AF377" i="13"/>
  <c r="AE377" i="13"/>
  <c r="AD377" i="13"/>
  <c r="Z377" i="13"/>
  <c r="Y377" i="13"/>
  <c r="X377" i="13"/>
  <c r="W377" i="13"/>
  <c r="U377" i="13"/>
  <c r="T377" i="13"/>
  <c r="S377" i="13"/>
  <c r="R377" i="13"/>
  <c r="Q377" i="13"/>
  <c r="P377" i="13"/>
  <c r="O377" i="13"/>
  <c r="N377" i="13"/>
  <c r="M377" i="13"/>
  <c r="L377" i="13"/>
  <c r="J377" i="13"/>
  <c r="G377" i="13"/>
  <c r="F377" i="13"/>
  <c r="E377" i="13"/>
  <c r="D377" i="13"/>
  <c r="C377" i="13"/>
  <c r="B377" i="13"/>
  <c r="A377" i="13"/>
  <c r="AG376" i="13"/>
  <c r="AF376" i="13"/>
  <c r="AE376" i="13"/>
  <c r="AD376" i="13"/>
  <c r="Z376" i="13"/>
  <c r="Y376" i="13"/>
  <c r="X376" i="13"/>
  <c r="W376" i="13"/>
  <c r="U376" i="13"/>
  <c r="T376" i="13"/>
  <c r="S376" i="13"/>
  <c r="R376" i="13"/>
  <c r="Q376" i="13"/>
  <c r="P376" i="13"/>
  <c r="O376" i="13"/>
  <c r="N376" i="13"/>
  <c r="M376" i="13"/>
  <c r="L376" i="13"/>
  <c r="J376" i="13"/>
  <c r="G376" i="13"/>
  <c r="F376" i="13"/>
  <c r="E376" i="13"/>
  <c r="D376" i="13"/>
  <c r="C376" i="13"/>
  <c r="B376" i="13"/>
  <c r="A376" i="13"/>
  <c r="AG375" i="13"/>
  <c r="AF375" i="13"/>
  <c r="AE375" i="13"/>
  <c r="AD375" i="13"/>
  <c r="Z375" i="13"/>
  <c r="Y375" i="13"/>
  <c r="X375" i="13"/>
  <c r="W375" i="13"/>
  <c r="U375" i="13"/>
  <c r="T375" i="13"/>
  <c r="S375" i="13"/>
  <c r="R375" i="13"/>
  <c r="Q375" i="13"/>
  <c r="P375" i="13"/>
  <c r="O375" i="13"/>
  <c r="N375" i="13"/>
  <c r="M375" i="13"/>
  <c r="L375" i="13"/>
  <c r="J375" i="13"/>
  <c r="G375" i="13"/>
  <c r="F375" i="13"/>
  <c r="E375" i="13"/>
  <c r="D375" i="13"/>
  <c r="C375" i="13"/>
  <c r="B375" i="13"/>
  <c r="A375" i="13"/>
  <c r="AG374" i="13"/>
  <c r="AF374" i="13"/>
  <c r="AE374" i="13"/>
  <c r="AD374" i="13"/>
  <c r="Z374" i="13"/>
  <c r="Y374" i="13"/>
  <c r="X374" i="13"/>
  <c r="W374" i="13"/>
  <c r="U374" i="13"/>
  <c r="T374" i="13"/>
  <c r="S374" i="13"/>
  <c r="R374" i="13"/>
  <c r="Q374" i="13"/>
  <c r="P374" i="13"/>
  <c r="O374" i="13"/>
  <c r="N374" i="13"/>
  <c r="M374" i="13"/>
  <c r="L374" i="13"/>
  <c r="J374" i="13"/>
  <c r="G374" i="13"/>
  <c r="F374" i="13"/>
  <c r="E374" i="13"/>
  <c r="D374" i="13"/>
  <c r="C374" i="13"/>
  <c r="B374" i="13"/>
  <c r="A374" i="13"/>
  <c r="AG373" i="13"/>
  <c r="AF373" i="13"/>
  <c r="AE373" i="13"/>
  <c r="AD373" i="13"/>
  <c r="Z373" i="13"/>
  <c r="Y373" i="13"/>
  <c r="X373" i="13"/>
  <c r="W373" i="13"/>
  <c r="U373" i="13"/>
  <c r="T373" i="13"/>
  <c r="S373" i="13"/>
  <c r="R373" i="13"/>
  <c r="Q373" i="13"/>
  <c r="P373" i="13"/>
  <c r="O373" i="13"/>
  <c r="N373" i="13"/>
  <c r="M373" i="13"/>
  <c r="L373" i="13"/>
  <c r="J373" i="13"/>
  <c r="G373" i="13"/>
  <c r="F373" i="13"/>
  <c r="E373" i="13"/>
  <c r="D373" i="13"/>
  <c r="C373" i="13"/>
  <c r="B373" i="13"/>
  <c r="A373" i="13"/>
  <c r="AG372" i="13"/>
  <c r="AF372" i="13"/>
  <c r="AE372" i="13"/>
  <c r="AD372" i="13"/>
  <c r="Z372" i="13"/>
  <c r="Y372" i="13"/>
  <c r="X372" i="13"/>
  <c r="W372" i="13"/>
  <c r="U372" i="13"/>
  <c r="T372" i="13"/>
  <c r="S372" i="13"/>
  <c r="R372" i="13"/>
  <c r="Q372" i="13"/>
  <c r="P372" i="13"/>
  <c r="O372" i="13"/>
  <c r="N372" i="13"/>
  <c r="M372" i="13"/>
  <c r="L372" i="13"/>
  <c r="J372" i="13"/>
  <c r="G372" i="13"/>
  <c r="F372" i="13"/>
  <c r="E372" i="13"/>
  <c r="D372" i="13"/>
  <c r="C372" i="13"/>
  <c r="B372" i="13"/>
  <c r="A372" i="13"/>
  <c r="AG371" i="13"/>
  <c r="AF371" i="13"/>
  <c r="AE371" i="13"/>
  <c r="AD371" i="13"/>
  <c r="Z371" i="13"/>
  <c r="Y371" i="13"/>
  <c r="X371" i="13"/>
  <c r="W371" i="13"/>
  <c r="U371" i="13"/>
  <c r="T371" i="13"/>
  <c r="S371" i="13"/>
  <c r="R371" i="13"/>
  <c r="Q371" i="13"/>
  <c r="P371" i="13"/>
  <c r="O371" i="13"/>
  <c r="N371" i="13"/>
  <c r="M371" i="13"/>
  <c r="L371" i="13"/>
  <c r="J371" i="13"/>
  <c r="G371" i="13"/>
  <c r="F371" i="13"/>
  <c r="E371" i="13"/>
  <c r="D371" i="13"/>
  <c r="C371" i="13"/>
  <c r="B371" i="13"/>
  <c r="A371" i="13"/>
  <c r="AG370" i="13"/>
  <c r="AF370" i="13"/>
  <c r="AE370" i="13"/>
  <c r="AD370" i="13"/>
  <c r="Z370" i="13"/>
  <c r="Y370" i="13"/>
  <c r="X370" i="13"/>
  <c r="W370" i="13"/>
  <c r="U370" i="13"/>
  <c r="T370" i="13"/>
  <c r="S370" i="13"/>
  <c r="R370" i="13"/>
  <c r="Q370" i="13"/>
  <c r="P370" i="13"/>
  <c r="O370" i="13"/>
  <c r="N370" i="13"/>
  <c r="M370" i="13"/>
  <c r="L370" i="13"/>
  <c r="J370" i="13"/>
  <c r="G370" i="13"/>
  <c r="F370" i="13"/>
  <c r="E370" i="13"/>
  <c r="D370" i="13"/>
  <c r="C370" i="13"/>
  <c r="B370" i="13"/>
  <c r="A370" i="13"/>
  <c r="AG369" i="13"/>
  <c r="AF369" i="13"/>
  <c r="AE369" i="13"/>
  <c r="AD369" i="13"/>
  <c r="Z369" i="13"/>
  <c r="Y369" i="13"/>
  <c r="X369" i="13"/>
  <c r="W369" i="13"/>
  <c r="U369" i="13"/>
  <c r="T369" i="13"/>
  <c r="S369" i="13"/>
  <c r="R369" i="13"/>
  <c r="Q369" i="13"/>
  <c r="P369" i="13"/>
  <c r="O369" i="13"/>
  <c r="N369" i="13"/>
  <c r="M369" i="13"/>
  <c r="L369" i="13"/>
  <c r="J369" i="13"/>
  <c r="G369" i="13"/>
  <c r="F369" i="13"/>
  <c r="E369" i="13"/>
  <c r="D369" i="13"/>
  <c r="C369" i="13"/>
  <c r="B369" i="13"/>
  <c r="A369" i="13"/>
  <c r="AG368" i="13"/>
  <c r="AF368" i="13"/>
  <c r="AE368" i="13"/>
  <c r="AD368" i="13"/>
  <c r="Z368" i="13"/>
  <c r="Y368" i="13"/>
  <c r="X368" i="13"/>
  <c r="W368" i="13"/>
  <c r="U368" i="13"/>
  <c r="T368" i="13"/>
  <c r="S368" i="13"/>
  <c r="R368" i="13"/>
  <c r="Q368" i="13"/>
  <c r="P368" i="13"/>
  <c r="O368" i="13"/>
  <c r="N368" i="13"/>
  <c r="M368" i="13"/>
  <c r="L368" i="13"/>
  <c r="J368" i="13"/>
  <c r="G368" i="13"/>
  <c r="F368" i="13"/>
  <c r="E368" i="13"/>
  <c r="D368" i="13"/>
  <c r="C368" i="13"/>
  <c r="B368" i="13"/>
  <c r="A368" i="13"/>
  <c r="AG367" i="13"/>
  <c r="AF367" i="13"/>
  <c r="AE367" i="13"/>
  <c r="AD367" i="13"/>
  <c r="Z367" i="13"/>
  <c r="Y367" i="13"/>
  <c r="X367" i="13"/>
  <c r="W367" i="13"/>
  <c r="U367" i="13"/>
  <c r="T367" i="13"/>
  <c r="S367" i="13"/>
  <c r="R367" i="13"/>
  <c r="Q367" i="13"/>
  <c r="P367" i="13"/>
  <c r="O367" i="13"/>
  <c r="N367" i="13"/>
  <c r="M367" i="13"/>
  <c r="L367" i="13"/>
  <c r="J367" i="13"/>
  <c r="G367" i="13"/>
  <c r="F367" i="13"/>
  <c r="E367" i="13"/>
  <c r="D367" i="13"/>
  <c r="C367" i="13"/>
  <c r="B367" i="13"/>
  <c r="A367" i="13"/>
  <c r="AG366" i="13"/>
  <c r="AF366" i="13"/>
  <c r="AE366" i="13"/>
  <c r="AD366" i="13"/>
  <c r="Z366" i="13"/>
  <c r="Y366" i="13"/>
  <c r="X366" i="13"/>
  <c r="W366" i="13"/>
  <c r="U366" i="13"/>
  <c r="T366" i="13"/>
  <c r="S366" i="13"/>
  <c r="R366" i="13"/>
  <c r="Q366" i="13"/>
  <c r="O366" i="13"/>
  <c r="N366" i="13"/>
  <c r="M366" i="13"/>
  <c r="L366" i="13"/>
  <c r="G366" i="13"/>
  <c r="F366" i="13"/>
  <c r="E366" i="13"/>
  <c r="D366" i="13"/>
  <c r="C366" i="13"/>
  <c r="B366" i="13"/>
  <c r="A366" i="13"/>
  <c r="AG365" i="13"/>
  <c r="AF365" i="13"/>
  <c r="AE365" i="13"/>
  <c r="AD365" i="13"/>
  <c r="Z365" i="13"/>
  <c r="Y365" i="13"/>
  <c r="X365" i="13"/>
  <c r="W365" i="13"/>
  <c r="U365" i="13"/>
  <c r="T365" i="13"/>
  <c r="S365" i="13"/>
  <c r="R365" i="13"/>
  <c r="Q365" i="13"/>
  <c r="P365" i="13"/>
  <c r="O365" i="13"/>
  <c r="N365" i="13"/>
  <c r="M365" i="13"/>
  <c r="L365" i="13"/>
  <c r="J365" i="13"/>
  <c r="G365" i="13"/>
  <c r="F365" i="13"/>
  <c r="E365" i="13"/>
  <c r="D365" i="13"/>
  <c r="C365" i="13"/>
  <c r="B365" i="13"/>
  <c r="A365" i="13"/>
  <c r="AG364" i="13"/>
  <c r="AF364" i="13"/>
  <c r="AE364" i="13"/>
  <c r="AD364" i="13"/>
  <c r="Z364" i="13"/>
  <c r="Y364" i="13"/>
  <c r="X364" i="13"/>
  <c r="W364" i="13"/>
  <c r="U364" i="13"/>
  <c r="T364" i="13"/>
  <c r="S364" i="13"/>
  <c r="R364" i="13"/>
  <c r="Q364" i="13"/>
  <c r="P364" i="13"/>
  <c r="O364" i="13"/>
  <c r="N364" i="13"/>
  <c r="M364" i="13"/>
  <c r="L364" i="13"/>
  <c r="J364" i="13"/>
  <c r="G364" i="13"/>
  <c r="F364" i="13"/>
  <c r="E364" i="13"/>
  <c r="D364" i="13"/>
  <c r="C364" i="13"/>
  <c r="B364" i="13"/>
  <c r="A364" i="13"/>
  <c r="AG363" i="13"/>
  <c r="AF363" i="13"/>
  <c r="AE363" i="13"/>
  <c r="AD363" i="13"/>
  <c r="Z363" i="13"/>
  <c r="Y363" i="13"/>
  <c r="X363" i="13"/>
  <c r="W363" i="13"/>
  <c r="U363" i="13"/>
  <c r="T363" i="13"/>
  <c r="S363" i="13"/>
  <c r="R363" i="13"/>
  <c r="Q363" i="13"/>
  <c r="P363" i="13"/>
  <c r="O363" i="13"/>
  <c r="N363" i="13"/>
  <c r="M363" i="13"/>
  <c r="L363" i="13"/>
  <c r="J363" i="13"/>
  <c r="G363" i="13"/>
  <c r="F363" i="13"/>
  <c r="E363" i="13"/>
  <c r="D363" i="13"/>
  <c r="C363" i="13"/>
  <c r="B363" i="13"/>
  <c r="A363" i="13"/>
  <c r="AG362" i="13"/>
  <c r="AF362" i="13"/>
  <c r="AE362" i="13"/>
  <c r="AD362" i="13"/>
  <c r="Z362" i="13"/>
  <c r="Y362" i="13"/>
  <c r="X362" i="13"/>
  <c r="W362" i="13"/>
  <c r="U362" i="13"/>
  <c r="T362" i="13"/>
  <c r="S362" i="13"/>
  <c r="R362" i="13"/>
  <c r="Q362" i="13"/>
  <c r="P362" i="13"/>
  <c r="O362" i="13"/>
  <c r="N362" i="13"/>
  <c r="M362" i="13"/>
  <c r="L362" i="13"/>
  <c r="J362" i="13"/>
  <c r="G362" i="13"/>
  <c r="F362" i="13"/>
  <c r="E362" i="13"/>
  <c r="D362" i="13"/>
  <c r="C362" i="13"/>
  <c r="B362" i="13"/>
  <c r="A362" i="13"/>
  <c r="AG361" i="13"/>
  <c r="AF361" i="13"/>
  <c r="AE361" i="13"/>
  <c r="AD361" i="13"/>
  <c r="Z361" i="13"/>
  <c r="Y361" i="13"/>
  <c r="X361" i="13"/>
  <c r="W361" i="13"/>
  <c r="U361" i="13"/>
  <c r="T361" i="13"/>
  <c r="S361" i="13"/>
  <c r="R361" i="13"/>
  <c r="Q361" i="13"/>
  <c r="P361" i="13"/>
  <c r="O361" i="13"/>
  <c r="N361" i="13"/>
  <c r="M361" i="13"/>
  <c r="L361" i="13"/>
  <c r="J361" i="13"/>
  <c r="G361" i="13"/>
  <c r="F361" i="13"/>
  <c r="E361" i="13"/>
  <c r="D361" i="13"/>
  <c r="C361" i="13"/>
  <c r="B361" i="13"/>
  <c r="A361" i="13"/>
  <c r="AG360" i="13"/>
  <c r="AF360" i="13"/>
  <c r="AE360" i="13"/>
  <c r="AD360" i="13"/>
  <c r="Z360" i="13"/>
  <c r="Y360" i="13"/>
  <c r="X360" i="13"/>
  <c r="W360" i="13"/>
  <c r="U360" i="13"/>
  <c r="T360" i="13"/>
  <c r="S360" i="13"/>
  <c r="R360" i="13"/>
  <c r="Q360" i="13"/>
  <c r="P360" i="13"/>
  <c r="O360" i="13"/>
  <c r="N360" i="13"/>
  <c r="M360" i="13"/>
  <c r="L360" i="13"/>
  <c r="J360" i="13"/>
  <c r="G360" i="13"/>
  <c r="F360" i="13"/>
  <c r="E360" i="13"/>
  <c r="D360" i="13"/>
  <c r="C360" i="13"/>
  <c r="B360" i="13"/>
  <c r="A360" i="13"/>
  <c r="AG359" i="13"/>
  <c r="AF359" i="13"/>
  <c r="AE359" i="13"/>
  <c r="AD359" i="13"/>
  <c r="Z359" i="13"/>
  <c r="Y359" i="13"/>
  <c r="X359" i="13"/>
  <c r="U359" i="13"/>
  <c r="T359" i="13"/>
  <c r="S359" i="13"/>
  <c r="R359" i="13"/>
  <c r="Q359" i="13"/>
  <c r="O359" i="13"/>
  <c r="N359" i="13"/>
  <c r="M359" i="13"/>
  <c r="L359" i="13"/>
  <c r="F359" i="13"/>
  <c r="E359" i="13"/>
  <c r="D359" i="13"/>
  <c r="C359" i="13"/>
  <c r="B359" i="13"/>
  <c r="A359" i="13"/>
  <c r="AG358" i="13"/>
  <c r="AF358" i="13"/>
  <c r="AE358" i="13"/>
  <c r="AD358" i="13"/>
  <c r="Z358" i="13"/>
  <c r="Y358" i="13"/>
  <c r="X358" i="13"/>
  <c r="U358" i="13"/>
  <c r="T358" i="13"/>
  <c r="S358" i="13"/>
  <c r="R358" i="13"/>
  <c r="Q358" i="13"/>
  <c r="O358" i="13"/>
  <c r="N358" i="13"/>
  <c r="M358" i="13"/>
  <c r="L358" i="13"/>
  <c r="F358" i="13"/>
  <c r="E358" i="13"/>
  <c r="D358" i="13"/>
  <c r="C358" i="13"/>
  <c r="B358" i="13"/>
  <c r="A358" i="13"/>
  <c r="AG357" i="13"/>
  <c r="AF357" i="13"/>
  <c r="AE357" i="13"/>
  <c r="AD357" i="13"/>
  <c r="Z357" i="13"/>
  <c r="Y357" i="13"/>
  <c r="X357" i="13"/>
  <c r="U357" i="13"/>
  <c r="T357" i="13"/>
  <c r="S357" i="13"/>
  <c r="R357" i="13"/>
  <c r="Q357" i="13"/>
  <c r="O357" i="13"/>
  <c r="N357" i="13"/>
  <c r="M357" i="13"/>
  <c r="L357" i="13"/>
  <c r="F357" i="13"/>
  <c r="E357" i="13"/>
  <c r="D357" i="13"/>
  <c r="C357" i="13"/>
  <c r="B357" i="13"/>
  <c r="A357" i="13"/>
  <c r="AG356" i="13"/>
  <c r="AF356" i="13"/>
  <c r="AE356" i="13"/>
  <c r="AD356" i="13"/>
  <c r="Z356" i="13"/>
  <c r="Y356" i="13"/>
  <c r="X356" i="13"/>
  <c r="U356" i="13"/>
  <c r="T356" i="13"/>
  <c r="S356" i="13"/>
  <c r="R356" i="13"/>
  <c r="Q356" i="13"/>
  <c r="O356" i="13"/>
  <c r="N356" i="13"/>
  <c r="M356" i="13"/>
  <c r="L356" i="13"/>
  <c r="F356" i="13"/>
  <c r="E356" i="13"/>
  <c r="D356" i="13"/>
  <c r="C356" i="13"/>
  <c r="B356" i="13"/>
  <c r="A356" i="13"/>
  <c r="AG355" i="13"/>
  <c r="AF355" i="13"/>
  <c r="AE355" i="13"/>
  <c r="AD355" i="13"/>
  <c r="Z355" i="13"/>
  <c r="Y355" i="13"/>
  <c r="X355" i="13"/>
  <c r="U355" i="13"/>
  <c r="T355" i="13"/>
  <c r="S355" i="13"/>
  <c r="R355" i="13"/>
  <c r="Q355" i="13"/>
  <c r="O355" i="13"/>
  <c r="N355" i="13"/>
  <c r="M355" i="13"/>
  <c r="L355" i="13"/>
  <c r="F355" i="13"/>
  <c r="E355" i="13"/>
  <c r="D355" i="13"/>
  <c r="C355" i="13"/>
  <c r="B355" i="13"/>
  <c r="A355" i="13"/>
  <c r="AG354" i="13"/>
  <c r="AF354" i="13"/>
  <c r="AE354" i="13"/>
  <c r="AD354" i="13"/>
  <c r="Z354" i="13"/>
  <c r="Y354" i="13"/>
  <c r="X354" i="13"/>
  <c r="U354" i="13"/>
  <c r="T354" i="13"/>
  <c r="S354" i="13"/>
  <c r="R354" i="13"/>
  <c r="Q354" i="13"/>
  <c r="O354" i="13"/>
  <c r="N354" i="13"/>
  <c r="M354" i="13"/>
  <c r="L354" i="13"/>
  <c r="F354" i="13"/>
  <c r="E354" i="13"/>
  <c r="D354" i="13"/>
  <c r="C354" i="13"/>
  <c r="B354" i="13"/>
  <c r="A354" i="13"/>
  <c r="AG353" i="13"/>
  <c r="AF353" i="13"/>
  <c r="AE353" i="13"/>
  <c r="AD353" i="13"/>
  <c r="Z353" i="13"/>
  <c r="Y353" i="13"/>
  <c r="X353" i="13"/>
  <c r="U353" i="13"/>
  <c r="T353" i="13"/>
  <c r="S353" i="13"/>
  <c r="R353" i="13"/>
  <c r="Q353" i="13"/>
  <c r="O353" i="13"/>
  <c r="N353" i="13"/>
  <c r="M353" i="13"/>
  <c r="L353" i="13"/>
  <c r="F353" i="13"/>
  <c r="E353" i="13"/>
  <c r="D353" i="13"/>
  <c r="C353" i="13"/>
  <c r="B353" i="13"/>
  <c r="A353" i="13"/>
  <c r="AG352" i="13"/>
  <c r="AF352" i="13"/>
  <c r="AE352" i="13"/>
  <c r="AD352" i="13"/>
  <c r="Z352" i="13"/>
  <c r="Y352" i="13"/>
  <c r="X352" i="13"/>
  <c r="U352" i="13"/>
  <c r="T352" i="13"/>
  <c r="S352" i="13"/>
  <c r="R352" i="13"/>
  <c r="Q352" i="13"/>
  <c r="O352" i="13"/>
  <c r="N352" i="13"/>
  <c r="M352" i="13"/>
  <c r="L352" i="13"/>
  <c r="F352" i="13"/>
  <c r="E352" i="13"/>
  <c r="D352" i="13"/>
  <c r="C352" i="13"/>
  <c r="B352" i="13"/>
  <c r="A352" i="13"/>
  <c r="AG351" i="13"/>
  <c r="AF351" i="13"/>
  <c r="AE351" i="13"/>
  <c r="AD351" i="13"/>
  <c r="Z351" i="13"/>
  <c r="Y351" i="13"/>
  <c r="X351" i="13"/>
  <c r="U351" i="13"/>
  <c r="T351" i="13"/>
  <c r="S351" i="13"/>
  <c r="R351" i="13"/>
  <c r="Q351" i="13"/>
  <c r="O351" i="13"/>
  <c r="N351" i="13"/>
  <c r="M351" i="13"/>
  <c r="L351" i="13"/>
  <c r="F351" i="13"/>
  <c r="E351" i="13"/>
  <c r="D351" i="13"/>
  <c r="C351" i="13"/>
  <c r="B351" i="13"/>
  <c r="A351" i="13"/>
  <c r="AG350" i="13"/>
  <c r="AF350" i="13"/>
  <c r="AE350" i="13"/>
  <c r="AD350" i="13"/>
  <c r="Z350" i="13"/>
  <c r="Y350" i="13"/>
  <c r="X350" i="13"/>
  <c r="U350" i="13"/>
  <c r="T350" i="13"/>
  <c r="S350" i="13"/>
  <c r="R350" i="13"/>
  <c r="Q350" i="13"/>
  <c r="O350" i="13"/>
  <c r="N350" i="13"/>
  <c r="M350" i="13"/>
  <c r="L350" i="13"/>
  <c r="F350" i="13"/>
  <c r="E350" i="13"/>
  <c r="D350" i="13"/>
  <c r="C350" i="13"/>
  <c r="B350" i="13"/>
  <c r="A350" i="13"/>
  <c r="AG349" i="13"/>
  <c r="AF349" i="13"/>
  <c r="AE349" i="13"/>
  <c r="AD349" i="13"/>
  <c r="Z349" i="13"/>
  <c r="Y349" i="13"/>
  <c r="X349" i="13"/>
  <c r="U349" i="13"/>
  <c r="T349" i="13"/>
  <c r="S349" i="13"/>
  <c r="R349" i="13"/>
  <c r="Q349" i="13"/>
  <c r="O349" i="13"/>
  <c r="N349" i="13"/>
  <c r="M349" i="13"/>
  <c r="L349" i="13"/>
  <c r="F349" i="13"/>
  <c r="E349" i="13"/>
  <c r="D349" i="13"/>
  <c r="C349" i="13"/>
  <c r="B349" i="13"/>
  <c r="A349" i="13"/>
  <c r="AG348" i="13"/>
  <c r="AF348" i="13"/>
  <c r="AE348" i="13"/>
  <c r="AD348" i="13"/>
  <c r="Z348" i="13"/>
  <c r="Y348" i="13"/>
  <c r="X348" i="13"/>
  <c r="U348" i="13"/>
  <c r="T348" i="13"/>
  <c r="S348" i="13"/>
  <c r="R348" i="13"/>
  <c r="Q348" i="13"/>
  <c r="O348" i="13"/>
  <c r="N348" i="13"/>
  <c r="M348" i="13"/>
  <c r="L348" i="13"/>
  <c r="F348" i="13"/>
  <c r="E348" i="13"/>
  <c r="D348" i="13"/>
  <c r="C348" i="13"/>
  <c r="B348" i="13"/>
  <c r="A348" i="13"/>
  <c r="AG347" i="13"/>
  <c r="AF347" i="13"/>
  <c r="AE347" i="13"/>
  <c r="AD347" i="13"/>
  <c r="Z347" i="13"/>
  <c r="Y347" i="13"/>
  <c r="X347" i="13"/>
  <c r="U347" i="13"/>
  <c r="T347" i="13"/>
  <c r="S347" i="13"/>
  <c r="R347" i="13"/>
  <c r="Q347" i="13"/>
  <c r="O347" i="13"/>
  <c r="N347" i="13"/>
  <c r="M347" i="13"/>
  <c r="L347" i="13"/>
  <c r="F347" i="13"/>
  <c r="E347" i="13"/>
  <c r="D347" i="13"/>
  <c r="C347" i="13"/>
  <c r="B347" i="13"/>
  <c r="A347" i="13"/>
  <c r="AG346" i="13"/>
  <c r="AF346" i="13"/>
  <c r="AE346" i="13"/>
  <c r="AD346" i="13"/>
  <c r="Z346" i="13"/>
  <c r="Y346" i="13"/>
  <c r="X346" i="13"/>
  <c r="U346" i="13"/>
  <c r="T346" i="13"/>
  <c r="S346" i="13"/>
  <c r="R346" i="13"/>
  <c r="Q346" i="13"/>
  <c r="O346" i="13"/>
  <c r="N346" i="13"/>
  <c r="M346" i="13"/>
  <c r="L346" i="13"/>
  <c r="F346" i="13"/>
  <c r="E346" i="13"/>
  <c r="D346" i="13"/>
  <c r="C346" i="13"/>
  <c r="B346" i="13"/>
  <c r="A346" i="13"/>
  <c r="AG345" i="13"/>
  <c r="AF345" i="13"/>
  <c r="AE345" i="13"/>
  <c r="AD345" i="13"/>
  <c r="Z345" i="13"/>
  <c r="Y345" i="13"/>
  <c r="X345" i="13"/>
  <c r="U345" i="13"/>
  <c r="T345" i="13"/>
  <c r="S345" i="13"/>
  <c r="R345" i="13"/>
  <c r="Q345" i="13"/>
  <c r="O345" i="13"/>
  <c r="N345" i="13"/>
  <c r="M345" i="13"/>
  <c r="L345" i="13"/>
  <c r="F345" i="13"/>
  <c r="E345" i="13"/>
  <c r="D345" i="13"/>
  <c r="C345" i="13"/>
  <c r="B345" i="13"/>
  <c r="A345" i="13"/>
  <c r="AG344" i="13"/>
  <c r="AF344" i="13"/>
  <c r="AE344" i="13"/>
  <c r="AD344" i="13"/>
  <c r="Z344" i="13"/>
  <c r="Y344" i="13"/>
  <c r="X344" i="13"/>
  <c r="U344" i="13"/>
  <c r="T344" i="13"/>
  <c r="S344" i="13"/>
  <c r="R344" i="13"/>
  <c r="Q344" i="13"/>
  <c r="O344" i="13"/>
  <c r="N344" i="13"/>
  <c r="M344" i="13"/>
  <c r="L344" i="13"/>
  <c r="F344" i="13"/>
  <c r="E344" i="13"/>
  <c r="D344" i="13"/>
  <c r="C344" i="13"/>
  <c r="B344" i="13"/>
  <c r="A344" i="13"/>
  <c r="AG343" i="13"/>
  <c r="AF343" i="13"/>
  <c r="AE343" i="13"/>
  <c r="AD343" i="13"/>
  <c r="Z343" i="13"/>
  <c r="Y343" i="13"/>
  <c r="X343" i="13"/>
  <c r="U343" i="13"/>
  <c r="T343" i="13"/>
  <c r="S343" i="13"/>
  <c r="R343" i="13"/>
  <c r="Q343" i="13"/>
  <c r="O343" i="13"/>
  <c r="N343" i="13"/>
  <c r="M343" i="13"/>
  <c r="L343" i="13"/>
  <c r="F343" i="13"/>
  <c r="E343" i="13"/>
  <c r="D343" i="13"/>
  <c r="C343" i="13"/>
  <c r="B343" i="13"/>
  <c r="A343" i="13"/>
  <c r="AG342" i="13"/>
  <c r="AF342" i="13"/>
  <c r="AE342" i="13"/>
  <c r="AD342" i="13"/>
  <c r="Z342" i="13"/>
  <c r="Y342" i="13"/>
  <c r="X342" i="13"/>
  <c r="U342" i="13"/>
  <c r="T342" i="13"/>
  <c r="S342" i="13"/>
  <c r="R342" i="13"/>
  <c r="Q342" i="13"/>
  <c r="O342" i="13"/>
  <c r="N342" i="13"/>
  <c r="M342" i="13"/>
  <c r="L342" i="13"/>
  <c r="F342" i="13"/>
  <c r="E342" i="13"/>
  <c r="D342" i="13"/>
  <c r="C342" i="13"/>
  <c r="B342" i="13"/>
  <c r="A342" i="13"/>
  <c r="AG341" i="13"/>
  <c r="AF341" i="13"/>
  <c r="AE341" i="13"/>
  <c r="AD341" i="13"/>
  <c r="Z341" i="13"/>
  <c r="Y341" i="13"/>
  <c r="X341" i="13"/>
  <c r="W341" i="13"/>
  <c r="U341" i="13"/>
  <c r="T341" i="13"/>
  <c r="S341" i="13"/>
  <c r="R341" i="13"/>
  <c r="Q341" i="13"/>
  <c r="P341" i="13"/>
  <c r="O341" i="13"/>
  <c r="N341" i="13"/>
  <c r="M341" i="13"/>
  <c r="L341" i="13"/>
  <c r="J341" i="13"/>
  <c r="G341" i="13"/>
  <c r="F341" i="13"/>
  <c r="E341" i="13"/>
  <c r="D341" i="13"/>
  <c r="C341" i="13"/>
  <c r="B341" i="13"/>
  <c r="A341" i="13"/>
  <c r="AG340" i="13"/>
  <c r="AF340" i="13"/>
  <c r="AE340" i="13"/>
  <c r="AD340" i="13"/>
  <c r="Z340" i="13"/>
  <c r="Y340" i="13"/>
  <c r="X340" i="13"/>
  <c r="W340" i="13"/>
  <c r="U340" i="13"/>
  <c r="T340" i="13"/>
  <c r="S340" i="13"/>
  <c r="R340" i="13"/>
  <c r="Q340" i="13"/>
  <c r="P340" i="13"/>
  <c r="O340" i="13"/>
  <c r="N340" i="13"/>
  <c r="M340" i="13"/>
  <c r="L340" i="13"/>
  <c r="J340" i="13"/>
  <c r="G340" i="13"/>
  <c r="F340" i="13"/>
  <c r="E340" i="13"/>
  <c r="D340" i="13"/>
  <c r="C340" i="13"/>
  <c r="B340" i="13"/>
  <c r="A340" i="13"/>
  <c r="AG339" i="13"/>
  <c r="AF339" i="13"/>
  <c r="AE339" i="13"/>
  <c r="AD339" i="13"/>
  <c r="Z339" i="13"/>
  <c r="Y339" i="13"/>
  <c r="X339" i="13"/>
  <c r="W339" i="13"/>
  <c r="U339" i="13"/>
  <c r="T339" i="13"/>
  <c r="S339" i="13"/>
  <c r="R339" i="13"/>
  <c r="Q339" i="13"/>
  <c r="P339" i="13"/>
  <c r="O339" i="13"/>
  <c r="N339" i="13"/>
  <c r="M339" i="13"/>
  <c r="L339" i="13"/>
  <c r="J339" i="13"/>
  <c r="G339" i="13"/>
  <c r="F339" i="13"/>
  <c r="E339" i="13"/>
  <c r="D339" i="13"/>
  <c r="C339" i="13"/>
  <c r="B339" i="13"/>
  <c r="A339" i="13"/>
  <c r="AG338" i="13"/>
  <c r="AF338" i="13"/>
  <c r="AE338" i="13"/>
  <c r="AD338" i="13"/>
  <c r="Z338" i="13"/>
  <c r="Y338" i="13"/>
  <c r="X338" i="13"/>
  <c r="W338" i="13"/>
  <c r="U338" i="13"/>
  <c r="T338" i="13"/>
  <c r="S338" i="13"/>
  <c r="R338" i="13"/>
  <c r="Q338" i="13"/>
  <c r="P338" i="13"/>
  <c r="O338" i="13"/>
  <c r="N338" i="13"/>
  <c r="M338" i="13"/>
  <c r="L338" i="13"/>
  <c r="J338" i="13"/>
  <c r="G338" i="13"/>
  <c r="F338" i="13"/>
  <c r="E338" i="13"/>
  <c r="D338" i="13"/>
  <c r="C338" i="13"/>
  <c r="B338" i="13"/>
  <c r="A338" i="13"/>
  <c r="AG337" i="13"/>
  <c r="AF337" i="13"/>
  <c r="AE337" i="13"/>
  <c r="AD337" i="13"/>
  <c r="Z337" i="13"/>
  <c r="Y337" i="13"/>
  <c r="X337" i="13"/>
  <c r="W337" i="13"/>
  <c r="U337" i="13"/>
  <c r="T337" i="13"/>
  <c r="S337" i="13"/>
  <c r="R337" i="13"/>
  <c r="Q337" i="13"/>
  <c r="P337" i="13"/>
  <c r="O337" i="13"/>
  <c r="N337" i="13"/>
  <c r="M337" i="13"/>
  <c r="L337" i="13"/>
  <c r="J337" i="13"/>
  <c r="G337" i="13"/>
  <c r="F337" i="13"/>
  <c r="E337" i="13"/>
  <c r="D337" i="13"/>
  <c r="C337" i="13"/>
  <c r="B337" i="13"/>
  <c r="A337" i="13"/>
  <c r="AG336" i="13"/>
  <c r="AF336" i="13"/>
  <c r="AE336" i="13"/>
  <c r="AD336" i="13"/>
  <c r="Z336" i="13"/>
  <c r="Y336" i="13"/>
  <c r="X336" i="13"/>
  <c r="W336" i="13"/>
  <c r="U336" i="13"/>
  <c r="T336" i="13"/>
  <c r="S336" i="13"/>
  <c r="R336" i="13"/>
  <c r="Q336" i="13"/>
  <c r="P336" i="13"/>
  <c r="O336" i="13"/>
  <c r="N336" i="13"/>
  <c r="M336" i="13"/>
  <c r="L336" i="13"/>
  <c r="J336" i="13"/>
  <c r="G336" i="13"/>
  <c r="F336" i="13"/>
  <c r="E336" i="13"/>
  <c r="D336" i="13"/>
  <c r="C336" i="13"/>
  <c r="B336" i="13"/>
  <c r="A336" i="13"/>
  <c r="AG335" i="13"/>
  <c r="AF335" i="13"/>
  <c r="AE335" i="13"/>
  <c r="AD335" i="13"/>
  <c r="Z335" i="13"/>
  <c r="Y335" i="13"/>
  <c r="X335" i="13"/>
  <c r="W335" i="13"/>
  <c r="U335" i="13"/>
  <c r="T335" i="13"/>
  <c r="S335" i="13"/>
  <c r="R335" i="13"/>
  <c r="Q335" i="13"/>
  <c r="P335" i="13"/>
  <c r="O335" i="13"/>
  <c r="N335" i="13"/>
  <c r="M335" i="13"/>
  <c r="L335" i="13"/>
  <c r="J335" i="13"/>
  <c r="G335" i="13"/>
  <c r="F335" i="13"/>
  <c r="E335" i="13"/>
  <c r="D335" i="13"/>
  <c r="C335" i="13"/>
  <c r="B335" i="13"/>
  <c r="A335" i="13"/>
  <c r="AG334" i="13"/>
  <c r="AF334" i="13"/>
  <c r="AE334" i="13"/>
  <c r="AD334" i="13"/>
  <c r="Z334" i="13"/>
  <c r="Y334" i="13"/>
  <c r="X334" i="13"/>
  <c r="W334" i="13"/>
  <c r="U334" i="13"/>
  <c r="T334" i="13"/>
  <c r="S334" i="13"/>
  <c r="R334" i="13"/>
  <c r="Q334" i="13"/>
  <c r="P334" i="13"/>
  <c r="O334" i="13"/>
  <c r="N334" i="13"/>
  <c r="M334" i="13"/>
  <c r="L334" i="13"/>
  <c r="J334" i="13"/>
  <c r="G334" i="13"/>
  <c r="F334" i="13"/>
  <c r="E334" i="13"/>
  <c r="D334" i="13"/>
  <c r="C334" i="13"/>
  <c r="B334" i="13"/>
  <c r="A334" i="13"/>
  <c r="AG333" i="13"/>
  <c r="AF333" i="13"/>
  <c r="AE333" i="13"/>
  <c r="AD333" i="13"/>
  <c r="Z333" i="13"/>
  <c r="Y333" i="13"/>
  <c r="X333" i="13"/>
  <c r="W333" i="13"/>
  <c r="U333" i="13"/>
  <c r="T333" i="13"/>
  <c r="S333" i="13"/>
  <c r="R333" i="13"/>
  <c r="Q333" i="13"/>
  <c r="P333" i="13"/>
  <c r="O333" i="13"/>
  <c r="N333" i="13"/>
  <c r="M333" i="13"/>
  <c r="L333" i="13"/>
  <c r="J333" i="13"/>
  <c r="G333" i="13"/>
  <c r="F333" i="13"/>
  <c r="E333" i="13"/>
  <c r="D333" i="13"/>
  <c r="C333" i="13"/>
  <c r="B333" i="13"/>
  <c r="A333" i="13"/>
  <c r="AG332" i="13"/>
  <c r="AF332" i="13"/>
  <c r="AE332" i="13"/>
  <c r="AD332" i="13"/>
  <c r="Z332" i="13"/>
  <c r="Y332" i="13"/>
  <c r="X332" i="13"/>
  <c r="W332" i="13"/>
  <c r="U332" i="13"/>
  <c r="T332" i="13"/>
  <c r="S332" i="13"/>
  <c r="R332" i="13"/>
  <c r="Q332" i="13"/>
  <c r="P332" i="13"/>
  <c r="O332" i="13"/>
  <c r="N332" i="13"/>
  <c r="M332" i="13"/>
  <c r="L332" i="13"/>
  <c r="J332" i="13"/>
  <c r="G332" i="13"/>
  <c r="F332" i="13"/>
  <c r="E332" i="13"/>
  <c r="D332" i="13"/>
  <c r="C332" i="13"/>
  <c r="B332" i="13"/>
  <c r="A332" i="13"/>
  <c r="AG331" i="13"/>
  <c r="AF331" i="13"/>
  <c r="AE331" i="13"/>
  <c r="AD331" i="13"/>
  <c r="Z331" i="13"/>
  <c r="Y331" i="13"/>
  <c r="X331" i="13"/>
  <c r="W331" i="13"/>
  <c r="U331" i="13"/>
  <c r="T331" i="13"/>
  <c r="S331" i="13"/>
  <c r="R331" i="13"/>
  <c r="Q331" i="13"/>
  <c r="P331" i="13"/>
  <c r="O331" i="13"/>
  <c r="N331" i="13"/>
  <c r="M331" i="13"/>
  <c r="L331" i="13"/>
  <c r="J331" i="13"/>
  <c r="G331" i="13"/>
  <c r="F331" i="13"/>
  <c r="E331" i="13"/>
  <c r="D331" i="13"/>
  <c r="C331" i="13"/>
  <c r="B331" i="13"/>
  <c r="A331" i="13"/>
  <c r="AG330" i="13"/>
  <c r="AF330" i="13"/>
  <c r="AE330" i="13"/>
  <c r="AD330" i="13"/>
  <c r="Z330" i="13"/>
  <c r="Y330" i="13"/>
  <c r="X330" i="13"/>
  <c r="W330" i="13"/>
  <c r="U330" i="13"/>
  <c r="T330" i="13"/>
  <c r="S330" i="13"/>
  <c r="R330" i="13"/>
  <c r="Q330" i="13"/>
  <c r="P330" i="13"/>
  <c r="O330" i="13"/>
  <c r="N330" i="13"/>
  <c r="M330" i="13"/>
  <c r="L330" i="13"/>
  <c r="J330" i="13"/>
  <c r="G330" i="13"/>
  <c r="F330" i="13"/>
  <c r="E330" i="13"/>
  <c r="D330" i="13"/>
  <c r="C330" i="13"/>
  <c r="B330" i="13"/>
  <c r="A330" i="13"/>
  <c r="AG329" i="13"/>
  <c r="AF329" i="13"/>
  <c r="AE329" i="13"/>
  <c r="AD329" i="13"/>
  <c r="Z329" i="13"/>
  <c r="Y329" i="13"/>
  <c r="X329" i="13"/>
  <c r="W329" i="13"/>
  <c r="U329" i="13"/>
  <c r="T329" i="13"/>
  <c r="S329" i="13"/>
  <c r="R329" i="13"/>
  <c r="Q329" i="13"/>
  <c r="P329" i="13"/>
  <c r="O329" i="13"/>
  <c r="N329" i="13"/>
  <c r="M329" i="13"/>
  <c r="L329" i="13"/>
  <c r="J329" i="13"/>
  <c r="G329" i="13"/>
  <c r="F329" i="13"/>
  <c r="E329" i="13"/>
  <c r="D329" i="13"/>
  <c r="C329" i="13"/>
  <c r="B329" i="13"/>
  <c r="A329" i="13"/>
  <c r="AG328" i="13"/>
  <c r="AF328" i="13"/>
  <c r="AE328" i="13"/>
  <c r="AD328" i="13"/>
  <c r="Z328" i="13"/>
  <c r="Y328" i="13"/>
  <c r="X328" i="13"/>
  <c r="W328" i="13"/>
  <c r="U328" i="13"/>
  <c r="T328" i="13"/>
  <c r="S328" i="13"/>
  <c r="R328" i="13"/>
  <c r="Q328" i="13"/>
  <c r="P328" i="13"/>
  <c r="O328" i="13"/>
  <c r="N328" i="13"/>
  <c r="M328" i="13"/>
  <c r="L328" i="13"/>
  <c r="J328" i="13"/>
  <c r="G328" i="13"/>
  <c r="F328" i="13"/>
  <c r="E328" i="13"/>
  <c r="D328" i="13"/>
  <c r="C328" i="13"/>
  <c r="B328" i="13"/>
  <c r="A328" i="13"/>
  <c r="AH327" i="13"/>
  <c r="AG327" i="13"/>
  <c r="AF327" i="13"/>
  <c r="AE327" i="13"/>
  <c r="AD327" i="13"/>
  <c r="Z327" i="13"/>
  <c r="Y327" i="13"/>
  <c r="X327" i="13"/>
  <c r="W327" i="13"/>
  <c r="U327" i="13"/>
  <c r="T327" i="13"/>
  <c r="S327" i="13"/>
  <c r="R327" i="13"/>
  <c r="Q327" i="13"/>
  <c r="P327" i="13"/>
  <c r="O327" i="13"/>
  <c r="N327" i="13"/>
  <c r="M327" i="13"/>
  <c r="L327" i="13"/>
  <c r="J327" i="13"/>
  <c r="G327" i="13"/>
  <c r="F327" i="13"/>
  <c r="E327" i="13"/>
  <c r="D327" i="13"/>
  <c r="C327" i="13"/>
  <c r="B327" i="13"/>
  <c r="A327" i="13"/>
  <c r="AG326" i="13"/>
  <c r="AF326" i="13"/>
  <c r="AE326" i="13"/>
  <c r="AD326" i="13"/>
  <c r="Z326" i="13"/>
  <c r="Y326" i="13"/>
  <c r="X326" i="13"/>
  <c r="W326" i="13"/>
  <c r="U326" i="13"/>
  <c r="T326" i="13"/>
  <c r="S326" i="13"/>
  <c r="R326" i="13"/>
  <c r="Q326" i="13"/>
  <c r="P326" i="13"/>
  <c r="O326" i="13"/>
  <c r="N326" i="13"/>
  <c r="M326" i="13"/>
  <c r="L326" i="13"/>
  <c r="J326" i="13"/>
  <c r="G326" i="13"/>
  <c r="F326" i="13"/>
  <c r="E326" i="13"/>
  <c r="D326" i="13"/>
  <c r="C326" i="13"/>
  <c r="B326" i="13"/>
  <c r="A326" i="13"/>
  <c r="AG325" i="13"/>
  <c r="AF325" i="13"/>
  <c r="AE325" i="13"/>
  <c r="AD325" i="13"/>
  <c r="Z325" i="13"/>
  <c r="Y325" i="13"/>
  <c r="X325" i="13"/>
  <c r="W325" i="13"/>
  <c r="U325" i="13"/>
  <c r="T325" i="13"/>
  <c r="S325" i="13"/>
  <c r="R325" i="13"/>
  <c r="Q325" i="13"/>
  <c r="P325" i="13"/>
  <c r="O325" i="13"/>
  <c r="N325" i="13"/>
  <c r="M325" i="13"/>
  <c r="L325" i="13"/>
  <c r="J325" i="13"/>
  <c r="G325" i="13"/>
  <c r="F325" i="13"/>
  <c r="E325" i="13"/>
  <c r="D325" i="13"/>
  <c r="C325" i="13"/>
  <c r="B325" i="13"/>
  <c r="A325" i="13"/>
  <c r="AG324" i="13"/>
  <c r="AF324" i="13"/>
  <c r="AE324" i="13"/>
  <c r="AD324" i="13"/>
  <c r="Z324" i="13"/>
  <c r="Y324" i="13"/>
  <c r="X324" i="13"/>
  <c r="W324" i="13"/>
  <c r="U324" i="13"/>
  <c r="T324" i="13"/>
  <c r="S324" i="13"/>
  <c r="R324" i="13"/>
  <c r="Q324" i="13"/>
  <c r="P324" i="13"/>
  <c r="O324" i="13"/>
  <c r="N324" i="13"/>
  <c r="M324" i="13"/>
  <c r="L324" i="13"/>
  <c r="J324" i="13"/>
  <c r="G324" i="13"/>
  <c r="F324" i="13"/>
  <c r="E324" i="13"/>
  <c r="D324" i="13"/>
  <c r="C324" i="13"/>
  <c r="B324" i="13"/>
  <c r="A324" i="13"/>
  <c r="AG323" i="13"/>
  <c r="AF323" i="13"/>
  <c r="AE323" i="13"/>
  <c r="AD323" i="13"/>
  <c r="Z323" i="13"/>
  <c r="Y323" i="13"/>
  <c r="X323" i="13"/>
  <c r="W323" i="13"/>
  <c r="U323" i="13"/>
  <c r="T323" i="13"/>
  <c r="S323" i="13"/>
  <c r="R323" i="13"/>
  <c r="Q323" i="13"/>
  <c r="P323" i="13"/>
  <c r="O323" i="13"/>
  <c r="N323" i="13"/>
  <c r="M323" i="13"/>
  <c r="L323" i="13"/>
  <c r="J323" i="13"/>
  <c r="G323" i="13"/>
  <c r="F323" i="13"/>
  <c r="E323" i="13"/>
  <c r="D323" i="13"/>
  <c r="C323" i="13"/>
  <c r="B323" i="13"/>
  <c r="A323" i="13"/>
  <c r="AG322" i="13"/>
  <c r="AF322" i="13"/>
  <c r="AE322" i="13"/>
  <c r="AD322" i="13"/>
  <c r="Z322" i="13"/>
  <c r="Y322" i="13"/>
  <c r="X322" i="13"/>
  <c r="W322" i="13"/>
  <c r="U322" i="13"/>
  <c r="T322" i="13"/>
  <c r="S322" i="13"/>
  <c r="R322" i="13"/>
  <c r="Q322" i="13"/>
  <c r="P322" i="13"/>
  <c r="O322" i="13"/>
  <c r="N322" i="13"/>
  <c r="M322" i="13"/>
  <c r="L322" i="13"/>
  <c r="J322" i="13"/>
  <c r="G322" i="13"/>
  <c r="F322" i="13"/>
  <c r="E322" i="13"/>
  <c r="D322" i="13"/>
  <c r="C322" i="13"/>
  <c r="B322" i="13"/>
  <c r="A322" i="13"/>
  <c r="AG321" i="13"/>
  <c r="AF321" i="13"/>
  <c r="AE321" i="13"/>
  <c r="AD321" i="13"/>
  <c r="Z321" i="13"/>
  <c r="Y321" i="13"/>
  <c r="X321" i="13"/>
  <c r="W321" i="13"/>
  <c r="U321" i="13"/>
  <c r="T321" i="13"/>
  <c r="S321" i="13"/>
  <c r="R321" i="13"/>
  <c r="Q321" i="13"/>
  <c r="P321" i="13"/>
  <c r="O321" i="13"/>
  <c r="N321" i="13"/>
  <c r="M321" i="13"/>
  <c r="L321" i="13"/>
  <c r="J321" i="13"/>
  <c r="G321" i="13"/>
  <c r="F321" i="13"/>
  <c r="E321" i="13"/>
  <c r="D321" i="13"/>
  <c r="C321" i="13"/>
  <c r="B321" i="13"/>
  <c r="A321" i="13"/>
  <c r="AG320" i="13"/>
  <c r="AF320" i="13"/>
  <c r="AE320" i="13"/>
  <c r="AD320" i="13"/>
  <c r="Z320" i="13"/>
  <c r="Y320" i="13"/>
  <c r="X320" i="13"/>
  <c r="W320" i="13"/>
  <c r="U320" i="13"/>
  <c r="T320" i="13"/>
  <c r="S320" i="13"/>
  <c r="R320" i="13"/>
  <c r="Q320" i="13"/>
  <c r="P320" i="13"/>
  <c r="O320" i="13"/>
  <c r="N320" i="13"/>
  <c r="M320" i="13"/>
  <c r="L320" i="13"/>
  <c r="J320" i="13"/>
  <c r="G320" i="13"/>
  <c r="F320" i="13"/>
  <c r="E320" i="13"/>
  <c r="D320" i="13"/>
  <c r="C320" i="13"/>
  <c r="B320" i="13"/>
  <c r="A320" i="13"/>
  <c r="AG319" i="13"/>
  <c r="AF319" i="13"/>
  <c r="AE319" i="13"/>
  <c r="AD319" i="13"/>
  <c r="Z319" i="13"/>
  <c r="Y319" i="13"/>
  <c r="X319" i="13"/>
  <c r="W319" i="13"/>
  <c r="U319" i="13"/>
  <c r="T319" i="13"/>
  <c r="S319" i="13"/>
  <c r="R319" i="13"/>
  <c r="Q319" i="13"/>
  <c r="P319" i="13"/>
  <c r="O319" i="13"/>
  <c r="N319" i="13"/>
  <c r="M319" i="13"/>
  <c r="L319" i="13"/>
  <c r="J319" i="13"/>
  <c r="G319" i="13"/>
  <c r="F319" i="13"/>
  <c r="E319" i="13"/>
  <c r="D319" i="13"/>
  <c r="C319" i="13"/>
  <c r="B319" i="13"/>
  <c r="A319" i="13"/>
  <c r="AG318" i="13"/>
  <c r="AF318" i="13"/>
  <c r="AE318" i="13"/>
  <c r="AD318" i="13"/>
  <c r="Z318" i="13"/>
  <c r="Y318" i="13"/>
  <c r="X318" i="13"/>
  <c r="W318" i="13"/>
  <c r="U318" i="13"/>
  <c r="T318" i="13"/>
  <c r="S318" i="13"/>
  <c r="R318" i="13"/>
  <c r="Q318" i="13"/>
  <c r="P318" i="13"/>
  <c r="O318" i="13"/>
  <c r="N318" i="13"/>
  <c r="M318" i="13"/>
  <c r="L318" i="13"/>
  <c r="J318" i="13"/>
  <c r="G318" i="13"/>
  <c r="F318" i="13"/>
  <c r="E318" i="13"/>
  <c r="D318" i="13"/>
  <c r="C318" i="13"/>
  <c r="B318" i="13"/>
  <c r="A318" i="13"/>
  <c r="AG317" i="13"/>
  <c r="AF317" i="13"/>
  <c r="AE317" i="13"/>
  <c r="AD317" i="13"/>
  <c r="Z317" i="13"/>
  <c r="Y317" i="13"/>
  <c r="X317" i="13"/>
  <c r="W317" i="13"/>
  <c r="U317" i="13"/>
  <c r="T317" i="13"/>
  <c r="S317" i="13"/>
  <c r="R317" i="13"/>
  <c r="Q317" i="13"/>
  <c r="P317" i="13"/>
  <c r="O317" i="13"/>
  <c r="N317" i="13"/>
  <c r="M317" i="13"/>
  <c r="L317" i="13"/>
  <c r="J317" i="13"/>
  <c r="G317" i="13"/>
  <c r="F317" i="13"/>
  <c r="E317" i="13"/>
  <c r="D317" i="13"/>
  <c r="C317" i="13"/>
  <c r="B317" i="13"/>
  <c r="A317" i="13"/>
  <c r="AG316" i="13"/>
  <c r="AF316" i="13"/>
  <c r="AE316" i="13"/>
  <c r="AD316" i="13"/>
  <c r="Z316" i="13"/>
  <c r="Y316" i="13"/>
  <c r="X316" i="13"/>
  <c r="W316" i="13"/>
  <c r="U316" i="13"/>
  <c r="T316" i="13"/>
  <c r="S316" i="13"/>
  <c r="R316" i="13"/>
  <c r="Q316" i="13"/>
  <c r="P316" i="13"/>
  <c r="O316" i="13"/>
  <c r="N316" i="13"/>
  <c r="M316" i="13"/>
  <c r="L316" i="13"/>
  <c r="J316" i="13"/>
  <c r="G316" i="13"/>
  <c r="F316" i="13"/>
  <c r="E316" i="13"/>
  <c r="D316" i="13"/>
  <c r="C316" i="13"/>
  <c r="B316" i="13"/>
  <c r="A316" i="13"/>
  <c r="AG315" i="13"/>
  <c r="AF315" i="13"/>
  <c r="AE315" i="13"/>
  <c r="AD315" i="13"/>
  <c r="Z315" i="13"/>
  <c r="Y315" i="13"/>
  <c r="X315" i="13"/>
  <c r="W315" i="13"/>
  <c r="U315" i="13"/>
  <c r="T315" i="13"/>
  <c r="S315" i="13"/>
  <c r="R315" i="13"/>
  <c r="Q315" i="13"/>
  <c r="P315" i="13"/>
  <c r="O315" i="13"/>
  <c r="N315" i="13"/>
  <c r="M315" i="13"/>
  <c r="L315" i="13"/>
  <c r="J315" i="13"/>
  <c r="G315" i="13"/>
  <c r="F315" i="13"/>
  <c r="E315" i="13"/>
  <c r="D315" i="13"/>
  <c r="C315" i="13"/>
  <c r="B315" i="13"/>
  <c r="A315" i="13"/>
  <c r="AG314" i="13"/>
  <c r="AF314" i="13"/>
  <c r="AE314" i="13"/>
  <c r="AD314" i="13"/>
  <c r="Z314" i="13"/>
  <c r="Y314" i="13"/>
  <c r="X314" i="13"/>
  <c r="W314" i="13"/>
  <c r="U314" i="13"/>
  <c r="T314" i="13"/>
  <c r="S314" i="13"/>
  <c r="R314" i="13"/>
  <c r="Q314" i="13"/>
  <c r="P314" i="13"/>
  <c r="O314" i="13"/>
  <c r="N314" i="13"/>
  <c r="M314" i="13"/>
  <c r="L314" i="13"/>
  <c r="J314" i="13"/>
  <c r="G314" i="13"/>
  <c r="F314" i="13"/>
  <c r="E314" i="13"/>
  <c r="D314" i="13"/>
  <c r="C314" i="13"/>
  <c r="B314" i="13"/>
  <c r="A314" i="13"/>
  <c r="AG313" i="13"/>
  <c r="AF313" i="13"/>
  <c r="AE313" i="13"/>
  <c r="AD313" i="13"/>
  <c r="Z313" i="13"/>
  <c r="Y313" i="13"/>
  <c r="X313" i="13"/>
  <c r="W313" i="13"/>
  <c r="U313" i="13"/>
  <c r="T313" i="13"/>
  <c r="S313" i="13"/>
  <c r="R313" i="13"/>
  <c r="Q313" i="13"/>
  <c r="P313" i="13"/>
  <c r="O313" i="13"/>
  <c r="N313" i="13"/>
  <c r="M313" i="13"/>
  <c r="L313" i="13"/>
  <c r="J313" i="13"/>
  <c r="G313" i="13"/>
  <c r="F313" i="13"/>
  <c r="E313" i="13"/>
  <c r="D313" i="13"/>
  <c r="C313" i="13"/>
  <c r="B313" i="13"/>
  <c r="A313" i="13"/>
  <c r="AG312" i="13"/>
  <c r="AF312" i="13"/>
  <c r="AE312" i="13"/>
  <c r="AD312" i="13"/>
  <c r="Z312" i="13"/>
  <c r="Y312" i="13"/>
  <c r="X312" i="13"/>
  <c r="W312" i="13"/>
  <c r="U312" i="13"/>
  <c r="T312" i="13"/>
  <c r="S312" i="13"/>
  <c r="R312" i="13"/>
  <c r="Q312" i="13"/>
  <c r="P312" i="13"/>
  <c r="O312" i="13"/>
  <c r="N312" i="13"/>
  <c r="M312" i="13"/>
  <c r="L312" i="13"/>
  <c r="J312" i="13"/>
  <c r="G312" i="13"/>
  <c r="F312" i="13"/>
  <c r="E312" i="13"/>
  <c r="D312" i="13"/>
  <c r="C312" i="13"/>
  <c r="B312" i="13"/>
  <c r="A312" i="13"/>
  <c r="AG311" i="13"/>
  <c r="AF311" i="13"/>
  <c r="AE311" i="13"/>
  <c r="AD311" i="13"/>
  <c r="Z311" i="13"/>
  <c r="Y311" i="13"/>
  <c r="X311" i="13"/>
  <c r="W311" i="13"/>
  <c r="U311" i="13"/>
  <c r="T311" i="13"/>
  <c r="S311" i="13"/>
  <c r="R311" i="13"/>
  <c r="Q311" i="13"/>
  <c r="P311" i="13"/>
  <c r="O311" i="13"/>
  <c r="N311" i="13"/>
  <c r="M311" i="13"/>
  <c r="L311" i="13"/>
  <c r="J311" i="13"/>
  <c r="G311" i="13"/>
  <c r="F311" i="13"/>
  <c r="E311" i="13"/>
  <c r="D311" i="13"/>
  <c r="C311" i="13"/>
  <c r="B311" i="13"/>
  <c r="A311" i="13"/>
  <c r="AG310" i="13"/>
  <c r="AF310" i="13"/>
  <c r="AE310" i="13"/>
  <c r="AD310" i="13"/>
  <c r="Z310" i="13"/>
  <c r="Y310" i="13"/>
  <c r="X310" i="13"/>
  <c r="W310" i="13"/>
  <c r="U310" i="13"/>
  <c r="T310" i="13"/>
  <c r="S310" i="13"/>
  <c r="R310" i="13"/>
  <c r="Q310" i="13"/>
  <c r="P310" i="13"/>
  <c r="O310" i="13"/>
  <c r="N310" i="13"/>
  <c r="M310" i="13"/>
  <c r="L310" i="13"/>
  <c r="J310" i="13"/>
  <c r="G310" i="13"/>
  <c r="F310" i="13"/>
  <c r="E310" i="13"/>
  <c r="D310" i="13"/>
  <c r="C310" i="13"/>
  <c r="B310" i="13"/>
  <c r="A310" i="13"/>
  <c r="AG309" i="13"/>
  <c r="AF309" i="13"/>
  <c r="AE309" i="13"/>
  <c r="AD309" i="13"/>
  <c r="Z309" i="13"/>
  <c r="Y309" i="13"/>
  <c r="X309" i="13"/>
  <c r="W309" i="13"/>
  <c r="U309" i="13"/>
  <c r="T309" i="13"/>
  <c r="S309" i="13"/>
  <c r="R309" i="13"/>
  <c r="Q309" i="13"/>
  <c r="P309" i="13"/>
  <c r="O309" i="13"/>
  <c r="N309" i="13"/>
  <c r="M309" i="13"/>
  <c r="L309" i="13"/>
  <c r="J309" i="13"/>
  <c r="G309" i="13"/>
  <c r="F309" i="13"/>
  <c r="E309" i="13"/>
  <c r="D309" i="13"/>
  <c r="C309" i="13"/>
  <c r="B309" i="13"/>
  <c r="A309" i="13"/>
  <c r="AG308" i="13"/>
  <c r="AF308" i="13"/>
  <c r="AE308" i="13"/>
  <c r="AD308" i="13"/>
  <c r="Z308" i="13"/>
  <c r="Y308" i="13"/>
  <c r="X308" i="13"/>
  <c r="W308" i="13"/>
  <c r="U308" i="13"/>
  <c r="T308" i="13"/>
  <c r="S308" i="13"/>
  <c r="R308" i="13"/>
  <c r="Q308" i="13"/>
  <c r="P308" i="13"/>
  <c r="O308" i="13"/>
  <c r="N308" i="13"/>
  <c r="M308" i="13"/>
  <c r="L308" i="13"/>
  <c r="J308" i="13"/>
  <c r="G308" i="13"/>
  <c r="F308" i="13"/>
  <c r="E308" i="13"/>
  <c r="D308" i="13"/>
  <c r="C308" i="13"/>
  <c r="B308" i="13"/>
  <c r="A308" i="13"/>
  <c r="AG307" i="13"/>
  <c r="AF307" i="13"/>
  <c r="AE307" i="13"/>
  <c r="AD307" i="13"/>
  <c r="Z307" i="13"/>
  <c r="Y307" i="13"/>
  <c r="X307" i="13"/>
  <c r="W307" i="13"/>
  <c r="U307" i="13"/>
  <c r="T307" i="13"/>
  <c r="S307" i="13"/>
  <c r="R307" i="13"/>
  <c r="Q307" i="13"/>
  <c r="P307" i="13"/>
  <c r="O307" i="13"/>
  <c r="N307" i="13"/>
  <c r="M307" i="13"/>
  <c r="L307" i="13"/>
  <c r="J307" i="13"/>
  <c r="G307" i="13"/>
  <c r="F307" i="13"/>
  <c r="E307" i="13"/>
  <c r="D307" i="13"/>
  <c r="C307" i="13"/>
  <c r="B307" i="13"/>
  <c r="A307" i="13"/>
  <c r="AG306" i="13"/>
  <c r="AF306" i="13"/>
  <c r="AE306" i="13"/>
  <c r="AD306" i="13"/>
  <c r="Z306" i="13"/>
  <c r="Y306" i="13"/>
  <c r="X306" i="13"/>
  <c r="W306" i="13"/>
  <c r="U306" i="13"/>
  <c r="T306" i="13"/>
  <c r="S306" i="13"/>
  <c r="R306" i="13"/>
  <c r="Q306" i="13"/>
  <c r="P306" i="13"/>
  <c r="O306" i="13"/>
  <c r="N306" i="13"/>
  <c r="M306" i="13"/>
  <c r="L306" i="13"/>
  <c r="J306" i="13"/>
  <c r="G306" i="13"/>
  <c r="F306" i="13"/>
  <c r="E306" i="13"/>
  <c r="D306" i="13"/>
  <c r="C306" i="13"/>
  <c r="B306" i="13"/>
  <c r="A306" i="13"/>
  <c r="AG305" i="13"/>
  <c r="AF305" i="13"/>
  <c r="AE305" i="13"/>
  <c r="AD305" i="13"/>
  <c r="Z305" i="13"/>
  <c r="Y305" i="13"/>
  <c r="X305" i="13"/>
  <c r="W305" i="13"/>
  <c r="U305" i="13"/>
  <c r="T305" i="13"/>
  <c r="S305" i="13"/>
  <c r="R305" i="13"/>
  <c r="Q305" i="13"/>
  <c r="P305" i="13"/>
  <c r="O305" i="13"/>
  <c r="N305" i="13"/>
  <c r="M305" i="13"/>
  <c r="L305" i="13"/>
  <c r="J305" i="13"/>
  <c r="G305" i="13"/>
  <c r="F305" i="13"/>
  <c r="E305" i="13"/>
  <c r="D305" i="13"/>
  <c r="C305" i="13"/>
  <c r="B305" i="13"/>
  <c r="A305" i="13"/>
  <c r="AG304" i="13"/>
  <c r="AF304" i="13"/>
  <c r="AE304" i="13"/>
  <c r="AD304" i="13"/>
  <c r="Z304" i="13"/>
  <c r="Y304" i="13"/>
  <c r="X304" i="13"/>
  <c r="W304" i="13"/>
  <c r="U304" i="13"/>
  <c r="T304" i="13"/>
  <c r="S304" i="13"/>
  <c r="R304" i="13"/>
  <c r="Q304" i="13"/>
  <c r="P304" i="13"/>
  <c r="O304" i="13"/>
  <c r="N304" i="13"/>
  <c r="M304" i="13"/>
  <c r="L304" i="13"/>
  <c r="J304" i="13"/>
  <c r="G304" i="13"/>
  <c r="F304" i="13"/>
  <c r="E304" i="13"/>
  <c r="D304" i="13"/>
  <c r="C304" i="13"/>
  <c r="B304" i="13"/>
  <c r="A304" i="13"/>
  <c r="AG303" i="13"/>
  <c r="AF303" i="13"/>
  <c r="AE303" i="13"/>
  <c r="AD303" i="13"/>
  <c r="Z303" i="13"/>
  <c r="Y303" i="13"/>
  <c r="X303" i="13"/>
  <c r="W303" i="13"/>
  <c r="U303" i="13"/>
  <c r="T303" i="13"/>
  <c r="S303" i="13"/>
  <c r="R303" i="13"/>
  <c r="Q303" i="13"/>
  <c r="P303" i="13"/>
  <c r="O303" i="13"/>
  <c r="N303" i="13"/>
  <c r="M303" i="13"/>
  <c r="L303" i="13"/>
  <c r="J303" i="13"/>
  <c r="G303" i="13"/>
  <c r="F303" i="13"/>
  <c r="E303" i="13"/>
  <c r="D303" i="13"/>
  <c r="C303" i="13"/>
  <c r="B303" i="13"/>
  <c r="A303" i="13"/>
  <c r="AG302" i="13"/>
  <c r="AF302" i="13"/>
  <c r="AE302" i="13"/>
  <c r="AD302" i="13"/>
  <c r="Z302" i="13"/>
  <c r="Y302" i="13"/>
  <c r="X302" i="13"/>
  <c r="W302" i="13"/>
  <c r="U302" i="13"/>
  <c r="T302" i="13"/>
  <c r="S302" i="13"/>
  <c r="R302" i="13"/>
  <c r="Q302" i="13"/>
  <c r="P302" i="13"/>
  <c r="O302" i="13"/>
  <c r="N302" i="13"/>
  <c r="M302" i="13"/>
  <c r="L302" i="13"/>
  <c r="J302" i="13"/>
  <c r="G302" i="13"/>
  <c r="F302" i="13"/>
  <c r="E302" i="13"/>
  <c r="D302" i="13"/>
  <c r="C302" i="13"/>
  <c r="B302" i="13"/>
  <c r="A302" i="13"/>
  <c r="AG301" i="13"/>
  <c r="AF301" i="13"/>
  <c r="AE301" i="13"/>
  <c r="AD301" i="13"/>
  <c r="Z301" i="13"/>
  <c r="Y301" i="13"/>
  <c r="X301" i="13"/>
  <c r="W301" i="13"/>
  <c r="U301" i="13"/>
  <c r="T301" i="13"/>
  <c r="S301" i="13"/>
  <c r="R301" i="13"/>
  <c r="Q301" i="13"/>
  <c r="P301" i="13"/>
  <c r="O301" i="13"/>
  <c r="N301" i="13"/>
  <c r="M301" i="13"/>
  <c r="L301" i="13"/>
  <c r="J301" i="13"/>
  <c r="G301" i="13"/>
  <c r="F301" i="13"/>
  <c r="E301" i="13"/>
  <c r="D301" i="13"/>
  <c r="C301" i="13"/>
  <c r="B301" i="13"/>
  <c r="A301" i="13"/>
  <c r="AG300" i="13"/>
  <c r="AF300" i="13"/>
  <c r="AE300" i="13"/>
  <c r="AD300" i="13"/>
  <c r="Z300" i="13"/>
  <c r="Y300" i="13"/>
  <c r="X300" i="13"/>
  <c r="W300" i="13"/>
  <c r="U300" i="13"/>
  <c r="T300" i="13"/>
  <c r="S300" i="13"/>
  <c r="R300" i="13"/>
  <c r="Q300" i="13"/>
  <c r="P300" i="13"/>
  <c r="O300" i="13"/>
  <c r="N300" i="13"/>
  <c r="M300" i="13"/>
  <c r="L300" i="13"/>
  <c r="J300" i="13"/>
  <c r="G300" i="13"/>
  <c r="F300" i="13"/>
  <c r="E300" i="13"/>
  <c r="D300" i="13"/>
  <c r="C300" i="13"/>
  <c r="B300" i="13"/>
  <c r="A300" i="13"/>
  <c r="AG299" i="13"/>
  <c r="AF299" i="13"/>
  <c r="AE299" i="13"/>
  <c r="AD299" i="13"/>
  <c r="Z299" i="13"/>
  <c r="Y299" i="13"/>
  <c r="X299" i="13"/>
  <c r="W299" i="13"/>
  <c r="U299" i="13"/>
  <c r="T299" i="13"/>
  <c r="S299" i="13"/>
  <c r="R299" i="13"/>
  <c r="Q299" i="13"/>
  <c r="P299" i="13"/>
  <c r="O299" i="13"/>
  <c r="N299" i="13"/>
  <c r="M299" i="13"/>
  <c r="L299" i="13"/>
  <c r="J299" i="13"/>
  <c r="G299" i="13"/>
  <c r="F299" i="13"/>
  <c r="E299" i="13"/>
  <c r="D299" i="13"/>
  <c r="C299" i="13"/>
  <c r="B299" i="13"/>
  <c r="A299" i="13"/>
  <c r="AG298" i="13"/>
  <c r="AF298" i="13"/>
  <c r="AE298" i="13"/>
  <c r="AD298" i="13"/>
  <c r="Z298" i="13"/>
  <c r="Y298" i="13"/>
  <c r="X298" i="13"/>
  <c r="W298" i="13"/>
  <c r="U298" i="13"/>
  <c r="T298" i="13"/>
  <c r="S298" i="13"/>
  <c r="R298" i="13"/>
  <c r="Q298" i="13"/>
  <c r="P298" i="13"/>
  <c r="O298" i="13"/>
  <c r="N298" i="13"/>
  <c r="M298" i="13"/>
  <c r="L298" i="13"/>
  <c r="J298" i="13"/>
  <c r="G298" i="13"/>
  <c r="F298" i="13"/>
  <c r="E298" i="13"/>
  <c r="D298" i="13"/>
  <c r="C298" i="13"/>
  <c r="B298" i="13"/>
  <c r="A298" i="13"/>
  <c r="AG297" i="13"/>
  <c r="AF297" i="13"/>
  <c r="AE297" i="13"/>
  <c r="AD297" i="13"/>
  <c r="Z297" i="13"/>
  <c r="Y297" i="13"/>
  <c r="X297" i="13"/>
  <c r="W297" i="13"/>
  <c r="U297" i="13"/>
  <c r="T297" i="13"/>
  <c r="S297" i="13"/>
  <c r="R297" i="13"/>
  <c r="Q297" i="13"/>
  <c r="P297" i="13"/>
  <c r="O297" i="13"/>
  <c r="N297" i="13"/>
  <c r="M297" i="13"/>
  <c r="L297" i="13"/>
  <c r="J297" i="13"/>
  <c r="G297" i="13"/>
  <c r="F297" i="13"/>
  <c r="E297" i="13"/>
  <c r="D297" i="13"/>
  <c r="C297" i="13"/>
  <c r="B297" i="13"/>
  <c r="A297" i="13"/>
  <c r="AG296" i="13"/>
  <c r="AF296" i="13"/>
  <c r="AE296" i="13"/>
  <c r="AD296" i="13"/>
  <c r="Z296" i="13"/>
  <c r="Y296" i="13"/>
  <c r="X296" i="13"/>
  <c r="W296" i="13"/>
  <c r="U296" i="13"/>
  <c r="T296" i="13"/>
  <c r="S296" i="13"/>
  <c r="R296" i="13"/>
  <c r="Q296" i="13"/>
  <c r="P296" i="13"/>
  <c r="O296" i="13"/>
  <c r="N296" i="13"/>
  <c r="M296" i="13"/>
  <c r="L296" i="13"/>
  <c r="J296" i="13"/>
  <c r="G296" i="13"/>
  <c r="F296" i="13"/>
  <c r="E296" i="13"/>
  <c r="D296" i="13"/>
  <c r="C296" i="13"/>
  <c r="B296" i="13"/>
  <c r="A296" i="13"/>
  <c r="AG295" i="13"/>
  <c r="AF295" i="13"/>
  <c r="AE295" i="13"/>
  <c r="AD295" i="13"/>
  <c r="AA295" i="13"/>
  <c r="Z295" i="13"/>
  <c r="Y295" i="13"/>
  <c r="X295" i="13"/>
  <c r="W295" i="13"/>
  <c r="U295" i="13"/>
  <c r="T295" i="13"/>
  <c r="S295" i="13"/>
  <c r="R295" i="13"/>
  <c r="Q295" i="13"/>
  <c r="P295" i="13"/>
  <c r="O295" i="13"/>
  <c r="N295" i="13"/>
  <c r="M295" i="13"/>
  <c r="L295" i="13"/>
  <c r="J295" i="13"/>
  <c r="H295" i="13"/>
  <c r="G295" i="13"/>
  <c r="F295" i="13"/>
  <c r="E295" i="13"/>
  <c r="D295" i="13"/>
  <c r="C295" i="13"/>
  <c r="B295" i="13"/>
  <c r="A295" i="13"/>
  <c r="AG294" i="13"/>
  <c r="AF294" i="13"/>
  <c r="AE294" i="13"/>
  <c r="AD294" i="13"/>
  <c r="Z294" i="13"/>
  <c r="Y294" i="13"/>
  <c r="X294" i="13"/>
  <c r="W294" i="13"/>
  <c r="U294" i="13"/>
  <c r="T294" i="13"/>
  <c r="S294" i="13"/>
  <c r="R294" i="13"/>
  <c r="Q294" i="13"/>
  <c r="P294" i="13"/>
  <c r="O294" i="13"/>
  <c r="N294" i="13"/>
  <c r="M294" i="13"/>
  <c r="L294" i="13"/>
  <c r="J294" i="13"/>
  <c r="G294" i="13"/>
  <c r="F294" i="13"/>
  <c r="E294" i="13"/>
  <c r="D294" i="13"/>
  <c r="C294" i="13"/>
  <c r="B294" i="13"/>
  <c r="A294" i="13"/>
  <c r="AG293" i="13"/>
  <c r="AF293" i="13"/>
  <c r="AE293" i="13"/>
  <c r="AD293" i="13"/>
  <c r="Z293" i="13"/>
  <c r="Y293" i="13"/>
  <c r="X293" i="13"/>
  <c r="U293" i="13"/>
  <c r="T293" i="13"/>
  <c r="S293" i="13"/>
  <c r="R293" i="13"/>
  <c r="Q293" i="13"/>
  <c r="O293" i="13"/>
  <c r="N293" i="13"/>
  <c r="M293" i="13"/>
  <c r="L293" i="13"/>
  <c r="F293" i="13"/>
  <c r="E293" i="13"/>
  <c r="D293" i="13"/>
  <c r="C293" i="13"/>
  <c r="B293" i="13"/>
  <c r="A293" i="13"/>
  <c r="AG292" i="13"/>
  <c r="AF292" i="13"/>
  <c r="AE292" i="13"/>
  <c r="AD292" i="13"/>
  <c r="Z292" i="13"/>
  <c r="Y292" i="13"/>
  <c r="X292" i="13"/>
  <c r="U292" i="13"/>
  <c r="T292" i="13"/>
  <c r="S292" i="13"/>
  <c r="R292" i="13"/>
  <c r="Q292" i="13"/>
  <c r="O292" i="13"/>
  <c r="N292" i="13"/>
  <c r="M292" i="13"/>
  <c r="L292" i="13"/>
  <c r="F292" i="13"/>
  <c r="E292" i="13"/>
  <c r="D292" i="13"/>
  <c r="C292" i="13"/>
  <c r="B292" i="13"/>
  <c r="A292" i="13"/>
  <c r="AG291" i="13"/>
  <c r="AF291" i="13"/>
  <c r="AE291" i="13"/>
  <c r="AD291" i="13"/>
  <c r="Z291" i="13"/>
  <c r="Y291" i="13"/>
  <c r="X291" i="13"/>
  <c r="U291" i="13"/>
  <c r="T291" i="13"/>
  <c r="S291" i="13"/>
  <c r="R291" i="13"/>
  <c r="Q291" i="13"/>
  <c r="O291" i="13"/>
  <c r="N291" i="13"/>
  <c r="M291" i="13"/>
  <c r="L291" i="13"/>
  <c r="F291" i="13"/>
  <c r="E291" i="13"/>
  <c r="D291" i="13"/>
  <c r="C291" i="13"/>
  <c r="B291" i="13"/>
  <c r="A291" i="13"/>
  <c r="AG290" i="13"/>
  <c r="AF290" i="13"/>
  <c r="AE290" i="13"/>
  <c r="AD290" i="13"/>
  <c r="Z290" i="13"/>
  <c r="Y290" i="13"/>
  <c r="X290" i="13"/>
  <c r="U290" i="13"/>
  <c r="T290" i="13"/>
  <c r="S290" i="13"/>
  <c r="R290" i="13"/>
  <c r="Q290" i="13"/>
  <c r="O290" i="13"/>
  <c r="N290" i="13"/>
  <c r="M290" i="13"/>
  <c r="L290" i="13"/>
  <c r="F290" i="13"/>
  <c r="E290" i="13"/>
  <c r="D290" i="13"/>
  <c r="C290" i="13"/>
  <c r="B290" i="13"/>
  <c r="A290" i="13"/>
  <c r="AG289" i="13"/>
  <c r="AF289" i="13"/>
  <c r="AE289" i="13"/>
  <c r="AD289" i="13"/>
  <c r="Z289" i="13"/>
  <c r="Y289" i="13"/>
  <c r="X289" i="13"/>
  <c r="U289" i="13"/>
  <c r="T289" i="13"/>
  <c r="S289" i="13"/>
  <c r="R289" i="13"/>
  <c r="Q289" i="13"/>
  <c r="O289" i="13"/>
  <c r="N289" i="13"/>
  <c r="M289" i="13"/>
  <c r="L289" i="13"/>
  <c r="F289" i="13"/>
  <c r="E289" i="13"/>
  <c r="D289" i="13"/>
  <c r="C289" i="13"/>
  <c r="B289" i="13"/>
  <c r="A289" i="13"/>
  <c r="AG288" i="13"/>
  <c r="AF288" i="13"/>
  <c r="AE288" i="13"/>
  <c r="AD288" i="13"/>
  <c r="Z288" i="13"/>
  <c r="Y288" i="13"/>
  <c r="X288" i="13"/>
  <c r="U288" i="13"/>
  <c r="T288" i="13"/>
  <c r="S288" i="13"/>
  <c r="R288" i="13"/>
  <c r="Q288" i="13"/>
  <c r="O288" i="13"/>
  <c r="N288" i="13"/>
  <c r="M288" i="13"/>
  <c r="L288" i="13"/>
  <c r="F288" i="13"/>
  <c r="E288" i="13"/>
  <c r="D288" i="13"/>
  <c r="C288" i="13"/>
  <c r="B288" i="13"/>
  <c r="A288" i="13"/>
  <c r="AG287" i="13"/>
  <c r="AF287" i="13"/>
  <c r="AE287" i="13"/>
  <c r="AD287" i="13"/>
  <c r="Z287" i="13"/>
  <c r="Y287" i="13"/>
  <c r="X287" i="13"/>
  <c r="U287" i="13"/>
  <c r="T287" i="13"/>
  <c r="S287" i="13"/>
  <c r="R287" i="13"/>
  <c r="Q287" i="13"/>
  <c r="O287" i="13"/>
  <c r="N287" i="13"/>
  <c r="M287" i="13"/>
  <c r="L287" i="13"/>
  <c r="F287" i="13"/>
  <c r="E287" i="13"/>
  <c r="D287" i="13"/>
  <c r="C287" i="13"/>
  <c r="B287" i="13"/>
  <c r="A287" i="13"/>
  <c r="AG286" i="13"/>
  <c r="AF286" i="13"/>
  <c r="AE286" i="13"/>
  <c r="AD286" i="13"/>
  <c r="Z286" i="13"/>
  <c r="Y286" i="13"/>
  <c r="X286" i="13"/>
  <c r="U286" i="13"/>
  <c r="T286" i="13"/>
  <c r="S286" i="13"/>
  <c r="R286" i="13"/>
  <c r="Q286" i="13"/>
  <c r="O286" i="13"/>
  <c r="N286" i="13"/>
  <c r="M286" i="13"/>
  <c r="L286" i="13"/>
  <c r="F286" i="13"/>
  <c r="E286" i="13"/>
  <c r="D286" i="13"/>
  <c r="C286" i="13"/>
  <c r="B286" i="13"/>
  <c r="A286" i="13"/>
  <c r="AG285" i="13"/>
  <c r="AF285" i="13"/>
  <c r="AE285" i="13"/>
  <c r="AD285" i="13"/>
  <c r="Z285" i="13"/>
  <c r="Y285" i="13"/>
  <c r="X285" i="13"/>
  <c r="U285" i="13"/>
  <c r="T285" i="13"/>
  <c r="S285" i="13"/>
  <c r="R285" i="13"/>
  <c r="Q285" i="13"/>
  <c r="O285" i="13"/>
  <c r="N285" i="13"/>
  <c r="M285" i="13"/>
  <c r="L285" i="13"/>
  <c r="F285" i="13"/>
  <c r="E285" i="13"/>
  <c r="D285" i="13"/>
  <c r="C285" i="13"/>
  <c r="B285" i="13"/>
  <c r="A285" i="13"/>
  <c r="AG284" i="13"/>
  <c r="AF284" i="13"/>
  <c r="AE284" i="13"/>
  <c r="AD284" i="13"/>
  <c r="Z284" i="13"/>
  <c r="Y284" i="13"/>
  <c r="X284" i="13"/>
  <c r="U284" i="13"/>
  <c r="T284" i="13"/>
  <c r="S284" i="13"/>
  <c r="R284" i="13"/>
  <c r="Q284" i="13"/>
  <c r="O284" i="13"/>
  <c r="N284" i="13"/>
  <c r="M284" i="13"/>
  <c r="L284" i="13"/>
  <c r="F284" i="13"/>
  <c r="E284" i="13"/>
  <c r="D284" i="13"/>
  <c r="C284" i="13"/>
  <c r="B284" i="13"/>
  <c r="A284" i="13"/>
  <c r="AG283" i="13"/>
  <c r="AF283" i="13"/>
  <c r="AE283" i="13"/>
  <c r="AD283" i="13"/>
  <c r="Z283" i="13"/>
  <c r="Y283" i="13"/>
  <c r="X283" i="13"/>
  <c r="U283" i="13"/>
  <c r="T283" i="13"/>
  <c r="S283" i="13"/>
  <c r="R283" i="13"/>
  <c r="Q283" i="13"/>
  <c r="O283" i="13"/>
  <c r="N283" i="13"/>
  <c r="M283" i="13"/>
  <c r="L283" i="13"/>
  <c r="F283" i="13"/>
  <c r="E283" i="13"/>
  <c r="D283" i="13"/>
  <c r="C283" i="13"/>
  <c r="B283" i="13"/>
  <c r="A283" i="13"/>
  <c r="AG282" i="13"/>
  <c r="AF282" i="13"/>
  <c r="AE282" i="13"/>
  <c r="AD282" i="13"/>
  <c r="Z282" i="13"/>
  <c r="Y282" i="13"/>
  <c r="X282" i="13"/>
  <c r="U282" i="13"/>
  <c r="T282" i="13"/>
  <c r="S282" i="13"/>
  <c r="R282" i="13"/>
  <c r="Q282" i="13"/>
  <c r="O282" i="13"/>
  <c r="N282" i="13"/>
  <c r="M282" i="13"/>
  <c r="L282" i="13"/>
  <c r="F282" i="13"/>
  <c r="E282" i="13"/>
  <c r="D282" i="13"/>
  <c r="C282" i="13"/>
  <c r="B282" i="13"/>
  <c r="A282" i="13"/>
  <c r="AG281" i="13"/>
  <c r="AF281" i="13"/>
  <c r="AE281" i="13"/>
  <c r="AD281" i="13"/>
  <c r="Z281" i="13"/>
  <c r="Y281" i="13"/>
  <c r="X281" i="13"/>
  <c r="U281" i="13"/>
  <c r="T281" i="13"/>
  <c r="S281" i="13"/>
  <c r="R281" i="13"/>
  <c r="Q281" i="13"/>
  <c r="O281" i="13"/>
  <c r="N281" i="13"/>
  <c r="M281" i="13"/>
  <c r="L281" i="13"/>
  <c r="F281" i="13"/>
  <c r="E281" i="13"/>
  <c r="D281" i="13"/>
  <c r="C281" i="13"/>
  <c r="B281" i="13"/>
  <c r="A281" i="13"/>
  <c r="AG280" i="13"/>
  <c r="AF280" i="13"/>
  <c r="AE280" i="13"/>
  <c r="AD280" i="13"/>
  <c r="Z280" i="13"/>
  <c r="Y280" i="13"/>
  <c r="X280" i="13"/>
  <c r="U280" i="13"/>
  <c r="T280" i="13"/>
  <c r="S280" i="13"/>
  <c r="R280" i="13"/>
  <c r="Q280" i="13"/>
  <c r="O280" i="13"/>
  <c r="N280" i="13"/>
  <c r="M280" i="13"/>
  <c r="L280" i="13"/>
  <c r="F280" i="13"/>
  <c r="E280" i="13"/>
  <c r="D280" i="13"/>
  <c r="C280" i="13"/>
  <c r="B280" i="13"/>
  <c r="A280" i="13"/>
  <c r="AG279" i="13"/>
  <c r="AF279" i="13"/>
  <c r="AE279" i="13"/>
  <c r="AD279" i="13"/>
  <c r="Z279" i="13"/>
  <c r="Y279" i="13"/>
  <c r="X279" i="13"/>
  <c r="W279" i="13"/>
  <c r="U279" i="13"/>
  <c r="T279" i="13"/>
  <c r="S279" i="13"/>
  <c r="R279" i="13"/>
  <c r="Q279" i="13"/>
  <c r="P279" i="13"/>
  <c r="O279" i="13"/>
  <c r="N279" i="13"/>
  <c r="M279" i="13"/>
  <c r="L279" i="13"/>
  <c r="J279" i="13"/>
  <c r="G279" i="13"/>
  <c r="F279" i="13"/>
  <c r="E279" i="13"/>
  <c r="D279" i="13"/>
  <c r="C279" i="13"/>
  <c r="B279" i="13"/>
  <c r="A279" i="13"/>
  <c r="AG278" i="13"/>
  <c r="AF278" i="13"/>
  <c r="AE278" i="13"/>
  <c r="AD278" i="13"/>
  <c r="Z278" i="13"/>
  <c r="Y278" i="13"/>
  <c r="X278" i="13"/>
  <c r="W278" i="13"/>
  <c r="U278" i="13"/>
  <c r="T278" i="13"/>
  <c r="S278" i="13"/>
  <c r="R278" i="13"/>
  <c r="Q278" i="13"/>
  <c r="P278" i="13"/>
  <c r="O278" i="13"/>
  <c r="N278" i="13"/>
  <c r="M278" i="13"/>
  <c r="L278" i="13"/>
  <c r="J278" i="13"/>
  <c r="G278" i="13"/>
  <c r="F278" i="13"/>
  <c r="E278" i="13"/>
  <c r="D278" i="13"/>
  <c r="C278" i="13"/>
  <c r="B278" i="13"/>
  <c r="A278" i="13"/>
  <c r="AG277" i="13"/>
  <c r="AF277" i="13"/>
  <c r="AE277" i="13"/>
  <c r="AD277" i="13"/>
  <c r="Z277" i="13"/>
  <c r="Y277" i="13"/>
  <c r="X277" i="13"/>
  <c r="W277" i="13"/>
  <c r="U277" i="13"/>
  <c r="T277" i="13"/>
  <c r="S277" i="13"/>
  <c r="R277" i="13"/>
  <c r="Q277" i="13"/>
  <c r="P277" i="13"/>
  <c r="O277" i="13"/>
  <c r="N277" i="13"/>
  <c r="M277" i="13"/>
  <c r="L277" i="13"/>
  <c r="J277" i="13"/>
  <c r="G277" i="13"/>
  <c r="F277" i="13"/>
  <c r="E277" i="13"/>
  <c r="D277" i="13"/>
  <c r="C277" i="13"/>
  <c r="B277" i="13"/>
  <c r="A277" i="13"/>
  <c r="AG276" i="13"/>
  <c r="AF276" i="13"/>
  <c r="AE276" i="13"/>
  <c r="AD276" i="13"/>
  <c r="Z276" i="13"/>
  <c r="Y276" i="13"/>
  <c r="X276" i="13"/>
  <c r="W276" i="13"/>
  <c r="U276" i="13"/>
  <c r="T276" i="13"/>
  <c r="S276" i="13"/>
  <c r="R276" i="13"/>
  <c r="Q276" i="13"/>
  <c r="P276" i="13"/>
  <c r="O276" i="13"/>
  <c r="N276" i="13"/>
  <c r="M276" i="13"/>
  <c r="L276" i="13"/>
  <c r="J276" i="13"/>
  <c r="G276" i="13"/>
  <c r="F276" i="13"/>
  <c r="E276" i="13"/>
  <c r="D276" i="13"/>
  <c r="C276" i="13"/>
  <c r="B276" i="13"/>
  <c r="A276" i="13"/>
  <c r="AG275" i="13"/>
  <c r="AF275" i="13"/>
  <c r="AE275" i="13"/>
  <c r="AD275" i="13"/>
  <c r="Z275" i="13"/>
  <c r="Y275" i="13"/>
  <c r="X275" i="13"/>
  <c r="W275" i="13"/>
  <c r="U275" i="13"/>
  <c r="T275" i="13"/>
  <c r="S275" i="13"/>
  <c r="R275" i="13"/>
  <c r="Q275" i="13"/>
  <c r="P275" i="13"/>
  <c r="O275" i="13"/>
  <c r="N275" i="13"/>
  <c r="M275" i="13"/>
  <c r="L275" i="13"/>
  <c r="J275" i="13"/>
  <c r="G275" i="13"/>
  <c r="F275" i="13"/>
  <c r="E275" i="13"/>
  <c r="D275" i="13"/>
  <c r="C275" i="13"/>
  <c r="B275" i="13"/>
  <c r="A275" i="13"/>
  <c r="AG274" i="13"/>
  <c r="AF274" i="13"/>
  <c r="AE274" i="13"/>
  <c r="AD274" i="13"/>
  <c r="Z274" i="13"/>
  <c r="Y274" i="13"/>
  <c r="X274" i="13"/>
  <c r="W274" i="13"/>
  <c r="U274" i="13"/>
  <c r="T274" i="13"/>
  <c r="S274" i="13"/>
  <c r="R274" i="13"/>
  <c r="Q274" i="13"/>
  <c r="P274" i="13"/>
  <c r="O274" i="13"/>
  <c r="N274" i="13"/>
  <c r="M274" i="13"/>
  <c r="L274" i="13"/>
  <c r="J274" i="13"/>
  <c r="G274" i="13"/>
  <c r="F274" i="13"/>
  <c r="E274" i="13"/>
  <c r="D274" i="13"/>
  <c r="C274" i="13"/>
  <c r="B274" i="13"/>
  <c r="A274" i="13"/>
  <c r="AG273" i="13"/>
  <c r="AF273" i="13"/>
  <c r="AE273" i="13"/>
  <c r="AD273" i="13"/>
  <c r="Z273" i="13"/>
  <c r="Y273" i="13"/>
  <c r="X273" i="13"/>
  <c r="W273" i="13"/>
  <c r="U273" i="13"/>
  <c r="T273" i="13"/>
  <c r="S273" i="13"/>
  <c r="R273" i="13"/>
  <c r="Q273" i="13"/>
  <c r="P273" i="13"/>
  <c r="O273" i="13"/>
  <c r="N273" i="13"/>
  <c r="M273" i="13"/>
  <c r="L273" i="13"/>
  <c r="J273" i="13"/>
  <c r="G273" i="13"/>
  <c r="F273" i="13"/>
  <c r="E273" i="13"/>
  <c r="D273" i="13"/>
  <c r="C273" i="13"/>
  <c r="B273" i="13"/>
  <c r="A273" i="13"/>
  <c r="AG272" i="13"/>
  <c r="AF272" i="13"/>
  <c r="AE272" i="13"/>
  <c r="AD272" i="13"/>
  <c r="Z272" i="13"/>
  <c r="Y272" i="13"/>
  <c r="X272" i="13"/>
  <c r="W272" i="13"/>
  <c r="U272" i="13"/>
  <c r="T272" i="13"/>
  <c r="S272" i="13"/>
  <c r="R272" i="13"/>
  <c r="Q272" i="13"/>
  <c r="P272" i="13"/>
  <c r="O272" i="13"/>
  <c r="N272" i="13"/>
  <c r="M272" i="13"/>
  <c r="L272" i="13"/>
  <c r="J272" i="13"/>
  <c r="G272" i="13"/>
  <c r="F272" i="13"/>
  <c r="E272" i="13"/>
  <c r="D272" i="13"/>
  <c r="C272" i="13"/>
  <c r="B272" i="13"/>
  <c r="A272" i="13"/>
  <c r="AG271" i="13"/>
  <c r="AF271" i="13"/>
  <c r="AE271" i="13"/>
  <c r="AD271" i="13"/>
  <c r="Z271" i="13"/>
  <c r="Y271" i="13"/>
  <c r="X271" i="13"/>
  <c r="W271" i="13"/>
  <c r="U271" i="13"/>
  <c r="T271" i="13"/>
  <c r="S271" i="13"/>
  <c r="R271" i="13"/>
  <c r="Q271" i="13"/>
  <c r="P271" i="13"/>
  <c r="O271" i="13"/>
  <c r="N271" i="13"/>
  <c r="M271" i="13"/>
  <c r="L271" i="13"/>
  <c r="J271" i="13"/>
  <c r="G271" i="13"/>
  <c r="F271" i="13"/>
  <c r="E271" i="13"/>
  <c r="D271" i="13"/>
  <c r="C271" i="13"/>
  <c r="B271" i="13"/>
  <c r="A271" i="13"/>
  <c r="AG270" i="13"/>
  <c r="AF270" i="13"/>
  <c r="AE270" i="13"/>
  <c r="AD270" i="13"/>
  <c r="Z270" i="13"/>
  <c r="Y270" i="13"/>
  <c r="X270" i="13"/>
  <c r="W270" i="13"/>
  <c r="U270" i="13"/>
  <c r="T270" i="13"/>
  <c r="S270" i="13"/>
  <c r="R270" i="13"/>
  <c r="Q270" i="13"/>
  <c r="P270" i="13"/>
  <c r="O270" i="13"/>
  <c r="N270" i="13"/>
  <c r="M270" i="13"/>
  <c r="L270" i="13"/>
  <c r="J270" i="13"/>
  <c r="G270" i="13"/>
  <c r="F270" i="13"/>
  <c r="E270" i="13"/>
  <c r="D270" i="13"/>
  <c r="C270" i="13"/>
  <c r="B270" i="13"/>
  <c r="A270" i="13"/>
  <c r="AG269" i="13"/>
  <c r="AF269" i="13"/>
  <c r="AE269" i="13"/>
  <c r="AD269" i="13"/>
  <c r="Z269" i="13"/>
  <c r="Y269" i="13"/>
  <c r="X269" i="13"/>
  <c r="W269" i="13"/>
  <c r="U269" i="13"/>
  <c r="T269" i="13"/>
  <c r="S269" i="13"/>
  <c r="R269" i="13"/>
  <c r="Q269" i="13"/>
  <c r="P269" i="13"/>
  <c r="O269" i="13"/>
  <c r="N269" i="13"/>
  <c r="M269" i="13"/>
  <c r="L269" i="13"/>
  <c r="J269" i="13"/>
  <c r="G269" i="13"/>
  <c r="F269" i="13"/>
  <c r="E269" i="13"/>
  <c r="D269" i="13"/>
  <c r="C269" i="13"/>
  <c r="B269" i="13"/>
  <c r="A269" i="13"/>
  <c r="AG268" i="13"/>
  <c r="AF268" i="13"/>
  <c r="AE268" i="13"/>
  <c r="AD268" i="13"/>
  <c r="Z268" i="13"/>
  <c r="Y268" i="13"/>
  <c r="X268" i="13"/>
  <c r="W268" i="13"/>
  <c r="U268" i="13"/>
  <c r="T268" i="13"/>
  <c r="S268" i="13"/>
  <c r="R268" i="13"/>
  <c r="Q268" i="13"/>
  <c r="P268" i="13"/>
  <c r="O268" i="13"/>
  <c r="N268" i="13"/>
  <c r="M268" i="13"/>
  <c r="L268" i="13"/>
  <c r="J268" i="13"/>
  <c r="G268" i="13"/>
  <c r="F268" i="13"/>
  <c r="E268" i="13"/>
  <c r="D268" i="13"/>
  <c r="C268" i="13"/>
  <c r="B268" i="13"/>
  <c r="A268" i="13"/>
  <c r="AG267" i="13"/>
  <c r="AF267" i="13"/>
  <c r="AE267" i="13"/>
  <c r="AD267" i="13"/>
  <c r="Z267" i="13"/>
  <c r="Y267" i="13"/>
  <c r="X267" i="13"/>
  <c r="W267" i="13"/>
  <c r="U267" i="13"/>
  <c r="T267" i="13"/>
  <c r="S267" i="13"/>
  <c r="R267" i="13"/>
  <c r="Q267" i="13"/>
  <c r="P267" i="13"/>
  <c r="O267" i="13"/>
  <c r="N267" i="13"/>
  <c r="M267" i="13"/>
  <c r="L267" i="13"/>
  <c r="J267" i="13"/>
  <c r="G267" i="13"/>
  <c r="F267" i="13"/>
  <c r="E267" i="13"/>
  <c r="D267" i="13"/>
  <c r="C267" i="13"/>
  <c r="B267" i="13"/>
  <c r="A267" i="13"/>
  <c r="AG266" i="13"/>
  <c r="AF266" i="13"/>
  <c r="AE266" i="13"/>
  <c r="AD266" i="13"/>
  <c r="Z266" i="13"/>
  <c r="Y266" i="13"/>
  <c r="X266" i="13"/>
  <c r="W266" i="13"/>
  <c r="U266" i="13"/>
  <c r="T266" i="13"/>
  <c r="S266" i="13"/>
  <c r="R266" i="13"/>
  <c r="Q266" i="13"/>
  <c r="P266" i="13"/>
  <c r="O266" i="13"/>
  <c r="N266" i="13"/>
  <c r="M266" i="13"/>
  <c r="L266" i="13"/>
  <c r="J266" i="13"/>
  <c r="G266" i="13"/>
  <c r="F266" i="13"/>
  <c r="E266" i="13"/>
  <c r="D266" i="13"/>
  <c r="C266" i="13"/>
  <c r="B266" i="13"/>
  <c r="A266" i="13"/>
  <c r="AG265" i="13"/>
  <c r="AF265" i="13"/>
  <c r="AE265" i="13"/>
  <c r="AD265" i="13"/>
  <c r="Z265" i="13"/>
  <c r="Y265" i="13"/>
  <c r="X265" i="13"/>
  <c r="W265" i="13"/>
  <c r="U265" i="13"/>
  <c r="T265" i="13"/>
  <c r="S265" i="13"/>
  <c r="R265" i="13"/>
  <c r="Q265" i="13"/>
  <c r="P265" i="13"/>
  <c r="O265" i="13"/>
  <c r="N265" i="13"/>
  <c r="M265" i="13"/>
  <c r="L265" i="13"/>
  <c r="J265" i="13"/>
  <c r="G265" i="13"/>
  <c r="F265" i="13"/>
  <c r="E265" i="13"/>
  <c r="D265" i="13"/>
  <c r="C265" i="13"/>
  <c r="B265" i="13"/>
  <c r="A265" i="13"/>
  <c r="AG264" i="13"/>
  <c r="AF264" i="13"/>
  <c r="AE264" i="13"/>
  <c r="AD264" i="13"/>
  <c r="Z264" i="13"/>
  <c r="Y264" i="13"/>
  <c r="X264" i="13"/>
  <c r="W264" i="13"/>
  <c r="U264" i="13"/>
  <c r="T264" i="13"/>
  <c r="S264" i="13"/>
  <c r="R264" i="13"/>
  <c r="Q264" i="13"/>
  <c r="P264" i="13"/>
  <c r="O264" i="13"/>
  <c r="N264" i="13"/>
  <c r="M264" i="13"/>
  <c r="L264" i="13"/>
  <c r="J264" i="13"/>
  <c r="G264" i="13"/>
  <c r="F264" i="13"/>
  <c r="E264" i="13"/>
  <c r="D264" i="13"/>
  <c r="C264" i="13"/>
  <c r="B264" i="13"/>
  <c r="A264" i="13"/>
  <c r="AG263" i="13"/>
  <c r="AF263" i="13"/>
  <c r="AE263" i="13"/>
  <c r="AD263" i="13"/>
  <c r="Z263" i="13"/>
  <c r="Y263" i="13"/>
  <c r="X263" i="13"/>
  <c r="W263" i="13"/>
  <c r="U263" i="13"/>
  <c r="T263" i="13"/>
  <c r="S263" i="13"/>
  <c r="R263" i="13"/>
  <c r="Q263" i="13"/>
  <c r="P263" i="13"/>
  <c r="O263" i="13"/>
  <c r="N263" i="13"/>
  <c r="M263" i="13"/>
  <c r="L263" i="13"/>
  <c r="J263" i="13"/>
  <c r="G263" i="13"/>
  <c r="F263" i="13"/>
  <c r="E263" i="13"/>
  <c r="D263" i="13"/>
  <c r="C263" i="13"/>
  <c r="B263" i="13"/>
  <c r="A263" i="13"/>
  <c r="AG262" i="13"/>
  <c r="AF262" i="13"/>
  <c r="AE262" i="13"/>
  <c r="AD262" i="13"/>
  <c r="Z262" i="13"/>
  <c r="Y262" i="13"/>
  <c r="X262" i="13"/>
  <c r="W262" i="13"/>
  <c r="U262" i="13"/>
  <c r="T262" i="13"/>
  <c r="S262" i="13"/>
  <c r="R262" i="13"/>
  <c r="Q262" i="13"/>
  <c r="P262" i="13"/>
  <c r="O262" i="13"/>
  <c r="N262" i="13"/>
  <c r="M262" i="13"/>
  <c r="L262" i="13"/>
  <c r="J262" i="13"/>
  <c r="G262" i="13"/>
  <c r="F262" i="13"/>
  <c r="E262" i="13"/>
  <c r="D262" i="13"/>
  <c r="C262" i="13"/>
  <c r="B262" i="13"/>
  <c r="A262" i="13"/>
  <c r="AG261" i="13"/>
  <c r="AF261" i="13"/>
  <c r="AE261" i="13"/>
  <c r="AD261" i="13"/>
  <c r="Z261" i="13"/>
  <c r="Y261" i="13"/>
  <c r="X261" i="13"/>
  <c r="W261" i="13"/>
  <c r="U261" i="13"/>
  <c r="T261" i="13"/>
  <c r="S261" i="13"/>
  <c r="R261" i="13"/>
  <c r="Q261" i="13"/>
  <c r="P261" i="13"/>
  <c r="O261" i="13"/>
  <c r="N261" i="13"/>
  <c r="M261" i="13"/>
  <c r="L261" i="13"/>
  <c r="J261" i="13"/>
  <c r="G261" i="13"/>
  <c r="F261" i="13"/>
  <c r="E261" i="13"/>
  <c r="D261" i="13"/>
  <c r="C261" i="13"/>
  <c r="B261" i="13"/>
  <c r="A261" i="13"/>
  <c r="AG260" i="13"/>
  <c r="AF260" i="13"/>
  <c r="AE260" i="13"/>
  <c r="AD260" i="13"/>
  <c r="Z260" i="13"/>
  <c r="Y260" i="13"/>
  <c r="X260" i="13"/>
  <c r="W260" i="13"/>
  <c r="U260" i="13"/>
  <c r="T260" i="13"/>
  <c r="S260" i="13"/>
  <c r="R260" i="13"/>
  <c r="Q260" i="13"/>
  <c r="P260" i="13"/>
  <c r="O260" i="13"/>
  <c r="N260" i="13"/>
  <c r="M260" i="13"/>
  <c r="L260" i="13"/>
  <c r="J260" i="13"/>
  <c r="G260" i="13"/>
  <c r="F260" i="13"/>
  <c r="E260" i="13"/>
  <c r="D260" i="13"/>
  <c r="C260" i="13"/>
  <c r="B260" i="13"/>
  <c r="A260" i="13"/>
  <c r="AG259" i="13"/>
  <c r="AF259" i="13"/>
  <c r="AE259" i="13"/>
  <c r="AD259" i="13"/>
  <c r="Z259" i="13"/>
  <c r="Y259" i="13"/>
  <c r="X259" i="13"/>
  <c r="W259" i="13"/>
  <c r="U259" i="13"/>
  <c r="T259" i="13"/>
  <c r="S259" i="13"/>
  <c r="R259" i="13"/>
  <c r="Q259" i="13"/>
  <c r="P259" i="13"/>
  <c r="O259" i="13"/>
  <c r="N259" i="13"/>
  <c r="M259" i="13"/>
  <c r="L259" i="13"/>
  <c r="J259" i="13"/>
  <c r="G259" i="13"/>
  <c r="F259" i="13"/>
  <c r="E259" i="13"/>
  <c r="D259" i="13"/>
  <c r="C259" i="13"/>
  <c r="B259" i="13"/>
  <c r="A259" i="13"/>
  <c r="AG258" i="13"/>
  <c r="AF258" i="13"/>
  <c r="AE258" i="13"/>
  <c r="AD258" i="13"/>
  <c r="Z258" i="13"/>
  <c r="Y258" i="13"/>
  <c r="X258" i="13"/>
  <c r="W258" i="13"/>
  <c r="U258" i="13"/>
  <c r="T258" i="13"/>
  <c r="S258" i="13"/>
  <c r="R258" i="13"/>
  <c r="Q258" i="13"/>
  <c r="P258" i="13"/>
  <c r="O258" i="13"/>
  <c r="N258" i="13"/>
  <c r="M258" i="13"/>
  <c r="L258" i="13"/>
  <c r="J258" i="13"/>
  <c r="G258" i="13"/>
  <c r="F258" i="13"/>
  <c r="E258" i="13"/>
  <c r="D258" i="13"/>
  <c r="C258" i="13"/>
  <c r="B258" i="13"/>
  <c r="A258" i="13"/>
  <c r="AG257" i="13"/>
  <c r="AF257" i="13"/>
  <c r="AE257" i="13"/>
  <c r="AD257" i="13"/>
  <c r="Z257" i="13"/>
  <c r="Y257" i="13"/>
  <c r="X257" i="13"/>
  <c r="W257" i="13"/>
  <c r="U257" i="13"/>
  <c r="T257" i="13"/>
  <c r="S257" i="13"/>
  <c r="R257" i="13"/>
  <c r="Q257" i="13"/>
  <c r="P257" i="13"/>
  <c r="O257" i="13"/>
  <c r="N257" i="13"/>
  <c r="M257" i="13"/>
  <c r="L257" i="13"/>
  <c r="J257" i="13"/>
  <c r="G257" i="13"/>
  <c r="F257" i="13"/>
  <c r="E257" i="13"/>
  <c r="D257" i="13"/>
  <c r="C257" i="13"/>
  <c r="B257" i="13"/>
  <c r="A257" i="13"/>
  <c r="AG256" i="13"/>
  <c r="AF256" i="13"/>
  <c r="AE256" i="13"/>
  <c r="AD256" i="13"/>
  <c r="Z256" i="13"/>
  <c r="Y256" i="13"/>
  <c r="X256" i="13"/>
  <c r="W256" i="13"/>
  <c r="U256" i="13"/>
  <c r="T256" i="13"/>
  <c r="S256" i="13"/>
  <c r="R256" i="13"/>
  <c r="Q256" i="13"/>
  <c r="P256" i="13"/>
  <c r="O256" i="13"/>
  <c r="N256" i="13"/>
  <c r="M256" i="13"/>
  <c r="L256" i="13"/>
  <c r="J256" i="13"/>
  <c r="G256" i="13"/>
  <c r="F256" i="13"/>
  <c r="E256" i="13"/>
  <c r="D256" i="13"/>
  <c r="C256" i="13"/>
  <c r="B256" i="13"/>
  <c r="A256" i="13"/>
  <c r="AG255" i="13"/>
  <c r="AF255" i="13"/>
  <c r="AE255" i="13"/>
  <c r="AD255" i="13"/>
  <c r="Z255" i="13"/>
  <c r="Y255" i="13"/>
  <c r="X255" i="13"/>
  <c r="W255" i="13"/>
  <c r="U255" i="13"/>
  <c r="T255" i="13"/>
  <c r="S255" i="13"/>
  <c r="R255" i="13"/>
  <c r="Q255" i="13"/>
  <c r="P255" i="13"/>
  <c r="O255" i="13"/>
  <c r="N255" i="13"/>
  <c r="M255" i="13"/>
  <c r="L255" i="13"/>
  <c r="J255" i="13"/>
  <c r="G255" i="13"/>
  <c r="F255" i="13"/>
  <c r="E255" i="13"/>
  <c r="D255" i="13"/>
  <c r="C255" i="13"/>
  <c r="B255" i="13"/>
  <c r="A255" i="13"/>
  <c r="AG254" i="13"/>
  <c r="AF254" i="13"/>
  <c r="AE254" i="13"/>
  <c r="AD254" i="13"/>
  <c r="Z254" i="13"/>
  <c r="Y254" i="13"/>
  <c r="X254" i="13"/>
  <c r="W254" i="13"/>
  <c r="U254" i="13"/>
  <c r="T254" i="13"/>
  <c r="S254" i="13"/>
  <c r="R254" i="13"/>
  <c r="Q254" i="13"/>
  <c r="P254" i="13"/>
  <c r="O254" i="13"/>
  <c r="N254" i="13"/>
  <c r="M254" i="13"/>
  <c r="L254" i="13"/>
  <c r="J254" i="13"/>
  <c r="G254" i="13"/>
  <c r="F254" i="13"/>
  <c r="E254" i="13"/>
  <c r="D254" i="13"/>
  <c r="C254" i="13"/>
  <c r="B254" i="13"/>
  <c r="A254" i="13"/>
  <c r="AG253" i="13"/>
  <c r="AF253" i="13"/>
  <c r="AE253" i="13"/>
  <c r="AD253" i="13"/>
  <c r="Z253" i="13"/>
  <c r="Y253" i="13"/>
  <c r="X253" i="13"/>
  <c r="W253" i="13"/>
  <c r="U253" i="13"/>
  <c r="T253" i="13"/>
  <c r="S253" i="13"/>
  <c r="R253" i="13"/>
  <c r="Q253" i="13"/>
  <c r="P253" i="13"/>
  <c r="O253" i="13"/>
  <c r="N253" i="13"/>
  <c r="M253" i="13"/>
  <c r="L253" i="13"/>
  <c r="J253" i="13"/>
  <c r="G253" i="13"/>
  <c r="F253" i="13"/>
  <c r="E253" i="13"/>
  <c r="D253" i="13"/>
  <c r="C253" i="13"/>
  <c r="B253" i="13"/>
  <c r="A253" i="13"/>
  <c r="AG252" i="13"/>
  <c r="AF252" i="13"/>
  <c r="AE252" i="13"/>
  <c r="AD252" i="13"/>
  <c r="Z252" i="13"/>
  <c r="Y252" i="13"/>
  <c r="X252" i="13"/>
  <c r="W252" i="13"/>
  <c r="U252" i="13"/>
  <c r="T252" i="13"/>
  <c r="S252" i="13"/>
  <c r="R252" i="13"/>
  <c r="Q252" i="13"/>
  <c r="P252" i="13"/>
  <c r="O252" i="13"/>
  <c r="N252" i="13"/>
  <c r="M252" i="13"/>
  <c r="L252" i="13"/>
  <c r="J252" i="13"/>
  <c r="G252" i="13"/>
  <c r="F252" i="13"/>
  <c r="E252" i="13"/>
  <c r="D252" i="13"/>
  <c r="C252" i="13"/>
  <c r="B252" i="13"/>
  <c r="A252" i="13"/>
  <c r="AG251" i="13"/>
  <c r="AF251" i="13"/>
  <c r="AE251" i="13"/>
  <c r="AD251" i="13"/>
  <c r="Z251" i="13"/>
  <c r="Y251" i="13"/>
  <c r="X251" i="13"/>
  <c r="W251" i="13"/>
  <c r="U251" i="13"/>
  <c r="T251" i="13"/>
  <c r="S251" i="13"/>
  <c r="R251" i="13"/>
  <c r="Q251" i="13"/>
  <c r="P251" i="13"/>
  <c r="O251" i="13"/>
  <c r="N251" i="13"/>
  <c r="M251" i="13"/>
  <c r="L251" i="13"/>
  <c r="J251" i="13"/>
  <c r="G251" i="13"/>
  <c r="F251" i="13"/>
  <c r="E251" i="13"/>
  <c r="D251" i="13"/>
  <c r="C251" i="13"/>
  <c r="B251" i="13"/>
  <c r="A251" i="13"/>
  <c r="AG250" i="13"/>
  <c r="AF250" i="13"/>
  <c r="AE250" i="13"/>
  <c r="AD250" i="13"/>
  <c r="Z250" i="13"/>
  <c r="Y250" i="13"/>
  <c r="X250" i="13"/>
  <c r="W250" i="13"/>
  <c r="U250" i="13"/>
  <c r="T250" i="13"/>
  <c r="S250" i="13"/>
  <c r="R250" i="13"/>
  <c r="Q250" i="13"/>
  <c r="P250" i="13"/>
  <c r="O250" i="13"/>
  <c r="N250" i="13"/>
  <c r="M250" i="13"/>
  <c r="L250" i="13"/>
  <c r="J250" i="13"/>
  <c r="G250" i="13"/>
  <c r="F250" i="13"/>
  <c r="E250" i="13"/>
  <c r="D250" i="13"/>
  <c r="C250" i="13"/>
  <c r="B250" i="13"/>
  <c r="A250" i="13"/>
  <c r="AG249" i="13"/>
  <c r="AF249" i="13"/>
  <c r="AE249" i="13"/>
  <c r="AD249" i="13"/>
  <c r="Z249" i="13"/>
  <c r="Y249" i="13"/>
  <c r="X249" i="13"/>
  <c r="U249" i="13"/>
  <c r="T249" i="13"/>
  <c r="S249" i="13"/>
  <c r="R249" i="13"/>
  <c r="Q249" i="13"/>
  <c r="O249" i="13"/>
  <c r="N249" i="13"/>
  <c r="M249" i="13"/>
  <c r="L249" i="13"/>
  <c r="F249" i="13"/>
  <c r="E249" i="13"/>
  <c r="D249" i="13"/>
  <c r="C249" i="13"/>
  <c r="B249" i="13"/>
  <c r="A249" i="13"/>
  <c r="AG248" i="13"/>
  <c r="AF248" i="13"/>
  <c r="AE248" i="13"/>
  <c r="AD248" i="13"/>
  <c r="Z248" i="13"/>
  <c r="Y248" i="13"/>
  <c r="X248" i="13"/>
  <c r="U248" i="13"/>
  <c r="T248" i="13"/>
  <c r="S248" i="13"/>
  <c r="R248" i="13"/>
  <c r="Q248" i="13"/>
  <c r="O248" i="13"/>
  <c r="N248" i="13"/>
  <c r="M248" i="13"/>
  <c r="L248" i="13"/>
  <c r="F248" i="13"/>
  <c r="E248" i="13"/>
  <c r="D248" i="13"/>
  <c r="C248" i="13"/>
  <c r="B248" i="13"/>
  <c r="A248" i="13"/>
  <c r="AG247" i="13"/>
  <c r="AF247" i="13"/>
  <c r="AE247" i="13"/>
  <c r="AD247" i="13"/>
  <c r="Z247" i="13"/>
  <c r="Y247" i="13"/>
  <c r="X247" i="13"/>
  <c r="U247" i="13"/>
  <c r="T247" i="13"/>
  <c r="S247" i="13"/>
  <c r="R247" i="13"/>
  <c r="Q247" i="13"/>
  <c r="O247" i="13"/>
  <c r="N247" i="13"/>
  <c r="M247" i="13"/>
  <c r="L247" i="13"/>
  <c r="F247" i="13"/>
  <c r="E247" i="13"/>
  <c r="D247" i="13"/>
  <c r="C247" i="13"/>
  <c r="B247" i="13"/>
  <c r="A247" i="13"/>
  <c r="AG246" i="13"/>
  <c r="AF246" i="13"/>
  <c r="AE246" i="13"/>
  <c r="AD246" i="13"/>
  <c r="Z246" i="13"/>
  <c r="Y246" i="13"/>
  <c r="X246" i="13"/>
  <c r="U246" i="13"/>
  <c r="T246" i="13"/>
  <c r="S246" i="13"/>
  <c r="R246" i="13"/>
  <c r="Q246" i="13"/>
  <c r="O246" i="13"/>
  <c r="N246" i="13"/>
  <c r="M246" i="13"/>
  <c r="L246" i="13"/>
  <c r="F246" i="13"/>
  <c r="E246" i="13"/>
  <c r="D246" i="13"/>
  <c r="C246" i="13"/>
  <c r="B246" i="13"/>
  <c r="A246" i="13"/>
  <c r="AG245" i="13"/>
  <c r="AF245" i="13"/>
  <c r="AE245" i="13"/>
  <c r="AD245" i="13"/>
  <c r="Z245" i="13"/>
  <c r="Y245" i="13"/>
  <c r="X245" i="13"/>
  <c r="U245" i="13"/>
  <c r="T245" i="13"/>
  <c r="S245" i="13"/>
  <c r="R245" i="13"/>
  <c r="Q245" i="13"/>
  <c r="O245" i="13"/>
  <c r="N245" i="13"/>
  <c r="M245" i="13"/>
  <c r="L245" i="13"/>
  <c r="F245" i="13"/>
  <c r="E245" i="13"/>
  <c r="D245" i="13"/>
  <c r="C245" i="13"/>
  <c r="B245" i="13"/>
  <c r="A245" i="13"/>
  <c r="AG244" i="13"/>
  <c r="AF244" i="13"/>
  <c r="AE244" i="13"/>
  <c r="AD244" i="13"/>
  <c r="Z244" i="13"/>
  <c r="Y244" i="13"/>
  <c r="X244" i="13"/>
  <c r="U244" i="13"/>
  <c r="T244" i="13"/>
  <c r="S244" i="13"/>
  <c r="R244" i="13"/>
  <c r="Q244" i="13"/>
  <c r="O244" i="13"/>
  <c r="N244" i="13"/>
  <c r="M244" i="13"/>
  <c r="L244" i="13"/>
  <c r="F244" i="13"/>
  <c r="E244" i="13"/>
  <c r="D244" i="13"/>
  <c r="C244" i="13"/>
  <c r="B244" i="13"/>
  <c r="A244" i="13"/>
  <c r="AG243" i="13"/>
  <c r="AF243" i="13"/>
  <c r="AE243" i="13"/>
  <c r="AD243" i="13"/>
  <c r="Z243" i="13"/>
  <c r="Y243" i="13"/>
  <c r="X243" i="13"/>
  <c r="U243" i="13"/>
  <c r="T243" i="13"/>
  <c r="S243" i="13"/>
  <c r="R243" i="13"/>
  <c r="Q243" i="13"/>
  <c r="O243" i="13"/>
  <c r="N243" i="13"/>
  <c r="M243" i="13"/>
  <c r="L243" i="13"/>
  <c r="F243" i="13"/>
  <c r="E243" i="13"/>
  <c r="D243" i="13"/>
  <c r="C243" i="13"/>
  <c r="B243" i="13"/>
  <c r="A243" i="13"/>
  <c r="AG242" i="13"/>
  <c r="AF242" i="13"/>
  <c r="AE242" i="13"/>
  <c r="AD242" i="13"/>
  <c r="Z242" i="13"/>
  <c r="Y242" i="13"/>
  <c r="X242" i="13"/>
  <c r="U242" i="13"/>
  <c r="T242" i="13"/>
  <c r="S242" i="13"/>
  <c r="R242" i="13"/>
  <c r="Q242" i="13"/>
  <c r="O242" i="13"/>
  <c r="N242" i="13"/>
  <c r="M242" i="13"/>
  <c r="L242" i="13"/>
  <c r="F242" i="13"/>
  <c r="E242" i="13"/>
  <c r="D242" i="13"/>
  <c r="C242" i="13"/>
  <c r="B242" i="13"/>
  <c r="A242" i="13"/>
  <c r="AG241" i="13"/>
  <c r="AF241" i="13"/>
  <c r="AE241" i="13"/>
  <c r="AD241" i="13"/>
  <c r="Z241" i="13"/>
  <c r="Y241" i="13"/>
  <c r="X241" i="13"/>
  <c r="U241" i="13"/>
  <c r="T241" i="13"/>
  <c r="S241" i="13"/>
  <c r="R241" i="13"/>
  <c r="Q241" i="13"/>
  <c r="O241" i="13"/>
  <c r="N241" i="13"/>
  <c r="M241" i="13"/>
  <c r="L241" i="13"/>
  <c r="F241" i="13"/>
  <c r="E241" i="13"/>
  <c r="D241" i="13"/>
  <c r="C241" i="13"/>
  <c r="B241" i="13"/>
  <c r="A241" i="13"/>
  <c r="AG240" i="13"/>
  <c r="AF240" i="13"/>
  <c r="AE240" i="13"/>
  <c r="AD240" i="13"/>
  <c r="Z240" i="13"/>
  <c r="Y240" i="13"/>
  <c r="X240" i="13"/>
  <c r="U240" i="13"/>
  <c r="T240" i="13"/>
  <c r="S240" i="13"/>
  <c r="R240" i="13"/>
  <c r="Q240" i="13"/>
  <c r="O240" i="13"/>
  <c r="N240" i="13"/>
  <c r="M240" i="13"/>
  <c r="L240" i="13"/>
  <c r="F240" i="13"/>
  <c r="E240" i="13"/>
  <c r="D240" i="13"/>
  <c r="C240" i="13"/>
  <c r="B240" i="13"/>
  <c r="A240" i="13"/>
  <c r="AG239" i="13"/>
  <c r="AF239" i="13"/>
  <c r="AE239" i="13"/>
  <c r="AD239" i="13"/>
  <c r="Z239" i="13"/>
  <c r="Y239" i="13"/>
  <c r="X239" i="13"/>
  <c r="U239" i="13"/>
  <c r="T239" i="13"/>
  <c r="S239" i="13"/>
  <c r="R239" i="13"/>
  <c r="Q239" i="13"/>
  <c r="O239" i="13"/>
  <c r="N239" i="13"/>
  <c r="M239" i="13"/>
  <c r="L239" i="13"/>
  <c r="F239" i="13"/>
  <c r="E239" i="13"/>
  <c r="D239" i="13"/>
  <c r="C239" i="13"/>
  <c r="B239" i="13"/>
  <c r="A239" i="13"/>
  <c r="AG238" i="13"/>
  <c r="AF238" i="13"/>
  <c r="AE238" i="13"/>
  <c r="AD238" i="13"/>
  <c r="Z238" i="13"/>
  <c r="Y238" i="13"/>
  <c r="X238" i="13"/>
  <c r="U238" i="13"/>
  <c r="T238" i="13"/>
  <c r="S238" i="13"/>
  <c r="R238" i="13"/>
  <c r="Q238" i="13"/>
  <c r="O238" i="13"/>
  <c r="N238" i="13"/>
  <c r="M238" i="13"/>
  <c r="L238" i="13"/>
  <c r="F238" i="13"/>
  <c r="E238" i="13"/>
  <c r="D238" i="13"/>
  <c r="C238" i="13"/>
  <c r="B238" i="13"/>
  <c r="A238" i="13"/>
  <c r="AG237" i="13"/>
  <c r="AF237" i="13"/>
  <c r="AE237" i="13"/>
  <c r="AD237" i="13"/>
  <c r="Z237" i="13"/>
  <c r="Y237" i="13"/>
  <c r="X237" i="13"/>
  <c r="U237" i="13"/>
  <c r="T237" i="13"/>
  <c r="S237" i="13"/>
  <c r="R237" i="13"/>
  <c r="Q237" i="13"/>
  <c r="O237" i="13"/>
  <c r="N237" i="13"/>
  <c r="M237" i="13"/>
  <c r="L237" i="13"/>
  <c r="F237" i="13"/>
  <c r="E237" i="13"/>
  <c r="D237" i="13"/>
  <c r="C237" i="13"/>
  <c r="B237" i="13"/>
  <c r="A237" i="13"/>
  <c r="AG236" i="13"/>
  <c r="AF236" i="13"/>
  <c r="AE236" i="13"/>
  <c r="AD236" i="13"/>
  <c r="Z236" i="13"/>
  <c r="Y236" i="13"/>
  <c r="X236" i="13"/>
  <c r="U236" i="13"/>
  <c r="T236" i="13"/>
  <c r="S236" i="13"/>
  <c r="R236" i="13"/>
  <c r="Q236" i="13"/>
  <c r="O236" i="13"/>
  <c r="N236" i="13"/>
  <c r="M236" i="13"/>
  <c r="L236" i="13"/>
  <c r="F236" i="13"/>
  <c r="E236" i="13"/>
  <c r="D236" i="13"/>
  <c r="C236" i="13"/>
  <c r="B236" i="13"/>
  <c r="A236" i="13"/>
  <c r="AG235" i="13"/>
  <c r="AF235" i="13"/>
  <c r="AE235" i="13"/>
  <c r="AD235" i="13"/>
  <c r="Z235" i="13"/>
  <c r="Y235" i="13"/>
  <c r="X235" i="13"/>
  <c r="U235" i="13"/>
  <c r="T235" i="13"/>
  <c r="S235" i="13"/>
  <c r="R235" i="13"/>
  <c r="Q235" i="13"/>
  <c r="O235" i="13"/>
  <c r="N235" i="13"/>
  <c r="M235" i="13"/>
  <c r="L235" i="13"/>
  <c r="F235" i="13"/>
  <c r="E235" i="13"/>
  <c r="D235" i="13"/>
  <c r="C235" i="13"/>
  <c r="B235" i="13"/>
  <c r="A235" i="13"/>
  <c r="AG234" i="13"/>
  <c r="AF234" i="13"/>
  <c r="AE234" i="13"/>
  <c r="AD234" i="13"/>
  <c r="Z234" i="13"/>
  <c r="Y234" i="13"/>
  <c r="X234" i="13"/>
  <c r="U234" i="13"/>
  <c r="T234" i="13"/>
  <c r="S234" i="13"/>
  <c r="R234" i="13"/>
  <c r="Q234" i="13"/>
  <c r="O234" i="13"/>
  <c r="N234" i="13"/>
  <c r="M234" i="13"/>
  <c r="L234" i="13"/>
  <c r="F234" i="13"/>
  <c r="E234" i="13"/>
  <c r="D234" i="13"/>
  <c r="C234" i="13"/>
  <c r="B234" i="13"/>
  <c r="A234" i="13"/>
  <c r="AG233" i="13"/>
  <c r="AF233" i="13"/>
  <c r="AE233" i="13"/>
  <c r="AD233" i="13"/>
  <c r="Z233" i="13"/>
  <c r="Y233" i="13"/>
  <c r="X233" i="13"/>
  <c r="W233" i="13"/>
  <c r="U233" i="13"/>
  <c r="T233" i="13"/>
  <c r="S233" i="13"/>
  <c r="R233" i="13"/>
  <c r="Q233" i="13"/>
  <c r="P233" i="13"/>
  <c r="O233" i="13"/>
  <c r="N233" i="13"/>
  <c r="M233" i="13"/>
  <c r="L233" i="13"/>
  <c r="J233" i="13"/>
  <c r="G233" i="13"/>
  <c r="F233" i="13"/>
  <c r="E233" i="13"/>
  <c r="D233" i="13"/>
  <c r="C233" i="13"/>
  <c r="B233" i="13"/>
  <c r="A233" i="13"/>
  <c r="AG232" i="13"/>
  <c r="AF232" i="13"/>
  <c r="AE232" i="13"/>
  <c r="AD232" i="13"/>
  <c r="Z232" i="13"/>
  <c r="Y232" i="13"/>
  <c r="X232" i="13"/>
  <c r="W232" i="13"/>
  <c r="U232" i="13"/>
  <c r="T232" i="13"/>
  <c r="S232" i="13"/>
  <c r="R232" i="13"/>
  <c r="Q232" i="13"/>
  <c r="P232" i="13"/>
  <c r="O232" i="13"/>
  <c r="N232" i="13"/>
  <c r="M232" i="13"/>
  <c r="L232" i="13"/>
  <c r="J232" i="13"/>
  <c r="G232" i="13"/>
  <c r="F232" i="13"/>
  <c r="E232" i="13"/>
  <c r="D232" i="13"/>
  <c r="C232" i="13"/>
  <c r="B232" i="13"/>
  <c r="A232" i="13"/>
  <c r="AG231" i="13"/>
  <c r="AF231" i="13"/>
  <c r="AE231" i="13"/>
  <c r="AD231" i="13"/>
  <c r="Z231" i="13"/>
  <c r="Y231" i="13"/>
  <c r="X231" i="13"/>
  <c r="W231" i="13"/>
  <c r="U231" i="13"/>
  <c r="T231" i="13"/>
  <c r="S231" i="13"/>
  <c r="R231" i="13"/>
  <c r="Q231" i="13"/>
  <c r="P231" i="13"/>
  <c r="O231" i="13"/>
  <c r="N231" i="13"/>
  <c r="M231" i="13"/>
  <c r="L231" i="13"/>
  <c r="J231" i="13"/>
  <c r="G231" i="13"/>
  <c r="F231" i="13"/>
  <c r="E231" i="13"/>
  <c r="D231" i="13"/>
  <c r="C231" i="13"/>
  <c r="B231" i="13"/>
  <c r="A231" i="13"/>
  <c r="AG230" i="13"/>
  <c r="AF230" i="13"/>
  <c r="AE230" i="13"/>
  <c r="AD230" i="13"/>
  <c r="Z230" i="13"/>
  <c r="Y230" i="13"/>
  <c r="X230" i="13"/>
  <c r="W230" i="13"/>
  <c r="U230" i="13"/>
  <c r="T230" i="13"/>
  <c r="S230" i="13"/>
  <c r="R230" i="13"/>
  <c r="Q230" i="13"/>
  <c r="P230" i="13"/>
  <c r="O230" i="13"/>
  <c r="N230" i="13"/>
  <c r="M230" i="13"/>
  <c r="L230" i="13"/>
  <c r="J230" i="13"/>
  <c r="G230" i="13"/>
  <c r="F230" i="13"/>
  <c r="E230" i="13"/>
  <c r="D230" i="13"/>
  <c r="C230" i="13"/>
  <c r="B230" i="13"/>
  <c r="A230" i="13"/>
  <c r="AG229" i="13"/>
  <c r="AF229" i="13"/>
  <c r="AE229" i="13"/>
  <c r="AD229" i="13"/>
  <c r="Z229" i="13"/>
  <c r="Y229" i="13"/>
  <c r="X229" i="13"/>
  <c r="W229" i="13"/>
  <c r="U229" i="13"/>
  <c r="T229" i="13"/>
  <c r="S229" i="13"/>
  <c r="R229" i="13"/>
  <c r="Q229" i="13"/>
  <c r="P229" i="13"/>
  <c r="O229" i="13"/>
  <c r="N229" i="13"/>
  <c r="M229" i="13"/>
  <c r="L229" i="13"/>
  <c r="J229" i="13"/>
  <c r="G229" i="13"/>
  <c r="F229" i="13"/>
  <c r="E229" i="13"/>
  <c r="D229" i="13"/>
  <c r="C229" i="13"/>
  <c r="B229" i="13"/>
  <c r="A229" i="13"/>
  <c r="AG228" i="13"/>
  <c r="AF228" i="13"/>
  <c r="AE228" i="13"/>
  <c r="AD228" i="13"/>
  <c r="Z228" i="13"/>
  <c r="Y228" i="13"/>
  <c r="X228" i="13"/>
  <c r="W228" i="13"/>
  <c r="U228" i="13"/>
  <c r="T228" i="13"/>
  <c r="S228" i="13"/>
  <c r="R228" i="13"/>
  <c r="Q228" i="13"/>
  <c r="P228" i="13"/>
  <c r="O228" i="13"/>
  <c r="N228" i="13"/>
  <c r="M228" i="13"/>
  <c r="L228" i="13"/>
  <c r="J228" i="13"/>
  <c r="G228" i="13"/>
  <c r="F228" i="13"/>
  <c r="E228" i="13"/>
  <c r="D228" i="13"/>
  <c r="C228" i="13"/>
  <c r="B228" i="13"/>
  <c r="A228" i="13"/>
  <c r="AG227" i="13"/>
  <c r="AF227" i="13"/>
  <c r="AE227" i="13"/>
  <c r="AD227" i="13"/>
  <c r="Z227" i="13"/>
  <c r="Y227" i="13"/>
  <c r="X227" i="13"/>
  <c r="W227" i="13"/>
  <c r="U227" i="13"/>
  <c r="T227" i="13"/>
  <c r="S227" i="13"/>
  <c r="R227" i="13"/>
  <c r="Q227" i="13"/>
  <c r="P227" i="13"/>
  <c r="O227" i="13"/>
  <c r="N227" i="13"/>
  <c r="M227" i="13"/>
  <c r="L227" i="13"/>
  <c r="J227" i="13"/>
  <c r="G227" i="13"/>
  <c r="F227" i="13"/>
  <c r="E227" i="13"/>
  <c r="D227" i="13"/>
  <c r="C227" i="13"/>
  <c r="B227" i="13"/>
  <c r="A227" i="13"/>
  <c r="AG226" i="13"/>
  <c r="AF226" i="13"/>
  <c r="AE226" i="13"/>
  <c r="AD226" i="13"/>
  <c r="Z226" i="13"/>
  <c r="Y226" i="13"/>
  <c r="X226" i="13"/>
  <c r="W226" i="13"/>
  <c r="U226" i="13"/>
  <c r="T226" i="13"/>
  <c r="S226" i="13"/>
  <c r="R226" i="13"/>
  <c r="Q226" i="13"/>
  <c r="P226" i="13"/>
  <c r="O226" i="13"/>
  <c r="N226" i="13"/>
  <c r="M226" i="13"/>
  <c r="L226" i="13"/>
  <c r="J226" i="13"/>
  <c r="G226" i="13"/>
  <c r="F226" i="13"/>
  <c r="E226" i="13"/>
  <c r="D226" i="13"/>
  <c r="C226" i="13"/>
  <c r="B226" i="13"/>
  <c r="A226" i="13"/>
  <c r="AG225" i="13"/>
  <c r="AF225" i="13"/>
  <c r="AE225" i="13"/>
  <c r="AD225" i="13"/>
  <c r="Z225" i="13"/>
  <c r="Y225" i="13"/>
  <c r="X225" i="13"/>
  <c r="W225" i="13"/>
  <c r="U225" i="13"/>
  <c r="T225" i="13"/>
  <c r="S225" i="13"/>
  <c r="R225" i="13"/>
  <c r="Q225" i="13"/>
  <c r="P225" i="13"/>
  <c r="O225" i="13"/>
  <c r="N225" i="13"/>
  <c r="M225" i="13"/>
  <c r="L225" i="13"/>
  <c r="J225" i="13"/>
  <c r="G225" i="13"/>
  <c r="F225" i="13"/>
  <c r="E225" i="13"/>
  <c r="D225" i="13"/>
  <c r="C225" i="13"/>
  <c r="B225" i="13"/>
  <c r="A225" i="13"/>
  <c r="AG224" i="13"/>
  <c r="AF224" i="13"/>
  <c r="AE224" i="13"/>
  <c r="AD224" i="13"/>
  <c r="Z224" i="13"/>
  <c r="Y224" i="13"/>
  <c r="X224" i="13"/>
  <c r="W224" i="13"/>
  <c r="U224" i="13"/>
  <c r="T224" i="13"/>
  <c r="S224" i="13"/>
  <c r="R224" i="13"/>
  <c r="Q224" i="13"/>
  <c r="P224" i="13"/>
  <c r="O224" i="13"/>
  <c r="N224" i="13"/>
  <c r="M224" i="13"/>
  <c r="L224" i="13"/>
  <c r="J224" i="13"/>
  <c r="G224" i="13"/>
  <c r="F224" i="13"/>
  <c r="E224" i="13"/>
  <c r="D224" i="13"/>
  <c r="C224" i="13"/>
  <c r="B224" i="13"/>
  <c r="A224" i="13"/>
  <c r="AG223" i="13"/>
  <c r="AF223" i="13"/>
  <c r="AE223" i="13"/>
  <c r="AD223" i="13"/>
  <c r="Z223" i="13"/>
  <c r="Y223" i="13"/>
  <c r="X223" i="13"/>
  <c r="W223" i="13"/>
  <c r="U223" i="13"/>
  <c r="T223" i="13"/>
  <c r="S223" i="13"/>
  <c r="R223" i="13"/>
  <c r="Q223" i="13"/>
  <c r="P223" i="13"/>
  <c r="O223" i="13"/>
  <c r="N223" i="13"/>
  <c r="M223" i="13"/>
  <c r="L223" i="13"/>
  <c r="J223" i="13"/>
  <c r="G223" i="13"/>
  <c r="F223" i="13"/>
  <c r="E223" i="13"/>
  <c r="D223" i="13"/>
  <c r="C223" i="13"/>
  <c r="B223" i="13"/>
  <c r="A223" i="13"/>
  <c r="AG222" i="13"/>
  <c r="AF222" i="13"/>
  <c r="AE222" i="13"/>
  <c r="AD222" i="13"/>
  <c r="Z222" i="13"/>
  <c r="Y222" i="13"/>
  <c r="X222" i="13"/>
  <c r="W222" i="13"/>
  <c r="U222" i="13"/>
  <c r="T222" i="13"/>
  <c r="S222" i="13"/>
  <c r="R222" i="13"/>
  <c r="Q222" i="13"/>
  <c r="P222" i="13"/>
  <c r="O222" i="13"/>
  <c r="N222" i="13"/>
  <c r="M222" i="13"/>
  <c r="L222" i="13"/>
  <c r="J222" i="13"/>
  <c r="G222" i="13"/>
  <c r="F222" i="13"/>
  <c r="E222" i="13"/>
  <c r="D222" i="13"/>
  <c r="C222" i="13"/>
  <c r="B222" i="13"/>
  <c r="A222" i="13"/>
  <c r="AG221" i="13"/>
  <c r="AF221" i="13"/>
  <c r="AE221" i="13"/>
  <c r="AD221" i="13"/>
  <c r="Z221" i="13"/>
  <c r="Y221" i="13"/>
  <c r="X221" i="13"/>
  <c r="W221" i="13"/>
  <c r="U221" i="13"/>
  <c r="T221" i="13"/>
  <c r="S221" i="13"/>
  <c r="R221" i="13"/>
  <c r="Q221" i="13"/>
  <c r="P221" i="13"/>
  <c r="O221" i="13"/>
  <c r="N221" i="13"/>
  <c r="M221" i="13"/>
  <c r="L221" i="13"/>
  <c r="J221" i="13"/>
  <c r="G221" i="13"/>
  <c r="F221" i="13"/>
  <c r="E221" i="13"/>
  <c r="D221" i="13"/>
  <c r="C221" i="13"/>
  <c r="B221" i="13"/>
  <c r="A221" i="13"/>
  <c r="AG220" i="13"/>
  <c r="AF220" i="13"/>
  <c r="AE220" i="13"/>
  <c r="AD220" i="13"/>
  <c r="Z220" i="13"/>
  <c r="Y220" i="13"/>
  <c r="X220" i="13"/>
  <c r="W220" i="13"/>
  <c r="U220" i="13"/>
  <c r="T220" i="13"/>
  <c r="S220" i="13"/>
  <c r="R220" i="13"/>
  <c r="Q220" i="13"/>
  <c r="P220" i="13"/>
  <c r="O220" i="13"/>
  <c r="N220" i="13"/>
  <c r="M220" i="13"/>
  <c r="L220" i="13"/>
  <c r="J220" i="13"/>
  <c r="G220" i="13"/>
  <c r="F220" i="13"/>
  <c r="E220" i="13"/>
  <c r="D220" i="13"/>
  <c r="C220" i="13"/>
  <c r="B220" i="13"/>
  <c r="A220" i="13"/>
  <c r="AG219" i="13"/>
  <c r="AF219" i="13"/>
  <c r="AE219" i="13"/>
  <c r="AD219" i="13"/>
  <c r="Z219" i="13"/>
  <c r="Y219" i="13"/>
  <c r="X219" i="13"/>
  <c r="W219" i="13"/>
  <c r="U219" i="13"/>
  <c r="T219" i="13"/>
  <c r="S219" i="13"/>
  <c r="R219" i="13"/>
  <c r="Q219" i="13"/>
  <c r="P219" i="13"/>
  <c r="O219" i="13"/>
  <c r="N219" i="13"/>
  <c r="M219" i="13"/>
  <c r="L219" i="13"/>
  <c r="J219" i="13"/>
  <c r="G219" i="13"/>
  <c r="F219" i="13"/>
  <c r="E219" i="13"/>
  <c r="D219" i="13"/>
  <c r="C219" i="13"/>
  <c r="B219" i="13"/>
  <c r="A219" i="13"/>
  <c r="AG218" i="13"/>
  <c r="AF218" i="13"/>
  <c r="AE218" i="13"/>
  <c r="AD218" i="13"/>
  <c r="Z218" i="13"/>
  <c r="Y218" i="13"/>
  <c r="X218" i="13"/>
  <c r="W218" i="13"/>
  <c r="U218" i="13"/>
  <c r="T218" i="13"/>
  <c r="S218" i="13"/>
  <c r="R218" i="13"/>
  <c r="Q218" i="13"/>
  <c r="P218" i="13"/>
  <c r="O218" i="13"/>
  <c r="N218" i="13"/>
  <c r="M218" i="13"/>
  <c r="L218" i="13"/>
  <c r="J218" i="13"/>
  <c r="G218" i="13"/>
  <c r="F218" i="13"/>
  <c r="E218" i="13"/>
  <c r="D218" i="13"/>
  <c r="C218" i="13"/>
  <c r="B218" i="13"/>
  <c r="A218" i="13"/>
  <c r="AG217" i="13"/>
  <c r="AF217" i="13"/>
  <c r="AE217" i="13"/>
  <c r="AD217" i="13"/>
  <c r="Z217" i="13"/>
  <c r="Y217" i="13"/>
  <c r="X217" i="13"/>
  <c r="W217" i="13"/>
  <c r="U217" i="13"/>
  <c r="T217" i="13"/>
  <c r="S217" i="13"/>
  <c r="R217" i="13"/>
  <c r="Q217" i="13"/>
  <c r="P217" i="13"/>
  <c r="O217" i="13"/>
  <c r="N217" i="13"/>
  <c r="M217" i="13"/>
  <c r="L217" i="13"/>
  <c r="J217" i="13"/>
  <c r="G217" i="13"/>
  <c r="F217" i="13"/>
  <c r="E217" i="13"/>
  <c r="D217" i="13"/>
  <c r="C217" i="13"/>
  <c r="B217" i="13"/>
  <c r="A217" i="13"/>
  <c r="AG216" i="13"/>
  <c r="AF216" i="13"/>
  <c r="AE216" i="13"/>
  <c r="AD216" i="13"/>
  <c r="Z216" i="13"/>
  <c r="Y216" i="13"/>
  <c r="X216" i="13"/>
  <c r="W216" i="13"/>
  <c r="U216" i="13"/>
  <c r="T216" i="13"/>
  <c r="S216" i="13"/>
  <c r="R216" i="13"/>
  <c r="Q216" i="13"/>
  <c r="P216" i="13"/>
  <c r="O216" i="13"/>
  <c r="N216" i="13"/>
  <c r="M216" i="13"/>
  <c r="L216" i="13"/>
  <c r="J216" i="13"/>
  <c r="G216" i="13"/>
  <c r="F216" i="13"/>
  <c r="E216" i="13"/>
  <c r="D216" i="13"/>
  <c r="C216" i="13"/>
  <c r="B216" i="13"/>
  <c r="A216" i="13"/>
  <c r="AG215" i="13"/>
  <c r="AF215" i="13"/>
  <c r="AE215" i="13"/>
  <c r="AD215" i="13"/>
  <c r="Z215" i="13"/>
  <c r="Y215" i="13"/>
  <c r="X215" i="13"/>
  <c r="W215" i="13"/>
  <c r="U215" i="13"/>
  <c r="T215" i="13"/>
  <c r="S215" i="13"/>
  <c r="R215" i="13"/>
  <c r="Q215" i="13"/>
  <c r="P215" i="13"/>
  <c r="O215" i="13"/>
  <c r="N215" i="13"/>
  <c r="M215" i="13"/>
  <c r="L215" i="13"/>
  <c r="J215" i="13"/>
  <c r="G215" i="13"/>
  <c r="F215" i="13"/>
  <c r="E215" i="13"/>
  <c r="D215" i="13"/>
  <c r="C215" i="13"/>
  <c r="B215" i="13"/>
  <c r="A215" i="13"/>
  <c r="AG214" i="13"/>
  <c r="AF214" i="13"/>
  <c r="AE214" i="13"/>
  <c r="AD214" i="13"/>
  <c r="Z214" i="13"/>
  <c r="Y214" i="13"/>
  <c r="X214" i="13"/>
  <c r="W214" i="13"/>
  <c r="U214" i="13"/>
  <c r="T214" i="13"/>
  <c r="S214" i="13"/>
  <c r="R214" i="13"/>
  <c r="Q214" i="13"/>
  <c r="P214" i="13"/>
  <c r="O214" i="13"/>
  <c r="N214" i="13"/>
  <c r="M214" i="13"/>
  <c r="L214" i="13"/>
  <c r="J214" i="13"/>
  <c r="G214" i="13"/>
  <c r="F214" i="13"/>
  <c r="E214" i="13"/>
  <c r="D214" i="13"/>
  <c r="C214" i="13"/>
  <c r="B214" i="13"/>
  <c r="A214" i="13"/>
  <c r="AG213" i="13"/>
  <c r="AF213" i="13"/>
  <c r="AE213" i="13"/>
  <c r="AD213" i="13"/>
  <c r="Z213" i="13"/>
  <c r="Y213" i="13"/>
  <c r="X213" i="13"/>
  <c r="W213" i="13"/>
  <c r="U213" i="13"/>
  <c r="T213" i="13"/>
  <c r="S213" i="13"/>
  <c r="R213" i="13"/>
  <c r="Q213" i="13"/>
  <c r="P213" i="13"/>
  <c r="O213" i="13"/>
  <c r="N213" i="13"/>
  <c r="M213" i="13"/>
  <c r="L213" i="13"/>
  <c r="J213" i="13"/>
  <c r="G213" i="13"/>
  <c r="F213" i="13"/>
  <c r="E213" i="13"/>
  <c r="D213" i="13"/>
  <c r="C213" i="13"/>
  <c r="B213" i="13"/>
  <c r="A213" i="13"/>
  <c r="AG212" i="13"/>
  <c r="AF212" i="13"/>
  <c r="AE212" i="13"/>
  <c r="AD212" i="13"/>
  <c r="Z212" i="13"/>
  <c r="Y212" i="13"/>
  <c r="X212" i="13"/>
  <c r="W212" i="13"/>
  <c r="U212" i="13"/>
  <c r="T212" i="13"/>
  <c r="S212" i="13"/>
  <c r="R212" i="13"/>
  <c r="Q212" i="13"/>
  <c r="P212" i="13"/>
  <c r="O212" i="13"/>
  <c r="N212" i="13"/>
  <c r="M212" i="13"/>
  <c r="L212" i="13"/>
  <c r="J212" i="13"/>
  <c r="G212" i="13"/>
  <c r="F212" i="13"/>
  <c r="E212" i="13"/>
  <c r="D212" i="13"/>
  <c r="C212" i="13"/>
  <c r="B212" i="13"/>
  <c r="A212" i="13"/>
  <c r="AG211" i="13"/>
  <c r="AF211" i="13"/>
  <c r="AE211" i="13"/>
  <c r="AD211" i="13"/>
  <c r="Z211" i="13"/>
  <c r="Y211" i="13"/>
  <c r="X211" i="13"/>
  <c r="W211" i="13"/>
  <c r="U211" i="13"/>
  <c r="T211" i="13"/>
  <c r="S211" i="13"/>
  <c r="R211" i="13"/>
  <c r="Q211" i="13"/>
  <c r="P211" i="13"/>
  <c r="O211" i="13"/>
  <c r="N211" i="13"/>
  <c r="M211" i="13"/>
  <c r="L211" i="13"/>
  <c r="J211" i="13"/>
  <c r="G211" i="13"/>
  <c r="F211" i="13"/>
  <c r="E211" i="13"/>
  <c r="D211" i="13"/>
  <c r="C211" i="13"/>
  <c r="B211" i="13"/>
  <c r="A211" i="13"/>
  <c r="AG210" i="13"/>
  <c r="AF210" i="13"/>
  <c r="AE210" i="13"/>
  <c r="AD210" i="13"/>
  <c r="Z210" i="13"/>
  <c r="Y210" i="13"/>
  <c r="X210" i="13"/>
  <c r="W210" i="13"/>
  <c r="U210" i="13"/>
  <c r="T210" i="13"/>
  <c r="S210" i="13"/>
  <c r="R210" i="13"/>
  <c r="Q210" i="13"/>
  <c r="P210" i="13"/>
  <c r="O210" i="13"/>
  <c r="N210" i="13"/>
  <c r="M210" i="13"/>
  <c r="L210" i="13"/>
  <c r="J210" i="13"/>
  <c r="G210" i="13"/>
  <c r="F210" i="13"/>
  <c r="E210" i="13"/>
  <c r="D210" i="13"/>
  <c r="C210" i="13"/>
  <c r="B210" i="13"/>
  <c r="A210" i="13"/>
  <c r="AG209" i="13"/>
  <c r="AF209" i="13"/>
  <c r="AE209" i="13"/>
  <c r="AD209" i="13"/>
  <c r="Z209" i="13"/>
  <c r="Y209" i="13"/>
  <c r="X209" i="13"/>
  <c r="W209" i="13"/>
  <c r="U209" i="13"/>
  <c r="T209" i="13"/>
  <c r="S209" i="13"/>
  <c r="R209" i="13"/>
  <c r="Q209" i="13"/>
  <c r="P209" i="13"/>
  <c r="O209" i="13"/>
  <c r="N209" i="13"/>
  <c r="M209" i="13"/>
  <c r="L209" i="13"/>
  <c r="J209" i="13"/>
  <c r="G209" i="13"/>
  <c r="F209" i="13"/>
  <c r="E209" i="13"/>
  <c r="D209" i="13"/>
  <c r="C209" i="13"/>
  <c r="B209" i="13"/>
  <c r="A209" i="13"/>
  <c r="AG208" i="13"/>
  <c r="AF208" i="13"/>
  <c r="AE208" i="13"/>
  <c r="AD208" i="13"/>
  <c r="Z208" i="13"/>
  <c r="Y208" i="13"/>
  <c r="X208" i="13"/>
  <c r="W208" i="13"/>
  <c r="U208" i="13"/>
  <c r="T208" i="13"/>
  <c r="S208" i="13"/>
  <c r="R208" i="13"/>
  <c r="Q208" i="13"/>
  <c r="P208" i="13"/>
  <c r="O208" i="13"/>
  <c r="N208" i="13"/>
  <c r="M208" i="13"/>
  <c r="L208" i="13"/>
  <c r="J208" i="13"/>
  <c r="G208" i="13"/>
  <c r="F208" i="13"/>
  <c r="E208" i="13"/>
  <c r="D208" i="13"/>
  <c r="C208" i="13"/>
  <c r="B208" i="13"/>
  <c r="A208" i="13"/>
  <c r="AG207" i="13"/>
  <c r="AF207" i="13"/>
  <c r="AE207" i="13"/>
  <c r="AD207" i="13"/>
  <c r="Z207" i="13"/>
  <c r="Y207" i="13"/>
  <c r="X207" i="13"/>
  <c r="W207" i="13"/>
  <c r="U207" i="13"/>
  <c r="T207" i="13"/>
  <c r="S207" i="13"/>
  <c r="R207" i="13"/>
  <c r="Q207" i="13"/>
  <c r="P207" i="13"/>
  <c r="O207" i="13"/>
  <c r="N207" i="13"/>
  <c r="M207" i="13"/>
  <c r="L207" i="13"/>
  <c r="J207" i="13"/>
  <c r="G207" i="13"/>
  <c r="F207" i="13"/>
  <c r="E207" i="13"/>
  <c r="D207" i="13"/>
  <c r="C207" i="13"/>
  <c r="B207" i="13"/>
  <c r="A207" i="13"/>
  <c r="AG206" i="13"/>
  <c r="AF206" i="13"/>
  <c r="AE206" i="13"/>
  <c r="AD206" i="13"/>
  <c r="Z206" i="13"/>
  <c r="Y206" i="13"/>
  <c r="X206" i="13"/>
  <c r="W206" i="13"/>
  <c r="U206" i="13"/>
  <c r="T206" i="13"/>
  <c r="S206" i="13"/>
  <c r="R206" i="13"/>
  <c r="Q206" i="13"/>
  <c r="P206" i="13"/>
  <c r="O206" i="13"/>
  <c r="N206" i="13"/>
  <c r="M206" i="13"/>
  <c r="L206" i="13"/>
  <c r="J206" i="13"/>
  <c r="G206" i="13"/>
  <c r="F206" i="13"/>
  <c r="E206" i="13"/>
  <c r="D206" i="13"/>
  <c r="C206" i="13"/>
  <c r="B206" i="13"/>
  <c r="A206" i="13"/>
  <c r="AG205" i="13"/>
  <c r="AF205" i="13"/>
  <c r="AE205" i="13"/>
  <c r="AD205" i="13"/>
  <c r="Z205" i="13"/>
  <c r="Y205" i="13"/>
  <c r="X205" i="13"/>
  <c r="W205" i="13"/>
  <c r="U205" i="13"/>
  <c r="T205" i="13"/>
  <c r="S205" i="13"/>
  <c r="R205" i="13"/>
  <c r="Q205" i="13"/>
  <c r="P205" i="13"/>
  <c r="O205" i="13"/>
  <c r="N205" i="13"/>
  <c r="M205" i="13"/>
  <c r="L205" i="13"/>
  <c r="J205" i="13"/>
  <c r="G205" i="13"/>
  <c r="F205" i="13"/>
  <c r="E205" i="13"/>
  <c r="D205" i="13"/>
  <c r="C205" i="13"/>
  <c r="B205" i="13"/>
  <c r="A205" i="13"/>
  <c r="AG204" i="13"/>
  <c r="AF204" i="13"/>
  <c r="AE204" i="13"/>
  <c r="AD204" i="13"/>
  <c r="AA204" i="13"/>
  <c r="Z204" i="13"/>
  <c r="Y204" i="13"/>
  <c r="X204" i="13"/>
  <c r="W204" i="13"/>
  <c r="U204" i="13"/>
  <c r="T204" i="13"/>
  <c r="S204" i="13"/>
  <c r="R204" i="13"/>
  <c r="Q204" i="13"/>
  <c r="P204" i="13"/>
  <c r="O204" i="13"/>
  <c r="N204" i="13"/>
  <c r="M204" i="13"/>
  <c r="L204" i="13"/>
  <c r="J204" i="13"/>
  <c r="H204" i="13"/>
  <c r="G204" i="13"/>
  <c r="F204" i="13"/>
  <c r="E204" i="13"/>
  <c r="D204" i="13"/>
  <c r="C204" i="13"/>
  <c r="B204" i="13"/>
  <c r="A204" i="13"/>
  <c r="AG203" i="13"/>
  <c r="AF203" i="13"/>
  <c r="AE203" i="13"/>
  <c r="AD203" i="13"/>
  <c r="Z203" i="13"/>
  <c r="Y203" i="13"/>
  <c r="X203" i="13"/>
  <c r="U203" i="13"/>
  <c r="T203" i="13"/>
  <c r="S203" i="13"/>
  <c r="R203" i="13"/>
  <c r="Q203" i="13"/>
  <c r="O203" i="13"/>
  <c r="N203" i="13"/>
  <c r="M203" i="13"/>
  <c r="L203" i="13"/>
  <c r="F203" i="13"/>
  <c r="E203" i="13"/>
  <c r="D203" i="13"/>
  <c r="C203" i="13"/>
  <c r="B203" i="13"/>
  <c r="A203" i="13"/>
  <c r="AG202" i="13"/>
  <c r="AF202" i="13"/>
  <c r="AE202" i="13"/>
  <c r="AD202" i="13"/>
  <c r="Z202" i="13"/>
  <c r="Y202" i="13"/>
  <c r="X202" i="13"/>
  <c r="U202" i="13"/>
  <c r="T202" i="13"/>
  <c r="S202" i="13"/>
  <c r="R202" i="13"/>
  <c r="Q202" i="13"/>
  <c r="O202" i="13"/>
  <c r="N202" i="13"/>
  <c r="M202" i="13"/>
  <c r="L202" i="13"/>
  <c r="F202" i="13"/>
  <c r="E202" i="13"/>
  <c r="D202" i="13"/>
  <c r="C202" i="13"/>
  <c r="B202" i="13"/>
  <c r="A202" i="13"/>
  <c r="AG201" i="13"/>
  <c r="AF201" i="13"/>
  <c r="AE201" i="13"/>
  <c r="AD201" i="13"/>
  <c r="Z201" i="13"/>
  <c r="Y201" i="13"/>
  <c r="X201" i="13"/>
  <c r="U201" i="13"/>
  <c r="T201" i="13"/>
  <c r="S201" i="13"/>
  <c r="R201" i="13"/>
  <c r="Q201" i="13"/>
  <c r="O201" i="13"/>
  <c r="N201" i="13"/>
  <c r="M201" i="13"/>
  <c r="L201" i="13"/>
  <c r="F201" i="13"/>
  <c r="E201" i="13"/>
  <c r="D201" i="13"/>
  <c r="C201" i="13"/>
  <c r="B201" i="13"/>
  <c r="A201" i="13"/>
  <c r="AG200" i="13"/>
  <c r="AF200" i="13"/>
  <c r="AE200" i="13"/>
  <c r="AD200" i="13"/>
  <c r="Z200" i="13"/>
  <c r="Y200" i="13"/>
  <c r="X200" i="13"/>
  <c r="U200" i="13"/>
  <c r="T200" i="13"/>
  <c r="S200" i="13"/>
  <c r="R200" i="13"/>
  <c r="Q200" i="13"/>
  <c r="O200" i="13"/>
  <c r="N200" i="13"/>
  <c r="M200" i="13"/>
  <c r="L200" i="13"/>
  <c r="F200" i="13"/>
  <c r="E200" i="13"/>
  <c r="D200" i="13"/>
  <c r="C200" i="13"/>
  <c r="B200" i="13"/>
  <c r="A200" i="13"/>
  <c r="AG199" i="13"/>
  <c r="AF199" i="13"/>
  <c r="AE199" i="13"/>
  <c r="AD199" i="13"/>
  <c r="Z199" i="13"/>
  <c r="Y199" i="13"/>
  <c r="X199" i="13"/>
  <c r="U199" i="13"/>
  <c r="T199" i="13"/>
  <c r="S199" i="13"/>
  <c r="R199" i="13"/>
  <c r="Q199" i="13"/>
  <c r="O199" i="13"/>
  <c r="N199" i="13"/>
  <c r="M199" i="13"/>
  <c r="L199" i="13"/>
  <c r="F199" i="13"/>
  <c r="E199" i="13"/>
  <c r="D199" i="13"/>
  <c r="C199" i="13"/>
  <c r="B199" i="13"/>
  <c r="A199" i="13"/>
  <c r="AG198" i="13"/>
  <c r="AF198" i="13"/>
  <c r="AE198" i="13"/>
  <c r="AD198" i="13"/>
  <c r="Z198" i="13"/>
  <c r="Y198" i="13"/>
  <c r="X198" i="13"/>
  <c r="U198" i="13"/>
  <c r="T198" i="13"/>
  <c r="S198" i="13"/>
  <c r="R198" i="13"/>
  <c r="Q198" i="13"/>
  <c r="O198" i="13"/>
  <c r="N198" i="13"/>
  <c r="M198" i="13"/>
  <c r="L198" i="13"/>
  <c r="F198" i="13"/>
  <c r="E198" i="13"/>
  <c r="D198" i="13"/>
  <c r="C198" i="13"/>
  <c r="B198" i="13"/>
  <c r="A198" i="13"/>
  <c r="AG197" i="13"/>
  <c r="AF197" i="13"/>
  <c r="AE197" i="13"/>
  <c r="AD197" i="13"/>
  <c r="Z197" i="13"/>
  <c r="Y197" i="13"/>
  <c r="X197" i="13"/>
  <c r="U197" i="13"/>
  <c r="T197" i="13"/>
  <c r="S197" i="13"/>
  <c r="R197" i="13"/>
  <c r="Q197" i="13"/>
  <c r="O197" i="13"/>
  <c r="N197" i="13"/>
  <c r="M197" i="13"/>
  <c r="L197" i="13"/>
  <c r="F197" i="13"/>
  <c r="E197" i="13"/>
  <c r="D197" i="13"/>
  <c r="C197" i="13"/>
  <c r="B197" i="13"/>
  <c r="A197" i="13"/>
  <c r="AG196" i="13"/>
  <c r="AF196" i="13"/>
  <c r="AE196" i="13"/>
  <c r="AD196" i="13"/>
  <c r="Z196" i="13"/>
  <c r="Y196" i="13"/>
  <c r="X196" i="13"/>
  <c r="U196" i="13"/>
  <c r="T196" i="13"/>
  <c r="S196" i="13"/>
  <c r="R196" i="13"/>
  <c r="Q196" i="13"/>
  <c r="O196" i="13"/>
  <c r="N196" i="13"/>
  <c r="M196" i="13"/>
  <c r="L196" i="13"/>
  <c r="F196" i="13"/>
  <c r="E196" i="13"/>
  <c r="D196" i="13"/>
  <c r="C196" i="13"/>
  <c r="B196" i="13"/>
  <c r="A196" i="13"/>
  <c r="AG195" i="13"/>
  <c r="AF195" i="13"/>
  <c r="AE195" i="13"/>
  <c r="AD195" i="13"/>
  <c r="Z195" i="13"/>
  <c r="Y195" i="13"/>
  <c r="X195" i="13"/>
  <c r="U195" i="13"/>
  <c r="T195" i="13"/>
  <c r="S195" i="13"/>
  <c r="R195" i="13"/>
  <c r="Q195" i="13"/>
  <c r="O195" i="13"/>
  <c r="N195" i="13"/>
  <c r="M195" i="13"/>
  <c r="L195" i="13"/>
  <c r="F195" i="13"/>
  <c r="E195" i="13"/>
  <c r="D195" i="13"/>
  <c r="C195" i="13"/>
  <c r="B195" i="13"/>
  <c r="A195" i="13"/>
  <c r="AG194" i="13"/>
  <c r="AF194" i="13"/>
  <c r="AE194" i="13"/>
  <c r="AD194" i="13"/>
  <c r="Z194" i="13"/>
  <c r="Y194" i="13"/>
  <c r="X194" i="13"/>
  <c r="U194" i="13"/>
  <c r="T194" i="13"/>
  <c r="S194" i="13"/>
  <c r="R194" i="13"/>
  <c r="Q194" i="13"/>
  <c r="O194" i="13"/>
  <c r="N194" i="13"/>
  <c r="M194" i="13"/>
  <c r="L194" i="13"/>
  <c r="F194" i="13"/>
  <c r="E194" i="13"/>
  <c r="D194" i="13"/>
  <c r="C194" i="13"/>
  <c r="B194" i="13"/>
  <c r="A194" i="13"/>
  <c r="AG193" i="13"/>
  <c r="AF193" i="13"/>
  <c r="AE193" i="13"/>
  <c r="AD193" i="13"/>
  <c r="Z193" i="13"/>
  <c r="Y193" i="13"/>
  <c r="X193" i="13"/>
  <c r="U193" i="13"/>
  <c r="T193" i="13"/>
  <c r="S193" i="13"/>
  <c r="R193" i="13"/>
  <c r="Q193" i="13"/>
  <c r="O193" i="13"/>
  <c r="N193" i="13"/>
  <c r="M193" i="13"/>
  <c r="L193" i="13"/>
  <c r="F193" i="13"/>
  <c r="E193" i="13"/>
  <c r="D193" i="13"/>
  <c r="C193" i="13"/>
  <c r="B193" i="13"/>
  <c r="A193" i="13"/>
  <c r="AG192" i="13"/>
  <c r="AF192" i="13"/>
  <c r="AE192" i="13"/>
  <c r="AD192" i="13"/>
  <c r="Z192" i="13"/>
  <c r="Y192" i="13"/>
  <c r="X192" i="13"/>
  <c r="U192" i="13"/>
  <c r="T192" i="13"/>
  <c r="S192" i="13"/>
  <c r="R192" i="13"/>
  <c r="Q192" i="13"/>
  <c r="O192" i="13"/>
  <c r="N192" i="13"/>
  <c r="M192" i="13"/>
  <c r="L192" i="13"/>
  <c r="F192" i="13"/>
  <c r="E192" i="13"/>
  <c r="D192" i="13"/>
  <c r="C192" i="13"/>
  <c r="B192" i="13"/>
  <c r="A192" i="13"/>
  <c r="AG191" i="13"/>
  <c r="AF191" i="13"/>
  <c r="AE191" i="13"/>
  <c r="AD191" i="13"/>
  <c r="Z191" i="13"/>
  <c r="Y191" i="13"/>
  <c r="X191" i="13"/>
  <c r="U191" i="13"/>
  <c r="T191" i="13"/>
  <c r="S191" i="13"/>
  <c r="R191" i="13"/>
  <c r="Q191" i="13"/>
  <c r="O191" i="13"/>
  <c r="N191" i="13"/>
  <c r="M191" i="13"/>
  <c r="L191" i="13"/>
  <c r="F191" i="13"/>
  <c r="E191" i="13"/>
  <c r="D191" i="13"/>
  <c r="C191" i="13"/>
  <c r="B191" i="13"/>
  <c r="A191" i="13"/>
  <c r="AG190" i="13"/>
  <c r="AF190" i="13"/>
  <c r="AE190" i="13"/>
  <c r="AD190" i="13"/>
  <c r="Z190" i="13"/>
  <c r="Y190" i="13"/>
  <c r="X190" i="13"/>
  <c r="U190" i="13"/>
  <c r="T190" i="13"/>
  <c r="S190" i="13"/>
  <c r="R190" i="13"/>
  <c r="Q190" i="13"/>
  <c r="O190" i="13"/>
  <c r="N190" i="13"/>
  <c r="M190" i="13"/>
  <c r="L190" i="13"/>
  <c r="F190" i="13"/>
  <c r="E190" i="13"/>
  <c r="D190" i="13"/>
  <c r="C190" i="13"/>
  <c r="B190" i="13"/>
  <c r="A190" i="13"/>
  <c r="AG189" i="13"/>
  <c r="AF189" i="13"/>
  <c r="AE189" i="13"/>
  <c r="AD189" i="13"/>
  <c r="Z189" i="13"/>
  <c r="Y189" i="13"/>
  <c r="X189" i="13"/>
  <c r="W189" i="13"/>
  <c r="U189" i="13"/>
  <c r="T189" i="13"/>
  <c r="S189" i="13"/>
  <c r="R189" i="13"/>
  <c r="Q189" i="13"/>
  <c r="P189" i="13"/>
  <c r="O189" i="13"/>
  <c r="N189" i="13"/>
  <c r="M189" i="13"/>
  <c r="L189" i="13"/>
  <c r="J189" i="13"/>
  <c r="G189" i="13"/>
  <c r="F189" i="13"/>
  <c r="E189" i="13"/>
  <c r="D189" i="13"/>
  <c r="C189" i="13"/>
  <c r="B189" i="13"/>
  <c r="A189" i="13"/>
  <c r="AG188" i="13"/>
  <c r="AF188" i="13"/>
  <c r="AE188" i="13"/>
  <c r="AD188" i="13"/>
  <c r="Z188" i="13"/>
  <c r="Y188" i="13"/>
  <c r="X188" i="13"/>
  <c r="W188" i="13"/>
  <c r="U188" i="13"/>
  <c r="T188" i="13"/>
  <c r="S188" i="13"/>
  <c r="R188" i="13"/>
  <c r="Q188" i="13"/>
  <c r="P188" i="13"/>
  <c r="O188" i="13"/>
  <c r="N188" i="13"/>
  <c r="M188" i="13"/>
  <c r="L188" i="13"/>
  <c r="J188" i="13"/>
  <c r="G188" i="13"/>
  <c r="F188" i="13"/>
  <c r="E188" i="13"/>
  <c r="D188" i="13"/>
  <c r="C188" i="13"/>
  <c r="B188" i="13"/>
  <c r="A188" i="13"/>
  <c r="AG187" i="13"/>
  <c r="AF187" i="13"/>
  <c r="AE187" i="13"/>
  <c r="AD187" i="13"/>
  <c r="Z187" i="13"/>
  <c r="Y187" i="13"/>
  <c r="X187" i="13"/>
  <c r="W187" i="13"/>
  <c r="U187" i="13"/>
  <c r="T187" i="13"/>
  <c r="S187" i="13"/>
  <c r="R187" i="13"/>
  <c r="Q187" i="13"/>
  <c r="P187" i="13"/>
  <c r="O187" i="13"/>
  <c r="N187" i="13"/>
  <c r="M187" i="13"/>
  <c r="L187" i="13"/>
  <c r="J187" i="13"/>
  <c r="G187" i="13"/>
  <c r="F187" i="13"/>
  <c r="E187" i="13"/>
  <c r="D187" i="13"/>
  <c r="C187" i="13"/>
  <c r="B187" i="13"/>
  <c r="A187" i="13"/>
  <c r="AG186" i="13"/>
  <c r="AF186" i="13"/>
  <c r="AE186" i="13"/>
  <c r="AD186" i="13"/>
  <c r="Z186" i="13"/>
  <c r="Y186" i="13"/>
  <c r="X186" i="13"/>
  <c r="W186" i="13"/>
  <c r="U186" i="13"/>
  <c r="T186" i="13"/>
  <c r="S186" i="13"/>
  <c r="R186" i="13"/>
  <c r="Q186" i="13"/>
  <c r="P186" i="13"/>
  <c r="O186" i="13"/>
  <c r="N186" i="13"/>
  <c r="M186" i="13"/>
  <c r="L186" i="13"/>
  <c r="J186" i="13"/>
  <c r="G186" i="13"/>
  <c r="F186" i="13"/>
  <c r="E186" i="13"/>
  <c r="D186" i="13"/>
  <c r="C186" i="13"/>
  <c r="B186" i="13"/>
  <c r="A186" i="13"/>
  <c r="AG185" i="13"/>
  <c r="AF185" i="13"/>
  <c r="AE185" i="13"/>
  <c r="AD185" i="13"/>
  <c r="Z185" i="13"/>
  <c r="Y185" i="13"/>
  <c r="X185" i="13"/>
  <c r="W185" i="13"/>
  <c r="U185" i="13"/>
  <c r="T185" i="13"/>
  <c r="S185" i="13"/>
  <c r="R185" i="13"/>
  <c r="Q185" i="13"/>
  <c r="P185" i="13"/>
  <c r="O185" i="13"/>
  <c r="N185" i="13"/>
  <c r="M185" i="13"/>
  <c r="L185" i="13"/>
  <c r="J185" i="13"/>
  <c r="G185" i="13"/>
  <c r="F185" i="13"/>
  <c r="E185" i="13"/>
  <c r="D185" i="13"/>
  <c r="C185" i="13"/>
  <c r="B185" i="13"/>
  <c r="A185" i="13"/>
  <c r="AG184" i="13"/>
  <c r="AF184" i="13"/>
  <c r="AE184" i="13"/>
  <c r="AD184" i="13"/>
  <c r="Z184" i="13"/>
  <c r="Y184" i="13"/>
  <c r="X184" i="13"/>
  <c r="W184" i="13"/>
  <c r="U184" i="13"/>
  <c r="T184" i="13"/>
  <c r="S184" i="13"/>
  <c r="R184" i="13"/>
  <c r="Q184" i="13"/>
  <c r="P184" i="13"/>
  <c r="O184" i="13"/>
  <c r="N184" i="13"/>
  <c r="M184" i="13"/>
  <c r="L184" i="13"/>
  <c r="J184" i="13"/>
  <c r="G184" i="13"/>
  <c r="F184" i="13"/>
  <c r="E184" i="13"/>
  <c r="D184" i="13"/>
  <c r="C184" i="13"/>
  <c r="B184" i="13"/>
  <c r="A184" i="13"/>
  <c r="AG183" i="13"/>
  <c r="AF183" i="13"/>
  <c r="AE183" i="13"/>
  <c r="AD183" i="13"/>
  <c r="Z183" i="13"/>
  <c r="Y183" i="13"/>
  <c r="X183" i="13"/>
  <c r="W183" i="13"/>
  <c r="U183" i="13"/>
  <c r="T183" i="13"/>
  <c r="S183" i="13"/>
  <c r="R183" i="13"/>
  <c r="Q183" i="13"/>
  <c r="P183" i="13"/>
  <c r="O183" i="13"/>
  <c r="N183" i="13"/>
  <c r="M183" i="13"/>
  <c r="L183" i="13"/>
  <c r="J183" i="13"/>
  <c r="G183" i="13"/>
  <c r="F183" i="13"/>
  <c r="E183" i="13"/>
  <c r="D183" i="13"/>
  <c r="C183" i="13"/>
  <c r="B183" i="13"/>
  <c r="A183" i="13"/>
  <c r="AG182" i="13"/>
  <c r="AF182" i="13"/>
  <c r="AE182" i="13"/>
  <c r="AD182" i="13"/>
  <c r="Z182" i="13"/>
  <c r="Y182" i="13"/>
  <c r="X182" i="13"/>
  <c r="W182" i="13"/>
  <c r="U182" i="13"/>
  <c r="T182" i="13"/>
  <c r="S182" i="13"/>
  <c r="R182" i="13"/>
  <c r="Q182" i="13"/>
  <c r="P182" i="13"/>
  <c r="O182" i="13"/>
  <c r="N182" i="13"/>
  <c r="M182" i="13"/>
  <c r="L182" i="13"/>
  <c r="J182" i="13"/>
  <c r="G182" i="13"/>
  <c r="F182" i="13"/>
  <c r="E182" i="13"/>
  <c r="D182" i="13"/>
  <c r="C182" i="13"/>
  <c r="B182" i="13"/>
  <c r="A182" i="13"/>
  <c r="AG181" i="13"/>
  <c r="AF181" i="13"/>
  <c r="AE181" i="13"/>
  <c r="AD181" i="13"/>
  <c r="Z181" i="13"/>
  <c r="Y181" i="13"/>
  <c r="X181" i="13"/>
  <c r="W181" i="13"/>
  <c r="U181" i="13"/>
  <c r="T181" i="13"/>
  <c r="S181" i="13"/>
  <c r="R181" i="13"/>
  <c r="Q181" i="13"/>
  <c r="P181" i="13"/>
  <c r="O181" i="13"/>
  <c r="N181" i="13"/>
  <c r="M181" i="13"/>
  <c r="L181" i="13"/>
  <c r="J181" i="13"/>
  <c r="G181" i="13"/>
  <c r="F181" i="13"/>
  <c r="E181" i="13"/>
  <c r="D181" i="13"/>
  <c r="C181" i="13"/>
  <c r="B181" i="13"/>
  <c r="A181" i="13"/>
  <c r="AG180" i="13"/>
  <c r="AF180" i="13"/>
  <c r="AE180" i="13"/>
  <c r="AD180" i="13"/>
  <c r="Z180" i="13"/>
  <c r="Y180" i="13"/>
  <c r="X180" i="13"/>
  <c r="W180" i="13"/>
  <c r="U180" i="13"/>
  <c r="T180" i="13"/>
  <c r="S180" i="13"/>
  <c r="R180" i="13"/>
  <c r="Q180" i="13"/>
  <c r="P180" i="13"/>
  <c r="O180" i="13"/>
  <c r="N180" i="13"/>
  <c r="M180" i="13"/>
  <c r="L180" i="13"/>
  <c r="J180" i="13"/>
  <c r="G180" i="13"/>
  <c r="F180" i="13"/>
  <c r="E180" i="13"/>
  <c r="D180" i="13"/>
  <c r="C180" i="13"/>
  <c r="B180" i="13"/>
  <c r="A180" i="13"/>
  <c r="AG179" i="13"/>
  <c r="AF179" i="13"/>
  <c r="AE179" i="13"/>
  <c r="AD179" i="13"/>
  <c r="Z179" i="13"/>
  <c r="Y179" i="13"/>
  <c r="X179" i="13"/>
  <c r="U179" i="13"/>
  <c r="T179" i="13"/>
  <c r="S179" i="13"/>
  <c r="R179" i="13"/>
  <c r="Q179" i="13"/>
  <c r="P179" i="13"/>
  <c r="O179" i="13"/>
  <c r="N179" i="13"/>
  <c r="M179" i="13"/>
  <c r="L179" i="13"/>
  <c r="J179" i="13"/>
  <c r="G179" i="13"/>
  <c r="F179" i="13"/>
  <c r="E179" i="13"/>
  <c r="D179" i="13"/>
  <c r="C179" i="13"/>
  <c r="B179" i="13"/>
  <c r="A179" i="13"/>
  <c r="AG178" i="13"/>
  <c r="AF178" i="13"/>
  <c r="AE178" i="13"/>
  <c r="AD178" i="13"/>
  <c r="Z178" i="13"/>
  <c r="Y178" i="13"/>
  <c r="X178" i="13"/>
  <c r="W178" i="13"/>
  <c r="U178" i="13"/>
  <c r="T178" i="13"/>
  <c r="S178" i="13"/>
  <c r="R178" i="13"/>
  <c r="Q178" i="13"/>
  <c r="P178" i="13"/>
  <c r="O178" i="13"/>
  <c r="N178" i="13"/>
  <c r="M178" i="13"/>
  <c r="L178" i="13"/>
  <c r="J178" i="13"/>
  <c r="G178" i="13"/>
  <c r="F178" i="13"/>
  <c r="E178" i="13"/>
  <c r="D178" i="13"/>
  <c r="C178" i="13"/>
  <c r="B178" i="13"/>
  <c r="A178" i="13"/>
  <c r="AG177" i="13"/>
  <c r="AF177" i="13"/>
  <c r="AE177" i="13"/>
  <c r="AD177" i="13"/>
  <c r="Z177" i="13"/>
  <c r="Y177" i="13"/>
  <c r="X177" i="13"/>
  <c r="W177" i="13"/>
  <c r="U177" i="13"/>
  <c r="T177" i="13"/>
  <c r="S177" i="13"/>
  <c r="R177" i="13"/>
  <c r="Q177" i="13"/>
  <c r="P177" i="13"/>
  <c r="O177" i="13"/>
  <c r="N177" i="13"/>
  <c r="M177" i="13"/>
  <c r="L177" i="13"/>
  <c r="J177" i="13"/>
  <c r="G177" i="13"/>
  <c r="F177" i="13"/>
  <c r="E177" i="13"/>
  <c r="D177" i="13"/>
  <c r="C177" i="13"/>
  <c r="B177" i="13"/>
  <c r="A177" i="13"/>
  <c r="AG176" i="13"/>
  <c r="AF176" i="13"/>
  <c r="AE176" i="13"/>
  <c r="AD176" i="13"/>
  <c r="Z176" i="13"/>
  <c r="Y176" i="13"/>
  <c r="X176" i="13"/>
  <c r="W176" i="13"/>
  <c r="U176" i="13"/>
  <c r="T176" i="13"/>
  <c r="S176" i="13"/>
  <c r="R176" i="13"/>
  <c r="Q176" i="13"/>
  <c r="P176" i="13"/>
  <c r="O176" i="13"/>
  <c r="N176" i="13"/>
  <c r="M176" i="13"/>
  <c r="L176" i="13"/>
  <c r="J176" i="13"/>
  <c r="G176" i="13"/>
  <c r="F176" i="13"/>
  <c r="E176" i="13"/>
  <c r="D176" i="13"/>
  <c r="C176" i="13"/>
  <c r="B176" i="13"/>
  <c r="A176" i="13"/>
  <c r="AG175" i="13"/>
  <c r="AF175" i="13"/>
  <c r="AE175" i="13"/>
  <c r="AD175" i="13"/>
  <c r="Z175" i="13"/>
  <c r="Y175" i="13"/>
  <c r="X175" i="13"/>
  <c r="W175" i="13"/>
  <c r="U175" i="13"/>
  <c r="T175" i="13"/>
  <c r="S175" i="13"/>
  <c r="R175" i="13"/>
  <c r="Q175" i="13"/>
  <c r="P175" i="13"/>
  <c r="O175" i="13"/>
  <c r="N175" i="13"/>
  <c r="M175" i="13"/>
  <c r="L175" i="13"/>
  <c r="J175" i="13"/>
  <c r="G175" i="13"/>
  <c r="F175" i="13"/>
  <c r="E175" i="13"/>
  <c r="D175" i="13"/>
  <c r="C175" i="13"/>
  <c r="B175" i="13"/>
  <c r="A175" i="13"/>
  <c r="AG174" i="13"/>
  <c r="AF174" i="13"/>
  <c r="AE174" i="13"/>
  <c r="AD174" i="13"/>
  <c r="Z174" i="13"/>
  <c r="Y174" i="13"/>
  <c r="X174" i="13"/>
  <c r="W174" i="13"/>
  <c r="U174" i="13"/>
  <c r="T174" i="13"/>
  <c r="S174" i="13"/>
  <c r="R174" i="13"/>
  <c r="Q174" i="13"/>
  <c r="P174" i="13"/>
  <c r="O174" i="13"/>
  <c r="N174" i="13"/>
  <c r="M174" i="13"/>
  <c r="L174" i="13"/>
  <c r="J174" i="13"/>
  <c r="G174" i="13"/>
  <c r="F174" i="13"/>
  <c r="E174" i="13"/>
  <c r="D174" i="13"/>
  <c r="C174" i="13"/>
  <c r="B174" i="13"/>
  <c r="A174" i="13"/>
  <c r="AG173" i="13"/>
  <c r="AF173" i="13"/>
  <c r="AE173" i="13"/>
  <c r="AD173" i="13"/>
  <c r="Z173" i="13"/>
  <c r="Y173" i="13"/>
  <c r="X173" i="13"/>
  <c r="W173" i="13"/>
  <c r="U173" i="13"/>
  <c r="T173" i="13"/>
  <c r="S173" i="13"/>
  <c r="R173" i="13"/>
  <c r="Q173" i="13"/>
  <c r="P173" i="13"/>
  <c r="O173" i="13"/>
  <c r="N173" i="13"/>
  <c r="M173" i="13"/>
  <c r="L173" i="13"/>
  <c r="J173" i="13"/>
  <c r="G173" i="13"/>
  <c r="F173" i="13"/>
  <c r="E173" i="13"/>
  <c r="D173" i="13"/>
  <c r="C173" i="13"/>
  <c r="B173" i="13"/>
  <c r="A173" i="13"/>
  <c r="AG172" i="13"/>
  <c r="AF172" i="13"/>
  <c r="AE172" i="13"/>
  <c r="AD172" i="13"/>
  <c r="Z172" i="13"/>
  <c r="Y172" i="13"/>
  <c r="X172" i="13"/>
  <c r="W172" i="13"/>
  <c r="U172" i="13"/>
  <c r="T172" i="13"/>
  <c r="S172" i="13"/>
  <c r="R172" i="13"/>
  <c r="Q172" i="13"/>
  <c r="P172" i="13"/>
  <c r="O172" i="13"/>
  <c r="N172" i="13"/>
  <c r="M172" i="13"/>
  <c r="L172" i="13"/>
  <c r="J172" i="13"/>
  <c r="G172" i="13"/>
  <c r="F172" i="13"/>
  <c r="E172" i="13"/>
  <c r="D172" i="13"/>
  <c r="C172" i="13"/>
  <c r="B172" i="13"/>
  <c r="A172" i="13"/>
  <c r="AG171" i="13"/>
  <c r="AF171" i="13"/>
  <c r="AE171" i="13"/>
  <c r="AD171" i="13"/>
  <c r="Z171" i="13"/>
  <c r="Y171" i="13"/>
  <c r="X171" i="13"/>
  <c r="W171" i="13"/>
  <c r="U171" i="13"/>
  <c r="T171" i="13"/>
  <c r="S171" i="13"/>
  <c r="R171" i="13"/>
  <c r="Q171" i="13"/>
  <c r="P171" i="13"/>
  <c r="O171" i="13"/>
  <c r="N171" i="13"/>
  <c r="M171" i="13"/>
  <c r="L171" i="13"/>
  <c r="J171" i="13"/>
  <c r="G171" i="13"/>
  <c r="F171" i="13"/>
  <c r="E171" i="13"/>
  <c r="D171" i="13"/>
  <c r="C171" i="13"/>
  <c r="B171" i="13"/>
  <c r="A171" i="13"/>
  <c r="AG170" i="13"/>
  <c r="AF170" i="13"/>
  <c r="AE170" i="13"/>
  <c r="AD170" i="13"/>
  <c r="Z170" i="13"/>
  <c r="Y170" i="13"/>
  <c r="X170" i="13"/>
  <c r="W170" i="13"/>
  <c r="U170" i="13"/>
  <c r="T170" i="13"/>
  <c r="S170" i="13"/>
  <c r="R170" i="13"/>
  <c r="Q170" i="13"/>
  <c r="P170" i="13"/>
  <c r="O170" i="13"/>
  <c r="N170" i="13"/>
  <c r="M170" i="13"/>
  <c r="L170" i="13"/>
  <c r="J170" i="13"/>
  <c r="G170" i="13"/>
  <c r="F170" i="13"/>
  <c r="E170" i="13"/>
  <c r="D170" i="13"/>
  <c r="C170" i="13"/>
  <c r="B170" i="13"/>
  <c r="A170" i="13"/>
  <c r="AG169" i="13"/>
  <c r="AF169" i="13"/>
  <c r="AE169" i="13"/>
  <c r="AD169" i="13"/>
  <c r="Z169" i="13"/>
  <c r="Y169" i="13"/>
  <c r="X169" i="13"/>
  <c r="W169" i="13"/>
  <c r="U169" i="13"/>
  <c r="T169" i="13"/>
  <c r="S169" i="13"/>
  <c r="R169" i="13"/>
  <c r="Q169" i="13"/>
  <c r="P169" i="13"/>
  <c r="O169" i="13"/>
  <c r="N169" i="13"/>
  <c r="M169" i="13"/>
  <c r="L169" i="13"/>
  <c r="J169" i="13"/>
  <c r="G169" i="13"/>
  <c r="F169" i="13"/>
  <c r="E169" i="13"/>
  <c r="D169" i="13"/>
  <c r="C169" i="13"/>
  <c r="B169" i="13"/>
  <c r="A169" i="13"/>
  <c r="AG168" i="13"/>
  <c r="AF168" i="13"/>
  <c r="AE168" i="13"/>
  <c r="AD168" i="13"/>
  <c r="Z168" i="13"/>
  <c r="Y168" i="13"/>
  <c r="X168" i="13"/>
  <c r="W168" i="13"/>
  <c r="U168" i="13"/>
  <c r="T168" i="13"/>
  <c r="S168" i="13"/>
  <c r="R168" i="13"/>
  <c r="Q168" i="13"/>
  <c r="P168" i="13"/>
  <c r="O168" i="13"/>
  <c r="N168" i="13"/>
  <c r="M168" i="13"/>
  <c r="L168" i="13"/>
  <c r="J168" i="13"/>
  <c r="G168" i="13"/>
  <c r="F168" i="13"/>
  <c r="E168" i="13"/>
  <c r="D168" i="13"/>
  <c r="C168" i="13"/>
  <c r="B168" i="13"/>
  <c r="A168" i="13"/>
  <c r="AG167" i="13"/>
  <c r="AF167" i="13"/>
  <c r="AE167" i="13"/>
  <c r="AD167" i="13"/>
  <c r="Z167" i="13"/>
  <c r="Y167" i="13"/>
  <c r="X167" i="13"/>
  <c r="W167" i="13"/>
  <c r="U167" i="13"/>
  <c r="T167" i="13"/>
  <c r="S167" i="13"/>
  <c r="R167" i="13"/>
  <c r="Q167" i="13"/>
  <c r="P167" i="13"/>
  <c r="O167" i="13"/>
  <c r="N167" i="13"/>
  <c r="M167" i="13"/>
  <c r="L167" i="13"/>
  <c r="J167" i="13"/>
  <c r="G167" i="13"/>
  <c r="F167" i="13"/>
  <c r="E167" i="13"/>
  <c r="D167" i="13"/>
  <c r="C167" i="13"/>
  <c r="B167" i="13"/>
  <c r="A167" i="13"/>
  <c r="AG166" i="13"/>
  <c r="AF166" i="13"/>
  <c r="AE166" i="13"/>
  <c r="AD166" i="13"/>
  <c r="Z166" i="13"/>
  <c r="Y166" i="13"/>
  <c r="X166" i="13"/>
  <c r="W166" i="13"/>
  <c r="U166" i="13"/>
  <c r="T166" i="13"/>
  <c r="S166" i="13"/>
  <c r="R166" i="13"/>
  <c r="Q166" i="13"/>
  <c r="P166" i="13"/>
  <c r="O166" i="13"/>
  <c r="N166" i="13"/>
  <c r="M166" i="13"/>
  <c r="L166" i="13"/>
  <c r="J166" i="13"/>
  <c r="G166" i="13"/>
  <c r="F166" i="13"/>
  <c r="E166" i="13"/>
  <c r="D166" i="13"/>
  <c r="C166" i="13"/>
  <c r="B166" i="13"/>
  <c r="A166" i="13"/>
  <c r="AG165" i="13"/>
  <c r="AF165" i="13"/>
  <c r="AE165" i="13"/>
  <c r="AD165" i="13"/>
  <c r="Z165" i="13"/>
  <c r="Y165" i="13"/>
  <c r="X165" i="13"/>
  <c r="W165" i="13"/>
  <c r="U165" i="13"/>
  <c r="T165" i="13"/>
  <c r="S165" i="13"/>
  <c r="R165" i="13"/>
  <c r="Q165" i="13"/>
  <c r="P165" i="13"/>
  <c r="O165" i="13"/>
  <c r="N165" i="13"/>
  <c r="M165" i="13"/>
  <c r="L165" i="13"/>
  <c r="J165" i="13"/>
  <c r="G165" i="13"/>
  <c r="F165" i="13"/>
  <c r="E165" i="13"/>
  <c r="D165" i="13"/>
  <c r="C165" i="13"/>
  <c r="B165" i="13"/>
  <c r="A165" i="13"/>
  <c r="AG164" i="13"/>
  <c r="AF164" i="13"/>
  <c r="AE164" i="13"/>
  <c r="AD164" i="13"/>
  <c r="Z164" i="13"/>
  <c r="Y164" i="13"/>
  <c r="X164" i="13"/>
  <c r="W164" i="13"/>
  <c r="U164" i="13"/>
  <c r="T164" i="13"/>
  <c r="S164" i="13"/>
  <c r="R164" i="13"/>
  <c r="Q164" i="13"/>
  <c r="P164" i="13"/>
  <c r="O164" i="13"/>
  <c r="N164" i="13"/>
  <c r="M164" i="13"/>
  <c r="L164" i="13"/>
  <c r="J164" i="13"/>
  <c r="G164" i="13"/>
  <c r="F164" i="13"/>
  <c r="E164" i="13"/>
  <c r="D164" i="13"/>
  <c r="C164" i="13"/>
  <c r="B164" i="13"/>
  <c r="A164" i="13"/>
  <c r="AG163" i="13"/>
  <c r="AF163" i="13"/>
  <c r="AE163" i="13"/>
  <c r="AD163" i="13"/>
  <c r="Z163" i="13"/>
  <c r="Y163" i="13"/>
  <c r="X163" i="13"/>
  <c r="W163" i="13"/>
  <c r="U163" i="13"/>
  <c r="T163" i="13"/>
  <c r="S163" i="13"/>
  <c r="R163" i="13"/>
  <c r="Q163" i="13"/>
  <c r="P163" i="13"/>
  <c r="O163" i="13"/>
  <c r="N163" i="13"/>
  <c r="M163" i="13"/>
  <c r="L163" i="13"/>
  <c r="J163" i="13"/>
  <c r="G163" i="13"/>
  <c r="F163" i="13"/>
  <c r="E163" i="13"/>
  <c r="D163" i="13"/>
  <c r="C163" i="13"/>
  <c r="B163" i="13"/>
  <c r="A163" i="13"/>
  <c r="AG162" i="13"/>
  <c r="AF162" i="13"/>
  <c r="AE162" i="13"/>
  <c r="AD162" i="13"/>
  <c r="Z162" i="13"/>
  <c r="Y162" i="13"/>
  <c r="X162" i="13"/>
  <c r="W162" i="13"/>
  <c r="U162" i="13"/>
  <c r="T162" i="13"/>
  <c r="S162" i="13"/>
  <c r="R162" i="13"/>
  <c r="Q162" i="13"/>
  <c r="P162" i="13"/>
  <c r="O162" i="13"/>
  <c r="N162" i="13"/>
  <c r="M162" i="13"/>
  <c r="L162" i="13"/>
  <c r="J162" i="13"/>
  <c r="G162" i="13"/>
  <c r="F162" i="13"/>
  <c r="E162" i="13"/>
  <c r="D162" i="13"/>
  <c r="C162" i="13"/>
  <c r="B162" i="13"/>
  <c r="A162" i="13"/>
  <c r="AG161" i="13"/>
  <c r="AF161" i="13"/>
  <c r="AE161" i="13"/>
  <c r="AD161" i="13"/>
  <c r="Z161" i="13"/>
  <c r="Y161" i="13"/>
  <c r="X161" i="13"/>
  <c r="W161" i="13"/>
  <c r="U161" i="13"/>
  <c r="T161" i="13"/>
  <c r="S161" i="13"/>
  <c r="R161" i="13"/>
  <c r="Q161" i="13"/>
  <c r="P161" i="13"/>
  <c r="O161" i="13"/>
  <c r="N161" i="13"/>
  <c r="M161" i="13"/>
  <c r="L161" i="13"/>
  <c r="J161" i="13"/>
  <c r="G161" i="13"/>
  <c r="F161" i="13"/>
  <c r="E161" i="13"/>
  <c r="D161" i="13"/>
  <c r="C161" i="13"/>
  <c r="B161" i="13"/>
  <c r="A161" i="13"/>
  <c r="AG160" i="13"/>
  <c r="AF160" i="13"/>
  <c r="AE160" i="13"/>
  <c r="AD160" i="13"/>
  <c r="Z160" i="13"/>
  <c r="Y160" i="13"/>
  <c r="X160" i="13"/>
  <c r="W160" i="13"/>
  <c r="U160" i="13"/>
  <c r="T160" i="13"/>
  <c r="S160" i="13"/>
  <c r="R160" i="13"/>
  <c r="Q160" i="13"/>
  <c r="P160" i="13"/>
  <c r="O160" i="13"/>
  <c r="N160" i="13"/>
  <c r="M160" i="13"/>
  <c r="L160" i="13"/>
  <c r="J160" i="13"/>
  <c r="G160" i="13"/>
  <c r="F160" i="13"/>
  <c r="E160" i="13"/>
  <c r="D160" i="13"/>
  <c r="C160" i="13"/>
  <c r="B160" i="13"/>
  <c r="A160" i="13"/>
  <c r="AG159" i="13"/>
  <c r="AF159" i="13"/>
  <c r="AE159" i="13"/>
  <c r="AD159" i="13"/>
  <c r="Z159" i="13"/>
  <c r="Y159" i="13"/>
  <c r="X159" i="13"/>
  <c r="W159" i="13"/>
  <c r="U159" i="13"/>
  <c r="T159" i="13"/>
  <c r="S159" i="13"/>
  <c r="R159" i="13"/>
  <c r="Q159" i="13"/>
  <c r="P159" i="13"/>
  <c r="O159" i="13"/>
  <c r="N159" i="13"/>
  <c r="M159" i="13"/>
  <c r="L159" i="13"/>
  <c r="J159" i="13"/>
  <c r="H159" i="13"/>
  <c r="G159" i="13"/>
  <c r="F159" i="13"/>
  <c r="E159" i="13"/>
  <c r="D159" i="13"/>
  <c r="C159" i="13"/>
  <c r="B159" i="13"/>
  <c r="A159" i="13"/>
  <c r="AG158" i="13"/>
  <c r="AF158" i="13"/>
  <c r="AE158" i="13"/>
  <c r="AD158" i="13"/>
  <c r="Z158" i="13"/>
  <c r="Y158" i="13"/>
  <c r="X158" i="13"/>
  <c r="W158" i="13"/>
  <c r="U158" i="13"/>
  <c r="T158" i="13"/>
  <c r="S158" i="13"/>
  <c r="R158" i="13"/>
  <c r="Q158" i="13"/>
  <c r="P158" i="13"/>
  <c r="O158" i="13"/>
  <c r="N158" i="13"/>
  <c r="M158" i="13"/>
  <c r="L158" i="13"/>
  <c r="J158" i="13"/>
  <c r="H158" i="13"/>
  <c r="G158" i="13"/>
  <c r="F158" i="13"/>
  <c r="E158" i="13"/>
  <c r="D158" i="13"/>
  <c r="C158" i="13"/>
  <c r="B158" i="13"/>
  <c r="A158" i="13"/>
  <c r="AG157" i="13"/>
  <c r="AF157" i="13"/>
  <c r="AE157" i="13"/>
  <c r="AD157" i="13"/>
  <c r="Z157" i="13"/>
  <c r="Y157" i="13"/>
  <c r="X157" i="13"/>
  <c r="W157" i="13"/>
  <c r="U157" i="13"/>
  <c r="T157" i="13"/>
  <c r="S157" i="13"/>
  <c r="R157" i="13"/>
  <c r="Q157" i="13"/>
  <c r="P157" i="13"/>
  <c r="O157" i="13"/>
  <c r="N157" i="13"/>
  <c r="M157" i="13"/>
  <c r="L157" i="13"/>
  <c r="J157" i="13"/>
  <c r="G157" i="13"/>
  <c r="F157" i="13"/>
  <c r="E157" i="13"/>
  <c r="D157" i="13"/>
  <c r="C157" i="13"/>
  <c r="B157" i="13"/>
  <c r="A157" i="13"/>
  <c r="AG156" i="13"/>
  <c r="AF156" i="13"/>
  <c r="AE156" i="13"/>
  <c r="AD156" i="13"/>
  <c r="Z156" i="13"/>
  <c r="Y156" i="13"/>
  <c r="X156" i="13"/>
  <c r="W156" i="13"/>
  <c r="U156" i="13"/>
  <c r="T156" i="13"/>
  <c r="S156" i="13"/>
  <c r="R156" i="13"/>
  <c r="Q156" i="13"/>
  <c r="P156" i="13"/>
  <c r="O156" i="13"/>
  <c r="N156" i="13"/>
  <c r="M156" i="13"/>
  <c r="L156" i="13"/>
  <c r="J156" i="13"/>
  <c r="G156" i="13"/>
  <c r="F156" i="13"/>
  <c r="E156" i="13"/>
  <c r="D156" i="13"/>
  <c r="C156" i="13"/>
  <c r="B156" i="13"/>
  <c r="A156" i="13"/>
  <c r="AG155" i="13"/>
  <c r="AF155" i="13"/>
  <c r="AE155" i="13"/>
  <c r="AD155" i="13"/>
  <c r="Z155" i="13"/>
  <c r="Y155" i="13"/>
  <c r="X155" i="13"/>
  <c r="W155" i="13"/>
  <c r="U155" i="13"/>
  <c r="T155" i="13"/>
  <c r="S155" i="13"/>
  <c r="R155" i="13"/>
  <c r="Q155" i="13"/>
  <c r="P155" i="13"/>
  <c r="O155" i="13"/>
  <c r="N155" i="13"/>
  <c r="M155" i="13"/>
  <c r="L155" i="13"/>
  <c r="J155" i="13"/>
  <c r="G155" i="13"/>
  <c r="F155" i="13"/>
  <c r="E155" i="13"/>
  <c r="D155" i="13"/>
  <c r="C155" i="13"/>
  <c r="B155" i="13"/>
  <c r="A155" i="13"/>
  <c r="AG154" i="13"/>
  <c r="AF154" i="13"/>
  <c r="AE154" i="13"/>
  <c r="AD154" i="13"/>
  <c r="Z154" i="13"/>
  <c r="Y154" i="13"/>
  <c r="X154" i="13"/>
  <c r="W154" i="13"/>
  <c r="U154" i="13"/>
  <c r="T154" i="13"/>
  <c r="S154" i="13"/>
  <c r="R154" i="13"/>
  <c r="Q154" i="13"/>
  <c r="P154" i="13"/>
  <c r="O154" i="13"/>
  <c r="N154" i="13"/>
  <c r="M154" i="13"/>
  <c r="L154" i="13"/>
  <c r="J154" i="13"/>
  <c r="G154" i="13"/>
  <c r="F154" i="13"/>
  <c r="E154" i="13"/>
  <c r="D154" i="13"/>
  <c r="C154" i="13"/>
  <c r="B154" i="13"/>
  <c r="A154" i="13"/>
  <c r="AG153" i="13"/>
  <c r="AF153" i="13"/>
  <c r="AE153" i="13"/>
  <c r="AD153" i="13"/>
  <c r="Z153" i="13"/>
  <c r="Y153" i="13"/>
  <c r="X153" i="13"/>
  <c r="W153" i="13"/>
  <c r="U153" i="13"/>
  <c r="T153" i="13"/>
  <c r="S153" i="13"/>
  <c r="R153" i="13"/>
  <c r="Q153" i="13"/>
  <c r="P153" i="13"/>
  <c r="O153" i="13"/>
  <c r="N153" i="13"/>
  <c r="M153" i="13"/>
  <c r="L153" i="13"/>
  <c r="J153" i="13"/>
  <c r="G153" i="13"/>
  <c r="F153" i="13"/>
  <c r="E153" i="13"/>
  <c r="D153" i="13"/>
  <c r="C153" i="13"/>
  <c r="B153" i="13"/>
  <c r="A153" i="13"/>
  <c r="AG152" i="13"/>
  <c r="AF152" i="13"/>
  <c r="AE152" i="13"/>
  <c r="AD152" i="13"/>
  <c r="Z152" i="13"/>
  <c r="Y152" i="13"/>
  <c r="X152" i="13"/>
  <c r="W152" i="13"/>
  <c r="U152" i="13"/>
  <c r="T152" i="13"/>
  <c r="S152" i="13"/>
  <c r="R152" i="13"/>
  <c r="Q152" i="13"/>
  <c r="P152" i="13"/>
  <c r="O152" i="13"/>
  <c r="N152" i="13"/>
  <c r="M152" i="13"/>
  <c r="L152" i="13"/>
  <c r="J152" i="13"/>
  <c r="G152" i="13"/>
  <c r="F152" i="13"/>
  <c r="E152" i="13"/>
  <c r="D152" i="13"/>
  <c r="C152" i="13"/>
  <c r="B152" i="13"/>
  <c r="A152" i="13"/>
  <c r="AG151" i="13"/>
  <c r="AF151" i="13"/>
  <c r="AE151" i="13"/>
  <c r="AD151" i="13"/>
  <c r="Z151" i="13"/>
  <c r="Y151" i="13"/>
  <c r="X151" i="13"/>
  <c r="W151" i="13"/>
  <c r="U151" i="13"/>
  <c r="T151" i="13"/>
  <c r="S151" i="13"/>
  <c r="R151" i="13"/>
  <c r="Q151" i="13"/>
  <c r="P151" i="13"/>
  <c r="O151" i="13"/>
  <c r="N151" i="13"/>
  <c r="M151" i="13"/>
  <c r="L151" i="13"/>
  <c r="J151" i="13"/>
  <c r="G151" i="13"/>
  <c r="F151" i="13"/>
  <c r="E151" i="13"/>
  <c r="D151" i="13"/>
  <c r="C151" i="13"/>
  <c r="B151" i="13"/>
  <c r="A151" i="13"/>
  <c r="AG150" i="13"/>
  <c r="AF150" i="13"/>
  <c r="AE150" i="13"/>
  <c r="AD150" i="13"/>
  <c r="Z150" i="13"/>
  <c r="Y150" i="13"/>
  <c r="X150" i="13"/>
  <c r="W150" i="13"/>
  <c r="U150" i="13"/>
  <c r="T150" i="13"/>
  <c r="S150" i="13"/>
  <c r="R150" i="13"/>
  <c r="Q150" i="13"/>
  <c r="P150" i="13"/>
  <c r="O150" i="13"/>
  <c r="N150" i="13"/>
  <c r="M150" i="13"/>
  <c r="L150" i="13"/>
  <c r="J150" i="13"/>
  <c r="G150" i="13"/>
  <c r="F150" i="13"/>
  <c r="E150" i="13"/>
  <c r="D150" i="13"/>
  <c r="C150" i="13"/>
  <c r="B150" i="13"/>
  <c r="A150" i="13"/>
  <c r="AG149" i="13"/>
  <c r="AF149" i="13"/>
  <c r="AE149" i="13"/>
  <c r="AD149" i="13"/>
  <c r="Z149" i="13"/>
  <c r="Y149" i="13"/>
  <c r="X149" i="13"/>
  <c r="W149" i="13"/>
  <c r="U149" i="13"/>
  <c r="T149" i="13"/>
  <c r="S149" i="13"/>
  <c r="R149" i="13"/>
  <c r="Q149" i="13"/>
  <c r="P149" i="13"/>
  <c r="O149" i="13"/>
  <c r="N149" i="13"/>
  <c r="M149" i="13"/>
  <c r="L149" i="13"/>
  <c r="J149" i="13"/>
  <c r="G149" i="13"/>
  <c r="F149" i="13"/>
  <c r="E149" i="13"/>
  <c r="D149" i="13"/>
  <c r="C149" i="13"/>
  <c r="B149" i="13"/>
  <c r="A149" i="13"/>
  <c r="AG148" i="13"/>
  <c r="AF148" i="13"/>
  <c r="AE148" i="13"/>
  <c r="AD148" i="13"/>
  <c r="Z148" i="13"/>
  <c r="Y148" i="13"/>
  <c r="X148" i="13"/>
  <c r="W148" i="13"/>
  <c r="U148" i="13"/>
  <c r="T148" i="13"/>
  <c r="S148" i="13"/>
  <c r="R148" i="13"/>
  <c r="Q148" i="13"/>
  <c r="P148" i="13"/>
  <c r="O148" i="13"/>
  <c r="N148" i="13"/>
  <c r="M148" i="13"/>
  <c r="L148" i="13"/>
  <c r="J148" i="13"/>
  <c r="G148" i="13"/>
  <c r="F148" i="13"/>
  <c r="E148" i="13"/>
  <c r="D148" i="13"/>
  <c r="C148" i="13"/>
  <c r="B148" i="13"/>
  <c r="A148" i="13"/>
  <c r="AG147" i="13"/>
  <c r="AF147" i="13"/>
  <c r="AE147" i="13"/>
  <c r="AD147" i="13"/>
  <c r="Z147" i="13"/>
  <c r="Y147" i="13"/>
  <c r="X147" i="13"/>
  <c r="W147" i="13"/>
  <c r="U147" i="13"/>
  <c r="T147" i="13"/>
  <c r="S147" i="13"/>
  <c r="R147" i="13"/>
  <c r="Q147" i="13"/>
  <c r="P147" i="13"/>
  <c r="O147" i="13"/>
  <c r="N147" i="13"/>
  <c r="M147" i="13"/>
  <c r="L147" i="13"/>
  <c r="J147" i="13"/>
  <c r="G147" i="13"/>
  <c r="F147" i="13"/>
  <c r="E147" i="13"/>
  <c r="D147" i="13"/>
  <c r="C147" i="13"/>
  <c r="B147" i="13"/>
  <c r="A147" i="13"/>
  <c r="AG146" i="13"/>
  <c r="AF146" i="13"/>
  <c r="AE146" i="13"/>
  <c r="AD146" i="13"/>
  <c r="Z146" i="13"/>
  <c r="Y146" i="13"/>
  <c r="X146" i="13"/>
  <c r="W146" i="13"/>
  <c r="U146" i="13"/>
  <c r="T146" i="13"/>
  <c r="S146" i="13"/>
  <c r="R146" i="13"/>
  <c r="Q146" i="13"/>
  <c r="P146" i="13"/>
  <c r="O146" i="13"/>
  <c r="N146" i="13"/>
  <c r="M146" i="13"/>
  <c r="L146" i="13"/>
  <c r="J146" i="13"/>
  <c r="G146" i="13"/>
  <c r="F146" i="13"/>
  <c r="E146" i="13"/>
  <c r="D146" i="13"/>
  <c r="C146" i="13"/>
  <c r="B146" i="13"/>
  <c r="A146" i="13"/>
  <c r="AG145" i="13"/>
  <c r="AF145" i="13"/>
  <c r="AE145" i="13"/>
  <c r="AD145" i="13"/>
  <c r="Z145" i="13"/>
  <c r="Y145" i="13"/>
  <c r="X145" i="13"/>
  <c r="W145" i="13"/>
  <c r="U145" i="13"/>
  <c r="T145" i="13"/>
  <c r="S145" i="13"/>
  <c r="R145" i="13"/>
  <c r="Q145" i="13"/>
  <c r="P145" i="13"/>
  <c r="O145" i="13"/>
  <c r="N145" i="13"/>
  <c r="M145" i="13"/>
  <c r="L145" i="13"/>
  <c r="J145" i="13"/>
  <c r="G145" i="13"/>
  <c r="F145" i="13"/>
  <c r="E145" i="13"/>
  <c r="D145" i="13"/>
  <c r="C145" i="13"/>
  <c r="B145" i="13"/>
  <c r="A145" i="13"/>
  <c r="AG144" i="13"/>
  <c r="AF144" i="13"/>
  <c r="AE144" i="13"/>
  <c r="AD144" i="13"/>
  <c r="Z144" i="13"/>
  <c r="Y144" i="13"/>
  <c r="X144" i="13"/>
  <c r="W144" i="13"/>
  <c r="U144" i="13"/>
  <c r="T144" i="13"/>
  <c r="S144" i="13"/>
  <c r="R144" i="13"/>
  <c r="Q144" i="13"/>
  <c r="P144" i="13"/>
  <c r="O144" i="13"/>
  <c r="N144" i="13"/>
  <c r="M144" i="13"/>
  <c r="L144" i="13"/>
  <c r="J144" i="13"/>
  <c r="G144" i="13"/>
  <c r="F144" i="13"/>
  <c r="E144" i="13"/>
  <c r="D144" i="13"/>
  <c r="C144" i="13"/>
  <c r="B144" i="13"/>
  <c r="A144" i="13"/>
  <c r="AG143" i="13"/>
  <c r="AF143" i="13"/>
  <c r="AE143" i="13"/>
  <c r="AD143" i="13"/>
  <c r="Z143" i="13"/>
  <c r="Y143" i="13"/>
  <c r="X143" i="13"/>
  <c r="W143" i="13"/>
  <c r="U143" i="13"/>
  <c r="T143" i="13"/>
  <c r="S143" i="13"/>
  <c r="R143" i="13"/>
  <c r="Q143" i="13"/>
  <c r="P143" i="13"/>
  <c r="O143" i="13"/>
  <c r="N143" i="13"/>
  <c r="M143" i="13"/>
  <c r="L143" i="13"/>
  <c r="J143" i="13"/>
  <c r="G143" i="13"/>
  <c r="F143" i="13"/>
  <c r="E143" i="13"/>
  <c r="D143" i="13"/>
  <c r="C143" i="13"/>
  <c r="B143" i="13"/>
  <c r="A143" i="13"/>
  <c r="AG142" i="13"/>
  <c r="AF142" i="13"/>
  <c r="AE142" i="13"/>
  <c r="AD142" i="13"/>
  <c r="Z142" i="13"/>
  <c r="Y142" i="13"/>
  <c r="X142" i="13"/>
  <c r="W142" i="13"/>
  <c r="U142" i="13"/>
  <c r="T142" i="13"/>
  <c r="S142" i="13"/>
  <c r="R142" i="13"/>
  <c r="Q142" i="13"/>
  <c r="P142" i="13"/>
  <c r="O142" i="13"/>
  <c r="N142" i="13"/>
  <c r="M142" i="13"/>
  <c r="L142" i="13"/>
  <c r="J142" i="13"/>
  <c r="G142" i="13"/>
  <c r="F142" i="13"/>
  <c r="E142" i="13"/>
  <c r="D142" i="13"/>
  <c r="C142" i="13"/>
  <c r="B142" i="13"/>
  <c r="A142" i="13"/>
  <c r="AG141" i="13"/>
  <c r="AF141" i="13"/>
  <c r="AE141" i="13"/>
  <c r="AD141" i="13"/>
  <c r="Z141" i="13"/>
  <c r="Y141" i="13"/>
  <c r="X141" i="13"/>
  <c r="W141" i="13"/>
  <c r="U141" i="13"/>
  <c r="T141" i="13"/>
  <c r="S141" i="13"/>
  <c r="R141" i="13"/>
  <c r="Q141" i="13"/>
  <c r="P141" i="13"/>
  <c r="O141" i="13"/>
  <c r="N141" i="13"/>
  <c r="M141" i="13"/>
  <c r="L141" i="13"/>
  <c r="J141" i="13"/>
  <c r="G141" i="13"/>
  <c r="F141" i="13"/>
  <c r="E141" i="13"/>
  <c r="D141" i="13"/>
  <c r="C141" i="13"/>
  <c r="B141" i="13"/>
  <c r="A141" i="13"/>
  <c r="AG140" i="13"/>
  <c r="AF140" i="13"/>
  <c r="AE140" i="13"/>
  <c r="AD140" i="13"/>
  <c r="Z140" i="13"/>
  <c r="Y140" i="13"/>
  <c r="X140" i="13"/>
  <c r="W140" i="13"/>
  <c r="U140" i="13"/>
  <c r="T140" i="13"/>
  <c r="S140" i="13"/>
  <c r="R140" i="13"/>
  <c r="Q140" i="13"/>
  <c r="P140" i="13"/>
  <c r="O140" i="13"/>
  <c r="N140" i="13"/>
  <c r="M140" i="13"/>
  <c r="L140" i="13"/>
  <c r="J140" i="13"/>
  <c r="G140" i="13"/>
  <c r="F140" i="13"/>
  <c r="E140" i="13"/>
  <c r="D140" i="13"/>
  <c r="C140" i="13"/>
  <c r="B140" i="13"/>
  <c r="A140" i="13"/>
  <c r="AG139" i="13"/>
  <c r="AF139" i="13"/>
  <c r="AE139" i="13"/>
  <c r="AD139" i="13"/>
  <c r="Z139" i="13"/>
  <c r="Y139" i="13"/>
  <c r="X139" i="13"/>
  <c r="W139" i="13"/>
  <c r="U139" i="13"/>
  <c r="T139" i="13"/>
  <c r="S139" i="13"/>
  <c r="R139" i="13"/>
  <c r="Q139" i="13"/>
  <c r="P139" i="13"/>
  <c r="O139" i="13"/>
  <c r="N139" i="13"/>
  <c r="M139" i="13"/>
  <c r="L139" i="13"/>
  <c r="J139" i="13"/>
  <c r="G139" i="13"/>
  <c r="F139" i="13"/>
  <c r="E139" i="13"/>
  <c r="D139" i="13"/>
  <c r="C139" i="13"/>
  <c r="B139" i="13"/>
  <c r="A139" i="13"/>
  <c r="AG138" i="13"/>
  <c r="AF138" i="13"/>
  <c r="AE138" i="13"/>
  <c r="AD138" i="13"/>
  <c r="Z138" i="13"/>
  <c r="Y138" i="13"/>
  <c r="X138" i="13"/>
  <c r="W138" i="13"/>
  <c r="U138" i="13"/>
  <c r="T138" i="13"/>
  <c r="S138" i="13"/>
  <c r="R138" i="13"/>
  <c r="Q138" i="13"/>
  <c r="P138" i="13"/>
  <c r="O138" i="13"/>
  <c r="N138" i="13"/>
  <c r="M138" i="13"/>
  <c r="L138" i="13"/>
  <c r="J138" i="13"/>
  <c r="G138" i="13"/>
  <c r="F138" i="13"/>
  <c r="E138" i="13"/>
  <c r="D138" i="13"/>
  <c r="C138" i="13"/>
  <c r="B138" i="13"/>
  <c r="A138" i="13"/>
  <c r="AG137" i="13"/>
  <c r="AF137" i="13"/>
  <c r="AE137" i="13"/>
  <c r="AD137" i="13"/>
  <c r="Z137" i="13"/>
  <c r="Y137" i="13"/>
  <c r="X137" i="13"/>
  <c r="W137" i="13"/>
  <c r="U137" i="13"/>
  <c r="T137" i="13"/>
  <c r="S137" i="13"/>
  <c r="R137" i="13"/>
  <c r="Q137" i="13"/>
  <c r="P137" i="13"/>
  <c r="O137" i="13"/>
  <c r="N137" i="13"/>
  <c r="M137" i="13"/>
  <c r="L137" i="13"/>
  <c r="J137" i="13"/>
  <c r="G137" i="13"/>
  <c r="F137" i="13"/>
  <c r="E137" i="13"/>
  <c r="D137" i="13"/>
  <c r="C137" i="13"/>
  <c r="B137" i="13"/>
  <c r="A137" i="13"/>
  <c r="AG136" i="13"/>
  <c r="AF136" i="13"/>
  <c r="AE136" i="13"/>
  <c r="AD136" i="13"/>
  <c r="Z136" i="13"/>
  <c r="Y136" i="13"/>
  <c r="X136" i="13"/>
  <c r="W136" i="13"/>
  <c r="U136" i="13"/>
  <c r="T136" i="13"/>
  <c r="S136" i="13"/>
  <c r="R136" i="13"/>
  <c r="Q136" i="13"/>
  <c r="P136" i="13"/>
  <c r="O136" i="13"/>
  <c r="N136" i="13"/>
  <c r="M136" i="13"/>
  <c r="L136" i="13"/>
  <c r="J136" i="13"/>
  <c r="G136" i="13"/>
  <c r="F136" i="13"/>
  <c r="E136" i="13"/>
  <c r="D136" i="13"/>
  <c r="C136" i="13"/>
  <c r="B136" i="13"/>
  <c r="A136" i="13"/>
  <c r="AG135" i="13"/>
  <c r="AF135" i="13"/>
  <c r="AE135" i="13"/>
  <c r="AD135" i="13"/>
  <c r="Z135" i="13"/>
  <c r="Y135" i="13"/>
  <c r="X135" i="13"/>
  <c r="W135" i="13"/>
  <c r="U135" i="13"/>
  <c r="T135" i="13"/>
  <c r="S135" i="13"/>
  <c r="R135" i="13"/>
  <c r="Q135" i="13"/>
  <c r="P135" i="13"/>
  <c r="O135" i="13"/>
  <c r="N135" i="13"/>
  <c r="M135" i="13"/>
  <c r="L135" i="13"/>
  <c r="J135" i="13"/>
  <c r="G135" i="13"/>
  <c r="F135" i="13"/>
  <c r="E135" i="13"/>
  <c r="D135" i="13"/>
  <c r="C135" i="13"/>
  <c r="B135" i="13"/>
  <c r="A135" i="13"/>
  <c r="AG134" i="13"/>
  <c r="AF134" i="13"/>
  <c r="AE134" i="13"/>
  <c r="AD134" i="13"/>
  <c r="Z134" i="13"/>
  <c r="Y134" i="13"/>
  <c r="X134" i="13"/>
  <c r="W134" i="13"/>
  <c r="U134" i="13"/>
  <c r="T134" i="13"/>
  <c r="S134" i="13"/>
  <c r="R134" i="13"/>
  <c r="Q134" i="13"/>
  <c r="P134" i="13"/>
  <c r="O134" i="13"/>
  <c r="N134" i="13"/>
  <c r="M134" i="13"/>
  <c r="L134" i="13"/>
  <c r="J134" i="13"/>
  <c r="G134" i="13"/>
  <c r="F134" i="13"/>
  <c r="E134" i="13"/>
  <c r="D134" i="13"/>
  <c r="C134" i="13"/>
  <c r="B134" i="13"/>
  <c r="A134" i="13"/>
  <c r="AG133" i="13"/>
  <c r="AF133" i="13"/>
  <c r="AE133" i="13"/>
  <c r="AD133" i="13"/>
  <c r="Z133" i="13"/>
  <c r="Y133" i="13"/>
  <c r="X133" i="13"/>
  <c r="W133" i="13"/>
  <c r="U133" i="13"/>
  <c r="T133" i="13"/>
  <c r="S133" i="13"/>
  <c r="R133" i="13"/>
  <c r="Q133" i="13"/>
  <c r="P133" i="13"/>
  <c r="O133" i="13"/>
  <c r="N133" i="13"/>
  <c r="M133" i="13"/>
  <c r="L133" i="13"/>
  <c r="J133" i="13"/>
  <c r="G133" i="13"/>
  <c r="F133" i="13"/>
  <c r="E133" i="13"/>
  <c r="D133" i="13"/>
  <c r="C133" i="13"/>
  <c r="B133" i="13"/>
  <c r="A133" i="13"/>
  <c r="AG132" i="13"/>
  <c r="AF132" i="13"/>
  <c r="AE132" i="13"/>
  <c r="AD132" i="13"/>
  <c r="Z132" i="13"/>
  <c r="Y132" i="13"/>
  <c r="X132" i="13"/>
  <c r="W132" i="13"/>
  <c r="U132" i="13"/>
  <c r="T132" i="13"/>
  <c r="S132" i="13"/>
  <c r="R132" i="13"/>
  <c r="Q132" i="13"/>
  <c r="P132" i="13"/>
  <c r="O132" i="13"/>
  <c r="N132" i="13"/>
  <c r="M132" i="13"/>
  <c r="L132" i="13"/>
  <c r="J132" i="13"/>
  <c r="G132" i="13"/>
  <c r="F132" i="13"/>
  <c r="E132" i="13"/>
  <c r="D132" i="13"/>
  <c r="C132" i="13"/>
  <c r="B132" i="13"/>
  <c r="A132" i="13"/>
  <c r="AG131" i="13"/>
  <c r="AF131" i="13"/>
  <c r="AE131" i="13"/>
  <c r="AD131" i="13"/>
  <c r="Z131" i="13"/>
  <c r="Y131" i="13"/>
  <c r="X131" i="13"/>
  <c r="W131" i="13"/>
  <c r="U131" i="13"/>
  <c r="T131" i="13"/>
  <c r="S131" i="13"/>
  <c r="R131" i="13"/>
  <c r="Q131" i="13"/>
  <c r="P131" i="13"/>
  <c r="O131" i="13"/>
  <c r="N131" i="13"/>
  <c r="M131" i="13"/>
  <c r="L131" i="13"/>
  <c r="J131" i="13"/>
  <c r="G131" i="13"/>
  <c r="F131" i="13"/>
  <c r="E131" i="13"/>
  <c r="D131" i="13"/>
  <c r="C131" i="13"/>
  <c r="B131" i="13"/>
  <c r="A131" i="13"/>
  <c r="AG130" i="13"/>
  <c r="AF130" i="13"/>
  <c r="AE130" i="13"/>
  <c r="AD130" i="13"/>
  <c r="Z130" i="13"/>
  <c r="Y130" i="13"/>
  <c r="X130" i="13"/>
  <c r="W130" i="13"/>
  <c r="U130" i="13"/>
  <c r="T130" i="13"/>
  <c r="S130" i="13"/>
  <c r="R130" i="13"/>
  <c r="Q130" i="13"/>
  <c r="P130" i="13"/>
  <c r="O130" i="13"/>
  <c r="N130" i="13"/>
  <c r="M130" i="13"/>
  <c r="L130" i="13"/>
  <c r="J130" i="13"/>
  <c r="G130" i="13"/>
  <c r="F130" i="13"/>
  <c r="E130" i="13"/>
  <c r="D130" i="13"/>
  <c r="C130" i="13"/>
  <c r="B130" i="13"/>
  <c r="A130" i="13"/>
  <c r="AG129" i="13"/>
  <c r="AF129" i="13"/>
  <c r="AE129" i="13"/>
  <c r="AD129" i="13"/>
  <c r="Z129" i="13"/>
  <c r="Y129" i="13"/>
  <c r="X129" i="13"/>
  <c r="W129" i="13"/>
  <c r="U129" i="13"/>
  <c r="T129" i="13"/>
  <c r="S129" i="13"/>
  <c r="R129" i="13"/>
  <c r="Q129" i="13"/>
  <c r="P129" i="13"/>
  <c r="O129" i="13"/>
  <c r="N129" i="13"/>
  <c r="M129" i="13"/>
  <c r="L129" i="13"/>
  <c r="J129" i="13"/>
  <c r="G129" i="13"/>
  <c r="F129" i="13"/>
  <c r="E129" i="13"/>
  <c r="D129" i="13"/>
  <c r="C129" i="13"/>
  <c r="B129" i="13"/>
  <c r="A129" i="13"/>
  <c r="AG128" i="13"/>
  <c r="AF128" i="13"/>
  <c r="AE128" i="13"/>
  <c r="AD128" i="13"/>
  <c r="Z128" i="13"/>
  <c r="Y128" i="13"/>
  <c r="X128" i="13"/>
  <c r="W128" i="13"/>
  <c r="U128" i="13"/>
  <c r="T128" i="13"/>
  <c r="S128" i="13"/>
  <c r="R128" i="13"/>
  <c r="Q128" i="13"/>
  <c r="P128" i="13"/>
  <c r="O128" i="13"/>
  <c r="N128" i="13"/>
  <c r="M128" i="13"/>
  <c r="L128" i="13"/>
  <c r="J128" i="13"/>
  <c r="G128" i="13"/>
  <c r="F128" i="13"/>
  <c r="E128" i="13"/>
  <c r="D128" i="13"/>
  <c r="C128" i="13"/>
  <c r="B128" i="13"/>
  <c r="A128" i="13"/>
  <c r="AG127" i="13"/>
  <c r="AF127" i="13"/>
  <c r="AE127" i="13"/>
  <c r="AD127" i="13"/>
  <c r="Z127" i="13"/>
  <c r="Y127" i="13"/>
  <c r="X127" i="13"/>
  <c r="W127" i="13"/>
  <c r="U127" i="13"/>
  <c r="T127" i="13"/>
  <c r="S127" i="13"/>
  <c r="R127" i="13"/>
  <c r="Q127" i="13"/>
  <c r="P127" i="13"/>
  <c r="O127" i="13"/>
  <c r="N127" i="13"/>
  <c r="M127" i="13"/>
  <c r="L127" i="13"/>
  <c r="J127" i="13"/>
  <c r="G127" i="13"/>
  <c r="F127" i="13"/>
  <c r="E127" i="13"/>
  <c r="D127" i="13"/>
  <c r="C127" i="13"/>
  <c r="B127" i="13"/>
  <c r="A127" i="13"/>
  <c r="AG126" i="13"/>
  <c r="AF126" i="13"/>
  <c r="AE126" i="13"/>
  <c r="AD126" i="13"/>
  <c r="Z126" i="13"/>
  <c r="Y126" i="13"/>
  <c r="X126" i="13"/>
  <c r="W126" i="13"/>
  <c r="U126" i="13"/>
  <c r="T126" i="13"/>
  <c r="S126" i="13"/>
  <c r="R126" i="13"/>
  <c r="Q126" i="13"/>
  <c r="P126" i="13"/>
  <c r="O126" i="13"/>
  <c r="N126" i="13"/>
  <c r="M126" i="13"/>
  <c r="L126" i="13"/>
  <c r="J126" i="13"/>
  <c r="G126" i="13"/>
  <c r="F126" i="13"/>
  <c r="E126" i="13"/>
  <c r="D126" i="13"/>
  <c r="C126" i="13"/>
  <c r="B126" i="13"/>
  <c r="A126" i="13"/>
  <c r="AG125" i="13"/>
  <c r="AF125" i="13"/>
  <c r="AE125" i="13"/>
  <c r="AD125" i="13"/>
  <c r="Z125" i="13"/>
  <c r="Y125" i="13"/>
  <c r="X125" i="13"/>
  <c r="W125" i="13"/>
  <c r="U125" i="13"/>
  <c r="T125" i="13"/>
  <c r="S125" i="13"/>
  <c r="R125" i="13"/>
  <c r="Q125" i="13"/>
  <c r="P125" i="13"/>
  <c r="O125" i="13"/>
  <c r="N125" i="13"/>
  <c r="M125" i="13"/>
  <c r="L125" i="13"/>
  <c r="J125" i="13"/>
  <c r="G125" i="13"/>
  <c r="F125" i="13"/>
  <c r="E125" i="13"/>
  <c r="D125" i="13"/>
  <c r="C125" i="13"/>
  <c r="B125" i="13"/>
  <c r="A125" i="13"/>
  <c r="AG124" i="13"/>
  <c r="AF124" i="13"/>
  <c r="AE124" i="13"/>
  <c r="AD124" i="13"/>
  <c r="Z124" i="13"/>
  <c r="Y124" i="13"/>
  <c r="X124" i="13"/>
  <c r="W124" i="13"/>
  <c r="U124" i="13"/>
  <c r="T124" i="13"/>
  <c r="S124" i="13"/>
  <c r="R124" i="13"/>
  <c r="Q124" i="13"/>
  <c r="P124" i="13"/>
  <c r="O124" i="13"/>
  <c r="N124" i="13"/>
  <c r="M124" i="13"/>
  <c r="L124" i="13"/>
  <c r="J124" i="13"/>
  <c r="G124" i="13"/>
  <c r="F124" i="13"/>
  <c r="E124" i="13"/>
  <c r="D124" i="13"/>
  <c r="C124" i="13"/>
  <c r="B124" i="13"/>
  <c r="A124" i="13"/>
  <c r="AG123" i="13"/>
  <c r="AF123" i="13"/>
  <c r="AE123" i="13"/>
  <c r="AD123" i="13"/>
  <c r="Z123" i="13"/>
  <c r="Y123" i="13"/>
  <c r="X123" i="13"/>
  <c r="W123" i="13"/>
  <c r="U123" i="13"/>
  <c r="T123" i="13"/>
  <c r="S123" i="13"/>
  <c r="R123" i="13"/>
  <c r="Q123" i="13"/>
  <c r="P123" i="13"/>
  <c r="O123" i="13"/>
  <c r="N123" i="13"/>
  <c r="M123" i="13"/>
  <c r="L123" i="13"/>
  <c r="J123" i="13"/>
  <c r="G123" i="13"/>
  <c r="F123" i="13"/>
  <c r="E123" i="13"/>
  <c r="D123" i="13"/>
  <c r="C123" i="13"/>
  <c r="B123" i="13"/>
  <c r="A123" i="13"/>
  <c r="AG122" i="13"/>
  <c r="AF122" i="13"/>
  <c r="AE122" i="13"/>
  <c r="AD122" i="13"/>
  <c r="Z122" i="13"/>
  <c r="Y122" i="13"/>
  <c r="X122" i="13"/>
  <c r="W122" i="13"/>
  <c r="U122" i="13"/>
  <c r="T122" i="13"/>
  <c r="S122" i="13"/>
  <c r="R122" i="13"/>
  <c r="Q122" i="13"/>
  <c r="P122" i="13"/>
  <c r="O122" i="13"/>
  <c r="N122" i="13"/>
  <c r="M122" i="13"/>
  <c r="L122" i="13"/>
  <c r="J122" i="13"/>
  <c r="G122" i="13"/>
  <c r="F122" i="13"/>
  <c r="E122" i="13"/>
  <c r="D122" i="13"/>
  <c r="C122" i="13"/>
  <c r="B122" i="13"/>
  <c r="A122" i="13"/>
  <c r="AG121" i="13"/>
  <c r="AF121" i="13"/>
  <c r="AE121" i="13"/>
  <c r="AD121" i="13"/>
  <c r="Z121" i="13"/>
  <c r="Y121" i="13"/>
  <c r="X121" i="13"/>
  <c r="W121" i="13"/>
  <c r="U121" i="13"/>
  <c r="T121" i="13"/>
  <c r="S121" i="13"/>
  <c r="R121" i="13"/>
  <c r="Q121" i="13"/>
  <c r="P121" i="13"/>
  <c r="O121" i="13"/>
  <c r="N121" i="13"/>
  <c r="M121" i="13"/>
  <c r="L121" i="13"/>
  <c r="J121" i="13"/>
  <c r="G121" i="13"/>
  <c r="F121" i="13"/>
  <c r="E121" i="13"/>
  <c r="D121" i="13"/>
  <c r="C121" i="13"/>
  <c r="B121" i="13"/>
  <c r="A121" i="13"/>
  <c r="AG120" i="13"/>
  <c r="AF120" i="13"/>
  <c r="AE120" i="13"/>
  <c r="AD120" i="13"/>
  <c r="Z120" i="13"/>
  <c r="Y120" i="13"/>
  <c r="X120" i="13"/>
  <c r="W120" i="13"/>
  <c r="U120" i="13"/>
  <c r="T120" i="13"/>
  <c r="S120" i="13"/>
  <c r="R120" i="13"/>
  <c r="Q120" i="13"/>
  <c r="P120" i="13"/>
  <c r="O120" i="13"/>
  <c r="N120" i="13"/>
  <c r="M120" i="13"/>
  <c r="L120" i="13"/>
  <c r="J120" i="13"/>
  <c r="G120" i="13"/>
  <c r="F120" i="13"/>
  <c r="E120" i="13"/>
  <c r="D120" i="13"/>
  <c r="C120" i="13"/>
  <c r="B120" i="13"/>
  <c r="A120" i="13"/>
  <c r="AG119" i="13"/>
  <c r="AF119" i="13"/>
  <c r="AE119" i="13"/>
  <c r="AD119" i="13"/>
  <c r="Z119" i="13"/>
  <c r="Y119" i="13"/>
  <c r="X119" i="13"/>
  <c r="W119" i="13"/>
  <c r="U119" i="13"/>
  <c r="T119" i="13"/>
  <c r="S119" i="13"/>
  <c r="R119" i="13"/>
  <c r="Q119" i="13"/>
  <c r="P119" i="13"/>
  <c r="O119" i="13"/>
  <c r="N119" i="13"/>
  <c r="M119" i="13"/>
  <c r="L119" i="13"/>
  <c r="J119" i="13"/>
  <c r="G119" i="13"/>
  <c r="F119" i="13"/>
  <c r="E119" i="13"/>
  <c r="D119" i="13"/>
  <c r="C119" i="13"/>
  <c r="B119" i="13"/>
  <c r="A119" i="13"/>
  <c r="AG118" i="13"/>
  <c r="AF118" i="13"/>
  <c r="AE118" i="13"/>
  <c r="AD118" i="13"/>
  <c r="Z118" i="13"/>
  <c r="Y118" i="13"/>
  <c r="X118" i="13"/>
  <c r="W118" i="13"/>
  <c r="U118" i="13"/>
  <c r="T118" i="13"/>
  <c r="S118" i="13"/>
  <c r="R118" i="13"/>
  <c r="Q118" i="13"/>
  <c r="P118" i="13"/>
  <c r="O118" i="13"/>
  <c r="N118" i="13"/>
  <c r="M118" i="13"/>
  <c r="L118" i="13"/>
  <c r="J118" i="13"/>
  <c r="G118" i="13"/>
  <c r="F118" i="13"/>
  <c r="E118" i="13"/>
  <c r="D118" i="13"/>
  <c r="C118" i="13"/>
  <c r="B118" i="13"/>
  <c r="A118" i="13"/>
  <c r="AG117" i="13"/>
  <c r="AF117" i="13"/>
  <c r="AE117" i="13"/>
  <c r="AD117" i="13"/>
  <c r="Z117" i="13"/>
  <c r="Y117" i="13"/>
  <c r="X117" i="13"/>
  <c r="W117" i="13"/>
  <c r="U117" i="13"/>
  <c r="T117" i="13"/>
  <c r="S117" i="13"/>
  <c r="R117" i="13"/>
  <c r="Q117" i="13"/>
  <c r="P117" i="13"/>
  <c r="O117" i="13"/>
  <c r="N117" i="13"/>
  <c r="M117" i="13"/>
  <c r="L117" i="13"/>
  <c r="J117" i="13"/>
  <c r="G117" i="13"/>
  <c r="F117" i="13"/>
  <c r="E117" i="13"/>
  <c r="D117" i="13"/>
  <c r="C117" i="13"/>
  <c r="B117" i="13"/>
  <c r="A117" i="13"/>
  <c r="AG116" i="13"/>
  <c r="AF116" i="13"/>
  <c r="AE116" i="13"/>
  <c r="AD116" i="13"/>
  <c r="Z116" i="13"/>
  <c r="Y116" i="13"/>
  <c r="X116" i="13"/>
  <c r="W116" i="13"/>
  <c r="U116" i="13"/>
  <c r="T116" i="13"/>
  <c r="S116" i="13"/>
  <c r="R116" i="13"/>
  <c r="Q116" i="13"/>
  <c r="P116" i="13"/>
  <c r="O116" i="13"/>
  <c r="N116" i="13"/>
  <c r="M116" i="13"/>
  <c r="L116" i="13"/>
  <c r="J116" i="13"/>
  <c r="G116" i="13"/>
  <c r="F116" i="13"/>
  <c r="E116" i="13"/>
  <c r="D116" i="13"/>
  <c r="C116" i="13"/>
  <c r="B116" i="13"/>
  <c r="A116" i="13"/>
  <c r="AG115" i="13"/>
  <c r="AF115" i="13"/>
  <c r="AE115" i="13"/>
  <c r="AD115" i="13"/>
  <c r="Z115" i="13"/>
  <c r="Y115" i="13"/>
  <c r="X115" i="13"/>
  <c r="W115" i="13"/>
  <c r="U115" i="13"/>
  <c r="T115" i="13"/>
  <c r="S115" i="13"/>
  <c r="R115" i="13"/>
  <c r="Q115" i="13"/>
  <c r="P115" i="13"/>
  <c r="O115" i="13"/>
  <c r="N115" i="13"/>
  <c r="M115" i="13"/>
  <c r="L115" i="13"/>
  <c r="J115" i="13"/>
  <c r="G115" i="13"/>
  <c r="F115" i="13"/>
  <c r="E115" i="13"/>
  <c r="D115" i="13"/>
  <c r="C115" i="13"/>
  <c r="B115" i="13"/>
  <c r="A115" i="13"/>
  <c r="AG114" i="13"/>
  <c r="AF114" i="13"/>
  <c r="AE114" i="13"/>
  <c r="AD114" i="13"/>
  <c r="Z114" i="13"/>
  <c r="Y114" i="13"/>
  <c r="X114" i="13"/>
  <c r="W114" i="13"/>
  <c r="U114" i="13"/>
  <c r="T114" i="13"/>
  <c r="S114" i="13"/>
  <c r="R114" i="13"/>
  <c r="Q114" i="13"/>
  <c r="P114" i="13"/>
  <c r="O114" i="13"/>
  <c r="N114" i="13"/>
  <c r="M114" i="13"/>
  <c r="L114" i="13"/>
  <c r="J114" i="13"/>
  <c r="G114" i="13"/>
  <c r="F114" i="13"/>
  <c r="E114" i="13"/>
  <c r="D114" i="13"/>
  <c r="C114" i="13"/>
  <c r="B114" i="13"/>
  <c r="A114" i="13"/>
  <c r="AG113" i="13"/>
  <c r="AF113" i="13"/>
  <c r="AE113" i="13"/>
  <c r="AD113" i="13"/>
  <c r="Z113" i="13"/>
  <c r="Y113" i="13"/>
  <c r="X113" i="13"/>
  <c r="W113" i="13"/>
  <c r="U113" i="13"/>
  <c r="T113" i="13"/>
  <c r="S113" i="13"/>
  <c r="R113" i="13"/>
  <c r="Q113" i="13"/>
  <c r="P113" i="13"/>
  <c r="O113" i="13"/>
  <c r="N113" i="13"/>
  <c r="M113" i="13"/>
  <c r="L113" i="13"/>
  <c r="J113" i="13"/>
  <c r="G113" i="13"/>
  <c r="F113" i="13"/>
  <c r="E113" i="13"/>
  <c r="D113" i="13"/>
  <c r="C113" i="13"/>
  <c r="B113" i="13"/>
  <c r="A113" i="13"/>
  <c r="AG112" i="13"/>
  <c r="AF112" i="13"/>
  <c r="AE112" i="13"/>
  <c r="AD112" i="13"/>
  <c r="Z112" i="13"/>
  <c r="Y112" i="13"/>
  <c r="X112" i="13"/>
  <c r="W112" i="13"/>
  <c r="U112" i="13"/>
  <c r="T112" i="13"/>
  <c r="S112" i="13"/>
  <c r="R112" i="13"/>
  <c r="Q112" i="13"/>
  <c r="P112" i="13"/>
  <c r="O112" i="13"/>
  <c r="N112" i="13"/>
  <c r="M112" i="13"/>
  <c r="L112" i="13"/>
  <c r="J112" i="13"/>
  <c r="G112" i="13"/>
  <c r="F112" i="13"/>
  <c r="E112" i="13"/>
  <c r="D112" i="13"/>
  <c r="C112" i="13"/>
  <c r="B112" i="13"/>
  <c r="A112" i="13"/>
  <c r="AG111" i="13"/>
  <c r="AF111" i="13"/>
  <c r="AE111" i="13"/>
  <c r="AD111" i="13"/>
  <c r="Z111" i="13"/>
  <c r="Y111" i="13"/>
  <c r="X111" i="13"/>
  <c r="W111" i="13"/>
  <c r="U111" i="13"/>
  <c r="T111" i="13"/>
  <c r="S111" i="13"/>
  <c r="R111" i="13"/>
  <c r="Q111" i="13"/>
  <c r="P111" i="13"/>
  <c r="O111" i="13"/>
  <c r="N111" i="13"/>
  <c r="M111" i="13"/>
  <c r="L111" i="13"/>
  <c r="J111" i="13"/>
  <c r="G111" i="13"/>
  <c r="F111" i="13"/>
  <c r="E111" i="13"/>
  <c r="D111" i="13"/>
  <c r="C111" i="13"/>
  <c r="B111" i="13"/>
  <c r="A111" i="13"/>
  <c r="AG110" i="13"/>
  <c r="AF110" i="13"/>
  <c r="AE110" i="13"/>
  <c r="AD110" i="13"/>
  <c r="Z110" i="13"/>
  <c r="Y110" i="13"/>
  <c r="X110" i="13"/>
  <c r="W110" i="13"/>
  <c r="U110" i="13"/>
  <c r="T110" i="13"/>
  <c r="S110" i="13"/>
  <c r="R110" i="13"/>
  <c r="Q110" i="13"/>
  <c r="P110" i="13"/>
  <c r="O110" i="13"/>
  <c r="N110" i="13"/>
  <c r="M110" i="13"/>
  <c r="L110" i="13"/>
  <c r="J110" i="13"/>
  <c r="G110" i="13"/>
  <c r="F110" i="13"/>
  <c r="E110" i="13"/>
  <c r="D110" i="13"/>
  <c r="C110" i="13"/>
  <c r="B110" i="13"/>
  <c r="A110" i="13"/>
  <c r="AG109" i="13"/>
  <c r="AF109" i="13"/>
  <c r="AE109" i="13"/>
  <c r="AD109" i="13"/>
  <c r="Z109" i="13"/>
  <c r="Y109" i="13"/>
  <c r="X109" i="13"/>
  <c r="W109" i="13"/>
  <c r="U109" i="13"/>
  <c r="T109" i="13"/>
  <c r="S109" i="13"/>
  <c r="R109" i="13"/>
  <c r="Q109" i="13"/>
  <c r="P109" i="13"/>
  <c r="O109" i="13"/>
  <c r="N109" i="13"/>
  <c r="M109" i="13"/>
  <c r="L109" i="13"/>
  <c r="J109" i="13"/>
  <c r="G109" i="13"/>
  <c r="F109" i="13"/>
  <c r="E109" i="13"/>
  <c r="D109" i="13"/>
  <c r="C109" i="13"/>
  <c r="B109" i="13"/>
  <c r="A109" i="13"/>
  <c r="AG108" i="13"/>
  <c r="AF108" i="13"/>
  <c r="AE108" i="13"/>
  <c r="AD108" i="13"/>
  <c r="Z108" i="13"/>
  <c r="Y108" i="13"/>
  <c r="X108" i="13"/>
  <c r="W108" i="13"/>
  <c r="U108" i="13"/>
  <c r="T108" i="13"/>
  <c r="S108" i="13"/>
  <c r="R108" i="13"/>
  <c r="Q108" i="13"/>
  <c r="P108" i="13"/>
  <c r="O108" i="13"/>
  <c r="N108" i="13"/>
  <c r="M108" i="13"/>
  <c r="L108" i="13"/>
  <c r="J108" i="13"/>
  <c r="G108" i="13"/>
  <c r="F108" i="13"/>
  <c r="E108" i="13"/>
  <c r="D108" i="13"/>
  <c r="C108" i="13"/>
  <c r="B108" i="13"/>
  <c r="A108" i="13"/>
  <c r="AG107" i="13"/>
  <c r="AF107" i="13"/>
  <c r="AE107" i="13"/>
  <c r="AD107" i="13"/>
  <c r="Z107" i="13"/>
  <c r="Y107" i="13"/>
  <c r="X107" i="13"/>
  <c r="W107" i="13"/>
  <c r="U107" i="13"/>
  <c r="T107" i="13"/>
  <c r="S107" i="13"/>
  <c r="R107" i="13"/>
  <c r="Q107" i="13"/>
  <c r="P107" i="13"/>
  <c r="O107" i="13"/>
  <c r="N107" i="13"/>
  <c r="M107" i="13"/>
  <c r="L107" i="13"/>
  <c r="J107" i="13"/>
  <c r="G107" i="13"/>
  <c r="F107" i="13"/>
  <c r="E107" i="13"/>
  <c r="D107" i="13"/>
  <c r="C107" i="13"/>
  <c r="B107" i="13"/>
  <c r="A107" i="13"/>
  <c r="AG106" i="13"/>
  <c r="AF106" i="13"/>
  <c r="AE106" i="13"/>
  <c r="AD106" i="13"/>
  <c r="Z106" i="13"/>
  <c r="Y106" i="13"/>
  <c r="X106" i="13"/>
  <c r="W106" i="13"/>
  <c r="U106" i="13"/>
  <c r="T106" i="13"/>
  <c r="S106" i="13"/>
  <c r="R106" i="13"/>
  <c r="Q106" i="13"/>
  <c r="P106" i="13"/>
  <c r="O106" i="13"/>
  <c r="N106" i="13"/>
  <c r="M106" i="13"/>
  <c r="L106" i="13"/>
  <c r="J106" i="13"/>
  <c r="G106" i="13"/>
  <c r="F106" i="13"/>
  <c r="E106" i="13"/>
  <c r="D106" i="13"/>
  <c r="C106" i="13"/>
  <c r="B106" i="13"/>
  <c r="A106" i="13"/>
  <c r="AG105" i="13"/>
  <c r="AF105" i="13"/>
  <c r="AE105" i="13"/>
  <c r="AD105" i="13"/>
  <c r="Z105" i="13"/>
  <c r="Y105" i="13"/>
  <c r="X105" i="13"/>
  <c r="W105" i="13"/>
  <c r="U105" i="13"/>
  <c r="T105" i="13"/>
  <c r="S105" i="13"/>
  <c r="R105" i="13"/>
  <c r="Q105" i="13"/>
  <c r="P105" i="13"/>
  <c r="O105" i="13"/>
  <c r="N105" i="13"/>
  <c r="M105" i="13"/>
  <c r="L105" i="13"/>
  <c r="J105" i="13"/>
  <c r="G105" i="13"/>
  <c r="F105" i="13"/>
  <c r="E105" i="13"/>
  <c r="D105" i="13"/>
  <c r="C105" i="13"/>
  <c r="B105" i="13"/>
  <c r="A105" i="13"/>
  <c r="AG104" i="13"/>
  <c r="AF104" i="13"/>
  <c r="AE104" i="13"/>
  <c r="AD104" i="13"/>
  <c r="AB104" i="13"/>
  <c r="AA104" i="13"/>
  <c r="Z104" i="13"/>
  <c r="Y104" i="13"/>
  <c r="X104" i="13"/>
  <c r="W104" i="13"/>
  <c r="U104" i="13"/>
  <c r="T104" i="13"/>
  <c r="S104" i="13"/>
  <c r="R104" i="13"/>
  <c r="Q104" i="13"/>
  <c r="P104" i="13"/>
  <c r="O104" i="13"/>
  <c r="N104" i="13"/>
  <c r="M104" i="13"/>
  <c r="L104" i="13"/>
  <c r="J104" i="13"/>
  <c r="H104" i="13"/>
  <c r="G104" i="13"/>
  <c r="F104" i="13"/>
  <c r="E104" i="13"/>
  <c r="D104" i="13"/>
  <c r="C104" i="13"/>
  <c r="B104" i="13"/>
  <c r="A104" i="13"/>
  <c r="AG103" i="13"/>
  <c r="AF103" i="13"/>
  <c r="AE103" i="13"/>
  <c r="AD103" i="13"/>
  <c r="Z103" i="13"/>
  <c r="Y103" i="13"/>
  <c r="X103" i="13"/>
  <c r="W103" i="13"/>
  <c r="U103" i="13"/>
  <c r="T103" i="13"/>
  <c r="S103" i="13"/>
  <c r="R103" i="13"/>
  <c r="Q103" i="13"/>
  <c r="P103" i="13"/>
  <c r="O103" i="13"/>
  <c r="N103" i="13"/>
  <c r="M103" i="13"/>
  <c r="L103" i="13"/>
  <c r="J103" i="13"/>
  <c r="G103" i="13"/>
  <c r="F103" i="13"/>
  <c r="E103" i="13"/>
  <c r="D103" i="13"/>
  <c r="C103" i="13"/>
  <c r="B103" i="13"/>
  <c r="A103" i="13"/>
  <c r="AG102" i="13"/>
  <c r="AF102" i="13"/>
  <c r="AE102" i="13"/>
  <c r="AD102" i="13"/>
  <c r="AB102" i="13"/>
  <c r="AA102" i="13"/>
  <c r="Z102" i="13"/>
  <c r="Y102" i="13"/>
  <c r="X102" i="13"/>
  <c r="W102" i="13"/>
  <c r="U102" i="13"/>
  <c r="T102" i="13"/>
  <c r="S102" i="13"/>
  <c r="R102" i="13"/>
  <c r="Q102" i="13"/>
  <c r="P102" i="13"/>
  <c r="O102" i="13"/>
  <c r="N102" i="13"/>
  <c r="M102" i="13"/>
  <c r="L102" i="13"/>
  <c r="J102" i="13"/>
  <c r="H102" i="13"/>
  <c r="G102" i="13"/>
  <c r="F102" i="13"/>
  <c r="E102" i="13"/>
  <c r="D102" i="13"/>
  <c r="C102" i="13"/>
  <c r="B102" i="13"/>
  <c r="A102" i="13"/>
  <c r="AG101" i="13"/>
  <c r="AF101" i="13"/>
  <c r="AE101" i="13"/>
  <c r="AD101" i="13"/>
  <c r="Z101" i="13"/>
  <c r="Y101" i="13"/>
  <c r="X101" i="13"/>
  <c r="W101" i="13"/>
  <c r="U101" i="13"/>
  <c r="T101" i="13"/>
  <c r="S101" i="13"/>
  <c r="R101" i="13"/>
  <c r="Q101" i="13"/>
  <c r="P101" i="13"/>
  <c r="O101" i="13"/>
  <c r="N101" i="13"/>
  <c r="M101" i="13"/>
  <c r="L101" i="13"/>
  <c r="J101" i="13"/>
  <c r="G101" i="13"/>
  <c r="F101" i="13"/>
  <c r="E101" i="13"/>
  <c r="D101" i="13"/>
  <c r="C101" i="13"/>
  <c r="B101" i="13"/>
  <c r="A101" i="13"/>
  <c r="AG100" i="13"/>
  <c r="AF100" i="13"/>
  <c r="AE100" i="13"/>
  <c r="AD100" i="13"/>
  <c r="Z100" i="13"/>
  <c r="Y100" i="13"/>
  <c r="X100" i="13"/>
  <c r="W100" i="13"/>
  <c r="U100" i="13"/>
  <c r="T100" i="13"/>
  <c r="S100" i="13"/>
  <c r="R100" i="13"/>
  <c r="Q100" i="13"/>
  <c r="P100" i="13"/>
  <c r="O100" i="13"/>
  <c r="N100" i="13"/>
  <c r="M100" i="13"/>
  <c r="L100" i="13"/>
  <c r="J100" i="13"/>
  <c r="G100" i="13"/>
  <c r="F100" i="13"/>
  <c r="E100" i="13"/>
  <c r="D100" i="13"/>
  <c r="C100" i="13"/>
  <c r="B100" i="13"/>
  <c r="A100" i="13"/>
  <c r="AG99" i="13"/>
  <c r="AF99" i="13"/>
  <c r="AE99" i="13"/>
  <c r="AD99" i="13"/>
  <c r="Z99" i="13"/>
  <c r="Y99" i="13"/>
  <c r="X99" i="13"/>
  <c r="W99" i="13"/>
  <c r="U99" i="13"/>
  <c r="T99" i="13"/>
  <c r="S99" i="13"/>
  <c r="R99" i="13"/>
  <c r="Q99" i="13"/>
  <c r="P99" i="13"/>
  <c r="O99" i="13"/>
  <c r="N99" i="13"/>
  <c r="M99" i="13"/>
  <c r="L99" i="13"/>
  <c r="J99" i="13"/>
  <c r="G99" i="13"/>
  <c r="F99" i="13"/>
  <c r="E99" i="13"/>
  <c r="D99" i="13"/>
  <c r="C99" i="13"/>
  <c r="B99" i="13"/>
  <c r="A99" i="13"/>
  <c r="AG98" i="13"/>
  <c r="AF98" i="13"/>
  <c r="AE98" i="13"/>
  <c r="AD98" i="13"/>
  <c r="Z98" i="13"/>
  <c r="Y98" i="13"/>
  <c r="X98" i="13"/>
  <c r="W98" i="13"/>
  <c r="U98" i="13"/>
  <c r="T98" i="13"/>
  <c r="S98" i="13"/>
  <c r="R98" i="13"/>
  <c r="Q98" i="13"/>
  <c r="P98" i="13"/>
  <c r="O98" i="13"/>
  <c r="N98" i="13"/>
  <c r="M98" i="13"/>
  <c r="L98" i="13"/>
  <c r="J98" i="13"/>
  <c r="G98" i="13"/>
  <c r="F98" i="13"/>
  <c r="E98" i="13"/>
  <c r="D98" i="13"/>
  <c r="C98" i="13"/>
  <c r="B98" i="13"/>
  <c r="A98" i="13"/>
  <c r="AG97" i="13"/>
  <c r="AF97" i="13"/>
  <c r="AE97" i="13"/>
  <c r="AD97" i="13"/>
  <c r="Z97" i="13"/>
  <c r="Y97" i="13"/>
  <c r="X97" i="13"/>
  <c r="W97" i="13"/>
  <c r="U97" i="13"/>
  <c r="T97" i="13"/>
  <c r="S97" i="13"/>
  <c r="R97" i="13"/>
  <c r="Q97" i="13"/>
  <c r="P97" i="13"/>
  <c r="O97" i="13"/>
  <c r="N97" i="13"/>
  <c r="M97" i="13"/>
  <c r="L97" i="13"/>
  <c r="J97" i="13"/>
  <c r="G97" i="13"/>
  <c r="F97" i="13"/>
  <c r="E97" i="13"/>
  <c r="D97" i="13"/>
  <c r="C97" i="13"/>
  <c r="B97" i="13"/>
  <c r="A97" i="13"/>
  <c r="AG96" i="13"/>
  <c r="AF96" i="13"/>
  <c r="AE96" i="13"/>
  <c r="AD96" i="13"/>
  <c r="Z96" i="13"/>
  <c r="Y96" i="13"/>
  <c r="X96" i="13"/>
  <c r="W96" i="13"/>
  <c r="U96" i="13"/>
  <c r="T96" i="13"/>
  <c r="S96" i="13"/>
  <c r="R96" i="13"/>
  <c r="Q96" i="13"/>
  <c r="P96" i="13"/>
  <c r="O96" i="13"/>
  <c r="N96" i="13"/>
  <c r="M96" i="13"/>
  <c r="L96" i="13"/>
  <c r="J96" i="13"/>
  <c r="G96" i="13"/>
  <c r="F96" i="13"/>
  <c r="E96" i="13"/>
  <c r="D96" i="13"/>
  <c r="C96" i="13"/>
  <c r="B96" i="13"/>
  <c r="A96" i="13"/>
  <c r="AG95" i="13"/>
  <c r="AF95" i="13"/>
  <c r="AE95" i="13"/>
  <c r="AD95" i="13"/>
  <c r="Z95" i="13"/>
  <c r="Y95" i="13"/>
  <c r="X95" i="13"/>
  <c r="W95" i="13"/>
  <c r="U95" i="13"/>
  <c r="T95" i="13"/>
  <c r="S95" i="13"/>
  <c r="R95" i="13"/>
  <c r="Q95" i="13"/>
  <c r="P95" i="13"/>
  <c r="O95" i="13"/>
  <c r="N95" i="13"/>
  <c r="M95" i="13"/>
  <c r="L95" i="13"/>
  <c r="J95" i="13"/>
  <c r="G95" i="13"/>
  <c r="F95" i="13"/>
  <c r="E95" i="13"/>
  <c r="D95" i="13"/>
  <c r="C95" i="13"/>
  <c r="B95" i="13"/>
  <c r="A95" i="13"/>
  <c r="AG94" i="13"/>
  <c r="AF94" i="13"/>
  <c r="AE94" i="13"/>
  <c r="AD94" i="13"/>
  <c r="Z94" i="13"/>
  <c r="Y94" i="13"/>
  <c r="X94" i="13"/>
  <c r="W94" i="13"/>
  <c r="U94" i="13"/>
  <c r="T94" i="13"/>
  <c r="S94" i="13"/>
  <c r="R94" i="13"/>
  <c r="Q94" i="13"/>
  <c r="P94" i="13"/>
  <c r="O94" i="13"/>
  <c r="N94" i="13"/>
  <c r="M94" i="13"/>
  <c r="L94" i="13"/>
  <c r="J94" i="13"/>
  <c r="G94" i="13"/>
  <c r="F94" i="13"/>
  <c r="E94" i="13"/>
  <c r="D94" i="13"/>
  <c r="C94" i="13"/>
  <c r="B94" i="13"/>
  <c r="A94" i="13"/>
  <c r="AG93" i="13"/>
  <c r="AF93" i="13"/>
  <c r="AE93" i="13"/>
  <c r="AD93" i="13"/>
  <c r="Z93" i="13"/>
  <c r="Y93" i="13"/>
  <c r="X93" i="13"/>
  <c r="W93" i="13"/>
  <c r="U93" i="13"/>
  <c r="T93" i="13"/>
  <c r="S93" i="13"/>
  <c r="R93" i="13"/>
  <c r="Q93" i="13"/>
  <c r="P93" i="13"/>
  <c r="O93" i="13"/>
  <c r="N93" i="13"/>
  <c r="M93" i="13"/>
  <c r="L93" i="13"/>
  <c r="J93" i="13"/>
  <c r="G93" i="13"/>
  <c r="F93" i="13"/>
  <c r="E93" i="13"/>
  <c r="D93" i="13"/>
  <c r="C93" i="13"/>
  <c r="B93" i="13"/>
  <c r="A93" i="13"/>
  <c r="AG92" i="13"/>
  <c r="AF92" i="13"/>
  <c r="AE92" i="13"/>
  <c r="AD92" i="13"/>
  <c r="Z92" i="13"/>
  <c r="Y92" i="13"/>
  <c r="X92" i="13"/>
  <c r="W92" i="13"/>
  <c r="U92" i="13"/>
  <c r="T92" i="13"/>
  <c r="S92" i="13"/>
  <c r="R92" i="13"/>
  <c r="Q92" i="13"/>
  <c r="P92" i="13"/>
  <c r="O92" i="13"/>
  <c r="N92" i="13"/>
  <c r="M92" i="13"/>
  <c r="L92" i="13"/>
  <c r="J92" i="13"/>
  <c r="G92" i="13"/>
  <c r="F92" i="13"/>
  <c r="E92" i="13"/>
  <c r="D92" i="13"/>
  <c r="C92" i="13"/>
  <c r="B92" i="13"/>
  <c r="A92" i="13"/>
  <c r="AG91" i="13"/>
  <c r="AF91" i="13"/>
  <c r="AE91" i="13"/>
  <c r="AD91" i="13"/>
  <c r="Z91" i="13"/>
  <c r="Y91" i="13"/>
  <c r="X91" i="13"/>
  <c r="W91" i="13"/>
  <c r="U91" i="13"/>
  <c r="T91" i="13"/>
  <c r="S91" i="13"/>
  <c r="R91" i="13"/>
  <c r="Q91" i="13"/>
  <c r="P91" i="13"/>
  <c r="O91" i="13"/>
  <c r="N91" i="13"/>
  <c r="M91" i="13"/>
  <c r="L91" i="13"/>
  <c r="J91" i="13"/>
  <c r="G91" i="13"/>
  <c r="F91" i="13"/>
  <c r="E91" i="13"/>
  <c r="D91" i="13"/>
  <c r="C91" i="13"/>
  <c r="B91" i="13"/>
  <c r="A91" i="13"/>
  <c r="AG90" i="13"/>
  <c r="AF90" i="13"/>
  <c r="AE90" i="13"/>
  <c r="AD90" i="13"/>
  <c r="Z90" i="13"/>
  <c r="Y90" i="13"/>
  <c r="X90" i="13"/>
  <c r="W90" i="13"/>
  <c r="U90" i="13"/>
  <c r="T90" i="13"/>
  <c r="S90" i="13"/>
  <c r="R90" i="13"/>
  <c r="Q90" i="13"/>
  <c r="P90" i="13"/>
  <c r="O90" i="13"/>
  <c r="N90" i="13"/>
  <c r="M90" i="13"/>
  <c r="L90" i="13"/>
  <c r="J90" i="13"/>
  <c r="G90" i="13"/>
  <c r="F90" i="13"/>
  <c r="E90" i="13"/>
  <c r="D90" i="13"/>
  <c r="C90" i="13"/>
  <c r="B90" i="13"/>
  <c r="A90" i="13"/>
  <c r="AG89" i="13"/>
  <c r="AF89" i="13"/>
  <c r="AE89" i="13"/>
  <c r="AD89" i="13"/>
  <c r="Z89" i="13"/>
  <c r="Y89" i="13"/>
  <c r="X89" i="13"/>
  <c r="W89" i="13"/>
  <c r="U89" i="13"/>
  <c r="T89" i="13"/>
  <c r="S89" i="13"/>
  <c r="R89" i="13"/>
  <c r="Q89" i="13"/>
  <c r="P89" i="13"/>
  <c r="O89" i="13"/>
  <c r="N89" i="13"/>
  <c r="M89" i="13"/>
  <c r="L89" i="13"/>
  <c r="J89" i="13"/>
  <c r="G89" i="13"/>
  <c r="F89" i="13"/>
  <c r="E89" i="13"/>
  <c r="D89" i="13"/>
  <c r="C89" i="13"/>
  <c r="B89" i="13"/>
  <c r="A89" i="13"/>
  <c r="AG88" i="13"/>
  <c r="AF88" i="13"/>
  <c r="AE88" i="13"/>
  <c r="AD88" i="13"/>
  <c r="Z88" i="13"/>
  <c r="Y88" i="13"/>
  <c r="X88" i="13"/>
  <c r="W88" i="13"/>
  <c r="U88" i="13"/>
  <c r="T88" i="13"/>
  <c r="S88" i="13"/>
  <c r="R88" i="13"/>
  <c r="Q88" i="13"/>
  <c r="P88" i="13"/>
  <c r="O88" i="13"/>
  <c r="N88" i="13"/>
  <c r="M88" i="13"/>
  <c r="L88" i="13"/>
  <c r="J88" i="13"/>
  <c r="G88" i="13"/>
  <c r="F88" i="13"/>
  <c r="E88" i="13"/>
  <c r="D88" i="13"/>
  <c r="C88" i="13"/>
  <c r="B88" i="13"/>
  <c r="A88" i="13"/>
  <c r="AG87" i="13"/>
  <c r="AF87" i="13"/>
  <c r="AE87" i="13"/>
  <c r="AD87" i="13"/>
  <c r="Z87" i="13"/>
  <c r="Y87" i="13"/>
  <c r="X87" i="13"/>
  <c r="W87" i="13"/>
  <c r="U87" i="13"/>
  <c r="T87" i="13"/>
  <c r="S87" i="13"/>
  <c r="R87" i="13"/>
  <c r="Q87" i="13"/>
  <c r="P87" i="13"/>
  <c r="O87" i="13"/>
  <c r="N87" i="13"/>
  <c r="M87" i="13"/>
  <c r="L87" i="13"/>
  <c r="J87" i="13"/>
  <c r="G87" i="13"/>
  <c r="F87" i="13"/>
  <c r="E87" i="13"/>
  <c r="D87" i="13"/>
  <c r="C87" i="13"/>
  <c r="B87" i="13"/>
  <c r="A87" i="13"/>
  <c r="AG86" i="13"/>
  <c r="AF86" i="13"/>
  <c r="AE86" i="13"/>
  <c r="AD86" i="13"/>
  <c r="Z86" i="13"/>
  <c r="Y86" i="13"/>
  <c r="X86" i="13"/>
  <c r="W86" i="13"/>
  <c r="U86" i="13"/>
  <c r="T86" i="13"/>
  <c r="S86" i="13"/>
  <c r="R86" i="13"/>
  <c r="Q86" i="13"/>
  <c r="P86" i="13"/>
  <c r="O86" i="13"/>
  <c r="N86" i="13"/>
  <c r="M86" i="13"/>
  <c r="L86" i="13"/>
  <c r="J86" i="13"/>
  <c r="G86" i="13"/>
  <c r="F86" i="13"/>
  <c r="E86" i="13"/>
  <c r="D86" i="13"/>
  <c r="C86" i="13"/>
  <c r="B86" i="13"/>
  <c r="A86" i="13"/>
  <c r="AG85" i="13"/>
  <c r="AF85" i="13"/>
  <c r="AE85" i="13"/>
  <c r="AD85" i="13"/>
  <c r="Z85" i="13"/>
  <c r="Y85" i="13"/>
  <c r="X85" i="13"/>
  <c r="W85" i="13"/>
  <c r="U85" i="13"/>
  <c r="T85" i="13"/>
  <c r="S85" i="13"/>
  <c r="R85" i="13"/>
  <c r="Q85" i="13"/>
  <c r="P85" i="13"/>
  <c r="O85" i="13"/>
  <c r="N85" i="13"/>
  <c r="M85" i="13"/>
  <c r="L85" i="13"/>
  <c r="J85" i="13"/>
  <c r="G85" i="13"/>
  <c r="F85" i="13"/>
  <c r="E85" i="13"/>
  <c r="D85" i="13"/>
  <c r="C85" i="13"/>
  <c r="B85" i="13"/>
  <c r="A85" i="13"/>
  <c r="AG84" i="13"/>
  <c r="AF84" i="13"/>
  <c r="AE84" i="13"/>
  <c r="AD84" i="13"/>
  <c r="Z84" i="13"/>
  <c r="Y84" i="13"/>
  <c r="X84" i="13"/>
  <c r="W84" i="13"/>
  <c r="U84" i="13"/>
  <c r="T84" i="13"/>
  <c r="S84" i="13"/>
  <c r="R84" i="13"/>
  <c r="Q84" i="13"/>
  <c r="P84" i="13"/>
  <c r="O84" i="13"/>
  <c r="N84" i="13"/>
  <c r="M84" i="13"/>
  <c r="L84" i="13"/>
  <c r="J84" i="13"/>
  <c r="G84" i="13"/>
  <c r="F84" i="13"/>
  <c r="E84" i="13"/>
  <c r="D84" i="13"/>
  <c r="C84" i="13"/>
  <c r="B84" i="13"/>
  <c r="A84" i="13"/>
  <c r="AG83" i="13"/>
  <c r="AF83" i="13"/>
  <c r="AE83" i="13"/>
  <c r="AD83" i="13"/>
  <c r="Z83" i="13"/>
  <c r="Y83" i="13"/>
  <c r="X83" i="13"/>
  <c r="W83" i="13"/>
  <c r="U83" i="13"/>
  <c r="T83" i="13"/>
  <c r="S83" i="13"/>
  <c r="R83" i="13"/>
  <c r="Q83" i="13"/>
  <c r="P83" i="13"/>
  <c r="O83" i="13"/>
  <c r="N83" i="13"/>
  <c r="M83" i="13"/>
  <c r="L83" i="13"/>
  <c r="J83" i="13"/>
  <c r="G83" i="13"/>
  <c r="F83" i="13"/>
  <c r="E83" i="13"/>
  <c r="D83" i="13"/>
  <c r="C83" i="13"/>
  <c r="B83" i="13"/>
  <c r="A83" i="13"/>
  <c r="AG82" i="13"/>
  <c r="AF82" i="13"/>
  <c r="AE82" i="13"/>
  <c r="AD82" i="13"/>
  <c r="Z82" i="13"/>
  <c r="Y82" i="13"/>
  <c r="X82" i="13"/>
  <c r="W82" i="13"/>
  <c r="U82" i="13"/>
  <c r="T82" i="13"/>
  <c r="S82" i="13"/>
  <c r="R82" i="13"/>
  <c r="Q82" i="13"/>
  <c r="P82" i="13"/>
  <c r="O82" i="13"/>
  <c r="N82" i="13"/>
  <c r="M82" i="13"/>
  <c r="L82" i="13"/>
  <c r="J82" i="13"/>
  <c r="G82" i="13"/>
  <c r="F82" i="13"/>
  <c r="E82" i="13"/>
  <c r="D82" i="13"/>
  <c r="C82" i="13"/>
  <c r="B82" i="13"/>
  <c r="A82" i="13"/>
  <c r="AG81" i="13"/>
  <c r="AF81" i="13"/>
  <c r="AE81" i="13"/>
  <c r="AD81" i="13"/>
  <c r="Z81" i="13"/>
  <c r="Y81" i="13"/>
  <c r="X81" i="13"/>
  <c r="W81" i="13"/>
  <c r="U81" i="13"/>
  <c r="T81" i="13"/>
  <c r="S81" i="13"/>
  <c r="R81" i="13"/>
  <c r="Q81" i="13"/>
  <c r="P81" i="13"/>
  <c r="O81" i="13"/>
  <c r="N81" i="13"/>
  <c r="M81" i="13"/>
  <c r="L81" i="13"/>
  <c r="J81" i="13"/>
  <c r="G81" i="13"/>
  <c r="F81" i="13"/>
  <c r="E81" i="13"/>
  <c r="D81" i="13"/>
  <c r="C81" i="13"/>
  <c r="B81" i="13"/>
  <c r="A81" i="13"/>
  <c r="AG80" i="13"/>
  <c r="AF80" i="13"/>
  <c r="AE80" i="13"/>
  <c r="AD80" i="13"/>
  <c r="Z80" i="13"/>
  <c r="Y80" i="13"/>
  <c r="X80" i="13"/>
  <c r="W80" i="13"/>
  <c r="U80" i="13"/>
  <c r="T80" i="13"/>
  <c r="S80" i="13"/>
  <c r="R80" i="13"/>
  <c r="Q80" i="13"/>
  <c r="P80" i="13"/>
  <c r="O80" i="13"/>
  <c r="N80" i="13"/>
  <c r="M80" i="13"/>
  <c r="L80" i="13"/>
  <c r="J80" i="13"/>
  <c r="G80" i="13"/>
  <c r="F80" i="13"/>
  <c r="E80" i="13"/>
  <c r="D80" i="13"/>
  <c r="C80" i="13"/>
  <c r="B80" i="13"/>
  <c r="A80" i="13"/>
  <c r="AG79" i="13"/>
  <c r="AF79" i="13"/>
  <c r="AE79" i="13"/>
  <c r="AD79" i="13"/>
  <c r="Z79" i="13"/>
  <c r="Y79" i="13"/>
  <c r="X79" i="13"/>
  <c r="W79" i="13"/>
  <c r="U79" i="13"/>
  <c r="T79" i="13"/>
  <c r="S79" i="13"/>
  <c r="R79" i="13"/>
  <c r="Q79" i="13"/>
  <c r="P79" i="13"/>
  <c r="O79" i="13"/>
  <c r="N79" i="13"/>
  <c r="M79" i="13"/>
  <c r="L79" i="13"/>
  <c r="J79" i="13"/>
  <c r="G79" i="13"/>
  <c r="F79" i="13"/>
  <c r="E79" i="13"/>
  <c r="D79" i="13"/>
  <c r="C79" i="13"/>
  <c r="B79" i="13"/>
  <c r="A79" i="13"/>
  <c r="AG78" i="13"/>
  <c r="AF78" i="13"/>
  <c r="AE78" i="13"/>
  <c r="AD78" i="13"/>
  <c r="Z78" i="13"/>
  <c r="Y78" i="13"/>
  <c r="X78" i="13"/>
  <c r="W78" i="13"/>
  <c r="U78" i="13"/>
  <c r="T78" i="13"/>
  <c r="S78" i="13"/>
  <c r="R78" i="13"/>
  <c r="Q78" i="13"/>
  <c r="P78" i="13"/>
  <c r="O78" i="13"/>
  <c r="N78" i="13"/>
  <c r="M78" i="13"/>
  <c r="L78" i="13"/>
  <c r="J78" i="13"/>
  <c r="G78" i="13"/>
  <c r="F78" i="13"/>
  <c r="E78" i="13"/>
  <c r="D78" i="13"/>
  <c r="C78" i="13"/>
  <c r="B78" i="13"/>
  <c r="A78" i="13"/>
  <c r="AG77" i="13"/>
  <c r="AF77" i="13"/>
  <c r="AE77" i="13"/>
  <c r="AD77" i="13"/>
  <c r="Z77" i="13"/>
  <c r="Y77" i="13"/>
  <c r="X77" i="13"/>
  <c r="W77" i="13"/>
  <c r="U77" i="13"/>
  <c r="T77" i="13"/>
  <c r="S77" i="13"/>
  <c r="R77" i="13"/>
  <c r="Q77" i="13"/>
  <c r="P77" i="13"/>
  <c r="O77" i="13"/>
  <c r="N77" i="13"/>
  <c r="M77" i="13"/>
  <c r="L77" i="13"/>
  <c r="J77" i="13"/>
  <c r="G77" i="13"/>
  <c r="F77" i="13"/>
  <c r="E77" i="13"/>
  <c r="D77" i="13"/>
  <c r="C77" i="13"/>
  <c r="B77" i="13"/>
  <c r="A77" i="13"/>
  <c r="AG76" i="13"/>
  <c r="AF76" i="13"/>
  <c r="AE76" i="13"/>
  <c r="AD76" i="13"/>
  <c r="Z76" i="13"/>
  <c r="Y76" i="13"/>
  <c r="X76" i="13"/>
  <c r="W76" i="13"/>
  <c r="U76" i="13"/>
  <c r="T76" i="13"/>
  <c r="S76" i="13"/>
  <c r="R76" i="13"/>
  <c r="Q76" i="13"/>
  <c r="P76" i="13"/>
  <c r="O76" i="13"/>
  <c r="N76" i="13"/>
  <c r="M76" i="13"/>
  <c r="L76" i="13"/>
  <c r="J76" i="13"/>
  <c r="G76" i="13"/>
  <c r="F76" i="13"/>
  <c r="E76" i="13"/>
  <c r="D76" i="13"/>
  <c r="C76" i="13"/>
  <c r="B76" i="13"/>
  <c r="A76" i="13"/>
  <c r="AG75" i="13"/>
  <c r="AF75" i="13"/>
  <c r="AE75" i="13"/>
  <c r="AD75" i="13"/>
  <c r="Z75" i="13"/>
  <c r="Y75" i="13"/>
  <c r="X75" i="13"/>
  <c r="W75" i="13"/>
  <c r="U75" i="13"/>
  <c r="T75" i="13"/>
  <c r="S75" i="13"/>
  <c r="R75" i="13"/>
  <c r="Q75" i="13"/>
  <c r="P75" i="13"/>
  <c r="O75" i="13"/>
  <c r="N75" i="13"/>
  <c r="M75" i="13"/>
  <c r="L75" i="13"/>
  <c r="J75" i="13"/>
  <c r="G75" i="13"/>
  <c r="F75" i="13"/>
  <c r="E75" i="13"/>
  <c r="D75" i="13"/>
  <c r="C75" i="13"/>
  <c r="B75" i="13"/>
  <c r="A75" i="13"/>
  <c r="AG74" i="13"/>
  <c r="AF74" i="13"/>
  <c r="AE74" i="13"/>
  <c r="AD74" i="13"/>
  <c r="Z74" i="13"/>
  <c r="Y74" i="13"/>
  <c r="X74" i="13"/>
  <c r="W74" i="13"/>
  <c r="U74" i="13"/>
  <c r="T74" i="13"/>
  <c r="S74" i="13"/>
  <c r="R74" i="13"/>
  <c r="Q74" i="13"/>
  <c r="P74" i="13"/>
  <c r="O74" i="13"/>
  <c r="N74" i="13"/>
  <c r="M74" i="13"/>
  <c r="L74" i="13"/>
  <c r="J74" i="13"/>
  <c r="G74" i="13"/>
  <c r="F74" i="13"/>
  <c r="E74" i="13"/>
  <c r="D74" i="13"/>
  <c r="C74" i="13"/>
  <c r="B74" i="13"/>
  <c r="A74" i="13"/>
  <c r="AG73" i="13"/>
  <c r="AF73" i="13"/>
  <c r="AE73" i="13"/>
  <c r="AD73" i="13"/>
  <c r="Z73" i="13"/>
  <c r="Y73" i="13"/>
  <c r="X73" i="13"/>
  <c r="W73" i="13"/>
  <c r="U73" i="13"/>
  <c r="T73" i="13"/>
  <c r="S73" i="13"/>
  <c r="R73" i="13"/>
  <c r="Q73" i="13"/>
  <c r="P73" i="13"/>
  <c r="O73" i="13"/>
  <c r="N73" i="13"/>
  <c r="M73" i="13"/>
  <c r="L73" i="13"/>
  <c r="J73" i="13"/>
  <c r="G73" i="13"/>
  <c r="F73" i="13"/>
  <c r="E73" i="13"/>
  <c r="D73" i="13"/>
  <c r="C73" i="13"/>
  <c r="B73" i="13"/>
  <c r="A73" i="13"/>
  <c r="AG72" i="13"/>
  <c r="AF72" i="13"/>
  <c r="AE72" i="13"/>
  <c r="AD72" i="13"/>
  <c r="Z72" i="13"/>
  <c r="Y72" i="13"/>
  <c r="X72" i="13"/>
  <c r="W72" i="13"/>
  <c r="U72" i="13"/>
  <c r="T72" i="13"/>
  <c r="S72" i="13"/>
  <c r="R72" i="13"/>
  <c r="Q72" i="13"/>
  <c r="P72" i="13"/>
  <c r="O72" i="13"/>
  <c r="N72" i="13"/>
  <c r="M72" i="13"/>
  <c r="L72" i="13"/>
  <c r="J72" i="13"/>
  <c r="G72" i="13"/>
  <c r="F72" i="13"/>
  <c r="E72" i="13"/>
  <c r="D72" i="13"/>
  <c r="C72" i="13"/>
  <c r="B72" i="13"/>
  <c r="A72" i="13"/>
  <c r="AG71" i="13"/>
  <c r="AF71" i="13"/>
  <c r="AE71" i="13"/>
  <c r="AD71" i="13"/>
  <c r="Z71" i="13"/>
  <c r="Y71" i="13"/>
  <c r="X71" i="13"/>
  <c r="W71" i="13"/>
  <c r="U71" i="13"/>
  <c r="T71" i="13"/>
  <c r="S71" i="13"/>
  <c r="R71" i="13"/>
  <c r="Q71" i="13"/>
  <c r="P71" i="13"/>
  <c r="O71" i="13"/>
  <c r="N71" i="13"/>
  <c r="M71" i="13"/>
  <c r="L71" i="13"/>
  <c r="J71" i="13"/>
  <c r="G71" i="13"/>
  <c r="F71" i="13"/>
  <c r="E71" i="13"/>
  <c r="D71" i="13"/>
  <c r="C71" i="13"/>
  <c r="B71" i="13"/>
  <c r="A71" i="13"/>
  <c r="AG70" i="13"/>
  <c r="AF70" i="13"/>
  <c r="AE70" i="13"/>
  <c r="AD70" i="13"/>
  <c r="Z70" i="13"/>
  <c r="Y70" i="13"/>
  <c r="X70" i="13"/>
  <c r="W70" i="13"/>
  <c r="U70" i="13"/>
  <c r="T70" i="13"/>
  <c r="S70" i="13"/>
  <c r="R70" i="13"/>
  <c r="Q70" i="13"/>
  <c r="P70" i="13"/>
  <c r="O70" i="13"/>
  <c r="N70" i="13"/>
  <c r="M70" i="13"/>
  <c r="L70" i="13"/>
  <c r="J70" i="13"/>
  <c r="G70" i="13"/>
  <c r="F70" i="13"/>
  <c r="E70" i="13"/>
  <c r="D70" i="13"/>
  <c r="C70" i="13"/>
  <c r="B70" i="13"/>
  <c r="A70" i="13"/>
  <c r="AG69" i="13"/>
  <c r="AF69" i="13"/>
  <c r="AE69" i="13"/>
  <c r="AD69" i="13"/>
  <c r="Z69" i="13"/>
  <c r="Y69" i="13"/>
  <c r="X69" i="13"/>
  <c r="W69" i="13"/>
  <c r="U69" i="13"/>
  <c r="T69" i="13"/>
  <c r="S69" i="13"/>
  <c r="R69" i="13"/>
  <c r="Q69" i="13"/>
  <c r="P69" i="13"/>
  <c r="O69" i="13"/>
  <c r="N69" i="13"/>
  <c r="M69" i="13"/>
  <c r="L69" i="13"/>
  <c r="J69" i="13"/>
  <c r="G69" i="13"/>
  <c r="F69" i="13"/>
  <c r="E69" i="13"/>
  <c r="D69" i="13"/>
  <c r="C69" i="13"/>
  <c r="B69" i="13"/>
  <c r="A69" i="13"/>
  <c r="AG68" i="13"/>
  <c r="AF68" i="13"/>
  <c r="AE68" i="13"/>
  <c r="AD68" i="13"/>
  <c r="Z68" i="13"/>
  <c r="Y68" i="13"/>
  <c r="X68" i="13"/>
  <c r="W68" i="13"/>
  <c r="U68" i="13"/>
  <c r="T68" i="13"/>
  <c r="S68" i="13"/>
  <c r="R68" i="13"/>
  <c r="Q68" i="13"/>
  <c r="P68" i="13"/>
  <c r="O68" i="13"/>
  <c r="N68" i="13"/>
  <c r="M68" i="13"/>
  <c r="L68" i="13"/>
  <c r="J68" i="13"/>
  <c r="G68" i="13"/>
  <c r="F68" i="13"/>
  <c r="E68" i="13"/>
  <c r="D68" i="13"/>
  <c r="C68" i="13"/>
  <c r="B68" i="13"/>
  <c r="A68" i="13"/>
  <c r="AG67" i="13"/>
  <c r="AF67" i="13"/>
  <c r="AE67" i="13"/>
  <c r="AD67" i="13"/>
  <c r="Z67" i="13"/>
  <c r="Y67" i="13"/>
  <c r="X67" i="13"/>
  <c r="W67" i="13"/>
  <c r="U67" i="13"/>
  <c r="T67" i="13"/>
  <c r="S67" i="13"/>
  <c r="R67" i="13"/>
  <c r="Q67" i="13"/>
  <c r="P67" i="13"/>
  <c r="O67" i="13"/>
  <c r="N67" i="13"/>
  <c r="M67" i="13"/>
  <c r="L67" i="13"/>
  <c r="J67" i="13"/>
  <c r="G67" i="13"/>
  <c r="F67" i="13"/>
  <c r="E67" i="13"/>
  <c r="D67" i="13"/>
  <c r="C67" i="13"/>
  <c r="B67" i="13"/>
  <c r="A67" i="13"/>
  <c r="AG66" i="13"/>
  <c r="AF66" i="13"/>
  <c r="AE66" i="13"/>
  <c r="AD66" i="13"/>
  <c r="Z66" i="13"/>
  <c r="Y66" i="13"/>
  <c r="X66" i="13"/>
  <c r="W66" i="13"/>
  <c r="U66" i="13"/>
  <c r="T66" i="13"/>
  <c r="S66" i="13"/>
  <c r="R66" i="13"/>
  <c r="Q66" i="13"/>
  <c r="P66" i="13"/>
  <c r="O66" i="13"/>
  <c r="N66" i="13"/>
  <c r="M66" i="13"/>
  <c r="L66" i="13"/>
  <c r="J66" i="13"/>
  <c r="G66" i="13"/>
  <c r="F66" i="13"/>
  <c r="E66" i="13"/>
  <c r="D66" i="13"/>
  <c r="C66" i="13"/>
  <c r="B66" i="13"/>
  <c r="A66" i="13"/>
  <c r="AG65" i="13"/>
  <c r="AF65" i="13"/>
  <c r="AE65" i="13"/>
  <c r="AD65" i="13"/>
  <c r="Z65" i="13"/>
  <c r="Y65" i="13"/>
  <c r="X65" i="13"/>
  <c r="W65" i="13"/>
  <c r="U65" i="13"/>
  <c r="T65" i="13"/>
  <c r="S65" i="13"/>
  <c r="R65" i="13"/>
  <c r="Q65" i="13"/>
  <c r="P65" i="13"/>
  <c r="O65" i="13"/>
  <c r="N65" i="13"/>
  <c r="M65" i="13"/>
  <c r="L65" i="13"/>
  <c r="J65" i="13"/>
  <c r="G65" i="13"/>
  <c r="F65" i="13"/>
  <c r="E65" i="13"/>
  <c r="D65" i="13"/>
  <c r="C65" i="13"/>
  <c r="B65" i="13"/>
  <c r="A65" i="13"/>
  <c r="AG64" i="13"/>
  <c r="AF64" i="13"/>
  <c r="AE64" i="13"/>
  <c r="AD64" i="13"/>
  <c r="Z64" i="13"/>
  <c r="Y64" i="13"/>
  <c r="X64" i="13"/>
  <c r="W64" i="13"/>
  <c r="U64" i="13"/>
  <c r="T64" i="13"/>
  <c r="S64" i="13"/>
  <c r="R64" i="13"/>
  <c r="Q64" i="13"/>
  <c r="P64" i="13"/>
  <c r="O64" i="13"/>
  <c r="N64" i="13"/>
  <c r="M64" i="13"/>
  <c r="L64" i="13"/>
  <c r="J64" i="13"/>
  <c r="G64" i="13"/>
  <c r="F64" i="13"/>
  <c r="E64" i="13"/>
  <c r="D64" i="13"/>
  <c r="C64" i="13"/>
  <c r="B64" i="13"/>
  <c r="A64" i="13"/>
  <c r="AG63" i="13"/>
  <c r="AF63" i="13"/>
  <c r="AE63" i="13"/>
  <c r="AD63" i="13"/>
  <c r="Z63" i="13"/>
  <c r="Y63" i="13"/>
  <c r="X63" i="13"/>
  <c r="W63" i="13"/>
  <c r="U63" i="13"/>
  <c r="T63" i="13"/>
  <c r="S63" i="13"/>
  <c r="R63" i="13"/>
  <c r="Q63" i="13"/>
  <c r="P63" i="13"/>
  <c r="O63" i="13"/>
  <c r="N63" i="13"/>
  <c r="M63" i="13"/>
  <c r="L63" i="13"/>
  <c r="J63" i="13"/>
  <c r="G63" i="13"/>
  <c r="F63" i="13"/>
  <c r="E63" i="13"/>
  <c r="D63" i="13"/>
  <c r="C63" i="13"/>
  <c r="B63" i="13"/>
  <c r="A63" i="13"/>
  <c r="AG62" i="13"/>
  <c r="AF62" i="13"/>
  <c r="AE62" i="13"/>
  <c r="AD62" i="13"/>
  <c r="Z62" i="13"/>
  <c r="Y62" i="13"/>
  <c r="X62" i="13"/>
  <c r="W62" i="13"/>
  <c r="U62" i="13"/>
  <c r="T62" i="13"/>
  <c r="S62" i="13"/>
  <c r="R62" i="13"/>
  <c r="Q62" i="13"/>
  <c r="P62" i="13"/>
  <c r="O62" i="13"/>
  <c r="N62" i="13"/>
  <c r="M62" i="13"/>
  <c r="L62" i="13"/>
  <c r="J62" i="13"/>
  <c r="G62" i="13"/>
  <c r="F62" i="13"/>
  <c r="E62" i="13"/>
  <c r="D62" i="13"/>
  <c r="C62" i="13"/>
  <c r="B62" i="13"/>
  <c r="A62" i="13"/>
  <c r="AG61" i="13"/>
  <c r="AF61" i="13"/>
  <c r="AE61" i="13"/>
  <c r="AD61" i="13"/>
  <c r="Z61" i="13"/>
  <c r="Y61" i="13"/>
  <c r="X61" i="13"/>
  <c r="W61" i="13"/>
  <c r="U61" i="13"/>
  <c r="T61" i="13"/>
  <c r="S61" i="13"/>
  <c r="R61" i="13"/>
  <c r="Q61" i="13"/>
  <c r="P61" i="13"/>
  <c r="O61" i="13"/>
  <c r="N61" i="13"/>
  <c r="M61" i="13"/>
  <c r="L61" i="13"/>
  <c r="J61" i="13"/>
  <c r="G61" i="13"/>
  <c r="F61" i="13"/>
  <c r="E61" i="13"/>
  <c r="D61" i="13"/>
  <c r="C61" i="13"/>
  <c r="B61" i="13"/>
  <c r="A61" i="13"/>
  <c r="AG60" i="13"/>
  <c r="AF60" i="13"/>
  <c r="AE60" i="13"/>
  <c r="AD60" i="13"/>
  <c r="Z60" i="13"/>
  <c r="Y60" i="13"/>
  <c r="X60" i="13"/>
  <c r="W60" i="13"/>
  <c r="U60" i="13"/>
  <c r="T60" i="13"/>
  <c r="S60" i="13"/>
  <c r="R60" i="13"/>
  <c r="Q60" i="13"/>
  <c r="P60" i="13"/>
  <c r="O60" i="13"/>
  <c r="N60" i="13"/>
  <c r="M60" i="13"/>
  <c r="L60" i="13"/>
  <c r="J60" i="13"/>
  <c r="G60" i="13"/>
  <c r="F60" i="13"/>
  <c r="E60" i="13"/>
  <c r="D60" i="13"/>
  <c r="C60" i="13"/>
  <c r="B60" i="13"/>
  <c r="A60" i="13"/>
  <c r="AG59" i="13"/>
  <c r="AF59" i="13"/>
  <c r="AE59" i="13"/>
  <c r="AD59" i="13"/>
  <c r="Z59" i="13"/>
  <c r="Y59" i="13"/>
  <c r="X59" i="13"/>
  <c r="W59" i="13"/>
  <c r="U59" i="13"/>
  <c r="T59" i="13"/>
  <c r="S59" i="13"/>
  <c r="R59" i="13"/>
  <c r="Q59" i="13"/>
  <c r="P59" i="13"/>
  <c r="O59" i="13"/>
  <c r="N59" i="13"/>
  <c r="M59" i="13"/>
  <c r="L59" i="13"/>
  <c r="J59" i="13"/>
  <c r="G59" i="13"/>
  <c r="F59" i="13"/>
  <c r="E59" i="13"/>
  <c r="D59" i="13"/>
  <c r="C59" i="13"/>
  <c r="B59" i="13"/>
  <c r="A59" i="13"/>
  <c r="AG58" i="13"/>
  <c r="AF58" i="13"/>
  <c r="AE58" i="13"/>
  <c r="AD58" i="13"/>
  <c r="Z58" i="13"/>
  <c r="Y58" i="13"/>
  <c r="X58" i="13"/>
  <c r="W58" i="13"/>
  <c r="U58" i="13"/>
  <c r="T58" i="13"/>
  <c r="S58" i="13"/>
  <c r="R58" i="13"/>
  <c r="Q58" i="13"/>
  <c r="P58" i="13"/>
  <c r="O58" i="13"/>
  <c r="N58" i="13"/>
  <c r="M58" i="13"/>
  <c r="L58" i="13"/>
  <c r="J58" i="13"/>
  <c r="G58" i="13"/>
  <c r="F58" i="13"/>
  <c r="E58" i="13"/>
  <c r="D58" i="13"/>
  <c r="C58" i="13"/>
  <c r="B58" i="13"/>
  <c r="A58" i="13"/>
  <c r="AG57" i="13"/>
  <c r="AF57" i="13"/>
  <c r="AE57" i="13"/>
  <c r="AD57" i="13"/>
  <c r="Z57" i="13"/>
  <c r="Y57" i="13"/>
  <c r="X57" i="13"/>
  <c r="W57" i="13"/>
  <c r="U57" i="13"/>
  <c r="T57" i="13"/>
  <c r="S57" i="13"/>
  <c r="R57" i="13"/>
  <c r="Q57" i="13"/>
  <c r="P57" i="13"/>
  <c r="O57" i="13"/>
  <c r="N57" i="13"/>
  <c r="M57" i="13"/>
  <c r="L57" i="13"/>
  <c r="J57" i="13"/>
  <c r="G57" i="13"/>
  <c r="F57" i="13"/>
  <c r="E57" i="13"/>
  <c r="D57" i="13"/>
  <c r="C57" i="13"/>
  <c r="B57" i="13"/>
  <c r="A57" i="13"/>
  <c r="AG56" i="13"/>
  <c r="AF56" i="13"/>
  <c r="AE56" i="13"/>
  <c r="AD56" i="13"/>
  <c r="Z56" i="13"/>
  <c r="Y56" i="13"/>
  <c r="X56" i="13"/>
  <c r="W56" i="13"/>
  <c r="U56" i="13"/>
  <c r="T56" i="13"/>
  <c r="S56" i="13"/>
  <c r="R56" i="13"/>
  <c r="Q56" i="13"/>
  <c r="P56" i="13"/>
  <c r="O56" i="13"/>
  <c r="N56" i="13"/>
  <c r="M56" i="13"/>
  <c r="L56" i="13"/>
  <c r="J56" i="13"/>
  <c r="G56" i="13"/>
  <c r="F56" i="13"/>
  <c r="E56" i="13"/>
  <c r="D56" i="13"/>
  <c r="C56" i="13"/>
  <c r="B56" i="13"/>
  <c r="A56" i="13"/>
  <c r="AG55" i="13"/>
  <c r="AF55" i="13"/>
  <c r="AE55" i="13"/>
  <c r="AD55" i="13"/>
  <c r="Z55" i="13"/>
  <c r="Y55" i="13"/>
  <c r="X55" i="13"/>
  <c r="W55" i="13"/>
  <c r="U55" i="13"/>
  <c r="T55" i="13"/>
  <c r="S55" i="13"/>
  <c r="R55" i="13"/>
  <c r="Q55" i="13"/>
  <c r="P55" i="13"/>
  <c r="O55" i="13"/>
  <c r="N55" i="13"/>
  <c r="M55" i="13"/>
  <c r="L55" i="13"/>
  <c r="J55" i="13"/>
  <c r="G55" i="13"/>
  <c r="F55" i="13"/>
  <c r="E55" i="13"/>
  <c r="D55" i="13"/>
  <c r="C55" i="13"/>
  <c r="B55" i="13"/>
  <c r="A55" i="13"/>
  <c r="AG54" i="13"/>
  <c r="AF54" i="13"/>
  <c r="AE54" i="13"/>
  <c r="AD54" i="13"/>
  <c r="Z54" i="13"/>
  <c r="Y54" i="13"/>
  <c r="X54" i="13"/>
  <c r="W54" i="13"/>
  <c r="U54" i="13"/>
  <c r="T54" i="13"/>
  <c r="S54" i="13"/>
  <c r="R54" i="13"/>
  <c r="Q54" i="13"/>
  <c r="P54" i="13"/>
  <c r="O54" i="13"/>
  <c r="N54" i="13"/>
  <c r="M54" i="13"/>
  <c r="L54" i="13"/>
  <c r="J54" i="13"/>
  <c r="G54" i="13"/>
  <c r="F54" i="13"/>
  <c r="E54" i="13"/>
  <c r="D54" i="13"/>
  <c r="C54" i="13"/>
  <c r="B54" i="13"/>
  <c r="A54" i="13"/>
  <c r="AG53" i="13"/>
  <c r="AF53" i="13"/>
  <c r="AE53" i="13"/>
  <c r="AD53" i="13"/>
  <c r="Z53" i="13"/>
  <c r="Y53" i="13"/>
  <c r="X53" i="13"/>
  <c r="W53" i="13"/>
  <c r="U53" i="13"/>
  <c r="T53" i="13"/>
  <c r="S53" i="13"/>
  <c r="R53" i="13"/>
  <c r="Q53" i="13"/>
  <c r="P53" i="13"/>
  <c r="O53" i="13"/>
  <c r="N53" i="13"/>
  <c r="M53" i="13"/>
  <c r="L53" i="13"/>
  <c r="J53" i="13"/>
  <c r="G53" i="13"/>
  <c r="F53" i="13"/>
  <c r="E53" i="13"/>
  <c r="D53" i="13"/>
  <c r="C53" i="13"/>
  <c r="B53" i="13"/>
  <c r="A53" i="13"/>
  <c r="AG52" i="13"/>
  <c r="AF52" i="13"/>
  <c r="AE52" i="13"/>
  <c r="AD52" i="13"/>
  <c r="Z52" i="13"/>
  <c r="Y52" i="13"/>
  <c r="X52" i="13"/>
  <c r="W52" i="13"/>
  <c r="U52" i="13"/>
  <c r="T52" i="13"/>
  <c r="S52" i="13"/>
  <c r="R52" i="13"/>
  <c r="Q52" i="13"/>
  <c r="P52" i="13"/>
  <c r="O52" i="13"/>
  <c r="N52" i="13"/>
  <c r="M52" i="13"/>
  <c r="L52" i="13"/>
  <c r="J52" i="13"/>
  <c r="G52" i="13"/>
  <c r="F52" i="13"/>
  <c r="E52" i="13"/>
  <c r="D52" i="13"/>
  <c r="C52" i="13"/>
  <c r="B52" i="13"/>
  <c r="A52" i="13"/>
  <c r="AG51" i="13"/>
  <c r="AF51" i="13"/>
  <c r="AE51" i="13"/>
  <c r="AD51" i="13"/>
  <c r="Z51" i="13"/>
  <c r="Y51" i="13"/>
  <c r="X51" i="13"/>
  <c r="W51" i="13"/>
  <c r="U51" i="13"/>
  <c r="T51" i="13"/>
  <c r="S51" i="13"/>
  <c r="R51" i="13"/>
  <c r="Q51" i="13"/>
  <c r="P51" i="13"/>
  <c r="O51" i="13"/>
  <c r="N51" i="13"/>
  <c r="M51" i="13"/>
  <c r="L51" i="13"/>
  <c r="J51" i="13"/>
  <c r="G51" i="13"/>
  <c r="F51" i="13"/>
  <c r="E51" i="13"/>
  <c r="D51" i="13"/>
  <c r="C51" i="13"/>
  <c r="B51" i="13"/>
  <c r="A51" i="13"/>
  <c r="AG50" i="13"/>
  <c r="AF50" i="13"/>
  <c r="AE50" i="13"/>
  <c r="AD50" i="13"/>
  <c r="Z50" i="13"/>
  <c r="Y50" i="13"/>
  <c r="X50" i="13"/>
  <c r="W50" i="13"/>
  <c r="U50" i="13"/>
  <c r="T50" i="13"/>
  <c r="S50" i="13"/>
  <c r="R50" i="13"/>
  <c r="Q50" i="13"/>
  <c r="P50" i="13"/>
  <c r="O50" i="13"/>
  <c r="N50" i="13"/>
  <c r="M50" i="13"/>
  <c r="L50" i="13"/>
  <c r="J50" i="13"/>
  <c r="G50" i="13"/>
  <c r="F50" i="13"/>
  <c r="E50" i="13"/>
  <c r="D50" i="13"/>
  <c r="C50" i="13"/>
  <c r="B50" i="13"/>
  <c r="A50" i="13"/>
  <c r="AG49" i="13"/>
  <c r="AF49" i="13"/>
  <c r="AE49" i="13"/>
  <c r="AD49" i="13"/>
  <c r="Z49" i="13"/>
  <c r="Y49" i="13"/>
  <c r="X49" i="13"/>
  <c r="W49" i="13"/>
  <c r="U49" i="13"/>
  <c r="T49" i="13"/>
  <c r="S49" i="13"/>
  <c r="R49" i="13"/>
  <c r="Q49" i="13"/>
  <c r="P49" i="13"/>
  <c r="O49" i="13"/>
  <c r="N49" i="13"/>
  <c r="M49" i="13"/>
  <c r="L49" i="13"/>
  <c r="J49" i="13"/>
  <c r="G49" i="13"/>
  <c r="F49" i="13"/>
  <c r="E49" i="13"/>
  <c r="D49" i="13"/>
  <c r="C49" i="13"/>
  <c r="B49" i="13"/>
  <c r="A49" i="13"/>
  <c r="AG48" i="13"/>
  <c r="AF48" i="13"/>
  <c r="AE48" i="13"/>
  <c r="AD48" i="13"/>
  <c r="Z48" i="13"/>
  <c r="Y48" i="13"/>
  <c r="X48" i="13"/>
  <c r="W48" i="13"/>
  <c r="U48" i="13"/>
  <c r="T48" i="13"/>
  <c r="S48" i="13"/>
  <c r="R48" i="13"/>
  <c r="Q48" i="13"/>
  <c r="P48" i="13"/>
  <c r="O48" i="13"/>
  <c r="N48" i="13"/>
  <c r="M48" i="13"/>
  <c r="L48" i="13"/>
  <c r="J48" i="13"/>
  <c r="G48" i="13"/>
  <c r="F48" i="13"/>
  <c r="E48" i="13"/>
  <c r="D48" i="13"/>
  <c r="C48" i="13"/>
  <c r="B48" i="13"/>
  <c r="A48" i="13"/>
  <c r="AG47" i="13"/>
  <c r="AF47" i="13"/>
  <c r="AE47" i="13"/>
  <c r="AD47" i="13"/>
  <c r="Z47" i="13"/>
  <c r="Y47" i="13"/>
  <c r="X47" i="13"/>
  <c r="W47" i="13"/>
  <c r="U47" i="13"/>
  <c r="T47" i="13"/>
  <c r="S47" i="13"/>
  <c r="R47" i="13"/>
  <c r="Q47" i="13"/>
  <c r="P47" i="13"/>
  <c r="O47" i="13"/>
  <c r="N47" i="13"/>
  <c r="M47" i="13"/>
  <c r="L47" i="13"/>
  <c r="J47" i="13"/>
  <c r="G47" i="13"/>
  <c r="F47" i="13"/>
  <c r="E47" i="13"/>
  <c r="D47" i="13"/>
  <c r="C47" i="13"/>
  <c r="B47" i="13"/>
  <c r="A47" i="13"/>
  <c r="AG46" i="13"/>
  <c r="AF46" i="13"/>
  <c r="AE46" i="13"/>
  <c r="AD46" i="13"/>
  <c r="Z46" i="13"/>
  <c r="Y46" i="13"/>
  <c r="X46" i="13"/>
  <c r="W46" i="13"/>
  <c r="U46" i="13"/>
  <c r="T46" i="13"/>
  <c r="S46" i="13"/>
  <c r="R46" i="13"/>
  <c r="Q46" i="13"/>
  <c r="P46" i="13"/>
  <c r="O46" i="13"/>
  <c r="N46" i="13"/>
  <c r="M46" i="13"/>
  <c r="L46" i="13"/>
  <c r="J46" i="13"/>
  <c r="G46" i="13"/>
  <c r="F46" i="13"/>
  <c r="E46" i="13"/>
  <c r="D46" i="13"/>
  <c r="C46" i="13"/>
  <c r="B46" i="13"/>
  <c r="A46" i="13"/>
  <c r="AG45" i="13"/>
  <c r="AF45" i="13"/>
  <c r="AE45" i="13"/>
  <c r="AD45" i="13"/>
  <c r="Z45" i="13"/>
  <c r="Y45" i="13"/>
  <c r="X45" i="13"/>
  <c r="W45" i="13"/>
  <c r="U45" i="13"/>
  <c r="T45" i="13"/>
  <c r="S45" i="13"/>
  <c r="R45" i="13"/>
  <c r="Q45" i="13"/>
  <c r="P45" i="13"/>
  <c r="O45" i="13"/>
  <c r="N45" i="13"/>
  <c r="M45" i="13"/>
  <c r="L45" i="13"/>
  <c r="J45" i="13"/>
  <c r="G45" i="13"/>
  <c r="F45" i="13"/>
  <c r="E45" i="13"/>
  <c r="D45" i="13"/>
  <c r="C45" i="13"/>
  <c r="B45" i="13"/>
  <c r="A45" i="13"/>
  <c r="AG44" i="13"/>
  <c r="AF44" i="13"/>
  <c r="AE44" i="13"/>
  <c r="AD44" i="13"/>
  <c r="Z44" i="13"/>
  <c r="Y44" i="13"/>
  <c r="X44" i="13"/>
  <c r="W44" i="13"/>
  <c r="U44" i="13"/>
  <c r="T44" i="13"/>
  <c r="S44" i="13"/>
  <c r="R44" i="13"/>
  <c r="Q44" i="13"/>
  <c r="P44" i="13"/>
  <c r="O44" i="13"/>
  <c r="N44" i="13"/>
  <c r="M44" i="13"/>
  <c r="L44" i="13"/>
  <c r="J44" i="13"/>
  <c r="G44" i="13"/>
  <c r="F44" i="13"/>
  <c r="E44" i="13"/>
  <c r="D44" i="13"/>
  <c r="C44" i="13"/>
  <c r="B44" i="13"/>
  <c r="A44" i="13"/>
  <c r="AH43" i="13"/>
  <c r="AG43" i="13"/>
  <c r="AF43" i="13"/>
  <c r="AE43" i="13"/>
  <c r="AD43" i="13"/>
  <c r="Z43" i="13"/>
  <c r="Y43" i="13"/>
  <c r="X43" i="13"/>
  <c r="W43" i="13"/>
  <c r="U43" i="13"/>
  <c r="T43" i="13"/>
  <c r="S43" i="13"/>
  <c r="R43" i="13"/>
  <c r="Q43" i="13"/>
  <c r="P43" i="13"/>
  <c r="O43" i="13"/>
  <c r="N43" i="13"/>
  <c r="M43" i="13"/>
  <c r="L43" i="13"/>
  <c r="J43" i="13"/>
  <c r="G43" i="13"/>
  <c r="F43" i="13"/>
  <c r="E43" i="13"/>
  <c r="D43" i="13"/>
  <c r="C43" i="13"/>
  <c r="B43" i="13"/>
  <c r="A43" i="13"/>
  <c r="AG42" i="13"/>
  <c r="AF42" i="13"/>
  <c r="AE42" i="13"/>
  <c r="AD42" i="13"/>
  <c r="Z42" i="13"/>
  <c r="Y42" i="13"/>
  <c r="X42" i="13"/>
  <c r="W42" i="13"/>
  <c r="U42" i="13"/>
  <c r="T42" i="13"/>
  <c r="S42" i="13"/>
  <c r="R42" i="13"/>
  <c r="Q42" i="13"/>
  <c r="P42" i="13"/>
  <c r="O42" i="13"/>
  <c r="N42" i="13"/>
  <c r="M42" i="13"/>
  <c r="L42" i="13"/>
  <c r="J42" i="13"/>
  <c r="G42" i="13"/>
  <c r="F42" i="13"/>
  <c r="E42" i="13"/>
  <c r="D42" i="13"/>
  <c r="C42" i="13"/>
  <c r="B42" i="13"/>
  <c r="A42" i="13"/>
  <c r="AG41" i="13"/>
  <c r="AF41" i="13"/>
  <c r="AE41" i="13"/>
  <c r="AD41" i="13"/>
  <c r="Z41" i="13"/>
  <c r="Y41" i="13"/>
  <c r="X41" i="13"/>
  <c r="W41" i="13"/>
  <c r="U41" i="13"/>
  <c r="T41" i="13"/>
  <c r="S41" i="13"/>
  <c r="R41" i="13"/>
  <c r="Q41" i="13"/>
  <c r="P41" i="13"/>
  <c r="O41" i="13"/>
  <c r="N41" i="13"/>
  <c r="M41" i="13"/>
  <c r="L41" i="13"/>
  <c r="J41" i="13"/>
  <c r="G41" i="13"/>
  <c r="F41" i="13"/>
  <c r="E41" i="13"/>
  <c r="D41" i="13"/>
  <c r="C41" i="13"/>
  <c r="B41" i="13"/>
  <c r="A41" i="13"/>
  <c r="AG40" i="13"/>
  <c r="AF40" i="13"/>
  <c r="AE40" i="13"/>
  <c r="AD40" i="13"/>
  <c r="Z40" i="13"/>
  <c r="Y40" i="13"/>
  <c r="X40" i="13"/>
  <c r="W40" i="13"/>
  <c r="U40" i="13"/>
  <c r="T40" i="13"/>
  <c r="S40" i="13"/>
  <c r="R40" i="13"/>
  <c r="Q40" i="13"/>
  <c r="P40" i="13"/>
  <c r="O40" i="13"/>
  <c r="N40" i="13"/>
  <c r="M40" i="13"/>
  <c r="L40" i="13"/>
  <c r="J40" i="13"/>
  <c r="G40" i="13"/>
  <c r="F40" i="13"/>
  <c r="E40" i="13"/>
  <c r="D40" i="13"/>
  <c r="C40" i="13"/>
  <c r="B40" i="13"/>
  <c r="A40" i="13"/>
  <c r="AG39" i="13"/>
  <c r="AF39" i="13"/>
  <c r="AE39" i="13"/>
  <c r="AD39" i="13"/>
  <c r="Z39" i="13"/>
  <c r="Y39" i="13"/>
  <c r="X39" i="13"/>
  <c r="W39" i="13"/>
  <c r="U39" i="13"/>
  <c r="T39" i="13"/>
  <c r="S39" i="13"/>
  <c r="R39" i="13"/>
  <c r="Q39" i="13"/>
  <c r="P39" i="13"/>
  <c r="O39" i="13"/>
  <c r="N39" i="13"/>
  <c r="M39" i="13"/>
  <c r="L39" i="13"/>
  <c r="J39" i="13"/>
  <c r="G39" i="13"/>
  <c r="F39" i="13"/>
  <c r="E39" i="13"/>
  <c r="D39" i="13"/>
  <c r="C39" i="13"/>
  <c r="B39" i="13"/>
  <c r="A39" i="13"/>
  <c r="AG38" i="13"/>
  <c r="AF38" i="13"/>
  <c r="AE38" i="13"/>
  <c r="AD38" i="13"/>
  <c r="Z38" i="13"/>
  <c r="Y38" i="13"/>
  <c r="X38" i="13"/>
  <c r="W38" i="13"/>
  <c r="U38" i="13"/>
  <c r="T38" i="13"/>
  <c r="S38" i="13"/>
  <c r="R38" i="13"/>
  <c r="Q38" i="13"/>
  <c r="P38" i="13"/>
  <c r="O38" i="13"/>
  <c r="N38" i="13"/>
  <c r="M38" i="13"/>
  <c r="L38" i="13"/>
  <c r="J38" i="13"/>
  <c r="G38" i="13"/>
  <c r="F38" i="13"/>
  <c r="E38" i="13"/>
  <c r="D38" i="13"/>
  <c r="C38" i="13"/>
  <c r="B38" i="13"/>
  <c r="A38" i="13"/>
  <c r="AG37" i="13"/>
  <c r="AF37" i="13"/>
  <c r="AE37" i="13"/>
  <c r="AD37" i="13"/>
  <c r="AB37" i="13"/>
  <c r="AA37" i="13"/>
  <c r="Z37" i="13"/>
  <c r="Y37" i="13"/>
  <c r="X37" i="13"/>
  <c r="W37" i="13"/>
  <c r="U37" i="13"/>
  <c r="T37" i="13"/>
  <c r="S37" i="13"/>
  <c r="R37" i="13"/>
  <c r="Q37" i="13"/>
  <c r="P37" i="13"/>
  <c r="O37" i="13"/>
  <c r="N37" i="13"/>
  <c r="M37" i="13"/>
  <c r="L37" i="13"/>
  <c r="J37" i="13"/>
  <c r="H37" i="13"/>
  <c r="G37" i="13"/>
  <c r="F37" i="13"/>
  <c r="E37" i="13"/>
  <c r="D37" i="13"/>
  <c r="C37" i="13"/>
  <c r="B37" i="13"/>
  <c r="A37" i="13"/>
  <c r="AG36" i="13"/>
  <c r="AF36" i="13"/>
  <c r="AE36" i="13"/>
  <c r="AD36" i="13"/>
  <c r="Z36" i="13"/>
  <c r="Y36" i="13"/>
  <c r="X36" i="13"/>
  <c r="W36" i="13"/>
  <c r="U36" i="13"/>
  <c r="T36" i="13"/>
  <c r="S36" i="13"/>
  <c r="R36" i="13"/>
  <c r="Q36" i="13"/>
  <c r="P36" i="13"/>
  <c r="O36" i="13"/>
  <c r="N36" i="13"/>
  <c r="M36" i="13"/>
  <c r="L36" i="13"/>
  <c r="J36" i="13"/>
  <c r="G36" i="13"/>
  <c r="F36" i="13"/>
  <c r="E36" i="13"/>
  <c r="D36" i="13"/>
  <c r="C36" i="13"/>
  <c r="B36" i="13"/>
  <c r="A36" i="13"/>
  <c r="AG35" i="13"/>
  <c r="AF35" i="13"/>
  <c r="AE35" i="13"/>
  <c r="AD35" i="13"/>
  <c r="Z35" i="13"/>
  <c r="Y35" i="13"/>
  <c r="X35" i="13"/>
  <c r="W35" i="13"/>
  <c r="U35" i="13"/>
  <c r="T35" i="13"/>
  <c r="S35" i="13"/>
  <c r="R35" i="13"/>
  <c r="Q35" i="13"/>
  <c r="P35" i="13"/>
  <c r="O35" i="13"/>
  <c r="N35" i="13"/>
  <c r="M35" i="13"/>
  <c r="L35" i="13"/>
  <c r="J35" i="13"/>
  <c r="G35" i="13"/>
  <c r="F35" i="13"/>
  <c r="E35" i="13"/>
  <c r="D35" i="13"/>
  <c r="C35" i="13"/>
  <c r="B35" i="13"/>
  <c r="A35" i="13"/>
  <c r="AG34" i="13"/>
  <c r="AF34" i="13"/>
  <c r="AE34" i="13"/>
  <c r="AD34" i="13"/>
  <c r="Z34" i="13"/>
  <c r="Y34" i="13"/>
  <c r="X34" i="13"/>
  <c r="U34" i="13"/>
  <c r="T34" i="13"/>
  <c r="S34" i="13"/>
  <c r="R34" i="13"/>
  <c r="Q34" i="13"/>
  <c r="O34" i="13"/>
  <c r="N34" i="13"/>
  <c r="M34" i="13"/>
  <c r="L34" i="13"/>
  <c r="F34" i="13"/>
  <c r="E34" i="13"/>
  <c r="D34" i="13"/>
  <c r="C34" i="13"/>
  <c r="B34" i="13"/>
  <c r="A34" i="13"/>
  <c r="AG33" i="13"/>
  <c r="AF33" i="13"/>
  <c r="AE33" i="13"/>
  <c r="AD33" i="13"/>
  <c r="Z33" i="13"/>
  <c r="Y33" i="13"/>
  <c r="X33" i="13"/>
  <c r="W33" i="13"/>
  <c r="U33" i="13"/>
  <c r="T33" i="13"/>
  <c r="S33" i="13"/>
  <c r="R33" i="13"/>
  <c r="Q33" i="13"/>
  <c r="P33" i="13"/>
  <c r="O33" i="13"/>
  <c r="N33" i="13"/>
  <c r="M33" i="13"/>
  <c r="L33" i="13"/>
  <c r="J33" i="13"/>
  <c r="G33" i="13"/>
  <c r="F33" i="13"/>
  <c r="E33" i="13"/>
  <c r="D33" i="13"/>
  <c r="C33" i="13"/>
  <c r="B33" i="13"/>
  <c r="A33" i="13"/>
  <c r="AG32" i="13"/>
  <c r="AF32" i="13"/>
  <c r="AE32" i="13"/>
  <c r="AD32" i="13"/>
  <c r="Z32" i="13"/>
  <c r="Y32" i="13"/>
  <c r="X32" i="13"/>
  <c r="W32" i="13"/>
  <c r="U32" i="13"/>
  <c r="T32" i="13"/>
  <c r="S32" i="13"/>
  <c r="R32" i="13"/>
  <c r="Q32" i="13"/>
  <c r="P32" i="13"/>
  <c r="O32" i="13"/>
  <c r="N32" i="13"/>
  <c r="M32" i="13"/>
  <c r="L32" i="13"/>
  <c r="J32" i="13"/>
  <c r="G32" i="13"/>
  <c r="F32" i="13"/>
  <c r="E32" i="13"/>
  <c r="D32" i="13"/>
  <c r="C32" i="13"/>
  <c r="B32" i="13"/>
  <c r="A32" i="13"/>
  <c r="AG31" i="13"/>
  <c r="AF31" i="13"/>
  <c r="AE31" i="13"/>
  <c r="AD31" i="13"/>
  <c r="Z31" i="13"/>
  <c r="Y31" i="13"/>
  <c r="X31" i="13"/>
  <c r="W31" i="13"/>
  <c r="U31" i="13"/>
  <c r="T31" i="13"/>
  <c r="S31" i="13"/>
  <c r="R31" i="13"/>
  <c r="Q31" i="13"/>
  <c r="P31" i="13"/>
  <c r="O31" i="13"/>
  <c r="N31" i="13"/>
  <c r="M31" i="13"/>
  <c r="L31" i="13"/>
  <c r="J31" i="13"/>
  <c r="G31" i="13"/>
  <c r="F31" i="13"/>
  <c r="E31" i="13"/>
  <c r="D31" i="13"/>
  <c r="C31" i="13"/>
  <c r="B31" i="13"/>
  <c r="A31" i="13"/>
  <c r="AG30" i="13"/>
  <c r="AF30" i="13"/>
  <c r="AE30" i="13"/>
  <c r="AD30" i="13"/>
  <c r="Z30" i="13"/>
  <c r="Y30" i="13"/>
  <c r="X30" i="13"/>
  <c r="W30" i="13"/>
  <c r="U30" i="13"/>
  <c r="T30" i="13"/>
  <c r="S30" i="13"/>
  <c r="R30" i="13"/>
  <c r="Q30" i="13"/>
  <c r="P30" i="13"/>
  <c r="O30" i="13"/>
  <c r="N30" i="13"/>
  <c r="M30" i="13"/>
  <c r="L30" i="13"/>
  <c r="J30" i="13"/>
  <c r="G30" i="13"/>
  <c r="F30" i="13"/>
  <c r="E30" i="13"/>
  <c r="D30" i="13"/>
  <c r="C30" i="13"/>
  <c r="B30" i="13"/>
  <c r="A30" i="13"/>
  <c r="AG29" i="13"/>
  <c r="AF29" i="13"/>
  <c r="AE29" i="13"/>
  <c r="AD29" i="13"/>
  <c r="Z29" i="13"/>
  <c r="Y29" i="13"/>
  <c r="X29" i="13"/>
  <c r="W29" i="13"/>
  <c r="U29" i="13"/>
  <c r="T29" i="13"/>
  <c r="S29" i="13"/>
  <c r="R29" i="13"/>
  <c r="Q29" i="13"/>
  <c r="P29" i="13"/>
  <c r="O29" i="13"/>
  <c r="N29" i="13"/>
  <c r="M29" i="13"/>
  <c r="L29" i="13"/>
  <c r="J29" i="13"/>
  <c r="G29" i="13"/>
  <c r="F29" i="13"/>
  <c r="E29" i="13"/>
  <c r="D29" i="13"/>
  <c r="C29" i="13"/>
  <c r="B29" i="13"/>
  <c r="A29" i="13"/>
  <c r="AG28" i="13"/>
  <c r="AF28" i="13"/>
  <c r="AE28" i="13"/>
  <c r="AD28" i="13"/>
  <c r="Z28" i="13"/>
  <c r="Y28" i="13"/>
  <c r="X28" i="13"/>
  <c r="W28" i="13"/>
  <c r="U28" i="13"/>
  <c r="T28" i="13"/>
  <c r="S28" i="13"/>
  <c r="R28" i="13"/>
  <c r="Q28" i="13"/>
  <c r="P28" i="13"/>
  <c r="O28" i="13"/>
  <c r="N28" i="13"/>
  <c r="M28" i="13"/>
  <c r="L28" i="13"/>
  <c r="J28" i="13"/>
  <c r="G28" i="13"/>
  <c r="F28" i="13"/>
  <c r="E28" i="13"/>
  <c r="D28" i="13"/>
  <c r="C28" i="13"/>
  <c r="B28" i="13"/>
  <c r="A28" i="13"/>
  <c r="AG27" i="13"/>
  <c r="AF27" i="13"/>
  <c r="AE27" i="13"/>
  <c r="AD27" i="13"/>
  <c r="Z27" i="13"/>
  <c r="Y27" i="13"/>
  <c r="X27" i="13"/>
  <c r="W27" i="13"/>
  <c r="U27" i="13"/>
  <c r="T27" i="13"/>
  <c r="S27" i="13"/>
  <c r="R27" i="13"/>
  <c r="Q27" i="13"/>
  <c r="P27" i="13"/>
  <c r="O27" i="13"/>
  <c r="N27" i="13"/>
  <c r="M27" i="13"/>
  <c r="L27" i="13"/>
  <c r="J27" i="13"/>
  <c r="G27" i="13"/>
  <c r="F27" i="13"/>
  <c r="E27" i="13"/>
  <c r="D27" i="13"/>
  <c r="C27" i="13"/>
  <c r="B27" i="13"/>
  <c r="A27" i="13"/>
  <c r="AG26" i="13"/>
  <c r="AF26" i="13"/>
  <c r="AE26" i="13"/>
  <c r="AD26" i="13"/>
  <c r="Z26" i="13"/>
  <c r="Y26" i="13"/>
  <c r="X26" i="13"/>
  <c r="W26" i="13"/>
  <c r="U26" i="13"/>
  <c r="T26" i="13"/>
  <c r="S26" i="13"/>
  <c r="R26" i="13"/>
  <c r="Q26" i="13"/>
  <c r="P26" i="13"/>
  <c r="O26" i="13"/>
  <c r="N26" i="13"/>
  <c r="M26" i="13"/>
  <c r="L26" i="13"/>
  <c r="J26" i="13"/>
  <c r="G26" i="13"/>
  <c r="F26" i="13"/>
  <c r="E26" i="13"/>
  <c r="D26" i="13"/>
  <c r="C26" i="13"/>
  <c r="B26" i="13"/>
  <c r="A26" i="13"/>
  <c r="AG25" i="13"/>
  <c r="AF25" i="13"/>
  <c r="AE25" i="13"/>
  <c r="AD25" i="13"/>
  <c r="Z25" i="13"/>
  <c r="Y25" i="13"/>
  <c r="X25" i="13"/>
  <c r="W25" i="13"/>
  <c r="U25" i="13"/>
  <c r="T25" i="13"/>
  <c r="S25" i="13"/>
  <c r="R25" i="13"/>
  <c r="Q25" i="13"/>
  <c r="P25" i="13"/>
  <c r="O25" i="13"/>
  <c r="N25" i="13"/>
  <c r="M25" i="13"/>
  <c r="L25" i="13"/>
  <c r="J25" i="13"/>
  <c r="G25" i="13"/>
  <c r="F25" i="13"/>
  <c r="E25" i="13"/>
  <c r="D25" i="13"/>
  <c r="C25" i="13"/>
  <c r="B25" i="13"/>
  <c r="A25" i="13"/>
  <c r="AG24" i="13"/>
  <c r="AF24" i="13"/>
  <c r="AE24" i="13"/>
  <c r="AD24" i="13"/>
  <c r="Z24" i="13"/>
  <c r="Y24" i="13"/>
  <c r="X24" i="13"/>
  <c r="W24" i="13"/>
  <c r="U24" i="13"/>
  <c r="T24" i="13"/>
  <c r="S24" i="13"/>
  <c r="R24" i="13"/>
  <c r="Q24" i="13"/>
  <c r="P24" i="13"/>
  <c r="O24" i="13"/>
  <c r="N24" i="13"/>
  <c r="M24" i="13"/>
  <c r="L24" i="13"/>
  <c r="J24" i="13"/>
  <c r="G24" i="13"/>
  <c r="F24" i="13"/>
  <c r="E24" i="13"/>
  <c r="D24" i="13"/>
  <c r="C24" i="13"/>
  <c r="B24" i="13"/>
  <c r="A24" i="13"/>
  <c r="AG23" i="13"/>
  <c r="AF23" i="13"/>
  <c r="AE23" i="13"/>
  <c r="AD23" i="13"/>
  <c r="Z23" i="13"/>
  <c r="Y23" i="13"/>
  <c r="X23" i="13"/>
  <c r="W23" i="13"/>
  <c r="U23" i="13"/>
  <c r="T23" i="13"/>
  <c r="S23" i="13"/>
  <c r="R23" i="13"/>
  <c r="Q23" i="13"/>
  <c r="P23" i="13"/>
  <c r="O23" i="13"/>
  <c r="N23" i="13"/>
  <c r="M23" i="13"/>
  <c r="L23" i="13"/>
  <c r="J23" i="13"/>
  <c r="G23" i="13"/>
  <c r="F23" i="13"/>
  <c r="E23" i="13"/>
  <c r="D23" i="13"/>
  <c r="C23" i="13"/>
  <c r="B23" i="13"/>
  <c r="A23" i="13"/>
  <c r="AG22" i="13"/>
  <c r="AF22" i="13"/>
  <c r="AE22" i="13"/>
  <c r="AD22" i="13"/>
  <c r="Z22" i="13"/>
  <c r="Y22" i="13"/>
  <c r="X22" i="13"/>
  <c r="W22" i="13"/>
  <c r="U22" i="13"/>
  <c r="T22" i="13"/>
  <c r="S22" i="13"/>
  <c r="R22" i="13"/>
  <c r="Q22" i="13"/>
  <c r="P22" i="13"/>
  <c r="O22" i="13"/>
  <c r="N22" i="13"/>
  <c r="M22" i="13"/>
  <c r="L22" i="13"/>
  <c r="J22" i="13"/>
  <c r="G22" i="13"/>
  <c r="F22" i="13"/>
  <c r="E22" i="13"/>
  <c r="D22" i="13"/>
  <c r="C22" i="13"/>
  <c r="B22" i="13"/>
  <c r="A22" i="13"/>
  <c r="AG21" i="13"/>
  <c r="AF21" i="13"/>
  <c r="AE21" i="13"/>
  <c r="AD21" i="13"/>
  <c r="Z21" i="13"/>
  <c r="Y21" i="13"/>
  <c r="X21" i="13"/>
  <c r="W21" i="13"/>
  <c r="U21" i="13"/>
  <c r="T21" i="13"/>
  <c r="S21" i="13"/>
  <c r="R21" i="13"/>
  <c r="Q21" i="13"/>
  <c r="P21" i="13"/>
  <c r="O21" i="13"/>
  <c r="N21" i="13"/>
  <c r="M21" i="13"/>
  <c r="L21" i="13"/>
  <c r="J21" i="13"/>
  <c r="G21" i="13"/>
  <c r="F21" i="13"/>
  <c r="E21" i="13"/>
  <c r="D21" i="13"/>
  <c r="C21" i="13"/>
  <c r="B21" i="13"/>
  <c r="A21" i="13"/>
  <c r="AG20" i="13"/>
  <c r="AF20" i="13"/>
  <c r="AE20" i="13"/>
  <c r="AD20" i="13"/>
  <c r="Z20" i="13"/>
  <c r="Y20" i="13"/>
  <c r="X20" i="13"/>
  <c r="W20" i="13"/>
  <c r="U20" i="13"/>
  <c r="T20" i="13"/>
  <c r="S20" i="13"/>
  <c r="R20" i="13"/>
  <c r="Q20" i="13"/>
  <c r="P20" i="13"/>
  <c r="O20" i="13"/>
  <c r="N20" i="13"/>
  <c r="M20" i="13"/>
  <c r="L20" i="13"/>
  <c r="J20" i="13"/>
  <c r="G20" i="13"/>
  <c r="F20" i="13"/>
  <c r="E20" i="13"/>
  <c r="D20" i="13"/>
  <c r="C20" i="13"/>
  <c r="B20" i="13"/>
  <c r="A20" i="13"/>
  <c r="AG19" i="13"/>
  <c r="AF19" i="13"/>
  <c r="AE19" i="13"/>
  <c r="AD19" i="13"/>
  <c r="Z19" i="13"/>
  <c r="Y19" i="13"/>
  <c r="X19" i="13"/>
  <c r="W19" i="13"/>
  <c r="U19" i="13"/>
  <c r="T19" i="13"/>
  <c r="S19" i="13"/>
  <c r="R19" i="13"/>
  <c r="Q19" i="13"/>
  <c r="P19" i="13"/>
  <c r="O19" i="13"/>
  <c r="N19" i="13"/>
  <c r="M19" i="13"/>
  <c r="L19" i="13"/>
  <c r="J19" i="13"/>
  <c r="G19" i="13"/>
  <c r="F19" i="13"/>
  <c r="E19" i="13"/>
  <c r="D19" i="13"/>
  <c r="C19" i="13"/>
  <c r="B19" i="13"/>
  <c r="A19" i="13"/>
  <c r="AG18" i="13"/>
  <c r="AF18" i="13"/>
  <c r="AE18" i="13"/>
  <c r="AD18" i="13"/>
  <c r="Z18" i="13"/>
  <c r="Y18" i="13"/>
  <c r="X18" i="13"/>
  <c r="W18" i="13"/>
  <c r="U18" i="13"/>
  <c r="T18" i="13"/>
  <c r="S18" i="13"/>
  <c r="R18" i="13"/>
  <c r="Q18" i="13"/>
  <c r="P18" i="13"/>
  <c r="O18" i="13"/>
  <c r="N18" i="13"/>
  <c r="M18" i="13"/>
  <c r="L18" i="13"/>
  <c r="J18" i="13"/>
  <c r="G18" i="13"/>
  <c r="F18" i="13"/>
  <c r="E18" i="13"/>
  <c r="D18" i="13"/>
  <c r="C18" i="13"/>
  <c r="B18" i="13"/>
  <c r="A18" i="13"/>
  <c r="AG17" i="13"/>
  <c r="AF17" i="13"/>
  <c r="AE17" i="13"/>
  <c r="AD17" i="13"/>
  <c r="Z17" i="13"/>
  <c r="Y17" i="13"/>
  <c r="X17" i="13"/>
  <c r="W17" i="13"/>
  <c r="U17" i="13"/>
  <c r="T17" i="13"/>
  <c r="S17" i="13"/>
  <c r="R17" i="13"/>
  <c r="Q17" i="13"/>
  <c r="P17" i="13"/>
  <c r="O17" i="13"/>
  <c r="N17" i="13"/>
  <c r="M17" i="13"/>
  <c r="L17" i="13"/>
  <c r="J17" i="13"/>
  <c r="G17" i="13"/>
  <c r="F17" i="13"/>
  <c r="E17" i="13"/>
  <c r="D17" i="13"/>
  <c r="C17" i="13"/>
  <c r="B17" i="13"/>
  <c r="A17" i="13"/>
  <c r="AG16" i="13"/>
  <c r="AF16" i="13"/>
  <c r="AE16" i="13"/>
  <c r="AD16" i="13"/>
  <c r="Z16" i="13"/>
  <c r="Y16" i="13"/>
  <c r="X16" i="13"/>
  <c r="W16" i="13"/>
  <c r="U16" i="13"/>
  <c r="T16" i="13"/>
  <c r="S16" i="13"/>
  <c r="R16" i="13"/>
  <c r="Q16" i="13"/>
  <c r="P16" i="13"/>
  <c r="O16" i="13"/>
  <c r="N16" i="13"/>
  <c r="M16" i="13"/>
  <c r="L16" i="13"/>
  <c r="J16" i="13"/>
  <c r="G16" i="13"/>
  <c r="F16" i="13"/>
  <c r="E16" i="13"/>
  <c r="D16" i="13"/>
  <c r="C16" i="13"/>
  <c r="B16" i="13"/>
  <c r="A16" i="13"/>
  <c r="AG15" i="13"/>
  <c r="AF15" i="13"/>
  <c r="AE15" i="13"/>
  <c r="AD15" i="13"/>
  <c r="Z15" i="13"/>
  <c r="Y15" i="13"/>
  <c r="X15" i="13"/>
  <c r="W15" i="13"/>
  <c r="U15" i="13"/>
  <c r="T15" i="13"/>
  <c r="S15" i="13"/>
  <c r="R15" i="13"/>
  <c r="Q15" i="13"/>
  <c r="P15" i="13"/>
  <c r="O15" i="13"/>
  <c r="N15" i="13"/>
  <c r="M15" i="13"/>
  <c r="L15" i="13"/>
  <c r="J15" i="13"/>
  <c r="G15" i="13"/>
  <c r="F15" i="13"/>
  <c r="E15" i="13"/>
  <c r="D15" i="13"/>
  <c r="C15" i="13"/>
  <c r="B15" i="13"/>
  <c r="A15" i="13"/>
  <c r="AG14" i="13"/>
  <c r="AF14" i="13"/>
  <c r="AE14" i="13"/>
  <c r="AD14" i="13"/>
  <c r="Z14" i="13"/>
  <c r="Y14" i="13"/>
  <c r="X14" i="13"/>
  <c r="W14" i="13"/>
  <c r="U14" i="13"/>
  <c r="T14" i="13"/>
  <c r="S14" i="13"/>
  <c r="R14" i="13"/>
  <c r="Q14" i="13"/>
  <c r="P14" i="13"/>
  <c r="O14" i="13"/>
  <c r="N14" i="13"/>
  <c r="M14" i="13"/>
  <c r="L14" i="13"/>
  <c r="J14" i="13"/>
  <c r="G14" i="13"/>
  <c r="F14" i="13"/>
  <c r="E14" i="13"/>
  <c r="D14" i="13"/>
  <c r="C14" i="13"/>
  <c r="B14" i="13"/>
  <c r="A14" i="13"/>
  <c r="AG13" i="13"/>
  <c r="AF13" i="13"/>
  <c r="AE13" i="13"/>
  <c r="AD13" i="13"/>
  <c r="Z13" i="13"/>
  <c r="Y13" i="13"/>
  <c r="X13" i="13"/>
  <c r="W13" i="13"/>
  <c r="U13" i="13"/>
  <c r="T13" i="13"/>
  <c r="S13" i="13"/>
  <c r="R13" i="13"/>
  <c r="Q13" i="13"/>
  <c r="P13" i="13"/>
  <c r="O13" i="13"/>
  <c r="N13" i="13"/>
  <c r="M13" i="13"/>
  <c r="L13" i="13"/>
  <c r="J13" i="13"/>
  <c r="G13" i="13"/>
  <c r="F13" i="13"/>
  <c r="E13" i="13"/>
  <c r="D13" i="13"/>
  <c r="C13" i="13"/>
  <c r="B13" i="13"/>
  <c r="A13" i="13"/>
  <c r="AG12" i="13"/>
  <c r="AF12" i="13"/>
  <c r="AE12" i="13"/>
  <c r="AD12" i="13"/>
  <c r="Z12" i="13"/>
  <c r="Y12" i="13"/>
  <c r="X12" i="13"/>
  <c r="W12" i="13"/>
  <c r="U12" i="13"/>
  <c r="T12" i="13"/>
  <c r="S12" i="13"/>
  <c r="R12" i="13"/>
  <c r="Q12" i="13"/>
  <c r="P12" i="13"/>
  <c r="O12" i="13"/>
  <c r="N12" i="13"/>
  <c r="M12" i="13"/>
  <c r="L12" i="13"/>
  <c r="J12" i="13"/>
  <c r="G12" i="13"/>
  <c r="F12" i="13"/>
  <c r="E12" i="13"/>
  <c r="D12" i="13"/>
  <c r="C12" i="13"/>
  <c r="B12" i="13"/>
  <c r="A12" i="13"/>
  <c r="AG11" i="13"/>
  <c r="AF11" i="13"/>
  <c r="AE11" i="13"/>
  <c r="AD11" i="13"/>
  <c r="Z11" i="13"/>
  <c r="Y11" i="13"/>
  <c r="X11" i="13"/>
  <c r="W11" i="13"/>
  <c r="U11" i="13"/>
  <c r="T11" i="13"/>
  <c r="S11" i="13"/>
  <c r="R11" i="13"/>
  <c r="Q11" i="13"/>
  <c r="P11" i="13"/>
  <c r="O11" i="13"/>
  <c r="N11" i="13"/>
  <c r="M11" i="13"/>
  <c r="L11" i="13"/>
  <c r="J11" i="13"/>
  <c r="G11" i="13"/>
  <c r="F11" i="13"/>
  <c r="E11" i="13"/>
  <c r="D11" i="13"/>
  <c r="C11" i="13"/>
  <c r="B11" i="13"/>
  <c r="A11" i="13"/>
  <c r="AG10" i="13"/>
  <c r="AF10" i="13"/>
  <c r="AE10" i="13"/>
  <c r="AD10" i="13"/>
  <c r="Z10" i="13"/>
  <c r="Y10" i="13"/>
  <c r="X10" i="13"/>
  <c r="W10" i="13"/>
  <c r="U10" i="13"/>
  <c r="T10" i="13"/>
  <c r="S10" i="13"/>
  <c r="R10" i="13"/>
  <c r="Q10" i="13"/>
  <c r="P10" i="13"/>
  <c r="O10" i="13"/>
  <c r="N10" i="13"/>
  <c r="M10" i="13"/>
  <c r="L10" i="13"/>
  <c r="J10" i="13"/>
  <c r="G10" i="13"/>
  <c r="F10" i="13"/>
  <c r="E10" i="13"/>
  <c r="D10" i="13"/>
  <c r="C10" i="13"/>
  <c r="B10" i="13"/>
  <c r="A10" i="13"/>
  <c r="AG9" i="13"/>
  <c r="AF9" i="13"/>
  <c r="AE9" i="13"/>
  <c r="AD9" i="13"/>
  <c r="Z9" i="13"/>
  <c r="Y9" i="13"/>
  <c r="X9" i="13"/>
  <c r="W9" i="13"/>
  <c r="U9" i="13"/>
  <c r="T9" i="13"/>
  <c r="S9" i="13"/>
  <c r="R9" i="13"/>
  <c r="Q9" i="13"/>
  <c r="P9" i="13"/>
  <c r="O9" i="13"/>
  <c r="N9" i="13"/>
  <c r="M9" i="13"/>
  <c r="L9" i="13"/>
  <c r="J9" i="13"/>
  <c r="G9" i="13"/>
  <c r="F9" i="13"/>
  <c r="E9" i="13"/>
  <c r="D9" i="13"/>
  <c r="C9" i="13"/>
  <c r="B9" i="13"/>
  <c r="A9" i="13"/>
  <c r="AG8" i="13"/>
  <c r="AF8" i="13"/>
  <c r="AE8" i="13"/>
  <c r="AD8" i="13"/>
  <c r="Z8" i="13"/>
  <c r="Y8" i="13"/>
  <c r="X8" i="13"/>
  <c r="W8" i="13"/>
  <c r="U8" i="13"/>
  <c r="T8" i="13"/>
  <c r="S8" i="13"/>
  <c r="R8" i="13"/>
  <c r="Q8" i="13"/>
  <c r="P8" i="13"/>
  <c r="O8" i="13"/>
  <c r="N8" i="13"/>
  <c r="M8" i="13"/>
  <c r="L8" i="13"/>
  <c r="J8" i="13"/>
  <c r="G8" i="13"/>
  <c r="F8" i="13"/>
  <c r="E8" i="13"/>
  <c r="D8" i="13"/>
  <c r="C8" i="13"/>
  <c r="B8" i="13"/>
  <c r="A8" i="13"/>
  <c r="AG7" i="13"/>
  <c r="AF7" i="13"/>
  <c r="AE7" i="13"/>
  <c r="AD7" i="13"/>
  <c r="Z7" i="13"/>
  <c r="Y7" i="13"/>
  <c r="X7" i="13"/>
  <c r="W7" i="13"/>
  <c r="U7" i="13"/>
  <c r="T7" i="13"/>
  <c r="S7" i="13"/>
  <c r="R7" i="13"/>
  <c r="Q7" i="13"/>
  <c r="P7" i="13"/>
  <c r="O7" i="13"/>
  <c r="N7" i="13"/>
  <c r="M7" i="13"/>
  <c r="L7" i="13"/>
  <c r="J7" i="13"/>
  <c r="G7" i="13"/>
  <c r="F7" i="13"/>
  <c r="E7" i="13"/>
  <c r="D7" i="13"/>
  <c r="C7" i="13"/>
  <c r="B7" i="13"/>
  <c r="A7" i="13"/>
  <c r="AG6" i="13"/>
  <c r="AF6" i="13"/>
  <c r="AE6" i="13"/>
  <c r="AD6" i="13"/>
  <c r="Z6" i="13"/>
  <c r="Y6" i="13"/>
  <c r="X6" i="13"/>
  <c r="W6" i="13"/>
  <c r="U6" i="13"/>
  <c r="T6" i="13"/>
  <c r="S6" i="13"/>
  <c r="R6" i="13"/>
  <c r="Q6" i="13"/>
  <c r="P6" i="13"/>
  <c r="O6" i="13"/>
  <c r="N6" i="13"/>
  <c r="M6" i="13"/>
  <c r="L6" i="13"/>
  <c r="J6" i="13"/>
  <c r="G6" i="13"/>
  <c r="F6" i="13"/>
  <c r="E6" i="13"/>
  <c r="D6" i="13"/>
  <c r="C6" i="13"/>
  <c r="B6" i="13"/>
  <c r="A6" i="13"/>
  <c r="AG5" i="13"/>
  <c r="AF5" i="13"/>
  <c r="AE5" i="13"/>
  <c r="AD5" i="13"/>
  <c r="Z5" i="13"/>
  <c r="Y5" i="13"/>
  <c r="X5" i="13"/>
  <c r="W5" i="13"/>
  <c r="U5" i="13"/>
  <c r="T5" i="13"/>
  <c r="S5" i="13"/>
  <c r="R5" i="13"/>
  <c r="Q5" i="13"/>
  <c r="P5" i="13"/>
  <c r="O5" i="13"/>
  <c r="N5" i="13"/>
  <c r="M5" i="13"/>
  <c r="L5" i="13"/>
  <c r="J5" i="13"/>
  <c r="G5" i="13"/>
  <c r="F5" i="13"/>
  <c r="E5" i="13"/>
  <c r="D5" i="13"/>
  <c r="C5" i="13"/>
  <c r="B5" i="13"/>
  <c r="A5" i="13"/>
  <c r="AG4" i="13"/>
  <c r="AF4" i="13"/>
  <c r="AE4" i="13"/>
  <c r="AD4" i="13"/>
  <c r="AB4" i="13"/>
  <c r="AA4" i="13"/>
  <c r="Z4" i="13"/>
  <c r="Y4" i="13"/>
  <c r="X4" i="13"/>
  <c r="W4" i="13"/>
  <c r="U4" i="13"/>
  <c r="T4" i="13"/>
  <c r="S4" i="13"/>
  <c r="R4" i="13"/>
  <c r="Q4" i="13"/>
  <c r="P4" i="13"/>
  <c r="O4" i="13"/>
  <c r="N4" i="13"/>
  <c r="M4" i="13"/>
  <c r="L4" i="13"/>
  <c r="J4" i="13"/>
  <c r="H4" i="13"/>
  <c r="G4" i="13"/>
  <c r="F4" i="13"/>
  <c r="E4" i="13"/>
  <c r="D4" i="13"/>
  <c r="C4" i="13"/>
  <c r="B4" i="13"/>
  <c r="A4" i="13"/>
  <c r="AG3" i="13"/>
  <c r="AF3" i="13"/>
  <c r="AE3" i="13"/>
  <c r="AD3" i="13"/>
  <c r="Z3" i="13"/>
  <c r="Y3" i="13"/>
  <c r="X3" i="13"/>
  <c r="W3" i="13"/>
  <c r="U3" i="13"/>
  <c r="T3" i="13"/>
  <c r="S3" i="13"/>
  <c r="R3" i="13"/>
  <c r="Q3" i="13"/>
  <c r="P3" i="13"/>
  <c r="O3" i="13"/>
  <c r="N3" i="13"/>
  <c r="M3" i="13"/>
  <c r="L3" i="13"/>
  <c r="J3" i="13"/>
  <c r="G3" i="13"/>
  <c r="F3" i="13"/>
  <c r="E3" i="13"/>
  <c r="D3" i="13"/>
  <c r="C3" i="13"/>
  <c r="B3" i="13"/>
  <c r="A3" i="13"/>
  <c r="AG2" i="13"/>
  <c r="AF2" i="13"/>
  <c r="AE2" i="13"/>
  <c r="AD2" i="13"/>
  <c r="Z2" i="13"/>
  <c r="Y2" i="13"/>
  <c r="X2" i="13"/>
  <c r="W2" i="13"/>
  <c r="U2" i="13"/>
  <c r="T2" i="13"/>
  <c r="S2" i="13"/>
  <c r="R2" i="13"/>
  <c r="Q2" i="13"/>
  <c r="P2" i="13"/>
  <c r="O2" i="13"/>
  <c r="N2" i="13"/>
  <c r="M2" i="13"/>
  <c r="L2" i="13"/>
  <c r="J2" i="13"/>
  <c r="G2" i="13"/>
  <c r="F2" i="13"/>
  <c r="E2" i="13"/>
  <c r="D2" i="13"/>
  <c r="C2" i="13"/>
  <c r="B2" i="13"/>
  <c r="A2" i="13"/>
  <c r="AH1" i="13"/>
  <c r="AG1" i="13"/>
  <c r="AC1" i="13"/>
  <c r="AB1" i="13"/>
  <c r="AA1" i="13"/>
  <c r="Z1" i="13"/>
  <c r="Y1" i="13"/>
  <c r="X1" i="13"/>
  <c r="V1" i="13"/>
  <c r="U1" i="13"/>
  <c r="T1" i="13"/>
  <c r="Q1" i="13"/>
  <c r="N1" i="13"/>
  <c r="K1" i="13"/>
  <c r="I1" i="13"/>
  <c r="H1" i="13"/>
  <c r="F1" i="13"/>
  <c r="E1" i="13"/>
  <c r="C1" i="13"/>
  <c r="A1" i="13"/>
  <c r="A2" i="11"/>
  <c r="A2" i="10"/>
  <c r="I32" i="9"/>
  <c r="H32" i="9"/>
  <c r="I31" i="9"/>
  <c r="H31" i="9"/>
  <c r="I30" i="9"/>
  <c r="H30" i="9"/>
  <c r="I29" i="9"/>
  <c r="H29" i="9"/>
  <c r="I28" i="9"/>
  <c r="H28" i="9"/>
  <c r="I27" i="9"/>
  <c r="H27" i="9"/>
  <c r="I26" i="9"/>
  <c r="H26" i="9"/>
  <c r="I25" i="9"/>
  <c r="H25" i="9"/>
  <c r="E25" i="9"/>
  <c r="D25" i="9"/>
  <c r="C25" i="9"/>
  <c r="B25" i="9"/>
  <c r="A25" i="9"/>
  <c r="I24" i="9"/>
  <c r="H24" i="9"/>
  <c r="E24" i="9"/>
  <c r="D24" i="9"/>
  <c r="C24" i="9"/>
  <c r="B24" i="9"/>
  <c r="A24" i="9"/>
  <c r="I23" i="9"/>
  <c r="H23" i="9"/>
  <c r="E23" i="9"/>
  <c r="D23" i="9"/>
  <c r="C23" i="9"/>
  <c r="B23" i="9"/>
  <c r="A23" i="9"/>
  <c r="I22" i="9"/>
  <c r="H22" i="9"/>
  <c r="E22" i="9"/>
  <c r="D22" i="9"/>
  <c r="C22" i="9"/>
  <c r="B22" i="9"/>
  <c r="A22" i="9"/>
  <c r="I21" i="9"/>
  <c r="H21" i="9"/>
  <c r="E21" i="9"/>
  <c r="D21" i="9"/>
  <c r="C21" i="9"/>
  <c r="B21" i="9"/>
  <c r="A21" i="9"/>
  <c r="I20" i="9"/>
  <c r="H20" i="9"/>
  <c r="E20" i="9"/>
  <c r="D20" i="9"/>
  <c r="C20" i="9"/>
  <c r="B20" i="9"/>
  <c r="A20" i="9"/>
  <c r="I19" i="9"/>
  <c r="H19" i="9"/>
  <c r="E19" i="9"/>
  <c r="D19" i="9"/>
  <c r="C19" i="9"/>
  <c r="B19" i="9"/>
  <c r="A19" i="9"/>
  <c r="I18" i="9"/>
  <c r="H18" i="9"/>
  <c r="E18" i="9"/>
  <c r="D18" i="9"/>
  <c r="C18" i="9"/>
  <c r="B18" i="9"/>
  <c r="A18" i="9"/>
  <c r="I17" i="9"/>
  <c r="H17" i="9"/>
  <c r="E17" i="9"/>
  <c r="D17" i="9"/>
  <c r="C17" i="9"/>
  <c r="B17" i="9"/>
  <c r="A17" i="9"/>
  <c r="I16" i="9"/>
  <c r="H16" i="9"/>
  <c r="E16" i="9"/>
  <c r="D16" i="9"/>
  <c r="C16" i="9"/>
  <c r="B16" i="9"/>
  <c r="A16" i="9"/>
  <c r="I15" i="9"/>
  <c r="H15" i="9"/>
  <c r="E15" i="9"/>
  <c r="D15" i="9"/>
  <c r="C15" i="9"/>
  <c r="B15" i="9"/>
  <c r="A15" i="9"/>
  <c r="I14" i="9"/>
  <c r="H14" i="9"/>
  <c r="E14" i="9"/>
  <c r="D14" i="9"/>
  <c r="C14" i="9"/>
  <c r="B14" i="9"/>
  <c r="A14" i="9"/>
  <c r="I13" i="9"/>
  <c r="H13" i="9"/>
  <c r="E13" i="9"/>
  <c r="D13" i="9"/>
  <c r="C13" i="9"/>
  <c r="B13" i="9"/>
  <c r="A13" i="9"/>
  <c r="I12" i="9"/>
  <c r="H12" i="9"/>
  <c r="E12" i="9"/>
  <c r="D12" i="9"/>
  <c r="C12" i="9"/>
  <c r="B12" i="9"/>
  <c r="A12" i="9"/>
  <c r="I11" i="9"/>
  <c r="H11" i="9"/>
  <c r="E11" i="9"/>
  <c r="D11" i="9"/>
  <c r="C11" i="9"/>
  <c r="B11" i="9"/>
  <c r="A11" i="9"/>
  <c r="I10" i="9"/>
  <c r="H10" i="9"/>
  <c r="E10" i="9"/>
  <c r="D10" i="9"/>
  <c r="C10" i="9"/>
  <c r="B10" i="9"/>
  <c r="A10" i="9"/>
  <c r="I9" i="9"/>
  <c r="H9" i="9"/>
  <c r="E9" i="9"/>
  <c r="D9" i="9"/>
  <c r="C9" i="9"/>
  <c r="B9" i="9"/>
  <c r="A9" i="9"/>
  <c r="I8" i="9"/>
  <c r="H8" i="9"/>
  <c r="E8" i="9"/>
  <c r="D8" i="9"/>
  <c r="C8" i="9"/>
  <c r="B8" i="9"/>
  <c r="A8" i="9"/>
  <c r="I7" i="9"/>
  <c r="H7" i="9"/>
  <c r="E7" i="9"/>
  <c r="D7" i="9"/>
  <c r="C7" i="9"/>
  <c r="B7" i="9"/>
  <c r="A7" i="9"/>
  <c r="I6" i="9"/>
  <c r="H6" i="9"/>
  <c r="E6" i="9"/>
  <c r="D6" i="9"/>
  <c r="C6" i="9"/>
  <c r="B6" i="9"/>
  <c r="A6" i="9"/>
  <c r="I5" i="9"/>
  <c r="H5" i="9"/>
  <c r="E5" i="9"/>
  <c r="D5" i="9"/>
  <c r="C5" i="9"/>
  <c r="B5" i="9"/>
  <c r="A5" i="9"/>
  <c r="I4" i="9"/>
  <c r="H4" i="9"/>
  <c r="E4" i="9"/>
  <c r="D4" i="9"/>
  <c r="C4" i="9"/>
  <c r="B4" i="9"/>
  <c r="A4" i="9"/>
  <c r="I3" i="9"/>
  <c r="H3" i="9"/>
  <c r="E3" i="9"/>
  <c r="D3" i="9"/>
  <c r="C3" i="9"/>
  <c r="B3" i="9"/>
  <c r="A3" i="9"/>
  <c r="I2" i="9"/>
  <c r="H2" i="9"/>
  <c r="E2" i="9"/>
  <c r="D2" i="9"/>
  <c r="C2" i="9"/>
  <c r="B2" i="9"/>
  <c r="A2" i="9"/>
  <c r="E220" i="8"/>
  <c r="D220" i="8"/>
  <c r="C220" i="8"/>
  <c r="B220" i="8"/>
  <c r="A220" i="8"/>
  <c r="E219" i="8"/>
  <c r="D219" i="8"/>
  <c r="C219" i="8"/>
  <c r="B219" i="8"/>
  <c r="A219" i="8"/>
  <c r="E218" i="8"/>
  <c r="D218" i="8"/>
  <c r="C218" i="8"/>
  <c r="B218" i="8"/>
  <c r="A218" i="8"/>
  <c r="E217" i="8"/>
  <c r="D217" i="8"/>
  <c r="C217" i="8"/>
  <c r="B217" i="8"/>
  <c r="A217" i="8"/>
  <c r="E216" i="8"/>
  <c r="D216" i="8"/>
  <c r="C216" i="8"/>
  <c r="B216" i="8"/>
  <c r="A216" i="8"/>
  <c r="E215" i="8"/>
  <c r="D215" i="8"/>
  <c r="C215" i="8"/>
  <c r="B215" i="8"/>
  <c r="A215" i="8"/>
  <c r="E214" i="8"/>
  <c r="D214" i="8"/>
  <c r="C214" i="8"/>
  <c r="B214" i="8"/>
  <c r="A214" i="8"/>
  <c r="E213" i="8"/>
  <c r="D213" i="8"/>
  <c r="C213" i="8"/>
  <c r="B213" i="8"/>
  <c r="A213" i="8"/>
  <c r="E212" i="8"/>
  <c r="D212" i="8"/>
  <c r="C212" i="8"/>
  <c r="B212" i="8"/>
  <c r="A212" i="8"/>
  <c r="E211" i="8"/>
  <c r="D211" i="8"/>
  <c r="C211" i="8"/>
  <c r="B211" i="8"/>
  <c r="A211" i="8"/>
  <c r="E210" i="8"/>
  <c r="D210" i="8"/>
  <c r="C210" i="8"/>
  <c r="B210" i="8"/>
  <c r="A210" i="8"/>
  <c r="E209" i="8"/>
  <c r="D209" i="8"/>
  <c r="C209" i="8"/>
  <c r="B209" i="8"/>
  <c r="A209" i="8"/>
  <c r="E208" i="8"/>
  <c r="D208" i="8"/>
  <c r="C208" i="8"/>
  <c r="B208" i="8"/>
  <c r="A208" i="8"/>
  <c r="E207" i="8"/>
  <c r="D207" i="8"/>
  <c r="C207" i="8"/>
  <c r="B207" i="8"/>
  <c r="A207" i="8"/>
  <c r="E206" i="8"/>
  <c r="D206" i="8"/>
  <c r="C206" i="8"/>
  <c r="B206" i="8"/>
  <c r="A206" i="8"/>
  <c r="E205" i="8"/>
  <c r="D205" i="8"/>
  <c r="C205" i="8"/>
  <c r="B205" i="8"/>
  <c r="A205" i="8"/>
  <c r="E204" i="8"/>
  <c r="D204" i="8"/>
  <c r="C204" i="8"/>
  <c r="B204" i="8"/>
  <c r="A204" i="8"/>
  <c r="E203" i="8"/>
  <c r="D203" i="8"/>
  <c r="C203" i="8"/>
  <c r="B203" i="8"/>
  <c r="A203" i="8"/>
  <c r="E202" i="8"/>
  <c r="D202" i="8"/>
  <c r="C202" i="8"/>
  <c r="B202" i="8"/>
  <c r="A202" i="8"/>
  <c r="E201" i="8"/>
  <c r="D201" i="8"/>
  <c r="C201" i="8"/>
  <c r="B201" i="8"/>
  <c r="A201" i="8"/>
  <c r="E200" i="8"/>
  <c r="D200" i="8"/>
  <c r="C200" i="8"/>
  <c r="B200" i="8"/>
  <c r="A200" i="8"/>
  <c r="E199" i="8"/>
  <c r="D199" i="8"/>
  <c r="C199" i="8"/>
  <c r="B199" i="8"/>
  <c r="A199" i="8"/>
  <c r="E198" i="8"/>
  <c r="D198" i="8"/>
  <c r="C198" i="8"/>
  <c r="B198" i="8"/>
  <c r="A198" i="8"/>
  <c r="E197" i="8"/>
  <c r="D197" i="8"/>
  <c r="C197" i="8"/>
  <c r="B197" i="8"/>
  <c r="A197" i="8"/>
  <c r="E196" i="8"/>
  <c r="D196" i="8"/>
  <c r="C196" i="8"/>
  <c r="B196" i="8"/>
  <c r="A196" i="8"/>
  <c r="E195" i="8"/>
  <c r="D195" i="8"/>
  <c r="C195" i="8"/>
  <c r="B195" i="8"/>
  <c r="A195" i="8"/>
  <c r="E194" i="8"/>
  <c r="D194" i="8"/>
  <c r="C194" i="8"/>
  <c r="B194" i="8"/>
  <c r="A194" i="8"/>
  <c r="E193" i="8"/>
  <c r="D193" i="8"/>
  <c r="C193" i="8"/>
  <c r="B193" i="8"/>
  <c r="A193" i="8"/>
  <c r="E192" i="8"/>
  <c r="D192" i="8"/>
  <c r="C192" i="8"/>
  <c r="B192" i="8"/>
  <c r="A192" i="8"/>
  <c r="E191" i="8"/>
  <c r="D191" i="8"/>
  <c r="C191" i="8"/>
  <c r="B191" i="8"/>
  <c r="A191" i="8"/>
  <c r="E190" i="8"/>
  <c r="D190" i="8"/>
  <c r="C190" i="8"/>
  <c r="B190" i="8"/>
  <c r="A190" i="8"/>
  <c r="E189" i="8"/>
  <c r="D189" i="8"/>
  <c r="C189" i="8"/>
  <c r="B189" i="8"/>
  <c r="A189" i="8"/>
  <c r="E188" i="8"/>
  <c r="D188" i="8"/>
  <c r="C188" i="8"/>
  <c r="B188" i="8"/>
  <c r="A188" i="8"/>
  <c r="E187" i="8"/>
  <c r="D187" i="8"/>
  <c r="C187" i="8"/>
  <c r="B187" i="8"/>
  <c r="A187" i="8"/>
  <c r="E186" i="8"/>
  <c r="D186" i="8"/>
  <c r="C186" i="8"/>
  <c r="B186" i="8"/>
  <c r="A186" i="8"/>
  <c r="E185" i="8"/>
  <c r="D185" i="8"/>
  <c r="C185" i="8"/>
  <c r="B185" i="8"/>
  <c r="A185" i="8"/>
  <c r="E184" i="8"/>
  <c r="D184" i="8"/>
  <c r="C184" i="8"/>
  <c r="B184" i="8"/>
  <c r="A184" i="8"/>
  <c r="E183" i="8"/>
  <c r="D183" i="8"/>
  <c r="C183" i="8"/>
  <c r="B183" i="8"/>
  <c r="A183" i="8"/>
  <c r="E182" i="8"/>
  <c r="D182" i="8"/>
  <c r="C182" i="8"/>
  <c r="B182" i="8"/>
  <c r="A182" i="8"/>
  <c r="E181" i="8"/>
  <c r="D181" i="8"/>
  <c r="C181" i="8"/>
  <c r="B181" i="8"/>
  <c r="A181" i="8"/>
  <c r="E180" i="8"/>
  <c r="D180" i="8"/>
  <c r="C180" i="8"/>
  <c r="B180" i="8"/>
  <c r="A180" i="8"/>
  <c r="E179" i="8"/>
  <c r="D179" i="8"/>
  <c r="C179" i="8"/>
  <c r="B179" i="8"/>
  <c r="A179" i="8"/>
  <c r="E178" i="8"/>
  <c r="D178" i="8"/>
  <c r="C178" i="8"/>
  <c r="B178" i="8"/>
  <c r="A178" i="8"/>
  <c r="E177" i="8"/>
  <c r="D177" i="8"/>
  <c r="C177" i="8"/>
  <c r="B177" i="8"/>
  <c r="A177" i="8"/>
  <c r="E176" i="8"/>
  <c r="D176" i="8"/>
  <c r="C176" i="8"/>
  <c r="B176" i="8"/>
  <c r="A176" i="8"/>
  <c r="E175" i="8"/>
  <c r="D175" i="8"/>
  <c r="C175" i="8"/>
  <c r="B175" i="8"/>
  <c r="A175" i="8"/>
  <c r="E174" i="8"/>
  <c r="D174" i="8"/>
  <c r="C174" i="8"/>
  <c r="B174" i="8"/>
  <c r="A174" i="8"/>
  <c r="E173" i="8"/>
  <c r="D173" i="8"/>
  <c r="C173" i="8"/>
  <c r="B173" i="8"/>
  <c r="A173" i="8"/>
  <c r="E172" i="8"/>
  <c r="D172" i="8"/>
  <c r="C172" i="8"/>
  <c r="B172" i="8"/>
  <c r="A172" i="8"/>
  <c r="E171" i="8"/>
  <c r="D171" i="8"/>
  <c r="C171" i="8"/>
  <c r="B171" i="8"/>
  <c r="A171" i="8"/>
  <c r="E170" i="8"/>
  <c r="D170" i="8"/>
  <c r="C170" i="8"/>
  <c r="B170" i="8"/>
  <c r="A170" i="8"/>
  <c r="E169" i="8"/>
  <c r="D169" i="8"/>
  <c r="C169" i="8"/>
  <c r="B169" i="8"/>
  <c r="A169" i="8"/>
  <c r="E168" i="8"/>
  <c r="D168" i="8"/>
  <c r="C168" i="8"/>
  <c r="B168" i="8"/>
  <c r="A168" i="8"/>
  <c r="E167" i="8"/>
  <c r="D167" i="8"/>
  <c r="C167" i="8"/>
  <c r="B167" i="8"/>
  <c r="A167" i="8"/>
  <c r="E166" i="8"/>
  <c r="D166" i="8"/>
  <c r="C166" i="8"/>
  <c r="B166" i="8"/>
  <c r="A166" i="8"/>
  <c r="E165" i="8"/>
  <c r="D165" i="8"/>
  <c r="C165" i="8"/>
  <c r="B165" i="8"/>
  <c r="A165" i="8"/>
  <c r="E164" i="8"/>
  <c r="D164" i="8"/>
  <c r="C164" i="8"/>
  <c r="B164" i="8"/>
  <c r="A164" i="8"/>
  <c r="E163" i="8"/>
  <c r="D163" i="8"/>
  <c r="C163" i="8"/>
  <c r="B163" i="8"/>
  <c r="A163" i="8"/>
  <c r="E162" i="8"/>
  <c r="D162" i="8"/>
  <c r="C162" i="8"/>
  <c r="B162" i="8"/>
  <c r="A162" i="8"/>
  <c r="E161" i="8"/>
  <c r="D161" i="8"/>
  <c r="C161" i="8"/>
  <c r="B161" i="8"/>
  <c r="A161" i="8"/>
  <c r="E160" i="8"/>
  <c r="D160" i="8"/>
  <c r="C160" i="8"/>
  <c r="B160" i="8"/>
  <c r="A160" i="8"/>
  <c r="E159" i="8"/>
  <c r="D159" i="8"/>
  <c r="C159" i="8"/>
  <c r="B159" i="8"/>
  <c r="A159" i="8"/>
  <c r="E158" i="8"/>
  <c r="D158" i="8"/>
  <c r="C158" i="8"/>
  <c r="B158" i="8"/>
  <c r="A158" i="8"/>
  <c r="E157" i="8"/>
  <c r="D157" i="8"/>
  <c r="C157" i="8"/>
  <c r="B157" i="8"/>
  <c r="A157" i="8"/>
  <c r="E156" i="8"/>
  <c r="D156" i="8"/>
  <c r="C156" i="8"/>
  <c r="B156" i="8"/>
  <c r="A156" i="8"/>
  <c r="E155" i="8"/>
  <c r="D155" i="8"/>
  <c r="C155" i="8"/>
  <c r="B155" i="8"/>
  <c r="A155" i="8"/>
  <c r="E154" i="8"/>
  <c r="D154" i="8"/>
  <c r="C154" i="8"/>
  <c r="B154" i="8"/>
  <c r="A154" i="8"/>
  <c r="E153" i="8"/>
  <c r="D153" i="8"/>
  <c r="C153" i="8"/>
  <c r="B153" i="8"/>
  <c r="A153" i="8"/>
  <c r="E152" i="8"/>
  <c r="D152" i="8"/>
  <c r="C152" i="8"/>
  <c r="B152" i="8"/>
  <c r="A152" i="8"/>
  <c r="E151" i="8"/>
  <c r="D151" i="8"/>
  <c r="C151" i="8"/>
  <c r="B151" i="8"/>
  <c r="A151" i="8"/>
  <c r="E150" i="8"/>
  <c r="D150" i="8"/>
  <c r="C150" i="8"/>
  <c r="B150" i="8"/>
  <c r="A150" i="8"/>
  <c r="E149" i="8"/>
  <c r="D149" i="8"/>
  <c r="C149" i="8"/>
  <c r="B149" i="8"/>
  <c r="A149" i="8"/>
  <c r="E148" i="8"/>
  <c r="D148" i="8"/>
  <c r="C148" i="8"/>
  <c r="B148" i="8"/>
  <c r="A148" i="8"/>
  <c r="E147" i="8"/>
  <c r="D147" i="8"/>
  <c r="C147" i="8"/>
  <c r="B147" i="8"/>
  <c r="A147" i="8"/>
  <c r="E146" i="8"/>
  <c r="D146" i="8"/>
  <c r="C146" i="8"/>
  <c r="B146" i="8"/>
  <c r="A146" i="8"/>
  <c r="E145" i="8"/>
  <c r="D145" i="8"/>
  <c r="C145" i="8"/>
  <c r="B145" i="8"/>
  <c r="A145" i="8"/>
  <c r="E144" i="8"/>
  <c r="D144" i="8"/>
  <c r="C144" i="8"/>
  <c r="B144" i="8"/>
  <c r="A144" i="8"/>
  <c r="E143" i="8"/>
  <c r="D143" i="8"/>
  <c r="C143" i="8"/>
  <c r="B143" i="8"/>
  <c r="A143" i="8"/>
  <c r="E142" i="8"/>
  <c r="D142" i="8"/>
  <c r="C142" i="8"/>
  <c r="B142" i="8"/>
  <c r="A142" i="8"/>
  <c r="E141" i="8"/>
  <c r="D141" i="8"/>
  <c r="C141" i="8"/>
  <c r="B141" i="8"/>
  <c r="A141" i="8"/>
  <c r="E140" i="8"/>
  <c r="D140" i="8"/>
  <c r="C140" i="8"/>
  <c r="B140" i="8"/>
  <c r="A140" i="8"/>
  <c r="E139" i="8"/>
  <c r="D139" i="8"/>
  <c r="C139" i="8"/>
  <c r="B139" i="8"/>
  <c r="A139" i="8"/>
  <c r="E138" i="8"/>
  <c r="D138" i="8"/>
  <c r="C138" i="8"/>
  <c r="B138" i="8"/>
  <c r="A138" i="8"/>
  <c r="E137" i="8"/>
  <c r="D137" i="8"/>
  <c r="C137" i="8"/>
  <c r="B137" i="8"/>
  <c r="A137" i="8"/>
  <c r="E136" i="8"/>
  <c r="D136" i="8"/>
  <c r="C136" i="8"/>
  <c r="B136" i="8"/>
  <c r="A136" i="8"/>
  <c r="E135" i="8"/>
  <c r="D135" i="8"/>
  <c r="C135" i="8"/>
  <c r="B135" i="8"/>
  <c r="A135" i="8"/>
  <c r="E134" i="8"/>
  <c r="D134" i="8"/>
  <c r="C134" i="8"/>
  <c r="B134" i="8"/>
  <c r="A134" i="8"/>
  <c r="E133" i="8"/>
  <c r="D133" i="8"/>
  <c r="C133" i="8"/>
  <c r="B133" i="8"/>
  <c r="A133" i="8"/>
  <c r="E132" i="8"/>
  <c r="D132" i="8"/>
  <c r="C132" i="8"/>
  <c r="B132" i="8"/>
  <c r="A132" i="8"/>
  <c r="E131" i="8"/>
  <c r="D131" i="8"/>
  <c r="C131" i="8"/>
  <c r="B131" i="8"/>
  <c r="A131" i="8"/>
  <c r="E130" i="8"/>
  <c r="D130" i="8"/>
  <c r="C130" i="8"/>
  <c r="B130" i="8"/>
  <c r="A130" i="8"/>
  <c r="E129" i="8"/>
  <c r="D129" i="8"/>
  <c r="C129" i="8"/>
  <c r="B129" i="8"/>
  <c r="A129" i="8"/>
  <c r="E128" i="8"/>
  <c r="D128" i="8"/>
  <c r="C128" i="8"/>
  <c r="B128" i="8"/>
  <c r="A128" i="8"/>
  <c r="E127" i="8"/>
  <c r="D127" i="8"/>
  <c r="C127" i="8"/>
  <c r="B127" i="8"/>
  <c r="A127" i="8"/>
  <c r="E126" i="8"/>
  <c r="D126" i="8"/>
  <c r="C126" i="8"/>
  <c r="B126" i="8"/>
  <c r="A126" i="8"/>
  <c r="E125" i="8"/>
  <c r="D125" i="8"/>
  <c r="C125" i="8"/>
  <c r="B125" i="8"/>
  <c r="A125" i="8"/>
  <c r="E124" i="8"/>
  <c r="D124" i="8"/>
  <c r="C124" i="8"/>
  <c r="B124" i="8"/>
  <c r="A124" i="8"/>
  <c r="E123" i="8"/>
  <c r="D123" i="8"/>
  <c r="C123" i="8"/>
  <c r="B123" i="8"/>
  <c r="A123" i="8"/>
  <c r="E122" i="8"/>
  <c r="D122" i="8"/>
  <c r="C122" i="8"/>
  <c r="B122" i="8"/>
  <c r="A122" i="8"/>
  <c r="E121" i="8"/>
  <c r="D121" i="8"/>
  <c r="C121" i="8"/>
  <c r="B121" i="8"/>
  <c r="A121" i="8"/>
  <c r="E120" i="8"/>
  <c r="D120" i="8"/>
  <c r="C120" i="8"/>
  <c r="B120" i="8"/>
  <c r="A120" i="8"/>
  <c r="E119" i="8"/>
  <c r="D119" i="8"/>
  <c r="C119" i="8"/>
  <c r="B119" i="8"/>
  <c r="A119" i="8"/>
  <c r="E118" i="8"/>
  <c r="D118" i="8"/>
  <c r="C118" i="8"/>
  <c r="B118" i="8"/>
  <c r="A118" i="8"/>
  <c r="E117" i="8"/>
  <c r="D117" i="8"/>
  <c r="C117" i="8"/>
  <c r="B117" i="8"/>
  <c r="A117" i="8"/>
  <c r="E116" i="8"/>
  <c r="D116" i="8"/>
  <c r="C116" i="8"/>
  <c r="B116" i="8"/>
  <c r="A116" i="8"/>
  <c r="E115" i="8"/>
  <c r="D115" i="8"/>
  <c r="C115" i="8"/>
  <c r="B115" i="8"/>
  <c r="A115" i="8"/>
  <c r="E114" i="8"/>
  <c r="D114" i="8"/>
  <c r="C114" i="8"/>
  <c r="B114" i="8"/>
  <c r="A114" i="8"/>
  <c r="E113" i="8"/>
  <c r="D113" i="8"/>
  <c r="C113" i="8"/>
  <c r="B113" i="8"/>
  <c r="A113" i="8"/>
  <c r="E112" i="8"/>
  <c r="D112" i="8"/>
  <c r="C112" i="8"/>
  <c r="B112" i="8"/>
  <c r="A112" i="8"/>
  <c r="E111" i="8"/>
  <c r="D111" i="8"/>
  <c r="C111" i="8"/>
  <c r="B111" i="8"/>
  <c r="A111" i="8"/>
  <c r="E110" i="8"/>
  <c r="D110" i="8"/>
  <c r="C110" i="8"/>
  <c r="B110" i="8"/>
  <c r="A110" i="8"/>
  <c r="E109" i="8"/>
  <c r="D109" i="8"/>
  <c r="C109" i="8"/>
  <c r="B109" i="8"/>
  <c r="A109" i="8"/>
  <c r="E108" i="8"/>
  <c r="D108" i="8"/>
  <c r="C108" i="8"/>
  <c r="B108" i="8"/>
  <c r="A108" i="8"/>
  <c r="E107" i="8"/>
  <c r="D107" i="8"/>
  <c r="C107" i="8"/>
  <c r="B107" i="8"/>
  <c r="A107" i="8"/>
  <c r="E106" i="8"/>
  <c r="D106" i="8"/>
  <c r="C106" i="8"/>
  <c r="B106" i="8"/>
  <c r="A106" i="8"/>
  <c r="E105" i="8"/>
  <c r="D105" i="8"/>
  <c r="C105" i="8"/>
  <c r="B105" i="8"/>
  <c r="A105" i="8"/>
  <c r="E104" i="8"/>
  <c r="D104" i="8"/>
  <c r="C104" i="8"/>
  <c r="B104" i="8"/>
  <c r="A104" i="8"/>
  <c r="E103" i="8"/>
  <c r="D103" i="8"/>
  <c r="C103" i="8"/>
  <c r="B103" i="8"/>
  <c r="A103" i="8"/>
  <c r="E102" i="8"/>
  <c r="D102" i="8"/>
  <c r="C102" i="8"/>
  <c r="B102" i="8"/>
  <c r="A102" i="8"/>
  <c r="E101" i="8"/>
  <c r="D101" i="8"/>
  <c r="C101" i="8"/>
  <c r="B101" i="8"/>
  <c r="A101" i="8"/>
  <c r="E100" i="8"/>
  <c r="D100" i="8"/>
  <c r="C100" i="8"/>
  <c r="B100" i="8"/>
  <c r="A100" i="8"/>
  <c r="E99" i="8"/>
  <c r="D99" i="8"/>
  <c r="C99" i="8"/>
  <c r="B99" i="8"/>
  <c r="A99" i="8"/>
  <c r="E98" i="8"/>
  <c r="D98" i="8"/>
  <c r="C98" i="8"/>
  <c r="B98" i="8"/>
  <c r="A98" i="8"/>
  <c r="E97" i="8"/>
  <c r="D97" i="8"/>
  <c r="C97" i="8"/>
  <c r="B97" i="8"/>
  <c r="A97" i="8"/>
  <c r="E96" i="8"/>
  <c r="D96" i="8"/>
  <c r="C96" i="8"/>
  <c r="B96" i="8"/>
  <c r="A96" i="8"/>
  <c r="E95" i="8"/>
  <c r="D95" i="8"/>
  <c r="C95" i="8"/>
  <c r="B95" i="8"/>
  <c r="A95" i="8"/>
  <c r="E94" i="8"/>
  <c r="D94" i="8"/>
  <c r="C94" i="8"/>
  <c r="B94" i="8"/>
  <c r="A94" i="8"/>
  <c r="E93" i="8"/>
  <c r="D93" i="8"/>
  <c r="C93" i="8"/>
  <c r="B93" i="8"/>
  <c r="A93" i="8"/>
  <c r="E92" i="8"/>
  <c r="D92" i="8"/>
  <c r="C92" i="8"/>
  <c r="B92" i="8"/>
  <c r="A92" i="8"/>
  <c r="E91" i="8"/>
  <c r="D91" i="8"/>
  <c r="C91" i="8"/>
  <c r="B91" i="8"/>
  <c r="A91" i="8"/>
  <c r="E90" i="8"/>
  <c r="D90" i="8"/>
  <c r="C90" i="8"/>
  <c r="B90" i="8"/>
  <c r="A90" i="8"/>
  <c r="E89" i="8"/>
  <c r="D89" i="8"/>
  <c r="C89" i="8"/>
  <c r="B89" i="8"/>
  <c r="A89" i="8"/>
  <c r="E88" i="8"/>
  <c r="D88" i="8"/>
  <c r="C88" i="8"/>
  <c r="B88" i="8"/>
  <c r="A88" i="8"/>
  <c r="E87" i="8"/>
  <c r="D87" i="8"/>
  <c r="C87" i="8"/>
  <c r="B87" i="8"/>
  <c r="A87" i="8"/>
  <c r="E86" i="8"/>
  <c r="D86" i="8"/>
  <c r="C86" i="8"/>
  <c r="B86" i="8"/>
  <c r="A86" i="8"/>
  <c r="E85" i="8"/>
  <c r="D85" i="8"/>
  <c r="C85" i="8"/>
  <c r="B85" i="8"/>
  <c r="A85" i="8"/>
  <c r="E84" i="8"/>
  <c r="D84" i="8"/>
  <c r="C84" i="8"/>
  <c r="B84" i="8"/>
  <c r="A84" i="8"/>
  <c r="E83" i="8"/>
  <c r="D83" i="8"/>
  <c r="C83" i="8"/>
  <c r="B83" i="8"/>
  <c r="A83" i="8"/>
  <c r="E82" i="8"/>
  <c r="D82" i="8"/>
  <c r="C82" i="8"/>
  <c r="B82" i="8"/>
  <c r="A82" i="8"/>
  <c r="E81" i="8"/>
  <c r="D81" i="8"/>
  <c r="C81" i="8"/>
  <c r="B81" i="8"/>
  <c r="A81" i="8"/>
  <c r="E80" i="8"/>
  <c r="D80" i="8"/>
  <c r="C80" i="8"/>
  <c r="B80" i="8"/>
  <c r="A80" i="8"/>
  <c r="E79" i="8"/>
  <c r="D79" i="8"/>
  <c r="C79" i="8"/>
  <c r="B79" i="8"/>
  <c r="A79" i="8"/>
  <c r="E78" i="8"/>
  <c r="D78" i="8"/>
  <c r="C78" i="8"/>
  <c r="B78" i="8"/>
  <c r="A78" i="8"/>
  <c r="E77" i="8"/>
  <c r="D77" i="8"/>
  <c r="C77" i="8"/>
  <c r="B77" i="8"/>
  <c r="A77" i="8"/>
  <c r="E76" i="8"/>
  <c r="D76" i="8"/>
  <c r="C76" i="8"/>
  <c r="B76" i="8"/>
  <c r="A76" i="8"/>
  <c r="E75" i="8"/>
  <c r="D75" i="8"/>
  <c r="C75" i="8"/>
  <c r="B75" i="8"/>
  <c r="A75" i="8"/>
  <c r="E74" i="8"/>
  <c r="D74" i="8"/>
  <c r="C74" i="8"/>
  <c r="B74" i="8"/>
  <c r="A74" i="8"/>
  <c r="E73" i="8"/>
  <c r="D73" i="8"/>
  <c r="C73" i="8"/>
  <c r="B73" i="8"/>
  <c r="A73" i="8"/>
  <c r="E72" i="8"/>
  <c r="D72" i="8"/>
  <c r="C72" i="8"/>
  <c r="B72" i="8"/>
  <c r="A72" i="8"/>
  <c r="E71" i="8"/>
  <c r="D71" i="8"/>
  <c r="C71" i="8"/>
  <c r="B71" i="8"/>
  <c r="A71" i="8"/>
  <c r="E70" i="8"/>
  <c r="D70" i="8"/>
  <c r="C70" i="8"/>
  <c r="B70" i="8"/>
  <c r="A70" i="8"/>
  <c r="E69" i="8"/>
  <c r="D69" i="8"/>
  <c r="C69" i="8"/>
  <c r="B69" i="8"/>
  <c r="A69" i="8"/>
  <c r="E68" i="8"/>
  <c r="D68" i="8"/>
  <c r="C68" i="8"/>
  <c r="B68" i="8"/>
  <c r="A68" i="8"/>
  <c r="E67" i="8"/>
  <c r="D67" i="8"/>
  <c r="C67" i="8"/>
  <c r="B67" i="8"/>
  <c r="A67" i="8"/>
  <c r="E66" i="8"/>
  <c r="D66" i="8"/>
  <c r="C66" i="8"/>
  <c r="B66" i="8"/>
  <c r="A66" i="8"/>
  <c r="E65" i="8"/>
  <c r="D65" i="8"/>
  <c r="C65" i="8"/>
  <c r="B65" i="8"/>
  <c r="A65" i="8"/>
  <c r="E64" i="8"/>
  <c r="D64" i="8"/>
  <c r="C64" i="8"/>
  <c r="B64" i="8"/>
  <c r="A64" i="8"/>
  <c r="E63" i="8"/>
  <c r="D63" i="8"/>
  <c r="C63" i="8"/>
  <c r="B63" i="8"/>
  <c r="A63" i="8"/>
  <c r="E62" i="8"/>
  <c r="D62" i="8"/>
  <c r="C62" i="8"/>
  <c r="B62" i="8"/>
  <c r="A62" i="8"/>
  <c r="E61" i="8"/>
  <c r="D61" i="8"/>
  <c r="C61" i="8"/>
  <c r="B61" i="8"/>
  <c r="A61" i="8"/>
  <c r="E60" i="8"/>
  <c r="D60" i="8"/>
  <c r="C60" i="8"/>
  <c r="B60" i="8"/>
  <c r="A60" i="8"/>
  <c r="E59" i="8"/>
  <c r="D59" i="8"/>
  <c r="C59" i="8"/>
  <c r="B59" i="8"/>
  <c r="A59" i="8"/>
  <c r="E58" i="8"/>
  <c r="D58" i="8"/>
  <c r="C58" i="8"/>
  <c r="B58" i="8"/>
  <c r="A58" i="8"/>
  <c r="E57" i="8"/>
  <c r="D57" i="8"/>
  <c r="C57" i="8"/>
  <c r="B57" i="8"/>
  <c r="A57" i="8"/>
  <c r="E56" i="8"/>
  <c r="D56" i="8"/>
  <c r="C56" i="8"/>
  <c r="B56" i="8"/>
  <c r="A56" i="8"/>
  <c r="E55" i="8"/>
  <c r="D55" i="8"/>
  <c r="C55" i="8"/>
  <c r="B55" i="8"/>
  <c r="A55" i="8"/>
  <c r="E54" i="8"/>
  <c r="D54" i="8"/>
  <c r="C54" i="8"/>
  <c r="B54" i="8"/>
  <c r="A54" i="8"/>
  <c r="E53" i="8"/>
  <c r="D53" i="8"/>
  <c r="C53" i="8"/>
  <c r="B53" i="8"/>
  <c r="A53" i="8"/>
  <c r="E52" i="8"/>
  <c r="D52" i="8"/>
  <c r="C52" i="8"/>
  <c r="B52" i="8"/>
  <c r="A52" i="8"/>
  <c r="E51" i="8"/>
  <c r="D51" i="8"/>
  <c r="C51" i="8"/>
  <c r="B51" i="8"/>
  <c r="A51" i="8"/>
  <c r="E50" i="8"/>
  <c r="D50" i="8"/>
  <c r="C50" i="8"/>
  <c r="B50" i="8"/>
  <c r="A50" i="8"/>
  <c r="E49" i="8"/>
  <c r="D49" i="8"/>
  <c r="C49" i="8"/>
  <c r="B49" i="8"/>
  <c r="A49" i="8"/>
  <c r="E48" i="8"/>
  <c r="D48" i="8"/>
  <c r="C48" i="8"/>
  <c r="B48" i="8"/>
  <c r="A48" i="8"/>
  <c r="E47" i="8"/>
  <c r="D47" i="8"/>
  <c r="C47" i="8"/>
  <c r="B47" i="8"/>
  <c r="A47" i="8"/>
  <c r="E46" i="8"/>
  <c r="D46" i="8"/>
  <c r="C46" i="8"/>
  <c r="B46" i="8"/>
  <c r="A46" i="8"/>
  <c r="E45" i="8"/>
  <c r="D45" i="8"/>
  <c r="C45" i="8"/>
  <c r="B45" i="8"/>
  <c r="A45" i="8"/>
  <c r="E44" i="8"/>
  <c r="D44" i="8"/>
  <c r="C44" i="8"/>
  <c r="B44" i="8"/>
  <c r="A44" i="8"/>
  <c r="E43" i="8"/>
  <c r="D43" i="8"/>
  <c r="C43" i="8"/>
  <c r="B43" i="8"/>
  <c r="A43" i="8"/>
  <c r="E42" i="8"/>
  <c r="D42" i="8"/>
  <c r="C42" i="8"/>
  <c r="B42" i="8"/>
  <c r="A42" i="8"/>
  <c r="E41" i="8"/>
  <c r="D41" i="8"/>
  <c r="C41" i="8"/>
  <c r="B41" i="8"/>
  <c r="A41" i="8"/>
  <c r="E40" i="8"/>
  <c r="D40" i="8"/>
  <c r="C40" i="8"/>
  <c r="B40" i="8"/>
  <c r="A40" i="8"/>
  <c r="E39" i="8"/>
  <c r="D39" i="8"/>
  <c r="C39" i="8"/>
  <c r="B39" i="8"/>
  <c r="A39" i="8"/>
  <c r="E38" i="8"/>
  <c r="D38" i="8"/>
  <c r="C38" i="8"/>
  <c r="B38" i="8"/>
  <c r="A38" i="8"/>
  <c r="E37" i="8"/>
  <c r="D37" i="8"/>
  <c r="C37" i="8"/>
  <c r="B37" i="8"/>
  <c r="A37" i="8"/>
  <c r="E36" i="8"/>
  <c r="D36" i="8"/>
  <c r="C36" i="8"/>
  <c r="B36" i="8"/>
  <c r="A36" i="8"/>
  <c r="E35" i="8"/>
  <c r="D35" i="8"/>
  <c r="C35" i="8"/>
  <c r="B35" i="8"/>
  <c r="A35" i="8"/>
  <c r="E34" i="8"/>
  <c r="D34" i="8"/>
  <c r="C34" i="8"/>
  <c r="B34" i="8"/>
  <c r="A34" i="8"/>
  <c r="E33" i="8"/>
  <c r="D33" i="8"/>
  <c r="C33" i="8"/>
  <c r="B33" i="8"/>
  <c r="A33" i="8"/>
  <c r="D32" i="8"/>
  <c r="C32" i="8"/>
  <c r="B32" i="8"/>
  <c r="A32" i="8"/>
  <c r="E31" i="8"/>
  <c r="D31" i="8"/>
  <c r="C31" i="8"/>
  <c r="B31" i="8"/>
  <c r="A31" i="8"/>
  <c r="E30" i="8"/>
  <c r="D30" i="8"/>
  <c r="C30" i="8"/>
  <c r="B30" i="8"/>
  <c r="A30" i="8"/>
  <c r="E29" i="8"/>
  <c r="D29" i="8"/>
  <c r="C29" i="8"/>
  <c r="B29" i="8"/>
  <c r="A29" i="8"/>
  <c r="E28" i="8"/>
  <c r="D28" i="8"/>
  <c r="C28" i="8"/>
  <c r="B28" i="8"/>
  <c r="A28" i="8"/>
  <c r="E27" i="8"/>
  <c r="D27" i="8"/>
  <c r="C27" i="8"/>
  <c r="B27" i="8"/>
  <c r="A27" i="8"/>
  <c r="E26" i="8"/>
  <c r="D26" i="8"/>
  <c r="C26" i="8"/>
  <c r="B26" i="8"/>
  <c r="A26" i="8"/>
  <c r="E25" i="8"/>
  <c r="D25" i="8"/>
  <c r="C25" i="8"/>
  <c r="B25" i="8"/>
  <c r="A25" i="8"/>
  <c r="E24" i="8"/>
  <c r="D24" i="8"/>
  <c r="C24" i="8"/>
  <c r="B24" i="8"/>
  <c r="A24" i="8"/>
  <c r="E23" i="8"/>
  <c r="D23" i="8"/>
  <c r="C23" i="8"/>
  <c r="B23" i="8"/>
  <c r="A23" i="8"/>
  <c r="E22" i="8"/>
  <c r="D22" i="8"/>
  <c r="C22" i="8"/>
  <c r="B22" i="8"/>
  <c r="A22" i="8"/>
  <c r="E21" i="8"/>
  <c r="D21" i="8"/>
  <c r="C21" i="8"/>
  <c r="B21" i="8"/>
  <c r="A21" i="8"/>
  <c r="E20" i="8"/>
  <c r="D20" i="8"/>
  <c r="C20" i="8"/>
  <c r="B20" i="8"/>
  <c r="A20" i="8"/>
  <c r="E19" i="8"/>
  <c r="D19" i="8"/>
  <c r="C19" i="8"/>
  <c r="B19" i="8"/>
  <c r="A19" i="8"/>
  <c r="E18" i="8"/>
  <c r="D18" i="8"/>
  <c r="C18" i="8"/>
  <c r="B18" i="8"/>
  <c r="A18" i="8"/>
  <c r="E17" i="8"/>
  <c r="D17" i="8"/>
  <c r="C17" i="8"/>
  <c r="B17" i="8"/>
  <c r="A17" i="8"/>
  <c r="E16" i="8"/>
  <c r="D16" i="8"/>
  <c r="C16" i="8"/>
  <c r="B16" i="8"/>
  <c r="A16" i="8"/>
  <c r="E15" i="8"/>
  <c r="D15" i="8"/>
  <c r="C15" i="8"/>
  <c r="B15" i="8"/>
  <c r="A15" i="8"/>
  <c r="E14" i="8"/>
  <c r="D14" i="8"/>
  <c r="C14" i="8"/>
  <c r="B14" i="8"/>
  <c r="A14" i="8"/>
  <c r="E13" i="8"/>
  <c r="D13" i="8"/>
  <c r="C13" i="8"/>
  <c r="B13" i="8"/>
  <c r="A13" i="8"/>
  <c r="E12" i="8"/>
  <c r="D12" i="8"/>
  <c r="C12" i="8"/>
  <c r="B12" i="8"/>
  <c r="A12" i="8"/>
  <c r="E11" i="8"/>
  <c r="D11" i="8"/>
  <c r="C11" i="8"/>
  <c r="B11" i="8"/>
  <c r="A11" i="8"/>
  <c r="E10" i="8"/>
  <c r="D10" i="8"/>
  <c r="C10" i="8"/>
  <c r="B10" i="8"/>
  <c r="A10" i="8"/>
  <c r="E9" i="8"/>
  <c r="D9" i="8"/>
  <c r="C9" i="8"/>
  <c r="B9" i="8"/>
  <c r="A9" i="8"/>
  <c r="E8" i="8"/>
  <c r="D8" i="8"/>
  <c r="C8" i="8"/>
  <c r="B8" i="8"/>
  <c r="A8" i="8"/>
  <c r="E7" i="8"/>
  <c r="D7" i="8"/>
  <c r="C7" i="8"/>
  <c r="B7" i="8"/>
  <c r="A7" i="8"/>
  <c r="E6" i="8"/>
  <c r="D6" i="8"/>
  <c r="C6" i="8"/>
  <c r="B6" i="8"/>
  <c r="A6" i="8"/>
  <c r="E5" i="8"/>
  <c r="D5" i="8"/>
  <c r="C5" i="8"/>
  <c r="B5" i="8"/>
  <c r="A5" i="8"/>
  <c r="E4" i="8"/>
  <c r="D4" i="8"/>
  <c r="C4" i="8"/>
  <c r="B4" i="8"/>
  <c r="A4" i="8"/>
  <c r="E3" i="8"/>
  <c r="D3" i="8"/>
  <c r="C3" i="8"/>
  <c r="B3" i="8"/>
  <c r="A3" i="8"/>
  <c r="E2" i="8"/>
  <c r="D2" i="8"/>
  <c r="C2" i="8"/>
  <c r="B2" i="8"/>
  <c r="A2" i="8"/>
  <c r="E1" i="8"/>
  <c r="D1" i="8"/>
  <c r="C1" i="8"/>
  <c r="A1" i="8"/>
  <c r="A2" i="7"/>
  <c r="A2" i="6"/>
  <c r="D18" i="5"/>
  <c r="A18" i="5"/>
  <c r="D17" i="5"/>
  <c r="A17" i="5"/>
  <c r="C17" i="5" s="1"/>
  <c r="D16" i="5"/>
  <c r="A16" i="5"/>
  <c r="C16" i="5" s="1"/>
  <c r="D15" i="5"/>
  <c r="A15" i="5"/>
  <c r="D14" i="5"/>
  <c r="A14" i="5"/>
  <c r="D13" i="5"/>
  <c r="A13" i="5"/>
  <c r="C13" i="5" s="1"/>
  <c r="D12" i="5"/>
  <c r="A12" i="5"/>
  <c r="D11" i="5"/>
  <c r="A11" i="5"/>
  <c r="C11" i="5" s="1"/>
  <c r="D10" i="5"/>
  <c r="A10" i="5"/>
  <c r="D9" i="5"/>
  <c r="A9" i="5"/>
  <c r="C9" i="5" s="1"/>
  <c r="D8" i="5"/>
  <c r="A8" i="5"/>
  <c r="C8" i="5" s="1"/>
  <c r="D7" i="5"/>
  <c r="A7" i="5"/>
  <c r="C7" i="5" s="1"/>
  <c r="D6" i="5"/>
  <c r="A6" i="5"/>
  <c r="C6" i="5" s="1"/>
  <c r="D5" i="5"/>
  <c r="A5" i="5"/>
  <c r="C5" i="5" s="1"/>
  <c r="D4" i="5"/>
  <c r="A4" i="5"/>
  <c r="C4" i="5" s="1"/>
  <c r="D3" i="5"/>
  <c r="A3" i="5"/>
  <c r="C3" i="5" s="1"/>
  <c r="D2" i="5"/>
  <c r="A2" i="5"/>
  <c r="K1000" i="4"/>
  <c r="J1000" i="4" a="1"/>
  <c r="J1000" i="4"/>
  <c r="K999" i="4"/>
  <c r="J999" i="4" a="1"/>
  <c r="J999" i="4" s="1"/>
  <c r="K998" i="4"/>
  <c r="J998" i="4" a="1"/>
  <c r="J998" i="4"/>
  <c r="K997" i="4"/>
  <c r="J997" i="4" a="1"/>
  <c r="J997" i="4" s="1"/>
  <c r="K996" i="4"/>
  <c r="J996" i="4" a="1"/>
  <c r="J996" i="4" s="1"/>
  <c r="K995" i="4"/>
  <c r="J995" i="4" a="1"/>
  <c r="J995" i="4" s="1"/>
  <c r="K994" i="4"/>
  <c r="J994" i="4" a="1"/>
  <c r="J994" i="4" s="1"/>
  <c r="K993" i="4"/>
  <c r="J993" i="4" a="1"/>
  <c r="J993" i="4"/>
  <c r="K992" i="4"/>
  <c r="J992" i="4" a="1"/>
  <c r="J992" i="4" s="1"/>
  <c r="K991" i="4"/>
  <c r="J991" i="4" a="1"/>
  <c r="J991" i="4" s="1"/>
  <c r="K990" i="4"/>
  <c r="J990" i="4" a="1"/>
  <c r="J990" i="4" s="1"/>
  <c r="K989" i="4"/>
  <c r="J989" i="4" a="1"/>
  <c r="J989" i="4"/>
  <c r="K988" i="4"/>
  <c r="J988" i="4" a="1"/>
  <c r="J988" i="4"/>
  <c r="K987" i="4"/>
  <c r="J987" i="4" a="1"/>
  <c r="J987" i="4" s="1"/>
  <c r="K986" i="4"/>
  <c r="J986" i="4" a="1"/>
  <c r="J986" i="4"/>
  <c r="K985" i="4"/>
  <c r="J985" i="4" a="1"/>
  <c r="J985" i="4"/>
  <c r="K984" i="4"/>
  <c r="J984" i="4" a="1"/>
  <c r="J984" i="4" s="1"/>
  <c r="K983" i="4"/>
  <c r="J983" i="4" a="1"/>
  <c r="J983" i="4" s="1"/>
  <c r="K982" i="4"/>
  <c r="J982" i="4" a="1"/>
  <c r="J982" i="4"/>
  <c r="K981" i="4"/>
  <c r="J981" i="4" a="1"/>
  <c r="J981" i="4" s="1"/>
  <c r="K980" i="4"/>
  <c r="J980" i="4" a="1"/>
  <c r="J980" i="4"/>
  <c r="K979" i="4"/>
  <c r="J979" i="4" a="1"/>
  <c r="J979" i="4" s="1"/>
  <c r="K978" i="4"/>
  <c r="J978" i="4" a="1"/>
  <c r="J978" i="4" s="1"/>
  <c r="K977" i="4"/>
  <c r="J977" i="4" a="1"/>
  <c r="J977" i="4"/>
  <c r="K976" i="4"/>
  <c r="J976" i="4" a="1"/>
  <c r="J976" i="4"/>
  <c r="K975" i="4"/>
  <c r="J975" i="4" a="1"/>
  <c r="J975" i="4" s="1"/>
  <c r="K974" i="4"/>
  <c r="J974" i="4" a="1"/>
  <c r="J974" i="4" s="1"/>
  <c r="K973" i="4"/>
  <c r="J973" i="4" a="1"/>
  <c r="J973" i="4"/>
  <c r="K972" i="4"/>
  <c r="J972" i="4" a="1"/>
  <c r="J972" i="4" s="1"/>
  <c r="K971" i="4"/>
  <c r="J971" i="4" a="1"/>
  <c r="J971" i="4" s="1"/>
  <c r="K970" i="4"/>
  <c r="J970" i="4" a="1"/>
  <c r="J970" i="4"/>
  <c r="K969" i="4"/>
  <c r="J969" i="4" a="1"/>
  <c r="J969" i="4"/>
  <c r="K968" i="4"/>
  <c r="J968" i="4" a="1"/>
  <c r="J968" i="4" s="1"/>
  <c r="K967" i="4"/>
  <c r="J967" i="4" a="1"/>
  <c r="J967" i="4" s="1"/>
  <c r="K966" i="4"/>
  <c r="J966" i="4" a="1"/>
  <c r="J966" i="4"/>
  <c r="K965" i="4"/>
  <c r="J965" i="4" a="1"/>
  <c r="J965" i="4" s="1"/>
  <c r="K964" i="4"/>
  <c r="J964" i="4" a="1"/>
  <c r="J964" i="4"/>
  <c r="K963" i="4"/>
  <c r="J963" i="4" a="1"/>
  <c r="J963" i="4" s="1"/>
  <c r="K962" i="4"/>
  <c r="J962" i="4" a="1"/>
  <c r="J962" i="4" s="1"/>
  <c r="K961" i="4"/>
  <c r="J961" i="4" a="1"/>
  <c r="J961" i="4"/>
  <c r="K960" i="4"/>
  <c r="J960" i="4" a="1"/>
  <c r="J960" i="4"/>
  <c r="K959" i="4"/>
  <c r="J959" i="4" a="1"/>
  <c r="J959" i="4" s="1"/>
  <c r="K958" i="4"/>
  <c r="J958" i="4" a="1"/>
  <c r="J958" i="4"/>
  <c r="K957" i="4"/>
  <c r="J957" i="4" a="1"/>
  <c r="J957" i="4"/>
  <c r="K956" i="4"/>
  <c r="J956" i="4" a="1"/>
  <c r="J956" i="4" s="1"/>
  <c r="K955" i="4"/>
  <c r="J955" i="4" a="1"/>
  <c r="J955" i="4" s="1"/>
  <c r="K954" i="4"/>
  <c r="J954" i="4" a="1"/>
  <c r="J954" i="4" s="1"/>
  <c r="K953" i="4"/>
  <c r="J953" i="4" a="1"/>
  <c r="J953" i="4"/>
  <c r="K952" i="4"/>
  <c r="J952" i="4" a="1"/>
  <c r="J952" i="4" s="1"/>
  <c r="K951" i="4"/>
  <c r="J951" i="4" a="1"/>
  <c r="J951" i="4" s="1"/>
  <c r="K950" i="4"/>
  <c r="J950" i="4" a="1"/>
  <c r="J950" i="4" s="1"/>
  <c r="K949" i="4"/>
  <c r="J949" i="4" a="1"/>
  <c r="J949" i="4" s="1"/>
  <c r="K948" i="4"/>
  <c r="J948" i="4" a="1"/>
  <c r="J948" i="4"/>
  <c r="K947" i="4"/>
  <c r="J947" i="4" a="1"/>
  <c r="J947" i="4" s="1"/>
  <c r="K946" i="4"/>
  <c r="J946" i="4" a="1"/>
  <c r="J946" i="4"/>
  <c r="K945" i="4"/>
  <c r="J945" i="4" a="1"/>
  <c r="J945" i="4" s="1"/>
  <c r="K944" i="4"/>
  <c r="J944" i="4" a="1"/>
  <c r="J944" i="4"/>
  <c r="K943" i="4"/>
  <c r="J943" i="4" a="1"/>
  <c r="J943" i="4" s="1"/>
  <c r="K942" i="4"/>
  <c r="J942" i="4" a="1"/>
  <c r="J942" i="4"/>
  <c r="K941" i="4"/>
  <c r="J941" i="4" a="1"/>
  <c r="J941" i="4" s="1"/>
  <c r="K940" i="4"/>
  <c r="J940" i="4" a="1"/>
  <c r="J940" i="4"/>
  <c r="K939" i="4"/>
  <c r="J939" i="4" a="1"/>
  <c r="J939" i="4" s="1"/>
  <c r="K938" i="4"/>
  <c r="J938" i="4" a="1"/>
  <c r="J938" i="4" s="1"/>
  <c r="K937" i="4"/>
  <c r="J937" i="4" a="1"/>
  <c r="J937" i="4"/>
  <c r="K936" i="4"/>
  <c r="J936" i="4" a="1"/>
  <c r="J936" i="4" s="1"/>
  <c r="K935" i="4"/>
  <c r="J935" i="4" a="1"/>
  <c r="J935" i="4" s="1"/>
  <c r="K934" i="4"/>
  <c r="J934" i="4" a="1"/>
  <c r="J934" i="4"/>
  <c r="K933" i="4"/>
  <c r="J933" i="4" a="1"/>
  <c r="J933" i="4"/>
  <c r="K932" i="4"/>
  <c r="J932" i="4" a="1"/>
  <c r="J932" i="4" s="1"/>
  <c r="K931" i="4"/>
  <c r="J931" i="4" a="1"/>
  <c r="J931" i="4" s="1"/>
  <c r="K930" i="4"/>
  <c r="J930" i="4" a="1"/>
  <c r="J930" i="4"/>
  <c r="K929" i="4"/>
  <c r="J929" i="4" a="1"/>
  <c r="J929" i="4" s="1"/>
  <c r="K928" i="4"/>
  <c r="J928" i="4" a="1"/>
  <c r="J928" i="4"/>
  <c r="K927" i="4"/>
  <c r="J927" i="4" a="1"/>
  <c r="J927" i="4" s="1"/>
  <c r="K926" i="4"/>
  <c r="J926" i="4" a="1"/>
  <c r="J926" i="4"/>
  <c r="K925" i="4"/>
  <c r="J925" i="4" a="1"/>
  <c r="J925" i="4" s="1"/>
  <c r="K924" i="4"/>
  <c r="J924" i="4" a="1"/>
  <c r="J924" i="4"/>
  <c r="K923" i="4"/>
  <c r="J923" i="4" a="1"/>
  <c r="J923" i="4" s="1"/>
  <c r="K922" i="4"/>
  <c r="J922" i="4" a="1"/>
  <c r="J922" i="4"/>
  <c r="K921" i="4"/>
  <c r="J921" i="4" a="1"/>
  <c r="J921" i="4"/>
  <c r="K920" i="4"/>
  <c r="J920" i="4" a="1"/>
  <c r="J920" i="4"/>
  <c r="K919" i="4"/>
  <c r="J919" i="4" a="1"/>
  <c r="J919" i="4" s="1"/>
  <c r="K918" i="4"/>
  <c r="J918" i="4" a="1"/>
  <c r="J918" i="4"/>
  <c r="K917" i="4"/>
  <c r="J917" i="4" a="1"/>
  <c r="J917" i="4"/>
  <c r="K916" i="4"/>
  <c r="J916" i="4" a="1"/>
  <c r="J916" i="4" s="1"/>
  <c r="K915" i="4"/>
  <c r="J915" i="4" a="1"/>
  <c r="J915" i="4" s="1"/>
  <c r="K914" i="4"/>
  <c r="J914" i="4" a="1"/>
  <c r="J914" i="4" s="1"/>
  <c r="K913" i="4"/>
  <c r="J913" i="4" a="1"/>
  <c r="J913" i="4"/>
  <c r="K912" i="4"/>
  <c r="J912" i="4" a="1"/>
  <c r="J912" i="4"/>
  <c r="K911" i="4"/>
  <c r="J911" i="4" a="1"/>
  <c r="J911" i="4" s="1"/>
  <c r="K910" i="4"/>
  <c r="J910" i="4" a="1"/>
  <c r="J910" i="4"/>
  <c r="K909" i="4"/>
  <c r="J909" i="4" a="1"/>
  <c r="J909" i="4"/>
  <c r="K908" i="4"/>
  <c r="J908" i="4" a="1"/>
  <c r="J908" i="4"/>
  <c r="K907" i="4"/>
  <c r="J907" i="4" a="1"/>
  <c r="J907" i="4" s="1"/>
  <c r="K906" i="4"/>
  <c r="J906" i="4" a="1"/>
  <c r="J906" i="4"/>
  <c r="K905" i="4"/>
  <c r="J905" i="4" a="1"/>
  <c r="J905" i="4"/>
  <c r="K904" i="4"/>
  <c r="J904" i="4" a="1"/>
  <c r="J904" i="4"/>
  <c r="K903" i="4"/>
  <c r="J903" i="4" a="1"/>
  <c r="J903" i="4" s="1"/>
  <c r="K902" i="4"/>
  <c r="J902" i="4" a="1"/>
  <c r="J902" i="4"/>
  <c r="K901" i="4"/>
  <c r="J901" i="4" a="1"/>
  <c r="J901" i="4" s="1"/>
  <c r="K900" i="4"/>
  <c r="J900" i="4" a="1"/>
  <c r="J900" i="4"/>
  <c r="K899" i="4"/>
  <c r="J899" i="4" a="1"/>
  <c r="J899" i="4" s="1"/>
  <c r="K898" i="4"/>
  <c r="J898" i="4" a="1"/>
  <c r="J898" i="4" s="1"/>
  <c r="K897" i="4"/>
  <c r="J897" i="4" a="1"/>
  <c r="J897" i="4"/>
  <c r="K896" i="4"/>
  <c r="J896" i="4" a="1"/>
  <c r="J896" i="4" s="1"/>
  <c r="K895" i="4"/>
  <c r="J895" i="4" a="1"/>
  <c r="J895" i="4" s="1"/>
  <c r="K894" i="4"/>
  <c r="J894" i="4" a="1"/>
  <c r="J894" i="4"/>
  <c r="K893" i="4"/>
  <c r="J893" i="4" a="1"/>
  <c r="J893" i="4"/>
  <c r="K892" i="4"/>
  <c r="J892" i="4" a="1"/>
  <c r="J892" i="4"/>
  <c r="K891" i="4"/>
  <c r="J891" i="4" a="1"/>
  <c r="J891" i="4" s="1"/>
  <c r="K890" i="4"/>
  <c r="J890" i="4" a="1"/>
  <c r="J890" i="4"/>
  <c r="K889" i="4"/>
  <c r="J889" i="4" a="1"/>
  <c r="J889" i="4" s="1"/>
  <c r="K888" i="4"/>
  <c r="J888" i="4" a="1"/>
  <c r="J888" i="4" s="1"/>
  <c r="K887" i="4"/>
  <c r="J887" i="4" a="1"/>
  <c r="J887" i="4" s="1"/>
  <c r="K886" i="4"/>
  <c r="J886" i="4" a="1"/>
  <c r="J886" i="4"/>
  <c r="K885" i="4"/>
  <c r="J885" i="4" a="1"/>
  <c r="J885" i="4"/>
  <c r="K884" i="4"/>
  <c r="J884" i="4" a="1"/>
  <c r="J884" i="4"/>
  <c r="K883" i="4"/>
  <c r="J883" i="4" a="1"/>
  <c r="J883" i="4" s="1"/>
  <c r="K882" i="4"/>
  <c r="J882" i="4" a="1"/>
  <c r="J882" i="4"/>
  <c r="K881" i="4"/>
  <c r="J881" i="4" a="1"/>
  <c r="J881" i="4"/>
  <c r="K880" i="4"/>
  <c r="J880" i="4" a="1"/>
  <c r="J880" i="4" s="1"/>
  <c r="K879" i="4"/>
  <c r="J879" i="4" a="1"/>
  <c r="J879" i="4" s="1"/>
  <c r="K878" i="4"/>
  <c r="J878" i="4" a="1"/>
  <c r="J878" i="4" s="1"/>
  <c r="K877" i="4"/>
  <c r="J877" i="4" a="1"/>
  <c r="J877" i="4"/>
  <c r="K876" i="4"/>
  <c r="J876" i="4" a="1"/>
  <c r="J876" i="4" s="1"/>
  <c r="K875" i="4"/>
  <c r="J875" i="4" a="1"/>
  <c r="J875" i="4" s="1"/>
  <c r="K874" i="4"/>
  <c r="J874" i="4" a="1"/>
  <c r="J874" i="4" s="1"/>
  <c r="K873" i="4"/>
  <c r="J873" i="4" a="1"/>
  <c r="J873" i="4"/>
  <c r="K872" i="4"/>
  <c r="J872" i="4" a="1"/>
  <c r="J872" i="4"/>
  <c r="K871" i="4"/>
  <c r="J871" i="4" a="1"/>
  <c r="J871" i="4" s="1"/>
  <c r="K870" i="4"/>
  <c r="J870" i="4" a="1"/>
  <c r="J870" i="4"/>
  <c r="K869" i="4"/>
  <c r="J869" i="4" a="1"/>
  <c r="J869" i="4"/>
  <c r="K868" i="4"/>
  <c r="J868" i="4" a="1"/>
  <c r="J868" i="4"/>
  <c r="K867" i="4"/>
  <c r="J867" i="4" a="1"/>
  <c r="J867" i="4" s="1"/>
  <c r="K866" i="4"/>
  <c r="J866" i="4" a="1"/>
  <c r="J866" i="4" s="1"/>
  <c r="K865" i="4"/>
  <c r="J865" i="4" a="1"/>
  <c r="J865" i="4" s="1"/>
  <c r="K864" i="4"/>
  <c r="J864" i="4" a="1"/>
  <c r="J864" i="4"/>
  <c r="K863" i="4"/>
  <c r="J863" i="4" a="1"/>
  <c r="J863" i="4" s="1"/>
  <c r="K862" i="4"/>
  <c r="J862" i="4" a="1"/>
  <c r="J862" i="4" s="1"/>
  <c r="K861" i="4"/>
  <c r="J861" i="4" a="1"/>
  <c r="J861" i="4"/>
  <c r="K860" i="4"/>
  <c r="J860" i="4" a="1"/>
  <c r="J860" i="4"/>
  <c r="K859" i="4"/>
  <c r="J859" i="4" a="1"/>
  <c r="J859" i="4" s="1"/>
  <c r="K858" i="4"/>
  <c r="J858" i="4" a="1"/>
  <c r="J858" i="4" s="1"/>
  <c r="K857" i="4"/>
  <c r="J857" i="4" a="1"/>
  <c r="J857" i="4"/>
  <c r="K856" i="4"/>
  <c r="J856" i="4" a="1"/>
  <c r="J856" i="4" s="1"/>
  <c r="K855" i="4"/>
  <c r="J855" i="4" a="1"/>
  <c r="J855" i="4" s="1"/>
  <c r="K854" i="4"/>
  <c r="J854" i="4" a="1"/>
  <c r="J854" i="4"/>
  <c r="K853" i="4"/>
  <c r="J853" i="4" a="1"/>
  <c r="J853" i="4" s="1"/>
  <c r="K852" i="4"/>
  <c r="J852" i="4" a="1"/>
  <c r="J852" i="4"/>
  <c r="K851" i="4"/>
  <c r="J851" i="4" a="1"/>
  <c r="J851" i="4" s="1"/>
  <c r="K850" i="4"/>
  <c r="J850" i="4" a="1"/>
  <c r="J850" i="4"/>
  <c r="K849" i="4"/>
  <c r="J849" i="4" a="1"/>
  <c r="J849" i="4" s="1"/>
  <c r="K848" i="4"/>
  <c r="J848" i="4" a="1"/>
  <c r="J848" i="4"/>
  <c r="K847" i="4"/>
  <c r="J847" i="4" a="1"/>
  <c r="J847" i="4" s="1"/>
  <c r="K846" i="4"/>
  <c r="J846" i="4" a="1"/>
  <c r="J846" i="4"/>
  <c r="K845" i="4"/>
  <c r="J845" i="4" a="1"/>
  <c r="J845" i="4"/>
  <c r="K844" i="4"/>
  <c r="J844" i="4" a="1"/>
  <c r="J844" i="4"/>
  <c r="K843" i="4"/>
  <c r="J843" i="4" a="1"/>
  <c r="J843" i="4" s="1"/>
  <c r="K842" i="4"/>
  <c r="J842" i="4" a="1"/>
  <c r="J842" i="4"/>
  <c r="K841" i="4"/>
  <c r="J841" i="4" a="1"/>
  <c r="J841" i="4"/>
  <c r="K840" i="4"/>
  <c r="J840" i="4" a="1"/>
  <c r="J840" i="4" s="1"/>
  <c r="K839" i="4"/>
  <c r="J839" i="4" a="1"/>
  <c r="J839" i="4" s="1"/>
  <c r="K838" i="4"/>
  <c r="J838" i="4" a="1"/>
  <c r="J838" i="4" s="1"/>
  <c r="K837" i="4"/>
  <c r="J837" i="4" a="1"/>
  <c r="J837" i="4"/>
  <c r="K836" i="4"/>
  <c r="J836" i="4" a="1"/>
  <c r="J836" i="4"/>
  <c r="K835" i="4"/>
  <c r="J835" i="4" a="1"/>
  <c r="J835" i="4" s="1"/>
  <c r="K834" i="4"/>
  <c r="J834" i="4" a="1"/>
  <c r="J834" i="4"/>
  <c r="K833" i="4"/>
  <c r="J833" i="4" a="1"/>
  <c r="J833" i="4"/>
  <c r="K832" i="4"/>
  <c r="J832" i="4" a="1"/>
  <c r="J832" i="4"/>
  <c r="K831" i="4"/>
  <c r="J831" i="4" a="1"/>
  <c r="J831" i="4" s="1"/>
  <c r="K830" i="4"/>
  <c r="J830" i="4" a="1"/>
  <c r="J830" i="4"/>
  <c r="K829" i="4"/>
  <c r="J829" i="4" a="1"/>
  <c r="J829" i="4" s="1"/>
  <c r="K828" i="4"/>
  <c r="J828" i="4" a="1"/>
  <c r="J828" i="4"/>
  <c r="K827" i="4"/>
  <c r="J827" i="4" a="1"/>
  <c r="J827" i="4" s="1"/>
  <c r="K826" i="4"/>
  <c r="J826" i="4" a="1"/>
  <c r="J826" i="4"/>
  <c r="K825" i="4"/>
  <c r="J825" i="4" a="1"/>
  <c r="J825" i="4" s="1"/>
  <c r="K824" i="4"/>
  <c r="J824" i="4" a="1"/>
  <c r="J824" i="4"/>
  <c r="K823" i="4"/>
  <c r="J823" i="4" a="1"/>
  <c r="J823" i="4" s="1"/>
  <c r="K822" i="4"/>
  <c r="J822" i="4" a="1"/>
  <c r="J822" i="4" s="1"/>
  <c r="K821" i="4"/>
  <c r="J821" i="4" a="1"/>
  <c r="J821" i="4"/>
  <c r="K820" i="4"/>
  <c r="J820" i="4" a="1"/>
  <c r="J820" i="4"/>
  <c r="K819" i="4"/>
  <c r="J819" i="4" a="1"/>
  <c r="J819" i="4" s="1"/>
  <c r="K818" i="4"/>
  <c r="J818" i="4" a="1"/>
  <c r="J818" i="4" s="1"/>
  <c r="K817" i="4"/>
  <c r="J817" i="4" a="1"/>
  <c r="J817" i="4"/>
  <c r="K816" i="4"/>
  <c r="J816" i="4" a="1"/>
  <c r="J816" i="4" s="1"/>
  <c r="K815" i="4"/>
  <c r="J815" i="4" a="1"/>
  <c r="J815" i="4" s="1"/>
  <c r="K814" i="4"/>
  <c r="J814" i="4" a="1"/>
  <c r="J814" i="4"/>
  <c r="K813" i="4"/>
  <c r="J813" i="4" a="1"/>
  <c r="J813" i="4" s="1"/>
  <c r="K812" i="4"/>
  <c r="J812" i="4" a="1"/>
  <c r="J812" i="4" s="1"/>
  <c r="K811" i="4"/>
  <c r="J811" i="4" a="1"/>
  <c r="J811" i="4" s="1"/>
  <c r="K810" i="4"/>
  <c r="J810" i="4" a="1"/>
  <c r="J810" i="4"/>
  <c r="K809" i="4"/>
  <c r="J809" i="4" a="1"/>
  <c r="J809" i="4" s="1"/>
  <c r="K808" i="4"/>
  <c r="J808" i="4" a="1"/>
  <c r="J808" i="4"/>
  <c r="K807" i="4"/>
  <c r="J807" i="4" a="1"/>
  <c r="J807" i="4" s="1"/>
  <c r="K806" i="4"/>
  <c r="J806" i="4" a="1"/>
  <c r="J806" i="4"/>
  <c r="K805" i="4"/>
  <c r="J805" i="4" a="1"/>
  <c r="J805" i="4"/>
  <c r="K804" i="4"/>
  <c r="J804" i="4" a="1"/>
  <c r="J804" i="4"/>
  <c r="K803" i="4"/>
  <c r="J803" i="4" a="1"/>
  <c r="J803" i="4" s="1"/>
  <c r="K802" i="4"/>
  <c r="J802" i="4" a="1"/>
  <c r="J802" i="4" s="1"/>
  <c r="K801" i="4"/>
  <c r="J801" i="4" a="1"/>
  <c r="J801" i="4"/>
  <c r="K800" i="4"/>
  <c r="J800" i="4" a="1"/>
  <c r="J800" i="4" s="1"/>
  <c r="K799" i="4"/>
  <c r="J799" i="4" a="1"/>
  <c r="J799" i="4" s="1"/>
  <c r="K798" i="4"/>
  <c r="J798" i="4" a="1"/>
  <c r="J798" i="4"/>
  <c r="K797" i="4"/>
  <c r="J797" i="4" a="1"/>
  <c r="J797" i="4"/>
  <c r="K796" i="4"/>
  <c r="J796" i="4" a="1"/>
  <c r="J796" i="4" s="1"/>
  <c r="K795" i="4"/>
  <c r="J795" i="4" a="1"/>
  <c r="J795" i="4" s="1"/>
  <c r="K794" i="4"/>
  <c r="J794" i="4" a="1"/>
  <c r="J794" i="4"/>
  <c r="K793" i="4"/>
  <c r="J793" i="4" a="1"/>
  <c r="J793" i="4"/>
  <c r="K792" i="4"/>
  <c r="J792" i="4" a="1"/>
  <c r="J792" i="4" s="1"/>
  <c r="K791" i="4"/>
  <c r="J791" i="4" a="1"/>
  <c r="J791" i="4" s="1"/>
  <c r="K790" i="4"/>
  <c r="J790" i="4" a="1"/>
  <c r="J790" i="4"/>
  <c r="K789" i="4"/>
  <c r="J789" i="4" a="1"/>
  <c r="J789" i="4" s="1"/>
  <c r="K788" i="4"/>
  <c r="J788" i="4" a="1"/>
  <c r="J788" i="4" s="1"/>
  <c r="K787" i="4"/>
  <c r="J787" i="4" a="1"/>
  <c r="J787" i="4" s="1"/>
  <c r="K786" i="4"/>
  <c r="J786" i="4" a="1"/>
  <c r="J786" i="4"/>
  <c r="K785" i="4"/>
  <c r="J785" i="4" a="1"/>
  <c r="J785" i="4"/>
  <c r="K784" i="4"/>
  <c r="J784" i="4" a="1"/>
  <c r="J784" i="4" s="1"/>
  <c r="K783" i="4"/>
  <c r="J783" i="4" a="1"/>
  <c r="J783" i="4" s="1"/>
  <c r="K782" i="4"/>
  <c r="J782" i="4" a="1"/>
  <c r="J782" i="4" s="1"/>
  <c r="K781" i="4"/>
  <c r="J781" i="4" a="1"/>
  <c r="J781" i="4"/>
  <c r="K780" i="4"/>
  <c r="J780" i="4" a="1"/>
  <c r="J780" i="4"/>
  <c r="K779" i="4"/>
  <c r="J779" i="4" a="1"/>
  <c r="J779" i="4" s="1"/>
  <c r="K778" i="4"/>
  <c r="J778" i="4" a="1"/>
  <c r="J778" i="4"/>
  <c r="K777" i="4"/>
  <c r="J777" i="4" a="1"/>
  <c r="J777" i="4" s="1"/>
  <c r="K776" i="4"/>
  <c r="J776" i="4" a="1"/>
  <c r="J776" i="4" s="1"/>
  <c r="K775" i="4"/>
  <c r="J775" i="4" a="1"/>
  <c r="J775" i="4" s="1"/>
  <c r="K774" i="4"/>
  <c r="J774" i="4" a="1"/>
  <c r="J774" i="4" s="1"/>
  <c r="K773" i="4"/>
  <c r="J773" i="4" a="1"/>
  <c r="J773" i="4" s="1"/>
  <c r="K772" i="4"/>
  <c r="J772" i="4" a="1"/>
  <c r="J772" i="4"/>
  <c r="K771" i="4"/>
  <c r="J771" i="4" a="1"/>
  <c r="J771" i="4" s="1"/>
  <c r="K770" i="4"/>
  <c r="J770" i="4" a="1"/>
  <c r="J770" i="4" s="1"/>
  <c r="K769" i="4"/>
  <c r="J769" i="4" a="1"/>
  <c r="J769" i="4"/>
  <c r="K768" i="4"/>
  <c r="J768" i="4" a="1"/>
  <c r="J768" i="4" s="1"/>
  <c r="K767" i="4"/>
  <c r="J767" i="4" a="1"/>
  <c r="J767" i="4" s="1"/>
  <c r="K766" i="4"/>
  <c r="J766" i="4" a="1"/>
  <c r="J766" i="4" s="1"/>
  <c r="K765" i="4"/>
  <c r="J765" i="4" a="1"/>
  <c r="J765" i="4"/>
  <c r="K764" i="4"/>
  <c r="J764" i="4" a="1"/>
  <c r="J764" i="4"/>
  <c r="K763" i="4"/>
  <c r="J763" i="4" a="1"/>
  <c r="J763" i="4" s="1"/>
  <c r="K762" i="4"/>
  <c r="J762" i="4" a="1"/>
  <c r="J762" i="4" s="1"/>
  <c r="K761" i="4"/>
  <c r="J761" i="4" a="1"/>
  <c r="J761" i="4" s="1"/>
  <c r="K760" i="4"/>
  <c r="J760" i="4" a="1"/>
  <c r="J760" i="4"/>
  <c r="K759" i="4"/>
  <c r="J759" i="4" a="1"/>
  <c r="J759" i="4" s="1"/>
  <c r="K758" i="4"/>
  <c r="J758" i="4" a="1"/>
  <c r="J758" i="4"/>
  <c r="K757" i="4"/>
  <c r="J757" i="4" a="1"/>
  <c r="J757" i="4" s="1"/>
  <c r="K756" i="4"/>
  <c r="J756" i="4" a="1"/>
  <c r="J756" i="4" s="1"/>
  <c r="K755" i="4"/>
  <c r="J755" i="4" a="1"/>
  <c r="J755" i="4" s="1"/>
  <c r="K754" i="4"/>
  <c r="J754" i="4" a="1"/>
  <c r="J754" i="4"/>
  <c r="K753" i="4"/>
  <c r="J753" i="4" a="1"/>
  <c r="J753" i="4" s="1"/>
  <c r="K752" i="4"/>
  <c r="J752" i="4" a="1"/>
  <c r="J752" i="4"/>
  <c r="K751" i="4"/>
  <c r="J751" i="4" a="1"/>
  <c r="J751" i="4" s="1"/>
  <c r="K750" i="4"/>
  <c r="J750" i="4" a="1"/>
  <c r="J750" i="4" s="1"/>
  <c r="K749" i="4"/>
  <c r="J749" i="4" a="1"/>
  <c r="J749" i="4" s="1"/>
  <c r="K748" i="4"/>
  <c r="J748" i="4" a="1"/>
  <c r="J748" i="4" s="1"/>
  <c r="K747" i="4"/>
  <c r="J747" i="4" a="1"/>
  <c r="J747" i="4" s="1"/>
  <c r="K746" i="4"/>
  <c r="J746" i="4" a="1"/>
  <c r="J746" i="4" s="1"/>
  <c r="K745" i="4"/>
  <c r="J745" i="4" a="1"/>
  <c r="J745" i="4"/>
  <c r="K744" i="4"/>
  <c r="J744" i="4" a="1"/>
  <c r="J744" i="4" s="1"/>
  <c r="K743" i="4"/>
  <c r="J743" i="4" a="1"/>
  <c r="J743" i="4" s="1"/>
  <c r="K742" i="4"/>
  <c r="J742" i="4" a="1"/>
  <c r="J742" i="4"/>
  <c r="K741" i="4"/>
  <c r="J741" i="4" a="1"/>
  <c r="J741" i="4" s="1"/>
  <c r="K740" i="4"/>
  <c r="J740" i="4" a="1"/>
  <c r="J740" i="4" s="1"/>
  <c r="K739" i="4"/>
  <c r="J739" i="4" a="1"/>
  <c r="J739" i="4" s="1"/>
  <c r="K738" i="4"/>
  <c r="J738" i="4" a="1"/>
  <c r="J738" i="4" s="1"/>
  <c r="K737" i="4"/>
  <c r="J737" i="4" a="1"/>
  <c r="J737" i="4"/>
  <c r="K736" i="4"/>
  <c r="J736" i="4" a="1"/>
  <c r="J736" i="4"/>
  <c r="K735" i="4"/>
  <c r="J735" i="4" a="1"/>
  <c r="J735" i="4" s="1"/>
  <c r="K734" i="4"/>
  <c r="J734" i="4" a="1"/>
  <c r="J734" i="4"/>
  <c r="K733" i="4"/>
  <c r="J733" i="4" a="1"/>
  <c r="J733" i="4" s="1"/>
  <c r="K732" i="4"/>
  <c r="J732" i="4" a="1"/>
  <c r="J732" i="4"/>
  <c r="K731" i="4"/>
  <c r="J731" i="4" a="1"/>
  <c r="J731" i="4" s="1"/>
  <c r="K730" i="4"/>
  <c r="J730" i="4" a="1"/>
  <c r="J730" i="4"/>
  <c r="K729" i="4"/>
  <c r="J729" i="4" a="1"/>
  <c r="J729" i="4"/>
  <c r="K728" i="4"/>
  <c r="J728" i="4" a="1"/>
  <c r="J728" i="4" s="1"/>
  <c r="K727" i="4"/>
  <c r="J727" i="4" a="1"/>
  <c r="J727" i="4" s="1"/>
  <c r="K726" i="4"/>
  <c r="J726" i="4" a="1"/>
  <c r="J726" i="4" s="1"/>
  <c r="K725" i="4"/>
  <c r="J725" i="4" a="1"/>
  <c r="J725" i="4"/>
  <c r="K724" i="4"/>
  <c r="J724" i="4" a="1"/>
  <c r="J724" i="4" s="1"/>
  <c r="K723" i="4"/>
  <c r="J723" i="4" a="1"/>
  <c r="J723" i="4" s="1"/>
  <c r="K722" i="4"/>
  <c r="J722" i="4" a="1"/>
  <c r="J722" i="4" s="1"/>
  <c r="K721" i="4"/>
  <c r="J721" i="4" a="1"/>
  <c r="J721" i="4" s="1"/>
  <c r="K720" i="4"/>
  <c r="J720" i="4" a="1"/>
  <c r="J720" i="4"/>
  <c r="K719" i="4"/>
  <c r="J719" i="4" a="1"/>
  <c r="J719" i="4" s="1"/>
  <c r="K718" i="4"/>
  <c r="J718" i="4" a="1"/>
  <c r="J718" i="4"/>
  <c r="K717" i="4"/>
  <c r="J717" i="4" a="1"/>
  <c r="J717" i="4"/>
  <c r="K716" i="4"/>
  <c r="J716" i="4" a="1"/>
  <c r="J716" i="4" s="1"/>
  <c r="K715" i="4"/>
  <c r="J715" i="4" a="1"/>
  <c r="J715" i="4" s="1"/>
  <c r="K714" i="4"/>
  <c r="J714" i="4" a="1"/>
  <c r="J714" i="4"/>
  <c r="K713" i="4"/>
  <c r="J713" i="4" a="1"/>
  <c r="J713" i="4" s="1"/>
  <c r="K712" i="4"/>
  <c r="J712" i="4" a="1"/>
  <c r="J712" i="4" s="1"/>
  <c r="K711" i="4"/>
  <c r="J711" i="4" a="1"/>
  <c r="J711" i="4" s="1"/>
  <c r="K710" i="4"/>
  <c r="J710" i="4" a="1"/>
  <c r="J710" i="4"/>
  <c r="K709" i="4"/>
  <c r="J709" i="4" a="1"/>
  <c r="J709" i="4"/>
  <c r="K708" i="4"/>
  <c r="J708" i="4" a="1"/>
  <c r="J708" i="4" s="1"/>
  <c r="K707" i="4"/>
  <c r="J707" i="4" a="1"/>
  <c r="J707" i="4" s="1"/>
  <c r="K706" i="4"/>
  <c r="J706" i="4" a="1"/>
  <c r="J706" i="4" s="1"/>
  <c r="K705" i="4"/>
  <c r="J705" i="4" a="1"/>
  <c r="J705" i="4"/>
  <c r="K704" i="4"/>
  <c r="J704" i="4" a="1"/>
  <c r="J704" i="4"/>
  <c r="K703" i="4"/>
  <c r="J703" i="4" a="1"/>
  <c r="J703" i="4" s="1"/>
  <c r="K702" i="4"/>
  <c r="J702" i="4" a="1"/>
  <c r="J702" i="4"/>
  <c r="K701" i="4"/>
  <c r="J701" i="4" a="1"/>
  <c r="J701" i="4" s="1"/>
  <c r="K700" i="4"/>
  <c r="J700" i="4" a="1"/>
  <c r="J700" i="4" s="1"/>
  <c r="K699" i="4"/>
  <c r="J699" i="4" a="1"/>
  <c r="J699" i="4" s="1"/>
  <c r="K698" i="4"/>
  <c r="J698" i="4" a="1"/>
  <c r="J698" i="4"/>
  <c r="K697" i="4"/>
  <c r="J697" i="4" a="1"/>
  <c r="J697" i="4" s="1"/>
  <c r="K696" i="4"/>
  <c r="J696" i="4" a="1"/>
  <c r="J696" i="4"/>
  <c r="K695" i="4"/>
  <c r="J695" i="4" a="1"/>
  <c r="J695" i="4" s="1"/>
  <c r="K694" i="4"/>
  <c r="J694" i="4" a="1"/>
  <c r="J694" i="4" s="1"/>
  <c r="K693" i="4"/>
  <c r="J693" i="4" a="1"/>
  <c r="J693" i="4"/>
  <c r="K692" i="4"/>
  <c r="J692" i="4" a="1"/>
  <c r="J692" i="4" s="1"/>
  <c r="K691" i="4"/>
  <c r="J691" i="4" a="1"/>
  <c r="J691" i="4" s="1"/>
  <c r="K690" i="4"/>
  <c r="J690" i="4" a="1"/>
  <c r="J690" i="4" s="1"/>
  <c r="K689" i="4"/>
  <c r="J689" i="4" a="1"/>
  <c r="J689" i="4" s="1"/>
  <c r="K688" i="4"/>
  <c r="J688" i="4" a="1"/>
  <c r="J688" i="4"/>
  <c r="K687" i="4"/>
  <c r="J687" i="4" a="1"/>
  <c r="J687" i="4" s="1"/>
  <c r="K686" i="4"/>
  <c r="J686" i="4" a="1"/>
  <c r="J686" i="4" s="1"/>
  <c r="K685" i="4"/>
  <c r="J685" i="4" a="1"/>
  <c r="J685" i="4"/>
  <c r="K684" i="4"/>
  <c r="J684" i="4" a="1"/>
  <c r="J684" i="4" s="1"/>
  <c r="K683" i="4"/>
  <c r="J683" i="4" a="1"/>
  <c r="J683" i="4" s="1"/>
  <c r="K682" i="4"/>
  <c r="J682" i="4" a="1"/>
  <c r="J682" i="4"/>
  <c r="K681" i="4"/>
  <c r="J681" i="4" a="1"/>
  <c r="J681" i="4" s="1"/>
  <c r="K680" i="4"/>
  <c r="J680" i="4" a="1"/>
  <c r="J680" i="4"/>
  <c r="K679" i="4"/>
  <c r="J679" i="4" a="1"/>
  <c r="J679" i="4" s="1"/>
  <c r="K678" i="4"/>
  <c r="J678" i="4" a="1"/>
  <c r="J678" i="4" s="1"/>
  <c r="K677" i="4"/>
  <c r="J677" i="4" a="1"/>
  <c r="J677" i="4" s="1"/>
  <c r="K676" i="4"/>
  <c r="J676" i="4" a="1"/>
  <c r="J676" i="4"/>
  <c r="K675" i="4"/>
  <c r="J675" i="4" a="1"/>
  <c r="J675" i="4" s="1"/>
  <c r="K674" i="4"/>
  <c r="J674" i="4" a="1"/>
  <c r="J674" i="4" s="1"/>
  <c r="K673" i="4"/>
  <c r="J673" i="4" a="1"/>
  <c r="J673" i="4" s="1"/>
  <c r="K672" i="4"/>
  <c r="J672" i="4" a="1"/>
  <c r="J672" i="4" s="1"/>
  <c r="K671" i="4"/>
  <c r="J671" i="4" a="1"/>
  <c r="J671" i="4"/>
  <c r="K670" i="4"/>
  <c r="J670" i="4" a="1"/>
  <c r="J670" i="4" s="1"/>
  <c r="K669" i="4"/>
  <c r="J669" i="4" a="1"/>
  <c r="J669" i="4"/>
  <c r="K668" i="4"/>
  <c r="J668" i="4" a="1"/>
  <c r="J668" i="4" s="1"/>
  <c r="K667" i="4"/>
  <c r="J667" i="4" a="1"/>
  <c r="J667" i="4"/>
  <c r="K666" i="4"/>
  <c r="J666" i="4" a="1"/>
  <c r="J666" i="4" s="1"/>
  <c r="K665" i="4"/>
  <c r="J665" i="4" a="1"/>
  <c r="J665" i="4"/>
  <c r="K664" i="4"/>
  <c r="J664" i="4" a="1"/>
  <c r="J664" i="4" s="1"/>
  <c r="K663" i="4"/>
  <c r="J663" i="4" a="1"/>
  <c r="J663" i="4"/>
  <c r="K662" i="4"/>
  <c r="J662" i="4" a="1"/>
  <c r="J662" i="4" s="1"/>
  <c r="K661" i="4"/>
  <c r="J661" i="4" a="1"/>
  <c r="J661" i="4" s="1"/>
  <c r="K660" i="4"/>
  <c r="J660" i="4" a="1"/>
  <c r="J660" i="4" s="1"/>
  <c r="K659" i="4"/>
  <c r="J659" i="4" a="1"/>
  <c r="J659" i="4" s="1"/>
  <c r="K658" i="4"/>
  <c r="J658" i="4" a="1"/>
  <c r="J658" i="4" s="1"/>
  <c r="K657" i="4"/>
  <c r="J657" i="4" a="1"/>
  <c r="J657" i="4"/>
  <c r="K656" i="4"/>
  <c r="J656" i="4" a="1"/>
  <c r="J656" i="4"/>
  <c r="K655" i="4"/>
  <c r="J655" i="4" a="1"/>
  <c r="J655" i="4" s="1"/>
  <c r="K654" i="4"/>
  <c r="J654" i="4" a="1"/>
  <c r="J654" i="4" s="1"/>
  <c r="K653" i="4"/>
  <c r="J653" i="4" a="1"/>
  <c r="J653" i="4" s="1"/>
  <c r="K652" i="4"/>
  <c r="J652" i="4" a="1"/>
  <c r="J652" i="4"/>
  <c r="K651" i="4"/>
  <c r="J651" i="4" a="1"/>
  <c r="J651" i="4" s="1"/>
  <c r="K650" i="4"/>
  <c r="J650" i="4" a="1"/>
  <c r="J650" i="4" s="1"/>
  <c r="K649" i="4"/>
  <c r="J649" i="4" a="1"/>
  <c r="J649" i="4"/>
  <c r="K648" i="4"/>
  <c r="J648" i="4" a="1"/>
  <c r="J648" i="4" s="1"/>
  <c r="K647" i="4"/>
  <c r="J647" i="4" a="1"/>
  <c r="J647" i="4" s="1"/>
  <c r="K646" i="4"/>
  <c r="J646" i="4" a="1"/>
  <c r="J646" i="4" s="1"/>
  <c r="K645" i="4"/>
  <c r="J645" i="4" a="1"/>
  <c r="J645" i="4" s="1"/>
  <c r="K644" i="4"/>
  <c r="J644" i="4" a="1"/>
  <c r="J644" i="4"/>
  <c r="K643" i="4"/>
  <c r="J643" i="4" a="1"/>
  <c r="J643" i="4"/>
  <c r="K642" i="4"/>
  <c r="J642" i="4" a="1"/>
  <c r="J642" i="4" s="1"/>
  <c r="K641" i="4"/>
  <c r="J641" i="4" a="1"/>
  <c r="J641" i="4"/>
  <c r="K640" i="4"/>
  <c r="J640" i="4" a="1"/>
  <c r="J640" i="4" s="1"/>
  <c r="K639" i="4"/>
  <c r="J639" i="4" a="1"/>
  <c r="J639" i="4"/>
  <c r="K638" i="4"/>
  <c r="J638" i="4" a="1"/>
  <c r="J638" i="4" s="1"/>
  <c r="K637" i="4"/>
  <c r="J637" i="4" a="1"/>
  <c r="J637" i="4" s="1"/>
  <c r="K636" i="4"/>
  <c r="J636" i="4" a="1"/>
  <c r="J636" i="4"/>
  <c r="K635" i="4"/>
  <c r="J635" i="4" a="1"/>
  <c r="J635" i="4" s="1"/>
  <c r="K634" i="4"/>
  <c r="J634" i="4" a="1"/>
  <c r="J634" i="4" s="1"/>
  <c r="K633" i="4"/>
  <c r="J633" i="4" a="1"/>
  <c r="J633" i="4" s="1"/>
  <c r="K632" i="4"/>
  <c r="J632" i="4" a="1"/>
  <c r="J632" i="4" s="1"/>
  <c r="K631" i="4"/>
  <c r="J631" i="4" a="1"/>
  <c r="J631" i="4"/>
  <c r="K630" i="4"/>
  <c r="J630" i="4" a="1"/>
  <c r="J630" i="4" s="1"/>
  <c r="K629" i="4"/>
  <c r="J629" i="4" a="1"/>
  <c r="J629" i="4" s="1"/>
  <c r="K628" i="4"/>
  <c r="J628" i="4" a="1"/>
  <c r="J628" i="4"/>
  <c r="K627" i="4"/>
  <c r="J627" i="4" a="1"/>
  <c r="J627" i="4" s="1"/>
  <c r="K626" i="4"/>
  <c r="J626" i="4" a="1"/>
  <c r="J626" i="4" s="1"/>
  <c r="K625" i="4"/>
  <c r="J625" i="4" a="1"/>
  <c r="J625" i="4" s="1"/>
  <c r="K624" i="4"/>
  <c r="J624" i="4" a="1"/>
  <c r="J624" i="4" s="1"/>
  <c r="K623" i="4"/>
  <c r="J623" i="4" a="1"/>
  <c r="J623" i="4"/>
  <c r="K622" i="4"/>
  <c r="J622" i="4" a="1"/>
  <c r="J622" i="4" s="1"/>
  <c r="K621" i="4"/>
  <c r="J621" i="4" a="1"/>
  <c r="J621" i="4"/>
  <c r="K620" i="4"/>
  <c r="J620" i="4" a="1"/>
  <c r="J620" i="4" s="1"/>
  <c r="K619" i="4"/>
  <c r="J619" i="4" a="1"/>
  <c r="J619" i="4" s="1"/>
  <c r="K618" i="4"/>
  <c r="J618" i="4" a="1"/>
  <c r="J618" i="4" s="1"/>
  <c r="K617" i="4"/>
  <c r="J617" i="4" a="1"/>
  <c r="J617" i="4"/>
  <c r="K616" i="4"/>
  <c r="J616" i="4" a="1"/>
  <c r="J616" i="4" s="1"/>
  <c r="K615" i="4"/>
  <c r="J615" i="4" a="1"/>
  <c r="J615" i="4"/>
  <c r="K614" i="4"/>
  <c r="J614" i="4" a="1"/>
  <c r="J614" i="4" s="1"/>
  <c r="K613" i="4"/>
  <c r="J613" i="4" a="1"/>
  <c r="J613" i="4" s="1"/>
  <c r="K612" i="4"/>
  <c r="J612" i="4" a="1"/>
  <c r="J612" i="4" s="1"/>
  <c r="K611" i="4"/>
  <c r="J611" i="4" a="1"/>
  <c r="J611" i="4" s="1"/>
  <c r="K610" i="4"/>
  <c r="J610" i="4" a="1"/>
  <c r="J610" i="4" s="1"/>
  <c r="K609" i="4"/>
  <c r="J609" i="4" a="1"/>
  <c r="J609" i="4"/>
  <c r="K608" i="4"/>
  <c r="J608" i="4" a="1"/>
  <c r="J608" i="4"/>
  <c r="K607" i="4"/>
  <c r="J607" i="4" a="1"/>
  <c r="J607" i="4" s="1"/>
  <c r="K606" i="4"/>
  <c r="J606" i="4" a="1"/>
  <c r="J606" i="4" s="1"/>
  <c r="K605" i="4"/>
  <c r="J605" i="4" a="1"/>
  <c r="J605" i="4" s="1"/>
  <c r="K604" i="4"/>
  <c r="J604" i="4" a="1"/>
  <c r="J604" i="4"/>
  <c r="K603" i="4"/>
  <c r="J603" i="4" a="1"/>
  <c r="J603" i="4" s="1"/>
  <c r="K602" i="4"/>
  <c r="J602" i="4" a="1"/>
  <c r="J602" i="4" s="1"/>
  <c r="K601" i="4"/>
  <c r="J601" i="4" a="1"/>
  <c r="J601" i="4"/>
  <c r="K600" i="4"/>
  <c r="J600" i="4" a="1"/>
  <c r="J600" i="4" s="1"/>
  <c r="K599" i="4"/>
  <c r="J599" i="4" a="1"/>
  <c r="J599" i="4" s="1"/>
  <c r="K598" i="4"/>
  <c r="J598" i="4" a="1"/>
  <c r="J598" i="4" s="1"/>
  <c r="K597" i="4"/>
  <c r="J597" i="4" a="1"/>
  <c r="J597" i="4" s="1"/>
  <c r="K596" i="4"/>
  <c r="J596" i="4" a="1"/>
  <c r="J596" i="4"/>
  <c r="K595" i="4"/>
  <c r="J595" i="4" a="1"/>
  <c r="J595" i="4"/>
  <c r="K594" i="4"/>
  <c r="J594" i="4" a="1"/>
  <c r="J594" i="4" s="1"/>
  <c r="K593" i="4"/>
  <c r="J593" i="4" a="1"/>
  <c r="J593" i="4"/>
  <c r="K592" i="4"/>
  <c r="J592" i="4" a="1"/>
  <c r="J592" i="4" s="1"/>
  <c r="K591" i="4"/>
  <c r="J591" i="4" a="1"/>
  <c r="J591" i="4"/>
  <c r="K590" i="4"/>
  <c r="J590" i="4" a="1"/>
  <c r="J590" i="4" s="1"/>
  <c r="K589" i="4"/>
  <c r="J589" i="4" a="1"/>
  <c r="J589" i="4" s="1"/>
  <c r="K588" i="4"/>
  <c r="J588" i="4" a="1"/>
  <c r="J588" i="4"/>
  <c r="K587" i="4"/>
  <c r="J587" i="4" a="1"/>
  <c r="J587" i="4" s="1"/>
  <c r="K586" i="4"/>
  <c r="J586" i="4" a="1"/>
  <c r="J586" i="4" s="1"/>
  <c r="K585" i="4"/>
  <c r="J585" i="4" a="1"/>
  <c r="J585" i="4" s="1"/>
  <c r="K584" i="4"/>
  <c r="J584" i="4" a="1"/>
  <c r="J584" i="4" s="1"/>
  <c r="K583" i="4"/>
  <c r="J583" i="4" a="1"/>
  <c r="J583" i="4"/>
  <c r="K582" i="4"/>
  <c r="J582" i="4" a="1"/>
  <c r="J582" i="4" s="1"/>
  <c r="K581" i="4"/>
  <c r="J581" i="4" a="1"/>
  <c r="J581" i="4" s="1"/>
  <c r="K580" i="4"/>
  <c r="J580" i="4" a="1"/>
  <c r="J580" i="4"/>
  <c r="K579" i="4"/>
  <c r="J579" i="4" a="1"/>
  <c r="J579" i="4" s="1"/>
  <c r="K578" i="4"/>
  <c r="J578" i="4" a="1"/>
  <c r="J578" i="4" s="1"/>
  <c r="K577" i="4"/>
  <c r="J577" i="4" a="1"/>
  <c r="J577" i="4" s="1"/>
  <c r="K576" i="4"/>
  <c r="J576" i="4" a="1"/>
  <c r="J576" i="4" s="1"/>
  <c r="K575" i="4"/>
  <c r="J575" i="4" a="1"/>
  <c r="J575" i="4"/>
  <c r="K574" i="4"/>
  <c r="J574" i="4" a="1"/>
  <c r="J574" i="4" s="1"/>
  <c r="K573" i="4"/>
  <c r="J573" i="4" a="1"/>
  <c r="J573" i="4"/>
  <c r="K572" i="4"/>
  <c r="J572" i="4" a="1"/>
  <c r="J572" i="4" s="1"/>
  <c r="K571" i="4"/>
  <c r="J571" i="4" a="1"/>
  <c r="J571" i="4" s="1"/>
  <c r="K570" i="4"/>
  <c r="J570" i="4" a="1"/>
  <c r="J570" i="4" s="1"/>
  <c r="K569" i="4"/>
  <c r="J569" i="4" a="1"/>
  <c r="J569" i="4"/>
  <c r="K568" i="4"/>
  <c r="J568" i="4" a="1"/>
  <c r="J568" i="4" s="1"/>
  <c r="K567" i="4"/>
  <c r="J567" i="4" a="1"/>
  <c r="J567" i="4"/>
  <c r="K566" i="4"/>
  <c r="J566" i="4" a="1"/>
  <c r="J566" i="4" s="1"/>
  <c r="K565" i="4"/>
  <c r="J565" i="4" a="1"/>
  <c r="J565" i="4" s="1"/>
  <c r="K564" i="4"/>
  <c r="J564" i="4" a="1"/>
  <c r="J564" i="4" s="1"/>
  <c r="K563" i="4"/>
  <c r="J563" i="4" a="1"/>
  <c r="J563" i="4" s="1"/>
  <c r="K562" i="4"/>
  <c r="J562" i="4" a="1"/>
  <c r="J562" i="4" s="1"/>
  <c r="K561" i="4"/>
  <c r="J561" i="4" a="1"/>
  <c r="J561" i="4"/>
  <c r="K560" i="4"/>
  <c r="J560" i="4" a="1"/>
  <c r="J560" i="4"/>
  <c r="K559" i="4"/>
  <c r="J559" i="4" a="1"/>
  <c r="J559" i="4" s="1"/>
  <c r="K558" i="4"/>
  <c r="J558" i="4" a="1"/>
  <c r="J558" i="4" s="1"/>
  <c r="K557" i="4"/>
  <c r="J557" i="4" a="1"/>
  <c r="J557" i="4" s="1"/>
  <c r="K556" i="4"/>
  <c r="J556" i="4" a="1"/>
  <c r="J556" i="4"/>
  <c r="K555" i="4"/>
  <c r="J555" i="4" a="1"/>
  <c r="J555" i="4" s="1"/>
  <c r="K554" i="4"/>
  <c r="J554" i="4" a="1"/>
  <c r="J554" i="4" s="1"/>
  <c r="K553" i="4"/>
  <c r="J553" i="4" a="1"/>
  <c r="J553" i="4"/>
  <c r="K552" i="4"/>
  <c r="J552" i="4" a="1"/>
  <c r="J552" i="4" s="1"/>
  <c r="K551" i="4"/>
  <c r="J551" i="4" a="1"/>
  <c r="J551" i="4" s="1"/>
  <c r="K550" i="4"/>
  <c r="J550" i="4" a="1"/>
  <c r="J550" i="4" s="1"/>
  <c r="K549" i="4"/>
  <c r="J549" i="4" a="1"/>
  <c r="J549" i="4" s="1"/>
  <c r="K548" i="4"/>
  <c r="J548" i="4" a="1"/>
  <c r="J548" i="4"/>
  <c r="K547" i="4"/>
  <c r="J547" i="4" a="1"/>
  <c r="J547" i="4"/>
  <c r="K546" i="4"/>
  <c r="J546" i="4" a="1"/>
  <c r="J546" i="4" s="1"/>
  <c r="K545" i="4"/>
  <c r="J545" i="4" a="1"/>
  <c r="J545" i="4"/>
  <c r="K544" i="4"/>
  <c r="J544" i="4" a="1"/>
  <c r="J544" i="4" s="1"/>
  <c r="K543" i="4"/>
  <c r="J543" i="4" a="1"/>
  <c r="J543" i="4"/>
  <c r="K542" i="4"/>
  <c r="J542" i="4" a="1"/>
  <c r="J542" i="4" s="1"/>
  <c r="K541" i="4"/>
  <c r="J541" i="4" a="1"/>
  <c r="J541" i="4" s="1"/>
  <c r="K540" i="4"/>
  <c r="J540" i="4" a="1"/>
  <c r="J540" i="4"/>
  <c r="K539" i="4"/>
  <c r="J539" i="4" a="1"/>
  <c r="J539" i="4" s="1"/>
  <c r="K538" i="4"/>
  <c r="J538" i="4" a="1"/>
  <c r="J538" i="4" s="1"/>
  <c r="K537" i="4"/>
  <c r="J537" i="4" a="1"/>
  <c r="J537" i="4" s="1"/>
  <c r="K536" i="4"/>
  <c r="J536" i="4" a="1"/>
  <c r="J536" i="4" s="1"/>
  <c r="K535" i="4"/>
  <c r="J535" i="4" a="1"/>
  <c r="J535" i="4"/>
  <c r="K534" i="4"/>
  <c r="J534" i="4" a="1"/>
  <c r="J534" i="4" s="1"/>
  <c r="K533" i="4"/>
  <c r="J533" i="4" a="1"/>
  <c r="J533" i="4" s="1"/>
  <c r="K532" i="4"/>
  <c r="J532" i="4" a="1"/>
  <c r="J532" i="4"/>
  <c r="K531" i="4"/>
  <c r="J531" i="4" a="1"/>
  <c r="J531" i="4" s="1"/>
  <c r="K530" i="4"/>
  <c r="J530" i="4" a="1"/>
  <c r="J530" i="4" s="1"/>
  <c r="K529" i="4"/>
  <c r="J529" i="4" a="1"/>
  <c r="J529" i="4" s="1"/>
  <c r="K528" i="4"/>
  <c r="J528" i="4" a="1"/>
  <c r="J528" i="4" s="1"/>
  <c r="K527" i="4"/>
  <c r="J527" i="4" a="1"/>
  <c r="J527" i="4"/>
  <c r="K526" i="4"/>
  <c r="J526" i="4" a="1"/>
  <c r="J526" i="4" s="1"/>
  <c r="K525" i="4"/>
  <c r="J525" i="4" a="1"/>
  <c r="J525" i="4"/>
  <c r="K524" i="4"/>
  <c r="J524" i="4" a="1"/>
  <c r="J524" i="4" s="1"/>
  <c r="K523" i="4"/>
  <c r="J523" i="4" a="1"/>
  <c r="J523" i="4" s="1"/>
  <c r="K522" i="4"/>
  <c r="J522" i="4" a="1"/>
  <c r="J522" i="4" s="1"/>
  <c r="K521" i="4"/>
  <c r="J521" i="4" a="1"/>
  <c r="J521" i="4"/>
  <c r="K520" i="4"/>
  <c r="J520" i="4" a="1"/>
  <c r="J520" i="4" s="1"/>
  <c r="K519" i="4"/>
  <c r="J519" i="4" a="1"/>
  <c r="J519" i="4"/>
  <c r="K518" i="4"/>
  <c r="J518" i="4" a="1"/>
  <c r="J518" i="4" s="1"/>
  <c r="K517" i="4"/>
  <c r="J517" i="4" a="1"/>
  <c r="J517" i="4" s="1"/>
  <c r="K516" i="4"/>
  <c r="J516" i="4" a="1"/>
  <c r="J516" i="4" s="1"/>
  <c r="K515" i="4"/>
  <c r="J515" i="4" a="1"/>
  <c r="J515" i="4" s="1"/>
  <c r="K514" i="4"/>
  <c r="J514" i="4" a="1"/>
  <c r="J514" i="4" s="1"/>
  <c r="K513" i="4"/>
  <c r="J513" i="4" a="1"/>
  <c r="J513" i="4"/>
  <c r="K512" i="4"/>
  <c r="J512" i="4" a="1"/>
  <c r="J512" i="4"/>
  <c r="K511" i="4"/>
  <c r="J511" i="4" a="1"/>
  <c r="J511" i="4" s="1"/>
  <c r="K510" i="4"/>
  <c r="J510" i="4" a="1"/>
  <c r="J510" i="4" s="1"/>
  <c r="K509" i="4"/>
  <c r="J509" i="4" a="1"/>
  <c r="J509" i="4" s="1"/>
  <c r="K508" i="4"/>
  <c r="J508" i="4" a="1"/>
  <c r="J508" i="4"/>
  <c r="K507" i="4"/>
  <c r="J507" i="4" a="1"/>
  <c r="J507" i="4" s="1"/>
  <c r="K506" i="4"/>
  <c r="J506" i="4" a="1"/>
  <c r="J506" i="4" s="1"/>
  <c r="K505" i="4"/>
  <c r="J505" i="4" a="1"/>
  <c r="J505" i="4"/>
  <c r="K504" i="4"/>
  <c r="J504" i="4" a="1"/>
  <c r="J504" i="4" s="1"/>
  <c r="K503" i="4"/>
  <c r="J503" i="4" a="1"/>
  <c r="J503" i="4" s="1"/>
  <c r="K502" i="4"/>
  <c r="J502" i="4" a="1"/>
  <c r="J502" i="4" s="1"/>
  <c r="K501" i="4"/>
  <c r="J501" i="4" a="1"/>
  <c r="J501" i="4" s="1"/>
  <c r="K500" i="4"/>
  <c r="J500" i="4" a="1"/>
  <c r="J500" i="4"/>
  <c r="K499" i="4"/>
  <c r="J499" i="4" a="1"/>
  <c r="J499" i="4"/>
  <c r="K498" i="4"/>
  <c r="J498" i="4" a="1"/>
  <c r="J498" i="4" s="1"/>
  <c r="K497" i="4"/>
  <c r="J497" i="4" a="1"/>
  <c r="J497" i="4"/>
  <c r="K496" i="4"/>
  <c r="J496" i="4" a="1"/>
  <c r="J496" i="4" s="1"/>
  <c r="K495" i="4"/>
  <c r="J495" i="4" a="1"/>
  <c r="J495" i="4"/>
  <c r="K494" i="4"/>
  <c r="J494" i="4" a="1"/>
  <c r="J494" i="4" s="1"/>
  <c r="K493" i="4"/>
  <c r="J493" i="4" a="1"/>
  <c r="J493" i="4" s="1"/>
  <c r="K492" i="4"/>
  <c r="J492" i="4" a="1"/>
  <c r="J492" i="4"/>
  <c r="K491" i="4"/>
  <c r="J491" i="4" a="1"/>
  <c r="J491" i="4" s="1"/>
  <c r="K490" i="4"/>
  <c r="J490" i="4" a="1"/>
  <c r="J490" i="4" s="1"/>
  <c r="K489" i="4"/>
  <c r="J489" i="4" a="1"/>
  <c r="J489" i="4" s="1"/>
  <c r="K488" i="4"/>
  <c r="J488" i="4" a="1"/>
  <c r="J488" i="4" s="1"/>
  <c r="K487" i="4"/>
  <c r="J487" i="4" a="1"/>
  <c r="J487" i="4"/>
  <c r="K486" i="4"/>
  <c r="J486" i="4" a="1"/>
  <c r="J486" i="4" s="1"/>
  <c r="K485" i="4"/>
  <c r="J485" i="4" a="1"/>
  <c r="J485" i="4" s="1"/>
  <c r="K484" i="4"/>
  <c r="J484" i="4" a="1"/>
  <c r="J484" i="4"/>
  <c r="K483" i="4"/>
  <c r="J483" i="4" a="1"/>
  <c r="J483" i="4" s="1"/>
  <c r="K482" i="4"/>
  <c r="J482" i="4" a="1"/>
  <c r="J482" i="4" s="1"/>
  <c r="K481" i="4"/>
  <c r="J481" i="4" a="1"/>
  <c r="J481" i="4" s="1"/>
  <c r="K480" i="4"/>
  <c r="J480" i="4" a="1"/>
  <c r="J480" i="4" s="1"/>
  <c r="K479" i="4"/>
  <c r="J479" i="4" a="1"/>
  <c r="J479" i="4"/>
  <c r="K478" i="4"/>
  <c r="J478" i="4" a="1"/>
  <c r="J478" i="4" s="1"/>
  <c r="K477" i="4"/>
  <c r="J477" i="4" a="1"/>
  <c r="J477" i="4"/>
  <c r="K476" i="4"/>
  <c r="J476" i="4" a="1"/>
  <c r="J476" i="4" s="1"/>
  <c r="K475" i="4"/>
  <c r="J475" i="4" a="1"/>
  <c r="J475" i="4" s="1"/>
  <c r="K474" i="4"/>
  <c r="J474" i="4" a="1"/>
  <c r="J474" i="4" s="1"/>
  <c r="K473" i="4"/>
  <c r="J473" i="4" a="1"/>
  <c r="J473" i="4"/>
  <c r="K472" i="4"/>
  <c r="J472" i="4" a="1"/>
  <c r="J472" i="4" s="1"/>
  <c r="K471" i="4"/>
  <c r="J471" i="4" a="1"/>
  <c r="J471" i="4"/>
  <c r="K470" i="4"/>
  <c r="J470" i="4" a="1"/>
  <c r="J470" i="4" s="1"/>
  <c r="K469" i="4"/>
  <c r="J469" i="4" a="1"/>
  <c r="J469" i="4" s="1"/>
  <c r="K468" i="4"/>
  <c r="J468" i="4" a="1"/>
  <c r="J468" i="4" s="1"/>
  <c r="K467" i="4"/>
  <c r="J467" i="4" a="1"/>
  <c r="J467" i="4" s="1"/>
  <c r="K466" i="4"/>
  <c r="J466" i="4" a="1"/>
  <c r="J466" i="4" s="1"/>
  <c r="K465" i="4"/>
  <c r="J465" i="4" a="1"/>
  <c r="J465" i="4"/>
  <c r="K464" i="4"/>
  <c r="J464" i="4" a="1"/>
  <c r="J464" i="4"/>
  <c r="K463" i="4"/>
  <c r="J463" i="4" a="1"/>
  <c r="J463" i="4" s="1"/>
  <c r="K462" i="4"/>
  <c r="J462" i="4" a="1"/>
  <c r="J462" i="4" s="1"/>
  <c r="K461" i="4"/>
  <c r="J461" i="4" a="1"/>
  <c r="J461" i="4" s="1"/>
  <c r="K460" i="4"/>
  <c r="J460" i="4" a="1"/>
  <c r="J460" i="4"/>
  <c r="K459" i="4"/>
  <c r="J459" i="4" a="1"/>
  <c r="J459" i="4" s="1"/>
  <c r="K458" i="4"/>
  <c r="J458" i="4" a="1"/>
  <c r="J458" i="4" s="1"/>
  <c r="K457" i="4"/>
  <c r="J457" i="4" a="1"/>
  <c r="J457" i="4"/>
  <c r="K456" i="4"/>
  <c r="J456" i="4" a="1"/>
  <c r="J456" i="4" s="1"/>
  <c r="K455" i="4"/>
  <c r="J455" i="4" a="1"/>
  <c r="J455" i="4" s="1"/>
  <c r="K454" i="4"/>
  <c r="J454" i="4" a="1"/>
  <c r="J454" i="4" s="1"/>
  <c r="K453" i="4"/>
  <c r="J453" i="4" a="1"/>
  <c r="J453" i="4" s="1"/>
  <c r="K452" i="4"/>
  <c r="J452" i="4" a="1"/>
  <c r="J452" i="4"/>
  <c r="K451" i="4"/>
  <c r="J451" i="4" a="1"/>
  <c r="J451" i="4"/>
  <c r="K450" i="4"/>
  <c r="J450" i="4" a="1"/>
  <c r="J450" i="4" s="1"/>
  <c r="K449" i="4"/>
  <c r="J449" i="4" a="1"/>
  <c r="J449" i="4"/>
  <c r="K448" i="4"/>
  <c r="J448" i="4" a="1"/>
  <c r="J448" i="4" s="1"/>
  <c r="K447" i="4"/>
  <c r="J447" i="4" a="1"/>
  <c r="J447" i="4"/>
  <c r="K446" i="4"/>
  <c r="J446" i="4" a="1"/>
  <c r="J446" i="4" s="1"/>
  <c r="K445" i="4"/>
  <c r="J445" i="4" a="1"/>
  <c r="J445" i="4" s="1"/>
  <c r="K444" i="4"/>
  <c r="J444" i="4" a="1"/>
  <c r="J444" i="4"/>
  <c r="K443" i="4"/>
  <c r="J443" i="4" a="1"/>
  <c r="J443" i="4" s="1"/>
  <c r="K442" i="4"/>
  <c r="J442" i="4" a="1"/>
  <c r="J442" i="4" s="1"/>
  <c r="K441" i="4"/>
  <c r="J441" i="4" a="1"/>
  <c r="J441" i="4" s="1"/>
  <c r="K440" i="4"/>
  <c r="J440" i="4" a="1"/>
  <c r="J440" i="4" s="1"/>
  <c r="K439" i="4"/>
  <c r="J439" i="4" a="1"/>
  <c r="J439" i="4"/>
  <c r="K438" i="4"/>
  <c r="J438" i="4" a="1"/>
  <c r="J438" i="4" s="1"/>
  <c r="K437" i="4"/>
  <c r="J437" i="4" a="1"/>
  <c r="J437" i="4" s="1"/>
  <c r="K436" i="4"/>
  <c r="J436" i="4" a="1"/>
  <c r="J436" i="4"/>
  <c r="K435" i="4"/>
  <c r="J435" i="4" a="1"/>
  <c r="J435" i="4" s="1"/>
  <c r="K434" i="4"/>
  <c r="J434" i="4" a="1"/>
  <c r="J434" i="4" s="1"/>
  <c r="K433" i="4"/>
  <c r="J433" i="4" a="1"/>
  <c r="J433" i="4" s="1"/>
  <c r="K432" i="4"/>
  <c r="J432" i="4" a="1"/>
  <c r="J432" i="4" s="1"/>
  <c r="K431" i="4"/>
  <c r="J431" i="4" a="1"/>
  <c r="J431" i="4"/>
  <c r="K430" i="4"/>
  <c r="J430" i="4" a="1"/>
  <c r="J430" i="4" s="1"/>
  <c r="K429" i="4"/>
  <c r="J429" i="4" a="1"/>
  <c r="J429" i="4"/>
  <c r="K428" i="4"/>
  <c r="J428" i="4" a="1"/>
  <c r="J428" i="4" s="1"/>
  <c r="K427" i="4"/>
  <c r="J427" i="4" a="1"/>
  <c r="J427" i="4" s="1"/>
  <c r="K426" i="4"/>
  <c r="J426" i="4" a="1"/>
  <c r="J426" i="4" s="1"/>
  <c r="K425" i="4"/>
  <c r="J425" i="4" a="1"/>
  <c r="J425" i="4"/>
  <c r="K424" i="4"/>
  <c r="J424" i="4" a="1"/>
  <c r="J424" i="4" s="1"/>
  <c r="K423" i="4"/>
  <c r="J423" i="4" a="1"/>
  <c r="J423" i="4"/>
  <c r="K422" i="4"/>
  <c r="J422" i="4" a="1"/>
  <c r="J422" i="4" s="1"/>
  <c r="K421" i="4"/>
  <c r="J421" i="4" a="1"/>
  <c r="J421" i="4" s="1"/>
  <c r="K420" i="4"/>
  <c r="J420" i="4" a="1"/>
  <c r="J420" i="4" s="1"/>
  <c r="K419" i="4"/>
  <c r="J419" i="4" a="1"/>
  <c r="J419" i="4" s="1"/>
  <c r="K418" i="4"/>
  <c r="J418" i="4" a="1"/>
  <c r="J418" i="4" s="1"/>
  <c r="K417" i="4"/>
  <c r="J417" i="4" a="1"/>
  <c r="J417" i="4"/>
  <c r="K416" i="4"/>
  <c r="J416" i="4" a="1"/>
  <c r="J416" i="4"/>
  <c r="K415" i="4"/>
  <c r="J415" i="4" a="1"/>
  <c r="J415" i="4" s="1"/>
  <c r="K414" i="4"/>
  <c r="J414" i="4" a="1"/>
  <c r="J414" i="4" s="1"/>
  <c r="K413" i="4"/>
  <c r="J413" i="4" a="1"/>
  <c r="J413" i="4" s="1"/>
  <c r="K412" i="4"/>
  <c r="J412" i="4" a="1"/>
  <c r="J412" i="4"/>
  <c r="K411" i="4"/>
  <c r="J411" i="4" a="1"/>
  <c r="J411" i="4" s="1"/>
  <c r="K410" i="4"/>
  <c r="J410" i="4" a="1"/>
  <c r="J410" i="4" s="1"/>
  <c r="K409" i="4"/>
  <c r="J409" i="4" a="1"/>
  <c r="J409" i="4"/>
  <c r="K408" i="4"/>
  <c r="J408" i="4" a="1"/>
  <c r="J408" i="4" s="1"/>
  <c r="K407" i="4"/>
  <c r="J407" i="4" a="1"/>
  <c r="J407" i="4" s="1"/>
  <c r="K406" i="4"/>
  <c r="J406" i="4" a="1"/>
  <c r="J406" i="4" s="1"/>
  <c r="K405" i="4"/>
  <c r="J405" i="4" a="1"/>
  <c r="J405" i="4" s="1"/>
  <c r="K404" i="4"/>
  <c r="J404" i="4" a="1"/>
  <c r="J404" i="4"/>
  <c r="K403" i="4"/>
  <c r="J403" i="4" a="1"/>
  <c r="J403" i="4"/>
  <c r="K402" i="4"/>
  <c r="J402" i="4" a="1"/>
  <c r="J402" i="4" s="1"/>
  <c r="K401" i="4"/>
  <c r="J401" i="4" a="1"/>
  <c r="J401" i="4"/>
  <c r="K400" i="4"/>
  <c r="J400" i="4" a="1"/>
  <c r="J400" i="4" s="1"/>
  <c r="K399" i="4"/>
  <c r="J399" i="4" a="1"/>
  <c r="J399" i="4"/>
  <c r="K398" i="4"/>
  <c r="J398" i="4" a="1"/>
  <c r="J398" i="4" s="1"/>
  <c r="K397" i="4"/>
  <c r="J397" i="4" a="1"/>
  <c r="J397" i="4" s="1"/>
  <c r="K396" i="4"/>
  <c r="J396" i="4" a="1"/>
  <c r="J396" i="4"/>
  <c r="K395" i="4"/>
  <c r="J395" i="4" a="1"/>
  <c r="J395" i="4" s="1"/>
  <c r="K394" i="4"/>
  <c r="J394" i="4" a="1"/>
  <c r="J394" i="4" s="1"/>
  <c r="K393" i="4"/>
  <c r="J393" i="4" a="1"/>
  <c r="J393" i="4"/>
  <c r="K392" i="4"/>
  <c r="J392" i="4" a="1"/>
  <c r="J392" i="4" s="1"/>
  <c r="K391" i="4"/>
  <c r="J391" i="4" a="1"/>
  <c r="J391" i="4"/>
  <c r="K390" i="4"/>
  <c r="J390" i="4" a="1"/>
  <c r="J390" i="4" s="1"/>
  <c r="K389" i="4"/>
  <c r="J389" i="4" a="1"/>
  <c r="J389" i="4" s="1"/>
  <c r="K388" i="4"/>
  <c r="J388" i="4" a="1"/>
  <c r="J388" i="4"/>
  <c r="K387" i="4"/>
  <c r="J387" i="4" a="1"/>
  <c r="J387" i="4" s="1"/>
  <c r="K386" i="4"/>
  <c r="J386" i="4" a="1"/>
  <c r="J386" i="4" s="1"/>
  <c r="K385" i="4"/>
  <c r="J385" i="4" a="1"/>
  <c r="J385" i="4" s="1"/>
  <c r="K384" i="4"/>
  <c r="J384" i="4" a="1"/>
  <c r="J384" i="4" s="1"/>
  <c r="K383" i="4"/>
  <c r="J383" i="4" a="1"/>
  <c r="J383" i="4"/>
  <c r="K382" i="4"/>
  <c r="J382" i="4" a="1"/>
  <c r="J382" i="4" s="1"/>
  <c r="K381" i="4"/>
  <c r="J381" i="4" a="1"/>
  <c r="J381" i="4"/>
  <c r="K380" i="4"/>
  <c r="J380" i="4" a="1"/>
  <c r="J380" i="4"/>
  <c r="K379" i="4"/>
  <c r="J379" i="4" a="1"/>
  <c r="J379" i="4" s="1"/>
  <c r="K378" i="4"/>
  <c r="J378" i="4" a="1"/>
  <c r="J378" i="4" s="1"/>
  <c r="K377" i="4"/>
  <c r="J377" i="4" a="1"/>
  <c r="J377" i="4"/>
  <c r="K376" i="4"/>
  <c r="J376" i="4" a="1"/>
  <c r="J376" i="4" s="1"/>
  <c r="K375" i="4"/>
  <c r="J375" i="4" a="1"/>
  <c r="J375" i="4"/>
  <c r="K374" i="4"/>
  <c r="J374" i="4" a="1"/>
  <c r="J374" i="4" s="1"/>
  <c r="K373" i="4"/>
  <c r="J373" i="4" a="1"/>
  <c r="J373" i="4" s="1"/>
  <c r="K372" i="4"/>
  <c r="J372" i="4" a="1"/>
  <c r="J372" i="4" s="1"/>
  <c r="K371" i="4"/>
  <c r="J371" i="4" a="1"/>
  <c r="J371" i="4" s="1"/>
  <c r="K370" i="4"/>
  <c r="J370" i="4" a="1"/>
  <c r="J370" i="4" s="1"/>
  <c r="K369" i="4"/>
  <c r="J369" i="4" a="1"/>
  <c r="J369" i="4"/>
  <c r="K368" i="4"/>
  <c r="J368" i="4" a="1"/>
  <c r="J368" i="4"/>
  <c r="K367" i="4"/>
  <c r="J367" i="4" a="1"/>
  <c r="J367" i="4"/>
  <c r="K366" i="4"/>
  <c r="J366" i="4" a="1"/>
  <c r="J366" i="4" s="1"/>
  <c r="K365" i="4"/>
  <c r="J365" i="4" a="1"/>
  <c r="J365" i="4" s="1"/>
  <c r="K364" i="4"/>
  <c r="J364" i="4" a="1"/>
  <c r="J364" i="4"/>
  <c r="K363" i="4"/>
  <c r="J363" i="4" a="1"/>
  <c r="J363" i="4" s="1"/>
  <c r="K362" i="4"/>
  <c r="J362" i="4" a="1"/>
  <c r="J362" i="4" s="1"/>
  <c r="K361" i="4"/>
  <c r="J361" i="4" a="1"/>
  <c r="J361" i="4"/>
  <c r="K360" i="4"/>
  <c r="J360" i="4" a="1"/>
  <c r="J360" i="4" s="1"/>
  <c r="K359" i="4"/>
  <c r="J359" i="4" a="1"/>
  <c r="J359" i="4" s="1"/>
  <c r="K358" i="4"/>
  <c r="J358" i="4" a="1"/>
  <c r="J358" i="4" s="1"/>
  <c r="K357" i="4"/>
  <c r="J357" i="4" a="1"/>
  <c r="J357" i="4" s="1"/>
  <c r="K356" i="4"/>
  <c r="J356" i="4" a="1"/>
  <c r="J356" i="4"/>
  <c r="K355" i="4"/>
  <c r="J355" i="4" a="1"/>
  <c r="J355" i="4"/>
  <c r="K354" i="4"/>
  <c r="J354" i="4" a="1"/>
  <c r="J354" i="4" s="1"/>
  <c r="K353" i="4"/>
  <c r="J353" i="4" a="1"/>
  <c r="J353" i="4"/>
  <c r="K352" i="4"/>
  <c r="J352" i="4" a="1"/>
  <c r="J352" i="4" s="1"/>
  <c r="K351" i="4"/>
  <c r="J351" i="4" a="1"/>
  <c r="J351" i="4"/>
  <c r="K350" i="4"/>
  <c r="J350" i="4" a="1"/>
  <c r="J350" i="4" s="1"/>
  <c r="K349" i="4"/>
  <c r="J349" i="4" a="1"/>
  <c r="J349" i="4" s="1"/>
  <c r="K348" i="4"/>
  <c r="J348" i="4" a="1"/>
  <c r="J348" i="4"/>
  <c r="K347" i="4"/>
  <c r="J347" i="4" a="1"/>
  <c r="J347" i="4" s="1"/>
  <c r="K346" i="4"/>
  <c r="J346" i="4" a="1"/>
  <c r="J346" i="4" s="1"/>
  <c r="K345" i="4"/>
  <c r="J345" i="4" a="1"/>
  <c r="J345" i="4"/>
  <c r="K344" i="4"/>
  <c r="J344" i="4" a="1"/>
  <c r="J344" i="4" s="1"/>
  <c r="K343" i="4"/>
  <c r="J343" i="4" a="1"/>
  <c r="J343" i="4"/>
  <c r="K342" i="4"/>
  <c r="J342" i="4" a="1"/>
  <c r="J342" i="4" s="1"/>
  <c r="K341" i="4"/>
  <c r="J341" i="4" a="1"/>
  <c r="J341" i="4" s="1"/>
  <c r="K340" i="4"/>
  <c r="J340" i="4" a="1"/>
  <c r="J340" i="4"/>
  <c r="K339" i="4"/>
  <c r="J339" i="4" a="1"/>
  <c r="J339" i="4" s="1"/>
  <c r="K338" i="4"/>
  <c r="J338" i="4" a="1"/>
  <c r="J338" i="4" s="1"/>
  <c r="K337" i="4"/>
  <c r="J337" i="4" a="1"/>
  <c r="J337" i="4" s="1"/>
  <c r="K336" i="4"/>
  <c r="J336" i="4" a="1"/>
  <c r="J336" i="4" s="1"/>
  <c r="K335" i="4"/>
  <c r="J335" i="4" a="1"/>
  <c r="J335" i="4"/>
  <c r="K334" i="4"/>
  <c r="J334" i="4" a="1"/>
  <c r="J334" i="4" s="1"/>
  <c r="K333" i="4"/>
  <c r="J333" i="4" a="1"/>
  <c r="J333" i="4"/>
  <c r="K332" i="4"/>
  <c r="J332" i="4" a="1"/>
  <c r="J332" i="4"/>
  <c r="K331" i="4"/>
  <c r="J331" i="4" a="1"/>
  <c r="J331" i="4" s="1"/>
  <c r="K330" i="4"/>
  <c r="J330" i="4" a="1"/>
  <c r="J330" i="4" s="1"/>
  <c r="K329" i="4"/>
  <c r="J329" i="4" a="1"/>
  <c r="J329" i="4"/>
  <c r="K328" i="4"/>
  <c r="J328" i="4" a="1"/>
  <c r="J328" i="4" s="1"/>
  <c r="K327" i="4"/>
  <c r="J327" i="4" a="1"/>
  <c r="J327" i="4"/>
  <c r="K326" i="4"/>
  <c r="J326" i="4" a="1"/>
  <c r="J326" i="4" s="1"/>
  <c r="K325" i="4"/>
  <c r="J325" i="4" a="1"/>
  <c r="J325" i="4" s="1"/>
  <c r="K324" i="4"/>
  <c r="J324" i="4" a="1"/>
  <c r="J324" i="4" s="1"/>
  <c r="K323" i="4"/>
  <c r="J323" i="4" a="1"/>
  <c r="J323" i="4" s="1"/>
  <c r="K322" i="4"/>
  <c r="J322" i="4" a="1"/>
  <c r="J322" i="4" s="1"/>
  <c r="K321" i="4"/>
  <c r="J321" i="4" a="1"/>
  <c r="J321" i="4"/>
  <c r="K320" i="4"/>
  <c r="J320" i="4" a="1"/>
  <c r="J320" i="4"/>
  <c r="K319" i="4"/>
  <c r="J319" i="4" a="1"/>
  <c r="J319" i="4"/>
  <c r="K318" i="4"/>
  <c r="J318" i="4" a="1"/>
  <c r="J318" i="4" s="1"/>
  <c r="K317" i="4"/>
  <c r="J317" i="4" a="1"/>
  <c r="J317" i="4" s="1"/>
  <c r="K316" i="4"/>
  <c r="J316" i="4" a="1"/>
  <c r="J316" i="4"/>
  <c r="K315" i="4"/>
  <c r="J315" i="4" a="1"/>
  <c r="J315" i="4" s="1"/>
  <c r="K314" i="4"/>
  <c r="J314" i="4" a="1"/>
  <c r="J314" i="4" s="1"/>
  <c r="K313" i="4"/>
  <c r="J313" i="4" a="1"/>
  <c r="J313" i="4"/>
  <c r="K312" i="4"/>
  <c r="J312" i="4" a="1"/>
  <c r="J312" i="4" s="1"/>
  <c r="K311" i="4"/>
  <c r="J311" i="4" a="1"/>
  <c r="J311" i="4" s="1"/>
  <c r="K310" i="4"/>
  <c r="J310" i="4" a="1"/>
  <c r="J310" i="4" s="1"/>
  <c r="K309" i="4"/>
  <c r="J309" i="4" a="1"/>
  <c r="J309" i="4" s="1"/>
  <c r="K308" i="4"/>
  <c r="J308" i="4" a="1"/>
  <c r="J308" i="4"/>
  <c r="K307" i="4"/>
  <c r="J307" i="4" a="1"/>
  <c r="J307" i="4"/>
  <c r="K306" i="4"/>
  <c r="J306" i="4" a="1"/>
  <c r="J306" i="4" s="1"/>
  <c r="K305" i="4"/>
  <c r="J305" i="4" a="1"/>
  <c r="J305" i="4"/>
  <c r="K304" i="4"/>
  <c r="J304" i="4" a="1"/>
  <c r="J304" i="4" s="1"/>
  <c r="K303" i="4"/>
  <c r="J303" i="4" a="1"/>
  <c r="J303" i="4"/>
  <c r="K302" i="4"/>
  <c r="J302" i="4" a="1"/>
  <c r="J302" i="4" s="1"/>
  <c r="K301" i="4"/>
  <c r="J301" i="4" a="1"/>
  <c r="J301" i="4" s="1"/>
  <c r="K300" i="4"/>
  <c r="J300" i="4" a="1"/>
  <c r="J300" i="4"/>
  <c r="K299" i="4"/>
  <c r="J299" i="4" a="1"/>
  <c r="J299" i="4" s="1"/>
  <c r="K298" i="4"/>
  <c r="J298" i="4" a="1"/>
  <c r="J298" i="4" s="1"/>
  <c r="K297" i="4"/>
  <c r="J297" i="4" a="1"/>
  <c r="J297" i="4" s="1"/>
  <c r="K296" i="4"/>
  <c r="J296" i="4" a="1"/>
  <c r="J296" i="4" s="1"/>
  <c r="K295" i="4"/>
  <c r="J295" i="4" a="1"/>
  <c r="J295" i="4"/>
  <c r="K294" i="4"/>
  <c r="J294" i="4" a="1"/>
  <c r="J294" i="4" s="1"/>
  <c r="K293" i="4"/>
  <c r="J293" i="4" a="1"/>
  <c r="J293" i="4" s="1"/>
  <c r="K292" i="4"/>
  <c r="J292" i="4" a="1"/>
  <c r="J292" i="4"/>
  <c r="K291" i="4"/>
  <c r="J291" i="4" a="1"/>
  <c r="J291" i="4" s="1"/>
  <c r="K290" i="4"/>
  <c r="J290" i="4" a="1"/>
  <c r="J290" i="4" s="1"/>
  <c r="K289" i="4"/>
  <c r="J289" i="4" a="1"/>
  <c r="J289" i="4" s="1"/>
  <c r="K288" i="4"/>
  <c r="J288" i="4" a="1"/>
  <c r="J288" i="4" s="1"/>
  <c r="K287" i="4"/>
  <c r="J287" i="4" a="1"/>
  <c r="J287" i="4"/>
  <c r="K286" i="4"/>
  <c r="J286" i="4" a="1"/>
  <c r="J286" i="4" s="1"/>
  <c r="K285" i="4"/>
  <c r="J285" i="4" a="1"/>
  <c r="J285" i="4"/>
  <c r="K284" i="4"/>
  <c r="J284" i="4" a="1"/>
  <c r="J284" i="4" s="1"/>
  <c r="K283" i="4"/>
  <c r="J283" i="4" a="1"/>
  <c r="J283" i="4" s="1"/>
  <c r="K282" i="4"/>
  <c r="J282" i="4" a="1"/>
  <c r="J282" i="4" s="1"/>
  <c r="K281" i="4"/>
  <c r="J281" i="4" a="1"/>
  <c r="J281" i="4"/>
  <c r="K280" i="4"/>
  <c r="J280" i="4" a="1"/>
  <c r="J280" i="4" s="1"/>
  <c r="K279" i="4"/>
  <c r="J279" i="4" a="1"/>
  <c r="J279" i="4"/>
  <c r="K278" i="4"/>
  <c r="J278" i="4" a="1"/>
  <c r="J278" i="4" s="1"/>
  <c r="K277" i="4"/>
  <c r="J277" i="4" a="1"/>
  <c r="J277" i="4" s="1"/>
  <c r="K276" i="4"/>
  <c r="J276" i="4" a="1"/>
  <c r="J276" i="4" s="1"/>
  <c r="K275" i="4"/>
  <c r="J275" i="4" a="1"/>
  <c r="J275" i="4" s="1"/>
  <c r="K274" i="4"/>
  <c r="J274" i="4" a="1"/>
  <c r="J274" i="4" s="1"/>
  <c r="K273" i="4"/>
  <c r="J273" i="4" a="1"/>
  <c r="J273" i="4"/>
  <c r="K272" i="4"/>
  <c r="J272" i="4" a="1"/>
  <c r="J272" i="4"/>
  <c r="K271" i="4"/>
  <c r="J271" i="4" a="1"/>
  <c r="J271" i="4" s="1"/>
  <c r="K270" i="4"/>
  <c r="J270" i="4" a="1"/>
  <c r="J270" i="4" s="1"/>
  <c r="K269" i="4"/>
  <c r="J269" i="4" a="1"/>
  <c r="J269" i="4" s="1"/>
  <c r="K268" i="4"/>
  <c r="J268" i="4" a="1"/>
  <c r="J268" i="4"/>
  <c r="K267" i="4"/>
  <c r="J267" i="4" a="1"/>
  <c r="J267" i="4" s="1"/>
  <c r="K266" i="4"/>
  <c r="J266" i="4" a="1"/>
  <c r="J266" i="4" s="1"/>
  <c r="K265" i="4"/>
  <c r="J265" i="4" a="1"/>
  <c r="J265" i="4"/>
  <c r="K264" i="4"/>
  <c r="J264" i="4" a="1"/>
  <c r="J264" i="4" s="1"/>
  <c r="K263" i="4"/>
  <c r="J263" i="4" a="1"/>
  <c r="J263" i="4" s="1"/>
  <c r="K262" i="4"/>
  <c r="J262" i="4" a="1"/>
  <c r="J262" i="4" s="1"/>
  <c r="K261" i="4"/>
  <c r="J261" i="4" a="1"/>
  <c r="J261" i="4" s="1"/>
  <c r="K260" i="4"/>
  <c r="J260" i="4" a="1"/>
  <c r="J260" i="4"/>
  <c r="K259" i="4"/>
  <c r="J259" i="4" a="1"/>
  <c r="J259" i="4"/>
  <c r="K258" i="4"/>
  <c r="J258" i="4" a="1"/>
  <c r="J258" i="4" s="1"/>
  <c r="K257" i="4"/>
  <c r="J257" i="4" a="1"/>
  <c r="J257" i="4"/>
  <c r="K256" i="4"/>
  <c r="J256" i="4" a="1"/>
  <c r="J256" i="4" s="1"/>
  <c r="K255" i="4"/>
  <c r="J255" i="4" a="1"/>
  <c r="J255" i="4"/>
  <c r="K254" i="4"/>
  <c r="J254" i="4" a="1"/>
  <c r="J254" i="4" s="1"/>
  <c r="K253" i="4"/>
  <c r="J253" i="4" a="1"/>
  <c r="J253" i="4" s="1"/>
  <c r="K252" i="4"/>
  <c r="J252" i="4" a="1"/>
  <c r="J252" i="4"/>
  <c r="K251" i="4"/>
  <c r="J251" i="4" a="1"/>
  <c r="J251" i="4" s="1"/>
  <c r="K250" i="4"/>
  <c r="J250" i="4" a="1"/>
  <c r="J250" i="4" s="1"/>
  <c r="K249" i="4"/>
  <c r="J249" i="4" a="1"/>
  <c r="J249" i="4" s="1"/>
  <c r="K248" i="4"/>
  <c r="J248" i="4" a="1"/>
  <c r="J248" i="4" s="1"/>
  <c r="K247" i="4"/>
  <c r="J247" i="4" a="1"/>
  <c r="J247" i="4"/>
  <c r="K246" i="4"/>
  <c r="J246" i="4" a="1"/>
  <c r="J246" i="4" s="1"/>
  <c r="K245" i="4"/>
  <c r="J245" i="4" a="1"/>
  <c r="J245" i="4" s="1"/>
  <c r="K244" i="4"/>
  <c r="J244" i="4" a="1"/>
  <c r="J244" i="4"/>
  <c r="K243" i="4"/>
  <c r="J243" i="4" a="1"/>
  <c r="J243" i="4" s="1"/>
  <c r="K242" i="4"/>
  <c r="J242" i="4" a="1"/>
  <c r="J242" i="4" s="1"/>
  <c r="K241" i="4"/>
  <c r="J241" i="4" a="1"/>
  <c r="J241" i="4" s="1"/>
  <c r="K240" i="4"/>
  <c r="J240" i="4" a="1"/>
  <c r="J240" i="4" s="1"/>
  <c r="K239" i="4"/>
  <c r="J239" i="4" a="1"/>
  <c r="J239" i="4"/>
  <c r="K238" i="4"/>
  <c r="J238" i="4" a="1"/>
  <c r="J238" i="4" s="1"/>
  <c r="K237" i="4"/>
  <c r="J237" i="4" a="1"/>
  <c r="J237" i="4"/>
  <c r="K236" i="4"/>
  <c r="J236" i="4" a="1"/>
  <c r="J236" i="4" s="1"/>
  <c r="K235" i="4"/>
  <c r="J235" i="4" a="1"/>
  <c r="J235" i="4" s="1"/>
  <c r="K234" i="4"/>
  <c r="J234" i="4" a="1"/>
  <c r="J234" i="4" s="1"/>
  <c r="K233" i="4"/>
  <c r="J233" i="4" a="1"/>
  <c r="J233" i="4"/>
  <c r="K232" i="4"/>
  <c r="J232" i="4" a="1"/>
  <c r="J232" i="4" s="1"/>
  <c r="K231" i="4"/>
  <c r="J231" i="4" a="1"/>
  <c r="J231" i="4"/>
  <c r="K230" i="4"/>
  <c r="J230" i="4" a="1"/>
  <c r="J230" i="4" s="1"/>
  <c r="K229" i="4"/>
  <c r="J229" i="4" a="1"/>
  <c r="J229" i="4" s="1"/>
  <c r="K228" i="4"/>
  <c r="J228" i="4" a="1"/>
  <c r="J228" i="4" s="1"/>
  <c r="K227" i="4"/>
  <c r="J227" i="4" a="1"/>
  <c r="J227" i="4" s="1"/>
  <c r="K226" i="4"/>
  <c r="J226" i="4" a="1"/>
  <c r="J226" i="4" s="1"/>
  <c r="K225" i="4"/>
  <c r="J225" i="4" a="1"/>
  <c r="J225" i="4"/>
  <c r="K224" i="4"/>
  <c r="J224" i="4" a="1"/>
  <c r="J224" i="4"/>
  <c r="K223" i="4"/>
  <c r="J223" i="4" a="1"/>
  <c r="J223" i="4" s="1"/>
  <c r="K222" i="4"/>
  <c r="J222" i="4" a="1"/>
  <c r="J222" i="4" s="1"/>
  <c r="K221" i="4"/>
  <c r="J221" i="4" a="1"/>
  <c r="J221" i="4" s="1"/>
  <c r="K220" i="4"/>
  <c r="J220" i="4" a="1"/>
  <c r="J220" i="4"/>
  <c r="K219" i="4"/>
  <c r="J219" i="4" a="1"/>
  <c r="J219" i="4" s="1"/>
  <c r="K218" i="4"/>
  <c r="J218" i="4" a="1"/>
  <c r="J218" i="4" s="1"/>
  <c r="K217" i="4"/>
  <c r="J217" i="4" a="1"/>
  <c r="J217" i="4"/>
  <c r="K216" i="4"/>
  <c r="J216" i="4" a="1"/>
  <c r="J216" i="4" s="1"/>
  <c r="K215" i="4"/>
  <c r="J215" i="4" a="1"/>
  <c r="J215" i="4" s="1"/>
  <c r="K214" i="4"/>
  <c r="J214" i="4" a="1"/>
  <c r="J214" i="4" s="1"/>
  <c r="K213" i="4"/>
  <c r="J213" i="4" a="1"/>
  <c r="J213" i="4" s="1"/>
  <c r="K212" i="4"/>
  <c r="J212" i="4" a="1"/>
  <c r="J212" i="4"/>
  <c r="K211" i="4"/>
  <c r="J211" i="4" a="1"/>
  <c r="J211" i="4"/>
  <c r="K210" i="4"/>
  <c r="J210" i="4" a="1"/>
  <c r="J210" i="4" s="1"/>
  <c r="K209" i="4"/>
  <c r="J209" i="4" a="1"/>
  <c r="J209" i="4"/>
  <c r="K208" i="4"/>
  <c r="J208" i="4" a="1"/>
  <c r="J208" i="4" s="1"/>
  <c r="K207" i="4"/>
  <c r="J207" i="4" a="1"/>
  <c r="J207" i="4"/>
  <c r="K206" i="4"/>
  <c r="J206" i="4" a="1"/>
  <c r="J206" i="4" s="1"/>
  <c r="K205" i="4"/>
  <c r="J205" i="4" a="1"/>
  <c r="J205" i="4" s="1"/>
  <c r="K204" i="4"/>
  <c r="J204" i="4" a="1"/>
  <c r="J204" i="4"/>
  <c r="K203" i="4"/>
  <c r="J203" i="4" a="1"/>
  <c r="J203" i="4" s="1"/>
  <c r="K202" i="4"/>
  <c r="J202" i="4" a="1"/>
  <c r="J202" i="4" s="1"/>
  <c r="K201" i="4"/>
  <c r="J201" i="4" a="1"/>
  <c r="J201" i="4" s="1"/>
  <c r="K200" i="4"/>
  <c r="J200" i="4" a="1"/>
  <c r="J200" i="4"/>
  <c r="K199" i="4"/>
  <c r="J199" i="4" a="1"/>
  <c r="J199" i="4"/>
  <c r="K198" i="4"/>
  <c r="J198" i="4" a="1"/>
  <c r="J198" i="4" s="1"/>
  <c r="K197" i="4"/>
  <c r="J197" i="4" a="1"/>
  <c r="J197" i="4" s="1"/>
  <c r="K196" i="4"/>
  <c r="J196" i="4" a="1"/>
  <c r="J196" i="4"/>
  <c r="K195" i="4"/>
  <c r="J195" i="4" a="1"/>
  <c r="J195" i="4" s="1"/>
  <c r="K194" i="4"/>
  <c r="J194" i="4" a="1"/>
  <c r="J194" i="4" s="1"/>
  <c r="K193" i="4"/>
  <c r="J193" i="4" a="1"/>
  <c r="J193" i="4" s="1"/>
  <c r="K192" i="4"/>
  <c r="J192" i="4" a="1"/>
  <c r="J192" i="4" s="1"/>
  <c r="K191" i="4"/>
  <c r="J191" i="4" a="1"/>
  <c r="J191" i="4"/>
  <c r="K190" i="4"/>
  <c r="J190" i="4" a="1"/>
  <c r="J190" i="4" s="1"/>
  <c r="K189" i="4"/>
  <c r="J189" i="4" a="1"/>
  <c r="J189" i="4"/>
  <c r="K188" i="4"/>
  <c r="J188" i="4" a="1"/>
  <c r="J188" i="4" s="1"/>
  <c r="K187" i="4"/>
  <c r="J187" i="4" a="1"/>
  <c r="J187" i="4"/>
  <c r="K186" i="4"/>
  <c r="J186" i="4" a="1"/>
  <c r="J186" i="4" s="1"/>
  <c r="K185" i="4"/>
  <c r="J185" i="4" a="1"/>
  <c r="J185" i="4"/>
  <c r="K184" i="4"/>
  <c r="J184" i="4" a="1"/>
  <c r="J184" i="4" s="1"/>
  <c r="K183" i="4"/>
  <c r="J183" i="4" a="1"/>
  <c r="J183" i="4"/>
  <c r="K182" i="4"/>
  <c r="J182" i="4" a="1"/>
  <c r="J182" i="4" s="1"/>
  <c r="K181" i="4"/>
  <c r="J181" i="4" a="1"/>
  <c r="J181" i="4" s="1"/>
  <c r="K180" i="4"/>
  <c r="J180" i="4" a="1"/>
  <c r="J180" i="4" s="1"/>
  <c r="K179" i="4"/>
  <c r="J179" i="4" a="1"/>
  <c r="J179" i="4" s="1"/>
  <c r="K178" i="4"/>
  <c r="J178" i="4" a="1"/>
  <c r="J178" i="4" s="1"/>
  <c r="K177" i="4"/>
  <c r="J177" i="4" a="1"/>
  <c r="J177" i="4"/>
  <c r="K176" i="4"/>
  <c r="J176" i="4" a="1"/>
  <c r="J176" i="4"/>
  <c r="K175" i="4"/>
  <c r="J175" i="4" a="1"/>
  <c r="J175" i="4" s="1"/>
  <c r="K174" i="4"/>
  <c r="J174" i="4" a="1"/>
  <c r="J174" i="4" s="1"/>
  <c r="K173" i="4"/>
  <c r="J173" i="4" a="1"/>
  <c r="J173" i="4" s="1"/>
  <c r="K172" i="4"/>
  <c r="J172" i="4" a="1"/>
  <c r="J172" i="4"/>
  <c r="K171" i="4"/>
  <c r="J171" i="4" a="1"/>
  <c r="J171" i="4" s="1"/>
  <c r="K170" i="4"/>
  <c r="J170" i="4" a="1"/>
  <c r="J170" i="4" s="1"/>
  <c r="K169" i="4"/>
  <c r="J169" i="4" a="1"/>
  <c r="J169" i="4"/>
  <c r="K168" i="4"/>
  <c r="J168" i="4" a="1"/>
  <c r="J168" i="4" s="1"/>
  <c r="K167" i="4"/>
  <c r="J167" i="4" a="1"/>
  <c r="J167" i="4" s="1"/>
  <c r="K166" i="4"/>
  <c r="J166" i="4" a="1"/>
  <c r="J166" i="4" s="1"/>
  <c r="K165" i="4"/>
  <c r="J165" i="4" a="1"/>
  <c r="J165" i="4"/>
  <c r="K164" i="4"/>
  <c r="J164" i="4" a="1"/>
  <c r="J164" i="4"/>
  <c r="K163" i="4"/>
  <c r="J163" i="4" a="1"/>
  <c r="J163" i="4"/>
  <c r="K162" i="4"/>
  <c r="J162" i="4" a="1"/>
  <c r="J162" i="4" s="1"/>
  <c r="K161" i="4"/>
  <c r="J161" i="4" a="1"/>
  <c r="J161" i="4"/>
  <c r="K160" i="4"/>
  <c r="J160" i="4" a="1"/>
  <c r="J160" i="4" s="1"/>
  <c r="K159" i="4"/>
  <c r="J159" i="4" a="1"/>
  <c r="J159" i="4"/>
  <c r="K158" i="4"/>
  <c r="J158" i="4" a="1"/>
  <c r="J158" i="4" s="1"/>
  <c r="K157" i="4"/>
  <c r="J157" i="4" a="1"/>
  <c r="J157" i="4" s="1"/>
  <c r="K156" i="4"/>
  <c r="J156" i="4" a="1"/>
  <c r="J156" i="4"/>
  <c r="K155" i="4"/>
  <c r="J155" i="4" a="1"/>
  <c r="J155" i="4" s="1"/>
  <c r="K154" i="4"/>
  <c r="J154" i="4" a="1"/>
  <c r="J154" i="4" s="1"/>
  <c r="K153" i="4"/>
  <c r="J153" i="4" a="1"/>
  <c r="J153" i="4" s="1"/>
  <c r="K152" i="4"/>
  <c r="J152" i="4" a="1"/>
  <c r="J152" i="4"/>
  <c r="K151" i="4"/>
  <c r="J151" i="4" a="1"/>
  <c r="J151" i="4"/>
  <c r="K150" i="4"/>
  <c r="J150" i="4" a="1"/>
  <c r="J150" i="4" s="1"/>
  <c r="K149" i="4"/>
  <c r="J149" i="4" a="1"/>
  <c r="J149" i="4" s="1"/>
  <c r="K148" i="4"/>
  <c r="J148" i="4" a="1"/>
  <c r="J148" i="4"/>
  <c r="K147" i="4"/>
  <c r="J147" i="4" a="1"/>
  <c r="J147" i="4" s="1"/>
  <c r="K146" i="4"/>
  <c r="J146" i="4" a="1"/>
  <c r="J146" i="4" s="1"/>
  <c r="K145" i="4"/>
  <c r="J145" i="4" a="1"/>
  <c r="J145" i="4" s="1"/>
  <c r="K144" i="4"/>
  <c r="J144" i="4" a="1"/>
  <c r="J144" i="4" s="1"/>
  <c r="K143" i="4"/>
  <c r="J143" i="4" a="1"/>
  <c r="J143" i="4"/>
  <c r="K142" i="4"/>
  <c r="J142" i="4" a="1"/>
  <c r="J142" i="4" s="1"/>
  <c r="K141" i="4"/>
  <c r="J141" i="4" a="1"/>
  <c r="J141" i="4"/>
  <c r="K140" i="4"/>
  <c r="J140" i="4" a="1"/>
  <c r="J140" i="4" s="1"/>
  <c r="K139" i="4"/>
  <c r="J139" i="4" a="1"/>
  <c r="J139" i="4"/>
  <c r="K138" i="4"/>
  <c r="J138" i="4" a="1"/>
  <c r="J138" i="4" s="1"/>
  <c r="K137" i="4"/>
  <c r="J137" i="4" a="1"/>
  <c r="J137" i="4"/>
  <c r="K136" i="4"/>
  <c r="J136" i="4" a="1"/>
  <c r="J136" i="4" s="1"/>
  <c r="K135" i="4"/>
  <c r="J135" i="4" a="1"/>
  <c r="J135" i="4"/>
  <c r="K134" i="4"/>
  <c r="J134" i="4" a="1"/>
  <c r="J134" i="4" s="1"/>
  <c r="K133" i="4"/>
  <c r="J133" i="4" a="1"/>
  <c r="J133" i="4" s="1"/>
  <c r="K132" i="4"/>
  <c r="J132" i="4" a="1"/>
  <c r="J132" i="4" s="1"/>
  <c r="K131" i="4"/>
  <c r="J131" i="4" a="1"/>
  <c r="J131" i="4" s="1"/>
  <c r="K130" i="4"/>
  <c r="J130" i="4" a="1"/>
  <c r="J130" i="4" s="1"/>
  <c r="K129" i="4"/>
  <c r="J129" i="4" a="1"/>
  <c r="J129" i="4"/>
  <c r="K128" i="4"/>
  <c r="J128" i="4" a="1"/>
  <c r="J128" i="4"/>
  <c r="K127" i="4"/>
  <c r="J127" i="4" a="1"/>
  <c r="J127" i="4" s="1"/>
  <c r="K126" i="4"/>
  <c r="J126" i="4" a="1"/>
  <c r="J126" i="4" s="1"/>
  <c r="K125" i="4"/>
  <c r="J125" i="4" a="1"/>
  <c r="J125" i="4" s="1"/>
  <c r="K124" i="4"/>
  <c r="J124" i="4" a="1"/>
  <c r="J124" i="4"/>
  <c r="K123" i="4"/>
  <c r="J123" i="4" a="1"/>
  <c r="J123" i="4" s="1"/>
  <c r="K122" i="4"/>
  <c r="J122" i="4" a="1"/>
  <c r="J122" i="4" s="1"/>
  <c r="K121" i="4"/>
  <c r="J121" i="4" a="1"/>
  <c r="J121" i="4"/>
  <c r="K120" i="4"/>
  <c r="J120" i="4" a="1"/>
  <c r="J120" i="4" s="1"/>
  <c r="K119" i="4"/>
  <c r="J119" i="4" a="1"/>
  <c r="J119" i="4" s="1"/>
  <c r="K118" i="4"/>
  <c r="J118" i="4" a="1"/>
  <c r="J118" i="4" s="1"/>
  <c r="K117" i="4"/>
  <c r="J117" i="4" a="1"/>
  <c r="J117" i="4"/>
  <c r="K116" i="4"/>
  <c r="J116" i="4" a="1"/>
  <c r="J116" i="4"/>
  <c r="K115" i="4"/>
  <c r="J115" i="4" a="1"/>
  <c r="J115" i="4"/>
  <c r="K114" i="4"/>
  <c r="J114" i="4" a="1"/>
  <c r="J114" i="4" s="1"/>
  <c r="K113" i="4"/>
  <c r="J113" i="4" a="1"/>
  <c r="J113" i="4"/>
  <c r="K112" i="4"/>
  <c r="J112" i="4" a="1"/>
  <c r="J112" i="4" s="1"/>
  <c r="K111" i="4"/>
  <c r="J111" i="4" a="1"/>
  <c r="J111" i="4"/>
  <c r="K110" i="4"/>
  <c r="J110" i="4" a="1"/>
  <c r="J110" i="4" s="1"/>
  <c r="K109" i="4"/>
  <c r="J109" i="4" a="1"/>
  <c r="J109" i="4" s="1"/>
  <c r="K108" i="4"/>
  <c r="J108" i="4" a="1"/>
  <c r="J108" i="4"/>
  <c r="K107" i="4"/>
  <c r="J107" i="4" a="1"/>
  <c r="J107" i="4" s="1"/>
  <c r="K106" i="4"/>
  <c r="J106" i="4" a="1"/>
  <c r="J106" i="4" s="1"/>
  <c r="K105" i="4"/>
  <c r="J105" i="4" a="1"/>
  <c r="J105" i="4" s="1"/>
  <c r="K104" i="4"/>
  <c r="J104" i="4" a="1"/>
  <c r="J104" i="4"/>
  <c r="K103" i="4"/>
  <c r="J103" i="4" a="1"/>
  <c r="J103" i="4"/>
  <c r="K102" i="4"/>
  <c r="J102" i="4" a="1"/>
  <c r="J102" i="4" s="1"/>
  <c r="K101" i="4"/>
  <c r="J101" i="4" a="1"/>
  <c r="J101" i="4" s="1"/>
  <c r="K100" i="4"/>
  <c r="J100" i="4" a="1"/>
  <c r="J100" i="4"/>
  <c r="K99" i="4"/>
  <c r="J99" i="4" a="1"/>
  <c r="J99" i="4" s="1"/>
  <c r="K98" i="4"/>
  <c r="J98" i="4" a="1"/>
  <c r="J98" i="4" s="1"/>
  <c r="K97" i="4"/>
  <c r="J97" i="4" a="1"/>
  <c r="J97" i="4" s="1"/>
  <c r="K96" i="4"/>
  <c r="J96" i="4" a="1"/>
  <c r="J96" i="4" s="1"/>
  <c r="K95" i="4"/>
  <c r="J95" i="4" a="1"/>
  <c r="J95" i="4"/>
  <c r="K94" i="4"/>
  <c r="J94" i="4" a="1"/>
  <c r="J94" i="4" s="1"/>
  <c r="K93" i="4"/>
  <c r="J93" i="4" a="1"/>
  <c r="J93" i="4" s="1"/>
  <c r="K92" i="4"/>
  <c r="J92" i="4" a="1"/>
  <c r="J92" i="4" s="1"/>
  <c r="K91" i="4"/>
  <c r="J91" i="4" a="1"/>
  <c r="J91" i="4"/>
  <c r="K90" i="4"/>
  <c r="J90" i="4" a="1"/>
  <c r="J90" i="4" s="1"/>
  <c r="K89" i="4"/>
  <c r="J89" i="4" a="1"/>
  <c r="J89" i="4" s="1"/>
  <c r="K88" i="4"/>
  <c r="J88" i="4" a="1"/>
  <c r="J88" i="4" s="1"/>
  <c r="K87" i="4"/>
  <c r="J87" i="4" a="1"/>
  <c r="J87" i="4"/>
  <c r="K86" i="4"/>
  <c r="J86" i="4" a="1"/>
  <c r="J86" i="4" s="1"/>
  <c r="K85" i="4"/>
  <c r="J85" i="4" a="1"/>
  <c r="J85" i="4" s="1"/>
  <c r="K84" i="4"/>
  <c r="J84" i="4" a="1"/>
  <c r="J84" i="4" s="1"/>
  <c r="K83" i="4"/>
  <c r="J83" i="4" a="1"/>
  <c r="J83" i="4"/>
  <c r="K82" i="4"/>
  <c r="J82" i="4" a="1"/>
  <c r="J82" i="4" s="1"/>
  <c r="K81" i="4"/>
  <c r="J81" i="4" a="1"/>
  <c r="J81" i="4" s="1"/>
  <c r="K80" i="4"/>
  <c r="J80" i="4" a="1"/>
  <c r="J80" i="4" s="1"/>
  <c r="K79" i="4"/>
  <c r="J79" i="4" a="1"/>
  <c r="J79" i="4"/>
  <c r="K78" i="4"/>
  <c r="J78" i="4" a="1"/>
  <c r="J78" i="4" s="1"/>
  <c r="K77" i="4"/>
  <c r="J77" i="4" a="1"/>
  <c r="J77" i="4" s="1"/>
  <c r="K76" i="4"/>
  <c r="J76" i="4" a="1"/>
  <c r="J76" i="4" s="1"/>
  <c r="K75" i="4"/>
  <c r="J75" i="4" a="1"/>
  <c r="J75" i="4"/>
  <c r="K74" i="4"/>
  <c r="J74" i="4" a="1"/>
  <c r="J74" i="4" s="1"/>
  <c r="K73" i="4"/>
  <c r="J73" i="4" a="1"/>
  <c r="J73" i="4" s="1"/>
  <c r="K72" i="4"/>
  <c r="J72" i="4" a="1"/>
  <c r="J72" i="4" s="1"/>
  <c r="K71" i="4"/>
  <c r="J71" i="4" a="1"/>
  <c r="J71" i="4"/>
  <c r="K70" i="4"/>
  <c r="J70" i="4" a="1"/>
  <c r="J70" i="4" s="1"/>
  <c r="K69" i="4"/>
  <c r="J69" i="4" a="1"/>
  <c r="J69" i="4" s="1"/>
  <c r="K68" i="4"/>
  <c r="J68" i="4" a="1"/>
  <c r="J68" i="4" s="1"/>
  <c r="K67" i="4"/>
  <c r="J67" i="4" a="1"/>
  <c r="J67" i="4"/>
  <c r="K66" i="4"/>
  <c r="J66" i="4" a="1"/>
  <c r="J66" i="4" s="1"/>
  <c r="K65" i="4"/>
  <c r="J65" i="4" a="1"/>
  <c r="J65" i="4" s="1"/>
  <c r="K64" i="4"/>
  <c r="J64" i="4" a="1"/>
  <c r="J64" i="4" s="1"/>
  <c r="K63" i="4"/>
  <c r="J63" i="4" a="1"/>
  <c r="J63" i="4"/>
  <c r="K62" i="4"/>
  <c r="J62" i="4" a="1"/>
  <c r="J62" i="4" s="1"/>
  <c r="K61" i="4"/>
  <c r="J61" i="4" a="1"/>
  <c r="J61" i="4" s="1"/>
  <c r="K60" i="4"/>
  <c r="J60" i="4" a="1"/>
  <c r="J60" i="4" s="1"/>
  <c r="K59" i="4"/>
  <c r="J59" i="4" a="1"/>
  <c r="J59" i="4"/>
  <c r="K58" i="4"/>
  <c r="J58" i="4" a="1"/>
  <c r="J58" i="4" s="1"/>
  <c r="K57" i="4"/>
  <c r="J57" i="4" a="1"/>
  <c r="J57" i="4" s="1"/>
  <c r="K56" i="4"/>
  <c r="J56" i="4" a="1"/>
  <c r="J56" i="4" s="1"/>
  <c r="K55" i="4"/>
  <c r="J55" i="4" a="1"/>
  <c r="J55" i="4"/>
  <c r="K54" i="4"/>
  <c r="J54" i="4" a="1"/>
  <c r="J54" i="4" s="1"/>
  <c r="K53" i="4"/>
  <c r="J53" i="4" a="1"/>
  <c r="J53" i="4" s="1"/>
  <c r="K52" i="4"/>
  <c r="J52" i="4" a="1"/>
  <c r="J52" i="4" s="1"/>
  <c r="K51" i="4"/>
  <c r="J51" i="4" a="1"/>
  <c r="J51" i="4"/>
  <c r="K50" i="4"/>
  <c r="J50" i="4" a="1"/>
  <c r="J50" i="4" s="1"/>
  <c r="K49" i="4"/>
  <c r="J49" i="4" a="1"/>
  <c r="J49" i="4" s="1"/>
  <c r="K48" i="4"/>
  <c r="J48" i="4" a="1"/>
  <c r="J48" i="4" s="1"/>
  <c r="K47" i="4"/>
  <c r="J47" i="4" a="1"/>
  <c r="J47" i="4"/>
  <c r="K46" i="4"/>
  <c r="J46" i="4" a="1"/>
  <c r="J46" i="4" s="1"/>
  <c r="K45" i="4"/>
  <c r="J45" i="4" a="1"/>
  <c r="J45" i="4" s="1"/>
  <c r="K44" i="4"/>
  <c r="J44" i="4" a="1"/>
  <c r="J44" i="4" s="1"/>
  <c r="K43" i="4"/>
  <c r="J43" i="4" a="1"/>
  <c r="J43" i="4"/>
  <c r="K42" i="4"/>
  <c r="J42" i="4" a="1"/>
  <c r="J42" i="4" s="1"/>
  <c r="K41" i="4"/>
  <c r="J41" i="4" a="1"/>
  <c r="J41" i="4" s="1"/>
  <c r="K40" i="4"/>
  <c r="J40" i="4" a="1"/>
  <c r="J40" i="4" s="1"/>
  <c r="K39" i="4"/>
  <c r="J39" i="4" a="1"/>
  <c r="J39" i="4"/>
  <c r="K38" i="4"/>
  <c r="J38" i="4" a="1"/>
  <c r="J38" i="4" s="1"/>
  <c r="K37" i="4"/>
  <c r="J37" i="4" a="1"/>
  <c r="J37" i="4" s="1"/>
  <c r="K36" i="4"/>
  <c r="J36" i="4" a="1"/>
  <c r="J36" i="4" s="1"/>
  <c r="K35" i="4"/>
  <c r="J35" i="4" a="1"/>
  <c r="J35" i="4"/>
  <c r="K34" i="4"/>
  <c r="J34" i="4" a="1"/>
  <c r="J34" i="4" s="1"/>
  <c r="K33" i="4"/>
  <c r="J33" i="4" a="1"/>
  <c r="J33" i="4" s="1"/>
  <c r="K32" i="4"/>
  <c r="J32" i="4" a="1"/>
  <c r="J32" i="4" s="1"/>
  <c r="K31" i="4"/>
  <c r="J31" i="4" a="1"/>
  <c r="J31" i="4"/>
  <c r="K30" i="4"/>
  <c r="J30" i="4" a="1"/>
  <c r="J30" i="4" s="1"/>
  <c r="K29" i="4"/>
  <c r="J29" i="4" a="1"/>
  <c r="J29" i="4" s="1"/>
  <c r="K28" i="4"/>
  <c r="J28" i="4" a="1"/>
  <c r="J28" i="4" s="1"/>
  <c r="K27" i="4"/>
  <c r="J27" i="4" a="1"/>
  <c r="J27" i="4"/>
  <c r="K26" i="4"/>
  <c r="J26" i="4" a="1"/>
  <c r="J26" i="4" s="1"/>
  <c r="K25" i="4"/>
  <c r="J25" i="4" a="1"/>
  <c r="J25" i="4" s="1"/>
  <c r="K24" i="4"/>
  <c r="J24" i="4" a="1"/>
  <c r="J24" i="4" s="1"/>
  <c r="K23" i="4"/>
  <c r="J23" i="4" a="1"/>
  <c r="J23" i="4"/>
  <c r="K22" i="4"/>
  <c r="J22" i="4" a="1"/>
  <c r="J22" i="4" s="1"/>
  <c r="K21" i="4"/>
  <c r="J21" i="4" a="1"/>
  <c r="J21" i="4" s="1"/>
  <c r="K20" i="4"/>
  <c r="J20" i="4" a="1"/>
  <c r="J20" i="4" s="1"/>
  <c r="K19" i="4"/>
  <c r="J19" i="4" a="1"/>
  <c r="J19" i="4"/>
  <c r="K18" i="4"/>
  <c r="J18" i="4" a="1"/>
  <c r="J18" i="4" s="1"/>
  <c r="K17" i="4"/>
  <c r="J17" i="4" a="1"/>
  <c r="J17" i="4" s="1"/>
  <c r="K16" i="4"/>
  <c r="J16" i="4" a="1"/>
  <c r="J16" i="4" s="1"/>
  <c r="K15" i="4"/>
  <c r="J15" i="4" a="1"/>
  <c r="J15" i="4"/>
  <c r="K14" i="4"/>
  <c r="J14" i="4" a="1"/>
  <c r="J14" i="4" s="1"/>
  <c r="K13" i="4"/>
  <c r="J13" i="4" a="1"/>
  <c r="J13" i="4" s="1"/>
  <c r="K12" i="4"/>
  <c r="J12" i="4" a="1"/>
  <c r="J12" i="4" s="1"/>
  <c r="K11" i="4"/>
  <c r="J11" i="4" a="1"/>
  <c r="J11" i="4"/>
  <c r="K10" i="4"/>
  <c r="J10" i="4" a="1"/>
  <c r="J10" i="4" s="1"/>
  <c r="K9" i="4"/>
  <c r="J9" i="4" a="1"/>
  <c r="J9" i="4" s="1"/>
  <c r="K8" i="4"/>
  <c r="J8" i="4" a="1"/>
  <c r="J8" i="4" s="1"/>
  <c r="K7" i="4"/>
  <c r="J7" i="4" a="1"/>
  <c r="J7" i="4"/>
  <c r="K6" i="4"/>
  <c r="J6" i="4" a="1"/>
  <c r="J6" i="4" s="1"/>
  <c r="K5" i="4"/>
  <c r="J5" i="4" a="1"/>
  <c r="J5" i="4" s="1"/>
  <c r="K4" i="4"/>
  <c r="J4" i="4" a="1"/>
  <c r="J4" i="4" s="1"/>
  <c r="K3" i="4"/>
  <c r="J3" i="4" a="1"/>
  <c r="J3" i="4"/>
  <c r="K2" i="4"/>
  <c r="J2" i="4" a="1"/>
  <c r="J2" i="4" s="1"/>
  <c r="AA614" i="3"/>
  <c r="Z614" i="3"/>
  <c r="AA613" i="3"/>
  <c r="Z613" i="3"/>
  <c r="AA612" i="3"/>
  <c r="Z612" i="3"/>
  <c r="AA611" i="3"/>
  <c r="Z611" i="3"/>
  <c r="AA610" i="3"/>
  <c r="Z610" i="3"/>
  <c r="AA609" i="3"/>
  <c r="X609" i="3"/>
  <c r="W609" i="3"/>
  <c r="U609" i="3"/>
  <c r="Z609" i="3" s="1"/>
  <c r="S609" i="3"/>
  <c r="Q609" i="3"/>
  <c r="P609" i="3"/>
  <c r="M609" i="3"/>
  <c r="L609" i="3"/>
  <c r="K609" i="3"/>
  <c r="J609" i="3"/>
  <c r="I609" i="3"/>
  <c r="H609" i="3"/>
  <c r="G609" i="3"/>
  <c r="F609" i="3"/>
  <c r="E609" i="3"/>
  <c r="D609" i="3"/>
  <c r="C609" i="3"/>
  <c r="B609" i="3"/>
  <c r="A609" i="3"/>
  <c r="AA608" i="3"/>
  <c r="X608" i="3"/>
  <c r="W608" i="3"/>
  <c r="U608" i="3"/>
  <c r="Z608" i="3" s="1"/>
  <c r="S608" i="3"/>
  <c r="Q608" i="3"/>
  <c r="P608" i="3"/>
  <c r="O608" i="3"/>
  <c r="M608" i="3"/>
  <c r="L608" i="3"/>
  <c r="K608" i="3"/>
  <c r="J608" i="3"/>
  <c r="I608" i="3"/>
  <c r="H608" i="3"/>
  <c r="G608" i="3"/>
  <c r="F608" i="3"/>
  <c r="E608" i="3"/>
  <c r="D608" i="3"/>
  <c r="C608" i="3"/>
  <c r="B608" i="3"/>
  <c r="A608" i="3"/>
  <c r="AA607" i="3"/>
  <c r="X607" i="3"/>
  <c r="W607" i="3"/>
  <c r="U607" i="3"/>
  <c r="Z607" i="3" s="1"/>
  <c r="S607" i="3"/>
  <c r="Q607" i="3"/>
  <c r="P607" i="3"/>
  <c r="O607" i="3"/>
  <c r="M607" i="3"/>
  <c r="L607" i="3"/>
  <c r="K607" i="3"/>
  <c r="J607" i="3"/>
  <c r="I607" i="3"/>
  <c r="H607" i="3"/>
  <c r="G607" i="3"/>
  <c r="F607" i="3"/>
  <c r="E607" i="3"/>
  <c r="D607" i="3"/>
  <c r="C607" i="3"/>
  <c r="B607" i="3"/>
  <c r="A607" i="3"/>
  <c r="AA606" i="3"/>
  <c r="X606" i="3"/>
  <c r="W606" i="3"/>
  <c r="U606" i="3"/>
  <c r="Z606" i="3" s="1"/>
  <c r="S606" i="3"/>
  <c r="Q606" i="3"/>
  <c r="P606" i="3"/>
  <c r="O606" i="3"/>
  <c r="M606" i="3"/>
  <c r="L606" i="3"/>
  <c r="K606" i="3"/>
  <c r="J606" i="3"/>
  <c r="I606" i="3"/>
  <c r="H606" i="3"/>
  <c r="G606" i="3"/>
  <c r="F606" i="3"/>
  <c r="E606" i="3"/>
  <c r="D606" i="3"/>
  <c r="C606" i="3"/>
  <c r="B606" i="3"/>
  <c r="A606" i="3"/>
  <c r="AA605" i="3"/>
  <c r="X605" i="3"/>
  <c r="W605" i="3"/>
  <c r="U605" i="3"/>
  <c r="Z605" i="3" s="1"/>
  <c r="S605" i="3"/>
  <c r="Q605" i="3"/>
  <c r="P605" i="3"/>
  <c r="M605" i="3"/>
  <c r="L605" i="3"/>
  <c r="K605" i="3"/>
  <c r="J605" i="3"/>
  <c r="I605" i="3"/>
  <c r="H605" i="3"/>
  <c r="G605" i="3"/>
  <c r="F605" i="3"/>
  <c r="E605" i="3"/>
  <c r="D605" i="3"/>
  <c r="C605" i="3"/>
  <c r="B605" i="3"/>
  <c r="A605" i="3"/>
  <c r="AA604" i="3"/>
  <c r="X604" i="3"/>
  <c r="W604" i="3"/>
  <c r="U604" i="3"/>
  <c r="Z604" i="3" s="1"/>
  <c r="S604" i="3"/>
  <c r="Q604" i="3"/>
  <c r="P604" i="3"/>
  <c r="M604" i="3"/>
  <c r="L604" i="3"/>
  <c r="K604" i="3"/>
  <c r="J604" i="3"/>
  <c r="I604" i="3"/>
  <c r="H604" i="3"/>
  <c r="G604" i="3"/>
  <c r="F604" i="3"/>
  <c r="E604" i="3"/>
  <c r="D604" i="3"/>
  <c r="C604" i="3"/>
  <c r="B604" i="3"/>
  <c r="A604" i="3"/>
  <c r="AA603" i="3"/>
  <c r="X603" i="3"/>
  <c r="W603" i="3"/>
  <c r="U603" i="3"/>
  <c r="Z603" i="3" s="1"/>
  <c r="S603" i="3"/>
  <c r="Q603" i="3"/>
  <c r="P603" i="3"/>
  <c r="M603" i="3"/>
  <c r="L603" i="3"/>
  <c r="K603" i="3"/>
  <c r="J603" i="3"/>
  <c r="I603" i="3"/>
  <c r="H603" i="3"/>
  <c r="G603" i="3"/>
  <c r="F603" i="3"/>
  <c r="E603" i="3"/>
  <c r="D603" i="3"/>
  <c r="C603" i="3"/>
  <c r="B603" i="3"/>
  <c r="A603" i="3"/>
  <c r="AA602" i="3"/>
  <c r="X602" i="3"/>
  <c r="W602" i="3"/>
  <c r="U602" i="3"/>
  <c r="Z602" i="3" s="1"/>
  <c r="S602" i="3"/>
  <c r="Q602" i="3"/>
  <c r="P602" i="3"/>
  <c r="M602" i="3"/>
  <c r="L602" i="3"/>
  <c r="K602" i="3"/>
  <c r="J602" i="3"/>
  <c r="I602" i="3"/>
  <c r="H602" i="3"/>
  <c r="G602" i="3"/>
  <c r="F602" i="3"/>
  <c r="E602" i="3"/>
  <c r="D602" i="3"/>
  <c r="C602" i="3"/>
  <c r="B602" i="3"/>
  <c r="A602" i="3"/>
  <c r="AA601" i="3"/>
  <c r="X601" i="3"/>
  <c r="W601" i="3"/>
  <c r="U601" i="3"/>
  <c r="Z601" i="3" s="1"/>
  <c r="S601" i="3"/>
  <c r="R601" i="3"/>
  <c r="Q601" i="3"/>
  <c r="P601" i="3"/>
  <c r="M601" i="3"/>
  <c r="L601" i="3"/>
  <c r="K601" i="3"/>
  <c r="J601" i="3"/>
  <c r="I601" i="3"/>
  <c r="H601" i="3"/>
  <c r="G601" i="3"/>
  <c r="F601" i="3"/>
  <c r="E601" i="3"/>
  <c r="D601" i="3"/>
  <c r="C601" i="3"/>
  <c r="B601" i="3"/>
  <c r="A601" i="3"/>
  <c r="AA600" i="3"/>
  <c r="X600" i="3"/>
  <c r="W600" i="3"/>
  <c r="U600" i="3"/>
  <c r="Z600" i="3" s="1"/>
  <c r="S600" i="3"/>
  <c r="Q600" i="3"/>
  <c r="P600" i="3"/>
  <c r="O600" i="3"/>
  <c r="M600" i="3"/>
  <c r="L600" i="3"/>
  <c r="K600" i="3"/>
  <c r="J600" i="3"/>
  <c r="I600" i="3"/>
  <c r="H600" i="3"/>
  <c r="G600" i="3"/>
  <c r="F600" i="3"/>
  <c r="E600" i="3"/>
  <c r="D600" i="3"/>
  <c r="C600" i="3"/>
  <c r="B600" i="3"/>
  <c r="A600" i="3"/>
  <c r="AA599" i="3"/>
  <c r="X599" i="3"/>
  <c r="W599" i="3"/>
  <c r="U599" i="3"/>
  <c r="Z599" i="3" s="1"/>
  <c r="S599" i="3"/>
  <c r="R599" i="3"/>
  <c r="Q599" i="3"/>
  <c r="P599" i="3"/>
  <c r="M599" i="3"/>
  <c r="L599" i="3"/>
  <c r="K599" i="3"/>
  <c r="J599" i="3"/>
  <c r="I599" i="3"/>
  <c r="H599" i="3"/>
  <c r="G599" i="3"/>
  <c r="F599" i="3"/>
  <c r="E599" i="3"/>
  <c r="D599" i="3"/>
  <c r="C599" i="3"/>
  <c r="B599" i="3"/>
  <c r="A599" i="3"/>
  <c r="AA598" i="3"/>
  <c r="X598" i="3"/>
  <c r="W598" i="3"/>
  <c r="U598" i="3"/>
  <c r="Z598" i="3" s="1"/>
  <c r="S598" i="3"/>
  <c r="Q598" i="3"/>
  <c r="P598" i="3"/>
  <c r="M598" i="3"/>
  <c r="L598" i="3"/>
  <c r="K598" i="3"/>
  <c r="J598" i="3"/>
  <c r="I598" i="3"/>
  <c r="H598" i="3"/>
  <c r="G598" i="3"/>
  <c r="F598" i="3"/>
  <c r="E598" i="3"/>
  <c r="D598" i="3"/>
  <c r="C598" i="3"/>
  <c r="B598" i="3"/>
  <c r="A598" i="3"/>
  <c r="AA597" i="3"/>
  <c r="X597" i="3"/>
  <c r="W597" i="3"/>
  <c r="U597" i="3"/>
  <c r="Z597" i="3" s="1"/>
  <c r="S597" i="3"/>
  <c r="Q597" i="3"/>
  <c r="P597" i="3"/>
  <c r="M597" i="3"/>
  <c r="L597" i="3"/>
  <c r="K597" i="3"/>
  <c r="J597" i="3"/>
  <c r="I597" i="3"/>
  <c r="H597" i="3"/>
  <c r="G597" i="3"/>
  <c r="F597" i="3"/>
  <c r="E597" i="3"/>
  <c r="D597" i="3"/>
  <c r="C597" i="3"/>
  <c r="B597" i="3"/>
  <c r="A597" i="3"/>
  <c r="AA596" i="3"/>
  <c r="X596" i="3"/>
  <c r="W596" i="3"/>
  <c r="U596" i="3"/>
  <c r="Z596" i="3" s="1"/>
  <c r="S596" i="3"/>
  <c r="Q596" i="3"/>
  <c r="P596" i="3"/>
  <c r="O596" i="3"/>
  <c r="M596" i="3"/>
  <c r="L596" i="3"/>
  <c r="K596" i="3"/>
  <c r="J596" i="3"/>
  <c r="I596" i="3"/>
  <c r="H596" i="3"/>
  <c r="G596" i="3"/>
  <c r="F596" i="3"/>
  <c r="E596" i="3"/>
  <c r="D596" i="3"/>
  <c r="C596" i="3"/>
  <c r="B596" i="3"/>
  <c r="A596" i="3"/>
  <c r="AA595" i="3"/>
  <c r="X595" i="3"/>
  <c r="W595" i="3"/>
  <c r="U595" i="3"/>
  <c r="Z595" i="3" s="1"/>
  <c r="S595" i="3"/>
  <c r="Q595" i="3"/>
  <c r="P595" i="3"/>
  <c r="M595" i="3"/>
  <c r="L595" i="3"/>
  <c r="K595" i="3"/>
  <c r="J595" i="3"/>
  <c r="I595" i="3"/>
  <c r="H595" i="3"/>
  <c r="G595" i="3"/>
  <c r="F595" i="3"/>
  <c r="E595" i="3"/>
  <c r="D595" i="3"/>
  <c r="C595" i="3"/>
  <c r="B595" i="3"/>
  <c r="A595" i="3"/>
  <c r="AA594" i="3"/>
  <c r="X594" i="3"/>
  <c r="W594" i="3"/>
  <c r="U594" i="3"/>
  <c r="Z594" i="3" s="1"/>
  <c r="S594" i="3"/>
  <c r="Q594" i="3"/>
  <c r="P594" i="3"/>
  <c r="O594" i="3"/>
  <c r="M594" i="3"/>
  <c r="L594" i="3"/>
  <c r="K594" i="3"/>
  <c r="J594" i="3"/>
  <c r="I594" i="3"/>
  <c r="H594" i="3"/>
  <c r="G594" i="3"/>
  <c r="F594" i="3"/>
  <c r="E594" i="3"/>
  <c r="D594" i="3"/>
  <c r="C594" i="3"/>
  <c r="B594" i="3"/>
  <c r="A594" i="3"/>
  <c r="AA593" i="3"/>
  <c r="X593" i="3"/>
  <c r="W593" i="3"/>
  <c r="U593" i="3"/>
  <c r="Z593" i="3" s="1"/>
  <c r="S593" i="3"/>
  <c r="Q593" i="3"/>
  <c r="P593" i="3"/>
  <c r="M593" i="3"/>
  <c r="L593" i="3"/>
  <c r="K593" i="3"/>
  <c r="J593" i="3"/>
  <c r="I593" i="3"/>
  <c r="H593" i="3"/>
  <c r="G593" i="3"/>
  <c r="F593" i="3"/>
  <c r="E593" i="3"/>
  <c r="D593" i="3"/>
  <c r="C593" i="3"/>
  <c r="B593" i="3"/>
  <c r="A593" i="3"/>
  <c r="AA592" i="3"/>
  <c r="X592" i="3"/>
  <c r="W592" i="3"/>
  <c r="U592" i="3"/>
  <c r="Z592" i="3" s="1"/>
  <c r="S592" i="3"/>
  <c r="Q592" i="3"/>
  <c r="P592" i="3"/>
  <c r="M592" i="3"/>
  <c r="L592" i="3"/>
  <c r="K592" i="3"/>
  <c r="J592" i="3"/>
  <c r="I592" i="3"/>
  <c r="H592" i="3"/>
  <c r="G592" i="3"/>
  <c r="F592" i="3"/>
  <c r="E592" i="3"/>
  <c r="D592" i="3"/>
  <c r="C592" i="3"/>
  <c r="B592" i="3"/>
  <c r="A592" i="3"/>
  <c r="AA591" i="3"/>
  <c r="X591" i="3"/>
  <c r="W591" i="3"/>
  <c r="U591" i="3"/>
  <c r="Z591" i="3" s="1"/>
  <c r="S591" i="3"/>
  <c r="Q591" i="3"/>
  <c r="P591" i="3"/>
  <c r="M591" i="3"/>
  <c r="L591" i="3"/>
  <c r="K591" i="3"/>
  <c r="J591" i="3"/>
  <c r="I591" i="3"/>
  <c r="H591" i="3"/>
  <c r="G591" i="3"/>
  <c r="F591" i="3"/>
  <c r="E591" i="3"/>
  <c r="D591" i="3"/>
  <c r="C591" i="3"/>
  <c r="B591" i="3"/>
  <c r="A591" i="3"/>
  <c r="AA590" i="3"/>
  <c r="X590" i="3"/>
  <c r="W590" i="3"/>
  <c r="U590" i="3"/>
  <c r="Z590" i="3" s="1"/>
  <c r="S590" i="3"/>
  <c r="Q590" i="3"/>
  <c r="P590" i="3"/>
  <c r="M590" i="3"/>
  <c r="L590" i="3"/>
  <c r="K590" i="3"/>
  <c r="J590" i="3"/>
  <c r="I590" i="3"/>
  <c r="H590" i="3"/>
  <c r="G590" i="3"/>
  <c r="F590" i="3"/>
  <c r="E590" i="3"/>
  <c r="D590" i="3"/>
  <c r="C590" i="3"/>
  <c r="B590" i="3"/>
  <c r="A590" i="3"/>
  <c r="AA589" i="3"/>
  <c r="X589" i="3"/>
  <c r="W589" i="3"/>
  <c r="U589" i="3"/>
  <c r="Z589" i="3" s="1"/>
  <c r="S589" i="3"/>
  <c r="Q589" i="3"/>
  <c r="P589" i="3"/>
  <c r="O589" i="3"/>
  <c r="M589" i="3"/>
  <c r="L589" i="3"/>
  <c r="K589" i="3"/>
  <c r="J589" i="3"/>
  <c r="I589" i="3"/>
  <c r="H589" i="3"/>
  <c r="G589" i="3"/>
  <c r="F589" i="3"/>
  <c r="E589" i="3"/>
  <c r="D589" i="3"/>
  <c r="C589" i="3"/>
  <c r="B589" i="3"/>
  <c r="A589" i="3"/>
  <c r="AA588" i="3"/>
  <c r="X588" i="3"/>
  <c r="W588" i="3"/>
  <c r="U588" i="3"/>
  <c r="Z588" i="3" s="1"/>
  <c r="S588" i="3"/>
  <c r="Q588" i="3"/>
  <c r="P588" i="3"/>
  <c r="M588" i="3"/>
  <c r="L588" i="3"/>
  <c r="K588" i="3"/>
  <c r="J588" i="3"/>
  <c r="I588" i="3"/>
  <c r="H588" i="3"/>
  <c r="G588" i="3"/>
  <c r="F588" i="3"/>
  <c r="E588" i="3"/>
  <c r="D588" i="3"/>
  <c r="C588" i="3"/>
  <c r="B588" i="3"/>
  <c r="A588" i="3"/>
  <c r="AA587" i="3"/>
  <c r="X587" i="3"/>
  <c r="W587" i="3"/>
  <c r="U587" i="3"/>
  <c r="Z587" i="3" s="1"/>
  <c r="S587" i="3"/>
  <c r="Q587" i="3"/>
  <c r="P587" i="3"/>
  <c r="O587" i="3"/>
  <c r="M587" i="3"/>
  <c r="L587" i="3"/>
  <c r="K587" i="3"/>
  <c r="J587" i="3"/>
  <c r="I587" i="3"/>
  <c r="H587" i="3"/>
  <c r="G587" i="3"/>
  <c r="F587" i="3"/>
  <c r="E587" i="3"/>
  <c r="D587" i="3"/>
  <c r="C587" i="3"/>
  <c r="B587" i="3"/>
  <c r="A587" i="3"/>
  <c r="AA586" i="3"/>
  <c r="X586" i="3"/>
  <c r="W586" i="3"/>
  <c r="U586" i="3"/>
  <c r="Z586" i="3" s="1"/>
  <c r="S586" i="3"/>
  <c r="Q586" i="3"/>
  <c r="P586" i="3"/>
  <c r="M586" i="3"/>
  <c r="L586" i="3"/>
  <c r="K586" i="3"/>
  <c r="J586" i="3"/>
  <c r="I586" i="3"/>
  <c r="H586" i="3"/>
  <c r="G586" i="3"/>
  <c r="F586" i="3"/>
  <c r="E586" i="3"/>
  <c r="D586" i="3"/>
  <c r="C586" i="3"/>
  <c r="B586" i="3"/>
  <c r="A586" i="3"/>
  <c r="AA585" i="3"/>
  <c r="X585" i="3"/>
  <c r="W585" i="3"/>
  <c r="U585" i="3"/>
  <c r="Z585" i="3" s="1"/>
  <c r="S585" i="3"/>
  <c r="Q585" i="3"/>
  <c r="P585" i="3"/>
  <c r="M585" i="3"/>
  <c r="L585" i="3"/>
  <c r="K585" i="3"/>
  <c r="J585" i="3"/>
  <c r="I585" i="3"/>
  <c r="H585" i="3"/>
  <c r="G585" i="3"/>
  <c r="F585" i="3"/>
  <c r="E585" i="3"/>
  <c r="D585" i="3"/>
  <c r="C585" i="3"/>
  <c r="B585" i="3"/>
  <c r="A585" i="3"/>
  <c r="AA584" i="3"/>
  <c r="X584" i="3"/>
  <c r="W584" i="3"/>
  <c r="U584" i="3"/>
  <c r="Z584" i="3" s="1"/>
  <c r="S584" i="3"/>
  <c r="Q584" i="3"/>
  <c r="P584" i="3"/>
  <c r="M584" i="3"/>
  <c r="L584" i="3"/>
  <c r="K584" i="3"/>
  <c r="J584" i="3"/>
  <c r="I584" i="3"/>
  <c r="H584" i="3"/>
  <c r="G584" i="3"/>
  <c r="F584" i="3"/>
  <c r="E584" i="3"/>
  <c r="D584" i="3"/>
  <c r="C584" i="3"/>
  <c r="B584" i="3"/>
  <c r="A584" i="3"/>
  <c r="AA583" i="3"/>
  <c r="X583" i="3"/>
  <c r="W583" i="3"/>
  <c r="U583" i="3"/>
  <c r="Z583" i="3" s="1"/>
  <c r="S583" i="3"/>
  <c r="Q583" i="3"/>
  <c r="P583" i="3"/>
  <c r="M583" i="3"/>
  <c r="L583" i="3"/>
  <c r="K583" i="3"/>
  <c r="J583" i="3"/>
  <c r="I583" i="3"/>
  <c r="H583" i="3"/>
  <c r="G583" i="3"/>
  <c r="F583" i="3"/>
  <c r="E583" i="3"/>
  <c r="D583" i="3"/>
  <c r="C583" i="3"/>
  <c r="B583" i="3"/>
  <c r="A583" i="3"/>
  <c r="AA582" i="3"/>
  <c r="X582" i="3"/>
  <c r="W582" i="3"/>
  <c r="U582" i="3"/>
  <c r="Z582" i="3" s="1"/>
  <c r="S582" i="3"/>
  <c r="Q582" i="3"/>
  <c r="P582" i="3"/>
  <c r="M582" i="3"/>
  <c r="L582" i="3"/>
  <c r="K582" i="3"/>
  <c r="J582" i="3"/>
  <c r="I582" i="3"/>
  <c r="H582" i="3"/>
  <c r="G582" i="3"/>
  <c r="F582" i="3"/>
  <c r="E582" i="3"/>
  <c r="D582" i="3"/>
  <c r="C582" i="3"/>
  <c r="B582" i="3"/>
  <c r="A582" i="3"/>
  <c r="AA581" i="3"/>
  <c r="X581" i="3"/>
  <c r="W581" i="3"/>
  <c r="U581" i="3"/>
  <c r="Z581" i="3" s="1"/>
  <c r="S581" i="3"/>
  <c r="Q581" i="3"/>
  <c r="P581" i="3"/>
  <c r="M581" i="3"/>
  <c r="L581" i="3"/>
  <c r="K581" i="3"/>
  <c r="J581" i="3"/>
  <c r="I581" i="3"/>
  <c r="H581" i="3"/>
  <c r="G581" i="3"/>
  <c r="F581" i="3"/>
  <c r="E581" i="3"/>
  <c r="D581" i="3"/>
  <c r="C581" i="3"/>
  <c r="B581" i="3"/>
  <c r="A581" i="3"/>
  <c r="AA580" i="3"/>
  <c r="X580" i="3"/>
  <c r="W580" i="3"/>
  <c r="U580" i="3"/>
  <c r="Z580" i="3" s="1"/>
  <c r="S580" i="3"/>
  <c r="Q580" i="3"/>
  <c r="P580" i="3"/>
  <c r="M580" i="3"/>
  <c r="L580" i="3"/>
  <c r="K580" i="3"/>
  <c r="J580" i="3"/>
  <c r="I580" i="3"/>
  <c r="H580" i="3"/>
  <c r="G580" i="3"/>
  <c r="F580" i="3"/>
  <c r="E580" i="3"/>
  <c r="D580" i="3"/>
  <c r="C580" i="3"/>
  <c r="B580" i="3"/>
  <c r="A580" i="3"/>
  <c r="AA579" i="3"/>
  <c r="X579" i="3"/>
  <c r="W579" i="3"/>
  <c r="U579" i="3"/>
  <c r="Z579" i="3" s="1"/>
  <c r="S579" i="3"/>
  <c r="Q579" i="3"/>
  <c r="P579" i="3"/>
  <c r="M579" i="3"/>
  <c r="L579" i="3"/>
  <c r="K579" i="3"/>
  <c r="J579" i="3"/>
  <c r="I579" i="3"/>
  <c r="H579" i="3"/>
  <c r="G579" i="3"/>
  <c r="F579" i="3"/>
  <c r="E579" i="3"/>
  <c r="D579" i="3"/>
  <c r="C579" i="3"/>
  <c r="B579" i="3"/>
  <c r="A579" i="3"/>
  <c r="AA578" i="3"/>
  <c r="X578" i="3"/>
  <c r="W578" i="3"/>
  <c r="U578" i="3"/>
  <c r="Z578" i="3" s="1"/>
  <c r="S578" i="3"/>
  <c r="Q578" i="3"/>
  <c r="P578" i="3"/>
  <c r="M578" i="3"/>
  <c r="L578" i="3"/>
  <c r="K578" i="3"/>
  <c r="J578" i="3"/>
  <c r="I578" i="3"/>
  <c r="H578" i="3"/>
  <c r="G578" i="3"/>
  <c r="F578" i="3"/>
  <c r="E578" i="3"/>
  <c r="D578" i="3"/>
  <c r="C578" i="3"/>
  <c r="B578" i="3"/>
  <c r="A578" i="3"/>
  <c r="AA577" i="3"/>
  <c r="X577" i="3"/>
  <c r="W577" i="3"/>
  <c r="U577" i="3"/>
  <c r="Z577" i="3" s="1"/>
  <c r="S577" i="3"/>
  <c r="Q577" i="3"/>
  <c r="P577" i="3"/>
  <c r="M577" i="3"/>
  <c r="L577" i="3"/>
  <c r="K577" i="3"/>
  <c r="J577" i="3"/>
  <c r="I577" i="3"/>
  <c r="H577" i="3"/>
  <c r="G577" i="3"/>
  <c r="F577" i="3"/>
  <c r="E577" i="3"/>
  <c r="D577" i="3"/>
  <c r="C577" i="3"/>
  <c r="B577" i="3"/>
  <c r="A577" i="3"/>
  <c r="AA576" i="3"/>
  <c r="X576" i="3"/>
  <c r="W576" i="3"/>
  <c r="U576" i="3"/>
  <c r="Z576" i="3" s="1"/>
  <c r="S576" i="3"/>
  <c r="Q576" i="3"/>
  <c r="P576" i="3"/>
  <c r="M576" i="3"/>
  <c r="L576" i="3"/>
  <c r="K576" i="3"/>
  <c r="J576" i="3"/>
  <c r="I576" i="3"/>
  <c r="H576" i="3"/>
  <c r="G576" i="3"/>
  <c r="F576" i="3"/>
  <c r="E576" i="3"/>
  <c r="D576" i="3"/>
  <c r="C576" i="3"/>
  <c r="B576" i="3"/>
  <c r="A576" i="3"/>
  <c r="AA575" i="3"/>
  <c r="X575" i="3"/>
  <c r="W575" i="3"/>
  <c r="U575" i="3"/>
  <c r="Z575" i="3" s="1"/>
  <c r="S575" i="3"/>
  <c r="Q575" i="3"/>
  <c r="P575" i="3"/>
  <c r="M575" i="3"/>
  <c r="L575" i="3"/>
  <c r="K575" i="3"/>
  <c r="J575" i="3"/>
  <c r="I575" i="3"/>
  <c r="H575" i="3"/>
  <c r="G575" i="3"/>
  <c r="F575" i="3"/>
  <c r="E575" i="3"/>
  <c r="D575" i="3"/>
  <c r="C575" i="3"/>
  <c r="B575" i="3"/>
  <c r="A575" i="3"/>
  <c r="AA574" i="3"/>
  <c r="X574" i="3"/>
  <c r="W574" i="3"/>
  <c r="U574" i="3"/>
  <c r="Z574" i="3" s="1"/>
  <c r="S574" i="3"/>
  <c r="R574" i="3"/>
  <c r="Q574" i="3"/>
  <c r="P574" i="3"/>
  <c r="O574" i="3"/>
  <c r="M574" i="3"/>
  <c r="L574" i="3"/>
  <c r="K574" i="3"/>
  <c r="J574" i="3"/>
  <c r="I574" i="3"/>
  <c r="H574" i="3"/>
  <c r="G574" i="3"/>
  <c r="F574" i="3"/>
  <c r="E574" i="3"/>
  <c r="D574" i="3"/>
  <c r="C574" i="3"/>
  <c r="B574" i="3"/>
  <c r="A574" i="3"/>
  <c r="AA573" i="3"/>
  <c r="X573" i="3"/>
  <c r="W573" i="3"/>
  <c r="U573" i="3"/>
  <c r="Z573" i="3" s="1"/>
  <c r="S573" i="3"/>
  <c r="Q573" i="3"/>
  <c r="P573" i="3"/>
  <c r="M573" i="3"/>
  <c r="L573" i="3"/>
  <c r="K573" i="3"/>
  <c r="J573" i="3"/>
  <c r="I573" i="3"/>
  <c r="H573" i="3"/>
  <c r="G573" i="3"/>
  <c r="F573" i="3"/>
  <c r="E573" i="3"/>
  <c r="D573" i="3"/>
  <c r="C573" i="3"/>
  <c r="B573" i="3"/>
  <c r="A573" i="3"/>
  <c r="AA572" i="3"/>
  <c r="X572" i="3"/>
  <c r="W572" i="3"/>
  <c r="U572" i="3"/>
  <c r="Z572" i="3" s="1"/>
  <c r="S572" i="3"/>
  <c r="Q572" i="3"/>
  <c r="P572" i="3"/>
  <c r="M572" i="3"/>
  <c r="L572" i="3"/>
  <c r="K572" i="3"/>
  <c r="J572" i="3"/>
  <c r="I572" i="3"/>
  <c r="H572" i="3"/>
  <c r="G572" i="3"/>
  <c r="F572" i="3"/>
  <c r="E572" i="3"/>
  <c r="D572" i="3"/>
  <c r="C572" i="3"/>
  <c r="B572" i="3"/>
  <c r="A572" i="3"/>
  <c r="AA571" i="3"/>
  <c r="X571" i="3"/>
  <c r="W571" i="3"/>
  <c r="U571" i="3"/>
  <c r="Z571" i="3" s="1"/>
  <c r="S571" i="3"/>
  <c r="R571" i="3"/>
  <c r="Q571" i="3"/>
  <c r="P571" i="3"/>
  <c r="M571" i="3"/>
  <c r="L571" i="3"/>
  <c r="K571" i="3"/>
  <c r="J571" i="3"/>
  <c r="I571" i="3"/>
  <c r="H571" i="3"/>
  <c r="G571" i="3"/>
  <c r="F571" i="3"/>
  <c r="E571" i="3"/>
  <c r="D571" i="3"/>
  <c r="C571" i="3"/>
  <c r="B571" i="3"/>
  <c r="A571" i="3"/>
  <c r="AA570" i="3"/>
  <c r="X570" i="3"/>
  <c r="W570" i="3"/>
  <c r="U570" i="3"/>
  <c r="Z570" i="3" s="1"/>
  <c r="S570" i="3"/>
  <c r="Q570" i="3"/>
  <c r="P570" i="3"/>
  <c r="M570" i="3"/>
  <c r="L570" i="3"/>
  <c r="K570" i="3"/>
  <c r="J570" i="3"/>
  <c r="I570" i="3"/>
  <c r="H570" i="3"/>
  <c r="G570" i="3"/>
  <c r="F570" i="3"/>
  <c r="E570" i="3"/>
  <c r="D570" i="3"/>
  <c r="C570" i="3"/>
  <c r="B570" i="3"/>
  <c r="A570" i="3"/>
  <c r="AA569" i="3"/>
  <c r="X569" i="3"/>
  <c r="W569" i="3"/>
  <c r="U569" i="3"/>
  <c r="Z569" i="3" s="1"/>
  <c r="S569" i="3"/>
  <c r="R569" i="3"/>
  <c r="Q569" i="3"/>
  <c r="P569" i="3"/>
  <c r="M569" i="3"/>
  <c r="L569" i="3"/>
  <c r="K569" i="3"/>
  <c r="J569" i="3"/>
  <c r="I569" i="3"/>
  <c r="H569" i="3"/>
  <c r="G569" i="3"/>
  <c r="F569" i="3"/>
  <c r="E569" i="3"/>
  <c r="D569" i="3"/>
  <c r="C569" i="3"/>
  <c r="B569" i="3"/>
  <c r="A569" i="3"/>
  <c r="AA568" i="3"/>
  <c r="X568" i="3"/>
  <c r="W568" i="3"/>
  <c r="U568" i="3"/>
  <c r="Z568" i="3" s="1"/>
  <c r="S568" i="3"/>
  <c r="Q568" i="3"/>
  <c r="P568" i="3"/>
  <c r="M568" i="3"/>
  <c r="L568" i="3"/>
  <c r="K568" i="3"/>
  <c r="J568" i="3"/>
  <c r="I568" i="3"/>
  <c r="H568" i="3"/>
  <c r="G568" i="3"/>
  <c r="F568" i="3"/>
  <c r="E568" i="3"/>
  <c r="D568" i="3"/>
  <c r="C568" i="3"/>
  <c r="B568" i="3"/>
  <c r="A568" i="3"/>
  <c r="AA567" i="3"/>
  <c r="X567" i="3"/>
  <c r="W567" i="3"/>
  <c r="U567" i="3"/>
  <c r="Z567" i="3" s="1"/>
  <c r="S567" i="3"/>
  <c r="Q567" i="3"/>
  <c r="P567" i="3"/>
  <c r="M567" i="3"/>
  <c r="L567" i="3"/>
  <c r="K567" i="3"/>
  <c r="J567" i="3"/>
  <c r="I567" i="3"/>
  <c r="H567" i="3"/>
  <c r="G567" i="3"/>
  <c r="F567" i="3"/>
  <c r="E567" i="3"/>
  <c r="D567" i="3"/>
  <c r="C567" i="3"/>
  <c r="B567" i="3"/>
  <c r="A567" i="3"/>
  <c r="AA566" i="3"/>
  <c r="X566" i="3"/>
  <c r="W566" i="3"/>
  <c r="U566" i="3"/>
  <c r="Z566" i="3" s="1"/>
  <c r="S566" i="3"/>
  <c r="Q566" i="3"/>
  <c r="P566" i="3"/>
  <c r="M566" i="3"/>
  <c r="L566" i="3"/>
  <c r="K566" i="3"/>
  <c r="J566" i="3"/>
  <c r="I566" i="3"/>
  <c r="H566" i="3"/>
  <c r="G566" i="3"/>
  <c r="F566" i="3"/>
  <c r="E566" i="3"/>
  <c r="D566" i="3"/>
  <c r="C566" i="3"/>
  <c r="B566" i="3"/>
  <c r="A566" i="3"/>
  <c r="AA565" i="3"/>
  <c r="X565" i="3"/>
  <c r="W565" i="3"/>
  <c r="U565" i="3"/>
  <c r="Z565" i="3" s="1"/>
  <c r="S565" i="3"/>
  <c r="R565" i="3"/>
  <c r="Q565" i="3"/>
  <c r="P565" i="3"/>
  <c r="M565" i="3"/>
  <c r="L565" i="3"/>
  <c r="K565" i="3"/>
  <c r="J565" i="3"/>
  <c r="I565" i="3"/>
  <c r="H565" i="3"/>
  <c r="G565" i="3"/>
  <c r="F565" i="3"/>
  <c r="E565" i="3"/>
  <c r="D565" i="3"/>
  <c r="C565" i="3"/>
  <c r="B565" i="3"/>
  <c r="A565" i="3"/>
  <c r="AA564" i="3"/>
  <c r="X564" i="3"/>
  <c r="W564" i="3"/>
  <c r="U564" i="3"/>
  <c r="Z564" i="3" s="1"/>
  <c r="S564" i="3"/>
  <c r="Q564" i="3"/>
  <c r="P564" i="3"/>
  <c r="M564" i="3"/>
  <c r="L564" i="3"/>
  <c r="K564" i="3"/>
  <c r="J564" i="3"/>
  <c r="I564" i="3"/>
  <c r="H564" i="3"/>
  <c r="G564" i="3"/>
  <c r="F564" i="3"/>
  <c r="E564" i="3"/>
  <c r="D564" i="3"/>
  <c r="C564" i="3"/>
  <c r="B564" i="3"/>
  <c r="A564" i="3"/>
  <c r="AA563" i="3"/>
  <c r="X563" i="3"/>
  <c r="W563" i="3"/>
  <c r="U563" i="3"/>
  <c r="Z563" i="3" s="1"/>
  <c r="S563" i="3"/>
  <c r="Q563" i="3"/>
  <c r="P563" i="3"/>
  <c r="M563" i="3"/>
  <c r="L563" i="3"/>
  <c r="K563" i="3"/>
  <c r="J563" i="3"/>
  <c r="I563" i="3"/>
  <c r="H563" i="3"/>
  <c r="G563" i="3"/>
  <c r="F563" i="3"/>
  <c r="E563" i="3"/>
  <c r="D563" i="3"/>
  <c r="C563" i="3"/>
  <c r="B563" i="3"/>
  <c r="A563" i="3"/>
  <c r="AA562" i="3"/>
  <c r="X562" i="3"/>
  <c r="W562" i="3"/>
  <c r="U562" i="3"/>
  <c r="Z562" i="3" s="1"/>
  <c r="S562" i="3"/>
  <c r="Q562" i="3"/>
  <c r="P562" i="3"/>
  <c r="O562" i="3"/>
  <c r="M562" i="3"/>
  <c r="L562" i="3"/>
  <c r="K562" i="3"/>
  <c r="J562" i="3"/>
  <c r="I562" i="3"/>
  <c r="H562" i="3"/>
  <c r="G562" i="3"/>
  <c r="F562" i="3"/>
  <c r="E562" i="3"/>
  <c r="D562" i="3"/>
  <c r="C562" i="3"/>
  <c r="B562" i="3"/>
  <c r="A562" i="3"/>
  <c r="AA561" i="3"/>
  <c r="X561" i="3"/>
  <c r="W561" i="3"/>
  <c r="U561" i="3"/>
  <c r="Z561" i="3" s="1"/>
  <c r="S561" i="3"/>
  <c r="Q561" i="3"/>
  <c r="P561" i="3"/>
  <c r="O561" i="3"/>
  <c r="M561" i="3"/>
  <c r="L561" i="3"/>
  <c r="K561" i="3"/>
  <c r="J561" i="3"/>
  <c r="I561" i="3"/>
  <c r="H561" i="3"/>
  <c r="G561" i="3"/>
  <c r="F561" i="3"/>
  <c r="E561" i="3"/>
  <c r="D561" i="3"/>
  <c r="C561" i="3"/>
  <c r="B561" i="3"/>
  <c r="A561" i="3"/>
  <c r="AA560" i="3"/>
  <c r="X560" i="3"/>
  <c r="W560" i="3"/>
  <c r="U560" i="3"/>
  <c r="Z560" i="3" s="1"/>
  <c r="S560" i="3"/>
  <c r="Q560" i="3"/>
  <c r="P560" i="3"/>
  <c r="M560" i="3"/>
  <c r="L560" i="3"/>
  <c r="K560" i="3"/>
  <c r="J560" i="3"/>
  <c r="I560" i="3"/>
  <c r="H560" i="3"/>
  <c r="G560" i="3"/>
  <c r="F560" i="3"/>
  <c r="E560" i="3"/>
  <c r="D560" i="3"/>
  <c r="C560" i="3"/>
  <c r="B560" i="3"/>
  <c r="A560" i="3"/>
  <c r="AA559" i="3"/>
  <c r="X559" i="3"/>
  <c r="W559" i="3"/>
  <c r="U559" i="3"/>
  <c r="Z559" i="3" s="1"/>
  <c r="S559" i="3"/>
  <c r="Q559" i="3"/>
  <c r="P559" i="3"/>
  <c r="M559" i="3"/>
  <c r="L559" i="3"/>
  <c r="K559" i="3"/>
  <c r="J559" i="3"/>
  <c r="I559" i="3"/>
  <c r="H559" i="3"/>
  <c r="G559" i="3"/>
  <c r="F559" i="3"/>
  <c r="E559" i="3"/>
  <c r="D559" i="3"/>
  <c r="C559" i="3"/>
  <c r="B559" i="3"/>
  <c r="A559" i="3"/>
  <c r="AA558" i="3"/>
  <c r="X558" i="3"/>
  <c r="W558" i="3"/>
  <c r="U558" i="3"/>
  <c r="Z558" i="3" s="1"/>
  <c r="S558" i="3"/>
  <c r="Q558" i="3"/>
  <c r="P558" i="3"/>
  <c r="O558" i="3"/>
  <c r="M558" i="3"/>
  <c r="L558" i="3"/>
  <c r="K558" i="3"/>
  <c r="J558" i="3"/>
  <c r="I558" i="3"/>
  <c r="H558" i="3"/>
  <c r="G558" i="3"/>
  <c r="F558" i="3"/>
  <c r="E558" i="3"/>
  <c r="D558" i="3"/>
  <c r="C558" i="3"/>
  <c r="B558" i="3"/>
  <c r="A558" i="3"/>
  <c r="AA557" i="3"/>
  <c r="X557" i="3"/>
  <c r="W557" i="3"/>
  <c r="U557" i="3"/>
  <c r="Z557" i="3" s="1"/>
  <c r="S557" i="3"/>
  <c r="Q557" i="3"/>
  <c r="P557" i="3"/>
  <c r="M557" i="3"/>
  <c r="L557" i="3"/>
  <c r="K557" i="3"/>
  <c r="J557" i="3"/>
  <c r="I557" i="3"/>
  <c r="H557" i="3"/>
  <c r="G557" i="3"/>
  <c r="F557" i="3"/>
  <c r="E557" i="3"/>
  <c r="D557" i="3"/>
  <c r="C557" i="3"/>
  <c r="B557" i="3"/>
  <c r="A557" i="3"/>
  <c r="AA556" i="3"/>
  <c r="X556" i="3"/>
  <c r="W556" i="3"/>
  <c r="U556" i="3"/>
  <c r="Z556" i="3" s="1"/>
  <c r="S556" i="3"/>
  <c r="Q556" i="3"/>
  <c r="P556" i="3"/>
  <c r="M556" i="3"/>
  <c r="L556" i="3"/>
  <c r="K556" i="3"/>
  <c r="J556" i="3"/>
  <c r="I556" i="3"/>
  <c r="H556" i="3"/>
  <c r="G556" i="3"/>
  <c r="F556" i="3"/>
  <c r="E556" i="3"/>
  <c r="D556" i="3"/>
  <c r="C556" i="3"/>
  <c r="B556" i="3"/>
  <c r="A556" i="3"/>
  <c r="AA555" i="3"/>
  <c r="X555" i="3"/>
  <c r="W555" i="3"/>
  <c r="U555" i="3"/>
  <c r="Z555" i="3" s="1"/>
  <c r="S555" i="3"/>
  <c r="Q555" i="3"/>
  <c r="P555" i="3"/>
  <c r="O555" i="3"/>
  <c r="M555" i="3"/>
  <c r="L555" i="3"/>
  <c r="K555" i="3"/>
  <c r="J555" i="3"/>
  <c r="I555" i="3"/>
  <c r="H555" i="3"/>
  <c r="G555" i="3"/>
  <c r="F555" i="3"/>
  <c r="E555" i="3"/>
  <c r="D555" i="3"/>
  <c r="C555" i="3"/>
  <c r="B555" i="3"/>
  <c r="A555" i="3"/>
  <c r="AA554" i="3"/>
  <c r="X554" i="3"/>
  <c r="W554" i="3"/>
  <c r="U554" i="3"/>
  <c r="Z554" i="3" s="1"/>
  <c r="S554" i="3"/>
  <c r="Q554" i="3"/>
  <c r="P554" i="3"/>
  <c r="M554" i="3"/>
  <c r="L554" i="3"/>
  <c r="K554" i="3"/>
  <c r="J554" i="3"/>
  <c r="I554" i="3"/>
  <c r="H554" i="3"/>
  <c r="G554" i="3"/>
  <c r="F554" i="3"/>
  <c r="E554" i="3"/>
  <c r="D554" i="3"/>
  <c r="C554" i="3"/>
  <c r="B554" i="3"/>
  <c r="A554" i="3"/>
  <c r="AA553" i="3"/>
  <c r="X553" i="3"/>
  <c r="W553" i="3"/>
  <c r="U553" i="3"/>
  <c r="Z553" i="3" s="1"/>
  <c r="S553" i="3"/>
  <c r="Q553" i="3"/>
  <c r="P553" i="3"/>
  <c r="M553" i="3"/>
  <c r="L553" i="3"/>
  <c r="K553" i="3"/>
  <c r="J553" i="3"/>
  <c r="I553" i="3"/>
  <c r="H553" i="3"/>
  <c r="G553" i="3"/>
  <c r="F553" i="3"/>
  <c r="E553" i="3"/>
  <c r="D553" i="3"/>
  <c r="C553" i="3"/>
  <c r="B553" i="3"/>
  <c r="A553" i="3"/>
  <c r="AA552" i="3"/>
  <c r="X552" i="3"/>
  <c r="W552" i="3"/>
  <c r="U552" i="3"/>
  <c r="Z552" i="3" s="1"/>
  <c r="S552" i="3"/>
  <c r="Q552" i="3"/>
  <c r="P552" i="3"/>
  <c r="O552" i="3"/>
  <c r="M552" i="3"/>
  <c r="L552" i="3"/>
  <c r="K552" i="3"/>
  <c r="J552" i="3"/>
  <c r="I552" i="3"/>
  <c r="H552" i="3"/>
  <c r="G552" i="3"/>
  <c r="F552" i="3"/>
  <c r="E552" i="3"/>
  <c r="D552" i="3"/>
  <c r="C552" i="3"/>
  <c r="B552" i="3"/>
  <c r="A552" i="3"/>
  <c r="AA551" i="3"/>
  <c r="X551" i="3"/>
  <c r="W551" i="3"/>
  <c r="U551" i="3"/>
  <c r="Z551" i="3" s="1"/>
  <c r="S551" i="3"/>
  <c r="Q551" i="3"/>
  <c r="P551" i="3"/>
  <c r="M551" i="3"/>
  <c r="L551" i="3"/>
  <c r="K551" i="3"/>
  <c r="J551" i="3"/>
  <c r="I551" i="3"/>
  <c r="H551" i="3"/>
  <c r="G551" i="3"/>
  <c r="F551" i="3"/>
  <c r="E551" i="3"/>
  <c r="D551" i="3"/>
  <c r="C551" i="3"/>
  <c r="B551" i="3"/>
  <c r="A551" i="3"/>
  <c r="AA550" i="3"/>
  <c r="X550" i="3"/>
  <c r="W550" i="3"/>
  <c r="U550" i="3"/>
  <c r="Z550" i="3" s="1"/>
  <c r="S550" i="3"/>
  <c r="R550" i="3"/>
  <c r="Q550" i="3"/>
  <c r="P550" i="3"/>
  <c r="O550" i="3"/>
  <c r="M550" i="3"/>
  <c r="L550" i="3"/>
  <c r="K550" i="3"/>
  <c r="J550" i="3"/>
  <c r="I550" i="3"/>
  <c r="H550" i="3"/>
  <c r="G550" i="3"/>
  <c r="F550" i="3"/>
  <c r="E550" i="3"/>
  <c r="D550" i="3"/>
  <c r="C550" i="3"/>
  <c r="B550" i="3"/>
  <c r="A550" i="3"/>
  <c r="AA549" i="3"/>
  <c r="X549" i="3"/>
  <c r="W549" i="3"/>
  <c r="U549" i="3"/>
  <c r="Z549" i="3" s="1"/>
  <c r="S549" i="3"/>
  <c r="Q549" i="3"/>
  <c r="P549" i="3"/>
  <c r="O549" i="3"/>
  <c r="M549" i="3"/>
  <c r="L549" i="3"/>
  <c r="K549" i="3"/>
  <c r="J549" i="3"/>
  <c r="I549" i="3"/>
  <c r="H549" i="3"/>
  <c r="G549" i="3"/>
  <c r="F549" i="3"/>
  <c r="E549" i="3"/>
  <c r="D549" i="3"/>
  <c r="C549" i="3"/>
  <c r="B549" i="3"/>
  <c r="A549" i="3"/>
  <c r="AA548" i="3"/>
  <c r="X548" i="3"/>
  <c r="W548" i="3"/>
  <c r="U548" i="3"/>
  <c r="Z548" i="3" s="1"/>
  <c r="S548" i="3"/>
  <c r="R548" i="3"/>
  <c r="Q548" i="3"/>
  <c r="P548" i="3"/>
  <c r="M548" i="3"/>
  <c r="L548" i="3"/>
  <c r="K548" i="3"/>
  <c r="J548" i="3"/>
  <c r="I548" i="3"/>
  <c r="H548" i="3"/>
  <c r="G548" i="3"/>
  <c r="F548" i="3"/>
  <c r="E548" i="3"/>
  <c r="D548" i="3"/>
  <c r="C548" i="3"/>
  <c r="B548" i="3"/>
  <c r="A548" i="3"/>
  <c r="AA547" i="3"/>
  <c r="X547" i="3"/>
  <c r="W547" i="3"/>
  <c r="U547" i="3"/>
  <c r="Z547" i="3" s="1"/>
  <c r="S547" i="3"/>
  <c r="R547" i="3"/>
  <c r="Q547" i="3"/>
  <c r="P547" i="3"/>
  <c r="O547" i="3"/>
  <c r="M547" i="3"/>
  <c r="L547" i="3"/>
  <c r="K547" i="3"/>
  <c r="J547" i="3"/>
  <c r="I547" i="3"/>
  <c r="H547" i="3"/>
  <c r="G547" i="3"/>
  <c r="F547" i="3"/>
  <c r="E547" i="3"/>
  <c r="D547" i="3"/>
  <c r="C547" i="3"/>
  <c r="B547" i="3"/>
  <c r="A547" i="3"/>
  <c r="AA546" i="3"/>
  <c r="X546" i="3"/>
  <c r="W546" i="3"/>
  <c r="U546" i="3"/>
  <c r="Z546" i="3" s="1"/>
  <c r="S546" i="3"/>
  <c r="Q546" i="3"/>
  <c r="P546" i="3"/>
  <c r="M546" i="3"/>
  <c r="L546" i="3"/>
  <c r="K546" i="3"/>
  <c r="J546" i="3"/>
  <c r="I546" i="3"/>
  <c r="H546" i="3"/>
  <c r="G546" i="3"/>
  <c r="F546" i="3"/>
  <c r="E546" i="3"/>
  <c r="D546" i="3"/>
  <c r="C546" i="3"/>
  <c r="B546" i="3"/>
  <c r="A546" i="3"/>
  <c r="AA545" i="3"/>
  <c r="X545" i="3"/>
  <c r="W545" i="3"/>
  <c r="U545" i="3"/>
  <c r="Z545" i="3" s="1"/>
  <c r="S545" i="3"/>
  <c r="Q545" i="3"/>
  <c r="P545" i="3"/>
  <c r="M545" i="3"/>
  <c r="L545" i="3"/>
  <c r="K545" i="3"/>
  <c r="J545" i="3"/>
  <c r="I545" i="3"/>
  <c r="H545" i="3"/>
  <c r="G545" i="3"/>
  <c r="F545" i="3"/>
  <c r="E545" i="3"/>
  <c r="D545" i="3"/>
  <c r="C545" i="3"/>
  <c r="B545" i="3"/>
  <c r="A545" i="3"/>
  <c r="AA544" i="3"/>
  <c r="X544" i="3"/>
  <c r="W544" i="3"/>
  <c r="U544" i="3"/>
  <c r="Z544" i="3" s="1"/>
  <c r="S544" i="3"/>
  <c r="R544" i="3"/>
  <c r="Q544" i="3"/>
  <c r="P544" i="3"/>
  <c r="O544" i="3"/>
  <c r="M544" i="3"/>
  <c r="L544" i="3"/>
  <c r="K544" i="3"/>
  <c r="J544" i="3"/>
  <c r="I544" i="3"/>
  <c r="H544" i="3"/>
  <c r="G544" i="3"/>
  <c r="F544" i="3"/>
  <c r="E544" i="3"/>
  <c r="D544" i="3"/>
  <c r="C544" i="3"/>
  <c r="B544" i="3"/>
  <c r="A544" i="3"/>
  <c r="AA543" i="3"/>
  <c r="X543" i="3"/>
  <c r="W543" i="3"/>
  <c r="U543" i="3"/>
  <c r="Z543" i="3" s="1"/>
  <c r="S543" i="3"/>
  <c r="Q543" i="3"/>
  <c r="P543" i="3"/>
  <c r="O543" i="3"/>
  <c r="M543" i="3"/>
  <c r="L543" i="3"/>
  <c r="K543" i="3"/>
  <c r="J543" i="3"/>
  <c r="I543" i="3"/>
  <c r="H543" i="3"/>
  <c r="G543" i="3"/>
  <c r="F543" i="3"/>
  <c r="E543" i="3"/>
  <c r="D543" i="3"/>
  <c r="C543" i="3"/>
  <c r="B543" i="3"/>
  <c r="A543" i="3"/>
  <c r="AA542" i="3"/>
  <c r="X542" i="3"/>
  <c r="W542" i="3"/>
  <c r="U542" i="3"/>
  <c r="Z542" i="3" s="1"/>
  <c r="S542" i="3"/>
  <c r="R542" i="3"/>
  <c r="Q542" i="3"/>
  <c r="P542" i="3"/>
  <c r="M542" i="3"/>
  <c r="L542" i="3"/>
  <c r="K542" i="3"/>
  <c r="J542" i="3"/>
  <c r="I542" i="3"/>
  <c r="H542" i="3"/>
  <c r="G542" i="3"/>
  <c r="F542" i="3"/>
  <c r="E542" i="3"/>
  <c r="D542" i="3"/>
  <c r="C542" i="3"/>
  <c r="B542" i="3"/>
  <c r="A542" i="3"/>
  <c r="AA541" i="3"/>
  <c r="X541" i="3"/>
  <c r="W541" i="3"/>
  <c r="U541" i="3"/>
  <c r="Z541" i="3" s="1"/>
  <c r="S541" i="3"/>
  <c r="Q541" i="3"/>
  <c r="P541" i="3"/>
  <c r="M541" i="3"/>
  <c r="L541" i="3"/>
  <c r="K541" i="3"/>
  <c r="J541" i="3"/>
  <c r="I541" i="3"/>
  <c r="H541" i="3"/>
  <c r="G541" i="3"/>
  <c r="F541" i="3"/>
  <c r="E541" i="3"/>
  <c r="D541" i="3"/>
  <c r="C541" i="3"/>
  <c r="B541" i="3"/>
  <c r="A541" i="3"/>
  <c r="AA540" i="3"/>
  <c r="X540" i="3"/>
  <c r="W540" i="3"/>
  <c r="U540" i="3"/>
  <c r="Z540" i="3" s="1"/>
  <c r="S540" i="3"/>
  <c r="Q540" i="3"/>
  <c r="P540" i="3"/>
  <c r="M540" i="3"/>
  <c r="L540" i="3"/>
  <c r="K540" i="3"/>
  <c r="J540" i="3"/>
  <c r="I540" i="3"/>
  <c r="H540" i="3"/>
  <c r="G540" i="3"/>
  <c r="F540" i="3"/>
  <c r="E540" i="3"/>
  <c r="D540" i="3"/>
  <c r="C540" i="3"/>
  <c r="B540" i="3"/>
  <c r="A540" i="3"/>
  <c r="AA539" i="3"/>
  <c r="X539" i="3"/>
  <c r="W539" i="3"/>
  <c r="U539" i="3"/>
  <c r="Z539" i="3" s="1"/>
  <c r="S539" i="3"/>
  <c r="Q539" i="3"/>
  <c r="P539" i="3"/>
  <c r="M539" i="3"/>
  <c r="L539" i="3"/>
  <c r="K539" i="3"/>
  <c r="J539" i="3"/>
  <c r="I539" i="3"/>
  <c r="H539" i="3"/>
  <c r="G539" i="3"/>
  <c r="F539" i="3"/>
  <c r="E539" i="3"/>
  <c r="D539" i="3"/>
  <c r="C539" i="3"/>
  <c r="B539" i="3"/>
  <c r="A539" i="3"/>
  <c r="AA538" i="3"/>
  <c r="X538" i="3"/>
  <c r="W538" i="3"/>
  <c r="U538" i="3"/>
  <c r="Z538" i="3" s="1"/>
  <c r="S538" i="3"/>
  <c r="Q538" i="3"/>
  <c r="P538" i="3"/>
  <c r="O538" i="3"/>
  <c r="M538" i="3"/>
  <c r="L538" i="3"/>
  <c r="K538" i="3"/>
  <c r="J538" i="3"/>
  <c r="I538" i="3"/>
  <c r="H538" i="3"/>
  <c r="G538" i="3"/>
  <c r="F538" i="3"/>
  <c r="E538" i="3"/>
  <c r="D538" i="3"/>
  <c r="C538" i="3"/>
  <c r="B538" i="3"/>
  <c r="A538" i="3"/>
  <c r="AA537" i="3"/>
  <c r="X537" i="3"/>
  <c r="W537" i="3"/>
  <c r="U537" i="3"/>
  <c r="Z537" i="3" s="1"/>
  <c r="S537" i="3"/>
  <c r="Q537" i="3"/>
  <c r="P537" i="3"/>
  <c r="O537" i="3"/>
  <c r="M537" i="3"/>
  <c r="L537" i="3"/>
  <c r="K537" i="3"/>
  <c r="J537" i="3"/>
  <c r="I537" i="3"/>
  <c r="H537" i="3"/>
  <c r="G537" i="3"/>
  <c r="F537" i="3"/>
  <c r="E537" i="3"/>
  <c r="D537" i="3"/>
  <c r="C537" i="3"/>
  <c r="B537" i="3"/>
  <c r="A537" i="3"/>
  <c r="AA536" i="3"/>
  <c r="X536" i="3"/>
  <c r="W536" i="3"/>
  <c r="U536" i="3"/>
  <c r="Z536" i="3" s="1"/>
  <c r="S536" i="3"/>
  <c r="R536" i="3"/>
  <c r="Q536" i="3"/>
  <c r="P536" i="3"/>
  <c r="O536" i="3"/>
  <c r="M536" i="3"/>
  <c r="L536" i="3"/>
  <c r="K536" i="3"/>
  <c r="J536" i="3"/>
  <c r="I536" i="3"/>
  <c r="H536" i="3"/>
  <c r="G536" i="3"/>
  <c r="F536" i="3"/>
  <c r="E536" i="3"/>
  <c r="D536" i="3"/>
  <c r="C536" i="3"/>
  <c r="B536" i="3"/>
  <c r="A536" i="3"/>
  <c r="AA535" i="3"/>
  <c r="X535" i="3"/>
  <c r="W535" i="3"/>
  <c r="U535" i="3"/>
  <c r="Z535" i="3" s="1"/>
  <c r="S535" i="3"/>
  <c r="R535" i="3"/>
  <c r="Q535" i="3"/>
  <c r="P535" i="3"/>
  <c r="O535" i="3"/>
  <c r="M535" i="3"/>
  <c r="L535" i="3"/>
  <c r="K535" i="3"/>
  <c r="J535" i="3"/>
  <c r="I535" i="3"/>
  <c r="H535" i="3"/>
  <c r="G535" i="3"/>
  <c r="F535" i="3"/>
  <c r="E535" i="3"/>
  <c r="D535" i="3"/>
  <c r="C535" i="3"/>
  <c r="B535" i="3"/>
  <c r="A535" i="3"/>
  <c r="AA534" i="3"/>
  <c r="X534" i="3"/>
  <c r="W534" i="3"/>
  <c r="U534" i="3"/>
  <c r="Z534" i="3" s="1"/>
  <c r="S534" i="3"/>
  <c r="R534" i="3"/>
  <c r="Q534" i="3"/>
  <c r="P534" i="3"/>
  <c r="M534" i="3"/>
  <c r="L534" i="3"/>
  <c r="K534" i="3"/>
  <c r="J534" i="3"/>
  <c r="I534" i="3"/>
  <c r="H534" i="3"/>
  <c r="G534" i="3"/>
  <c r="F534" i="3"/>
  <c r="E534" i="3"/>
  <c r="D534" i="3"/>
  <c r="C534" i="3"/>
  <c r="B534" i="3"/>
  <c r="A534" i="3"/>
  <c r="AA533" i="3"/>
  <c r="X533" i="3"/>
  <c r="W533" i="3"/>
  <c r="U533" i="3"/>
  <c r="Z533" i="3" s="1"/>
  <c r="S533" i="3"/>
  <c r="Q533" i="3"/>
  <c r="P533" i="3"/>
  <c r="M533" i="3"/>
  <c r="L533" i="3"/>
  <c r="K533" i="3"/>
  <c r="J533" i="3"/>
  <c r="I533" i="3"/>
  <c r="H533" i="3"/>
  <c r="G533" i="3"/>
  <c r="F533" i="3"/>
  <c r="E533" i="3"/>
  <c r="D533" i="3"/>
  <c r="C533" i="3"/>
  <c r="B533" i="3"/>
  <c r="A533" i="3"/>
  <c r="AA532" i="3"/>
  <c r="Y532" i="3"/>
  <c r="X532" i="3"/>
  <c r="W532" i="3"/>
  <c r="U532" i="3"/>
  <c r="Z532" i="3" s="1"/>
  <c r="S532" i="3"/>
  <c r="Q532" i="3"/>
  <c r="P532" i="3"/>
  <c r="M532" i="3"/>
  <c r="L532" i="3"/>
  <c r="K532" i="3"/>
  <c r="J532" i="3"/>
  <c r="I532" i="3"/>
  <c r="H532" i="3"/>
  <c r="G532" i="3"/>
  <c r="F532" i="3"/>
  <c r="E532" i="3"/>
  <c r="D532" i="3"/>
  <c r="C532" i="3"/>
  <c r="B532" i="3"/>
  <c r="A532" i="3"/>
  <c r="AA531" i="3"/>
  <c r="X531" i="3"/>
  <c r="W531" i="3"/>
  <c r="U531" i="3"/>
  <c r="Z531" i="3" s="1"/>
  <c r="S531" i="3"/>
  <c r="R531" i="3"/>
  <c r="Q531" i="3"/>
  <c r="P531" i="3"/>
  <c r="O531" i="3"/>
  <c r="Y531" i="3" s="1"/>
  <c r="M531" i="3"/>
  <c r="L531" i="3"/>
  <c r="K531" i="3"/>
  <c r="J531" i="3"/>
  <c r="I531" i="3"/>
  <c r="H531" i="3"/>
  <c r="G531" i="3"/>
  <c r="F531" i="3"/>
  <c r="E531" i="3"/>
  <c r="D531" i="3"/>
  <c r="C531" i="3"/>
  <c r="B531" i="3"/>
  <c r="A531" i="3"/>
  <c r="AA530" i="3"/>
  <c r="X530" i="3"/>
  <c r="W530" i="3"/>
  <c r="U530" i="3"/>
  <c r="Z530" i="3" s="1"/>
  <c r="S530" i="3"/>
  <c r="Q530" i="3"/>
  <c r="P530" i="3"/>
  <c r="O530" i="3"/>
  <c r="Y530" i="3" s="1"/>
  <c r="M530" i="3"/>
  <c r="L530" i="3"/>
  <c r="K530" i="3"/>
  <c r="J530" i="3"/>
  <c r="I530" i="3"/>
  <c r="H530" i="3"/>
  <c r="G530" i="3"/>
  <c r="F530" i="3"/>
  <c r="E530" i="3"/>
  <c r="D530" i="3"/>
  <c r="C530" i="3"/>
  <c r="B530" i="3"/>
  <c r="A530" i="3"/>
  <c r="AA529" i="3"/>
  <c r="X529" i="3"/>
  <c r="W529" i="3"/>
  <c r="U529" i="3"/>
  <c r="Z529" i="3" s="1"/>
  <c r="S529" i="3"/>
  <c r="Q529" i="3"/>
  <c r="P529" i="3"/>
  <c r="O529" i="3"/>
  <c r="Y529" i="3" s="1"/>
  <c r="M529" i="3"/>
  <c r="L529" i="3"/>
  <c r="K529" i="3"/>
  <c r="J529" i="3"/>
  <c r="I529" i="3"/>
  <c r="H529" i="3"/>
  <c r="G529" i="3"/>
  <c r="F529" i="3"/>
  <c r="E529" i="3"/>
  <c r="D529" i="3"/>
  <c r="C529" i="3"/>
  <c r="B529" i="3"/>
  <c r="A529" i="3"/>
  <c r="AA528" i="3"/>
  <c r="Y528" i="3"/>
  <c r="X528" i="3"/>
  <c r="W528" i="3"/>
  <c r="U528" i="3"/>
  <c r="Z528" i="3" s="1"/>
  <c r="S528" i="3"/>
  <c r="Q528" i="3"/>
  <c r="P528" i="3"/>
  <c r="M528" i="3"/>
  <c r="L528" i="3"/>
  <c r="K528" i="3"/>
  <c r="J528" i="3"/>
  <c r="I528" i="3"/>
  <c r="H528" i="3"/>
  <c r="G528" i="3"/>
  <c r="F528" i="3"/>
  <c r="E528" i="3"/>
  <c r="D528" i="3"/>
  <c r="C528" i="3"/>
  <c r="B528" i="3"/>
  <c r="A528" i="3"/>
  <c r="AA527" i="3"/>
  <c r="X527" i="3"/>
  <c r="W527" i="3"/>
  <c r="U527" i="3"/>
  <c r="Z527" i="3" s="1"/>
  <c r="S527" i="3"/>
  <c r="Q527" i="3"/>
  <c r="P527" i="3"/>
  <c r="O527" i="3"/>
  <c r="Y527" i="3" s="1"/>
  <c r="M527" i="3"/>
  <c r="L527" i="3"/>
  <c r="K527" i="3"/>
  <c r="J527" i="3"/>
  <c r="I527" i="3"/>
  <c r="H527" i="3"/>
  <c r="G527" i="3"/>
  <c r="F527" i="3"/>
  <c r="E527" i="3"/>
  <c r="D527" i="3"/>
  <c r="C527" i="3"/>
  <c r="B527" i="3"/>
  <c r="A527" i="3"/>
  <c r="AA526" i="3"/>
  <c r="Y526" i="3"/>
  <c r="X526" i="3"/>
  <c r="W526" i="3"/>
  <c r="U526" i="3"/>
  <c r="Z526" i="3" s="1"/>
  <c r="S526" i="3"/>
  <c r="R526" i="3"/>
  <c r="Q526" i="3"/>
  <c r="P526" i="3"/>
  <c r="M526" i="3"/>
  <c r="L526" i="3"/>
  <c r="K526" i="3"/>
  <c r="J526" i="3"/>
  <c r="I526" i="3"/>
  <c r="H526" i="3"/>
  <c r="G526" i="3"/>
  <c r="F526" i="3"/>
  <c r="E526" i="3"/>
  <c r="D526" i="3"/>
  <c r="C526" i="3"/>
  <c r="B526" i="3"/>
  <c r="A526" i="3"/>
  <c r="AA525" i="3"/>
  <c r="Y525" i="3"/>
  <c r="X525" i="3"/>
  <c r="W525" i="3"/>
  <c r="U525" i="3"/>
  <c r="Z525" i="3" s="1"/>
  <c r="S525" i="3"/>
  <c r="Q525" i="3"/>
  <c r="P525" i="3"/>
  <c r="M525" i="3"/>
  <c r="L525" i="3"/>
  <c r="K525" i="3"/>
  <c r="J525" i="3"/>
  <c r="I525" i="3"/>
  <c r="H525" i="3"/>
  <c r="G525" i="3"/>
  <c r="F525" i="3"/>
  <c r="E525" i="3"/>
  <c r="D525" i="3"/>
  <c r="C525" i="3"/>
  <c r="B525" i="3"/>
  <c r="A525" i="3"/>
  <c r="AA524" i="3"/>
  <c r="X524" i="3"/>
  <c r="W524" i="3"/>
  <c r="U524" i="3"/>
  <c r="Z524" i="3" s="1"/>
  <c r="S524" i="3"/>
  <c r="Q524" i="3"/>
  <c r="P524" i="3"/>
  <c r="O524" i="3"/>
  <c r="Y524" i="3" s="1"/>
  <c r="M524" i="3"/>
  <c r="L524" i="3"/>
  <c r="K524" i="3"/>
  <c r="J524" i="3"/>
  <c r="I524" i="3"/>
  <c r="H524" i="3"/>
  <c r="G524" i="3"/>
  <c r="F524" i="3"/>
  <c r="E524" i="3"/>
  <c r="D524" i="3"/>
  <c r="C524" i="3"/>
  <c r="B524" i="3"/>
  <c r="A524" i="3"/>
  <c r="AA523" i="3"/>
  <c r="Y523" i="3"/>
  <c r="X523" i="3"/>
  <c r="W523" i="3"/>
  <c r="U523" i="3"/>
  <c r="Z523" i="3" s="1"/>
  <c r="S523" i="3"/>
  <c r="Q523" i="3"/>
  <c r="P523" i="3"/>
  <c r="M523" i="3"/>
  <c r="L523" i="3"/>
  <c r="K523" i="3"/>
  <c r="J523" i="3"/>
  <c r="I523" i="3"/>
  <c r="H523" i="3"/>
  <c r="G523" i="3"/>
  <c r="F523" i="3"/>
  <c r="E523" i="3"/>
  <c r="D523" i="3"/>
  <c r="C523" i="3"/>
  <c r="B523" i="3"/>
  <c r="A523" i="3"/>
  <c r="AA522" i="3"/>
  <c r="X522" i="3"/>
  <c r="W522" i="3"/>
  <c r="U522" i="3"/>
  <c r="Z522" i="3" s="1"/>
  <c r="S522" i="3"/>
  <c r="Q522" i="3"/>
  <c r="P522" i="3"/>
  <c r="O522" i="3"/>
  <c r="Y522" i="3" s="1"/>
  <c r="M522" i="3"/>
  <c r="L522" i="3"/>
  <c r="K522" i="3"/>
  <c r="J522" i="3"/>
  <c r="I522" i="3"/>
  <c r="H522" i="3"/>
  <c r="G522" i="3"/>
  <c r="F522" i="3"/>
  <c r="E522" i="3"/>
  <c r="D522" i="3"/>
  <c r="C522" i="3"/>
  <c r="B522" i="3"/>
  <c r="A522" i="3"/>
  <c r="AA521" i="3"/>
  <c r="X521" i="3"/>
  <c r="W521" i="3"/>
  <c r="U521" i="3"/>
  <c r="Z521" i="3" s="1"/>
  <c r="S521" i="3"/>
  <c r="Q521" i="3"/>
  <c r="P521" i="3"/>
  <c r="O521" i="3"/>
  <c r="Y521" i="3" s="1"/>
  <c r="M521" i="3"/>
  <c r="L521" i="3"/>
  <c r="K521" i="3"/>
  <c r="J521" i="3"/>
  <c r="I521" i="3"/>
  <c r="H521" i="3"/>
  <c r="G521" i="3"/>
  <c r="F521" i="3"/>
  <c r="E521" i="3"/>
  <c r="D521" i="3"/>
  <c r="C521" i="3"/>
  <c r="B521" i="3"/>
  <c r="A521" i="3"/>
  <c r="AA520" i="3"/>
  <c r="Y520" i="3"/>
  <c r="X520" i="3"/>
  <c r="W520" i="3"/>
  <c r="U520" i="3"/>
  <c r="Z520" i="3" s="1"/>
  <c r="S520" i="3"/>
  <c r="Q520" i="3"/>
  <c r="P520" i="3"/>
  <c r="M520" i="3"/>
  <c r="L520" i="3"/>
  <c r="K520" i="3"/>
  <c r="J520" i="3"/>
  <c r="I520" i="3"/>
  <c r="H520" i="3"/>
  <c r="G520" i="3"/>
  <c r="F520" i="3"/>
  <c r="E520" i="3"/>
  <c r="D520" i="3"/>
  <c r="C520" i="3"/>
  <c r="B520" i="3"/>
  <c r="A520" i="3"/>
  <c r="AA519" i="3"/>
  <c r="X519" i="3"/>
  <c r="W519" i="3"/>
  <c r="U519" i="3"/>
  <c r="Z519" i="3" s="1"/>
  <c r="S519" i="3"/>
  <c r="Q519" i="3"/>
  <c r="P519" i="3"/>
  <c r="O519" i="3"/>
  <c r="Y519" i="3" s="1"/>
  <c r="M519" i="3"/>
  <c r="L519" i="3"/>
  <c r="K519" i="3"/>
  <c r="J519" i="3"/>
  <c r="I519" i="3"/>
  <c r="H519" i="3"/>
  <c r="G519" i="3"/>
  <c r="F519" i="3"/>
  <c r="E519" i="3"/>
  <c r="D519" i="3"/>
  <c r="C519" i="3"/>
  <c r="B519" i="3"/>
  <c r="A519" i="3"/>
  <c r="AA518" i="3"/>
  <c r="X518" i="3"/>
  <c r="W518" i="3"/>
  <c r="U518" i="3"/>
  <c r="Z518" i="3" s="1"/>
  <c r="S518" i="3"/>
  <c r="Q518" i="3"/>
  <c r="P518" i="3"/>
  <c r="O518" i="3"/>
  <c r="Y518" i="3" s="1"/>
  <c r="M518" i="3"/>
  <c r="L518" i="3"/>
  <c r="K518" i="3"/>
  <c r="J518" i="3"/>
  <c r="I518" i="3"/>
  <c r="H518" i="3"/>
  <c r="G518" i="3"/>
  <c r="F518" i="3"/>
  <c r="E518" i="3"/>
  <c r="D518" i="3"/>
  <c r="C518" i="3"/>
  <c r="B518" i="3"/>
  <c r="A518" i="3"/>
  <c r="AA517" i="3"/>
  <c r="X517" i="3"/>
  <c r="W517" i="3"/>
  <c r="U517" i="3"/>
  <c r="Z517" i="3" s="1"/>
  <c r="S517" i="3"/>
  <c r="Q517" i="3"/>
  <c r="P517" i="3"/>
  <c r="O517" i="3"/>
  <c r="Y517" i="3" s="1"/>
  <c r="M517" i="3"/>
  <c r="L517" i="3"/>
  <c r="K517" i="3"/>
  <c r="J517" i="3"/>
  <c r="I517" i="3"/>
  <c r="H517" i="3"/>
  <c r="G517" i="3"/>
  <c r="F517" i="3"/>
  <c r="E517" i="3"/>
  <c r="D517" i="3"/>
  <c r="C517" i="3"/>
  <c r="B517" i="3"/>
  <c r="A517" i="3"/>
  <c r="AA516" i="3"/>
  <c r="Y516" i="3"/>
  <c r="X516" i="3"/>
  <c r="W516" i="3"/>
  <c r="U516" i="3"/>
  <c r="Z516" i="3" s="1"/>
  <c r="S516" i="3"/>
  <c r="Q516" i="3"/>
  <c r="P516" i="3"/>
  <c r="M516" i="3"/>
  <c r="L516" i="3"/>
  <c r="K516" i="3"/>
  <c r="J516" i="3"/>
  <c r="I516" i="3"/>
  <c r="H516" i="3"/>
  <c r="G516" i="3"/>
  <c r="F516" i="3"/>
  <c r="E516" i="3"/>
  <c r="D516" i="3"/>
  <c r="C516" i="3"/>
  <c r="B516" i="3"/>
  <c r="A516" i="3"/>
  <c r="AA515" i="3"/>
  <c r="Y515" i="3"/>
  <c r="X515" i="3"/>
  <c r="W515" i="3"/>
  <c r="U515" i="3"/>
  <c r="Z515" i="3" s="1"/>
  <c r="S515" i="3"/>
  <c r="Q515" i="3"/>
  <c r="P515" i="3"/>
  <c r="M515" i="3"/>
  <c r="L515" i="3"/>
  <c r="K515" i="3"/>
  <c r="J515" i="3"/>
  <c r="I515" i="3"/>
  <c r="H515" i="3"/>
  <c r="G515" i="3"/>
  <c r="F515" i="3"/>
  <c r="E515" i="3"/>
  <c r="D515" i="3"/>
  <c r="C515" i="3"/>
  <c r="B515" i="3"/>
  <c r="A515" i="3"/>
  <c r="AA514" i="3"/>
  <c r="Y514" i="3"/>
  <c r="X514" i="3"/>
  <c r="W514" i="3"/>
  <c r="U514" i="3"/>
  <c r="Z514" i="3" s="1"/>
  <c r="S514" i="3"/>
  <c r="Q514" i="3"/>
  <c r="P514" i="3"/>
  <c r="M514" i="3"/>
  <c r="L514" i="3"/>
  <c r="K514" i="3"/>
  <c r="J514" i="3"/>
  <c r="I514" i="3"/>
  <c r="H514" i="3"/>
  <c r="G514" i="3"/>
  <c r="F514" i="3"/>
  <c r="E514" i="3"/>
  <c r="D514" i="3"/>
  <c r="C514" i="3"/>
  <c r="B514" i="3"/>
  <c r="A514" i="3"/>
  <c r="AA513" i="3"/>
  <c r="Y513" i="3"/>
  <c r="X513" i="3"/>
  <c r="W513" i="3"/>
  <c r="U513" i="3"/>
  <c r="Z513" i="3" s="1"/>
  <c r="S513" i="3"/>
  <c r="R513" i="3"/>
  <c r="Q513" i="3"/>
  <c r="P513" i="3"/>
  <c r="M513" i="3"/>
  <c r="L513" i="3"/>
  <c r="K513" i="3"/>
  <c r="J513" i="3"/>
  <c r="I513" i="3"/>
  <c r="H513" i="3"/>
  <c r="G513" i="3"/>
  <c r="F513" i="3"/>
  <c r="E513" i="3"/>
  <c r="D513" i="3"/>
  <c r="C513" i="3"/>
  <c r="B513" i="3"/>
  <c r="A513" i="3"/>
  <c r="AA512" i="3"/>
  <c r="X512" i="3"/>
  <c r="W512" i="3"/>
  <c r="U512" i="3"/>
  <c r="Z512" i="3" s="1"/>
  <c r="S512" i="3"/>
  <c r="R512" i="3"/>
  <c r="Q512" i="3"/>
  <c r="P512" i="3"/>
  <c r="O512" i="3"/>
  <c r="Y512" i="3" s="1"/>
  <c r="M512" i="3"/>
  <c r="L512" i="3"/>
  <c r="K512" i="3"/>
  <c r="J512" i="3"/>
  <c r="I512" i="3"/>
  <c r="H512" i="3"/>
  <c r="G512" i="3"/>
  <c r="F512" i="3"/>
  <c r="E512" i="3"/>
  <c r="D512" i="3"/>
  <c r="C512" i="3"/>
  <c r="B512" i="3"/>
  <c r="A512" i="3"/>
  <c r="AA511" i="3"/>
  <c r="Y511" i="3"/>
  <c r="X511" i="3"/>
  <c r="W511" i="3"/>
  <c r="U511" i="3"/>
  <c r="Z511" i="3" s="1"/>
  <c r="S511" i="3"/>
  <c r="Q511" i="3"/>
  <c r="P511" i="3"/>
  <c r="M511" i="3"/>
  <c r="L511" i="3"/>
  <c r="K511" i="3"/>
  <c r="J511" i="3"/>
  <c r="I511" i="3"/>
  <c r="H511" i="3"/>
  <c r="G511" i="3"/>
  <c r="F511" i="3"/>
  <c r="E511" i="3"/>
  <c r="D511" i="3"/>
  <c r="C511" i="3"/>
  <c r="B511" i="3"/>
  <c r="A511" i="3"/>
  <c r="AA510" i="3"/>
  <c r="Y510" i="3"/>
  <c r="X510" i="3"/>
  <c r="W510" i="3"/>
  <c r="U510" i="3"/>
  <c r="Z510" i="3" s="1"/>
  <c r="S510" i="3"/>
  <c r="Q510" i="3"/>
  <c r="P510" i="3"/>
  <c r="M510" i="3"/>
  <c r="L510" i="3"/>
  <c r="K510" i="3"/>
  <c r="J510" i="3"/>
  <c r="I510" i="3"/>
  <c r="H510" i="3"/>
  <c r="G510" i="3"/>
  <c r="F510" i="3"/>
  <c r="E510" i="3"/>
  <c r="D510" i="3"/>
  <c r="C510" i="3"/>
  <c r="B510" i="3"/>
  <c r="A510" i="3"/>
  <c r="AA509" i="3"/>
  <c r="Y509" i="3"/>
  <c r="X509" i="3"/>
  <c r="W509" i="3"/>
  <c r="U509" i="3"/>
  <c r="Z509" i="3" s="1"/>
  <c r="S509" i="3"/>
  <c r="Q509" i="3"/>
  <c r="P509" i="3"/>
  <c r="M509" i="3"/>
  <c r="L509" i="3"/>
  <c r="K509" i="3"/>
  <c r="J509" i="3"/>
  <c r="I509" i="3"/>
  <c r="H509" i="3"/>
  <c r="G509" i="3"/>
  <c r="F509" i="3"/>
  <c r="E509" i="3"/>
  <c r="D509" i="3"/>
  <c r="C509" i="3"/>
  <c r="B509" i="3"/>
  <c r="A509" i="3"/>
  <c r="AA508" i="3"/>
  <c r="Y508" i="3"/>
  <c r="X508" i="3"/>
  <c r="W508" i="3"/>
  <c r="U508" i="3"/>
  <c r="Z508" i="3" s="1"/>
  <c r="S508" i="3"/>
  <c r="Q508" i="3"/>
  <c r="P508" i="3"/>
  <c r="M508" i="3"/>
  <c r="L508" i="3"/>
  <c r="K508" i="3"/>
  <c r="J508" i="3"/>
  <c r="I508" i="3"/>
  <c r="H508" i="3"/>
  <c r="G508" i="3"/>
  <c r="F508" i="3"/>
  <c r="E508" i="3"/>
  <c r="D508" i="3"/>
  <c r="C508" i="3"/>
  <c r="B508" i="3"/>
  <c r="A508" i="3"/>
  <c r="AA507" i="3"/>
  <c r="Y507" i="3"/>
  <c r="X507" i="3"/>
  <c r="W507" i="3"/>
  <c r="U507" i="3"/>
  <c r="Z507" i="3" s="1"/>
  <c r="S507" i="3"/>
  <c r="Q507" i="3"/>
  <c r="P507" i="3"/>
  <c r="M507" i="3"/>
  <c r="L507" i="3"/>
  <c r="K507" i="3"/>
  <c r="J507" i="3"/>
  <c r="I507" i="3"/>
  <c r="H507" i="3"/>
  <c r="G507" i="3"/>
  <c r="F507" i="3"/>
  <c r="E507" i="3"/>
  <c r="D507" i="3"/>
  <c r="C507" i="3"/>
  <c r="B507" i="3"/>
  <c r="A507" i="3"/>
  <c r="AA506" i="3"/>
  <c r="X506" i="3"/>
  <c r="W506" i="3"/>
  <c r="U506" i="3"/>
  <c r="Z506" i="3" s="1"/>
  <c r="S506" i="3"/>
  <c r="Q506" i="3"/>
  <c r="P506" i="3"/>
  <c r="O506" i="3"/>
  <c r="Y506" i="3" s="1"/>
  <c r="M506" i="3"/>
  <c r="L506" i="3"/>
  <c r="K506" i="3"/>
  <c r="J506" i="3"/>
  <c r="I506" i="3"/>
  <c r="H506" i="3"/>
  <c r="G506" i="3"/>
  <c r="F506" i="3"/>
  <c r="E506" i="3"/>
  <c r="D506" i="3"/>
  <c r="C506" i="3"/>
  <c r="B506" i="3"/>
  <c r="A506" i="3"/>
  <c r="AA505" i="3"/>
  <c r="Y505" i="3"/>
  <c r="X505" i="3"/>
  <c r="W505" i="3"/>
  <c r="U505" i="3"/>
  <c r="Z505" i="3" s="1"/>
  <c r="S505" i="3"/>
  <c r="Q505" i="3"/>
  <c r="P505" i="3"/>
  <c r="M505" i="3"/>
  <c r="L505" i="3"/>
  <c r="K505" i="3"/>
  <c r="J505" i="3"/>
  <c r="I505" i="3"/>
  <c r="H505" i="3"/>
  <c r="G505" i="3"/>
  <c r="F505" i="3"/>
  <c r="E505" i="3"/>
  <c r="D505" i="3"/>
  <c r="C505" i="3"/>
  <c r="B505" i="3"/>
  <c r="A505" i="3"/>
  <c r="AA504" i="3"/>
  <c r="X504" i="3"/>
  <c r="W504" i="3"/>
  <c r="U504" i="3"/>
  <c r="Z504" i="3" s="1"/>
  <c r="S504" i="3"/>
  <c r="Q504" i="3"/>
  <c r="P504" i="3"/>
  <c r="O504" i="3"/>
  <c r="Y504" i="3" s="1"/>
  <c r="M504" i="3"/>
  <c r="L504" i="3"/>
  <c r="K504" i="3"/>
  <c r="J504" i="3"/>
  <c r="I504" i="3"/>
  <c r="H504" i="3"/>
  <c r="G504" i="3"/>
  <c r="F504" i="3"/>
  <c r="E504" i="3"/>
  <c r="D504" i="3"/>
  <c r="C504" i="3"/>
  <c r="B504" i="3"/>
  <c r="A504" i="3"/>
  <c r="AA503" i="3"/>
  <c r="Y503" i="3"/>
  <c r="X503" i="3"/>
  <c r="W503" i="3"/>
  <c r="U503" i="3"/>
  <c r="Z503" i="3" s="1"/>
  <c r="S503" i="3"/>
  <c r="Q503" i="3"/>
  <c r="P503" i="3"/>
  <c r="M503" i="3"/>
  <c r="L503" i="3"/>
  <c r="K503" i="3"/>
  <c r="J503" i="3"/>
  <c r="I503" i="3"/>
  <c r="H503" i="3"/>
  <c r="G503" i="3"/>
  <c r="F503" i="3"/>
  <c r="E503" i="3"/>
  <c r="D503" i="3"/>
  <c r="C503" i="3"/>
  <c r="B503" i="3"/>
  <c r="A503" i="3"/>
  <c r="AA502" i="3"/>
  <c r="Y502" i="3"/>
  <c r="X502" i="3"/>
  <c r="W502" i="3"/>
  <c r="U502" i="3"/>
  <c r="Z502" i="3" s="1"/>
  <c r="S502" i="3"/>
  <c r="Q502" i="3"/>
  <c r="P502" i="3"/>
  <c r="M502" i="3"/>
  <c r="L502" i="3"/>
  <c r="K502" i="3"/>
  <c r="J502" i="3"/>
  <c r="I502" i="3"/>
  <c r="H502" i="3"/>
  <c r="G502" i="3"/>
  <c r="F502" i="3"/>
  <c r="E502" i="3"/>
  <c r="D502" i="3"/>
  <c r="C502" i="3"/>
  <c r="B502" i="3"/>
  <c r="A502" i="3"/>
  <c r="AA501" i="3"/>
  <c r="Y501" i="3"/>
  <c r="X501" i="3"/>
  <c r="W501" i="3"/>
  <c r="U501" i="3"/>
  <c r="Z501" i="3" s="1"/>
  <c r="S501" i="3"/>
  <c r="Q501" i="3"/>
  <c r="P501" i="3"/>
  <c r="M501" i="3"/>
  <c r="L501" i="3"/>
  <c r="K501" i="3"/>
  <c r="J501" i="3"/>
  <c r="I501" i="3"/>
  <c r="H501" i="3"/>
  <c r="G501" i="3"/>
  <c r="F501" i="3"/>
  <c r="E501" i="3"/>
  <c r="D501" i="3"/>
  <c r="C501" i="3"/>
  <c r="B501" i="3"/>
  <c r="A501" i="3"/>
  <c r="AA500" i="3"/>
  <c r="Y500" i="3"/>
  <c r="X500" i="3"/>
  <c r="W500" i="3"/>
  <c r="U500" i="3"/>
  <c r="Z500" i="3" s="1"/>
  <c r="S500" i="3"/>
  <c r="Q500" i="3"/>
  <c r="P500" i="3"/>
  <c r="M500" i="3"/>
  <c r="L500" i="3"/>
  <c r="K500" i="3"/>
  <c r="J500" i="3"/>
  <c r="I500" i="3"/>
  <c r="H500" i="3"/>
  <c r="G500" i="3"/>
  <c r="F500" i="3"/>
  <c r="E500" i="3"/>
  <c r="D500" i="3"/>
  <c r="C500" i="3"/>
  <c r="B500" i="3"/>
  <c r="A500" i="3"/>
  <c r="AA499" i="3"/>
  <c r="Y499" i="3"/>
  <c r="X499" i="3"/>
  <c r="W499" i="3"/>
  <c r="U499" i="3"/>
  <c r="Z499" i="3" s="1"/>
  <c r="S499" i="3"/>
  <c r="Q499" i="3"/>
  <c r="P499" i="3"/>
  <c r="M499" i="3"/>
  <c r="L499" i="3"/>
  <c r="K499" i="3"/>
  <c r="J499" i="3"/>
  <c r="I499" i="3"/>
  <c r="H499" i="3"/>
  <c r="G499" i="3"/>
  <c r="F499" i="3"/>
  <c r="E499" i="3"/>
  <c r="D499" i="3"/>
  <c r="C499" i="3"/>
  <c r="B499" i="3"/>
  <c r="A499" i="3"/>
  <c r="AA498" i="3"/>
  <c r="Y498" i="3"/>
  <c r="X498" i="3"/>
  <c r="W498" i="3"/>
  <c r="U498" i="3"/>
  <c r="Z498" i="3" s="1"/>
  <c r="S498" i="3"/>
  <c r="Q498" i="3"/>
  <c r="P498" i="3"/>
  <c r="M498" i="3"/>
  <c r="L498" i="3"/>
  <c r="K498" i="3"/>
  <c r="J498" i="3"/>
  <c r="I498" i="3"/>
  <c r="H498" i="3"/>
  <c r="G498" i="3"/>
  <c r="F498" i="3"/>
  <c r="E498" i="3"/>
  <c r="D498" i="3"/>
  <c r="C498" i="3"/>
  <c r="B498" i="3"/>
  <c r="A498" i="3"/>
  <c r="AA497" i="3"/>
  <c r="Y497" i="3"/>
  <c r="X497" i="3"/>
  <c r="W497" i="3"/>
  <c r="U497" i="3"/>
  <c r="Z497" i="3" s="1"/>
  <c r="S497" i="3"/>
  <c r="Q497" i="3"/>
  <c r="P497" i="3"/>
  <c r="M497" i="3"/>
  <c r="L497" i="3"/>
  <c r="K497" i="3"/>
  <c r="J497" i="3"/>
  <c r="I497" i="3"/>
  <c r="H497" i="3"/>
  <c r="G497" i="3"/>
  <c r="F497" i="3"/>
  <c r="E497" i="3"/>
  <c r="D497" i="3"/>
  <c r="C497" i="3"/>
  <c r="B497" i="3"/>
  <c r="A497" i="3"/>
  <c r="AA496" i="3"/>
  <c r="Y496" i="3"/>
  <c r="X496" i="3"/>
  <c r="W496" i="3"/>
  <c r="U496" i="3"/>
  <c r="Z496" i="3" s="1"/>
  <c r="S496" i="3"/>
  <c r="Q496" i="3"/>
  <c r="P496" i="3"/>
  <c r="M496" i="3"/>
  <c r="L496" i="3"/>
  <c r="K496" i="3"/>
  <c r="J496" i="3"/>
  <c r="I496" i="3"/>
  <c r="H496" i="3"/>
  <c r="G496" i="3"/>
  <c r="F496" i="3"/>
  <c r="E496" i="3"/>
  <c r="D496" i="3"/>
  <c r="C496" i="3"/>
  <c r="B496" i="3"/>
  <c r="A496" i="3"/>
  <c r="AA495" i="3"/>
  <c r="Y495" i="3"/>
  <c r="X495" i="3"/>
  <c r="W495" i="3"/>
  <c r="U495" i="3"/>
  <c r="Z495" i="3" s="1"/>
  <c r="S495" i="3"/>
  <c r="Q495" i="3"/>
  <c r="P495" i="3"/>
  <c r="M495" i="3"/>
  <c r="L495" i="3"/>
  <c r="K495" i="3"/>
  <c r="J495" i="3"/>
  <c r="I495" i="3"/>
  <c r="H495" i="3"/>
  <c r="G495" i="3"/>
  <c r="F495" i="3"/>
  <c r="E495" i="3"/>
  <c r="D495" i="3"/>
  <c r="C495" i="3"/>
  <c r="B495" i="3"/>
  <c r="A495" i="3"/>
  <c r="AA494" i="3"/>
  <c r="Y494" i="3"/>
  <c r="X494" i="3"/>
  <c r="W494" i="3"/>
  <c r="U494" i="3"/>
  <c r="Z494" i="3" s="1"/>
  <c r="S494" i="3"/>
  <c r="Q494" i="3"/>
  <c r="P494" i="3"/>
  <c r="M494" i="3"/>
  <c r="L494" i="3"/>
  <c r="K494" i="3"/>
  <c r="J494" i="3"/>
  <c r="I494" i="3"/>
  <c r="H494" i="3"/>
  <c r="G494" i="3"/>
  <c r="F494" i="3"/>
  <c r="E494" i="3"/>
  <c r="D494" i="3"/>
  <c r="C494" i="3"/>
  <c r="B494" i="3"/>
  <c r="A494" i="3"/>
  <c r="AA493" i="3"/>
  <c r="Y493" i="3"/>
  <c r="X493" i="3"/>
  <c r="W493" i="3"/>
  <c r="U493" i="3"/>
  <c r="Z493" i="3" s="1"/>
  <c r="S493" i="3"/>
  <c r="Q493" i="3"/>
  <c r="P493" i="3"/>
  <c r="M493" i="3"/>
  <c r="L493" i="3"/>
  <c r="K493" i="3"/>
  <c r="J493" i="3"/>
  <c r="I493" i="3"/>
  <c r="H493" i="3"/>
  <c r="G493" i="3"/>
  <c r="F493" i="3"/>
  <c r="E493" i="3"/>
  <c r="D493" i="3"/>
  <c r="C493" i="3"/>
  <c r="B493" i="3"/>
  <c r="A493" i="3"/>
  <c r="AA492" i="3"/>
  <c r="Y492" i="3"/>
  <c r="X492" i="3"/>
  <c r="W492" i="3"/>
  <c r="U492" i="3"/>
  <c r="Z492" i="3" s="1"/>
  <c r="S492" i="3"/>
  <c r="Q492" i="3"/>
  <c r="P492" i="3"/>
  <c r="M492" i="3"/>
  <c r="L492" i="3"/>
  <c r="K492" i="3"/>
  <c r="J492" i="3"/>
  <c r="I492" i="3"/>
  <c r="H492" i="3"/>
  <c r="G492" i="3"/>
  <c r="F492" i="3"/>
  <c r="E492" i="3"/>
  <c r="D492" i="3"/>
  <c r="C492" i="3"/>
  <c r="B492" i="3"/>
  <c r="A492" i="3"/>
  <c r="AA491" i="3"/>
  <c r="Y491" i="3"/>
  <c r="X491" i="3"/>
  <c r="W491" i="3"/>
  <c r="U491" i="3"/>
  <c r="Z491" i="3" s="1"/>
  <c r="S491" i="3"/>
  <c r="Q491" i="3"/>
  <c r="P491" i="3"/>
  <c r="M491" i="3"/>
  <c r="L491" i="3"/>
  <c r="K491" i="3"/>
  <c r="J491" i="3"/>
  <c r="I491" i="3"/>
  <c r="H491" i="3"/>
  <c r="G491" i="3"/>
  <c r="F491" i="3"/>
  <c r="E491" i="3"/>
  <c r="D491" i="3"/>
  <c r="C491" i="3"/>
  <c r="B491" i="3"/>
  <c r="A491" i="3"/>
  <c r="AA490" i="3"/>
  <c r="Y490" i="3"/>
  <c r="X490" i="3"/>
  <c r="W490" i="3"/>
  <c r="U490" i="3"/>
  <c r="Z490" i="3" s="1"/>
  <c r="S490" i="3"/>
  <c r="Q490" i="3"/>
  <c r="P490" i="3"/>
  <c r="M490" i="3"/>
  <c r="L490" i="3"/>
  <c r="K490" i="3"/>
  <c r="J490" i="3"/>
  <c r="I490" i="3"/>
  <c r="H490" i="3"/>
  <c r="G490" i="3"/>
  <c r="F490" i="3"/>
  <c r="E490" i="3"/>
  <c r="D490" i="3"/>
  <c r="C490" i="3"/>
  <c r="B490" i="3"/>
  <c r="A490" i="3"/>
  <c r="AA489" i="3"/>
  <c r="Y489" i="3"/>
  <c r="X489" i="3"/>
  <c r="W489" i="3"/>
  <c r="U489" i="3"/>
  <c r="Z489" i="3" s="1"/>
  <c r="S489" i="3"/>
  <c r="Q489" i="3"/>
  <c r="P489" i="3"/>
  <c r="M489" i="3"/>
  <c r="L489" i="3"/>
  <c r="K489" i="3"/>
  <c r="J489" i="3"/>
  <c r="I489" i="3"/>
  <c r="H489" i="3"/>
  <c r="G489" i="3"/>
  <c r="F489" i="3"/>
  <c r="E489" i="3"/>
  <c r="D489" i="3"/>
  <c r="C489" i="3"/>
  <c r="B489" i="3"/>
  <c r="A489" i="3"/>
  <c r="AA488" i="3"/>
  <c r="Y488" i="3"/>
  <c r="X488" i="3"/>
  <c r="W488" i="3"/>
  <c r="U488" i="3"/>
  <c r="Z488" i="3" s="1"/>
  <c r="S488" i="3"/>
  <c r="Q488" i="3"/>
  <c r="P488" i="3"/>
  <c r="M488" i="3"/>
  <c r="L488" i="3"/>
  <c r="K488" i="3"/>
  <c r="J488" i="3"/>
  <c r="I488" i="3"/>
  <c r="H488" i="3"/>
  <c r="G488" i="3"/>
  <c r="F488" i="3"/>
  <c r="E488" i="3"/>
  <c r="D488" i="3"/>
  <c r="C488" i="3"/>
  <c r="B488" i="3"/>
  <c r="A488" i="3"/>
  <c r="AA487" i="3"/>
  <c r="Y487" i="3"/>
  <c r="X487" i="3"/>
  <c r="W487" i="3"/>
  <c r="U487" i="3"/>
  <c r="Z487" i="3" s="1"/>
  <c r="S487" i="3"/>
  <c r="Q487" i="3"/>
  <c r="P487" i="3"/>
  <c r="M487" i="3"/>
  <c r="L487" i="3"/>
  <c r="K487" i="3"/>
  <c r="J487" i="3"/>
  <c r="I487" i="3"/>
  <c r="H487" i="3"/>
  <c r="G487" i="3"/>
  <c r="F487" i="3"/>
  <c r="E487" i="3"/>
  <c r="D487" i="3"/>
  <c r="C487" i="3"/>
  <c r="B487" i="3"/>
  <c r="A487" i="3"/>
  <c r="AA486" i="3"/>
  <c r="X486" i="3"/>
  <c r="W486" i="3"/>
  <c r="U486" i="3"/>
  <c r="Z486" i="3" s="1"/>
  <c r="S486" i="3"/>
  <c r="Q486" i="3"/>
  <c r="P486" i="3"/>
  <c r="O486" i="3"/>
  <c r="Y486" i="3" s="1"/>
  <c r="M486" i="3"/>
  <c r="L486" i="3"/>
  <c r="K486" i="3"/>
  <c r="J486" i="3"/>
  <c r="I486" i="3"/>
  <c r="H486" i="3"/>
  <c r="G486" i="3"/>
  <c r="F486" i="3"/>
  <c r="E486" i="3"/>
  <c r="D486" i="3"/>
  <c r="C486" i="3"/>
  <c r="B486" i="3"/>
  <c r="A486" i="3"/>
  <c r="AA485" i="3"/>
  <c r="Y485" i="3"/>
  <c r="X485" i="3"/>
  <c r="W485" i="3"/>
  <c r="U485" i="3"/>
  <c r="Z485" i="3" s="1"/>
  <c r="S485" i="3"/>
  <c r="Q485" i="3"/>
  <c r="P485" i="3"/>
  <c r="M485" i="3"/>
  <c r="L485" i="3"/>
  <c r="K485" i="3"/>
  <c r="J485" i="3"/>
  <c r="I485" i="3"/>
  <c r="H485" i="3"/>
  <c r="G485" i="3"/>
  <c r="F485" i="3"/>
  <c r="E485" i="3"/>
  <c r="D485" i="3"/>
  <c r="C485" i="3"/>
  <c r="B485" i="3"/>
  <c r="A485" i="3"/>
  <c r="AA484" i="3"/>
  <c r="X484" i="3"/>
  <c r="W484" i="3"/>
  <c r="U484" i="3"/>
  <c r="Z484" i="3" s="1"/>
  <c r="S484" i="3"/>
  <c r="Q484" i="3"/>
  <c r="P484" i="3"/>
  <c r="O484" i="3"/>
  <c r="Y484" i="3" s="1"/>
  <c r="M484" i="3"/>
  <c r="L484" i="3"/>
  <c r="K484" i="3"/>
  <c r="J484" i="3"/>
  <c r="I484" i="3"/>
  <c r="H484" i="3"/>
  <c r="G484" i="3"/>
  <c r="F484" i="3"/>
  <c r="E484" i="3"/>
  <c r="D484" i="3"/>
  <c r="C484" i="3"/>
  <c r="B484" i="3"/>
  <c r="A484" i="3"/>
  <c r="AA483" i="3"/>
  <c r="X483" i="3"/>
  <c r="W483" i="3"/>
  <c r="U483" i="3"/>
  <c r="Z483" i="3" s="1"/>
  <c r="S483" i="3"/>
  <c r="Q483" i="3"/>
  <c r="P483" i="3"/>
  <c r="O483" i="3"/>
  <c r="Y483" i="3" s="1"/>
  <c r="M483" i="3"/>
  <c r="L483" i="3"/>
  <c r="K483" i="3"/>
  <c r="J483" i="3"/>
  <c r="I483" i="3"/>
  <c r="H483" i="3"/>
  <c r="G483" i="3"/>
  <c r="F483" i="3"/>
  <c r="E483" i="3"/>
  <c r="D483" i="3"/>
  <c r="C483" i="3"/>
  <c r="B483" i="3"/>
  <c r="A483" i="3"/>
  <c r="AA482" i="3"/>
  <c r="Z482" i="3"/>
  <c r="Y482" i="3"/>
  <c r="X482" i="3"/>
  <c r="W482" i="3"/>
  <c r="U482" i="3"/>
  <c r="S482" i="3"/>
  <c r="Q482" i="3"/>
  <c r="P482" i="3"/>
  <c r="M482" i="3"/>
  <c r="L482" i="3"/>
  <c r="K482" i="3"/>
  <c r="J482" i="3"/>
  <c r="I482" i="3"/>
  <c r="H482" i="3"/>
  <c r="G482" i="3"/>
  <c r="F482" i="3"/>
  <c r="E482" i="3"/>
  <c r="D482" i="3"/>
  <c r="C482" i="3"/>
  <c r="B482" i="3"/>
  <c r="A482" i="3"/>
  <c r="AA481" i="3"/>
  <c r="Y481" i="3"/>
  <c r="X481" i="3"/>
  <c r="W481" i="3"/>
  <c r="U481" i="3"/>
  <c r="Z481" i="3" s="1"/>
  <c r="S481" i="3"/>
  <c r="Q481" i="3"/>
  <c r="P481" i="3"/>
  <c r="M481" i="3"/>
  <c r="L481" i="3"/>
  <c r="K481" i="3"/>
  <c r="J481" i="3"/>
  <c r="I481" i="3"/>
  <c r="H481" i="3"/>
  <c r="G481" i="3"/>
  <c r="F481" i="3"/>
  <c r="E481" i="3"/>
  <c r="D481" i="3"/>
  <c r="C481" i="3"/>
  <c r="B481" i="3"/>
  <c r="A481" i="3"/>
  <c r="AA480" i="3"/>
  <c r="Y480" i="3"/>
  <c r="X480" i="3"/>
  <c r="W480" i="3"/>
  <c r="U480" i="3"/>
  <c r="Z480" i="3" s="1"/>
  <c r="S480" i="3"/>
  <c r="Q480" i="3"/>
  <c r="P480" i="3"/>
  <c r="M480" i="3"/>
  <c r="L480" i="3"/>
  <c r="K480" i="3"/>
  <c r="J480" i="3"/>
  <c r="I480" i="3"/>
  <c r="H480" i="3"/>
  <c r="G480" i="3"/>
  <c r="F480" i="3"/>
  <c r="E480" i="3"/>
  <c r="D480" i="3"/>
  <c r="C480" i="3"/>
  <c r="B480" i="3"/>
  <c r="A480" i="3"/>
  <c r="AA479" i="3"/>
  <c r="Y479" i="3"/>
  <c r="X479" i="3"/>
  <c r="W479" i="3"/>
  <c r="U479" i="3"/>
  <c r="Z479" i="3" s="1"/>
  <c r="S479" i="3"/>
  <c r="Q479" i="3"/>
  <c r="P479" i="3"/>
  <c r="M479" i="3"/>
  <c r="L479" i="3"/>
  <c r="K479" i="3"/>
  <c r="J479" i="3"/>
  <c r="I479" i="3"/>
  <c r="H479" i="3"/>
  <c r="G479" i="3"/>
  <c r="F479" i="3"/>
  <c r="E479" i="3"/>
  <c r="D479" i="3"/>
  <c r="C479" i="3"/>
  <c r="B479" i="3"/>
  <c r="A479" i="3"/>
  <c r="AA478" i="3"/>
  <c r="Y478" i="3"/>
  <c r="X478" i="3"/>
  <c r="W478" i="3"/>
  <c r="U478" i="3"/>
  <c r="Z478" i="3" s="1"/>
  <c r="S478" i="3"/>
  <c r="Q478" i="3"/>
  <c r="P478" i="3"/>
  <c r="M478" i="3"/>
  <c r="L478" i="3"/>
  <c r="K478" i="3"/>
  <c r="J478" i="3"/>
  <c r="I478" i="3"/>
  <c r="H478" i="3"/>
  <c r="G478" i="3"/>
  <c r="F478" i="3"/>
  <c r="E478" i="3"/>
  <c r="D478" i="3"/>
  <c r="C478" i="3"/>
  <c r="B478" i="3"/>
  <c r="A478" i="3"/>
  <c r="AA477" i="3"/>
  <c r="X477" i="3"/>
  <c r="W477" i="3"/>
  <c r="U477" i="3"/>
  <c r="Z477" i="3" s="1"/>
  <c r="S477" i="3"/>
  <c r="Q477" i="3"/>
  <c r="P477" i="3"/>
  <c r="O477" i="3"/>
  <c r="Y477" i="3" s="1"/>
  <c r="M477" i="3"/>
  <c r="L477" i="3"/>
  <c r="K477" i="3"/>
  <c r="J477" i="3"/>
  <c r="I477" i="3"/>
  <c r="H477" i="3"/>
  <c r="G477" i="3"/>
  <c r="F477" i="3"/>
  <c r="E477" i="3"/>
  <c r="D477" i="3"/>
  <c r="C477" i="3"/>
  <c r="B477" i="3"/>
  <c r="A477" i="3"/>
  <c r="AA476" i="3"/>
  <c r="Y476" i="3"/>
  <c r="X476" i="3"/>
  <c r="W476" i="3"/>
  <c r="U476" i="3"/>
  <c r="Z476" i="3" s="1"/>
  <c r="S476" i="3"/>
  <c r="Q476" i="3"/>
  <c r="P476" i="3"/>
  <c r="M476" i="3"/>
  <c r="L476" i="3"/>
  <c r="K476" i="3"/>
  <c r="J476" i="3"/>
  <c r="I476" i="3"/>
  <c r="H476" i="3"/>
  <c r="G476" i="3"/>
  <c r="F476" i="3"/>
  <c r="E476" i="3"/>
  <c r="D476" i="3"/>
  <c r="C476" i="3"/>
  <c r="B476" i="3"/>
  <c r="A476" i="3"/>
  <c r="AA475" i="3"/>
  <c r="Y475" i="3"/>
  <c r="X475" i="3"/>
  <c r="W475" i="3"/>
  <c r="U475" i="3"/>
  <c r="Z475" i="3" s="1"/>
  <c r="S475" i="3"/>
  <c r="Q475" i="3"/>
  <c r="P475" i="3"/>
  <c r="M475" i="3"/>
  <c r="L475" i="3"/>
  <c r="K475" i="3"/>
  <c r="J475" i="3"/>
  <c r="I475" i="3"/>
  <c r="H475" i="3"/>
  <c r="G475" i="3"/>
  <c r="F475" i="3"/>
  <c r="E475" i="3"/>
  <c r="D475" i="3"/>
  <c r="C475" i="3"/>
  <c r="B475" i="3"/>
  <c r="A475" i="3"/>
  <c r="AA474" i="3"/>
  <c r="Y474" i="3"/>
  <c r="X474" i="3"/>
  <c r="W474" i="3"/>
  <c r="U474" i="3"/>
  <c r="Z474" i="3" s="1"/>
  <c r="S474" i="3"/>
  <c r="Q474" i="3"/>
  <c r="P474" i="3"/>
  <c r="M474" i="3"/>
  <c r="L474" i="3"/>
  <c r="K474" i="3"/>
  <c r="J474" i="3"/>
  <c r="I474" i="3"/>
  <c r="H474" i="3"/>
  <c r="G474" i="3"/>
  <c r="F474" i="3"/>
  <c r="E474" i="3"/>
  <c r="D474" i="3"/>
  <c r="C474" i="3"/>
  <c r="B474" i="3"/>
  <c r="A474" i="3"/>
  <c r="AA473" i="3"/>
  <c r="X473" i="3"/>
  <c r="W473" i="3"/>
  <c r="U473" i="3"/>
  <c r="Z473" i="3" s="1"/>
  <c r="S473" i="3"/>
  <c r="Q473" i="3"/>
  <c r="P473" i="3"/>
  <c r="O473" i="3"/>
  <c r="Y473" i="3" s="1"/>
  <c r="M473" i="3"/>
  <c r="L473" i="3"/>
  <c r="K473" i="3"/>
  <c r="J473" i="3"/>
  <c r="I473" i="3"/>
  <c r="H473" i="3"/>
  <c r="G473" i="3"/>
  <c r="F473" i="3"/>
  <c r="E473" i="3"/>
  <c r="D473" i="3"/>
  <c r="C473" i="3"/>
  <c r="B473" i="3"/>
  <c r="A473" i="3"/>
  <c r="AA472" i="3"/>
  <c r="Y472" i="3"/>
  <c r="X472" i="3"/>
  <c r="W472" i="3"/>
  <c r="U472" i="3"/>
  <c r="Z472" i="3" s="1"/>
  <c r="S472" i="3"/>
  <c r="Q472" i="3"/>
  <c r="P472" i="3"/>
  <c r="M472" i="3"/>
  <c r="L472" i="3"/>
  <c r="K472" i="3"/>
  <c r="J472" i="3"/>
  <c r="I472" i="3"/>
  <c r="H472" i="3"/>
  <c r="G472" i="3"/>
  <c r="F472" i="3"/>
  <c r="E472" i="3"/>
  <c r="D472" i="3"/>
  <c r="C472" i="3"/>
  <c r="B472" i="3"/>
  <c r="A472" i="3"/>
  <c r="AA471" i="3"/>
  <c r="Y471" i="3"/>
  <c r="X471" i="3"/>
  <c r="W471" i="3"/>
  <c r="U471" i="3"/>
  <c r="Z471" i="3" s="1"/>
  <c r="S471" i="3"/>
  <c r="Q471" i="3"/>
  <c r="P471" i="3"/>
  <c r="M471" i="3"/>
  <c r="L471" i="3"/>
  <c r="K471" i="3"/>
  <c r="J471" i="3"/>
  <c r="I471" i="3"/>
  <c r="H471" i="3"/>
  <c r="G471" i="3"/>
  <c r="F471" i="3"/>
  <c r="E471" i="3"/>
  <c r="D471" i="3"/>
  <c r="C471" i="3"/>
  <c r="B471" i="3"/>
  <c r="A471" i="3"/>
  <c r="AA470" i="3"/>
  <c r="X470" i="3"/>
  <c r="W470" i="3"/>
  <c r="U470" i="3"/>
  <c r="Z470" i="3" s="1"/>
  <c r="S470" i="3"/>
  <c r="Q470" i="3"/>
  <c r="P470" i="3"/>
  <c r="O470" i="3"/>
  <c r="Y470" i="3" s="1"/>
  <c r="M470" i="3"/>
  <c r="L470" i="3"/>
  <c r="K470" i="3"/>
  <c r="J470" i="3"/>
  <c r="I470" i="3"/>
  <c r="H470" i="3"/>
  <c r="G470" i="3"/>
  <c r="F470" i="3"/>
  <c r="E470" i="3"/>
  <c r="D470" i="3"/>
  <c r="C470" i="3"/>
  <c r="B470" i="3"/>
  <c r="A470" i="3"/>
  <c r="AA469" i="3"/>
  <c r="X469" i="3"/>
  <c r="W469" i="3"/>
  <c r="U469" i="3"/>
  <c r="Z469" i="3" s="1"/>
  <c r="S469" i="3"/>
  <c r="Q469" i="3"/>
  <c r="P469" i="3"/>
  <c r="O469" i="3"/>
  <c r="Y469" i="3" s="1"/>
  <c r="M469" i="3"/>
  <c r="L469" i="3"/>
  <c r="K469" i="3"/>
  <c r="J469" i="3"/>
  <c r="I469" i="3"/>
  <c r="H469" i="3"/>
  <c r="G469" i="3"/>
  <c r="F469" i="3"/>
  <c r="E469" i="3"/>
  <c r="D469" i="3"/>
  <c r="C469" i="3"/>
  <c r="B469" i="3"/>
  <c r="A469" i="3"/>
  <c r="AA468" i="3"/>
  <c r="X468" i="3"/>
  <c r="W468" i="3"/>
  <c r="U468" i="3"/>
  <c r="Z468" i="3" s="1"/>
  <c r="S468" i="3"/>
  <c r="Q468" i="3"/>
  <c r="P468" i="3"/>
  <c r="O468" i="3"/>
  <c r="Y468" i="3" s="1"/>
  <c r="M468" i="3"/>
  <c r="L468" i="3"/>
  <c r="K468" i="3"/>
  <c r="J468" i="3"/>
  <c r="I468" i="3"/>
  <c r="H468" i="3"/>
  <c r="G468" i="3"/>
  <c r="F468" i="3"/>
  <c r="E468" i="3"/>
  <c r="D468" i="3"/>
  <c r="C468" i="3"/>
  <c r="B468" i="3"/>
  <c r="A468" i="3"/>
  <c r="AA467" i="3"/>
  <c r="Y467" i="3"/>
  <c r="X467" i="3"/>
  <c r="W467" i="3"/>
  <c r="U467" i="3"/>
  <c r="Z467" i="3" s="1"/>
  <c r="S467" i="3"/>
  <c r="Q467" i="3"/>
  <c r="P467" i="3"/>
  <c r="M467" i="3"/>
  <c r="L467" i="3"/>
  <c r="K467" i="3"/>
  <c r="J467" i="3"/>
  <c r="I467" i="3"/>
  <c r="H467" i="3"/>
  <c r="G467" i="3"/>
  <c r="F467" i="3"/>
  <c r="E467" i="3"/>
  <c r="D467" i="3"/>
  <c r="C467" i="3"/>
  <c r="B467" i="3"/>
  <c r="A467" i="3"/>
  <c r="AA466" i="3"/>
  <c r="Y466" i="3"/>
  <c r="X466" i="3"/>
  <c r="W466" i="3"/>
  <c r="U466" i="3"/>
  <c r="Z466" i="3" s="1"/>
  <c r="S466" i="3"/>
  <c r="Q466" i="3"/>
  <c r="P466" i="3"/>
  <c r="M466" i="3"/>
  <c r="L466" i="3"/>
  <c r="K466" i="3"/>
  <c r="J466" i="3"/>
  <c r="I466" i="3"/>
  <c r="H466" i="3"/>
  <c r="G466" i="3"/>
  <c r="F466" i="3"/>
  <c r="E466" i="3"/>
  <c r="D466" i="3"/>
  <c r="C466" i="3"/>
  <c r="B466" i="3"/>
  <c r="A466" i="3"/>
  <c r="AA465" i="3"/>
  <c r="Y465" i="3"/>
  <c r="X465" i="3"/>
  <c r="W465" i="3"/>
  <c r="U465" i="3"/>
  <c r="Z465" i="3" s="1"/>
  <c r="S465" i="3"/>
  <c r="Q465" i="3"/>
  <c r="P465" i="3"/>
  <c r="M465" i="3"/>
  <c r="L465" i="3"/>
  <c r="K465" i="3"/>
  <c r="J465" i="3"/>
  <c r="I465" i="3"/>
  <c r="H465" i="3"/>
  <c r="G465" i="3"/>
  <c r="F465" i="3"/>
  <c r="E465" i="3"/>
  <c r="D465" i="3"/>
  <c r="C465" i="3"/>
  <c r="B465" i="3"/>
  <c r="A465" i="3"/>
  <c r="AA464" i="3"/>
  <c r="Y464" i="3"/>
  <c r="X464" i="3"/>
  <c r="W464" i="3"/>
  <c r="U464" i="3"/>
  <c r="Z464" i="3" s="1"/>
  <c r="S464" i="3"/>
  <c r="Q464" i="3"/>
  <c r="P464" i="3"/>
  <c r="M464" i="3"/>
  <c r="L464" i="3"/>
  <c r="K464" i="3"/>
  <c r="J464" i="3"/>
  <c r="I464" i="3"/>
  <c r="H464" i="3"/>
  <c r="G464" i="3"/>
  <c r="F464" i="3"/>
  <c r="E464" i="3"/>
  <c r="D464" i="3"/>
  <c r="C464" i="3"/>
  <c r="B464" i="3"/>
  <c r="A464" i="3"/>
  <c r="AA463" i="3"/>
  <c r="Y463" i="3"/>
  <c r="X463" i="3"/>
  <c r="W463" i="3"/>
  <c r="U463" i="3"/>
  <c r="Z463" i="3" s="1"/>
  <c r="S463" i="3"/>
  <c r="Q463" i="3"/>
  <c r="P463" i="3"/>
  <c r="M463" i="3"/>
  <c r="L463" i="3"/>
  <c r="K463" i="3"/>
  <c r="J463" i="3"/>
  <c r="I463" i="3"/>
  <c r="H463" i="3"/>
  <c r="G463" i="3"/>
  <c r="F463" i="3"/>
  <c r="E463" i="3"/>
  <c r="D463" i="3"/>
  <c r="C463" i="3"/>
  <c r="B463" i="3"/>
  <c r="A463" i="3"/>
  <c r="AA462" i="3"/>
  <c r="Y462" i="3"/>
  <c r="X462" i="3"/>
  <c r="W462" i="3"/>
  <c r="U462" i="3"/>
  <c r="Z462" i="3" s="1"/>
  <c r="S462" i="3"/>
  <c r="Q462" i="3"/>
  <c r="P462" i="3"/>
  <c r="M462" i="3"/>
  <c r="L462" i="3"/>
  <c r="K462" i="3"/>
  <c r="J462" i="3"/>
  <c r="I462" i="3"/>
  <c r="H462" i="3"/>
  <c r="G462" i="3"/>
  <c r="F462" i="3"/>
  <c r="E462" i="3"/>
  <c r="D462" i="3"/>
  <c r="C462" i="3"/>
  <c r="B462" i="3"/>
  <c r="A462" i="3"/>
  <c r="AA461" i="3"/>
  <c r="X461" i="3"/>
  <c r="W461" i="3"/>
  <c r="U461" i="3"/>
  <c r="Z461" i="3" s="1"/>
  <c r="S461" i="3"/>
  <c r="Q461" i="3"/>
  <c r="P461" i="3"/>
  <c r="O461" i="3"/>
  <c r="Y461" i="3" s="1"/>
  <c r="M461" i="3"/>
  <c r="L461" i="3"/>
  <c r="K461" i="3"/>
  <c r="J461" i="3"/>
  <c r="I461" i="3"/>
  <c r="H461" i="3"/>
  <c r="G461" i="3"/>
  <c r="F461" i="3"/>
  <c r="E461" i="3"/>
  <c r="D461" i="3"/>
  <c r="C461" i="3"/>
  <c r="B461" i="3"/>
  <c r="A461" i="3"/>
  <c r="AA460" i="3"/>
  <c r="X460" i="3"/>
  <c r="W460" i="3"/>
  <c r="U460" i="3"/>
  <c r="Z460" i="3" s="1"/>
  <c r="S460" i="3"/>
  <c r="Q460" i="3"/>
  <c r="P460" i="3"/>
  <c r="O460" i="3"/>
  <c r="Y460" i="3" s="1"/>
  <c r="M460" i="3"/>
  <c r="L460" i="3"/>
  <c r="K460" i="3"/>
  <c r="J460" i="3"/>
  <c r="I460" i="3"/>
  <c r="H460" i="3"/>
  <c r="G460" i="3"/>
  <c r="F460" i="3"/>
  <c r="E460" i="3"/>
  <c r="D460" i="3"/>
  <c r="C460" i="3"/>
  <c r="B460" i="3"/>
  <c r="A460" i="3"/>
  <c r="AA459" i="3"/>
  <c r="X459" i="3"/>
  <c r="W459" i="3"/>
  <c r="U459" i="3"/>
  <c r="Z459" i="3" s="1"/>
  <c r="S459" i="3"/>
  <c r="Q459" i="3"/>
  <c r="P459" i="3"/>
  <c r="O459" i="3"/>
  <c r="Y459" i="3" s="1"/>
  <c r="M459" i="3"/>
  <c r="L459" i="3"/>
  <c r="K459" i="3"/>
  <c r="J459" i="3"/>
  <c r="I459" i="3"/>
  <c r="H459" i="3"/>
  <c r="G459" i="3"/>
  <c r="F459" i="3"/>
  <c r="E459" i="3"/>
  <c r="D459" i="3"/>
  <c r="C459" i="3"/>
  <c r="B459" i="3"/>
  <c r="A459" i="3"/>
  <c r="AA458" i="3"/>
  <c r="Y458" i="3"/>
  <c r="X458" i="3"/>
  <c r="W458" i="3"/>
  <c r="U458" i="3"/>
  <c r="Z458" i="3" s="1"/>
  <c r="S458" i="3"/>
  <c r="Q458" i="3"/>
  <c r="P458" i="3"/>
  <c r="M458" i="3"/>
  <c r="L458" i="3"/>
  <c r="K458" i="3"/>
  <c r="J458" i="3"/>
  <c r="I458" i="3"/>
  <c r="H458" i="3"/>
  <c r="G458" i="3"/>
  <c r="F458" i="3"/>
  <c r="E458" i="3"/>
  <c r="D458" i="3"/>
  <c r="C458" i="3"/>
  <c r="B458" i="3"/>
  <c r="A458" i="3"/>
  <c r="AA457" i="3"/>
  <c r="Y457" i="3"/>
  <c r="X457" i="3"/>
  <c r="W457" i="3"/>
  <c r="U457" i="3"/>
  <c r="Z457" i="3" s="1"/>
  <c r="S457" i="3"/>
  <c r="Q457" i="3"/>
  <c r="P457" i="3"/>
  <c r="M457" i="3"/>
  <c r="L457" i="3"/>
  <c r="K457" i="3"/>
  <c r="J457" i="3"/>
  <c r="I457" i="3"/>
  <c r="H457" i="3"/>
  <c r="G457" i="3"/>
  <c r="F457" i="3"/>
  <c r="E457" i="3"/>
  <c r="D457" i="3"/>
  <c r="C457" i="3"/>
  <c r="B457" i="3"/>
  <c r="A457" i="3"/>
  <c r="AA456" i="3"/>
  <c r="Y456" i="3"/>
  <c r="X456" i="3"/>
  <c r="W456" i="3"/>
  <c r="U456" i="3"/>
  <c r="Z456" i="3" s="1"/>
  <c r="S456" i="3"/>
  <c r="Q456" i="3"/>
  <c r="P456" i="3"/>
  <c r="M456" i="3"/>
  <c r="L456" i="3"/>
  <c r="K456" i="3"/>
  <c r="J456" i="3"/>
  <c r="I456" i="3"/>
  <c r="H456" i="3"/>
  <c r="G456" i="3"/>
  <c r="F456" i="3"/>
  <c r="E456" i="3"/>
  <c r="D456" i="3"/>
  <c r="C456" i="3"/>
  <c r="B456" i="3"/>
  <c r="A456" i="3"/>
  <c r="AA455" i="3"/>
  <c r="X455" i="3"/>
  <c r="W455" i="3"/>
  <c r="U455" i="3"/>
  <c r="Z455" i="3" s="1"/>
  <c r="S455" i="3"/>
  <c r="Q455" i="3"/>
  <c r="P455" i="3"/>
  <c r="O455" i="3"/>
  <c r="Y455" i="3" s="1"/>
  <c r="M455" i="3"/>
  <c r="L455" i="3"/>
  <c r="K455" i="3"/>
  <c r="J455" i="3"/>
  <c r="I455" i="3"/>
  <c r="H455" i="3"/>
  <c r="G455" i="3"/>
  <c r="F455" i="3"/>
  <c r="E455" i="3"/>
  <c r="D455" i="3"/>
  <c r="C455" i="3"/>
  <c r="B455" i="3"/>
  <c r="A455" i="3"/>
  <c r="AA454" i="3"/>
  <c r="Y454" i="3"/>
  <c r="X454" i="3"/>
  <c r="W454" i="3"/>
  <c r="U454" i="3"/>
  <c r="Z454" i="3" s="1"/>
  <c r="S454" i="3"/>
  <c r="Q454" i="3"/>
  <c r="P454" i="3"/>
  <c r="M454" i="3"/>
  <c r="L454" i="3"/>
  <c r="K454" i="3"/>
  <c r="J454" i="3"/>
  <c r="I454" i="3"/>
  <c r="H454" i="3"/>
  <c r="G454" i="3"/>
  <c r="F454" i="3"/>
  <c r="E454" i="3"/>
  <c r="D454" i="3"/>
  <c r="C454" i="3"/>
  <c r="B454" i="3"/>
  <c r="A454" i="3"/>
  <c r="AA453" i="3"/>
  <c r="X453" i="3"/>
  <c r="W453" i="3"/>
  <c r="U453" i="3"/>
  <c r="Z453" i="3" s="1"/>
  <c r="S453" i="3"/>
  <c r="Q453" i="3"/>
  <c r="P453" i="3"/>
  <c r="O453" i="3"/>
  <c r="Y453" i="3" s="1"/>
  <c r="M453" i="3"/>
  <c r="L453" i="3"/>
  <c r="K453" i="3"/>
  <c r="J453" i="3"/>
  <c r="I453" i="3"/>
  <c r="H453" i="3"/>
  <c r="G453" i="3"/>
  <c r="F453" i="3"/>
  <c r="E453" i="3"/>
  <c r="D453" i="3"/>
  <c r="C453" i="3"/>
  <c r="B453" i="3"/>
  <c r="A453" i="3"/>
  <c r="AA452" i="3"/>
  <c r="X452" i="3"/>
  <c r="W452" i="3"/>
  <c r="U452" i="3"/>
  <c r="Z452" i="3" s="1"/>
  <c r="S452" i="3"/>
  <c r="Q452" i="3"/>
  <c r="P452" i="3"/>
  <c r="O452" i="3"/>
  <c r="Y452" i="3" s="1"/>
  <c r="M452" i="3"/>
  <c r="L452" i="3"/>
  <c r="K452" i="3"/>
  <c r="J452" i="3"/>
  <c r="I452" i="3"/>
  <c r="H452" i="3"/>
  <c r="G452" i="3"/>
  <c r="F452" i="3"/>
  <c r="E452" i="3"/>
  <c r="D452" i="3"/>
  <c r="C452" i="3"/>
  <c r="B452" i="3"/>
  <c r="A452" i="3"/>
  <c r="AA451" i="3"/>
  <c r="X451" i="3"/>
  <c r="W451" i="3"/>
  <c r="U451" i="3"/>
  <c r="Z451" i="3" s="1"/>
  <c r="S451" i="3"/>
  <c r="Q451" i="3"/>
  <c r="P451" i="3"/>
  <c r="O451" i="3"/>
  <c r="Y451" i="3" s="1"/>
  <c r="M451" i="3"/>
  <c r="L451" i="3"/>
  <c r="K451" i="3"/>
  <c r="J451" i="3"/>
  <c r="I451" i="3"/>
  <c r="H451" i="3"/>
  <c r="G451" i="3"/>
  <c r="F451" i="3"/>
  <c r="E451" i="3"/>
  <c r="D451" i="3"/>
  <c r="C451" i="3"/>
  <c r="B451" i="3"/>
  <c r="A451" i="3"/>
  <c r="AA450" i="3"/>
  <c r="Y450" i="3"/>
  <c r="X450" i="3"/>
  <c r="W450" i="3"/>
  <c r="U450" i="3"/>
  <c r="Z450" i="3" s="1"/>
  <c r="S450" i="3"/>
  <c r="Q450" i="3"/>
  <c r="P450" i="3"/>
  <c r="M450" i="3"/>
  <c r="L450" i="3"/>
  <c r="K450" i="3"/>
  <c r="J450" i="3"/>
  <c r="I450" i="3"/>
  <c r="H450" i="3"/>
  <c r="G450" i="3"/>
  <c r="F450" i="3"/>
  <c r="E450" i="3"/>
  <c r="D450" i="3"/>
  <c r="C450" i="3"/>
  <c r="B450" i="3"/>
  <c r="A450" i="3"/>
  <c r="AA449" i="3"/>
  <c r="Y449" i="3"/>
  <c r="X449" i="3"/>
  <c r="W449" i="3"/>
  <c r="U449" i="3"/>
  <c r="Z449" i="3" s="1"/>
  <c r="S449" i="3"/>
  <c r="Q449" i="3"/>
  <c r="P449" i="3"/>
  <c r="M449" i="3"/>
  <c r="L449" i="3"/>
  <c r="K449" i="3"/>
  <c r="J449" i="3"/>
  <c r="I449" i="3"/>
  <c r="H449" i="3"/>
  <c r="G449" i="3"/>
  <c r="F449" i="3"/>
  <c r="E449" i="3"/>
  <c r="D449" i="3"/>
  <c r="C449" i="3"/>
  <c r="B449" i="3"/>
  <c r="A449" i="3"/>
  <c r="AA448" i="3"/>
  <c r="Y448" i="3"/>
  <c r="X448" i="3"/>
  <c r="W448" i="3"/>
  <c r="U448" i="3"/>
  <c r="Z448" i="3" s="1"/>
  <c r="S448" i="3"/>
  <c r="Q448" i="3"/>
  <c r="P448" i="3"/>
  <c r="M448" i="3"/>
  <c r="L448" i="3"/>
  <c r="K448" i="3"/>
  <c r="J448" i="3"/>
  <c r="I448" i="3"/>
  <c r="H448" i="3"/>
  <c r="G448" i="3"/>
  <c r="F448" i="3"/>
  <c r="E448" i="3"/>
  <c r="D448" i="3"/>
  <c r="C448" i="3"/>
  <c r="B448" i="3"/>
  <c r="A448" i="3"/>
  <c r="AA447" i="3"/>
  <c r="Y447" i="3"/>
  <c r="X447" i="3"/>
  <c r="W447" i="3"/>
  <c r="U447" i="3"/>
  <c r="Z447" i="3" s="1"/>
  <c r="S447" i="3"/>
  <c r="Q447" i="3"/>
  <c r="P447" i="3"/>
  <c r="M447" i="3"/>
  <c r="L447" i="3"/>
  <c r="K447" i="3"/>
  <c r="J447" i="3"/>
  <c r="I447" i="3"/>
  <c r="H447" i="3"/>
  <c r="G447" i="3"/>
  <c r="F447" i="3"/>
  <c r="E447" i="3"/>
  <c r="D447" i="3"/>
  <c r="C447" i="3"/>
  <c r="B447" i="3"/>
  <c r="A447" i="3"/>
  <c r="AA446" i="3"/>
  <c r="Y446" i="3"/>
  <c r="X446" i="3"/>
  <c r="W446" i="3"/>
  <c r="U446" i="3"/>
  <c r="Z446" i="3" s="1"/>
  <c r="S446" i="3"/>
  <c r="Q446" i="3"/>
  <c r="P446" i="3"/>
  <c r="M446" i="3"/>
  <c r="L446" i="3"/>
  <c r="K446" i="3"/>
  <c r="J446" i="3"/>
  <c r="I446" i="3"/>
  <c r="H446" i="3"/>
  <c r="G446" i="3"/>
  <c r="F446" i="3"/>
  <c r="E446" i="3"/>
  <c r="D446" i="3"/>
  <c r="C446" i="3"/>
  <c r="B446" i="3"/>
  <c r="A446" i="3"/>
  <c r="AA445" i="3"/>
  <c r="Y445" i="3"/>
  <c r="X445" i="3"/>
  <c r="W445" i="3"/>
  <c r="U445" i="3"/>
  <c r="Z445" i="3" s="1"/>
  <c r="S445" i="3"/>
  <c r="Q445" i="3"/>
  <c r="P445" i="3"/>
  <c r="M445" i="3"/>
  <c r="L445" i="3"/>
  <c r="K445" i="3"/>
  <c r="J445" i="3"/>
  <c r="I445" i="3"/>
  <c r="H445" i="3"/>
  <c r="G445" i="3"/>
  <c r="F445" i="3"/>
  <c r="E445" i="3"/>
  <c r="D445" i="3"/>
  <c r="C445" i="3"/>
  <c r="B445" i="3"/>
  <c r="A445" i="3"/>
  <c r="AA444" i="3"/>
  <c r="Y444" i="3"/>
  <c r="X444" i="3"/>
  <c r="W444" i="3"/>
  <c r="U444" i="3"/>
  <c r="Z444" i="3" s="1"/>
  <c r="S444" i="3"/>
  <c r="Q444" i="3"/>
  <c r="P444" i="3"/>
  <c r="M444" i="3"/>
  <c r="L444" i="3"/>
  <c r="K444" i="3"/>
  <c r="J444" i="3"/>
  <c r="I444" i="3"/>
  <c r="H444" i="3"/>
  <c r="G444" i="3"/>
  <c r="F444" i="3"/>
  <c r="E444" i="3"/>
  <c r="D444" i="3"/>
  <c r="C444" i="3"/>
  <c r="B444" i="3"/>
  <c r="A444" i="3"/>
  <c r="AA443" i="3"/>
  <c r="Y443" i="3"/>
  <c r="X443" i="3"/>
  <c r="W443" i="3"/>
  <c r="U443" i="3"/>
  <c r="Z443" i="3" s="1"/>
  <c r="S443" i="3"/>
  <c r="Q443" i="3"/>
  <c r="P443" i="3"/>
  <c r="M443" i="3"/>
  <c r="L443" i="3"/>
  <c r="K443" i="3"/>
  <c r="J443" i="3"/>
  <c r="I443" i="3"/>
  <c r="H443" i="3"/>
  <c r="G443" i="3"/>
  <c r="F443" i="3"/>
  <c r="E443" i="3"/>
  <c r="D443" i="3"/>
  <c r="C443" i="3"/>
  <c r="B443" i="3"/>
  <c r="A443" i="3"/>
  <c r="AA442" i="3"/>
  <c r="Y442" i="3"/>
  <c r="X442" i="3"/>
  <c r="W442" i="3"/>
  <c r="U442" i="3"/>
  <c r="Z442" i="3" s="1"/>
  <c r="S442" i="3"/>
  <c r="Q442" i="3"/>
  <c r="P442" i="3"/>
  <c r="M442" i="3"/>
  <c r="L442" i="3"/>
  <c r="K442" i="3"/>
  <c r="J442" i="3"/>
  <c r="I442" i="3"/>
  <c r="H442" i="3"/>
  <c r="G442" i="3"/>
  <c r="F442" i="3"/>
  <c r="E442" i="3"/>
  <c r="D442" i="3"/>
  <c r="C442" i="3"/>
  <c r="B442" i="3"/>
  <c r="A442" i="3"/>
  <c r="AA441" i="3"/>
  <c r="Y441" i="3"/>
  <c r="X441" i="3"/>
  <c r="W441" i="3"/>
  <c r="U441" i="3"/>
  <c r="Z441" i="3" s="1"/>
  <c r="S441" i="3"/>
  <c r="Q441" i="3"/>
  <c r="P441" i="3"/>
  <c r="M441" i="3"/>
  <c r="L441" i="3"/>
  <c r="K441" i="3"/>
  <c r="J441" i="3"/>
  <c r="I441" i="3"/>
  <c r="H441" i="3"/>
  <c r="G441" i="3"/>
  <c r="F441" i="3"/>
  <c r="E441" i="3"/>
  <c r="D441" i="3"/>
  <c r="C441" i="3"/>
  <c r="B441" i="3"/>
  <c r="A441" i="3"/>
  <c r="AA440" i="3"/>
  <c r="X440" i="3"/>
  <c r="W440" i="3"/>
  <c r="U440" i="3"/>
  <c r="Z440" i="3" s="1"/>
  <c r="S440" i="3"/>
  <c r="Q440" i="3"/>
  <c r="P440" i="3"/>
  <c r="O440" i="3"/>
  <c r="Y440" i="3" s="1"/>
  <c r="M440" i="3"/>
  <c r="L440" i="3"/>
  <c r="K440" i="3"/>
  <c r="J440" i="3"/>
  <c r="I440" i="3"/>
  <c r="H440" i="3"/>
  <c r="G440" i="3"/>
  <c r="F440" i="3"/>
  <c r="E440" i="3"/>
  <c r="D440" i="3"/>
  <c r="C440" i="3"/>
  <c r="B440" i="3"/>
  <c r="A440" i="3"/>
  <c r="AA439" i="3"/>
  <c r="X439" i="3"/>
  <c r="W439" i="3"/>
  <c r="U439" i="3"/>
  <c r="Z439" i="3" s="1"/>
  <c r="S439" i="3"/>
  <c r="Q439" i="3"/>
  <c r="P439" i="3"/>
  <c r="O439" i="3"/>
  <c r="Y439" i="3" s="1"/>
  <c r="M439" i="3"/>
  <c r="L439" i="3"/>
  <c r="K439" i="3"/>
  <c r="J439" i="3"/>
  <c r="I439" i="3"/>
  <c r="H439" i="3"/>
  <c r="G439" i="3"/>
  <c r="F439" i="3"/>
  <c r="E439" i="3"/>
  <c r="D439" i="3"/>
  <c r="C439" i="3"/>
  <c r="B439" i="3"/>
  <c r="A439" i="3"/>
  <c r="AA438" i="3"/>
  <c r="X438" i="3"/>
  <c r="W438" i="3"/>
  <c r="U438" i="3"/>
  <c r="Z438" i="3" s="1"/>
  <c r="S438" i="3"/>
  <c r="Q438" i="3"/>
  <c r="P438" i="3"/>
  <c r="O438" i="3"/>
  <c r="Y438" i="3" s="1"/>
  <c r="M438" i="3"/>
  <c r="L438" i="3"/>
  <c r="K438" i="3"/>
  <c r="J438" i="3"/>
  <c r="I438" i="3"/>
  <c r="H438" i="3"/>
  <c r="G438" i="3"/>
  <c r="F438" i="3"/>
  <c r="E438" i="3"/>
  <c r="D438" i="3"/>
  <c r="C438" i="3"/>
  <c r="B438" i="3"/>
  <c r="A438" i="3"/>
  <c r="AA437" i="3"/>
  <c r="Y437" i="3"/>
  <c r="X437" i="3"/>
  <c r="W437" i="3"/>
  <c r="U437" i="3"/>
  <c r="Z437" i="3" s="1"/>
  <c r="S437" i="3"/>
  <c r="Q437" i="3"/>
  <c r="P437" i="3"/>
  <c r="M437" i="3"/>
  <c r="L437" i="3"/>
  <c r="K437" i="3"/>
  <c r="J437" i="3"/>
  <c r="I437" i="3"/>
  <c r="H437" i="3"/>
  <c r="G437" i="3"/>
  <c r="F437" i="3"/>
  <c r="E437" i="3"/>
  <c r="D437" i="3"/>
  <c r="C437" i="3"/>
  <c r="B437" i="3"/>
  <c r="A437" i="3"/>
  <c r="AA436" i="3"/>
  <c r="Y436" i="3"/>
  <c r="X436" i="3"/>
  <c r="W436" i="3"/>
  <c r="U436" i="3"/>
  <c r="Z436" i="3" s="1"/>
  <c r="S436" i="3"/>
  <c r="Q436" i="3"/>
  <c r="P436" i="3"/>
  <c r="M436" i="3"/>
  <c r="L436" i="3"/>
  <c r="K436" i="3"/>
  <c r="J436" i="3"/>
  <c r="I436" i="3"/>
  <c r="H436" i="3"/>
  <c r="G436" i="3"/>
  <c r="F436" i="3"/>
  <c r="E436" i="3"/>
  <c r="D436" i="3"/>
  <c r="C436" i="3"/>
  <c r="B436" i="3"/>
  <c r="A436" i="3"/>
  <c r="AA435" i="3"/>
  <c r="Y435" i="3"/>
  <c r="X435" i="3"/>
  <c r="W435" i="3"/>
  <c r="U435" i="3"/>
  <c r="Z435" i="3" s="1"/>
  <c r="S435" i="3"/>
  <c r="Q435" i="3"/>
  <c r="P435" i="3"/>
  <c r="M435" i="3"/>
  <c r="L435" i="3"/>
  <c r="K435" i="3"/>
  <c r="J435" i="3"/>
  <c r="I435" i="3"/>
  <c r="H435" i="3"/>
  <c r="G435" i="3"/>
  <c r="F435" i="3"/>
  <c r="E435" i="3"/>
  <c r="D435" i="3"/>
  <c r="C435" i="3"/>
  <c r="B435" i="3"/>
  <c r="A435" i="3"/>
  <c r="AA434" i="3"/>
  <c r="Y434" i="3"/>
  <c r="X434" i="3"/>
  <c r="W434" i="3"/>
  <c r="U434" i="3"/>
  <c r="Z434" i="3" s="1"/>
  <c r="S434" i="3"/>
  <c r="Q434" i="3"/>
  <c r="P434" i="3"/>
  <c r="M434" i="3"/>
  <c r="L434" i="3"/>
  <c r="K434" i="3"/>
  <c r="J434" i="3"/>
  <c r="I434" i="3"/>
  <c r="H434" i="3"/>
  <c r="G434" i="3"/>
  <c r="F434" i="3"/>
  <c r="E434" i="3"/>
  <c r="D434" i="3"/>
  <c r="C434" i="3"/>
  <c r="B434" i="3"/>
  <c r="A434" i="3"/>
  <c r="AA433" i="3"/>
  <c r="X433" i="3"/>
  <c r="W433" i="3"/>
  <c r="U433" i="3"/>
  <c r="Z433" i="3" s="1"/>
  <c r="S433" i="3"/>
  <c r="Q433" i="3"/>
  <c r="P433" i="3"/>
  <c r="O433" i="3"/>
  <c r="Y433" i="3" s="1"/>
  <c r="M433" i="3"/>
  <c r="L433" i="3"/>
  <c r="K433" i="3"/>
  <c r="J433" i="3"/>
  <c r="I433" i="3"/>
  <c r="H433" i="3"/>
  <c r="G433" i="3"/>
  <c r="F433" i="3"/>
  <c r="E433" i="3"/>
  <c r="D433" i="3"/>
  <c r="C433" i="3"/>
  <c r="B433" i="3"/>
  <c r="A433" i="3"/>
  <c r="AA432" i="3"/>
  <c r="Y432" i="3"/>
  <c r="X432" i="3"/>
  <c r="W432" i="3"/>
  <c r="U432" i="3"/>
  <c r="Z432" i="3" s="1"/>
  <c r="S432" i="3"/>
  <c r="Q432" i="3"/>
  <c r="P432" i="3"/>
  <c r="M432" i="3"/>
  <c r="L432" i="3"/>
  <c r="K432" i="3"/>
  <c r="J432" i="3"/>
  <c r="I432" i="3"/>
  <c r="H432" i="3"/>
  <c r="G432" i="3"/>
  <c r="F432" i="3"/>
  <c r="E432" i="3"/>
  <c r="D432" i="3"/>
  <c r="C432" i="3"/>
  <c r="B432" i="3"/>
  <c r="A432" i="3"/>
  <c r="AA431" i="3"/>
  <c r="Y431" i="3"/>
  <c r="X431" i="3"/>
  <c r="W431" i="3"/>
  <c r="U431" i="3"/>
  <c r="Z431" i="3" s="1"/>
  <c r="S431" i="3"/>
  <c r="Q431" i="3"/>
  <c r="P431" i="3"/>
  <c r="M431" i="3"/>
  <c r="L431" i="3"/>
  <c r="K431" i="3"/>
  <c r="J431" i="3"/>
  <c r="I431" i="3"/>
  <c r="H431" i="3"/>
  <c r="G431" i="3"/>
  <c r="F431" i="3"/>
  <c r="E431" i="3"/>
  <c r="D431" i="3"/>
  <c r="C431" i="3"/>
  <c r="B431" i="3"/>
  <c r="A431" i="3"/>
  <c r="AA430" i="3"/>
  <c r="Y430" i="3"/>
  <c r="X430" i="3"/>
  <c r="W430" i="3"/>
  <c r="U430" i="3"/>
  <c r="Z430" i="3" s="1"/>
  <c r="S430" i="3"/>
  <c r="Q430" i="3"/>
  <c r="P430" i="3"/>
  <c r="M430" i="3"/>
  <c r="L430" i="3"/>
  <c r="K430" i="3"/>
  <c r="J430" i="3"/>
  <c r="I430" i="3"/>
  <c r="H430" i="3"/>
  <c r="G430" i="3"/>
  <c r="F430" i="3"/>
  <c r="E430" i="3"/>
  <c r="D430" i="3"/>
  <c r="C430" i="3"/>
  <c r="B430" i="3"/>
  <c r="A430" i="3"/>
  <c r="AA429" i="3"/>
  <c r="X429" i="3"/>
  <c r="W429" i="3"/>
  <c r="U429" i="3"/>
  <c r="Z429" i="3" s="1"/>
  <c r="S429" i="3"/>
  <c r="Q429" i="3"/>
  <c r="P429" i="3"/>
  <c r="O429" i="3"/>
  <c r="Y429" i="3" s="1"/>
  <c r="M429" i="3"/>
  <c r="L429" i="3"/>
  <c r="K429" i="3"/>
  <c r="J429" i="3"/>
  <c r="I429" i="3"/>
  <c r="H429" i="3"/>
  <c r="G429" i="3"/>
  <c r="F429" i="3"/>
  <c r="E429" i="3"/>
  <c r="D429" i="3"/>
  <c r="C429" i="3"/>
  <c r="B429" i="3"/>
  <c r="A429" i="3"/>
  <c r="AA428" i="3"/>
  <c r="Y428" i="3"/>
  <c r="X428" i="3"/>
  <c r="W428" i="3"/>
  <c r="U428" i="3"/>
  <c r="Z428" i="3" s="1"/>
  <c r="S428" i="3"/>
  <c r="Q428" i="3"/>
  <c r="P428" i="3"/>
  <c r="M428" i="3"/>
  <c r="L428" i="3"/>
  <c r="K428" i="3"/>
  <c r="J428" i="3"/>
  <c r="I428" i="3"/>
  <c r="H428" i="3"/>
  <c r="G428" i="3"/>
  <c r="F428" i="3"/>
  <c r="E428" i="3"/>
  <c r="D428" i="3"/>
  <c r="C428" i="3"/>
  <c r="B428" i="3"/>
  <c r="A428" i="3"/>
  <c r="AA427" i="3"/>
  <c r="Y427" i="3"/>
  <c r="X427" i="3"/>
  <c r="W427" i="3"/>
  <c r="U427" i="3"/>
  <c r="Z427" i="3" s="1"/>
  <c r="S427" i="3"/>
  <c r="Q427" i="3"/>
  <c r="P427" i="3"/>
  <c r="M427" i="3"/>
  <c r="L427" i="3"/>
  <c r="K427" i="3"/>
  <c r="J427" i="3"/>
  <c r="I427" i="3"/>
  <c r="H427" i="3"/>
  <c r="G427" i="3"/>
  <c r="F427" i="3"/>
  <c r="E427" i="3"/>
  <c r="D427" i="3"/>
  <c r="C427" i="3"/>
  <c r="B427" i="3"/>
  <c r="A427" i="3"/>
  <c r="AA426" i="3"/>
  <c r="Y426" i="3"/>
  <c r="X426" i="3"/>
  <c r="W426" i="3"/>
  <c r="U426" i="3"/>
  <c r="Z426" i="3" s="1"/>
  <c r="S426" i="3"/>
  <c r="Q426" i="3"/>
  <c r="P426" i="3"/>
  <c r="M426" i="3"/>
  <c r="L426" i="3"/>
  <c r="K426" i="3"/>
  <c r="J426" i="3"/>
  <c r="I426" i="3"/>
  <c r="H426" i="3"/>
  <c r="G426" i="3"/>
  <c r="F426" i="3"/>
  <c r="E426" i="3"/>
  <c r="D426" i="3"/>
  <c r="C426" i="3"/>
  <c r="B426" i="3"/>
  <c r="A426" i="3"/>
  <c r="AA425" i="3"/>
  <c r="Y425" i="3"/>
  <c r="X425" i="3"/>
  <c r="W425" i="3"/>
  <c r="U425" i="3"/>
  <c r="Z425" i="3" s="1"/>
  <c r="S425" i="3"/>
  <c r="Q425" i="3"/>
  <c r="P425" i="3"/>
  <c r="M425" i="3"/>
  <c r="L425" i="3"/>
  <c r="K425" i="3"/>
  <c r="J425" i="3"/>
  <c r="I425" i="3"/>
  <c r="H425" i="3"/>
  <c r="G425" i="3"/>
  <c r="F425" i="3"/>
  <c r="E425" i="3"/>
  <c r="D425" i="3"/>
  <c r="C425" i="3"/>
  <c r="B425" i="3"/>
  <c r="A425" i="3"/>
  <c r="AA424" i="3"/>
  <c r="Y424" i="3"/>
  <c r="X424" i="3"/>
  <c r="W424" i="3"/>
  <c r="U424" i="3"/>
  <c r="Z424" i="3" s="1"/>
  <c r="S424" i="3"/>
  <c r="Q424" i="3"/>
  <c r="P424" i="3"/>
  <c r="M424" i="3"/>
  <c r="L424" i="3"/>
  <c r="K424" i="3"/>
  <c r="J424" i="3"/>
  <c r="I424" i="3"/>
  <c r="H424" i="3"/>
  <c r="G424" i="3"/>
  <c r="F424" i="3"/>
  <c r="E424" i="3"/>
  <c r="D424" i="3"/>
  <c r="C424" i="3"/>
  <c r="B424" i="3"/>
  <c r="A424" i="3"/>
  <c r="AA423" i="3"/>
  <c r="Y423" i="3"/>
  <c r="X423" i="3"/>
  <c r="W423" i="3"/>
  <c r="U423" i="3"/>
  <c r="Z423" i="3" s="1"/>
  <c r="S423" i="3"/>
  <c r="Q423" i="3"/>
  <c r="P423" i="3"/>
  <c r="M423" i="3"/>
  <c r="L423" i="3"/>
  <c r="K423" i="3"/>
  <c r="J423" i="3"/>
  <c r="I423" i="3"/>
  <c r="H423" i="3"/>
  <c r="G423" i="3"/>
  <c r="F423" i="3"/>
  <c r="E423" i="3"/>
  <c r="D423" i="3"/>
  <c r="C423" i="3"/>
  <c r="B423" i="3"/>
  <c r="A423" i="3"/>
  <c r="AA422" i="3"/>
  <c r="Y422" i="3"/>
  <c r="X422" i="3"/>
  <c r="W422" i="3"/>
  <c r="U422" i="3"/>
  <c r="Z422" i="3" s="1"/>
  <c r="S422" i="3"/>
  <c r="Q422" i="3"/>
  <c r="P422" i="3"/>
  <c r="M422" i="3"/>
  <c r="L422" i="3"/>
  <c r="K422" i="3"/>
  <c r="J422" i="3"/>
  <c r="I422" i="3"/>
  <c r="H422" i="3"/>
  <c r="G422" i="3"/>
  <c r="F422" i="3"/>
  <c r="E422" i="3"/>
  <c r="D422" i="3"/>
  <c r="C422" i="3"/>
  <c r="B422" i="3"/>
  <c r="A422" i="3"/>
  <c r="AA421" i="3"/>
  <c r="Y421" i="3"/>
  <c r="X421" i="3"/>
  <c r="W421" i="3"/>
  <c r="U421" i="3"/>
  <c r="Z421" i="3" s="1"/>
  <c r="S421" i="3"/>
  <c r="Q421" i="3"/>
  <c r="P421" i="3"/>
  <c r="M421" i="3"/>
  <c r="L421" i="3"/>
  <c r="K421" i="3"/>
  <c r="J421" i="3"/>
  <c r="I421" i="3"/>
  <c r="H421" i="3"/>
  <c r="G421" i="3"/>
  <c r="F421" i="3"/>
  <c r="E421" i="3"/>
  <c r="D421" i="3"/>
  <c r="C421" i="3"/>
  <c r="B421" i="3"/>
  <c r="A421" i="3"/>
  <c r="AA420" i="3"/>
  <c r="X420" i="3"/>
  <c r="W420" i="3"/>
  <c r="U420" i="3"/>
  <c r="Z420" i="3" s="1"/>
  <c r="S420" i="3"/>
  <c r="Q420" i="3"/>
  <c r="P420" i="3"/>
  <c r="O420" i="3"/>
  <c r="Y420" i="3" s="1"/>
  <c r="M420" i="3"/>
  <c r="L420" i="3"/>
  <c r="K420" i="3"/>
  <c r="J420" i="3"/>
  <c r="I420" i="3"/>
  <c r="H420" i="3"/>
  <c r="G420" i="3"/>
  <c r="F420" i="3"/>
  <c r="E420" i="3"/>
  <c r="D420" i="3"/>
  <c r="C420" i="3"/>
  <c r="B420" i="3"/>
  <c r="A420" i="3"/>
  <c r="AA419" i="3"/>
  <c r="Y419" i="3"/>
  <c r="X419" i="3"/>
  <c r="W419" i="3"/>
  <c r="U419" i="3"/>
  <c r="Z419" i="3" s="1"/>
  <c r="S419" i="3"/>
  <c r="Q419" i="3"/>
  <c r="P419" i="3"/>
  <c r="M419" i="3"/>
  <c r="L419" i="3"/>
  <c r="K419" i="3"/>
  <c r="J419" i="3"/>
  <c r="I419" i="3"/>
  <c r="H419" i="3"/>
  <c r="G419" i="3"/>
  <c r="F419" i="3"/>
  <c r="E419" i="3"/>
  <c r="D419" i="3"/>
  <c r="C419" i="3"/>
  <c r="B419" i="3"/>
  <c r="A419" i="3"/>
  <c r="AA418" i="3"/>
  <c r="X418" i="3"/>
  <c r="W418" i="3"/>
  <c r="U418" i="3"/>
  <c r="Z418" i="3" s="1"/>
  <c r="S418" i="3"/>
  <c r="Q418" i="3"/>
  <c r="P418" i="3"/>
  <c r="O418" i="3"/>
  <c r="Y418" i="3" s="1"/>
  <c r="M418" i="3"/>
  <c r="L418" i="3"/>
  <c r="K418" i="3"/>
  <c r="J418" i="3"/>
  <c r="I418" i="3"/>
  <c r="H418" i="3"/>
  <c r="G418" i="3"/>
  <c r="F418" i="3"/>
  <c r="E418" i="3"/>
  <c r="D418" i="3"/>
  <c r="C418" i="3"/>
  <c r="B418" i="3"/>
  <c r="A418" i="3"/>
  <c r="AA417" i="3"/>
  <c r="Y417" i="3"/>
  <c r="X417" i="3"/>
  <c r="W417" i="3"/>
  <c r="U417" i="3"/>
  <c r="Z417" i="3" s="1"/>
  <c r="S417" i="3"/>
  <c r="Q417" i="3"/>
  <c r="P417" i="3"/>
  <c r="M417" i="3"/>
  <c r="L417" i="3"/>
  <c r="K417" i="3"/>
  <c r="J417" i="3"/>
  <c r="I417" i="3"/>
  <c r="H417" i="3"/>
  <c r="G417" i="3"/>
  <c r="F417" i="3"/>
  <c r="E417" i="3"/>
  <c r="D417" i="3"/>
  <c r="C417" i="3"/>
  <c r="B417" i="3"/>
  <c r="A417" i="3"/>
  <c r="AA416" i="3"/>
  <c r="X416" i="3"/>
  <c r="W416" i="3"/>
  <c r="U416" i="3"/>
  <c r="Z416" i="3" s="1"/>
  <c r="S416" i="3"/>
  <c r="Q416" i="3"/>
  <c r="P416" i="3"/>
  <c r="O416" i="3"/>
  <c r="Y416" i="3" s="1"/>
  <c r="M416" i="3"/>
  <c r="L416" i="3"/>
  <c r="K416" i="3"/>
  <c r="J416" i="3"/>
  <c r="I416" i="3"/>
  <c r="H416" i="3"/>
  <c r="G416" i="3"/>
  <c r="F416" i="3"/>
  <c r="E416" i="3"/>
  <c r="D416" i="3"/>
  <c r="C416" i="3"/>
  <c r="B416" i="3"/>
  <c r="A416" i="3"/>
  <c r="AA415" i="3"/>
  <c r="Y415" i="3"/>
  <c r="X415" i="3"/>
  <c r="W415" i="3"/>
  <c r="U415" i="3"/>
  <c r="Z415" i="3" s="1"/>
  <c r="S415" i="3"/>
  <c r="Q415" i="3"/>
  <c r="P415" i="3"/>
  <c r="M415" i="3"/>
  <c r="L415" i="3"/>
  <c r="K415" i="3"/>
  <c r="J415" i="3"/>
  <c r="I415" i="3"/>
  <c r="H415" i="3"/>
  <c r="G415" i="3"/>
  <c r="F415" i="3"/>
  <c r="E415" i="3"/>
  <c r="D415" i="3"/>
  <c r="C415" i="3"/>
  <c r="B415" i="3"/>
  <c r="A415" i="3"/>
  <c r="AA414" i="3"/>
  <c r="X414" i="3"/>
  <c r="W414" i="3"/>
  <c r="U414" i="3"/>
  <c r="Z414" i="3" s="1"/>
  <c r="S414" i="3"/>
  <c r="Q414" i="3"/>
  <c r="P414" i="3"/>
  <c r="O414" i="3"/>
  <c r="Y414" i="3" s="1"/>
  <c r="M414" i="3"/>
  <c r="L414" i="3"/>
  <c r="K414" i="3"/>
  <c r="J414" i="3"/>
  <c r="I414" i="3"/>
  <c r="H414" i="3"/>
  <c r="G414" i="3"/>
  <c r="F414" i="3"/>
  <c r="E414" i="3"/>
  <c r="D414" i="3"/>
  <c r="C414" i="3"/>
  <c r="B414" i="3"/>
  <c r="A414" i="3"/>
  <c r="AA413" i="3"/>
  <c r="Y413" i="3"/>
  <c r="X413" i="3"/>
  <c r="W413" i="3"/>
  <c r="U413" i="3"/>
  <c r="Z413" i="3" s="1"/>
  <c r="S413" i="3"/>
  <c r="Q413" i="3"/>
  <c r="P413" i="3"/>
  <c r="M413" i="3"/>
  <c r="L413" i="3"/>
  <c r="K413" i="3"/>
  <c r="J413" i="3"/>
  <c r="I413" i="3"/>
  <c r="H413" i="3"/>
  <c r="G413" i="3"/>
  <c r="F413" i="3"/>
  <c r="E413" i="3"/>
  <c r="D413" i="3"/>
  <c r="C413" i="3"/>
  <c r="B413" i="3"/>
  <c r="A413" i="3"/>
  <c r="AA412" i="3"/>
  <c r="Y412" i="3"/>
  <c r="X412" i="3"/>
  <c r="W412" i="3"/>
  <c r="U412" i="3"/>
  <c r="Z412" i="3" s="1"/>
  <c r="S412" i="3"/>
  <c r="Q412" i="3"/>
  <c r="P412" i="3"/>
  <c r="M412" i="3"/>
  <c r="L412" i="3"/>
  <c r="K412" i="3"/>
  <c r="J412" i="3"/>
  <c r="I412" i="3"/>
  <c r="H412" i="3"/>
  <c r="G412" i="3"/>
  <c r="F412" i="3"/>
  <c r="E412" i="3"/>
  <c r="D412" i="3"/>
  <c r="C412" i="3"/>
  <c r="B412" i="3"/>
  <c r="A412" i="3"/>
  <c r="AA411" i="3"/>
  <c r="Y411" i="3"/>
  <c r="X411" i="3"/>
  <c r="W411" i="3"/>
  <c r="U411" i="3"/>
  <c r="Z411" i="3" s="1"/>
  <c r="S411" i="3"/>
  <c r="Q411" i="3"/>
  <c r="P411" i="3"/>
  <c r="M411" i="3"/>
  <c r="L411" i="3"/>
  <c r="K411" i="3"/>
  <c r="J411" i="3"/>
  <c r="I411" i="3"/>
  <c r="H411" i="3"/>
  <c r="G411" i="3"/>
  <c r="F411" i="3"/>
  <c r="E411" i="3"/>
  <c r="D411" i="3"/>
  <c r="C411" i="3"/>
  <c r="B411" i="3"/>
  <c r="A411" i="3"/>
  <c r="AA410" i="3"/>
  <c r="Y410" i="3"/>
  <c r="X410" i="3"/>
  <c r="W410" i="3"/>
  <c r="U410" i="3"/>
  <c r="Z410" i="3" s="1"/>
  <c r="S410" i="3"/>
  <c r="Q410" i="3"/>
  <c r="P410" i="3"/>
  <c r="M410" i="3"/>
  <c r="L410" i="3"/>
  <c r="K410" i="3"/>
  <c r="J410" i="3"/>
  <c r="I410" i="3"/>
  <c r="H410" i="3"/>
  <c r="G410" i="3"/>
  <c r="F410" i="3"/>
  <c r="E410" i="3"/>
  <c r="D410" i="3"/>
  <c r="C410" i="3"/>
  <c r="B410" i="3"/>
  <c r="A410" i="3"/>
  <c r="AA409" i="3"/>
  <c r="Y409" i="3"/>
  <c r="X409" i="3"/>
  <c r="W409" i="3"/>
  <c r="U409" i="3"/>
  <c r="Z409" i="3" s="1"/>
  <c r="S409" i="3"/>
  <c r="Q409" i="3"/>
  <c r="P409" i="3"/>
  <c r="M409" i="3"/>
  <c r="L409" i="3"/>
  <c r="K409" i="3"/>
  <c r="J409" i="3"/>
  <c r="I409" i="3"/>
  <c r="H409" i="3"/>
  <c r="G409" i="3"/>
  <c r="F409" i="3"/>
  <c r="E409" i="3"/>
  <c r="D409" i="3"/>
  <c r="C409" i="3"/>
  <c r="B409" i="3"/>
  <c r="A409" i="3"/>
  <c r="AA408" i="3"/>
  <c r="Y408" i="3"/>
  <c r="X408" i="3"/>
  <c r="W408" i="3"/>
  <c r="U408" i="3"/>
  <c r="Z408" i="3" s="1"/>
  <c r="S408" i="3"/>
  <c r="Q408" i="3"/>
  <c r="P408" i="3"/>
  <c r="M408" i="3"/>
  <c r="L408" i="3"/>
  <c r="K408" i="3"/>
  <c r="J408" i="3"/>
  <c r="I408" i="3"/>
  <c r="H408" i="3"/>
  <c r="G408" i="3"/>
  <c r="F408" i="3"/>
  <c r="E408" i="3"/>
  <c r="D408" i="3"/>
  <c r="C408" i="3"/>
  <c r="B408" i="3"/>
  <c r="A408" i="3"/>
  <c r="AA407" i="3"/>
  <c r="Y407" i="3"/>
  <c r="X407" i="3"/>
  <c r="W407" i="3"/>
  <c r="U407" i="3"/>
  <c r="Z407" i="3" s="1"/>
  <c r="S407" i="3"/>
  <c r="Q407" i="3"/>
  <c r="P407" i="3"/>
  <c r="M407" i="3"/>
  <c r="L407" i="3"/>
  <c r="K407" i="3"/>
  <c r="J407" i="3"/>
  <c r="I407" i="3"/>
  <c r="H407" i="3"/>
  <c r="G407" i="3"/>
  <c r="F407" i="3"/>
  <c r="E407" i="3"/>
  <c r="D407" i="3"/>
  <c r="C407" i="3"/>
  <c r="B407" i="3"/>
  <c r="A407" i="3"/>
  <c r="AA406" i="3"/>
  <c r="Y406" i="3"/>
  <c r="X406" i="3"/>
  <c r="W406" i="3"/>
  <c r="U406" i="3"/>
  <c r="Z406" i="3" s="1"/>
  <c r="S406" i="3"/>
  <c r="Q406" i="3"/>
  <c r="P406" i="3"/>
  <c r="M406" i="3"/>
  <c r="L406" i="3"/>
  <c r="K406" i="3"/>
  <c r="J406" i="3"/>
  <c r="I406" i="3"/>
  <c r="H406" i="3"/>
  <c r="G406" i="3"/>
  <c r="F406" i="3"/>
  <c r="E406" i="3"/>
  <c r="D406" i="3"/>
  <c r="C406" i="3"/>
  <c r="B406" i="3"/>
  <c r="A406" i="3"/>
  <c r="AA405" i="3"/>
  <c r="Y405" i="3"/>
  <c r="X405" i="3"/>
  <c r="W405" i="3"/>
  <c r="U405" i="3"/>
  <c r="Z405" i="3" s="1"/>
  <c r="S405" i="3"/>
  <c r="Q405" i="3"/>
  <c r="P405" i="3"/>
  <c r="M405" i="3"/>
  <c r="L405" i="3"/>
  <c r="K405" i="3"/>
  <c r="J405" i="3"/>
  <c r="I405" i="3"/>
  <c r="H405" i="3"/>
  <c r="G405" i="3"/>
  <c r="F405" i="3"/>
  <c r="E405" i="3"/>
  <c r="D405" i="3"/>
  <c r="C405" i="3"/>
  <c r="B405" i="3"/>
  <c r="A405" i="3"/>
  <c r="AA404" i="3"/>
  <c r="Y404" i="3"/>
  <c r="X404" i="3"/>
  <c r="W404" i="3"/>
  <c r="U404" i="3"/>
  <c r="Z404" i="3" s="1"/>
  <c r="S404" i="3"/>
  <c r="Q404" i="3"/>
  <c r="P404" i="3"/>
  <c r="M404" i="3"/>
  <c r="L404" i="3"/>
  <c r="K404" i="3"/>
  <c r="J404" i="3"/>
  <c r="I404" i="3"/>
  <c r="H404" i="3"/>
  <c r="G404" i="3"/>
  <c r="F404" i="3"/>
  <c r="E404" i="3"/>
  <c r="D404" i="3"/>
  <c r="C404" i="3"/>
  <c r="B404" i="3"/>
  <c r="A404" i="3"/>
  <c r="AA403" i="3"/>
  <c r="Y403" i="3"/>
  <c r="X403" i="3"/>
  <c r="W403" i="3"/>
  <c r="U403" i="3"/>
  <c r="Z403" i="3" s="1"/>
  <c r="S403" i="3"/>
  <c r="Q403" i="3"/>
  <c r="P403" i="3"/>
  <c r="M403" i="3"/>
  <c r="L403" i="3"/>
  <c r="K403" i="3"/>
  <c r="J403" i="3"/>
  <c r="I403" i="3"/>
  <c r="H403" i="3"/>
  <c r="G403" i="3"/>
  <c r="F403" i="3"/>
  <c r="E403" i="3"/>
  <c r="D403" i="3"/>
  <c r="C403" i="3"/>
  <c r="B403" i="3"/>
  <c r="A403" i="3"/>
  <c r="AA402" i="3"/>
  <c r="Y402" i="3"/>
  <c r="X402" i="3"/>
  <c r="W402" i="3"/>
  <c r="U402" i="3"/>
  <c r="Z402" i="3" s="1"/>
  <c r="S402" i="3"/>
  <c r="Q402" i="3"/>
  <c r="P402" i="3"/>
  <c r="M402" i="3"/>
  <c r="L402" i="3"/>
  <c r="K402" i="3"/>
  <c r="J402" i="3"/>
  <c r="I402" i="3"/>
  <c r="H402" i="3"/>
  <c r="G402" i="3"/>
  <c r="F402" i="3"/>
  <c r="E402" i="3"/>
  <c r="D402" i="3"/>
  <c r="C402" i="3"/>
  <c r="B402" i="3"/>
  <c r="A402" i="3"/>
  <c r="AA401" i="3"/>
  <c r="Y401" i="3"/>
  <c r="X401" i="3"/>
  <c r="W401" i="3"/>
  <c r="U401" i="3"/>
  <c r="Z401" i="3" s="1"/>
  <c r="S401" i="3"/>
  <c r="Q401" i="3"/>
  <c r="P401" i="3"/>
  <c r="M401" i="3"/>
  <c r="L401" i="3"/>
  <c r="K401" i="3"/>
  <c r="J401" i="3"/>
  <c r="I401" i="3"/>
  <c r="H401" i="3"/>
  <c r="G401" i="3"/>
  <c r="F401" i="3"/>
  <c r="E401" i="3"/>
  <c r="D401" i="3"/>
  <c r="C401" i="3"/>
  <c r="B401" i="3"/>
  <c r="A401" i="3"/>
  <c r="AA400" i="3"/>
  <c r="Y400" i="3"/>
  <c r="X400" i="3"/>
  <c r="W400" i="3"/>
  <c r="U400" i="3"/>
  <c r="Z400" i="3" s="1"/>
  <c r="S400" i="3"/>
  <c r="Q400" i="3"/>
  <c r="P400" i="3"/>
  <c r="M400" i="3"/>
  <c r="L400" i="3"/>
  <c r="K400" i="3"/>
  <c r="J400" i="3"/>
  <c r="I400" i="3"/>
  <c r="H400" i="3"/>
  <c r="G400" i="3"/>
  <c r="F400" i="3"/>
  <c r="E400" i="3"/>
  <c r="D400" i="3"/>
  <c r="C400" i="3"/>
  <c r="B400" i="3"/>
  <c r="A400" i="3"/>
  <c r="AA399" i="3"/>
  <c r="Y399" i="3"/>
  <c r="X399" i="3"/>
  <c r="W399" i="3"/>
  <c r="U399" i="3"/>
  <c r="Z399" i="3" s="1"/>
  <c r="S399" i="3"/>
  <c r="Q399" i="3"/>
  <c r="P399" i="3"/>
  <c r="M399" i="3"/>
  <c r="L399" i="3"/>
  <c r="K399" i="3"/>
  <c r="J399" i="3"/>
  <c r="I399" i="3"/>
  <c r="H399" i="3"/>
  <c r="G399" i="3"/>
  <c r="F399" i="3"/>
  <c r="E399" i="3"/>
  <c r="D399" i="3"/>
  <c r="C399" i="3"/>
  <c r="B399" i="3"/>
  <c r="A399" i="3"/>
  <c r="AA398" i="3"/>
  <c r="Y398" i="3"/>
  <c r="X398" i="3"/>
  <c r="W398" i="3"/>
  <c r="U398" i="3"/>
  <c r="Z398" i="3" s="1"/>
  <c r="S398" i="3"/>
  <c r="Q398" i="3"/>
  <c r="P398" i="3"/>
  <c r="M398" i="3"/>
  <c r="L398" i="3"/>
  <c r="K398" i="3"/>
  <c r="J398" i="3"/>
  <c r="I398" i="3"/>
  <c r="H398" i="3"/>
  <c r="G398" i="3"/>
  <c r="F398" i="3"/>
  <c r="E398" i="3"/>
  <c r="D398" i="3"/>
  <c r="C398" i="3"/>
  <c r="B398" i="3"/>
  <c r="A398" i="3"/>
  <c r="AA397" i="3"/>
  <c r="Y397" i="3"/>
  <c r="X397" i="3"/>
  <c r="W397" i="3"/>
  <c r="U397" i="3"/>
  <c r="Z397" i="3" s="1"/>
  <c r="S397" i="3"/>
  <c r="Q397" i="3"/>
  <c r="P397" i="3"/>
  <c r="M397" i="3"/>
  <c r="L397" i="3"/>
  <c r="K397" i="3"/>
  <c r="J397" i="3"/>
  <c r="I397" i="3"/>
  <c r="H397" i="3"/>
  <c r="G397" i="3"/>
  <c r="F397" i="3"/>
  <c r="E397" i="3"/>
  <c r="D397" i="3"/>
  <c r="C397" i="3"/>
  <c r="B397" i="3"/>
  <c r="A397" i="3"/>
  <c r="AA396" i="3"/>
  <c r="Y396" i="3"/>
  <c r="X396" i="3"/>
  <c r="W396" i="3"/>
  <c r="U396" i="3"/>
  <c r="Z396" i="3" s="1"/>
  <c r="S396" i="3"/>
  <c r="Q396" i="3"/>
  <c r="P396" i="3"/>
  <c r="M396" i="3"/>
  <c r="L396" i="3"/>
  <c r="K396" i="3"/>
  <c r="J396" i="3"/>
  <c r="I396" i="3"/>
  <c r="H396" i="3"/>
  <c r="G396" i="3"/>
  <c r="F396" i="3"/>
  <c r="E396" i="3"/>
  <c r="D396" i="3"/>
  <c r="C396" i="3"/>
  <c r="B396" i="3"/>
  <c r="A396" i="3"/>
  <c r="AA395" i="3"/>
  <c r="Y395" i="3"/>
  <c r="X395" i="3"/>
  <c r="W395" i="3"/>
  <c r="U395" i="3"/>
  <c r="Z395" i="3" s="1"/>
  <c r="S395" i="3"/>
  <c r="Q395" i="3"/>
  <c r="P395" i="3"/>
  <c r="M395" i="3"/>
  <c r="L395" i="3"/>
  <c r="K395" i="3"/>
  <c r="J395" i="3"/>
  <c r="I395" i="3"/>
  <c r="H395" i="3"/>
  <c r="G395" i="3"/>
  <c r="F395" i="3"/>
  <c r="E395" i="3"/>
  <c r="D395" i="3"/>
  <c r="C395" i="3"/>
  <c r="B395" i="3"/>
  <c r="A395" i="3"/>
  <c r="AA394" i="3"/>
  <c r="Y394" i="3"/>
  <c r="X394" i="3"/>
  <c r="W394" i="3"/>
  <c r="U394" i="3"/>
  <c r="Z394" i="3" s="1"/>
  <c r="S394" i="3"/>
  <c r="Q394" i="3"/>
  <c r="P394" i="3"/>
  <c r="M394" i="3"/>
  <c r="L394" i="3"/>
  <c r="K394" i="3"/>
  <c r="J394" i="3"/>
  <c r="I394" i="3"/>
  <c r="H394" i="3"/>
  <c r="G394" i="3"/>
  <c r="F394" i="3"/>
  <c r="E394" i="3"/>
  <c r="D394" i="3"/>
  <c r="C394" i="3"/>
  <c r="B394" i="3"/>
  <c r="A394" i="3"/>
  <c r="AA393" i="3"/>
  <c r="Y393" i="3"/>
  <c r="X393" i="3"/>
  <c r="W393" i="3"/>
  <c r="U393" i="3"/>
  <c r="Z393" i="3" s="1"/>
  <c r="S393" i="3"/>
  <c r="Q393" i="3"/>
  <c r="P393" i="3"/>
  <c r="M393" i="3"/>
  <c r="L393" i="3"/>
  <c r="K393" i="3"/>
  <c r="J393" i="3"/>
  <c r="I393" i="3"/>
  <c r="H393" i="3"/>
  <c r="G393" i="3"/>
  <c r="F393" i="3"/>
  <c r="E393" i="3"/>
  <c r="D393" i="3"/>
  <c r="C393" i="3"/>
  <c r="B393" i="3"/>
  <c r="A393" i="3"/>
  <c r="AA392" i="3"/>
  <c r="Y392" i="3"/>
  <c r="X392" i="3"/>
  <c r="W392" i="3"/>
  <c r="U392" i="3"/>
  <c r="Z392" i="3" s="1"/>
  <c r="S392" i="3"/>
  <c r="Q392" i="3"/>
  <c r="P392" i="3"/>
  <c r="M392" i="3"/>
  <c r="L392" i="3"/>
  <c r="K392" i="3"/>
  <c r="J392" i="3"/>
  <c r="I392" i="3"/>
  <c r="H392" i="3"/>
  <c r="G392" i="3"/>
  <c r="F392" i="3"/>
  <c r="E392" i="3"/>
  <c r="D392" i="3"/>
  <c r="C392" i="3"/>
  <c r="B392" i="3"/>
  <c r="A392" i="3"/>
  <c r="AA391" i="3"/>
  <c r="Y391" i="3"/>
  <c r="X391" i="3"/>
  <c r="W391" i="3"/>
  <c r="U391" i="3"/>
  <c r="Z391" i="3" s="1"/>
  <c r="S391" i="3"/>
  <c r="Q391" i="3"/>
  <c r="P391" i="3"/>
  <c r="M391" i="3"/>
  <c r="L391" i="3"/>
  <c r="K391" i="3"/>
  <c r="J391" i="3"/>
  <c r="I391" i="3"/>
  <c r="H391" i="3"/>
  <c r="G391" i="3"/>
  <c r="F391" i="3"/>
  <c r="E391" i="3"/>
  <c r="D391" i="3"/>
  <c r="C391" i="3"/>
  <c r="B391" i="3"/>
  <c r="A391" i="3"/>
  <c r="AA390" i="3"/>
  <c r="X390" i="3"/>
  <c r="W390" i="3"/>
  <c r="U390" i="3"/>
  <c r="Z390" i="3" s="1"/>
  <c r="S390" i="3"/>
  <c r="Q390" i="3"/>
  <c r="P390" i="3"/>
  <c r="O390" i="3"/>
  <c r="Y390" i="3" s="1"/>
  <c r="M390" i="3"/>
  <c r="L390" i="3"/>
  <c r="K390" i="3"/>
  <c r="J390" i="3"/>
  <c r="I390" i="3"/>
  <c r="H390" i="3"/>
  <c r="G390" i="3"/>
  <c r="F390" i="3"/>
  <c r="E390" i="3"/>
  <c r="D390" i="3"/>
  <c r="C390" i="3"/>
  <c r="B390" i="3"/>
  <c r="A390" i="3"/>
  <c r="AA389" i="3"/>
  <c r="X389" i="3"/>
  <c r="W389" i="3"/>
  <c r="U389" i="3"/>
  <c r="Z389" i="3" s="1"/>
  <c r="S389" i="3"/>
  <c r="Q389" i="3"/>
  <c r="P389" i="3"/>
  <c r="O389" i="3"/>
  <c r="Y389" i="3" s="1"/>
  <c r="M389" i="3"/>
  <c r="L389" i="3"/>
  <c r="K389" i="3"/>
  <c r="J389" i="3"/>
  <c r="I389" i="3"/>
  <c r="H389" i="3"/>
  <c r="G389" i="3"/>
  <c r="F389" i="3"/>
  <c r="E389" i="3"/>
  <c r="D389" i="3"/>
  <c r="C389" i="3"/>
  <c r="B389" i="3"/>
  <c r="A389" i="3"/>
  <c r="AA388" i="3"/>
  <c r="Y388" i="3"/>
  <c r="X388" i="3"/>
  <c r="W388" i="3"/>
  <c r="U388" i="3"/>
  <c r="Z388" i="3" s="1"/>
  <c r="S388" i="3"/>
  <c r="Q388" i="3"/>
  <c r="P388" i="3"/>
  <c r="M388" i="3"/>
  <c r="L388" i="3"/>
  <c r="K388" i="3"/>
  <c r="J388" i="3"/>
  <c r="I388" i="3"/>
  <c r="H388" i="3"/>
  <c r="G388" i="3"/>
  <c r="F388" i="3"/>
  <c r="E388" i="3"/>
  <c r="D388" i="3"/>
  <c r="C388" i="3"/>
  <c r="B388" i="3"/>
  <c r="A388" i="3"/>
  <c r="AA387" i="3"/>
  <c r="Y387" i="3"/>
  <c r="X387" i="3"/>
  <c r="W387" i="3"/>
  <c r="U387" i="3"/>
  <c r="Z387" i="3" s="1"/>
  <c r="S387" i="3"/>
  <c r="Q387" i="3"/>
  <c r="P387" i="3"/>
  <c r="M387" i="3"/>
  <c r="L387" i="3"/>
  <c r="K387" i="3"/>
  <c r="J387" i="3"/>
  <c r="I387" i="3"/>
  <c r="H387" i="3"/>
  <c r="G387" i="3"/>
  <c r="F387" i="3"/>
  <c r="E387" i="3"/>
  <c r="D387" i="3"/>
  <c r="C387" i="3"/>
  <c r="B387" i="3"/>
  <c r="A387" i="3"/>
  <c r="AA386" i="3"/>
  <c r="Y386" i="3"/>
  <c r="X386" i="3"/>
  <c r="W386" i="3"/>
  <c r="U386" i="3"/>
  <c r="Z386" i="3" s="1"/>
  <c r="S386" i="3"/>
  <c r="Q386" i="3"/>
  <c r="P386" i="3"/>
  <c r="M386" i="3"/>
  <c r="L386" i="3"/>
  <c r="K386" i="3"/>
  <c r="J386" i="3"/>
  <c r="I386" i="3"/>
  <c r="H386" i="3"/>
  <c r="G386" i="3"/>
  <c r="F386" i="3"/>
  <c r="E386" i="3"/>
  <c r="D386" i="3"/>
  <c r="C386" i="3"/>
  <c r="B386" i="3"/>
  <c r="A386" i="3"/>
  <c r="AA385" i="3"/>
  <c r="X385" i="3"/>
  <c r="W385" i="3"/>
  <c r="U385" i="3"/>
  <c r="Z385" i="3" s="1"/>
  <c r="S385" i="3"/>
  <c r="Q385" i="3"/>
  <c r="P385" i="3"/>
  <c r="O385" i="3"/>
  <c r="Y385" i="3" s="1"/>
  <c r="M385" i="3"/>
  <c r="L385" i="3"/>
  <c r="K385" i="3"/>
  <c r="J385" i="3"/>
  <c r="I385" i="3"/>
  <c r="H385" i="3"/>
  <c r="G385" i="3"/>
  <c r="F385" i="3"/>
  <c r="E385" i="3"/>
  <c r="D385" i="3"/>
  <c r="C385" i="3"/>
  <c r="B385" i="3"/>
  <c r="A385" i="3"/>
  <c r="AA384" i="3"/>
  <c r="Y384" i="3"/>
  <c r="X384" i="3"/>
  <c r="W384" i="3"/>
  <c r="U384" i="3"/>
  <c r="Z384" i="3" s="1"/>
  <c r="S384" i="3"/>
  <c r="Q384" i="3"/>
  <c r="P384" i="3"/>
  <c r="M384" i="3"/>
  <c r="L384" i="3"/>
  <c r="K384" i="3"/>
  <c r="J384" i="3"/>
  <c r="I384" i="3"/>
  <c r="H384" i="3"/>
  <c r="G384" i="3"/>
  <c r="F384" i="3"/>
  <c r="E384" i="3"/>
  <c r="D384" i="3"/>
  <c r="C384" i="3"/>
  <c r="B384" i="3"/>
  <c r="A384" i="3"/>
  <c r="AA383" i="3"/>
  <c r="Y383" i="3"/>
  <c r="X383" i="3"/>
  <c r="W383" i="3"/>
  <c r="U383" i="3"/>
  <c r="Z383" i="3" s="1"/>
  <c r="S383" i="3"/>
  <c r="Q383" i="3"/>
  <c r="P383" i="3"/>
  <c r="M383" i="3"/>
  <c r="L383" i="3"/>
  <c r="K383" i="3"/>
  <c r="J383" i="3"/>
  <c r="I383" i="3"/>
  <c r="H383" i="3"/>
  <c r="G383" i="3"/>
  <c r="F383" i="3"/>
  <c r="E383" i="3"/>
  <c r="D383" i="3"/>
  <c r="C383" i="3"/>
  <c r="B383" i="3"/>
  <c r="A383" i="3"/>
  <c r="AA382" i="3"/>
  <c r="Y382" i="3"/>
  <c r="X382" i="3"/>
  <c r="W382" i="3"/>
  <c r="U382" i="3"/>
  <c r="Z382" i="3" s="1"/>
  <c r="S382" i="3"/>
  <c r="Q382" i="3"/>
  <c r="P382" i="3"/>
  <c r="M382" i="3"/>
  <c r="L382" i="3"/>
  <c r="K382" i="3"/>
  <c r="J382" i="3"/>
  <c r="I382" i="3"/>
  <c r="H382" i="3"/>
  <c r="G382" i="3"/>
  <c r="F382" i="3"/>
  <c r="E382" i="3"/>
  <c r="D382" i="3"/>
  <c r="C382" i="3"/>
  <c r="B382" i="3"/>
  <c r="A382" i="3"/>
  <c r="AA381" i="3"/>
  <c r="Y381" i="3"/>
  <c r="X381" i="3"/>
  <c r="W381" i="3"/>
  <c r="U381" i="3"/>
  <c r="Z381" i="3" s="1"/>
  <c r="S381" i="3"/>
  <c r="Q381" i="3"/>
  <c r="P381" i="3"/>
  <c r="M381" i="3"/>
  <c r="L381" i="3"/>
  <c r="K381" i="3"/>
  <c r="J381" i="3"/>
  <c r="I381" i="3"/>
  <c r="H381" i="3"/>
  <c r="G381" i="3"/>
  <c r="F381" i="3"/>
  <c r="E381" i="3"/>
  <c r="D381" i="3"/>
  <c r="C381" i="3"/>
  <c r="B381" i="3"/>
  <c r="A381" i="3"/>
  <c r="AA380" i="3"/>
  <c r="Y380" i="3"/>
  <c r="X380" i="3"/>
  <c r="W380" i="3"/>
  <c r="U380" i="3"/>
  <c r="Z380" i="3" s="1"/>
  <c r="S380" i="3"/>
  <c r="Q380" i="3"/>
  <c r="P380" i="3"/>
  <c r="M380" i="3"/>
  <c r="L380" i="3"/>
  <c r="K380" i="3"/>
  <c r="J380" i="3"/>
  <c r="I380" i="3"/>
  <c r="H380" i="3"/>
  <c r="G380" i="3"/>
  <c r="F380" i="3"/>
  <c r="E380" i="3"/>
  <c r="D380" i="3"/>
  <c r="C380" i="3"/>
  <c r="B380" i="3"/>
  <c r="A380" i="3"/>
  <c r="AA379" i="3"/>
  <c r="Y379" i="3"/>
  <c r="X379" i="3"/>
  <c r="W379" i="3"/>
  <c r="U379" i="3"/>
  <c r="Z379" i="3" s="1"/>
  <c r="S379" i="3"/>
  <c r="Q379" i="3"/>
  <c r="P379" i="3"/>
  <c r="M379" i="3"/>
  <c r="L379" i="3"/>
  <c r="K379" i="3"/>
  <c r="J379" i="3"/>
  <c r="I379" i="3"/>
  <c r="H379" i="3"/>
  <c r="G379" i="3"/>
  <c r="F379" i="3"/>
  <c r="E379" i="3"/>
  <c r="D379" i="3"/>
  <c r="C379" i="3"/>
  <c r="B379" i="3"/>
  <c r="A379" i="3"/>
  <c r="AA378" i="3"/>
  <c r="Y378" i="3"/>
  <c r="X378" i="3"/>
  <c r="W378" i="3"/>
  <c r="U378" i="3"/>
  <c r="Z378" i="3" s="1"/>
  <c r="S378" i="3"/>
  <c r="Q378" i="3"/>
  <c r="P378" i="3"/>
  <c r="M378" i="3"/>
  <c r="L378" i="3"/>
  <c r="K378" i="3"/>
  <c r="J378" i="3"/>
  <c r="I378" i="3"/>
  <c r="H378" i="3"/>
  <c r="G378" i="3"/>
  <c r="F378" i="3"/>
  <c r="E378" i="3"/>
  <c r="D378" i="3"/>
  <c r="C378" i="3"/>
  <c r="B378" i="3"/>
  <c r="A378" i="3"/>
  <c r="AA377" i="3"/>
  <c r="Y377" i="3"/>
  <c r="X377" i="3"/>
  <c r="W377" i="3"/>
  <c r="U377" i="3"/>
  <c r="Z377" i="3" s="1"/>
  <c r="S377" i="3"/>
  <c r="Q377" i="3"/>
  <c r="P377" i="3"/>
  <c r="M377" i="3"/>
  <c r="L377" i="3"/>
  <c r="K377" i="3"/>
  <c r="J377" i="3"/>
  <c r="I377" i="3"/>
  <c r="H377" i="3"/>
  <c r="G377" i="3"/>
  <c r="F377" i="3"/>
  <c r="E377" i="3"/>
  <c r="D377" i="3"/>
  <c r="C377" i="3"/>
  <c r="B377" i="3"/>
  <c r="A377" i="3"/>
  <c r="AA376" i="3"/>
  <c r="Y376" i="3"/>
  <c r="X376" i="3"/>
  <c r="W376" i="3"/>
  <c r="U376" i="3"/>
  <c r="Z376" i="3" s="1"/>
  <c r="S376" i="3"/>
  <c r="Q376" i="3"/>
  <c r="P376" i="3"/>
  <c r="M376" i="3"/>
  <c r="L376" i="3"/>
  <c r="K376" i="3"/>
  <c r="J376" i="3"/>
  <c r="I376" i="3"/>
  <c r="H376" i="3"/>
  <c r="G376" i="3"/>
  <c r="F376" i="3"/>
  <c r="E376" i="3"/>
  <c r="D376" i="3"/>
  <c r="C376" i="3"/>
  <c r="B376" i="3"/>
  <c r="A376" i="3"/>
  <c r="AA375" i="3"/>
  <c r="Y375" i="3"/>
  <c r="X375" i="3"/>
  <c r="W375" i="3"/>
  <c r="U375" i="3"/>
  <c r="Z375" i="3" s="1"/>
  <c r="S375" i="3"/>
  <c r="Q375" i="3"/>
  <c r="P375" i="3"/>
  <c r="M375" i="3"/>
  <c r="L375" i="3"/>
  <c r="K375" i="3"/>
  <c r="J375" i="3"/>
  <c r="I375" i="3"/>
  <c r="H375" i="3"/>
  <c r="G375" i="3"/>
  <c r="F375" i="3"/>
  <c r="E375" i="3"/>
  <c r="D375" i="3"/>
  <c r="C375" i="3"/>
  <c r="B375" i="3"/>
  <c r="A375" i="3"/>
  <c r="AA374" i="3"/>
  <c r="Y374" i="3"/>
  <c r="X374" i="3"/>
  <c r="W374" i="3"/>
  <c r="U374" i="3"/>
  <c r="Z374" i="3" s="1"/>
  <c r="S374" i="3"/>
  <c r="Q374" i="3"/>
  <c r="P374" i="3"/>
  <c r="M374" i="3"/>
  <c r="L374" i="3"/>
  <c r="K374" i="3"/>
  <c r="J374" i="3"/>
  <c r="I374" i="3"/>
  <c r="H374" i="3"/>
  <c r="G374" i="3"/>
  <c r="F374" i="3"/>
  <c r="E374" i="3"/>
  <c r="D374" i="3"/>
  <c r="C374" i="3"/>
  <c r="B374" i="3"/>
  <c r="A374" i="3"/>
  <c r="AA373" i="3"/>
  <c r="Y373" i="3"/>
  <c r="X373" i="3"/>
  <c r="W373" i="3"/>
  <c r="U373" i="3"/>
  <c r="Z373" i="3" s="1"/>
  <c r="S373" i="3"/>
  <c r="Q373" i="3"/>
  <c r="P373" i="3"/>
  <c r="M373" i="3"/>
  <c r="L373" i="3"/>
  <c r="K373" i="3"/>
  <c r="J373" i="3"/>
  <c r="I373" i="3"/>
  <c r="H373" i="3"/>
  <c r="G373" i="3"/>
  <c r="F373" i="3"/>
  <c r="E373" i="3"/>
  <c r="D373" i="3"/>
  <c r="C373" i="3"/>
  <c r="B373" i="3"/>
  <c r="A373" i="3"/>
  <c r="AA372" i="3"/>
  <c r="X372" i="3"/>
  <c r="W372" i="3"/>
  <c r="U372" i="3"/>
  <c r="Z372" i="3" s="1"/>
  <c r="S372" i="3"/>
  <c r="Q372" i="3"/>
  <c r="P372" i="3"/>
  <c r="O372" i="3"/>
  <c r="Y372" i="3" s="1"/>
  <c r="M372" i="3"/>
  <c r="L372" i="3"/>
  <c r="K372" i="3"/>
  <c r="J372" i="3"/>
  <c r="I372" i="3"/>
  <c r="H372" i="3"/>
  <c r="G372" i="3"/>
  <c r="F372" i="3"/>
  <c r="E372" i="3"/>
  <c r="D372" i="3"/>
  <c r="C372" i="3"/>
  <c r="B372" i="3"/>
  <c r="A372" i="3"/>
  <c r="AA371" i="3"/>
  <c r="Y371" i="3"/>
  <c r="X371" i="3"/>
  <c r="W371" i="3"/>
  <c r="U371" i="3"/>
  <c r="Z371" i="3" s="1"/>
  <c r="S371" i="3"/>
  <c r="Q371" i="3"/>
  <c r="P371" i="3"/>
  <c r="M371" i="3"/>
  <c r="L371" i="3"/>
  <c r="K371" i="3"/>
  <c r="J371" i="3"/>
  <c r="I371" i="3"/>
  <c r="H371" i="3"/>
  <c r="G371" i="3"/>
  <c r="F371" i="3"/>
  <c r="E371" i="3"/>
  <c r="D371" i="3"/>
  <c r="C371" i="3"/>
  <c r="B371" i="3"/>
  <c r="A371" i="3"/>
  <c r="AA370" i="3"/>
  <c r="Y370" i="3"/>
  <c r="X370" i="3"/>
  <c r="W370" i="3"/>
  <c r="U370" i="3"/>
  <c r="Z370" i="3" s="1"/>
  <c r="S370" i="3"/>
  <c r="Q370" i="3"/>
  <c r="P370" i="3"/>
  <c r="M370" i="3"/>
  <c r="L370" i="3"/>
  <c r="K370" i="3"/>
  <c r="J370" i="3"/>
  <c r="I370" i="3"/>
  <c r="H370" i="3"/>
  <c r="G370" i="3"/>
  <c r="F370" i="3"/>
  <c r="E370" i="3"/>
  <c r="D370" i="3"/>
  <c r="C370" i="3"/>
  <c r="B370" i="3"/>
  <c r="A370" i="3"/>
  <c r="AA369" i="3"/>
  <c r="Y369" i="3"/>
  <c r="X369" i="3"/>
  <c r="W369" i="3"/>
  <c r="U369" i="3"/>
  <c r="Z369" i="3" s="1"/>
  <c r="S369" i="3"/>
  <c r="Q369" i="3"/>
  <c r="P369" i="3"/>
  <c r="M369" i="3"/>
  <c r="L369" i="3"/>
  <c r="K369" i="3"/>
  <c r="J369" i="3"/>
  <c r="I369" i="3"/>
  <c r="H369" i="3"/>
  <c r="G369" i="3"/>
  <c r="F369" i="3"/>
  <c r="E369" i="3"/>
  <c r="D369" i="3"/>
  <c r="C369" i="3"/>
  <c r="B369" i="3"/>
  <c r="A369" i="3"/>
  <c r="AA368" i="3"/>
  <c r="X368" i="3"/>
  <c r="W368" i="3"/>
  <c r="U368" i="3"/>
  <c r="Z368" i="3" s="1"/>
  <c r="S368" i="3"/>
  <c r="Q368" i="3"/>
  <c r="P368" i="3"/>
  <c r="O368" i="3"/>
  <c r="Y368" i="3" s="1"/>
  <c r="M368" i="3"/>
  <c r="L368" i="3"/>
  <c r="K368" i="3"/>
  <c r="J368" i="3"/>
  <c r="I368" i="3"/>
  <c r="H368" i="3"/>
  <c r="G368" i="3"/>
  <c r="F368" i="3"/>
  <c r="E368" i="3"/>
  <c r="D368" i="3"/>
  <c r="C368" i="3"/>
  <c r="B368" i="3"/>
  <c r="A368" i="3"/>
  <c r="AA367" i="3"/>
  <c r="X367" i="3"/>
  <c r="W367" i="3"/>
  <c r="U367" i="3"/>
  <c r="Z367" i="3" s="1"/>
  <c r="S367" i="3"/>
  <c r="Q367" i="3"/>
  <c r="P367" i="3"/>
  <c r="O367" i="3"/>
  <c r="Y367" i="3" s="1"/>
  <c r="M367" i="3"/>
  <c r="L367" i="3"/>
  <c r="K367" i="3"/>
  <c r="J367" i="3"/>
  <c r="I367" i="3"/>
  <c r="H367" i="3"/>
  <c r="G367" i="3"/>
  <c r="F367" i="3"/>
  <c r="E367" i="3"/>
  <c r="D367" i="3"/>
  <c r="C367" i="3"/>
  <c r="B367" i="3"/>
  <c r="A367" i="3"/>
  <c r="AA366" i="3"/>
  <c r="Y366" i="3"/>
  <c r="X366" i="3"/>
  <c r="W366" i="3"/>
  <c r="U366" i="3"/>
  <c r="Z366" i="3" s="1"/>
  <c r="S366" i="3"/>
  <c r="Q366" i="3"/>
  <c r="P366" i="3"/>
  <c r="M366" i="3"/>
  <c r="L366" i="3"/>
  <c r="K366" i="3"/>
  <c r="J366" i="3"/>
  <c r="I366" i="3"/>
  <c r="H366" i="3"/>
  <c r="G366" i="3"/>
  <c r="F366" i="3"/>
  <c r="E366" i="3"/>
  <c r="D366" i="3"/>
  <c r="C366" i="3"/>
  <c r="B366" i="3"/>
  <c r="A366" i="3"/>
  <c r="AA365" i="3"/>
  <c r="X365" i="3"/>
  <c r="W365" i="3"/>
  <c r="U365" i="3"/>
  <c r="Z365" i="3" s="1"/>
  <c r="S365" i="3"/>
  <c r="Q365" i="3"/>
  <c r="P365" i="3"/>
  <c r="O365" i="3"/>
  <c r="Y365" i="3" s="1"/>
  <c r="M365" i="3"/>
  <c r="L365" i="3"/>
  <c r="K365" i="3"/>
  <c r="J365" i="3"/>
  <c r="I365" i="3"/>
  <c r="H365" i="3"/>
  <c r="G365" i="3"/>
  <c r="F365" i="3"/>
  <c r="E365" i="3"/>
  <c r="D365" i="3"/>
  <c r="C365" i="3"/>
  <c r="B365" i="3"/>
  <c r="A365" i="3"/>
  <c r="AA364" i="3"/>
  <c r="Y364" i="3"/>
  <c r="X364" i="3"/>
  <c r="W364" i="3"/>
  <c r="U364" i="3"/>
  <c r="Z364" i="3" s="1"/>
  <c r="S364" i="3"/>
  <c r="Q364" i="3"/>
  <c r="P364" i="3"/>
  <c r="M364" i="3"/>
  <c r="L364" i="3"/>
  <c r="K364" i="3"/>
  <c r="J364" i="3"/>
  <c r="I364" i="3"/>
  <c r="H364" i="3"/>
  <c r="G364" i="3"/>
  <c r="F364" i="3"/>
  <c r="E364" i="3"/>
  <c r="D364" i="3"/>
  <c r="C364" i="3"/>
  <c r="B364" i="3"/>
  <c r="A364" i="3"/>
  <c r="AA363" i="3"/>
  <c r="Y363" i="3"/>
  <c r="X363" i="3"/>
  <c r="W363" i="3"/>
  <c r="U363" i="3"/>
  <c r="Z363" i="3" s="1"/>
  <c r="S363" i="3"/>
  <c r="Q363" i="3"/>
  <c r="P363" i="3"/>
  <c r="M363" i="3"/>
  <c r="L363" i="3"/>
  <c r="K363" i="3"/>
  <c r="J363" i="3"/>
  <c r="I363" i="3"/>
  <c r="H363" i="3"/>
  <c r="G363" i="3"/>
  <c r="F363" i="3"/>
  <c r="E363" i="3"/>
  <c r="D363" i="3"/>
  <c r="C363" i="3"/>
  <c r="B363" i="3"/>
  <c r="A363" i="3"/>
  <c r="AA362" i="3"/>
  <c r="Y362" i="3"/>
  <c r="X362" i="3"/>
  <c r="W362" i="3"/>
  <c r="U362" i="3"/>
  <c r="Z362" i="3" s="1"/>
  <c r="S362" i="3"/>
  <c r="Q362" i="3"/>
  <c r="P362" i="3"/>
  <c r="M362" i="3"/>
  <c r="L362" i="3"/>
  <c r="K362" i="3"/>
  <c r="J362" i="3"/>
  <c r="I362" i="3"/>
  <c r="H362" i="3"/>
  <c r="G362" i="3"/>
  <c r="F362" i="3"/>
  <c r="E362" i="3"/>
  <c r="D362" i="3"/>
  <c r="C362" i="3"/>
  <c r="B362" i="3"/>
  <c r="A362" i="3"/>
  <c r="AA361" i="3"/>
  <c r="Y361" i="3"/>
  <c r="X361" i="3"/>
  <c r="W361" i="3"/>
  <c r="U361" i="3"/>
  <c r="Z361" i="3" s="1"/>
  <c r="S361" i="3"/>
  <c r="Q361" i="3"/>
  <c r="P361" i="3"/>
  <c r="M361" i="3"/>
  <c r="L361" i="3"/>
  <c r="K361" i="3"/>
  <c r="J361" i="3"/>
  <c r="I361" i="3"/>
  <c r="H361" i="3"/>
  <c r="G361" i="3"/>
  <c r="F361" i="3"/>
  <c r="E361" i="3"/>
  <c r="D361" i="3"/>
  <c r="C361" i="3"/>
  <c r="B361" i="3"/>
  <c r="A361" i="3"/>
  <c r="AA360" i="3"/>
  <c r="Y360" i="3"/>
  <c r="X360" i="3"/>
  <c r="W360" i="3"/>
  <c r="U360" i="3"/>
  <c r="Z360" i="3" s="1"/>
  <c r="S360" i="3"/>
  <c r="Q360" i="3"/>
  <c r="P360" i="3"/>
  <c r="M360" i="3"/>
  <c r="L360" i="3"/>
  <c r="K360" i="3"/>
  <c r="J360" i="3"/>
  <c r="I360" i="3"/>
  <c r="H360" i="3"/>
  <c r="G360" i="3"/>
  <c r="F360" i="3"/>
  <c r="E360" i="3"/>
  <c r="D360" i="3"/>
  <c r="C360" i="3"/>
  <c r="B360" i="3"/>
  <c r="A360" i="3"/>
  <c r="AA359" i="3"/>
  <c r="Y359" i="3"/>
  <c r="X359" i="3"/>
  <c r="W359" i="3"/>
  <c r="U359" i="3"/>
  <c r="Z359" i="3" s="1"/>
  <c r="S359" i="3"/>
  <c r="Q359" i="3"/>
  <c r="P359" i="3"/>
  <c r="M359" i="3"/>
  <c r="L359" i="3"/>
  <c r="K359" i="3"/>
  <c r="J359" i="3"/>
  <c r="I359" i="3"/>
  <c r="H359" i="3"/>
  <c r="G359" i="3"/>
  <c r="F359" i="3"/>
  <c r="E359" i="3"/>
  <c r="D359" i="3"/>
  <c r="C359" i="3"/>
  <c r="B359" i="3"/>
  <c r="A359" i="3"/>
  <c r="AA358" i="3"/>
  <c r="Y358" i="3"/>
  <c r="X358" i="3"/>
  <c r="W358" i="3"/>
  <c r="U358" i="3"/>
  <c r="Z358" i="3" s="1"/>
  <c r="S358" i="3"/>
  <c r="Q358" i="3"/>
  <c r="P358" i="3"/>
  <c r="M358" i="3"/>
  <c r="L358" i="3"/>
  <c r="K358" i="3"/>
  <c r="J358" i="3"/>
  <c r="I358" i="3"/>
  <c r="H358" i="3"/>
  <c r="G358" i="3"/>
  <c r="F358" i="3"/>
  <c r="E358" i="3"/>
  <c r="D358" i="3"/>
  <c r="C358" i="3"/>
  <c r="B358" i="3"/>
  <c r="A358" i="3"/>
  <c r="AA357" i="3"/>
  <c r="X357" i="3"/>
  <c r="W357" i="3"/>
  <c r="U357" i="3"/>
  <c r="Z357" i="3" s="1"/>
  <c r="S357" i="3"/>
  <c r="Q357" i="3"/>
  <c r="P357" i="3"/>
  <c r="O357" i="3"/>
  <c r="Y357" i="3" s="1"/>
  <c r="M357" i="3"/>
  <c r="L357" i="3"/>
  <c r="K357" i="3"/>
  <c r="J357" i="3"/>
  <c r="I357" i="3"/>
  <c r="H357" i="3"/>
  <c r="G357" i="3"/>
  <c r="F357" i="3"/>
  <c r="E357" i="3"/>
  <c r="D357" i="3"/>
  <c r="C357" i="3"/>
  <c r="B357" i="3"/>
  <c r="A357" i="3"/>
  <c r="AA356" i="3"/>
  <c r="Y356" i="3"/>
  <c r="X356" i="3"/>
  <c r="W356" i="3"/>
  <c r="U356" i="3"/>
  <c r="Z356" i="3" s="1"/>
  <c r="S356" i="3"/>
  <c r="Q356" i="3"/>
  <c r="P356" i="3"/>
  <c r="M356" i="3"/>
  <c r="L356" i="3"/>
  <c r="K356" i="3"/>
  <c r="J356" i="3"/>
  <c r="I356" i="3"/>
  <c r="H356" i="3"/>
  <c r="G356" i="3"/>
  <c r="F356" i="3"/>
  <c r="E356" i="3"/>
  <c r="D356" i="3"/>
  <c r="C356" i="3"/>
  <c r="B356" i="3"/>
  <c r="A356" i="3"/>
  <c r="AA355" i="3"/>
  <c r="Y355" i="3"/>
  <c r="X355" i="3"/>
  <c r="W355" i="3"/>
  <c r="U355" i="3"/>
  <c r="Z355" i="3" s="1"/>
  <c r="S355" i="3"/>
  <c r="Q355" i="3"/>
  <c r="P355" i="3"/>
  <c r="M355" i="3"/>
  <c r="L355" i="3"/>
  <c r="K355" i="3"/>
  <c r="J355" i="3"/>
  <c r="I355" i="3"/>
  <c r="H355" i="3"/>
  <c r="G355" i="3"/>
  <c r="F355" i="3"/>
  <c r="E355" i="3"/>
  <c r="D355" i="3"/>
  <c r="C355" i="3"/>
  <c r="B355" i="3"/>
  <c r="A355" i="3"/>
  <c r="AA354" i="3"/>
  <c r="Y354" i="3"/>
  <c r="X354" i="3"/>
  <c r="W354" i="3"/>
  <c r="U354" i="3"/>
  <c r="Z354" i="3" s="1"/>
  <c r="S354" i="3"/>
  <c r="Q354" i="3"/>
  <c r="P354" i="3"/>
  <c r="M354" i="3"/>
  <c r="L354" i="3"/>
  <c r="K354" i="3"/>
  <c r="J354" i="3"/>
  <c r="I354" i="3"/>
  <c r="H354" i="3"/>
  <c r="G354" i="3"/>
  <c r="F354" i="3"/>
  <c r="E354" i="3"/>
  <c r="D354" i="3"/>
  <c r="C354" i="3"/>
  <c r="B354" i="3"/>
  <c r="A354" i="3"/>
  <c r="AA353" i="3"/>
  <c r="X353" i="3"/>
  <c r="W353" i="3"/>
  <c r="U353" i="3"/>
  <c r="Z353" i="3" s="1"/>
  <c r="S353" i="3"/>
  <c r="Q353" i="3"/>
  <c r="P353" i="3"/>
  <c r="O353" i="3"/>
  <c r="Y353" i="3" s="1"/>
  <c r="M353" i="3"/>
  <c r="L353" i="3"/>
  <c r="K353" i="3"/>
  <c r="J353" i="3"/>
  <c r="I353" i="3"/>
  <c r="H353" i="3"/>
  <c r="G353" i="3"/>
  <c r="F353" i="3"/>
  <c r="E353" i="3"/>
  <c r="D353" i="3"/>
  <c r="C353" i="3"/>
  <c r="B353" i="3"/>
  <c r="A353" i="3"/>
  <c r="AA352" i="3"/>
  <c r="Y352" i="3"/>
  <c r="X352" i="3"/>
  <c r="W352" i="3"/>
  <c r="U352" i="3"/>
  <c r="Z352" i="3" s="1"/>
  <c r="S352" i="3"/>
  <c r="Q352" i="3"/>
  <c r="P352" i="3"/>
  <c r="M352" i="3"/>
  <c r="L352" i="3"/>
  <c r="K352" i="3"/>
  <c r="J352" i="3"/>
  <c r="I352" i="3"/>
  <c r="H352" i="3"/>
  <c r="G352" i="3"/>
  <c r="F352" i="3"/>
  <c r="E352" i="3"/>
  <c r="D352" i="3"/>
  <c r="C352" i="3"/>
  <c r="B352" i="3"/>
  <c r="A352" i="3"/>
  <c r="AA351" i="3"/>
  <c r="X351" i="3"/>
  <c r="W351" i="3"/>
  <c r="U351" i="3"/>
  <c r="Z351" i="3" s="1"/>
  <c r="S351" i="3"/>
  <c r="Q351" i="3"/>
  <c r="P351" i="3"/>
  <c r="O351" i="3"/>
  <c r="Y351" i="3" s="1"/>
  <c r="M351" i="3"/>
  <c r="L351" i="3"/>
  <c r="K351" i="3"/>
  <c r="J351" i="3"/>
  <c r="I351" i="3"/>
  <c r="H351" i="3"/>
  <c r="G351" i="3"/>
  <c r="F351" i="3"/>
  <c r="E351" i="3"/>
  <c r="D351" i="3"/>
  <c r="C351" i="3"/>
  <c r="B351" i="3"/>
  <c r="A351" i="3"/>
  <c r="AA350" i="3"/>
  <c r="X350" i="3"/>
  <c r="W350" i="3"/>
  <c r="U350" i="3"/>
  <c r="Z350" i="3" s="1"/>
  <c r="S350" i="3"/>
  <c r="Q350" i="3"/>
  <c r="P350" i="3"/>
  <c r="O350" i="3"/>
  <c r="Y350" i="3" s="1"/>
  <c r="M350" i="3"/>
  <c r="L350" i="3"/>
  <c r="K350" i="3"/>
  <c r="J350" i="3"/>
  <c r="I350" i="3"/>
  <c r="H350" i="3"/>
  <c r="G350" i="3"/>
  <c r="F350" i="3"/>
  <c r="E350" i="3"/>
  <c r="D350" i="3"/>
  <c r="C350" i="3"/>
  <c r="B350" i="3"/>
  <c r="A350" i="3"/>
  <c r="AA349" i="3"/>
  <c r="Y349" i="3"/>
  <c r="X349" i="3"/>
  <c r="W349" i="3"/>
  <c r="U349" i="3"/>
  <c r="Z349" i="3" s="1"/>
  <c r="S349" i="3"/>
  <c r="Q349" i="3"/>
  <c r="P349" i="3"/>
  <c r="M349" i="3"/>
  <c r="L349" i="3"/>
  <c r="K349" i="3"/>
  <c r="J349" i="3"/>
  <c r="I349" i="3"/>
  <c r="H349" i="3"/>
  <c r="G349" i="3"/>
  <c r="F349" i="3"/>
  <c r="E349" i="3"/>
  <c r="D349" i="3"/>
  <c r="C349" i="3"/>
  <c r="B349" i="3"/>
  <c r="A349" i="3"/>
  <c r="AA348" i="3"/>
  <c r="X348" i="3"/>
  <c r="W348" i="3"/>
  <c r="U348" i="3"/>
  <c r="Z348" i="3" s="1"/>
  <c r="S348" i="3"/>
  <c r="Q348" i="3"/>
  <c r="P348" i="3"/>
  <c r="O348" i="3"/>
  <c r="Y348" i="3" s="1"/>
  <c r="M348" i="3"/>
  <c r="L348" i="3"/>
  <c r="K348" i="3"/>
  <c r="J348" i="3"/>
  <c r="I348" i="3"/>
  <c r="H348" i="3"/>
  <c r="G348" i="3"/>
  <c r="F348" i="3"/>
  <c r="E348" i="3"/>
  <c r="D348" i="3"/>
  <c r="C348" i="3"/>
  <c r="B348" i="3"/>
  <c r="A348" i="3"/>
  <c r="AA347" i="3"/>
  <c r="X347" i="3"/>
  <c r="W347" i="3"/>
  <c r="U347" i="3"/>
  <c r="Z347" i="3" s="1"/>
  <c r="S347" i="3"/>
  <c r="Q347" i="3"/>
  <c r="P347" i="3"/>
  <c r="O347" i="3"/>
  <c r="Y347" i="3" s="1"/>
  <c r="M347" i="3"/>
  <c r="L347" i="3"/>
  <c r="K347" i="3"/>
  <c r="J347" i="3"/>
  <c r="I347" i="3"/>
  <c r="H347" i="3"/>
  <c r="G347" i="3"/>
  <c r="F347" i="3"/>
  <c r="E347" i="3"/>
  <c r="D347" i="3"/>
  <c r="C347" i="3"/>
  <c r="B347" i="3"/>
  <c r="A347" i="3"/>
  <c r="AA346" i="3"/>
  <c r="X346" i="3"/>
  <c r="W346" i="3"/>
  <c r="U346" i="3"/>
  <c r="Z346" i="3" s="1"/>
  <c r="S346" i="3"/>
  <c r="Q346" i="3"/>
  <c r="P346" i="3"/>
  <c r="O346" i="3"/>
  <c r="Y346" i="3" s="1"/>
  <c r="M346" i="3"/>
  <c r="L346" i="3"/>
  <c r="K346" i="3"/>
  <c r="J346" i="3"/>
  <c r="I346" i="3"/>
  <c r="H346" i="3"/>
  <c r="G346" i="3"/>
  <c r="F346" i="3"/>
  <c r="E346" i="3"/>
  <c r="D346" i="3"/>
  <c r="C346" i="3"/>
  <c r="B346" i="3"/>
  <c r="A346" i="3"/>
  <c r="AA345" i="3"/>
  <c r="X345" i="3"/>
  <c r="W345" i="3"/>
  <c r="U345" i="3"/>
  <c r="Z345" i="3" s="1"/>
  <c r="S345" i="3"/>
  <c r="Q345" i="3"/>
  <c r="P345" i="3"/>
  <c r="O345" i="3"/>
  <c r="Y345" i="3" s="1"/>
  <c r="M345" i="3"/>
  <c r="L345" i="3"/>
  <c r="K345" i="3"/>
  <c r="J345" i="3"/>
  <c r="I345" i="3"/>
  <c r="H345" i="3"/>
  <c r="G345" i="3"/>
  <c r="F345" i="3"/>
  <c r="E345" i="3"/>
  <c r="D345" i="3"/>
  <c r="C345" i="3"/>
  <c r="B345" i="3"/>
  <c r="A345" i="3"/>
  <c r="AA344" i="3"/>
  <c r="Y344" i="3"/>
  <c r="X344" i="3"/>
  <c r="W344" i="3"/>
  <c r="U344" i="3"/>
  <c r="Z344" i="3" s="1"/>
  <c r="S344" i="3"/>
  <c r="Q344" i="3"/>
  <c r="P344" i="3"/>
  <c r="M344" i="3"/>
  <c r="L344" i="3"/>
  <c r="K344" i="3"/>
  <c r="J344" i="3"/>
  <c r="I344" i="3"/>
  <c r="H344" i="3"/>
  <c r="G344" i="3"/>
  <c r="F344" i="3"/>
  <c r="E344" i="3"/>
  <c r="D344" i="3"/>
  <c r="C344" i="3"/>
  <c r="B344" i="3"/>
  <c r="A344" i="3"/>
  <c r="AA343" i="3"/>
  <c r="Y343" i="3"/>
  <c r="X343" i="3"/>
  <c r="W343" i="3"/>
  <c r="U343" i="3"/>
  <c r="Z343" i="3" s="1"/>
  <c r="S343" i="3"/>
  <c r="Q343" i="3"/>
  <c r="P343" i="3"/>
  <c r="M343" i="3"/>
  <c r="L343" i="3"/>
  <c r="K343" i="3"/>
  <c r="J343" i="3"/>
  <c r="I343" i="3"/>
  <c r="H343" i="3"/>
  <c r="G343" i="3"/>
  <c r="F343" i="3"/>
  <c r="E343" i="3"/>
  <c r="D343" i="3"/>
  <c r="C343" i="3"/>
  <c r="B343" i="3"/>
  <c r="A343" i="3"/>
  <c r="AA342" i="3"/>
  <c r="Y342" i="3"/>
  <c r="X342" i="3"/>
  <c r="W342" i="3"/>
  <c r="U342" i="3"/>
  <c r="Z342" i="3" s="1"/>
  <c r="S342" i="3"/>
  <c r="Q342" i="3"/>
  <c r="P342" i="3"/>
  <c r="M342" i="3"/>
  <c r="L342" i="3"/>
  <c r="K342" i="3"/>
  <c r="J342" i="3"/>
  <c r="I342" i="3"/>
  <c r="H342" i="3"/>
  <c r="G342" i="3"/>
  <c r="F342" i="3"/>
  <c r="E342" i="3"/>
  <c r="D342" i="3"/>
  <c r="C342" i="3"/>
  <c r="B342" i="3"/>
  <c r="A342" i="3"/>
  <c r="AA341" i="3"/>
  <c r="Y341" i="3"/>
  <c r="X341" i="3"/>
  <c r="W341" i="3"/>
  <c r="U341" i="3"/>
  <c r="Z341" i="3" s="1"/>
  <c r="S341" i="3"/>
  <c r="Q341" i="3"/>
  <c r="P341" i="3"/>
  <c r="M341" i="3"/>
  <c r="L341" i="3"/>
  <c r="K341" i="3"/>
  <c r="J341" i="3"/>
  <c r="I341" i="3"/>
  <c r="H341" i="3"/>
  <c r="G341" i="3"/>
  <c r="F341" i="3"/>
  <c r="E341" i="3"/>
  <c r="D341" i="3"/>
  <c r="C341" i="3"/>
  <c r="B341" i="3"/>
  <c r="A341" i="3"/>
  <c r="AA340" i="3"/>
  <c r="Y340" i="3"/>
  <c r="X340" i="3"/>
  <c r="W340" i="3"/>
  <c r="U340" i="3"/>
  <c r="Z340" i="3" s="1"/>
  <c r="S340" i="3"/>
  <c r="Q340" i="3"/>
  <c r="P340" i="3"/>
  <c r="M340" i="3"/>
  <c r="L340" i="3"/>
  <c r="K340" i="3"/>
  <c r="J340" i="3"/>
  <c r="I340" i="3"/>
  <c r="H340" i="3"/>
  <c r="G340" i="3"/>
  <c r="F340" i="3"/>
  <c r="E340" i="3"/>
  <c r="D340" i="3"/>
  <c r="C340" i="3"/>
  <c r="B340" i="3"/>
  <c r="A340" i="3"/>
  <c r="AA339" i="3"/>
  <c r="Y339" i="3"/>
  <c r="X339" i="3"/>
  <c r="W339" i="3"/>
  <c r="U339" i="3"/>
  <c r="Z339" i="3" s="1"/>
  <c r="S339" i="3"/>
  <c r="Q339" i="3"/>
  <c r="P339" i="3"/>
  <c r="M339" i="3"/>
  <c r="L339" i="3"/>
  <c r="K339" i="3"/>
  <c r="J339" i="3"/>
  <c r="I339" i="3"/>
  <c r="H339" i="3"/>
  <c r="G339" i="3"/>
  <c r="F339" i="3"/>
  <c r="E339" i="3"/>
  <c r="D339" i="3"/>
  <c r="C339" i="3"/>
  <c r="B339" i="3"/>
  <c r="A339" i="3"/>
  <c r="AA338" i="3"/>
  <c r="Y338" i="3"/>
  <c r="X338" i="3"/>
  <c r="W338" i="3"/>
  <c r="U338" i="3"/>
  <c r="Z338" i="3" s="1"/>
  <c r="S338" i="3"/>
  <c r="Q338" i="3"/>
  <c r="P338" i="3"/>
  <c r="M338" i="3"/>
  <c r="L338" i="3"/>
  <c r="K338" i="3"/>
  <c r="J338" i="3"/>
  <c r="I338" i="3"/>
  <c r="H338" i="3"/>
  <c r="G338" i="3"/>
  <c r="F338" i="3"/>
  <c r="E338" i="3"/>
  <c r="D338" i="3"/>
  <c r="C338" i="3"/>
  <c r="B338" i="3"/>
  <c r="A338" i="3"/>
  <c r="AA337" i="3"/>
  <c r="Y337" i="3"/>
  <c r="X337" i="3"/>
  <c r="W337" i="3"/>
  <c r="U337" i="3"/>
  <c r="Z337" i="3" s="1"/>
  <c r="S337" i="3"/>
  <c r="Q337" i="3"/>
  <c r="P337" i="3"/>
  <c r="M337" i="3"/>
  <c r="L337" i="3"/>
  <c r="K337" i="3"/>
  <c r="J337" i="3"/>
  <c r="I337" i="3"/>
  <c r="H337" i="3"/>
  <c r="G337" i="3"/>
  <c r="F337" i="3"/>
  <c r="E337" i="3"/>
  <c r="D337" i="3"/>
  <c r="C337" i="3"/>
  <c r="B337" i="3"/>
  <c r="A337" i="3"/>
  <c r="AA336" i="3"/>
  <c r="Y336" i="3"/>
  <c r="X336" i="3"/>
  <c r="W336" i="3"/>
  <c r="U336" i="3"/>
  <c r="Z336" i="3" s="1"/>
  <c r="S336" i="3"/>
  <c r="Q336" i="3"/>
  <c r="P336" i="3"/>
  <c r="M336" i="3"/>
  <c r="L336" i="3"/>
  <c r="K336" i="3"/>
  <c r="J336" i="3"/>
  <c r="I336" i="3"/>
  <c r="H336" i="3"/>
  <c r="G336" i="3"/>
  <c r="F336" i="3"/>
  <c r="E336" i="3"/>
  <c r="D336" i="3"/>
  <c r="C336" i="3"/>
  <c r="B336" i="3"/>
  <c r="A336" i="3"/>
  <c r="AA335" i="3"/>
  <c r="Y335" i="3"/>
  <c r="X335" i="3"/>
  <c r="W335" i="3"/>
  <c r="U335" i="3"/>
  <c r="Z335" i="3" s="1"/>
  <c r="S335" i="3"/>
  <c r="Q335" i="3"/>
  <c r="P335" i="3"/>
  <c r="M335" i="3"/>
  <c r="L335" i="3"/>
  <c r="K335" i="3"/>
  <c r="J335" i="3"/>
  <c r="I335" i="3"/>
  <c r="H335" i="3"/>
  <c r="G335" i="3"/>
  <c r="F335" i="3"/>
  <c r="E335" i="3"/>
  <c r="D335" i="3"/>
  <c r="C335" i="3"/>
  <c r="B335" i="3"/>
  <c r="A335" i="3"/>
  <c r="AA334" i="3"/>
  <c r="Y334" i="3"/>
  <c r="X334" i="3"/>
  <c r="W334" i="3"/>
  <c r="U334" i="3"/>
  <c r="Z334" i="3" s="1"/>
  <c r="S334" i="3"/>
  <c r="Q334" i="3"/>
  <c r="P334" i="3"/>
  <c r="M334" i="3"/>
  <c r="L334" i="3"/>
  <c r="K334" i="3"/>
  <c r="J334" i="3"/>
  <c r="I334" i="3"/>
  <c r="H334" i="3"/>
  <c r="G334" i="3"/>
  <c r="F334" i="3"/>
  <c r="E334" i="3"/>
  <c r="D334" i="3"/>
  <c r="C334" i="3"/>
  <c r="B334" i="3"/>
  <c r="A334" i="3"/>
  <c r="AA333" i="3"/>
  <c r="Y333" i="3"/>
  <c r="X333" i="3"/>
  <c r="W333" i="3"/>
  <c r="U333" i="3"/>
  <c r="Z333" i="3" s="1"/>
  <c r="S333" i="3"/>
  <c r="Q333" i="3"/>
  <c r="P333" i="3"/>
  <c r="M333" i="3"/>
  <c r="L333" i="3"/>
  <c r="K333" i="3"/>
  <c r="J333" i="3"/>
  <c r="I333" i="3"/>
  <c r="H333" i="3"/>
  <c r="G333" i="3"/>
  <c r="F333" i="3"/>
  <c r="E333" i="3"/>
  <c r="D333" i="3"/>
  <c r="C333" i="3"/>
  <c r="B333" i="3"/>
  <c r="A333" i="3"/>
  <c r="AA332" i="3"/>
  <c r="Y332" i="3"/>
  <c r="X332" i="3"/>
  <c r="W332" i="3"/>
  <c r="U332" i="3"/>
  <c r="Z332" i="3" s="1"/>
  <c r="S332" i="3"/>
  <c r="Q332" i="3"/>
  <c r="P332" i="3"/>
  <c r="M332" i="3"/>
  <c r="L332" i="3"/>
  <c r="K332" i="3"/>
  <c r="J332" i="3"/>
  <c r="I332" i="3"/>
  <c r="H332" i="3"/>
  <c r="G332" i="3"/>
  <c r="F332" i="3"/>
  <c r="E332" i="3"/>
  <c r="D332" i="3"/>
  <c r="C332" i="3"/>
  <c r="B332" i="3"/>
  <c r="A332" i="3"/>
  <c r="AA331" i="3"/>
  <c r="Y331" i="3"/>
  <c r="X331" i="3"/>
  <c r="W331" i="3"/>
  <c r="U331" i="3"/>
  <c r="Z331" i="3" s="1"/>
  <c r="S331" i="3"/>
  <c r="Q331" i="3"/>
  <c r="P331" i="3"/>
  <c r="M331" i="3"/>
  <c r="L331" i="3"/>
  <c r="K331" i="3"/>
  <c r="J331" i="3"/>
  <c r="I331" i="3"/>
  <c r="H331" i="3"/>
  <c r="G331" i="3"/>
  <c r="F331" i="3"/>
  <c r="E331" i="3"/>
  <c r="D331" i="3"/>
  <c r="C331" i="3"/>
  <c r="B331" i="3"/>
  <c r="A331" i="3"/>
  <c r="AA330" i="3"/>
  <c r="Y330" i="3"/>
  <c r="X330" i="3"/>
  <c r="W330" i="3"/>
  <c r="U330" i="3"/>
  <c r="Z330" i="3" s="1"/>
  <c r="S330" i="3"/>
  <c r="Q330" i="3"/>
  <c r="P330" i="3"/>
  <c r="M330" i="3"/>
  <c r="L330" i="3"/>
  <c r="K330" i="3"/>
  <c r="J330" i="3"/>
  <c r="I330" i="3"/>
  <c r="H330" i="3"/>
  <c r="G330" i="3"/>
  <c r="F330" i="3"/>
  <c r="E330" i="3"/>
  <c r="D330" i="3"/>
  <c r="C330" i="3"/>
  <c r="B330" i="3"/>
  <c r="A330" i="3"/>
  <c r="AA329" i="3"/>
  <c r="Y329" i="3"/>
  <c r="X329" i="3"/>
  <c r="W329" i="3"/>
  <c r="U329" i="3"/>
  <c r="Z329" i="3" s="1"/>
  <c r="S329" i="3"/>
  <c r="Q329" i="3"/>
  <c r="P329" i="3"/>
  <c r="M329" i="3"/>
  <c r="L329" i="3"/>
  <c r="K329" i="3"/>
  <c r="J329" i="3"/>
  <c r="I329" i="3"/>
  <c r="H329" i="3"/>
  <c r="G329" i="3"/>
  <c r="F329" i="3"/>
  <c r="E329" i="3"/>
  <c r="D329" i="3"/>
  <c r="C329" i="3"/>
  <c r="B329" i="3"/>
  <c r="A329" i="3"/>
  <c r="AA328" i="3"/>
  <c r="Y328" i="3"/>
  <c r="X328" i="3"/>
  <c r="W328" i="3"/>
  <c r="U328" i="3"/>
  <c r="Z328" i="3" s="1"/>
  <c r="S328" i="3"/>
  <c r="Q328" i="3"/>
  <c r="P328" i="3"/>
  <c r="M328" i="3"/>
  <c r="L328" i="3"/>
  <c r="K328" i="3"/>
  <c r="J328" i="3"/>
  <c r="I328" i="3"/>
  <c r="H328" i="3"/>
  <c r="G328" i="3"/>
  <c r="F328" i="3"/>
  <c r="E328" i="3"/>
  <c r="D328" i="3"/>
  <c r="C328" i="3"/>
  <c r="B328" i="3"/>
  <c r="A328" i="3"/>
  <c r="AA327" i="3"/>
  <c r="Y327" i="3"/>
  <c r="X327" i="3"/>
  <c r="W327" i="3"/>
  <c r="U327" i="3"/>
  <c r="Z327" i="3" s="1"/>
  <c r="S327" i="3"/>
  <c r="Q327" i="3"/>
  <c r="P327" i="3"/>
  <c r="M327" i="3"/>
  <c r="L327" i="3"/>
  <c r="K327" i="3"/>
  <c r="J327" i="3"/>
  <c r="I327" i="3"/>
  <c r="H327" i="3"/>
  <c r="G327" i="3"/>
  <c r="F327" i="3"/>
  <c r="E327" i="3"/>
  <c r="D327" i="3"/>
  <c r="C327" i="3"/>
  <c r="B327" i="3"/>
  <c r="A327" i="3"/>
  <c r="AA326" i="3"/>
  <c r="Y326" i="3"/>
  <c r="X326" i="3"/>
  <c r="W326" i="3"/>
  <c r="U326" i="3"/>
  <c r="Z326" i="3" s="1"/>
  <c r="S326" i="3"/>
  <c r="Q326" i="3"/>
  <c r="P326" i="3"/>
  <c r="M326" i="3"/>
  <c r="L326" i="3"/>
  <c r="K326" i="3"/>
  <c r="J326" i="3"/>
  <c r="I326" i="3"/>
  <c r="H326" i="3"/>
  <c r="G326" i="3"/>
  <c r="F326" i="3"/>
  <c r="E326" i="3"/>
  <c r="D326" i="3"/>
  <c r="C326" i="3"/>
  <c r="B326" i="3"/>
  <c r="A326" i="3"/>
  <c r="AA325" i="3"/>
  <c r="Y325" i="3"/>
  <c r="X325" i="3"/>
  <c r="W325" i="3"/>
  <c r="U325" i="3"/>
  <c r="Z325" i="3" s="1"/>
  <c r="S325" i="3"/>
  <c r="Q325" i="3"/>
  <c r="P325" i="3"/>
  <c r="M325" i="3"/>
  <c r="L325" i="3"/>
  <c r="K325" i="3"/>
  <c r="J325" i="3"/>
  <c r="I325" i="3"/>
  <c r="H325" i="3"/>
  <c r="G325" i="3"/>
  <c r="F325" i="3"/>
  <c r="E325" i="3"/>
  <c r="D325" i="3"/>
  <c r="C325" i="3"/>
  <c r="B325" i="3"/>
  <c r="A325" i="3"/>
  <c r="AA324" i="3"/>
  <c r="X324" i="3"/>
  <c r="W324" i="3"/>
  <c r="U324" i="3"/>
  <c r="Z324" i="3" s="1"/>
  <c r="S324" i="3"/>
  <c r="Q324" i="3"/>
  <c r="P324" i="3"/>
  <c r="O324" i="3"/>
  <c r="Y324" i="3" s="1"/>
  <c r="M324" i="3"/>
  <c r="L324" i="3"/>
  <c r="K324" i="3"/>
  <c r="J324" i="3"/>
  <c r="I324" i="3"/>
  <c r="H324" i="3"/>
  <c r="G324" i="3"/>
  <c r="F324" i="3"/>
  <c r="E324" i="3"/>
  <c r="D324" i="3"/>
  <c r="C324" i="3"/>
  <c r="B324" i="3"/>
  <c r="A324" i="3"/>
  <c r="AA323" i="3"/>
  <c r="Y323" i="3"/>
  <c r="X323" i="3"/>
  <c r="W323" i="3"/>
  <c r="U323" i="3"/>
  <c r="Z323" i="3" s="1"/>
  <c r="S323" i="3"/>
  <c r="Q323" i="3"/>
  <c r="P323" i="3"/>
  <c r="M323" i="3"/>
  <c r="L323" i="3"/>
  <c r="K323" i="3"/>
  <c r="J323" i="3"/>
  <c r="I323" i="3"/>
  <c r="H323" i="3"/>
  <c r="G323" i="3"/>
  <c r="F323" i="3"/>
  <c r="E323" i="3"/>
  <c r="D323" i="3"/>
  <c r="C323" i="3"/>
  <c r="B323" i="3"/>
  <c r="A323" i="3"/>
  <c r="AA322" i="3"/>
  <c r="Y322" i="3"/>
  <c r="X322" i="3"/>
  <c r="W322" i="3"/>
  <c r="U322" i="3"/>
  <c r="Z322" i="3" s="1"/>
  <c r="S322" i="3"/>
  <c r="Q322" i="3"/>
  <c r="P322" i="3"/>
  <c r="M322" i="3"/>
  <c r="L322" i="3"/>
  <c r="K322" i="3"/>
  <c r="J322" i="3"/>
  <c r="I322" i="3"/>
  <c r="H322" i="3"/>
  <c r="G322" i="3"/>
  <c r="F322" i="3"/>
  <c r="E322" i="3"/>
  <c r="D322" i="3"/>
  <c r="C322" i="3"/>
  <c r="B322" i="3"/>
  <c r="A322" i="3"/>
  <c r="AA321" i="3"/>
  <c r="Y321" i="3"/>
  <c r="X321" i="3"/>
  <c r="W321" i="3"/>
  <c r="U321" i="3"/>
  <c r="Z321" i="3" s="1"/>
  <c r="S321" i="3"/>
  <c r="Q321" i="3"/>
  <c r="P321" i="3"/>
  <c r="M321" i="3"/>
  <c r="L321" i="3"/>
  <c r="K321" i="3"/>
  <c r="J321" i="3"/>
  <c r="I321" i="3"/>
  <c r="H321" i="3"/>
  <c r="G321" i="3"/>
  <c r="F321" i="3"/>
  <c r="E321" i="3"/>
  <c r="D321" i="3"/>
  <c r="C321" i="3"/>
  <c r="B321" i="3"/>
  <c r="A321" i="3"/>
  <c r="AA320" i="3"/>
  <c r="Y320" i="3"/>
  <c r="X320" i="3"/>
  <c r="W320" i="3"/>
  <c r="U320" i="3"/>
  <c r="Z320" i="3" s="1"/>
  <c r="S320" i="3"/>
  <c r="Q320" i="3"/>
  <c r="P320" i="3"/>
  <c r="M320" i="3"/>
  <c r="L320" i="3"/>
  <c r="K320" i="3"/>
  <c r="J320" i="3"/>
  <c r="I320" i="3"/>
  <c r="H320" i="3"/>
  <c r="G320" i="3"/>
  <c r="F320" i="3"/>
  <c r="E320" i="3"/>
  <c r="D320" i="3"/>
  <c r="C320" i="3"/>
  <c r="B320" i="3"/>
  <c r="A320" i="3"/>
  <c r="AA319" i="3"/>
  <c r="X319" i="3"/>
  <c r="W319" i="3"/>
  <c r="U319" i="3"/>
  <c r="Z319" i="3" s="1"/>
  <c r="S319" i="3"/>
  <c r="Q319" i="3"/>
  <c r="P319" i="3"/>
  <c r="O319" i="3"/>
  <c r="Y319" i="3" s="1"/>
  <c r="M319" i="3"/>
  <c r="L319" i="3"/>
  <c r="K319" i="3"/>
  <c r="J319" i="3"/>
  <c r="I319" i="3"/>
  <c r="H319" i="3"/>
  <c r="G319" i="3"/>
  <c r="F319" i="3"/>
  <c r="E319" i="3"/>
  <c r="D319" i="3"/>
  <c r="C319" i="3"/>
  <c r="B319" i="3"/>
  <c r="A319" i="3"/>
  <c r="AA318" i="3"/>
  <c r="Y318" i="3"/>
  <c r="X318" i="3"/>
  <c r="W318" i="3"/>
  <c r="U318" i="3"/>
  <c r="Z318" i="3" s="1"/>
  <c r="S318" i="3"/>
  <c r="Q318" i="3"/>
  <c r="P318" i="3"/>
  <c r="M318" i="3"/>
  <c r="L318" i="3"/>
  <c r="K318" i="3"/>
  <c r="J318" i="3"/>
  <c r="I318" i="3"/>
  <c r="H318" i="3"/>
  <c r="G318" i="3"/>
  <c r="F318" i="3"/>
  <c r="E318" i="3"/>
  <c r="D318" i="3"/>
  <c r="C318" i="3"/>
  <c r="B318" i="3"/>
  <c r="A318" i="3"/>
  <c r="AA317" i="3"/>
  <c r="Y317" i="3"/>
  <c r="X317" i="3"/>
  <c r="W317" i="3"/>
  <c r="U317" i="3"/>
  <c r="Z317" i="3" s="1"/>
  <c r="S317" i="3"/>
  <c r="Q317" i="3"/>
  <c r="P317" i="3"/>
  <c r="M317" i="3"/>
  <c r="L317" i="3"/>
  <c r="K317" i="3"/>
  <c r="J317" i="3"/>
  <c r="I317" i="3"/>
  <c r="H317" i="3"/>
  <c r="G317" i="3"/>
  <c r="F317" i="3"/>
  <c r="E317" i="3"/>
  <c r="D317" i="3"/>
  <c r="C317" i="3"/>
  <c r="B317" i="3"/>
  <c r="A317" i="3"/>
  <c r="AA316" i="3"/>
  <c r="Y316" i="3"/>
  <c r="X316" i="3"/>
  <c r="W316" i="3"/>
  <c r="U316" i="3"/>
  <c r="Z316" i="3" s="1"/>
  <c r="S316" i="3"/>
  <c r="Q316" i="3"/>
  <c r="P316" i="3"/>
  <c r="M316" i="3"/>
  <c r="L316" i="3"/>
  <c r="K316" i="3"/>
  <c r="J316" i="3"/>
  <c r="I316" i="3"/>
  <c r="H316" i="3"/>
  <c r="G316" i="3"/>
  <c r="F316" i="3"/>
  <c r="E316" i="3"/>
  <c r="D316" i="3"/>
  <c r="C316" i="3"/>
  <c r="B316" i="3"/>
  <c r="A316" i="3"/>
  <c r="AA315" i="3"/>
  <c r="Y315" i="3"/>
  <c r="X315" i="3"/>
  <c r="W315" i="3"/>
  <c r="U315" i="3"/>
  <c r="Z315" i="3" s="1"/>
  <c r="S315" i="3"/>
  <c r="Q315" i="3"/>
  <c r="P315" i="3"/>
  <c r="M315" i="3"/>
  <c r="L315" i="3"/>
  <c r="K315" i="3"/>
  <c r="J315" i="3"/>
  <c r="I315" i="3"/>
  <c r="H315" i="3"/>
  <c r="G315" i="3"/>
  <c r="F315" i="3"/>
  <c r="E315" i="3"/>
  <c r="D315" i="3"/>
  <c r="C315" i="3"/>
  <c r="B315" i="3"/>
  <c r="A315" i="3"/>
  <c r="AA314" i="3"/>
  <c r="Y314" i="3"/>
  <c r="X314" i="3"/>
  <c r="W314" i="3"/>
  <c r="U314" i="3"/>
  <c r="Z314" i="3" s="1"/>
  <c r="S314" i="3"/>
  <c r="Q314" i="3"/>
  <c r="P314" i="3"/>
  <c r="M314" i="3"/>
  <c r="L314" i="3"/>
  <c r="K314" i="3"/>
  <c r="J314" i="3"/>
  <c r="I314" i="3"/>
  <c r="H314" i="3"/>
  <c r="G314" i="3"/>
  <c r="F314" i="3"/>
  <c r="E314" i="3"/>
  <c r="D314" i="3"/>
  <c r="C314" i="3"/>
  <c r="B314" i="3"/>
  <c r="A314" i="3"/>
  <c r="AA313" i="3"/>
  <c r="Y313" i="3"/>
  <c r="X313" i="3"/>
  <c r="W313" i="3"/>
  <c r="U313" i="3"/>
  <c r="Z313" i="3" s="1"/>
  <c r="S313" i="3"/>
  <c r="Q313" i="3"/>
  <c r="P313" i="3"/>
  <c r="M313" i="3"/>
  <c r="L313" i="3"/>
  <c r="K313" i="3"/>
  <c r="J313" i="3"/>
  <c r="I313" i="3"/>
  <c r="H313" i="3"/>
  <c r="G313" i="3"/>
  <c r="F313" i="3"/>
  <c r="E313" i="3"/>
  <c r="D313" i="3"/>
  <c r="C313" i="3"/>
  <c r="B313" i="3"/>
  <c r="A313" i="3"/>
  <c r="AA312" i="3"/>
  <c r="Y312" i="3"/>
  <c r="X312" i="3"/>
  <c r="W312" i="3"/>
  <c r="U312" i="3"/>
  <c r="Z312" i="3" s="1"/>
  <c r="S312" i="3"/>
  <c r="Q312" i="3"/>
  <c r="P312" i="3"/>
  <c r="M312" i="3"/>
  <c r="L312" i="3"/>
  <c r="K312" i="3"/>
  <c r="J312" i="3"/>
  <c r="I312" i="3"/>
  <c r="H312" i="3"/>
  <c r="G312" i="3"/>
  <c r="F312" i="3"/>
  <c r="E312" i="3"/>
  <c r="D312" i="3"/>
  <c r="C312" i="3"/>
  <c r="B312" i="3"/>
  <c r="A312" i="3"/>
  <c r="AA311" i="3"/>
  <c r="Y311" i="3"/>
  <c r="X311" i="3"/>
  <c r="W311" i="3"/>
  <c r="U311" i="3"/>
  <c r="Z311" i="3" s="1"/>
  <c r="S311" i="3"/>
  <c r="Q311" i="3"/>
  <c r="P311" i="3"/>
  <c r="M311" i="3"/>
  <c r="L311" i="3"/>
  <c r="K311" i="3"/>
  <c r="J311" i="3"/>
  <c r="I311" i="3"/>
  <c r="H311" i="3"/>
  <c r="G311" i="3"/>
  <c r="F311" i="3"/>
  <c r="E311" i="3"/>
  <c r="D311" i="3"/>
  <c r="C311" i="3"/>
  <c r="B311" i="3"/>
  <c r="A311" i="3"/>
  <c r="AA310" i="3"/>
  <c r="Y310" i="3"/>
  <c r="X310" i="3"/>
  <c r="W310" i="3"/>
  <c r="U310" i="3"/>
  <c r="Z310" i="3" s="1"/>
  <c r="S310" i="3"/>
  <c r="Q310" i="3"/>
  <c r="P310" i="3"/>
  <c r="M310" i="3"/>
  <c r="L310" i="3"/>
  <c r="K310" i="3"/>
  <c r="J310" i="3"/>
  <c r="I310" i="3"/>
  <c r="H310" i="3"/>
  <c r="G310" i="3"/>
  <c r="F310" i="3"/>
  <c r="E310" i="3"/>
  <c r="D310" i="3"/>
  <c r="C310" i="3"/>
  <c r="B310" i="3"/>
  <c r="A310" i="3"/>
  <c r="AA309" i="3"/>
  <c r="Y309" i="3"/>
  <c r="X309" i="3"/>
  <c r="W309" i="3"/>
  <c r="U309" i="3"/>
  <c r="Z309" i="3" s="1"/>
  <c r="S309" i="3"/>
  <c r="Q309" i="3"/>
  <c r="P309" i="3"/>
  <c r="M309" i="3"/>
  <c r="L309" i="3"/>
  <c r="K309" i="3"/>
  <c r="J309" i="3"/>
  <c r="I309" i="3"/>
  <c r="H309" i="3"/>
  <c r="G309" i="3"/>
  <c r="F309" i="3"/>
  <c r="E309" i="3"/>
  <c r="D309" i="3"/>
  <c r="C309" i="3"/>
  <c r="B309" i="3"/>
  <c r="A309" i="3"/>
  <c r="AA308" i="3"/>
  <c r="Y308" i="3"/>
  <c r="X308" i="3"/>
  <c r="W308" i="3"/>
  <c r="U308" i="3"/>
  <c r="Z308" i="3" s="1"/>
  <c r="S308" i="3"/>
  <c r="Q308" i="3"/>
  <c r="P308" i="3"/>
  <c r="M308" i="3"/>
  <c r="L308" i="3"/>
  <c r="K308" i="3"/>
  <c r="J308" i="3"/>
  <c r="I308" i="3"/>
  <c r="H308" i="3"/>
  <c r="G308" i="3"/>
  <c r="F308" i="3"/>
  <c r="E308" i="3"/>
  <c r="D308" i="3"/>
  <c r="C308" i="3"/>
  <c r="B308" i="3"/>
  <c r="A308" i="3"/>
  <c r="AA307" i="3"/>
  <c r="Y307" i="3"/>
  <c r="X307" i="3"/>
  <c r="W307" i="3"/>
  <c r="U307" i="3"/>
  <c r="Z307" i="3" s="1"/>
  <c r="S307" i="3"/>
  <c r="Q307" i="3"/>
  <c r="P307" i="3"/>
  <c r="M307" i="3"/>
  <c r="L307" i="3"/>
  <c r="K307" i="3"/>
  <c r="J307" i="3"/>
  <c r="I307" i="3"/>
  <c r="H307" i="3"/>
  <c r="G307" i="3"/>
  <c r="F307" i="3"/>
  <c r="E307" i="3"/>
  <c r="D307" i="3"/>
  <c r="C307" i="3"/>
  <c r="B307" i="3"/>
  <c r="A307" i="3"/>
  <c r="AA306" i="3"/>
  <c r="Y306" i="3"/>
  <c r="X306" i="3"/>
  <c r="W306" i="3"/>
  <c r="U306" i="3"/>
  <c r="Z306" i="3" s="1"/>
  <c r="S306" i="3"/>
  <c r="Q306" i="3"/>
  <c r="P306" i="3"/>
  <c r="M306" i="3"/>
  <c r="L306" i="3"/>
  <c r="K306" i="3"/>
  <c r="J306" i="3"/>
  <c r="I306" i="3"/>
  <c r="H306" i="3"/>
  <c r="G306" i="3"/>
  <c r="F306" i="3"/>
  <c r="E306" i="3"/>
  <c r="D306" i="3"/>
  <c r="C306" i="3"/>
  <c r="B306" i="3"/>
  <c r="A306" i="3"/>
  <c r="AA305" i="3"/>
  <c r="Y305" i="3"/>
  <c r="X305" i="3"/>
  <c r="W305" i="3"/>
  <c r="U305" i="3"/>
  <c r="Z305" i="3" s="1"/>
  <c r="S305" i="3"/>
  <c r="Q305" i="3"/>
  <c r="P305" i="3"/>
  <c r="M305" i="3"/>
  <c r="L305" i="3"/>
  <c r="K305" i="3"/>
  <c r="J305" i="3"/>
  <c r="I305" i="3"/>
  <c r="H305" i="3"/>
  <c r="G305" i="3"/>
  <c r="F305" i="3"/>
  <c r="E305" i="3"/>
  <c r="D305" i="3"/>
  <c r="C305" i="3"/>
  <c r="B305" i="3"/>
  <c r="A305" i="3"/>
  <c r="AA304" i="3"/>
  <c r="Y304" i="3"/>
  <c r="X304" i="3"/>
  <c r="W304" i="3"/>
  <c r="U304" i="3"/>
  <c r="Z304" i="3" s="1"/>
  <c r="S304" i="3"/>
  <c r="Q304" i="3"/>
  <c r="P304" i="3"/>
  <c r="M304" i="3"/>
  <c r="L304" i="3"/>
  <c r="K304" i="3"/>
  <c r="J304" i="3"/>
  <c r="I304" i="3"/>
  <c r="H304" i="3"/>
  <c r="G304" i="3"/>
  <c r="F304" i="3"/>
  <c r="E304" i="3"/>
  <c r="D304" i="3"/>
  <c r="C304" i="3"/>
  <c r="B304" i="3"/>
  <c r="A304" i="3"/>
  <c r="AA303" i="3"/>
  <c r="Y303" i="3"/>
  <c r="X303" i="3"/>
  <c r="W303" i="3"/>
  <c r="U303" i="3"/>
  <c r="Z303" i="3" s="1"/>
  <c r="S303" i="3"/>
  <c r="Q303" i="3"/>
  <c r="P303" i="3"/>
  <c r="M303" i="3"/>
  <c r="L303" i="3"/>
  <c r="K303" i="3"/>
  <c r="J303" i="3"/>
  <c r="I303" i="3"/>
  <c r="H303" i="3"/>
  <c r="G303" i="3"/>
  <c r="F303" i="3"/>
  <c r="E303" i="3"/>
  <c r="D303" i="3"/>
  <c r="C303" i="3"/>
  <c r="B303" i="3"/>
  <c r="A303" i="3"/>
  <c r="AA302" i="3"/>
  <c r="Y302" i="3"/>
  <c r="X302" i="3"/>
  <c r="W302" i="3"/>
  <c r="U302" i="3"/>
  <c r="Z302" i="3" s="1"/>
  <c r="S302" i="3"/>
  <c r="Q302" i="3"/>
  <c r="P302" i="3"/>
  <c r="M302" i="3"/>
  <c r="L302" i="3"/>
  <c r="K302" i="3"/>
  <c r="J302" i="3"/>
  <c r="I302" i="3"/>
  <c r="H302" i="3"/>
  <c r="G302" i="3"/>
  <c r="F302" i="3"/>
  <c r="E302" i="3"/>
  <c r="D302" i="3"/>
  <c r="C302" i="3"/>
  <c r="B302" i="3"/>
  <c r="A302" i="3"/>
  <c r="AA301" i="3"/>
  <c r="Y301" i="3"/>
  <c r="X301" i="3"/>
  <c r="W301" i="3"/>
  <c r="U301" i="3"/>
  <c r="Z301" i="3" s="1"/>
  <c r="S301" i="3"/>
  <c r="Q301" i="3"/>
  <c r="P301" i="3"/>
  <c r="M301" i="3"/>
  <c r="L301" i="3"/>
  <c r="K301" i="3"/>
  <c r="J301" i="3"/>
  <c r="I301" i="3"/>
  <c r="H301" i="3"/>
  <c r="G301" i="3"/>
  <c r="F301" i="3"/>
  <c r="E301" i="3"/>
  <c r="D301" i="3"/>
  <c r="C301" i="3"/>
  <c r="B301" i="3"/>
  <c r="A301" i="3"/>
  <c r="AA300" i="3"/>
  <c r="Y300" i="3"/>
  <c r="X300" i="3"/>
  <c r="W300" i="3"/>
  <c r="U300" i="3"/>
  <c r="Z300" i="3" s="1"/>
  <c r="S300" i="3"/>
  <c r="Q300" i="3"/>
  <c r="P300" i="3"/>
  <c r="M300" i="3"/>
  <c r="L300" i="3"/>
  <c r="K300" i="3"/>
  <c r="J300" i="3"/>
  <c r="I300" i="3"/>
  <c r="H300" i="3"/>
  <c r="G300" i="3"/>
  <c r="F300" i="3"/>
  <c r="E300" i="3"/>
  <c r="D300" i="3"/>
  <c r="C300" i="3"/>
  <c r="B300" i="3"/>
  <c r="A300" i="3"/>
  <c r="AA299" i="3"/>
  <c r="Y299" i="3"/>
  <c r="X299" i="3"/>
  <c r="W299" i="3"/>
  <c r="U299" i="3"/>
  <c r="Z299" i="3" s="1"/>
  <c r="S299" i="3"/>
  <c r="Q299" i="3"/>
  <c r="P299" i="3"/>
  <c r="M299" i="3"/>
  <c r="L299" i="3"/>
  <c r="K299" i="3"/>
  <c r="J299" i="3"/>
  <c r="I299" i="3"/>
  <c r="H299" i="3"/>
  <c r="G299" i="3"/>
  <c r="F299" i="3"/>
  <c r="E299" i="3"/>
  <c r="D299" i="3"/>
  <c r="C299" i="3"/>
  <c r="B299" i="3"/>
  <c r="A299" i="3"/>
  <c r="AA298" i="3"/>
  <c r="Y298" i="3"/>
  <c r="X298" i="3"/>
  <c r="W298" i="3"/>
  <c r="U298" i="3"/>
  <c r="Z298" i="3" s="1"/>
  <c r="S298" i="3"/>
  <c r="Q298" i="3"/>
  <c r="P298" i="3"/>
  <c r="M298" i="3"/>
  <c r="L298" i="3"/>
  <c r="K298" i="3"/>
  <c r="J298" i="3"/>
  <c r="I298" i="3"/>
  <c r="H298" i="3"/>
  <c r="G298" i="3"/>
  <c r="F298" i="3"/>
  <c r="E298" i="3"/>
  <c r="D298" i="3"/>
  <c r="C298" i="3"/>
  <c r="B298" i="3"/>
  <c r="A298" i="3"/>
  <c r="AA297" i="3"/>
  <c r="Y297" i="3"/>
  <c r="X297" i="3"/>
  <c r="W297" i="3"/>
  <c r="U297" i="3"/>
  <c r="Z297" i="3" s="1"/>
  <c r="S297" i="3"/>
  <c r="Q297" i="3"/>
  <c r="P297" i="3"/>
  <c r="M297" i="3"/>
  <c r="L297" i="3"/>
  <c r="K297" i="3"/>
  <c r="J297" i="3"/>
  <c r="I297" i="3"/>
  <c r="H297" i="3"/>
  <c r="G297" i="3"/>
  <c r="F297" i="3"/>
  <c r="E297" i="3"/>
  <c r="D297" i="3"/>
  <c r="C297" i="3"/>
  <c r="B297" i="3"/>
  <c r="A297" i="3"/>
  <c r="AA296" i="3"/>
  <c r="Y296" i="3"/>
  <c r="X296" i="3"/>
  <c r="W296" i="3"/>
  <c r="U296" i="3"/>
  <c r="Z296" i="3" s="1"/>
  <c r="S296" i="3"/>
  <c r="Q296" i="3"/>
  <c r="P296" i="3"/>
  <c r="M296" i="3"/>
  <c r="L296" i="3"/>
  <c r="K296" i="3"/>
  <c r="J296" i="3"/>
  <c r="I296" i="3"/>
  <c r="H296" i="3"/>
  <c r="G296" i="3"/>
  <c r="F296" i="3"/>
  <c r="E296" i="3"/>
  <c r="D296" i="3"/>
  <c r="C296" i="3"/>
  <c r="B296" i="3"/>
  <c r="A296" i="3"/>
  <c r="AA295" i="3"/>
  <c r="Y295" i="3"/>
  <c r="X295" i="3"/>
  <c r="W295" i="3"/>
  <c r="U295" i="3"/>
  <c r="Z295" i="3" s="1"/>
  <c r="S295" i="3"/>
  <c r="Q295" i="3"/>
  <c r="P295" i="3"/>
  <c r="M295" i="3"/>
  <c r="L295" i="3"/>
  <c r="K295" i="3"/>
  <c r="J295" i="3"/>
  <c r="I295" i="3"/>
  <c r="H295" i="3"/>
  <c r="G295" i="3"/>
  <c r="F295" i="3"/>
  <c r="E295" i="3"/>
  <c r="D295" i="3"/>
  <c r="C295" i="3"/>
  <c r="B295" i="3"/>
  <c r="A295" i="3"/>
  <c r="AA294" i="3"/>
  <c r="X294" i="3"/>
  <c r="W294" i="3"/>
  <c r="U294" i="3"/>
  <c r="Z294" i="3" s="1"/>
  <c r="S294" i="3"/>
  <c r="Q294" i="3"/>
  <c r="P294" i="3"/>
  <c r="O294" i="3"/>
  <c r="Y294" i="3" s="1"/>
  <c r="M294" i="3"/>
  <c r="L294" i="3"/>
  <c r="K294" i="3"/>
  <c r="J294" i="3"/>
  <c r="I294" i="3"/>
  <c r="H294" i="3"/>
  <c r="G294" i="3"/>
  <c r="F294" i="3"/>
  <c r="E294" i="3"/>
  <c r="D294" i="3"/>
  <c r="C294" i="3"/>
  <c r="B294" i="3"/>
  <c r="A294" i="3"/>
  <c r="AA293" i="3"/>
  <c r="Y293" i="3"/>
  <c r="X293" i="3"/>
  <c r="W293" i="3"/>
  <c r="U293" i="3"/>
  <c r="Z293" i="3" s="1"/>
  <c r="S293" i="3"/>
  <c r="Q293" i="3"/>
  <c r="P293" i="3"/>
  <c r="M293" i="3"/>
  <c r="L293" i="3"/>
  <c r="K293" i="3"/>
  <c r="J293" i="3"/>
  <c r="I293" i="3"/>
  <c r="H293" i="3"/>
  <c r="G293" i="3"/>
  <c r="F293" i="3"/>
  <c r="E293" i="3"/>
  <c r="D293" i="3"/>
  <c r="C293" i="3"/>
  <c r="B293" i="3"/>
  <c r="A293" i="3"/>
  <c r="AA292" i="3"/>
  <c r="Y292" i="3"/>
  <c r="X292" i="3"/>
  <c r="W292" i="3"/>
  <c r="U292" i="3"/>
  <c r="Z292" i="3" s="1"/>
  <c r="S292" i="3"/>
  <c r="Q292" i="3"/>
  <c r="P292" i="3"/>
  <c r="M292" i="3"/>
  <c r="L292" i="3"/>
  <c r="K292" i="3"/>
  <c r="J292" i="3"/>
  <c r="I292" i="3"/>
  <c r="H292" i="3"/>
  <c r="G292" i="3"/>
  <c r="F292" i="3"/>
  <c r="E292" i="3"/>
  <c r="D292" i="3"/>
  <c r="C292" i="3"/>
  <c r="B292" i="3"/>
  <c r="A292" i="3"/>
  <c r="AA291" i="3"/>
  <c r="Y291" i="3"/>
  <c r="X291" i="3"/>
  <c r="W291" i="3"/>
  <c r="U291" i="3"/>
  <c r="Z291" i="3" s="1"/>
  <c r="S291" i="3"/>
  <c r="Q291" i="3"/>
  <c r="P291" i="3"/>
  <c r="M291" i="3"/>
  <c r="L291" i="3"/>
  <c r="K291" i="3"/>
  <c r="J291" i="3"/>
  <c r="I291" i="3"/>
  <c r="H291" i="3"/>
  <c r="G291" i="3"/>
  <c r="F291" i="3"/>
  <c r="E291" i="3"/>
  <c r="D291" i="3"/>
  <c r="C291" i="3"/>
  <c r="B291" i="3"/>
  <c r="A291" i="3"/>
  <c r="AA290" i="3"/>
  <c r="Y290" i="3"/>
  <c r="X290" i="3"/>
  <c r="W290" i="3"/>
  <c r="U290" i="3"/>
  <c r="Z290" i="3" s="1"/>
  <c r="S290" i="3"/>
  <c r="Q290" i="3"/>
  <c r="P290" i="3"/>
  <c r="M290" i="3"/>
  <c r="L290" i="3"/>
  <c r="K290" i="3"/>
  <c r="J290" i="3"/>
  <c r="I290" i="3"/>
  <c r="H290" i="3"/>
  <c r="G290" i="3"/>
  <c r="F290" i="3"/>
  <c r="E290" i="3"/>
  <c r="D290" i="3"/>
  <c r="C290" i="3"/>
  <c r="B290" i="3"/>
  <c r="A290" i="3"/>
  <c r="AA289" i="3"/>
  <c r="Y289" i="3"/>
  <c r="X289" i="3"/>
  <c r="W289" i="3"/>
  <c r="U289" i="3"/>
  <c r="Z289" i="3" s="1"/>
  <c r="S289" i="3"/>
  <c r="Q289" i="3"/>
  <c r="P289" i="3"/>
  <c r="M289" i="3"/>
  <c r="L289" i="3"/>
  <c r="K289" i="3"/>
  <c r="J289" i="3"/>
  <c r="I289" i="3"/>
  <c r="H289" i="3"/>
  <c r="G289" i="3"/>
  <c r="F289" i="3"/>
  <c r="E289" i="3"/>
  <c r="D289" i="3"/>
  <c r="C289" i="3"/>
  <c r="B289" i="3"/>
  <c r="A289" i="3"/>
  <c r="AA288" i="3"/>
  <c r="Y288" i="3"/>
  <c r="X288" i="3"/>
  <c r="W288" i="3"/>
  <c r="U288" i="3"/>
  <c r="Z288" i="3" s="1"/>
  <c r="S288" i="3"/>
  <c r="Q288" i="3"/>
  <c r="P288" i="3"/>
  <c r="M288" i="3"/>
  <c r="L288" i="3"/>
  <c r="K288" i="3"/>
  <c r="J288" i="3"/>
  <c r="I288" i="3"/>
  <c r="H288" i="3"/>
  <c r="G288" i="3"/>
  <c r="F288" i="3"/>
  <c r="E288" i="3"/>
  <c r="D288" i="3"/>
  <c r="C288" i="3"/>
  <c r="B288" i="3"/>
  <c r="A288" i="3"/>
  <c r="AA287" i="3"/>
  <c r="Y287" i="3"/>
  <c r="X287" i="3"/>
  <c r="W287" i="3"/>
  <c r="U287" i="3"/>
  <c r="Z287" i="3" s="1"/>
  <c r="S287" i="3"/>
  <c r="Q287" i="3"/>
  <c r="P287" i="3"/>
  <c r="M287" i="3"/>
  <c r="L287" i="3"/>
  <c r="K287" i="3"/>
  <c r="J287" i="3"/>
  <c r="I287" i="3"/>
  <c r="H287" i="3"/>
  <c r="G287" i="3"/>
  <c r="F287" i="3"/>
  <c r="E287" i="3"/>
  <c r="D287" i="3"/>
  <c r="C287" i="3"/>
  <c r="B287" i="3"/>
  <c r="A287" i="3"/>
  <c r="AA286" i="3"/>
  <c r="Y286" i="3"/>
  <c r="X286" i="3"/>
  <c r="W286" i="3"/>
  <c r="U286" i="3"/>
  <c r="Z286" i="3" s="1"/>
  <c r="S286" i="3"/>
  <c r="Q286" i="3"/>
  <c r="P286" i="3"/>
  <c r="M286" i="3"/>
  <c r="L286" i="3"/>
  <c r="K286" i="3"/>
  <c r="J286" i="3"/>
  <c r="I286" i="3"/>
  <c r="H286" i="3"/>
  <c r="G286" i="3"/>
  <c r="F286" i="3"/>
  <c r="E286" i="3"/>
  <c r="D286" i="3"/>
  <c r="C286" i="3"/>
  <c r="B286" i="3"/>
  <c r="A286" i="3"/>
  <c r="AA285" i="3"/>
  <c r="Y285" i="3"/>
  <c r="X285" i="3"/>
  <c r="W285" i="3"/>
  <c r="U285" i="3"/>
  <c r="Z285" i="3" s="1"/>
  <c r="S285" i="3"/>
  <c r="Q285" i="3"/>
  <c r="P285" i="3"/>
  <c r="M285" i="3"/>
  <c r="L285" i="3"/>
  <c r="K285" i="3"/>
  <c r="J285" i="3"/>
  <c r="I285" i="3"/>
  <c r="H285" i="3"/>
  <c r="G285" i="3"/>
  <c r="F285" i="3"/>
  <c r="E285" i="3"/>
  <c r="D285" i="3"/>
  <c r="C285" i="3"/>
  <c r="B285" i="3"/>
  <c r="A285" i="3"/>
  <c r="AA284" i="3"/>
  <c r="X284" i="3"/>
  <c r="W284" i="3"/>
  <c r="U284" i="3"/>
  <c r="Z284" i="3" s="1"/>
  <c r="S284" i="3"/>
  <c r="Q284" i="3"/>
  <c r="P284" i="3"/>
  <c r="O284" i="3"/>
  <c r="Y284" i="3" s="1"/>
  <c r="M284" i="3"/>
  <c r="L284" i="3"/>
  <c r="K284" i="3"/>
  <c r="J284" i="3"/>
  <c r="I284" i="3"/>
  <c r="H284" i="3"/>
  <c r="G284" i="3"/>
  <c r="F284" i="3"/>
  <c r="E284" i="3"/>
  <c r="D284" i="3"/>
  <c r="C284" i="3"/>
  <c r="B284" i="3"/>
  <c r="A284" i="3"/>
  <c r="AA283" i="3"/>
  <c r="Y283" i="3"/>
  <c r="X283" i="3"/>
  <c r="W283" i="3"/>
  <c r="U283" i="3"/>
  <c r="Z283" i="3" s="1"/>
  <c r="S283" i="3"/>
  <c r="Q283" i="3"/>
  <c r="P283" i="3"/>
  <c r="M283" i="3"/>
  <c r="L283" i="3"/>
  <c r="K283" i="3"/>
  <c r="J283" i="3"/>
  <c r="I283" i="3"/>
  <c r="H283" i="3"/>
  <c r="G283" i="3"/>
  <c r="F283" i="3"/>
  <c r="E283" i="3"/>
  <c r="D283" i="3"/>
  <c r="C283" i="3"/>
  <c r="B283" i="3"/>
  <c r="A283" i="3"/>
  <c r="AA282" i="3"/>
  <c r="Y282" i="3"/>
  <c r="X282" i="3"/>
  <c r="W282" i="3"/>
  <c r="U282" i="3"/>
  <c r="Z282" i="3" s="1"/>
  <c r="S282" i="3"/>
  <c r="Q282" i="3"/>
  <c r="P282" i="3"/>
  <c r="M282" i="3"/>
  <c r="L282" i="3"/>
  <c r="K282" i="3"/>
  <c r="J282" i="3"/>
  <c r="I282" i="3"/>
  <c r="H282" i="3"/>
  <c r="G282" i="3"/>
  <c r="F282" i="3"/>
  <c r="E282" i="3"/>
  <c r="D282" i="3"/>
  <c r="C282" i="3"/>
  <c r="B282" i="3"/>
  <c r="A282" i="3"/>
  <c r="AA281" i="3"/>
  <c r="Y281" i="3"/>
  <c r="X281" i="3"/>
  <c r="W281" i="3"/>
  <c r="U281" i="3"/>
  <c r="Z281" i="3" s="1"/>
  <c r="S281" i="3"/>
  <c r="Q281" i="3"/>
  <c r="P281" i="3"/>
  <c r="M281" i="3"/>
  <c r="L281" i="3"/>
  <c r="K281" i="3"/>
  <c r="J281" i="3"/>
  <c r="I281" i="3"/>
  <c r="H281" i="3"/>
  <c r="G281" i="3"/>
  <c r="F281" i="3"/>
  <c r="E281" i="3"/>
  <c r="D281" i="3"/>
  <c r="C281" i="3"/>
  <c r="B281" i="3"/>
  <c r="A281" i="3"/>
  <c r="AA280" i="3"/>
  <c r="Y280" i="3"/>
  <c r="X280" i="3"/>
  <c r="W280" i="3"/>
  <c r="U280" i="3"/>
  <c r="Z280" i="3" s="1"/>
  <c r="S280" i="3"/>
  <c r="Q280" i="3"/>
  <c r="P280" i="3"/>
  <c r="M280" i="3"/>
  <c r="L280" i="3"/>
  <c r="K280" i="3"/>
  <c r="J280" i="3"/>
  <c r="I280" i="3"/>
  <c r="H280" i="3"/>
  <c r="G280" i="3"/>
  <c r="F280" i="3"/>
  <c r="E280" i="3"/>
  <c r="D280" i="3"/>
  <c r="C280" i="3"/>
  <c r="B280" i="3"/>
  <c r="A280" i="3"/>
  <c r="AA279" i="3"/>
  <c r="Y279" i="3"/>
  <c r="X279" i="3"/>
  <c r="W279" i="3"/>
  <c r="U279" i="3"/>
  <c r="Z279" i="3" s="1"/>
  <c r="S279" i="3"/>
  <c r="Q279" i="3"/>
  <c r="P279" i="3"/>
  <c r="M279" i="3"/>
  <c r="L279" i="3"/>
  <c r="K279" i="3"/>
  <c r="J279" i="3"/>
  <c r="I279" i="3"/>
  <c r="H279" i="3"/>
  <c r="G279" i="3"/>
  <c r="F279" i="3"/>
  <c r="E279" i="3"/>
  <c r="D279" i="3"/>
  <c r="C279" i="3"/>
  <c r="B279" i="3"/>
  <c r="A279" i="3"/>
  <c r="AA278" i="3"/>
  <c r="Y278" i="3"/>
  <c r="X278" i="3"/>
  <c r="W278" i="3"/>
  <c r="U278" i="3"/>
  <c r="Z278" i="3" s="1"/>
  <c r="S278" i="3"/>
  <c r="Q278" i="3"/>
  <c r="P278" i="3"/>
  <c r="M278" i="3"/>
  <c r="L278" i="3"/>
  <c r="K278" i="3"/>
  <c r="J278" i="3"/>
  <c r="I278" i="3"/>
  <c r="H278" i="3"/>
  <c r="G278" i="3"/>
  <c r="F278" i="3"/>
  <c r="E278" i="3"/>
  <c r="D278" i="3"/>
  <c r="C278" i="3"/>
  <c r="B278" i="3"/>
  <c r="A278" i="3"/>
  <c r="AA277" i="3"/>
  <c r="Y277" i="3"/>
  <c r="X277" i="3"/>
  <c r="W277" i="3"/>
  <c r="U277" i="3"/>
  <c r="Z277" i="3" s="1"/>
  <c r="S277" i="3"/>
  <c r="Q277" i="3"/>
  <c r="P277" i="3"/>
  <c r="M277" i="3"/>
  <c r="L277" i="3"/>
  <c r="K277" i="3"/>
  <c r="J277" i="3"/>
  <c r="I277" i="3"/>
  <c r="H277" i="3"/>
  <c r="G277" i="3"/>
  <c r="F277" i="3"/>
  <c r="E277" i="3"/>
  <c r="D277" i="3"/>
  <c r="C277" i="3"/>
  <c r="B277" i="3"/>
  <c r="A277" i="3"/>
  <c r="AA276" i="3"/>
  <c r="X276" i="3"/>
  <c r="W276" i="3"/>
  <c r="U276" i="3"/>
  <c r="Z276" i="3" s="1"/>
  <c r="S276" i="3"/>
  <c r="Q276" i="3"/>
  <c r="P276" i="3"/>
  <c r="O276" i="3"/>
  <c r="Y276" i="3" s="1"/>
  <c r="M276" i="3"/>
  <c r="L276" i="3"/>
  <c r="K276" i="3"/>
  <c r="J276" i="3"/>
  <c r="I276" i="3"/>
  <c r="H276" i="3"/>
  <c r="G276" i="3"/>
  <c r="F276" i="3"/>
  <c r="E276" i="3"/>
  <c r="D276" i="3"/>
  <c r="C276" i="3"/>
  <c r="B276" i="3"/>
  <c r="A276" i="3"/>
  <c r="AA275" i="3"/>
  <c r="X275" i="3"/>
  <c r="W275" i="3"/>
  <c r="U275" i="3"/>
  <c r="Z275" i="3" s="1"/>
  <c r="S275" i="3"/>
  <c r="Q275" i="3"/>
  <c r="P275" i="3"/>
  <c r="O275" i="3"/>
  <c r="Y275" i="3" s="1"/>
  <c r="M275" i="3"/>
  <c r="L275" i="3"/>
  <c r="K275" i="3"/>
  <c r="J275" i="3"/>
  <c r="I275" i="3"/>
  <c r="H275" i="3"/>
  <c r="G275" i="3"/>
  <c r="F275" i="3"/>
  <c r="E275" i="3"/>
  <c r="D275" i="3"/>
  <c r="C275" i="3"/>
  <c r="B275" i="3"/>
  <c r="A275" i="3"/>
  <c r="AA274" i="3"/>
  <c r="Y274" i="3"/>
  <c r="X274" i="3"/>
  <c r="W274" i="3"/>
  <c r="U274" i="3"/>
  <c r="Z274" i="3" s="1"/>
  <c r="S274" i="3"/>
  <c r="Q274" i="3"/>
  <c r="P274" i="3"/>
  <c r="M274" i="3"/>
  <c r="L274" i="3"/>
  <c r="K274" i="3"/>
  <c r="J274" i="3"/>
  <c r="I274" i="3"/>
  <c r="H274" i="3"/>
  <c r="G274" i="3"/>
  <c r="F274" i="3"/>
  <c r="E274" i="3"/>
  <c r="D274" i="3"/>
  <c r="C274" i="3"/>
  <c r="B274" i="3"/>
  <c r="A274" i="3"/>
  <c r="AA273" i="3"/>
  <c r="Y273" i="3"/>
  <c r="X273" i="3"/>
  <c r="W273" i="3"/>
  <c r="U273" i="3"/>
  <c r="Z273" i="3" s="1"/>
  <c r="S273" i="3"/>
  <c r="Q273" i="3"/>
  <c r="P273" i="3"/>
  <c r="M273" i="3"/>
  <c r="L273" i="3"/>
  <c r="K273" i="3"/>
  <c r="J273" i="3"/>
  <c r="I273" i="3"/>
  <c r="H273" i="3"/>
  <c r="G273" i="3"/>
  <c r="F273" i="3"/>
  <c r="E273" i="3"/>
  <c r="D273" i="3"/>
  <c r="C273" i="3"/>
  <c r="B273" i="3"/>
  <c r="A273" i="3"/>
  <c r="AA272" i="3"/>
  <c r="Y272" i="3"/>
  <c r="X272" i="3"/>
  <c r="W272" i="3"/>
  <c r="U272" i="3"/>
  <c r="Z272" i="3" s="1"/>
  <c r="S272" i="3"/>
  <c r="Q272" i="3"/>
  <c r="P272" i="3"/>
  <c r="M272" i="3"/>
  <c r="L272" i="3"/>
  <c r="K272" i="3"/>
  <c r="J272" i="3"/>
  <c r="I272" i="3"/>
  <c r="H272" i="3"/>
  <c r="G272" i="3"/>
  <c r="F272" i="3"/>
  <c r="E272" i="3"/>
  <c r="D272" i="3"/>
  <c r="C272" i="3"/>
  <c r="B272" i="3"/>
  <c r="A272" i="3"/>
  <c r="AA271" i="3"/>
  <c r="X271" i="3"/>
  <c r="W271" i="3"/>
  <c r="U271" i="3"/>
  <c r="Z271" i="3" s="1"/>
  <c r="S271" i="3"/>
  <c r="Q271" i="3"/>
  <c r="P271" i="3"/>
  <c r="O271" i="3"/>
  <c r="Y271" i="3" s="1"/>
  <c r="M271" i="3"/>
  <c r="L271" i="3"/>
  <c r="K271" i="3"/>
  <c r="J271" i="3"/>
  <c r="I271" i="3"/>
  <c r="H271" i="3"/>
  <c r="G271" i="3"/>
  <c r="F271" i="3"/>
  <c r="E271" i="3"/>
  <c r="D271" i="3"/>
  <c r="C271" i="3"/>
  <c r="B271" i="3"/>
  <c r="A271" i="3"/>
  <c r="AA270" i="3"/>
  <c r="Y270" i="3"/>
  <c r="X270" i="3"/>
  <c r="W270" i="3"/>
  <c r="U270" i="3"/>
  <c r="Z270" i="3" s="1"/>
  <c r="S270" i="3"/>
  <c r="Q270" i="3"/>
  <c r="P270" i="3"/>
  <c r="M270" i="3"/>
  <c r="L270" i="3"/>
  <c r="K270" i="3"/>
  <c r="J270" i="3"/>
  <c r="I270" i="3"/>
  <c r="H270" i="3"/>
  <c r="G270" i="3"/>
  <c r="F270" i="3"/>
  <c r="E270" i="3"/>
  <c r="D270" i="3"/>
  <c r="C270" i="3"/>
  <c r="B270" i="3"/>
  <c r="A270" i="3"/>
  <c r="AA269" i="3"/>
  <c r="Y269" i="3"/>
  <c r="X269" i="3"/>
  <c r="W269" i="3"/>
  <c r="U269" i="3"/>
  <c r="Z269" i="3" s="1"/>
  <c r="S269" i="3"/>
  <c r="Q269" i="3"/>
  <c r="P269" i="3"/>
  <c r="M269" i="3"/>
  <c r="L269" i="3"/>
  <c r="K269" i="3"/>
  <c r="J269" i="3"/>
  <c r="I269" i="3"/>
  <c r="H269" i="3"/>
  <c r="G269" i="3"/>
  <c r="F269" i="3"/>
  <c r="E269" i="3"/>
  <c r="D269" i="3"/>
  <c r="C269" i="3"/>
  <c r="B269" i="3"/>
  <c r="A269" i="3"/>
  <c r="AA268" i="3"/>
  <c r="X268" i="3"/>
  <c r="W268" i="3"/>
  <c r="U268" i="3"/>
  <c r="Z268" i="3" s="1"/>
  <c r="S268" i="3"/>
  <c r="Q268" i="3"/>
  <c r="P268" i="3"/>
  <c r="O268" i="3"/>
  <c r="Y268" i="3" s="1"/>
  <c r="M268" i="3"/>
  <c r="L268" i="3"/>
  <c r="K268" i="3"/>
  <c r="J268" i="3"/>
  <c r="I268" i="3"/>
  <c r="H268" i="3"/>
  <c r="G268" i="3"/>
  <c r="F268" i="3"/>
  <c r="E268" i="3"/>
  <c r="D268" i="3"/>
  <c r="C268" i="3"/>
  <c r="B268" i="3"/>
  <c r="A268" i="3"/>
  <c r="AA267" i="3"/>
  <c r="Y267" i="3"/>
  <c r="X267" i="3"/>
  <c r="W267" i="3"/>
  <c r="U267" i="3"/>
  <c r="Z267" i="3" s="1"/>
  <c r="S267" i="3"/>
  <c r="Q267" i="3"/>
  <c r="P267" i="3"/>
  <c r="M267" i="3"/>
  <c r="L267" i="3"/>
  <c r="K267" i="3"/>
  <c r="J267" i="3"/>
  <c r="I267" i="3"/>
  <c r="H267" i="3"/>
  <c r="G267" i="3"/>
  <c r="F267" i="3"/>
  <c r="E267" i="3"/>
  <c r="D267" i="3"/>
  <c r="C267" i="3"/>
  <c r="B267" i="3"/>
  <c r="A267" i="3"/>
  <c r="AA266" i="3"/>
  <c r="Y266" i="3"/>
  <c r="X266" i="3"/>
  <c r="W266" i="3"/>
  <c r="U266" i="3"/>
  <c r="Z266" i="3" s="1"/>
  <c r="S266" i="3"/>
  <c r="Q266" i="3"/>
  <c r="P266" i="3"/>
  <c r="M266" i="3"/>
  <c r="L266" i="3"/>
  <c r="K266" i="3"/>
  <c r="J266" i="3"/>
  <c r="I266" i="3"/>
  <c r="H266" i="3"/>
  <c r="G266" i="3"/>
  <c r="F266" i="3"/>
  <c r="E266" i="3"/>
  <c r="D266" i="3"/>
  <c r="C266" i="3"/>
  <c r="B266" i="3"/>
  <c r="A266" i="3"/>
  <c r="AA265" i="3"/>
  <c r="Y265" i="3"/>
  <c r="X265" i="3"/>
  <c r="W265" i="3"/>
  <c r="U265" i="3"/>
  <c r="Z265" i="3" s="1"/>
  <c r="S265" i="3"/>
  <c r="Q265" i="3"/>
  <c r="P265" i="3"/>
  <c r="M265" i="3"/>
  <c r="L265" i="3"/>
  <c r="K265" i="3"/>
  <c r="J265" i="3"/>
  <c r="I265" i="3"/>
  <c r="H265" i="3"/>
  <c r="G265" i="3"/>
  <c r="F265" i="3"/>
  <c r="E265" i="3"/>
  <c r="D265" i="3"/>
  <c r="C265" i="3"/>
  <c r="B265" i="3"/>
  <c r="A265" i="3"/>
  <c r="AA264" i="3"/>
  <c r="Y264" i="3"/>
  <c r="X264" i="3"/>
  <c r="W264" i="3"/>
  <c r="U264" i="3"/>
  <c r="Z264" i="3" s="1"/>
  <c r="S264" i="3"/>
  <c r="Q264" i="3"/>
  <c r="P264" i="3"/>
  <c r="M264" i="3"/>
  <c r="L264" i="3"/>
  <c r="K264" i="3"/>
  <c r="J264" i="3"/>
  <c r="I264" i="3"/>
  <c r="H264" i="3"/>
  <c r="G264" i="3"/>
  <c r="F264" i="3"/>
  <c r="E264" i="3"/>
  <c r="D264" i="3"/>
  <c r="C264" i="3"/>
  <c r="B264" i="3"/>
  <c r="A264" i="3"/>
  <c r="AA263" i="3"/>
  <c r="Y263" i="3"/>
  <c r="X263" i="3"/>
  <c r="W263" i="3"/>
  <c r="U263" i="3"/>
  <c r="Z263" i="3" s="1"/>
  <c r="S263" i="3"/>
  <c r="Q263" i="3"/>
  <c r="P263" i="3"/>
  <c r="M263" i="3"/>
  <c r="L263" i="3"/>
  <c r="K263" i="3"/>
  <c r="J263" i="3"/>
  <c r="I263" i="3"/>
  <c r="H263" i="3"/>
  <c r="G263" i="3"/>
  <c r="F263" i="3"/>
  <c r="E263" i="3"/>
  <c r="D263" i="3"/>
  <c r="C263" i="3"/>
  <c r="B263" i="3"/>
  <c r="A263" i="3"/>
  <c r="AA262" i="3"/>
  <c r="Y262" i="3"/>
  <c r="X262" i="3"/>
  <c r="W262" i="3"/>
  <c r="U262" i="3"/>
  <c r="Z262" i="3" s="1"/>
  <c r="S262" i="3"/>
  <c r="Q262" i="3"/>
  <c r="P262" i="3"/>
  <c r="M262" i="3"/>
  <c r="L262" i="3"/>
  <c r="K262" i="3"/>
  <c r="J262" i="3"/>
  <c r="I262" i="3"/>
  <c r="H262" i="3"/>
  <c r="G262" i="3"/>
  <c r="F262" i="3"/>
  <c r="E262" i="3"/>
  <c r="D262" i="3"/>
  <c r="C262" i="3"/>
  <c r="B262" i="3"/>
  <c r="A262" i="3"/>
  <c r="AA261" i="3"/>
  <c r="X261" i="3"/>
  <c r="W261" i="3"/>
  <c r="U261" i="3"/>
  <c r="Z261" i="3" s="1"/>
  <c r="S261" i="3"/>
  <c r="Q261" i="3"/>
  <c r="P261" i="3"/>
  <c r="O261" i="3"/>
  <c r="Y261" i="3" s="1"/>
  <c r="M261" i="3"/>
  <c r="L261" i="3"/>
  <c r="K261" i="3"/>
  <c r="J261" i="3"/>
  <c r="I261" i="3"/>
  <c r="H261" i="3"/>
  <c r="G261" i="3"/>
  <c r="F261" i="3"/>
  <c r="E261" i="3"/>
  <c r="D261" i="3"/>
  <c r="C261" i="3"/>
  <c r="B261" i="3"/>
  <c r="A261" i="3"/>
  <c r="AA260" i="3"/>
  <c r="Y260" i="3"/>
  <c r="X260" i="3"/>
  <c r="W260" i="3"/>
  <c r="U260" i="3"/>
  <c r="Z260" i="3" s="1"/>
  <c r="S260" i="3"/>
  <c r="Q260" i="3"/>
  <c r="P260" i="3"/>
  <c r="M260" i="3"/>
  <c r="L260" i="3"/>
  <c r="K260" i="3"/>
  <c r="J260" i="3"/>
  <c r="I260" i="3"/>
  <c r="H260" i="3"/>
  <c r="G260" i="3"/>
  <c r="F260" i="3"/>
  <c r="E260" i="3"/>
  <c r="D260" i="3"/>
  <c r="C260" i="3"/>
  <c r="B260" i="3"/>
  <c r="A260" i="3"/>
  <c r="AA259" i="3"/>
  <c r="X259" i="3"/>
  <c r="W259" i="3"/>
  <c r="U259" i="3"/>
  <c r="Z259" i="3" s="1"/>
  <c r="S259" i="3"/>
  <c r="Q259" i="3"/>
  <c r="P259" i="3"/>
  <c r="O259" i="3"/>
  <c r="Y259" i="3" s="1"/>
  <c r="M259" i="3"/>
  <c r="L259" i="3"/>
  <c r="K259" i="3"/>
  <c r="J259" i="3"/>
  <c r="I259" i="3"/>
  <c r="H259" i="3"/>
  <c r="G259" i="3"/>
  <c r="F259" i="3"/>
  <c r="E259" i="3"/>
  <c r="D259" i="3"/>
  <c r="C259" i="3"/>
  <c r="B259" i="3"/>
  <c r="A259" i="3"/>
  <c r="AA258" i="3"/>
  <c r="X258" i="3"/>
  <c r="W258" i="3"/>
  <c r="U258" i="3"/>
  <c r="Z258" i="3" s="1"/>
  <c r="S258" i="3"/>
  <c r="Q258" i="3"/>
  <c r="P258" i="3"/>
  <c r="O258" i="3"/>
  <c r="Y258" i="3" s="1"/>
  <c r="M258" i="3"/>
  <c r="L258" i="3"/>
  <c r="K258" i="3"/>
  <c r="J258" i="3"/>
  <c r="I258" i="3"/>
  <c r="H258" i="3"/>
  <c r="G258" i="3"/>
  <c r="F258" i="3"/>
  <c r="E258" i="3"/>
  <c r="D258" i="3"/>
  <c r="C258" i="3"/>
  <c r="B258" i="3"/>
  <c r="A258" i="3"/>
  <c r="AA257" i="3"/>
  <c r="Y257" i="3"/>
  <c r="X257" i="3"/>
  <c r="W257" i="3"/>
  <c r="U257" i="3"/>
  <c r="Z257" i="3" s="1"/>
  <c r="S257" i="3"/>
  <c r="Q257" i="3"/>
  <c r="P257" i="3"/>
  <c r="M257" i="3"/>
  <c r="L257" i="3"/>
  <c r="K257" i="3"/>
  <c r="J257" i="3"/>
  <c r="I257" i="3"/>
  <c r="H257" i="3"/>
  <c r="G257" i="3"/>
  <c r="F257" i="3"/>
  <c r="E257" i="3"/>
  <c r="D257" i="3"/>
  <c r="C257" i="3"/>
  <c r="B257" i="3"/>
  <c r="A257" i="3"/>
  <c r="AA256" i="3"/>
  <c r="Y256" i="3"/>
  <c r="X256" i="3"/>
  <c r="W256" i="3"/>
  <c r="U256" i="3"/>
  <c r="Z256" i="3" s="1"/>
  <c r="S256" i="3"/>
  <c r="Q256" i="3"/>
  <c r="P256" i="3"/>
  <c r="M256" i="3"/>
  <c r="L256" i="3"/>
  <c r="K256" i="3"/>
  <c r="J256" i="3"/>
  <c r="I256" i="3"/>
  <c r="H256" i="3"/>
  <c r="G256" i="3"/>
  <c r="F256" i="3"/>
  <c r="E256" i="3"/>
  <c r="D256" i="3"/>
  <c r="C256" i="3"/>
  <c r="B256" i="3"/>
  <c r="A256" i="3"/>
  <c r="AA255" i="3"/>
  <c r="Y255" i="3"/>
  <c r="X255" i="3"/>
  <c r="W255" i="3"/>
  <c r="U255" i="3"/>
  <c r="Z255" i="3" s="1"/>
  <c r="S255" i="3"/>
  <c r="Q255" i="3"/>
  <c r="P255" i="3"/>
  <c r="M255" i="3"/>
  <c r="L255" i="3"/>
  <c r="K255" i="3"/>
  <c r="J255" i="3"/>
  <c r="I255" i="3"/>
  <c r="H255" i="3"/>
  <c r="G255" i="3"/>
  <c r="F255" i="3"/>
  <c r="E255" i="3"/>
  <c r="D255" i="3"/>
  <c r="C255" i="3"/>
  <c r="B255" i="3"/>
  <c r="A255" i="3"/>
  <c r="AA254" i="3"/>
  <c r="Y254" i="3"/>
  <c r="X254" i="3"/>
  <c r="W254" i="3"/>
  <c r="U254" i="3"/>
  <c r="Z254" i="3" s="1"/>
  <c r="S254" i="3"/>
  <c r="Q254" i="3"/>
  <c r="P254" i="3"/>
  <c r="M254" i="3"/>
  <c r="L254" i="3"/>
  <c r="K254" i="3"/>
  <c r="J254" i="3"/>
  <c r="I254" i="3"/>
  <c r="H254" i="3"/>
  <c r="G254" i="3"/>
  <c r="F254" i="3"/>
  <c r="E254" i="3"/>
  <c r="D254" i="3"/>
  <c r="C254" i="3"/>
  <c r="B254" i="3"/>
  <c r="A254" i="3"/>
  <c r="AA253" i="3"/>
  <c r="Y253" i="3"/>
  <c r="X253" i="3"/>
  <c r="W253" i="3"/>
  <c r="U253" i="3"/>
  <c r="Z253" i="3" s="1"/>
  <c r="S253" i="3"/>
  <c r="Q253" i="3"/>
  <c r="P253" i="3"/>
  <c r="M253" i="3"/>
  <c r="L253" i="3"/>
  <c r="K253" i="3"/>
  <c r="J253" i="3"/>
  <c r="I253" i="3"/>
  <c r="H253" i="3"/>
  <c r="G253" i="3"/>
  <c r="F253" i="3"/>
  <c r="E253" i="3"/>
  <c r="D253" i="3"/>
  <c r="C253" i="3"/>
  <c r="B253" i="3"/>
  <c r="A253" i="3"/>
  <c r="AA252" i="3"/>
  <c r="X252" i="3"/>
  <c r="W252" i="3"/>
  <c r="U252" i="3"/>
  <c r="Z252" i="3" s="1"/>
  <c r="S252" i="3"/>
  <c r="Q252" i="3"/>
  <c r="P252" i="3"/>
  <c r="O252" i="3"/>
  <c r="Y252" i="3" s="1"/>
  <c r="M252" i="3"/>
  <c r="L252" i="3"/>
  <c r="K252" i="3"/>
  <c r="J252" i="3"/>
  <c r="I252" i="3"/>
  <c r="H252" i="3"/>
  <c r="G252" i="3"/>
  <c r="F252" i="3"/>
  <c r="E252" i="3"/>
  <c r="D252" i="3"/>
  <c r="C252" i="3"/>
  <c r="B252" i="3"/>
  <c r="A252" i="3"/>
  <c r="AA251" i="3"/>
  <c r="X251" i="3"/>
  <c r="W251" i="3"/>
  <c r="U251" i="3"/>
  <c r="Z251" i="3" s="1"/>
  <c r="S251" i="3"/>
  <c r="Q251" i="3"/>
  <c r="P251" i="3"/>
  <c r="O251" i="3"/>
  <c r="Y251" i="3" s="1"/>
  <c r="M251" i="3"/>
  <c r="L251" i="3"/>
  <c r="K251" i="3"/>
  <c r="J251" i="3"/>
  <c r="I251" i="3"/>
  <c r="H251" i="3"/>
  <c r="G251" i="3"/>
  <c r="F251" i="3"/>
  <c r="E251" i="3"/>
  <c r="D251" i="3"/>
  <c r="C251" i="3"/>
  <c r="B251" i="3"/>
  <c r="A251" i="3"/>
  <c r="AA250" i="3"/>
  <c r="Y250" i="3"/>
  <c r="X250" i="3"/>
  <c r="W250" i="3"/>
  <c r="U250" i="3"/>
  <c r="Z250" i="3" s="1"/>
  <c r="S250" i="3"/>
  <c r="Q250" i="3"/>
  <c r="P250" i="3"/>
  <c r="M250" i="3"/>
  <c r="L250" i="3"/>
  <c r="K250" i="3"/>
  <c r="J250" i="3"/>
  <c r="I250" i="3"/>
  <c r="H250" i="3"/>
  <c r="G250" i="3"/>
  <c r="F250" i="3"/>
  <c r="E250" i="3"/>
  <c r="D250" i="3"/>
  <c r="C250" i="3"/>
  <c r="B250" i="3"/>
  <c r="A250" i="3"/>
  <c r="AA249" i="3"/>
  <c r="Y249" i="3"/>
  <c r="X249" i="3"/>
  <c r="W249" i="3"/>
  <c r="U249" i="3"/>
  <c r="Z249" i="3" s="1"/>
  <c r="S249" i="3"/>
  <c r="Q249" i="3"/>
  <c r="P249" i="3"/>
  <c r="M249" i="3"/>
  <c r="L249" i="3"/>
  <c r="K249" i="3"/>
  <c r="J249" i="3"/>
  <c r="I249" i="3"/>
  <c r="H249" i="3"/>
  <c r="G249" i="3"/>
  <c r="F249" i="3"/>
  <c r="E249" i="3"/>
  <c r="D249" i="3"/>
  <c r="C249" i="3"/>
  <c r="B249" i="3"/>
  <c r="A249" i="3"/>
  <c r="AA248" i="3"/>
  <c r="Y248" i="3"/>
  <c r="X248" i="3"/>
  <c r="W248" i="3"/>
  <c r="U248" i="3"/>
  <c r="Z248" i="3" s="1"/>
  <c r="S248" i="3"/>
  <c r="Q248" i="3"/>
  <c r="P248" i="3"/>
  <c r="M248" i="3"/>
  <c r="L248" i="3"/>
  <c r="K248" i="3"/>
  <c r="J248" i="3"/>
  <c r="I248" i="3"/>
  <c r="H248" i="3"/>
  <c r="G248" i="3"/>
  <c r="F248" i="3"/>
  <c r="E248" i="3"/>
  <c r="D248" i="3"/>
  <c r="C248" i="3"/>
  <c r="B248" i="3"/>
  <c r="A248" i="3"/>
  <c r="AA247" i="3"/>
  <c r="Y247" i="3"/>
  <c r="X247" i="3"/>
  <c r="W247" i="3"/>
  <c r="U247" i="3"/>
  <c r="Z247" i="3" s="1"/>
  <c r="S247" i="3"/>
  <c r="Q247" i="3"/>
  <c r="P247" i="3"/>
  <c r="M247" i="3"/>
  <c r="L247" i="3"/>
  <c r="K247" i="3"/>
  <c r="J247" i="3"/>
  <c r="I247" i="3"/>
  <c r="H247" i="3"/>
  <c r="G247" i="3"/>
  <c r="F247" i="3"/>
  <c r="E247" i="3"/>
  <c r="D247" i="3"/>
  <c r="C247" i="3"/>
  <c r="B247" i="3"/>
  <c r="A247" i="3"/>
  <c r="AA246" i="3"/>
  <c r="Y246" i="3"/>
  <c r="X246" i="3"/>
  <c r="W246" i="3"/>
  <c r="U246" i="3"/>
  <c r="Z246" i="3" s="1"/>
  <c r="S246" i="3"/>
  <c r="Q246" i="3"/>
  <c r="P246" i="3"/>
  <c r="M246" i="3"/>
  <c r="L246" i="3"/>
  <c r="K246" i="3"/>
  <c r="J246" i="3"/>
  <c r="I246" i="3"/>
  <c r="H246" i="3"/>
  <c r="G246" i="3"/>
  <c r="F246" i="3"/>
  <c r="E246" i="3"/>
  <c r="D246" i="3"/>
  <c r="C246" i="3"/>
  <c r="B246" i="3"/>
  <c r="A246" i="3"/>
  <c r="AA245" i="3"/>
  <c r="Y245" i="3"/>
  <c r="X245" i="3"/>
  <c r="W245" i="3"/>
  <c r="U245" i="3"/>
  <c r="Z245" i="3" s="1"/>
  <c r="S245" i="3"/>
  <c r="Q245" i="3"/>
  <c r="P245" i="3"/>
  <c r="M245" i="3"/>
  <c r="L245" i="3"/>
  <c r="K245" i="3"/>
  <c r="J245" i="3"/>
  <c r="I245" i="3"/>
  <c r="H245" i="3"/>
  <c r="G245" i="3"/>
  <c r="F245" i="3"/>
  <c r="E245" i="3"/>
  <c r="D245" i="3"/>
  <c r="C245" i="3"/>
  <c r="B245" i="3"/>
  <c r="A245" i="3"/>
  <c r="AA244" i="3"/>
  <c r="X244" i="3"/>
  <c r="W244" i="3"/>
  <c r="U244" i="3"/>
  <c r="Z244" i="3" s="1"/>
  <c r="S244" i="3"/>
  <c r="Q244" i="3"/>
  <c r="P244" i="3"/>
  <c r="O244" i="3"/>
  <c r="Y244" i="3" s="1"/>
  <c r="M244" i="3"/>
  <c r="L244" i="3"/>
  <c r="K244" i="3"/>
  <c r="J244" i="3"/>
  <c r="I244" i="3"/>
  <c r="H244" i="3"/>
  <c r="G244" i="3"/>
  <c r="F244" i="3"/>
  <c r="E244" i="3"/>
  <c r="D244" i="3"/>
  <c r="C244" i="3"/>
  <c r="B244" i="3"/>
  <c r="A244" i="3"/>
  <c r="AA243" i="3"/>
  <c r="X243" i="3"/>
  <c r="W243" i="3"/>
  <c r="U243" i="3"/>
  <c r="Z243" i="3" s="1"/>
  <c r="S243" i="3"/>
  <c r="Q243" i="3"/>
  <c r="P243" i="3"/>
  <c r="O243" i="3"/>
  <c r="Y243" i="3" s="1"/>
  <c r="M243" i="3"/>
  <c r="L243" i="3"/>
  <c r="K243" i="3"/>
  <c r="J243" i="3"/>
  <c r="I243" i="3"/>
  <c r="H243" i="3"/>
  <c r="G243" i="3"/>
  <c r="F243" i="3"/>
  <c r="E243" i="3"/>
  <c r="D243" i="3"/>
  <c r="C243" i="3"/>
  <c r="B243" i="3"/>
  <c r="A243" i="3"/>
  <c r="AA242" i="3"/>
  <c r="Y242" i="3"/>
  <c r="X242" i="3"/>
  <c r="W242" i="3"/>
  <c r="U242" i="3"/>
  <c r="Z242" i="3" s="1"/>
  <c r="S242" i="3"/>
  <c r="Q242" i="3"/>
  <c r="P242" i="3"/>
  <c r="M242" i="3"/>
  <c r="L242" i="3"/>
  <c r="K242" i="3"/>
  <c r="J242" i="3"/>
  <c r="I242" i="3"/>
  <c r="H242" i="3"/>
  <c r="G242" i="3"/>
  <c r="F242" i="3"/>
  <c r="E242" i="3"/>
  <c r="D242" i="3"/>
  <c r="C242" i="3"/>
  <c r="B242" i="3"/>
  <c r="A242" i="3"/>
  <c r="AA241" i="3"/>
  <c r="X241" i="3"/>
  <c r="W241" i="3"/>
  <c r="U241" i="3"/>
  <c r="Z241" i="3" s="1"/>
  <c r="S241" i="3"/>
  <c r="Q241" i="3"/>
  <c r="P241" i="3"/>
  <c r="O241" i="3"/>
  <c r="Y241" i="3" s="1"/>
  <c r="M241" i="3"/>
  <c r="L241" i="3"/>
  <c r="K241" i="3"/>
  <c r="J241" i="3"/>
  <c r="I241" i="3"/>
  <c r="H241" i="3"/>
  <c r="G241" i="3"/>
  <c r="F241" i="3"/>
  <c r="E241" i="3"/>
  <c r="D241" i="3"/>
  <c r="C241" i="3"/>
  <c r="B241" i="3"/>
  <c r="A241" i="3"/>
  <c r="AA240" i="3"/>
  <c r="Y240" i="3"/>
  <c r="X240" i="3"/>
  <c r="W240" i="3"/>
  <c r="U240" i="3"/>
  <c r="Z240" i="3" s="1"/>
  <c r="S240" i="3"/>
  <c r="Q240" i="3"/>
  <c r="P240" i="3"/>
  <c r="M240" i="3"/>
  <c r="L240" i="3"/>
  <c r="K240" i="3"/>
  <c r="J240" i="3"/>
  <c r="I240" i="3"/>
  <c r="H240" i="3"/>
  <c r="G240" i="3"/>
  <c r="F240" i="3"/>
  <c r="E240" i="3"/>
  <c r="D240" i="3"/>
  <c r="C240" i="3"/>
  <c r="B240" i="3"/>
  <c r="A240" i="3"/>
  <c r="AA239" i="3"/>
  <c r="Y239" i="3"/>
  <c r="X239" i="3"/>
  <c r="W239" i="3"/>
  <c r="U239" i="3"/>
  <c r="Z239" i="3" s="1"/>
  <c r="S239" i="3"/>
  <c r="Q239" i="3"/>
  <c r="P239" i="3"/>
  <c r="M239" i="3"/>
  <c r="L239" i="3"/>
  <c r="K239" i="3"/>
  <c r="J239" i="3"/>
  <c r="I239" i="3"/>
  <c r="H239" i="3"/>
  <c r="G239" i="3"/>
  <c r="F239" i="3"/>
  <c r="E239" i="3"/>
  <c r="D239" i="3"/>
  <c r="C239" i="3"/>
  <c r="B239" i="3"/>
  <c r="A239" i="3"/>
  <c r="AA238" i="3"/>
  <c r="Y238" i="3"/>
  <c r="X238" i="3"/>
  <c r="W238" i="3"/>
  <c r="U238" i="3"/>
  <c r="Z238" i="3" s="1"/>
  <c r="S238" i="3"/>
  <c r="Q238" i="3"/>
  <c r="P238" i="3"/>
  <c r="M238" i="3"/>
  <c r="L238" i="3"/>
  <c r="K238" i="3"/>
  <c r="J238" i="3"/>
  <c r="I238" i="3"/>
  <c r="H238" i="3"/>
  <c r="G238" i="3"/>
  <c r="F238" i="3"/>
  <c r="E238" i="3"/>
  <c r="D238" i="3"/>
  <c r="C238" i="3"/>
  <c r="B238" i="3"/>
  <c r="A238" i="3"/>
  <c r="AA237" i="3"/>
  <c r="Y237" i="3"/>
  <c r="X237" i="3"/>
  <c r="W237" i="3"/>
  <c r="U237" i="3"/>
  <c r="Z237" i="3" s="1"/>
  <c r="S237" i="3"/>
  <c r="Q237" i="3"/>
  <c r="P237" i="3"/>
  <c r="M237" i="3"/>
  <c r="L237" i="3"/>
  <c r="K237" i="3"/>
  <c r="J237" i="3"/>
  <c r="I237" i="3"/>
  <c r="H237" i="3"/>
  <c r="G237" i="3"/>
  <c r="F237" i="3"/>
  <c r="E237" i="3"/>
  <c r="D237" i="3"/>
  <c r="C237" i="3"/>
  <c r="B237" i="3"/>
  <c r="A237" i="3"/>
  <c r="AA236" i="3"/>
  <c r="X236" i="3"/>
  <c r="W236" i="3"/>
  <c r="U236" i="3"/>
  <c r="Z236" i="3" s="1"/>
  <c r="S236" i="3"/>
  <c r="Q236" i="3"/>
  <c r="P236" i="3"/>
  <c r="O236" i="3"/>
  <c r="Y236" i="3" s="1"/>
  <c r="M236" i="3"/>
  <c r="L236" i="3"/>
  <c r="K236" i="3"/>
  <c r="J236" i="3"/>
  <c r="I236" i="3"/>
  <c r="H236" i="3"/>
  <c r="G236" i="3"/>
  <c r="F236" i="3"/>
  <c r="E236" i="3"/>
  <c r="D236" i="3"/>
  <c r="C236" i="3"/>
  <c r="B236" i="3"/>
  <c r="A236" i="3"/>
  <c r="AA235" i="3"/>
  <c r="Y235" i="3"/>
  <c r="X235" i="3"/>
  <c r="W235" i="3"/>
  <c r="U235" i="3"/>
  <c r="Z235" i="3" s="1"/>
  <c r="S235" i="3"/>
  <c r="Q235" i="3"/>
  <c r="P235" i="3"/>
  <c r="M235" i="3"/>
  <c r="L235" i="3"/>
  <c r="K235" i="3"/>
  <c r="J235" i="3"/>
  <c r="I235" i="3"/>
  <c r="H235" i="3"/>
  <c r="G235" i="3"/>
  <c r="F235" i="3"/>
  <c r="E235" i="3"/>
  <c r="D235" i="3"/>
  <c r="C235" i="3"/>
  <c r="B235" i="3"/>
  <c r="A235" i="3"/>
  <c r="AA234" i="3"/>
  <c r="Y234" i="3"/>
  <c r="X234" i="3"/>
  <c r="W234" i="3"/>
  <c r="U234" i="3"/>
  <c r="Z234" i="3" s="1"/>
  <c r="S234" i="3"/>
  <c r="Q234" i="3"/>
  <c r="P234" i="3"/>
  <c r="M234" i="3"/>
  <c r="L234" i="3"/>
  <c r="K234" i="3"/>
  <c r="J234" i="3"/>
  <c r="I234" i="3"/>
  <c r="H234" i="3"/>
  <c r="G234" i="3"/>
  <c r="F234" i="3"/>
  <c r="E234" i="3"/>
  <c r="D234" i="3"/>
  <c r="C234" i="3"/>
  <c r="B234" i="3"/>
  <c r="A234" i="3"/>
  <c r="AA233" i="3"/>
  <c r="X233" i="3"/>
  <c r="W233" i="3"/>
  <c r="U233" i="3"/>
  <c r="Z233" i="3" s="1"/>
  <c r="S233" i="3"/>
  <c r="Q233" i="3"/>
  <c r="P233" i="3"/>
  <c r="O233" i="3"/>
  <c r="Y233" i="3" s="1"/>
  <c r="M233" i="3"/>
  <c r="L233" i="3"/>
  <c r="K233" i="3"/>
  <c r="J233" i="3"/>
  <c r="I233" i="3"/>
  <c r="H233" i="3"/>
  <c r="G233" i="3"/>
  <c r="F233" i="3"/>
  <c r="E233" i="3"/>
  <c r="D233" i="3"/>
  <c r="C233" i="3"/>
  <c r="B233" i="3"/>
  <c r="A233" i="3"/>
  <c r="AA232" i="3"/>
  <c r="X232" i="3"/>
  <c r="W232" i="3"/>
  <c r="U232" i="3"/>
  <c r="Z232" i="3" s="1"/>
  <c r="S232" i="3"/>
  <c r="Q232" i="3"/>
  <c r="P232" i="3"/>
  <c r="O232" i="3"/>
  <c r="Y232" i="3" s="1"/>
  <c r="M232" i="3"/>
  <c r="L232" i="3"/>
  <c r="K232" i="3"/>
  <c r="J232" i="3"/>
  <c r="I232" i="3"/>
  <c r="H232" i="3"/>
  <c r="G232" i="3"/>
  <c r="F232" i="3"/>
  <c r="E232" i="3"/>
  <c r="D232" i="3"/>
  <c r="C232" i="3"/>
  <c r="B232" i="3"/>
  <c r="A232" i="3"/>
  <c r="AA231" i="3"/>
  <c r="X231" i="3"/>
  <c r="W231" i="3"/>
  <c r="U231" i="3"/>
  <c r="Z231" i="3" s="1"/>
  <c r="S231" i="3"/>
  <c r="Q231" i="3"/>
  <c r="P231" i="3"/>
  <c r="O231" i="3"/>
  <c r="Y231" i="3" s="1"/>
  <c r="M231" i="3"/>
  <c r="L231" i="3"/>
  <c r="K231" i="3"/>
  <c r="J231" i="3"/>
  <c r="I231" i="3"/>
  <c r="H231" i="3"/>
  <c r="G231" i="3"/>
  <c r="F231" i="3"/>
  <c r="E231" i="3"/>
  <c r="D231" i="3"/>
  <c r="C231" i="3"/>
  <c r="B231" i="3"/>
  <c r="A231" i="3"/>
  <c r="AA230" i="3"/>
  <c r="X230" i="3"/>
  <c r="W230" i="3"/>
  <c r="U230" i="3"/>
  <c r="Z230" i="3" s="1"/>
  <c r="S230" i="3"/>
  <c r="Q230" i="3"/>
  <c r="P230" i="3"/>
  <c r="O230" i="3"/>
  <c r="Y230" i="3" s="1"/>
  <c r="M230" i="3"/>
  <c r="L230" i="3"/>
  <c r="K230" i="3"/>
  <c r="J230" i="3"/>
  <c r="I230" i="3"/>
  <c r="H230" i="3"/>
  <c r="G230" i="3"/>
  <c r="F230" i="3"/>
  <c r="E230" i="3"/>
  <c r="D230" i="3"/>
  <c r="C230" i="3"/>
  <c r="B230" i="3"/>
  <c r="A230" i="3"/>
  <c r="AA229" i="3"/>
  <c r="X229" i="3"/>
  <c r="W229" i="3"/>
  <c r="U229" i="3"/>
  <c r="Z229" i="3" s="1"/>
  <c r="S229" i="3"/>
  <c r="Q229" i="3"/>
  <c r="P229" i="3"/>
  <c r="O229" i="3"/>
  <c r="Y229" i="3" s="1"/>
  <c r="M229" i="3"/>
  <c r="L229" i="3"/>
  <c r="K229" i="3"/>
  <c r="J229" i="3"/>
  <c r="I229" i="3"/>
  <c r="H229" i="3"/>
  <c r="G229" i="3"/>
  <c r="F229" i="3"/>
  <c r="E229" i="3"/>
  <c r="D229" i="3"/>
  <c r="C229" i="3"/>
  <c r="B229" i="3"/>
  <c r="A229" i="3"/>
  <c r="AA228" i="3"/>
  <c r="X228" i="3"/>
  <c r="W228" i="3"/>
  <c r="U228" i="3"/>
  <c r="Z228" i="3" s="1"/>
  <c r="S228" i="3"/>
  <c r="Q228" i="3"/>
  <c r="P228" i="3"/>
  <c r="O228" i="3"/>
  <c r="Y228" i="3" s="1"/>
  <c r="M228" i="3"/>
  <c r="L228" i="3"/>
  <c r="K228" i="3"/>
  <c r="J228" i="3"/>
  <c r="I228" i="3"/>
  <c r="H228" i="3"/>
  <c r="G228" i="3"/>
  <c r="F228" i="3"/>
  <c r="E228" i="3"/>
  <c r="D228" i="3"/>
  <c r="C228" i="3"/>
  <c r="B228" i="3"/>
  <c r="A228" i="3"/>
  <c r="AA227" i="3"/>
  <c r="Y227" i="3"/>
  <c r="X227" i="3"/>
  <c r="W227" i="3"/>
  <c r="U227" i="3"/>
  <c r="Z227" i="3" s="1"/>
  <c r="S227" i="3"/>
  <c r="Q227" i="3"/>
  <c r="P227" i="3"/>
  <c r="M227" i="3"/>
  <c r="L227" i="3"/>
  <c r="K227" i="3"/>
  <c r="J227" i="3"/>
  <c r="I227" i="3"/>
  <c r="H227" i="3"/>
  <c r="G227" i="3"/>
  <c r="F227" i="3"/>
  <c r="E227" i="3"/>
  <c r="D227" i="3"/>
  <c r="C227" i="3"/>
  <c r="B227" i="3"/>
  <c r="A227" i="3"/>
  <c r="AA226" i="3"/>
  <c r="Y226" i="3"/>
  <c r="X226" i="3"/>
  <c r="W226" i="3"/>
  <c r="U226" i="3"/>
  <c r="Z226" i="3" s="1"/>
  <c r="S226" i="3"/>
  <c r="Q226" i="3"/>
  <c r="P226" i="3"/>
  <c r="M226" i="3"/>
  <c r="L226" i="3"/>
  <c r="K226" i="3"/>
  <c r="J226" i="3"/>
  <c r="I226" i="3"/>
  <c r="H226" i="3"/>
  <c r="G226" i="3"/>
  <c r="F226" i="3"/>
  <c r="E226" i="3"/>
  <c r="D226" i="3"/>
  <c r="C226" i="3"/>
  <c r="B226" i="3"/>
  <c r="A226" i="3"/>
  <c r="AA225" i="3"/>
  <c r="X225" i="3"/>
  <c r="W225" i="3"/>
  <c r="U225" i="3"/>
  <c r="Z225" i="3" s="1"/>
  <c r="S225" i="3"/>
  <c r="Q225" i="3"/>
  <c r="P225" i="3"/>
  <c r="O225" i="3"/>
  <c r="Y225" i="3" s="1"/>
  <c r="M225" i="3"/>
  <c r="L225" i="3"/>
  <c r="K225" i="3"/>
  <c r="J225" i="3"/>
  <c r="I225" i="3"/>
  <c r="H225" i="3"/>
  <c r="G225" i="3"/>
  <c r="F225" i="3"/>
  <c r="E225" i="3"/>
  <c r="D225" i="3"/>
  <c r="C225" i="3"/>
  <c r="B225" i="3"/>
  <c r="A225" i="3"/>
  <c r="AA224" i="3"/>
  <c r="X224" i="3"/>
  <c r="W224" i="3"/>
  <c r="U224" i="3"/>
  <c r="Z224" i="3" s="1"/>
  <c r="S224" i="3"/>
  <c r="Q224" i="3"/>
  <c r="P224" i="3"/>
  <c r="O224" i="3"/>
  <c r="Y224" i="3" s="1"/>
  <c r="M224" i="3"/>
  <c r="L224" i="3"/>
  <c r="K224" i="3"/>
  <c r="J224" i="3"/>
  <c r="I224" i="3"/>
  <c r="H224" i="3"/>
  <c r="G224" i="3"/>
  <c r="F224" i="3"/>
  <c r="E224" i="3"/>
  <c r="D224" i="3"/>
  <c r="C224" i="3"/>
  <c r="B224" i="3"/>
  <c r="A224" i="3"/>
  <c r="AA223" i="3"/>
  <c r="X223" i="3"/>
  <c r="W223" i="3"/>
  <c r="U223" i="3"/>
  <c r="Z223" i="3" s="1"/>
  <c r="S223" i="3"/>
  <c r="Q223" i="3"/>
  <c r="P223" i="3"/>
  <c r="O223" i="3"/>
  <c r="Y223" i="3" s="1"/>
  <c r="M223" i="3"/>
  <c r="L223" i="3"/>
  <c r="K223" i="3"/>
  <c r="J223" i="3"/>
  <c r="I223" i="3"/>
  <c r="H223" i="3"/>
  <c r="G223" i="3"/>
  <c r="F223" i="3"/>
  <c r="E223" i="3"/>
  <c r="D223" i="3"/>
  <c r="C223" i="3"/>
  <c r="B223" i="3"/>
  <c r="A223" i="3"/>
  <c r="AA222" i="3"/>
  <c r="X222" i="3"/>
  <c r="W222" i="3"/>
  <c r="U222" i="3"/>
  <c r="Z222" i="3" s="1"/>
  <c r="S222" i="3"/>
  <c r="Q222" i="3"/>
  <c r="P222" i="3"/>
  <c r="O222" i="3"/>
  <c r="Y222" i="3" s="1"/>
  <c r="M222" i="3"/>
  <c r="L222" i="3"/>
  <c r="K222" i="3"/>
  <c r="J222" i="3"/>
  <c r="I222" i="3"/>
  <c r="H222" i="3"/>
  <c r="G222" i="3"/>
  <c r="F222" i="3"/>
  <c r="E222" i="3"/>
  <c r="D222" i="3"/>
  <c r="C222" i="3"/>
  <c r="B222" i="3"/>
  <c r="A222" i="3"/>
  <c r="AA221" i="3"/>
  <c r="X221" i="3"/>
  <c r="W221" i="3"/>
  <c r="U221" i="3"/>
  <c r="Z221" i="3" s="1"/>
  <c r="S221" i="3"/>
  <c r="Q221" i="3"/>
  <c r="P221" i="3"/>
  <c r="O221" i="3"/>
  <c r="Y221" i="3" s="1"/>
  <c r="M221" i="3"/>
  <c r="L221" i="3"/>
  <c r="K221" i="3"/>
  <c r="J221" i="3"/>
  <c r="I221" i="3"/>
  <c r="H221" i="3"/>
  <c r="G221" i="3"/>
  <c r="F221" i="3"/>
  <c r="E221" i="3"/>
  <c r="D221" i="3"/>
  <c r="C221" i="3"/>
  <c r="B221" i="3"/>
  <c r="A221" i="3"/>
  <c r="AA220" i="3"/>
  <c r="X220" i="3"/>
  <c r="W220" i="3"/>
  <c r="U220" i="3"/>
  <c r="Z220" i="3" s="1"/>
  <c r="S220" i="3"/>
  <c r="Q220" i="3"/>
  <c r="P220" i="3"/>
  <c r="O220" i="3"/>
  <c r="Y220" i="3" s="1"/>
  <c r="M220" i="3"/>
  <c r="L220" i="3"/>
  <c r="K220" i="3"/>
  <c r="J220" i="3"/>
  <c r="I220" i="3"/>
  <c r="H220" i="3"/>
  <c r="G220" i="3"/>
  <c r="F220" i="3"/>
  <c r="E220" i="3"/>
  <c r="D220" i="3"/>
  <c r="C220" i="3"/>
  <c r="B220" i="3"/>
  <c r="A220" i="3"/>
  <c r="AA219" i="3"/>
  <c r="X219" i="3"/>
  <c r="W219" i="3"/>
  <c r="U219" i="3"/>
  <c r="Z219" i="3" s="1"/>
  <c r="S219" i="3"/>
  <c r="Q219" i="3"/>
  <c r="P219" i="3"/>
  <c r="O219" i="3"/>
  <c r="Y219" i="3" s="1"/>
  <c r="M219" i="3"/>
  <c r="L219" i="3"/>
  <c r="K219" i="3"/>
  <c r="J219" i="3"/>
  <c r="I219" i="3"/>
  <c r="H219" i="3"/>
  <c r="G219" i="3"/>
  <c r="F219" i="3"/>
  <c r="E219" i="3"/>
  <c r="D219" i="3"/>
  <c r="C219" i="3"/>
  <c r="B219" i="3"/>
  <c r="A219" i="3"/>
  <c r="AA218" i="3"/>
  <c r="X218" i="3"/>
  <c r="W218" i="3"/>
  <c r="U218" i="3"/>
  <c r="Z218" i="3" s="1"/>
  <c r="S218" i="3"/>
  <c r="Q218" i="3"/>
  <c r="P218" i="3"/>
  <c r="O218" i="3"/>
  <c r="Y218" i="3" s="1"/>
  <c r="M218" i="3"/>
  <c r="L218" i="3"/>
  <c r="K218" i="3"/>
  <c r="J218" i="3"/>
  <c r="I218" i="3"/>
  <c r="H218" i="3"/>
  <c r="G218" i="3"/>
  <c r="F218" i="3"/>
  <c r="E218" i="3"/>
  <c r="D218" i="3"/>
  <c r="C218" i="3"/>
  <c r="B218" i="3"/>
  <c r="A218" i="3"/>
  <c r="AA217" i="3"/>
  <c r="Y217" i="3"/>
  <c r="X217" i="3"/>
  <c r="W217" i="3"/>
  <c r="U217" i="3"/>
  <c r="Z217" i="3" s="1"/>
  <c r="S217" i="3"/>
  <c r="Q217" i="3"/>
  <c r="P217" i="3"/>
  <c r="M217" i="3"/>
  <c r="L217" i="3"/>
  <c r="K217" i="3"/>
  <c r="J217" i="3"/>
  <c r="I217" i="3"/>
  <c r="H217" i="3"/>
  <c r="G217" i="3"/>
  <c r="F217" i="3"/>
  <c r="E217" i="3"/>
  <c r="D217" i="3"/>
  <c r="C217" i="3"/>
  <c r="B217" i="3"/>
  <c r="A217" i="3"/>
  <c r="AA216" i="3"/>
  <c r="Y216" i="3"/>
  <c r="X216" i="3"/>
  <c r="W216" i="3"/>
  <c r="U216" i="3"/>
  <c r="Z216" i="3" s="1"/>
  <c r="S216" i="3"/>
  <c r="Q216" i="3"/>
  <c r="P216" i="3"/>
  <c r="M216" i="3"/>
  <c r="L216" i="3"/>
  <c r="K216" i="3"/>
  <c r="J216" i="3"/>
  <c r="I216" i="3"/>
  <c r="H216" i="3"/>
  <c r="G216" i="3"/>
  <c r="F216" i="3"/>
  <c r="E216" i="3"/>
  <c r="D216" i="3"/>
  <c r="C216" i="3"/>
  <c r="B216" i="3"/>
  <c r="A216" i="3"/>
  <c r="AA215" i="3"/>
  <c r="X215" i="3"/>
  <c r="W215" i="3"/>
  <c r="U215" i="3"/>
  <c r="Z215" i="3" s="1"/>
  <c r="S215" i="3"/>
  <c r="Q215" i="3"/>
  <c r="P215" i="3"/>
  <c r="O215" i="3"/>
  <c r="Y215" i="3" s="1"/>
  <c r="M215" i="3"/>
  <c r="L215" i="3"/>
  <c r="K215" i="3"/>
  <c r="J215" i="3"/>
  <c r="I215" i="3"/>
  <c r="H215" i="3"/>
  <c r="G215" i="3"/>
  <c r="F215" i="3"/>
  <c r="E215" i="3"/>
  <c r="D215" i="3"/>
  <c r="C215" i="3"/>
  <c r="B215" i="3"/>
  <c r="A215" i="3"/>
  <c r="AA214" i="3"/>
  <c r="Y214" i="3"/>
  <c r="X214" i="3"/>
  <c r="W214" i="3"/>
  <c r="U214" i="3"/>
  <c r="Z214" i="3" s="1"/>
  <c r="S214" i="3"/>
  <c r="Q214" i="3"/>
  <c r="P214" i="3"/>
  <c r="M214" i="3"/>
  <c r="L214" i="3"/>
  <c r="K214" i="3"/>
  <c r="J214" i="3"/>
  <c r="I214" i="3"/>
  <c r="H214" i="3"/>
  <c r="G214" i="3"/>
  <c r="F214" i="3"/>
  <c r="E214" i="3"/>
  <c r="D214" i="3"/>
  <c r="C214" i="3"/>
  <c r="B214" i="3"/>
  <c r="A214" i="3"/>
  <c r="AA213" i="3"/>
  <c r="X213" i="3"/>
  <c r="W213" i="3"/>
  <c r="U213" i="3"/>
  <c r="Z213" i="3" s="1"/>
  <c r="S213" i="3"/>
  <c r="Q213" i="3"/>
  <c r="P213" i="3"/>
  <c r="O213" i="3"/>
  <c r="Y213" i="3" s="1"/>
  <c r="M213" i="3"/>
  <c r="L213" i="3"/>
  <c r="K213" i="3"/>
  <c r="J213" i="3"/>
  <c r="I213" i="3"/>
  <c r="H213" i="3"/>
  <c r="G213" i="3"/>
  <c r="F213" i="3"/>
  <c r="E213" i="3"/>
  <c r="D213" i="3"/>
  <c r="C213" i="3"/>
  <c r="B213" i="3"/>
  <c r="A213" i="3"/>
  <c r="AA212" i="3"/>
  <c r="Y212" i="3"/>
  <c r="X212" i="3"/>
  <c r="W212" i="3"/>
  <c r="U212" i="3"/>
  <c r="Z212" i="3" s="1"/>
  <c r="S212" i="3"/>
  <c r="Q212" i="3"/>
  <c r="P212" i="3"/>
  <c r="M212" i="3"/>
  <c r="L212" i="3"/>
  <c r="K212" i="3"/>
  <c r="J212" i="3"/>
  <c r="I212" i="3"/>
  <c r="H212" i="3"/>
  <c r="G212" i="3"/>
  <c r="F212" i="3"/>
  <c r="E212" i="3"/>
  <c r="D212" i="3"/>
  <c r="C212" i="3"/>
  <c r="B212" i="3"/>
  <c r="A212" i="3"/>
  <c r="AA211" i="3"/>
  <c r="Y211" i="3"/>
  <c r="X211" i="3"/>
  <c r="W211" i="3"/>
  <c r="U211" i="3"/>
  <c r="Z211" i="3" s="1"/>
  <c r="S211" i="3"/>
  <c r="Q211" i="3"/>
  <c r="P211" i="3"/>
  <c r="M211" i="3"/>
  <c r="L211" i="3"/>
  <c r="K211" i="3"/>
  <c r="J211" i="3"/>
  <c r="I211" i="3"/>
  <c r="H211" i="3"/>
  <c r="G211" i="3"/>
  <c r="F211" i="3"/>
  <c r="E211" i="3"/>
  <c r="D211" i="3"/>
  <c r="C211" i="3"/>
  <c r="B211" i="3"/>
  <c r="A211" i="3"/>
  <c r="AA210" i="3"/>
  <c r="Y210" i="3"/>
  <c r="X210" i="3"/>
  <c r="W210" i="3"/>
  <c r="U210" i="3"/>
  <c r="Z210" i="3" s="1"/>
  <c r="S210" i="3"/>
  <c r="Q210" i="3"/>
  <c r="P210" i="3"/>
  <c r="M210" i="3"/>
  <c r="L210" i="3"/>
  <c r="K210" i="3"/>
  <c r="J210" i="3"/>
  <c r="I210" i="3"/>
  <c r="H210" i="3"/>
  <c r="G210" i="3"/>
  <c r="F210" i="3"/>
  <c r="E210" i="3"/>
  <c r="D210" i="3"/>
  <c r="C210" i="3"/>
  <c r="B210" i="3"/>
  <c r="A210" i="3"/>
  <c r="AA209" i="3"/>
  <c r="X209" i="3"/>
  <c r="W209" i="3"/>
  <c r="U209" i="3"/>
  <c r="Z209" i="3" s="1"/>
  <c r="S209" i="3"/>
  <c r="Q209" i="3"/>
  <c r="P209" i="3"/>
  <c r="O209" i="3"/>
  <c r="Y209" i="3" s="1"/>
  <c r="M209" i="3"/>
  <c r="L209" i="3"/>
  <c r="K209" i="3"/>
  <c r="J209" i="3"/>
  <c r="I209" i="3"/>
  <c r="H209" i="3"/>
  <c r="G209" i="3"/>
  <c r="F209" i="3"/>
  <c r="E209" i="3"/>
  <c r="D209" i="3"/>
  <c r="C209" i="3"/>
  <c r="B209" i="3"/>
  <c r="A209" i="3"/>
  <c r="AA208" i="3"/>
  <c r="X208" i="3"/>
  <c r="W208" i="3"/>
  <c r="U208" i="3"/>
  <c r="Z208" i="3" s="1"/>
  <c r="S208" i="3"/>
  <c r="Q208" i="3"/>
  <c r="P208" i="3"/>
  <c r="O208" i="3"/>
  <c r="Y208" i="3" s="1"/>
  <c r="M208" i="3"/>
  <c r="L208" i="3"/>
  <c r="K208" i="3"/>
  <c r="J208" i="3"/>
  <c r="I208" i="3"/>
  <c r="H208" i="3"/>
  <c r="G208" i="3"/>
  <c r="F208" i="3"/>
  <c r="E208" i="3"/>
  <c r="D208" i="3"/>
  <c r="C208" i="3"/>
  <c r="B208" i="3"/>
  <c r="A208" i="3"/>
  <c r="AA207" i="3"/>
  <c r="Y207" i="3"/>
  <c r="X207" i="3"/>
  <c r="W207" i="3"/>
  <c r="U207" i="3"/>
  <c r="Z207" i="3" s="1"/>
  <c r="S207" i="3"/>
  <c r="Q207" i="3"/>
  <c r="P207" i="3"/>
  <c r="M207" i="3"/>
  <c r="L207" i="3"/>
  <c r="K207" i="3"/>
  <c r="J207" i="3"/>
  <c r="I207" i="3"/>
  <c r="H207" i="3"/>
  <c r="G207" i="3"/>
  <c r="F207" i="3"/>
  <c r="E207" i="3"/>
  <c r="D207" i="3"/>
  <c r="C207" i="3"/>
  <c r="B207" i="3"/>
  <c r="A207" i="3"/>
  <c r="AA206" i="3"/>
  <c r="X206" i="3"/>
  <c r="W206" i="3"/>
  <c r="U206" i="3"/>
  <c r="Z206" i="3" s="1"/>
  <c r="S206" i="3"/>
  <c r="Q206" i="3"/>
  <c r="P206" i="3"/>
  <c r="O206" i="3"/>
  <c r="Y206" i="3" s="1"/>
  <c r="M206" i="3"/>
  <c r="L206" i="3"/>
  <c r="K206" i="3"/>
  <c r="J206" i="3"/>
  <c r="I206" i="3"/>
  <c r="H206" i="3"/>
  <c r="G206" i="3"/>
  <c r="F206" i="3"/>
  <c r="E206" i="3"/>
  <c r="D206" i="3"/>
  <c r="C206" i="3"/>
  <c r="B206" i="3"/>
  <c r="A206" i="3"/>
  <c r="AA205" i="3"/>
  <c r="Y205" i="3"/>
  <c r="X205" i="3"/>
  <c r="W205" i="3"/>
  <c r="U205" i="3"/>
  <c r="Z205" i="3" s="1"/>
  <c r="S205" i="3"/>
  <c r="Q205" i="3"/>
  <c r="P205" i="3"/>
  <c r="M205" i="3"/>
  <c r="L205" i="3"/>
  <c r="K205" i="3"/>
  <c r="J205" i="3"/>
  <c r="I205" i="3"/>
  <c r="H205" i="3"/>
  <c r="G205" i="3"/>
  <c r="F205" i="3"/>
  <c r="E205" i="3"/>
  <c r="D205" i="3"/>
  <c r="C205" i="3"/>
  <c r="B205" i="3"/>
  <c r="A205" i="3"/>
  <c r="AA204" i="3"/>
  <c r="Y204" i="3"/>
  <c r="X204" i="3"/>
  <c r="W204" i="3"/>
  <c r="U204" i="3"/>
  <c r="Z204" i="3" s="1"/>
  <c r="S204" i="3"/>
  <c r="Q204" i="3"/>
  <c r="P204" i="3"/>
  <c r="M204" i="3"/>
  <c r="L204" i="3"/>
  <c r="K204" i="3"/>
  <c r="J204" i="3"/>
  <c r="I204" i="3"/>
  <c r="H204" i="3"/>
  <c r="G204" i="3"/>
  <c r="F204" i="3"/>
  <c r="E204" i="3"/>
  <c r="D204" i="3"/>
  <c r="C204" i="3"/>
  <c r="B204" i="3"/>
  <c r="A204" i="3"/>
  <c r="AA203" i="3"/>
  <c r="X203" i="3"/>
  <c r="W203" i="3"/>
  <c r="U203" i="3"/>
  <c r="Z203" i="3" s="1"/>
  <c r="S203" i="3"/>
  <c r="Q203" i="3"/>
  <c r="P203" i="3"/>
  <c r="O203" i="3"/>
  <c r="Y203" i="3" s="1"/>
  <c r="M203" i="3"/>
  <c r="L203" i="3"/>
  <c r="K203" i="3"/>
  <c r="J203" i="3"/>
  <c r="I203" i="3"/>
  <c r="H203" i="3"/>
  <c r="G203" i="3"/>
  <c r="F203" i="3"/>
  <c r="E203" i="3"/>
  <c r="D203" i="3"/>
  <c r="C203" i="3"/>
  <c r="B203" i="3"/>
  <c r="A203" i="3"/>
  <c r="AA202" i="3"/>
  <c r="Y202" i="3"/>
  <c r="X202" i="3"/>
  <c r="W202" i="3"/>
  <c r="U202" i="3"/>
  <c r="Z202" i="3" s="1"/>
  <c r="S202" i="3"/>
  <c r="Q202" i="3"/>
  <c r="P202" i="3"/>
  <c r="M202" i="3"/>
  <c r="L202" i="3"/>
  <c r="K202" i="3"/>
  <c r="J202" i="3"/>
  <c r="I202" i="3"/>
  <c r="H202" i="3"/>
  <c r="G202" i="3"/>
  <c r="F202" i="3"/>
  <c r="E202" i="3"/>
  <c r="D202" i="3"/>
  <c r="C202" i="3"/>
  <c r="B202" i="3"/>
  <c r="A202" i="3"/>
  <c r="AA201" i="3"/>
  <c r="Y201" i="3"/>
  <c r="X201" i="3"/>
  <c r="W201" i="3"/>
  <c r="U201" i="3"/>
  <c r="Z201" i="3" s="1"/>
  <c r="S201" i="3"/>
  <c r="Q201" i="3"/>
  <c r="P201" i="3"/>
  <c r="M201" i="3"/>
  <c r="L201" i="3"/>
  <c r="K201" i="3"/>
  <c r="J201" i="3"/>
  <c r="I201" i="3"/>
  <c r="H201" i="3"/>
  <c r="G201" i="3"/>
  <c r="F201" i="3"/>
  <c r="E201" i="3"/>
  <c r="D201" i="3"/>
  <c r="C201" i="3"/>
  <c r="B201" i="3"/>
  <c r="A201" i="3"/>
  <c r="AA200" i="3"/>
  <c r="Y200" i="3"/>
  <c r="X200" i="3"/>
  <c r="W200" i="3"/>
  <c r="U200" i="3"/>
  <c r="Z200" i="3" s="1"/>
  <c r="S200" i="3"/>
  <c r="Q200" i="3"/>
  <c r="P200" i="3"/>
  <c r="M200" i="3"/>
  <c r="L200" i="3"/>
  <c r="K200" i="3"/>
  <c r="J200" i="3"/>
  <c r="I200" i="3"/>
  <c r="H200" i="3"/>
  <c r="G200" i="3"/>
  <c r="F200" i="3"/>
  <c r="E200" i="3"/>
  <c r="D200" i="3"/>
  <c r="C200" i="3"/>
  <c r="B200" i="3"/>
  <c r="A200" i="3"/>
  <c r="AA199" i="3"/>
  <c r="Y199" i="3"/>
  <c r="X199" i="3"/>
  <c r="W199" i="3"/>
  <c r="U199" i="3"/>
  <c r="Z199" i="3" s="1"/>
  <c r="S199" i="3"/>
  <c r="Q199" i="3"/>
  <c r="P199" i="3"/>
  <c r="M199" i="3"/>
  <c r="L199" i="3"/>
  <c r="K199" i="3"/>
  <c r="J199" i="3"/>
  <c r="I199" i="3"/>
  <c r="H199" i="3"/>
  <c r="G199" i="3"/>
  <c r="F199" i="3"/>
  <c r="E199" i="3"/>
  <c r="D199" i="3"/>
  <c r="C199" i="3"/>
  <c r="B199" i="3"/>
  <c r="A199" i="3"/>
  <c r="AA198" i="3"/>
  <c r="X198" i="3"/>
  <c r="W198" i="3"/>
  <c r="U198" i="3"/>
  <c r="Z198" i="3" s="1"/>
  <c r="S198" i="3"/>
  <c r="Q198" i="3"/>
  <c r="P198" i="3"/>
  <c r="O198" i="3"/>
  <c r="Y198" i="3" s="1"/>
  <c r="M198" i="3"/>
  <c r="L198" i="3"/>
  <c r="K198" i="3"/>
  <c r="J198" i="3"/>
  <c r="I198" i="3"/>
  <c r="H198" i="3"/>
  <c r="G198" i="3"/>
  <c r="F198" i="3"/>
  <c r="E198" i="3"/>
  <c r="D198" i="3"/>
  <c r="C198" i="3"/>
  <c r="B198" i="3"/>
  <c r="A198" i="3"/>
  <c r="AA197" i="3"/>
  <c r="Y197" i="3"/>
  <c r="X197" i="3"/>
  <c r="W197" i="3"/>
  <c r="U197" i="3"/>
  <c r="Z197" i="3" s="1"/>
  <c r="S197" i="3"/>
  <c r="Q197" i="3"/>
  <c r="P197" i="3"/>
  <c r="M197" i="3"/>
  <c r="L197" i="3"/>
  <c r="K197" i="3"/>
  <c r="J197" i="3"/>
  <c r="I197" i="3"/>
  <c r="H197" i="3"/>
  <c r="G197" i="3"/>
  <c r="F197" i="3"/>
  <c r="E197" i="3"/>
  <c r="D197" i="3"/>
  <c r="C197" i="3"/>
  <c r="B197" i="3"/>
  <c r="A197" i="3"/>
  <c r="AA196" i="3"/>
  <c r="X196" i="3"/>
  <c r="W196" i="3"/>
  <c r="U196" i="3"/>
  <c r="Z196" i="3" s="1"/>
  <c r="S196" i="3"/>
  <c r="Q196" i="3"/>
  <c r="P196" i="3"/>
  <c r="O196" i="3"/>
  <c r="Y196" i="3" s="1"/>
  <c r="M196" i="3"/>
  <c r="L196" i="3"/>
  <c r="K196" i="3"/>
  <c r="J196" i="3"/>
  <c r="I196" i="3"/>
  <c r="H196" i="3"/>
  <c r="G196" i="3"/>
  <c r="F196" i="3"/>
  <c r="E196" i="3"/>
  <c r="D196" i="3"/>
  <c r="C196" i="3"/>
  <c r="B196" i="3"/>
  <c r="A196" i="3"/>
  <c r="AA195" i="3"/>
  <c r="X195" i="3"/>
  <c r="W195" i="3"/>
  <c r="U195" i="3"/>
  <c r="Z195" i="3" s="1"/>
  <c r="S195" i="3"/>
  <c r="Q195" i="3"/>
  <c r="P195" i="3"/>
  <c r="O195" i="3"/>
  <c r="Y195" i="3" s="1"/>
  <c r="M195" i="3"/>
  <c r="L195" i="3"/>
  <c r="K195" i="3"/>
  <c r="J195" i="3"/>
  <c r="I195" i="3"/>
  <c r="H195" i="3"/>
  <c r="G195" i="3"/>
  <c r="F195" i="3"/>
  <c r="E195" i="3"/>
  <c r="D195" i="3"/>
  <c r="C195" i="3"/>
  <c r="B195" i="3"/>
  <c r="A195" i="3"/>
  <c r="AA194" i="3"/>
  <c r="Y194" i="3"/>
  <c r="X194" i="3"/>
  <c r="W194" i="3"/>
  <c r="U194" i="3"/>
  <c r="Z194" i="3" s="1"/>
  <c r="S194" i="3"/>
  <c r="Q194" i="3"/>
  <c r="P194" i="3"/>
  <c r="M194" i="3"/>
  <c r="L194" i="3"/>
  <c r="K194" i="3"/>
  <c r="J194" i="3"/>
  <c r="I194" i="3"/>
  <c r="H194" i="3"/>
  <c r="G194" i="3"/>
  <c r="F194" i="3"/>
  <c r="E194" i="3"/>
  <c r="D194" i="3"/>
  <c r="C194" i="3"/>
  <c r="B194" i="3"/>
  <c r="A194" i="3"/>
  <c r="AA193" i="3"/>
  <c r="Y193" i="3"/>
  <c r="X193" i="3"/>
  <c r="W193" i="3"/>
  <c r="U193" i="3"/>
  <c r="Z193" i="3" s="1"/>
  <c r="S193" i="3"/>
  <c r="Q193" i="3"/>
  <c r="P193" i="3"/>
  <c r="M193" i="3"/>
  <c r="L193" i="3"/>
  <c r="K193" i="3"/>
  <c r="J193" i="3"/>
  <c r="I193" i="3"/>
  <c r="H193" i="3"/>
  <c r="G193" i="3"/>
  <c r="F193" i="3"/>
  <c r="E193" i="3"/>
  <c r="D193" i="3"/>
  <c r="C193" i="3"/>
  <c r="B193" i="3"/>
  <c r="A193" i="3"/>
  <c r="AA192" i="3"/>
  <c r="Y192" i="3"/>
  <c r="X192" i="3"/>
  <c r="W192" i="3"/>
  <c r="U192" i="3"/>
  <c r="Z192" i="3" s="1"/>
  <c r="S192" i="3"/>
  <c r="Q192" i="3"/>
  <c r="P192" i="3"/>
  <c r="M192" i="3"/>
  <c r="L192" i="3"/>
  <c r="K192" i="3"/>
  <c r="J192" i="3"/>
  <c r="I192" i="3"/>
  <c r="H192" i="3"/>
  <c r="G192" i="3"/>
  <c r="F192" i="3"/>
  <c r="E192" i="3"/>
  <c r="D192" i="3"/>
  <c r="C192" i="3"/>
  <c r="B192" i="3"/>
  <c r="A192" i="3"/>
  <c r="AA191" i="3"/>
  <c r="Y191" i="3"/>
  <c r="X191" i="3"/>
  <c r="W191" i="3"/>
  <c r="U191" i="3"/>
  <c r="Z191" i="3" s="1"/>
  <c r="S191" i="3"/>
  <c r="Q191" i="3"/>
  <c r="P191" i="3"/>
  <c r="M191" i="3"/>
  <c r="L191" i="3"/>
  <c r="K191" i="3"/>
  <c r="J191" i="3"/>
  <c r="I191" i="3"/>
  <c r="H191" i="3"/>
  <c r="G191" i="3"/>
  <c r="F191" i="3"/>
  <c r="E191" i="3"/>
  <c r="D191" i="3"/>
  <c r="C191" i="3"/>
  <c r="B191" i="3"/>
  <c r="A191" i="3"/>
  <c r="AA190" i="3"/>
  <c r="Y190" i="3"/>
  <c r="X190" i="3"/>
  <c r="W190" i="3"/>
  <c r="U190" i="3"/>
  <c r="Z190" i="3" s="1"/>
  <c r="S190" i="3"/>
  <c r="Q190" i="3"/>
  <c r="P190" i="3"/>
  <c r="M190" i="3"/>
  <c r="L190" i="3"/>
  <c r="K190" i="3"/>
  <c r="J190" i="3"/>
  <c r="I190" i="3"/>
  <c r="H190" i="3"/>
  <c r="G190" i="3"/>
  <c r="F190" i="3"/>
  <c r="E190" i="3"/>
  <c r="D190" i="3"/>
  <c r="C190" i="3"/>
  <c r="B190" i="3"/>
  <c r="A190" i="3"/>
  <c r="AA189" i="3"/>
  <c r="Y189" i="3"/>
  <c r="X189" i="3"/>
  <c r="W189" i="3"/>
  <c r="U189" i="3"/>
  <c r="Z189" i="3" s="1"/>
  <c r="S189" i="3"/>
  <c r="Q189" i="3"/>
  <c r="P189" i="3"/>
  <c r="M189" i="3"/>
  <c r="L189" i="3"/>
  <c r="K189" i="3"/>
  <c r="J189" i="3"/>
  <c r="I189" i="3"/>
  <c r="H189" i="3"/>
  <c r="G189" i="3"/>
  <c r="F189" i="3"/>
  <c r="E189" i="3"/>
  <c r="D189" i="3"/>
  <c r="C189" i="3"/>
  <c r="B189" i="3"/>
  <c r="A189" i="3"/>
  <c r="AA188" i="3"/>
  <c r="Y188" i="3"/>
  <c r="X188" i="3"/>
  <c r="W188" i="3"/>
  <c r="U188" i="3"/>
  <c r="Z188" i="3" s="1"/>
  <c r="S188" i="3"/>
  <c r="Q188" i="3"/>
  <c r="P188" i="3"/>
  <c r="M188" i="3"/>
  <c r="L188" i="3"/>
  <c r="K188" i="3"/>
  <c r="J188" i="3"/>
  <c r="I188" i="3"/>
  <c r="H188" i="3"/>
  <c r="G188" i="3"/>
  <c r="F188" i="3"/>
  <c r="E188" i="3"/>
  <c r="D188" i="3"/>
  <c r="C188" i="3"/>
  <c r="B188" i="3"/>
  <c r="A188" i="3"/>
  <c r="AA187" i="3"/>
  <c r="Y187" i="3"/>
  <c r="X187" i="3"/>
  <c r="W187" i="3"/>
  <c r="U187" i="3"/>
  <c r="Z187" i="3" s="1"/>
  <c r="S187" i="3"/>
  <c r="Q187" i="3"/>
  <c r="P187" i="3"/>
  <c r="M187" i="3"/>
  <c r="L187" i="3"/>
  <c r="K187" i="3"/>
  <c r="J187" i="3"/>
  <c r="I187" i="3"/>
  <c r="H187" i="3"/>
  <c r="G187" i="3"/>
  <c r="F187" i="3"/>
  <c r="E187" i="3"/>
  <c r="D187" i="3"/>
  <c r="C187" i="3"/>
  <c r="B187" i="3"/>
  <c r="A187" i="3"/>
  <c r="AA186" i="3"/>
  <c r="Y186" i="3"/>
  <c r="X186" i="3"/>
  <c r="W186" i="3"/>
  <c r="U186" i="3"/>
  <c r="Z186" i="3" s="1"/>
  <c r="S186" i="3"/>
  <c r="Q186" i="3"/>
  <c r="P186" i="3"/>
  <c r="M186" i="3"/>
  <c r="L186" i="3"/>
  <c r="K186" i="3"/>
  <c r="J186" i="3"/>
  <c r="I186" i="3"/>
  <c r="H186" i="3"/>
  <c r="G186" i="3"/>
  <c r="F186" i="3"/>
  <c r="E186" i="3"/>
  <c r="D186" i="3"/>
  <c r="C186" i="3"/>
  <c r="B186" i="3"/>
  <c r="A186" i="3"/>
  <c r="AA185" i="3"/>
  <c r="Y185" i="3"/>
  <c r="X185" i="3"/>
  <c r="W185" i="3"/>
  <c r="U185" i="3"/>
  <c r="Z185" i="3" s="1"/>
  <c r="S185" i="3"/>
  <c r="Q185" i="3"/>
  <c r="P185" i="3"/>
  <c r="M185" i="3"/>
  <c r="L185" i="3"/>
  <c r="K185" i="3"/>
  <c r="J185" i="3"/>
  <c r="I185" i="3"/>
  <c r="H185" i="3"/>
  <c r="G185" i="3"/>
  <c r="F185" i="3"/>
  <c r="E185" i="3"/>
  <c r="D185" i="3"/>
  <c r="C185" i="3"/>
  <c r="B185" i="3"/>
  <c r="A185" i="3"/>
  <c r="AA184" i="3"/>
  <c r="Y184" i="3"/>
  <c r="X184" i="3"/>
  <c r="W184" i="3"/>
  <c r="U184" i="3"/>
  <c r="Z184" i="3" s="1"/>
  <c r="S184" i="3"/>
  <c r="Q184" i="3"/>
  <c r="P184" i="3"/>
  <c r="M184" i="3"/>
  <c r="L184" i="3"/>
  <c r="K184" i="3"/>
  <c r="J184" i="3"/>
  <c r="I184" i="3"/>
  <c r="H184" i="3"/>
  <c r="G184" i="3"/>
  <c r="F184" i="3"/>
  <c r="E184" i="3"/>
  <c r="D184" i="3"/>
  <c r="C184" i="3"/>
  <c r="B184" i="3"/>
  <c r="A184" i="3"/>
  <c r="AA183" i="3"/>
  <c r="Y183" i="3"/>
  <c r="X183" i="3"/>
  <c r="W183" i="3"/>
  <c r="U183" i="3"/>
  <c r="Z183" i="3" s="1"/>
  <c r="S183" i="3"/>
  <c r="Q183" i="3"/>
  <c r="P183" i="3"/>
  <c r="M183" i="3"/>
  <c r="L183" i="3"/>
  <c r="K183" i="3"/>
  <c r="J183" i="3"/>
  <c r="I183" i="3"/>
  <c r="H183" i="3"/>
  <c r="G183" i="3"/>
  <c r="F183" i="3"/>
  <c r="E183" i="3"/>
  <c r="D183" i="3"/>
  <c r="C183" i="3"/>
  <c r="B183" i="3"/>
  <c r="A183" i="3"/>
  <c r="AA182" i="3"/>
  <c r="Y182" i="3"/>
  <c r="X182" i="3"/>
  <c r="W182" i="3"/>
  <c r="U182" i="3"/>
  <c r="Z182" i="3" s="1"/>
  <c r="S182" i="3"/>
  <c r="Q182" i="3"/>
  <c r="P182" i="3"/>
  <c r="M182" i="3"/>
  <c r="L182" i="3"/>
  <c r="K182" i="3"/>
  <c r="J182" i="3"/>
  <c r="I182" i="3"/>
  <c r="H182" i="3"/>
  <c r="G182" i="3"/>
  <c r="F182" i="3"/>
  <c r="E182" i="3"/>
  <c r="D182" i="3"/>
  <c r="C182" i="3"/>
  <c r="B182" i="3"/>
  <c r="A182" i="3"/>
  <c r="AA181" i="3"/>
  <c r="X181" i="3"/>
  <c r="W181" i="3"/>
  <c r="U181" i="3"/>
  <c r="Z181" i="3" s="1"/>
  <c r="S181" i="3"/>
  <c r="Q181" i="3"/>
  <c r="P181" i="3"/>
  <c r="O181" i="3"/>
  <c r="Y181" i="3" s="1"/>
  <c r="M181" i="3"/>
  <c r="L181" i="3"/>
  <c r="K181" i="3"/>
  <c r="J181" i="3"/>
  <c r="I181" i="3"/>
  <c r="H181" i="3"/>
  <c r="G181" i="3"/>
  <c r="F181" i="3"/>
  <c r="E181" i="3"/>
  <c r="D181" i="3"/>
  <c r="C181" i="3"/>
  <c r="B181" i="3"/>
  <c r="A181" i="3"/>
  <c r="AA180" i="3"/>
  <c r="Y180" i="3"/>
  <c r="X180" i="3"/>
  <c r="W180" i="3"/>
  <c r="U180" i="3"/>
  <c r="Z180" i="3" s="1"/>
  <c r="S180" i="3"/>
  <c r="Q180" i="3"/>
  <c r="P180" i="3"/>
  <c r="M180" i="3"/>
  <c r="L180" i="3"/>
  <c r="K180" i="3"/>
  <c r="J180" i="3"/>
  <c r="I180" i="3"/>
  <c r="H180" i="3"/>
  <c r="G180" i="3"/>
  <c r="F180" i="3"/>
  <c r="E180" i="3"/>
  <c r="D180" i="3"/>
  <c r="C180" i="3"/>
  <c r="B180" i="3"/>
  <c r="A180" i="3"/>
  <c r="AA179" i="3"/>
  <c r="Y179" i="3"/>
  <c r="X179" i="3"/>
  <c r="W179" i="3"/>
  <c r="U179" i="3"/>
  <c r="Z179" i="3" s="1"/>
  <c r="S179" i="3"/>
  <c r="Q179" i="3"/>
  <c r="P179" i="3"/>
  <c r="M179" i="3"/>
  <c r="L179" i="3"/>
  <c r="K179" i="3"/>
  <c r="J179" i="3"/>
  <c r="I179" i="3"/>
  <c r="H179" i="3"/>
  <c r="G179" i="3"/>
  <c r="F179" i="3"/>
  <c r="E179" i="3"/>
  <c r="D179" i="3"/>
  <c r="C179" i="3"/>
  <c r="B179" i="3"/>
  <c r="A179" i="3"/>
  <c r="AA178" i="3"/>
  <c r="Y178" i="3"/>
  <c r="X178" i="3"/>
  <c r="W178" i="3"/>
  <c r="U178" i="3"/>
  <c r="Z178" i="3" s="1"/>
  <c r="S178" i="3"/>
  <c r="Q178" i="3"/>
  <c r="P178" i="3"/>
  <c r="M178" i="3"/>
  <c r="L178" i="3"/>
  <c r="K178" i="3"/>
  <c r="J178" i="3"/>
  <c r="I178" i="3"/>
  <c r="H178" i="3"/>
  <c r="G178" i="3"/>
  <c r="F178" i="3"/>
  <c r="E178" i="3"/>
  <c r="D178" i="3"/>
  <c r="C178" i="3"/>
  <c r="B178" i="3"/>
  <c r="A178" i="3"/>
  <c r="AA177" i="3"/>
  <c r="X177" i="3"/>
  <c r="W177" i="3"/>
  <c r="U177" i="3"/>
  <c r="Z177" i="3" s="1"/>
  <c r="S177" i="3"/>
  <c r="Q177" i="3"/>
  <c r="P177" i="3"/>
  <c r="O177" i="3"/>
  <c r="Y177" i="3" s="1"/>
  <c r="M177" i="3"/>
  <c r="L177" i="3"/>
  <c r="K177" i="3"/>
  <c r="J177" i="3"/>
  <c r="I177" i="3"/>
  <c r="H177" i="3"/>
  <c r="G177" i="3"/>
  <c r="F177" i="3"/>
  <c r="E177" i="3"/>
  <c r="D177" i="3"/>
  <c r="C177" i="3"/>
  <c r="B177" i="3"/>
  <c r="A177" i="3"/>
  <c r="AA176" i="3"/>
  <c r="Y176" i="3"/>
  <c r="X176" i="3"/>
  <c r="W176" i="3"/>
  <c r="U176" i="3"/>
  <c r="Z176" i="3" s="1"/>
  <c r="S176" i="3"/>
  <c r="Q176" i="3"/>
  <c r="P176" i="3"/>
  <c r="M176" i="3"/>
  <c r="L176" i="3"/>
  <c r="K176" i="3"/>
  <c r="J176" i="3"/>
  <c r="I176" i="3"/>
  <c r="H176" i="3"/>
  <c r="G176" i="3"/>
  <c r="F176" i="3"/>
  <c r="E176" i="3"/>
  <c r="D176" i="3"/>
  <c r="C176" i="3"/>
  <c r="B176" i="3"/>
  <c r="A176" i="3"/>
  <c r="AA175" i="3"/>
  <c r="X175" i="3"/>
  <c r="W175" i="3"/>
  <c r="U175" i="3"/>
  <c r="Z175" i="3" s="1"/>
  <c r="S175" i="3"/>
  <c r="Q175" i="3"/>
  <c r="P175" i="3"/>
  <c r="O175" i="3"/>
  <c r="Y175" i="3" s="1"/>
  <c r="M175" i="3"/>
  <c r="L175" i="3"/>
  <c r="K175" i="3"/>
  <c r="J175" i="3"/>
  <c r="I175" i="3"/>
  <c r="H175" i="3"/>
  <c r="G175" i="3"/>
  <c r="F175" i="3"/>
  <c r="E175" i="3"/>
  <c r="D175" i="3"/>
  <c r="C175" i="3"/>
  <c r="B175" i="3"/>
  <c r="A175" i="3"/>
  <c r="AA174" i="3"/>
  <c r="X174" i="3"/>
  <c r="W174" i="3"/>
  <c r="U174" i="3"/>
  <c r="Z174" i="3" s="1"/>
  <c r="S174" i="3"/>
  <c r="Q174" i="3"/>
  <c r="P174" i="3"/>
  <c r="O174" i="3"/>
  <c r="Y174" i="3" s="1"/>
  <c r="M174" i="3"/>
  <c r="L174" i="3"/>
  <c r="K174" i="3"/>
  <c r="J174" i="3"/>
  <c r="I174" i="3"/>
  <c r="H174" i="3"/>
  <c r="G174" i="3"/>
  <c r="F174" i="3"/>
  <c r="E174" i="3"/>
  <c r="D174" i="3"/>
  <c r="C174" i="3"/>
  <c r="B174" i="3"/>
  <c r="A174" i="3"/>
  <c r="AA173" i="3"/>
  <c r="X173" i="3"/>
  <c r="W173" i="3"/>
  <c r="U173" i="3"/>
  <c r="Z173" i="3" s="1"/>
  <c r="S173" i="3"/>
  <c r="Q173" i="3"/>
  <c r="P173" i="3"/>
  <c r="O173" i="3"/>
  <c r="Y173" i="3" s="1"/>
  <c r="M173" i="3"/>
  <c r="L173" i="3"/>
  <c r="K173" i="3"/>
  <c r="J173" i="3"/>
  <c r="I173" i="3"/>
  <c r="H173" i="3"/>
  <c r="G173" i="3"/>
  <c r="F173" i="3"/>
  <c r="E173" i="3"/>
  <c r="D173" i="3"/>
  <c r="C173" i="3"/>
  <c r="B173" i="3"/>
  <c r="A173" i="3"/>
  <c r="AA172" i="3"/>
  <c r="Y172" i="3"/>
  <c r="X172" i="3"/>
  <c r="W172" i="3"/>
  <c r="U172" i="3"/>
  <c r="Z172" i="3" s="1"/>
  <c r="S172" i="3"/>
  <c r="Q172" i="3"/>
  <c r="P172" i="3"/>
  <c r="M172" i="3"/>
  <c r="L172" i="3"/>
  <c r="K172" i="3"/>
  <c r="J172" i="3"/>
  <c r="I172" i="3"/>
  <c r="H172" i="3"/>
  <c r="G172" i="3"/>
  <c r="F172" i="3"/>
  <c r="E172" i="3"/>
  <c r="D172" i="3"/>
  <c r="C172" i="3"/>
  <c r="B172" i="3"/>
  <c r="A172" i="3"/>
  <c r="AA171" i="3"/>
  <c r="X171" i="3"/>
  <c r="W171" i="3"/>
  <c r="U171" i="3"/>
  <c r="Z171" i="3" s="1"/>
  <c r="S171" i="3"/>
  <c r="Q171" i="3"/>
  <c r="P171" i="3"/>
  <c r="O171" i="3"/>
  <c r="Y171" i="3" s="1"/>
  <c r="M171" i="3"/>
  <c r="L171" i="3"/>
  <c r="K171" i="3"/>
  <c r="J171" i="3"/>
  <c r="I171" i="3"/>
  <c r="H171" i="3"/>
  <c r="G171" i="3"/>
  <c r="F171" i="3"/>
  <c r="E171" i="3"/>
  <c r="D171" i="3"/>
  <c r="C171" i="3"/>
  <c r="B171" i="3"/>
  <c r="A171" i="3"/>
  <c r="AA170" i="3"/>
  <c r="Y170" i="3"/>
  <c r="X170" i="3"/>
  <c r="W170" i="3"/>
  <c r="U170" i="3"/>
  <c r="Z170" i="3" s="1"/>
  <c r="S170" i="3"/>
  <c r="Q170" i="3"/>
  <c r="P170" i="3"/>
  <c r="M170" i="3"/>
  <c r="L170" i="3"/>
  <c r="K170" i="3"/>
  <c r="J170" i="3"/>
  <c r="I170" i="3"/>
  <c r="H170" i="3"/>
  <c r="G170" i="3"/>
  <c r="F170" i="3"/>
  <c r="E170" i="3"/>
  <c r="D170" i="3"/>
  <c r="C170" i="3"/>
  <c r="B170" i="3"/>
  <c r="A170" i="3"/>
  <c r="AA169" i="3"/>
  <c r="Y169" i="3"/>
  <c r="X169" i="3"/>
  <c r="W169" i="3"/>
  <c r="U169" i="3"/>
  <c r="Z169" i="3" s="1"/>
  <c r="S169" i="3"/>
  <c r="Q169" i="3"/>
  <c r="P169" i="3"/>
  <c r="M169" i="3"/>
  <c r="L169" i="3"/>
  <c r="K169" i="3"/>
  <c r="J169" i="3"/>
  <c r="I169" i="3"/>
  <c r="H169" i="3"/>
  <c r="G169" i="3"/>
  <c r="F169" i="3"/>
  <c r="E169" i="3"/>
  <c r="D169" i="3"/>
  <c r="C169" i="3"/>
  <c r="B169" i="3"/>
  <c r="A169" i="3"/>
  <c r="AA168" i="3"/>
  <c r="Y168" i="3"/>
  <c r="X168" i="3"/>
  <c r="W168" i="3"/>
  <c r="U168" i="3"/>
  <c r="Z168" i="3" s="1"/>
  <c r="S168" i="3"/>
  <c r="Q168" i="3"/>
  <c r="P168" i="3"/>
  <c r="M168" i="3"/>
  <c r="L168" i="3"/>
  <c r="K168" i="3"/>
  <c r="J168" i="3"/>
  <c r="I168" i="3"/>
  <c r="H168" i="3"/>
  <c r="G168" i="3"/>
  <c r="F168" i="3"/>
  <c r="E168" i="3"/>
  <c r="D168" i="3"/>
  <c r="C168" i="3"/>
  <c r="B168" i="3"/>
  <c r="A168" i="3"/>
  <c r="AA167" i="3"/>
  <c r="X167" i="3"/>
  <c r="W167" i="3"/>
  <c r="U167" i="3"/>
  <c r="Z167" i="3" s="1"/>
  <c r="S167" i="3"/>
  <c r="Q167" i="3"/>
  <c r="P167" i="3"/>
  <c r="O167" i="3"/>
  <c r="Y167" i="3" s="1"/>
  <c r="M167" i="3"/>
  <c r="L167" i="3"/>
  <c r="K167" i="3"/>
  <c r="J167" i="3"/>
  <c r="I167" i="3"/>
  <c r="H167" i="3"/>
  <c r="G167" i="3"/>
  <c r="F167" i="3"/>
  <c r="E167" i="3"/>
  <c r="D167" i="3"/>
  <c r="C167" i="3"/>
  <c r="B167" i="3"/>
  <c r="A167" i="3"/>
  <c r="AA166" i="3"/>
  <c r="Y166" i="3"/>
  <c r="X166" i="3"/>
  <c r="W166" i="3"/>
  <c r="U166" i="3"/>
  <c r="Z166" i="3" s="1"/>
  <c r="S166" i="3"/>
  <c r="Q166" i="3"/>
  <c r="P166" i="3"/>
  <c r="M166" i="3"/>
  <c r="L166" i="3"/>
  <c r="K166" i="3"/>
  <c r="J166" i="3"/>
  <c r="I166" i="3"/>
  <c r="H166" i="3"/>
  <c r="G166" i="3"/>
  <c r="F166" i="3"/>
  <c r="E166" i="3"/>
  <c r="D166" i="3"/>
  <c r="C166" i="3"/>
  <c r="B166" i="3"/>
  <c r="A166" i="3"/>
  <c r="AA165" i="3"/>
  <c r="Y165" i="3"/>
  <c r="X165" i="3"/>
  <c r="W165" i="3"/>
  <c r="U165" i="3"/>
  <c r="Z165" i="3" s="1"/>
  <c r="S165" i="3"/>
  <c r="Q165" i="3"/>
  <c r="P165" i="3"/>
  <c r="M165" i="3"/>
  <c r="L165" i="3"/>
  <c r="K165" i="3"/>
  <c r="J165" i="3"/>
  <c r="I165" i="3"/>
  <c r="H165" i="3"/>
  <c r="G165" i="3"/>
  <c r="F165" i="3"/>
  <c r="E165" i="3"/>
  <c r="D165" i="3"/>
  <c r="C165" i="3"/>
  <c r="B165" i="3"/>
  <c r="A165" i="3"/>
  <c r="AA164" i="3"/>
  <c r="Y164" i="3"/>
  <c r="X164" i="3"/>
  <c r="W164" i="3"/>
  <c r="U164" i="3"/>
  <c r="Z164" i="3" s="1"/>
  <c r="S164" i="3"/>
  <c r="Q164" i="3"/>
  <c r="P164" i="3"/>
  <c r="M164" i="3"/>
  <c r="L164" i="3"/>
  <c r="K164" i="3"/>
  <c r="J164" i="3"/>
  <c r="I164" i="3"/>
  <c r="H164" i="3"/>
  <c r="G164" i="3"/>
  <c r="F164" i="3"/>
  <c r="E164" i="3"/>
  <c r="D164" i="3"/>
  <c r="C164" i="3"/>
  <c r="B164" i="3"/>
  <c r="A164" i="3"/>
  <c r="AA163" i="3"/>
  <c r="Y163" i="3"/>
  <c r="X163" i="3"/>
  <c r="W163" i="3"/>
  <c r="U163" i="3"/>
  <c r="Z163" i="3" s="1"/>
  <c r="S163" i="3"/>
  <c r="Q163" i="3"/>
  <c r="P163" i="3"/>
  <c r="M163" i="3"/>
  <c r="L163" i="3"/>
  <c r="K163" i="3"/>
  <c r="J163" i="3"/>
  <c r="I163" i="3"/>
  <c r="H163" i="3"/>
  <c r="G163" i="3"/>
  <c r="F163" i="3"/>
  <c r="E163" i="3"/>
  <c r="D163" i="3"/>
  <c r="C163" i="3"/>
  <c r="B163" i="3"/>
  <c r="A163" i="3"/>
  <c r="AA162" i="3"/>
  <c r="Y162" i="3"/>
  <c r="X162" i="3"/>
  <c r="W162" i="3"/>
  <c r="U162" i="3"/>
  <c r="Z162" i="3" s="1"/>
  <c r="S162" i="3"/>
  <c r="Q162" i="3"/>
  <c r="P162" i="3"/>
  <c r="M162" i="3"/>
  <c r="L162" i="3"/>
  <c r="K162" i="3"/>
  <c r="J162" i="3"/>
  <c r="I162" i="3"/>
  <c r="H162" i="3"/>
  <c r="G162" i="3"/>
  <c r="F162" i="3"/>
  <c r="E162" i="3"/>
  <c r="D162" i="3"/>
  <c r="C162" i="3"/>
  <c r="B162" i="3"/>
  <c r="A162" i="3"/>
  <c r="AA161" i="3"/>
  <c r="Y161" i="3"/>
  <c r="X161" i="3"/>
  <c r="W161" i="3"/>
  <c r="U161" i="3"/>
  <c r="Z161" i="3" s="1"/>
  <c r="S161" i="3"/>
  <c r="Q161" i="3"/>
  <c r="P161" i="3"/>
  <c r="M161" i="3"/>
  <c r="L161" i="3"/>
  <c r="K161" i="3"/>
  <c r="J161" i="3"/>
  <c r="I161" i="3"/>
  <c r="H161" i="3"/>
  <c r="G161" i="3"/>
  <c r="F161" i="3"/>
  <c r="E161" i="3"/>
  <c r="D161" i="3"/>
  <c r="C161" i="3"/>
  <c r="B161" i="3"/>
  <c r="A161" i="3"/>
  <c r="AA160" i="3"/>
  <c r="X160" i="3"/>
  <c r="W160" i="3"/>
  <c r="U160" i="3"/>
  <c r="Z160" i="3" s="1"/>
  <c r="S160" i="3"/>
  <c r="Q160" i="3"/>
  <c r="P160" i="3"/>
  <c r="O160" i="3"/>
  <c r="Y160" i="3" s="1"/>
  <c r="M160" i="3"/>
  <c r="L160" i="3"/>
  <c r="K160" i="3"/>
  <c r="J160" i="3"/>
  <c r="I160" i="3"/>
  <c r="H160" i="3"/>
  <c r="G160" i="3"/>
  <c r="F160" i="3"/>
  <c r="E160" i="3"/>
  <c r="D160" i="3"/>
  <c r="C160" i="3"/>
  <c r="B160" i="3"/>
  <c r="A160" i="3"/>
  <c r="AA159" i="3"/>
  <c r="Y159" i="3"/>
  <c r="X159" i="3"/>
  <c r="W159" i="3"/>
  <c r="U159" i="3"/>
  <c r="Z159" i="3" s="1"/>
  <c r="S159" i="3"/>
  <c r="Q159" i="3"/>
  <c r="P159" i="3"/>
  <c r="M159" i="3"/>
  <c r="L159" i="3"/>
  <c r="K159" i="3"/>
  <c r="J159" i="3"/>
  <c r="I159" i="3"/>
  <c r="H159" i="3"/>
  <c r="G159" i="3"/>
  <c r="F159" i="3"/>
  <c r="E159" i="3"/>
  <c r="D159" i="3"/>
  <c r="C159" i="3"/>
  <c r="B159" i="3"/>
  <c r="A159" i="3"/>
  <c r="AA158" i="3"/>
  <c r="X158" i="3"/>
  <c r="W158" i="3"/>
  <c r="U158" i="3"/>
  <c r="Z158" i="3" s="1"/>
  <c r="S158" i="3"/>
  <c r="Q158" i="3"/>
  <c r="P158" i="3"/>
  <c r="O158" i="3"/>
  <c r="Y158" i="3" s="1"/>
  <c r="M158" i="3"/>
  <c r="L158" i="3"/>
  <c r="K158" i="3"/>
  <c r="J158" i="3"/>
  <c r="I158" i="3"/>
  <c r="H158" i="3"/>
  <c r="G158" i="3"/>
  <c r="F158" i="3"/>
  <c r="E158" i="3"/>
  <c r="D158" i="3"/>
  <c r="C158" i="3"/>
  <c r="B158" i="3"/>
  <c r="A158" i="3"/>
  <c r="AA157" i="3"/>
  <c r="Y157" i="3"/>
  <c r="X157" i="3"/>
  <c r="W157" i="3"/>
  <c r="U157" i="3"/>
  <c r="Z157" i="3" s="1"/>
  <c r="S157" i="3"/>
  <c r="Q157" i="3"/>
  <c r="P157" i="3"/>
  <c r="M157" i="3"/>
  <c r="L157" i="3"/>
  <c r="K157" i="3"/>
  <c r="J157" i="3"/>
  <c r="I157" i="3"/>
  <c r="H157" i="3"/>
  <c r="G157" i="3"/>
  <c r="F157" i="3"/>
  <c r="E157" i="3"/>
  <c r="D157" i="3"/>
  <c r="C157" i="3"/>
  <c r="B157" i="3"/>
  <c r="A157" i="3"/>
  <c r="AA156" i="3"/>
  <c r="Y156" i="3"/>
  <c r="X156" i="3"/>
  <c r="W156" i="3"/>
  <c r="U156" i="3"/>
  <c r="Z156" i="3" s="1"/>
  <c r="S156" i="3"/>
  <c r="Q156" i="3"/>
  <c r="P156" i="3"/>
  <c r="M156" i="3"/>
  <c r="L156" i="3"/>
  <c r="K156" i="3"/>
  <c r="J156" i="3"/>
  <c r="I156" i="3"/>
  <c r="H156" i="3"/>
  <c r="G156" i="3"/>
  <c r="F156" i="3"/>
  <c r="E156" i="3"/>
  <c r="D156" i="3"/>
  <c r="C156" i="3"/>
  <c r="B156" i="3"/>
  <c r="A156" i="3"/>
  <c r="AA155" i="3"/>
  <c r="Y155" i="3"/>
  <c r="X155" i="3"/>
  <c r="W155" i="3"/>
  <c r="U155" i="3"/>
  <c r="Z155" i="3" s="1"/>
  <c r="S155" i="3"/>
  <c r="Q155" i="3"/>
  <c r="P155" i="3"/>
  <c r="M155" i="3"/>
  <c r="L155" i="3"/>
  <c r="K155" i="3"/>
  <c r="J155" i="3"/>
  <c r="I155" i="3"/>
  <c r="H155" i="3"/>
  <c r="G155" i="3"/>
  <c r="F155" i="3"/>
  <c r="E155" i="3"/>
  <c r="D155" i="3"/>
  <c r="C155" i="3"/>
  <c r="B155" i="3"/>
  <c r="A155" i="3"/>
  <c r="AA154" i="3"/>
  <c r="Y154" i="3"/>
  <c r="X154" i="3"/>
  <c r="W154" i="3"/>
  <c r="U154" i="3"/>
  <c r="Z154" i="3" s="1"/>
  <c r="S154" i="3"/>
  <c r="Q154" i="3"/>
  <c r="P154" i="3"/>
  <c r="M154" i="3"/>
  <c r="L154" i="3"/>
  <c r="K154" i="3"/>
  <c r="J154" i="3"/>
  <c r="I154" i="3"/>
  <c r="H154" i="3"/>
  <c r="G154" i="3"/>
  <c r="F154" i="3"/>
  <c r="E154" i="3"/>
  <c r="D154" i="3"/>
  <c r="C154" i="3"/>
  <c r="B154" i="3"/>
  <c r="A154" i="3"/>
  <c r="AA153" i="3"/>
  <c r="X153" i="3"/>
  <c r="W153" i="3"/>
  <c r="U153" i="3"/>
  <c r="Z153" i="3" s="1"/>
  <c r="S153" i="3"/>
  <c r="Q153" i="3"/>
  <c r="P153" i="3"/>
  <c r="O153" i="3"/>
  <c r="Y153" i="3" s="1"/>
  <c r="M153" i="3"/>
  <c r="L153" i="3"/>
  <c r="K153" i="3"/>
  <c r="J153" i="3"/>
  <c r="I153" i="3"/>
  <c r="H153" i="3"/>
  <c r="G153" i="3"/>
  <c r="F153" i="3"/>
  <c r="E153" i="3"/>
  <c r="D153" i="3"/>
  <c r="C153" i="3"/>
  <c r="B153" i="3"/>
  <c r="A153" i="3"/>
  <c r="AA152" i="3"/>
  <c r="X152" i="3"/>
  <c r="W152" i="3"/>
  <c r="U152" i="3"/>
  <c r="Z152" i="3" s="1"/>
  <c r="S152" i="3"/>
  <c r="Q152" i="3"/>
  <c r="P152" i="3"/>
  <c r="O152" i="3"/>
  <c r="Y152" i="3" s="1"/>
  <c r="M152" i="3"/>
  <c r="L152" i="3"/>
  <c r="K152" i="3"/>
  <c r="J152" i="3"/>
  <c r="I152" i="3"/>
  <c r="H152" i="3"/>
  <c r="G152" i="3"/>
  <c r="F152" i="3"/>
  <c r="E152" i="3"/>
  <c r="D152" i="3"/>
  <c r="C152" i="3"/>
  <c r="B152" i="3"/>
  <c r="A152" i="3"/>
  <c r="AA151" i="3"/>
  <c r="Y151" i="3"/>
  <c r="X151" i="3"/>
  <c r="W151" i="3"/>
  <c r="U151" i="3"/>
  <c r="Z151" i="3" s="1"/>
  <c r="S151" i="3"/>
  <c r="Q151" i="3"/>
  <c r="P151" i="3"/>
  <c r="M151" i="3"/>
  <c r="L151" i="3"/>
  <c r="K151" i="3"/>
  <c r="J151" i="3"/>
  <c r="I151" i="3"/>
  <c r="H151" i="3"/>
  <c r="G151" i="3"/>
  <c r="F151" i="3"/>
  <c r="E151" i="3"/>
  <c r="D151" i="3"/>
  <c r="C151" i="3"/>
  <c r="B151" i="3"/>
  <c r="A151" i="3"/>
  <c r="AA150" i="3"/>
  <c r="Y150" i="3"/>
  <c r="X150" i="3"/>
  <c r="W150" i="3"/>
  <c r="U150" i="3"/>
  <c r="Z150" i="3" s="1"/>
  <c r="S150" i="3"/>
  <c r="Q150" i="3"/>
  <c r="P150" i="3"/>
  <c r="M150" i="3"/>
  <c r="L150" i="3"/>
  <c r="K150" i="3"/>
  <c r="J150" i="3"/>
  <c r="I150" i="3"/>
  <c r="H150" i="3"/>
  <c r="G150" i="3"/>
  <c r="F150" i="3"/>
  <c r="E150" i="3"/>
  <c r="D150" i="3"/>
  <c r="C150" i="3"/>
  <c r="B150" i="3"/>
  <c r="A150" i="3"/>
  <c r="AA149" i="3"/>
  <c r="Y149" i="3"/>
  <c r="X149" i="3"/>
  <c r="W149" i="3"/>
  <c r="U149" i="3"/>
  <c r="Z149" i="3" s="1"/>
  <c r="S149" i="3"/>
  <c r="Q149" i="3"/>
  <c r="P149" i="3"/>
  <c r="M149" i="3"/>
  <c r="L149" i="3"/>
  <c r="K149" i="3"/>
  <c r="J149" i="3"/>
  <c r="I149" i="3"/>
  <c r="H149" i="3"/>
  <c r="G149" i="3"/>
  <c r="F149" i="3"/>
  <c r="E149" i="3"/>
  <c r="D149" i="3"/>
  <c r="C149" i="3"/>
  <c r="B149" i="3"/>
  <c r="A149" i="3"/>
  <c r="AA148" i="3"/>
  <c r="Y148" i="3"/>
  <c r="X148" i="3"/>
  <c r="W148" i="3"/>
  <c r="U148" i="3"/>
  <c r="Z148" i="3" s="1"/>
  <c r="S148" i="3"/>
  <c r="Q148" i="3"/>
  <c r="P148" i="3"/>
  <c r="M148" i="3"/>
  <c r="L148" i="3"/>
  <c r="K148" i="3"/>
  <c r="J148" i="3"/>
  <c r="I148" i="3"/>
  <c r="H148" i="3"/>
  <c r="G148" i="3"/>
  <c r="F148" i="3"/>
  <c r="E148" i="3"/>
  <c r="D148" i="3"/>
  <c r="C148" i="3"/>
  <c r="B148" i="3"/>
  <c r="A148" i="3"/>
  <c r="AA147" i="3"/>
  <c r="Y147" i="3"/>
  <c r="X147" i="3"/>
  <c r="W147" i="3"/>
  <c r="U147" i="3"/>
  <c r="Z147" i="3" s="1"/>
  <c r="S147" i="3"/>
  <c r="Q147" i="3"/>
  <c r="P147" i="3"/>
  <c r="M147" i="3"/>
  <c r="L147" i="3"/>
  <c r="K147" i="3"/>
  <c r="J147" i="3"/>
  <c r="I147" i="3"/>
  <c r="H147" i="3"/>
  <c r="G147" i="3"/>
  <c r="F147" i="3"/>
  <c r="E147" i="3"/>
  <c r="D147" i="3"/>
  <c r="C147" i="3"/>
  <c r="B147" i="3"/>
  <c r="A147" i="3"/>
  <c r="AA146" i="3"/>
  <c r="X146" i="3"/>
  <c r="W146" i="3"/>
  <c r="U146" i="3"/>
  <c r="Z146" i="3" s="1"/>
  <c r="S146" i="3"/>
  <c r="Q146" i="3"/>
  <c r="P146" i="3"/>
  <c r="O146" i="3"/>
  <c r="Y146" i="3" s="1"/>
  <c r="M146" i="3"/>
  <c r="L146" i="3"/>
  <c r="K146" i="3"/>
  <c r="J146" i="3"/>
  <c r="I146" i="3"/>
  <c r="H146" i="3"/>
  <c r="G146" i="3"/>
  <c r="F146" i="3"/>
  <c r="E146" i="3"/>
  <c r="D146" i="3"/>
  <c r="C146" i="3"/>
  <c r="B146" i="3"/>
  <c r="A146" i="3"/>
  <c r="AA145" i="3"/>
  <c r="Y145" i="3"/>
  <c r="X145" i="3"/>
  <c r="W145" i="3"/>
  <c r="U145" i="3"/>
  <c r="Z145" i="3" s="1"/>
  <c r="S145" i="3"/>
  <c r="Q145" i="3"/>
  <c r="P145" i="3"/>
  <c r="M145" i="3"/>
  <c r="L145" i="3"/>
  <c r="K145" i="3"/>
  <c r="J145" i="3"/>
  <c r="I145" i="3"/>
  <c r="H145" i="3"/>
  <c r="G145" i="3"/>
  <c r="F145" i="3"/>
  <c r="E145" i="3"/>
  <c r="D145" i="3"/>
  <c r="C145" i="3"/>
  <c r="B145" i="3"/>
  <c r="A145" i="3"/>
  <c r="AA144" i="3"/>
  <c r="Y144" i="3"/>
  <c r="X144" i="3"/>
  <c r="W144" i="3"/>
  <c r="U144" i="3"/>
  <c r="Z144" i="3" s="1"/>
  <c r="S144" i="3"/>
  <c r="Q144" i="3"/>
  <c r="P144" i="3"/>
  <c r="M144" i="3"/>
  <c r="L144" i="3"/>
  <c r="K144" i="3"/>
  <c r="J144" i="3"/>
  <c r="I144" i="3"/>
  <c r="H144" i="3"/>
  <c r="G144" i="3"/>
  <c r="F144" i="3"/>
  <c r="E144" i="3"/>
  <c r="D144" i="3"/>
  <c r="C144" i="3"/>
  <c r="B144" i="3"/>
  <c r="A144" i="3"/>
  <c r="AA143" i="3"/>
  <c r="X143" i="3"/>
  <c r="W143" i="3"/>
  <c r="U143" i="3"/>
  <c r="Z143" i="3" s="1"/>
  <c r="S143" i="3"/>
  <c r="Q143" i="3"/>
  <c r="P143" i="3"/>
  <c r="O143" i="3"/>
  <c r="Y143" i="3" s="1"/>
  <c r="M143" i="3"/>
  <c r="L143" i="3"/>
  <c r="K143" i="3"/>
  <c r="J143" i="3"/>
  <c r="I143" i="3"/>
  <c r="H143" i="3"/>
  <c r="G143" i="3"/>
  <c r="F143" i="3"/>
  <c r="E143" i="3"/>
  <c r="D143" i="3"/>
  <c r="C143" i="3"/>
  <c r="B143" i="3"/>
  <c r="A143" i="3"/>
  <c r="AA142" i="3"/>
  <c r="Y142" i="3"/>
  <c r="X142" i="3"/>
  <c r="W142" i="3"/>
  <c r="U142" i="3"/>
  <c r="Z142" i="3" s="1"/>
  <c r="S142" i="3"/>
  <c r="Q142" i="3"/>
  <c r="P142" i="3"/>
  <c r="M142" i="3"/>
  <c r="L142" i="3"/>
  <c r="K142" i="3"/>
  <c r="J142" i="3"/>
  <c r="I142" i="3"/>
  <c r="H142" i="3"/>
  <c r="G142" i="3"/>
  <c r="F142" i="3"/>
  <c r="E142" i="3"/>
  <c r="D142" i="3"/>
  <c r="C142" i="3"/>
  <c r="B142" i="3"/>
  <c r="A142" i="3"/>
  <c r="AA141" i="3"/>
  <c r="Y141" i="3"/>
  <c r="X141" i="3"/>
  <c r="W141" i="3"/>
  <c r="U141" i="3"/>
  <c r="Z141" i="3" s="1"/>
  <c r="S141" i="3"/>
  <c r="Q141" i="3"/>
  <c r="P141" i="3"/>
  <c r="M141" i="3"/>
  <c r="L141" i="3"/>
  <c r="K141" i="3"/>
  <c r="J141" i="3"/>
  <c r="I141" i="3"/>
  <c r="H141" i="3"/>
  <c r="G141" i="3"/>
  <c r="F141" i="3"/>
  <c r="E141" i="3"/>
  <c r="D141" i="3"/>
  <c r="C141" i="3"/>
  <c r="B141" i="3"/>
  <c r="A141" i="3"/>
  <c r="AA140" i="3"/>
  <c r="Y140" i="3"/>
  <c r="X140" i="3"/>
  <c r="W140" i="3"/>
  <c r="U140" i="3"/>
  <c r="Z140" i="3" s="1"/>
  <c r="S140" i="3"/>
  <c r="Q140" i="3"/>
  <c r="P140" i="3"/>
  <c r="M140" i="3"/>
  <c r="L140" i="3"/>
  <c r="K140" i="3"/>
  <c r="J140" i="3"/>
  <c r="I140" i="3"/>
  <c r="H140" i="3"/>
  <c r="G140" i="3"/>
  <c r="F140" i="3"/>
  <c r="E140" i="3"/>
  <c r="D140" i="3"/>
  <c r="C140" i="3"/>
  <c r="B140" i="3"/>
  <c r="A140" i="3"/>
  <c r="AA139" i="3"/>
  <c r="Y139" i="3"/>
  <c r="X139" i="3"/>
  <c r="W139" i="3"/>
  <c r="U139" i="3"/>
  <c r="Z139" i="3" s="1"/>
  <c r="S139" i="3"/>
  <c r="Q139" i="3"/>
  <c r="P139" i="3"/>
  <c r="M139" i="3"/>
  <c r="L139" i="3"/>
  <c r="K139" i="3"/>
  <c r="J139" i="3"/>
  <c r="I139" i="3"/>
  <c r="H139" i="3"/>
  <c r="G139" i="3"/>
  <c r="F139" i="3"/>
  <c r="E139" i="3"/>
  <c r="D139" i="3"/>
  <c r="C139" i="3"/>
  <c r="B139" i="3"/>
  <c r="A139" i="3"/>
  <c r="AA138" i="3"/>
  <c r="X138" i="3"/>
  <c r="W138" i="3"/>
  <c r="U138" i="3"/>
  <c r="Z138" i="3" s="1"/>
  <c r="S138" i="3"/>
  <c r="Q138" i="3"/>
  <c r="P138" i="3"/>
  <c r="O138" i="3"/>
  <c r="Y138" i="3" s="1"/>
  <c r="M138" i="3"/>
  <c r="L138" i="3"/>
  <c r="K138" i="3"/>
  <c r="J138" i="3"/>
  <c r="I138" i="3"/>
  <c r="H138" i="3"/>
  <c r="G138" i="3"/>
  <c r="F138" i="3"/>
  <c r="E138" i="3"/>
  <c r="D138" i="3"/>
  <c r="C138" i="3"/>
  <c r="B138" i="3"/>
  <c r="A138" i="3"/>
  <c r="AA137" i="3"/>
  <c r="Y137" i="3"/>
  <c r="X137" i="3"/>
  <c r="W137" i="3"/>
  <c r="U137" i="3"/>
  <c r="Z137" i="3" s="1"/>
  <c r="S137" i="3"/>
  <c r="Q137" i="3"/>
  <c r="P137" i="3"/>
  <c r="M137" i="3"/>
  <c r="L137" i="3"/>
  <c r="K137" i="3"/>
  <c r="J137" i="3"/>
  <c r="I137" i="3"/>
  <c r="H137" i="3"/>
  <c r="G137" i="3"/>
  <c r="F137" i="3"/>
  <c r="E137" i="3"/>
  <c r="D137" i="3"/>
  <c r="C137" i="3"/>
  <c r="B137" i="3"/>
  <c r="A137" i="3"/>
  <c r="AA136" i="3"/>
  <c r="Y136" i="3"/>
  <c r="X136" i="3"/>
  <c r="W136" i="3"/>
  <c r="U136" i="3"/>
  <c r="Z136" i="3" s="1"/>
  <c r="S136" i="3"/>
  <c r="Q136" i="3"/>
  <c r="P136" i="3"/>
  <c r="M136" i="3"/>
  <c r="L136" i="3"/>
  <c r="K136" i="3"/>
  <c r="J136" i="3"/>
  <c r="I136" i="3"/>
  <c r="H136" i="3"/>
  <c r="G136" i="3"/>
  <c r="F136" i="3"/>
  <c r="E136" i="3"/>
  <c r="D136" i="3"/>
  <c r="C136" i="3"/>
  <c r="B136" i="3"/>
  <c r="A136" i="3"/>
  <c r="AA135" i="3"/>
  <c r="Y135" i="3"/>
  <c r="X135" i="3"/>
  <c r="W135" i="3"/>
  <c r="U135" i="3"/>
  <c r="Z135" i="3" s="1"/>
  <c r="S135" i="3"/>
  <c r="Q135" i="3"/>
  <c r="P135" i="3"/>
  <c r="M135" i="3"/>
  <c r="L135" i="3"/>
  <c r="K135" i="3"/>
  <c r="J135" i="3"/>
  <c r="I135" i="3"/>
  <c r="H135" i="3"/>
  <c r="G135" i="3"/>
  <c r="F135" i="3"/>
  <c r="E135" i="3"/>
  <c r="D135" i="3"/>
  <c r="C135" i="3"/>
  <c r="B135" i="3"/>
  <c r="A135" i="3"/>
  <c r="AA134" i="3"/>
  <c r="Y134" i="3"/>
  <c r="X134" i="3"/>
  <c r="W134" i="3"/>
  <c r="U134" i="3"/>
  <c r="Z134" i="3" s="1"/>
  <c r="S134" i="3"/>
  <c r="Q134" i="3"/>
  <c r="P134" i="3"/>
  <c r="M134" i="3"/>
  <c r="L134" i="3"/>
  <c r="K134" i="3"/>
  <c r="J134" i="3"/>
  <c r="I134" i="3"/>
  <c r="H134" i="3"/>
  <c r="G134" i="3"/>
  <c r="F134" i="3"/>
  <c r="E134" i="3"/>
  <c r="D134" i="3"/>
  <c r="C134" i="3"/>
  <c r="B134" i="3"/>
  <c r="A134" i="3"/>
  <c r="AA133" i="3"/>
  <c r="Y133" i="3"/>
  <c r="X133" i="3"/>
  <c r="W133" i="3"/>
  <c r="U133" i="3"/>
  <c r="Z133" i="3" s="1"/>
  <c r="S133" i="3"/>
  <c r="Q133" i="3"/>
  <c r="P133" i="3"/>
  <c r="M133" i="3"/>
  <c r="L133" i="3"/>
  <c r="K133" i="3"/>
  <c r="J133" i="3"/>
  <c r="I133" i="3"/>
  <c r="H133" i="3"/>
  <c r="G133" i="3"/>
  <c r="F133" i="3"/>
  <c r="E133" i="3"/>
  <c r="D133" i="3"/>
  <c r="C133" i="3"/>
  <c r="B133" i="3"/>
  <c r="A133" i="3"/>
  <c r="AA132" i="3"/>
  <c r="X132" i="3"/>
  <c r="W132" i="3"/>
  <c r="U132" i="3"/>
  <c r="Z132" i="3" s="1"/>
  <c r="S132" i="3"/>
  <c r="Q132" i="3"/>
  <c r="P132" i="3"/>
  <c r="O132" i="3"/>
  <c r="Y132" i="3" s="1"/>
  <c r="M132" i="3"/>
  <c r="L132" i="3"/>
  <c r="K132" i="3"/>
  <c r="J132" i="3"/>
  <c r="I132" i="3"/>
  <c r="H132" i="3"/>
  <c r="G132" i="3"/>
  <c r="F132" i="3"/>
  <c r="E132" i="3"/>
  <c r="D132" i="3"/>
  <c r="C132" i="3"/>
  <c r="B132" i="3"/>
  <c r="A132" i="3"/>
  <c r="AA131" i="3"/>
  <c r="Y131" i="3"/>
  <c r="X131" i="3"/>
  <c r="W131" i="3"/>
  <c r="U131" i="3"/>
  <c r="Z131" i="3" s="1"/>
  <c r="S131" i="3"/>
  <c r="Q131" i="3"/>
  <c r="P131" i="3"/>
  <c r="M131" i="3"/>
  <c r="L131" i="3"/>
  <c r="K131" i="3"/>
  <c r="J131" i="3"/>
  <c r="I131" i="3"/>
  <c r="H131" i="3"/>
  <c r="G131" i="3"/>
  <c r="F131" i="3"/>
  <c r="E131" i="3"/>
  <c r="D131" i="3"/>
  <c r="C131" i="3"/>
  <c r="B131" i="3"/>
  <c r="A131" i="3"/>
  <c r="AA130" i="3"/>
  <c r="Y130" i="3"/>
  <c r="X130" i="3"/>
  <c r="W130" i="3"/>
  <c r="U130" i="3"/>
  <c r="Z130" i="3" s="1"/>
  <c r="S130" i="3"/>
  <c r="Q130" i="3"/>
  <c r="P130" i="3"/>
  <c r="M130" i="3"/>
  <c r="L130" i="3"/>
  <c r="K130" i="3"/>
  <c r="J130" i="3"/>
  <c r="I130" i="3"/>
  <c r="H130" i="3"/>
  <c r="G130" i="3"/>
  <c r="F130" i="3"/>
  <c r="E130" i="3"/>
  <c r="D130" i="3"/>
  <c r="C130" i="3"/>
  <c r="B130" i="3"/>
  <c r="A130" i="3"/>
  <c r="AA129" i="3"/>
  <c r="Y129" i="3"/>
  <c r="X129" i="3"/>
  <c r="W129" i="3"/>
  <c r="U129" i="3"/>
  <c r="Z129" i="3" s="1"/>
  <c r="S129" i="3"/>
  <c r="Q129" i="3"/>
  <c r="P129" i="3"/>
  <c r="M129" i="3"/>
  <c r="L129" i="3"/>
  <c r="K129" i="3"/>
  <c r="J129" i="3"/>
  <c r="I129" i="3"/>
  <c r="H129" i="3"/>
  <c r="G129" i="3"/>
  <c r="F129" i="3"/>
  <c r="E129" i="3"/>
  <c r="D129" i="3"/>
  <c r="C129" i="3"/>
  <c r="B129" i="3"/>
  <c r="A129" i="3"/>
  <c r="AA128" i="3"/>
  <c r="Y128" i="3"/>
  <c r="X128" i="3"/>
  <c r="W128" i="3"/>
  <c r="U128" i="3"/>
  <c r="Z128" i="3" s="1"/>
  <c r="S128" i="3"/>
  <c r="Q128" i="3"/>
  <c r="P128" i="3"/>
  <c r="M128" i="3"/>
  <c r="L128" i="3"/>
  <c r="K128" i="3"/>
  <c r="J128" i="3"/>
  <c r="I128" i="3"/>
  <c r="H128" i="3"/>
  <c r="G128" i="3"/>
  <c r="F128" i="3"/>
  <c r="E128" i="3"/>
  <c r="D128" i="3"/>
  <c r="C128" i="3"/>
  <c r="B128" i="3"/>
  <c r="A128" i="3"/>
  <c r="AA127" i="3"/>
  <c r="Y127" i="3"/>
  <c r="X127" i="3"/>
  <c r="W127" i="3"/>
  <c r="U127" i="3"/>
  <c r="Z127" i="3" s="1"/>
  <c r="S127" i="3"/>
  <c r="Q127" i="3"/>
  <c r="P127" i="3"/>
  <c r="M127" i="3"/>
  <c r="L127" i="3"/>
  <c r="K127" i="3"/>
  <c r="J127" i="3"/>
  <c r="I127" i="3"/>
  <c r="H127" i="3"/>
  <c r="G127" i="3"/>
  <c r="F127" i="3"/>
  <c r="E127" i="3"/>
  <c r="D127" i="3"/>
  <c r="C127" i="3"/>
  <c r="B127" i="3"/>
  <c r="A127" i="3"/>
  <c r="AA126" i="3"/>
  <c r="Y126" i="3"/>
  <c r="X126" i="3"/>
  <c r="W126" i="3"/>
  <c r="U126" i="3"/>
  <c r="Z126" i="3" s="1"/>
  <c r="S126" i="3"/>
  <c r="Q126" i="3"/>
  <c r="P126" i="3"/>
  <c r="M126" i="3"/>
  <c r="L126" i="3"/>
  <c r="K126" i="3"/>
  <c r="J126" i="3"/>
  <c r="I126" i="3"/>
  <c r="H126" i="3"/>
  <c r="G126" i="3"/>
  <c r="F126" i="3"/>
  <c r="E126" i="3"/>
  <c r="D126" i="3"/>
  <c r="C126" i="3"/>
  <c r="B126" i="3"/>
  <c r="A126" i="3"/>
  <c r="AA125" i="3"/>
  <c r="Y125" i="3"/>
  <c r="X125" i="3"/>
  <c r="W125" i="3"/>
  <c r="U125" i="3"/>
  <c r="Z125" i="3" s="1"/>
  <c r="S125" i="3"/>
  <c r="Q125" i="3"/>
  <c r="P125" i="3"/>
  <c r="M125" i="3"/>
  <c r="L125" i="3"/>
  <c r="K125" i="3"/>
  <c r="J125" i="3"/>
  <c r="I125" i="3"/>
  <c r="H125" i="3"/>
  <c r="G125" i="3"/>
  <c r="F125" i="3"/>
  <c r="E125" i="3"/>
  <c r="D125" i="3"/>
  <c r="C125" i="3"/>
  <c r="B125" i="3"/>
  <c r="A125" i="3"/>
  <c r="AA124" i="3"/>
  <c r="Y124" i="3"/>
  <c r="X124" i="3"/>
  <c r="W124" i="3"/>
  <c r="U124" i="3"/>
  <c r="Z124" i="3" s="1"/>
  <c r="S124" i="3"/>
  <c r="Q124" i="3"/>
  <c r="P124" i="3"/>
  <c r="M124" i="3"/>
  <c r="L124" i="3"/>
  <c r="K124" i="3"/>
  <c r="J124" i="3"/>
  <c r="I124" i="3"/>
  <c r="H124" i="3"/>
  <c r="G124" i="3"/>
  <c r="F124" i="3"/>
  <c r="E124" i="3"/>
  <c r="D124" i="3"/>
  <c r="C124" i="3"/>
  <c r="B124" i="3"/>
  <c r="A124" i="3"/>
  <c r="AA123" i="3"/>
  <c r="Y123" i="3"/>
  <c r="X123" i="3"/>
  <c r="W123" i="3"/>
  <c r="U123" i="3"/>
  <c r="Z123" i="3" s="1"/>
  <c r="S123" i="3"/>
  <c r="Q123" i="3"/>
  <c r="P123" i="3"/>
  <c r="M123" i="3"/>
  <c r="L123" i="3"/>
  <c r="K123" i="3"/>
  <c r="J123" i="3"/>
  <c r="I123" i="3"/>
  <c r="H123" i="3"/>
  <c r="G123" i="3"/>
  <c r="F123" i="3"/>
  <c r="E123" i="3"/>
  <c r="D123" i="3"/>
  <c r="C123" i="3"/>
  <c r="B123" i="3"/>
  <c r="A123" i="3"/>
  <c r="AA122" i="3"/>
  <c r="Y122" i="3"/>
  <c r="X122" i="3"/>
  <c r="W122" i="3"/>
  <c r="U122" i="3"/>
  <c r="Z122" i="3" s="1"/>
  <c r="S122" i="3"/>
  <c r="Q122" i="3"/>
  <c r="P122" i="3"/>
  <c r="M122" i="3"/>
  <c r="L122" i="3"/>
  <c r="K122" i="3"/>
  <c r="J122" i="3"/>
  <c r="I122" i="3"/>
  <c r="H122" i="3"/>
  <c r="G122" i="3"/>
  <c r="F122" i="3"/>
  <c r="E122" i="3"/>
  <c r="D122" i="3"/>
  <c r="C122" i="3"/>
  <c r="B122" i="3"/>
  <c r="A122" i="3"/>
  <c r="AA121" i="3"/>
  <c r="Y121" i="3"/>
  <c r="X121" i="3"/>
  <c r="W121" i="3"/>
  <c r="U121" i="3"/>
  <c r="Z121" i="3" s="1"/>
  <c r="S121" i="3"/>
  <c r="Q121" i="3"/>
  <c r="P121" i="3"/>
  <c r="M121" i="3"/>
  <c r="L121" i="3"/>
  <c r="K121" i="3"/>
  <c r="J121" i="3"/>
  <c r="I121" i="3"/>
  <c r="H121" i="3"/>
  <c r="G121" i="3"/>
  <c r="F121" i="3"/>
  <c r="E121" i="3"/>
  <c r="D121" i="3"/>
  <c r="C121" i="3"/>
  <c r="B121" i="3"/>
  <c r="A121" i="3"/>
  <c r="AA120" i="3"/>
  <c r="Y120" i="3"/>
  <c r="X120" i="3"/>
  <c r="W120" i="3"/>
  <c r="U120" i="3"/>
  <c r="Z120" i="3" s="1"/>
  <c r="S120" i="3"/>
  <c r="Q120" i="3"/>
  <c r="P120" i="3"/>
  <c r="M120" i="3"/>
  <c r="L120" i="3"/>
  <c r="K120" i="3"/>
  <c r="J120" i="3"/>
  <c r="I120" i="3"/>
  <c r="H120" i="3"/>
  <c r="G120" i="3"/>
  <c r="F120" i="3"/>
  <c r="E120" i="3"/>
  <c r="D120" i="3"/>
  <c r="C120" i="3"/>
  <c r="B120" i="3"/>
  <c r="A120" i="3"/>
  <c r="AA119" i="3"/>
  <c r="X119" i="3"/>
  <c r="W119" i="3"/>
  <c r="U119" i="3"/>
  <c r="Z119" i="3" s="1"/>
  <c r="S119" i="3"/>
  <c r="Q119" i="3"/>
  <c r="P119" i="3"/>
  <c r="O119" i="3"/>
  <c r="Y119" i="3" s="1"/>
  <c r="M119" i="3"/>
  <c r="L119" i="3"/>
  <c r="K119" i="3"/>
  <c r="J119" i="3"/>
  <c r="I119" i="3"/>
  <c r="H119" i="3"/>
  <c r="G119" i="3"/>
  <c r="F119" i="3"/>
  <c r="E119" i="3"/>
  <c r="D119" i="3"/>
  <c r="C119" i="3"/>
  <c r="B119" i="3"/>
  <c r="A119" i="3"/>
  <c r="AA118" i="3"/>
  <c r="Y118" i="3"/>
  <c r="X118" i="3"/>
  <c r="W118" i="3"/>
  <c r="U118" i="3"/>
  <c r="Z118" i="3" s="1"/>
  <c r="S118" i="3"/>
  <c r="Q118" i="3"/>
  <c r="P118" i="3"/>
  <c r="M118" i="3"/>
  <c r="L118" i="3"/>
  <c r="K118" i="3"/>
  <c r="J118" i="3"/>
  <c r="I118" i="3"/>
  <c r="H118" i="3"/>
  <c r="G118" i="3"/>
  <c r="F118" i="3"/>
  <c r="E118" i="3"/>
  <c r="D118" i="3"/>
  <c r="C118" i="3"/>
  <c r="B118" i="3"/>
  <c r="A118" i="3"/>
  <c r="AA117" i="3"/>
  <c r="Y117" i="3"/>
  <c r="X117" i="3"/>
  <c r="W117" i="3"/>
  <c r="U117" i="3"/>
  <c r="Z117" i="3" s="1"/>
  <c r="S117" i="3"/>
  <c r="Q117" i="3"/>
  <c r="P117" i="3"/>
  <c r="M117" i="3"/>
  <c r="L117" i="3"/>
  <c r="K117" i="3"/>
  <c r="J117" i="3"/>
  <c r="I117" i="3"/>
  <c r="H117" i="3"/>
  <c r="G117" i="3"/>
  <c r="F117" i="3"/>
  <c r="E117" i="3"/>
  <c r="D117" i="3"/>
  <c r="C117" i="3"/>
  <c r="B117" i="3"/>
  <c r="A117" i="3"/>
  <c r="AA116" i="3"/>
  <c r="Y116" i="3"/>
  <c r="X116" i="3"/>
  <c r="W116" i="3"/>
  <c r="U116" i="3"/>
  <c r="Z116" i="3" s="1"/>
  <c r="S116" i="3"/>
  <c r="Q116" i="3"/>
  <c r="P116" i="3"/>
  <c r="M116" i="3"/>
  <c r="L116" i="3"/>
  <c r="K116" i="3"/>
  <c r="J116" i="3"/>
  <c r="I116" i="3"/>
  <c r="H116" i="3"/>
  <c r="G116" i="3"/>
  <c r="F116" i="3"/>
  <c r="E116" i="3"/>
  <c r="D116" i="3"/>
  <c r="C116" i="3"/>
  <c r="B116" i="3"/>
  <c r="A116" i="3"/>
  <c r="AA115" i="3"/>
  <c r="Y115" i="3"/>
  <c r="X115" i="3"/>
  <c r="W115" i="3"/>
  <c r="U115" i="3"/>
  <c r="Z115" i="3" s="1"/>
  <c r="S115" i="3"/>
  <c r="Q115" i="3"/>
  <c r="P115" i="3"/>
  <c r="M115" i="3"/>
  <c r="L115" i="3"/>
  <c r="K115" i="3"/>
  <c r="J115" i="3"/>
  <c r="I115" i="3"/>
  <c r="H115" i="3"/>
  <c r="G115" i="3"/>
  <c r="F115" i="3"/>
  <c r="E115" i="3"/>
  <c r="D115" i="3"/>
  <c r="C115" i="3"/>
  <c r="B115" i="3"/>
  <c r="A115" i="3"/>
  <c r="AA114" i="3"/>
  <c r="Y114" i="3"/>
  <c r="X114" i="3"/>
  <c r="W114" i="3"/>
  <c r="U114" i="3"/>
  <c r="Z114" i="3" s="1"/>
  <c r="S114" i="3"/>
  <c r="Q114" i="3"/>
  <c r="P114" i="3"/>
  <c r="M114" i="3"/>
  <c r="L114" i="3"/>
  <c r="K114" i="3"/>
  <c r="J114" i="3"/>
  <c r="I114" i="3"/>
  <c r="H114" i="3"/>
  <c r="G114" i="3"/>
  <c r="F114" i="3"/>
  <c r="E114" i="3"/>
  <c r="D114" i="3"/>
  <c r="C114" i="3"/>
  <c r="B114" i="3"/>
  <c r="A114" i="3"/>
  <c r="AA113" i="3"/>
  <c r="Y113" i="3"/>
  <c r="X113" i="3"/>
  <c r="W113" i="3"/>
  <c r="U113" i="3"/>
  <c r="Z113" i="3" s="1"/>
  <c r="S113" i="3"/>
  <c r="Q113" i="3"/>
  <c r="P113" i="3"/>
  <c r="M113" i="3"/>
  <c r="L113" i="3"/>
  <c r="K113" i="3"/>
  <c r="J113" i="3"/>
  <c r="I113" i="3"/>
  <c r="H113" i="3"/>
  <c r="G113" i="3"/>
  <c r="F113" i="3"/>
  <c r="E113" i="3"/>
  <c r="D113" i="3"/>
  <c r="C113" i="3"/>
  <c r="B113" i="3"/>
  <c r="A113" i="3"/>
  <c r="AA112" i="3"/>
  <c r="Y112" i="3"/>
  <c r="X112" i="3"/>
  <c r="W112" i="3"/>
  <c r="U112" i="3"/>
  <c r="Z112" i="3" s="1"/>
  <c r="S112" i="3"/>
  <c r="Q112" i="3"/>
  <c r="P112" i="3"/>
  <c r="M112" i="3"/>
  <c r="L112" i="3"/>
  <c r="K112" i="3"/>
  <c r="J112" i="3"/>
  <c r="I112" i="3"/>
  <c r="H112" i="3"/>
  <c r="G112" i="3"/>
  <c r="F112" i="3"/>
  <c r="E112" i="3"/>
  <c r="D112" i="3"/>
  <c r="C112" i="3"/>
  <c r="B112" i="3"/>
  <c r="A112" i="3"/>
  <c r="AA111" i="3"/>
  <c r="X111" i="3"/>
  <c r="W111" i="3"/>
  <c r="U111" i="3"/>
  <c r="Z111" i="3" s="1"/>
  <c r="S111" i="3"/>
  <c r="Q111" i="3"/>
  <c r="P111" i="3"/>
  <c r="O111" i="3"/>
  <c r="Y111" i="3" s="1"/>
  <c r="M111" i="3"/>
  <c r="L111" i="3"/>
  <c r="K111" i="3"/>
  <c r="J111" i="3"/>
  <c r="I111" i="3"/>
  <c r="H111" i="3"/>
  <c r="G111" i="3"/>
  <c r="F111" i="3"/>
  <c r="E111" i="3"/>
  <c r="D111" i="3"/>
  <c r="C111" i="3"/>
  <c r="B111" i="3"/>
  <c r="A111" i="3"/>
  <c r="AA110" i="3"/>
  <c r="X110" i="3"/>
  <c r="W110" i="3"/>
  <c r="U110" i="3"/>
  <c r="Z110" i="3" s="1"/>
  <c r="S110" i="3"/>
  <c r="Q110" i="3"/>
  <c r="P110" i="3"/>
  <c r="O110" i="3"/>
  <c r="Y110" i="3" s="1"/>
  <c r="M110" i="3"/>
  <c r="L110" i="3"/>
  <c r="K110" i="3"/>
  <c r="J110" i="3"/>
  <c r="I110" i="3"/>
  <c r="H110" i="3"/>
  <c r="G110" i="3"/>
  <c r="F110" i="3"/>
  <c r="E110" i="3"/>
  <c r="D110" i="3"/>
  <c r="C110" i="3"/>
  <c r="B110" i="3"/>
  <c r="A110" i="3"/>
  <c r="AA109" i="3"/>
  <c r="Y109" i="3"/>
  <c r="X109" i="3"/>
  <c r="W109" i="3"/>
  <c r="U109" i="3"/>
  <c r="Z109" i="3" s="1"/>
  <c r="S109" i="3"/>
  <c r="Q109" i="3"/>
  <c r="P109" i="3"/>
  <c r="M109" i="3"/>
  <c r="L109" i="3"/>
  <c r="K109" i="3"/>
  <c r="J109" i="3"/>
  <c r="I109" i="3"/>
  <c r="H109" i="3"/>
  <c r="G109" i="3"/>
  <c r="F109" i="3"/>
  <c r="E109" i="3"/>
  <c r="D109" i="3"/>
  <c r="C109" i="3"/>
  <c r="B109" i="3"/>
  <c r="A109" i="3"/>
  <c r="AA108" i="3"/>
  <c r="Y108" i="3"/>
  <c r="X108" i="3"/>
  <c r="W108" i="3"/>
  <c r="U108" i="3"/>
  <c r="Z108" i="3" s="1"/>
  <c r="S108" i="3"/>
  <c r="Q108" i="3"/>
  <c r="P108" i="3"/>
  <c r="M108" i="3"/>
  <c r="L108" i="3"/>
  <c r="K108" i="3"/>
  <c r="J108" i="3"/>
  <c r="I108" i="3"/>
  <c r="H108" i="3"/>
  <c r="G108" i="3"/>
  <c r="F108" i="3"/>
  <c r="E108" i="3"/>
  <c r="D108" i="3"/>
  <c r="C108" i="3"/>
  <c r="B108" i="3"/>
  <c r="A108" i="3"/>
  <c r="AA107" i="3"/>
  <c r="Y107" i="3"/>
  <c r="X107" i="3"/>
  <c r="W107" i="3"/>
  <c r="U107" i="3"/>
  <c r="Z107" i="3" s="1"/>
  <c r="S107" i="3"/>
  <c r="Q107" i="3"/>
  <c r="P107" i="3"/>
  <c r="M107" i="3"/>
  <c r="L107" i="3"/>
  <c r="K107" i="3"/>
  <c r="J107" i="3"/>
  <c r="I107" i="3"/>
  <c r="H107" i="3"/>
  <c r="G107" i="3"/>
  <c r="F107" i="3"/>
  <c r="E107" i="3"/>
  <c r="D107" i="3"/>
  <c r="C107" i="3"/>
  <c r="B107" i="3"/>
  <c r="A107" i="3"/>
  <c r="AA106" i="3"/>
  <c r="Y106" i="3"/>
  <c r="X106" i="3"/>
  <c r="W106" i="3"/>
  <c r="U106" i="3"/>
  <c r="Z106" i="3" s="1"/>
  <c r="S106" i="3"/>
  <c r="Q106" i="3"/>
  <c r="P106" i="3"/>
  <c r="M106" i="3"/>
  <c r="L106" i="3"/>
  <c r="K106" i="3"/>
  <c r="J106" i="3"/>
  <c r="I106" i="3"/>
  <c r="H106" i="3"/>
  <c r="G106" i="3"/>
  <c r="F106" i="3"/>
  <c r="E106" i="3"/>
  <c r="D106" i="3"/>
  <c r="C106" i="3"/>
  <c r="B106" i="3"/>
  <c r="A106" i="3"/>
  <c r="AA105" i="3"/>
  <c r="X105" i="3"/>
  <c r="W105" i="3"/>
  <c r="U105" i="3"/>
  <c r="Z105" i="3" s="1"/>
  <c r="S105" i="3"/>
  <c r="Q105" i="3"/>
  <c r="P105" i="3"/>
  <c r="O105" i="3"/>
  <c r="Y105" i="3" s="1"/>
  <c r="M105" i="3"/>
  <c r="L105" i="3"/>
  <c r="K105" i="3"/>
  <c r="J105" i="3"/>
  <c r="I105" i="3"/>
  <c r="H105" i="3"/>
  <c r="G105" i="3"/>
  <c r="F105" i="3"/>
  <c r="E105" i="3"/>
  <c r="D105" i="3"/>
  <c r="C105" i="3"/>
  <c r="B105" i="3"/>
  <c r="A105" i="3"/>
  <c r="AA104" i="3"/>
  <c r="X104" i="3"/>
  <c r="W104" i="3"/>
  <c r="U104" i="3"/>
  <c r="Z104" i="3" s="1"/>
  <c r="S104" i="3"/>
  <c r="Q104" i="3"/>
  <c r="P104" i="3"/>
  <c r="O104" i="3"/>
  <c r="Y104" i="3" s="1"/>
  <c r="M104" i="3"/>
  <c r="L104" i="3"/>
  <c r="K104" i="3"/>
  <c r="J104" i="3"/>
  <c r="I104" i="3"/>
  <c r="H104" i="3"/>
  <c r="G104" i="3"/>
  <c r="F104" i="3"/>
  <c r="E104" i="3"/>
  <c r="D104" i="3"/>
  <c r="C104" i="3"/>
  <c r="B104" i="3"/>
  <c r="A104" i="3"/>
  <c r="AA103" i="3"/>
  <c r="X103" i="3"/>
  <c r="W103" i="3"/>
  <c r="U103" i="3"/>
  <c r="Z103" i="3" s="1"/>
  <c r="S103" i="3"/>
  <c r="Q103" i="3"/>
  <c r="P103" i="3"/>
  <c r="O103" i="3"/>
  <c r="Y103" i="3" s="1"/>
  <c r="M103" i="3"/>
  <c r="L103" i="3"/>
  <c r="K103" i="3"/>
  <c r="J103" i="3"/>
  <c r="I103" i="3"/>
  <c r="H103" i="3"/>
  <c r="G103" i="3"/>
  <c r="F103" i="3"/>
  <c r="E103" i="3"/>
  <c r="D103" i="3"/>
  <c r="C103" i="3"/>
  <c r="B103" i="3"/>
  <c r="A103" i="3"/>
  <c r="AA102" i="3"/>
  <c r="Y102" i="3"/>
  <c r="X102" i="3"/>
  <c r="W102" i="3"/>
  <c r="U102" i="3"/>
  <c r="Z102" i="3" s="1"/>
  <c r="S102" i="3"/>
  <c r="Q102" i="3"/>
  <c r="P102" i="3"/>
  <c r="M102" i="3"/>
  <c r="L102" i="3"/>
  <c r="K102" i="3"/>
  <c r="J102" i="3"/>
  <c r="I102" i="3"/>
  <c r="H102" i="3"/>
  <c r="G102" i="3"/>
  <c r="F102" i="3"/>
  <c r="E102" i="3"/>
  <c r="D102" i="3"/>
  <c r="C102" i="3"/>
  <c r="B102" i="3"/>
  <c r="A102" i="3"/>
  <c r="AA101" i="3"/>
  <c r="Y101" i="3"/>
  <c r="X101" i="3"/>
  <c r="W101" i="3"/>
  <c r="U101" i="3"/>
  <c r="Z101" i="3" s="1"/>
  <c r="S101" i="3"/>
  <c r="Q101" i="3"/>
  <c r="P101" i="3"/>
  <c r="M101" i="3"/>
  <c r="L101" i="3"/>
  <c r="K101" i="3"/>
  <c r="J101" i="3"/>
  <c r="I101" i="3"/>
  <c r="H101" i="3"/>
  <c r="G101" i="3"/>
  <c r="F101" i="3"/>
  <c r="E101" i="3"/>
  <c r="D101" i="3"/>
  <c r="C101" i="3"/>
  <c r="B101" i="3"/>
  <c r="A101" i="3"/>
  <c r="AA100" i="3"/>
  <c r="X100" i="3"/>
  <c r="W100" i="3"/>
  <c r="U100" i="3"/>
  <c r="Z100" i="3" s="1"/>
  <c r="S100" i="3"/>
  <c r="Q100" i="3"/>
  <c r="P100" i="3"/>
  <c r="O100" i="3"/>
  <c r="Y100" i="3" s="1"/>
  <c r="M100" i="3"/>
  <c r="L100" i="3"/>
  <c r="K100" i="3"/>
  <c r="J100" i="3"/>
  <c r="I100" i="3"/>
  <c r="H100" i="3"/>
  <c r="G100" i="3"/>
  <c r="F100" i="3"/>
  <c r="E100" i="3"/>
  <c r="D100" i="3"/>
  <c r="C100" i="3"/>
  <c r="B100" i="3"/>
  <c r="A100" i="3"/>
  <c r="AA99" i="3"/>
  <c r="Y99" i="3"/>
  <c r="X99" i="3"/>
  <c r="W99" i="3"/>
  <c r="U99" i="3"/>
  <c r="Z99" i="3" s="1"/>
  <c r="S99" i="3"/>
  <c r="Q99" i="3"/>
  <c r="P99" i="3"/>
  <c r="M99" i="3"/>
  <c r="L99" i="3"/>
  <c r="K99" i="3"/>
  <c r="J99" i="3"/>
  <c r="I99" i="3"/>
  <c r="H99" i="3"/>
  <c r="G99" i="3"/>
  <c r="F99" i="3"/>
  <c r="E99" i="3"/>
  <c r="D99" i="3"/>
  <c r="C99" i="3"/>
  <c r="B99" i="3"/>
  <c r="A99" i="3"/>
  <c r="AA98" i="3"/>
  <c r="Y98" i="3"/>
  <c r="X98" i="3"/>
  <c r="W98" i="3"/>
  <c r="U98" i="3"/>
  <c r="Z98" i="3" s="1"/>
  <c r="S98" i="3"/>
  <c r="Q98" i="3"/>
  <c r="P98" i="3"/>
  <c r="M98" i="3"/>
  <c r="L98" i="3"/>
  <c r="K98" i="3"/>
  <c r="J98" i="3"/>
  <c r="I98" i="3"/>
  <c r="H98" i="3"/>
  <c r="G98" i="3"/>
  <c r="F98" i="3"/>
  <c r="E98" i="3"/>
  <c r="D98" i="3"/>
  <c r="C98" i="3"/>
  <c r="B98" i="3"/>
  <c r="A98" i="3"/>
  <c r="AA97" i="3"/>
  <c r="Y97" i="3"/>
  <c r="X97" i="3"/>
  <c r="W97" i="3"/>
  <c r="U97" i="3"/>
  <c r="Z97" i="3" s="1"/>
  <c r="S97" i="3"/>
  <c r="Q97" i="3"/>
  <c r="P97" i="3"/>
  <c r="M97" i="3"/>
  <c r="L97" i="3"/>
  <c r="K97" i="3"/>
  <c r="J97" i="3"/>
  <c r="I97" i="3"/>
  <c r="H97" i="3"/>
  <c r="G97" i="3"/>
  <c r="F97" i="3"/>
  <c r="E97" i="3"/>
  <c r="D97" i="3"/>
  <c r="C97" i="3"/>
  <c r="B97" i="3"/>
  <c r="A97" i="3"/>
  <c r="AA96" i="3"/>
  <c r="X96" i="3"/>
  <c r="W96" i="3"/>
  <c r="U96" i="3"/>
  <c r="Z96" i="3" s="1"/>
  <c r="S96" i="3"/>
  <c r="Q96" i="3"/>
  <c r="P96" i="3"/>
  <c r="O96" i="3"/>
  <c r="Y96" i="3" s="1"/>
  <c r="M96" i="3"/>
  <c r="L96" i="3"/>
  <c r="K96" i="3"/>
  <c r="J96" i="3"/>
  <c r="I96" i="3"/>
  <c r="H96" i="3"/>
  <c r="G96" i="3"/>
  <c r="F96" i="3"/>
  <c r="E96" i="3"/>
  <c r="D96" i="3"/>
  <c r="C96" i="3"/>
  <c r="B96" i="3"/>
  <c r="A96" i="3"/>
  <c r="AA95" i="3"/>
  <c r="Y95" i="3"/>
  <c r="X95" i="3"/>
  <c r="W95" i="3"/>
  <c r="U95" i="3"/>
  <c r="Z95" i="3" s="1"/>
  <c r="S95" i="3"/>
  <c r="Q95" i="3"/>
  <c r="P95" i="3"/>
  <c r="M95" i="3"/>
  <c r="L95" i="3"/>
  <c r="K95" i="3"/>
  <c r="J95" i="3"/>
  <c r="I95" i="3"/>
  <c r="H95" i="3"/>
  <c r="G95" i="3"/>
  <c r="F95" i="3"/>
  <c r="E95" i="3"/>
  <c r="D95" i="3"/>
  <c r="C95" i="3"/>
  <c r="B95" i="3"/>
  <c r="A95" i="3"/>
  <c r="AA94" i="3"/>
  <c r="Y94" i="3"/>
  <c r="X94" i="3"/>
  <c r="W94" i="3"/>
  <c r="U94" i="3"/>
  <c r="Z94" i="3" s="1"/>
  <c r="S94" i="3"/>
  <c r="Q94" i="3"/>
  <c r="P94" i="3"/>
  <c r="M94" i="3"/>
  <c r="L94" i="3"/>
  <c r="K94" i="3"/>
  <c r="J94" i="3"/>
  <c r="I94" i="3"/>
  <c r="H94" i="3"/>
  <c r="G94" i="3"/>
  <c r="F94" i="3"/>
  <c r="E94" i="3"/>
  <c r="D94" i="3"/>
  <c r="C94" i="3"/>
  <c r="B94" i="3"/>
  <c r="A94" i="3"/>
  <c r="AA93" i="3"/>
  <c r="Y93" i="3"/>
  <c r="X93" i="3"/>
  <c r="W93" i="3"/>
  <c r="U93" i="3"/>
  <c r="Z93" i="3" s="1"/>
  <c r="S93" i="3"/>
  <c r="Q93" i="3"/>
  <c r="P93" i="3"/>
  <c r="M93" i="3"/>
  <c r="L93" i="3"/>
  <c r="K93" i="3"/>
  <c r="J93" i="3"/>
  <c r="I93" i="3"/>
  <c r="H93" i="3"/>
  <c r="G93" i="3"/>
  <c r="F93" i="3"/>
  <c r="E93" i="3"/>
  <c r="D93" i="3"/>
  <c r="C93" i="3"/>
  <c r="B93" i="3"/>
  <c r="A93" i="3"/>
  <c r="AA92" i="3"/>
  <c r="X92" i="3"/>
  <c r="W92" i="3"/>
  <c r="U92" i="3"/>
  <c r="Z92" i="3" s="1"/>
  <c r="S92" i="3"/>
  <c r="Q92" i="3"/>
  <c r="P92" i="3"/>
  <c r="O92" i="3"/>
  <c r="Y92" i="3" s="1"/>
  <c r="M92" i="3"/>
  <c r="L92" i="3"/>
  <c r="K92" i="3"/>
  <c r="J92" i="3"/>
  <c r="I92" i="3"/>
  <c r="H92" i="3"/>
  <c r="G92" i="3"/>
  <c r="F92" i="3"/>
  <c r="E92" i="3"/>
  <c r="D92" i="3"/>
  <c r="C92" i="3"/>
  <c r="B92" i="3"/>
  <c r="A92" i="3"/>
  <c r="AA91" i="3"/>
  <c r="Y91" i="3"/>
  <c r="X91" i="3"/>
  <c r="W91" i="3"/>
  <c r="U91" i="3"/>
  <c r="Z91" i="3" s="1"/>
  <c r="S91" i="3"/>
  <c r="Q91" i="3"/>
  <c r="P91" i="3"/>
  <c r="M91" i="3"/>
  <c r="L91" i="3"/>
  <c r="K91" i="3"/>
  <c r="J91" i="3"/>
  <c r="I91" i="3"/>
  <c r="H91" i="3"/>
  <c r="G91" i="3"/>
  <c r="F91" i="3"/>
  <c r="E91" i="3"/>
  <c r="D91" i="3"/>
  <c r="C91" i="3"/>
  <c r="B91" i="3"/>
  <c r="A91" i="3"/>
  <c r="AA90" i="3"/>
  <c r="Y90" i="3"/>
  <c r="X90" i="3"/>
  <c r="W90" i="3"/>
  <c r="U90" i="3"/>
  <c r="Z90" i="3" s="1"/>
  <c r="S90" i="3"/>
  <c r="Q90" i="3"/>
  <c r="P90" i="3"/>
  <c r="M90" i="3"/>
  <c r="L90" i="3"/>
  <c r="K90" i="3"/>
  <c r="J90" i="3"/>
  <c r="I90" i="3"/>
  <c r="H90" i="3"/>
  <c r="G90" i="3"/>
  <c r="F90" i="3"/>
  <c r="E90" i="3"/>
  <c r="D90" i="3"/>
  <c r="C90" i="3"/>
  <c r="B90" i="3"/>
  <c r="A90" i="3"/>
  <c r="AA89" i="3"/>
  <c r="Y89" i="3"/>
  <c r="X89" i="3"/>
  <c r="W89" i="3"/>
  <c r="U89" i="3"/>
  <c r="Z89" i="3" s="1"/>
  <c r="S89" i="3"/>
  <c r="Q89" i="3"/>
  <c r="P89" i="3"/>
  <c r="M89" i="3"/>
  <c r="L89" i="3"/>
  <c r="K89" i="3"/>
  <c r="J89" i="3"/>
  <c r="I89" i="3"/>
  <c r="H89" i="3"/>
  <c r="G89" i="3"/>
  <c r="F89" i="3"/>
  <c r="E89" i="3"/>
  <c r="D89" i="3"/>
  <c r="C89" i="3"/>
  <c r="B89" i="3"/>
  <c r="A89" i="3"/>
  <c r="AA88" i="3"/>
  <c r="Y88" i="3"/>
  <c r="X88" i="3"/>
  <c r="W88" i="3"/>
  <c r="U88" i="3"/>
  <c r="Z88" i="3" s="1"/>
  <c r="S88" i="3"/>
  <c r="Q88" i="3"/>
  <c r="P88" i="3"/>
  <c r="M88" i="3"/>
  <c r="L88" i="3"/>
  <c r="K88" i="3"/>
  <c r="J88" i="3"/>
  <c r="I88" i="3"/>
  <c r="H88" i="3"/>
  <c r="G88" i="3"/>
  <c r="F88" i="3"/>
  <c r="E88" i="3"/>
  <c r="D88" i="3"/>
  <c r="C88" i="3"/>
  <c r="B88" i="3"/>
  <c r="A88" i="3"/>
  <c r="AA87" i="3"/>
  <c r="X87" i="3"/>
  <c r="W87" i="3"/>
  <c r="U87" i="3"/>
  <c r="Z87" i="3" s="1"/>
  <c r="S87" i="3"/>
  <c r="Q87" i="3"/>
  <c r="P87" i="3"/>
  <c r="O87" i="3"/>
  <c r="Y87" i="3" s="1"/>
  <c r="M87" i="3"/>
  <c r="L87" i="3"/>
  <c r="K87" i="3"/>
  <c r="J87" i="3"/>
  <c r="I87" i="3"/>
  <c r="H87" i="3"/>
  <c r="G87" i="3"/>
  <c r="F87" i="3"/>
  <c r="E87" i="3"/>
  <c r="D87" i="3"/>
  <c r="C87" i="3"/>
  <c r="B87" i="3"/>
  <c r="A87" i="3"/>
  <c r="AA86" i="3"/>
  <c r="Y86" i="3"/>
  <c r="X86" i="3"/>
  <c r="W86" i="3"/>
  <c r="U86" i="3"/>
  <c r="Z86" i="3" s="1"/>
  <c r="S86" i="3"/>
  <c r="Q86" i="3"/>
  <c r="P86" i="3"/>
  <c r="M86" i="3"/>
  <c r="L86" i="3"/>
  <c r="K86" i="3"/>
  <c r="J86" i="3"/>
  <c r="I86" i="3"/>
  <c r="H86" i="3"/>
  <c r="G86" i="3"/>
  <c r="F86" i="3"/>
  <c r="E86" i="3"/>
  <c r="D86" i="3"/>
  <c r="C86" i="3"/>
  <c r="B86" i="3"/>
  <c r="A86" i="3"/>
  <c r="AA85" i="3"/>
  <c r="Y85" i="3"/>
  <c r="X85" i="3"/>
  <c r="W85" i="3"/>
  <c r="U85" i="3"/>
  <c r="Z85" i="3" s="1"/>
  <c r="S85" i="3"/>
  <c r="Q85" i="3"/>
  <c r="P85" i="3"/>
  <c r="M85" i="3"/>
  <c r="L85" i="3"/>
  <c r="K85" i="3"/>
  <c r="J85" i="3"/>
  <c r="I85" i="3"/>
  <c r="H85" i="3"/>
  <c r="G85" i="3"/>
  <c r="F85" i="3"/>
  <c r="E85" i="3"/>
  <c r="D85" i="3"/>
  <c r="C85" i="3"/>
  <c r="B85" i="3"/>
  <c r="A85" i="3"/>
  <c r="AA84" i="3"/>
  <c r="Y84" i="3"/>
  <c r="X84" i="3"/>
  <c r="W84" i="3"/>
  <c r="U84" i="3"/>
  <c r="Z84" i="3" s="1"/>
  <c r="S84" i="3"/>
  <c r="Q84" i="3"/>
  <c r="P84" i="3"/>
  <c r="M84" i="3"/>
  <c r="L84" i="3"/>
  <c r="K84" i="3"/>
  <c r="J84" i="3"/>
  <c r="I84" i="3"/>
  <c r="H84" i="3"/>
  <c r="G84" i="3"/>
  <c r="F84" i="3"/>
  <c r="E84" i="3"/>
  <c r="D84" i="3"/>
  <c r="C84" i="3"/>
  <c r="B84" i="3"/>
  <c r="A84" i="3"/>
  <c r="AA83" i="3"/>
  <c r="Y83" i="3"/>
  <c r="X83" i="3"/>
  <c r="W83" i="3"/>
  <c r="U83" i="3"/>
  <c r="Z83" i="3" s="1"/>
  <c r="S83" i="3"/>
  <c r="Q83" i="3"/>
  <c r="P83" i="3"/>
  <c r="M83" i="3"/>
  <c r="L83" i="3"/>
  <c r="K83" i="3"/>
  <c r="J83" i="3"/>
  <c r="I83" i="3"/>
  <c r="H83" i="3"/>
  <c r="G83" i="3"/>
  <c r="F83" i="3"/>
  <c r="E83" i="3"/>
  <c r="D83" i="3"/>
  <c r="C83" i="3"/>
  <c r="B83" i="3"/>
  <c r="A83" i="3"/>
  <c r="AA82" i="3"/>
  <c r="Y82" i="3"/>
  <c r="X82" i="3"/>
  <c r="W82" i="3"/>
  <c r="U82" i="3"/>
  <c r="Z82" i="3" s="1"/>
  <c r="S82" i="3"/>
  <c r="Q82" i="3"/>
  <c r="P82" i="3"/>
  <c r="M82" i="3"/>
  <c r="L82" i="3"/>
  <c r="K82" i="3"/>
  <c r="J82" i="3"/>
  <c r="I82" i="3"/>
  <c r="H82" i="3"/>
  <c r="G82" i="3"/>
  <c r="F82" i="3"/>
  <c r="E82" i="3"/>
  <c r="D82" i="3"/>
  <c r="C82" i="3"/>
  <c r="B82" i="3"/>
  <c r="A82" i="3"/>
  <c r="AA81" i="3"/>
  <c r="Y81" i="3"/>
  <c r="X81" i="3"/>
  <c r="W81" i="3"/>
  <c r="U81" i="3"/>
  <c r="Z81" i="3" s="1"/>
  <c r="S81" i="3"/>
  <c r="Q81" i="3"/>
  <c r="P81" i="3"/>
  <c r="M81" i="3"/>
  <c r="L81" i="3"/>
  <c r="K81" i="3"/>
  <c r="J81" i="3"/>
  <c r="I81" i="3"/>
  <c r="H81" i="3"/>
  <c r="G81" i="3"/>
  <c r="F81" i="3"/>
  <c r="E81" i="3"/>
  <c r="D81" i="3"/>
  <c r="C81" i="3"/>
  <c r="B81" i="3"/>
  <c r="A81" i="3"/>
  <c r="AA80" i="3"/>
  <c r="Y80" i="3"/>
  <c r="X80" i="3"/>
  <c r="W80" i="3"/>
  <c r="U80" i="3"/>
  <c r="Z80" i="3" s="1"/>
  <c r="S80" i="3"/>
  <c r="Q80" i="3"/>
  <c r="P80" i="3"/>
  <c r="M80" i="3"/>
  <c r="L80" i="3"/>
  <c r="K80" i="3"/>
  <c r="J80" i="3"/>
  <c r="I80" i="3"/>
  <c r="H80" i="3"/>
  <c r="G80" i="3"/>
  <c r="F80" i="3"/>
  <c r="E80" i="3"/>
  <c r="D80" i="3"/>
  <c r="C80" i="3"/>
  <c r="B80" i="3"/>
  <c r="A80" i="3"/>
  <c r="AA79" i="3"/>
  <c r="Y79" i="3"/>
  <c r="X79" i="3"/>
  <c r="W79" i="3"/>
  <c r="U79" i="3"/>
  <c r="Z79" i="3" s="1"/>
  <c r="S79" i="3"/>
  <c r="Q79" i="3"/>
  <c r="P79" i="3"/>
  <c r="M79" i="3"/>
  <c r="L79" i="3"/>
  <c r="K79" i="3"/>
  <c r="J79" i="3"/>
  <c r="I79" i="3"/>
  <c r="H79" i="3"/>
  <c r="G79" i="3"/>
  <c r="F79" i="3"/>
  <c r="E79" i="3"/>
  <c r="D79" i="3"/>
  <c r="C79" i="3"/>
  <c r="B79" i="3"/>
  <c r="A79" i="3"/>
  <c r="AA78" i="3"/>
  <c r="Y78" i="3"/>
  <c r="X78" i="3"/>
  <c r="W78" i="3"/>
  <c r="U78" i="3"/>
  <c r="Z78" i="3" s="1"/>
  <c r="S78" i="3"/>
  <c r="Q78" i="3"/>
  <c r="P78" i="3"/>
  <c r="M78" i="3"/>
  <c r="L78" i="3"/>
  <c r="K78" i="3"/>
  <c r="J78" i="3"/>
  <c r="I78" i="3"/>
  <c r="H78" i="3"/>
  <c r="G78" i="3"/>
  <c r="F78" i="3"/>
  <c r="E78" i="3"/>
  <c r="D78" i="3"/>
  <c r="C78" i="3"/>
  <c r="B78" i="3"/>
  <c r="A78" i="3"/>
  <c r="AA77" i="3"/>
  <c r="Y77" i="3"/>
  <c r="X77" i="3"/>
  <c r="W77" i="3"/>
  <c r="U77" i="3"/>
  <c r="Z77" i="3" s="1"/>
  <c r="S77" i="3"/>
  <c r="Q77" i="3"/>
  <c r="P77" i="3"/>
  <c r="M77" i="3"/>
  <c r="L77" i="3"/>
  <c r="K77" i="3"/>
  <c r="J77" i="3"/>
  <c r="I77" i="3"/>
  <c r="H77" i="3"/>
  <c r="G77" i="3"/>
  <c r="F77" i="3"/>
  <c r="E77" i="3"/>
  <c r="D77" i="3"/>
  <c r="C77" i="3"/>
  <c r="B77" i="3"/>
  <c r="A77" i="3"/>
  <c r="AA76" i="3"/>
  <c r="Y76" i="3"/>
  <c r="X76" i="3"/>
  <c r="W76" i="3"/>
  <c r="U76" i="3"/>
  <c r="Z76" i="3" s="1"/>
  <c r="S76" i="3"/>
  <c r="Q76" i="3"/>
  <c r="P76" i="3"/>
  <c r="M76" i="3"/>
  <c r="L76" i="3"/>
  <c r="K76" i="3"/>
  <c r="J76" i="3"/>
  <c r="I76" i="3"/>
  <c r="H76" i="3"/>
  <c r="G76" i="3"/>
  <c r="F76" i="3"/>
  <c r="E76" i="3"/>
  <c r="D76" i="3"/>
  <c r="C76" i="3"/>
  <c r="B76" i="3"/>
  <c r="A76" i="3"/>
  <c r="AA75" i="3"/>
  <c r="Y75" i="3"/>
  <c r="X75" i="3"/>
  <c r="W75" i="3"/>
  <c r="U75" i="3"/>
  <c r="Z75" i="3" s="1"/>
  <c r="S75" i="3"/>
  <c r="Q75" i="3"/>
  <c r="P75" i="3"/>
  <c r="M75" i="3"/>
  <c r="L75" i="3"/>
  <c r="K75" i="3"/>
  <c r="J75" i="3"/>
  <c r="I75" i="3"/>
  <c r="H75" i="3"/>
  <c r="G75" i="3"/>
  <c r="F75" i="3"/>
  <c r="E75" i="3"/>
  <c r="D75" i="3"/>
  <c r="C75" i="3"/>
  <c r="B75" i="3"/>
  <c r="A75" i="3"/>
  <c r="AA74" i="3"/>
  <c r="X74" i="3"/>
  <c r="W74" i="3"/>
  <c r="U74" i="3"/>
  <c r="Z74" i="3" s="1"/>
  <c r="S74" i="3"/>
  <c r="Q74" i="3"/>
  <c r="P74" i="3"/>
  <c r="O74" i="3"/>
  <c r="Y74" i="3" s="1"/>
  <c r="M74" i="3"/>
  <c r="L74" i="3"/>
  <c r="K74" i="3"/>
  <c r="J74" i="3"/>
  <c r="I74" i="3"/>
  <c r="H74" i="3"/>
  <c r="G74" i="3"/>
  <c r="F74" i="3"/>
  <c r="E74" i="3"/>
  <c r="D74" i="3"/>
  <c r="C74" i="3"/>
  <c r="B74" i="3"/>
  <c r="A74" i="3"/>
  <c r="AA73" i="3"/>
  <c r="X73" i="3"/>
  <c r="W73" i="3"/>
  <c r="U73" i="3"/>
  <c r="Z73" i="3" s="1"/>
  <c r="S73" i="3"/>
  <c r="Q73" i="3"/>
  <c r="P73" i="3"/>
  <c r="O73" i="3"/>
  <c r="Y73" i="3" s="1"/>
  <c r="M73" i="3"/>
  <c r="L73" i="3"/>
  <c r="K73" i="3"/>
  <c r="J73" i="3"/>
  <c r="I73" i="3"/>
  <c r="H73" i="3"/>
  <c r="G73" i="3"/>
  <c r="F73" i="3"/>
  <c r="E73" i="3"/>
  <c r="D73" i="3"/>
  <c r="C73" i="3"/>
  <c r="B73" i="3"/>
  <c r="A73" i="3"/>
  <c r="AA72" i="3"/>
  <c r="Y72" i="3"/>
  <c r="X72" i="3"/>
  <c r="W72" i="3"/>
  <c r="U72" i="3"/>
  <c r="Z72" i="3" s="1"/>
  <c r="S72" i="3"/>
  <c r="Q72" i="3"/>
  <c r="P72" i="3"/>
  <c r="M72" i="3"/>
  <c r="L72" i="3"/>
  <c r="K72" i="3"/>
  <c r="J72" i="3"/>
  <c r="I72" i="3"/>
  <c r="H72" i="3"/>
  <c r="G72" i="3"/>
  <c r="F72" i="3"/>
  <c r="E72" i="3"/>
  <c r="D72" i="3"/>
  <c r="C72" i="3"/>
  <c r="B72" i="3"/>
  <c r="A72" i="3"/>
  <c r="AA71" i="3"/>
  <c r="Y71" i="3"/>
  <c r="X71" i="3"/>
  <c r="W71" i="3"/>
  <c r="U71" i="3"/>
  <c r="Z71" i="3" s="1"/>
  <c r="S71" i="3"/>
  <c r="Q71" i="3"/>
  <c r="P71" i="3"/>
  <c r="M71" i="3"/>
  <c r="L71" i="3"/>
  <c r="K71" i="3"/>
  <c r="J71" i="3"/>
  <c r="I71" i="3"/>
  <c r="H71" i="3"/>
  <c r="G71" i="3"/>
  <c r="F71" i="3"/>
  <c r="E71" i="3"/>
  <c r="D71" i="3"/>
  <c r="C71" i="3"/>
  <c r="B71" i="3"/>
  <c r="A71" i="3"/>
  <c r="AA70" i="3"/>
  <c r="Y70" i="3"/>
  <c r="X70" i="3"/>
  <c r="W70" i="3"/>
  <c r="U70" i="3"/>
  <c r="Z70" i="3" s="1"/>
  <c r="S70" i="3"/>
  <c r="Q70" i="3"/>
  <c r="P70" i="3"/>
  <c r="M70" i="3"/>
  <c r="L70" i="3"/>
  <c r="K70" i="3"/>
  <c r="J70" i="3"/>
  <c r="I70" i="3"/>
  <c r="H70" i="3"/>
  <c r="G70" i="3"/>
  <c r="F70" i="3"/>
  <c r="E70" i="3"/>
  <c r="D70" i="3"/>
  <c r="C70" i="3"/>
  <c r="B70" i="3"/>
  <c r="A70" i="3"/>
  <c r="AA69" i="3"/>
  <c r="Y69" i="3"/>
  <c r="X69" i="3"/>
  <c r="W69" i="3"/>
  <c r="U69" i="3"/>
  <c r="Z69" i="3" s="1"/>
  <c r="S69" i="3"/>
  <c r="Q69" i="3"/>
  <c r="P69" i="3"/>
  <c r="M69" i="3"/>
  <c r="L69" i="3"/>
  <c r="K69" i="3"/>
  <c r="J69" i="3"/>
  <c r="I69" i="3"/>
  <c r="H69" i="3"/>
  <c r="G69" i="3"/>
  <c r="F69" i="3"/>
  <c r="E69" i="3"/>
  <c r="D69" i="3"/>
  <c r="C69" i="3"/>
  <c r="B69" i="3"/>
  <c r="A69" i="3"/>
  <c r="AA68" i="3"/>
  <c r="Y68" i="3"/>
  <c r="X68" i="3"/>
  <c r="W68" i="3"/>
  <c r="U68" i="3"/>
  <c r="Z68" i="3" s="1"/>
  <c r="S68" i="3"/>
  <c r="Q68" i="3"/>
  <c r="P68" i="3"/>
  <c r="M68" i="3"/>
  <c r="L68" i="3"/>
  <c r="K68" i="3"/>
  <c r="J68" i="3"/>
  <c r="I68" i="3"/>
  <c r="H68" i="3"/>
  <c r="G68" i="3"/>
  <c r="F68" i="3"/>
  <c r="E68" i="3"/>
  <c r="D68" i="3"/>
  <c r="C68" i="3"/>
  <c r="B68" i="3"/>
  <c r="A68" i="3"/>
  <c r="AA67" i="3"/>
  <c r="Y67" i="3"/>
  <c r="X67" i="3"/>
  <c r="W67" i="3"/>
  <c r="U67" i="3"/>
  <c r="Z67" i="3" s="1"/>
  <c r="S67" i="3"/>
  <c r="Q67" i="3"/>
  <c r="P67" i="3"/>
  <c r="M67" i="3"/>
  <c r="L67" i="3"/>
  <c r="K67" i="3"/>
  <c r="J67" i="3"/>
  <c r="I67" i="3"/>
  <c r="H67" i="3"/>
  <c r="G67" i="3"/>
  <c r="F67" i="3"/>
  <c r="E67" i="3"/>
  <c r="D67" i="3"/>
  <c r="C67" i="3"/>
  <c r="B67" i="3"/>
  <c r="A67" i="3"/>
  <c r="AA66" i="3"/>
  <c r="Y66" i="3"/>
  <c r="X66" i="3"/>
  <c r="W66" i="3"/>
  <c r="U66" i="3"/>
  <c r="Z66" i="3" s="1"/>
  <c r="S66" i="3"/>
  <c r="Q66" i="3"/>
  <c r="P66" i="3"/>
  <c r="M66" i="3"/>
  <c r="L66" i="3"/>
  <c r="K66" i="3"/>
  <c r="J66" i="3"/>
  <c r="I66" i="3"/>
  <c r="H66" i="3"/>
  <c r="G66" i="3"/>
  <c r="F66" i="3"/>
  <c r="E66" i="3"/>
  <c r="D66" i="3"/>
  <c r="C66" i="3"/>
  <c r="B66" i="3"/>
  <c r="A66" i="3"/>
  <c r="AA65" i="3"/>
  <c r="Y65" i="3"/>
  <c r="X65" i="3"/>
  <c r="W65" i="3"/>
  <c r="U65" i="3"/>
  <c r="Z65" i="3" s="1"/>
  <c r="S65" i="3"/>
  <c r="Q65" i="3"/>
  <c r="P65" i="3"/>
  <c r="M65" i="3"/>
  <c r="L65" i="3"/>
  <c r="K65" i="3"/>
  <c r="J65" i="3"/>
  <c r="I65" i="3"/>
  <c r="H65" i="3"/>
  <c r="G65" i="3"/>
  <c r="F65" i="3"/>
  <c r="E65" i="3"/>
  <c r="D65" i="3"/>
  <c r="C65" i="3"/>
  <c r="B65" i="3"/>
  <c r="A65" i="3"/>
  <c r="AA64" i="3"/>
  <c r="Y64" i="3"/>
  <c r="X64" i="3"/>
  <c r="W64" i="3"/>
  <c r="U64" i="3"/>
  <c r="Z64" i="3" s="1"/>
  <c r="S64" i="3"/>
  <c r="Q64" i="3"/>
  <c r="P64" i="3"/>
  <c r="M64" i="3"/>
  <c r="L64" i="3"/>
  <c r="K64" i="3"/>
  <c r="J64" i="3"/>
  <c r="I64" i="3"/>
  <c r="H64" i="3"/>
  <c r="G64" i="3"/>
  <c r="F64" i="3"/>
  <c r="E64" i="3"/>
  <c r="D64" i="3"/>
  <c r="C64" i="3"/>
  <c r="B64" i="3"/>
  <c r="A64" i="3"/>
  <c r="AA63" i="3"/>
  <c r="Y63" i="3"/>
  <c r="X63" i="3"/>
  <c r="W63" i="3"/>
  <c r="U63" i="3"/>
  <c r="Z63" i="3" s="1"/>
  <c r="S63" i="3"/>
  <c r="Q63" i="3"/>
  <c r="P63" i="3"/>
  <c r="M63" i="3"/>
  <c r="L63" i="3"/>
  <c r="K63" i="3"/>
  <c r="J63" i="3"/>
  <c r="I63" i="3"/>
  <c r="H63" i="3"/>
  <c r="G63" i="3"/>
  <c r="F63" i="3"/>
  <c r="E63" i="3"/>
  <c r="D63" i="3"/>
  <c r="C63" i="3"/>
  <c r="B63" i="3"/>
  <c r="A63" i="3"/>
  <c r="AA62" i="3"/>
  <c r="Y62" i="3"/>
  <c r="X62" i="3"/>
  <c r="W62" i="3"/>
  <c r="U62" i="3"/>
  <c r="Z62" i="3" s="1"/>
  <c r="S62" i="3"/>
  <c r="Q62" i="3"/>
  <c r="P62" i="3"/>
  <c r="M62" i="3"/>
  <c r="L62" i="3"/>
  <c r="K62" i="3"/>
  <c r="J62" i="3"/>
  <c r="I62" i="3"/>
  <c r="H62" i="3"/>
  <c r="G62" i="3"/>
  <c r="F62" i="3"/>
  <c r="E62" i="3"/>
  <c r="D62" i="3"/>
  <c r="C62" i="3"/>
  <c r="B62" i="3"/>
  <c r="A62" i="3"/>
  <c r="AA61" i="3"/>
  <c r="Y61" i="3"/>
  <c r="X61" i="3"/>
  <c r="W61" i="3"/>
  <c r="U61" i="3"/>
  <c r="Z61" i="3" s="1"/>
  <c r="S61" i="3"/>
  <c r="Q61" i="3"/>
  <c r="P61" i="3"/>
  <c r="M61" i="3"/>
  <c r="L61" i="3"/>
  <c r="K61" i="3"/>
  <c r="J61" i="3"/>
  <c r="I61" i="3"/>
  <c r="H61" i="3"/>
  <c r="G61" i="3"/>
  <c r="F61" i="3"/>
  <c r="E61" i="3"/>
  <c r="D61" i="3"/>
  <c r="C61" i="3"/>
  <c r="B61" i="3"/>
  <c r="A61" i="3"/>
  <c r="AA60" i="3"/>
  <c r="Y60" i="3"/>
  <c r="X60" i="3"/>
  <c r="W60" i="3"/>
  <c r="U60" i="3"/>
  <c r="Z60" i="3" s="1"/>
  <c r="S60" i="3"/>
  <c r="Q60" i="3"/>
  <c r="P60" i="3"/>
  <c r="M60" i="3"/>
  <c r="L60" i="3"/>
  <c r="K60" i="3"/>
  <c r="J60" i="3"/>
  <c r="I60" i="3"/>
  <c r="H60" i="3"/>
  <c r="G60" i="3"/>
  <c r="F60" i="3"/>
  <c r="E60" i="3"/>
  <c r="D60" i="3"/>
  <c r="C60" i="3"/>
  <c r="B60" i="3"/>
  <c r="A60" i="3"/>
  <c r="AA59" i="3"/>
  <c r="Y59" i="3"/>
  <c r="X59" i="3"/>
  <c r="W59" i="3"/>
  <c r="U59" i="3"/>
  <c r="Z59" i="3" s="1"/>
  <c r="S59" i="3"/>
  <c r="Q59" i="3"/>
  <c r="P59" i="3"/>
  <c r="M59" i="3"/>
  <c r="L59" i="3"/>
  <c r="K59" i="3"/>
  <c r="J59" i="3"/>
  <c r="I59" i="3"/>
  <c r="H59" i="3"/>
  <c r="G59" i="3"/>
  <c r="F59" i="3"/>
  <c r="E59" i="3"/>
  <c r="D59" i="3"/>
  <c r="C59" i="3"/>
  <c r="B59" i="3"/>
  <c r="A59" i="3"/>
  <c r="AA58" i="3"/>
  <c r="Y58" i="3"/>
  <c r="X58" i="3"/>
  <c r="W58" i="3"/>
  <c r="U58" i="3"/>
  <c r="Z58" i="3" s="1"/>
  <c r="S58" i="3"/>
  <c r="Q58" i="3"/>
  <c r="P58" i="3"/>
  <c r="M58" i="3"/>
  <c r="L58" i="3"/>
  <c r="K58" i="3"/>
  <c r="J58" i="3"/>
  <c r="I58" i="3"/>
  <c r="H58" i="3"/>
  <c r="G58" i="3"/>
  <c r="F58" i="3"/>
  <c r="E58" i="3"/>
  <c r="D58" i="3"/>
  <c r="C58" i="3"/>
  <c r="B58" i="3"/>
  <c r="A58" i="3"/>
  <c r="AA57" i="3"/>
  <c r="Y57" i="3"/>
  <c r="X57" i="3"/>
  <c r="W57" i="3"/>
  <c r="U57" i="3"/>
  <c r="Z57" i="3" s="1"/>
  <c r="S57" i="3"/>
  <c r="Q57" i="3"/>
  <c r="P57" i="3"/>
  <c r="M57" i="3"/>
  <c r="L57" i="3"/>
  <c r="K57" i="3"/>
  <c r="J57" i="3"/>
  <c r="I57" i="3"/>
  <c r="H57" i="3"/>
  <c r="G57" i="3"/>
  <c r="F57" i="3"/>
  <c r="E57" i="3"/>
  <c r="D57" i="3"/>
  <c r="C57" i="3"/>
  <c r="B57" i="3"/>
  <c r="A57" i="3"/>
  <c r="AA56" i="3"/>
  <c r="Y56" i="3"/>
  <c r="X56" i="3"/>
  <c r="W56" i="3"/>
  <c r="U56" i="3"/>
  <c r="Z56" i="3" s="1"/>
  <c r="S56" i="3"/>
  <c r="Q56" i="3"/>
  <c r="P56" i="3"/>
  <c r="M56" i="3"/>
  <c r="L56" i="3"/>
  <c r="K56" i="3"/>
  <c r="J56" i="3"/>
  <c r="I56" i="3"/>
  <c r="H56" i="3"/>
  <c r="G56" i="3"/>
  <c r="F56" i="3"/>
  <c r="E56" i="3"/>
  <c r="D56" i="3"/>
  <c r="C56" i="3"/>
  <c r="B56" i="3"/>
  <c r="A56" i="3"/>
  <c r="AA55" i="3"/>
  <c r="Y55" i="3"/>
  <c r="X55" i="3"/>
  <c r="W55" i="3"/>
  <c r="U55" i="3"/>
  <c r="Z55" i="3" s="1"/>
  <c r="S55" i="3"/>
  <c r="Q55" i="3"/>
  <c r="P55" i="3"/>
  <c r="M55" i="3"/>
  <c r="L55" i="3"/>
  <c r="K55" i="3"/>
  <c r="J55" i="3"/>
  <c r="I55" i="3"/>
  <c r="H55" i="3"/>
  <c r="G55" i="3"/>
  <c r="F55" i="3"/>
  <c r="E55" i="3"/>
  <c r="D55" i="3"/>
  <c r="C55" i="3"/>
  <c r="B55" i="3"/>
  <c r="A55" i="3"/>
  <c r="AA54" i="3"/>
  <c r="Y54" i="3"/>
  <c r="X54" i="3"/>
  <c r="W54" i="3"/>
  <c r="U54" i="3"/>
  <c r="Z54" i="3" s="1"/>
  <c r="S54" i="3"/>
  <c r="Q54" i="3"/>
  <c r="P54" i="3"/>
  <c r="M54" i="3"/>
  <c r="L54" i="3"/>
  <c r="K54" i="3"/>
  <c r="J54" i="3"/>
  <c r="I54" i="3"/>
  <c r="H54" i="3"/>
  <c r="G54" i="3"/>
  <c r="F54" i="3"/>
  <c r="E54" i="3"/>
  <c r="D54" i="3"/>
  <c r="C54" i="3"/>
  <c r="B54" i="3"/>
  <c r="A54" i="3"/>
  <c r="AA53" i="3"/>
  <c r="Y53" i="3"/>
  <c r="X53" i="3"/>
  <c r="W53" i="3"/>
  <c r="U53" i="3"/>
  <c r="Z53" i="3" s="1"/>
  <c r="S53" i="3"/>
  <c r="Q53" i="3"/>
  <c r="P53" i="3"/>
  <c r="M53" i="3"/>
  <c r="L53" i="3"/>
  <c r="K53" i="3"/>
  <c r="J53" i="3"/>
  <c r="I53" i="3"/>
  <c r="H53" i="3"/>
  <c r="G53" i="3"/>
  <c r="F53" i="3"/>
  <c r="E53" i="3"/>
  <c r="D53" i="3"/>
  <c r="C53" i="3"/>
  <c r="B53" i="3"/>
  <c r="A53" i="3"/>
  <c r="AA52" i="3"/>
  <c r="Y52" i="3"/>
  <c r="X52" i="3"/>
  <c r="W52" i="3"/>
  <c r="U52" i="3"/>
  <c r="Z52" i="3" s="1"/>
  <c r="S52" i="3"/>
  <c r="Q52" i="3"/>
  <c r="P52" i="3"/>
  <c r="M52" i="3"/>
  <c r="L52" i="3"/>
  <c r="K52" i="3"/>
  <c r="J52" i="3"/>
  <c r="I52" i="3"/>
  <c r="H52" i="3"/>
  <c r="G52" i="3"/>
  <c r="F52" i="3"/>
  <c r="E52" i="3"/>
  <c r="D52" i="3"/>
  <c r="C52" i="3"/>
  <c r="B52" i="3"/>
  <c r="A52" i="3"/>
  <c r="AA51" i="3"/>
  <c r="X51" i="3"/>
  <c r="W51" i="3"/>
  <c r="U51" i="3"/>
  <c r="Z51" i="3" s="1"/>
  <c r="S51" i="3"/>
  <c r="Q51" i="3"/>
  <c r="P51" i="3"/>
  <c r="O51" i="3"/>
  <c r="Y51" i="3" s="1"/>
  <c r="M51" i="3"/>
  <c r="L51" i="3"/>
  <c r="K51" i="3"/>
  <c r="J51" i="3"/>
  <c r="I51" i="3"/>
  <c r="H51" i="3"/>
  <c r="G51" i="3"/>
  <c r="F51" i="3"/>
  <c r="E51" i="3"/>
  <c r="D51" i="3"/>
  <c r="C51" i="3"/>
  <c r="B51" i="3"/>
  <c r="A51" i="3"/>
  <c r="AA50" i="3"/>
  <c r="X50" i="3"/>
  <c r="W50" i="3"/>
  <c r="U50" i="3"/>
  <c r="Z50" i="3" s="1"/>
  <c r="S50" i="3"/>
  <c r="Q50" i="3"/>
  <c r="P50" i="3"/>
  <c r="O50" i="3"/>
  <c r="Y50" i="3" s="1"/>
  <c r="M50" i="3"/>
  <c r="L50" i="3"/>
  <c r="K50" i="3"/>
  <c r="J50" i="3"/>
  <c r="I50" i="3"/>
  <c r="H50" i="3"/>
  <c r="G50" i="3"/>
  <c r="F50" i="3"/>
  <c r="E50" i="3"/>
  <c r="D50" i="3"/>
  <c r="C50" i="3"/>
  <c r="B50" i="3"/>
  <c r="A50" i="3"/>
  <c r="AA49" i="3"/>
  <c r="Y49" i="3"/>
  <c r="X49" i="3"/>
  <c r="W49" i="3"/>
  <c r="U49" i="3"/>
  <c r="Z49" i="3" s="1"/>
  <c r="S49" i="3"/>
  <c r="Q49" i="3"/>
  <c r="P49" i="3"/>
  <c r="M49" i="3"/>
  <c r="L49" i="3"/>
  <c r="K49" i="3"/>
  <c r="J49" i="3"/>
  <c r="I49" i="3"/>
  <c r="H49" i="3"/>
  <c r="G49" i="3"/>
  <c r="F49" i="3"/>
  <c r="E49" i="3"/>
  <c r="D49" i="3"/>
  <c r="C49" i="3"/>
  <c r="B49" i="3"/>
  <c r="A49" i="3"/>
  <c r="AA48" i="3"/>
  <c r="X48" i="3"/>
  <c r="W48" i="3"/>
  <c r="U48" i="3"/>
  <c r="Z48" i="3" s="1"/>
  <c r="S48" i="3"/>
  <c r="Q48" i="3"/>
  <c r="P48" i="3"/>
  <c r="O48" i="3"/>
  <c r="Y48" i="3" s="1"/>
  <c r="M48" i="3"/>
  <c r="L48" i="3"/>
  <c r="K48" i="3"/>
  <c r="J48" i="3"/>
  <c r="I48" i="3"/>
  <c r="H48" i="3"/>
  <c r="G48" i="3"/>
  <c r="F48" i="3"/>
  <c r="E48" i="3"/>
  <c r="D48" i="3"/>
  <c r="C48" i="3"/>
  <c r="B48" i="3"/>
  <c r="A48" i="3"/>
  <c r="AA47" i="3"/>
  <c r="Y47" i="3"/>
  <c r="X47" i="3"/>
  <c r="W47" i="3"/>
  <c r="U47" i="3"/>
  <c r="Z47" i="3" s="1"/>
  <c r="S47" i="3"/>
  <c r="Q47" i="3"/>
  <c r="P47" i="3"/>
  <c r="M47" i="3"/>
  <c r="L47" i="3"/>
  <c r="K47" i="3"/>
  <c r="J47" i="3"/>
  <c r="I47" i="3"/>
  <c r="H47" i="3"/>
  <c r="G47" i="3"/>
  <c r="F47" i="3"/>
  <c r="E47" i="3"/>
  <c r="D47" i="3"/>
  <c r="C47" i="3"/>
  <c r="B47" i="3"/>
  <c r="A47" i="3"/>
  <c r="AA46" i="3"/>
  <c r="Y46" i="3"/>
  <c r="X46" i="3"/>
  <c r="W46" i="3"/>
  <c r="U46" i="3"/>
  <c r="Z46" i="3" s="1"/>
  <c r="S46" i="3"/>
  <c r="Q46" i="3"/>
  <c r="P46" i="3"/>
  <c r="M46" i="3"/>
  <c r="L46" i="3"/>
  <c r="K46" i="3"/>
  <c r="J46" i="3"/>
  <c r="I46" i="3"/>
  <c r="H46" i="3"/>
  <c r="G46" i="3"/>
  <c r="F46" i="3"/>
  <c r="E46" i="3"/>
  <c r="D46" i="3"/>
  <c r="C46" i="3"/>
  <c r="B46" i="3"/>
  <c r="A46" i="3"/>
  <c r="AA45" i="3"/>
  <c r="Y45" i="3"/>
  <c r="X45" i="3"/>
  <c r="W45" i="3"/>
  <c r="U45" i="3"/>
  <c r="Z45" i="3" s="1"/>
  <c r="S45" i="3"/>
  <c r="Q45" i="3"/>
  <c r="P45" i="3"/>
  <c r="M45" i="3"/>
  <c r="L45" i="3"/>
  <c r="K45" i="3"/>
  <c r="J45" i="3"/>
  <c r="I45" i="3"/>
  <c r="H45" i="3"/>
  <c r="G45" i="3"/>
  <c r="F45" i="3"/>
  <c r="E45" i="3"/>
  <c r="D45" i="3"/>
  <c r="C45" i="3"/>
  <c r="B45" i="3"/>
  <c r="A45" i="3"/>
  <c r="AA44" i="3"/>
  <c r="Y44" i="3"/>
  <c r="X44" i="3"/>
  <c r="W44" i="3"/>
  <c r="U44" i="3"/>
  <c r="Z44" i="3" s="1"/>
  <c r="S44" i="3"/>
  <c r="Q44" i="3"/>
  <c r="P44" i="3"/>
  <c r="M44" i="3"/>
  <c r="L44" i="3"/>
  <c r="K44" i="3"/>
  <c r="J44" i="3"/>
  <c r="I44" i="3"/>
  <c r="H44" i="3"/>
  <c r="G44" i="3"/>
  <c r="F44" i="3"/>
  <c r="E44" i="3"/>
  <c r="D44" i="3"/>
  <c r="C44" i="3"/>
  <c r="B44" i="3"/>
  <c r="A44" i="3"/>
  <c r="AA43" i="3"/>
  <c r="Y43" i="3"/>
  <c r="X43" i="3"/>
  <c r="W43" i="3"/>
  <c r="U43" i="3"/>
  <c r="Z43" i="3" s="1"/>
  <c r="S43" i="3"/>
  <c r="Q43" i="3"/>
  <c r="P43" i="3"/>
  <c r="M43" i="3"/>
  <c r="L43" i="3"/>
  <c r="K43" i="3"/>
  <c r="J43" i="3"/>
  <c r="I43" i="3"/>
  <c r="H43" i="3"/>
  <c r="G43" i="3"/>
  <c r="F43" i="3"/>
  <c r="E43" i="3"/>
  <c r="D43" i="3"/>
  <c r="C43" i="3"/>
  <c r="B43" i="3"/>
  <c r="A43" i="3"/>
  <c r="AA42" i="3"/>
  <c r="Y42" i="3"/>
  <c r="X42" i="3"/>
  <c r="W42" i="3"/>
  <c r="U42" i="3"/>
  <c r="Z42" i="3" s="1"/>
  <c r="S42" i="3"/>
  <c r="Q42" i="3"/>
  <c r="P42" i="3"/>
  <c r="M42" i="3"/>
  <c r="L42" i="3"/>
  <c r="K42" i="3"/>
  <c r="J42" i="3"/>
  <c r="I42" i="3"/>
  <c r="H42" i="3"/>
  <c r="G42" i="3"/>
  <c r="F42" i="3"/>
  <c r="E42" i="3"/>
  <c r="D42" i="3"/>
  <c r="C42" i="3"/>
  <c r="B42" i="3"/>
  <c r="A42" i="3"/>
  <c r="AA41" i="3"/>
  <c r="Y41" i="3"/>
  <c r="X41" i="3"/>
  <c r="W41" i="3"/>
  <c r="U41" i="3"/>
  <c r="Z41" i="3" s="1"/>
  <c r="S41" i="3"/>
  <c r="Q41" i="3"/>
  <c r="P41" i="3"/>
  <c r="M41" i="3"/>
  <c r="L41" i="3"/>
  <c r="K41" i="3"/>
  <c r="J41" i="3"/>
  <c r="I41" i="3"/>
  <c r="H41" i="3"/>
  <c r="G41" i="3"/>
  <c r="F41" i="3"/>
  <c r="E41" i="3"/>
  <c r="D41" i="3"/>
  <c r="C41" i="3"/>
  <c r="B41" i="3"/>
  <c r="A41" i="3"/>
  <c r="AA40" i="3"/>
  <c r="Y40" i="3"/>
  <c r="X40" i="3"/>
  <c r="W40" i="3"/>
  <c r="U40" i="3"/>
  <c r="Z40" i="3" s="1"/>
  <c r="S40" i="3"/>
  <c r="Q40" i="3"/>
  <c r="P40" i="3"/>
  <c r="M40" i="3"/>
  <c r="L40" i="3"/>
  <c r="K40" i="3"/>
  <c r="J40" i="3"/>
  <c r="I40" i="3"/>
  <c r="H40" i="3"/>
  <c r="G40" i="3"/>
  <c r="F40" i="3"/>
  <c r="E40" i="3"/>
  <c r="D40" i="3"/>
  <c r="C40" i="3"/>
  <c r="B40" i="3"/>
  <c r="A40" i="3"/>
  <c r="AA39" i="3"/>
  <c r="Y39" i="3"/>
  <c r="X39" i="3"/>
  <c r="W39" i="3"/>
  <c r="U39" i="3"/>
  <c r="Z39" i="3" s="1"/>
  <c r="S39" i="3"/>
  <c r="Q39" i="3"/>
  <c r="P39" i="3"/>
  <c r="M39" i="3"/>
  <c r="L39" i="3"/>
  <c r="K39" i="3"/>
  <c r="J39" i="3"/>
  <c r="I39" i="3"/>
  <c r="H39" i="3"/>
  <c r="G39" i="3"/>
  <c r="F39" i="3"/>
  <c r="E39" i="3"/>
  <c r="D39" i="3"/>
  <c r="C39" i="3"/>
  <c r="B39" i="3"/>
  <c r="A39" i="3"/>
  <c r="AA38" i="3"/>
  <c r="Y38" i="3"/>
  <c r="X38" i="3"/>
  <c r="W38" i="3"/>
  <c r="U38" i="3"/>
  <c r="Z38" i="3" s="1"/>
  <c r="S38" i="3"/>
  <c r="Q38" i="3"/>
  <c r="P38" i="3"/>
  <c r="M38" i="3"/>
  <c r="L38" i="3"/>
  <c r="K38" i="3"/>
  <c r="J38" i="3"/>
  <c r="I38" i="3"/>
  <c r="H38" i="3"/>
  <c r="G38" i="3"/>
  <c r="F38" i="3"/>
  <c r="E38" i="3"/>
  <c r="D38" i="3"/>
  <c r="C38" i="3"/>
  <c r="B38" i="3"/>
  <c r="A38" i="3"/>
  <c r="AA37" i="3"/>
  <c r="X37" i="3"/>
  <c r="W37" i="3"/>
  <c r="U37" i="3"/>
  <c r="Z37" i="3" s="1"/>
  <c r="S37" i="3"/>
  <c r="Q37" i="3"/>
  <c r="P37" i="3"/>
  <c r="O37" i="3"/>
  <c r="Y37" i="3" s="1"/>
  <c r="M37" i="3"/>
  <c r="L37" i="3"/>
  <c r="K37" i="3"/>
  <c r="J37" i="3"/>
  <c r="I37" i="3"/>
  <c r="H37" i="3"/>
  <c r="G37" i="3"/>
  <c r="F37" i="3"/>
  <c r="E37" i="3"/>
  <c r="D37" i="3"/>
  <c r="C37" i="3"/>
  <c r="B37" i="3"/>
  <c r="A37" i="3"/>
  <c r="AA36" i="3"/>
  <c r="Y36" i="3"/>
  <c r="X36" i="3"/>
  <c r="W36" i="3"/>
  <c r="U36" i="3"/>
  <c r="Z36" i="3" s="1"/>
  <c r="S36" i="3"/>
  <c r="Q36" i="3"/>
  <c r="P36" i="3"/>
  <c r="M36" i="3"/>
  <c r="L36" i="3"/>
  <c r="K36" i="3"/>
  <c r="J36" i="3"/>
  <c r="I36" i="3"/>
  <c r="H36" i="3"/>
  <c r="G36" i="3"/>
  <c r="F36" i="3"/>
  <c r="E36" i="3"/>
  <c r="D36" i="3"/>
  <c r="C36" i="3"/>
  <c r="B36" i="3"/>
  <c r="A36" i="3"/>
  <c r="AA35" i="3"/>
  <c r="Y35" i="3"/>
  <c r="X35" i="3"/>
  <c r="W35" i="3"/>
  <c r="U35" i="3"/>
  <c r="Z35" i="3" s="1"/>
  <c r="S35" i="3"/>
  <c r="Q35" i="3"/>
  <c r="P35" i="3"/>
  <c r="M35" i="3"/>
  <c r="L35" i="3"/>
  <c r="K35" i="3"/>
  <c r="J35" i="3"/>
  <c r="I35" i="3"/>
  <c r="H35" i="3"/>
  <c r="G35" i="3"/>
  <c r="F35" i="3"/>
  <c r="E35" i="3"/>
  <c r="D35" i="3"/>
  <c r="C35" i="3"/>
  <c r="B35" i="3"/>
  <c r="A35" i="3"/>
  <c r="AA34" i="3"/>
  <c r="Y34" i="3"/>
  <c r="X34" i="3"/>
  <c r="W34" i="3"/>
  <c r="U34" i="3"/>
  <c r="Z34" i="3" s="1"/>
  <c r="S34" i="3"/>
  <c r="Q34" i="3"/>
  <c r="P34" i="3"/>
  <c r="M34" i="3"/>
  <c r="L34" i="3"/>
  <c r="K34" i="3"/>
  <c r="J34" i="3"/>
  <c r="I34" i="3"/>
  <c r="H34" i="3"/>
  <c r="G34" i="3"/>
  <c r="F34" i="3"/>
  <c r="E34" i="3"/>
  <c r="D34" i="3"/>
  <c r="C34" i="3"/>
  <c r="B34" i="3"/>
  <c r="A34" i="3"/>
  <c r="AA33" i="3"/>
  <c r="Y33" i="3"/>
  <c r="X33" i="3"/>
  <c r="W33" i="3"/>
  <c r="U33" i="3"/>
  <c r="Z33" i="3" s="1"/>
  <c r="S33" i="3"/>
  <c r="Q33" i="3"/>
  <c r="P33" i="3"/>
  <c r="M33" i="3"/>
  <c r="L33" i="3"/>
  <c r="K33" i="3"/>
  <c r="J33" i="3"/>
  <c r="I33" i="3"/>
  <c r="H33" i="3"/>
  <c r="G33" i="3"/>
  <c r="F33" i="3"/>
  <c r="E33" i="3"/>
  <c r="D33" i="3"/>
  <c r="C33" i="3"/>
  <c r="B33" i="3"/>
  <c r="A33" i="3"/>
  <c r="AA32" i="3"/>
  <c r="Y32" i="3"/>
  <c r="X32" i="3"/>
  <c r="W32" i="3"/>
  <c r="U32" i="3"/>
  <c r="Z32" i="3" s="1"/>
  <c r="S32" i="3"/>
  <c r="Q32" i="3"/>
  <c r="P32" i="3"/>
  <c r="M32" i="3"/>
  <c r="L32" i="3"/>
  <c r="K32" i="3"/>
  <c r="J32" i="3"/>
  <c r="I32" i="3"/>
  <c r="H32" i="3"/>
  <c r="G32" i="3"/>
  <c r="F32" i="3"/>
  <c r="E32" i="3"/>
  <c r="D32" i="3"/>
  <c r="C32" i="3"/>
  <c r="B32" i="3"/>
  <c r="A32" i="3"/>
  <c r="AA31" i="3"/>
  <c r="Y31" i="3"/>
  <c r="X31" i="3"/>
  <c r="W31" i="3"/>
  <c r="U31" i="3"/>
  <c r="Z31" i="3" s="1"/>
  <c r="S31" i="3"/>
  <c r="Q31" i="3"/>
  <c r="P31" i="3"/>
  <c r="M31" i="3"/>
  <c r="L31" i="3"/>
  <c r="K31" i="3"/>
  <c r="J31" i="3"/>
  <c r="I31" i="3"/>
  <c r="H31" i="3"/>
  <c r="G31" i="3"/>
  <c r="F31" i="3"/>
  <c r="E31" i="3"/>
  <c r="D31" i="3"/>
  <c r="C31" i="3"/>
  <c r="B31" i="3"/>
  <c r="A31" i="3"/>
  <c r="AA30" i="3"/>
  <c r="Y30" i="3"/>
  <c r="X30" i="3"/>
  <c r="W30" i="3"/>
  <c r="U30" i="3"/>
  <c r="Z30" i="3" s="1"/>
  <c r="S30" i="3"/>
  <c r="Q30" i="3"/>
  <c r="P30" i="3"/>
  <c r="M30" i="3"/>
  <c r="L30" i="3"/>
  <c r="K30" i="3"/>
  <c r="J30" i="3"/>
  <c r="I30" i="3"/>
  <c r="H30" i="3"/>
  <c r="G30" i="3"/>
  <c r="F30" i="3"/>
  <c r="E30" i="3"/>
  <c r="D30" i="3"/>
  <c r="C30" i="3"/>
  <c r="B30" i="3"/>
  <c r="A30" i="3"/>
  <c r="AA29" i="3"/>
  <c r="Y29" i="3"/>
  <c r="X29" i="3"/>
  <c r="W29" i="3"/>
  <c r="U29" i="3"/>
  <c r="Z29" i="3" s="1"/>
  <c r="S29" i="3"/>
  <c r="Q29" i="3"/>
  <c r="P29" i="3"/>
  <c r="M29" i="3"/>
  <c r="L29" i="3"/>
  <c r="K29" i="3"/>
  <c r="J29" i="3"/>
  <c r="I29" i="3"/>
  <c r="H29" i="3"/>
  <c r="G29" i="3"/>
  <c r="F29" i="3"/>
  <c r="E29" i="3"/>
  <c r="D29" i="3"/>
  <c r="C29" i="3"/>
  <c r="B29" i="3"/>
  <c r="A29" i="3"/>
  <c r="AA28" i="3"/>
  <c r="Y28" i="3"/>
  <c r="X28" i="3"/>
  <c r="W28" i="3"/>
  <c r="U28" i="3"/>
  <c r="Z28" i="3" s="1"/>
  <c r="S28" i="3"/>
  <c r="Q28" i="3"/>
  <c r="P28" i="3"/>
  <c r="M28" i="3"/>
  <c r="L28" i="3"/>
  <c r="K28" i="3"/>
  <c r="J28" i="3"/>
  <c r="I28" i="3"/>
  <c r="H28" i="3"/>
  <c r="G28" i="3"/>
  <c r="F28" i="3"/>
  <c r="E28" i="3"/>
  <c r="D28" i="3"/>
  <c r="C28" i="3"/>
  <c r="B28" i="3"/>
  <c r="A28" i="3"/>
  <c r="AA27" i="3"/>
  <c r="Y27" i="3"/>
  <c r="X27" i="3"/>
  <c r="W27" i="3"/>
  <c r="U27" i="3"/>
  <c r="Z27" i="3" s="1"/>
  <c r="S27" i="3"/>
  <c r="Q27" i="3"/>
  <c r="P27" i="3"/>
  <c r="M27" i="3"/>
  <c r="L27" i="3"/>
  <c r="K27" i="3"/>
  <c r="J27" i="3"/>
  <c r="I27" i="3"/>
  <c r="H27" i="3"/>
  <c r="G27" i="3"/>
  <c r="F27" i="3"/>
  <c r="E27" i="3"/>
  <c r="D27" i="3"/>
  <c r="C27" i="3"/>
  <c r="B27" i="3"/>
  <c r="A27" i="3"/>
  <c r="AA26" i="3"/>
  <c r="X26" i="3"/>
  <c r="W26" i="3"/>
  <c r="U26" i="3"/>
  <c r="Z26" i="3" s="1"/>
  <c r="S26" i="3"/>
  <c r="Q26" i="3"/>
  <c r="P26" i="3"/>
  <c r="O26" i="3"/>
  <c r="Y26" i="3" s="1"/>
  <c r="M26" i="3"/>
  <c r="L26" i="3"/>
  <c r="K26" i="3"/>
  <c r="J26" i="3"/>
  <c r="I26" i="3"/>
  <c r="H26" i="3"/>
  <c r="G26" i="3"/>
  <c r="F26" i="3"/>
  <c r="E26" i="3"/>
  <c r="D26" i="3"/>
  <c r="C26" i="3"/>
  <c r="B26" i="3"/>
  <c r="A26" i="3"/>
  <c r="AA25" i="3"/>
  <c r="Y25" i="3"/>
  <c r="X25" i="3"/>
  <c r="W25" i="3"/>
  <c r="U25" i="3"/>
  <c r="Z25" i="3" s="1"/>
  <c r="S25" i="3"/>
  <c r="Q25" i="3"/>
  <c r="P25" i="3"/>
  <c r="M25" i="3"/>
  <c r="L25" i="3"/>
  <c r="K25" i="3"/>
  <c r="J25" i="3"/>
  <c r="I25" i="3"/>
  <c r="H25" i="3"/>
  <c r="G25" i="3"/>
  <c r="F25" i="3"/>
  <c r="E25" i="3"/>
  <c r="D25" i="3"/>
  <c r="C25" i="3"/>
  <c r="B25" i="3"/>
  <c r="A25" i="3"/>
  <c r="AA24" i="3"/>
  <c r="Y24" i="3"/>
  <c r="X24" i="3"/>
  <c r="W24" i="3"/>
  <c r="U24" i="3"/>
  <c r="Z24" i="3" s="1"/>
  <c r="S24" i="3"/>
  <c r="Q24" i="3"/>
  <c r="P24" i="3"/>
  <c r="M24" i="3"/>
  <c r="L24" i="3"/>
  <c r="K24" i="3"/>
  <c r="J24" i="3"/>
  <c r="I24" i="3"/>
  <c r="H24" i="3"/>
  <c r="G24" i="3"/>
  <c r="F24" i="3"/>
  <c r="E24" i="3"/>
  <c r="D24" i="3"/>
  <c r="C24" i="3"/>
  <c r="B24" i="3"/>
  <c r="A24" i="3"/>
  <c r="AA23" i="3"/>
  <c r="Y23" i="3"/>
  <c r="X23" i="3"/>
  <c r="W23" i="3"/>
  <c r="U23" i="3"/>
  <c r="Z23" i="3" s="1"/>
  <c r="S23" i="3"/>
  <c r="Q23" i="3"/>
  <c r="P23" i="3"/>
  <c r="M23" i="3"/>
  <c r="L23" i="3"/>
  <c r="K23" i="3"/>
  <c r="J23" i="3"/>
  <c r="I23" i="3"/>
  <c r="H23" i="3"/>
  <c r="G23" i="3"/>
  <c r="F23" i="3"/>
  <c r="E23" i="3"/>
  <c r="D23" i="3"/>
  <c r="C23" i="3"/>
  <c r="B23" i="3"/>
  <c r="A23" i="3"/>
  <c r="AA22" i="3"/>
  <c r="Y22" i="3"/>
  <c r="X22" i="3"/>
  <c r="W22" i="3"/>
  <c r="U22" i="3"/>
  <c r="Z22" i="3" s="1"/>
  <c r="S22" i="3"/>
  <c r="Q22" i="3"/>
  <c r="P22" i="3"/>
  <c r="M22" i="3"/>
  <c r="L22" i="3"/>
  <c r="K22" i="3"/>
  <c r="J22" i="3"/>
  <c r="I22" i="3"/>
  <c r="H22" i="3"/>
  <c r="G22" i="3"/>
  <c r="F22" i="3"/>
  <c r="E22" i="3"/>
  <c r="D22" i="3"/>
  <c r="C22" i="3"/>
  <c r="B22" i="3"/>
  <c r="A22" i="3"/>
  <c r="AA21" i="3"/>
  <c r="Y21" i="3"/>
  <c r="X21" i="3"/>
  <c r="W21" i="3"/>
  <c r="U21" i="3"/>
  <c r="Z21" i="3" s="1"/>
  <c r="S21" i="3"/>
  <c r="Q21" i="3"/>
  <c r="P21" i="3"/>
  <c r="M21" i="3"/>
  <c r="L21" i="3"/>
  <c r="K21" i="3"/>
  <c r="J21" i="3"/>
  <c r="I21" i="3"/>
  <c r="H21" i="3"/>
  <c r="G21" i="3"/>
  <c r="F21" i="3"/>
  <c r="E21" i="3"/>
  <c r="D21" i="3"/>
  <c r="C21" i="3"/>
  <c r="B21" i="3"/>
  <c r="A21" i="3"/>
  <c r="AA20" i="3"/>
  <c r="X20" i="3"/>
  <c r="W20" i="3"/>
  <c r="U20" i="3"/>
  <c r="Z20" i="3" s="1"/>
  <c r="S20" i="3"/>
  <c r="Q20" i="3"/>
  <c r="P20" i="3"/>
  <c r="O20" i="3"/>
  <c r="Y20" i="3" s="1"/>
  <c r="M20" i="3"/>
  <c r="L20" i="3"/>
  <c r="K20" i="3"/>
  <c r="J20" i="3"/>
  <c r="I20" i="3"/>
  <c r="H20" i="3"/>
  <c r="G20" i="3"/>
  <c r="F20" i="3"/>
  <c r="E20" i="3"/>
  <c r="D20" i="3"/>
  <c r="C20" i="3"/>
  <c r="B20" i="3"/>
  <c r="A20" i="3"/>
  <c r="AA19" i="3"/>
  <c r="Y19" i="3"/>
  <c r="X19" i="3"/>
  <c r="W19" i="3"/>
  <c r="U19" i="3"/>
  <c r="Z19" i="3" s="1"/>
  <c r="S19" i="3"/>
  <c r="Q19" i="3"/>
  <c r="P19" i="3"/>
  <c r="M19" i="3"/>
  <c r="L19" i="3"/>
  <c r="K19" i="3"/>
  <c r="J19" i="3"/>
  <c r="I19" i="3"/>
  <c r="H19" i="3"/>
  <c r="G19" i="3"/>
  <c r="F19" i="3"/>
  <c r="E19" i="3"/>
  <c r="D19" i="3"/>
  <c r="C19" i="3"/>
  <c r="B19" i="3"/>
  <c r="A19" i="3"/>
  <c r="AA18" i="3"/>
  <c r="X18" i="3"/>
  <c r="W18" i="3"/>
  <c r="U18" i="3"/>
  <c r="Z18" i="3" s="1"/>
  <c r="S18" i="3"/>
  <c r="Q18" i="3"/>
  <c r="P18" i="3"/>
  <c r="O18" i="3"/>
  <c r="Y18" i="3" s="1"/>
  <c r="M18" i="3"/>
  <c r="L18" i="3"/>
  <c r="K18" i="3"/>
  <c r="J18" i="3"/>
  <c r="I18" i="3"/>
  <c r="H18" i="3"/>
  <c r="G18" i="3"/>
  <c r="F18" i="3"/>
  <c r="E18" i="3"/>
  <c r="D18" i="3"/>
  <c r="C18" i="3"/>
  <c r="B18" i="3"/>
  <c r="A18" i="3"/>
  <c r="AA17" i="3"/>
  <c r="Y17" i="3"/>
  <c r="X17" i="3"/>
  <c r="W17" i="3"/>
  <c r="U17" i="3"/>
  <c r="Z17" i="3" s="1"/>
  <c r="S17" i="3"/>
  <c r="Q17" i="3"/>
  <c r="P17" i="3"/>
  <c r="M17" i="3"/>
  <c r="L17" i="3"/>
  <c r="K17" i="3"/>
  <c r="J17" i="3"/>
  <c r="I17" i="3"/>
  <c r="H17" i="3"/>
  <c r="G17" i="3"/>
  <c r="F17" i="3"/>
  <c r="E17" i="3"/>
  <c r="D17" i="3"/>
  <c r="C17" i="3"/>
  <c r="B17" i="3"/>
  <c r="A17" i="3"/>
  <c r="AA16" i="3"/>
  <c r="X16" i="3"/>
  <c r="W16" i="3"/>
  <c r="U16" i="3"/>
  <c r="Z16" i="3" s="1"/>
  <c r="S16" i="3"/>
  <c r="Q16" i="3"/>
  <c r="P16" i="3"/>
  <c r="O16" i="3"/>
  <c r="Y16" i="3" s="1"/>
  <c r="M16" i="3"/>
  <c r="L16" i="3"/>
  <c r="K16" i="3"/>
  <c r="J16" i="3"/>
  <c r="I16" i="3"/>
  <c r="H16" i="3"/>
  <c r="G16" i="3"/>
  <c r="F16" i="3"/>
  <c r="E16" i="3"/>
  <c r="D16" i="3"/>
  <c r="C16" i="3"/>
  <c r="B16" i="3"/>
  <c r="A16" i="3"/>
  <c r="AA15" i="3"/>
  <c r="Y15" i="3"/>
  <c r="X15" i="3"/>
  <c r="W15" i="3"/>
  <c r="U15" i="3"/>
  <c r="Z15" i="3" s="1"/>
  <c r="S15" i="3"/>
  <c r="Q15" i="3"/>
  <c r="P15" i="3"/>
  <c r="M15" i="3"/>
  <c r="L15" i="3"/>
  <c r="K15" i="3"/>
  <c r="J15" i="3"/>
  <c r="I15" i="3"/>
  <c r="H15" i="3"/>
  <c r="G15" i="3"/>
  <c r="F15" i="3"/>
  <c r="E15" i="3"/>
  <c r="D15" i="3"/>
  <c r="C15" i="3"/>
  <c r="B15" i="3"/>
  <c r="A15" i="3"/>
  <c r="AA14" i="3"/>
  <c r="Y14" i="3"/>
  <c r="X14" i="3"/>
  <c r="W14" i="3"/>
  <c r="U14" i="3"/>
  <c r="Z14" i="3" s="1"/>
  <c r="S14" i="3"/>
  <c r="Q14" i="3"/>
  <c r="P14" i="3"/>
  <c r="M14" i="3"/>
  <c r="L14" i="3"/>
  <c r="K14" i="3"/>
  <c r="J14" i="3"/>
  <c r="I14" i="3"/>
  <c r="H14" i="3"/>
  <c r="G14" i="3"/>
  <c r="F14" i="3"/>
  <c r="E14" i="3"/>
  <c r="D14" i="3"/>
  <c r="C14" i="3"/>
  <c r="B14" i="3"/>
  <c r="A14" i="3"/>
  <c r="AA13" i="3"/>
  <c r="Y13" i="3"/>
  <c r="X13" i="3"/>
  <c r="W13" i="3"/>
  <c r="U13" i="3"/>
  <c r="Z13" i="3" s="1"/>
  <c r="S13" i="3"/>
  <c r="Q13" i="3"/>
  <c r="P13" i="3"/>
  <c r="M13" i="3"/>
  <c r="L13" i="3"/>
  <c r="K13" i="3"/>
  <c r="J13" i="3"/>
  <c r="I13" i="3"/>
  <c r="H13" i="3"/>
  <c r="G13" i="3"/>
  <c r="F13" i="3"/>
  <c r="E13" i="3"/>
  <c r="D13" i="3"/>
  <c r="C13" i="3"/>
  <c r="B13" i="3"/>
  <c r="A13" i="3"/>
  <c r="AA12" i="3"/>
  <c r="Y12" i="3"/>
  <c r="X12" i="3"/>
  <c r="W12" i="3"/>
  <c r="U12" i="3"/>
  <c r="Z12" i="3" s="1"/>
  <c r="S12" i="3"/>
  <c r="Q12" i="3"/>
  <c r="P12" i="3"/>
  <c r="M12" i="3"/>
  <c r="L12" i="3"/>
  <c r="K12" i="3"/>
  <c r="J12" i="3"/>
  <c r="I12" i="3"/>
  <c r="H12" i="3"/>
  <c r="G12" i="3"/>
  <c r="F12" i="3"/>
  <c r="E12" i="3"/>
  <c r="D12" i="3"/>
  <c r="C12" i="3"/>
  <c r="B12" i="3"/>
  <c r="A12" i="3"/>
  <c r="AA11" i="3"/>
  <c r="Y11" i="3"/>
  <c r="X11" i="3"/>
  <c r="W11" i="3"/>
  <c r="U11" i="3"/>
  <c r="Z11" i="3" s="1"/>
  <c r="S11" i="3"/>
  <c r="Q11" i="3"/>
  <c r="P11" i="3"/>
  <c r="M11" i="3"/>
  <c r="L11" i="3"/>
  <c r="K11" i="3"/>
  <c r="J11" i="3"/>
  <c r="I11" i="3"/>
  <c r="H11" i="3"/>
  <c r="G11" i="3"/>
  <c r="F11" i="3"/>
  <c r="E11" i="3"/>
  <c r="D11" i="3"/>
  <c r="C11" i="3"/>
  <c r="B11" i="3"/>
  <c r="A11" i="3"/>
  <c r="AA10" i="3"/>
  <c r="Y10" i="3"/>
  <c r="X10" i="3"/>
  <c r="W10" i="3"/>
  <c r="U10" i="3"/>
  <c r="Z10" i="3" s="1"/>
  <c r="S10" i="3"/>
  <c r="Q10" i="3"/>
  <c r="P10" i="3"/>
  <c r="M10" i="3"/>
  <c r="L10" i="3"/>
  <c r="K10" i="3"/>
  <c r="J10" i="3"/>
  <c r="I10" i="3"/>
  <c r="H10" i="3"/>
  <c r="G10" i="3"/>
  <c r="F10" i="3"/>
  <c r="E10" i="3"/>
  <c r="D10" i="3"/>
  <c r="C10" i="3"/>
  <c r="B10" i="3"/>
  <c r="A10" i="3"/>
  <c r="AA9" i="3"/>
  <c r="Y9" i="3"/>
  <c r="X9" i="3"/>
  <c r="W9" i="3"/>
  <c r="U9" i="3"/>
  <c r="Z9" i="3" s="1"/>
  <c r="S9" i="3"/>
  <c r="Q9" i="3"/>
  <c r="P9" i="3"/>
  <c r="M9" i="3"/>
  <c r="L9" i="3"/>
  <c r="K9" i="3"/>
  <c r="J9" i="3"/>
  <c r="I9" i="3"/>
  <c r="H9" i="3"/>
  <c r="G9" i="3"/>
  <c r="F9" i="3"/>
  <c r="E9" i="3"/>
  <c r="D9" i="3"/>
  <c r="C9" i="3"/>
  <c r="B9" i="3"/>
  <c r="A9" i="3"/>
  <c r="AA8" i="3"/>
  <c r="Y8" i="3"/>
  <c r="X8" i="3"/>
  <c r="W8" i="3"/>
  <c r="U8" i="3"/>
  <c r="Z8" i="3" s="1"/>
  <c r="S8" i="3"/>
  <c r="Q8" i="3"/>
  <c r="P8" i="3"/>
  <c r="M8" i="3"/>
  <c r="L8" i="3"/>
  <c r="K8" i="3"/>
  <c r="J8" i="3"/>
  <c r="I8" i="3"/>
  <c r="H8" i="3"/>
  <c r="G8" i="3"/>
  <c r="F8" i="3"/>
  <c r="E8" i="3"/>
  <c r="D8" i="3"/>
  <c r="C8" i="3"/>
  <c r="B8" i="3"/>
  <c r="A8" i="3"/>
  <c r="AA7" i="3"/>
  <c r="Y7" i="3"/>
  <c r="X7" i="3"/>
  <c r="W7" i="3"/>
  <c r="U7" i="3"/>
  <c r="Z7" i="3" s="1"/>
  <c r="S7" i="3"/>
  <c r="Q7" i="3"/>
  <c r="P7" i="3"/>
  <c r="M7" i="3"/>
  <c r="L7" i="3"/>
  <c r="K7" i="3"/>
  <c r="J7" i="3"/>
  <c r="I7" i="3"/>
  <c r="H7" i="3"/>
  <c r="G7" i="3"/>
  <c r="F7" i="3"/>
  <c r="E7" i="3"/>
  <c r="D7" i="3"/>
  <c r="C7" i="3"/>
  <c r="B7" i="3"/>
  <c r="A7" i="3"/>
  <c r="AA6" i="3"/>
  <c r="Y6" i="3"/>
  <c r="X6" i="3"/>
  <c r="W6" i="3"/>
  <c r="U6" i="3"/>
  <c r="Z6" i="3" s="1"/>
  <c r="S6" i="3"/>
  <c r="Q6" i="3"/>
  <c r="P6" i="3"/>
  <c r="M6" i="3"/>
  <c r="L6" i="3"/>
  <c r="K6" i="3"/>
  <c r="J6" i="3"/>
  <c r="I6" i="3"/>
  <c r="H6" i="3"/>
  <c r="G6" i="3"/>
  <c r="F6" i="3"/>
  <c r="E6" i="3"/>
  <c r="D6" i="3"/>
  <c r="C6" i="3"/>
  <c r="B6" i="3"/>
  <c r="A6" i="3"/>
  <c r="AA5" i="3"/>
  <c r="X5" i="3"/>
  <c r="W5" i="3"/>
  <c r="U5" i="3"/>
  <c r="Z5" i="3" s="1"/>
  <c r="S5" i="3"/>
  <c r="Q5" i="3"/>
  <c r="P5" i="3"/>
  <c r="O5" i="3"/>
  <c r="Y5" i="3" s="1"/>
  <c r="M5" i="3"/>
  <c r="L5" i="3"/>
  <c r="K5" i="3"/>
  <c r="J5" i="3"/>
  <c r="I5" i="3"/>
  <c r="H5" i="3"/>
  <c r="G5" i="3"/>
  <c r="F5" i="3"/>
  <c r="E5" i="3"/>
  <c r="D5" i="3"/>
  <c r="C5" i="3"/>
  <c r="B5" i="3"/>
  <c r="A5" i="3"/>
  <c r="AA4" i="3"/>
  <c r="X4" i="3"/>
  <c r="W4" i="3"/>
  <c r="U4" i="3"/>
  <c r="Z4" i="3" s="1"/>
  <c r="S4" i="3"/>
  <c r="Q4" i="3"/>
  <c r="P4" i="3"/>
  <c r="O4" i="3"/>
  <c r="Y4" i="3" s="1"/>
  <c r="M4" i="3"/>
  <c r="L4" i="3"/>
  <c r="K4" i="3"/>
  <c r="J4" i="3"/>
  <c r="I4" i="3"/>
  <c r="H4" i="3"/>
  <c r="G4" i="3"/>
  <c r="F4" i="3"/>
  <c r="E4" i="3"/>
  <c r="D4" i="3"/>
  <c r="C4" i="3"/>
  <c r="B4" i="3"/>
  <c r="A4" i="3"/>
  <c r="AA3" i="3"/>
  <c r="X3" i="3"/>
  <c r="W3" i="3"/>
  <c r="U3" i="3"/>
  <c r="Z3" i="3" s="1"/>
  <c r="S3" i="3"/>
  <c r="Q3" i="3"/>
  <c r="P3" i="3"/>
  <c r="O3" i="3"/>
  <c r="Y3" i="3" s="1"/>
  <c r="M3" i="3"/>
  <c r="L3" i="3"/>
  <c r="K3" i="3"/>
  <c r="J3" i="3"/>
  <c r="I3" i="3"/>
  <c r="H3" i="3"/>
  <c r="G3" i="3"/>
  <c r="F3" i="3"/>
  <c r="E3" i="3"/>
  <c r="D3" i="3"/>
  <c r="C3" i="3"/>
  <c r="B3" i="3"/>
  <c r="A3" i="3"/>
  <c r="AA2" i="3"/>
  <c r="Y2" i="3"/>
  <c r="X2" i="3"/>
  <c r="W2" i="3"/>
  <c r="U2" i="3"/>
  <c r="Z2" i="3" s="1"/>
  <c r="S2" i="3"/>
  <c r="Q2" i="3"/>
  <c r="P2" i="3"/>
  <c r="M2" i="3"/>
  <c r="L2" i="3"/>
  <c r="K2" i="3"/>
  <c r="J2" i="3"/>
  <c r="I2" i="3"/>
  <c r="H2" i="3"/>
  <c r="G2" i="3"/>
  <c r="F2" i="3"/>
  <c r="E2" i="3"/>
  <c r="D2" i="3"/>
  <c r="C2" i="3"/>
  <c r="B2" i="3"/>
  <c r="A2" i="3"/>
  <c r="K20" i="2"/>
  <c r="J20" i="2"/>
  <c r="I20" i="2"/>
  <c r="H20" i="2"/>
  <c r="G20" i="2"/>
  <c r="F20" i="2"/>
  <c r="E20" i="2"/>
  <c r="D20" i="2"/>
  <c r="C20" i="2"/>
  <c r="B20" i="2"/>
  <c r="A20" i="2"/>
  <c r="K19" i="2"/>
  <c r="J19" i="2"/>
  <c r="I19" i="2"/>
  <c r="H19" i="2"/>
  <c r="G19" i="2"/>
  <c r="F19" i="2"/>
  <c r="E19" i="2"/>
  <c r="D19" i="2"/>
  <c r="C19" i="2"/>
  <c r="B19" i="2"/>
  <c r="A19" i="2"/>
  <c r="K18" i="2"/>
  <c r="J18" i="2"/>
  <c r="I18" i="2"/>
  <c r="H18" i="2"/>
  <c r="G18" i="2"/>
  <c r="F18" i="2"/>
  <c r="E18" i="2"/>
  <c r="D18" i="2"/>
  <c r="C18" i="2"/>
  <c r="B18" i="2"/>
  <c r="A18" i="2"/>
  <c r="K17" i="2"/>
  <c r="J17" i="2"/>
  <c r="I17" i="2"/>
  <c r="H17" i="2"/>
  <c r="G17" i="2"/>
  <c r="F17" i="2"/>
  <c r="E17" i="2"/>
  <c r="D17" i="2"/>
  <c r="C17" i="2"/>
  <c r="B17" i="2"/>
  <c r="A17" i="2"/>
  <c r="K16" i="2"/>
  <c r="J16" i="2"/>
  <c r="I16" i="2"/>
  <c r="H16" i="2"/>
  <c r="G16" i="2"/>
  <c r="F16" i="2"/>
  <c r="E16" i="2"/>
  <c r="D16" i="2"/>
  <c r="C16" i="2"/>
  <c r="B16" i="2"/>
  <c r="A16" i="2"/>
  <c r="K15" i="2"/>
  <c r="J15" i="2"/>
  <c r="H15" i="2"/>
  <c r="G15" i="2"/>
  <c r="F15" i="2"/>
  <c r="E15" i="2"/>
  <c r="D15" i="2"/>
  <c r="C15" i="2"/>
  <c r="B15" i="2"/>
  <c r="A15" i="2"/>
  <c r="K14" i="2"/>
  <c r="J14" i="2"/>
  <c r="H14" i="2"/>
  <c r="G14" i="2"/>
  <c r="F14" i="2"/>
  <c r="E14" i="2"/>
  <c r="D14" i="2"/>
  <c r="C14" i="2"/>
  <c r="B14" i="2"/>
  <c r="A14" i="2"/>
  <c r="K13" i="2"/>
  <c r="J13" i="2"/>
  <c r="I13" i="2"/>
  <c r="H13" i="2"/>
  <c r="G13" i="2"/>
  <c r="F13" i="2"/>
  <c r="E13" i="2"/>
  <c r="D13" i="2"/>
  <c r="C13" i="2"/>
  <c r="B13" i="2"/>
  <c r="A13" i="2"/>
  <c r="K12" i="2"/>
  <c r="J12" i="2"/>
  <c r="I12" i="2"/>
  <c r="H12" i="2"/>
  <c r="G12" i="2"/>
  <c r="F12" i="2"/>
  <c r="E12" i="2"/>
  <c r="D12" i="2"/>
  <c r="C12" i="2"/>
  <c r="B12" i="2"/>
  <c r="A12" i="2"/>
  <c r="K11" i="2"/>
  <c r="J11" i="2"/>
  <c r="I11" i="2"/>
  <c r="H11" i="2"/>
  <c r="G11" i="2"/>
  <c r="F11" i="2"/>
  <c r="E11" i="2"/>
  <c r="D11" i="2"/>
  <c r="C11" i="2"/>
  <c r="B11" i="2"/>
  <c r="A11" i="2"/>
  <c r="K10" i="2"/>
  <c r="J10" i="2"/>
  <c r="H10" i="2"/>
  <c r="G10" i="2"/>
  <c r="F10" i="2"/>
  <c r="E10" i="2"/>
  <c r="D10" i="2"/>
  <c r="C10" i="2"/>
  <c r="B10" i="2"/>
  <c r="A10" i="2"/>
  <c r="K9" i="2"/>
  <c r="J9" i="2"/>
  <c r="I9" i="2"/>
  <c r="H9" i="2"/>
  <c r="G9" i="2"/>
  <c r="F9" i="2"/>
  <c r="E9" i="2"/>
  <c r="D9" i="2"/>
  <c r="C9" i="2"/>
  <c r="B9" i="2"/>
  <c r="A9" i="2"/>
  <c r="K8" i="2"/>
  <c r="J8" i="2"/>
  <c r="I8" i="2"/>
  <c r="H8" i="2"/>
  <c r="G8" i="2"/>
  <c r="F8" i="2"/>
  <c r="E8" i="2"/>
  <c r="D8" i="2"/>
  <c r="C8" i="2"/>
  <c r="B8" i="2"/>
  <c r="A8" i="2"/>
  <c r="K7" i="2"/>
  <c r="J7" i="2"/>
  <c r="I7" i="2"/>
  <c r="H7" i="2"/>
  <c r="G7" i="2"/>
  <c r="F7" i="2"/>
  <c r="E7" i="2"/>
  <c r="D7" i="2"/>
  <c r="C7" i="2"/>
  <c r="B7" i="2"/>
  <c r="A7" i="2"/>
  <c r="K6" i="2"/>
  <c r="J6" i="2"/>
  <c r="I6" i="2"/>
  <c r="H6" i="2"/>
  <c r="G6" i="2"/>
  <c r="F6" i="2"/>
  <c r="E6" i="2"/>
  <c r="D6" i="2"/>
  <c r="C6" i="2"/>
  <c r="B6" i="2"/>
  <c r="A6" i="2"/>
  <c r="K5" i="2"/>
  <c r="J5" i="2"/>
  <c r="I5" i="2"/>
  <c r="H5" i="2"/>
  <c r="G5" i="2"/>
  <c r="F5" i="2"/>
  <c r="E5" i="2"/>
  <c r="D5" i="2"/>
  <c r="C5" i="2"/>
  <c r="B5" i="2"/>
  <c r="A5" i="2"/>
  <c r="K4" i="2"/>
  <c r="J4" i="2"/>
  <c r="I4" i="2"/>
  <c r="H4" i="2"/>
  <c r="G4" i="2"/>
  <c r="F4" i="2"/>
  <c r="E4" i="2"/>
  <c r="D4" i="2"/>
  <c r="C4" i="2"/>
  <c r="B4" i="2"/>
  <c r="A4" i="2"/>
  <c r="K3" i="2"/>
  <c r="J3" i="2"/>
  <c r="I3" i="2"/>
  <c r="H3" i="2"/>
  <c r="G3" i="2"/>
  <c r="F3" i="2"/>
  <c r="E3" i="2"/>
  <c r="D3" i="2"/>
  <c r="C3" i="2"/>
  <c r="B3" i="2"/>
  <c r="A3" i="2"/>
  <c r="K2" i="2"/>
  <c r="J2" i="2"/>
  <c r="I2" i="2"/>
  <c r="H2" i="2"/>
  <c r="G2" i="2"/>
  <c r="F2" i="2"/>
  <c r="E2" i="2"/>
  <c r="D2" i="2"/>
  <c r="C2" i="2"/>
  <c r="B2" i="2"/>
  <c r="A2" i="2"/>
  <c r="A51" i="1"/>
  <c r="G50" i="1"/>
  <c r="F50" i="1"/>
  <c r="A50" i="1"/>
  <c r="G49" i="1"/>
  <c r="F49" i="1"/>
  <c r="A49" i="1"/>
  <c r="G48" i="1"/>
  <c r="F48" i="1"/>
  <c r="A48" i="1"/>
  <c r="G47" i="1"/>
  <c r="F47" i="1"/>
  <c r="A47" i="1"/>
  <c r="G46" i="1"/>
  <c r="F46" i="1"/>
  <c r="A46" i="1"/>
  <c r="G45" i="1"/>
  <c r="F45" i="1"/>
  <c r="A45" i="1"/>
  <c r="G44" i="1"/>
  <c r="F44" i="1"/>
  <c r="A44" i="1"/>
  <c r="G43" i="1"/>
  <c r="F43" i="1"/>
  <c r="A43" i="1"/>
  <c r="G42" i="1"/>
  <c r="F42" i="1"/>
  <c r="A42" i="1"/>
  <c r="G41" i="1"/>
  <c r="F41" i="1"/>
  <c r="A41" i="1"/>
  <c r="G40" i="1"/>
  <c r="F40" i="1"/>
  <c r="A40" i="1"/>
  <c r="G39" i="1"/>
  <c r="F39" i="1"/>
  <c r="A39" i="1"/>
  <c r="G38" i="1"/>
  <c r="F38" i="1"/>
  <c r="A38" i="1"/>
  <c r="G37" i="1"/>
  <c r="F37" i="1"/>
  <c r="A37" i="1"/>
  <c r="G36" i="1"/>
  <c r="F36" i="1"/>
  <c r="A36" i="1"/>
  <c r="G35" i="1"/>
  <c r="F35" i="1"/>
  <c r="A35" i="1"/>
  <c r="G34" i="1"/>
  <c r="F34" i="1"/>
  <c r="A34" i="1"/>
  <c r="G33" i="1"/>
  <c r="F33" i="1"/>
  <c r="A33" i="1"/>
  <c r="G32" i="1"/>
  <c r="F32" i="1"/>
  <c r="A32" i="1"/>
  <c r="G31" i="1"/>
  <c r="F31" i="1"/>
  <c r="A31" i="1"/>
  <c r="G30" i="1"/>
  <c r="F30" i="1"/>
  <c r="A30" i="1"/>
  <c r="G29" i="1"/>
  <c r="F29" i="1"/>
  <c r="A29" i="1"/>
  <c r="G28" i="1"/>
  <c r="F28" i="1"/>
  <c r="A28" i="1"/>
  <c r="G27" i="1"/>
  <c r="F27" i="1"/>
  <c r="A27" i="1"/>
  <c r="G26" i="1"/>
  <c r="F26" i="1"/>
  <c r="A26" i="1"/>
  <c r="G25" i="1"/>
  <c r="F25" i="1"/>
  <c r="A25" i="1"/>
  <c r="G24" i="1"/>
  <c r="F24" i="1"/>
  <c r="A24" i="1"/>
  <c r="G23" i="1"/>
  <c r="F23" i="1"/>
  <c r="A23" i="1"/>
  <c r="G22" i="1"/>
  <c r="F22" i="1"/>
  <c r="A22" i="1"/>
  <c r="G21" i="1"/>
  <c r="F21" i="1"/>
  <c r="A21" i="1"/>
  <c r="A20" i="1"/>
  <c r="C20" i="1" s="1"/>
  <c r="A19" i="1"/>
  <c r="C19" i="1" s="1"/>
  <c r="A18" i="1"/>
  <c r="C18" i="1" s="1"/>
  <c r="A17" i="1"/>
  <c r="C17" i="1" s="1"/>
  <c r="A16" i="1"/>
  <c r="C16" i="1" s="1"/>
  <c r="A15" i="1"/>
  <c r="C15" i="1" s="1"/>
  <c r="A14" i="1"/>
  <c r="C14" i="1" s="1"/>
  <c r="A13" i="1"/>
  <c r="C13" i="1" s="1"/>
  <c r="A12" i="1"/>
  <c r="C12" i="1" s="1"/>
  <c r="A11" i="1"/>
  <c r="C11" i="1" s="1"/>
  <c r="A10" i="1"/>
  <c r="C10" i="1" s="1"/>
  <c r="A9" i="1"/>
  <c r="C9" i="1" s="1"/>
  <c r="A8" i="1"/>
  <c r="C8" i="1" s="1"/>
  <c r="A7" i="1"/>
  <c r="C7" i="1" s="1"/>
  <c r="A6" i="1"/>
  <c r="C6" i="1" s="1"/>
  <c r="A5" i="1"/>
  <c r="C5" i="1" s="1"/>
  <c r="A4" i="1"/>
  <c r="C4" i="1" s="1"/>
  <c r="A3" i="1"/>
  <c r="C3" i="1" s="1"/>
  <c r="A2" i="1"/>
  <c r="C2" i="1" s="1"/>
  <c r="J61" i="14" l="1"/>
  <c r="W43" i="21"/>
  <c r="W67" i="21"/>
  <c r="J107" i="14"/>
  <c r="W65" i="21"/>
  <c r="J4" i="14"/>
  <c r="J22" i="14"/>
  <c r="J36" i="14"/>
  <c r="J201" i="14"/>
  <c r="W61" i="21"/>
  <c r="W87" i="21"/>
  <c r="W33" i="21"/>
  <c r="W102" i="21"/>
  <c r="J129" i="14"/>
  <c r="J133" i="14"/>
  <c r="F39" i="15"/>
  <c r="F42" i="15"/>
  <c r="AI33" i="21"/>
  <c r="AU37" i="21"/>
  <c r="AI19" i="21"/>
  <c r="J89" i="14"/>
  <c r="J91" i="14"/>
  <c r="J101" i="14"/>
  <c r="J103" i="14"/>
  <c r="J105" i="14"/>
  <c r="W59" i="21"/>
  <c r="W77" i="21"/>
  <c r="W79" i="21"/>
  <c r="J111" i="14"/>
  <c r="J113" i="14"/>
  <c r="J121" i="14"/>
  <c r="J318" i="14"/>
  <c r="W106" i="21"/>
  <c r="J155" i="14"/>
  <c r="J167" i="14"/>
  <c r="J177" i="14"/>
  <c r="J179" i="14"/>
  <c r="W134" i="21"/>
  <c r="W18" i="21"/>
  <c r="J217" i="14"/>
  <c r="W100" i="21"/>
  <c r="AI9" i="21"/>
  <c r="AU59" i="21"/>
  <c r="AU39" i="21"/>
  <c r="J255" i="14"/>
  <c r="J259" i="14"/>
  <c r="J279" i="14"/>
  <c r="J293" i="14"/>
  <c r="J3" i="14"/>
  <c r="J5" i="14"/>
  <c r="J7" i="14"/>
  <c r="J9" i="14"/>
  <c r="J23" i="14"/>
  <c r="J29" i="14"/>
  <c r="J31" i="14"/>
  <c r="J33" i="14"/>
  <c r="J35" i="14"/>
  <c r="J110" i="14"/>
  <c r="AU17" i="21"/>
  <c r="W30" i="21"/>
  <c r="W121" i="21"/>
  <c r="J166" i="14"/>
  <c r="J172" i="14"/>
  <c r="J180" i="14"/>
  <c r="J184" i="14"/>
  <c r="J226" i="14"/>
  <c r="J228" i="14"/>
  <c r="J345" i="14"/>
  <c r="J347" i="14"/>
  <c r="J357" i="14"/>
  <c r="W135" i="21"/>
  <c r="W56" i="21"/>
  <c r="W31" i="21"/>
  <c r="W115" i="21"/>
  <c r="J322" i="14"/>
  <c r="AU11" i="21"/>
  <c r="W94" i="21"/>
  <c r="W105" i="21"/>
  <c r="W83" i="21"/>
  <c r="W96" i="21"/>
  <c r="F17" i="15"/>
  <c r="W70" i="21"/>
  <c r="W85" i="21"/>
  <c r="J62" i="14"/>
  <c r="J235" i="14"/>
  <c r="J243" i="14"/>
  <c r="J317" i="14"/>
  <c r="J321" i="14"/>
  <c r="J323" i="14"/>
  <c r="J90" i="14"/>
  <c r="J92" i="14"/>
  <c r="J106" i="14"/>
  <c r="J136" i="14"/>
  <c r="J142" i="14"/>
  <c r="J154" i="14"/>
  <c r="J303" i="14"/>
  <c r="J305" i="14"/>
  <c r="J315" i="14"/>
  <c r="AI16" i="21"/>
  <c r="AI20" i="21"/>
  <c r="W45" i="21"/>
  <c r="AU50" i="21"/>
  <c r="W60" i="21"/>
  <c r="W109" i="21"/>
  <c r="J192" i="14"/>
  <c r="J200" i="14"/>
  <c r="J202" i="14"/>
  <c r="J204" i="14"/>
  <c r="J210" i="14"/>
  <c r="F28" i="15"/>
  <c r="F43" i="15"/>
  <c r="J232" i="14"/>
  <c r="J234" i="14"/>
  <c r="J244" i="14"/>
  <c r="W75" i="21"/>
  <c r="B19" i="1"/>
  <c r="F19" i="1" s="1"/>
  <c r="J39" i="14"/>
  <c r="W91" i="21"/>
  <c r="J246" i="14"/>
  <c r="J260" i="14"/>
  <c r="J264" i="14"/>
  <c r="J266" i="14"/>
  <c r="J276" i="14"/>
  <c r="J294" i="14"/>
  <c r="J300" i="14"/>
  <c r="J312" i="14"/>
  <c r="J316" i="14"/>
  <c r="J340" i="14"/>
  <c r="J342" i="14"/>
  <c r="J344" i="14"/>
  <c r="J350" i="14"/>
  <c r="AI29" i="21"/>
  <c r="AU57" i="21"/>
  <c r="W128" i="21"/>
  <c r="W140" i="21"/>
  <c r="B7" i="1"/>
  <c r="F7" i="1" s="1"/>
  <c r="J2" i="14"/>
  <c r="J10" i="14"/>
  <c r="J14" i="14"/>
  <c r="J16" i="14"/>
  <c r="J24" i="14"/>
  <c r="J26" i="14"/>
  <c r="J32" i="14"/>
  <c r="J137" i="14"/>
  <c r="J139" i="14"/>
  <c r="J141" i="14"/>
  <c r="J145" i="14"/>
  <c r="J149" i="14"/>
  <c r="J151" i="14"/>
  <c r="J153" i="14"/>
  <c r="J218" i="14"/>
  <c r="J333" i="14"/>
  <c r="J335" i="14"/>
  <c r="J339" i="14"/>
  <c r="J341" i="14"/>
  <c r="J343" i="14"/>
  <c r="J349" i="14"/>
  <c r="J351" i="14"/>
  <c r="AI8" i="21"/>
  <c r="AU34" i="21"/>
  <c r="W95" i="21"/>
  <c r="W117" i="21"/>
  <c r="J40" i="14"/>
  <c r="J46" i="14"/>
  <c r="J52" i="14"/>
  <c r="J109" i="14"/>
  <c r="J157" i="14"/>
  <c r="J159" i="14"/>
  <c r="J161" i="14"/>
  <c r="J236" i="14"/>
  <c r="J242" i="14"/>
  <c r="J248" i="14"/>
  <c r="J250" i="14"/>
  <c r="J268" i="14"/>
  <c r="J270" i="14"/>
  <c r="J272" i="14"/>
  <c r="J280" i="14"/>
  <c r="J288" i="14"/>
  <c r="J290" i="14"/>
  <c r="J329" i="14"/>
  <c r="F20" i="15"/>
  <c r="W8" i="21"/>
  <c r="AU15" i="21"/>
  <c r="AI34" i="21"/>
  <c r="W54" i="21"/>
  <c r="AU63" i="21"/>
  <c r="W73" i="21"/>
  <c r="W118" i="21"/>
  <c r="B12" i="5"/>
  <c r="J54" i="14"/>
  <c r="J72" i="14"/>
  <c r="J78" i="14"/>
  <c r="J169" i="14"/>
  <c r="J171" i="14"/>
  <c r="J173" i="14"/>
  <c r="J175" i="14"/>
  <c r="J181" i="14"/>
  <c r="J183" i="14"/>
  <c r="J185" i="14"/>
  <c r="J187" i="14"/>
  <c r="J302" i="14"/>
  <c r="J308" i="14"/>
  <c r="F40" i="15"/>
  <c r="AI2" i="21"/>
  <c r="AI25" i="21"/>
  <c r="W63" i="21"/>
  <c r="J84" i="14"/>
  <c r="J98" i="14"/>
  <c r="J100" i="14"/>
  <c r="J104" i="14"/>
  <c r="J191" i="14"/>
  <c r="J193" i="14"/>
  <c r="J195" i="14"/>
  <c r="J197" i="14"/>
  <c r="J205" i="14"/>
  <c r="J207" i="14"/>
  <c r="AI27" i="21"/>
  <c r="W58" i="21"/>
  <c r="W88" i="21"/>
  <c r="W99" i="21"/>
  <c r="W132" i="21"/>
  <c r="J70" i="14"/>
  <c r="J219" i="14"/>
  <c r="J221" i="14"/>
  <c r="J223" i="14"/>
  <c r="J225" i="14"/>
  <c r="J227" i="14"/>
  <c r="J229" i="14"/>
  <c r="J320" i="14"/>
  <c r="W120" i="21"/>
  <c r="J108" i="14"/>
  <c r="J114" i="14"/>
  <c r="J116" i="14"/>
  <c r="J118" i="14"/>
  <c r="J120" i="14"/>
  <c r="J122" i="14"/>
  <c r="J237" i="14"/>
  <c r="J239" i="14"/>
  <c r="J326" i="14"/>
  <c r="AI13" i="21"/>
  <c r="W29" i="21"/>
  <c r="AU33" i="21"/>
  <c r="AU35" i="21"/>
  <c r="W38" i="21"/>
  <c r="AU47" i="21"/>
  <c r="AU52" i="21"/>
  <c r="W76" i="21"/>
  <c r="W89" i="21"/>
  <c r="W90" i="21"/>
  <c r="B13" i="1"/>
  <c r="F13" i="1" s="1"/>
  <c r="F11" i="15"/>
  <c r="J41" i="14"/>
  <c r="J47" i="14"/>
  <c r="J49" i="14"/>
  <c r="J160" i="14"/>
  <c r="J245" i="14"/>
  <c r="J247" i="14"/>
  <c r="J261" i="14"/>
  <c r="J263" i="14"/>
  <c r="J265" i="14"/>
  <c r="J273" i="14"/>
  <c r="J281" i="14"/>
  <c r="J283" i="14"/>
  <c r="J285" i="14"/>
  <c r="J289" i="14"/>
  <c r="AI5" i="21"/>
  <c r="W11" i="21"/>
  <c r="W13" i="21"/>
  <c r="W19" i="21"/>
  <c r="W41" i="21"/>
  <c r="AU46" i="21"/>
  <c r="W136" i="21"/>
  <c r="J15" i="14"/>
  <c r="J17" i="14"/>
  <c r="J27" i="14"/>
  <c r="J71" i="14"/>
  <c r="J73" i="14"/>
  <c r="J124" i="14"/>
  <c r="J128" i="14"/>
  <c r="J140" i="14"/>
  <c r="J144" i="14"/>
  <c r="J148" i="14"/>
  <c r="J168" i="14"/>
  <c r="J174" i="14"/>
  <c r="J176" i="14"/>
  <c r="J178" i="14"/>
  <c r="J186" i="14"/>
  <c r="J295" i="14"/>
  <c r="J297" i="14"/>
  <c r="J299" i="14"/>
  <c r="J301" i="14"/>
  <c r="J307" i="14"/>
  <c r="J309" i="14"/>
  <c r="J311" i="14"/>
  <c r="J334" i="14"/>
  <c r="J338" i="14"/>
  <c r="J358" i="14"/>
  <c r="F38" i="15"/>
  <c r="W5" i="21"/>
  <c r="AU40" i="21"/>
  <c r="W68" i="21"/>
  <c r="W93" i="21"/>
  <c r="W114" i="21"/>
  <c r="W125" i="21"/>
  <c r="AU45" i="21"/>
  <c r="W51" i="21"/>
  <c r="W82" i="21"/>
  <c r="W104" i="21"/>
  <c r="W126" i="21"/>
  <c r="W138" i="21"/>
  <c r="B11" i="5"/>
  <c r="G29" i="9"/>
  <c r="B3" i="1"/>
  <c r="F3" i="1" s="1"/>
  <c r="J93" i="14"/>
  <c r="J97" i="14"/>
  <c r="J198" i="14"/>
  <c r="J208" i="14"/>
  <c r="AI14" i="21"/>
  <c r="W26" i="21"/>
  <c r="AI30" i="21"/>
  <c r="W35" i="21"/>
  <c r="B2" i="1"/>
  <c r="G2" i="1" s="1"/>
  <c r="B15" i="1"/>
  <c r="F15" i="1" s="1"/>
  <c r="B9" i="5"/>
  <c r="B16" i="5"/>
  <c r="B14" i="1"/>
  <c r="G14" i="1" s="1"/>
  <c r="B9" i="1"/>
  <c r="F9" i="1" s="1"/>
  <c r="B10" i="1"/>
  <c r="G10" i="1" s="1"/>
  <c r="B20" i="1"/>
  <c r="G20" i="1" s="1"/>
  <c r="B16" i="1"/>
  <c r="G16" i="1" s="1"/>
  <c r="B8" i="1"/>
  <c r="G8" i="1" s="1"/>
  <c r="B4" i="1"/>
  <c r="G4" i="1" s="1"/>
  <c r="B5" i="1"/>
  <c r="F5" i="1" s="1"/>
  <c r="B11" i="1"/>
  <c r="F11" i="1" s="1"/>
  <c r="B17" i="1"/>
  <c r="F17" i="1" s="1"/>
  <c r="B6" i="1"/>
  <c r="G6" i="1" s="1"/>
  <c r="B12" i="1"/>
  <c r="G12" i="1" s="1"/>
  <c r="B18" i="1"/>
  <c r="G18" i="1" s="1"/>
  <c r="B10" i="5"/>
  <c r="J64" i="14"/>
  <c r="J131" i="14"/>
  <c r="J146" i="14"/>
  <c r="J152" i="14"/>
  <c r="J199" i="14"/>
  <c r="J203" i="14"/>
  <c r="J220" i="14"/>
  <c r="J222" i="14"/>
  <c r="J252" i="14"/>
  <c r="J254" i="14"/>
  <c r="J292" i="14"/>
  <c r="J296" i="14"/>
  <c r="J328" i="14"/>
  <c r="J332" i="14"/>
  <c r="F36" i="15"/>
  <c r="W3" i="21"/>
  <c r="AI18" i="21"/>
  <c r="AU20" i="21"/>
  <c r="W32" i="21"/>
  <c r="W37" i="21"/>
  <c r="W42" i="21"/>
  <c r="AU48" i="21"/>
  <c r="W112" i="21"/>
  <c r="W122" i="21"/>
  <c r="B15" i="5"/>
  <c r="J99" i="14"/>
  <c r="J112" i="14"/>
  <c r="J224" i="14"/>
  <c r="F4" i="15"/>
  <c r="AU31" i="21"/>
  <c r="W48" i="21"/>
  <c r="W66" i="21"/>
  <c r="W103" i="21"/>
  <c r="W113" i="21"/>
  <c r="W124" i="21"/>
  <c r="W144" i="21"/>
  <c r="J28" i="14"/>
  <c r="J43" i="14"/>
  <c r="J135" i="14"/>
  <c r="J156" i="14"/>
  <c r="J188" i="14"/>
  <c r="J190" i="14"/>
  <c r="J209" i="14"/>
  <c r="J230" i="14"/>
  <c r="J306" i="14"/>
  <c r="J348" i="14"/>
  <c r="F34" i="15"/>
  <c r="F37" i="15"/>
  <c r="AI15" i="21"/>
  <c r="W20" i="21"/>
  <c r="AI36" i="21"/>
  <c r="W47" i="21"/>
  <c r="B2" i="5"/>
  <c r="J13" i="14"/>
  <c r="J86" i="14"/>
  <c r="J88" i="14"/>
  <c r="J194" i="14"/>
  <c r="J196" i="14"/>
  <c r="J249" i="14"/>
  <c r="J251" i="14"/>
  <c r="J253" i="14"/>
  <c r="J291" i="14"/>
  <c r="J304" i="14"/>
  <c r="J310" i="14"/>
  <c r="J325" i="14"/>
  <c r="J327" i="14"/>
  <c r="J346" i="14"/>
  <c r="F3" i="15"/>
  <c r="F7" i="15"/>
  <c r="F15" i="15"/>
  <c r="W69" i="21"/>
  <c r="W80" i="21"/>
  <c r="W97" i="21"/>
  <c r="W127" i="21"/>
  <c r="W146" i="21"/>
  <c r="C2" i="5"/>
  <c r="J11" i="14"/>
  <c r="J21" i="14"/>
  <c r="J30" i="14"/>
  <c r="J53" i="14"/>
  <c r="J57" i="14"/>
  <c r="J59" i="14"/>
  <c r="J96" i="14"/>
  <c r="J126" i="14"/>
  <c r="J162" i="14"/>
  <c r="J164" i="14"/>
  <c r="J211" i="14"/>
  <c r="J213" i="14"/>
  <c r="J215" i="14"/>
  <c r="J240" i="14"/>
  <c r="J257" i="14"/>
  <c r="J274" i="14"/>
  <c r="J278" i="14"/>
  <c r="J287" i="14"/>
  <c r="J314" i="14"/>
  <c r="J331" i="14"/>
  <c r="J352" i="14"/>
  <c r="J354" i="14"/>
  <c r="J356" i="14"/>
  <c r="F23" i="15"/>
  <c r="F31" i="15"/>
  <c r="W22" i="21"/>
  <c r="W24" i="21"/>
  <c r="W34" i="21"/>
  <c r="W39" i="21"/>
  <c r="W46" i="21"/>
  <c r="AU56" i="21"/>
  <c r="W64" i="21"/>
  <c r="W81" i="21"/>
  <c r="W98" i="21"/>
  <c r="F2" i="15"/>
  <c r="W2" i="21"/>
  <c r="AU55" i="21"/>
  <c r="W148" i="21"/>
  <c r="J8" i="14"/>
  <c r="J25" i="14"/>
  <c r="J48" i="14"/>
  <c r="J66" i="14"/>
  <c r="J77" i="14"/>
  <c r="J79" i="14"/>
  <c r="J115" i="14"/>
  <c r="J138" i="14"/>
  <c r="J147" i="14"/>
  <c r="J170" i="14"/>
  <c r="J189" i="14"/>
  <c r="J206" i="14"/>
  <c r="J231" i="14"/>
  <c r="J233" i="14"/>
  <c r="J267" i="14"/>
  <c r="J269" i="14"/>
  <c r="J282" i="14"/>
  <c r="J284" i="14"/>
  <c r="J337" i="14"/>
  <c r="W6" i="21"/>
  <c r="W10" i="21"/>
  <c r="AU44" i="21"/>
  <c r="W50" i="21"/>
  <c r="W55" i="21"/>
  <c r="AU62" i="21"/>
  <c r="W92" i="21"/>
  <c r="W107" i="21"/>
  <c r="W130" i="21"/>
  <c r="W139" i="21"/>
  <c r="B18" i="5"/>
  <c r="J44" i="14"/>
  <c r="J83" i="14"/>
  <c r="J102" i="14"/>
  <c r="J117" i="14"/>
  <c r="J271" i="14"/>
  <c r="AU9" i="21"/>
  <c r="W44" i="21"/>
  <c r="W62" i="21"/>
  <c r="W131" i="21"/>
  <c r="B4" i="5"/>
  <c r="B14" i="5"/>
  <c r="C14" i="5"/>
  <c r="J18" i="14"/>
  <c r="J20" i="14"/>
  <c r="J58" i="14"/>
  <c r="J60" i="14"/>
  <c r="J85" i="14"/>
  <c r="J95" i="14"/>
  <c r="J119" i="14"/>
  <c r="J123" i="14"/>
  <c r="J125" i="14"/>
  <c r="J127" i="14"/>
  <c r="J163" i="14"/>
  <c r="J165" i="14"/>
  <c r="J212" i="14"/>
  <c r="J214" i="14"/>
  <c r="J241" i="14"/>
  <c r="J275" i="14"/>
  <c r="J277" i="14"/>
  <c r="J313" i="14"/>
  <c r="J330" i="14"/>
  <c r="J355" i="14"/>
  <c r="F21" i="15"/>
  <c r="F25" i="15"/>
  <c r="F30" i="15"/>
  <c r="F33" i="15"/>
  <c r="F44" i="15"/>
  <c r="F47" i="15"/>
  <c r="W12" i="21"/>
  <c r="AU18" i="21"/>
  <c r="W21" i="21"/>
  <c r="W23" i="21"/>
  <c r="W25" i="21"/>
  <c r="AI37" i="21"/>
  <c r="W49" i="21"/>
  <c r="W86" i="21"/>
  <c r="W101" i="21"/>
  <c r="W111" i="21"/>
  <c r="W133" i="21"/>
  <c r="W141" i="21"/>
  <c r="W142" i="21"/>
  <c r="I167" i="18"/>
  <c r="G166" i="18"/>
  <c r="G165" i="18"/>
  <c r="G164" i="18"/>
  <c r="G163" i="18"/>
  <c r="G162" i="18"/>
  <c r="G161" i="18"/>
  <c r="G160" i="18"/>
  <c r="G159" i="18"/>
  <c r="G158" i="18"/>
  <c r="G157" i="18"/>
  <c r="G156" i="18"/>
  <c r="G155" i="18"/>
  <c r="G154" i="18"/>
  <c r="G153" i="18"/>
  <c r="G152" i="18"/>
  <c r="G151" i="18"/>
  <c r="G150" i="18"/>
  <c r="G149" i="18"/>
  <c r="G148" i="18"/>
  <c r="G147" i="18"/>
  <c r="G146" i="18"/>
  <c r="G145" i="18"/>
  <c r="G144" i="18"/>
  <c r="G143" i="18"/>
  <c r="G142" i="18"/>
  <c r="G141" i="18"/>
  <c r="G140" i="18"/>
  <c r="G139" i="18"/>
  <c r="G138" i="18"/>
  <c r="G137" i="18"/>
  <c r="G136" i="18"/>
  <c r="G135" i="18"/>
  <c r="G134" i="18"/>
  <c r="G133" i="18"/>
  <c r="G132" i="18"/>
  <c r="G131" i="18"/>
  <c r="G130" i="18"/>
  <c r="G129" i="18"/>
  <c r="G128" i="18"/>
  <c r="G127" i="18"/>
  <c r="G126" i="18"/>
  <c r="G125" i="18"/>
  <c r="G124" i="18"/>
  <c r="G123" i="18"/>
  <c r="G122" i="18"/>
  <c r="G121" i="18"/>
  <c r="G120" i="18"/>
  <c r="G119" i="18"/>
  <c r="G118" i="18"/>
  <c r="G117" i="18"/>
  <c r="G116" i="18"/>
  <c r="G115" i="18"/>
  <c r="G114" i="18"/>
  <c r="G113" i="18"/>
  <c r="G112" i="18"/>
  <c r="G111" i="18"/>
  <c r="G110" i="18"/>
  <c r="G109" i="18"/>
  <c r="G108" i="18"/>
  <c r="G107" i="18"/>
  <c r="G106" i="18"/>
  <c r="G105" i="18"/>
  <c r="G104" i="18"/>
  <c r="G103" i="18"/>
  <c r="G102" i="18"/>
  <c r="G101" i="18"/>
  <c r="G42" i="18"/>
  <c r="I40" i="18"/>
  <c r="I164" i="18"/>
  <c r="I152" i="18"/>
  <c r="I140" i="18"/>
  <c r="I128" i="18"/>
  <c r="I116" i="18"/>
  <c r="I104" i="18"/>
  <c r="G41" i="18"/>
  <c r="G40" i="18"/>
  <c r="I38" i="18"/>
  <c r="I165" i="18"/>
  <c r="I153" i="18"/>
  <c r="I141" i="18"/>
  <c r="I129" i="18"/>
  <c r="I117" i="18"/>
  <c r="I105" i="18"/>
  <c r="I166" i="18"/>
  <c r="I154" i="18"/>
  <c r="I142" i="18"/>
  <c r="I130" i="18"/>
  <c r="I118" i="18"/>
  <c r="I106" i="18"/>
  <c r="I155" i="18"/>
  <c r="I143" i="18"/>
  <c r="I131" i="18"/>
  <c r="I119" i="18"/>
  <c r="I107" i="18"/>
  <c r="G37" i="18"/>
  <c r="I36" i="18"/>
  <c r="I156" i="18"/>
  <c r="I144" i="18"/>
  <c r="I132" i="18"/>
  <c r="I120" i="18"/>
  <c r="I108" i="18"/>
  <c r="I157" i="18"/>
  <c r="I145" i="18"/>
  <c r="I133" i="18"/>
  <c r="I121" i="18"/>
  <c r="I109" i="18"/>
  <c r="I158" i="18"/>
  <c r="I146" i="18"/>
  <c r="I134" i="18"/>
  <c r="I122" i="18"/>
  <c r="I110" i="18"/>
  <c r="I159" i="18"/>
  <c r="I147" i="18"/>
  <c r="I135" i="18"/>
  <c r="I123" i="18"/>
  <c r="I111" i="18"/>
  <c r="G35" i="18"/>
  <c r="I34" i="18"/>
  <c r="I160" i="18"/>
  <c r="I148" i="18"/>
  <c r="I136" i="18"/>
  <c r="I124" i="18"/>
  <c r="I112" i="18"/>
  <c r="I100" i="18"/>
  <c r="I99" i="18"/>
  <c r="I98" i="18"/>
  <c r="I97" i="18"/>
  <c r="I96" i="18"/>
  <c r="I95" i="18"/>
  <c r="I94" i="18"/>
  <c r="I93" i="18"/>
  <c r="I92" i="18"/>
  <c r="I91" i="18"/>
  <c r="I90" i="18"/>
  <c r="I89" i="18"/>
  <c r="I88" i="18"/>
  <c r="I87" i="18"/>
  <c r="I86" i="18"/>
  <c r="I85" i="18"/>
  <c r="I84" i="18"/>
  <c r="I83" i="18"/>
  <c r="I82" i="18"/>
  <c r="I81" i="18"/>
  <c r="I80" i="18"/>
  <c r="I79" i="18"/>
  <c r="I78" i="18"/>
  <c r="I77" i="18"/>
  <c r="I76" i="18"/>
  <c r="I75" i="18"/>
  <c r="I74" i="18"/>
  <c r="I73" i="18"/>
  <c r="I72" i="18"/>
  <c r="I71" i="18"/>
  <c r="I70" i="18"/>
  <c r="I69" i="18"/>
  <c r="I68" i="18"/>
  <c r="I67" i="18"/>
  <c r="I66" i="18"/>
  <c r="I65" i="18"/>
  <c r="I64" i="18"/>
  <c r="I63" i="18"/>
  <c r="I62" i="18"/>
  <c r="I61" i="18"/>
  <c r="I60" i="18"/>
  <c r="I59" i="18"/>
  <c r="I58" i="18"/>
  <c r="I57" i="18"/>
  <c r="I56" i="18"/>
  <c r="I55" i="18"/>
  <c r="I54" i="18"/>
  <c r="I53" i="18"/>
  <c r="I52" i="18"/>
  <c r="I51" i="18"/>
  <c r="I50" i="18"/>
  <c r="I49" i="18"/>
  <c r="I48" i="18"/>
  <c r="I47" i="18"/>
  <c r="I46" i="18"/>
  <c r="I45" i="18"/>
  <c r="I44" i="18"/>
  <c r="G4" i="18"/>
  <c r="I3" i="18"/>
  <c r="I161" i="18"/>
  <c r="I149" i="18"/>
  <c r="I137" i="18"/>
  <c r="I125" i="18"/>
  <c r="I113" i="18"/>
  <c r="I101" i="18"/>
  <c r="I43" i="18"/>
  <c r="G34" i="18"/>
  <c r="I33" i="18"/>
  <c r="G28" i="18"/>
  <c r="I27" i="18"/>
  <c r="G22" i="18"/>
  <c r="I21" i="18"/>
  <c r="G16" i="18"/>
  <c r="I15" i="18"/>
  <c r="G10" i="18"/>
  <c r="I9" i="18"/>
  <c r="I162" i="18"/>
  <c r="I150" i="18"/>
  <c r="I138" i="18"/>
  <c r="I126" i="18"/>
  <c r="I114" i="18"/>
  <c r="I102" i="18"/>
  <c r="G100" i="18"/>
  <c r="G99" i="18"/>
  <c r="G98" i="18"/>
  <c r="G97" i="18"/>
  <c r="G96" i="18"/>
  <c r="G95" i="18"/>
  <c r="G94" i="18"/>
  <c r="G93" i="18"/>
  <c r="G92" i="18"/>
  <c r="G91" i="18"/>
  <c r="G90" i="18"/>
  <c r="G89" i="18"/>
  <c r="G88" i="18"/>
  <c r="G87" i="18"/>
  <c r="G86" i="18"/>
  <c r="G85" i="18"/>
  <c r="G84" i="18"/>
  <c r="G83" i="18"/>
  <c r="G82" i="18"/>
  <c r="G81" i="18"/>
  <c r="G80" i="18"/>
  <c r="G79" i="18"/>
  <c r="G78" i="18"/>
  <c r="G77" i="18"/>
  <c r="G76" i="18"/>
  <c r="G75" i="18"/>
  <c r="G74" i="18"/>
  <c r="G73" i="18"/>
  <c r="G72" i="18"/>
  <c r="G71" i="18"/>
  <c r="G70" i="18"/>
  <c r="G69" i="18"/>
  <c r="G68" i="18"/>
  <c r="G67" i="18"/>
  <c r="G66" i="18"/>
  <c r="G65" i="18"/>
  <c r="G64" i="18"/>
  <c r="G63" i="18"/>
  <c r="G62" i="18"/>
  <c r="G61" i="18"/>
  <c r="G60" i="18"/>
  <c r="G59" i="18"/>
  <c r="G58" i="18"/>
  <c r="G57" i="18"/>
  <c r="G56" i="18"/>
  <c r="G55" i="18"/>
  <c r="G54" i="18"/>
  <c r="G53" i="18"/>
  <c r="G52" i="18"/>
  <c r="G51" i="18"/>
  <c r="G50" i="18"/>
  <c r="G49" i="18"/>
  <c r="G48" i="18"/>
  <c r="G47" i="18"/>
  <c r="G46" i="18"/>
  <c r="G45" i="18"/>
  <c r="G44" i="18"/>
  <c r="I42" i="18"/>
  <c r="I41" i="18"/>
  <c r="I163" i="18"/>
  <c r="I151" i="18"/>
  <c r="I139" i="18"/>
  <c r="I127" i="18"/>
  <c r="I115" i="18"/>
  <c r="I29" i="18"/>
  <c r="G14" i="18"/>
  <c r="I13" i="18"/>
  <c r="G30" i="18"/>
  <c r="G21" i="18"/>
  <c r="I20" i="18"/>
  <c r="G6" i="18"/>
  <c r="I5" i="18"/>
  <c r="G29" i="18"/>
  <c r="I28" i="18"/>
  <c r="G13" i="18"/>
  <c r="I12" i="18"/>
  <c r="I103" i="18"/>
  <c r="G39" i="18"/>
  <c r="G38" i="18"/>
  <c r="I35" i="18"/>
  <c r="G19" i="18"/>
  <c r="I18" i="18"/>
  <c r="G11" i="18"/>
  <c r="I10" i="18"/>
  <c r="G36" i="18"/>
  <c r="G26" i="18"/>
  <c r="I25" i="18"/>
  <c r="I17" i="18"/>
  <c r="G43" i="18"/>
  <c r="G33" i="18"/>
  <c r="I32" i="18"/>
  <c r="G18" i="18"/>
  <c r="G9" i="18"/>
  <c r="I8" i="18"/>
  <c r="G32" i="18"/>
  <c r="I31" i="18"/>
  <c r="I23" i="18"/>
  <c r="G31" i="18"/>
  <c r="I30" i="18"/>
  <c r="G23" i="18"/>
  <c r="I22" i="18"/>
  <c r="G7" i="18"/>
  <c r="I6" i="18"/>
  <c r="I37" i="18"/>
  <c r="I39" i="18"/>
  <c r="G25" i="18"/>
  <c r="I24" i="18"/>
  <c r="I19" i="18"/>
  <c r="G24" i="18"/>
  <c r="G20" i="18"/>
  <c r="G17" i="18"/>
  <c r="I16" i="18"/>
  <c r="I14" i="18"/>
  <c r="G15" i="18"/>
  <c r="I11" i="18"/>
  <c r="G12" i="18"/>
  <c r="G8" i="18"/>
  <c r="I7" i="18"/>
  <c r="I4" i="18"/>
  <c r="G5" i="18"/>
  <c r="G3" i="18"/>
  <c r="I2" i="18"/>
  <c r="G2" i="18"/>
  <c r="G27" i="18"/>
  <c r="I26" i="18"/>
  <c r="G5" i="1"/>
  <c r="F8" i="1"/>
  <c r="G14" i="9"/>
  <c r="G25" i="9"/>
  <c r="B8" i="5"/>
  <c r="C18" i="5"/>
  <c r="G31" i="9"/>
  <c r="G27" i="9"/>
  <c r="G24" i="9"/>
  <c r="G21" i="9"/>
  <c r="G18" i="9"/>
  <c r="G15" i="9"/>
  <c r="G12" i="9"/>
  <c r="G9" i="9"/>
  <c r="G6" i="9"/>
  <c r="G3" i="9"/>
  <c r="G11" i="9"/>
  <c r="G22" i="9"/>
  <c r="J68" i="14"/>
  <c r="C15" i="5"/>
  <c r="G8" i="9"/>
  <c r="G19" i="9"/>
  <c r="G30" i="9"/>
  <c r="B5" i="5"/>
  <c r="C12" i="5"/>
  <c r="G5" i="9"/>
  <c r="G16" i="9"/>
  <c r="G26" i="9"/>
  <c r="G2" i="9"/>
  <c r="G13" i="9"/>
  <c r="G10" i="9"/>
  <c r="B6" i="5"/>
  <c r="B13" i="5"/>
  <c r="G7" i="9"/>
  <c r="J55" i="14"/>
  <c r="J80" i="14"/>
  <c r="G4" i="9"/>
  <c r="G32" i="9"/>
  <c r="B3" i="5"/>
  <c r="G28" i="9"/>
  <c r="B7" i="5"/>
  <c r="B17" i="5"/>
  <c r="G23" i="9"/>
  <c r="G20" i="9"/>
  <c r="J50" i="14"/>
  <c r="J81" i="14"/>
  <c r="F5" i="15"/>
  <c r="G17" i="9"/>
  <c r="J75" i="14"/>
  <c r="J74" i="14"/>
  <c r="J6" i="14"/>
  <c r="J19" i="14"/>
  <c r="J150" i="14"/>
  <c r="J353" i="14"/>
  <c r="J34" i="14"/>
  <c r="J63" i="14"/>
  <c r="J65" i="14"/>
  <c r="J130" i="14"/>
  <c r="J132" i="14"/>
  <c r="J143" i="14"/>
  <c r="J238" i="14"/>
  <c r="J256" i="14"/>
  <c r="J258" i="14"/>
  <c r="J324" i="14"/>
  <c r="F10" i="15"/>
  <c r="F19" i="15"/>
  <c r="J12" i="14"/>
  <c r="J45" i="14"/>
  <c r="J76" i="14"/>
  <c r="J94" i="14"/>
  <c r="F14" i="15"/>
  <c r="J38" i="14"/>
  <c r="J56" i="14"/>
  <c r="J67" i="14"/>
  <c r="J69" i="14"/>
  <c r="J87" i="14"/>
  <c r="J182" i="14"/>
  <c r="J262" i="14"/>
  <c r="F9" i="15"/>
  <c r="F18" i="15"/>
  <c r="F45" i="15"/>
  <c r="F13" i="15"/>
  <c r="J51" i="14"/>
  <c r="J82" i="14"/>
  <c r="F27" i="15"/>
  <c r="F29" i="15"/>
  <c r="F32" i="15"/>
  <c r="F8" i="15"/>
  <c r="F26" i="15"/>
  <c r="F35" i="15"/>
  <c r="J37" i="14"/>
  <c r="F16" i="15"/>
  <c r="F46" i="15"/>
  <c r="J42" i="14"/>
  <c r="J216" i="14"/>
  <c r="J336" i="14"/>
  <c r="F6" i="15"/>
  <c r="F41" i="15"/>
  <c r="J158" i="14"/>
  <c r="J298" i="14"/>
  <c r="J319" i="14"/>
  <c r="J134" i="14"/>
  <c r="J286" i="14"/>
  <c r="F24" i="15"/>
  <c r="F12" i="15"/>
  <c r="F22" i="15"/>
  <c r="O167" i="18"/>
  <c r="N167" i="18"/>
  <c r="J167" i="18"/>
  <c r="F167" i="18"/>
  <c r="AI28" i="21"/>
  <c r="AU36" i="21"/>
  <c r="W72" i="21"/>
  <c r="W4" i="21"/>
  <c r="W53" i="21"/>
  <c r="W116" i="21"/>
  <c r="L167" i="18"/>
  <c r="W52" i="21"/>
  <c r="W129" i="21"/>
  <c r="W110" i="21"/>
  <c r="AI32" i="21"/>
  <c r="D5" i="1" l="1"/>
  <c r="G13" i="1"/>
  <c r="F16" i="1"/>
  <c r="D16" i="1"/>
  <c r="D13" i="1"/>
  <c r="G3" i="1"/>
  <c r="D20" i="1"/>
  <c r="D19" i="1"/>
  <c r="D7" i="1"/>
  <c r="F20" i="1"/>
  <c r="D8" i="1"/>
  <c r="G19" i="1"/>
  <c r="D9" i="1"/>
  <c r="G7" i="1"/>
  <c r="F6" i="1"/>
  <c r="F14" i="1"/>
  <c r="D12" i="1"/>
  <c r="D3" i="1"/>
  <c r="D10" i="1"/>
  <c r="D14" i="1"/>
  <c r="D6" i="1"/>
  <c r="F12" i="1"/>
  <c r="F10" i="1"/>
  <c r="F4" i="1"/>
  <c r="G17" i="1"/>
  <c r="D18" i="1"/>
  <c r="G11" i="1"/>
  <c r="F18" i="1"/>
  <c r="G9" i="1"/>
  <c r="D2" i="1"/>
  <c r="G15" i="1"/>
  <c r="D15" i="1"/>
  <c r="D17" i="1"/>
  <c r="D11" i="1"/>
  <c r="F2" i="1"/>
  <c r="D4" i="1"/>
</calcChain>
</file>

<file path=xl/sharedStrings.xml><?xml version="1.0" encoding="utf-8"?>
<sst xmlns="http://schemas.openxmlformats.org/spreadsheetml/2006/main" count="25121" uniqueCount="4950">
  <si>
    <t>Nombre Tecnicos</t>
  </si>
  <si>
    <t>Estado Inspecciones</t>
  </si>
  <si>
    <t>Telefono</t>
  </si>
  <si>
    <t>Enviar Mensaje</t>
  </si>
  <si>
    <t xml:space="preserve"> </t>
  </si>
  <si>
    <t>No se tiene el telefono</t>
  </si>
  <si>
    <t>Autor del aviso</t>
  </si>
  <si>
    <t>Aviso</t>
  </si>
  <si>
    <t>Fecha de aviso</t>
  </si>
  <si>
    <t>Descripción</t>
  </si>
  <si>
    <t>Duración parada</t>
  </si>
  <si>
    <t>Hora in.avería</t>
  </si>
  <si>
    <t>Hora fin avería</t>
  </si>
  <si>
    <t>Pto.tbjo.resp.</t>
  </si>
  <si>
    <t>Ejecutante</t>
  </si>
  <si>
    <t>Maquina</t>
  </si>
  <si>
    <t>PersonalAgua</t>
  </si>
  <si>
    <t>Centro</t>
  </si>
  <si>
    <t>Ubicación Tecnica</t>
  </si>
  <si>
    <t>Denominación</t>
  </si>
  <si>
    <t>Codigo Equipo</t>
  </si>
  <si>
    <t>Nombre Equipo</t>
  </si>
  <si>
    <t>Plan</t>
  </si>
  <si>
    <t>Desc. plan</t>
  </si>
  <si>
    <t>Orden</t>
  </si>
  <si>
    <t>Actividad</t>
  </si>
  <si>
    <t>Criticidad</t>
  </si>
  <si>
    <t>Tipo</t>
  </si>
  <si>
    <t>Causa</t>
  </si>
  <si>
    <t>Parada</t>
  </si>
  <si>
    <t>No. Aviso</t>
  </si>
  <si>
    <t>Avance</t>
  </si>
  <si>
    <t>Fecha2</t>
  </si>
  <si>
    <t>Fecha Inicio</t>
  </si>
  <si>
    <t>Fecha Fin</t>
  </si>
  <si>
    <t>Duración</t>
  </si>
  <si>
    <t>Observación</t>
  </si>
  <si>
    <t>Nombre</t>
  </si>
  <si>
    <t>Codigo Personal</t>
  </si>
  <si>
    <t>__PowerAppsId__</t>
  </si>
  <si>
    <t>DuraciónP</t>
  </si>
  <si>
    <t>Estado</t>
  </si>
  <si>
    <t>Api</t>
  </si>
  <si>
    <t>Ubicac.técnica</t>
  </si>
  <si>
    <t>LINEAS</t>
  </si>
  <si>
    <t>MONTOYA</t>
  </si>
  <si>
    <t>23913419</t>
  </si>
  <si>
    <t>EMBANDEJADORA VARIOPAC</t>
  </si>
  <si>
    <t>22:00:00</t>
  </si>
  <si>
    <t>01:37:00</t>
  </si>
  <si>
    <t>20009996</t>
  </si>
  <si>
    <t>0410-LINEA 1</t>
  </si>
  <si>
    <t>BOLAÑOS</t>
  </si>
  <si>
    <t>23913420</t>
  </si>
  <si>
    <t>LLENADORA DE BOTELLAS PET 162 VALVULAS</t>
  </si>
  <si>
    <t>15:30:00</t>
  </si>
  <si>
    <t>15:45:00</t>
  </si>
  <si>
    <t>20032893</t>
  </si>
  <si>
    <t>0410-LINEA PET CSD</t>
  </si>
  <si>
    <t>23913421</t>
  </si>
  <si>
    <t>16:00:00</t>
  </si>
  <si>
    <t>16:20:00</t>
  </si>
  <si>
    <t>23913462</t>
  </si>
  <si>
    <t>20:40:00</t>
  </si>
  <si>
    <t>21:21:00</t>
  </si>
  <si>
    <t>VICTOR</t>
  </si>
  <si>
    <t>23913463</t>
  </si>
  <si>
    <t>LAVADORA DE BOTELLONES</t>
  </si>
  <si>
    <t>18:55:00</t>
  </si>
  <si>
    <t>18:58:00</t>
  </si>
  <si>
    <t>20065447</t>
  </si>
  <si>
    <t>0410-LINEA BOTELLON 20 LTS</t>
  </si>
  <si>
    <t>ESTEBAN</t>
  </si>
  <si>
    <t>23913464</t>
  </si>
  <si>
    <t>13:10:00</t>
  </si>
  <si>
    <t>13:23:00</t>
  </si>
  <si>
    <t>20076884</t>
  </si>
  <si>
    <t>PEÑA</t>
  </si>
  <si>
    <t>23913465</t>
  </si>
  <si>
    <t>ETIQUETADORA ENVOLVENTE</t>
  </si>
  <si>
    <t>15:00:00</t>
  </si>
  <si>
    <t>15:18:00</t>
  </si>
  <si>
    <t>20010079</t>
  </si>
  <si>
    <t>23913466</t>
  </si>
  <si>
    <t>16:23:00</t>
  </si>
  <si>
    <t>23913467</t>
  </si>
  <si>
    <t>ALIMENTADOR DE TAPA PLASTICA</t>
  </si>
  <si>
    <t>17:30:00</t>
  </si>
  <si>
    <t>17:40:00</t>
  </si>
  <si>
    <t>23913468</t>
  </si>
  <si>
    <t>INSPECTOR ELECTRONICO DE ENVASE</t>
  </si>
  <si>
    <t>19:09:00</t>
  </si>
  <si>
    <t>19:22:00</t>
  </si>
  <si>
    <t>23913469</t>
  </si>
  <si>
    <t>15:20:00</t>
  </si>
  <si>
    <t>23913470</t>
  </si>
  <si>
    <t>16:30:00</t>
  </si>
  <si>
    <t>16:45:00</t>
  </si>
  <si>
    <t>23913471</t>
  </si>
  <si>
    <t>06:10:00</t>
  </si>
  <si>
    <t>06:29:00</t>
  </si>
  <si>
    <t>23913482</t>
  </si>
  <si>
    <t>14:40:00</t>
  </si>
  <si>
    <t>15:10:00</t>
  </si>
  <si>
    <t>23913483</t>
  </si>
  <si>
    <t>16:12:00</t>
  </si>
  <si>
    <t>23913484</t>
  </si>
  <si>
    <t>TRANSPORTE DE ENVASES</t>
  </si>
  <si>
    <t>18:25:00</t>
  </si>
  <si>
    <t>GORDILLO</t>
  </si>
  <si>
    <t>23913485</t>
  </si>
  <si>
    <t>14:00:00</t>
  </si>
  <si>
    <t>20031425</t>
  </si>
  <si>
    <t>23913486</t>
  </si>
  <si>
    <t>05:15:00</t>
  </si>
  <si>
    <t>05:25:00</t>
  </si>
  <si>
    <t>23913487</t>
  </si>
  <si>
    <t>LLENADORA DE BOLSAS LINEA 5</t>
  </si>
  <si>
    <t>00:20:00</t>
  </si>
  <si>
    <t>00:25:00</t>
  </si>
  <si>
    <t>0410-LINEA DE BOLSAS</t>
  </si>
  <si>
    <t>23913488</t>
  </si>
  <si>
    <t>03:10:00</t>
  </si>
  <si>
    <t>03:15:00</t>
  </si>
  <si>
    <t>Nombre tecnicos</t>
  </si>
  <si>
    <t>Enviar</t>
  </si>
  <si>
    <t>charlas</t>
  </si>
  <si>
    <t>cedu</t>
  </si>
  <si>
    <t>Nombres</t>
  </si>
  <si>
    <t>cargo</t>
  </si>
  <si>
    <t>area</t>
  </si>
  <si>
    <t>Mantenimiento</t>
  </si>
  <si>
    <t>Numero</t>
  </si>
  <si>
    <t>Link</t>
  </si>
  <si>
    <t>WALTER MORA</t>
  </si>
  <si>
    <t>EDWAR ZAPATA</t>
  </si>
  <si>
    <t>WILLIAM GUERRA</t>
  </si>
  <si>
    <t>WILLIAM MAZORRA</t>
  </si>
  <si>
    <t>VICTOR FERNANDEZ</t>
  </si>
  <si>
    <t>HELMER QUISCUALTUD</t>
  </si>
  <si>
    <t>BORIS NOMELIN</t>
  </si>
  <si>
    <t>CARLOS A MARTINEZ</t>
  </si>
  <si>
    <t>WILMER GUTIERREZ</t>
  </si>
  <si>
    <t>GUIDO PAPAMIJA</t>
  </si>
  <si>
    <t>JULIAN CALDERON</t>
  </si>
  <si>
    <t>Christian Camilo Ramírez</t>
  </si>
  <si>
    <t>FRAIBER ZAMBRANO</t>
  </si>
  <si>
    <t>URIEL LEON</t>
  </si>
  <si>
    <t>HECTOR F VALENCIA</t>
  </si>
  <si>
    <t>JHON F JIMENEZ</t>
  </si>
  <si>
    <t>MARIO ALBERTO MARTINEZ</t>
  </si>
  <si>
    <t>Victor David burbano gomez</t>
  </si>
  <si>
    <t>JEFERSON MUÑOZ</t>
  </si>
  <si>
    <t>ALEXANDER CHAVEZ</t>
  </si>
  <si>
    <t>JULIAN BOTERO</t>
  </si>
  <si>
    <t>RAUL LOPEZ</t>
  </si>
  <si>
    <t>JEFFERSON BRAVO</t>
  </si>
  <si>
    <t>MIGUEL GUZMÁN</t>
  </si>
  <si>
    <t xml:space="preserve">JOHN EDIER GOMEZ ZUÑIGA </t>
  </si>
  <si>
    <t>WILLIAM HENAO</t>
  </si>
  <si>
    <t xml:space="preserve">Jorge Eliécer Poveda Pardo </t>
  </si>
  <si>
    <t>Valeria Jimenezz</t>
  </si>
  <si>
    <t xml:space="preserve">Stiven Ferney Quintero Diaz </t>
  </si>
  <si>
    <t xml:space="preserve">ESTEBAN POTOSI </t>
  </si>
  <si>
    <t>Johan serna</t>
  </si>
  <si>
    <t>Línea</t>
  </si>
  <si>
    <t>Código Equipo</t>
  </si>
  <si>
    <t>Equipo</t>
  </si>
  <si>
    <t>Desc. Orden</t>
  </si>
  <si>
    <t>Completado</t>
  </si>
  <si>
    <t>Observaciones</t>
  </si>
  <si>
    <t>No. Orden</t>
  </si>
  <si>
    <t>No. de Solicitud.</t>
  </si>
  <si>
    <t>Fecha</t>
  </si>
  <si>
    <t>Fecha Programada</t>
  </si>
  <si>
    <t>Columna1</t>
  </si>
  <si>
    <t>imagen</t>
  </si>
  <si>
    <t>concatenar filtro</t>
  </si>
  <si>
    <t>imagen equipo</t>
  </si>
  <si>
    <t>guardado</t>
  </si>
  <si>
    <t>PANICO</t>
  </si>
  <si>
    <t>correo supervisor</t>
  </si>
  <si>
    <t>🔒 Row ID</t>
  </si>
  <si>
    <t>imagen 1 prueba</t>
  </si>
  <si>
    <t>imagene 2 prueba</t>
  </si>
  <si>
    <t>VIDEO PRUEVA</t>
  </si>
  <si>
    <t>ASIGNADAS</t>
  </si>
  <si>
    <t>HECHAS</t>
  </si>
  <si>
    <t>EL MAL ESTA AQUI</t>
  </si>
  <si>
    <t>EVALUACION PLANTA</t>
  </si>
  <si>
    <t>ESTADO</t>
  </si>
  <si>
    <t>LINEA DE ENVASADO PET NO RETORNABLE</t>
  </si>
  <si>
    <t>INSPECTOR DE BOTELLA LLENA</t>
  </si>
  <si>
    <t>INSPECCION SEMANAL INSPECTOR DE BOTELLA</t>
  </si>
  <si>
    <t>LIMPIEZ.GRAL(VIDRIOS,ESPEJOS,COMPUTADOR)</t>
  </si>
  <si>
    <t>VERDADERO</t>
  </si>
  <si>
    <t>Peña Quiñonez Andres Gilberto</t>
  </si>
  <si>
    <t>eQsRw2PhWlc</t>
  </si>
  <si>
    <t>https://storage.googleapis.com/glide-prod.appspot.com/uploads-v2/ly7o78grxPaC6KdgvbpS/pub/3aRdSog0vUtuqPE8AJKD.png</t>
  </si>
  <si>
    <t>#¿NOMBRE?</t>
  </si>
  <si>
    <t>wguerra@postobon.com.co,aprmttoyu@postobon.com.co,aprmyu@postobon.com.co,wmora@postobon.com.co,efzapata@postobon.com.co</t>
  </si>
  <si>
    <t>wguerra@postobon.com.co</t>
  </si>
  <si>
    <t>EreKVQ0DQg6nRGcP7I6FuQ</t>
  </si>
  <si>
    <t>FALSO</t>
  </si>
  <si>
    <t>INSPECCIONES REALIZADAS</t>
  </si>
  <si>
    <t>FUNC. FOTOCELDAS, SENSORES</t>
  </si>
  <si>
    <t>MHBk_nOZ-a0</t>
  </si>
  <si>
    <t>2tQxVoBXRfKhhAJBDOD-jg</t>
  </si>
  <si>
    <t>INSP. UNIDAD MTTO AIRE(DRENAR AGUA)</t>
  </si>
  <si>
    <t>EiHdyKpuRiQ</t>
  </si>
  <si>
    <t>2R1KSoupSAGeNiRob4WkuA</t>
  </si>
  <si>
    <t>INSP INTERCAMBIADOR Y REJILLA AIRE</t>
  </si>
  <si>
    <t>00IqRX8HiZg</t>
  </si>
  <si>
    <t>Qmj00RQQRQChinCr43Mu1Q</t>
  </si>
  <si>
    <t>INSP. FALTA DE TAPON</t>
  </si>
  <si>
    <t>Equipo no cumple con su Función. Se encuentra deshabilitado.</t>
  </si>
  <si>
    <t>XN8xQNvBhBk</t>
  </si>
  <si>
    <t>xshXIgV-TJuOU9y8tjmcbg</t>
  </si>
  <si>
    <t>https://storage.googleapis.com/glide-prod.appspot.com/uploads-v2/ly7o78grxPaC6KdgvbpS/pub/E0K5D7IyaBJkOmUKulLb.jpg</t>
  </si>
  <si>
    <t>INSP. SUBLLENADO</t>
  </si>
  <si>
    <t>No cumple con su funcion. Las señales estan deshabilitadas.</t>
  </si>
  <si>
    <t>m23G8vo9o2c</t>
  </si>
  <si>
    <t>dX6QS969Ru-aksPEDdw6hw</t>
  </si>
  <si>
    <t>https://storage.googleapis.com/glide-prod.appspot.com/uploads-v2/ly7o78grxPaC6KdgvbpS/pub/OCGHQTtqyY5plgpnmp7E.jpg</t>
  </si>
  <si>
    <t>FUNC.PANEL CONTROL</t>
  </si>
  <si>
    <t>pHJUBrjOwps</t>
  </si>
  <si>
    <t>lYd2AODOSCay2ztA8rxYVw</t>
  </si>
  <si>
    <t>UNIDAD DE CONTROL</t>
  </si>
  <si>
    <t>sTKSewTdASQ</t>
  </si>
  <si>
    <t>ZO1y87raQWGXpAet.92FpA</t>
  </si>
  <si>
    <t>INSP. TAPA TORCIDA</t>
  </si>
  <si>
    <t>No cumple con su función. Equipo deshabilitado.</t>
  </si>
  <si>
    <t>olmSUXR_aTA</t>
  </si>
  <si>
    <t>uQmufS60SweAX2qHI5Z1kQ</t>
  </si>
  <si>
    <t>https://storage.googleapis.com/glide-prod.appspot.com/uploads-v2/ly7o78grxPaC6KdgvbpS/pub/ihPbgi8t3faN0BOT5Hbf.jpg</t>
  </si>
  <si>
    <t>INSP. TABLERO ELECTRICO/CLIMATIZADOR</t>
  </si>
  <si>
    <t>QErOStsneRs</t>
  </si>
  <si>
    <t>w5yw5ke2QX6GL9m.Y4oavw</t>
  </si>
  <si>
    <t>LINEA DE ENVASADO TAMAÑO PERSONAL</t>
  </si>
  <si>
    <t>INSPECTOR ELECTRONICO</t>
  </si>
  <si>
    <t>INSPECCION SEMANAL INSPECTOR ELECTRONIC</t>
  </si>
  <si>
    <t>Fugas de aire</t>
  </si>
  <si>
    <t>Luis Barrero</t>
  </si>
  <si>
    <t>y7tHy92FxVY</t>
  </si>
  <si>
    <t>obQlBIbnTzWCq7WJFLp0Jw</t>
  </si>
  <si>
    <t>Estado de correas y guías de manejo de botella</t>
  </si>
  <si>
    <t>fWIU7tn2Bh8</t>
  </si>
  <si>
    <t>n0Wq6AvNSy-j4VkgdSKJpg</t>
  </si>
  <si>
    <t>Lubricación de piñones</t>
  </si>
  <si>
    <t>-pFsB1keJW0</t>
  </si>
  <si>
    <t>Ur8Crt63T6eUNf6IY7UEyw</t>
  </si>
  <si>
    <t>Estado caja de transmisión</t>
  </si>
  <si>
    <t>RTfPztNbPxo</t>
  </si>
  <si>
    <t>tvx301otQgy61Y7HsrkG4w</t>
  </si>
  <si>
    <t>Estado de correas de transmisión y poleas</t>
  </si>
  <si>
    <t>-UdgijGAup0</t>
  </si>
  <si>
    <t>NTYv3-d5QG2MRMd6hrwmgw</t>
  </si>
  <si>
    <t>Estado sistema de altura de caja</t>
  </si>
  <si>
    <t>D4E6thiE-J0</t>
  </si>
  <si>
    <t>PLfNrQ4ERBCUd35zGKITng</t>
  </si>
  <si>
    <t>Estado de sensores</t>
  </si>
  <si>
    <t>PYJYHd3s8zs</t>
  </si>
  <si>
    <t>YzZ3cZ7uRGqdUkzl665Gsg</t>
  </si>
  <si>
    <t>Estado Instrumentos de medidas</t>
  </si>
  <si>
    <t>dMZ3KMjP_1g</t>
  </si>
  <si>
    <t>Baore3-hT6CY8QcgwQUqpA</t>
  </si>
  <si>
    <t>Estado baliza</t>
  </si>
  <si>
    <t>JG-zjZXGHJA</t>
  </si>
  <si>
    <t>SrBGUZbzSmCKTVUYJ5XW1Q</t>
  </si>
  <si>
    <t>Estado unidad de mantenimiento neumático</t>
  </si>
  <si>
    <t>XIqwzRwh4P0</t>
  </si>
  <si>
    <t>m2Zv7yHJTKWz5ndBnDuz3w</t>
  </si>
  <si>
    <t>Estado electroválvulas para soplado de fondo y flash de fondo</t>
  </si>
  <si>
    <t>vx5wXYGXA6k</t>
  </si>
  <si>
    <t>UMMzUmIzRxO6ntxu.ZMJvg</t>
  </si>
  <si>
    <t>Estado de vidrios y óptica</t>
  </si>
  <si>
    <t>gpodIFLdK9I</t>
  </si>
  <si>
    <t>4uNcRr5UQc65CFuKFf-0mw</t>
  </si>
  <si>
    <t>Estado de botoneras de emergencia</t>
  </si>
  <si>
    <t>ObjxrBDdkQA</t>
  </si>
  <si>
    <t>QP9UEECoTRuF5.g4e1-yUQ</t>
  </si>
  <si>
    <t>Estado encoder</t>
  </si>
  <si>
    <t>zIxLtFlDSlA</t>
  </si>
  <si>
    <t>g6ccNZPDSDGTNlf1ySs1Ow</t>
  </si>
  <si>
    <t>Estado de flash</t>
  </si>
  <si>
    <t>Nwm2g7XLcdU</t>
  </si>
  <si>
    <t>3H3Two1eRJO7cK844qm4Sg</t>
  </si>
  <si>
    <t>Estado sistema de rechazo (pistones, segmentos, electroválvulas)</t>
  </si>
  <si>
    <t>xcH3388Wh0c</t>
  </si>
  <si>
    <t>FOFamveYSkySBmDiCBw9pQ</t>
  </si>
  <si>
    <t>Verificacion de botellas de prueba</t>
  </si>
  <si>
    <t>XJMF81nxYlE</t>
  </si>
  <si>
    <t>T0OPCLzpTJCdaRuqP44wTA</t>
  </si>
  <si>
    <t>Estado de tableros eléctricos de mando, control y potencia</t>
  </si>
  <si>
    <t>GtsamkWtlK0</t>
  </si>
  <si>
    <t>eVjxKq1jR8C8texMJ7QNIg</t>
  </si>
  <si>
    <t>Estado final View</t>
  </si>
  <si>
    <t>cOKdI1R_e6U</t>
  </si>
  <si>
    <t>Uzh4lRH7Qg656A8WNYW7gA</t>
  </si>
  <si>
    <t>Estado y limpieza de extractor y/o climatizador tablero eléctrico.</t>
  </si>
  <si>
    <t>al7MJdCuiII</t>
  </si>
  <si>
    <t>PMwXV4hlQ9qfDVSNEDseNg</t>
  </si>
  <si>
    <t>EQUIPOS PARA SERVICIOS INDUSTRIALES</t>
  </si>
  <si>
    <t>INTERCAMBIADOR</t>
  </si>
  <si>
    <t>INSPECCION SEMANAL INTERCAMBIADOR</t>
  </si>
  <si>
    <t>PLAN MTTO MEC INTERCAMBIADOR 698412</t>
  </si>
  <si>
    <t>Jimenez Jhon</t>
  </si>
  <si>
    <t>s3EOVLvZ1RU</t>
  </si>
  <si>
    <t>wmazorra@postobon.com.co,aprmttoyu@postobon.com.co,aprmyu@postobon.com.co,wmora@postobon.com.co,efzapata@postobon.com.co</t>
  </si>
  <si>
    <t>wmazorra@postobon.com.co</t>
  </si>
  <si>
    <t>a.-MXxreCQtGHfNrDwwWNWg</t>
  </si>
  <si>
    <t>EQUIPOS PARA SERVICIOS INDUSTRIALES JUGO</t>
  </si>
  <si>
    <t>INTERCAMBIADOR DE CALOR No. 1 JUGOS</t>
  </si>
  <si>
    <t>INSPECCION SEMANAL INTERCAMBIADOR DE CA</t>
  </si>
  <si>
    <t>PLAN MTTO MEC INTERC CALOR 1 JUG 698413</t>
  </si>
  <si>
    <t>Lopez Raul</t>
  </si>
  <si>
    <t>2jrFioE4dWc</t>
  </si>
  <si>
    <t>altxN7jSQA2yHHbcUpCqKg</t>
  </si>
  <si>
    <t>INTERCAMBIADOR DE PLACAS</t>
  </si>
  <si>
    <t>INSPECCION SEMANAL INTERCAMBIADOR REFRI</t>
  </si>
  <si>
    <t>PLAN MTTO INTERCAMBIADOR DE PLACAS</t>
  </si>
  <si>
    <t>CALDERON CORTES JULIAN DAVID</t>
  </si>
  <si>
    <t>9PEXX41QIRY</t>
  </si>
  <si>
    <t>yXCMBf86RAyC3g7W0U9KRA</t>
  </si>
  <si>
    <t>BOMBAS DE SERVICIO PROCESO</t>
  </si>
  <si>
    <t>BOMBA AGUA SUAVIZADA</t>
  </si>
  <si>
    <t>INSPECCION SEMANAL AGUA SUAVIZADA</t>
  </si>
  <si>
    <t>PLAN MTTO MEC BOMBA AGUA SUAVIZ 70948900</t>
  </si>
  <si>
    <t>John Edier Gomez Zuñiga</t>
  </si>
  <si>
    <t>Ynj5WOrpXb0</t>
  </si>
  <si>
    <t>xuCfJvbDSBWMY6ihBLp0pg</t>
  </si>
  <si>
    <t>PLAN MTTO MEC BOMBA AGUA SUAVIZ 70948901</t>
  </si>
  <si>
    <t>Se presenta avería en bomba y se retira para enviar a reparar</t>
  </si>
  <si>
    <t>0R7L9q-Halc</t>
  </si>
  <si>
    <t>Sr92JX0uQ1e0NqsKBIa3yA</t>
  </si>
  <si>
    <t>https://storage.googleapis.com/glide-prod.appspot.com/uploads-v2/ly7o78grxPaC6KdgvbpS/pub/UmrWDAkBBA0SgOiexm8b.jpg</t>
  </si>
  <si>
    <t>https://storage.googleapis.com/glide-prod.appspot.com/uploads-v2/ly7o78grxPaC6KdgvbpS/pub/jWOccoUypqdGtvCnFwVJ.jpg</t>
  </si>
  <si>
    <t>PLAN MTTO MEC BOMBA AGUA SUAVI 70948902</t>
  </si>
  <si>
    <t>KMpjLLHQwqE</t>
  </si>
  <si>
    <t>SaprUwa8TMaL0nEUUnjdCw</t>
  </si>
  <si>
    <t>LINEA PET CSD - LINEA 10</t>
  </si>
  <si>
    <t>INSPECCION SEMANAL ALIMENTADOR DE TAPA P</t>
  </si>
  <si>
    <t>REVISION CORREAS TRANSMISION</t>
  </si>
  <si>
    <t>Montes Marmolejo Leonel F</t>
  </si>
  <si>
    <t>iOtjwK9utdM</t>
  </si>
  <si>
    <t>b29oCE4RQNa0xrp01jUNZg</t>
  </si>
  <si>
    <t>REVISION CADENA DE TRANSPORTE</t>
  </si>
  <si>
    <t>8njp8Ukv4NI</t>
  </si>
  <si>
    <t>d4mdNU3JQjKif1OihOhB3g</t>
  </si>
  <si>
    <t>ESTADO DE CANGILONES</t>
  </si>
  <si>
    <t>eEY0aKbA7qk</t>
  </si>
  <si>
    <t>YBqCxGIIR3K91b-aJCQQqA</t>
  </si>
  <si>
    <t>ESTADO SENSORES</t>
  </si>
  <si>
    <t>r4DBWXMCZhU</t>
  </si>
  <si>
    <t>dThDitbjQ-WTsGW9Avfkdg</t>
  </si>
  <si>
    <t>FUNCIONAMIENTO INSPECCION TAPA</t>
  </si>
  <si>
    <t>PcsQVW6Q72w</t>
  </si>
  <si>
    <t>BTL9HT1jQVe3onZfhhpTLw</t>
  </si>
  <si>
    <t>ESTADO ACRILICOS Y PUERTAS</t>
  </si>
  <si>
    <t>vf0tNc23xm8</t>
  </si>
  <si>
    <t>QddXp2BYTjm1tbPjl2Vbzw</t>
  </si>
  <si>
    <t>ALMACEN DE PALETS</t>
  </si>
  <si>
    <t>INSPECCION SEMANAL ALMACEN DE PALETS</t>
  </si>
  <si>
    <t>INSP FUNC MOTORES</t>
  </si>
  <si>
    <t>Héctor Toro</t>
  </si>
  <si>
    <t>dawFHaKsMV8</t>
  </si>
  <si>
    <t>8cCTZnFQT2WM2egp6acvAw</t>
  </si>
  <si>
    <t>ESTADO TENSION CADENAS ELEVACION</t>
  </si>
  <si>
    <t>3Sl9X2vCmis</t>
  </si>
  <si>
    <t>zdw9BpEjQ2Ca-Rw2oNhFqw</t>
  </si>
  <si>
    <t>ESTADO SENSORES(MICRO,INDUCTIVO)</t>
  </si>
  <si>
    <t>dgv2isNunNI</t>
  </si>
  <si>
    <t>xnCH.dQ9RpiQ0Lwp8UOEkQ</t>
  </si>
  <si>
    <t>ESTADO CARRO TRASLACION ESTIBAS</t>
  </si>
  <si>
    <t>OUCsDAyDuzk</t>
  </si>
  <si>
    <t>X6Kb1lXISGapP2laKeonFA</t>
  </si>
  <si>
    <t>ESTADO RODILLOS MECANISMO TRASLACION</t>
  </si>
  <si>
    <t>pYZEez8z8l4</t>
  </si>
  <si>
    <t>e2DkxdzfRoWSAvIqe7Razg</t>
  </si>
  <si>
    <t>0spe2bVg_rE</t>
  </si>
  <si>
    <t>35SKh0L.T4acvnr1dAlrvA</t>
  </si>
  <si>
    <t>INSP TABLERO ELECTRICO/CLIMATIZADOR</t>
  </si>
  <si>
    <t>l8rkIfgb5CQ</t>
  </si>
  <si>
    <t>W2WWKhH0QIC8OkQ5Urgh.g</t>
  </si>
  <si>
    <t>ESTADO DE RODILLOS TRANSPORTE ESTIBAS</t>
  </si>
  <si>
    <t>DZD6rMWPn2U</t>
  </si>
  <si>
    <t>59ttxKeTR9qC8iiBaqPejQ</t>
  </si>
  <si>
    <t>ESTADO DE CADENAS RODILLAS TRANSPORTE ESTIBAS</t>
  </si>
  <si>
    <t>-v6UNLOmVuA</t>
  </si>
  <si>
    <t>V6UKZvq8ROmUHG0mW-.JXw</t>
  </si>
  <si>
    <t>ESTADO DE SENSORES DE ACUMULACIÓN</t>
  </si>
  <si>
    <t>GvvKJ0aF7oc</t>
  </si>
  <si>
    <t>iTk3nuU9SPK.SOL2fjkJRw</t>
  </si>
  <si>
    <t>ESTADO DE MAQUINA ROBO-PAC</t>
  </si>
  <si>
    <t>otL2fcoEDp0</t>
  </si>
  <si>
    <t>dkHu4wb-SqaBLKh3ajMV0g</t>
  </si>
  <si>
    <t>APLICADOR DE ADHESIVO HOTMELT SERIE C</t>
  </si>
  <si>
    <t>INSPECCION SEMANAL APLICADOR DE ADHESIVO</t>
  </si>
  <si>
    <t>PLAN MTTO APLICADOR ADHESIVO L1 71031602</t>
  </si>
  <si>
    <t>Pedroza Barrera Diego Fernando</t>
  </si>
  <si>
    <t>zc-X-MKqbwk</t>
  </si>
  <si>
    <t>https://storage.googleapis.com/glide-prod.appspot.com/uploads-v2/ly7o78grxPaC6KdgvbpS/pub/UliJWgpEaBovaFmXi6OW.png</t>
  </si>
  <si>
    <t>7vR9BSImT.qpAetVbwIvNg</t>
  </si>
  <si>
    <t>INSPECCIONES SIN REALIZAR</t>
  </si>
  <si>
    <t>LINEA ENVASADO BAG IN BOX DISPENSADORES</t>
  </si>
  <si>
    <t>APLICADOR DE HOT MELT</t>
  </si>
  <si>
    <t>INSPECCION SEMANAL APLICADOR DE HOT MELT</t>
  </si>
  <si>
    <t>REVISION ESTADO PISTOLA</t>
  </si>
  <si>
    <t>MARIO ALBERTO MARTÍNEZ MORA</t>
  </si>
  <si>
    <t>Kj5JT0AL-Vg</t>
  </si>
  <si>
    <t>r8Zsh44PQGWMbH5qAK1-Lg</t>
  </si>
  <si>
    <t>INSPECCION ESTADO TANQUE</t>
  </si>
  <si>
    <t>RaBt7eAfLuE</t>
  </si>
  <si>
    <t>3z3U16xtSC6mmXSSJfg5-A</t>
  </si>
  <si>
    <t>VERIFICAR ESTADO MANGUERA</t>
  </si>
  <si>
    <t>d7F2lIQRWBk</t>
  </si>
  <si>
    <t>E9sBxfh-T2SKg-SOGjhu7A</t>
  </si>
  <si>
    <t>REVISAR APLICACIÓN PEGANTE</t>
  </si>
  <si>
    <t>sRFJOSYzi0M</t>
  </si>
  <si>
    <t>FFUOqfojQ.i9dCKivVTrvA</t>
  </si>
  <si>
    <t>LINEA PARA EL LLENADO DE BOLSAS</t>
  </si>
  <si>
    <t>CODIFICADOR PARA BOLSA 5 LT</t>
  </si>
  <si>
    <t>INSPECCION SEMANAL BOLSA 5L</t>
  </si>
  <si>
    <t>VERIFICAR CODIFICACION</t>
  </si>
  <si>
    <t>ESTEBAN POTOSI ISAZA</t>
  </si>
  <si>
    <t>fpYEq5sa3VQ</t>
  </si>
  <si>
    <t>achavezi@postobon.com.co,aprmttoyu@postobon.com.co,aprmyu@postobon.com.co,wmora@postobon.com.co,efzapata@postobon.com.co</t>
  </si>
  <si>
    <t>achavezi@postobon.com.co</t>
  </si>
  <si>
    <t>yGzj.1U2Sk6yljzDfqcIkw</t>
  </si>
  <si>
    <t>INSPECCIONAR ESTADO ALMOHADILLAS</t>
  </si>
  <si>
    <t>EVW1U6DO7BY</t>
  </si>
  <si>
    <t>o5IODJ73SfaZwHOmxLUEnA</t>
  </si>
  <si>
    <t>INSPECCIONAR CABEZAL DE IMPRESIÓN</t>
  </si>
  <si>
    <t>ktUgrXPd7qk</t>
  </si>
  <si>
    <t>KmWl9nm2SWuv-7CuhtFKSg</t>
  </si>
  <si>
    <t>LLENADORA DE BOLSAS LINEA 4</t>
  </si>
  <si>
    <t>INSPECCION SEMANAL BOLSA 360 Y 600 ML</t>
  </si>
  <si>
    <t>INS. ESTADO TANQUE DE LLENADO</t>
  </si>
  <si>
    <t>XCl_lntQ64o</t>
  </si>
  <si>
    <t>pYI1LFdsRTadCjAChakwVQ</t>
  </si>
  <si>
    <t>FUNC VALVULA LLENADO TANQUE</t>
  </si>
  <si>
    <t>EZUdm7dT4Q4</t>
  </si>
  <si>
    <t>w0OgenYPRjunpTdqvV.FtQ</t>
  </si>
  <si>
    <t>INSP MECANISMO SELLADO HORIZ/VERTIC</t>
  </si>
  <si>
    <t>5wo8G-rnRQo</t>
  </si>
  <si>
    <t>Asnj5s3vQPec8xOu3Aa32A</t>
  </si>
  <si>
    <t>INSP SISTEMA NEUMATICO(CILINDRO)</t>
  </si>
  <si>
    <t>B4b516Mi-gM</t>
  </si>
  <si>
    <t>MdPFjssWROWMeMECTIVgOg</t>
  </si>
  <si>
    <t>FUNC REFRIGERACION RESISTENCIAS</t>
  </si>
  <si>
    <t>Lmy8yN79Y_o</t>
  </si>
  <si>
    <t>XxKyW4weTbyOCv75p3lG2w</t>
  </si>
  <si>
    <t>ESTADO VALVULA LLENADO</t>
  </si>
  <si>
    <t>hnAlBjKskpM</t>
  </si>
  <si>
    <t>WqxuixNMS2i6kmBIlc3.IA</t>
  </si>
  <si>
    <t>FUNC SISTEMA ARRASTRE BOLSA</t>
  </si>
  <si>
    <t>gAp3xL8Aclk</t>
  </si>
  <si>
    <t>VNI-7Gg9QZ2dhKr4RPHP1w</t>
  </si>
  <si>
    <t>ESTADO BANDA DE MOTOR ARRASTRE</t>
  </si>
  <si>
    <t>3HcqgQlPh_A</t>
  </si>
  <si>
    <t>J6iCyQfiRUKhQHT8eGAPlQ</t>
  </si>
  <si>
    <t>FUNC MOTORES ARRASTRE BOLSA</t>
  </si>
  <si>
    <t>WUE1MKOCYKI</t>
  </si>
  <si>
    <t>IWK7moQSS6uo4XS4FpET-A</t>
  </si>
  <si>
    <t>FUNC MOTORES SELLADO BOLSA</t>
  </si>
  <si>
    <t>Pnu8fzkPco8</t>
  </si>
  <si>
    <t>laQ30VhkRwCq6yFLquUQUw</t>
  </si>
  <si>
    <t>ESTADO LEVA-RODILLO SELLADO-CORTE</t>
  </si>
  <si>
    <t>4vrs1SfGNCg</t>
  </si>
  <si>
    <t>05S8NAS5RfeBr9VFRhJaiw</t>
  </si>
  <si>
    <t>ESTADO TABLERO ELECTRICO</t>
  </si>
  <si>
    <t>iJeJX9yO0P0</t>
  </si>
  <si>
    <t>k8bHy5FNRA6X6f7RtRLL7A</t>
  </si>
  <si>
    <t>FUNC RODILLOS LOCOS</t>
  </si>
  <si>
    <t>LFuqONOL2YY</t>
  </si>
  <si>
    <t>03y7E9N-RQmlRcCUa4XlaA</t>
  </si>
  <si>
    <t>FUNC RESISTENCIA EMPALME ROLLOS</t>
  </si>
  <si>
    <t>Vd-vW18QFL4</t>
  </si>
  <si>
    <t>JUrt4hlJQMOdwWLilgNSnw</t>
  </si>
  <si>
    <t>INSP FUGAS FLUIDOS</t>
  </si>
  <si>
    <t>QqA1I3KUA2I</t>
  </si>
  <si>
    <t>RBmVXDgSSsKrzAuwnJxJYg</t>
  </si>
  <si>
    <t>INSP FUNC. BOMBA REFRIG. MORDAZAS</t>
  </si>
  <si>
    <t>7g0NC_tH6C8</t>
  </si>
  <si>
    <t>REqOR0zuSeC30GYTAupoaw</t>
  </si>
  <si>
    <t>SENSOR DE NIVEL TANQUE</t>
  </si>
  <si>
    <t>tHdScMQE8AE</t>
  </si>
  <si>
    <t>SLGklRsZTn6k4GVgNz.1Kg</t>
  </si>
  <si>
    <t>REV/CAMBIO LAMPARAS 9000 H</t>
  </si>
  <si>
    <t>RQf1sKtaqpA</t>
  </si>
  <si>
    <t>490OZGyIT4O8i6Earz0YfA</t>
  </si>
  <si>
    <t>INSPECCION SEMANAL BOLSAS LINEA 5</t>
  </si>
  <si>
    <t>aLaPXqDUaC8</t>
  </si>
  <si>
    <t>u9XzESL1S-mQETmf2AJG6A</t>
  </si>
  <si>
    <t>0tCw_3UdYAA</t>
  </si>
  <si>
    <t>B-b3nLfySSKSNnZw193h5A</t>
  </si>
  <si>
    <t>N5cYIvTKewk</t>
  </si>
  <si>
    <t>Nl5qfMD3Q.KrbQFPpGRbSA</t>
  </si>
  <si>
    <t>aZsH3uCGa8A</t>
  </si>
  <si>
    <t>zLjhPdaaRJ6SdCIuDRspqw</t>
  </si>
  <si>
    <t>DHsAYe4vweY</t>
  </si>
  <si>
    <t>4HUmu-6CRGC6asSOm2Al0Q</t>
  </si>
  <si>
    <t>Htw1ufPCNio</t>
  </si>
  <si>
    <t>JRU84AmuRZeroZ..PIqoXA</t>
  </si>
  <si>
    <t>lxI-fu26a3c</t>
  </si>
  <si>
    <t>DrA8JpBYRWG07xi7nY9sjQ</t>
  </si>
  <si>
    <t>MLdR0F4caEc</t>
  </si>
  <si>
    <t>b.OStpDSQAi4OXk8QY6VQg</t>
  </si>
  <si>
    <t>NCsRAlxO664</t>
  </si>
  <si>
    <t>5vvu2C3bSTWnKuyKmpe-1w</t>
  </si>
  <si>
    <t>7_1NKlWnH1A</t>
  </si>
  <si>
    <t>zZzvkssOTjK2INvFMaQi5A</t>
  </si>
  <si>
    <t>tSrEwr8TqIA</t>
  </si>
  <si>
    <t>Nl0tSS0IS1ua06QLLb8M3w</t>
  </si>
  <si>
    <t>MtuE_wcaYSY</t>
  </si>
  <si>
    <t>ReLU-TtoR8mtFNRgMOmLRQ</t>
  </si>
  <si>
    <t>INSP CABEZAL DE IMPRESIÓN/RODILLOS LOCOS</t>
  </si>
  <si>
    <t>7HAwkFaVzf8</t>
  </si>
  <si>
    <t>7u1r40MFS6ef0PmXOUV5xw</t>
  </si>
  <si>
    <t>CZH1zYm_vfI</t>
  </si>
  <si>
    <t>QZW4Uu1KT1eGAPYsu5vx9g</t>
  </si>
  <si>
    <t>L57iJx2mVI4</t>
  </si>
  <si>
    <t>kmaGF3z8TnyPwglPPJRoQg</t>
  </si>
  <si>
    <t>mBmsjwj_hZ8</t>
  </si>
  <si>
    <t>AXAqfqjxSyaQMr7R3x5bKw</t>
  </si>
  <si>
    <t>INSP. FOTOCELDA</t>
  </si>
  <si>
    <t>UpNQ4vik9dI</t>
  </si>
  <si>
    <t>kM1wEWWdSeOKPhc4Q75mIw</t>
  </si>
  <si>
    <t>lkpB2uYtrew</t>
  </si>
  <si>
    <t>2Tw4PsSHTw6L8zYwrygGDg</t>
  </si>
  <si>
    <t>fFOBA5i2qNo</t>
  </si>
  <si>
    <t>QhFyMQpBTLm-8D-nBYdFZw</t>
  </si>
  <si>
    <t>BOMBA AGUA CRISTAL</t>
  </si>
  <si>
    <t>INSPECCION SEMANAL BOMBA AGUA CRISTAL</t>
  </si>
  <si>
    <t>PLAN MTTO MEC BOMBA AGUA CRISTAL 7094890</t>
  </si>
  <si>
    <t>Bomba con novedad o problema en el cheker de descarga que provoca una gran fuga de líquido.</t>
  </si>
  <si>
    <t>889CZEkfPsc</t>
  </si>
  <si>
    <t>n6q7SSeLQTKxF14B9AEzVg</t>
  </si>
  <si>
    <t>https://storage.googleapis.com/glide-prod.appspot.com/uploads-v2/ly7o78grxPaC6KdgvbpS/pub/zFchUHwegHsDNVu6V286.jpg</t>
  </si>
  <si>
    <t>https://storage.googleapis.com/glide-prod.appspot.com/uploads-v2/ly7o78grxPaC6KdgvbpS/pub/ADYNU7nGHcdYSC41lVLk.jpg</t>
  </si>
  <si>
    <t>PLAN MTTO MEC BOMBA AGUA CRISTAL70948904</t>
  </si>
  <si>
    <t>Bomba con novedad o problema en checker de descarga que provoca una gran fuga de líquido</t>
  </si>
  <si>
    <t>Cw-SVo53hpc</t>
  </si>
  <si>
    <t>B-F3oIlQTGmBV6B53YcsYA</t>
  </si>
  <si>
    <t>https://storage.googleapis.com/glide-prod.appspot.com/uploads-v2/ly7o78grxPaC6KdgvbpS/pub/UkAs7fZfSgDECAgjWaHu.jpg</t>
  </si>
  <si>
    <t>https://storage.googleapis.com/glide-prod.appspot.com/uploads-v2/ly7o78grxPaC6KdgvbpS/pub/HCs9ZvnJd5XwAH99zRrL.jpg</t>
  </si>
  <si>
    <t>BOMBA AGUA PRODUCTO</t>
  </si>
  <si>
    <t>INSPECCION SEMANAL BOMBA AGUA PRODUCTO</t>
  </si>
  <si>
    <t>PLAN MTTO MEC BOMBA AGUA PRODUCT70948907</t>
  </si>
  <si>
    <t>Bomba con fuga de líquido por el sello mecánico de la voluta</t>
  </si>
  <si>
    <t>IZHYPr5pQAg</t>
  </si>
  <si>
    <t>Uf-.HBQDRiCIZ.9ypQheiw</t>
  </si>
  <si>
    <t>https://storage.googleapis.com/glide-prod.appspot.com/uploads-v2/ly7o78grxPaC6KdgvbpS/pub/3Wv92uDKzakxIx4dkezS.jpg</t>
  </si>
  <si>
    <t>https://storage.googleapis.com/glide-prod.appspot.com/uploads-v2/ly7o78grxPaC6KdgvbpS/pub/jCRRVjuUhiW2B5aLDmlh.jpg</t>
  </si>
  <si>
    <t>PLAN MTTO MEC BOMBA AGUA PRODUCT70948905</t>
  </si>
  <si>
    <t>SnMkQlPoENo</t>
  </si>
  <si>
    <t>wxXA2wz-SZaMcuv0Ay89zw</t>
  </si>
  <si>
    <t>PLAN MTTO MEC BOMBA AGUA PRODUCT70948906</t>
  </si>
  <si>
    <t>sosKhomj2X8</t>
  </si>
  <si>
    <t>j89r5Sn1Qh2.0durUbfsQQ</t>
  </si>
  <si>
    <t>PLAN MTTO MEC BOMBA AGUA PRODUCT70948908</t>
  </si>
  <si>
    <t>xH8Mgr2-NR8</t>
  </si>
  <si>
    <t>hBV4vfEtRiy22l6m-e.ivg</t>
  </si>
  <si>
    <t>BOMBA AGUA SERVICIOS EDIFICIOS ADMINIS</t>
  </si>
  <si>
    <t>INSPECCION SEMANAL BOMBA EDIF ADMI</t>
  </si>
  <si>
    <t>PLAN MTTO MEC BOMBA SERV EDI 70948913</t>
  </si>
  <si>
    <t>HHY7bPkCSEo</t>
  </si>
  <si>
    <t>BU.eVzprTwWym3rtBDPxNg</t>
  </si>
  <si>
    <t>PLAN MTTO MEC BOMBA SERV EDI 70948914</t>
  </si>
  <si>
    <t>rFsSfSQ1kdo</t>
  </si>
  <si>
    <t>BNxTLgETQ.WzXV7DHGQ9jQ</t>
  </si>
  <si>
    <t>TRATAMIENTO DE AGUA PARA ENVASADO</t>
  </si>
  <si>
    <t>BOMBA AGUA RETROLAVADO FILTRO ARENA</t>
  </si>
  <si>
    <t>INSPECCION SEMANAL BOMBA RETRO FILTRO AR</t>
  </si>
  <si>
    <t>PLAN MTTO MEC BOMBA FILTRO ARENA70948908</t>
  </si>
  <si>
    <t>Ar0nTcQ3F5k</t>
  </si>
  <si>
    <t>QGk4-r0.Qj2YVwoZ.lzzSA</t>
  </si>
  <si>
    <t>EQUIPOS PARA PREPARACION DE JARABE</t>
  </si>
  <si>
    <t>TANQUE DE JARABE</t>
  </si>
  <si>
    <t>INSPECCION SEMANAL BOMBA Tanque Jarabe 2</t>
  </si>
  <si>
    <t>REVISAR ESTADO TANQUE,TUBERIAS, VALVULAS</t>
  </si>
  <si>
    <t>Moreno Pernia Bladimir</t>
  </si>
  <si>
    <t>fhQERBFd1rY</t>
  </si>
  <si>
    <t>efzapata@postobon.com.co,aprmttoyu@postobon.com.co,aprmyu@postobon.com.co,wmora@postobon.com.co,efzapata@postobon.com.co</t>
  </si>
  <si>
    <t>efzapata@postobon.com.co</t>
  </si>
  <si>
    <t>r5IUjIG.T46UX8BD9.E-mQ</t>
  </si>
  <si>
    <t>INSP. BOMBAS EN GENERAL</t>
  </si>
  <si>
    <t>wVo4jYLAIBQ</t>
  </si>
  <si>
    <t>JgwU4Z.hSSutQr.yxEhPTw</t>
  </si>
  <si>
    <t>ESCAPES FLUIDOS(AGUA,AIRE,JARABE)</t>
  </si>
  <si>
    <t>gbK0UZJE2Nc</t>
  </si>
  <si>
    <t>f7uHYkwST0SRr78V9sRxZA</t>
  </si>
  <si>
    <t>VERIFICAR ESTADO PIEZAS TANQUES (QUE LAS PIEZAS ESTEN COMPLETAS Y EN BUEN ESTADO)</t>
  </si>
  <si>
    <t>CrCGE1a3jHA</t>
  </si>
  <si>
    <t>G-78ARaIRe-yxKZQ.k5QCw</t>
  </si>
  <si>
    <t>MTTO MEC TK JARABE 2 JARABE TERMINADO</t>
  </si>
  <si>
    <t>pDc5El7iEYk</t>
  </si>
  <si>
    <t>Y4-GZMjEQPeN37K8FYJC3w</t>
  </si>
  <si>
    <t>BOMBAS DE AGUA FRIA</t>
  </si>
  <si>
    <t>INSPECCION SEMANAL BOMBAS DE AGUA FRIA</t>
  </si>
  <si>
    <t>PLAN MTTO MEC BOMBAS AGUA FRIA 69841202</t>
  </si>
  <si>
    <t>Guzman Palechor Miguel Angel</t>
  </si>
  <si>
    <t>hICXxErlIe4</t>
  </si>
  <si>
    <t>KxV1veGDTS6rvLX.2vPPYw</t>
  </si>
  <si>
    <t>BOMBAS DE GLICOL</t>
  </si>
  <si>
    <t>INSPECCION SEMANAL BOMBAS DE GLICOL</t>
  </si>
  <si>
    <t>PLAN MTTO MEC BOMBAS GLICOL 69841203</t>
  </si>
  <si>
    <t>4v4EEqMvLKY</t>
  </si>
  <si>
    <t>hOherkVjSB-3.cYoh0DjPg</t>
  </si>
  <si>
    <t>BOMBAS JARABE TERMINADO</t>
  </si>
  <si>
    <t>INSPECCION SEMANAL BOMBAS JARABE TERMINA</t>
  </si>
  <si>
    <t>VERIFICAR FUNCIONAMIENTO BOMBAS</t>
  </si>
  <si>
    <t>Rivas Mena Carlos Danny</t>
  </si>
  <si>
    <t>FAEk-y9pSLE</t>
  </si>
  <si>
    <t>SxoXrfbHT3iTUkiVuQ8vcg</t>
  </si>
  <si>
    <t>REVISAR ESTADO Y FUGAS</t>
  </si>
  <si>
    <t>Lnsn6PxskaY</t>
  </si>
  <si>
    <t>fADrel3PQayb.ZXC4TBD-A</t>
  </si>
  <si>
    <t>QQ3szeuLVvw</t>
  </si>
  <si>
    <t>XlCd7Q1VSj-2Lt9n3rfhgQ</t>
  </si>
  <si>
    <t>PLAN MTTO MEC BOMBAS JARAB TERM 69963490</t>
  </si>
  <si>
    <t>139pWHQgyak</t>
  </si>
  <si>
    <t>MTWC9hRlSUarCOnj3UADvg</t>
  </si>
  <si>
    <t>LAVADORA DE CAJAS PLASTICAS</t>
  </si>
  <si>
    <t>INSPECCION SEMANAL CAJAS PLASTICAS</t>
  </si>
  <si>
    <t>VERIFICAR PRESION CHORROS INTERNOS</t>
  </si>
  <si>
    <t>TUIbho_Z_so</t>
  </si>
  <si>
    <t>HgeWmVf6RNqfBGACpA.9wQ</t>
  </si>
  <si>
    <t>INSP SENSORES NIVEL</t>
  </si>
  <si>
    <t>Oqmy5DXv8Ec</t>
  </si>
  <si>
    <t>icsBBmoHTCGPRxdIB5f2bw</t>
  </si>
  <si>
    <t>FUNC TERMOMETROS</t>
  </si>
  <si>
    <t>Q9-JNP7hcpQ</t>
  </si>
  <si>
    <t>erTWw1HcS5eo6YAXzYsvjA</t>
  </si>
  <si>
    <t>https://storage.googleapis.com/glide-prod.appspot.com/uploads-v2/ly7o78grxPaC6KdgvbpS/pub/G05ExEhlWW70wrJ3I6kc/17031959843131872404411191841789.jpg</t>
  </si>
  <si>
    <t>INSP SISTEMA NEUMATICO(VALVULAS,UNIDAD MTTO)</t>
  </si>
  <si>
    <t>X0AzoIbMtSs</t>
  </si>
  <si>
    <t>a-.kpLKTeQxSYQIalzp5yRA</t>
  </si>
  <si>
    <t>ESTADO TRANSPORTADOR INTERNO</t>
  </si>
  <si>
    <t>l0are8RbXSo</t>
  </si>
  <si>
    <t>lJEpdOpiRAiFc8uhIgynMA</t>
  </si>
  <si>
    <t>FUNC BOMBA LAVADO-ENJUAGUE</t>
  </si>
  <si>
    <t>a6hiKYzg6Wc</t>
  </si>
  <si>
    <t>5puVpT3tT9mXAjqUHEqU4w</t>
  </si>
  <si>
    <t>INSP FUGA FLUIDOS</t>
  </si>
  <si>
    <t>09ez3UnQFeE</t>
  </si>
  <si>
    <t>2PaMCSMOQjarsdtzGkPTHw</t>
  </si>
  <si>
    <t>ESTADO TRANSPORTADORES</t>
  </si>
  <si>
    <t>ZzWsFQhb87M</t>
  </si>
  <si>
    <t>MSnsAf8KTCeHbKv9Sb6vrg</t>
  </si>
  <si>
    <t>ESTADO MALLAS TANQUES</t>
  </si>
  <si>
    <t>JaaG3JipS0M</t>
  </si>
  <si>
    <t>F3lFUS1ESLGy6-qJ4wBltQ</t>
  </si>
  <si>
    <t>CALDERA DE 300 BHP</t>
  </si>
  <si>
    <t>INSPECCION SEMANAL CALDERA DE 300 BHP</t>
  </si>
  <si>
    <t>INSTRUMENTOS MEDICION</t>
  </si>
  <si>
    <t>Valencia Hector</t>
  </si>
  <si>
    <t>pQwzUgN9-jo</t>
  </si>
  <si>
    <t>sbTg6kYcTiiAEQRRmJrm7Q</t>
  </si>
  <si>
    <t>MOTOBOMBAS: AGUA, DOSIFICADOR</t>
  </si>
  <si>
    <t>x77jqrI8wHY</t>
  </si>
  <si>
    <t>feJ5Fw1lS6aZYB4I9i0EKg</t>
  </si>
  <si>
    <t>VENTILADOR</t>
  </si>
  <si>
    <t>DCqW5wTnu-E</t>
  </si>
  <si>
    <t>qFoZQer8T3afgojejMFGHw</t>
  </si>
  <si>
    <t>ESCAPES FLUIDOS: GAS, VAPOR</t>
  </si>
  <si>
    <t>1N35DDn8tyk</t>
  </si>
  <si>
    <t>UEAtAZVAQbWyPq-jUIN2Jg</t>
  </si>
  <si>
    <t>VALVULAS, ELECTROVALVULAS</t>
  </si>
  <si>
    <t>F0K2S8i7gC4</t>
  </si>
  <si>
    <t>IxN66rBwShKA0R48yun0Sg</t>
  </si>
  <si>
    <t>TUBERIAS, CHEQUES</t>
  </si>
  <si>
    <t>YdMNswqQrro</t>
  </si>
  <si>
    <t>bi4BLxUhTNekYkSEsS5APA</t>
  </si>
  <si>
    <t>VALVULAS DE SEGURIDAD</t>
  </si>
  <si>
    <t>17b4PFfBXLU</t>
  </si>
  <si>
    <t>YvCE0kBEQr-yy1WdQ3uQRw</t>
  </si>
  <si>
    <t>ESTADO GRAL, PINTURA</t>
  </si>
  <si>
    <t>rBx8VrgY_G8</t>
  </si>
  <si>
    <t>F6FB6MwVQcSdiJ3z0UjikA</t>
  </si>
  <si>
    <t>VISOR Y MIRILLA</t>
  </si>
  <si>
    <t>5GMlmfhs0rE</t>
  </si>
  <si>
    <t>14erLO6jSPWjS-GC8qiKPg</t>
  </si>
  <si>
    <t>VALVULAS DE PURGA</t>
  </si>
  <si>
    <t>1fipaY83eps</t>
  </si>
  <si>
    <t>vmcHSSZsTv2M8s07RS2OsA</t>
  </si>
  <si>
    <t>VALVULA MODULADORA</t>
  </si>
  <si>
    <t>_V4dPMCobY4</t>
  </si>
  <si>
    <t>8e8w0AcdRuupFAqie--OkA</t>
  </si>
  <si>
    <t>VALVULAS REGULADORAS GAS</t>
  </si>
  <si>
    <t>2_lOvcSYaG8</t>
  </si>
  <si>
    <t>osvU5v7sRPqdOb6vZDQ2LQ</t>
  </si>
  <si>
    <t>QUEMADOR</t>
  </si>
  <si>
    <t>jD-fpAVl3aM</t>
  </si>
  <si>
    <t>1yh7R2RZTn6GqP3LC3MA9g</t>
  </si>
  <si>
    <t>TABLERO DE CONTROL/CLIMATIZADOR</t>
  </si>
  <si>
    <t>M1N3TYVE3zI</t>
  </si>
  <si>
    <t>Ozxd8qj0S3mVcfuxK.8FUg</t>
  </si>
  <si>
    <t>Qq7nidsFknk</t>
  </si>
  <si>
    <t>kMNO.BkdRGmFjQF9g.NYIg</t>
  </si>
  <si>
    <t>dKhhHQ_0_Vo</t>
  </si>
  <si>
    <t>bEK.6yKuT6GhNGE6ZxJlZg</t>
  </si>
  <si>
    <t>s26NVEhz6nI</t>
  </si>
  <si>
    <t>E6XolEb7ToW7fRen3Ux5Mw</t>
  </si>
  <si>
    <t>Lw-lowZPyGc</t>
  </si>
  <si>
    <t>gp908SMdROK5o7W-yoHksw</t>
  </si>
  <si>
    <t>68lvZ7kJGv4</t>
  </si>
  <si>
    <t>J.mMedbSQAudScDqx4JHjg</t>
  </si>
  <si>
    <t>8xLmJ9zUaT4</t>
  </si>
  <si>
    <t>A7yEoMuMRfm6hhZs0BYPVw</t>
  </si>
  <si>
    <t>UhQo7EbBggM</t>
  </si>
  <si>
    <t>cQoNZVksSOu7z-TjPNvLlw</t>
  </si>
  <si>
    <t>pdV0wdglaIw</t>
  </si>
  <si>
    <t>iQ6GvhlSRKiAxpc4lbKrsg</t>
  </si>
  <si>
    <t>23BbgLLOcOs</t>
  </si>
  <si>
    <t>MagnuhljR9OulbBIycuQYA</t>
  </si>
  <si>
    <t>5D92f3kdk08</t>
  </si>
  <si>
    <t>5RO8Fj..QyK1YOkWaKtvAw</t>
  </si>
  <si>
    <t>rrqPsrrQB9c</t>
  </si>
  <si>
    <t>R3oyHsa3QIuqxUUUFOc5rw</t>
  </si>
  <si>
    <t>bFD9EEziZSY</t>
  </si>
  <si>
    <t>eyjtQKHtQlOwQUxZ8nA79g</t>
  </si>
  <si>
    <t>0aNYWPgXuLA</t>
  </si>
  <si>
    <t>CvyokSnYSYmPwdpU5Lg.Kg</t>
  </si>
  <si>
    <t>Wq7qrtWKIxc</t>
  </si>
  <si>
    <t>iW7bN9yeT1CGX4GgMEyjzQ</t>
  </si>
  <si>
    <t>CARBOENFRIADOR DE BEBIDAS</t>
  </si>
  <si>
    <t>INSPECCION SEMANAL CARBOENFRIADOR DE BEB</t>
  </si>
  <si>
    <t>ESTADO INSTRUMENTOS</t>
  </si>
  <si>
    <t>Válvula Q102 simulada pendiente revisión
 Válvula Q104 simulada pendiente revisión
 Válvula Q185 simulada pendiente revisión</t>
  </si>
  <si>
    <t>Correa Jose Antonio</t>
  </si>
  <si>
    <t>F9AXIjrxDSg</t>
  </si>
  <si>
    <t>G20j09qNTkyqpnrQFC9cYA</t>
  </si>
  <si>
    <t>https://storage.googleapis.com/glide-prod.appspot.com/uploads-v2/ly7o78grxPaC6KdgvbpS/pub/KIhoPx1CoZ9xkSslFi1L.jpg</t>
  </si>
  <si>
    <t>https://storage.googleapis.com/glide-prod.appspot.com/uploads-v2/ly7o78grxPaC6KdgvbpS/pub/Z8RKnZFix7qyP0s393JL.jpg</t>
  </si>
  <si>
    <t>https://storage.googleapis.com/glide-prod.appspot.com/uploads-v2/ly7o78grxPaC6KdgvbpS/pub/tSlTOn69aU3iSSfZ5A1Z/17043567665841520942679882824195.jpg</t>
  </si>
  <si>
    <t>ESCAPES FLUIDOS(AIRE,CO2,AGUA)</t>
  </si>
  <si>
    <t>v2qba9Qw_wQ</t>
  </si>
  <si>
    <t>GeDhzHkSSIapFANNtfBgvQ</t>
  </si>
  <si>
    <t>ESTADO TUBERIA</t>
  </si>
  <si>
    <t>77H4-RiMNiY</t>
  </si>
  <si>
    <t>y12zyiMPTWCMwJ1YuiFJJg</t>
  </si>
  <si>
    <t>ESTADO DE BOMBAS</t>
  </si>
  <si>
    <t>XJ0qS-6Lf9k</t>
  </si>
  <si>
    <t>u1FQZongTwybOhfYCV97Gw</t>
  </si>
  <si>
    <t>ESTADO INTERFAZ VISUAL CONTROL</t>
  </si>
  <si>
    <t>WZCGOv5mR-c</t>
  </si>
  <si>
    <t>6c26XZY9SaCJ5Gc.tuJO7A</t>
  </si>
  <si>
    <t>UAkBFrGrStE</t>
  </si>
  <si>
    <t>SurwXIOFQy6aNKFSvE6NAw</t>
  </si>
  <si>
    <t>PRESION AIRE DE TRABAJO</t>
  </si>
  <si>
    <t>gTSZwlN-2ys</t>
  </si>
  <si>
    <t>durgaT0LT-Sj1fdzmkvQbw</t>
  </si>
  <si>
    <t>LIMPIEZA ASPECTO GRAL</t>
  </si>
  <si>
    <t>BB9H84XFUpw</t>
  </si>
  <si>
    <t>ajZuIPB6QK2Yu6g4IcXoSw</t>
  </si>
  <si>
    <t>TABLERO ELECTRICO/CLIMATIZADOR</t>
  </si>
  <si>
    <t>5qZbLjjWUzg</t>
  </si>
  <si>
    <t>T3wHzEy9RJa6336KxxJD2g</t>
  </si>
  <si>
    <t>EQUIPOS ALTA Y BAJA TENSION ELECTRICA</t>
  </si>
  <si>
    <t>CELDA DE ALTA +K01</t>
  </si>
  <si>
    <t>INSPECCION SEMANAL CELDA DE ALTA +K01</t>
  </si>
  <si>
    <t>PLAN MTTO CELDA DE ALTA +K01 7428605</t>
  </si>
  <si>
    <t>MUÑOZ VALENCIA JEFFERSON</t>
  </si>
  <si>
    <t>AcCenhQ_FnE</t>
  </si>
  <si>
    <t>EoX-6DVOSYCeIWv4cAvjbQ</t>
  </si>
  <si>
    <t>CELDA DE ALTA +K02</t>
  </si>
  <si>
    <t>INSPECCION SEMANAL CELDA DE ALTA +K02</t>
  </si>
  <si>
    <t>PLAN MTTO CELDA DE ALTA +K02 74928606</t>
  </si>
  <si>
    <t>Nu5Dp3lcvaA</t>
  </si>
  <si>
    <t>QLVpvjLSQHifY7jvFBMb6g</t>
  </si>
  <si>
    <t>CELDA DE ALTA +K03</t>
  </si>
  <si>
    <t>INSPECCION SEMANAL CELDA DE ALTA +K03</t>
  </si>
  <si>
    <t>PLAN MTTO CELDA DE ALTA +K03 74928607</t>
  </si>
  <si>
    <t>a6BuAxAuXCw</t>
  </si>
  <si>
    <t>G9mZzxmWTqGx928PPDJvsQ</t>
  </si>
  <si>
    <t>CELDA DE ALTA +K04</t>
  </si>
  <si>
    <t>INSPECCION SEMANAL CELDA DE ALTA +K04</t>
  </si>
  <si>
    <t>PLAN MTTO CELDA DE ALTA +K04 74928608</t>
  </si>
  <si>
    <t>VqEHaJU1knY</t>
  </si>
  <si>
    <t>X7kDwiW6R.Kq5DI2DmAZ1g</t>
  </si>
  <si>
    <t>CELDA DE ALTA +K05</t>
  </si>
  <si>
    <t>INSPECCION SEMANAL CELDA DE ALTA +K05</t>
  </si>
  <si>
    <t>PLAN MTTO CELDA DE ALTA +K05 74928609</t>
  </si>
  <si>
    <t>o3xXD6q3mo4</t>
  </si>
  <si>
    <t>5wYuJbKsSiqacXFcgNs32g</t>
  </si>
  <si>
    <t>CELDA DE ALTA +K06</t>
  </si>
  <si>
    <t>INSPECCION SEMANAL CELDA DE ALTA +K06</t>
  </si>
  <si>
    <t>PLAN MTTO CELDA DE ALTA +K06 74928610</t>
  </si>
  <si>
    <t>TPXaw7zERaw</t>
  </si>
  <si>
    <t>VamqqbTTROGGMiC5G-NYWg</t>
  </si>
  <si>
    <t>CELDA DE ALTA +K07</t>
  </si>
  <si>
    <t>INSPECCION SEMANAL CELDA DE ALTA +K07</t>
  </si>
  <si>
    <t>PLAN MTTO CELDA DE ALTA +K07 74928611</t>
  </si>
  <si>
    <t>EIO1ErtfFG4</t>
  </si>
  <si>
    <t>zvpPLLnBQYGrNuBXS5yK7Q</t>
  </si>
  <si>
    <t>CELDA DE ALTA +K08</t>
  </si>
  <si>
    <t>INSPECCION SEMANAL CELDA DE ALTA +K08</t>
  </si>
  <si>
    <t>PLAN MTTO CELDA DE ALTA +K08 74928612</t>
  </si>
  <si>
    <t>vyfEdySJnaY</t>
  </si>
  <si>
    <t>AbOVMY3fQsSkoB8TtWFQaA</t>
  </si>
  <si>
    <t>CELDA DE ALTA +K09</t>
  </si>
  <si>
    <t>INSPECCION SEMANAL CELDA DE ALTA +K09</t>
  </si>
  <si>
    <t>PLAN MTTO CELDA DE ALTA +K09 74928617</t>
  </si>
  <si>
    <t>EpwXqsnjPMc</t>
  </si>
  <si>
    <t>r.3oanZ4SeyjWKhVARZEpA</t>
  </si>
  <si>
    <t>CELDA DISTRIB. BAJA TDP-2</t>
  </si>
  <si>
    <t>INSPECCION SEMANAL CELDA DISTRIB. BAJA T</t>
  </si>
  <si>
    <t>PLAN MTTO CELDA BAJA TDP-2 74928614</t>
  </si>
  <si>
    <t>7qoiUglbVFc</t>
  </si>
  <si>
    <t>Pkneum7cQF2.vgtsYWk04A</t>
  </si>
  <si>
    <t>CELDA DISTRIB. BAJA TDP-3</t>
  </si>
  <si>
    <t>PLAN MTTO CELDA BAJA TDP-3 74928615</t>
  </si>
  <si>
    <t>LkCYqbIZ1gI</t>
  </si>
  <si>
    <t>tDeY6nnRSmi2pFn0Qhy.Ow</t>
  </si>
  <si>
    <t>CELDA DISTRIB. BAJA TDP-1</t>
  </si>
  <si>
    <t>PLAN MTTO CELDA TDP-1 74928613</t>
  </si>
  <si>
    <t>8hNmp2ap1N8</t>
  </si>
  <si>
    <t>LyCKqLJaRdSBLX1il5DIlw</t>
  </si>
  <si>
    <t>LINEA PARA EL LLENADO DE GARRAFAS</t>
  </si>
  <si>
    <t>CODIFICADOR</t>
  </si>
  <si>
    <t>INSPECCION SEMANAL CODIFICADOR</t>
  </si>
  <si>
    <t>PLAN MTTO ELE CODIFICAD GARRAFA 71951102</t>
  </si>
  <si>
    <t>Víctor David Burbano Gómez</t>
  </si>
  <si>
    <t>fq8S4a7YKro</t>
  </si>
  <si>
    <t>0wUjYS8SRRy71YyJw0FXLQ</t>
  </si>
  <si>
    <t>PLAN MTTO ELE CODIFICADOR BAG IN BOX DIS</t>
  </si>
  <si>
    <t>vB2WHn682Wk</t>
  </si>
  <si>
    <t>OaVYITUjT7-DDUyyEqTDsw</t>
  </si>
  <si>
    <t>INSPECCION SEMANAL Codificador</t>
  </si>
  <si>
    <t>FUNCIONAMIENTO CODIFICACION</t>
  </si>
  <si>
    <t>RV8xgYPFn7Y</t>
  </si>
  <si>
    <t>h7Uv31M0S12R8u7RanEfxA</t>
  </si>
  <si>
    <t>ESTADO APLICADOR TERMICO</t>
  </si>
  <si>
    <t>tdXAU-q7UR8</t>
  </si>
  <si>
    <t>vmJcliOrSnSd5m9UjuYfKw</t>
  </si>
  <si>
    <t>LINEA DE ENVASADO FAMILIAR Y PRB</t>
  </si>
  <si>
    <t>CODIFICADOR proveniente de Cartagena</t>
  </si>
  <si>
    <t>Mtto codificador de botellas exel 170i</t>
  </si>
  <si>
    <t>Andrés Felipe Pérez Polania</t>
  </si>
  <si>
    <t>zJNTlYUvrxc</t>
  </si>
  <si>
    <t>AtNDR2I8RYaG7uqzSdTEBw</t>
  </si>
  <si>
    <t>CODIFICADOR PARA BOLSA 360 Y 600</t>
  </si>
  <si>
    <t>INSPECCION SEMANAL CODIFICADOR BOLSA 36</t>
  </si>
  <si>
    <t>OQwkS82PdAk</t>
  </si>
  <si>
    <t>0XqyqSrmQ0iNjjluHXoZ.A</t>
  </si>
  <si>
    <t>JevEdfuFAlI</t>
  </si>
  <si>
    <t>vN9Oc3jrSHe3D0EwVc7Cwg</t>
  </si>
  <si>
    <t>c4DmNGx5vCw</t>
  </si>
  <si>
    <t>cw25uBerQKa50JQUs.pJ4Q</t>
  </si>
  <si>
    <t>INSPECCION SEMANAL CODIFICADOR BOLSA 60</t>
  </si>
  <si>
    <t>MuQeD1-7k7Y</t>
  </si>
  <si>
    <t>TBpb9HFJQWCbzbRKndXHTA</t>
  </si>
  <si>
    <t>z5sJId8w9XM</t>
  </si>
  <si>
    <t>gD7kOX0xQ9egP7nNsCBotA</t>
  </si>
  <si>
    <t>Q24uevw6JSI</t>
  </si>
  <si>
    <t>rzvAJW-sTbmjdgl5DKQw0g</t>
  </si>
  <si>
    <t>LINEA DE ENVASADO JUGOS PET HOT FILL</t>
  </si>
  <si>
    <t>CODIFICADOR DE BOTELLAS LINEA JUGOS</t>
  </si>
  <si>
    <t>INSPECCION SEMANAL CODIFICADOR IMAGE L8</t>
  </si>
  <si>
    <t>INSPECCIÓN SISTEMA NEUMÁTICO</t>
  </si>
  <si>
    <t>Álvaro Celeita Muñoz</t>
  </si>
  <si>
    <t>7TQ_z5Sl1f8</t>
  </si>
  <si>
    <t>tANQ2NQUQGuQPyD6yaUigw</t>
  </si>
  <si>
    <t>VERIFICAR ESTADO FILTRO VACIO</t>
  </si>
  <si>
    <t>INBfUL-ADnw</t>
  </si>
  <si>
    <t>ft37HlnjQxWuKjUoFwakXA</t>
  </si>
  <si>
    <t>INSP. INTERCAMB. Y REJILLA DE AIRE</t>
  </si>
  <si>
    <t>kjOvDqNzT98</t>
  </si>
  <si>
    <t>Y4u3S6S0QkC2S9KiXR8mzQ</t>
  </si>
  <si>
    <t>LASER</t>
  </si>
  <si>
    <t>jTuZ-iMzV2I</t>
  </si>
  <si>
    <t>uKmaFW9RRBmSkaPyNetq9A</t>
  </si>
  <si>
    <t>REVISION FUNCIONAMIENTO</t>
  </si>
  <si>
    <t>eLht5-82u_A</t>
  </si>
  <si>
    <t>wRayvVYdSFmGL1VMD2UsXw</t>
  </si>
  <si>
    <t>INSPECCION FILTROS AIRE</t>
  </si>
  <si>
    <t>sp2xJN6Gnhk</t>
  </si>
  <si>
    <t>VPdFwt7zTXKWnE9flxwt5w</t>
  </si>
  <si>
    <t>INSPECCION LENTE</t>
  </si>
  <si>
    <t>KIebKloiNyE</t>
  </si>
  <si>
    <t>UMBaysXtSs23VZKW3D0jSQ</t>
  </si>
  <si>
    <t>CODIFICADOR LASER</t>
  </si>
  <si>
    <t>INSPECCION SEMANAL Codificador Laser</t>
  </si>
  <si>
    <t>dXyyt-zfNm4</t>
  </si>
  <si>
    <t>IkWNJkxqQpqgHclXw85IDg</t>
  </si>
  <si>
    <t>ojXM8yJZB-Q</t>
  </si>
  <si>
    <t>ZMsxiEsVTzSz2EasL5KtFQ</t>
  </si>
  <si>
    <t>OBuJ5H69w9U</t>
  </si>
  <si>
    <t>miwx3vc4STeW3HN3xaK8Pg</t>
  </si>
  <si>
    <t>vBvfhOpjSaA</t>
  </si>
  <si>
    <t>xY-ej8x1RVWRFpufUhTFUg</t>
  </si>
  <si>
    <t>dDtccZhleXI</t>
  </si>
  <si>
    <t>XZrafMxPQWmBGPr9aS4Y.Q</t>
  </si>
  <si>
    <t>nmdsbIQgm0g</t>
  </si>
  <si>
    <t>vGSscf1.S5-Aq.05Ib-zpA</t>
  </si>
  <si>
    <t>bHdzXdeU59s</t>
  </si>
  <si>
    <t>EgcvpL0pScqjws9ovDS54A</t>
  </si>
  <si>
    <t>INSPECCION SEMANAL CODIFICADOR LASER</t>
  </si>
  <si>
    <t>Equipo fuera de servicio. Se esta trabajando con Codificador de Tinta.</t>
  </si>
  <si>
    <t>AtYy0zXKrHE</t>
  </si>
  <si>
    <t>TxgYvmEqTgejERriVCDvGw</t>
  </si>
  <si>
    <t>https://storage.googleapis.com/glide-prod.appspot.com/uploads-v2/ly7o78grxPaC6KdgvbpS/pub/By9dsdTMhOPDV1yfGkSW.jpg</t>
  </si>
  <si>
    <t>ZGBBgJU0XSU</t>
  </si>
  <si>
    <t>r3wp8kWUTzWIo75j6ZmqZA</t>
  </si>
  <si>
    <t>5lI9UMeSPr8</t>
  </si>
  <si>
    <t>huIprXaXQvet7IZ4Qo7sHg</t>
  </si>
  <si>
    <t>CODIFICADOR LASER DE ENVASE</t>
  </si>
  <si>
    <t>INSPECCION SEMANAL CODIFICADOR LASER DE</t>
  </si>
  <si>
    <t>RyXlcGUs0-Y</t>
  </si>
  <si>
    <t>pHU3yXtuS3u7wWsfPTfh6A</t>
  </si>
  <si>
    <t>UZ944eghXqc</t>
  </si>
  <si>
    <t>SCMGHlBKRjuB9qOdaoyklA</t>
  </si>
  <si>
    <t>fjfKUiIUFcY</t>
  </si>
  <si>
    <t>Zw07RMZkSNWEI6FQyQVmbQ</t>
  </si>
  <si>
    <t>COMPRESOR AIRE 3</t>
  </si>
  <si>
    <t>INSPECCION SEMANAL COMPRESOR AIRE 3</t>
  </si>
  <si>
    <t>INSP NIVEL ACEITE (1/2 A 3/4)</t>
  </si>
  <si>
    <t>YVXLzOulbok</t>
  </si>
  <si>
    <t>GvDXJf8xRrevc7a6OUUqLA</t>
  </si>
  <si>
    <t>INSP TEMP ACEITE (&gt;49 ºc)</t>
  </si>
  <si>
    <t>1Da1Y-0zTSA</t>
  </si>
  <si>
    <t>cbotXqd3RRuQw8xNYbKmPw</t>
  </si>
  <si>
    <t>INSP CAIDA PRESION FILTRO ACEITE(&lt;0,9 BAR O 13PSI)</t>
  </si>
  <si>
    <t>bo8M_roshXM</t>
  </si>
  <si>
    <t>BZExNW2hSZKgL0DoDAaMpg</t>
  </si>
  <si>
    <t>VERIFICAR FUNC DESAGUE CONDENSADO</t>
  </si>
  <si>
    <t>fQ4kTBtdOUE</t>
  </si>
  <si>
    <t>mHbbYFlBQta2Y4oK.z4LrQ</t>
  </si>
  <si>
    <t>PRESION DIFERENCIAL FILTRO AIRE(NO&gt;0,048BAR-0,7PSI)</t>
  </si>
  <si>
    <t>lMhxdg7Zd0k</t>
  </si>
  <si>
    <t>gdBGZHvsQ8WpLV5zetMqxQ</t>
  </si>
  <si>
    <t>REV. ACUMULACION ENFRIADOR(CUERPO EXTRAÑO)</t>
  </si>
  <si>
    <t>BppViBirX00</t>
  </si>
  <si>
    <t>3c9qCvEmRt-M6OfE0QLJSg</t>
  </si>
  <si>
    <t>RUIDO ANORMAL</t>
  </si>
  <si>
    <t>RPl77jZSSbk</t>
  </si>
  <si>
    <t>IDODPwrfTNSBQzQRKodcSQ</t>
  </si>
  <si>
    <t>ESTADO INSTRUMENTACION</t>
  </si>
  <si>
    <t>U-zFTeDxhTY</t>
  </si>
  <si>
    <t>dCma.SE7QGCVZ0zglynUoA</t>
  </si>
  <si>
    <t>ESCAPE FLUIDOS(AIRE,AGUA,ACEITE)</t>
  </si>
  <si>
    <t>xARDI7qCnPA</t>
  </si>
  <si>
    <t>cfYRUd8fSIiXRgRwys.pQQ</t>
  </si>
  <si>
    <t>ESTADO GRAL PINTURA</t>
  </si>
  <si>
    <t>hurcYllnseU</t>
  </si>
  <si>
    <t>GZLMkQkfQTOhoynpI1-C8g</t>
  </si>
  <si>
    <t>iOnTlIGLaPg</t>
  </si>
  <si>
    <t>PoJYGMPyQAagN02ScX2Zgw</t>
  </si>
  <si>
    <t>ESTADO DEL SECADOR</t>
  </si>
  <si>
    <t>RN--ZOj221k</t>
  </si>
  <si>
    <t>G96OrHzSQe6G43K45Q7Law</t>
  </si>
  <si>
    <t>COMPRESOR AIRE 2</t>
  </si>
  <si>
    <t>INSPECCION SEMANAL COMPRESOR AIRE SIERRA</t>
  </si>
  <si>
    <t>h8PY1paUHUo</t>
  </si>
  <si>
    <t>YkqyVXvARa-RZkjadDw2dA</t>
  </si>
  <si>
    <t>a4q4ZrRYr7Q</t>
  </si>
  <si>
    <t>zkkzaI9WS0itMvaWb92RbQ</t>
  </si>
  <si>
    <t>1xve9s-Yzio</t>
  </si>
  <si>
    <t>IuW5CEmGSVWomXVfv2y28w</t>
  </si>
  <si>
    <t>kQ_fhQitFSA</t>
  </si>
  <si>
    <t>nsBg0GjTSTKlWdTwVun98A</t>
  </si>
  <si>
    <t>F4Mx2jlG1mA</t>
  </si>
  <si>
    <t>a-HmMMoCFQ-ytCItNKoiT3A</t>
  </si>
  <si>
    <t>czPMFF9hnzQ</t>
  </si>
  <si>
    <t>H.VEjkdgSKmVxsLMy-BwZg</t>
  </si>
  <si>
    <t>K0GObHGkJss</t>
  </si>
  <si>
    <t>RbqqY1-dTYujQybNMy0vcA</t>
  </si>
  <si>
    <t>cYBYjq9aJVE</t>
  </si>
  <si>
    <t>XXrSUJo6TtmxC5D1GGcpxw</t>
  </si>
  <si>
    <t>McuvJjIwnA4</t>
  </si>
  <si>
    <t>vPjB2Os4S.CoRnYwWEGn9A</t>
  </si>
  <si>
    <t>fezovehLiR0</t>
  </si>
  <si>
    <t>G6mf1j1YRN6RvzsiTW4lpA</t>
  </si>
  <si>
    <t>iAK1hAYYoUY</t>
  </si>
  <si>
    <t>9r0JsDm9QbGq.joQfGGLFw</t>
  </si>
  <si>
    <t>xzaKEzGba2w</t>
  </si>
  <si>
    <t>53OY3PSCSZ-BsmA1Crafhw</t>
  </si>
  <si>
    <t>COMPRESOR DE REFRIGERACION No. 2 JUGOS</t>
  </si>
  <si>
    <t>INSPECCION SEMANAL COMPRESOR DE REFRIGER</t>
  </si>
  <si>
    <t>PLAN MTTO MEC COMPRESOR REFRIG Nº2 JUGOS</t>
  </si>
  <si>
    <t>aMJTDTL1R4M</t>
  </si>
  <si>
    <t>zKRCz5VPTcmc0wHF9gNWiQ</t>
  </si>
  <si>
    <t>COMPRESOR DE REFRIGERACION No. 1 JUGOS</t>
  </si>
  <si>
    <t>REVISAR PRESIONES Y TEMPERA</t>
  </si>
  <si>
    <t>ML2F24n2-Bo</t>
  </si>
  <si>
    <t>xhb4mQgHQjW.TVLiJiRaKA</t>
  </si>
  <si>
    <t>REVISAR CAIDA PRESION FILTRO&lt;10psi</t>
  </si>
  <si>
    <t>dR_DIvYA9Lw</t>
  </si>
  <si>
    <t>HfIdFSpWRUq9r0aJk85hkw</t>
  </si>
  <si>
    <t>REVISAR RUIDOS ANORMALES</t>
  </si>
  <si>
    <t>boViUV-dtdU</t>
  </si>
  <si>
    <t>FaR92MNaTL63uakDFBy2VQ</t>
  </si>
  <si>
    <t>INSP FUGA ACEITE (10 GOTAS/MIN ES NORMAL)</t>
  </si>
  <si>
    <t>Ws_b2rYEgIo</t>
  </si>
  <si>
    <t>CatM0PY6SFeJ0MiSXySXOw</t>
  </si>
  <si>
    <t>REVISAR NIVELES ACEITE</t>
  </si>
  <si>
    <t>NF_ggicG2iM</t>
  </si>
  <si>
    <t>UDJ4FNJISGahW34Om1HkXw</t>
  </si>
  <si>
    <t>REVISAR TABLERO ELECTRICO</t>
  </si>
  <si>
    <t>F4ZFrkCLSBM</t>
  </si>
  <si>
    <t>2yAb1D5uQpG.epMCvbeSvw</t>
  </si>
  <si>
    <t>REVISAR NIVEL REFRIG TANQUE</t>
  </si>
  <si>
    <t>3Wn5bGri4NE</t>
  </si>
  <si>
    <t>dqBB1xlXQiqyeug48iStwg</t>
  </si>
  <si>
    <t>INSP. ALINEACION ACOPLE</t>
  </si>
  <si>
    <t>bOUEsJq25KE</t>
  </si>
  <si>
    <t>f1hE64uySKa3p-DY-ex8DQ</t>
  </si>
  <si>
    <t>REV. CALIBRACION TRANSDUCTOR Y RTD</t>
  </si>
  <si>
    <t>jDti927lysI</t>
  </si>
  <si>
    <t>6QJ2446LTAmPN.4HIBv0og</t>
  </si>
  <si>
    <t>REVISION PRESION Y TEMPERATURA</t>
  </si>
  <si>
    <t>sRA1oomBo24</t>
  </si>
  <si>
    <t>Tv9exRHmTbmlAPKI2-5y2w</t>
  </si>
  <si>
    <t>VERIF. VALVULAS DE SEGURIDAD</t>
  </si>
  <si>
    <t>mcohvkvL1WY</t>
  </si>
  <si>
    <t>Yd5nx2GdQJyoJDMsX7NpkA</t>
  </si>
  <si>
    <t>ESTADO DEL TANQUE</t>
  </si>
  <si>
    <t>IZ3TYEBkV9w</t>
  </si>
  <si>
    <t>m3t1l8pbTd6vAI3zCFsECw</t>
  </si>
  <si>
    <t>ESTADO DE ILUMINACION</t>
  </si>
  <si>
    <t>--9M3QCfGbA</t>
  </si>
  <si>
    <t>SJ6tkNOZSAuXvr-tvVdMcA</t>
  </si>
  <si>
    <t>V1zjgeX7GTQ</t>
  </si>
  <si>
    <t>C8K3W5.GSRC1CqWnAxR9Lg</t>
  </si>
  <si>
    <t>COMPRESOR DE REFRIGERACION No. 3 JUGOS</t>
  </si>
  <si>
    <t>PLAN MTTO MEC COMPRESOR REFRIG Nº3 JUGOS</t>
  </si>
  <si>
    <t>H6hL0FO4O8I</t>
  </si>
  <si>
    <t>LM8yoaj5SqW5IfIVitEdUg</t>
  </si>
  <si>
    <t>COMPRESOR REFRIGERACION RECIPROCANTE 4</t>
  </si>
  <si>
    <t>INSPECCION SEMANAL COMPRESOR REFRIGERACI</t>
  </si>
  <si>
    <t>NIVEL ACEITE</t>
  </si>
  <si>
    <t>rfA0AVXFwwU</t>
  </si>
  <si>
    <t>gMGFEYfcT.im8dOYMOhimg</t>
  </si>
  <si>
    <t>TEMPERATURA ACEITE</t>
  </si>
  <si>
    <t>NCqzZYCZD6U</t>
  </si>
  <si>
    <t>iThUnBPSRcuOrn9XlU0qdQ</t>
  </si>
  <si>
    <t>ESCAPES AMONIACO</t>
  </si>
  <si>
    <t>fIChMYnAk3o</t>
  </si>
  <si>
    <t>B9NAq0Y5QL6GwFQVUy1dYw</t>
  </si>
  <si>
    <t>AGUA PARA ENFRIAMIENTO</t>
  </si>
  <si>
    <t>9xIoNThWLkM</t>
  </si>
  <si>
    <t>cNkSy7duTCWDhbZWxgBOMw</t>
  </si>
  <si>
    <t>PRESION: SUCCION, DESCARGA</t>
  </si>
  <si>
    <t>cHfczPFJeGg</t>
  </si>
  <si>
    <t>YlTWQ0H2R1uV03geFSPdfw</t>
  </si>
  <si>
    <t>PRESION ACEITE</t>
  </si>
  <si>
    <t>JjVbnnIFBY4</t>
  </si>
  <si>
    <t>p3hFUC1UQeuHl5Tco2-Fhg</t>
  </si>
  <si>
    <t>RUIDO</t>
  </si>
  <si>
    <t>-pLlAkEVuuc</t>
  </si>
  <si>
    <t>UW9Laxi5TB2QcBL1DqCKEg</t>
  </si>
  <si>
    <t>ESTADO POLEAS, CORREAS</t>
  </si>
  <si>
    <t>FilCFSCWBp0</t>
  </si>
  <si>
    <t>2k-MDG7ZQuGuVC8w-R3Oag</t>
  </si>
  <si>
    <t>GUARDA TRANSMISION</t>
  </si>
  <si>
    <t>fva0WUEpYFE</t>
  </si>
  <si>
    <t>Y8TKz9dHShGyH.tcRQ4Rkg</t>
  </si>
  <si>
    <t>ELECTROVALVULAS DESCARGADOS</t>
  </si>
  <si>
    <t>CDBqhRV5Ks8</t>
  </si>
  <si>
    <t>mFke1rZdRI6-WhFfRjZdqQ</t>
  </si>
  <si>
    <t>BOMBA ACEITE</t>
  </si>
  <si>
    <t>88IzOl9tGAM</t>
  </si>
  <si>
    <t>0m6LmhhbR5-LSwoeH1.3Eg</t>
  </si>
  <si>
    <t>INSTRUMENTACION</t>
  </si>
  <si>
    <t>K6FjsSE4HY4</t>
  </si>
  <si>
    <t>r5bqCPT8S4SUJh14iDLW1A</t>
  </si>
  <si>
    <t>o0x14z4WMik</t>
  </si>
  <si>
    <t>Vnv.ylZwQyuoK3fOAD3Imw</t>
  </si>
  <si>
    <t>JuU67vTYqZY</t>
  </si>
  <si>
    <t>p0FeZMi0TwC634Lq-PlRew</t>
  </si>
  <si>
    <t>COMPRESOR REFRIGERACION RECIPROCANTE 2</t>
  </si>
  <si>
    <t>R7EjPMaZfNA</t>
  </si>
  <si>
    <t>KxBQPErARWaxNFo5hpes1A</t>
  </si>
  <si>
    <t>uzPjxONvMec</t>
  </si>
  <si>
    <t>CsjQGVJ1QyKcJgeDgiduag</t>
  </si>
  <si>
    <t>dja8nrJ9hq8</t>
  </si>
  <si>
    <t>RZ1im6X-S8SmejAYZUTdgA</t>
  </si>
  <si>
    <t>vKBsjqQq3uQ</t>
  </si>
  <si>
    <t>fSUkj-h.S5G-8Yaq71rs5A</t>
  </si>
  <si>
    <t>1AVUmOBOfqo</t>
  </si>
  <si>
    <t>jFDaz5veREWXjO7CuEXcfA</t>
  </si>
  <si>
    <t>Zu8szjnKe74</t>
  </si>
  <si>
    <t>6wtKN9LnTWid5ivAT0r-aw</t>
  </si>
  <si>
    <t>6ZVr1vkQSfU</t>
  </si>
  <si>
    <t>eBfsTyRQQU6tj3BQj14Z1Q</t>
  </si>
  <si>
    <t>6cnUpwcxmIw</t>
  </si>
  <si>
    <t>JidnhEqFR4iNUZxiAt2-Jw</t>
  </si>
  <si>
    <t>ZDZRsMorRGo</t>
  </si>
  <si>
    <t>XzR5SF6UQwK5xTefWIgMKw</t>
  </si>
  <si>
    <t>mfYh6j_Vt-I</t>
  </si>
  <si>
    <t>5aPwOscITlu5XhB5BOe3Hw</t>
  </si>
  <si>
    <t>vYWroJwsmAs</t>
  </si>
  <si>
    <t>LgLFTPSaQ-24wzevD6nCXA</t>
  </si>
  <si>
    <t>k-foqD393Ew</t>
  </si>
  <si>
    <t>RWfo4vFRQkOEaL1zA4DcXA</t>
  </si>
  <si>
    <t>DWB4AXl4q60</t>
  </si>
  <si>
    <t>8oG2npHwRpW0FIrS62gBGw</t>
  </si>
  <si>
    <t>9aVjt4xlkq8</t>
  </si>
  <si>
    <t>2y15ev6lTOuoTWU7.tdVJQ</t>
  </si>
  <si>
    <t>COMPRESOR DE REFRIGERACION</t>
  </si>
  <si>
    <t>PLAN DE MTTO MEC COMPRESOR REFRIG 1</t>
  </si>
  <si>
    <t>9Jj9blUxUmk</t>
  </si>
  <si>
    <t>s5tBq9puTFaWKVvFQVWuDw</t>
  </si>
  <si>
    <t>CONDENSADOR EVAPORATIVO</t>
  </si>
  <si>
    <t>INSPECCION SEMANAL CONDENSADOR EVAPORATI</t>
  </si>
  <si>
    <t>PLAN MTTO MEC CONDENSADOR EVAP GASEOSA</t>
  </si>
  <si>
    <t>VcxTZiie_AE</t>
  </si>
  <si>
    <t>8j-P-mZLT1KUY0vrT1939Q</t>
  </si>
  <si>
    <t>CONDENSADOR EVAPORATIIVO JUGOS</t>
  </si>
  <si>
    <t>INSP. SECCION TRANSF. CALOR</t>
  </si>
  <si>
    <t>uPBofhjuSBA</t>
  </si>
  <si>
    <t>HqQ1WX9JRrew7CYGAR7Tcg</t>
  </si>
  <si>
    <t>INSP. BOQUILLAS ASPERSION</t>
  </si>
  <si>
    <t>k_8E5j1pkyY</t>
  </si>
  <si>
    <t>EPh-UfL2SGqFeqQzH6jNMQ</t>
  </si>
  <si>
    <t>ESTADO MOTOBOMBAS</t>
  </si>
  <si>
    <t>tPaB3G1z2WQ</t>
  </si>
  <si>
    <t>xM3lZwzXTR-0pKkmc4I6Og</t>
  </si>
  <si>
    <t>ESTADO VENTILADORES</t>
  </si>
  <si>
    <t>59haokrMR3w</t>
  </si>
  <si>
    <t>QjJB0lu9RbWAyJvNKPseMQ</t>
  </si>
  <si>
    <t>Yk2ezF_w5L8</t>
  </si>
  <si>
    <t>fMF-XNT9ShiwCSVbMgRKCQ</t>
  </si>
  <si>
    <t>VALVULAS SEGURIDAD</t>
  </si>
  <si>
    <t>HCsVA5LffwA</t>
  </si>
  <si>
    <t>ytwSzAUbTbubqBgYl2JoTQ</t>
  </si>
  <si>
    <t>ESTADO DE DEFLECTORES</t>
  </si>
  <si>
    <t>Aa5AwRHAUVU</t>
  </si>
  <si>
    <t>9RjOmBx8SGOB7AxJDI-I.w</t>
  </si>
  <si>
    <t>32XwaCmgx2c</t>
  </si>
  <si>
    <t>Kjd0iw6cTHqbziiaOYQlAQ</t>
  </si>
  <si>
    <t>ESTADO TANQUE RECIBIDOR</t>
  </si>
  <si>
    <t>9EoyKsmZjDo</t>
  </si>
  <si>
    <t>VqKIjnn8R-uGJBZ5F5LZgQ</t>
  </si>
  <si>
    <t>ESTADO EJE VENTILADOR</t>
  </si>
  <si>
    <t>R4qpd8_uyzY</t>
  </si>
  <si>
    <t>9yS.1zCOTfuU1EubYkxkfA</t>
  </si>
  <si>
    <t>CHUMACERAS</t>
  </si>
  <si>
    <t>0TxQExscS30</t>
  </si>
  <si>
    <t>8s80Rg9ESUWX0QtIptkuaA</t>
  </si>
  <si>
    <t>kdh_lQD1jlA</t>
  </si>
  <si>
    <t>gFcgGRlSSe2qedkN5.qqCw</t>
  </si>
  <si>
    <t>ESTADO CORREAS VENTILADOR</t>
  </si>
  <si>
    <t>_APDvNYnXGk</t>
  </si>
  <si>
    <t>9xrhJGefTJGkFgKnvXIiCA</t>
  </si>
  <si>
    <t>INSP FUGAS AGUA, REFRIGERANTE SERPENTIN</t>
  </si>
  <si>
    <t>PZZCZ06AD70</t>
  </si>
  <si>
    <t>zBN6JaeoQmagfwoM68zS5A</t>
  </si>
  <si>
    <t>ENFRIADOR</t>
  </si>
  <si>
    <t>INSPECCION SEMANAL COOLER</t>
  </si>
  <si>
    <t>ESTADO CUERPO PRINCIPAL</t>
  </si>
  <si>
    <t>Vanegas Guependo Hermes</t>
  </si>
  <si>
    <t>Ypep2KUu1pA</t>
  </si>
  <si>
    <t>c84EyKghRxKJsZPrifY87A</t>
  </si>
  <si>
    <t>ESTADO BANDA TRANSPORTADORA</t>
  </si>
  <si>
    <t>rgNcEMNfMg4</t>
  </si>
  <si>
    <t>Uuj6BH3CSW2-HTUZasR2Fg</t>
  </si>
  <si>
    <t>INSP. MOTO REDUCTOR</t>
  </si>
  <si>
    <t>cEjtdCrPCp8</t>
  </si>
  <si>
    <t>lOJ0iWHIS5aylSFDsi6mWA</t>
  </si>
  <si>
    <t>INSP. VALVULA REGULADORA</t>
  </si>
  <si>
    <t>ASNWrJuBdP4</t>
  </si>
  <si>
    <t>RDyArvNbTcOS2ip3eNS0lw</t>
  </si>
  <si>
    <t>VERIF. INSTRUMENTACION</t>
  </si>
  <si>
    <t>YAq29bQGpyw</t>
  </si>
  <si>
    <t>4RkyYCCmR7WvkdsVHtJALQ</t>
  </si>
  <si>
    <t>INSP. FUGAS DE FLUIDOS</t>
  </si>
  <si>
    <t>8u8xeMUOEZw</t>
  </si>
  <si>
    <t>lJ8h5sLCTN6vbzk64ZpeMw</t>
  </si>
  <si>
    <t>INSP. DE TUBERIA</t>
  </si>
  <si>
    <t>-REht6wSW0s</t>
  </si>
  <si>
    <t>45pjNssHQIuFsGYdFtERfw</t>
  </si>
  <si>
    <t>ESTADO DE GUIAS INTERNAS</t>
  </si>
  <si>
    <t>I5vFBIcp6O0</t>
  </si>
  <si>
    <t>8CXvZxm6RY6iE1HVE.OKvg</t>
  </si>
  <si>
    <t>cjGhIbsoxnk</t>
  </si>
  <si>
    <t>quq.3LHsQWawci7XjeY-Ww</t>
  </si>
  <si>
    <t>INSP. INTERCAMBIADOR DE CALOR</t>
  </si>
  <si>
    <t>h1VLarOdVzk</t>
  </si>
  <si>
    <t>wKBx60UBTMWkKhSj7ZYqHg</t>
  </si>
  <si>
    <t>ESTADO BOMBAS</t>
  </si>
  <si>
    <t>OXzoDNdZLHw</t>
  </si>
  <si>
    <t>oOrlcCA4Tgmg7WoSTpJZgw</t>
  </si>
  <si>
    <t>ESTADO BOQUILLAS ROCIADORAS</t>
  </si>
  <si>
    <t>Cw0JHrRtoiI</t>
  </si>
  <si>
    <t>M3VW5-t9R-u-xdSIAHjFHw</t>
  </si>
  <si>
    <t>DESCAPSULADORA</t>
  </si>
  <si>
    <t>INSPECCION SEMANAL DESCAPSULADORA</t>
  </si>
  <si>
    <t>Fugas de aire o aceite</t>
  </si>
  <si>
    <t>Paz Paz Jhon Estiven</t>
  </si>
  <si>
    <t>6SNOqjrrG_s</t>
  </si>
  <si>
    <t>2QbXyt8VQpis9ocvTr.YKg</t>
  </si>
  <si>
    <t>ESoWLnjhwI0</t>
  </si>
  <si>
    <t>Tuav7bCLQ.KemRXuMRbR8A</t>
  </si>
  <si>
    <t>Estado de pintura</t>
  </si>
  <si>
    <t>UE1ayvjB79M</t>
  </si>
  <si>
    <t>bV113WVsQ.2VGpE7FVNWPQ</t>
  </si>
  <si>
    <t>Estado de motores</t>
  </si>
  <si>
    <t>vs-_QqgS3D0</t>
  </si>
  <si>
    <t>FoXF9Wu8Sz-.j3j-vScM4g</t>
  </si>
  <si>
    <t>Estado mandril retractil desenroscador</t>
  </si>
  <si>
    <t>ORfI-o1Hb8s</t>
  </si>
  <si>
    <t>a-tZGlfdmSEmHdBocff4a8Q</t>
  </si>
  <si>
    <t>Estado del posicionador</t>
  </si>
  <si>
    <t>p3VyrVtfwlo</t>
  </si>
  <si>
    <t>NRhAt0vBSaSig5WY4HPmLw</t>
  </si>
  <si>
    <t>Estado de guías plásticas y estrellas de transferencia</t>
  </si>
  <si>
    <t>oKxDiWWpr5A</t>
  </si>
  <si>
    <t>Qx02vN1kRManOmvelGyYwg</t>
  </si>
  <si>
    <t>Estado tornillo sin fin</t>
  </si>
  <si>
    <t>Xi0Ugj-kglo</t>
  </si>
  <si>
    <t>A-l1JLs7S-6k-.gti6cR.A</t>
  </si>
  <si>
    <t>Estado de sistema de lubricacion</t>
  </si>
  <si>
    <t>XafEYzBceYA</t>
  </si>
  <si>
    <t>vBH9v1IdQq2s.MQlU6JFIw</t>
  </si>
  <si>
    <t>Estado unidad de mantenimiento neumatica</t>
  </si>
  <si>
    <t>3A7ppd7lJlk</t>
  </si>
  <si>
    <t>AwnSabOgShugaKy0FVMv9g</t>
  </si>
  <si>
    <t>T-MlCJpwMuM</t>
  </si>
  <si>
    <t>xGtD70ewR3yYKlxkU8CxxQ</t>
  </si>
  <si>
    <t>Estado de sistema expulsión de tapas</t>
  </si>
  <si>
    <t>1f7gd8wglFE</t>
  </si>
  <si>
    <t>Cwlwk3cJTrGlYueGeP.kMw</t>
  </si>
  <si>
    <t>Estado de cabezales</t>
  </si>
  <si>
    <t>Mn5QKEWwKh8</t>
  </si>
  <si>
    <t>EJGfh4zLSwa5JoISztcI0g</t>
  </si>
  <si>
    <t>Estado electrovalvulas</t>
  </si>
  <si>
    <t>XUF6diIs5J4</t>
  </si>
  <si>
    <t>WOJT81cZRROnkxEm19XE6w</t>
  </si>
  <si>
    <t>Estado Piñoneria</t>
  </si>
  <si>
    <t>yvEQpxab1Xg</t>
  </si>
  <si>
    <t>4vY4LjjzTT6QfrO8ySGffg</t>
  </si>
  <si>
    <t>Estado de correas y poleas de transmisión</t>
  </si>
  <si>
    <t>_L0cTTQqT4w</t>
  </si>
  <si>
    <t>UGOE31rRQnOR9TJOrXlx-w</t>
  </si>
  <si>
    <t>UiSsfc5ewDk</t>
  </si>
  <si>
    <t>Jq7qAMqFSr2zBGHw61nAFw</t>
  </si>
  <si>
    <t>Estado y limpieza de extractor y/o climatizador tablero eléctrico</t>
  </si>
  <si>
    <t>FUKrb-XpbQ4</t>
  </si>
  <si>
    <t>WtRsHoWlQXOp7v8DhaLe-w</t>
  </si>
  <si>
    <t>DESEMPACADORA</t>
  </si>
  <si>
    <t>INSPECCION SEMANAL DESEMPACADORA</t>
  </si>
  <si>
    <t>UzV7HcbxkQA</t>
  </si>
  <si>
    <t>oQtG.3ffTlOw9p0opqo7jw</t>
  </si>
  <si>
    <t>7xWxAzCFsAw</t>
  </si>
  <si>
    <t>7kFYqjyPSlqgInclO1Ib.w</t>
  </si>
  <si>
    <t>Estado de las membranas y cabezote</t>
  </si>
  <si>
    <t>Lhfp09bo4BU</t>
  </si>
  <si>
    <t>XpHByhiKQ0i1dCptrhBY0A</t>
  </si>
  <si>
    <t>zCegs2JC290</t>
  </si>
  <si>
    <t>S49f7OlJSSerntLe5kZQuw</t>
  </si>
  <si>
    <t>Estado mecánico general (chasis, pantógrafo, guardas, rotulas, bujes, pasadores, chumaceras y rodamientos)</t>
  </si>
  <si>
    <t>Fooa5T5vo84</t>
  </si>
  <si>
    <t>5svwEjSLQdelK6BdygYKxw</t>
  </si>
  <si>
    <t>Estado de cadenas de transmision</t>
  </si>
  <si>
    <t>8fWlZs_X8oo</t>
  </si>
  <si>
    <t>uM74aym7RyajlDhOsq8lnw</t>
  </si>
  <si>
    <t>Estado de cadenas table top y piñones</t>
  </si>
  <si>
    <t>6ibpp6FFasc</t>
  </si>
  <si>
    <t>9OYnlp9KTpq2l8kVepPR-w</t>
  </si>
  <si>
    <t>1lwn8e1jkM8</t>
  </si>
  <si>
    <t>TXO9.uOVTnqtf5m5x3kyDw</t>
  </si>
  <si>
    <t>lrh4GSOGwjg</t>
  </si>
  <si>
    <t>dq6E9BIASfeb.XKGG6Q4dQ</t>
  </si>
  <si>
    <t>Estado de cajas reductoras</t>
  </si>
  <si>
    <t>2_yoq32_CWg</t>
  </si>
  <si>
    <t>Pu0c12QBSqecInh7P5El1A</t>
  </si>
  <si>
    <t>Nbnx8mk1gdY</t>
  </si>
  <si>
    <t>wGtXGCAZTbuInyBv4g0r9g</t>
  </si>
  <si>
    <t>Estado de electroválvulas</t>
  </si>
  <si>
    <t>CU0uMj5LMFM</t>
  </si>
  <si>
    <t>Qb-ymjowS1mm5eMZ2W8sxA</t>
  </si>
  <si>
    <t>Estado perfiles de desgaste plasticos</t>
  </si>
  <si>
    <t>jdmI4UaPxv0</t>
  </si>
  <si>
    <t>a.okC5bcGTVeyPfAPhM4EVw</t>
  </si>
  <si>
    <t>Estado de plato muerto</t>
  </si>
  <si>
    <t>1KJgGc15BHg</t>
  </si>
  <si>
    <t>TdXPudH8Q.W8S80dNQWHdA</t>
  </si>
  <si>
    <t>Estado sistema basculante y tope</t>
  </si>
  <si>
    <t>e0w-wsqmobg</t>
  </si>
  <si>
    <t>rH-CW0hhQI2OBYw1GJPMZw</t>
  </si>
  <si>
    <t>uezP2TyedOQ</t>
  </si>
  <si>
    <t>qLBjHYPsTi6okvq63XqkSg</t>
  </si>
  <si>
    <t>-lLu6SA1zP4</t>
  </si>
  <si>
    <t>qIlfZxaKQJ64mJYkSK3EgA</t>
  </si>
  <si>
    <t>zz0qiNuU1ZY</t>
  </si>
  <si>
    <t>EIGNjUZGR9aiwbmLSxydwA</t>
  </si>
  <si>
    <t>Alexander Echeverry Moreno</t>
  </si>
  <si>
    <t>2W3oipG52K8</t>
  </si>
  <si>
    <t>iAjyQpf.SuKZDvJbWFF-Dw</t>
  </si>
  <si>
    <t>Lff_05WWQfA</t>
  </si>
  <si>
    <t>NIKjlU2.Q5-esnWvZBZk7w</t>
  </si>
  <si>
    <t>kfm_K4OEXjg</t>
  </si>
  <si>
    <t>WoHrT44aS1aMuMdefraVqg</t>
  </si>
  <si>
    <t>FHeUXw_DcfQ</t>
  </si>
  <si>
    <t>TDdV60RxRiOkQR1ci9JyKw</t>
  </si>
  <si>
    <t>xUtNsFJvmLI</t>
  </si>
  <si>
    <t>zNKvGMcaSA-e4deoaWP7ng</t>
  </si>
  <si>
    <t>jBwYsUOp9E0</t>
  </si>
  <si>
    <t>rrvoEqRDR42WG5zwUT9MGg</t>
  </si>
  <si>
    <t>Estado de cadenas table top</t>
  </si>
  <si>
    <t>IM1Ce7EpYDU</t>
  </si>
  <si>
    <t>SGJDiTAZS5Ki5GlgewlbIw</t>
  </si>
  <si>
    <t>yAtfMuu9mMw</t>
  </si>
  <si>
    <t>AvHnKLKcSaCjXvulXWyhFg</t>
  </si>
  <si>
    <t>5boQMja4Ru0</t>
  </si>
  <si>
    <t>szOjHiUfQM-tfAiHQPus0g</t>
  </si>
  <si>
    <t>0xwo9rmIWt8</t>
  </si>
  <si>
    <t>OCrE0cb7TAScCK9Iy17QFA</t>
  </si>
  <si>
    <t>K6cpYaxtdjk</t>
  </si>
  <si>
    <t>vOljFRvNRiWIV0XA90UlTw</t>
  </si>
  <si>
    <t>qM7lGwOwHvo</t>
  </si>
  <si>
    <t>dJ89re.iT4GArZkwlpR2Lw</t>
  </si>
  <si>
    <t>zcRe0cyGSQ8</t>
  </si>
  <si>
    <t>R-r0oVo0RdS3rwLjims-ow</t>
  </si>
  <si>
    <t>g9nR3RWf4Mg</t>
  </si>
  <si>
    <t>y0MWl4yHRtuv3dUiAwVRrg</t>
  </si>
  <si>
    <t>S0flQcuJQpU</t>
  </si>
  <si>
    <t>NtfA4UbdTtO6c9OyoqOA6A</t>
  </si>
  <si>
    <t>Mj-fyeDU5nA</t>
  </si>
  <si>
    <t>7zipSgrYSZu4ndF0qPPDoA</t>
  </si>
  <si>
    <t>0hH0HT8qxCM</t>
  </si>
  <si>
    <t>lBnXliTEScSFvW-WEDEscA</t>
  </si>
  <si>
    <t>k7yncRQh1sg</t>
  </si>
  <si>
    <t>iEl1oy75SSqCGl4kWL1LVQ</t>
  </si>
  <si>
    <t>DESPITILLADORA</t>
  </si>
  <si>
    <t>INSPECCION SEMANAL DESPITILLADORA</t>
  </si>
  <si>
    <t>Campo Rodriguez Adalcides Jesus</t>
  </si>
  <si>
    <t>5GdUwoPc-ro</t>
  </si>
  <si>
    <t>YVXEZJK1Q8WGLCEEYl4DMg</t>
  </si>
  <si>
    <t>Estado turbina/FUNC. MECANISMO SEGURIDAD</t>
  </si>
  <si>
    <t>qw4-9RZsdoE</t>
  </si>
  <si>
    <t>oGWpc1ULRNiDsVVkztP8UQ</t>
  </si>
  <si>
    <t>INSP. CALENT Y CORRIENTE MOTOR</t>
  </si>
  <si>
    <t>jJaycrNbOFA</t>
  </si>
  <si>
    <t>DpaQv1JfS1Cu2kw5YzNe9g</t>
  </si>
  <si>
    <t>Estado correa de transferencia/LUBRICACION ENGRANAJES</t>
  </si>
  <si>
    <t>FdjP3lClG_Y</t>
  </si>
  <si>
    <t>Pkqdmt6zTBWHDC6rU2HvDg</t>
  </si>
  <si>
    <t>Estado mecánico general (rodamientos, poleas, estructura)</t>
  </si>
  <si>
    <t>4hyLjjWsFx8</t>
  </si>
  <si>
    <t>2jsa7A.5RuqMV5FSQJmMJQ</t>
  </si>
  <si>
    <t>DOSIFICADOR DE NITROGENO</t>
  </si>
  <si>
    <t>INSPECCION SEMANAL DOSIFICADOR DE NITROG</t>
  </si>
  <si>
    <t>PLAN MTTO MEC DOSIFIC NITRO 51863504 L1</t>
  </si>
  <si>
    <t>x_oyU6l9Qtc</t>
  </si>
  <si>
    <t>hCHkmG2AQQOrhP7YF-BNaw</t>
  </si>
  <si>
    <t>ELEVADOR TAPAS</t>
  </si>
  <si>
    <t>INSPECCION SEMANAL ELEVADOR TAPAS</t>
  </si>
  <si>
    <t>PLAN MTTO MEC ELEVADOR TAPAS 51863502 L1</t>
  </si>
  <si>
    <t>uX3EOP4mgvM</t>
  </si>
  <si>
    <t>28UDcMryQOG50sjmuZB6hw</t>
  </si>
  <si>
    <t>INSPECCION SEMANAL EMBANDEJADORA VARIOPA</t>
  </si>
  <si>
    <t>INSP CARRILES TRANSPORTE BOTELLAS</t>
  </si>
  <si>
    <t>Leon Narvaez Andres Felipe</t>
  </si>
  <si>
    <t>mo-qlLmaj-c</t>
  </si>
  <si>
    <t>SVDDWQ0dTRGeQpuyBX8OeA</t>
  </si>
  <si>
    <t>INSP BARRERAS LUZ Y REFLECTORES</t>
  </si>
  <si>
    <t>gWQdnDJuQ8s</t>
  </si>
  <si>
    <t>0S42MRj9Rzeq23qK0u-r9Q</t>
  </si>
  <si>
    <t>INSP VARILLAS IONIZACION CORTE-PLEGADOR</t>
  </si>
  <si>
    <t>KWBQmR0S1Cc</t>
  </si>
  <si>
    <t>i6pAUpV7SwytAj8gK2jE5w</t>
  </si>
  <si>
    <t>INSP FUNC ESTACION CORTE</t>
  </si>
  <si>
    <t>RvW2TLou7EU</t>
  </si>
  <si>
    <t>XaL5LifBQpub.YuOaBwARg</t>
  </si>
  <si>
    <t>INSP MODULO PLEGADOR</t>
  </si>
  <si>
    <t>nVoaV1JtCZY</t>
  </si>
  <si>
    <t>a.Dk4kPWtThSe7lY1aBuvWw</t>
  </si>
  <si>
    <t>aV-NGQl3QN8</t>
  </si>
  <si>
    <t>Q4X4wbNfSNaeXabFN6XdIA</t>
  </si>
  <si>
    <t>INSP RODILLOS BRAZO TENSOR FOIL</t>
  </si>
  <si>
    <t>qL_FCVY82Oc</t>
  </si>
  <si>
    <t>xbLeFS.HRZOqlnjZvUWE0A</t>
  </si>
  <si>
    <t>INSP PORTARROLLOS FOIL</t>
  </si>
  <si>
    <t>lSX5IKgftQ0</t>
  </si>
  <si>
    <t>Gud.ISs5QeOUodtymnrtdg</t>
  </si>
  <si>
    <t>ESTADO BANDEJA RECOJEGOTAS</t>
  </si>
  <si>
    <t>7zjy_Jj0slM</t>
  </si>
  <si>
    <t>Aju3ZKWaRpGVAlTbhi2JpQ</t>
  </si>
  <si>
    <t>PtXrL1ck3vQ</t>
  </si>
  <si>
    <t>RDkzgjo9RkC372539-ivTQ</t>
  </si>
  <si>
    <t>FUNC MOTORREDUCTORES</t>
  </si>
  <si>
    <t>44qdMcWlTp0</t>
  </si>
  <si>
    <t>HxHNDEvKSHS.V-IIR46zrA</t>
  </si>
  <si>
    <t>INSP RUIDOS EXTRAÑOS</t>
  </si>
  <si>
    <t>qL9dg-rHCrk</t>
  </si>
  <si>
    <t>UBFkeumlQhybhAWo11IlpQ</t>
  </si>
  <si>
    <t>FUNC RESISTENCIA TERMOENCOGID</t>
  </si>
  <si>
    <t>Vx_L9bGa7YA</t>
  </si>
  <si>
    <t>cuiuGLaiQHGULZyItj-RZg</t>
  </si>
  <si>
    <t>ESTADO BANDAS TRANSP BOTELLAS-PAQUET</t>
  </si>
  <si>
    <t>bXd6nl4QGso</t>
  </si>
  <si>
    <t>95GNWYEpTdaL6zcE6jH6EQ</t>
  </si>
  <si>
    <t>ChBfK7CjhRI</t>
  </si>
  <si>
    <t>MwOC-KLVRl6PdrD4PX4RUQ</t>
  </si>
  <si>
    <t>EMPACADORA</t>
  </si>
  <si>
    <t>INSPECCION SEMANAL EMPACADORA</t>
  </si>
  <si>
    <t>J7yA6iVmE4A</t>
  </si>
  <si>
    <t>WRB24I2dQiqkVLnsRp40hw</t>
  </si>
  <si>
    <t>jaLzjrTE160</t>
  </si>
  <si>
    <t>e5HqGhxsSrmQRV2zn8PrXg</t>
  </si>
  <si>
    <t>vfSjhjt61nE</t>
  </si>
  <si>
    <t>OWIAWiSqRYClYKZvxA.0SQ</t>
  </si>
  <si>
    <t>0hKF57wPKkA</t>
  </si>
  <si>
    <t>iDRfrTGkQiy1crKzJpaYhQ</t>
  </si>
  <si>
    <t>thYx3YvaGrg</t>
  </si>
  <si>
    <t>EaEMPTTBR0OuwTRmRspZ9g</t>
  </si>
  <si>
    <t>zzQjAZl-BeU</t>
  </si>
  <si>
    <t>PKCTIws3S3WS5JIIR7m-NQ</t>
  </si>
  <si>
    <t>80SsOadbM2M</t>
  </si>
  <si>
    <t>tHVSb5gXSAig.M0tvfM7zQ</t>
  </si>
  <si>
    <t>Q4WkhDaYTTI</t>
  </si>
  <si>
    <t>zXVoRKcYTcSGGzS-BvCfHg</t>
  </si>
  <si>
    <t>VQO6CgM80l8</t>
  </si>
  <si>
    <t>UboQkN5BRf6JXjGwy.nNPw</t>
  </si>
  <si>
    <t>bO8rV_PNz8o</t>
  </si>
  <si>
    <t>Zq4QcRB2Som-VbItChcgOA</t>
  </si>
  <si>
    <t>w36M14lM_Hs</t>
  </si>
  <si>
    <t>e.ot9XkfRwK3Q4uK3T.pZg</t>
  </si>
  <si>
    <t>LRUwy7O3M0Y</t>
  </si>
  <si>
    <t>kqjCTnprQBelOCEhNHc5yQ</t>
  </si>
  <si>
    <t>ElfUVuqBrgM</t>
  </si>
  <si>
    <t>hg9js.hXT1CEUKUniQc3WA</t>
  </si>
  <si>
    <t>BfIRMq8IV4w</t>
  </si>
  <si>
    <t>oZEJTz9mQUSKd5IziBz7QQ</t>
  </si>
  <si>
    <t>AB6I5zVmW8E</t>
  </si>
  <si>
    <t>a-FLd2ld2R-ia7h3tJsZmGw</t>
  </si>
  <si>
    <t>ubjfynwNABw</t>
  </si>
  <si>
    <t>mB-CUOKkQ5G8MF9YcJLAQQ</t>
  </si>
  <si>
    <t>yC6v-rsOxcg</t>
  </si>
  <si>
    <t>hqhr5T6CRIyubuCdzaETsw</t>
  </si>
  <si>
    <t>aW5nPCOHJuY</t>
  </si>
  <si>
    <t>O-VcorrMTjeHU0IAr.wjPw</t>
  </si>
  <si>
    <t>aorP1hyg__g</t>
  </si>
  <si>
    <t>ARCu-8KXRR-AOEO46S0PAA</t>
  </si>
  <si>
    <t>8686k2VpUiM</t>
  </si>
  <si>
    <t>H8Avf6v8Qj2oMg2RlW7dkw</t>
  </si>
  <si>
    <t>72VfECnalyE</t>
  </si>
  <si>
    <t>7UvKdfAKTp-M0WjFImLlBw</t>
  </si>
  <si>
    <t>WxSwv7k2Mgg</t>
  </si>
  <si>
    <t>eU5At5wdQiiRKOs8R.NqIQ</t>
  </si>
  <si>
    <t>t_GKdxNUflk</t>
  </si>
  <si>
    <t>ES8i7N9rQyGVb4fqQZ-FBw</t>
  </si>
  <si>
    <t>im2042ug2qE</t>
  </si>
  <si>
    <t>twofYzhFTHuJ5BfUVRS-Xw</t>
  </si>
  <si>
    <t>Nto3wKE6qeY</t>
  </si>
  <si>
    <t>m8vuw0Z-QT2mSvbo0ziu5g</t>
  </si>
  <si>
    <t>npFLUKydW94</t>
  </si>
  <si>
    <t>vL9.AppCQ-aDOUvyhTeoTw</t>
  </si>
  <si>
    <t>62qx2Osl4BU</t>
  </si>
  <si>
    <t>o6NdD5pcTMmn3dp2GgGP7g</t>
  </si>
  <si>
    <t>CVHBTWpOHoY</t>
  </si>
  <si>
    <t>wyamljlDSjuPxruugFGFxQ</t>
  </si>
  <si>
    <t>4eD7QBR0thI</t>
  </si>
  <si>
    <t>Q9l1FtcvSVq-Gvlr5n9yvw</t>
  </si>
  <si>
    <t>0eV-nTeyAxA</t>
  </si>
  <si>
    <t>URTFir42Rkqd4A0Z88wv0g</t>
  </si>
  <si>
    <t>fKq0fmaV7hU</t>
  </si>
  <si>
    <t>FflsShs4T4q.3DpsGUmdwA</t>
  </si>
  <si>
    <t>XoByi6ZTz1c</t>
  </si>
  <si>
    <t>RCN9kkIdTgCe6z7jCBo2uA</t>
  </si>
  <si>
    <t>hLjFPXv-_IM</t>
  </si>
  <si>
    <t>69AkgkqDQs2ZXKMtLU6pCg</t>
  </si>
  <si>
    <t>bmdJwXZh8Bk</t>
  </si>
  <si>
    <t>81Gp8hQJSy2ZGsU46hu8QQ</t>
  </si>
  <si>
    <t>TI-YHSG6U7g</t>
  </si>
  <si>
    <t>JToGEW83QaevlfKRjaZGCg</t>
  </si>
  <si>
    <t>_0I_JFoJglM</t>
  </si>
  <si>
    <t>eUKWZ1uvSeajCSM9hFZXwA</t>
  </si>
  <si>
    <t>ENFARDADORA</t>
  </si>
  <si>
    <t>INSPECCION SEMANAL ENFARDADORA</t>
  </si>
  <si>
    <t>Guía entrada de botellas (triángulo) se encuentra defectuoso</t>
  </si>
  <si>
    <t>Montoya Cano Fernando</t>
  </si>
  <si>
    <t>eOKNUCoPGnY</t>
  </si>
  <si>
    <t>qZF84O3wQeSInqtrvhWxMw</t>
  </si>
  <si>
    <t>https://storage.googleapis.com/glide-prod.appspot.com/uploads-v2/ly7o78grxPaC6KdgvbpS/pub/hrR3OHU6fUOWPkwg4FvT.jpg</t>
  </si>
  <si>
    <t>NB1fMIGuM08</t>
  </si>
  <si>
    <t>a.8Qv0dlAQXqGlV-U1Q44Zw</t>
  </si>
  <si>
    <t>L-P_23l6bYc</t>
  </si>
  <si>
    <t>d5PouRIlQ464XG945PDpbg</t>
  </si>
  <si>
    <t>tqariPgC6S0</t>
  </si>
  <si>
    <t>UbGeXXouShKBF39EFKpArg</t>
  </si>
  <si>
    <t>EGywKWjB34k</t>
  </si>
  <si>
    <t>3IKYqZ6zT-SoKmCwXBnw8A</t>
  </si>
  <si>
    <t>pMVA7ajUCMQ</t>
  </si>
  <si>
    <t>HVyCd6UhSJysoyFV8TSHKA</t>
  </si>
  <si>
    <t>Q9QJgqAlU3M</t>
  </si>
  <si>
    <t>c.usjHybRzCCc6P2sPk9Tg</t>
  </si>
  <si>
    <t>dO1OWNg_hc4</t>
  </si>
  <si>
    <t>XequojT8TSeti6K1GBLonA</t>
  </si>
  <si>
    <t>xg5_11-iurU</t>
  </si>
  <si>
    <t>k6GvlnDMTca-hNRmqBQcYA</t>
  </si>
  <si>
    <t>gknSjJQ6X-o</t>
  </si>
  <si>
    <t>a-5GiOdNDRxWK9LmIQZivlw</t>
  </si>
  <si>
    <t>PhfJEUWcccE</t>
  </si>
  <si>
    <t>OKQcce2QRz65ue6th3V-Nw</t>
  </si>
  <si>
    <t>KvLy-rr0w-A</t>
  </si>
  <si>
    <t>bNVwoEeYS.CBs6yPJMrxSg</t>
  </si>
  <si>
    <t>qQ1MRe7lqsw</t>
  </si>
  <si>
    <t>hxgQEdS-QIKHpGzqhINrFQ</t>
  </si>
  <si>
    <t>Banda transportadora entrada horno se encuentra defectuosa requiere cambio</t>
  </si>
  <si>
    <t>6p4j_wgWM2w</t>
  </si>
  <si>
    <t>DY5JFkw0QCWAJQ65nLP.kg</t>
  </si>
  <si>
    <t>https://storage.googleapis.com/glide-prod.appspot.com/uploads-v2/ly7o78grxPaC6KdgvbpS/pub/MGJsigRUNGdYqIKpkOPe.jpg</t>
  </si>
  <si>
    <t>Armario eléctrico parte superior enfardadora y armario eléctrico horno termoencogible requiere mantenimiento</t>
  </si>
  <si>
    <t>QHsLu0vqD6I</t>
  </si>
  <si>
    <t>WZmCBQAGS1SWccBJ-bfAbA</t>
  </si>
  <si>
    <t>https://storage.googleapis.com/glide-prod.appspot.com/uploads-v2/ly7o78grxPaC6KdgvbpS/pub/aL734ohLOkX2jGUaa96X.jpg</t>
  </si>
  <si>
    <t>https://storage.googleapis.com/glide-prod.appspot.com/uploads-v2/ly7o78grxPaC6KdgvbpS/pub/p8nzt8Ny6twssiUvBU0T.jpg</t>
  </si>
  <si>
    <t>INSP MODULO EMPUJADOR</t>
  </si>
  <si>
    <t>oC1z68gtn14</t>
  </si>
  <si>
    <t>a.cWhBNx0RFau.NKhPY6TnQ</t>
  </si>
  <si>
    <t>INSP INDICADORES DE POSICION</t>
  </si>
  <si>
    <t>Algunos indicadores se encuentran fuera de servicio</t>
  </si>
  <si>
    <t>OhqrHx4tVrU</t>
  </si>
  <si>
    <t>sgze9VfpTr6OWQgGHJRAmw</t>
  </si>
  <si>
    <t>https://storage.googleapis.com/glide-prod.appspot.com/uploads-v2/ly7o78grxPaC6KdgvbpS/pub/czRt1ZGbNZ4dvS1lQDZa.jpg</t>
  </si>
  <si>
    <t>INSP CADENA HORNO</t>
  </si>
  <si>
    <t>Fd5NFhuAx0A</t>
  </si>
  <si>
    <t>7i9MQlgSTAucPBlc-PZGTA</t>
  </si>
  <si>
    <t>INSP VENTILADORES Y ACCESORIOS HORNO</t>
  </si>
  <si>
    <t>dAX3zwGo0O8</t>
  </si>
  <si>
    <t>HlRa3TKCRyiffcyqd-eahA</t>
  </si>
  <si>
    <t>INP QUEMADORES HORNO</t>
  </si>
  <si>
    <t>lRmonaHx-YI</t>
  </si>
  <si>
    <t>kJelyvNeSQG7zdU0pc-syw</t>
  </si>
  <si>
    <t>INSP. TABLERO ELECTRICO</t>
  </si>
  <si>
    <t>Lopez Correa Jonathan</t>
  </si>
  <si>
    <t>9xsuv4sFHAY</t>
  </si>
  <si>
    <t>IswaTV2BT1SqJKzfW2iNow</t>
  </si>
  <si>
    <t>INSP. SISTEMA DE TRANSMISION</t>
  </si>
  <si>
    <t>spoKln2y7eY</t>
  </si>
  <si>
    <t>qvQaolVyQ4aB94LVhVKR2g</t>
  </si>
  <si>
    <t>INSP. ESTACION DE CORTE</t>
  </si>
  <si>
    <t>NGG_BctRSxA</t>
  </si>
  <si>
    <t>GUgan4g5RzSAsu.naDR2TA</t>
  </si>
  <si>
    <t>INSP. CARRILES TRANSPORTE BOTELLAS</t>
  </si>
  <si>
    <t>mwCXcUxJd1s</t>
  </si>
  <si>
    <t>jg49tZFcQZqaCvQiti3P8A</t>
  </si>
  <si>
    <t>FUNC. MOTO REDUCTOR</t>
  </si>
  <si>
    <t>hVh38BK8Y44</t>
  </si>
  <si>
    <t>Ou2YioiQS7yN2jhQOj6WjQ</t>
  </si>
  <si>
    <t>INSP. SISTEMA DE LUBRICACION</t>
  </si>
  <si>
    <t>Dr4saJkPR6A</t>
  </si>
  <si>
    <t>88kelDu4SnOyAnDAgXHMFg</t>
  </si>
  <si>
    <t>ESTADO BANDEJA RECOGEGOTAS</t>
  </si>
  <si>
    <t>RgGYaTK0UTw</t>
  </si>
  <si>
    <t>DD5A91BQRtaxnwCToGFN6A</t>
  </si>
  <si>
    <t>ESTADO BANDAS TRANSPORTADORAS</t>
  </si>
  <si>
    <t>nUhOFIt6vZw</t>
  </si>
  <si>
    <t>dzujPLbqSYmydpbz--jCwA</t>
  </si>
  <si>
    <t>FUNC. RESISTENCIAS TERMOENCOGIDO</t>
  </si>
  <si>
    <t>jPljQrxAB9c</t>
  </si>
  <si>
    <t>G8basIAJS.WmABrb-B9yZw</t>
  </si>
  <si>
    <t>I94j3pgblBU</t>
  </si>
  <si>
    <t>roqWR5ehT1CUZanqzMQSHw</t>
  </si>
  <si>
    <t>INSP. CUCHILLA CORTE</t>
  </si>
  <si>
    <t>asDas-0dqiI</t>
  </si>
  <si>
    <t>rxcS17pATEWNpggbA55tIQ</t>
  </si>
  <si>
    <t>INSP. RODILLOS TENSORES</t>
  </si>
  <si>
    <t>vVOozQL_0F0</t>
  </si>
  <si>
    <t>QHRO34ZbQBq2J7pPbj2hCw</t>
  </si>
  <si>
    <t>INSP. MODULO PLEGADO</t>
  </si>
  <si>
    <t>pKf6KTH-24Q</t>
  </si>
  <si>
    <t>hEyyHZdJQ-6sZL.Pdx9U3g</t>
  </si>
  <si>
    <t>INSP. PORTA RODILLOS</t>
  </si>
  <si>
    <t>rpQ21_LPZ2Q</t>
  </si>
  <si>
    <t>stCjWUTpSIuydiMfbSW.ww</t>
  </si>
  <si>
    <t>INSP. SISTEMA NEUMATICO</t>
  </si>
  <si>
    <t>M5o1WjptL_A</t>
  </si>
  <si>
    <t>FHBeDXQtR3m-X1oFIvAXnw</t>
  </si>
  <si>
    <t>INSP. DE FUGAS</t>
  </si>
  <si>
    <t>Caja reductora Presenta fuga:
 =TBB1.2527
 =TBG1.2139</t>
  </si>
  <si>
    <t>FaxFa1hbURo</t>
  </si>
  <si>
    <t>M7oB2lixQ9GoXZ2QSgFCLQ</t>
  </si>
  <si>
    <t>https://storage.googleapis.com/glide-prod.appspot.com/uploads-v2/ly7o78grxPaC6KdgvbpS/pub/v5n1fsFP6GKda51gYN8i.jpg</t>
  </si>
  <si>
    <t>https://storage.googleapis.com/glide-prod.appspot.com/uploads-v2/ly7o78grxPaC6KdgvbpS/pub/NrQOgjsQXUNhdDMDa6vV.jpg</t>
  </si>
  <si>
    <t>GUARDAS DE SEGURIDAD</t>
  </si>
  <si>
    <t>MAUhwG7I6YI</t>
  </si>
  <si>
    <t>YyN9rkFTSmqwcTAGNxXWmA</t>
  </si>
  <si>
    <t>ENJUAGADORA-RINSE</t>
  </si>
  <si>
    <t>INSPECCION SEMANAL ENJUAGADORA-RINSE</t>
  </si>
  <si>
    <t>INSP ESTANQUEIDAD DISTRIBUIDOR ROTATIVO</t>
  </si>
  <si>
    <t>SUAZA CRISTIAN DAVID</t>
  </si>
  <si>
    <t>phgdq6anvLM</t>
  </si>
  <si>
    <t>DqPXTW1eR-u6Gn-SuPXMpA</t>
  </si>
  <si>
    <t>INSP ROTACION CARRUSE(UNION ROTACION BOLAS)</t>
  </si>
  <si>
    <t>PhERwRTepjo</t>
  </si>
  <si>
    <t>EfimaCsbTmC.wfiF-od3bw</t>
  </si>
  <si>
    <t>ESTADO PIEZAS FORMATOS</t>
  </si>
  <si>
    <t>g3S-Zp4GUhc</t>
  </si>
  <si>
    <t>AqbN.QzXSVmijR12GlWeGQ</t>
  </si>
  <si>
    <t>ESTADO ESTRELLAS SUJECCION</t>
  </si>
  <si>
    <t>8g5P0jNd7uk</t>
  </si>
  <si>
    <t>8nYUVyrjS46TBFs44E2u5A</t>
  </si>
  <si>
    <t>FUNC GUIAS SUJECCION ENVASES Y TOBERA LAVADO</t>
  </si>
  <si>
    <t>71j8zZB7cac</t>
  </si>
  <si>
    <t>1ic-yCo0RL2WncXYnqOfsg</t>
  </si>
  <si>
    <t>3BTa6YHORKM</t>
  </si>
  <si>
    <t>imsg55b9RXOfoTOD-yUkIw</t>
  </si>
  <si>
    <t>ESTADO MOTOREDUCTORES</t>
  </si>
  <si>
    <t>8DlneypEJZc</t>
  </si>
  <si>
    <t>zDbxGGfsRkajO8YYEGdtqA</t>
  </si>
  <si>
    <t>ESTADO BARRERAS LUZ Y SENSORES</t>
  </si>
  <si>
    <t>uz3J2AXnY5I</t>
  </si>
  <si>
    <t>I-mgwUwZQTO7diP0oWONwA</t>
  </si>
  <si>
    <t>ESTADO CORREA DENTADA</t>
  </si>
  <si>
    <t>1FmrhTuLPeY</t>
  </si>
  <si>
    <t>ri7Ngs1DSyuUylJWi288oA</t>
  </si>
  <si>
    <t>INSP SISTEMA NEUMATICO(VALVULAS,CILINDROS)</t>
  </si>
  <si>
    <t>5MjxlCyOe14</t>
  </si>
  <si>
    <t>ThJ1pmdGRjC.NNSJYhASkw</t>
  </si>
  <si>
    <t>ESTADO FILTRO AGUA</t>
  </si>
  <si>
    <t>FKngNi-klf0</t>
  </si>
  <si>
    <t>K-2bknnzSd-OMciEB-dlGQ</t>
  </si>
  <si>
    <t>INSP FUNC FRENO MOTOR</t>
  </si>
  <si>
    <t>cO6iHzjTTSg</t>
  </si>
  <si>
    <t>X9T2ml0RRSOqv-IuL18fuw</t>
  </si>
  <si>
    <t>CQNP4a_MusU</t>
  </si>
  <si>
    <t>3YZCzXUBTraL6XFsu2go4w</t>
  </si>
  <si>
    <t>ESTADO TRANSMISION (ARBOL)</t>
  </si>
  <si>
    <t>uOhtcWfJF4k</t>
  </si>
  <si>
    <t>a-1kER2gFSy2I3weH1pSVgA</t>
  </si>
  <si>
    <t>nqJZWCs13oM</t>
  </si>
  <si>
    <t>FFzQXQU7QciQ.T7-E4VtVw</t>
  </si>
  <si>
    <t>ENRUTADOR TAPA</t>
  </si>
  <si>
    <t>INSPECCION SEMANAL ENRUTADOR TAPA</t>
  </si>
  <si>
    <t>4KysvcFCLW4</t>
  </si>
  <si>
    <t>Y.vP.sN7RkekyNRsCTFpAg</t>
  </si>
  <si>
    <t>INSP. SENSORES</t>
  </si>
  <si>
    <t>1Kb_xRXU34o</t>
  </si>
  <si>
    <t>OsmSjiOISKyH7Uh..kZOTQ</t>
  </si>
  <si>
    <t>jPxNEh-2QZw</t>
  </si>
  <si>
    <t>tyJQWp51QFqLn75nyeO1sQ</t>
  </si>
  <si>
    <t>ESTADO DE GUIAS</t>
  </si>
  <si>
    <t>TsGIDclKzyY</t>
  </si>
  <si>
    <t>cHdRFTWyTruKbwEVXkpuDQ</t>
  </si>
  <si>
    <t>FUNC. SISTEMA DE TRANSMISION</t>
  </si>
  <si>
    <t>pbq3A2XrhsQ</t>
  </si>
  <si>
    <t>TBsKa9hVQE-EKafKr7R5LQ</t>
  </si>
  <si>
    <t>INSP. UNIDAD MTTO AIRE</t>
  </si>
  <si>
    <t>C3xRnQD-i0U</t>
  </si>
  <si>
    <t>BPoCu0qXScatZNd7gLpOGQ</t>
  </si>
  <si>
    <t>VERIF. MANGUERAS (DRENAJE TAPAS)</t>
  </si>
  <si>
    <t>kbcosozK2W8</t>
  </si>
  <si>
    <t>QZHVyPxCSky2RWpZ04tDyQ</t>
  </si>
  <si>
    <t>aA0Jes0W0aE</t>
  </si>
  <si>
    <t>SCaNVagTSTKdgtVtRTVTlw</t>
  </si>
  <si>
    <t>ENVOLVEDORA DE FILM</t>
  </si>
  <si>
    <t>INSPECCION SEMANAL ENVOLVEDORA DE FILM</t>
  </si>
  <si>
    <t>PLAN MTTO MEC ENVOLVEDORA DE FILM 579064</t>
  </si>
  <si>
    <t>Regulador de presión se encuentra con fuga</t>
  </si>
  <si>
    <t>Martinez Delgado Osver</t>
  </si>
  <si>
    <t>2IzfWV29Sxg</t>
  </si>
  <si>
    <t>1AWQ8BXPS7q8blcuKHHW9A</t>
  </si>
  <si>
    <t>https://storage.googleapis.com/glide-prod.appspot.com/uploads-v2/ly7o78grxPaC6KdgvbpS/pub/0PVj5hEFgp7pSHB1lqxf.jpg</t>
  </si>
  <si>
    <t>ENVOLVEDORA FILM PLASTICO</t>
  </si>
  <si>
    <t>INSPECCION SEMANAL ENVOLVEDORA FILM PLAS</t>
  </si>
  <si>
    <t>PLAN MTTO ENVOLVEDORA FILM PLASTICO</t>
  </si>
  <si>
    <t>Lucumi Juan</t>
  </si>
  <si>
    <t>3H3uePUnouE</t>
  </si>
  <si>
    <t>e83X2MLASuWEpZwXbn10Ww</t>
  </si>
  <si>
    <t>ENVOLVEDORA-ROBOPAC</t>
  </si>
  <si>
    <t>INSPECCION SEMANAL ENVOLVEDORA-ROBOPAC</t>
  </si>
  <si>
    <t>PLAN MTTO MEC ENVOLVEDORA DE FILM 900233</t>
  </si>
  <si>
    <t>Vp0_yY80WkQ</t>
  </si>
  <si>
    <t>JRoxM09IQqOmg857XNfRgg</t>
  </si>
  <si>
    <t>EQUIPO ELECTRONICO-SALA JARABE TERMINADO</t>
  </si>
  <si>
    <t>INSPECCION SEMANAL EQUIPO ELECTRONICO-SA</t>
  </si>
  <si>
    <t>MTTO ELEC EQUIPO ELECT JARABE TERMINADO</t>
  </si>
  <si>
    <t>IMBACHI WILTON ANDRES</t>
  </si>
  <si>
    <t>IR3qH2IwApg</t>
  </si>
  <si>
    <t>Lv9FgUWgSdSWKdBqHRiQXQ</t>
  </si>
  <si>
    <t>MAQUINA DE ESTERILIZACION CUELLOS</t>
  </si>
  <si>
    <t>INSPECCION SEMANAL ESTERILIZADOR TAPA</t>
  </si>
  <si>
    <t>Aguado Lemos Luis Eyder</t>
  </si>
  <si>
    <t>BxXCTeprQ3I</t>
  </si>
  <si>
    <t>DSIYhhdISnOYNMNRtYb9Hg</t>
  </si>
  <si>
    <t>INSP. SISTEMA DE TRANSMISION.</t>
  </si>
  <si>
    <t>DXGkmJfzaCw</t>
  </si>
  <si>
    <t>aYD-dKSlQ-CcVfFsDUEqIQ</t>
  </si>
  <si>
    <t>txpmyZnFxno</t>
  </si>
  <si>
    <t>ECpcDOuEQ7WyxHSsYDo66A</t>
  </si>
  <si>
    <t>INSP. MOTO REDUCTORES</t>
  </si>
  <si>
    <t>57FrBEdfGf0</t>
  </si>
  <si>
    <t>uh3-O1kYTy-muh7f90WSeA</t>
  </si>
  <si>
    <t>INSP. GUIAS EMPACK</t>
  </si>
  <si>
    <t>HqM6L_713Jc</t>
  </si>
  <si>
    <t>j6iefzVKR4O3LTwfJsyGPQ</t>
  </si>
  <si>
    <t>INSP. UNIDAD MATTO AIRE</t>
  </si>
  <si>
    <t>kg6i92bpoHs</t>
  </si>
  <si>
    <t>II9lJoeARce3CcY8kcZ50g</t>
  </si>
  <si>
    <t>VERIFICACION SISTEMA ELECTRICO</t>
  </si>
  <si>
    <t>TErEMvyUZv8</t>
  </si>
  <si>
    <t>swF9YmLjRIWbOoexcEQ3rw</t>
  </si>
  <si>
    <t>VERIFICACION SISTEMA NEUMATICO</t>
  </si>
  <si>
    <t>MX-6_UlEYOk</t>
  </si>
  <si>
    <t>l5MRbc8GQ.GeY2Foym8aBA</t>
  </si>
  <si>
    <t>INSP. SISTEMA HIDRAULICO</t>
  </si>
  <si>
    <t>b4mCgUCFx5I</t>
  </si>
  <si>
    <t>Tv6SBCG6RI6n9AvPJSPnPg</t>
  </si>
  <si>
    <t>INSPECCION SEMANAL Etiquetadora</t>
  </si>
  <si>
    <t>INSP. CONJUNTO CORTE</t>
  </si>
  <si>
    <t>Puerta conjunto de corte agregado 2 en mal estado</t>
  </si>
  <si>
    <t>Gordillo Victoria Luis Miguel</t>
  </si>
  <si>
    <t>DYK_iBcSa04</t>
  </si>
  <si>
    <t>hlNbwDZxTv6y2qrpWmPJfA</t>
  </si>
  <si>
    <t>https://storage.googleapis.com/glide-prod.appspot.com/uploads-v2/ly7o78grxPaC6KdgvbpS/pub/o6j5IKYC3hSLq3bNgbix.jpeg</t>
  </si>
  <si>
    <t>ESTADO UNIDAD MTTO AIRE</t>
  </si>
  <si>
    <t>Cambio de filtros unidad de mantenimiento</t>
  </si>
  <si>
    <t>XfHL2K-JWw0</t>
  </si>
  <si>
    <t>DauKnKsfSPy4sURSPxVz0Q</t>
  </si>
  <si>
    <t>https://storage.googleapis.com/glide-prod.appspot.com/uploads-v2/ly7o78grxPaC6KdgvbpS/pub/wnkoFpOxj3xI3dNyAo0J.jpg</t>
  </si>
  <si>
    <t>FUNC. BARRERAS LUZ Y REFLECTOR</t>
  </si>
  <si>
    <t>MdC5v-yQToo</t>
  </si>
  <si>
    <t>pi.L8w3oSr6p3mMJxznHaQ</t>
  </si>
  <si>
    <t>ESTADO PUERTAS LATERALES</t>
  </si>
  <si>
    <t>Z7jDpPBnYoM</t>
  </si>
  <si>
    <t>CA-JSU-4Szm-Jv92-zC0wQ</t>
  </si>
  <si>
    <t>FUNC. TULIPAS</t>
  </si>
  <si>
    <t>Lj0TS74L10k</t>
  </si>
  <si>
    <t>Xxp3VGPUTtm0tRK.q91ydw</t>
  </si>
  <si>
    <t>FUNC. CILINDRO TRANSFERENCIA</t>
  </si>
  <si>
    <t>Listones con desgaste en formato 600.</t>
  </si>
  <si>
    <t>J78D3NchBeE</t>
  </si>
  <si>
    <t>GDKZ2iiwTKCiO1thXvtM5w</t>
  </si>
  <si>
    <t>https://storage.googleapis.com/glide-prod.appspot.com/uploads-v2/ly7o78grxPaC6KdgvbpS/pub/2aeKL06IJ3hxvAZ7qOY9.jpg</t>
  </si>
  <si>
    <t>INSP. CONJUNTO ENCOLADOR ADHESIVO</t>
  </si>
  <si>
    <t>Puerta de recipiente de adhesivo en mal estado , agregado 1
 Fuga de adhesivo en agregado 1</t>
  </si>
  <si>
    <t>tHAfqdXW80A</t>
  </si>
  <si>
    <t>VTV0XNTGRWeRA8RuBCHqOg</t>
  </si>
  <si>
    <t>https://storage.googleapis.com/glide-prod.appspot.com/uploads-v2/ly7o78grxPaC6KdgvbpS/pub/i3tYC1DatUViTlJcbaFo.jpg</t>
  </si>
  <si>
    <t>https://storage.googleapis.com/glide-prod.appspot.com/uploads-v2/ly7o78grxPaC6KdgvbpS/pub/RHOWQSNbLBea3chkMsRq.jpeg</t>
  </si>
  <si>
    <t>FUNCIONAMIENTO ALISADO</t>
  </si>
  <si>
    <t>vxyhSgT6fe0</t>
  </si>
  <si>
    <t>iSacPOSdQ5OsjIZYId35oQ</t>
  </si>
  <si>
    <t>ESTADO PORTAENVASES</t>
  </si>
  <si>
    <t>Faltante separador plástico en formato 250,400,600,1.5</t>
  </si>
  <si>
    <t>vbkwcoG-jQo</t>
  </si>
  <si>
    <t>8UZ5aiKPSwyEtOsFzZyEHA</t>
  </si>
  <si>
    <t>https://storage.googleapis.com/glide-prod.appspot.com/uploads-v2/ly7o78grxPaC6KdgvbpS/pub/Gql5JjpVsbgFBF5WxS44.jpeg</t>
  </si>
  <si>
    <t>ESTADO CORREA PORTAENVASES</t>
  </si>
  <si>
    <t>lADiGVxv9Fk</t>
  </si>
  <si>
    <t>dxTvMiYbQOu2H.gjaMZI3w</t>
  </si>
  <si>
    <t>hpzcsyeTNH4</t>
  </si>
  <si>
    <t>9tbIWoe5SDK--.HjV79-Tg</t>
  </si>
  <si>
    <t>ESTADO PINZAS SUJECCION-ESTRELLA</t>
  </si>
  <si>
    <t>fFVQjJzko7g</t>
  </si>
  <si>
    <t>a.UbhzVoRSvad2OR4.YFTxw</t>
  </si>
  <si>
    <t>FUNC. SISTEMA NEUMATICO</t>
  </si>
  <si>
    <t>IgOjAj-F-ac</t>
  </si>
  <si>
    <t>AvgKVDwpSxqHIFeglNTaFQ</t>
  </si>
  <si>
    <t>ESTADO MOTORES</t>
  </si>
  <si>
    <t>Servomotores de lo conjuntos de corte presenta posible fuga de aceite</t>
  </si>
  <si>
    <t>iPmbieA7n2Y</t>
  </si>
  <si>
    <t>fcdI0rZzSK2AfDKF--t87w</t>
  </si>
  <si>
    <t>https://storage.googleapis.com/glide-prod.appspot.com/uploads-v2/ly7o78grxPaC6KdgvbpS/pub/uqc1nhPdOYJPdkf1bvEB.jpeg</t>
  </si>
  <si>
    <t>BJGpIAQXHC4</t>
  </si>
  <si>
    <t>FlmgqwiATjaZO4qQWm7MTA</t>
  </si>
  <si>
    <t>INSP. FILTRO VACIO BOMBAS</t>
  </si>
  <si>
    <t>MZTdz2fz9tc</t>
  </si>
  <si>
    <t>gTZ1Qnc0T8OvGF5shbO6Ew</t>
  </si>
  <si>
    <t>INSP PRESION NEUMATICA</t>
  </si>
  <si>
    <t>82pzbM6mWSg</t>
  </si>
  <si>
    <t>dLnWAoJjQwmm1PW133up4A</t>
  </si>
  <si>
    <t>ESTADO GUIAS ENTRADA-SALIDA</t>
  </si>
  <si>
    <t>Mariposa de sujeción estrella de entrada a carrusel en mal estado</t>
  </si>
  <si>
    <t>W0HwBSBuoPo</t>
  </si>
  <si>
    <t>8bUlj8glRJWvgLbs7sCQyg</t>
  </si>
  <si>
    <t>https://storage.googleapis.com/glide-prod.appspot.com/uploads-v2/ly7o78grxPaC6KdgvbpS/pub/iFarehPaBtJGbi3lRV5A.jpeg</t>
  </si>
  <si>
    <t>hxQGQ1rp6ro</t>
  </si>
  <si>
    <t>a-h8gVL4cSj6CpJht5O1J9Q</t>
  </si>
  <si>
    <t>NUMERO DE CORTES MENSUALES (AGR 1 Y2)</t>
  </si>
  <si>
    <t>Cuchilla agregado 1 despicada 
 Cuchilla agregado 2 despicada se cambia por una de segunda</t>
  </si>
  <si>
    <t>CyJ2QA4Io8E</t>
  </si>
  <si>
    <t>ukmB22lgTSaoliXh0CCyOQ</t>
  </si>
  <si>
    <t>https://storage.googleapis.com/glide-prod.appspot.com/uploads-v2/ly7o78grxPaC6KdgvbpS/pub/OJ5cqRg3CZ5wCGpu90Ky.jpeg</t>
  </si>
  <si>
    <t>ETIQUETADORA</t>
  </si>
  <si>
    <t>INSP. CONJUNTO DE CORTE</t>
  </si>
  <si>
    <t>Martinez Peña Brandon Stewar</t>
  </si>
  <si>
    <t>FewvoKGDTX0</t>
  </si>
  <si>
    <t>a-gnrKJ5QQ7K1ZwwymUMAag</t>
  </si>
  <si>
    <t>FUNC. SIST. NEUMATICO(UNIDAD MTTO AIRE)</t>
  </si>
  <si>
    <t>-TKUMVWRc5s</t>
  </si>
  <si>
    <t>PjeLfU.5SSCHFCYamy0LnQ</t>
  </si>
  <si>
    <t>FUNC. BARRERAS DE LUZ Y REFLECTOR</t>
  </si>
  <si>
    <t>60m1SaWen2M</t>
  </si>
  <si>
    <t>c8EA0xgKR4qDlgdnlixNDw</t>
  </si>
  <si>
    <t>FUNC. DE TULIPAS</t>
  </si>
  <si>
    <t>GmM8s5tLye8</t>
  </si>
  <si>
    <t>https://storage.googleapis.com/glide-prod.appspot.com/uploads-v2/ly7o78grxPaC6KdgvbpS/pub/yvtCGRAPIbS0tVLIlehH.png</t>
  </si>
  <si>
    <t>fhTKQUpAT.mzE3EskpJHVg</t>
  </si>
  <si>
    <t>ESTADO PUERTAS</t>
  </si>
  <si>
    <t>hTVAdfZBdHo</t>
  </si>
  <si>
    <t>ZJtBx2i1SlC..V0e4R.1SA</t>
  </si>
  <si>
    <t>FUNC. CILINDRO DE TRANSFERENCIA</t>
  </si>
  <si>
    <t>7hqB6-JpnaI</t>
  </si>
  <si>
    <t>pgERkmUgTCGLHsR4O.U55Q</t>
  </si>
  <si>
    <t>FUNC. SISTEMA DE ALISADO</t>
  </si>
  <si>
    <t>Z8QpNQEEN98</t>
  </si>
  <si>
    <t>KE-N2pftT8m.KYeJ-aXLrg</t>
  </si>
  <si>
    <t>ESTADO PORTAENVASES Y CORREA</t>
  </si>
  <si>
    <t>HfE12Lm5E2w</t>
  </si>
  <si>
    <t>7cOzisKbTUS8WpM.0NkTOw</t>
  </si>
  <si>
    <t>U0WeSCSccOo</t>
  </si>
  <si>
    <t>tZKWY7D4StSFXnHpxbrLxg</t>
  </si>
  <si>
    <t>ESTADO CORREA DE TRANSMISION</t>
  </si>
  <si>
    <t>LmNhtFRFv9A</t>
  </si>
  <si>
    <t>RnZ6p8w5QJOnijq7spwoaA</t>
  </si>
  <si>
    <t>ESTADO CADENA DE TRANSMISION</t>
  </si>
  <si>
    <t>vm7VN7T5sK4</t>
  </si>
  <si>
    <t>Djg7ia16RlODSmwAtHiHAw</t>
  </si>
  <si>
    <t>ESTADO MANGUERAS SIST. VACIO</t>
  </si>
  <si>
    <t>4wgDA0BXJzo</t>
  </si>
  <si>
    <t>oC9pGNCeTVuse-xLrh-QBg</t>
  </si>
  <si>
    <t>INSP. FILTRO BOMDA DE VACIO</t>
  </si>
  <si>
    <t>AMSxLtbx_eQ</t>
  </si>
  <si>
    <t>wIaB071DQDqikMN1p.-fYQ</t>
  </si>
  <si>
    <t>ESTADO ESTRELLA ENTRADA-SALIDA</t>
  </si>
  <si>
    <t>NDIIIak1tks</t>
  </si>
  <si>
    <t>WAuauT3MT9qjBsq07tuAmw</t>
  </si>
  <si>
    <t>-C6Co_oRBtM</t>
  </si>
  <si>
    <t>NYMbPEM0TYSIFDKgBo41Qw</t>
  </si>
  <si>
    <t>ESTADO TORNILLO SIN FIN</t>
  </si>
  <si>
    <t>rDWBDigRFwc</t>
  </si>
  <si>
    <t>sWnlpNCUQgSbsfWxEt7XIA</t>
  </si>
  <si>
    <t>INSP. FUNCIONAMIENTO MANOMETROS</t>
  </si>
  <si>
    <t>ODjjmdV_lFI</t>
  </si>
  <si>
    <t>TvKXhtutSC6WHlAvO8Wy9w</t>
  </si>
  <si>
    <t>FUNC. EQUIPO BANDA SEGURIDAD</t>
  </si>
  <si>
    <t>El sistema de encolado el peine de la rasqueta # 1 no está haciendo la función de detener la etiqueta si no que en ocaciones se va hacia la bomba de pegante</t>
  </si>
  <si>
    <t>lTGe_j0rgS4</t>
  </si>
  <si>
    <t>Gb24NEAxQX6MFT91ZYsbGw</t>
  </si>
  <si>
    <t>https://storage.googleapis.com/glide-prod.appspot.com/uploads-v2/ly7o78grxPaC6KdgvbpS/pub/KSMXLh5YAOogjAAukOBK.jpg</t>
  </si>
  <si>
    <t>7Ur4HrCG0uI</t>
  </si>
  <si>
    <t>9oXUQwXgQ5KjiBM6ZUIUVQ</t>
  </si>
  <si>
    <t>INS. PSI ADECUADA AJUSTE DE CUCHILLAS</t>
  </si>
  <si>
    <t>BeQ8D5EXfEA</t>
  </si>
  <si>
    <t>0HzYzFCfT1mSkLFCF.k7Zw</t>
  </si>
  <si>
    <t>INSPECCION SEMANAL ETIQUETADORA</t>
  </si>
  <si>
    <t>Sanchez Rodriguez Gerson Andres</t>
  </si>
  <si>
    <t>hqJIzCDiXZU</t>
  </si>
  <si>
    <t>88RPMGCxTDutlx3bf0zvlA</t>
  </si>
  <si>
    <t>sQfOUs_rjDo</t>
  </si>
  <si>
    <t>jKEWEmrOSMeJvjhDAsxfqw</t>
  </si>
  <si>
    <t>mUh39185Jvg</t>
  </si>
  <si>
    <t>4O-l7eJrSNWBLyJU5-kUrg</t>
  </si>
  <si>
    <t>1R4LWt2Tdwg</t>
  </si>
  <si>
    <t>TTdv6POoTQipEKiPttKizQ</t>
  </si>
  <si>
    <t>JjUJICgvdZ8</t>
  </si>
  <si>
    <t>cuk5r75vR6WyF-mg0SCklw</t>
  </si>
  <si>
    <t>5SjIliA7Q6M</t>
  </si>
  <si>
    <t>DgF3PK9bSHuadL30QX6y-g</t>
  </si>
  <si>
    <t>bsV7zdOpuYA</t>
  </si>
  <si>
    <t>qdLBmhxeTG6OLB9fu5buww</t>
  </si>
  <si>
    <t>hidbGjoMtXw</t>
  </si>
  <si>
    <t>Sh.uT-ZnRGuhp-8uX.tBvg</t>
  </si>
  <si>
    <t>eIGySji6iMo</t>
  </si>
  <si>
    <t>bHP2QJtoR7OW7rrHKGvxFg</t>
  </si>
  <si>
    <t>vBXlDzrXs_U</t>
  </si>
  <si>
    <t>qg-uDspqQla6jt.MvqqVTw</t>
  </si>
  <si>
    <t>kKn_vqDWfs4</t>
  </si>
  <si>
    <t>cht8y9wJQ52dcjwnhNKp4Q</t>
  </si>
  <si>
    <t>jp77SUNpp8M</t>
  </si>
  <si>
    <t>a.O-.7-M4RUO1Kcez-NPy4A</t>
  </si>
  <si>
    <t>gzCnFe0BvOY</t>
  </si>
  <si>
    <t>LlvaXosbTkiy4O2QLeAXXw</t>
  </si>
  <si>
    <t>VG9XeCwt7wY</t>
  </si>
  <si>
    <t>WOp1PQz9QiGrR8JEHwgVRA</t>
  </si>
  <si>
    <t>k4ZYJ7Vzfds</t>
  </si>
  <si>
    <t>5OvVBYSHTKaXJzoMeI.vWg</t>
  </si>
  <si>
    <t>d3r1cvnxl9o</t>
  </si>
  <si>
    <t>d7447Q6oQmSuptSPE6pxEA</t>
  </si>
  <si>
    <t>8MZGRzTS11Q</t>
  </si>
  <si>
    <t>4YUunGwMSO-GwcYrj0DWVA</t>
  </si>
  <si>
    <t>Armario eléctrico permanece abierto por novedad en climatizador.</t>
  </si>
  <si>
    <t>sh7eJPNg-Vk</t>
  </si>
  <si>
    <t>Pm-MAMQZQ-mAPbhMLJMUzQ</t>
  </si>
  <si>
    <t>https://storage.googleapis.com/glide-prod.appspot.com/uploads-v2/ly7o78grxPaC6KdgvbpS/pub/1MUXc93eszSVneubGzdE.jpg</t>
  </si>
  <si>
    <t>ETIQUETIADORA FULL BODY</t>
  </si>
  <si>
    <t>INSPECCION SEMANAL FULL BODY</t>
  </si>
  <si>
    <t>PLAN MTTO MEC ETIQUETIADORA FULL BODY</t>
  </si>
  <si>
    <t>_ngJJaeJe-Q</t>
  </si>
  <si>
    <t>53Q0oH7LSUSlSBopGEwglw</t>
  </si>
  <si>
    <t>GASIFICADOR-CO2</t>
  </si>
  <si>
    <t>INSPECCION SEMANAL GASIFICADOR-CO2</t>
  </si>
  <si>
    <t>PLAN MTTO GASIFICADOR-CO2</t>
  </si>
  <si>
    <t>cTqmQvXHFSc</t>
  </si>
  <si>
    <t>deccVVn6SUi1vhjd2pMMvg</t>
  </si>
  <si>
    <t>GENERADOR DE OZONO PARA BOLSA OZOLITE</t>
  </si>
  <si>
    <t>INSPECCION SEMANAL GEN OZONO BOLSA</t>
  </si>
  <si>
    <t>INSPECCIONAR CONCENTRACION OZONO</t>
  </si>
  <si>
    <t>Christian Camilo Ramirez Rendón</t>
  </si>
  <si>
    <t>k9XPueoD2aE</t>
  </si>
  <si>
    <t>Zd5M99D3Sb23F9-KuYWDgg</t>
  </si>
  <si>
    <t>LsUS4NpLsCU</t>
  </si>
  <si>
    <t>KGdMXnrWQPebVSmx08qJ3g</t>
  </si>
  <si>
    <t>VERIFICAR ESTADO TUBOS</t>
  </si>
  <si>
    <t>yH2LvYBXitY</t>
  </si>
  <si>
    <t>L5VJfye2Slu0OpVwfG8C4A</t>
  </si>
  <si>
    <t>REVISAR FUGAS DE OZONO</t>
  </si>
  <si>
    <t>Ukn3bgBIrHE</t>
  </si>
  <si>
    <t>oIIYZtmeT2egYsywUy45mg</t>
  </si>
  <si>
    <t>REVISAR ESTADO TABLERO ELECTRICO</t>
  </si>
  <si>
    <t>FkTT4t1KVIc</t>
  </si>
  <si>
    <t>zBTKtC9hQF2.mK-48aUlkQ</t>
  </si>
  <si>
    <t>LINEA DE PRODUCCION DE BOTELLONES DE 20</t>
  </si>
  <si>
    <t>GENERADOR OXIGENO PARA HIPEROZONIZADOR.</t>
  </si>
  <si>
    <t>INSPECCION SEMANAL GENERADOR OXIGENO PA</t>
  </si>
  <si>
    <t>PLAN MTTO MEC GEN OXIG HIPEROZO 71960606</t>
  </si>
  <si>
    <t>edjf7mf5uTs</t>
  </si>
  <si>
    <t>4raPjxMvQluiURopdZ5pOA</t>
  </si>
  <si>
    <t>GENERADOR DE OXIGENO PARA BOTELLON.</t>
  </si>
  <si>
    <t>INSPECCION SEMANAL GENERADOR DE OXIGENO</t>
  </si>
  <si>
    <t>INSPECCIONAR FUNCIONAMIENTO</t>
  </si>
  <si>
    <t>3XD5776jiKU</t>
  </si>
  <si>
    <t>FxYBGy3iQGmSEKHhVPpyDQ</t>
  </si>
  <si>
    <t>VERIFICAR ESTADO EXTERNO</t>
  </si>
  <si>
    <t>hU3JTrlrAjE</t>
  </si>
  <si>
    <t>a-gOAmN5QQF-vw7KwOAbMYQ</t>
  </si>
  <si>
    <t>VERIFICAR FUGAS DE AIRE</t>
  </si>
  <si>
    <t>GJ0d_t4uzoc</t>
  </si>
  <si>
    <t>Z4Pma6c-T3KfcseAcnEaAA</t>
  </si>
  <si>
    <t>GENERADOR DE OXIGENO PARA BOLSA.</t>
  </si>
  <si>
    <t>YVtHjEirUcg</t>
  </si>
  <si>
    <t>9jFk2NcgTrStve4wyw8khA</t>
  </si>
  <si>
    <t>ndwWK39O2k8</t>
  </si>
  <si>
    <t>G9r6mrHQSUOaZd5b5xhX6Q</t>
  </si>
  <si>
    <t>n-jq1-M8j0c</t>
  </si>
  <si>
    <t>EHsbw6XIRpmwk2xgSpWdSw</t>
  </si>
  <si>
    <t>GENERADOR DE OZONO BOTELLON OZOSTARLITE</t>
  </si>
  <si>
    <t>INSPECCION SEMANAL GENERADOR DE OZONO BO</t>
  </si>
  <si>
    <t>ffpzVDfqhKo</t>
  </si>
  <si>
    <t>UQSvGsi8Q8y-7riCevt-pg</t>
  </si>
  <si>
    <t>2kZn5BxlS7Y</t>
  </si>
  <si>
    <t>1FB3UlE7StqGXNsWiTjzBg</t>
  </si>
  <si>
    <t>IcJGLtKYyEY</t>
  </si>
  <si>
    <t>VBvR56UpSGq-jud553DLmA</t>
  </si>
  <si>
    <t>AhHcu46gZ8Y</t>
  </si>
  <si>
    <t>opb4R72NTrKYHZq0IN9I3Q</t>
  </si>
  <si>
    <t>btGWvhW1bxw</t>
  </si>
  <si>
    <t>KZWQM118Snmfdxocbu956Q</t>
  </si>
  <si>
    <t>HIPEROZONIZADOR</t>
  </si>
  <si>
    <t>INSPECCION SEMANAL HIPEROZONIZADOR</t>
  </si>
  <si>
    <t>MTTO ELEC-ME HIPEROZON BOTELLON 71960602</t>
  </si>
  <si>
    <t>wc3_fjIovqk</t>
  </si>
  <si>
    <t>BP.JfPFvTd--.bNtJUiXHQ</t>
  </si>
  <si>
    <t>HORNO EMBANDEJADORA VARIOPAC</t>
  </si>
  <si>
    <t>INSPECCION SEMANAL HORNO VARIOPAC</t>
  </si>
  <si>
    <t>PLAN MTTO MEC HORNO VARIOPAC 71031601</t>
  </si>
  <si>
    <t>01t1aYOv5Ec</t>
  </si>
  <si>
    <t>8XLHjyrdQVqokXTHb-0XTg</t>
  </si>
  <si>
    <t>INSPECCION SEMANAL Inspector 2</t>
  </si>
  <si>
    <t>6j022RRbmBk</t>
  </si>
  <si>
    <t>pSsVFMenRf6aDovV.9bazQ</t>
  </si>
  <si>
    <t>pp46DgoPfwo</t>
  </si>
  <si>
    <t>zE4VYIGQSV2QtzukeJ90Pg</t>
  </si>
  <si>
    <t>bzov24y5Uxc</t>
  </si>
  <si>
    <t>I-op5iG6T.uMKU-rbwOPMQ</t>
  </si>
  <si>
    <t>82jQ-GM8xfU</t>
  </si>
  <si>
    <t>rxHaxERoRM6koh64LOrLew</t>
  </si>
  <si>
    <t>QGblWA4AoCE</t>
  </si>
  <si>
    <t>9v2prjJTRf-RPcaMulyRpA</t>
  </si>
  <si>
    <t>LAwN1vaqgf4</t>
  </si>
  <si>
    <t>NLHmsVrQTxWHRp8BAQt44Q</t>
  </si>
  <si>
    <t>F3j_mUb-j_Q</t>
  </si>
  <si>
    <t>igVQrEabQ3K9bFZDYvWhqg</t>
  </si>
  <si>
    <t>DRGw1e8-jYw</t>
  </si>
  <si>
    <t>EBCt9FATSKa8hgmDVDomEg</t>
  </si>
  <si>
    <t>sl1TICSLw-Q</t>
  </si>
  <si>
    <t>bUAoTfvQTDKg4BVCMHkAVg</t>
  </si>
  <si>
    <t>_1PukxXQ4Qs</t>
  </si>
  <si>
    <t>NNp.S9jlS3OW5d1g3BizbQ</t>
  </si>
  <si>
    <t>2KL8qpJ455E</t>
  </si>
  <si>
    <t>eiaDT.YsTACvHTshh.bDXA</t>
  </si>
  <si>
    <t>RLO5g9t_MOk</t>
  </si>
  <si>
    <t>IOEBdqAxSHaOl-iorJAARg</t>
  </si>
  <si>
    <t>i0termypHGQ</t>
  </si>
  <si>
    <t>uvyzpdyNSmiQt0evmSfgHQ</t>
  </si>
  <si>
    <t>CstcXpwwH9g</t>
  </si>
  <si>
    <t>CDk-HXkkTVi7.QqhtTpd4w</t>
  </si>
  <si>
    <t>iAReNszKNn4</t>
  </si>
  <si>
    <t>uV9xJVbPQ9-nk26oF7xxeg</t>
  </si>
  <si>
    <t>OprmZetZk-o</t>
  </si>
  <si>
    <t>q7ChPQJZRq25ASoA8yWmRA</t>
  </si>
  <si>
    <t>Q8F78vy1DsA</t>
  </si>
  <si>
    <t>8raR-4KvQe2j5pL.-rip4g</t>
  </si>
  <si>
    <t>txnlphlkJNU</t>
  </si>
  <si>
    <t>OuuL0om8Ss28GcoCzB-uXQ</t>
  </si>
  <si>
    <t>QVvH0vZF7jw</t>
  </si>
  <si>
    <t>xeYDJDIJTbCcIeXoOHS6Ig</t>
  </si>
  <si>
    <t>wau_dZdPrZE</t>
  </si>
  <si>
    <t>KY41l7HdSxiSPU2.IG0-mQ</t>
  </si>
  <si>
    <t>1wZOfCjH9So</t>
  </si>
  <si>
    <t>AWb7FY-QTzScHiuaLbIY2g</t>
  </si>
  <si>
    <t>N8AQFOvgFdI</t>
  </si>
  <si>
    <t>ZhDeO2SySY6A1SB5-vai0Q</t>
  </si>
  <si>
    <t>FUNC. FOTOCELDARS Y SENSORES</t>
  </si>
  <si>
    <t>Vy95r3HUE04</t>
  </si>
  <si>
    <t>2bB8IvEyQaGdBwQzFWA7-g</t>
  </si>
  <si>
    <t>LIMPIEZA GENERAL</t>
  </si>
  <si>
    <t>DYuawbaQ20Q</t>
  </si>
  <si>
    <t>XojFL7AlSAiN.exNSGlsUg</t>
  </si>
  <si>
    <t>zWnQ7Cxm74E</t>
  </si>
  <si>
    <t>fBNYxpMGT2K-pxTap4xnbg</t>
  </si>
  <si>
    <t>INSP. SISTEMA DE MEDICION</t>
  </si>
  <si>
    <t>GGV0P9bNxoU</t>
  </si>
  <si>
    <t>Gj-D9hVqSxOG4jbpBs2hSQ</t>
  </si>
  <si>
    <t>INSP. TAPA NO POSICIONADA</t>
  </si>
  <si>
    <t>RFL9nxqFiAw</t>
  </si>
  <si>
    <t>x7e9ktHPQB2vQCmXJUEBPQ</t>
  </si>
  <si>
    <t>INSP. FALTA DE TAPA</t>
  </si>
  <si>
    <t>jBIFB09Ik5w</t>
  </si>
  <si>
    <t>wGP6th6YSMq5o7geLDiC3g</t>
  </si>
  <si>
    <t>FUNC. RECHAZADOR</t>
  </si>
  <si>
    <t>H4r8cF6AjQ0</t>
  </si>
  <si>
    <t>JaQdQp.qTVOJVgqvFXhOmw</t>
  </si>
  <si>
    <t>INSPECCION SEMANAL INSPECTOR ELECTRONICO</t>
  </si>
  <si>
    <t>LIMPIEZ. GRAL (VIDRIOS, ESPEJOS, COMPUTADOR)</t>
  </si>
  <si>
    <t>BONILLA ANGULO EDWIN ANDRES</t>
  </si>
  <si>
    <t>v8z2kZ9mtpM</t>
  </si>
  <si>
    <t>0prRpqGOTGWBcIGSupqr7w</t>
  </si>
  <si>
    <t>INSP. REVESTIMIENTO VIDRIO PROTECTOR</t>
  </si>
  <si>
    <t>U-HIIXRNEo4</t>
  </si>
  <si>
    <t>cVgbXqNpQF-vqL0RY47ocA</t>
  </si>
  <si>
    <t>z0KaUMcdUVc</t>
  </si>
  <si>
    <t>EKock3QPQVWfYR.ihEqxpQ</t>
  </si>
  <si>
    <t>tiG7GfVG5cY</t>
  </si>
  <si>
    <t>gjQPg7lbRli-kP3yGkV31w</t>
  </si>
  <si>
    <t>BThT_msry7Y</t>
  </si>
  <si>
    <t>iimfQ0YzQb64XsgiXJZjuw</t>
  </si>
  <si>
    <t>zmLkTYXt_0A</t>
  </si>
  <si>
    <t>dYfJjJabRZiT1Q4VvDcIaA</t>
  </si>
  <si>
    <t>oFSJd5LgMxo</t>
  </si>
  <si>
    <t>jkOtUQYyTV-WZDVfMDFeKg</t>
  </si>
  <si>
    <t>i3l-H1aDa3c</t>
  </si>
  <si>
    <t>37uuEQPlSeCiIEHbTsB8dQ</t>
  </si>
  <si>
    <t>TmLJZbvXPjc</t>
  </si>
  <si>
    <t>IAyW5mimS6iU8jktF4ouAg</t>
  </si>
  <si>
    <t>IG0R2o03Oyw</t>
  </si>
  <si>
    <t>HyFBzICPQRWo-3JQV0TC4g</t>
  </si>
  <si>
    <t>RlUz5r8IFxI</t>
  </si>
  <si>
    <t>NssliGu7SPaT0kpSE3pP9w</t>
  </si>
  <si>
    <t>CODIFICADOR L3</t>
  </si>
  <si>
    <t>INSPECCION SEMANAL INTERC ALFA LAVAL</t>
  </si>
  <si>
    <t>Estado UPS</t>
  </si>
  <si>
    <t>NzgjVKu2ZsI</t>
  </si>
  <si>
    <t>OnIkF-lyTQWp9R-Jv6QqKA</t>
  </si>
  <si>
    <t>Fugas de aire, tinta, disolvente, mezcla</t>
  </si>
  <si>
    <t>DEJ-_aRTwas</t>
  </si>
  <si>
    <t>Pv2Fq0BGT3GsI71W6.3wxw</t>
  </si>
  <si>
    <t>Estado de nivel de insumos (tinta, solvente y/o presión de aire)</t>
  </si>
  <si>
    <t>F44gPA1kc1A</t>
  </si>
  <si>
    <t>Q.PBg4zkT6q-HkoVP9ZCmA</t>
  </si>
  <si>
    <t>Estado general y limpieza del equipo</t>
  </si>
  <si>
    <t>3tRtmxgqYiw</t>
  </si>
  <si>
    <t>JyodB2wPTDCIwNuheTbBBw</t>
  </si>
  <si>
    <t>Estado presiones de trabajo (positiva y negativa)</t>
  </si>
  <si>
    <t>JKGvul1dpRs</t>
  </si>
  <si>
    <t>PgzZfXmRQhS3yuHN.bvJ5w</t>
  </si>
  <si>
    <t>Mensajes de falla y avería</t>
  </si>
  <si>
    <t>tHbgbxCG4_g</t>
  </si>
  <si>
    <t>kUcx9JqVSRWUa9fvDbxY.g</t>
  </si>
  <si>
    <t>Estado tiempo de Flujo</t>
  </si>
  <si>
    <t>ImEI8VztrEo</t>
  </si>
  <si>
    <t>U0GjwZ-pTCumi.XlGsYDyQ</t>
  </si>
  <si>
    <t>Estado de formación de gota</t>
  </si>
  <si>
    <t>QzavRqpJOhk</t>
  </si>
  <si>
    <t>s8E9ynV1ScmuODk8vLYpxw</t>
  </si>
  <si>
    <t>Estado de alineación del chorro</t>
  </si>
  <si>
    <t>aT2_734odlU</t>
  </si>
  <si>
    <t>32d9-POeSPOFjGk8rJ7Jag</t>
  </si>
  <si>
    <t>Verificar impresión de código</t>
  </si>
  <si>
    <t>xa1fmYqp620</t>
  </si>
  <si>
    <t>UawlGoa2QCqYUhXORqRBGA</t>
  </si>
  <si>
    <t>Estado de sensores y/o encoder</t>
  </si>
  <si>
    <t>L5NYMaB8MqQ</t>
  </si>
  <si>
    <t>mMLc0Sn3RyeLD1fkv2ZNgQ</t>
  </si>
  <si>
    <t>Jcn3bo0Iu2I</t>
  </si>
  <si>
    <t>nYogVBNHTUqSBHiaYL3fUQ</t>
  </si>
  <si>
    <t>INTERCAMBIADOR DE CALOR</t>
  </si>
  <si>
    <t>INSPECCION SEMANAL INTERCAMBIADOR DE CAL</t>
  </si>
  <si>
    <t>PLAN MTTO MEC INTERCAMBIADOR 690033</t>
  </si>
  <si>
    <t>8BfVIrh4OGs</t>
  </si>
  <si>
    <t>11Cs2nvQQFKPrDpgvRSJQA</t>
  </si>
  <si>
    <t>INTERCAMBIADOR DE CALOR No. 2 JUGOS</t>
  </si>
  <si>
    <t>PLAN MTTO MEC INTERC CALOR 2 JUGO 698414</t>
  </si>
  <si>
    <t>_LbGoMdV9zg</t>
  </si>
  <si>
    <t>1vwDN5dbRWKCKrGG2idL-A</t>
  </si>
  <si>
    <t>LAVADORA DE BOTELLAS</t>
  </si>
  <si>
    <t>INSPECCION SEMANAL LAVADORA DE BOTELLAS</t>
  </si>
  <si>
    <t>Estado de cadenas table top mesa de cargue</t>
  </si>
  <si>
    <t>rXgg2NWE1AA</t>
  </si>
  <si>
    <t>y4Mu8YWNQ8adhVpbwfDqPA</t>
  </si>
  <si>
    <t>Estado de piñones de mesa de cargue</t>
  </si>
  <si>
    <t>TcX-5hNHxGM</t>
  </si>
  <si>
    <t>2vrFTuAqQbSWnJYRjhl43Q</t>
  </si>
  <si>
    <t>_uUWGo4165w</t>
  </si>
  <si>
    <t>odyfcE96Ty2vaCDZcPHFig</t>
  </si>
  <si>
    <t>Estado de agitador de envase</t>
  </si>
  <si>
    <t>U79ZLX94Trk</t>
  </si>
  <si>
    <t>0ChWYu9BT0uIuX0u.lCxlQ</t>
  </si>
  <si>
    <t>NnS0Zro-KRw</t>
  </si>
  <si>
    <t>eI5T-y8yQg63IqZJOFw1Yw</t>
  </si>
  <si>
    <t>Estado embrague cargue</t>
  </si>
  <si>
    <t>3FAEmNx2fJ0</t>
  </si>
  <si>
    <t>khInxprSTNOcZvmzeFMfGg</t>
  </si>
  <si>
    <t>Estados de las guías del cargue y descargue</t>
  </si>
  <si>
    <t>zo9SH4ietzI</t>
  </si>
  <si>
    <t>NOHoSAGrSsGckzFINz4s6A</t>
  </si>
  <si>
    <t>Estado del flujo de agua en el pre-enjuague</t>
  </si>
  <si>
    <t>ry74nrYP77A</t>
  </si>
  <si>
    <t>ZAdnycXYSyu2j94E7jHDsg</t>
  </si>
  <si>
    <t>Flujo de agua y centrado de boquillas enjuague</t>
  </si>
  <si>
    <t>q7I-K9sXUAg</t>
  </si>
  <si>
    <t>7Ngu4OLHT52i1WQ3E2whzA</t>
  </si>
  <si>
    <t>Estado de motores y motobombas</t>
  </si>
  <si>
    <t>UKGr9iG2dXc</t>
  </si>
  <si>
    <t>eltd8c9US02rUB8AjXxVNA</t>
  </si>
  <si>
    <t>Estado cajas reductoras</t>
  </si>
  <si>
    <t>j6MwzjITnSs</t>
  </si>
  <si>
    <t>2kWBRtAsRl6DFXAVzciM-w</t>
  </si>
  <si>
    <t>Estado de las cortinas descarga</t>
  </si>
  <si>
    <t>JWWowD8_QOE</t>
  </si>
  <si>
    <t>xLjq.nSOQB-J1vPfNMl1jA</t>
  </si>
  <si>
    <t>Estado embrague descargue</t>
  </si>
  <si>
    <t>8XTtQUiZkl8</t>
  </si>
  <si>
    <t>xIOPaU7QToiXzhIpzunwvg</t>
  </si>
  <si>
    <t>Estado de flautas pre-rinse</t>
  </si>
  <si>
    <t>fPixdzHK7Ww</t>
  </si>
  <si>
    <t>A.kYeykLRSiDVRRsX1ftBw</t>
  </si>
  <si>
    <t>Fugas (aceite, agua, aire y soda)</t>
  </si>
  <si>
    <t>HPz2WM8zrBA</t>
  </si>
  <si>
    <t>ezLr8KVMTrO3Ky7Pb5jPsQ</t>
  </si>
  <si>
    <t>Estado de punteras leva descarga</t>
  </si>
  <si>
    <t>Yn_GDf3LM5Y</t>
  </si>
  <si>
    <t>PwSuoOt0SNmpIogj3QBfJw</t>
  </si>
  <si>
    <t>Estados instrumentos de medidas</t>
  </si>
  <si>
    <t>w8WNTimNaUw</t>
  </si>
  <si>
    <t>silQfRT.QBK6f2d4wNGZeQ</t>
  </si>
  <si>
    <t>Estado de la pintura</t>
  </si>
  <si>
    <t>4QTQEWPBwWE</t>
  </si>
  <si>
    <t>W7z9Bk1kRpS-TBSQxCwp9g</t>
  </si>
  <si>
    <t>Estado de electroválvulas y válvulas neumáticas</t>
  </si>
  <si>
    <t>gDX5a55_Tfc</t>
  </si>
  <si>
    <t>erog1dYbQKeBw7YYXYDf0Q</t>
  </si>
  <si>
    <t>Estado cadenas de transmisión</t>
  </si>
  <si>
    <t>TBGepbpjKOU</t>
  </si>
  <si>
    <t>zysW35ELS52HCxsWeMGYLA</t>
  </si>
  <si>
    <t>Estado caja de transmisión y cardan</t>
  </si>
  <si>
    <t>4VmjVj1_bhU</t>
  </si>
  <si>
    <t>8njyalNNTxOiNXWoZzDuXg</t>
  </si>
  <si>
    <t>Estado de las Canastas (punteras)</t>
  </si>
  <si>
    <t>wNu5dlZEDiw</t>
  </si>
  <si>
    <t>qhIKb-vSRmOi-OdJskAmXg</t>
  </si>
  <si>
    <t>Estado de los ventiladores de barrido</t>
  </si>
  <si>
    <t>kqeYV6flbSE</t>
  </si>
  <si>
    <t>XwR3KjpmS1ax2sFZOJ9O0A</t>
  </si>
  <si>
    <t>NeHwXxMCcgI</t>
  </si>
  <si>
    <t>gg9gDAKYQo-yfU5BrulJJA</t>
  </si>
  <si>
    <t>jiUJVYDK4rc</t>
  </si>
  <si>
    <t>b74qklzYR4Cq3CZ9w7xSEw</t>
  </si>
  <si>
    <t>INSPECCION SEMANAL LAVADORA DE BOTELLONE</t>
  </si>
  <si>
    <t>VERIFICAR PRESIONES INTERNA-EXTERNA</t>
  </si>
  <si>
    <t>Hu3BC0BQlC8</t>
  </si>
  <si>
    <t>mIOL4LdmRX6Nhxt9-PMwmg</t>
  </si>
  <si>
    <t>oJDblnWAH-s</t>
  </si>
  <si>
    <t>lkvjSgiIS8SozcS.3j0UQg</t>
  </si>
  <si>
    <t>INSP FUNC SENSORES NIVEL</t>
  </si>
  <si>
    <t>oAs13GU1Mu8</t>
  </si>
  <si>
    <t>vShGYcfuQ4ysfhYgP9iElA</t>
  </si>
  <si>
    <t>INSP FUNC SOPLADORES</t>
  </si>
  <si>
    <t>-8mAR2O2-AM</t>
  </si>
  <si>
    <t>hbvEXgA4RGCxaD7.IGOncA</t>
  </si>
  <si>
    <t>INSP FUNC TRANSPORTADOR INTERNO</t>
  </si>
  <si>
    <t>2GTSlnORxyU</t>
  </si>
  <si>
    <t>QYYEm-VcSBaxY1-KZYFgqA</t>
  </si>
  <si>
    <t>FUNC SISTEMA NEUMATICO(CILINDROS)</t>
  </si>
  <si>
    <t>boDUyCh5xLE</t>
  </si>
  <si>
    <t>9THzjBlJSiON4AseSlf49A</t>
  </si>
  <si>
    <t>ESTADO CADENAS</t>
  </si>
  <si>
    <t>O7U6gTDdePk</t>
  </si>
  <si>
    <t>nuqsX-MgSESCkz3yxtpSSA</t>
  </si>
  <si>
    <t>FUNC BOQUILLAS LAVADO</t>
  </si>
  <si>
    <t>37Kct-yQlT4</t>
  </si>
  <si>
    <t>Cln6yrf4Q0KF-Hw-Qvmdzg</t>
  </si>
  <si>
    <t>INSP BALISA Y SENSOR INDUCTIVO</t>
  </si>
  <si>
    <t>jrVGVgPu-GI</t>
  </si>
  <si>
    <t>W4mGzI2ETMCYJaO3Rs8uKA</t>
  </si>
  <si>
    <t>kw0fxKsjgEw</t>
  </si>
  <si>
    <t>fcbrnRIpRa2VHvcnYVvZVw</t>
  </si>
  <si>
    <t>ESTADO GRAL ESTRUCTURA</t>
  </si>
  <si>
    <t>Vp7tAsynhEM</t>
  </si>
  <si>
    <t>JSkJrRbvRJefllQeutsxjA</t>
  </si>
  <si>
    <t>FRENO ENTRADA BOTELLON</t>
  </si>
  <si>
    <t>dvFpxRP-Rz8</t>
  </si>
  <si>
    <t>1xeDAGevR0WbrPJtytKbXQ</t>
  </si>
  <si>
    <t>VOLTEADOR BOTELLON ENTRADA</t>
  </si>
  <si>
    <t>p7EDdoCsbaY</t>
  </si>
  <si>
    <t>LD7Kul3RRdipEYE4RD2i6g</t>
  </si>
  <si>
    <t>INSPECCION BOMBA DETERGENTE</t>
  </si>
  <si>
    <t>4a8AkddOLDY</t>
  </si>
  <si>
    <t>1llNNfZeQdOC5GOT9kF0xA</t>
  </si>
  <si>
    <t>INSPECCION BOMBA ENJUAGUE</t>
  </si>
  <si>
    <t>p7S3cnb14VU</t>
  </si>
  <si>
    <t>MkkZLG2kR2KaZeunKrE28Q</t>
  </si>
  <si>
    <t>INSPECCION BOMBA LAVADO INTERNO EXTERNO</t>
  </si>
  <si>
    <t>YSIzNKd1wn4</t>
  </si>
  <si>
    <t>gqTgDZF.TZ-9uZnHgpW0dA</t>
  </si>
  <si>
    <t>VOLTEADOR BOTELLON SALIDA</t>
  </si>
  <si>
    <t>fLhKiOIUFZk</t>
  </si>
  <si>
    <t>TwLo5kcSTUuFsNw0DonR9g</t>
  </si>
  <si>
    <t>VERIFICAR ESTADO INSTRUMENTACION</t>
  </si>
  <si>
    <t>E8d1dGWf7wo</t>
  </si>
  <si>
    <t>w4o1cOreS2i0-mVdoqU7GQ</t>
  </si>
  <si>
    <t>LAVADORA DE CAJAS</t>
  </si>
  <si>
    <t>INSPECCION SEMANAL LAVADORA DE CAJAS</t>
  </si>
  <si>
    <t>Estado de electroválvulas y válvulas neumaticas</t>
  </si>
  <si>
    <t>8OOyWXZuF6U</t>
  </si>
  <si>
    <t>Jlp3tjBdTSG04V1KxhIMtw</t>
  </si>
  <si>
    <t>Estados de las guías de entrada y salida</t>
  </si>
  <si>
    <t>LKe26BT7X-Q</t>
  </si>
  <si>
    <t>VOKpNC8kRKWIxyeE16msqQ</t>
  </si>
  <si>
    <t>Estado de boquillas de lavado</t>
  </si>
  <si>
    <t>sgO2ltzO5po</t>
  </si>
  <si>
    <t>Csa2VN9URBuIjo2f3w7phw</t>
  </si>
  <si>
    <t>Estado de cadenas de transmisión y mallas</t>
  </si>
  <si>
    <t>Lpd2h_Mlf7M</t>
  </si>
  <si>
    <t>KYTIeQt-SpWHNAyrCOU8QQ</t>
  </si>
  <si>
    <t>Cc9oSF63YGM</t>
  </si>
  <si>
    <t>brewaGNPR8ysUkg5uLA83A</t>
  </si>
  <si>
    <t>EpYb1k4IoX0</t>
  </si>
  <si>
    <t>HMqZxTFzSzS9bCbZ9QEhvQ</t>
  </si>
  <si>
    <t>Estado del transportador superior</t>
  </si>
  <si>
    <t>RlXJA6RBZ4M</t>
  </si>
  <si>
    <t>o68XfFNHQBi3dNbEI5wZRg</t>
  </si>
  <si>
    <t>Estado del transportador interior</t>
  </si>
  <si>
    <t>m_Chbnzog2o</t>
  </si>
  <si>
    <t>zIYMqcssQn6biB3OifzE.A</t>
  </si>
  <si>
    <t>Estado de piñones</t>
  </si>
  <si>
    <t>2D0-irVcREM</t>
  </si>
  <si>
    <t>GJG2X1gQTzmtkZ52DpeQHQ</t>
  </si>
  <si>
    <t>Fugas (aceite, agua, aire, sanitizante).</t>
  </si>
  <si>
    <t>hQuD3Y_Gb0U</t>
  </si>
  <si>
    <t>a.Y9-YiVDTm22RCgxRzwbZw</t>
  </si>
  <si>
    <t>Estado volteadores de cajas</t>
  </si>
  <si>
    <t>xrO_WGCMeV4</t>
  </si>
  <si>
    <t>cVGvhJnGQTyU0fkRH9guvQ</t>
  </si>
  <si>
    <t>2cLR45IE-9c</t>
  </si>
  <si>
    <t>CQ61SpceSLa6XA8nYbOR3A</t>
  </si>
  <si>
    <t>CKTFfA35XUY</t>
  </si>
  <si>
    <t>9F91JtVwTQSiKxivqNML6w</t>
  </si>
  <si>
    <t>Estado sistema de vapor</t>
  </si>
  <si>
    <t>qP99egDeAlk</t>
  </si>
  <si>
    <t>pUeryQ5JTTeq07ZDI2..9A</t>
  </si>
  <si>
    <t>82kz0MWsoVs</t>
  </si>
  <si>
    <t>aBKOm8WZTeiGUeTgIb0D4w</t>
  </si>
  <si>
    <t>7k5FXxJr70o</t>
  </si>
  <si>
    <t>SxLU06RORQykAFPusYH5-A</t>
  </si>
  <si>
    <t>Martinez Carlos</t>
  </si>
  <si>
    <t>dPptOIU3PjU</t>
  </si>
  <si>
    <t>pgJ-261FTOeEAc5dBIW2dw</t>
  </si>
  <si>
    <t>EZWhyYGpCHQ</t>
  </si>
  <si>
    <t>wL15CJpJTjqAmuSZvAFp5Q</t>
  </si>
  <si>
    <t>0ydBx_-BqMs</t>
  </si>
  <si>
    <t>Pxd6QF7iT5K-HzA8.TKHAg</t>
  </si>
  <si>
    <t>5mezUYy2bJI</t>
  </si>
  <si>
    <t>Rt8-UEbxQHymD7uTAP9pNA</t>
  </si>
  <si>
    <t>FvMSo5nZ8BU</t>
  </si>
  <si>
    <t>JGHOx9WQRS6MMhBbhGcerA</t>
  </si>
  <si>
    <t>dRTVmca3UEg</t>
  </si>
  <si>
    <t>AqlCDRWGQTukvbNfNX3QJg</t>
  </si>
  <si>
    <t>1yTxxFRpZDA</t>
  </si>
  <si>
    <t>DkteL1vSQe6WHZAxEbHf1g</t>
  </si>
  <si>
    <t>Oix0RDvpGXk</t>
  </si>
  <si>
    <t>MeX-7-KOQb-fKsHRdt6Agg</t>
  </si>
  <si>
    <t>mIZpKPryKU4</t>
  </si>
  <si>
    <t>NpE.ZLrEQxiqtRKctZM81w</t>
  </si>
  <si>
    <t>fzEMHBjfi7A</t>
  </si>
  <si>
    <t>j9q4gMyfR5uyp6Ra7D.-Ww</t>
  </si>
  <si>
    <t>A50J576QULw</t>
  </si>
  <si>
    <t>KzHisC8UTX-CEQsAUiwU-g</t>
  </si>
  <si>
    <t>7lSfq1v-LwY</t>
  </si>
  <si>
    <t>DgVwrn4dT4KVNti1D5v-iQ</t>
  </si>
  <si>
    <t>onCMUhju9Qs</t>
  </si>
  <si>
    <t>eAIY7k.fQpKN4oDW3p5lhQ</t>
  </si>
  <si>
    <t>HUSHTWJJd3E</t>
  </si>
  <si>
    <t>K6v95AsxQLKkRVzvR4XjsQ</t>
  </si>
  <si>
    <t>uWdSt8ZEO9c</t>
  </si>
  <si>
    <t>wA-.oNCSQUSFrjgcETF3VQ</t>
  </si>
  <si>
    <t>W7HV6E3sGIA</t>
  </si>
  <si>
    <t>thECatcGRBqVvNUxCgSXSQ</t>
  </si>
  <si>
    <t>LAVADORA DE HUACALES</t>
  </si>
  <si>
    <t>INSPECCION SEMANAL LAVADORA DE HUACALES</t>
  </si>
  <si>
    <t>_KoJdEAFgpM</t>
  </si>
  <si>
    <t>CS5lpLM1T8CPRru2l14zEQ</t>
  </si>
  <si>
    <t>oChzoJQGE2U</t>
  </si>
  <si>
    <t>p7w55..xSK6mWFv.6.gbvg</t>
  </si>
  <si>
    <t>hZCpc0h6t_U</t>
  </si>
  <si>
    <t>2JwhNoNfSAqcuwoVE4ZCUg</t>
  </si>
  <si>
    <t>28NGYjb8eWg</t>
  </si>
  <si>
    <t>nINEyEjrR3m-QQelW1soWQ</t>
  </si>
  <si>
    <t>Yd46h1ZhkrU</t>
  </si>
  <si>
    <t>8nH9wEX1Rh6gXkz3p2S0gw</t>
  </si>
  <si>
    <t>9Y_mWapZiDc</t>
  </si>
  <si>
    <t>RRvFloVUTjScxbeRfL7WLQ</t>
  </si>
  <si>
    <t>LVoj8ddzm-k</t>
  </si>
  <si>
    <t>E4-1RgP4SyK4LVsiUEEqoA</t>
  </si>
  <si>
    <t>4nbLZbvnjxo</t>
  </si>
  <si>
    <t>XOaAQFeVSaa5-rgbPLxE7w</t>
  </si>
  <si>
    <t>LIMPIEZA (CIP)</t>
  </si>
  <si>
    <t>INSPECCION SEMANAL LIMPIEZA (CIP)</t>
  </si>
  <si>
    <t>INSPECCION FUGAS DE PRODUCTO</t>
  </si>
  <si>
    <t>Ddlak8Glwac</t>
  </si>
  <si>
    <t>kHF4TUHrQCmQlRjMAwts3g</t>
  </si>
  <si>
    <t>ESTADO BOMBAS DOSIFICADORAS</t>
  </si>
  <si>
    <t>mAyiEY6RC9s</t>
  </si>
  <si>
    <t>Rj4yrEfVRk2Dkcu545N0SQ</t>
  </si>
  <si>
    <t>ESTADO VALVULAS</t>
  </si>
  <si>
    <t>j8YBX2UvKHs</t>
  </si>
  <si>
    <t>Zt241dSmT.Cs43U9TunPYw</t>
  </si>
  <si>
    <t>LLENADORA</t>
  </si>
  <si>
    <t>INSPECCION SEMANAL LLENADORA</t>
  </si>
  <si>
    <t>Fugas de aire, aceite o agua</t>
  </si>
  <si>
    <t>Poveda Jorge</t>
  </si>
  <si>
    <t>gZbxI3O3jDQ</t>
  </si>
  <si>
    <t>RtEe0zYSRoSwXxQLSZ7XmQ</t>
  </si>
  <si>
    <t>Estado de pistones elevadores</t>
  </si>
  <si>
    <t>OuxfE4eqteY</t>
  </si>
  <si>
    <t>IdP7beDBQuqHAfIwOS2yjg</t>
  </si>
  <si>
    <t>Estado de sistema de lubricacion (lubricontrol)</t>
  </si>
  <si>
    <t>HAJqKKr6Ypg</t>
  </si>
  <si>
    <t>DVDF9nW9RMSsc3Ws.0RWnQ</t>
  </si>
  <si>
    <t>RskOjxMH4vc</t>
  </si>
  <si>
    <t>5ANpSpr8Qo6f7-FG0iiQpQ</t>
  </si>
  <si>
    <t>Q8XJe9scHmM</t>
  </si>
  <si>
    <t>W4qVxNyESQGZP8JkJJI3oQ</t>
  </si>
  <si>
    <t>Estado de resortes centradores</t>
  </si>
  <si>
    <t>KE_TNk4Tbxo</t>
  </si>
  <si>
    <t>K8epX.jFSVu3WvAERQXn0w</t>
  </si>
  <si>
    <t>Estado de válvulas de llenado</t>
  </si>
  <si>
    <t>zWpLQdEm-Cc</t>
  </si>
  <si>
    <t>rkGXcJWCSp2J9DjgByyE8g</t>
  </si>
  <si>
    <t>Estado de válvulas neumáticas</t>
  </si>
  <si>
    <t>npx5tbHyd4M</t>
  </si>
  <si>
    <t>dfgaZV89SOWxeknVeC8ZzA</t>
  </si>
  <si>
    <t>nLK0mxYd2EY</t>
  </si>
  <si>
    <t>CvEWD1zHRV-9.6am8Y3BCw</t>
  </si>
  <si>
    <t>Estado instrumentos de medidas</t>
  </si>
  <si>
    <t>AGnOgcfPXq0</t>
  </si>
  <si>
    <t>a-F.r6CXKQqWCcNQszIHDXA</t>
  </si>
  <si>
    <t>Estado de tuberías y empaquetaduras</t>
  </si>
  <si>
    <t>cvuYW1KoFCc</t>
  </si>
  <si>
    <t>sJAmvrqNSAe5kNiB9HoSRw</t>
  </si>
  <si>
    <t>VVhRg1r9MCk</t>
  </si>
  <si>
    <t>kBcYRPZaTmGnyKMJ.exvZw</t>
  </si>
  <si>
    <t>Estado de guías de pistones y rodillos</t>
  </si>
  <si>
    <t>7OlsB9YbXvY</t>
  </si>
  <si>
    <t>xTaTig0jSNKpGNDW7wnofg</t>
  </si>
  <si>
    <t>Estado de nivel de llenado</t>
  </si>
  <si>
    <t>OFPVcTmezaQ</t>
  </si>
  <si>
    <t>uuelCiioTbuvPsnC-Sa-wg</t>
  </si>
  <si>
    <t>dPAItLbGm0Y</t>
  </si>
  <si>
    <t>uUN.uB0rTXWS4jgYDq.8Vg</t>
  </si>
  <si>
    <t>Iqn0UI4wkAY</t>
  </si>
  <si>
    <t>3BE.pF6bQF-Nzo37ktYiug</t>
  </si>
  <si>
    <t>Estado de tornillos del árbol Central que sostienen el Bowl</t>
  </si>
  <si>
    <t>LhIpTh_HDCM</t>
  </si>
  <si>
    <t>YLYQijRlSvq1UzodufWkyw</t>
  </si>
  <si>
    <t>Estado tazón de la llenadora</t>
  </si>
  <si>
    <t>GvE9mZuEeSE</t>
  </si>
  <si>
    <t>boxXGVc2SViEekGIcxNk1g</t>
  </si>
  <si>
    <t>Estado acoples de silicona</t>
  </si>
  <si>
    <t>coxRnpg9o9I</t>
  </si>
  <si>
    <t>k.ohyWUKTAOcqOZiCMWWcg</t>
  </si>
  <si>
    <t>Estado tensor de correa</t>
  </si>
  <si>
    <t>1DN9EVj-HkE</t>
  </si>
  <si>
    <t>jzBd3oB5SG-.Q275oFmU-g</t>
  </si>
  <si>
    <t>Estado de los piñones</t>
  </si>
  <si>
    <t>K7OhKv3OA58</t>
  </si>
  <si>
    <t>cQ30ZamtR7esGjpEflsx9A</t>
  </si>
  <si>
    <t>Estado sistema de duchas y semillenado</t>
  </si>
  <si>
    <t>7M3Zhmw2Ky0</t>
  </si>
  <si>
    <t>rO1yK-luRgWfYkqyGRN1RQ</t>
  </si>
  <si>
    <t>NyXHg_PmHnI</t>
  </si>
  <si>
    <t>J5GwYVn5Qw-e8NcgZg-oSA</t>
  </si>
  <si>
    <t>Pendiente corregir fuga de aceite por la caja reductora del coronador, se debe programar para enviar sin fin a taller externó</t>
  </si>
  <si>
    <t>wVYv7-wuPq8</t>
  </si>
  <si>
    <t>CY8zdgKJRHyfQbU1O1kfPg</t>
  </si>
  <si>
    <t>https://storage.googleapis.com/glide-prod.appspot.com/uploads-v2/ly7o78grxPaC6KdgvbpS/pub/YK0E99mvsc43lPLTgOX2.jpg</t>
  </si>
  <si>
    <t>C0wj7oSMx0c</t>
  </si>
  <si>
    <t>7FcdYlbjStC-Ad8TD6hkvg</t>
  </si>
  <si>
    <t>7K2o1lQEtjo</t>
  </si>
  <si>
    <t>ld5L.8CvRW-XZYdNwjw2Og</t>
  </si>
  <si>
    <t>prFgHHb8Z4U</t>
  </si>
  <si>
    <t>CDcH8h-NRse5G2szEQ3VQQ</t>
  </si>
  <si>
    <t>imVhHAmrnyU</t>
  </si>
  <si>
    <t>ze0PZEqNQqKr-bOm3Zj2hQ</t>
  </si>
  <si>
    <t>R-AScYjsyC0</t>
  </si>
  <si>
    <t>vniGI2qvT0SLmSnokI1n4g</t>
  </si>
  <si>
    <t>--qH_5Cnvck</t>
  </si>
  <si>
    <t>2AN0r7F8SLScO7nCEJwClA</t>
  </si>
  <si>
    <t>2zh8fD1MUgA</t>
  </si>
  <si>
    <t>Cbj1L5TLT6W6rlKiBAZC2g</t>
  </si>
  <si>
    <t>UCNJN7_5v8I</t>
  </si>
  <si>
    <t>XwMIhsOzTQalKI1syCd4bA</t>
  </si>
  <si>
    <t>GVWWZpQtJm8</t>
  </si>
  <si>
    <t>zRCPKimkRjaf6XePwh9Neg</t>
  </si>
  <si>
    <t>rpEwQGNs_9w</t>
  </si>
  <si>
    <t>djSRCNW2QmiOPjpzZ3rnLQ</t>
  </si>
  <si>
    <t>HTZ2XAl6uj0</t>
  </si>
  <si>
    <t>q8t.mJd7Sr-E6jcnqGr5Lg</t>
  </si>
  <si>
    <t>9Tlp6iskDmc</t>
  </si>
  <si>
    <t>mhWWI89aSoWgAge80VSX.Q</t>
  </si>
  <si>
    <t>DYHwcQ4bxno</t>
  </si>
  <si>
    <t>QEmkjVeYRWyuUJDLxq-6-g</t>
  </si>
  <si>
    <t>Ps2zsgfIQx8</t>
  </si>
  <si>
    <t>GhYKFidiQmW2LsVYJrmqww</t>
  </si>
  <si>
    <t>LerMnEENDiQ</t>
  </si>
  <si>
    <t>UD-uIuXBRCucHVKbmmjuhA</t>
  </si>
  <si>
    <t>clBjT6yiYfQ</t>
  </si>
  <si>
    <t>iM.GsrhoSx-DRG.ExBYZCA</t>
  </si>
  <si>
    <t>aBEHdM0_n_0</t>
  </si>
  <si>
    <t>Usmcm1GHTaaGz0koAcT71A</t>
  </si>
  <si>
    <t>PJldsQfsBoE</t>
  </si>
  <si>
    <t>hLI6wo5UTiWPUejcxs4F9w</t>
  </si>
  <si>
    <t>b4Pg1qUtNsY</t>
  </si>
  <si>
    <t>f5b-kpw5QQG.uyUMnVEcyA</t>
  </si>
  <si>
    <t>umG4Iu902Kw</t>
  </si>
  <si>
    <t>n6KBDOPYSgmmfHR98hMKUg</t>
  </si>
  <si>
    <t>Ajuste de sensores para corregir registro de desplazamiento</t>
  </si>
  <si>
    <t>QjGlAS5uVz4</t>
  </si>
  <si>
    <t>gE410lbaTlmBeTlgp6txKg</t>
  </si>
  <si>
    <t>https://storage.googleapis.com/glide-prod.appspot.com/uploads-v2/ly7o78grxPaC6KdgvbpS/pub/586SVyAF9DhMardCcyAs.jpg</t>
  </si>
  <si>
    <t>Formato de manejo envase</t>
  </si>
  <si>
    <t>dXxcIlV_HHw</t>
  </si>
  <si>
    <t>CWvkYZ9XQ66a2FkoZP0uHA</t>
  </si>
  <si>
    <t>Estado sistema coronador</t>
  </si>
  <si>
    <t>ixPvAJKpxDw</t>
  </si>
  <si>
    <t>gfeTLhxQTx6cNDsmjF7kkw</t>
  </si>
  <si>
    <t>lBMjXp4xiPw</t>
  </si>
  <si>
    <t>YPNf58-VQIWIYEEjoJ0YsA</t>
  </si>
  <si>
    <t>PISTONES ELEVACION CARRUSEL</t>
  </si>
  <si>
    <t>Duran Sanchez Nelson Fernando</t>
  </si>
  <si>
    <t>cv0SqwoQb7s</t>
  </si>
  <si>
    <t>X8z1R5k2SBG5lEZ3x6s3gA</t>
  </si>
  <si>
    <t>SELLADO VALVULAS LLENADO/CENTRADORES</t>
  </si>
  <si>
    <t>g0Jgyi34xio</t>
  </si>
  <si>
    <t>eigV86tNQDCKeLW3KykMUQ</t>
  </si>
  <si>
    <t>SISTEMA NEUMATICO(TUBERIA,VALVULAS,GRIFOS)</t>
  </si>
  <si>
    <t>lrfzD2Of4sk</t>
  </si>
  <si>
    <t>enM-hFCJRSq7UbNxKmgm-w</t>
  </si>
  <si>
    <t>INSP UNIDAD MTTO AIRE</t>
  </si>
  <si>
    <t>OmFRs94bzV8</t>
  </si>
  <si>
    <t>7G3ffBVTQ5OG6n2wAvAv5Q</t>
  </si>
  <si>
    <t>JnB_GFwoD-I</t>
  </si>
  <si>
    <t>V-6WW6XOQxyDr03oG7RkCQ</t>
  </si>
  <si>
    <t>c2DCIk1ellw</t>
  </si>
  <si>
    <t>Uk9ztI5lRfS4BGhj9BNB5A</t>
  </si>
  <si>
    <t>ESCAPES FLUIDOS</t>
  </si>
  <si>
    <t>iMyrTE6MMFg</t>
  </si>
  <si>
    <t>h66ufgBnQh2ovPpXgAVgzA</t>
  </si>
  <si>
    <t>ESTADO ESTRELLAS Y PINZAS</t>
  </si>
  <si>
    <t>hSnZyAZXHG0</t>
  </si>
  <si>
    <t>xH4KiL61TQ-38JK4L4XDuA</t>
  </si>
  <si>
    <t>FORMATOS MANEJO ENVASES</t>
  </si>
  <si>
    <t>dy9sVLvpDpM</t>
  </si>
  <si>
    <t>a.D4EPj0nQPeyIK5v8xZsJg</t>
  </si>
  <si>
    <t>FUNC VALVULA REGULADORA PRODUCTO</t>
  </si>
  <si>
    <t>Q0kLAN6Ket8</t>
  </si>
  <si>
    <t>iPZkfQWeSpir-FTlUINFCg</t>
  </si>
  <si>
    <t>ESTADO PARTE SUP-INF CARRUSEL</t>
  </si>
  <si>
    <t>9NHhq4OMLRM</t>
  </si>
  <si>
    <t>Wpy0c9kRTfGiDJmy6ehsxA</t>
  </si>
  <si>
    <t>Rb3OmwtKIVc</t>
  </si>
  <si>
    <t>WXU4LfNkQ9i9MdAlOE4B2g</t>
  </si>
  <si>
    <t>TUBERIAS Y ACCESORIOS</t>
  </si>
  <si>
    <t>YNQyGAPaRrs</t>
  </si>
  <si>
    <t>QIokY8v9Tc6hPBaS5kpSUw</t>
  </si>
  <si>
    <t>TRANSMISION PPAL(ARBOL)/MOTORES</t>
  </si>
  <si>
    <t>n_WDPzOvpe8</t>
  </si>
  <si>
    <t>01U4YvfLS9uYTOaxoPmE9A</t>
  </si>
  <si>
    <t>Equipo electrico/electronico</t>
  </si>
  <si>
    <t>Ta-Yq4TjUgk</t>
  </si>
  <si>
    <t>6MMwr4hFSFOMrV9QiLP9jQ</t>
  </si>
  <si>
    <t>INSP FILTRO TABLERO ELECTRICO</t>
  </si>
  <si>
    <t>ogjGdpqBx9k</t>
  </si>
  <si>
    <t>k83CcWksRy-cxAxZQmcFnA</t>
  </si>
  <si>
    <t>INSP FUN FRENO MOTOR</t>
  </si>
  <si>
    <t>dWV3ybxhZ9o</t>
  </si>
  <si>
    <t>wil2FsR2RUamHKNZ0CJWvQ</t>
  </si>
  <si>
    <t>ESTADO CUERPO PPAL(PUERTAS LATERAL)</t>
  </si>
  <si>
    <t>DvjwCtSMlAg</t>
  </si>
  <si>
    <t>2ULrxmz6TRmOsB5waYlWEA</t>
  </si>
  <si>
    <t>GK8LCSyKjpo</t>
  </si>
  <si>
    <t>vzG9TOiZQDiPEP4s3eXwQQ</t>
  </si>
  <si>
    <t>FUNC MOTORREDUCTORES TAPONADOR</t>
  </si>
  <si>
    <t>376eUJRZf_w</t>
  </si>
  <si>
    <t>RgvolsuQS7CwBNmyYuhgWg</t>
  </si>
  <si>
    <t>ESTADO BANDAS ALIMENTACION TAPONADOR</t>
  </si>
  <si>
    <t>92i6Be3_hZg</t>
  </si>
  <si>
    <t>weSRecSIQ3isU2v4r-HbVw</t>
  </si>
  <si>
    <t>INSP SISTEMA NEUMATICO TAPONADOR</t>
  </si>
  <si>
    <t>A6SissJRoA8</t>
  </si>
  <si>
    <t>v-5mJX.bTXeb4LUvcYkq9Q</t>
  </si>
  <si>
    <t>FUNC SENSORES TAPAS TAPONADOR</t>
  </si>
  <si>
    <t>NRqI7Q6Zcmg</t>
  </si>
  <si>
    <t>xbrn6b6DQzK94wQQP3fLhA</t>
  </si>
  <si>
    <t>INSP TABLERO ELECTRICO TAPONADOR</t>
  </si>
  <si>
    <t>HyzTzRp9WVE</t>
  </si>
  <si>
    <t>9N5A1LaGRVW.pHCECHSMBA</t>
  </si>
  <si>
    <t>REVISAR QUE LOS CHUCK NO HAGAN CONTACTO CON LA ESTRELLA DEL PICK AND PLACE, QUEDAN SEPARADOS A 1.5 mm Y LAS PUNTAS ANTIRROTACION ESTAN EN BUEN ESTADO</t>
  </si>
  <si>
    <t>sL8Q0_jBi3Y</t>
  </si>
  <si>
    <t>eVbFqqYDRb2lgaAHQUEzZw</t>
  </si>
  <si>
    <t>AJUSTE DE LA ALTURA DE LA MESA DEL PICK AND PLACE PARA LA TAPA LINER LESS CSD8, QUEDANDO CON TOLERANCIA DE 0.2 mm</t>
  </si>
  <si>
    <t>ytXbF_UdYFg</t>
  </si>
  <si>
    <t>EPAJDtLRQn2KoZq0mOVK5Q</t>
  </si>
  <si>
    <t>LIMPIEZA DE LA CARRILERA</t>
  </si>
  <si>
    <t>XYsknpmm4p4</t>
  </si>
  <si>
    <t>tMrxGs.nQ6KfmOrYMTvZgQ</t>
  </si>
  <si>
    <t>CORONADORES TAPONADOR</t>
  </si>
  <si>
    <t>8Ks9cPGbWW4</t>
  </si>
  <si>
    <t>nd0MwYE3SSaLo.NpgZV4yg</t>
  </si>
  <si>
    <t>INSP. UNIDAD DE MATTO AIRE</t>
  </si>
  <si>
    <t>Franco Castillo Brayan Steven</t>
  </si>
  <si>
    <t>kGI6HpRfi-8</t>
  </si>
  <si>
    <t>DvSXkQ11Q-i2nxtrJtmH4w</t>
  </si>
  <si>
    <t>1Alhl6Oymkk</t>
  </si>
  <si>
    <t>a-n71XRGjQ1eB5kCB-Dpi6A</t>
  </si>
  <si>
    <t>ESCAPE DE FLUIDOS</t>
  </si>
  <si>
    <t>TGFxuqIN9dE</t>
  </si>
  <si>
    <t>VoSZEZS1RAmJySf1PIEPRA</t>
  </si>
  <si>
    <t>ESTADO DE ESTRELLAS Y PINZAS</t>
  </si>
  <si>
    <t>Iyf1fC8Rook</t>
  </si>
  <si>
    <t>3REyQmhvRGuT-9Roc9GIqA</t>
  </si>
  <si>
    <t>INSP. FILTRO TABERO ELECTRICO</t>
  </si>
  <si>
    <t>D3Z2J-nORS0</t>
  </si>
  <si>
    <t>u-C6ALBFQPOXizPNDsrDjg</t>
  </si>
  <si>
    <t>INSP. TUBERIAS Y ACCESORIOS</t>
  </si>
  <si>
    <t>0JGosb-R5JY</t>
  </si>
  <si>
    <t>EWlYT8cLRXiw5ot2DygUZQ</t>
  </si>
  <si>
    <t>8CU5dbBw3Bo</t>
  </si>
  <si>
    <t>bNLlJS-0RvKMEKfEqbXRbw</t>
  </si>
  <si>
    <t>SELLADO DE VALVULAS DE LLENADO</t>
  </si>
  <si>
    <t>JVezxgdLx-Y</t>
  </si>
  <si>
    <t>ZESMVGgRTyGlQmcsFRdOnA</t>
  </si>
  <si>
    <t>INSP. FORMATOS MANEJO ENVASES</t>
  </si>
  <si>
    <t>izeKbo_ItWY</t>
  </si>
  <si>
    <t>HVwe1AncTn2CaWs9rSBIkw</t>
  </si>
  <si>
    <t>INSP. EQUIPOS ELECTRICOS</t>
  </si>
  <si>
    <t>hVyUMguY2kA</t>
  </si>
  <si>
    <t>rmET-Mf1SRe4K1Fr8y3RIA</t>
  </si>
  <si>
    <t>FUNC. DUCHAS DE REFRI. FONDO ENV.</t>
  </si>
  <si>
    <t>PZOlrdg6OPQ</t>
  </si>
  <si>
    <t>xB.sUeTFQ4iXohOREkl.4Q</t>
  </si>
  <si>
    <t>INSP. SISTEMA LUBRICACION</t>
  </si>
  <si>
    <t>N39gdEsBvhI</t>
  </si>
  <si>
    <t>zghJyEaqSlitXL4Aixtrsg</t>
  </si>
  <si>
    <t>INSP. TRANSMISION PRINCIPAL</t>
  </si>
  <si>
    <t>F0NS5eS-Rcw</t>
  </si>
  <si>
    <t>z.JpEN55R8yRXE3s7UsOcQ</t>
  </si>
  <si>
    <t>INSP. RUIDOS EXTRAÑOS</t>
  </si>
  <si>
    <t>IeihsJEK4Og</t>
  </si>
  <si>
    <t>l18qz-Z.SC-ErjaQweR9XQ</t>
  </si>
  <si>
    <t>Gjr8-g20jjA</t>
  </si>
  <si>
    <t>SRw35FKvTwut80b0x3joKg</t>
  </si>
  <si>
    <t>Isa2XKotfjA</t>
  </si>
  <si>
    <t>l7C7dvPgR.SB9U.FQko-dw</t>
  </si>
  <si>
    <t>INS. FILTRO AIRE ESTERIL ESTADO CILICA OPERACIÓN</t>
  </si>
  <si>
    <t>fJYvgs-9TTQ</t>
  </si>
  <si>
    <t>F3YVcHFuTYKdsD0p2CFArg</t>
  </si>
  <si>
    <t>INSP. SISTEMA NEUMATICO TAPONADOR</t>
  </si>
  <si>
    <t>RHuqTM3dgXw</t>
  </si>
  <si>
    <t>KD6Xz2tPTG6ljxBdsZYvBA</t>
  </si>
  <si>
    <t>FUNC. SENSORES DE TAPA TAPONADOR</t>
  </si>
  <si>
    <t>41JCjBx9-3o</t>
  </si>
  <si>
    <t>KBiqrWgpSSeR1Cz6L605aw</t>
  </si>
  <si>
    <t>ESTADO BANDA ALIMENTACION TAPONADOR</t>
  </si>
  <si>
    <t>p0tsNpq7DR4</t>
  </si>
  <si>
    <t>emTwtEJESXiTJSVSqcCvIA</t>
  </si>
  <si>
    <t>ESTADO CORONADORES TAPONADOR</t>
  </si>
  <si>
    <t>UlyXouQ-7xo</t>
  </si>
  <si>
    <t>6KIzjbj4T8muoAquwwIXBA</t>
  </si>
  <si>
    <t>VERIF. TORQUE CORONADORES TAPONADOR</t>
  </si>
  <si>
    <t>K2-ZDXu8X_w</t>
  </si>
  <si>
    <t>M2jGc5FQRluwl2gXChZmjQ</t>
  </si>
  <si>
    <t>ESTADO GUIA DE SALIDA TAPONADOR</t>
  </si>
  <si>
    <t>YhsP9GEGZto</t>
  </si>
  <si>
    <t>z3a-dGxXQ1KgQ2fxP6cRQA</t>
  </si>
  <si>
    <t>ESTADO MEDIA LUNAS (PINZAS-ESTRELLAS) TAPONADOR</t>
  </si>
  <si>
    <t>TEZruH48F28</t>
  </si>
  <si>
    <t>xF8UU3KUSCWp2Z095EpIjg</t>
  </si>
  <si>
    <t>LLENADORA DE BOLSAS BAG IN BOX</t>
  </si>
  <si>
    <t>INSPECCION SEMANAL LLENADORA DE BOLSAS B</t>
  </si>
  <si>
    <t>BOMBA ALIMENTACION SALA JARABE</t>
  </si>
  <si>
    <t>0-R0osVGdMU</t>
  </si>
  <si>
    <t>avM2NtMpTXqtF84uCXXs9w</t>
  </si>
  <si>
    <t>ESCAPE FLUIDOS</t>
  </si>
  <si>
    <t>bdZMyqBMBlA</t>
  </si>
  <si>
    <t>PqINu7UnQaapQHFDBvjNDg</t>
  </si>
  <si>
    <t>uhUMThACpLw</t>
  </si>
  <si>
    <t>JxmSmUYXSuyT-sAYqt4yhA</t>
  </si>
  <si>
    <t>SISTEMA LLENADO-VALVULA</t>
  </si>
  <si>
    <t>t1rKIJ_o47k</t>
  </si>
  <si>
    <t>0JIRdEHyRzilAha2zcGaVA</t>
  </si>
  <si>
    <t>SISTEMA DE VACIO</t>
  </si>
  <si>
    <t>gOrSajrb8OQ</t>
  </si>
  <si>
    <t>h1sq2Ao0Tpis-0g7-n8Wxw</t>
  </si>
  <si>
    <t>SISTEMA DE CAPSULADO</t>
  </si>
  <si>
    <t>BExolA_7Dag</t>
  </si>
  <si>
    <t>Kcfy3cnkQwG788Lz9Q.sTw</t>
  </si>
  <si>
    <t>SISTEMA CIP</t>
  </si>
  <si>
    <t>ueTycQwHtOg</t>
  </si>
  <si>
    <t>1zgKvkvCQeaHMzZ2dDbbbA</t>
  </si>
  <si>
    <t>MESA DE LLENADO</t>
  </si>
  <si>
    <t>e0pQkI-pY6k</t>
  </si>
  <si>
    <t>a-9891CamQcaIgjvfLRf8kg</t>
  </si>
  <si>
    <t>TRANSPORTADOR RODILLOS</t>
  </si>
  <si>
    <t>092VP_ZMzgc</t>
  </si>
  <si>
    <t>NZIjTueCTied4ufEzE5tkQ</t>
  </si>
  <si>
    <t>SISTEMA ALIMETACION AIRE</t>
  </si>
  <si>
    <t>vr4nfW236gg</t>
  </si>
  <si>
    <t>LB9SmHRDRU-gy02F-Dzdhw</t>
  </si>
  <si>
    <t>BOMBA LLENADO FINAL</t>
  </si>
  <si>
    <t>hpi5V7PhNwA</t>
  </si>
  <si>
    <t>N-.tzPvIQA-bLxzaMXJtZA</t>
  </si>
  <si>
    <t>LLENADORA DE BOTELLONES Y TAPONADORA</t>
  </si>
  <si>
    <t>INSPECCION SEMANAL LLENADORA DE BOTELLON</t>
  </si>
  <si>
    <t>INS. ESTADO BOQUILLA DOSIFICADORA</t>
  </si>
  <si>
    <t>XqL_V7NSijM</t>
  </si>
  <si>
    <t>GAqux1sYT2CwnxW4McU-jw</t>
  </si>
  <si>
    <t>INSP NIVEL LLENADO</t>
  </si>
  <si>
    <t>7YlqI_0jvKo</t>
  </si>
  <si>
    <t>9.kWqtydSB6l7FwskQXCsw</t>
  </si>
  <si>
    <t>FUNC SENSORES INDUCTIVOS</t>
  </si>
  <si>
    <t>qODqaNPjSws</t>
  </si>
  <si>
    <t>ZZtYusbzRhqGo84UnJzGvQ</t>
  </si>
  <si>
    <t>FUNC MECANISMO TELESCOPICO</t>
  </si>
  <si>
    <t>j_pgl_5tkOA</t>
  </si>
  <si>
    <t>0gCF9d4SR5SNwgsGgLnOYA</t>
  </si>
  <si>
    <t>qg7dguaqWhU</t>
  </si>
  <si>
    <t>Pum-bVw9RVe3qfd3yPzLdQ</t>
  </si>
  <si>
    <t>ESTADO MANGUERAS LLENADO</t>
  </si>
  <si>
    <t>5jJzmEY8ko0</t>
  </si>
  <si>
    <t>9q6BiA9TRrqtwz8FAhWdHw</t>
  </si>
  <si>
    <t>INSP FUGAS AGUA</t>
  </si>
  <si>
    <t>mHT-7ZT8VfQ</t>
  </si>
  <si>
    <t>2WAyRN-2RZaNjIRFgaj-Qg</t>
  </si>
  <si>
    <t>ET1O13y1w-Y</t>
  </si>
  <si>
    <t>lhrzrXCuR.-mRsjxL.FsQg</t>
  </si>
  <si>
    <t>8yiDCVvoaYw</t>
  </si>
  <si>
    <t>DKr9A-V8RuW7I-t4wu089A</t>
  </si>
  <si>
    <t>FUNC. BOMBA DOSIFICACION</t>
  </si>
  <si>
    <t>-kD8qWQehCM</t>
  </si>
  <si>
    <t>a.OeF33GcQxeza2.rFww18A</t>
  </si>
  <si>
    <t>FUNCIONAMIENTO Y ESTADO DE TRANSPORTADORES</t>
  </si>
  <si>
    <t>A-9juAMbq5M</t>
  </si>
  <si>
    <t>a.x9X-25YSDmfyS41Gy1BmQ</t>
  </si>
  <si>
    <t>INS. FUNC TOLVA Y CANALETA DE SUMINISTRO</t>
  </si>
  <si>
    <t>9HzoE8x-VG4</t>
  </si>
  <si>
    <t>RH3ueomsQVSrP9mFPOFJkQ</t>
  </si>
  <si>
    <t>INS. FUNC SISTEMA VIBRACION</t>
  </si>
  <si>
    <t>4Kvhu79nVbc</t>
  </si>
  <si>
    <t>M.r2BqTqQQ6zIE1zeiH8xA</t>
  </si>
  <si>
    <t>INS SIST NEUMATICO(CILINDRO,UNIDAD MTTO)</t>
  </si>
  <si>
    <t>_4PDFZIUsEE</t>
  </si>
  <si>
    <t>ijIpdMCfRmSBNuc5tX2cUg</t>
  </si>
  <si>
    <t>INS. FUNC MOTORREDUCTOR</t>
  </si>
  <si>
    <t>q2FwTMzby7Y</t>
  </si>
  <si>
    <t>f-PvGyghQB2yZc0emE.Fkw</t>
  </si>
  <si>
    <t>INS. FUNCIONAMIENTO Y ESTADO DE BANDA INVERTIDA</t>
  </si>
  <si>
    <t>8r9f47s-Xxc</t>
  </si>
  <si>
    <t>cNbM-rHkR0KE7c.wlKcN0Q</t>
  </si>
  <si>
    <t>LLENADORA DE GARRAFAS</t>
  </si>
  <si>
    <t>INSPECCION SEMANAL LLENADORA DE GARRAFAS</t>
  </si>
  <si>
    <t>INSP. FRENO ENTRADA GARRAFA</t>
  </si>
  <si>
    <t>7i2CZrsn7ZE</t>
  </si>
  <si>
    <t>Mw7.affZTxW4qje55gekBA</t>
  </si>
  <si>
    <t>sqn4XA5SYiU</t>
  </si>
  <si>
    <t>mDrt7.LXSWm2RLShfSzEWg</t>
  </si>
  <si>
    <t>INSP. FUNCIONAMIENTO TABLERO ELECTRICO.</t>
  </si>
  <si>
    <t>Zk1GZtCXOK0</t>
  </si>
  <si>
    <t>KbTLo0KySYmZ-OjSxpXHQg</t>
  </si>
  <si>
    <t>INS. FUNC MECANISMO</t>
  </si>
  <si>
    <t>XPDl4LdPRqQ</t>
  </si>
  <si>
    <t>MIGXpZoGSTGDuhVxZ89srA</t>
  </si>
  <si>
    <t>INS. ESTADO MOTORES</t>
  </si>
  <si>
    <t>xChByW6GyqY</t>
  </si>
  <si>
    <t>zL6tcPuFTZqq5WO17z.U6Q</t>
  </si>
  <si>
    <t>INS. ESTADO DE VALVULAS LLENADO</t>
  </si>
  <si>
    <t>h7cUmaNT848</t>
  </si>
  <si>
    <t>uKxM7awVSHKnbVKq.gaSlQ</t>
  </si>
  <si>
    <t>TbS0c9EYWpI</t>
  </si>
  <si>
    <t>Sh3mtdPdQ76XgwA-YwzXOQ</t>
  </si>
  <si>
    <t>INSP.FUNC SISTEMA NEUMATICO(CILINDROS)</t>
  </si>
  <si>
    <t>Kr6xsuDkffw</t>
  </si>
  <si>
    <t>32cxjgMKQ6GqChY4Pv.xRQ</t>
  </si>
  <si>
    <t>Insp. Estado de cadena motor taponadora</t>
  </si>
  <si>
    <t>iKB-kXGyVqI</t>
  </si>
  <si>
    <t>rSONjeVGRoqFLcwP4S2EEg</t>
  </si>
  <si>
    <t>Insp.funcionamiento motor taponadora</t>
  </si>
  <si>
    <t>jIbdPfPN5WI</t>
  </si>
  <si>
    <t>LUirbK4gS3Cr0CkVmMDtkA</t>
  </si>
  <si>
    <t>Insp. Funcionamiento y estado de cadenas table top taponadora</t>
  </si>
  <si>
    <t>3Pt8BLlsmI4</t>
  </si>
  <si>
    <t>C.xELzohRu2Qk2rHiE7a.w</t>
  </si>
  <si>
    <t>Insp. Funcionamiento y estado de roscadores taponadora</t>
  </si>
  <si>
    <t>YAXugKGZ330</t>
  </si>
  <si>
    <t>HatoIDFGROSX1sU5sKfgFw</t>
  </si>
  <si>
    <t>Insp. Funcionamiento y estado de tolva de tapa taponadora</t>
  </si>
  <si>
    <t>FIhO-HZH2-Q</t>
  </si>
  <si>
    <t>m7z-.67USQCQKcsnts3mag</t>
  </si>
  <si>
    <t>CAPSULADORA</t>
  </si>
  <si>
    <t>INSPECCION SEMANAL Mecanico CAPSULADORA</t>
  </si>
  <si>
    <t>tnjLnULC-6w</t>
  </si>
  <si>
    <t>q4Wy-lezTxOEqavRBs-z5g</t>
  </si>
  <si>
    <t>N00fZoBuHcY</t>
  </si>
  <si>
    <t>nHTF3VNOSpqpDoyHoZFJUA</t>
  </si>
  <si>
    <t>3nnqsr9r_C4</t>
  </si>
  <si>
    <t>cKPSkLp6SLGW2dnkPruDAg</t>
  </si>
  <si>
    <t>ecqDC50qA18</t>
  </si>
  <si>
    <t>8LKuDg90Ra-3jSruHtJVBg</t>
  </si>
  <si>
    <t>Estado de mandril enroscador</t>
  </si>
  <si>
    <t>kLe9nn6-7JQ</t>
  </si>
  <si>
    <t>nCoQzD71Sd6intYhqoNwQQ</t>
  </si>
  <si>
    <t>kT2I8tPajTc</t>
  </si>
  <si>
    <t>a.0b5LyNLRay1-KJAO8BozQ</t>
  </si>
  <si>
    <t>0A1DXMnd6gg</t>
  </si>
  <si>
    <t>oK8q0hzYQlmpJZYmJnmK7g</t>
  </si>
  <si>
    <t>qnmIgdh3pgk</t>
  </si>
  <si>
    <t>6SelYVBaRB2mZPa0jd1Vqw</t>
  </si>
  <si>
    <t>fE_z99GgB7Y</t>
  </si>
  <si>
    <t>2vdDCVRdTryf9YHH6zfVGA</t>
  </si>
  <si>
    <t>tofGl6Bjlng</t>
  </si>
  <si>
    <t>vh7e9GmaTX6IldXKCsgMpQ</t>
  </si>
  <si>
    <t>lJgTUZAaJ48</t>
  </si>
  <si>
    <t>Ue-6OrLZSnqui8jmv1aSGw</t>
  </si>
  <si>
    <t>Estado de la tolva y carrilera de tapas</t>
  </si>
  <si>
    <t>4Bn85HjbtgQ</t>
  </si>
  <si>
    <t>oxSrbXTET5ykifjor4ZAGg</t>
  </si>
  <si>
    <t>dTEwmkVsedA</t>
  </si>
  <si>
    <t>tLpkdQFYQuuSEOPHH7nqrw</t>
  </si>
  <si>
    <t>gneNpLEt5Gs</t>
  </si>
  <si>
    <t>NFHx49e1QzOst5takvhHxw</t>
  </si>
  <si>
    <t>pdOQn_japNA</t>
  </si>
  <si>
    <t>Ph9xCTpLSUCKHdL9nZh-2w</t>
  </si>
  <si>
    <t>iu7jSTs-94U</t>
  </si>
  <si>
    <t>MDSN3Ay2RVqYr8qAwPCaBw</t>
  </si>
  <si>
    <t>HlB7P-6Nhr0</t>
  </si>
  <si>
    <t>wSU1NGWlQm6DaZtDKtfVbA</t>
  </si>
  <si>
    <t>Estado de banda transportadora de tapas</t>
  </si>
  <si>
    <t>77OpvHH5C60</t>
  </si>
  <si>
    <t>VVNCt1tYS4GMv4Lt8jfDoQ</t>
  </si>
  <si>
    <t>mvfapFt09QI</t>
  </si>
  <si>
    <t>IblrDw1NQQWIxuq63ttKdg</t>
  </si>
  <si>
    <t>PALETIZADORA MODUPAL 2A</t>
  </si>
  <si>
    <t>INSPECCION SEMANAL MODUPAL 2A</t>
  </si>
  <si>
    <t>ESTADO CADENAS TORNILLERIA</t>
  </si>
  <si>
    <t>f2ByRIQbB0U</t>
  </si>
  <si>
    <t>9S.fpWdqSpy4xzTSMtTinQ</t>
  </si>
  <si>
    <t>7BH6OftyllE</t>
  </si>
  <si>
    <t>XAexq0FMRAmZHKpdRsDjcg</t>
  </si>
  <si>
    <t>ues9qk6KgoY</t>
  </si>
  <si>
    <t>TUVSf0huRQeVdEqnYcTzCw</t>
  </si>
  <si>
    <t>ESTADO GUIAS LATERALES</t>
  </si>
  <si>
    <t>Guía lateral de mesa giratoria de entrada de estibas se encuentra reventada</t>
  </si>
  <si>
    <t>XXJrQracCqk</t>
  </si>
  <si>
    <t>bW.RGZZ-SSKmCTEJEsEPlg</t>
  </si>
  <si>
    <t>https://storage.googleapis.com/glide-prod.appspot.com/uploads-v2/ly7o78grxPaC6KdgvbpS/pub/uGFlPaK2qA02O5PVn4Nj.jpg</t>
  </si>
  <si>
    <t>INSP. UNIDAD MATTO</t>
  </si>
  <si>
    <t>-mNV3yydaBE</t>
  </si>
  <si>
    <t>w.qeiCv9TEWdQ.kHqwBLdg</t>
  </si>
  <si>
    <t>WDcA_2xXliQ</t>
  </si>
  <si>
    <t>dGSBBPbNToi.S-6NSsJzIA</t>
  </si>
  <si>
    <t>Guarda polvo de lubricación módulo 2 brazo se encuentra en mal estado</t>
  </si>
  <si>
    <t>hRutbRddmTg</t>
  </si>
  <si>
    <t>VzBbWYXZRUWDafarEvunkQ</t>
  </si>
  <si>
    <t>https://storage.googleapis.com/glide-prod.appspot.com/uploads-v2/ly7o78grxPaC6KdgvbpS/pub/ZAxjGq9oKqasddp2Mh1O.jpg</t>
  </si>
  <si>
    <t>FUNC BRAZO ROBOBOX</t>
  </si>
  <si>
    <t>TLadoEBe2Ew</t>
  </si>
  <si>
    <t>Iotswb-AQyuxG4xNNY0TZw</t>
  </si>
  <si>
    <t>ESTADO RODAMIENTOS, CORREA MODUPAL</t>
  </si>
  <si>
    <t>8zgf1hLU2N8</t>
  </si>
  <si>
    <t>tIyu53TkTaWZGLnxt1u4AQ</t>
  </si>
  <si>
    <t>ESTADO CARRO ELEVADOR</t>
  </si>
  <si>
    <t>NFSAW3WGZSg</t>
  </si>
  <si>
    <t>sfBnCCMcQr2QajZDanf4NQ</t>
  </si>
  <si>
    <t>ESTADO DE SENSORES</t>
  </si>
  <si>
    <t>1aTG2_UaP0k</t>
  </si>
  <si>
    <t>8WDjvIWOS3OAeUscvxYniA</t>
  </si>
  <si>
    <t>bSciX4H8f5Q</t>
  </si>
  <si>
    <t>eTeWGcSoRdqSZJNFp9Icew</t>
  </si>
  <si>
    <t>FUNC SERVOMOTOR</t>
  </si>
  <si>
    <t>VoBkgGvjxhU</t>
  </si>
  <si>
    <t>HnUEr2orSBOzOlh9A3g2kQ</t>
  </si>
  <si>
    <t>PALETIZADORA</t>
  </si>
  <si>
    <t>INSPECCION SEMANAL PALETIZADORA</t>
  </si>
  <si>
    <t>Astaiza Hernandez John Eyder</t>
  </si>
  <si>
    <t>KgJb-3DGZd0</t>
  </si>
  <si>
    <t>y5iB.QxxTQGdGY-40aiYeA</t>
  </si>
  <si>
    <t>INSP NIVEL ACEITE RECIPIENTE TENSOR CADENA</t>
  </si>
  <si>
    <t>V3aZC3orZdQ</t>
  </si>
  <si>
    <t>S9sJzhIsR4qTmaimMWEDbw</t>
  </si>
  <si>
    <t>ESTADO CARRO CARGADOR</t>
  </si>
  <si>
    <t>hOSI5Ksxogw</t>
  </si>
  <si>
    <t>JXt603LUQ4ev.B7-zxNBig</t>
  </si>
  <si>
    <t>INSP LEVAS EMPUJADOR FILAS</t>
  </si>
  <si>
    <t>THc8ARt4E74</t>
  </si>
  <si>
    <t>hDsK9XkTTI6pAuQzN5C1Ug</t>
  </si>
  <si>
    <t>INSP RODILLOS APOYO MECANISMO ELEVADOR</t>
  </si>
  <si>
    <t>v49kaSgeLqk</t>
  </si>
  <si>
    <t>ItIVWBj5QTGr2qzakXYzgA</t>
  </si>
  <si>
    <t>NIl1Ia7b_TQ</t>
  </si>
  <si>
    <t>5WUJcyODT2uXDm7CXRIJJg</t>
  </si>
  <si>
    <t>wZfLeILYA9M</t>
  </si>
  <si>
    <t>Ns1cm-jgQlalv4qcz0zXnA</t>
  </si>
  <si>
    <t>MBgtIECTQuw</t>
  </si>
  <si>
    <t>c-6ombrYTbq7-fcQD0quWQ</t>
  </si>
  <si>
    <t>ESTADO BARRERAS LUZ,INTERR PUERTA</t>
  </si>
  <si>
    <t>_fw2IS1gi_I</t>
  </si>
  <si>
    <t>rqtjfVaLQh2QVEWGH39zrw</t>
  </si>
  <si>
    <t>ESTADO PULSADOR,LAMPARAS SEÑALES</t>
  </si>
  <si>
    <t>1wE3w2VC8p0</t>
  </si>
  <si>
    <t>W7rZ-2qlSNC-Rt8OZ.tgEg</t>
  </si>
  <si>
    <t>INSP FILTRO AIRE ARMARIO</t>
  </si>
  <si>
    <t>pVupmBUDN54</t>
  </si>
  <si>
    <t>lT7jhwAZR5C0HolYMGQETA</t>
  </si>
  <si>
    <t>7IU7qmRB4wg</t>
  </si>
  <si>
    <t>mgJLmE1EQEOke0OnxuFUYA</t>
  </si>
  <si>
    <t>FUNC CILINDROS NEUMATICOS</t>
  </si>
  <si>
    <t>qn8Lo_-5L-k</t>
  </si>
  <si>
    <t>xLkiLqQqSjObIRNocZJEOw</t>
  </si>
  <si>
    <t>FUNC TRANSPORTADOR MULTIDIVISOR</t>
  </si>
  <si>
    <t>3Q1wGMu8f4o</t>
  </si>
  <si>
    <t>zS5bSCq-TFWpgQTl3wV7SA</t>
  </si>
  <si>
    <t>TENSION CADENA MULTIDIVISOR</t>
  </si>
  <si>
    <t>-tL8Y--317M</t>
  </si>
  <si>
    <t>azBpWhhUSr67iysKuyZVOA</t>
  </si>
  <si>
    <t>FUNC CILINDROS NEUMATICOS MULTIDIVISOR</t>
  </si>
  <si>
    <t>aEHAw8g55sk</t>
  </si>
  <si>
    <t>EEZFJMcKRRuE2RUp-RNp5Q</t>
  </si>
  <si>
    <t>TABLERO CONTROL TRANSPORTE MULTIDIVISOR</t>
  </si>
  <si>
    <t>bmfxHg6g7vk</t>
  </si>
  <si>
    <t>EilF-mYlSLKZkU8rApdkgQ</t>
  </si>
  <si>
    <t>ESTADO DE EXTERNOS GIRATORIOS</t>
  </si>
  <si>
    <t>8g21ggGG_3Y</t>
  </si>
  <si>
    <t>gfzzCPEFRuigCY.B5.hKUg</t>
  </si>
  <si>
    <t>ESTADO DE BANDA VÍAS 1 Y 2 PRE AGRUPACIÓN</t>
  </si>
  <si>
    <t>WuLWQJ2ucfM</t>
  </si>
  <si>
    <t>F0zOcwYkRM-OyymJqfDK1g</t>
  </si>
  <si>
    <t>ESTADO DE RODILLOS VÍA 1 Y VÍA 2</t>
  </si>
  <si>
    <t>TX5nSPJyI3Y</t>
  </si>
  <si>
    <t>5oqiODSZTX25MMUKpy3gjA</t>
  </si>
  <si>
    <t>ESTADO DE SEPARADORES DE PAQUETES</t>
  </si>
  <si>
    <t>mnKBydjcrSM</t>
  </si>
  <si>
    <t>tsi6a.5mRemlfjeYhIMFgA</t>
  </si>
  <si>
    <t>INSPECCIÓN LUBRICACIÓN MULTIDIVISOR</t>
  </si>
  <si>
    <t>MQ5S9jBETG8</t>
  </si>
  <si>
    <t>6xcTMBUtQIefDFKAP.mBLg</t>
  </si>
  <si>
    <t>ESTADO ARAÑA SEPARADOR DE CARTÓN</t>
  </si>
  <si>
    <t>4rEK-N_Y6BA</t>
  </si>
  <si>
    <t>1BbRuPKqTIaokh7mpIO6oA</t>
  </si>
  <si>
    <t>ESTADO DE MANGUERAS NEUMÁTICAS</t>
  </si>
  <si>
    <t>Bp_anC-elCo</t>
  </si>
  <si>
    <t>4RLvAqx8T9qSS.0eOU66pg</t>
  </si>
  <si>
    <t>ESTADO DE PIÑONES-CHUMACERAS</t>
  </si>
  <si>
    <t>ZHvpGCP6da4</t>
  </si>
  <si>
    <t>cGRcQqGnRk-dtdxFbKRomQ</t>
  </si>
  <si>
    <t>ESTADO DE SENSORES.</t>
  </si>
  <si>
    <t>kpkV659JglM</t>
  </si>
  <si>
    <t>gQoytXsfS3W7UIpvqex3mg</t>
  </si>
  <si>
    <t>INSP BARRERAS LUZ,REFLETORES COLOCADOR CAPAS</t>
  </si>
  <si>
    <t>iNtzxhqvQ_g</t>
  </si>
  <si>
    <t>lb2NRsAETN2VWLP3uFvAQA</t>
  </si>
  <si>
    <t>ESTADO SENSORES COLOCADOR CAPAS</t>
  </si>
  <si>
    <t>jezONwYoQ_4</t>
  </si>
  <si>
    <t>8BB4bUCuQ9GPKEg4jTjR1g</t>
  </si>
  <si>
    <t>INSP FILTRO AIRE MARCO ASPIRACION COLOCADOR CAPAS</t>
  </si>
  <si>
    <t>yofGgIy35mw</t>
  </si>
  <si>
    <t>aZQkYwmjQumissub4MaPYA</t>
  </si>
  <si>
    <t>INSP FILTRO AIRE TABLERO ELECTRICO COLOCADOR CAPAS</t>
  </si>
  <si>
    <t>kAqHMUh0Lk8</t>
  </si>
  <si>
    <t>lsCvaZ0eTDuKUughBK7YDw</t>
  </si>
  <si>
    <t>INSP SILENCIADOR VALVULA ASPIRACION COLOCADOR CAPAS</t>
  </si>
  <si>
    <t>Jr5xFcxPe_A</t>
  </si>
  <si>
    <t>gD7QJeZvSTm1Z5hXa5ZLIw</t>
  </si>
  <si>
    <t>INSP INTERCAMBIADOR Y REJILLA AIRE COLOCADOR CAPAS</t>
  </si>
  <si>
    <t>Wbdvdd4wNsI</t>
  </si>
  <si>
    <t>1GwTBULKRsyzShVMAsZEbg</t>
  </si>
  <si>
    <t>ESTADO-TENSION CORREAS Y CADENAS COLOCADOR CAPAS</t>
  </si>
  <si>
    <t>g1T23aRnRIQ</t>
  </si>
  <si>
    <t>3iuxo8-kSaeohf6j1ITjxg</t>
  </si>
  <si>
    <t>FUNC FRENOS SERVOMOTOR COLOCADOR CAPAS</t>
  </si>
  <si>
    <t>NAD52oqNb64</t>
  </si>
  <si>
    <t>L6rIuhXuS6OqnoBzXGyZbw</t>
  </si>
  <si>
    <t>FUNC UNIDAD EYECTOR MARCO ASPIRACION COLOCADOR CAPAS</t>
  </si>
  <si>
    <t>t1jQftnMkEg</t>
  </si>
  <si>
    <t>TVH9Bli9QLuukgS04GFLaA</t>
  </si>
  <si>
    <t>ESTADO CARRO GUIA COLOCADOR CAPAS</t>
  </si>
  <si>
    <t>Guía izquierda mesa de agrupación presenta roldanas malas.</t>
  </si>
  <si>
    <t>jgbCNolQ4Yc</t>
  </si>
  <si>
    <t>sLpokV-MSEu7.TCZ29Ywcg</t>
  </si>
  <si>
    <t>https://storage.googleapis.com/glide-prod.appspot.com/uploads-v2/ly7o78grxPaC6KdgvbpS/pub/zG7sasJ6lEj8PlqyK91B.jpg</t>
  </si>
  <si>
    <t>INSPECCION SEMANAL PALETIZADORA MODUPAL</t>
  </si>
  <si>
    <t>ZjceaS2uWtQ</t>
  </si>
  <si>
    <t>1u73grvdRgao6Btx83cbeQ</t>
  </si>
  <si>
    <t>Q7Z9k38eUZg</t>
  </si>
  <si>
    <t>Fd3mhcOSQvScv-ZCZnhSnw</t>
  </si>
  <si>
    <t>Lpf6Qj-lhtk</t>
  </si>
  <si>
    <t>sUOTDOSlTu2k2782O9zmvg</t>
  </si>
  <si>
    <t>9nPm6wh-Ht0</t>
  </si>
  <si>
    <t>qL.B7OZKTYyCVg23aX4fGA</t>
  </si>
  <si>
    <t>dXVKBIsK_Wg</t>
  </si>
  <si>
    <t>mdHuG2W7QBi8iUtWjT0rvg</t>
  </si>
  <si>
    <t>p4iM4A7v4CE</t>
  </si>
  <si>
    <t>VkyW5S9GQd-WrWp3Kw56gA</t>
  </si>
  <si>
    <t>Y4NcxpL09-M</t>
  </si>
  <si>
    <t>BcFhuCySTzGR0-EdPKKNpQ</t>
  </si>
  <si>
    <t>_8oPmjFnd80</t>
  </si>
  <si>
    <t>KOVNs0lGST2ijWQ7.EUQUg</t>
  </si>
  <si>
    <t>EfuHfLmkKRk</t>
  </si>
  <si>
    <t>HnfJ7yokS6O2DRXsfb7P.g</t>
  </si>
  <si>
    <t>AntB9ZocCaM</t>
  </si>
  <si>
    <t>68rX9DgvRFiNnjE.eTI7uw</t>
  </si>
  <si>
    <t>5ugv8a4LKzA</t>
  </si>
  <si>
    <t>zFF66QDHQtyvk0t48dCK0Q</t>
  </si>
  <si>
    <t>QkJ-sTlF_4s</t>
  </si>
  <si>
    <t>aRrmEKoCQy2TlUlzx-UjSA</t>
  </si>
  <si>
    <t>snipI_oYjn0</t>
  </si>
  <si>
    <t>pBJKvZ7hQVqMSJOs0S35yw</t>
  </si>
  <si>
    <t>gvIrfa6ZGF0</t>
  </si>
  <si>
    <t>EUDPVG4aT2Kwn6rehweLog</t>
  </si>
  <si>
    <t>k5n-r3G3fmo</t>
  </si>
  <si>
    <t>D5WEx06hQ-WWgY0MzEK2pA</t>
  </si>
  <si>
    <t>HrJNkMWjP1g</t>
  </si>
  <si>
    <t>plWx8XHMRMy7owkSzSfXZA</t>
  </si>
  <si>
    <t>2rJlXTHaMo8</t>
  </si>
  <si>
    <t>a-LG7exMJTWGcCRCUoS4UuA</t>
  </si>
  <si>
    <t>INSP SILENCIADOR VALVULA ASPIRACIO COLOCADOR CAPAS</t>
  </si>
  <si>
    <t>j_WdgblXUtg</t>
  </si>
  <si>
    <t>6dN5oHdKSEeJKhXO-izIqw</t>
  </si>
  <si>
    <t>2oyhyZWnnDs</t>
  </si>
  <si>
    <t>vv9bLRSFRn2.R-goxmxp.Q</t>
  </si>
  <si>
    <t>9fh5--J93wc</t>
  </si>
  <si>
    <t>MpE50Lk7S9ORSWIlkXUSKg</t>
  </si>
  <si>
    <t>MO9ruwDxXVo</t>
  </si>
  <si>
    <t>oXLEJVt1SE-Z.pqosjAtpA</t>
  </si>
  <si>
    <t>zl_8kr24s3c</t>
  </si>
  <si>
    <t>3CAbUo.NTrua-cOE2AZrFg</t>
  </si>
  <si>
    <t>Eje de la persiana X se encuentra golpeado</t>
  </si>
  <si>
    <t>hmrBmZdkNck</t>
  </si>
  <si>
    <t>1b7iOmGCRamktu1lhsr.Gg</t>
  </si>
  <si>
    <t>https://storage.googleapis.com/glide-prod.appspot.com/uploads-v2/ly7o78grxPaC6KdgvbpS/pub/UYbwmxIqyWmf8QodRb7b.jpg</t>
  </si>
  <si>
    <t>PASTEURIZADOR</t>
  </si>
  <si>
    <t>INSPECCION SEMANAL PASTEURIZADOR</t>
  </si>
  <si>
    <t>INSPECCION FUGAS TUBERIA</t>
  </si>
  <si>
    <t>ozePqYiWi1Y</t>
  </si>
  <si>
    <t>d1IiD4ybRpycSrKCTM4Q3A</t>
  </si>
  <si>
    <t>4NgZSDAh7-A</t>
  </si>
  <si>
    <t>JekL.7H8SzuwQoj85XER1w</t>
  </si>
  <si>
    <t>ESTADO EMPAQUES TANQUE</t>
  </si>
  <si>
    <t>g3gZDMRBf_4</t>
  </si>
  <si>
    <t>xT3n51uZRLmzQSU7q0D2ig</t>
  </si>
  <si>
    <t>REVISION FUNCIONAMIENTO INTERCAMBIADORES VAPOR</t>
  </si>
  <si>
    <t>QKF6E-FGN7A</t>
  </si>
  <si>
    <t>ztg4s3SmQ0m6tboiOZckwA</t>
  </si>
  <si>
    <t>ESTADO INTERCAMBIADOR TUBULAR</t>
  </si>
  <si>
    <t>edilfJizpio</t>
  </si>
  <si>
    <t>V8oqtxAjRaCfD3ZW3awSlQ</t>
  </si>
  <si>
    <t>ESTADO VALVULAS VAPOR ENTRADA</t>
  </si>
  <si>
    <t>J11jJc8_MyM</t>
  </si>
  <si>
    <t>aixoX5K7QWG5MCjJAEBMfw</t>
  </si>
  <si>
    <t>ESTADO TRAMPA CONDENSADO</t>
  </si>
  <si>
    <t>_ilj_pCGVC8</t>
  </si>
  <si>
    <t>7vjhoSi8R2mRF.BAmjK5sg</t>
  </si>
  <si>
    <t>6yAdP9Y2E2g</t>
  </si>
  <si>
    <t>WsSyV6D5Qu-jKZ2CbXjykg</t>
  </si>
  <si>
    <t>FUNCIONAMIENTO UPS</t>
  </si>
  <si>
    <t>OcerG4ymSFc</t>
  </si>
  <si>
    <t>IPX2JhDqRMmcFkJGr4p2BA</t>
  </si>
  <si>
    <t>ESTADO SENSORES Y CABLEADO</t>
  </si>
  <si>
    <t>0CrCXeIYIPo</t>
  </si>
  <si>
    <t>WX0V0JF3RrmdNnFIYfhFTA</t>
  </si>
  <si>
    <t>PLANTA ELECTRICA Nº 3</t>
  </si>
  <si>
    <t>INSPECCION SEMANAL PLANTA ELECTRICA</t>
  </si>
  <si>
    <t>INSP FILTRO TRAMPA</t>
  </si>
  <si>
    <t>JEFFERSON BRAVO PIEDRAHITA</t>
  </si>
  <si>
    <t>gcGVMsHUVoA</t>
  </si>
  <si>
    <t>Sd.EJrg-RD-ST7j6zuPs.g</t>
  </si>
  <si>
    <t>INSP NIVEL ACEITE MOTOR</t>
  </si>
  <si>
    <t>KDsdRW6GoKM</t>
  </si>
  <si>
    <t>IPIa.bZtT-COt9Pf-lp3VA</t>
  </si>
  <si>
    <t>INSP. NIVEL REFRIGERANTE</t>
  </si>
  <si>
    <t>PiM0PwW6D4k</t>
  </si>
  <si>
    <t>Zh2r7k7HT-u9YqV8tLsp9Q</t>
  </si>
  <si>
    <t>INSP NIVEL COMBUSTIBLE</t>
  </si>
  <si>
    <t>VFyWeb0tw5c</t>
  </si>
  <si>
    <t>qMa-a5AlTE2vKegdRHKo1Q</t>
  </si>
  <si>
    <t>INSP. FUSIBLES CONTROLES Y ALTERNADOR</t>
  </si>
  <si>
    <t>oTQwm5lJN3s</t>
  </si>
  <si>
    <t>k4gV59FnRYyZPYueC9GEGg</t>
  </si>
  <si>
    <t>INSP BATERIAS(ESTADO,CARGA)</t>
  </si>
  <si>
    <t>bmMwFOtQu6Q</t>
  </si>
  <si>
    <t>ELY-pji1SD-q3CiDEVS9Rw</t>
  </si>
  <si>
    <t>INSP FILTRO AIRE</t>
  </si>
  <si>
    <t>JJYMXxxPXBE</t>
  </si>
  <si>
    <t>dFNFDaXBQVOZdj1GWsrD4Q</t>
  </si>
  <si>
    <t>INSP LUGAR DESPEJADO (LIMPIO)</t>
  </si>
  <si>
    <t>Nu5l5Sd6eAU</t>
  </si>
  <si>
    <t>XC04zVq3TNeWWnkT6THVkg</t>
  </si>
  <si>
    <t>yO9lJN87v4Q</t>
  </si>
  <si>
    <t>yXIx3rZfQqGsuuwXArnC5g</t>
  </si>
  <si>
    <t>INSP CORREAS</t>
  </si>
  <si>
    <t>taN278evK64</t>
  </si>
  <si>
    <t>VAm5wbDzTqieCzTHIKwDCA</t>
  </si>
  <si>
    <t>evNZkh07ybU</t>
  </si>
  <si>
    <t>23Vr4h44Ta2zBxCW.lsloQ</t>
  </si>
  <si>
    <t>INSP TABLERO MONITOR(PRESION FILTRO COMBUSTIBLE/ACEITE,AIRE ADMISION)</t>
  </si>
  <si>
    <t>EN556CXI3Wk</t>
  </si>
  <si>
    <t>RJtpJd4uT3CB6i7m892ngA</t>
  </si>
  <si>
    <t>INSP TEMP DEVANADO GENERADOR</t>
  </si>
  <si>
    <t>Hsz-ehggzm0</t>
  </si>
  <si>
    <t>IyRz79r.Q2WupgM44nKXJg</t>
  </si>
  <si>
    <t>INSP CALENTADOR CAMISAS</t>
  </si>
  <si>
    <t>hLOQV-COP_8</t>
  </si>
  <si>
    <t>zNAdteZkQbm3SMI7xyxJ7A</t>
  </si>
  <si>
    <t>INS VOLTAJE,FRECUENCIA</t>
  </si>
  <si>
    <t>ka1cOm8Ji-k</t>
  </si>
  <si>
    <t>v4umvdAFRieL4o1kH6W.hA</t>
  </si>
  <si>
    <t>COMPROBAR CONEXIONES MOTOR</t>
  </si>
  <si>
    <t>zIIUw7GXylw</t>
  </si>
  <si>
    <t>pNzxusDaSomAA2CwercRZA</t>
  </si>
  <si>
    <t>INSP GENERADOR</t>
  </si>
  <si>
    <t>x99sf7vW8k0</t>
  </si>
  <si>
    <t>Ys3V9aRuStCr3Fv9NcnEHQ</t>
  </si>
  <si>
    <t>INSP ALARMAS-FALLAS CONTROL</t>
  </si>
  <si>
    <t>ZS8nGjbu9sw</t>
  </si>
  <si>
    <t>04.Lu0mjRUKuemqMn-vIig</t>
  </si>
  <si>
    <t>F6AM9O4aorA</t>
  </si>
  <si>
    <t>jWCQ0NleRWewJiFa2fbRcQ</t>
  </si>
  <si>
    <t>PLANTA ELECTRICA</t>
  </si>
  <si>
    <t>VeOrbRLSc6M</t>
  </si>
  <si>
    <t>Y9hfgtocSiK.kjHK4Uq1pA</t>
  </si>
  <si>
    <t>SDuTHVUQwO4</t>
  </si>
  <si>
    <t>c-hEwjI3Slim15gR8hAO2A</t>
  </si>
  <si>
    <t>upjQ5WWejH0</t>
  </si>
  <si>
    <t>9T3H9pYoQxSSk.-W3STTFw</t>
  </si>
  <si>
    <t>TvnqhueGMJI</t>
  </si>
  <si>
    <t>BJ9Msw.CQ3qSzEHBBVVkeA</t>
  </si>
  <si>
    <t>8UKTclWoAQk</t>
  </si>
  <si>
    <t>4nFHRnyRSue0.q4WKNVvgA</t>
  </si>
  <si>
    <t>8G2jDDtJ3sA</t>
  </si>
  <si>
    <t>UzGyVZ93Qf2HQE5ilkof2g</t>
  </si>
  <si>
    <t>AwmC3m7tFfE</t>
  </si>
  <si>
    <t>FYUPw8zjSyyCHznPgSoFHw</t>
  </si>
  <si>
    <t>7rlP2A7_BlE</t>
  </si>
  <si>
    <t>PcCPq.DfRnaTzWbO9trrYw</t>
  </si>
  <si>
    <t>0EwdSDssSS0</t>
  </si>
  <si>
    <t>7Wbx7OycQfWMj8r65PS9nA</t>
  </si>
  <si>
    <t>XvW22XZr2ag</t>
  </si>
  <si>
    <t>I3vYDTgHR6Kj--cky-Wa.w</t>
  </si>
  <si>
    <t>ZNa3lqRcYfw</t>
  </si>
  <si>
    <t>bwS1Ccv3QFuv7zEIj2JQ2Q</t>
  </si>
  <si>
    <t>9DLlRY4epmE</t>
  </si>
  <si>
    <t>f6Nj5nH5TdaMFpyCkvAIJw</t>
  </si>
  <si>
    <t>s-o30lIABgI</t>
  </si>
  <si>
    <t>jNfo14b5QXek5d6Wue0QUg</t>
  </si>
  <si>
    <t>gubTusQ728c</t>
  </si>
  <si>
    <t>gFOpPLd5SnOGGTsiYA0Fvw</t>
  </si>
  <si>
    <t>bjOjod4Dfew</t>
  </si>
  <si>
    <t>Opp7eM4-TPSkon1eb7qkbA</t>
  </si>
  <si>
    <t>UFktttaoBJE</t>
  </si>
  <si>
    <t>Cs4NUxHKRVWNW9nFOzOisg</t>
  </si>
  <si>
    <t>RnXYrjLgGgA</t>
  </si>
  <si>
    <t>lCQgTa6bQ8KiGyPr2ulttg</t>
  </si>
  <si>
    <t>fREsF9vlHuc</t>
  </si>
  <si>
    <t>qBSmgAbCQYSzMGTbc-pNZg</t>
  </si>
  <si>
    <t>3Ay1ccBy86A</t>
  </si>
  <si>
    <t>k0il3N5wT5W2z8L6.a9J9A</t>
  </si>
  <si>
    <t>PLANTA ELECTRICA Nº 2</t>
  </si>
  <si>
    <t>PEBsD5WmxgU</t>
  </si>
  <si>
    <t>Rk1d4OnBTNuDqMbBFf53ig</t>
  </si>
  <si>
    <t>2O8rEhhVCks</t>
  </si>
  <si>
    <t>ZSOUgRaoRQOGbYHouI98LQ</t>
  </si>
  <si>
    <t>ldm-nWXmS7A</t>
  </si>
  <si>
    <t>TmW6YO5-TaWKkixUoThtZQ</t>
  </si>
  <si>
    <t>o6Iu_4CuRG0</t>
  </si>
  <si>
    <t>G7cJzA7ZTQmm.2aSpITq6Q</t>
  </si>
  <si>
    <t>K90jlcBAKVY</t>
  </si>
  <si>
    <t>0Q2Vzi9CT5mm4SQWs83slg</t>
  </si>
  <si>
    <t>B_rC16Hovvo</t>
  </si>
  <si>
    <t>48FoSgKQSRi2Zz3uIeOiLA</t>
  </si>
  <si>
    <t>Hg0qG5tXCCg</t>
  </si>
  <si>
    <t>Prdft6CzRKaPEaxafSvBLQ</t>
  </si>
  <si>
    <t>3F-nuTx5zWI</t>
  </si>
  <si>
    <t>zCUMhNkYQpesomsxm05VSw</t>
  </si>
  <si>
    <t>mPmegH_44Kw</t>
  </si>
  <si>
    <t>zkDoyQWLRWm9npBr0NrJ4g</t>
  </si>
  <si>
    <t>k_BBS2WZGPo</t>
  </si>
  <si>
    <t>WuzYiJuITd6b3nxh1C9hgQ</t>
  </si>
  <si>
    <t>-kXipaeTp8A</t>
  </si>
  <si>
    <t>84Wih.00ShyaAtGFbAQo4Q</t>
  </si>
  <si>
    <t>UTKcg90Td9M</t>
  </si>
  <si>
    <t>7hUNO80OR0CiA1-o3P3rTg</t>
  </si>
  <si>
    <t>07BsOAgvCDw</t>
  </si>
  <si>
    <t>9elBxEbOSVeGe83jCz6aCQ</t>
  </si>
  <si>
    <t>jAWzXwebKrA</t>
  </si>
  <si>
    <t>goFdQOKSTcKL2EZc.WT5DA</t>
  </si>
  <si>
    <t>sgu1dQCGkS0</t>
  </si>
  <si>
    <t>2b15iQxiSOuUV559Eo198g</t>
  </si>
  <si>
    <t>_wOyq2fd_Bc</t>
  </si>
  <si>
    <t>bw4-VYHKStese4dFN4hfjg</t>
  </si>
  <si>
    <t>DN45FG0WBM4</t>
  </si>
  <si>
    <t>3Be1jVbgRqiNoURJM7wkGQ</t>
  </si>
  <si>
    <t>SF5eTIACJgc</t>
  </si>
  <si>
    <t>r2IuEflpT9u6BlvH3XaEvg</t>
  </si>
  <si>
    <t>07s-gVOzJM0</t>
  </si>
  <si>
    <t>EKpgtmOxRc6rBB8O88ESTQ</t>
  </si>
  <si>
    <t>PRELAVADORA DE BOTELLONES</t>
  </si>
  <si>
    <t>INSPECCION SEMANAL PRELAVADORA DE BOTELL</t>
  </si>
  <si>
    <t>VERIFICAR PRESION PRELAVADO (20-30 psi)</t>
  </si>
  <si>
    <t>zAPvW7Euh78</t>
  </si>
  <si>
    <t>UkswIxyyS9WmHh3cuikjLQ</t>
  </si>
  <si>
    <t>INSP. POSICION BOQUILLAS</t>
  </si>
  <si>
    <t>Nqp-w8-vkko</t>
  </si>
  <si>
    <t>d3of2lAPSyKgnqqvgtOmew</t>
  </si>
  <si>
    <t>FUNC TRANSPORTADOR INTERNO</t>
  </si>
  <si>
    <t>ExTqPfn6_v0</t>
  </si>
  <si>
    <t>XRyFxPu4SB6.4GB6cfErIQ</t>
  </si>
  <si>
    <t>FUNCIONAMIENTO BOMBA</t>
  </si>
  <si>
    <t>evLxQz38CHU</t>
  </si>
  <si>
    <t>OBI6NwvYS0G.KmnliIt1Uw</t>
  </si>
  <si>
    <t>IOuuogK0Cek</t>
  </si>
  <si>
    <t>bmvpjIR7Sku5DYAbCCrBoA</t>
  </si>
  <si>
    <t>PROCESADOR DE BEBIDA</t>
  </si>
  <si>
    <t>INSPECCION SEMANAL PROCESADOR DE BEBIDA</t>
  </si>
  <si>
    <t>lX2yrPgFb94</t>
  </si>
  <si>
    <t>SxDy1p3uQb-7fsNPonpUvg</t>
  </si>
  <si>
    <t>WLDg87lHz9A</t>
  </si>
  <si>
    <t>LHU3vauESoSQ.09LeQLBMA</t>
  </si>
  <si>
    <t>8tjbj78RQH0</t>
  </si>
  <si>
    <t>zR3-g0dVSyqHXNjeyfHZ7Q</t>
  </si>
  <si>
    <t>ksJapcRSeCc</t>
  </si>
  <si>
    <t>kV23ScL-QNOLyffCuzuIFg</t>
  </si>
  <si>
    <t>Izfx_Bm1vag</t>
  </si>
  <si>
    <t>xer1radVRmaTu4N0eh0oAA</t>
  </si>
  <si>
    <t>7s5eMhJR9ec</t>
  </si>
  <si>
    <t>toHghAIhSDeZmTWE4GuQgg</t>
  </si>
  <si>
    <t>r59ZVWf6k3s</t>
  </si>
  <si>
    <t>ZXoAHgCnRGyoeOcxFyTymg</t>
  </si>
  <si>
    <t>UbTsTqruNhY</t>
  </si>
  <si>
    <t>qx4m2D1eQtS6pwSNkvCGUQ</t>
  </si>
  <si>
    <t>OAETr6hwGbQ</t>
  </si>
  <si>
    <t>aiG1h9y8Rve97AdrGJlPww</t>
  </si>
  <si>
    <t>Fugas (aire, agua, co2, jarabe)</t>
  </si>
  <si>
    <t>BHx_rtRULUs</t>
  </si>
  <si>
    <t>TN53p5cAQVepq2oGXmHDMQ</t>
  </si>
  <si>
    <t>Estado sistema de enfriamiento bomba vacio</t>
  </si>
  <si>
    <t>yTxhquAenAY</t>
  </si>
  <si>
    <t>EbRCPV3zREKgbY59X4BKAg</t>
  </si>
  <si>
    <t>Estado mangueras</t>
  </si>
  <si>
    <t>GI23y7ED978</t>
  </si>
  <si>
    <t>lIx5spA-RvmpYdW7h83OZw</t>
  </si>
  <si>
    <t>Estado de motobombas</t>
  </si>
  <si>
    <t>DrDt0EjmXcg</t>
  </si>
  <si>
    <t>ybDq4MLvRSi5J0hHm4YhSw</t>
  </si>
  <si>
    <t>-DTt3Y-3S3A</t>
  </si>
  <si>
    <t>3qFNI2AxQ.uUNtTwblTnEg</t>
  </si>
  <si>
    <t>V5j6wbPe-C8</t>
  </si>
  <si>
    <t>fDPR1pdNTeSaufuCEKquCw</t>
  </si>
  <si>
    <t>ahVSv4A5jEM</t>
  </si>
  <si>
    <t>a.KHubpG9SgCamHQeEomOgQ</t>
  </si>
  <si>
    <t>Estado de válvulas neumáticas (proporcionales, de compuerta, diafragma)</t>
  </si>
  <si>
    <t>6LUGStdCjfc</t>
  </si>
  <si>
    <t>qHnQGsz-Tm-8xBcIxSOnQQ</t>
  </si>
  <si>
    <t>XcR7rmYkNs4</t>
  </si>
  <si>
    <t>5Rj5-sbxQCCkmlj5u1dQsA</t>
  </si>
  <si>
    <t>Estado de tuberías, tanques y empaquetaduras</t>
  </si>
  <si>
    <t>UOpIFwWUOSc</t>
  </si>
  <si>
    <t>J6ztX6ZoT-yI.1dQP1X-zQ</t>
  </si>
  <si>
    <t>Estado pintura intercambiador de placas</t>
  </si>
  <si>
    <t>m6RD0icwNxE</t>
  </si>
  <si>
    <t>Y5cR3sP3Tcuks5oCoWn10w</t>
  </si>
  <si>
    <t>Estado sistema de refrigeración</t>
  </si>
  <si>
    <t>DfU2bJuCDto</t>
  </si>
  <si>
    <t>hEdDuY3SQGeEYKiH5IGD8Q</t>
  </si>
  <si>
    <t>i7SZhc9miws</t>
  </si>
  <si>
    <t>UirJRLTaS5eGxf9JHarXtQ</t>
  </si>
  <si>
    <t>CI1mWa5T4_Q</t>
  </si>
  <si>
    <t>tal-upbHTIeh6twKIc4ujQ</t>
  </si>
  <si>
    <t>b_B19rJ06v0</t>
  </si>
  <si>
    <t>3IEx57nQREKUAdKww19pPQ</t>
  </si>
  <si>
    <t>3kLavoYBdN0</t>
  </si>
  <si>
    <t>4M5m9zFGS4uAk.RwmoUCHQ</t>
  </si>
  <si>
    <t>ziRGaazK-lY</t>
  </si>
  <si>
    <t>VeyvCdYrQE-EpNyeWLQvbA</t>
  </si>
  <si>
    <t>9Nn2rdDOnkY</t>
  </si>
  <si>
    <t>8wwUXvfsR2KNBOSkgFpd2g</t>
  </si>
  <si>
    <t>vCbKxKH3e-8</t>
  </si>
  <si>
    <t>QwHp6TxRTW2OMHGXZB0DVQ</t>
  </si>
  <si>
    <t>2en90Fr9FOg</t>
  </si>
  <si>
    <t>IyW0iySKQf-laaergd8yTA</t>
  </si>
  <si>
    <t>GvZxmrEFIzo</t>
  </si>
  <si>
    <t>Oq7RryujSL-fNK4rDD7Eww</t>
  </si>
  <si>
    <t>tOmwB0KygXI</t>
  </si>
  <si>
    <t>qhRhpYQVR-Cv72OXN0e6Vg</t>
  </si>
  <si>
    <t>cDVH9z8HOZQ</t>
  </si>
  <si>
    <t>CpRF.IRwT.mmmHU18B.EJg</t>
  </si>
  <si>
    <t>IWL_83AjlUQ</t>
  </si>
  <si>
    <t>e3WEQ1XJTWGbkevdZt2G9A</t>
  </si>
  <si>
    <t>4NIPvcu5jvs</t>
  </si>
  <si>
    <t>N6dWQUjIT-SASeeZ7vADrQ</t>
  </si>
  <si>
    <t>U9oL-5UI_Eo</t>
  </si>
  <si>
    <t>q7F8wzXzRs-jbvgUqcpw8g</t>
  </si>
  <si>
    <t>jFdQ_WOg4Ps</t>
  </si>
  <si>
    <t>8Ivtpw9pRe-ZDA1JwTPILw</t>
  </si>
  <si>
    <t>ZKdPKsGtolI</t>
  </si>
  <si>
    <t>sthYtIStTU29E0A5VcirOg</t>
  </si>
  <si>
    <t>REDES ELECTRICAS</t>
  </si>
  <si>
    <t>INSPECCION SEMANAL REDES ELECTRICAS</t>
  </si>
  <si>
    <t>PLAN MTTO MTTO ELE REDES ELECTRIC 749636</t>
  </si>
  <si>
    <t>PCiNjEJVnfo</t>
  </si>
  <si>
    <t>2PFIG8ldSv-CEtv7Nejdqg</t>
  </si>
  <si>
    <t>REDES HIDRAULICAS Y NEUMATICAS</t>
  </si>
  <si>
    <t>INSPECCION SEMANAL REDES HIDRAULICAS Y N</t>
  </si>
  <si>
    <t>ESCAPES DE: AIRE,AGUA,VAPOR,CO2</t>
  </si>
  <si>
    <t>VYJ5Eo8wljc</t>
  </si>
  <si>
    <t>BjIykHQeTseQUlavEvj9fA</t>
  </si>
  <si>
    <t>ESCAPES DE: SODA,CONDENSADO</t>
  </si>
  <si>
    <t>IXmkNQvr1Fo</t>
  </si>
  <si>
    <t>0pNJVa-hQvqG5DCutWwO5w</t>
  </si>
  <si>
    <t>ESCAPES: JARABE SIMPLE, TERMINADO</t>
  </si>
  <si>
    <t>GXiKWZ4wmdY</t>
  </si>
  <si>
    <t>7IGXOOeqSpyrnqHE8CjnUw</t>
  </si>
  <si>
    <t>ESTADO DE TUBERIAS</t>
  </si>
  <si>
    <t>jQOnH-u_4fk</t>
  </si>
  <si>
    <t>ebXr3jqdTHSyUZ6UbAVzpA</t>
  </si>
  <si>
    <t>NCWyRwyJg9A</t>
  </si>
  <si>
    <t>sPwMJD9vRe64Hzm-ttak8Q</t>
  </si>
  <si>
    <t>ESTADO AISLAMIENTO</t>
  </si>
  <si>
    <t>ODcuvorY2Ko</t>
  </si>
  <si>
    <t>Z9ahNKJzTbS6zKdZtnLP9Q</t>
  </si>
  <si>
    <t>ESTADO PINTURA</t>
  </si>
  <si>
    <t>NAAhrYyTAb4</t>
  </si>
  <si>
    <t>MX69GdreRGSgtusEyvcihQ</t>
  </si>
  <si>
    <t>RINSE DE GARRAFAS</t>
  </si>
  <si>
    <t>INSPECCION SEMANAL RINSE DE GARRAFAS</t>
  </si>
  <si>
    <t>Sbra6Z7i3eg</t>
  </si>
  <si>
    <t>32sVfifLTSy3ZXzJXRm-sw</t>
  </si>
  <si>
    <t>KvZtkNX2pyQ</t>
  </si>
  <si>
    <t>8zVzms.1Szqy7HixUBlcSg</t>
  </si>
  <si>
    <t>qyNQGVUlxCg</t>
  </si>
  <si>
    <t>97.UTSSvR2uHh6O09LgH8g</t>
  </si>
  <si>
    <t>p-yBpd99aII</t>
  </si>
  <si>
    <t>o6UrIiq5TEWeJhWOUytYTw</t>
  </si>
  <si>
    <t>ALSxu8PDgaA</t>
  </si>
  <si>
    <t>8yztf2CJRlab0x2GMw9xHA</t>
  </si>
  <si>
    <t>03nidFmsW0Y</t>
  </si>
  <si>
    <t>D2y3WW9IRzOh2-9ehGNZKA</t>
  </si>
  <si>
    <t>XoXv3tCVXPI</t>
  </si>
  <si>
    <t>v4OAyRrXSymCkpexY0i6Pw</t>
  </si>
  <si>
    <t>9-Lu6Byg6iw</t>
  </si>
  <si>
    <t>z3BChd0RQSO1OCgfY05Egw</t>
  </si>
  <si>
    <t>mTKGEyDCtFE</t>
  </si>
  <si>
    <t>r-nETKC6RumTus66srSvMg</t>
  </si>
  <si>
    <t>4c5fgaOxInE</t>
  </si>
  <si>
    <t>NAnyPJTNTbGq1XmaNsnqWQ</t>
  </si>
  <si>
    <t>JA0MIfpaeTo</t>
  </si>
  <si>
    <t>JNvgEqIdSaCzznEkMNoVYg</t>
  </si>
  <si>
    <t>rHgpLijm4RI</t>
  </si>
  <si>
    <t>PDhJ.6yzSTmDBxxDM0zL3Q</t>
  </si>
  <si>
    <t>jLKL27HAT-k</t>
  </si>
  <si>
    <t>fhgQuGG1Sem3dyYwtWMgzw</t>
  </si>
  <si>
    <t>UINOXuQHP9Y</t>
  </si>
  <si>
    <t>1yjFdK8UTNa8JkUYqmDSuw</t>
  </si>
  <si>
    <t>DStA6OSkMRw</t>
  </si>
  <si>
    <t>5k7p47J5TdiCAJgHhi4QoQ</t>
  </si>
  <si>
    <t>INS, FUNC Y ESTADO DE BOMBA PRESIÓN BOQUILLAS</t>
  </si>
  <si>
    <t>pzVjNelm1wo</t>
  </si>
  <si>
    <t>ke5yEELrRXCwJXVNXPYebA</t>
  </si>
  <si>
    <t>SALA LIMPIA</t>
  </si>
  <si>
    <t>INSPECCION SEMANAL Sala Limpia</t>
  </si>
  <si>
    <t>PLAN MTTO MEC SALA LIMPIA CSD</t>
  </si>
  <si>
    <t>rCDo7di0wKE</t>
  </si>
  <si>
    <t>5XQt5y4GS9S1ivXohpL-xg</t>
  </si>
  <si>
    <t>SECADOR AIRE 1</t>
  </si>
  <si>
    <t>INSPECCION SEMANAL SECADOR AIRE 1</t>
  </si>
  <si>
    <t>PLAN MTTO MTTO MEC SECADOR AIRE 1 900236</t>
  </si>
  <si>
    <t>mIRDCwZRLwY</t>
  </si>
  <si>
    <t>ntOprAbNQcCfAR-6OWh4Xw</t>
  </si>
  <si>
    <t>SECADOR AIRE 2</t>
  </si>
  <si>
    <t>INSPECCION SEMANAL SECADOR AIRE 2</t>
  </si>
  <si>
    <t>PLAN MTTO MEC SECADOR AIRE 2 900237</t>
  </si>
  <si>
    <t>x913QEQpk6M</t>
  </si>
  <si>
    <t>0.NTizyXTaKgIvWB66ufGg</t>
  </si>
  <si>
    <t>SECADORA BOTELLAS</t>
  </si>
  <si>
    <t>INSPECCION SEMANAL SECADORA BOTELLAS</t>
  </si>
  <si>
    <t>Esta dañada , se necesitq para cambio</t>
  </si>
  <si>
    <t>67sN0_ZQt5A</t>
  </si>
  <si>
    <t>BCiOSV2-TX2JpM-seyhfpg</t>
  </si>
  <si>
    <t>https://storage.googleapis.com/glide-prod.appspot.com/uploads-v2/ly7o78grxPaC6KdgvbpS/pub/FsF8sDkiGVVFARvSy8tg.jpg</t>
  </si>
  <si>
    <t>iWDpCn6-X_o</t>
  </si>
  <si>
    <t>KsGFG4kmSSa-X86qepJNFA</t>
  </si>
  <si>
    <t>xdwMmY96rtw</t>
  </si>
  <si>
    <t>cvL0ywbwQsycVqFBuJ5yZw</t>
  </si>
  <si>
    <t>eS59f6ApGMk</t>
  </si>
  <si>
    <t>s.43CyI8SReR8Q2sKaM5wQ</t>
  </si>
  <si>
    <t>INSP. BOMBAS DE VACIO</t>
  </si>
  <si>
    <t>La turbina número 2 , esta dañada o funciona</t>
  </si>
  <si>
    <t>Jpq7QmRtQP8</t>
  </si>
  <si>
    <t>9vTRM9PzRwOLGWJnmmM0mw</t>
  </si>
  <si>
    <t>https://storage.googleapis.com/glide-prod.appspot.com/uploads-v2/ly7o78grxPaC6KdgvbpS/pub/SRfJK1waoUwI4Om5x3og.jpg</t>
  </si>
  <si>
    <t>ESTADO DE MANGUERAS</t>
  </si>
  <si>
    <t>Mangueras deterioradas , ya para cambio</t>
  </si>
  <si>
    <t>m5N_XpsbueY</t>
  </si>
  <si>
    <t>Bmol-K.aRj6VSO0CX6WhPA</t>
  </si>
  <si>
    <t>https://storage.googleapis.com/glide-prod.appspot.com/uploads-v2/ly7o78grxPaC6KdgvbpS/pub/nqhXBd5eSmaihIosP4Pi.jpg</t>
  </si>
  <si>
    <t>INSP. DE BOQUILLAS</t>
  </si>
  <si>
    <t>OJhkIi5JUog</t>
  </si>
  <si>
    <t>D.fZRtXnQSG76x.t-bo04A</t>
  </si>
  <si>
    <t>BOMBA AGUA SERVICIOS PRODUCCION</t>
  </si>
  <si>
    <t>INSPECCION SEMANAL SERV PRODUCCION</t>
  </si>
  <si>
    <t>PLAN MTTO MEC BOMBA SERV PROD 70948910</t>
  </si>
  <si>
    <t>jNmTtKcRXqU</t>
  </si>
  <si>
    <t>h2jZeOk7RyeL7IX8Q7mBhw</t>
  </si>
  <si>
    <t>PLAN MTTO MEC BOMBA SERV PROD 70948909</t>
  </si>
  <si>
    <t>-bPqAcTP890</t>
  </si>
  <si>
    <t>PrN882QnTxWR83lJCd7qcA</t>
  </si>
  <si>
    <t>PLAN MTTO MEC BOMBA SERV PROD 70948911</t>
  </si>
  <si>
    <t>mvgxaV9OcTs</t>
  </si>
  <si>
    <t>XNoeHor8SVCYDEacBi6q8g</t>
  </si>
  <si>
    <t>PLAN MTTO ELE BOMBA SERV PROD 70948911</t>
  </si>
  <si>
    <t>M_EovWc1jQg</t>
  </si>
  <si>
    <t>7ZpQhzhBRianksucNE7DgQ</t>
  </si>
  <si>
    <t>INSPECCION SEMANAL SERVICIOS EDIF ADMI</t>
  </si>
  <si>
    <t>PLAN MTTO MEC BOMBA SERV EDI 70948912</t>
  </si>
  <si>
    <t>QH9g2ih_Ghs</t>
  </si>
  <si>
    <t>F0s-nQzKST6QsHK7e0D7jg</t>
  </si>
  <si>
    <t>INSPECCION SEMANAL SISTEMA CIP</t>
  </si>
  <si>
    <t>MTTO ELEC-MEC TETRALCIP BOTELLON 900242</t>
  </si>
  <si>
    <t>COjRi167dLk</t>
  </si>
  <si>
    <t>pvgRd1rdThKtqa9NN92aLA</t>
  </si>
  <si>
    <t>SISTEMA INYECCIÓN DE NITRÓGENO</t>
  </si>
  <si>
    <t>INSPECCION SEMANAL SISTEMA INYECCION NIT</t>
  </si>
  <si>
    <t>PLAN MTTO MEC INYECCIÓN NITR 90030304</t>
  </si>
  <si>
    <t>Jhonnys Arturo Fernández Suarez</t>
  </si>
  <si>
    <t>UTO4BU5GnvE</t>
  </si>
  <si>
    <t>uOFBq8bmSmGYHDW9n3wpIw</t>
  </si>
  <si>
    <t>SOPLADOR TANQUES</t>
  </si>
  <si>
    <t>INSPECCION SEMANAL SOPLADOR TANQUES</t>
  </si>
  <si>
    <t>PLAN MTTO SOPLADOR TANQUES 70948931</t>
  </si>
  <si>
    <t>ALykWcNu_To</t>
  </si>
  <si>
    <t>MlUwK5GoTXK7gwTeiaxzkQ</t>
  </si>
  <si>
    <t>TABL. OPTIMIZACION ENERGIA</t>
  </si>
  <si>
    <t>INSPECCION SEMANAL TABL. OPTIMIZACION EN</t>
  </si>
  <si>
    <t>PLAN MTTO CELDA BAJA TDP-3 74928616</t>
  </si>
  <si>
    <t>_b-fjeM6gxk</t>
  </si>
  <si>
    <t>viOF.-EKTMW6l7fIHTH5KA</t>
  </si>
  <si>
    <t>TANQUE DIARIO AGUA CALDERAS</t>
  </si>
  <si>
    <t>INSPECCION SEMANAL TANQUE DIARIO AGUA C</t>
  </si>
  <si>
    <t>ESTADO TANQUES</t>
  </si>
  <si>
    <t>tdfImg4WliA</t>
  </si>
  <si>
    <t>w4fnRnEfRsekqxB9ghcMdQ</t>
  </si>
  <si>
    <t>VISORES NIVEL</t>
  </si>
  <si>
    <t>IHlfJOMOZhM</t>
  </si>
  <si>
    <t>Z-uR2mC5S32EY.gaSUfd4g</t>
  </si>
  <si>
    <t>FUNC. VALVULAS, TUBERIAS</t>
  </si>
  <si>
    <t>xeaXITr6Jsg</t>
  </si>
  <si>
    <t>pZiJhv6oS-qwzokogk4PEg</t>
  </si>
  <si>
    <t>ESCAPE FLUIDOS (CO2,ACPM,SODA,AMONIACO)</t>
  </si>
  <si>
    <t>f3DmWvLLj58</t>
  </si>
  <si>
    <t>ZKsXlQneSgecqpiICdAWOg</t>
  </si>
  <si>
    <t>FUNC. MOTOBOM TANQUE(SODA,ACPM)</t>
  </si>
  <si>
    <t>6vqUnzIPdpk</t>
  </si>
  <si>
    <t>Y6G03Y3lTmulRw1Urqc.4w</t>
  </si>
  <si>
    <t>-Y7R4htOP7Q</t>
  </si>
  <si>
    <t>n6Wnd8bLTwCc0hx7XepLpw</t>
  </si>
  <si>
    <t>vG0LrDBzX1g</t>
  </si>
  <si>
    <t>tAbfhx7jR32eqK1pwk5dlA</t>
  </si>
  <si>
    <t>INSP SSITEMA ELECTRICO GRAL</t>
  </si>
  <si>
    <t>cw6uc9Yrijk</t>
  </si>
  <si>
    <t>5QAOQ64dSlKhS9QDYiDPJQ</t>
  </si>
  <si>
    <t>TANQUE AGUA REFRIGERADA</t>
  </si>
  <si>
    <t>INSPECCION SEMANAL TANQUE AGUA REFRIGERA</t>
  </si>
  <si>
    <t>GbvzuqYG_rE</t>
  </si>
  <si>
    <t>ZpgrR3gkQ3i77C0l847T0A</t>
  </si>
  <si>
    <t>dMYWUoZjnvs</t>
  </si>
  <si>
    <t>BrWyCmW6R76UodH4fnHEAw</t>
  </si>
  <si>
    <t>0StBTmKKelE</t>
  </si>
  <si>
    <t>RY.0rAloQPqORycQaGwHNg</t>
  </si>
  <si>
    <t>zI7cVUQCvQU</t>
  </si>
  <si>
    <t>7kytUa5OTh6ujBcc4fOHQg</t>
  </si>
  <si>
    <t>w_xt85Pa3Uo</t>
  </si>
  <si>
    <t>oTde0ghOQWiCZkF-avmwBQ</t>
  </si>
  <si>
    <t>KWt0kgxvl7s</t>
  </si>
  <si>
    <t>wAZt5ZFGSC-K9sTBtGrnaA</t>
  </si>
  <si>
    <t>HjTKvMuDwNo</t>
  </si>
  <si>
    <t>nA6Bje5cTMidh.AxtZNhoA</t>
  </si>
  <si>
    <t>kcvlNDRzlAg</t>
  </si>
  <si>
    <t>SyJFNa9fR6CVHSFprCg5.Q</t>
  </si>
  <si>
    <t>TANQUE AGUA TORRE</t>
  </si>
  <si>
    <t>INSPECCION SEMANAL TANQUE AGUA TORRE</t>
  </si>
  <si>
    <t>vB-iTFyUst0</t>
  </si>
  <si>
    <t>BgLUNVkkQZCeYZDM7v0AgQ</t>
  </si>
  <si>
    <t>wAEeWNTuQqw</t>
  </si>
  <si>
    <t>oFre4qaXSamENTpzULQmZA</t>
  </si>
  <si>
    <t>E_EzxkZ4V_E</t>
  </si>
  <si>
    <t>LcyfnjQATdSukvVjOfqInQ</t>
  </si>
  <si>
    <t>NGwyR2MjJvs</t>
  </si>
  <si>
    <t>olEvBf.TQqSjXTnKlaJUMg</t>
  </si>
  <si>
    <t>LNw9eL5MXzU</t>
  </si>
  <si>
    <t>vwYoyYJaT.Gt5htNvOjsXg</t>
  </si>
  <si>
    <t>mwHM-FbtS-0</t>
  </si>
  <si>
    <t>7lNJY4tdTKmKMH61xalVtQ</t>
  </si>
  <si>
    <t>AH5ccOpQxU0</t>
  </si>
  <si>
    <t>XAct8imPSQKjX9JQi3jZAA</t>
  </si>
  <si>
    <t>gbPkIi1MOy8</t>
  </si>
  <si>
    <t>C2Sfbus.SQWvQk4igHgatA</t>
  </si>
  <si>
    <t>TANQUE AIRE COMPRIMIDO 3</t>
  </si>
  <si>
    <t>INSPECCION SEMANAL TANQUE AIRE COMPRIMID</t>
  </si>
  <si>
    <t>609uWwOs46M</t>
  </si>
  <si>
    <t>BOIx-g1oSraNDrHh5inrEw</t>
  </si>
  <si>
    <t>vH8uZDZ9Ags</t>
  </si>
  <si>
    <t>LACNBMeoSwWIeoJcIN2xLg</t>
  </si>
  <si>
    <t>g3V0Fm0aS2E</t>
  </si>
  <si>
    <t>r0bj7kzoTo2Xld0EFJ6eZg</t>
  </si>
  <si>
    <t>FUNC. MOTOBOM TANQUE</t>
  </si>
  <si>
    <t>_50dkdLcjwA</t>
  </si>
  <si>
    <t>1BepVrQERdCSz17rtojAGA</t>
  </si>
  <si>
    <t>-SURpay6Xs8</t>
  </si>
  <si>
    <t>U5J0ZLQjQJaObP7galCIUA</t>
  </si>
  <si>
    <t>ptOMpGq3I6Y</t>
  </si>
  <si>
    <t>a.xJCHzW4SeKqa3p3PhTf3w</t>
  </si>
  <si>
    <t>VERIFICA DIFERENCIAL PRESION FILTRO NML500 &lt;3PSID</t>
  </si>
  <si>
    <t>d_qiYAHFoVs</t>
  </si>
  <si>
    <t>8P1PQEkrSxW8nQ4WhmbGNw</t>
  </si>
  <si>
    <t>TANQUE AIRE COMPRIMIDO 1</t>
  </si>
  <si>
    <t>BfdCagktF5g</t>
  </si>
  <si>
    <t>yrsyCHw5TCi6c0aCb6ihZw</t>
  </si>
  <si>
    <t>ANwzRIetnK0</t>
  </si>
  <si>
    <t>y5g-1HIISFyyModzh.m0VA</t>
  </si>
  <si>
    <t>z_iiPvuTRIg</t>
  </si>
  <si>
    <t>hD-S5qxRQr-OPzBFl9TW6A</t>
  </si>
  <si>
    <t>SZzwb1F55z8</t>
  </si>
  <si>
    <t>wdJRUUCfSKyI65DE9TL4jw</t>
  </si>
  <si>
    <t>dyw99KyCABo</t>
  </si>
  <si>
    <t>mfzdYj6lSfycv8HeFvfNaA</t>
  </si>
  <si>
    <t>B1f7SeB1-h4</t>
  </si>
  <si>
    <t>lObOGV9CTRygKbbJjYawxA</t>
  </si>
  <si>
    <t>SCb79MwRqNw</t>
  </si>
  <si>
    <t>VXD9dtKlTrSz.pLiGMJztQ</t>
  </si>
  <si>
    <t>TANQUE AIRE COMPRIMIDO 2</t>
  </si>
  <si>
    <t>rVnNbPVzmTY</t>
  </si>
  <si>
    <t>zbB..NaIQ2KKZ-Tee25PEw</t>
  </si>
  <si>
    <t>v-RCNF-C30Y</t>
  </si>
  <si>
    <t>HsQIrLDWQ9Sebsoar4Mmlw</t>
  </si>
  <si>
    <t>pRPDGl5TJ3g</t>
  </si>
  <si>
    <t>jjw6OdNKS9ufpt7AdVY26A</t>
  </si>
  <si>
    <t>dwqHGGA0ga0</t>
  </si>
  <si>
    <t>8gziIdWuSrKG.qbyOp3yyA</t>
  </si>
  <si>
    <t>H3u_jq0Oa04</t>
  </si>
  <si>
    <t>LydkDQ9KS7Wy1NdSr.9GlA</t>
  </si>
  <si>
    <t>q0vYOiVH5Eg</t>
  </si>
  <si>
    <t>1WX4cfmeRcCrr4mu-asJ1A</t>
  </si>
  <si>
    <t>Z9r89YD5IBo</t>
  </si>
  <si>
    <t>RXPYiSXpRfCqlgUS.F6Rgg</t>
  </si>
  <si>
    <t>TANQUE ALMACENAMIENTO GLICOL JUGOS</t>
  </si>
  <si>
    <t>INSPECCION SEMANAL TANQUE ALMACENAMIENTO</t>
  </si>
  <si>
    <t>PLAN MTTO MEC TK GLICOL JUGO 69841402</t>
  </si>
  <si>
    <t>rbfLgOD7MxQ</t>
  </si>
  <si>
    <t>1pJwycQVTp6dWp3strYwag</t>
  </si>
  <si>
    <t>TANQUE ALMACENAMIENTO DE AGUA</t>
  </si>
  <si>
    <t>PLAN MTTO MEC TK ALMACENAM AGUA 70948928</t>
  </si>
  <si>
    <t>5M9slZwqcYk</t>
  </si>
  <si>
    <t>lANyXlA2TgqK8MGeAymebA</t>
  </si>
  <si>
    <t>TANQUE ALMACENAMIENTO AGUA FRIA JUGOS</t>
  </si>
  <si>
    <t>PLAN MTTO MEC TK AGUA FRIA JUG 69841401</t>
  </si>
  <si>
    <t>Td9NlDFoMFQ</t>
  </si>
  <si>
    <t>EUoQERBNQ0G-f0gbc9K3ug</t>
  </si>
  <si>
    <t>TANQUE DE CONTACTO PARA BOLSA.</t>
  </si>
  <si>
    <t>INSPECCION SEMANAL TANQUE CONTACTO BOLSA</t>
  </si>
  <si>
    <t>REVISAR ESTADO TANQUE</t>
  </si>
  <si>
    <t>5jY4mdMTufY</t>
  </si>
  <si>
    <t>AWv0ZyflTVGtI24PZ145pA</t>
  </si>
  <si>
    <t>VERIFICAR FUGAS TUBERIA</t>
  </si>
  <si>
    <t>sEExjxjpJhQ</t>
  </si>
  <si>
    <t>51eXgxNfRhS71MriF-Ezhw</t>
  </si>
  <si>
    <t>VERIFICAR FUNCIONAMIENTO BOMBA</t>
  </si>
  <si>
    <t>dB4mOkYWs-I</t>
  </si>
  <si>
    <t>M5BFRqqcS1WifTdWqZ-M9w</t>
  </si>
  <si>
    <t>TANQUE DE COMBUSTIBLE A.C.P.M.</t>
  </si>
  <si>
    <t>INSPECCION SEMANAL TANQUE DE COMBUSTIBLE</t>
  </si>
  <si>
    <t>kJB3x7nb7vw</t>
  </si>
  <si>
    <t>CRlai.I7Q5qBNIfvpe5VBg</t>
  </si>
  <si>
    <t>aBAGeoKsroQ</t>
  </si>
  <si>
    <t>a-zkeKHPdRPWIQQOhV6y5zg</t>
  </si>
  <si>
    <t>DlCHp2mNKq0</t>
  </si>
  <si>
    <t>OJuauc5BSrKurmN0U34pqQ</t>
  </si>
  <si>
    <t>dlDzxu0-VTg</t>
  </si>
  <si>
    <t>DUQ90kSCT1KXKrwv3P5H0w</t>
  </si>
  <si>
    <t>o_UnJVclK68</t>
  </si>
  <si>
    <t>lUmDO6knQKWosDxItCGp7Q</t>
  </si>
  <si>
    <t>IvmO2n5sS7w</t>
  </si>
  <si>
    <t>cNS9Sw3xSemPE3v9CjQ5lQ</t>
  </si>
  <si>
    <t>W-KVLJvR1Sw</t>
  </si>
  <si>
    <t>u8ObkFbpT6OL1RPnax9aUA</t>
  </si>
  <si>
    <t>8EcRY0aGIWI</t>
  </si>
  <si>
    <t>fTUSZySyTSO7umMmLbb8BA</t>
  </si>
  <si>
    <t>TANQUE DE CONTACTO PARA BOTELLON.</t>
  </si>
  <si>
    <t>INSPECCION SEMANAL TANQUE DE CONTACTO PA</t>
  </si>
  <si>
    <t>vDHqqdBngvY</t>
  </si>
  <si>
    <t>6tGHg0B0SaC4ficDT911dQ</t>
  </si>
  <si>
    <t>6uEGcS1AWsE</t>
  </si>
  <si>
    <t>D6.tzd7WQXemyx23l1KHvA</t>
  </si>
  <si>
    <t>bgvzCXCjj18</t>
  </si>
  <si>
    <t>lulZxWauRn2WXlJQuOmAoQ</t>
  </si>
  <si>
    <t>TANQUE DE SODA CAUSTICA</t>
  </si>
  <si>
    <t>INSPECCION SEMANAL TANQUE DE SODA CAUSTI</t>
  </si>
  <si>
    <t>MwYbnh7tK0Q</t>
  </si>
  <si>
    <t>ze8T3RCERoeyfQwnV3.uPA</t>
  </si>
  <si>
    <t>dRIpxlhUgvs</t>
  </si>
  <si>
    <t>bUACDN2LRGWi2e3ISogPiw</t>
  </si>
  <si>
    <t>eTb-TUUQzHg</t>
  </si>
  <si>
    <t>3.ku-bOTSTq1SFykNPmQIw</t>
  </si>
  <si>
    <t>eayuIkfW0UA</t>
  </si>
  <si>
    <t>6Vi9NG0nQcagbYgArI5O8A</t>
  </si>
  <si>
    <t>sKCYkAVzAKo</t>
  </si>
  <si>
    <t>rcKTSHO0RrqhDtYjoDpfXg</t>
  </si>
  <si>
    <t>mKORWZ1_VpU</t>
  </si>
  <si>
    <t>Mw9YYBDDQdi2s6DlrjMKvg</t>
  </si>
  <si>
    <t>p31aFeFVywM</t>
  </si>
  <si>
    <t>ZrDfFyVFT5K338b.pqOVJA</t>
  </si>
  <si>
    <t>guD5w65lj-c</t>
  </si>
  <si>
    <t>1AwYH.ZxSrymiu4.0JjN9Q</t>
  </si>
  <si>
    <t>TANQUE DE SODA CAUSTICA RECUPERADA</t>
  </si>
  <si>
    <t>PLAN MTTO MEC TK SODA CAU RECUP 709727</t>
  </si>
  <si>
    <t>3Rb9jS2N4og</t>
  </si>
  <si>
    <t>XRDjX-lAQUa2Wr3JvAqRFg</t>
  </si>
  <si>
    <t>PLAN MTTO MEC TANQUE SODA CAUST 709726</t>
  </si>
  <si>
    <t>8zfDI6iwQAk</t>
  </si>
  <si>
    <t>TC9dnFd-S-y38kBxNGxCDQ</t>
  </si>
  <si>
    <t>INSPECCION SEMANAL Tanque Jarabe 1</t>
  </si>
  <si>
    <t>oS846pPlbBY</t>
  </si>
  <si>
    <t>U3j1CVOxSrKP3urXDM0QlQ</t>
  </si>
  <si>
    <t>9EC0vGp8WG8</t>
  </si>
  <si>
    <t>5CBQjXWWT1W937esrt8NcA</t>
  </si>
  <si>
    <t>kQ9CXSCkUqI</t>
  </si>
  <si>
    <t>6WtU304DSsycPdnL6MCX.Q</t>
  </si>
  <si>
    <t>wqliw5JEROQ</t>
  </si>
  <si>
    <t>Gvg3FwOOTqGwfgUm0fPGVQ</t>
  </si>
  <si>
    <t>MTTO MEC TK JARABE 1 JARABE TERMINADO</t>
  </si>
  <si>
    <t>M2KSOj9snpQ</t>
  </si>
  <si>
    <t>3.AT9CprSbmUOAE7Xb72TQ</t>
  </si>
  <si>
    <t>INSPECCION SEMANAL Tanque Jarabe 10</t>
  </si>
  <si>
    <t>ZorVPyv6LLs</t>
  </si>
  <si>
    <t>dp1axO2XTzatOWdLk3C7cA</t>
  </si>
  <si>
    <t>DdciHTnF79o</t>
  </si>
  <si>
    <t>a.NrbZSnnQLW7ytm0RgR2NA</t>
  </si>
  <si>
    <t>zLLdwtPotsI</t>
  </si>
  <si>
    <t>fbqaEJCYR-mU5W3CXqyYNQ</t>
  </si>
  <si>
    <t>nDkTFVc0wK8</t>
  </si>
  <si>
    <t>tfKK30RTQxqhLizWoCsMZQ</t>
  </si>
  <si>
    <t>MTTO MEC TK JARABE 10 JARABE TERMINADO</t>
  </si>
  <si>
    <t>k_zYH7GSWUY</t>
  </si>
  <si>
    <t>LqQO.DGvRuaVSVwLrkoNXg</t>
  </si>
  <si>
    <t>INSPECCION SEMANAL Tanque Jarabe 11</t>
  </si>
  <si>
    <t>tmZFIcDvpiA</t>
  </si>
  <si>
    <t>5KdUz8PqRLa6QG1SQEGAEQ</t>
  </si>
  <si>
    <t>49SsgXUxO0I</t>
  </si>
  <si>
    <t>EOXz37-UTgmHh1DWlafy1Q</t>
  </si>
  <si>
    <t>voe7UglMJGw</t>
  </si>
  <si>
    <t>uezwRYkGQny3LWpAhuf8gw</t>
  </si>
  <si>
    <t>E4uQdB3d8SI</t>
  </si>
  <si>
    <t>2YeYN.njQuCCLsa8Ucl6Ig</t>
  </si>
  <si>
    <t>MTTO MEC TK JARABE 11 JARABE TERMINADO</t>
  </si>
  <si>
    <t>u5qf5zmQz-4</t>
  </si>
  <si>
    <t>w5Mq-41JQb2CUtjHG30L8Q</t>
  </si>
  <si>
    <t>INSPECCION SEMANAL Tanque Jarabe 3</t>
  </si>
  <si>
    <t>k8axAqSaL5s</t>
  </si>
  <si>
    <t>uklgQayCRG2tigg4IJEF2Q</t>
  </si>
  <si>
    <t>daBMkEOzwO8</t>
  </si>
  <si>
    <t>K1ZxXYtJQ8eeqGpHksoXsw</t>
  </si>
  <si>
    <t>Tkmz1t9G8Fs</t>
  </si>
  <si>
    <t>bS1UXT97R2mB0CXtipyRqg</t>
  </si>
  <si>
    <t>cv7TZbsHSHM</t>
  </si>
  <si>
    <t>X3xTpvzJQNW8DMOvlIkZSQ</t>
  </si>
  <si>
    <t>MTTO MEC TK JARABE 3 JARABE TERMINADO</t>
  </si>
  <si>
    <t>0jZOssIzC50</t>
  </si>
  <si>
    <t>3W.OA3URS3-3kGWw-PWu4g</t>
  </si>
  <si>
    <t>INSPECCION SEMANAL Tanque Jarabe 4</t>
  </si>
  <si>
    <t>WZcxOjOknDo</t>
  </si>
  <si>
    <t>iHTcTIG-S-WpUqwgiAkiHA</t>
  </si>
  <si>
    <t>tZ0CWf3pP8U</t>
  </si>
  <si>
    <t>oFhTQN6ATnCWhx7IZ9v1Hg</t>
  </si>
  <si>
    <t>ywrglS0t72o</t>
  </si>
  <si>
    <t>pejuhGi.QuaSAvR75o-QMQ</t>
  </si>
  <si>
    <t>nlxxNax3IhQ</t>
  </si>
  <si>
    <t>zZ6eDcK7TwShpP6.SaxanQ</t>
  </si>
  <si>
    <t>MTTO MEC TK JARABE 4 JARABE TERMINADO</t>
  </si>
  <si>
    <t>vkns18T4x3o</t>
  </si>
  <si>
    <t>oE.KyuUdRgGvtgkjzc6PvQ</t>
  </si>
  <si>
    <t>INSPECCION SEMANAL Tanque Jarabe 5</t>
  </si>
  <si>
    <t>hAE5saDPdRo</t>
  </si>
  <si>
    <t>gPOYIUYYTYqU96n2CY0KXw</t>
  </si>
  <si>
    <t>dTynd3bYu_M</t>
  </si>
  <si>
    <t>7aX-U0p7QQWyN65j2LIRYw</t>
  </si>
  <si>
    <t>YTpcgFtLRD4</t>
  </si>
  <si>
    <t>msHHbHtgTri8WiLKff-8Hw</t>
  </si>
  <si>
    <t>5-S5oE8dkF0</t>
  </si>
  <si>
    <t>tr61enNFRD--V73nV9ZutA</t>
  </si>
  <si>
    <t>MTTO MEC TK JARABE 5 JARABE TERMINADO</t>
  </si>
  <si>
    <t>RnKK1PEKFzY</t>
  </si>
  <si>
    <t>aAd1S9FhRNSNOpPKTfaW0Q</t>
  </si>
  <si>
    <t>INSPECCION SEMANAL Tanque Jarabe 6</t>
  </si>
  <si>
    <t>sBZGioNnPdg</t>
  </si>
  <si>
    <t>3Des2RtvS.ysTHnbX0GG-A</t>
  </si>
  <si>
    <t>FxeV9vEiD1Q</t>
  </si>
  <si>
    <t>FtRQl1RaSqqsH.wnWLNq6w</t>
  </si>
  <si>
    <t>Ga2hy20gywg</t>
  </si>
  <si>
    <t>VkhxyEGqRvyV.Sc-qRuKnQ</t>
  </si>
  <si>
    <t>A2Rd6EulIqA</t>
  </si>
  <si>
    <t>3m5Bm2FCQJaa5Kycm.ARNg</t>
  </si>
  <si>
    <t>MTTO MEC TK JARABE 6 JARABE TERMINADO</t>
  </si>
  <si>
    <t>VfOFnt9c_Cs</t>
  </si>
  <si>
    <t>7ErTd9FtSHGDD43Ca95Fhg</t>
  </si>
  <si>
    <t>INSPECCION SEMANAL Tanque Jarabe 7</t>
  </si>
  <si>
    <t>g2XJ5QCr0ss</t>
  </si>
  <si>
    <t>bKI6p5LDQE-cpD3EEFMbRA</t>
  </si>
  <si>
    <t>tFihetgvMxU</t>
  </si>
  <si>
    <t>KBxNrtchRdKT3Twacb1eoQ</t>
  </si>
  <si>
    <t>MIMwQMzHFKc</t>
  </si>
  <si>
    <t>01ANnlVlSPWT92mxWvaFrg</t>
  </si>
  <si>
    <t>yipOP-BvRvk</t>
  </si>
  <si>
    <t>Ny2DuHA3SsS9RzXrD.niHg</t>
  </si>
  <si>
    <t>MTTO MEC TK JARABE 7 JARABE TERMINADO</t>
  </si>
  <si>
    <t>uTuL5PrLqwY</t>
  </si>
  <si>
    <t>SDaMCKa9RbKCJS-6wrbjhQ</t>
  </si>
  <si>
    <t>INSPECCION SEMANAL Tanque Jarabe 8</t>
  </si>
  <si>
    <t>7RBWluLCwQE</t>
  </si>
  <si>
    <t>0yH3iad6TZmbyfWFRfad5w</t>
  </si>
  <si>
    <t>4U7XbavaHkY</t>
  </si>
  <si>
    <t>TOPxFH-rT8OaIOqHK4rYlw</t>
  </si>
  <si>
    <t>kDRxTiFP1hQ</t>
  </si>
  <si>
    <t>ggAiCn48QVCzw2pLW0basw</t>
  </si>
  <si>
    <t>yEbJNlRdR1o</t>
  </si>
  <si>
    <t>e08emBmiTN6xk4DSEHOoHw</t>
  </si>
  <si>
    <t>MTTO MEC TK JARABE 8 JARABE TERMINADO</t>
  </si>
  <si>
    <t>QqxUDzt9ZDU</t>
  </si>
  <si>
    <t>Bn7hGp1IRcyxHsWNbcbpJw</t>
  </si>
  <si>
    <t>INSPECCION SEMANAL Tanque Jarabe 9</t>
  </si>
  <si>
    <t>BGEBHnvcEDA</t>
  </si>
  <si>
    <t>ZJb3iQYiRGeVFcAs5d9l6w</t>
  </si>
  <si>
    <t>HgAbvABKXnA</t>
  </si>
  <si>
    <t>cyOt4JukQwuRwIW3dhHv4Q</t>
  </si>
  <si>
    <t>j3V6C5wR_-M</t>
  </si>
  <si>
    <t>HuvwVe4FT-y8e-dEMbvy2w</t>
  </si>
  <si>
    <t>3-i0t4WAV5Q</t>
  </si>
  <si>
    <t>5VTP-AAYT5GAEpHtM-NbeA</t>
  </si>
  <si>
    <t>MTTO MEC TK JARABE 9 JARABE TERMINADO</t>
  </si>
  <si>
    <t>9boNciS4Yo4</t>
  </si>
  <si>
    <t>cavknjcsQIaRH00igBjpFA</t>
  </si>
  <si>
    <t>TANQUE Y BASCULA DE CO2</t>
  </si>
  <si>
    <t>INSPECCION SEMANAL TANQUE Y BASCULA DE C</t>
  </si>
  <si>
    <t>PLAN MTTO ELE TANQUE-BASCULA CO2 709930</t>
  </si>
  <si>
    <t>OAjVyRz8n_c</t>
  </si>
  <si>
    <t>PzlLoci6SUO4f8nTVH4MAw</t>
  </si>
  <si>
    <t>TERMOFORMADO FULL BODY</t>
  </si>
  <si>
    <t>INSPECCION SEMANAL TERMOFORMADO FULL BOD</t>
  </si>
  <si>
    <t>PLAN MTTO TERMOFORMADO FULL BODY 739536</t>
  </si>
  <si>
    <t>El equipo se encuentra sin funcionamiento</t>
  </si>
  <si>
    <t>OL-CoeoCcwc</t>
  </si>
  <si>
    <t>MXOf9feNRMOAfJU3a.KmWw</t>
  </si>
  <si>
    <t>https://storage.googleapis.com/glide-prod.appspot.com/uploads-v2/ly7o78grxPaC6KdgvbpS/pub/ai0ruF9rVunagNhEXuRH.jpg</t>
  </si>
  <si>
    <t>TERMOFORMADO PAQUETES</t>
  </si>
  <si>
    <t>INSPECCION SEMANAL TERMOFORMADO PAQUETES</t>
  </si>
  <si>
    <t>PLAN MTTO MEC HORNO ENFARDAD 739537 L8</t>
  </si>
  <si>
    <t>AdStfiOEDXY</t>
  </si>
  <si>
    <t>yaV-jeTTTF6MKsi9efOR1g</t>
  </si>
  <si>
    <t>TOLVA DE TAPAS</t>
  </si>
  <si>
    <t>INSPECCION SEMANAL TOLVA DE TAPAS</t>
  </si>
  <si>
    <t>PLAN MTTO MEC TOLVA DE TAPAS 51863501 L1</t>
  </si>
  <si>
    <t>GW7Qwx37gEA</t>
  </si>
  <si>
    <t>WE8gdCoiTv-O7cCLgUpieA</t>
  </si>
  <si>
    <t>TORRE ENFRIAMIENTO COMPRESORES REFRIGER</t>
  </si>
  <si>
    <t>INSPECCION SEMANAL TORRE ENFRIAMIENTO CO</t>
  </si>
  <si>
    <t>VENTILADORES</t>
  </si>
  <si>
    <t>SGT0OQTSq6w</t>
  </si>
  <si>
    <t>i6sCuhUfR4et8pBoM9ONqA</t>
  </si>
  <si>
    <t>MOTOBOMBAS</t>
  </si>
  <si>
    <t>C8IPbsUt9TQ</t>
  </si>
  <si>
    <t>5iFN6pO1SvmYm4ln4mD3XA</t>
  </si>
  <si>
    <t>ESCAPES AGUA</t>
  </si>
  <si>
    <t>-_EjrDJavPI</t>
  </si>
  <si>
    <t>dUSgWynHQrSTBWlrVOw1pw</t>
  </si>
  <si>
    <t>ESTADO BOQUILLAS</t>
  </si>
  <si>
    <t>A2gNGbI2AbI</t>
  </si>
  <si>
    <t>HE-ImcDKSAWNPty7YQkfGA</t>
  </si>
  <si>
    <t>ESTADO DEFLECTORES</t>
  </si>
  <si>
    <t>s45KRaYjMjs</t>
  </si>
  <si>
    <t>WeonrmteQ6W0Ic9h8qT1Eg</t>
  </si>
  <si>
    <t>TUBERIAS, VALVULAS</t>
  </si>
  <si>
    <t>4ghdLVvxVdM</t>
  </si>
  <si>
    <t>E4V31zXkSmqz-KHfwkBu1w</t>
  </si>
  <si>
    <t>SFc1ut38V9s</t>
  </si>
  <si>
    <t>mwAc6G0WTNujidpqE46uCQ</t>
  </si>
  <si>
    <t>TABLEROS ELECTRICOS/CLIMATIZADOR</t>
  </si>
  <si>
    <t>66pqd-zOSTE</t>
  </si>
  <si>
    <t>8Du7qQCdRWqD0gDSaScR0w</t>
  </si>
  <si>
    <t>TORRE DE ENFRIAMIENTO PARA JUGOS</t>
  </si>
  <si>
    <t>INSPECCION SEMANAL TORRE ENFRIAMIENTO JU</t>
  </si>
  <si>
    <t>MtCcI5gTPD0</t>
  </si>
  <si>
    <t>FFCI-TGAQj2qCnLJ2dkpCQ</t>
  </si>
  <si>
    <t>mD-AJtQW81E</t>
  </si>
  <si>
    <t>doOeT9NMRWy3RRbkC3MwQQ</t>
  </si>
  <si>
    <t>nUDuvJO6s9s</t>
  </si>
  <si>
    <t>BXaFgPZJRVCTyyIKKEwntQ</t>
  </si>
  <si>
    <t>Cl4vD_2lrx4</t>
  </si>
  <si>
    <t>6Qe-nL1dTMKe1xZ3gXQ-JQ</t>
  </si>
  <si>
    <t>ESTADO DE JUNTAS VIBRACIONES</t>
  </si>
  <si>
    <t>dtEoSLNRn7M</t>
  </si>
  <si>
    <t>t4KVk98gQBuokqJdFOg3.A</t>
  </si>
  <si>
    <t>8HLQccuRA6A</t>
  </si>
  <si>
    <t>KVnJn2UXSt69m9zC7.FYrw</t>
  </si>
  <si>
    <t>_OJGiHa8K5U</t>
  </si>
  <si>
    <t>FYhFH8x9TEypsPVP4tnqiA</t>
  </si>
  <si>
    <t>obUlS-zmrEQ</t>
  </si>
  <si>
    <t>ipoGuC6hSNWwf-IjUFBgDw</t>
  </si>
  <si>
    <t>TRANSFORMADOR 3F</t>
  </si>
  <si>
    <t>INSPECCION SEMANAL TRANSFORMADOR 3F</t>
  </si>
  <si>
    <t>PLAN MTTO ELE TRANSFORMAD 6MVA 74928601</t>
  </si>
  <si>
    <t>dXMvTQAj2hs</t>
  </si>
  <si>
    <t>caSvbC8yTCaHnZgPO8oCcQ</t>
  </si>
  <si>
    <t>TRANSFORMADOR 3F 1(220V)</t>
  </si>
  <si>
    <t>INSPECCION SEMANAL TRANSFORMADOR 3F 1(22</t>
  </si>
  <si>
    <t>PLAN MTTO ELE TRANSFORM 1(220 74928602</t>
  </si>
  <si>
    <t>du9UuuvDhVA</t>
  </si>
  <si>
    <t>HUji3OfLSpyme3OP1Gg6Rg</t>
  </si>
  <si>
    <t>TRANSFORMADOR 3F 2(220V)</t>
  </si>
  <si>
    <t>INSPECCION SEMANAL TRANSFORMADOR 3F 2(22</t>
  </si>
  <si>
    <t>PLAN MTTO ELE TRANSFORM2(220V) 74928603</t>
  </si>
  <si>
    <t>rkDFg5rIn8g</t>
  </si>
  <si>
    <t>6ddqAh7jSSCM0rEBobiMhQ</t>
  </si>
  <si>
    <t>TRANSFORMADOR 3F 3(440V)</t>
  </si>
  <si>
    <t>INSPECCION SEMANAL TRANSFORMADOR 3F 3(44</t>
  </si>
  <si>
    <t>PLAN MTTO TRANSFORMADOR 3F 3(44 74928604</t>
  </si>
  <si>
    <t>yJpJHFESw-A</t>
  </si>
  <si>
    <t>xyqdFst5TDGBla6PUibpRg</t>
  </si>
  <si>
    <t>PLAN MTTO ELE TRANSF 3(440V) 74928618</t>
  </si>
  <si>
    <t>4b8YjZ1LyCE</t>
  </si>
  <si>
    <t>e0xYj2TLScSz-zSsV5he3w</t>
  </si>
  <si>
    <t>TRANSPORTADORES TABLETOP PARA BOLSAS.</t>
  </si>
  <si>
    <t>INSPECCION SEMANAL TRANSP BOLSAS</t>
  </si>
  <si>
    <t>Ins. Estado de chumaceras y rodamientos</t>
  </si>
  <si>
    <t>6ptKFD3ZaC8</t>
  </si>
  <si>
    <t>8-AIuwUGTselvCg29zeDow</t>
  </si>
  <si>
    <t>Ins. Estado de cadenas de transmisión</t>
  </si>
  <si>
    <t>mzXH99bUNHw</t>
  </si>
  <si>
    <t>uNQ7pfl8Q9iOpCJvWRX0Pg</t>
  </si>
  <si>
    <t>Ins. Estado de cadenas table top</t>
  </si>
  <si>
    <t>P4VXMQcxTOs</t>
  </si>
  <si>
    <t>T526xZR8SKWf0ZaFWW1Tkw</t>
  </si>
  <si>
    <t>Ins. Estado de estructuras de fijación o anclaje</t>
  </si>
  <si>
    <t>jQ-6X7X9cwI</t>
  </si>
  <si>
    <t>l38El5BfS8CW2frikW9EQg</t>
  </si>
  <si>
    <t>Ins. Estado de tensores de cadena</t>
  </si>
  <si>
    <t>cZmIAYCF15g</t>
  </si>
  <si>
    <t>7timfOO-SuKSQyqnBDpkFQ</t>
  </si>
  <si>
    <t>Ins. Estado de piñones y carretas</t>
  </si>
  <si>
    <t>ZNJ46B897cQ</t>
  </si>
  <si>
    <t>I1bii4PrQx6XQ8coRIfjXw</t>
  </si>
  <si>
    <t>Ins. Funcionamiento de motores</t>
  </si>
  <si>
    <t>A-zLcsqkMGI</t>
  </si>
  <si>
    <t>OV90-WjTT26kKDq4bYqKTA</t>
  </si>
  <si>
    <t>Ins. Funcionamiento tablero eléctrico</t>
  </si>
  <si>
    <t>CV8JrdCPz6U</t>
  </si>
  <si>
    <t>rW2Egjl0Sneeoxz5NOa4Tg</t>
  </si>
  <si>
    <t>Ins. Funcionamiento de sensores</t>
  </si>
  <si>
    <t>TUqJUdcggi0</t>
  </si>
  <si>
    <t>x029l0KKR0mjQAyT1Rn5pw</t>
  </si>
  <si>
    <t>TRANSPORTADOR DE GARRAFS</t>
  </si>
  <si>
    <t>INSPECCION SEMANAL TRANSP DE GARRAFAS</t>
  </si>
  <si>
    <t>Insp. estado de chumaceras y rodamientos</t>
  </si>
  <si>
    <t>2yFgbXjbcbs</t>
  </si>
  <si>
    <t>3opQ8rhbQmOmqP5nB.IgCg</t>
  </si>
  <si>
    <t>Insp. estado de cadenas de transmisión</t>
  </si>
  <si>
    <t>fZASSzEsDko</t>
  </si>
  <si>
    <t>ViqYsbTaR7m81fsebJMX3g</t>
  </si>
  <si>
    <t>Insp. estado de cadenas table top</t>
  </si>
  <si>
    <t>D9hmevlbVdk</t>
  </si>
  <si>
    <t>fE1dIzqqSjO7mtFBlUdm5g</t>
  </si>
  <si>
    <t>Insp. estado de estructuras de fijación o anclaje</t>
  </si>
  <si>
    <t>7Z_oZVweRbU</t>
  </si>
  <si>
    <t>IqNoPHqjQJiHMxuQ8Tc6PQ</t>
  </si>
  <si>
    <t>Insp. estado de tensores de cadena</t>
  </si>
  <si>
    <t>24ZcGGAaDNA</t>
  </si>
  <si>
    <t>FfI6a-9fRi6GYWRhfsCjKw</t>
  </si>
  <si>
    <t>Insp. estado de piñones y carretas</t>
  </si>
  <si>
    <t>SYUusPP-IoI</t>
  </si>
  <si>
    <t>pnFw3B7RRCqSIVmLyDVJWw</t>
  </si>
  <si>
    <t>Insp. funcionamiento de motores</t>
  </si>
  <si>
    <t>csGOPQecYOE</t>
  </si>
  <si>
    <t>w1OBJE9BSQuGbO5VlcTR5A</t>
  </si>
  <si>
    <t>Insp. funcionamiento de sensores</t>
  </si>
  <si>
    <t>GX7cxS0WGHs</t>
  </si>
  <si>
    <t>HkT7LO8OSJG1ZdL4d6-rmQ</t>
  </si>
  <si>
    <t>TRANSPORTADORES DE BOTELLONES</t>
  </si>
  <si>
    <t>INSPECCION SEMANAL TRANSP BOTELLONES</t>
  </si>
  <si>
    <t>8-DLq_Boqxs</t>
  </si>
  <si>
    <t>17wzTSo8S7CmiEXRr6Jxxw</t>
  </si>
  <si>
    <t>ysm5GGerme8</t>
  </si>
  <si>
    <t>a.5f7YjSURJmLSqgJWPlePA</t>
  </si>
  <si>
    <t>Ins. Estado de cadenas transportadores</t>
  </si>
  <si>
    <t>CcLpRcy2Juw</t>
  </si>
  <si>
    <t>OKWb06j4Tb-KN7ldFhsECg</t>
  </si>
  <si>
    <t>A8j_PfaQEDE</t>
  </si>
  <si>
    <t>rvUxY-ukTHicWd9lAulNKw</t>
  </si>
  <si>
    <t>94MPSpU_vmc</t>
  </si>
  <si>
    <t>Gge6QgaDTh6X0L.SU9WFDg</t>
  </si>
  <si>
    <t>G-J13yYghN8</t>
  </si>
  <si>
    <t>0-OPROzSTEy-avYe3mr0Fw</t>
  </si>
  <si>
    <t>uQeatfty6Qc</t>
  </si>
  <si>
    <t>xYmFPPoCQsuvcP7QF8FJJw</t>
  </si>
  <si>
    <t>sHJjC77U6ZE</t>
  </si>
  <si>
    <t>pm1hHqZ0SNW7HPGigxQfuA</t>
  </si>
  <si>
    <t>https://storage.googleapis.com/glide-prod.appspot.com/uploads-v2/ly7o78grxPaC6KdgvbpS/pub/e3mkB7AxIvOTk8EkBqkj/VID20231211213225.mp4</t>
  </si>
  <si>
    <t>zq9yapcRmGs</t>
  </si>
  <si>
    <t>Wq8W-78ISwSE4.hC2-TlOg</t>
  </si>
  <si>
    <t>TRANSPORTADOR DE CAJAS</t>
  </si>
  <si>
    <t>INSPECCION SEMANAL TRANSP CAJAS</t>
  </si>
  <si>
    <t>INS. ESTADO PERFILES, EMPACK</t>
  </si>
  <si>
    <t>TW3gTYPt6Yg</t>
  </si>
  <si>
    <t>8G-nrYKtS4SczU.BYfwK0g</t>
  </si>
  <si>
    <t>INS. ESTADO PIÑONES,CHUMACERAS</t>
  </si>
  <si>
    <t>vfDd_XCDggY</t>
  </si>
  <si>
    <t>3hKc51fdRc6gJn4EgA.APQ</t>
  </si>
  <si>
    <t>INS. ESTADO BARANDAS</t>
  </si>
  <si>
    <t>s6rS8ztZezk</t>
  </si>
  <si>
    <t>h5wIPe1bQteClQqAj0vFMw</t>
  </si>
  <si>
    <t>INS. ESTADO CADENAS, TORNILLERIA</t>
  </si>
  <si>
    <t>zsB5UYk_BoE</t>
  </si>
  <si>
    <t>tc.On8j0RFyymLomgRv-Ew</t>
  </si>
  <si>
    <t>INS. RODILLOS DESLIZANTES</t>
  </si>
  <si>
    <t>P7RzYHJLn30</t>
  </si>
  <si>
    <t>5-b83EDIQcC7fBdjPO1lzw</t>
  </si>
  <si>
    <t>INS. MOTORREDUCTORES</t>
  </si>
  <si>
    <t>FzfePKzXAuY</t>
  </si>
  <si>
    <t>6EtHykeASe6ScwOW2W7aTA</t>
  </si>
  <si>
    <t>TRANSPORTADOR DE BOTELLAS</t>
  </si>
  <si>
    <t>INSPECCION SEMANAL TRANSP DE BOTELLAS</t>
  </si>
  <si>
    <t>Estado de chumaceras</t>
  </si>
  <si>
    <t>dmc082IxFQA</t>
  </si>
  <si>
    <t>xds2YHzyQu-esRgsyXdzSA</t>
  </si>
  <si>
    <t>Estado de cadenas de transmisión</t>
  </si>
  <si>
    <t>2LKyQnMgWzE</t>
  </si>
  <si>
    <t>xCfqRalRTD2.N9a9QMtSeQ</t>
  </si>
  <si>
    <t>Estado de cadenas table top, flex top y magne flex</t>
  </si>
  <si>
    <t>ap18ADBTArw</t>
  </si>
  <si>
    <t>NnYwG.OmSUubAf.8fD3-6Q</t>
  </si>
  <si>
    <t>Estado de estructuras de fijación o anclaje</t>
  </si>
  <si>
    <t>quYS-bWcPRY</t>
  </si>
  <si>
    <t>u2ZAqC.yS0eISfkXGB.wgA</t>
  </si>
  <si>
    <t>Estado de tensores de cadena</t>
  </si>
  <si>
    <t>I_0fpWXh8jg</t>
  </si>
  <si>
    <t>CD4wKU1OSjSkSQyzGE27Cg</t>
  </si>
  <si>
    <t>Estado de piñones y carretas</t>
  </si>
  <si>
    <t>XyPka4UoboU</t>
  </si>
  <si>
    <t>9EFSxnitSzKHQTG7xhvEhg</t>
  </si>
  <si>
    <t>PfPuGZMu8p8</t>
  </si>
  <si>
    <t>Ctn6.GNVREqBH8FLKyJAwA</t>
  </si>
  <si>
    <t>uO1CbpWYirI</t>
  </si>
  <si>
    <t>V-h1y4QrSaSk6nksxeFX6w</t>
  </si>
  <si>
    <t>KK_o_yAmcwQ</t>
  </si>
  <si>
    <t>Q5SEANbuSWujoEVCX92jmw</t>
  </si>
  <si>
    <t>8GBElWiIOa0</t>
  </si>
  <si>
    <t>t0H8Tg1OReK62mUQkkZ1EA</t>
  </si>
  <si>
    <t>bAOlJaH5NEQ</t>
  </si>
  <si>
    <t>18yLVvIgTd-dqD3BK3EyUg</t>
  </si>
  <si>
    <t>Estado de lentes inspector humano</t>
  </si>
  <si>
    <t>5xgZpFJR_Dc</t>
  </si>
  <si>
    <t>gyJlWJOPQYurNgXSuavERg</t>
  </si>
  <si>
    <t>UqRF32RZzpI</t>
  </si>
  <si>
    <t>CDx4Pf5oQtehrzFlcdme.g</t>
  </si>
  <si>
    <t>cz_GshM3FSI</t>
  </si>
  <si>
    <t>GLDQcqrtRleyBt3tk-pPag</t>
  </si>
  <si>
    <t>WyOlGYcaJdQ</t>
  </si>
  <si>
    <t>TyyadnriRKihB0PzoH9NHg</t>
  </si>
  <si>
    <t>https://storage.googleapis.com/glide-prod.appspot.com/uploads-v2/ly7o78grxPaC6KdgvbpS/pub/RGqnrat1LSwUo4lQNpN8/17029108864996761254980942977218.jpg</t>
  </si>
  <si>
    <t>Kq8Cfay6UMo</t>
  </si>
  <si>
    <t>LBT17k-CSJK0ObE9aIjsnA</t>
  </si>
  <si>
    <t>x2J2h9bPBKs</t>
  </si>
  <si>
    <t>qDQphtjqRjGe6pJkGGzG8w</t>
  </si>
  <si>
    <t>8oWZebRSPbc</t>
  </si>
  <si>
    <t>S9M7st46REaVmz4wYkkYbg</t>
  </si>
  <si>
    <t>4nOnHtRgm5U</t>
  </si>
  <si>
    <t>Kmj9cahaQ1CigUMk4aeEAg</t>
  </si>
  <si>
    <t>cN_55zGrJdU</t>
  </si>
  <si>
    <t>rlXZLpdERsm38D--KLLAuA</t>
  </si>
  <si>
    <t>afcgXP1QPq8</t>
  </si>
  <si>
    <t>uP9Y3mSEQCCiKqLqnBdr5w</t>
  </si>
  <si>
    <t>0149ctzN4T8</t>
  </si>
  <si>
    <t>dMA5zT1MRsOYmqpqD6HPJg</t>
  </si>
  <si>
    <t>qMMTKA8fHE8</t>
  </si>
  <si>
    <t>Y5envqUgTlKMmeDwgCv-vw</t>
  </si>
  <si>
    <t>aX9cuUrNYec</t>
  </si>
  <si>
    <t>BVgGU2AzQFaMcPeaFFD3Hw</t>
  </si>
  <si>
    <t>8OxkRvNCFjk</t>
  </si>
  <si>
    <t>JOAab7.dQR2p8wqcI.er9A</t>
  </si>
  <si>
    <t>Bz-UOcWQakE</t>
  </si>
  <si>
    <t>a-2kJe99vSf6YOZEFOFu18g</t>
  </si>
  <si>
    <t>INSPECCION SEMANAL TRANSP DE CAJAS</t>
  </si>
  <si>
    <t>Jf3FJbBmhJo</t>
  </si>
  <si>
    <t>Baw3MVFTS6K8MDpwQjZtyA</t>
  </si>
  <si>
    <t>ngFevZvTegs</t>
  </si>
  <si>
    <t>B.V05rKLQ4qjcv3Y8z22ww</t>
  </si>
  <si>
    <t>j5Z_IhJL784</t>
  </si>
  <si>
    <t>pYAJEebpQ1Kbrh90uzxGAg</t>
  </si>
  <si>
    <t>B2Y1duYK38Y</t>
  </si>
  <si>
    <t>G1BFuX9JTUe-gJLnpYXTUw</t>
  </si>
  <si>
    <t>Ls9ruDuMTlw</t>
  </si>
  <si>
    <t>KoGsxfg-QFCjBqD3fyNXkw</t>
  </si>
  <si>
    <t>01a94EyIJj4</t>
  </si>
  <si>
    <t>7-3YriVvQNO2rPDXQhCQOQ</t>
  </si>
  <si>
    <t>W2wJqjYa6tg</t>
  </si>
  <si>
    <t>O0FUalW4RKW3zFXB7uzRdQ</t>
  </si>
  <si>
    <t>mHPrcrelvqM</t>
  </si>
  <si>
    <t>UwKz9nt.Rpq3qkwgvxb10A</t>
  </si>
  <si>
    <t>c8oymRsnuug</t>
  </si>
  <si>
    <t>aUPUriH7R2m8.30U2.zdEw</t>
  </si>
  <si>
    <t>GM3CwQYqACA</t>
  </si>
  <si>
    <t>Ba..mwpdRuO21KOHj2W52g</t>
  </si>
  <si>
    <t>Uk2OGk7e0ss</t>
  </si>
  <si>
    <t>drVBeJtsQTWd.ccWV2RnGQ</t>
  </si>
  <si>
    <t>zz2IpQ1rbQ4</t>
  </si>
  <si>
    <t>4CsJu2T.RYSqrE1AnHXueQ</t>
  </si>
  <si>
    <t>YIunxQmQ2Ik</t>
  </si>
  <si>
    <t>su0MhAkhSTSqld026FXuUA</t>
  </si>
  <si>
    <t>WIVoKc8w-Qc</t>
  </si>
  <si>
    <t>FyKf81lURFikAIz.GpnCLg</t>
  </si>
  <si>
    <t>QQPmRwg90RA</t>
  </si>
  <si>
    <t>a..MQ.z-5Sv-QOdQh39X7UA</t>
  </si>
  <si>
    <t>p36ESX1zrws</t>
  </si>
  <si>
    <t>wldQWpHRReyA5FHWKuTIpg</t>
  </si>
  <si>
    <t>N3mi0Skh81M</t>
  </si>
  <si>
    <t>14KjEp6cQAi-DuB9T57jBA</t>
  </si>
  <si>
    <t>YNlRnHjElKg</t>
  </si>
  <si>
    <t>VzZd0fe6RUK9W-V7kcDdQg</t>
  </si>
  <si>
    <t>-f3QvJLPht4</t>
  </si>
  <si>
    <t>zDY90WfHRdGhmy7Twt7b0Q</t>
  </si>
  <si>
    <t>ZPch7nAsNho</t>
  </si>
  <si>
    <t>4WxJZeaYTiaVdYmS8KZPYQ</t>
  </si>
  <si>
    <t>nyKk9O7PvDU</t>
  </si>
  <si>
    <t>mwd4inQTSTSUS8W9AtO-zw</t>
  </si>
  <si>
    <t>5icO_v17rZQ</t>
  </si>
  <si>
    <t>O-bXMIiCSBq0mTu1LQN3BQ</t>
  </si>
  <si>
    <t>MPMRP5ygAwI</t>
  </si>
  <si>
    <t>y529zqBFTOmuCIrHdeIYQQ</t>
  </si>
  <si>
    <t>BfgWQgrm_ew</t>
  </si>
  <si>
    <t>Qu4xbWnkS7KaP43Tr.WBXA</t>
  </si>
  <si>
    <t>a-hb-lamBuw</t>
  </si>
  <si>
    <t>UVYFSHEcQV6JyerdlpD1MQ</t>
  </si>
  <si>
    <t>VrxoHv5FL9E</t>
  </si>
  <si>
    <t>bMwMx5j3SsKKOCrsI9qlSA</t>
  </si>
  <si>
    <t>TRANSPORTADORES DE HUACALES</t>
  </si>
  <si>
    <t>INSPECCION SEMANAL TRANSP HUACALES</t>
  </si>
  <si>
    <t>PLAN MTTO MEC TRANSP HUACALES 829615</t>
  </si>
  <si>
    <t>4Uvcb53WPWY</t>
  </si>
  <si>
    <t>OaS1V4arRWiSAs8Xg9aPQg</t>
  </si>
  <si>
    <t>TRANSPORTADOR DE RODILLOS PARA ESTIBAS</t>
  </si>
  <si>
    <t>INSPECCION SEMANAL TRANSP RODILLOS ESTIB</t>
  </si>
  <si>
    <t>PLAN MTTO MEC TRANS RODILLO 82961501</t>
  </si>
  <si>
    <t>G-voYwuyCkc</t>
  </si>
  <si>
    <t>hRU58dneRsKucbK.f6H1vw</t>
  </si>
  <si>
    <t>TRANSPORTADOR</t>
  </si>
  <si>
    <t>INSPECCION SEMANAL TRANSPORTADOR</t>
  </si>
  <si>
    <t>ESTADO PIÑONES CHUMACERAS</t>
  </si>
  <si>
    <t>6EGYQxI9R8s</t>
  </si>
  <si>
    <t>PAVcDpyDTrqzlbJqARFP7A</t>
  </si>
  <si>
    <t>ESTADO JABON LUBRICANTE NIVEL</t>
  </si>
  <si>
    <t>DC33Yv394LY</t>
  </si>
  <si>
    <t>ufSmdm-IRb23p96qSv-qKg</t>
  </si>
  <si>
    <t>GH3anQBgMls</t>
  </si>
  <si>
    <t>nA0UTjmlSsabzwTiZXIS7g</t>
  </si>
  <si>
    <t>dy0S-TPDCDs</t>
  </si>
  <si>
    <t>OR6u3kVQRKmFR5YNSgMEAQ</t>
  </si>
  <si>
    <t>ESTADO MOTO REDUCTORES</t>
  </si>
  <si>
    <t>80BYV9qKFQU</t>
  </si>
  <si>
    <t>hkQFJwqHTnmbPRiGpAUngA</t>
  </si>
  <si>
    <t>m6ZFcvKmVCY</t>
  </si>
  <si>
    <t>dVLi2zEwSuypRgu1ju.RZQ</t>
  </si>
  <si>
    <t>bAS7bNJz6FY</t>
  </si>
  <si>
    <t>kB0k9DrzTxahmEy4SEmf3A</t>
  </si>
  <si>
    <t>77uPhzsZzh8</t>
  </si>
  <si>
    <t>YOL9GHb5S7eSX6437u7Pxw</t>
  </si>
  <si>
    <t>BEi3rDKSQ6E</t>
  </si>
  <si>
    <t>IA0NXjzMT5u1mgZHV5fdIA</t>
  </si>
  <si>
    <t>TRANSPORTADOR AEREO</t>
  </si>
  <si>
    <t>INSPECCION SEMANAL TRANSPORTADOR AEREO</t>
  </si>
  <si>
    <t>INSPECCIONAR LIMPIEZA</t>
  </si>
  <si>
    <t>FERNEYORLANDO RAMOS AULLON</t>
  </si>
  <si>
    <t>w7f1sV2dk2Q</t>
  </si>
  <si>
    <t>yYrq99V9RrGNS5dj1tGLFQ</t>
  </si>
  <si>
    <t>INSP NIVEL AGUA CONDENSACION</t>
  </si>
  <si>
    <t>xjLFk14_ubw</t>
  </si>
  <si>
    <t>ttHy9pDBSiahG-Iu8r3A-g</t>
  </si>
  <si>
    <t>FUNC. BARRERAS LUZ-SENSORES</t>
  </si>
  <si>
    <t>Qpoe82DVyUI</t>
  </si>
  <si>
    <t>xTWbSV2YTX-KT0-bZhWXzg</t>
  </si>
  <si>
    <t>INSP. FILTRO SEPARADOR AGUA</t>
  </si>
  <si>
    <t>XtV32ahvgm8</t>
  </si>
  <si>
    <t>TituIDr8RXeTe6N-M90DBw</t>
  </si>
  <si>
    <t>INSP FILTROS CONJUNTO SOPLADOR</t>
  </si>
  <si>
    <t>Tu-xw0Ui9f4</t>
  </si>
  <si>
    <t>hyijUP4XSb2ApSj2X0YzLQ</t>
  </si>
  <si>
    <t>KxvGRL2DALQ</t>
  </si>
  <si>
    <t>OSvXlVdHQQ68.rm7bOly5Q</t>
  </si>
  <si>
    <t>INSP SISTEMA NEUMATICO</t>
  </si>
  <si>
    <t>Sin presión algunos tramos, motivos manguera en mal estado ( rota ).
 Cilindros en mal estado .</t>
  </si>
  <si>
    <t>NMQOVc95PtE</t>
  </si>
  <si>
    <t>OF8oxl.GSsC9BilEaX-DYQ</t>
  </si>
  <si>
    <t>https://storage.googleapis.com/glide-prod.appspot.com/uploads-v2/ly7o78grxPaC6KdgvbpS/pub/lsrkPlVSNVFY4NBSMmow.jpg</t>
  </si>
  <si>
    <t>INSP ARMARIOS DISTRIBUCION</t>
  </si>
  <si>
    <t>z7JygQAKQuA</t>
  </si>
  <si>
    <t>885a9d-eQ8uGD12aTjIMGw</t>
  </si>
  <si>
    <t>EdXla20hkZI</t>
  </si>
  <si>
    <t>u0CaFozKT4OiNYbZ.daCBg</t>
  </si>
  <si>
    <t>TRANSPORTADOR DE EMBALAJES</t>
  </si>
  <si>
    <t>INSPECCION SEMANAL TRANSPORTADOR EMBALAJ</t>
  </si>
  <si>
    <t>ESTADO PERFILES, EMPACK</t>
  </si>
  <si>
    <t>Mauricio Murillo Arrollo</t>
  </si>
  <si>
    <t>Dws2hTyYQQ8</t>
  </si>
  <si>
    <t>LhWzK3StSWGnr16Nao.Yqw</t>
  </si>
  <si>
    <t>ESTADO PIÑONES,CHUMACERAS</t>
  </si>
  <si>
    <t>o3PMdPl9Ct8</t>
  </si>
  <si>
    <t>vWjEwXYRT5iF6BZIkmXh7A</t>
  </si>
  <si>
    <t>ESTADO BARANDAS</t>
  </si>
  <si>
    <t>Lg9q1YN0gkE</t>
  </si>
  <si>
    <t>MpuZQY9tSYCRql.coyb.6A</t>
  </si>
  <si>
    <t>ESTADO JABON LUBRICANTE</t>
  </si>
  <si>
    <t>T9wdieJWYD8</t>
  </si>
  <si>
    <t>xHBfn0AvQ2iIspwXPkTbcA</t>
  </si>
  <si>
    <t>ESTADO CADENAS, TORNILLERIA</t>
  </si>
  <si>
    <t>h3ecsheacj4</t>
  </si>
  <si>
    <t>f66PPpXjTFGdqSh7YHA9Iw</t>
  </si>
  <si>
    <t>HQ4emmgs2bM</t>
  </si>
  <si>
    <t>cc36t3K9RLa-y6Cmzo4y2A</t>
  </si>
  <si>
    <t>MOTORREDUCTORES</t>
  </si>
  <si>
    <t>7wMINsgmlek</t>
  </si>
  <si>
    <t>qOvc5ibtQdq80nIwOgAJUg</t>
  </si>
  <si>
    <t>Manija de de puerta de tablero número 2 se encuentra en mal Estado</t>
  </si>
  <si>
    <t>5h9kWQ6BMTw</t>
  </si>
  <si>
    <t>9PeHXnRlScCGkIB18i7ZGA</t>
  </si>
  <si>
    <t>https://storage.googleapis.com/glide-prod.appspot.com/uploads-v2/ly7o78grxPaC6KdgvbpS/pub/zLzHB3yyhLu8D2Ne9FCH.jpg</t>
  </si>
  <si>
    <t>https://storage.googleapis.com/glide-prod.appspot.com/uploads-v2/ly7o78grxPaC6KdgvbpS/pub/nFBIjHCrcpqEYcXfeYnN.jpg</t>
  </si>
  <si>
    <t>ESTADO DE TRANSFERENCIAS</t>
  </si>
  <si>
    <t>Trasferencias entrada a mesa de acomodo de la paletizadora se encuentran en mal Estado, trasferencia de entrada a multidivisor tambien</t>
  </si>
  <si>
    <t>fy9E0esIUH0</t>
  </si>
  <si>
    <t>5Mr1KzLDRZuJA7HMchyNcw</t>
  </si>
  <si>
    <t>https://storage.googleapis.com/glide-prod.appspot.com/uploads-v2/ly7o78grxPaC6KdgvbpS/pub/d5ctukL2y6M1p0KxPZZg.jpg</t>
  </si>
  <si>
    <t>https://storage.googleapis.com/glide-prod.appspot.com/uploads-v2/ly7o78grxPaC6KdgvbpS/pub/bDqM7GqHlMpojCdhlfCT.jpg</t>
  </si>
  <si>
    <t>MANIJA DE AJUSTE GUÍAS</t>
  </si>
  <si>
    <t>ypeQCSMWgm4</t>
  </si>
  <si>
    <t>vzsu9-ABRZeZLDxpypsZdg</t>
  </si>
  <si>
    <t>ESTADO DE GUÍAS</t>
  </si>
  <si>
    <t>0wuC60MkqT0</t>
  </si>
  <si>
    <t>ZFtPdt6GQbGxRqFYP5QfXA</t>
  </si>
  <si>
    <t>SENSORES DE ACUMULACIÓN</t>
  </si>
  <si>
    <t>5B_OdbBI5uo</t>
  </si>
  <si>
    <t>7lB5hLs1R6KJM0pYfkynzg</t>
  </si>
  <si>
    <t>ESTADO DE BANDA FRENOS</t>
  </si>
  <si>
    <t>YthhsIyOz1A</t>
  </si>
  <si>
    <t>c-ad1GjcT1KtJlrX3ywumw</t>
  </si>
  <si>
    <t>ESTADO DE CANALETAS CABLES</t>
  </si>
  <si>
    <t>Yc43KsL0uEQ</t>
  </si>
  <si>
    <t>5Z.D2S7nTO2jluaig61.zQ</t>
  </si>
  <si>
    <t>qyGwpe7mPls</t>
  </si>
  <si>
    <t>o3U-t9OFSUyF2YcTy1WBww</t>
  </si>
  <si>
    <t>bnyV-lzZZZQ</t>
  </si>
  <si>
    <t>1rZsTfoLQ7GvDByMYF521g</t>
  </si>
  <si>
    <t>abcF-Ljsn0M</t>
  </si>
  <si>
    <t>xEwHRMvQRjun-1kcyBxv8w</t>
  </si>
  <si>
    <t>oqu0nxPm7-g</t>
  </si>
  <si>
    <t>GTmlk8CVRVCqnnOBw2Bmtw</t>
  </si>
  <si>
    <t>g3YPVksI1yc</t>
  </si>
  <si>
    <t>gORChjcoQDmPRjQJSlaKmw</t>
  </si>
  <si>
    <t>Guías laterales de transportador sé encuentra reventada volteador de paquetes</t>
  </si>
  <si>
    <t>GLAETbykbOk</t>
  </si>
  <si>
    <t>6mGbCMWUTsKSGpyEbL9aJw</t>
  </si>
  <si>
    <t>https://storage.googleapis.com/glide-prod.appspot.com/uploads-v2/ly7o78grxPaC6KdgvbpS/pub/dMd9lI4G7KPVu2YM1p3c.jpg</t>
  </si>
  <si>
    <t>PzqGM5Oi75Q</t>
  </si>
  <si>
    <t>MJJ8K1cDSuWFVUBwEvO1RQ</t>
  </si>
  <si>
    <t>TRANSPORTADOR ENVASE</t>
  </si>
  <si>
    <t>INSPECCION SEMANAL TRANSPORTADOR ENVASE</t>
  </si>
  <si>
    <t>Lozano Delgado Fausto Andres</t>
  </si>
  <si>
    <t>-nN6qsSvjec</t>
  </si>
  <si>
    <t>kngC7zhDTCixUQqlwG.XgQ</t>
  </si>
  <si>
    <t>nfndtGhZNPE</t>
  </si>
  <si>
    <t>vFmGa31pTaizIVRjNq6BlA</t>
  </si>
  <si>
    <t>PYF2Skfp3_w</t>
  </si>
  <si>
    <t>9oTxT9fhRT-992Sn2r6FPA</t>
  </si>
  <si>
    <t>t9SPk8MCIYk</t>
  </si>
  <si>
    <t>TlWcEhfmTj-gSmVqRjVg7A</t>
  </si>
  <si>
    <t>S9oh3pk8wTU</t>
  </si>
  <si>
    <t>KotU.zIXSk2dO6nJ5ZIAQw</t>
  </si>
  <si>
    <t>oky7sdtIACU</t>
  </si>
  <si>
    <t>vulIU-QeQbK4GUh3C201RQ</t>
  </si>
  <si>
    <t>mpgoCy4yxBo</t>
  </si>
  <si>
    <t>ZMNFjAQUR2yTxzSXqLoQLw</t>
  </si>
  <si>
    <t>CADENAS TRANSMISION</t>
  </si>
  <si>
    <t>P3It46jXU6k</t>
  </si>
  <si>
    <t>04fZNu16RqSm2HdwFzu7ww</t>
  </si>
  <si>
    <t>o5afCbd3UPc</t>
  </si>
  <si>
    <t>BrCF1L9RTsm4wa1WXOmRNA</t>
  </si>
  <si>
    <t>INSPECCION SEMANAL TRANSPORTE DE ENVASES</t>
  </si>
  <si>
    <t>2LGgfgBitRA</t>
  </si>
  <si>
    <t>RT21ofxAQ2azD59-W0q1xA</t>
  </si>
  <si>
    <t>wJ_SF3B8Ic0</t>
  </si>
  <si>
    <t>bezYbO31QIKckpgKTLTaEA</t>
  </si>
  <si>
    <t>y6W1sJVBy7A</t>
  </si>
  <si>
    <t>AIwB7eCURoWiLYbsP5wZCg</t>
  </si>
  <si>
    <t>fSYvrSvc8TA</t>
  </si>
  <si>
    <t>SqoJNw-PQLqQsHXDs7T2Tw</t>
  </si>
  <si>
    <t>dLczpj_4RLc</t>
  </si>
  <si>
    <t>1gxJbZQbSySYV3hI6KxAjQ</t>
  </si>
  <si>
    <t>d6PYUi_asY8</t>
  </si>
  <si>
    <t>l26DPZkIRpe4hIlUbMPJ2Q</t>
  </si>
  <si>
    <t>CS2u-_CVDAg</t>
  </si>
  <si>
    <t>4GKGGnc3Soqah-jyzhPGxA</t>
  </si>
  <si>
    <t>_mj20ao8Rwc</t>
  </si>
  <si>
    <t>a.PldWaGmQVOsp1P-9TBdBw</t>
  </si>
  <si>
    <t>OSXZZvizQ2c</t>
  </si>
  <si>
    <t>FQU1DQoWRzm1Eafcl8pw4g</t>
  </si>
  <si>
    <t>TRANSPORTE DE PALETS</t>
  </si>
  <si>
    <t>INSPECCION SEMANAL TRANSPORTE DE PALETS</t>
  </si>
  <si>
    <t>PARRA VELANDIA JOHN JAIRO</t>
  </si>
  <si>
    <t>pJ_d_BhL2mQ</t>
  </si>
  <si>
    <t>tGG7oO9SRWiCfLgFSoOVyg</t>
  </si>
  <si>
    <t>1-fbd-9tkIs</t>
  </si>
  <si>
    <t>SmFGCX2rRbO084vb4qbGgg</t>
  </si>
  <si>
    <t>-tXm4uekEOM</t>
  </si>
  <si>
    <t>5h.F5-r5S46sqIs8On.QBQ</t>
  </si>
  <si>
    <t>AmJAlIYaxZY</t>
  </si>
  <si>
    <t>ziYVp5BLR-C.MBIMEAbSdw</t>
  </si>
  <si>
    <t>1e3JGjB4m68</t>
  </si>
  <si>
    <t>CO383AwjTAKmCHc6w-nSnw</t>
  </si>
  <si>
    <t>2TmdkOp1R7s</t>
  </si>
  <si>
    <t>CBqv3lZkR0agzZzkibu.XA</t>
  </si>
  <si>
    <t>zOnAr7wDX3k</t>
  </si>
  <si>
    <t>tYkKU0xxSh65X5rngoy0IQ</t>
  </si>
  <si>
    <t>TRANSPORTE DE PAQUETES</t>
  </si>
  <si>
    <t>INSPECCION SEMANAL TRANSPORTE DE PAQUETE</t>
  </si>
  <si>
    <t>SotMmQNZOm8</t>
  </si>
  <si>
    <t>Y.Q2JCuVSJenvHqkLPjV.g</t>
  </si>
  <si>
    <t>hOp_vw0sh5k</t>
  </si>
  <si>
    <t>25RoMCgsQHOmDh7V0ichog</t>
  </si>
  <si>
    <t>zQ-_e_nqmxE</t>
  </si>
  <si>
    <t>WPQMkexISWKF5G9nDy4VBA</t>
  </si>
  <si>
    <t>ZsblIFMmCM4</t>
  </si>
  <si>
    <t>q1hIK5e.R4yOPT2DMZ8izw</t>
  </si>
  <si>
    <t>_oG3Rez-_t0</t>
  </si>
  <si>
    <t>P-rBovk7RWy5faM0GWrDsw</t>
  </si>
  <si>
    <t>QfxlRH7lmMc</t>
  </si>
  <si>
    <t>2X6AmdqMRH-sOUvHNBg4Lw</t>
  </si>
  <si>
    <t>vIGBEOWCjAA</t>
  </si>
  <si>
    <t>9nYwn7PuQ5CPNeSeoWbe5w</t>
  </si>
  <si>
    <t>2H9GyGPsgEI</t>
  </si>
  <si>
    <t>6fTfM7VZTdqEKhkXFu0YaA</t>
  </si>
  <si>
    <t>V1TfVBtzj6E</t>
  </si>
  <si>
    <t>hjpnhTokSOOvFILnr3B.HQ</t>
  </si>
  <si>
    <t>TUNEL DE TERMOENCOGIDO</t>
  </si>
  <si>
    <t>INSPECCION SEMANAL TUNEL DE TERMOENCOGID</t>
  </si>
  <si>
    <t>VERIFICAR TEMP SELLADO</t>
  </si>
  <si>
    <t>ws4n3apPOZM</t>
  </si>
  <si>
    <t>nMToScflSja55ymHSokaOA</t>
  </si>
  <si>
    <t>INSP. ESTADO TABLERO DE CONTROL</t>
  </si>
  <si>
    <t>dZJAhCqf8n4</t>
  </si>
  <si>
    <t>LGQswY4PQZWbMqkDjdvZ3g</t>
  </si>
  <si>
    <t>Bihk9QD8qfk</t>
  </si>
  <si>
    <t>0jdXF-4tQcy5sH5z0mhHlA</t>
  </si>
  <si>
    <t>YsDSYtLQpHo</t>
  </si>
  <si>
    <t>wFbzYfsiRLunLE53ZKE8Zw</t>
  </si>
  <si>
    <t>FH-8PL0hEuA</t>
  </si>
  <si>
    <t>b.boefd8T.uDAxe5OrOxjg</t>
  </si>
  <si>
    <t>BNZA3s3gHdg</t>
  </si>
  <si>
    <t>5LiuiwhXQrSRRAsgZBeffg</t>
  </si>
  <si>
    <t>pfF7d60grT8</t>
  </si>
  <si>
    <t>nnmEsqVaQ4O2D0QOxgbj4Q</t>
  </si>
  <si>
    <t>1RszvwYwseE</t>
  </si>
  <si>
    <t>Ykc3nEZxT5qnFUv0UPuYng</t>
  </si>
  <si>
    <t>UEHKEsLtWqA</t>
  </si>
  <si>
    <t>xRrCOmXdRd6tRRTzHr0Y9g</t>
  </si>
  <si>
    <t>C8vBQrRdw3o</t>
  </si>
  <si>
    <t>3kZzGdhcTMqlgcknhQV5FQ</t>
  </si>
  <si>
    <t>05IvC1dee-o</t>
  </si>
  <si>
    <t>hxMuBl2YQxmMpMo8UBY9Cw</t>
  </si>
  <si>
    <t>y-XyCxIQu6U</t>
  </si>
  <si>
    <t>27HIYBPzSQK0yGrRtIhi6g</t>
  </si>
  <si>
    <t>LUNlN08Ehr8</t>
  </si>
  <si>
    <t>u2yzYmolRaWLAeyhqmGQjg</t>
  </si>
  <si>
    <t>lB3aR-PHiRM</t>
  </si>
  <si>
    <t>Xj1f8cSFS5mJuDGranMd0A</t>
  </si>
  <si>
    <t>l0YF378F1zE</t>
  </si>
  <si>
    <t>K8h2BnyWTOWbCjoJGDmAzg</t>
  </si>
  <si>
    <t>inb2F1qeTac</t>
  </si>
  <si>
    <t>KsRRh.QeRQuWIu5YV8E9Dg</t>
  </si>
  <si>
    <t>Nivel tanque recibidor gaseosa (D) (35-50-80)</t>
  </si>
  <si>
    <t>u6fNwJHaFuw</t>
  </si>
  <si>
    <t>GKhDw.eTS4GP9s.ukV8ArA</t>
  </si>
  <si>
    <t>Nivel tanque recibidor Jugos (D) (30-45-75)</t>
  </si>
  <si>
    <t>MfVIfjaU3Pc</t>
  </si>
  <si>
    <t>o-lH6c-NT5mHqEIi-hZRwQ</t>
  </si>
  <si>
    <t>Nivel tanque recibidor L10</t>
  </si>
  <si>
    <t>xKfqFLJdx2E</t>
  </si>
  <si>
    <t>JDQNQ9VwQVuCgEuTixcYVQ</t>
  </si>
  <si>
    <t>Detección de fugas con velas de azufre (S)</t>
  </si>
  <si>
    <t>qTQ25U8fSLk</t>
  </si>
  <si>
    <t>bNfMyINLT7KBtRM4kHwsAg</t>
  </si>
  <si>
    <t>Limpieza del condensador y sus incrustaciones (M)</t>
  </si>
  <si>
    <t>Gvx5Omxdr9I</t>
  </si>
  <si>
    <t>ydm99ThUR0GxXtfYCe3ZVQ</t>
  </si>
  <si>
    <t>Ajuste del torque en las prensaestopas todas las valvulas del sistema (BIM)</t>
  </si>
  <si>
    <t>ImbbeiRAGPg</t>
  </si>
  <si>
    <t>aYrsI8I5Rgeb1JuYNL83sg</t>
  </si>
  <si>
    <t>Ajuste de tornillo en flanches (Sem-Sep-Feb)</t>
  </si>
  <si>
    <t>Ks4rTnpHWrw</t>
  </si>
  <si>
    <t>ZiNkCJhpRtipU7setOwYmQ</t>
  </si>
  <si>
    <t>Revisión y calibración de manómetros (Sem-Sep-Feb)</t>
  </si>
  <si>
    <t>OI6trWOBVgY</t>
  </si>
  <si>
    <t>FVhd4ziAQCq5jGtVLaMnZA</t>
  </si>
  <si>
    <t>Revisión de las válvulas de drenaje de aceite y las válvulas de cierre rápido (sem-Sep-Feb)</t>
  </si>
  <si>
    <t>utks3INPsi0</t>
  </si>
  <si>
    <t>Yj0HfqgcQQaErmqSMvxWqA</t>
  </si>
  <si>
    <t>Revisión de la integridad de los equipos y accesorios, oxidación y estado general (A-Jun)</t>
  </si>
  <si>
    <t>IVtyGrsMhMM</t>
  </si>
  <si>
    <t>bRMGWxm0QyywgNNciZKzbg</t>
  </si>
  <si>
    <t>VERIFICACION FUNCION FLOTADORES TRAMPAS AMONIACO GAS</t>
  </si>
  <si>
    <t>l2Nj8cbPTkk</t>
  </si>
  <si>
    <t>cuVIrG7XSTev53AqPwIpAA</t>
  </si>
  <si>
    <t>VERIFICACION FUNCION FLOTADORES TRAMPAS AMONIACO L8</t>
  </si>
  <si>
    <t>GVuB4Nt22JU</t>
  </si>
  <si>
    <t>xA2cuMuVSjOqyHUo9i.J0A</t>
  </si>
  <si>
    <t>VERIFICACION FUNCION FLOTADORES TRAMPAS AMONIACO L10</t>
  </si>
  <si>
    <t>eaTfct_y2oQ</t>
  </si>
  <si>
    <t>AcEqSiFASqK.N-ERjygzFQ</t>
  </si>
  <si>
    <t>ywUlwH4B9ow</t>
  </si>
  <si>
    <t>JOSJ6CpyTNiqdHwjXbsOiw</t>
  </si>
  <si>
    <t>Wwo_v-FKdAQ</t>
  </si>
  <si>
    <t>A-2WjzDETueLv8HE3chYeg</t>
  </si>
  <si>
    <t>wdix2I_0fJg</t>
  </si>
  <si>
    <t>N5RKnBmKQ4SDWfiBERj0jg</t>
  </si>
  <si>
    <t>El eje se encuentra en regular estado, material fatigado por corrosión</t>
  </si>
  <si>
    <t>HcMpTI2bd8E</t>
  </si>
  <si>
    <t>LQwKSYUZTn-zJP9a4uR19A</t>
  </si>
  <si>
    <t>https://storage.googleapis.com/glide-prod.appspot.com/uploads-v2/ly7o78grxPaC6KdgvbpS/pub/BcgCzlSqYd3Erqp37MnU.jpg</t>
  </si>
  <si>
    <t>UEX6Xl4smhk</t>
  </si>
  <si>
    <t>y4G4MEFtQ5GURwfLP-r2oA</t>
  </si>
  <si>
    <t>uKYgdNjwiU0</t>
  </si>
  <si>
    <t>fmNwMdMSQk23qYUcpw90nQ</t>
  </si>
  <si>
    <t>IIToV_jRAEg</t>
  </si>
  <si>
    <t>EzCdboA.RXGjE0P7YLMrEA</t>
  </si>
  <si>
    <t>JS0I5HZnd34</t>
  </si>
  <si>
    <t>Ounm7jtARLOdVVJl-pNhxA</t>
  </si>
  <si>
    <t>SYqVCHRjBeI</t>
  </si>
  <si>
    <t>rn70V-L3TDuK1mSMq-aMQg</t>
  </si>
  <si>
    <t>cmqfIlsy5v0</t>
  </si>
  <si>
    <t>Vrx3DjLvQrWmS7mb2wmEVA</t>
  </si>
  <si>
    <t>FWZBfP_qSQg</t>
  </si>
  <si>
    <t>acqmWWMMSqijGC9HguUsCQ</t>
  </si>
  <si>
    <t>OoZx6aKH-C8</t>
  </si>
  <si>
    <t>skyaJbASS6qY8gIbghM.1g</t>
  </si>
  <si>
    <t>LFlpXXTdX4A</t>
  </si>
  <si>
    <t>23QBsVFsRbeRBXTG9pKtwQ</t>
  </si>
  <si>
    <t>zQYK5HydyIk</t>
  </si>
  <si>
    <t>I4IbFTm1TgWtiw1tJM6juA</t>
  </si>
  <si>
    <t>yu38y14UkEM</t>
  </si>
  <si>
    <t>WyWlQWdZRqKFvHw1zsuirg</t>
  </si>
  <si>
    <t>ispn2dXLnYg</t>
  </si>
  <si>
    <t>4jqCA-BAR.isZgN3g2H0mg</t>
  </si>
  <si>
    <t>HmxqW6j30Ow</t>
  </si>
  <si>
    <t>7TZHNWoXRTygzuABJM25UA</t>
  </si>
  <si>
    <t>CxXVl_E9V9Y</t>
  </si>
  <si>
    <t>NIUEZmXvRCyo-QxzpSTvAw</t>
  </si>
  <si>
    <t>iZRzhxZsOB4</t>
  </si>
  <si>
    <t>y.5LAuNHTCSxAFRSNH9-Wg</t>
  </si>
  <si>
    <t>BUcZ4w0VakU</t>
  </si>
  <si>
    <t>T6JT8DNvQRiuYY7lJPgiXw</t>
  </si>
  <si>
    <t>Xyh-8yyE71g</t>
  </si>
  <si>
    <t>MMaFVk4LTxu6nVnbmF7x2Q</t>
  </si>
  <si>
    <t>U8R7l5sSQgA</t>
  </si>
  <si>
    <t>J44djF7zSoq9XD8rY7PDAA</t>
  </si>
  <si>
    <t>54G74hOE9sQ</t>
  </si>
  <si>
    <t>UgeOsFEDTG6g-Hc.8RbYPw</t>
  </si>
  <si>
    <t>bfXLjvFUq8Y</t>
  </si>
  <si>
    <t>DeiIwwP4TOyZPst.YZPO6Q</t>
  </si>
  <si>
    <t>7Vz4RY5BjKA</t>
  </si>
  <si>
    <t>SRXGpVw6TSyQhTJC.5tKjw</t>
  </si>
  <si>
    <t>4VXzefA3kIg</t>
  </si>
  <si>
    <t>rR5g4y-HSKS11c6bAjbaig</t>
  </si>
  <si>
    <t>GH6pivk3W3w</t>
  </si>
  <si>
    <t>a9eJiXlvQFmxUhhiFyyLyg</t>
  </si>
  <si>
    <t>INSPECCION SEMANAL LLENADORA DE BOTELLAS</t>
  </si>
  <si>
    <t>Fuga de aire en cilindro elevador de centrador, ocasiona que se quede pegado y botella sale con bajo nivel de llenado. Válvula No 159</t>
  </si>
  <si>
    <t>HxuDiLfXR4s</t>
  </si>
  <si>
    <t>6O5esmooSSGRWjjnTVkrow</t>
  </si>
  <si>
    <t>https://storage.googleapis.com/glide-prod.appspot.com/uploads-v2/ly7o78grxPaC6KdgvbpS/pub/ptvD26w9HAWEfScL3VSP.jpg</t>
  </si>
  <si>
    <t>https://storage.googleapis.com/glide-prod.appspot.com/uploads-v2/ly7o78grxPaC6KdgvbpS/pub/vhlAfN2a9EhoPRHnaoV6.jpg</t>
  </si>
  <si>
    <t>a8ynvPXCrMo</t>
  </si>
  <si>
    <t>Ow.8lA8TS0eX5GhoYhhjMg</t>
  </si>
  <si>
    <t>SISTEMA NEUMATICO (TUBERIA,VALVULAS,GRIFOS)</t>
  </si>
  <si>
    <t>oWcf1iNmQRQ</t>
  </si>
  <si>
    <t>YAI4G0kZR.mW.x8YpYx8Lw</t>
  </si>
  <si>
    <t>zPpG8WtWdBA</t>
  </si>
  <si>
    <t>Xa5OW.vZTDSVRnFJKCkOWg</t>
  </si>
  <si>
    <t>7A_ningraXs</t>
  </si>
  <si>
    <t>MYqCzozqTb-xpYlGeX2iyg</t>
  </si>
  <si>
    <t>RnRrnuvfIHA</t>
  </si>
  <si>
    <t>R4eI1zn-Q.G7CfOf8b5S4Q</t>
  </si>
  <si>
    <t>DkPuh_fNHaQ</t>
  </si>
  <si>
    <t>eXgP5ns9Tsa91oFW2NALkw</t>
  </si>
  <si>
    <t>nzpJMV4QUcM</t>
  </si>
  <si>
    <t>BgLM2bwISwiL476peV8mYw</t>
  </si>
  <si>
    <t>Posicionador de envases estrella salida llenadora incompletos.</t>
  </si>
  <si>
    <t>SDuR4ZaAkG8</t>
  </si>
  <si>
    <t>a--MXZU9BRI-uZ0Jo53afgQ</t>
  </si>
  <si>
    <t>https://storage.googleapis.com/glide-prod.appspot.com/uploads-v2/ly7o78grxPaC6KdgvbpS/pub/tc8O3fSwwtBwgAXe2R3q.jpg</t>
  </si>
  <si>
    <t>hjxnPd1f3MI</t>
  </si>
  <si>
    <t>a-EyPIMiJTeCwQZcjZaCa3w</t>
  </si>
  <si>
    <t>d0dVpmpOApo</t>
  </si>
  <si>
    <t>a.oqN00leTFOYv4-bFGXFkg</t>
  </si>
  <si>
    <t>lTJRmFa5HVc</t>
  </si>
  <si>
    <t>c3YTkJgvQLa7RG9hmXlvZA</t>
  </si>
  <si>
    <t>-G6ZJpmTuQc</t>
  </si>
  <si>
    <t>hWrgPggJSW-oVw9qUTnFOg</t>
  </si>
  <si>
    <t>FWVtd5OcAOk</t>
  </si>
  <si>
    <t>uxFCJUXiSrWue-WkYrR9tQ</t>
  </si>
  <si>
    <t>EQUIPO ELECTRICO/ ELECTRONICO</t>
  </si>
  <si>
    <t>Fallo lectura caudal en B700.FIT, equipo se alarma y señal se encuentra simulada en pantalla.</t>
  </si>
  <si>
    <t>F24TQ1EZpTI</t>
  </si>
  <si>
    <t>0cNhOwPGRvGRFidEwBo.9A</t>
  </si>
  <si>
    <t>https://storage.googleapis.com/glide-prod.appspot.com/uploads-v2/ly7o78grxPaC6KdgvbpS/pub/uxLd3XNKYFNPQ6CsUi38.jpg</t>
  </si>
  <si>
    <t>https://storage.googleapis.com/glide-prod.appspot.com/uploads-v2/ly7o78grxPaC6KdgvbpS/pub/ymjwOUALhexOLxQ9EnIY.jpg</t>
  </si>
  <si>
    <t>E1FfHT-y23Q</t>
  </si>
  <si>
    <t>iavwQDCQSVy-1w1aAo5Xiw</t>
  </si>
  <si>
    <t>l22A-rFH2VM</t>
  </si>
  <si>
    <t>FnrnHBs3RnSDnvu62V0deQ</t>
  </si>
  <si>
    <t>ulL7SaVZE-4</t>
  </si>
  <si>
    <t>LtyfOsN9SnKFyJNVoN0L1Q</t>
  </si>
  <si>
    <t>INSPECCION PRESION POSITIVA CABINA</t>
  </si>
  <si>
    <t>0pG9jVOswOs</t>
  </si>
  <si>
    <t>9pFTECjtRoWT7Z0P7kf9zQ</t>
  </si>
  <si>
    <t>K7kY5J0SKpE</t>
  </si>
  <si>
    <t>3PwikdFKQhmsxqlsJq28-g</t>
  </si>
  <si>
    <t>GDDxBPTvDag</t>
  </si>
  <si>
    <t>vwae3SQ0TtKf4liUYtytVw</t>
  </si>
  <si>
    <t>INSP. LAMPARAS Y BOMBILLAS</t>
  </si>
  <si>
    <t>upeGiH-NWI8</t>
  </si>
  <si>
    <t>k--SA.OoQ0WHIfr18g-mzQ</t>
  </si>
  <si>
    <t>FUNC MOTORREDUCTORES (TAPONADOR)</t>
  </si>
  <si>
    <t>oTQ8go-kvjY</t>
  </si>
  <si>
    <t>aAyPao1USSy-16X6ZNJqcQ</t>
  </si>
  <si>
    <t>ESTADO BANDAS ALIMENTACION (TAPONADOR)</t>
  </si>
  <si>
    <t>Banda presenta desgaste, en un lado, se puede cambiar posición para que el desgaste sea parejo.</t>
  </si>
  <si>
    <t>RQxrhXVfOaE</t>
  </si>
  <si>
    <t>a-H0IN9c3Qn2tDhqAU-aZTA</t>
  </si>
  <si>
    <t>https://storage.googleapis.com/glide-prod.appspot.com/uploads-v2/ly7o78grxPaC6KdgvbpS/pub/RcRIY3fKH1PdajgsJNeb.jpg</t>
  </si>
  <si>
    <t>INSP SISTEMA NEUMATICO (TAPONADOR)</t>
  </si>
  <si>
    <t>oKHPEAA_W2I</t>
  </si>
  <si>
    <t>H9jQnWuKR1uoRX6funaYaA</t>
  </si>
  <si>
    <t>FUNC SENSORES TAPAS (TAPONADOR)</t>
  </si>
  <si>
    <t>6CguFHfhUEY</t>
  </si>
  <si>
    <t>Wu4Igw77TkmUA3HneZ.Itw</t>
  </si>
  <si>
    <t>INSP TABLERO ELECTRICO (TAPONADOR)</t>
  </si>
  <si>
    <t>gUnizgyhPbc</t>
  </si>
  <si>
    <t>crjgaqquTp2EAXGEpjRzMQ</t>
  </si>
  <si>
    <t>CORONADORES (TAPONADOR)</t>
  </si>
  <si>
    <t>Se evidencia ripio en base soporte botella coronadores.</t>
  </si>
  <si>
    <t>T6OgUKHTkTw</t>
  </si>
  <si>
    <t>meGf.MtcReywDrmbsyEX0A</t>
  </si>
  <si>
    <t>https://storage.googleapis.com/glide-prod.appspot.com/uploads-v2/ly7o78grxPaC6KdgvbpS/pub/rQq8GgmAN0CQvmJ3H0YA.jpg</t>
  </si>
  <si>
    <t>INSP CAMARA (TAPONADOR)</t>
  </si>
  <si>
    <t>01cn_c63-eg</t>
  </si>
  <si>
    <t>PQHkDzquTxqQ3ycwFgGm-Q</t>
  </si>
  <si>
    <t>INSP ELEVADOR DE TAPAS (TAPONADOR)</t>
  </si>
  <si>
    <t>Equipo está funcionando con armario abierto, se presenta fallo por sobrecalentamiento y se apaga el transportador además se activa la función de vaciar.</t>
  </si>
  <si>
    <t>q9BBy_lTv5M</t>
  </si>
  <si>
    <t>ffkDKsNmTcyFK8HsV.RSIw</t>
  </si>
  <si>
    <t>https://storage.googleapis.com/glide-prod.appspot.com/uploads-v2/ly7o78grxPaC6KdgvbpS/pub/QUMFCd3gRw9CrRrzBTxO.jpg</t>
  </si>
  <si>
    <t>TANQUE Y BASCULA DE CO2 COD</t>
  </si>
  <si>
    <t>PRAXAIR: Revise auditivamente presencia de fugas o señales de mal funcionamiento en el tanque de almacenamiento y el evaporador (D)</t>
  </si>
  <si>
    <t>cpqPqLQb8Kg</t>
  </si>
  <si>
    <t>Cpqx7KjQSbqnYpalMxN6wQ</t>
  </si>
  <si>
    <t>PRAXAIR:Inspeccione si hay acumulación de hielo en las tuberías entre el tanque de almacenamiento y el evaporador. (S)</t>
  </si>
  <si>
    <t>JfHaj7lL_1s</t>
  </si>
  <si>
    <t>YdnpADBZQf6lfOlyUauZ8Q</t>
  </si>
  <si>
    <t>PRAXAIR:Observe las válvulas de alivio de presión del tanque de almacenamiento. Descarte la presencia de fugas (S)</t>
  </si>
  <si>
    <t>eoQ_eyH1HyU</t>
  </si>
  <si>
    <t>cDXW6Zy.Ra-B.Uri.TV2HA</t>
  </si>
  <si>
    <t>PRAXAIR:Verifique la presión real en el tanque de almacenamiento (S)</t>
  </si>
  <si>
    <t>3yGfA04Ipto</t>
  </si>
  <si>
    <t>PuK7qqozTrCFZGrIw9TGFw</t>
  </si>
  <si>
    <t>PRAXAIR:Reemplace el cartucho del filtro de carbón de la entrada en los carbonatadores (St)</t>
  </si>
  <si>
    <t>IZ1rFUkOotA</t>
  </si>
  <si>
    <t>WNAVZJZ8Tu2lgm2-sw6IwQ</t>
  </si>
  <si>
    <t>LINDE: Revise auditivamente presencia de fugas o señales de mal funcionamiento en el tanque de almacenamiento y el evaporador (D)</t>
  </si>
  <si>
    <t>CI_Im95LfhY</t>
  </si>
  <si>
    <t>sxzjv.XeTxa3Z-s1BVQaOQ</t>
  </si>
  <si>
    <t>LINDE: Inspeccione si hay acumulación de hielo en las tuberías entre el tanque de almacenamiento y el evaporador. (S)</t>
  </si>
  <si>
    <t>FI-BMgnbIhI</t>
  </si>
  <si>
    <t>BDU5sRNjRNiIQF08jImCbQ</t>
  </si>
  <si>
    <t>LINDE:Observe las válvulas de alivio de presión del tanque de almacenamiento. Descarte la presencia de fugas (S)</t>
  </si>
  <si>
    <t>TzPn2-lvy9I</t>
  </si>
  <si>
    <t>gkt7nChcRfKrNI6L6clEcw</t>
  </si>
  <si>
    <t>LINDE: Verifique la presión real en el tanque de almacenamiento (S)</t>
  </si>
  <si>
    <t>nFTqkD9anIo</t>
  </si>
  <si>
    <t>6EBx3TccSJyKNRkFRtiG9g</t>
  </si>
  <si>
    <t>LINDE:Reemplace el cartucho del filtro de carbón de la entrada en los carbonatadores (St)</t>
  </si>
  <si>
    <t>BhFgVAq7Ax8</t>
  </si>
  <si>
    <t>EbBA9M1jS.aRcW74UmIRRA</t>
  </si>
  <si>
    <t>TANQUE NITROGENO COD</t>
  </si>
  <si>
    <t>Revise auditivamente presencia de fugas o señales de mal funcionamiento en el tanque de almacenamiento (D)</t>
  </si>
  <si>
    <t>mC8GQbc0JDs</t>
  </si>
  <si>
    <t>Pq5FWqI9QeSzAwmNt1z8iw</t>
  </si>
  <si>
    <t>Inspeccione si hay acumulación de hielo en las tuberías entre el tanque de almacenamiento y el dosificador de nitrógeno líquido. (S)</t>
  </si>
  <si>
    <t>r7okFJxHXK8</t>
  </si>
  <si>
    <t>Z74fhDoiTHqEj2wpbGrfpQ</t>
  </si>
  <si>
    <t>Observe las válvulas de alivio de presión del tanque de almacenamiento. Descarte la presencia de fugas (S)</t>
  </si>
  <si>
    <t>pIPLkQwybRI</t>
  </si>
  <si>
    <t>Cb5F1vZ9SGi-Is6f9MmT1g</t>
  </si>
  <si>
    <t>Registre la presión real en el tanque de almacenamiento (S)</t>
  </si>
  <si>
    <t>0I3_6Sg6NrA</t>
  </si>
  <si>
    <t>RQOFXl-RTayJrxGfzZeShg</t>
  </si>
  <si>
    <t>9pDUH0v5oxg</t>
  </si>
  <si>
    <t>pKyMFH2LR6i1nvDdUA-pkQ</t>
  </si>
  <si>
    <t>DP-QLl77IA8</t>
  </si>
  <si>
    <t>jRKHBAbSQHmqxPsN4NqeCA</t>
  </si>
  <si>
    <t>IAZAVElCmrY</t>
  </si>
  <si>
    <t>Wf0EspLYTsaKyPkNxbHE2g</t>
  </si>
  <si>
    <t>S-Vb1Q-p6Nw</t>
  </si>
  <si>
    <t>WYG4rWY1RceKhl6.MT.7qg</t>
  </si>
  <si>
    <t>6bV95UBKtxw</t>
  </si>
  <si>
    <t>nTDtAgAQR5GSSAuct2o3kw</t>
  </si>
  <si>
    <t>1hSaiy5MPRk</t>
  </si>
  <si>
    <t>Ct3K2CMHSV6-D2MicNiM7A</t>
  </si>
  <si>
    <t>wQKL_W2MsdM</t>
  </si>
  <si>
    <t>ZlaoWpNRRsCegNpwuXPN1w</t>
  </si>
  <si>
    <t>jlgZrao3-0k</t>
  </si>
  <si>
    <t>10LUgSaKQ8WglEsfb5Bp5Q</t>
  </si>
  <si>
    <t>Wz_XasI4Y_0</t>
  </si>
  <si>
    <t>bH5ZoAFsTfeCxrwWcuhWbQ</t>
  </si>
  <si>
    <t>nu0StWdYb0U</t>
  </si>
  <si>
    <t>ZA49Y1qqRh2mVlb-HxKiPw</t>
  </si>
  <si>
    <t>9udTuVTZCLs</t>
  </si>
  <si>
    <t>OOQrCCpKTwCvoCKa2A26-A</t>
  </si>
  <si>
    <t>AHd80m7bi50</t>
  </si>
  <si>
    <t>X4sAiOjqRLmr3paEAsYrzQ</t>
  </si>
  <si>
    <t>0XaKOA0Vjng</t>
  </si>
  <si>
    <t>w6C.cL.MQCe0ImQFHpBl8A</t>
  </si>
  <si>
    <t>oMu_fULRC60</t>
  </si>
  <si>
    <t>VPxZ2o-XQ6Sym6vZEQ8MGg</t>
  </si>
  <si>
    <t>COMPROBAR NIVEL DE AGUA A ALTURA DE FLOTADOR</t>
  </si>
  <si>
    <t>RPI5-y661eU</t>
  </si>
  <si>
    <t>ojSkQ4NiQXmrTfynzDIJsg</t>
  </si>
  <si>
    <t>HTJKJ_v6TI0</t>
  </si>
  <si>
    <t>UbSJY.BtQ7SAk9TLb144fw</t>
  </si>
  <si>
    <t>u7GE6XotxJE</t>
  </si>
  <si>
    <t>OlzfW2g.RHegQxO.HTzvvQ</t>
  </si>
  <si>
    <t>Zv3lHyxSges</t>
  </si>
  <si>
    <t>xv49jTRzSYugAFLs3K4cfA</t>
  </si>
  <si>
    <t>Il1DPbOWT_E</t>
  </si>
  <si>
    <t>wV2kzjwsTGqRxnaR6z9XTg</t>
  </si>
  <si>
    <t>a0JisaeRc_I</t>
  </si>
  <si>
    <t>a.Ock5ALYRcmIquJPjIY7Qw</t>
  </si>
  <si>
    <t>qnW8qNRWMhU</t>
  </si>
  <si>
    <t>YfnaONpDSXqQN5NqMaY7qQ</t>
  </si>
  <si>
    <t>sU_bNehJbRM</t>
  </si>
  <si>
    <t>3kkr09SiS7qA.t9W9jkhSg</t>
  </si>
  <si>
    <t>GN_yxhgU52A</t>
  </si>
  <si>
    <t>ZUjWkxjJTuGDeDJtJxDY-w</t>
  </si>
  <si>
    <t>a_3hbKRjomQ</t>
  </si>
  <si>
    <t>zutxN4vITxaRyxPXwNsFOw</t>
  </si>
  <si>
    <t>IHIERxyt10A</t>
  </si>
  <si>
    <t>Y0lhd4ylTWKQaY39QrOogA</t>
  </si>
  <si>
    <t>wuhcJTR6HKY</t>
  </si>
  <si>
    <t>gLuSETB3SXyISWMgiD9dew</t>
  </si>
  <si>
    <t>6teWMnVK5ug</t>
  </si>
  <si>
    <t>y6TWeq8cQ8Cx77bu00vPXw</t>
  </si>
  <si>
    <t>hhiPYMxkIM4</t>
  </si>
  <si>
    <t>lpamtr5QTx-xjMjbXS0p8w</t>
  </si>
  <si>
    <t>vN3POpP449U</t>
  </si>
  <si>
    <t>UTCrCN9sTsWJ8yJhRu6YkQ</t>
  </si>
  <si>
    <t>RsWlmRlolJk</t>
  </si>
  <si>
    <t>8AW8A85xRuajc7CADrqNZQ</t>
  </si>
  <si>
    <t>Inspección semanal nitrógeno</t>
  </si>
  <si>
    <t>Antes de cada uso: Retire e inspeccione el bloque calentador. Para obtener mejores resultados, retire el bloque calentador cuando la unidad de dosificación esté caliente. Si es necesario, limpie las superficies del bloque según lo considere apropiado</t>
  </si>
  <si>
    <t>Jhon Edwar Echeverry Reina</t>
  </si>
  <si>
    <t>2Jyri9pkyww</t>
  </si>
  <si>
    <t>NT0gl8MtTo2yh.sugWITVw</t>
  </si>
  <si>
    <t>p-FKgk7HwjI</t>
  </si>
  <si>
    <t>iEeGaaBGRriG0g0Ef6u2Lg</t>
  </si>
  <si>
    <t>FBe2FTrx1dc</t>
  </si>
  <si>
    <t>jMXZbVRxS3yrOet-Iz3kMw</t>
  </si>
  <si>
    <t>i9x39nx0sTg</t>
  </si>
  <si>
    <t>d4EZePtDRASZMnAZl66h7w</t>
  </si>
  <si>
    <t>3Zd4pPnW5Bo</t>
  </si>
  <si>
    <t>yskyf2QmSr2-N3QcEScCDA</t>
  </si>
  <si>
    <t>BOMBAS RECIRCULACION CL2 TQ NORTE</t>
  </si>
  <si>
    <t>VERIFICAR FUGAS, RUIDOS, TEMPERATURA, PRESION DE MOTOBOMBA</t>
  </si>
  <si>
    <t>nc62uM9I898</t>
  </si>
  <si>
    <t>K33h7HPKT-WNPSPTQUtDXg</t>
  </si>
  <si>
    <t>SNIFFER BOTELLONES AQUASCREEN</t>
  </si>
  <si>
    <t>INSPECCION SEMANAL SNIFFER</t>
  </si>
  <si>
    <t>INSP Limpieza de las barreras de luz y reflectores</t>
  </si>
  <si>
    <t>l2RCLzz_454</t>
  </si>
  <si>
    <t>dmNQOaCFQz6P6v2Q8aeXJQ</t>
  </si>
  <si>
    <t>INSP Limpieza de lente en la fuente de luz UV</t>
  </si>
  <si>
    <t>a2zdqZH2ol0</t>
  </si>
  <si>
    <t>edEJws0PSb6NBmeEvE47QQ</t>
  </si>
  <si>
    <t>INSP Limpieza del lente de espejo una vez al día</t>
  </si>
  <si>
    <t>royHNtROr0o</t>
  </si>
  <si>
    <t>lMDEBOm8T3KsFldsjtdrAg</t>
  </si>
  <si>
    <t>INSP LIMPIEZA DE LA CELDA DE MEDICION</t>
  </si>
  <si>
    <t>MvEMjUQc_xU</t>
  </si>
  <si>
    <t>minwhy6QQbOOjFtuskbFGA</t>
  </si>
  <si>
    <t>Revisar la intensidad de la luz una vez al día, Si la luz esta cerca de los 12000 conteos debe programarse el mantenimiento preventivo para dentro de las 2 semanas siguientes.</t>
  </si>
  <si>
    <t>fG9jHZA87so</t>
  </si>
  <si>
    <t>Hat3Iq2MR-ORtJqsw6zSVg</t>
  </si>
  <si>
    <t>SHAEzDcJQsixSxqZMoJENA</t>
  </si>
  <si>
    <t>7okKV9s0SVWtV7gOvy0K3A</t>
  </si>
  <si>
    <t>OulU7j3LQo-6YZLec2uRTA</t>
  </si>
  <si>
    <t>UYG.aihDQdG2xyCJps9duw</t>
  </si>
  <si>
    <t>cQuWbWh6Q8azwBQVHBjIpg</t>
  </si>
  <si>
    <t>t3hUz-FcTYy.JAX8QNVDEA</t>
  </si>
  <si>
    <t>Y3Osdg-XSyyxXzx1aH1ztA</t>
  </si>
  <si>
    <t>hGtJIJ9PT7GUjvZFo2isLg</t>
  </si>
  <si>
    <t>4N30.rd.QEWCG7FA0q7t.Q</t>
  </si>
  <si>
    <t>UCDK7inxSK6viEWstVtX3g</t>
  </si>
  <si>
    <t>5hquFqqAQ2iEqtehitmivQ</t>
  </si>
  <si>
    <t>c0fNWAzGSN-UcfrquoY7Fw</t>
  </si>
  <si>
    <t>E58M9tAoSQmyo1IOdC9DTA</t>
  </si>
  <si>
    <t>b6FKocORQkG1Zb6-t7UOQg</t>
  </si>
  <si>
    <t>Observaciones anteriores</t>
  </si>
  <si>
    <t>Codigo Sap</t>
  </si>
  <si>
    <t>apiWha</t>
  </si>
  <si>
    <t>Acronimo</t>
  </si>
  <si>
    <t>Cantidad M9-MA-MC</t>
  </si>
  <si>
    <t>Cantidad M2</t>
  </si>
  <si>
    <t>Tiempo M9-MA-MC</t>
  </si>
  <si>
    <t>Tiempo M2</t>
  </si>
  <si>
    <t>LINE 8</t>
  </si>
  <si>
    <t>LINE 10</t>
  </si>
  <si>
    <t>LINE 1</t>
  </si>
  <si>
    <t>LINE 2</t>
  </si>
  <si>
    <t>LINE 3</t>
  </si>
  <si>
    <t>Agua cristal</t>
  </si>
  <si>
    <t>Comparar</t>
  </si>
  <si>
    <t>EstadoBase</t>
  </si>
  <si>
    <t>TiemposincontarBLANCO</t>
  </si>
  <si>
    <t>GSANCHEZ</t>
  </si>
  <si>
    <t>Bedoya Marin Johan Andres</t>
  </si>
  <si>
    <t>JASTAIZA</t>
  </si>
  <si>
    <t>Fernandez Fraiber</t>
  </si>
  <si>
    <t>Victor David Burbano</t>
  </si>
  <si>
    <t>VBURBANO</t>
  </si>
  <si>
    <t>FALOZANO</t>
  </si>
  <si>
    <t>Bolaños Camacho Luis Miguel</t>
  </si>
  <si>
    <t>LBOLAÑOS</t>
  </si>
  <si>
    <t>Suministro Energia L10</t>
  </si>
  <si>
    <t>Sopladora L8</t>
  </si>
  <si>
    <t>Sopladora L1</t>
  </si>
  <si>
    <t>Sala De Jarabes Gaseosas</t>
  </si>
  <si>
    <t>Suministro Agua L1</t>
  </si>
  <si>
    <t>Sopladora L10</t>
  </si>
  <si>
    <t>Refrigeracion</t>
  </si>
  <si>
    <t>Parra Ramos Hector</t>
  </si>
  <si>
    <t>H.PARRA</t>
  </si>
  <si>
    <t>Nitrogeno L8</t>
  </si>
  <si>
    <t>Suministro De Aire Comprimido</t>
  </si>
  <si>
    <t>Vapor</t>
  </si>
  <si>
    <t>Suministro Energia L1</t>
  </si>
  <si>
    <t>Sala De Jarabe Jugos</t>
  </si>
  <si>
    <t>Suministro Agua L10</t>
  </si>
  <si>
    <t>Suministro Agua L8</t>
  </si>
  <si>
    <t>Caicedo Celis Luis Alfredo</t>
  </si>
  <si>
    <t>Millan Blandon Cristian Andres</t>
  </si>
  <si>
    <t>Velez Arcila Johnny</t>
  </si>
  <si>
    <t>Arango Guzman Cristian Raul</t>
  </si>
  <si>
    <t>Ortiz Arcila Sergio Andres</t>
  </si>
  <si>
    <t>Salazar Cortes Hernan Dario</t>
  </si>
  <si>
    <t>Neider Alexis Arango</t>
  </si>
  <si>
    <t>Codificador De Tintal10</t>
  </si>
  <si>
    <t>Sistemas Lubricacion Transportadores L10</t>
  </si>
  <si>
    <t>Roberth Botina</t>
  </si>
  <si>
    <t>Garcia Vanegas John Eder</t>
  </si>
  <si>
    <t>Jaramillo Quebrada Cristhian</t>
  </si>
  <si>
    <t>Burgos William</t>
  </si>
  <si>
    <t>Mejia Charria Hector Fabio</t>
  </si>
  <si>
    <t>Parra Montenegro Andres Felipe</t>
  </si>
  <si>
    <t>Henao William</t>
  </si>
  <si>
    <t>Imbachi Samboni Wilton Andres</t>
  </si>
  <si>
    <t>Mendoza Sanchez Hermes Armando</t>
  </si>
  <si>
    <t>Quenoran Edgar</t>
  </si>
  <si>
    <t>Sandoval Jose</t>
  </si>
  <si>
    <t>Rodriguez Carlos</t>
  </si>
  <si>
    <t>Muñoz Guejia Jhon Fernando</t>
  </si>
  <si>
    <t>Portilla Salazar Nelson Fernando</t>
  </si>
  <si>
    <t>Ortiz Arenas Francisco Javier</t>
  </si>
  <si>
    <t>Diaz Carlos Alberto</t>
  </si>
  <si>
    <t>Alexander Sandoval</t>
  </si>
  <si>
    <t>Salazar Salas John Jairo</t>
  </si>
  <si>
    <t>Mejia Lopez Jhoveimar</t>
  </si>
  <si>
    <t>Ramos Javier</t>
  </si>
  <si>
    <t>Viafara Gonzalez Jhon Edgar</t>
  </si>
  <si>
    <t>Davila Guapache Walter</t>
  </si>
  <si>
    <t>Osorio Ocampo Jorge Ivan</t>
  </si>
  <si>
    <t>Rodriguez Botina Leonel</t>
  </si>
  <si>
    <t>Vargas Zuñiga Yhan Sebastian</t>
  </si>
  <si>
    <t>Montoya Lozada Erika Viviana</t>
  </si>
  <si>
    <t>Olivero Cardoza Luis Alberto</t>
  </si>
  <si>
    <t>Cortes Cortes James</t>
  </si>
  <si>
    <t>Bolaños Paz Zayra Liliana</t>
  </si>
  <si>
    <t>Fierro Sarta Tito</t>
  </si>
  <si>
    <t>Leon Gonzalez Edier</t>
  </si>
  <si>
    <t>Cuetia Lopez William</t>
  </si>
  <si>
    <t>Devia Enriquez Bryan</t>
  </si>
  <si>
    <t>Gomez German</t>
  </si>
  <si>
    <t>Mina Gonzalez Dumar</t>
  </si>
  <si>
    <t>Osnas Cantero Cilia Andrea</t>
  </si>
  <si>
    <t>Renteria Bravo Julian Andres</t>
  </si>
  <si>
    <t>Reyes Fernandez Alexander</t>
  </si>
  <si>
    <t>Rodriguez Sanchez Gloria A</t>
  </si>
  <si>
    <t>Tobon Botache Martha Isabel</t>
  </si>
  <si>
    <t>Barrero Jonatan</t>
  </si>
  <si>
    <t>Sanchez Holguin Ilian</t>
  </si>
  <si>
    <t>Grisales Jarme Carlos Alberto</t>
  </si>
  <si>
    <t>Mogrovejo Zambrano Luis Enrique</t>
  </si>
  <si>
    <t>Barrios Aramburo Bladimir</t>
  </si>
  <si>
    <t>Mejia Ortega Carlos Andres</t>
  </si>
  <si>
    <t>Pluas Carabali John Alexander</t>
  </si>
  <si>
    <t>Alvarez Yeferson Herney</t>
  </si>
  <si>
    <t>Arenas Portillo Angel Humberto</t>
  </si>
  <si>
    <t>Perlaza Obregon John Aldo</t>
  </si>
  <si>
    <t>Molina Becerra Alejandro</t>
  </si>
  <si>
    <t>Beltran Baonza David Alexander</t>
  </si>
  <si>
    <t>Mena Coral Diego Fernando</t>
  </si>
  <si>
    <t>Diaz Camacho Diego Fernando</t>
  </si>
  <si>
    <t>Gomez Patiño Xiomara</t>
  </si>
  <si>
    <t>Ospina Aguirre Jose Jacinto</t>
  </si>
  <si>
    <t>Mejia Sepulveda Jorge Mario</t>
  </si>
  <si>
    <t>Villamil Castillo Alexander</t>
  </si>
  <si>
    <t>Fernandez Ceron William Andres</t>
  </si>
  <si>
    <t>Lopez Tobar Hector Marino</t>
  </si>
  <si>
    <t>Lopez Suarez Andres David</t>
  </si>
  <si>
    <t>Agudelo Gomez Jose Arley</t>
  </si>
  <si>
    <t>Torres Calle Wilmer</t>
  </si>
  <si>
    <t>Clavijo Pantoja Jose Edinson</t>
  </si>
  <si>
    <t>Cifuentes Guerrero Cristian Andres</t>
  </si>
  <si>
    <t>Medina Nuñez Carlos Alfonso</t>
  </si>
  <si>
    <t>Barrero Serna Luis Alberto</t>
  </si>
  <si>
    <t>Salamanca Gomez Hoover</t>
  </si>
  <si>
    <t>Rivera Erazo Alexander</t>
  </si>
  <si>
    <t>Martinez Cabrera Lucy Janeth</t>
  </si>
  <si>
    <t>Bonilla Angulo Edwin Andres</t>
  </si>
  <si>
    <t>Muñoz Gonzalez Luis Arturo</t>
  </si>
  <si>
    <t>Lopez Arevalo Cristhian Leandro</t>
  </si>
  <si>
    <t>Benavides Gaviria Luis Alberto</t>
  </si>
  <si>
    <t>Paz Berdugo Hwberney</t>
  </si>
  <si>
    <t>Lasso Olaya Jarlis David</t>
  </si>
  <si>
    <t>Sepulveda Perlaza William Fernando</t>
  </si>
  <si>
    <t>Orejuela Benitez Jeferson Andres</t>
  </si>
  <si>
    <t>Aguirre Gil Jhon Edinson</t>
  </si>
  <si>
    <t>Valencia Landazuri Alberto</t>
  </si>
  <si>
    <t>Hincapie Ramirez Luis Fernando</t>
  </si>
  <si>
    <t>Aramburo Ortiz Jerry Alberto</t>
  </si>
  <si>
    <t>Baron Yilmer</t>
  </si>
  <si>
    <t>Cortes Hermes</t>
  </si>
  <si>
    <t>Guerrero Darwin</t>
  </si>
  <si>
    <t>Borrero Ascencio Carlos Gelverson</t>
  </si>
  <si>
    <t>Walter Giovanny Agudelo Garcia</t>
  </si>
  <si>
    <t>Cuero John</t>
  </si>
  <si>
    <t>Suministro Energia L8</t>
  </si>
  <si>
    <t>Nitrogeno L10</t>
  </si>
  <si>
    <t>Barrero Luis</t>
  </si>
  <si>
    <t>Cristian David Suaza Lopez</t>
  </si>
  <si>
    <t>Nitrogeno L1</t>
  </si>
  <si>
    <t>HVANEGAS</t>
  </si>
  <si>
    <t>Bonilla Edwin</t>
  </si>
  <si>
    <t>B.EDWIN</t>
  </si>
  <si>
    <t>Parra Velandia John Jairo</t>
  </si>
  <si>
    <t>JPARRA</t>
  </si>
  <si>
    <t>APENA</t>
  </si>
  <si>
    <t>BMARTINEZ</t>
  </si>
  <si>
    <t>Mesa Andres</t>
  </si>
  <si>
    <t>EAGUADO</t>
  </si>
  <si>
    <t>Christian Camilo Ramírez Rendón</t>
  </si>
  <si>
    <t>CHRAMIREZ</t>
  </si>
  <si>
    <t>Franco Herrera Alejandro</t>
  </si>
  <si>
    <t>Jhonnys Fernandez</t>
  </si>
  <si>
    <t>JFERNANDEZ</t>
  </si>
  <si>
    <t>Andres Mesa</t>
  </si>
  <si>
    <t>AMEGA</t>
  </si>
  <si>
    <t>Mauricio Murillo</t>
  </si>
  <si>
    <t>Alexander Echeverry</t>
  </si>
  <si>
    <t>Cristian Suaza</t>
  </si>
  <si>
    <t>Jose Correa</t>
  </si>
  <si>
    <t>JCORREA</t>
  </si>
  <si>
    <t>Adalcides Campo</t>
  </si>
  <si>
    <t>Fernando Montoya</t>
  </si>
  <si>
    <t>FMONTOYA</t>
  </si>
  <si>
    <t>Hector Toro</t>
  </si>
  <si>
    <t>HTORO</t>
  </si>
  <si>
    <t>Andres Perez</t>
  </si>
  <si>
    <t>Andres Leon</t>
  </si>
  <si>
    <t>AFLEON</t>
  </si>
  <si>
    <t>Ferney Ramos</t>
  </si>
  <si>
    <t>FRAMOS</t>
  </si>
  <si>
    <t>Alvaro Celeita</t>
  </si>
  <si>
    <t>Jhon Navas</t>
  </si>
  <si>
    <t>JNAVAS</t>
  </si>
  <si>
    <t>Alejandro Davila</t>
  </si>
  <si>
    <t>Juan Lucumi</t>
  </si>
  <si>
    <t>Diego Pedroza</t>
  </si>
  <si>
    <t>DPEDROZA</t>
  </si>
  <si>
    <t>Osver Martinez</t>
  </si>
  <si>
    <t>OMARTINEZ</t>
  </si>
  <si>
    <t>Jonathan Lopez</t>
  </si>
  <si>
    <t>Luis Gordillo</t>
  </si>
  <si>
    <t>L.GORDILLO</t>
  </si>
  <si>
    <t>Estaban Potosi</t>
  </si>
  <si>
    <t>EPOTO</t>
  </si>
  <si>
    <t>Leonel Montes</t>
  </si>
  <si>
    <t>LMONTES</t>
  </si>
  <si>
    <t>N. DURÁN</t>
  </si>
  <si>
    <t>Jeferson Muñoz</t>
  </si>
  <si>
    <t>JMUÑOZ</t>
  </si>
  <si>
    <t>MARROLLO</t>
  </si>
  <si>
    <t>BLANCO</t>
  </si>
  <si>
    <t>MAQUINA</t>
  </si>
  <si>
    <t>Persona</t>
  </si>
  <si>
    <t>Personal1</t>
  </si>
  <si>
    <t>Personal8</t>
  </si>
  <si>
    <t>Personal10</t>
  </si>
  <si>
    <t>TURNO A</t>
  </si>
  <si>
    <t>Ajuste de velocidad</t>
  </si>
  <si>
    <t>TRANSPORTADORES DE BEBIDA</t>
  </si>
  <si>
    <t>Atascamiento botellas</t>
  </si>
  <si>
    <t>TRANSPORTADORES DE ENVASE VACIO</t>
  </si>
  <si>
    <t>Suministro de aire,se inunda llenadora</t>
  </si>
  <si>
    <t>SUMINISTRO AIRE</t>
  </si>
  <si>
    <t>Atascamiento de cajas</t>
  </si>
  <si>
    <t>TRANSPORTADORES DE CAJAS</t>
  </si>
  <si>
    <t>Caida de botellas salida llenadora</t>
  </si>
  <si>
    <t>congelamiento de boquilla</t>
  </si>
  <si>
    <t>FALLA DOSIFICADOR NITROGENO</t>
  </si>
  <si>
    <t>Tapa atascada en bajante</t>
  </si>
  <si>
    <t>INSPECTOR TAPA</t>
  </si>
  <si>
    <t>Ajuste de proceso</t>
  </si>
  <si>
    <t>TURNO B</t>
  </si>
  <si>
    <t>empujador horizontla</t>
  </si>
  <si>
    <t>Caída botellas salida llenadora</t>
  </si>
  <si>
    <t>Cambio de cadena</t>
  </si>
  <si>
    <t>Encolamiento en agregado No. 1</t>
  </si>
  <si>
    <t>Ajuste en bandas de transportador</t>
  </si>
  <si>
    <t>Atasco de tapa de reservorio de tapones.</t>
  </si>
  <si>
    <t>LINE 6</t>
  </si>
  <si>
    <t>Ajuste de estrella de salida</t>
  </si>
  <si>
    <t>Se frena banda transportadora</t>
  </si>
  <si>
    <t>TURNO C</t>
  </si>
  <si>
    <t>Fisuras laterales</t>
  </si>
  <si>
    <t>LINE 5</t>
  </si>
  <si>
    <t>RESISTENCIAS DE SELLADO</t>
  </si>
  <si>
    <t>Enfardadora</t>
  </si>
  <si>
    <t>Botellas bajo nivel</t>
  </si>
  <si>
    <t>LLENADORA BOTELLAS PET</t>
  </si>
  <si>
    <t>Cambio rodamiento empujador</t>
  </si>
  <si>
    <t>LINE 4</t>
  </si>
  <si>
    <t>Atascamiento en salida de llenadora</t>
  </si>
  <si>
    <t>LLENADORA BOTELLONES</t>
  </si>
  <si>
    <t>Ajuste presiones</t>
  </si>
  <si>
    <t>Atascamiento interno</t>
  </si>
  <si>
    <t>No prepara bebida, bebida bajo nivel</t>
  </si>
  <si>
    <t>CARBOENFRIADOR/CONTIFLOW (MEZCLADORA)</t>
  </si>
  <si>
    <t>Caida botellas mesa de plegado</t>
  </si>
  <si>
    <t>Paquetes volteados en mesa de agrupacion</t>
  </si>
  <si>
    <t>Botellas sin tapa</t>
  </si>
  <si>
    <t>falla temperatura</t>
  </si>
  <si>
    <t>Caida de botellas salida cooler</t>
  </si>
  <si>
    <t>TRANSPORTADORES DE BOTELLAS LLENAS</t>
  </si>
  <si>
    <t>Falla de suministro de aire en llenadora</t>
  </si>
  <si>
    <t>Tapa atascada salida inspector</t>
  </si>
  <si>
    <t>Falla en válvula V72</t>
  </si>
  <si>
    <t>Se desenfoca sensor de paletizadora.</t>
  </si>
  <si>
    <t>Botella mal posicionada</t>
  </si>
  <si>
    <t>Atascamiento botella</t>
  </si>
  <si>
    <t>Motorizacion entrega de envases</t>
  </si>
  <si>
    <t>Encolamiento por ausencia botella</t>
  </si>
  <si>
    <t>Atascamiento de estiba.</t>
  </si>
  <si>
    <t>TRANSPORTADOR DE ESTIBAS</t>
  </si>
  <si>
    <t>Ausencia conteo paquetes</t>
  </si>
  <si>
    <t>Caida botellas en sistema clasificador</t>
  </si>
  <si>
    <t>Ajuste de receta en llenado.</t>
  </si>
  <si>
    <t>Ajuste sensor codificador</t>
  </si>
  <si>
    <t>CODIFICADOR DE BOTELLAS</t>
  </si>
  <si>
    <t>Paquetes volteados en mesa de agrupaciòn</t>
  </si>
  <si>
    <t>Perdida de conteo</t>
  </si>
  <si>
    <t>Encolamiento agregado No. 2</t>
  </si>
  <si>
    <t>Paquete mal formado</t>
  </si>
  <si>
    <t>Encolamiento exceso pegante</t>
  </si>
  <si>
    <t>Variador alarmado electricamente</t>
  </si>
  <si>
    <t>Anillo atascado en roscadores</t>
  </si>
  <si>
    <t>Falla sistema de corte</t>
  </si>
  <si>
    <t>Falla suministro de bebida en calderin</t>
  </si>
  <si>
    <t>Atascamiento botella ingreso</t>
  </si>
  <si>
    <t>RINSER ( LATA - PET )</t>
  </si>
  <si>
    <t>Ajuste transportador aereo</t>
  </si>
  <si>
    <t>Mal funcionamiento del desaireador</t>
  </si>
  <si>
    <t>Caída de paquetes en entrada a horno.</t>
  </si>
  <si>
    <t>Se estrella botella a la salida</t>
  </si>
  <si>
    <t>Atascamiento en entrada</t>
  </si>
  <si>
    <t>Inspector electronico,Ajuste 6:00-6:10</t>
  </si>
  <si>
    <t>INSPECTOR DE ENVASE VACIO</t>
  </si>
  <si>
    <t>Falla en el dosificador de nitrógeno</t>
  </si>
  <si>
    <t>Codificador de botellas</t>
  </si>
  <si>
    <t>Transportador, Caida bebida</t>
  </si>
  <si>
    <t>Transportadores , Caida envase</t>
  </si>
  <si>
    <t>Transportadores,envase vacio</t>
  </si>
  <si>
    <t>Falla electrica,para transportadores 11:</t>
  </si>
  <si>
    <t>SUMINISTRO ENERGIA ELECTRICA</t>
  </si>
  <si>
    <t>Perdida señal por sensores averiados</t>
  </si>
  <si>
    <t>Atasco de tapon en bajante.</t>
  </si>
  <si>
    <t>Falla sumistro de energia</t>
  </si>
  <si>
    <t>cambio de centrador</t>
  </si>
  <si>
    <t>LLENADORA - TAPADORA</t>
  </si>
  <si>
    <t>Cooler: falla electrica afecta motor, ge</t>
  </si>
  <si>
    <t>COOLER</t>
  </si>
  <si>
    <t>Caida de botellas</t>
  </si>
  <si>
    <t>Transportador de botella llenas</t>
  </si>
  <si>
    <t>Cambio pinza estrella de transferencia</t>
  </si>
  <si>
    <t>Refrigeración sopladora</t>
  </si>
  <si>
    <t>SISTEMA DE REFRIGERACION COMPRESORES</t>
  </si>
  <si>
    <t>Cambio cilindro mesa plegado</t>
  </si>
  <si>
    <t>Ajuste sensor banda plegado</t>
  </si>
  <si>
    <t>Abridor de salida torcido</t>
  </si>
  <si>
    <t>Parte tornillo eje dedos empujadores</t>
  </si>
  <si>
    <t>Falla CIP residual</t>
  </si>
  <si>
    <t>SISTEMA F DE CIP</t>
  </si>
  <si>
    <t>Falla comunicacion</t>
  </si>
  <si>
    <t>Estrellamiento de botellas</t>
  </si>
  <si>
    <t>ESTERILIZADOR DE TAPAS</t>
  </si>
  <si>
    <t>Coronadora</t>
  </si>
  <si>
    <t>CORONADORA</t>
  </si>
  <si>
    <t>Atascamiento de botella</t>
  </si>
  <si>
    <t>Caída Botellas</t>
  </si>
  <si>
    <t>Ajuste de guias Salida botella</t>
  </si>
  <si>
    <t>Inspector electronico,falla climatizado</t>
  </si>
  <si>
    <t>Falla en bomba de cooler</t>
  </si>
  <si>
    <t>Atasco de botellones en entrada.</t>
  </si>
  <si>
    <t>Alimentador de preformas: atascamiento d</t>
  </si>
  <si>
    <t>Alimentador de preformas</t>
  </si>
  <si>
    <t>Se pierde sincronizacion</t>
  </si>
  <si>
    <t>Refrigeración tablero eléctrico checkmat</t>
  </si>
  <si>
    <t>INSPECTOR DE ENVASE LLENO</t>
  </si>
  <si>
    <t>Atascamiento tapa volteada</t>
  </si>
  <si>
    <t>Codigo no legible</t>
  </si>
  <si>
    <t>Preforma atascada en transportador</t>
  </si>
  <si>
    <t>TRANSPORTADOR DE PREFORMA</t>
  </si>
  <si>
    <t>Bajo contenido botellas</t>
  </si>
  <si>
    <t>Falla caudalimetro +KB</t>
  </si>
  <si>
    <t>Falta de codigo</t>
  </si>
  <si>
    <t>Contraste tapa</t>
  </si>
  <si>
    <t>Ajuste de guias entrada/salida botella</t>
  </si>
  <si>
    <t>Botellas con bajo contenido.</t>
  </si>
  <si>
    <t>FALLA DE LLENADO</t>
  </si>
  <si>
    <t>Paquetes mal formados</t>
  </si>
  <si>
    <t>Fin de producción: Presion Vapor</t>
  </si>
  <si>
    <t>Desgfogue de llenadora</t>
  </si>
  <si>
    <t>Exceso de pegante</t>
  </si>
  <si>
    <t>Atascamiento en bajante</t>
  </si>
  <si>
    <t>Baja velocidad por espuma</t>
  </si>
  <si>
    <t>Encolamiento por exceso de pegante</t>
  </si>
  <si>
    <t>Etiquetadora: botella con traslape super</t>
  </si>
  <si>
    <t>Transportador de botellas llenas</t>
  </si>
  <si>
    <t>Se apaga pantalla PLC de calderas.</t>
  </si>
  <si>
    <t>SUMINISTRO VAPOR</t>
  </si>
  <si>
    <t>Ajuste bomba de Vacio</t>
  </si>
  <si>
    <t>Atascamiento botella turbina 4</t>
  </si>
  <si>
    <t>Exceso velocidad Flowliner</t>
  </si>
  <si>
    <t>Resistencia de sellado.</t>
  </si>
  <si>
    <t>Transportadores, caida de envase 6.20-6:</t>
  </si>
  <si>
    <t>Codificador,codigo ilegible</t>
  </si>
  <si>
    <t>Transportadores,Ajuste por falla de guia</t>
  </si>
  <si>
    <t>Inspeccion de equipo</t>
  </si>
  <si>
    <t>Atascamiento rollo enfardadora</t>
  </si>
  <si>
    <t>Atasco de botellon, entrada a lavadora.</t>
  </si>
  <si>
    <t>Bypass valvula</t>
  </si>
  <si>
    <t>Transportadores,Caida envase13:30-13.37</t>
  </si>
  <si>
    <t>Botella sin Nitrogeno</t>
  </si>
  <si>
    <t>Botellas sin codigo</t>
  </si>
  <si>
    <t>Caida de paquetes</t>
  </si>
  <si>
    <t>Maquina no realiza emplame de rollo</t>
  </si>
  <si>
    <t>Dosificador de nitrogeno</t>
  </si>
  <si>
    <t>Aumento de temperatura</t>
  </si>
  <si>
    <t>Botella caída a la salida de  flowliner</t>
  </si>
  <si>
    <t>Botella caída a la salida de llenadora</t>
  </si>
  <si>
    <t>Dosificador adhesivo desalineado</t>
  </si>
  <si>
    <t>isuras laterales</t>
  </si>
  <si>
    <t>Lubricacion Excesiva</t>
  </si>
  <si>
    <t>Encolamiento botella mal posicionada.</t>
  </si>
  <si>
    <t>Maquina no realiza empalme de rollo.</t>
  </si>
  <si>
    <t>Daño en soporte de freno.</t>
  </si>
  <si>
    <t>Sistema ASI</t>
  </si>
  <si>
    <t>Transportador,envase vacio falla elec</t>
  </si>
  <si>
    <t>Transportador bebida,caida producto 8:50</t>
  </si>
  <si>
    <t>Falla en armario electrico</t>
  </si>
  <si>
    <t>se quema encoder</t>
  </si>
  <si>
    <t>Alto Nivel de Nitrógeno</t>
  </si>
  <si>
    <t>Ajuste guia salida</t>
  </si>
  <si>
    <t>Ajustes de conversion</t>
  </si>
  <si>
    <t>ajuste velocidad flowliner</t>
  </si>
  <si>
    <t>Ajuste altura portabobina 1</t>
  </si>
  <si>
    <t>Ajuste guia entrada</t>
  </si>
  <si>
    <t>Mal corte de etiqueta</t>
  </si>
  <si>
    <t>Refrigeración de tablero electrico</t>
  </si>
  <si>
    <t>Exceso de adhesivo</t>
  </si>
  <si>
    <t>Botellas sin código</t>
  </si>
  <si>
    <t>Cambio leva estrella de transferencia</t>
  </si>
  <si>
    <t>Atlanta Falla freno vertical</t>
  </si>
  <si>
    <t>ENVOLVEDOR</t>
  </si>
  <si>
    <t>Transportadores,Caida envase 8:30-8.50</t>
  </si>
  <si>
    <t>Rotura tornillo soporte</t>
  </si>
  <si>
    <t>Ajuste de porta envase</t>
  </si>
  <si>
    <t>traslape corrido en etiqueta</t>
  </si>
  <si>
    <t>Carlos A Martinez</t>
  </si>
  <si>
    <t>Esteban Potosi</t>
  </si>
  <si>
    <t>FRANCO HERRERA ALEJANDRO</t>
  </si>
  <si>
    <t>Guido Papamija</t>
  </si>
  <si>
    <t>Hector F Valencia</t>
  </si>
  <si>
    <t>Jefferson Bravo</t>
  </si>
  <si>
    <t>Jhon F Jimenez</t>
  </si>
  <si>
    <t>Jorge Eliécer Poveda Pardo</t>
  </si>
  <si>
    <t>Julian Calderon</t>
  </si>
  <si>
    <t>Mario Alberto Martinez</t>
  </si>
  <si>
    <t>Miguel Guzmán</t>
  </si>
  <si>
    <t>Papamija Guido</t>
  </si>
  <si>
    <t>Parra Ramos Hector Jairo</t>
  </si>
  <si>
    <t>Raul Lopez</t>
  </si>
  <si>
    <t>Victor David Burbano Gomez</t>
  </si>
  <si>
    <t>William Henao</t>
  </si>
  <si>
    <t>Wilmer Gutierrez</t>
  </si>
  <si>
    <t>Personal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</si>
</sst>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d/m/yyyy"/>
    <numFmt numFmtId="165" formatCode="dd/mm/yyyy"/>
    <numFmt numFmtId="166" formatCode="yyyy\-mm\-dd\Thh:mm:ss.000\Z"/>
  </numFmts>
  <fonts count="32">
    <font>
      <sz val="10"/>
      <color rgb="FF000000"/>
      <name val="Arial"/>
      <scheme val="minor"/>
    </font>
    <font>
      <b/>
      <sz val="10"/>
      <color theme="1"/>
      <name val="Arial"/>
      <scheme val="minor"/>
    </font>
    <font>
      <sz val="10"/>
      <color theme="1"/>
      <name val="Arial"/>
      <scheme val="minor"/>
    </font>
    <font>
      <u/>
      <sz val="10"/>
      <color rgb="FF0000FF"/>
      <name val="Arial"/>
    </font>
    <font>
      <sz val="11"/>
      <color rgb="FF000000"/>
      <name val="Calibri"/>
    </font>
    <font>
      <sz val="9"/>
      <color rgb="FF000000"/>
      <name val="&quot;Google Sans Mono&quot;"/>
    </font>
    <font>
      <b/>
      <sz val="11"/>
      <color rgb="FFFFFFFF"/>
      <name val="Calibri"/>
    </font>
    <font>
      <b/>
      <u/>
      <sz val="11"/>
      <color rgb="FFFFFFFF"/>
      <name val="Calibri"/>
    </font>
    <font>
      <sz val="11"/>
      <color theme="1"/>
      <name val="Calibri"/>
    </font>
    <font>
      <sz val="11"/>
      <color rgb="FF1F1F1F"/>
      <name val="&quot;Google Sans&quot;"/>
    </font>
    <font>
      <b/>
      <sz val="10"/>
      <color theme="1"/>
      <name val="Arial"/>
    </font>
    <font>
      <u/>
      <sz val="9"/>
      <color rgb="FF000000"/>
      <name val="&quot;Google Sans Mono&quot;"/>
    </font>
    <font>
      <b/>
      <sz val="11"/>
      <color theme="1"/>
      <name val="Calibri"/>
    </font>
    <font>
      <sz val="10"/>
      <color theme="1"/>
      <name val="Arial"/>
    </font>
    <font>
      <b/>
      <sz val="10"/>
      <color rgb="FFFFFFFF"/>
      <name val="Calibri"/>
    </font>
    <font>
      <sz val="10"/>
      <color rgb="FF000000"/>
      <name val="Arial"/>
    </font>
    <font>
      <sz val="11"/>
      <color rgb="FF000000"/>
      <name val="Arial"/>
    </font>
    <font>
      <sz val="10"/>
      <color rgb="FF000000"/>
      <name val="Calibri"/>
    </font>
    <font>
      <u/>
      <sz val="10"/>
      <color rgb="FF0000FF"/>
      <name val="Arial"/>
    </font>
    <font>
      <sz val="11"/>
      <color rgb="FF000000"/>
      <name val="Inconsolata"/>
    </font>
    <font>
      <sz val="10"/>
      <color rgb="FFB7B7B7"/>
      <name val="Arial"/>
    </font>
    <font>
      <sz val="11"/>
      <color rgb="FF008000"/>
      <name val="Inconsolata"/>
    </font>
    <font>
      <u/>
      <sz val="10"/>
      <color rgb="FFB7B7B7"/>
      <name val="Arial"/>
    </font>
    <font>
      <u/>
      <sz val="10"/>
      <color rgb="FF0000FF"/>
      <name val="Arial"/>
    </font>
    <font>
      <sz val="12"/>
      <color theme="1"/>
      <name val="Söhne"/>
    </font>
    <font>
      <u/>
      <sz val="10"/>
      <color rgb="FF0000FF"/>
      <name val="Arial"/>
    </font>
    <font>
      <b/>
      <sz val="9"/>
      <color rgb="FF000000"/>
      <name val="Times New Roman"/>
    </font>
    <font>
      <b/>
      <sz val="10"/>
      <color theme="1"/>
      <name val="Times New Roman"/>
    </font>
    <font>
      <sz val="10"/>
      <color theme="1"/>
      <name val="Times New Roman"/>
    </font>
    <font>
      <sz val="10"/>
      <color theme="1"/>
      <name val="Times New Roman"/>
    </font>
    <font>
      <sz val="11"/>
      <color rgb="FF201F1E"/>
      <name val="Calibri"/>
    </font>
    <font>
      <sz val="12"/>
      <color rgb="FF000000"/>
      <name val="Calibri"/>
    </font>
  </fonts>
  <fills count="20">
    <fill>
      <patternFill patternType="none"/>
    </fill>
    <fill>
      <patternFill patternType="gray125"/>
    </fill>
    <fill>
      <patternFill patternType="solid">
        <fgColor rgb="FFF3F3F3"/>
        <bgColor rgb="FFF3F3F3"/>
      </patternFill>
    </fill>
    <fill>
      <patternFill patternType="solid">
        <fgColor rgb="FFEFEFEF"/>
        <bgColor rgb="FFEFEFEF"/>
      </patternFill>
    </fill>
    <fill>
      <patternFill patternType="solid">
        <fgColor rgb="FF808000"/>
        <bgColor rgb="FF808000"/>
      </patternFill>
    </fill>
    <fill>
      <patternFill patternType="solid">
        <fgColor rgb="FFFFFF99"/>
        <bgColor rgb="FFFFFF99"/>
      </patternFill>
    </fill>
    <fill>
      <patternFill patternType="solid">
        <fgColor rgb="FFFFFFFF"/>
        <bgColor rgb="FFFFFFFF"/>
      </patternFill>
    </fill>
    <fill>
      <patternFill patternType="solid">
        <fgColor rgb="FF4472C4"/>
        <bgColor rgb="FF4472C4"/>
      </patternFill>
    </fill>
    <fill>
      <patternFill patternType="solid">
        <fgColor rgb="FF4F81BD"/>
        <bgColor rgb="FF4F81BD"/>
      </patternFill>
    </fill>
    <fill>
      <patternFill patternType="solid">
        <fgColor rgb="FF4285F4"/>
        <bgColor rgb="FF4285F4"/>
      </patternFill>
    </fill>
    <fill>
      <patternFill patternType="solid">
        <fgColor rgb="FFDCE6F1"/>
        <bgColor rgb="FFDCE6F1"/>
      </patternFill>
    </fill>
    <fill>
      <patternFill patternType="solid">
        <fgColor rgb="FFFFFF00"/>
        <bgColor rgb="FFFFFF00"/>
      </patternFill>
    </fill>
    <fill>
      <patternFill patternType="solid">
        <fgColor rgb="FFB6D7A8"/>
        <bgColor rgb="FFB6D7A8"/>
      </patternFill>
    </fill>
    <fill>
      <patternFill patternType="solid">
        <fgColor rgb="FF00FF00"/>
        <bgColor rgb="FF00FF00"/>
      </patternFill>
    </fill>
    <fill>
      <patternFill patternType="solid">
        <fgColor rgb="FF9FC5E8"/>
        <bgColor rgb="FF9FC5E8"/>
      </patternFill>
    </fill>
    <fill>
      <patternFill patternType="solid">
        <fgColor rgb="FF8E7CC3"/>
        <bgColor rgb="FF8E7CC3"/>
      </patternFill>
    </fill>
    <fill>
      <patternFill patternType="solid">
        <fgColor rgb="FFE06666"/>
        <bgColor rgb="FFE06666"/>
      </patternFill>
    </fill>
    <fill>
      <patternFill patternType="solid">
        <fgColor rgb="FFF1C232"/>
        <bgColor rgb="FFF1C232"/>
      </patternFill>
    </fill>
    <fill>
      <patternFill patternType="solid">
        <fgColor rgb="FFC9DAF8"/>
        <bgColor rgb="FFC9DAF8"/>
      </patternFill>
    </fill>
    <fill>
      <patternFill patternType="solid">
        <fgColor rgb="FFB4A7D6"/>
        <bgColor rgb="FFB4A7D6"/>
      </patternFill>
    </fill>
  </fills>
  <borders count="8">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diagonal/>
    </border>
    <border>
      <left/>
      <right/>
      <top/>
      <bottom style="thin">
        <color rgb="FF95B3D7"/>
      </bottom>
      <diagonal/>
    </border>
    <border>
      <left/>
      <right/>
      <top/>
      <bottom/>
      <diagonal/>
    </border>
  </borders>
  <cellStyleXfs count="1">
    <xf numFmtId="0" fontId="0" fillId="0" borderId="0"/>
  </cellStyleXfs>
  <cellXfs count="114">
    <xf numFmtId="0" fontId="0" fillId="0" borderId="0" xfId="0"/>
    <xf numFmtId="0" fontId="1" fillId="2" borderId="1" xfId="0" applyFont="1" applyFill="1" applyBorder="1" applyAlignment="1">
      <alignment horizontal="center"/>
    </xf>
    <xf numFmtId="3" fontId="2" fillId="0" borderId="0" xfId="0" applyNumberFormat="1" applyFont="1"/>
    <xf numFmtId="0" fontId="2" fillId="0" borderId="1" xfId="0" applyFont="1" applyBorder="1" applyAlignment="1">
      <alignment horizontal="center"/>
    </xf>
    <xf numFmtId="0" fontId="3" fillId="0" borderId="1" xfId="0" applyFont="1" applyBorder="1" applyAlignment="1">
      <alignment horizontal="center" vertical="center" wrapText="1"/>
    </xf>
    <xf numFmtId="0" fontId="2" fillId="0" borderId="0" xfId="0" applyFont="1"/>
    <xf numFmtId="0" fontId="2" fillId="3" borderId="1" xfId="0" applyFont="1" applyFill="1" applyBorder="1" applyAlignment="1">
      <alignment horizontal="center"/>
    </xf>
    <xf numFmtId="0" fontId="2" fillId="0" borderId="0" xfId="0" applyFont="1" applyAlignment="1">
      <alignment horizontal="center"/>
    </xf>
    <xf numFmtId="0" fontId="2" fillId="0" borderId="0" xfId="0" applyFont="1" applyAlignment="1">
      <alignment horizontal="center" vertical="center" wrapText="1"/>
    </xf>
    <xf numFmtId="0" fontId="2" fillId="0" borderId="0" xfId="0" applyFont="1" applyAlignment="1">
      <alignment vertical="center" wrapText="1"/>
    </xf>
    <xf numFmtId="0" fontId="4" fillId="4" borderId="0" xfId="0" applyFont="1" applyFill="1"/>
    <xf numFmtId="0" fontId="4" fillId="5" borderId="0" xfId="0" applyFont="1" applyFill="1" applyAlignment="1">
      <alignment horizontal="left"/>
    </xf>
    <xf numFmtId="0" fontId="2" fillId="5" borderId="0" xfId="0" applyFont="1" applyFill="1"/>
    <xf numFmtId="0" fontId="5" fillId="6" borderId="0" xfId="0" applyFont="1" applyFill="1"/>
    <xf numFmtId="164" fontId="2" fillId="0" borderId="0" xfId="0" applyNumberFormat="1" applyFont="1"/>
    <xf numFmtId="21" fontId="2" fillId="0" borderId="0" xfId="0" applyNumberFormat="1" applyFont="1"/>
    <xf numFmtId="0" fontId="6" fillId="7" borderId="0" xfId="0" applyFont="1" applyFill="1"/>
    <xf numFmtId="0" fontId="7" fillId="7" borderId="0" xfId="0" applyFont="1" applyFill="1"/>
    <xf numFmtId="165" fontId="2" fillId="0" borderId="0" xfId="0" applyNumberFormat="1" applyFont="1"/>
    <xf numFmtId="0" fontId="8" fillId="4" borderId="0" xfId="0" applyFont="1" applyFill="1"/>
    <xf numFmtId="0" fontId="8" fillId="5" borderId="0" xfId="0" applyFont="1" applyFill="1"/>
    <xf numFmtId="0" fontId="8" fillId="0" borderId="0" xfId="0" applyFont="1"/>
    <xf numFmtId="49" fontId="8" fillId="0" borderId="0" xfId="0" applyNumberFormat="1" applyFont="1"/>
    <xf numFmtId="49" fontId="8" fillId="5" borderId="0" xfId="0" applyNumberFormat="1" applyFont="1" applyFill="1"/>
    <xf numFmtId="165" fontId="8" fillId="0" borderId="0" xfId="0" applyNumberFormat="1" applyFont="1" applyAlignment="1">
      <alignment horizontal="right"/>
    </xf>
    <xf numFmtId="4" fontId="8" fillId="0" borderId="0" xfId="0" applyNumberFormat="1" applyFont="1" applyAlignment="1">
      <alignment horizontal="right"/>
    </xf>
    <xf numFmtId="0" fontId="9" fillId="6" borderId="0" xfId="0" applyFont="1" applyFill="1"/>
    <xf numFmtId="0" fontId="5" fillId="6" borderId="0" xfId="0" applyFont="1" applyFill="1" applyAlignment="1">
      <alignment horizontal="left"/>
    </xf>
    <xf numFmtId="0" fontId="10" fillId="0" borderId="2" xfId="0" applyFont="1" applyBorder="1" applyAlignment="1">
      <alignment horizontal="center"/>
    </xf>
    <xf numFmtId="0" fontId="11" fillId="6" borderId="0" xfId="0" applyFont="1" applyFill="1"/>
    <xf numFmtId="0" fontId="12" fillId="0" borderId="3" xfId="0" applyFont="1" applyBorder="1" applyAlignment="1">
      <alignment horizontal="center" wrapText="1"/>
    </xf>
    <xf numFmtId="0" fontId="12" fillId="6" borderId="3" xfId="0" applyFont="1" applyFill="1" applyBorder="1" applyAlignment="1">
      <alignment horizontal="center" wrapText="1"/>
    </xf>
    <xf numFmtId="0" fontId="13" fillId="0" borderId="4" xfId="0" applyFont="1" applyBorder="1"/>
    <xf numFmtId="0" fontId="10" fillId="0" borderId="4" xfId="0" applyFont="1" applyBorder="1" applyAlignment="1">
      <alignment horizontal="center"/>
    </xf>
    <xf numFmtId="0" fontId="10" fillId="0" borderId="5" xfId="0" applyFont="1" applyBorder="1" applyAlignment="1">
      <alignment horizontal="center"/>
    </xf>
    <xf numFmtId="0" fontId="13" fillId="0" borderId="5" xfId="0" applyFont="1" applyBorder="1"/>
    <xf numFmtId="0" fontId="14" fillId="8" borderId="6" xfId="0" applyFont="1" applyFill="1" applyBorder="1"/>
    <xf numFmtId="0" fontId="6" fillId="8" borderId="6" xfId="0" applyFont="1" applyFill="1" applyBorder="1"/>
    <xf numFmtId="0" fontId="15" fillId="0" borderId="0" xfId="0" applyFont="1"/>
    <xf numFmtId="0" fontId="16" fillId="6" borderId="0" xfId="0" applyFont="1" applyFill="1"/>
    <xf numFmtId="0" fontId="4" fillId="0" borderId="1" xfId="0" applyFont="1" applyBorder="1"/>
    <xf numFmtId="0" fontId="15" fillId="9" borderId="0" xfId="0" applyFont="1" applyFill="1"/>
    <xf numFmtId="0" fontId="17" fillId="10" borderId="0" xfId="0" applyFont="1" applyFill="1" applyAlignment="1">
      <alignment horizontal="center"/>
    </xf>
    <xf numFmtId="0" fontId="4" fillId="10" borderId="0" xfId="0" applyFont="1" applyFill="1" applyAlignment="1">
      <alignment horizontal="center"/>
    </xf>
    <xf numFmtId="165" fontId="17" fillId="10" borderId="0" xfId="0" applyNumberFormat="1" applyFont="1" applyFill="1" applyAlignment="1">
      <alignment horizontal="center"/>
    </xf>
    <xf numFmtId="0" fontId="4" fillId="11" borderId="0" xfId="0" applyFont="1" applyFill="1" applyAlignment="1">
      <alignment horizontal="center"/>
    </xf>
    <xf numFmtId="11" fontId="17" fillId="10" borderId="0" xfId="0" applyNumberFormat="1" applyFont="1" applyFill="1" applyAlignment="1">
      <alignment horizontal="center"/>
    </xf>
    <xf numFmtId="0" fontId="18" fillId="0" borderId="0" xfId="0" applyFont="1"/>
    <xf numFmtId="0" fontId="15" fillId="0" borderId="0" xfId="0" applyFont="1" applyAlignment="1">
      <alignment horizontal="center"/>
    </xf>
    <xf numFmtId="0" fontId="19" fillId="6" borderId="0" xfId="0" applyFont="1" applyFill="1"/>
    <xf numFmtId="0" fontId="20" fillId="2" borderId="0" xfId="0" applyFont="1" applyFill="1"/>
    <xf numFmtId="0" fontId="15" fillId="0" borderId="0" xfId="0" applyFont="1" applyAlignment="1">
      <alignment horizontal="right"/>
    </xf>
    <xf numFmtId="0" fontId="21" fillId="6" borderId="0" xfId="0" applyFont="1" applyFill="1"/>
    <xf numFmtId="0" fontId="17" fillId="0" borderId="0" xfId="0" applyFont="1" applyAlignment="1">
      <alignment horizontal="center"/>
    </xf>
    <xf numFmtId="0" fontId="4" fillId="0" borderId="0" xfId="0" applyFont="1" applyAlignment="1">
      <alignment horizontal="center"/>
    </xf>
    <xf numFmtId="165" fontId="17" fillId="0" borderId="0" xfId="0" applyNumberFormat="1" applyFont="1" applyAlignment="1">
      <alignment horizontal="center"/>
    </xf>
    <xf numFmtId="11" fontId="17" fillId="0" borderId="0" xfId="0" applyNumberFormat="1" applyFont="1" applyAlignment="1">
      <alignment horizontal="center"/>
    </xf>
    <xf numFmtId="164" fontId="17" fillId="10" borderId="0" xfId="0" applyNumberFormat="1" applyFont="1" applyFill="1" applyAlignment="1">
      <alignment horizontal="center"/>
    </xf>
    <xf numFmtId="164" fontId="17" fillId="0" borderId="0" xfId="0" applyNumberFormat="1" applyFont="1" applyAlignment="1">
      <alignment horizontal="center"/>
    </xf>
    <xf numFmtId="0" fontId="22" fillId="2" borderId="0" xfId="0" applyFont="1" applyFill="1"/>
    <xf numFmtId="0" fontId="23" fillId="0" borderId="0" xfId="0" applyFont="1"/>
    <xf numFmtId="0" fontId="24" fillId="0" borderId="0" xfId="0" applyFont="1"/>
    <xf numFmtId="11" fontId="2" fillId="0" borderId="0" xfId="0" applyNumberFormat="1" applyFont="1"/>
    <xf numFmtId="0" fontId="25" fillId="0" borderId="0" xfId="0" applyFont="1"/>
    <xf numFmtId="166" fontId="24" fillId="0" borderId="0" xfId="0" applyNumberFormat="1" applyFont="1"/>
    <xf numFmtId="166" fontId="2" fillId="0" borderId="0" xfId="0" applyNumberFormat="1" applyFont="1"/>
    <xf numFmtId="0" fontId="5" fillId="6" borderId="0" xfId="0" applyFont="1" applyFill="1" applyAlignment="1">
      <alignment vertical="center" wrapText="1"/>
    </xf>
    <xf numFmtId="0" fontId="2" fillId="12" borderId="0" xfId="0" applyFont="1" applyFill="1" applyAlignment="1">
      <alignment vertical="center" wrapText="1"/>
    </xf>
    <xf numFmtId="0" fontId="26" fillId="2" borderId="1" xfId="0" applyFont="1" applyFill="1" applyBorder="1" applyAlignment="1">
      <alignment horizontal="center"/>
    </xf>
    <xf numFmtId="0" fontId="27" fillId="2" borderId="1" xfId="0" applyFont="1" applyFill="1" applyBorder="1" applyAlignment="1">
      <alignment horizontal="center" vertical="center" wrapText="1"/>
    </xf>
    <xf numFmtId="0" fontId="28" fillId="0" borderId="1" xfId="0" applyFont="1" applyBorder="1" applyAlignment="1">
      <alignment horizontal="center" vertical="center" wrapText="1"/>
    </xf>
    <xf numFmtId="0" fontId="28" fillId="2" borderId="1" xfId="0" applyFont="1" applyFill="1" applyBorder="1" applyAlignment="1">
      <alignment horizontal="center" vertical="center" wrapText="1"/>
    </xf>
    <xf numFmtId="0" fontId="29" fillId="2" borderId="1" xfId="0" applyFont="1" applyFill="1" applyBorder="1" applyAlignment="1">
      <alignment horizontal="center" vertical="center" wrapText="1"/>
    </xf>
    <xf numFmtId="0" fontId="29" fillId="0" borderId="1" xfId="0" applyFont="1" applyBorder="1" applyAlignment="1">
      <alignment horizontal="center" vertical="center" wrapText="1"/>
    </xf>
    <xf numFmtId="0" fontId="1" fillId="0" borderId="1" xfId="0" applyFont="1" applyBorder="1" applyAlignment="1">
      <alignment horizontal="center"/>
    </xf>
    <xf numFmtId="0" fontId="4" fillId="0" borderId="1" xfId="0" applyFont="1" applyBorder="1" applyAlignment="1">
      <alignment horizontal="center"/>
    </xf>
    <xf numFmtId="0" fontId="5" fillId="6" borderId="1" xfId="0" applyFont="1" applyFill="1" applyBorder="1"/>
    <xf numFmtId="0" fontId="5" fillId="6" borderId="1" xfId="0" applyFont="1" applyFill="1" applyBorder="1" applyAlignment="1">
      <alignment horizontal="center"/>
    </xf>
    <xf numFmtId="0" fontId="30" fillId="0" borderId="1" xfId="0" applyFont="1" applyBorder="1" applyAlignment="1">
      <alignment horizontal="center"/>
    </xf>
    <xf numFmtId="0" fontId="4" fillId="6" borderId="1" xfId="0" applyFont="1" applyFill="1" applyBorder="1" applyAlignment="1">
      <alignment horizontal="center"/>
    </xf>
    <xf numFmtId="0" fontId="31" fillId="0" borderId="1" xfId="0" applyFont="1" applyBorder="1" applyAlignment="1">
      <alignment horizontal="center"/>
    </xf>
    <xf numFmtId="0" fontId="15" fillId="0" borderId="1" xfId="0" applyFont="1" applyBorder="1" applyAlignment="1">
      <alignment horizontal="center"/>
    </xf>
    <xf numFmtId="49" fontId="8" fillId="0" borderId="7" xfId="0" applyNumberFormat="1" applyFont="1" applyBorder="1" applyAlignment="1">
      <alignment horizontal="center"/>
    </xf>
    <xf numFmtId="49" fontId="2" fillId="0" borderId="1" xfId="0" applyNumberFormat="1" applyFont="1" applyBorder="1" applyAlignment="1">
      <alignment horizontal="center"/>
    </xf>
    <xf numFmtId="49" fontId="8" fillId="0" borderId="7" xfId="0" applyNumberFormat="1" applyFont="1" applyBorder="1"/>
    <xf numFmtId="49" fontId="8" fillId="0" borderId="0" xfId="0" applyNumberFormat="1" applyFont="1" applyAlignment="1">
      <alignment horizontal="center"/>
    </xf>
    <xf numFmtId="0" fontId="8" fillId="0" borderId="0" xfId="0" applyFont="1" applyAlignment="1">
      <alignment horizontal="right"/>
    </xf>
    <xf numFmtId="0" fontId="2" fillId="13" borderId="0" xfId="0" applyFont="1" applyFill="1"/>
    <xf numFmtId="0" fontId="2" fillId="14" borderId="0" xfId="0" applyFont="1" applyFill="1"/>
    <xf numFmtId="0" fontId="2" fillId="15" borderId="0" xfId="0" applyFont="1" applyFill="1"/>
    <xf numFmtId="0" fontId="2" fillId="16" borderId="0" xfId="0" applyFont="1" applyFill="1"/>
    <xf numFmtId="0" fontId="2" fillId="17" borderId="0" xfId="0" applyFont="1" applyFill="1"/>
    <xf numFmtId="0" fontId="4" fillId="0" borderId="0" xfId="0" applyFont="1"/>
    <xf numFmtId="0" fontId="4" fillId="0" borderId="0" xfId="0" applyFont="1" applyAlignment="1">
      <alignment horizontal="right"/>
    </xf>
    <xf numFmtId="165" fontId="4" fillId="0" borderId="0" xfId="0" applyNumberFormat="1" applyFont="1" applyAlignment="1">
      <alignment horizontal="right"/>
    </xf>
    <xf numFmtId="21" fontId="4" fillId="0" borderId="0" xfId="0" applyNumberFormat="1" applyFont="1" applyAlignment="1">
      <alignment horizontal="right"/>
    </xf>
    <xf numFmtId="0" fontId="2" fillId="18" borderId="0" xfId="0" applyFont="1" applyFill="1"/>
    <xf numFmtId="0" fontId="2" fillId="19" borderId="0" xfId="0" applyFont="1" applyFill="1"/>
    <xf numFmtId="164" fontId="8" fillId="0" borderId="0" xfId="0" applyNumberFormat="1" applyFont="1" applyAlignment="1">
      <alignment horizontal="right"/>
    </xf>
    <xf numFmtId="21" fontId="8" fillId="0" borderId="0" xfId="0" applyNumberFormat="1" applyFont="1" applyAlignment="1">
      <alignment horizontal="right"/>
    </xf>
    <xf numFmtId="46" fontId="8" fillId="0" borderId="0" xfId="0" applyNumberFormat="1" applyFont="1" applyAlignment="1">
      <alignment horizontal="right"/>
    </xf>
    <xf numFmtId="0" fontId="12" fillId="0" borderId="0" xfId="0" applyFont="1" applyAlignment="1">
      <alignment horizontal="center" wrapText="1"/>
    </xf>
    <xf numFmtId="0" fontId="13" fillId="0" borderId="0" xfId="0" applyFont="1"/>
    <xf numFmtId="0" fontId="10" fillId="0" borderId="0" xfId="0" applyFont="1" applyAlignment="1">
      <alignment horizontal="center"/>
    </xf>
    <xf numFmtId="0" fontId="17" fillId="10" borderId="1" xfId="0" applyFont="1" applyFill="1" applyBorder="1" applyAlignment="1">
      <alignment horizontal="center"/>
    </xf>
    <xf numFmtId="0" fontId="17" fillId="10" borderId="3" xfId="0" applyFont="1" applyFill="1" applyBorder="1" applyAlignment="1">
      <alignment horizontal="center"/>
    </xf>
    <xf numFmtId="0" fontId="17" fillId="0" borderId="3" xfId="0" applyFont="1" applyBorder="1" applyAlignment="1">
      <alignment horizontal="center"/>
    </xf>
    <xf numFmtId="0" fontId="2" fillId="0" borderId="3" xfId="0" applyFont="1" applyBorder="1"/>
    <xf numFmtId="0" fontId="2" fillId="0" borderId="2" xfId="0" applyFont="1" applyBorder="1"/>
    <xf numFmtId="0" fontId="17" fillId="0" borderId="4" xfId="0" applyFont="1" applyBorder="1" applyAlignment="1">
      <alignment horizontal="center"/>
    </xf>
    <xf numFmtId="0" fontId="4" fillId="0" borderId="5" xfId="0" applyFont="1" applyBorder="1" applyAlignment="1">
      <alignment horizontal="center"/>
    </xf>
    <xf numFmtId="0" fontId="12" fillId="0" borderId="5" xfId="0" applyFont="1" applyBorder="1" applyAlignment="1">
      <alignment horizontal="center" wrapText="1"/>
    </xf>
    <xf numFmtId="0" fontId="12" fillId="6" borderId="1" xfId="0" applyFont="1" applyFill="1" applyBorder="1" applyAlignment="1">
      <alignment horizontal="center" wrapText="1"/>
    </xf>
    <xf numFmtId="0" fontId="2" fillId="0" borderId="1" xfId="0" applyFont="1" applyBorder="1"/>
  </cellXfs>
  <cellStyles count="1">
    <cellStyle name="Normal" xfId="0" builtinId="0"/>
  </cellStyles>
  <dxfs count="2">
    <dxf>
      <fill>
        <patternFill patternType="solid">
          <fgColor rgb="FFB7E1CD"/>
          <bgColor rgb="FFB7E1CD"/>
        </patternFill>
      </fill>
    </dxf>
    <dxf>
      <font>
        <color rgb="FF000000"/>
      </font>
      <fill>
        <patternFill patternType="solid">
          <fgColor rgb="FFEA9999"/>
          <bgColor rgb="FFEA9999"/>
        </patternFill>
      </fill>
    </dxf>
  </dxfs>
  <tableStyles count="1" defaultTableStyle="TableStyleMedium2" defaultPivotStyle="PivotStyleLight16">
    <tableStyle name="Invisible" pivot="0" table="0" count="0" xr9:uid="{988337AF-0B7D-4D71-ADF2-F769725A92DA}"/>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a:solidFill>
                  <a:schemeClr val="dk1"/>
                </a:solidFill>
                <a:latin typeface="Comic Sans MS"/>
              </a:defRPr>
            </a:pPr>
            <a:r>
              <a:rPr b="1">
                <a:solidFill>
                  <a:schemeClr val="dk1"/>
                </a:solidFill>
                <a:latin typeface="Comic Sans MS"/>
              </a:rPr>
              <a:t>Tiempo Linea 10</a:t>
            </a:r>
          </a:p>
        </c:rich>
      </c:tx>
      <c:overlay val="0"/>
    </c:title>
    <c:autoTitleDeleted val="0"/>
    <c:view3D>
      <c:rotX val="15"/>
      <c:rotY val="20"/>
      <c:depthPercent val="100"/>
      <c:rAngAx val="1"/>
    </c:view3D>
    <c:floor>
      <c:thickness val="0"/>
    </c:floor>
    <c:sideWall>
      <c:thickness val="0"/>
    </c:sideWall>
    <c:backWall>
      <c:thickness val="0"/>
    </c:backWall>
    <c:plotArea>
      <c:layout/>
      <c:bar3DChart>
        <c:barDir val="bar"/>
        <c:grouping val="stacked"/>
        <c:varyColors val="1"/>
        <c:ser>
          <c:idx val="0"/>
          <c:order val="0"/>
          <c:tx>
            <c:strRef>
              <c:f>TECNICOS!$J$1</c:f>
              <c:strCache>
                <c:ptCount val="1"/>
                <c:pt idx="0">
                  <c:v>LINE 10</c:v>
                </c:pt>
              </c:strCache>
            </c:strRef>
          </c:tx>
          <c:spPr>
            <a:solidFill>
              <a:srgbClr val="8E7CC3"/>
            </a:solidFill>
            <a:ln cmpd="sng">
              <a:solidFill>
                <a:srgbClr val="000000"/>
              </a:solidFill>
            </a:ln>
          </c:spPr>
          <c:invertIfNegative val="1"/>
          <c:cat>
            <c:strRef>
              <c:f>TECNICOS!$G$2:$G$1000</c:f>
              <c:strCache>
                <c:ptCount val="9"/>
                <c:pt idx="0">
                  <c:v>Bolaños Camacho Luis Miguel</c:v>
                </c:pt>
                <c:pt idx="1">
                  <c:v>Parra Ramos Hector</c:v>
                </c:pt>
                <c:pt idx="2">
                  <c:v>Bonilla Edwin</c:v>
                </c:pt>
                <c:pt idx="3">
                  <c:v>Peña Quiñonez Andres Gilberto</c:v>
                </c:pt>
                <c:pt idx="4">
                  <c:v>Jose Correa</c:v>
                </c:pt>
                <c:pt idx="5">
                  <c:v>Jhon Navas</c:v>
                </c:pt>
                <c:pt idx="6">
                  <c:v>Luis Gordillo</c:v>
                </c:pt>
                <c:pt idx="7">
                  <c:v>Duran Sanchez Nelson Fernando</c:v>
                </c:pt>
                <c:pt idx="8">
                  <c:v>BLANCO</c:v>
                </c:pt>
              </c:strCache>
            </c:strRef>
          </c:cat>
          <c:val>
            <c:numRef>
              <c:f>TECNICOS!$J$2:$J$1000</c:f>
              <c:numCache>
                <c:formatCode>General</c:formatCode>
                <c:ptCount val="999"/>
                <c:pt idx="0">
                  <c:v>0.85</c:v>
                </c:pt>
                <c:pt idx="1">
                  <c:v>0.38</c:v>
                </c:pt>
                <c:pt idx="2">
                  <c:v>0.65999999999999903</c:v>
                </c:pt>
                <c:pt idx="3">
                  <c:v>1.25</c:v>
                </c:pt>
                <c:pt idx="4">
                  <c:v>1.27</c:v>
                </c:pt>
                <c:pt idx="5">
                  <c:v>1.33</c:v>
                </c:pt>
                <c:pt idx="6">
                  <c:v>1.71</c:v>
                </c:pt>
                <c:pt idx="7">
                  <c:v>0.71</c:v>
                </c:pt>
                <c:pt idx="8">
                  <c:v>21.75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859-4BD9-98C7-849A3352FC84}"/>
            </c:ext>
          </c:extLst>
        </c:ser>
        <c:ser>
          <c:idx val="1"/>
          <c:order val="1"/>
          <c:tx>
            <c:strRef>
              <c:f>TECNICOS!$J$1</c:f>
              <c:strCache>
                <c:ptCount val="1"/>
                <c:pt idx="0">
                  <c:v>LINE 10</c:v>
                </c:pt>
              </c:strCache>
            </c:strRef>
          </c:tx>
          <c:invertIfNegative val="1"/>
          <c:cat>
            <c:strRef>
              <c:f>TECNICOS!$G$2:$G$1000</c:f>
              <c:strCache>
                <c:ptCount val="9"/>
                <c:pt idx="0">
                  <c:v>Bolaños Camacho Luis Miguel</c:v>
                </c:pt>
                <c:pt idx="1">
                  <c:v>Parra Ramos Hector</c:v>
                </c:pt>
                <c:pt idx="2">
                  <c:v>Bonilla Edwin</c:v>
                </c:pt>
                <c:pt idx="3">
                  <c:v>Peña Quiñonez Andres Gilberto</c:v>
                </c:pt>
                <c:pt idx="4">
                  <c:v>Jose Correa</c:v>
                </c:pt>
                <c:pt idx="5">
                  <c:v>Jhon Navas</c:v>
                </c:pt>
                <c:pt idx="6">
                  <c:v>Luis Gordillo</c:v>
                </c:pt>
                <c:pt idx="7">
                  <c:v>Duran Sanchez Nelson Fernando</c:v>
                </c:pt>
                <c:pt idx="8">
                  <c:v>BLANCO</c:v>
                </c:pt>
              </c:strCache>
            </c:strRef>
          </c:cat>
          <c:val>
            <c:numRef>
              <c:f>TECNICOS!$J$2:$J$1000</c:f>
              <c:numCache>
                <c:formatCode>General</c:formatCode>
                <c:ptCount val="999"/>
                <c:pt idx="0">
                  <c:v>0.85</c:v>
                </c:pt>
                <c:pt idx="1">
                  <c:v>0.38</c:v>
                </c:pt>
                <c:pt idx="2">
                  <c:v>0.65999999999999903</c:v>
                </c:pt>
                <c:pt idx="3">
                  <c:v>1.25</c:v>
                </c:pt>
                <c:pt idx="4">
                  <c:v>1.27</c:v>
                </c:pt>
                <c:pt idx="5">
                  <c:v>1.33</c:v>
                </c:pt>
                <c:pt idx="6">
                  <c:v>1.71</c:v>
                </c:pt>
                <c:pt idx="7">
                  <c:v>0.71</c:v>
                </c:pt>
                <c:pt idx="8">
                  <c:v>21.75</c:v>
                </c:pt>
              </c:numCache>
            </c:numRef>
          </c:val>
          <c:extLst>
            <c:ext xmlns:c16="http://schemas.microsoft.com/office/drawing/2014/chart" uri="{C3380CC4-5D6E-409C-BE32-E72D297353CC}">
              <c16:uniqueId val="{00000001-9859-4BD9-98C7-849A3352FC84}"/>
            </c:ext>
          </c:extLst>
        </c:ser>
        <c:dLbls>
          <c:showLegendKey val="0"/>
          <c:showVal val="0"/>
          <c:showCatName val="0"/>
          <c:showSerName val="0"/>
          <c:showPercent val="0"/>
          <c:showBubbleSize val="0"/>
        </c:dLbls>
        <c:gapWidth val="150"/>
        <c:shape val="box"/>
        <c:axId val="683234112"/>
        <c:axId val="171715208"/>
        <c:axId val="0"/>
      </c:bar3DChart>
      <c:catAx>
        <c:axId val="683234112"/>
        <c:scaling>
          <c:orientation val="maxMin"/>
        </c:scaling>
        <c:delete val="0"/>
        <c:axPos val="l"/>
        <c:title>
          <c:tx>
            <c:rich>
              <a:bodyPr/>
              <a:lstStyle/>
              <a:p>
                <a:pPr lvl="0">
                  <a:defRPr b="0">
                    <a:solidFill>
                      <a:srgbClr val="000000"/>
                    </a:solidFill>
                    <a:latin typeface="+mn-lt"/>
                  </a:defRPr>
                </a:pPr>
                <a:r>
                  <a:rPr b="0">
                    <a:solidFill>
                      <a:srgbClr val="000000"/>
                    </a:solidFill>
                    <a:latin typeface="+mn-lt"/>
                  </a:rPr>
                  <a:t>Tecnicos</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ES"/>
          </a:p>
        </c:txPr>
        <c:crossAx val="171715208"/>
        <c:crosses val="autoZero"/>
        <c:auto val="1"/>
        <c:lblAlgn val="ctr"/>
        <c:lblOffset val="100"/>
        <c:noMultiLvlLbl val="1"/>
      </c:catAx>
      <c:valAx>
        <c:axId val="17171520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Tiempo</a:t>
                </a:r>
              </a:p>
            </c:rich>
          </c:tx>
          <c:overlay val="0"/>
        </c:title>
        <c:numFmt formatCode="General" sourceLinked="1"/>
        <c:majorTickMark val="none"/>
        <c:minorTickMark val="none"/>
        <c:tickLblPos val="nextTo"/>
        <c:spPr>
          <a:ln>
            <a:solidFill/>
          </a:ln>
        </c:spPr>
        <c:txPr>
          <a:bodyPr/>
          <a:lstStyle/>
          <a:p>
            <a:pPr lvl="0">
              <a:defRPr sz="1000" b="1">
                <a:solidFill>
                  <a:schemeClr val="dk1"/>
                </a:solidFill>
                <a:latin typeface="+mn-lt"/>
              </a:defRPr>
            </a:pPr>
            <a:endParaRPr lang="es-ES"/>
          </a:p>
        </c:txPr>
        <c:crossAx val="683234112"/>
        <c:crosses val="max"/>
        <c:crossBetween val="between"/>
      </c:valAx>
    </c:plotArea>
    <c:legend>
      <c:legendPos val="r"/>
      <c:overlay val="0"/>
      <c:txPr>
        <a:bodyPr/>
        <a:lstStyle/>
        <a:p>
          <a:pPr lvl="0">
            <a:defRPr b="0">
              <a:solidFill>
                <a:srgbClr val="1A1A1A"/>
              </a:solidFill>
              <a:latin typeface="+mn-lt"/>
            </a:defRPr>
          </a:pPr>
          <a:endParaRPr lang="es-ES"/>
        </a:p>
      </c:txPr>
    </c:legend>
    <c:plotVisOnly val="1"/>
    <c:dispBlanksAs val="zero"/>
    <c:showDLblsOverMax val="1"/>
  </c:chart>
  <c:spPr>
    <a:solidFill>
      <a:srgbClr val="CFE2F3"/>
    </a:solidFill>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a:solidFill>
                  <a:schemeClr val="dk1"/>
                </a:solidFill>
                <a:latin typeface="Comic Sans MS"/>
              </a:defRPr>
            </a:pPr>
            <a:r>
              <a:rPr b="1">
                <a:solidFill>
                  <a:schemeClr val="dk1"/>
                </a:solidFill>
                <a:latin typeface="Comic Sans MS"/>
              </a:rPr>
              <a:t>Tiempo Linea 3</a:t>
            </a:r>
          </a:p>
        </c:rich>
      </c:tx>
      <c:overlay val="0"/>
    </c:title>
    <c:autoTitleDeleted val="0"/>
    <c:view3D>
      <c:rotX val="15"/>
      <c:rotY val="20"/>
      <c:depthPercent val="100"/>
      <c:rAngAx val="1"/>
    </c:view3D>
    <c:floor>
      <c:thickness val="0"/>
    </c:floor>
    <c:sideWall>
      <c:thickness val="0"/>
    </c:sideWall>
    <c:backWall>
      <c:thickness val="0"/>
    </c:backWall>
    <c:plotArea>
      <c:layout/>
      <c:bar3DChart>
        <c:barDir val="bar"/>
        <c:grouping val="stacked"/>
        <c:varyColors val="1"/>
        <c:ser>
          <c:idx val="0"/>
          <c:order val="0"/>
          <c:invertIfNegative val="1"/>
          <c:cat>
            <c:strRef>
              <c:f>TECNICOS!$V$1:$V$1000</c:f>
              <c:strCache>
                <c:ptCount val="1"/>
                <c:pt idx="0">
                  <c:v>Nombres</c:v>
                </c:pt>
              </c:strCache>
            </c:strRef>
          </c:cat>
          <c:val>
            <c:numRef>
              <c:f>TECNICOS!$Y$1:$Y$1000</c:f>
              <c:numCache>
                <c:formatCode>General</c:formatCode>
                <c:ptCount val="1000"/>
                <c:pt idx="0">
                  <c:v>0</c:v>
                </c:pt>
              </c:numCache>
            </c:numRef>
          </c:val>
          <c:extLst>
            <c:ext xmlns:c16="http://schemas.microsoft.com/office/drawing/2014/chart" uri="{C3380CC4-5D6E-409C-BE32-E72D297353CC}">
              <c16:uniqueId val="{00000000-82C0-4907-BD8C-D6726C10AF70}"/>
            </c:ext>
          </c:extLst>
        </c:ser>
        <c:ser>
          <c:idx val="1"/>
          <c:order val="1"/>
          <c:invertIfNegative val="1"/>
          <c:cat>
            <c:strRef>
              <c:f>TECNICOS!$V$1:$V$1000</c:f>
              <c:strCache>
                <c:ptCount val="1"/>
                <c:pt idx="0">
                  <c:v>Nombres</c:v>
                </c:pt>
              </c:strCache>
            </c:strRef>
          </c:cat>
          <c:val>
            <c:numRef>
              <c:f>TECNICOS!$Y$1:$Y$1000</c:f>
              <c:numCache>
                <c:formatCode>General</c:formatCode>
                <c:ptCount val="1000"/>
                <c:pt idx="0">
                  <c:v>0</c:v>
                </c:pt>
              </c:numCache>
            </c:numRef>
          </c:val>
          <c:extLst>
            <c:ext xmlns:c16="http://schemas.microsoft.com/office/drawing/2014/chart" uri="{C3380CC4-5D6E-409C-BE32-E72D297353CC}">
              <c16:uniqueId val="{00000001-82C0-4907-BD8C-D6726C10AF70}"/>
            </c:ext>
          </c:extLst>
        </c:ser>
        <c:dLbls>
          <c:showLegendKey val="0"/>
          <c:showVal val="0"/>
          <c:showCatName val="0"/>
          <c:showSerName val="0"/>
          <c:showPercent val="0"/>
          <c:showBubbleSize val="0"/>
        </c:dLbls>
        <c:gapWidth val="150"/>
        <c:shape val="box"/>
        <c:axId val="199733921"/>
        <c:axId val="1035542388"/>
        <c:axId val="0"/>
      </c:bar3DChart>
      <c:catAx>
        <c:axId val="199733921"/>
        <c:scaling>
          <c:orientation val="maxMin"/>
        </c:scaling>
        <c:delete val="0"/>
        <c:axPos val="l"/>
        <c:title>
          <c:tx>
            <c:rich>
              <a:bodyPr/>
              <a:lstStyle/>
              <a:p>
                <a:pPr lvl="0">
                  <a:defRPr b="0">
                    <a:solidFill>
                      <a:srgbClr val="000000"/>
                    </a:solidFill>
                    <a:latin typeface="+mn-lt"/>
                  </a:defRPr>
                </a:pPr>
                <a:r>
                  <a:rPr b="0">
                    <a:solidFill>
                      <a:srgbClr val="000000"/>
                    </a:solidFill>
                    <a:latin typeface="+mn-lt"/>
                  </a:rPr>
                  <a:t>Tecnicos</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ES"/>
          </a:p>
        </c:txPr>
        <c:crossAx val="1035542388"/>
        <c:crosses val="autoZero"/>
        <c:auto val="1"/>
        <c:lblAlgn val="ctr"/>
        <c:lblOffset val="100"/>
        <c:noMultiLvlLbl val="1"/>
      </c:catAx>
      <c:valAx>
        <c:axId val="1035542388"/>
        <c:scaling>
          <c:orientation val="minMax"/>
        </c:scaling>
        <c:delete val="0"/>
        <c:axPos val="b"/>
        <c:numFmt formatCode="General" sourceLinked="1"/>
        <c:majorTickMark val="cross"/>
        <c:minorTickMark val="cross"/>
        <c:tickLblPos val="nextTo"/>
        <c:spPr>
          <a:ln>
            <a:noFill/>
          </a:ln>
        </c:spPr>
        <c:crossAx val="199733921"/>
        <c:crosses val="max"/>
        <c:crossBetween val="between"/>
      </c:valAx>
    </c:plotArea>
    <c:legend>
      <c:legendPos val="r"/>
      <c:overlay val="0"/>
      <c:txPr>
        <a:bodyPr/>
        <a:lstStyle/>
        <a:p>
          <a:pPr lvl="0">
            <a:defRPr b="0">
              <a:solidFill>
                <a:srgbClr val="1A1A1A"/>
              </a:solidFill>
              <a:latin typeface="+mn-lt"/>
            </a:defRPr>
          </a:pPr>
          <a:endParaRPr lang="es-ES"/>
        </a:p>
      </c:txPr>
    </c:legend>
    <c:plotVisOnly val="1"/>
    <c:dispBlanksAs val="zero"/>
    <c:showDLblsOverMax val="1"/>
  </c:chart>
  <c:spPr>
    <a:solidFill>
      <a:srgbClr val="CFE2F3"/>
    </a:solidFill>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a:solidFill>
                  <a:schemeClr val="dk1"/>
                </a:solidFill>
                <a:latin typeface="Comic Sans MS"/>
              </a:defRPr>
            </a:pPr>
            <a:r>
              <a:rPr b="1">
                <a:solidFill>
                  <a:schemeClr val="dk1"/>
                </a:solidFill>
                <a:latin typeface="Comic Sans MS"/>
              </a:rPr>
              <a:t>Tiempo Linea 10</a:t>
            </a:r>
          </a:p>
        </c:rich>
      </c:tx>
      <c:overlay val="0"/>
    </c:title>
    <c:autoTitleDeleted val="0"/>
    <c:view3D>
      <c:rotX val="15"/>
      <c:rotY val="20"/>
      <c:depthPercent val="100"/>
      <c:rAngAx val="1"/>
    </c:view3D>
    <c:floor>
      <c:thickness val="0"/>
    </c:floor>
    <c:sideWall>
      <c:thickness val="0"/>
    </c:sideWall>
    <c:backWall>
      <c:thickness val="0"/>
    </c:backWall>
    <c:plotArea>
      <c:layout/>
      <c:bar3DChart>
        <c:barDir val="bar"/>
        <c:grouping val="stacked"/>
        <c:varyColors val="1"/>
        <c:ser>
          <c:idx val="0"/>
          <c:order val="0"/>
          <c:tx>
            <c:strRef>
              <c:f>TECNICOS!$J$1</c:f>
              <c:strCache>
                <c:ptCount val="1"/>
                <c:pt idx="0">
                  <c:v>LINE 10</c:v>
                </c:pt>
              </c:strCache>
            </c:strRef>
          </c:tx>
          <c:spPr>
            <a:solidFill>
              <a:srgbClr val="B6D7A8"/>
            </a:solidFill>
            <a:ln cmpd="sng">
              <a:solidFill>
                <a:srgbClr val="000000"/>
              </a:solidFill>
            </a:ln>
          </c:spPr>
          <c:invertIfNegative val="1"/>
          <c:cat>
            <c:strRef>
              <c:f>TECNICOS!$G$2:$G$1000</c:f>
              <c:strCache>
                <c:ptCount val="9"/>
                <c:pt idx="0">
                  <c:v>Bolaños Camacho Luis Miguel</c:v>
                </c:pt>
                <c:pt idx="1">
                  <c:v>Parra Ramos Hector</c:v>
                </c:pt>
                <c:pt idx="2">
                  <c:v>Bonilla Edwin</c:v>
                </c:pt>
                <c:pt idx="3">
                  <c:v>Peña Quiñonez Andres Gilberto</c:v>
                </c:pt>
                <c:pt idx="4">
                  <c:v>Jose Correa</c:v>
                </c:pt>
                <c:pt idx="5">
                  <c:v>Jhon Navas</c:v>
                </c:pt>
                <c:pt idx="6">
                  <c:v>Luis Gordillo</c:v>
                </c:pt>
                <c:pt idx="7">
                  <c:v>Duran Sanchez Nelson Fernando</c:v>
                </c:pt>
                <c:pt idx="8">
                  <c:v>BLANCO</c:v>
                </c:pt>
              </c:strCache>
            </c:strRef>
          </c:cat>
          <c:val>
            <c:numRef>
              <c:f>TECNICOS!$J$2:$J$1000</c:f>
              <c:numCache>
                <c:formatCode>General</c:formatCode>
                <c:ptCount val="999"/>
                <c:pt idx="0">
                  <c:v>0.85</c:v>
                </c:pt>
                <c:pt idx="1">
                  <c:v>0.38</c:v>
                </c:pt>
                <c:pt idx="2">
                  <c:v>0.65999999999999903</c:v>
                </c:pt>
                <c:pt idx="3">
                  <c:v>1.25</c:v>
                </c:pt>
                <c:pt idx="4">
                  <c:v>1.27</c:v>
                </c:pt>
                <c:pt idx="5">
                  <c:v>1.33</c:v>
                </c:pt>
                <c:pt idx="6">
                  <c:v>1.71</c:v>
                </c:pt>
                <c:pt idx="7">
                  <c:v>0.71</c:v>
                </c:pt>
                <c:pt idx="8">
                  <c:v>21.75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6F0-493A-A47D-6DB2CA9584B9}"/>
            </c:ext>
          </c:extLst>
        </c:ser>
        <c:dLbls>
          <c:showLegendKey val="0"/>
          <c:showVal val="0"/>
          <c:showCatName val="0"/>
          <c:showSerName val="0"/>
          <c:showPercent val="0"/>
          <c:showBubbleSize val="0"/>
        </c:dLbls>
        <c:gapWidth val="150"/>
        <c:shape val="box"/>
        <c:axId val="1444765306"/>
        <c:axId val="807521525"/>
        <c:axId val="0"/>
      </c:bar3DChart>
      <c:catAx>
        <c:axId val="1444765306"/>
        <c:scaling>
          <c:orientation val="maxMin"/>
        </c:scaling>
        <c:delete val="0"/>
        <c:axPos val="l"/>
        <c:title>
          <c:tx>
            <c:rich>
              <a:bodyPr/>
              <a:lstStyle/>
              <a:p>
                <a:pPr lvl="0">
                  <a:defRPr b="0">
                    <a:solidFill>
                      <a:srgbClr val="000000"/>
                    </a:solidFill>
                    <a:latin typeface="+mn-lt"/>
                  </a:defRPr>
                </a:pPr>
                <a:r>
                  <a:rPr b="0">
                    <a:solidFill>
                      <a:srgbClr val="000000"/>
                    </a:solidFill>
                    <a:latin typeface="+mn-lt"/>
                  </a:rPr>
                  <a:t>Tecnicos</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ES"/>
          </a:p>
        </c:txPr>
        <c:crossAx val="807521525"/>
        <c:crosses val="autoZero"/>
        <c:auto val="1"/>
        <c:lblAlgn val="ctr"/>
        <c:lblOffset val="100"/>
        <c:noMultiLvlLbl val="1"/>
      </c:catAx>
      <c:valAx>
        <c:axId val="80752152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Tiempo</a:t>
                </a:r>
              </a:p>
            </c:rich>
          </c:tx>
          <c:overlay val="0"/>
        </c:title>
        <c:numFmt formatCode="General" sourceLinked="1"/>
        <c:majorTickMark val="none"/>
        <c:minorTickMark val="none"/>
        <c:tickLblPos val="nextTo"/>
        <c:spPr>
          <a:ln>
            <a:solidFill/>
          </a:ln>
        </c:spPr>
        <c:txPr>
          <a:bodyPr/>
          <a:lstStyle/>
          <a:p>
            <a:pPr lvl="0">
              <a:defRPr sz="1000" b="1">
                <a:solidFill>
                  <a:schemeClr val="dk1"/>
                </a:solidFill>
                <a:latin typeface="+mn-lt"/>
              </a:defRPr>
            </a:pPr>
            <a:endParaRPr lang="es-ES"/>
          </a:p>
        </c:txPr>
        <c:crossAx val="1444765306"/>
        <c:crosses val="max"/>
        <c:crossBetween val="between"/>
      </c:valAx>
    </c:plotArea>
    <c:legend>
      <c:legendPos val="r"/>
      <c:overlay val="0"/>
      <c:txPr>
        <a:bodyPr/>
        <a:lstStyle/>
        <a:p>
          <a:pPr lvl="0">
            <a:defRPr b="0">
              <a:solidFill>
                <a:srgbClr val="1A1A1A"/>
              </a:solidFill>
              <a:latin typeface="+mn-lt"/>
            </a:defRPr>
          </a:pPr>
          <a:endParaRPr lang="es-ES"/>
        </a:p>
      </c:txPr>
    </c:legend>
    <c:plotVisOnly val="1"/>
    <c:dispBlanksAs val="zero"/>
    <c:showDLblsOverMax val="1"/>
  </c:chart>
  <c:spPr>
    <a:solidFill>
      <a:srgbClr val="CFE2F3"/>
    </a:solidFill>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a:solidFill>
                  <a:schemeClr val="dk1"/>
                </a:solidFill>
                <a:latin typeface="Comic Sans MS"/>
              </a:defRPr>
            </a:pPr>
            <a:r>
              <a:rPr b="1">
                <a:solidFill>
                  <a:schemeClr val="dk1"/>
                </a:solidFill>
                <a:latin typeface="Comic Sans MS"/>
              </a:rPr>
              <a:t>Tiempo Linea 8</a:t>
            </a:r>
          </a:p>
        </c:rich>
      </c:tx>
      <c:overlay val="0"/>
    </c:title>
    <c:autoTitleDeleted val="0"/>
    <c:view3D>
      <c:rotX val="15"/>
      <c:rotY val="20"/>
      <c:depthPercent val="100"/>
      <c:rAngAx val="1"/>
    </c:view3D>
    <c:floor>
      <c:thickness val="0"/>
    </c:floor>
    <c:sideWall>
      <c:thickness val="0"/>
    </c:sideWall>
    <c:backWall>
      <c:thickness val="0"/>
    </c:backWall>
    <c:plotArea>
      <c:layout/>
      <c:bar3DChart>
        <c:barDir val="bar"/>
        <c:grouping val="stacked"/>
        <c:varyColors val="1"/>
        <c:ser>
          <c:idx val="0"/>
          <c:order val="0"/>
          <c:tx>
            <c:strRef>
              <c:f>TECNICOS!$O$1</c:f>
              <c:strCache>
                <c:ptCount val="1"/>
                <c:pt idx="0">
                  <c:v>LINE 8</c:v>
                </c:pt>
              </c:strCache>
            </c:strRef>
          </c:tx>
          <c:spPr>
            <a:solidFill>
              <a:srgbClr val="6D9EEB"/>
            </a:solidFill>
            <a:ln cmpd="sng">
              <a:solidFill>
                <a:srgbClr val="000000"/>
              </a:solidFill>
            </a:ln>
          </c:spPr>
          <c:invertIfNegative val="1"/>
          <c:cat>
            <c:strRef>
              <c:f>TECNICOS!$L$2:$L$1000</c:f>
              <c:strCache>
                <c:ptCount val="8"/>
                <c:pt idx="0">
                  <c:v>Franco Castillo Brayan Steven</c:v>
                </c:pt>
                <c:pt idx="1">
                  <c:v>Vanegas Guependo Hermes</c:v>
                </c:pt>
                <c:pt idx="2">
                  <c:v>Martinez Peña Brandon Stewar</c:v>
                </c:pt>
                <c:pt idx="3">
                  <c:v>Jhonnys Fernandez</c:v>
                </c:pt>
                <c:pt idx="4">
                  <c:v>Andres Mesa</c:v>
                </c:pt>
                <c:pt idx="5">
                  <c:v>Osver Martinez</c:v>
                </c:pt>
                <c:pt idx="6">
                  <c:v>Jonathan Lopez</c:v>
                </c:pt>
                <c:pt idx="7">
                  <c:v>BLANCO</c:v>
                </c:pt>
              </c:strCache>
            </c:strRef>
          </c:cat>
          <c:val>
            <c:numRef>
              <c:f>TECNICOS!$O$2:$O$1000</c:f>
              <c:numCache>
                <c:formatCode>General</c:formatCode>
                <c:ptCount val="999"/>
                <c:pt idx="0">
                  <c:v>2.6</c:v>
                </c:pt>
                <c:pt idx="1">
                  <c:v>3.73</c:v>
                </c:pt>
                <c:pt idx="2">
                  <c:v>0.08</c:v>
                </c:pt>
                <c:pt idx="3">
                  <c:v>0.08</c:v>
                </c:pt>
                <c:pt idx="4">
                  <c:v>0.75</c:v>
                </c:pt>
                <c:pt idx="5">
                  <c:v>0.6</c:v>
                </c:pt>
                <c:pt idx="6">
                  <c:v>1.6</c:v>
                </c:pt>
                <c:pt idx="7">
                  <c:v>9.8599999999999905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E06-49AD-AD02-19198992F210}"/>
            </c:ext>
          </c:extLst>
        </c:ser>
        <c:ser>
          <c:idx val="1"/>
          <c:order val="1"/>
          <c:tx>
            <c:strRef>
              <c:f>TECNICOS!$O$1</c:f>
              <c:strCache>
                <c:ptCount val="1"/>
                <c:pt idx="0">
                  <c:v>LINE 8</c:v>
                </c:pt>
              </c:strCache>
            </c:strRef>
          </c:tx>
          <c:invertIfNegative val="1"/>
          <c:cat>
            <c:strRef>
              <c:f>TECNICOS!$L$2:$L$1000</c:f>
              <c:strCache>
                <c:ptCount val="8"/>
                <c:pt idx="0">
                  <c:v>Franco Castillo Brayan Steven</c:v>
                </c:pt>
                <c:pt idx="1">
                  <c:v>Vanegas Guependo Hermes</c:v>
                </c:pt>
                <c:pt idx="2">
                  <c:v>Martinez Peña Brandon Stewar</c:v>
                </c:pt>
                <c:pt idx="3">
                  <c:v>Jhonnys Fernandez</c:v>
                </c:pt>
                <c:pt idx="4">
                  <c:v>Andres Mesa</c:v>
                </c:pt>
                <c:pt idx="5">
                  <c:v>Osver Martinez</c:v>
                </c:pt>
                <c:pt idx="6">
                  <c:v>Jonathan Lopez</c:v>
                </c:pt>
                <c:pt idx="7">
                  <c:v>BLANCO</c:v>
                </c:pt>
              </c:strCache>
            </c:strRef>
          </c:cat>
          <c:val>
            <c:numRef>
              <c:f>TECNICOS!$O$2:$O$1000</c:f>
              <c:numCache>
                <c:formatCode>General</c:formatCode>
                <c:ptCount val="999"/>
                <c:pt idx="0">
                  <c:v>2.6</c:v>
                </c:pt>
                <c:pt idx="1">
                  <c:v>3.73</c:v>
                </c:pt>
                <c:pt idx="2">
                  <c:v>0.08</c:v>
                </c:pt>
                <c:pt idx="3">
                  <c:v>0.08</c:v>
                </c:pt>
                <c:pt idx="4">
                  <c:v>0.75</c:v>
                </c:pt>
                <c:pt idx="5">
                  <c:v>0.6</c:v>
                </c:pt>
                <c:pt idx="6">
                  <c:v>1.6</c:v>
                </c:pt>
                <c:pt idx="7">
                  <c:v>9.8599999999999905</c:v>
                </c:pt>
              </c:numCache>
            </c:numRef>
          </c:val>
          <c:extLst>
            <c:ext xmlns:c16="http://schemas.microsoft.com/office/drawing/2014/chart" uri="{C3380CC4-5D6E-409C-BE32-E72D297353CC}">
              <c16:uniqueId val="{00000001-FE06-49AD-AD02-19198992F210}"/>
            </c:ext>
          </c:extLst>
        </c:ser>
        <c:dLbls>
          <c:showLegendKey val="0"/>
          <c:showVal val="0"/>
          <c:showCatName val="0"/>
          <c:showSerName val="0"/>
          <c:showPercent val="0"/>
          <c:showBubbleSize val="0"/>
        </c:dLbls>
        <c:gapWidth val="150"/>
        <c:shape val="box"/>
        <c:axId val="577576068"/>
        <c:axId val="1889291063"/>
        <c:axId val="0"/>
      </c:bar3DChart>
      <c:catAx>
        <c:axId val="577576068"/>
        <c:scaling>
          <c:orientation val="maxMin"/>
        </c:scaling>
        <c:delete val="0"/>
        <c:axPos val="l"/>
        <c:title>
          <c:tx>
            <c:rich>
              <a:bodyPr/>
              <a:lstStyle/>
              <a:p>
                <a:pPr lvl="0">
                  <a:defRPr b="0">
                    <a:solidFill>
                      <a:srgbClr val="000000"/>
                    </a:solidFill>
                    <a:latin typeface="+mn-lt"/>
                  </a:defRPr>
                </a:pPr>
                <a:r>
                  <a:rPr b="0">
                    <a:solidFill>
                      <a:srgbClr val="000000"/>
                    </a:solidFill>
                    <a:latin typeface="+mn-lt"/>
                  </a:rPr>
                  <a:t>Tecnicos</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ES"/>
          </a:p>
        </c:txPr>
        <c:crossAx val="1889291063"/>
        <c:crosses val="autoZero"/>
        <c:auto val="1"/>
        <c:lblAlgn val="ctr"/>
        <c:lblOffset val="100"/>
        <c:noMultiLvlLbl val="1"/>
      </c:catAx>
      <c:valAx>
        <c:axId val="188929106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Tiempo</a:t>
                </a:r>
              </a:p>
            </c:rich>
          </c:tx>
          <c:overlay val="0"/>
        </c:title>
        <c:numFmt formatCode="General" sourceLinked="1"/>
        <c:majorTickMark val="none"/>
        <c:minorTickMark val="none"/>
        <c:tickLblPos val="nextTo"/>
        <c:spPr>
          <a:ln>
            <a:solidFill/>
          </a:ln>
        </c:spPr>
        <c:txPr>
          <a:bodyPr/>
          <a:lstStyle/>
          <a:p>
            <a:pPr lvl="0">
              <a:defRPr sz="1000" b="1">
                <a:solidFill>
                  <a:schemeClr val="dk1"/>
                </a:solidFill>
                <a:latin typeface="+mn-lt"/>
              </a:defRPr>
            </a:pPr>
            <a:endParaRPr lang="es-ES"/>
          </a:p>
        </c:txPr>
        <c:crossAx val="577576068"/>
        <c:crosses val="max"/>
        <c:crossBetween val="between"/>
      </c:valAx>
    </c:plotArea>
    <c:legend>
      <c:legendPos val="r"/>
      <c:overlay val="0"/>
      <c:txPr>
        <a:bodyPr/>
        <a:lstStyle/>
        <a:p>
          <a:pPr lvl="0">
            <a:defRPr b="0">
              <a:solidFill>
                <a:srgbClr val="1A1A1A"/>
              </a:solidFill>
              <a:latin typeface="+mn-lt"/>
            </a:defRPr>
          </a:pPr>
          <a:endParaRPr lang="es-ES"/>
        </a:p>
      </c:txPr>
    </c:legend>
    <c:plotVisOnly val="1"/>
    <c:dispBlanksAs val="zero"/>
    <c:showDLblsOverMax val="1"/>
  </c:chart>
  <c:spPr>
    <a:solidFill>
      <a:srgbClr val="CFE2F3"/>
    </a:solidFill>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a:solidFill>
                  <a:schemeClr val="dk1"/>
                </a:solidFill>
                <a:latin typeface="Comic Sans MS"/>
              </a:defRPr>
            </a:pPr>
            <a:r>
              <a:rPr b="1">
                <a:solidFill>
                  <a:schemeClr val="dk1"/>
                </a:solidFill>
                <a:latin typeface="Comic Sans MS"/>
              </a:rPr>
              <a:t>Tiempo Linea 1</a:t>
            </a:r>
          </a:p>
        </c:rich>
      </c:tx>
      <c:overlay val="0"/>
    </c:title>
    <c:autoTitleDeleted val="0"/>
    <c:view3D>
      <c:rotX val="15"/>
      <c:rotY val="20"/>
      <c:depthPercent val="100"/>
      <c:rAngAx val="1"/>
    </c:view3D>
    <c:floor>
      <c:thickness val="0"/>
    </c:floor>
    <c:sideWall>
      <c:thickness val="0"/>
    </c:sideWall>
    <c:backWall>
      <c:thickness val="0"/>
    </c:backWall>
    <c:plotArea>
      <c:layout/>
      <c:bar3DChart>
        <c:barDir val="bar"/>
        <c:grouping val="stacked"/>
        <c:varyColors val="1"/>
        <c:ser>
          <c:idx val="0"/>
          <c:order val="0"/>
          <c:tx>
            <c:strRef>
              <c:f>TECNICOS!$T$1</c:f>
              <c:strCache>
                <c:ptCount val="1"/>
                <c:pt idx="0">
                  <c:v>LINE 1</c:v>
                </c:pt>
              </c:strCache>
            </c:strRef>
          </c:tx>
          <c:spPr>
            <a:solidFill>
              <a:srgbClr val="8E7CC3"/>
            </a:solidFill>
            <a:ln cmpd="sng">
              <a:solidFill>
                <a:srgbClr val="000000"/>
              </a:solidFill>
            </a:ln>
          </c:spPr>
          <c:invertIfNegative val="1"/>
          <c:cat>
            <c:strRef>
              <c:f>TECNICOS!$Q$2:$Q$52</c:f>
              <c:strCache>
                <c:ptCount val="16"/>
                <c:pt idx="0">
                  <c:v>Sanchez Rodriguez Gerson Andres</c:v>
                </c:pt>
                <c:pt idx="1">
                  <c:v>Astaiza Hernandez John Eyder</c:v>
                </c:pt>
                <c:pt idx="2">
                  <c:v>Lozano Delgado Fausto Andres</c:v>
                </c:pt>
                <c:pt idx="3">
                  <c:v>Aguado Lemos Luis Eyder</c:v>
                </c:pt>
                <c:pt idx="4">
                  <c:v>Cristian Suaza</c:v>
                </c:pt>
                <c:pt idx="5">
                  <c:v>Adalcides Campo</c:v>
                </c:pt>
                <c:pt idx="6">
                  <c:v>Fernando Montoya</c:v>
                </c:pt>
                <c:pt idx="7">
                  <c:v>Hector Toro</c:v>
                </c:pt>
                <c:pt idx="8">
                  <c:v>Andres Perez</c:v>
                </c:pt>
                <c:pt idx="9">
                  <c:v>Andres Leon</c:v>
                </c:pt>
                <c:pt idx="10">
                  <c:v>Ferney Ramos</c:v>
                </c:pt>
                <c:pt idx="11">
                  <c:v>Alejandro Davila</c:v>
                </c:pt>
                <c:pt idx="12">
                  <c:v>Diego Pedroza</c:v>
                </c:pt>
                <c:pt idx="13">
                  <c:v>Leonel Montes</c:v>
                </c:pt>
                <c:pt idx="14">
                  <c:v>Mauricio Murillo Arrollo</c:v>
                </c:pt>
                <c:pt idx="15">
                  <c:v>BLANCO</c:v>
                </c:pt>
              </c:strCache>
            </c:strRef>
          </c:cat>
          <c:val>
            <c:numRef>
              <c:f>TECNICOS!$T$2:$T$52</c:f>
              <c:numCache>
                <c:formatCode>General</c:formatCode>
                <c:ptCount val="51"/>
                <c:pt idx="0">
                  <c:v>5.3</c:v>
                </c:pt>
                <c:pt idx="1">
                  <c:v>3.17</c:v>
                </c:pt>
                <c:pt idx="2">
                  <c:v>6.5</c:v>
                </c:pt>
                <c:pt idx="3">
                  <c:v>3.1399999999999899</c:v>
                </c:pt>
                <c:pt idx="4">
                  <c:v>3.68</c:v>
                </c:pt>
                <c:pt idx="5">
                  <c:v>3</c:v>
                </c:pt>
                <c:pt idx="6">
                  <c:v>0.59</c:v>
                </c:pt>
                <c:pt idx="7">
                  <c:v>1.4</c:v>
                </c:pt>
                <c:pt idx="8">
                  <c:v>0.23</c:v>
                </c:pt>
                <c:pt idx="9">
                  <c:v>0.28000000000000003</c:v>
                </c:pt>
                <c:pt idx="10">
                  <c:v>1.6</c:v>
                </c:pt>
                <c:pt idx="11">
                  <c:v>7.89</c:v>
                </c:pt>
                <c:pt idx="12">
                  <c:v>0.91</c:v>
                </c:pt>
                <c:pt idx="13">
                  <c:v>0.71</c:v>
                </c:pt>
                <c:pt idx="14">
                  <c:v>1.33</c:v>
                </c:pt>
                <c:pt idx="15">
                  <c:v>4.6100000000000003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A27-4798-AFB4-C4EDA8F351AF}"/>
            </c:ext>
          </c:extLst>
        </c:ser>
        <c:dLbls>
          <c:showLegendKey val="0"/>
          <c:showVal val="0"/>
          <c:showCatName val="0"/>
          <c:showSerName val="0"/>
          <c:showPercent val="0"/>
          <c:showBubbleSize val="0"/>
        </c:dLbls>
        <c:gapWidth val="150"/>
        <c:shape val="box"/>
        <c:axId val="1722840256"/>
        <c:axId val="204673097"/>
        <c:axId val="0"/>
      </c:bar3DChart>
      <c:catAx>
        <c:axId val="1722840256"/>
        <c:scaling>
          <c:orientation val="maxMin"/>
        </c:scaling>
        <c:delete val="0"/>
        <c:axPos val="l"/>
        <c:title>
          <c:tx>
            <c:rich>
              <a:bodyPr/>
              <a:lstStyle/>
              <a:p>
                <a:pPr lvl="0">
                  <a:defRPr b="0">
                    <a:solidFill>
                      <a:srgbClr val="000000"/>
                    </a:solidFill>
                    <a:latin typeface="+mn-lt"/>
                  </a:defRPr>
                </a:pPr>
                <a:r>
                  <a:rPr b="0">
                    <a:solidFill>
                      <a:srgbClr val="000000"/>
                    </a:solidFill>
                    <a:latin typeface="+mn-lt"/>
                  </a:rPr>
                  <a:t>Tecnicos</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ES"/>
          </a:p>
        </c:txPr>
        <c:crossAx val="204673097"/>
        <c:crosses val="autoZero"/>
        <c:auto val="1"/>
        <c:lblAlgn val="ctr"/>
        <c:lblOffset val="100"/>
        <c:noMultiLvlLbl val="1"/>
      </c:catAx>
      <c:valAx>
        <c:axId val="20467309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Tiempo</a:t>
                </a:r>
              </a:p>
            </c:rich>
          </c:tx>
          <c:overlay val="0"/>
        </c:title>
        <c:numFmt formatCode="General" sourceLinked="1"/>
        <c:majorTickMark val="none"/>
        <c:minorTickMark val="none"/>
        <c:tickLblPos val="nextTo"/>
        <c:spPr>
          <a:ln>
            <a:solidFill/>
          </a:ln>
        </c:spPr>
        <c:txPr>
          <a:bodyPr/>
          <a:lstStyle/>
          <a:p>
            <a:pPr lvl="0">
              <a:defRPr sz="1000" b="1">
                <a:solidFill>
                  <a:schemeClr val="dk1"/>
                </a:solidFill>
                <a:latin typeface="+mn-lt"/>
              </a:defRPr>
            </a:pPr>
            <a:endParaRPr lang="es-ES"/>
          </a:p>
        </c:txPr>
        <c:crossAx val="1722840256"/>
        <c:crosses val="max"/>
        <c:crossBetween val="between"/>
      </c:valAx>
    </c:plotArea>
    <c:legend>
      <c:legendPos val="r"/>
      <c:overlay val="0"/>
      <c:txPr>
        <a:bodyPr/>
        <a:lstStyle/>
        <a:p>
          <a:pPr lvl="0">
            <a:defRPr b="0">
              <a:solidFill>
                <a:srgbClr val="1A1A1A"/>
              </a:solidFill>
              <a:latin typeface="+mn-lt"/>
            </a:defRPr>
          </a:pPr>
          <a:endParaRPr lang="es-ES"/>
        </a:p>
      </c:txPr>
    </c:legend>
    <c:plotVisOnly val="1"/>
    <c:dispBlanksAs val="zero"/>
    <c:showDLblsOverMax val="1"/>
  </c:chart>
  <c:spPr>
    <a:solidFill>
      <a:srgbClr val="CFE2F3"/>
    </a:solidFill>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oneCellAnchor>
    <xdr:from>
      <xdr:col>8</xdr:col>
      <xdr:colOff>952500</xdr:colOff>
      <xdr:row>63</xdr:row>
      <xdr:rowOff>171450</xdr:rowOff>
    </xdr:from>
    <xdr:ext cx="7000875" cy="4857750"/>
    <xdr:graphicFrame macro="">
      <xdr:nvGraphicFramePr>
        <xdr:cNvPr id="2" name="Chart 1" title="Gráfico">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8</xdr:col>
      <xdr:colOff>952500</xdr:colOff>
      <xdr:row>88</xdr:row>
      <xdr:rowOff>76200</xdr:rowOff>
    </xdr:from>
    <xdr:ext cx="7000875" cy="4857750"/>
    <xdr:graphicFrame macro="">
      <xdr:nvGraphicFramePr>
        <xdr:cNvPr id="3" name="Chart 2" title="Gráfico">
          <a:extLst>
            <a:ext uri="{FF2B5EF4-FFF2-40B4-BE49-F238E27FC236}">
              <a16:creationId xmlns:a16="http://schemas.microsoft.com/office/drawing/2014/main" id="{00000000-0008-0000-1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914400</xdr:colOff>
      <xdr:row>0</xdr:row>
      <xdr:rowOff>0</xdr:rowOff>
    </xdr:from>
    <xdr:ext cx="7000875" cy="5162550"/>
    <xdr:graphicFrame macro="">
      <xdr:nvGraphicFramePr>
        <xdr:cNvPr id="3" name="Chart 3" title="Gráfico">
          <a:extLst>
            <a:ext uri="{FF2B5EF4-FFF2-40B4-BE49-F238E27FC236}">
              <a16:creationId xmlns:a16="http://schemas.microsoft.com/office/drawing/2014/main" id="{00000000-0008-0000-1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914400</xdr:colOff>
      <xdr:row>26</xdr:row>
      <xdr:rowOff>9525</xdr:rowOff>
    </xdr:from>
    <xdr:ext cx="7000875" cy="4857750"/>
    <xdr:graphicFrame macro="">
      <xdr:nvGraphicFramePr>
        <xdr:cNvPr id="4" name="Chart 4" title="Gráfico">
          <a:extLst>
            <a:ext uri="{FF2B5EF4-FFF2-40B4-BE49-F238E27FC236}">
              <a16:creationId xmlns:a16="http://schemas.microsoft.com/office/drawing/2014/main" id="{00000000-0008-0000-1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3</xdr:col>
      <xdr:colOff>914400</xdr:colOff>
      <xdr:row>50</xdr:row>
      <xdr:rowOff>152400</xdr:rowOff>
    </xdr:from>
    <xdr:ext cx="7000875" cy="4857750"/>
    <xdr:graphicFrame macro="">
      <xdr:nvGraphicFramePr>
        <xdr:cNvPr id="5" name="Chart 5" title="Gráfico">
          <a:extLst>
            <a:ext uri="{FF2B5EF4-FFF2-40B4-BE49-F238E27FC236}">
              <a16:creationId xmlns:a16="http://schemas.microsoft.com/office/drawing/2014/main" id="{00000000-0008-0000-1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2.xml.rels><?xml version="1.0" encoding="UTF-8" standalone="yes"?>
<Relationships xmlns="http://schemas.openxmlformats.org/package/2006/relationships"><Relationship Id="rId1522" Type="http://schemas.openxmlformats.org/officeDocument/2006/relationships/hyperlink" Target="https://storage.googleapis.com/glide-prod.appspot.com/uploads-v2/ly7o78grxPaC6KdgvbpS/pub/3aRdSog0vUtuqPE8AJKD.png" TargetMode="External"/><Relationship Id="rId21" Type="http://schemas.openxmlformats.org/officeDocument/2006/relationships/hyperlink" Target="https://storage.googleapis.com/glide-prod.appspot.com/uploads-v2/ly7o78grxPaC6KdgvbpS/pub/3aRdSog0vUtuqPE8AJKD.png" TargetMode="External"/><Relationship Id="rId170" Type="http://schemas.openxmlformats.org/officeDocument/2006/relationships/hyperlink" Target="https://storage.googleapis.com/glide-prod.appspot.com/uploads-v2/ly7o78grxPaC6KdgvbpS/pub/KIhoPx1CoZ9xkSslFi1L.jpg" TargetMode="External"/><Relationship Id="rId268" Type="http://schemas.openxmlformats.org/officeDocument/2006/relationships/hyperlink" Target="https://storage.googleapis.com/glide-prod.appspot.com/uploads-v2/ly7o78grxPaC6KdgvbpS/pub/3aRdSog0vUtuqPE8AJKD.png" TargetMode="External"/><Relationship Id="rId475" Type="http://schemas.openxmlformats.org/officeDocument/2006/relationships/hyperlink" Target="https://storage.googleapis.com/glide-prod.appspot.com/uploads-v2/ly7o78grxPaC6KdgvbpS/pub/v5n1fsFP6GKda51gYN8i.jpg" TargetMode="External"/><Relationship Id="rId682" Type="http://schemas.openxmlformats.org/officeDocument/2006/relationships/hyperlink" Target="https://storage.googleapis.com/glide-prod.appspot.com/uploads-v2/ly7o78grxPaC6KdgvbpS/pub/3aRdSog0vUtuqPE8AJKD.png" TargetMode="External"/><Relationship Id="rId128" Type="http://schemas.openxmlformats.org/officeDocument/2006/relationships/hyperlink" Target="https://storage.googleapis.com/glide-prod.appspot.com/uploads-v2/ly7o78grxPaC6KdgvbpS/pub/UliJWgpEaBovaFmXi6OW.png" TargetMode="External"/><Relationship Id="rId335" Type="http://schemas.openxmlformats.org/officeDocument/2006/relationships/hyperlink" Target="https://storage.googleapis.com/glide-prod.appspot.com/uploads-v2/ly7o78grxPaC6KdgvbpS/pub/3aRdSog0vUtuqPE8AJKD.png" TargetMode="External"/><Relationship Id="rId542" Type="http://schemas.openxmlformats.org/officeDocument/2006/relationships/hyperlink" Target="https://storage.googleapis.com/glide-prod.appspot.com/uploads-v2/ly7o78grxPaC6KdgvbpS/pub/3aRdSog0vUtuqPE8AJKD.png" TargetMode="External"/><Relationship Id="rId987" Type="http://schemas.openxmlformats.org/officeDocument/2006/relationships/hyperlink" Target="https://storage.googleapis.com/glide-prod.appspot.com/uploads-v2/ly7o78grxPaC6KdgvbpS/pub/3aRdSog0vUtuqPE8AJKD.png" TargetMode="External"/><Relationship Id="rId1172" Type="http://schemas.openxmlformats.org/officeDocument/2006/relationships/hyperlink" Target="https://storage.googleapis.com/glide-prod.appspot.com/uploads-v2/ly7o78grxPaC6KdgvbpS/pub/3aRdSog0vUtuqPE8AJKD.png" TargetMode="External"/><Relationship Id="rId402" Type="http://schemas.openxmlformats.org/officeDocument/2006/relationships/hyperlink" Target="https://storage.googleapis.com/glide-prod.appspot.com/uploads-v2/ly7o78grxPaC6KdgvbpS/pub/3aRdSog0vUtuqPE8AJKD.png" TargetMode="External"/><Relationship Id="rId847" Type="http://schemas.openxmlformats.org/officeDocument/2006/relationships/hyperlink" Target="https://storage.googleapis.com/glide-prod.appspot.com/uploads-v2/ly7o78grxPaC6KdgvbpS/pub/3aRdSog0vUtuqPE8AJKD.png" TargetMode="External"/><Relationship Id="rId1032" Type="http://schemas.openxmlformats.org/officeDocument/2006/relationships/hyperlink" Target="https://storage.googleapis.com/glide-prod.appspot.com/uploads-v2/ly7o78grxPaC6KdgvbpS/pub/3aRdSog0vUtuqPE8AJKD.png" TargetMode="External"/><Relationship Id="rId1477" Type="http://schemas.openxmlformats.org/officeDocument/2006/relationships/hyperlink" Target="https://storage.googleapis.com/glide-prod.appspot.com/uploads-v2/ly7o78grxPaC6KdgvbpS/pub/3aRdSog0vUtuqPE8AJKD.png" TargetMode="External"/><Relationship Id="rId707" Type="http://schemas.openxmlformats.org/officeDocument/2006/relationships/hyperlink" Target="https://storage.googleapis.com/glide-prod.appspot.com/uploads-v2/ly7o78grxPaC6KdgvbpS/pub/3aRdSog0vUtuqPE8AJKD.png" TargetMode="External"/><Relationship Id="rId914" Type="http://schemas.openxmlformats.org/officeDocument/2006/relationships/hyperlink" Target="https://storage.googleapis.com/glide-prod.appspot.com/uploads-v2/ly7o78grxPaC6KdgvbpS/pub/ZAxjGq9oKqasddp2Mh1O.jpg" TargetMode="External"/><Relationship Id="rId1337" Type="http://schemas.openxmlformats.org/officeDocument/2006/relationships/hyperlink" Target="https://storage.googleapis.com/glide-prod.appspot.com/uploads-v2/ly7o78grxPaC6KdgvbpS/pub/3aRdSog0vUtuqPE8AJKD.png" TargetMode="External"/><Relationship Id="rId1544" Type="http://schemas.openxmlformats.org/officeDocument/2006/relationships/hyperlink" Target="https://storage.googleapis.com/glide-prod.appspot.com/uploads-v2/ly7o78grxPaC6KdgvbpS/pub/rQq8GgmAN0CQvmJ3H0YA.jpg" TargetMode="External"/><Relationship Id="rId43" Type="http://schemas.openxmlformats.org/officeDocument/2006/relationships/hyperlink" Target="https://storage.googleapis.com/glide-prod.appspot.com/uploads-v2/ly7o78grxPaC6KdgvbpS/pub/3aRdSog0vUtuqPE8AJKD.png" TargetMode="External"/><Relationship Id="rId1404" Type="http://schemas.openxmlformats.org/officeDocument/2006/relationships/hyperlink" Target="https://storage.googleapis.com/glide-prod.appspot.com/uploads-v2/ly7o78grxPaC6KdgvbpS/pub/d5ctukL2y6M1p0KxPZZg.jpg" TargetMode="External"/><Relationship Id="rId1611" Type="http://schemas.openxmlformats.org/officeDocument/2006/relationships/hyperlink" Target="https://storage.googleapis.com/glide-prod.appspot.com/uploads-v2/ly7o78grxPaC6KdgvbpS/pub/3aRdSog0vUtuqPE8AJKD.png" TargetMode="External"/><Relationship Id="rId192" Type="http://schemas.openxmlformats.org/officeDocument/2006/relationships/hyperlink" Target="https://storage.googleapis.com/glide-prod.appspot.com/uploads-v2/ly7o78grxPaC6KdgvbpS/pub/3aRdSog0vUtuqPE8AJKD.png" TargetMode="External"/><Relationship Id="rId497" Type="http://schemas.openxmlformats.org/officeDocument/2006/relationships/hyperlink" Target="https://storage.googleapis.com/glide-prod.appspot.com/uploads-v2/ly7o78grxPaC6KdgvbpS/pub/3aRdSog0vUtuqPE8AJKD.png" TargetMode="External"/><Relationship Id="rId357" Type="http://schemas.openxmlformats.org/officeDocument/2006/relationships/hyperlink" Target="https://storage.googleapis.com/glide-prod.appspot.com/uploads-v2/ly7o78grxPaC6KdgvbpS/pub/3aRdSog0vUtuqPE8AJKD.png" TargetMode="External"/><Relationship Id="rId1194" Type="http://schemas.openxmlformats.org/officeDocument/2006/relationships/hyperlink" Target="https://storage.googleapis.com/glide-prod.appspot.com/uploads-v2/ly7o78grxPaC6KdgvbpS/pub/3aRdSog0vUtuqPE8AJKD.png" TargetMode="External"/><Relationship Id="rId217" Type="http://schemas.openxmlformats.org/officeDocument/2006/relationships/hyperlink" Target="https://storage.googleapis.com/glide-prod.appspot.com/uploads-v2/ly7o78grxPaC6KdgvbpS/pub/3aRdSog0vUtuqPE8AJKD.png" TargetMode="External"/><Relationship Id="rId564" Type="http://schemas.openxmlformats.org/officeDocument/2006/relationships/hyperlink" Target="https://storage.googleapis.com/glide-prod.appspot.com/uploads-v2/ly7o78grxPaC6KdgvbpS/pub/3aRdSog0vUtuqPE8AJKD.png" TargetMode="External"/><Relationship Id="rId771" Type="http://schemas.openxmlformats.org/officeDocument/2006/relationships/hyperlink" Target="https://storage.googleapis.com/glide-prod.appspot.com/uploads-v2/ly7o78grxPaC6KdgvbpS/pub/3aRdSog0vUtuqPE8AJKD.png" TargetMode="External"/><Relationship Id="rId869" Type="http://schemas.openxmlformats.org/officeDocument/2006/relationships/hyperlink" Target="https://storage.googleapis.com/glide-prod.appspot.com/uploads-v2/ly7o78grxPaC6KdgvbpS/pub/3aRdSog0vUtuqPE8AJKD.png" TargetMode="External"/><Relationship Id="rId1499" Type="http://schemas.openxmlformats.org/officeDocument/2006/relationships/hyperlink" Target="https://storage.googleapis.com/glide-prod.appspot.com/uploads-v2/ly7o78grxPaC6KdgvbpS/pub/3aRdSog0vUtuqPE8AJKD.png" TargetMode="External"/><Relationship Id="rId424" Type="http://schemas.openxmlformats.org/officeDocument/2006/relationships/hyperlink" Target="https://storage.googleapis.com/glide-prod.appspot.com/uploads-v2/ly7o78grxPaC6KdgvbpS/pub/3aRdSog0vUtuqPE8AJKD.png" TargetMode="External"/><Relationship Id="rId631" Type="http://schemas.openxmlformats.org/officeDocument/2006/relationships/hyperlink" Target="https://storage.googleapis.com/glide-prod.appspot.com/uploads-v2/ly7o78grxPaC6KdgvbpS/pub/3aRdSog0vUtuqPE8AJKD.png" TargetMode="External"/><Relationship Id="rId729" Type="http://schemas.openxmlformats.org/officeDocument/2006/relationships/hyperlink" Target="https://storage.googleapis.com/glide-prod.appspot.com/uploads-v2/ly7o78grxPaC6KdgvbpS/pub/3aRdSog0vUtuqPE8AJKD.png" TargetMode="External"/><Relationship Id="rId1054" Type="http://schemas.openxmlformats.org/officeDocument/2006/relationships/hyperlink" Target="https://storage.googleapis.com/glide-prod.appspot.com/uploads-v2/ly7o78grxPaC6KdgvbpS/pub/3aRdSog0vUtuqPE8AJKD.png" TargetMode="External"/><Relationship Id="rId1261" Type="http://schemas.openxmlformats.org/officeDocument/2006/relationships/hyperlink" Target="https://storage.googleapis.com/glide-prod.appspot.com/uploads-v2/ly7o78grxPaC6KdgvbpS/pub/3aRdSog0vUtuqPE8AJKD.png" TargetMode="External"/><Relationship Id="rId1359" Type="http://schemas.openxmlformats.org/officeDocument/2006/relationships/hyperlink" Target="https://storage.googleapis.com/glide-prod.appspot.com/uploads-v2/ly7o78grxPaC6KdgvbpS/pub/3aRdSog0vUtuqPE8AJKD.png" TargetMode="External"/><Relationship Id="rId936" Type="http://schemas.openxmlformats.org/officeDocument/2006/relationships/hyperlink" Target="https://storage.googleapis.com/glide-prod.appspot.com/uploads-v2/ly7o78grxPaC6KdgvbpS/pub/3aRdSog0vUtuqPE8AJKD.png" TargetMode="External"/><Relationship Id="rId1121" Type="http://schemas.openxmlformats.org/officeDocument/2006/relationships/hyperlink" Target="https://storage.googleapis.com/glide-prod.appspot.com/uploads-v2/ly7o78grxPaC6KdgvbpS/pub/3aRdSog0vUtuqPE8AJKD.png" TargetMode="External"/><Relationship Id="rId1219" Type="http://schemas.openxmlformats.org/officeDocument/2006/relationships/hyperlink" Target="https://storage.googleapis.com/glide-prod.appspot.com/uploads-v2/ly7o78grxPaC6KdgvbpS/pub/UliJWgpEaBovaFmXi6OW.png" TargetMode="External"/><Relationship Id="rId1566" Type="http://schemas.openxmlformats.org/officeDocument/2006/relationships/hyperlink" Target="https://storage.googleapis.com/glide-prod.appspot.com/uploads-v2/ly7o78grxPaC6KdgvbpS/pub/3aRdSog0vUtuqPE8AJKD.png" TargetMode="External"/><Relationship Id="rId65" Type="http://schemas.openxmlformats.org/officeDocument/2006/relationships/hyperlink" Target="https://storage.googleapis.com/glide-prod.appspot.com/uploads-v2/ly7o78grxPaC6KdgvbpS/pub/3aRdSog0vUtuqPE8AJKD.png" TargetMode="External"/><Relationship Id="rId1426" Type="http://schemas.openxmlformats.org/officeDocument/2006/relationships/hyperlink" Target="https://storage.googleapis.com/glide-prod.appspot.com/uploads-v2/ly7o78grxPaC6KdgvbpS/pub/3aRdSog0vUtuqPE8AJKD.png" TargetMode="External"/><Relationship Id="rId281" Type="http://schemas.openxmlformats.org/officeDocument/2006/relationships/hyperlink" Target="https://storage.googleapis.com/glide-prod.appspot.com/uploads-v2/ly7o78grxPaC6KdgvbpS/pub/3aRdSog0vUtuqPE8AJKD.png" TargetMode="External"/><Relationship Id="rId141" Type="http://schemas.openxmlformats.org/officeDocument/2006/relationships/hyperlink" Target="https://storage.googleapis.com/glide-prod.appspot.com/uploads-v2/ly7o78grxPaC6KdgvbpS/pub/3aRdSog0vUtuqPE8AJKD.png" TargetMode="External"/><Relationship Id="rId379" Type="http://schemas.openxmlformats.org/officeDocument/2006/relationships/hyperlink" Target="https://storage.googleapis.com/glide-prod.appspot.com/uploads-v2/ly7o78grxPaC6KdgvbpS/pub/3aRdSog0vUtuqPE8AJKD.png" TargetMode="External"/><Relationship Id="rId586" Type="http://schemas.openxmlformats.org/officeDocument/2006/relationships/hyperlink" Target="https://storage.googleapis.com/glide-prod.appspot.com/uploads-v2/ly7o78grxPaC6KdgvbpS/pub/3aRdSog0vUtuqPE8AJKD.png" TargetMode="External"/><Relationship Id="rId793" Type="http://schemas.openxmlformats.org/officeDocument/2006/relationships/hyperlink" Target="https://storage.googleapis.com/glide-prod.appspot.com/uploads-v2/ly7o78grxPaC6KdgvbpS/pub/3aRdSog0vUtuqPE8AJKD.png" TargetMode="External"/><Relationship Id="rId7" Type="http://schemas.openxmlformats.org/officeDocument/2006/relationships/hyperlink" Target="https://storage.googleapis.com/glide-prod.appspot.com/uploads-v2/ly7o78grxPaC6KdgvbpS/pub/3aRdSog0vUtuqPE8AJKD.png" TargetMode="External"/><Relationship Id="rId239" Type="http://schemas.openxmlformats.org/officeDocument/2006/relationships/hyperlink" Target="https://storage.googleapis.com/glide-prod.appspot.com/uploads-v2/ly7o78grxPaC6KdgvbpS/pub/3aRdSog0vUtuqPE8AJKD.png" TargetMode="External"/><Relationship Id="rId446" Type="http://schemas.openxmlformats.org/officeDocument/2006/relationships/hyperlink" Target="https://storage.googleapis.com/glide-prod.appspot.com/uploads-v2/ly7o78grxPaC6KdgvbpS/pub/3aRdSog0vUtuqPE8AJKD.png" TargetMode="External"/><Relationship Id="rId653" Type="http://schemas.openxmlformats.org/officeDocument/2006/relationships/hyperlink" Target="https://storage.googleapis.com/glide-prod.appspot.com/uploads-v2/ly7o78grxPaC6KdgvbpS/pub/3aRdSog0vUtuqPE8AJKD.png" TargetMode="External"/><Relationship Id="rId1076" Type="http://schemas.openxmlformats.org/officeDocument/2006/relationships/hyperlink" Target="https://storage.googleapis.com/glide-prod.appspot.com/uploads-v2/ly7o78grxPaC6KdgvbpS/pub/3aRdSog0vUtuqPE8AJKD.png" TargetMode="External"/><Relationship Id="rId1283" Type="http://schemas.openxmlformats.org/officeDocument/2006/relationships/hyperlink" Target="https://storage.googleapis.com/glide-prod.appspot.com/uploads-v2/ly7o78grxPaC6KdgvbpS/pub/3aRdSog0vUtuqPE8AJKD.png" TargetMode="External"/><Relationship Id="rId1490" Type="http://schemas.openxmlformats.org/officeDocument/2006/relationships/hyperlink" Target="https://storage.googleapis.com/glide-prod.appspot.com/uploads-v2/ly7o78grxPaC6KdgvbpS/pub/3aRdSog0vUtuqPE8AJKD.png" TargetMode="External"/><Relationship Id="rId306" Type="http://schemas.openxmlformats.org/officeDocument/2006/relationships/hyperlink" Target="https://storage.googleapis.com/glide-prod.appspot.com/uploads-v2/ly7o78grxPaC6KdgvbpS/pub/3aRdSog0vUtuqPE8AJKD.png" TargetMode="External"/><Relationship Id="rId860" Type="http://schemas.openxmlformats.org/officeDocument/2006/relationships/hyperlink" Target="https://storage.googleapis.com/glide-prod.appspot.com/uploads-v2/ly7o78grxPaC6KdgvbpS/pub/3aRdSog0vUtuqPE8AJKD.png" TargetMode="External"/><Relationship Id="rId958" Type="http://schemas.openxmlformats.org/officeDocument/2006/relationships/hyperlink" Target="https://storage.googleapis.com/glide-prod.appspot.com/uploads-v2/ly7o78grxPaC6KdgvbpS/pub/3aRdSog0vUtuqPE8AJKD.png" TargetMode="External"/><Relationship Id="rId1143" Type="http://schemas.openxmlformats.org/officeDocument/2006/relationships/hyperlink" Target="https://storage.googleapis.com/glide-prod.appspot.com/uploads-v2/ly7o78grxPaC6KdgvbpS/pub/3aRdSog0vUtuqPE8AJKD.png" TargetMode="External"/><Relationship Id="rId1588" Type="http://schemas.openxmlformats.org/officeDocument/2006/relationships/hyperlink" Target="https://storage.googleapis.com/glide-prod.appspot.com/uploads-v2/ly7o78grxPaC6KdgvbpS/pub/3aRdSog0vUtuqPE8AJKD.png" TargetMode="External"/><Relationship Id="rId87" Type="http://schemas.openxmlformats.org/officeDocument/2006/relationships/hyperlink" Target="https://storage.googleapis.com/glide-prod.appspot.com/uploads-v2/ly7o78grxPaC6KdgvbpS/pub/3aRdSog0vUtuqPE8AJKD.png" TargetMode="External"/><Relationship Id="rId513" Type="http://schemas.openxmlformats.org/officeDocument/2006/relationships/hyperlink" Target="https://storage.googleapis.com/glide-prod.appspot.com/uploads-v2/ly7o78grxPaC6KdgvbpS/pub/3aRdSog0vUtuqPE8AJKD.png" TargetMode="External"/><Relationship Id="rId720" Type="http://schemas.openxmlformats.org/officeDocument/2006/relationships/hyperlink" Target="https://storage.googleapis.com/glide-prod.appspot.com/uploads-v2/ly7o78grxPaC6KdgvbpS/pub/3aRdSog0vUtuqPE8AJKD.png" TargetMode="External"/><Relationship Id="rId818" Type="http://schemas.openxmlformats.org/officeDocument/2006/relationships/hyperlink" Target="https://storage.googleapis.com/glide-prod.appspot.com/uploads-v2/ly7o78grxPaC6KdgvbpS/pub/3aRdSog0vUtuqPE8AJKD.png" TargetMode="External"/><Relationship Id="rId1350" Type="http://schemas.openxmlformats.org/officeDocument/2006/relationships/hyperlink" Target="https://storage.googleapis.com/glide-prod.appspot.com/uploads-v2/ly7o78grxPaC6KdgvbpS/pub/3aRdSog0vUtuqPE8AJKD.png" TargetMode="External"/><Relationship Id="rId1448" Type="http://schemas.openxmlformats.org/officeDocument/2006/relationships/hyperlink" Target="https://storage.googleapis.com/glide-prod.appspot.com/uploads-v2/ly7o78grxPaC6KdgvbpS/pub/3aRdSog0vUtuqPE8AJKD.png" TargetMode="External"/><Relationship Id="rId1003" Type="http://schemas.openxmlformats.org/officeDocument/2006/relationships/hyperlink" Target="https://storage.googleapis.com/glide-prod.appspot.com/uploads-v2/ly7o78grxPaC6KdgvbpS/pub/3aRdSog0vUtuqPE8AJKD.png" TargetMode="External"/><Relationship Id="rId1210" Type="http://schemas.openxmlformats.org/officeDocument/2006/relationships/hyperlink" Target="https://storage.googleapis.com/glide-prod.appspot.com/uploads-v2/ly7o78grxPaC6KdgvbpS/pub/3aRdSog0vUtuqPE8AJKD.png" TargetMode="External"/><Relationship Id="rId1308" Type="http://schemas.openxmlformats.org/officeDocument/2006/relationships/hyperlink" Target="https://storage.googleapis.com/glide-prod.appspot.com/uploads-v2/ly7o78grxPaC6KdgvbpS/pub/3aRdSog0vUtuqPE8AJKD.png" TargetMode="External"/><Relationship Id="rId1515" Type="http://schemas.openxmlformats.org/officeDocument/2006/relationships/hyperlink" Target="https://storage.googleapis.com/glide-prod.appspot.com/uploads-v2/ly7o78grxPaC6KdgvbpS/pub/3aRdSog0vUtuqPE8AJKD.png" TargetMode="External"/><Relationship Id="rId14" Type="http://schemas.openxmlformats.org/officeDocument/2006/relationships/hyperlink" Target="https://storage.googleapis.com/glide-prod.appspot.com/uploads-v2/ly7o78grxPaC6KdgvbpS/pub/3aRdSog0vUtuqPE8AJKD.png" TargetMode="External"/><Relationship Id="rId163" Type="http://schemas.openxmlformats.org/officeDocument/2006/relationships/hyperlink" Target="https://storage.googleapis.com/glide-prod.appspot.com/uploads-v2/ly7o78grxPaC6KdgvbpS/pub/3aRdSog0vUtuqPE8AJKD.png" TargetMode="External"/><Relationship Id="rId370" Type="http://schemas.openxmlformats.org/officeDocument/2006/relationships/hyperlink" Target="https://storage.googleapis.com/glide-prod.appspot.com/uploads-v2/ly7o78grxPaC6KdgvbpS/pub/3aRdSog0vUtuqPE8AJKD.png" TargetMode="External"/><Relationship Id="rId230" Type="http://schemas.openxmlformats.org/officeDocument/2006/relationships/hyperlink" Target="https://storage.googleapis.com/glide-prod.appspot.com/uploads-v2/ly7o78grxPaC6KdgvbpS/pub/3aRdSog0vUtuqPE8AJKD.png" TargetMode="External"/><Relationship Id="rId468" Type="http://schemas.openxmlformats.org/officeDocument/2006/relationships/hyperlink" Target="https://storage.googleapis.com/glide-prod.appspot.com/uploads-v2/ly7o78grxPaC6KdgvbpS/pub/3aRdSog0vUtuqPE8AJKD.png" TargetMode="External"/><Relationship Id="rId675" Type="http://schemas.openxmlformats.org/officeDocument/2006/relationships/hyperlink" Target="https://storage.googleapis.com/glide-prod.appspot.com/uploads-v2/ly7o78grxPaC6KdgvbpS/pub/3aRdSog0vUtuqPE8AJKD.png" TargetMode="External"/><Relationship Id="rId882" Type="http://schemas.openxmlformats.org/officeDocument/2006/relationships/hyperlink" Target="https://storage.googleapis.com/glide-prod.appspot.com/uploads-v2/ly7o78grxPaC6KdgvbpS/pub/3aRdSog0vUtuqPE8AJKD.png" TargetMode="External"/><Relationship Id="rId1098" Type="http://schemas.openxmlformats.org/officeDocument/2006/relationships/hyperlink" Target="https://storage.googleapis.com/glide-prod.appspot.com/uploads-v2/ly7o78grxPaC6KdgvbpS/pub/3aRdSog0vUtuqPE8AJKD.png" TargetMode="External"/><Relationship Id="rId328" Type="http://schemas.openxmlformats.org/officeDocument/2006/relationships/hyperlink" Target="https://storage.googleapis.com/glide-prod.appspot.com/uploads-v2/ly7o78grxPaC6KdgvbpS/pub/3aRdSog0vUtuqPE8AJKD.png" TargetMode="External"/><Relationship Id="rId535" Type="http://schemas.openxmlformats.org/officeDocument/2006/relationships/hyperlink" Target="https://storage.googleapis.com/glide-prod.appspot.com/uploads-v2/ly7o78grxPaC6KdgvbpS/pub/uqc1nhPdOYJPdkf1bvEB.jpeg" TargetMode="External"/><Relationship Id="rId742" Type="http://schemas.openxmlformats.org/officeDocument/2006/relationships/hyperlink" Target="https://storage.googleapis.com/glide-prod.appspot.com/uploads-v2/ly7o78grxPaC6KdgvbpS/pub/3aRdSog0vUtuqPE8AJKD.png" TargetMode="External"/><Relationship Id="rId1165" Type="http://schemas.openxmlformats.org/officeDocument/2006/relationships/hyperlink" Target="https://storage.googleapis.com/glide-prod.appspot.com/uploads-v2/ly7o78grxPaC6KdgvbpS/pub/3aRdSog0vUtuqPE8AJKD.png" TargetMode="External"/><Relationship Id="rId1372" Type="http://schemas.openxmlformats.org/officeDocument/2006/relationships/hyperlink" Target="https://storage.googleapis.com/glide-prod.appspot.com/uploads-v2/ly7o78grxPaC6KdgvbpS/pub/3aRdSog0vUtuqPE8AJKD.png" TargetMode="External"/><Relationship Id="rId602" Type="http://schemas.openxmlformats.org/officeDocument/2006/relationships/hyperlink" Target="https://storage.googleapis.com/glide-prod.appspot.com/uploads-v2/ly7o78grxPaC6KdgvbpS/pub/3aRdSog0vUtuqPE8AJKD.png" TargetMode="External"/><Relationship Id="rId1025" Type="http://schemas.openxmlformats.org/officeDocument/2006/relationships/hyperlink" Target="https://storage.googleapis.com/glide-prod.appspot.com/uploads-v2/ly7o78grxPaC6KdgvbpS/pub/3aRdSog0vUtuqPE8AJKD.png" TargetMode="External"/><Relationship Id="rId1232" Type="http://schemas.openxmlformats.org/officeDocument/2006/relationships/hyperlink" Target="https://storage.googleapis.com/glide-prod.appspot.com/uploads-v2/ly7o78grxPaC6KdgvbpS/pub/3aRdSog0vUtuqPE8AJKD.png" TargetMode="External"/><Relationship Id="rId907" Type="http://schemas.openxmlformats.org/officeDocument/2006/relationships/hyperlink" Target="https://storage.googleapis.com/glide-prod.appspot.com/uploads-v2/ly7o78grxPaC6KdgvbpS/pub/3aRdSog0vUtuqPE8AJKD.png" TargetMode="External"/><Relationship Id="rId1537" Type="http://schemas.openxmlformats.org/officeDocument/2006/relationships/hyperlink" Target="https://storage.googleapis.com/glide-prod.appspot.com/uploads-v2/ly7o78grxPaC6KdgvbpS/pub/3aRdSog0vUtuqPE8AJKD.png" TargetMode="External"/><Relationship Id="rId36" Type="http://schemas.openxmlformats.org/officeDocument/2006/relationships/hyperlink" Target="https://storage.googleapis.com/glide-prod.appspot.com/uploads-v2/ly7o78grxPaC6KdgvbpS/pub/3aRdSog0vUtuqPE8AJKD.png" TargetMode="External"/><Relationship Id="rId1604" Type="http://schemas.openxmlformats.org/officeDocument/2006/relationships/hyperlink" Target="https://storage.googleapis.com/glide-prod.appspot.com/uploads-v2/ly7o78grxPaC6KdgvbpS/pub/3aRdSog0vUtuqPE8AJKD.png" TargetMode="External"/><Relationship Id="rId185" Type="http://schemas.openxmlformats.org/officeDocument/2006/relationships/hyperlink" Target="https://storage.googleapis.com/glide-prod.appspot.com/uploads-v2/ly7o78grxPaC6KdgvbpS/pub/3aRdSog0vUtuqPE8AJKD.png" TargetMode="External"/><Relationship Id="rId392" Type="http://schemas.openxmlformats.org/officeDocument/2006/relationships/hyperlink" Target="https://storage.googleapis.com/glide-prod.appspot.com/uploads-v2/ly7o78grxPaC6KdgvbpS/pub/3aRdSog0vUtuqPE8AJKD.png" TargetMode="External"/><Relationship Id="rId697" Type="http://schemas.openxmlformats.org/officeDocument/2006/relationships/hyperlink" Target="https://storage.googleapis.com/glide-prod.appspot.com/uploads-v2/ly7o78grxPaC6KdgvbpS/pub/3aRdSog0vUtuqPE8AJKD.png" TargetMode="External"/><Relationship Id="rId252" Type="http://schemas.openxmlformats.org/officeDocument/2006/relationships/hyperlink" Target="https://storage.googleapis.com/glide-prod.appspot.com/uploads-v2/ly7o78grxPaC6KdgvbpS/pub/3aRdSog0vUtuqPE8AJKD.png" TargetMode="External"/><Relationship Id="rId1187" Type="http://schemas.openxmlformats.org/officeDocument/2006/relationships/hyperlink" Target="https://storage.googleapis.com/glide-prod.appspot.com/uploads-v2/ly7o78grxPaC6KdgvbpS/pub/3aRdSog0vUtuqPE8AJKD.png" TargetMode="External"/><Relationship Id="rId112" Type="http://schemas.openxmlformats.org/officeDocument/2006/relationships/hyperlink" Target="https://storage.googleapis.com/glide-prod.appspot.com/uploads-v2/ly7o78grxPaC6KdgvbpS/pub/jCRRVjuUhiW2B5aLDmlh.jpg" TargetMode="External"/><Relationship Id="rId557" Type="http://schemas.openxmlformats.org/officeDocument/2006/relationships/hyperlink" Target="https://storage.googleapis.com/glide-prod.appspot.com/uploads-v2/ly7o78grxPaC6KdgvbpS/pub/3aRdSog0vUtuqPE8AJKD.png" TargetMode="External"/><Relationship Id="rId764" Type="http://schemas.openxmlformats.org/officeDocument/2006/relationships/hyperlink" Target="https://storage.googleapis.com/glide-prod.appspot.com/uploads-v2/ly7o78grxPaC6KdgvbpS/pub/3aRdSog0vUtuqPE8AJKD.png" TargetMode="External"/><Relationship Id="rId971" Type="http://schemas.openxmlformats.org/officeDocument/2006/relationships/hyperlink" Target="https://storage.googleapis.com/glide-prod.appspot.com/uploads-v2/ly7o78grxPaC6KdgvbpS/pub/3aRdSog0vUtuqPE8AJKD.png" TargetMode="External"/><Relationship Id="rId1394" Type="http://schemas.openxmlformats.org/officeDocument/2006/relationships/hyperlink" Target="https://storage.googleapis.com/glide-prod.appspot.com/uploads-v2/ly7o78grxPaC6KdgvbpS/pub/3aRdSog0vUtuqPE8AJKD.png" TargetMode="External"/><Relationship Id="rId417" Type="http://schemas.openxmlformats.org/officeDocument/2006/relationships/hyperlink" Target="https://storage.googleapis.com/glide-prod.appspot.com/uploads-v2/ly7o78grxPaC6KdgvbpS/pub/3aRdSog0vUtuqPE8AJKD.png" TargetMode="External"/><Relationship Id="rId624" Type="http://schemas.openxmlformats.org/officeDocument/2006/relationships/hyperlink" Target="https://storage.googleapis.com/glide-prod.appspot.com/uploads-v2/ly7o78grxPaC6KdgvbpS/pub/3aRdSog0vUtuqPE8AJKD.png" TargetMode="External"/><Relationship Id="rId831" Type="http://schemas.openxmlformats.org/officeDocument/2006/relationships/hyperlink" Target="https://storage.googleapis.com/glide-prod.appspot.com/uploads-v2/ly7o78grxPaC6KdgvbpS/pub/3aRdSog0vUtuqPE8AJKD.png" TargetMode="External"/><Relationship Id="rId1047" Type="http://schemas.openxmlformats.org/officeDocument/2006/relationships/hyperlink" Target="https://storage.googleapis.com/glide-prod.appspot.com/uploads-v2/ly7o78grxPaC6KdgvbpS/pub/3aRdSog0vUtuqPE8AJKD.png" TargetMode="External"/><Relationship Id="rId1254" Type="http://schemas.openxmlformats.org/officeDocument/2006/relationships/hyperlink" Target="https://storage.googleapis.com/glide-prod.appspot.com/uploads-v2/ly7o78grxPaC6KdgvbpS/pub/UliJWgpEaBovaFmXi6OW.png" TargetMode="External"/><Relationship Id="rId1461" Type="http://schemas.openxmlformats.org/officeDocument/2006/relationships/hyperlink" Target="https://storage.googleapis.com/glide-prod.appspot.com/uploads-v2/ly7o78grxPaC6KdgvbpS/pub/3aRdSog0vUtuqPE8AJKD.png" TargetMode="External"/><Relationship Id="rId929" Type="http://schemas.openxmlformats.org/officeDocument/2006/relationships/hyperlink" Target="https://storage.googleapis.com/glide-prod.appspot.com/uploads-v2/ly7o78grxPaC6KdgvbpS/pub/3aRdSog0vUtuqPE8AJKD.png" TargetMode="External"/><Relationship Id="rId1114" Type="http://schemas.openxmlformats.org/officeDocument/2006/relationships/hyperlink" Target="https://storage.googleapis.com/glide-prod.appspot.com/uploads-v2/ly7o78grxPaC6KdgvbpS/pub/3aRdSog0vUtuqPE8AJKD.png" TargetMode="External"/><Relationship Id="rId1321" Type="http://schemas.openxmlformats.org/officeDocument/2006/relationships/hyperlink" Target="https://storage.googleapis.com/glide-prod.appspot.com/uploads-v2/ly7o78grxPaC6KdgvbpS/pub/3aRdSog0vUtuqPE8AJKD.png" TargetMode="External"/><Relationship Id="rId1559" Type="http://schemas.openxmlformats.org/officeDocument/2006/relationships/hyperlink" Target="https://storage.googleapis.com/glide-prod.appspot.com/uploads-v2/ly7o78grxPaC6KdgvbpS/pub/yvtCGRAPIbS0tVLIlehH.png" TargetMode="External"/><Relationship Id="rId58" Type="http://schemas.openxmlformats.org/officeDocument/2006/relationships/hyperlink" Target="https://storage.googleapis.com/glide-prod.appspot.com/uploads-v2/ly7o78grxPaC6KdgvbpS/pub/3aRdSog0vUtuqPE8AJKD.png" TargetMode="External"/><Relationship Id="rId1419" Type="http://schemas.openxmlformats.org/officeDocument/2006/relationships/hyperlink" Target="https://storage.googleapis.com/glide-prod.appspot.com/uploads-v2/ly7o78grxPaC6KdgvbpS/pub/3aRdSog0vUtuqPE8AJKD.png" TargetMode="External"/><Relationship Id="rId274" Type="http://schemas.openxmlformats.org/officeDocument/2006/relationships/hyperlink" Target="https://storage.googleapis.com/glide-prod.appspot.com/uploads-v2/ly7o78grxPaC6KdgvbpS/pub/3aRdSog0vUtuqPE8AJKD.png" TargetMode="External"/><Relationship Id="rId481" Type="http://schemas.openxmlformats.org/officeDocument/2006/relationships/hyperlink" Target="https://storage.googleapis.com/glide-prod.appspot.com/uploads-v2/ly7o78grxPaC6KdgvbpS/pub/3aRdSog0vUtuqPE8AJKD.png" TargetMode="External"/><Relationship Id="rId134" Type="http://schemas.openxmlformats.org/officeDocument/2006/relationships/hyperlink" Target="https://storage.googleapis.com/glide-prod.appspot.com/uploads-v2/ly7o78grxPaC6KdgvbpS/pub/3aRdSog0vUtuqPE8AJKD.png" TargetMode="External"/><Relationship Id="rId579" Type="http://schemas.openxmlformats.org/officeDocument/2006/relationships/hyperlink" Target="https://storage.googleapis.com/glide-prod.appspot.com/uploads-v2/ly7o78grxPaC6KdgvbpS/pub/3aRdSog0vUtuqPE8AJKD.png" TargetMode="External"/><Relationship Id="rId786" Type="http://schemas.openxmlformats.org/officeDocument/2006/relationships/hyperlink" Target="https://storage.googleapis.com/glide-prod.appspot.com/uploads-v2/ly7o78grxPaC6KdgvbpS/pub/3aRdSog0vUtuqPE8AJKD.png" TargetMode="External"/><Relationship Id="rId993" Type="http://schemas.openxmlformats.org/officeDocument/2006/relationships/hyperlink" Target="https://storage.googleapis.com/glide-prod.appspot.com/uploads-v2/ly7o78grxPaC6KdgvbpS/pub/3aRdSog0vUtuqPE8AJKD.png" TargetMode="External"/><Relationship Id="rId341" Type="http://schemas.openxmlformats.org/officeDocument/2006/relationships/hyperlink" Target="https://storage.googleapis.com/glide-prod.appspot.com/uploads-v2/ly7o78grxPaC6KdgvbpS/pub/3aRdSog0vUtuqPE8AJKD.png" TargetMode="External"/><Relationship Id="rId439" Type="http://schemas.openxmlformats.org/officeDocument/2006/relationships/hyperlink" Target="https://storage.googleapis.com/glide-prod.appspot.com/uploads-v2/ly7o78grxPaC6KdgvbpS/pub/3aRdSog0vUtuqPE8AJKD.png" TargetMode="External"/><Relationship Id="rId646" Type="http://schemas.openxmlformats.org/officeDocument/2006/relationships/hyperlink" Target="https://storage.googleapis.com/glide-prod.appspot.com/uploads-v2/ly7o78grxPaC6KdgvbpS/pub/3aRdSog0vUtuqPE8AJKD.png" TargetMode="External"/><Relationship Id="rId1069" Type="http://schemas.openxmlformats.org/officeDocument/2006/relationships/hyperlink" Target="https://storage.googleapis.com/glide-prod.appspot.com/uploads-v2/ly7o78grxPaC6KdgvbpS/pub/3aRdSog0vUtuqPE8AJKD.png" TargetMode="External"/><Relationship Id="rId1276" Type="http://schemas.openxmlformats.org/officeDocument/2006/relationships/hyperlink" Target="https://storage.googleapis.com/glide-prod.appspot.com/uploads-v2/ly7o78grxPaC6KdgvbpS/pub/3aRdSog0vUtuqPE8AJKD.png" TargetMode="External"/><Relationship Id="rId1483" Type="http://schemas.openxmlformats.org/officeDocument/2006/relationships/hyperlink" Target="https://storage.googleapis.com/glide-prod.appspot.com/uploads-v2/ly7o78grxPaC6KdgvbpS/pub/3aRdSog0vUtuqPE8AJKD.png" TargetMode="External"/><Relationship Id="rId201" Type="http://schemas.openxmlformats.org/officeDocument/2006/relationships/hyperlink" Target="https://storage.googleapis.com/glide-prod.appspot.com/uploads-v2/ly7o78grxPaC6KdgvbpS/pub/3aRdSog0vUtuqPE8AJKD.png" TargetMode="External"/><Relationship Id="rId506" Type="http://schemas.openxmlformats.org/officeDocument/2006/relationships/hyperlink" Target="https://storage.googleapis.com/glide-prod.appspot.com/uploads-v2/ly7o78grxPaC6KdgvbpS/pub/3aRdSog0vUtuqPE8AJKD.png" TargetMode="External"/><Relationship Id="rId853" Type="http://schemas.openxmlformats.org/officeDocument/2006/relationships/hyperlink" Target="https://storage.googleapis.com/glide-prod.appspot.com/uploads-v2/ly7o78grxPaC6KdgvbpS/pub/3aRdSog0vUtuqPE8AJKD.png" TargetMode="External"/><Relationship Id="rId1136" Type="http://schemas.openxmlformats.org/officeDocument/2006/relationships/hyperlink" Target="https://storage.googleapis.com/glide-prod.appspot.com/uploads-v2/ly7o78grxPaC6KdgvbpS/pub/3aRdSog0vUtuqPE8AJKD.png" TargetMode="External"/><Relationship Id="rId713" Type="http://schemas.openxmlformats.org/officeDocument/2006/relationships/hyperlink" Target="https://storage.googleapis.com/glide-prod.appspot.com/uploads-v2/ly7o78grxPaC6KdgvbpS/pub/3aRdSog0vUtuqPE8AJKD.png" TargetMode="External"/><Relationship Id="rId920" Type="http://schemas.openxmlformats.org/officeDocument/2006/relationships/hyperlink" Target="https://storage.googleapis.com/glide-prod.appspot.com/uploads-v2/ly7o78grxPaC6KdgvbpS/pub/3aRdSog0vUtuqPE8AJKD.png" TargetMode="External"/><Relationship Id="rId1343" Type="http://schemas.openxmlformats.org/officeDocument/2006/relationships/hyperlink" Target="https://storage.googleapis.com/glide-prod.appspot.com/uploads-v2/ly7o78grxPaC6KdgvbpS/pub/3aRdSog0vUtuqPE8AJKD.png" TargetMode="External"/><Relationship Id="rId1550" Type="http://schemas.openxmlformats.org/officeDocument/2006/relationships/hyperlink" Target="https://storage.googleapis.com/glide-prod.appspot.com/uploads-v2/ly7o78grxPaC6KdgvbpS/pub/3aRdSog0vUtuqPE8AJKD.png" TargetMode="External"/><Relationship Id="rId1203" Type="http://schemas.openxmlformats.org/officeDocument/2006/relationships/hyperlink" Target="https://storage.googleapis.com/glide-prod.appspot.com/uploads-v2/ly7o78grxPaC6KdgvbpS/pub/3aRdSog0vUtuqPE8AJKD.png" TargetMode="External"/><Relationship Id="rId1410" Type="http://schemas.openxmlformats.org/officeDocument/2006/relationships/hyperlink" Target="https://storage.googleapis.com/glide-prod.appspot.com/uploads-v2/ly7o78grxPaC6KdgvbpS/pub/3aRdSog0vUtuqPE8AJKD.png" TargetMode="External"/><Relationship Id="rId1508" Type="http://schemas.openxmlformats.org/officeDocument/2006/relationships/hyperlink" Target="https://storage.googleapis.com/glide-prod.appspot.com/uploads-v2/ly7o78grxPaC6KdgvbpS/pub/3aRdSog0vUtuqPE8AJKD.png" TargetMode="External"/><Relationship Id="rId296" Type="http://schemas.openxmlformats.org/officeDocument/2006/relationships/hyperlink" Target="https://storage.googleapis.com/glide-prod.appspot.com/uploads-v2/ly7o78grxPaC6KdgvbpS/pub/3aRdSog0vUtuqPE8AJKD.png" TargetMode="External"/><Relationship Id="rId156" Type="http://schemas.openxmlformats.org/officeDocument/2006/relationships/hyperlink" Target="https://storage.googleapis.com/glide-prod.appspot.com/uploads-v2/ly7o78grxPaC6KdgvbpS/pub/3aRdSog0vUtuqPE8AJKD.png" TargetMode="External"/><Relationship Id="rId363" Type="http://schemas.openxmlformats.org/officeDocument/2006/relationships/hyperlink" Target="https://storage.googleapis.com/glide-prod.appspot.com/uploads-v2/ly7o78grxPaC6KdgvbpS/pub/3aRdSog0vUtuqPE8AJKD.png" TargetMode="External"/><Relationship Id="rId570" Type="http://schemas.openxmlformats.org/officeDocument/2006/relationships/hyperlink" Target="https://storage.googleapis.com/glide-prod.appspot.com/uploads-v2/ly7o78grxPaC6KdgvbpS/pub/3aRdSog0vUtuqPE8AJKD.png" TargetMode="External"/><Relationship Id="rId223" Type="http://schemas.openxmlformats.org/officeDocument/2006/relationships/hyperlink" Target="https://storage.googleapis.com/glide-prod.appspot.com/uploads-v2/ly7o78grxPaC6KdgvbpS/pub/3aRdSog0vUtuqPE8AJKD.png" TargetMode="External"/><Relationship Id="rId430" Type="http://schemas.openxmlformats.org/officeDocument/2006/relationships/hyperlink" Target="https://storage.googleapis.com/glide-prod.appspot.com/uploads-v2/ly7o78grxPaC6KdgvbpS/pub/3aRdSog0vUtuqPE8AJKD.png" TargetMode="External"/><Relationship Id="rId668" Type="http://schemas.openxmlformats.org/officeDocument/2006/relationships/hyperlink" Target="https://storage.googleapis.com/glide-prod.appspot.com/uploads-v2/ly7o78grxPaC6KdgvbpS/pub/3aRdSog0vUtuqPE8AJKD.png" TargetMode="External"/><Relationship Id="rId875" Type="http://schemas.openxmlformats.org/officeDocument/2006/relationships/hyperlink" Target="https://storage.googleapis.com/glide-prod.appspot.com/uploads-v2/ly7o78grxPaC6KdgvbpS/pub/3aRdSog0vUtuqPE8AJKD.png" TargetMode="External"/><Relationship Id="rId1060" Type="http://schemas.openxmlformats.org/officeDocument/2006/relationships/hyperlink" Target="https://storage.googleapis.com/glide-prod.appspot.com/uploads-v2/ly7o78grxPaC6KdgvbpS/pub/3aRdSog0vUtuqPE8AJKD.png" TargetMode="External"/><Relationship Id="rId1298" Type="http://schemas.openxmlformats.org/officeDocument/2006/relationships/hyperlink" Target="https://storage.googleapis.com/glide-prod.appspot.com/uploads-v2/ly7o78grxPaC6KdgvbpS/pub/3aRdSog0vUtuqPE8AJKD.png" TargetMode="External"/><Relationship Id="rId528" Type="http://schemas.openxmlformats.org/officeDocument/2006/relationships/hyperlink" Target="https://storage.googleapis.com/glide-prod.appspot.com/uploads-v2/ly7o78grxPaC6KdgvbpS/pub/3aRdSog0vUtuqPE8AJKD.png" TargetMode="External"/><Relationship Id="rId735" Type="http://schemas.openxmlformats.org/officeDocument/2006/relationships/hyperlink" Target="https://storage.googleapis.com/glide-prod.appspot.com/uploads-v2/ly7o78grxPaC6KdgvbpS/pub/3aRdSog0vUtuqPE8AJKD.png" TargetMode="External"/><Relationship Id="rId942" Type="http://schemas.openxmlformats.org/officeDocument/2006/relationships/hyperlink" Target="https://storage.googleapis.com/glide-prod.appspot.com/uploads-v2/ly7o78grxPaC6KdgvbpS/pub/3aRdSog0vUtuqPE8AJKD.png" TargetMode="External"/><Relationship Id="rId1158" Type="http://schemas.openxmlformats.org/officeDocument/2006/relationships/hyperlink" Target="https://storage.googleapis.com/glide-prod.appspot.com/uploads-v2/ly7o78grxPaC6KdgvbpS/pub/3aRdSog0vUtuqPE8AJKD.png" TargetMode="External"/><Relationship Id="rId1365" Type="http://schemas.openxmlformats.org/officeDocument/2006/relationships/hyperlink" Target="https://storage.googleapis.com/glide-prod.appspot.com/uploads-v2/ly7o78grxPaC6KdgvbpS/pub/3aRdSog0vUtuqPE8AJKD.png" TargetMode="External"/><Relationship Id="rId1572" Type="http://schemas.openxmlformats.org/officeDocument/2006/relationships/hyperlink" Target="https://storage.googleapis.com/glide-prod.appspot.com/uploads-v2/ly7o78grxPaC6KdgvbpS/pub/3aRdSog0vUtuqPE8AJKD.png" TargetMode="External"/><Relationship Id="rId1018" Type="http://schemas.openxmlformats.org/officeDocument/2006/relationships/hyperlink" Target="https://storage.googleapis.com/glide-prod.appspot.com/uploads-v2/ly7o78grxPaC6KdgvbpS/pub/3aRdSog0vUtuqPE8AJKD.png" TargetMode="External"/><Relationship Id="rId1225" Type="http://schemas.openxmlformats.org/officeDocument/2006/relationships/hyperlink" Target="https://storage.googleapis.com/glide-prod.appspot.com/uploads-v2/ly7o78grxPaC6KdgvbpS/pub/3aRdSog0vUtuqPE8AJKD.png" TargetMode="External"/><Relationship Id="rId1432" Type="http://schemas.openxmlformats.org/officeDocument/2006/relationships/hyperlink" Target="https://storage.googleapis.com/glide-prod.appspot.com/uploads-v2/ly7o78grxPaC6KdgvbpS/pub/UliJWgpEaBovaFmXi6OW.png" TargetMode="External"/><Relationship Id="rId71" Type="http://schemas.openxmlformats.org/officeDocument/2006/relationships/hyperlink" Target="https://storage.googleapis.com/glide-prod.appspot.com/uploads-v2/ly7o78grxPaC6KdgvbpS/pub/3aRdSog0vUtuqPE8AJKD.png" TargetMode="External"/><Relationship Id="rId802" Type="http://schemas.openxmlformats.org/officeDocument/2006/relationships/hyperlink" Target="https://storage.googleapis.com/glide-prod.appspot.com/uploads-v2/ly7o78grxPaC6KdgvbpS/pub/3aRdSog0vUtuqPE8AJKD.png" TargetMode="External"/><Relationship Id="rId29" Type="http://schemas.openxmlformats.org/officeDocument/2006/relationships/hyperlink" Target="https://storage.googleapis.com/glide-prod.appspot.com/uploads-v2/ly7o78grxPaC6KdgvbpS/pub/3aRdSog0vUtuqPE8AJKD.png" TargetMode="External"/><Relationship Id="rId178" Type="http://schemas.openxmlformats.org/officeDocument/2006/relationships/hyperlink" Target="https://storage.googleapis.com/glide-prod.appspot.com/uploads-v2/ly7o78grxPaC6KdgvbpS/pub/3aRdSog0vUtuqPE8AJKD.png" TargetMode="External"/><Relationship Id="rId385" Type="http://schemas.openxmlformats.org/officeDocument/2006/relationships/hyperlink" Target="https://storage.googleapis.com/glide-prod.appspot.com/uploads-v2/ly7o78grxPaC6KdgvbpS/pub/3aRdSog0vUtuqPE8AJKD.png" TargetMode="External"/><Relationship Id="rId592" Type="http://schemas.openxmlformats.org/officeDocument/2006/relationships/hyperlink" Target="https://storage.googleapis.com/glide-prod.appspot.com/uploads-v2/ly7o78grxPaC6KdgvbpS/pub/3aRdSog0vUtuqPE8AJKD.png" TargetMode="External"/><Relationship Id="rId245" Type="http://schemas.openxmlformats.org/officeDocument/2006/relationships/hyperlink" Target="https://storage.googleapis.com/glide-prod.appspot.com/uploads-v2/ly7o78grxPaC6KdgvbpS/pub/3aRdSog0vUtuqPE8AJKD.png" TargetMode="External"/><Relationship Id="rId452" Type="http://schemas.openxmlformats.org/officeDocument/2006/relationships/hyperlink" Target="https://storage.googleapis.com/glide-prod.appspot.com/uploads-v2/ly7o78grxPaC6KdgvbpS/pub/p8nzt8Ny6twssiUvBU0T.jpg" TargetMode="External"/><Relationship Id="rId897" Type="http://schemas.openxmlformats.org/officeDocument/2006/relationships/hyperlink" Target="https://storage.googleapis.com/glide-prod.appspot.com/uploads-v2/ly7o78grxPaC6KdgvbpS/pub/3aRdSog0vUtuqPE8AJKD.png" TargetMode="External"/><Relationship Id="rId1082" Type="http://schemas.openxmlformats.org/officeDocument/2006/relationships/hyperlink" Target="https://storage.googleapis.com/glide-prod.appspot.com/uploads-v2/ly7o78grxPaC6KdgvbpS/pub/3aRdSog0vUtuqPE8AJKD.png" TargetMode="External"/><Relationship Id="rId105" Type="http://schemas.openxmlformats.org/officeDocument/2006/relationships/hyperlink" Target="https://storage.googleapis.com/glide-prod.appspot.com/uploads-v2/ly7o78grxPaC6KdgvbpS/pub/zFchUHwegHsDNVu6V286.jpg" TargetMode="External"/><Relationship Id="rId312" Type="http://schemas.openxmlformats.org/officeDocument/2006/relationships/hyperlink" Target="https://storage.googleapis.com/glide-prod.appspot.com/uploads-v2/ly7o78grxPaC6KdgvbpS/pub/3aRdSog0vUtuqPE8AJKD.png" TargetMode="External"/><Relationship Id="rId757" Type="http://schemas.openxmlformats.org/officeDocument/2006/relationships/hyperlink" Target="https://storage.googleapis.com/glide-prod.appspot.com/uploads-v2/ly7o78grxPaC6KdgvbpS/pub/3aRdSog0vUtuqPE8AJKD.png" TargetMode="External"/><Relationship Id="rId964" Type="http://schemas.openxmlformats.org/officeDocument/2006/relationships/hyperlink" Target="https://storage.googleapis.com/glide-prod.appspot.com/uploads-v2/ly7o78grxPaC6KdgvbpS/pub/3aRdSog0vUtuqPE8AJKD.png" TargetMode="External"/><Relationship Id="rId1387" Type="http://schemas.openxmlformats.org/officeDocument/2006/relationships/hyperlink" Target="https://storage.googleapis.com/glide-prod.appspot.com/uploads-v2/ly7o78grxPaC6KdgvbpS/pub/3aRdSog0vUtuqPE8AJKD.png" TargetMode="External"/><Relationship Id="rId1594" Type="http://schemas.openxmlformats.org/officeDocument/2006/relationships/hyperlink" Target="https://storage.googleapis.com/glide-prod.appspot.com/uploads-v2/ly7o78grxPaC6KdgvbpS/pub/yvtCGRAPIbS0tVLIlehH.png" TargetMode="External"/><Relationship Id="rId93" Type="http://schemas.openxmlformats.org/officeDocument/2006/relationships/hyperlink" Target="https://storage.googleapis.com/glide-prod.appspot.com/uploads-v2/ly7o78grxPaC6KdgvbpS/pub/3aRdSog0vUtuqPE8AJKD.png" TargetMode="External"/><Relationship Id="rId617" Type="http://schemas.openxmlformats.org/officeDocument/2006/relationships/hyperlink" Target="https://storage.googleapis.com/glide-prod.appspot.com/uploads-v2/ly7o78grxPaC6KdgvbpS/pub/3aRdSog0vUtuqPE8AJKD.png" TargetMode="External"/><Relationship Id="rId824" Type="http://schemas.openxmlformats.org/officeDocument/2006/relationships/hyperlink" Target="https://storage.googleapis.com/glide-prod.appspot.com/uploads-v2/ly7o78grxPaC6KdgvbpS/pub/3aRdSog0vUtuqPE8AJKD.png" TargetMode="External"/><Relationship Id="rId1247" Type="http://schemas.openxmlformats.org/officeDocument/2006/relationships/hyperlink" Target="https://storage.googleapis.com/glide-prod.appspot.com/uploads-v2/ly7o78grxPaC6KdgvbpS/pub/3aRdSog0vUtuqPE8AJKD.png" TargetMode="External"/><Relationship Id="rId1454" Type="http://schemas.openxmlformats.org/officeDocument/2006/relationships/hyperlink" Target="https://storage.googleapis.com/glide-prod.appspot.com/uploads-v2/ly7o78grxPaC6KdgvbpS/pub/3aRdSog0vUtuqPE8AJKD.png" TargetMode="External"/><Relationship Id="rId1107" Type="http://schemas.openxmlformats.org/officeDocument/2006/relationships/hyperlink" Target="https://storage.googleapis.com/glide-prod.appspot.com/uploads-v2/ly7o78grxPaC6KdgvbpS/pub/3aRdSog0vUtuqPE8AJKD.png" TargetMode="External"/><Relationship Id="rId1314" Type="http://schemas.openxmlformats.org/officeDocument/2006/relationships/hyperlink" Target="https://storage.googleapis.com/glide-prod.appspot.com/uploads-v2/ly7o78grxPaC6KdgvbpS/pub/3aRdSog0vUtuqPE8AJKD.png" TargetMode="External"/><Relationship Id="rId1521" Type="http://schemas.openxmlformats.org/officeDocument/2006/relationships/hyperlink" Target="https://storage.googleapis.com/glide-prod.appspot.com/uploads-v2/ly7o78grxPaC6KdgvbpS/pub/tc8O3fSwwtBwgAXe2R3q.jpg" TargetMode="External"/><Relationship Id="rId20" Type="http://schemas.openxmlformats.org/officeDocument/2006/relationships/hyperlink" Target="https://storage.googleapis.com/glide-prod.appspot.com/uploads-v2/ly7o78grxPaC6KdgvbpS/pub/3aRdSog0vUtuqPE8AJKD.png" TargetMode="External"/><Relationship Id="rId267" Type="http://schemas.openxmlformats.org/officeDocument/2006/relationships/hyperlink" Target="https://storage.googleapis.com/glide-prod.appspot.com/uploads-v2/ly7o78grxPaC6KdgvbpS/pub/3aRdSog0vUtuqPE8AJKD.png" TargetMode="External"/><Relationship Id="rId474" Type="http://schemas.openxmlformats.org/officeDocument/2006/relationships/hyperlink" Target="https://storage.googleapis.com/glide-prod.appspot.com/uploads-v2/ly7o78grxPaC6KdgvbpS/pub/3aRdSog0vUtuqPE8AJKD.png" TargetMode="External"/><Relationship Id="rId127" Type="http://schemas.openxmlformats.org/officeDocument/2006/relationships/hyperlink" Target="https://storage.googleapis.com/glide-prod.appspot.com/uploads-v2/ly7o78grxPaC6KdgvbpS/pub/UliJWgpEaBovaFmXi6OW.png" TargetMode="External"/><Relationship Id="rId681" Type="http://schemas.openxmlformats.org/officeDocument/2006/relationships/hyperlink" Target="https://storage.googleapis.com/glide-prod.appspot.com/uploads-v2/ly7o78grxPaC6KdgvbpS/pub/3aRdSog0vUtuqPE8AJKD.png" TargetMode="External"/><Relationship Id="rId779" Type="http://schemas.openxmlformats.org/officeDocument/2006/relationships/hyperlink" Target="https://storage.googleapis.com/glide-prod.appspot.com/uploads-v2/ly7o78grxPaC6KdgvbpS/pub/3aRdSog0vUtuqPE8AJKD.png" TargetMode="External"/><Relationship Id="rId986" Type="http://schemas.openxmlformats.org/officeDocument/2006/relationships/hyperlink" Target="https://storage.googleapis.com/glide-prod.appspot.com/uploads-v2/ly7o78grxPaC6KdgvbpS/pub/3aRdSog0vUtuqPE8AJKD.png" TargetMode="External"/><Relationship Id="rId334" Type="http://schemas.openxmlformats.org/officeDocument/2006/relationships/hyperlink" Target="https://storage.googleapis.com/glide-prod.appspot.com/uploads-v2/ly7o78grxPaC6KdgvbpS/pub/3aRdSog0vUtuqPE8AJKD.png" TargetMode="External"/><Relationship Id="rId541" Type="http://schemas.openxmlformats.org/officeDocument/2006/relationships/hyperlink" Target="https://storage.googleapis.com/glide-prod.appspot.com/uploads-v2/ly7o78grxPaC6KdgvbpS/pub/3aRdSog0vUtuqPE8AJKD.png" TargetMode="External"/><Relationship Id="rId639" Type="http://schemas.openxmlformats.org/officeDocument/2006/relationships/hyperlink" Target="https://storage.googleapis.com/glide-prod.appspot.com/uploads-v2/ly7o78grxPaC6KdgvbpS/pub/3aRdSog0vUtuqPE8AJKD.png" TargetMode="External"/><Relationship Id="rId1171" Type="http://schemas.openxmlformats.org/officeDocument/2006/relationships/hyperlink" Target="https://storage.googleapis.com/glide-prod.appspot.com/uploads-v2/ly7o78grxPaC6KdgvbpS/pub/3aRdSog0vUtuqPE8AJKD.png" TargetMode="External"/><Relationship Id="rId1269" Type="http://schemas.openxmlformats.org/officeDocument/2006/relationships/hyperlink" Target="https://storage.googleapis.com/glide-prod.appspot.com/uploads-v2/ly7o78grxPaC6KdgvbpS/pub/3aRdSog0vUtuqPE8AJKD.png" TargetMode="External"/><Relationship Id="rId1476" Type="http://schemas.openxmlformats.org/officeDocument/2006/relationships/hyperlink" Target="https://storage.googleapis.com/glide-prod.appspot.com/uploads-v2/ly7o78grxPaC6KdgvbpS/pub/3aRdSog0vUtuqPE8AJKD.png" TargetMode="External"/><Relationship Id="rId401" Type="http://schemas.openxmlformats.org/officeDocument/2006/relationships/hyperlink" Target="https://storage.googleapis.com/glide-prod.appspot.com/uploads-v2/ly7o78grxPaC6KdgvbpS/pub/3aRdSog0vUtuqPE8AJKD.png" TargetMode="External"/><Relationship Id="rId846" Type="http://schemas.openxmlformats.org/officeDocument/2006/relationships/hyperlink" Target="https://storage.googleapis.com/glide-prod.appspot.com/uploads-v2/ly7o78grxPaC6KdgvbpS/pub/3aRdSog0vUtuqPE8AJKD.png" TargetMode="External"/><Relationship Id="rId1031" Type="http://schemas.openxmlformats.org/officeDocument/2006/relationships/hyperlink" Target="https://storage.googleapis.com/glide-prod.appspot.com/uploads-v2/ly7o78grxPaC6KdgvbpS/pub/3aRdSog0vUtuqPE8AJKD.png" TargetMode="External"/><Relationship Id="rId1129" Type="http://schemas.openxmlformats.org/officeDocument/2006/relationships/hyperlink" Target="https://storage.googleapis.com/glide-prod.appspot.com/uploads-v2/ly7o78grxPaC6KdgvbpS/pub/3aRdSog0vUtuqPE8AJKD.png" TargetMode="External"/><Relationship Id="rId706" Type="http://schemas.openxmlformats.org/officeDocument/2006/relationships/hyperlink" Target="https://storage.googleapis.com/glide-prod.appspot.com/uploads-v2/ly7o78grxPaC6KdgvbpS/pub/3aRdSog0vUtuqPE8AJKD.png" TargetMode="External"/><Relationship Id="rId913" Type="http://schemas.openxmlformats.org/officeDocument/2006/relationships/hyperlink" Target="https://storage.googleapis.com/glide-prod.appspot.com/uploads-v2/ly7o78grxPaC6KdgvbpS/pub/3aRdSog0vUtuqPE8AJKD.png" TargetMode="External"/><Relationship Id="rId1336" Type="http://schemas.openxmlformats.org/officeDocument/2006/relationships/hyperlink" Target="https://storage.googleapis.com/glide-prod.appspot.com/uploads-v2/ly7o78grxPaC6KdgvbpS/pub/3aRdSog0vUtuqPE8AJKD.png" TargetMode="External"/><Relationship Id="rId1543" Type="http://schemas.openxmlformats.org/officeDocument/2006/relationships/hyperlink" Target="https://storage.googleapis.com/glide-prod.appspot.com/uploads-v2/ly7o78grxPaC6KdgvbpS/pub/3aRdSog0vUtuqPE8AJKD.png" TargetMode="External"/><Relationship Id="rId42" Type="http://schemas.openxmlformats.org/officeDocument/2006/relationships/hyperlink" Target="https://storage.googleapis.com/glide-prod.appspot.com/uploads-v2/ly7o78grxPaC6KdgvbpS/pub/3aRdSog0vUtuqPE8AJKD.png" TargetMode="External"/><Relationship Id="rId1403" Type="http://schemas.openxmlformats.org/officeDocument/2006/relationships/hyperlink" Target="https://storage.googleapis.com/glide-prod.appspot.com/uploads-v2/ly7o78grxPaC6KdgvbpS/pub/3aRdSog0vUtuqPE8AJKD.png" TargetMode="External"/><Relationship Id="rId1610" Type="http://schemas.openxmlformats.org/officeDocument/2006/relationships/hyperlink" Target="https://storage.googleapis.com/glide-prod.appspot.com/uploads-v2/ly7o78grxPaC6KdgvbpS/pub/3aRdSog0vUtuqPE8AJKD.png" TargetMode="External"/><Relationship Id="rId191" Type="http://schemas.openxmlformats.org/officeDocument/2006/relationships/hyperlink" Target="https://storage.googleapis.com/glide-prod.appspot.com/uploads-v2/ly7o78grxPaC6KdgvbpS/pub/3aRdSog0vUtuqPE8AJKD.png" TargetMode="External"/><Relationship Id="rId289" Type="http://schemas.openxmlformats.org/officeDocument/2006/relationships/hyperlink" Target="https://storage.googleapis.com/glide-prod.appspot.com/uploads-v2/ly7o78grxPaC6KdgvbpS/pub/3aRdSog0vUtuqPE8AJKD.png" TargetMode="External"/><Relationship Id="rId496" Type="http://schemas.openxmlformats.org/officeDocument/2006/relationships/hyperlink" Target="https://storage.googleapis.com/glide-prod.appspot.com/uploads-v2/ly7o78grxPaC6KdgvbpS/pub/3aRdSog0vUtuqPE8AJKD.png" TargetMode="External"/><Relationship Id="rId149" Type="http://schemas.openxmlformats.org/officeDocument/2006/relationships/hyperlink" Target="https://storage.googleapis.com/glide-prod.appspot.com/uploads-v2/ly7o78grxPaC6KdgvbpS/pub/3aRdSog0vUtuqPE8AJKD.png" TargetMode="External"/><Relationship Id="rId356" Type="http://schemas.openxmlformats.org/officeDocument/2006/relationships/hyperlink" Target="https://storage.googleapis.com/glide-prod.appspot.com/uploads-v2/ly7o78grxPaC6KdgvbpS/pub/3aRdSog0vUtuqPE8AJKD.png" TargetMode="External"/><Relationship Id="rId563" Type="http://schemas.openxmlformats.org/officeDocument/2006/relationships/hyperlink" Target="https://storage.googleapis.com/glide-prod.appspot.com/uploads-v2/ly7o78grxPaC6KdgvbpS/pub/3aRdSog0vUtuqPE8AJKD.png" TargetMode="External"/><Relationship Id="rId770" Type="http://schemas.openxmlformats.org/officeDocument/2006/relationships/hyperlink" Target="https://storage.googleapis.com/glide-prod.appspot.com/uploads-v2/ly7o78grxPaC6KdgvbpS/pub/3aRdSog0vUtuqPE8AJKD.png" TargetMode="External"/><Relationship Id="rId1193" Type="http://schemas.openxmlformats.org/officeDocument/2006/relationships/hyperlink" Target="https://storage.googleapis.com/glide-prod.appspot.com/uploads-v2/ly7o78grxPaC6KdgvbpS/pub/3aRdSog0vUtuqPE8AJKD.png" TargetMode="External"/><Relationship Id="rId216" Type="http://schemas.openxmlformats.org/officeDocument/2006/relationships/hyperlink" Target="https://storage.googleapis.com/glide-prod.appspot.com/uploads-v2/ly7o78grxPaC6KdgvbpS/pub/3aRdSog0vUtuqPE8AJKD.png" TargetMode="External"/><Relationship Id="rId423" Type="http://schemas.openxmlformats.org/officeDocument/2006/relationships/hyperlink" Target="https://storage.googleapis.com/glide-prod.appspot.com/uploads-v2/ly7o78grxPaC6KdgvbpS/pub/3aRdSog0vUtuqPE8AJKD.png" TargetMode="External"/><Relationship Id="rId868" Type="http://schemas.openxmlformats.org/officeDocument/2006/relationships/hyperlink" Target="https://storage.googleapis.com/glide-prod.appspot.com/uploads-v2/ly7o78grxPaC6KdgvbpS/pub/3aRdSog0vUtuqPE8AJKD.png" TargetMode="External"/><Relationship Id="rId1053" Type="http://schemas.openxmlformats.org/officeDocument/2006/relationships/hyperlink" Target="https://storage.googleapis.com/glide-prod.appspot.com/uploads-v2/ly7o78grxPaC6KdgvbpS/pub/3aRdSog0vUtuqPE8AJKD.png" TargetMode="External"/><Relationship Id="rId1260" Type="http://schemas.openxmlformats.org/officeDocument/2006/relationships/hyperlink" Target="https://storage.googleapis.com/glide-prod.appspot.com/uploads-v2/ly7o78grxPaC6KdgvbpS/pub/3aRdSog0vUtuqPE8AJKD.png" TargetMode="External"/><Relationship Id="rId1498" Type="http://schemas.openxmlformats.org/officeDocument/2006/relationships/hyperlink" Target="https://storage.googleapis.com/glide-prod.appspot.com/uploads-v2/ly7o78grxPaC6KdgvbpS/pub/3aRdSog0vUtuqPE8AJKD.png" TargetMode="External"/><Relationship Id="rId630" Type="http://schemas.openxmlformats.org/officeDocument/2006/relationships/hyperlink" Target="https://storage.googleapis.com/glide-prod.appspot.com/uploads-v2/ly7o78grxPaC6KdgvbpS/pub/3aRdSog0vUtuqPE8AJKD.png" TargetMode="External"/><Relationship Id="rId728" Type="http://schemas.openxmlformats.org/officeDocument/2006/relationships/hyperlink" Target="https://storage.googleapis.com/glide-prod.appspot.com/uploads-v2/ly7o78grxPaC6KdgvbpS/pub/3aRdSog0vUtuqPE8AJKD.png" TargetMode="External"/><Relationship Id="rId935" Type="http://schemas.openxmlformats.org/officeDocument/2006/relationships/hyperlink" Target="https://storage.googleapis.com/glide-prod.appspot.com/uploads-v2/ly7o78grxPaC6KdgvbpS/pub/3aRdSog0vUtuqPE8AJKD.png" TargetMode="External"/><Relationship Id="rId1358" Type="http://schemas.openxmlformats.org/officeDocument/2006/relationships/hyperlink" Target="https://storage.googleapis.com/glide-prod.appspot.com/uploads-v2/ly7o78grxPaC6KdgvbpS/pub/3aRdSog0vUtuqPE8AJKD.png" TargetMode="External"/><Relationship Id="rId1565" Type="http://schemas.openxmlformats.org/officeDocument/2006/relationships/hyperlink" Target="https://storage.googleapis.com/glide-prod.appspot.com/uploads-v2/ly7o78grxPaC6KdgvbpS/pub/3aRdSog0vUtuqPE8AJKD.png" TargetMode="External"/><Relationship Id="rId64" Type="http://schemas.openxmlformats.org/officeDocument/2006/relationships/hyperlink" Target="https://storage.googleapis.com/glide-prod.appspot.com/uploads-v2/ly7o78grxPaC6KdgvbpS/pub/3aRdSog0vUtuqPE8AJKD.png" TargetMode="External"/><Relationship Id="rId1120" Type="http://schemas.openxmlformats.org/officeDocument/2006/relationships/hyperlink" Target="https://storage.googleapis.com/glide-prod.appspot.com/uploads-v2/ly7o78grxPaC6KdgvbpS/pub/FsF8sDkiGVVFARvSy8tg.jpg" TargetMode="External"/><Relationship Id="rId1218" Type="http://schemas.openxmlformats.org/officeDocument/2006/relationships/hyperlink" Target="https://storage.googleapis.com/glide-prod.appspot.com/uploads-v2/ly7o78grxPaC6KdgvbpS/pub/UliJWgpEaBovaFmXi6OW.png" TargetMode="External"/><Relationship Id="rId1425" Type="http://schemas.openxmlformats.org/officeDocument/2006/relationships/hyperlink" Target="https://storage.googleapis.com/glide-prod.appspot.com/uploads-v2/ly7o78grxPaC6KdgvbpS/pub/3aRdSog0vUtuqPE8AJKD.png" TargetMode="External"/><Relationship Id="rId280" Type="http://schemas.openxmlformats.org/officeDocument/2006/relationships/hyperlink" Target="https://storage.googleapis.com/glide-prod.appspot.com/uploads-v2/ly7o78grxPaC6KdgvbpS/pub/3aRdSog0vUtuqPE8AJKD.png" TargetMode="External"/><Relationship Id="rId140" Type="http://schemas.openxmlformats.org/officeDocument/2006/relationships/hyperlink" Target="https://storage.googleapis.com/glide-prod.appspot.com/uploads-v2/ly7o78grxPaC6KdgvbpS/pub/3aRdSog0vUtuqPE8AJKD.png" TargetMode="External"/><Relationship Id="rId378" Type="http://schemas.openxmlformats.org/officeDocument/2006/relationships/hyperlink" Target="https://storage.googleapis.com/glide-prod.appspot.com/uploads-v2/ly7o78grxPaC6KdgvbpS/pub/3aRdSog0vUtuqPE8AJKD.png" TargetMode="External"/><Relationship Id="rId585" Type="http://schemas.openxmlformats.org/officeDocument/2006/relationships/hyperlink" Target="https://storage.googleapis.com/glide-prod.appspot.com/uploads-v2/ly7o78grxPaC6KdgvbpS/pub/3aRdSog0vUtuqPE8AJKD.png" TargetMode="External"/><Relationship Id="rId792" Type="http://schemas.openxmlformats.org/officeDocument/2006/relationships/hyperlink" Target="https://storage.googleapis.com/glide-prod.appspot.com/uploads-v2/ly7o78grxPaC6KdgvbpS/pub/3aRdSog0vUtuqPE8AJKD.png" TargetMode="External"/><Relationship Id="rId6" Type="http://schemas.openxmlformats.org/officeDocument/2006/relationships/hyperlink" Target="https://storage.googleapis.com/glide-prod.appspot.com/uploads-v2/ly7o78grxPaC6KdgvbpS/pub/E0K5D7IyaBJkOmUKulLb.jpg" TargetMode="External"/><Relationship Id="rId238" Type="http://schemas.openxmlformats.org/officeDocument/2006/relationships/hyperlink" Target="https://storage.googleapis.com/glide-prod.appspot.com/uploads-v2/ly7o78grxPaC6KdgvbpS/pub/3aRdSog0vUtuqPE8AJKD.png" TargetMode="External"/><Relationship Id="rId445" Type="http://schemas.openxmlformats.org/officeDocument/2006/relationships/hyperlink" Target="https://storage.googleapis.com/glide-prod.appspot.com/uploads-v2/ly7o78grxPaC6KdgvbpS/pub/3aRdSog0vUtuqPE8AJKD.png" TargetMode="External"/><Relationship Id="rId652" Type="http://schemas.openxmlformats.org/officeDocument/2006/relationships/hyperlink" Target="https://storage.googleapis.com/glide-prod.appspot.com/uploads-v2/ly7o78grxPaC6KdgvbpS/pub/3aRdSog0vUtuqPE8AJKD.png" TargetMode="External"/><Relationship Id="rId1075" Type="http://schemas.openxmlformats.org/officeDocument/2006/relationships/hyperlink" Target="https://storage.googleapis.com/glide-prod.appspot.com/uploads-v2/ly7o78grxPaC6KdgvbpS/pub/3aRdSog0vUtuqPE8AJKD.png" TargetMode="External"/><Relationship Id="rId1282" Type="http://schemas.openxmlformats.org/officeDocument/2006/relationships/hyperlink" Target="https://storage.googleapis.com/glide-prod.appspot.com/uploads-v2/ly7o78grxPaC6KdgvbpS/pub/3aRdSog0vUtuqPE8AJKD.png" TargetMode="External"/><Relationship Id="rId305" Type="http://schemas.openxmlformats.org/officeDocument/2006/relationships/hyperlink" Target="https://storage.googleapis.com/glide-prod.appspot.com/uploads-v2/ly7o78grxPaC6KdgvbpS/pub/3aRdSog0vUtuqPE8AJKD.png" TargetMode="External"/><Relationship Id="rId512" Type="http://schemas.openxmlformats.org/officeDocument/2006/relationships/hyperlink" Target="https://storage.googleapis.com/glide-prod.appspot.com/uploads-v2/ly7o78grxPaC6KdgvbpS/pub/3aRdSog0vUtuqPE8AJKD.png" TargetMode="External"/><Relationship Id="rId957" Type="http://schemas.openxmlformats.org/officeDocument/2006/relationships/hyperlink" Target="https://storage.googleapis.com/glide-prod.appspot.com/uploads-v2/ly7o78grxPaC6KdgvbpS/pub/zG7sasJ6lEj8PlqyK91B.jpg" TargetMode="External"/><Relationship Id="rId1142" Type="http://schemas.openxmlformats.org/officeDocument/2006/relationships/hyperlink" Target="https://storage.googleapis.com/glide-prod.appspot.com/uploads-v2/ly7o78grxPaC6KdgvbpS/pub/3aRdSog0vUtuqPE8AJKD.png" TargetMode="External"/><Relationship Id="rId1587" Type="http://schemas.openxmlformats.org/officeDocument/2006/relationships/hyperlink" Target="https://storage.googleapis.com/glide-prod.appspot.com/uploads-v2/ly7o78grxPaC6KdgvbpS/pub/3aRdSog0vUtuqPE8AJKD.png" TargetMode="External"/><Relationship Id="rId86" Type="http://schemas.openxmlformats.org/officeDocument/2006/relationships/hyperlink" Target="https://storage.googleapis.com/glide-prod.appspot.com/uploads-v2/ly7o78grxPaC6KdgvbpS/pub/3aRdSog0vUtuqPE8AJKD.png" TargetMode="External"/><Relationship Id="rId817" Type="http://schemas.openxmlformats.org/officeDocument/2006/relationships/hyperlink" Target="https://storage.googleapis.com/glide-prod.appspot.com/uploads-v2/ly7o78grxPaC6KdgvbpS/pub/3aRdSog0vUtuqPE8AJKD.png" TargetMode="External"/><Relationship Id="rId1002" Type="http://schemas.openxmlformats.org/officeDocument/2006/relationships/hyperlink" Target="https://storage.googleapis.com/glide-prod.appspot.com/uploads-v2/ly7o78grxPaC6KdgvbpS/pub/3aRdSog0vUtuqPE8AJKD.png" TargetMode="External"/><Relationship Id="rId1447" Type="http://schemas.openxmlformats.org/officeDocument/2006/relationships/hyperlink" Target="https://storage.googleapis.com/glide-prod.appspot.com/uploads-v2/ly7o78grxPaC6KdgvbpS/pub/3aRdSog0vUtuqPE8AJKD.png" TargetMode="External"/><Relationship Id="rId1307" Type="http://schemas.openxmlformats.org/officeDocument/2006/relationships/hyperlink" Target="https://storage.googleapis.com/glide-prod.appspot.com/uploads-v2/ly7o78grxPaC6KdgvbpS/pub/3aRdSog0vUtuqPE8AJKD.png" TargetMode="External"/><Relationship Id="rId1514" Type="http://schemas.openxmlformats.org/officeDocument/2006/relationships/hyperlink" Target="https://storage.googleapis.com/glide-prod.appspot.com/uploads-v2/ly7o78grxPaC6KdgvbpS/pub/3aRdSog0vUtuqPE8AJKD.png" TargetMode="External"/><Relationship Id="rId13" Type="http://schemas.openxmlformats.org/officeDocument/2006/relationships/hyperlink" Target="https://storage.googleapis.com/glide-prod.appspot.com/uploads-v2/ly7o78grxPaC6KdgvbpS/pub/3aRdSog0vUtuqPE8AJKD.png" TargetMode="External"/><Relationship Id="rId162" Type="http://schemas.openxmlformats.org/officeDocument/2006/relationships/hyperlink" Target="https://storage.googleapis.com/glide-prod.appspot.com/uploads-v2/ly7o78grxPaC6KdgvbpS/pub/3aRdSog0vUtuqPE8AJKD.png" TargetMode="External"/><Relationship Id="rId467" Type="http://schemas.openxmlformats.org/officeDocument/2006/relationships/hyperlink" Target="https://storage.googleapis.com/glide-prod.appspot.com/uploads-v2/ly7o78grxPaC6KdgvbpS/pub/3aRdSog0vUtuqPE8AJKD.png" TargetMode="External"/><Relationship Id="rId1097" Type="http://schemas.openxmlformats.org/officeDocument/2006/relationships/hyperlink" Target="https://storage.googleapis.com/glide-prod.appspot.com/uploads-v2/ly7o78grxPaC6KdgvbpS/pub/3aRdSog0vUtuqPE8AJKD.png" TargetMode="External"/><Relationship Id="rId674" Type="http://schemas.openxmlformats.org/officeDocument/2006/relationships/hyperlink" Target="https://storage.googleapis.com/glide-prod.appspot.com/uploads-v2/ly7o78grxPaC6KdgvbpS/pub/3aRdSog0vUtuqPE8AJKD.png" TargetMode="External"/><Relationship Id="rId881" Type="http://schemas.openxmlformats.org/officeDocument/2006/relationships/hyperlink" Target="https://storage.googleapis.com/glide-prod.appspot.com/uploads-v2/ly7o78grxPaC6KdgvbpS/pub/3aRdSog0vUtuqPE8AJKD.png" TargetMode="External"/><Relationship Id="rId979" Type="http://schemas.openxmlformats.org/officeDocument/2006/relationships/hyperlink" Target="https://storage.googleapis.com/glide-prod.appspot.com/uploads-v2/ly7o78grxPaC6KdgvbpS/pub/3aRdSog0vUtuqPE8AJKD.png" TargetMode="External"/><Relationship Id="rId327" Type="http://schemas.openxmlformats.org/officeDocument/2006/relationships/hyperlink" Target="https://storage.googleapis.com/glide-prod.appspot.com/uploads-v2/ly7o78grxPaC6KdgvbpS/pub/3aRdSog0vUtuqPE8AJKD.png" TargetMode="External"/><Relationship Id="rId534" Type="http://schemas.openxmlformats.org/officeDocument/2006/relationships/hyperlink" Target="https://storage.googleapis.com/glide-prod.appspot.com/uploads-v2/ly7o78grxPaC6KdgvbpS/pub/3aRdSog0vUtuqPE8AJKD.png" TargetMode="External"/><Relationship Id="rId741" Type="http://schemas.openxmlformats.org/officeDocument/2006/relationships/hyperlink" Target="https://storage.googleapis.com/glide-prod.appspot.com/uploads-v2/ly7o78grxPaC6KdgvbpS/pub/3aRdSog0vUtuqPE8AJKD.png" TargetMode="External"/><Relationship Id="rId839" Type="http://schemas.openxmlformats.org/officeDocument/2006/relationships/hyperlink" Target="https://storage.googleapis.com/glide-prod.appspot.com/uploads-v2/ly7o78grxPaC6KdgvbpS/pub/3aRdSog0vUtuqPE8AJKD.png" TargetMode="External"/><Relationship Id="rId1164" Type="http://schemas.openxmlformats.org/officeDocument/2006/relationships/hyperlink" Target="https://storage.googleapis.com/glide-prod.appspot.com/uploads-v2/ly7o78grxPaC6KdgvbpS/pub/3aRdSog0vUtuqPE8AJKD.png" TargetMode="External"/><Relationship Id="rId1371" Type="http://schemas.openxmlformats.org/officeDocument/2006/relationships/hyperlink" Target="https://storage.googleapis.com/glide-prod.appspot.com/uploads-v2/ly7o78grxPaC6KdgvbpS/pub/3aRdSog0vUtuqPE8AJKD.png" TargetMode="External"/><Relationship Id="rId1469" Type="http://schemas.openxmlformats.org/officeDocument/2006/relationships/hyperlink" Target="https://storage.googleapis.com/glide-prod.appspot.com/uploads-v2/ly7o78grxPaC6KdgvbpS/pub/3aRdSog0vUtuqPE8AJKD.png" TargetMode="External"/><Relationship Id="rId601" Type="http://schemas.openxmlformats.org/officeDocument/2006/relationships/hyperlink" Target="https://storage.googleapis.com/glide-prod.appspot.com/uploads-v2/ly7o78grxPaC6KdgvbpS/pub/3aRdSog0vUtuqPE8AJKD.png" TargetMode="External"/><Relationship Id="rId1024" Type="http://schemas.openxmlformats.org/officeDocument/2006/relationships/hyperlink" Target="https://storage.googleapis.com/glide-prod.appspot.com/uploads-v2/ly7o78grxPaC6KdgvbpS/pub/3aRdSog0vUtuqPE8AJKD.png" TargetMode="External"/><Relationship Id="rId1231" Type="http://schemas.openxmlformats.org/officeDocument/2006/relationships/hyperlink" Target="https://storage.googleapis.com/glide-prod.appspot.com/uploads-v2/ly7o78grxPaC6KdgvbpS/pub/3aRdSog0vUtuqPE8AJKD.png" TargetMode="External"/><Relationship Id="rId906" Type="http://schemas.openxmlformats.org/officeDocument/2006/relationships/hyperlink" Target="https://storage.googleapis.com/glide-prod.appspot.com/uploads-v2/ly7o78grxPaC6KdgvbpS/pub/3aRdSog0vUtuqPE8AJKD.png" TargetMode="External"/><Relationship Id="rId1329" Type="http://schemas.openxmlformats.org/officeDocument/2006/relationships/hyperlink" Target="https://storage.googleapis.com/glide-prod.appspot.com/uploads-v2/ly7o78grxPaC6KdgvbpS/pub/3aRdSog0vUtuqPE8AJKD.png" TargetMode="External"/><Relationship Id="rId1536" Type="http://schemas.openxmlformats.org/officeDocument/2006/relationships/hyperlink" Target="https://storage.googleapis.com/glide-prod.appspot.com/uploads-v2/ly7o78grxPaC6KdgvbpS/pub/3aRdSog0vUtuqPE8AJKD.png" TargetMode="External"/><Relationship Id="rId35" Type="http://schemas.openxmlformats.org/officeDocument/2006/relationships/hyperlink" Target="https://storage.googleapis.com/glide-prod.appspot.com/uploads-v2/ly7o78grxPaC6KdgvbpS/pub/3aRdSog0vUtuqPE8AJKD.png" TargetMode="External"/><Relationship Id="rId1603" Type="http://schemas.openxmlformats.org/officeDocument/2006/relationships/hyperlink" Target="https://storage.googleapis.com/glide-prod.appspot.com/uploads-v2/ly7o78grxPaC6KdgvbpS/pub/3aRdSog0vUtuqPE8AJKD.png" TargetMode="External"/><Relationship Id="rId184" Type="http://schemas.openxmlformats.org/officeDocument/2006/relationships/hyperlink" Target="https://storage.googleapis.com/glide-prod.appspot.com/uploads-v2/ly7o78grxPaC6KdgvbpS/pub/3aRdSog0vUtuqPE8AJKD.png" TargetMode="External"/><Relationship Id="rId391" Type="http://schemas.openxmlformats.org/officeDocument/2006/relationships/hyperlink" Target="https://storage.googleapis.com/glide-prod.appspot.com/uploads-v2/ly7o78grxPaC6KdgvbpS/pub/3aRdSog0vUtuqPE8AJKD.png" TargetMode="External"/><Relationship Id="rId251" Type="http://schemas.openxmlformats.org/officeDocument/2006/relationships/hyperlink" Target="https://storage.googleapis.com/glide-prod.appspot.com/uploads-v2/ly7o78grxPaC6KdgvbpS/pub/3aRdSog0vUtuqPE8AJKD.png" TargetMode="External"/><Relationship Id="rId489" Type="http://schemas.openxmlformats.org/officeDocument/2006/relationships/hyperlink" Target="https://storage.googleapis.com/glide-prod.appspot.com/uploads-v2/ly7o78grxPaC6KdgvbpS/pub/3aRdSog0vUtuqPE8AJKD.png" TargetMode="External"/><Relationship Id="rId696" Type="http://schemas.openxmlformats.org/officeDocument/2006/relationships/hyperlink" Target="https://storage.googleapis.com/glide-prod.appspot.com/uploads-v2/ly7o78grxPaC6KdgvbpS/pub/3aRdSog0vUtuqPE8AJKD.png" TargetMode="External"/><Relationship Id="rId349" Type="http://schemas.openxmlformats.org/officeDocument/2006/relationships/hyperlink" Target="https://storage.googleapis.com/glide-prod.appspot.com/uploads-v2/ly7o78grxPaC6KdgvbpS/pub/3aRdSog0vUtuqPE8AJKD.png" TargetMode="External"/><Relationship Id="rId556" Type="http://schemas.openxmlformats.org/officeDocument/2006/relationships/hyperlink" Target="https://storage.googleapis.com/glide-prod.appspot.com/uploads-v2/ly7o78grxPaC6KdgvbpS/pub/3aRdSog0vUtuqPE8AJKD.png" TargetMode="External"/><Relationship Id="rId763" Type="http://schemas.openxmlformats.org/officeDocument/2006/relationships/hyperlink" Target="https://storage.googleapis.com/glide-prod.appspot.com/uploads-v2/ly7o78grxPaC6KdgvbpS/pub/3aRdSog0vUtuqPE8AJKD.png" TargetMode="External"/><Relationship Id="rId1186" Type="http://schemas.openxmlformats.org/officeDocument/2006/relationships/hyperlink" Target="https://storage.googleapis.com/glide-prod.appspot.com/uploads-v2/ly7o78grxPaC6KdgvbpS/pub/3aRdSog0vUtuqPE8AJKD.png" TargetMode="External"/><Relationship Id="rId1393" Type="http://schemas.openxmlformats.org/officeDocument/2006/relationships/hyperlink" Target="https://storage.googleapis.com/glide-prod.appspot.com/uploads-v2/ly7o78grxPaC6KdgvbpS/pub/3aRdSog0vUtuqPE8AJKD.png" TargetMode="External"/><Relationship Id="rId111" Type="http://schemas.openxmlformats.org/officeDocument/2006/relationships/hyperlink" Target="https://storage.googleapis.com/glide-prod.appspot.com/uploads-v2/ly7o78grxPaC6KdgvbpS/pub/3Wv92uDKzakxIx4dkezS.jpg" TargetMode="External"/><Relationship Id="rId209" Type="http://schemas.openxmlformats.org/officeDocument/2006/relationships/hyperlink" Target="https://storage.googleapis.com/glide-prod.appspot.com/uploads-v2/ly7o78grxPaC6KdgvbpS/pub/3aRdSog0vUtuqPE8AJKD.png" TargetMode="External"/><Relationship Id="rId416" Type="http://schemas.openxmlformats.org/officeDocument/2006/relationships/hyperlink" Target="https://storage.googleapis.com/glide-prod.appspot.com/uploads-v2/ly7o78grxPaC6KdgvbpS/pub/3aRdSog0vUtuqPE8AJKD.png" TargetMode="External"/><Relationship Id="rId970" Type="http://schemas.openxmlformats.org/officeDocument/2006/relationships/hyperlink" Target="https://storage.googleapis.com/glide-prod.appspot.com/uploads-v2/ly7o78grxPaC6KdgvbpS/pub/3aRdSog0vUtuqPE8AJKD.png" TargetMode="External"/><Relationship Id="rId1046" Type="http://schemas.openxmlformats.org/officeDocument/2006/relationships/hyperlink" Target="https://storage.googleapis.com/glide-prod.appspot.com/uploads-v2/ly7o78grxPaC6KdgvbpS/pub/3aRdSog0vUtuqPE8AJKD.png" TargetMode="External"/><Relationship Id="rId1253" Type="http://schemas.openxmlformats.org/officeDocument/2006/relationships/hyperlink" Target="https://storage.googleapis.com/glide-prod.appspot.com/uploads-v2/ly7o78grxPaC6KdgvbpS/pub/UliJWgpEaBovaFmXi6OW.png" TargetMode="External"/><Relationship Id="rId623" Type="http://schemas.openxmlformats.org/officeDocument/2006/relationships/hyperlink" Target="https://storage.googleapis.com/glide-prod.appspot.com/uploads-v2/ly7o78grxPaC6KdgvbpS/pub/3aRdSog0vUtuqPE8AJKD.png" TargetMode="External"/><Relationship Id="rId830" Type="http://schemas.openxmlformats.org/officeDocument/2006/relationships/hyperlink" Target="https://storage.googleapis.com/glide-prod.appspot.com/uploads-v2/ly7o78grxPaC6KdgvbpS/pub/3aRdSog0vUtuqPE8AJKD.png" TargetMode="External"/><Relationship Id="rId928" Type="http://schemas.openxmlformats.org/officeDocument/2006/relationships/hyperlink" Target="https://storage.googleapis.com/glide-prod.appspot.com/uploads-v2/ly7o78grxPaC6KdgvbpS/pub/3aRdSog0vUtuqPE8AJKD.png" TargetMode="External"/><Relationship Id="rId1460" Type="http://schemas.openxmlformats.org/officeDocument/2006/relationships/hyperlink" Target="https://storage.googleapis.com/glide-prod.appspot.com/uploads-v2/ly7o78grxPaC6KdgvbpS/pub/3aRdSog0vUtuqPE8AJKD.png" TargetMode="External"/><Relationship Id="rId1558" Type="http://schemas.openxmlformats.org/officeDocument/2006/relationships/hyperlink" Target="https://storage.googleapis.com/glide-prod.appspot.com/uploads-v2/ly7o78grxPaC6KdgvbpS/pub/UliJWgpEaBovaFmXi6OW.png" TargetMode="External"/><Relationship Id="rId57" Type="http://schemas.openxmlformats.org/officeDocument/2006/relationships/hyperlink" Target="https://storage.googleapis.com/glide-prod.appspot.com/uploads-v2/ly7o78grxPaC6KdgvbpS/pub/3aRdSog0vUtuqPE8AJKD.png" TargetMode="External"/><Relationship Id="rId1113" Type="http://schemas.openxmlformats.org/officeDocument/2006/relationships/hyperlink" Target="https://storage.googleapis.com/glide-prod.appspot.com/uploads-v2/ly7o78grxPaC6KdgvbpS/pub/3aRdSog0vUtuqPE8AJKD.png" TargetMode="External"/><Relationship Id="rId1320" Type="http://schemas.openxmlformats.org/officeDocument/2006/relationships/hyperlink" Target="https://storage.googleapis.com/glide-prod.appspot.com/uploads-v2/ly7o78grxPaC6KdgvbpS/pub/3aRdSog0vUtuqPE8AJKD.png" TargetMode="External"/><Relationship Id="rId1418" Type="http://schemas.openxmlformats.org/officeDocument/2006/relationships/hyperlink" Target="https://storage.googleapis.com/glide-prod.appspot.com/uploads-v2/ly7o78grxPaC6KdgvbpS/pub/3aRdSog0vUtuqPE8AJKD.png" TargetMode="External"/><Relationship Id="rId273" Type="http://schemas.openxmlformats.org/officeDocument/2006/relationships/hyperlink" Target="https://storage.googleapis.com/glide-prod.appspot.com/uploads-v2/ly7o78grxPaC6KdgvbpS/pub/3aRdSog0vUtuqPE8AJKD.png" TargetMode="External"/><Relationship Id="rId480" Type="http://schemas.openxmlformats.org/officeDocument/2006/relationships/hyperlink" Target="https://storage.googleapis.com/glide-prod.appspot.com/uploads-v2/ly7o78grxPaC6KdgvbpS/pub/3aRdSog0vUtuqPE8AJKD.png" TargetMode="External"/><Relationship Id="rId133" Type="http://schemas.openxmlformats.org/officeDocument/2006/relationships/hyperlink" Target="https://storage.googleapis.com/glide-prod.appspot.com/uploads-v2/ly7o78grxPaC6KdgvbpS/pub/G05ExEhlWW70wrJ3I6kc/17031959843131872404411191841789.jpg" TargetMode="External"/><Relationship Id="rId340" Type="http://schemas.openxmlformats.org/officeDocument/2006/relationships/hyperlink" Target="https://storage.googleapis.com/glide-prod.appspot.com/uploads-v2/ly7o78grxPaC6KdgvbpS/pub/3aRdSog0vUtuqPE8AJKD.png" TargetMode="External"/><Relationship Id="rId578" Type="http://schemas.openxmlformats.org/officeDocument/2006/relationships/hyperlink" Target="https://storage.googleapis.com/glide-prod.appspot.com/uploads-v2/ly7o78grxPaC6KdgvbpS/pub/3aRdSog0vUtuqPE8AJKD.png" TargetMode="External"/><Relationship Id="rId785" Type="http://schemas.openxmlformats.org/officeDocument/2006/relationships/hyperlink" Target="https://storage.googleapis.com/glide-prod.appspot.com/uploads-v2/ly7o78grxPaC6KdgvbpS/pub/3aRdSog0vUtuqPE8AJKD.png" TargetMode="External"/><Relationship Id="rId992" Type="http://schemas.openxmlformats.org/officeDocument/2006/relationships/hyperlink" Target="https://storage.googleapis.com/glide-prod.appspot.com/uploads-v2/ly7o78grxPaC6KdgvbpS/pub/3aRdSog0vUtuqPE8AJKD.png" TargetMode="External"/><Relationship Id="rId200" Type="http://schemas.openxmlformats.org/officeDocument/2006/relationships/hyperlink" Target="https://storage.googleapis.com/glide-prod.appspot.com/uploads-v2/ly7o78grxPaC6KdgvbpS/pub/3aRdSog0vUtuqPE8AJKD.png" TargetMode="External"/><Relationship Id="rId438" Type="http://schemas.openxmlformats.org/officeDocument/2006/relationships/hyperlink" Target="https://storage.googleapis.com/glide-prod.appspot.com/uploads-v2/ly7o78grxPaC6KdgvbpS/pub/3aRdSog0vUtuqPE8AJKD.png" TargetMode="External"/><Relationship Id="rId645" Type="http://schemas.openxmlformats.org/officeDocument/2006/relationships/hyperlink" Target="https://storage.googleapis.com/glide-prod.appspot.com/uploads-v2/ly7o78grxPaC6KdgvbpS/pub/3aRdSog0vUtuqPE8AJKD.png" TargetMode="External"/><Relationship Id="rId852" Type="http://schemas.openxmlformats.org/officeDocument/2006/relationships/hyperlink" Target="https://storage.googleapis.com/glide-prod.appspot.com/uploads-v2/ly7o78grxPaC6KdgvbpS/pub/3aRdSog0vUtuqPE8AJKD.png" TargetMode="External"/><Relationship Id="rId1068" Type="http://schemas.openxmlformats.org/officeDocument/2006/relationships/hyperlink" Target="https://storage.googleapis.com/glide-prod.appspot.com/uploads-v2/ly7o78grxPaC6KdgvbpS/pub/3aRdSog0vUtuqPE8AJKD.png" TargetMode="External"/><Relationship Id="rId1275" Type="http://schemas.openxmlformats.org/officeDocument/2006/relationships/hyperlink" Target="https://storage.googleapis.com/glide-prod.appspot.com/uploads-v2/ly7o78grxPaC6KdgvbpS/pub/3aRdSog0vUtuqPE8AJKD.png" TargetMode="External"/><Relationship Id="rId1482" Type="http://schemas.openxmlformats.org/officeDocument/2006/relationships/hyperlink" Target="https://storage.googleapis.com/glide-prod.appspot.com/uploads-v2/ly7o78grxPaC6KdgvbpS/pub/3aRdSog0vUtuqPE8AJKD.png" TargetMode="External"/><Relationship Id="rId505" Type="http://schemas.openxmlformats.org/officeDocument/2006/relationships/hyperlink" Target="https://storage.googleapis.com/glide-prod.appspot.com/uploads-v2/ly7o78grxPaC6KdgvbpS/pub/UliJWgpEaBovaFmXi6OW.png" TargetMode="External"/><Relationship Id="rId712" Type="http://schemas.openxmlformats.org/officeDocument/2006/relationships/hyperlink" Target="https://storage.googleapis.com/glide-prod.appspot.com/uploads-v2/ly7o78grxPaC6KdgvbpS/pub/3aRdSog0vUtuqPE8AJKD.png" TargetMode="External"/><Relationship Id="rId1135" Type="http://schemas.openxmlformats.org/officeDocument/2006/relationships/hyperlink" Target="https://storage.googleapis.com/glide-prod.appspot.com/uploads-v2/ly7o78grxPaC6KdgvbpS/pub/yvtCGRAPIbS0tVLIlehH.png" TargetMode="External"/><Relationship Id="rId1342" Type="http://schemas.openxmlformats.org/officeDocument/2006/relationships/hyperlink" Target="https://storage.googleapis.com/glide-prod.appspot.com/uploads-v2/ly7o78grxPaC6KdgvbpS/pub/3aRdSog0vUtuqPE8AJKD.png" TargetMode="External"/><Relationship Id="rId79" Type="http://schemas.openxmlformats.org/officeDocument/2006/relationships/hyperlink" Target="https://storage.googleapis.com/glide-prod.appspot.com/uploads-v2/ly7o78grxPaC6KdgvbpS/pub/3aRdSog0vUtuqPE8AJKD.png" TargetMode="External"/><Relationship Id="rId1202" Type="http://schemas.openxmlformats.org/officeDocument/2006/relationships/hyperlink" Target="https://storage.googleapis.com/glide-prod.appspot.com/uploads-v2/ly7o78grxPaC6KdgvbpS/pub/3aRdSog0vUtuqPE8AJKD.png" TargetMode="External"/><Relationship Id="rId1507" Type="http://schemas.openxmlformats.org/officeDocument/2006/relationships/hyperlink" Target="https://storage.googleapis.com/glide-prod.appspot.com/uploads-v2/ly7o78grxPaC6KdgvbpS/pub/3aRdSog0vUtuqPE8AJKD.png" TargetMode="External"/><Relationship Id="rId295" Type="http://schemas.openxmlformats.org/officeDocument/2006/relationships/hyperlink" Target="https://storage.googleapis.com/glide-prod.appspot.com/uploads-v2/ly7o78grxPaC6KdgvbpS/pub/3aRdSog0vUtuqPE8AJKD.png" TargetMode="External"/><Relationship Id="rId155" Type="http://schemas.openxmlformats.org/officeDocument/2006/relationships/hyperlink" Target="https://storage.googleapis.com/glide-prod.appspot.com/uploads-v2/ly7o78grxPaC6KdgvbpS/pub/3aRdSog0vUtuqPE8AJKD.png" TargetMode="External"/><Relationship Id="rId362" Type="http://schemas.openxmlformats.org/officeDocument/2006/relationships/hyperlink" Target="https://storage.googleapis.com/glide-prod.appspot.com/uploads-v2/ly7o78grxPaC6KdgvbpS/pub/3aRdSog0vUtuqPE8AJKD.png" TargetMode="External"/><Relationship Id="rId1297" Type="http://schemas.openxmlformats.org/officeDocument/2006/relationships/hyperlink" Target="https://storage.googleapis.com/glide-prod.appspot.com/uploads-v2/ly7o78grxPaC6KdgvbpS/pub/3aRdSog0vUtuqPE8AJKD.png" TargetMode="External"/><Relationship Id="rId222" Type="http://schemas.openxmlformats.org/officeDocument/2006/relationships/hyperlink" Target="https://storage.googleapis.com/glide-prod.appspot.com/uploads-v2/ly7o78grxPaC6KdgvbpS/pub/3aRdSog0vUtuqPE8AJKD.png" TargetMode="External"/><Relationship Id="rId667" Type="http://schemas.openxmlformats.org/officeDocument/2006/relationships/hyperlink" Target="https://storage.googleapis.com/glide-prod.appspot.com/uploads-v2/ly7o78grxPaC6KdgvbpS/pub/3aRdSog0vUtuqPE8AJKD.png" TargetMode="External"/><Relationship Id="rId874" Type="http://schemas.openxmlformats.org/officeDocument/2006/relationships/hyperlink" Target="https://storage.googleapis.com/glide-prod.appspot.com/uploads-v2/ly7o78grxPaC6KdgvbpS/pub/3aRdSog0vUtuqPE8AJKD.png" TargetMode="External"/><Relationship Id="rId527" Type="http://schemas.openxmlformats.org/officeDocument/2006/relationships/hyperlink" Target="https://storage.googleapis.com/glide-prod.appspot.com/uploads-v2/ly7o78grxPaC6KdgvbpS/pub/3aRdSog0vUtuqPE8AJKD.png" TargetMode="External"/><Relationship Id="rId734" Type="http://schemas.openxmlformats.org/officeDocument/2006/relationships/hyperlink" Target="https://storage.googleapis.com/glide-prod.appspot.com/uploads-v2/ly7o78grxPaC6KdgvbpS/pub/3aRdSog0vUtuqPE8AJKD.png" TargetMode="External"/><Relationship Id="rId941" Type="http://schemas.openxmlformats.org/officeDocument/2006/relationships/hyperlink" Target="https://storage.googleapis.com/glide-prod.appspot.com/uploads-v2/ly7o78grxPaC6KdgvbpS/pub/3aRdSog0vUtuqPE8AJKD.png" TargetMode="External"/><Relationship Id="rId1157" Type="http://schemas.openxmlformats.org/officeDocument/2006/relationships/hyperlink" Target="https://storage.googleapis.com/glide-prod.appspot.com/uploads-v2/ly7o78grxPaC6KdgvbpS/pub/3aRdSog0vUtuqPE8AJKD.png" TargetMode="External"/><Relationship Id="rId1364" Type="http://schemas.openxmlformats.org/officeDocument/2006/relationships/hyperlink" Target="https://storage.googleapis.com/glide-prod.appspot.com/uploads-v2/ly7o78grxPaC6KdgvbpS/pub/3aRdSog0vUtuqPE8AJKD.png" TargetMode="External"/><Relationship Id="rId1571" Type="http://schemas.openxmlformats.org/officeDocument/2006/relationships/hyperlink" Target="https://storage.googleapis.com/glide-prod.appspot.com/uploads-v2/ly7o78grxPaC6KdgvbpS/pub/3aRdSog0vUtuqPE8AJKD.png" TargetMode="External"/><Relationship Id="rId70" Type="http://schemas.openxmlformats.org/officeDocument/2006/relationships/hyperlink" Target="https://storage.googleapis.com/glide-prod.appspot.com/uploads-v2/ly7o78grxPaC6KdgvbpS/pub/3aRdSog0vUtuqPE8AJKD.png" TargetMode="External"/><Relationship Id="rId801" Type="http://schemas.openxmlformats.org/officeDocument/2006/relationships/hyperlink" Target="https://storage.googleapis.com/glide-prod.appspot.com/uploads-v2/ly7o78grxPaC6KdgvbpS/pub/3aRdSog0vUtuqPE8AJKD.png" TargetMode="External"/><Relationship Id="rId1017" Type="http://schemas.openxmlformats.org/officeDocument/2006/relationships/hyperlink" Target="https://storage.googleapis.com/glide-prod.appspot.com/uploads-v2/ly7o78grxPaC6KdgvbpS/pub/3aRdSog0vUtuqPE8AJKD.png" TargetMode="External"/><Relationship Id="rId1224" Type="http://schemas.openxmlformats.org/officeDocument/2006/relationships/hyperlink" Target="https://storage.googleapis.com/glide-prod.appspot.com/uploads-v2/ly7o78grxPaC6KdgvbpS/pub/UliJWgpEaBovaFmXi6OW.png" TargetMode="External"/><Relationship Id="rId1431" Type="http://schemas.openxmlformats.org/officeDocument/2006/relationships/hyperlink" Target="https://storage.googleapis.com/glide-prod.appspot.com/uploads-v2/ly7o78grxPaC6KdgvbpS/pub/UliJWgpEaBovaFmXi6OW.png" TargetMode="External"/><Relationship Id="rId1529" Type="http://schemas.openxmlformats.org/officeDocument/2006/relationships/hyperlink" Target="https://storage.googleapis.com/glide-prod.appspot.com/uploads-v2/ly7o78grxPaC6KdgvbpS/pub/ymjwOUALhexOLxQ9EnIY.jpg" TargetMode="External"/><Relationship Id="rId28" Type="http://schemas.openxmlformats.org/officeDocument/2006/relationships/hyperlink" Target="https://storage.googleapis.com/glide-prod.appspot.com/uploads-v2/ly7o78grxPaC6KdgvbpS/pub/3aRdSog0vUtuqPE8AJKD.png" TargetMode="External"/><Relationship Id="rId177" Type="http://schemas.openxmlformats.org/officeDocument/2006/relationships/hyperlink" Target="https://storage.googleapis.com/glide-prod.appspot.com/uploads-v2/ly7o78grxPaC6KdgvbpS/pub/3aRdSog0vUtuqPE8AJKD.png" TargetMode="External"/><Relationship Id="rId384" Type="http://schemas.openxmlformats.org/officeDocument/2006/relationships/hyperlink" Target="https://storage.googleapis.com/glide-prod.appspot.com/uploads-v2/ly7o78grxPaC6KdgvbpS/pub/3aRdSog0vUtuqPE8AJKD.png" TargetMode="External"/><Relationship Id="rId591" Type="http://schemas.openxmlformats.org/officeDocument/2006/relationships/hyperlink" Target="https://storage.googleapis.com/glide-prod.appspot.com/uploads-v2/ly7o78grxPaC6KdgvbpS/pub/3aRdSog0vUtuqPE8AJKD.png" TargetMode="External"/><Relationship Id="rId244" Type="http://schemas.openxmlformats.org/officeDocument/2006/relationships/hyperlink" Target="https://storage.googleapis.com/glide-prod.appspot.com/uploads-v2/ly7o78grxPaC6KdgvbpS/pub/3aRdSog0vUtuqPE8AJKD.png" TargetMode="External"/><Relationship Id="rId689" Type="http://schemas.openxmlformats.org/officeDocument/2006/relationships/hyperlink" Target="https://storage.googleapis.com/glide-prod.appspot.com/uploads-v2/ly7o78grxPaC6KdgvbpS/pub/3aRdSog0vUtuqPE8AJKD.png" TargetMode="External"/><Relationship Id="rId896" Type="http://schemas.openxmlformats.org/officeDocument/2006/relationships/hyperlink" Target="https://storage.googleapis.com/glide-prod.appspot.com/uploads-v2/ly7o78grxPaC6KdgvbpS/pub/3aRdSog0vUtuqPE8AJKD.png" TargetMode="External"/><Relationship Id="rId1081" Type="http://schemas.openxmlformats.org/officeDocument/2006/relationships/hyperlink" Target="https://storage.googleapis.com/glide-prod.appspot.com/uploads-v2/ly7o78grxPaC6KdgvbpS/pub/3aRdSog0vUtuqPE8AJKD.png" TargetMode="External"/><Relationship Id="rId451" Type="http://schemas.openxmlformats.org/officeDocument/2006/relationships/hyperlink" Target="https://storage.googleapis.com/glide-prod.appspot.com/uploads-v2/ly7o78grxPaC6KdgvbpS/pub/aL734ohLOkX2jGUaa96X.jpg" TargetMode="External"/><Relationship Id="rId549" Type="http://schemas.openxmlformats.org/officeDocument/2006/relationships/hyperlink" Target="https://storage.googleapis.com/glide-prod.appspot.com/uploads-v2/ly7o78grxPaC6KdgvbpS/pub/3aRdSog0vUtuqPE8AJKD.png" TargetMode="External"/><Relationship Id="rId756" Type="http://schemas.openxmlformats.org/officeDocument/2006/relationships/hyperlink" Target="https://storage.googleapis.com/glide-prod.appspot.com/uploads-v2/ly7o78grxPaC6KdgvbpS/pub/3aRdSog0vUtuqPE8AJKD.png" TargetMode="External"/><Relationship Id="rId1179" Type="http://schemas.openxmlformats.org/officeDocument/2006/relationships/hyperlink" Target="https://storage.googleapis.com/glide-prod.appspot.com/uploads-v2/ly7o78grxPaC6KdgvbpS/pub/3aRdSog0vUtuqPE8AJKD.png" TargetMode="External"/><Relationship Id="rId1386" Type="http://schemas.openxmlformats.org/officeDocument/2006/relationships/hyperlink" Target="https://storage.googleapis.com/glide-prod.appspot.com/uploads-v2/ly7o78grxPaC6KdgvbpS/pub/3aRdSog0vUtuqPE8AJKD.png" TargetMode="External"/><Relationship Id="rId1593" Type="http://schemas.openxmlformats.org/officeDocument/2006/relationships/hyperlink" Target="https://storage.googleapis.com/glide-prod.appspot.com/uploads-v2/ly7o78grxPaC6KdgvbpS/pub/yvtCGRAPIbS0tVLIlehH.png" TargetMode="External"/><Relationship Id="rId104" Type="http://schemas.openxmlformats.org/officeDocument/2006/relationships/hyperlink" Target="https://storage.googleapis.com/glide-prod.appspot.com/uploads-v2/ly7o78grxPaC6KdgvbpS/pub/3aRdSog0vUtuqPE8AJKD.png" TargetMode="External"/><Relationship Id="rId311" Type="http://schemas.openxmlformats.org/officeDocument/2006/relationships/hyperlink" Target="https://storage.googleapis.com/glide-prod.appspot.com/uploads-v2/ly7o78grxPaC6KdgvbpS/pub/3aRdSog0vUtuqPE8AJKD.png" TargetMode="External"/><Relationship Id="rId409" Type="http://schemas.openxmlformats.org/officeDocument/2006/relationships/hyperlink" Target="https://storage.googleapis.com/glide-prod.appspot.com/uploads-v2/ly7o78grxPaC6KdgvbpS/pub/3aRdSog0vUtuqPE8AJKD.png" TargetMode="External"/><Relationship Id="rId963" Type="http://schemas.openxmlformats.org/officeDocument/2006/relationships/hyperlink" Target="https://storage.googleapis.com/glide-prod.appspot.com/uploads-v2/ly7o78grxPaC6KdgvbpS/pub/3aRdSog0vUtuqPE8AJKD.png" TargetMode="External"/><Relationship Id="rId1039" Type="http://schemas.openxmlformats.org/officeDocument/2006/relationships/hyperlink" Target="https://storage.googleapis.com/glide-prod.appspot.com/uploads-v2/ly7o78grxPaC6KdgvbpS/pub/3aRdSog0vUtuqPE8AJKD.png" TargetMode="External"/><Relationship Id="rId1246" Type="http://schemas.openxmlformats.org/officeDocument/2006/relationships/hyperlink" Target="https://storage.googleapis.com/glide-prod.appspot.com/uploads-v2/ly7o78grxPaC6KdgvbpS/pub/3aRdSog0vUtuqPE8AJKD.png" TargetMode="External"/><Relationship Id="rId92" Type="http://schemas.openxmlformats.org/officeDocument/2006/relationships/hyperlink" Target="https://storage.googleapis.com/glide-prod.appspot.com/uploads-v2/ly7o78grxPaC6KdgvbpS/pub/3aRdSog0vUtuqPE8AJKD.png" TargetMode="External"/><Relationship Id="rId616" Type="http://schemas.openxmlformats.org/officeDocument/2006/relationships/hyperlink" Target="https://storage.googleapis.com/glide-prod.appspot.com/uploads-v2/ly7o78grxPaC6KdgvbpS/pub/3aRdSog0vUtuqPE8AJKD.png" TargetMode="External"/><Relationship Id="rId823" Type="http://schemas.openxmlformats.org/officeDocument/2006/relationships/hyperlink" Target="https://storage.googleapis.com/glide-prod.appspot.com/uploads-v2/ly7o78grxPaC6KdgvbpS/pub/3aRdSog0vUtuqPE8AJKD.png" TargetMode="External"/><Relationship Id="rId1453" Type="http://schemas.openxmlformats.org/officeDocument/2006/relationships/hyperlink" Target="https://storage.googleapis.com/glide-prod.appspot.com/uploads-v2/ly7o78grxPaC6KdgvbpS/pub/3aRdSog0vUtuqPE8AJKD.png" TargetMode="External"/><Relationship Id="rId1106" Type="http://schemas.openxmlformats.org/officeDocument/2006/relationships/hyperlink" Target="https://storage.googleapis.com/glide-prod.appspot.com/uploads-v2/ly7o78grxPaC6KdgvbpS/pub/3aRdSog0vUtuqPE8AJKD.png" TargetMode="External"/><Relationship Id="rId1313" Type="http://schemas.openxmlformats.org/officeDocument/2006/relationships/hyperlink" Target="https://storage.googleapis.com/glide-prod.appspot.com/uploads-v2/ly7o78grxPaC6KdgvbpS/pub/3aRdSog0vUtuqPE8AJKD.png" TargetMode="External"/><Relationship Id="rId1520" Type="http://schemas.openxmlformats.org/officeDocument/2006/relationships/hyperlink" Target="https://storage.googleapis.com/glide-prod.appspot.com/uploads-v2/ly7o78grxPaC6KdgvbpS/pub/3aRdSog0vUtuqPE8AJKD.png" TargetMode="External"/><Relationship Id="rId199" Type="http://schemas.openxmlformats.org/officeDocument/2006/relationships/hyperlink" Target="https://storage.googleapis.com/glide-prod.appspot.com/uploads-v2/ly7o78grxPaC6KdgvbpS/pub/3aRdSog0vUtuqPE8AJKD.png" TargetMode="External"/><Relationship Id="rId266" Type="http://schemas.openxmlformats.org/officeDocument/2006/relationships/hyperlink" Target="https://storage.googleapis.com/glide-prod.appspot.com/uploads-v2/ly7o78grxPaC6KdgvbpS/pub/3aRdSog0vUtuqPE8AJKD.png" TargetMode="External"/><Relationship Id="rId473" Type="http://schemas.openxmlformats.org/officeDocument/2006/relationships/hyperlink" Target="https://storage.googleapis.com/glide-prod.appspot.com/uploads-v2/ly7o78grxPaC6KdgvbpS/pub/3aRdSog0vUtuqPE8AJKD.png" TargetMode="External"/><Relationship Id="rId680" Type="http://schemas.openxmlformats.org/officeDocument/2006/relationships/hyperlink" Target="https://storage.googleapis.com/glide-prod.appspot.com/uploads-v2/ly7o78grxPaC6KdgvbpS/pub/3aRdSog0vUtuqPE8AJKD.png" TargetMode="External"/><Relationship Id="rId126" Type="http://schemas.openxmlformats.org/officeDocument/2006/relationships/hyperlink" Target="https://storage.googleapis.com/glide-prod.appspot.com/uploads-v2/ly7o78grxPaC6KdgvbpS/pub/UliJWgpEaBovaFmXi6OW.png" TargetMode="External"/><Relationship Id="rId333" Type="http://schemas.openxmlformats.org/officeDocument/2006/relationships/hyperlink" Target="https://storage.googleapis.com/glide-prod.appspot.com/uploads-v2/ly7o78grxPaC6KdgvbpS/pub/3aRdSog0vUtuqPE8AJKD.png" TargetMode="External"/><Relationship Id="rId540" Type="http://schemas.openxmlformats.org/officeDocument/2006/relationships/hyperlink" Target="https://storage.googleapis.com/glide-prod.appspot.com/uploads-v2/ly7o78grxPaC6KdgvbpS/pub/iFarehPaBtJGbi3lRV5A.jpeg" TargetMode="External"/><Relationship Id="rId778" Type="http://schemas.openxmlformats.org/officeDocument/2006/relationships/hyperlink" Target="https://storage.googleapis.com/glide-prod.appspot.com/uploads-v2/ly7o78grxPaC6KdgvbpS/pub/3aRdSog0vUtuqPE8AJKD.png" TargetMode="External"/><Relationship Id="rId985" Type="http://schemas.openxmlformats.org/officeDocument/2006/relationships/hyperlink" Target="https://storage.googleapis.com/glide-prod.appspot.com/uploads-v2/ly7o78grxPaC6KdgvbpS/pub/3aRdSog0vUtuqPE8AJKD.png" TargetMode="External"/><Relationship Id="rId1170" Type="http://schemas.openxmlformats.org/officeDocument/2006/relationships/hyperlink" Target="https://storage.googleapis.com/glide-prod.appspot.com/uploads-v2/ly7o78grxPaC6KdgvbpS/pub/3aRdSog0vUtuqPE8AJKD.png" TargetMode="External"/><Relationship Id="rId638" Type="http://schemas.openxmlformats.org/officeDocument/2006/relationships/hyperlink" Target="https://storage.googleapis.com/glide-prod.appspot.com/uploads-v2/ly7o78grxPaC6KdgvbpS/pub/3aRdSog0vUtuqPE8AJKD.png" TargetMode="External"/><Relationship Id="rId845" Type="http://schemas.openxmlformats.org/officeDocument/2006/relationships/hyperlink" Target="https://storage.googleapis.com/glide-prod.appspot.com/uploads-v2/ly7o78grxPaC6KdgvbpS/pub/3aRdSog0vUtuqPE8AJKD.png" TargetMode="External"/><Relationship Id="rId1030" Type="http://schemas.openxmlformats.org/officeDocument/2006/relationships/hyperlink" Target="https://storage.googleapis.com/glide-prod.appspot.com/uploads-v2/ly7o78grxPaC6KdgvbpS/pub/3aRdSog0vUtuqPE8AJKD.png" TargetMode="External"/><Relationship Id="rId1268" Type="http://schemas.openxmlformats.org/officeDocument/2006/relationships/hyperlink" Target="https://storage.googleapis.com/glide-prod.appspot.com/uploads-v2/ly7o78grxPaC6KdgvbpS/pub/3aRdSog0vUtuqPE8AJKD.png" TargetMode="External"/><Relationship Id="rId1475" Type="http://schemas.openxmlformats.org/officeDocument/2006/relationships/hyperlink" Target="https://storage.googleapis.com/glide-prod.appspot.com/uploads-v2/ly7o78grxPaC6KdgvbpS/pub/3aRdSog0vUtuqPE8AJKD.png" TargetMode="External"/><Relationship Id="rId400" Type="http://schemas.openxmlformats.org/officeDocument/2006/relationships/hyperlink" Target="https://storage.googleapis.com/glide-prod.appspot.com/uploads-v2/ly7o78grxPaC6KdgvbpS/pub/3aRdSog0vUtuqPE8AJKD.png" TargetMode="External"/><Relationship Id="rId705" Type="http://schemas.openxmlformats.org/officeDocument/2006/relationships/hyperlink" Target="https://storage.googleapis.com/glide-prod.appspot.com/uploads-v2/ly7o78grxPaC6KdgvbpS/pub/3aRdSog0vUtuqPE8AJKD.png" TargetMode="External"/><Relationship Id="rId1128" Type="http://schemas.openxmlformats.org/officeDocument/2006/relationships/hyperlink" Target="https://storage.googleapis.com/glide-prod.appspot.com/uploads-v2/ly7o78grxPaC6KdgvbpS/pub/3aRdSog0vUtuqPE8AJKD.png" TargetMode="External"/><Relationship Id="rId1335" Type="http://schemas.openxmlformats.org/officeDocument/2006/relationships/hyperlink" Target="https://storage.googleapis.com/glide-prod.appspot.com/uploads-v2/ly7o78grxPaC6KdgvbpS/pub/3aRdSog0vUtuqPE8AJKD.png" TargetMode="External"/><Relationship Id="rId1542" Type="http://schemas.openxmlformats.org/officeDocument/2006/relationships/hyperlink" Target="https://storage.googleapis.com/glide-prod.appspot.com/uploads-v2/ly7o78grxPaC6KdgvbpS/pub/3aRdSog0vUtuqPE8AJKD.png" TargetMode="External"/><Relationship Id="rId912" Type="http://schemas.openxmlformats.org/officeDocument/2006/relationships/hyperlink" Target="https://storage.googleapis.com/glide-prod.appspot.com/uploads-v2/ly7o78grxPaC6KdgvbpS/pub/3aRdSog0vUtuqPE8AJKD.png" TargetMode="External"/><Relationship Id="rId41" Type="http://schemas.openxmlformats.org/officeDocument/2006/relationships/hyperlink" Target="https://storage.googleapis.com/glide-prod.appspot.com/uploads-v2/ly7o78grxPaC6KdgvbpS/pub/3aRdSog0vUtuqPE8AJKD.png" TargetMode="External"/><Relationship Id="rId1402" Type="http://schemas.openxmlformats.org/officeDocument/2006/relationships/hyperlink" Target="https://storage.googleapis.com/glide-prod.appspot.com/uploads-v2/ly7o78grxPaC6KdgvbpS/pub/nFBIjHCrcpqEYcXfeYnN.jpg" TargetMode="External"/><Relationship Id="rId190" Type="http://schemas.openxmlformats.org/officeDocument/2006/relationships/hyperlink" Target="https://storage.googleapis.com/glide-prod.appspot.com/uploads-v2/ly7o78grxPaC6KdgvbpS/pub/3aRdSog0vUtuqPE8AJKD.png" TargetMode="External"/><Relationship Id="rId288" Type="http://schemas.openxmlformats.org/officeDocument/2006/relationships/hyperlink" Target="https://storage.googleapis.com/glide-prod.appspot.com/uploads-v2/ly7o78grxPaC6KdgvbpS/pub/3aRdSog0vUtuqPE8AJKD.png" TargetMode="External"/><Relationship Id="rId495" Type="http://schemas.openxmlformats.org/officeDocument/2006/relationships/hyperlink" Target="https://storage.googleapis.com/glide-prod.appspot.com/uploads-v2/ly7o78grxPaC6KdgvbpS/pub/3aRdSog0vUtuqPE8AJKD.png" TargetMode="External"/><Relationship Id="rId148" Type="http://schemas.openxmlformats.org/officeDocument/2006/relationships/hyperlink" Target="https://storage.googleapis.com/glide-prod.appspot.com/uploads-v2/ly7o78grxPaC6KdgvbpS/pub/3aRdSog0vUtuqPE8AJKD.png" TargetMode="External"/><Relationship Id="rId355" Type="http://schemas.openxmlformats.org/officeDocument/2006/relationships/hyperlink" Target="https://storage.googleapis.com/glide-prod.appspot.com/uploads-v2/ly7o78grxPaC6KdgvbpS/pub/3aRdSog0vUtuqPE8AJKD.png" TargetMode="External"/><Relationship Id="rId562" Type="http://schemas.openxmlformats.org/officeDocument/2006/relationships/hyperlink" Target="https://storage.googleapis.com/glide-prod.appspot.com/uploads-v2/ly7o78grxPaC6KdgvbpS/pub/KSMXLh5YAOogjAAukOBK.jpg" TargetMode="External"/><Relationship Id="rId1192" Type="http://schemas.openxmlformats.org/officeDocument/2006/relationships/hyperlink" Target="https://storage.googleapis.com/glide-prod.appspot.com/uploads-v2/ly7o78grxPaC6KdgvbpS/pub/3aRdSog0vUtuqPE8AJKD.png" TargetMode="External"/><Relationship Id="rId215" Type="http://schemas.openxmlformats.org/officeDocument/2006/relationships/hyperlink" Target="https://storage.googleapis.com/glide-prod.appspot.com/uploads-v2/ly7o78grxPaC6KdgvbpS/pub/3aRdSog0vUtuqPE8AJKD.png" TargetMode="External"/><Relationship Id="rId422" Type="http://schemas.openxmlformats.org/officeDocument/2006/relationships/hyperlink" Target="https://storage.googleapis.com/glide-prod.appspot.com/uploads-v2/ly7o78grxPaC6KdgvbpS/pub/3aRdSog0vUtuqPE8AJKD.png" TargetMode="External"/><Relationship Id="rId867" Type="http://schemas.openxmlformats.org/officeDocument/2006/relationships/hyperlink" Target="https://storage.googleapis.com/glide-prod.appspot.com/uploads-v2/ly7o78grxPaC6KdgvbpS/pub/3aRdSog0vUtuqPE8AJKD.png" TargetMode="External"/><Relationship Id="rId1052" Type="http://schemas.openxmlformats.org/officeDocument/2006/relationships/hyperlink" Target="https://storage.googleapis.com/glide-prod.appspot.com/uploads-v2/ly7o78grxPaC6KdgvbpS/pub/3aRdSog0vUtuqPE8AJKD.png" TargetMode="External"/><Relationship Id="rId1497" Type="http://schemas.openxmlformats.org/officeDocument/2006/relationships/hyperlink" Target="https://storage.googleapis.com/glide-prod.appspot.com/uploads-v2/ly7o78grxPaC6KdgvbpS/pub/3aRdSog0vUtuqPE8AJKD.png" TargetMode="External"/><Relationship Id="rId727" Type="http://schemas.openxmlformats.org/officeDocument/2006/relationships/hyperlink" Target="https://storage.googleapis.com/glide-prod.appspot.com/uploads-v2/ly7o78grxPaC6KdgvbpS/pub/3aRdSog0vUtuqPE8AJKD.png" TargetMode="External"/><Relationship Id="rId934" Type="http://schemas.openxmlformats.org/officeDocument/2006/relationships/hyperlink" Target="https://storage.googleapis.com/glide-prod.appspot.com/uploads-v2/ly7o78grxPaC6KdgvbpS/pub/3aRdSog0vUtuqPE8AJKD.png" TargetMode="External"/><Relationship Id="rId1357" Type="http://schemas.openxmlformats.org/officeDocument/2006/relationships/hyperlink" Target="https://storage.googleapis.com/glide-prod.appspot.com/uploads-v2/ly7o78grxPaC6KdgvbpS/pub/3aRdSog0vUtuqPE8AJKD.png" TargetMode="External"/><Relationship Id="rId1564" Type="http://schemas.openxmlformats.org/officeDocument/2006/relationships/hyperlink" Target="https://storage.googleapis.com/glide-prod.appspot.com/uploads-v2/ly7o78grxPaC6KdgvbpS/pub/3aRdSog0vUtuqPE8AJKD.png" TargetMode="External"/><Relationship Id="rId63" Type="http://schemas.openxmlformats.org/officeDocument/2006/relationships/hyperlink" Target="https://storage.googleapis.com/glide-prod.appspot.com/uploads-v2/ly7o78grxPaC6KdgvbpS/pub/3aRdSog0vUtuqPE8AJKD.png" TargetMode="External"/><Relationship Id="rId1217" Type="http://schemas.openxmlformats.org/officeDocument/2006/relationships/hyperlink" Target="https://storage.googleapis.com/glide-prod.appspot.com/uploads-v2/ly7o78grxPaC6KdgvbpS/pub/UliJWgpEaBovaFmXi6OW.png" TargetMode="External"/><Relationship Id="rId1424" Type="http://schemas.openxmlformats.org/officeDocument/2006/relationships/hyperlink" Target="https://storage.googleapis.com/glide-prod.appspot.com/uploads-v2/ly7o78grxPaC6KdgvbpS/pub/3aRdSog0vUtuqPE8AJKD.png" TargetMode="External"/><Relationship Id="rId377" Type="http://schemas.openxmlformats.org/officeDocument/2006/relationships/hyperlink" Target="https://storage.googleapis.com/glide-prod.appspot.com/uploads-v2/ly7o78grxPaC6KdgvbpS/pub/3aRdSog0vUtuqPE8AJKD.png" TargetMode="External"/><Relationship Id="rId584" Type="http://schemas.openxmlformats.org/officeDocument/2006/relationships/hyperlink" Target="https://storage.googleapis.com/glide-prod.appspot.com/uploads-v2/ly7o78grxPaC6KdgvbpS/pub/3aRdSog0vUtuqPE8AJKD.png" TargetMode="External"/><Relationship Id="rId5" Type="http://schemas.openxmlformats.org/officeDocument/2006/relationships/hyperlink" Target="https://storage.googleapis.com/glide-prod.appspot.com/uploads-v2/ly7o78grxPaC6KdgvbpS/pub/3aRdSog0vUtuqPE8AJKD.png" TargetMode="External"/><Relationship Id="rId237" Type="http://schemas.openxmlformats.org/officeDocument/2006/relationships/hyperlink" Target="https://storage.googleapis.com/glide-prod.appspot.com/uploads-v2/ly7o78grxPaC6KdgvbpS/pub/3aRdSog0vUtuqPE8AJKD.png" TargetMode="External"/><Relationship Id="rId791" Type="http://schemas.openxmlformats.org/officeDocument/2006/relationships/hyperlink" Target="https://storage.googleapis.com/glide-prod.appspot.com/uploads-v2/ly7o78grxPaC6KdgvbpS/pub/586SVyAF9DhMardCcyAs.jpg" TargetMode="External"/><Relationship Id="rId889" Type="http://schemas.openxmlformats.org/officeDocument/2006/relationships/hyperlink" Target="https://storage.googleapis.com/glide-prod.appspot.com/uploads-v2/ly7o78grxPaC6KdgvbpS/pub/3aRdSog0vUtuqPE8AJKD.png" TargetMode="External"/><Relationship Id="rId1074" Type="http://schemas.openxmlformats.org/officeDocument/2006/relationships/hyperlink" Target="https://storage.googleapis.com/glide-prod.appspot.com/uploads-v2/ly7o78grxPaC6KdgvbpS/pub/3aRdSog0vUtuqPE8AJKD.png" TargetMode="External"/><Relationship Id="rId444" Type="http://schemas.openxmlformats.org/officeDocument/2006/relationships/hyperlink" Target="https://storage.googleapis.com/glide-prod.appspot.com/uploads-v2/ly7o78grxPaC6KdgvbpS/pub/3aRdSog0vUtuqPE8AJKD.png" TargetMode="External"/><Relationship Id="rId651" Type="http://schemas.openxmlformats.org/officeDocument/2006/relationships/hyperlink" Target="https://storage.googleapis.com/glide-prod.appspot.com/uploads-v2/ly7o78grxPaC6KdgvbpS/pub/3aRdSog0vUtuqPE8AJKD.png" TargetMode="External"/><Relationship Id="rId749" Type="http://schemas.openxmlformats.org/officeDocument/2006/relationships/hyperlink" Target="https://storage.googleapis.com/glide-prod.appspot.com/uploads-v2/ly7o78grxPaC6KdgvbpS/pub/3aRdSog0vUtuqPE8AJKD.png" TargetMode="External"/><Relationship Id="rId1281" Type="http://schemas.openxmlformats.org/officeDocument/2006/relationships/hyperlink" Target="https://storage.googleapis.com/glide-prod.appspot.com/uploads-v2/ly7o78grxPaC6KdgvbpS/pub/3aRdSog0vUtuqPE8AJKD.png" TargetMode="External"/><Relationship Id="rId1379" Type="http://schemas.openxmlformats.org/officeDocument/2006/relationships/hyperlink" Target="https://storage.googleapis.com/glide-prod.appspot.com/uploads-v2/ly7o78grxPaC6KdgvbpS/pub/3aRdSog0vUtuqPE8AJKD.png" TargetMode="External"/><Relationship Id="rId1586" Type="http://schemas.openxmlformats.org/officeDocument/2006/relationships/hyperlink" Target="https://storage.googleapis.com/glide-prod.appspot.com/uploads-v2/ly7o78grxPaC6KdgvbpS/pub/3aRdSog0vUtuqPE8AJKD.png" TargetMode="External"/><Relationship Id="rId304" Type="http://schemas.openxmlformats.org/officeDocument/2006/relationships/hyperlink" Target="https://storage.googleapis.com/glide-prod.appspot.com/uploads-v2/ly7o78grxPaC6KdgvbpS/pub/3aRdSog0vUtuqPE8AJKD.png" TargetMode="External"/><Relationship Id="rId511" Type="http://schemas.openxmlformats.org/officeDocument/2006/relationships/hyperlink" Target="https://storage.googleapis.com/glide-prod.appspot.com/uploads-v2/ly7o78grxPaC6KdgvbpS/pub/3aRdSog0vUtuqPE8AJKD.png" TargetMode="External"/><Relationship Id="rId609" Type="http://schemas.openxmlformats.org/officeDocument/2006/relationships/hyperlink" Target="https://storage.googleapis.com/glide-prod.appspot.com/uploads-v2/ly7o78grxPaC6KdgvbpS/pub/3aRdSog0vUtuqPE8AJKD.png" TargetMode="External"/><Relationship Id="rId956" Type="http://schemas.openxmlformats.org/officeDocument/2006/relationships/hyperlink" Target="https://storage.googleapis.com/glide-prod.appspot.com/uploads-v2/ly7o78grxPaC6KdgvbpS/pub/3aRdSog0vUtuqPE8AJKD.png" TargetMode="External"/><Relationship Id="rId1141" Type="http://schemas.openxmlformats.org/officeDocument/2006/relationships/hyperlink" Target="https://storage.googleapis.com/glide-prod.appspot.com/uploads-v2/ly7o78grxPaC6KdgvbpS/pub/3aRdSog0vUtuqPE8AJKD.png" TargetMode="External"/><Relationship Id="rId1239" Type="http://schemas.openxmlformats.org/officeDocument/2006/relationships/hyperlink" Target="https://storage.googleapis.com/glide-prod.appspot.com/uploads-v2/ly7o78grxPaC6KdgvbpS/pub/3aRdSog0vUtuqPE8AJKD.png" TargetMode="External"/><Relationship Id="rId85" Type="http://schemas.openxmlformats.org/officeDocument/2006/relationships/hyperlink" Target="https://storage.googleapis.com/glide-prod.appspot.com/uploads-v2/ly7o78grxPaC6KdgvbpS/pub/3aRdSog0vUtuqPE8AJKD.png" TargetMode="External"/><Relationship Id="rId816" Type="http://schemas.openxmlformats.org/officeDocument/2006/relationships/hyperlink" Target="https://storage.googleapis.com/glide-prod.appspot.com/uploads-v2/ly7o78grxPaC6KdgvbpS/pub/3aRdSog0vUtuqPE8AJKD.png" TargetMode="External"/><Relationship Id="rId1001" Type="http://schemas.openxmlformats.org/officeDocument/2006/relationships/hyperlink" Target="https://storage.googleapis.com/glide-prod.appspot.com/uploads-v2/ly7o78grxPaC6KdgvbpS/pub/3aRdSog0vUtuqPE8AJKD.png" TargetMode="External"/><Relationship Id="rId1446" Type="http://schemas.openxmlformats.org/officeDocument/2006/relationships/hyperlink" Target="https://storage.googleapis.com/glide-prod.appspot.com/uploads-v2/ly7o78grxPaC6KdgvbpS/pub/3aRdSog0vUtuqPE8AJKD.png" TargetMode="External"/><Relationship Id="rId1306" Type="http://schemas.openxmlformats.org/officeDocument/2006/relationships/hyperlink" Target="https://storage.googleapis.com/glide-prod.appspot.com/uploads-v2/ly7o78grxPaC6KdgvbpS/pub/3aRdSog0vUtuqPE8AJKD.png" TargetMode="External"/><Relationship Id="rId1513" Type="http://schemas.openxmlformats.org/officeDocument/2006/relationships/hyperlink" Target="https://storage.googleapis.com/glide-prod.appspot.com/uploads-v2/ly7o78grxPaC6KdgvbpS/pub/3aRdSog0vUtuqPE8AJKD.png" TargetMode="External"/><Relationship Id="rId12" Type="http://schemas.openxmlformats.org/officeDocument/2006/relationships/hyperlink" Target="https://storage.googleapis.com/glide-prod.appspot.com/uploads-v2/ly7o78grxPaC6KdgvbpS/pub/ihPbgi8t3faN0BOT5Hbf.jpg" TargetMode="External"/><Relationship Id="rId161" Type="http://schemas.openxmlformats.org/officeDocument/2006/relationships/hyperlink" Target="https://storage.googleapis.com/glide-prod.appspot.com/uploads-v2/ly7o78grxPaC6KdgvbpS/pub/3aRdSog0vUtuqPE8AJKD.png" TargetMode="External"/><Relationship Id="rId399" Type="http://schemas.openxmlformats.org/officeDocument/2006/relationships/hyperlink" Target="https://storage.googleapis.com/glide-prod.appspot.com/uploads-v2/ly7o78grxPaC6KdgvbpS/pub/3aRdSog0vUtuqPE8AJKD.png" TargetMode="External"/><Relationship Id="rId259" Type="http://schemas.openxmlformats.org/officeDocument/2006/relationships/hyperlink" Target="https://storage.googleapis.com/glide-prod.appspot.com/uploads-v2/ly7o78grxPaC6KdgvbpS/pub/3aRdSog0vUtuqPE8AJKD.png" TargetMode="External"/><Relationship Id="rId466" Type="http://schemas.openxmlformats.org/officeDocument/2006/relationships/hyperlink" Target="https://storage.googleapis.com/glide-prod.appspot.com/uploads-v2/ly7o78grxPaC6KdgvbpS/pub/3aRdSog0vUtuqPE8AJKD.png" TargetMode="External"/><Relationship Id="rId673" Type="http://schemas.openxmlformats.org/officeDocument/2006/relationships/hyperlink" Target="https://storage.googleapis.com/glide-prod.appspot.com/uploads-v2/ly7o78grxPaC6KdgvbpS/pub/3aRdSog0vUtuqPE8AJKD.png" TargetMode="External"/><Relationship Id="rId880" Type="http://schemas.openxmlformats.org/officeDocument/2006/relationships/hyperlink" Target="https://storage.googleapis.com/glide-prod.appspot.com/uploads-v2/ly7o78grxPaC6KdgvbpS/pub/3aRdSog0vUtuqPE8AJKD.png" TargetMode="External"/><Relationship Id="rId1096" Type="http://schemas.openxmlformats.org/officeDocument/2006/relationships/hyperlink" Target="https://storage.googleapis.com/glide-prod.appspot.com/uploads-v2/ly7o78grxPaC6KdgvbpS/pub/3aRdSog0vUtuqPE8AJKD.png" TargetMode="External"/><Relationship Id="rId119" Type="http://schemas.openxmlformats.org/officeDocument/2006/relationships/hyperlink" Target="https://storage.googleapis.com/glide-prod.appspot.com/uploads-v2/ly7o78grxPaC6KdgvbpS/pub/3aRdSog0vUtuqPE8AJKD.png" TargetMode="External"/><Relationship Id="rId326" Type="http://schemas.openxmlformats.org/officeDocument/2006/relationships/hyperlink" Target="https://storage.googleapis.com/glide-prod.appspot.com/uploads-v2/ly7o78grxPaC6KdgvbpS/pub/3aRdSog0vUtuqPE8AJKD.png" TargetMode="External"/><Relationship Id="rId533" Type="http://schemas.openxmlformats.org/officeDocument/2006/relationships/hyperlink" Target="https://storage.googleapis.com/glide-prod.appspot.com/uploads-v2/ly7o78grxPaC6KdgvbpS/pub/3aRdSog0vUtuqPE8AJKD.png" TargetMode="External"/><Relationship Id="rId978" Type="http://schemas.openxmlformats.org/officeDocument/2006/relationships/hyperlink" Target="https://storage.googleapis.com/glide-prod.appspot.com/uploads-v2/ly7o78grxPaC6KdgvbpS/pub/3aRdSog0vUtuqPE8AJKD.png" TargetMode="External"/><Relationship Id="rId1163" Type="http://schemas.openxmlformats.org/officeDocument/2006/relationships/hyperlink" Target="https://storage.googleapis.com/glide-prod.appspot.com/uploads-v2/ly7o78grxPaC6KdgvbpS/pub/3aRdSog0vUtuqPE8AJKD.png" TargetMode="External"/><Relationship Id="rId1370" Type="http://schemas.openxmlformats.org/officeDocument/2006/relationships/hyperlink" Target="https://storage.googleapis.com/glide-prod.appspot.com/uploads-v2/ly7o78grxPaC6KdgvbpS/pub/3aRdSog0vUtuqPE8AJKD.png" TargetMode="External"/><Relationship Id="rId740" Type="http://schemas.openxmlformats.org/officeDocument/2006/relationships/hyperlink" Target="https://storage.googleapis.com/glide-prod.appspot.com/uploads-v2/ly7o78grxPaC6KdgvbpS/pub/3aRdSog0vUtuqPE8AJKD.png" TargetMode="External"/><Relationship Id="rId838" Type="http://schemas.openxmlformats.org/officeDocument/2006/relationships/hyperlink" Target="https://storage.googleapis.com/glide-prod.appspot.com/uploads-v2/ly7o78grxPaC6KdgvbpS/pub/3aRdSog0vUtuqPE8AJKD.png" TargetMode="External"/><Relationship Id="rId1023" Type="http://schemas.openxmlformats.org/officeDocument/2006/relationships/hyperlink" Target="https://storage.googleapis.com/glide-prod.appspot.com/uploads-v2/ly7o78grxPaC6KdgvbpS/pub/3aRdSog0vUtuqPE8AJKD.png" TargetMode="External"/><Relationship Id="rId1468" Type="http://schemas.openxmlformats.org/officeDocument/2006/relationships/hyperlink" Target="https://storage.googleapis.com/glide-prod.appspot.com/uploads-v2/ly7o78grxPaC6KdgvbpS/pub/3aRdSog0vUtuqPE8AJKD.png" TargetMode="External"/><Relationship Id="rId600" Type="http://schemas.openxmlformats.org/officeDocument/2006/relationships/hyperlink" Target="https://storage.googleapis.com/glide-prod.appspot.com/uploads-v2/ly7o78grxPaC6KdgvbpS/pub/3aRdSog0vUtuqPE8AJKD.png" TargetMode="External"/><Relationship Id="rId1230" Type="http://schemas.openxmlformats.org/officeDocument/2006/relationships/hyperlink" Target="https://storage.googleapis.com/glide-prod.appspot.com/uploads-v2/ly7o78grxPaC6KdgvbpS/pub/3aRdSog0vUtuqPE8AJKD.png" TargetMode="External"/><Relationship Id="rId1328" Type="http://schemas.openxmlformats.org/officeDocument/2006/relationships/hyperlink" Target="https://storage.googleapis.com/glide-prod.appspot.com/uploads-v2/ly7o78grxPaC6KdgvbpS/pub/3aRdSog0vUtuqPE8AJKD.png" TargetMode="External"/><Relationship Id="rId1535" Type="http://schemas.openxmlformats.org/officeDocument/2006/relationships/hyperlink" Target="https://storage.googleapis.com/glide-prod.appspot.com/uploads-v2/ly7o78grxPaC6KdgvbpS/pub/3aRdSog0vUtuqPE8AJKD.png" TargetMode="External"/><Relationship Id="rId905" Type="http://schemas.openxmlformats.org/officeDocument/2006/relationships/hyperlink" Target="https://storage.googleapis.com/glide-prod.appspot.com/uploads-v2/ly7o78grxPaC6KdgvbpS/pub/3aRdSog0vUtuqPE8AJKD.png" TargetMode="External"/><Relationship Id="rId34" Type="http://schemas.openxmlformats.org/officeDocument/2006/relationships/hyperlink" Target="https://storage.googleapis.com/glide-prod.appspot.com/uploads-v2/ly7o78grxPaC6KdgvbpS/pub/3aRdSog0vUtuqPE8AJKD.png" TargetMode="External"/><Relationship Id="rId1602" Type="http://schemas.openxmlformats.org/officeDocument/2006/relationships/hyperlink" Target="https://storage.googleapis.com/glide-prod.appspot.com/uploads-v2/ly7o78grxPaC6KdgvbpS/pub/3aRdSog0vUtuqPE8AJKD.png" TargetMode="External"/><Relationship Id="rId183" Type="http://schemas.openxmlformats.org/officeDocument/2006/relationships/hyperlink" Target="https://storage.googleapis.com/glide-prod.appspot.com/uploads-v2/ly7o78grxPaC6KdgvbpS/pub/3aRdSog0vUtuqPE8AJKD.png" TargetMode="External"/><Relationship Id="rId390" Type="http://schemas.openxmlformats.org/officeDocument/2006/relationships/hyperlink" Target="https://storage.googleapis.com/glide-prod.appspot.com/uploads-v2/ly7o78grxPaC6KdgvbpS/pub/3aRdSog0vUtuqPE8AJKD.png" TargetMode="External"/><Relationship Id="rId250" Type="http://schemas.openxmlformats.org/officeDocument/2006/relationships/hyperlink" Target="https://storage.googleapis.com/glide-prod.appspot.com/uploads-v2/ly7o78grxPaC6KdgvbpS/pub/3aRdSog0vUtuqPE8AJKD.png" TargetMode="External"/><Relationship Id="rId488" Type="http://schemas.openxmlformats.org/officeDocument/2006/relationships/hyperlink" Target="https://storage.googleapis.com/glide-prod.appspot.com/uploads-v2/ly7o78grxPaC6KdgvbpS/pub/3aRdSog0vUtuqPE8AJKD.png" TargetMode="External"/><Relationship Id="rId695" Type="http://schemas.openxmlformats.org/officeDocument/2006/relationships/hyperlink" Target="https://storage.googleapis.com/glide-prod.appspot.com/uploads-v2/ly7o78grxPaC6KdgvbpS/pub/3aRdSog0vUtuqPE8AJKD.png" TargetMode="External"/><Relationship Id="rId45" Type="http://schemas.openxmlformats.org/officeDocument/2006/relationships/hyperlink" Target="https://storage.googleapis.com/glide-prod.appspot.com/uploads-v2/ly7o78grxPaC6KdgvbpS/pub/3aRdSog0vUtuqPE8AJKD.png" TargetMode="External"/><Relationship Id="rId110" Type="http://schemas.openxmlformats.org/officeDocument/2006/relationships/hyperlink" Target="https://storage.googleapis.com/glide-prod.appspot.com/uploads-v2/ly7o78grxPaC6KdgvbpS/pub/3aRdSog0vUtuqPE8AJKD.png" TargetMode="External"/><Relationship Id="rId348" Type="http://schemas.openxmlformats.org/officeDocument/2006/relationships/hyperlink" Target="https://storage.googleapis.com/glide-prod.appspot.com/uploads-v2/ly7o78grxPaC6KdgvbpS/pub/3aRdSog0vUtuqPE8AJKD.png" TargetMode="External"/><Relationship Id="rId555" Type="http://schemas.openxmlformats.org/officeDocument/2006/relationships/hyperlink" Target="https://storage.googleapis.com/glide-prod.appspot.com/uploads-v2/ly7o78grxPaC6KdgvbpS/pub/3aRdSog0vUtuqPE8AJKD.png" TargetMode="External"/><Relationship Id="rId762" Type="http://schemas.openxmlformats.org/officeDocument/2006/relationships/hyperlink" Target="https://storage.googleapis.com/glide-prod.appspot.com/uploads-v2/ly7o78grxPaC6KdgvbpS/pub/3aRdSog0vUtuqPE8AJKD.png" TargetMode="External"/><Relationship Id="rId1185" Type="http://schemas.openxmlformats.org/officeDocument/2006/relationships/hyperlink" Target="https://storage.googleapis.com/glide-prod.appspot.com/uploads-v2/ly7o78grxPaC6KdgvbpS/pub/3aRdSog0vUtuqPE8AJKD.png" TargetMode="External"/><Relationship Id="rId1392" Type="http://schemas.openxmlformats.org/officeDocument/2006/relationships/hyperlink" Target="https://storage.googleapis.com/glide-prod.appspot.com/uploads-v2/ly7o78grxPaC6KdgvbpS/pub/3aRdSog0vUtuqPE8AJKD.png" TargetMode="External"/><Relationship Id="rId1406" Type="http://schemas.openxmlformats.org/officeDocument/2006/relationships/hyperlink" Target="https://storage.googleapis.com/glide-prod.appspot.com/uploads-v2/ly7o78grxPaC6KdgvbpS/pub/3aRdSog0vUtuqPE8AJKD.png" TargetMode="External"/><Relationship Id="rId1613" Type="http://schemas.openxmlformats.org/officeDocument/2006/relationships/hyperlink" Target="https://storage.googleapis.com/glide-prod.appspot.com/uploads-v2/ly7o78grxPaC6KdgvbpS/pub/3aRdSog0vUtuqPE8AJKD.png" TargetMode="External"/><Relationship Id="rId194" Type="http://schemas.openxmlformats.org/officeDocument/2006/relationships/hyperlink" Target="https://storage.googleapis.com/glide-prod.appspot.com/uploads-v2/ly7o78grxPaC6KdgvbpS/pub/3aRdSog0vUtuqPE8AJKD.png" TargetMode="External"/><Relationship Id="rId208" Type="http://schemas.openxmlformats.org/officeDocument/2006/relationships/hyperlink" Target="https://storage.googleapis.com/glide-prod.appspot.com/uploads-v2/ly7o78grxPaC6KdgvbpS/pub/3aRdSog0vUtuqPE8AJKD.png" TargetMode="External"/><Relationship Id="rId415" Type="http://schemas.openxmlformats.org/officeDocument/2006/relationships/hyperlink" Target="https://storage.googleapis.com/glide-prod.appspot.com/uploads-v2/ly7o78grxPaC6KdgvbpS/pub/3aRdSog0vUtuqPE8AJKD.png" TargetMode="External"/><Relationship Id="rId622" Type="http://schemas.openxmlformats.org/officeDocument/2006/relationships/hyperlink" Target="https://storage.googleapis.com/glide-prod.appspot.com/uploads-v2/ly7o78grxPaC6KdgvbpS/pub/3aRdSog0vUtuqPE8AJKD.png" TargetMode="External"/><Relationship Id="rId1045" Type="http://schemas.openxmlformats.org/officeDocument/2006/relationships/hyperlink" Target="https://storage.googleapis.com/glide-prod.appspot.com/uploads-v2/ly7o78grxPaC6KdgvbpS/pub/3aRdSog0vUtuqPE8AJKD.png" TargetMode="External"/><Relationship Id="rId1252" Type="http://schemas.openxmlformats.org/officeDocument/2006/relationships/hyperlink" Target="https://storage.googleapis.com/glide-prod.appspot.com/uploads-v2/ly7o78grxPaC6KdgvbpS/pub/UliJWgpEaBovaFmXi6OW.png" TargetMode="External"/><Relationship Id="rId261" Type="http://schemas.openxmlformats.org/officeDocument/2006/relationships/hyperlink" Target="https://storage.googleapis.com/glide-prod.appspot.com/uploads-v2/ly7o78grxPaC6KdgvbpS/pub/3aRdSog0vUtuqPE8AJKD.png" TargetMode="External"/><Relationship Id="rId499" Type="http://schemas.openxmlformats.org/officeDocument/2006/relationships/hyperlink" Target="https://storage.googleapis.com/glide-prod.appspot.com/uploads-v2/ly7o78grxPaC6KdgvbpS/pub/3aRdSog0vUtuqPE8AJKD.png" TargetMode="External"/><Relationship Id="rId927" Type="http://schemas.openxmlformats.org/officeDocument/2006/relationships/hyperlink" Target="https://storage.googleapis.com/glide-prod.appspot.com/uploads-v2/ly7o78grxPaC6KdgvbpS/pub/3aRdSog0vUtuqPE8AJKD.png" TargetMode="External"/><Relationship Id="rId1112" Type="http://schemas.openxmlformats.org/officeDocument/2006/relationships/hyperlink" Target="https://storage.googleapis.com/glide-prod.appspot.com/uploads-v2/ly7o78grxPaC6KdgvbpS/pub/3aRdSog0vUtuqPE8AJKD.png" TargetMode="External"/><Relationship Id="rId1557" Type="http://schemas.openxmlformats.org/officeDocument/2006/relationships/hyperlink" Target="https://storage.googleapis.com/glide-prod.appspot.com/uploads-v2/ly7o78grxPaC6KdgvbpS/pub/3aRdSog0vUtuqPE8AJKD.png" TargetMode="External"/><Relationship Id="rId56" Type="http://schemas.openxmlformats.org/officeDocument/2006/relationships/hyperlink" Target="https://storage.googleapis.com/glide-prod.appspot.com/uploads-v2/ly7o78grxPaC6KdgvbpS/pub/3aRdSog0vUtuqPE8AJKD.png" TargetMode="External"/><Relationship Id="rId359" Type="http://schemas.openxmlformats.org/officeDocument/2006/relationships/hyperlink" Target="https://storage.googleapis.com/glide-prod.appspot.com/uploads-v2/ly7o78grxPaC6KdgvbpS/pub/3aRdSog0vUtuqPE8AJKD.png" TargetMode="External"/><Relationship Id="rId566" Type="http://schemas.openxmlformats.org/officeDocument/2006/relationships/hyperlink" Target="https://storage.googleapis.com/glide-prod.appspot.com/uploads-v2/ly7o78grxPaC6KdgvbpS/pub/3aRdSog0vUtuqPE8AJKD.png" TargetMode="External"/><Relationship Id="rId773" Type="http://schemas.openxmlformats.org/officeDocument/2006/relationships/hyperlink" Target="https://storage.googleapis.com/glide-prod.appspot.com/uploads-v2/ly7o78grxPaC6KdgvbpS/pub/3aRdSog0vUtuqPE8AJKD.png" TargetMode="External"/><Relationship Id="rId1196" Type="http://schemas.openxmlformats.org/officeDocument/2006/relationships/hyperlink" Target="https://storage.googleapis.com/glide-prod.appspot.com/uploads-v2/ly7o78grxPaC6KdgvbpS/pub/3aRdSog0vUtuqPE8AJKD.png" TargetMode="External"/><Relationship Id="rId1417" Type="http://schemas.openxmlformats.org/officeDocument/2006/relationships/hyperlink" Target="https://storage.googleapis.com/glide-prod.appspot.com/uploads-v2/ly7o78grxPaC6KdgvbpS/pub/dMd9lI4G7KPVu2YM1p3c.jpg" TargetMode="External"/><Relationship Id="rId121" Type="http://schemas.openxmlformats.org/officeDocument/2006/relationships/hyperlink" Target="https://storage.googleapis.com/glide-prod.appspot.com/uploads-v2/ly7o78grxPaC6KdgvbpS/pub/3aRdSog0vUtuqPE8AJKD.png" TargetMode="External"/><Relationship Id="rId219" Type="http://schemas.openxmlformats.org/officeDocument/2006/relationships/hyperlink" Target="https://storage.googleapis.com/glide-prod.appspot.com/uploads-v2/ly7o78grxPaC6KdgvbpS/pub/By9dsdTMhOPDV1yfGkSW.jpg" TargetMode="External"/><Relationship Id="rId426" Type="http://schemas.openxmlformats.org/officeDocument/2006/relationships/hyperlink" Target="https://storage.googleapis.com/glide-prod.appspot.com/uploads-v2/ly7o78grxPaC6KdgvbpS/pub/3aRdSog0vUtuqPE8AJKD.png" TargetMode="External"/><Relationship Id="rId633" Type="http://schemas.openxmlformats.org/officeDocument/2006/relationships/hyperlink" Target="https://storage.googleapis.com/glide-prod.appspot.com/uploads-v2/ly7o78grxPaC6KdgvbpS/pub/3aRdSog0vUtuqPE8AJKD.png" TargetMode="External"/><Relationship Id="rId980" Type="http://schemas.openxmlformats.org/officeDocument/2006/relationships/hyperlink" Target="https://storage.googleapis.com/glide-prod.appspot.com/uploads-v2/ly7o78grxPaC6KdgvbpS/pub/3aRdSog0vUtuqPE8AJKD.png" TargetMode="External"/><Relationship Id="rId1056" Type="http://schemas.openxmlformats.org/officeDocument/2006/relationships/hyperlink" Target="https://storage.googleapis.com/glide-prod.appspot.com/uploads-v2/ly7o78grxPaC6KdgvbpS/pub/3aRdSog0vUtuqPE8AJKD.png" TargetMode="External"/><Relationship Id="rId1263" Type="http://schemas.openxmlformats.org/officeDocument/2006/relationships/hyperlink" Target="https://storage.googleapis.com/glide-prod.appspot.com/uploads-v2/ly7o78grxPaC6KdgvbpS/pub/3aRdSog0vUtuqPE8AJKD.png" TargetMode="External"/><Relationship Id="rId840" Type="http://schemas.openxmlformats.org/officeDocument/2006/relationships/hyperlink" Target="https://storage.googleapis.com/glide-prod.appspot.com/uploads-v2/ly7o78grxPaC6KdgvbpS/pub/3aRdSog0vUtuqPE8AJKD.png" TargetMode="External"/><Relationship Id="rId938" Type="http://schemas.openxmlformats.org/officeDocument/2006/relationships/hyperlink" Target="https://storage.googleapis.com/glide-prod.appspot.com/uploads-v2/ly7o78grxPaC6KdgvbpS/pub/3aRdSog0vUtuqPE8AJKD.png" TargetMode="External"/><Relationship Id="rId1470" Type="http://schemas.openxmlformats.org/officeDocument/2006/relationships/hyperlink" Target="https://storage.googleapis.com/glide-prod.appspot.com/uploads-v2/ly7o78grxPaC6KdgvbpS/pub/3aRdSog0vUtuqPE8AJKD.png" TargetMode="External"/><Relationship Id="rId1568" Type="http://schemas.openxmlformats.org/officeDocument/2006/relationships/hyperlink" Target="https://storage.googleapis.com/glide-prod.appspot.com/uploads-v2/ly7o78grxPaC6KdgvbpS/pub/3aRdSog0vUtuqPE8AJKD.png" TargetMode="External"/><Relationship Id="rId67" Type="http://schemas.openxmlformats.org/officeDocument/2006/relationships/hyperlink" Target="https://storage.googleapis.com/glide-prod.appspot.com/uploads-v2/ly7o78grxPaC6KdgvbpS/pub/3aRdSog0vUtuqPE8AJKD.png" TargetMode="External"/><Relationship Id="rId272" Type="http://schemas.openxmlformats.org/officeDocument/2006/relationships/hyperlink" Target="https://storage.googleapis.com/glide-prod.appspot.com/uploads-v2/ly7o78grxPaC6KdgvbpS/pub/3aRdSog0vUtuqPE8AJKD.png" TargetMode="External"/><Relationship Id="rId577" Type="http://schemas.openxmlformats.org/officeDocument/2006/relationships/hyperlink" Target="https://storage.googleapis.com/glide-prod.appspot.com/uploads-v2/ly7o78grxPaC6KdgvbpS/pub/3aRdSog0vUtuqPE8AJKD.png" TargetMode="External"/><Relationship Id="rId700" Type="http://schemas.openxmlformats.org/officeDocument/2006/relationships/hyperlink" Target="https://storage.googleapis.com/glide-prod.appspot.com/uploads-v2/ly7o78grxPaC6KdgvbpS/pub/3aRdSog0vUtuqPE8AJKD.png" TargetMode="External"/><Relationship Id="rId1123" Type="http://schemas.openxmlformats.org/officeDocument/2006/relationships/hyperlink" Target="https://storage.googleapis.com/glide-prod.appspot.com/uploads-v2/ly7o78grxPaC6KdgvbpS/pub/3aRdSog0vUtuqPE8AJKD.png" TargetMode="External"/><Relationship Id="rId1330" Type="http://schemas.openxmlformats.org/officeDocument/2006/relationships/hyperlink" Target="https://storage.googleapis.com/glide-prod.appspot.com/uploads-v2/ly7o78grxPaC6KdgvbpS/pub/3aRdSog0vUtuqPE8AJKD.png" TargetMode="External"/><Relationship Id="rId1428" Type="http://schemas.openxmlformats.org/officeDocument/2006/relationships/hyperlink" Target="https://storage.googleapis.com/glide-prod.appspot.com/uploads-v2/ly7o78grxPaC6KdgvbpS/pub/UliJWgpEaBovaFmXi6OW.png" TargetMode="External"/><Relationship Id="rId132" Type="http://schemas.openxmlformats.org/officeDocument/2006/relationships/hyperlink" Target="https://storage.googleapis.com/glide-prod.appspot.com/uploads-v2/ly7o78grxPaC6KdgvbpS/pub/3aRdSog0vUtuqPE8AJKD.png" TargetMode="External"/><Relationship Id="rId784" Type="http://schemas.openxmlformats.org/officeDocument/2006/relationships/hyperlink" Target="https://storage.googleapis.com/glide-prod.appspot.com/uploads-v2/ly7o78grxPaC6KdgvbpS/pub/3aRdSog0vUtuqPE8AJKD.png" TargetMode="External"/><Relationship Id="rId991" Type="http://schemas.openxmlformats.org/officeDocument/2006/relationships/hyperlink" Target="https://storage.googleapis.com/glide-prod.appspot.com/uploads-v2/ly7o78grxPaC6KdgvbpS/pub/3aRdSog0vUtuqPE8AJKD.png" TargetMode="External"/><Relationship Id="rId1067" Type="http://schemas.openxmlformats.org/officeDocument/2006/relationships/hyperlink" Target="https://storage.googleapis.com/glide-prod.appspot.com/uploads-v2/ly7o78grxPaC6KdgvbpS/pub/3aRdSog0vUtuqPE8AJKD.png" TargetMode="External"/><Relationship Id="rId437" Type="http://schemas.openxmlformats.org/officeDocument/2006/relationships/hyperlink" Target="https://storage.googleapis.com/glide-prod.appspot.com/uploads-v2/ly7o78grxPaC6KdgvbpS/pub/3aRdSog0vUtuqPE8AJKD.png" TargetMode="External"/><Relationship Id="rId644" Type="http://schemas.openxmlformats.org/officeDocument/2006/relationships/hyperlink" Target="https://storage.googleapis.com/glide-prod.appspot.com/uploads-v2/ly7o78grxPaC6KdgvbpS/pub/3aRdSog0vUtuqPE8AJKD.png" TargetMode="External"/><Relationship Id="rId851" Type="http://schemas.openxmlformats.org/officeDocument/2006/relationships/hyperlink" Target="https://storage.googleapis.com/glide-prod.appspot.com/uploads-v2/ly7o78grxPaC6KdgvbpS/pub/3aRdSog0vUtuqPE8AJKD.png" TargetMode="External"/><Relationship Id="rId1274" Type="http://schemas.openxmlformats.org/officeDocument/2006/relationships/hyperlink" Target="https://storage.googleapis.com/glide-prod.appspot.com/uploads-v2/ly7o78grxPaC6KdgvbpS/pub/3aRdSog0vUtuqPE8AJKD.png" TargetMode="External"/><Relationship Id="rId1481" Type="http://schemas.openxmlformats.org/officeDocument/2006/relationships/hyperlink" Target="https://storage.googleapis.com/glide-prod.appspot.com/uploads-v2/ly7o78grxPaC6KdgvbpS/pub/3aRdSog0vUtuqPE8AJKD.png" TargetMode="External"/><Relationship Id="rId1579" Type="http://schemas.openxmlformats.org/officeDocument/2006/relationships/hyperlink" Target="https://storage.googleapis.com/glide-prod.appspot.com/uploads-v2/ly7o78grxPaC6KdgvbpS/pub/3aRdSog0vUtuqPE8AJKD.png" TargetMode="External"/><Relationship Id="rId283" Type="http://schemas.openxmlformats.org/officeDocument/2006/relationships/hyperlink" Target="https://storage.googleapis.com/glide-prod.appspot.com/uploads-v2/ly7o78grxPaC6KdgvbpS/pub/3aRdSog0vUtuqPE8AJKD.png" TargetMode="External"/><Relationship Id="rId490" Type="http://schemas.openxmlformats.org/officeDocument/2006/relationships/hyperlink" Target="https://storage.googleapis.com/glide-prod.appspot.com/uploads-v2/ly7o78grxPaC6KdgvbpS/pub/3aRdSog0vUtuqPE8AJKD.png" TargetMode="External"/><Relationship Id="rId504" Type="http://schemas.openxmlformats.org/officeDocument/2006/relationships/hyperlink" Target="https://storage.googleapis.com/glide-prod.appspot.com/uploads-v2/ly7o78grxPaC6KdgvbpS/pub/3aRdSog0vUtuqPE8AJKD.png" TargetMode="External"/><Relationship Id="rId711" Type="http://schemas.openxmlformats.org/officeDocument/2006/relationships/hyperlink" Target="https://storage.googleapis.com/glide-prod.appspot.com/uploads-v2/ly7o78grxPaC6KdgvbpS/pub/3aRdSog0vUtuqPE8AJKD.png" TargetMode="External"/><Relationship Id="rId949" Type="http://schemas.openxmlformats.org/officeDocument/2006/relationships/hyperlink" Target="https://storage.googleapis.com/glide-prod.appspot.com/uploads-v2/ly7o78grxPaC6KdgvbpS/pub/3aRdSog0vUtuqPE8AJKD.png" TargetMode="External"/><Relationship Id="rId1134" Type="http://schemas.openxmlformats.org/officeDocument/2006/relationships/hyperlink" Target="https://storage.googleapis.com/glide-prod.appspot.com/uploads-v2/ly7o78grxPaC6KdgvbpS/pub/3aRdSog0vUtuqPE8AJKD.png" TargetMode="External"/><Relationship Id="rId1341" Type="http://schemas.openxmlformats.org/officeDocument/2006/relationships/hyperlink" Target="https://storage.googleapis.com/glide-prod.appspot.com/uploads-v2/ly7o78grxPaC6KdgvbpS/pub/3aRdSog0vUtuqPE8AJKD.png" TargetMode="External"/><Relationship Id="rId78" Type="http://schemas.openxmlformats.org/officeDocument/2006/relationships/hyperlink" Target="https://storage.googleapis.com/glide-prod.appspot.com/uploads-v2/ly7o78grxPaC6KdgvbpS/pub/3aRdSog0vUtuqPE8AJKD.png" TargetMode="External"/><Relationship Id="rId143" Type="http://schemas.openxmlformats.org/officeDocument/2006/relationships/hyperlink" Target="https://storage.googleapis.com/glide-prod.appspot.com/uploads-v2/ly7o78grxPaC6KdgvbpS/pub/3aRdSog0vUtuqPE8AJKD.png" TargetMode="External"/><Relationship Id="rId350" Type="http://schemas.openxmlformats.org/officeDocument/2006/relationships/hyperlink" Target="https://storage.googleapis.com/glide-prod.appspot.com/uploads-v2/ly7o78grxPaC6KdgvbpS/pub/3aRdSog0vUtuqPE8AJKD.png" TargetMode="External"/><Relationship Id="rId588" Type="http://schemas.openxmlformats.org/officeDocument/2006/relationships/hyperlink" Target="https://storage.googleapis.com/glide-prod.appspot.com/uploads-v2/ly7o78grxPaC6KdgvbpS/pub/3aRdSog0vUtuqPE8AJKD.png" TargetMode="External"/><Relationship Id="rId795" Type="http://schemas.openxmlformats.org/officeDocument/2006/relationships/hyperlink" Target="https://storage.googleapis.com/glide-prod.appspot.com/uploads-v2/ly7o78grxPaC6KdgvbpS/pub/3aRdSog0vUtuqPE8AJKD.png" TargetMode="External"/><Relationship Id="rId809" Type="http://schemas.openxmlformats.org/officeDocument/2006/relationships/hyperlink" Target="https://storage.googleapis.com/glide-prod.appspot.com/uploads-v2/ly7o78grxPaC6KdgvbpS/pub/3aRdSog0vUtuqPE8AJKD.png" TargetMode="External"/><Relationship Id="rId1201" Type="http://schemas.openxmlformats.org/officeDocument/2006/relationships/hyperlink" Target="https://storage.googleapis.com/glide-prod.appspot.com/uploads-v2/ly7o78grxPaC6KdgvbpS/pub/3aRdSog0vUtuqPE8AJKD.png" TargetMode="External"/><Relationship Id="rId1439" Type="http://schemas.openxmlformats.org/officeDocument/2006/relationships/hyperlink" Target="https://storage.googleapis.com/glide-prod.appspot.com/uploads-v2/ly7o78grxPaC6KdgvbpS/pub/3aRdSog0vUtuqPE8AJKD.png" TargetMode="External"/><Relationship Id="rId9" Type="http://schemas.openxmlformats.org/officeDocument/2006/relationships/hyperlink" Target="https://storage.googleapis.com/glide-prod.appspot.com/uploads-v2/ly7o78grxPaC6KdgvbpS/pub/3aRdSog0vUtuqPE8AJKD.png" TargetMode="External"/><Relationship Id="rId210" Type="http://schemas.openxmlformats.org/officeDocument/2006/relationships/hyperlink" Target="https://storage.googleapis.com/glide-prod.appspot.com/uploads-v2/ly7o78grxPaC6KdgvbpS/pub/3aRdSog0vUtuqPE8AJKD.png" TargetMode="External"/><Relationship Id="rId448" Type="http://schemas.openxmlformats.org/officeDocument/2006/relationships/hyperlink" Target="http://dy5jfkw0qcwajq65nlp.kg/" TargetMode="External"/><Relationship Id="rId655" Type="http://schemas.openxmlformats.org/officeDocument/2006/relationships/hyperlink" Target="https://storage.googleapis.com/glide-prod.appspot.com/uploads-v2/ly7o78grxPaC6KdgvbpS/pub/3aRdSog0vUtuqPE8AJKD.png" TargetMode="External"/><Relationship Id="rId862" Type="http://schemas.openxmlformats.org/officeDocument/2006/relationships/hyperlink" Target="https://storage.googleapis.com/glide-prod.appspot.com/uploads-v2/ly7o78grxPaC6KdgvbpS/pub/3aRdSog0vUtuqPE8AJKD.png" TargetMode="External"/><Relationship Id="rId1078" Type="http://schemas.openxmlformats.org/officeDocument/2006/relationships/hyperlink" Target="https://storage.googleapis.com/glide-prod.appspot.com/uploads-v2/ly7o78grxPaC6KdgvbpS/pub/3aRdSog0vUtuqPE8AJKD.png" TargetMode="External"/><Relationship Id="rId1285" Type="http://schemas.openxmlformats.org/officeDocument/2006/relationships/hyperlink" Target="https://storage.googleapis.com/glide-prod.appspot.com/uploads-v2/ly7o78grxPaC6KdgvbpS/pub/3aRdSog0vUtuqPE8AJKD.png" TargetMode="External"/><Relationship Id="rId1492" Type="http://schemas.openxmlformats.org/officeDocument/2006/relationships/hyperlink" Target="https://storage.googleapis.com/glide-prod.appspot.com/uploads-v2/ly7o78grxPaC6KdgvbpS/pub/3aRdSog0vUtuqPE8AJKD.png" TargetMode="External"/><Relationship Id="rId1506" Type="http://schemas.openxmlformats.org/officeDocument/2006/relationships/hyperlink" Target="https://storage.googleapis.com/glide-prod.appspot.com/uploads-v2/ly7o78grxPaC6KdgvbpS/pub/3aRdSog0vUtuqPE8AJKD.png" TargetMode="External"/><Relationship Id="rId294" Type="http://schemas.openxmlformats.org/officeDocument/2006/relationships/hyperlink" Target="https://storage.googleapis.com/glide-prod.appspot.com/uploads-v2/ly7o78grxPaC6KdgvbpS/pub/3aRdSog0vUtuqPE8AJKD.png" TargetMode="External"/><Relationship Id="rId308" Type="http://schemas.openxmlformats.org/officeDocument/2006/relationships/hyperlink" Target="https://storage.googleapis.com/glide-prod.appspot.com/uploads-v2/ly7o78grxPaC6KdgvbpS/pub/3aRdSog0vUtuqPE8AJKD.png" TargetMode="External"/><Relationship Id="rId515" Type="http://schemas.openxmlformats.org/officeDocument/2006/relationships/hyperlink" Target="https://storage.googleapis.com/glide-prod.appspot.com/uploads-v2/ly7o78grxPaC6KdgvbpS/pub/3aRdSog0vUtuqPE8AJKD.png" TargetMode="External"/><Relationship Id="rId722" Type="http://schemas.openxmlformats.org/officeDocument/2006/relationships/hyperlink" Target="https://storage.googleapis.com/glide-prod.appspot.com/uploads-v2/ly7o78grxPaC6KdgvbpS/pub/3aRdSog0vUtuqPE8AJKD.png" TargetMode="External"/><Relationship Id="rId1145" Type="http://schemas.openxmlformats.org/officeDocument/2006/relationships/hyperlink" Target="https://storage.googleapis.com/glide-prod.appspot.com/uploads-v2/ly7o78grxPaC6KdgvbpS/pub/3aRdSog0vUtuqPE8AJKD.png" TargetMode="External"/><Relationship Id="rId1352" Type="http://schemas.openxmlformats.org/officeDocument/2006/relationships/hyperlink" Target="https://storage.googleapis.com/glide-prod.appspot.com/uploads-v2/ly7o78grxPaC6KdgvbpS/pub/3aRdSog0vUtuqPE8AJKD.png" TargetMode="External"/><Relationship Id="rId89" Type="http://schemas.openxmlformats.org/officeDocument/2006/relationships/hyperlink" Target="https://storage.googleapis.com/glide-prod.appspot.com/uploads-v2/ly7o78grxPaC6KdgvbpS/pub/3aRdSog0vUtuqPE8AJKD.png" TargetMode="External"/><Relationship Id="rId154" Type="http://schemas.openxmlformats.org/officeDocument/2006/relationships/hyperlink" Target="https://storage.googleapis.com/glide-prod.appspot.com/uploads-v2/ly7o78grxPaC6KdgvbpS/pub/3aRdSog0vUtuqPE8AJKD.png" TargetMode="External"/><Relationship Id="rId361" Type="http://schemas.openxmlformats.org/officeDocument/2006/relationships/hyperlink" Target="https://storage.googleapis.com/glide-prod.appspot.com/uploads-v2/ly7o78grxPaC6KdgvbpS/pub/3aRdSog0vUtuqPE8AJKD.png" TargetMode="External"/><Relationship Id="rId599" Type="http://schemas.openxmlformats.org/officeDocument/2006/relationships/hyperlink" Target="https://storage.googleapis.com/glide-prod.appspot.com/uploads-v2/ly7o78grxPaC6KdgvbpS/pub/3aRdSog0vUtuqPE8AJKD.png" TargetMode="External"/><Relationship Id="rId1005" Type="http://schemas.openxmlformats.org/officeDocument/2006/relationships/hyperlink" Target="https://storage.googleapis.com/glide-prod.appspot.com/uploads-v2/ly7o78grxPaC6KdgvbpS/pub/3aRdSog0vUtuqPE8AJKD.png" TargetMode="External"/><Relationship Id="rId1212" Type="http://schemas.openxmlformats.org/officeDocument/2006/relationships/hyperlink" Target="https://storage.googleapis.com/glide-prod.appspot.com/uploads-v2/ly7o78grxPaC6KdgvbpS/pub/3aRdSog0vUtuqPE8AJKD.png" TargetMode="External"/><Relationship Id="rId459" Type="http://schemas.openxmlformats.org/officeDocument/2006/relationships/hyperlink" Target="https://storage.googleapis.com/glide-prod.appspot.com/uploads-v2/ly7o78grxPaC6KdgvbpS/pub/3aRdSog0vUtuqPE8AJKD.png" TargetMode="External"/><Relationship Id="rId666" Type="http://schemas.openxmlformats.org/officeDocument/2006/relationships/hyperlink" Target="https://storage.googleapis.com/glide-prod.appspot.com/uploads-v2/ly7o78grxPaC6KdgvbpS/pub/3aRdSog0vUtuqPE8AJKD.png" TargetMode="External"/><Relationship Id="rId873" Type="http://schemas.openxmlformats.org/officeDocument/2006/relationships/hyperlink" Target="https://storage.googleapis.com/glide-prod.appspot.com/uploads-v2/ly7o78grxPaC6KdgvbpS/pub/3aRdSog0vUtuqPE8AJKD.png" TargetMode="External"/><Relationship Id="rId1089" Type="http://schemas.openxmlformats.org/officeDocument/2006/relationships/hyperlink" Target="https://storage.googleapis.com/glide-prod.appspot.com/uploads-v2/ly7o78grxPaC6KdgvbpS/pub/3aRdSog0vUtuqPE8AJKD.png" TargetMode="External"/><Relationship Id="rId1296" Type="http://schemas.openxmlformats.org/officeDocument/2006/relationships/hyperlink" Target="https://storage.googleapis.com/glide-prod.appspot.com/uploads-v2/ly7o78grxPaC6KdgvbpS/pub/3aRdSog0vUtuqPE8AJKD.png" TargetMode="External"/><Relationship Id="rId1517" Type="http://schemas.openxmlformats.org/officeDocument/2006/relationships/hyperlink" Target="https://storage.googleapis.com/glide-prod.appspot.com/uploads-v2/ly7o78grxPaC6KdgvbpS/pub/3aRdSog0vUtuqPE8AJKD.png" TargetMode="External"/><Relationship Id="rId16" Type="http://schemas.openxmlformats.org/officeDocument/2006/relationships/hyperlink" Target="https://storage.googleapis.com/glide-prod.appspot.com/uploads-v2/ly7o78grxPaC6KdgvbpS/pub/3aRdSog0vUtuqPE8AJKD.png" TargetMode="External"/><Relationship Id="rId221" Type="http://schemas.openxmlformats.org/officeDocument/2006/relationships/hyperlink" Target="https://storage.googleapis.com/glide-prod.appspot.com/uploads-v2/ly7o78grxPaC6KdgvbpS/pub/3aRdSog0vUtuqPE8AJKD.png" TargetMode="External"/><Relationship Id="rId319" Type="http://schemas.openxmlformats.org/officeDocument/2006/relationships/hyperlink" Target="https://storage.googleapis.com/glide-prod.appspot.com/uploads-v2/ly7o78grxPaC6KdgvbpS/pub/3aRdSog0vUtuqPE8AJKD.png" TargetMode="External"/><Relationship Id="rId526" Type="http://schemas.openxmlformats.org/officeDocument/2006/relationships/hyperlink" Target="https://storage.googleapis.com/glide-prod.appspot.com/uploads-v2/ly7o78grxPaC6KdgvbpS/pub/RHOWQSNbLBea3chkMsRq.jpeg" TargetMode="External"/><Relationship Id="rId1156" Type="http://schemas.openxmlformats.org/officeDocument/2006/relationships/hyperlink" Target="https://storage.googleapis.com/glide-prod.appspot.com/uploads-v2/ly7o78grxPaC6KdgvbpS/pub/3aRdSog0vUtuqPE8AJKD.png" TargetMode="External"/><Relationship Id="rId1363" Type="http://schemas.openxmlformats.org/officeDocument/2006/relationships/hyperlink" Target="https://storage.googleapis.com/glide-prod.appspot.com/uploads-v2/ly7o78grxPaC6KdgvbpS/pub/3aRdSog0vUtuqPE8AJKD.png" TargetMode="External"/><Relationship Id="rId733" Type="http://schemas.openxmlformats.org/officeDocument/2006/relationships/hyperlink" Target="https://storage.googleapis.com/glide-prod.appspot.com/uploads-v2/ly7o78grxPaC6KdgvbpS/pub/3aRdSog0vUtuqPE8AJKD.png" TargetMode="External"/><Relationship Id="rId940" Type="http://schemas.openxmlformats.org/officeDocument/2006/relationships/hyperlink" Target="https://storage.googleapis.com/glide-prod.appspot.com/uploads-v2/ly7o78grxPaC6KdgvbpS/pub/3aRdSog0vUtuqPE8AJKD.png" TargetMode="External"/><Relationship Id="rId1016" Type="http://schemas.openxmlformats.org/officeDocument/2006/relationships/hyperlink" Target="https://storage.googleapis.com/glide-prod.appspot.com/uploads-v2/ly7o78grxPaC6KdgvbpS/pub/3aRdSog0vUtuqPE8AJKD.png" TargetMode="External"/><Relationship Id="rId1570" Type="http://schemas.openxmlformats.org/officeDocument/2006/relationships/hyperlink" Target="https://storage.googleapis.com/glide-prod.appspot.com/uploads-v2/ly7o78grxPaC6KdgvbpS/pub/3aRdSog0vUtuqPE8AJKD.png" TargetMode="External"/><Relationship Id="rId165" Type="http://schemas.openxmlformats.org/officeDocument/2006/relationships/hyperlink" Target="https://storage.googleapis.com/glide-prod.appspot.com/uploads-v2/ly7o78grxPaC6KdgvbpS/pub/3aRdSog0vUtuqPE8AJKD.png" TargetMode="External"/><Relationship Id="rId372" Type="http://schemas.openxmlformats.org/officeDocument/2006/relationships/hyperlink" Target="https://storage.googleapis.com/glide-prod.appspot.com/uploads-v2/ly7o78grxPaC6KdgvbpS/pub/3aRdSog0vUtuqPE8AJKD.png" TargetMode="External"/><Relationship Id="rId677" Type="http://schemas.openxmlformats.org/officeDocument/2006/relationships/hyperlink" Target="https://storage.googleapis.com/glide-prod.appspot.com/uploads-v2/ly7o78grxPaC6KdgvbpS/pub/3aRdSog0vUtuqPE8AJKD.png" TargetMode="External"/><Relationship Id="rId800" Type="http://schemas.openxmlformats.org/officeDocument/2006/relationships/hyperlink" Target="https://storage.googleapis.com/glide-prod.appspot.com/uploads-v2/ly7o78grxPaC6KdgvbpS/pub/3aRdSog0vUtuqPE8AJKD.png" TargetMode="External"/><Relationship Id="rId1223" Type="http://schemas.openxmlformats.org/officeDocument/2006/relationships/hyperlink" Target="https://storage.googleapis.com/glide-prod.appspot.com/uploads-v2/ly7o78grxPaC6KdgvbpS/pub/UliJWgpEaBovaFmXi6OW.png" TargetMode="External"/><Relationship Id="rId1430" Type="http://schemas.openxmlformats.org/officeDocument/2006/relationships/hyperlink" Target="https://storage.googleapis.com/glide-prod.appspot.com/uploads-v2/ly7o78grxPaC6KdgvbpS/pub/UliJWgpEaBovaFmXi6OW.png" TargetMode="External"/><Relationship Id="rId1528" Type="http://schemas.openxmlformats.org/officeDocument/2006/relationships/hyperlink" Target="https://storage.googleapis.com/glide-prod.appspot.com/uploads-v2/ly7o78grxPaC6KdgvbpS/pub/uxLd3XNKYFNPQ6CsUi38.jpg" TargetMode="External"/><Relationship Id="rId232" Type="http://schemas.openxmlformats.org/officeDocument/2006/relationships/hyperlink" Target="https://storage.googleapis.com/glide-prod.appspot.com/uploads-v2/ly7o78grxPaC6KdgvbpS/pub/3aRdSog0vUtuqPE8AJKD.png" TargetMode="External"/><Relationship Id="rId884" Type="http://schemas.openxmlformats.org/officeDocument/2006/relationships/hyperlink" Target="https://storage.googleapis.com/glide-prod.appspot.com/uploads-v2/ly7o78grxPaC6KdgvbpS/pub/3aRdSog0vUtuqPE8AJKD.png" TargetMode="External"/><Relationship Id="rId27" Type="http://schemas.openxmlformats.org/officeDocument/2006/relationships/hyperlink" Target="https://storage.googleapis.com/glide-prod.appspot.com/uploads-v2/ly7o78grxPaC6KdgvbpS/pub/3aRdSog0vUtuqPE8AJKD.png" TargetMode="External"/><Relationship Id="rId537" Type="http://schemas.openxmlformats.org/officeDocument/2006/relationships/hyperlink" Target="https://storage.googleapis.com/glide-prod.appspot.com/uploads-v2/ly7o78grxPaC6KdgvbpS/pub/3aRdSog0vUtuqPE8AJKD.png" TargetMode="External"/><Relationship Id="rId744" Type="http://schemas.openxmlformats.org/officeDocument/2006/relationships/hyperlink" Target="https://storage.googleapis.com/glide-prod.appspot.com/uploads-v2/ly7o78grxPaC6KdgvbpS/pub/3aRdSog0vUtuqPE8AJKD.png" TargetMode="External"/><Relationship Id="rId951" Type="http://schemas.openxmlformats.org/officeDocument/2006/relationships/hyperlink" Target="https://storage.googleapis.com/glide-prod.appspot.com/uploads-v2/ly7o78grxPaC6KdgvbpS/pub/3aRdSog0vUtuqPE8AJKD.png" TargetMode="External"/><Relationship Id="rId1167" Type="http://schemas.openxmlformats.org/officeDocument/2006/relationships/hyperlink" Target="https://storage.googleapis.com/glide-prod.appspot.com/uploads-v2/ly7o78grxPaC6KdgvbpS/pub/3aRdSog0vUtuqPE8AJKD.png" TargetMode="External"/><Relationship Id="rId1374" Type="http://schemas.openxmlformats.org/officeDocument/2006/relationships/hyperlink" Target="https://storage.googleapis.com/glide-prod.appspot.com/uploads-v2/ly7o78grxPaC6KdgvbpS/pub/3aRdSog0vUtuqPE8AJKD.png" TargetMode="External"/><Relationship Id="rId1581" Type="http://schemas.openxmlformats.org/officeDocument/2006/relationships/hyperlink" Target="https://storage.googleapis.com/glide-prod.appspot.com/uploads-v2/ly7o78grxPaC6KdgvbpS/pub/3aRdSog0vUtuqPE8AJKD.png" TargetMode="External"/><Relationship Id="rId80" Type="http://schemas.openxmlformats.org/officeDocument/2006/relationships/hyperlink" Target="https://storage.googleapis.com/glide-prod.appspot.com/uploads-v2/ly7o78grxPaC6KdgvbpS/pub/3aRdSog0vUtuqPE8AJKD.png" TargetMode="External"/><Relationship Id="rId176" Type="http://schemas.openxmlformats.org/officeDocument/2006/relationships/hyperlink" Target="https://storage.googleapis.com/glide-prod.appspot.com/uploads-v2/ly7o78grxPaC6KdgvbpS/pub/3aRdSog0vUtuqPE8AJKD.png" TargetMode="External"/><Relationship Id="rId383" Type="http://schemas.openxmlformats.org/officeDocument/2006/relationships/hyperlink" Target="https://storage.googleapis.com/glide-prod.appspot.com/uploads-v2/ly7o78grxPaC6KdgvbpS/pub/3aRdSog0vUtuqPE8AJKD.png" TargetMode="External"/><Relationship Id="rId590" Type="http://schemas.openxmlformats.org/officeDocument/2006/relationships/hyperlink" Target="https://storage.googleapis.com/glide-prod.appspot.com/uploads-v2/ly7o78grxPaC6KdgvbpS/pub/3aRdSog0vUtuqPE8AJKD.png" TargetMode="External"/><Relationship Id="rId604" Type="http://schemas.openxmlformats.org/officeDocument/2006/relationships/hyperlink" Target="https://storage.googleapis.com/glide-prod.appspot.com/uploads-v2/ly7o78grxPaC6KdgvbpS/pub/3aRdSog0vUtuqPE8AJKD.png" TargetMode="External"/><Relationship Id="rId811" Type="http://schemas.openxmlformats.org/officeDocument/2006/relationships/hyperlink" Target="https://storage.googleapis.com/glide-prod.appspot.com/uploads-v2/ly7o78grxPaC6KdgvbpS/pub/3aRdSog0vUtuqPE8AJKD.png" TargetMode="External"/><Relationship Id="rId1027" Type="http://schemas.openxmlformats.org/officeDocument/2006/relationships/hyperlink" Target="https://storage.googleapis.com/glide-prod.appspot.com/uploads-v2/ly7o78grxPaC6KdgvbpS/pub/3aRdSog0vUtuqPE8AJKD.png" TargetMode="External"/><Relationship Id="rId1234" Type="http://schemas.openxmlformats.org/officeDocument/2006/relationships/hyperlink" Target="https://storage.googleapis.com/glide-prod.appspot.com/uploads-v2/ly7o78grxPaC6KdgvbpS/pub/3aRdSog0vUtuqPE8AJKD.png" TargetMode="External"/><Relationship Id="rId1441" Type="http://schemas.openxmlformats.org/officeDocument/2006/relationships/hyperlink" Target="https://storage.googleapis.com/glide-prod.appspot.com/uploads-v2/ly7o78grxPaC6KdgvbpS/pub/3aRdSog0vUtuqPE8AJKD.png" TargetMode="External"/><Relationship Id="rId243" Type="http://schemas.openxmlformats.org/officeDocument/2006/relationships/hyperlink" Target="https://storage.googleapis.com/glide-prod.appspot.com/uploads-v2/ly7o78grxPaC6KdgvbpS/pub/3aRdSog0vUtuqPE8AJKD.png" TargetMode="External"/><Relationship Id="rId450" Type="http://schemas.openxmlformats.org/officeDocument/2006/relationships/hyperlink" Target="https://storage.googleapis.com/glide-prod.appspot.com/uploads-v2/ly7o78grxPaC6KdgvbpS/pub/3aRdSog0vUtuqPE8AJKD.png" TargetMode="External"/><Relationship Id="rId688" Type="http://schemas.openxmlformats.org/officeDocument/2006/relationships/hyperlink" Target="https://storage.googleapis.com/glide-prod.appspot.com/uploads-v2/ly7o78grxPaC6KdgvbpS/pub/3aRdSog0vUtuqPE8AJKD.png" TargetMode="External"/><Relationship Id="rId895" Type="http://schemas.openxmlformats.org/officeDocument/2006/relationships/hyperlink" Target="https://storage.googleapis.com/glide-prod.appspot.com/uploads-v2/ly7o78grxPaC6KdgvbpS/pub/3aRdSog0vUtuqPE8AJKD.png" TargetMode="External"/><Relationship Id="rId909" Type="http://schemas.openxmlformats.org/officeDocument/2006/relationships/hyperlink" Target="https://storage.googleapis.com/glide-prod.appspot.com/uploads-v2/ly7o78grxPaC6KdgvbpS/pub/3aRdSog0vUtuqPE8AJKD.png" TargetMode="External"/><Relationship Id="rId1080" Type="http://schemas.openxmlformats.org/officeDocument/2006/relationships/hyperlink" Target="https://storage.googleapis.com/glide-prod.appspot.com/uploads-v2/ly7o78grxPaC6KdgvbpS/pub/3aRdSog0vUtuqPE8AJKD.png" TargetMode="External"/><Relationship Id="rId1301" Type="http://schemas.openxmlformats.org/officeDocument/2006/relationships/hyperlink" Target="https://storage.googleapis.com/glide-prod.appspot.com/uploads-v2/ly7o78grxPaC6KdgvbpS/pub/3aRdSog0vUtuqPE8AJKD.png" TargetMode="External"/><Relationship Id="rId1539" Type="http://schemas.openxmlformats.org/officeDocument/2006/relationships/hyperlink" Target="https://storage.googleapis.com/glide-prod.appspot.com/uploads-v2/ly7o78grxPaC6KdgvbpS/pub/RcRIY3fKH1PdajgsJNeb.jpg" TargetMode="External"/><Relationship Id="rId38" Type="http://schemas.openxmlformats.org/officeDocument/2006/relationships/hyperlink" Target="https://storage.googleapis.com/glide-prod.appspot.com/uploads-v2/ly7o78grxPaC6KdgvbpS/pub/3aRdSog0vUtuqPE8AJKD.png" TargetMode="External"/><Relationship Id="rId103" Type="http://schemas.openxmlformats.org/officeDocument/2006/relationships/hyperlink" Target="https://storage.googleapis.com/glide-prod.appspot.com/uploads-v2/ly7o78grxPaC6KdgvbpS/pub/3aRdSog0vUtuqPE8AJKD.png" TargetMode="External"/><Relationship Id="rId310" Type="http://schemas.openxmlformats.org/officeDocument/2006/relationships/hyperlink" Target="https://storage.googleapis.com/glide-prod.appspot.com/uploads-v2/ly7o78grxPaC6KdgvbpS/pub/3aRdSog0vUtuqPE8AJKD.png" TargetMode="External"/><Relationship Id="rId548" Type="http://schemas.openxmlformats.org/officeDocument/2006/relationships/hyperlink" Target="https://storage.googleapis.com/glide-prod.appspot.com/uploads-v2/ly7o78grxPaC6KdgvbpS/pub/3aRdSog0vUtuqPE8AJKD.png" TargetMode="External"/><Relationship Id="rId755" Type="http://schemas.openxmlformats.org/officeDocument/2006/relationships/hyperlink" Target="https://storage.googleapis.com/glide-prod.appspot.com/uploads-v2/ly7o78grxPaC6KdgvbpS/pub/3aRdSog0vUtuqPE8AJKD.png" TargetMode="External"/><Relationship Id="rId962" Type="http://schemas.openxmlformats.org/officeDocument/2006/relationships/hyperlink" Target="https://storage.googleapis.com/glide-prod.appspot.com/uploads-v2/ly7o78grxPaC6KdgvbpS/pub/3aRdSog0vUtuqPE8AJKD.png" TargetMode="External"/><Relationship Id="rId1178" Type="http://schemas.openxmlformats.org/officeDocument/2006/relationships/hyperlink" Target="https://storage.googleapis.com/glide-prod.appspot.com/uploads-v2/ly7o78grxPaC6KdgvbpS/pub/3aRdSog0vUtuqPE8AJKD.png" TargetMode="External"/><Relationship Id="rId1385" Type="http://schemas.openxmlformats.org/officeDocument/2006/relationships/hyperlink" Target="https://storage.googleapis.com/glide-prod.appspot.com/uploads-v2/ly7o78grxPaC6KdgvbpS/pub/3aRdSog0vUtuqPE8AJKD.png" TargetMode="External"/><Relationship Id="rId1592" Type="http://schemas.openxmlformats.org/officeDocument/2006/relationships/hyperlink" Target="https://storage.googleapis.com/glide-prod.appspot.com/uploads-v2/ly7o78grxPaC6KdgvbpS/pub/yvtCGRAPIbS0tVLIlehH.png" TargetMode="External"/><Relationship Id="rId1606" Type="http://schemas.openxmlformats.org/officeDocument/2006/relationships/hyperlink" Target="https://storage.googleapis.com/glide-prod.appspot.com/uploads-v2/ly7o78grxPaC6KdgvbpS/pub/3aRdSog0vUtuqPE8AJKD.png" TargetMode="External"/><Relationship Id="rId91" Type="http://schemas.openxmlformats.org/officeDocument/2006/relationships/hyperlink" Target="https://storage.googleapis.com/glide-prod.appspot.com/uploads-v2/ly7o78grxPaC6KdgvbpS/pub/3aRdSog0vUtuqPE8AJKD.png" TargetMode="External"/><Relationship Id="rId187" Type="http://schemas.openxmlformats.org/officeDocument/2006/relationships/hyperlink" Target="https://storage.googleapis.com/glide-prod.appspot.com/uploads-v2/ly7o78grxPaC6KdgvbpS/pub/3aRdSog0vUtuqPE8AJKD.png" TargetMode="External"/><Relationship Id="rId394" Type="http://schemas.openxmlformats.org/officeDocument/2006/relationships/hyperlink" Target="https://storage.googleapis.com/glide-prod.appspot.com/uploads-v2/ly7o78grxPaC6KdgvbpS/pub/3aRdSog0vUtuqPE8AJKD.png" TargetMode="External"/><Relationship Id="rId408" Type="http://schemas.openxmlformats.org/officeDocument/2006/relationships/hyperlink" Target="https://storage.googleapis.com/glide-prod.appspot.com/uploads-v2/ly7o78grxPaC6KdgvbpS/pub/3aRdSog0vUtuqPE8AJKD.png" TargetMode="External"/><Relationship Id="rId615" Type="http://schemas.openxmlformats.org/officeDocument/2006/relationships/hyperlink" Target="https://storage.googleapis.com/glide-prod.appspot.com/uploads-v2/ly7o78grxPaC6KdgvbpS/pub/3aRdSog0vUtuqPE8AJKD.png" TargetMode="External"/><Relationship Id="rId822" Type="http://schemas.openxmlformats.org/officeDocument/2006/relationships/hyperlink" Target="https://storage.googleapis.com/glide-prod.appspot.com/uploads-v2/ly7o78grxPaC6KdgvbpS/pub/3aRdSog0vUtuqPE8AJKD.png" TargetMode="External"/><Relationship Id="rId1038" Type="http://schemas.openxmlformats.org/officeDocument/2006/relationships/hyperlink" Target="https://storage.googleapis.com/glide-prod.appspot.com/uploads-v2/ly7o78grxPaC6KdgvbpS/pub/3aRdSog0vUtuqPE8AJKD.png" TargetMode="External"/><Relationship Id="rId1245" Type="http://schemas.openxmlformats.org/officeDocument/2006/relationships/hyperlink" Target="https://storage.googleapis.com/glide-prod.appspot.com/uploads-v2/ly7o78grxPaC6KdgvbpS/pub/3aRdSog0vUtuqPE8AJKD.png" TargetMode="External"/><Relationship Id="rId1452" Type="http://schemas.openxmlformats.org/officeDocument/2006/relationships/hyperlink" Target="https://storage.googleapis.com/glide-prod.appspot.com/uploads-v2/ly7o78grxPaC6KdgvbpS/pub/3aRdSog0vUtuqPE8AJKD.png" TargetMode="External"/><Relationship Id="rId254" Type="http://schemas.openxmlformats.org/officeDocument/2006/relationships/hyperlink" Target="https://storage.googleapis.com/glide-prod.appspot.com/uploads-v2/ly7o78grxPaC6KdgvbpS/pub/3aRdSog0vUtuqPE8AJKD.png" TargetMode="External"/><Relationship Id="rId699" Type="http://schemas.openxmlformats.org/officeDocument/2006/relationships/hyperlink" Target="https://storage.googleapis.com/glide-prod.appspot.com/uploads-v2/ly7o78grxPaC6KdgvbpS/pub/3aRdSog0vUtuqPE8AJKD.png" TargetMode="External"/><Relationship Id="rId1091" Type="http://schemas.openxmlformats.org/officeDocument/2006/relationships/hyperlink" Target="https://storage.googleapis.com/glide-prod.appspot.com/uploads-v2/ly7o78grxPaC6KdgvbpS/pub/3aRdSog0vUtuqPE8AJKD.png" TargetMode="External"/><Relationship Id="rId1105" Type="http://schemas.openxmlformats.org/officeDocument/2006/relationships/hyperlink" Target="https://storage.googleapis.com/glide-prod.appspot.com/uploads-v2/ly7o78grxPaC6KdgvbpS/pub/3aRdSog0vUtuqPE8AJKD.png" TargetMode="External"/><Relationship Id="rId1312" Type="http://schemas.openxmlformats.org/officeDocument/2006/relationships/hyperlink" Target="https://storage.googleapis.com/glide-prod.appspot.com/uploads-v2/ly7o78grxPaC6KdgvbpS/pub/3aRdSog0vUtuqPE8AJKD.png" TargetMode="External"/><Relationship Id="rId49" Type="http://schemas.openxmlformats.org/officeDocument/2006/relationships/hyperlink" Target="https://storage.googleapis.com/glide-prod.appspot.com/uploads-v2/ly7o78grxPaC6KdgvbpS/pub/3aRdSog0vUtuqPE8AJKD.png" TargetMode="External"/><Relationship Id="rId114" Type="http://schemas.openxmlformats.org/officeDocument/2006/relationships/hyperlink" Target="https://storage.googleapis.com/glide-prod.appspot.com/uploads-v2/ly7o78grxPaC6KdgvbpS/pub/3aRdSog0vUtuqPE8AJKD.png" TargetMode="External"/><Relationship Id="rId461" Type="http://schemas.openxmlformats.org/officeDocument/2006/relationships/hyperlink" Target="https://storage.googleapis.com/glide-prod.appspot.com/uploads-v2/ly7o78grxPaC6KdgvbpS/pub/3aRdSog0vUtuqPE8AJKD.png" TargetMode="External"/><Relationship Id="rId559" Type="http://schemas.openxmlformats.org/officeDocument/2006/relationships/hyperlink" Target="https://storage.googleapis.com/glide-prod.appspot.com/uploads-v2/ly7o78grxPaC6KdgvbpS/pub/3aRdSog0vUtuqPE8AJKD.png" TargetMode="External"/><Relationship Id="rId766" Type="http://schemas.openxmlformats.org/officeDocument/2006/relationships/hyperlink" Target="https://storage.googleapis.com/glide-prod.appspot.com/uploads-v2/ly7o78grxPaC6KdgvbpS/pub/3aRdSog0vUtuqPE8AJKD.png" TargetMode="External"/><Relationship Id="rId1189" Type="http://schemas.openxmlformats.org/officeDocument/2006/relationships/hyperlink" Target="https://storage.googleapis.com/glide-prod.appspot.com/uploads-v2/ly7o78grxPaC6KdgvbpS/pub/3aRdSog0vUtuqPE8AJKD.png" TargetMode="External"/><Relationship Id="rId1396" Type="http://schemas.openxmlformats.org/officeDocument/2006/relationships/hyperlink" Target="https://storage.googleapis.com/glide-prod.appspot.com/uploads-v2/ly7o78grxPaC6KdgvbpS/pub/3aRdSog0vUtuqPE8AJKD.png" TargetMode="External"/><Relationship Id="rId198" Type="http://schemas.openxmlformats.org/officeDocument/2006/relationships/hyperlink" Target="https://storage.googleapis.com/glide-prod.appspot.com/uploads-v2/ly7o78grxPaC6KdgvbpS/pub/3aRdSog0vUtuqPE8AJKD.png" TargetMode="External"/><Relationship Id="rId321" Type="http://schemas.openxmlformats.org/officeDocument/2006/relationships/hyperlink" Target="https://storage.googleapis.com/glide-prod.appspot.com/uploads-v2/ly7o78grxPaC6KdgvbpS/pub/3aRdSog0vUtuqPE8AJKD.png" TargetMode="External"/><Relationship Id="rId419" Type="http://schemas.openxmlformats.org/officeDocument/2006/relationships/hyperlink" Target="https://storage.googleapis.com/glide-prod.appspot.com/uploads-v2/ly7o78grxPaC6KdgvbpS/pub/3aRdSog0vUtuqPE8AJKD.png" TargetMode="External"/><Relationship Id="rId626" Type="http://schemas.openxmlformats.org/officeDocument/2006/relationships/hyperlink" Target="https://storage.googleapis.com/glide-prod.appspot.com/uploads-v2/ly7o78grxPaC6KdgvbpS/pub/3aRdSog0vUtuqPE8AJKD.png" TargetMode="External"/><Relationship Id="rId973" Type="http://schemas.openxmlformats.org/officeDocument/2006/relationships/hyperlink" Target="https://storage.googleapis.com/glide-prod.appspot.com/uploads-v2/ly7o78grxPaC6KdgvbpS/pub/3aRdSog0vUtuqPE8AJKD.png" TargetMode="External"/><Relationship Id="rId1049" Type="http://schemas.openxmlformats.org/officeDocument/2006/relationships/hyperlink" Target="https://storage.googleapis.com/glide-prod.appspot.com/uploads-v2/ly7o78grxPaC6KdgvbpS/pub/3aRdSog0vUtuqPE8AJKD.png" TargetMode="External"/><Relationship Id="rId1256" Type="http://schemas.openxmlformats.org/officeDocument/2006/relationships/hyperlink" Target="https://storage.googleapis.com/glide-prod.appspot.com/uploads-v2/ly7o78grxPaC6KdgvbpS/pub/UliJWgpEaBovaFmXi6OW.png" TargetMode="External"/><Relationship Id="rId833" Type="http://schemas.openxmlformats.org/officeDocument/2006/relationships/hyperlink" Target="https://storage.googleapis.com/glide-prod.appspot.com/uploads-v2/ly7o78grxPaC6KdgvbpS/pub/3aRdSog0vUtuqPE8AJKD.png" TargetMode="External"/><Relationship Id="rId1116" Type="http://schemas.openxmlformats.org/officeDocument/2006/relationships/hyperlink" Target="https://storage.googleapis.com/glide-prod.appspot.com/uploads-v2/ly7o78grxPaC6KdgvbpS/pub/3aRdSog0vUtuqPE8AJKD.png" TargetMode="External"/><Relationship Id="rId1463" Type="http://schemas.openxmlformats.org/officeDocument/2006/relationships/hyperlink" Target="https://storage.googleapis.com/glide-prod.appspot.com/uploads-v2/ly7o78grxPaC6KdgvbpS/pub/3aRdSog0vUtuqPE8AJKD.png" TargetMode="External"/><Relationship Id="rId265" Type="http://schemas.openxmlformats.org/officeDocument/2006/relationships/hyperlink" Target="https://storage.googleapis.com/glide-prod.appspot.com/uploads-v2/ly7o78grxPaC6KdgvbpS/pub/3aRdSog0vUtuqPE8AJKD.png" TargetMode="External"/><Relationship Id="rId472" Type="http://schemas.openxmlformats.org/officeDocument/2006/relationships/hyperlink" Target="https://storage.googleapis.com/glide-prod.appspot.com/uploads-v2/ly7o78grxPaC6KdgvbpS/pub/3aRdSog0vUtuqPE8AJKD.png" TargetMode="External"/><Relationship Id="rId900" Type="http://schemas.openxmlformats.org/officeDocument/2006/relationships/hyperlink" Target="https://storage.googleapis.com/glide-prod.appspot.com/uploads-v2/ly7o78grxPaC6KdgvbpS/pub/3aRdSog0vUtuqPE8AJKD.png" TargetMode="External"/><Relationship Id="rId1323" Type="http://schemas.openxmlformats.org/officeDocument/2006/relationships/hyperlink" Target="https://storage.googleapis.com/glide-prod.appspot.com/uploads-v2/ly7o78grxPaC6KdgvbpS/pub/3aRdSog0vUtuqPE8AJKD.png" TargetMode="External"/><Relationship Id="rId1530" Type="http://schemas.openxmlformats.org/officeDocument/2006/relationships/hyperlink" Target="https://storage.googleapis.com/glide-prod.appspot.com/uploads-v2/ly7o78grxPaC6KdgvbpS/pub/3aRdSog0vUtuqPE8AJKD.png" TargetMode="External"/><Relationship Id="rId125" Type="http://schemas.openxmlformats.org/officeDocument/2006/relationships/hyperlink" Target="https://storage.googleapis.com/glide-prod.appspot.com/uploads-v2/ly7o78grxPaC6KdgvbpS/pub/3aRdSog0vUtuqPE8AJKD.png" TargetMode="External"/><Relationship Id="rId332" Type="http://schemas.openxmlformats.org/officeDocument/2006/relationships/hyperlink" Target="https://storage.googleapis.com/glide-prod.appspot.com/uploads-v2/ly7o78grxPaC6KdgvbpS/pub/3aRdSog0vUtuqPE8AJKD.png" TargetMode="External"/><Relationship Id="rId777" Type="http://schemas.openxmlformats.org/officeDocument/2006/relationships/hyperlink" Target="https://storage.googleapis.com/glide-prod.appspot.com/uploads-v2/ly7o78grxPaC6KdgvbpS/pub/3aRdSog0vUtuqPE8AJKD.png" TargetMode="External"/><Relationship Id="rId984" Type="http://schemas.openxmlformats.org/officeDocument/2006/relationships/hyperlink" Target="https://storage.googleapis.com/glide-prod.appspot.com/uploads-v2/ly7o78grxPaC6KdgvbpS/pub/3aRdSog0vUtuqPE8AJKD.png" TargetMode="External"/><Relationship Id="rId637" Type="http://schemas.openxmlformats.org/officeDocument/2006/relationships/hyperlink" Target="https://storage.googleapis.com/glide-prod.appspot.com/uploads-v2/ly7o78grxPaC6KdgvbpS/pub/3aRdSog0vUtuqPE8AJKD.png" TargetMode="External"/><Relationship Id="rId844" Type="http://schemas.openxmlformats.org/officeDocument/2006/relationships/hyperlink" Target="https://storage.googleapis.com/glide-prod.appspot.com/uploads-v2/ly7o78grxPaC6KdgvbpS/pub/3aRdSog0vUtuqPE8AJKD.png" TargetMode="External"/><Relationship Id="rId1267" Type="http://schemas.openxmlformats.org/officeDocument/2006/relationships/hyperlink" Target="https://storage.googleapis.com/glide-prod.appspot.com/uploads-v2/ly7o78grxPaC6KdgvbpS/pub/3aRdSog0vUtuqPE8AJKD.png" TargetMode="External"/><Relationship Id="rId1474" Type="http://schemas.openxmlformats.org/officeDocument/2006/relationships/hyperlink" Target="https://storage.googleapis.com/glide-prod.appspot.com/uploads-v2/ly7o78grxPaC6KdgvbpS/pub/3aRdSog0vUtuqPE8AJKD.png" TargetMode="External"/><Relationship Id="rId276" Type="http://schemas.openxmlformats.org/officeDocument/2006/relationships/hyperlink" Target="https://storage.googleapis.com/glide-prod.appspot.com/uploads-v2/ly7o78grxPaC6KdgvbpS/pub/3aRdSog0vUtuqPE8AJKD.png" TargetMode="External"/><Relationship Id="rId483" Type="http://schemas.openxmlformats.org/officeDocument/2006/relationships/hyperlink" Target="https://storage.googleapis.com/glide-prod.appspot.com/uploads-v2/ly7o78grxPaC6KdgvbpS/pub/3aRdSog0vUtuqPE8AJKD.png" TargetMode="External"/><Relationship Id="rId690" Type="http://schemas.openxmlformats.org/officeDocument/2006/relationships/hyperlink" Target="https://storage.googleapis.com/glide-prod.appspot.com/uploads-v2/ly7o78grxPaC6KdgvbpS/pub/3aRdSog0vUtuqPE8AJKD.png" TargetMode="External"/><Relationship Id="rId704" Type="http://schemas.openxmlformats.org/officeDocument/2006/relationships/hyperlink" Target="https://storage.googleapis.com/glide-prod.appspot.com/uploads-v2/ly7o78grxPaC6KdgvbpS/pub/3aRdSog0vUtuqPE8AJKD.png" TargetMode="External"/><Relationship Id="rId911" Type="http://schemas.openxmlformats.org/officeDocument/2006/relationships/hyperlink" Target="https://storage.googleapis.com/glide-prod.appspot.com/uploads-v2/ly7o78grxPaC6KdgvbpS/pub/3aRdSog0vUtuqPE8AJKD.png" TargetMode="External"/><Relationship Id="rId1127" Type="http://schemas.openxmlformats.org/officeDocument/2006/relationships/hyperlink" Target="https://storage.googleapis.com/glide-prod.appspot.com/uploads-v2/ly7o78grxPaC6KdgvbpS/pub/nqhXBd5eSmaihIosP4Pi.jpg" TargetMode="External"/><Relationship Id="rId1334" Type="http://schemas.openxmlformats.org/officeDocument/2006/relationships/hyperlink" Target="https://storage.googleapis.com/glide-prod.appspot.com/uploads-v2/ly7o78grxPaC6KdgvbpS/pub/RGqnrat1LSwUo4lQNpN8/17029108864996761254980942977218.jpg" TargetMode="External"/><Relationship Id="rId1541" Type="http://schemas.openxmlformats.org/officeDocument/2006/relationships/hyperlink" Target="https://storage.googleapis.com/glide-prod.appspot.com/uploads-v2/ly7o78grxPaC6KdgvbpS/pub/3aRdSog0vUtuqPE8AJKD.png" TargetMode="External"/><Relationship Id="rId40" Type="http://schemas.openxmlformats.org/officeDocument/2006/relationships/hyperlink" Target="https://storage.googleapis.com/glide-prod.appspot.com/uploads-v2/ly7o78grxPaC6KdgvbpS/pub/jWOccoUypqdGtvCnFwVJ.jpg" TargetMode="External"/><Relationship Id="rId136" Type="http://schemas.openxmlformats.org/officeDocument/2006/relationships/hyperlink" Target="https://storage.googleapis.com/glide-prod.appspot.com/uploads-v2/ly7o78grxPaC6KdgvbpS/pub/3aRdSog0vUtuqPE8AJKD.png" TargetMode="External"/><Relationship Id="rId343" Type="http://schemas.openxmlformats.org/officeDocument/2006/relationships/hyperlink" Target="https://storage.googleapis.com/glide-prod.appspot.com/uploads-v2/ly7o78grxPaC6KdgvbpS/pub/3aRdSog0vUtuqPE8AJKD.png" TargetMode="External"/><Relationship Id="rId550" Type="http://schemas.openxmlformats.org/officeDocument/2006/relationships/hyperlink" Target="https://storage.googleapis.com/glide-prod.appspot.com/uploads-v2/ly7o78grxPaC6KdgvbpS/pub/3aRdSog0vUtuqPE8AJKD.png" TargetMode="External"/><Relationship Id="rId788" Type="http://schemas.openxmlformats.org/officeDocument/2006/relationships/hyperlink" Target="https://storage.googleapis.com/glide-prod.appspot.com/uploads-v2/ly7o78grxPaC6KdgvbpS/pub/3aRdSog0vUtuqPE8AJKD.png" TargetMode="External"/><Relationship Id="rId995" Type="http://schemas.openxmlformats.org/officeDocument/2006/relationships/hyperlink" Target="https://storage.googleapis.com/glide-prod.appspot.com/uploads-v2/ly7o78grxPaC6KdgvbpS/pub/3aRdSog0vUtuqPE8AJKD.png" TargetMode="External"/><Relationship Id="rId1180" Type="http://schemas.openxmlformats.org/officeDocument/2006/relationships/hyperlink" Target="https://storage.googleapis.com/glide-prod.appspot.com/uploads-v2/ly7o78grxPaC6KdgvbpS/pub/3aRdSog0vUtuqPE8AJKD.png" TargetMode="External"/><Relationship Id="rId1401" Type="http://schemas.openxmlformats.org/officeDocument/2006/relationships/hyperlink" Target="https://storage.googleapis.com/glide-prod.appspot.com/uploads-v2/ly7o78grxPaC6KdgvbpS/pub/zLzHB3yyhLu8D2Ne9FCH.jpg" TargetMode="External"/><Relationship Id="rId203" Type="http://schemas.openxmlformats.org/officeDocument/2006/relationships/hyperlink" Target="https://storage.googleapis.com/glide-prod.appspot.com/uploads-v2/ly7o78grxPaC6KdgvbpS/pub/3aRdSog0vUtuqPE8AJKD.png" TargetMode="External"/><Relationship Id="rId648" Type="http://schemas.openxmlformats.org/officeDocument/2006/relationships/hyperlink" Target="https://storage.googleapis.com/glide-prod.appspot.com/uploads-v2/ly7o78grxPaC6KdgvbpS/pub/3aRdSog0vUtuqPE8AJKD.png" TargetMode="External"/><Relationship Id="rId855" Type="http://schemas.openxmlformats.org/officeDocument/2006/relationships/hyperlink" Target="https://storage.googleapis.com/glide-prod.appspot.com/uploads-v2/ly7o78grxPaC6KdgvbpS/pub/3aRdSog0vUtuqPE8AJKD.png" TargetMode="External"/><Relationship Id="rId1040" Type="http://schemas.openxmlformats.org/officeDocument/2006/relationships/hyperlink" Target="https://storage.googleapis.com/glide-prod.appspot.com/uploads-v2/ly7o78grxPaC6KdgvbpS/pub/3aRdSog0vUtuqPE8AJKD.png" TargetMode="External"/><Relationship Id="rId1278" Type="http://schemas.openxmlformats.org/officeDocument/2006/relationships/hyperlink" Target="https://storage.googleapis.com/glide-prod.appspot.com/uploads-v2/ly7o78grxPaC6KdgvbpS/pub/3aRdSog0vUtuqPE8AJKD.png" TargetMode="External"/><Relationship Id="rId1485" Type="http://schemas.openxmlformats.org/officeDocument/2006/relationships/hyperlink" Target="https://storage.googleapis.com/glide-prod.appspot.com/uploads-v2/ly7o78grxPaC6KdgvbpS/pub/3aRdSog0vUtuqPE8AJKD.png" TargetMode="External"/><Relationship Id="rId287" Type="http://schemas.openxmlformats.org/officeDocument/2006/relationships/hyperlink" Target="https://storage.googleapis.com/glide-prod.appspot.com/uploads-v2/ly7o78grxPaC6KdgvbpS/pub/3aRdSog0vUtuqPE8AJKD.png" TargetMode="External"/><Relationship Id="rId410" Type="http://schemas.openxmlformats.org/officeDocument/2006/relationships/hyperlink" Target="https://storage.googleapis.com/glide-prod.appspot.com/uploads-v2/ly7o78grxPaC6KdgvbpS/pub/3aRdSog0vUtuqPE8AJKD.png" TargetMode="External"/><Relationship Id="rId494" Type="http://schemas.openxmlformats.org/officeDocument/2006/relationships/hyperlink" Target="https://storage.googleapis.com/glide-prod.appspot.com/uploads-v2/ly7o78grxPaC6KdgvbpS/pub/3aRdSog0vUtuqPE8AJKD.png" TargetMode="External"/><Relationship Id="rId508" Type="http://schemas.openxmlformats.org/officeDocument/2006/relationships/hyperlink" Target="https://storage.googleapis.com/glide-prod.appspot.com/uploads-v2/ly7o78grxPaC6KdgvbpS/pub/3aRdSog0vUtuqPE8AJKD.png" TargetMode="External"/><Relationship Id="rId715" Type="http://schemas.openxmlformats.org/officeDocument/2006/relationships/hyperlink" Target="https://storage.googleapis.com/glide-prod.appspot.com/uploads-v2/ly7o78grxPaC6KdgvbpS/pub/3aRdSog0vUtuqPE8AJKD.png" TargetMode="External"/><Relationship Id="rId922" Type="http://schemas.openxmlformats.org/officeDocument/2006/relationships/hyperlink" Target="https://storage.googleapis.com/glide-prod.appspot.com/uploads-v2/ly7o78grxPaC6KdgvbpS/pub/3aRdSog0vUtuqPE8AJKD.png" TargetMode="External"/><Relationship Id="rId1138" Type="http://schemas.openxmlformats.org/officeDocument/2006/relationships/hyperlink" Target="https://storage.googleapis.com/glide-prod.appspot.com/uploads-v2/ly7o78grxPaC6KdgvbpS/pub/3aRdSog0vUtuqPE8AJKD.png" TargetMode="External"/><Relationship Id="rId1345" Type="http://schemas.openxmlformats.org/officeDocument/2006/relationships/hyperlink" Target="https://storage.googleapis.com/glide-prod.appspot.com/uploads-v2/ly7o78grxPaC6KdgvbpS/pub/3aRdSog0vUtuqPE8AJKD.png" TargetMode="External"/><Relationship Id="rId1552" Type="http://schemas.openxmlformats.org/officeDocument/2006/relationships/hyperlink" Target="https://storage.googleapis.com/glide-prod.appspot.com/uploads-v2/ly7o78grxPaC6KdgvbpS/pub/3aRdSog0vUtuqPE8AJKD.png" TargetMode="External"/><Relationship Id="rId147" Type="http://schemas.openxmlformats.org/officeDocument/2006/relationships/hyperlink" Target="https://storage.googleapis.com/glide-prod.appspot.com/uploads-v2/ly7o78grxPaC6KdgvbpS/pub/3aRdSog0vUtuqPE8AJKD.png" TargetMode="External"/><Relationship Id="rId354" Type="http://schemas.openxmlformats.org/officeDocument/2006/relationships/hyperlink" Target="https://storage.googleapis.com/glide-prod.appspot.com/uploads-v2/ly7o78grxPaC6KdgvbpS/pub/3aRdSog0vUtuqPE8AJKD.png" TargetMode="External"/><Relationship Id="rId799" Type="http://schemas.openxmlformats.org/officeDocument/2006/relationships/hyperlink" Target="https://storage.googleapis.com/glide-prod.appspot.com/uploads-v2/ly7o78grxPaC6KdgvbpS/pub/3aRdSog0vUtuqPE8AJKD.png" TargetMode="External"/><Relationship Id="rId1191" Type="http://schemas.openxmlformats.org/officeDocument/2006/relationships/hyperlink" Target="https://storage.googleapis.com/glide-prod.appspot.com/uploads-v2/ly7o78grxPaC6KdgvbpS/pub/3aRdSog0vUtuqPE8AJKD.png" TargetMode="External"/><Relationship Id="rId1205" Type="http://schemas.openxmlformats.org/officeDocument/2006/relationships/hyperlink" Target="https://storage.googleapis.com/glide-prod.appspot.com/uploads-v2/ly7o78grxPaC6KdgvbpS/pub/3aRdSog0vUtuqPE8AJKD.png" TargetMode="External"/><Relationship Id="rId51" Type="http://schemas.openxmlformats.org/officeDocument/2006/relationships/hyperlink" Target="https://storage.googleapis.com/glide-prod.appspot.com/uploads-v2/ly7o78grxPaC6KdgvbpS/pub/3aRdSog0vUtuqPE8AJKD.png" TargetMode="External"/><Relationship Id="rId561" Type="http://schemas.openxmlformats.org/officeDocument/2006/relationships/hyperlink" Target="https://storage.googleapis.com/glide-prod.appspot.com/uploads-v2/ly7o78grxPaC6KdgvbpS/pub/3aRdSog0vUtuqPE8AJKD.png" TargetMode="External"/><Relationship Id="rId659" Type="http://schemas.openxmlformats.org/officeDocument/2006/relationships/hyperlink" Target="https://storage.googleapis.com/glide-prod.appspot.com/uploads-v2/ly7o78grxPaC6KdgvbpS/pub/3aRdSog0vUtuqPE8AJKD.png" TargetMode="External"/><Relationship Id="rId866" Type="http://schemas.openxmlformats.org/officeDocument/2006/relationships/hyperlink" Target="https://storage.googleapis.com/glide-prod.appspot.com/uploads-v2/ly7o78grxPaC6KdgvbpS/pub/3aRdSog0vUtuqPE8AJKD.png" TargetMode="External"/><Relationship Id="rId1289" Type="http://schemas.openxmlformats.org/officeDocument/2006/relationships/hyperlink" Target="https://storage.googleapis.com/glide-prod.appspot.com/uploads-v2/ly7o78grxPaC6KdgvbpS/pub/3aRdSog0vUtuqPE8AJKD.png" TargetMode="External"/><Relationship Id="rId1412" Type="http://schemas.openxmlformats.org/officeDocument/2006/relationships/hyperlink" Target="https://storage.googleapis.com/glide-prod.appspot.com/uploads-v2/ly7o78grxPaC6KdgvbpS/pub/3aRdSog0vUtuqPE8AJKD.png" TargetMode="External"/><Relationship Id="rId1496" Type="http://schemas.openxmlformats.org/officeDocument/2006/relationships/hyperlink" Target="https://storage.googleapis.com/glide-prod.appspot.com/uploads-v2/ly7o78grxPaC6KdgvbpS/pub/3aRdSog0vUtuqPE8AJKD.png" TargetMode="External"/><Relationship Id="rId214" Type="http://schemas.openxmlformats.org/officeDocument/2006/relationships/hyperlink" Target="https://storage.googleapis.com/glide-prod.appspot.com/uploads-v2/ly7o78grxPaC6KdgvbpS/pub/3aRdSog0vUtuqPE8AJKD.png" TargetMode="External"/><Relationship Id="rId298" Type="http://schemas.openxmlformats.org/officeDocument/2006/relationships/hyperlink" Target="https://storage.googleapis.com/glide-prod.appspot.com/uploads-v2/ly7o78grxPaC6KdgvbpS/pub/3aRdSog0vUtuqPE8AJKD.png" TargetMode="External"/><Relationship Id="rId421" Type="http://schemas.openxmlformats.org/officeDocument/2006/relationships/hyperlink" Target="https://storage.googleapis.com/glide-prod.appspot.com/uploads-v2/ly7o78grxPaC6KdgvbpS/pub/3aRdSog0vUtuqPE8AJKD.png" TargetMode="External"/><Relationship Id="rId519" Type="http://schemas.openxmlformats.org/officeDocument/2006/relationships/hyperlink" Target="https://storage.googleapis.com/glide-prod.appspot.com/uploads-v2/ly7o78grxPaC6KdgvbpS/pub/3aRdSog0vUtuqPE8AJKD.png" TargetMode="External"/><Relationship Id="rId1051" Type="http://schemas.openxmlformats.org/officeDocument/2006/relationships/hyperlink" Target="https://storage.googleapis.com/glide-prod.appspot.com/uploads-v2/ly7o78grxPaC6KdgvbpS/pub/3aRdSog0vUtuqPE8AJKD.png" TargetMode="External"/><Relationship Id="rId1149" Type="http://schemas.openxmlformats.org/officeDocument/2006/relationships/hyperlink" Target="https://storage.googleapis.com/glide-prod.appspot.com/uploads-v2/ly7o78grxPaC6KdgvbpS/pub/3aRdSog0vUtuqPE8AJKD.png" TargetMode="External"/><Relationship Id="rId1356" Type="http://schemas.openxmlformats.org/officeDocument/2006/relationships/hyperlink" Target="https://storage.googleapis.com/glide-prod.appspot.com/uploads-v2/ly7o78grxPaC6KdgvbpS/pub/3aRdSog0vUtuqPE8AJKD.png" TargetMode="External"/><Relationship Id="rId158" Type="http://schemas.openxmlformats.org/officeDocument/2006/relationships/hyperlink" Target="https://storage.googleapis.com/glide-prod.appspot.com/uploads-v2/ly7o78grxPaC6KdgvbpS/pub/3aRdSog0vUtuqPE8AJKD.png" TargetMode="External"/><Relationship Id="rId726" Type="http://schemas.openxmlformats.org/officeDocument/2006/relationships/hyperlink" Target="https://storage.googleapis.com/glide-prod.appspot.com/uploads-v2/ly7o78grxPaC6KdgvbpS/pub/3aRdSog0vUtuqPE8AJKD.png" TargetMode="External"/><Relationship Id="rId933" Type="http://schemas.openxmlformats.org/officeDocument/2006/relationships/hyperlink" Target="https://storage.googleapis.com/glide-prod.appspot.com/uploads-v2/ly7o78grxPaC6KdgvbpS/pub/3aRdSog0vUtuqPE8AJKD.png" TargetMode="External"/><Relationship Id="rId1009" Type="http://schemas.openxmlformats.org/officeDocument/2006/relationships/hyperlink" Target="https://storage.googleapis.com/glide-prod.appspot.com/uploads-v2/ly7o78grxPaC6KdgvbpS/pub/3aRdSog0vUtuqPE8AJKD.png" TargetMode="External"/><Relationship Id="rId1563" Type="http://schemas.openxmlformats.org/officeDocument/2006/relationships/hyperlink" Target="https://storage.googleapis.com/glide-prod.appspot.com/uploads-v2/ly7o78grxPaC6KdgvbpS/pub/3aRdSog0vUtuqPE8AJKD.png" TargetMode="External"/><Relationship Id="rId62" Type="http://schemas.openxmlformats.org/officeDocument/2006/relationships/hyperlink" Target="https://storage.googleapis.com/glide-prod.appspot.com/uploads-v2/ly7o78grxPaC6KdgvbpS/pub/3aRdSog0vUtuqPE8AJKD.png" TargetMode="External"/><Relationship Id="rId365" Type="http://schemas.openxmlformats.org/officeDocument/2006/relationships/hyperlink" Target="https://storage.googleapis.com/glide-prod.appspot.com/uploads-v2/ly7o78grxPaC6KdgvbpS/pub/3aRdSog0vUtuqPE8AJKD.png" TargetMode="External"/><Relationship Id="rId572" Type="http://schemas.openxmlformats.org/officeDocument/2006/relationships/hyperlink" Target="https://storage.googleapis.com/glide-prod.appspot.com/uploads-v2/ly7o78grxPaC6KdgvbpS/pub/3aRdSog0vUtuqPE8AJKD.png" TargetMode="External"/><Relationship Id="rId1216" Type="http://schemas.openxmlformats.org/officeDocument/2006/relationships/hyperlink" Target="https://storage.googleapis.com/glide-prod.appspot.com/uploads-v2/ly7o78grxPaC6KdgvbpS/pub/UliJWgpEaBovaFmXi6OW.png" TargetMode="External"/><Relationship Id="rId1423" Type="http://schemas.openxmlformats.org/officeDocument/2006/relationships/hyperlink" Target="https://storage.googleapis.com/glide-prod.appspot.com/uploads-v2/ly7o78grxPaC6KdgvbpS/pub/3aRdSog0vUtuqPE8AJKD.png" TargetMode="External"/><Relationship Id="rId225" Type="http://schemas.openxmlformats.org/officeDocument/2006/relationships/hyperlink" Target="https://storage.googleapis.com/glide-prod.appspot.com/uploads-v2/ly7o78grxPaC6KdgvbpS/pub/3aRdSog0vUtuqPE8AJKD.png" TargetMode="External"/><Relationship Id="rId432" Type="http://schemas.openxmlformats.org/officeDocument/2006/relationships/hyperlink" Target="https://storage.googleapis.com/glide-prod.appspot.com/uploads-v2/ly7o78grxPaC6KdgvbpS/pub/3aRdSog0vUtuqPE8AJKD.png" TargetMode="External"/><Relationship Id="rId877" Type="http://schemas.openxmlformats.org/officeDocument/2006/relationships/hyperlink" Target="https://storage.googleapis.com/glide-prod.appspot.com/uploads-v2/ly7o78grxPaC6KdgvbpS/pub/3aRdSog0vUtuqPE8AJKD.png" TargetMode="External"/><Relationship Id="rId1062" Type="http://schemas.openxmlformats.org/officeDocument/2006/relationships/hyperlink" Target="https://storage.googleapis.com/glide-prod.appspot.com/uploads-v2/ly7o78grxPaC6KdgvbpS/pub/3aRdSog0vUtuqPE8AJKD.png" TargetMode="External"/><Relationship Id="rId737" Type="http://schemas.openxmlformats.org/officeDocument/2006/relationships/hyperlink" Target="https://storage.googleapis.com/glide-prod.appspot.com/uploads-v2/ly7o78grxPaC6KdgvbpS/pub/3aRdSog0vUtuqPE8AJKD.png" TargetMode="External"/><Relationship Id="rId944" Type="http://schemas.openxmlformats.org/officeDocument/2006/relationships/hyperlink" Target="https://storage.googleapis.com/glide-prod.appspot.com/uploads-v2/ly7o78grxPaC6KdgvbpS/pub/3aRdSog0vUtuqPE8AJKD.png" TargetMode="External"/><Relationship Id="rId1367" Type="http://schemas.openxmlformats.org/officeDocument/2006/relationships/hyperlink" Target="https://storage.googleapis.com/glide-prod.appspot.com/uploads-v2/ly7o78grxPaC6KdgvbpS/pub/3aRdSog0vUtuqPE8AJKD.png" TargetMode="External"/><Relationship Id="rId1574" Type="http://schemas.openxmlformats.org/officeDocument/2006/relationships/hyperlink" Target="https://storage.googleapis.com/glide-prod.appspot.com/uploads-v2/ly7o78grxPaC6KdgvbpS/pub/3aRdSog0vUtuqPE8AJKD.png" TargetMode="External"/><Relationship Id="rId73" Type="http://schemas.openxmlformats.org/officeDocument/2006/relationships/hyperlink" Target="https://storage.googleapis.com/glide-prod.appspot.com/uploads-v2/ly7o78grxPaC6KdgvbpS/pub/3aRdSog0vUtuqPE8AJKD.png" TargetMode="External"/><Relationship Id="rId169" Type="http://schemas.openxmlformats.org/officeDocument/2006/relationships/hyperlink" Target="https://storage.googleapis.com/glide-prod.appspot.com/uploads-v2/ly7o78grxPaC6KdgvbpS/pub/3aRdSog0vUtuqPE8AJKD.png" TargetMode="External"/><Relationship Id="rId376" Type="http://schemas.openxmlformats.org/officeDocument/2006/relationships/hyperlink" Target="https://storage.googleapis.com/glide-prod.appspot.com/uploads-v2/ly7o78grxPaC6KdgvbpS/pub/3aRdSog0vUtuqPE8AJKD.png" TargetMode="External"/><Relationship Id="rId583" Type="http://schemas.openxmlformats.org/officeDocument/2006/relationships/hyperlink" Target="https://storage.googleapis.com/glide-prod.appspot.com/uploads-v2/ly7o78grxPaC6KdgvbpS/pub/1MUXc93eszSVneubGzdE.jpg" TargetMode="External"/><Relationship Id="rId790" Type="http://schemas.openxmlformats.org/officeDocument/2006/relationships/hyperlink" Target="https://storage.googleapis.com/glide-prod.appspot.com/uploads-v2/ly7o78grxPaC6KdgvbpS/pub/3aRdSog0vUtuqPE8AJKD.png" TargetMode="External"/><Relationship Id="rId804" Type="http://schemas.openxmlformats.org/officeDocument/2006/relationships/hyperlink" Target="https://storage.googleapis.com/glide-prod.appspot.com/uploads-v2/ly7o78grxPaC6KdgvbpS/pub/3aRdSog0vUtuqPE8AJKD.png" TargetMode="External"/><Relationship Id="rId1227" Type="http://schemas.openxmlformats.org/officeDocument/2006/relationships/hyperlink" Target="https://storage.googleapis.com/glide-prod.appspot.com/uploads-v2/ly7o78grxPaC6KdgvbpS/pub/3aRdSog0vUtuqPE8AJKD.png" TargetMode="External"/><Relationship Id="rId1434" Type="http://schemas.openxmlformats.org/officeDocument/2006/relationships/hyperlink" Target="https://storage.googleapis.com/glide-prod.appspot.com/uploads-v2/ly7o78grxPaC6KdgvbpS/pub/UliJWgpEaBovaFmXi6OW.png" TargetMode="External"/><Relationship Id="rId4" Type="http://schemas.openxmlformats.org/officeDocument/2006/relationships/hyperlink" Target="https://storage.googleapis.com/glide-prod.appspot.com/uploads-v2/ly7o78grxPaC6KdgvbpS/pub/3aRdSog0vUtuqPE8AJKD.png" TargetMode="External"/><Relationship Id="rId236" Type="http://schemas.openxmlformats.org/officeDocument/2006/relationships/hyperlink" Target="https://storage.googleapis.com/glide-prod.appspot.com/uploads-v2/ly7o78grxPaC6KdgvbpS/pub/3aRdSog0vUtuqPE8AJKD.png" TargetMode="External"/><Relationship Id="rId443" Type="http://schemas.openxmlformats.org/officeDocument/2006/relationships/hyperlink" Target="https://storage.googleapis.com/glide-prod.appspot.com/uploads-v2/ly7o78grxPaC6KdgvbpS/pub/3aRdSog0vUtuqPE8AJKD.png" TargetMode="External"/><Relationship Id="rId650" Type="http://schemas.openxmlformats.org/officeDocument/2006/relationships/hyperlink" Target="https://storage.googleapis.com/glide-prod.appspot.com/uploads-v2/ly7o78grxPaC6KdgvbpS/pub/3aRdSog0vUtuqPE8AJKD.png" TargetMode="External"/><Relationship Id="rId888" Type="http://schemas.openxmlformats.org/officeDocument/2006/relationships/hyperlink" Target="https://storage.googleapis.com/glide-prod.appspot.com/uploads-v2/ly7o78grxPaC6KdgvbpS/pub/3aRdSog0vUtuqPE8AJKD.png" TargetMode="External"/><Relationship Id="rId1073" Type="http://schemas.openxmlformats.org/officeDocument/2006/relationships/hyperlink" Target="https://storage.googleapis.com/glide-prod.appspot.com/uploads-v2/ly7o78grxPaC6KdgvbpS/pub/3aRdSog0vUtuqPE8AJKD.png" TargetMode="External"/><Relationship Id="rId1280" Type="http://schemas.openxmlformats.org/officeDocument/2006/relationships/hyperlink" Target="https://storage.googleapis.com/glide-prod.appspot.com/uploads-v2/ly7o78grxPaC6KdgvbpS/pub/3aRdSog0vUtuqPE8AJKD.png" TargetMode="External"/><Relationship Id="rId1501" Type="http://schemas.openxmlformats.org/officeDocument/2006/relationships/hyperlink" Target="https://storage.googleapis.com/glide-prod.appspot.com/uploads-v2/ly7o78grxPaC6KdgvbpS/pub/3aRdSog0vUtuqPE8AJKD.png" TargetMode="External"/><Relationship Id="rId303" Type="http://schemas.openxmlformats.org/officeDocument/2006/relationships/hyperlink" Target="https://storage.googleapis.com/glide-prod.appspot.com/uploads-v2/ly7o78grxPaC6KdgvbpS/pub/3aRdSog0vUtuqPE8AJKD.png" TargetMode="External"/><Relationship Id="rId748" Type="http://schemas.openxmlformats.org/officeDocument/2006/relationships/hyperlink" Target="https://storage.googleapis.com/glide-prod.appspot.com/uploads-v2/ly7o78grxPaC6KdgvbpS/pub/3aRdSog0vUtuqPE8AJKD.png" TargetMode="External"/><Relationship Id="rId955" Type="http://schemas.openxmlformats.org/officeDocument/2006/relationships/hyperlink" Target="https://storage.googleapis.com/glide-prod.appspot.com/uploads-v2/ly7o78grxPaC6KdgvbpS/pub/3aRdSog0vUtuqPE8AJKD.png" TargetMode="External"/><Relationship Id="rId1140" Type="http://schemas.openxmlformats.org/officeDocument/2006/relationships/hyperlink" Target="https://storage.googleapis.com/glide-prod.appspot.com/uploads-v2/ly7o78grxPaC6KdgvbpS/pub/3aRdSog0vUtuqPE8AJKD.png" TargetMode="External"/><Relationship Id="rId1378" Type="http://schemas.openxmlformats.org/officeDocument/2006/relationships/hyperlink" Target="https://storage.googleapis.com/glide-prod.appspot.com/uploads-v2/ly7o78grxPaC6KdgvbpS/pub/3aRdSog0vUtuqPE8AJKD.png" TargetMode="External"/><Relationship Id="rId1585" Type="http://schemas.openxmlformats.org/officeDocument/2006/relationships/hyperlink" Target="https://storage.googleapis.com/glide-prod.appspot.com/uploads-v2/ly7o78grxPaC6KdgvbpS/pub/3aRdSog0vUtuqPE8AJKD.png" TargetMode="External"/><Relationship Id="rId84" Type="http://schemas.openxmlformats.org/officeDocument/2006/relationships/hyperlink" Target="https://storage.googleapis.com/glide-prod.appspot.com/uploads-v2/ly7o78grxPaC6KdgvbpS/pub/3aRdSog0vUtuqPE8AJKD.png" TargetMode="External"/><Relationship Id="rId387" Type="http://schemas.openxmlformats.org/officeDocument/2006/relationships/hyperlink" Target="https://storage.googleapis.com/glide-prod.appspot.com/uploads-v2/ly7o78grxPaC6KdgvbpS/pub/3aRdSog0vUtuqPE8AJKD.png" TargetMode="External"/><Relationship Id="rId510" Type="http://schemas.openxmlformats.org/officeDocument/2006/relationships/hyperlink" Target="https://storage.googleapis.com/glide-prod.appspot.com/uploads-v2/ly7o78grxPaC6KdgvbpS/pub/3aRdSog0vUtuqPE8AJKD.png" TargetMode="External"/><Relationship Id="rId594" Type="http://schemas.openxmlformats.org/officeDocument/2006/relationships/hyperlink" Target="https://storage.googleapis.com/glide-prod.appspot.com/uploads-v2/ly7o78grxPaC6KdgvbpS/pub/3aRdSog0vUtuqPE8AJKD.png" TargetMode="External"/><Relationship Id="rId608" Type="http://schemas.openxmlformats.org/officeDocument/2006/relationships/hyperlink" Target="https://storage.googleapis.com/glide-prod.appspot.com/uploads-v2/ly7o78grxPaC6KdgvbpS/pub/3aRdSog0vUtuqPE8AJKD.png" TargetMode="External"/><Relationship Id="rId815" Type="http://schemas.openxmlformats.org/officeDocument/2006/relationships/hyperlink" Target="https://storage.googleapis.com/glide-prod.appspot.com/uploads-v2/ly7o78grxPaC6KdgvbpS/pub/3aRdSog0vUtuqPE8AJKD.png" TargetMode="External"/><Relationship Id="rId1238" Type="http://schemas.openxmlformats.org/officeDocument/2006/relationships/hyperlink" Target="https://storage.googleapis.com/glide-prod.appspot.com/uploads-v2/ly7o78grxPaC6KdgvbpS/pub/3aRdSog0vUtuqPE8AJKD.png" TargetMode="External"/><Relationship Id="rId1445" Type="http://schemas.openxmlformats.org/officeDocument/2006/relationships/hyperlink" Target="https://storage.googleapis.com/glide-prod.appspot.com/uploads-v2/ly7o78grxPaC6KdgvbpS/pub/3aRdSog0vUtuqPE8AJKD.png" TargetMode="External"/><Relationship Id="rId247" Type="http://schemas.openxmlformats.org/officeDocument/2006/relationships/hyperlink" Target="https://storage.googleapis.com/glide-prod.appspot.com/uploads-v2/ly7o78grxPaC6KdgvbpS/pub/3aRdSog0vUtuqPE8AJKD.png" TargetMode="External"/><Relationship Id="rId899" Type="http://schemas.openxmlformats.org/officeDocument/2006/relationships/hyperlink" Target="https://storage.googleapis.com/glide-prod.appspot.com/uploads-v2/ly7o78grxPaC6KdgvbpS/pub/3aRdSog0vUtuqPE8AJKD.png" TargetMode="External"/><Relationship Id="rId1000" Type="http://schemas.openxmlformats.org/officeDocument/2006/relationships/hyperlink" Target="https://storage.googleapis.com/glide-prod.appspot.com/uploads-v2/ly7o78grxPaC6KdgvbpS/pub/3aRdSog0vUtuqPE8AJKD.png" TargetMode="External"/><Relationship Id="rId1084" Type="http://schemas.openxmlformats.org/officeDocument/2006/relationships/hyperlink" Target="https://storage.googleapis.com/glide-prod.appspot.com/uploads-v2/ly7o78grxPaC6KdgvbpS/pub/3aRdSog0vUtuqPE8AJKD.png" TargetMode="External"/><Relationship Id="rId1305" Type="http://schemas.openxmlformats.org/officeDocument/2006/relationships/hyperlink" Target="https://storage.googleapis.com/glide-prod.appspot.com/uploads-v2/ly7o78grxPaC6KdgvbpS/pub/3aRdSog0vUtuqPE8AJKD.png" TargetMode="External"/><Relationship Id="rId107" Type="http://schemas.openxmlformats.org/officeDocument/2006/relationships/hyperlink" Target="https://storage.googleapis.com/glide-prod.appspot.com/uploads-v2/ly7o78grxPaC6KdgvbpS/pub/3aRdSog0vUtuqPE8AJKD.png" TargetMode="External"/><Relationship Id="rId454" Type="http://schemas.openxmlformats.org/officeDocument/2006/relationships/hyperlink" Target="https://storage.googleapis.com/glide-prod.appspot.com/uploads-v2/ly7o78grxPaC6KdgvbpS/pub/3aRdSog0vUtuqPE8AJKD.png" TargetMode="External"/><Relationship Id="rId661" Type="http://schemas.openxmlformats.org/officeDocument/2006/relationships/hyperlink" Target="https://storage.googleapis.com/glide-prod.appspot.com/uploads-v2/ly7o78grxPaC6KdgvbpS/pub/3aRdSog0vUtuqPE8AJKD.png" TargetMode="External"/><Relationship Id="rId759" Type="http://schemas.openxmlformats.org/officeDocument/2006/relationships/hyperlink" Target="https://storage.googleapis.com/glide-prod.appspot.com/uploads-v2/ly7o78grxPaC6KdgvbpS/pub/3aRdSog0vUtuqPE8AJKD.png" TargetMode="External"/><Relationship Id="rId966" Type="http://schemas.openxmlformats.org/officeDocument/2006/relationships/hyperlink" Target="https://storage.googleapis.com/glide-prod.appspot.com/uploads-v2/ly7o78grxPaC6KdgvbpS/pub/3aRdSog0vUtuqPE8AJKD.png" TargetMode="External"/><Relationship Id="rId1291" Type="http://schemas.openxmlformats.org/officeDocument/2006/relationships/hyperlink" Target="https://storage.googleapis.com/glide-prod.appspot.com/uploads-v2/ly7o78grxPaC6KdgvbpS/pub/3aRdSog0vUtuqPE8AJKD.png" TargetMode="External"/><Relationship Id="rId1389" Type="http://schemas.openxmlformats.org/officeDocument/2006/relationships/hyperlink" Target="https://storage.googleapis.com/glide-prod.appspot.com/uploads-v2/ly7o78grxPaC6KdgvbpS/pub/3aRdSog0vUtuqPE8AJKD.png" TargetMode="External"/><Relationship Id="rId1512" Type="http://schemas.openxmlformats.org/officeDocument/2006/relationships/hyperlink" Target="https://storage.googleapis.com/glide-prod.appspot.com/uploads-v2/ly7o78grxPaC6KdgvbpS/pub/vhlAfN2a9EhoPRHnaoV6.jpg" TargetMode="External"/><Relationship Id="rId1596" Type="http://schemas.openxmlformats.org/officeDocument/2006/relationships/hyperlink" Target="https://storage.googleapis.com/glide-prod.appspot.com/uploads-v2/ly7o78grxPaC6KdgvbpS/pub/yvtCGRAPIbS0tVLIlehH.png" TargetMode="External"/><Relationship Id="rId11" Type="http://schemas.openxmlformats.org/officeDocument/2006/relationships/hyperlink" Target="https://storage.googleapis.com/glide-prod.appspot.com/uploads-v2/ly7o78grxPaC6KdgvbpS/pub/3aRdSog0vUtuqPE8AJKD.png" TargetMode="External"/><Relationship Id="rId314" Type="http://schemas.openxmlformats.org/officeDocument/2006/relationships/hyperlink" Target="https://storage.googleapis.com/glide-prod.appspot.com/uploads-v2/ly7o78grxPaC6KdgvbpS/pub/3aRdSog0vUtuqPE8AJKD.png" TargetMode="External"/><Relationship Id="rId398" Type="http://schemas.openxmlformats.org/officeDocument/2006/relationships/hyperlink" Target="https://storage.googleapis.com/glide-prod.appspot.com/uploads-v2/ly7o78grxPaC6KdgvbpS/pub/3aRdSog0vUtuqPE8AJKD.png" TargetMode="External"/><Relationship Id="rId521" Type="http://schemas.openxmlformats.org/officeDocument/2006/relationships/hyperlink" Target="https://storage.googleapis.com/glide-prod.appspot.com/uploads-v2/ly7o78grxPaC6KdgvbpS/pub/3aRdSog0vUtuqPE8AJKD.png" TargetMode="External"/><Relationship Id="rId619" Type="http://schemas.openxmlformats.org/officeDocument/2006/relationships/hyperlink" Target="https://storage.googleapis.com/glide-prod.appspot.com/uploads-v2/ly7o78grxPaC6KdgvbpS/pub/3aRdSog0vUtuqPE8AJKD.png" TargetMode="External"/><Relationship Id="rId1151" Type="http://schemas.openxmlformats.org/officeDocument/2006/relationships/hyperlink" Target="https://storage.googleapis.com/glide-prod.appspot.com/uploads-v2/ly7o78grxPaC6KdgvbpS/pub/3aRdSog0vUtuqPE8AJKD.png" TargetMode="External"/><Relationship Id="rId1249" Type="http://schemas.openxmlformats.org/officeDocument/2006/relationships/hyperlink" Target="https://storage.googleapis.com/glide-prod.appspot.com/uploads-v2/ly7o78grxPaC6KdgvbpS/pub/3aRdSog0vUtuqPE8AJKD.png" TargetMode="External"/><Relationship Id="rId95" Type="http://schemas.openxmlformats.org/officeDocument/2006/relationships/hyperlink" Target="https://storage.googleapis.com/glide-prod.appspot.com/uploads-v2/ly7o78grxPaC6KdgvbpS/pub/3aRdSog0vUtuqPE8AJKD.png" TargetMode="External"/><Relationship Id="rId160" Type="http://schemas.openxmlformats.org/officeDocument/2006/relationships/hyperlink" Target="https://storage.googleapis.com/glide-prod.appspot.com/uploads-v2/ly7o78grxPaC6KdgvbpS/pub/3aRdSog0vUtuqPE8AJKD.png" TargetMode="External"/><Relationship Id="rId826" Type="http://schemas.openxmlformats.org/officeDocument/2006/relationships/hyperlink" Target="https://storage.googleapis.com/glide-prod.appspot.com/uploads-v2/ly7o78grxPaC6KdgvbpS/pub/3aRdSog0vUtuqPE8AJKD.png" TargetMode="External"/><Relationship Id="rId1011" Type="http://schemas.openxmlformats.org/officeDocument/2006/relationships/hyperlink" Target="https://storage.googleapis.com/glide-prod.appspot.com/uploads-v2/ly7o78grxPaC6KdgvbpS/pub/3aRdSog0vUtuqPE8AJKD.png" TargetMode="External"/><Relationship Id="rId1109" Type="http://schemas.openxmlformats.org/officeDocument/2006/relationships/hyperlink" Target="https://storage.googleapis.com/glide-prod.appspot.com/uploads-v2/ly7o78grxPaC6KdgvbpS/pub/3aRdSog0vUtuqPE8AJKD.png" TargetMode="External"/><Relationship Id="rId1456" Type="http://schemas.openxmlformats.org/officeDocument/2006/relationships/hyperlink" Target="https://storage.googleapis.com/glide-prod.appspot.com/uploads-v2/ly7o78grxPaC6KdgvbpS/pub/3aRdSog0vUtuqPE8AJKD.png" TargetMode="External"/><Relationship Id="rId258" Type="http://schemas.openxmlformats.org/officeDocument/2006/relationships/hyperlink" Target="https://storage.googleapis.com/glide-prod.appspot.com/uploads-v2/ly7o78grxPaC6KdgvbpS/pub/3aRdSog0vUtuqPE8AJKD.png" TargetMode="External"/><Relationship Id="rId465" Type="http://schemas.openxmlformats.org/officeDocument/2006/relationships/hyperlink" Target="https://storage.googleapis.com/glide-prod.appspot.com/uploads-v2/ly7o78grxPaC6KdgvbpS/pub/3aRdSog0vUtuqPE8AJKD.png" TargetMode="External"/><Relationship Id="rId672" Type="http://schemas.openxmlformats.org/officeDocument/2006/relationships/hyperlink" Target="https://storage.googleapis.com/glide-prod.appspot.com/uploads-v2/ly7o78grxPaC6KdgvbpS/pub/3aRdSog0vUtuqPE8AJKD.png" TargetMode="External"/><Relationship Id="rId1095" Type="http://schemas.openxmlformats.org/officeDocument/2006/relationships/hyperlink" Target="https://storage.googleapis.com/glide-prod.appspot.com/uploads-v2/ly7o78grxPaC6KdgvbpS/pub/3aRdSog0vUtuqPE8AJKD.png" TargetMode="External"/><Relationship Id="rId1316" Type="http://schemas.openxmlformats.org/officeDocument/2006/relationships/hyperlink" Target="https://storage.googleapis.com/glide-prod.appspot.com/uploads-v2/ly7o78grxPaC6KdgvbpS/pub/3aRdSog0vUtuqPE8AJKD.png" TargetMode="External"/><Relationship Id="rId1523" Type="http://schemas.openxmlformats.org/officeDocument/2006/relationships/hyperlink" Target="https://storage.googleapis.com/glide-prod.appspot.com/uploads-v2/ly7o78grxPaC6KdgvbpS/pub/3aRdSog0vUtuqPE8AJKD.png" TargetMode="External"/><Relationship Id="rId22" Type="http://schemas.openxmlformats.org/officeDocument/2006/relationships/hyperlink" Target="https://storage.googleapis.com/glide-prod.appspot.com/uploads-v2/ly7o78grxPaC6KdgvbpS/pub/3aRdSog0vUtuqPE8AJKD.png" TargetMode="External"/><Relationship Id="rId118" Type="http://schemas.openxmlformats.org/officeDocument/2006/relationships/hyperlink" Target="https://storage.googleapis.com/glide-prod.appspot.com/uploads-v2/ly7o78grxPaC6KdgvbpS/pub/3aRdSog0vUtuqPE8AJKD.png" TargetMode="External"/><Relationship Id="rId325" Type="http://schemas.openxmlformats.org/officeDocument/2006/relationships/hyperlink" Target="https://storage.googleapis.com/glide-prod.appspot.com/uploads-v2/ly7o78grxPaC6KdgvbpS/pub/3aRdSog0vUtuqPE8AJKD.png" TargetMode="External"/><Relationship Id="rId532" Type="http://schemas.openxmlformats.org/officeDocument/2006/relationships/hyperlink" Target="https://storage.googleapis.com/glide-prod.appspot.com/uploads-v2/ly7o78grxPaC6KdgvbpS/pub/3aRdSog0vUtuqPE8AJKD.png" TargetMode="External"/><Relationship Id="rId977" Type="http://schemas.openxmlformats.org/officeDocument/2006/relationships/hyperlink" Target="https://storage.googleapis.com/glide-prod.appspot.com/uploads-v2/ly7o78grxPaC6KdgvbpS/pub/3aRdSog0vUtuqPE8AJKD.png" TargetMode="External"/><Relationship Id="rId1162" Type="http://schemas.openxmlformats.org/officeDocument/2006/relationships/hyperlink" Target="https://storage.googleapis.com/glide-prod.appspot.com/uploads-v2/ly7o78grxPaC6KdgvbpS/pub/3aRdSog0vUtuqPE8AJKD.png" TargetMode="External"/><Relationship Id="rId171" Type="http://schemas.openxmlformats.org/officeDocument/2006/relationships/hyperlink" Target="https://storage.googleapis.com/glide-prod.appspot.com/uploads-v2/ly7o78grxPaC6KdgvbpS/pub/Z8RKnZFix7qyP0s393JL.jpg" TargetMode="External"/><Relationship Id="rId837" Type="http://schemas.openxmlformats.org/officeDocument/2006/relationships/hyperlink" Target="https://storage.googleapis.com/glide-prod.appspot.com/uploads-v2/ly7o78grxPaC6KdgvbpS/pub/3aRdSog0vUtuqPE8AJKD.png" TargetMode="External"/><Relationship Id="rId1022" Type="http://schemas.openxmlformats.org/officeDocument/2006/relationships/hyperlink" Target="https://storage.googleapis.com/glide-prod.appspot.com/uploads-v2/ly7o78grxPaC6KdgvbpS/pub/3aRdSog0vUtuqPE8AJKD.png" TargetMode="External"/><Relationship Id="rId1467" Type="http://schemas.openxmlformats.org/officeDocument/2006/relationships/hyperlink" Target="https://storage.googleapis.com/glide-prod.appspot.com/uploads-v2/ly7o78grxPaC6KdgvbpS/pub/3aRdSog0vUtuqPE8AJKD.png" TargetMode="External"/><Relationship Id="rId269" Type="http://schemas.openxmlformats.org/officeDocument/2006/relationships/hyperlink" Target="https://storage.googleapis.com/glide-prod.appspot.com/uploads-v2/ly7o78grxPaC6KdgvbpS/pub/3aRdSog0vUtuqPE8AJKD.png" TargetMode="External"/><Relationship Id="rId476" Type="http://schemas.openxmlformats.org/officeDocument/2006/relationships/hyperlink" Target="https://storage.googleapis.com/glide-prod.appspot.com/uploads-v2/ly7o78grxPaC6KdgvbpS/pub/NrQOgjsQXUNhdDMDa6vV.jpg" TargetMode="External"/><Relationship Id="rId683" Type="http://schemas.openxmlformats.org/officeDocument/2006/relationships/hyperlink" Target="https://storage.googleapis.com/glide-prod.appspot.com/uploads-v2/ly7o78grxPaC6KdgvbpS/pub/3aRdSog0vUtuqPE8AJKD.png" TargetMode="External"/><Relationship Id="rId890" Type="http://schemas.openxmlformats.org/officeDocument/2006/relationships/hyperlink" Target="https://storage.googleapis.com/glide-prod.appspot.com/uploads-v2/ly7o78grxPaC6KdgvbpS/pub/3aRdSog0vUtuqPE8AJKD.png" TargetMode="External"/><Relationship Id="rId904" Type="http://schemas.openxmlformats.org/officeDocument/2006/relationships/hyperlink" Target="https://storage.googleapis.com/glide-prod.appspot.com/uploads-v2/ly7o78grxPaC6KdgvbpS/pub/3aRdSog0vUtuqPE8AJKD.png" TargetMode="External"/><Relationship Id="rId1327" Type="http://schemas.openxmlformats.org/officeDocument/2006/relationships/hyperlink" Target="https://storage.googleapis.com/glide-prod.appspot.com/uploads-v2/ly7o78grxPaC6KdgvbpS/pub/3aRdSog0vUtuqPE8AJKD.png" TargetMode="External"/><Relationship Id="rId1534" Type="http://schemas.openxmlformats.org/officeDocument/2006/relationships/hyperlink" Target="https://storage.googleapis.com/glide-prod.appspot.com/uploads-v2/ly7o78grxPaC6KdgvbpS/pub/3aRdSog0vUtuqPE8AJKD.png" TargetMode="External"/><Relationship Id="rId33" Type="http://schemas.openxmlformats.org/officeDocument/2006/relationships/hyperlink" Target="https://storage.googleapis.com/glide-prod.appspot.com/uploads-v2/ly7o78grxPaC6KdgvbpS/pub/3aRdSog0vUtuqPE8AJKD.png" TargetMode="External"/><Relationship Id="rId129" Type="http://schemas.openxmlformats.org/officeDocument/2006/relationships/hyperlink" Target="https://storage.googleapis.com/glide-prod.appspot.com/uploads-v2/ly7o78grxPaC6KdgvbpS/pub/UliJWgpEaBovaFmXi6OW.png" TargetMode="External"/><Relationship Id="rId336" Type="http://schemas.openxmlformats.org/officeDocument/2006/relationships/hyperlink" Target="https://storage.googleapis.com/glide-prod.appspot.com/uploads-v2/ly7o78grxPaC6KdgvbpS/pub/3aRdSog0vUtuqPE8AJKD.png" TargetMode="External"/><Relationship Id="rId543" Type="http://schemas.openxmlformats.org/officeDocument/2006/relationships/hyperlink" Target="https://storage.googleapis.com/glide-prod.appspot.com/uploads-v2/ly7o78grxPaC6KdgvbpS/pub/OJ5cqRg3CZ5wCGpu90Ky.jpeg" TargetMode="External"/><Relationship Id="rId988" Type="http://schemas.openxmlformats.org/officeDocument/2006/relationships/hyperlink" Target="https://storage.googleapis.com/glide-prod.appspot.com/uploads-v2/ly7o78grxPaC6KdgvbpS/pub/3aRdSog0vUtuqPE8AJKD.png" TargetMode="External"/><Relationship Id="rId1173" Type="http://schemas.openxmlformats.org/officeDocument/2006/relationships/hyperlink" Target="https://storage.googleapis.com/glide-prod.appspot.com/uploads-v2/ly7o78grxPaC6KdgvbpS/pub/3aRdSog0vUtuqPE8AJKD.png" TargetMode="External"/><Relationship Id="rId1380" Type="http://schemas.openxmlformats.org/officeDocument/2006/relationships/hyperlink" Target="https://storage.googleapis.com/glide-prod.appspot.com/uploads-v2/ly7o78grxPaC6KdgvbpS/pub/3aRdSog0vUtuqPE8AJKD.png" TargetMode="External"/><Relationship Id="rId1601" Type="http://schemas.openxmlformats.org/officeDocument/2006/relationships/hyperlink" Target="https://storage.googleapis.com/glide-prod.appspot.com/uploads-v2/ly7o78grxPaC6KdgvbpS/pub/3aRdSog0vUtuqPE8AJKD.png" TargetMode="External"/><Relationship Id="rId182" Type="http://schemas.openxmlformats.org/officeDocument/2006/relationships/hyperlink" Target="https://storage.googleapis.com/glide-prod.appspot.com/uploads-v2/ly7o78grxPaC6KdgvbpS/pub/3aRdSog0vUtuqPE8AJKD.png" TargetMode="External"/><Relationship Id="rId403" Type="http://schemas.openxmlformats.org/officeDocument/2006/relationships/hyperlink" Target="https://storage.googleapis.com/glide-prod.appspot.com/uploads-v2/ly7o78grxPaC6KdgvbpS/pub/3aRdSog0vUtuqPE8AJKD.png" TargetMode="External"/><Relationship Id="rId750" Type="http://schemas.openxmlformats.org/officeDocument/2006/relationships/hyperlink" Target="https://storage.googleapis.com/glide-prod.appspot.com/uploads-v2/ly7o78grxPaC6KdgvbpS/pub/3aRdSog0vUtuqPE8AJKD.png" TargetMode="External"/><Relationship Id="rId848" Type="http://schemas.openxmlformats.org/officeDocument/2006/relationships/hyperlink" Target="https://storage.googleapis.com/glide-prod.appspot.com/uploads-v2/ly7o78grxPaC6KdgvbpS/pub/3aRdSog0vUtuqPE8AJKD.png" TargetMode="External"/><Relationship Id="rId1033" Type="http://schemas.openxmlformats.org/officeDocument/2006/relationships/hyperlink" Target="https://storage.googleapis.com/glide-prod.appspot.com/uploads-v2/ly7o78grxPaC6KdgvbpS/pub/3aRdSog0vUtuqPE8AJKD.png" TargetMode="External"/><Relationship Id="rId1478" Type="http://schemas.openxmlformats.org/officeDocument/2006/relationships/hyperlink" Target="https://storage.googleapis.com/glide-prod.appspot.com/uploads-v2/ly7o78grxPaC6KdgvbpS/pub/3aRdSog0vUtuqPE8AJKD.png" TargetMode="External"/><Relationship Id="rId487" Type="http://schemas.openxmlformats.org/officeDocument/2006/relationships/hyperlink" Target="https://storage.googleapis.com/glide-prod.appspot.com/uploads-v2/ly7o78grxPaC6KdgvbpS/pub/3aRdSog0vUtuqPE8AJKD.png" TargetMode="External"/><Relationship Id="rId610" Type="http://schemas.openxmlformats.org/officeDocument/2006/relationships/hyperlink" Target="https://storage.googleapis.com/glide-prod.appspot.com/uploads-v2/ly7o78grxPaC6KdgvbpS/pub/3aRdSog0vUtuqPE8AJKD.png" TargetMode="External"/><Relationship Id="rId694" Type="http://schemas.openxmlformats.org/officeDocument/2006/relationships/hyperlink" Target="https://storage.googleapis.com/glide-prod.appspot.com/uploads-v2/ly7o78grxPaC6KdgvbpS/pub/3aRdSog0vUtuqPE8AJKD.png" TargetMode="External"/><Relationship Id="rId708" Type="http://schemas.openxmlformats.org/officeDocument/2006/relationships/hyperlink" Target="https://storage.googleapis.com/glide-prod.appspot.com/uploads-v2/ly7o78grxPaC6KdgvbpS/pub/3aRdSog0vUtuqPE8AJKD.png" TargetMode="External"/><Relationship Id="rId915" Type="http://schemas.openxmlformats.org/officeDocument/2006/relationships/hyperlink" Target="https://storage.googleapis.com/glide-prod.appspot.com/uploads-v2/ly7o78grxPaC6KdgvbpS/pub/3aRdSog0vUtuqPE8AJKD.png" TargetMode="External"/><Relationship Id="rId1240" Type="http://schemas.openxmlformats.org/officeDocument/2006/relationships/hyperlink" Target="https://storage.googleapis.com/glide-prod.appspot.com/uploads-v2/ly7o78grxPaC6KdgvbpS/pub/3aRdSog0vUtuqPE8AJKD.png" TargetMode="External"/><Relationship Id="rId1338" Type="http://schemas.openxmlformats.org/officeDocument/2006/relationships/hyperlink" Target="https://storage.googleapis.com/glide-prod.appspot.com/uploads-v2/ly7o78grxPaC6KdgvbpS/pub/3aRdSog0vUtuqPE8AJKD.png" TargetMode="External"/><Relationship Id="rId1545" Type="http://schemas.openxmlformats.org/officeDocument/2006/relationships/hyperlink" Target="https://storage.googleapis.com/glide-prod.appspot.com/uploads-v2/ly7o78grxPaC6KdgvbpS/pub/3aRdSog0vUtuqPE8AJKD.png" TargetMode="External"/><Relationship Id="rId347" Type="http://schemas.openxmlformats.org/officeDocument/2006/relationships/hyperlink" Target="https://storage.googleapis.com/glide-prod.appspot.com/uploads-v2/ly7o78grxPaC6KdgvbpS/pub/3aRdSog0vUtuqPE8AJKD.png" TargetMode="External"/><Relationship Id="rId999" Type="http://schemas.openxmlformats.org/officeDocument/2006/relationships/hyperlink" Target="https://storage.googleapis.com/glide-prod.appspot.com/uploads-v2/ly7o78grxPaC6KdgvbpS/pub/3aRdSog0vUtuqPE8AJKD.png" TargetMode="External"/><Relationship Id="rId1100" Type="http://schemas.openxmlformats.org/officeDocument/2006/relationships/hyperlink" Target="https://storage.googleapis.com/glide-prod.appspot.com/uploads-v2/ly7o78grxPaC6KdgvbpS/pub/3aRdSog0vUtuqPE8AJKD.png" TargetMode="External"/><Relationship Id="rId1184" Type="http://schemas.openxmlformats.org/officeDocument/2006/relationships/hyperlink" Target="https://storage.googleapis.com/glide-prod.appspot.com/uploads-v2/ly7o78grxPaC6KdgvbpS/pub/3aRdSog0vUtuqPE8AJKD.png" TargetMode="External"/><Relationship Id="rId1405" Type="http://schemas.openxmlformats.org/officeDocument/2006/relationships/hyperlink" Target="https://storage.googleapis.com/glide-prod.appspot.com/uploads-v2/ly7o78grxPaC6KdgvbpS/pub/bDqM7GqHlMpojCdhlfCT.jpg" TargetMode="External"/><Relationship Id="rId44" Type="http://schemas.openxmlformats.org/officeDocument/2006/relationships/hyperlink" Target="https://storage.googleapis.com/glide-prod.appspot.com/uploads-v2/ly7o78grxPaC6KdgvbpS/pub/3aRdSog0vUtuqPE8AJKD.png" TargetMode="External"/><Relationship Id="rId554" Type="http://schemas.openxmlformats.org/officeDocument/2006/relationships/hyperlink" Target="https://storage.googleapis.com/glide-prod.appspot.com/uploads-v2/ly7o78grxPaC6KdgvbpS/pub/3aRdSog0vUtuqPE8AJKD.png" TargetMode="External"/><Relationship Id="rId761" Type="http://schemas.openxmlformats.org/officeDocument/2006/relationships/hyperlink" Target="https://storage.googleapis.com/glide-prod.appspot.com/uploads-v2/ly7o78grxPaC6KdgvbpS/pub/3aRdSog0vUtuqPE8AJKD.png" TargetMode="External"/><Relationship Id="rId859" Type="http://schemas.openxmlformats.org/officeDocument/2006/relationships/hyperlink" Target="https://storage.googleapis.com/glide-prod.appspot.com/uploads-v2/ly7o78grxPaC6KdgvbpS/pub/3aRdSog0vUtuqPE8AJKD.png" TargetMode="External"/><Relationship Id="rId1391" Type="http://schemas.openxmlformats.org/officeDocument/2006/relationships/hyperlink" Target="https://storage.googleapis.com/glide-prod.appspot.com/uploads-v2/ly7o78grxPaC6KdgvbpS/pub/3aRdSog0vUtuqPE8AJKD.png" TargetMode="External"/><Relationship Id="rId1489" Type="http://schemas.openxmlformats.org/officeDocument/2006/relationships/hyperlink" Target="https://storage.googleapis.com/glide-prod.appspot.com/uploads-v2/ly7o78grxPaC6KdgvbpS/pub/3aRdSog0vUtuqPE8AJKD.png" TargetMode="External"/><Relationship Id="rId1612" Type="http://schemas.openxmlformats.org/officeDocument/2006/relationships/hyperlink" Target="https://storage.googleapis.com/glide-prod.appspot.com/uploads-v2/ly7o78grxPaC6KdgvbpS/pub/3aRdSog0vUtuqPE8AJKD.png" TargetMode="External"/><Relationship Id="rId193" Type="http://schemas.openxmlformats.org/officeDocument/2006/relationships/hyperlink" Target="https://storage.googleapis.com/glide-prod.appspot.com/uploads-v2/ly7o78grxPaC6KdgvbpS/pub/3aRdSog0vUtuqPE8AJKD.png" TargetMode="External"/><Relationship Id="rId207" Type="http://schemas.openxmlformats.org/officeDocument/2006/relationships/hyperlink" Target="https://storage.googleapis.com/glide-prod.appspot.com/uploads-v2/ly7o78grxPaC6KdgvbpS/pub/3aRdSog0vUtuqPE8AJKD.png" TargetMode="External"/><Relationship Id="rId414" Type="http://schemas.openxmlformats.org/officeDocument/2006/relationships/hyperlink" Target="https://storage.googleapis.com/glide-prod.appspot.com/uploads-v2/ly7o78grxPaC6KdgvbpS/pub/3aRdSog0vUtuqPE8AJKD.png" TargetMode="External"/><Relationship Id="rId498" Type="http://schemas.openxmlformats.org/officeDocument/2006/relationships/hyperlink" Target="https://storage.googleapis.com/glide-prod.appspot.com/uploads-v2/ly7o78grxPaC6KdgvbpS/pub/3aRdSog0vUtuqPE8AJKD.png" TargetMode="External"/><Relationship Id="rId621" Type="http://schemas.openxmlformats.org/officeDocument/2006/relationships/hyperlink" Target="https://storage.googleapis.com/glide-prod.appspot.com/uploads-v2/ly7o78grxPaC6KdgvbpS/pub/3aRdSog0vUtuqPE8AJKD.png" TargetMode="External"/><Relationship Id="rId1044" Type="http://schemas.openxmlformats.org/officeDocument/2006/relationships/hyperlink" Target="https://storage.googleapis.com/glide-prod.appspot.com/uploads-v2/ly7o78grxPaC6KdgvbpS/pub/3aRdSog0vUtuqPE8AJKD.png" TargetMode="External"/><Relationship Id="rId1251" Type="http://schemas.openxmlformats.org/officeDocument/2006/relationships/hyperlink" Target="https://storage.googleapis.com/glide-prod.appspot.com/uploads-v2/ly7o78grxPaC6KdgvbpS/pub/UliJWgpEaBovaFmXi6OW.png" TargetMode="External"/><Relationship Id="rId1349" Type="http://schemas.openxmlformats.org/officeDocument/2006/relationships/hyperlink" Target="https://storage.googleapis.com/glide-prod.appspot.com/uploads-v2/ly7o78grxPaC6KdgvbpS/pub/3aRdSog0vUtuqPE8AJKD.png" TargetMode="External"/><Relationship Id="rId260" Type="http://schemas.openxmlformats.org/officeDocument/2006/relationships/hyperlink" Target="https://storage.googleapis.com/glide-prod.appspot.com/uploads-v2/ly7o78grxPaC6KdgvbpS/pub/3aRdSog0vUtuqPE8AJKD.png" TargetMode="External"/><Relationship Id="rId719" Type="http://schemas.openxmlformats.org/officeDocument/2006/relationships/hyperlink" Target="https://storage.googleapis.com/glide-prod.appspot.com/uploads-v2/ly7o78grxPaC6KdgvbpS/pub/3aRdSog0vUtuqPE8AJKD.png" TargetMode="External"/><Relationship Id="rId926" Type="http://schemas.openxmlformats.org/officeDocument/2006/relationships/hyperlink" Target="https://storage.googleapis.com/glide-prod.appspot.com/uploads-v2/ly7o78grxPaC6KdgvbpS/pub/3aRdSog0vUtuqPE8AJKD.png" TargetMode="External"/><Relationship Id="rId1111" Type="http://schemas.openxmlformats.org/officeDocument/2006/relationships/hyperlink" Target="https://storage.googleapis.com/glide-prod.appspot.com/uploads-v2/ly7o78grxPaC6KdgvbpS/pub/3aRdSog0vUtuqPE8AJKD.png" TargetMode="External"/><Relationship Id="rId1556" Type="http://schemas.openxmlformats.org/officeDocument/2006/relationships/hyperlink" Target="https://storage.googleapis.com/glide-prod.appspot.com/uploads-v2/ly7o78grxPaC6KdgvbpS/pub/3aRdSog0vUtuqPE8AJKD.png" TargetMode="External"/><Relationship Id="rId55" Type="http://schemas.openxmlformats.org/officeDocument/2006/relationships/hyperlink" Target="https://storage.googleapis.com/glide-prod.appspot.com/uploads-v2/ly7o78grxPaC6KdgvbpS/pub/3aRdSog0vUtuqPE8AJKD.png" TargetMode="External"/><Relationship Id="rId120" Type="http://schemas.openxmlformats.org/officeDocument/2006/relationships/hyperlink" Target="https://storage.googleapis.com/glide-prod.appspot.com/uploads-v2/ly7o78grxPaC6KdgvbpS/pub/3aRdSog0vUtuqPE8AJKD.png" TargetMode="External"/><Relationship Id="rId358" Type="http://schemas.openxmlformats.org/officeDocument/2006/relationships/hyperlink" Target="https://storage.googleapis.com/glide-prod.appspot.com/uploads-v2/ly7o78grxPaC6KdgvbpS/pub/3aRdSog0vUtuqPE8AJKD.png" TargetMode="External"/><Relationship Id="rId565" Type="http://schemas.openxmlformats.org/officeDocument/2006/relationships/hyperlink" Target="https://storage.googleapis.com/glide-prod.appspot.com/uploads-v2/ly7o78grxPaC6KdgvbpS/pub/3aRdSog0vUtuqPE8AJKD.png" TargetMode="External"/><Relationship Id="rId772" Type="http://schemas.openxmlformats.org/officeDocument/2006/relationships/hyperlink" Target="https://storage.googleapis.com/glide-prod.appspot.com/uploads-v2/ly7o78grxPaC6KdgvbpS/pub/3aRdSog0vUtuqPE8AJKD.png" TargetMode="External"/><Relationship Id="rId1195" Type="http://schemas.openxmlformats.org/officeDocument/2006/relationships/hyperlink" Target="https://storage.googleapis.com/glide-prod.appspot.com/uploads-v2/ly7o78grxPaC6KdgvbpS/pub/3aRdSog0vUtuqPE8AJKD.png" TargetMode="External"/><Relationship Id="rId1209" Type="http://schemas.openxmlformats.org/officeDocument/2006/relationships/hyperlink" Target="https://storage.googleapis.com/glide-prod.appspot.com/uploads-v2/ly7o78grxPaC6KdgvbpS/pub/3aRdSog0vUtuqPE8AJKD.png" TargetMode="External"/><Relationship Id="rId1416" Type="http://schemas.openxmlformats.org/officeDocument/2006/relationships/hyperlink" Target="https://storage.googleapis.com/glide-prod.appspot.com/uploads-v2/ly7o78grxPaC6KdgvbpS/pub/3aRdSog0vUtuqPE8AJKD.png" TargetMode="External"/><Relationship Id="rId218" Type="http://schemas.openxmlformats.org/officeDocument/2006/relationships/hyperlink" Target="https://storage.googleapis.com/glide-prod.appspot.com/uploads-v2/ly7o78grxPaC6KdgvbpS/pub/3aRdSog0vUtuqPE8AJKD.png" TargetMode="External"/><Relationship Id="rId425" Type="http://schemas.openxmlformats.org/officeDocument/2006/relationships/hyperlink" Target="https://storage.googleapis.com/glide-prod.appspot.com/uploads-v2/ly7o78grxPaC6KdgvbpS/pub/3aRdSog0vUtuqPE8AJKD.png" TargetMode="External"/><Relationship Id="rId632" Type="http://schemas.openxmlformats.org/officeDocument/2006/relationships/hyperlink" Target="https://storage.googleapis.com/glide-prod.appspot.com/uploads-v2/ly7o78grxPaC6KdgvbpS/pub/3aRdSog0vUtuqPE8AJKD.png" TargetMode="External"/><Relationship Id="rId1055" Type="http://schemas.openxmlformats.org/officeDocument/2006/relationships/hyperlink" Target="https://storage.googleapis.com/glide-prod.appspot.com/uploads-v2/ly7o78grxPaC6KdgvbpS/pub/3aRdSog0vUtuqPE8AJKD.png" TargetMode="External"/><Relationship Id="rId1262" Type="http://schemas.openxmlformats.org/officeDocument/2006/relationships/hyperlink" Target="https://storage.googleapis.com/glide-prod.appspot.com/uploads-v2/ly7o78grxPaC6KdgvbpS/pub/ai0ruF9rVunagNhEXuRH.jpg" TargetMode="External"/><Relationship Id="rId271" Type="http://schemas.openxmlformats.org/officeDocument/2006/relationships/hyperlink" Target="https://storage.googleapis.com/glide-prod.appspot.com/uploads-v2/ly7o78grxPaC6KdgvbpS/pub/3aRdSog0vUtuqPE8AJKD.png" TargetMode="External"/><Relationship Id="rId937" Type="http://schemas.openxmlformats.org/officeDocument/2006/relationships/hyperlink" Target="https://storage.googleapis.com/glide-prod.appspot.com/uploads-v2/ly7o78grxPaC6KdgvbpS/pub/3aRdSog0vUtuqPE8AJKD.png" TargetMode="External"/><Relationship Id="rId1122" Type="http://schemas.openxmlformats.org/officeDocument/2006/relationships/hyperlink" Target="https://storage.googleapis.com/glide-prod.appspot.com/uploads-v2/ly7o78grxPaC6KdgvbpS/pub/3aRdSog0vUtuqPE8AJKD.png" TargetMode="External"/><Relationship Id="rId1567" Type="http://schemas.openxmlformats.org/officeDocument/2006/relationships/hyperlink" Target="https://storage.googleapis.com/glide-prod.appspot.com/uploads-v2/ly7o78grxPaC6KdgvbpS/pub/3aRdSog0vUtuqPE8AJKD.png" TargetMode="External"/><Relationship Id="rId66" Type="http://schemas.openxmlformats.org/officeDocument/2006/relationships/hyperlink" Target="https://storage.googleapis.com/glide-prod.appspot.com/uploads-v2/ly7o78grxPaC6KdgvbpS/pub/3aRdSog0vUtuqPE8AJKD.png" TargetMode="External"/><Relationship Id="rId131" Type="http://schemas.openxmlformats.org/officeDocument/2006/relationships/hyperlink" Target="https://storage.googleapis.com/glide-prod.appspot.com/uploads-v2/ly7o78grxPaC6KdgvbpS/pub/3aRdSog0vUtuqPE8AJKD.png" TargetMode="External"/><Relationship Id="rId369" Type="http://schemas.openxmlformats.org/officeDocument/2006/relationships/hyperlink" Target="https://storage.googleapis.com/glide-prod.appspot.com/uploads-v2/ly7o78grxPaC6KdgvbpS/pub/3aRdSog0vUtuqPE8AJKD.png" TargetMode="External"/><Relationship Id="rId576" Type="http://schemas.openxmlformats.org/officeDocument/2006/relationships/hyperlink" Target="https://storage.googleapis.com/glide-prod.appspot.com/uploads-v2/ly7o78grxPaC6KdgvbpS/pub/3aRdSog0vUtuqPE8AJKD.png" TargetMode="External"/><Relationship Id="rId783" Type="http://schemas.openxmlformats.org/officeDocument/2006/relationships/hyperlink" Target="https://storage.googleapis.com/glide-prod.appspot.com/uploads-v2/ly7o78grxPaC6KdgvbpS/pub/3aRdSog0vUtuqPE8AJKD.png" TargetMode="External"/><Relationship Id="rId990" Type="http://schemas.openxmlformats.org/officeDocument/2006/relationships/hyperlink" Target="https://storage.googleapis.com/glide-prod.appspot.com/uploads-v2/ly7o78grxPaC6KdgvbpS/pub/3aRdSog0vUtuqPE8AJKD.png" TargetMode="External"/><Relationship Id="rId1427" Type="http://schemas.openxmlformats.org/officeDocument/2006/relationships/hyperlink" Target="https://storage.googleapis.com/glide-prod.appspot.com/uploads-v2/ly7o78grxPaC6KdgvbpS/pub/3aRdSog0vUtuqPE8AJKD.png" TargetMode="External"/><Relationship Id="rId229" Type="http://schemas.openxmlformats.org/officeDocument/2006/relationships/hyperlink" Target="https://storage.googleapis.com/glide-prod.appspot.com/uploads-v2/ly7o78grxPaC6KdgvbpS/pub/3aRdSog0vUtuqPE8AJKD.png" TargetMode="External"/><Relationship Id="rId436" Type="http://schemas.openxmlformats.org/officeDocument/2006/relationships/hyperlink" Target="https://storage.googleapis.com/glide-prod.appspot.com/uploads-v2/ly7o78grxPaC6KdgvbpS/pub/3aRdSog0vUtuqPE8AJKD.png" TargetMode="External"/><Relationship Id="rId643" Type="http://schemas.openxmlformats.org/officeDocument/2006/relationships/hyperlink" Target="https://storage.googleapis.com/glide-prod.appspot.com/uploads-v2/ly7o78grxPaC6KdgvbpS/pub/3aRdSog0vUtuqPE8AJKD.png" TargetMode="External"/><Relationship Id="rId1066" Type="http://schemas.openxmlformats.org/officeDocument/2006/relationships/hyperlink" Target="https://storage.googleapis.com/glide-prod.appspot.com/uploads-v2/ly7o78grxPaC6KdgvbpS/pub/3aRdSog0vUtuqPE8AJKD.png" TargetMode="External"/><Relationship Id="rId1273" Type="http://schemas.openxmlformats.org/officeDocument/2006/relationships/hyperlink" Target="https://storage.googleapis.com/glide-prod.appspot.com/uploads-v2/ly7o78grxPaC6KdgvbpS/pub/3aRdSog0vUtuqPE8AJKD.png" TargetMode="External"/><Relationship Id="rId1480" Type="http://schemas.openxmlformats.org/officeDocument/2006/relationships/hyperlink" Target="https://storage.googleapis.com/glide-prod.appspot.com/uploads-v2/ly7o78grxPaC6KdgvbpS/pub/3aRdSog0vUtuqPE8AJKD.png" TargetMode="External"/><Relationship Id="rId850" Type="http://schemas.openxmlformats.org/officeDocument/2006/relationships/hyperlink" Target="https://storage.googleapis.com/glide-prod.appspot.com/uploads-v2/ly7o78grxPaC6KdgvbpS/pub/3aRdSog0vUtuqPE8AJKD.png" TargetMode="External"/><Relationship Id="rId948" Type="http://schemas.openxmlformats.org/officeDocument/2006/relationships/hyperlink" Target="https://storage.googleapis.com/glide-prod.appspot.com/uploads-v2/ly7o78grxPaC6KdgvbpS/pub/3aRdSog0vUtuqPE8AJKD.png" TargetMode="External"/><Relationship Id="rId1133" Type="http://schemas.openxmlformats.org/officeDocument/2006/relationships/hyperlink" Target="https://storage.googleapis.com/glide-prod.appspot.com/uploads-v2/ly7o78grxPaC6KdgvbpS/pub/3aRdSog0vUtuqPE8AJKD.png" TargetMode="External"/><Relationship Id="rId1578" Type="http://schemas.openxmlformats.org/officeDocument/2006/relationships/hyperlink" Target="https://storage.googleapis.com/glide-prod.appspot.com/uploads-v2/ly7o78grxPaC6KdgvbpS/pub/3aRdSog0vUtuqPE8AJKD.png" TargetMode="External"/><Relationship Id="rId77" Type="http://schemas.openxmlformats.org/officeDocument/2006/relationships/hyperlink" Target="https://storage.googleapis.com/glide-prod.appspot.com/uploads-v2/ly7o78grxPaC6KdgvbpS/pub/3aRdSog0vUtuqPE8AJKD.png" TargetMode="External"/><Relationship Id="rId282" Type="http://schemas.openxmlformats.org/officeDocument/2006/relationships/hyperlink" Target="https://storage.googleapis.com/glide-prod.appspot.com/uploads-v2/ly7o78grxPaC6KdgvbpS/pub/3aRdSog0vUtuqPE8AJKD.png" TargetMode="External"/><Relationship Id="rId503" Type="http://schemas.openxmlformats.org/officeDocument/2006/relationships/hyperlink" Target="https://storage.googleapis.com/glide-prod.appspot.com/uploads-v2/ly7o78grxPaC6KdgvbpS/pub/3aRdSog0vUtuqPE8AJKD.png" TargetMode="External"/><Relationship Id="rId587" Type="http://schemas.openxmlformats.org/officeDocument/2006/relationships/hyperlink" Target="https://storage.googleapis.com/glide-prod.appspot.com/uploads-v2/ly7o78grxPaC6KdgvbpS/pub/3aRdSog0vUtuqPE8AJKD.png" TargetMode="External"/><Relationship Id="rId710" Type="http://schemas.openxmlformats.org/officeDocument/2006/relationships/hyperlink" Target="https://storage.googleapis.com/glide-prod.appspot.com/uploads-v2/ly7o78grxPaC6KdgvbpS/pub/3aRdSog0vUtuqPE8AJKD.png" TargetMode="External"/><Relationship Id="rId808" Type="http://schemas.openxmlformats.org/officeDocument/2006/relationships/hyperlink" Target="https://storage.googleapis.com/glide-prod.appspot.com/uploads-v2/ly7o78grxPaC6KdgvbpS/pub/3aRdSog0vUtuqPE8AJKD.png" TargetMode="External"/><Relationship Id="rId1340" Type="http://schemas.openxmlformats.org/officeDocument/2006/relationships/hyperlink" Target="https://storage.googleapis.com/glide-prod.appspot.com/uploads-v2/ly7o78grxPaC6KdgvbpS/pub/3aRdSog0vUtuqPE8AJKD.png" TargetMode="External"/><Relationship Id="rId1438" Type="http://schemas.openxmlformats.org/officeDocument/2006/relationships/hyperlink" Target="https://storage.googleapis.com/glide-prod.appspot.com/uploads-v2/ly7o78grxPaC6KdgvbpS/pub/3aRdSog0vUtuqPE8AJKD.png" TargetMode="External"/><Relationship Id="rId8" Type="http://schemas.openxmlformats.org/officeDocument/2006/relationships/hyperlink" Target="https://storage.googleapis.com/glide-prod.appspot.com/uploads-v2/ly7o78grxPaC6KdgvbpS/pub/OCGHQTtqyY5plgpnmp7E.jpg" TargetMode="External"/><Relationship Id="rId142" Type="http://schemas.openxmlformats.org/officeDocument/2006/relationships/hyperlink" Target="https://storage.googleapis.com/glide-prod.appspot.com/uploads-v2/ly7o78grxPaC6KdgvbpS/pub/3aRdSog0vUtuqPE8AJKD.png" TargetMode="External"/><Relationship Id="rId447" Type="http://schemas.openxmlformats.org/officeDocument/2006/relationships/hyperlink" Target="https://storage.googleapis.com/glide-prod.appspot.com/uploads-v2/ly7o78grxPaC6KdgvbpS/pub/3aRdSog0vUtuqPE8AJKD.png" TargetMode="External"/><Relationship Id="rId794" Type="http://schemas.openxmlformats.org/officeDocument/2006/relationships/hyperlink" Target="https://storage.googleapis.com/glide-prod.appspot.com/uploads-v2/ly7o78grxPaC6KdgvbpS/pub/3aRdSog0vUtuqPE8AJKD.png" TargetMode="External"/><Relationship Id="rId1077" Type="http://schemas.openxmlformats.org/officeDocument/2006/relationships/hyperlink" Target="https://storage.googleapis.com/glide-prod.appspot.com/uploads-v2/ly7o78grxPaC6KdgvbpS/pub/3aRdSog0vUtuqPE8AJKD.png" TargetMode="External"/><Relationship Id="rId1200" Type="http://schemas.openxmlformats.org/officeDocument/2006/relationships/hyperlink" Target="https://storage.googleapis.com/glide-prod.appspot.com/uploads-v2/ly7o78grxPaC6KdgvbpS/pub/3aRdSog0vUtuqPE8AJKD.png" TargetMode="External"/><Relationship Id="rId654" Type="http://schemas.openxmlformats.org/officeDocument/2006/relationships/hyperlink" Target="https://storage.googleapis.com/glide-prod.appspot.com/uploads-v2/ly7o78grxPaC6KdgvbpS/pub/3aRdSog0vUtuqPE8AJKD.png" TargetMode="External"/><Relationship Id="rId861" Type="http://schemas.openxmlformats.org/officeDocument/2006/relationships/hyperlink" Target="https://storage.googleapis.com/glide-prod.appspot.com/uploads-v2/ly7o78grxPaC6KdgvbpS/pub/3aRdSog0vUtuqPE8AJKD.png" TargetMode="External"/><Relationship Id="rId959" Type="http://schemas.openxmlformats.org/officeDocument/2006/relationships/hyperlink" Target="https://storage.googleapis.com/glide-prod.appspot.com/uploads-v2/ly7o78grxPaC6KdgvbpS/pub/3aRdSog0vUtuqPE8AJKD.png" TargetMode="External"/><Relationship Id="rId1284" Type="http://schemas.openxmlformats.org/officeDocument/2006/relationships/hyperlink" Target="https://storage.googleapis.com/glide-prod.appspot.com/uploads-v2/ly7o78grxPaC6KdgvbpS/pub/3aRdSog0vUtuqPE8AJKD.png" TargetMode="External"/><Relationship Id="rId1491" Type="http://schemas.openxmlformats.org/officeDocument/2006/relationships/hyperlink" Target="https://storage.googleapis.com/glide-prod.appspot.com/uploads-v2/ly7o78grxPaC6KdgvbpS/pub/3aRdSog0vUtuqPE8AJKD.png" TargetMode="External"/><Relationship Id="rId1505" Type="http://schemas.openxmlformats.org/officeDocument/2006/relationships/hyperlink" Target="https://storage.googleapis.com/glide-prod.appspot.com/uploads-v2/ly7o78grxPaC6KdgvbpS/pub/3aRdSog0vUtuqPE8AJKD.png" TargetMode="External"/><Relationship Id="rId1589" Type="http://schemas.openxmlformats.org/officeDocument/2006/relationships/hyperlink" Target="https://storage.googleapis.com/glide-prod.appspot.com/uploads-v2/ly7o78grxPaC6KdgvbpS/pub/3aRdSog0vUtuqPE8AJKD.png" TargetMode="External"/><Relationship Id="rId293" Type="http://schemas.openxmlformats.org/officeDocument/2006/relationships/hyperlink" Target="https://storage.googleapis.com/glide-prod.appspot.com/uploads-v2/ly7o78grxPaC6KdgvbpS/pub/3aRdSog0vUtuqPE8AJKD.png" TargetMode="External"/><Relationship Id="rId307" Type="http://schemas.openxmlformats.org/officeDocument/2006/relationships/hyperlink" Target="https://storage.googleapis.com/glide-prod.appspot.com/uploads-v2/ly7o78grxPaC6KdgvbpS/pub/3aRdSog0vUtuqPE8AJKD.png" TargetMode="External"/><Relationship Id="rId514" Type="http://schemas.openxmlformats.org/officeDocument/2006/relationships/hyperlink" Target="https://storage.googleapis.com/glide-prod.appspot.com/uploads-v2/ly7o78grxPaC6KdgvbpS/pub/3aRdSog0vUtuqPE8AJKD.png" TargetMode="External"/><Relationship Id="rId721" Type="http://schemas.openxmlformats.org/officeDocument/2006/relationships/hyperlink" Target="https://storage.googleapis.com/glide-prod.appspot.com/uploads-v2/ly7o78grxPaC6KdgvbpS/pub/3aRdSog0vUtuqPE8AJKD.png" TargetMode="External"/><Relationship Id="rId1144" Type="http://schemas.openxmlformats.org/officeDocument/2006/relationships/hyperlink" Target="https://storage.googleapis.com/glide-prod.appspot.com/uploads-v2/ly7o78grxPaC6KdgvbpS/pub/3aRdSog0vUtuqPE8AJKD.png" TargetMode="External"/><Relationship Id="rId1351" Type="http://schemas.openxmlformats.org/officeDocument/2006/relationships/hyperlink" Target="https://storage.googleapis.com/glide-prod.appspot.com/uploads-v2/ly7o78grxPaC6KdgvbpS/pub/3aRdSog0vUtuqPE8AJKD.png" TargetMode="External"/><Relationship Id="rId1449" Type="http://schemas.openxmlformats.org/officeDocument/2006/relationships/hyperlink" Target="https://storage.googleapis.com/glide-prod.appspot.com/uploads-v2/ly7o78grxPaC6KdgvbpS/pub/3aRdSog0vUtuqPE8AJKD.png" TargetMode="External"/><Relationship Id="rId88" Type="http://schemas.openxmlformats.org/officeDocument/2006/relationships/hyperlink" Target="https://storage.googleapis.com/glide-prod.appspot.com/uploads-v2/ly7o78grxPaC6KdgvbpS/pub/3aRdSog0vUtuqPE8AJKD.png" TargetMode="External"/><Relationship Id="rId153" Type="http://schemas.openxmlformats.org/officeDocument/2006/relationships/hyperlink" Target="https://storage.googleapis.com/glide-prod.appspot.com/uploads-v2/ly7o78grxPaC6KdgvbpS/pub/3aRdSog0vUtuqPE8AJKD.png" TargetMode="External"/><Relationship Id="rId360" Type="http://schemas.openxmlformats.org/officeDocument/2006/relationships/hyperlink" Target="https://storage.googleapis.com/glide-prod.appspot.com/uploads-v2/ly7o78grxPaC6KdgvbpS/pub/3aRdSog0vUtuqPE8AJKD.png" TargetMode="External"/><Relationship Id="rId598" Type="http://schemas.openxmlformats.org/officeDocument/2006/relationships/hyperlink" Target="https://storage.googleapis.com/glide-prod.appspot.com/uploads-v2/ly7o78grxPaC6KdgvbpS/pub/3aRdSog0vUtuqPE8AJKD.png" TargetMode="External"/><Relationship Id="rId819" Type="http://schemas.openxmlformats.org/officeDocument/2006/relationships/hyperlink" Target="https://storage.googleapis.com/glide-prod.appspot.com/uploads-v2/ly7o78grxPaC6KdgvbpS/pub/3aRdSog0vUtuqPE8AJKD.png" TargetMode="External"/><Relationship Id="rId1004" Type="http://schemas.openxmlformats.org/officeDocument/2006/relationships/hyperlink" Target="https://storage.googleapis.com/glide-prod.appspot.com/uploads-v2/ly7o78grxPaC6KdgvbpS/pub/3aRdSog0vUtuqPE8AJKD.png" TargetMode="External"/><Relationship Id="rId1211" Type="http://schemas.openxmlformats.org/officeDocument/2006/relationships/hyperlink" Target="https://storage.googleapis.com/glide-prod.appspot.com/uploads-v2/ly7o78grxPaC6KdgvbpS/pub/3aRdSog0vUtuqPE8AJKD.png" TargetMode="External"/><Relationship Id="rId220" Type="http://schemas.openxmlformats.org/officeDocument/2006/relationships/hyperlink" Target="https://storage.googleapis.com/glide-prod.appspot.com/uploads-v2/ly7o78grxPaC6KdgvbpS/pub/3aRdSog0vUtuqPE8AJKD.png" TargetMode="External"/><Relationship Id="rId458" Type="http://schemas.openxmlformats.org/officeDocument/2006/relationships/hyperlink" Target="https://storage.googleapis.com/glide-prod.appspot.com/uploads-v2/ly7o78grxPaC6KdgvbpS/pub/3aRdSog0vUtuqPE8AJKD.png" TargetMode="External"/><Relationship Id="rId665" Type="http://schemas.openxmlformats.org/officeDocument/2006/relationships/hyperlink" Target="https://storage.googleapis.com/glide-prod.appspot.com/uploads-v2/ly7o78grxPaC6KdgvbpS/pub/3aRdSog0vUtuqPE8AJKD.png" TargetMode="External"/><Relationship Id="rId872" Type="http://schemas.openxmlformats.org/officeDocument/2006/relationships/hyperlink" Target="https://storage.googleapis.com/glide-prod.appspot.com/uploads-v2/ly7o78grxPaC6KdgvbpS/pub/3aRdSog0vUtuqPE8AJKD.png" TargetMode="External"/><Relationship Id="rId1088" Type="http://schemas.openxmlformats.org/officeDocument/2006/relationships/hyperlink" Target="https://storage.googleapis.com/glide-prod.appspot.com/uploads-v2/ly7o78grxPaC6KdgvbpS/pub/3aRdSog0vUtuqPE8AJKD.png" TargetMode="External"/><Relationship Id="rId1295" Type="http://schemas.openxmlformats.org/officeDocument/2006/relationships/hyperlink" Target="https://storage.googleapis.com/glide-prod.appspot.com/uploads-v2/ly7o78grxPaC6KdgvbpS/pub/3aRdSog0vUtuqPE8AJKD.png" TargetMode="External"/><Relationship Id="rId1309" Type="http://schemas.openxmlformats.org/officeDocument/2006/relationships/hyperlink" Target="https://storage.googleapis.com/glide-prod.appspot.com/uploads-v2/ly7o78grxPaC6KdgvbpS/pub/3aRdSog0vUtuqPE8AJKD.png" TargetMode="External"/><Relationship Id="rId1516" Type="http://schemas.openxmlformats.org/officeDocument/2006/relationships/hyperlink" Target="https://storage.googleapis.com/glide-prod.appspot.com/uploads-v2/ly7o78grxPaC6KdgvbpS/pub/3aRdSog0vUtuqPE8AJKD.png" TargetMode="External"/><Relationship Id="rId15" Type="http://schemas.openxmlformats.org/officeDocument/2006/relationships/hyperlink" Target="https://storage.googleapis.com/glide-prod.appspot.com/uploads-v2/ly7o78grxPaC6KdgvbpS/pub/3aRdSog0vUtuqPE8AJKD.png" TargetMode="External"/><Relationship Id="rId318" Type="http://schemas.openxmlformats.org/officeDocument/2006/relationships/hyperlink" Target="https://storage.googleapis.com/glide-prod.appspot.com/uploads-v2/ly7o78grxPaC6KdgvbpS/pub/3aRdSog0vUtuqPE8AJKD.png" TargetMode="External"/><Relationship Id="rId525" Type="http://schemas.openxmlformats.org/officeDocument/2006/relationships/hyperlink" Target="https://storage.googleapis.com/glide-prod.appspot.com/uploads-v2/ly7o78grxPaC6KdgvbpS/pub/i3tYC1DatUViTlJcbaFo.jpg" TargetMode="External"/><Relationship Id="rId732" Type="http://schemas.openxmlformats.org/officeDocument/2006/relationships/hyperlink" Target="https://storage.googleapis.com/glide-prod.appspot.com/uploads-v2/ly7o78grxPaC6KdgvbpS/pub/3aRdSog0vUtuqPE8AJKD.png" TargetMode="External"/><Relationship Id="rId1155" Type="http://schemas.openxmlformats.org/officeDocument/2006/relationships/hyperlink" Target="https://storage.googleapis.com/glide-prod.appspot.com/uploads-v2/ly7o78grxPaC6KdgvbpS/pub/3aRdSog0vUtuqPE8AJKD.png" TargetMode="External"/><Relationship Id="rId1362" Type="http://schemas.openxmlformats.org/officeDocument/2006/relationships/hyperlink" Target="https://storage.googleapis.com/glide-prod.appspot.com/uploads-v2/ly7o78grxPaC6KdgvbpS/pub/3aRdSog0vUtuqPE8AJKD.png" TargetMode="External"/><Relationship Id="rId99" Type="http://schemas.openxmlformats.org/officeDocument/2006/relationships/hyperlink" Target="https://storage.googleapis.com/glide-prod.appspot.com/uploads-v2/ly7o78grxPaC6KdgvbpS/pub/3aRdSog0vUtuqPE8AJKD.png" TargetMode="External"/><Relationship Id="rId164" Type="http://schemas.openxmlformats.org/officeDocument/2006/relationships/hyperlink" Target="https://storage.googleapis.com/glide-prod.appspot.com/uploads-v2/ly7o78grxPaC6KdgvbpS/pub/3aRdSog0vUtuqPE8AJKD.png" TargetMode="External"/><Relationship Id="rId371" Type="http://schemas.openxmlformats.org/officeDocument/2006/relationships/hyperlink" Target="https://storage.googleapis.com/glide-prod.appspot.com/uploads-v2/ly7o78grxPaC6KdgvbpS/pub/3aRdSog0vUtuqPE8AJKD.png" TargetMode="External"/><Relationship Id="rId1015" Type="http://schemas.openxmlformats.org/officeDocument/2006/relationships/hyperlink" Target="https://storage.googleapis.com/glide-prod.appspot.com/uploads-v2/ly7o78grxPaC6KdgvbpS/pub/3aRdSog0vUtuqPE8AJKD.png" TargetMode="External"/><Relationship Id="rId1222" Type="http://schemas.openxmlformats.org/officeDocument/2006/relationships/hyperlink" Target="https://storage.googleapis.com/glide-prod.appspot.com/uploads-v2/ly7o78grxPaC6KdgvbpS/pub/UliJWgpEaBovaFmXi6OW.png" TargetMode="External"/><Relationship Id="rId469" Type="http://schemas.openxmlformats.org/officeDocument/2006/relationships/hyperlink" Target="https://storage.googleapis.com/glide-prod.appspot.com/uploads-v2/ly7o78grxPaC6KdgvbpS/pub/3aRdSog0vUtuqPE8AJKD.png" TargetMode="External"/><Relationship Id="rId676" Type="http://schemas.openxmlformats.org/officeDocument/2006/relationships/hyperlink" Target="https://storage.googleapis.com/glide-prod.appspot.com/uploads-v2/ly7o78grxPaC6KdgvbpS/pub/3aRdSog0vUtuqPE8AJKD.png" TargetMode="External"/><Relationship Id="rId883" Type="http://schemas.openxmlformats.org/officeDocument/2006/relationships/hyperlink" Target="https://storage.googleapis.com/glide-prod.appspot.com/uploads-v2/ly7o78grxPaC6KdgvbpS/pub/3aRdSog0vUtuqPE8AJKD.png" TargetMode="External"/><Relationship Id="rId1099" Type="http://schemas.openxmlformats.org/officeDocument/2006/relationships/hyperlink" Target="https://storage.googleapis.com/glide-prod.appspot.com/uploads-v2/ly7o78grxPaC6KdgvbpS/pub/3aRdSog0vUtuqPE8AJKD.png" TargetMode="External"/><Relationship Id="rId1527" Type="http://schemas.openxmlformats.org/officeDocument/2006/relationships/hyperlink" Target="https://storage.googleapis.com/glide-prod.appspot.com/uploads-v2/ly7o78grxPaC6KdgvbpS/pub/3aRdSog0vUtuqPE8AJKD.png" TargetMode="External"/><Relationship Id="rId26" Type="http://schemas.openxmlformats.org/officeDocument/2006/relationships/hyperlink" Target="https://storage.googleapis.com/glide-prod.appspot.com/uploads-v2/ly7o78grxPaC6KdgvbpS/pub/3aRdSog0vUtuqPE8AJKD.png" TargetMode="External"/><Relationship Id="rId231" Type="http://schemas.openxmlformats.org/officeDocument/2006/relationships/hyperlink" Target="https://storage.googleapis.com/glide-prod.appspot.com/uploads-v2/ly7o78grxPaC6KdgvbpS/pub/3aRdSog0vUtuqPE8AJKD.png" TargetMode="External"/><Relationship Id="rId329" Type="http://schemas.openxmlformats.org/officeDocument/2006/relationships/hyperlink" Target="https://storage.googleapis.com/glide-prod.appspot.com/uploads-v2/ly7o78grxPaC6KdgvbpS/pub/3aRdSog0vUtuqPE8AJKD.png" TargetMode="External"/><Relationship Id="rId536" Type="http://schemas.openxmlformats.org/officeDocument/2006/relationships/hyperlink" Target="https://storage.googleapis.com/glide-prod.appspot.com/uploads-v2/ly7o78grxPaC6KdgvbpS/pub/3aRdSog0vUtuqPE8AJKD.png" TargetMode="External"/><Relationship Id="rId1166" Type="http://schemas.openxmlformats.org/officeDocument/2006/relationships/hyperlink" Target="https://storage.googleapis.com/glide-prod.appspot.com/uploads-v2/ly7o78grxPaC6KdgvbpS/pub/3aRdSog0vUtuqPE8AJKD.png" TargetMode="External"/><Relationship Id="rId1373" Type="http://schemas.openxmlformats.org/officeDocument/2006/relationships/hyperlink" Target="https://storage.googleapis.com/glide-prod.appspot.com/uploads-v2/ly7o78grxPaC6KdgvbpS/pub/3aRdSog0vUtuqPE8AJKD.png" TargetMode="External"/><Relationship Id="rId175" Type="http://schemas.openxmlformats.org/officeDocument/2006/relationships/hyperlink" Target="https://storage.googleapis.com/glide-prod.appspot.com/uploads-v2/ly7o78grxPaC6KdgvbpS/pub/3aRdSog0vUtuqPE8AJKD.png" TargetMode="External"/><Relationship Id="rId743" Type="http://schemas.openxmlformats.org/officeDocument/2006/relationships/hyperlink" Target="https://storage.googleapis.com/glide-prod.appspot.com/uploads-v2/ly7o78grxPaC6KdgvbpS/pub/3aRdSog0vUtuqPE8AJKD.png" TargetMode="External"/><Relationship Id="rId950" Type="http://schemas.openxmlformats.org/officeDocument/2006/relationships/hyperlink" Target="https://storage.googleapis.com/glide-prod.appspot.com/uploads-v2/ly7o78grxPaC6KdgvbpS/pub/3aRdSog0vUtuqPE8AJKD.png" TargetMode="External"/><Relationship Id="rId1026" Type="http://schemas.openxmlformats.org/officeDocument/2006/relationships/hyperlink" Target="https://storage.googleapis.com/glide-prod.appspot.com/uploads-v2/ly7o78grxPaC6KdgvbpS/pub/3aRdSog0vUtuqPE8AJKD.png" TargetMode="External"/><Relationship Id="rId1580" Type="http://schemas.openxmlformats.org/officeDocument/2006/relationships/hyperlink" Target="https://storage.googleapis.com/glide-prod.appspot.com/uploads-v2/ly7o78grxPaC6KdgvbpS/pub/3aRdSog0vUtuqPE8AJKD.png" TargetMode="External"/><Relationship Id="rId382" Type="http://schemas.openxmlformats.org/officeDocument/2006/relationships/hyperlink" Target="https://storage.googleapis.com/glide-prod.appspot.com/uploads-v2/ly7o78grxPaC6KdgvbpS/pub/3aRdSog0vUtuqPE8AJKD.png" TargetMode="External"/><Relationship Id="rId603" Type="http://schemas.openxmlformats.org/officeDocument/2006/relationships/hyperlink" Target="https://storage.googleapis.com/glide-prod.appspot.com/uploads-v2/ly7o78grxPaC6KdgvbpS/pub/3aRdSog0vUtuqPE8AJKD.png" TargetMode="External"/><Relationship Id="rId687" Type="http://schemas.openxmlformats.org/officeDocument/2006/relationships/hyperlink" Target="https://storage.googleapis.com/glide-prod.appspot.com/uploads-v2/ly7o78grxPaC6KdgvbpS/pub/3aRdSog0vUtuqPE8AJKD.png" TargetMode="External"/><Relationship Id="rId810" Type="http://schemas.openxmlformats.org/officeDocument/2006/relationships/hyperlink" Target="https://storage.googleapis.com/glide-prod.appspot.com/uploads-v2/ly7o78grxPaC6KdgvbpS/pub/3aRdSog0vUtuqPE8AJKD.png" TargetMode="External"/><Relationship Id="rId908" Type="http://schemas.openxmlformats.org/officeDocument/2006/relationships/hyperlink" Target="https://storage.googleapis.com/glide-prod.appspot.com/uploads-v2/ly7o78grxPaC6KdgvbpS/pub/3aRdSog0vUtuqPE8AJKD.png" TargetMode="External"/><Relationship Id="rId1233" Type="http://schemas.openxmlformats.org/officeDocument/2006/relationships/hyperlink" Target="https://storage.googleapis.com/glide-prod.appspot.com/uploads-v2/ly7o78grxPaC6KdgvbpS/pub/3aRdSog0vUtuqPE8AJKD.png" TargetMode="External"/><Relationship Id="rId1440" Type="http://schemas.openxmlformats.org/officeDocument/2006/relationships/hyperlink" Target="https://storage.googleapis.com/glide-prod.appspot.com/uploads-v2/ly7o78grxPaC6KdgvbpS/pub/3aRdSog0vUtuqPE8AJKD.png" TargetMode="External"/><Relationship Id="rId1538" Type="http://schemas.openxmlformats.org/officeDocument/2006/relationships/hyperlink" Target="https://storage.googleapis.com/glide-prod.appspot.com/uploads-v2/ly7o78grxPaC6KdgvbpS/pub/3aRdSog0vUtuqPE8AJKD.png" TargetMode="External"/><Relationship Id="rId242" Type="http://schemas.openxmlformats.org/officeDocument/2006/relationships/hyperlink" Target="https://storage.googleapis.com/glide-prod.appspot.com/uploads-v2/ly7o78grxPaC6KdgvbpS/pub/3aRdSog0vUtuqPE8AJKD.png" TargetMode="External"/><Relationship Id="rId894" Type="http://schemas.openxmlformats.org/officeDocument/2006/relationships/hyperlink" Target="https://storage.googleapis.com/glide-prod.appspot.com/uploads-v2/ly7o78grxPaC6KdgvbpS/pub/3aRdSog0vUtuqPE8AJKD.png" TargetMode="External"/><Relationship Id="rId1177" Type="http://schemas.openxmlformats.org/officeDocument/2006/relationships/hyperlink" Target="https://storage.googleapis.com/glide-prod.appspot.com/uploads-v2/ly7o78grxPaC6KdgvbpS/pub/3aRdSog0vUtuqPE8AJKD.png" TargetMode="External"/><Relationship Id="rId1300" Type="http://schemas.openxmlformats.org/officeDocument/2006/relationships/hyperlink" Target="https://storage.googleapis.com/glide-prod.appspot.com/uploads-v2/ly7o78grxPaC6KdgvbpS/pub/3aRdSog0vUtuqPE8AJKD.png" TargetMode="External"/><Relationship Id="rId37" Type="http://schemas.openxmlformats.org/officeDocument/2006/relationships/hyperlink" Target="https://storage.googleapis.com/glide-prod.appspot.com/uploads-v2/ly7o78grxPaC6KdgvbpS/pub/3aRdSog0vUtuqPE8AJKD.png" TargetMode="External"/><Relationship Id="rId102" Type="http://schemas.openxmlformats.org/officeDocument/2006/relationships/hyperlink" Target="https://storage.googleapis.com/glide-prod.appspot.com/uploads-v2/ly7o78grxPaC6KdgvbpS/pub/3aRdSog0vUtuqPE8AJKD.png" TargetMode="External"/><Relationship Id="rId547" Type="http://schemas.openxmlformats.org/officeDocument/2006/relationships/hyperlink" Target="https://storage.googleapis.com/glide-prod.appspot.com/uploads-v2/ly7o78grxPaC6KdgvbpS/pub/yvtCGRAPIbS0tVLIlehH.png" TargetMode="External"/><Relationship Id="rId754" Type="http://schemas.openxmlformats.org/officeDocument/2006/relationships/hyperlink" Target="https://storage.googleapis.com/glide-prod.appspot.com/uploads-v2/ly7o78grxPaC6KdgvbpS/pub/3aRdSog0vUtuqPE8AJKD.png" TargetMode="External"/><Relationship Id="rId961" Type="http://schemas.openxmlformats.org/officeDocument/2006/relationships/hyperlink" Target="https://storage.googleapis.com/glide-prod.appspot.com/uploads-v2/ly7o78grxPaC6KdgvbpS/pub/3aRdSog0vUtuqPE8AJKD.png" TargetMode="External"/><Relationship Id="rId1384" Type="http://schemas.openxmlformats.org/officeDocument/2006/relationships/hyperlink" Target="https://storage.googleapis.com/glide-prod.appspot.com/uploads-v2/ly7o78grxPaC6KdgvbpS/pub/3aRdSog0vUtuqPE8AJKD.png" TargetMode="External"/><Relationship Id="rId1591" Type="http://schemas.openxmlformats.org/officeDocument/2006/relationships/hyperlink" Target="https://storage.googleapis.com/glide-prod.appspot.com/uploads-v2/ly7o78grxPaC6KdgvbpS/pub/3aRdSog0vUtuqPE8AJKD.png" TargetMode="External"/><Relationship Id="rId1605" Type="http://schemas.openxmlformats.org/officeDocument/2006/relationships/hyperlink" Target="https://storage.googleapis.com/glide-prod.appspot.com/uploads-v2/ly7o78grxPaC6KdgvbpS/pub/3aRdSog0vUtuqPE8AJKD.png" TargetMode="External"/><Relationship Id="rId90" Type="http://schemas.openxmlformats.org/officeDocument/2006/relationships/hyperlink" Target="https://storage.googleapis.com/glide-prod.appspot.com/uploads-v2/ly7o78grxPaC6KdgvbpS/pub/3aRdSog0vUtuqPE8AJKD.png" TargetMode="External"/><Relationship Id="rId186" Type="http://schemas.openxmlformats.org/officeDocument/2006/relationships/hyperlink" Target="https://storage.googleapis.com/glide-prod.appspot.com/uploads-v2/ly7o78grxPaC6KdgvbpS/pub/3aRdSog0vUtuqPE8AJKD.png" TargetMode="External"/><Relationship Id="rId393" Type="http://schemas.openxmlformats.org/officeDocument/2006/relationships/hyperlink" Target="https://storage.googleapis.com/glide-prod.appspot.com/uploads-v2/ly7o78grxPaC6KdgvbpS/pub/3aRdSog0vUtuqPE8AJKD.png" TargetMode="External"/><Relationship Id="rId407" Type="http://schemas.openxmlformats.org/officeDocument/2006/relationships/hyperlink" Target="https://storage.googleapis.com/glide-prod.appspot.com/uploads-v2/ly7o78grxPaC6KdgvbpS/pub/3aRdSog0vUtuqPE8AJKD.png" TargetMode="External"/><Relationship Id="rId614" Type="http://schemas.openxmlformats.org/officeDocument/2006/relationships/hyperlink" Target="https://storage.googleapis.com/glide-prod.appspot.com/uploads-v2/ly7o78grxPaC6KdgvbpS/pub/3aRdSog0vUtuqPE8AJKD.png" TargetMode="External"/><Relationship Id="rId821" Type="http://schemas.openxmlformats.org/officeDocument/2006/relationships/hyperlink" Target="https://storage.googleapis.com/glide-prod.appspot.com/uploads-v2/ly7o78grxPaC6KdgvbpS/pub/3aRdSog0vUtuqPE8AJKD.png" TargetMode="External"/><Relationship Id="rId1037" Type="http://schemas.openxmlformats.org/officeDocument/2006/relationships/hyperlink" Target="https://storage.googleapis.com/glide-prod.appspot.com/uploads-v2/ly7o78grxPaC6KdgvbpS/pub/3aRdSog0vUtuqPE8AJKD.png" TargetMode="External"/><Relationship Id="rId1244" Type="http://schemas.openxmlformats.org/officeDocument/2006/relationships/hyperlink" Target="https://storage.googleapis.com/glide-prod.appspot.com/uploads-v2/ly7o78grxPaC6KdgvbpS/pub/3aRdSog0vUtuqPE8AJKD.png" TargetMode="External"/><Relationship Id="rId1451" Type="http://schemas.openxmlformats.org/officeDocument/2006/relationships/hyperlink" Target="https://storage.googleapis.com/glide-prod.appspot.com/uploads-v2/ly7o78grxPaC6KdgvbpS/pub/3aRdSog0vUtuqPE8AJKD.png" TargetMode="External"/><Relationship Id="rId253" Type="http://schemas.openxmlformats.org/officeDocument/2006/relationships/hyperlink" Target="https://storage.googleapis.com/glide-prod.appspot.com/uploads-v2/ly7o78grxPaC6KdgvbpS/pub/3aRdSog0vUtuqPE8AJKD.png" TargetMode="External"/><Relationship Id="rId460" Type="http://schemas.openxmlformats.org/officeDocument/2006/relationships/hyperlink" Target="https://storage.googleapis.com/glide-prod.appspot.com/uploads-v2/ly7o78grxPaC6KdgvbpS/pub/3aRdSog0vUtuqPE8AJKD.png" TargetMode="External"/><Relationship Id="rId698" Type="http://schemas.openxmlformats.org/officeDocument/2006/relationships/hyperlink" Target="https://storage.googleapis.com/glide-prod.appspot.com/uploads-v2/ly7o78grxPaC6KdgvbpS/pub/3aRdSog0vUtuqPE8AJKD.png" TargetMode="External"/><Relationship Id="rId919" Type="http://schemas.openxmlformats.org/officeDocument/2006/relationships/hyperlink" Target="https://storage.googleapis.com/glide-prod.appspot.com/uploads-v2/ly7o78grxPaC6KdgvbpS/pub/3aRdSog0vUtuqPE8AJKD.png" TargetMode="External"/><Relationship Id="rId1090" Type="http://schemas.openxmlformats.org/officeDocument/2006/relationships/hyperlink" Target="https://storage.googleapis.com/glide-prod.appspot.com/uploads-v2/ly7o78grxPaC6KdgvbpS/pub/3aRdSog0vUtuqPE8AJKD.png" TargetMode="External"/><Relationship Id="rId1104" Type="http://schemas.openxmlformats.org/officeDocument/2006/relationships/hyperlink" Target="https://storage.googleapis.com/glide-prod.appspot.com/uploads-v2/ly7o78grxPaC6KdgvbpS/pub/3aRdSog0vUtuqPE8AJKD.png" TargetMode="External"/><Relationship Id="rId1311" Type="http://schemas.openxmlformats.org/officeDocument/2006/relationships/hyperlink" Target="https://storage.googleapis.com/glide-prod.appspot.com/uploads-v2/ly7o78grxPaC6KdgvbpS/pub/e3mkB7AxIvOTk8EkBqkj/VID20231211213225.mp4" TargetMode="External"/><Relationship Id="rId1549" Type="http://schemas.openxmlformats.org/officeDocument/2006/relationships/hyperlink" Target="https://storage.googleapis.com/glide-prod.appspot.com/uploads-v2/ly7o78grxPaC6KdgvbpS/pub/3aRdSog0vUtuqPE8AJKD.png" TargetMode="External"/><Relationship Id="rId48" Type="http://schemas.openxmlformats.org/officeDocument/2006/relationships/hyperlink" Target="https://storage.googleapis.com/glide-prod.appspot.com/uploads-v2/ly7o78grxPaC6KdgvbpS/pub/3aRdSog0vUtuqPE8AJKD.png" TargetMode="External"/><Relationship Id="rId113" Type="http://schemas.openxmlformats.org/officeDocument/2006/relationships/hyperlink" Target="https://storage.googleapis.com/glide-prod.appspot.com/uploads-v2/ly7o78grxPaC6KdgvbpS/pub/3aRdSog0vUtuqPE8AJKD.png" TargetMode="External"/><Relationship Id="rId320" Type="http://schemas.openxmlformats.org/officeDocument/2006/relationships/hyperlink" Target="https://storage.googleapis.com/glide-prod.appspot.com/uploads-v2/ly7o78grxPaC6KdgvbpS/pub/3aRdSog0vUtuqPE8AJKD.png" TargetMode="External"/><Relationship Id="rId558" Type="http://schemas.openxmlformats.org/officeDocument/2006/relationships/hyperlink" Target="https://storage.googleapis.com/glide-prod.appspot.com/uploads-v2/ly7o78grxPaC6KdgvbpS/pub/3aRdSog0vUtuqPE8AJKD.png" TargetMode="External"/><Relationship Id="rId765" Type="http://schemas.openxmlformats.org/officeDocument/2006/relationships/hyperlink" Target="https://storage.googleapis.com/glide-prod.appspot.com/uploads-v2/ly7o78grxPaC6KdgvbpS/pub/3aRdSog0vUtuqPE8AJKD.png" TargetMode="External"/><Relationship Id="rId972" Type="http://schemas.openxmlformats.org/officeDocument/2006/relationships/hyperlink" Target="https://storage.googleapis.com/glide-prod.appspot.com/uploads-v2/ly7o78grxPaC6KdgvbpS/pub/3aRdSog0vUtuqPE8AJKD.png" TargetMode="External"/><Relationship Id="rId1188" Type="http://schemas.openxmlformats.org/officeDocument/2006/relationships/hyperlink" Target="https://storage.googleapis.com/glide-prod.appspot.com/uploads-v2/ly7o78grxPaC6KdgvbpS/pub/3aRdSog0vUtuqPE8AJKD.png" TargetMode="External"/><Relationship Id="rId1395" Type="http://schemas.openxmlformats.org/officeDocument/2006/relationships/hyperlink" Target="https://storage.googleapis.com/glide-prod.appspot.com/uploads-v2/ly7o78grxPaC6KdgvbpS/pub/3aRdSog0vUtuqPE8AJKD.png" TargetMode="External"/><Relationship Id="rId1409" Type="http://schemas.openxmlformats.org/officeDocument/2006/relationships/hyperlink" Target="https://storage.googleapis.com/glide-prod.appspot.com/uploads-v2/ly7o78grxPaC6KdgvbpS/pub/3aRdSog0vUtuqPE8AJKD.png" TargetMode="External"/><Relationship Id="rId1616" Type="http://schemas.openxmlformats.org/officeDocument/2006/relationships/hyperlink" Target="https://storage.googleapis.com/glide-prod.appspot.com/uploads-v2/ly7o78grxPaC6KdgvbpS/pub/3aRdSog0vUtuqPE8AJKD.png" TargetMode="External"/><Relationship Id="rId197" Type="http://schemas.openxmlformats.org/officeDocument/2006/relationships/hyperlink" Target="https://storage.googleapis.com/glide-prod.appspot.com/uploads-v2/ly7o78grxPaC6KdgvbpS/pub/3aRdSog0vUtuqPE8AJKD.png" TargetMode="External"/><Relationship Id="rId418" Type="http://schemas.openxmlformats.org/officeDocument/2006/relationships/hyperlink" Target="https://storage.googleapis.com/glide-prod.appspot.com/uploads-v2/ly7o78grxPaC6KdgvbpS/pub/3aRdSog0vUtuqPE8AJKD.png" TargetMode="External"/><Relationship Id="rId625" Type="http://schemas.openxmlformats.org/officeDocument/2006/relationships/hyperlink" Target="https://storage.googleapis.com/glide-prod.appspot.com/uploads-v2/ly7o78grxPaC6KdgvbpS/pub/3aRdSog0vUtuqPE8AJKD.png" TargetMode="External"/><Relationship Id="rId832" Type="http://schemas.openxmlformats.org/officeDocument/2006/relationships/hyperlink" Target="https://storage.googleapis.com/glide-prod.appspot.com/uploads-v2/ly7o78grxPaC6KdgvbpS/pub/3aRdSog0vUtuqPE8AJKD.png" TargetMode="External"/><Relationship Id="rId1048" Type="http://schemas.openxmlformats.org/officeDocument/2006/relationships/hyperlink" Target="https://storage.googleapis.com/glide-prod.appspot.com/uploads-v2/ly7o78grxPaC6KdgvbpS/pub/3aRdSog0vUtuqPE8AJKD.png" TargetMode="External"/><Relationship Id="rId1255" Type="http://schemas.openxmlformats.org/officeDocument/2006/relationships/hyperlink" Target="https://storage.googleapis.com/glide-prod.appspot.com/uploads-v2/ly7o78grxPaC6KdgvbpS/pub/UliJWgpEaBovaFmXi6OW.png" TargetMode="External"/><Relationship Id="rId1462" Type="http://schemas.openxmlformats.org/officeDocument/2006/relationships/hyperlink" Target="https://storage.googleapis.com/glide-prod.appspot.com/uploads-v2/ly7o78grxPaC6KdgvbpS/pub/3aRdSog0vUtuqPE8AJKD.png" TargetMode="External"/><Relationship Id="rId264" Type="http://schemas.openxmlformats.org/officeDocument/2006/relationships/hyperlink" Target="https://storage.googleapis.com/glide-prod.appspot.com/uploads-v2/ly7o78grxPaC6KdgvbpS/pub/3aRdSog0vUtuqPE8AJKD.png" TargetMode="External"/><Relationship Id="rId471" Type="http://schemas.openxmlformats.org/officeDocument/2006/relationships/hyperlink" Target="https://storage.googleapis.com/glide-prod.appspot.com/uploads-v2/ly7o78grxPaC6KdgvbpS/pub/3aRdSog0vUtuqPE8AJKD.png" TargetMode="External"/><Relationship Id="rId1115" Type="http://schemas.openxmlformats.org/officeDocument/2006/relationships/hyperlink" Target="https://storage.googleapis.com/glide-prod.appspot.com/uploads-v2/ly7o78grxPaC6KdgvbpS/pub/3aRdSog0vUtuqPE8AJKD.png" TargetMode="External"/><Relationship Id="rId1322" Type="http://schemas.openxmlformats.org/officeDocument/2006/relationships/hyperlink" Target="https://storage.googleapis.com/glide-prod.appspot.com/uploads-v2/ly7o78grxPaC6KdgvbpS/pub/3aRdSog0vUtuqPE8AJKD.png" TargetMode="External"/><Relationship Id="rId59" Type="http://schemas.openxmlformats.org/officeDocument/2006/relationships/hyperlink" Target="https://storage.googleapis.com/glide-prod.appspot.com/uploads-v2/ly7o78grxPaC6KdgvbpS/pub/UliJWgpEaBovaFmXi6OW.png" TargetMode="External"/><Relationship Id="rId124" Type="http://schemas.openxmlformats.org/officeDocument/2006/relationships/hyperlink" Target="https://storage.googleapis.com/glide-prod.appspot.com/uploads-v2/ly7o78grxPaC6KdgvbpS/pub/3aRdSog0vUtuqPE8AJKD.png" TargetMode="External"/><Relationship Id="rId569" Type="http://schemas.openxmlformats.org/officeDocument/2006/relationships/hyperlink" Target="https://storage.googleapis.com/glide-prod.appspot.com/uploads-v2/ly7o78grxPaC6KdgvbpS/pub/3aRdSog0vUtuqPE8AJKD.png" TargetMode="External"/><Relationship Id="rId776" Type="http://schemas.openxmlformats.org/officeDocument/2006/relationships/hyperlink" Target="https://storage.googleapis.com/glide-prod.appspot.com/uploads-v2/ly7o78grxPaC6KdgvbpS/pub/3aRdSog0vUtuqPE8AJKD.png" TargetMode="External"/><Relationship Id="rId983" Type="http://schemas.openxmlformats.org/officeDocument/2006/relationships/hyperlink" Target="https://storage.googleapis.com/glide-prod.appspot.com/uploads-v2/ly7o78grxPaC6KdgvbpS/pub/3aRdSog0vUtuqPE8AJKD.png" TargetMode="External"/><Relationship Id="rId1199" Type="http://schemas.openxmlformats.org/officeDocument/2006/relationships/hyperlink" Target="https://storage.googleapis.com/glide-prod.appspot.com/uploads-v2/ly7o78grxPaC6KdgvbpS/pub/3aRdSog0vUtuqPE8AJKD.png" TargetMode="External"/><Relationship Id="rId331" Type="http://schemas.openxmlformats.org/officeDocument/2006/relationships/hyperlink" Target="https://storage.googleapis.com/glide-prod.appspot.com/uploads-v2/ly7o78grxPaC6KdgvbpS/pub/3aRdSog0vUtuqPE8AJKD.png" TargetMode="External"/><Relationship Id="rId429" Type="http://schemas.openxmlformats.org/officeDocument/2006/relationships/hyperlink" Target="https://storage.googleapis.com/glide-prod.appspot.com/uploads-v2/ly7o78grxPaC6KdgvbpS/pub/3aRdSog0vUtuqPE8AJKD.png" TargetMode="External"/><Relationship Id="rId636" Type="http://schemas.openxmlformats.org/officeDocument/2006/relationships/hyperlink" Target="https://storage.googleapis.com/glide-prod.appspot.com/uploads-v2/ly7o78grxPaC6KdgvbpS/pub/3aRdSog0vUtuqPE8AJKD.png" TargetMode="External"/><Relationship Id="rId1059" Type="http://schemas.openxmlformats.org/officeDocument/2006/relationships/hyperlink" Target="https://storage.googleapis.com/glide-prod.appspot.com/uploads-v2/ly7o78grxPaC6KdgvbpS/pub/3aRdSog0vUtuqPE8AJKD.png" TargetMode="External"/><Relationship Id="rId1266" Type="http://schemas.openxmlformats.org/officeDocument/2006/relationships/hyperlink" Target="https://storage.googleapis.com/glide-prod.appspot.com/uploads-v2/ly7o78grxPaC6KdgvbpS/pub/3aRdSog0vUtuqPE8AJKD.png" TargetMode="External"/><Relationship Id="rId1473" Type="http://schemas.openxmlformats.org/officeDocument/2006/relationships/hyperlink" Target="https://storage.googleapis.com/glide-prod.appspot.com/uploads-v2/ly7o78grxPaC6KdgvbpS/pub/3aRdSog0vUtuqPE8AJKD.png" TargetMode="External"/><Relationship Id="rId843" Type="http://schemas.openxmlformats.org/officeDocument/2006/relationships/hyperlink" Target="https://storage.googleapis.com/glide-prod.appspot.com/uploads-v2/ly7o78grxPaC6KdgvbpS/pub/3aRdSog0vUtuqPE8AJKD.png" TargetMode="External"/><Relationship Id="rId1126" Type="http://schemas.openxmlformats.org/officeDocument/2006/relationships/hyperlink" Target="https://storage.googleapis.com/glide-prod.appspot.com/uploads-v2/ly7o78grxPaC6KdgvbpS/pub/3aRdSog0vUtuqPE8AJKD.png" TargetMode="External"/><Relationship Id="rId275" Type="http://schemas.openxmlformats.org/officeDocument/2006/relationships/hyperlink" Target="https://storage.googleapis.com/glide-prod.appspot.com/uploads-v2/ly7o78grxPaC6KdgvbpS/pub/3aRdSog0vUtuqPE8AJKD.png" TargetMode="External"/><Relationship Id="rId482" Type="http://schemas.openxmlformats.org/officeDocument/2006/relationships/hyperlink" Target="https://storage.googleapis.com/glide-prod.appspot.com/uploads-v2/ly7o78grxPaC6KdgvbpS/pub/3aRdSog0vUtuqPE8AJKD.png" TargetMode="External"/><Relationship Id="rId703" Type="http://schemas.openxmlformats.org/officeDocument/2006/relationships/hyperlink" Target="https://storage.googleapis.com/glide-prod.appspot.com/uploads-v2/ly7o78grxPaC6KdgvbpS/pub/3aRdSog0vUtuqPE8AJKD.png" TargetMode="External"/><Relationship Id="rId910" Type="http://schemas.openxmlformats.org/officeDocument/2006/relationships/hyperlink" Target="https://storage.googleapis.com/glide-prod.appspot.com/uploads-v2/ly7o78grxPaC6KdgvbpS/pub/uGFlPaK2qA02O5PVn4Nj.jpg" TargetMode="External"/><Relationship Id="rId1333" Type="http://schemas.openxmlformats.org/officeDocument/2006/relationships/hyperlink" Target="https://storage.googleapis.com/glide-prod.appspot.com/uploads-v2/ly7o78grxPaC6KdgvbpS/pub/3aRdSog0vUtuqPE8AJKD.png" TargetMode="External"/><Relationship Id="rId1540" Type="http://schemas.openxmlformats.org/officeDocument/2006/relationships/hyperlink" Target="https://storage.googleapis.com/glide-prod.appspot.com/uploads-v2/ly7o78grxPaC6KdgvbpS/pub/3aRdSog0vUtuqPE8AJKD.png" TargetMode="External"/><Relationship Id="rId135" Type="http://schemas.openxmlformats.org/officeDocument/2006/relationships/hyperlink" Target="https://storage.googleapis.com/glide-prod.appspot.com/uploads-v2/ly7o78grxPaC6KdgvbpS/pub/3aRdSog0vUtuqPE8AJKD.png" TargetMode="External"/><Relationship Id="rId342" Type="http://schemas.openxmlformats.org/officeDocument/2006/relationships/hyperlink" Target="https://storage.googleapis.com/glide-prod.appspot.com/uploads-v2/ly7o78grxPaC6KdgvbpS/pub/3aRdSog0vUtuqPE8AJKD.png" TargetMode="External"/><Relationship Id="rId787" Type="http://schemas.openxmlformats.org/officeDocument/2006/relationships/hyperlink" Target="https://storage.googleapis.com/glide-prod.appspot.com/uploads-v2/ly7o78grxPaC6KdgvbpS/pub/3aRdSog0vUtuqPE8AJKD.png" TargetMode="External"/><Relationship Id="rId994" Type="http://schemas.openxmlformats.org/officeDocument/2006/relationships/hyperlink" Target="https://storage.googleapis.com/glide-prod.appspot.com/uploads-v2/ly7o78grxPaC6KdgvbpS/pub/3aRdSog0vUtuqPE8AJKD.png" TargetMode="External"/><Relationship Id="rId1400" Type="http://schemas.openxmlformats.org/officeDocument/2006/relationships/hyperlink" Target="https://storage.googleapis.com/glide-prod.appspot.com/uploads-v2/ly7o78grxPaC6KdgvbpS/pub/3aRdSog0vUtuqPE8AJKD.png" TargetMode="External"/><Relationship Id="rId202" Type="http://schemas.openxmlformats.org/officeDocument/2006/relationships/hyperlink" Target="https://storage.googleapis.com/glide-prod.appspot.com/uploads-v2/ly7o78grxPaC6KdgvbpS/pub/3aRdSog0vUtuqPE8AJKD.png" TargetMode="External"/><Relationship Id="rId647" Type="http://schemas.openxmlformats.org/officeDocument/2006/relationships/hyperlink" Target="https://storage.googleapis.com/glide-prod.appspot.com/uploads-v2/ly7o78grxPaC6KdgvbpS/pub/3aRdSog0vUtuqPE8AJKD.png" TargetMode="External"/><Relationship Id="rId854" Type="http://schemas.openxmlformats.org/officeDocument/2006/relationships/hyperlink" Target="https://storage.googleapis.com/glide-prod.appspot.com/uploads-v2/ly7o78grxPaC6KdgvbpS/pub/3aRdSog0vUtuqPE8AJKD.png" TargetMode="External"/><Relationship Id="rId1277" Type="http://schemas.openxmlformats.org/officeDocument/2006/relationships/hyperlink" Target="https://storage.googleapis.com/glide-prod.appspot.com/uploads-v2/ly7o78grxPaC6KdgvbpS/pub/3aRdSog0vUtuqPE8AJKD.png" TargetMode="External"/><Relationship Id="rId1484" Type="http://schemas.openxmlformats.org/officeDocument/2006/relationships/hyperlink" Target="https://storage.googleapis.com/glide-prod.appspot.com/uploads-v2/ly7o78grxPaC6KdgvbpS/pub/3aRdSog0vUtuqPE8AJKD.png" TargetMode="External"/><Relationship Id="rId286" Type="http://schemas.openxmlformats.org/officeDocument/2006/relationships/hyperlink" Target="https://storage.googleapis.com/glide-prod.appspot.com/uploads-v2/ly7o78grxPaC6KdgvbpS/pub/3aRdSog0vUtuqPE8AJKD.png" TargetMode="External"/><Relationship Id="rId493" Type="http://schemas.openxmlformats.org/officeDocument/2006/relationships/hyperlink" Target="https://storage.googleapis.com/glide-prod.appspot.com/uploads-v2/ly7o78grxPaC6KdgvbpS/pub/3aRdSog0vUtuqPE8AJKD.png" TargetMode="External"/><Relationship Id="rId507" Type="http://schemas.openxmlformats.org/officeDocument/2006/relationships/hyperlink" Target="https://storage.googleapis.com/glide-prod.appspot.com/uploads-v2/ly7o78grxPaC6KdgvbpS/pub/3aRdSog0vUtuqPE8AJKD.png" TargetMode="External"/><Relationship Id="rId714" Type="http://schemas.openxmlformats.org/officeDocument/2006/relationships/hyperlink" Target="https://storage.googleapis.com/glide-prod.appspot.com/uploads-v2/ly7o78grxPaC6KdgvbpS/pub/3aRdSog0vUtuqPE8AJKD.png" TargetMode="External"/><Relationship Id="rId921" Type="http://schemas.openxmlformats.org/officeDocument/2006/relationships/hyperlink" Target="https://storage.googleapis.com/glide-prod.appspot.com/uploads-v2/ly7o78grxPaC6KdgvbpS/pub/3aRdSog0vUtuqPE8AJKD.png" TargetMode="External"/><Relationship Id="rId1137" Type="http://schemas.openxmlformats.org/officeDocument/2006/relationships/hyperlink" Target="https://storage.googleapis.com/glide-prod.appspot.com/uploads-v2/ly7o78grxPaC6KdgvbpS/pub/3aRdSog0vUtuqPE8AJKD.png" TargetMode="External"/><Relationship Id="rId1344" Type="http://schemas.openxmlformats.org/officeDocument/2006/relationships/hyperlink" Target="https://storage.googleapis.com/glide-prod.appspot.com/uploads-v2/ly7o78grxPaC6KdgvbpS/pub/3aRdSog0vUtuqPE8AJKD.png" TargetMode="External"/><Relationship Id="rId1551" Type="http://schemas.openxmlformats.org/officeDocument/2006/relationships/hyperlink" Target="https://storage.googleapis.com/glide-prod.appspot.com/uploads-v2/ly7o78grxPaC6KdgvbpS/pub/3aRdSog0vUtuqPE8AJKD.png" TargetMode="External"/><Relationship Id="rId50" Type="http://schemas.openxmlformats.org/officeDocument/2006/relationships/hyperlink" Target="https://storage.googleapis.com/glide-prod.appspot.com/uploads-v2/ly7o78grxPaC6KdgvbpS/pub/3aRdSog0vUtuqPE8AJKD.png" TargetMode="External"/><Relationship Id="rId146" Type="http://schemas.openxmlformats.org/officeDocument/2006/relationships/hyperlink" Target="https://storage.googleapis.com/glide-prod.appspot.com/uploads-v2/ly7o78grxPaC6KdgvbpS/pub/3aRdSog0vUtuqPE8AJKD.png" TargetMode="External"/><Relationship Id="rId353" Type="http://schemas.openxmlformats.org/officeDocument/2006/relationships/hyperlink" Target="https://storage.googleapis.com/glide-prod.appspot.com/uploads-v2/ly7o78grxPaC6KdgvbpS/pub/3aRdSog0vUtuqPE8AJKD.png" TargetMode="External"/><Relationship Id="rId560" Type="http://schemas.openxmlformats.org/officeDocument/2006/relationships/hyperlink" Target="https://storage.googleapis.com/glide-prod.appspot.com/uploads-v2/ly7o78grxPaC6KdgvbpS/pub/3aRdSog0vUtuqPE8AJKD.png" TargetMode="External"/><Relationship Id="rId798" Type="http://schemas.openxmlformats.org/officeDocument/2006/relationships/hyperlink" Target="https://storage.googleapis.com/glide-prod.appspot.com/uploads-v2/ly7o78grxPaC6KdgvbpS/pub/3aRdSog0vUtuqPE8AJKD.png" TargetMode="External"/><Relationship Id="rId1190" Type="http://schemas.openxmlformats.org/officeDocument/2006/relationships/hyperlink" Target="https://storage.googleapis.com/glide-prod.appspot.com/uploads-v2/ly7o78grxPaC6KdgvbpS/pub/3aRdSog0vUtuqPE8AJKD.png" TargetMode="External"/><Relationship Id="rId1204" Type="http://schemas.openxmlformats.org/officeDocument/2006/relationships/hyperlink" Target="https://storage.googleapis.com/glide-prod.appspot.com/uploads-v2/ly7o78grxPaC6KdgvbpS/pub/3aRdSog0vUtuqPE8AJKD.png" TargetMode="External"/><Relationship Id="rId1411" Type="http://schemas.openxmlformats.org/officeDocument/2006/relationships/hyperlink" Target="https://storage.googleapis.com/glide-prod.appspot.com/uploads-v2/ly7o78grxPaC6KdgvbpS/pub/3aRdSog0vUtuqPE8AJKD.png" TargetMode="External"/><Relationship Id="rId213" Type="http://schemas.openxmlformats.org/officeDocument/2006/relationships/hyperlink" Target="https://storage.googleapis.com/glide-prod.appspot.com/uploads-v2/ly7o78grxPaC6KdgvbpS/pub/3aRdSog0vUtuqPE8AJKD.png" TargetMode="External"/><Relationship Id="rId420" Type="http://schemas.openxmlformats.org/officeDocument/2006/relationships/hyperlink" Target="https://storage.googleapis.com/glide-prod.appspot.com/uploads-v2/ly7o78grxPaC6KdgvbpS/pub/3aRdSog0vUtuqPE8AJKD.png" TargetMode="External"/><Relationship Id="rId658" Type="http://schemas.openxmlformats.org/officeDocument/2006/relationships/hyperlink" Target="https://storage.googleapis.com/glide-prod.appspot.com/uploads-v2/ly7o78grxPaC6KdgvbpS/pub/3aRdSog0vUtuqPE8AJKD.png" TargetMode="External"/><Relationship Id="rId865" Type="http://schemas.openxmlformats.org/officeDocument/2006/relationships/hyperlink" Target="https://storage.googleapis.com/glide-prod.appspot.com/uploads-v2/ly7o78grxPaC6KdgvbpS/pub/3aRdSog0vUtuqPE8AJKD.png" TargetMode="External"/><Relationship Id="rId1050" Type="http://schemas.openxmlformats.org/officeDocument/2006/relationships/hyperlink" Target="https://storage.googleapis.com/glide-prod.appspot.com/uploads-v2/ly7o78grxPaC6KdgvbpS/pub/3aRdSog0vUtuqPE8AJKD.png" TargetMode="External"/><Relationship Id="rId1288" Type="http://schemas.openxmlformats.org/officeDocument/2006/relationships/hyperlink" Target="https://storage.googleapis.com/glide-prod.appspot.com/uploads-v2/ly7o78grxPaC6KdgvbpS/pub/3aRdSog0vUtuqPE8AJKD.png" TargetMode="External"/><Relationship Id="rId1495" Type="http://schemas.openxmlformats.org/officeDocument/2006/relationships/hyperlink" Target="https://storage.googleapis.com/glide-prod.appspot.com/uploads-v2/ly7o78grxPaC6KdgvbpS/pub/3aRdSog0vUtuqPE8AJKD.png" TargetMode="External"/><Relationship Id="rId1509" Type="http://schemas.openxmlformats.org/officeDocument/2006/relationships/hyperlink" Target="https://storage.googleapis.com/glide-prod.appspot.com/uploads-v2/ly7o78grxPaC6KdgvbpS/pub/3aRdSog0vUtuqPE8AJKD.png" TargetMode="External"/><Relationship Id="rId297" Type="http://schemas.openxmlformats.org/officeDocument/2006/relationships/hyperlink" Target="https://storage.googleapis.com/glide-prod.appspot.com/uploads-v2/ly7o78grxPaC6KdgvbpS/pub/3aRdSog0vUtuqPE8AJKD.png" TargetMode="External"/><Relationship Id="rId518" Type="http://schemas.openxmlformats.org/officeDocument/2006/relationships/hyperlink" Target="https://storage.googleapis.com/glide-prod.appspot.com/uploads-v2/ly7o78grxPaC6KdgvbpS/pub/wnkoFpOxj3xI3dNyAo0J.jpg" TargetMode="External"/><Relationship Id="rId725" Type="http://schemas.openxmlformats.org/officeDocument/2006/relationships/hyperlink" Target="https://storage.googleapis.com/glide-prod.appspot.com/uploads-v2/ly7o78grxPaC6KdgvbpS/pub/3aRdSog0vUtuqPE8AJKD.png" TargetMode="External"/><Relationship Id="rId932" Type="http://schemas.openxmlformats.org/officeDocument/2006/relationships/hyperlink" Target="https://storage.googleapis.com/glide-prod.appspot.com/uploads-v2/ly7o78grxPaC6KdgvbpS/pub/3aRdSog0vUtuqPE8AJKD.png" TargetMode="External"/><Relationship Id="rId1148" Type="http://schemas.openxmlformats.org/officeDocument/2006/relationships/hyperlink" Target="https://storage.googleapis.com/glide-prod.appspot.com/uploads-v2/ly7o78grxPaC6KdgvbpS/pub/3aRdSog0vUtuqPE8AJKD.png" TargetMode="External"/><Relationship Id="rId1355" Type="http://schemas.openxmlformats.org/officeDocument/2006/relationships/hyperlink" Target="https://storage.googleapis.com/glide-prod.appspot.com/uploads-v2/ly7o78grxPaC6KdgvbpS/pub/3aRdSog0vUtuqPE8AJKD.png" TargetMode="External"/><Relationship Id="rId1562" Type="http://schemas.openxmlformats.org/officeDocument/2006/relationships/hyperlink" Target="https://storage.googleapis.com/glide-prod.appspot.com/uploads-v2/ly7o78grxPaC6KdgvbpS/pub/3aRdSog0vUtuqPE8AJKD.png" TargetMode="External"/><Relationship Id="rId157" Type="http://schemas.openxmlformats.org/officeDocument/2006/relationships/hyperlink" Target="https://storage.googleapis.com/glide-prod.appspot.com/uploads-v2/ly7o78grxPaC6KdgvbpS/pub/3aRdSog0vUtuqPE8AJKD.png" TargetMode="External"/><Relationship Id="rId364" Type="http://schemas.openxmlformats.org/officeDocument/2006/relationships/hyperlink" Target="https://storage.googleapis.com/glide-prod.appspot.com/uploads-v2/ly7o78grxPaC6KdgvbpS/pub/3aRdSog0vUtuqPE8AJKD.png" TargetMode="External"/><Relationship Id="rId1008" Type="http://schemas.openxmlformats.org/officeDocument/2006/relationships/hyperlink" Target="https://storage.googleapis.com/glide-prod.appspot.com/uploads-v2/ly7o78grxPaC6KdgvbpS/pub/3aRdSog0vUtuqPE8AJKD.png" TargetMode="External"/><Relationship Id="rId1215" Type="http://schemas.openxmlformats.org/officeDocument/2006/relationships/hyperlink" Target="https://storage.googleapis.com/glide-prod.appspot.com/uploads-v2/ly7o78grxPaC6KdgvbpS/pub/UliJWgpEaBovaFmXi6OW.png" TargetMode="External"/><Relationship Id="rId1422" Type="http://schemas.openxmlformats.org/officeDocument/2006/relationships/hyperlink" Target="https://storage.googleapis.com/glide-prod.appspot.com/uploads-v2/ly7o78grxPaC6KdgvbpS/pub/3aRdSog0vUtuqPE8AJKD.png" TargetMode="External"/><Relationship Id="rId61" Type="http://schemas.openxmlformats.org/officeDocument/2006/relationships/hyperlink" Target="https://storage.googleapis.com/glide-prod.appspot.com/uploads-v2/ly7o78grxPaC6KdgvbpS/pub/3aRdSog0vUtuqPE8AJKD.png" TargetMode="External"/><Relationship Id="rId571" Type="http://schemas.openxmlformats.org/officeDocument/2006/relationships/hyperlink" Target="https://storage.googleapis.com/glide-prod.appspot.com/uploads-v2/ly7o78grxPaC6KdgvbpS/pub/3aRdSog0vUtuqPE8AJKD.png" TargetMode="External"/><Relationship Id="rId669" Type="http://schemas.openxmlformats.org/officeDocument/2006/relationships/hyperlink" Target="https://storage.googleapis.com/glide-prod.appspot.com/uploads-v2/ly7o78grxPaC6KdgvbpS/pub/3aRdSog0vUtuqPE8AJKD.png" TargetMode="External"/><Relationship Id="rId876" Type="http://schemas.openxmlformats.org/officeDocument/2006/relationships/hyperlink" Target="https://storage.googleapis.com/glide-prod.appspot.com/uploads-v2/ly7o78grxPaC6KdgvbpS/pub/3aRdSog0vUtuqPE8AJKD.png" TargetMode="External"/><Relationship Id="rId1299" Type="http://schemas.openxmlformats.org/officeDocument/2006/relationships/hyperlink" Target="https://storage.googleapis.com/glide-prod.appspot.com/uploads-v2/ly7o78grxPaC6KdgvbpS/pub/3aRdSog0vUtuqPE8AJKD.png" TargetMode="External"/><Relationship Id="rId19" Type="http://schemas.openxmlformats.org/officeDocument/2006/relationships/hyperlink" Target="https://storage.googleapis.com/glide-prod.appspot.com/uploads-v2/ly7o78grxPaC6KdgvbpS/pub/3aRdSog0vUtuqPE8AJKD.png" TargetMode="External"/><Relationship Id="rId224" Type="http://schemas.openxmlformats.org/officeDocument/2006/relationships/hyperlink" Target="https://storage.googleapis.com/glide-prod.appspot.com/uploads-v2/ly7o78grxPaC6KdgvbpS/pub/3aRdSog0vUtuqPE8AJKD.png" TargetMode="External"/><Relationship Id="rId431" Type="http://schemas.openxmlformats.org/officeDocument/2006/relationships/hyperlink" Target="https://storage.googleapis.com/glide-prod.appspot.com/uploads-v2/ly7o78grxPaC6KdgvbpS/pub/3aRdSog0vUtuqPE8AJKD.png" TargetMode="External"/><Relationship Id="rId529" Type="http://schemas.openxmlformats.org/officeDocument/2006/relationships/hyperlink" Target="https://storage.googleapis.com/glide-prod.appspot.com/uploads-v2/ly7o78grxPaC6KdgvbpS/pub/Gql5JjpVsbgFBF5WxS44.jpeg" TargetMode="External"/><Relationship Id="rId736" Type="http://schemas.openxmlformats.org/officeDocument/2006/relationships/hyperlink" Target="https://storage.googleapis.com/glide-prod.appspot.com/uploads-v2/ly7o78grxPaC6KdgvbpS/pub/3aRdSog0vUtuqPE8AJKD.png" TargetMode="External"/><Relationship Id="rId1061" Type="http://schemas.openxmlformats.org/officeDocument/2006/relationships/hyperlink" Target="https://storage.googleapis.com/glide-prod.appspot.com/uploads-v2/ly7o78grxPaC6KdgvbpS/pub/3aRdSog0vUtuqPE8AJKD.png" TargetMode="External"/><Relationship Id="rId1159" Type="http://schemas.openxmlformats.org/officeDocument/2006/relationships/hyperlink" Target="https://storage.googleapis.com/glide-prod.appspot.com/uploads-v2/ly7o78grxPaC6KdgvbpS/pub/3aRdSog0vUtuqPE8AJKD.png" TargetMode="External"/><Relationship Id="rId1366" Type="http://schemas.openxmlformats.org/officeDocument/2006/relationships/hyperlink" Target="https://storage.googleapis.com/glide-prod.appspot.com/uploads-v2/ly7o78grxPaC6KdgvbpS/pub/3aRdSog0vUtuqPE8AJKD.png" TargetMode="External"/><Relationship Id="rId168" Type="http://schemas.openxmlformats.org/officeDocument/2006/relationships/hyperlink" Target="https://storage.googleapis.com/glide-prod.appspot.com/uploads-v2/ly7o78grxPaC6KdgvbpS/pub/3aRdSog0vUtuqPE8AJKD.png" TargetMode="External"/><Relationship Id="rId943" Type="http://schemas.openxmlformats.org/officeDocument/2006/relationships/hyperlink" Target="https://storage.googleapis.com/glide-prod.appspot.com/uploads-v2/ly7o78grxPaC6KdgvbpS/pub/3aRdSog0vUtuqPE8AJKD.png" TargetMode="External"/><Relationship Id="rId1019" Type="http://schemas.openxmlformats.org/officeDocument/2006/relationships/hyperlink" Target="https://storage.googleapis.com/glide-prod.appspot.com/uploads-v2/ly7o78grxPaC6KdgvbpS/pub/3aRdSog0vUtuqPE8AJKD.png" TargetMode="External"/><Relationship Id="rId1573" Type="http://schemas.openxmlformats.org/officeDocument/2006/relationships/hyperlink" Target="https://storage.googleapis.com/glide-prod.appspot.com/uploads-v2/ly7o78grxPaC6KdgvbpS/pub/3aRdSog0vUtuqPE8AJKD.png" TargetMode="External"/><Relationship Id="rId72" Type="http://schemas.openxmlformats.org/officeDocument/2006/relationships/hyperlink" Target="https://storage.googleapis.com/glide-prod.appspot.com/uploads-v2/ly7o78grxPaC6KdgvbpS/pub/3aRdSog0vUtuqPE8AJKD.png" TargetMode="External"/><Relationship Id="rId375" Type="http://schemas.openxmlformats.org/officeDocument/2006/relationships/hyperlink" Target="https://storage.googleapis.com/glide-prod.appspot.com/uploads-v2/ly7o78grxPaC6KdgvbpS/pub/3aRdSog0vUtuqPE8AJKD.png" TargetMode="External"/><Relationship Id="rId582" Type="http://schemas.openxmlformats.org/officeDocument/2006/relationships/hyperlink" Target="https://storage.googleapis.com/glide-prod.appspot.com/uploads-v2/ly7o78grxPaC6KdgvbpS/pub/3aRdSog0vUtuqPE8AJKD.png" TargetMode="External"/><Relationship Id="rId803" Type="http://schemas.openxmlformats.org/officeDocument/2006/relationships/hyperlink" Target="https://storage.googleapis.com/glide-prod.appspot.com/uploads-v2/ly7o78grxPaC6KdgvbpS/pub/3aRdSog0vUtuqPE8AJKD.png" TargetMode="External"/><Relationship Id="rId1226" Type="http://schemas.openxmlformats.org/officeDocument/2006/relationships/hyperlink" Target="https://storage.googleapis.com/glide-prod.appspot.com/uploads-v2/ly7o78grxPaC6KdgvbpS/pub/3aRdSog0vUtuqPE8AJKD.png" TargetMode="External"/><Relationship Id="rId1433" Type="http://schemas.openxmlformats.org/officeDocument/2006/relationships/hyperlink" Target="https://storage.googleapis.com/glide-prod.appspot.com/uploads-v2/ly7o78grxPaC6KdgvbpS/pub/UliJWgpEaBovaFmXi6OW.png" TargetMode="External"/><Relationship Id="rId3" Type="http://schemas.openxmlformats.org/officeDocument/2006/relationships/hyperlink" Target="https://storage.googleapis.com/glide-prod.appspot.com/uploads-v2/ly7o78grxPaC6KdgvbpS/pub/3aRdSog0vUtuqPE8AJKD.png" TargetMode="External"/><Relationship Id="rId235" Type="http://schemas.openxmlformats.org/officeDocument/2006/relationships/hyperlink" Target="https://storage.googleapis.com/glide-prod.appspot.com/uploads-v2/ly7o78grxPaC6KdgvbpS/pub/3aRdSog0vUtuqPE8AJKD.png" TargetMode="External"/><Relationship Id="rId442" Type="http://schemas.openxmlformats.org/officeDocument/2006/relationships/hyperlink" Target="https://storage.googleapis.com/glide-prod.appspot.com/uploads-v2/ly7o78grxPaC6KdgvbpS/pub/3aRdSog0vUtuqPE8AJKD.png" TargetMode="External"/><Relationship Id="rId887" Type="http://schemas.openxmlformats.org/officeDocument/2006/relationships/hyperlink" Target="https://storage.googleapis.com/glide-prod.appspot.com/uploads-v2/ly7o78grxPaC6KdgvbpS/pub/3aRdSog0vUtuqPE8AJKD.png" TargetMode="External"/><Relationship Id="rId1072" Type="http://schemas.openxmlformats.org/officeDocument/2006/relationships/hyperlink" Target="https://storage.googleapis.com/glide-prod.appspot.com/uploads-v2/ly7o78grxPaC6KdgvbpS/pub/3aRdSog0vUtuqPE8AJKD.png" TargetMode="External"/><Relationship Id="rId1500" Type="http://schemas.openxmlformats.org/officeDocument/2006/relationships/hyperlink" Target="https://storage.googleapis.com/glide-prod.appspot.com/uploads-v2/ly7o78grxPaC6KdgvbpS/pub/3aRdSog0vUtuqPE8AJKD.png" TargetMode="External"/><Relationship Id="rId302" Type="http://schemas.openxmlformats.org/officeDocument/2006/relationships/hyperlink" Target="https://storage.googleapis.com/glide-prod.appspot.com/uploads-v2/ly7o78grxPaC6KdgvbpS/pub/3aRdSog0vUtuqPE8AJKD.png" TargetMode="External"/><Relationship Id="rId747" Type="http://schemas.openxmlformats.org/officeDocument/2006/relationships/hyperlink" Target="https://storage.googleapis.com/glide-prod.appspot.com/uploads-v2/ly7o78grxPaC6KdgvbpS/pub/3aRdSog0vUtuqPE8AJKD.png" TargetMode="External"/><Relationship Id="rId954" Type="http://schemas.openxmlformats.org/officeDocument/2006/relationships/hyperlink" Target="https://storage.googleapis.com/glide-prod.appspot.com/uploads-v2/ly7o78grxPaC6KdgvbpS/pub/3aRdSog0vUtuqPE8AJKD.png" TargetMode="External"/><Relationship Id="rId1377" Type="http://schemas.openxmlformats.org/officeDocument/2006/relationships/hyperlink" Target="https://storage.googleapis.com/glide-prod.appspot.com/uploads-v2/ly7o78grxPaC6KdgvbpS/pub/3aRdSog0vUtuqPE8AJKD.png" TargetMode="External"/><Relationship Id="rId1584" Type="http://schemas.openxmlformats.org/officeDocument/2006/relationships/hyperlink" Target="https://storage.googleapis.com/glide-prod.appspot.com/uploads-v2/ly7o78grxPaC6KdgvbpS/pub/3aRdSog0vUtuqPE8AJKD.png" TargetMode="External"/><Relationship Id="rId83" Type="http://schemas.openxmlformats.org/officeDocument/2006/relationships/hyperlink" Target="https://storage.googleapis.com/glide-prod.appspot.com/uploads-v2/ly7o78grxPaC6KdgvbpS/pub/3aRdSog0vUtuqPE8AJKD.png" TargetMode="External"/><Relationship Id="rId179" Type="http://schemas.openxmlformats.org/officeDocument/2006/relationships/hyperlink" Target="https://storage.googleapis.com/glide-prod.appspot.com/uploads-v2/ly7o78grxPaC6KdgvbpS/pub/3aRdSog0vUtuqPE8AJKD.png" TargetMode="External"/><Relationship Id="rId386" Type="http://schemas.openxmlformats.org/officeDocument/2006/relationships/hyperlink" Target="https://storage.googleapis.com/glide-prod.appspot.com/uploads-v2/ly7o78grxPaC6KdgvbpS/pub/3aRdSog0vUtuqPE8AJKD.png" TargetMode="External"/><Relationship Id="rId593" Type="http://schemas.openxmlformats.org/officeDocument/2006/relationships/hyperlink" Target="https://storage.googleapis.com/glide-prod.appspot.com/uploads-v2/ly7o78grxPaC6KdgvbpS/pub/3aRdSog0vUtuqPE8AJKD.png" TargetMode="External"/><Relationship Id="rId607" Type="http://schemas.openxmlformats.org/officeDocument/2006/relationships/hyperlink" Target="https://storage.googleapis.com/glide-prod.appspot.com/uploads-v2/ly7o78grxPaC6KdgvbpS/pub/3aRdSog0vUtuqPE8AJKD.png" TargetMode="External"/><Relationship Id="rId814" Type="http://schemas.openxmlformats.org/officeDocument/2006/relationships/hyperlink" Target="https://storage.googleapis.com/glide-prod.appspot.com/uploads-v2/ly7o78grxPaC6KdgvbpS/pub/3aRdSog0vUtuqPE8AJKD.png" TargetMode="External"/><Relationship Id="rId1237" Type="http://schemas.openxmlformats.org/officeDocument/2006/relationships/hyperlink" Target="https://storage.googleapis.com/glide-prod.appspot.com/uploads-v2/ly7o78grxPaC6KdgvbpS/pub/3aRdSog0vUtuqPE8AJKD.png" TargetMode="External"/><Relationship Id="rId1444" Type="http://schemas.openxmlformats.org/officeDocument/2006/relationships/hyperlink" Target="https://storage.googleapis.com/glide-prod.appspot.com/uploads-v2/ly7o78grxPaC6KdgvbpS/pub/3aRdSog0vUtuqPE8AJKD.png" TargetMode="External"/><Relationship Id="rId246" Type="http://schemas.openxmlformats.org/officeDocument/2006/relationships/hyperlink" Target="https://storage.googleapis.com/glide-prod.appspot.com/uploads-v2/ly7o78grxPaC6KdgvbpS/pub/3aRdSog0vUtuqPE8AJKD.png" TargetMode="External"/><Relationship Id="rId453" Type="http://schemas.openxmlformats.org/officeDocument/2006/relationships/hyperlink" Target="https://storage.googleapis.com/glide-prod.appspot.com/uploads-v2/ly7o78grxPaC6KdgvbpS/pub/3aRdSog0vUtuqPE8AJKD.png" TargetMode="External"/><Relationship Id="rId660" Type="http://schemas.openxmlformats.org/officeDocument/2006/relationships/hyperlink" Target="https://storage.googleapis.com/glide-prod.appspot.com/uploads-v2/ly7o78grxPaC6KdgvbpS/pub/3aRdSog0vUtuqPE8AJKD.png" TargetMode="External"/><Relationship Id="rId898" Type="http://schemas.openxmlformats.org/officeDocument/2006/relationships/hyperlink" Target="https://storage.googleapis.com/glide-prod.appspot.com/uploads-v2/ly7o78grxPaC6KdgvbpS/pub/3aRdSog0vUtuqPE8AJKD.png" TargetMode="External"/><Relationship Id="rId1083" Type="http://schemas.openxmlformats.org/officeDocument/2006/relationships/hyperlink" Target="https://storage.googleapis.com/glide-prod.appspot.com/uploads-v2/ly7o78grxPaC6KdgvbpS/pub/3aRdSog0vUtuqPE8AJKD.png" TargetMode="External"/><Relationship Id="rId1290" Type="http://schemas.openxmlformats.org/officeDocument/2006/relationships/hyperlink" Target="https://storage.googleapis.com/glide-prod.appspot.com/uploads-v2/ly7o78grxPaC6KdgvbpS/pub/3aRdSog0vUtuqPE8AJKD.png" TargetMode="External"/><Relationship Id="rId1304" Type="http://schemas.openxmlformats.org/officeDocument/2006/relationships/hyperlink" Target="https://storage.googleapis.com/glide-prod.appspot.com/uploads-v2/ly7o78grxPaC6KdgvbpS/pub/3aRdSog0vUtuqPE8AJKD.png" TargetMode="External"/><Relationship Id="rId1511" Type="http://schemas.openxmlformats.org/officeDocument/2006/relationships/hyperlink" Target="https://storage.googleapis.com/glide-prod.appspot.com/uploads-v2/ly7o78grxPaC6KdgvbpS/pub/ptvD26w9HAWEfScL3VSP.jpg" TargetMode="External"/><Relationship Id="rId106" Type="http://schemas.openxmlformats.org/officeDocument/2006/relationships/hyperlink" Target="https://storage.googleapis.com/glide-prod.appspot.com/uploads-v2/ly7o78grxPaC6KdgvbpS/pub/ADYNU7nGHcdYSC41lVLk.jpg" TargetMode="External"/><Relationship Id="rId313" Type="http://schemas.openxmlformats.org/officeDocument/2006/relationships/hyperlink" Target="https://storage.googleapis.com/glide-prod.appspot.com/uploads-v2/ly7o78grxPaC6KdgvbpS/pub/3aRdSog0vUtuqPE8AJKD.png" TargetMode="External"/><Relationship Id="rId758" Type="http://schemas.openxmlformats.org/officeDocument/2006/relationships/hyperlink" Target="https://storage.googleapis.com/glide-prod.appspot.com/uploads-v2/ly7o78grxPaC6KdgvbpS/pub/3aRdSog0vUtuqPE8AJKD.png" TargetMode="External"/><Relationship Id="rId965" Type="http://schemas.openxmlformats.org/officeDocument/2006/relationships/hyperlink" Target="https://storage.googleapis.com/glide-prod.appspot.com/uploads-v2/ly7o78grxPaC6KdgvbpS/pub/3aRdSog0vUtuqPE8AJKD.png" TargetMode="External"/><Relationship Id="rId1150" Type="http://schemas.openxmlformats.org/officeDocument/2006/relationships/hyperlink" Target="https://storage.googleapis.com/glide-prod.appspot.com/uploads-v2/ly7o78grxPaC6KdgvbpS/pub/3aRdSog0vUtuqPE8AJKD.png" TargetMode="External"/><Relationship Id="rId1388" Type="http://schemas.openxmlformats.org/officeDocument/2006/relationships/hyperlink" Target="https://storage.googleapis.com/glide-prod.appspot.com/uploads-v2/ly7o78grxPaC6KdgvbpS/pub/3aRdSog0vUtuqPE8AJKD.png" TargetMode="External"/><Relationship Id="rId1595" Type="http://schemas.openxmlformats.org/officeDocument/2006/relationships/hyperlink" Target="https://storage.googleapis.com/glide-prod.appspot.com/uploads-v2/ly7o78grxPaC6KdgvbpS/pub/yvtCGRAPIbS0tVLIlehH.png" TargetMode="External"/><Relationship Id="rId1609" Type="http://schemas.openxmlformats.org/officeDocument/2006/relationships/hyperlink" Target="https://storage.googleapis.com/glide-prod.appspot.com/uploads-v2/ly7o78grxPaC6KdgvbpS/pub/3aRdSog0vUtuqPE8AJKD.png" TargetMode="External"/><Relationship Id="rId10" Type="http://schemas.openxmlformats.org/officeDocument/2006/relationships/hyperlink" Target="https://storage.googleapis.com/glide-prod.appspot.com/uploads-v2/ly7o78grxPaC6KdgvbpS/pub/3aRdSog0vUtuqPE8AJKD.png" TargetMode="External"/><Relationship Id="rId94" Type="http://schemas.openxmlformats.org/officeDocument/2006/relationships/hyperlink" Target="https://storage.googleapis.com/glide-prod.appspot.com/uploads-v2/ly7o78grxPaC6KdgvbpS/pub/3aRdSog0vUtuqPE8AJKD.png" TargetMode="External"/><Relationship Id="rId397" Type="http://schemas.openxmlformats.org/officeDocument/2006/relationships/hyperlink" Target="https://storage.googleapis.com/glide-prod.appspot.com/uploads-v2/ly7o78grxPaC6KdgvbpS/pub/3aRdSog0vUtuqPE8AJKD.png" TargetMode="External"/><Relationship Id="rId520" Type="http://schemas.openxmlformats.org/officeDocument/2006/relationships/hyperlink" Target="https://storage.googleapis.com/glide-prod.appspot.com/uploads-v2/ly7o78grxPaC6KdgvbpS/pub/3aRdSog0vUtuqPE8AJKD.png" TargetMode="External"/><Relationship Id="rId618" Type="http://schemas.openxmlformats.org/officeDocument/2006/relationships/hyperlink" Target="https://storage.googleapis.com/glide-prod.appspot.com/uploads-v2/ly7o78grxPaC6KdgvbpS/pub/3aRdSog0vUtuqPE8AJKD.png" TargetMode="External"/><Relationship Id="rId825" Type="http://schemas.openxmlformats.org/officeDocument/2006/relationships/hyperlink" Target="https://storage.googleapis.com/glide-prod.appspot.com/uploads-v2/ly7o78grxPaC6KdgvbpS/pub/3aRdSog0vUtuqPE8AJKD.png" TargetMode="External"/><Relationship Id="rId1248" Type="http://schemas.openxmlformats.org/officeDocument/2006/relationships/hyperlink" Target="https://storage.googleapis.com/glide-prod.appspot.com/uploads-v2/ly7o78grxPaC6KdgvbpS/pub/3aRdSog0vUtuqPE8AJKD.png" TargetMode="External"/><Relationship Id="rId1455" Type="http://schemas.openxmlformats.org/officeDocument/2006/relationships/hyperlink" Target="https://storage.googleapis.com/glide-prod.appspot.com/uploads-v2/ly7o78grxPaC6KdgvbpS/pub/3aRdSog0vUtuqPE8AJKD.png" TargetMode="External"/><Relationship Id="rId257" Type="http://schemas.openxmlformats.org/officeDocument/2006/relationships/hyperlink" Target="https://storage.googleapis.com/glide-prod.appspot.com/uploads-v2/ly7o78grxPaC6KdgvbpS/pub/3aRdSog0vUtuqPE8AJKD.png" TargetMode="External"/><Relationship Id="rId464" Type="http://schemas.openxmlformats.org/officeDocument/2006/relationships/hyperlink" Target="https://storage.googleapis.com/glide-prod.appspot.com/uploads-v2/ly7o78grxPaC6KdgvbpS/pub/3aRdSog0vUtuqPE8AJKD.png" TargetMode="External"/><Relationship Id="rId1010" Type="http://schemas.openxmlformats.org/officeDocument/2006/relationships/hyperlink" Target="https://storage.googleapis.com/glide-prod.appspot.com/uploads-v2/ly7o78grxPaC6KdgvbpS/pub/3aRdSog0vUtuqPE8AJKD.png" TargetMode="External"/><Relationship Id="rId1094" Type="http://schemas.openxmlformats.org/officeDocument/2006/relationships/hyperlink" Target="https://storage.googleapis.com/glide-prod.appspot.com/uploads-v2/ly7o78grxPaC6KdgvbpS/pub/3aRdSog0vUtuqPE8AJKD.png" TargetMode="External"/><Relationship Id="rId1108" Type="http://schemas.openxmlformats.org/officeDocument/2006/relationships/hyperlink" Target="https://storage.googleapis.com/glide-prod.appspot.com/uploads-v2/ly7o78grxPaC6KdgvbpS/pub/3aRdSog0vUtuqPE8AJKD.png" TargetMode="External"/><Relationship Id="rId1315" Type="http://schemas.openxmlformats.org/officeDocument/2006/relationships/hyperlink" Target="https://storage.googleapis.com/glide-prod.appspot.com/uploads-v2/ly7o78grxPaC6KdgvbpS/pub/3aRdSog0vUtuqPE8AJKD.png" TargetMode="External"/><Relationship Id="rId117" Type="http://schemas.openxmlformats.org/officeDocument/2006/relationships/hyperlink" Target="https://storage.googleapis.com/glide-prod.appspot.com/uploads-v2/ly7o78grxPaC6KdgvbpS/pub/3aRdSog0vUtuqPE8AJKD.png" TargetMode="External"/><Relationship Id="rId671" Type="http://schemas.openxmlformats.org/officeDocument/2006/relationships/hyperlink" Target="https://storage.googleapis.com/glide-prod.appspot.com/uploads-v2/ly7o78grxPaC6KdgvbpS/pub/3aRdSog0vUtuqPE8AJKD.png" TargetMode="External"/><Relationship Id="rId769" Type="http://schemas.openxmlformats.org/officeDocument/2006/relationships/hyperlink" Target="https://storage.googleapis.com/glide-prod.appspot.com/uploads-v2/ly7o78grxPaC6KdgvbpS/pub/YK0E99mvsc43lPLTgOX2.jpg" TargetMode="External"/><Relationship Id="rId976" Type="http://schemas.openxmlformats.org/officeDocument/2006/relationships/hyperlink" Target="https://storage.googleapis.com/glide-prod.appspot.com/uploads-v2/ly7o78grxPaC6KdgvbpS/pub/3aRdSog0vUtuqPE8AJKD.png" TargetMode="External"/><Relationship Id="rId1399" Type="http://schemas.openxmlformats.org/officeDocument/2006/relationships/hyperlink" Target="https://storage.googleapis.com/glide-prod.appspot.com/uploads-v2/ly7o78grxPaC6KdgvbpS/pub/3aRdSog0vUtuqPE8AJKD.png" TargetMode="External"/><Relationship Id="rId324" Type="http://schemas.openxmlformats.org/officeDocument/2006/relationships/hyperlink" Target="https://storage.googleapis.com/glide-prod.appspot.com/uploads-v2/ly7o78grxPaC6KdgvbpS/pub/3aRdSog0vUtuqPE8AJKD.png" TargetMode="External"/><Relationship Id="rId531" Type="http://schemas.openxmlformats.org/officeDocument/2006/relationships/hyperlink" Target="https://storage.googleapis.com/glide-prod.appspot.com/uploads-v2/ly7o78grxPaC6KdgvbpS/pub/3aRdSog0vUtuqPE8AJKD.png" TargetMode="External"/><Relationship Id="rId629" Type="http://schemas.openxmlformats.org/officeDocument/2006/relationships/hyperlink" Target="https://storage.googleapis.com/glide-prod.appspot.com/uploads-v2/ly7o78grxPaC6KdgvbpS/pub/3aRdSog0vUtuqPE8AJKD.png" TargetMode="External"/><Relationship Id="rId1161" Type="http://schemas.openxmlformats.org/officeDocument/2006/relationships/hyperlink" Target="https://storage.googleapis.com/glide-prod.appspot.com/uploads-v2/ly7o78grxPaC6KdgvbpS/pub/3aRdSog0vUtuqPE8AJKD.png" TargetMode="External"/><Relationship Id="rId1259" Type="http://schemas.openxmlformats.org/officeDocument/2006/relationships/hyperlink" Target="https://storage.googleapis.com/glide-prod.appspot.com/uploads-v2/ly7o78grxPaC6KdgvbpS/pub/UliJWgpEaBovaFmXi6OW.png" TargetMode="External"/><Relationship Id="rId1466" Type="http://schemas.openxmlformats.org/officeDocument/2006/relationships/hyperlink" Target="https://storage.googleapis.com/glide-prod.appspot.com/uploads-v2/ly7o78grxPaC6KdgvbpS/pub/3aRdSog0vUtuqPE8AJKD.png" TargetMode="External"/><Relationship Id="rId836" Type="http://schemas.openxmlformats.org/officeDocument/2006/relationships/hyperlink" Target="https://storage.googleapis.com/glide-prod.appspot.com/uploads-v2/ly7o78grxPaC6KdgvbpS/pub/3aRdSog0vUtuqPE8AJKD.png" TargetMode="External"/><Relationship Id="rId1021" Type="http://schemas.openxmlformats.org/officeDocument/2006/relationships/hyperlink" Target="https://storage.googleapis.com/glide-prod.appspot.com/uploads-v2/ly7o78grxPaC6KdgvbpS/pub/3aRdSog0vUtuqPE8AJKD.png" TargetMode="External"/><Relationship Id="rId1119" Type="http://schemas.openxmlformats.org/officeDocument/2006/relationships/hyperlink" Target="https://storage.googleapis.com/glide-prod.appspot.com/uploads-v2/ly7o78grxPaC6KdgvbpS/pub/3aRdSog0vUtuqPE8AJKD.png" TargetMode="External"/><Relationship Id="rId903" Type="http://schemas.openxmlformats.org/officeDocument/2006/relationships/hyperlink" Target="https://storage.googleapis.com/glide-prod.appspot.com/uploads-v2/ly7o78grxPaC6KdgvbpS/pub/3aRdSog0vUtuqPE8AJKD.png" TargetMode="External"/><Relationship Id="rId1326" Type="http://schemas.openxmlformats.org/officeDocument/2006/relationships/hyperlink" Target="https://storage.googleapis.com/glide-prod.appspot.com/uploads-v2/ly7o78grxPaC6KdgvbpS/pub/3aRdSog0vUtuqPE8AJKD.png" TargetMode="External"/><Relationship Id="rId1533" Type="http://schemas.openxmlformats.org/officeDocument/2006/relationships/hyperlink" Target="https://storage.googleapis.com/glide-prod.appspot.com/uploads-v2/ly7o78grxPaC6KdgvbpS/pub/3aRdSog0vUtuqPE8AJKD.png" TargetMode="External"/><Relationship Id="rId32" Type="http://schemas.openxmlformats.org/officeDocument/2006/relationships/hyperlink" Target="https://storage.googleapis.com/glide-prod.appspot.com/uploads-v2/ly7o78grxPaC6KdgvbpS/pub/3aRdSog0vUtuqPE8AJKD.png" TargetMode="External"/><Relationship Id="rId1600" Type="http://schemas.openxmlformats.org/officeDocument/2006/relationships/hyperlink" Target="https://storage.googleapis.com/glide-prod.appspot.com/uploads-v2/ly7o78grxPaC6KdgvbpS/pub/3aRdSog0vUtuqPE8AJKD.png" TargetMode="External"/><Relationship Id="rId181" Type="http://schemas.openxmlformats.org/officeDocument/2006/relationships/hyperlink" Target="https://storage.googleapis.com/glide-prod.appspot.com/uploads-v2/ly7o78grxPaC6KdgvbpS/pub/3aRdSog0vUtuqPE8AJKD.png" TargetMode="External"/><Relationship Id="rId279" Type="http://schemas.openxmlformats.org/officeDocument/2006/relationships/hyperlink" Target="https://storage.googleapis.com/glide-prod.appspot.com/uploads-v2/ly7o78grxPaC6KdgvbpS/pub/3aRdSog0vUtuqPE8AJKD.png" TargetMode="External"/><Relationship Id="rId486" Type="http://schemas.openxmlformats.org/officeDocument/2006/relationships/hyperlink" Target="https://storage.googleapis.com/glide-prod.appspot.com/uploads-v2/ly7o78grxPaC6KdgvbpS/pub/3aRdSog0vUtuqPE8AJKD.png" TargetMode="External"/><Relationship Id="rId693" Type="http://schemas.openxmlformats.org/officeDocument/2006/relationships/hyperlink" Target="https://storage.googleapis.com/glide-prod.appspot.com/uploads-v2/ly7o78grxPaC6KdgvbpS/pub/3aRdSog0vUtuqPE8AJKD.png" TargetMode="External"/><Relationship Id="rId139" Type="http://schemas.openxmlformats.org/officeDocument/2006/relationships/hyperlink" Target="https://storage.googleapis.com/glide-prod.appspot.com/uploads-v2/ly7o78grxPaC6KdgvbpS/pub/3aRdSog0vUtuqPE8AJKD.png" TargetMode="External"/><Relationship Id="rId346" Type="http://schemas.openxmlformats.org/officeDocument/2006/relationships/hyperlink" Target="https://storage.googleapis.com/glide-prod.appspot.com/uploads-v2/ly7o78grxPaC6KdgvbpS/pub/3aRdSog0vUtuqPE8AJKD.png" TargetMode="External"/><Relationship Id="rId553" Type="http://schemas.openxmlformats.org/officeDocument/2006/relationships/hyperlink" Target="https://storage.googleapis.com/glide-prod.appspot.com/uploads-v2/ly7o78grxPaC6KdgvbpS/pub/3aRdSog0vUtuqPE8AJKD.png" TargetMode="External"/><Relationship Id="rId760" Type="http://schemas.openxmlformats.org/officeDocument/2006/relationships/hyperlink" Target="https://storage.googleapis.com/glide-prod.appspot.com/uploads-v2/ly7o78grxPaC6KdgvbpS/pub/3aRdSog0vUtuqPE8AJKD.png" TargetMode="External"/><Relationship Id="rId998" Type="http://schemas.openxmlformats.org/officeDocument/2006/relationships/hyperlink" Target="https://storage.googleapis.com/glide-prod.appspot.com/uploads-v2/ly7o78grxPaC6KdgvbpS/pub/3aRdSog0vUtuqPE8AJKD.png" TargetMode="External"/><Relationship Id="rId1183" Type="http://schemas.openxmlformats.org/officeDocument/2006/relationships/hyperlink" Target="https://storage.googleapis.com/glide-prod.appspot.com/uploads-v2/ly7o78grxPaC6KdgvbpS/pub/3aRdSog0vUtuqPE8AJKD.png" TargetMode="External"/><Relationship Id="rId1390" Type="http://schemas.openxmlformats.org/officeDocument/2006/relationships/hyperlink" Target="https://storage.googleapis.com/glide-prod.appspot.com/uploads-v2/ly7o78grxPaC6KdgvbpS/pub/lsrkPlVSNVFY4NBSMmow.jpg" TargetMode="External"/><Relationship Id="rId206" Type="http://schemas.openxmlformats.org/officeDocument/2006/relationships/hyperlink" Target="https://storage.googleapis.com/glide-prod.appspot.com/uploads-v2/ly7o78grxPaC6KdgvbpS/pub/3aRdSog0vUtuqPE8AJKD.png" TargetMode="External"/><Relationship Id="rId413" Type="http://schemas.openxmlformats.org/officeDocument/2006/relationships/hyperlink" Target="https://storage.googleapis.com/glide-prod.appspot.com/uploads-v2/ly7o78grxPaC6KdgvbpS/pub/3aRdSog0vUtuqPE8AJKD.png" TargetMode="External"/><Relationship Id="rId858" Type="http://schemas.openxmlformats.org/officeDocument/2006/relationships/hyperlink" Target="https://storage.googleapis.com/glide-prod.appspot.com/uploads-v2/ly7o78grxPaC6KdgvbpS/pub/3aRdSog0vUtuqPE8AJKD.png" TargetMode="External"/><Relationship Id="rId1043" Type="http://schemas.openxmlformats.org/officeDocument/2006/relationships/hyperlink" Target="https://storage.googleapis.com/glide-prod.appspot.com/uploads-v2/ly7o78grxPaC6KdgvbpS/pub/3aRdSog0vUtuqPE8AJKD.png" TargetMode="External"/><Relationship Id="rId1488" Type="http://schemas.openxmlformats.org/officeDocument/2006/relationships/hyperlink" Target="https://storage.googleapis.com/glide-prod.appspot.com/uploads-v2/ly7o78grxPaC6KdgvbpS/pub/3aRdSog0vUtuqPE8AJKD.png" TargetMode="External"/><Relationship Id="rId620" Type="http://schemas.openxmlformats.org/officeDocument/2006/relationships/hyperlink" Target="https://storage.googleapis.com/glide-prod.appspot.com/uploads-v2/ly7o78grxPaC6KdgvbpS/pub/3aRdSog0vUtuqPE8AJKD.png" TargetMode="External"/><Relationship Id="rId718" Type="http://schemas.openxmlformats.org/officeDocument/2006/relationships/hyperlink" Target="https://storage.googleapis.com/glide-prod.appspot.com/uploads-v2/ly7o78grxPaC6KdgvbpS/pub/3aRdSog0vUtuqPE8AJKD.png" TargetMode="External"/><Relationship Id="rId925" Type="http://schemas.openxmlformats.org/officeDocument/2006/relationships/hyperlink" Target="https://storage.googleapis.com/glide-prod.appspot.com/uploads-v2/ly7o78grxPaC6KdgvbpS/pub/3aRdSog0vUtuqPE8AJKD.png" TargetMode="External"/><Relationship Id="rId1250" Type="http://schemas.openxmlformats.org/officeDocument/2006/relationships/hyperlink" Target="https://storage.googleapis.com/glide-prod.appspot.com/uploads-v2/ly7o78grxPaC6KdgvbpS/pub/UliJWgpEaBovaFmXi6OW.png" TargetMode="External"/><Relationship Id="rId1348" Type="http://schemas.openxmlformats.org/officeDocument/2006/relationships/hyperlink" Target="https://storage.googleapis.com/glide-prod.appspot.com/uploads-v2/ly7o78grxPaC6KdgvbpS/pub/3aRdSog0vUtuqPE8AJKD.png" TargetMode="External"/><Relationship Id="rId1555" Type="http://schemas.openxmlformats.org/officeDocument/2006/relationships/hyperlink" Target="https://storage.googleapis.com/glide-prod.appspot.com/uploads-v2/ly7o78grxPaC6KdgvbpS/pub/3aRdSog0vUtuqPE8AJKD.png" TargetMode="External"/><Relationship Id="rId1110" Type="http://schemas.openxmlformats.org/officeDocument/2006/relationships/hyperlink" Target="https://storage.googleapis.com/glide-prod.appspot.com/uploads-v2/ly7o78grxPaC6KdgvbpS/pub/3aRdSog0vUtuqPE8AJKD.png" TargetMode="External"/><Relationship Id="rId1208" Type="http://schemas.openxmlformats.org/officeDocument/2006/relationships/hyperlink" Target="https://storage.googleapis.com/glide-prod.appspot.com/uploads-v2/ly7o78grxPaC6KdgvbpS/pub/3aRdSog0vUtuqPE8AJKD.png" TargetMode="External"/><Relationship Id="rId1415" Type="http://schemas.openxmlformats.org/officeDocument/2006/relationships/hyperlink" Target="https://storage.googleapis.com/glide-prod.appspot.com/uploads-v2/ly7o78grxPaC6KdgvbpS/pub/3aRdSog0vUtuqPE8AJKD.png" TargetMode="External"/><Relationship Id="rId54" Type="http://schemas.openxmlformats.org/officeDocument/2006/relationships/hyperlink" Target="https://storage.googleapis.com/glide-prod.appspot.com/uploads-v2/ly7o78grxPaC6KdgvbpS/pub/3aRdSog0vUtuqPE8AJKD.png" TargetMode="External"/><Relationship Id="rId270" Type="http://schemas.openxmlformats.org/officeDocument/2006/relationships/hyperlink" Target="https://storage.googleapis.com/glide-prod.appspot.com/uploads-v2/ly7o78grxPaC6KdgvbpS/pub/3aRdSog0vUtuqPE8AJKD.png" TargetMode="External"/><Relationship Id="rId130" Type="http://schemas.openxmlformats.org/officeDocument/2006/relationships/hyperlink" Target="https://storage.googleapis.com/glide-prod.appspot.com/uploads-v2/ly7o78grxPaC6KdgvbpS/pub/3aRdSog0vUtuqPE8AJKD.png" TargetMode="External"/><Relationship Id="rId368" Type="http://schemas.openxmlformats.org/officeDocument/2006/relationships/hyperlink" Target="https://storage.googleapis.com/glide-prod.appspot.com/uploads-v2/ly7o78grxPaC6KdgvbpS/pub/3aRdSog0vUtuqPE8AJKD.png" TargetMode="External"/><Relationship Id="rId575" Type="http://schemas.openxmlformats.org/officeDocument/2006/relationships/hyperlink" Target="https://storage.googleapis.com/glide-prod.appspot.com/uploads-v2/ly7o78grxPaC6KdgvbpS/pub/3aRdSog0vUtuqPE8AJKD.png" TargetMode="External"/><Relationship Id="rId782" Type="http://schemas.openxmlformats.org/officeDocument/2006/relationships/hyperlink" Target="https://storage.googleapis.com/glide-prod.appspot.com/uploads-v2/ly7o78grxPaC6KdgvbpS/pub/3aRdSog0vUtuqPE8AJKD.png" TargetMode="External"/><Relationship Id="rId228" Type="http://schemas.openxmlformats.org/officeDocument/2006/relationships/hyperlink" Target="https://storage.googleapis.com/glide-prod.appspot.com/uploads-v2/ly7o78grxPaC6KdgvbpS/pub/3aRdSog0vUtuqPE8AJKD.png" TargetMode="External"/><Relationship Id="rId435" Type="http://schemas.openxmlformats.org/officeDocument/2006/relationships/hyperlink" Target="https://storage.googleapis.com/glide-prod.appspot.com/uploads-v2/ly7o78grxPaC6KdgvbpS/pub/3aRdSog0vUtuqPE8AJKD.png" TargetMode="External"/><Relationship Id="rId642" Type="http://schemas.openxmlformats.org/officeDocument/2006/relationships/hyperlink" Target="https://storage.googleapis.com/glide-prod.appspot.com/uploads-v2/ly7o78grxPaC6KdgvbpS/pub/3aRdSog0vUtuqPE8AJKD.png" TargetMode="External"/><Relationship Id="rId1065" Type="http://schemas.openxmlformats.org/officeDocument/2006/relationships/hyperlink" Target="https://storage.googleapis.com/glide-prod.appspot.com/uploads-v2/ly7o78grxPaC6KdgvbpS/pub/3aRdSog0vUtuqPE8AJKD.png" TargetMode="External"/><Relationship Id="rId1272" Type="http://schemas.openxmlformats.org/officeDocument/2006/relationships/hyperlink" Target="https://storage.googleapis.com/glide-prod.appspot.com/uploads-v2/ly7o78grxPaC6KdgvbpS/pub/3aRdSog0vUtuqPE8AJKD.png" TargetMode="External"/><Relationship Id="rId502" Type="http://schemas.openxmlformats.org/officeDocument/2006/relationships/hyperlink" Target="https://storage.googleapis.com/glide-prod.appspot.com/uploads-v2/ly7o78grxPaC6KdgvbpS/pub/0PVj5hEFgp7pSHB1lqxf.jpg" TargetMode="External"/><Relationship Id="rId947" Type="http://schemas.openxmlformats.org/officeDocument/2006/relationships/hyperlink" Target="https://storage.googleapis.com/glide-prod.appspot.com/uploads-v2/ly7o78grxPaC6KdgvbpS/pub/3aRdSog0vUtuqPE8AJKD.png" TargetMode="External"/><Relationship Id="rId1132" Type="http://schemas.openxmlformats.org/officeDocument/2006/relationships/hyperlink" Target="https://storage.googleapis.com/glide-prod.appspot.com/uploads-v2/ly7o78grxPaC6KdgvbpS/pub/3aRdSog0vUtuqPE8AJKD.png" TargetMode="External"/><Relationship Id="rId1577" Type="http://schemas.openxmlformats.org/officeDocument/2006/relationships/hyperlink" Target="https://storage.googleapis.com/glide-prod.appspot.com/uploads-v2/ly7o78grxPaC6KdgvbpS/pub/3aRdSog0vUtuqPE8AJKD.png" TargetMode="External"/><Relationship Id="rId76" Type="http://schemas.openxmlformats.org/officeDocument/2006/relationships/hyperlink" Target="https://storage.googleapis.com/glide-prod.appspot.com/uploads-v2/ly7o78grxPaC6KdgvbpS/pub/3aRdSog0vUtuqPE8AJKD.png" TargetMode="External"/><Relationship Id="rId807" Type="http://schemas.openxmlformats.org/officeDocument/2006/relationships/hyperlink" Target="https://storage.googleapis.com/glide-prod.appspot.com/uploads-v2/ly7o78grxPaC6KdgvbpS/pub/3aRdSog0vUtuqPE8AJKD.png" TargetMode="External"/><Relationship Id="rId1437" Type="http://schemas.openxmlformats.org/officeDocument/2006/relationships/hyperlink" Target="https://storage.googleapis.com/glide-prod.appspot.com/uploads-v2/ly7o78grxPaC6KdgvbpS/pub/3aRdSog0vUtuqPE8AJKD.png" TargetMode="External"/><Relationship Id="rId1504" Type="http://schemas.openxmlformats.org/officeDocument/2006/relationships/hyperlink" Target="https://storage.googleapis.com/glide-prod.appspot.com/uploads-v2/ly7o78grxPaC6KdgvbpS/pub/3aRdSog0vUtuqPE8AJKD.png" TargetMode="External"/><Relationship Id="rId292" Type="http://schemas.openxmlformats.org/officeDocument/2006/relationships/hyperlink" Target="https://storage.googleapis.com/glide-prod.appspot.com/uploads-v2/ly7o78grxPaC6KdgvbpS/pub/3aRdSog0vUtuqPE8AJKD.png" TargetMode="External"/><Relationship Id="rId597" Type="http://schemas.openxmlformats.org/officeDocument/2006/relationships/hyperlink" Target="https://storage.googleapis.com/glide-prod.appspot.com/uploads-v2/ly7o78grxPaC6KdgvbpS/pub/3aRdSog0vUtuqPE8AJKD.png" TargetMode="External"/><Relationship Id="rId152" Type="http://schemas.openxmlformats.org/officeDocument/2006/relationships/hyperlink" Target="https://storage.googleapis.com/glide-prod.appspot.com/uploads-v2/ly7o78grxPaC6KdgvbpS/pub/3aRdSog0vUtuqPE8AJKD.png" TargetMode="External"/><Relationship Id="rId457" Type="http://schemas.openxmlformats.org/officeDocument/2006/relationships/hyperlink" Target="https://storage.googleapis.com/glide-prod.appspot.com/uploads-v2/ly7o78grxPaC6KdgvbpS/pub/3aRdSog0vUtuqPE8AJKD.png" TargetMode="External"/><Relationship Id="rId1087" Type="http://schemas.openxmlformats.org/officeDocument/2006/relationships/hyperlink" Target="https://storage.googleapis.com/glide-prod.appspot.com/uploads-v2/ly7o78grxPaC6KdgvbpS/pub/3aRdSog0vUtuqPE8AJKD.png" TargetMode="External"/><Relationship Id="rId1294" Type="http://schemas.openxmlformats.org/officeDocument/2006/relationships/hyperlink" Target="https://storage.googleapis.com/glide-prod.appspot.com/uploads-v2/ly7o78grxPaC6KdgvbpS/pub/3aRdSog0vUtuqPE8AJKD.png" TargetMode="External"/><Relationship Id="rId664" Type="http://schemas.openxmlformats.org/officeDocument/2006/relationships/hyperlink" Target="https://storage.googleapis.com/glide-prod.appspot.com/uploads-v2/ly7o78grxPaC6KdgvbpS/pub/3aRdSog0vUtuqPE8AJKD.png" TargetMode="External"/><Relationship Id="rId871" Type="http://schemas.openxmlformats.org/officeDocument/2006/relationships/hyperlink" Target="https://storage.googleapis.com/glide-prod.appspot.com/uploads-v2/ly7o78grxPaC6KdgvbpS/pub/3aRdSog0vUtuqPE8AJKD.png" TargetMode="External"/><Relationship Id="rId969" Type="http://schemas.openxmlformats.org/officeDocument/2006/relationships/hyperlink" Target="https://storage.googleapis.com/glide-prod.appspot.com/uploads-v2/ly7o78grxPaC6KdgvbpS/pub/3aRdSog0vUtuqPE8AJKD.png" TargetMode="External"/><Relationship Id="rId1599" Type="http://schemas.openxmlformats.org/officeDocument/2006/relationships/hyperlink" Target="https://storage.googleapis.com/glide-prod.appspot.com/uploads-v2/ly7o78grxPaC6KdgvbpS/pub/3aRdSog0vUtuqPE8AJKD.png" TargetMode="External"/><Relationship Id="rId317" Type="http://schemas.openxmlformats.org/officeDocument/2006/relationships/hyperlink" Target="https://storage.googleapis.com/glide-prod.appspot.com/uploads-v2/ly7o78grxPaC6KdgvbpS/pub/3aRdSog0vUtuqPE8AJKD.png" TargetMode="External"/><Relationship Id="rId524" Type="http://schemas.openxmlformats.org/officeDocument/2006/relationships/hyperlink" Target="https://storage.googleapis.com/glide-prod.appspot.com/uploads-v2/ly7o78grxPaC6KdgvbpS/pub/3aRdSog0vUtuqPE8AJKD.png" TargetMode="External"/><Relationship Id="rId731" Type="http://schemas.openxmlformats.org/officeDocument/2006/relationships/hyperlink" Target="https://storage.googleapis.com/glide-prod.appspot.com/uploads-v2/ly7o78grxPaC6KdgvbpS/pub/3aRdSog0vUtuqPE8AJKD.png" TargetMode="External"/><Relationship Id="rId1154" Type="http://schemas.openxmlformats.org/officeDocument/2006/relationships/hyperlink" Target="https://storage.googleapis.com/glide-prod.appspot.com/uploads-v2/ly7o78grxPaC6KdgvbpS/pub/3aRdSog0vUtuqPE8AJKD.png" TargetMode="External"/><Relationship Id="rId1361" Type="http://schemas.openxmlformats.org/officeDocument/2006/relationships/hyperlink" Target="https://storage.googleapis.com/glide-prod.appspot.com/uploads-v2/ly7o78grxPaC6KdgvbpS/pub/3aRdSog0vUtuqPE8AJKD.png" TargetMode="External"/><Relationship Id="rId1459" Type="http://schemas.openxmlformats.org/officeDocument/2006/relationships/hyperlink" Target="https://storage.googleapis.com/glide-prod.appspot.com/uploads-v2/ly7o78grxPaC6KdgvbpS/pub/3aRdSog0vUtuqPE8AJKD.png" TargetMode="External"/><Relationship Id="rId98" Type="http://schemas.openxmlformats.org/officeDocument/2006/relationships/hyperlink" Target="https://storage.googleapis.com/glide-prod.appspot.com/uploads-v2/ly7o78grxPaC6KdgvbpS/pub/3aRdSog0vUtuqPE8AJKD.png" TargetMode="External"/><Relationship Id="rId829" Type="http://schemas.openxmlformats.org/officeDocument/2006/relationships/hyperlink" Target="https://storage.googleapis.com/glide-prod.appspot.com/uploads-v2/ly7o78grxPaC6KdgvbpS/pub/3aRdSog0vUtuqPE8AJKD.png" TargetMode="External"/><Relationship Id="rId1014" Type="http://schemas.openxmlformats.org/officeDocument/2006/relationships/hyperlink" Target="https://storage.googleapis.com/glide-prod.appspot.com/uploads-v2/ly7o78grxPaC6KdgvbpS/pub/3aRdSog0vUtuqPE8AJKD.png" TargetMode="External"/><Relationship Id="rId1221" Type="http://schemas.openxmlformats.org/officeDocument/2006/relationships/hyperlink" Target="https://storage.googleapis.com/glide-prod.appspot.com/uploads-v2/ly7o78grxPaC6KdgvbpS/pub/UliJWgpEaBovaFmXi6OW.png" TargetMode="External"/><Relationship Id="rId1319" Type="http://schemas.openxmlformats.org/officeDocument/2006/relationships/hyperlink" Target="https://storage.googleapis.com/glide-prod.appspot.com/uploads-v2/ly7o78grxPaC6KdgvbpS/pub/3aRdSog0vUtuqPE8AJKD.png" TargetMode="External"/><Relationship Id="rId1526" Type="http://schemas.openxmlformats.org/officeDocument/2006/relationships/hyperlink" Target="https://storage.googleapis.com/glide-prod.appspot.com/uploads-v2/ly7o78grxPaC6KdgvbpS/pub/3aRdSog0vUtuqPE8AJKD.png" TargetMode="External"/><Relationship Id="rId25" Type="http://schemas.openxmlformats.org/officeDocument/2006/relationships/hyperlink" Target="https://storage.googleapis.com/glide-prod.appspot.com/uploads-v2/ly7o78grxPaC6KdgvbpS/pub/3aRdSog0vUtuqPE8AJKD.png" TargetMode="External"/><Relationship Id="rId174" Type="http://schemas.openxmlformats.org/officeDocument/2006/relationships/hyperlink" Target="https://storage.googleapis.com/glide-prod.appspot.com/uploads-v2/ly7o78grxPaC6KdgvbpS/pub/3aRdSog0vUtuqPE8AJKD.png" TargetMode="External"/><Relationship Id="rId381" Type="http://schemas.openxmlformats.org/officeDocument/2006/relationships/hyperlink" Target="https://storage.googleapis.com/glide-prod.appspot.com/uploads-v2/ly7o78grxPaC6KdgvbpS/pub/3aRdSog0vUtuqPE8AJKD.png" TargetMode="External"/><Relationship Id="rId241" Type="http://schemas.openxmlformats.org/officeDocument/2006/relationships/hyperlink" Target="https://storage.googleapis.com/glide-prod.appspot.com/uploads-v2/ly7o78grxPaC6KdgvbpS/pub/3aRdSog0vUtuqPE8AJKD.png" TargetMode="External"/><Relationship Id="rId479" Type="http://schemas.openxmlformats.org/officeDocument/2006/relationships/hyperlink" Target="https://storage.googleapis.com/glide-prod.appspot.com/uploads-v2/ly7o78grxPaC6KdgvbpS/pub/3aRdSog0vUtuqPE8AJKD.png" TargetMode="External"/><Relationship Id="rId686" Type="http://schemas.openxmlformats.org/officeDocument/2006/relationships/hyperlink" Target="https://storage.googleapis.com/glide-prod.appspot.com/uploads-v2/ly7o78grxPaC6KdgvbpS/pub/3aRdSog0vUtuqPE8AJKD.png" TargetMode="External"/><Relationship Id="rId893" Type="http://schemas.openxmlformats.org/officeDocument/2006/relationships/hyperlink" Target="https://storage.googleapis.com/glide-prod.appspot.com/uploads-v2/ly7o78grxPaC6KdgvbpS/pub/3aRdSog0vUtuqPE8AJKD.png" TargetMode="External"/><Relationship Id="rId339" Type="http://schemas.openxmlformats.org/officeDocument/2006/relationships/hyperlink" Target="https://storage.googleapis.com/glide-prod.appspot.com/uploads-v2/ly7o78grxPaC6KdgvbpS/pub/3aRdSog0vUtuqPE8AJKD.png" TargetMode="External"/><Relationship Id="rId546" Type="http://schemas.openxmlformats.org/officeDocument/2006/relationships/hyperlink" Target="https://storage.googleapis.com/glide-prod.appspot.com/uploads-v2/ly7o78grxPaC6KdgvbpS/pub/3aRdSog0vUtuqPE8AJKD.png" TargetMode="External"/><Relationship Id="rId753" Type="http://schemas.openxmlformats.org/officeDocument/2006/relationships/hyperlink" Target="https://storage.googleapis.com/glide-prod.appspot.com/uploads-v2/ly7o78grxPaC6KdgvbpS/pub/3aRdSog0vUtuqPE8AJKD.png" TargetMode="External"/><Relationship Id="rId1176" Type="http://schemas.openxmlformats.org/officeDocument/2006/relationships/hyperlink" Target="https://storage.googleapis.com/glide-prod.appspot.com/uploads-v2/ly7o78grxPaC6KdgvbpS/pub/3aRdSog0vUtuqPE8AJKD.png" TargetMode="External"/><Relationship Id="rId1383" Type="http://schemas.openxmlformats.org/officeDocument/2006/relationships/hyperlink" Target="https://storage.googleapis.com/glide-prod.appspot.com/uploads-v2/ly7o78grxPaC6KdgvbpS/pub/3aRdSog0vUtuqPE8AJKD.png" TargetMode="External"/><Relationship Id="rId101" Type="http://schemas.openxmlformats.org/officeDocument/2006/relationships/hyperlink" Target="https://storage.googleapis.com/glide-prod.appspot.com/uploads-v2/ly7o78grxPaC6KdgvbpS/pub/3aRdSog0vUtuqPE8AJKD.png" TargetMode="External"/><Relationship Id="rId406" Type="http://schemas.openxmlformats.org/officeDocument/2006/relationships/hyperlink" Target="https://storage.googleapis.com/glide-prod.appspot.com/uploads-v2/ly7o78grxPaC6KdgvbpS/pub/3aRdSog0vUtuqPE8AJKD.png" TargetMode="External"/><Relationship Id="rId960" Type="http://schemas.openxmlformats.org/officeDocument/2006/relationships/hyperlink" Target="https://storage.googleapis.com/glide-prod.appspot.com/uploads-v2/ly7o78grxPaC6KdgvbpS/pub/3aRdSog0vUtuqPE8AJKD.png" TargetMode="External"/><Relationship Id="rId1036" Type="http://schemas.openxmlformats.org/officeDocument/2006/relationships/hyperlink" Target="https://storage.googleapis.com/glide-prod.appspot.com/uploads-v2/ly7o78grxPaC6KdgvbpS/pub/3aRdSog0vUtuqPE8AJKD.png" TargetMode="External"/><Relationship Id="rId1243" Type="http://schemas.openxmlformats.org/officeDocument/2006/relationships/hyperlink" Target="https://storage.googleapis.com/glide-prod.appspot.com/uploads-v2/ly7o78grxPaC6KdgvbpS/pub/3aRdSog0vUtuqPE8AJKD.png" TargetMode="External"/><Relationship Id="rId1590" Type="http://schemas.openxmlformats.org/officeDocument/2006/relationships/hyperlink" Target="https://storage.googleapis.com/glide-prod.appspot.com/uploads-v2/ly7o78grxPaC6KdgvbpS/pub/3aRdSog0vUtuqPE8AJKD.png" TargetMode="External"/><Relationship Id="rId613" Type="http://schemas.openxmlformats.org/officeDocument/2006/relationships/hyperlink" Target="https://storage.googleapis.com/glide-prod.appspot.com/uploads-v2/ly7o78grxPaC6KdgvbpS/pub/3aRdSog0vUtuqPE8AJKD.png" TargetMode="External"/><Relationship Id="rId820" Type="http://schemas.openxmlformats.org/officeDocument/2006/relationships/hyperlink" Target="https://storage.googleapis.com/glide-prod.appspot.com/uploads-v2/ly7o78grxPaC6KdgvbpS/pub/3aRdSog0vUtuqPE8AJKD.png" TargetMode="External"/><Relationship Id="rId918" Type="http://schemas.openxmlformats.org/officeDocument/2006/relationships/hyperlink" Target="https://storage.googleapis.com/glide-prod.appspot.com/uploads-v2/ly7o78grxPaC6KdgvbpS/pub/3aRdSog0vUtuqPE8AJKD.png" TargetMode="External"/><Relationship Id="rId1450" Type="http://schemas.openxmlformats.org/officeDocument/2006/relationships/hyperlink" Target="https://storage.googleapis.com/glide-prod.appspot.com/uploads-v2/ly7o78grxPaC6KdgvbpS/pub/3aRdSog0vUtuqPE8AJKD.png" TargetMode="External"/><Relationship Id="rId1548" Type="http://schemas.openxmlformats.org/officeDocument/2006/relationships/hyperlink" Target="https://storage.googleapis.com/glide-prod.appspot.com/uploads-v2/ly7o78grxPaC6KdgvbpS/pub/3aRdSog0vUtuqPE8AJKD.png" TargetMode="External"/><Relationship Id="rId1103" Type="http://schemas.openxmlformats.org/officeDocument/2006/relationships/hyperlink" Target="https://storage.googleapis.com/glide-prod.appspot.com/uploads-v2/ly7o78grxPaC6KdgvbpS/pub/3aRdSog0vUtuqPE8AJKD.png" TargetMode="External"/><Relationship Id="rId1310" Type="http://schemas.openxmlformats.org/officeDocument/2006/relationships/hyperlink" Target="https://storage.googleapis.com/glide-prod.appspot.com/uploads-v2/ly7o78grxPaC6KdgvbpS/pub/3aRdSog0vUtuqPE8AJKD.png" TargetMode="External"/><Relationship Id="rId1408" Type="http://schemas.openxmlformats.org/officeDocument/2006/relationships/hyperlink" Target="https://storage.googleapis.com/glide-prod.appspot.com/uploads-v2/ly7o78grxPaC6KdgvbpS/pub/3aRdSog0vUtuqPE8AJKD.png" TargetMode="External"/><Relationship Id="rId47" Type="http://schemas.openxmlformats.org/officeDocument/2006/relationships/hyperlink" Target="https://storage.googleapis.com/glide-prod.appspot.com/uploads-v2/ly7o78grxPaC6KdgvbpS/pub/3aRdSog0vUtuqPE8AJKD.png" TargetMode="External"/><Relationship Id="rId1615" Type="http://schemas.openxmlformats.org/officeDocument/2006/relationships/hyperlink" Target="https://storage.googleapis.com/glide-prod.appspot.com/uploads-v2/ly7o78grxPaC6KdgvbpS/pub/3aRdSog0vUtuqPE8AJKD.png" TargetMode="External"/><Relationship Id="rId196" Type="http://schemas.openxmlformats.org/officeDocument/2006/relationships/hyperlink" Target="https://storage.googleapis.com/glide-prod.appspot.com/uploads-v2/ly7o78grxPaC6KdgvbpS/pub/3aRdSog0vUtuqPE8AJKD.png" TargetMode="External"/><Relationship Id="rId263" Type="http://schemas.openxmlformats.org/officeDocument/2006/relationships/hyperlink" Target="https://storage.googleapis.com/glide-prod.appspot.com/uploads-v2/ly7o78grxPaC6KdgvbpS/pub/3aRdSog0vUtuqPE8AJKD.png" TargetMode="External"/><Relationship Id="rId470" Type="http://schemas.openxmlformats.org/officeDocument/2006/relationships/hyperlink" Target="https://storage.googleapis.com/glide-prod.appspot.com/uploads-v2/ly7o78grxPaC6KdgvbpS/pub/3aRdSog0vUtuqPE8AJKD.png" TargetMode="External"/><Relationship Id="rId123" Type="http://schemas.openxmlformats.org/officeDocument/2006/relationships/hyperlink" Target="https://storage.googleapis.com/glide-prod.appspot.com/uploads-v2/ly7o78grxPaC6KdgvbpS/pub/3aRdSog0vUtuqPE8AJKD.png" TargetMode="External"/><Relationship Id="rId330" Type="http://schemas.openxmlformats.org/officeDocument/2006/relationships/hyperlink" Target="https://storage.googleapis.com/glide-prod.appspot.com/uploads-v2/ly7o78grxPaC6KdgvbpS/pub/3aRdSog0vUtuqPE8AJKD.png" TargetMode="External"/><Relationship Id="rId568" Type="http://schemas.openxmlformats.org/officeDocument/2006/relationships/hyperlink" Target="https://storage.googleapis.com/glide-prod.appspot.com/uploads-v2/ly7o78grxPaC6KdgvbpS/pub/3aRdSog0vUtuqPE8AJKD.png" TargetMode="External"/><Relationship Id="rId775" Type="http://schemas.openxmlformats.org/officeDocument/2006/relationships/hyperlink" Target="https://storage.googleapis.com/glide-prod.appspot.com/uploads-v2/ly7o78grxPaC6KdgvbpS/pub/3aRdSog0vUtuqPE8AJKD.png" TargetMode="External"/><Relationship Id="rId982" Type="http://schemas.openxmlformats.org/officeDocument/2006/relationships/hyperlink" Target="https://storage.googleapis.com/glide-prod.appspot.com/uploads-v2/ly7o78grxPaC6KdgvbpS/pub/UYbwmxIqyWmf8QodRb7b.jpg" TargetMode="External"/><Relationship Id="rId1198" Type="http://schemas.openxmlformats.org/officeDocument/2006/relationships/hyperlink" Target="https://storage.googleapis.com/glide-prod.appspot.com/uploads-v2/ly7o78grxPaC6KdgvbpS/pub/3aRdSog0vUtuqPE8AJKD.png" TargetMode="External"/><Relationship Id="rId428" Type="http://schemas.openxmlformats.org/officeDocument/2006/relationships/hyperlink" Target="https://storage.googleapis.com/glide-prod.appspot.com/uploads-v2/ly7o78grxPaC6KdgvbpS/pub/3aRdSog0vUtuqPE8AJKD.png" TargetMode="External"/><Relationship Id="rId635" Type="http://schemas.openxmlformats.org/officeDocument/2006/relationships/hyperlink" Target="https://storage.googleapis.com/glide-prod.appspot.com/uploads-v2/ly7o78grxPaC6KdgvbpS/pub/3aRdSog0vUtuqPE8AJKD.png" TargetMode="External"/><Relationship Id="rId842" Type="http://schemas.openxmlformats.org/officeDocument/2006/relationships/hyperlink" Target="https://storage.googleapis.com/glide-prod.appspot.com/uploads-v2/ly7o78grxPaC6KdgvbpS/pub/3aRdSog0vUtuqPE8AJKD.png" TargetMode="External"/><Relationship Id="rId1058" Type="http://schemas.openxmlformats.org/officeDocument/2006/relationships/hyperlink" Target="https://storage.googleapis.com/glide-prod.appspot.com/uploads-v2/ly7o78grxPaC6KdgvbpS/pub/3aRdSog0vUtuqPE8AJKD.png" TargetMode="External"/><Relationship Id="rId1265" Type="http://schemas.openxmlformats.org/officeDocument/2006/relationships/hyperlink" Target="https://storage.googleapis.com/glide-prod.appspot.com/uploads-v2/ly7o78grxPaC6KdgvbpS/pub/3aRdSog0vUtuqPE8AJKD.png" TargetMode="External"/><Relationship Id="rId1472" Type="http://schemas.openxmlformats.org/officeDocument/2006/relationships/hyperlink" Target="https://storage.googleapis.com/glide-prod.appspot.com/uploads-v2/ly7o78grxPaC6KdgvbpS/pub/3aRdSog0vUtuqPE8AJKD.png" TargetMode="External"/><Relationship Id="rId702" Type="http://schemas.openxmlformats.org/officeDocument/2006/relationships/hyperlink" Target="https://storage.googleapis.com/glide-prod.appspot.com/uploads-v2/ly7o78grxPaC6KdgvbpS/pub/3aRdSog0vUtuqPE8AJKD.png" TargetMode="External"/><Relationship Id="rId1125" Type="http://schemas.openxmlformats.org/officeDocument/2006/relationships/hyperlink" Target="https://storage.googleapis.com/glide-prod.appspot.com/uploads-v2/ly7o78grxPaC6KdgvbpS/pub/SRfJK1waoUwI4Om5x3og.jpg" TargetMode="External"/><Relationship Id="rId1332" Type="http://schemas.openxmlformats.org/officeDocument/2006/relationships/hyperlink" Target="https://storage.googleapis.com/glide-prod.appspot.com/uploads-v2/ly7o78grxPaC6KdgvbpS/pub/3aRdSog0vUtuqPE8AJKD.png" TargetMode="External"/><Relationship Id="rId69" Type="http://schemas.openxmlformats.org/officeDocument/2006/relationships/hyperlink" Target="https://storage.googleapis.com/glide-prod.appspot.com/uploads-v2/ly7o78grxPaC6KdgvbpS/pub/3aRdSog0vUtuqPE8AJKD.png" TargetMode="External"/><Relationship Id="rId285" Type="http://schemas.openxmlformats.org/officeDocument/2006/relationships/hyperlink" Target="https://storage.googleapis.com/glide-prod.appspot.com/uploads-v2/ly7o78grxPaC6KdgvbpS/pub/3aRdSog0vUtuqPE8AJKD.png" TargetMode="External"/><Relationship Id="rId492" Type="http://schemas.openxmlformats.org/officeDocument/2006/relationships/hyperlink" Target="https://storage.googleapis.com/glide-prod.appspot.com/uploads-v2/ly7o78grxPaC6KdgvbpS/pub/3aRdSog0vUtuqPE8AJKD.png" TargetMode="External"/><Relationship Id="rId797" Type="http://schemas.openxmlformats.org/officeDocument/2006/relationships/hyperlink" Target="https://storage.googleapis.com/glide-prod.appspot.com/uploads-v2/ly7o78grxPaC6KdgvbpS/pub/3aRdSog0vUtuqPE8AJKD.png" TargetMode="External"/><Relationship Id="rId145" Type="http://schemas.openxmlformats.org/officeDocument/2006/relationships/hyperlink" Target="https://storage.googleapis.com/glide-prod.appspot.com/uploads-v2/ly7o78grxPaC6KdgvbpS/pub/3aRdSog0vUtuqPE8AJKD.png" TargetMode="External"/><Relationship Id="rId352" Type="http://schemas.openxmlformats.org/officeDocument/2006/relationships/hyperlink" Target="https://storage.googleapis.com/glide-prod.appspot.com/uploads-v2/ly7o78grxPaC6KdgvbpS/pub/3aRdSog0vUtuqPE8AJKD.png" TargetMode="External"/><Relationship Id="rId1287" Type="http://schemas.openxmlformats.org/officeDocument/2006/relationships/hyperlink" Target="https://storage.googleapis.com/glide-prod.appspot.com/uploads-v2/ly7o78grxPaC6KdgvbpS/pub/3aRdSog0vUtuqPE8AJKD.png" TargetMode="External"/><Relationship Id="rId212" Type="http://schemas.openxmlformats.org/officeDocument/2006/relationships/hyperlink" Target="https://storage.googleapis.com/glide-prod.appspot.com/uploads-v2/ly7o78grxPaC6KdgvbpS/pub/3aRdSog0vUtuqPE8AJKD.png" TargetMode="External"/><Relationship Id="rId657" Type="http://schemas.openxmlformats.org/officeDocument/2006/relationships/hyperlink" Target="https://storage.googleapis.com/glide-prod.appspot.com/uploads-v2/ly7o78grxPaC6KdgvbpS/pub/3aRdSog0vUtuqPE8AJKD.png" TargetMode="External"/><Relationship Id="rId864" Type="http://schemas.openxmlformats.org/officeDocument/2006/relationships/hyperlink" Target="https://storage.googleapis.com/glide-prod.appspot.com/uploads-v2/ly7o78grxPaC6KdgvbpS/pub/3aRdSog0vUtuqPE8AJKD.png" TargetMode="External"/><Relationship Id="rId1494" Type="http://schemas.openxmlformats.org/officeDocument/2006/relationships/hyperlink" Target="https://storage.googleapis.com/glide-prod.appspot.com/uploads-v2/ly7o78grxPaC6KdgvbpS/pub/3aRdSog0vUtuqPE8AJKD.png" TargetMode="External"/><Relationship Id="rId517" Type="http://schemas.openxmlformats.org/officeDocument/2006/relationships/hyperlink" Target="https://storage.googleapis.com/glide-prod.appspot.com/uploads-v2/ly7o78grxPaC6KdgvbpS/pub/3aRdSog0vUtuqPE8AJKD.png" TargetMode="External"/><Relationship Id="rId724" Type="http://schemas.openxmlformats.org/officeDocument/2006/relationships/hyperlink" Target="https://storage.googleapis.com/glide-prod.appspot.com/uploads-v2/ly7o78grxPaC6KdgvbpS/pub/3aRdSog0vUtuqPE8AJKD.png" TargetMode="External"/><Relationship Id="rId931" Type="http://schemas.openxmlformats.org/officeDocument/2006/relationships/hyperlink" Target="https://storage.googleapis.com/glide-prod.appspot.com/uploads-v2/ly7o78grxPaC6KdgvbpS/pub/3aRdSog0vUtuqPE8AJKD.png" TargetMode="External"/><Relationship Id="rId1147" Type="http://schemas.openxmlformats.org/officeDocument/2006/relationships/hyperlink" Target="https://storage.googleapis.com/glide-prod.appspot.com/uploads-v2/ly7o78grxPaC6KdgvbpS/pub/3aRdSog0vUtuqPE8AJKD.png" TargetMode="External"/><Relationship Id="rId1354" Type="http://schemas.openxmlformats.org/officeDocument/2006/relationships/hyperlink" Target="https://storage.googleapis.com/glide-prod.appspot.com/uploads-v2/ly7o78grxPaC6KdgvbpS/pub/3aRdSog0vUtuqPE8AJKD.png" TargetMode="External"/><Relationship Id="rId1561" Type="http://schemas.openxmlformats.org/officeDocument/2006/relationships/hyperlink" Target="https://storage.googleapis.com/glide-prod.appspot.com/uploads-v2/ly7o78grxPaC6KdgvbpS/pub/yvtCGRAPIbS0tVLIlehH.png" TargetMode="External"/><Relationship Id="rId60" Type="http://schemas.openxmlformats.org/officeDocument/2006/relationships/hyperlink" Target="https://storage.googleapis.com/glide-prod.appspot.com/uploads-v2/ly7o78grxPaC6KdgvbpS/pub/3aRdSog0vUtuqPE8AJKD.png" TargetMode="External"/><Relationship Id="rId1007" Type="http://schemas.openxmlformats.org/officeDocument/2006/relationships/hyperlink" Target="https://storage.googleapis.com/glide-prod.appspot.com/uploads-v2/ly7o78grxPaC6KdgvbpS/pub/3aRdSog0vUtuqPE8AJKD.png" TargetMode="External"/><Relationship Id="rId1214" Type="http://schemas.openxmlformats.org/officeDocument/2006/relationships/hyperlink" Target="https://storage.googleapis.com/glide-prod.appspot.com/uploads-v2/ly7o78grxPaC6KdgvbpS/pub/3aRdSog0vUtuqPE8AJKD.png" TargetMode="External"/><Relationship Id="rId1421" Type="http://schemas.openxmlformats.org/officeDocument/2006/relationships/hyperlink" Target="https://storage.googleapis.com/glide-prod.appspot.com/uploads-v2/ly7o78grxPaC6KdgvbpS/pub/3aRdSog0vUtuqPE8AJKD.png" TargetMode="External"/><Relationship Id="rId1519" Type="http://schemas.openxmlformats.org/officeDocument/2006/relationships/hyperlink" Target="https://storage.googleapis.com/glide-prod.appspot.com/uploads-v2/ly7o78grxPaC6KdgvbpS/pub/3aRdSog0vUtuqPE8AJKD.png" TargetMode="External"/><Relationship Id="rId18" Type="http://schemas.openxmlformats.org/officeDocument/2006/relationships/hyperlink" Target="https://storage.googleapis.com/glide-prod.appspot.com/uploads-v2/ly7o78grxPaC6KdgvbpS/pub/3aRdSog0vUtuqPE8AJKD.png" TargetMode="External"/><Relationship Id="rId167" Type="http://schemas.openxmlformats.org/officeDocument/2006/relationships/hyperlink" Target="http://cvyoksnysympwdpu5lg.kg/" TargetMode="External"/><Relationship Id="rId374" Type="http://schemas.openxmlformats.org/officeDocument/2006/relationships/hyperlink" Target="https://storage.googleapis.com/glide-prod.appspot.com/uploads-v2/ly7o78grxPaC6KdgvbpS/pub/3aRdSog0vUtuqPE8AJKD.png" TargetMode="External"/><Relationship Id="rId581" Type="http://schemas.openxmlformats.org/officeDocument/2006/relationships/hyperlink" Target="https://storage.googleapis.com/glide-prod.appspot.com/uploads-v2/ly7o78grxPaC6KdgvbpS/pub/3aRdSog0vUtuqPE8AJKD.png" TargetMode="External"/><Relationship Id="rId234" Type="http://schemas.openxmlformats.org/officeDocument/2006/relationships/hyperlink" Target="https://storage.googleapis.com/glide-prod.appspot.com/uploads-v2/ly7o78grxPaC6KdgvbpS/pub/3aRdSog0vUtuqPE8AJKD.png" TargetMode="External"/><Relationship Id="rId679" Type="http://schemas.openxmlformats.org/officeDocument/2006/relationships/hyperlink" Target="https://storage.googleapis.com/glide-prod.appspot.com/uploads-v2/ly7o78grxPaC6KdgvbpS/pub/3aRdSog0vUtuqPE8AJKD.png" TargetMode="External"/><Relationship Id="rId886" Type="http://schemas.openxmlformats.org/officeDocument/2006/relationships/hyperlink" Target="https://storage.googleapis.com/glide-prod.appspot.com/uploads-v2/ly7o78grxPaC6KdgvbpS/pub/3aRdSog0vUtuqPE8AJKD.png" TargetMode="External"/><Relationship Id="rId2" Type="http://schemas.openxmlformats.org/officeDocument/2006/relationships/hyperlink" Target="https://storage.googleapis.com/glide-prod.appspot.com/uploads-v2/ly7o78grxPaC6KdgvbpS/pub/3aRdSog0vUtuqPE8AJKD.png" TargetMode="External"/><Relationship Id="rId441" Type="http://schemas.openxmlformats.org/officeDocument/2006/relationships/hyperlink" Target="https://storage.googleapis.com/glide-prod.appspot.com/uploads-v2/ly7o78grxPaC6KdgvbpS/pub/3aRdSog0vUtuqPE8AJKD.png" TargetMode="External"/><Relationship Id="rId539" Type="http://schemas.openxmlformats.org/officeDocument/2006/relationships/hyperlink" Target="https://storage.googleapis.com/glide-prod.appspot.com/uploads-v2/ly7o78grxPaC6KdgvbpS/pub/3aRdSog0vUtuqPE8AJKD.png" TargetMode="External"/><Relationship Id="rId746" Type="http://schemas.openxmlformats.org/officeDocument/2006/relationships/hyperlink" Target="https://storage.googleapis.com/glide-prod.appspot.com/uploads-v2/ly7o78grxPaC6KdgvbpS/pub/3aRdSog0vUtuqPE8AJKD.png" TargetMode="External"/><Relationship Id="rId1071" Type="http://schemas.openxmlformats.org/officeDocument/2006/relationships/hyperlink" Target="https://storage.googleapis.com/glide-prod.appspot.com/uploads-v2/ly7o78grxPaC6KdgvbpS/pub/3aRdSog0vUtuqPE8AJKD.png" TargetMode="External"/><Relationship Id="rId1169" Type="http://schemas.openxmlformats.org/officeDocument/2006/relationships/hyperlink" Target="https://storage.googleapis.com/glide-prod.appspot.com/uploads-v2/ly7o78grxPaC6KdgvbpS/pub/3aRdSog0vUtuqPE8AJKD.png" TargetMode="External"/><Relationship Id="rId1376" Type="http://schemas.openxmlformats.org/officeDocument/2006/relationships/hyperlink" Target="https://storage.googleapis.com/glide-prod.appspot.com/uploads-v2/ly7o78grxPaC6KdgvbpS/pub/3aRdSog0vUtuqPE8AJKD.png" TargetMode="External"/><Relationship Id="rId1583" Type="http://schemas.openxmlformats.org/officeDocument/2006/relationships/hyperlink" Target="https://storage.googleapis.com/glide-prod.appspot.com/uploads-v2/ly7o78grxPaC6KdgvbpS/pub/3aRdSog0vUtuqPE8AJKD.png" TargetMode="External"/><Relationship Id="rId301" Type="http://schemas.openxmlformats.org/officeDocument/2006/relationships/hyperlink" Target="https://storage.googleapis.com/glide-prod.appspot.com/uploads-v2/ly7o78grxPaC6KdgvbpS/pub/3aRdSog0vUtuqPE8AJKD.png" TargetMode="External"/><Relationship Id="rId953" Type="http://schemas.openxmlformats.org/officeDocument/2006/relationships/hyperlink" Target="https://storage.googleapis.com/glide-prod.appspot.com/uploads-v2/ly7o78grxPaC6KdgvbpS/pub/3aRdSog0vUtuqPE8AJKD.png" TargetMode="External"/><Relationship Id="rId1029" Type="http://schemas.openxmlformats.org/officeDocument/2006/relationships/hyperlink" Target="https://storage.googleapis.com/glide-prod.appspot.com/uploads-v2/ly7o78grxPaC6KdgvbpS/pub/3aRdSog0vUtuqPE8AJKD.png" TargetMode="External"/><Relationship Id="rId1236" Type="http://schemas.openxmlformats.org/officeDocument/2006/relationships/hyperlink" Target="https://storage.googleapis.com/glide-prod.appspot.com/uploads-v2/ly7o78grxPaC6KdgvbpS/pub/3aRdSog0vUtuqPE8AJKD.png" TargetMode="External"/><Relationship Id="rId82" Type="http://schemas.openxmlformats.org/officeDocument/2006/relationships/hyperlink" Target="https://storage.googleapis.com/glide-prod.appspot.com/uploads-v2/ly7o78grxPaC6KdgvbpS/pub/3aRdSog0vUtuqPE8AJKD.png" TargetMode="External"/><Relationship Id="rId606" Type="http://schemas.openxmlformats.org/officeDocument/2006/relationships/hyperlink" Target="https://storage.googleapis.com/glide-prod.appspot.com/uploads-v2/ly7o78grxPaC6KdgvbpS/pub/3aRdSog0vUtuqPE8AJKD.png" TargetMode="External"/><Relationship Id="rId813" Type="http://schemas.openxmlformats.org/officeDocument/2006/relationships/hyperlink" Target="https://storage.googleapis.com/glide-prod.appspot.com/uploads-v2/ly7o78grxPaC6KdgvbpS/pub/3aRdSog0vUtuqPE8AJKD.png" TargetMode="External"/><Relationship Id="rId1443" Type="http://schemas.openxmlformats.org/officeDocument/2006/relationships/hyperlink" Target="https://storage.googleapis.com/glide-prod.appspot.com/uploads-v2/ly7o78grxPaC6KdgvbpS/pub/3aRdSog0vUtuqPE8AJKD.png" TargetMode="External"/><Relationship Id="rId1303" Type="http://schemas.openxmlformats.org/officeDocument/2006/relationships/hyperlink" Target="https://storage.googleapis.com/glide-prod.appspot.com/uploads-v2/ly7o78grxPaC6KdgvbpS/pub/3aRdSog0vUtuqPE8AJKD.png" TargetMode="External"/><Relationship Id="rId1510" Type="http://schemas.openxmlformats.org/officeDocument/2006/relationships/hyperlink" Target="https://storage.googleapis.com/glide-prod.appspot.com/uploads-v2/ly7o78grxPaC6KdgvbpS/pub/3aRdSog0vUtuqPE8AJKD.png" TargetMode="External"/><Relationship Id="rId1608" Type="http://schemas.openxmlformats.org/officeDocument/2006/relationships/hyperlink" Target="https://storage.googleapis.com/glide-prod.appspot.com/uploads-v2/ly7o78grxPaC6KdgvbpS/pub/3aRdSog0vUtuqPE8AJKD.png" TargetMode="External"/><Relationship Id="rId189" Type="http://schemas.openxmlformats.org/officeDocument/2006/relationships/hyperlink" Target="https://storage.googleapis.com/glide-prod.appspot.com/uploads-v2/ly7o78grxPaC6KdgvbpS/pub/3aRdSog0vUtuqPE8AJKD.png" TargetMode="External"/><Relationship Id="rId396" Type="http://schemas.openxmlformats.org/officeDocument/2006/relationships/hyperlink" Target="https://storage.googleapis.com/glide-prod.appspot.com/uploads-v2/ly7o78grxPaC6KdgvbpS/pub/3aRdSog0vUtuqPE8AJKD.png" TargetMode="External"/><Relationship Id="rId256" Type="http://schemas.openxmlformats.org/officeDocument/2006/relationships/hyperlink" Target="https://storage.googleapis.com/glide-prod.appspot.com/uploads-v2/ly7o78grxPaC6KdgvbpS/pub/3aRdSog0vUtuqPE8AJKD.png" TargetMode="External"/><Relationship Id="rId463" Type="http://schemas.openxmlformats.org/officeDocument/2006/relationships/hyperlink" Target="https://storage.googleapis.com/glide-prod.appspot.com/uploads-v2/ly7o78grxPaC6KdgvbpS/pub/3aRdSog0vUtuqPE8AJKD.png" TargetMode="External"/><Relationship Id="rId670" Type="http://schemas.openxmlformats.org/officeDocument/2006/relationships/hyperlink" Target="https://storage.googleapis.com/glide-prod.appspot.com/uploads-v2/ly7o78grxPaC6KdgvbpS/pub/3aRdSog0vUtuqPE8AJKD.png" TargetMode="External"/><Relationship Id="rId1093" Type="http://schemas.openxmlformats.org/officeDocument/2006/relationships/hyperlink" Target="https://storage.googleapis.com/glide-prod.appspot.com/uploads-v2/ly7o78grxPaC6KdgvbpS/pub/3aRdSog0vUtuqPE8AJKD.png" TargetMode="External"/><Relationship Id="rId116" Type="http://schemas.openxmlformats.org/officeDocument/2006/relationships/hyperlink" Target="https://storage.googleapis.com/glide-prod.appspot.com/uploads-v2/ly7o78grxPaC6KdgvbpS/pub/3aRdSog0vUtuqPE8AJKD.png" TargetMode="External"/><Relationship Id="rId323" Type="http://schemas.openxmlformats.org/officeDocument/2006/relationships/hyperlink" Target="https://storage.googleapis.com/glide-prod.appspot.com/uploads-v2/ly7o78grxPaC6KdgvbpS/pub/3aRdSog0vUtuqPE8AJKD.png" TargetMode="External"/><Relationship Id="rId530" Type="http://schemas.openxmlformats.org/officeDocument/2006/relationships/hyperlink" Target="https://storage.googleapis.com/glide-prod.appspot.com/uploads-v2/ly7o78grxPaC6KdgvbpS/pub/3aRdSog0vUtuqPE8AJKD.png" TargetMode="External"/><Relationship Id="rId768" Type="http://schemas.openxmlformats.org/officeDocument/2006/relationships/hyperlink" Target="https://storage.googleapis.com/glide-prod.appspot.com/uploads-v2/ly7o78grxPaC6KdgvbpS/pub/3aRdSog0vUtuqPE8AJKD.png" TargetMode="External"/><Relationship Id="rId975" Type="http://schemas.openxmlformats.org/officeDocument/2006/relationships/hyperlink" Target="https://storage.googleapis.com/glide-prod.appspot.com/uploads-v2/ly7o78grxPaC6KdgvbpS/pub/3aRdSog0vUtuqPE8AJKD.png" TargetMode="External"/><Relationship Id="rId1160" Type="http://schemas.openxmlformats.org/officeDocument/2006/relationships/hyperlink" Target="https://storage.googleapis.com/glide-prod.appspot.com/uploads-v2/ly7o78grxPaC6KdgvbpS/pub/3aRdSog0vUtuqPE8AJKD.png" TargetMode="External"/><Relationship Id="rId1398" Type="http://schemas.openxmlformats.org/officeDocument/2006/relationships/hyperlink" Target="https://storage.googleapis.com/glide-prod.appspot.com/uploads-v2/ly7o78grxPaC6KdgvbpS/pub/3aRdSog0vUtuqPE8AJKD.png" TargetMode="External"/><Relationship Id="rId628" Type="http://schemas.openxmlformats.org/officeDocument/2006/relationships/hyperlink" Target="https://storage.googleapis.com/glide-prod.appspot.com/uploads-v2/ly7o78grxPaC6KdgvbpS/pub/3aRdSog0vUtuqPE8AJKD.png" TargetMode="External"/><Relationship Id="rId835" Type="http://schemas.openxmlformats.org/officeDocument/2006/relationships/hyperlink" Target="https://storage.googleapis.com/glide-prod.appspot.com/uploads-v2/ly7o78grxPaC6KdgvbpS/pub/3aRdSog0vUtuqPE8AJKD.png" TargetMode="External"/><Relationship Id="rId1258" Type="http://schemas.openxmlformats.org/officeDocument/2006/relationships/hyperlink" Target="https://storage.googleapis.com/glide-prod.appspot.com/uploads-v2/ly7o78grxPaC6KdgvbpS/pub/UliJWgpEaBovaFmXi6OW.png" TargetMode="External"/><Relationship Id="rId1465" Type="http://schemas.openxmlformats.org/officeDocument/2006/relationships/hyperlink" Target="https://storage.googleapis.com/glide-prod.appspot.com/uploads-v2/ly7o78grxPaC6KdgvbpS/pub/3aRdSog0vUtuqPE8AJKD.png" TargetMode="External"/><Relationship Id="rId1020" Type="http://schemas.openxmlformats.org/officeDocument/2006/relationships/hyperlink" Target="https://storage.googleapis.com/glide-prod.appspot.com/uploads-v2/ly7o78grxPaC6KdgvbpS/pub/3aRdSog0vUtuqPE8AJKD.png" TargetMode="External"/><Relationship Id="rId1118" Type="http://schemas.openxmlformats.org/officeDocument/2006/relationships/hyperlink" Target="https://storage.googleapis.com/glide-prod.appspot.com/uploads-v2/ly7o78grxPaC6KdgvbpS/pub/3aRdSog0vUtuqPE8AJKD.png" TargetMode="External"/><Relationship Id="rId1325" Type="http://schemas.openxmlformats.org/officeDocument/2006/relationships/hyperlink" Target="https://storage.googleapis.com/glide-prod.appspot.com/uploads-v2/ly7o78grxPaC6KdgvbpS/pub/3aRdSog0vUtuqPE8AJKD.png" TargetMode="External"/><Relationship Id="rId1532" Type="http://schemas.openxmlformats.org/officeDocument/2006/relationships/hyperlink" Target="https://storage.googleapis.com/glide-prod.appspot.com/uploads-v2/ly7o78grxPaC6KdgvbpS/pub/3aRdSog0vUtuqPE8AJKD.png" TargetMode="External"/><Relationship Id="rId902" Type="http://schemas.openxmlformats.org/officeDocument/2006/relationships/hyperlink" Target="https://storage.googleapis.com/glide-prod.appspot.com/uploads-v2/ly7o78grxPaC6KdgvbpS/pub/3aRdSog0vUtuqPE8AJKD.png" TargetMode="External"/><Relationship Id="rId31" Type="http://schemas.openxmlformats.org/officeDocument/2006/relationships/hyperlink" Target="https://storage.googleapis.com/glide-prod.appspot.com/uploads-v2/ly7o78grxPaC6KdgvbpS/pub/3aRdSog0vUtuqPE8AJKD.png" TargetMode="External"/><Relationship Id="rId180" Type="http://schemas.openxmlformats.org/officeDocument/2006/relationships/hyperlink" Target="https://storage.googleapis.com/glide-prod.appspot.com/uploads-v2/ly7o78grxPaC6KdgvbpS/pub/3aRdSog0vUtuqPE8AJKD.png" TargetMode="External"/><Relationship Id="rId278" Type="http://schemas.openxmlformats.org/officeDocument/2006/relationships/hyperlink" Target="https://storage.googleapis.com/glide-prod.appspot.com/uploads-v2/ly7o78grxPaC6KdgvbpS/pub/3aRdSog0vUtuqPE8AJKD.png" TargetMode="External"/><Relationship Id="rId485" Type="http://schemas.openxmlformats.org/officeDocument/2006/relationships/hyperlink" Target="https://storage.googleapis.com/glide-prod.appspot.com/uploads-v2/ly7o78grxPaC6KdgvbpS/pub/3aRdSog0vUtuqPE8AJKD.png" TargetMode="External"/><Relationship Id="rId692" Type="http://schemas.openxmlformats.org/officeDocument/2006/relationships/hyperlink" Target="https://storage.googleapis.com/glide-prod.appspot.com/uploads-v2/ly7o78grxPaC6KdgvbpS/pub/3aRdSog0vUtuqPE8AJKD.png" TargetMode="External"/><Relationship Id="rId138" Type="http://schemas.openxmlformats.org/officeDocument/2006/relationships/hyperlink" Target="https://storage.googleapis.com/glide-prod.appspot.com/uploads-v2/ly7o78grxPaC6KdgvbpS/pub/3aRdSog0vUtuqPE8AJKD.png" TargetMode="External"/><Relationship Id="rId345" Type="http://schemas.openxmlformats.org/officeDocument/2006/relationships/hyperlink" Target="https://storage.googleapis.com/glide-prod.appspot.com/uploads-v2/ly7o78grxPaC6KdgvbpS/pub/3aRdSog0vUtuqPE8AJKD.png" TargetMode="External"/><Relationship Id="rId552" Type="http://schemas.openxmlformats.org/officeDocument/2006/relationships/hyperlink" Target="https://storage.googleapis.com/glide-prod.appspot.com/uploads-v2/ly7o78grxPaC6KdgvbpS/pub/3aRdSog0vUtuqPE8AJKD.png" TargetMode="External"/><Relationship Id="rId997" Type="http://schemas.openxmlformats.org/officeDocument/2006/relationships/hyperlink" Target="https://storage.googleapis.com/glide-prod.appspot.com/uploads-v2/ly7o78grxPaC6KdgvbpS/pub/3aRdSog0vUtuqPE8AJKD.png" TargetMode="External"/><Relationship Id="rId1182" Type="http://schemas.openxmlformats.org/officeDocument/2006/relationships/hyperlink" Target="https://storage.googleapis.com/glide-prod.appspot.com/uploads-v2/ly7o78grxPaC6KdgvbpS/pub/3aRdSog0vUtuqPE8AJKD.png" TargetMode="External"/><Relationship Id="rId205" Type="http://schemas.openxmlformats.org/officeDocument/2006/relationships/hyperlink" Target="https://storage.googleapis.com/glide-prod.appspot.com/uploads-v2/ly7o78grxPaC6KdgvbpS/pub/3aRdSog0vUtuqPE8AJKD.png" TargetMode="External"/><Relationship Id="rId412" Type="http://schemas.openxmlformats.org/officeDocument/2006/relationships/hyperlink" Target="https://storage.googleapis.com/glide-prod.appspot.com/uploads-v2/ly7o78grxPaC6KdgvbpS/pub/3aRdSog0vUtuqPE8AJKD.png" TargetMode="External"/><Relationship Id="rId857" Type="http://schemas.openxmlformats.org/officeDocument/2006/relationships/hyperlink" Target="https://storage.googleapis.com/glide-prod.appspot.com/uploads-v2/ly7o78grxPaC6KdgvbpS/pub/3aRdSog0vUtuqPE8AJKD.png" TargetMode="External"/><Relationship Id="rId1042" Type="http://schemas.openxmlformats.org/officeDocument/2006/relationships/hyperlink" Target="https://storage.googleapis.com/glide-prod.appspot.com/uploads-v2/ly7o78grxPaC6KdgvbpS/pub/3aRdSog0vUtuqPE8AJKD.png" TargetMode="External"/><Relationship Id="rId1487" Type="http://schemas.openxmlformats.org/officeDocument/2006/relationships/hyperlink" Target="https://storage.googleapis.com/glide-prod.appspot.com/uploads-v2/ly7o78grxPaC6KdgvbpS/pub/3aRdSog0vUtuqPE8AJKD.png" TargetMode="External"/><Relationship Id="rId717" Type="http://schemas.openxmlformats.org/officeDocument/2006/relationships/hyperlink" Target="https://storage.googleapis.com/glide-prod.appspot.com/uploads-v2/ly7o78grxPaC6KdgvbpS/pub/3aRdSog0vUtuqPE8AJKD.png" TargetMode="External"/><Relationship Id="rId924" Type="http://schemas.openxmlformats.org/officeDocument/2006/relationships/hyperlink" Target="https://storage.googleapis.com/glide-prod.appspot.com/uploads-v2/ly7o78grxPaC6KdgvbpS/pub/3aRdSog0vUtuqPE8AJKD.png" TargetMode="External"/><Relationship Id="rId1347" Type="http://schemas.openxmlformats.org/officeDocument/2006/relationships/hyperlink" Target="https://storage.googleapis.com/glide-prod.appspot.com/uploads-v2/ly7o78grxPaC6KdgvbpS/pub/3aRdSog0vUtuqPE8AJKD.png" TargetMode="External"/><Relationship Id="rId1554" Type="http://schemas.openxmlformats.org/officeDocument/2006/relationships/hyperlink" Target="https://storage.googleapis.com/glide-prod.appspot.com/uploads-v2/ly7o78grxPaC6KdgvbpS/pub/3aRdSog0vUtuqPE8AJKD.png" TargetMode="External"/><Relationship Id="rId53" Type="http://schemas.openxmlformats.org/officeDocument/2006/relationships/hyperlink" Target="https://storage.googleapis.com/glide-prod.appspot.com/uploads-v2/ly7o78grxPaC6KdgvbpS/pub/3aRdSog0vUtuqPE8AJKD.png" TargetMode="External"/><Relationship Id="rId1207" Type="http://schemas.openxmlformats.org/officeDocument/2006/relationships/hyperlink" Target="https://storage.googleapis.com/glide-prod.appspot.com/uploads-v2/ly7o78grxPaC6KdgvbpS/pub/3aRdSog0vUtuqPE8AJKD.png" TargetMode="External"/><Relationship Id="rId1414" Type="http://schemas.openxmlformats.org/officeDocument/2006/relationships/hyperlink" Target="https://storage.googleapis.com/glide-prod.appspot.com/uploads-v2/ly7o78grxPaC6KdgvbpS/pub/3aRdSog0vUtuqPE8AJKD.png" TargetMode="External"/><Relationship Id="rId367" Type="http://schemas.openxmlformats.org/officeDocument/2006/relationships/hyperlink" Target="https://storage.googleapis.com/glide-prod.appspot.com/uploads-v2/ly7o78grxPaC6KdgvbpS/pub/3aRdSog0vUtuqPE8AJKD.png" TargetMode="External"/><Relationship Id="rId574" Type="http://schemas.openxmlformats.org/officeDocument/2006/relationships/hyperlink" Target="https://storage.googleapis.com/glide-prod.appspot.com/uploads-v2/ly7o78grxPaC6KdgvbpS/pub/3aRdSog0vUtuqPE8AJKD.png" TargetMode="External"/><Relationship Id="rId227" Type="http://schemas.openxmlformats.org/officeDocument/2006/relationships/hyperlink" Target="https://storage.googleapis.com/glide-prod.appspot.com/uploads-v2/ly7o78grxPaC6KdgvbpS/pub/3aRdSog0vUtuqPE8AJKD.png" TargetMode="External"/><Relationship Id="rId781" Type="http://schemas.openxmlformats.org/officeDocument/2006/relationships/hyperlink" Target="https://storage.googleapis.com/glide-prod.appspot.com/uploads-v2/ly7o78grxPaC6KdgvbpS/pub/3aRdSog0vUtuqPE8AJKD.png" TargetMode="External"/><Relationship Id="rId879" Type="http://schemas.openxmlformats.org/officeDocument/2006/relationships/hyperlink" Target="https://storage.googleapis.com/glide-prod.appspot.com/uploads-v2/ly7o78grxPaC6KdgvbpS/pub/3aRdSog0vUtuqPE8AJKD.png" TargetMode="External"/><Relationship Id="rId434" Type="http://schemas.openxmlformats.org/officeDocument/2006/relationships/hyperlink" Target="https://storage.googleapis.com/glide-prod.appspot.com/uploads-v2/ly7o78grxPaC6KdgvbpS/pub/hrR3OHU6fUOWPkwg4FvT.jpg" TargetMode="External"/><Relationship Id="rId641" Type="http://schemas.openxmlformats.org/officeDocument/2006/relationships/hyperlink" Target="https://storage.googleapis.com/glide-prod.appspot.com/uploads-v2/ly7o78grxPaC6KdgvbpS/pub/3aRdSog0vUtuqPE8AJKD.png" TargetMode="External"/><Relationship Id="rId739" Type="http://schemas.openxmlformats.org/officeDocument/2006/relationships/hyperlink" Target="https://storage.googleapis.com/glide-prod.appspot.com/uploads-v2/ly7o78grxPaC6KdgvbpS/pub/3aRdSog0vUtuqPE8AJKD.png" TargetMode="External"/><Relationship Id="rId1064" Type="http://schemas.openxmlformats.org/officeDocument/2006/relationships/hyperlink" Target="https://storage.googleapis.com/glide-prod.appspot.com/uploads-v2/ly7o78grxPaC6KdgvbpS/pub/3aRdSog0vUtuqPE8AJKD.png" TargetMode="External"/><Relationship Id="rId1271" Type="http://schemas.openxmlformats.org/officeDocument/2006/relationships/hyperlink" Target="https://storage.googleapis.com/glide-prod.appspot.com/uploads-v2/ly7o78grxPaC6KdgvbpS/pub/3aRdSog0vUtuqPE8AJKD.png" TargetMode="External"/><Relationship Id="rId1369" Type="http://schemas.openxmlformats.org/officeDocument/2006/relationships/hyperlink" Target="https://storage.googleapis.com/glide-prod.appspot.com/uploads-v2/ly7o78grxPaC6KdgvbpS/pub/3aRdSog0vUtuqPE8AJKD.png" TargetMode="External"/><Relationship Id="rId1576" Type="http://schemas.openxmlformats.org/officeDocument/2006/relationships/hyperlink" Target="https://storage.googleapis.com/glide-prod.appspot.com/uploads-v2/ly7o78grxPaC6KdgvbpS/pub/3aRdSog0vUtuqPE8AJKD.png" TargetMode="External"/><Relationship Id="rId501" Type="http://schemas.openxmlformats.org/officeDocument/2006/relationships/hyperlink" Target="https://storage.googleapis.com/glide-prod.appspot.com/uploads-v2/ly7o78grxPaC6KdgvbpS/pub/3aRdSog0vUtuqPE8AJKD.png" TargetMode="External"/><Relationship Id="rId946" Type="http://schemas.openxmlformats.org/officeDocument/2006/relationships/hyperlink" Target="https://storage.googleapis.com/glide-prod.appspot.com/uploads-v2/ly7o78grxPaC6KdgvbpS/pub/3aRdSog0vUtuqPE8AJKD.png" TargetMode="External"/><Relationship Id="rId1131" Type="http://schemas.openxmlformats.org/officeDocument/2006/relationships/hyperlink" Target="https://storage.googleapis.com/glide-prod.appspot.com/uploads-v2/ly7o78grxPaC6KdgvbpS/pub/3aRdSog0vUtuqPE8AJKD.png" TargetMode="External"/><Relationship Id="rId1229" Type="http://schemas.openxmlformats.org/officeDocument/2006/relationships/hyperlink" Target="https://storage.googleapis.com/glide-prod.appspot.com/uploads-v2/ly7o78grxPaC6KdgvbpS/pub/3aRdSog0vUtuqPE8AJKD.png" TargetMode="External"/><Relationship Id="rId75" Type="http://schemas.openxmlformats.org/officeDocument/2006/relationships/hyperlink" Target="https://storage.googleapis.com/glide-prod.appspot.com/uploads-v2/ly7o78grxPaC6KdgvbpS/pub/3aRdSog0vUtuqPE8AJKD.png" TargetMode="External"/><Relationship Id="rId806" Type="http://schemas.openxmlformats.org/officeDocument/2006/relationships/hyperlink" Target="https://storage.googleapis.com/glide-prod.appspot.com/uploads-v2/ly7o78grxPaC6KdgvbpS/pub/3aRdSog0vUtuqPE8AJKD.png" TargetMode="External"/><Relationship Id="rId1436" Type="http://schemas.openxmlformats.org/officeDocument/2006/relationships/hyperlink" Target="https://storage.googleapis.com/glide-prod.appspot.com/uploads-v2/ly7o78grxPaC6KdgvbpS/pub/UliJWgpEaBovaFmXi6OW.png" TargetMode="External"/><Relationship Id="rId1503" Type="http://schemas.openxmlformats.org/officeDocument/2006/relationships/hyperlink" Target="https://storage.googleapis.com/glide-prod.appspot.com/uploads-v2/ly7o78grxPaC6KdgvbpS/pub/3aRdSog0vUtuqPE8AJKD.png" TargetMode="External"/><Relationship Id="rId291" Type="http://schemas.openxmlformats.org/officeDocument/2006/relationships/hyperlink" Target="https://storage.googleapis.com/glide-prod.appspot.com/uploads-v2/ly7o78grxPaC6KdgvbpS/pub/3aRdSog0vUtuqPE8AJKD.png" TargetMode="External"/><Relationship Id="rId151" Type="http://schemas.openxmlformats.org/officeDocument/2006/relationships/hyperlink" Target="https://storage.googleapis.com/glide-prod.appspot.com/uploads-v2/ly7o78grxPaC6KdgvbpS/pub/3aRdSog0vUtuqPE8AJKD.png" TargetMode="External"/><Relationship Id="rId389" Type="http://schemas.openxmlformats.org/officeDocument/2006/relationships/hyperlink" Target="https://storage.googleapis.com/glide-prod.appspot.com/uploads-v2/ly7o78grxPaC6KdgvbpS/pub/3aRdSog0vUtuqPE8AJKD.png" TargetMode="External"/><Relationship Id="rId596" Type="http://schemas.openxmlformats.org/officeDocument/2006/relationships/hyperlink" Target="https://storage.googleapis.com/glide-prod.appspot.com/uploads-v2/ly7o78grxPaC6KdgvbpS/pub/3aRdSog0vUtuqPE8AJKD.png" TargetMode="External"/><Relationship Id="rId249" Type="http://schemas.openxmlformats.org/officeDocument/2006/relationships/hyperlink" Target="https://storage.googleapis.com/glide-prod.appspot.com/uploads-v2/ly7o78grxPaC6KdgvbpS/pub/3aRdSog0vUtuqPE8AJKD.png" TargetMode="External"/><Relationship Id="rId456" Type="http://schemas.openxmlformats.org/officeDocument/2006/relationships/hyperlink" Target="https://storage.googleapis.com/glide-prod.appspot.com/uploads-v2/ly7o78grxPaC6KdgvbpS/pub/3aRdSog0vUtuqPE8AJKD.png" TargetMode="External"/><Relationship Id="rId663" Type="http://schemas.openxmlformats.org/officeDocument/2006/relationships/hyperlink" Target="https://storage.googleapis.com/glide-prod.appspot.com/uploads-v2/ly7o78grxPaC6KdgvbpS/pub/3aRdSog0vUtuqPE8AJKD.png" TargetMode="External"/><Relationship Id="rId870" Type="http://schemas.openxmlformats.org/officeDocument/2006/relationships/hyperlink" Target="https://storage.googleapis.com/glide-prod.appspot.com/uploads-v2/ly7o78grxPaC6KdgvbpS/pub/3aRdSog0vUtuqPE8AJKD.png" TargetMode="External"/><Relationship Id="rId1086" Type="http://schemas.openxmlformats.org/officeDocument/2006/relationships/hyperlink" Target="https://storage.googleapis.com/glide-prod.appspot.com/uploads-v2/ly7o78grxPaC6KdgvbpS/pub/3aRdSog0vUtuqPE8AJKD.png" TargetMode="External"/><Relationship Id="rId1293" Type="http://schemas.openxmlformats.org/officeDocument/2006/relationships/hyperlink" Target="https://storage.googleapis.com/glide-prod.appspot.com/uploads-v2/ly7o78grxPaC6KdgvbpS/pub/3aRdSog0vUtuqPE8AJKD.png" TargetMode="External"/><Relationship Id="rId109" Type="http://schemas.openxmlformats.org/officeDocument/2006/relationships/hyperlink" Target="https://storage.googleapis.com/glide-prod.appspot.com/uploads-v2/ly7o78grxPaC6KdgvbpS/pub/HCs9ZvnJd5XwAH99zRrL.jpg" TargetMode="External"/><Relationship Id="rId316" Type="http://schemas.openxmlformats.org/officeDocument/2006/relationships/hyperlink" Target="https://storage.googleapis.com/glide-prod.appspot.com/uploads-v2/ly7o78grxPaC6KdgvbpS/pub/3aRdSog0vUtuqPE8AJKD.png" TargetMode="External"/><Relationship Id="rId523" Type="http://schemas.openxmlformats.org/officeDocument/2006/relationships/hyperlink" Target="https://storage.googleapis.com/glide-prod.appspot.com/uploads-v2/ly7o78grxPaC6KdgvbpS/pub/2aeKL06IJ3hxvAZ7qOY9.jpg" TargetMode="External"/><Relationship Id="rId968" Type="http://schemas.openxmlformats.org/officeDocument/2006/relationships/hyperlink" Target="https://storage.googleapis.com/glide-prod.appspot.com/uploads-v2/ly7o78grxPaC6KdgvbpS/pub/3aRdSog0vUtuqPE8AJKD.png" TargetMode="External"/><Relationship Id="rId1153" Type="http://schemas.openxmlformats.org/officeDocument/2006/relationships/hyperlink" Target="https://storage.googleapis.com/glide-prod.appspot.com/uploads-v2/ly7o78grxPaC6KdgvbpS/pub/3aRdSog0vUtuqPE8AJKD.png" TargetMode="External"/><Relationship Id="rId1598" Type="http://schemas.openxmlformats.org/officeDocument/2006/relationships/hyperlink" Target="https://storage.googleapis.com/glide-prod.appspot.com/uploads-v2/ly7o78grxPaC6KdgvbpS/pub/3aRdSog0vUtuqPE8AJKD.png" TargetMode="External"/><Relationship Id="rId97" Type="http://schemas.openxmlformats.org/officeDocument/2006/relationships/hyperlink" Target="https://storage.googleapis.com/glide-prod.appspot.com/uploads-v2/ly7o78grxPaC6KdgvbpS/pub/3aRdSog0vUtuqPE8AJKD.png" TargetMode="External"/><Relationship Id="rId730" Type="http://schemas.openxmlformats.org/officeDocument/2006/relationships/hyperlink" Target="https://storage.googleapis.com/glide-prod.appspot.com/uploads-v2/ly7o78grxPaC6KdgvbpS/pub/3aRdSog0vUtuqPE8AJKD.png" TargetMode="External"/><Relationship Id="rId828" Type="http://schemas.openxmlformats.org/officeDocument/2006/relationships/hyperlink" Target="https://storage.googleapis.com/glide-prod.appspot.com/uploads-v2/ly7o78grxPaC6KdgvbpS/pub/3aRdSog0vUtuqPE8AJKD.png" TargetMode="External"/><Relationship Id="rId1013" Type="http://schemas.openxmlformats.org/officeDocument/2006/relationships/hyperlink" Target="https://storage.googleapis.com/glide-prod.appspot.com/uploads-v2/ly7o78grxPaC6KdgvbpS/pub/3aRdSog0vUtuqPE8AJKD.png" TargetMode="External"/><Relationship Id="rId1360" Type="http://schemas.openxmlformats.org/officeDocument/2006/relationships/hyperlink" Target="https://storage.googleapis.com/glide-prod.appspot.com/uploads-v2/ly7o78grxPaC6KdgvbpS/pub/3aRdSog0vUtuqPE8AJKD.png" TargetMode="External"/><Relationship Id="rId1458" Type="http://schemas.openxmlformats.org/officeDocument/2006/relationships/hyperlink" Target="https://storage.googleapis.com/glide-prod.appspot.com/uploads-v2/ly7o78grxPaC6KdgvbpS/pub/3aRdSog0vUtuqPE8AJKD.png" TargetMode="External"/><Relationship Id="rId1220" Type="http://schemas.openxmlformats.org/officeDocument/2006/relationships/hyperlink" Target="https://storage.googleapis.com/glide-prod.appspot.com/uploads-v2/ly7o78grxPaC6KdgvbpS/pub/UliJWgpEaBovaFmXi6OW.png" TargetMode="External"/><Relationship Id="rId1318" Type="http://schemas.openxmlformats.org/officeDocument/2006/relationships/hyperlink" Target="https://storage.googleapis.com/glide-prod.appspot.com/uploads-v2/ly7o78grxPaC6KdgvbpS/pub/3aRdSog0vUtuqPE8AJKD.png" TargetMode="External"/><Relationship Id="rId1525" Type="http://schemas.openxmlformats.org/officeDocument/2006/relationships/hyperlink" Target="https://storage.googleapis.com/glide-prod.appspot.com/uploads-v2/ly7o78grxPaC6KdgvbpS/pub/3aRdSog0vUtuqPE8AJKD.png" TargetMode="External"/><Relationship Id="rId24" Type="http://schemas.openxmlformats.org/officeDocument/2006/relationships/hyperlink" Target="https://storage.googleapis.com/glide-prod.appspot.com/uploads-v2/ly7o78grxPaC6KdgvbpS/pub/3aRdSog0vUtuqPE8AJKD.png" TargetMode="External"/><Relationship Id="rId173" Type="http://schemas.openxmlformats.org/officeDocument/2006/relationships/hyperlink" Target="https://storage.googleapis.com/glide-prod.appspot.com/uploads-v2/ly7o78grxPaC6KdgvbpS/pub/3aRdSog0vUtuqPE8AJKD.png" TargetMode="External"/><Relationship Id="rId380" Type="http://schemas.openxmlformats.org/officeDocument/2006/relationships/hyperlink" Target="https://storage.googleapis.com/glide-prod.appspot.com/uploads-v2/ly7o78grxPaC6KdgvbpS/pub/3aRdSog0vUtuqPE8AJKD.png" TargetMode="External"/><Relationship Id="rId240" Type="http://schemas.openxmlformats.org/officeDocument/2006/relationships/hyperlink" Target="https://storage.googleapis.com/glide-prod.appspot.com/uploads-v2/ly7o78grxPaC6KdgvbpS/pub/3aRdSog0vUtuqPE8AJKD.png" TargetMode="External"/><Relationship Id="rId478" Type="http://schemas.openxmlformats.org/officeDocument/2006/relationships/hyperlink" Target="https://storage.googleapis.com/glide-prod.appspot.com/uploads-v2/ly7o78grxPaC6KdgvbpS/pub/3aRdSog0vUtuqPE8AJKD.png" TargetMode="External"/><Relationship Id="rId685" Type="http://schemas.openxmlformats.org/officeDocument/2006/relationships/hyperlink" Target="https://storage.googleapis.com/glide-prod.appspot.com/uploads-v2/ly7o78grxPaC6KdgvbpS/pub/3aRdSog0vUtuqPE8AJKD.png" TargetMode="External"/><Relationship Id="rId892" Type="http://schemas.openxmlformats.org/officeDocument/2006/relationships/hyperlink" Target="https://storage.googleapis.com/glide-prod.appspot.com/uploads-v2/ly7o78grxPaC6KdgvbpS/pub/3aRdSog0vUtuqPE8AJKD.png" TargetMode="External"/><Relationship Id="rId100" Type="http://schemas.openxmlformats.org/officeDocument/2006/relationships/hyperlink" Target="https://storage.googleapis.com/glide-prod.appspot.com/uploads-v2/ly7o78grxPaC6KdgvbpS/pub/3aRdSog0vUtuqPE8AJKD.png" TargetMode="External"/><Relationship Id="rId338" Type="http://schemas.openxmlformats.org/officeDocument/2006/relationships/hyperlink" Target="https://storage.googleapis.com/glide-prod.appspot.com/uploads-v2/ly7o78grxPaC6KdgvbpS/pub/3aRdSog0vUtuqPE8AJKD.png" TargetMode="External"/><Relationship Id="rId545" Type="http://schemas.openxmlformats.org/officeDocument/2006/relationships/hyperlink" Target="https://storage.googleapis.com/glide-prod.appspot.com/uploads-v2/ly7o78grxPaC6KdgvbpS/pub/3aRdSog0vUtuqPE8AJKD.png" TargetMode="External"/><Relationship Id="rId752" Type="http://schemas.openxmlformats.org/officeDocument/2006/relationships/hyperlink" Target="https://storage.googleapis.com/glide-prod.appspot.com/uploads-v2/ly7o78grxPaC6KdgvbpS/pub/3aRdSog0vUtuqPE8AJKD.png" TargetMode="External"/><Relationship Id="rId1175" Type="http://schemas.openxmlformats.org/officeDocument/2006/relationships/hyperlink" Target="https://storage.googleapis.com/glide-prod.appspot.com/uploads-v2/ly7o78grxPaC6KdgvbpS/pub/3aRdSog0vUtuqPE8AJKD.png" TargetMode="External"/><Relationship Id="rId1382" Type="http://schemas.openxmlformats.org/officeDocument/2006/relationships/hyperlink" Target="https://storage.googleapis.com/glide-prod.appspot.com/uploads-v2/ly7o78grxPaC6KdgvbpS/pub/3aRdSog0vUtuqPE8AJKD.png" TargetMode="External"/><Relationship Id="rId405" Type="http://schemas.openxmlformats.org/officeDocument/2006/relationships/hyperlink" Target="https://storage.googleapis.com/glide-prod.appspot.com/uploads-v2/ly7o78grxPaC6KdgvbpS/pub/3aRdSog0vUtuqPE8AJKD.png" TargetMode="External"/><Relationship Id="rId612" Type="http://schemas.openxmlformats.org/officeDocument/2006/relationships/hyperlink" Target="https://storage.googleapis.com/glide-prod.appspot.com/uploads-v2/ly7o78grxPaC6KdgvbpS/pub/3aRdSog0vUtuqPE8AJKD.png" TargetMode="External"/><Relationship Id="rId1035" Type="http://schemas.openxmlformats.org/officeDocument/2006/relationships/hyperlink" Target="https://storage.googleapis.com/glide-prod.appspot.com/uploads-v2/ly7o78grxPaC6KdgvbpS/pub/3aRdSog0vUtuqPE8AJKD.png" TargetMode="External"/><Relationship Id="rId1242" Type="http://schemas.openxmlformats.org/officeDocument/2006/relationships/hyperlink" Target="https://storage.googleapis.com/glide-prod.appspot.com/uploads-v2/ly7o78grxPaC6KdgvbpS/pub/3aRdSog0vUtuqPE8AJKD.png" TargetMode="External"/><Relationship Id="rId917" Type="http://schemas.openxmlformats.org/officeDocument/2006/relationships/hyperlink" Target="https://storage.googleapis.com/glide-prod.appspot.com/uploads-v2/ly7o78grxPaC6KdgvbpS/pub/3aRdSog0vUtuqPE8AJKD.png" TargetMode="External"/><Relationship Id="rId1102" Type="http://schemas.openxmlformats.org/officeDocument/2006/relationships/hyperlink" Target="https://storage.googleapis.com/glide-prod.appspot.com/uploads-v2/ly7o78grxPaC6KdgvbpS/pub/3aRdSog0vUtuqPE8AJKD.png" TargetMode="External"/><Relationship Id="rId1547" Type="http://schemas.openxmlformats.org/officeDocument/2006/relationships/hyperlink" Target="https://storage.googleapis.com/glide-prod.appspot.com/uploads-v2/ly7o78grxPaC6KdgvbpS/pub/QUMFCd3gRw9CrRrzBTxO.jpg" TargetMode="External"/><Relationship Id="rId46" Type="http://schemas.openxmlformats.org/officeDocument/2006/relationships/hyperlink" Target="https://storage.googleapis.com/glide-prod.appspot.com/uploads-v2/ly7o78grxPaC6KdgvbpS/pub/3aRdSog0vUtuqPE8AJKD.png" TargetMode="External"/><Relationship Id="rId1407" Type="http://schemas.openxmlformats.org/officeDocument/2006/relationships/hyperlink" Target="https://storage.googleapis.com/glide-prod.appspot.com/uploads-v2/ly7o78grxPaC6KdgvbpS/pub/3aRdSog0vUtuqPE8AJKD.png" TargetMode="External"/><Relationship Id="rId1614" Type="http://schemas.openxmlformats.org/officeDocument/2006/relationships/hyperlink" Target="https://storage.googleapis.com/glide-prod.appspot.com/uploads-v2/ly7o78grxPaC6KdgvbpS/pub/3aRdSog0vUtuqPE8AJKD.png" TargetMode="External"/><Relationship Id="rId195" Type="http://schemas.openxmlformats.org/officeDocument/2006/relationships/hyperlink" Target="https://storage.googleapis.com/glide-prod.appspot.com/uploads-v2/ly7o78grxPaC6KdgvbpS/pub/3aRdSog0vUtuqPE8AJKD.png" TargetMode="External"/><Relationship Id="rId262" Type="http://schemas.openxmlformats.org/officeDocument/2006/relationships/hyperlink" Target="https://storage.googleapis.com/glide-prod.appspot.com/uploads-v2/ly7o78grxPaC6KdgvbpS/pub/3aRdSog0vUtuqPE8AJKD.png" TargetMode="External"/><Relationship Id="rId567" Type="http://schemas.openxmlformats.org/officeDocument/2006/relationships/hyperlink" Target="https://storage.googleapis.com/glide-prod.appspot.com/uploads-v2/ly7o78grxPaC6KdgvbpS/pub/3aRdSog0vUtuqPE8AJKD.png" TargetMode="External"/><Relationship Id="rId1197" Type="http://schemas.openxmlformats.org/officeDocument/2006/relationships/hyperlink" Target="https://storage.googleapis.com/glide-prod.appspot.com/uploads-v2/ly7o78grxPaC6KdgvbpS/pub/3aRdSog0vUtuqPE8AJKD.png" TargetMode="External"/><Relationship Id="rId122" Type="http://schemas.openxmlformats.org/officeDocument/2006/relationships/hyperlink" Target="https://storage.googleapis.com/glide-prod.appspot.com/uploads-v2/ly7o78grxPaC6KdgvbpS/pub/3aRdSog0vUtuqPE8AJKD.png" TargetMode="External"/><Relationship Id="rId774" Type="http://schemas.openxmlformats.org/officeDocument/2006/relationships/hyperlink" Target="https://storage.googleapis.com/glide-prod.appspot.com/uploads-v2/ly7o78grxPaC6KdgvbpS/pub/3aRdSog0vUtuqPE8AJKD.png" TargetMode="External"/><Relationship Id="rId981" Type="http://schemas.openxmlformats.org/officeDocument/2006/relationships/hyperlink" Target="http://1b7iomgcramktu1lhsr.gg/" TargetMode="External"/><Relationship Id="rId1057" Type="http://schemas.openxmlformats.org/officeDocument/2006/relationships/hyperlink" Target="https://storage.googleapis.com/glide-prod.appspot.com/uploads-v2/ly7o78grxPaC6KdgvbpS/pub/3aRdSog0vUtuqPE8AJKD.png" TargetMode="External"/><Relationship Id="rId427" Type="http://schemas.openxmlformats.org/officeDocument/2006/relationships/hyperlink" Target="https://storage.googleapis.com/glide-prod.appspot.com/uploads-v2/ly7o78grxPaC6KdgvbpS/pub/3aRdSog0vUtuqPE8AJKD.png" TargetMode="External"/><Relationship Id="rId634" Type="http://schemas.openxmlformats.org/officeDocument/2006/relationships/hyperlink" Target="https://storage.googleapis.com/glide-prod.appspot.com/uploads-v2/ly7o78grxPaC6KdgvbpS/pub/3aRdSog0vUtuqPE8AJKD.png" TargetMode="External"/><Relationship Id="rId841" Type="http://schemas.openxmlformats.org/officeDocument/2006/relationships/hyperlink" Target="https://storage.googleapis.com/glide-prod.appspot.com/uploads-v2/ly7o78grxPaC6KdgvbpS/pub/3aRdSog0vUtuqPE8AJKD.png" TargetMode="External"/><Relationship Id="rId1264" Type="http://schemas.openxmlformats.org/officeDocument/2006/relationships/hyperlink" Target="https://storage.googleapis.com/glide-prod.appspot.com/uploads-v2/ly7o78grxPaC6KdgvbpS/pub/3aRdSog0vUtuqPE8AJKD.png" TargetMode="External"/><Relationship Id="rId1471" Type="http://schemas.openxmlformats.org/officeDocument/2006/relationships/hyperlink" Target="https://storage.googleapis.com/glide-prod.appspot.com/uploads-v2/ly7o78grxPaC6KdgvbpS/pub/3aRdSog0vUtuqPE8AJKD.png" TargetMode="External"/><Relationship Id="rId1569" Type="http://schemas.openxmlformats.org/officeDocument/2006/relationships/hyperlink" Target="https://storage.googleapis.com/glide-prod.appspot.com/uploads-v2/ly7o78grxPaC6KdgvbpS/pub/3aRdSog0vUtuqPE8AJKD.png" TargetMode="External"/><Relationship Id="rId701" Type="http://schemas.openxmlformats.org/officeDocument/2006/relationships/hyperlink" Target="https://storage.googleapis.com/glide-prod.appspot.com/uploads-v2/ly7o78grxPaC6KdgvbpS/pub/3aRdSog0vUtuqPE8AJKD.png" TargetMode="External"/><Relationship Id="rId939" Type="http://schemas.openxmlformats.org/officeDocument/2006/relationships/hyperlink" Target="https://storage.googleapis.com/glide-prod.appspot.com/uploads-v2/ly7o78grxPaC6KdgvbpS/pub/3aRdSog0vUtuqPE8AJKD.png" TargetMode="External"/><Relationship Id="rId1124" Type="http://schemas.openxmlformats.org/officeDocument/2006/relationships/hyperlink" Target="https://storage.googleapis.com/glide-prod.appspot.com/uploads-v2/ly7o78grxPaC6KdgvbpS/pub/3aRdSog0vUtuqPE8AJKD.png" TargetMode="External"/><Relationship Id="rId1331" Type="http://schemas.openxmlformats.org/officeDocument/2006/relationships/hyperlink" Target="https://storage.googleapis.com/glide-prod.appspot.com/uploads-v2/ly7o78grxPaC6KdgvbpS/pub/3aRdSog0vUtuqPE8AJKD.png" TargetMode="External"/><Relationship Id="rId68" Type="http://schemas.openxmlformats.org/officeDocument/2006/relationships/hyperlink" Target="https://storage.googleapis.com/glide-prod.appspot.com/uploads-v2/ly7o78grxPaC6KdgvbpS/pub/3aRdSog0vUtuqPE8AJKD.png" TargetMode="External"/><Relationship Id="rId1429" Type="http://schemas.openxmlformats.org/officeDocument/2006/relationships/hyperlink" Target="https://storage.googleapis.com/glide-prod.appspot.com/uploads-v2/ly7o78grxPaC6KdgvbpS/pub/UliJWgpEaBovaFmXi6OW.png" TargetMode="External"/><Relationship Id="rId284" Type="http://schemas.openxmlformats.org/officeDocument/2006/relationships/hyperlink" Target="https://storage.googleapis.com/glide-prod.appspot.com/uploads-v2/ly7o78grxPaC6KdgvbpS/pub/3aRdSog0vUtuqPE8AJKD.png" TargetMode="External"/><Relationship Id="rId491" Type="http://schemas.openxmlformats.org/officeDocument/2006/relationships/hyperlink" Target="https://storage.googleapis.com/glide-prod.appspot.com/uploads-v2/ly7o78grxPaC6KdgvbpS/pub/3aRdSog0vUtuqPE8AJKD.png" TargetMode="External"/><Relationship Id="rId144" Type="http://schemas.openxmlformats.org/officeDocument/2006/relationships/hyperlink" Target="https://storage.googleapis.com/glide-prod.appspot.com/uploads-v2/ly7o78grxPaC6KdgvbpS/pub/3aRdSog0vUtuqPE8AJKD.png" TargetMode="External"/><Relationship Id="rId589" Type="http://schemas.openxmlformats.org/officeDocument/2006/relationships/hyperlink" Target="https://storage.googleapis.com/glide-prod.appspot.com/uploads-v2/ly7o78grxPaC6KdgvbpS/pub/3aRdSog0vUtuqPE8AJKD.png" TargetMode="External"/><Relationship Id="rId796" Type="http://schemas.openxmlformats.org/officeDocument/2006/relationships/hyperlink" Target="https://storage.googleapis.com/glide-prod.appspot.com/uploads-v2/ly7o78grxPaC6KdgvbpS/pub/3aRdSog0vUtuqPE8AJKD.png" TargetMode="External"/><Relationship Id="rId351" Type="http://schemas.openxmlformats.org/officeDocument/2006/relationships/hyperlink" Target="https://storage.googleapis.com/glide-prod.appspot.com/uploads-v2/ly7o78grxPaC6KdgvbpS/pub/3aRdSog0vUtuqPE8AJKD.png" TargetMode="External"/><Relationship Id="rId449" Type="http://schemas.openxmlformats.org/officeDocument/2006/relationships/hyperlink" Target="https://storage.googleapis.com/glide-prod.appspot.com/uploads-v2/ly7o78grxPaC6KdgvbpS/pub/MGJsigRUNGdYqIKpkOPe.jpg" TargetMode="External"/><Relationship Id="rId656" Type="http://schemas.openxmlformats.org/officeDocument/2006/relationships/hyperlink" Target="https://storage.googleapis.com/glide-prod.appspot.com/uploads-v2/ly7o78grxPaC6KdgvbpS/pub/3aRdSog0vUtuqPE8AJKD.png" TargetMode="External"/><Relationship Id="rId863" Type="http://schemas.openxmlformats.org/officeDocument/2006/relationships/hyperlink" Target="https://storage.googleapis.com/glide-prod.appspot.com/uploads-v2/ly7o78grxPaC6KdgvbpS/pub/3aRdSog0vUtuqPE8AJKD.png" TargetMode="External"/><Relationship Id="rId1079" Type="http://schemas.openxmlformats.org/officeDocument/2006/relationships/hyperlink" Target="https://storage.googleapis.com/glide-prod.appspot.com/uploads-v2/ly7o78grxPaC6KdgvbpS/pub/3aRdSog0vUtuqPE8AJKD.png" TargetMode="External"/><Relationship Id="rId1286" Type="http://schemas.openxmlformats.org/officeDocument/2006/relationships/hyperlink" Target="https://storage.googleapis.com/glide-prod.appspot.com/uploads-v2/ly7o78grxPaC6KdgvbpS/pub/3aRdSog0vUtuqPE8AJKD.png" TargetMode="External"/><Relationship Id="rId1493" Type="http://schemas.openxmlformats.org/officeDocument/2006/relationships/hyperlink" Target="https://storage.googleapis.com/glide-prod.appspot.com/uploads-v2/ly7o78grxPaC6KdgvbpS/pub/3aRdSog0vUtuqPE8AJKD.png" TargetMode="External"/><Relationship Id="rId211" Type="http://schemas.openxmlformats.org/officeDocument/2006/relationships/hyperlink" Target="https://storage.googleapis.com/glide-prod.appspot.com/uploads-v2/ly7o78grxPaC6KdgvbpS/pub/3aRdSog0vUtuqPE8AJKD.png" TargetMode="External"/><Relationship Id="rId309" Type="http://schemas.openxmlformats.org/officeDocument/2006/relationships/hyperlink" Target="https://storage.googleapis.com/glide-prod.appspot.com/uploads-v2/ly7o78grxPaC6KdgvbpS/pub/3aRdSog0vUtuqPE8AJKD.png" TargetMode="External"/><Relationship Id="rId516" Type="http://schemas.openxmlformats.org/officeDocument/2006/relationships/hyperlink" Target="https://storage.googleapis.com/glide-prod.appspot.com/uploads-v2/ly7o78grxPaC6KdgvbpS/pub/o6j5IKYC3hSLq3bNgbix.jpeg" TargetMode="External"/><Relationship Id="rId1146" Type="http://schemas.openxmlformats.org/officeDocument/2006/relationships/hyperlink" Target="https://storage.googleapis.com/glide-prod.appspot.com/uploads-v2/ly7o78grxPaC6KdgvbpS/pub/3aRdSog0vUtuqPE8AJKD.png" TargetMode="External"/><Relationship Id="rId723" Type="http://schemas.openxmlformats.org/officeDocument/2006/relationships/hyperlink" Target="https://storage.googleapis.com/glide-prod.appspot.com/uploads-v2/ly7o78grxPaC6KdgvbpS/pub/3aRdSog0vUtuqPE8AJKD.png" TargetMode="External"/><Relationship Id="rId930" Type="http://schemas.openxmlformats.org/officeDocument/2006/relationships/hyperlink" Target="https://storage.googleapis.com/glide-prod.appspot.com/uploads-v2/ly7o78grxPaC6KdgvbpS/pub/3aRdSog0vUtuqPE8AJKD.png" TargetMode="External"/><Relationship Id="rId1006" Type="http://schemas.openxmlformats.org/officeDocument/2006/relationships/hyperlink" Target="https://storage.googleapis.com/glide-prod.appspot.com/uploads-v2/ly7o78grxPaC6KdgvbpS/pub/3aRdSog0vUtuqPE8AJKD.png" TargetMode="External"/><Relationship Id="rId1353" Type="http://schemas.openxmlformats.org/officeDocument/2006/relationships/hyperlink" Target="https://storage.googleapis.com/glide-prod.appspot.com/uploads-v2/ly7o78grxPaC6KdgvbpS/pub/3aRdSog0vUtuqPE8AJKD.png" TargetMode="External"/><Relationship Id="rId1560" Type="http://schemas.openxmlformats.org/officeDocument/2006/relationships/hyperlink" Target="https://storage.googleapis.com/glide-prod.appspot.com/uploads-v2/ly7o78grxPaC6KdgvbpS/pub/yvtCGRAPIbS0tVLIlehH.png" TargetMode="External"/><Relationship Id="rId1213" Type="http://schemas.openxmlformats.org/officeDocument/2006/relationships/hyperlink" Target="https://storage.googleapis.com/glide-prod.appspot.com/uploads-v2/ly7o78grxPaC6KdgvbpS/pub/3aRdSog0vUtuqPE8AJKD.png" TargetMode="External"/><Relationship Id="rId1420" Type="http://schemas.openxmlformats.org/officeDocument/2006/relationships/hyperlink" Target="https://storage.googleapis.com/glide-prod.appspot.com/uploads-v2/ly7o78grxPaC6KdgvbpS/pub/3aRdSog0vUtuqPE8AJKD.png" TargetMode="External"/><Relationship Id="rId1518" Type="http://schemas.openxmlformats.org/officeDocument/2006/relationships/hyperlink" Target="https://storage.googleapis.com/glide-prod.appspot.com/uploads-v2/ly7o78grxPaC6KdgvbpS/pub/3aRdSog0vUtuqPE8AJKD.png" TargetMode="External"/><Relationship Id="rId17" Type="http://schemas.openxmlformats.org/officeDocument/2006/relationships/hyperlink" Target="https://storage.googleapis.com/glide-prod.appspot.com/uploads-v2/ly7o78grxPaC6KdgvbpS/pub/3aRdSog0vUtuqPE8AJKD.png" TargetMode="External"/><Relationship Id="rId166" Type="http://schemas.openxmlformats.org/officeDocument/2006/relationships/hyperlink" Target="https://storage.googleapis.com/glide-prod.appspot.com/uploads-v2/ly7o78grxPaC6KdgvbpS/pub/3aRdSog0vUtuqPE8AJKD.png" TargetMode="External"/><Relationship Id="rId373" Type="http://schemas.openxmlformats.org/officeDocument/2006/relationships/hyperlink" Target="https://storage.googleapis.com/glide-prod.appspot.com/uploads-v2/ly7o78grxPaC6KdgvbpS/pub/3aRdSog0vUtuqPE8AJKD.png" TargetMode="External"/><Relationship Id="rId580" Type="http://schemas.openxmlformats.org/officeDocument/2006/relationships/hyperlink" Target="https://storage.googleapis.com/glide-prod.appspot.com/uploads-v2/ly7o78grxPaC6KdgvbpS/pub/3aRdSog0vUtuqPE8AJKD.png" TargetMode="External"/><Relationship Id="rId1" Type="http://schemas.openxmlformats.org/officeDocument/2006/relationships/hyperlink" Target="https://storage.googleapis.com/glide-prod.appspot.com/uploads-v2/ly7o78grxPaC6KdgvbpS/pub/3aRdSog0vUtuqPE8AJKD.png" TargetMode="External"/><Relationship Id="rId233" Type="http://schemas.openxmlformats.org/officeDocument/2006/relationships/hyperlink" Target="https://storage.googleapis.com/glide-prod.appspot.com/uploads-v2/ly7o78grxPaC6KdgvbpS/pub/3aRdSog0vUtuqPE8AJKD.png" TargetMode="External"/><Relationship Id="rId440" Type="http://schemas.openxmlformats.org/officeDocument/2006/relationships/hyperlink" Target="https://storage.googleapis.com/glide-prod.appspot.com/uploads-v2/ly7o78grxPaC6KdgvbpS/pub/3aRdSog0vUtuqPE8AJKD.png" TargetMode="External"/><Relationship Id="rId678" Type="http://schemas.openxmlformats.org/officeDocument/2006/relationships/hyperlink" Target="https://storage.googleapis.com/glide-prod.appspot.com/uploads-v2/ly7o78grxPaC6KdgvbpS/pub/3aRdSog0vUtuqPE8AJKD.png" TargetMode="External"/><Relationship Id="rId885" Type="http://schemas.openxmlformats.org/officeDocument/2006/relationships/hyperlink" Target="https://storage.googleapis.com/glide-prod.appspot.com/uploads-v2/ly7o78grxPaC6KdgvbpS/pub/3aRdSog0vUtuqPE8AJKD.png" TargetMode="External"/><Relationship Id="rId1070" Type="http://schemas.openxmlformats.org/officeDocument/2006/relationships/hyperlink" Target="https://storage.googleapis.com/glide-prod.appspot.com/uploads-v2/ly7o78grxPaC6KdgvbpS/pub/3aRdSog0vUtuqPE8AJKD.png" TargetMode="External"/><Relationship Id="rId300" Type="http://schemas.openxmlformats.org/officeDocument/2006/relationships/hyperlink" Target="https://storage.googleapis.com/glide-prod.appspot.com/uploads-v2/ly7o78grxPaC6KdgvbpS/pub/3aRdSog0vUtuqPE8AJKD.png" TargetMode="External"/><Relationship Id="rId538" Type="http://schemas.openxmlformats.org/officeDocument/2006/relationships/hyperlink" Target="https://storage.googleapis.com/glide-prod.appspot.com/uploads-v2/ly7o78grxPaC6KdgvbpS/pub/3aRdSog0vUtuqPE8AJKD.png" TargetMode="External"/><Relationship Id="rId745" Type="http://schemas.openxmlformats.org/officeDocument/2006/relationships/hyperlink" Target="https://storage.googleapis.com/glide-prod.appspot.com/uploads-v2/ly7o78grxPaC6KdgvbpS/pub/3aRdSog0vUtuqPE8AJKD.png" TargetMode="External"/><Relationship Id="rId952" Type="http://schemas.openxmlformats.org/officeDocument/2006/relationships/hyperlink" Target="https://storage.googleapis.com/glide-prod.appspot.com/uploads-v2/ly7o78grxPaC6KdgvbpS/pub/3aRdSog0vUtuqPE8AJKD.png" TargetMode="External"/><Relationship Id="rId1168" Type="http://schemas.openxmlformats.org/officeDocument/2006/relationships/hyperlink" Target="https://storage.googleapis.com/glide-prod.appspot.com/uploads-v2/ly7o78grxPaC6KdgvbpS/pub/3aRdSog0vUtuqPE8AJKD.png" TargetMode="External"/><Relationship Id="rId1375" Type="http://schemas.openxmlformats.org/officeDocument/2006/relationships/hyperlink" Target="https://storage.googleapis.com/glide-prod.appspot.com/uploads-v2/ly7o78grxPaC6KdgvbpS/pub/3aRdSog0vUtuqPE8AJKD.png" TargetMode="External"/><Relationship Id="rId1582" Type="http://schemas.openxmlformats.org/officeDocument/2006/relationships/hyperlink" Target="https://storage.googleapis.com/glide-prod.appspot.com/uploads-v2/ly7o78grxPaC6KdgvbpS/pub/3aRdSog0vUtuqPE8AJKD.png" TargetMode="External"/><Relationship Id="rId81" Type="http://schemas.openxmlformats.org/officeDocument/2006/relationships/hyperlink" Target="https://storage.googleapis.com/glide-prod.appspot.com/uploads-v2/ly7o78grxPaC6KdgvbpS/pub/3aRdSog0vUtuqPE8AJKD.png" TargetMode="External"/><Relationship Id="rId605" Type="http://schemas.openxmlformats.org/officeDocument/2006/relationships/hyperlink" Target="https://storage.googleapis.com/glide-prod.appspot.com/uploads-v2/ly7o78grxPaC6KdgvbpS/pub/3aRdSog0vUtuqPE8AJKD.png" TargetMode="External"/><Relationship Id="rId812" Type="http://schemas.openxmlformats.org/officeDocument/2006/relationships/hyperlink" Target="https://storage.googleapis.com/glide-prod.appspot.com/uploads-v2/ly7o78grxPaC6KdgvbpS/pub/3aRdSog0vUtuqPE8AJKD.png" TargetMode="External"/><Relationship Id="rId1028" Type="http://schemas.openxmlformats.org/officeDocument/2006/relationships/hyperlink" Target="https://storage.googleapis.com/glide-prod.appspot.com/uploads-v2/ly7o78grxPaC6KdgvbpS/pub/3aRdSog0vUtuqPE8AJKD.png" TargetMode="External"/><Relationship Id="rId1235" Type="http://schemas.openxmlformats.org/officeDocument/2006/relationships/hyperlink" Target="https://storage.googleapis.com/glide-prod.appspot.com/uploads-v2/ly7o78grxPaC6KdgvbpS/pub/3aRdSog0vUtuqPE8AJKD.png" TargetMode="External"/><Relationship Id="rId1442" Type="http://schemas.openxmlformats.org/officeDocument/2006/relationships/hyperlink" Target="https://storage.googleapis.com/glide-prod.appspot.com/uploads-v2/ly7o78grxPaC6KdgvbpS/pub/3aRdSog0vUtuqPE8AJKD.png" TargetMode="External"/><Relationship Id="rId1302" Type="http://schemas.openxmlformats.org/officeDocument/2006/relationships/hyperlink" Target="https://storage.googleapis.com/glide-prod.appspot.com/uploads-v2/ly7o78grxPaC6KdgvbpS/pub/3aRdSog0vUtuqPE8AJKD.png" TargetMode="External"/><Relationship Id="rId39" Type="http://schemas.openxmlformats.org/officeDocument/2006/relationships/hyperlink" Target="https://storage.googleapis.com/glide-prod.appspot.com/uploads-v2/ly7o78grxPaC6KdgvbpS/pub/UmrWDAkBBA0SgOiexm8b.jpg" TargetMode="External"/><Relationship Id="rId1607" Type="http://schemas.openxmlformats.org/officeDocument/2006/relationships/hyperlink" Target="https://storage.googleapis.com/glide-prod.appspot.com/uploads-v2/ly7o78grxPaC6KdgvbpS/pub/3aRdSog0vUtuqPE8AJKD.png" TargetMode="External"/><Relationship Id="rId188" Type="http://schemas.openxmlformats.org/officeDocument/2006/relationships/hyperlink" Target="https://storage.googleapis.com/glide-prod.appspot.com/uploads-v2/ly7o78grxPaC6KdgvbpS/pub/3aRdSog0vUtuqPE8AJKD.png" TargetMode="External"/><Relationship Id="rId395" Type="http://schemas.openxmlformats.org/officeDocument/2006/relationships/hyperlink" Target="https://storage.googleapis.com/glide-prod.appspot.com/uploads-v2/ly7o78grxPaC6KdgvbpS/pub/3aRdSog0vUtuqPE8AJKD.png" TargetMode="External"/><Relationship Id="rId255" Type="http://schemas.openxmlformats.org/officeDocument/2006/relationships/hyperlink" Target="https://storage.googleapis.com/glide-prod.appspot.com/uploads-v2/ly7o78grxPaC6KdgvbpS/pub/3aRdSog0vUtuqPE8AJKD.png" TargetMode="External"/><Relationship Id="rId462" Type="http://schemas.openxmlformats.org/officeDocument/2006/relationships/hyperlink" Target="https://storage.googleapis.com/glide-prod.appspot.com/uploads-v2/ly7o78grxPaC6KdgvbpS/pub/3aRdSog0vUtuqPE8AJKD.png" TargetMode="External"/><Relationship Id="rId1092" Type="http://schemas.openxmlformats.org/officeDocument/2006/relationships/hyperlink" Target="https://storage.googleapis.com/glide-prod.appspot.com/uploads-v2/ly7o78grxPaC6KdgvbpS/pub/3aRdSog0vUtuqPE8AJKD.png" TargetMode="External"/><Relationship Id="rId1397" Type="http://schemas.openxmlformats.org/officeDocument/2006/relationships/hyperlink" Target="https://storage.googleapis.com/glide-prod.appspot.com/uploads-v2/ly7o78grxPaC6KdgvbpS/pub/3aRdSog0vUtuqPE8AJKD.png" TargetMode="External"/><Relationship Id="rId115" Type="http://schemas.openxmlformats.org/officeDocument/2006/relationships/hyperlink" Target="https://storage.googleapis.com/glide-prod.appspot.com/uploads-v2/ly7o78grxPaC6KdgvbpS/pub/3aRdSog0vUtuqPE8AJKD.png" TargetMode="External"/><Relationship Id="rId322" Type="http://schemas.openxmlformats.org/officeDocument/2006/relationships/hyperlink" Target="https://storage.googleapis.com/glide-prod.appspot.com/uploads-v2/ly7o78grxPaC6KdgvbpS/pub/3aRdSog0vUtuqPE8AJKD.png" TargetMode="External"/><Relationship Id="rId767" Type="http://schemas.openxmlformats.org/officeDocument/2006/relationships/hyperlink" Target="https://storage.googleapis.com/glide-prod.appspot.com/uploads-v2/ly7o78grxPaC6KdgvbpS/pub/3aRdSog0vUtuqPE8AJKD.png" TargetMode="External"/><Relationship Id="rId974" Type="http://schemas.openxmlformats.org/officeDocument/2006/relationships/hyperlink" Target="https://storage.googleapis.com/glide-prod.appspot.com/uploads-v2/ly7o78grxPaC6KdgvbpS/pub/3aRdSog0vUtuqPE8AJKD.png" TargetMode="External"/><Relationship Id="rId627" Type="http://schemas.openxmlformats.org/officeDocument/2006/relationships/hyperlink" Target="https://storage.googleapis.com/glide-prod.appspot.com/uploads-v2/ly7o78grxPaC6KdgvbpS/pub/3aRdSog0vUtuqPE8AJKD.png" TargetMode="External"/><Relationship Id="rId834" Type="http://schemas.openxmlformats.org/officeDocument/2006/relationships/hyperlink" Target="https://storage.googleapis.com/glide-prod.appspot.com/uploads-v2/ly7o78grxPaC6KdgvbpS/pub/3aRdSog0vUtuqPE8AJKD.png" TargetMode="External"/><Relationship Id="rId1257" Type="http://schemas.openxmlformats.org/officeDocument/2006/relationships/hyperlink" Target="https://storage.googleapis.com/glide-prod.appspot.com/uploads-v2/ly7o78grxPaC6KdgvbpS/pub/UliJWgpEaBovaFmXi6OW.png" TargetMode="External"/><Relationship Id="rId1464" Type="http://schemas.openxmlformats.org/officeDocument/2006/relationships/hyperlink" Target="https://storage.googleapis.com/glide-prod.appspot.com/uploads-v2/ly7o78grxPaC6KdgvbpS/pub/3aRdSog0vUtuqPE8AJKD.png" TargetMode="External"/><Relationship Id="rId901" Type="http://schemas.openxmlformats.org/officeDocument/2006/relationships/hyperlink" Target="https://storage.googleapis.com/glide-prod.appspot.com/uploads-v2/ly7o78grxPaC6KdgvbpS/pub/3aRdSog0vUtuqPE8AJKD.png" TargetMode="External"/><Relationship Id="rId1117" Type="http://schemas.openxmlformats.org/officeDocument/2006/relationships/hyperlink" Target="https://storage.googleapis.com/glide-prod.appspot.com/uploads-v2/ly7o78grxPaC6KdgvbpS/pub/3aRdSog0vUtuqPE8AJKD.png" TargetMode="External"/><Relationship Id="rId1324" Type="http://schemas.openxmlformats.org/officeDocument/2006/relationships/hyperlink" Target="https://storage.googleapis.com/glide-prod.appspot.com/uploads-v2/ly7o78grxPaC6KdgvbpS/pub/3aRdSog0vUtuqPE8AJKD.png" TargetMode="External"/><Relationship Id="rId1531" Type="http://schemas.openxmlformats.org/officeDocument/2006/relationships/hyperlink" Target="https://storage.googleapis.com/glide-prod.appspot.com/uploads-v2/ly7o78grxPaC6KdgvbpS/pub/3aRdSog0vUtuqPE8AJKD.png" TargetMode="External"/><Relationship Id="rId30" Type="http://schemas.openxmlformats.org/officeDocument/2006/relationships/hyperlink" Target="https://storage.googleapis.com/glide-prod.appspot.com/uploads-v2/ly7o78grxPaC6KdgvbpS/pub/3aRdSog0vUtuqPE8AJKD.png" TargetMode="External"/><Relationship Id="rId277" Type="http://schemas.openxmlformats.org/officeDocument/2006/relationships/hyperlink" Target="https://storage.googleapis.com/glide-prod.appspot.com/uploads-v2/ly7o78grxPaC6KdgvbpS/pub/3aRdSog0vUtuqPE8AJKD.png" TargetMode="External"/><Relationship Id="rId484" Type="http://schemas.openxmlformats.org/officeDocument/2006/relationships/hyperlink" Target="https://storage.googleapis.com/glide-prod.appspot.com/uploads-v2/ly7o78grxPaC6KdgvbpS/pub/3aRdSog0vUtuqPE8AJKD.png" TargetMode="External"/><Relationship Id="rId137" Type="http://schemas.openxmlformats.org/officeDocument/2006/relationships/hyperlink" Target="https://storage.googleapis.com/glide-prod.appspot.com/uploads-v2/ly7o78grxPaC6KdgvbpS/pub/3aRdSog0vUtuqPE8AJKD.png" TargetMode="External"/><Relationship Id="rId344" Type="http://schemas.openxmlformats.org/officeDocument/2006/relationships/hyperlink" Target="https://storage.googleapis.com/glide-prod.appspot.com/uploads-v2/ly7o78grxPaC6KdgvbpS/pub/3aRdSog0vUtuqPE8AJKD.png" TargetMode="External"/><Relationship Id="rId691" Type="http://schemas.openxmlformats.org/officeDocument/2006/relationships/hyperlink" Target="https://storage.googleapis.com/glide-prod.appspot.com/uploads-v2/ly7o78grxPaC6KdgvbpS/pub/3aRdSog0vUtuqPE8AJKD.png" TargetMode="External"/><Relationship Id="rId789" Type="http://schemas.openxmlformats.org/officeDocument/2006/relationships/hyperlink" Target="https://storage.googleapis.com/glide-prod.appspot.com/uploads-v2/ly7o78grxPaC6KdgvbpS/pub/3aRdSog0vUtuqPE8AJKD.png" TargetMode="External"/><Relationship Id="rId996" Type="http://schemas.openxmlformats.org/officeDocument/2006/relationships/hyperlink" Target="https://storage.googleapis.com/glide-prod.appspot.com/uploads-v2/ly7o78grxPaC6KdgvbpS/pub/3aRdSog0vUtuqPE8AJKD.png" TargetMode="External"/><Relationship Id="rId551" Type="http://schemas.openxmlformats.org/officeDocument/2006/relationships/hyperlink" Target="https://storage.googleapis.com/glide-prod.appspot.com/uploads-v2/ly7o78grxPaC6KdgvbpS/pub/yvtCGRAPIbS0tVLIlehH.png" TargetMode="External"/><Relationship Id="rId649" Type="http://schemas.openxmlformats.org/officeDocument/2006/relationships/hyperlink" Target="https://storage.googleapis.com/glide-prod.appspot.com/uploads-v2/ly7o78grxPaC6KdgvbpS/pub/3aRdSog0vUtuqPE8AJKD.png" TargetMode="External"/><Relationship Id="rId856" Type="http://schemas.openxmlformats.org/officeDocument/2006/relationships/hyperlink" Target="https://storage.googleapis.com/glide-prod.appspot.com/uploads-v2/ly7o78grxPaC6KdgvbpS/pub/3aRdSog0vUtuqPE8AJKD.png" TargetMode="External"/><Relationship Id="rId1181" Type="http://schemas.openxmlformats.org/officeDocument/2006/relationships/hyperlink" Target="https://storage.googleapis.com/glide-prod.appspot.com/uploads-v2/ly7o78grxPaC6KdgvbpS/pub/3aRdSog0vUtuqPE8AJKD.png" TargetMode="External"/><Relationship Id="rId1279" Type="http://schemas.openxmlformats.org/officeDocument/2006/relationships/hyperlink" Target="https://storage.googleapis.com/glide-prod.appspot.com/uploads-v2/ly7o78grxPaC6KdgvbpS/pub/3aRdSog0vUtuqPE8AJKD.png" TargetMode="External"/><Relationship Id="rId1486" Type="http://schemas.openxmlformats.org/officeDocument/2006/relationships/hyperlink" Target="https://storage.googleapis.com/glide-prod.appspot.com/uploads-v2/ly7o78grxPaC6KdgvbpS/pub/BcgCzlSqYd3Erqp37MnU.jpg" TargetMode="External"/><Relationship Id="rId204" Type="http://schemas.openxmlformats.org/officeDocument/2006/relationships/hyperlink" Target="https://storage.googleapis.com/glide-prod.appspot.com/uploads-v2/ly7o78grxPaC6KdgvbpS/pub/3aRdSog0vUtuqPE8AJKD.png" TargetMode="External"/><Relationship Id="rId411" Type="http://schemas.openxmlformats.org/officeDocument/2006/relationships/hyperlink" Target="https://storage.googleapis.com/glide-prod.appspot.com/uploads-v2/ly7o78grxPaC6KdgvbpS/pub/3aRdSog0vUtuqPE8AJKD.png" TargetMode="External"/><Relationship Id="rId509" Type="http://schemas.openxmlformats.org/officeDocument/2006/relationships/hyperlink" Target="https://storage.googleapis.com/glide-prod.appspot.com/uploads-v2/ly7o78grxPaC6KdgvbpS/pub/3aRdSog0vUtuqPE8AJKD.png" TargetMode="External"/><Relationship Id="rId1041" Type="http://schemas.openxmlformats.org/officeDocument/2006/relationships/hyperlink" Target="https://storage.googleapis.com/glide-prod.appspot.com/uploads-v2/ly7o78grxPaC6KdgvbpS/pub/3aRdSog0vUtuqPE8AJKD.png" TargetMode="External"/><Relationship Id="rId1139" Type="http://schemas.openxmlformats.org/officeDocument/2006/relationships/hyperlink" Target="https://storage.googleapis.com/glide-prod.appspot.com/uploads-v2/ly7o78grxPaC6KdgvbpS/pub/3aRdSog0vUtuqPE8AJKD.png" TargetMode="External"/><Relationship Id="rId1346" Type="http://schemas.openxmlformats.org/officeDocument/2006/relationships/hyperlink" Target="https://storage.googleapis.com/glide-prod.appspot.com/uploads-v2/ly7o78grxPaC6KdgvbpS/pub/3aRdSog0vUtuqPE8AJKD.png" TargetMode="External"/><Relationship Id="rId716" Type="http://schemas.openxmlformats.org/officeDocument/2006/relationships/hyperlink" Target="https://storage.googleapis.com/glide-prod.appspot.com/uploads-v2/ly7o78grxPaC6KdgvbpS/pub/3aRdSog0vUtuqPE8AJKD.png" TargetMode="External"/><Relationship Id="rId923" Type="http://schemas.openxmlformats.org/officeDocument/2006/relationships/hyperlink" Target="https://storage.googleapis.com/glide-prod.appspot.com/uploads-v2/ly7o78grxPaC6KdgvbpS/pub/3aRdSog0vUtuqPE8AJKD.png" TargetMode="External"/><Relationship Id="rId1553" Type="http://schemas.openxmlformats.org/officeDocument/2006/relationships/hyperlink" Target="https://storage.googleapis.com/glide-prod.appspot.com/uploads-v2/ly7o78grxPaC6KdgvbpS/pub/3aRdSog0vUtuqPE8AJKD.png" TargetMode="External"/><Relationship Id="rId52" Type="http://schemas.openxmlformats.org/officeDocument/2006/relationships/hyperlink" Target="https://storage.googleapis.com/glide-prod.appspot.com/uploads-v2/ly7o78grxPaC6KdgvbpS/pub/3aRdSog0vUtuqPE8AJKD.png" TargetMode="External"/><Relationship Id="rId1206" Type="http://schemas.openxmlformats.org/officeDocument/2006/relationships/hyperlink" Target="https://storage.googleapis.com/glide-prod.appspot.com/uploads-v2/ly7o78grxPaC6KdgvbpS/pub/3aRdSog0vUtuqPE8AJKD.png" TargetMode="External"/><Relationship Id="rId1413" Type="http://schemas.openxmlformats.org/officeDocument/2006/relationships/hyperlink" Target="https://storage.googleapis.com/glide-prod.appspot.com/uploads-v2/ly7o78grxPaC6KdgvbpS/pub/3aRdSog0vUtuqPE8AJKD.png" TargetMode="External"/><Relationship Id="rId299" Type="http://schemas.openxmlformats.org/officeDocument/2006/relationships/hyperlink" Target="https://storage.googleapis.com/glide-prod.appspot.com/uploads-v2/ly7o78grxPaC6KdgvbpS/pub/3aRdSog0vUtuqPE8AJKD.png" TargetMode="External"/><Relationship Id="rId159" Type="http://schemas.openxmlformats.org/officeDocument/2006/relationships/hyperlink" Target="https://storage.googleapis.com/glide-prod.appspot.com/uploads-v2/ly7o78grxPaC6KdgvbpS/pub/3aRdSog0vUtuqPE8AJKD.png" TargetMode="External"/><Relationship Id="rId366" Type="http://schemas.openxmlformats.org/officeDocument/2006/relationships/hyperlink" Target="https://storage.googleapis.com/glide-prod.appspot.com/uploads-v2/ly7o78grxPaC6KdgvbpS/pub/3aRdSog0vUtuqPE8AJKD.png" TargetMode="External"/><Relationship Id="rId573" Type="http://schemas.openxmlformats.org/officeDocument/2006/relationships/hyperlink" Target="https://storage.googleapis.com/glide-prod.appspot.com/uploads-v2/ly7o78grxPaC6KdgvbpS/pub/3aRdSog0vUtuqPE8AJKD.png" TargetMode="External"/><Relationship Id="rId780" Type="http://schemas.openxmlformats.org/officeDocument/2006/relationships/hyperlink" Target="https://storage.googleapis.com/glide-prod.appspot.com/uploads-v2/ly7o78grxPaC6KdgvbpS/pub/3aRdSog0vUtuqPE8AJKD.png" TargetMode="External"/><Relationship Id="rId226" Type="http://schemas.openxmlformats.org/officeDocument/2006/relationships/hyperlink" Target="https://storage.googleapis.com/glide-prod.appspot.com/uploads-v2/ly7o78grxPaC6KdgvbpS/pub/3aRdSog0vUtuqPE8AJKD.png" TargetMode="External"/><Relationship Id="rId433" Type="http://schemas.openxmlformats.org/officeDocument/2006/relationships/hyperlink" Target="https://storage.googleapis.com/glide-prod.appspot.com/uploads-v2/ly7o78grxPaC6KdgvbpS/pub/3aRdSog0vUtuqPE8AJKD.png" TargetMode="External"/><Relationship Id="rId878" Type="http://schemas.openxmlformats.org/officeDocument/2006/relationships/hyperlink" Target="https://storage.googleapis.com/glide-prod.appspot.com/uploads-v2/ly7o78grxPaC6KdgvbpS/pub/3aRdSog0vUtuqPE8AJKD.png" TargetMode="External"/><Relationship Id="rId1063" Type="http://schemas.openxmlformats.org/officeDocument/2006/relationships/hyperlink" Target="https://storage.googleapis.com/glide-prod.appspot.com/uploads-v2/ly7o78grxPaC6KdgvbpS/pub/3aRdSog0vUtuqPE8AJKD.png" TargetMode="External"/><Relationship Id="rId1270" Type="http://schemas.openxmlformats.org/officeDocument/2006/relationships/hyperlink" Target="https://storage.googleapis.com/glide-prod.appspot.com/uploads-v2/ly7o78grxPaC6KdgvbpS/pub/3aRdSog0vUtuqPE8AJKD.png" TargetMode="External"/><Relationship Id="rId640" Type="http://schemas.openxmlformats.org/officeDocument/2006/relationships/hyperlink" Target="https://storage.googleapis.com/glide-prod.appspot.com/uploads-v2/ly7o78grxPaC6KdgvbpS/pub/3aRdSog0vUtuqPE8AJKD.png" TargetMode="External"/><Relationship Id="rId738" Type="http://schemas.openxmlformats.org/officeDocument/2006/relationships/hyperlink" Target="https://storage.googleapis.com/glide-prod.appspot.com/uploads-v2/ly7o78grxPaC6KdgvbpS/pub/3aRdSog0vUtuqPE8AJKD.png" TargetMode="External"/><Relationship Id="rId945" Type="http://schemas.openxmlformats.org/officeDocument/2006/relationships/hyperlink" Target="https://storage.googleapis.com/glide-prod.appspot.com/uploads-v2/ly7o78grxPaC6KdgvbpS/pub/3aRdSog0vUtuqPE8AJKD.png" TargetMode="External"/><Relationship Id="rId1368" Type="http://schemas.openxmlformats.org/officeDocument/2006/relationships/hyperlink" Target="https://storage.googleapis.com/glide-prod.appspot.com/uploads-v2/ly7o78grxPaC6KdgvbpS/pub/3aRdSog0vUtuqPE8AJKD.png" TargetMode="External"/><Relationship Id="rId1575" Type="http://schemas.openxmlformats.org/officeDocument/2006/relationships/hyperlink" Target="https://storage.googleapis.com/glide-prod.appspot.com/uploads-v2/ly7o78grxPaC6KdgvbpS/pub/3aRdSog0vUtuqPE8AJKD.png" TargetMode="External"/><Relationship Id="rId74" Type="http://schemas.openxmlformats.org/officeDocument/2006/relationships/hyperlink" Target="https://storage.googleapis.com/glide-prod.appspot.com/uploads-v2/ly7o78grxPaC6KdgvbpS/pub/3aRdSog0vUtuqPE8AJKD.png" TargetMode="External"/><Relationship Id="rId500" Type="http://schemas.openxmlformats.org/officeDocument/2006/relationships/hyperlink" Target="https://storage.googleapis.com/glide-prod.appspot.com/uploads-v2/ly7o78grxPaC6KdgvbpS/pub/3aRdSog0vUtuqPE8AJKD.png" TargetMode="External"/><Relationship Id="rId805" Type="http://schemas.openxmlformats.org/officeDocument/2006/relationships/hyperlink" Target="https://storage.googleapis.com/glide-prod.appspot.com/uploads-v2/ly7o78grxPaC6KdgvbpS/pub/3aRdSog0vUtuqPE8AJKD.png" TargetMode="External"/><Relationship Id="rId1130" Type="http://schemas.openxmlformats.org/officeDocument/2006/relationships/hyperlink" Target="https://storage.googleapis.com/glide-prod.appspot.com/uploads-v2/ly7o78grxPaC6KdgvbpS/pub/3aRdSog0vUtuqPE8AJKD.png" TargetMode="External"/><Relationship Id="rId1228" Type="http://schemas.openxmlformats.org/officeDocument/2006/relationships/hyperlink" Target="https://storage.googleapis.com/glide-prod.appspot.com/uploads-v2/ly7o78grxPaC6KdgvbpS/pub/3aRdSog0vUtuqPE8AJKD.png" TargetMode="External"/><Relationship Id="rId1435" Type="http://schemas.openxmlformats.org/officeDocument/2006/relationships/hyperlink" Target="https://storage.googleapis.com/glide-prod.appspot.com/uploads-v2/ly7o78grxPaC6KdgvbpS/pub/UliJWgpEaBovaFmXi6OW.png" TargetMode="External"/><Relationship Id="rId1502" Type="http://schemas.openxmlformats.org/officeDocument/2006/relationships/hyperlink" Target="https://storage.googleapis.com/glide-prod.appspot.com/uploads-v2/ly7o78grxPaC6KdgvbpS/pub/3aRdSog0vUtuqPE8AJKD.png" TargetMode="External"/><Relationship Id="rId290" Type="http://schemas.openxmlformats.org/officeDocument/2006/relationships/hyperlink" Target="https://storage.googleapis.com/glide-prod.appspot.com/uploads-v2/ly7o78grxPaC6KdgvbpS/pub/3aRdSog0vUtuqPE8AJKD.png" TargetMode="External"/><Relationship Id="rId388" Type="http://schemas.openxmlformats.org/officeDocument/2006/relationships/hyperlink" Target="https://storage.googleapis.com/glide-prod.appspot.com/uploads-v2/ly7o78grxPaC6KdgvbpS/pub/3aRdSog0vUtuqPE8AJKD.png" TargetMode="External"/><Relationship Id="rId150" Type="http://schemas.openxmlformats.org/officeDocument/2006/relationships/hyperlink" Target="https://storage.googleapis.com/glide-prod.appspot.com/uploads-v2/ly7o78grxPaC6KdgvbpS/pub/3aRdSog0vUtuqPE8AJKD.png" TargetMode="External"/><Relationship Id="rId595" Type="http://schemas.openxmlformats.org/officeDocument/2006/relationships/hyperlink" Target="https://storage.googleapis.com/glide-prod.appspot.com/uploads-v2/ly7o78grxPaC6KdgvbpS/pub/3aRdSog0vUtuqPE8AJKD.png" TargetMode="External"/><Relationship Id="rId248" Type="http://schemas.openxmlformats.org/officeDocument/2006/relationships/hyperlink" Target="https://storage.googleapis.com/glide-prod.appspot.com/uploads-v2/ly7o78grxPaC6KdgvbpS/pub/3aRdSog0vUtuqPE8AJKD.png" TargetMode="External"/><Relationship Id="rId455" Type="http://schemas.openxmlformats.org/officeDocument/2006/relationships/hyperlink" Target="https://storage.googleapis.com/glide-prod.appspot.com/uploads-v2/ly7o78grxPaC6KdgvbpS/pub/czRt1ZGbNZ4dvS1lQDZa.jpg" TargetMode="External"/><Relationship Id="rId662" Type="http://schemas.openxmlformats.org/officeDocument/2006/relationships/hyperlink" Target="https://storage.googleapis.com/glide-prod.appspot.com/uploads-v2/ly7o78grxPaC6KdgvbpS/pub/3aRdSog0vUtuqPE8AJKD.png" TargetMode="External"/><Relationship Id="rId1085" Type="http://schemas.openxmlformats.org/officeDocument/2006/relationships/hyperlink" Target="https://storage.googleapis.com/glide-prod.appspot.com/uploads-v2/ly7o78grxPaC6KdgvbpS/pub/3aRdSog0vUtuqPE8AJKD.png" TargetMode="External"/><Relationship Id="rId1292" Type="http://schemas.openxmlformats.org/officeDocument/2006/relationships/hyperlink" Target="https://storage.googleapis.com/glide-prod.appspot.com/uploads-v2/ly7o78grxPaC6KdgvbpS/pub/3aRdSog0vUtuqPE8AJKD.png" TargetMode="External"/><Relationship Id="rId108" Type="http://schemas.openxmlformats.org/officeDocument/2006/relationships/hyperlink" Target="https://storage.googleapis.com/glide-prod.appspot.com/uploads-v2/ly7o78grxPaC6KdgvbpS/pub/UkAs7fZfSgDECAgjWaHu.jpg" TargetMode="External"/><Relationship Id="rId315" Type="http://schemas.openxmlformats.org/officeDocument/2006/relationships/hyperlink" Target="https://storage.googleapis.com/glide-prod.appspot.com/uploads-v2/ly7o78grxPaC6KdgvbpS/pub/3aRdSog0vUtuqPE8AJKD.png" TargetMode="External"/><Relationship Id="rId522" Type="http://schemas.openxmlformats.org/officeDocument/2006/relationships/hyperlink" Target="https://storage.googleapis.com/glide-prod.appspot.com/uploads-v2/ly7o78grxPaC6KdgvbpS/pub/3aRdSog0vUtuqPE8AJKD.png" TargetMode="External"/><Relationship Id="rId967" Type="http://schemas.openxmlformats.org/officeDocument/2006/relationships/hyperlink" Target="https://storage.googleapis.com/glide-prod.appspot.com/uploads-v2/ly7o78grxPaC6KdgvbpS/pub/3aRdSog0vUtuqPE8AJKD.png" TargetMode="External"/><Relationship Id="rId1152" Type="http://schemas.openxmlformats.org/officeDocument/2006/relationships/hyperlink" Target="https://storage.googleapis.com/glide-prod.appspot.com/uploads-v2/ly7o78grxPaC6KdgvbpS/pub/3aRdSog0vUtuqPE8AJKD.png" TargetMode="External"/><Relationship Id="rId1597" Type="http://schemas.openxmlformats.org/officeDocument/2006/relationships/hyperlink" Target="https://storage.googleapis.com/glide-prod.appspot.com/uploads-v2/ly7o78grxPaC6KdgvbpS/pub/3aRdSog0vUtuqPE8AJKD.png" TargetMode="External"/><Relationship Id="rId96" Type="http://schemas.openxmlformats.org/officeDocument/2006/relationships/hyperlink" Target="https://storage.googleapis.com/glide-prod.appspot.com/uploads-v2/ly7o78grxPaC6KdgvbpS/pub/3aRdSog0vUtuqPE8AJKD.png" TargetMode="External"/><Relationship Id="rId827" Type="http://schemas.openxmlformats.org/officeDocument/2006/relationships/hyperlink" Target="https://storage.googleapis.com/glide-prod.appspot.com/uploads-v2/ly7o78grxPaC6KdgvbpS/pub/3aRdSog0vUtuqPE8AJKD.png" TargetMode="External"/><Relationship Id="rId1012" Type="http://schemas.openxmlformats.org/officeDocument/2006/relationships/hyperlink" Target="https://storage.googleapis.com/glide-prod.appspot.com/uploads-v2/ly7o78grxPaC6KdgvbpS/pub/3aRdSog0vUtuqPE8AJKD.png" TargetMode="External"/><Relationship Id="rId1457" Type="http://schemas.openxmlformats.org/officeDocument/2006/relationships/hyperlink" Target="https://storage.googleapis.com/glide-prod.appspot.com/uploads-v2/ly7o78grxPaC6KdgvbpS/pub/3aRdSog0vUtuqPE8AJKD.png" TargetMode="External"/><Relationship Id="rId1317" Type="http://schemas.openxmlformats.org/officeDocument/2006/relationships/hyperlink" Target="https://storage.googleapis.com/glide-prod.appspot.com/uploads-v2/ly7o78grxPaC6KdgvbpS/pub/3aRdSog0vUtuqPE8AJKD.png" TargetMode="External"/><Relationship Id="rId1524" Type="http://schemas.openxmlformats.org/officeDocument/2006/relationships/hyperlink" Target="https://storage.googleapis.com/glide-prod.appspot.com/uploads-v2/ly7o78grxPaC6KdgvbpS/pub/3aRdSog0vUtuqPE8AJKD.png" TargetMode="External"/><Relationship Id="rId23" Type="http://schemas.openxmlformats.org/officeDocument/2006/relationships/hyperlink" Target="https://storage.googleapis.com/glide-prod.appspot.com/uploads-v2/ly7o78grxPaC6KdgvbpS/pub/3aRdSog0vUtuqPE8AJKD.png" TargetMode="External"/><Relationship Id="rId172" Type="http://schemas.openxmlformats.org/officeDocument/2006/relationships/hyperlink" Target="https://storage.googleapis.com/glide-prod.appspot.com/uploads-v2/ly7o78grxPaC6KdgvbpS/pub/tSlTOn69aU3iSSfZ5A1Z/17043567665841520942679882824195.jpg" TargetMode="External"/><Relationship Id="rId477" Type="http://schemas.openxmlformats.org/officeDocument/2006/relationships/hyperlink" Target="https://storage.googleapis.com/glide-prod.appspot.com/uploads-v2/ly7o78grxPaC6KdgvbpS/pub/3aRdSog0vUtuqPE8AJKD.png" TargetMode="External"/><Relationship Id="rId684" Type="http://schemas.openxmlformats.org/officeDocument/2006/relationships/hyperlink" Target="https://storage.googleapis.com/glide-prod.appspot.com/uploads-v2/ly7o78grxPaC6KdgvbpS/pub/3aRdSog0vUtuqPE8AJKD.png" TargetMode="External"/><Relationship Id="rId337" Type="http://schemas.openxmlformats.org/officeDocument/2006/relationships/hyperlink" Target="https://storage.googleapis.com/glide-prod.appspot.com/uploads-v2/ly7o78grxPaC6KdgvbpS/pub/3aRdSog0vUtuqPE8AJKD.png" TargetMode="External"/><Relationship Id="rId891" Type="http://schemas.openxmlformats.org/officeDocument/2006/relationships/hyperlink" Target="https://storage.googleapis.com/glide-prod.appspot.com/uploads-v2/ly7o78grxPaC6KdgvbpS/pub/3aRdSog0vUtuqPE8AJKD.png" TargetMode="External"/><Relationship Id="rId989" Type="http://schemas.openxmlformats.org/officeDocument/2006/relationships/hyperlink" Target="https://storage.googleapis.com/glide-prod.appspot.com/uploads-v2/ly7o78grxPaC6KdgvbpS/pub/3aRdSog0vUtuqPE8AJKD.png" TargetMode="External"/><Relationship Id="rId544" Type="http://schemas.openxmlformats.org/officeDocument/2006/relationships/hyperlink" Target="https://storage.googleapis.com/glide-prod.appspot.com/uploads-v2/ly7o78grxPaC6KdgvbpS/pub/3aRdSog0vUtuqPE8AJKD.png" TargetMode="External"/><Relationship Id="rId751" Type="http://schemas.openxmlformats.org/officeDocument/2006/relationships/hyperlink" Target="https://storage.googleapis.com/glide-prod.appspot.com/uploads-v2/ly7o78grxPaC6KdgvbpS/pub/3aRdSog0vUtuqPE8AJKD.png" TargetMode="External"/><Relationship Id="rId849" Type="http://schemas.openxmlformats.org/officeDocument/2006/relationships/hyperlink" Target="https://storage.googleapis.com/glide-prod.appspot.com/uploads-v2/ly7o78grxPaC6KdgvbpS/pub/3aRdSog0vUtuqPE8AJKD.png" TargetMode="External"/><Relationship Id="rId1174" Type="http://schemas.openxmlformats.org/officeDocument/2006/relationships/hyperlink" Target="https://storage.googleapis.com/glide-prod.appspot.com/uploads-v2/ly7o78grxPaC6KdgvbpS/pub/3aRdSog0vUtuqPE8AJKD.png" TargetMode="External"/><Relationship Id="rId1381" Type="http://schemas.openxmlformats.org/officeDocument/2006/relationships/hyperlink" Target="https://storage.googleapis.com/glide-prod.appspot.com/uploads-v2/ly7o78grxPaC6KdgvbpS/pub/3aRdSog0vUtuqPE8AJKD.png" TargetMode="External"/><Relationship Id="rId1479" Type="http://schemas.openxmlformats.org/officeDocument/2006/relationships/hyperlink" Target="https://storage.googleapis.com/glide-prod.appspot.com/uploads-v2/ly7o78grxPaC6KdgvbpS/pub/3aRdSog0vUtuqPE8AJKD.png" TargetMode="External"/><Relationship Id="rId404" Type="http://schemas.openxmlformats.org/officeDocument/2006/relationships/hyperlink" Target="https://storage.googleapis.com/glide-prod.appspot.com/uploads-v2/ly7o78grxPaC6KdgvbpS/pub/3aRdSog0vUtuqPE8AJKD.png" TargetMode="External"/><Relationship Id="rId611" Type="http://schemas.openxmlformats.org/officeDocument/2006/relationships/hyperlink" Target="https://storage.googleapis.com/glide-prod.appspot.com/uploads-v2/ly7o78grxPaC6KdgvbpS/pub/3aRdSog0vUtuqPE8AJKD.png" TargetMode="External"/><Relationship Id="rId1034" Type="http://schemas.openxmlformats.org/officeDocument/2006/relationships/hyperlink" Target="https://storage.googleapis.com/glide-prod.appspot.com/uploads-v2/ly7o78grxPaC6KdgvbpS/pub/3aRdSog0vUtuqPE8AJKD.png" TargetMode="External"/><Relationship Id="rId1241" Type="http://schemas.openxmlformats.org/officeDocument/2006/relationships/hyperlink" Target="https://storage.googleapis.com/glide-prod.appspot.com/uploads-v2/ly7o78grxPaC6KdgvbpS/pub/3aRdSog0vUtuqPE8AJKD.png" TargetMode="External"/><Relationship Id="rId1339" Type="http://schemas.openxmlformats.org/officeDocument/2006/relationships/hyperlink" Target="https://storage.googleapis.com/glide-prod.appspot.com/uploads-v2/ly7o78grxPaC6KdgvbpS/pub/3aRdSog0vUtuqPE8AJKD.png" TargetMode="External"/><Relationship Id="rId709" Type="http://schemas.openxmlformats.org/officeDocument/2006/relationships/hyperlink" Target="https://storage.googleapis.com/glide-prod.appspot.com/uploads-v2/ly7o78grxPaC6KdgvbpS/pub/3aRdSog0vUtuqPE8AJKD.png" TargetMode="External"/><Relationship Id="rId916" Type="http://schemas.openxmlformats.org/officeDocument/2006/relationships/hyperlink" Target="https://storage.googleapis.com/glide-prod.appspot.com/uploads-v2/ly7o78grxPaC6KdgvbpS/pub/3aRdSog0vUtuqPE8AJKD.png" TargetMode="External"/><Relationship Id="rId1101" Type="http://schemas.openxmlformats.org/officeDocument/2006/relationships/hyperlink" Target="https://storage.googleapis.com/glide-prod.appspot.com/uploads-v2/ly7o78grxPaC6KdgvbpS/pub/3aRdSog0vUtuqPE8AJKD.png" TargetMode="External"/><Relationship Id="rId1546" Type="http://schemas.openxmlformats.org/officeDocument/2006/relationships/hyperlink" Target="https://storage.googleapis.com/glide-prod.appspot.com/uploads-v2/ly7o78grxPaC6KdgvbpS/pub/3aRdSog0vUtuqPE8AJKD.png" TargetMode="External"/></Relationships>
</file>

<file path=xl/worksheets/_rels/sheet13.xml.rels><?xml version="1.0" encoding="UTF-8" standalone="yes"?>
<Relationships xmlns="http://schemas.openxmlformats.org/package/2006/relationships"><Relationship Id="rId1522" Type="http://schemas.openxmlformats.org/officeDocument/2006/relationships/hyperlink" Target="https://storage.googleapis.com/glide-prod.appspot.com/uploads-v2/ly7o78grxPaC6KdgvbpS/pub/3aRdSog0vUtuqPE8AJKD.png" TargetMode="External"/><Relationship Id="rId21" Type="http://schemas.openxmlformats.org/officeDocument/2006/relationships/hyperlink" Target="https://storage.googleapis.com/glide-prod.appspot.com/uploads-v2/ly7o78grxPaC6KdgvbpS/pub/3aRdSog0vUtuqPE8AJKD.png" TargetMode="External"/><Relationship Id="rId170" Type="http://schemas.openxmlformats.org/officeDocument/2006/relationships/hyperlink" Target="https://storage.googleapis.com/glide-prod.appspot.com/uploads-v2/ly7o78grxPaC6KdgvbpS/pub/3aRdSog0vUtuqPE8AJKD.png" TargetMode="External"/><Relationship Id="rId268" Type="http://schemas.openxmlformats.org/officeDocument/2006/relationships/hyperlink" Target="https://storage.googleapis.com/glide-prod.appspot.com/uploads-v2/ly7o78grxPaC6KdgvbpS/pub/3aRdSog0vUtuqPE8AJKD.png" TargetMode="External"/><Relationship Id="rId475" Type="http://schemas.openxmlformats.org/officeDocument/2006/relationships/hyperlink" Target="https://storage.googleapis.com/glide-prod.appspot.com/uploads-v2/ly7o78grxPaC6KdgvbpS/pub/UliJWgpEaBovaFmXi6OW.png" TargetMode="External"/><Relationship Id="rId682" Type="http://schemas.openxmlformats.org/officeDocument/2006/relationships/hyperlink" Target="https://storage.googleapis.com/glide-prod.appspot.com/uploads-v2/ly7o78grxPaC6KdgvbpS/pub/3aRdSog0vUtuqPE8AJKD.png" TargetMode="External"/><Relationship Id="rId128" Type="http://schemas.openxmlformats.org/officeDocument/2006/relationships/hyperlink" Target="https://storage.googleapis.com/glide-prod.appspot.com/uploads-v2/ly7o78grxPaC6KdgvbpS/pub/3aRdSog0vUtuqPE8AJKD.png" TargetMode="External"/><Relationship Id="rId335" Type="http://schemas.openxmlformats.org/officeDocument/2006/relationships/hyperlink" Target="https://storage.googleapis.com/glide-prod.appspot.com/uploads-v2/ly7o78grxPaC6KdgvbpS/pub/3aRdSog0vUtuqPE8AJKD.png" TargetMode="External"/><Relationship Id="rId542" Type="http://schemas.openxmlformats.org/officeDocument/2006/relationships/hyperlink" Target="https://storage.googleapis.com/glide-prod.appspot.com/uploads-v2/ly7o78grxPaC6KdgvbpS/pub/3aRdSog0vUtuqPE8AJKD.png" TargetMode="External"/><Relationship Id="rId987" Type="http://schemas.openxmlformats.org/officeDocument/2006/relationships/hyperlink" Target="https://storage.googleapis.com/glide-prod.appspot.com/uploads-v2/ly7o78grxPaC6KdgvbpS/pub/3aRdSog0vUtuqPE8AJKD.png" TargetMode="External"/><Relationship Id="rId1172" Type="http://schemas.openxmlformats.org/officeDocument/2006/relationships/hyperlink" Target="https://storage.googleapis.com/glide-prod.appspot.com/uploads-v2/ly7o78grxPaC6KdgvbpS/pub/3aRdSog0vUtuqPE8AJKD.png" TargetMode="External"/><Relationship Id="rId402" Type="http://schemas.openxmlformats.org/officeDocument/2006/relationships/hyperlink" Target="https://storage.googleapis.com/glide-prod.appspot.com/uploads-v2/ly7o78grxPaC6KdgvbpS/pub/3aRdSog0vUtuqPE8AJKD.png" TargetMode="External"/><Relationship Id="rId847" Type="http://schemas.openxmlformats.org/officeDocument/2006/relationships/hyperlink" Target="https://storage.googleapis.com/glide-prod.appspot.com/uploads-v2/ly7o78grxPaC6KdgvbpS/pub/3aRdSog0vUtuqPE8AJKD.png" TargetMode="External"/><Relationship Id="rId1032" Type="http://schemas.openxmlformats.org/officeDocument/2006/relationships/hyperlink" Target="https://storage.googleapis.com/glide-prod.appspot.com/uploads-v2/ly7o78grxPaC6KdgvbpS/pub/3aRdSog0vUtuqPE8AJKD.png" TargetMode="External"/><Relationship Id="rId1477" Type="http://schemas.openxmlformats.org/officeDocument/2006/relationships/hyperlink" Target="https://storage.googleapis.com/glide-prod.appspot.com/uploads-v2/ly7o78grxPaC6KdgvbpS/pub/3aRdSog0vUtuqPE8AJKD.png" TargetMode="External"/><Relationship Id="rId707" Type="http://schemas.openxmlformats.org/officeDocument/2006/relationships/hyperlink" Target="https://storage.googleapis.com/glide-prod.appspot.com/uploads-v2/ly7o78grxPaC6KdgvbpS/pub/3aRdSog0vUtuqPE8AJKD.png" TargetMode="External"/><Relationship Id="rId914" Type="http://schemas.openxmlformats.org/officeDocument/2006/relationships/hyperlink" Target="https://storage.googleapis.com/glide-prod.appspot.com/uploads-v2/ly7o78grxPaC6KdgvbpS/pub/3aRdSog0vUtuqPE8AJKD.png" TargetMode="External"/><Relationship Id="rId1337" Type="http://schemas.openxmlformats.org/officeDocument/2006/relationships/hyperlink" Target="https://storage.googleapis.com/glide-prod.appspot.com/uploads-v2/ly7o78grxPaC6KdgvbpS/pub/3aRdSog0vUtuqPE8AJKD.png" TargetMode="External"/><Relationship Id="rId1544" Type="http://schemas.openxmlformats.org/officeDocument/2006/relationships/hyperlink" Target="https://storage.googleapis.com/glide-prod.appspot.com/uploads-v2/ly7o78grxPaC6KdgvbpS/pub/UliJWgpEaBovaFmXi6OW.png" TargetMode="External"/><Relationship Id="rId43" Type="http://schemas.openxmlformats.org/officeDocument/2006/relationships/hyperlink" Target="https://storage.googleapis.com/glide-prod.appspot.com/uploads-v2/ly7o78grxPaC6KdgvbpS/pub/3aRdSog0vUtuqPE8AJKD.png" TargetMode="External"/><Relationship Id="rId1404" Type="http://schemas.openxmlformats.org/officeDocument/2006/relationships/hyperlink" Target="https://storage.googleapis.com/glide-prod.appspot.com/uploads-v2/ly7o78grxPaC6KdgvbpS/pub/3aRdSog0vUtuqPE8AJKD.png" TargetMode="External"/><Relationship Id="rId192" Type="http://schemas.openxmlformats.org/officeDocument/2006/relationships/hyperlink" Target="https://storage.googleapis.com/glide-prod.appspot.com/uploads-v2/ly7o78grxPaC6KdgvbpS/pub/3aRdSog0vUtuqPE8AJKD.png" TargetMode="External"/><Relationship Id="rId497" Type="http://schemas.openxmlformats.org/officeDocument/2006/relationships/hyperlink" Target="https://storage.googleapis.com/glide-prod.appspot.com/uploads-v2/ly7o78grxPaC6KdgvbpS/pub/UliJWgpEaBovaFmXi6OW.png" TargetMode="External"/><Relationship Id="rId357" Type="http://schemas.openxmlformats.org/officeDocument/2006/relationships/hyperlink" Target="https://storage.googleapis.com/glide-prod.appspot.com/uploads-v2/ly7o78grxPaC6KdgvbpS/pub/UliJWgpEaBovaFmXi6OW.png" TargetMode="External"/><Relationship Id="rId1194" Type="http://schemas.openxmlformats.org/officeDocument/2006/relationships/hyperlink" Target="https://storage.googleapis.com/glide-prod.appspot.com/uploads-v2/ly7o78grxPaC6KdgvbpS/pub/3aRdSog0vUtuqPE8AJKD.png" TargetMode="External"/><Relationship Id="rId217" Type="http://schemas.openxmlformats.org/officeDocument/2006/relationships/hyperlink" Target="https://storage.googleapis.com/glide-prod.appspot.com/uploads-v2/ly7o78grxPaC6KdgvbpS/pub/3aRdSog0vUtuqPE8AJKD.png" TargetMode="External"/><Relationship Id="rId564" Type="http://schemas.openxmlformats.org/officeDocument/2006/relationships/hyperlink" Target="https://storage.googleapis.com/glide-prod.appspot.com/uploads-v2/ly7o78grxPaC6KdgvbpS/pub/3aRdSog0vUtuqPE8AJKD.png" TargetMode="External"/><Relationship Id="rId771" Type="http://schemas.openxmlformats.org/officeDocument/2006/relationships/hyperlink" Target="https://storage.googleapis.com/glide-prod.appspot.com/uploads-v2/ly7o78grxPaC6KdgvbpS/pub/3aRdSog0vUtuqPE8AJKD.png" TargetMode="External"/><Relationship Id="rId869" Type="http://schemas.openxmlformats.org/officeDocument/2006/relationships/hyperlink" Target="https://storage.googleapis.com/glide-prod.appspot.com/uploads-v2/ly7o78grxPaC6KdgvbpS/pub/3aRdSog0vUtuqPE8AJKD.png" TargetMode="External"/><Relationship Id="rId1499" Type="http://schemas.openxmlformats.org/officeDocument/2006/relationships/hyperlink" Target="https://storage.googleapis.com/glide-prod.appspot.com/uploads-v2/ly7o78grxPaC6KdgvbpS/pub/3aRdSog0vUtuqPE8AJKD.png" TargetMode="External"/><Relationship Id="rId424" Type="http://schemas.openxmlformats.org/officeDocument/2006/relationships/hyperlink" Target="https://storage.googleapis.com/glide-prod.appspot.com/uploads-v2/ly7o78grxPaC6KdgvbpS/pub/3aRdSog0vUtuqPE8AJKD.png" TargetMode="External"/><Relationship Id="rId631" Type="http://schemas.openxmlformats.org/officeDocument/2006/relationships/hyperlink" Target="https://storage.googleapis.com/glide-prod.appspot.com/uploads-v2/ly7o78grxPaC6KdgvbpS/pub/3aRdSog0vUtuqPE8AJKD.png" TargetMode="External"/><Relationship Id="rId729" Type="http://schemas.openxmlformats.org/officeDocument/2006/relationships/hyperlink" Target="https://storage.googleapis.com/glide-prod.appspot.com/uploads-v2/ly7o78grxPaC6KdgvbpS/pub/3aRdSog0vUtuqPE8AJKD.png" TargetMode="External"/><Relationship Id="rId1054" Type="http://schemas.openxmlformats.org/officeDocument/2006/relationships/hyperlink" Target="https://storage.googleapis.com/glide-prod.appspot.com/uploads-v2/ly7o78grxPaC6KdgvbpS/pub/3aRdSog0vUtuqPE8AJKD.png" TargetMode="External"/><Relationship Id="rId1261" Type="http://schemas.openxmlformats.org/officeDocument/2006/relationships/hyperlink" Target="https://storage.googleapis.com/glide-prod.appspot.com/uploads-v2/ly7o78grxPaC6KdgvbpS/pub/3aRdSog0vUtuqPE8AJKD.png" TargetMode="External"/><Relationship Id="rId1359" Type="http://schemas.openxmlformats.org/officeDocument/2006/relationships/hyperlink" Target="https://storage.googleapis.com/glide-prod.appspot.com/uploads-v2/ly7o78grxPaC6KdgvbpS/pub/UliJWgpEaBovaFmXi6OW.png" TargetMode="External"/><Relationship Id="rId936" Type="http://schemas.openxmlformats.org/officeDocument/2006/relationships/hyperlink" Target="https://storage.googleapis.com/glide-prod.appspot.com/uploads-v2/ly7o78grxPaC6KdgvbpS/pub/UliJWgpEaBovaFmXi6OW.png" TargetMode="External"/><Relationship Id="rId1121" Type="http://schemas.openxmlformats.org/officeDocument/2006/relationships/hyperlink" Target="https://storage.googleapis.com/glide-prod.appspot.com/uploads-v2/ly7o78grxPaC6KdgvbpS/pub/3aRdSog0vUtuqPE8AJKD.png" TargetMode="External"/><Relationship Id="rId1219" Type="http://schemas.openxmlformats.org/officeDocument/2006/relationships/hyperlink" Target="https://storage.googleapis.com/glide-prod.appspot.com/uploads-v2/ly7o78grxPaC6KdgvbpS/pub/3aRdSog0vUtuqPE8AJKD.png" TargetMode="External"/><Relationship Id="rId65" Type="http://schemas.openxmlformats.org/officeDocument/2006/relationships/hyperlink" Target="https://storage.googleapis.com/glide-prod.appspot.com/uploads-v2/ly7o78grxPaC6KdgvbpS/pub/3aRdSog0vUtuqPE8AJKD.png" TargetMode="External"/><Relationship Id="rId1426" Type="http://schemas.openxmlformats.org/officeDocument/2006/relationships/hyperlink" Target="https://storage.googleapis.com/glide-prod.appspot.com/uploads-v2/ly7o78grxPaC6KdgvbpS/pub/3aRdSog0vUtuqPE8AJKD.png" TargetMode="External"/><Relationship Id="rId281" Type="http://schemas.openxmlformats.org/officeDocument/2006/relationships/hyperlink" Target="https://storage.googleapis.com/glide-prod.appspot.com/uploads-v2/ly7o78grxPaC6KdgvbpS/pub/3aRdSog0vUtuqPE8AJKD.png" TargetMode="External"/><Relationship Id="rId141" Type="http://schemas.openxmlformats.org/officeDocument/2006/relationships/hyperlink" Target="https://storage.googleapis.com/glide-prod.appspot.com/uploads-v2/ly7o78grxPaC6KdgvbpS/pub/3aRdSog0vUtuqPE8AJKD.png" TargetMode="External"/><Relationship Id="rId379" Type="http://schemas.openxmlformats.org/officeDocument/2006/relationships/hyperlink" Target="https://storage.googleapis.com/glide-prod.appspot.com/uploads-v2/ly7o78grxPaC6KdgvbpS/pub/3aRdSog0vUtuqPE8AJKD.png" TargetMode="External"/><Relationship Id="rId586" Type="http://schemas.openxmlformats.org/officeDocument/2006/relationships/hyperlink" Target="https://storage.googleapis.com/glide-prod.appspot.com/uploads-v2/ly7o78grxPaC6KdgvbpS/pub/UliJWgpEaBovaFmXi6OW.png" TargetMode="External"/><Relationship Id="rId793" Type="http://schemas.openxmlformats.org/officeDocument/2006/relationships/hyperlink" Target="https://storage.googleapis.com/glide-prod.appspot.com/uploads-v2/ly7o78grxPaC6KdgvbpS/pub/3aRdSog0vUtuqPE8AJKD.png" TargetMode="External"/><Relationship Id="rId7" Type="http://schemas.openxmlformats.org/officeDocument/2006/relationships/hyperlink" Target="https://storage.googleapis.com/glide-prod.appspot.com/uploads-v2/ly7o78grxPaC6KdgvbpS/pub/3aRdSog0vUtuqPE8AJKD.png" TargetMode="External"/><Relationship Id="rId239" Type="http://schemas.openxmlformats.org/officeDocument/2006/relationships/hyperlink" Target="https://storage.googleapis.com/glide-prod.appspot.com/uploads-v2/ly7o78grxPaC6KdgvbpS/pub/3aRdSog0vUtuqPE8AJKD.png" TargetMode="External"/><Relationship Id="rId446" Type="http://schemas.openxmlformats.org/officeDocument/2006/relationships/hyperlink" Target="https://storage.googleapis.com/glide-prod.appspot.com/uploads-v2/ly7o78grxPaC6KdgvbpS/pub/3aRdSog0vUtuqPE8AJKD.png" TargetMode="External"/><Relationship Id="rId653" Type="http://schemas.openxmlformats.org/officeDocument/2006/relationships/hyperlink" Target="https://storage.googleapis.com/glide-prod.appspot.com/uploads-v2/ly7o78grxPaC6KdgvbpS/pub/3aRdSog0vUtuqPE8AJKD.png" TargetMode="External"/><Relationship Id="rId1076" Type="http://schemas.openxmlformats.org/officeDocument/2006/relationships/hyperlink" Target="https://storage.googleapis.com/glide-prod.appspot.com/uploads-v2/ly7o78grxPaC6KdgvbpS/pub/3aRdSog0vUtuqPE8AJKD.png" TargetMode="External"/><Relationship Id="rId1283" Type="http://schemas.openxmlformats.org/officeDocument/2006/relationships/hyperlink" Target="https://storage.googleapis.com/glide-prod.appspot.com/uploads-v2/ly7o78grxPaC6KdgvbpS/pub/3aRdSog0vUtuqPE8AJKD.png" TargetMode="External"/><Relationship Id="rId1490" Type="http://schemas.openxmlformats.org/officeDocument/2006/relationships/hyperlink" Target="https://storage.googleapis.com/glide-prod.appspot.com/uploads-v2/ly7o78grxPaC6KdgvbpS/pub/rVhZhyQzGlyq98qFXhZt.jpg" TargetMode="External"/><Relationship Id="rId306" Type="http://schemas.openxmlformats.org/officeDocument/2006/relationships/hyperlink" Target="https://storage.googleapis.com/glide-prod.appspot.com/uploads-v2/ly7o78grxPaC6KdgvbpS/pub/3aRdSog0vUtuqPE8AJKD.png" TargetMode="External"/><Relationship Id="rId860" Type="http://schemas.openxmlformats.org/officeDocument/2006/relationships/hyperlink" Target="https://storage.googleapis.com/glide-prod.appspot.com/uploads-v2/ly7o78grxPaC6KdgvbpS/pub/3aRdSog0vUtuqPE8AJKD.png" TargetMode="External"/><Relationship Id="rId958" Type="http://schemas.openxmlformats.org/officeDocument/2006/relationships/hyperlink" Target="https://storage.googleapis.com/glide-prod.appspot.com/uploads-v2/ly7o78grxPaC6KdgvbpS/pub/UliJWgpEaBovaFmXi6OW.png" TargetMode="External"/><Relationship Id="rId1143" Type="http://schemas.openxmlformats.org/officeDocument/2006/relationships/hyperlink" Target="https://storage.googleapis.com/glide-prod.appspot.com/uploads-v2/ly7o78grxPaC6KdgvbpS/pub/3aRdSog0vUtuqPE8AJKD.png" TargetMode="External"/><Relationship Id="rId87" Type="http://schemas.openxmlformats.org/officeDocument/2006/relationships/hyperlink" Target="https://storage.googleapis.com/glide-prod.appspot.com/uploads-v2/ly7o78grxPaC6KdgvbpS/pub/3aRdSog0vUtuqPE8AJKD.png" TargetMode="External"/><Relationship Id="rId513" Type="http://schemas.openxmlformats.org/officeDocument/2006/relationships/hyperlink" Target="https://storage.googleapis.com/glide-prod.appspot.com/uploads-v2/ly7o78grxPaC6KdgvbpS/pub/3aRdSog0vUtuqPE8AJKD.png" TargetMode="External"/><Relationship Id="rId720" Type="http://schemas.openxmlformats.org/officeDocument/2006/relationships/hyperlink" Target="https://storage.googleapis.com/glide-prod.appspot.com/uploads-v2/ly7o78grxPaC6KdgvbpS/pub/UliJWgpEaBovaFmXi6OW.png" TargetMode="External"/><Relationship Id="rId818" Type="http://schemas.openxmlformats.org/officeDocument/2006/relationships/hyperlink" Target="https://storage.googleapis.com/glide-prod.appspot.com/uploads-v2/ly7o78grxPaC6KdgvbpS/pub/3aRdSog0vUtuqPE8AJKD.png" TargetMode="External"/><Relationship Id="rId1350" Type="http://schemas.openxmlformats.org/officeDocument/2006/relationships/hyperlink" Target="https://storage.googleapis.com/glide-prod.appspot.com/uploads-v2/ly7o78grxPaC6KdgvbpS/pub/UliJWgpEaBovaFmXi6OW.png" TargetMode="External"/><Relationship Id="rId1448" Type="http://schemas.openxmlformats.org/officeDocument/2006/relationships/hyperlink" Target="https://storage.googleapis.com/glide-prod.appspot.com/uploads-v2/ly7o78grxPaC6KdgvbpS/pub/3aRdSog0vUtuqPE8AJKD.png" TargetMode="External"/><Relationship Id="rId1003" Type="http://schemas.openxmlformats.org/officeDocument/2006/relationships/hyperlink" Target="https://storage.googleapis.com/glide-prod.appspot.com/uploads-v2/ly7o78grxPaC6KdgvbpS/pub/3aRdSog0vUtuqPE8AJKD.png" TargetMode="External"/><Relationship Id="rId1210" Type="http://schemas.openxmlformats.org/officeDocument/2006/relationships/hyperlink" Target="https://storage.googleapis.com/glide-prod.appspot.com/uploads-v2/ly7o78grxPaC6KdgvbpS/pub/3aRdSog0vUtuqPE8AJKD.png" TargetMode="External"/><Relationship Id="rId1308" Type="http://schemas.openxmlformats.org/officeDocument/2006/relationships/hyperlink" Target="https://storage.googleapis.com/glide-prod.appspot.com/uploads-v2/ly7o78grxPaC6KdgvbpS/pub/3aRdSog0vUtuqPE8AJKD.png" TargetMode="External"/><Relationship Id="rId1515" Type="http://schemas.openxmlformats.org/officeDocument/2006/relationships/hyperlink" Target="https://storage.googleapis.com/glide-prod.appspot.com/uploads-v2/ly7o78grxPaC6KdgvbpS/pub/3aRdSog0vUtuqPE8AJKD.png" TargetMode="External"/><Relationship Id="rId14" Type="http://schemas.openxmlformats.org/officeDocument/2006/relationships/hyperlink" Target="https://storage.googleapis.com/glide-prod.appspot.com/uploads-v2/ly7o78grxPaC6KdgvbpS/pub/3aRdSog0vUtuqPE8AJKD.png" TargetMode="External"/><Relationship Id="rId163" Type="http://schemas.openxmlformats.org/officeDocument/2006/relationships/hyperlink" Target="http://cvyoksnysympwdpu5lg.kg/" TargetMode="External"/><Relationship Id="rId370" Type="http://schemas.openxmlformats.org/officeDocument/2006/relationships/hyperlink" Target="https://storage.googleapis.com/glide-prod.appspot.com/uploads-v2/ly7o78grxPaC6KdgvbpS/pub/3aRdSog0vUtuqPE8AJKD.png" TargetMode="External"/><Relationship Id="rId230" Type="http://schemas.openxmlformats.org/officeDocument/2006/relationships/hyperlink" Target="https://storage.googleapis.com/glide-prod.appspot.com/uploads-v2/ly7o78grxPaC6KdgvbpS/pub/3aRdSog0vUtuqPE8AJKD.png" TargetMode="External"/><Relationship Id="rId468" Type="http://schemas.openxmlformats.org/officeDocument/2006/relationships/hyperlink" Target="https://storage.googleapis.com/glide-prod.appspot.com/uploads-v2/ly7o78grxPaC6KdgvbpS/pub/UliJWgpEaBovaFmXi6OW.png" TargetMode="External"/><Relationship Id="rId675" Type="http://schemas.openxmlformats.org/officeDocument/2006/relationships/hyperlink" Target="https://storage.googleapis.com/glide-prod.appspot.com/uploads-v2/ly7o78grxPaC6KdgvbpS/pub/3aRdSog0vUtuqPE8AJKD.png" TargetMode="External"/><Relationship Id="rId882" Type="http://schemas.openxmlformats.org/officeDocument/2006/relationships/hyperlink" Target="https://storage.googleapis.com/glide-prod.appspot.com/uploads-v2/ly7o78grxPaC6KdgvbpS/pub/3aRdSog0vUtuqPE8AJKD.png" TargetMode="External"/><Relationship Id="rId1098" Type="http://schemas.openxmlformats.org/officeDocument/2006/relationships/hyperlink" Target="https://storage.googleapis.com/glide-prod.appspot.com/uploads-v2/ly7o78grxPaC6KdgvbpS/pub/3aRdSog0vUtuqPE8AJKD.png" TargetMode="External"/><Relationship Id="rId328" Type="http://schemas.openxmlformats.org/officeDocument/2006/relationships/hyperlink" Target="https://storage.googleapis.com/glide-prod.appspot.com/uploads-v2/ly7o78grxPaC6KdgvbpS/pub/3aRdSog0vUtuqPE8AJKD.png" TargetMode="External"/><Relationship Id="rId535" Type="http://schemas.openxmlformats.org/officeDocument/2006/relationships/hyperlink" Target="https://storage.googleapis.com/glide-prod.appspot.com/uploads-v2/ly7o78grxPaC6KdgvbpS/pub/3aRdSog0vUtuqPE8AJKD.png" TargetMode="External"/><Relationship Id="rId742" Type="http://schemas.openxmlformats.org/officeDocument/2006/relationships/hyperlink" Target="https://storage.googleapis.com/glide-prod.appspot.com/uploads-v2/ly7o78grxPaC6KdgvbpS/pub/3aRdSog0vUtuqPE8AJKD.png" TargetMode="External"/><Relationship Id="rId1165" Type="http://schemas.openxmlformats.org/officeDocument/2006/relationships/hyperlink" Target="https://storage.googleapis.com/glide-prod.appspot.com/uploads-v2/ly7o78grxPaC6KdgvbpS/pub/3aRdSog0vUtuqPE8AJKD.png" TargetMode="External"/><Relationship Id="rId1372" Type="http://schemas.openxmlformats.org/officeDocument/2006/relationships/hyperlink" Target="https://storage.googleapis.com/glide-prod.appspot.com/uploads-v2/ly7o78grxPaC6KdgvbpS/pub/3aRdSog0vUtuqPE8AJKD.png" TargetMode="External"/><Relationship Id="rId602" Type="http://schemas.openxmlformats.org/officeDocument/2006/relationships/hyperlink" Target="https://storage.googleapis.com/glide-prod.appspot.com/uploads-v2/ly7o78grxPaC6KdgvbpS/pub/UliJWgpEaBovaFmXi6OW.png" TargetMode="External"/><Relationship Id="rId1025" Type="http://schemas.openxmlformats.org/officeDocument/2006/relationships/hyperlink" Target="https://storage.googleapis.com/glide-prod.appspot.com/uploads-v2/ly7o78grxPaC6KdgvbpS/pub/3aRdSog0vUtuqPE8AJKD.png" TargetMode="External"/><Relationship Id="rId1232" Type="http://schemas.openxmlformats.org/officeDocument/2006/relationships/hyperlink" Target="https://storage.googleapis.com/glide-prod.appspot.com/uploads-v2/ly7o78grxPaC6KdgvbpS/pub/3aRdSog0vUtuqPE8AJKD.png" TargetMode="External"/><Relationship Id="rId907" Type="http://schemas.openxmlformats.org/officeDocument/2006/relationships/hyperlink" Target="https://storage.googleapis.com/glide-prod.appspot.com/uploads-v2/ly7o78grxPaC6KdgvbpS/pub/3aRdSog0vUtuqPE8AJKD.png" TargetMode="External"/><Relationship Id="rId1537" Type="http://schemas.openxmlformats.org/officeDocument/2006/relationships/hyperlink" Target="https://storage.googleapis.com/glide-prod.appspot.com/uploads-v2/ly7o78grxPaC6KdgvbpS/pub/UliJWgpEaBovaFmXi6OW.png" TargetMode="External"/><Relationship Id="rId36" Type="http://schemas.openxmlformats.org/officeDocument/2006/relationships/hyperlink" Target="https://storage.googleapis.com/glide-prod.appspot.com/uploads-v2/ly7o78grxPaC6KdgvbpS/pub/3aRdSog0vUtuqPE8AJKD.png" TargetMode="External"/><Relationship Id="rId185" Type="http://schemas.openxmlformats.org/officeDocument/2006/relationships/hyperlink" Target="https://storage.googleapis.com/glide-prod.appspot.com/uploads-v2/ly7o78grxPaC6KdgvbpS/pub/3aRdSog0vUtuqPE8AJKD.png" TargetMode="External"/><Relationship Id="rId392" Type="http://schemas.openxmlformats.org/officeDocument/2006/relationships/hyperlink" Target="https://storage.googleapis.com/glide-prod.appspot.com/uploads-v2/ly7o78grxPaC6KdgvbpS/pub/3aRdSog0vUtuqPE8AJKD.png" TargetMode="External"/><Relationship Id="rId697" Type="http://schemas.openxmlformats.org/officeDocument/2006/relationships/hyperlink" Target="https://storage.googleapis.com/glide-prod.appspot.com/uploads-v2/ly7o78grxPaC6KdgvbpS/pub/3aRdSog0vUtuqPE8AJKD.png" TargetMode="External"/><Relationship Id="rId252" Type="http://schemas.openxmlformats.org/officeDocument/2006/relationships/hyperlink" Target="https://storage.googleapis.com/glide-prod.appspot.com/uploads-v2/ly7o78grxPaC6KdgvbpS/pub/UliJWgpEaBovaFmXi6OW.png" TargetMode="External"/><Relationship Id="rId1187" Type="http://schemas.openxmlformats.org/officeDocument/2006/relationships/hyperlink" Target="https://storage.googleapis.com/glide-prod.appspot.com/uploads-v2/ly7o78grxPaC6KdgvbpS/pub/3aRdSog0vUtuqPE8AJKD.png" TargetMode="External"/><Relationship Id="rId112" Type="http://schemas.openxmlformats.org/officeDocument/2006/relationships/hyperlink" Target="https://storage.googleapis.com/glide-prod.appspot.com/uploads-v2/ly7o78grxPaC6KdgvbpS/pub/3aRdSog0vUtuqPE8AJKD.png" TargetMode="External"/><Relationship Id="rId557" Type="http://schemas.openxmlformats.org/officeDocument/2006/relationships/hyperlink" Target="https://storage.googleapis.com/glide-prod.appspot.com/uploads-v2/ly7o78grxPaC6KdgvbpS/pub/3aRdSog0vUtuqPE8AJKD.png" TargetMode="External"/><Relationship Id="rId764" Type="http://schemas.openxmlformats.org/officeDocument/2006/relationships/hyperlink" Target="https://storage.googleapis.com/glide-prod.appspot.com/uploads-v2/ly7o78grxPaC6KdgvbpS/pub/3aRdSog0vUtuqPE8AJKD.png" TargetMode="External"/><Relationship Id="rId971" Type="http://schemas.openxmlformats.org/officeDocument/2006/relationships/hyperlink" Target="https://storage.googleapis.com/glide-prod.appspot.com/uploads-v2/ly7o78grxPaC6KdgvbpS/pub/3aRdSog0vUtuqPE8AJKD.png" TargetMode="External"/><Relationship Id="rId1394" Type="http://schemas.openxmlformats.org/officeDocument/2006/relationships/hyperlink" Target="https://storage.googleapis.com/glide-prod.appspot.com/uploads-v2/ly7o78grxPaC6KdgvbpS/pub/3aRdSog0vUtuqPE8AJKD.png" TargetMode="External"/><Relationship Id="rId417" Type="http://schemas.openxmlformats.org/officeDocument/2006/relationships/hyperlink" Target="https://storage.googleapis.com/glide-prod.appspot.com/uploads-v2/ly7o78grxPaC6KdgvbpS/pub/3aRdSog0vUtuqPE8AJKD.png" TargetMode="External"/><Relationship Id="rId624" Type="http://schemas.openxmlformats.org/officeDocument/2006/relationships/hyperlink" Target="https://storage.googleapis.com/glide-prod.appspot.com/uploads-v2/ly7o78grxPaC6KdgvbpS/pub/3aRdSog0vUtuqPE8AJKD.png" TargetMode="External"/><Relationship Id="rId831" Type="http://schemas.openxmlformats.org/officeDocument/2006/relationships/hyperlink" Target="https://storage.googleapis.com/glide-prod.appspot.com/uploads-v2/ly7o78grxPaC6KdgvbpS/pub/3aRdSog0vUtuqPE8AJKD.png" TargetMode="External"/><Relationship Id="rId1047" Type="http://schemas.openxmlformats.org/officeDocument/2006/relationships/hyperlink" Target="https://storage.googleapis.com/glide-prod.appspot.com/uploads-v2/ly7o78grxPaC6KdgvbpS/pub/3aRdSog0vUtuqPE8AJKD.png" TargetMode="External"/><Relationship Id="rId1254" Type="http://schemas.openxmlformats.org/officeDocument/2006/relationships/hyperlink" Target="https://storage.googleapis.com/glide-prod.appspot.com/uploads-v2/ly7o78grxPaC6KdgvbpS/pub/3aRdSog0vUtuqPE8AJKD.png" TargetMode="External"/><Relationship Id="rId1461" Type="http://schemas.openxmlformats.org/officeDocument/2006/relationships/hyperlink" Target="https://storage.googleapis.com/glide-prod.appspot.com/uploads-v2/ly7o78grxPaC6KdgvbpS/pub/3aRdSog0vUtuqPE8AJKD.png" TargetMode="External"/><Relationship Id="rId929" Type="http://schemas.openxmlformats.org/officeDocument/2006/relationships/hyperlink" Target="https://storage.googleapis.com/glide-prod.appspot.com/uploads-v2/ly7o78grxPaC6KdgvbpS/pub/3aRdSog0vUtuqPE8AJKD.png" TargetMode="External"/><Relationship Id="rId1114" Type="http://schemas.openxmlformats.org/officeDocument/2006/relationships/hyperlink" Target="https://storage.googleapis.com/glide-prod.appspot.com/uploads-v2/ly7o78grxPaC6KdgvbpS/pub/3aRdSog0vUtuqPE8AJKD.png" TargetMode="External"/><Relationship Id="rId1321" Type="http://schemas.openxmlformats.org/officeDocument/2006/relationships/hyperlink" Target="https://storage.googleapis.com/glide-prod.appspot.com/uploads-v2/ly7o78grxPaC6KdgvbpS/pub/3aRdSog0vUtuqPE8AJKD.png" TargetMode="External"/><Relationship Id="rId1559" Type="http://schemas.openxmlformats.org/officeDocument/2006/relationships/hyperlink" Target="https://storage.googleapis.com/glide-prod.appspot.com/uploads-v2/ly7o78grxPaC6KdgvbpS/pub/3aRdSog0vUtuqPE8AJKD.png" TargetMode="External"/><Relationship Id="rId58" Type="http://schemas.openxmlformats.org/officeDocument/2006/relationships/hyperlink" Target="https://storage.googleapis.com/glide-prod.appspot.com/uploads-v2/ly7o78grxPaC6KdgvbpS/pub/3aRdSog0vUtuqPE8AJKD.png" TargetMode="External"/><Relationship Id="rId1419" Type="http://schemas.openxmlformats.org/officeDocument/2006/relationships/hyperlink" Target="https://storage.googleapis.com/glide-prod.appspot.com/uploads-v2/ly7o78grxPaC6KdgvbpS/pub/3aRdSog0vUtuqPE8AJKD.png" TargetMode="External"/><Relationship Id="rId274" Type="http://schemas.openxmlformats.org/officeDocument/2006/relationships/hyperlink" Target="https://storage.googleapis.com/glide-prod.appspot.com/uploads-v2/ly7o78grxPaC6KdgvbpS/pub/3aRdSog0vUtuqPE8AJKD.png" TargetMode="External"/><Relationship Id="rId481" Type="http://schemas.openxmlformats.org/officeDocument/2006/relationships/hyperlink" Target="https://storage.googleapis.com/glide-prod.appspot.com/uploads-v2/ly7o78grxPaC6KdgvbpS/pub/3aRdSog0vUtuqPE8AJKD.png" TargetMode="External"/><Relationship Id="rId134" Type="http://schemas.openxmlformats.org/officeDocument/2006/relationships/hyperlink" Target="https://storage.googleapis.com/glide-prod.appspot.com/uploads-v2/ly7o78grxPaC6KdgvbpS/pub/3aRdSog0vUtuqPE8AJKD.png" TargetMode="External"/><Relationship Id="rId579" Type="http://schemas.openxmlformats.org/officeDocument/2006/relationships/hyperlink" Target="https://storage.googleapis.com/glide-prod.appspot.com/uploads-v2/ly7o78grxPaC6KdgvbpS/pub/3aRdSog0vUtuqPE8AJKD.png" TargetMode="External"/><Relationship Id="rId786" Type="http://schemas.openxmlformats.org/officeDocument/2006/relationships/hyperlink" Target="https://storage.googleapis.com/glide-prod.appspot.com/uploads-v2/ly7o78grxPaC6KdgvbpS/pub/3aRdSog0vUtuqPE8AJKD.png" TargetMode="External"/><Relationship Id="rId993" Type="http://schemas.openxmlformats.org/officeDocument/2006/relationships/hyperlink" Target="https://storage.googleapis.com/glide-prod.appspot.com/uploads-v2/ly7o78grxPaC6KdgvbpS/pub/yvtCGRAPIbS0tVLIlehH.png" TargetMode="External"/><Relationship Id="rId341" Type="http://schemas.openxmlformats.org/officeDocument/2006/relationships/hyperlink" Target="https://storage.googleapis.com/glide-prod.appspot.com/uploads-v2/ly7o78grxPaC6KdgvbpS/pub/3aRdSog0vUtuqPE8AJKD.png" TargetMode="External"/><Relationship Id="rId439" Type="http://schemas.openxmlformats.org/officeDocument/2006/relationships/hyperlink" Target="https://storage.googleapis.com/glide-prod.appspot.com/uploads-v2/ly7o78grxPaC6KdgvbpS/pub/3aRdSog0vUtuqPE8AJKD.png" TargetMode="External"/><Relationship Id="rId646" Type="http://schemas.openxmlformats.org/officeDocument/2006/relationships/hyperlink" Target="https://storage.googleapis.com/glide-prod.appspot.com/uploads-v2/ly7o78grxPaC6KdgvbpS/pub/3aRdSog0vUtuqPE8AJKD.png" TargetMode="External"/><Relationship Id="rId1069" Type="http://schemas.openxmlformats.org/officeDocument/2006/relationships/hyperlink" Target="https://storage.googleapis.com/glide-prod.appspot.com/uploads-v2/ly7o78grxPaC6KdgvbpS/pub/3aRdSog0vUtuqPE8AJKD.png" TargetMode="External"/><Relationship Id="rId1276" Type="http://schemas.openxmlformats.org/officeDocument/2006/relationships/hyperlink" Target="https://storage.googleapis.com/glide-prod.appspot.com/uploads-v2/ly7o78grxPaC6KdgvbpS/pub/3aRdSog0vUtuqPE8AJKD.png" TargetMode="External"/><Relationship Id="rId1483" Type="http://schemas.openxmlformats.org/officeDocument/2006/relationships/hyperlink" Target="https://storage.googleapis.com/glide-prod.appspot.com/uploads-v2/ly7o78grxPaC6KdgvbpS/pub/3aRdSog0vUtuqPE8AJKD.png" TargetMode="External"/><Relationship Id="rId201" Type="http://schemas.openxmlformats.org/officeDocument/2006/relationships/hyperlink" Target="https://storage.googleapis.com/glide-prod.appspot.com/uploads-v2/ly7o78grxPaC6KdgvbpS/pub/UliJWgpEaBovaFmXi6OW.png" TargetMode="External"/><Relationship Id="rId506" Type="http://schemas.openxmlformats.org/officeDocument/2006/relationships/hyperlink" Target="https://storage.googleapis.com/glide-prod.appspot.com/uploads-v2/ly7o78grxPaC6KdgvbpS/pub/3aRdSog0vUtuqPE8AJKD.png" TargetMode="External"/><Relationship Id="rId853" Type="http://schemas.openxmlformats.org/officeDocument/2006/relationships/hyperlink" Target="https://storage.googleapis.com/glide-prod.appspot.com/uploads-v2/ly7o78grxPaC6KdgvbpS/pub/3aRdSog0vUtuqPE8AJKD.png" TargetMode="External"/><Relationship Id="rId1136" Type="http://schemas.openxmlformats.org/officeDocument/2006/relationships/hyperlink" Target="https://storage.googleapis.com/glide-prod.appspot.com/uploads-v2/ly7o78grxPaC6KdgvbpS/pub/3aRdSog0vUtuqPE8AJKD.png" TargetMode="External"/><Relationship Id="rId713" Type="http://schemas.openxmlformats.org/officeDocument/2006/relationships/hyperlink" Target="https://storage.googleapis.com/glide-prod.appspot.com/uploads-v2/ly7o78grxPaC6KdgvbpS/pub/3aRdSog0vUtuqPE8AJKD.png" TargetMode="External"/><Relationship Id="rId920" Type="http://schemas.openxmlformats.org/officeDocument/2006/relationships/hyperlink" Target="https://storage.googleapis.com/glide-prod.appspot.com/uploads-v2/ly7o78grxPaC6KdgvbpS/pub/3aRdSog0vUtuqPE8AJKD.png" TargetMode="External"/><Relationship Id="rId1343" Type="http://schemas.openxmlformats.org/officeDocument/2006/relationships/hyperlink" Target="https://storage.googleapis.com/glide-prod.appspot.com/uploads-v2/ly7o78grxPaC6KdgvbpS/pub/3aRdSog0vUtuqPE8AJKD.png" TargetMode="External"/><Relationship Id="rId1550" Type="http://schemas.openxmlformats.org/officeDocument/2006/relationships/hyperlink" Target="https://storage.googleapis.com/glide-prod.appspot.com/uploads-v2/ly7o78grxPaC6KdgvbpS/pub/UliJWgpEaBovaFmXi6OW.png" TargetMode="External"/><Relationship Id="rId1203" Type="http://schemas.openxmlformats.org/officeDocument/2006/relationships/hyperlink" Target="https://storage.googleapis.com/glide-prod.appspot.com/uploads-v2/ly7o78grxPaC6KdgvbpS/pub/3aRdSog0vUtuqPE8AJKD.png" TargetMode="External"/><Relationship Id="rId1410" Type="http://schemas.openxmlformats.org/officeDocument/2006/relationships/hyperlink" Target="https://storage.googleapis.com/glide-prod.appspot.com/uploads-v2/ly7o78grxPaC6KdgvbpS/pub/3aRdSog0vUtuqPE8AJKD.png" TargetMode="External"/><Relationship Id="rId1508" Type="http://schemas.openxmlformats.org/officeDocument/2006/relationships/hyperlink" Target="https://storage.googleapis.com/glide-prod.appspot.com/uploads-v2/ly7o78grxPaC6KdgvbpS/pub/3aRdSog0vUtuqPE8AJKD.png" TargetMode="External"/><Relationship Id="rId296" Type="http://schemas.openxmlformats.org/officeDocument/2006/relationships/hyperlink" Target="https://storage.googleapis.com/glide-prod.appspot.com/uploads-v2/ly7o78grxPaC6KdgvbpS/pub/UliJWgpEaBovaFmXi6OW.png" TargetMode="External"/><Relationship Id="rId156" Type="http://schemas.openxmlformats.org/officeDocument/2006/relationships/hyperlink" Target="https://storage.googleapis.com/glide-prod.appspot.com/uploads-v2/ly7o78grxPaC6KdgvbpS/pub/3aRdSog0vUtuqPE8AJKD.png" TargetMode="External"/><Relationship Id="rId363" Type="http://schemas.openxmlformats.org/officeDocument/2006/relationships/hyperlink" Target="https://storage.googleapis.com/glide-prod.appspot.com/uploads-v2/ly7o78grxPaC6KdgvbpS/pub/UliJWgpEaBovaFmXi6OW.png" TargetMode="External"/><Relationship Id="rId570" Type="http://schemas.openxmlformats.org/officeDocument/2006/relationships/hyperlink" Target="https://storage.googleapis.com/glide-prod.appspot.com/uploads-v2/ly7o78grxPaC6KdgvbpS/pub/3aRdSog0vUtuqPE8AJKD.png" TargetMode="External"/><Relationship Id="rId223" Type="http://schemas.openxmlformats.org/officeDocument/2006/relationships/hyperlink" Target="https://storage.googleapis.com/glide-prod.appspot.com/uploads-v2/ly7o78grxPaC6KdgvbpS/pub/3aRdSog0vUtuqPE8AJKD.png" TargetMode="External"/><Relationship Id="rId430" Type="http://schemas.openxmlformats.org/officeDocument/2006/relationships/hyperlink" Target="https://storage.googleapis.com/glide-prod.appspot.com/uploads-v2/ly7o78grxPaC6KdgvbpS/pub/3aRdSog0vUtuqPE8AJKD.png" TargetMode="External"/><Relationship Id="rId668" Type="http://schemas.openxmlformats.org/officeDocument/2006/relationships/hyperlink" Target="https://storage.googleapis.com/glide-prod.appspot.com/uploads-v2/ly7o78grxPaC6KdgvbpS/pub/3aRdSog0vUtuqPE8AJKD.png" TargetMode="External"/><Relationship Id="rId875" Type="http://schemas.openxmlformats.org/officeDocument/2006/relationships/hyperlink" Target="https://storage.googleapis.com/glide-prod.appspot.com/uploads-v2/ly7o78grxPaC6KdgvbpS/pub/3aRdSog0vUtuqPE8AJKD.png" TargetMode="External"/><Relationship Id="rId1060" Type="http://schemas.openxmlformats.org/officeDocument/2006/relationships/hyperlink" Target="https://storage.googleapis.com/glide-prod.appspot.com/uploads-v2/ly7o78grxPaC6KdgvbpS/pub/3aRdSog0vUtuqPE8AJKD.png" TargetMode="External"/><Relationship Id="rId1298" Type="http://schemas.openxmlformats.org/officeDocument/2006/relationships/hyperlink" Target="https://storage.googleapis.com/glide-prod.appspot.com/uploads-v2/ly7o78grxPaC6KdgvbpS/pub/3aRdSog0vUtuqPE8AJKD.png" TargetMode="External"/><Relationship Id="rId528" Type="http://schemas.openxmlformats.org/officeDocument/2006/relationships/hyperlink" Target="https://storage.googleapis.com/glide-prod.appspot.com/uploads-v2/ly7o78grxPaC6KdgvbpS/pub/3aRdSog0vUtuqPE8AJKD.png" TargetMode="External"/><Relationship Id="rId735" Type="http://schemas.openxmlformats.org/officeDocument/2006/relationships/hyperlink" Target="https://storage.googleapis.com/glide-prod.appspot.com/uploads-v2/ly7o78grxPaC6KdgvbpS/pub/3aRdSog0vUtuqPE8AJKD.png" TargetMode="External"/><Relationship Id="rId942" Type="http://schemas.openxmlformats.org/officeDocument/2006/relationships/hyperlink" Target="https://storage.googleapis.com/glide-prod.appspot.com/uploads-v2/ly7o78grxPaC6KdgvbpS/pub/UliJWgpEaBovaFmXi6OW.png" TargetMode="External"/><Relationship Id="rId1158" Type="http://schemas.openxmlformats.org/officeDocument/2006/relationships/hyperlink" Target="https://storage.googleapis.com/glide-prod.appspot.com/uploads-v2/ly7o78grxPaC6KdgvbpS/pub/3aRdSog0vUtuqPE8AJKD.png" TargetMode="External"/><Relationship Id="rId1365" Type="http://schemas.openxmlformats.org/officeDocument/2006/relationships/hyperlink" Target="https://storage.googleapis.com/glide-prod.appspot.com/uploads-v2/ly7o78grxPaC6KdgvbpS/pub/UliJWgpEaBovaFmXi6OW.png" TargetMode="External"/><Relationship Id="rId1018" Type="http://schemas.openxmlformats.org/officeDocument/2006/relationships/hyperlink" Target="https://storage.googleapis.com/glide-prod.appspot.com/uploads-v2/ly7o78grxPaC6KdgvbpS/pub/3aRdSog0vUtuqPE8AJKD.png" TargetMode="External"/><Relationship Id="rId1225" Type="http://schemas.openxmlformats.org/officeDocument/2006/relationships/hyperlink" Target="https://storage.googleapis.com/glide-prod.appspot.com/uploads-v2/ly7o78grxPaC6KdgvbpS/pub/3aRdSog0vUtuqPE8AJKD.png" TargetMode="External"/><Relationship Id="rId1432" Type="http://schemas.openxmlformats.org/officeDocument/2006/relationships/hyperlink" Target="https://storage.googleapis.com/glide-prod.appspot.com/uploads-v2/ly7o78grxPaC6KdgvbpS/pub/3aRdSog0vUtuqPE8AJKD.png" TargetMode="External"/><Relationship Id="rId71" Type="http://schemas.openxmlformats.org/officeDocument/2006/relationships/hyperlink" Target="https://storage.googleapis.com/glide-prod.appspot.com/uploads-v2/ly7o78grxPaC6KdgvbpS/pub/3aRdSog0vUtuqPE8AJKD.png" TargetMode="External"/><Relationship Id="rId802" Type="http://schemas.openxmlformats.org/officeDocument/2006/relationships/hyperlink" Target="https://storage.googleapis.com/glide-prod.appspot.com/uploads-v2/ly7o78grxPaC6KdgvbpS/pub/3aRdSog0vUtuqPE8AJKD.png" TargetMode="External"/><Relationship Id="rId29" Type="http://schemas.openxmlformats.org/officeDocument/2006/relationships/hyperlink" Target="https://storage.googleapis.com/glide-prod.appspot.com/uploads-v2/ly7o78grxPaC6KdgvbpS/pub/3aRdSog0vUtuqPE8AJKD.png" TargetMode="External"/><Relationship Id="rId178" Type="http://schemas.openxmlformats.org/officeDocument/2006/relationships/hyperlink" Target="https://storage.googleapis.com/glide-prod.appspot.com/uploads-v2/ly7o78grxPaC6KdgvbpS/pub/3aRdSog0vUtuqPE8AJKD.png" TargetMode="External"/><Relationship Id="rId385" Type="http://schemas.openxmlformats.org/officeDocument/2006/relationships/hyperlink" Target="https://storage.googleapis.com/glide-prod.appspot.com/uploads-v2/ly7o78grxPaC6KdgvbpS/pub/3aRdSog0vUtuqPE8AJKD.png" TargetMode="External"/><Relationship Id="rId592" Type="http://schemas.openxmlformats.org/officeDocument/2006/relationships/hyperlink" Target="https://storage.googleapis.com/glide-prod.appspot.com/uploads-v2/ly7o78grxPaC6KdgvbpS/pub/UliJWgpEaBovaFmXi6OW.png" TargetMode="External"/><Relationship Id="rId245" Type="http://schemas.openxmlformats.org/officeDocument/2006/relationships/hyperlink" Target="https://storage.googleapis.com/glide-prod.appspot.com/uploads-v2/ly7o78grxPaC6KdgvbpS/pub/UliJWgpEaBovaFmXi6OW.png" TargetMode="External"/><Relationship Id="rId452" Type="http://schemas.openxmlformats.org/officeDocument/2006/relationships/hyperlink" Target="https://storage.googleapis.com/glide-prod.appspot.com/uploads-v2/ly7o78grxPaC6KdgvbpS/pub/UliJWgpEaBovaFmXi6OW.png" TargetMode="External"/><Relationship Id="rId897" Type="http://schemas.openxmlformats.org/officeDocument/2006/relationships/hyperlink" Target="https://storage.googleapis.com/glide-prod.appspot.com/uploads-v2/ly7o78grxPaC6KdgvbpS/pub/3aRdSog0vUtuqPE8AJKD.png" TargetMode="External"/><Relationship Id="rId1082" Type="http://schemas.openxmlformats.org/officeDocument/2006/relationships/hyperlink" Target="https://storage.googleapis.com/glide-prod.appspot.com/uploads-v2/ly7o78grxPaC6KdgvbpS/pub/3aRdSog0vUtuqPE8AJKD.png" TargetMode="External"/><Relationship Id="rId105" Type="http://schemas.openxmlformats.org/officeDocument/2006/relationships/hyperlink" Target="https://storage.googleapis.com/glide-prod.appspot.com/uploads-v2/ly7o78grxPaC6KdgvbpS/pub/3aRdSog0vUtuqPE8AJKD.png" TargetMode="External"/><Relationship Id="rId312" Type="http://schemas.openxmlformats.org/officeDocument/2006/relationships/hyperlink" Target="https://storage.googleapis.com/glide-prod.appspot.com/uploads-v2/ly7o78grxPaC6KdgvbpS/pub/3aRdSog0vUtuqPE8AJKD.png" TargetMode="External"/><Relationship Id="rId757" Type="http://schemas.openxmlformats.org/officeDocument/2006/relationships/hyperlink" Target="https://storage.googleapis.com/glide-prod.appspot.com/uploads-v2/ly7o78grxPaC6KdgvbpS/pub/3aRdSog0vUtuqPE8AJKD.png" TargetMode="External"/><Relationship Id="rId964" Type="http://schemas.openxmlformats.org/officeDocument/2006/relationships/hyperlink" Target="https://storage.googleapis.com/glide-prod.appspot.com/uploads-v2/ly7o78grxPaC6KdgvbpS/pub/UliJWgpEaBovaFmXi6OW.png" TargetMode="External"/><Relationship Id="rId1387" Type="http://schemas.openxmlformats.org/officeDocument/2006/relationships/hyperlink" Target="https://storage.googleapis.com/glide-prod.appspot.com/uploads-v2/ly7o78grxPaC6KdgvbpS/pub/3aRdSog0vUtuqPE8AJKD.png" TargetMode="External"/><Relationship Id="rId93" Type="http://schemas.openxmlformats.org/officeDocument/2006/relationships/hyperlink" Target="https://storage.googleapis.com/glide-prod.appspot.com/uploads-v2/ly7o78grxPaC6KdgvbpS/pub/3aRdSog0vUtuqPE8AJKD.png" TargetMode="External"/><Relationship Id="rId617" Type="http://schemas.openxmlformats.org/officeDocument/2006/relationships/hyperlink" Target="https://storage.googleapis.com/glide-prod.appspot.com/uploads-v2/ly7o78grxPaC6KdgvbpS/pub/3aRdSog0vUtuqPE8AJKD.png" TargetMode="External"/><Relationship Id="rId824" Type="http://schemas.openxmlformats.org/officeDocument/2006/relationships/hyperlink" Target="https://storage.googleapis.com/glide-prod.appspot.com/uploads-v2/ly7o78grxPaC6KdgvbpS/pub/3aRdSog0vUtuqPE8AJKD.png" TargetMode="External"/><Relationship Id="rId1247" Type="http://schemas.openxmlformats.org/officeDocument/2006/relationships/hyperlink" Target="https://storage.googleapis.com/glide-prod.appspot.com/uploads-v2/ly7o78grxPaC6KdgvbpS/pub/UliJWgpEaBovaFmXi6OW.png" TargetMode="External"/><Relationship Id="rId1454" Type="http://schemas.openxmlformats.org/officeDocument/2006/relationships/hyperlink" Target="https://storage.googleapis.com/glide-prod.appspot.com/uploads-v2/ly7o78grxPaC6KdgvbpS/pub/3aRdSog0vUtuqPE8AJKD.png" TargetMode="External"/><Relationship Id="rId1107" Type="http://schemas.openxmlformats.org/officeDocument/2006/relationships/hyperlink" Target="https://storage.googleapis.com/glide-prod.appspot.com/uploads-v2/ly7o78grxPaC6KdgvbpS/pub/3aRdSog0vUtuqPE8AJKD.png" TargetMode="External"/><Relationship Id="rId1314" Type="http://schemas.openxmlformats.org/officeDocument/2006/relationships/hyperlink" Target="https://storage.googleapis.com/glide-prod.appspot.com/uploads-v2/ly7o78grxPaC6KdgvbpS/pub/3aRdSog0vUtuqPE8AJKD.png" TargetMode="External"/><Relationship Id="rId1521" Type="http://schemas.openxmlformats.org/officeDocument/2006/relationships/hyperlink" Target="https://storage.googleapis.com/glide-prod.appspot.com/uploads-v2/ly7o78grxPaC6KdgvbpS/pub/3aRdSog0vUtuqPE8AJKD.png" TargetMode="External"/><Relationship Id="rId20" Type="http://schemas.openxmlformats.org/officeDocument/2006/relationships/hyperlink" Target="https://storage.googleapis.com/glide-prod.appspot.com/uploads-v2/ly7o78grxPaC6KdgvbpS/pub/3aRdSog0vUtuqPE8AJKD.png" TargetMode="External"/><Relationship Id="rId267" Type="http://schemas.openxmlformats.org/officeDocument/2006/relationships/hyperlink" Target="https://storage.googleapis.com/glide-prod.appspot.com/uploads-v2/ly7o78grxPaC6KdgvbpS/pub/3aRdSog0vUtuqPE8AJKD.png" TargetMode="External"/><Relationship Id="rId474" Type="http://schemas.openxmlformats.org/officeDocument/2006/relationships/hyperlink" Target="https://storage.googleapis.com/glide-prod.appspot.com/uploads-v2/ly7o78grxPaC6KdgvbpS/pub/UliJWgpEaBovaFmXi6OW.png" TargetMode="External"/><Relationship Id="rId127" Type="http://schemas.openxmlformats.org/officeDocument/2006/relationships/hyperlink" Target="https://storage.googleapis.com/glide-prod.appspot.com/uploads-v2/ly7o78grxPaC6KdgvbpS/pub/3aRdSog0vUtuqPE8AJKD.png" TargetMode="External"/><Relationship Id="rId681" Type="http://schemas.openxmlformats.org/officeDocument/2006/relationships/hyperlink" Target="https://storage.googleapis.com/glide-prod.appspot.com/uploads-v2/ly7o78grxPaC6KdgvbpS/pub/3aRdSog0vUtuqPE8AJKD.png" TargetMode="External"/><Relationship Id="rId779" Type="http://schemas.openxmlformats.org/officeDocument/2006/relationships/hyperlink" Target="https://storage.googleapis.com/glide-prod.appspot.com/uploads-v2/ly7o78grxPaC6KdgvbpS/pub/3aRdSog0vUtuqPE8AJKD.png" TargetMode="External"/><Relationship Id="rId986" Type="http://schemas.openxmlformats.org/officeDocument/2006/relationships/hyperlink" Target="https://storage.googleapis.com/glide-prod.appspot.com/uploads-v2/ly7o78grxPaC6KdgvbpS/pub/3aRdSog0vUtuqPE8AJKD.png" TargetMode="External"/><Relationship Id="rId334" Type="http://schemas.openxmlformats.org/officeDocument/2006/relationships/hyperlink" Target="https://storage.googleapis.com/glide-prod.appspot.com/uploads-v2/ly7o78grxPaC6KdgvbpS/pub/3aRdSog0vUtuqPE8AJKD.png" TargetMode="External"/><Relationship Id="rId541" Type="http://schemas.openxmlformats.org/officeDocument/2006/relationships/hyperlink" Target="https://storage.googleapis.com/glide-prod.appspot.com/uploads-v2/ly7o78grxPaC6KdgvbpS/pub/3aRdSog0vUtuqPE8AJKD.png" TargetMode="External"/><Relationship Id="rId639" Type="http://schemas.openxmlformats.org/officeDocument/2006/relationships/hyperlink" Target="https://storage.googleapis.com/glide-prod.appspot.com/uploads-v2/ly7o78grxPaC6KdgvbpS/pub/3aRdSog0vUtuqPE8AJKD.png" TargetMode="External"/><Relationship Id="rId1171" Type="http://schemas.openxmlformats.org/officeDocument/2006/relationships/hyperlink" Target="https://storage.googleapis.com/glide-prod.appspot.com/uploads-v2/ly7o78grxPaC6KdgvbpS/pub/3aRdSog0vUtuqPE8AJKD.png" TargetMode="External"/><Relationship Id="rId1269" Type="http://schemas.openxmlformats.org/officeDocument/2006/relationships/hyperlink" Target="https://storage.googleapis.com/glide-prod.appspot.com/uploads-v2/ly7o78grxPaC6KdgvbpS/pub/3aRdSog0vUtuqPE8AJKD.png" TargetMode="External"/><Relationship Id="rId1476" Type="http://schemas.openxmlformats.org/officeDocument/2006/relationships/hyperlink" Target="https://storage.googleapis.com/glide-prod.appspot.com/uploads-v2/ly7o78grxPaC6KdgvbpS/pub/3aRdSog0vUtuqPE8AJKD.png" TargetMode="External"/><Relationship Id="rId401" Type="http://schemas.openxmlformats.org/officeDocument/2006/relationships/hyperlink" Target="https://storage.googleapis.com/glide-prod.appspot.com/uploads-v2/ly7o78grxPaC6KdgvbpS/pub/3aRdSog0vUtuqPE8AJKD.png" TargetMode="External"/><Relationship Id="rId846" Type="http://schemas.openxmlformats.org/officeDocument/2006/relationships/hyperlink" Target="https://storage.googleapis.com/glide-prod.appspot.com/uploads-v2/ly7o78grxPaC6KdgvbpS/pub/3aRdSog0vUtuqPE8AJKD.png" TargetMode="External"/><Relationship Id="rId1031" Type="http://schemas.openxmlformats.org/officeDocument/2006/relationships/hyperlink" Target="https://storage.googleapis.com/glide-prod.appspot.com/uploads-v2/ly7o78grxPaC6KdgvbpS/pub/3aRdSog0vUtuqPE8AJKD.png" TargetMode="External"/><Relationship Id="rId1129" Type="http://schemas.openxmlformats.org/officeDocument/2006/relationships/hyperlink" Target="https://storage.googleapis.com/glide-prod.appspot.com/uploads-v2/ly7o78grxPaC6KdgvbpS/pub/3aRdSog0vUtuqPE8AJKD.png" TargetMode="External"/><Relationship Id="rId706" Type="http://schemas.openxmlformats.org/officeDocument/2006/relationships/hyperlink" Target="https://storage.googleapis.com/glide-prod.appspot.com/uploads-v2/ly7o78grxPaC6KdgvbpS/pub/3aRdSog0vUtuqPE8AJKD.png" TargetMode="External"/><Relationship Id="rId913" Type="http://schemas.openxmlformats.org/officeDocument/2006/relationships/hyperlink" Target="https://storage.googleapis.com/glide-prod.appspot.com/uploads-v2/ly7o78grxPaC6KdgvbpS/pub/3aRdSog0vUtuqPE8AJKD.png" TargetMode="External"/><Relationship Id="rId1336" Type="http://schemas.openxmlformats.org/officeDocument/2006/relationships/hyperlink" Target="https://storage.googleapis.com/glide-prod.appspot.com/uploads-v2/ly7o78grxPaC6KdgvbpS/pub/3aRdSog0vUtuqPE8AJKD.png" TargetMode="External"/><Relationship Id="rId1543" Type="http://schemas.openxmlformats.org/officeDocument/2006/relationships/hyperlink" Target="https://storage.googleapis.com/glide-prod.appspot.com/uploads-v2/ly7o78grxPaC6KdgvbpS/pub/UliJWgpEaBovaFmXi6OW.png" TargetMode="External"/><Relationship Id="rId42" Type="http://schemas.openxmlformats.org/officeDocument/2006/relationships/hyperlink" Target="https://storage.googleapis.com/glide-prod.appspot.com/uploads-v2/ly7o78grxPaC6KdgvbpS/pub/3aRdSog0vUtuqPE8AJKD.png" TargetMode="External"/><Relationship Id="rId1403" Type="http://schemas.openxmlformats.org/officeDocument/2006/relationships/hyperlink" Target="https://storage.googleapis.com/glide-prod.appspot.com/uploads-v2/ly7o78grxPaC6KdgvbpS/pub/3aRdSog0vUtuqPE8AJKD.png" TargetMode="External"/><Relationship Id="rId191" Type="http://schemas.openxmlformats.org/officeDocument/2006/relationships/hyperlink" Target="https://storage.googleapis.com/glide-prod.appspot.com/uploads-v2/ly7o78grxPaC6KdgvbpS/pub/3aRdSog0vUtuqPE8AJKD.png" TargetMode="External"/><Relationship Id="rId289" Type="http://schemas.openxmlformats.org/officeDocument/2006/relationships/hyperlink" Target="https://storage.googleapis.com/glide-prod.appspot.com/uploads-v2/ly7o78grxPaC6KdgvbpS/pub/UliJWgpEaBovaFmXi6OW.png" TargetMode="External"/><Relationship Id="rId496" Type="http://schemas.openxmlformats.org/officeDocument/2006/relationships/hyperlink" Target="https://storage.googleapis.com/glide-prod.appspot.com/uploads-v2/ly7o78grxPaC6KdgvbpS/pub/UliJWgpEaBovaFmXi6OW.png" TargetMode="External"/><Relationship Id="rId149" Type="http://schemas.openxmlformats.org/officeDocument/2006/relationships/hyperlink" Target="https://storage.googleapis.com/glide-prod.appspot.com/uploads-v2/ly7o78grxPaC6KdgvbpS/pub/3aRdSog0vUtuqPE8AJKD.png" TargetMode="External"/><Relationship Id="rId356" Type="http://schemas.openxmlformats.org/officeDocument/2006/relationships/hyperlink" Target="https://storage.googleapis.com/glide-prod.appspot.com/uploads-v2/ly7o78grxPaC6KdgvbpS/pub/UliJWgpEaBovaFmXi6OW.png" TargetMode="External"/><Relationship Id="rId563" Type="http://schemas.openxmlformats.org/officeDocument/2006/relationships/hyperlink" Target="https://storage.googleapis.com/glide-prod.appspot.com/uploads-v2/ly7o78grxPaC6KdgvbpS/pub/3aRdSog0vUtuqPE8AJKD.png" TargetMode="External"/><Relationship Id="rId770" Type="http://schemas.openxmlformats.org/officeDocument/2006/relationships/hyperlink" Target="https://storage.googleapis.com/glide-prod.appspot.com/uploads-v2/ly7o78grxPaC6KdgvbpS/pub/3aRdSog0vUtuqPE8AJKD.png" TargetMode="External"/><Relationship Id="rId1193" Type="http://schemas.openxmlformats.org/officeDocument/2006/relationships/hyperlink" Target="https://storage.googleapis.com/glide-prod.appspot.com/uploads-v2/ly7o78grxPaC6KdgvbpS/pub/3aRdSog0vUtuqPE8AJKD.png" TargetMode="External"/><Relationship Id="rId216" Type="http://schemas.openxmlformats.org/officeDocument/2006/relationships/hyperlink" Target="https://storage.googleapis.com/glide-prod.appspot.com/uploads-v2/ly7o78grxPaC6KdgvbpS/pub/3aRdSog0vUtuqPE8AJKD.png" TargetMode="External"/><Relationship Id="rId423" Type="http://schemas.openxmlformats.org/officeDocument/2006/relationships/hyperlink" Target="https://storage.googleapis.com/glide-prod.appspot.com/uploads-v2/ly7o78grxPaC6KdgvbpS/pub/3aRdSog0vUtuqPE8AJKD.png" TargetMode="External"/><Relationship Id="rId868" Type="http://schemas.openxmlformats.org/officeDocument/2006/relationships/hyperlink" Target="https://storage.googleapis.com/glide-prod.appspot.com/uploads-v2/ly7o78grxPaC6KdgvbpS/pub/3aRdSog0vUtuqPE8AJKD.png" TargetMode="External"/><Relationship Id="rId1053" Type="http://schemas.openxmlformats.org/officeDocument/2006/relationships/hyperlink" Target="https://storage.googleapis.com/glide-prod.appspot.com/uploads-v2/ly7o78grxPaC6KdgvbpS/pub/3aRdSog0vUtuqPE8AJKD.png" TargetMode="External"/><Relationship Id="rId1260" Type="http://schemas.openxmlformats.org/officeDocument/2006/relationships/hyperlink" Target="https://storage.googleapis.com/glide-prod.appspot.com/uploads-v2/ly7o78grxPaC6KdgvbpS/pub/3aRdSog0vUtuqPE8AJKD.png" TargetMode="External"/><Relationship Id="rId1498" Type="http://schemas.openxmlformats.org/officeDocument/2006/relationships/hyperlink" Target="https://storage.googleapis.com/glide-prod.appspot.com/uploads-v2/ly7o78grxPaC6KdgvbpS/pub/pVhJAtCRxQ3IVgkuirsK.heic" TargetMode="External"/><Relationship Id="rId630" Type="http://schemas.openxmlformats.org/officeDocument/2006/relationships/hyperlink" Target="https://storage.googleapis.com/glide-prod.appspot.com/uploads-v2/ly7o78grxPaC6KdgvbpS/pub/3aRdSog0vUtuqPE8AJKD.png" TargetMode="External"/><Relationship Id="rId728" Type="http://schemas.openxmlformats.org/officeDocument/2006/relationships/hyperlink" Target="https://storage.googleapis.com/glide-prod.appspot.com/uploads-v2/ly7o78grxPaC6KdgvbpS/pub/3aRdSog0vUtuqPE8AJKD.png" TargetMode="External"/><Relationship Id="rId935" Type="http://schemas.openxmlformats.org/officeDocument/2006/relationships/hyperlink" Target="https://storage.googleapis.com/glide-prod.appspot.com/uploads-v2/ly7o78grxPaC6KdgvbpS/pub/UliJWgpEaBovaFmXi6OW.png" TargetMode="External"/><Relationship Id="rId1358" Type="http://schemas.openxmlformats.org/officeDocument/2006/relationships/hyperlink" Target="https://storage.googleapis.com/glide-prod.appspot.com/uploads-v2/ly7o78grxPaC6KdgvbpS/pub/UliJWgpEaBovaFmXi6OW.png" TargetMode="External"/><Relationship Id="rId64" Type="http://schemas.openxmlformats.org/officeDocument/2006/relationships/hyperlink" Target="https://storage.googleapis.com/glide-prod.appspot.com/uploads-v2/ly7o78grxPaC6KdgvbpS/pub/3aRdSog0vUtuqPE8AJKD.png" TargetMode="External"/><Relationship Id="rId1120" Type="http://schemas.openxmlformats.org/officeDocument/2006/relationships/hyperlink" Target="https://storage.googleapis.com/glide-prod.appspot.com/uploads-v2/ly7o78grxPaC6KdgvbpS/pub/3aRdSog0vUtuqPE8AJKD.png" TargetMode="External"/><Relationship Id="rId1218" Type="http://schemas.openxmlformats.org/officeDocument/2006/relationships/hyperlink" Target="https://storage.googleapis.com/glide-prod.appspot.com/uploads-v2/ly7o78grxPaC6KdgvbpS/pub/3aRdSog0vUtuqPE8AJKD.png" TargetMode="External"/><Relationship Id="rId1425" Type="http://schemas.openxmlformats.org/officeDocument/2006/relationships/hyperlink" Target="https://storage.googleapis.com/glide-prod.appspot.com/uploads-v2/ly7o78grxPaC6KdgvbpS/pub/3aRdSog0vUtuqPE8AJKD.png" TargetMode="External"/><Relationship Id="rId280" Type="http://schemas.openxmlformats.org/officeDocument/2006/relationships/hyperlink" Target="https://storage.googleapis.com/glide-prod.appspot.com/uploads-v2/ly7o78grxPaC6KdgvbpS/pub/3aRdSog0vUtuqPE8AJKD.png" TargetMode="External"/><Relationship Id="rId140" Type="http://schemas.openxmlformats.org/officeDocument/2006/relationships/hyperlink" Target="https://storage.googleapis.com/glide-prod.appspot.com/uploads-v2/ly7o78grxPaC6KdgvbpS/pub/3aRdSog0vUtuqPE8AJKD.png" TargetMode="External"/><Relationship Id="rId378" Type="http://schemas.openxmlformats.org/officeDocument/2006/relationships/hyperlink" Target="https://storage.googleapis.com/glide-prod.appspot.com/uploads-v2/ly7o78grxPaC6KdgvbpS/pub/3aRdSog0vUtuqPE8AJKD.png" TargetMode="External"/><Relationship Id="rId585" Type="http://schemas.openxmlformats.org/officeDocument/2006/relationships/hyperlink" Target="https://storage.googleapis.com/glide-prod.appspot.com/uploads-v2/ly7o78grxPaC6KdgvbpS/pub/UliJWgpEaBovaFmXi6OW.png" TargetMode="External"/><Relationship Id="rId792" Type="http://schemas.openxmlformats.org/officeDocument/2006/relationships/hyperlink" Target="https://storage.googleapis.com/glide-prod.appspot.com/uploads-v2/ly7o78grxPaC6KdgvbpS/pub/3aRdSog0vUtuqPE8AJKD.png" TargetMode="External"/><Relationship Id="rId6" Type="http://schemas.openxmlformats.org/officeDocument/2006/relationships/hyperlink" Target="https://storage.googleapis.com/glide-prod.appspot.com/uploads-v2/ly7o78grxPaC6KdgvbpS/pub/3aRdSog0vUtuqPE8AJKD.png" TargetMode="External"/><Relationship Id="rId238" Type="http://schemas.openxmlformats.org/officeDocument/2006/relationships/hyperlink" Target="https://storage.googleapis.com/glide-prod.appspot.com/uploads-v2/ly7o78grxPaC6KdgvbpS/pub/3aRdSog0vUtuqPE8AJKD.png" TargetMode="External"/><Relationship Id="rId445" Type="http://schemas.openxmlformats.org/officeDocument/2006/relationships/hyperlink" Target="https://storage.googleapis.com/glide-prod.appspot.com/uploads-v2/ly7o78grxPaC6KdgvbpS/pub/3aRdSog0vUtuqPE8AJKD.png" TargetMode="External"/><Relationship Id="rId652" Type="http://schemas.openxmlformats.org/officeDocument/2006/relationships/hyperlink" Target="https://storage.googleapis.com/glide-prod.appspot.com/uploads-v2/ly7o78grxPaC6KdgvbpS/pub/3aRdSog0vUtuqPE8AJKD.png" TargetMode="External"/><Relationship Id="rId1075" Type="http://schemas.openxmlformats.org/officeDocument/2006/relationships/hyperlink" Target="https://storage.googleapis.com/glide-prod.appspot.com/uploads-v2/ly7o78grxPaC6KdgvbpS/pub/3aRdSog0vUtuqPE8AJKD.png" TargetMode="External"/><Relationship Id="rId1282" Type="http://schemas.openxmlformats.org/officeDocument/2006/relationships/hyperlink" Target="https://storage.googleapis.com/glide-prod.appspot.com/uploads-v2/ly7o78grxPaC6KdgvbpS/pub/3aRdSog0vUtuqPE8AJKD.png" TargetMode="External"/><Relationship Id="rId305" Type="http://schemas.openxmlformats.org/officeDocument/2006/relationships/hyperlink" Target="https://storage.googleapis.com/glide-prod.appspot.com/uploads-v2/ly7o78grxPaC6KdgvbpS/pub/UZ2rPBV5farhJR9WO4YI.jpg" TargetMode="External"/><Relationship Id="rId512" Type="http://schemas.openxmlformats.org/officeDocument/2006/relationships/hyperlink" Target="https://storage.googleapis.com/glide-prod.appspot.com/uploads-v2/ly7o78grxPaC6KdgvbpS/pub/3aRdSog0vUtuqPE8AJKD.png" TargetMode="External"/><Relationship Id="rId957" Type="http://schemas.openxmlformats.org/officeDocument/2006/relationships/hyperlink" Target="https://storage.googleapis.com/glide-prod.appspot.com/uploads-v2/ly7o78grxPaC6KdgvbpS/pub/UliJWgpEaBovaFmXi6OW.png" TargetMode="External"/><Relationship Id="rId1142" Type="http://schemas.openxmlformats.org/officeDocument/2006/relationships/hyperlink" Target="https://storage.googleapis.com/glide-prod.appspot.com/uploads-v2/ly7o78grxPaC6KdgvbpS/pub/3aRdSog0vUtuqPE8AJKD.png" TargetMode="External"/><Relationship Id="rId86" Type="http://schemas.openxmlformats.org/officeDocument/2006/relationships/hyperlink" Target="https://storage.googleapis.com/glide-prod.appspot.com/uploads-v2/ly7o78grxPaC6KdgvbpS/pub/3aRdSog0vUtuqPE8AJKD.png" TargetMode="External"/><Relationship Id="rId817" Type="http://schemas.openxmlformats.org/officeDocument/2006/relationships/hyperlink" Target="https://storage.googleapis.com/glide-prod.appspot.com/uploads-v2/ly7o78grxPaC6KdgvbpS/pub/3aRdSog0vUtuqPE8AJKD.png" TargetMode="External"/><Relationship Id="rId1002" Type="http://schemas.openxmlformats.org/officeDocument/2006/relationships/hyperlink" Target="https://storage.googleapis.com/glide-prod.appspot.com/uploads-v2/ly7o78grxPaC6KdgvbpS/pub/3aRdSog0vUtuqPE8AJKD.png" TargetMode="External"/><Relationship Id="rId1447" Type="http://schemas.openxmlformats.org/officeDocument/2006/relationships/hyperlink" Target="https://storage.googleapis.com/glide-prod.appspot.com/uploads-v2/ly7o78grxPaC6KdgvbpS/pub/3aRdSog0vUtuqPE8AJKD.png" TargetMode="External"/><Relationship Id="rId1307" Type="http://schemas.openxmlformats.org/officeDocument/2006/relationships/hyperlink" Target="https://storage.googleapis.com/glide-prod.appspot.com/uploads-v2/ly7o78grxPaC6KdgvbpS/pub/3aRdSog0vUtuqPE8AJKD.png" TargetMode="External"/><Relationship Id="rId1514" Type="http://schemas.openxmlformats.org/officeDocument/2006/relationships/hyperlink" Target="https://storage.googleapis.com/glide-prod.appspot.com/uploads-v2/ly7o78grxPaC6KdgvbpS/pub/3aRdSog0vUtuqPE8AJKD.png" TargetMode="External"/><Relationship Id="rId13" Type="http://schemas.openxmlformats.org/officeDocument/2006/relationships/hyperlink" Target="https://storage.googleapis.com/glide-prod.appspot.com/uploads-v2/ly7o78grxPaC6KdgvbpS/pub/3aRdSog0vUtuqPE8AJKD.png" TargetMode="External"/><Relationship Id="rId162" Type="http://schemas.openxmlformats.org/officeDocument/2006/relationships/hyperlink" Target="https://storage.googleapis.com/glide-prod.appspot.com/uploads-v2/ly7o78grxPaC6KdgvbpS/pub/3aRdSog0vUtuqPE8AJKD.png" TargetMode="External"/><Relationship Id="rId467" Type="http://schemas.openxmlformats.org/officeDocument/2006/relationships/hyperlink" Target="https://storage.googleapis.com/glide-prod.appspot.com/uploads-v2/ly7o78grxPaC6KdgvbpS/pub/UliJWgpEaBovaFmXi6OW.png" TargetMode="External"/><Relationship Id="rId1097" Type="http://schemas.openxmlformats.org/officeDocument/2006/relationships/hyperlink" Target="https://storage.googleapis.com/glide-prod.appspot.com/uploads-v2/ly7o78grxPaC6KdgvbpS/pub/UliJWgpEaBovaFmXi6OW.png" TargetMode="External"/><Relationship Id="rId674" Type="http://schemas.openxmlformats.org/officeDocument/2006/relationships/hyperlink" Target="https://storage.googleapis.com/glide-prod.appspot.com/uploads-v2/ly7o78grxPaC6KdgvbpS/pub/3aRdSog0vUtuqPE8AJKD.png" TargetMode="External"/><Relationship Id="rId881" Type="http://schemas.openxmlformats.org/officeDocument/2006/relationships/hyperlink" Target="https://storage.googleapis.com/glide-prod.appspot.com/uploads-v2/ly7o78grxPaC6KdgvbpS/pub/3aRdSog0vUtuqPE8AJKD.png" TargetMode="External"/><Relationship Id="rId979" Type="http://schemas.openxmlformats.org/officeDocument/2006/relationships/hyperlink" Target="https://storage.googleapis.com/glide-prod.appspot.com/uploads-v2/ly7o78grxPaC6KdgvbpS/pub/3aRdSog0vUtuqPE8AJKD.png" TargetMode="External"/><Relationship Id="rId327" Type="http://schemas.openxmlformats.org/officeDocument/2006/relationships/hyperlink" Target="https://storage.googleapis.com/glide-prod.appspot.com/uploads-v2/ly7o78grxPaC6KdgvbpS/pub/3aRdSog0vUtuqPE8AJKD.png" TargetMode="External"/><Relationship Id="rId534" Type="http://schemas.openxmlformats.org/officeDocument/2006/relationships/hyperlink" Target="https://storage.googleapis.com/glide-prod.appspot.com/uploads-v2/ly7o78grxPaC6KdgvbpS/pub/3aRdSog0vUtuqPE8AJKD.png" TargetMode="External"/><Relationship Id="rId741" Type="http://schemas.openxmlformats.org/officeDocument/2006/relationships/hyperlink" Target="https://storage.googleapis.com/glide-prod.appspot.com/uploads-v2/ly7o78grxPaC6KdgvbpS/pub/3aRdSog0vUtuqPE8AJKD.png" TargetMode="External"/><Relationship Id="rId839" Type="http://schemas.openxmlformats.org/officeDocument/2006/relationships/hyperlink" Target="https://storage.googleapis.com/glide-prod.appspot.com/uploads-v2/ly7o78grxPaC6KdgvbpS/pub/3aRdSog0vUtuqPE8AJKD.png" TargetMode="External"/><Relationship Id="rId1164" Type="http://schemas.openxmlformats.org/officeDocument/2006/relationships/hyperlink" Target="https://storage.googleapis.com/glide-prod.appspot.com/uploads-v2/ly7o78grxPaC6KdgvbpS/pub/3aRdSog0vUtuqPE8AJKD.png" TargetMode="External"/><Relationship Id="rId1371" Type="http://schemas.openxmlformats.org/officeDocument/2006/relationships/hyperlink" Target="https://storage.googleapis.com/glide-prod.appspot.com/uploads-v2/ly7o78grxPaC6KdgvbpS/pub/UliJWgpEaBovaFmXi6OW.png" TargetMode="External"/><Relationship Id="rId1469" Type="http://schemas.openxmlformats.org/officeDocument/2006/relationships/hyperlink" Target="https://storage.googleapis.com/glide-prod.appspot.com/uploads-v2/ly7o78grxPaC6KdgvbpS/pub/3aRdSog0vUtuqPE8AJKD.png" TargetMode="External"/><Relationship Id="rId601" Type="http://schemas.openxmlformats.org/officeDocument/2006/relationships/hyperlink" Target="https://storage.googleapis.com/glide-prod.appspot.com/uploads-v2/ly7o78grxPaC6KdgvbpS/pub/UliJWgpEaBovaFmXi6OW.png" TargetMode="External"/><Relationship Id="rId1024" Type="http://schemas.openxmlformats.org/officeDocument/2006/relationships/hyperlink" Target="https://storage.googleapis.com/glide-prod.appspot.com/uploads-v2/ly7o78grxPaC6KdgvbpS/pub/3aRdSog0vUtuqPE8AJKD.png" TargetMode="External"/><Relationship Id="rId1231" Type="http://schemas.openxmlformats.org/officeDocument/2006/relationships/hyperlink" Target="https://storage.googleapis.com/glide-prod.appspot.com/uploads-v2/ly7o78grxPaC6KdgvbpS/pub/UliJWgpEaBovaFmXi6OW.png" TargetMode="External"/><Relationship Id="rId906" Type="http://schemas.openxmlformats.org/officeDocument/2006/relationships/hyperlink" Target="https://storage.googleapis.com/glide-prod.appspot.com/uploads-v2/ly7o78grxPaC6KdgvbpS/pub/3aRdSog0vUtuqPE8AJKD.png" TargetMode="External"/><Relationship Id="rId1329" Type="http://schemas.openxmlformats.org/officeDocument/2006/relationships/hyperlink" Target="https://storage.googleapis.com/glide-prod.appspot.com/uploads-v2/ly7o78grxPaC6KdgvbpS/pub/3aRdSog0vUtuqPE8AJKD.png" TargetMode="External"/><Relationship Id="rId1536" Type="http://schemas.openxmlformats.org/officeDocument/2006/relationships/hyperlink" Target="https://storage.googleapis.com/glide-prod.appspot.com/uploads-v2/ly7o78grxPaC6KdgvbpS/pub/UliJWgpEaBovaFmXi6OW.png" TargetMode="External"/><Relationship Id="rId35" Type="http://schemas.openxmlformats.org/officeDocument/2006/relationships/hyperlink" Target="https://storage.googleapis.com/glide-prod.appspot.com/uploads-v2/ly7o78grxPaC6KdgvbpS/pub/UliJWgpEaBovaFmXi6OW.png" TargetMode="External"/><Relationship Id="rId184" Type="http://schemas.openxmlformats.org/officeDocument/2006/relationships/hyperlink" Target="https://storage.googleapis.com/glide-prod.appspot.com/uploads-v2/ly7o78grxPaC6KdgvbpS/pub/3aRdSog0vUtuqPE8AJKD.png" TargetMode="External"/><Relationship Id="rId391" Type="http://schemas.openxmlformats.org/officeDocument/2006/relationships/hyperlink" Target="https://storage.googleapis.com/glide-prod.appspot.com/uploads-v2/ly7o78grxPaC6KdgvbpS/pub/3aRdSog0vUtuqPE8AJKD.png" TargetMode="External"/><Relationship Id="rId251" Type="http://schemas.openxmlformats.org/officeDocument/2006/relationships/hyperlink" Target="https://storage.googleapis.com/glide-prod.appspot.com/uploads-v2/ly7o78grxPaC6KdgvbpS/pub/UliJWgpEaBovaFmXi6OW.png" TargetMode="External"/><Relationship Id="rId489" Type="http://schemas.openxmlformats.org/officeDocument/2006/relationships/hyperlink" Target="https://storage.googleapis.com/glide-prod.appspot.com/uploads-v2/ly7o78grxPaC6KdgvbpS/pub/3aRdSog0vUtuqPE8AJKD.png" TargetMode="External"/><Relationship Id="rId696" Type="http://schemas.openxmlformats.org/officeDocument/2006/relationships/hyperlink" Target="https://storage.googleapis.com/glide-prod.appspot.com/uploads-v2/ly7o78grxPaC6KdgvbpS/pub/3aRdSog0vUtuqPE8AJKD.png" TargetMode="External"/><Relationship Id="rId349" Type="http://schemas.openxmlformats.org/officeDocument/2006/relationships/hyperlink" Target="https://storage.googleapis.com/glide-prod.appspot.com/uploads-v2/ly7o78grxPaC6KdgvbpS/pub/3aRdSog0vUtuqPE8AJKD.png" TargetMode="External"/><Relationship Id="rId556" Type="http://schemas.openxmlformats.org/officeDocument/2006/relationships/hyperlink" Target="https://storage.googleapis.com/glide-prod.appspot.com/uploads-v2/ly7o78grxPaC6KdgvbpS/pub/3aRdSog0vUtuqPE8AJKD.png" TargetMode="External"/><Relationship Id="rId763" Type="http://schemas.openxmlformats.org/officeDocument/2006/relationships/hyperlink" Target="https://storage.googleapis.com/glide-prod.appspot.com/uploads-v2/ly7o78grxPaC6KdgvbpS/pub/3aRdSog0vUtuqPE8AJKD.png" TargetMode="External"/><Relationship Id="rId1186" Type="http://schemas.openxmlformats.org/officeDocument/2006/relationships/hyperlink" Target="https://storage.googleapis.com/glide-prod.appspot.com/uploads-v2/ly7o78grxPaC6KdgvbpS/pub/3aRdSog0vUtuqPE8AJKD.png" TargetMode="External"/><Relationship Id="rId1393" Type="http://schemas.openxmlformats.org/officeDocument/2006/relationships/hyperlink" Target="https://storage.googleapis.com/glide-prod.appspot.com/uploads-v2/ly7o78grxPaC6KdgvbpS/pub/3aRdSog0vUtuqPE8AJKD.png" TargetMode="External"/><Relationship Id="rId111" Type="http://schemas.openxmlformats.org/officeDocument/2006/relationships/hyperlink" Target="https://storage.googleapis.com/glide-prod.appspot.com/uploads-v2/ly7o78grxPaC6KdgvbpS/pub/QUugpdJDbVvO9LJC4smY.jpg" TargetMode="External"/><Relationship Id="rId209" Type="http://schemas.openxmlformats.org/officeDocument/2006/relationships/hyperlink" Target="https://storage.googleapis.com/glide-prod.appspot.com/uploads-v2/ly7o78grxPaC6KdgvbpS/pub/UliJWgpEaBovaFmXi6OW.png" TargetMode="External"/><Relationship Id="rId416" Type="http://schemas.openxmlformats.org/officeDocument/2006/relationships/hyperlink" Target="https://storage.googleapis.com/glide-prod.appspot.com/uploads-v2/ly7o78grxPaC6KdgvbpS/pub/3aRdSog0vUtuqPE8AJKD.png" TargetMode="External"/><Relationship Id="rId970" Type="http://schemas.openxmlformats.org/officeDocument/2006/relationships/hyperlink" Target="https://storage.googleapis.com/glide-prod.appspot.com/uploads-v2/ly7o78grxPaC6KdgvbpS/pub/3aRdSog0vUtuqPE8AJKD.png" TargetMode="External"/><Relationship Id="rId1046" Type="http://schemas.openxmlformats.org/officeDocument/2006/relationships/hyperlink" Target="https://storage.googleapis.com/glide-prod.appspot.com/uploads-v2/ly7o78grxPaC6KdgvbpS/pub/3aRdSog0vUtuqPE8AJKD.png" TargetMode="External"/><Relationship Id="rId1253" Type="http://schemas.openxmlformats.org/officeDocument/2006/relationships/hyperlink" Target="https://storage.googleapis.com/glide-prod.appspot.com/uploads-v2/ly7o78grxPaC6KdgvbpS/pub/3aRdSog0vUtuqPE8AJKD.png" TargetMode="External"/><Relationship Id="rId623" Type="http://schemas.openxmlformats.org/officeDocument/2006/relationships/hyperlink" Target="https://storage.googleapis.com/glide-prod.appspot.com/uploads-v2/ly7o78grxPaC6KdgvbpS/pub/3aRdSog0vUtuqPE8AJKD.png" TargetMode="External"/><Relationship Id="rId830" Type="http://schemas.openxmlformats.org/officeDocument/2006/relationships/hyperlink" Target="https://storage.googleapis.com/glide-prod.appspot.com/uploads-v2/ly7o78grxPaC6KdgvbpS/pub/3aRdSog0vUtuqPE8AJKD.png" TargetMode="External"/><Relationship Id="rId928" Type="http://schemas.openxmlformats.org/officeDocument/2006/relationships/hyperlink" Target="https://storage.googleapis.com/glide-prod.appspot.com/uploads-v2/ly7o78grxPaC6KdgvbpS/pub/3aRdSog0vUtuqPE8AJKD.png" TargetMode="External"/><Relationship Id="rId1460" Type="http://schemas.openxmlformats.org/officeDocument/2006/relationships/hyperlink" Target="https://storage.googleapis.com/glide-prod.appspot.com/uploads-v2/ly7o78grxPaC6KdgvbpS/pub/3aRdSog0vUtuqPE8AJKD.png" TargetMode="External"/><Relationship Id="rId1558" Type="http://schemas.openxmlformats.org/officeDocument/2006/relationships/hyperlink" Target="https://storage.googleapis.com/glide-prod.appspot.com/uploads-v2/ly7o78grxPaC6KdgvbpS/pub/3aRdSog0vUtuqPE8AJKD.png" TargetMode="External"/><Relationship Id="rId57" Type="http://schemas.openxmlformats.org/officeDocument/2006/relationships/hyperlink" Target="https://storage.googleapis.com/glide-prod.appspot.com/uploads-v2/ly7o78grxPaC6KdgvbpS/pub/3aRdSog0vUtuqPE8AJKD.png" TargetMode="External"/><Relationship Id="rId1113" Type="http://schemas.openxmlformats.org/officeDocument/2006/relationships/hyperlink" Target="https://storage.googleapis.com/glide-prod.appspot.com/uploads-v2/ly7o78grxPaC6KdgvbpS/pub/3aRdSog0vUtuqPE8AJKD.png" TargetMode="External"/><Relationship Id="rId1320" Type="http://schemas.openxmlformats.org/officeDocument/2006/relationships/hyperlink" Target="https://storage.googleapis.com/glide-prod.appspot.com/uploads-v2/ly7o78grxPaC6KdgvbpS/pub/3aRdSog0vUtuqPE8AJKD.png" TargetMode="External"/><Relationship Id="rId1418" Type="http://schemas.openxmlformats.org/officeDocument/2006/relationships/hyperlink" Target="https://storage.googleapis.com/glide-prod.appspot.com/uploads-v2/ly7o78grxPaC6KdgvbpS/pub/3aRdSog0vUtuqPE8AJKD.png" TargetMode="External"/><Relationship Id="rId273" Type="http://schemas.openxmlformats.org/officeDocument/2006/relationships/hyperlink" Target="https://storage.googleapis.com/glide-prod.appspot.com/uploads-v2/ly7o78grxPaC6KdgvbpS/pub/3aRdSog0vUtuqPE8AJKD.png" TargetMode="External"/><Relationship Id="rId480" Type="http://schemas.openxmlformats.org/officeDocument/2006/relationships/hyperlink" Target="https://storage.googleapis.com/glide-prod.appspot.com/uploads-v2/ly7o78grxPaC6KdgvbpS/pub/UliJWgpEaBovaFmXi6OW.png" TargetMode="External"/><Relationship Id="rId133" Type="http://schemas.openxmlformats.org/officeDocument/2006/relationships/hyperlink" Target="https://storage.googleapis.com/glide-prod.appspot.com/uploads-v2/ly7o78grxPaC6KdgvbpS/pub/3aRdSog0vUtuqPE8AJKD.png" TargetMode="External"/><Relationship Id="rId340" Type="http://schemas.openxmlformats.org/officeDocument/2006/relationships/hyperlink" Target="https://storage.googleapis.com/glide-prod.appspot.com/uploads-v2/ly7o78grxPaC6KdgvbpS/pub/3aRdSog0vUtuqPE8AJKD.png" TargetMode="External"/><Relationship Id="rId578" Type="http://schemas.openxmlformats.org/officeDocument/2006/relationships/hyperlink" Target="https://storage.googleapis.com/glide-prod.appspot.com/uploads-v2/ly7o78grxPaC6KdgvbpS/pub/3aRdSog0vUtuqPE8AJKD.png" TargetMode="External"/><Relationship Id="rId785" Type="http://schemas.openxmlformats.org/officeDocument/2006/relationships/hyperlink" Target="https://storage.googleapis.com/glide-prod.appspot.com/uploads-v2/ly7o78grxPaC6KdgvbpS/pub/3aRdSog0vUtuqPE8AJKD.png" TargetMode="External"/><Relationship Id="rId992" Type="http://schemas.openxmlformats.org/officeDocument/2006/relationships/hyperlink" Target="https://storage.googleapis.com/glide-prod.appspot.com/uploads-v2/ly7o78grxPaC6KdgvbpS/pub/3aRdSog0vUtuqPE8AJKD.png" TargetMode="External"/><Relationship Id="rId200" Type="http://schemas.openxmlformats.org/officeDocument/2006/relationships/hyperlink" Target="https://storage.googleapis.com/glide-prod.appspot.com/uploads-v2/ly7o78grxPaC6KdgvbpS/pub/UliJWgpEaBovaFmXi6OW.png" TargetMode="External"/><Relationship Id="rId438" Type="http://schemas.openxmlformats.org/officeDocument/2006/relationships/hyperlink" Target="https://storage.googleapis.com/glide-prod.appspot.com/uploads-v2/ly7o78grxPaC6KdgvbpS/pub/3aRdSog0vUtuqPE8AJKD.png" TargetMode="External"/><Relationship Id="rId645" Type="http://schemas.openxmlformats.org/officeDocument/2006/relationships/hyperlink" Target="https://storage.googleapis.com/glide-prod.appspot.com/uploads-v2/ly7o78grxPaC6KdgvbpS/pub/3aRdSog0vUtuqPE8AJKD.png" TargetMode="External"/><Relationship Id="rId852" Type="http://schemas.openxmlformats.org/officeDocument/2006/relationships/hyperlink" Target="https://storage.googleapis.com/glide-prod.appspot.com/uploads-v2/ly7o78grxPaC6KdgvbpS/pub/3aRdSog0vUtuqPE8AJKD.png" TargetMode="External"/><Relationship Id="rId1068" Type="http://schemas.openxmlformats.org/officeDocument/2006/relationships/hyperlink" Target="https://storage.googleapis.com/glide-prod.appspot.com/uploads-v2/ly7o78grxPaC6KdgvbpS/pub/3aRdSog0vUtuqPE8AJKD.png" TargetMode="External"/><Relationship Id="rId1275" Type="http://schemas.openxmlformats.org/officeDocument/2006/relationships/hyperlink" Target="https://storage.googleapis.com/glide-prod.appspot.com/uploads-v2/ly7o78grxPaC6KdgvbpS/pub/3aRdSog0vUtuqPE8AJKD.png" TargetMode="External"/><Relationship Id="rId1482" Type="http://schemas.openxmlformats.org/officeDocument/2006/relationships/hyperlink" Target="https://storage.googleapis.com/glide-prod.appspot.com/uploads-v2/ly7o78grxPaC6KdgvbpS/pub/3aRdSog0vUtuqPE8AJKD.png" TargetMode="External"/><Relationship Id="rId505" Type="http://schemas.openxmlformats.org/officeDocument/2006/relationships/hyperlink" Target="https://storage.googleapis.com/glide-prod.appspot.com/uploads-v2/ly7o78grxPaC6KdgvbpS/pub/3aRdSog0vUtuqPE8AJKD.png" TargetMode="External"/><Relationship Id="rId712" Type="http://schemas.openxmlformats.org/officeDocument/2006/relationships/hyperlink" Target="https://storage.googleapis.com/glide-prod.appspot.com/uploads-v2/ly7o78grxPaC6KdgvbpS/pub/3aRdSog0vUtuqPE8AJKD.png" TargetMode="External"/><Relationship Id="rId1135" Type="http://schemas.openxmlformats.org/officeDocument/2006/relationships/hyperlink" Target="https://storage.googleapis.com/glide-prod.appspot.com/uploads-v2/ly7o78grxPaC6KdgvbpS/pub/3aRdSog0vUtuqPE8AJKD.png" TargetMode="External"/><Relationship Id="rId1342" Type="http://schemas.openxmlformats.org/officeDocument/2006/relationships/hyperlink" Target="https://storage.googleapis.com/glide-prod.appspot.com/uploads-v2/ly7o78grxPaC6KdgvbpS/pub/3aRdSog0vUtuqPE8AJKD.png" TargetMode="External"/><Relationship Id="rId79" Type="http://schemas.openxmlformats.org/officeDocument/2006/relationships/hyperlink" Target="https://storage.googleapis.com/glide-prod.appspot.com/uploads-v2/ly7o78grxPaC6KdgvbpS/pub/3aRdSog0vUtuqPE8AJKD.png" TargetMode="External"/><Relationship Id="rId1202" Type="http://schemas.openxmlformats.org/officeDocument/2006/relationships/hyperlink" Target="https://storage.googleapis.com/glide-prod.appspot.com/uploads-v2/ly7o78grxPaC6KdgvbpS/pub/3aRdSog0vUtuqPE8AJKD.png" TargetMode="External"/><Relationship Id="rId1507" Type="http://schemas.openxmlformats.org/officeDocument/2006/relationships/hyperlink" Target="https://storage.googleapis.com/glide-prod.appspot.com/uploads-v2/ly7o78grxPaC6KdgvbpS/pub/3aRdSog0vUtuqPE8AJKD.png" TargetMode="External"/><Relationship Id="rId295" Type="http://schemas.openxmlformats.org/officeDocument/2006/relationships/hyperlink" Target="https://storage.googleapis.com/glide-prod.appspot.com/uploads-v2/ly7o78grxPaC6KdgvbpS/pub/UliJWgpEaBovaFmXi6OW.png" TargetMode="External"/><Relationship Id="rId155" Type="http://schemas.openxmlformats.org/officeDocument/2006/relationships/hyperlink" Target="https://storage.googleapis.com/glide-prod.appspot.com/uploads-v2/ly7o78grxPaC6KdgvbpS/pub/3aRdSog0vUtuqPE8AJKD.png" TargetMode="External"/><Relationship Id="rId362" Type="http://schemas.openxmlformats.org/officeDocument/2006/relationships/hyperlink" Target="https://storage.googleapis.com/glide-prod.appspot.com/uploads-v2/ly7o78grxPaC6KdgvbpS/pub/UliJWgpEaBovaFmXi6OW.png" TargetMode="External"/><Relationship Id="rId1297" Type="http://schemas.openxmlformats.org/officeDocument/2006/relationships/hyperlink" Target="https://storage.googleapis.com/glide-prod.appspot.com/uploads-v2/ly7o78grxPaC6KdgvbpS/pub/3aRdSog0vUtuqPE8AJKD.png" TargetMode="External"/><Relationship Id="rId222" Type="http://schemas.openxmlformats.org/officeDocument/2006/relationships/hyperlink" Target="https://storage.googleapis.com/glide-prod.appspot.com/uploads-v2/ly7o78grxPaC6KdgvbpS/pub/3aRdSog0vUtuqPE8AJKD.png" TargetMode="External"/><Relationship Id="rId667" Type="http://schemas.openxmlformats.org/officeDocument/2006/relationships/hyperlink" Target="https://storage.googleapis.com/glide-prod.appspot.com/uploads-v2/ly7o78grxPaC6KdgvbpS/pub/3aRdSog0vUtuqPE8AJKD.png" TargetMode="External"/><Relationship Id="rId874" Type="http://schemas.openxmlformats.org/officeDocument/2006/relationships/hyperlink" Target="https://storage.googleapis.com/glide-prod.appspot.com/uploads-v2/ly7o78grxPaC6KdgvbpS/pub/3aRdSog0vUtuqPE8AJKD.png" TargetMode="External"/><Relationship Id="rId527" Type="http://schemas.openxmlformats.org/officeDocument/2006/relationships/hyperlink" Target="https://storage.googleapis.com/glide-prod.appspot.com/uploads-v2/ly7o78grxPaC6KdgvbpS/pub/3aRdSog0vUtuqPE8AJKD.png" TargetMode="External"/><Relationship Id="rId734" Type="http://schemas.openxmlformats.org/officeDocument/2006/relationships/hyperlink" Target="https://storage.googleapis.com/glide-prod.appspot.com/uploads-v2/ly7o78grxPaC6KdgvbpS/pub/3aRdSog0vUtuqPE8AJKD.png" TargetMode="External"/><Relationship Id="rId941" Type="http://schemas.openxmlformats.org/officeDocument/2006/relationships/hyperlink" Target="https://storage.googleapis.com/glide-prod.appspot.com/uploads-v2/ly7o78grxPaC6KdgvbpS/pub/UliJWgpEaBovaFmXi6OW.png" TargetMode="External"/><Relationship Id="rId1157" Type="http://schemas.openxmlformats.org/officeDocument/2006/relationships/hyperlink" Target="https://storage.googleapis.com/glide-prod.appspot.com/uploads-v2/ly7o78grxPaC6KdgvbpS/pub/3aRdSog0vUtuqPE8AJKD.png" TargetMode="External"/><Relationship Id="rId1364" Type="http://schemas.openxmlformats.org/officeDocument/2006/relationships/hyperlink" Target="https://storage.googleapis.com/glide-prod.appspot.com/uploads-v2/ly7o78grxPaC6KdgvbpS/pub/UliJWgpEaBovaFmXi6OW.png" TargetMode="External"/><Relationship Id="rId70" Type="http://schemas.openxmlformats.org/officeDocument/2006/relationships/hyperlink" Target="https://storage.googleapis.com/glide-prod.appspot.com/uploads-v2/ly7o78grxPaC6KdgvbpS/pub/3aRdSog0vUtuqPE8AJKD.png" TargetMode="External"/><Relationship Id="rId801" Type="http://schemas.openxmlformats.org/officeDocument/2006/relationships/hyperlink" Target="https://storage.googleapis.com/glide-prod.appspot.com/uploads-v2/ly7o78grxPaC6KdgvbpS/pub/3aRdSog0vUtuqPE8AJKD.png" TargetMode="External"/><Relationship Id="rId1017" Type="http://schemas.openxmlformats.org/officeDocument/2006/relationships/hyperlink" Target="https://storage.googleapis.com/glide-prod.appspot.com/uploads-v2/ly7o78grxPaC6KdgvbpS/pub/3aRdSog0vUtuqPE8AJKD.png" TargetMode="External"/><Relationship Id="rId1224" Type="http://schemas.openxmlformats.org/officeDocument/2006/relationships/hyperlink" Target="https://storage.googleapis.com/glide-prod.appspot.com/uploads-v2/ly7o78grxPaC6KdgvbpS/pub/3aRdSog0vUtuqPE8AJKD.png" TargetMode="External"/><Relationship Id="rId1431" Type="http://schemas.openxmlformats.org/officeDocument/2006/relationships/hyperlink" Target="https://storage.googleapis.com/glide-prod.appspot.com/uploads-v2/ly7o78grxPaC6KdgvbpS/pub/3aRdSog0vUtuqPE8AJKD.png" TargetMode="External"/><Relationship Id="rId1529" Type="http://schemas.openxmlformats.org/officeDocument/2006/relationships/hyperlink" Target="https://storage.googleapis.com/glide-prod.appspot.com/uploads-v2/ly7o78grxPaC6KdgvbpS/pub/3aRdSog0vUtuqPE8AJKD.png" TargetMode="External"/><Relationship Id="rId28" Type="http://schemas.openxmlformats.org/officeDocument/2006/relationships/hyperlink" Target="https://storage.googleapis.com/glide-prod.appspot.com/uploads-v2/ly7o78grxPaC6KdgvbpS/pub/3aRdSog0vUtuqPE8AJKD.png" TargetMode="External"/><Relationship Id="rId177" Type="http://schemas.openxmlformats.org/officeDocument/2006/relationships/hyperlink" Target="https://storage.googleapis.com/glide-prod.appspot.com/uploads-v2/ly7o78grxPaC6KdgvbpS/pub/3aRdSog0vUtuqPE8AJKD.png" TargetMode="External"/><Relationship Id="rId384" Type="http://schemas.openxmlformats.org/officeDocument/2006/relationships/hyperlink" Target="https://storage.googleapis.com/glide-prod.appspot.com/uploads-v2/ly7o78grxPaC6KdgvbpS/pub/3aRdSog0vUtuqPE8AJKD.png" TargetMode="External"/><Relationship Id="rId591" Type="http://schemas.openxmlformats.org/officeDocument/2006/relationships/hyperlink" Target="https://storage.googleapis.com/glide-prod.appspot.com/uploads-v2/ly7o78grxPaC6KdgvbpS/pub/UliJWgpEaBovaFmXi6OW.png" TargetMode="External"/><Relationship Id="rId244" Type="http://schemas.openxmlformats.org/officeDocument/2006/relationships/hyperlink" Target="https://storage.googleapis.com/glide-prod.appspot.com/uploads-v2/ly7o78grxPaC6KdgvbpS/pub/UliJWgpEaBovaFmXi6OW.png" TargetMode="External"/><Relationship Id="rId689" Type="http://schemas.openxmlformats.org/officeDocument/2006/relationships/hyperlink" Target="https://storage.googleapis.com/glide-prod.appspot.com/uploads-v2/ly7o78grxPaC6KdgvbpS/pub/3aRdSog0vUtuqPE8AJKD.png" TargetMode="External"/><Relationship Id="rId896" Type="http://schemas.openxmlformats.org/officeDocument/2006/relationships/hyperlink" Target="https://storage.googleapis.com/glide-prod.appspot.com/uploads-v2/ly7o78grxPaC6KdgvbpS/pub/3aRdSog0vUtuqPE8AJKD.png" TargetMode="External"/><Relationship Id="rId1081" Type="http://schemas.openxmlformats.org/officeDocument/2006/relationships/hyperlink" Target="https://storage.googleapis.com/glide-prod.appspot.com/uploads-v2/ly7o78grxPaC6KdgvbpS/pub/3aRdSog0vUtuqPE8AJKD.png" TargetMode="External"/><Relationship Id="rId451" Type="http://schemas.openxmlformats.org/officeDocument/2006/relationships/hyperlink" Target="https://storage.googleapis.com/glide-prod.appspot.com/uploads-v2/ly7o78grxPaC6KdgvbpS/pub/UliJWgpEaBovaFmXi6OW.png" TargetMode="External"/><Relationship Id="rId549" Type="http://schemas.openxmlformats.org/officeDocument/2006/relationships/hyperlink" Target="https://storage.googleapis.com/glide-prod.appspot.com/uploads-v2/ly7o78grxPaC6KdgvbpS/pub/3aRdSog0vUtuqPE8AJKD.png" TargetMode="External"/><Relationship Id="rId756" Type="http://schemas.openxmlformats.org/officeDocument/2006/relationships/hyperlink" Target="https://storage.googleapis.com/glide-prod.appspot.com/uploads-v2/ly7o78grxPaC6KdgvbpS/pub/3aRdSog0vUtuqPE8AJKD.png" TargetMode="External"/><Relationship Id="rId1179" Type="http://schemas.openxmlformats.org/officeDocument/2006/relationships/hyperlink" Target="https://storage.googleapis.com/glide-prod.appspot.com/uploads-v2/ly7o78grxPaC6KdgvbpS/pub/3aRdSog0vUtuqPE8AJKD.png" TargetMode="External"/><Relationship Id="rId1386" Type="http://schemas.openxmlformats.org/officeDocument/2006/relationships/hyperlink" Target="https://storage.googleapis.com/glide-prod.appspot.com/uploads-v2/ly7o78grxPaC6KdgvbpS/pub/3aRdSog0vUtuqPE8AJKD.png" TargetMode="External"/><Relationship Id="rId104" Type="http://schemas.openxmlformats.org/officeDocument/2006/relationships/hyperlink" Target="https://storage.googleapis.com/glide-prod.appspot.com/uploads-v2/ly7o78grxPaC6KdgvbpS/pub/3aRdSog0vUtuqPE8AJKD.png" TargetMode="External"/><Relationship Id="rId311" Type="http://schemas.openxmlformats.org/officeDocument/2006/relationships/hyperlink" Target="https://storage.googleapis.com/glide-prod.appspot.com/uploads-v2/ly7o78grxPaC6KdgvbpS/pub/3aRdSog0vUtuqPE8AJKD.png" TargetMode="External"/><Relationship Id="rId409" Type="http://schemas.openxmlformats.org/officeDocument/2006/relationships/hyperlink" Target="https://storage.googleapis.com/glide-prod.appspot.com/uploads-v2/ly7o78grxPaC6KdgvbpS/pub/3aRdSog0vUtuqPE8AJKD.png" TargetMode="External"/><Relationship Id="rId963" Type="http://schemas.openxmlformats.org/officeDocument/2006/relationships/hyperlink" Target="https://storage.googleapis.com/glide-prod.appspot.com/uploads-v2/ly7o78grxPaC6KdgvbpS/pub/UliJWgpEaBovaFmXi6OW.png" TargetMode="External"/><Relationship Id="rId1039" Type="http://schemas.openxmlformats.org/officeDocument/2006/relationships/hyperlink" Target="https://storage.googleapis.com/glide-prod.appspot.com/uploads-v2/ly7o78grxPaC6KdgvbpS/pub/3aRdSog0vUtuqPE8AJKD.png" TargetMode="External"/><Relationship Id="rId1246" Type="http://schemas.openxmlformats.org/officeDocument/2006/relationships/hyperlink" Target="https://storage.googleapis.com/glide-prod.appspot.com/uploads-v2/ly7o78grxPaC6KdgvbpS/pub/UliJWgpEaBovaFmXi6OW.png" TargetMode="External"/><Relationship Id="rId92" Type="http://schemas.openxmlformats.org/officeDocument/2006/relationships/hyperlink" Target="https://storage.googleapis.com/glide-prod.appspot.com/uploads-v2/ly7o78grxPaC6KdgvbpS/pub/3aRdSog0vUtuqPE8AJKD.png" TargetMode="External"/><Relationship Id="rId616" Type="http://schemas.openxmlformats.org/officeDocument/2006/relationships/hyperlink" Target="https://storage.googleapis.com/glide-prod.appspot.com/uploads-v2/ly7o78grxPaC6KdgvbpS/pub/3aRdSog0vUtuqPE8AJKD.png" TargetMode="External"/><Relationship Id="rId823" Type="http://schemas.openxmlformats.org/officeDocument/2006/relationships/hyperlink" Target="https://storage.googleapis.com/glide-prod.appspot.com/uploads-v2/ly7o78grxPaC6KdgvbpS/pub/3aRdSog0vUtuqPE8AJKD.png" TargetMode="External"/><Relationship Id="rId1453" Type="http://schemas.openxmlformats.org/officeDocument/2006/relationships/hyperlink" Target="https://storage.googleapis.com/glide-prod.appspot.com/uploads-v2/ly7o78grxPaC6KdgvbpS/pub/3aRdSog0vUtuqPE8AJKD.png" TargetMode="External"/><Relationship Id="rId1106" Type="http://schemas.openxmlformats.org/officeDocument/2006/relationships/hyperlink" Target="https://storage.googleapis.com/glide-prod.appspot.com/uploads-v2/ly7o78grxPaC6KdgvbpS/pub/3aRdSog0vUtuqPE8AJKD.png" TargetMode="External"/><Relationship Id="rId1313" Type="http://schemas.openxmlformats.org/officeDocument/2006/relationships/hyperlink" Target="https://storage.googleapis.com/glide-prod.appspot.com/uploads-v2/ly7o78grxPaC6KdgvbpS/pub/3aRdSog0vUtuqPE8AJKD.png" TargetMode="External"/><Relationship Id="rId1520" Type="http://schemas.openxmlformats.org/officeDocument/2006/relationships/hyperlink" Target="https://storage.googleapis.com/glide-prod.appspot.com/uploads-v2/ly7o78grxPaC6KdgvbpS/pub/yvtCGRAPIbS0tVLIlehH.png" TargetMode="External"/><Relationship Id="rId199" Type="http://schemas.openxmlformats.org/officeDocument/2006/relationships/hyperlink" Target="https://storage.googleapis.com/glide-prod.appspot.com/uploads-v2/ly7o78grxPaC6KdgvbpS/pub/UliJWgpEaBovaFmXi6OW.png" TargetMode="External"/><Relationship Id="rId266" Type="http://schemas.openxmlformats.org/officeDocument/2006/relationships/hyperlink" Target="https://storage.googleapis.com/glide-prod.appspot.com/uploads-v2/ly7o78grxPaC6KdgvbpS/pub/3aRdSog0vUtuqPE8AJKD.png" TargetMode="External"/><Relationship Id="rId473" Type="http://schemas.openxmlformats.org/officeDocument/2006/relationships/hyperlink" Target="https://storage.googleapis.com/glide-prod.appspot.com/uploads-v2/ly7o78grxPaC6KdgvbpS/pub/UliJWgpEaBovaFmXi6OW.png" TargetMode="External"/><Relationship Id="rId680" Type="http://schemas.openxmlformats.org/officeDocument/2006/relationships/hyperlink" Target="https://storage.googleapis.com/glide-prod.appspot.com/uploads-v2/ly7o78grxPaC6KdgvbpS/pub/yvtCGRAPIbS0tVLIlehH.png" TargetMode="External"/><Relationship Id="rId126" Type="http://schemas.openxmlformats.org/officeDocument/2006/relationships/hyperlink" Target="https://storage.googleapis.com/glide-prod.appspot.com/uploads-v2/ly7o78grxPaC6KdgvbpS/pub/3aRdSog0vUtuqPE8AJKD.png" TargetMode="External"/><Relationship Id="rId333" Type="http://schemas.openxmlformats.org/officeDocument/2006/relationships/hyperlink" Target="https://storage.googleapis.com/glide-prod.appspot.com/uploads-v2/ly7o78grxPaC6KdgvbpS/pub/3aRdSog0vUtuqPE8AJKD.png" TargetMode="External"/><Relationship Id="rId540" Type="http://schemas.openxmlformats.org/officeDocument/2006/relationships/hyperlink" Target="https://storage.googleapis.com/glide-prod.appspot.com/uploads-v2/ly7o78grxPaC6KdgvbpS/pub/3aRdSog0vUtuqPE8AJKD.png" TargetMode="External"/><Relationship Id="rId778" Type="http://schemas.openxmlformats.org/officeDocument/2006/relationships/hyperlink" Target="https://storage.googleapis.com/glide-prod.appspot.com/uploads-v2/ly7o78grxPaC6KdgvbpS/pub/3aRdSog0vUtuqPE8AJKD.png" TargetMode="External"/><Relationship Id="rId985" Type="http://schemas.openxmlformats.org/officeDocument/2006/relationships/hyperlink" Target="https://storage.googleapis.com/glide-prod.appspot.com/uploads-v2/ly7o78grxPaC6KdgvbpS/pub/3aRdSog0vUtuqPE8AJKD.png" TargetMode="External"/><Relationship Id="rId1170" Type="http://schemas.openxmlformats.org/officeDocument/2006/relationships/hyperlink" Target="https://storage.googleapis.com/glide-prod.appspot.com/uploads-v2/ly7o78grxPaC6KdgvbpS/pub/3aRdSog0vUtuqPE8AJKD.png" TargetMode="External"/><Relationship Id="rId638" Type="http://schemas.openxmlformats.org/officeDocument/2006/relationships/hyperlink" Target="https://storage.googleapis.com/glide-prod.appspot.com/uploads-v2/ly7o78grxPaC6KdgvbpS/pub/3aRdSog0vUtuqPE8AJKD.png" TargetMode="External"/><Relationship Id="rId845" Type="http://schemas.openxmlformats.org/officeDocument/2006/relationships/hyperlink" Target="https://storage.googleapis.com/glide-prod.appspot.com/uploads-v2/ly7o78grxPaC6KdgvbpS/pub/3aRdSog0vUtuqPE8AJKD.png" TargetMode="External"/><Relationship Id="rId1030" Type="http://schemas.openxmlformats.org/officeDocument/2006/relationships/hyperlink" Target="https://storage.googleapis.com/glide-prod.appspot.com/uploads-v2/ly7o78grxPaC6KdgvbpS/pub/3aRdSog0vUtuqPE8AJKD.png" TargetMode="External"/><Relationship Id="rId1268" Type="http://schemas.openxmlformats.org/officeDocument/2006/relationships/hyperlink" Target="https://storage.googleapis.com/glide-prod.appspot.com/uploads-v2/ly7o78grxPaC6KdgvbpS/pub/3aRdSog0vUtuqPE8AJKD.png" TargetMode="External"/><Relationship Id="rId1475" Type="http://schemas.openxmlformats.org/officeDocument/2006/relationships/hyperlink" Target="https://storage.googleapis.com/glide-prod.appspot.com/uploads-v2/ly7o78grxPaC6KdgvbpS/pub/3aRdSog0vUtuqPE8AJKD.png" TargetMode="External"/><Relationship Id="rId400" Type="http://schemas.openxmlformats.org/officeDocument/2006/relationships/hyperlink" Target="https://storage.googleapis.com/glide-prod.appspot.com/uploads-v2/ly7o78grxPaC6KdgvbpS/pub/3aRdSog0vUtuqPE8AJKD.png" TargetMode="External"/><Relationship Id="rId705" Type="http://schemas.openxmlformats.org/officeDocument/2006/relationships/hyperlink" Target="https://storage.googleapis.com/glide-prod.appspot.com/uploads-v2/ly7o78grxPaC6KdgvbpS/pub/3aRdSog0vUtuqPE8AJKD.png" TargetMode="External"/><Relationship Id="rId1128" Type="http://schemas.openxmlformats.org/officeDocument/2006/relationships/hyperlink" Target="https://storage.googleapis.com/glide-prod.appspot.com/uploads-v2/ly7o78grxPaC6KdgvbpS/pub/3aRdSog0vUtuqPE8AJKD.png" TargetMode="External"/><Relationship Id="rId1335" Type="http://schemas.openxmlformats.org/officeDocument/2006/relationships/hyperlink" Target="https://storage.googleapis.com/glide-prod.appspot.com/uploads-v2/ly7o78grxPaC6KdgvbpS/pub/3aRdSog0vUtuqPE8AJKD.png" TargetMode="External"/><Relationship Id="rId1542" Type="http://schemas.openxmlformats.org/officeDocument/2006/relationships/hyperlink" Target="https://storage.googleapis.com/glide-prod.appspot.com/uploads-v2/ly7o78grxPaC6KdgvbpS/pub/UliJWgpEaBovaFmXi6OW.png" TargetMode="External"/><Relationship Id="rId912" Type="http://schemas.openxmlformats.org/officeDocument/2006/relationships/hyperlink" Target="https://storage.googleapis.com/glide-prod.appspot.com/uploads-v2/ly7o78grxPaC6KdgvbpS/pub/3aRdSog0vUtuqPE8AJKD.png" TargetMode="External"/><Relationship Id="rId41" Type="http://schemas.openxmlformats.org/officeDocument/2006/relationships/hyperlink" Target="https://storage.googleapis.com/glide-prod.appspot.com/uploads-v2/ly7o78grxPaC6KdgvbpS/pub/3aRdSog0vUtuqPE8AJKD.png" TargetMode="External"/><Relationship Id="rId1402" Type="http://schemas.openxmlformats.org/officeDocument/2006/relationships/hyperlink" Target="https://storage.googleapis.com/glide-prod.appspot.com/uploads-v2/ly7o78grxPaC6KdgvbpS/pub/7qydz2mrCSMvpBDbhfpT/VID20240120054056.mp4" TargetMode="External"/><Relationship Id="rId190" Type="http://schemas.openxmlformats.org/officeDocument/2006/relationships/hyperlink" Target="https://storage.googleapis.com/glide-prod.appspot.com/uploads-v2/ly7o78grxPaC6KdgvbpS/pub/3aRdSog0vUtuqPE8AJKD.png" TargetMode="External"/><Relationship Id="rId288" Type="http://schemas.openxmlformats.org/officeDocument/2006/relationships/hyperlink" Target="https://storage.googleapis.com/glide-prod.appspot.com/uploads-v2/ly7o78grxPaC6KdgvbpS/pub/3aRdSog0vUtuqPE8AJKD.png" TargetMode="External"/><Relationship Id="rId495" Type="http://schemas.openxmlformats.org/officeDocument/2006/relationships/hyperlink" Target="https://storage.googleapis.com/glide-prod.appspot.com/uploads-v2/ly7o78grxPaC6KdgvbpS/pub/UliJWgpEaBovaFmXi6OW.png" TargetMode="External"/><Relationship Id="rId148" Type="http://schemas.openxmlformats.org/officeDocument/2006/relationships/hyperlink" Target="https://storage.googleapis.com/glide-prod.appspot.com/uploads-v2/ly7o78grxPaC6KdgvbpS/pub/3aRdSog0vUtuqPE8AJKD.png" TargetMode="External"/><Relationship Id="rId355" Type="http://schemas.openxmlformats.org/officeDocument/2006/relationships/hyperlink" Target="https://storage.googleapis.com/glide-prod.appspot.com/uploads-v2/ly7o78grxPaC6KdgvbpS/pub/UliJWgpEaBovaFmXi6OW.png" TargetMode="External"/><Relationship Id="rId562" Type="http://schemas.openxmlformats.org/officeDocument/2006/relationships/hyperlink" Target="https://storage.googleapis.com/glide-prod.appspot.com/uploads-v2/ly7o78grxPaC6KdgvbpS/pub/UliJWgpEaBovaFmXi6OW.png" TargetMode="External"/><Relationship Id="rId1192" Type="http://schemas.openxmlformats.org/officeDocument/2006/relationships/hyperlink" Target="https://storage.googleapis.com/glide-prod.appspot.com/uploads-v2/ly7o78grxPaC6KdgvbpS/pub/3aRdSog0vUtuqPE8AJKD.png" TargetMode="External"/><Relationship Id="rId215" Type="http://schemas.openxmlformats.org/officeDocument/2006/relationships/hyperlink" Target="https://storage.googleapis.com/glide-prod.appspot.com/uploads-v2/ly7o78grxPaC6KdgvbpS/pub/3aRdSog0vUtuqPE8AJKD.png" TargetMode="External"/><Relationship Id="rId422" Type="http://schemas.openxmlformats.org/officeDocument/2006/relationships/hyperlink" Target="https://storage.googleapis.com/glide-prod.appspot.com/uploads-v2/ly7o78grxPaC6KdgvbpS/pub/3aRdSog0vUtuqPE8AJKD.png" TargetMode="External"/><Relationship Id="rId867" Type="http://schemas.openxmlformats.org/officeDocument/2006/relationships/hyperlink" Target="https://storage.googleapis.com/glide-prod.appspot.com/uploads-v2/ly7o78grxPaC6KdgvbpS/pub/3aRdSog0vUtuqPE8AJKD.png" TargetMode="External"/><Relationship Id="rId1052" Type="http://schemas.openxmlformats.org/officeDocument/2006/relationships/hyperlink" Target="https://storage.googleapis.com/glide-prod.appspot.com/uploads-v2/ly7o78grxPaC6KdgvbpS/pub/3aRdSog0vUtuqPE8AJKD.png" TargetMode="External"/><Relationship Id="rId1497" Type="http://schemas.openxmlformats.org/officeDocument/2006/relationships/hyperlink" Target="https://storage.googleapis.com/glide-prod.appspot.com/uploads-v2/ly7o78grxPaC6KdgvbpS/pub/3aRdSog0vUtuqPE8AJKD.png" TargetMode="External"/><Relationship Id="rId727" Type="http://schemas.openxmlformats.org/officeDocument/2006/relationships/hyperlink" Target="https://storage.googleapis.com/glide-prod.appspot.com/uploads-v2/ly7o78grxPaC6KdgvbpS/pub/3aRdSog0vUtuqPE8AJKD.png" TargetMode="External"/><Relationship Id="rId934" Type="http://schemas.openxmlformats.org/officeDocument/2006/relationships/hyperlink" Target="https://storage.googleapis.com/glide-prod.appspot.com/uploads-v2/ly7o78grxPaC6KdgvbpS/pub/UliJWgpEaBovaFmXi6OW.png" TargetMode="External"/><Relationship Id="rId1357" Type="http://schemas.openxmlformats.org/officeDocument/2006/relationships/hyperlink" Target="https://storage.googleapis.com/glide-prod.appspot.com/uploads-v2/ly7o78grxPaC6KdgvbpS/pub/UliJWgpEaBovaFmXi6OW.png" TargetMode="External"/><Relationship Id="rId63" Type="http://schemas.openxmlformats.org/officeDocument/2006/relationships/hyperlink" Target="https://storage.googleapis.com/glide-prod.appspot.com/uploads-v2/ly7o78grxPaC6KdgvbpS/pub/3aRdSog0vUtuqPE8AJKD.png" TargetMode="External"/><Relationship Id="rId1217" Type="http://schemas.openxmlformats.org/officeDocument/2006/relationships/hyperlink" Target="https://storage.googleapis.com/glide-prod.appspot.com/uploads-v2/ly7o78grxPaC6KdgvbpS/pub/3aRdSog0vUtuqPE8AJKD.png" TargetMode="External"/><Relationship Id="rId1424" Type="http://schemas.openxmlformats.org/officeDocument/2006/relationships/hyperlink" Target="https://storage.googleapis.com/glide-prod.appspot.com/uploads-v2/ly7o78grxPaC6KdgvbpS/pub/3aRdSog0vUtuqPE8AJKD.png" TargetMode="External"/><Relationship Id="rId377" Type="http://schemas.openxmlformats.org/officeDocument/2006/relationships/hyperlink" Target="https://storage.googleapis.com/glide-prod.appspot.com/uploads-v2/ly7o78grxPaC6KdgvbpS/pub/3aRdSog0vUtuqPE8AJKD.png" TargetMode="External"/><Relationship Id="rId584" Type="http://schemas.openxmlformats.org/officeDocument/2006/relationships/hyperlink" Target="https://storage.googleapis.com/glide-prod.appspot.com/uploads-v2/ly7o78grxPaC6KdgvbpS/pub/UliJWgpEaBovaFmXi6OW.png" TargetMode="External"/><Relationship Id="rId5" Type="http://schemas.openxmlformats.org/officeDocument/2006/relationships/hyperlink" Target="https://storage.googleapis.com/glide-prod.appspot.com/uploads-v2/ly7o78grxPaC6KdgvbpS/pub/srfT3TT9684BbYK6YTcr.jpg" TargetMode="External"/><Relationship Id="rId237" Type="http://schemas.openxmlformats.org/officeDocument/2006/relationships/hyperlink" Target="https://storage.googleapis.com/glide-prod.appspot.com/uploads-v2/ly7o78grxPaC6KdgvbpS/pub/3aRdSog0vUtuqPE8AJKD.png" TargetMode="External"/><Relationship Id="rId791" Type="http://schemas.openxmlformats.org/officeDocument/2006/relationships/hyperlink" Target="https://storage.googleapis.com/glide-prod.appspot.com/uploads-v2/ly7o78grxPaC6KdgvbpS/pub/3aRdSog0vUtuqPE8AJKD.png" TargetMode="External"/><Relationship Id="rId889" Type="http://schemas.openxmlformats.org/officeDocument/2006/relationships/hyperlink" Target="https://storage.googleapis.com/glide-prod.appspot.com/uploads-v2/ly7o78grxPaC6KdgvbpS/pub/3aRdSog0vUtuqPE8AJKD.png" TargetMode="External"/><Relationship Id="rId1074" Type="http://schemas.openxmlformats.org/officeDocument/2006/relationships/hyperlink" Target="https://storage.googleapis.com/glide-prod.appspot.com/uploads-v2/ly7o78grxPaC6KdgvbpS/pub/3aRdSog0vUtuqPE8AJKD.png" TargetMode="External"/><Relationship Id="rId444" Type="http://schemas.openxmlformats.org/officeDocument/2006/relationships/hyperlink" Target="https://storage.googleapis.com/glide-prod.appspot.com/uploads-v2/ly7o78grxPaC6KdgvbpS/pub/3aRdSog0vUtuqPE8AJKD.png" TargetMode="External"/><Relationship Id="rId651" Type="http://schemas.openxmlformats.org/officeDocument/2006/relationships/hyperlink" Target="https://storage.googleapis.com/glide-prod.appspot.com/uploads-v2/ly7o78grxPaC6KdgvbpS/pub/3aRdSog0vUtuqPE8AJKD.png" TargetMode="External"/><Relationship Id="rId749" Type="http://schemas.openxmlformats.org/officeDocument/2006/relationships/hyperlink" Target="https://storage.googleapis.com/glide-prod.appspot.com/uploads-v2/ly7o78grxPaC6KdgvbpS/pub/3aRdSog0vUtuqPE8AJKD.png" TargetMode="External"/><Relationship Id="rId1281" Type="http://schemas.openxmlformats.org/officeDocument/2006/relationships/hyperlink" Target="https://storage.googleapis.com/glide-prod.appspot.com/uploads-v2/ly7o78grxPaC6KdgvbpS/pub/3aRdSog0vUtuqPE8AJKD.png" TargetMode="External"/><Relationship Id="rId1379" Type="http://schemas.openxmlformats.org/officeDocument/2006/relationships/hyperlink" Target="https://storage.googleapis.com/glide-prod.appspot.com/uploads-v2/ly7o78grxPaC6KdgvbpS/pub/3aRdSog0vUtuqPE8AJKD.png" TargetMode="External"/><Relationship Id="rId290" Type="http://schemas.openxmlformats.org/officeDocument/2006/relationships/hyperlink" Target="https://storage.googleapis.com/glide-prod.appspot.com/uploads-v2/ly7o78grxPaC6KdgvbpS/pub/UliJWgpEaBovaFmXi6OW.png" TargetMode="External"/><Relationship Id="rId304" Type="http://schemas.openxmlformats.org/officeDocument/2006/relationships/hyperlink" Target="https://storage.googleapis.com/glide-prod.appspot.com/uploads-v2/ly7o78grxPaC6KdgvbpS/pub/3aRdSog0vUtuqPE8AJKD.png" TargetMode="External"/><Relationship Id="rId388" Type="http://schemas.openxmlformats.org/officeDocument/2006/relationships/hyperlink" Target="https://storage.googleapis.com/glide-prod.appspot.com/uploads-v2/ly7o78grxPaC6KdgvbpS/pub/3aRdSog0vUtuqPE8AJKD.png" TargetMode="External"/><Relationship Id="rId511" Type="http://schemas.openxmlformats.org/officeDocument/2006/relationships/hyperlink" Target="https://storage.googleapis.com/glide-prod.appspot.com/uploads-v2/ly7o78grxPaC6KdgvbpS/pub/3aRdSog0vUtuqPE8AJKD.png" TargetMode="External"/><Relationship Id="rId609" Type="http://schemas.openxmlformats.org/officeDocument/2006/relationships/hyperlink" Target="https://storage.googleapis.com/glide-prod.appspot.com/uploads-v2/ly7o78grxPaC6KdgvbpS/pub/3aRdSog0vUtuqPE8AJKD.png" TargetMode="External"/><Relationship Id="rId956" Type="http://schemas.openxmlformats.org/officeDocument/2006/relationships/hyperlink" Target="https://storage.googleapis.com/glide-prod.appspot.com/uploads-v2/ly7o78grxPaC6KdgvbpS/pub/UliJWgpEaBovaFmXi6OW.png" TargetMode="External"/><Relationship Id="rId1141" Type="http://schemas.openxmlformats.org/officeDocument/2006/relationships/hyperlink" Target="https://storage.googleapis.com/glide-prod.appspot.com/uploads-v2/ly7o78grxPaC6KdgvbpS/pub/3aRdSog0vUtuqPE8AJKD.png" TargetMode="External"/><Relationship Id="rId1239" Type="http://schemas.openxmlformats.org/officeDocument/2006/relationships/hyperlink" Target="https://storage.googleapis.com/glide-prod.appspot.com/uploads-v2/ly7o78grxPaC6KdgvbpS/pub/3aRdSog0vUtuqPE8AJKD.png" TargetMode="External"/><Relationship Id="rId85" Type="http://schemas.openxmlformats.org/officeDocument/2006/relationships/hyperlink" Target="https://storage.googleapis.com/glide-prod.appspot.com/uploads-v2/ly7o78grxPaC6KdgvbpS/pub/3aRdSog0vUtuqPE8AJKD.png" TargetMode="External"/><Relationship Id="rId150" Type="http://schemas.openxmlformats.org/officeDocument/2006/relationships/hyperlink" Target="https://storage.googleapis.com/glide-prod.appspot.com/uploads-v2/ly7o78grxPaC6KdgvbpS/pub/3aRdSog0vUtuqPE8AJKD.png" TargetMode="External"/><Relationship Id="rId595" Type="http://schemas.openxmlformats.org/officeDocument/2006/relationships/hyperlink" Target="https://storage.googleapis.com/glide-prod.appspot.com/uploads-v2/ly7o78grxPaC6KdgvbpS/pub/UliJWgpEaBovaFmXi6OW.png" TargetMode="External"/><Relationship Id="rId816" Type="http://schemas.openxmlformats.org/officeDocument/2006/relationships/hyperlink" Target="https://storage.googleapis.com/glide-prod.appspot.com/uploads-v2/ly7o78grxPaC6KdgvbpS/pub/3aRdSog0vUtuqPE8AJKD.png" TargetMode="External"/><Relationship Id="rId1001" Type="http://schemas.openxmlformats.org/officeDocument/2006/relationships/hyperlink" Target="https://storage.googleapis.com/glide-prod.appspot.com/uploads-v2/ly7o78grxPaC6KdgvbpS/pub/3aRdSog0vUtuqPE8AJKD.png" TargetMode="External"/><Relationship Id="rId1446" Type="http://schemas.openxmlformats.org/officeDocument/2006/relationships/hyperlink" Target="https://storage.googleapis.com/glide-prod.appspot.com/uploads-v2/ly7o78grxPaC6KdgvbpS/pub/3aRdSog0vUtuqPE8AJKD.png" TargetMode="External"/><Relationship Id="rId248" Type="http://schemas.openxmlformats.org/officeDocument/2006/relationships/hyperlink" Target="https://storage.googleapis.com/glide-prod.appspot.com/uploads-v2/ly7o78grxPaC6KdgvbpS/pub/UliJWgpEaBovaFmXi6OW.png" TargetMode="External"/><Relationship Id="rId455" Type="http://schemas.openxmlformats.org/officeDocument/2006/relationships/hyperlink" Target="https://storage.googleapis.com/glide-prod.appspot.com/uploads-v2/ly7o78grxPaC6KdgvbpS/pub/UliJWgpEaBovaFmXi6OW.png" TargetMode="External"/><Relationship Id="rId662" Type="http://schemas.openxmlformats.org/officeDocument/2006/relationships/hyperlink" Target="https://storage.googleapis.com/glide-prod.appspot.com/uploads-v2/ly7o78grxPaC6KdgvbpS/pub/3aRdSog0vUtuqPE8AJKD.png" TargetMode="External"/><Relationship Id="rId1085" Type="http://schemas.openxmlformats.org/officeDocument/2006/relationships/hyperlink" Target="https://storage.googleapis.com/glide-prod.appspot.com/uploads-v2/ly7o78grxPaC6KdgvbpS/pub/3aRdSog0vUtuqPE8AJKD.png" TargetMode="External"/><Relationship Id="rId1292" Type="http://schemas.openxmlformats.org/officeDocument/2006/relationships/hyperlink" Target="https://storage.googleapis.com/glide-prod.appspot.com/uploads-v2/ly7o78grxPaC6KdgvbpS/pub/3aRdSog0vUtuqPE8AJKD.png" TargetMode="External"/><Relationship Id="rId1306" Type="http://schemas.openxmlformats.org/officeDocument/2006/relationships/hyperlink" Target="https://storage.googleapis.com/glide-prod.appspot.com/uploads-v2/ly7o78grxPaC6KdgvbpS/pub/3aRdSog0vUtuqPE8AJKD.png" TargetMode="External"/><Relationship Id="rId1513" Type="http://schemas.openxmlformats.org/officeDocument/2006/relationships/hyperlink" Target="https://storage.googleapis.com/glide-prod.appspot.com/uploads-v2/ly7o78grxPaC6KdgvbpS/pub/3aRdSog0vUtuqPE8AJKD.png" TargetMode="External"/><Relationship Id="rId12" Type="http://schemas.openxmlformats.org/officeDocument/2006/relationships/hyperlink" Target="https://storage.googleapis.com/glide-prod.appspot.com/uploads-v2/ly7o78grxPaC6KdgvbpS/pub/3aRdSog0vUtuqPE8AJKD.png" TargetMode="External"/><Relationship Id="rId108" Type="http://schemas.openxmlformats.org/officeDocument/2006/relationships/hyperlink" Target="https://storage.googleapis.com/glide-prod.appspot.com/uploads-v2/ly7o78grxPaC6KdgvbpS/pub/3aRdSog0vUtuqPE8AJKD.png" TargetMode="External"/><Relationship Id="rId315" Type="http://schemas.openxmlformats.org/officeDocument/2006/relationships/hyperlink" Target="https://storage.googleapis.com/glide-prod.appspot.com/uploads-v2/ly7o78grxPaC6KdgvbpS/pub/3aRdSog0vUtuqPE8AJKD.png" TargetMode="External"/><Relationship Id="rId522" Type="http://schemas.openxmlformats.org/officeDocument/2006/relationships/hyperlink" Target="https://storage.googleapis.com/glide-prod.appspot.com/uploads-v2/ly7o78grxPaC6KdgvbpS/pub/3aRdSog0vUtuqPE8AJKD.png" TargetMode="External"/><Relationship Id="rId967" Type="http://schemas.openxmlformats.org/officeDocument/2006/relationships/hyperlink" Target="https://storage.googleapis.com/glide-prod.appspot.com/uploads-v2/ly7o78grxPaC6KdgvbpS/pub/3aRdSog0vUtuqPE8AJKD.png" TargetMode="External"/><Relationship Id="rId1152" Type="http://schemas.openxmlformats.org/officeDocument/2006/relationships/hyperlink" Target="https://storage.googleapis.com/glide-prod.appspot.com/uploads-v2/ly7o78grxPaC6KdgvbpS/pub/UliJWgpEaBovaFmXi6OW.png" TargetMode="External"/><Relationship Id="rId96" Type="http://schemas.openxmlformats.org/officeDocument/2006/relationships/hyperlink" Target="https://storage.googleapis.com/glide-prod.appspot.com/uploads-v2/ly7o78grxPaC6KdgvbpS/pub/3aRdSog0vUtuqPE8AJKD.png" TargetMode="External"/><Relationship Id="rId161" Type="http://schemas.openxmlformats.org/officeDocument/2006/relationships/hyperlink" Target="https://storage.googleapis.com/glide-prod.appspot.com/uploads-v2/ly7o78grxPaC6KdgvbpS/pub/3aRdSog0vUtuqPE8AJKD.png" TargetMode="External"/><Relationship Id="rId399" Type="http://schemas.openxmlformats.org/officeDocument/2006/relationships/hyperlink" Target="https://storage.googleapis.com/glide-prod.appspot.com/uploads-v2/ly7o78grxPaC6KdgvbpS/pub/3aRdSog0vUtuqPE8AJKD.png" TargetMode="External"/><Relationship Id="rId827" Type="http://schemas.openxmlformats.org/officeDocument/2006/relationships/hyperlink" Target="https://storage.googleapis.com/glide-prod.appspot.com/uploads-v2/ly7o78grxPaC6KdgvbpS/pub/3aRdSog0vUtuqPE8AJKD.png" TargetMode="External"/><Relationship Id="rId1012" Type="http://schemas.openxmlformats.org/officeDocument/2006/relationships/hyperlink" Target="https://storage.googleapis.com/glide-prod.appspot.com/uploads-v2/ly7o78grxPaC6KdgvbpS/pub/yvtCGRAPIbS0tVLIlehH.png" TargetMode="External"/><Relationship Id="rId1457" Type="http://schemas.openxmlformats.org/officeDocument/2006/relationships/hyperlink" Target="https://storage.googleapis.com/glide-prod.appspot.com/uploads-v2/ly7o78grxPaC6KdgvbpS/pub/3aRdSog0vUtuqPE8AJKD.png" TargetMode="External"/><Relationship Id="rId259" Type="http://schemas.openxmlformats.org/officeDocument/2006/relationships/hyperlink" Target="https://storage.googleapis.com/glide-prod.appspot.com/uploads-v2/ly7o78grxPaC6KdgvbpS/pub/3aRdSog0vUtuqPE8AJKD.png" TargetMode="External"/><Relationship Id="rId466" Type="http://schemas.openxmlformats.org/officeDocument/2006/relationships/hyperlink" Target="https://storage.googleapis.com/glide-prod.appspot.com/uploads-v2/ly7o78grxPaC6KdgvbpS/pub/UliJWgpEaBovaFmXi6OW.png" TargetMode="External"/><Relationship Id="rId673" Type="http://schemas.openxmlformats.org/officeDocument/2006/relationships/hyperlink" Target="https://storage.googleapis.com/glide-prod.appspot.com/uploads-v2/ly7o78grxPaC6KdgvbpS/pub/3aRdSog0vUtuqPE8AJKD.png" TargetMode="External"/><Relationship Id="rId880" Type="http://schemas.openxmlformats.org/officeDocument/2006/relationships/hyperlink" Target="https://storage.googleapis.com/glide-prod.appspot.com/uploads-v2/ly7o78grxPaC6KdgvbpS/pub/3aRdSog0vUtuqPE8AJKD.png" TargetMode="External"/><Relationship Id="rId1096" Type="http://schemas.openxmlformats.org/officeDocument/2006/relationships/hyperlink" Target="https://storage.googleapis.com/glide-prod.appspot.com/uploads-v2/ly7o78grxPaC6KdgvbpS/pub/UliJWgpEaBovaFmXi6OW.png" TargetMode="External"/><Relationship Id="rId1317" Type="http://schemas.openxmlformats.org/officeDocument/2006/relationships/hyperlink" Target="https://storage.googleapis.com/glide-prod.appspot.com/uploads-v2/ly7o78grxPaC6KdgvbpS/pub/3aRdSog0vUtuqPE8AJKD.png" TargetMode="External"/><Relationship Id="rId1524" Type="http://schemas.openxmlformats.org/officeDocument/2006/relationships/hyperlink" Target="https://storage.googleapis.com/glide-prod.appspot.com/uploads-v2/ly7o78grxPaC6KdgvbpS/pub/3aRdSog0vUtuqPE8AJKD.png" TargetMode="External"/><Relationship Id="rId23" Type="http://schemas.openxmlformats.org/officeDocument/2006/relationships/hyperlink" Target="https://storage.googleapis.com/glide-prod.appspot.com/uploads-v2/ly7o78grxPaC6KdgvbpS/pub/3aRdSog0vUtuqPE8AJKD.png" TargetMode="External"/><Relationship Id="rId119" Type="http://schemas.openxmlformats.org/officeDocument/2006/relationships/hyperlink" Target="https://storage.googleapis.com/glide-prod.appspot.com/uploads-v2/ly7o78grxPaC6KdgvbpS/pub/3aRdSog0vUtuqPE8AJKD.png" TargetMode="External"/><Relationship Id="rId326" Type="http://schemas.openxmlformats.org/officeDocument/2006/relationships/hyperlink" Target="https://storage.googleapis.com/glide-prod.appspot.com/uploads-v2/ly7o78grxPaC6KdgvbpS/pub/3aRdSog0vUtuqPE8AJKD.png" TargetMode="External"/><Relationship Id="rId533" Type="http://schemas.openxmlformats.org/officeDocument/2006/relationships/hyperlink" Target="https://storage.googleapis.com/glide-prod.appspot.com/uploads-v2/ly7o78grxPaC6KdgvbpS/pub/3aRdSog0vUtuqPE8AJKD.png" TargetMode="External"/><Relationship Id="rId978" Type="http://schemas.openxmlformats.org/officeDocument/2006/relationships/hyperlink" Target="https://storage.googleapis.com/glide-prod.appspot.com/uploads-v2/ly7o78grxPaC6KdgvbpS/pub/3aRdSog0vUtuqPE8AJKD.png" TargetMode="External"/><Relationship Id="rId1163" Type="http://schemas.openxmlformats.org/officeDocument/2006/relationships/hyperlink" Target="https://storage.googleapis.com/glide-prod.appspot.com/uploads-v2/ly7o78grxPaC6KdgvbpS/pub/3aRdSog0vUtuqPE8AJKD.png" TargetMode="External"/><Relationship Id="rId1370" Type="http://schemas.openxmlformats.org/officeDocument/2006/relationships/hyperlink" Target="https://storage.googleapis.com/glide-prod.appspot.com/uploads-v2/ly7o78grxPaC6KdgvbpS/pub/UliJWgpEaBovaFmXi6OW.png" TargetMode="External"/><Relationship Id="rId740" Type="http://schemas.openxmlformats.org/officeDocument/2006/relationships/hyperlink" Target="https://storage.googleapis.com/glide-prod.appspot.com/uploads-v2/ly7o78grxPaC6KdgvbpS/pub/3aRdSog0vUtuqPE8AJKD.png" TargetMode="External"/><Relationship Id="rId838" Type="http://schemas.openxmlformats.org/officeDocument/2006/relationships/hyperlink" Target="https://storage.googleapis.com/glide-prod.appspot.com/uploads-v2/ly7o78grxPaC6KdgvbpS/pub/3aRdSog0vUtuqPE8AJKD.png" TargetMode="External"/><Relationship Id="rId1023" Type="http://schemas.openxmlformats.org/officeDocument/2006/relationships/hyperlink" Target="https://storage.googleapis.com/glide-prod.appspot.com/uploads-v2/ly7o78grxPaC6KdgvbpS/pub/3aRdSog0vUtuqPE8AJKD.png" TargetMode="External"/><Relationship Id="rId1468" Type="http://schemas.openxmlformats.org/officeDocument/2006/relationships/hyperlink" Target="https://storage.googleapis.com/glide-prod.appspot.com/uploads-v2/ly7o78grxPaC6KdgvbpS/pub/3aRdSog0vUtuqPE8AJKD.png" TargetMode="External"/><Relationship Id="rId172" Type="http://schemas.openxmlformats.org/officeDocument/2006/relationships/hyperlink" Target="https://storage.googleapis.com/glide-prod.appspot.com/uploads-v2/ly7o78grxPaC6KdgvbpS/pub/3aRdSog0vUtuqPE8AJKD.png" TargetMode="External"/><Relationship Id="rId477" Type="http://schemas.openxmlformats.org/officeDocument/2006/relationships/hyperlink" Target="https://storage.googleapis.com/glide-prod.appspot.com/uploads-v2/ly7o78grxPaC6KdgvbpS/pub/UliJWgpEaBovaFmXi6OW.png" TargetMode="External"/><Relationship Id="rId600" Type="http://schemas.openxmlformats.org/officeDocument/2006/relationships/hyperlink" Target="https://storage.googleapis.com/glide-prod.appspot.com/uploads-v2/ly7o78grxPaC6KdgvbpS/pub/UliJWgpEaBovaFmXi6OW.png" TargetMode="External"/><Relationship Id="rId684" Type="http://schemas.openxmlformats.org/officeDocument/2006/relationships/hyperlink" Target="https://storage.googleapis.com/glide-prod.appspot.com/uploads-v2/ly7o78grxPaC6KdgvbpS/pub/3aRdSog0vUtuqPE8AJKD.png" TargetMode="External"/><Relationship Id="rId1230" Type="http://schemas.openxmlformats.org/officeDocument/2006/relationships/hyperlink" Target="https://storage.googleapis.com/glide-prod.appspot.com/uploads-v2/ly7o78grxPaC6KdgvbpS/pub/3aRdSog0vUtuqPE8AJKD.png" TargetMode="External"/><Relationship Id="rId1328" Type="http://schemas.openxmlformats.org/officeDocument/2006/relationships/hyperlink" Target="https://storage.googleapis.com/glide-prod.appspot.com/uploads-v2/ly7o78grxPaC6KdgvbpS/pub/3aRdSog0vUtuqPE8AJKD.png" TargetMode="External"/><Relationship Id="rId1535" Type="http://schemas.openxmlformats.org/officeDocument/2006/relationships/hyperlink" Target="https://storage.googleapis.com/glide-prod.appspot.com/uploads-v2/ly7o78grxPaC6KdgvbpS/pub/3aRdSog0vUtuqPE8AJKD.png" TargetMode="External"/><Relationship Id="rId337" Type="http://schemas.openxmlformats.org/officeDocument/2006/relationships/hyperlink" Target="https://storage.googleapis.com/glide-prod.appspot.com/uploads-v2/ly7o78grxPaC6KdgvbpS/pub/3aRdSog0vUtuqPE8AJKD.png" TargetMode="External"/><Relationship Id="rId891" Type="http://schemas.openxmlformats.org/officeDocument/2006/relationships/hyperlink" Target="https://storage.googleapis.com/glide-prod.appspot.com/uploads-v2/ly7o78grxPaC6KdgvbpS/pub/3aRdSog0vUtuqPE8AJKD.png" TargetMode="External"/><Relationship Id="rId905" Type="http://schemas.openxmlformats.org/officeDocument/2006/relationships/hyperlink" Target="https://storage.googleapis.com/glide-prod.appspot.com/uploads-v2/ly7o78grxPaC6KdgvbpS/pub/yvtCGRAPIbS0tVLIlehH.png" TargetMode="External"/><Relationship Id="rId989" Type="http://schemas.openxmlformats.org/officeDocument/2006/relationships/hyperlink" Target="https://storage.googleapis.com/glide-prod.appspot.com/uploads-v2/ly7o78grxPaC6KdgvbpS/pub/3aRdSog0vUtuqPE8AJKD.png" TargetMode="External"/><Relationship Id="rId34" Type="http://schemas.openxmlformats.org/officeDocument/2006/relationships/hyperlink" Target="https://storage.googleapis.com/glide-prod.appspot.com/uploads-v2/ly7o78grxPaC6KdgvbpS/pub/3aRdSog0vUtuqPE8AJKD.png" TargetMode="External"/><Relationship Id="rId544" Type="http://schemas.openxmlformats.org/officeDocument/2006/relationships/hyperlink" Target="https://storage.googleapis.com/glide-prod.appspot.com/uploads-v2/ly7o78grxPaC6KdgvbpS/pub/3aRdSog0vUtuqPE8AJKD.png" TargetMode="External"/><Relationship Id="rId751" Type="http://schemas.openxmlformats.org/officeDocument/2006/relationships/hyperlink" Target="https://storage.googleapis.com/glide-prod.appspot.com/uploads-v2/ly7o78grxPaC6KdgvbpS/pub/3aRdSog0vUtuqPE8AJKD.png" TargetMode="External"/><Relationship Id="rId849" Type="http://schemas.openxmlformats.org/officeDocument/2006/relationships/hyperlink" Target="https://storage.googleapis.com/glide-prod.appspot.com/uploads-v2/ly7o78grxPaC6KdgvbpS/pub/3aRdSog0vUtuqPE8AJKD.png" TargetMode="External"/><Relationship Id="rId1174" Type="http://schemas.openxmlformats.org/officeDocument/2006/relationships/hyperlink" Target="https://storage.googleapis.com/glide-prod.appspot.com/uploads-v2/ly7o78grxPaC6KdgvbpS/pub/3aRdSog0vUtuqPE8AJKD.png" TargetMode="External"/><Relationship Id="rId1381" Type="http://schemas.openxmlformats.org/officeDocument/2006/relationships/hyperlink" Target="https://storage.googleapis.com/glide-prod.appspot.com/uploads-v2/ly7o78grxPaC6KdgvbpS/pub/3aRdSog0vUtuqPE8AJKD.png" TargetMode="External"/><Relationship Id="rId1479" Type="http://schemas.openxmlformats.org/officeDocument/2006/relationships/hyperlink" Target="https://storage.googleapis.com/glide-prod.appspot.com/uploads-v2/ly7o78grxPaC6KdgvbpS/pub/3aRdSog0vUtuqPE8AJKD.png" TargetMode="External"/><Relationship Id="rId183" Type="http://schemas.openxmlformats.org/officeDocument/2006/relationships/hyperlink" Target="https://storage.googleapis.com/glide-prod.appspot.com/uploads-v2/ly7o78grxPaC6KdgvbpS/pub/3aRdSog0vUtuqPE8AJKD.png" TargetMode="External"/><Relationship Id="rId390" Type="http://schemas.openxmlformats.org/officeDocument/2006/relationships/hyperlink" Target="https://storage.googleapis.com/glide-prod.appspot.com/uploads-v2/ly7o78grxPaC6KdgvbpS/pub/3aRdSog0vUtuqPE8AJKD.png" TargetMode="External"/><Relationship Id="rId404" Type="http://schemas.openxmlformats.org/officeDocument/2006/relationships/hyperlink" Target="https://storage.googleapis.com/glide-prod.appspot.com/uploads-v2/ly7o78grxPaC6KdgvbpS/pub/3aRdSog0vUtuqPE8AJKD.png" TargetMode="External"/><Relationship Id="rId611" Type="http://schemas.openxmlformats.org/officeDocument/2006/relationships/hyperlink" Target="https://storage.googleapis.com/glide-prod.appspot.com/uploads-v2/ly7o78grxPaC6KdgvbpS/pub/3aRdSog0vUtuqPE8AJKD.png" TargetMode="External"/><Relationship Id="rId1034" Type="http://schemas.openxmlformats.org/officeDocument/2006/relationships/hyperlink" Target="https://storage.googleapis.com/glide-prod.appspot.com/uploads-v2/ly7o78grxPaC6KdgvbpS/pub/3aRdSog0vUtuqPE8AJKD.png" TargetMode="External"/><Relationship Id="rId1241" Type="http://schemas.openxmlformats.org/officeDocument/2006/relationships/hyperlink" Target="https://storage.googleapis.com/glide-prod.appspot.com/uploads-v2/ly7o78grxPaC6KdgvbpS/pub/UliJWgpEaBovaFmXi6OW.png" TargetMode="External"/><Relationship Id="rId1339" Type="http://schemas.openxmlformats.org/officeDocument/2006/relationships/hyperlink" Target="https://storage.googleapis.com/glide-prod.appspot.com/uploads-v2/ly7o78grxPaC6KdgvbpS/pub/3aRdSog0vUtuqPE8AJKD.png" TargetMode="External"/><Relationship Id="rId250" Type="http://schemas.openxmlformats.org/officeDocument/2006/relationships/hyperlink" Target="https://storage.googleapis.com/glide-prod.appspot.com/uploads-v2/ly7o78grxPaC6KdgvbpS/pub/UliJWgpEaBovaFmXi6OW.png" TargetMode="External"/><Relationship Id="rId488" Type="http://schemas.openxmlformats.org/officeDocument/2006/relationships/hyperlink" Target="https://storage.googleapis.com/glide-prod.appspot.com/uploads-v2/ly7o78grxPaC6KdgvbpS/pub/3aRdSog0vUtuqPE8AJKD.png" TargetMode="External"/><Relationship Id="rId695" Type="http://schemas.openxmlformats.org/officeDocument/2006/relationships/hyperlink" Target="https://storage.googleapis.com/glide-prod.appspot.com/uploads-v2/ly7o78grxPaC6KdgvbpS/pub/3aRdSog0vUtuqPE8AJKD.png" TargetMode="External"/><Relationship Id="rId709" Type="http://schemas.openxmlformats.org/officeDocument/2006/relationships/hyperlink" Target="https://storage.googleapis.com/glide-prod.appspot.com/uploads-v2/ly7o78grxPaC6KdgvbpS/pub/3aRdSog0vUtuqPE8AJKD.png" TargetMode="External"/><Relationship Id="rId916" Type="http://schemas.openxmlformats.org/officeDocument/2006/relationships/hyperlink" Target="https://storage.googleapis.com/glide-prod.appspot.com/uploads-v2/ly7o78grxPaC6KdgvbpS/pub/3aRdSog0vUtuqPE8AJKD.png" TargetMode="External"/><Relationship Id="rId1101" Type="http://schemas.openxmlformats.org/officeDocument/2006/relationships/hyperlink" Target="https://storage.googleapis.com/glide-prod.appspot.com/uploads-v2/ly7o78grxPaC6KdgvbpS/pub/3aRdSog0vUtuqPE8AJKD.png" TargetMode="External"/><Relationship Id="rId1546" Type="http://schemas.openxmlformats.org/officeDocument/2006/relationships/hyperlink" Target="https://storage.googleapis.com/glide-prod.appspot.com/uploads-v2/ly7o78grxPaC6KdgvbpS/pub/UliJWgpEaBovaFmXi6OW.png" TargetMode="External"/><Relationship Id="rId45" Type="http://schemas.openxmlformats.org/officeDocument/2006/relationships/hyperlink" Target="https://storage.googleapis.com/glide-prod.appspot.com/uploads-v2/ly7o78grxPaC6KdgvbpS/pub/3aRdSog0vUtuqPE8AJKD.png" TargetMode="External"/><Relationship Id="rId110" Type="http://schemas.openxmlformats.org/officeDocument/2006/relationships/hyperlink" Target="https://storage.googleapis.com/glide-prod.appspot.com/uploads-v2/ly7o78grxPaC6KdgvbpS/pub/pIBYoaypyaNdgEjLUymT.jpg" TargetMode="External"/><Relationship Id="rId348" Type="http://schemas.openxmlformats.org/officeDocument/2006/relationships/hyperlink" Target="https://storage.googleapis.com/glide-prod.appspot.com/uploads-v2/ly7o78grxPaC6KdgvbpS/pub/3aRdSog0vUtuqPE8AJKD.png" TargetMode="External"/><Relationship Id="rId555" Type="http://schemas.openxmlformats.org/officeDocument/2006/relationships/hyperlink" Target="https://storage.googleapis.com/glide-prod.appspot.com/uploads-v2/ly7o78grxPaC6KdgvbpS/pub/3aRdSog0vUtuqPE8AJKD.png" TargetMode="External"/><Relationship Id="rId762" Type="http://schemas.openxmlformats.org/officeDocument/2006/relationships/hyperlink" Target="https://storage.googleapis.com/glide-prod.appspot.com/uploads-v2/ly7o78grxPaC6KdgvbpS/pub/3aRdSog0vUtuqPE8AJKD.png" TargetMode="External"/><Relationship Id="rId1185" Type="http://schemas.openxmlformats.org/officeDocument/2006/relationships/hyperlink" Target="https://storage.googleapis.com/glide-prod.appspot.com/uploads-v2/ly7o78grxPaC6KdgvbpS/pub/3aRdSog0vUtuqPE8AJKD.png" TargetMode="External"/><Relationship Id="rId1392" Type="http://schemas.openxmlformats.org/officeDocument/2006/relationships/hyperlink" Target="https://storage.googleapis.com/glide-prod.appspot.com/uploads-v2/ly7o78grxPaC6KdgvbpS/pub/3aRdSog0vUtuqPE8AJKD.png" TargetMode="External"/><Relationship Id="rId1406" Type="http://schemas.openxmlformats.org/officeDocument/2006/relationships/hyperlink" Target="https://storage.googleapis.com/glide-prod.appspot.com/uploads-v2/ly7o78grxPaC6KdgvbpS/pub/3aRdSog0vUtuqPE8AJKD.png" TargetMode="External"/><Relationship Id="rId194" Type="http://schemas.openxmlformats.org/officeDocument/2006/relationships/hyperlink" Target="https://storage.googleapis.com/glide-prod.appspot.com/uploads-v2/ly7o78grxPaC6KdgvbpS/pub/3aRdSog0vUtuqPE8AJKD.png" TargetMode="External"/><Relationship Id="rId208" Type="http://schemas.openxmlformats.org/officeDocument/2006/relationships/hyperlink" Target="https://storage.googleapis.com/glide-prod.appspot.com/uploads-v2/ly7o78grxPaC6KdgvbpS/pub/UliJWgpEaBovaFmXi6OW.png" TargetMode="External"/><Relationship Id="rId415" Type="http://schemas.openxmlformats.org/officeDocument/2006/relationships/hyperlink" Target="https://storage.googleapis.com/glide-prod.appspot.com/uploads-v2/ly7o78grxPaC6KdgvbpS/pub/3aRdSog0vUtuqPE8AJKD.png" TargetMode="External"/><Relationship Id="rId622" Type="http://schemas.openxmlformats.org/officeDocument/2006/relationships/hyperlink" Target="https://storage.googleapis.com/glide-prod.appspot.com/uploads-v2/ly7o78grxPaC6KdgvbpS/pub/3aRdSog0vUtuqPE8AJKD.png" TargetMode="External"/><Relationship Id="rId1045" Type="http://schemas.openxmlformats.org/officeDocument/2006/relationships/hyperlink" Target="https://storage.googleapis.com/glide-prod.appspot.com/uploads-v2/ly7o78grxPaC6KdgvbpS/pub/3aRdSog0vUtuqPE8AJKD.png" TargetMode="External"/><Relationship Id="rId1252" Type="http://schemas.openxmlformats.org/officeDocument/2006/relationships/hyperlink" Target="https://storage.googleapis.com/glide-prod.appspot.com/uploads-v2/ly7o78grxPaC6KdgvbpS/pub/3aRdSog0vUtuqPE8AJKD.png" TargetMode="External"/><Relationship Id="rId261" Type="http://schemas.openxmlformats.org/officeDocument/2006/relationships/hyperlink" Target="https://storage.googleapis.com/glide-prod.appspot.com/uploads-v2/ly7o78grxPaC6KdgvbpS/pub/3aRdSog0vUtuqPE8AJKD.png" TargetMode="External"/><Relationship Id="rId499" Type="http://schemas.openxmlformats.org/officeDocument/2006/relationships/hyperlink" Target="https://storage.googleapis.com/glide-prod.appspot.com/uploads-v2/ly7o78grxPaC6KdgvbpS/pub/UliJWgpEaBovaFmXi6OW.png" TargetMode="External"/><Relationship Id="rId927" Type="http://schemas.openxmlformats.org/officeDocument/2006/relationships/hyperlink" Target="https://storage.googleapis.com/glide-prod.appspot.com/uploads-v2/ly7o78grxPaC6KdgvbpS/pub/3aRdSog0vUtuqPE8AJKD.png" TargetMode="External"/><Relationship Id="rId1112" Type="http://schemas.openxmlformats.org/officeDocument/2006/relationships/hyperlink" Target="https://storage.googleapis.com/glide-prod.appspot.com/uploads-v2/ly7o78grxPaC6KdgvbpS/pub/3aRdSog0vUtuqPE8AJKD.png" TargetMode="External"/><Relationship Id="rId1557" Type="http://schemas.openxmlformats.org/officeDocument/2006/relationships/hyperlink" Target="https://storage.googleapis.com/glide-prod.appspot.com/uploads-v2/ly7o78grxPaC6KdgvbpS/pub/3aRdSog0vUtuqPE8AJKD.png" TargetMode="External"/><Relationship Id="rId56" Type="http://schemas.openxmlformats.org/officeDocument/2006/relationships/hyperlink" Target="https://storage.googleapis.com/glide-prod.appspot.com/uploads-v2/ly7o78grxPaC6KdgvbpS/pub/3aRdSog0vUtuqPE8AJKD.png" TargetMode="External"/><Relationship Id="rId359" Type="http://schemas.openxmlformats.org/officeDocument/2006/relationships/hyperlink" Target="https://storage.googleapis.com/glide-prod.appspot.com/uploads-v2/ly7o78grxPaC6KdgvbpS/pub/UliJWgpEaBovaFmXi6OW.png" TargetMode="External"/><Relationship Id="rId566" Type="http://schemas.openxmlformats.org/officeDocument/2006/relationships/hyperlink" Target="https://storage.googleapis.com/glide-prod.appspot.com/uploads-v2/ly7o78grxPaC6KdgvbpS/pub/3aRdSog0vUtuqPE8AJKD.png" TargetMode="External"/><Relationship Id="rId773" Type="http://schemas.openxmlformats.org/officeDocument/2006/relationships/hyperlink" Target="https://storage.googleapis.com/glide-prod.appspot.com/uploads-v2/ly7o78grxPaC6KdgvbpS/pub/3aRdSog0vUtuqPE8AJKD.png" TargetMode="External"/><Relationship Id="rId1196" Type="http://schemas.openxmlformats.org/officeDocument/2006/relationships/hyperlink" Target="https://storage.googleapis.com/glide-prod.appspot.com/uploads-v2/ly7o78grxPaC6KdgvbpS/pub/3aRdSog0vUtuqPE8AJKD.png" TargetMode="External"/><Relationship Id="rId1417" Type="http://schemas.openxmlformats.org/officeDocument/2006/relationships/hyperlink" Target="https://storage.googleapis.com/glide-prod.appspot.com/uploads-v2/ly7o78grxPaC6KdgvbpS/pub/3aRdSog0vUtuqPE8AJKD.png" TargetMode="External"/><Relationship Id="rId121" Type="http://schemas.openxmlformats.org/officeDocument/2006/relationships/hyperlink" Target="https://storage.googleapis.com/glide-prod.appspot.com/uploads-v2/ly7o78grxPaC6KdgvbpS/pub/3aRdSog0vUtuqPE8AJKD.png" TargetMode="External"/><Relationship Id="rId219" Type="http://schemas.openxmlformats.org/officeDocument/2006/relationships/hyperlink" Target="https://storage.googleapis.com/glide-prod.appspot.com/uploads-v2/ly7o78grxPaC6KdgvbpS/pub/3aRdSog0vUtuqPE8AJKD.png" TargetMode="External"/><Relationship Id="rId426" Type="http://schemas.openxmlformats.org/officeDocument/2006/relationships/hyperlink" Target="https://storage.googleapis.com/glide-prod.appspot.com/uploads-v2/ly7o78grxPaC6KdgvbpS/pub/3aRdSog0vUtuqPE8AJKD.png" TargetMode="External"/><Relationship Id="rId633" Type="http://schemas.openxmlformats.org/officeDocument/2006/relationships/hyperlink" Target="https://storage.googleapis.com/glide-prod.appspot.com/uploads-v2/ly7o78grxPaC6KdgvbpS/pub/3aRdSog0vUtuqPE8AJKD.png" TargetMode="External"/><Relationship Id="rId980" Type="http://schemas.openxmlformats.org/officeDocument/2006/relationships/hyperlink" Target="https://storage.googleapis.com/glide-prod.appspot.com/uploads-v2/ly7o78grxPaC6KdgvbpS/pub/3aRdSog0vUtuqPE8AJKD.png" TargetMode="External"/><Relationship Id="rId1056" Type="http://schemas.openxmlformats.org/officeDocument/2006/relationships/hyperlink" Target="https://storage.googleapis.com/glide-prod.appspot.com/uploads-v2/ly7o78grxPaC6KdgvbpS/pub/3aRdSog0vUtuqPE8AJKD.png" TargetMode="External"/><Relationship Id="rId1263" Type="http://schemas.openxmlformats.org/officeDocument/2006/relationships/hyperlink" Target="https://storage.googleapis.com/glide-prod.appspot.com/uploads-v2/ly7o78grxPaC6KdgvbpS/pub/3aRdSog0vUtuqPE8AJKD.png" TargetMode="External"/><Relationship Id="rId840" Type="http://schemas.openxmlformats.org/officeDocument/2006/relationships/hyperlink" Target="https://storage.googleapis.com/glide-prod.appspot.com/uploads-v2/ly7o78grxPaC6KdgvbpS/pub/3aRdSog0vUtuqPE8AJKD.png" TargetMode="External"/><Relationship Id="rId938" Type="http://schemas.openxmlformats.org/officeDocument/2006/relationships/hyperlink" Target="https://storage.googleapis.com/glide-prod.appspot.com/uploads-v2/ly7o78grxPaC6KdgvbpS/pub/UliJWgpEaBovaFmXi6OW.png" TargetMode="External"/><Relationship Id="rId1470" Type="http://schemas.openxmlformats.org/officeDocument/2006/relationships/hyperlink" Target="https://storage.googleapis.com/glide-prod.appspot.com/uploads-v2/ly7o78grxPaC6KdgvbpS/pub/3aRdSog0vUtuqPE8AJKD.png" TargetMode="External"/><Relationship Id="rId67" Type="http://schemas.openxmlformats.org/officeDocument/2006/relationships/hyperlink" Target="https://storage.googleapis.com/glide-prod.appspot.com/uploads-v2/ly7o78grxPaC6KdgvbpS/pub/3aRdSog0vUtuqPE8AJKD.png" TargetMode="External"/><Relationship Id="rId272" Type="http://schemas.openxmlformats.org/officeDocument/2006/relationships/hyperlink" Target="https://storage.googleapis.com/glide-prod.appspot.com/uploads-v2/ly7o78grxPaC6KdgvbpS/pub/3aRdSog0vUtuqPE8AJKD.png" TargetMode="External"/><Relationship Id="rId577" Type="http://schemas.openxmlformats.org/officeDocument/2006/relationships/hyperlink" Target="https://storage.googleapis.com/glide-prod.appspot.com/uploads-v2/ly7o78grxPaC6KdgvbpS/pub/3aRdSog0vUtuqPE8AJKD.png" TargetMode="External"/><Relationship Id="rId700" Type="http://schemas.openxmlformats.org/officeDocument/2006/relationships/hyperlink" Target="https://storage.googleapis.com/glide-prod.appspot.com/uploads-v2/ly7o78grxPaC6KdgvbpS/pub/3aRdSog0vUtuqPE8AJKD.png" TargetMode="External"/><Relationship Id="rId1123" Type="http://schemas.openxmlformats.org/officeDocument/2006/relationships/hyperlink" Target="https://storage.googleapis.com/glide-prod.appspot.com/uploads-v2/ly7o78grxPaC6KdgvbpS/pub/3aRdSog0vUtuqPE8AJKD.png" TargetMode="External"/><Relationship Id="rId1330" Type="http://schemas.openxmlformats.org/officeDocument/2006/relationships/hyperlink" Target="https://storage.googleapis.com/glide-prod.appspot.com/uploads-v2/ly7o78grxPaC6KdgvbpS/pub/3aRdSog0vUtuqPE8AJKD.png" TargetMode="External"/><Relationship Id="rId1428" Type="http://schemas.openxmlformats.org/officeDocument/2006/relationships/hyperlink" Target="https://storage.googleapis.com/glide-prod.appspot.com/uploads-v2/ly7o78grxPaC6KdgvbpS/pub/3aRdSog0vUtuqPE8AJKD.png" TargetMode="External"/><Relationship Id="rId132" Type="http://schemas.openxmlformats.org/officeDocument/2006/relationships/hyperlink" Target="https://storage.googleapis.com/glide-prod.appspot.com/uploads-v2/ly7o78grxPaC6KdgvbpS/pub/3aRdSog0vUtuqPE8AJKD.png" TargetMode="External"/><Relationship Id="rId784" Type="http://schemas.openxmlformats.org/officeDocument/2006/relationships/hyperlink" Target="https://storage.googleapis.com/glide-prod.appspot.com/uploads-v2/ly7o78grxPaC6KdgvbpS/pub/3aRdSog0vUtuqPE8AJKD.png" TargetMode="External"/><Relationship Id="rId991" Type="http://schemas.openxmlformats.org/officeDocument/2006/relationships/hyperlink" Target="https://storage.googleapis.com/glide-prod.appspot.com/uploads-v2/ly7o78grxPaC6KdgvbpS/pub/3aRdSog0vUtuqPE8AJKD.png" TargetMode="External"/><Relationship Id="rId1067" Type="http://schemas.openxmlformats.org/officeDocument/2006/relationships/hyperlink" Target="https://storage.googleapis.com/glide-prod.appspot.com/uploads-v2/ly7o78grxPaC6KdgvbpS/pub/3aRdSog0vUtuqPE8AJKD.png" TargetMode="External"/><Relationship Id="rId437" Type="http://schemas.openxmlformats.org/officeDocument/2006/relationships/hyperlink" Target="https://storage.googleapis.com/glide-prod.appspot.com/uploads-v2/ly7o78grxPaC6KdgvbpS/pub/3aRdSog0vUtuqPE8AJKD.png" TargetMode="External"/><Relationship Id="rId644" Type="http://schemas.openxmlformats.org/officeDocument/2006/relationships/hyperlink" Target="https://storage.googleapis.com/glide-prod.appspot.com/uploads-v2/ly7o78grxPaC6KdgvbpS/pub/3aRdSog0vUtuqPE8AJKD.png" TargetMode="External"/><Relationship Id="rId851" Type="http://schemas.openxmlformats.org/officeDocument/2006/relationships/hyperlink" Target="https://storage.googleapis.com/glide-prod.appspot.com/uploads-v2/ly7o78grxPaC6KdgvbpS/pub/3aRdSog0vUtuqPE8AJKD.png" TargetMode="External"/><Relationship Id="rId1274" Type="http://schemas.openxmlformats.org/officeDocument/2006/relationships/hyperlink" Target="https://storage.googleapis.com/glide-prod.appspot.com/uploads-v2/ly7o78grxPaC6KdgvbpS/pub/3aRdSog0vUtuqPE8AJKD.png" TargetMode="External"/><Relationship Id="rId1481" Type="http://schemas.openxmlformats.org/officeDocument/2006/relationships/hyperlink" Target="https://storage.googleapis.com/glide-prod.appspot.com/uploads-v2/ly7o78grxPaC6KdgvbpS/pub/3aRdSog0vUtuqPE8AJKD.png" TargetMode="External"/><Relationship Id="rId283" Type="http://schemas.openxmlformats.org/officeDocument/2006/relationships/hyperlink" Target="https://storage.googleapis.com/glide-prod.appspot.com/uploads-v2/ly7o78grxPaC6KdgvbpS/pub/3aRdSog0vUtuqPE8AJKD.png" TargetMode="External"/><Relationship Id="rId490" Type="http://schemas.openxmlformats.org/officeDocument/2006/relationships/hyperlink" Target="https://storage.googleapis.com/glide-prod.appspot.com/uploads-v2/ly7o78grxPaC6KdgvbpS/pub/wg9j8fZMOEi3QJXARouc.jpg" TargetMode="External"/><Relationship Id="rId504" Type="http://schemas.openxmlformats.org/officeDocument/2006/relationships/hyperlink" Target="https://storage.googleapis.com/glide-prod.appspot.com/uploads-v2/ly7o78grxPaC6KdgvbpS/pub/3aRdSog0vUtuqPE8AJKD.png" TargetMode="External"/><Relationship Id="rId711" Type="http://schemas.openxmlformats.org/officeDocument/2006/relationships/hyperlink" Target="https://storage.googleapis.com/glide-prod.appspot.com/uploads-v2/ly7o78grxPaC6KdgvbpS/pub/3aRdSog0vUtuqPE8AJKD.png" TargetMode="External"/><Relationship Id="rId949" Type="http://schemas.openxmlformats.org/officeDocument/2006/relationships/hyperlink" Target="https://storage.googleapis.com/glide-prod.appspot.com/uploads-v2/ly7o78grxPaC6KdgvbpS/pub/UliJWgpEaBovaFmXi6OW.png" TargetMode="External"/><Relationship Id="rId1134" Type="http://schemas.openxmlformats.org/officeDocument/2006/relationships/hyperlink" Target="https://storage.googleapis.com/glide-prod.appspot.com/uploads-v2/ly7o78grxPaC6KdgvbpS/pub/3aRdSog0vUtuqPE8AJKD.png" TargetMode="External"/><Relationship Id="rId1341" Type="http://schemas.openxmlformats.org/officeDocument/2006/relationships/hyperlink" Target="https://storage.googleapis.com/glide-prod.appspot.com/uploads-v2/ly7o78grxPaC6KdgvbpS/pub/3aRdSog0vUtuqPE8AJKD.png" TargetMode="External"/><Relationship Id="rId78" Type="http://schemas.openxmlformats.org/officeDocument/2006/relationships/hyperlink" Target="https://storage.googleapis.com/glide-prod.appspot.com/uploads-v2/ly7o78grxPaC6KdgvbpS/pub/3aRdSog0vUtuqPE8AJKD.png" TargetMode="External"/><Relationship Id="rId143" Type="http://schemas.openxmlformats.org/officeDocument/2006/relationships/hyperlink" Target="https://storage.googleapis.com/glide-prod.appspot.com/uploads-v2/ly7o78grxPaC6KdgvbpS/pub/3aRdSog0vUtuqPE8AJKD.png" TargetMode="External"/><Relationship Id="rId350" Type="http://schemas.openxmlformats.org/officeDocument/2006/relationships/hyperlink" Target="https://storage.googleapis.com/glide-prod.appspot.com/uploads-v2/ly7o78grxPaC6KdgvbpS/pub/3aRdSog0vUtuqPE8AJKD.png" TargetMode="External"/><Relationship Id="rId588" Type="http://schemas.openxmlformats.org/officeDocument/2006/relationships/hyperlink" Target="https://storage.googleapis.com/glide-prod.appspot.com/uploads-v2/ly7o78grxPaC6KdgvbpS/pub/UliJWgpEaBovaFmXi6OW.png" TargetMode="External"/><Relationship Id="rId795" Type="http://schemas.openxmlformats.org/officeDocument/2006/relationships/hyperlink" Target="https://storage.googleapis.com/glide-prod.appspot.com/uploads-v2/ly7o78grxPaC6KdgvbpS/pub/3aRdSog0vUtuqPE8AJKD.png" TargetMode="External"/><Relationship Id="rId809" Type="http://schemas.openxmlformats.org/officeDocument/2006/relationships/hyperlink" Target="https://storage.googleapis.com/glide-prod.appspot.com/uploads-v2/ly7o78grxPaC6KdgvbpS/pub/3aRdSog0vUtuqPE8AJKD.png" TargetMode="External"/><Relationship Id="rId1201" Type="http://schemas.openxmlformats.org/officeDocument/2006/relationships/hyperlink" Target="https://storage.googleapis.com/glide-prod.appspot.com/uploads-v2/ly7o78grxPaC6KdgvbpS/pub/3aRdSog0vUtuqPE8AJKD.png" TargetMode="External"/><Relationship Id="rId1439" Type="http://schemas.openxmlformats.org/officeDocument/2006/relationships/hyperlink" Target="https://storage.googleapis.com/glide-prod.appspot.com/uploads-v2/ly7o78grxPaC6KdgvbpS/pub/3aRdSog0vUtuqPE8AJKD.png" TargetMode="External"/><Relationship Id="rId9" Type="http://schemas.openxmlformats.org/officeDocument/2006/relationships/hyperlink" Target="https://storage.googleapis.com/glide-prod.appspot.com/uploads-v2/ly7o78grxPaC6KdgvbpS/pub/3aRdSog0vUtuqPE8AJKD.png" TargetMode="External"/><Relationship Id="rId210" Type="http://schemas.openxmlformats.org/officeDocument/2006/relationships/hyperlink" Target="https://storage.googleapis.com/glide-prod.appspot.com/uploads-v2/ly7o78grxPaC6KdgvbpS/pub/UliJWgpEaBovaFmXi6OW.png" TargetMode="External"/><Relationship Id="rId448" Type="http://schemas.openxmlformats.org/officeDocument/2006/relationships/hyperlink" Target="https://storage.googleapis.com/glide-prod.appspot.com/uploads-v2/ly7o78grxPaC6KdgvbpS/pub/3aRdSog0vUtuqPE8AJKD.png" TargetMode="External"/><Relationship Id="rId655" Type="http://schemas.openxmlformats.org/officeDocument/2006/relationships/hyperlink" Target="https://storage.googleapis.com/glide-prod.appspot.com/uploads-v2/ly7o78grxPaC6KdgvbpS/pub/3aRdSog0vUtuqPE8AJKD.png" TargetMode="External"/><Relationship Id="rId862" Type="http://schemas.openxmlformats.org/officeDocument/2006/relationships/hyperlink" Target="https://storage.googleapis.com/glide-prod.appspot.com/uploads-v2/ly7o78grxPaC6KdgvbpS/pub/3aRdSog0vUtuqPE8AJKD.png" TargetMode="External"/><Relationship Id="rId1078" Type="http://schemas.openxmlformats.org/officeDocument/2006/relationships/hyperlink" Target="https://storage.googleapis.com/glide-prod.appspot.com/uploads-v2/ly7o78grxPaC6KdgvbpS/pub/3aRdSog0vUtuqPE8AJKD.png" TargetMode="External"/><Relationship Id="rId1285" Type="http://schemas.openxmlformats.org/officeDocument/2006/relationships/hyperlink" Target="https://storage.googleapis.com/glide-prod.appspot.com/uploads-v2/ly7o78grxPaC6KdgvbpS/pub/3aRdSog0vUtuqPE8AJKD.png" TargetMode="External"/><Relationship Id="rId1492" Type="http://schemas.openxmlformats.org/officeDocument/2006/relationships/hyperlink" Target="https://storage.googleapis.com/glide-prod.appspot.com/uploads-v2/ly7o78grxPaC6KdgvbpS/pub/3aRdSog0vUtuqPE8AJKD.png" TargetMode="External"/><Relationship Id="rId1506" Type="http://schemas.openxmlformats.org/officeDocument/2006/relationships/hyperlink" Target="https://storage.googleapis.com/glide-prod.appspot.com/uploads-v2/ly7o78grxPaC6KdgvbpS/pub/3aRdSog0vUtuqPE8AJKD.png" TargetMode="External"/><Relationship Id="rId294" Type="http://schemas.openxmlformats.org/officeDocument/2006/relationships/hyperlink" Target="https://storage.googleapis.com/glide-prod.appspot.com/uploads-v2/ly7o78grxPaC6KdgvbpS/pub/UliJWgpEaBovaFmXi6OW.png" TargetMode="External"/><Relationship Id="rId308" Type="http://schemas.openxmlformats.org/officeDocument/2006/relationships/hyperlink" Target="https://storage.googleapis.com/glide-prod.appspot.com/uploads-v2/ly7o78grxPaC6KdgvbpS/pub/3aRdSog0vUtuqPE8AJKD.png" TargetMode="External"/><Relationship Id="rId515" Type="http://schemas.openxmlformats.org/officeDocument/2006/relationships/hyperlink" Target="https://storage.googleapis.com/glide-prod.appspot.com/uploads-v2/ly7o78grxPaC6KdgvbpS/pub/3aRdSog0vUtuqPE8AJKD.png" TargetMode="External"/><Relationship Id="rId722" Type="http://schemas.openxmlformats.org/officeDocument/2006/relationships/hyperlink" Target="https://storage.googleapis.com/glide-prod.appspot.com/uploads-v2/ly7o78grxPaC6KdgvbpS/pub/UliJWgpEaBovaFmXi6OW.png" TargetMode="External"/><Relationship Id="rId1145" Type="http://schemas.openxmlformats.org/officeDocument/2006/relationships/hyperlink" Target="https://storage.googleapis.com/glide-prod.appspot.com/uploads-v2/ly7o78grxPaC6KdgvbpS/pub/3aRdSog0vUtuqPE8AJKD.png" TargetMode="External"/><Relationship Id="rId1352" Type="http://schemas.openxmlformats.org/officeDocument/2006/relationships/hyperlink" Target="https://storage.googleapis.com/glide-prod.appspot.com/uploads-v2/ly7o78grxPaC6KdgvbpS/pub/UliJWgpEaBovaFmXi6OW.png" TargetMode="External"/><Relationship Id="rId89" Type="http://schemas.openxmlformats.org/officeDocument/2006/relationships/hyperlink" Target="https://storage.googleapis.com/glide-prod.appspot.com/uploads-v2/ly7o78grxPaC6KdgvbpS/pub/3aRdSog0vUtuqPE8AJKD.png" TargetMode="External"/><Relationship Id="rId154" Type="http://schemas.openxmlformats.org/officeDocument/2006/relationships/hyperlink" Target="https://storage.googleapis.com/glide-prod.appspot.com/uploads-v2/ly7o78grxPaC6KdgvbpS/pub/3aRdSog0vUtuqPE8AJKD.png" TargetMode="External"/><Relationship Id="rId361" Type="http://schemas.openxmlformats.org/officeDocument/2006/relationships/hyperlink" Target="https://storage.googleapis.com/glide-prod.appspot.com/uploads-v2/ly7o78grxPaC6KdgvbpS/pub/UliJWgpEaBovaFmXi6OW.png" TargetMode="External"/><Relationship Id="rId599" Type="http://schemas.openxmlformats.org/officeDocument/2006/relationships/hyperlink" Target="https://storage.googleapis.com/glide-prod.appspot.com/uploads-v2/ly7o78grxPaC6KdgvbpS/pub/UliJWgpEaBovaFmXi6OW.png" TargetMode="External"/><Relationship Id="rId1005" Type="http://schemas.openxmlformats.org/officeDocument/2006/relationships/hyperlink" Target="https://storage.googleapis.com/glide-prod.appspot.com/uploads-v2/ly7o78grxPaC6KdgvbpS/pub/3aRdSog0vUtuqPE8AJKD.png" TargetMode="External"/><Relationship Id="rId1212" Type="http://schemas.openxmlformats.org/officeDocument/2006/relationships/hyperlink" Target="https://storage.googleapis.com/glide-prod.appspot.com/uploads-v2/ly7o78grxPaC6KdgvbpS/pub/3aRdSog0vUtuqPE8AJKD.png" TargetMode="External"/><Relationship Id="rId459" Type="http://schemas.openxmlformats.org/officeDocument/2006/relationships/hyperlink" Target="https://storage.googleapis.com/glide-prod.appspot.com/uploads-v2/ly7o78grxPaC6KdgvbpS/pub/UliJWgpEaBovaFmXi6OW.png" TargetMode="External"/><Relationship Id="rId666" Type="http://schemas.openxmlformats.org/officeDocument/2006/relationships/hyperlink" Target="https://storage.googleapis.com/glide-prod.appspot.com/uploads-v2/ly7o78grxPaC6KdgvbpS/pub/3aRdSog0vUtuqPE8AJKD.png" TargetMode="External"/><Relationship Id="rId873" Type="http://schemas.openxmlformats.org/officeDocument/2006/relationships/hyperlink" Target="https://storage.googleapis.com/glide-prod.appspot.com/uploads-v2/ly7o78grxPaC6KdgvbpS/pub/3aRdSog0vUtuqPE8AJKD.png" TargetMode="External"/><Relationship Id="rId1089" Type="http://schemas.openxmlformats.org/officeDocument/2006/relationships/hyperlink" Target="https://storage.googleapis.com/glide-prod.appspot.com/uploads-v2/ly7o78grxPaC6KdgvbpS/pub/3aRdSog0vUtuqPE8AJKD.png" TargetMode="External"/><Relationship Id="rId1296" Type="http://schemas.openxmlformats.org/officeDocument/2006/relationships/hyperlink" Target="https://storage.googleapis.com/glide-prod.appspot.com/uploads-v2/ly7o78grxPaC6KdgvbpS/pub/3aRdSog0vUtuqPE8AJKD.png" TargetMode="External"/><Relationship Id="rId1517" Type="http://schemas.openxmlformats.org/officeDocument/2006/relationships/hyperlink" Target="https://storage.googleapis.com/glide-prod.appspot.com/uploads-v2/ly7o78grxPaC6KdgvbpS/pub/yvtCGRAPIbS0tVLIlehH.png" TargetMode="External"/><Relationship Id="rId16" Type="http://schemas.openxmlformats.org/officeDocument/2006/relationships/hyperlink" Target="https://storage.googleapis.com/glide-prod.appspot.com/uploads-v2/ly7o78grxPaC6KdgvbpS/pub/3aRdSog0vUtuqPE8AJKD.png" TargetMode="External"/><Relationship Id="rId221" Type="http://schemas.openxmlformats.org/officeDocument/2006/relationships/hyperlink" Target="https://storage.googleapis.com/glide-prod.appspot.com/uploads-v2/ly7o78grxPaC6KdgvbpS/pub/3aRdSog0vUtuqPE8AJKD.png" TargetMode="External"/><Relationship Id="rId319" Type="http://schemas.openxmlformats.org/officeDocument/2006/relationships/hyperlink" Target="https://storage.googleapis.com/glide-prod.appspot.com/uploads-v2/ly7o78grxPaC6KdgvbpS/pub/3aRdSog0vUtuqPE8AJKD.png" TargetMode="External"/><Relationship Id="rId526" Type="http://schemas.openxmlformats.org/officeDocument/2006/relationships/hyperlink" Target="https://storage.googleapis.com/glide-prod.appspot.com/uploads-v2/ly7o78grxPaC6KdgvbpS/pub/3aRdSog0vUtuqPE8AJKD.png" TargetMode="External"/><Relationship Id="rId1156" Type="http://schemas.openxmlformats.org/officeDocument/2006/relationships/hyperlink" Target="https://storage.googleapis.com/glide-prod.appspot.com/uploads-v2/ly7o78grxPaC6KdgvbpS/pub/3aRdSog0vUtuqPE8AJKD.png" TargetMode="External"/><Relationship Id="rId1363" Type="http://schemas.openxmlformats.org/officeDocument/2006/relationships/hyperlink" Target="https://storage.googleapis.com/glide-prod.appspot.com/uploads-v2/ly7o78grxPaC6KdgvbpS/pub/UliJWgpEaBovaFmXi6OW.png" TargetMode="External"/><Relationship Id="rId733" Type="http://schemas.openxmlformats.org/officeDocument/2006/relationships/hyperlink" Target="https://storage.googleapis.com/glide-prod.appspot.com/uploads-v2/ly7o78grxPaC6KdgvbpS/pub/3aRdSog0vUtuqPE8AJKD.png" TargetMode="External"/><Relationship Id="rId940" Type="http://schemas.openxmlformats.org/officeDocument/2006/relationships/hyperlink" Target="https://storage.googleapis.com/glide-prod.appspot.com/uploads-v2/ly7o78grxPaC6KdgvbpS/pub/UliJWgpEaBovaFmXi6OW.png" TargetMode="External"/><Relationship Id="rId1016" Type="http://schemas.openxmlformats.org/officeDocument/2006/relationships/hyperlink" Target="https://storage.googleapis.com/glide-prod.appspot.com/uploads-v2/ly7o78grxPaC6KdgvbpS/pub/3aRdSog0vUtuqPE8AJKD.png" TargetMode="External"/><Relationship Id="rId165" Type="http://schemas.openxmlformats.org/officeDocument/2006/relationships/hyperlink" Target="https://storage.googleapis.com/glide-prod.appspot.com/uploads-v2/ly7o78grxPaC6KdgvbpS/pub/3aRdSog0vUtuqPE8AJKD.png" TargetMode="External"/><Relationship Id="rId372" Type="http://schemas.openxmlformats.org/officeDocument/2006/relationships/hyperlink" Target="https://storage.googleapis.com/glide-prod.appspot.com/uploads-v2/ly7o78grxPaC6KdgvbpS/pub/3aRdSog0vUtuqPE8AJKD.png" TargetMode="External"/><Relationship Id="rId677" Type="http://schemas.openxmlformats.org/officeDocument/2006/relationships/hyperlink" Target="https://storage.googleapis.com/glide-prod.appspot.com/uploads-v2/ly7o78grxPaC6KdgvbpS/pub/3aRdSog0vUtuqPE8AJKD.png" TargetMode="External"/><Relationship Id="rId800" Type="http://schemas.openxmlformats.org/officeDocument/2006/relationships/hyperlink" Target="https://storage.googleapis.com/glide-prod.appspot.com/uploads-v2/ly7o78grxPaC6KdgvbpS/pub/3aRdSog0vUtuqPE8AJKD.png" TargetMode="External"/><Relationship Id="rId1223" Type="http://schemas.openxmlformats.org/officeDocument/2006/relationships/hyperlink" Target="https://storage.googleapis.com/glide-prod.appspot.com/uploads-v2/ly7o78grxPaC6KdgvbpS/pub/3aRdSog0vUtuqPE8AJKD.png" TargetMode="External"/><Relationship Id="rId1430" Type="http://schemas.openxmlformats.org/officeDocument/2006/relationships/hyperlink" Target="https://storage.googleapis.com/glide-prod.appspot.com/uploads-v2/ly7o78grxPaC6KdgvbpS/pub/3aRdSog0vUtuqPE8AJKD.png" TargetMode="External"/><Relationship Id="rId1528" Type="http://schemas.openxmlformats.org/officeDocument/2006/relationships/hyperlink" Target="https://storage.googleapis.com/glide-prod.appspot.com/uploads-v2/ly7o78grxPaC6KdgvbpS/pub/3aRdSog0vUtuqPE8AJKD.png" TargetMode="External"/><Relationship Id="rId232" Type="http://schemas.openxmlformats.org/officeDocument/2006/relationships/hyperlink" Target="https://storage.googleapis.com/glide-prod.appspot.com/uploads-v2/ly7o78grxPaC6KdgvbpS/pub/3aRdSog0vUtuqPE8AJKD.png" TargetMode="External"/><Relationship Id="rId884" Type="http://schemas.openxmlformats.org/officeDocument/2006/relationships/hyperlink" Target="https://storage.googleapis.com/glide-prod.appspot.com/uploads-v2/ly7o78grxPaC6KdgvbpS/pub/3aRdSog0vUtuqPE8AJKD.png" TargetMode="External"/><Relationship Id="rId27" Type="http://schemas.openxmlformats.org/officeDocument/2006/relationships/hyperlink" Target="https://storage.googleapis.com/glide-prod.appspot.com/uploads-v2/ly7o78grxPaC6KdgvbpS/pub/3aRdSog0vUtuqPE8AJKD.png" TargetMode="External"/><Relationship Id="rId537" Type="http://schemas.openxmlformats.org/officeDocument/2006/relationships/hyperlink" Target="https://storage.googleapis.com/glide-prod.appspot.com/uploads-v2/ly7o78grxPaC6KdgvbpS/pub/3aRdSog0vUtuqPE8AJKD.png" TargetMode="External"/><Relationship Id="rId744" Type="http://schemas.openxmlformats.org/officeDocument/2006/relationships/hyperlink" Target="https://storage.googleapis.com/glide-prod.appspot.com/uploads-v2/ly7o78grxPaC6KdgvbpS/pub/3aRdSog0vUtuqPE8AJKD.png" TargetMode="External"/><Relationship Id="rId951" Type="http://schemas.openxmlformats.org/officeDocument/2006/relationships/hyperlink" Target="https://storage.googleapis.com/glide-prod.appspot.com/uploads-v2/ly7o78grxPaC6KdgvbpS/pub/UliJWgpEaBovaFmXi6OW.png" TargetMode="External"/><Relationship Id="rId1167" Type="http://schemas.openxmlformats.org/officeDocument/2006/relationships/hyperlink" Target="https://storage.googleapis.com/glide-prod.appspot.com/uploads-v2/ly7o78grxPaC6KdgvbpS/pub/3aRdSog0vUtuqPE8AJKD.png" TargetMode="External"/><Relationship Id="rId1374" Type="http://schemas.openxmlformats.org/officeDocument/2006/relationships/hyperlink" Target="https://storage.googleapis.com/glide-prod.appspot.com/uploads-v2/ly7o78grxPaC6KdgvbpS/pub/3aRdSog0vUtuqPE8AJKD.png" TargetMode="External"/><Relationship Id="rId80" Type="http://schemas.openxmlformats.org/officeDocument/2006/relationships/hyperlink" Target="https://storage.googleapis.com/glide-prod.appspot.com/uploads-v2/ly7o78grxPaC6KdgvbpS/pub/3aRdSog0vUtuqPE8AJKD.png" TargetMode="External"/><Relationship Id="rId176" Type="http://schemas.openxmlformats.org/officeDocument/2006/relationships/hyperlink" Target="https://storage.googleapis.com/glide-prod.appspot.com/uploads-v2/ly7o78grxPaC6KdgvbpS/pub/3aRdSog0vUtuqPE8AJKD.png" TargetMode="External"/><Relationship Id="rId383" Type="http://schemas.openxmlformats.org/officeDocument/2006/relationships/hyperlink" Target="https://storage.googleapis.com/glide-prod.appspot.com/uploads-v2/ly7o78grxPaC6KdgvbpS/pub/3aRdSog0vUtuqPE8AJKD.png" TargetMode="External"/><Relationship Id="rId590" Type="http://schemas.openxmlformats.org/officeDocument/2006/relationships/hyperlink" Target="https://storage.googleapis.com/glide-prod.appspot.com/uploads-v2/ly7o78grxPaC6KdgvbpS/pub/UliJWgpEaBovaFmXi6OW.png" TargetMode="External"/><Relationship Id="rId604" Type="http://schemas.openxmlformats.org/officeDocument/2006/relationships/hyperlink" Target="https://storage.googleapis.com/glide-prod.appspot.com/uploads-v2/ly7o78grxPaC6KdgvbpS/pub/3aRdSog0vUtuqPE8AJKD.png" TargetMode="External"/><Relationship Id="rId811" Type="http://schemas.openxmlformats.org/officeDocument/2006/relationships/hyperlink" Target="https://storage.googleapis.com/glide-prod.appspot.com/uploads-v2/ly7o78grxPaC6KdgvbpS/pub/3aRdSog0vUtuqPE8AJKD.png" TargetMode="External"/><Relationship Id="rId1027" Type="http://schemas.openxmlformats.org/officeDocument/2006/relationships/hyperlink" Target="https://storage.googleapis.com/glide-prod.appspot.com/uploads-v2/ly7o78grxPaC6KdgvbpS/pub/3aRdSog0vUtuqPE8AJKD.png" TargetMode="External"/><Relationship Id="rId1234" Type="http://schemas.openxmlformats.org/officeDocument/2006/relationships/hyperlink" Target="https://storage.googleapis.com/glide-prod.appspot.com/uploads-v2/ly7o78grxPaC6KdgvbpS/pub/3aRdSog0vUtuqPE8AJKD.png" TargetMode="External"/><Relationship Id="rId1441" Type="http://schemas.openxmlformats.org/officeDocument/2006/relationships/hyperlink" Target="https://storage.googleapis.com/glide-prod.appspot.com/uploads-v2/ly7o78grxPaC6KdgvbpS/pub/3aRdSog0vUtuqPE8AJKD.png" TargetMode="External"/><Relationship Id="rId243" Type="http://schemas.openxmlformats.org/officeDocument/2006/relationships/hyperlink" Target="https://storage.googleapis.com/glide-prod.appspot.com/uploads-v2/ly7o78grxPaC6KdgvbpS/pub/UliJWgpEaBovaFmXi6OW.png" TargetMode="External"/><Relationship Id="rId450" Type="http://schemas.openxmlformats.org/officeDocument/2006/relationships/hyperlink" Target="https://storage.googleapis.com/glide-prod.appspot.com/uploads-v2/ly7o78grxPaC6KdgvbpS/pub/UliJWgpEaBovaFmXi6OW.png" TargetMode="External"/><Relationship Id="rId688" Type="http://schemas.openxmlformats.org/officeDocument/2006/relationships/hyperlink" Target="https://storage.googleapis.com/glide-prod.appspot.com/uploads-v2/ly7o78grxPaC6KdgvbpS/pub/3aRdSog0vUtuqPE8AJKD.png" TargetMode="External"/><Relationship Id="rId895" Type="http://schemas.openxmlformats.org/officeDocument/2006/relationships/hyperlink" Target="https://storage.googleapis.com/glide-prod.appspot.com/uploads-v2/ly7o78grxPaC6KdgvbpS/pub/3aRdSog0vUtuqPE8AJKD.png" TargetMode="External"/><Relationship Id="rId909" Type="http://schemas.openxmlformats.org/officeDocument/2006/relationships/hyperlink" Target="https://storage.googleapis.com/glide-prod.appspot.com/uploads-v2/ly7o78grxPaC6KdgvbpS/pub/3aRdSog0vUtuqPE8AJKD.png" TargetMode="External"/><Relationship Id="rId1080" Type="http://schemas.openxmlformats.org/officeDocument/2006/relationships/hyperlink" Target="https://storage.googleapis.com/glide-prod.appspot.com/uploads-v2/ly7o78grxPaC6KdgvbpS/pub/3aRdSog0vUtuqPE8AJKD.png" TargetMode="External"/><Relationship Id="rId1301" Type="http://schemas.openxmlformats.org/officeDocument/2006/relationships/hyperlink" Target="https://storage.googleapis.com/glide-prod.appspot.com/uploads-v2/ly7o78grxPaC6KdgvbpS/pub/3aRdSog0vUtuqPE8AJKD.png" TargetMode="External"/><Relationship Id="rId1539" Type="http://schemas.openxmlformats.org/officeDocument/2006/relationships/hyperlink" Target="https://storage.googleapis.com/glide-prod.appspot.com/uploads-v2/ly7o78grxPaC6KdgvbpS/pub/UliJWgpEaBovaFmXi6OW.png" TargetMode="External"/><Relationship Id="rId38" Type="http://schemas.openxmlformats.org/officeDocument/2006/relationships/hyperlink" Target="https://storage.googleapis.com/glide-prod.appspot.com/uploads-v2/ly7o78grxPaC6KdgvbpS/pub/3aRdSog0vUtuqPE8AJKD.png" TargetMode="External"/><Relationship Id="rId103" Type="http://schemas.openxmlformats.org/officeDocument/2006/relationships/hyperlink" Target="https://storage.googleapis.com/glide-prod.appspot.com/uploads-v2/ly7o78grxPaC6KdgvbpS/pub/3aRdSog0vUtuqPE8AJKD.png" TargetMode="External"/><Relationship Id="rId310" Type="http://schemas.openxmlformats.org/officeDocument/2006/relationships/hyperlink" Target="https://storage.googleapis.com/glide-prod.appspot.com/uploads-v2/ly7o78grxPaC6KdgvbpS/pub/3aRdSog0vUtuqPE8AJKD.png" TargetMode="External"/><Relationship Id="rId548" Type="http://schemas.openxmlformats.org/officeDocument/2006/relationships/hyperlink" Target="https://storage.googleapis.com/glide-prod.appspot.com/uploads-v2/ly7o78grxPaC6KdgvbpS/pub/3aRdSog0vUtuqPE8AJKD.png" TargetMode="External"/><Relationship Id="rId755" Type="http://schemas.openxmlformats.org/officeDocument/2006/relationships/hyperlink" Target="https://storage.googleapis.com/glide-prod.appspot.com/uploads-v2/ly7o78grxPaC6KdgvbpS/pub/3aRdSog0vUtuqPE8AJKD.png" TargetMode="External"/><Relationship Id="rId962" Type="http://schemas.openxmlformats.org/officeDocument/2006/relationships/hyperlink" Target="https://storage.googleapis.com/glide-prod.appspot.com/uploads-v2/ly7o78grxPaC6KdgvbpS/pub/UliJWgpEaBovaFmXi6OW.png" TargetMode="External"/><Relationship Id="rId1178" Type="http://schemas.openxmlformats.org/officeDocument/2006/relationships/hyperlink" Target="https://storage.googleapis.com/glide-prod.appspot.com/uploads-v2/ly7o78grxPaC6KdgvbpS/pub/3aRdSog0vUtuqPE8AJKD.png" TargetMode="External"/><Relationship Id="rId1385" Type="http://schemas.openxmlformats.org/officeDocument/2006/relationships/hyperlink" Target="https://storage.googleapis.com/glide-prod.appspot.com/uploads-v2/ly7o78grxPaC6KdgvbpS/pub/3aRdSog0vUtuqPE8AJKD.png" TargetMode="External"/><Relationship Id="rId91" Type="http://schemas.openxmlformats.org/officeDocument/2006/relationships/hyperlink" Target="https://storage.googleapis.com/glide-prod.appspot.com/uploads-v2/ly7o78grxPaC6KdgvbpS/pub/3aRdSog0vUtuqPE8AJKD.png" TargetMode="External"/><Relationship Id="rId187" Type="http://schemas.openxmlformats.org/officeDocument/2006/relationships/hyperlink" Target="https://storage.googleapis.com/glide-prod.appspot.com/uploads-v2/ly7o78grxPaC6KdgvbpS/pub/yvtCGRAPIbS0tVLIlehH.png" TargetMode="External"/><Relationship Id="rId394" Type="http://schemas.openxmlformats.org/officeDocument/2006/relationships/hyperlink" Target="https://storage.googleapis.com/glide-prod.appspot.com/uploads-v2/ly7o78grxPaC6KdgvbpS/pub/3aRdSog0vUtuqPE8AJKD.png" TargetMode="External"/><Relationship Id="rId408" Type="http://schemas.openxmlformats.org/officeDocument/2006/relationships/hyperlink" Target="https://storage.googleapis.com/glide-prod.appspot.com/uploads-v2/ly7o78grxPaC6KdgvbpS/pub/3aRdSog0vUtuqPE8AJKD.png" TargetMode="External"/><Relationship Id="rId615" Type="http://schemas.openxmlformats.org/officeDocument/2006/relationships/hyperlink" Target="https://storage.googleapis.com/glide-prod.appspot.com/uploads-v2/ly7o78grxPaC6KdgvbpS/pub/3aRdSog0vUtuqPE8AJKD.png" TargetMode="External"/><Relationship Id="rId822" Type="http://schemas.openxmlformats.org/officeDocument/2006/relationships/hyperlink" Target="https://storage.googleapis.com/glide-prod.appspot.com/uploads-v2/ly7o78grxPaC6KdgvbpS/pub/3aRdSog0vUtuqPE8AJKD.png" TargetMode="External"/><Relationship Id="rId1038" Type="http://schemas.openxmlformats.org/officeDocument/2006/relationships/hyperlink" Target="https://storage.googleapis.com/glide-prod.appspot.com/uploads-v2/ly7o78grxPaC6KdgvbpS/pub/3aRdSog0vUtuqPE8AJKD.png" TargetMode="External"/><Relationship Id="rId1245" Type="http://schemas.openxmlformats.org/officeDocument/2006/relationships/hyperlink" Target="https://storage.googleapis.com/glide-prod.appspot.com/uploads-v2/ly7o78grxPaC6KdgvbpS/pub/UliJWgpEaBovaFmXi6OW.png" TargetMode="External"/><Relationship Id="rId1452" Type="http://schemas.openxmlformats.org/officeDocument/2006/relationships/hyperlink" Target="https://storage.googleapis.com/glide-prod.appspot.com/uploads-v2/ly7o78grxPaC6KdgvbpS/pub/3aRdSog0vUtuqPE8AJKD.png" TargetMode="External"/><Relationship Id="rId254" Type="http://schemas.openxmlformats.org/officeDocument/2006/relationships/hyperlink" Target="https://storage.googleapis.com/glide-prod.appspot.com/uploads-v2/ly7o78grxPaC6KdgvbpS/pub/UliJWgpEaBovaFmXi6OW.png" TargetMode="External"/><Relationship Id="rId699" Type="http://schemas.openxmlformats.org/officeDocument/2006/relationships/hyperlink" Target="https://storage.googleapis.com/glide-prod.appspot.com/uploads-v2/ly7o78grxPaC6KdgvbpS/pub/3aRdSog0vUtuqPE8AJKD.png" TargetMode="External"/><Relationship Id="rId1091" Type="http://schemas.openxmlformats.org/officeDocument/2006/relationships/hyperlink" Target="https://storage.googleapis.com/glide-prod.appspot.com/uploads-v2/ly7o78grxPaC6KdgvbpS/pub/UliJWgpEaBovaFmXi6OW.png" TargetMode="External"/><Relationship Id="rId1105" Type="http://schemas.openxmlformats.org/officeDocument/2006/relationships/hyperlink" Target="https://storage.googleapis.com/glide-prod.appspot.com/uploads-v2/ly7o78grxPaC6KdgvbpS/pub/3aRdSog0vUtuqPE8AJKD.png" TargetMode="External"/><Relationship Id="rId1312" Type="http://schemas.openxmlformats.org/officeDocument/2006/relationships/hyperlink" Target="https://storage.googleapis.com/glide-prod.appspot.com/uploads-v2/ly7o78grxPaC6KdgvbpS/pub/3aRdSog0vUtuqPE8AJKD.png" TargetMode="External"/><Relationship Id="rId49" Type="http://schemas.openxmlformats.org/officeDocument/2006/relationships/hyperlink" Target="https://storage.googleapis.com/glide-prod.appspot.com/uploads-v2/ly7o78grxPaC6KdgvbpS/pub/3aRdSog0vUtuqPE8AJKD.png" TargetMode="External"/><Relationship Id="rId114" Type="http://schemas.openxmlformats.org/officeDocument/2006/relationships/hyperlink" Target="https://storage.googleapis.com/glide-prod.appspot.com/uploads-v2/ly7o78grxPaC6KdgvbpS/pub/3aRdSog0vUtuqPE8AJKD.png" TargetMode="External"/><Relationship Id="rId461" Type="http://schemas.openxmlformats.org/officeDocument/2006/relationships/hyperlink" Target="https://storage.googleapis.com/glide-prod.appspot.com/uploads-v2/ly7o78grxPaC6KdgvbpS/pub/UliJWgpEaBovaFmXi6OW.png" TargetMode="External"/><Relationship Id="rId559" Type="http://schemas.openxmlformats.org/officeDocument/2006/relationships/hyperlink" Target="https://storage.googleapis.com/glide-prod.appspot.com/uploads-v2/ly7o78grxPaC6KdgvbpS/pub/3aRdSog0vUtuqPE8AJKD.png" TargetMode="External"/><Relationship Id="rId766" Type="http://schemas.openxmlformats.org/officeDocument/2006/relationships/hyperlink" Target="https://storage.googleapis.com/glide-prod.appspot.com/uploads-v2/ly7o78grxPaC6KdgvbpS/pub/3aRdSog0vUtuqPE8AJKD.png" TargetMode="External"/><Relationship Id="rId1189" Type="http://schemas.openxmlformats.org/officeDocument/2006/relationships/hyperlink" Target="https://storage.googleapis.com/glide-prod.appspot.com/uploads-v2/ly7o78grxPaC6KdgvbpS/pub/3aRdSog0vUtuqPE8AJKD.png" TargetMode="External"/><Relationship Id="rId1396" Type="http://schemas.openxmlformats.org/officeDocument/2006/relationships/hyperlink" Target="https://storage.googleapis.com/glide-prod.appspot.com/uploads-v2/ly7o78grxPaC6KdgvbpS/pub/3aRdSog0vUtuqPE8AJKD.png" TargetMode="External"/><Relationship Id="rId198" Type="http://schemas.openxmlformats.org/officeDocument/2006/relationships/hyperlink" Target="https://storage.googleapis.com/glide-prod.appspot.com/uploads-v2/ly7o78grxPaC6KdgvbpS/pub/UliJWgpEaBovaFmXi6OW.png" TargetMode="External"/><Relationship Id="rId321" Type="http://schemas.openxmlformats.org/officeDocument/2006/relationships/hyperlink" Target="https://storage.googleapis.com/glide-prod.appspot.com/uploads-v2/ly7o78grxPaC6KdgvbpS/pub/3aRdSog0vUtuqPE8AJKD.png" TargetMode="External"/><Relationship Id="rId419" Type="http://schemas.openxmlformats.org/officeDocument/2006/relationships/hyperlink" Target="https://storage.googleapis.com/glide-prod.appspot.com/uploads-v2/ly7o78grxPaC6KdgvbpS/pub/3aRdSog0vUtuqPE8AJKD.png" TargetMode="External"/><Relationship Id="rId626" Type="http://schemas.openxmlformats.org/officeDocument/2006/relationships/hyperlink" Target="https://storage.googleapis.com/glide-prod.appspot.com/uploads-v2/ly7o78grxPaC6KdgvbpS/pub/3aRdSog0vUtuqPE8AJKD.png" TargetMode="External"/><Relationship Id="rId973" Type="http://schemas.openxmlformats.org/officeDocument/2006/relationships/hyperlink" Target="https://storage.googleapis.com/glide-prod.appspot.com/uploads-v2/ly7o78grxPaC6KdgvbpS/pub/3aRdSog0vUtuqPE8AJKD.png" TargetMode="External"/><Relationship Id="rId1049" Type="http://schemas.openxmlformats.org/officeDocument/2006/relationships/hyperlink" Target="https://storage.googleapis.com/glide-prod.appspot.com/uploads-v2/ly7o78grxPaC6KdgvbpS/pub/3aRdSog0vUtuqPE8AJKD.png" TargetMode="External"/><Relationship Id="rId1256" Type="http://schemas.openxmlformats.org/officeDocument/2006/relationships/hyperlink" Target="https://storage.googleapis.com/glide-prod.appspot.com/uploads-v2/ly7o78grxPaC6KdgvbpS/pub/3aRdSog0vUtuqPE8AJKD.png" TargetMode="External"/><Relationship Id="rId833" Type="http://schemas.openxmlformats.org/officeDocument/2006/relationships/hyperlink" Target="https://storage.googleapis.com/glide-prod.appspot.com/uploads-v2/ly7o78grxPaC6KdgvbpS/pub/3aRdSog0vUtuqPE8AJKD.png" TargetMode="External"/><Relationship Id="rId1116" Type="http://schemas.openxmlformats.org/officeDocument/2006/relationships/hyperlink" Target="https://storage.googleapis.com/glide-prod.appspot.com/uploads-v2/ly7o78grxPaC6KdgvbpS/pub/3aRdSog0vUtuqPE8AJKD.png" TargetMode="External"/><Relationship Id="rId1463" Type="http://schemas.openxmlformats.org/officeDocument/2006/relationships/hyperlink" Target="https://storage.googleapis.com/glide-prod.appspot.com/uploads-v2/ly7o78grxPaC6KdgvbpS/pub/3aRdSog0vUtuqPE8AJKD.png" TargetMode="External"/><Relationship Id="rId265" Type="http://schemas.openxmlformats.org/officeDocument/2006/relationships/hyperlink" Target="https://storage.googleapis.com/glide-prod.appspot.com/uploads-v2/ly7o78grxPaC6KdgvbpS/pub/3aRdSog0vUtuqPE8AJKD.png" TargetMode="External"/><Relationship Id="rId472" Type="http://schemas.openxmlformats.org/officeDocument/2006/relationships/hyperlink" Target="https://storage.googleapis.com/glide-prod.appspot.com/uploads-v2/ly7o78grxPaC6KdgvbpS/pub/UliJWgpEaBovaFmXi6OW.png" TargetMode="External"/><Relationship Id="rId900" Type="http://schemas.openxmlformats.org/officeDocument/2006/relationships/hyperlink" Target="https://storage.googleapis.com/glide-prod.appspot.com/uploads-v2/ly7o78grxPaC6KdgvbpS/pub/3aRdSog0vUtuqPE8AJKD.png" TargetMode="External"/><Relationship Id="rId1323" Type="http://schemas.openxmlformats.org/officeDocument/2006/relationships/hyperlink" Target="https://storage.googleapis.com/glide-prod.appspot.com/uploads-v2/ly7o78grxPaC6KdgvbpS/pub/3aRdSog0vUtuqPE8AJKD.png" TargetMode="External"/><Relationship Id="rId1530" Type="http://schemas.openxmlformats.org/officeDocument/2006/relationships/hyperlink" Target="https://storage.googleapis.com/glide-prod.appspot.com/uploads-v2/ly7o78grxPaC6KdgvbpS/pub/3aRdSog0vUtuqPE8AJKD.png" TargetMode="External"/><Relationship Id="rId125" Type="http://schemas.openxmlformats.org/officeDocument/2006/relationships/hyperlink" Target="https://storage.googleapis.com/glide-prod.appspot.com/uploads-v2/ly7o78grxPaC6KdgvbpS/pub/3aRdSog0vUtuqPE8AJKD.png" TargetMode="External"/><Relationship Id="rId332" Type="http://schemas.openxmlformats.org/officeDocument/2006/relationships/hyperlink" Target="https://storage.googleapis.com/glide-prod.appspot.com/uploads-v2/ly7o78grxPaC6KdgvbpS/pub/3aRdSog0vUtuqPE8AJKD.png" TargetMode="External"/><Relationship Id="rId777" Type="http://schemas.openxmlformats.org/officeDocument/2006/relationships/hyperlink" Target="https://storage.googleapis.com/glide-prod.appspot.com/uploads-v2/ly7o78grxPaC6KdgvbpS/pub/3aRdSog0vUtuqPE8AJKD.png" TargetMode="External"/><Relationship Id="rId984" Type="http://schemas.openxmlformats.org/officeDocument/2006/relationships/hyperlink" Target="https://storage.googleapis.com/glide-prod.appspot.com/uploads-v2/ly7o78grxPaC6KdgvbpS/pub/3aRdSog0vUtuqPE8AJKD.png" TargetMode="External"/><Relationship Id="rId637" Type="http://schemas.openxmlformats.org/officeDocument/2006/relationships/hyperlink" Target="https://storage.googleapis.com/glide-prod.appspot.com/uploads-v2/ly7o78grxPaC6KdgvbpS/pub/3aRdSog0vUtuqPE8AJKD.png" TargetMode="External"/><Relationship Id="rId844" Type="http://schemas.openxmlformats.org/officeDocument/2006/relationships/hyperlink" Target="https://storage.googleapis.com/glide-prod.appspot.com/uploads-v2/ly7o78grxPaC6KdgvbpS/pub/3aRdSog0vUtuqPE8AJKD.png" TargetMode="External"/><Relationship Id="rId1267" Type="http://schemas.openxmlformats.org/officeDocument/2006/relationships/hyperlink" Target="https://storage.googleapis.com/glide-prod.appspot.com/uploads-v2/ly7o78grxPaC6KdgvbpS/pub/3aRdSog0vUtuqPE8AJKD.png" TargetMode="External"/><Relationship Id="rId1474" Type="http://schemas.openxmlformats.org/officeDocument/2006/relationships/hyperlink" Target="https://storage.googleapis.com/glide-prod.appspot.com/uploads-v2/ly7o78grxPaC6KdgvbpS/pub/3aRdSog0vUtuqPE8AJKD.png" TargetMode="External"/><Relationship Id="rId276" Type="http://schemas.openxmlformats.org/officeDocument/2006/relationships/hyperlink" Target="https://storage.googleapis.com/glide-prod.appspot.com/uploads-v2/ly7o78grxPaC6KdgvbpS/pub/3aRdSog0vUtuqPE8AJKD.png" TargetMode="External"/><Relationship Id="rId483" Type="http://schemas.openxmlformats.org/officeDocument/2006/relationships/hyperlink" Target="https://storage.googleapis.com/glide-prod.appspot.com/uploads-v2/ly7o78grxPaC6KdgvbpS/pub/3aRdSog0vUtuqPE8AJKD.png" TargetMode="External"/><Relationship Id="rId690" Type="http://schemas.openxmlformats.org/officeDocument/2006/relationships/hyperlink" Target="https://storage.googleapis.com/glide-prod.appspot.com/uploads-v2/ly7o78grxPaC6KdgvbpS/pub/3aRdSog0vUtuqPE8AJKD.png" TargetMode="External"/><Relationship Id="rId704" Type="http://schemas.openxmlformats.org/officeDocument/2006/relationships/hyperlink" Target="https://storage.googleapis.com/glide-prod.appspot.com/uploads-v2/ly7o78grxPaC6KdgvbpS/pub/3aRdSog0vUtuqPE8AJKD.png" TargetMode="External"/><Relationship Id="rId911" Type="http://schemas.openxmlformats.org/officeDocument/2006/relationships/hyperlink" Target="https://storage.googleapis.com/glide-prod.appspot.com/uploads-v2/ly7o78grxPaC6KdgvbpS/pub/3aRdSog0vUtuqPE8AJKD.png" TargetMode="External"/><Relationship Id="rId1127" Type="http://schemas.openxmlformats.org/officeDocument/2006/relationships/hyperlink" Target="https://storage.googleapis.com/glide-prod.appspot.com/uploads-v2/ly7o78grxPaC6KdgvbpS/pub/3aRdSog0vUtuqPE8AJKD.png" TargetMode="External"/><Relationship Id="rId1334" Type="http://schemas.openxmlformats.org/officeDocument/2006/relationships/hyperlink" Target="https://storage.googleapis.com/glide-prod.appspot.com/uploads-v2/ly7o78grxPaC6KdgvbpS/pub/3aRdSog0vUtuqPE8AJKD.png" TargetMode="External"/><Relationship Id="rId1541" Type="http://schemas.openxmlformats.org/officeDocument/2006/relationships/hyperlink" Target="https://storage.googleapis.com/glide-prod.appspot.com/uploads-v2/ly7o78grxPaC6KdgvbpS/pub/UliJWgpEaBovaFmXi6OW.png" TargetMode="External"/><Relationship Id="rId40" Type="http://schemas.openxmlformats.org/officeDocument/2006/relationships/hyperlink" Target="https://storage.googleapis.com/glide-prod.appspot.com/uploads-v2/ly7o78grxPaC6KdgvbpS/pub/EZKRNHxWDD70kvHQBf5F.jpg" TargetMode="External"/><Relationship Id="rId136" Type="http://schemas.openxmlformats.org/officeDocument/2006/relationships/hyperlink" Target="https://storage.googleapis.com/glide-prod.appspot.com/uploads-v2/ly7o78grxPaC6KdgvbpS/pub/3aRdSog0vUtuqPE8AJKD.png" TargetMode="External"/><Relationship Id="rId343" Type="http://schemas.openxmlformats.org/officeDocument/2006/relationships/hyperlink" Target="https://storage.googleapis.com/glide-prod.appspot.com/uploads-v2/ly7o78grxPaC6KdgvbpS/pub/3aRdSog0vUtuqPE8AJKD.png" TargetMode="External"/><Relationship Id="rId550" Type="http://schemas.openxmlformats.org/officeDocument/2006/relationships/hyperlink" Target="https://storage.googleapis.com/glide-prod.appspot.com/uploads-v2/ly7o78grxPaC6KdgvbpS/pub/3aRdSog0vUtuqPE8AJKD.png" TargetMode="External"/><Relationship Id="rId788" Type="http://schemas.openxmlformats.org/officeDocument/2006/relationships/hyperlink" Target="https://storage.googleapis.com/glide-prod.appspot.com/uploads-v2/ly7o78grxPaC6KdgvbpS/pub/3aRdSog0vUtuqPE8AJKD.png" TargetMode="External"/><Relationship Id="rId995" Type="http://schemas.openxmlformats.org/officeDocument/2006/relationships/hyperlink" Target="https://storage.googleapis.com/glide-prod.appspot.com/uploads-v2/ly7o78grxPaC6KdgvbpS/pub/yvtCGRAPIbS0tVLIlehH.png" TargetMode="External"/><Relationship Id="rId1180" Type="http://schemas.openxmlformats.org/officeDocument/2006/relationships/hyperlink" Target="https://storage.googleapis.com/glide-prod.appspot.com/uploads-v2/ly7o78grxPaC6KdgvbpS/pub/3aRdSog0vUtuqPE8AJKD.png" TargetMode="External"/><Relationship Id="rId1401" Type="http://schemas.openxmlformats.org/officeDocument/2006/relationships/hyperlink" Target="https://storage.googleapis.com/glide-prod.appspot.com/uploads-v2/ly7o78grxPaC6KdgvbpS/pub/3aRdSog0vUtuqPE8AJKD.png" TargetMode="External"/><Relationship Id="rId203" Type="http://schemas.openxmlformats.org/officeDocument/2006/relationships/hyperlink" Target="https://storage.googleapis.com/glide-prod.appspot.com/uploads-v2/ly7o78grxPaC6KdgvbpS/pub/UliJWgpEaBovaFmXi6OW.png" TargetMode="External"/><Relationship Id="rId648" Type="http://schemas.openxmlformats.org/officeDocument/2006/relationships/hyperlink" Target="https://storage.googleapis.com/glide-prod.appspot.com/uploads-v2/ly7o78grxPaC6KdgvbpS/pub/3aRdSog0vUtuqPE8AJKD.png" TargetMode="External"/><Relationship Id="rId855" Type="http://schemas.openxmlformats.org/officeDocument/2006/relationships/hyperlink" Target="https://storage.googleapis.com/glide-prod.appspot.com/uploads-v2/ly7o78grxPaC6KdgvbpS/pub/3aRdSog0vUtuqPE8AJKD.png" TargetMode="External"/><Relationship Id="rId1040" Type="http://schemas.openxmlformats.org/officeDocument/2006/relationships/hyperlink" Target="https://storage.googleapis.com/glide-prod.appspot.com/uploads-v2/ly7o78grxPaC6KdgvbpS/pub/3aRdSog0vUtuqPE8AJKD.png" TargetMode="External"/><Relationship Id="rId1278" Type="http://schemas.openxmlformats.org/officeDocument/2006/relationships/hyperlink" Target="https://storage.googleapis.com/glide-prod.appspot.com/uploads-v2/ly7o78grxPaC6KdgvbpS/pub/3aRdSog0vUtuqPE8AJKD.png" TargetMode="External"/><Relationship Id="rId1485" Type="http://schemas.openxmlformats.org/officeDocument/2006/relationships/hyperlink" Target="https://storage.googleapis.com/glide-prod.appspot.com/uploads-v2/ly7o78grxPaC6KdgvbpS/pub/3aRdSog0vUtuqPE8AJKD.png" TargetMode="External"/><Relationship Id="rId287" Type="http://schemas.openxmlformats.org/officeDocument/2006/relationships/hyperlink" Target="https://storage.googleapis.com/glide-prod.appspot.com/uploads-v2/ly7o78grxPaC6KdgvbpS/pub/3aRdSog0vUtuqPE8AJKD.png" TargetMode="External"/><Relationship Id="rId410" Type="http://schemas.openxmlformats.org/officeDocument/2006/relationships/hyperlink" Target="https://storage.googleapis.com/glide-prod.appspot.com/uploads-v2/ly7o78grxPaC6KdgvbpS/pub/3aRdSog0vUtuqPE8AJKD.png" TargetMode="External"/><Relationship Id="rId494" Type="http://schemas.openxmlformats.org/officeDocument/2006/relationships/hyperlink" Target="https://storage.googleapis.com/glide-prod.appspot.com/uploads-v2/ly7o78grxPaC6KdgvbpS/pub/UliJWgpEaBovaFmXi6OW.png" TargetMode="External"/><Relationship Id="rId508" Type="http://schemas.openxmlformats.org/officeDocument/2006/relationships/hyperlink" Target="https://storage.googleapis.com/glide-prod.appspot.com/uploads-v2/ly7o78grxPaC6KdgvbpS/pub/3aRdSog0vUtuqPE8AJKD.png" TargetMode="External"/><Relationship Id="rId715" Type="http://schemas.openxmlformats.org/officeDocument/2006/relationships/hyperlink" Target="https://storage.googleapis.com/glide-prod.appspot.com/uploads-v2/ly7o78grxPaC6KdgvbpS/pub/3aRdSog0vUtuqPE8AJKD.png" TargetMode="External"/><Relationship Id="rId922" Type="http://schemas.openxmlformats.org/officeDocument/2006/relationships/hyperlink" Target="https://storage.googleapis.com/glide-prod.appspot.com/uploads-v2/ly7o78grxPaC6KdgvbpS/pub/3aRdSog0vUtuqPE8AJKD.png" TargetMode="External"/><Relationship Id="rId1138" Type="http://schemas.openxmlformats.org/officeDocument/2006/relationships/hyperlink" Target="https://storage.googleapis.com/glide-prod.appspot.com/uploads-v2/ly7o78grxPaC6KdgvbpS/pub/3aRdSog0vUtuqPE8AJKD.png" TargetMode="External"/><Relationship Id="rId1345" Type="http://schemas.openxmlformats.org/officeDocument/2006/relationships/hyperlink" Target="https://storage.googleapis.com/glide-prod.appspot.com/uploads-v2/ly7o78grxPaC6KdgvbpS/pub/3aRdSog0vUtuqPE8AJKD.png" TargetMode="External"/><Relationship Id="rId1552" Type="http://schemas.openxmlformats.org/officeDocument/2006/relationships/hyperlink" Target="https://storage.googleapis.com/glide-prod.appspot.com/uploads-v2/ly7o78grxPaC6KdgvbpS/pub/3aRdSog0vUtuqPE8AJKD.png" TargetMode="External"/><Relationship Id="rId147" Type="http://schemas.openxmlformats.org/officeDocument/2006/relationships/hyperlink" Target="https://storage.googleapis.com/glide-prod.appspot.com/uploads-v2/ly7o78grxPaC6KdgvbpS/pub/3aRdSog0vUtuqPE8AJKD.png" TargetMode="External"/><Relationship Id="rId354" Type="http://schemas.openxmlformats.org/officeDocument/2006/relationships/hyperlink" Target="https://storage.googleapis.com/glide-prod.appspot.com/uploads-v2/ly7o78grxPaC6KdgvbpS/pub/UliJWgpEaBovaFmXi6OW.png" TargetMode="External"/><Relationship Id="rId799" Type="http://schemas.openxmlformats.org/officeDocument/2006/relationships/hyperlink" Target="https://storage.googleapis.com/glide-prod.appspot.com/uploads-v2/ly7o78grxPaC6KdgvbpS/pub/3aRdSog0vUtuqPE8AJKD.png" TargetMode="External"/><Relationship Id="rId1191" Type="http://schemas.openxmlformats.org/officeDocument/2006/relationships/hyperlink" Target="https://storage.googleapis.com/glide-prod.appspot.com/uploads-v2/ly7o78grxPaC6KdgvbpS/pub/3aRdSog0vUtuqPE8AJKD.png" TargetMode="External"/><Relationship Id="rId1205" Type="http://schemas.openxmlformats.org/officeDocument/2006/relationships/hyperlink" Target="https://storage.googleapis.com/glide-prod.appspot.com/uploads-v2/ly7o78grxPaC6KdgvbpS/pub/3aRdSog0vUtuqPE8AJKD.png" TargetMode="External"/><Relationship Id="rId51" Type="http://schemas.openxmlformats.org/officeDocument/2006/relationships/hyperlink" Target="https://storage.googleapis.com/glide-prod.appspot.com/uploads-v2/ly7o78grxPaC6KdgvbpS/pub/3aRdSog0vUtuqPE8AJKD.png" TargetMode="External"/><Relationship Id="rId561" Type="http://schemas.openxmlformats.org/officeDocument/2006/relationships/hyperlink" Target="https://storage.googleapis.com/glide-prod.appspot.com/uploads-v2/ly7o78grxPaC6KdgvbpS/pub/dzHyiir9PCrRsfphXAze.jpg" TargetMode="External"/><Relationship Id="rId659" Type="http://schemas.openxmlformats.org/officeDocument/2006/relationships/hyperlink" Target="https://storage.googleapis.com/glide-prod.appspot.com/uploads-v2/ly7o78grxPaC6KdgvbpS/pub/3aRdSog0vUtuqPE8AJKD.png" TargetMode="External"/><Relationship Id="rId866" Type="http://schemas.openxmlformats.org/officeDocument/2006/relationships/hyperlink" Target="https://storage.googleapis.com/glide-prod.appspot.com/uploads-v2/ly7o78grxPaC6KdgvbpS/pub/3aRdSog0vUtuqPE8AJKD.png" TargetMode="External"/><Relationship Id="rId1289" Type="http://schemas.openxmlformats.org/officeDocument/2006/relationships/hyperlink" Target="https://storage.googleapis.com/glide-prod.appspot.com/uploads-v2/ly7o78grxPaC6KdgvbpS/pub/3aRdSog0vUtuqPE8AJKD.png" TargetMode="External"/><Relationship Id="rId1412" Type="http://schemas.openxmlformats.org/officeDocument/2006/relationships/hyperlink" Target="https://storage.googleapis.com/glide-prod.appspot.com/uploads-v2/ly7o78grxPaC6KdgvbpS/pub/3aRdSog0vUtuqPE8AJKD.png" TargetMode="External"/><Relationship Id="rId1496" Type="http://schemas.openxmlformats.org/officeDocument/2006/relationships/hyperlink" Target="https://storage.googleapis.com/glide-prod.appspot.com/uploads-v2/ly7o78grxPaC6KdgvbpS/pub/3aRdSog0vUtuqPE8AJKD.png" TargetMode="External"/><Relationship Id="rId214" Type="http://schemas.openxmlformats.org/officeDocument/2006/relationships/hyperlink" Target="https://storage.googleapis.com/glide-prod.appspot.com/uploads-v2/ly7o78grxPaC6KdgvbpS/pub/3aRdSog0vUtuqPE8AJKD.png" TargetMode="External"/><Relationship Id="rId298" Type="http://schemas.openxmlformats.org/officeDocument/2006/relationships/hyperlink" Target="https://storage.googleapis.com/glide-prod.appspot.com/uploads-v2/ly7o78grxPaC6KdgvbpS/pub/UliJWgpEaBovaFmXi6OW.png" TargetMode="External"/><Relationship Id="rId421" Type="http://schemas.openxmlformats.org/officeDocument/2006/relationships/hyperlink" Target="https://storage.googleapis.com/glide-prod.appspot.com/uploads-v2/ly7o78grxPaC6KdgvbpS/pub/3aRdSog0vUtuqPE8AJKD.png" TargetMode="External"/><Relationship Id="rId519" Type="http://schemas.openxmlformats.org/officeDocument/2006/relationships/hyperlink" Target="https://storage.googleapis.com/glide-prod.appspot.com/uploads-v2/ly7o78grxPaC6KdgvbpS/pub/3aRdSog0vUtuqPE8AJKD.png" TargetMode="External"/><Relationship Id="rId1051" Type="http://schemas.openxmlformats.org/officeDocument/2006/relationships/hyperlink" Target="https://storage.googleapis.com/glide-prod.appspot.com/uploads-v2/ly7o78grxPaC6KdgvbpS/pub/3aRdSog0vUtuqPE8AJKD.png" TargetMode="External"/><Relationship Id="rId1149" Type="http://schemas.openxmlformats.org/officeDocument/2006/relationships/hyperlink" Target="https://storage.googleapis.com/glide-prod.appspot.com/uploads-v2/ly7o78grxPaC6KdgvbpS/pub/3aRdSog0vUtuqPE8AJKD.png" TargetMode="External"/><Relationship Id="rId1356" Type="http://schemas.openxmlformats.org/officeDocument/2006/relationships/hyperlink" Target="https://storage.googleapis.com/glide-prod.appspot.com/uploads-v2/ly7o78grxPaC6KdgvbpS/pub/UliJWgpEaBovaFmXi6OW.png" TargetMode="External"/><Relationship Id="rId158" Type="http://schemas.openxmlformats.org/officeDocument/2006/relationships/hyperlink" Target="https://storage.googleapis.com/glide-prod.appspot.com/uploads-v2/ly7o78grxPaC6KdgvbpS/pub/3aRdSog0vUtuqPE8AJKD.png" TargetMode="External"/><Relationship Id="rId726" Type="http://schemas.openxmlformats.org/officeDocument/2006/relationships/hyperlink" Target="https://storage.googleapis.com/glide-prod.appspot.com/uploads-v2/ly7o78grxPaC6KdgvbpS/pub/3aRdSog0vUtuqPE8AJKD.png" TargetMode="External"/><Relationship Id="rId933" Type="http://schemas.openxmlformats.org/officeDocument/2006/relationships/hyperlink" Target="https://storage.googleapis.com/glide-prod.appspot.com/uploads-v2/ly7o78grxPaC6KdgvbpS/pub/UliJWgpEaBovaFmXi6OW.png" TargetMode="External"/><Relationship Id="rId1009" Type="http://schemas.openxmlformats.org/officeDocument/2006/relationships/hyperlink" Target="https://storage.googleapis.com/glide-prod.appspot.com/uploads-v2/ly7o78grxPaC6KdgvbpS/pub/3aRdSog0vUtuqPE8AJKD.png" TargetMode="External"/><Relationship Id="rId62" Type="http://schemas.openxmlformats.org/officeDocument/2006/relationships/hyperlink" Target="https://storage.googleapis.com/glide-prod.appspot.com/uploads-v2/ly7o78grxPaC6KdgvbpS/pub/3aRdSog0vUtuqPE8AJKD.png" TargetMode="External"/><Relationship Id="rId365" Type="http://schemas.openxmlformats.org/officeDocument/2006/relationships/hyperlink" Target="https://storage.googleapis.com/glide-prod.appspot.com/uploads-v2/ly7o78grxPaC6KdgvbpS/pub/UliJWgpEaBovaFmXi6OW.png" TargetMode="External"/><Relationship Id="rId572" Type="http://schemas.openxmlformats.org/officeDocument/2006/relationships/hyperlink" Target="https://storage.googleapis.com/glide-prod.appspot.com/uploads-v2/ly7o78grxPaC6KdgvbpS/pub/3aRdSog0vUtuqPE8AJKD.png" TargetMode="External"/><Relationship Id="rId1216" Type="http://schemas.openxmlformats.org/officeDocument/2006/relationships/hyperlink" Target="https://storage.googleapis.com/glide-prod.appspot.com/uploads-v2/ly7o78grxPaC6KdgvbpS/pub/3aRdSog0vUtuqPE8AJKD.png" TargetMode="External"/><Relationship Id="rId1423" Type="http://schemas.openxmlformats.org/officeDocument/2006/relationships/hyperlink" Target="https://storage.googleapis.com/glide-prod.appspot.com/uploads-v2/ly7o78grxPaC6KdgvbpS/pub/3aRdSog0vUtuqPE8AJKD.png" TargetMode="External"/><Relationship Id="rId225" Type="http://schemas.openxmlformats.org/officeDocument/2006/relationships/hyperlink" Target="https://storage.googleapis.com/glide-prod.appspot.com/uploads-v2/ly7o78grxPaC6KdgvbpS/pub/3aRdSog0vUtuqPE8AJKD.png" TargetMode="External"/><Relationship Id="rId432" Type="http://schemas.openxmlformats.org/officeDocument/2006/relationships/hyperlink" Target="https://storage.googleapis.com/glide-prod.appspot.com/uploads-v2/ly7o78grxPaC6KdgvbpS/pub/3aRdSog0vUtuqPE8AJKD.png" TargetMode="External"/><Relationship Id="rId877" Type="http://schemas.openxmlformats.org/officeDocument/2006/relationships/hyperlink" Target="https://storage.googleapis.com/glide-prod.appspot.com/uploads-v2/ly7o78grxPaC6KdgvbpS/pub/3aRdSog0vUtuqPE8AJKD.png" TargetMode="External"/><Relationship Id="rId1062" Type="http://schemas.openxmlformats.org/officeDocument/2006/relationships/hyperlink" Target="https://storage.googleapis.com/glide-prod.appspot.com/uploads-v2/ly7o78grxPaC6KdgvbpS/pub/3aRdSog0vUtuqPE8AJKD.png" TargetMode="External"/><Relationship Id="rId737" Type="http://schemas.openxmlformats.org/officeDocument/2006/relationships/hyperlink" Target="https://storage.googleapis.com/glide-prod.appspot.com/uploads-v2/ly7o78grxPaC6KdgvbpS/pub/3aRdSog0vUtuqPE8AJKD.png" TargetMode="External"/><Relationship Id="rId944" Type="http://schemas.openxmlformats.org/officeDocument/2006/relationships/hyperlink" Target="https://storage.googleapis.com/glide-prod.appspot.com/uploads-v2/ly7o78grxPaC6KdgvbpS/pub/UliJWgpEaBovaFmXi6OW.png" TargetMode="External"/><Relationship Id="rId1367" Type="http://schemas.openxmlformats.org/officeDocument/2006/relationships/hyperlink" Target="https://storage.googleapis.com/glide-prod.appspot.com/uploads-v2/ly7o78grxPaC6KdgvbpS/pub/UliJWgpEaBovaFmXi6OW.png" TargetMode="External"/><Relationship Id="rId73" Type="http://schemas.openxmlformats.org/officeDocument/2006/relationships/hyperlink" Target="https://storage.googleapis.com/glide-prod.appspot.com/uploads-v2/ly7o78grxPaC6KdgvbpS/pub/3aRdSog0vUtuqPE8AJKD.png" TargetMode="External"/><Relationship Id="rId169" Type="http://schemas.openxmlformats.org/officeDocument/2006/relationships/hyperlink" Target="https://storage.googleapis.com/glide-prod.appspot.com/uploads-v2/ly7o78grxPaC6KdgvbpS/pub/3aRdSog0vUtuqPE8AJKD.png" TargetMode="External"/><Relationship Id="rId376" Type="http://schemas.openxmlformats.org/officeDocument/2006/relationships/hyperlink" Target="https://storage.googleapis.com/glide-prod.appspot.com/uploads-v2/ly7o78grxPaC6KdgvbpS/pub/3aRdSog0vUtuqPE8AJKD.png" TargetMode="External"/><Relationship Id="rId583" Type="http://schemas.openxmlformats.org/officeDocument/2006/relationships/hyperlink" Target="https://storage.googleapis.com/glide-prod.appspot.com/uploads-v2/ly7o78grxPaC6KdgvbpS/pub/UliJWgpEaBovaFmXi6OW.png" TargetMode="External"/><Relationship Id="rId790" Type="http://schemas.openxmlformats.org/officeDocument/2006/relationships/hyperlink" Target="https://storage.googleapis.com/glide-prod.appspot.com/uploads-v2/ly7o78grxPaC6KdgvbpS/pub/3aRdSog0vUtuqPE8AJKD.png" TargetMode="External"/><Relationship Id="rId804" Type="http://schemas.openxmlformats.org/officeDocument/2006/relationships/hyperlink" Target="https://storage.googleapis.com/glide-prod.appspot.com/uploads-v2/ly7o78grxPaC6KdgvbpS/pub/3aRdSog0vUtuqPE8AJKD.png" TargetMode="External"/><Relationship Id="rId1227" Type="http://schemas.openxmlformats.org/officeDocument/2006/relationships/hyperlink" Target="https://storage.googleapis.com/glide-prod.appspot.com/uploads-v2/ly7o78grxPaC6KdgvbpS/pub/3aRdSog0vUtuqPE8AJKD.png" TargetMode="External"/><Relationship Id="rId1434" Type="http://schemas.openxmlformats.org/officeDocument/2006/relationships/hyperlink" Target="https://storage.googleapis.com/glide-prod.appspot.com/uploads-v2/ly7o78grxPaC6KdgvbpS/pub/3aRdSog0vUtuqPE8AJKD.png" TargetMode="External"/><Relationship Id="rId4" Type="http://schemas.openxmlformats.org/officeDocument/2006/relationships/hyperlink" Target="https://storage.googleapis.com/glide-prod.appspot.com/uploads-v2/ly7o78grxPaC6KdgvbpS/pub/xp9zOShZ902b8qpTVC5b.jpg" TargetMode="External"/><Relationship Id="rId236" Type="http://schemas.openxmlformats.org/officeDocument/2006/relationships/hyperlink" Target="https://storage.googleapis.com/glide-prod.appspot.com/uploads-v2/ly7o78grxPaC6KdgvbpS/pub/3aRdSog0vUtuqPE8AJKD.png" TargetMode="External"/><Relationship Id="rId443" Type="http://schemas.openxmlformats.org/officeDocument/2006/relationships/hyperlink" Target="https://storage.googleapis.com/glide-prod.appspot.com/uploads-v2/ly7o78grxPaC6KdgvbpS/pub/3aRdSog0vUtuqPE8AJKD.png" TargetMode="External"/><Relationship Id="rId650" Type="http://schemas.openxmlformats.org/officeDocument/2006/relationships/hyperlink" Target="https://storage.googleapis.com/glide-prod.appspot.com/uploads-v2/ly7o78grxPaC6KdgvbpS/pub/3aRdSog0vUtuqPE8AJKD.png" TargetMode="External"/><Relationship Id="rId888" Type="http://schemas.openxmlformats.org/officeDocument/2006/relationships/hyperlink" Target="https://storage.googleapis.com/glide-prod.appspot.com/uploads-v2/ly7o78grxPaC6KdgvbpS/pub/3aRdSog0vUtuqPE8AJKD.png" TargetMode="External"/><Relationship Id="rId1073" Type="http://schemas.openxmlformats.org/officeDocument/2006/relationships/hyperlink" Target="https://storage.googleapis.com/glide-prod.appspot.com/uploads-v2/ly7o78grxPaC6KdgvbpS/pub/3aRdSog0vUtuqPE8AJKD.png" TargetMode="External"/><Relationship Id="rId1280" Type="http://schemas.openxmlformats.org/officeDocument/2006/relationships/hyperlink" Target="https://storage.googleapis.com/glide-prod.appspot.com/uploads-v2/ly7o78grxPaC6KdgvbpS/pub/3aRdSog0vUtuqPE8AJKD.png" TargetMode="External"/><Relationship Id="rId1501" Type="http://schemas.openxmlformats.org/officeDocument/2006/relationships/hyperlink" Target="https://storage.googleapis.com/glide-prod.appspot.com/uploads-v2/ly7o78grxPaC6KdgvbpS/pub/28AwjHUVrzqBDpeSYjq7.jpg" TargetMode="External"/><Relationship Id="rId303" Type="http://schemas.openxmlformats.org/officeDocument/2006/relationships/hyperlink" Target="https://storage.googleapis.com/glide-prod.appspot.com/uploads-v2/ly7o78grxPaC6KdgvbpS/pub/3aRdSog0vUtuqPE8AJKD.png" TargetMode="External"/><Relationship Id="rId748" Type="http://schemas.openxmlformats.org/officeDocument/2006/relationships/hyperlink" Target="https://storage.googleapis.com/glide-prod.appspot.com/uploads-v2/ly7o78grxPaC6KdgvbpS/pub/3aRdSog0vUtuqPE8AJKD.png" TargetMode="External"/><Relationship Id="rId955" Type="http://schemas.openxmlformats.org/officeDocument/2006/relationships/hyperlink" Target="https://storage.googleapis.com/glide-prod.appspot.com/uploads-v2/ly7o78grxPaC6KdgvbpS/pub/UliJWgpEaBovaFmXi6OW.png" TargetMode="External"/><Relationship Id="rId1140" Type="http://schemas.openxmlformats.org/officeDocument/2006/relationships/hyperlink" Target="https://storage.googleapis.com/glide-prod.appspot.com/uploads-v2/ly7o78grxPaC6KdgvbpS/pub/3aRdSog0vUtuqPE8AJKD.png" TargetMode="External"/><Relationship Id="rId1378" Type="http://schemas.openxmlformats.org/officeDocument/2006/relationships/hyperlink" Target="https://storage.googleapis.com/glide-prod.appspot.com/uploads-v2/ly7o78grxPaC6KdgvbpS/pub/3aRdSog0vUtuqPE8AJKD.png" TargetMode="External"/><Relationship Id="rId84" Type="http://schemas.openxmlformats.org/officeDocument/2006/relationships/hyperlink" Target="https://storage.googleapis.com/glide-prod.appspot.com/uploads-v2/ly7o78grxPaC6KdgvbpS/pub/3aRdSog0vUtuqPE8AJKD.png" TargetMode="External"/><Relationship Id="rId387" Type="http://schemas.openxmlformats.org/officeDocument/2006/relationships/hyperlink" Target="https://storage.googleapis.com/glide-prod.appspot.com/uploads-v2/ly7o78grxPaC6KdgvbpS/pub/3aRdSog0vUtuqPE8AJKD.png" TargetMode="External"/><Relationship Id="rId510" Type="http://schemas.openxmlformats.org/officeDocument/2006/relationships/hyperlink" Target="https://storage.googleapis.com/glide-prod.appspot.com/uploads-v2/ly7o78grxPaC6KdgvbpS/pub/3aRdSog0vUtuqPE8AJKD.png" TargetMode="External"/><Relationship Id="rId594" Type="http://schemas.openxmlformats.org/officeDocument/2006/relationships/hyperlink" Target="https://storage.googleapis.com/glide-prod.appspot.com/uploads-v2/ly7o78grxPaC6KdgvbpS/pub/UliJWgpEaBovaFmXi6OW.png" TargetMode="External"/><Relationship Id="rId608" Type="http://schemas.openxmlformats.org/officeDocument/2006/relationships/hyperlink" Target="https://storage.googleapis.com/glide-prod.appspot.com/uploads-v2/ly7o78grxPaC6KdgvbpS/pub/3aRdSog0vUtuqPE8AJKD.png" TargetMode="External"/><Relationship Id="rId815" Type="http://schemas.openxmlformats.org/officeDocument/2006/relationships/hyperlink" Target="https://storage.googleapis.com/glide-prod.appspot.com/uploads-v2/ly7o78grxPaC6KdgvbpS/pub/3aRdSog0vUtuqPE8AJKD.png" TargetMode="External"/><Relationship Id="rId1238" Type="http://schemas.openxmlformats.org/officeDocument/2006/relationships/hyperlink" Target="https://storage.googleapis.com/glide-prod.appspot.com/uploads-v2/ly7o78grxPaC6KdgvbpS/pub/3aRdSog0vUtuqPE8AJKD.png" TargetMode="External"/><Relationship Id="rId1445" Type="http://schemas.openxmlformats.org/officeDocument/2006/relationships/hyperlink" Target="https://storage.googleapis.com/glide-prod.appspot.com/uploads-v2/ly7o78grxPaC6KdgvbpS/pub/3aRdSog0vUtuqPE8AJKD.png" TargetMode="External"/><Relationship Id="rId247" Type="http://schemas.openxmlformats.org/officeDocument/2006/relationships/hyperlink" Target="https://storage.googleapis.com/glide-prod.appspot.com/uploads-v2/ly7o78grxPaC6KdgvbpS/pub/UliJWgpEaBovaFmXi6OW.png" TargetMode="External"/><Relationship Id="rId899" Type="http://schemas.openxmlformats.org/officeDocument/2006/relationships/hyperlink" Target="https://storage.googleapis.com/glide-prod.appspot.com/uploads-v2/ly7o78grxPaC6KdgvbpS/pub/3aRdSog0vUtuqPE8AJKD.png" TargetMode="External"/><Relationship Id="rId1000" Type="http://schemas.openxmlformats.org/officeDocument/2006/relationships/hyperlink" Target="https://storage.googleapis.com/glide-prod.appspot.com/uploads-v2/ly7o78grxPaC6KdgvbpS/pub/3aRdSog0vUtuqPE8AJKD.png" TargetMode="External"/><Relationship Id="rId1084" Type="http://schemas.openxmlformats.org/officeDocument/2006/relationships/hyperlink" Target="https://storage.googleapis.com/glide-prod.appspot.com/uploads-v2/ly7o78grxPaC6KdgvbpS/pub/3aRdSog0vUtuqPE8AJKD.png" TargetMode="External"/><Relationship Id="rId1305" Type="http://schemas.openxmlformats.org/officeDocument/2006/relationships/hyperlink" Target="https://storage.googleapis.com/glide-prod.appspot.com/uploads-v2/ly7o78grxPaC6KdgvbpS/pub/3aRdSog0vUtuqPE8AJKD.png" TargetMode="External"/><Relationship Id="rId107" Type="http://schemas.openxmlformats.org/officeDocument/2006/relationships/hyperlink" Target="https://storage.googleapis.com/glide-prod.appspot.com/uploads-v2/ly7o78grxPaC6KdgvbpS/pub/Flll83kWZ3IFsGqKHsF6.jpg" TargetMode="External"/><Relationship Id="rId454" Type="http://schemas.openxmlformats.org/officeDocument/2006/relationships/hyperlink" Target="https://storage.googleapis.com/glide-prod.appspot.com/uploads-v2/ly7o78grxPaC6KdgvbpS/pub/UliJWgpEaBovaFmXi6OW.png" TargetMode="External"/><Relationship Id="rId661" Type="http://schemas.openxmlformats.org/officeDocument/2006/relationships/hyperlink" Target="https://storage.googleapis.com/glide-prod.appspot.com/uploads-v2/ly7o78grxPaC6KdgvbpS/pub/3aRdSog0vUtuqPE8AJKD.png" TargetMode="External"/><Relationship Id="rId759" Type="http://schemas.openxmlformats.org/officeDocument/2006/relationships/hyperlink" Target="https://storage.googleapis.com/glide-prod.appspot.com/uploads-v2/ly7o78grxPaC6KdgvbpS/pub/3aRdSog0vUtuqPE8AJKD.png" TargetMode="External"/><Relationship Id="rId966" Type="http://schemas.openxmlformats.org/officeDocument/2006/relationships/hyperlink" Target="https://storage.googleapis.com/glide-prod.appspot.com/uploads-v2/ly7o78grxPaC6KdgvbpS/pub/3aRdSog0vUtuqPE8AJKD.png" TargetMode="External"/><Relationship Id="rId1291" Type="http://schemas.openxmlformats.org/officeDocument/2006/relationships/hyperlink" Target="https://storage.googleapis.com/glide-prod.appspot.com/uploads-v2/ly7o78grxPaC6KdgvbpS/pub/3aRdSog0vUtuqPE8AJKD.png" TargetMode="External"/><Relationship Id="rId1389" Type="http://schemas.openxmlformats.org/officeDocument/2006/relationships/hyperlink" Target="https://storage.googleapis.com/glide-prod.appspot.com/uploads-v2/ly7o78grxPaC6KdgvbpS/pub/3aRdSog0vUtuqPE8AJKD.png" TargetMode="External"/><Relationship Id="rId1512" Type="http://schemas.openxmlformats.org/officeDocument/2006/relationships/hyperlink" Target="https://storage.googleapis.com/glide-prod.appspot.com/uploads-v2/ly7o78grxPaC6KdgvbpS/pub/3aRdSog0vUtuqPE8AJKD.png" TargetMode="External"/><Relationship Id="rId11" Type="http://schemas.openxmlformats.org/officeDocument/2006/relationships/hyperlink" Target="https://storage.googleapis.com/glide-prod.appspot.com/uploads-v2/ly7o78grxPaC6KdgvbpS/pub/3aRdSog0vUtuqPE8AJKD.png" TargetMode="External"/><Relationship Id="rId314" Type="http://schemas.openxmlformats.org/officeDocument/2006/relationships/hyperlink" Target="https://storage.googleapis.com/glide-prod.appspot.com/uploads-v2/ly7o78grxPaC6KdgvbpS/pub/3aRdSog0vUtuqPE8AJKD.png" TargetMode="External"/><Relationship Id="rId398" Type="http://schemas.openxmlformats.org/officeDocument/2006/relationships/hyperlink" Target="https://storage.googleapis.com/glide-prod.appspot.com/uploads-v2/ly7o78grxPaC6KdgvbpS/pub/3aRdSog0vUtuqPE8AJKD.png" TargetMode="External"/><Relationship Id="rId521" Type="http://schemas.openxmlformats.org/officeDocument/2006/relationships/hyperlink" Target="https://storage.googleapis.com/glide-prod.appspot.com/uploads-v2/ly7o78grxPaC6KdgvbpS/pub/3aRdSog0vUtuqPE8AJKD.png" TargetMode="External"/><Relationship Id="rId619" Type="http://schemas.openxmlformats.org/officeDocument/2006/relationships/hyperlink" Target="https://storage.googleapis.com/glide-prod.appspot.com/uploads-v2/ly7o78grxPaC6KdgvbpS/pub/3aRdSog0vUtuqPE8AJKD.png" TargetMode="External"/><Relationship Id="rId1151" Type="http://schemas.openxmlformats.org/officeDocument/2006/relationships/hyperlink" Target="https://storage.googleapis.com/glide-prod.appspot.com/uploads-v2/ly7o78grxPaC6KdgvbpS/pub/3aRdSog0vUtuqPE8AJKD.png" TargetMode="External"/><Relationship Id="rId1249" Type="http://schemas.openxmlformats.org/officeDocument/2006/relationships/hyperlink" Target="https://storage.googleapis.com/glide-prod.appspot.com/uploads-v2/ly7o78grxPaC6KdgvbpS/pub/3aRdSog0vUtuqPE8AJKD.png" TargetMode="External"/><Relationship Id="rId95" Type="http://schemas.openxmlformats.org/officeDocument/2006/relationships/hyperlink" Target="https://storage.googleapis.com/glide-prod.appspot.com/uploads-v2/ly7o78grxPaC6KdgvbpS/pub/3aRdSog0vUtuqPE8AJKD.png" TargetMode="External"/><Relationship Id="rId160" Type="http://schemas.openxmlformats.org/officeDocument/2006/relationships/hyperlink" Target="https://storage.googleapis.com/glide-prod.appspot.com/uploads-v2/ly7o78grxPaC6KdgvbpS/pub/3aRdSog0vUtuqPE8AJKD.png" TargetMode="External"/><Relationship Id="rId826" Type="http://schemas.openxmlformats.org/officeDocument/2006/relationships/hyperlink" Target="https://storage.googleapis.com/glide-prod.appspot.com/uploads-v2/ly7o78grxPaC6KdgvbpS/pub/3aRdSog0vUtuqPE8AJKD.png" TargetMode="External"/><Relationship Id="rId1011" Type="http://schemas.openxmlformats.org/officeDocument/2006/relationships/hyperlink" Target="https://storage.googleapis.com/glide-prod.appspot.com/uploads-v2/ly7o78grxPaC6KdgvbpS/pub/3aRdSog0vUtuqPE8AJKD.png" TargetMode="External"/><Relationship Id="rId1109" Type="http://schemas.openxmlformats.org/officeDocument/2006/relationships/hyperlink" Target="https://storage.googleapis.com/glide-prod.appspot.com/uploads-v2/ly7o78grxPaC6KdgvbpS/pub/3aRdSog0vUtuqPE8AJKD.png" TargetMode="External"/><Relationship Id="rId1456" Type="http://schemas.openxmlformats.org/officeDocument/2006/relationships/hyperlink" Target="https://storage.googleapis.com/glide-prod.appspot.com/uploads-v2/ly7o78grxPaC6KdgvbpS/pub/3aRdSog0vUtuqPE8AJKD.png" TargetMode="External"/><Relationship Id="rId258" Type="http://schemas.openxmlformats.org/officeDocument/2006/relationships/hyperlink" Target="https://storage.googleapis.com/glide-prod.appspot.com/uploads-v2/ly7o78grxPaC6KdgvbpS/pub/UliJWgpEaBovaFmXi6OW.png" TargetMode="External"/><Relationship Id="rId465" Type="http://schemas.openxmlformats.org/officeDocument/2006/relationships/hyperlink" Target="https://storage.googleapis.com/glide-prod.appspot.com/uploads-v2/ly7o78grxPaC6KdgvbpS/pub/UliJWgpEaBovaFmXi6OW.png" TargetMode="External"/><Relationship Id="rId672" Type="http://schemas.openxmlformats.org/officeDocument/2006/relationships/hyperlink" Target="https://storage.googleapis.com/glide-prod.appspot.com/uploads-v2/ly7o78grxPaC6KdgvbpS/pub/3aRdSog0vUtuqPE8AJKD.png" TargetMode="External"/><Relationship Id="rId1095" Type="http://schemas.openxmlformats.org/officeDocument/2006/relationships/hyperlink" Target="https://storage.googleapis.com/glide-prod.appspot.com/uploads-v2/ly7o78grxPaC6KdgvbpS/pub/UliJWgpEaBovaFmXi6OW.png" TargetMode="External"/><Relationship Id="rId1316" Type="http://schemas.openxmlformats.org/officeDocument/2006/relationships/hyperlink" Target="https://storage.googleapis.com/glide-prod.appspot.com/uploads-v2/ly7o78grxPaC6KdgvbpS/pub/3aRdSog0vUtuqPE8AJKD.png" TargetMode="External"/><Relationship Id="rId1523" Type="http://schemas.openxmlformats.org/officeDocument/2006/relationships/hyperlink" Target="https://storage.googleapis.com/glide-prod.appspot.com/uploads-v2/ly7o78grxPaC6KdgvbpS/pub/3aRdSog0vUtuqPE8AJKD.png" TargetMode="External"/><Relationship Id="rId22" Type="http://schemas.openxmlformats.org/officeDocument/2006/relationships/hyperlink" Target="https://storage.googleapis.com/glide-prod.appspot.com/uploads-v2/ly7o78grxPaC6KdgvbpS/pub/3aRdSog0vUtuqPE8AJKD.png" TargetMode="External"/><Relationship Id="rId118" Type="http://schemas.openxmlformats.org/officeDocument/2006/relationships/hyperlink" Target="https://storage.googleapis.com/glide-prod.appspot.com/uploads-v2/ly7o78grxPaC6KdgvbpS/pub/3aRdSog0vUtuqPE8AJKD.png" TargetMode="External"/><Relationship Id="rId325" Type="http://schemas.openxmlformats.org/officeDocument/2006/relationships/hyperlink" Target="https://storage.googleapis.com/glide-prod.appspot.com/uploads-v2/ly7o78grxPaC6KdgvbpS/pub/3aRdSog0vUtuqPE8AJKD.png" TargetMode="External"/><Relationship Id="rId532" Type="http://schemas.openxmlformats.org/officeDocument/2006/relationships/hyperlink" Target="https://storage.googleapis.com/glide-prod.appspot.com/uploads-v2/ly7o78grxPaC6KdgvbpS/pub/3aRdSog0vUtuqPE8AJKD.png" TargetMode="External"/><Relationship Id="rId977" Type="http://schemas.openxmlformats.org/officeDocument/2006/relationships/hyperlink" Target="https://storage.googleapis.com/glide-prod.appspot.com/uploads-v2/ly7o78grxPaC6KdgvbpS/pub/3aRdSog0vUtuqPE8AJKD.png" TargetMode="External"/><Relationship Id="rId1162" Type="http://schemas.openxmlformats.org/officeDocument/2006/relationships/hyperlink" Target="https://storage.googleapis.com/glide-prod.appspot.com/uploads-v2/ly7o78grxPaC6KdgvbpS/pub/3aRdSog0vUtuqPE8AJKD.png" TargetMode="External"/><Relationship Id="rId171" Type="http://schemas.openxmlformats.org/officeDocument/2006/relationships/hyperlink" Target="https://storage.googleapis.com/glide-prod.appspot.com/uploads-v2/ly7o78grxPaC6KdgvbpS/pub/3aRdSog0vUtuqPE8AJKD.png" TargetMode="External"/><Relationship Id="rId837" Type="http://schemas.openxmlformats.org/officeDocument/2006/relationships/hyperlink" Target="https://storage.googleapis.com/glide-prod.appspot.com/uploads-v2/ly7o78grxPaC6KdgvbpS/pub/3aRdSog0vUtuqPE8AJKD.png" TargetMode="External"/><Relationship Id="rId1022" Type="http://schemas.openxmlformats.org/officeDocument/2006/relationships/hyperlink" Target="https://storage.googleapis.com/glide-prod.appspot.com/uploads-v2/ly7o78grxPaC6KdgvbpS/pub/3aRdSog0vUtuqPE8AJKD.png" TargetMode="External"/><Relationship Id="rId1467" Type="http://schemas.openxmlformats.org/officeDocument/2006/relationships/hyperlink" Target="https://storage.googleapis.com/glide-prod.appspot.com/uploads-v2/ly7o78grxPaC6KdgvbpS/pub/3aRdSog0vUtuqPE8AJKD.png" TargetMode="External"/><Relationship Id="rId269" Type="http://schemas.openxmlformats.org/officeDocument/2006/relationships/hyperlink" Target="https://storage.googleapis.com/glide-prod.appspot.com/uploads-v2/ly7o78grxPaC6KdgvbpS/pub/3aRdSog0vUtuqPE8AJKD.png" TargetMode="External"/><Relationship Id="rId476" Type="http://schemas.openxmlformats.org/officeDocument/2006/relationships/hyperlink" Target="https://storage.googleapis.com/glide-prod.appspot.com/uploads-v2/ly7o78grxPaC6KdgvbpS/pub/UliJWgpEaBovaFmXi6OW.png" TargetMode="External"/><Relationship Id="rId683" Type="http://schemas.openxmlformats.org/officeDocument/2006/relationships/hyperlink" Target="https://storage.googleapis.com/glide-prod.appspot.com/uploads-v2/ly7o78grxPaC6KdgvbpS/pub/3aRdSog0vUtuqPE8AJKD.png" TargetMode="External"/><Relationship Id="rId890" Type="http://schemas.openxmlformats.org/officeDocument/2006/relationships/hyperlink" Target="https://storage.googleapis.com/glide-prod.appspot.com/uploads-v2/ly7o78grxPaC6KdgvbpS/pub/3aRdSog0vUtuqPE8AJKD.png" TargetMode="External"/><Relationship Id="rId904" Type="http://schemas.openxmlformats.org/officeDocument/2006/relationships/hyperlink" Target="https://storage.googleapis.com/glide-prod.appspot.com/uploads-v2/ly7o78grxPaC6KdgvbpS/pub/3aRdSog0vUtuqPE8AJKD.png" TargetMode="External"/><Relationship Id="rId1327" Type="http://schemas.openxmlformats.org/officeDocument/2006/relationships/hyperlink" Target="https://storage.googleapis.com/glide-prod.appspot.com/uploads-v2/ly7o78grxPaC6KdgvbpS/pub/3aRdSog0vUtuqPE8AJKD.png" TargetMode="External"/><Relationship Id="rId1534" Type="http://schemas.openxmlformats.org/officeDocument/2006/relationships/hyperlink" Target="https://storage.googleapis.com/glide-prod.appspot.com/uploads-v2/ly7o78grxPaC6KdgvbpS/pub/3aRdSog0vUtuqPE8AJKD.png" TargetMode="External"/><Relationship Id="rId33" Type="http://schemas.openxmlformats.org/officeDocument/2006/relationships/hyperlink" Target="https://storage.googleapis.com/glide-prod.appspot.com/uploads-v2/ly7o78grxPaC6KdgvbpS/pub/3aRdSog0vUtuqPE8AJKD.png" TargetMode="External"/><Relationship Id="rId129" Type="http://schemas.openxmlformats.org/officeDocument/2006/relationships/hyperlink" Target="https://storage.googleapis.com/glide-prod.appspot.com/uploads-v2/ly7o78grxPaC6KdgvbpS/pub/3aRdSog0vUtuqPE8AJKD.png" TargetMode="External"/><Relationship Id="rId336" Type="http://schemas.openxmlformats.org/officeDocument/2006/relationships/hyperlink" Target="https://storage.googleapis.com/glide-prod.appspot.com/uploads-v2/ly7o78grxPaC6KdgvbpS/pub/3aRdSog0vUtuqPE8AJKD.png" TargetMode="External"/><Relationship Id="rId543" Type="http://schemas.openxmlformats.org/officeDocument/2006/relationships/hyperlink" Target="https://storage.googleapis.com/glide-prod.appspot.com/uploads-v2/ly7o78grxPaC6KdgvbpS/pub/3aRdSog0vUtuqPE8AJKD.png" TargetMode="External"/><Relationship Id="rId988" Type="http://schemas.openxmlformats.org/officeDocument/2006/relationships/hyperlink" Target="https://storage.googleapis.com/glide-prod.appspot.com/uploads-v2/ly7o78grxPaC6KdgvbpS/pub/3aRdSog0vUtuqPE8AJKD.png" TargetMode="External"/><Relationship Id="rId1173" Type="http://schemas.openxmlformats.org/officeDocument/2006/relationships/hyperlink" Target="https://storage.googleapis.com/glide-prod.appspot.com/uploads-v2/ly7o78grxPaC6KdgvbpS/pub/3aRdSog0vUtuqPE8AJKD.png" TargetMode="External"/><Relationship Id="rId1380" Type="http://schemas.openxmlformats.org/officeDocument/2006/relationships/hyperlink" Target="https://storage.googleapis.com/glide-prod.appspot.com/uploads-v2/ly7o78grxPaC6KdgvbpS/pub/3aRdSog0vUtuqPE8AJKD.png" TargetMode="External"/><Relationship Id="rId182" Type="http://schemas.openxmlformats.org/officeDocument/2006/relationships/hyperlink" Target="https://storage.googleapis.com/glide-prod.appspot.com/uploads-v2/ly7o78grxPaC6KdgvbpS/pub/3aRdSog0vUtuqPE8AJKD.png" TargetMode="External"/><Relationship Id="rId403" Type="http://schemas.openxmlformats.org/officeDocument/2006/relationships/hyperlink" Target="https://storage.googleapis.com/glide-prod.appspot.com/uploads-v2/ly7o78grxPaC6KdgvbpS/pub/3aRdSog0vUtuqPE8AJKD.png" TargetMode="External"/><Relationship Id="rId750" Type="http://schemas.openxmlformats.org/officeDocument/2006/relationships/hyperlink" Target="https://storage.googleapis.com/glide-prod.appspot.com/uploads-v2/ly7o78grxPaC6KdgvbpS/pub/3aRdSog0vUtuqPE8AJKD.png" TargetMode="External"/><Relationship Id="rId848" Type="http://schemas.openxmlformats.org/officeDocument/2006/relationships/hyperlink" Target="https://storage.googleapis.com/glide-prod.appspot.com/uploads-v2/ly7o78grxPaC6KdgvbpS/pub/3aRdSog0vUtuqPE8AJKD.png" TargetMode="External"/><Relationship Id="rId1033" Type="http://schemas.openxmlformats.org/officeDocument/2006/relationships/hyperlink" Target="https://storage.googleapis.com/glide-prod.appspot.com/uploads-v2/ly7o78grxPaC6KdgvbpS/pub/3aRdSog0vUtuqPE8AJKD.png" TargetMode="External"/><Relationship Id="rId1478" Type="http://schemas.openxmlformats.org/officeDocument/2006/relationships/hyperlink" Target="https://storage.googleapis.com/glide-prod.appspot.com/uploads-v2/ly7o78grxPaC6KdgvbpS/pub/3aRdSog0vUtuqPE8AJKD.png" TargetMode="External"/><Relationship Id="rId487" Type="http://schemas.openxmlformats.org/officeDocument/2006/relationships/hyperlink" Target="https://storage.googleapis.com/glide-prod.appspot.com/uploads-v2/ly7o78grxPaC6KdgvbpS/pub/3aRdSog0vUtuqPE8AJKD.png" TargetMode="External"/><Relationship Id="rId610" Type="http://schemas.openxmlformats.org/officeDocument/2006/relationships/hyperlink" Target="https://storage.googleapis.com/glide-prod.appspot.com/uploads-v2/ly7o78grxPaC6KdgvbpS/pub/3aRdSog0vUtuqPE8AJKD.png" TargetMode="External"/><Relationship Id="rId694" Type="http://schemas.openxmlformats.org/officeDocument/2006/relationships/hyperlink" Target="https://storage.googleapis.com/glide-prod.appspot.com/uploads-v2/ly7o78grxPaC6KdgvbpS/pub/3aRdSog0vUtuqPE8AJKD.png" TargetMode="External"/><Relationship Id="rId708" Type="http://schemas.openxmlformats.org/officeDocument/2006/relationships/hyperlink" Target="https://storage.googleapis.com/glide-prod.appspot.com/uploads-v2/ly7o78grxPaC6KdgvbpS/pub/3aRdSog0vUtuqPE8AJKD.png" TargetMode="External"/><Relationship Id="rId915" Type="http://schemas.openxmlformats.org/officeDocument/2006/relationships/hyperlink" Target="https://storage.googleapis.com/glide-prod.appspot.com/uploads-v2/ly7o78grxPaC6KdgvbpS/pub/3aRdSog0vUtuqPE8AJKD.png" TargetMode="External"/><Relationship Id="rId1240" Type="http://schemas.openxmlformats.org/officeDocument/2006/relationships/hyperlink" Target="https://storage.googleapis.com/glide-prod.appspot.com/uploads-v2/ly7o78grxPaC6KdgvbpS/pub/3aRdSog0vUtuqPE8AJKD.png" TargetMode="External"/><Relationship Id="rId1338" Type="http://schemas.openxmlformats.org/officeDocument/2006/relationships/hyperlink" Target="https://storage.googleapis.com/glide-prod.appspot.com/uploads-v2/ly7o78grxPaC6KdgvbpS/pub/3aRdSog0vUtuqPE8AJKD.png" TargetMode="External"/><Relationship Id="rId1545" Type="http://schemas.openxmlformats.org/officeDocument/2006/relationships/hyperlink" Target="https://storage.googleapis.com/glide-prod.appspot.com/uploads-v2/ly7o78grxPaC6KdgvbpS/pub/UliJWgpEaBovaFmXi6OW.png" TargetMode="External"/><Relationship Id="rId347" Type="http://schemas.openxmlformats.org/officeDocument/2006/relationships/hyperlink" Target="https://storage.googleapis.com/glide-prod.appspot.com/uploads-v2/ly7o78grxPaC6KdgvbpS/pub/3aRdSog0vUtuqPE8AJKD.png" TargetMode="External"/><Relationship Id="rId999" Type="http://schemas.openxmlformats.org/officeDocument/2006/relationships/hyperlink" Target="https://storage.googleapis.com/glide-prod.appspot.com/uploads-v2/ly7o78grxPaC6KdgvbpS/pub/3aRdSog0vUtuqPE8AJKD.png" TargetMode="External"/><Relationship Id="rId1100" Type="http://schemas.openxmlformats.org/officeDocument/2006/relationships/hyperlink" Target="https://storage.googleapis.com/glide-prod.appspot.com/uploads-v2/ly7o78grxPaC6KdgvbpS/pub/3aRdSog0vUtuqPE8AJKD.png" TargetMode="External"/><Relationship Id="rId1184" Type="http://schemas.openxmlformats.org/officeDocument/2006/relationships/hyperlink" Target="https://storage.googleapis.com/glide-prod.appspot.com/uploads-v2/ly7o78grxPaC6KdgvbpS/pub/3aRdSog0vUtuqPE8AJKD.png" TargetMode="External"/><Relationship Id="rId1405" Type="http://schemas.openxmlformats.org/officeDocument/2006/relationships/hyperlink" Target="https://storage.googleapis.com/glide-prod.appspot.com/uploads-v2/ly7o78grxPaC6KdgvbpS/pub/3aRdSog0vUtuqPE8AJKD.png" TargetMode="External"/><Relationship Id="rId44" Type="http://schemas.openxmlformats.org/officeDocument/2006/relationships/hyperlink" Target="https://storage.googleapis.com/glide-prod.appspot.com/uploads-v2/ly7o78grxPaC6KdgvbpS/pub/3aRdSog0vUtuqPE8AJKD.png" TargetMode="External"/><Relationship Id="rId554" Type="http://schemas.openxmlformats.org/officeDocument/2006/relationships/hyperlink" Target="https://storage.googleapis.com/glide-prod.appspot.com/uploads-v2/ly7o78grxPaC6KdgvbpS/pub/3aRdSog0vUtuqPE8AJKD.png" TargetMode="External"/><Relationship Id="rId761" Type="http://schemas.openxmlformats.org/officeDocument/2006/relationships/hyperlink" Target="https://storage.googleapis.com/glide-prod.appspot.com/uploads-v2/ly7o78grxPaC6KdgvbpS/pub/3aRdSog0vUtuqPE8AJKD.png" TargetMode="External"/><Relationship Id="rId859" Type="http://schemas.openxmlformats.org/officeDocument/2006/relationships/hyperlink" Target="https://storage.googleapis.com/glide-prod.appspot.com/uploads-v2/ly7o78grxPaC6KdgvbpS/pub/3aRdSog0vUtuqPE8AJKD.png" TargetMode="External"/><Relationship Id="rId1391" Type="http://schemas.openxmlformats.org/officeDocument/2006/relationships/hyperlink" Target="https://storage.googleapis.com/glide-prod.appspot.com/uploads-v2/ly7o78grxPaC6KdgvbpS/pub/3aRdSog0vUtuqPE8AJKD.png" TargetMode="External"/><Relationship Id="rId1489" Type="http://schemas.openxmlformats.org/officeDocument/2006/relationships/hyperlink" Target="https://storage.googleapis.com/glide-prod.appspot.com/uploads-v2/ly7o78grxPaC6KdgvbpS/pub/3aRdSog0vUtuqPE8AJKD.png" TargetMode="External"/><Relationship Id="rId193" Type="http://schemas.openxmlformats.org/officeDocument/2006/relationships/hyperlink" Target="https://storage.googleapis.com/glide-prod.appspot.com/uploads-v2/ly7o78grxPaC6KdgvbpS/pub/3aRdSog0vUtuqPE8AJKD.png" TargetMode="External"/><Relationship Id="rId207" Type="http://schemas.openxmlformats.org/officeDocument/2006/relationships/hyperlink" Target="https://storage.googleapis.com/glide-prod.appspot.com/uploads-v2/ly7o78grxPaC6KdgvbpS/pub/UliJWgpEaBovaFmXi6OW.png" TargetMode="External"/><Relationship Id="rId414" Type="http://schemas.openxmlformats.org/officeDocument/2006/relationships/hyperlink" Target="https://storage.googleapis.com/glide-prod.appspot.com/uploads-v2/ly7o78grxPaC6KdgvbpS/pub/3aRdSog0vUtuqPE8AJKD.png" TargetMode="External"/><Relationship Id="rId498" Type="http://schemas.openxmlformats.org/officeDocument/2006/relationships/hyperlink" Target="https://storage.googleapis.com/glide-prod.appspot.com/uploads-v2/ly7o78grxPaC6KdgvbpS/pub/UliJWgpEaBovaFmXi6OW.png" TargetMode="External"/><Relationship Id="rId621" Type="http://schemas.openxmlformats.org/officeDocument/2006/relationships/hyperlink" Target="https://storage.googleapis.com/glide-prod.appspot.com/uploads-v2/ly7o78grxPaC6KdgvbpS/pub/3aRdSog0vUtuqPE8AJKD.png" TargetMode="External"/><Relationship Id="rId1044" Type="http://schemas.openxmlformats.org/officeDocument/2006/relationships/hyperlink" Target="https://storage.googleapis.com/glide-prod.appspot.com/uploads-v2/ly7o78grxPaC6KdgvbpS/pub/3aRdSog0vUtuqPE8AJKD.png" TargetMode="External"/><Relationship Id="rId1251" Type="http://schemas.openxmlformats.org/officeDocument/2006/relationships/hyperlink" Target="https://storage.googleapis.com/glide-prod.appspot.com/uploads-v2/ly7o78grxPaC6KdgvbpS/pub/3aRdSog0vUtuqPE8AJKD.png" TargetMode="External"/><Relationship Id="rId1349" Type="http://schemas.openxmlformats.org/officeDocument/2006/relationships/hyperlink" Target="https://storage.googleapis.com/glide-prod.appspot.com/uploads-v2/ly7o78grxPaC6KdgvbpS/pub/UliJWgpEaBovaFmXi6OW.png" TargetMode="External"/><Relationship Id="rId260" Type="http://schemas.openxmlformats.org/officeDocument/2006/relationships/hyperlink" Target="https://storage.googleapis.com/glide-prod.appspot.com/uploads-v2/ly7o78grxPaC6KdgvbpS/pub/3aRdSog0vUtuqPE8AJKD.png" TargetMode="External"/><Relationship Id="rId719" Type="http://schemas.openxmlformats.org/officeDocument/2006/relationships/hyperlink" Target="https://storage.googleapis.com/glide-prod.appspot.com/uploads-v2/ly7o78grxPaC6KdgvbpS/pub/3aRdSog0vUtuqPE8AJKD.png" TargetMode="External"/><Relationship Id="rId926" Type="http://schemas.openxmlformats.org/officeDocument/2006/relationships/hyperlink" Target="https://storage.googleapis.com/glide-prod.appspot.com/uploads-v2/ly7o78grxPaC6KdgvbpS/pub/3aRdSog0vUtuqPE8AJKD.png" TargetMode="External"/><Relationship Id="rId1111" Type="http://schemas.openxmlformats.org/officeDocument/2006/relationships/hyperlink" Target="https://storage.googleapis.com/glide-prod.appspot.com/uploads-v2/ly7o78grxPaC6KdgvbpS/pub/3aRdSog0vUtuqPE8AJKD.png" TargetMode="External"/><Relationship Id="rId1556" Type="http://schemas.openxmlformats.org/officeDocument/2006/relationships/hyperlink" Target="https://storage.googleapis.com/glide-prod.appspot.com/uploads-v2/ly7o78grxPaC6KdgvbpS/pub/3aRdSog0vUtuqPE8AJKD.png" TargetMode="External"/><Relationship Id="rId55" Type="http://schemas.openxmlformats.org/officeDocument/2006/relationships/hyperlink" Target="https://storage.googleapis.com/glide-prod.appspot.com/uploads-v2/ly7o78grxPaC6KdgvbpS/pub/3aRdSog0vUtuqPE8AJKD.png" TargetMode="External"/><Relationship Id="rId120" Type="http://schemas.openxmlformats.org/officeDocument/2006/relationships/hyperlink" Target="https://storage.googleapis.com/glide-prod.appspot.com/uploads-v2/ly7o78grxPaC6KdgvbpS/pub/3aRdSog0vUtuqPE8AJKD.png" TargetMode="External"/><Relationship Id="rId358" Type="http://schemas.openxmlformats.org/officeDocument/2006/relationships/hyperlink" Target="https://storage.googleapis.com/glide-prod.appspot.com/uploads-v2/ly7o78grxPaC6KdgvbpS/pub/UliJWgpEaBovaFmXi6OW.png" TargetMode="External"/><Relationship Id="rId565" Type="http://schemas.openxmlformats.org/officeDocument/2006/relationships/hyperlink" Target="https://storage.googleapis.com/glide-prod.appspot.com/uploads-v2/ly7o78grxPaC6KdgvbpS/pub/3aRdSog0vUtuqPE8AJKD.png" TargetMode="External"/><Relationship Id="rId772" Type="http://schemas.openxmlformats.org/officeDocument/2006/relationships/hyperlink" Target="https://storage.googleapis.com/glide-prod.appspot.com/uploads-v2/ly7o78grxPaC6KdgvbpS/pub/3aRdSog0vUtuqPE8AJKD.png" TargetMode="External"/><Relationship Id="rId1195" Type="http://schemas.openxmlformats.org/officeDocument/2006/relationships/hyperlink" Target="https://storage.googleapis.com/glide-prod.appspot.com/uploads-v2/ly7o78grxPaC6KdgvbpS/pub/3aRdSog0vUtuqPE8AJKD.png" TargetMode="External"/><Relationship Id="rId1209" Type="http://schemas.openxmlformats.org/officeDocument/2006/relationships/hyperlink" Target="https://storage.googleapis.com/glide-prod.appspot.com/uploads-v2/ly7o78grxPaC6KdgvbpS/pub/3aRdSog0vUtuqPE8AJKD.png" TargetMode="External"/><Relationship Id="rId1416" Type="http://schemas.openxmlformats.org/officeDocument/2006/relationships/hyperlink" Target="https://storage.googleapis.com/glide-prod.appspot.com/uploads-v2/ly7o78grxPaC6KdgvbpS/pub/3aRdSog0vUtuqPE8AJKD.png" TargetMode="External"/><Relationship Id="rId218" Type="http://schemas.openxmlformats.org/officeDocument/2006/relationships/hyperlink" Target="https://storage.googleapis.com/glide-prod.appspot.com/uploads-v2/ly7o78grxPaC6KdgvbpS/pub/3aRdSog0vUtuqPE8AJKD.png" TargetMode="External"/><Relationship Id="rId425" Type="http://schemas.openxmlformats.org/officeDocument/2006/relationships/hyperlink" Target="https://storage.googleapis.com/glide-prod.appspot.com/uploads-v2/ly7o78grxPaC6KdgvbpS/pub/3aRdSog0vUtuqPE8AJKD.png" TargetMode="External"/><Relationship Id="rId632" Type="http://schemas.openxmlformats.org/officeDocument/2006/relationships/hyperlink" Target="https://storage.googleapis.com/glide-prod.appspot.com/uploads-v2/ly7o78grxPaC6KdgvbpS/pub/3aRdSog0vUtuqPE8AJKD.png" TargetMode="External"/><Relationship Id="rId1055" Type="http://schemas.openxmlformats.org/officeDocument/2006/relationships/hyperlink" Target="https://storage.googleapis.com/glide-prod.appspot.com/uploads-v2/ly7o78grxPaC6KdgvbpS/pub/3aRdSog0vUtuqPE8AJKD.png" TargetMode="External"/><Relationship Id="rId1262" Type="http://schemas.openxmlformats.org/officeDocument/2006/relationships/hyperlink" Target="https://storage.googleapis.com/glide-prod.appspot.com/uploads-v2/ly7o78grxPaC6KdgvbpS/pub/3aRdSog0vUtuqPE8AJKD.png" TargetMode="External"/><Relationship Id="rId271" Type="http://schemas.openxmlformats.org/officeDocument/2006/relationships/hyperlink" Target="https://storage.googleapis.com/glide-prod.appspot.com/uploads-v2/ly7o78grxPaC6KdgvbpS/pub/3aRdSog0vUtuqPE8AJKD.png" TargetMode="External"/><Relationship Id="rId937" Type="http://schemas.openxmlformats.org/officeDocument/2006/relationships/hyperlink" Target="https://storage.googleapis.com/glide-prod.appspot.com/uploads-v2/ly7o78grxPaC6KdgvbpS/pub/UliJWgpEaBovaFmXi6OW.png" TargetMode="External"/><Relationship Id="rId1122" Type="http://schemas.openxmlformats.org/officeDocument/2006/relationships/hyperlink" Target="https://storage.googleapis.com/glide-prod.appspot.com/uploads-v2/ly7o78grxPaC6KdgvbpS/pub/3aRdSog0vUtuqPE8AJKD.png" TargetMode="External"/><Relationship Id="rId66" Type="http://schemas.openxmlformats.org/officeDocument/2006/relationships/hyperlink" Target="https://storage.googleapis.com/glide-prod.appspot.com/uploads-v2/ly7o78grxPaC6KdgvbpS/pub/3aRdSog0vUtuqPE8AJKD.png" TargetMode="External"/><Relationship Id="rId131" Type="http://schemas.openxmlformats.org/officeDocument/2006/relationships/hyperlink" Target="https://storage.googleapis.com/glide-prod.appspot.com/uploads-v2/ly7o78grxPaC6KdgvbpS/pub/3aRdSog0vUtuqPE8AJKD.png" TargetMode="External"/><Relationship Id="rId369" Type="http://schemas.openxmlformats.org/officeDocument/2006/relationships/hyperlink" Target="https://storage.googleapis.com/glide-prod.appspot.com/uploads-v2/ly7o78grxPaC6KdgvbpS/pub/UliJWgpEaBovaFmXi6OW.png" TargetMode="External"/><Relationship Id="rId576" Type="http://schemas.openxmlformats.org/officeDocument/2006/relationships/hyperlink" Target="https://storage.googleapis.com/glide-prod.appspot.com/uploads-v2/ly7o78grxPaC6KdgvbpS/pub/3aRdSog0vUtuqPE8AJKD.png" TargetMode="External"/><Relationship Id="rId783" Type="http://schemas.openxmlformats.org/officeDocument/2006/relationships/hyperlink" Target="https://storage.googleapis.com/glide-prod.appspot.com/uploads-v2/ly7o78grxPaC6KdgvbpS/pub/3aRdSog0vUtuqPE8AJKD.png" TargetMode="External"/><Relationship Id="rId990" Type="http://schemas.openxmlformats.org/officeDocument/2006/relationships/hyperlink" Target="https://storage.googleapis.com/glide-prod.appspot.com/uploads-v2/ly7o78grxPaC6KdgvbpS/pub/3aRdSog0vUtuqPE8AJKD.png" TargetMode="External"/><Relationship Id="rId1427" Type="http://schemas.openxmlformats.org/officeDocument/2006/relationships/hyperlink" Target="https://storage.googleapis.com/glide-prod.appspot.com/uploads-v2/ly7o78grxPaC6KdgvbpS/pub/3aRdSog0vUtuqPE8AJKD.png" TargetMode="External"/><Relationship Id="rId229" Type="http://schemas.openxmlformats.org/officeDocument/2006/relationships/hyperlink" Target="https://storage.googleapis.com/glide-prod.appspot.com/uploads-v2/ly7o78grxPaC6KdgvbpS/pub/3aRdSog0vUtuqPE8AJKD.png" TargetMode="External"/><Relationship Id="rId436" Type="http://schemas.openxmlformats.org/officeDocument/2006/relationships/hyperlink" Target="https://storage.googleapis.com/glide-prod.appspot.com/uploads-v2/ly7o78grxPaC6KdgvbpS/pub/3aRdSog0vUtuqPE8AJKD.png" TargetMode="External"/><Relationship Id="rId643" Type="http://schemas.openxmlformats.org/officeDocument/2006/relationships/hyperlink" Target="https://storage.googleapis.com/glide-prod.appspot.com/uploads-v2/ly7o78grxPaC6KdgvbpS/pub/3aRdSog0vUtuqPE8AJKD.png" TargetMode="External"/><Relationship Id="rId1066" Type="http://schemas.openxmlformats.org/officeDocument/2006/relationships/hyperlink" Target="https://storage.googleapis.com/glide-prod.appspot.com/uploads-v2/ly7o78grxPaC6KdgvbpS/pub/3aRdSog0vUtuqPE8AJKD.png" TargetMode="External"/><Relationship Id="rId1273" Type="http://schemas.openxmlformats.org/officeDocument/2006/relationships/hyperlink" Target="https://storage.googleapis.com/glide-prod.appspot.com/uploads-v2/ly7o78grxPaC6KdgvbpS/pub/3aRdSog0vUtuqPE8AJKD.png" TargetMode="External"/><Relationship Id="rId1480" Type="http://schemas.openxmlformats.org/officeDocument/2006/relationships/hyperlink" Target="https://storage.googleapis.com/glide-prod.appspot.com/uploads-v2/ly7o78grxPaC6KdgvbpS/pub/OiQbi7hopxbNQY1peOq6.jpg" TargetMode="External"/><Relationship Id="rId850" Type="http://schemas.openxmlformats.org/officeDocument/2006/relationships/hyperlink" Target="https://storage.googleapis.com/glide-prod.appspot.com/uploads-v2/ly7o78grxPaC6KdgvbpS/pub/3aRdSog0vUtuqPE8AJKD.png" TargetMode="External"/><Relationship Id="rId948" Type="http://schemas.openxmlformats.org/officeDocument/2006/relationships/hyperlink" Target="https://storage.googleapis.com/glide-prod.appspot.com/uploads-v2/ly7o78grxPaC6KdgvbpS/pub/UliJWgpEaBovaFmXi6OW.png" TargetMode="External"/><Relationship Id="rId1133" Type="http://schemas.openxmlformats.org/officeDocument/2006/relationships/hyperlink" Target="https://storage.googleapis.com/glide-prod.appspot.com/uploads-v2/ly7o78grxPaC6KdgvbpS/pub/3aRdSog0vUtuqPE8AJKD.png" TargetMode="External"/><Relationship Id="rId77" Type="http://schemas.openxmlformats.org/officeDocument/2006/relationships/hyperlink" Target="https://storage.googleapis.com/glide-prod.appspot.com/uploads-v2/ly7o78grxPaC6KdgvbpS/pub/3aRdSog0vUtuqPE8AJKD.png" TargetMode="External"/><Relationship Id="rId282" Type="http://schemas.openxmlformats.org/officeDocument/2006/relationships/hyperlink" Target="https://storage.googleapis.com/glide-prod.appspot.com/uploads-v2/ly7o78grxPaC6KdgvbpS/pub/3aRdSog0vUtuqPE8AJKD.png" TargetMode="External"/><Relationship Id="rId503" Type="http://schemas.openxmlformats.org/officeDocument/2006/relationships/hyperlink" Target="https://storage.googleapis.com/glide-prod.appspot.com/uploads-v2/ly7o78grxPaC6KdgvbpS/pub/3aRdSog0vUtuqPE8AJKD.png" TargetMode="External"/><Relationship Id="rId587" Type="http://schemas.openxmlformats.org/officeDocument/2006/relationships/hyperlink" Target="https://storage.googleapis.com/glide-prod.appspot.com/uploads-v2/ly7o78grxPaC6KdgvbpS/pub/UliJWgpEaBovaFmXi6OW.png" TargetMode="External"/><Relationship Id="rId710" Type="http://schemas.openxmlformats.org/officeDocument/2006/relationships/hyperlink" Target="https://storage.googleapis.com/glide-prod.appspot.com/uploads-v2/ly7o78grxPaC6KdgvbpS/pub/3aRdSog0vUtuqPE8AJKD.png" TargetMode="External"/><Relationship Id="rId808" Type="http://schemas.openxmlformats.org/officeDocument/2006/relationships/hyperlink" Target="https://storage.googleapis.com/glide-prod.appspot.com/uploads-v2/ly7o78grxPaC6KdgvbpS/pub/3aRdSog0vUtuqPE8AJKD.png" TargetMode="External"/><Relationship Id="rId1340" Type="http://schemas.openxmlformats.org/officeDocument/2006/relationships/hyperlink" Target="https://storage.googleapis.com/glide-prod.appspot.com/uploads-v2/ly7o78grxPaC6KdgvbpS/pub/3aRdSog0vUtuqPE8AJKD.png" TargetMode="External"/><Relationship Id="rId1438" Type="http://schemas.openxmlformats.org/officeDocument/2006/relationships/hyperlink" Target="https://storage.googleapis.com/glide-prod.appspot.com/uploads-v2/ly7o78grxPaC6KdgvbpS/pub/3aRdSog0vUtuqPE8AJKD.png" TargetMode="External"/><Relationship Id="rId8" Type="http://schemas.openxmlformats.org/officeDocument/2006/relationships/hyperlink" Target="https://storage.googleapis.com/glide-prod.appspot.com/uploads-v2/ly7o78grxPaC6KdgvbpS/pub/3aRdSog0vUtuqPE8AJKD.png" TargetMode="External"/><Relationship Id="rId142" Type="http://schemas.openxmlformats.org/officeDocument/2006/relationships/hyperlink" Target="https://storage.googleapis.com/glide-prod.appspot.com/uploads-v2/ly7o78grxPaC6KdgvbpS/pub/3aRdSog0vUtuqPE8AJKD.png" TargetMode="External"/><Relationship Id="rId447" Type="http://schemas.openxmlformats.org/officeDocument/2006/relationships/hyperlink" Target="https://storage.googleapis.com/glide-prod.appspot.com/uploads-v2/ly7o78grxPaC6KdgvbpS/pub/3aRdSog0vUtuqPE8AJKD.png" TargetMode="External"/><Relationship Id="rId794" Type="http://schemas.openxmlformats.org/officeDocument/2006/relationships/hyperlink" Target="https://storage.googleapis.com/glide-prod.appspot.com/uploads-v2/ly7o78grxPaC6KdgvbpS/pub/3aRdSog0vUtuqPE8AJKD.png" TargetMode="External"/><Relationship Id="rId1077" Type="http://schemas.openxmlformats.org/officeDocument/2006/relationships/hyperlink" Target="https://storage.googleapis.com/glide-prod.appspot.com/uploads-v2/ly7o78grxPaC6KdgvbpS/pub/3aRdSog0vUtuqPE8AJKD.png" TargetMode="External"/><Relationship Id="rId1200" Type="http://schemas.openxmlformats.org/officeDocument/2006/relationships/hyperlink" Target="https://storage.googleapis.com/glide-prod.appspot.com/uploads-v2/ly7o78grxPaC6KdgvbpS/pub/3aRdSog0vUtuqPE8AJKD.png" TargetMode="External"/><Relationship Id="rId654" Type="http://schemas.openxmlformats.org/officeDocument/2006/relationships/hyperlink" Target="https://storage.googleapis.com/glide-prod.appspot.com/uploads-v2/ly7o78grxPaC6KdgvbpS/pub/3aRdSog0vUtuqPE8AJKD.png" TargetMode="External"/><Relationship Id="rId861" Type="http://schemas.openxmlformats.org/officeDocument/2006/relationships/hyperlink" Target="https://storage.googleapis.com/glide-prod.appspot.com/uploads-v2/ly7o78grxPaC6KdgvbpS/pub/3aRdSog0vUtuqPE8AJKD.png" TargetMode="External"/><Relationship Id="rId959" Type="http://schemas.openxmlformats.org/officeDocument/2006/relationships/hyperlink" Target="https://storage.googleapis.com/glide-prod.appspot.com/uploads-v2/ly7o78grxPaC6KdgvbpS/pub/UliJWgpEaBovaFmXi6OW.png" TargetMode="External"/><Relationship Id="rId1284" Type="http://schemas.openxmlformats.org/officeDocument/2006/relationships/hyperlink" Target="https://storage.googleapis.com/glide-prod.appspot.com/uploads-v2/ly7o78grxPaC6KdgvbpS/pub/3aRdSog0vUtuqPE8AJKD.png" TargetMode="External"/><Relationship Id="rId1491" Type="http://schemas.openxmlformats.org/officeDocument/2006/relationships/hyperlink" Target="https://storage.googleapis.com/glide-prod.appspot.com/uploads-v2/ly7o78grxPaC6KdgvbpS/pub/3aRdSog0vUtuqPE8AJKD.png" TargetMode="External"/><Relationship Id="rId1505" Type="http://schemas.openxmlformats.org/officeDocument/2006/relationships/hyperlink" Target="https://storage.googleapis.com/glide-prod.appspot.com/uploads-v2/ly7o78grxPaC6KdgvbpS/pub/3aRdSog0vUtuqPE8AJKD.png" TargetMode="External"/><Relationship Id="rId293" Type="http://schemas.openxmlformats.org/officeDocument/2006/relationships/hyperlink" Target="https://storage.googleapis.com/glide-prod.appspot.com/uploads-v2/ly7o78grxPaC6KdgvbpS/pub/UliJWgpEaBovaFmXi6OW.png" TargetMode="External"/><Relationship Id="rId307" Type="http://schemas.openxmlformats.org/officeDocument/2006/relationships/hyperlink" Target="https://storage.googleapis.com/glide-prod.appspot.com/uploads-v2/ly7o78grxPaC6KdgvbpS/pub/3aRdSog0vUtuqPE8AJKD.png" TargetMode="External"/><Relationship Id="rId514" Type="http://schemas.openxmlformats.org/officeDocument/2006/relationships/hyperlink" Target="https://storage.googleapis.com/glide-prod.appspot.com/uploads-v2/ly7o78grxPaC6KdgvbpS/pub/3aRdSog0vUtuqPE8AJKD.png" TargetMode="External"/><Relationship Id="rId721" Type="http://schemas.openxmlformats.org/officeDocument/2006/relationships/hyperlink" Target="https://storage.googleapis.com/glide-prod.appspot.com/uploads-v2/ly7o78grxPaC6KdgvbpS/pub/UliJWgpEaBovaFmXi6OW.png" TargetMode="External"/><Relationship Id="rId1144" Type="http://schemas.openxmlformats.org/officeDocument/2006/relationships/hyperlink" Target="https://storage.googleapis.com/glide-prod.appspot.com/uploads-v2/ly7o78grxPaC6KdgvbpS/pub/3aRdSog0vUtuqPE8AJKD.png" TargetMode="External"/><Relationship Id="rId1351" Type="http://schemas.openxmlformats.org/officeDocument/2006/relationships/hyperlink" Target="https://storage.googleapis.com/glide-prod.appspot.com/uploads-v2/ly7o78grxPaC6KdgvbpS/pub/UliJWgpEaBovaFmXi6OW.png" TargetMode="External"/><Relationship Id="rId1449" Type="http://schemas.openxmlformats.org/officeDocument/2006/relationships/hyperlink" Target="https://storage.googleapis.com/glide-prod.appspot.com/uploads-v2/ly7o78grxPaC6KdgvbpS/pub/3aRdSog0vUtuqPE8AJKD.png" TargetMode="External"/><Relationship Id="rId88" Type="http://schemas.openxmlformats.org/officeDocument/2006/relationships/hyperlink" Target="https://storage.googleapis.com/glide-prod.appspot.com/uploads-v2/ly7o78grxPaC6KdgvbpS/pub/3aRdSog0vUtuqPE8AJKD.png" TargetMode="External"/><Relationship Id="rId153" Type="http://schemas.openxmlformats.org/officeDocument/2006/relationships/hyperlink" Target="https://storage.googleapis.com/glide-prod.appspot.com/uploads-v2/ly7o78grxPaC6KdgvbpS/pub/3aRdSog0vUtuqPE8AJKD.png" TargetMode="External"/><Relationship Id="rId360" Type="http://schemas.openxmlformats.org/officeDocument/2006/relationships/hyperlink" Target="https://storage.googleapis.com/glide-prod.appspot.com/uploads-v2/ly7o78grxPaC6KdgvbpS/pub/UliJWgpEaBovaFmXi6OW.png" TargetMode="External"/><Relationship Id="rId598" Type="http://schemas.openxmlformats.org/officeDocument/2006/relationships/hyperlink" Target="https://storage.googleapis.com/glide-prod.appspot.com/uploads-v2/ly7o78grxPaC6KdgvbpS/pub/UliJWgpEaBovaFmXi6OW.png" TargetMode="External"/><Relationship Id="rId819" Type="http://schemas.openxmlformats.org/officeDocument/2006/relationships/hyperlink" Target="https://storage.googleapis.com/glide-prod.appspot.com/uploads-v2/ly7o78grxPaC6KdgvbpS/pub/3aRdSog0vUtuqPE8AJKD.png" TargetMode="External"/><Relationship Id="rId1004" Type="http://schemas.openxmlformats.org/officeDocument/2006/relationships/hyperlink" Target="https://storage.googleapis.com/glide-prod.appspot.com/uploads-v2/ly7o78grxPaC6KdgvbpS/pub/3aRdSog0vUtuqPE8AJKD.png" TargetMode="External"/><Relationship Id="rId1211" Type="http://schemas.openxmlformats.org/officeDocument/2006/relationships/hyperlink" Target="https://storage.googleapis.com/glide-prod.appspot.com/uploads-v2/ly7o78grxPaC6KdgvbpS/pub/3aRdSog0vUtuqPE8AJKD.png" TargetMode="External"/><Relationship Id="rId220" Type="http://schemas.openxmlformats.org/officeDocument/2006/relationships/hyperlink" Target="https://storage.googleapis.com/glide-prod.appspot.com/uploads-v2/ly7o78grxPaC6KdgvbpS/pub/3aRdSog0vUtuqPE8AJKD.png" TargetMode="External"/><Relationship Id="rId458" Type="http://schemas.openxmlformats.org/officeDocument/2006/relationships/hyperlink" Target="https://storage.googleapis.com/glide-prod.appspot.com/uploads-v2/ly7o78grxPaC6KdgvbpS/pub/UliJWgpEaBovaFmXi6OW.png" TargetMode="External"/><Relationship Id="rId665" Type="http://schemas.openxmlformats.org/officeDocument/2006/relationships/hyperlink" Target="https://storage.googleapis.com/glide-prod.appspot.com/uploads-v2/ly7o78grxPaC6KdgvbpS/pub/3aRdSog0vUtuqPE8AJKD.png" TargetMode="External"/><Relationship Id="rId872" Type="http://schemas.openxmlformats.org/officeDocument/2006/relationships/hyperlink" Target="https://storage.googleapis.com/glide-prod.appspot.com/uploads-v2/ly7o78grxPaC6KdgvbpS/pub/3aRdSog0vUtuqPE8AJKD.png" TargetMode="External"/><Relationship Id="rId1088" Type="http://schemas.openxmlformats.org/officeDocument/2006/relationships/hyperlink" Target="https://storage.googleapis.com/glide-prod.appspot.com/uploads-v2/ly7o78grxPaC6KdgvbpS/pub/3aRdSog0vUtuqPE8AJKD.png" TargetMode="External"/><Relationship Id="rId1295" Type="http://schemas.openxmlformats.org/officeDocument/2006/relationships/hyperlink" Target="https://storage.googleapis.com/glide-prod.appspot.com/uploads-v2/ly7o78grxPaC6KdgvbpS/pub/3aRdSog0vUtuqPE8AJKD.png" TargetMode="External"/><Relationship Id="rId1309" Type="http://schemas.openxmlformats.org/officeDocument/2006/relationships/hyperlink" Target="https://storage.googleapis.com/glide-prod.appspot.com/uploads-v2/ly7o78grxPaC6KdgvbpS/pub/3aRdSog0vUtuqPE8AJKD.png" TargetMode="External"/><Relationship Id="rId1516" Type="http://schemas.openxmlformats.org/officeDocument/2006/relationships/hyperlink" Target="https://storage.googleapis.com/glide-prod.appspot.com/uploads-v2/ly7o78grxPaC6KdgvbpS/pub/3aRdSog0vUtuqPE8AJKD.png" TargetMode="External"/><Relationship Id="rId15" Type="http://schemas.openxmlformats.org/officeDocument/2006/relationships/hyperlink" Target="https://storage.googleapis.com/glide-prod.appspot.com/uploads-v2/ly7o78grxPaC6KdgvbpS/pub/3aRdSog0vUtuqPE8AJKD.png" TargetMode="External"/><Relationship Id="rId318" Type="http://schemas.openxmlformats.org/officeDocument/2006/relationships/hyperlink" Target="https://storage.googleapis.com/glide-prod.appspot.com/uploads-v2/ly7o78grxPaC6KdgvbpS/pub/3aRdSog0vUtuqPE8AJKD.png" TargetMode="External"/><Relationship Id="rId525" Type="http://schemas.openxmlformats.org/officeDocument/2006/relationships/hyperlink" Target="https://storage.googleapis.com/glide-prod.appspot.com/uploads-v2/ly7o78grxPaC6KdgvbpS/pub/3aRdSog0vUtuqPE8AJKD.png" TargetMode="External"/><Relationship Id="rId732" Type="http://schemas.openxmlformats.org/officeDocument/2006/relationships/hyperlink" Target="https://storage.googleapis.com/glide-prod.appspot.com/uploads-v2/ly7o78grxPaC6KdgvbpS/pub/3aRdSog0vUtuqPE8AJKD.png" TargetMode="External"/><Relationship Id="rId1155" Type="http://schemas.openxmlformats.org/officeDocument/2006/relationships/hyperlink" Target="https://storage.googleapis.com/glide-prod.appspot.com/uploads-v2/ly7o78grxPaC6KdgvbpS/pub/3aRdSog0vUtuqPE8AJKD.png" TargetMode="External"/><Relationship Id="rId1362" Type="http://schemas.openxmlformats.org/officeDocument/2006/relationships/hyperlink" Target="https://storage.googleapis.com/glide-prod.appspot.com/uploads-v2/ly7o78grxPaC6KdgvbpS/pub/UliJWgpEaBovaFmXi6OW.png" TargetMode="External"/><Relationship Id="rId99" Type="http://schemas.openxmlformats.org/officeDocument/2006/relationships/hyperlink" Target="https://storage.googleapis.com/glide-prod.appspot.com/uploads-v2/ly7o78grxPaC6KdgvbpS/pub/3aRdSog0vUtuqPE8AJKD.png" TargetMode="External"/><Relationship Id="rId164" Type="http://schemas.openxmlformats.org/officeDocument/2006/relationships/hyperlink" Target="https://storage.googleapis.com/glide-prod.appspot.com/uploads-v2/ly7o78grxPaC6KdgvbpS/pub/3aRdSog0vUtuqPE8AJKD.png" TargetMode="External"/><Relationship Id="rId371" Type="http://schemas.openxmlformats.org/officeDocument/2006/relationships/hyperlink" Target="https://storage.googleapis.com/glide-prod.appspot.com/uploads-v2/ly7o78grxPaC6KdgvbpS/pub/3aRdSog0vUtuqPE8AJKD.png" TargetMode="External"/><Relationship Id="rId1015" Type="http://schemas.openxmlformats.org/officeDocument/2006/relationships/hyperlink" Target="https://storage.googleapis.com/glide-prod.appspot.com/uploads-v2/ly7o78grxPaC6KdgvbpS/pub/3aRdSog0vUtuqPE8AJKD.png" TargetMode="External"/><Relationship Id="rId1222" Type="http://schemas.openxmlformats.org/officeDocument/2006/relationships/hyperlink" Target="https://storage.googleapis.com/glide-prod.appspot.com/uploads-v2/ly7o78grxPaC6KdgvbpS/pub/3aRdSog0vUtuqPE8AJKD.png" TargetMode="External"/><Relationship Id="rId469" Type="http://schemas.openxmlformats.org/officeDocument/2006/relationships/hyperlink" Target="https://storage.googleapis.com/glide-prod.appspot.com/uploads-v2/ly7o78grxPaC6KdgvbpS/pub/UliJWgpEaBovaFmXi6OW.png" TargetMode="External"/><Relationship Id="rId676" Type="http://schemas.openxmlformats.org/officeDocument/2006/relationships/hyperlink" Target="https://storage.googleapis.com/glide-prod.appspot.com/uploads-v2/ly7o78grxPaC6KdgvbpS/pub/3aRdSog0vUtuqPE8AJKD.png" TargetMode="External"/><Relationship Id="rId883" Type="http://schemas.openxmlformats.org/officeDocument/2006/relationships/hyperlink" Target="https://storage.googleapis.com/glide-prod.appspot.com/uploads-v2/ly7o78grxPaC6KdgvbpS/pub/3aRdSog0vUtuqPE8AJKD.png" TargetMode="External"/><Relationship Id="rId1099" Type="http://schemas.openxmlformats.org/officeDocument/2006/relationships/hyperlink" Target="https://storage.googleapis.com/glide-prod.appspot.com/uploads-v2/ly7o78grxPaC6KdgvbpS/pub/3aRdSog0vUtuqPE8AJKD.png" TargetMode="External"/><Relationship Id="rId1527" Type="http://schemas.openxmlformats.org/officeDocument/2006/relationships/hyperlink" Target="https://storage.googleapis.com/glide-prod.appspot.com/uploads-v2/ly7o78grxPaC6KdgvbpS/pub/3aRdSog0vUtuqPE8AJKD.png" TargetMode="External"/><Relationship Id="rId26" Type="http://schemas.openxmlformats.org/officeDocument/2006/relationships/hyperlink" Target="https://storage.googleapis.com/glide-prod.appspot.com/uploads-v2/ly7o78grxPaC6KdgvbpS/pub/3aRdSog0vUtuqPE8AJKD.png" TargetMode="External"/><Relationship Id="rId231" Type="http://schemas.openxmlformats.org/officeDocument/2006/relationships/hyperlink" Target="https://storage.googleapis.com/glide-prod.appspot.com/uploads-v2/ly7o78grxPaC6KdgvbpS/pub/3aRdSog0vUtuqPE8AJKD.png" TargetMode="External"/><Relationship Id="rId329" Type="http://schemas.openxmlformats.org/officeDocument/2006/relationships/hyperlink" Target="https://storage.googleapis.com/glide-prod.appspot.com/uploads-v2/ly7o78grxPaC6KdgvbpS/pub/3aRdSog0vUtuqPE8AJKD.png" TargetMode="External"/><Relationship Id="rId536" Type="http://schemas.openxmlformats.org/officeDocument/2006/relationships/hyperlink" Target="https://storage.googleapis.com/glide-prod.appspot.com/uploads-v2/ly7o78grxPaC6KdgvbpS/pub/3aRdSog0vUtuqPE8AJKD.png" TargetMode="External"/><Relationship Id="rId1166" Type="http://schemas.openxmlformats.org/officeDocument/2006/relationships/hyperlink" Target="https://storage.googleapis.com/glide-prod.appspot.com/uploads-v2/ly7o78grxPaC6KdgvbpS/pub/3aRdSog0vUtuqPE8AJKD.png" TargetMode="External"/><Relationship Id="rId1373" Type="http://schemas.openxmlformats.org/officeDocument/2006/relationships/hyperlink" Target="https://storage.googleapis.com/glide-prod.appspot.com/uploads-v2/ly7o78grxPaC6KdgvbpS/pub/3aRdSog0vUtuqPE8AJKD.png" TargetMode="External"/><Relationship Id="rId175" Type="http://schemas.openxmlformats.org/officeDocument/2006/relationships/hyperlink" Target="https://storage.googleapis.com/glide-prod.appspot.com/uploads-v2/ly7o78grxPaC6KdgvbpS/pub/3aRdSog0vUtuqPE8AJKD.png" TargetMode="External"/><Relationship Id="rId743" Type="http://schemas.openxmlformats.org/officeDocument/2006/relationships/hyperlink" Target="https://storage.googleapis.com/glide-prod.appspot.com/uploads-v2/ly7o78grxPaC6KdgvbpS/pub/3aRdSog0vUtuqPE8AJKD.png" TargetMode="External"/><Relationship Id="rId950" Type="http://schemas.openxmlformats.org/officeDocument/2006/relationships/hyperlink" Target="https://storage.googleapis.com/glide-prod.appspot.com/uploads-v2/ly7o78grxPaC6KdgvbpS/pub/UliJWgpEaBovaFmXi6OW.png" TargetMode="External"/><Relationship Id="rId1026" Type="http://schemas.openxmlformats.org/officeDocument/2006/relationships/hyperlink" Target="https://storage.googleapis.com/glide-prod.appspot.com/uploads-v2/ly7o78grxPaC6KdgvbpS/pub/3aRdSog0vUtuqPE8AJKD.png" TargetMode="External"/><Relationship Id="rId382" Type="http://schemas.openxmlformats.org/officeDocument/2006/relationships/hyperlink" Target="https://storage.googleapis.com/glide-prod.appspot.com/uploads-v2/ly7o78grxPaC6KdgvbpS/pub/3aRdSog0vUtuqPE8AJKD.png" TargetMode="External"/><Relationship Id="rId603" Type="http://schemas.openxmlformats.org/officeDocument/2006/relationships/hyperlink" Target="https://storage.googleapis.com/glide-prod.appspot.com/uploads-v2/ly7o78grxPaC6KdgvbpS/pub/3aRdSog0vUtuqPE8AJKD.png" TargetMode="External"/><Relationship Id="rId687" Type="http://schemas.openxmlformats.org/officeDocument/2006/relationships/hyperlink" Target="https://storage.googleapis.com/glide-prod.appspot.com/uploads-v2/ly7o78grxPaC6KdgvbpS/pub/3aRdSog0vUtuqPE8AJKD.png" TargetMode="External"/><Relationship Id="rId810" Type="http://schemas.openxmlformats.org/officeDocument/2006/relationships/hyperlink" Target="https://storage.googleapis.com/glide-prod.appspot.com/uploads-v2/ly7o78grxPaC6KdgvbpS/pub/3aRdSog0vUtuqPE8AJKD.png" TargetMode="External"/><Relationship Id="rId908" Type="http://schemas.openxmlformats.org/officeDocument/2006/relationships/hyperlink" Target="https://storage.googleapis.com/glide-prod.appspot.com/uploads-v2/ly7o78grxPaC6KdgvbpS/pub/3aRdSog0vUtuqPE8AJKD.png" TargetMode="External"/><Relationship Id="rId1233" Type="http://schemas.openxmlformats.org/officeDocument/2006/relationships/hyperlink" Target="https://storage.googleapis.com/glide-prod.appspot.com/uploads-v2/ly7o78grxPaC6KdgvbpS/pub/3aRdSog0vUtuqPE8AJKD.png" TargetMode="External"/><Relationship Id="rId1440" Type="http://schemas.openxmlformats.org/officeDocument/2006/relationships/hyperlink" Target="https://storage.googleapis.com/glide-prod.appspot.com/uploads-v2/ly7o78grxPaC6KdgvbpS/pub/3aRdSog0vUtuqPE8AJKD.png" TargetMode="External"/><Relationship Id="rId1538" Type="http://schemas.openxmlformats.org/officeDocument/2006/relationships/hyperlink" Target="https://storage.googleapis.com/glide-prod.appspot.com/uploads-v2/ly7o78grxPaC6KdgvbpS/pub/UliJWgpEaBovaFmXi6OW.png" TargetMode="External"/><Relationship Id="rId242" Type="http://schemas.openxmlformats.org/officeDocument/2006/relationships/hyperlink" Target="https://storage.googleapis.com/glide-prod.appspot.com/uploads-v2/ly7o78grxPaC6KdgvbpS/pub/3aRdSog0vUtuqPE8AJKD.png" TargetMode="External"/><Relationship Id="rId894" Type="http://schemas.openxmlformats.org/officeDocument/2006/relationships/hyperlink" Target="https://storage.googleapis.com/glide-prod.appspot.com/uploads-v2/ly7o78grxPaC6KdgvbpS/pub/3aRdSog0vUtuqPE8AJKD.png" TargetMode="External"/><Relationship Id="rId1177" Type="http://schemas.openxmlformats.org/officeDocument/2006/relationships/hyperlink" Target="https://storage.googleapis.com/glide-prod.appspot.com/uploads-v2/ly7o78grxPaC6KdgvbpS/pub/3aRdSog0vUtuqPE8AJKD.png" TargetMode="External"/><Relationship Id="rId1300" Type="http://schemas.openxmlformats.org/officeDocument/2006/relationships/hyperlink" Target="https://storage.googleapis.com/glide-prod.appspot.com/uploads-v2/ly7o78grxPaC6KdgvbpS/pub/3aRdSog0vUtuqPE8AJKD.png" TargetMode="External"/><Relationship Id="rId37" Type="http://schemas.openxmlformats.org/officeDocument/2006/relationships/hyperlink" Target="https://storage.googleapis.com/glide-prod.appspot.com/uploads-v2/ly7o78grxPaC6KdgvbpS/pub/3aRdSog0vUtuqPE8AJKD.png" TargetMode="External"/><Relationship Id="rId102" Type="http://schemas.openxmlformats.org/officeDocument/2006/relationships/hyperlink" Target="https://storage.googleapis.com/glide-prod.appspot.com/uploads-v2/ly7o78grxPaC6KdgvbpS/pub/3aRdSog0vUtuqPE8AJKD.png" TargetMode="External"/><Relationship Id="rId547" Type="http://schemas.openxmlformats.org/officeDocument/2006/relationships/hyperlink" Target="https://storage.googleapis.com/glide-prod.appspot.com/uploads-v2/ly7o78grxPaC6KdgvbpS/pub/3aRdSog0vUtuqPE8AJKD.png" TargetMode="External"/><Relationship Id="rId754" Type="http://schemas.openxmlformats.org/officeDocument/2006/relationships/hyperlink" Target="https://storage.googleapis.com/glide-prod.appspot.com/uploads-v2/ly7o78grxPaC6KdgvbpS/pub/3aRdSog0vUtuqPE8AJKD.png" TargetMode="External"/><Relationship Id="rId961" Type="http://schemas.openxmlformats.org/officeDocument/2006/relationships/hyperlink" Target="https://storage.googleapis.com/glide-prod.appspot.com/uploads-v2/ly7o78grxPaC6KdgvbpS/pub/UliJWgpEaBovaFmXi6OW.png" TargetMode="External"/><Relationship Id="rId1384" Type="http://schemas.openxmlformats.org/officeDocument/2006/relationships/hyperlink" Target="https://storage.googleapis.com/glide-prod.appspot.com/uploads-v2/ly7o78grxPaC6KdgvbpS/pub/3aRdSog0vUtuqPE8AJKD.png" TargetMode="External"/><Relationship Id="rId90" Type="http://schemas.openxmlformats.org/officeDocument/2006/relationships/hyperlink" Target="https://storage.googleapis.com/glide-prod.appspot.com/uploads-v2/ly7o78grxPaC6KdgvbpS/pub/3aRdSog0vUtuqPE8AJKD.png" TargetMode="External"/><Relationship Id="rId186" Type="http://schemas.openxmlformats.org/officeDocument/2006/relationships/hyperlink" Target="https://storage.googleapis.com/glide-prod.appspot.com/uploads-v2/ly7o78grxPaC6KdgvbpS/pub/3aRdSog0vUtuqPE8AJKD.png" TargetMode="External"/><Relationship Id="rId393" Type="http://schemas.openxmlformats.org/officeDocument/2006/relationships/hyperlink" Target="https://storage.googleapis.com/glide-prod.appspot.com/uploads-v2/ly7o78grxPaC6KdgvbpS/pub/3aRdSog0vUtuqPE8AJKD.png" TargetMode="External"/><Relationship Id="rId407" Type="http://schemas.openxmlformats.org/officeDocument/2006/relationships/hyperlink" Target="https://storage.googleapis.com/glide-prod.appspot.com/uploads-v2/ly7o78grxPaC6KdgvbpS/pub/3aRdSog0vUtuqPE8AJKD.png" TargetMode="External"/><Relationship Id="rId614" Type="http://schemas.openxmlformats.org/officeDocument/2006/relationships/hyperlink" Target="https://storage.googleapis.com/glide-prod.appspot.com/uploads-v2/ly7o78grxPaC6KdgvbpS/pub/3aRdSog0vUtuqPE8AJKD.png" TargetMode="External"/><Relationship Id="rId821" Type="http://schemas.openxmlformats.org/officeDocument/2006/relationships/hyperlink" Target="https://storage.googleapis.com/glide-prod.appspot.com/uploads-v2/ly7o78grxPaC6KdgvbpS/pub/3aRdSog0vUtuqPE8AJKD.png" TargetMode="External"/><Relationship Id="rId1037" Type="http://schemas.openxmlformats.org/officeDocument/2006/relationships/hyperlink" Target="https://storage.googleapis.com/glide-prod.appspot.com/uploads-v2/ly7o78grxPaC6KdgvbpS/pub/3aRdSog0vUtuqPE8AJKD.png" TargetMode="External"/><Relationship Id="rId1244" Type="http://schemas.openxmlformats.org/officeDocument/2006/relationships/hyperlink" Target="https://storage.googleapis.com/glide-prod.appspot.com/uploads-v2/ly7o78grxPaC6KdgvbpS/pub/UliJWgpEaBovaFmXi6OW.png" TargetMode="External"/><Relationship Id="rId1451" Type="http://schemas.openxmlformats.org/officeDocument/2006/relationships/hyperlink" Target="https://storage.googleapis.com/glide-prod.appspot.com/uploads-v2/ly7o78grxPaC6KdgvbpS/pub/3aRdSog0vUtuqPE8AJKD.png" TargetMode="External"/><Relationship Id="rId253" Type="http://schemas.openxmlformats.org/officeDocument/2006/relationships/hyperlink" Target="https://storage.googleapis.com/glide-prod.appspot.com/uploads-v2/ly7o78grxPaC6KdgvbpS/pub/UliJWgpEaBovaFmXi6OW.png" TargetMode="External"/><Relationship Id="rId460" Type="http://schemas.openxmlformats.org/officeDocument/2006/relationships/hyperlink" Target="https://storage.googleapis.com/glide-prod.appspot.com/uploads-v2/ly7o78grxPaC6KdgvbpS/pub/UliJWgpEaBovaFmXi6OW.png" TargetMode="External"/><Relationship Id="rId698" Type="http://schemas.openxmlformats.org/officeDocument/2006/relationships/hyperlink" Target="https://storage.googleapis.com/glide-prod.appspot.com/uploads-v2/ly7o78grxPaC6KdgvbpS/pub/3aRdSog0vUtuqPE8AJKD.png" TargetMode="External"/><Relationship Id="rId919" Type="http://schemas.openxmlformats.org/officeDocument/2006/relationships/hyperlink" Target="https://storage.googleapis.com/glide-prod.appspot.com/uploads-v2/ly7o78grxPaC6KdgvbpS/pub/3aRdSog0vUtuqPE8AJKD.png" TargetMode="External"/><Relationship Id="rId1090" Type="http://schemas.openxmlformats.org/officeDocument/2006/relationships/hyperlink" Target="https://storage.googleapis.com/glide-prod.appspot.com/uploads-v2/ly7o78grxPaC6KdgvbpS/pub/3aRdSog0vUtuqPE8AJKD.png" TargetMode="External"/><Relationship Id="rId1104" Type="http://schemas.openxmlformats.org/officeDocument/2006/relationships/hyperlink" Target="https://storage.googleapis.com/glide-prod.appspot.com/uploads-v2/ly7o78grxPaC6KdgvbpS/pub/yvtCGRAPIbS0tVLIlehH.png" TargetMode="External"/><Relationship Id="rId1311" Type="http://schemas.openxmlformats.org/officeDocument/2006/relationships/hyperlink" Target="https://storage.googleapis.com/glide-prod.appspot.com/uploads-v2/ly7o78grxPaC6KdgvbpS/pub/3aRdSog0vUtuqPE8AJKD.png" TargetMode="External"/><Relationship Id="rId1549" Type="http://schemas.openxmlformats.org/officeDocument/2006/relationships/hyperlink" Target="https://storage.googleapis.com/glide-prod.appspot.com/uploads-v2/ly7o78grxPaC6KdgvbpS/pub/UliJWgpEaBovaFmXi6OW.png" TargetMode="External"/><Relationship Id="rId48" Type="http://schemas.openxmlformats.org/officeDocument/2006/relationships/hyperlink" Target="https://storage.googleapis.com/glide-prod.appspot.com/uploads-v2/ly7o78grxPaC6KdgvbpS/pub/3aRdSog0vUtuqPE8AJKD.png" TargetMode="External"/><Relationship Id="rId113" Type="http://schemas.openxmlformats.org/officeDocument/2006/relationships/hyperlink" Target="https://storage.googleapis.com/glide-prod.appspot.com/uploads-v2/ly7o78grxPaC6KdgvbpS/pub/3aRdSog0vUtuqPE8AJKD.png" TargetMode="External"/><Relationship Id="rId320" Type="http://schemas.openxmlformats.org/officeDocument/2006/relationships/hyperlink" Target="https://storage.googleapis.com/glide-prod.appspot.com/uploads-v2/ly7o78grxPaC6KdgvbpS/pub/3aRdSog0vUtuqPE8AJKD.png" TargetMode="External"/><Relationship Id="rId558" Type="http://schemas.openxmlformats.org/officeDocument/2006/relationships/hyperlink" Target="https://storage.googleapis.com/glide-prod.appspot.com/uploads-v2/ly7o78grxPaC6KdgvbpS/pub/3aRdSog0vUtuqPE8AJKD.png" TargetMode="External"/><Relationship Id="rId765" Type="http://schemas.openxmlformats.org/officeDocument/2006/relationships/hyperlink" Target="https://storage.googleapis.com/glide-prod.appspot.com/uploads-v2/ly7o78grxPaC6KdgvbpS/pub/3aRdSog0vUtuqPE8AJKD.png" TargetMode="External"/><Relationship Id="rId972" Type="http://schemas.openxmlformats.org/officeDocument/2006/relationships/hyperlink" Target="https://storage.googleapis.com/glide-prod.appspot.com/uploads-v2/ly7o78grxPaC6KdgvbpS/pub/3aRdSog0vUtuqPE8AJKD.png" TargetMode="External"/><Relationship Id="rId1188" Type="http://schemas.openxmlformats.org/officeDocument/2006/relationships/hyperlink" Target="https://storage.googleapis.com/glide-prod.appspot.com/uploads-v2/ly7o78grxPaC6KdgvbpS/pub/3aRdSog0vUtuqPE8AJKD.png" TargetMode="External"/><Relationship Id="rId1395" Type="http://schemas.openxmlformats.org/officeDocument/2006/relationships/hyperlink" Target="https://storage.googleapis.com/glide-prod.appspot.com/uploads-v2/ly7o78grxPaC6KdgvbpS/pub/3aRdSog0vUtuqPE8AJKD.png" TargetMode="External"/><Relationship Id="rId1409" Type="http://schemas.openxmlformats.org/officeDocument/2006/relationships/hyperlink" Target="https://storage.googleapis.com/glide-prod.appspot.com/uploads-v2/ly7o78grxPaC6KdgvbpS/pub/3aRdSog0vUtuqPE8AJKD.png" TargetMode="External"/><Relationship Id="rId197" Type="http://schemas.openxmlformats.org/officeDocument/2006/relationships/hyperlink" Target="https://storage.googleapis.com/glide-prod.appspot.com/uploads-v2/ly7o78grxPaC6KdgvbpS/pub/3aRdSog0vUtuqPE8AJKD.png" TargetMode="External"/><Relationship Id="rId418" Type="http://schemas.openxmlformats.org/officeDocument/2006/relationships/hyperlink" Target="https://storage.googleapis.com/glide-prod.appspot.com/uploads-v2/ly7o78grxPaC6KdgvbpS/pub/3aRdSog0vUtuqPE8AJKD.png" TargetMode="External"/><Relationship Id="rId625" Type="http://schemas.openxmlformats.org/officeDocument/2006/relationships/hyperlink" Target="https://storage.googleapis.com/glide-prod.appspot.com/uploads-v2/ly7o78grxPaC6KdgvbpS/pub/3aRdSog0vUtuqPE8AJKD.png" TargetMode="External"/><Relationship Id="rId832" Type="http://schemas.openxmlformats.org/officeDocument/2006/relationships/hyperlink" Target="https://storage.googleapis.com/glide-prod.appspot.com/uploads-v2/ly7o78grxPaC6KdgvbpS/pub/3aRdSog0vUtuqPE8AJKD.png" TargetMode="External"/><Relationship Id="rId1048" Type="http://schemas.openxmlformats.org/officeDocument/2006/relationships/hyperlink" Target="https://storage.googleapis.com/glide-prod.appspot.com/uploads-v2/ly7o78grxPaC6KdgvbpS/pub/3aRdSog0vUtuqPE8AJKD.png" TargetMode="External"/><Relationship Id="rId1255" Type="http://schemas.openxmlformats.org/officeDocument/2006/relationships/hyperlink" Target="https://storage.googleapis.com/glide-prod.appspot.com/uploads-v2/ly7o78grxPaC6KdgvbpS/pub/3aRdSog0vUtuqPE8AJKD.png" TargetMode="External"/><Relationship Id="rId1462" Type="http://schemas.openxmlformats.org/officeDocument/2006/relationships/hyperlink" Target="https://storage.googleapis.com/glide-prod.appspot.com/uploads-v2/ly7o78grxPaC6KdgvbpS/pub/UliJWgpEaBovaFmXi6OW.png" TargetMode="External"/><Relationship Id="rId264" Type="http://schemas.openxmlformats.org/officeDocument/2006/relationships/hyperlink" Target="https://storage.googleapis.com/glide-prod.appspot.com/uploads-v2/ly7o78grxPaC6KdgvbpS/pub/3aRdSog0vUtuqPE8AJKD.png" TargetMode="External"/><Relationship Id="rId471" Type="http://schemas.openxmlformats.org/officeDocument/2006/relationships/hyperlink" Target="https://storage.googleapis.com/glide-prod.appspot.com/uploads-v2/ly7o78grxPaC6KdgvbpS/pub/UliJWgpEaBovaFmXi6OW.png" TargetMode="External"/><Relationship Id="rId1115" Type="http://schemas.openxmlformats.org/officeDocument/2006/relationships/hyperlink" Target="https://storage.googleapis.com/glide-prod.appspot.com/uploads-v2/ly7o78grxPaC6KdgvbpS/pub/3aRdSog0vUtuqPE8AJKD.png" TargetMode="External"/><Relationship Id="rId1322" Type="http://schemas.openxmlformats.org/officeDocument/2006/relationships/hyperlink" Target="https://storage.googleapis.com/glide-prod.appspot.com/uploads-v2/ly7o78grxPaC6KdgvbpS/pub/3aRdSog0vUtuqPE8AJKD.png" TargetMode="External"/><Relationship Id="rId59" Type="http://schemas.openxmlformats.org/officeDocument/2006/relationships/hyperlink" Target="https://storage.googleapis.com/glide-prod.appspot.com/uploads-v2/ly7o78grxPaC6KdgvbpS/pub/3aRdSog0vUtuqPE8AJKD.png" TargetMode="External"/><Relationship Id="rId124" Type="http://schemas.openxmlformats.org/officeDocument/2006/relationships/hyperlink" Target="https://storage.googleapis.com/glide-prod.appspot.com/uploads-v2/ly7o78grxPaC6KdgvbpS/pub/3aRdSog0vUtuqPE8AJKD.png" TargetMode="External"/><Relationship Id="rId569" Type="http://schemas.openxmlformats.org/officeDocument/2006/relationships/hyperlink" Target="https://storage.googleapis.com/glide-prod.appspot.com/uploads-v2/ly7o78grxPaC6KdgvbpS/pub/3aRdSog0vUtuqPE8AJKD.png" TargetMode="External"/><Relationship Id="rId776" Type="http://schemas.openxmlformats.org/officeDocument/2006/relationships/hyperlink" Target="https://storage.googleapis.com/glide-prod.appspot.com/uploads-v2/ly7o78grxPaC6KdgvbpS/pub/3aRdSog0vUtuqPE8AJKD.png" TargetMode="External"/><Relationship Id="rId983" Type="http://schemas.openxmlformats.org/officeDocument/2006/relationships/hyperlink" Target="https://storage.googleapis.com/glide-prod.appspot.com/uploads-v2/ly7o78grxPaC6KdgvbpS/pub/3aRdSog0vUtuqPE8AJKD.png" TargetMode="External"/><Relationship Id="rId1199" Type="http://schemas.openxmlformats.org/officeDocument/2006/relationships/hyperlink" Target="https://storage.googleapis.com/glide-prod.appspot.com/uploads-v2/ly7o78grxPaC6KdgvbpS/pub/3aRdSog0vUtuqPE8AJKD.png" TargetMode="External"/><Relationship Id="rId331" Type="http://schemas.openxmlformats.org/officeDocument/2006/relationships/hyperlink" Target="https://storage.googleapis.com/glide-prod.appspot.com/uploads-v2/ly7o78grxPaC6KdgvbpS/pub/3aRdSog0vUtuqPE8AJKD.png" TargetMode="External"/><Relationship Id="rId429" Type="http://schemas.openxmlformats.org/officeDocument/2006/relationships/hyperlink" Target="https://storage.googleapis.com/glide-prod.appspot.com/uploads-v2/ly7o78grxPaC6KdgvbpS/pub/3aRdSog0vUtuqPE8AJKD.png" TargetMode="External"/><Relationship Id="rId636" Type="http://schemas.openxmlformats.org/officeDocument/2006/relationships/hyperlink" Target="https://storage.googleapis.com/glide-prod.appspot.com/uploads-v2/ly7o78grxPaC6KdgvbpS/pub/UliJWgpEaBovaFmXi6OW.png" TargetMode="External"/><Relationship Id="rId1059" Type="http://schemas.openxmlformats.org/officeDocument/2006/relationships/hyperlink" Target="https://storage.googleapis.com/glide-prod.appspot.com/uploads-v2/ly7o78grxPaC6KdgvbpS/pub/3aRdSog0vUtuqPE8AJKD.png" TargetMode="External"/><Relationship Id="rId1266" Type="http://schemas.openxmlformats.org/officeDocument/2006/relationships/hyperlink" Target="https://storage.googleapis.com/glide-prod.appspot.com/uploads-v2/ly7o78grxPaC6KdgvbpS/pub/3aRdSog0vUtuqPE8AJKD.png" TargetMode="External"/><Relationship Id="rId1473" Type="http://schemas.openxmlformats.org/officeDocument/2006/relationships/hyperlink" Target="https://storage.googleapis.com/glide-prod.appspot.com/uploads-v2/ly7o78grxPaC6KdgvbpS/pub/iLyWrzA2RRCcE61D8gq7.jpg" TargetMode="External"/><Relationship Id="rId843" Type="http://schemas.openxmlformats.org/officeDocument/2006/relationships/hyperlink" Target="https://storage.googleapis.com/glide-prod.appspot.com/uploads-v2/ly7o78grxPaC6KdgvbpS/pub/3aRdSog0vUtuqPE8AJKD.png" TargetMode="External"/><Relationship Id="rId1126" Type="http://schemas.openxmlformats.org/officeDocument/2006/relationships/hyperlink" Target="https://storage.googleapis.com/glide-prod.appspot.com/uploads-v2/ly7o78grxPaC6KdgvbpS/pub/3aRdSog0vUtuqPE8AJKD.png" TargetMode="External"/><Relationship Id="rId275" Type="http://schemas.openxmlformats.org/officeDocument/2006/relationships/hyperlink" Target="https://storage.googleapis.com/glide-prod.appspot.com/uploads-v2/ly7o78grxPaC6KdgvbpS/pub/3aRdSog0vUtuqPE8AJKD.png" TargetMode="External"/><Relationship Id="rId482" Type="http://schemas.openxmlformats.org/officeDocument/2006/relationships/hyperlink" Target="https://storage.googleapis.com/glide-prod.appspot.com/uploads-v2/ly7o78grxPaC6KdgvbpS/pub/3aRdSog0vUtuqPE8AJKD.png" TargetMode="External"/><Relationship Id="rId703" Type="http://schemas.openxmlformats.org/officeDocument/2006/relationships/hyperlink" Target="https://storage.googleapis.com/glide-prod.appspot.com/uploads-v2/ly7o78grxPaC6KdgvbpS/pub/3aRdSog0vUtuqPE8AJKD.png" TargetMode="External"/><Relationship Id="rId910" Type="http://schemas.openxmlformats.org/officeDocument/2006/relationships/hyperlink" Target="https://storage.googleapis.com/glide-prod.appspot.com/uploads-v2/ly7o78grxPaC6KdgvbpS/pub/3aRdSog0vUtuqPE8AJKD.png" TargetMode="External"/><Relationship Id="rId1333" Type="http://schemas.openxmlformats.org/officeDocument/2006/relationships/hyperlink" Target="https://storage.googleapis.com/glide-prod.appspot.com/uploads-v2/ly7o78grxPaC6KdgvbpS/pub/3aRdSog0vUtuqPE8AJKD.png" TargetMode="External"/><Relationship Id="rId1540" Type="http://schemas.openxmlformats.org/officeDocument/2006/relationships/hyperlink" Target="https://storage.googleapis.com/glide-prod.appspot.com/uploads-v2/ly7o78grxPaC6KdgvbpS/pub/UliJWgpEaBovaFmXi6OW.png" TargetMode="External"/><Relationship Id="rId135" Type="http://schemas.openxmlformats.org/officeDocument/2006/relationships/hyperlink" Target="https://storage.googleapis.com/glide-prod.appspot.com/uploads-v2/ly7o78grxPaC6KdgvbpS/pub/3aRdSog0vUtuqPE8AJKD.png" TargetMode="External"/><Relationship Id="rId342" Type="http://schemas.openxmlformats.org/officeDocument/2006/relationships/hyperlink" Target="https://storage.googleapis.com/glide-prod.appspot.com/uploads-v2/ly7o78grxPaC6KdgvbpS/pub/3aRdSog0vUtuqPE8AJKD.png" TargetMode="External"/><Relationship Id="rId787" Type="http://schemas.openxmlformats.org/officeDocument/2006/relationships/hyperlink" Target="https://storage.googleapis.com/glide-prod.appspot.com/uploads-v2/ly7o78grxPaC6KdgvbpS/pub/3aRdSog0vUtuqPE8AJKD.png" TargetMode="External"/><Relationship Id="rId994" Type="http://schemas.openxmlformats.org/officeDocument/2006/relationships/hyperlink" Target="https://storage.googleapis.com/glide-prod.appspot.com/uploads-v2/ly7o78grxPaC6KdgvbpS/pub/3aRdSog0vUtuqPE8AJKD.png" TargetMode="External"/><Relationship Id="rId1400" Type="http://schemas.openxmlformats.org/officeDocument/2006/relationships/hyperlink" Target="https://storage.googleapis.com/glide-prod.appspot.com/uploads-v2/ly7o78grxPaC6KdgvbpS/pub/3aRdSog0vUtuqPE8AJKD.png" TargetMode="External"/><Relationship Id="rId202" Type="http://schemas.openxmlformats.org/officeDocument/2006/relationships/hyperlink" Target="https://storage.googleapis.com/glide-prod.appspot.com/uploads-v2/ly7o78grxPaC6KdgvbpS/pub/UliJWgpEaBovaFmXi6OW.png" TargetMode="External"/><Relationship Id="rId647" Type="http://schemas.openxmlformats.org/officeDocument/2006/relationships/hyperlink" Target="https://storage.googleapis.com/glide-prod.appspot.com/uploads-v2/ly7o78grxPaC6KdgvbpS/pub/3aRdSog0vUtuqPE8AJKD.png" TargetMode="External"/><Relationship Id="rId854" Type="http://schemas.openxmlformats.org/officeDocument/2006/relationships/hyperlink" Target="https://storage.googleapis.com/glide-prod.appspot.com/uploads-v2/ly7o78grxPaC6KdgvbpS/pub/3aRdSog0vUtuqPE8AJKD.png" TargetMode="External"/><Relationship Id="rId1277" Type="http://schemas.openxmlformats.org/officeDocument/2006/relationships/hyperlink" Target="https://storage.googleapis.com/glide-prod.appspot.com/uploads-v2/ly7o78grxPaC6KdgvbpS/pub/3aRdSog0vUtuqPE8AJKD.png" TargetMode="External"/><Relationship Id="rId1484" Type="http://schemas.openxmlformats.org/officeDocument/2006/relationships/hyperlink" Target="https://storage.googleapis.com/glide-prod.appspot.com/uploads-v2/ly7o78grxPaC6KdgvbpS/pub/3aRdSog0vUtuqPE8AJKD.png" TargetMode="External"/><Relationship Id="rId286" Type="http://schemas.openxmlformats.org/officeDocument/2006/relationships/hyperlink" Target="https://storage.googleapis.com/glide-prod.appspot.com/uploads-v2/ly7o78grxPaC6KdgvbpS/pub/3aRdSog0vUtuqPE8AJKD.png" TargetMode="External"/><Relationship Id="rId493" Type="http://schemas.openxmlformats.org/officeDocument/2006/relationships/hyperlink" Target="https://storage.googleapis.com/glide-prod.appspot.com/uploads-v2/ly7o78grxPaC6KdgvbpS/pub/3aRdSog0vUtuqPE8AJKD.png" TargetMode="External"/><Relationship Id="rId507" Type="http://schemas.openxmlformats.org/officeDocument/2006/relationships/hyperlink" Target="https://storage.googleapis.com/glide-prod.appspot.com/uploads-v2/ly7o78grxPaC6KdgvbpS/pub/3aRdSog0vUtuqPE8AJKD.png" TargetMode="External"/><Relationship Id="rId714" Type="http://schemas.openxmlformats.org/officeDocument/2006/relationships/hyperlink" Target="https://storage.googleapis.com/glide-prod.appspot.com/uploads-v2/ly7o78grxPaC6KdgvbpS/pub/3aRdSog0vUtuqPE8AJKD.png" TargetMode="External"/><Relationship Id="rId921" Type="http://schemas.openxmlformats.org/officeDocument/2006/relationships/hyperlink" Target="https://storage.googleapis.com/glide-prod.appspot.com/uploads-v2/ly7o78grxPaC6KdgvbpS/pub/3aRdSog0vUtuqPE8AJKD.png" TargetMode="External"/><Relationship Id="rId1137" Type="http://schemas.openxmlformats.org/officeDocument/2006/relationships/hyperlink" Target="https://storage.googleapis.com/glide-prod.appspot.com/uploads-v2/ly7o78grxPaC6KdgvbpS/pub/3aRdSog0vUtuqPE8AJKD.png" TargetMode="External"/><Relationship Id="rId1344" Type="http://schemas.openxmlformats.org/officeDocument/2006/relationships/hyperlink" Target="https://storage.googleapis.com/glide-prod.appspot.com/uploads-v2/ly7o78grxPaC6KdgvbpS/pub/3aRdSog0vUtuqPE8AJKD.png" TargetMode="External"/><Relationship Id="rId1551" Type="http://schemas.openxmlformats.org/officeDocument/2006/relationships/hyperlink" Target="https://storage.googleapis.com/glide-prod.appspot.com/uploads-v2/ly7o78grxPaC6KdgvbpS/pub/3aRdSog0vUtuqPE8AJKD.png" TargetMode="External"/><Relationship Id="rId50" Type="http://schemas.openxmlformats.org/officeDocument/2006/relationships/hyperlink" Target="https://storage.googleapis.com/glide-prod.appspot.com/uploads-v2/ly7o78grxPaC6KdgvbpS/pub/3aRdSog0vUtuqPE8AJKD.png" TargetMode="External"/><Relationship Id="rId146" Type="http://schemas.openxmlformats.org/officeDocument/2006/relationships/hyperlink" Target="https://storage.googleapis.com/glide-prod.appspot.com/uploads-v2/ly7o78grxPaC6KdgvbpS/pub/3aRdSog0vUtuqPE8AJKD.png" TargetMode="External"/><Relationship Id="rId353" Type="http://schemas.openxmlformats.org/officeDocument/2006/relationships/hyperlink" Target="https://storage.googleapis.com/glide-prod.appspot.com/uploads-v2/ly7o78grxPaC6KdgvbpS/pub/UliJWgpEaBovaFmXi6OW.png" TargetMode="External"/><Relationship Id="rId560" Type="http://schemas.openxmlformats.org/officeDocument/2006/relationships/hyperlink" Target="https://storage.googleapis.com/glide-prod.appspot.com/uploads-v2/ly7o78grxPaC6KdgvbpS/pub/3aRdSog0vUtuqPE8AJKD.png" TargetMode="External"/><Relationship Id="rId798" Type="http://schemas.openxmlformats.org/officeDocument/2006/relationships/hyperlink" Target="https://storage.googleapis.com/glide-prod.appspot.com/uploads-v2/ly7o78grxPaC6KdgvbpS/pub/3aRdSog0vUtuqPE8AJKD.png" TargetMode="External"/><Relationship Id="rId1190" Type="http://schemas.openxmlformats.org/officeDocument/2006/relationships/hyperlink" Target="https://storage.googleapis.com/glide-prod.appspot.com/uploads-v2/ly7o78grxPaC6KdgvbpS/pub/3aRdSog0vUtuqPE8AJKD.png" TargetMode="External"/><Relationship Id="rId1204" Type="http://schemas.openxmlformats.org/officeDocument/2006/relationships/hyperlink" Target="https://storage.googleapis.com/glide-prod.appspot.com/uploads-v2/ly7o78grxPaC6KdgvbpS/pub/3aRdSog0vUtuqPE8AJKD.png" TargetMode="External"/><Relationship Id="rId1411" Type="http://schemas.openxmlformats.org/officeDocument/2006/relationships/hyperlink" Target="https://storage.googleapis.com/glide-prod.appspot.com/uploads-v2/ly7o78grxPaC6KdgvbpS/pub/3aRdSog0vUtuqPE8AJKD.png" TargetMode="External"/><Relationship Id="rId213" Type="http://schemas.openxmlformats.org/officeDocument/2006/relationships/hyperlink" Target="https://storage.googleapis.com/glide-prod.appspot.com/uploads-v2/ly7o78grxPaC6KdgvbpS/pub/09YP5jCLFLYZguHEFFR3.jpg" TargetMode="External"/><Relationship Id="rId420" Type="http://schemas.openxmlformats.org/officeDocument/2006/relationships/hyperlink" Target="https://storage.googleapis.com/glide-prod.appspot.com/uploads-v2/ly7o78grxPaC6KdgvbpS/pub/3aRdSog0vUtuqPE8AJKD.png" TargetMode="External"/><Relationship Id="rId658" Type="http://schemas.openxmlformats.org/officeDocument/2006/relationships/hyperlink" Target="https://storage.googleapis.com/glide-prod.appspot.com/uploads-v2/ly7o78grxPaC6KdgvbpS/pub/3aRdSog0vUtuqPE8AJKD.png" TargetMode="External"/><Relationship Id="rId865" Type="http://schemas.openxmlformats.org/officeDocument/2006/relationships/hyperlink" Target="https://storage.googleapis.com/glide-prod.appspot.com/uploads-v2/ly7o78grxPaC6KdgvbpS/pub/3aRdSog0vUtuqPE8AJKD.png" TargetMode="External"/><Relationship Id="rId1050" Type="http://schemas.openxmlformats.org/officeDocument/2006/relationships/hyperlink" Target="https://storage.googleapis.com/glide-prod.appspot.com/uploads-v2/ly7o78grxPaC6KdgvbpS/pub/3aRdSog0vUtuqPE8AJKD.png" TargetMode="External"/><Relationship Id="rId1288" Type="http://schemas.openxmlformats.org/officeDocument/2006/relationships/hyperlink" Target="https://storage.googleapis.com/glide-prod.appspot.com/uploads-v2/ly7o78grxPaC6KdgvbpS/pub/3aRdSog0vUtuqPE8AJKD.png" TargetMode="External"/><Relationship Id="rId1495" Type="http://schemas.openxmlformats.org/officeDocument/2006/relationships/hyperlink" Target="https://storage.googleapis.com/glide-prod.appspot.com/uploads-v2/ly7o78grxPaC6KdgvbpS/pub/3aRdSog0vUtuqPE8AJKD.png" TargetMode="External"/><Relationship Id="rId1509" Type="http://schemas.openxmlformats.org/officeDocument/2006/relationships/hyperlink" Target="https://storage.googleapis.com/glide-prod.appspot.com/uploads-v2/ly7o78grxPaC6KdgvbpS/pub/3aRdSog0vUtuqPE8AJKD.png" TargetMode="External"/><Relationship Id="rId297" Type="http://schemas.openxmlformats.org/officeDocument/2006/relationships/hyperlink" Target="https://storage.googleapis.com/glide-prod.appspot.com/uploads-v2/ly7o78grxPaC6KdgvbpS/pub/UliJWgpEaBovaFmXi6OW.png" TargetMode="External"/><Relationship Id="rId518" Type="http://schemas.openxmlformats.org/officeDocument/2006/relationships/hyperlink" Target="https://storage.googleapis.com/glide-prod.appspot.com/uploads-v2/ly7o78grxPaC6KdgvbpS/pub/3aRdSog0vUtuqPE8AJKD.png" TargetMode="External"/><Relationship Id="rId725" Type="http://schemas.openxmlformats.org/officeDocument/2006/relationships/hyperlink" Target="https://storage.googleapis.com/glide-prod.appspot.com/uploads-v2/ly7o78grxPaC6KdgvbpS/pub/3aRdSog0vUtuqPE8AJKD.png" TargetMode="External"/><Relationship Id="rId932" Type="http://schemas.openxmlformats.org/officeDocument/2006/relationships/hyperlink" Target="https://storage.googleapis.com/glide-prod.appspot.com/uploads-v2/ly7o78grxPaC6KdgvbpS/pub/UliJWgpEaBovaFmXi6OW.png" TargetMode="External"/><Relationship Id="rId1148" Type="http://schemas.openxmlformats.org/officeDocument/2006/relationships/hyperlink" Target="https://storage.googleapis.com/glide-prod.appspot.com/uploads-v2/ly7o78grxPaC6KdgvbpS/pub/3aRdSog0vUtuqPE8AJKD.png" TargetMode="External"/><Relationship Id="rId1355" Type="http://schemas.openxmlformats.org/officeDocument/2006/relationships/hyperlink" Target="https://storage.googleapis.com/glide-prod.appspot.com/uploads-v2/ly7o78grxPaC6KdgvbpS/pub/UliJWgpEaBovaFmXi6OW.png" TargetMode="External"/><Relationship Id="rId157" Type="http://schemas.openxmlformats.org/officeDocument/2006/relationships/hyperlink" Target="https://storage.googleapis.com/glide-prod.appspot.com/uploads-v2/ly7o78grxPaC6KdgvbpS/pub/3aRdSog0vUtuqPE8AJKD.png" TargetMode="External"/><Relationship Id="rId364" Type="http://schemas.openxmlformats.org/officeDocument/2006/relationships/hyperlink" Target="https://storage.googleapis.com/glide-prod.appspot.com/uploads-v2/ly7o78grxPaC6KdgvbpS/pub/UliJWgpEaBovaFmXi6OW.png" TargetMode="External"/><Relationship Id="rId1008" Type="http://schemas.openxmlformats.org/officeDocument/2006/relationships/hyperlink" Target="https://storage.googleapis.com/glide-prod.appspot.com/uploads-v2/ly7o78grxPaC6KdgvbpS/pub/3aRdSog0vUtuqPE8AJKD.png" TargetMode="External"/><Relationship Id="rId1215" Type="http://schemas.openxmlformats.org/officeDocument/2006/relationships/hyperlink" Target="https://storage.googleapis.com/glide-prod.appspot.com/uploads-v2/ly7o78grxPaC6KdgvbpS/pub/3aRdSog0vUtuqPE8AJKD.png" TargetMode="External"/><Relationship Id="rId1422" Type="http://schemas.openxmlformats.org/officeDocument/2006/relationships/hyperlink" Target="https://storage.googleapis.com/glide-prod.appspot.com/uploads-v2/ly7o78grxPaC6KdgvbpS/pub/3aRdSog0vUtuqPE8AJKD.png" TargetMode="External"/><Relationship Id="rId61" Type="http://schemas.openxmlformats.org/officeDocument/2006/relationships/hyperlink" Target="https://storage.googleapis.com/glide-prod.appspot.com/uploads-v2/ly7o78grxPaC6KdgvbpS/pub/3aRdSog0vUtuqPE8AJKD.png" TargetMode="External"/><Relationship Id="rId571" Type="http://schemas.openxmlformats.org/officeDocument/2006/relationships/hyperlink" Target="https://storage.googleapis.com/glide-prod.appspot.com/uploads-v2/ly7o78grxPaC6KdgvbpS/pub/3aRdSog0vUtuqPE8AJKD.png" TargetMode="External"/><Relationship Id="rId669" Type="http://schemas.openxmlformats.org/officeDocument/2006/relationships/hyperlink" Target="https://storage.googleapis.com/glide-prod.appspot.com/uploads-v2/ly7o78grxPaC6KdgvbpS/pub/3aRdSog0vUtuqPE8AJKD.png" TargetMode="External"/><Relationship Id="rId876" Type="http://schemas.openxmlformats.org/officeDocument/2006/relationships/hyperlink" Target="https://storage.googleapis.com/glide-prod.appspot.com/uploads-v2/ly7o78grxPaC6KdgvbpS/pub/3aRdSog0vUtuqPE8AJKD.png" TargetMode="External"/><Relationship Id="rId1299" Type="http://schemas.openxmlformats.org/officeDocument/2006/relationships/hyperlink" Target="https://storage.googleapis.com/glide-prod.appspot.com/uploads-v2/ly7o78grxPaC6KdgvbpS/pub/3aRdSog0vUtuqPE8AJKD.png" TargetMode="External"/><Relationship Id="rId19" Type="http://schemas.openxmlformats.org/officeDocument/2006/relationships/hyperlink" Target="https://storage.googleapis.com/glide-prod.appspot.com/uploads-v2/ly7o78grxPaC6KdgvbpS/pub/3aRdSog0vUtuqPE8AJKD.png" TargetMode="External"/><Relationship Id="rId224" Type="http://schemas.openxmlformats.org/officeDocument/2006/relationships/hyperlink" Target="https://storage.googleapis.com/glide-prod.appspot.com/uploads-v2/ly7o78grxPaC6KdgvbpS/pub/3aRdSog0vUtuqPE8AJKD.png" TargetMode="External"/><Relationship Id="rId431" Type="http://schemas.openxmlformats.org/officeDocument/2006/relationships/hyperlink" Target="https://storage.googleapis.com/glide-prod.appspot.com/uploads-v2/ly7o78grxPaC6KdgvbpS/pub/3aRdSog0vUtuqPE8AJKD.png" TargetMode="External"/><Relationship Id="rId529" Type="http://schemas.openxmlformats.org/officeDocument/2006/relationships/hyperlink" Target="https://storage.googleapis.com/glide-prod.appspot.com/uploads-v2/ly7o78grxPaC6KdgvbpS/pub/3aRdSog0vUtuqPE8AJKD.png" TargetMode="External"/><Relationship Id="rId736" Type="http://schemas.openxmlformats.org/officeDocument/2006/relationships/hyperlink" Target="https://storage.googleapis.com/glide-prod.appspot.com/uploads-v2/ly7o78grxPaC6KdgvbpS/pub/3aRdSog0vUtuqPE8AJKD.png" TargetMode="External"/><Relationship Id="rId1061" Type="http://schemas.openxmlformats.org/officeDocument/2006/relationships/hyperlink" Target="https://storage.googleapis.com/glide-prod.appspot.com/uploads-v2/ly7o78grxPaC6KdgvbpS/pub/3aRdSog0vUtuqPE8AJKD.png" TargetMode="External"/><Relationship Id="rId1159" Type="http://schemas.openxmlformats.org/officeDocument/2006/relationships/hyperlink" Target="https://storage.googleapis.com/glide-prod.appspot.com/uploads-v2/ly7o78grxPaC6KdgvbpS/pub/3aRdSog0vUtuqPE8AJKD.png" TargetMode="External"/><Relationship Id="rId1366" Type="http://schemas.openxmlformats.org/officeDocument/2006/relationships/hyperlink" Target="https://storage.googleapis.com/glide-prod.appspot.com/uploads-v2/ly7o78grxPaC6KdgvbpS/pub/UliJWgpEaBovaFmXi6OW.png" TargetMode="External"/><Relationship Id="rId168" Type="http://schemas.openxmlformats.org/officeDocument/2006/relationships/hyperlink" Target="https://storage.googleapis.com/glide-prod.appspot.com/uploads-v2/ly7o78grxPaC6KdgvbpS/pub/3aRdSog0vUtuqPE8AJKD.png" TargetMode="External"/><Relationship Id="rId943" Type="http://schemas.openxmlformats.org/officeDocument/2006/relationships/hyperlink" Target="https://storage.googleapis.com/glide-prod.appspot.com/uploads-v2/ly7o78grxPaC6KdgvbpS/pub/UliJWgpEaBovaFmXi6OW.png" TargetMode="External"/><Relationship Id="rId1019" Type="http://schemas.openxmlformats.org/officeDocument/2006/relationships/hyperlink" Target="https://storage.googleapis.com/glide-prod.appspot.com/uploads-v2/ly7o78grxPaC6KdgvbpS/pub/3aRdSog0vUtuqPE8AJKD.png" TargetMode="External"/><Relationship Id="rId72" Type="http://schemas.openxmlformats.org/officeDocument/2006/relationships/hyperlink" Target="https://storage.googleapis.com/glide-prod.appspot.com/uploads-v2/ly7o78grxPaC6KdgvbpS/pub/3aRdSog0vUtuqPE8AJKD.png" TargetMode="External"/><Relationship Id="rId375" Type="http://schemas.openxmlformats.org/officeDocument/2006/relationships/hyperlink" Target="https://storage.googleapis.com/glide-prod.appspot.com/uploads-v2/ly7o78grxPaC6KdgvbpS/pub/3aRdSog0vUtuqPE8AJKD.png" TargetMode="External"/><Relationship Id="rId582" Type="http://schemas.openxmlformats.org/officeDocument/2006/relationships/hyperlink" Target="https://storage.googleapis.com/glide-prod.appspot.com/uploads-v2/ly7o78grxPaC6KdgvbpS/pub/3aRdSog0vUtuqPE8AJKD.png" TargetMode="External"/><Relationship Id="rId803" Type="http://schemas.openxmlformats.org/officeDocument/2006/relationships/hyperlink" Target="https://storage.googleapis.com/glide-prod.appspot.com/uploads-v2/ly7o78grxPaC6KdgvbpS/pub/3aRdSog0vUtuqPE8AJKD.png" TargetMode="External"/><Relationship Id="rId1226" Type="http://schemas.openxmlformats.org/officeDocument/2006/relationships/hyperlink" Target="https://storage.googleapis.com/glide-prod.appspot.com/uploads-v2/ly7o78grxPaC6KdgvbpS/pub/3aRdSog0vUtuqPE8AJKD.png" TargetMode="External"/><Relationship Id="rId1433" Type="http://schemas.openxmlformats.org/officeDocument/2006/relationships/hyperlink" Target="https://storage.googleapis.com/glide-prod.appspot.com/uploads-v2/ly7o78grxPaC6KdgvbpS/pub/3aRdSog0vUtuqPE8AJKD.png" TargetMode="External"/><Relationship Id="rId3" Type="http://schemas.openxmlformats.org/officeDocument/2006/relationships/hyperlink" Target="https://storage.googleapis.com/glide-prod.appspot.com/uploads-v2/ly7o78grxPaC6KdgvbpS/pub/3aRdSog0vUtuqPE8AJKD.png" TargetMode="External"/><Relationship Id="rId235" Type="http://schemas.openxmlformats.org/officeDocument/2006/relationships/hyperlink" Target="https://storage.googleapis.com/glide-prod.appspot.com/uploads-v2/ly7o78grxPaC6KdgvbpS/pub/3aRdSog0vUtuqPE8AJKD.png" TargetMode="External"/><Relationship Id="rId442" Type="http://schemas.openxmlformats.org/officeDocument/2006/relationships/hyperlink" Target="https://storage.googleapis.com/glide-prod.appspot.com/uploads-v2/ly7o78grxPaC6KdgvbpS/pub/3aRdSog0vUtuqPE8AJKD.png" TargetMode="External"/><Relationship Id="rId887" Type="http://schemas.openxmlformats.org/officeDocument/2006/relationships/hyperlink" Target="https://storage.googleapis.com/glide-prod.appspot.com/uploads-v2/ly7o78grxPaC6KdgvbpS/pub/3aRdSog0vUtuqPE8AJKD.png" TargetMode="External"/><Relationship Id="rId1072" Type="http://schemas.openxmlformats.org/officeDocument/2006/relationships/hyperlink" Target="https://storage.googleapis.com/glide-prod.appspot.com/uploads-v2/ly7o78grxPaC6KdgvbpS/pub/3aRdSog0vUtuqPE8AJKD.png" TargetMode="External"/><Relationship Id="rId1500" Type="http://schemas.openxmlformats.org/officeDocument/2006/relationships/hyperlink" Target="https://storage.googleapis.com/glide-prod.appspot.com/uploads-v2/ly7o78grxPaC6KdgvbpS/pub/3aRdSog0vUtuqPE8AJKD.png" TargetMode="External"/><Relationship Id="rId302" Type="http://schemas.openxmlformats.org/officeDocument/2006/relationships/hyperlink" Target="https://storage.googleapis.com/glide-prod.appspot.com/uploads-v2/ly7o78grxPaC6KdgvbpS/pub/UliJWgpEaBovaFmXi6OW.png" TargetMode="External"/><Relationship Id="rId747" Type="http://schemas.openxmlformats.org/officeDocument/2006/relationships/hyperlink" Target="https://storage.googleapis.com/glide-prod.appspot.com/uploads-v2/ly7o78grxPaC6KdgvbpS/pub/3aRdSog0vUtuqPE8AJKD.png" TargetMode="External"/><Relationship Id="rId954" Type="http://schemas.openxmlformats.org/officeDocument/2006/relationships/hyperlink" Target="https://storage.googleapis.com/glide-prod.appspot.com/uploads-v2/ly7o78grxPaC6KdgvbpS/pub/UliJWgpEaBovaFmXi6OW.png" TargetMode="External"/><Relationship Id="rId1377" Type="http://schemas.openxmlformats.org/officeDocument/2006/relationships/hyperlink" Target="https://storage.googleapis.com/glide-prod.appspot.com/uploads-v2/ly7o78grxPaC6KdgvbpS/pub/3aRdSog0vUtuqPE8AJKD.png" TargetMode="External"/><Relationship Id="rId83" Type="http://schemas.openxmlformats.org/officeDocument/2006/relationships/hyperlink" Target="https://storage.googleapis.com/glide-prod.appspot.com/uploads-v2/ly7o78grxPaC6KdgvbpS/pub/3aRdSog0vUtuqPE8AJKD.png" TargetMode="External"/><Relationship Id="rId179" Type="http://schemas.openxmlformats.org/officeDocument/2006/relationships/hyperlink" Target="https://storage.googleapis.com/glide-prod.appspot.com/uploads-v2/ly7o78grxPaC6KdgvbpS/pub/3aRdSog0vUtuqPE8AJKD.png" TargetMode="External"/><Relationship Id="rId386" Type="http://schemas.openxmlformats.org/officeDocument/2006/relationships/hyperlink" Target="https://storage.googleapis.com/glide-prod.appspot.com/uploads-v2/ly7o78grxPaC6KdgvbpS/pub/3aRdSog0vUtuqPE8AJKD.png" TargetMode="External"/><Relationship Id="rId593" Type="http://schemas.openxmlformats.org/officeDocument/2006/relationships/hyperlink" Target="https://storage.googleapis.com/glide-prod.appspot.com/uploads-v2/ly7o78grxPaC6KdgvbpS/pub/UliJWgpEaBovaFmXi6OW.png" TargetMode="External"/><Relationship Id="rId607" Type="http://schemas.openxmlformats.org/officeDocument/2006/relationships/hyperlink" Target="https://storage.googleapis.com/glide-prod.appspot.com/uploads-v2/ly7o78grxPaC6KdgvbpS/pub/3aRdSog0vUtuqPE8AJKD.png" TargetMode="External"/><Relationship Id="rId814" Type="http://schemas.openxmlformats.org/officeDocument/2006/relationships/hyperlink" Target="https://storage.googleapis.com/glide-prod.appspot.com/uploads-v2/ly7o78grxPaC6KdgvbpS/pub/3aRdSog0vUtuqPE8AJKD.png" TargetMode="External"/><Relationship Id="rId1237" Type="http://schemas.openxmlformats.org/officeDocument/2006/relationships/hyperlink" Target="https://storage.googleapis.com/glide-prod.appspot.com/uploads-v2/ly7o78grxPaC6KdgvbpS/pub/3aRdSog0vUtuqPE8AJKD.png" TargetMode="External"/><Relationship Id="rId1444" Type="http://schemas.openxmlformats.org/officeDocument/2006/relationships/hyperlink" Target="https://storage.googleapis.com/glide-prod.appspot.com/uploads-v2/ly7o78grxPaC6KdgvbpS/pub/3aRdSog0vUtuqPE8AJKD.png" TargetMode="External"/><Relationship Id="rId246" Type="http://schemas.openxmlformats.org/officeDocument/2006/relationships/hyperlink" Target="https://storage.googleapis.com/glide-prod.appspot.com/uploads-v2/ly7o78grxPaC6KdgvbpS/pub/UliJWgpEaBovaFmXi6OW.png" TargetMode="External"/><Relationship Id="rId453" Type="http://schemas.openxmlformats.org/officeDocument/2006/relationships/hyperlink" Target="https://storage.googleapis.com/glide-prod.appspot.com/uploads-v2/ly7o78grxPaC6KdgvbpS/pub/UliJWgpEaBovaFmXi6OW.png" TargetMode="External"/><Relationship Id="rId660" Type="http://schemas.openxmlformats.org/officeDocument/2006/relationships/hyperlink" Target="https://storage.googleapis.com/glide-prod.appspot.com/uploads-v2/ly7o78grxPaC6KdgvbpS/pub/3aRdSog0vUtuqPE8AJKD.png" TargetMode="External"/><Relationship Id="rId898" Type="http://schemas.openxmlformats.org/officeDocument/2006/relationships/hyperlink" Target="https://storage.googleapis.com/glide-prod.appspot.com/uploads-v2/ly7o78grxPaC6KdgvbpS/pub/3aRdSog0vUtuqPE8AJKD.png" TargetMode="External"/><Relationship Id="rId1083" Type="http://schemas.openxmlformats.org/officeDocument/2006/relationships/hyperlink" Target="https://storage.googleapis.com/glide-prod.appspot.com/uploads-v2/ly7o78grxPaC6KdgvbpS/pub/3aRdSog0vUtuqPE8AJKD.png" TargetMode="External"/><Relationship Id="rId1290" Type="http://schemas.openxmlformats.org/officeDocument/2006/relationships/hyperlink" Target="https://storage.googleapis.com/glide-prod.appspot.com/uploads-v2/ly7o78grxPaC6KdgvbpS/pub/3aRdSog0vUtuqPE8AJKD.png" TargetMode="External"/><Relationship Id="rId1304" Type="http://schemas.openxmlformats.org/officeDocument/2006/relationships/hyperlink" Target="https://storage.googleapis.com/glide-prod.appspot.com/uploads-v2/ly7o78grxPaC6KdgvbpS/pub/3aRdSog0vUtuqPE8AJKD.png" TargetMode="External"/><Relationship Id="rId1511" Type="http://schemas.openxmlformats.org/officeDocument/2006/relationships/hyperlink" Target="https://storage.googleapis.com/glide-prod.appspot.com/uploads-v2/ly7o78grxPaC6KdgvbpS/pub/3aRdSog0vUtuqPE8AJKD.png" TargetMode="External"/><Relationship Id="rId106" Type="http://schemas.openxmlformats.org/officeDocument/2006/relationships/hyperlink" Target="https://storage.googleapis.com/glide-prod.appspot.com/uploads-v2/ly7o78grxPaC6KdgvbpS/pub/4tLgxdryofTWVyW5QRpn.jpg" TargetMode="External"/><Relationship Id="rId313" Type="http://schemas.openxmlformats.org/officeDocument/2006/relationships/hyperlink" Target="https://storage.googleapis.com/glide-prod.appspot.com/uploads-v2/ly7o78grxPaC6KdgvbpS/pub/3aRdSog0vUtuqPE8AJKD.png" TargetMode="External"/><Relationship Id="rId758" Type="http://schemas.openxmlformats.org/officeDocument/2006/relationships/hyperlink" Target="https://storage.googleapis.com/glide-prod.appspot.com/uploads-v2/ly7o78grxPaC6KdgvbpS/pub/3aRdSog0vUtuqPE8AJKD.png" TargetMode="External"/><Relationship Id="rId965" Type="http://schemas.openxmlformats.org/officeDocument/2006/relationships/hyperlink" Target="https://storage.googleapis.com/glide-prod.appspot.com/uploads-v2/ly7o78grxPaC6KdgvbpS/pub/3aRdSog0vUtuqPE8AJKD.png" TargetMode="External"/><Relationship Id="rId1150" Type="http://schemas.openxmlformats.org/officeDocument/2006/relationships/hyperlink" Target="https://storage.googleapis.com/glide-prod.appspot.com/uploads-v2/ly7o78grxPaC6KdgvbpS/pub/3aRdSog0vUtuqPE8AJKD.png" TargetMode="External"/><Relationship Id="rId1388" Type="http://schemas.openxmlformats.org/officeDocument/2006/relationships/hyperlink" Target="https://storage.googleapis.com/glide-prod.appspot.com/uploads-v2/ly7o78grxPaC6KdgvbpS/pub/3aRdSog0vUtuqPE8AJKD.png" TargetMode="External"/><Relationship Id="rId10" Type="http://schemas.openxmlformats.org/officeDocument/2006/relationships/hyperlink" Target="https://storage.googleapis.com/glide-prod.appspot.com/uploads-v2/ly7o78grxPaC6KdgvbpS/pub/3aRdSog0vUtuqPE8AJKD.png" TargetMode="External"/><Relationship Id="rId94" Type="http://schemas.openxmlformats.org/officeDocument/2006/relationships/hyperlink" Target="https://storage.googleapis.com/glide-prod.appspot.com/uploads-v2/ly7o78grxPaC6KdgvbpS/pub/3aRdSog0vUtuqPE8AJKD.png" TargetMode="External"/><Relationship Id="rId397" Type="http://schemas.openxmlformats.org/officeDocument/2006/relationships/hyperlink" Target="https://storage.googleapis.com/glide-prod.appspot.com/uploads-v2/ly7o78grxPaC6KdgvbpS/pub/3aRdSog0vUtuqPE8AJKD.png" TargetMode="External"/><Relationship Id="rId520" Type="http://schemas.openxmlformats.org/officeDocument/2006/relationships/hyperlink" Target="https://storage.googleapis.com/glide-prod.appspot.com/uploads-v2/ly7o78grxPaC6KdgvbpS/pub/3aRdSog0vUtuqPE8AJKD.png" TargetMode="External"/><Relationship Id="rId618" Type="http://schemas.openxmlformats.org/officeDocument/2006/relationships/hyperlink" Target="https://storage.googleapis.com/glide-prod.appspot.com/uploads-v2/ly7o78grxPaC6KdgvbpS/pub/3aRdSog0vUtuqPE8AJKD.png" TargetMode="External"/><Relationship Id="rId825" Type="http://schemas.openxmlformats.org/officeDocument/2006/relationships/hyperlink" Target="https://storage.googleapis.com/glide-prod.appspot.com/uploads-v2/ly7o78grxPaC6KdgvbpS/pub/3aRdSog0vUtuqPE8AJKD.png" TargetMode="External"/><Relationship Id="rId1248" Type="http://schemas.openxmlformats.org/officeDocument/2006/relationships/hyperlink" Target="https://storage.googleapis.com/glide-prod.appspot.com/uploads-v2/ly7o78grxPaC6KdgvbpS/pub/UliJWgpEaBovaFmXi6OW.png" TargetMode="External"/><Relationship Id="rId1455" Type="http://schemas.openxmlformats.org/officeDocument/2006/relationships/hyperlink" Target="https://storage.googleapis.com/glide-prod.appspot.com/uploads-v2/ly7o78grxPaC6KdgvbpS/pub/3aRdSog0vUtuqPE8AJKD.png" TargetMode="External"/><Relationship Id="rId257" Type="http://schemas.openxmlformats.org/officeDocument/2006/relationships/hyperlink" Target="https://storage.googleapis.com/glide-prod.appspot.com/uploads-v2/ly7o78grxPaC6KdgvbpS/pub/UliJWgpEaBovaFmXi6OW.png" TargetMode="External"/><Relationship Id="rId464" Type="http://schemas.openxmlformats.org/officeDocument/2006/relationships/hyperlink" Target="https://storage.googleapis.com/glide-prod.appspot.com/uploads-v2/ly7o78grxPaC6KdgvbpS/pub/UliJWgpEaBovaFmXi6OW.png" TargetMode="External"/><Relationship Id="rId1010" Type="http://schemas.openxmlformats.org/officeDocument/2006/relationships/hyperlink" Target="https://storage.googleapis.com/glide-prod.appspot.com/uploads-v2/ly7o78grxPaC6KdgvbpS/pub/3aRdSog0vUtuqPE8AJKD.png" TargetMode="External"/><Relationship Id="rId1094" Type="http://schemas.openxmlformats.org/officeDocument/2006/relationships/hyperlink" Target="https://storage.googleapis.com/glide-prod.appspot.com/uploads-v2/ly7o78grxPaC6KdgvbpS/pub/UliJWgpEaBovaFmXi6OW.png" TargetMode="External"/><Relationship Id="rId1108" Type="http://schemas.openxmlformats.org/officeDocument/2006/relationships/hyperlink" Target="https://storage.googleapis.com/glide-prod.appspot.com/uploads-v2/ly7o78grxPaC6KdgvbpS/pub/3aRdSog0vUtuqPE8AJKD.png" TargetMode="External"/><Relationship Id="rId1315" Type="http://schemas.openxmlformats.org/officeDocument/2006/relationships/hyperlink" Target="https://storage.googleapis.com/glide-prod.appspot.com/uploads-v2/ly7o78grxPaC6KdgvbpS/pub/3aRdSog0vUtuqPE8AJKD.png" TargetMode="External"/><Relationship Id="rId117" Type="http://schemas.openxmlformats.org/officeDocument/2006/relationships/hyperlink" Target="https://storage.googleapis.com/glide-prod.appspot.com/uploads-v2/ly7o78grxPaC6KdgvbpS/pub/3aRdSog0vUtuqPE8AJKD.png" TargetMode="External"/><Relationship Id="rId671" Type="http://schemas.openxmlformats.org/officeDocument/2006/relationships/hyperlink" Target="https://storage.googleapis.com/glide-prod.appspot.com/uploads-v2/ly7o78grxPaC6KdgvbpS/pub/3aRdSog0vUtuqPE8AJKD.png" TargetMode="External"/><Relationship Id="rId769" Type="http://schemas.openxmlformats.org/officeDocument/2006/relationships/hyperlink" Target="https://storage.googleapis.com/glide-prod.appspot.com/uploads-v2/ly7o78grxPaC6KdgvbpS/pub/3aRdSog0vUtuqPE8AJKD.png" TargetMode="External"/><Relationship Id="rId976" Type="http://schemas.openxmlformats.org/officeDocument/2006/relationships/hyperlink" Target="https://storage.googleapis.com/glide-prod.appspot.com/uploads-v2/ly7o78grxPaC6KdgvbpS/pub/3aRdSog0vUtuqPE8AJKD.png" TargetMode="External"/><Relationship Id="rId1399" Type="http://schemas.openxmlformats.org/officeDocument/2006/relationships/hyperlink" Target="https://storage.googleapis.com/glide-prod.appspot.com/uploads-v2/ly7o78grxPaC6KdgvbpS/pub/3aRdSog0vUtuqPE8AJKD.png" TargetMode="External"/><Relationship Id="rId324" Type="http://schemas.openxmlformats.org/officeDocument/2006/relationships/hyperlink" Target="https://storage.googleapis.com/glide-prod.appspot.com/uploads-v2/ly7o78grxPaC6KdgvbpS/pub/3aRdSog0vUtuqPE8AJKD.png" TargetMode="External"/><Relationship Id="rId531" Type="http://schemas.openxmlformats.org/officeDocument/2006/relationships/hyperlink" Target="https://storage.googleapis.com/glide-prod.appspot.com/uploads-v2/ly7o78grxPaC6KdgvbpS/pub/3aRdSog0vUtuqPE8AJKD.png" TargetMode="External"/><Relationship Id="rId629" Type="http://schemas.openxmlformats.org/officeDocument/2006/relationships/hyperlink" Target="https://storage.googleapis.com/glide-prod.appspot.com/uploads-v2/ly7o78grxPaC6KdgvbpS/pub/3aRdSog0vUtuqPE8AJKD.png" TargetMode="External"/><Relationship Id="rId1161" Type="http://schemas.openxmlformats.org/officeDocument/2006/relationships/hyperlink" Target="https://storage.googleapis.com/glide-prod.appspot.com/uploads-v2/ly7o78grxPaC6KdgvbpS/pub/3aRdSog0vUtuqPE8AJKD.png" TargetMode="External"/><Relationship Id="rId1259" Type="http://schemas.openxmlformats.org/officeDocument/2006/relationships/hyperlink" Target="https://storage.googleapis.com/glide-prod.appspot.com/uploads-v2/ly7o78grxPaC6KdgvbpS/pub/3aRdSog0vUtuqPE8AJKD.png" TargetMode="External"/><Relationship Id="rId1466" Type="http://schemas.openxmlformats.org/officeDocument/2006/relationships/hyperlink" Target="https://storage.googleapis.com/glide-prod.appspot.com/uploads-v2/ly7o78grxPaC6KdgvbpS/pub/3aRdSog0vUtuqPE8AJKD.png" TargetMode="External"/><Relationship Id="rId836" Type="http://schemas.openxmlformats.org/officeDocument/2006/relationships/hyperlink" Target="https://storage.googleapis.com/glide-prod.appspot.com/uploads-v2/ly7o78grxPaC6KdgvbpS/pub/3aRdSog0vUtuqPE8AJKD.png" TargetMode="External"/><Relationship Id="rId1021" Type="http://schemas.openxmlformats.org/officeDocument/2006/relationships/hyperlink" Target="https://storage.googleapis.com/glide-prod.appspot.com/uploads-v2/ly7o78grxPaC6KdgvbpS/pub/3aRdSog0vUtuqPE8AJKD.png" TargetMode="External"/><Relationship Id="rId1119" Type="http://schemas.openxmlformats.org/officeDocument/2006/relationships/hyperlink" Target="https://storage.googleapis.com/glide-prod.appspot.com/uploads-v2/ly7o78grxPaC6KdgvbpS/pub/3aRdSog0vUtuqPE8AJKD.png" TargetMode="External"/><Relationship Id="rId903" Type="http://schemas.openxmlformats.org/officeDocument/2006/relationships/hyperlink" Target="https://storage.googleapis.com/glide-prod.appspot.com/uploads-v2/ly7o78grxPaC6KdgvbpS/pub/3aRdSog0vUtuqPE8AJKD.png" TargetMode="External"/><Relationship Id="rId1326" Type="http://schemas.openxmlformats.org/officeDocument/2006/relationships/hyperlink" Target="https://storage.googleapis.com/glide-prod.appspot.com/uploads-v2/ly7o78grxPaC6KdgvbpS/pub/3aRdSog0vUtuqPE8AJKD.png" TargetMode="External"/><Relationship Id="rId1533" Type="http://schemas.openxmlformats.org/officeDocument/2006/relationships/hyperlink" Target="https://storage.googleapis.com/glide-prod.appspot.com/uploads-v2/ly7o78grxPaC6KdgvbpS/pub/3aRdSog0vUtuqPE8AJKD.png" TargetMode="External"/><Relationship Id="rId32" Type="http://schemas.openxmlformats.org/officeDocument/2006/relationships/hyperlink" Target="https://storage.googleapis.com/glide-prod.appspot.com/uploads-v2/ly7o78grxPaC6KdgvbpS/pub/3aRdSog0vUtuqPE8AJKD.png" TargetMode="External"/><Relationship Id="rId181" Type="http://schemas.openxmlformats.org/officeDocument/2006/relationships/hyperlink" Target="https://storage.googleapis.com/glide-prod.appspot.com/uploads-v2/ly7o78grxPaC6KdgvbpS/pub/3aRdSog0vUtuqPE8AJKD.png" TargetMode="External"/><Relationship Id="rId279" Type="http://schemas.openxmlformats.org/officeDocument/2006/relationships/hyperlink" Target="https://storage.googleapis.com/glide-prod.appspot.com/uploads-v2/ly7o78grxPaC6KdgvbpS/pub/3aRdSog0vUtuqPE8AJKD.png" TargetMode="External"/><Relationship Id="rId486" Type="http://schemas.openxmlformats.org/officeDocument/2006/relationships/hyperlink" Target="https://storage.googleapis.com/glide-prod.appspot.com/uploads-v2/ly7o78grxPaC6KdgvbpS/pub/3aRdSog0vUtuqPE8AJKD.png" TargetMode="External"/><Relationship Id="rId693" Type="http://schemas.openxmlformats.org/officeDocument/2006/relationships/hyperlink" Target="https://storage.googleapis.com/glide-prod.appspot.com/uploads-v2/ly7o78grxPaC6KdgvbpS/pub/3aRdSog0vUtuqPE8AJKD.png" TargetMode="External"/><Relationship Id="rId139" Type="http://schemas.openxmlformats.org/officeDocument/2006/relationships/hyperlink" Target="https://storage.googleapis.com/glide-prod.appspot.com/uploads-v2/ly7o78grxPaC6KdgvbpS/pub/3aRdSog0vUtuqPE8AJKD.png" TargetMode="External"/><Relationship Id="rId346" Type="http://schemas.openxmlformats.org/officeDocument/2006/relationships/hyperlink" Target="https://storage.googleapis.com/glide-prod.appspot.com/uploads-v2/ly7o78grxPaC6KdgvbpS/pub/3aRdSog0vUtuqPE8AJKD.png" TargetMode="External"/><Relationship Id="rId553" Type="http://schemas.openxmlformats.org/officeDocument/2006/relationships/hyperlink" Target="https://storage.googleapis.com/glide-prod.appspot.com/uploads-v2/ly7o78grxPaC6KdgvbpS/pub/3aRdSog0vUtuqPE8AJKD.png" TargetMode="External"/><Relationship Id="rId760" Type="http://schemas.openxmlformats.org/officeDocument/2006/relationships/hyperlink" Target="https://storage.googleapis.com/glide-prod.appspot.com/uploads-v2/ly7o78grxPaC6KdgvbpS/pub/3aRdSog0vUtuqPE8AJKD.png" TargetMode="External"/><Relationship Id="rId998" Type="http://schemas.openxmlformats.org/officeDocument/2006/relationships/hyperlink" Target="https://storage.googleapis.com/glide-prod.appspot.com/uploads-v2/ly7o78grxPaC6KdgvbpS/pub/3aRdSog0vUtuqPE8AJKD.png" TargetMode="External"/><Relationship Id="rId1183" Type="http://schemas.openxmlformats.org/officeDocument/2006/relationships/hyperlink" Target="https://storage.googleapis.com/glide-prod.appspot.com/uploads-v2/ly7o78grxPaC6KdgvbpS/pub/3aRdSog0vUtuqPE8AJKD.png" TargetMode="External"/><Relationship Id="rId1390" Type="http://schemas.openxmlformats.org/officeDocument/2006/relationships/hyperlink" Target="https://storage.googleapis.com/glide-prod.appspot.com/uploads-v2/ly7o78grxPaC6KdgvbpS/pub/3aRdSog0vUtuqPE8AJKD.png" TargetMode="External"/><Relationship Id="rId206" Type="http://schemas.openxmlformats.org/officeDocument/2006/relationships/hyperlink" Target="https://storage.googleapis.com/glide-prod.appspot.com/uploads-v2/ly7o78grxPaC6KdgvbpS/pub/UliJWgpEaBovaFmXi6OW.png" TargetMode="External"/><Relationship Id="rId413" Type="http://schemas.openxmlformats.org/officeDocument/2006/relationships/hyperlink" Target="https://storage.googleapis.com/glide-prod.appspot.com/uploads-v2/ly7o78grxPaC6KdgvbpS/pub/3aRdSog0vUtuqPE8AJKD.png" TargetMode="External"/><Relationship Id="rId858" Type="http://schemas.openxmlformats.org/officeDocument/2006/relationships/hyperlink" Target="https://storage.googleapis.com/glide-prod.appspot.com/uploads-v2/ly7o78grxPaC6KdgvbpS/pub/3aRdSog0vUtuqPE8AJKD.png" TargetMode="External"/><Relationship Id="rId1043" Type="http://schemas.openxmlformats.org/officeDocument/2006/relationships/hyperlink" Target="https://storage.googleapis.com/glide-prod.appspot.com/uploads-v2/ly7o78grxPaC6KdgvbpS/pub/3aRdSog0vUtuqPE8AJKD.png" TargetMode="External"/><Relationship Id="rId1488" Type="http://schemas.openxmlformats.org/officeDocument/2006/relationships/hyperlink" Target="https://storage.googleapis.com/glide-prod.appspot.com/uploads-v2/ly7o78grxPaC6KdgvbpS/pub/3aRdSog0vUtuqPE8AJKD.png" TargetMode="External"/><Relationship Id="rId620" Type="http://schemas.openxmlformats.org/officeDocument/2006/relationships/hyperlink" Target="https://storage.googleapis.com/glide-prod.appspot.com/uploads-v2/ly7o78grxPaC6KdgvbpS/pub/3aRdSog0vUtuqPE8AJKD.png" TargetMode="External"/><Relationship Id="rId718" Type="http://schemas.openxmlformats.org/officeDocument/2006/relationships/hyperlink" Target="https://storage.googleapis.com/glide-prod.appspot.com/uploads-v2/ly7o78grxPaC6KdgvbpS/pub/3aRdSog0vUtuqPE8AJKD.png" TargetMode="External"/><Relationship Id="rId925" Type="http://schemas.openxmlformats.org/officeDocument/2006/relationships/hyperlink" Target="https://storage.googleapis.com/glide-prod.appspot.com/uploads-v2/ly7o78grxPaC6KdgvbpS/pub/3aRdSog0vUtuqPE8AJKD.png" TargetMode="External"/><Relationship Id="rId1250" Type="http://schemas.openxmlformats.org/officeDocument/2006/relationships/hyperlink" Target="https://storage.googleapis.com/glide-prod.appspot.com/uploads-v2/ly7o78grxPaC6KdgvbpS/pub/3aRdSog0vUtuqPE8AJKD.png" TargetMode="External"/><Relationship Id="rId1348" Type="http://schemas.openxmlformats.org/officeDocument/2006/relationships/hyperlink" Target="https://storage.googleapis.com/glide-prod.appspot.com/uploads-v2/ly7o78grxPaC6KdgvbpS/pub/3aRdSog0vUtuqPE8AJKD.png" TargetMode="External"/><Relationship Id="rId1555" Type="http://schemas.openxmlformats.org/officeDocument/2006/relationships/hyperlink" Target="https://storage.googleapis.com/glide-prod.appspot.com/uploads-v2/ly7o78grxPaC6KdgvbpS/pub/3aRdSog0vUtuqPE8AJKD.png" TargetMode="External"/><Relationship Id="rId1110" Type="http://schemas.openxmlformats.org/officeDocument/2006/relationships/hyperlink" Target="https://storage.googleapis.com/glide-prod.appspot.com/uploads-v2/ly7o78grxPaC6KdgvbpS/pub/3aRdSog0vUtuqPE8AJKD.png" TargetMode="External"/><Relationship Id="rId1208" Type="http://schemas.openxmlformats.org/officeDocument/2006/relationships/hyperlink" Target="https://storage.googleapis.com/glide-prod.appspot.com/uploads-v2/ly7o78grxPaC6KdgvbpS/pub/3aRdSog0vUtuqPE8AJKD.png" TargetMode="External"/><Relationship Id="rId1415" Type="http://schemas.openxmlformats.org/officeDocument/2006/relationships/hyperlink" Target="https://storage.googleapis.com/glide-prod.appspot.com/uploads-v2/ly7o78grxPaC6KdgvbpS/pub/3aRdSog0vUtuqPE8AJKD.png" TargetMode="External"/><Relationship Id="rId54" Type="http://schemas.openxmlformats.org/officeDocument/2006/relationships/hyperlink" Target="https://storage.googleapis.com/glide-prod.appspot.com/uploads-v2/ly7o78grxPaC6KdgvbpS/pub/3aRdSog0vUtuqPE8AJKD.png" TargetMode="External"/><Relationship Id="rId270" Type="http://schemas.openxmlformats.org/officeDocument/2006/relationships/hyperlink" Target="https://storage.googleapis.com/glide-prod.appspot.com/uploads-v2/ly7o78grxPaC6KdgvbpS/pub/3aRdSog0vUtuqPE8AJKD.png" TargetMode="External"/><Relationship Id="rId130" Type="http://schemas.openxmlformats.org/officeDocument/2006/relationships/hyperlink" Target="https://storage.googleapis.com/glide-prod.appspot.com/uploads-v2/ly7o78grxPaC6KdgvbpS/pub/3aRdSog0vUtuqPE8AJKD.png" TargetMode="External"/><Relationship Id="rId368" Type="http://schemas.openxmlformats.org/officeDocument/2006/relationships/hyperlink" Target="https://storage.googleapis.com/glide-prod.appspot.com/uploads-v2/ly7o78grxPaC6KdgvbpS/pub/UliJWgpEaBovaFmXi6OW.png" TargetMode="External"/><Relationship Id="rId575" Type="http://schemas.openxmlformats.org/officeDocument/2006/relationships/hyperlink" Target="https://storage.googleapis.com/glide-prod.appspot.com/uploads-v2/ly7o78grxPaC6KdgvbpS/pub/3aRdSog0vUtuqPE8AJKD.png" TargetMode="External"/><Relationship Id="rId782" Type="http://schemas.openxmlformats.org/officeDocument/2006/relationships/hyperlink" Target="https://storage.googleapis.com/glide-prod.appspot.com/uploads-v2/ly7o78grxPaC6KdgvbpS/pub/3aRdSog0vUtuqPE8AJKD.png" TargetMode="External"/><Relationship Id="rId228" Type="http://schemas.openxmlformats.org/officeDocument/2006/relationships/hyperlink" Target="https://storage.googleapis.com/glide-prod.appspot.com/uploads-v2/ly7o78grxPaC6KdgvbpS/pub/3aRdSog0vUtuqPE8AJKD.png" TargetMode="External"/><Relationship Id="rId435" Type="http://schemas.openxmlformats.org/officeDocument/2006/relationships/hyperlink" Target="https://storage.googleapis.com/glide-prod.appspot.com/uploads-v2/ly7o78grxPaC6KdgvbpS/pub/3aRdSog0vUtuqPE8AJKD.png" TargetMode="External"/><Relationship Id="rId642" Type="http://schemas.openxmlformats.org/officeDocument/2006/relationships/hyperlink" Target="https://storage.googleapis.com/glide-prod.appspot.com/uploads-v2/ly7o78grxPaC6KdgvbpS/pub/3aRdSog0vUtuqPE8AJKD.png" TargetMode="External"/><Relationship Id="rId1065" Type="http://schemas.openxmlformats.org/officeDocument/2006/relationships/hyperlink" Target="https://storage.googleapis.com/glide-prod.appspot.com/uploads-v2/ly7o78grxPaC6KdgvbpS/pub/3aRdSog0vUtuqPE8AJKD.png" TargetMode="External"/><Relationship Id="rId1272" Type="http://schemas.openxmlformats.org/officeDocument/2006/relationships/hyperlink" Target="https://storage.googleapis.com/glide-prod.appspot.com/uploads-v2/ly7o78grxPaC6KdgvbpS/pub/3aRdSog0vUtuqPE8AJKD.png" TargetMode="External"/><Relationship Id="rId502" Type="http://schemas.openxmlformats.org/officeDocument/2006/relationships/hyperlink" Target="https://storage.googleapis.com/glide-prod.appspot.com/uploads-v2/ly7o78grxPaC6KdgvbpS/pub/UliJWgpEaBovaFmXi6OW.png" TargetMode="External"/><Relationship Id="rId947" Type="http://schemas.openxmlformats.org/officeDocument/2006/relationships/hyperlink" Target="https://storage.googleapis.com/glide-prod.appspot.com/uploads-v2/ly7o78grxPaC6KdgvbpS/pub/UliJWgpEaBovaFmXi6OW.png" TargetMode="External"/><Relationship Id="rId1132" Type="http://schemas.openxmlformats.org/officeDocument/2006/relationships/hyperlink" Target="https://storage.googleapis.com/glide-prod.appspot.com/uploads-v2/ly7o78grxPaC6KdgvbpS/pub/3aRdSog0vUtuqPE8AJKD.png" TargetMode="External"/><Relationship Id="rId76" Type="http://schemas.openxmlformats.org/officeDocument/2006/relationships/hyperlink" Target="https://storage.googleapis.com/glide-prod.appspot.com/uploads-v2/ly7o78grxPaC6KdgvbpS/pub/3aRdSog0vUtuqPE8AJKD.png" TargetMode="External"/><Relationship Id="rId807" Type="http://schemas.openxmlformats.org/officeDocument/2006/relationships/hyperlink" Target="https://storage.googleapis.com/glide-prod.appspot.com/uploads-v2/ly7o78grxPaC6KdgvbpS/pub/3aRdSog0vUtuqPE8AJKD.png" TargetMode="External"/><Relationship Id="rId1437" Type="http://schemas.openxmlformats.org/officeDocument/2006/relationships/hyperlink" Target="https://storage.googleapis.com/glide-prod.appspot.com/uploads-v2/ly7o78grxPaC6KdgvbpS/pub/3aRdSog0vUtuqPE8AJKD.png" TargetMode="External"/><Relationship Id="rId1504" Type="http://schemas.openxmlformats.org/officeDocument/2006/relationships/hyperlink" Target="https://storage.googleapis.com/glide-prod.appspot.com/uploads-v2/ly7o78grxPaC6KdgvbpS/pub/zh5pJ3w7iy79ye3nOabU.heic" TargetMode="External"/><Relationship Id="rId292" Type="http://schemas.openxmlformats.org/officeDocument/2006/relationships/hyperlink" Target="https://storage.googleapis.com/glide-prod.appspot.com/uploads-v2/ly7o78grxPaC6KdgvbpS/pub/UliJWgpEaBovaFmXi6OW.png" TargetMode="External"/><Relationship Id="rId597" Type="http://schemas.openxmlformats.org/officeDocument/2006/relationships/hyperlink" Target="https://storage.googleapis.com/glide-prod.appspot.com/uploads-v2/ly7o78grxPaC6KdgvbpS/pub/UliJWgpEaBovaFmXi6OW.png" TargetMode="External"/><Relationship Id="rId152" Type="http://schemas.openxmlformats.org/officeDocument/2006/relationships/hyperlink" Target="https://storage.googleapis.com/glide-prod.appspot.com/uploads-v2/ly7o78grxPaC6KdgvbpS/pub/3aRdSog0vUtuqPE8AJKD.png" TargetMode="External"/><Relationship Id="rId457" Type="http://schemas.openxmlformats.org/officeDocument/2006/relationships/hyperlink" Target="https://storage.googleapis.com/glide-prod.appspot.com/uploads-v2/ly7o78grxPaC6KdgvbpS/pub/UliJWgpEaBovaFmXi6OW.png" TargetMode="External"/><Relationship Id="rId1087" Type="http://schemas.openxmlformats.org/officeDocument/2006/relationships/hyperlink" Target="https://storage.googleapis.com/glide-prod.appspot.com/uploads-v2/ly7o78grxPaC6KdgvbpS/pub/3aRdSog0vUtuqPE8AJKD.png" TargetMode="External"/><Relationship Id="rId1294" Type="http://schemas.openxmlformats.org/officeDocument/2006/relationships/hyperlink" Target="https://storage.googleapis.com/glide-prod.appspot.com/uploads-v2/ly7o78grxPaC6KdgvbpS/pub/3aRdSog0vUtuqPE8AJKD.png" TargetMode="External"/><Relationship Id="rId664" Type="http://schemas.openxmlformats.org/officeDocument/2006/relationships/hyperlink" Target="https://storage.googleapis.com/glide-prod.appspot.com/uploads-v2/ly7o78grxPaC6KdgvbpS/pub/3aRdSog0vUtuqPE8AJKD.png" TargetMode="External"/><Relationship Id="rId871" Type="http://schemas.openxmlformats.org/officeDocument/2006/relationships/hyperlink" Target="https://storage.googleapis.com/glide-prod.appspot.com/uploads-v2/ly7o78grxPaC6KdgvbpS/pub/3aRdSog0vUtuqPE8AJKD.png" TargetMode="External"/><Relationship Id="rId969" Type="http://schemas.openxmlformats.org/officeDocument/2006/relationships/hyperlink" Target="https://storage.googleapis.com/glide-prod.appspot.com/uploads-v2/ly7o78grxPaC6KdgvbpS/pub/3aRdSog0vUtuqPE8AJKD.png" TargetMode="External"/><Relationship Id="rId317" Type="http://schemas.openxmlformats.org/officeDocument/2006/relationships/hyperlink" Target="https://storage.googleapis.com/glide-prod.appspot.com/uploads-v2/ly7o78grxPaC6KdgvbpS/pub/3aRdSog0vUtuqPE8AJKD.png" TargetMode="External"/><Relationship Id="rId524" Type="http://schemas.openxmlformats.org/officeDocument/2006/relationships/hyperlink" Target="https://storage.googleapis.com/glide-prod.appspot.com/uploads-v2/ly7o78grxPaC6KdgvbpS/pub/3aRdSog0vUtuqPE8AJKD.png" TargetMode="External"/><Relationship Id="rId731" Type="http://schemas.openxmlformats.org/officeDocument/2006/relationships/hyperlink" Target="https://storage.googleapis.com/glide-prod.appspot.com/uploads-v2/ly7o78grxPaC6KdgvbpS/pub/3aRdSog0vUtuqPE8AJKD.png" TargetMode="External"/><Relationship Id="rId1154" Type="http://schemas.openxmlformats.org/officeDocument/2006/relationships/hyperlink" Target="https://storage.googleapis.com/glide-prod.appspot.com/uploads-v2/ly7o78grxPaC6KdgvbpS/pub/UliJWgpEaBovaFmXi6OW.png" TargetMode="External"/><Relationship Id="rId1361" Type="http://schemas.openxmlformats.org/officeDocument/2006/relationships/hyperlink" Target="https://storage.googleapis.com/glide-prod.appspot.com/uploads-v2/ly7o78grxPaC6KdgvbpS/pub/UliJWgpEaBovaFmXi6OW.png" TargetMode="External"/><Relationship Id="rId1459" Type="http://schemas.openxmlformats.org/officeDocument/2006/relationships/hyperlink" Target="https://storage.googleapis.com/glide-prod.appspot.com/uploads-v2/ly7o78grxPaC6KdgvbpS/pub/3aRdSog0vUtuqPE8AJKD.png" TargetMode="External"/><Relationship Id="rId98" Type="http://schemas.openxmlformats.org/officeDocument/2006/relationships/hyperlink" Target="https://storage.googleapis.com/glide-prod.appspot.com/uploads-v2/ly7o78grxPaC6KdgvbpS/pub/3aRdSog0vUtuqPE8AJKD.png" TargetMode="External"/><Relationship Id="rId829" Type="http://schemas.openxmlformats.org/officeDocument/2006/relationships/hyperlink" Target="https://storage.googleapis.com/glide-prod.appspot.com/uploads-v2/ly7o78grxPaC6KdgvbpS/pub/3aRdSog0vUtuqPE8AJKD.png" TargetMode="External"/><Relationship Id="rId1014" Type="http://schemas.openxmlformats.org/officeDocument/2006/relationships/hyperlink" Target="https://storage.googleapis.com/glide-prod.appspot.com/uploads-v2/ly7o78grxPaC6KdgvbpS/pub/yvtCGRAPIbS0tVLIlehH.png" TargetMode="External"/><Relationship Id="rId1221" Type="http://schemas.openxmlformats.org/officeDocument/2006/relationships/hyperlink" Target="https://storage.googleapis.com/glide-prod.appspot.com/uploads-v2/ly7o78grxPaC6KdgvbpS/pub/3aRdSog0vUtuqPE8AJKD.png" TargetMode="External"/><Relationship Id="rId1319" Type="http://schemas.openxmlformats.org/officeDocument/2006/relationships/hyperlink" Target="https://storage.googleapis.com/glide-prod.appspot.com/uploads-v2/ly7o78grxPaC6KdgvbpS/pub/3aRdSog0vUtuqPE8AJKD.png" TargetMode="External"/><Relationship Id="rId1526" Type="http://schemas.openxmlformats.org/officeDocument/2006/relationships/hyperlink" Target="https://storage.googleapis.com/glide-prod.appspot.com/uploads-v2/ly7o78grxPaC6KdgvbpS/pub/3aRdSog0vUtuqPE8AJKD.png" TargetMode="External"/><Relationship Id="rId25" Type="http://schemas.openxmlformats.org/officeDocument/2006/relationships/hyperlink" Target="https://storage.googleapis.com/glide-prod.appspot.com/uploads-v2/ly7o78grxPaC6KdgvbpS/pub/3aRdSog0vUtuqPE8AJKD.png" TargetMode="External"/><Relationship Id="rId174" Type="http://schemas.openxmlformats.org/officeDocument/2006/relationships/hyperlink" Target="https://storage.googleapis.com/glide-prod.appspot.com/uploads-v2/ly7o78grxPaC6KdgvbpS/pub/3aRdSog0vUtuqPE8AJKD.png" TargetMode="External"/><Relationship Id="rId381" Type="http://schemas.openxmlformats.org/officeDocument/2006/relationships/hyperlink" Target="https://storage.googleapis.com/glide-prod.appspot.com/uploads-v2/ly7o78grxPaC6KdgvbpS/pub/3aRdSog0vUtuqPE8AJKD.png" TargetMode="External"/><Relationship Id="rId241" Type="http://schemas.openxmlformats.org/officeDocument/2006/relationships/hyperlink" Target="https://storage.googleapis.com/glide-prod.appspot.com/uploads-v2/ly7o78grxPaC6KdgvbpS/pub/3aRdSog0vUtuqPE8AJKD.png" TargetMode="External"/><Relationship Id="rId479" Type="http://schemas.openxmlformats.org/officeDocument/2006/relationships/hyperlink" Target="https://storage.googleapis.com/glide-prod.appspot.com/uploads-v2/ly7o78grxPaC6KdgvbpS/pub/UliJWgpEaBovaFmXi6OW.png" TargetMode="External"/><Relationship Id="rId686" Type="http://schemas.openxmlformats.org/officeDocument/2006/relationships/hyperlink" Target="https://storage.googleapis.com/glide-prod.appspot.com/uploads-v2/ly7o78grxPaC6KdgvbpS/pub/3aRdSog0vUtuqPE8AJKD.png" TargetMode="External"/><Relationship Id="rId893" Type="http://schemas.openxmlformats.org/officeDocument/2006/relationships/hyperlink" Target="https://storage.googleapis.com/glide-prod.appspot.com/uploads-v2/ly7o78grxPaC6KdgvbpS/pub/3aRdSog0vUtuqPE8AJKD.png" TargetMode="External"/><Relationship Id="rId339" Type="http://schemas.openxmlformats.org/officeDocument/2006/relationships/hyperlink" Target="https://storage.googleapis.com/glide-prod.appspot.com/uploads-v2/ly7o78grxPaC6KdgvbpS/pub/3aRdSog0vUtuqPE8AJKD.png" TargetMode="External"/><Relationship Id="rId546" Type="http://schemas.openxmlformats.org/officeDocument/2006/relationships/hyperlink" Target="https://storage.googleapis.com/glide-prod.appspot.com/uploads-v2/ly7o78grxPaC6KdgvbpS/pub/3aRdSog0vUtuqPE8AJKD.png" TargetMode="External"/><Relationship Id="rId753" Type="http://schemas.openxmlformats.org/officeDocument/2006/relationships/hyperlink" Target="https://storage.googleapis.com/glide-prod.appspot.com/uploads-v2/ly7o78grxPaC6KdgvbpS/pub/3aRdSog0vUtuqPE8AJKD.png" TargetMode="External"/><Relationship Id="rId1176" Type="http://schemas.openxmlformats.org/officeDocument/2006/relationships/hyperlink" Target="https://storage.googleapis.com/glide-prod.appspot.com/uploads-v2/ly7o78grxPaC6KdgvbpS/pub/3aRdSog0vUtuqPE8AJKD.png" TargetMode="External"/><Relationship Id="rId1383" Type="http://schemas.openxmlformats.org/officeDocument/2006/relationships/hyperlink" Target="https://storage.googleapis.com/glide-prod.appspot.com/uploads-v2/ly7o78grxPaC6KdgvbpS/pub/3aRdSog0vUtuqPE8AJKD.png" TargetMode="External"/><Relationship Id="rId101" Type="http://schemas.openxmlformats.org/officeDocument/2006/relationships/hyperlink" Target="https://storage.googleapis.com/glide-prod.appspot.com/uploads-v2/ly7o78grxPaC6KdgvbpS/pub/3aRdSog0vUtuqPE8AJKD.png" TargetMode="External"/><Relationship Id="rId406" Type="http://schemas.openxmlformats.org/officeDocument/2006/relationships/hyperlink" Target="https://storage.googleapis.com/glide-prod.appspot.com/uploads-v2/ly7o78grxPaC6KdgvbpS/pub/3aRdSog0vUtuqPE8AJKD.png" TargetMode="External"/><Relationship Id="rId960" Type="http://schemas.openxmlformats.org/officeDocument/2006/relationships/hyperlink" Target="https://storage.googleapis.com/glide-prod.appspot.com/uploads-v2/ly7o78grxPaC6KdgvbpS/pub/UliJWgpEaBovaFmXi6OW.png" TargetMode="External"/><Relationship Id="rId1036" Type="http://schemas.openxmlformats.org/officeDocument/2006/relationships/hyperlink" Target="https://storage.googleapis.com/glide-prod.appspot.com/uploads-v2/ly7o78grxPaC6KdgvbpS/pub/3aRdSog0vUtuqPE8AJKD.png" TargetMode="External"/><Relationship Id="rId1243" Type="http://schemas.openxmlformats.org/officeDocument/2006/relationships/hyperlink" Target="https://storage.googleapis.com/glide-prod.appspot.com/uploads-v2/ly7o78grxPaC6KdgvbpS/pub/UliJWgpEaBovaFmXi6OW.png" TargetMode="External"/><Relationship Id="rId613" Type="http://schemas.openxmlformats.org/officeDocument/2006/relationships/hyperlink" Target="https://storage.googleapis.com/glide-prod.appspot.com/uploads-v2/ly7o78grxPaC6KdgvbpS/pub/3aRdSog0vUtuqPE8AJKD.png" TargetMode="External"/><Relationship Id="rId820" Type="http://schemas.openxmlformats.org/officeDocument/2006/relationships/hyperlink" Target="https://storage.googleapis.com/glide-prod.appspot.com/uploads-v2/ly7o78grxPaC6KdgvbpS/pub/3aRdSog0vUtuqPE8AJKD.png" TargetMode="External"/><Relationship Id="rId918" Type="http://schemas.openxmlformats.org/officeDocument/2006/relationships/hyperlink" Target="https://storage.googleapis.com/glide-prod.appspot.com/uploads-v2/ly7o78grxPaC6KdgvbpS/pub/3aRdSog0vUtuqPE8AJKD.png" TargetMode="External"/><Relationship Id="rId1450" Type="http://schemas.openxmlformats.org/officeDocument/2006/relationships/hyperlink" Target="https://storage.googleapis.com/glide-prod.appspot.com/uploads-v2/ly7o78grxPaC6KdgvbpS/pub/3aRdSog0vUtuqPE8AJKD.png" TargetMode="External"/><Relationship Id="rId1548" Type="http://schemas.openxmlformats.org/officeDocument/2006/relationships/hyperlink" Target="https://storage.googleapis.com/glide-prod.appspot.com/uploads-v2/ly7o78grxPaC6KdgvbpS/pub/UliJWgpEaBovaFmXi6OW.png" TargetMode="External"/><Relationship Id="rId1103" Type="http://schemas.openxmlformats.org/officeDocument/2006/relationships/hyperlink" Target="https://storage.googleapis.com/glide-prod.appspot.com/uploads-v2/ly7o78grxPaC6KdgvbpS/pub/3aRdSog0vUtuqPE8AJKD.png" TargetMode="External"/><Relationship Id="rId1310" Type="http://schemas.openxmlformats.org/officeDocument/2006/relationships/hyperlink" Target="https://storage.googleapis.com/glide-prod.appspot.com/uploads-v2/ly7o78grxPaC6KdgvbpS/pub/3aRdSog0vUtuqPE8AJKD.png" TargetMode="External"/><Relationship Id="rId1408" Type="http://schemas.openxmlformats.org/officeDocument/2006/relationships/hyperlink" Target="https://storage.googleapis.com/glide-prod.appspot.com/uploads-v2/ly7o78grxPaC6KdgvbpS/pub/3aRdSog0vUtuqPE8AJKD.png" TargetMode="External"/><Relationship Id="rId47" Type="http://schemas.openxmlformats.org/officeDocument/2006/relationships/hyperlink" Target="https://storage.googleapis.com/glide-prod.appspot.com/uploads-v2/ly7o78grxPaC6KdgvbpS/pub/3aRdSog0vUtuqPE8AJKD.png" TargetMode="External"/><Relationship Id="rId196" Type="http://schemas.openxmlformats.org/officeDocument/2006/relationships/hyperlink" Target="https://storage.googleapis.com/glide-prod.appspot.com/uploads-v2/ly7o78grxPaC6KdgvbpS/pub/3aRdSog0vUtuqPE8AJKD.png" TargetMode="External"/><Relationship Id="rId263" Type="http://schemas.openxmlformats.org/officeDocument/2006/relationships/hyperlink" Target="https://storage.googleapis.com/glide-prod.appspot.com/uploads-v2/ly7o78grxPaC6KdgvbpS/pub/3aRdSog0vUtuqPE8AJKD.png" TargetMode="External"/><Relationship Id="rId470" Type="http://schemas.openxmlformats.org/officeDocument/2006/relationships/hyperlink" Target="https://storage.googleapis.com/glide-prod.appspot.com/uploads-v2/ly7o78grxPaC6KdgvbpS/pub/UliJWgpEaBovaFmXi6OW.png" TargetMode="External"/><Relationship Id="rId123" Type="http://schemas.openxmlformats.org/officeDocument/2006/relationships/hyperlink" Target="https://storage.googleapis.com/glide-prod.appspot.com/uploads-v2/ly7o78grxPaC6KdgvbpS/pub/3aRdSog0vUtuqPE8AJKD.png" TargetMode="External"/><Relationship Id="rId330" Type="http://schemas.openxmlformats.org/officeDocument/2006/relationships/hyperlink" Target="https://storage.googleapis.com/glide-prod.appspot.com/uploads-v2/ly7o78grxPaC6KdgvbpS/pub/3aRdSog0vUtuqPE8AJKD.png" TargetMode="External"/><Relationship Id="rId568" Type="http://schemas.openxmlformats.org/officeDocument/2006/relationships/hyperlink" Target="https://storage.googleapis.com/glide-prod.appspot.com/uploads-v2/ly7o78grxPaC6KdgvbpS/pub/3aRdSog0vUtuqPE8AJKD.png" TargetMode="External"/><Relationship Id="rId775" Type="http://schemas.openxmlformats.org/officeDocument/2006/relationships/hyperlink" Target="https://storage.googleapis.com/glide-prod.appspot.com/uploads-v2/ly7o78grxPaC6KdgvbpS/pub/3aRdSog0vUtuqPE8AJKD.png" TargetMode="External"/><Relationship Id="rId982" Type="http://schemas.openxmlformats.org/officeDocument/2006/relationships/hyperlink" Target="https://storage.googleapis.com/glide-prod.appspot.com/uploads-v2/ly7o78grxPaC6KdgvbpS/pub/3aRdSog0vUtuqPE8AJKD.png" TargetMode="External"/><Relationship Id="rId1198" Type="http://schemas.openxmlformats.org/officeDocument/2006/relationships/hyperlink" Target="https://storage.googleapis.com/glide-prod.appspot.com/uploads-v2/ly7o78grxPaC6KdgvbpS/pub/3aRdSog0vUtuqPE8AJKD.png" TargetMode="External"/><Relationship Id="rId428" Type="http://schemas.openxmlformats.org/officeDocument/2006/relationships/hyperlink" Target="https://storage.googleapis.com/glide-prod.appspot.com/uploads-v2/ly7o78grxPaC6KdgvbpS/pub/3aRdSog0vUtuqPE8AJKD.png" TargetMode="External"/><Relationship Id="rId635" Type="http://schemas.openxmlformats.org/officeDocument/2006/relationships/hyperlink" Target="https://storage.googleapis.com/glide-prod.appspot.com/uploads-v2/ly7o78grxPaC6KdgvbpS/pub/3aRdSog0vUtuqPE8AJKD.png" TargetMode="External"/><Relationship Id="rId842" Type="http://schemas.openxmlformats.org/officeDocument/2006/relationships/hyperlink" Target="https://storage.googleapis.com/glide-prod.appspot.com/uploads-v2/ly7o78grxPaC6KdgvbpS/pub/3aRdSog0vUtuqPE8AJKD.png" TargetMode="External"/><Relationship Id="rId1058" Type="http://schemas.openxmlformats.org/officeDocument/2006/relationships/hyperlink" Target="https://storage.googleapis.com/glide-prod.appspot.com/uploads-v2/ly7o78grxPaC6KdgvbpS/pub/3aRdSog0vUtuqPE8AJKD.png" TargetMode="External"/><Relationship Id="rId1265" Type="http://schemas.openxmlformats.org/officeDocument/2006/relationships/hyperlink" Target="https://storage.googleapis.com/glide-prod.appspot.com/uploads-v2/ly7o78grxPaC6KdgvbpS/pub/3aRdSog0vUtuqPE8AJKD.png" TargetMode="External"/><Relationship Id="rId1472" Type="http://schemas.openxmlformats.org/officeDocument/2006/relationships/hyperlink" Target="https://storage.googleapis.com/glide-prod.appspot.com/uploads-v2/ly7o78grxPaC6KdgvbpS/pub/3aRdSog0vUtuqPE8AJKD.png" TargetMode="External"/><Relationship Id="rId702" Type="http://schemas.openxmlformats.org/officeDocument/2006/relationships/hyperlink" Target="https://storage.googleapis.com/glide-prod.appspot.com/uploads-v2/ly7o78grxPaC6KdgvbpS/pub/3aRdSog0vUtuqPE8AJKD.png" TargetMode="External"/><Relationship Id="rId1125" Type="http://schemas.openxmlformats.org/officeDocument/2006/relationships/hyperlink" Target="https://storage.googleapis.com/glide-prod.appspot.com/uploads-v2/ly7o78grxPaC6KdgvbpS/pub/3aRdSog0vUtuqPE8AJKD.png" TargetMode="External"/><Relationship Id="rId1332" Type="http://schemas.openxmlformats.org/officeDocument/2006/relationships/hyperlink" Target="https://storage.googleapis.com/glide-prod.appspot.com/uploads-v2/ly7o78grxPaC6KdgvbpS/pub/3aRdSog0vUtuqPE8AJKD.png" TargetMode="External"/><Relationship Id="rId69" Type="http://schemas.openxmlformats.org/officeDocument/2006/relationships/hyperlink" Target="https://storage.googleapis.com/glide-prod.appspot.com/uploads-v2/ly7o78grxPaC6KdgvbpS/pub/3aRdSog0vUtuqPE8AJKD.png" TargetMode="External"/><Relationship Id="rId285" Type="http://schemas.openxmlformats.org/officeDocument/2006/relationships/hyperlink" Target="https://storage.googleapis.com/glide-prod.appspot.com/uploads-v2/ly7o78grxPaC6KdgvbpS/pub/3aRdSog0vUtuqPE8AJKD.png" TargetMode="External"/><Relationship Id="rId492" Type="http://schemas.openxmlformats.org/officeDocument/2006/relationships/hyperlink" Target="https://storage.googleapis.com/glide-prod.appspot.com/uploads-v2/ly7o78grxPaC6KdgvbpS/pub/3aRdSog0vUtuqPE8AJKD.png" TargetMode="External"/><Relationship Id="rId797" Type="http://schemas.openxmlformats.org/officeDocument/2006/relationships/hyperlink" Target="https://storage.googleapis.com/glide-prod.appspot.com/uploads-v2/ly7o78grxPaC6KdgvbpS/pub/3aRdSog0vUtuqPE8AJKD.png" TargetMode="External"/><Relationship Id="rId145" Type="http://schemas.openxmlformats.org/officeDocument/2006/relationships/hyperlink" Target="https://storage.googleapis.com/glide-prod.appspot.com/uploads-v2/ly7o78grxPaC6KdgvbpS/pub/3aRdSog0vUtuqPE8AJKD.png" TargetMode="External"/><Relationship Id="rId352" Type="http://schemas.openxmlformats.org/officeDocument/2006/relationships/hyperlink" Target="https://storage.googleapis.com/glide-prod.appspot.com/uploads-v2/ly7o78grxPaC6KdgvbpS/pub/UliJWgpEaBovaFmXi6OW.png" TargetMode="External"/><Relationship Id="rId1287" Type="http://schemas.openxmlformats.org/officeDocument/2006/relationships/hyperlink" Target="https://storage.googleapis.com/glide-prod.appspot.com/uploads-v2/ly7o78grxPaC6KdgvbpS/pub/3aRdSog0vUtuqPE8AJKD.png" TargetMode="External"/><Relationship Id="rId212" Type="http://schemas.openxmlformats.org/officeDocument/2006/relationships/hyperlink" Target="https://storage.googleapis.com/glide-prod.appspot.com/uploads-v2/ly7o78grxPaC6KdgvbpS/pub/3aRdSog0vUtuqPE8AJKD.png" TargetMode="External"/><Relationship Id="rId657" Type="http://schemas.openxmlformats.org/officeDocument/2006/relationships/hyperlink" Target="https://storage.googleapis.com/glide-prod.appspot.com/uploads-v2/ly7o78grxPaC6KdgvbpS/pub/3aRdSog0vUtuqPE8AJKD.png" TargetMode="External"/><Relationship Id="rId864" Type="http://schemas.openxmlformats.org/officeDocument/2006/relationships/hyperlink" Target="https://storage.googleapis.com/glide-prod.appspot.com/uploads-v2/ly7o78grxPaC6KdgvbpS/pub/3aRdSog0vUtuqPE8AJKD.png" TargetMode="External"/><Relationship Id="rId1494" Type="http://schemas.openxmlformats.org/officeDocument/2006/relationships/hyperlink" Target="https://storage.googleapis.com/glide-prod.appspot.com/uploads-v2/ly7o78grxPaC6KdgvbpS/pub/3aRdSog0vUtuqPE8AJKD.png" TargetMode="External"/><Relationship Id="rId517" Type="http://schemas.openxmlformats.org/officeDocument/2006/relationships/hyperlink" Target="https://storage.googleapis.com/glide-prod.appspot.com/uploads-v2/ly7o78grxPaC6KdgvbpS/pub/3aRdSog0vUtuqPE8AJKD.png" TargetMode="External"/><Relationship Id="rId724" Type="http://schemas.openxmlformats.org/officeDocument/2006/relationships/hyperlink" Target="https://storage.googleapis.com/glide-prod.appspot.com/uploads-v2/ly7o78grxPaC6KdgvbpS/pub/3aRdSog0vUtuqPE8AJKD.png" TargetMode="External"/><Relationship Id="rId931" Type="http://schemas.openxmlformats.org/officeDocument/2006/relationships/hyperlink" Target="https://storage.googleapis.com/glide-prod.appspot.com/uploads-v2/ly7o78grxPaC6KdgvbpS/pub/UliJWgpEaBovaFmXi6OW.png" TargetMode="External"/><Relationship Id="rId1147" Type="http://schemas.openxmlformats.org/officeDocument/2006/relationships/hyperlink" Target="https://storage.googleapis.com/glide-prod.appspot.com/uploads-v2/ly7o78grxPaC6KdgvbpS/pub/3aRdSog0vUtuqPE8AJKD.png" TargetMode="External"/><Relationship Id="rId1354" Type="http://schemas.openxmlformats.org/officeDocument/2006/relationships/hyperlink" Target="https://storage.googleapis.com/glide-prod.appspot.com/uploads-v2/ly7o78grxPaC6KdgvbpS/pub/UliJWgpEaBovaFmXi6OW.png" TargetMode="External"/><Relationship Id="rId1561" Type="http://schemas.openxmlformats.org/officeDocument/2006/relationships/hyperlink" Target="https://storage.googleapis.com/glide-prod.appspot.com/uploads-v2/ly7o78grxPaC6KdgvbpS/pub/3aRdSog0vUtuqPE8AJKD.png" TargetMode="External"/><Relationship Id="rId60" Type="http://schemas.openxmlformats.org/officeDocument/2006/relationships/hyperlink" Target="https://storage.googleapis.com/glide-prod.appspot.com/uploads-v2/ly7o78grxPaC6KdgvbpS/pub/3aRdSog0vUtuqPE8AJKD.png" TargetMode="External"/><Relationship Id="rId1007" Type="http://schemas.openxmlformats.org/officeDocument/2006/relationships/hyperlink" Target="https://storage.googleapis.com/glide-prod.appspot.com/uploads-v2/ly7o78grxPaC6KdgvbpS/pub/3aRdSog0vUtuqPE8AJKD.png" TargetMode="External"/><Relationship Id="rId1214" Type="http://schemas.openxmlformats.org/officeDocument/2006/relationships/hyperlink" Target="https://storage.googleapis.com/glide-prod.appspot.com/uploads-v2/ly7o78grxPaC6KdgvbpS/pub/3aRdSog0vUtuqPE8AJKD.png" TargetMode="External"/><Relationship Id="rId1421" Type="http://schemas.openxmlformats.org/officeDocument/2006/relationships/hyperlink" Target="https://storage.googleapis.com/glide-prod.appspot.com/uploads-v2/ly7o78grxPaC6KdgvbpS/pub/3aRdSog0vUtuqPE8AJKD.png" TargetMode="External"/><Relationship Id="rId1519" Type="http://schemas.openxmlformats.org/officeDocument/2006/relationships/hyperlink" Target="https://storage.googleapis.com/glide-prod.appspot.com/uploads-v2/ly7o78grxPaC6KdgvbpS/pub/yvtCGRAPIbS0tVLIlehH.png" TargetMode="External"/><Relationship Id="rId18" Type="http://schemas.openxmlformats.org/officeDocument/2006/relationships/hyperlink" Target="https://storage.googleapis.com/glide-prod.appspot.com/uploads-v2/ly7o78grxPaC6KdgvbpS/pub/3aRdSog0vUtuqPE8AJKD.png" TargetMode="External"/><Relationship Id="rId167" Type="http://schemas.openxmlformats.org/officeDocument/2006/relationships/hyperlink" Target="https://storage.googleapis.com/glide-prod.appspot.com/uploads-v2/ly7o78grxPaC6KdgvbpS/pub/3aRdSog0vUtuqPE8AJKD.png" TargetMode="External"/><Relationship Id="rId374" Type="http://schemas.openxmlformats.org/officeDocument/2006/relationships/hyperlink" Target="https://storage.googleapis.com/glide-prod.appspot.com/uploads-v2/ly7o78grxPaC6KdgvbpS/pub/3aRdSog0vUtuqPE8AJKD.png" TargetMode="External"/><Relationship Id="rId581" Type="http://schemas.openxmlformats.org/officeDocument/2006/relationships/hyperlink" Target="https://storage.googleapis.com/glide-prod.appspot.com/uploads-v2/ly7o78grxPaC6KdgvbpS/pub/3aRdSog0vUtuqPE8AJKD.png" TargetMode="External"/><Relationship Id="rId234" Type="http://schemas.openxmlformats.org/officeDocument/2006/relationships/hyperlink" Target="https://storage.googleapis.com/glide-prod.appspot.com/uploads-v2/ly7o78grxPaC6KdgvbpS/pub/3aRdSog0vUtuqPE8AJKD.png" TargetMode="External"/><Relationship Id="rId679" Type="http://schemas.openxmlformats.org/officeDocument/2006/relationships/hyperlink" Target="https://storage.googleapis.com/glide-prod.appspot.com/uploads-v2/ly7o78grxPaC6KdgvbpS/pub/3aRdSog0vUtuqPE8AJKD.png" TargetMode="External"/><Relationship Id="rId886" Type="http://schemas.openxmlformats.org/officeDocument/2006/relationships/hyperlink" Target="https://storage.googleapis.com/glide-prod.appspot.com/uploads-v2/ly7o78grxPaC6KdgvbpS/pub/3aRdSog0vUtuqPE8AJKD.png" TargetMode="External"/><Relationship Id="rId2" Type="http://schemas.openxmlformats.org/officeDocument/2006/relationships/hyperlink" Target="https://storage.googleapis.com/glide-prod.appspot.com/uploads-v2/ly7o78grxPaC6KdgvbpS/pub/3aRdSog0vUtuqPE8AJKD.png" TargetMode="External"/><Relationship Id="rId441" Type="http://schemas.openxmlformats.org/officeDocument/2006/relationships/hyperlink" Target="http://dy5jfkw0qcwajq65nlp.kg/" TargetMode="External"/><Relationship Id="rId539" Type="http://schemas.openxmlformats.org/officeDocument/2006/relationships/hyperlink" Target="https://storage.googleapis.com/glide-prod.appspot.com/uploads-v2/ly7o78grxPaC6KdgvbpS/pub/3aRdSog0vUtuqPE8AJKD.png" TargetMode="External"/><Relationship Id="rId746" Type="http://schemas.openxmlformats.org/officeDocument/2006/relationships/hyperlink" Target="https://storage.googleapis.com/glide-prod.appspot.com/uploads-v2/ly7o78grxPaC6KdgvbpS/pub/3aRdSog0vUtuqPE8AJKD.png" TargetMode="External"/><Relationship Id="rId1071" Type="http://schemas.openxmlformats.org/officeDocument/2006/relationships/hyperlink" Target="https://storage.googleapis.com/glide-prod.appspot.com/uploads-v2/ly7o78grxPaC6KdgvbpS/pub/3aRdSog0vUtuqPE8AJKD.png" TargetMode="External"/><Relationship Id="rId1169" Type="http://schemas.openxmlformats.org/officeDocument/2006/relationships/hyperlink" Target="https://storage.googleapis.com/glide-prod.appspot.com/uploads-v2/ly7o78grxPaC6KdgvbpS/pub/3aRdSog0vUtuqPE8AJKD.png" TargetMode="External"/><Relationship Id="rId1376" Type="http://schemas.openxmlformats.org/officeDocument/2006/relationships/hyperlink" Target="https://storage.googleapis.com/glide-prod.appspot.com/uploads-v2/ly7o78grxPaC6KdgvbpS/pub/3aRdSog0vUtuqPE8AJKD.png" TargetMode="External"/><Relationship Id="rId301" Type="http://schemas.openxmlformats.org/officeDocument/2006/relationships/hyperlink" Target="https://storage.googleapis.com/glide-prod.appspot.com/uploads-v2/ly7o78grxPaC6KdgvbpS/pub/UliJWgpEaBovaFmXi6OW.png" TargetMode="External"/><Relationship Id="rId953" Type="http://schemas.openxmlformats.org/officeDocument/2006/relationships/hyperlink" Target="http://1b7iomgcramktu1lhsr.gg/" TargetMode="External"/><Relationship Id="rId1029" Type="http://schemas.openxmlformats.org/officeDocument/2006/relationships/hyperlink" Target="https://storage.googleapis.com/glide-prod.appspot.com/uploads-v2/ly7o78grxPaC6KdgvbpS/pub/3aRdSog0vUtuqPE8AJKD.png" TargetMode="External"/><Relationship Id="rId1236" Type="http://schemas.openxmlformats.org/officeDocument/2006/relationships/hyperlink" Target="https://storage.googleapis.com/glide-prod.appspot.com/uploads-v2/ly7o78grxPaC6KdgvbpS/pub/3aRdSog0vUtuqPE8AJKD.png" TargetMode="External"/><Relationship Id="rId82" Type="http://schemas.openxmlformats.org/officeDocument/2006/relationships/hyperlink" Target="https://storage.googleapis.com/glide-prod.appspot.com/uploads-v2/ly7o78grxPaC6KdgvbpS/pub/3aRdSog0vUtuqPE8AJKD.png" TargetMode="External"/><Relationship Id="rId606" Type="http://schemas.openxmlformats.org/officeDocument/2006/relationships/hyperlink" Target="https://storage.googleapis.com/glide-prod.appspot.com/uploads-v2/ly7o78grxPaC6KdgvbpS/pub/3aRdSog0vUtuqPE8AJKD.png" TargetMode="External"/><Relationship Id="rId813" Type="http://schemas.openxmlformats.org/officeDocument/2006/relationships/hyperlink" Target="https://storage.googleapis.com/glide-prod.appspot.com/uploads-v2/ly7o78grxPaC6KdgvbpS/pub/3aRdSog0vUtuqPE8AJKD.png" TargetMode="External"/><Relationship Id="rId1443" Type="http://schemas.openxmlformats.org/officeDocument/2006/relationships/hyperlink" Target="https://storage.googleapis.com/glide-prod.appspot.com/uploads-v2/ly7o78grxPaC6KdgvbpS/pub/3aRdSog0vUtuqPE8AJKD.png" TargetMode="External"/><Relationship Id="rId1303" Type="http://schemas.openxmlformats.org/officeDocument/2006/relationships/hyperlink" Target="https://storage.googleapis.com/glide-prod.appspot.com/uploads-v2/ly7o78grxPaC6KdgvbpS/pub/3aRdSog0vUtuqPE8AJKD.png" TargetMode="External"/><Relationship Id="rId1510" Type="http://schemas.openxmlformats.org/officeDocument/2006/relationships/hyperlink" Target="https://storage.googleapis.com/glide-prod.appspot.com/uploads-v2/ly7o78grxPaC6KdgvbpS/pub/3aRdSog0vUtuqPE8AJKD.png" TargetMode="External"/><Relationship Id="rId189" Type="http://schemas.openxmlformats.org/officeDocument/2006/relationships/hyperlink" Target="https://storage.googleapis.com/glide-prod.appspot.com/uploads-v2/ly7o78grxPaC6KdgvbpS/pub/3aRdSog0vUtuqPE8AJKD.png" TargetMode="External"/><Relationship Id="rId396" Type="http://schemas.openxmlformats.org/officeDocument/2006/relationships/hyperlink" Target="https://storage.googleapis.com/glide-prod.appspot.com/uploads-v2/ly7o78grxPaC6KdgvbpS/pub/3aRdSog0vUtuqPE8AJKD.png" TargetMode="External"/><Relationship Id="rId256" Type="http://schemas.openxmlformats.org/officeDocument/2006/relationships/hyperlink" Target="https://storage.googleapis.com/glide-prod.appspot.com/uploads-v2/ly7o78grxPaC6KdgvbpS/pub/UliJWgpEaBovaFmXi6OW.png" TargetMode="External"/><Relationship Id="rId463" Type="http://schemas.openxmlformats.org/officeDocument/2006/relationships/hyperlink" Target="https://storage.googleapis.com/glide-prod.appspot.com/uploads-v2/ly7o78grxPaC6KdgvbpS/pub/UliJWgpEaBovaFmXi6OW.png" TargetMode="External"/><Relationship Id="rId670" Type="http://schemas.openxmlformats.org/officeDocument/2006/relationships/hyperlink" Target="https://storage.googleapis.com/glide-prod.appspot.com/uploads-v2/ly7o78grxPaC6KdgvbpS/pub/3aRdSog0vUtuqPE8AJKD.png" TargetMode="External"/><Relationship Id="rId1093" Type="http://schemas.openxmlformats.org/officeDocument/2006/relationships/hyperlink" Target="https://storage.googleapis.com/glide-prod.appspot.com/uploads-v2/ly7o78grxPaC6KdgvbpS/pub/UliJWgpEaBovaFmXi6OW.png" TargetMode="External"/><Relationship Id="rId116" Type="http://schemas.openxmlformats.org/officeDocument/2006/relationships/hyperlink" Target="https://storage.googleapis.com/glide-prod.appspot.com/uploads-v2/ly7o78grxPaC6KdgvbpS/pub/3aRdSog0vUtuqPE8AJKD.png" TargetMode="External"/><Relationship Id="rId323" Type="http://schemas.openxmlformats.org/officeDocument/2006/relationships/hyperlink" Target="https://storage.googleapis.com/glide-prod.appspot.com/uploads-v2/ly7o78grxPaC6KdgvbpS/pub/3aRdSog0vUtuqPE8AJKD.png" TargetMode="External"/><Relationship Id="rId530" Type="http://schemas.openxmlformats.org/officeDocument/2006/relationships/hyperlink" Target="https://storage.googleapis.com/glide-prod.appspot.com/uploads-v2/ly7o78grxPaC6KdgvbpS/pub/3aRdSog0vUtuqPE8AJKD.png" TargetMode="External"/><Relationship Id="rId768" Type="http://schemas.openxmlformats.org/officeDocument/2006/relationships/hyperlink" Target="https://storage.googleapis.com/glide-prod.appspot.com/uploads-v2/ly7o78grxPaC6KdgvbpS/pub/3aRdSog0vUtuqPE8AJKD.png" TargetMode="External"/><Relationship Id="rId975" Type="http://schemas.openxmlformats.org/officeDocument/2006/relationships/hyperlink" Target="https://storage.googleapis.com/glide-prod.appspot.com/uploads-v2/ly7o78grxPaC6KdgvbpS/pub/3aRdSog0vUtuqPE8AJKD.png" TargetMode="External"/><Relationship Id="rId1160" Type="http://schemas.openxmlformats.org/officeDocument/2006/relationships/hyperlink" Target="https://storage.googleapis.com/glide-prod.appspot.com/uploads-v2/ly7o78grxPaC6KdgvbpS/pub/3aRdSog0vUtuqPE8AJKD.png" TargetMode="External"/><Relationship Id="rId1398" Type="http://schemas.openxmlformats.org/officeDocument/2006/relationships/hyperlink" Target="https://storage.googleapis.com/glide-prod.appspot.com/uploads-v2/ly7o78grxPaC6KdgvbpS/pub/3aRdSog0vUtuqPE8AJKD.png" TargetMode="External"/><Relationship Id="rId628" Type="http://schemas.openxmlformats.org/officeDocument/2006/relationships/hyperlink" Target="https://storage.googleapis.com/glide-prod.appspot.com/uploads-v2/ly7o78grxPaC6KdgvbpS/pub/3aRdSog0vUtuqPE8AJKD.png" TargetMode="External"/><Relationship Id="rId835" Type="http://schemas.openxmlformats.org/officeDocument/2006/relationships/hyperlink" Target="https://storage.googleapis.com/glide-prod.appspot.com/uploads-v2/ly7o78grxPaC6KdgvbpS/pub/3aRdSog0vUtuqPE8AJKD.png" TargetMode="External"/><Relationship Id="rId1258" Type="http://schemas.openxmlformats.org/officeDocument/2006/relationships/hyperlink" Target="https://storage.googleapis.com/glide-prod.appspot.com/uploads-v2/ly7o78grxPaC6KdgvbpS/pub/3aRdSog0vUtuqPE8AJKD.png" TargetMode="External"/><Relationship Id="rId1465" Type="http://schemas.openxmlformats.org/officeDocument/2006/relationships/hyperlink" Target="https://storage.googleapis.com/glide-prod.appspot.com/uploads-v2/ly7o78grxPaC6KdgvbpS/pub/3aRdSog0vUtuqPE8AJKD.png" TargetMode="External"/><Relationship Id="rId1020" Type="http://schemas.openxmlformats.org/officeDocument/2006/relationships/hyperlink" Target="https://storage.googleapis.com/glide-prod.appspot.com/uploads-v2/ly7o78grxPaC6KdgvbpS/pub/3aRdSog0vUtuqPE8AJKD.png" TargetMode="External"/><Relationship Id="rId1118" Type="http://schemas.openxmlformats.org/officeDocument/2006/relationships/hyperlink" Target="https://storage.googleapis.com/glide-prod.appspot.com/uploads-v2/ly7o78grxPaC6KdgvbpS/pub/3aRdSog0vUtuqPE8AJKD.png" TargetMode="External"/><Relationship Id="rId1325" Type="http://schemas.openxmlformats.org/officeDocument/2006/relationships/hyperlink" Target="https://storage.googleapis.com/glide-prod.appspot.com/uploads-v2/ly7o78grxPaC6KdgvbpS/pub/3aRdSog0vUtuqPE8AJKD.png" TargetMode="External"/><Relationship Id="rId1532" Type="http://schemas.openxmlformats.org/officeDocument/2006/relationships/hyperlink" Target="https://storage.googleapis.com/glide-prod.appspot.com/uploads-v2/ly7o78grxPaC6KdgvbpS/pub/3aRdSog0vUtuqPE8AJKD.png" TargetMode="External"/><Relationship Id="rId902" Type="http://schemas.openxmlformats.org/officeDocument/2006/relationships/hyperlink" Target="https://storage.googleapis.com/glide-prod.appspot.com/uploads-v2/ly7o78grxPaC6KdgvbpS/pub/3aRdSog0vUtuqPE8AJKD.png" TargetMode="External"/><Relationship Id="rId31" Type="http://schemas.openxmlformats.org/officeDocument/2006/relationships/hyperlink" Target="https://storage.googleapis.com/glide-prod.appspot.com/uploads-v2/ly7o78grxPaC6KdgvbpS/pub/3aRdSog0vUtuqPE8AJKD.png" TargetMode="External"/><Relationship Id="rId180" Type="http://schemas.openxmlformats.org/officeDocument/2006/relationships/hyperlink" Target="https://storage.googleapis.com/glide-prod.appspot.com/uploads-v2/ly7o78grxPaC6KdgvbpS/pub/3aRdSog0vUtuqPE8AJKD.png" TargetMode="External"/><Relationship Id="rId278" Type="http://schemas.openxmlformats.org/officeDocument/2006/relationships/hyperlink" Target="https://storage.googleapis.com/glide-prod.appspot.com/uploads-v2/ly7o78grxPaC6KdgvbpS/pub/3aRdSog0vUtuqPE8AJKD.png" TargetMode="External"/><Relationship Id="rId485" Type="http://schemas.openxmlformats.org/officeDocument/2006/relationships/hyperlink" Target="https://storage.googleapis.com/glide-prod.appspot.com/uploads-v2/ly7o78grxPaC6KdgvbpS/pub/3aRdSog0vUtuqPE8AJKD.png" TargetMode="External"/><Relationship Id="rId692" Type="http://schemas.openxmlformats.org/officeDocument/2006/relationships/hyperlink" Target="https://storage.googleapis.com/glide-prod.appspot.com/uploads-v2/ly7o78grxPaC6KdgvbpS/pub/3aRdSog0vUtuqPE8AJKD.png" TargetMode="External"/><Relationship Id="rId138" Type="http://schemas.openxmlformats.org/officeDocument/2006/relationships/hyperlink" Target="https://storage.googleapis.com/glide-prod.appspot.com/uploads-v2/ly7o78grxPaC6KdgvbpS/pub/3aRdSog0vUtuqPE8AJKD.png" TargetMode="External"/><Relationship Id="rId345" Type="http://schemas.openxmlformats.org/officeDocument/2006/relationships/hyperlink" Target="https://storage.googleapis.com/glide-prod.appspot.com/uploads-v2/ly7o78grxPaC6KdgvbpS/pub/3aRdSog0vUtuqPE8AJKD.png" TargetMode="External"/><Relationship Id="rId552" Type="http://schemas.openxmlformats.org/officeDocument/2006/relationships/hyperlink" Target="https://storage.googleapis.com/glide-prod.appspot.com/uploads-v2/ly7o78grxPaC6KdgvbpS/pub/3aRdSog0vUtuqPE8AJKD.png" TargetMode="External"/><Relationship Id="rId997" Type="http://schemas.openxmlformats.org/officeDocument/2006/relationships/hyperlink" Target="https://storage.googleapis.com/glide-prod.appspot.com/uploads-v2/ly7o78grxPaC6KdgvbpS/pub/3aRdSog0vUtuqPE8AJKD.png" TargetMode="External"/><Relationship Id="rId1182" Type="http://schemas.openxmlformats.org/officeDocument/2006/relationships/hyperlink" Target="https://storage.googleapis.com/glide-prod.appspot.com/uploads-v2/ly7o78grxPaC6KdgvbpS/pub/3aRdSog0vUtuqPE8AJKD.png" TargetMode="External"/><Relationship Id="rId205" Type="http://schemas.openxmlformats.org/officeDocument/2006/relationships/hyperlink" Target="https://storage.googleapis.com/glide-prod.appspot.com/uploads-v2/ly7o78grxPaC6KdgvbpS/pub/UliJWgpEaBovaFmXi6OW.png" TargetMode="External"/><Relationship Id="rId412" Type="http://schemas.openxmlformats.org/officeDocument/2006/relationships/hyperlink" Target="https://storage.googleapis.com/glide-prod.appspot.com/uploads-v2/ly7o78grxPaC6KdgvbpS/pub/3aRdSog0vUtuqPE8AJKD.png" TargetMode="External"/><Relationship Id="rId857" Type="http://schemas.openxmlformats.org/officeDocument/2006/relationships/hyperlink" Target="https://storage.googleapis.com/glide-prod.appspot.com/uploads-v2/ly7o78grxPaC6KdgvbpS/pub/3aRdSog0vUtuqPE8AJKD.png" TargetMode="External"/><Relationship Id="rId1042" Type="http://schemas.openxmlformats.org/officeDocument/2006/relationships/hyperlink" Target="https://storage.googleapis.com/glide-prod.appspot.com/uploads-v2/ly7o78grxPaC6KdgvbpS/pub/3aRdSog0vUtuqPE8AJKD.png" TargetMode="External"/><Relationship Id="rId1487" Type="http://schemas.openxmlformats.org/officeDocument/2006/relationships/hyperlink" Target="https://storage.googleapis.com/glide-prod.appspot.com/uploads-v2/ly7o78grxPaC6KdgvbpS/pub/3aRdSog0vUtuqPE8AJKD.png" TargetMode="External"/><Relationship Id="rId717" Type="http://schemas.openxmlformats.org/officeDocument/2006/relationships/hyperlink" Target="https://storage.googleapis.com/glide-prod.appspot.com/uploads-v2/ly7o78grxPaC6KdgvbpS/pub/3aRdSog0vUtuqPE8AJKD.png" TargetMode="External"/><Relationship Id="rId924" Type="http://schemas.openxmlformats.org/officeDocument/2006/relationships/hyperlink" Target="https://storage.googleapis.com/glide-prod.appspot.com/uploads-v2/ly7o78grxPaC6KdgvbpS/pub/3aRdSog0vUtuqPE8AJKD.png" TargetMode="External"/><Relationship Id="rId1347" Type="http://schemas.openxmlformats.org/officeDocument/2006/relationships/hyperlink" Target="https://storage.googleapis.com/glide-prod.appspot.com/uploads-v2/ly7o78grxPaC6KdgvbpS/pub/3aRdSog0vUtuqPE8AJKD.png" TargetMode="External"/><Relationship Id="rId1554" Type="http://schemas.openxmlformats.org/officeDocument/2006/relationships/hyperlink" Target="https://storage.googleapis.com/glide-prod.appspot.com/uploads-v2/ly7o78grxPaC6KdgvbpS/pub/3aRdSog0vUtuqPE8AJKD.png" TargetMode="External"/><Relationship Id="rId53" Type="http://schemas.openxmlformats.org/officeDocument/2006/relationships/hyperlink" Target="https://storage.googleapis.com/glide-prod.appspot.com/uploads-v2/ly7o78grxPaC6KdgvbpS/pub/3aRdSog0vUtuqPE8AJKD.png" TargetMode="External"/><Relationship Id="rId1207" Type="http://schemas.openxmlformats.org/officeDocument/2006/relationships/hyperlink" Target="https://storage.googleapis.com/glide-prod.appspot.com/uploads-v2/ly7o78grxPaC6KdgvbpS/pub/3aRdSog0vUtuqPE8AJKD.png" TargetMode="External"/><Relationship Id="rId1414" Type="http://schemas.openxmlformats.org/officeDocument/2006/relationships/hyperlink" Target="https://storage.googleapis.com/glide-prod.appspot.com/uploads-v2/ly7o78grxPaC6KdgvbpS/pub/3aRdSog0vUtuqPE8AJKD.png" TargetMode="External"/><Relationship Id="rId367" Type="http://schemas.openxmlformats.org/officeDocument/2006/relationships/hyperlink" Target="https://storage.googleapis.com/glide-prod.appspot.com/uploads-v2/ly7o78grxPaC6KdgvbpS/pub/UliJWgpEaBovaFmXi6OW.png" TargetMode="External"/><Relationship Id="rId574" Type="http://schemas.openxmlformats.org/officeDocument/2006/relationships/hyperlink" Target="https://storage.googleapis.com/glide-prod.appspot.com/uploads-v2/ly7o78grxPaC6KdgvbpS/pub/3aRdSog0vUtuqPE8AJKD.png" TargetMode="External"/><Relationship Id="rId227" Type="http://schemas.openxmlformats.org/officeDocument/2006/relationships/hyperlink" Target="https://storage.googleapis.com/glide-prod.appspot.com/uploads-v2/ly7o78grxPaC6KdgvbpS/pub/3aRdSog0vUtuqPE8AJKD.png" TargetMode="External"/><Relationship Id="rId781" Type="http://schemas.openxmlformats.org/officeDocument/2006/relationships/hyperlink" Target="https://storage.googleapis.com/glide-prod.appspot.com/uploads-v2/ly7o78grxPaC6KdgvbpS/pub/3aRdSog0vUtuqPE8AJKD.png" TargetMode="External"/><Relationship Id="rId879" Type="http://schemas.openxmlformats.org/officeDocument/2006/relationships/hyperlink" Target="https://storage.googleapis.com/glide-prod.appspot.com/uploads-v2/ly7o78grxPaC6KdgvbpS/pub/3aRdSog0vUtuqPE8AJKD.png" TargetMode="External"/><Relationship Id="rId434" Type="http://schemas.openxmlformats.org/officeDocument/2006/relationships/hyperlink" Target="https://storage.googleapis.com/glide-prod.appspot.com/uploads-v2/ly7o78grxPaC6KdgvbpS/pub/3aRdSog0vUtuqPE8AJKD.png" TargetMode="External"/><Relationship Id="rId641" Type="http://schemas.openxmlformats.org/officeDocument/2006/relationships/hyperlink" Target="https://storage.googleapis.com/glide-prod.appspot.com/uploads-v2/ly7o78grxPaC6KdgvbpS/pub/3aRdSog0vUtuqPE8AJKD.png" TargetMode="External"/><Relationship Id="rId739" Type="http://schemas.openxmlformats.org/officeDocument/2006/relationships/hyperlink" Target="https://storage.googleapis.com/glide-prod.appspot.com/uploads-v2/ly7o78grxPaC6KdgvbpS/pub/3aRdSog0vUtuqPE8AJKD.png" TargetMode="External"/><Relationship Id="rId1064" Type="http://schemas.openxmlformats.org/officeDocument/2006/relationships/hyperlink" Target="https://storage.googleapis.com/glide-prod.appspot.com/uploads-v2/ly7o78grxPaC6KdgvbpS/pub/3aRdSog0vUtuqPE8AJKD.png" TargetMode="External"/><Relationship Id="rId1271" Type="http://schemas.openxmlformats.org/officeDocument/2006/relationships/hyperlink" Target="https://storage.googleapis.com/glide-prod.appspot.com/uploads-v2/ly7o78grxPaC6KdgvbpS/pub/3aRdSog0vUtuqPE8AJKD.png" TargetMode="External"/><Relationship Id="rId1369" Type="http://schemas.openxmlformats.org/officeDocument/2006/relationships/hyperlink" Target="https://storage.googleapis.com/glide-prod.appspot.com/uploads-v2/ly7o78grxPaC6KdgvbpS/pub/UliJWgpEaBovaFmXi6OW.png" TargetMode="External"/><Relationship Id="rId501" Type="http://schemas.openxmlformats.org/officeDocument/2006/relationships/hyperlink" Target="https://storage.googleapis.com/glide-prod.appspot.com/uploads-v2/ly7o78grxPaC6KdgvbpS/pub/UliJWgpEaBovaFmXi6OW.png" TargetMode="External"/><Relationship Id="rId946" Type="http://schemas.openxmlformats.org/officeDocument/2006/relationships/hyperlink" Target="https://storage.googleapis.com/glide-prod.appspot.com/uploads-v2/ly7o78grxPaC6KdgvbpS/pub/UliJWgpEaBovaFmXi6OW.png" TargetMode="External"/><Relationship Id="rId1131" Type="http://schemas.openxmlformats.org/officeDocument/2006/relationships/hyperlink" Target="https://storage.googleapis.com/glide-prod.appspot.com/uploads-v2/ly7o78grxPaC6KdgvbpS/pub/3aRdSog0vUtuqPE8AJKD.png" TargetMode="External"/><Relationship Id="rId1229" Type="http://schemas.openxmlformats.org/officeDocument/2006/relationships/hyperlink" Target="https://storage.googleapis.com/glide-prod.appspot.com/uploads-v2/ly7o78grxPaC6KdgvbpS/pub/3aRdSog0vUtuqPE8AJKD.png" TargetMode="External"/><Relationship Id="rId75" Type="http://schemas.openxmlformats.org/officeDocument/2006/relationships/hyperlink" Target="https://storage.googleapis.com/glide-prod.appspot.com/uploads-v2/ly7o78grxPaC6KdgvbpS/pub/3aRdSog0vUtuqPE8AJKD.png" TargetMode="External"/><Relationship Id="rId806" Type="http://schemas.openxmlformats.org/officeDocument/2006/relationships/hyperlink" Target="https://storage.googleapis.com/glide-prod.appspot.com/uploads-v2/ly7o78grxPaC6KdgvbpS/pub/3aRdSog0vUtuqPE8AJKD.png" TargetMode="External"/><Relationship Id="rId1436" Type="http://schemas.openxmlformats.org/officeDocument/2006/relationships/hyperlink" Target="https://storage.googleapis.com/glide-prod.appspot.com/uploads-v2/ly7o78grxPaC6KdgvbpS/pub/3aRdSog0vUtuqPE8AJKD.png" TargetMode="External"/><Relationship Id="rId1503" Type="http://schemas.openxmlformats.org/officeDocument/2006/relationships/hyperlink" Target="https://storage.googleapis.com/glide-prod.appspot.com/uploads-v2/ly7o78grxPaC6KdgvbpS/pub/3aRdSog0vUtuqPE8AJKD.png" TargetMode="External"/><Relationship Id="rId291" Type="http://schemas.openxmlformats.org/officeDocument/2006/relationships/hyperlink" Target="https://storage.googleapis.com/glide-prod.appspot.com/uploads-v2/ly7o78grxPaC6KdgvbpS/pub/UliJWgpEaBovaFmXi6OW.png" TargetMode="External"/><Relationship Id="rId151" Type="http://schemas.openxmlformats.org/officeDocument/2006/relationships/hyperlink" Target="https://storage.googleapis.com/glide-prod.appspot.com/uploads-v2/ly7o78grxPaC6KdgvbpS/pub/3aRdSog0vUtuqPE8AJKD.png" TargetMode="External"/><Relationship Id="rId389" Type="http://schemas.openxmlformats.org/officeDocument/2006/relationships/hyperlink" Target="https://storage.googleapis.com/glide-prod.appspot.com/uploads-v2/ly7o78grxPaC6KdgvbpS/pub/3aRdSog0vUtuqPE8AJKD.png" TargetMode="External"/><Relationship Id="rId596" Type="http://schemas.openxmlformats.org/officeDocument/2006/relationships/hyperlink" Target="https://storage.googleapis.com/glide-prod.appspot.com/uploads-v2/ly7o78grxPaC6KdgvbpS/pub/UliJWgpEaBovaFmXi6OW.png" TargetMode="External"/><Relationship Id="rId249" Type="http://schemas.openxmlformats.org/officeDocument/2006/relationships/hyperlink" Target="https://storage.googleapis.com/glide-prod.appspot.com/uploads-v2/ly7o78grxPaC6KdgvbpS/pub/UliJWgpEaBovaFmXi6OW.png" TargetMode="External"/><Relationship Id="rId456" Type="http://schemas.openxmlformats.org/officeDocument/2006/relationships/hyperlink" Target="https://storage.googleapis.com/glide-prod.appspot.com/uploads-v2/ly7o78grxPaC6KdgvbpS/pub/UliJWgpEaBovaFmXi6OW.png" TargetMode="External"/><Relationship Id="rId663" Type="http://schemas.openxmlformats.org/officeDocument/2006/relationships/hyperlink" Target="https://storage.googleapis.com/glide-prod.appspot.com/uploads-v2/ly7o78grxPaC6KdgvbpS/pub/3aRdSog0vUtuqPE8AJKD.png" TargetMode="External"/><Relationship Id="rId870" Type="http://schemas.openxmlformats.org/officeDocument/2006/relationships/hyperlink" Target="https://storage.googleapis.com/glide-prod.appspot.com/uploads-v2/ly7o78grxPaC6KdgvbpS/pub/3aRdSog0vUtuqPE8AJKD.png" TargetMode="External"/><Relationship Id="rId1086" Type="http://schemas.openxmlformats.org/officeDocument/2006/relationships/hyperlink" Target="https://storage.googleapis.com/glide-prod.appspot.com/uploads-v2/ly7o78grxPaC6KdgvbpS/pub/3aRdSog0vUtuqPE8AJKD.png" TargetMode="External"/><Relationship Id="rId1293" Type="http://schemas.openxmlformats.org/officeDocument/2006/relationships/hyperlink" Target="https://storage.googleapis.com/glide-prod.appspot.com/uploads-v2/ly7o78grxPaC6KdgvbpS/pub/3aRdSog0vUtuqPE8AJKD.png" TargetMode="External"/><Relationship Id="rId109" Type="http://schemas.openxmlformats.org/officeDocument/2006/relationships/hyperlink" Target="https://storage.googleapis.com/glide-prod.appspot.com/uploads-v2/ly7o78grxPaC6KdgvbpS/pub/3aRdSog0vUtuqPE8AJKD.png" TargetMode="External"/><Relationship Id="rId316" Type="http://schemas.openxmlformats.org/officeDocument/2006/relationships/hyperlink" Target="https://storage.googleapis.com/glide-prod.appspot.com/uploads-v2/ly7o78grxPaC6KdgvbpS/pub/3aRdSog0vUtuqPE8AJKD.png" TargetMode="External"/><Relationship Id="rId523" Type="http://schemas.openxmlformats.org/officeDocument/2006/relationships/hyperlink" Target="https://storage.googleapis.com/glide-prod.appspot.com/uploads-v2/ly7o78grxPaC6KdgvbpS/pub/3aRdSog0vUtuqPE8AJKD.png" TargetMode="External"/><Relationship Id="rId968" Type="http://schemas.openxmlformats.org/officeDocument/2006/relationships/hyperlink" Target="https://storage.googleapis.com/glide-prod.appspot.com/uploads-v2/ly7o78grxPaC6KdgvbpS/pub/3aRdSog0vUtuqPE8AJKD.png" TargetMode="External"/><Relationship Id="rId1153" Type="http://schemas.openxmlformats.org/officeDocument/2006/relationships/hyperlink" Target="https://storage.googleapis.com/glide-prod.appspot.com/uploads-v2/ly7o78grxPaC6KdgvbpS/pub/3aRdSog0vUtuqPE8AJKD.png" TargetMode="External"/><Relationship Id="rId97" Type="http://schemas.openxmlformats.org/officeDocument/2006/relationships/hyperlink" Target="https://storage.googleapis.com/glide-prod.appspot.com/uploads-v2/ly7o78grxPaC6KdgvbpS/pub/3aRdSog0vUtuqPE8AJKD.png" TargetMode="External"/><Relationship Id="rId730" Type="http://schemas.openxmlformats.org/officeDocument/2006/relationships/hyperlink" Target="https://storage.googleapis.com/glide-prod.appspot.com/uploads-v2/ly7o78grxPaC6KdgvbpS/pub/3aRdSog0vUtuqPE8AJKD.png" TargetMode="External"/><Relationship Id="rId828" Type="http://schemas.openxmlformats.org/officeDocument/2006/relationships/hyperlink" Target="https://storage.googleapis.com/glide-prod.appspot.com/uploads-v2/ly7o78grxPaC6KdgvbpS/pub/3aRdSog0vUtuqPE8AJKD.png" TargetMode="External"/><Relationship Id="rId1013" Type="http://schemas.openxmlformats.org/officeDocument/2006/relationships/hyperlink" Target="https://storage.googleapis.com/glide-prod.appspot.com/uploads-v2/ly7o78grxPaC6KdgvbpS/pub/3aRdSog0vUtuqPE8AJKD.png" TargetMode="External"/><Relationship Id="rId1360" Type="http://schemas.openxmlformats.org/officeDocument/2006/relationships/hyperlink" Target="https://storage.googleapis.com/glide-prod.appspot.com/uploads-v2/ly7o78grxPaC6KdgvbpS/pub/UliJWgpEaBovaFmXi6OW.png" TargetMode="External"/><Relationship Id="rId1458" Type="http://schemas.openxmlformats.org/officeDocument/2006/relationships/hyperlink" Target="https://storage.googleapis.com/glide-prod.appspot.com/uploads-v2/ly7o78grxPaC6KdgvbpS/pub/3aRdSog0vUtuqPE8AJKD.png" TargetMode="External"/><Relationship Id="rId1220" Type="http://schemas.openxmlformats.org/officeDocument/2006/relationships/hyperlink" Target="https://storage.googleapis.com/glide-prod.appspot.com/uploads-v2/ly7o78grxPaC6KdgvbpS/pub/3aRdSog0vUtuqPE8AJKD.png" TargetMode="External"/><Relationship Id="rId1318" Type="http://schemas.openxmlformats.org/officeDocument/2006/relationships/hyperlink" Target="https://storage.googleapis.com/glide-prod.appspot.com/uploads-v2/ly7o78grxPaC6KdgvbpS/pub/3aRdSog0vUtuqPE8AJKD.png" TargetMode="External"/><Relationship Id="rId1525" Type="http://schemas.openxmlformats.org/officeDocument/2006/relationships/hyperlink" Target="https://storage.googleapis.com/glide-prod.appspot.com/uploads-v2/ly7o78grxPaC6KdgvbpS/pub/3aRdSog0vUtuqPE8AJKD.png" TargetMode="External"/><Relationship Id="rId24" Type="http://schemas.openxmlformats.org/officeDocument/2006/relationships/hyperlink" Target="https://storage.googleapis.com/glide-prod.appspot.com/uploads-v2/ly7o78grxPaC6KdgvbpS/pub/3aRdSog0vUtuqPE8AJKD.png" TargetMode="External"/><Relationship Id="rId173" Type="http://schemas.openxmlformats.org/officeDocument/2006/relationships/hyperlink" Target="https://storage.googleapis.com/glide-prod.appspot.com/uploads-v2/ly7o78grxPaC6KdgvbpS/pub/3aRdSog0vUtuqPE8AJKD.png" TargetMode="External"/><Relationship Id="rId380" Type="http://schemas.openxmlformats.org/officeDocument/2006/relationships/hyperlink" Target="https://storage.googleapis.com/glide-prod.appspot.com/uploads-v2/ly7o78grxPaC6KdgvbpS/pub/3aRdSog0vUtuqPE8AJKD.png" TargetMode="External"/><Relationship Id="rId240" Type="http://schemas.openxmlformats.org/officeDocument/2006/relationships/hyperlink" Target="https://storage.googleapis.com/glide-prod.appspot.com/uploads-v2/ly7o78grxPaC6KdgvbpS/pub/3aRdSog0vUtuqPE8AJKD.png" TargetMode="External"/><Relationship Id="rId478" Type="http://schemas.openxmlformats.org/officeDocument/2006/relationships/hyperlink" Target="https://storage.googleapis.com/glide-prod.appspot.com/uploads-v2/ly7o78grxPaC6KdgvbpS/pub/UliJWgpEaBovaFmXi6OW.png" TargetMode="External"/><Relationship Id="rId685" Type="http://schemas.openxmlformats.org/officeDocument/2006/relationships/hyperlink" Target="https://storage.googleapis.com/glide-prod.appspot.com/uploads-v2/ly7o78grxPaC6KdgvbpS/pub/3aRdSog0vUtuqPE8AJKD.png" TargetMode="External"/><Relationship Id="rId892" Type="http://schemas.openxmlformats.org/officeDocument/2006/relationships/hyperlink" Target="https://storage.googleapis.com/glide-prod.appspot.com/uploads-v2/ly7o78grxPaC6KdgvbpS/pub/3aRdSog0vUtuqPE8AJKD.png" TargetMode="External"/><Relationship Id="rId100" Type="http://schemas.openxmlformats.org/officeDocument/2006/relationships/hyperlink" Target="https://storage.googleapis.com/glide-prod.appspot.com/uploads-v2/ly7o78grxPaC6KdgvbpS/pub/3aRdSog0vUtuqPE8AJKD.png" TargetMode="External"/><Relationship Id="rId338" Type="http://schemas.openxmlformats.org/officeDocument/2006/relationships/hyperlink" Target="https://storage.googleapis.com/glide-prod.appspot.com/uploads-v2/ly7o78grxPaC6KdgvbpS/pub/3aRdSog0vUtuqPE8AJKD.png" TargetMode="External"/><Relationship Id="rId545" Type="http://schemas.openxmlformats.org/officeDocument/2006/relationships/hyperlink" Target="https://storage.googleapis.com/glide-prod.appspot.com/uploads-v2/ly7o78grxPaC6KdgvbpS/pub/3aRdSog0vUtuqPE8AJKD.png" TargetMode="External"/><Relationship Id="rId752" Type="http://schemas.openxmlformats.org/officeDocument/2006/relationships/hyperlink" Target="https://storage.googleapis.com/glide-prod.appspot.com/uploads-v2/ly7o78grxPaC6KdgvbpS/pub/3aRdSog0vUtuqPE8AJKD.png" TargetMode="External"/><Relationship Id="rId1175" Type="http://schemas.openxmlformats.org/officeDocument/2006/relationships/hyperlink" Target="https://storage.googleapis.com/glide-prod.appspot.com/uploads-v2/ly7o78grxPaC6KdgvbpS/pub/3aRdSog0vUtuqPE8AJKD.png" TargetMode="External"/><Relationship Id="rId1382" Type="http://schemas.openxmlformats.org/officeDocument/2006/relationships/hyperlink" Target="https://storage.googleapis.com/glide-prod.appspot.com/uploads-v2/ly7o78grxPaC6KdgvbpS/pub/3aRdSog0vUtuqPE8AJKD.png" TargetMode="External"/><Relationship Id="rId405" Type="http://schemas.openxmlformats.org/officeDocument/2006/relationships/hyperlink" Target="https://storage.googleapis.com/glide-prod.appspot.com/uploads-v2/ly7o78grxPaC6KdgvbpS/pub/3aRdSog0vUtuqPE8AJKD.png" TargetMode="External"/><Relationship Id="rId612" Type="http://schemas.openxmlformats.org/officeDocument/2006/relationships/hyperlink" Target="https://storage.googleapis.com/glide-prod.appspot.com/uploads-v2/ly7o78grxPaC6KdgvbpS/pub/3aRdSog0vUtuqPE8AJKD.png" TargetMode="External"/><Relationship Id="rId1035" Type="http://schemas.openxmlformats.org/officeDocument/2006/relationships/hyperlink" Target="https://storage.googleapis.com/glide-prod.appspot.com/uploads-v2/ly7o78grxPaC6KdgvbpS/pub/3aRdSog0vUtuqPE8AJKD.png" TargetMode="External"/><Relationship Id="rId1242" Type="http://schemas.openxmlformats.org/officeDocument/2006/relationships/hyperlink" Target="https://storage.googleapis.com/glide-prod.appspot.com/uploads-v2/ly7o78grxPaC6KdgvbpS/pub/UliJWgpEaBovaFmXi6OW.png" TargetMode="External"/><Relationship Id="rId917" Type="http://schemas.openxmlformats.org/officeDocument/2006/relationships/hyperlink" Target="https://storage.googleapis.com/glide-prod.appspot.com/uploads-v2/ly7o78grxPaC6KdgvbpS/pub/3aRdSog0vUtuqPE8AJKD.png" TargetMode="External"/><Relationship Id="rId1102" Type="http://schemas.openxmlformats.org/officeDocument/2006/relationships/hyperlink" Target="https://storage.googleapis.com/glide-prod.appspot.com/uploads-v2/ly7o78grxPaC6KdgvbpS/pub/3aRdSog0vUtuqPE8AJKD.png" TargetMode="External"/><Relationship Id="rId1547" Type="http://schemas.openxmlformats.org/officeDocument/2006/relationships/hyperlink" Target="https://storage.googleapis.com/glide-prod.appspot.com/uploads-v2/ly7o78grxPaC6KdgvbpS/pub/UliJWgpEaBovaFmXi6OW.png" TargetMode="External"/><Relationship Id="rId46" Type="http://schemas.openxmlformats.org/officeDocument/2006/relationships/hyperlink" Target="https://storage.googleapis.com/glide-prod.appspot.com/uploads-v2/ly7o78grxPaC6KdgvbpS/pub/3aRdSog0vUtuqPE8AJKD.png" TargetMode="External"/><Relationship Id="rId1407" Type="http://schemas.openxmlformats.org/officeDocument/2006/relationships/hyperlink" Target="https://storage.googleapis.com/glide-prod.appspot.com/uploads-v2/ly7o78grxPaC6KdgvbpS/pub/3aRdSog0vUtuqPE8AJKD.png" TargetMode="External"/><Relationship Id="rId195" Type="http://schemas.openxmlformats.org/officeDocument/2006/relationships/hyperlink" Target="https://storage.googleapis.com/glide-prod.appspot.com/uploads-v2/ly7o78grxPaC6KdgvbpS/pub/3aRdSog0vUtuqPE8AJKD.png" TargetMode="External"/><Relationship Id="rId262" Type="http://schemas.openxmlformats.org/officeDocument/2006/relationships/hyperlink" Target="https://storage.googleapis.com/glide-prod.appspot.com/uploads-v2/ly7o78grxPaC6KdgvbpS/pub/3aRdSog0vUtuqPE8AJKD.png" TargetMode="External"/><Relationship Id="rId567" Type="http://schemas.openxmlformats.org/officeDocument/2006/relationships/hyperlink" Target="https://storage.googleapis.com/glide-prod.appspot.com/uploads-v2/ly7o78grxPaC6KdgvbpS/pub/3aRdSog0vUtuqPE8AJKD.png" TargetMode="External"/><Relationship Id="rId1197" Type="http://schemas.openxmlformats.org/officeDocument/2006/relationships/hyperlink" Target="https://storage.googleapis.com/glide-prod.appspot.com/uploads-v2/ly7o78grxPaC6KdgvbpS/pub/3aRdSog0vUtuqPE8AJKD.png" TargetMode="External"/><Relationship Id="rId122" Type="http://schemas.openxmlformats.org/officeDocument/2006/relationships/hyperlink" Target="https://storage.googleapis.com/glide-prod.appspot.com/uploads-v2/ly7o78grxPaC6KdgvbpS/pub/3aRdSog0vUtuqPE8AJKD.png" TargetMode="External"/><Relationship Id="rId774" Type="http://schemas.openxmlformats.org/officeDocument/2006/relationships/hyperlink" Target="https://storage.googleapis.com/glide-prod.appspot.com/uploads-v2/ly7o78grxPaC6KdgvbpS/pub/3aRdSog0vUtuqPE8AJKD.png" TargetMode="External"/><Relationship Id="rId981" Type="http://schemas.openxmlformats.org/officeDocument/2006/relationships/hyperlink" Target="https://storage.googleapis.com/glide-prod.appspot.com/uploads-v2/ly7o78grxPaC6KdgvbpS/pub/3aRdSog0vUtuqPE8AJKD.png" TargetMode="External"/><Relationship Id="rId1057" Type="http://schemas.openxmlformats.org/officeDocument/2006/relationships/hyperlink" Target="https://storage.googleapis.com/glide-prod.appspot.com/uploads-v2/ly7o78grxPaC6KdgvbpS/pub/3aRdSog0vUtuqPE8AJKD.png" TargetMode="External"/><Relationship Id="rId427" Type="http://schemas.openxmlformats.org/officeDocument/2006/relationships/hyperlink" Target="https://storage.googleapis.com/glide-prod.appspot.com/uploads-v2/ly7o78grxPaC6KdgvbpS/pub/3aRdSog0vUtuqPE8AJKD.png" TargetMode="External"/><Relationship Id="rId634" Type="http://schemas.openxmlformats.org/officeDocument/2006/relationships/hyperlink" Target="https://storage.googleapis.com/glide-prod.appspot.com/uploads-v2/ly7o78grxPaC6KdgvbpS/pub/3aRdSog0vUtuqPE8AJKD.png" TargetMode="External"/><Relationship Id="rId841" Type="http://schemas.openxmlformats.org/officeDocument/2006/relationships/hyperlink" Target="https://storage.googleapis.com/glide-prod.appspot.com/uploads-v2/ly7o78grxPaC6KdgvbpS/pub/3aRdSog0vUtuqPE8AJKD.png" TargetMode="External"/><Relationship Id="rId1264" Type="http://schemas.openxmlformats.org/officeDocument/2006/relationships/hyperlink" Target="https://storage.googleapis.com/glide-prod.appspot.com/uploads-v2/ly7o78grxPaC6KdgvbpS/pub/3aRdSog0vUtuqPE8AJKD.png" TargetMode="External"/><Relationship Id="rId1471" Type="http://schemas.openxmlformats.org/officeDocument/2006/relationships/hyperlink" Target="https://storage.googleapis.com/glide-prod.appspot.com/uploads-v2/ly7o78grxPaC6KdgvbpS/pub/3aRdSog0vUtuqPE8AJKD.png" TargetMode="External"/><Relationship Id="rId701" Type="http://schemas.openxmlformats.org/officeDocument/2006/relationships/hyperlink" Target="https://storage.googleapis.com/glide-prod.appspot.com/uploads-v2/ly7o78grxPaC6KdgvbpS/pub/3aRdSog0vUtuqPE8AJKD.png" TargetMode="External"/><Relationship Id="rId939" Type="http://schemas.openxmlformats.org/officeDocument/2006/relationships/hyperlink" Target="https://storage.googleapis.com/glide-prod.appspot.com/uploads-v2/ly7o78grxPaC6KdgvbpS/pub/UliJWgpEaBovaFmXi6OW.png" TargetMode="External"/><Relationship Id="rId1124" Type="http://schemas.openxmlformats.org/officeDocument/2006/relationships/hyperlink" Target="https://storage.googleapis.com/glide-prod.appspot.com/uploads-v2/ly7o78grxPaC6KdgvbpS/pub/3aRdSog0vUtuqPE8AJKD.png" TargetMode="External"/><Relationship Id="rId1331" Type="http://schemas.openxmlformats.org/officeDocument/2006/relationships/hyperlink" Target="https://storage.googleapis.com/glide-prod.appspot.com/uploads-v2/ly7o78grxPaC6KdgvbpS/pub/3aRdSog0vUtuqPE8AJKD.png" TargetMode="External"/><Relationship Id="rId68" Type="http://schemas.openxmlformats.org/officeDocument/2006/relationships/hyperlink" Target="https://storage.googleapis.com/glide-prod.appspot.com/uploads-v2/ly7o78grxPaC6KdgvbpS/pub/3aRdSog0vUtuqPE8AJKD.png" TargetMode="External"/><Relationship Id="rId1429" Type="http://schemas.openxmlformats.org/officeDocument/2006/relationships/hyperlink" Target="https://storage.googleapis.com/glide-prod.appspot.com/uploads-v2/ly7o78grxPaC6KdgvbpS/pub/3aRdSog0vUtuqPE8AJKD.png" TargetMode="External"/><Relationship Id="rId284" Type="http://schemas.openxmlformats.org/officeDocument/2006/relationships/hyperlink" Target="https://storage.googleapis.com/glide-prod.appspot.com/uploads-v2/ly7o78grxPaC6KdgvbpS/pub/3aRdSog0vUtuqPE8AJKD.png" TargetMode="External"/><Relationship Id="rId491" Type="http://schemas.openxmlformats.org/officeDocument/2006/relationships/hyperlink" Target="https://storage.googleapis.com/glide-prod.appspot.com/uploads-v2/ly7o78grxPaC6KdgvbpS/pub/UliJWgpEaBovaFmXi6OW.png" TargetMode="External"/><Relationship Id="rId144" Type="http://schemas.openxmlformats.org/officeDocument/2006/relationships/hyperlink" Target="https://storage.googleapis.com/glide-prod.appspot.com/uploads-v2/ly7o78grxPaC6KdgvbpS/pub/3aRdSog0vUtuqPE8AJKD.png" TargetMode="External"/><Relationship Id="rId589" Type="http://schemas.openxmlformats.org/officeDocument/2006/relationships/hyperlink" Target="https://storage.googleapis.com/glide-prod.appspot.com/uploads-v2/ly7o78grxPaC6KdgvbpS/pub/UliJWgpEaBovaFmXi6OW.png" TargetMode="External"/><Relationship Id="rId796" Type="http://schemas.openxmlformats.org/officeDocument/2006/relationships/hyperlink" Target="https://storage.googleapis.com/glide-prod.appspot.com/uploads-v2/ly7o78grxPaC6KdgvbpS/pub/3aRdSog0vUtuqPE8AJKD.png" TargetMode="External"/><Relationship Id="rId351" Type="http://schemas.openxmlformats.org/officeDocument/2006/relationships/hyperlink" Target="https://storage.googleapis.com/glide-prod.appspot.com/uploads-v2/ly7o78grxPaC6KdgvbpS/pub/3aRdSog0vUtuqPE8AJKD.png" TargetMode="External"/><Relationship Id="rId449" Type="http://schemas.openxmlformats.org/officeDocument/2006/relationships/hyperlink" Target="https://storage.googleapis.com/glide-prod.appspot.com/uploads-v2/ly7o78grxPaC6KdgvbpS/pub/UliJWgpEaBovaFmXi6OW.png" TargetMode="External"/><Relationship Id="rId656" Type="http://schemas.openxmlformats.org/officeDocument/2006/relationships/hyperlink" Target="https://storage.googleapis.com/glide-prod.appspot.com/uploads-v2/ly7o78grxPaC6KdgvbpS/pub/3aRdSog0vUtuqPE8AJKD.png" TargetMode="External"/><Relationship Id="rId863" Type="http://schemas.openxmlformats.org/officeDocument/2006/relationships/hyperlink" Target="https://storage.googleapis.com/glide-prod.appspot.com/uploads-v2/ly7o78grxPaC6KdgvbpS/pub/3aRdSog0vUtuqPE8AJKD.png" TargetMode="External"/><Relationship Id="rId1079" Type="http://schemas.openxmlformats.org/officeDocument/2006/relationships/hyperlink" Target="https://storage.googleapis.com/glide-prod.appspot.com/uploads-v2/ly7o78grxPaC6KdgvbpS/pub/3aRdSog0vUtuqPE8AJKD.png" TargetMode="External"/><Relationship Id="rId1286" Type="http://schemas.openxmlformats.org/officeDocument/2006/relationships/hyperlink" Target="https://storage.googleapis.com/glide-prod.appspot.com/uploads-v2/ly7o78grxPaC6KdgvbpS/pub/3aRdSog0vUtuqPE8AJKD.png" TargetMode="External"/><Relationship Id="rId1493" Type="http://schemas.openxmlformats.org/officeDocument/2006/relationships/hyperlink" Target="https://storage.googleapis.com/glide-prod.appspot.com/uploads-v2/ly7o78grxPaC6KdgvbpS/pub/3aRdSog0vUtuqPE8AJKD.png" TargetMode="External"/><Relationship Id="rId211" Type="http://schemas.openxmlformats.org/officeDocument/2006/relationships/hyperlink" Target="https://storage.googleapis.com/glide-prod.appspot.com/uploads-v2/ly7o78grxPaC6KdgvbpS/pub/UliJWgpEaBovaFmXi6OW.png" TargetMode="External"/><Relationship Id="rId309" Type="http://schemas.openxmlformats.org/officeDocument/2006/relationships/hyperlink" Target="https://storage.googleapis.com/glide-prod.appspot.com/uploads-v2/ly7o78grxPaC6KdgvbpS/pub/3aRdSog0vUtuqPE8AJKD.png" TargetMode="External"/><Relationship Id="rId516" Type="http://schemas.openxmlformats.org/officeDocument/2006/relationships/hyperlink" Target="https://storage.googleapis.com/glide-prod.appspot.com/uploads-v2/ly7o78grxPaC6KdgvbpS/pub/3aRdSog0vUtuqPE8AJKD.png" TargetMode="External"/><Relationship Id="rId1146" Type="http://schemas.openxmlformats.org/officeDocument/2006/relationships/hyperlink" Target="https://storage.googleapis.com/glide-prod.appspot.com/uploads-v2/ly7o78grxPaC6KdgvbpS/pub/3aRdSog0vUtuqPE8AJKD.png" TargetMode="External"/><Relationship Id="rId723" Type="http://schemas.openxmlformats.org/officeDocument/2006/relationships/hyperlink" Target="https://storage.googleapis.com/glide-prod.appspot.com/uploads-v2/ly7o78grxPaC6KdgvbpS/pub/3aRdSog0vUtuqPE8AJKD.png" TargetMode="External"/><Relationship Id="rId930" Type="http://schemas.openxmlformats.org/officeDocument/2006/relationships/hyperlink" Target="https://storage.googleapis.com/glide-prod.appspot.com/uploads-v2/ly7o78grxPaC6KdgvbpS/pub/3aRdSog0vUtuqPE8AJKD.png" TargetMode="External"/><Relationship Id="rId1006" Type="http://schemas.openxmlformats.org/officeDocument/2006/relationships/hyperlink" Target="https://storage.googleapis.com/glide-prod.appspot.com/uploads-v2/ly7o78grxPaC6KdgvbpS/pub/3aRdSog0vUtuqPE8AJKD.png" TargetMode="External"/><Relationship Id="rId1353" Type="http://schemas.openxmlformats.org/officeDocument/2006/relationships/hyperlink" Target="https://storage.googleapis.com/glide-prod.appspot.com/uploads-v2/ly7o78grxPaC6KdgvbpS/pub/UliJWgpEaBovaFmXi6OW.png" TargetMode="External"/><Relationship Id="rId1560" Type="http://schemas.openxmlformats.org/officeDocument/2006/relationships/hyperlink" Target="https://storage.googleapis.com/glide-prod.appspot.com/uploads-v2/ly7o78grxPaC6KdgvbpS/pub/3aRdSog0vUtuqPE8AJKD.png" TargetMode="External"/><Relationship Id="rId1213" Type="http://schemas.openxmlformats.org/officeDocument/2006/relationships/hyperlink" Target="https://storage.googleapis.com/glide-prod.appspot.com/uploads-v2/ly7o78grxPaC6KdgvbpS/pub/3aRdSog0vUtuqPE8AJKD.png" TargetMode="External"/><Relationship Id="rId1420" Type="http://schemas.openxmlformats.org/officeDocument/2006/relationships/hyperlink" Target="https://storage.googleapis.com/glide-prod.appspot.com/uploads-v2/ly7o78grxPaC6KdgvbpS/pub/3aRdSog0vUtuqPE8AJKD.png" TargetMode="External"/><Relationship Id="rId1518" Type="http://schemas.openxmlformats.org/officeDocument/2006/relationships/hyperlink" Target="https://storage.googleapis.com/glide-prod.appspot.com/uploads-v2/ly7o78grxPaC6KdgvbpS/pub/yvtCGRAPIbS0tVLIlehH.png" TargetMode="External"/><Relationship Id="rId17" Type="http://schemas.openxmlformats.org/officeDocument/2006/relationships/hyperlink" Target="https://storage.googleapis.com/glide-prod.appspot.com/uploads-v2/ly7o78grxPaC6KdgvbpS/pub/3aRdSog0vUtuqPE8AJKD.png" TargetMode="External"/><Relationship Id="rId166" Type="http://schemas.openxmlformats.org/officeDocument/2006/relationships/hyperlink" Target="https://storage.googleapis.com/glide-prod.appspot.com/uploads-v2/ly7o78grxPaC6KdgvbpS/pub/3aRdSog0vUtuqPE8AJKD.png" TargetMode="External"/><Relationship Id="rId373" Type="http://schemas.openxmlformats.org/officeDocument/2006/relationships/hyperlink" Target="https://storage.googleapis.com/glide-prod.appspot.com/uploads-v2/ly7o78grxPaC6KdgvbpS/pub/3aRdSog0vUtuqPE8AJKD.png" TargetMode="External"/><Relationship Id="rId580" Type="http://schemas.openxmlformats.org/officeDocument/2006/relationships/hyperlink" Target="https://storage.googleapis.com/glide-prod.appspot.com/uploads-v2/ly7o78grxPaC6KdgvbpS/pub/3aRdSog0vUtuqPE8AJKD.png" TargetMode="External"/><Relationship Id="rId1" Type="http://schemas.openxmlformats.org/officeDocument/2006/relationships/hyperlink" Target="https://storage.googleapis.com/glide-prod.appspot.com/uploads-v2/ly7o78grxPaC6KdgvbpS/pub/3aRdSog0vUtuqPE8AJKD.png" TargetMode="External"/><Relationship Id="rId233" Type="http://schemas.openxmlformats.org/officeDocument/2006/relationships/hyperlink" Target="https://storage.googleapis.com/glide-prod.appspot.com/uploads-v2/ly7o78grxPaC6KdgvbpS/pub/3aRdSog0vUtuqPE8AJKD.png" TargetMode="External"/><Relationship Id="rId440" Type="http://schemas.openxmlformats.org/officeDocument/2006/relationships/hyperlink" Target="https://storage.googleapis.com/glide-prod.appspot.com/uploads-v2/ly7o78grxPaC6KdgvbpS/pub/3aRdSog0vUtuqPE8AJKD.png" TargetMode="External"/><Relationship Id="rId678" Type="http://schemas.openxmlformats.org/officeDocument/2006/relationships/hyperlink" Target="https://storage.googleapis.com/glide-prod.appspot.com/uploads-v2/ly7o78grxPaC6KdgvbpS/pub/3aRdSog0vUtuqPE8AJKD.png" TargetMode="External"/><Relationship Id="rId885" Type="http://schemas.openxmlformats.org/officeDocument/2006/relationships/hyperlink" Target="https://storage.googleapis.com/glide-prod.appspot.com/uploads-v2/ly7o78grxPaC6KdgvbpS/pub/3aRdSog0vUtuqPE8AJKD.png" TargetMode="External"/><Relationship Id="rId1070" Type="http://schemas.openxmlformats.org/officeDocument/2006/relationships/hyperlink" Target="https://storage.googleapis.com/glide-prod.appspot.com/uploads-v2/ly7o78grxPaC6KdgvbpS/pub/3aRdSog0vUtuqPE8AJKD.png" TargetMode="External"/><Relationship Id="rId300" Type="http://schemas.openxmlformats.org/officeDocument/2006/relationships/hyperlink" Target="https://storage.googleapis.com/glide-prod.appspot.com/uploads-v2/ly7o78grxPaC6KdgvbpS/pub/UliJWgpEaBovaFmXi6OW.png" TargetMode="External"/><Relationship Id="rId538" Type="http://schemas.openxmlformats.org/officeDocument/2006/relationships/hyperlink" Target="https://storage.googleapis.com/glide-prod.appspot.com/uploads-v2/ly7o78grxPaC6KdgvbpS/pub/3aRdSog0vUtuqPE8AJKD.png" TargetMode="External"/><Relationship Id="rId745" Type="http://schemas.openxmlformats.org/officeDocument/2006/relationships/hyperlink" Target="https://storage.googleapis.com/glide-prod.appspot.com/uploads-v2/ly7o78grxPaC6KdgvbpS/pub/3aRdSog0vUtuqPE8AJKD.png" TargetMode="External"/><Relationship Id="rId952" Type="http://schemas.openxmlformats.org/officeDocument/2006/relationships/hyperlink" Target="https://storage.googleapis.com/glide-prod.appspot.com/uploads-v2/ly7o78grxPaC6KdgvbpS/pub/UliJWgpEaBovaFmXi6OW.png" TargetMode="External"/><Relationship Id="rId1168" Type="http://schemas.openxmlformats.org/officeDocument/2006/relationships/hyperlink" Target="https://storage.googleapis.com/glide-prod.appspot.com/uploads-v2/ly7o78grxPaC6KdgvbpS/pub/3aRdSog0vUtuqPE8AJKD.png" TargetMode="External"/><Relationship Id="rId1375" Type="http://schemas.openxmlformats.org/officeDocument/2006/relationships/hyperlink" Target="https://storage.googleapis.com/glide-prod.appspot.com/uploads-v2/ly7o78grxPaC6KdgvbpS/pub/UxnHYRNlUFUsFjKVcxBV.jpg" TargetMode="External"/><Relationship Id="rId81" Type="http://schemas.openxmlformats.org/officeDocument/2006/relationships/hyperlink" Target="https://storage.googleapis.com/glide-prod.appspot.com/uploads-v2/ly7o78grxPaC6KdgvbpS/pub/3aRdSog0vUtuqPE8AJKD.png" TargetMode="External"/><Relationship Id="rId605" Type="http://schemas.openxmlformats.org/officeDocument/2006/relationships/hyperlink" Target="https://storage.googleapis.com/glide-prod.appspot.com/uploads-v2/ly7o78grxPaC6KdgvbpS/pub/3aRdSog0vUtuqPE8AJKD.png" TargetMode="External"/><Relationship Id="rId812" Type="http://schemas.openxmlformats.org/officeDocument/2006/relationships/hyperlink" Target="https://storage.googleapis.com/glide-prod.appspot.com/uploads-v2/ly7o78grxPaC6KdgvbpS/pub/3aRdSog0vUtuqPE8AJKD.png" TargetMode="External"/><Relationship Id="rId1028" Type="http://schemas.openxmlformats.org/officeDocument/2006/relationships/hyperlink" Target="https://storage.googleapis.com/glide-prod.appspot.com/uploads-v2/ly7o78grxPaC6KdgvbpS/pub/3aRdSog0vUtuqPE8AJKD.png" TargetMode="External"/><Relationship Id="rId1235" Type="http://schemas.openxmlformats.org/officeDocument/2006/relationships/hyperlink" Target="https://storage.googleapis.com/glide-prod.appspot.com/uploads-v2/ly7o78grxPaC6KdgvbpS/pub/3aRdSog0vUtuqPE8AJKD.png" TargetMode="External"/><Relationship Id="rId1442" Type="http://schemas.openxmlformats.org/officeDocument/2006/relationships/hyperlink" Target="https://storage.googleapis.com/glide-prod.appspot.com/uploads-v2/ly7o78grxPaC6KdgvbpS/pub/3aRdSog0vUtuqPE8AJKD.png" TargetMode="External"/><Relationship Id="rId1302" Type="http://schemas.openxmlformats.org/officeDocument/2006/relationships/hyperlink" Target="https://storage.googleapis.com/glide-prod.appspot.com/uploads-v2/ly7o78grxPaC6KdgvbpS/pub/3aRdSog0vUtuqPE8AJKD.png" TargetMode="External"/><Relationship Id="rId39" Type="http://schemas.openxmlformats.org/officeDocument/2006/relationships/hyperlink" Target="https://storage.googleapis.com/glide-prod.appspot.com/uploads-v2/ly7o78grxPaC6KdgvbpS/pub/fPhKiK7lcvDeIXMt9vSa.jpg" TargetMode="External"/><Relationship Id="rId188" Type="http://schemas.openxmlformats.org/officeDocument/2006/relationships/hyperlink" Target="https://storage.googleapis.com/glide-prod.appspot.com/uploads-v2/ly7o78grxPaC6KdgvbpS/pub/3aRdSog0vUtuqPE8AJKD.png" TargetMode="External"/><Relationship Id="rId395" Type="http://schemas.openxmlformats.org/officeDocument/2006/relationships/hyperlink" Target="https://storage.googleapis.com/glide-prod.appspot.com/uploads-v2/ly7o78grxPaC6KdgvbpS/pub/3aRdSog0vUtuqPE8AJKD.png" TargetMode="External"/><Relationship Id="rId255" Type="http://schemas.openxmlformats.org/officeDocument/2006/relationships/hyperlink" Target="https://storage.googleapis.com/glide-prod.appspot.com/uploads-v2/ly7o78grxPaC6KdgvbpS/pub/UliJWgpEaBovaFmXi6OW.png" TargetMode="External"/><Relationship Id="rId462" Type="http://schemas.openxmlformats.org/officeDocument/2006/relationships/hyperlink" Target="https://storage.googleapis.com/glide-prod.appspot.com/uploads-v2/ly7o78grxPaC6KdgvbpS/pub/UliJWgpEaBovaFmXi6OW.png" TargetMode="External"/><Relationship Id="rId1092" Type="http://schemas.openxmlformats.org/officeDocument/2006/relationships/hyperlink" Target="https://storage.googleapis.com/glide-prod.appspot.com/uploads-v2/ly7o78grxPaC6KdgvbpS/pub/UliJWgpEaBovaFmXi6OW.png" TargetMode="External"/><Relationship Id="rId1397" Type="http://schemas.openxmlformats.org/officeDocument/2006/relationships/hyperlink" Target="https://storage.googleapis.com/glide-prod.appspot.com/uploads-v2/ly7o78grxPaC6KdgvbpS/pub/3aRdSog0vUtuqPE8AJKD.png" TargetMode="External"/><Relationship Id="rId115" Type="http://schemas.openxmlformats.org/officeDocument/2006/relationships/hyperlink" Target="https://storage.googleapis.com/glide-prod.appspot.com/uploads-v2/ly7o78grxPaC6KdgvbpS/pub/3aRdSog0vUtuqPE8AJKD.png" TargetMode="External"/><Relationship Id="rId322" Type="http://schemas.openxmlformats.org/officeDocument/2006/relationships/hyperlink" Target="https://storage.googleapis.com/glide-prod.appspot.com/uploads-v2/ly7o78grxPaC6KdgvbpS/pub/3aRdSog0vUtuqPE8AJKD.png" TargetMode="External"/><Relationship Id="rId767" Type="http://schemas.openxmlformats.org/officeDocument/2006/relationships/hyperlink" Target="https://storage.googleapis.com/glide-prod.appspot.com/uploads-v2/ly7o78grxPaC6KdgvbpS/pub/3aRdSog0vUtuqPE8AJKD.png" TargetMode="External"/><Relationship Id="rId974" Type="http://schemas.openxmlformats.org/officeDocument/2006/relationships/hyperlink" Target="https://storage.googleapis.com/glide-prod.appspot.com/uploads-v2/ly7o78grxPaC6KdgvbpS/pub/3aRdSog0vUtuqPE8AJKD.png" TargetMode="External"/><Relationship Id="rId627" Type="http://schemas.openxmlformats.org/officeDocument/2006/relationships/hyperlink" Target="https://storage.googleapis.com/glide-prod.appspot.com/uploads-v2/ly7o78grxPaC6KdgvbpS/pub/3aRdSog0vUtuqPE8AJKD.png" TargetMode="External"/><Relationship Id="rId834" Type="http://schemas.openxmlformats.org/officeDocument/2006/relationships/hyperlink" Target="https://storage.googleapis.com/glide-prod.appspot.com/uploads-v2/ly7o78grxPaC6KdgvbpS/pub/3aRdSog0vUtuqPE8AJKD.png" TargetMode="External"/><Relationship Id="rId1257" Type="http://schemas.openxmlformats.org/officeDocument/2006/relationships/hyperlink" Target="https://storage.googleapis.com/glide-prod.appspot.com/uploads-v2/ly7o78grxPaC6KdgvbpS/pub/3aRdSog0vUtuqPE8AJKD.png" TargetMode="External"/><Relationship Id="rId1464" Type="http://schemas.openxmlformats.org/officeDocument/2006/relationships/hyperlink" Target="https://storage.googleapis.com/glide-prod.appspot.com/uploads-v2/ly7o78grxPaC6KdgvbpS/pub/3aRdSog0vUtuqPE8AJKD.png" TargetMode="External"/><Relationship Id="rId901" Type="http://schemas.openxmlformats.org/officeDocument/2006/relationships/hyperlink" Target="https://storage.googleapis.com/glide-prod.appspot.com/uploads-v2/ly7o78grxPaC6KdgvbpS/pub/3aRdSog0vUtuqPE8AJKD.png" TargetMode="External"/><Relationship Id="rId1117" Type="http://schemas.openxmlformats.org/officeDocument/2006/relationships/hyperlink" Target="https://storage.googleapis.com/glide-prod.appspot.com/uploads-v2/ly7o78grxPaC6KdgvbpS/pub/3aRdSog0vUtuqPE8AJKD.png" TargetMode="External"/><Relationship Id="rId1324" Type="http://schemas.openxmlformats.org/officeDocument/2006/relationships/hyperlink" Target="https://storage.googleapis.com/glide-prod.appspot.com/uploads-v2/ly7o78grxPaC6KdgvbpS/pub/3aRdSog0vUtuqPE8AJKD.png" TargetMode="External"/><Relationship Id="rId1531" Type="http://schemas.openxmlformats.org/officeDocument/2006/relationships/hyperlink" Target="https://storage.googleapis.com/glide-prod.appspot.com/uploads-v2/ly7o78grxPaC6KdgvbpS/pub/3aRdSog0vUtuqPE8AJKD.png" TargetMode="External"/><Relationship Id="rId30" Type="http://schemas.openxmlformats.org/officeDocument/2006/relationships/hyperlink" Target="https://storage.googleapis.com/glide-prod.appspot.com/uploads-v2/ly7o78grxPaC6KdgvbpS/pub/3aRdSog0vUtuqPE8AJKD.png" TargetMode="External"/><Relationship Id="rId277" Type="http://schemas.openxmlformats.org/officeDocument/2006/relationships/hyperlink" Target="https://storage.googleapis.com/glide-prod.appspot.com/uploads-v2/ly7o78grxPaC6KdgvbpS/pub/3aRdSog0vUtuqPE8AJKD.png" TargetMode="External"/><Relationship Id="rId484" Type="http://schemas.openxmlformats.org/officeDocument/2006/relationships/hyperlink" Target="https://storage.googleapis.com/glide-prod.appspot.com/uploads-v2/ly7o78grxPaC6KdgvbpS/pub/3aRdSog0vUtuqPE8AJKD.png" TargetMode="External"/><Relationship Id="rId137" Type="http://schemas.openxmlformats.org/officeDocument/2006/relationships/hyperlink" Target="https://storage.googleapis.com/glide-prod.appspot.com/uploads-v2/ly7o78grxPaC6KdgvbpS/pub/3aRdSog0vUtuqPE8AJKD.png" TargetMode="External"/><Relationship Id="rId344" Type="http://schemas.openxmlformats.org/officeDocument/2006/relationships/hyperlink" Target="https://storage.googleapis.com/glide-prod.appspot.com/uploads-v2/ly7o78grxPaC6KdgvbpS/pub/3aRdSog0vUtuqPE8AJKD.png" TargetMode="External"/><Relationship Id="rId691" Type="http://schemas.openxmlformats.org/officeDocument/2006/relationships/hyperlink" Target="https://storage.googleapis.com/glide-prod.appspot.com/uploads-v2/ly7o78grxPaC6KdgvbpS/pub/3aRdSog0vUtuqPE8AJKD.png" TargetMode="External"/><Relationship Id="rId789" Type="http://schemas.openxmlformats.org/officeDocument/2006/relationships/hyperlink" Target="https://storage.googleapis.com/glide-prod.appspot.com/uploads-v2/ly7o78grxPaC6KdgvbpS/pub/3aRdSog0vUtuqPE8AJKD.png" TargetMode="External"/><Relationship Id="rId996" Type="http://schemas.openxmlformats.org/officeDocument/2006/relationships/hyperlink" Target="https://storage.googleapis.com/glide-prod.appspot.com/uploads-v2/ly7o78grxPaC6KdgvbpS/pub/3aRdSog0vUtuqPE8AJKD.png" TargetMode="External"/><Relationship Id="rId551" Type="http://schemas.openxmlformats.org/officeDocument/2006/relationships/hyperlink" Target="https://storage.googleapis.com/glide-prod.appspot.com/uploads-v2/ly7o78grxPaC6KdgvbpS/pub/3aRdSog0vUtuqPE8AJKD.png" TargetMode="External"/><Relationship Id="rId649" Type="http://schemas.openxmlformats.org/officeDocument/2006/relationships/hyperlink" Target="https://storage.googleapis.com/glide-prod.appspot.com/uploads-v2/ly7o78grxPaC6KdgvbpS/pub/3aRdSog0vUtuqPE8AJKD.png" TargetMode="External"/><Relationship Id="rId856" Type="http://schemas.openxmlformats.org/officeDocument/2006/relationships/hyperlink" Target="https://storage.googleapis.com/glide-prod.appspot.com/uploads-v2/ly7o78grxPaC6KdgvbpS/pub/3aRdSog0vUtuqPE8AJKD.png" TargetMode="External"/><Relationship Id="rId1181" Type="http://schemas.openxmlformats.org/officeDocument/2006/relationships/hyperlink" Target="https://storage.googleapis.com/glide-prod.appspot.com/uploads-v2/ly7o78grxPaC6KdgvbpS/pub/3aRdSog0vUtuqPE8AJKD.png" TargetMode="External"/><Relationship Id="rId1279" Type="http://schemas.openxmlformats.org/officeDocument/2006/relationships/hyperlink" Target="https://storage.googleapis.com/glide-prod.appspot.com/uploads-v2/ly7o78grxPaC6KdgvbpS/pub/3aRdSog0vUtuqPE8AJKD.png" TargetMode="External"/><Relationship Id="rId1486" Type="http://schemas.openxmlformats.org/officeDocument/2006/relationships/hyperlink" Target="https://storage.googleapis.com/glide-prod.appspot.com/uploads-v2/ly7o78grxPaC6KdgvbpS/pub/3aRdSog0vUtuqPE8AJKD.png" TargetMode="External"/><Relationship Id="rId204" Type="http://schemas.openxmlformats.org/officeDocument/2006/relationships/hyperlink" Target="https://storage.googleapis.com/glide-prod.appspot.com/uploads-v2/ly7o78grxPaC6KdgvbpS/pub/UliJWgpEaBovaFmXi6OW.png" TargetMode="External"/><Relationship Id="rId411" Type="http://schemas.openxmlformats.org/officeDocument/2006/relationships/hyperlink" Target="https://storage.googleapis.com/glide-prod.appspot.com/uploads-v2/ly7o78grxPaC6KdgvbpS/pub/3aRdSog0vUtuqPE8AJKD.png" TargetMode="External"/><Relationship Id="rId509" Type="http://schemas.openxmlformats.org/officeDocument/2006/relationships/hyperlink" Target="https://storage.googleapis.com/glide-prod.appspot.com/uploads-v2/ly7o78grxPaC6KdgvbpS/pub/3aRdSog0vUtuqPE8AJKD.png" TargetMode="External"/><Relationship Id="rId1041" Type="http://schemas.openxmlformats.org/officeDocument/2006/relationships/hyperlink" Target="https://storage.googleapis.com/glide-prod.appspot.com/uploads-v2/ly7o78grxPaC6KdgvbpS/pub/3aRdSog0vUtuqPE8AJKD.png" TargetMode="External"/><Relationship Id="rId1139" Type="http://schemas.openxmlformats.org/officeDocument/2006/relationships/hyperlink" Target="https://storage.googleapis.com/glide-prod.appspot.com/uploads-v2/ly7o78grxPaC6KdgvbpS/pub/3aRdSog0vUtuqPE8AJKD.png" TargetMode="External"/><Relationship Id="rId1346" Type="http://schemas.openxmlformats.org/officeDocument/2006/relationships/hyperlink" Target="https://storage.googleapis.com/glide-prod.appspot.com/uploads-v2/ly7o78grxPaC6KdgvbpS/pub/3aRdSog0vUtuqPE8AJKD.png" TargetMode="External"/><Relationship Id="rId716" Type="http://schemas.openxmlformats.org/officeDocument/2006/relationships/hyperlink" Target="https://storage.googleapis.com/glide-prod.appspot.com/uploads-v2/ly7o78grxPaC6KdgvbpS/pub/3aRdSog0vUtuqPE8AJKD.png" TargetMode="External"/><Relationship Id="rId923" Type="http://schemas.openxmlformats.org/officeDocument/2006/relationships/hyperlink" Target="https://storage.googleapis.com/glide-prod.appspot.com/uploads-v2/ly7o78grxPaC6KdgvbpS/pub/3aRdSog0vUtuqPE8AJKD.png" TargetMode="External"/><Relationship Id="rId1553" Type="http://schemas.openxmlformats.org/officeDocument/2006/relationships/hyperlink" Target="https://storage.googleapis.com/glide-prod.appspot.com/uploads-v2/ly7o78grxPaC6KdgvbpS/pub/3aRdSog0vUtuqPE8AJKD.png" TargetMode="External"/><Relationship Id="rId52" Type="http://schemas.openxmlformats.org/officeDocument/2006/relationships/hyperlink" Target="https://storage.googleapis.com/glide-prod.appspot.com/uploads-v2/ly7o78grxPaC6KdgvbpS/pub/3aRdSog0vUtuqPE8AJKD.png" TargetMode="External"/><Relationship Id="rId1206" Type="http://schemas.openxmlformats.org/officeDocument/2006/relationships/hyperlink" Target="https://storage.googleapis.com/glide-prod.appspot.com/uploads-v2/ly7o78grxPaC6KdgvbpS/pub/3aRdSog0vUtuqPE8AJKD.png" TargetMode="External"/><Relationship Id="rId1413" Type="http://schemas.openxmlformats.org/officeDocument/2006/relationships/hyperlink" Target="https://storage.googleapis.com/glide-prod.appspot.com/uploads-v2/ly7o78grxPaC6KdgvbpS/pub/3aRdSog0vUtuqPE8AJKD.png" TargetMode="External"/><Relationship Id="rId299" Type="http://schemas.openxmlformats.org/officeDocument/2006/relationships/hyperlink" Target="https://storage.googleapis.com/glide-prod.appspot.com/uploads-v2/ly7o78grxPaC6KdgvbpS/pub/UliJWgpEaBovaFmXi6OW.png" TargetMode="External"/><Relationship Id="rId159" Type="http://schemas.openxmlformats.org/officeDocument/2006/relationships/hyperlink" Target="https://storage.googleapis.com/glide-prod.appspot.com/uploads-v2/ly7o78grxPaC6KdgvbpS/pub/3aRdSog0vUtuqPE8AJKD.png" TargetMode="External"/><Relationship Id="rId366" Type="http://schemas.openxmlformats.org/officeDocument/2006/relationships/hyperlink" Target="https://storage.googleapis.com/glide-prod.appspot.com/uploads-v2/ly7o78grxPaC6KdgvbpS/pub/UliJWgpEaBovaFmXi6OW.png" TargetMode="External"/><Relationship Id="rId573" Type="http://schemas.openxmlformats.org/officeDocument/2006/relationships/hyperlink" Target="https://storage.googleapis.com/glide-prod.appspot.com/uploads-v2/ly7o78grxPaC6KdgvbpS/pub/3aRdSog0vUtuqPE8AJKD.png" TargetMode="External"/><Relationship Id="rId780" Type="http://schemas.openxmlformats.org/officeDocument/2006/relationships/hyperlink" Target="https://storage.googleapis.com/glide-prod.appspot.com/uploads-v2/ly7o78grxPaC6KdgvbpS/pub/3aRdSog0vUtuqPE8AJKD.png" TargetMode="External"/><Relationship Id="rId226" Type="http://schemas.openxmlformats.org/officeDocument/2006/relationships/hyperlink" Target="https://storage.googleapis.com/glide-prod.appspot.com/uploads-v2/ly7o78grxPaC6KdgvbpS/pub/3aRdSog0vUtuqPE8AJKD.png" TargetMode="External"/><Relationship Id="rId433" Type="http://schemas.openxmlformats.org/officeDocument/2006/relationships/hyperlink" Target="https://storage.googleapis.com/glide-prod.appspot.com/uploads-v2/ly7o78grxPaC6KdgvbpS/pub/3aRdSog0vUtuqPE8AJKD.png" TargetMode="External"/><Relationship Id="rId878" Type="http://schemas.openxmlformats.org/officeDocument/2006/relationships/hyperlink" Target="https://storage.googleapis.com/glide-prod.appspot.com/uploads-v2/ly7o78grxPaC6KdgvbpS/pub/3aRdSog0vUtuqPE8AJKD.png" TargetMode="External"/><Relationship Id="rId1063" Type="http://schemas.openxmlformats.org/officeDocument/2006/relationships/hyperlink" Target="https://storage.googleapis.com/glide-prod.appspot.com/uploads-v2/ly7o78grxPaC6KdgvbpS/pub/3aRdSog0vUtuqPE8AJKD.png" TargetMode="External"/><Relationship Id="rId1270" Type="http://schemas.openxmlformats.org/officeDocument/2006/relationships/hyperlink" Target="https://storage.googleapis.com/glide-prod.appspot.com/uploads-v2/ly7o78grxPaC6KdgvbpS/pub/3aRdSog0vUtuqPE8AJKD.png" TargetMode="External"/><Relationship Id="rId640" Type="http://schemas.openxmlformats.org/officeDocument/2006/relationships/hyperlink" Target="https://storage.googleapis.com/glide-prod.appspot.com/uploads-v2/ly7o78grxPaC6KdgvbpS/pub/3aRdSog0vUtuqPE8AJKD.png" TargetMode="External"/><Relationship Id="rId738" Type="http://schemas.openxmlformats.org/officeDocument/2006/relationships/hyperlink" Target="https://storage.googleapis.com/glide-prod.appspot.com/uploads-v2/ly7o78grxPaC6KdgvbpS/pub/3aRdSog0vUtuqPE8AJKD.png" TargetMode="External"/><Relationship Id="rId945" Type="http://schemas.openxmlformats.org/officeDocument/2006/relationships/hyperlink" Target="https://storage.googleapis.com/glide-prod.appspot.com/uploads-v2/ly7o78grxPaC6KdgvbpS/pub/UliJWgpEaBovaFmXi6OW.png" TargetMode="External"/><Relationship Id="rId1368" Type="http://schemas.openxmlformats.org/officeDocument/2006/relationships/hyperlink" Target="https://storage.googleapis.com/glide-prod.appspot.com/uploads-v2/ly7o78grxPaC6KdgvbpS/pub/UliJWgpEaBovaFmXi6OW.png" TargetMode="External"/><Relationship Id="rId74" Type="http://schemas.openxmlformats.org/officeDocument/2006/relationships/hyperlink" Target="https://storage.googleapis.com/glide-prod.appspot.com/uploads-v2/ly7o78grxPaC6KdgvbpS/pub/3aRdSog0vUtuqPE8AJKD.png" TargetMode="External"/><Relationship Id="rId500" Type="http://schemas.openxmlformats.org/officeDocument/2006/relationships/hyperlink" Target="https://storage.googleapis.com/glide-prod.appspot.com/uploads-v2/ly7o78grxPaC6KdgvbpS/pub/UliJWgpEaBovaFmXi6OW.png" TargetMode="External"/><Relationship Id="rId805" Type="http://schemas.openxmlformats.org/officeDocument/2006/relationships/hyperlink" Target="https://storage.googleapis.com/glide-prod.appspot.com/uploads-v2/ly7o78grxPaC6KdgvbpS/pub/3aRdSog0vUtuqPE8AJKD.png" TargetMode="External"/><Relationship Id="rId1130" Type="http://schemas.openxmlformats.org/officeDocument/2006/relationships/hyperlink" Target="https://storage.googleapis.com/glide-prod.appspot.com/uploads-v2/ly7o78grxPaC6KdgvbpS/pub/3aRdSog0vUtuqPE8AJKD.png" TargetMode="External"/><Relationship Id="rId1228" Type="http://schemas.openxmlformats.org/officeDocument/2006/relationships/hyperlink" Target="https://storage.googleapis.com/glide-prod.appspot.com/uploads-v2/ly7o78grxPaC6KdgvbpS/pub/3aRdSog0vUtuqPE8AJKD.png" TargetMode="External"/><Relationship Id="rId1435" Type="http://schemas.openxmlformats.org/officeDocument/2006/relationships/hyperlink" Target="https://storage.googleapis.com/glide-prod.appspot.com/uploads-v2/ly7o78grxPaC6KdgvbpS/pub/3aRdSog0vUtuqPE8AJKD.png" TargetMode="External"/><Relationship Id="rId1502" Type="http://schemas.openxmlformats.org/officeDocument/2006/relationships/hyperlink" Target="https://storage.googleapis.com/glide-prod.appspot.com/uploads-v2/ly7o78grxPaC6KdgvbpS/pub/3aRdSog0vUtuqPE8AJKD.png"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000"/>
  <sheetViews>
    <sheetView workbookViewId="0"/>
  </sheetViews>
  <sheetFormatPr baseColWidth="10" defaultColWidth="12.6640625" defaultRowHeight="15.75" customHeight="1"/>
  <cols>
    <col min="1" max="1" width="25.88671875" customWidth="1"/>
    <col min="2" max="2" width="17.6640625" customWidth="1"/>
    <col min="4" max="4" width="54.6640625" customWidth="1"/>
    <col min="5" max="5" width="18.88671875" customWidth="1"/>
    <col min="6" max="6" width="20" customWidth="1"/>
    <col min="7" max="7" width="15.88671875" customWidth="1"/>
  </cols>
  <sheetData>
    <row r="1" spans="1:14" ht="20.25" customHeight="1">
      <c r="A1" s="1" t="s">
        <v>0</v>
      </c>
      <c r="B1" s="1" t="s">
        <v>1</v>
      </c>
      <c r="C1" s="1" t="s">
        <v>2</v>
      </c>
      <c r="D1" s="1" t="s">
        <v>3</v>
      </c>
      <c r="G1" s="2"/>
    </row>
    <row r="2" spans="1:14" ht="20.25" customHeight="1">
      <c r="A2" s="3" t="str">
        <f ca="1">IFERROR(__xludf.DUMMYFUNCTION("SORT(UNIQUE(FILTER(ARRAYFORMULA(PROPER(TRIM(Presente!N2:N1000))), Presente!N2:N1000&lt;&gt;"""")))"),"Alexander Echeverry Moreno")</f>
        <v>Alexander Echeverry Moreno</v>
      </c>
      <c r="B2" s="3">
        <f ca="1">IF(COUNTIFS(Presente!$N$2:$N$3000, A2, Presente!$G$2:$G$3000, "") &gt; 0, COUNTIFS(Presente!$N$2:$N$3000, A2, Presente!$G$2:$G$3000, ""), "COMPLETADAS")</f>
        <v>38</v>
      </c>
      <c r="C2" s="3">
        <f ca="1">IFERROR(VLOOKUP(A2, 'Base de datos'!A:B, 2, FALSE), "")</f>
        <v>573173223149</v>
      </c>
      <c r="D2" s="4" t="e">
        <f t="shared" ref="D2:D20" ca="1" si="0">HYPERLINK("https://api.whatsapp.com/send?phone="&amp;_xludf.ENCODEURL(C2)&amp;"&amp;text="&amp;_xludf.ENCODEURL("Buen dia, recuerda que tienes "&amp;B2&amp;" inspecciones sin realizar")
)</f>
        <v>#NAME?</v>
      </c>
      <c r="F2" s="5" t="str">
        <f t="shared" ref="F2:F50" ca="1" si="1">IF(ISERROR(FIND("COMPLETADAS", B2)), "INSPECCIONES SIN REALIZAR", "INSPECCIONES REALIZADAS")</f>
        <v>INSPECCIONES SIN REALIZAR</v>
      </c>
      <c r="G2" s="2">
        <f t="shared" ref="G2:G50" ca="1" si="2">IF(ISNUMBER(B2), B2, IF(ISNUMBER(FIND("COMPLETADAS", B2)), 0, "NO COMPLETADO"))</f>
        <v>38</v>
      </c>
    </row>
    <row r="3" spans="1:14" ht="20.25" customHeight="1">
      <c r="A3" s="6" t="str">
        <f ca="1">IFERROR(__xludf.DUMMYFUNCTION("""COMPUTED_VALUE"""),"Álvaro Celeita Muñoz")</f>
        <v>Álvaro Celeita Muñoz</v>
      </c>
      <c r="B3" s="3">
        <f ca="1">IF(COUNTIFS(Presente!$N$2:$N$3000, A3, Presente!$G$2:$G$3000, "") &gt; 0, COUNTIFS(Presente!$N$2:$N$3000, A3, Presente!$G$2:$G$3000, ""), "COMPLETADAS")</f>
        <v>14</v>
      </c>
      <c r="C3" s="3">
        <f ca="1">IFERROR(VLOOKUP(A3, 'Base de datos'!A:B, 2, FALSE), "")</f>
        <v>573148174772</v>
      </c>
      <c r="D3" s="4" t="e">
        <f t="shared" ca="1" si="0"/>
        <v>#NAME?</v>
      </c>
      <c r="F3" s="5" t="str">
        <f t="shared" ca="1" si="1"/>
        <v>INSPECCIONES SIN REALIZAR</v>
      </c>
      <c r="G3" s="2">
        <f t="shared" ca="1" si="2"/>
        <v>14</v>
      </c>
    </row>
    <row r="4" spans="1:14" ht="20.25" customHeight="1">
      <c r="A4" s="3" t="str">
        <f ca="1">IFERROR(__xludf.DUMMYFUNCTION("""COMPUTED_VALUE"""),"Andrés Felipe Pérez Polania")</f>
        <v>Andrés Felipe Pérez Polania</v>
      </c>
      <c r="B4" s="3" t="str">
        <f ca="1">IF(COUNTIFS(Presente!$N$2:$N$3000, A4, Presente!$G$2:$G$3000, "") &gt; 0, COUNTIFS(Presente!$N$2:$N$3000, A4, Presente!$G$2:$G$3000, ""), "COMPLETADAS")</f>
        <v>COMPLETADAS</v>
      </c>
      <c r="C4" s="3">
        <f ca="1">IFERROR(VLOOKUP(A4, 'Base de datos'!A:B, 2, FALSE), "")</f>
        <v>573186924079</v>
      </c>
      <c r="D4" s="4" t="e">
        <f t="shared" ca="1" si="0"/>
        <v>#NAME?</v>
      </c>
      <c r="F4" s="5" t="str">
        <f t="shared" ca="1" si="1"/>
        <v>INSPECCIONES REALIZADAS</v>
      </c>
      <c r="G4" s="2">
        <f t="shared" ca="1" si="2"/>
        <v>0</v>
      </c>
    </row>
    <row r="5" spans="1:14" ht="20.25" customHeight="1">
      <c r="A5" s="6" t="str">
        <f ca="1">IFERROR(__xludf.DUMMYFUNCTION("""COMPUTED_VALUE"""),"Astaiza Hernandez John Eyder")</f>
        <v>Astaiza Hernandez John Eyder</v>
      </c>
      <c r="B5" s="3" t="str">
        <f ca="1">IF(COUNTIFS(Presente!$N$2:$N$3000, A5, Presente!$G$2:$G$3000, "") &gt; 0, COUNTIFS(Presente!$N$2:$N$3000, A5, Presente!$G$2:$G$3000, ""), "COMPLETADAS")</f>
        <v>COMPLETADAS</v>
      </c>
      <c r="C5" s="3">
        <f ca="1">IFERROR(VLOOKUP(A5, 'Base de datos'!A:B, 2, FALSE), "")</f>
        <v>573016653684</v>
      </c>
      <c r="D5" s="4" t="e">
        <f t="shared" ca="1" si="0"/>
        <v>#NAME?</v>
      </c>
      <c r="F5" s="5" t="str">
        <f t="shared" ca="1" si="1"/>
        <v>INSPECCIONES REALIZADAS</v>
      </c>
      <c r="G5" s="2">
        <f t="shared" ca="1" si="2"/>
        <v>0</v>
      </c>
    </row>
    <row r="6" spans="1:14" ht="20.25" customHeight="1">
      <c r="A6" s="3" t="str">
        <f ca="1">IFERROR(__xludf.DUMMYFUNCTION("""COMPUTED_VALUE"""),"Bedoya Marin Johan Andres")</f>
        <v>Bedoya Marin Johan Andres</v>
      </c>
      <c r="B6" s="3" t="str">
        <f ca="1">IF(COUNTIFS(Presente!$N$2:$N$3000, A6, Presente!$G$2:$G$3000, "") &gt; 0, COUNTIFS(Presente!$N$2:$N$3000, A6, Presente!$G$2:$G$3000, ""), "COMPLETADAS")</f>
        <v>COMPLETADAS</v>
      </c>
      <c r="C6" s="3">
        <f ca="1">IFERROR(VLOOKUP(A6, 'Base de datos'!A:B, 2, FALSE), "")</f>
        <v>573147103334</v>
      </c>
      <c r="D6" s="4" t="e">
        <f t="shared" ca="1" si="0"/>
        <v>#NAME?</v>
      </c>
      <c r="F6" s="5" t="str">
        <f t="shared" ca="1" si="1"/>
        <v>INSPECCIONES REALIZADAS</v>
      </c>
      <c r="G6" s="2">
        <f t="shared" ca="1" si="2"/>
        <v>0</v>
      </c>
    </row>
    <row r="7" spans="1:14" ht="20.25" customHeight="1">
      <c r="A7" s="6" t="str">
        <f ca="1">IFERROR(__xludf.DUMMYFUNCTION("""COMPUTED_VALUE"""),"Bolaños Camacho Luis Miguel")</f>
        <v>Bolaños Camacho Luis Miguel</v>
      </c>
      <c r="B7" s="3" t="str">
        <f ca="1">IF(COUNTIFS(Presente!$N$2:$N$3000, A7, Presente!$G$2:$G$3000, "") &gt; 0, COUNTIFS(Presente!$N$2:$N$3000, A7, Presente!$G$2:$G$3000, ""), "COMPLETADAS")</f>
        <v>COMPLETADAS</v>
      </c>
      <c r="C7" s="3">
        <f ca="1">IFERROR(VLOOKUP(A7, 'Base de datos'!A:B, 2, FALSE), "")</f>
        <v>573122788043</v>
      </c>
      <c r="D7" s="4" t="e">
        <f t="shared" ca="1" si="0"/>
        <v>#NAME?</v>
      </c>
      <c r="F7" s="5" t="str">
        <f t="shared" ca="1" si="1"/>
        <v>INSPECCIONES REALIZADAS</v>
      </c>
      <c r="G7" s="2">
        <f t="shared" ca="1" si="2"/>
        <v>0</v>
      </c>
    </row>
    <row r="8" spans="1:14" ht="20.25" customHeight="1">
      <c r="A8" s="3" t="str">
        <f ca="1">IFERROR(__xludf.DUMMYFUNCTION("""COMPUTED_VALUE"""),"Bonilla Angulo Edwin Andres")</f>
        <v>Bonilla Angulo Edwin Andres</v>
      </c>
      <c r="B8" s="3" t="str">
        <f ca="1">IF(COUNTIFS(Presente!$N$2:$N$3000, A8, Presente!$G$2:$G$3000, "") &gt; 0, COUNTIFS(Presente!$N$2:$N$3000, A8, Presente!$G$2:$G$3000, ""), "COMPLETADAS")</f>
        <v>COMPLETADAS</v>
      </c>
      <c r="C8" s="3">
        <f ca="1">IFERROR(VLOOKUP(A8, 'Base de datos'!A:B, 2, FALSE), "")</f>
        <v>573154265203</v>
      </c>
      <c r="D8" s="4" t="e">
        <f t="shared" ca="1" si="0"/>
        <v>#NAME?</v>
      </c>
      <c r="F8" s="5" t="str">
        <f t="shared" ca="1" si="1"/>
        <v>INSPECCIONES REALIZADAS</v>
      </c>
      <c r="G8" s="2">
        <f t="shared" ca="1" si="2"/>
        <v>0</v>
      </c>
    </row>
    <row r="9" spans="1:14" ht="20.25" customHeight="1">
      <c r="A9" s="6" t="str">
        <f ca="1">IFERROR(__xludf.DUMMYFUNCTION("""COMPUTED_VALUE"""),"Calderon Cortes Julian David")</f>
        <v>Calderon Cortes Julian David</v>
      </c>
      <c r="B9" s="3" t="str">
        <f ca="1">IF(COUNTIFS(Presente!$N$2:$N$3000, A9, Presente!$G$2:$G$3000, "") &gt; 0, COUNTIFS(Presente!$N$2:$N$3000, A9, Presente!$G$2:$G$3000, ""), "COMPLETADAS")</f>
        <v>COMPLETADAS</v>
      </c>
      <c r="C9" s="3">
        <f ca="1">IFERROR(VLOOKUP(A9, 'Base de datos'!A:B, 2, FALSE), "")</f>
        <v>573106062699</v>
      </c>
      <c r="D9" s="4" t="e">
        <f t="shared" ca="1" si="0"/>
        <v>#NAME?</v>
      </c>
      <c r="F9" s="5" t="str">
        <f t="shared" ca="1" si="1"/>
        <v>INSPECCIONES REALIZADAS</v>
      </c>
      <c r="G9" s="2">
        <f t="shared" ca="1" si="2"/>
        <v>0</v>
      </c>
    </row>
    <row r="10" spans="1:14" ht="20.25" customHeight="1">
      <c r="A10" s="3" t="str">
        <f ca="1">IFERROR(__xludf.DUMMYFUNCTION("""COMPUTED_VALUE"""),"Campo Rodriguez Adalcides Jesus")</f>
        <v>Campo Rodriguez Adalcides Jesus</v>
      </c>
      <c r="B10" s="3" t="str">
        <f ca="1">IF(COUNTIFS(Presente!$N$2:$N$3000, A10, Presente!$G$2:$G$3000, "") &gt; 0, COUNTIFS(Presente!$N$2:$N$3000, A10, Presente!$G$2:$G$3000, ""), "COMPLETADAS")</f>
        <v>COMPLETADAS</v>
      </c>
      <c r="C10" s="3">
        <f ca="1">IFERROR(VLOOKUP(A10, 'Base de datos'!A:B, 2, FALSE), "")</f>
        <v>573045833726</v>
      </c>
      <c r="D10" s="4" t="e">
        <f t="shared" ca="1" si="0"/>
        <v>#NAME?</v>
      </c>
      <c r="F10" s="5" t="str">
        <f t="shared" ca="1" si="1"/>
        <v>INSPECCIONES REALIZADAS</v>
      </c>
      <c r="G10" s="2">
        <f t="shared" ca="1" si="2"/>
        <v>0</v>
      </c>
    </row>
    <row r="11" spans="1:14" ht="20.25" customHeight="1">
      <c r="A11" s="6" t="str">
        <f ca="1">IFERROR(__xludf.DUMMYFUNCTION("""COMPUTED_VALUE"""),"Christian Camilo Ramirez Rendón")</f>
        <v>Christian Camilo Ramirez Rendón</v>
      </c>
      <c r="B11" s="3" t="str">
        <f ca="1">IF(COUNTIFS(Presente!$N$2:$N$3000, A11, Presente!$G$2:$G$3000, "") &gt; 0, COUNTIFS(Presente!$N$2:$N$3000, A11, Presente!$G$2:$G$3000, ""), "COMPLETADAS")</f>
        <v>COMPLETADAS</v>
      </c>
      <c r="C11" s="3">
        <f ca="1">IFERROR(VLOOKUP(A11, 'Base de datos'!A:B, 2, FALSE), "")</f>
        <v>573117720757</v>
      </c>
      <c r="D11" s="4" t="e">
        <f t="shared" ca="1" si="0"/>
        <v>#NAME?</v>
      </c>
      <c r="F11" s="5" t="str">
        <f t="shared" ca="1" si="1"/>
        <v>INSPECCIONES REALIZADAS</v>
      </c>
      <c r="G11" s="2">
        <f t="shared" ca="1" si="2"/>
        <v>0</v>
      </c>
      <c r="N11" s="5" t="s">
        <v>4</v>
      </c>
    </row>
    <row r="12" spans="1:14" ht="20.25" customHeight="1">
      <c r="A12" s="3" t="str">
        <f ca="1">IFERROR(__xludf.DUMMYFUNCTION("""COMPUTED_VALUE"""),"Correa Jose Antonio")</f>
        <v>Correa Jose Antonio</v>
      </c>
      <c r="B12" s="3" t="str">
        <f ca="1">IF(COUNTIFS(Presente!$N$2:$N$3000, A12, Presente!$G$2:$G$3000, "") &gt; 0, COUNTIFS(Presente!$N$2:$N$3000, A12, Presente!$G$2:$G$3000, ""), "COMPLETADAS")</f>
        <v>COMPLETADAS</v>
      </c>
      <c r="C12" s="3">
        <f ca="1">IFERROR(VLOOKUP(A12, 'Base de datos'!A:B, 2, FALSE), "")</f>
        <v>573144897931</v>
      </c>
      <c r="D12" s="4" t="e">
        <f t="shared" ca="1" si="0"/>
        <v>#NAME?</v>
      </c>
      <c r="F12" s="5" t="str">
        <f t="shared" ca="1" si="1"/>
        <v>INSPECCIONES REALIZADAS</v>
      </c>
      <c r="G12" s="2">
        <f t="shared" ca="1" si="2"/>
        <v>0</v>
      </c>
    </row>
    <row r="13" spans="1:14" ht="20.25" customHeight="1">
      <c r="A13" s="6" t="str">
        <f ca="1">IFERROR(__xludf.DUMMYFUNCTION("""COMPUTED_VALUE"""),"Duran Sanchez Nelson Fernando")</f>
        <v>Duran Sanchez Nelson Fernando</v>
      </c>
      <c r="B13" s="3" t="str">
        <f ca="1">IF(COUNTIFS(Presente!$N$2:$N$3000, A13, Presente!$G$2:$G$3000, "") &gt; 0, COUNTIFS(Presente!$N$2:$N$3000, A13, Presente!$G$2:$G$3000, ""), "COMPLETADAS")</f>
        <v>COMPLETADAS</v>
      </c>
      <c r="C13" s="3">
        <f ca="1">IFERROR(VLOOKUP(A13, 'Base de datos'!A:B, 2, FALSE), "")</f>
        <v>573187183243</v>
      </c>
      <c r="D13" s="4" t="e">
        <f t="shared" ca="1" si="0"/>
        <v>#NAME?</v>
      </c>
      <c r="F13" s="5" t="str">
        <f t="shared" ca="1" si="1"/>
        <v>INSPECCIONES REALIZADAS</v>
      </c>
      <c r="G13" s="2">
        <f t="shared" ca="1" si="2"/>
        <v>0</v>
      </c>
    </row>
    <row r="14" spans="1:14" ht="20.25" customHeight="1">
      <c r="A14" s="7" t="str">
        <f ca="1">IFERROR(__xludf.DUMMYFUNCTION("""COMPUTED_VALUE"""),"Esteban Potosi Isaza")</f>
        <v>Esteban Potosi Isaza</v>
      </c>
      <c r="B14" s="3" t="str">
        <f ca="1">IF(COUNTIFS(Presente!$N$2:$N$3000, A14, Presente!$G$2:$G$3000, "") &gt; 0, COUNTIFS(Presente!$N$2:$N$3000, A14, Presente!$G$2:$G$3000, ""), "COMPLETADAS")</f>
        <v>COMPLETADAS</v>
      </c>
      <c r="C14" s="3">
        <f ca="1">IFERROR(VLOOKUP(A14, 'Base de datos'!A:B, 2, FALSE), "")</f>
        <v>573128543241</v>
      </c>
      <c r="D14" s="4" t="e">
        <f t="shared" ca="1" si="0"/>
        <v>#NAME?</v>
      </c>
      <c r="F14" s="5" t="str">
        <f t="shared" ca="1" si="1"/>
        <v>INSPECCIONES REALIZADAS</v>
      </c>
      <c r="G14" s="2">
        <f t="shared" ca="1" si="2"/>
        <v>0</v>
      </c>
    </row>
    <row r="15" spans="1:14" ht="20.25" customHeight="1">
      <c r="A15" s="7" t="str">
        <f ca="1">IFERROR(__xludf.DUMMYFUNCTION("""COMPUTED_VALUE"""),"Ferneyorlando Ramos Aullon")</f>
        <v>Ferneyorlando Ramos Aullon</v>
      </c>
      <c r="B15" s="3">
        <f ca="1">IF(COUNTIFS(Presente!$N$2:$N$3000, A15, Presente!$G$2:$G$3000, "") &gt; 0, COUNTIFS(Presente!$N$2:$N$3000, A15, Presente!$G$2:$G$3000, ""), "COMPLETADAS")</f>
        <v>24</v>
      </c>
      <c r="C15" s="3">
        <f ca="1">IFERROR(VLOOKUP(A15, 'Base de datos'!A:B, 2, FALSE), "")</f>
        <v>573117665570</v>
      </c>
      <c r="D15" s="4" t="e">
        <f t="shared" ca="1" si="0"/>
        <v>#NAME?</v>
      </c>
      <c r="F15" s="5" t="str">
        <f t="shared" ca="1" si="1"/>
        <v>INSPECCIONES SIN REALIZAR</v>
      </c>
      <c r="G15" s="2">
        <f t="shared" ca="1" si="2"/>
        <v>24</v>
      </c>
    </row>
    <row r="16" spans="1:14" ht="20.25" customHeight="1">
      <c r="A16" s="7" t="str">
        <f ca="1">IFERROR(__xludf.DUMMYFUNCTION("""COMPUTED_VALUE"""),"Franco Castillo Brayan Steven")</f>
        <v>Franco Castillo Brayan Steven</v>
      </c>
      <c r="B16" s="3" t="str">
        <f ca="1">IF(COUNTIFS(Presente!$N$2:$N$3000, A16, Presente!$G$2:$G$3000, "") &gt; 0, COUNTIFS(Presente!$N$2:$N$3000, A16, Presente!$G$2:$G$3000, ""), "COMPLETADAS")</f>
        <v>COMPLETADAS</v>
      </c>
      <c r="C16" s="3">
        <f ca="1">IFERROR(VLOOKUP(A16, 'Base de datos'!A:B, 2, FALSE), "")</f>
        <v>573053427911</v>
      </c>
      <c r="D16" s="4" t="e">
        <f t="shared" ca="1" si="0"/>
        <v>#NAME?</v>
      </c>
      <c r="F16" s="5" t="str">
        <f t="shared" ca="1" si="1"/>
        <v>INSPECCIONES REALIZADAS</v>
      </c>
      <c r="G16" s="2">
        <f t="shared" ca="1" si="2"/>
        <v>0</v>
      </c>
    </row>
    <row r="17" spans="1:7" ht="20.25" customHeight="1">
      <c r="A17" s="7" t="str">
        <f ca="1">IFERROR(__xludf.DUMMYFUNCTION("""COMPUTED_VALUE"""),"Franco Herrera Alejandro")</f>
        <v>Franco Herrera Alejandro</v>
      </c>
      <c r="B17" s="3" t="str">
        <f ca="1">IF(COUNTIFS(Presente!$N$2:$N$3000, A17, Presente!$G$2:$G$3000, "") &gt; 0, COUNTIFS(Presente!$N$2:$N$3000, A17, Presente!$G$2:$G$3000, ""), "COMPLETADAS")</f>
        <v>COMPLETADAS</v>
      </c>
      <c r="C17" s="3">
        <f ca="1">IFERROR(VLOOKUP(A17, 'Base de datos'!A:B, 2, FALSE), "")</f>
        <v>573015282155</v>
      </c>
      <c r="D17" s="4" t="e">
        <f t="shared" ca="1" si="0"/>
        <v>#NAME?</v>
      </c>
      <c r="F17" s="5" t="str">
        <f t="shared" ca="1" si="1"/>
        <v>INSPECCIONES REALIZADAS</v>
      </c>
      <c r="G17" s="2">
        <f t="shared" ca="1" si="2"/>
        <v>0</v>
      </c>
    </row>
    <row r="18" spans="1:7" ht="20.25" customHeight="1">
      <c r="A18" s="7" t="str">
        <f ca="1">IFERROR(__xludf.DUMMYFUNCTION("""COMPUTED_VALUE"""),"Gordillo Victoria Luis Miguel")</f>
        <v>Gordillo Victoria Luis Miguel</v>
      </c>
      <c r="B18" s="3" t="str">
        <f ca="1">IF(COUNTIFS(Presente!$N$2:$N$3000, A18, Presente!$G$2:$G$3000, "") &gt; 0, COUNTIFS(Presente!$N$2:$N$3000, A18, Presente!$G$2:$G$3000, ""), "COMPLETADAS")</f>
        <v>COMPLETADAS</v>
      </c>
      <c r="C18" s="3">
        <f ca="1">IFERROR(VLOOKUP(A18, 'Base de datos'!A:B, 2, FALSE), "")</f>
        <v>573023677706</v>
      </c>
      <c r="D18" s="4" t="e">
        <f t="shared" ca="1" si="0"/>
        <v>#NAME?</v>
      </c>
      <c r="F18" s="5" t="str">
        <f t="shared" ca="1" si="1"/>
        <v>INSPECCIONES REALIZADAS</v>
      </c>
      <c r="G18" s="2">
        <f t="shared" ca="1" si="2"/>
        <v>0</v>
      </c>
    </row>
    <row r="19" spans="1:7" ht="20.25" customHeight="1">
      <c r="A19" s="7" t="str">
        <f ca="1">IFERROR(__xludf.DUMMYFUNCTION("""COMPUTED_VALUE"""),"Guzman Palechor Miguel Angel")</f>
        <v>Guzman Palechor Miguel Angel</v>
      </c>
      <c r="B19" s="3" t="str">
        <f ca="1">IF(COUNTIFS(Presente!$N$2:$N$3000, A19, Presente!$G$2:$G$3000, "") &gt; 0, COUNTIFS(Presente!$N$2:$N$3000, A19, Presente!$G$2:$G$3000, ""), "COMPLETADAS")</f>
        <v>COMPLETADAS</v>
      </c>
      <c r="C19" s="3">
        <f ca="1">IFERROR(VLOOKUP(A19, 'Base de datos'!A:B, 2, FALSE), "")</f>
        <v>573112422176</v>
      </c>
      <c r="D19" s="4" t="e">
        <f t="shared" ca="1" si="0"/>
        <v>#NAME?</v>
      </c>
      <c r="E19" s="5" t="s">
        <v>5</v>
      </c>
      <c r="F19" s="5" t="str">
        <f t="shared" ca="1" si="1"/>
        <v>INSPECCIONES REALIZADAS</v>
      </c>
      <c r="G19" s="2">
        <f t="shared" ca="1" si="2"/>
        <v>0</v>
      </c>
    </row>
    <row r="20" spans="1:7" ht="20.25" customHeight="1">
      <c r="A20" s="7" t="str">
        <f ca="1">IFERROR(__xludf.DUMMYFUNCTION("""COMPUTED_VALUE"""),"Héctor Toro")</f>
        <v>Héctor Toro</v>
      </c>
      <c r="B20" s="3" t="str">
        <f ca="1">IF(COUNTIFS(Presente!$N$2:$N$3000, A20, Presente!$G$2:$G$3000, "") &gt; 0, COUNTIFS(Presente!$N$2:$N$3000, A20, Presente!$G$2:$G$3000, ""), "COMPLETADAS")</f>
        <v>COMPLETADAS</v>
      </c>
      <c r="C20" s="3">
        <f ca="1">IFERROR(VLOOKUP(A20, 'Base de datos'!A:B, 2, FALSE), "")</f>
        <v>573015223410</v>
      </c>
      <c r="D20" s="4" t="e">
        <f t="shared" ca="1" si="0"/>
        <v>#NAME?</v>
      </c>
      <c r="F20" s="5" t="str">
        <f t="shared" ca="1" si="1"/>
        <v>INSPECCIONES REALIZADAS</v>
      </c>
      <c r="G20" s="2">
        <f t="shared" ca="1" si="2"/>
        <v>0</v>
      </c>
    </row>
    <row r="21" spans="1:7" ht="20.25" customHeight="1">
      <c r="A21" s="7" t="str">
        <f ca="1">IFERROR(__xludf.DUMMYFUNCTION("""COMPUTED_VALUE"""),"Henao William")</f>
        <v>Henao William</v>
      </c>
      <c r="B21" s="7"/>
      <c r="C21" s="7"/>
      <c r="D21" s="8"/>
      <c r="F21" s="5" t="str">
        <f t="shared" si="1"/>
        <v>INSPECCIONES SIN REALIZAR</v>
      </c>
      <c r="G21" s="2" t="str">
        <f t="shared" si="2"/>
        <v>NO COMPLETADO</v>
      </c>
    </row>
    <row r="22" spans="1:7" ht="20.25" customHeight="1">
      <c r="A22" s="7" t="str">
        <f ca="1">IFERROR(__xludf.DUMMYFUNCTION("""COMPUTED_VALUE"""),"Imbachi Wilton Andres")</f>
        <v>Imbachi Wilton Andres</v>
      </c>
      <c r="B22" s="7"/>
      <c r="C22" s="7"/>
      <c r="D22" s="8"/>
      <c r="F22" s="5" t="str">
        <f t="shared" si="1"/>
        <v>INSPECCIONES SIN REALIZAR</v>
      </c>
      <c r="G22" s="2" t="str">
        <f t="shared" si="2"/>
        <v>NO COMPLETADO</v>
      </c>
    </row>
    <row r="23" spans="1:7" ht="20.25" customHeight="1">
      <c r="A23" s="7" t="str">
        <f ca="1">IFERROR(__xludf.DUMMYFUNCTION("""COMPUTED_VALUE"""),"Jefferson Bravo Piedrahita")</f>
        <v>Jefferson Bravo Piedrahita</v>
      </c>
      <c r="B23" s="7"/>
      <c r="C23" s="7"/>
      <c r="D23" s="8"/>
      <c r="F23" s="5" t="str">
        <f t="shared" si="1"/>
        <v>INSPECCIONES SIN REALIZAR</v>
      </c>
      <c r="G23" s="2" t="str">
        <f t="shared" si="2"/>
        <v>NO COMPLETADO</v>
      </c>
    </row>
    <row r="24" spans="1:7" ht="20.25" customHeight="1">
      <c r="A24" s="7" t="str">
        <f ca="1">IFERROR(__xludf.DUMMYFUNCTION("""COMPUTED_VALUE"""),"Jhon Edwar Echeverry Reina")</f>
        <v>Jhon Edwar Echeverry Reina</v>
      </c>
      <c r="B24" s="7"/>
      <c r="C24" s="7"/>
      <c r="D24" s="8"/>
      <c r="F24" s="5" t="str">
        <f t="shared" si="1"/>
        <v>INSPECCIONES SIN REALIZAR</v>
      </c>
      <c r="G24" s="2" t="str">
        <f t="shared" si="2"/>
        <v>NO COMPLETADO</v>
      </c>
    </row>
    <row r="25" spans="1:7" ht="20.25" customHeight="1">
      <c r="A25" s="7" t="str">
        <f ca="1">IFERROR(__xludf.DUMMYFUNCTION("""COMPUTED_VALUE"""),"Jhonnys Arturo Fernández Suarez")</f>
        <v>Jhonnys Arturo Fernández Suarez</v>
      </c>
      <c r="B25" s="7"/>
      <c r="C25" s="7"/>
      <c r="D25" s="8"/>
      <c r="F25" s="5" t="str">
        <f t="shared" si="1"/>
        <v>INSPECCIONES SIN REALIZAR</v>
      </c>
      <c r="G25" s="2" t="str">
        <f t="shared" si="2"/>
        <v>NO COMPLETADO</v>
      </c>
    </row>
    <row r="26" spans="1:7" ht="20.25" customHeight="1">
      <c r="A26" s="7" t="str">
        <f ca="1">IFERROR(__xludf.DUMMYFUNCTION("""COMPUTED_VALUE"""),"Jimenez Jhon")</f>
        <v>Jimenez Jhon</v>
      </c>
      <c r="B26" s="7"/>
      <c r="C26" s="7"/>
      <c r="D26" s="8"/>
      <c r="F26" s="5" t="str">
        <f t="shared" si="1"/>
        <v>INSPECCIONES SIN REALIZAR</v>
      </c>
      <c r="G26" s="2" t="str">
        <f t="shared" si="2"/>
        <v>NO COMPLETADO</v>
      </c>
    </row>
    <row r="27" spans="1:7" ht="20.25" customHeight="1">
      <c r="A27" s="7" t="str">
        <f ca="1">IFERROR(__xludf.DUMMYFUNCTION("""COMPUTED_VALUE"""),"John Edier Gomez Zuñiga")</f>
        <v>John Edier Gomez Zuñiga</v>
      </c>
      <c r="B27" s="7"/>
      <c r="C27" s="7"/>
      <c r="D27" s="8"/>
      <c r="F27" s="5" t="str">
        <f t="shared" si="1"/>
        <v>INSPECCIONES SIN REALIZAR</v>
      </c>
      <c r="G27" s="2" t="str">
        <f t="shared" si="2"/>
        <v>NO COMPLETADO</v>
      </c>
    </row>
    <row r="28" spans="1:7" ht="20.25" customHeight="1">
      <c r="A28" s="7" t="str">
        <f ca="1">IFERROR(__xludf.DUMMYFUNCTION("""COMPUTED_VALUE"""),"Leon Narvaez Andres Felipe")</f>
        <v>Leon Narvaez Andres Felipe</v>
      </c>
      <c r="B28" s="7"/>
      <c r="C28" s="7"/>
      <c r="D28" s="8"/>
      <c r="F28" s="5" t="str">
        <f t="shared" si="1"/>
        <v>INSPECCIONES SIN REALIZAR</v>
      </c>
      <c r="G28" s="2" t="str">
        <f t="shared" si="2"/>
        <v>NO COMPLETADO</v>
      </c>
    </row>
    <row r="29" spans="1:7" ht="20.25" customHeight="1">
      <c r="A29" s="7" t="str">
        <f ca="1">IFERROR(__xludf.DUMMYFUNCTION("""COMPUTED_VALUE"""),"Lopez Correa Jonathan")</f>
        <v>Lopez Correa Jonathan</v>
      </c>
      <c r="B29" s="7"/>
      <c r="C29" s="7"/>
      <c r="D29" s="8"/>
      <c r="F29" s="5" t="str">
        <f t="shared" si="1"/>
        <v>INSPECCIONES SIN REALIZAR</v>
      </c>
      <c r="G29" s="2" t="str">
        <f t="shared" si="2"/>
        <v>NO COMPLETADO</v>
      </c>
    </row>
    <row r="30" spans="1:7" ht="20.25" customHeight="1">
      <c r="A30" s="7" t="str">
        <f ca="1">IFERROR(__xludf.DUMMYFUNCTION("""COMPUTED_VALUE"""),"Lopez Raul")</f>
        <v>Lopez Raul</v>
      </c>
      <c r="B30" s="7"/>
      <c r="C30" s="7"/>
      <c r="D30" s="8"/>
      <c r="F30" s="5" t="str">
        <f t="shared" si="1"/>
        <v>INSPECCIONES SIN REALIZAR</v>
      </c>
      <c r="G30" s="2" t="str">
        <f t="shared" si="2"/>
        <v>NO COMPLETADO</v>
      </c>
    </row>
    <row r="31" spans="1:7" ht="20.25" customHeight="1">
      <c r="A31" s="7" t="str">
        <f ca="1">IFERROR(__xludf.DUMMYFUNCTION("""COMPUTED_VALUE"""),"Lozano Delgado Fausto Andres")</f>
        <v>Lozano Delgado Fausto Andres</v>
      </c>
      <c r="B31" s="7"/>
      <c r="C31" s="7"/>
      <c r="D31" s="8"/>
      <c r="F31" s="5" t="str">
        <f t="shared" si="1"/>
        <v>INSPECCIONES SIN REALIZAR</v>
      </c>
      <c r="G31" s="2" t="str">
        <f t="shared" si="2"/>
        <v>NO COMPLETADO</v>
      </c>
    </row>
    <row r="32" spans="1:7" ht="20.25" customHeight="1">
      <c r="A32" s="7" t="str">
        <f ca="1">IFERROR(__xludf.DUMMYFUNCTION("""COMPUTED_VALUE"""),"Lucumi Juan")</f>
        <v>Lucumi Juan</v>
      </c>
      <c r="B32" s="7"/>
      <c r="C32" s="7"/>
      <c r="D32" s="8"/>
      <c r="F32" s="5" t="str">
        <f t="shared" si="1"/>
        <v>INSPECCIONES SIN REALIZAR</v>
      </c>
      <c r="G32" s="2" t="str">
        <f t="shared" si="2"/>
        <v>NO COMPLETADO</v>
      </c>
    </row>
    <row r="33" spans="1:7" ht="20.25" customHeight="1">
      <c r="A33" s="7" t="str">
        <f ca="1">IFERROR(__xludf.DUMMYFUNCTION("""COMPUTED_VALUE"""),"Luis Barrero")</f>
        <v>Luis Barrero</v>
      </c>
      <c r="B33" s="7"/>
      <c r="C33" s="7"/>
      <c r="D33" s="8"/>
      <c r="F33" s="5" t="str">
        <f t="shared" si="1"/>
        <v>INSPECCIONES SIN REALIZAR</v>
      </c>
      <c r="G33" s="2" t="str">
        <f t="shared" si="2"/>
        <v>NO COMPLETADO</v>
      </c>
    </row>
    <row r="34" spans="1:7" ht="20.25" customHeight="1">
      <c r="A34" s="7" t="str">
        <f ca="1">IFERROR(__xludf.DUMMYFUNCTION("""COMPUTED_VALUE"""),"Mario Alberto Martínez Mora")</f>
        <v>Mario Alberto Martínez Mora</v>
      </c>
      <c r="B34" s="7"/>
      <c r="C34" s="7"/>
      <c r="D34" s="8"/>
      <c r="F34" s="5" t="str">
        <f t="shared" si="1"/>
        <v>INSPECCIONES SIN REALIZAR</v>
      </c>
      <c r="G34" s="2" t="str">
        <f t="shared" si="2"/>
        <v>NO COMPLETADO</v>
      </c>
    </row>
    <row r="35" spans="1:7" ht="20.25" customHeight="1">
      <c r="A35" s="7" t="str">
        <f ca="1">IFERROR(__xludf.DUMMYFUNCTION("""COMPUTED_VALUE"""),"Martinez Carlos")</f>
        <v>Martinez Carlos</v>
      </c>
      <c r="B35" s="7"/>
      <c r="C35" s="7"/>
      <c r="D35" s="8"/>
      <c r="F35" s="5" t="str">
        <f t="shared" si="1"/>
        <v>INSPECCIONES SIN REALIZAR</v>
      </c>
      <c r="G35" s="2" t="str">
        <f t="shared" si="2"/>
        <v>NO COMPLETADO</v>
      </c>
    </row>
    <row r="36" spans="1:7" ht="20.25" customHeight="1">
      <c r="A36" s="7" t="str">
        <f ca="1">IFERROR(__xludf.DUMMYFUNCTION("""COMPUTED_VALUE"""),"Martinez Delgado Osver")</f>
        <v>Martinez Delgado Osver</v>
      </c>
      <c r="B36" s="7"/>
      <c r="C36" s="7"/>
      <c r="D36" s="8"/>
      <c r="F36" s="5" t="str">
        <f t="shared" si="1"/>
        <v>INSPECCIONES SIN REALIZAR</v>
      </c>
      <c r="G36" s="2" t="str">
        <f t="shared" si="2"/>
        <v>NO COMPLETADO</v>
      </c>
    </row>
    <row r="37" spans="1:7" ht="20.25" customHeight="1">
      <c r="A37" s="7" t="str">
        <f ca="1">IFERROR(__xludf.DUMMYFUNCTION("""COMPUTED_VALUE"""),"Mauricio Murillo Arrollo")</f>
        <v>Mauricio Murillo Arrollo</v>
      </c>
      <c r="B37" s="7"/>
      <c r="C37" s="7"/>
      <c r="D37" s="8"/>
      <c r="F37" s="5" t="str">
        <f t="shared" si="1"/>
        <v>INSPECCIONES SIN REALIZAR</v>
      </c>
      <c r="G37" s="2" t="str">
        <f t="shared" si="2"/>
        <v>NO COMPLETADO</v>
      </c>
    </row>
    <row r="38" spans="1:7" ht="20.25" customHeight="1">
      <c r="A38" s="7" t="str">
        <f ca="1">IFERROR(__xludf.DUMMYFUNCTION("""COMPUTED_VALUE"""),"Montes Marmolejo Leonel F")</f>
        <v>Montes Marmolejo Leonel F</v>
      </c>
      <c r="B38" s="7"/>
      <c r="C38" s="7"/>
      <c r="D38" s="8"/>
      <c r="F38" s="5" t="str">
        <f t="shared" si="1"/>
        <v>INSPECCIONES SIN REALIZAR</v>
      </c>
      <c r="G38" s="2" t="str">
        <f t="shared" si="2"/>
        <v>NO COMPLETADO</v>
      </c>
    </row>
    <row r="39" spans="1:7" ht="20.25" customHeight="1">
      <c r="A39" s="7" t="str">
        <f ca="1">IFERROR(__xludf.DUMMYFUNCTION("""COMPUTED_VALUE"""),"Moreno Pernia Bladimir")</f>
        <v>Moreno Pernia Bladimir</v>
      </c>
      <c r="B39" s="7"/>
      <c r="C39" s="7"/>
      <c r="D39" s="8"/>
      <c r="F39" s="5" t="str">
        <f t="shared" si="1"/>
        <v>INSPECCIONES SIN REALIZAR</v>
      </c>
      <c r="G39" s="2" t="str">
        <f t="shared" si="2"/>
        <v>NO COMPLETADO</v>
      </c>
    </row>
    <row r="40" spans="1:7" ht="20.25" customHeight="1">
      <c r="A40" s="7" t="str">
        <f ca="1">IFERROR(__xludf.DUMMYFUNCTION("""COMPUTED_VALUE"""),"Muñoz Valencia Jefferson")</f>
        <v>Muñoz Valencia Jefferson</v>
      </c>
      <c r="B40" s="7"/>
      <c r="C40" s="7"/>
      <c r="D40" s="8"/>
      <c r="F40" s="5" t="str">
        <f t="shared" si="1"/>
        <v>INSPECCIONES SIN REALIZAR</v>
      </c>
      <c r="G40" s="2" t="str">
        <f t="shared" si="2"/>
        <v>NO COMPLETADO</v>
      </c>
    </row>
    <row r="41" spans="1:7" ht="20.25" customHeight="1">
      <c r="A41" s="7" t="str">
        <f ca="1">IFERROR(__xludf.DUMMYFUNCTION("""COMPUTED_VALUE"""),"Parra Ramos Hector Jairo")</f>
        <v>Parra Ramos Hector Jairo</v>
      </c>
      <c r="B41" s="7"/>
      <c r="C41" s="7"/>
      <c r="D41" s="8"/>
      <c r="F41" s="5" t="str">
        <f t="shared" si="1"/>
        <v>INSPECCIONES SIN REALIZAR</v>
      </c>
      <c r="G41" s="2" t="str">
        <f t="shared" si="2"/>
        <v>NO COMPLETADO</v>
      </c>
    </row>
    <row r="42" spans="1:7" ht="20.25" customHeight="1">
      <c r="A42" s="7" t="str">
        <f ca="1">IFERROR(__xludf.DUMMYFUNCTION("""COMPUTED_VALUE"""),"Parra Velandia John Jairo")</f>
        <v>Parra Velandia John Jairo</v>
      </c>
      <c r="B42" s="7"/>
      <c r="C42" s="7"/>
      <c r="D42" s="8"/>
      <c r="F42" s="5" t="str">
        <f t="shared" si="1"/>
        <v>INSPECCIONES SIN REALIZAR</v>
      </c>
      <c r="G42" s="2" t="str">
        <f t="shared" si="2"/>
        <v>NO COMPLETADO</v>
      </c>
    </row>
    <row r="43" spans="1:7" ht="20.25" customHeight="1">
      <c r="A43" s="7" t="str">
        <f ca="1">IFERROR(__xludf.DUMMYFUNCTION("""COMPUTED_VALUE"""),"Paz Paz Jhon Estiven")</f>
        <v>Paz Paz Jhon Estiven</v>
      </c>
      <c r="B43" s="7"/>
      <c r="C43" s="7"/>
      <c r="D43" s="8"/>
      <c r="F43" s="5" t="str">
        <f t="shared" si="1"/>
        <v>INSPECCIONES SIN REALIZAR</v>
      </c>
      <c r="G43" s="2" t="str">
        <f t="shared" si="2"/>
        <v>NO COMPLETADO</v>
      </c>
    </row>
    <row r="44" spans="1:7" ht="20.25" customHeight="1">
      <c r="A44" s="7" t="str">
        <f ca="1">IFERROR(__xludf.DUMMYFUNCTION("""COMPUTED_VALUE"""),"Pedroza Barrera Diego Fernando")</f>
        <v>Pedroza Barrera Diego Fernando</v>
      </c>
      <c r="B44" s="7"/>
      <c r="C44" s="7"/>
      <c r="D44" s="8"/>
      <c r="F44" s="5" t="str">
        <f t="shared" si="1"/>
        <v>INSPECCIONES SIN REALIZAR</v>
      </c>
      <c r="G44" s="2" t="str">
        <f t="shared" si="2"/>
        <v>NO COMPLETADO</v>
      </c>
    </row>
    <row r="45" spans="1:7" ht="20.25" customHeight="1">
      <c r="A45" s="7" t="str">
        <f ca="1">IFERROR(__xludf.DUMMYFUNCTION("""COMPUTED_VALUE"""),"Peña Quiñonez Andres Gilberto")</f>
        <v>Peña Quiñonez Andres Gilberto</v>
      </c>
      <c r="B45" s="7"/>
      <c r="C45" s="7"/>
      <c r="D45" s="8"/>
      <c r="F45" s="5" t="str">
        <f t="shared" si="1"/>
        <v>INSPECCIONES SIN REALIZAR</v>
      </c>
      <c r="G45" s="2" t="str">
        <f t="shared" si="2"/>
        <v>NO COMPLETADO</v>
      </c>
    </row>
    <row r="46" spans="1:7" ht="20.25" customHeight="1">
      <c r="A46" s="7" t="str">
        <f ca="1">IFERROR(__xludf.DUMMYFUNCTION("""COMPUTED_VALUE"""),"Poveda Jorge")</f>
        <v>Poveda Jorge</v>
      </c>
      <c r="B46" s="7"/>
      <c r="C46" s="7"/>
      <c r="D46" s="8"/>
      <c r="F46" s="5" t="str">
        <f t="shared" si="1"/>
        <v>INSPECCIONES SIN REALIZAR</v>
      </c>
      <c r="G46" s="2" t="str">
        <f t="shared" si="2"/>
        <v>NO COMPLETADO</v>
      </c>
    </row>
    <row r="47" spans="1:7" ht="20.25" customHeight="1">
      <c r="A47" s="7" t="str">
        <f ca="1">IFERROR(__xludf.DUMMYFUNCTION("""COMPUTED_VALUE"""),"Rivas Mena Carlos Danny")</f>
        <v>Rivas Mena Carlos Danny</v>
      </c>
      <c r="B47" s="7"/>
      <c r="C47" s="7"/>
      <c r="D47" s="8"/>
      <c r="F47" s="5" t="str">
        <f t="shared" si="1"/>
        <v>INSPECCIONES SIN REALIZAR</v>
      </c>
      <c r="G47" s="2" t="str">
        <f t="shared" si="2"/>
        <v>NO COMPLETADO</v>
      </c>
    </row>
    <row r="48" spans="1:7" ht="20.25" customHeight="1">
      <c r="A48" s="7" t="str">
        <f ca="1">IFERROR(__xludf.DUMMYFUNCTION("""COMPUTED_VALUE"""),"Sanchez Rodriguez Gerson Andres")</f>
        <v>Sanchez Rodriguez Gerson Andres</v>
      </c>
      <c r="B48" s="7"/>
      <c r="C48" s="7"/>
      <c r="D48" s="8"/>
      <c r="F48" s="5" t="str">
        <f t="shared" si="1"/>
        <v>INSPECCIONES SIN REALIZAR</v>
      </c>
      <c r="G48" s="2" t="str">
        <f t="shared" si="2"/>
        <v>NO COMPLETADO</v>
      </c>
    </row>
    <row r="49" spans="1:7" ht="20.25" customHeight="1">
      <c r="A49" s="7" t="str">
        <f ca="1">IFERROR(__xludf.DUMMYFUNCTION("""COMPUTED_VALUE"""),"Valencia Hector")</f>
        <v>Valencia Hector</v>
      </c>
      <c r="B49" s="7"/>
      <c r="C49" s="7"/>
      <c r="D49" s="8"/>
      <c r="F49" s="5" t="str">
        <f t="shared" si="1"/>
        <v>INSPECCIONES SIN REALIZAR</v>
      </c>
      <c r="G49" s="2" t="str">
        <f t="shared" si="2"/>
        <v>NO COMPLETADO</v>
      </c>
    </row>
    <row r="50" spans="1:7" ht="20.25" customHeight="1">
      <c r="A50" s="7" t="str">
        <f ca="1">IFERROR(__xludf.DUMMYFUNCTION("""COMPUTED_VALUE"""),"Vanegas Guependo Hermes")</f>
        <v>Vanegas Guependo Hermes</v>
      </c>
      <c r="B50" s="7"/>
      <c r="C50" s="7"/>
      <c r="D50" s="8"/>
      <c r="F50" s="5" t="str">
        <f t="shared" si="1"/>
        <v>INSPECCIONES SIN REALIZAR</v>
      </c>
      <c r="G50" s="2" t="str">
        <f t="shared" si="2"/>
        <v>NO COMPLETADO</v>
      </c>
    </row>
    <row r="51" spans="1:7" ht="20.25" customHeight="1">
      <c r="A51" s="5" t="str">
        <f ca="1">IFERROR(__xludf.DUMMYFUNCTION("""COMPUTED_VALUE"""),"Víctor David Burbano Gómez")</f>
        <v>Víctor David Burbano Gómez</v>
      </c>
      <c r="B51" s="7"/>
      <c r="D51" s="9"/>
      <c r="G51" s="2"/>
    </row>
    <row r="52" spans="1:7" ht="15.75" customHeight="1">
      <c r="B52" s="7"/>
      <c r="D52" s="9"/>
      <c r="G52" s="2"/>
    </row>
    <row r="53" spans="1:7" ht="15.75" customHeight="1">
      <c r="B53" s="7"/>
      <c r="D53" s="9"/>
      <c r="G53" s="2"/>
    </row>
    <row r="54" spans="1:7" ht="15.75" customHeight="1">
      <c r="B54" s="7"/>
      <c r="D54" s="9"/>
      <c r="G54" s="2"/>
    </row>
    <row r="55" spans="1:7" ht="15.75" customHeight="1">
      <c r="B55" s="7"/>
      <c r="D55" s="9"/>
      <c r="G55" s="2"/>
    </row>
    <row r="56" spans="1:7" ht="15.75" customHeight="1">
      <c r="D56" s="9"/>
      <c r="G56" s="2"/>
    </row>
    <row r="57" spans="1:7" ht="15.75" customHeight="1">
      <c r="D57" s="9"/>
      <c r="G57" s="2"/>
    </row>
    <row r="58" spans="1:7" ht="15.75" customHeight="1">
      <c r="G58" s="2"/>
    </row>
    <row r="59" spans="1:7" ht="15.75" customHeight="1">
      <c r="G59" s="2"/>
    </row>
    <row r="60" spans="1:7" ht="15.75" customHeight="1">
      <c r="G60" s="2"/>
    </row>
    <row r="61" spans="1:7" ht="15.75" customHeight="1">
      <c r="G61" s="2"/>
    </row>
    <row r="62" spans="1:7" ht="15.75" customHeight="1">
      <c r="G62" s="2"/>
    </row>
    <row r="63" spans="1:7" ht="15.75" customHeight="1">
      <c r="G63" s="2"/>
    </row>
    <row r="64" spans="1:7" ht="15.75" customHeight="1">
      <c r="G64" s="2"/>
    </row>
    <row r="65" spans="7:7" ht="15.75" customHeight="1">
      <c r="G65" s="2"/>
    </row>
    <row r="66" spans="7:7" ht="15.75" customHeight="1">
      <c r="G66" s="2"/>
    </row>
    <row r="67" spans="7:7" ht="15.75" customHeight="1">
      <c r="G67" s="2"/>
    </row>
    <row r="68" spans="7:7" ht="15.75" customHeight="1">
      <c r="G68" s="2"/>
    </row>
    <row r="69" spans="7:7" ht="15.75" customHeight="1">
      <c r="G69" s="2"/>
    </row>
    <row r="70" spans="7:7" ht="15.75" customHeight="1">
      <c r="G70" s="2"/>
    </row>
    <row r="71" spans="7:7" ht="15.75" customHeight="1">
      <c r="G71" s="2"/>
    </row>
    <row r="72" spans="7:7" ht="15.75" customHeight="1">
      <c r="G72" s="2"/>
    </row>
    <row r="73" spans="7:7" ht="15.75" customHeight="1">
      <c r="G73" s="2"/>
    </row>
    <row r="74" spans="7:7" ht="15.75" customHeight="1">
      <c r="G74" s="2"/>
    </row>
    <row r="75" spans="7:7" ht="15.75" customHeight="1">
      <c r="G75" s="2"/>
    </row>
    <row r="76" spans="7:7" ht="15.75" customHeight="1">
      <c r="G76" s="2"/>
    </row>
    <row r="77" spans="7:7" ht="15.75" customHeight="1">
      <c r="G77" s="2"/>
    </row>
    <row r="78" spans="7:7" ht="15.75" customHeight="1">
      <c r="G78" s="2"/>
    </row>
    <row r="79" spans="7:7" ht="15.75" customHeight="1">
      <c r="G79" s="2"/>
    </row>
    <row r="80" spans="7:7" ht="15.75" customHeight="1">
      <c r="G80" s="2"/>
    </row>
    <row r="81" spans="7:7" ht="15.75" customHeight="1">
      <c r="G81" s="2"/>
    </row>
    <row r="82" spans="7:7" ht="15.75" customHeight="1">
      <c r="G82" s="2"/>
    </row>
    <row r="83" spans="7:7" ht="15.75" customHeight="1">
      <c r="G83" s="2"/>
    </row>
    <row r="84" spans="7:7" ht="15.75" customHeight="1">
      <c r="G84" s="2"/>
    </row>
    <row r="85" spans="7:7" ht="15.75" customHeight="1">
      <c r="G85" s="2"/>
    </row>
    <row r="86" spans="7:7" ht="15.75" customHeight="1">
      <c r="G86" s="2"/>
    </row>
    <row r="87" spans="7:7" ht="15.75" customHeight="1">
      <c r="G87" s="2"/>
    </row>
    <row r="88" spans="7:7" ht="15.75" customHeight="1">
      <c r="G88" s="2"/>
    </row>
    <row r="89" spans="7:7" ht="15.75" customHeight="1">
      <c r="G89" s="2"/>
    </row>
    <row r="90" spans="7:7" ht="15.75" customHeight="1">
      <c r="G90" s="2"/>
    </row>
    <row r="91" spans="7:7" ht="15.75" customHeight="1">
      <c r="G91" s="2"/>
    </row>
    <row r="92" spans="7:7" ht="15.75" customHeight="1">
      <c r="G92" s="2"/>
    </row>
    <row r="93" spans="7:7" ht="15.75" customHeight="1">
      <c r="G93" s="2"/>
    </row>
    <row r="94" spans="7:7" ht="15.75" customHeight="1">
      <c r="G94" s="2"/>
    </row>
    <row r="95" spans="7:7" ht="15.75" customHeight="1">
      <c r="G95" s="2"/>
    </row>
    <row r="96" spans="7:7" ht="15.75" customHeight="1">
      <c r="G96" s="2"/>
    </row>
    <row r="97" spans="7:7" ht="15.75" customHeight="1">
      <c r="G97" s="2"/>
    </row>
    <row r="98" spans="7:7" ht="15.75" customHeight="1">
      <c r="G98" s="2"/>
    </row>
    <row r="99" spans="7:7" ht="15.75" customHeight="1">
      <c r="G99" s="2"/>
    </row>
    <row r="100" spans="7:7" ht="15.75" customHeight="1">
      <c r="G100" s="2"/>
    </row>
    <row r="101" spans="7:7" ht="15.75" customHeight="1">
      <c r="G101" s="2"/>
    </row>
    <row r="102" spans="7:7" ht="15.75" customHeight="1">
      <c r="G102" s="2"/>
    </row>
    <row r="103" spans="7:7" ht="15.75" customHeight="1">
      <c r="G103" s="2"/>
    </row>
    <row r="104" spans="7:7" ht="15.75" customHeight="1">
      <c r="G104" s="2"/>
    </row>
    <row r="105" spans="7:7" ht="15.75" customHeight="1">
      <c r="G105" s="2"/>
    </row>
    <row r="106" spans="7:7" ht="15.75" customHeight="1">
      <c r="G106" s="2"/>
    </row>
    <row r="107" spans="7:7" ht="15.75" customHeight="1">
      <c r="G107" s="2"/>
    </row>
    <row r="108" spans="7:7" ht="15.75" customHeight="1">
      <c r="G108" s="2"/>
    </row>
    <row r="109" spans="7:7" ht="15.75" customHeight="1">
      <c r="G109" s="2"/>
    </row>
    <row r="110" spans="7:7" ht="15.75" customHeight="1">
      <c r="G110" s="2"/>
    </row>
    <row r="111" spans="7:7" ht="15.75" customHeight="1">
      <c r="G111" s="2"/>
    </row>
    <row r="112" spans="7:7" ht="15.75" customHeight="1">
      <c r="G112" s="2"/>
    </row>
    <row r="113" spans="7:7" ht="15.75" customHeight="1">
      <c r="G113" s="2"/>
    </row>
    <row r="114" spans="7:7" ht="15.75" customHeight="1">
      <c r="G114" s="2"/>
    </row>
    <row r="115" spans="7:7" ht="15.75" customHeight="1">
      <c r="G115" s="2"/>
    </row>
    <row r="116" spans="7:7" ht="15.75" customHeight="1">
      <c r="G116" s="2"/>
    </row>
    <row r="117" spans="7:7" ht="15.75" customHeight="1">
      <c r="G117" s="2"/>
    </row>
    <row r="118" spans="7:7" ht="15.75" customHeight="1">
      <c r="G118" s="2"/>
    </row>
    <row r="119" spans="7:7" ht="15.75" customHeight="1">
      <c r="G119" s="2"/>
    </row>
    <row r="120" spans="7:7" ht="15.75" customHeight="1">
      <c r="G120" s="2"/>
    </row>
    <row r="121" spans="7:7" ht="15.75" customHeight="1">
      <c r="G121" s="2"/>
    </row>
    <row r="122" spans="7:7" ht="15.75" customHeight="1">
      <c r="G122" s="2"/>
    </row>
    <row r="123" spans="7:7" ht="15.75" customHeight="1">
      <c r="G123" s="2"/>
    </row>
    <row r="124" spans="7:7" ht="15.75" customHeight="1">
      <c r="G124" s="2"/>
    </row>
    <row r="125" spans="7:7" ht="15.75" customHeight="1">
      <c r="G125" s="2"/>
    </row>
    <row r="126" spans="7:7" ht="15.75" customHeight="1">
      <c r="G126" s="2"/>
    </row>
    <row r="127" spans="7:7" ht="15.75" customHeight="1">
      <c r="G127" s="2"/>
    </row>
    <row r="128" spans="7:7" ht="15.75" customHeight="1">
      <c r="G128" s="2"/>
    </row>
    <row r="129" spans="7:7" ht="15.75" customHeight="1">
      <c r="G129" s="2"/>
    </row>
    <row r="130" spans="7:7" ht="15.75" customHeight="1">
      <c r="G130" s="2"/>
    </row>
    <row r="131" spans="7:7" ht="15.75" customHeight="1">
      <c r="G131" s="2"/>
    </row>
    <row r="132" spans="7:7" ht="15.75" customHeight="1">
      <c r="G132" s="2"/>
    </row>
    <row r="133" spans="7:7" ht="15.75" customHeight="1">
      <c r="G133" s="2"/>
    </row>
    <row r="134" spans="7:7" ht="15.75" customHeight="1">
      <c r="G134" s="2"/>
    </row>
    <row r="135" spans="7:7" ht="15.75" customHeight="1">
      <c r="G135" s="2"/>
    </row>
    <row r="136" spans="7:7" ht="15.75" customHeight="1">
      <c r="G136" s="2"/>
    </row>
    <row r="137" spans="7:7" ht="15.75" customHeight="1">
      <c r="G137" s="2"/>
    </row>
    <row r="138" spans="7:7" ht="15.75" customHeight="1">
      <c r="G138" s="2"/>
    </row>
    <row r="139" spans="7:7" ht="15.75" customHeight="1">
      <c r="G139" s="2"/>
    </row>
    <row r="140" spans="7:7" ht="15.75" customHeight="1">
      <c r="G140" s="2"/>
    </row>
    <row r="141" spans="7:7" ht="15.75" customHeight="1">
      <c r="G141" s="2"/>
    </row>
    <row r="142" spans="7:7" ht="15.75" customHeight="1">
      <c r="G142" s="2"/>
    </row>
    <row r="143" spans="7:7" ht="15.75" customHeight="1">
      <c r="G143" s="2"/>
    </row>
    <row r="144" spans="7:7" ht="15.75" customHeight="1">
      <c r="G144" s="2"/>
    </row>
    <row r="145" spans="7:7" ht="15.75" customHeight="1">
      <c r="G145" s="2"/>
    </row>
    <row r="146" spans="7:7" ht="15.75" customHeight="1">
      <c r="G146" s="2"/>
    </row>
    <row r="147" spans="7:7" ht="15.75" customHeight="1">
      <c r="G147" s="2"/>
    </row>
    <row r="148" spans="7:7" ht="15.75" customHeight="1">
      <c r="G148" s="2"/>
    </row>
    <row r="149" spans="7:7" ht="15.75" customHeight="1">
      <c r="G149" s="2"/>
    </row>
    <row r="150" spans="7:7" ht="15.75" customHeight="1">
      <c r="G150" s="2"/>
    </row>
    <row r="151" spans="7:7" ht="15.75" customHeight="1">
      <c r="G151" s="2"/>
    </row>
    <row r="152" spans="7:7" ht="15.75" customHeight="1">
      <c r="G152" s="2"/>
    </row>
    <row r="153" spans="7:7" ht="15.75" customHeight="1">
      <c r="G153" s="2"/>
    </row>
    <row r="154" spans="7:7" ht="15.75" customHeight="1">
      <c r="G154" s="2"/>
    </row>
    <row r="155" spans="7:7" ht="15.75" customHeight="1">
      <c r="G155" s="2"/>
    </row>
    <row r="156" spans="7:7" ht="15.75" customHeight="1">
      <c r="G156" s="2"/>
    </row>
    <row r="157" spans="7:7" ht="15.75" customHeight="1">
      <c r="G157" s="2"/>
    </row>
    <row r="158" spans="7:7" ht="15.75" customHeight="1">
      <c r="G158" s="2"/>
    </row>
    <row r="159" spans="7:7" ht="15.75" customHeight="1">
      <c r="G159" s="2"/>
    </row>
    <row r="160" spans="7:7" ht="15.75" customHeight="1">
      <c r="G160" s="2"/>
    </row>
    <row r="161" spans="7:7" ht="15.75" customHeight="1">
      <c r="G161" s="2"/>
    </row>
    <row r="162" spans="7:7" ht="15.75" customHeight="1">
      <c r="G162" s="2"/>
    </row>
    <row r="163" spans="7:7" ht="15.75" customHeight="1">
      <c r="G163" s="2"/>
    </row>
    <row r="164" spans="7:7" ht="15.75" customHeight="1">
      <c r="G164" s="2"/>
    </row>
    <row r="165" spans="7:7" ht="15.75" customHeight="1">
      <c r="G165" s="2"/>
    </row>
    <row r="166" spans="7:7" ht="15.75" customHeight="1">
      <c r="G166" s="2"/>
    </row>
    <row r="167" spans="7:7" ht="15.75" customHeight="1">
      <c r="G167" s="2"/>
    </row>
    <row r="168" spans="7:7" ht="15.75" customHeight="1">
      <c r="G168" s="2"/>
    </row>
    <row r="169" spans="7:7" ht="15.75" customHeight="1">
      <c r="G169" s="2"/>
    </row>
    <row r="170" spans="7:7" ht="15.75" customHeight="1">
      <c r="G170" s="2"/>
    </row>
    <row r="171" spans="7:7" ht="15.75" customHeight="1">
      <c r="G171" s="2"/>
    </row>
    <row r="172" spans="7:7" ht="15.75" customHeight="1">
      <c r="G172" s="2"/>
    </row>
    <row r="173" spans="7:7" ht="15.75" customHeight="1">
      <c r="G173" s="2"/>
    </row>
    <row r="174" spans="7:7" ht="15.75" customHeight="1">
      <c r="G174" s="2"/>
    </row>
    <row r="175" spans="7:7" ht="15.75" customHeight="1">
      <c r="G175" s="2"/>
    </row>
    <row r="176" spans="7:7" ht="15.75" customHeight="1">
      <c r="G176" s="2"/>
    </row>
    <row r="177" spans="7:7" ht="15.75" customHeight="1">
      <c r="G177" s="2"/>
    </row>
    <row r="178" spans="7:7" ht="15.75" customHeight="1">
      <c r="G178" s="2"/>
    </row>
    <row r="179" spans="7:7" ht="15.75" customHeight="1">
      <c r="G179" s="2"/>
    </row>
    <row r="180" spans="7:7" ht="15.75" customHeight="1">
      <c r="G180" s="2"/>
    </row>
    <row r="181" spans="7:7" ht="15.75" customHeight="1">
      <c r="G181" s="2"/>
    </row>
    <row r="182" spans="7:7" ht="15.75" customHeight="1">
      <c r="G182" s="2"/>
    </row>
    <row r="183" spans="7:7" ht="15.75" customHeight="1">
      <c r="G183" s="2"/>
    </row>
    <row r="184" spans="7:7" ht="15.75" customHeight="1">
      <c r="G184" s="2"/>
    </row>
    <row r="185" spans="7:7" ht="15.75" customHeight="1">
      <c r="G185" s="2"/>
    </row>
    <row r="186" spans="7:7" ht="15.75" customHeight="1">
      <c r="G186" s="2"/>
    </row>
    <row r="187" spans="7:7" ht="15.75" customHeight="1">
      <c r="G187" s="2"/>
    </row>
    <row r="188" spans="7:7" ht="15.75" customHeight="1">
      <c r="G188" s="2"/>
    </row>
    <row r="189" spans="7:7" ht="15.75" customHeight="1">
      <c r="G189" s="2"/>
    </row>
    <row r="190" spans="7:7" ht="15.75" customHeight="1">
      <c r="G190" s="2"/>
    </row>
    <row r="191" spans="7:7" ht="15.75" customHeight="1">
      <c r="G191" s="2"/>
    </row>
    <row r="192" spans="7:7" ht="15.75" customHeight="1">
      <c r="G192" s="2"/>
    </row>
    <row r="193" spans="7:7" ht="15.75" customHeight="1">
      <c r="G193" s="2"/>
    </row>
    <row r="194" spans="7:7" ht="15.75" customHeight="1">
      <c r="G194" s="2"/>
    </row>
    <row r="195" spans="7:7" ht="15.75" customHeight="1">
      <c r="G195" s="2"/>
    </row>
    <row r="196" spans="7:7" ht="15.75" customHeight="1">
      <c r="G196" s="2"/>
    </row>
    <row r="197" spans="7:7" ht="15.75" customHeight="1">
      <c r="G197" s="2"/>
    </row>
    <row r="198" spans="7:7" ht="15.75" customHeight="1">
      <c r="G198" s="2"/>
    </row>
    <row r="199" spans="7:7" ht="15.75" customHeight="1">
      <c r="G199" s="2"/>
    </row>
    <row r="200" spans="7:7" ht="15.75" customHeight="1">
      <c r="G200" s="2"/>
    </row>
    <row r="201" spans="7:7" ht="15.75" customHeight="1">
      <c r="G201" s="2"/>
    </row>
    <row r="202" spans="7:7" ht="15.75" customHeight="1">
      <c r="G202" s="2"/>
    </row>
    <row r="203" spans="7:7" ht="15.75" customHeight="1">
      <c r="G203" s="2"/>
    </row>
    <row r="204" spans="7:7" ht="15.75" customHeight="1">
      <c r="G204" s="2"/>
    </row>
    <row r="205" spans="7:7" ht="15.75" customHeight="1">
      <c r="G205" s="2"/>
    </row>
    <row r="206" spans="7:7" ht="15.75" customHeight="1">
      <c r="G206" s="2"/>
    </row>
    <row r="207" spans="7:7" ht="15.75" customHeight="1">
      <c r="G207" s="2"/>
    </row>
    <row r="208" spans="7:7" ht="15.75" customHeight="1">
      <c r="G208" s="2"/>
    </row>
    <row r="209" spans="7:7" ht="15.75" customHeight="1">
      <c r="G209" s="2"/>
    </row>
    <row r="210" spans="7:7" ht="15.75" customHeight="1">
      <c r="G210" s="2"/>
    </row>
    <row r="211" spans="7:7" ht="15.75" customHeight="1">
      <c r="G211" s="2"/>
    </row>
    <row r="212" spans="7:7" ht="15.75" customHeight="1">
      <c r="G212" s="2"/>
    </row>
    <row r="213" spans="7:7" ht="15.75" customHeight="1">
      <c r="G213" s="2"/>
    </row>
    <row r="214" spans="7:7" ht="15.75" customHeight="1">
      <c r="G214" s="2"/>
    </row>
    <row r="215" spans="7:7" ht="15.75" customHeight="1">
      <c r="G215" s="2"/>
    </row>
    <row r="216" spans="7:7" ht="15.75" customHeight="1">
      <c r="G216" s="2"/>
    </row>
    <row r="217" spans="7:7" ht="15.75" customHeight="1">
      <c r="G217" s="2"/>
    </row>
    <row r="218" spans="7:7" ht="15.75" customHeight="1">
      <c r="G218" s="2"/>
    </row>
    <row r="219" spans="7:7" ht="15.75" customHeight="1">
      <c r="G219" s="2"/>
    </row>
    <row r="220" spans="7:7" ht="15.75" customHeight="1">
      <c r="G220" s="2"/>
    </row>
    <row r="221" spans="7:7" ht="15.75" customHeight="1">
      <c r="G221" s="2"/>
    </row>
    <row r="222" spans="7:7" ht="15.75" customHeight="1">
      <c r="G222" s="2"/>
    </row>
    <row r="223" spans="7:7" ht="15.75" customHeight="1">
      <c r="G223" s="2"/>
    </row>
    <row r="224" spans="7:7" ht="15.75" customHeight="1">
      <c r="G224" s="2"/>
    </row>
    <row r="225" spans="7:7" ht="15.75" customHeight="1">
      <c r="G225" s="2"/>
    </row>
    <row r="226" spans="7:7" ht="15.75" customHeight="1">
      <c r="G226" s="2"/>
    </row>
    <row r="227" spans="7:7" ht="15.75" customHeight="1">
      <c r="G227" s="2"/>
    </row>
    <row r="228" spans="7:7" ht="15.75" customHeight="1">
      <c r="G228" s="2"/>
    </row>
    <row r="229" spans="7:7" ht="15.75" customHeight="1">
      <c r="G229" s="2"/>
    </row>
    <row r="230" spans="7:7" ht="15.75" customHeight="1">
      <c r="G230" s="2"/>
    </row>
    <row r="231" spans="7:7" ht="15.75" customHeight="1">
      <c r="G231" s="2"/>
    </row>
    <row r="232" spans="7:7" ht="15.75" customHeight="1">
      <c r="G232" s="2"/>
    </row>
    <row r="233" spans="7:7" ht="15.75" customHeight="1">
      <c r="G233" s="2"/>
    </row>
    <row r="234" spans="7:7" ht="15.75" customHeight="1">
      <c r="G234" s="2"/>
    </row>
    <row r="235" spans="7:7" ht="15.75" customHeight="1">
      <c r="G235" s="2"/>
    </row>
    <row r="236" spans="7:7" ht="15.75" customHeight="1">
      <c r="G236" s="2"/>
    </row>
    <row r="237" spans="7:7" ht="15.75" customHeight="1">
      <c r="G237" s="2"/>
    </row>
    <row r="238" spans="7:7" ht="15.75" customHeight="1">
      <c r="G238" s="2"/>
    </row>
    <row r="239" spans="7:7" ht="15.75" customHeight="1">
      <c r="G239" s="2"/>
    </row>
    <row r="240" spans="7:7" ht="15.75" customHeight="1">
      <c r="G240" s="2"/>
    </row>
    <row r="241" spans="7:7" ht="15.75" customHeight="1">
      <c r="G241" s="2"/>
    </row>
    <row r="242" spans="7:7" ht="15.75" customHeight="1">
      <c r="G242" s="2"/>
    </row>
    <row r="243" spans="7:7" ht="15.75" customHeight="1">
      <c r="G243" s="2"/>
    </row>
    <row r="244" spans="7:7" ht="15.75" customHeight="1">
      <c r="G244" s="2"/>
    </row>
    <row r="245" spans="7:7" ht="15.75" customHeight="1">
      <c r="G245" s="2"/>
    </row>
    <row r="246" spans="7:7" ht="15.75" customHeight="1">
      <c r="G246" s="2"/>
    </row>
    <row r="247" spans="7:7" ht="15.75" customHeight="1">
      <c r="G247" s="2"/>
    </row>
    <row r="248" spans="7:7" ht="15.75" customHeight="1">
      <c r="G248" s="2"/>
    </row>
    <row r="249" spans="7:7" ht="15.75" customHeight="1">
      <c r="G249" s="2"/>
    </row>
    <row r="250" spans="7:7" ht="15.75" customHeight="1">
      <c r="G250" s="2"/>
    </row>
    <row r="251" spans="7:7" ht="15.75" customHeight="1">
      <c r="G251" s="2"/>
    </row>
    <row r="252" spans="7:7" ht="15.75" customHeight="1">
      <c r="G252" s="2"/>
    </row>
    <row r="253" spans="7:7" ht="15.75" customHeight="1">
      <c r="G253" s="2"/>
    </row>
    <row r="254" spans="7:7" ht="15.75" customHeight="1">
      <c r="G254" s="2"/>
    </row>
    <row r="255" spans="7:7" ht="15.75" customHeight="1">
      <c r="G255" s="2"/>
    </row>
    <row r="256" spans="7:7" ht="15.75" customHeight="1">
      <c r="G256" s="2"/>
    </row>
    <row r="257" spans="7:7" ht="15.75" customHeight="1">
      <c r="G257" s="2"/>
    </row>
    <row r="258" spans="7:7" ht="15.75" customHeight="1">
      <c r="G258" s="2"/>
    </row>
    <row r="259" spans="7:7" ht="15.75" customHeight="1">
      <c r="G259" s="2"/>
    </row>
    <row r="260" spans="7:7" ht="15.75" customHeight="1">
      <c r="G260" s="2"/>
    </row>
    <row r="261" spans="7:7" ht="15.75" customHeight="1">
      <c r="G261" s="2"/>
    </row>
    <row r="262" spans="7:7" ht="15.75" customHeight="1">
      <c r="G262" s="2"/>
    </row>
    <row r="263" spans="7:7" ht="15.75" customHeight="1">
      <c r="G263" s="2"/>
    </row>
    <row r="264" spans="7:7" ht="15.75" customHeight="1">
      <c r="G264" s="2"/>
    </row>
    <row r="265" spans="7:7" ht="15.75" customHeight="1">
      <c r="G265" s="2"/>
    </row>
    <row r="266" spans="7:7" ht="15.75" customHeight="1">
      <c r="G266" s="2"/>
    </row>
    <row r="267" spans="7:7" ht="15.75" customHeight="1">
      <c r="G267" s="2"/>
    </row>
    <row r="268" spans="7:7" ht="15.75" customHeight="1">
      <c r="G268" s="2"/>
    </row>
    <row r="269" spans="7:7" ht="15.75" customHeight="1">
      <c r="G269" s="2"/>
    </row>
    <row r="270" spans="7:7" ht="15.75" customHeight="1">
      <c r="G270" s="2"/>
    </row>
    <row r="271" spans="7:7" ht="15.75" customHeight="1">
      <c r="G271" s="2"/>
    </row>
    <row r="272" spans="7:7" ht="15.75" customHeight="1">
      <c r="G272" s="2"/>
    </row>
    <row r="273" spans="7:7" ht="15.75" customHeight="1">
      <c r="G273" s="2"/>
    </row>
    <row r="274" spans="7:7" ht="15.75" customHeight="1">
      <c r="G274" s="2"/>
    </row>
    <row r="275" spans="7:7" ht="15.75" customHeight="1">
      <c r="G275" s="2"/>
    </row>
    <row r="276" spans="7:7" ht="15.75" customHeight="1">
      <c r="G276" s="2"/>
    </row>
    <row r="277" spans="7:7" ht="15.75" customHeight="1">
      <c r="G277" s="2"/>
    </row>
    <row r="278" spans="7:7" ht="15.75" customHeight="1">
      <c r="G278" s="2"/>
    </row>
    <row r="279" spans="7:7" ht="15.75" customHeight="1">
      <c r="G279" s="2"/>
    </row>
    <row r="280" spans="7:7" ht="15.75" customHeight="1">
      <c r="G280" s="2"/>
    </row>
    <row r="281" spans="7:7" ht="15.75" customHeight="1">
      <c r="G281" s="2"/>
    </row>
    <row r="282" spans="7:7" ht="15.75" customHeight="1">
      <c r="G282" s="2"/>
    </row>
    <row r="283" spans="7:7" ht="15.75" customHeight="1">
      <c r="G283" s="2"/>
    </row>
    <row r="284" spans="7:7" ht="15.75" customHeight="1">
      <c r="G284" s="2"/>
    </row>
    <row r="285" spans="7:7" ht="15.75" customHeight="1">
      <c r="G285" s="2"/>
    </row>
    <row r="286" spans="7:7" ht="15.75" customHeight="1">
      <c r="G286" s="2"/>
    </row>
    <row r="287" spans="7:7" ht="15.75" customHeight="1">
      <c r="G287" s="2"/>
    </row>
    <row r="288" spans="7:7" ht="15.75" customHeight="1">
      <c r="G288" s="2"/>
    </row>
    <row r="289" spans="7:7" ht="15.75" customHeight="1">
      <c r="G289" s="2"/>
    </row>
    <row r="290" spans="7:7" ht="15.75" customHeight="1">
      <c r="G290" s="2"/>
    </row>
    <row r="291" spans="7:7" ht="15.75" customHeight="1">
      <c r="G291" s="2"/>
    </row>
    <row r="292" spans="7:7" ht="15.75" customHeight="1">
      <c r="G292" s="2"/>
    </row>
    <row r="293" spans="7:7" ht="15.75" customHeight="1">
      <c r="G293" s="2"/>
    </row>
    <row r="294" spans="7:7" ht="15.75" customHeight="1">
      <c r="G294" s="2"/>
    </row>
    <row r="295" spans="7:7" ht="15.75" customHeight="1">
      <c r="G295" s="2"/>
    </row>
    <row r="296" spans="7:7" ht="15.75" customHeight="1">
      <c r="G296" s="2"/>
    </row>
    <row r="297" spans="7:7" ht="15.75" customHeight="1">
      <c r="G297" s="2"/>
    </row>
    <row r="298" spans="7:7" ht="15.75" customHeight="1">
      <c r="G298" s="2"/>
    </row>
    <row r="299" spans="7:7" ht="15.75" customHeight="1">
      <c r="G299" s="2"/>
    </row>
    <row r="300" spans="7:7" ht="15.75" customHeight="1">
      <c r="G300" s="2"/>
    </row>
    <row r="301" spans="7:7" ht="15.75" customHeight="1">
      <c r="G301" s="2"/>
    </row>
    <row r="302" spans="7:7" ht="15.75" customHeight="1">
      <c r="G302" s="2"/>
    </row>
    <row r="303" spans="7:7" ht="15.75" customHeight="1">
      <c r="G303" s="2"/>
    </row>
    <row r="304" spans="7:7" ht="15.75" customHeight="1">
      <c r="G304" s="2"/>
    </row>
    <row r="305" spans="7:7" ht="15.75" customHeight="1">
      <c r="G305" s="2"/>
    </row>
    <row r="306" spans="7:7" ht="15.75" customHeight="1">
      <c r="G306" s="2"/>
    </row>
    <row r="307" spans="7:7" ht="15.75" customHeight="1">
      <c r="G307" s="2"/>
    </row>
    <row r="308" spans="7:7" ht="15.75" customHeight="1">
      <c r="G308" s="2"/>
    </row>
    <row r="309" spans="7:7" ht="15.75" customHeight="1">
      <c r="G309" s="2"/>
    </row>
    <row r="310" spans="7:7" ht="15.75" customHeight="1">
      <c r="G310" s="2"/>
    </row>
    <row r="311" spans="7:7" ht="15.75" customHeight="1">
      <c r="G311" s="2"/>
    </row>
    <row r="312" spans="7:7" ht="15.75" customHeight="1">
      <c r="G312" s="2"/>
    </row>
    <row r="313" spans="7:7" ht="15.75" customHeight="1">
      <c r="G313" s="2"/>
    </row>
    <row r="314" spans="7:7" ht="15.75" customHeight="1">
      <c r="G314" s="2"/>
    </row>
    <row r="315" spans="7:7" ht="15.75" customHeight="1">
      <c r="G315" s="2"/>
    </row>
    <row r="316" spans="7:7" ht="15.75" customHeight="1">
      <c r="G316" s="2"/>
    </row>
    <row r="317" spans="7:7" ht="15.75" customHeight="1">
      <c r="G317" s="2"/>
    </row>
    <row r="318" spans="7:7" ht="15.75" customHeight="1">
      <c r="G318" s="2"/>
    </row>
    <row r="319" spans="7:7" ht="15.75" customHeight="1">
      <c r="G319" s="2"/>
    </row>
    <row r="320" spans="7:7" ht="15.75" customHeight="1">
      <c r="G320" s="2"/>
    </row>
    <row r="321" spans="7:7" ht="15.75" customHeight="1">
      <c r="G321" s="2"/>
    </row>
    <row r="322" spans="7:7" ht="15.75" customHeight="1">
      <c r="G322" s="2"/>
    </row>
    <row r="323" spans="7:7" ht="15.75" customHeight="1">
      <c r="G323" s="2"/>
    </row>
    <row r="324" spans="7:7" ht="15.75" customHeight="1">
      <c r="G324" s="2"/>
    </row>
    <row r="325" spans="7:7" ht="15.75" customHeight="1">
      <c r="G325" s="2"/>
    </row>
    <row r="326" spans="7:7" ht="15.75" customHeight="1">
      <c r="G326" s="2"/>
    </row>
    <row r="327" spans="7:7" ht="15.75" customHeight="1">
      <c r="G327" s="2"/>
    </row>
    <row r="328" spans="7:7" ht="15.75" customHeight="1">
      <c r="G328" s="2"/>
    </row>
    <row r="329" spans="7:7" ht="15.75" customHeight="1">
      <c r="G329" s="2"/>
    </row>
    <row r="330" spans="7:7" ht="15.75" customHeight="1">
      <c r="G330" s="2"/>
    </row>
    <row r="331" spans="7:7" ht="15.75" customHeight="1">
      <c r="G331" s="2"/>
    </row>
    <row r="332" spans="7:7" ht="15.75" customHeight="1">
      <c r="G332" s="2"/>
    </row>
    <row r="333" spans="7:7" ht="15.75" customHeight="1">
      <c r="G333" s="2"/>
    </row>
    <row r="334" spans="7:7" ht="15.75" customHeight="1">
      <c r="G334" s="2"/>
    </row>
    <row r="335" spans="7:7" ht="15.75" customHeight="1">
      <c r="G335" s="2"/>
    </row>
    <row r="336" spans="7:7" ht="15.75" customHeight="1">
      <c r="G336" s="2"/>
    </row>
    <row r="337" spans="7:7" ht="15.75" customHeight="1">
      <c r="G337" s="2"/>
    </row>
    <row r="338" spans="7:7" ht="15.75" customHeight="1">
      <c r="G338" s="2"/>
    </row>
    <row r="339" spans="7:7" ht="15.75" customHeight="1">
      <c r="G339" s="2"/>
    </row>
    <row r="340" spans="7:7" ht="15.75" customHeight="1">
      <c r="G340" s="2"/>
    </row>
    <row r="341" spans="7:7" ht="15.75" customHeight="1">
      <c r="G341" s="2"/>
    </row>
    <row r="342" spans="7:7" ht="15.75" customHeight="1">
      <c r="G342" s="2"/>
    </row>
    <row r="343" spans="7:7" ht="15.75" customHeight="1">
      <c r="G343" s="2"/>
    </row>
    <row r="344" spans="7:7" ht="15.75" customHeight="1">
      <c r="G344" s="2"/>
    </row>
    <row r="345" spans="7:7" ht="15.75" customHeight="1">
      <c r="G345" s="2"/>
    </row>
    <row r="346" spans="7:7" ht="15.75" customHeight="1">
      <c r="G346" s="2"/>
    </row>
    <row r="347" spans="7:7" ht="15.75" customHeight="1">
      <c r="G347" s="2"/>
    </row>
    <row r="348" spans="7:7" ht="15.75" customHeight="1">
      <c r="G348" s="2"/>
    </row>
    <row r="349" spans="7:7" ht="15.75" customHeight="1">
      <c r="G349" s="2"/>
    </row>
    <row r="350" spans="7:7" ht="15.75" customHeight="1">
      <c r="G350" s="2"/>
    </row>
    <row r="351" spans="7:7" ht="15.75" customHeight="1">
      <c r="G351" s="2"/>
    </row>
    <row r="352" spans="7:7" ht="15.75" customHeight="1">
      <c r="G352" s="2"/>
    </row>
    <row r="353" spans="7:7" ht="15.75" customHeight="1">
      <c r="G353" s="2"/>
    </row>
    <row r="354" spans="7:7" ht="15.75" customHeight="1">
      <c r="G354" s="2"/>
    </row>
    <row r="355" spans="7:7" ht="15.75" customHeight="1">
      <c r="G355" s="2"/>
    </row>
    <row r="356" spans="7:7" ht="15.75" customHeight="1">
      <c r="G356" s="2"/>
    </row>
    <row r="357" spans="7:7" ht="15.75" customHeight="1">
      <c r="G357" s="2"/>
    </row>
    <row r="358" spans="7:7" ht="15.75" customHeight="1">
      <c r="G358" s="2"/>
    </row>
    <row r="359" spans="7:7" ht="15.75" customHeight="1">
      <c r="G359" s="2"/>
    </row>
    <row r="360" spans="7:7" ht="15.75" customHeight="1">
      <c r="G360" s="2"/>
    </row>
    <row r="361" spans="7:7" ht="15.75" customHeight="1">
      <c r="G361" s="2"/>
    </row>
    <row r="362" spans="7:7" ht="15.75" customHeight="1">
      <c r="G362" s="2"/>
    </row>
    <row r="363" spans="7:7" ht="15.75" customHeight="1">
      <c r="G363" s="2"/>
    </row>
    <row r="364" spans="7:7" ht="15.75" customHeight="1">
      <c r="G364" s="2"/>
    </row>
    <row r="365" spans="7:7" ht="15.75" customHeight="1">
      <c r="G365" s="2"/>
    </row>
    <row r="366" spans="7:7" ht="15.75" customHeight="1">
      <c r="G366" s="2"/>
    </row>
    <row r="367" spans="7:7" ht="15.75" customHeight="1">
      <c r="G367" s="2"/>
    </row>
    <row r="368" spans="7:7" ht="15.75" customHeight="1">
      <c r="G368" s="2"/>
    </row>
    <row r="369" spans="7:7" ht="15.75" customHeight="1">
      <c r="G369" s="2"/>
    </row>
    <row r="370" spans="7:7" ht="15.75" customHeight="1">
      <c r="G370" s="2"/>
    </row>
    <row r="371" spans="7:7" ht="15.75" customHeight="1">
      <c r="G371" s="2"/>
    </row>
    <row r="372" spans="7:7" ht="15.75" customHeight="1">
      <c r="G372" s="2"/>
    </row>
    <row r="373" spans="7:7" ht="15.75" customHeight="1">
      <c r="G373" s="2"/>
    </row>
    <row r="374" spans="7:7" ht="15.75" customHeight="1">
      <c r="G374" s="2"/>
    </row>
    <row r="375" spans="7:7" ht="15.75" customHeight="1">
      <c r="G375" s="2"/>
    </row>
    <row r="376" spans="7:7" ht="15.75" customHeight="1">
      <c r="G376" s="2"/>
    </row>
    <row r="377" spans="7:7" ht="15.75" customHeight="1">
      <c r="G377" s="2"/>
    </row>
    <row r="378" spans="7:7" ht="15.75" customHeight="1">
      <c r="G378" s="2"/>
    </row>
    <row r="379" spans="7:7" ht="15.75" customHeight="1">
      <c r="G379" s="2"/>
    </row>
    <row r="380" spans="7:7" ht="15.75" customHeight="1">
      <c r="G380" s="2"/>
    </row>
    <row r="381" spans="7:7" ht="15.75" customHeight="1">
      <c r="G381" s="2"/>
    </row>
    <row r="382" spans="7:7" ht="15.75" customHeight="1">
      <c r="G382" s="2"/>
    </row>
    <row r="383" spans="7:7" ht="15.75" customHeight="1">
      <c r="G383" s="2"/>
    </row>
    <row r="384" spans="7:7" ht="15.75" customHeight="1">
      <c r="G384" s="2"/>
    </row>
    <row r="385" spans="7:7" ht="15.75" customHeight="1">
      <c r="G385" s="2"/>
    </row>
    <row r="386" spans="7:7" ht="15.75" customHeight="1">
      <c r="G386" s="2"/>
    </row>
    <row r="387" spans="7:7" ht="15.75" customHeight="1">
      <c r="G387" s="2"/>
    </row>
    <row r="388" spans="7:7" ht="15.75" customHeight="1">
      <c r="G388" s="2"/>
    </row>
    <row r="389" spans="7:7" ht="15.75" customHeight="1">
      <c r="G389" s="2"/>
    </row>
    <row r="390" spans="7:7" ht="15.75" customHeight="1">
      <c r="G390" s="2"/>
    </row>
    <row r="391" spans="7:7" ht="15.75" customHeight="1">
      <c r="G391" s="2"/>
    </row>
    <row r="392" spans="7:7" ht="15.75" customHeight="1">
      <c r="G392" s="2"/>
    </row>
    <row r="393" spans="7:7" ht="15.75" customHeight="1">
      <c r="G393" s="2"/>
    </row>
    <row r="394" spans="7:7" ht="15.75" customHeight="1">
      <c r="G394" s="2"/>
    </row>
    <row r="395" spans="7:7" ht="15.75" customHeight="1">
      <c r="G395" s="2"/>
    </row>
    <row r="396" spans="7:7" ht="15.75" customHeight="1">
      <c r="G396" s="2"/>
    </row>
    <row r="397" spans="7:7" ht="15.75" customHeight="1">
      <c r="G397" s="2"/>
    </row>
    <row r="398" spans="7:7" ht="15.75" customHeight="1">
      <c r="G398" s="2"/>
    </row>
    <row r="399" spans="7:7" ht="15.75" customHeight="1">
      <c r="G399" s="2"/>
    </row>
    <row r="400" spans="7:7" ht="15.75" customHeight="1">
      <c r="G400" s="2"/>
    </row>
    <row r="401" spans="7:7" ht="15.75" customHeight="1">
      <c r="G401" s="2"/>
    </row>
    <row r="402" spans="7:7" ht="15.75" customHeight="1">
      <c r="G402" s="2"/>
    </row>
    <row r="403" spans="7:7" ht="15.75" customHeight="1">
      <c r="G403" s="2"/>
    </row>
    <row r="404" spans="7:7" ht="15.75" customHeight="1">
      <c r="G404" s="2"/>
    </row>
    <row r="405" spans="7:7" ht="15.75" customHeight="1">
      <c r="G405" s="2"/>
    </row>
    <row r="406" spans="7:7" ht="15.75" customHeight="1">
      <c r="G406" s="2"/>
    </row>
    <row r="407" spans="7:7" ht="15.75" customHeight="1">
      <c r="G407" s="2"/>
    </row>
    <row r="408" spans="7:7" ht="15.75" customHeight="1">
      <c r="G408" s="2"/>
    </row>
    <row r="409" spans="7:7" ht="15.75" customHeight="1">
      <c r="G409" s="2"/>
    </row>
    <row r="410" spans="7:7" ht="15.75" customHeight="1">
      <c r="G410" s="2"/>
    </row>
    <row r="411" spans="7:7" ht="15.75" customHeight="1">
      <c r="G411" s="2"/>
    </row>
    <row r="412" spans="7:7" ht="15.75" customHeight="1">
      <c r="G412" s="2"/>
    </row>
    <row r="413" spans="7:7" ht="15.75" customHeight="1">
      <c r="G413" s="2"/>
    </row>
    <row r="414" spans="7:7" ht="15.75" customHeight="1">
      <c r="G414" s="2"/>
    </row>
    <row r="415" spans="7:7" ht="15.75" customHeight="1">
      <c r="G415" s="2"/>
    </row>
    <row r="416" spans="7:7" ht="15.75" customHeight="1">
      <c r="G416" s="2"/>
    </row>
    <row r="417" spans="7:7" ht="15.75" customHeight="1">
      <c r="G417" s="2"/>
    </row>
    <row r="418" spans="7:7" ht="15.75" customHeight="1">
      <c r="G418" s="2"/>
    </row>
    <row r="419" spans="7:7" ht="15.75" customHeight="1">
      <c r="G419" s="2"/>
    </row>
    <row r="420" spans="7:7" ht="15.75" customHeight="1">
      <c r="G420" s="2"/>
    </row>
    <row r="421" spans="7:7" ht="15.75" customHeight="1">
      <c r="G421" s="2"/>
    </row>
    <row r="422" spans="7:7" ht="15.75" customHeight="1">
      <c r="G422" s="2"/>
    </row>
    <row r="423" spans="7:7" ht="15.75" customHeight="1">
      <c r="G423" s="2"/>
    </row>
    <row r="424" spans="7:7" ht="15.75" customHeight="1">
      <c r="G424" s="2"/>
    </row>
    <row r="425" spans="7:7" ht="15.75" customHeight="1">
      <c r="G425" s="2"/>
    </row>
    <row r="426" spans="7:7" ht="15.75" customHeight="1">
      <c r="G426" s="2"/>
    </row>
    <row r="427" spans="7:7" ht="15.75" customHeight="1">
      <c r="G427" s="2"/>
    </row>
    <row r="428" spans="7:7" ht="15.75" customHeight="1">
      <c r="G428" s="2"/>
    </row>
    <row r="429" spans="7:7" ht="15.75" customHeight="1">
      <c r="G429" s="2"/>
    </row>
    <row r="430" spans="7:7" ht="15.75" customHeight="1">
      <c r="G430" s="2"/>
    </row>
    <row r="431" spans="7:7" ht="15.75" customHeight="1">
      <c r="G431" s="2"/>
    </row>
    <row r="432" spans="7:7" ht="15.75" customHeight="1">
      <c r="G432" s="2"/>
    </row>
    <row r="433" spans="7:7" ht="15.75" customHeight="1">
      <c r="G433" s="2"/>
    </row>
    <row r="434" spans="7:7" ht="15.75" customHeight="1">
      <c r="G434" s="2"/>
    </row>
    <row r="435" spans="7:7" ht="15.75" customHeight="1">
      <c r="G435" s="2"/>
    </row>
    <row r="436" spans="7:7" ht="15.75" customHeight="1">
      <c r="G436" s="2"/>
    </row>
    <row r="437" spans="7:7" ht="15.75" customHeight="1">
      <c r="G437" s="2"/>
    </row>
    <row r="438" spans="7:7" ht="15.75" customHeight="1">
      <c r="G438" s="2"/>
    </row>
    <row r="439" spans="7:7" ht="15.75" customHeight="1">
      <c r="G439" s="2"/>
    </row>
    <row r="440" spans="7:7" ht="15.75" customHeight="1">
      <c r="G440" s="2"/>
    </row>
    <row r="441" spans="7:7" ht="15.75" customHeight="1">
      <c r="G441" s="2"/>
    </row>
    <row r="442" spans="7:7" ht="15.75" customHeight="1">
      <c r="G442" s="2"/>
    </row>
    <row r="443" spans="7:7" ht="15.75" customHeight="1">
      <c r="G443" s="2"/>
    </row>
    <row r="444" spans="7:7" ht="15.75" customHeight="1">
      <c r="G444" s="2"/>
    </row>
    <row r="445" spans="7:7" ht="15.75" customHeight="1">
      <c r="G445" s="2"/>
    </row>
    <row r="446" spans="7:7" ht="15.75" customHeight="1">
      <c r="G446" s="2"/>
    </row>
    <row r="447" spans="7:7" ht="15.75" customHeight="1">
      <c r="G447" s="2"/>
    </row>
    <row r="448" spans="7:7" ht="15.75" customHeight="1">
      <c r="G448" s="2"/>
    </row>
    <row r="449" spans="7:7" ht="15.75" customHeight="1">
      <c r="G449" s="2"/>
    </row>
    <row r="450" spans="7:7" ht="15.75" customHeight="1">
      <c r="G450" s="2"/>
    </row>
    <row r="451" spans="7:7" ht="15.75" customHeight="1">
      <c r="G451" s="2"/>
    </row>
    <row r="452" spans="7:7" ht="15.75" customHeight="1">
      <c r="G452" s="2"/>
    </row>
    <row r="453" spans="7:7" ht="15.75" customHeight="1">
      <c r="G453" s="2"/>
    </row>
    <row r="454" spans="7:7" ht="15.75" customHeight="1">
      <c r="G454" s="2"/>
    </row>
    <row r="455" spans="7:7" ht="15.75" customHeight="1">
      <c r="G455" s="2"/>
    </row>
    <row r="456" spans="7:7" ht="15.75" customHeight="1">
      <c r="G456" s="2"/>
    </row>
    <row r="457" spans="7:7" ht="15.75" customHeight="1">
      <c r="G457" s="2"/>
    </row>
    <row r="458" spans="7:7" ht="15.75" customHeight="1">
      <c r="G458" s="2"/>
    </row>
    <row r="459" spans="7:7" ht="15.75" customHeight="1">
      <c r="G459" s="2"/>
    </row>
    <row r="460" spans="7:7" ht="15.75" customHeight="1">
      <c r="G460" s="2"/>
    </row>
    <row r="461" spans="7:7" ht="15.75" customHeight="1">
      <c r="G461" s="2"/>
    </row>
    <row r="462" spans="7:7" ht="15.75" customHeight="1">
      <c r="G462" s="2"/>
    </row>
    <row r="463" spans="7:7" ht="15.75" customHeight="1">
      <c r="G463" s="2"/>
    </row>
    <row r="464" spans="7:7" ht="15.75" customHeight="1">
      <c r="G464" s="2"/>
    </row>
    <row r="465" spans="7:7" ht="15.75" customHeight="1">
      <c r="G465" s="2"/>
    </row>
    <row r="466" spans="7:7" ht="15.75" customHeight="1">
      <c r="G466" s="2"/>
    </row>
    <row r="467" spans="7:7" ht="15.75" customHeight="1">
      <c r="G467" s="2"/>
    </row>
    <row r="468" spans="7:7" ht="15.75" customHeight="1">
      <c r="G468" s="2"/>
    </row>
    <row r="469" spans="7:7" ht="15.75" customHeight="1">
      <c r="G469" s="2"/>
    </row>
    <row r="470" spans="7:7" ht="15.75" customHeight="1">
      <c r="G470" s="2"/>
    </row>
    <row r="471" spans="7:7" ht="15.75" customHeight="1">
      <c r="G471" s="2"/>
    </row>
    <row r="472" spans="7:7" ht="15.75" customHeight="1">
      <c r="G472" s="2"/>
    </row>
    <row r="473" spans="7:7" ht="15.75" customHeight="1">
      <c r="G473" s="2"/>
    </row>
    <row r="474" spans="7:7" ht="15.75" customHeight="1">
      <c r="G474" s="2"/>
    </row>
    <row r="475" spans="7:7" ht="15.75" customHeight="1">
      <c r="G475" s="2"/>
    </row>
    <row r="476" spans="7:7" ht="15.75" customHeight="1">
      <c r="G476" s="2"/>
    </row>
    <row r="477" spans="7:7" ht="15.75" customHeight="1">
      <c r="G477" s="2"/>
    </row>
    <row r="478" spans="7:7" ht="15.75" customHeight="1">
      <c r="G478" s="2"/>
    </row>
    <row r="479" spans="7:7" ht="15.75" customHeight="1">
      <c r="G479" s="2"/>
    </row>
    <row r="480" spans="7:7" ht="15.75" customHeight="1">
      <c r="G480" s="2"/>
    </row>
    <row r="481" spans="7:7" ht="15.75" customHeight="1">
      <c r="G481" s="2"/>
    </row>
    <row r="482" spans="7:7" ht="15.75" customHeight="1">
      <c r="G482" s="2"/>
    </row>
    <row r="483" spans="7:7" ht="15.75" customHeight="1">
      <c r="G483" s="2"/>
    </row>
    <row r="484" spans="7:7" ht="15.75" customHeight="1">
      <c r="G484" s="2"/>
    </row>
    <row r="485" spans="7:7" ht="15.75" customHeight="1">
      <c r="G485" s="2"/>
    </row>
    <row r="486" spans="7:7" ht="15.75" customHeight="1">
      <c r="G486" s="2"/>
    </row>
    <row r="487" spans="7:7" ht="15.75" customHeight="1">
      <c r="G487" s="2"/>
    </row>
    <row r="488" spans="7:7" ht="15.75" customHeight="1">
      <c r="G488" s="2"/>
    </row>
    <row r="489" spans="7:7" ht="15.75" customHeight="1">
      <c r="G489" s="2"/>
    </row>
    <row r="490" spans="7:7" ht="15.75" customHeight="1">
      <c r="G490" s="2"/>
    </row>
    <row r="491" spans="7:7" ht="15.75" customHeight="1">
      <c r="G491" s="2"/>
    </row>
    <row r="492" spans="7:7" ht="15.75" customHeight="1">
      <c r="G492" s="2"/>
    </row>
    <row r="493" spans="7:7" ht="15.75" customHeight="1">
      <c r="G493" s="2"/>
    </row>
    <row r="494" spans="7:7" ht="15.75" customHeight="1">
      <c r="G494" s="2"/>
    </row>
    <row r="495" spans="7:7" ht="15.75" customHeight="1">
      <c r="G495" s="2"/>
    </row>
    <row r="496" spans="7:7" ht="15.75" customHeight="1">
      <c r="G496" s="2"/>
    </row>
    <row r="497" spans="7:7" ht="15.75" customHeight="1">
      <c r="G497" s="2"/>
    </row>
    <row r="498" spans="7:7" ht="15.75" customHeight="1">
      <c r="G498" s="2"/>
    </row>
    <row r="499" spans="7:7" ht="15.75" customHeight="1">
      <c r="G499" s="2"/>
    </row>
    <row r="500" spans="7:7" ht="15.75" customHeight="1">
      <c r="G500" s="2"/>
    </row>
    <row r="501" spans="7:7" ht="15.75" customHeight="1">
      <c r="G501" s="2"/>
    </row>
    <row r="502" spans="7:7" ht="15.75" customHeight="1">
      <c r="G502" s="2"/>
    </row>
    <row r="503" spans="7:7" ht="15.75" customHeight="1">
      <c r="G503" s="2"/>
    </row>
    <row r="504" spans="7:7" ht="15.75" customHeight="1">
      <c r="G504" s="2"/>
    </row>
    <row r="505" spans="7:7" ht="15.75" customHeight="1">
      <c r="G505" s="2"/>
    </row>
    <row r="506" spans="7:7" ht="15.75" customHeight="1">
      <c r="G506" s="2"/>
    </row>
    <row r="507" spans="7:7" ht="15.75" customHeight="1">
      <c r="G507" s="2"/>
    </row>
    <row r="508" spans="7:7" ht="15.75" customHeight="1">
      <c r="G508" s="2"/>
    </row>
    <row r="509" spans="7:7" ht="15.75" customHeight="1">
      <c r="G509" s="2"/>
    </row>
    <row r="510" spans="7:7" ht="15.75" customHeight="1">
      <c r="G510" s="2"/>
    </row>
    <row r="511" spans="7:7" ht="15.75" customHeight="1">
      <c r="G511" s="2"/>
    </row>
    <row r="512" spans="7:7" ht="15.75" customHeight="1">
      <c r="G512" s="2"/>
    </row>
    <row r="513" spans="7:7" ht="15.75" customHeight="1">
      <c r="G513" s="2"/>
    </row>
    <row r="514" spans="7:7" ht="15.75" customHeight="1">
      <c r="G514" s="2"/>
    </row>
    <row r="515" spans="7:7" ht="15.75" customHeight="1">
      <c r="G515" s="2"/>
    </row>
    <row r="516" spans="7:7" ht="15.75" customHeight="1">
      <c r="G516" s="2"/>
    </row>
    <row r="517" spans="7:7" ht="15.75" customHeight="1">
      <c r="G517" s="2"/>
    </row>
    <row r="518" spans="7:7" ht="15.75" customHeight="1">
      <c r="G518" s="2"/>
    </row>
    <row r="519" spans="7:7" ht="15.75" customHeight="1">
      <c r="G519" s="2"/>
    </row>
    <row r="520" spans="7:7" ht="15.75" customHeight="1">
      <c r="G520" s="2"/>
    </row>
    <row r="521" spans="7:7" ht="15.75" customHeight="1">
      <c r="G521" s="2"/>
    </row>
    <row r="522" spans="7:7" ht="15.75" customHeight="1">
      <c r="G522" s="2"/>
    </row>
    <row r="523" spans="7:7" ht="15.75" customHeight="1">
      <c r="G523" s="2"/>
    </row>
    <row r="524" spans="7:7" ht="15.75" customHeight="1">
      <c r="G524" s="2"/>
    </row>
    <row r="525" spans="7:7" ht="15.75" customHeight="1">
      <c r="G525" s="2"/>
    </row>
    <row r="526" spans="7:7" ht="15.75" customHeight="1">
      <c r="G526" s="2"/>
    </row>
    <row r="527" spans="7:7" ht="15.75" customHeight="1">
      <c r="G527" s="2"/>
    </row>
    <row r="528" spans="7:7" ht="15.75" customHeight="1">
      <c r="G528" s="2"/>
    </row>
    <row r="529" spans="7:7" ht="15.75" customHeight="1">
      <c r="G529" s="2"/>
    </row>
    <row r="530" spans="7:7" ht="15.75" customHeight="1">
      <c r="G530" s="2"/>
    </row>
    <row r="531" spans="7:7" ht="15.75" customHeight="1">
      <c r="G531" s="2"/>
    </row>
    <row r="532" spans="7:7" ht="15.75" customHeight="1">
      <c r="G532" s="2"/>
    </row>
    <row r="533" spans="7:7" ht="15.75" customHeight="1">
      <c r="G533" s="2"/>
    </row>
    <row r="534" spans="7:7" ht="15.75" customHeight="1">
      <c r="G534" s="2"/>
    </row>
    <row r="535" spans="7:7" ht="15.75" customHeight="1">
      <c r="G535" s="2"/>
    </row>
    <row r="536" spans="7:7" ht="15.75" customHeight="1">
      <c r="G536" s="2"/>
    </row>
    <row r="537" spans="7:7" ht="15.75" customHeight="1">
      <c r="G537" s="2"/>
    </row>
    <row r="538" spans="7:7" ht="15.75" customHeight="1">
      <c r="G538" s="2"/>
    </row>
    <row r="539" spans="7:7" ht="15.75" customHeight="1">
      <c r="G539" s="2"/>
    </row>
    <row r="540" spans="7:7" ht="15.75" customHeight="1">
      <c r="G540" s="2"/>
    </row>
    <row r="541" spans="7:7" ht="15.75" customHeight="1">
      <c r="G541" s="2"/>
    </row>
    <row r="542" spans="7:7" ht="15.75" customHeight="1">
      <c r="G542" s="2"/>
    </row>
    <row r="543" spans="7:7" ht="15.75" customHeight="1">
      <c r="G543" s="2"/>
    </row>
    <row r="544" spans="7:7" ht="15.75" customHeight="1">
      <c r="G544" s="2"/>
    </row>
    <row r="545" spans="7:7" ht="15.75" customHeight="1">
      <c r="G545" s="2"/>
    </row>
    <row r="546" spans="7:7" ht="15.75" customHeight="1">
      <c r="G546" s="2"/>
    </row>
    <row r="547" spans="7:7" ht="15.75" customHeight="1">
      <c r="G547" s="2"/>
    </row>
    <row r="548" spans="7:7" ht="15.75" customHeight="1">
      <c r="G548" s="2"/>
    </row>
    <row r="549" spans="7:7" ht="15.75" customHeight="1">
      <c r="G549" s="2"/>
    </row>
    <row r="550" spans="7:7" ht="15.75" customHeight="1">
      <c r="G550" s="2"/>
    </row>
    <row r="551" spans="7:7" ht="15.75" customHeight="1">
      <c r="G551" s="2"/>
    </row>
    <row r="552" spans="7:7" ht="15.75" customHeight="1">
      <c r="G552" s="2"/>
    </row>
    <row r="553" spans="7:7" ht="15.75" customHeight="1">
      <c r="G553" s="2"/>
    </row>
    <row r="554" spans="7:7" ht="15.75" customHeight="1">
      <c r="G554" s="2"/>
    </row>
    <row r="555" spans="7:7" ht="15.75" customHeight="1">
      <c r="G555" s="2"/>
    </row>
    <row r="556" spans="7:7" ht="15.75" customHeight="1">
      <c r="G556" s="2"/>
    </row>
    <row r="557" spans="7:7" ht="15.75" customHeight="1">
      <c r="G557" s="2"/>
    </row>
    <row r="558" spans="7:7" ht="15.75" customHeight="1">
      <c r="G558" s="2"/>
    </row>
    <row r="559" spans="7:7" ht="15.75" customHeight="1">
      <c r="G559" s="2"/>
    </row>
    <row r="560" spans="7:7" ht="15.75" customHeight="1">
      <c r="G560" s="2"/>
    </row>
    <row r="561" spans="7:7" ht="15.75" customHeight="1">
      <c r="G561" s="2"/>
    </row>
    <row r="562" spans="7:7" ht="15.75" customHeight="1">
      <c r="G562" s="2"/>
    </row>
    <row r="563" spans="7:7" ht="15.75" customHeight="1">
      <c r="G563" s="2"/>
    </row>
    <row r="564" spans="7:7" ht="15.75" customHeight="1">
      <c r="G564" s="2"/>
    </row>
    <row r="565" spans="7:7" ht="15.75" customHeight="1">
      <c r="G565" s="2"/>
    </row>
    <row r="566" spans="7:7" ht="15.75" customHeight="1">
      <c r="G566" s="2"/>
    </row>
    <row r="567" spans="7:7" ht="15.75" customHeight="1">
      <c r="G567" s="2"/>
    </row>
    <row r="568" spans="7:7" ht="15.75" customHeight="1">
      <c r="G568" s="2"/>
    </row>
    <row r="569" spans="7:7" ht="15.75" customHeight="1">
      <c r="G569" s="2"/>
    </row>
    <row r="570" spans="7:7" ht="15.75" customHeight="1">
      <c r="G570" s="2"/>
    </row>
    <row r="571" spans="7:7" ht="15.75" customHeight="1">
      <c r="G571" s="2"/>
    </row>
    <row r="572" spans="7:7" ht="15.75" customHeight="1">
      <c r="G572" s="2"/>
    </row>
    <row r="573" spans="7:7" ht="15.75" customHeight="1">
      <c r="G573" s="2"/>
    </row>
    <row r="574" spans="7:7" ht="15.75" customHeight="1">
      <c r="G574" s="2"/>
    </row>
    <row r="575" spans="7:7" ht="15.75" customHeight="1">
      <c r="G575" s="2"/>
    </row>
    <row r="576" spans="7:7" ht="15.75" customHeight="1">
      <c r="G576" s="2"/>
    </row>
    <row r="577" spans="7:7" ht="15.75" customHeight="1">
      <c r="G577" s="2"/>
    </row>
    <row r="578" spans="7:7" ht="15.75" customHeight="1">
      <c r="G578" s="2"/>
    </row>
    <row r="579" spans="7:7" ht="15.75" customHeight="1">
      <c r="G579" s="2"/>
    </row>
    <row r="580" spans="7:7" ht="15.75" customHeight="1">
      <c r="G580" s="2"/>
    </row>
    <row r="581" spans="7:7" ht="15.75" customHeight="1">
      <c r="G581" s="2"/>
    </row>
    <row r="582" spans="7:7" ht="15.75" customHeight="1">
      <c r="G582" s="2"/>
    </row>
    <row r="583" spans="7:7" ht="15.75" customHeight="1">
      <c r="G583" s="2"/>
    </row>
    <row r="584" spans="7:7" ht="15.75" customHeight="1">
      <c r="G584" s="2"/>
    </row>
    <row r="585" spans="7:7" ht="15.75" customHeight="1">
      <c r="G585" s="2"/>
    </row>
    <row r="586" spans="7:7" ht="15.75" customHeight="1">
      <c r="G586" s="2"/>
    </row>
    <row r="587" spans="7:7" ht="15.75" customHeight="1">
      <c r="G587" s="2"/>
    </row>
    <row r="588" spans="7:7" ht="15.75" customHeight="1">
      <c r="G588" s="2"/>
    </row>
    <row r="589" spans="7:7" ht="15.75" customHeight="1">
      <c r="G589" s="2"/>
    </row>
    <row r="590" spans="7:7" ht="15.75" customHeight="1">
      <c r="G590" s="2"/>
    </row>
    <row r="591" spans="7:7" ht="15.75" customHeight="1">
      <c r="G591" s="2"/>
    </row>
    <row r="592" spans="7:7" ht="15.75" customHeight="1">
      <c r="G592" s="2"/>
    </row>
    <row r="593" spans="7:7" ht="15.75" customHeight="1">
      <c r="G593" s="2"/>
    </row>
    <row r="594" spans="7:7" ht="15.75" customHeight="1">
      <c r="G594" s="2"/>
    </row>
    <row r="595" spans="7:7" ht="15.75" customHeight="1">
      <c r="G595" s="2"/>
    </row>
    <row r="596" spans="7:7" ht="15.75" customHeight="1">
      <c r="G596" s="2"/>
    </row>
    <row r="597" spans="7:7" ht="15.75" customHeight="1">
      <c r="G597" s="2"/>
    </row>
    <row r="598" spans="7:7" ht="15.75" customHeight="1">
      <c r="G598" s="2"/>
    </row>
    <row r="599" spans="7:7" ht="15.75" customHeight="1">
      <c r="G599" s="2"/>
    </row>
    <row r="600" spans="7:7" ht="15.75" customHeight="1">
      <c r="G600" s="2"/>
    </row>
    <row r="601" spans="7:7" ht="15.75" customHeight="1">
      <c r="G601" s="2"/>
    </row>
    <row r="602" spans="7:7" ht="15.75" customHeight="1">
      <c r="G602" s="2"/>
    </row>
    <row r="603" spans="7:7" ht="15.75" customHeight="1">
      <c r="G603" s="2"/>
    </row>
    <row r="604" spans="7:7" ht="15.75" customHeight="1">
      <c r="G604" s="2"/>
    </row>
    <row r="605" spans="7:7" ht="15.75" customHeight="1">
      <c r="G605" s="2"/>
    </row>
    <row r="606" spans="7:7" ht="15.75" customHeight="1">
      <c r="G606" s="2"/>
    </row>
    <row r="607" spans="7:7" ht="15.75" customHeight="1">
      <c r="G607" s="2"/>
    </row>
    <row r="608" spans="7:7" ht="15.75" customHeight="1">
      <c r="G608" s="2"/>
    </row>
    <row r="609" spans="7:7" ht="15.75" customHeight="1">
      <c r="G609" s="2"/>
    </row>
    <row r="610" spans="7:7" ht="15.75" customHeight="1">
      <c r="G610" s="2"/>
    </row>
    <row r="611" spans="7:7" ht="15.75" customHeight="1">
      <c r="G611" s="2"/>
    </row>
    <row r="612" spans="7:7" ht="15.75" customHeight="1">
      <c r="G612" s="2"/>
    </row>
    <row r="613" spans="7:7" ht="15.75" customHeight="1">
      <c r="G613" s="2"/>
    </row>
    <row r="614" spans="7:7" ht="15.75" customHeight="1">
      <c r="G614" s="2"/>
    </row>
    <row r="615" spans="7:7" ht="15.75" customHeight="1">
      <c r="G615" s="2"/>
    </row>
    <row r="616" spans="7:7" ht="15.75" customHeight="1">
      <c r="G616" s="2"/>
    </row>
    <row r="617" spans="7:7" ht="15.75" customHeight="1">
      <c r="G617" s="2"/>
    </row>
    <row r="618" spans="7:7" ht="15.75" customHeight="1">
      <c r="G618" s="2"/>
    </row>
    <row r="619" spans="7:7" ht="15.75" customHeight="1">
      <c r="G619" s="2"/>
    </row>
    <row r="620" spans="7:7" ht="15.75" customHeight="1">
      <c r="G620" s="2"/>
    </row>
    <row r="621" spans="7:7" ht="15.75" customHeight="1">
      <c r="G621" s="2"/>
    </row>
    <row r="622" spans="7:7" ht="15.75" customHeight="1">
      <c r="G622" s="2"/>
    </row>
    <row r="623" spans="7:7" ht="15.75" customHeight="1">
      <c r="G623" s="2"/>
    </row>
    <row r="624" spans="7:7" ht="15.75" customHeight="1">
      <c r="G624" s="2"/>
    </row>
    <row r="625" spans="7:7" ht="15.75" customHeight="1">
      <c r="G625" s="2"/>
    </row>
    <row r="626" spans="7:7" ht="15.75" customHeight="1">
      <c r="G626" s="2"/>
    </row>
    <row r="627" spans="7:7" ht="15.75" customHeight="1">
      <c r="G627" s="2"/>
    </row>
    <row r="628" spans="7:7" ht="15.75" customHeight="1">
      <c r="G628" s="2"/>
    </row>
    <row r="629" spans="7:7" ht="15.75" customHeight="1">
      <c r="G629" s="2"/>
    </row>
    <row r="630" spans="7:7" ht="15.75" customHeight="1">
      <c r="G630" s="2"/>
    </row>
    <row r="631" spans="7:7" ht="15.75" customHeight="1">
      <c r="G631" s="2"/>
    </row>
    <row r="632" spans="7:7" ht="15.75" customHeight="1">
      <c r="G632" s="2"/>
    </row>
    <row r="633" spans="7:7" ht="15.75" customHeight="1">
      <c r="G633" s="2"/>
    </row>
    <row r="634" spans="7:7" ht="15.75" customHeight="1">
      <c r="G634" s="2"/>
    </row>
    <row r="635" spans="7:7" ht="15.75" customHeight="1">
      <c r="G635" s="2"/>
    </row>
    <row r="636" spans="7:7" ht="15.75" customHeight="1">
      <c r="G636" s="2"/>
    </row>
    <row r="637" spans="7:7" ht="15.75" customHeight="1">
      <c r="G637" s="2"/>
    </row>
    <row r="638" spans="7:7" ht="15.75" customHeight="1">
      <c r="G638" s="2"/>
    </row>
    <row r="639" spans="7:7" ht="15.75" customHeight="1">
      <c r="G639" s="2"/>
    </row>
    <row r="640" spans="7:7" ht="15.75" customHeight="1">
      <c r="G640" s="2"/>
    </row>
    <row r="641" spans="7:7" ht="15.75" customHeight="1">
      <c r="G641" s="2"/>
    </row>
    <row r="642" spans="7:7" ht="15.75" customHeight="1">
      <c r="G642" s="2"/>
    </row>
    <row r="643" spans="7:7" ht="15.75" customHeight="1">
      <c r="G643" s="2"/>
    </row>
    <row r="644" spans="7:7" ht="15.75" customHeight="1">
      <c r="G644" s="2"/>
    </row>
    <row r="645" spans="7:7" ht="15.75" customHeight="1">
      <c r="G645" s="2"/>
    </row>
    <row r="646" spans="7:7" ht="15.75" customHeight="1">
      <c r="G646" s="2"/>
    </row>
    <row r="647" spans="7:7" ht="15.75" customHeight="1">
      <c r="G647" s="2"/>
    </row>
    <row r="648" spans="7:7" ht="15.75" customHeight="1">
      <c r="G648" s="2"/>
    </row>
    <row r="649" spans="7:7" ht="15.75" customHeight="1">
      <c r="G649" s="2"/>
    </row>
    <row r="650" spans="7:7" ht="15.75" customHeight="1">
      <c r="G650" s="2"/>
    </row>
    <row r="651" spans="7:7" ht="15.75" customHeight="1">
      <c r="G651" s="2"/>
    </row>
    <row r="652" spans="7:7" ht="15.75" customHeight="1">
      <c r="G652" s="2"/>
    </row>
    <row r="653" spans="7:7" ht="15.75" customHeight="1">
      <c r="G653" s="2"/>
    </row>
    <row r="654" spans="7:7" ht="15.75" customHeight="1">
      <c r="G654" s="2"/>
    </row>
    <row r="655" spans="7:7" ht="15.75" customHeight="1">
      <c r="G655" s="2"/>
    </row>
    <row r="656" spans="7:7" ht="15.75" customHeight="1">
      <c r="G656" s="2"/>
    </row>
    <row r="657" spans="7:7" ht="15.75" customHeight="1">
      <c r="G657" s="2"/>
    </row>
    <row r="658" spans="7:7" ht="15.75" customHeight="1">
      <c r="G658" s="2"/>
    </row>
    <row r="659" spans="7:7" ht="15.75" customHeight="1">
      <c r="G659" s="2"/>
    </row>
    <row r="660" spans="7:7" ht="15.75" customHeight="1">
      <c r="G660" s="2"/>
    </row>
    <row r="661" spans="7:7" ht="15.75" customHeight="1">
      <c r="G661" s="2"/>
    </row>
    <row r="662" spans="7:7" ht="15.75" customHeight="1">
      <c r="G662" s="2"/>
    </row>
    <row r="663" spans="7:7" ht="15.75" customHeight="1">
      <c r="G663" s="2"/>
    </row>
    <row r="664" spans="7:7" ht="15.75" customHeight="1">
      <c r="G664" s="2"/>
    </row>
    <row r="665" spans="7:7" ht="15.75" customHeight="1">
      <c r="G665" s="2"/>
    </row>
    <row r="666" spans="7:7" ht="15.75" customHeight="1">
      <c r="G666" s="2"/>
    </row>
    <row r="667" spans="7:7" ht="15.75" customHeight="1">
      <c r="G667" s="2"/>
    </row>
    <row r="668" spans="7:7" ht="15.75" customHeight="1">
      <c r="G668" s="2"/>
    </row>
    <row r="669" spans="7:7" ht="15.75" customHeight="1">
      <c r="G669" s="2"/>
    </row>
    <row r="670" spans="7:7" ht="15.75" customHeight="1">
      <c r="G670" s="2"/>
    </row>
    <row r="671" spans="7:7" ht="15.75" customHeight="1">
      <c r="G671" s="2"/>
    </row>
    <row r="672" spans="7:7" ht="15.75" customHeight="1">
      <c r="G672" s="2"/>
    </row>
    <row r="673" spans="7:7" ht="15.75" customHeight="1">
      <c r="G673" s="2"/>
    </row>
    <row r="674" spans="7:7" ht="15.75" customHeight="1">
      <c r="G674" s="2"/>
    </row>
    <row r="675" spans="7:7" ht="15.75" customHeight="1">
      <c r="G675" s="2"/>
    </row>
    <row r="676" spans="7:7" ht="15.75" customHeight="1">
      <c r="G676" s="2"/>
    </row>
    <row r="677" spans="7:7" ht="15.75" customHeight="1">
      <c r="G677" s="2"/>
    </row>
    <row r="678" spans="7:7" ht="15.75" customHeight="1">
      <c r="G678" s="2"/>
    </row>
    <row r="679" spans="7:7" ht="15.75" customHeight="1">
      <c r="G679" s="2"/>
    </row>
    <row r="680" spans="7:7" ht="15.75" customHeight="1">
      <c r="G680" s="2"/>
    </row>
    <row r="681" spans="7:7" ht="15.75" customHeight="1">
      <c r="G681" s="2"/>
    </row>
    <row r="682" spans="7:7" ht="15.75" customHeight="1">
      <c r="G682" s="2"/>
    </row>
    <row r="683" spans="7:7" ht="15.75" customHeight="1">
      <c r="G683" s="2"/>
    </row>
    <row r="684" spans="7:7" ht="15.75" customHeight="1">
      <c r="G684" s="2"/>
    </row>
    <row r="685" spans="7:7" ht="15.75" customHeight="1">
      <c r="G685" s="2"/>
    </row>
    <row r="686" spans="7:7" ht="15.75" customHeight="1">
      <c r="G686" s="2"/>
    </row>
    <row r="687" spans="7:7" ht="15.75" customHeight="1">
      <c r="G687" s="2"/>
    </row>
    <row r="688" spans="7:7" ht="15.75" customHeight="1">
      <c r="G688" s="2"/>
    </row>
    <row r="689" spans="7:7" ht="15.75" customHeight="1">
      <c r="G689" s="2"/>
    </row>
    <row r="690" spans="7:7" ht="15.75" customHeight="1">
      <c r="G690" s="2"/>
    </row>
    <row r="691" spans="7:7" ht="15.75" customHeight="1">
      <c r="G691" s="2"/>
    </row>
    <row r="692" spans="7:7" ht="15.75" customHeight="1">
      <c r="G692" s="2"/>
    </row>
    <row r="693" spans="7:7" ht="15.75" customHeight="1">
      <c r="G693" s="2"/>
    </row>
    <row r="694" spans="7:7" ht="15.75" customHeight="1">
      <c r="G694" s="2"/>
    </row>
    <row r="695" spans="7:7" ht="15.75" customHeight="1">
      <c r="G695" s="2"/>
    </row>
    <row r="696" spans="7:7" ht="15.75" customHeight="1">
      <c r="G696" s="2"/>
    </row>
    <row r="697" spans="7:7" ht="15.75" customHeight="1">
      <c r="G697" s="2"/>
    </row>
    <row r="698" spans="7:7" ht="15.75" customHeight="1">
      <c r="G698" s="2"/>
    </row>
    <row r="699" spans="7:7" ht="15.75" customHeight="1">
      <c r="G699" s="2"/>
    </row>
    <row r="700" spans="7:7" ht="15.75" customHeight="1">
      <c r="G700" s="2"/>
    </row>
    <row r="701" spans="7:7" ht="15.75" customHeight="1">
      <c r="G701" s="2"/>
    </row>
    <row r="702" spans="7:7" ht="15.75" customHeight="1">
      <c r="G702" s="2"/>
    </row>
    <row r="703" spans="7:7" ht="15.75" customHeight="1">
      <c r="G703" s="2"/>
    </row>
    <row r="704" spans="7:7" ht="15.75" customHeight="1">
      <c r="G704" s="2"/>
    </row>
    <row r="705" spans="7:7" ht="15.75" customHeight="1">
      <c r="G705" s="2"/>
    </row>
    <row r="706" spans="7:7" ht="15.75" customHeight="1">
      <c r="G706" s="2"/>
    </row>
    <row r="707" spans="7:7" ht="15.75" customHeight="1">
      <c r="G707" s="2"/>
    </row>
    <row r="708" spans="7:7" ht="15.75" customHeight="1">
      <c r="G708" s="2"/>
    </row>
    <row r="709" spans="7:7" ht="15.75" customHeight="1">
      <c r="G709" s="2"/>
    </row>
    <row r="710" spans="7:7" ht="15.75" customHeight="1">
      <c r="G710" s="2"/>
    </row>
    <row r="711" spans="7:7" ht="15.75" customHeight="1">
      <c r="G711" s="2"/>
    </row>
    <row r="712" spans="7:7" ht="15.75" customHeight="1">
      <c r="G712" s="2"/>
    </row>
    <row r="713" spans="7:7" ht="15.75" customHeight="1">
      <c r="G713" s="2"/>
    </row>
    <row r="714" spans="7:7" ht="15.75" customHeight="1">
      <c r="G714" s="2"/>
    </row>
    <row r="715" spans="7:7" ht="15.75" customHeight="1">
      <c r="G715" s="2"/>
    </row>
    <row r="716" spans="7:7" ht="15.75" customHeight="1">
      <c r="G716" s="2"/>
    </row>
    <row r="717" spans="7:7" ht="15.75" customHeight="1">
      <c r="G717" s="2"/>
    </row>
    <row r="718" spans="7:7" ht="15.75" customHeight="1">
      <c r="G718" s="2"/>
    </row>
    <row r="719" spans="7:7" ht="15.75" customHeight="1">
      <c r="G719" s="2"/>
    </row>
    <row r="720" spans="7:7" ht="15.75" customHeight="1">
      <c r="G720" s="2"/>
    </row>
    <row r="721" spans="7:7" ht="15.75" customHeight="1">
      <c r="G721" s="2"/>
    </row>
    <row r="722" spans="7:7" ht="15.75" customHeight="1">
      <c r="G722" s="2"/>
    </row>
    <row r="723" spans="7:7" ht="15.75" customHeight="1">
      <c r="G723" s="2"/>
    </row>
    <row r="724" spans="7:7" ht="15.75" customHeight="1">
      <c r="G724" s="2"/>
    </row>
    <row r="725" spans="7:7" ht="15.75" customHeight="1">
      <c r="G725" s="2"/>
    </row>
    <row r="726" spans="7:7" ht="15.75" customHeight="1">
      <c r="G726" s="2"/>
    </row>
    <row r="727" spans="7:7" ht="15.75" customHeight="1">
      <c r="G727" s="2"/>
    </row>
    <row r="728" spans="7:7" ht="15.75" customHeight="1">
      <c r="G728" s="2"/>
    </row>
    <row r="729" spans="7:7" ht="15.75" customHeight="1">
      <c r="G729" s="2"/>
    </row>
    <row r="730" spans="7:7" ht="15.75" customHeight="1">
      <c r="G730" s="2"/>
    </row>
    <row r="731" spans="7:7" ht="15.75" customHeight="1">
      <c r="G731" s="2"/>
    </row>
    <row r="732" spans="7:7" ht="15.75" customHeight="1">
      <c r="G732" s="2"/>
    </row>
    <row r="733" spans="7:7" ht="15.75" customHeight="1">
      <c r="G733" s="2"/>
    </row>
    <row r="734" spans="7:7" ht="15.75" customHeight="1">
      <c r="G734" s="2"/>
    </row>
    <row r="735" spans="7:7" ht="15.75" customHeight="1">
      <c r="G735" s="2"/>
    </row>
    <row r="736" spans="7:7" ht="15.75" customHeight="1">
      <c r="G736" s="2"/>
    </row>
    <row r="737" spans="7:7" ht="15.75" customHeight="1">
      <c r="G737" s="2"/>
    </row>
    <row r="738" spans="7:7" ht="15.75" customHeight="1">
      <c r="G738" s="2"/>
    </row>
    <row r="739" spans="7:7" ht="15.75" customHeight="1">
      <c r="G739" s="2"/>
    </row>
    <row r="740" spans="7:7" ht="15.75" customHeight="1">
      <c r="G740" s="2"/>
    </row>
    <row r="741" spans="7:7" ht="15.75" customHeight="1">
      <c r="G741" s="2"/>
    </row>
    <row r="742" spans="7:7" ht="15.75" customHeight="1">
      <c r="G742" s="2"/>
    </row>
    <row r="743" spans="7:7" ht="15.75" customHeight="1">
      <c r="G743" s="2"/>
    </row>
    <row r="744" spans="7:7" ht="15.75" customHeight="1">
      <c r="G744" s="2"/>
    </row>
    <row r="745" spans="7:7" ht="15.75" customHeight="1">
      <c r="G745" s="2"/>
    </row>
    <row r="746" spans="7:7" ht="15.75" customHeight="1">
      <c r="G746" s="2"/>
    </row>
    <row r="747" spans="7:7" ht="15.75" customHeight="1">
      <c r="G747" s="2"/>
    </row>
    <row r="748" spans="7:7" ht="15.75" customHeight="1">
      <c r="G748" s="2"/>
    </row>
    <row r="749" spans="7:7" ht="15.75" customHeight="1">
      <c r="G749" s="2"/>
    </row>
    <row r="750" spans="7:7" ht="15.75" customHeight="1">
      <c r="G750" s="2"/>
    </row>
    <row r="751" spans="7:7" ht="15.75" customHeight="1">
      <c r="G751" s="2"/>
    </row>
    <row r="752" spans="7:7" ht="15.75" customHeight="1">
      <c r="G752" s="2"/>
    </row>
    <row r="753" spans="7:7" ht="15.75" customHeight="1">
      <c r="G753" s="2"/>
    </row>
    <row r="754" spans="7:7" ht="15.75" customHeight="1">
      <c r="G754" s="2"/>
    </row>
    <row r="755" spans="7:7" ht="15.75" customHeight="1">
      <c r="G755" s="2"/>
    </row>
    <row r="756" spans="7:7" ht="15.75" customHeight="1">
      <c r="G756" s="2"/>
    </row>
    <row r="757" spans="7:7" ht="15.75" customHeight="1">
      <c r="G757" s="2"/>
    </row>
    <row r="758" spans="7:7" ht="15.75" customHeight="1">
      <c r="G758" s="2"/>
    </row>
    <row r="759" spans="7:7" ht="15.75" customHeight="1">
      <c r="G759" s="2"/>
    </row>
    <row r="760" spans="7:7" ht="15.75" customHeight="1">
      <c r="G760" s="2"/>
    </row>
    <row r="761" spans="7:7" ht="15.75" customHeight="1">
      <c r="G761" s="2"/>
    </row>
    <row r="762" spans="7:7" ht="15.75" customHeight="1">
      <c r="G762" s="2"/>
    </row>
    <row r="763" spans="7:7" ht="15.75" customHeight="1">
      <c r="G763" s="2"/>
    </row>
    <row r="764" spans="7:7" ht="15.75" customHeight="1">
      <c r="G764" s="2"/>
    </row>
    <row r="765" spans="7:7" ht="15.75" customHeight="1">
      <c r="G765" s="2"/>
    </row>
    <row r="766" spans="7:7" ht="15.75" customHeight="1">
      <c r="G766" s="2"/>
    </row>
    <row r="767" spans="7:7" ht="15.75" customHeight="1">
      <c r="G767" s="2"/>
    </row>
    <row r="768" spans="7:7" ht="15.75" customHeight="1">
      <c r="G768" s="2"/>
    </row>
    <row r="769" spans="7:7" ht="15.75" customHeight="1">
      <c r="G769" s="2"/>
    </row>
    <row r="770" spans="7:7" ht="15.75" customHeight="1">
      <c r="G770" s="2"/>
    </row>
    <row r="771" spans="7:7" ht="15.75" customHeight="1">
      <c r="G771" s="2"/>
    </row>
    <row r="772" spans="7:7" ht="15.75" customHeight="1">
      <c r="G772" s="2"/>
    </row>
    <row r="773" spans="7:7" ht="15.75" customHeight="1">
      <c r="G773" s="2"/>
    </row>
    <row r="774" spans="7:7" ht="15.75" customHeight="1">
      <c r="G774" s="2"/>
    </row>
    <row r="775" spans="7:7" ht="15.75" customHeight="1">
      <c r="G775" s="2"/>
    </row>
    <row r="776" spans="7:7" ht="15.75" customHeight="1">
      <c r="G776" s="2"/>
    </row>
    <row r="777" spans="7:7" ht="15.75" customHeight="1">
      <c r="G777" s="2"/>
    </row>
    <row r="778" spans="7:7" ht="15.75" customHeight="1">
      <c r="G778" s="2"/>
    </row>
    <row r="779" spans="7:7" ht="15.75" customHeight="1">
      <c r="G779" s="2"/>
    </row>
    <row r="780" spans="7:7" ht="15.75" customHeight="1">
      <c r="G780" s="2"/>
    </row>
    <row r="781" spans="7:7" ht="15.75" customHeight="1">
      <c r="G781" s="2"/>
    </row>
    <row r="782" spans="7:7" ht="15.75" customHeight="1">
      <c r="G782" s="2"/>
    </row>
    <row r="783" spans="7:7" ht="15.75" customHeight="1">
      <c r="G783" s="2"/>
    </row>
    <row r="784" spans="7:7" ht="15.75" customHeight="1">
      <c r="G784" s="2"/>
    </row>
    <row r="785" spans="7:7" ht="15.75" customHeight="1">
      <c r="G785" s="2"/>
    </row>
    <row r="786" spans="7:7" ht="15.75" customHeight="1">
      <c r="G786" s="2"/>
    </row>
    <row r="787" spans="7:7" ht="15.75" customHeight="1">
      <c r="G787" s="2"/>
    </row>
    <row r="788" spans="7:7" ht="15.75" customHeight="1">
      <c r="G788" s="2"/>
    </row>
    <row r="789" spans="7:7" ht="15.75" customHeight="1">
      <c r="G789" s="2"/>
    </row>
    <row r="790" spans="7:7" ht="15.75" customHeight="1">
      <c r="G790" s="2"/>
    </row>
    <row r="791" spans="7:7" ht="15.75" customHeight="1">
      <c r="G791" s="2"/>
    </row>
    <row r="792" spans="7:7" ht="15.75" customHeight="1">
      <c r="G792" s="2"/>
    </row>
    <row r="793" spans="7:7" ht="15.75" customHeight="1">
      <c r="G793" s="2"/>
    </row>
    <row r="794" spans="7:7" ht="15.75" customHeight="1">
      <c r="G794" s="2"/>
    </row>
    <row r="795" spans="7:7" ht="15.75" customHeight="1">
      <c r="G795" s="2"/>
    </row>
    <row r="796" spans="7:7" ht="15.75" customHeight="1">
      <c r="G796" s="2"/>
    </row>
    <row r="797" spans="7:7" ht="15.75" customHeight="1">
      <c r="G797" s="2"/>
    </row>
    <row r="798" spans="7:7" ht="15.75" customHeight="1">
      <c r="G798" s="2"/>
    </row>
    <row r="799" spans="7:7" ht="15.75" customHeight="1">
      <c r="G799" s="2"/>
    </row>
    <row r="800" spans="7:7" ht="15.75" customHeight="1">
      <c r="G800" s="2"/>
    </row>
    <row r="801" spans="7:7" ht="15.75" customHeight="1">
      <c r="G801" s="2"/>
    </row>
    <row r="802" spans="7:7" ht="15.75" customHeight="1">
      <c r="G802" s="2"/>
    </row>
    <row r="803" spans="7:7" ht="15.75" customHeight="1">
      <c r="G803" s="2"/>
    </row>
    <row r="804" spans="7:7" ht="15.75" customHeight="1">
      <c r="G804" s="2"/>
    </row>
    <row r="805" spans="7:7" ht="15.75" customHeight="1">
      <c r="G805" s="2"/>
    </row>
    <row r="806" spans="7:7" ht="15.75" customHeight="1">
      <c r="G806" s="2"/>
    </row>
    <row r="807" spans="7:7" ht="15.75" customHeight="1">
      <c r="G807" s="2"/>
    </row>
    <row r="808" spans="7:7" ht="15.75" customHeight="1">
      <c r="G808" s="2"/>
    </row>
    <row r="809" spans="7:7" ht="15.75" customHeight="1">
      <c r="G809" s="2"/>
    </row>
    <row r="810" spans="7:7" ht="15.75" customHeight="1">
      <c r="G810" s="2"/>
    </row>
    <row r="811" spans="7:7" ht="15.75" customHeight="1">
      <c r="G811" s="2"/>
    </row>
    <row r="812" spans="7:7" ht="15.75" customHeight="1">
      <c r="G812" s="2"/>
    </row>
    <row r="813" spans="7:7" ht="15.75" customHeight="1">
      <c r="G813" s="2"/>
    </row>
    <row r="814" spans="7:7" ht="15.75" customHeight="1">
      <c r="G814" s="2"/>
    </row>
    <row r="815" spans="7:7" ht="15.75" customHeight="1">
      <c r="G815" s="2"/>
    </row>
    <row r="816" spans="7:7" ht="15.75" customHeight="1">
      <c r="G816" s="2"/>
    </row>
    <row r="817" spans="7:7" ht="15.75" customHeight="1">
      <c r="G817" s="2"/>
    </row>
    <row r="818" spans="7:7" ht="15.75" customHeight="1">
      <c r="G818" s="2"/>
    </row>
    <row r="819" spans="7:7" ht="15.75" customHeight="1">
      <c r="G819" s="2"/>
    </row>
    <row r="820" spans="7:7" ht="15.75" customHeight="1">
      <c r="G820" s="2"/>
    </row>
    <row r="821" spans="7:7" ht="15.75" customHeight="1">
      <c r="G821" s="2"/>
    </row>
    <row r="822" spans="7:7" ht="15.75" customHeight="1">
      <c r="G822" s="2"/>
    </row>
    <row r="823" spans="7:7" ht="15.75" customHeight="1">
      <c r="G823" s="2"/>
    </row>
    <row r="824" spans="7:7" ht="15.75" customHeight="1">
      <c r="G824" s="2"/>
    </row>
    <row r="825" spans="7:7" ht="15.75" customHeight="1">
      <c r="G825" s="2"/>
    </row>
    <row r="826" spans="7:7" ht="15.75" customHeight="1">
      <c r="G826" s="2"/>
    </row>
    <row r="827" spans="7:7" ht="15.75" customHeight="1">
      <c r="G827" s="2"/>
    </row>
    <row r="828" spans="7:7" ht="15.75" customHeight="1">
      <c r="G828" s="2"/>
    </row>
    <row r="829" spans="7:7" ht="15.75" customHeight="1">
      <c r="G829" s="2"/>
    </row>
    <row r="830" spans="7:7" ht="15.75" customHeight="1">
      <c r="G830" s="2"/>
    </row>
    <row r="831" spans="7:7" ht="15.75" customHeight="1">
      <c r="G831" s="2"/>
    </row>
    <row r="832" spans="7:7" ht="15.75" customHeight="1">
      <c r="G832" s="2"/>
    </row>
    <row r="833" spans="7:7" ht="15.75" customHeight="1">
      <c r="G833" s="2"/>
    </row>
    <row r="834" spans="7:7" ht="15.75" customHeight="1">
      <c r="G834" s="2"/>
    </row>
    <row r="835" spans="7:7" ht="15.75" customHeight="1">
      <c r="G835" s="2"/>
    </row>
    <row r="836" spans="7:7" ht="15.75" customHeight="1">
      <c r="G836" s="2"/>
    </row>
    <row r="837" spans="7:7" ht="15.75" customHeight="1">
      <c r="G837" s="2"/>
    </row>
    <row r="838" spans="7:7" ht="15.75" customHeight="1">
      <c r="G838" s="2"/>
    </row>
    <row r="839" spans="7:7" ht="15.75" customHeight="1">
      <c r="G839" s="2"/>
    </row>
    <row r="840" spans="7:7" ht="15.75" customHeight="1">
      <c r="G840" s="2"/>
    </row>
    <row r="841" spans="7:7" ht="15.75" customHeight="1">
      <c r="G841" s="2"/>
    </row>
    <row r="842" spans="7:7" ht="15.75" customHeight="1">
      <c r="G842" s="2"/>
    </row>
    <row r="843" spans="7:7" ht="15.75" customHeight="1">
      <c r="G843" s="2"/>
    </row>
    <row r="844" spans="7:7" ht="15.75" customHeight="1">
      <c r="G844" s="2"/>
    </row>
    <row r="845" spans="7:7" ht="15.75" customHeight="1">
      <c r="G845" s="2"/>
    </row>
    <row r="846" spans="7:7" ht="15.75" customHeight="1">
      <c r="G846" s="2"/>
    </row>
    <row r="847" spans="7:7" ht="15.75" customHeight="1">
      <c r="G847" s="2"/>
    </row>
    <row r="848" spans="7:7" ht="15.75" customHeight="1">
      <c r="G848" s="2"/>
    </row>
    <row r="849" spans="7:7" ht="15.75" customHeight="1">
      <c r="G849" s="2"/>
    </row>
    <row r="850" spans="7:7" ht="15.75" customHeight="1">
      <c r="G850" s="2"/>
    </row>
    <row r="851" spans="7:7" ht="15.75" customHeight="1">
      <c r="G851" s="2"/>
    </row>
    <row r="852" spans="7:7" ht="15.75" customHeight="1">
      <c r="G852" s="2"/>
    </row>
    <row r="853" spans="7:7" ht="15.75" customHeight="1">
      <c r="G853" s="2"/>
    </row>
    <row r="854" spans="7:7" ht="15.75" customHeight="1">
      <c r="G854" s="2"/>
    </row>
    <row r="855" spans="7:7" ht="15.75" customHeight="1">
      <c r="G855" s="2"/>
    </row>
    <row r="856" spans="7:7" ht="15.75" customHeight="1">
      <c r="G856" s="2"/>
    </row>
    <row r="857" spans="7:7" ht="15.75" customHeight="1">
      <c r="G857" s="2"/>
    </row>
    <row r="858" spans="7:7" ht="15.75" customHeight="1">
      <c r="G858" s="2"/>
    </row>
    <row r="859" spans="7:7" ht="15.75" customHeight="1">
      <c r="G859" s="2"/>
    </row>
    <row r="860" spans="7:7" ht="15.75" customHeight="1">
      <c r="G860" s="2"/>
    </row>
    <row r="861" spans="7:7" ht="15.75" customHeight="1">
      <c r="G861" s="2"/>
    </row>
    <row r="862" spans="7:7" ht="15.75" customHeight="1">
      <c r="G862" s="2"/>
    </row>
    <row r="863" spans="7:7" ht="15.75" customHeight="1">
      <c r="G863" s="2"/>
    </row>
    <row r="864" spans="7:7" ht="15.75" customHeight="1">
      <c r="G864" s="2"/>
    </row>
    <row r="865" spans="7:7" ht="15.75" customHeight="1">
      <c r="G865" s="2"/>
    </row>
    <row r="866" spans="7:7" ht="15.75" customHeight="1">
      <c r="G866" s="2"/>
    </row>
    <row r="867" spans="7:7" ht="15.75" customHeight="1">
      <c r="G867" s="2"/>
    </row>
    <row r="868" spans="7:7" ht="15.75" customHeight="1">
      <c r="G868" s="2"/>
    </row>
    <row r="869" spans="7:7" ht="15.75" customHeight="1">
      <c r="G869" s="2"/>
    </row>
    <row r="870" spans="7:7" ht="15.75" customHeight="1">
      <c r="G870" s="2"/>
    </row>
    <row r="871" spans="7:7" ht="15.75" customHeight="1">
      <c r="G871" s="2"/>
    </row>
    <row r="872" spans="7:7" ht="15.75" customHeight="1">
      <c r="G872" s="2"/>
    </row>
    <row r="873" spans="7:7" ht="15.75" customHeight="1">
      <c r="G873" s="2"/>
    </row>
    <row r="874" spans="7:7" ht="15.75" customHeight="1">
      <c r="G874" s="2"/>
    </row>
    <row r="875" spans="7:7" ht="15.75" customHeight="1">
      <c r="G875" s="2"/>
    </row>
    <row r="876" spans="7:7" ht="15.75" customHeight="1">
      <c r="G876" s="2"/>
    </row>
    <row r="877" spans="7:7" ht="15.75" customHeight="1">
      <c r="G877" s="2"/>
    </row>
    <row r="878" spans="7:7" ht="15.75" customHeight="1">
      <c r="G878" s="2"/>
    </row>
    <row r="879" spans="7:7" ht="15.75" customHeight="1">
      <c r="G879" s="2"/>
    </row>
    <row r="880" spans="7:7" ht="15.75" customHeight="1">
      <c r="G880" s="2"/>
    </row>
    <row r="881" spans="7:7" ht="15.75" customHeight="1">
      <c r="G881" s="2"/>
    </row>
    <row r="882" spans="7:7" ht="15.75" customHeight="1">
      <c r="G882" s="2"/>
    </row>
    <row r="883" spans="7:7" ht="15.75" customHeight="1">
      <c r="G883" s="2"/>
    </row>
    <row r="884" spans="7:7" ht="15.75" customHeight="1">
      <c r="G884" s="2"/>
    </row>
    <row r="885" spans="7:7" ht="15.75" customHeight="1">
      <c r="G885" s="2"/>
    </row>
    <row r="886" spans="7:7" ht="15.75" customHeight="1">
      <c r="G886" s="2"/>
    </row>
    <row r="887" spans="7:7" ht="15.75" customHeight="1">
      <c r="G887" s="2"/>
    </row>
    <row r="888" spans="7:7" ht="15.75" customHeight="1">
      <c r="G888" s="2"/>
    </row>
    <row r="889" spans="7:7" ht="15.75" customHeight="1">
      <c r="G889" s="2"/>
    </row>
    <row r="890" spans="7:7" ht="15.75" customHeight="1">
      <c r="G890" s="2"/>
    </row>
    <row r="891" spans="7:7" ht="15.75" customHeight="1">
      <c r="G891" s="2"/>
    </row>
    <row r="892" spans="7:7" ht="15.75" customHeight="1">
      <c r="G892" s="2"/>
    </row>
    <row r="893" spans="7:7" ht="15.75" customHeight="1">
      <c r="G893" s="2"/>
    </row>
    <row r="894" spans="7:7" ht="15.75" customHeight="1">
      <c r="G894" s="2"/>
    </row>
    <row r="895" spans="7:7" ht="15.75" customHeight="1">
      <c r="G895" s="2"/>
    </row>
    <row r="896" spans="7:7" ht="15.75" customHeight="1">
      <c r="G896" s="2"/>
    </row>
    <row r="897" spans="7:7" ht="15.75" customHeight="1">
      <c r="G897" s="2"/>
    </row>
    <row r="898" spans="7:7" ht="15.75" customHeight="1">
      <c r="G898" s="2"/>
    </row>
    <row r="899" spans="7:7" ht="15.75" customHeight="1">
      <c r="G899" s="2"/>
    </row>
    <row r="900" spans="7:7" ht="15.75" customHeight="1">
      <c r="G900" s="2"/>
    </row>
    <row r="901" spans="7:7" ht="15.75" customHeight="1">
      <c r="G901" s="2"/>
    </row>
    <row r="902" spans="7:7" ht="15.75" customHeight="1">
      <c r="G902" s="2"/>
    </row>
    <row r="903" spans="7:7" ht="15.75" customHeight="1">
      <c r="G903" s="2"/>
    </row>
    <row r="904" spans="7:7" ht="15.75" customHeight="1">
      <c r="G904" s="2"/>
    </row>
    <row r="905" spans="7:7" ht="15.75" customHeight="1">
      <c r="G905" s="2"/>
    </row>
    <row r="906" spans="7:7" ht="15.75" customHeight="1">
      <c r="G906" s="2"/>
    </row>
    <row r="907" spans="7:7" ht="15.75" customHeight="1">
      <c r="G907" s="2"/>
    </row>
    <row r="908" spans="7:7" ht="15.75" customHeight="1">
      <c r="G908" s="2"/>
    </row>
    <row r="909" spans="7:7" ht="15.75" customHeight="1">
      <c r="G909" s="2"/>
    </row>
    <row r="910" spans="7:7" ht="15.75" customHeight="1">
      <c r="G910" s="2"/>
    </row>
    <row r="911" spans="7:7" ht="15.75" customHeight="1">
      <c r="G911" s="2"/>
    </row>
    <row r="912" spans="7:7" ht="15.75" customHeight="1">
      <c r="G912" s="2"/>
    </row>
    <row r="913" spans="7:7" ht="15.75" customHeight="1">
      <c r="G913" s="2"/>
    </row>
    <row r="914" spans="7:7" ht="15.75" customHeight="1">
      <c r="G914" s="2"/>
    </row>
    <row r="915" spans="7:7" ht="15.75" customHeight="1">
      <c r="G915" s="2"/>
    </row>
    <row r="916" spans="7:7" ht="15.75" customHeight="1">
      <c r="G916" s="2"/>
    </row>
    <row r="917" spans="7:7" ht="15.75" customHeight="1">
      <c r="G917" s="2"/>
    </row>
    <row r="918" spans="7:7" ht="15.75" customHeight="1">
      <c r="G918" s="2"/>
    </row>
    <row r="919" spans="7:7" ht="15.75" customHeight="1">
      <c r="G919" s="2"/>
    </row>
    <row r="920" spans="7:7" ht="15.75" customHeight="1">
      <c r="G920" s="2"/>
    </row>
    <row r="921" spans="7:7" ht="15.75" customHeight="1">
      <c r="G921" s="2"/>
    </row>
    <row r="922" spans="7:7" ht="15.75" customHeight="1">
      <c r="G922" s="2"/>
    </row>
    <row r="923" spans="7:7" ht="15.75" customHeight="1">
      <c r="G923" s="2"/>
    </row>
    <row r="924" spans="7:7" ht="15.75" customHeight="1">
      <c r="G924" s="2"/>
    </row>
    <row r="925" spans="7:7" ht="15.75" customHeight="1">
      <c r="G925" s="2"/>
    </row>
    <row r="926" spans="7:7" ht="15.75" customHeight="1">
      <c r="G926" s="2"/>
    </row>
    <row r="927" spans="7:7" ht="15.75" customHeight="1">
      <c r="G927" s="2"/>
    </row>
    <row r="928" spans="7:7" ht="15.75" customHeight="1">
      <c r="G928" s="2"/>
    </row>
    <row r="929" spans="7:7" ht="15.75" customHeight="1">
      <c r="G929" s="2"/>
    </row>
    <row r="930" spans="7:7" ht="15.75" customHeight="1">
      <c r="G930" s="2"/>
    </row>
    <row r="931" spans="7:7" ht="15.75" customHeight="1">
      <c r="G931" s="2"/>
    </row>
    <row r="932" spans="7:7" ht="15.75" customHeight="1">
      <c r="G932" s="2"/>
    </row>
    <row r="933" spans="7:7" ht="15.75" customHeight="1">
      <c r="G933" s="2"/>
    </row>
    <row r="934" spans="7:7" ht="15.75" customHeight="1">
      <c r="G934" s="2"/>
    </row>
    <row r="935" spans="7:7" ht="15.75" customHeight="1">
      <c r="G935" s="2"/>
    </row>
    <row r="936" spans="7:7" ht="15.75" customHeight="1">
      <c r="G936" s="2"/>
    </row>
    <row r="937" spans="7:7" ht="15.75" customHeight="1">
      <c r="G937" s="2"/>
    </row>
    <row r="938" spans="7:7" ht="15.75" customHeight="1">
      <c r="G938" s="2"/>
    </row>
    <row r="939" spans="7:7" ht="15.75" customHeight="1">
      <c r="G939" s="2"/>
    </row>
    <row r="940" spans="7:7" ht="15.75" customHeight="1">
      <c r="G940" s="2"/>
    </row>
    <row r="941" spans="7:7" ht="15.75" customHeight="1">
      <c r="G941" s="2"/>
    </row>
    <row r="942" spans="7:7" ht="15.75" customHeight="1">
      <c r="G942" s="2"/>
    </row>
    <row r="943" spans="7:7" ht="15.75" customHeight="1">
      <c r="G943" s="2"/>
    </row>
    <row r="944" spans="7:7" ht="15.75" customHeight="1">
      <c r="G944" s="2"/>
    </row>
    <row r="945" spans="7:7" ht="15.75" customHeight="1">
      <c r="G945" s="2"/>
    </row>
    <row r="946" spans="7:7" ht="15.75" customHeight="1">
      <c r="G946" s="2"/>
    </row>
    <row r="947" spans="7:7" ht="15.75" customHeight="1">
      <c r="G947" s="2"/>
    </row>
    <row r="948" spans="7:7" ht="15.75" customHeight="1">
      <c r="G948" s="2"/>
    </row>
    <row r="949" spans="7:7" ht="15.75" customHeight="1">
      <c r="G949" s="2"/>
    </row>
    <row r="950" spans="7:7" ht="15.75" customHeight="1">
      <c r="G950" s="2"/>
    </row>
    <row r="951" spans="7:7" ht="15.75" customHeight="1">
      <c r="G951" s="2"/>
    </row>
    <row r="952" spans="7:7" ht="15.75" customHeight="1">
      <c r="G952" s="2"/>
    </row>
    <row r="953" spans="7:7" ht="15.75" customHeight="1">
      <c r="G953" s="2"/>
    </row>
    <row r="954" spans="7:7" ht="15.75" customHeight="1">
      <c r="G954" s="2"/>
    </row>
    <row r="955" spans="7:7" ht="15.75" customHeight="1">
      <c r="G955" s="2"/>
    </row>
    <row r="956" spans="7:7" ht="15.75" customHeight="1">
      <c r="G956" s="2"/>
    </row>
    <row r="957" spans="7:7" ht="15.75" customHeight="1">
      <c r="G957" s="2"/>
    </row>
    <row r="958" spans="7:7" ht="15.75" customHeight="1">
      <c r="G958" s="2"/>
    </row>
    <row r="959" spans="7:7" ht="15.75" customHeight="1">
      <c r="G959" s="2"/>
    </row>
    <row r="960" spans="7:7" ht="15.75" customHeight="1">
      <c r="G960" s="2"/>
    </row>
    <row r="961" spans="7:7" ht="15.75" customHeight="1">
      <c r="G961" s="2"/>
    </row>
    <row r="962" spans="7:7" ht="15.75" customHeight="1">
      <c r="G962" s="2"/>
    </row>
    <row r="963" spans="7:7" ht="15.75" customHeight="1">
      <c r="G963" s="2"/>
    </row>
    <row r="964" spans="7:7" ht="15.75" customHeight="1">
      <c r="G964" s="2"/>
    </row>
    <row r="965" spans="7:7" ht="15.75" customHeight="1">
      <c r="G965" s="2"/>
    </row>
    <row r="966" spans="7:7" ht="15.75" customHeight="1">
      <c r="G966" s="2"/>
    </row>
    <row r="967" spans="7:7" ht="15.75" customHeight="1">
      <c r="G967" s="2"/>
    </row>
    <row r="968" spans="7:7" ht="15.75" customHeight="1">
      <c r="G968" s="2"/>
    </row>
    <row r="969" spans="7:7" ht="15.75" customHeight="1">
      <c r="G969" s="2"/>
    </row>
    <row r="970" spans="7:7" ht="15.75" customHeight="1">
      <c r="G970" s="2"/>
    </row>
    <row r="971" spans="7:7" ht="15.75" customHeight="1">
      <c r="G971" s="2"/>
    </row>
    <row r="972" spans="7:7" ht="15.75" customHeight="1">
      <c r="G972" s="2"/>
    </row>
    <row r="973" spans="7:7" ht="15.75" customHeight="1">
      <c r="G973" s="2"/>
    </row>
    <row r="974" spans="7:7" ht="15.75" customHeight="1">
      <c r="G974" s="2"/>
    </row>
    <row r="975" spans="7:7" ht="15.75" customHeight="1">
      <c r="G975" s="2"/>
    </row>
    <row r="976" spans="7:7" ht="15.75" customHeight="1">
      <c r="G976" s="2"/>
    </row>
    <row r="977" spans="7:7" ht="15.75" customHeight="1">
      <c r="G977" s="2"/>
    </row>
    <row r="978" spans="7:7" ht="15.75" customHeight="1">
      <c r="G978" s="2"/>
    </row>
    <row r="979" spans="7:7" ht="15.75" customHeight="1">
      <c r="G979" s="2"/>
    </row>
    <row r="980" spans="7:7" ht="15.75" customHeight="1">
      <c r="G980" s="2"/>
    </row>
    <row r="981" spans="7:7" ht="15.75" customHeight="1">
      <c r="G981" s="2"/>
    </row>
    <row r="982" spans="7:7" ht="15.75" customHeight="1">
      <c r="G982" s="2"/>
    </row>
    <row r="983" spans="7:7" ht="15.75" customHeight="1">
      <c r="G983" s="2"/>
    </row>
    <row r="984" spans="7:7" ht="15.75" customHeight="1">
      <c r="G984" s="2"/>
    </row>
    <row r="985" spans="7:7" ht="15.75" customHeight="1">
      <c r="G985" s="2"/>
    </row>
    <row r="986" spans="7:7" ht="15.75" customHeight="1">
      <c r="G986" s="2"/>
    </row>
    <row r="987" spans="7:7" ht="15.75" customHeight="1">
      <c r="G987" s="2"/>
    </row>
    <row r="988" spans="7:7" ht="15.75" customHeight="1">
      <c r="G988" s="2"/>
    </row>
    <row r="989" spans="7:7" ht="15.75" customHeight="1">
      <c r="G989" s="2"/>
    </row>
    <row r="990" spans="7:7" ht="15.75" customHeight="1">
      <c r="G990" s="2"/>
    </row>
    <row r="991" spans="7:7" ht="15.75" customHeight="1">
      <c r="G991" s="2"/>
    </row>
    <row r="992" spans="7:7" ht="15.75" customHeight="1">
      <c r="G992" s="2"/>
    </row>
    <row r="993" spans="7:7" ht="15.75" customHeight="1">
      <c r="G993" s="2"/>
    </row>
    <row r="994" spans="7:7" ht="15.75" customHeight="1">
      <c r="G994" s="2"/>
    </row>
    <row r="995" spans="7:7" ht="15.75" customHeight="1">
      <c r="G995" s="2"/>
    </row>
    <row r="996" spans="7:7" ht="15.75" customHeight="1">
      <c r="G996" s="2"/>
    </row>
    <row r="997" spans="7:7" ht="15.75" customHeight="1">
      <c r="G997" s="2"/>
    </row>
    <row r="998" spans="7:7" ht="15.75" customHeight="1">
      <c r="G998" s="2"/>
    </row>
    <row r="999" spans="7:7" ht="15.75" customHeight="1">
      <c r="G999" s="2"/>
    </row>
    <row r="1000" spans="7:7" ht="15.75" customHeight="1">
      <c r="G1000" s="2"/>
    </row>
  </sheetData>
  <conditionalFormatting sqref="B2:B60">
    <cfRule type="cellIs" dxfId="1" priority="1" operator="greaterThanOrEqual">
      <formula>1</formula>
    </cfRule>
  </conditionalFormatting>
  <conditionalFormatting sqref="B2:B70">
    <cfRule type="containsText" dxfId="0" priority="2" operator="containsText" text="COMPLETADAS">
      <formula>NOT(ISERROR(SEARCH(("COMPLETADAS"),(B2))))</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K20"/>
  <sheetViews>
    <sheetView workbookViewId="0"/>
  </sheetViews>
  <sheetFormatPr baseColWidth="10" defaultColWidth="12.6640625" defaultRowHeight="15.75" customHeight="1"/>
  <sheetData>
    <row r="1" spans="1:11" ht="15.75" customHeight="1">
      <c r="A1" s="10" t="s">
        <v>6</v>
      </c>
      <c r="B1" s="11" t="s">
        <v>7</v>
      </c>
      <c r="C1" s="11" t="s">
        <v>8</v>
      </c>
      <c r="D1" s="11" t="s">
        <v>9</v>
      </c>
      <c r="E1" s="11" t="s">
        <v>10</v>
      </c>
      <c r="F1" s="11" t="s">
        <v>11</v>
      </c>
      <c r="G1" s="11" t="s">
        <v>12</v>
      </c>
      <c r="H1" s="11" t="s">
        <v>13</v>
      </c>
      <c r="I1" s="11" t="s">
        <v>14</v>
      </c>
      <c r="J1" s="11" t="s">
        <v>15</v>
      </c>
      <c r="K1" s="12" t="s">
        <v>16</v>
      </c>
    </row>
    <row r="2" spans="1:11" ht="13.2">
      <c r="A2" s="13" t="str">
        <f ca="1">IFERROR(__xludf.DUMMYFUNCTION("FILTER(IW29EDITAR!A2:K1000, ((IW29EDITAR!H2:H1000=""LINE 4"") + (IW29EDITAR!H2:H1000=""LINE 5"") + (IW29EDITAR!H2:H1000=""LINE 6"")) &gt; 0)"),"TURNO B")</f>
        <v>TURNO B</v>
      </c>
      <c r="B2" s="5">
        <f ca="1">IFERROR(__xludf.DUMMYFUNCTION("""COMPUTED_VALUE"""),23899436)</f>
        <v>23899436</v>
      </c>
      <c r="C2" s="14">
        <f ca="1">IFERROR(__xludf.DUMMYFUNCTION("""COMPUTED_VALUE"""),45352)</f>
        <v>45352</v>
      </c>
      <c r="D2" s="5" t="str">
        <f ca="1">IFERROR(__xludf.DUMMYFUNCTION("""COMPUTED_VALUE"""),"Atasco de tapa de reservorio de tapones.")</f>
        <v>Atasco de tapa de reservorio de tapones.</v>
      </c>
      <c r="E2" s="5">
        <f ca="1">IFERROR(__xludf.DUMMYFUNCTION("""COMPUTED_VALUE"""),0.1)</f>
        <v>0.1</v>
      </c>
      <c r="F2" s="15">
        <f ca="1">IFERROR(__xludf.DUMMYFUNCTION("""COMPUTED_VALUE"""),0.643749999999999)</f>
        <v>0.64374999999999905</v>
      </c>
      <c r="G2" s="15">
        <f ca="1">IFERROR(__xludf.DUMMYFUNCTION("""COMPUTED_VALUE"""),0.647916666666666)</f>
        <v>0.64791666666666603</v>
      </c>
      <c r="H2" s="5" t="str">
        <f ca="1">IFERROR(__xludf.DUMMYFUNCTION("""COMPUTED_VALUE"""),"LINE 6")</f>
        <v>LINE 6</v>
      </c>
      <c r="I2" s="5">
        <f ca="1">IFERROR(__xludf.DUMMYFUNCTION("""COMPUTED_VALUE"""),20065447)</f>
        <v>20065447</v>
      </c>
      <c r="J2" s="5" t="str">
        <f ca="1">IFERROR(__xludf.DUMMYFUNCTION("""COMPUTED_VALUE"""),"CAPSULADORA")</f>
        <v>CAPSULADORA</v>
      </c>
      <c r="K2" s="5" t="str">
        <f ca="1">IFERROR(__xludf.DUMMYFUNCTION("""COMPUTED_VALUE"""),"Victor David Burbano")</f>
        <v>Victor David Burbano</v>
      </c>
    </row>
    <row r="3" spans="1:11" ht="13.2">
      <c r="A3" s="5" t="str">
        <f ca="1">IFERROR(__xludf.DUMMYFUNCTION("""COMPUTED_VALUE"""),"TURNO B")</f>
        <v>TURNO B</v>
      </c>
      <c r="B3" s="5">
        <f ca="1">IFERROR(__xludf.DUMMYFUNCTION("""COMPUTED_VALUE"""),23899696)</f>
        <v>23899696</v>
      </c>
      <c r="C3" s="14">
        <f ca="1">IFERROR(__xludf.DUMMYFUNCTION("""COMPUTED_VALUE"""),45352)</f>
        <v>45352</v>
      </c>
      <c r="D3" s="5" t="str">
        <f ca="1">IFERROR(__xludf.DUMMYFUNCTION("""COMPUTED_VALUE"""),"Fisuras laterales")</f>
        <v>Fisuras laterales</v>
      </c>
      <c r="E3" s="5">
        <f ca="1">IFERROR(__xludf.DUMMYFUNCTION("""COMPUTED_VALUE"""),0.08)</f>
        <v>0.08</v>
      </c>
      <c r="F3" s="15">
        <f ca="1">IFERROR(__xludf.DUMMYFUNCTION("""COMPUTED_VALUE"""),0.609722222222222)</f>
        <v>0.60972222222222205</v>
      </c>
      <c r="G3" s="15">
        <f ca="1">IFERROR(__xludf.DUMMYFUNCTION("""COMPUTED_VALUE"""),0.613194444444444)</f>
        <v>0.61319444444444404</v>
      </c>
      <c r="H3" s="5" t="str">
        <f ca="1">IFERROR(__xludf.DUMMYFUNCTION("""COMPUTED_VALUE"""),"LINE 5")</f>
        <v>LINE 5</v>
      </c>
      <c r="I3" s="5">
        <f ca="1">IFERROR(__xludf.DUMMYFUNCTION("""COMPUTED_VALUE"""),20065447)</f>
        <v>20065447</v>
      </c>
      <c r="J3" s="5" t="str">
        <f ca="1">IFERROR(__xludf.DUMMYFUNCTION("""COMPUTED_VALUE"""),"RESISTENCIAS DE SELLADO")</f>
        <v>RESISTENCIAS DE SELLADO</v>
      </c>
      <c r="K3" s="5" t="str">
        <f ca="1">IFERROR(__xludf.DUMMYFUNCTION("""COMPUTED_VALUE"""),"Victor David Burbano")</f>
        <v>Victor David Burbano</v>
      </c>
    </row>
    <row r="4" spans="1:11" ht="13.2">
      <c r="A4" s="5" t="str">
        <f ca="1">IFERROR(__xludf.DUMMYFUNCTION("""COMPUTED_VALUE"""),"TURNO C")</f>
        <v>TURNO C</v>
      </c>
      <c r="B4" s="5">
        <f ca="1">IFERROR(__xludf.DUMMYFUNCTION("""COMPUTED_VALUE"""),23899732)</f>
        <v>23899732</v>
      </c>
      <c r="C4" s="14">
        <f ca="1">IFERROR(__xludf.DUMMYFUNCTION("""COMPUTED_VALUE"""),45352)</f>
        <v>45352</v>
      </c>
      <c r="D4" s="5" t="str">
        <f ca="1">IFERROR(__xludf.DUMMYFUNCTION("""COMPUTED_VALUE"""),"Fisuras laterales")</f>
        <v>Fisuras laterales</v>
      </c>
      <c r="E4" s="5">
        <f ca="1">IFERROR(__xludf.DUMMYFUNCTION("""COMPUTED_VALUE"""),0.08)</f>
        <v>0.08</v>
      </c>
      <c r="F4" s="15">
        <f ca="1">IFERROR(__xludf.DUMMYFUNCTION("""COMPUTED_VALUE"""),0.09375)</f>
        <v>9.375E-2</v>
      </c>
      <c r="G4" s="15">
        <f ca="1">IFERROR(__xludf.DUMMYFUNCTION("""COMPUTED_VALUE"""),0.0972222222222222)</f>
        <v>9.7222222222222196E-2</v>
      </c>
      <c r="H4" s="5" t="str">
        <f ca="1">IFERROR(__xludf.DUMMYFUNCTION("""COMPUTED_VALUE"""),"LINE 4")</f>
        <v>LINE 4</v>
      </c>
      <c r="I4" s="5">
        <f ca="1">IFERROR(__xludf.DUMMYFUNCTION("""COMPUTED_VALUE"""),20009822)</f>
        <v>20009822</v>
      </c>
      <c r="J4" s="5" t="str">
        <f ca="1">IFERROR(__xludf.DUMMYFUNCTION("""COMPUTED_VALUE"""),"RESISTENCIAS DE SELLADO")</f>
        <v>RESISTENCIAS DE SELLADO</v>
      </c>
      <c r="K4" s="5" t="str">
        <f ca="1">IFERROR(__xludf.DUMMYFUNCTION("""COMPUTED_VALUE"""),"Guzman Palechor Miguel Angel")</f>
        <v>Guzman Palechor Miguel Angel</v>
      </c>
    </row>
    <row r="5" spans="1:11" ht="13.2">
      <c r="A5" s="5" t="str">
        <f ca="1">IFERROR(__xludf.DUMMYFUNCTION("""COMPUTED_VALUE"""),"TURNO C")</f>
        <v>TURNO C</v>
      </c>
      <c r="B5" s="5">
        <f ca="1">IFERROR(__xludf.DUMMYFUNCTION("""COMPUTED_VALUE"""),23899742)</f>
        <v>23899742</v>
      </c>
      <c r="C5" s="14">
        <f ca="1">IFERROR(__xludf.DUMMYFUNCTION("""COMPUTED_VALUE"""),45352)</f>
        <v>45352</v>
      </c>
      <c r="D5" s="5" t="str">
        <f ca="1">IFERROR(__xludf.DUMMYFUNCTION("""COMPUTED_VALUE"""),"Atascamiento en salida de llenadora")</f>
        <v>Atascamiento en salida de llenadora</v>
      </c>
      <c r="E5" s="5">
        <f ca="1">IFERROR(__xludf.DUMMYFUNCTION("""COMPUTED_VALUE"""),0.15)</f>
        <v>0.15</v>
      </c>
      <c r="F5" s="15">
        <f ca="1">IFERROR(__xludf.DUMMYFUNCTION("""COMPUTED_VALUE"""),0.972916666666666)</f>
        <v>0.97291666666666599</v>
      </c>
      <c r="G5" s="15">
        <f ca="1">IFERROR(__xludf.DUMMYFUNCTION("""COMPUTED_VALUE"""),0.979166666666666)</f>
        <v>0.97916666666666596</v>
      </c>
      <c r="H5" s="5" t="str">
        <f ca="1">IFERROR(__xludf.DUMMYFUNCTION("""COMPUTED_VALUE"""),"LINE 6")</f>
        <v>LINE 6</v>
      </c>
      <c r="I5" s="5">
        <f ca="1">IFERROR(__xludf.DUMMYFUNCTION("""COMPUTED_VALUE"""),20009822)</f>
        <v>20009822</v>
      </c>
      <c r="J5" s="5" t="str">
        <f ca="1">IFERROR(__xludf.DUMMYFUNCTION("""COMPUTED_VALUE"""),"LLENADORA BOTELLONES")</f>
        <v>LLENADORA BOTELLONES</v>
      </c>
      <c r="K5" s="5" t="str">
        <f ca="1">IFERROR(__xludf.DUMMYFUNCTION("""COMPUTED_VALUE"""),"Guzman Palechor Miguel Angel")</f>
        <v>Guzman Palechor Miguel Angel</v>
      </c>
    </row>
    <row r="6" spans="1:11" ht="13.2">
      <c r="A6" s="5" t="str">
        <f ca="1">IFERROR(__xludf.DUMMYFUNCTION("""COMPUTED_VALUE"""),"TURNO A")</f>
        <v>TURNO A</v>
      </c>
      <c r="B6" s="5">
        <f ca="1">IFERROR(__xludf.DUMMYFUNCTION("""COMPUTED_VALUE"""),23900629)</f>
        <v>23900629</v>
      </c>
      <c r="C6" s="14">
        <f ca="1">IFERROR(__xludf.DUMMYFUNCTION("""COMPUTED_VALUE"""),45353)</f>
        <v>45353</v>
      </c>
      <c r="D6" s="5" t="str">
        <f ca="1">IFERROR(__xludf.DUMMYFUNCTION("""COMPUTED_VALUE"""),"Atascamiento interno")</f>
        <v>Atascamiento interno</v>
      </c>
      <c r="E6" s="5">
        <f ca="1">IFERROR(__xludf.DUMMYFUNCTION("""COMPUTED_VALUE"""),0.22)</f>
        <v>0.22</v>
      </c>
      <c r="F6" s="15">
        <f ca="1">IFERROR(__xludf.DUMMYFUNCTION("""COMPUTED_VALUE"""),0.548611111111111)</f>
        <v>0.54861111111111105</v>
      </c>
      <c r="G6" s="15">
        <f ca="1">IFERROR(__xludf.DUMMYFUNCTION("""COMPUTED_VALUE"""),0.557638888888888)</f>
        <v>0.55763888888888802</v>
      </c>
      <c r="H6" s="5" t="str">
        <f ca="1">IFERROR(__xludf.DUMMYFUNCTION("""COMPUTED_VALUE"""),"LINE 6")</f>
        <v>LINE 6</v>
      </c>
      <c r="I6" s="5">
        <f ca="1">IFERROR(__xludf.DUMMYFUNCTION("""COMPUTED_VALUE"""),20076884)</f>
        <v>20076884</v>
      </c>
      <c r="J6" s="5" t="str">
        <f ca="1">IFERROR(__xludf.DUMMYFUNCTION("""COMPUTED_VALUE"""),"LAVADORA DE BOTELLONES")</f>
        <v>LAVADORA DE BOTELLONES</v>
      </c>
      <c r="K6" s="5" t="str">
        <f ca="1">IFERROR(__xludf.DUMMYFUNCTION("""COMPUTED_VALUE"""),"Estaban Potosi")</f>
        <v>Estaban Potosi</v>
      </c>
    </row>
    <row r="7" spans="1:11" ht="13.2">
      <c r="A7" s="5" t="str">
        <f ca="1">IFERROR(__xludf.DUMMYFUNCTION("""COMPUTED_VALUE"""),"TURNO C")</f>
        <v>TURNO C</v>
      </c>
      <c r="B7" s="5">
        <f ca="1">IFERROR(__xludf.DUMMYFUNCTION("""COMPUTED_VALUE"""),23901676)</f>
        <v>23901676</v>
      </c>
      <c r="C7" s="14">
        <f ca="1">IFERROR(__xludf.DUMMYFUNCTION("""COMPUTED_VALUE"""),45354)</f>
        <v>45354</v>
      </c>
      <c r="D7" s="5" t="str">
        <f ca="1">IFERROR(__xludf.DUMMYFUNCTION("""COMPUTED_VALUE"""),"Atascamiento en entrada")</f>
        <v>Atascamiento en entrada</v>
      </c>
      <c r="E7" s="5">
        <f ca="1">IFERROR(__xludf.DUMMYFUNCTION("""COMPUTED_VALUE"""),0.22)</f>
        <v>0.22</v>
      </c>
      <c r="F7" s="15">
        <f ca="1">IFERROR(__xludf.DUMMYFUNCTION("""COMPUTED_VALUE"""),0.21875)</f>
        <v>0.21875</v>
      </c>
      <c r="G7" s="15">
        <f ca="1">IFERROR(__xludf.DUMMYFUNCTION("""COMPUTED_VALUE"""),0.227777777777777)</f>
        <v>0.227777777777777</v>
      </c>
      <c r="H7" s="5" t="str">
        <f ca="1">IFERROR(__xludf.DUMMYFUNCTION("""COMPUTED_VALUE"""),"LINE 6")</f>
        <v>LINE 6</v>
      </c>
      <c r="I7" s="5">
        <f ca="1">IFERROR(__xludf.DUMMYFUNCTION("""COMPUTED_VALUE"""),20076884)</f>
        <v>20076884</v>
      </c>
      <c r="J7" s="5" t="str">
        <f ca="1">IFERROR(__xludf.DUMMYFUNCTION("""COMPUTED_VALUE"""),"LAVADORA DE BOTELLONES")</f>
        <v>LAVADORA DE BOTELLONES</v>
      </c>
      <c r="K7" s="5" t="str">
        <f ca="1">IFERROR(__xludf.DUMMYFUNCTION("""COMPUTED_VALUE"""),"Estaban Potosi")</f>
        <v>Estaban Potosi</v>
      </c>
    </row>
    <row r="8" spans="1:11" ht="13.2">
      <c r="A8" s="5" t="str">
        <f ca="1">IFERROR(__xludf.DUMMYFUNCTION("""COMPUTED_VALUE"""),"TURNO A")</f>
        <v>TURNO A</v>
      </c>
      <c r="B8" s="5">
        <f ca="1">IFERROR(__xludf.DUMMYFUNCTION("""COMPUTED_VALUE"""),23902438)</f>
        <v>23902438</v>
      </c>
      <c r="C8" s="14">
        <f ca="1">IFERROR(__xludf.DUMMYFUNCTION("""COMPUTED_VALUE"""),45355)</f>
        <v>45355</v>
      </c>
      <c r="D8" s="5" t="str">
        <f ca="1">IFERROR(__xludf.DUMMYFUNCTION("""COMPUTED_VALUE"""),"Atasco de tapon en bajante.")</f>
        <v>Atasco de tapon en bajante.</v>
      </c>
      <c r="E8" s="5">
        <f ca="1">IFERROR(__xludf.DUMMYFUNCTION("""COMPUTED_VALUE"""),0.1)</f>
        <v>0.1</v>
      </c>
      <c r="F8" s="15">
        <f ca="1">IFERROR(__xludf.DUMMYFUNCTION("""COMPUTED_VALUE"""),0.260416666666666)</f>
        <v>0.26041666666666602</v>
      </c>
      <c r="G8" s="15">
        <f ca="1">IFERROR(__xludf.DUMMYFUNCTION("""COMPUTED_VALUE"""),0.264583333333333)</f>
        <v>0.264583333333333</v>
      </c>
      <c r="H8" s="5" t="str">
        <f ca="1">IFERROR(__xludf.DUMMYFUNCTION("""COMPUTED_VALUE"""),"LINE 6")</f>
        <v>LINE 6</v>
      </c>
      <c r="I8" s="5">
        <f ca="1">IFERROR(__xludf.DUMMYFUNCTION("""COMPUTED_VALUE"""),20009822)</f>
        <v>20009822</v>
      </c>
      <c r="J8" s="5" t="str">
        <f ca="1">IFERROR(__xludf.DUMMYFUNCTION("""COMPUTED_VALUE"""),"CAPSULADORA")</f>
        <v>CAPSULADORA</v>
      </c>
      <c r="K8" s="5" t="str">
        <f ca="1">IFERROR(__xludf.DUMMYFUNCTION("""COMPUTED_VALUE"""),"Guzman Palechor Miguel Angel")</f>
        <v>Guzman Palechor Miguel Angel</v>
      </c>
    </row>
    <row r="9" spans="1:11" ht="13.2">
      <c r="A9" s="5" t="str">
        <f ca="1">IFERROR(__xludf.DUMMYFUNCTION("""COMPUTED_VALUE"""),"TURNO B")</f>
        <v>TURNO B</v>
      </c>
      <c r="B9" s="5">
        <f ca="1">IFERROR(__xludf.DUMMYFUNCTION("""COMPUTED_VALUE"""),23903047)</f>
        <v>23903047</v>
      </c>
      <c r="C9" s="14">
        <f ca="1">IFERROR(__xludf.DUMMYFUNCTION("""COMPUTED_VALUE"""),45355)</f>
        <v>45355</v>
      </c>
      <c r="D9" s="5" t="str">
        <f ca="1">IFERROR(__xludf.DUMMYFUNCTION("""COMPUTED_VALUE"""),"Atascamiento en entrada")</f>
        <v>Atascamiento en entrada</v>
      </c>
      <c r="E9" s="5">
        <f ca="1">IFERROR(__xludf.DUMMYFUNCTION("""COMPUTED_VALUE"""),0.05)</f>
        <v>0.05</v>
      </c>
      <c r="F9" s="15">
        <f ca="1">IFERROR(__xludf.DUMMYFUNCTION("""COMPUTED_VALUE"""),0.788194444444444)</f>
        <v>0.78819444444444398</v>
      </c>
      <c r="G9" s="15">
        <f ca="1">IFERROR(__xludf.DUMMYFUNCTION("""COMPUTED_VALUE"""),0.790277777777777)</f>
        <v>0.79027777777777697</v>
      </c>
      <c r="H9" s="5" t="str">
        <f ca="1">IFERROR(__xludf.DUMMYFUNCTION("""COMPUTED_VALUE"""),"LINE 6")</f>
        <v>LINE 6</v>
      </c>
      <c r="I9" s="5">
        <f ca="1">IFERROR(__xludf.DUMMYFUNCTION("""COMPUTED_VALUE"""),20065447)</f>
        <v>20065447</v>
      </c>
      <c r="J9" s="5" t="str">
        <f ca="1">IFERROR(__xludf.DUMMYFUNCTION("""COMPUTED_VALUE"""),"LAVADORA DE BOTELLONES")</f>
        <v>LAVADORA DE BOTELLONES</v>
      </c>
      <c r="K9" s="5" t="str">
        <f ca="1">IFERROR(__xludf.DUMMYFUNCTION("""COMPUTED_VALUE"""),"Victor David Burbano")</f>
        <v>Victor David Burbano</v>
      </c>
    </row>
    <row r="10" spans="1:11" ht="13.2">
      <c r="A10" s="5" t="str">
        <f ca="1">IFERROR(__xludf.DUMMYFUNCTION("""COMPUTED_VALUE"""),"TURNO A")</f>
        <v>TURNO A</v>
      </c>
      <c r="B10" s="5">
        <f ca="1">IFERROR(__xludf.DUMMYFUNCTION("""COMPUTED_VALUE"""),23903103)</f>
        <v>23903103</v>
      </c>
      <c r="C10" s="14">
        <f ca="1">IFERROR(__xludf.DUMMYFUNCTION("""COMPUTED_VALUE"""),45355)</f>
        <v>45355</v>
      </c>
      <c r="D10" s="5" t="str">
        <f ca="1">IFERROR(__xludf.DUMMYFUNCTION("""COMPUTED_VALUE"""),"Fisuras laterales")</f>
        <v>Fisuras laterales</v>
      </c>
      <c r="E10" s="5">
        <f ca="1">IFERROR(__xludf.DUMMYFUNCTION("""COMPUTED_VALUE"""),0.17)</f>
        <v>0.17</v>
      </c>
      <c r="F10" s="15">
        <f ca="1">IFERROR(__xludf.DUMMYFUNCTION("""COMPUTED_VALUE"""),0.451388888888888)</f>
        <v>0.45138888888888801</v>
      </c>
      <c r="G10" s="15">
        <f ca="1">IFERROR(__xludf.DUMMYFUNCTION("""COMPUTED_VALUE"""),0.458333333333333)</f>
        <v>0.45833333333333298</v>
      </c>
      <c r="H10" s="5" t="str">
        <f ca="1">IFERROR(__xludf.DUMMYFUNCTION("""COMPUTED_VALUE"""),"LINE 4")</f>
        <v>LINE 4</v>
      </c>
      <c r="I10" s="5"/>
      <c r="J10" s="5" t="str">
        <f ca="1">IFERROR(__xludf.DUMMYFUNCTION("""COMPUTED_VALUE"""),"RESISTENCIAS DE SELLADO")</f>
        <v>RESISTENCIAS DE SELLADO</v>
      </c>
      <c r="K10" s="5" t="str">
        <f ca="1">IFERROR(__xludf.DUMMYFUNCTION("""COMPUTED_VALUE"""),"BLANCO")</f>
        <v>BLANCO</v>
      </c>
    </row>
    <row r="11" spans="1:11" ht="13.2">
      <c r="A11" s="5" t="str">
        <f ca="1">IFERROR(__xludf.DUMMYFUNCTION("""COMPUTED_VALUE"""),"TURNO C")</f>
        <v>TURNO C</v>
      </c>
      <c r="B11" s="5">
        <f ca="1">IFERROR(__xludf.DUMMYFUNCTION("""COMPUTED_VALUE"""),23903286)</f>
        <v>23903286</v>
      </c>
      <c r="C11" s="14">
        <f ca="1">IFERROR(__xludf.DUMMYFUNCTION("""COMPUTED_VALUE"""),45355)</f>
        <v>45355</v>
      </c>
      <c r="D11" s="5" t="str">
        <f ca="1">IFERROR(__xludf.DUMMYFUNCTION("""COMPUTED_VALUE"""),"Fisuras laterales")</f>
        <v>Fisuras laterales</v>
      </c>
      <c r="E11" s="5">
        <f ca="1">IFERROR(__xludf.DUMMYFUNCTION("""COMPUTED_VALUE"""),0.08)</f>
        <v>0.08</v>
      </c>
      <c r="F11" s="15">
        <f ca="1">IFERROR(__xludf.DUMMYFUNCTION("""COMPUTED_VALUE"""),0.0138888888888888)</f>
        <v>1.38888888888888E-2</v>
      </c>
      <c r="G11" s="15">
        <f ca="1">IFERROR(__xludf.DUMMYFUNCTION("""COMPUTED_VALUE"""),0.0173611111111111)</f>
        <v>1.7361111111111101E-2</v>
      </c>
      <c r="H11" s="5" t="str">
        <f ca="1">IFERROR(__xludf.DUMMYFUNCTION("""COMPUTED_VALUE"""),"LINE 5")</f>
        <v>LINE 5</v>
      </c>
      <c r="I11" s="5">
        <f ca="1">IFERROR(__xludf.DUMMYFUNCTION("""COMPUTED_VALUE"""),20076884)</f>
        <v>20076884</v>
      </c>
      <c r="J11" s="5" t="str">
        <f ca="1">IFERROR(__xludf.DUMMYFUNCTION("""COMPUTED_VALUE"""),"RESISTENCIAS DE SELLADO")</f>
        <v>RESISTENCIAS DE SELLADO</v>
      </c>
      <c r="K11" s="5" t="str">
        <f ca="1">IFERROR(__xludf.DUMMYFUNCTION("""COMPUTED_VALUE"""),"Estaban Potosi")</f>
        <v>Estaban Potosi</v>
      </c>
    </row>
    <row r="12" spans="1:11" ht="13.2">
      <c r="A12" s="5" t="str">
        <f ca="1">IFERROR(__xludf.DUMMYFUNCTION("""COMPUTED_VALUE"""),"TURNO A")</f>
        <v>TURNO A</v>
      </c>
      <c r="B12" s="5">
        <f ca="1">IFERROR(__xludf.DUMMYFUNCTION("""COMPUTED_VALUE"""),23904521)</f>
        <v>23904521</v>
      </c>
      <c r="C12" s="14">
        <f ca="1">IFERROR(__xludf.DUMMYFUNCTION("""COMPUTED_VALUE"""),45356)</f>
        <v>45356</v>
      </c>
      <c r="D12" s="5" t="str">
        <f ca="1">IFERROR(__xludf.DUMMYFUNCTION("""COMPUTED_VALUE"""),"Atasco de botellones en entrada.")</f>
        <v>Atasco de botellones en entrada.</v>
      </c>
      <c r="E12" s="5">
        <f ca="1">IFERROR(__xludf.DUMMYFUNCTION("""COMPUTED_VALUE"""),0.17)</f>
        <v>0.17</v>
      </c>
      <c r="F12" s="15">
        <f ca="1">IFERROR(__xludf.DUMMYFUNCTION("""COMPUTED_VALUE"""),0.515972222222222)</f>
        <v>0.51597222222222205</v>
      </c>
      <c r="G12" s="15">
        <f ca="1">IFERROR(__xludf.DUMMYFUNCTION("""COMPUTED_VALUE"""),0.522916666666666)</f>
        <v>0.52291666666666603</v>
      </c>
      <c r="H12" s="5" t="str">
        <f ca="1">IFERROR(__xludf.DUMMYFUNCTION("""COMPUTED_VALUE"""),"LINE 6")</f>
        <v>LINE 6</v>
      </c>
      <c r="I12" s="5">
        <f ca="1">IFERROR(__xludf.DUMMYFUNCTION("""COMPUTED_VALUE"""),20009822)</f>
        <v>20009822</v>
      </c>
      <c r="J12" s="5" t="str">
        <f ca="1">IFERROR(__xludf.DUMMYFUNCTION("""COMPUTED_VALUE"""),"LAVADORA DE BOTELLONES")</f>
        <v>LAVADORA DE BOTELLONES</v>
      </c>
      <c r="K12" s="5" t="str">
        <f ca="1">IFERROR(__xludf.DUMMYFUNCTION("""COMPUTED_VALUE"""),"Guzman Palechor Miguel Angel")</f>
        <v>Guzman Palechor Miguel Angel</v>
      </c>
    </row>
    <row r="13" spans="1:11" ht="13.2">
      <c r="A13" s="5" t="str">
        <f ca="1">IFERROR(__xludf.DUMMYFUNCTION("""COMPUTED_VALUE"""),"TURNO C")</f>
        <v>TURNO C</v>
      </c>
      <c r="B13" s="5">
        <f ca="1">IFERROR(__xludf.DUMMYFUNCTION("""COMPUTED_VALUE"""),23905622)</f>
        <v>23905622</v>
      </c>
      <c r="C13" s="14">
        <f ca="1">IFERROR(__xludf.DUMMYFUNCTION("""COMPUTED_VALUE"""),45356)</f>
        <v>45356</v>
      </c>
      <c r="D13" s="5" t="str">
        <f ca="1">IFERROR(__xludf.DUMMYFUNCTION("""COMPUTED_VALUE"""),"Fisuras laterales")</f>
        <v>Fisuras laterales</v>
      </c>
      <c r="E13" s="5">
        <f ca="1">IFERROR(__xludf.DUMMYFUNCTION("""COMPUTED_VALUE"""),0.08)</f>
        <v>0.08</v>
      </c>
      <c r="F13" s="15">
        <f ca="1">IFERROR(__xludf.DUMMYFUNCTION("""COMPUTED_VALUE"""),0.131944444444444)</f>
        <v>0.131944444444444</v>
      </c>
      <c r="G13" s="15">
        <f ca="1">IFERROR(__xludf.DUMMYFUNCTION("""COMPUTED_VALUE"""),0.135416666666666)</f>
        <v>0.13541666666666599</v>
      </c>
      <c r="H13" s="5" t="str">
        <f ca="1">IFERROR(__xludf.DUMMYFUNCTION("""COMPUTED_VALUE"""),"LINE 5")</f>
        <v>LINE 5</v>
      </c>
      <c r="I13" s="5">
        <f ca="1">IFERROR(__xludf.DUMMYFUNCTION("""COMPUTED_VALUE"""),20076884)</f>
        <v>20076884</v>
      </c>
      <c r="J13" s="5" t="str">
        <f ca="1">IFERROR(__xludf.DUMMYFUNCTION("""COMPUTED_VALUE"""),"RESISTENCIAS DE SELLADO")</f>
        <v>RESISTENCIAS DE SELLADO</v>
      </c>
      <c r="K13" s="5" t="str">
        <f ca="1">IFERROR(__xludf.DUMMYFUNCTION("""COMPUTED_VALUE"""),"Estaban Potosi")</f>
        <v>Estaban Potosi</v>
      </c>
    </row>
    <row r="14" spans="1:11" ht="13.2">
      <c r="A14" s="5" t="str">
        <f ca="1">IFERROR(__xludf.DUMMYFUNCTION("""COMPUTED_VALUE"""),"TURNO A")</f>
        <v>TURNO A</v>
      </c>
      <c r="B14" s="5">
        <f ca="1">IFERROR(__xludf.DUMMYFUNCTION("""COMPUTED_VALUE"""),23907001)</f>
        <v>23907001</v>
      </c>
      <c r="C14" s="14">
        <f ca="1">IFERROR(__xludf.DUMMYFUNCTION("""COMPUTED_VALUE"""),45357)</f>
        <v>45357</v>
      </c>
      <c r="D14" s="5" t="str">
        <f ca="1">IFERROR(__xludf.DUMMYFUNCTION("""COMPUTED_VALUE"""),"Atascamiento en bajante")</f>
        <v>Atascamiento en bajante</v>
      </c>
      <c r="E14" s="5">
        <f ca="1">IFERROR(__xludf.DUMMYFUNCTION("""COMPUTED_VALUE"""),0.12)</f>
        <v>0.12</v>
      </c>
      <c r="F14" s="15">
        <f ca="1">IFERROR(__xludf.DUMMYFUNCTION("""COMPUTED_VALUE"""),0.508333333333333)</f>
        <v>0.50833333333333297</v>
      </c>
      <c r="G14" s="15">
        <f ca="1">IFERROR(__xludf.DUMMYFUNCTION("""COMPUTED_VALUE"""),0.513194444444444)</f>
        <v>0.51319444444444395</v>
      </c>
      <c r="H14" s="5" t="str">
        <f ca="1">IFERROR(__xludf.DUMMYFUNCTION("""COMPUTED_VALUE"""),"LINE 6")</f>
        <v>LINE 6</v>
      </c>
      <c r="I14" s="5"/>
      <c r="J14" s="5" t="str">
        <f ca="1">IFERROR(__xludf.DUMMYFUNCTION("""COMPUTED_VALUE"""),"CAPSULADORA")</f>
        <v>CAPSULADORA</v>
      </c>
      <c r="K14" s="5" t="str">
        <f ca="1">IFERROR(__xludf.DUMMYFUNCTION("""COMPUTED_VALUE"""),"BLANCO")</f>
        <v>BLANCO</v>
      </c>
    </row>
    <row r="15" spans="1:11" ht="13.2">
      <c r="A15" s="5" t="str">
        <f ca="1">IFERROR(__xludf.DUMMYFUNCTION("""COMPUTED_VALUE"""),"TURNO B")</f>
        <v>TURNO B</v>
      </c>
      <c r="B15" s="5">
        <f ca="1">IFERROR(__xludf.DUMMYFUNCTION("""COMPUTED_VALUE"""),23907593)</f>
        <v>23907593</v>
      </c>
      <c r="C15" s="14">
        <f ca="1">IFERROR(__xludf.DUMMYFUNCTION("""COMPUTED_VALUE"""),45357)</f>
        <v>45357</v>
      </c>
      <c r="D15" s="5" t="str">
        <f ca="1">IFERROR(__xludf.DUMMYFUNCTION("""COMPUTED_VALUE"""),"Atascamiento en bajante")</f>
        <v>Atascamiento en bajante</v>
      </c>
      <c r="E15" s="5">
        <f ca="1">IFERROR(__xludf.DUMMYFUNCTION("""COMPUTED_VALUE"""),0.07)</f>
        <v>7.0000000000000007E-2</v>
      </c>
      <c r="F15" s="15">
        <f ca="1">IFERROR(__xludf.DUMMYFUNCTION("""COMPUTED_VALUE"""),0.878472222222222)</f>
        <v>0.87847222222222199</v>
      </c>
      <c r="G15" s="15">
        <f ca="1">IFERROR(__xludf.DUMMYFUNCTION("""COMPUTED_VALUE"""),0.88125)</f>
        <v>0.88124999999999998</v>
      </c>
      <c r="H15" s="5" t="str">
        <f ca="1">IFERROR(__xludf.DUMMYFUNCTION("""COMPUTED_VALUE"""),"LINE 6")</f>
        <v>LINE 6</v>
      </c>
      <c r="I15" s="5"/>
      <c r="J15" s="5" t="str">
        <f ca="1">IFERROR(__xludf.DUMMYFUNCTION("""COMPUTED_VALUE"""),"CAPSULADORA")</f>
        <v>CAPSULADORA</v>
      </c>
      <c r="K15" s="5" t="str">
        <f ca="1">IFERROR(__xludf.DUMMYFUNCTION("""COMPUTED_VALUE"""),"BLANCO")</f>
        <v>BLANCO</v>
      </c>
    </row>
    <row r="16" spans="1:11" ht="13.2">
      <c r="A16" s="5" t="str">
        <f ca="1">IFERROR(__xludf.DUMMYFUNCTION("""COMPUTED_VALUE"""),"TURNO A")</f>
        <v>TURNO A</v>
      </c>
      <c r="B16" s="5">
        <f ca="1">IFERROR(__xludf.DUMMYFUNCTION("""COMPUTED_VALUE"""),23908257)</f>
        <v>23908257</v>
      </c>
      <c r="C16" s="14">
        <f ca="1">IFERROR(__xludf.DUMMYFUNCTION("""COMPUTED_VALUE"""),45357)</f>
        <v>45357</v>
      </c>
      <c r="D16" s="5" t="str">
        <f ca="1">IFERROR(__xludf.DUMMYFUNCTION("""COMPUTED_VALUE"""),"Resistencia de sellado.")</f>
        <v>Resistencia de sellado.</v>
      </c>
      <c r="E16" s="5">
        <f ca="1">IFERROR(__xludf.DUMMYFUNCTION("""COMPUTED_VALUE"""),0.08)</f>
        <v>0.08</v>
      </c>
      <c r="F16" s="15">
        <f ca="1">IFERROR(__xludf.DUMMYFUNCTION("""COMPUTED_VALUE"""),0.392361111111111)</f>
        <v>0.39236111111111099</v>
      </c>
      <c r="G16" s="15">
        <f ca="1">IFERROR(__xludf.DUMMYFUNCTION("""COMPUTED_VALUE"""),0.395833333333333)</f>
        <v>0.39583333333333298</v>
      </c>
      <c r="H16" s="5" t="str">
        <f ca="1">IFERROR(__xludf.DUMMYFUNCTION("""COMPUTED_VALUE"""),"LINE 5")</f>
        <v>LINE 5</v>
      </c>
      <c r="I16" s="5">
        <f ca="1">IFERROR(__xludf.DUMMYFUNCTION("""COMPUTED_VALUE"""),20009822)</f>
        <v>20009822</v>
      </c>
      <c r="J16" s="5" t="str">
        <f ca="1">IFERROR(__xludf.DUMMYFUNCTION("""COMPUTED_VALUE"""),"RESISTENCIAS DE SELLADO")</f>
        <v>RESISTENCIAS DE SELLADO</v>
      </c>
      <c r="K16" s="5" t="str">
        <f ca="1">IFERROR(__xludf.DUMMYFUNCTION("""COMPUTED_VALUE"""),"Guzman Palechor Miguel Angel")</f>
        <v>Guzman Palechor Miguel Angel</v>
      </c>
    </row>
    <row r="17" spans="1:11" ht="13.2">
      <c r="A17" s="5" t="str">
        <f ca="1">IFERROR(__xludf.DUMMYFUNCTION("""COMPUTED_VALUE"""),"TURNO A")</f>
        <v>TURNO A</v>
      </c>
      <c r="B17" s="5">
        <f ca="1">IFERROR(__xludf.DUMMYFUNCTION("""COMPUTED_VALUE"""),23908928)</f>
        <v>23908928</v>
      </c>
      <c r="C17" s="14">
        <f ca="1">IFERROR(__xludf.DUMMYFUNCTION("""COMPUTED_VALUE"""),45358)</f>
        <v>45358</v>
      </c>
      <c r="D17" s="5" t="str">
        <f ca="1">IFERROR(__xludf.DUMMYFUNCTION("""COMPUTED_VALUE"""),"Atasco de botellon, entrada a lavadora.")</f>
        <v>Atasco de botellon, entrada a lavadora.</v>
      </c>
      <c r="E17" s="5">
        <f ca="1">IFERROR(__xludf.DUMMYFUNCTION("""COMPUTED_VALUE"""),0.42)</f>
        <v>0.42</v>
      </c>
      <c r="F17" s="15">
        <f ca="1">IFERROR(__xludf.DUMMYFUNCTION("""COMPUTED_VALUE"""),0.539583333333333)</f>
        <v>0.53958333333333297</v>
      </c>
      <c r="G17" s="15">
        <f ca="1">IFERROR(__xludf.DUMMYFUNCTION("""COMPUTED_VALUE"""),0.556944444444444)</f>
        <v>0.55694444444444402</v>
      </c>
      <c r="H17" s="5" t="str">
        <f ca="1">IFERROR(__xludf.DUMMYFUNCTION("""COMPUTED_VALUE"""),"LINE 6")</f>
        <v>LINE 6</v>
      </c>
      <c r="I17" s="5">
        <f ca="1">IFERROR(__xludf.DUMMYFUNCTION("""COMPUTED_VALUE"""),20009822)</f>
        <v>20009822</v>
      </c>
      <c r="J17" s="5" t="str">
        <f ca="1">IFERROR(__xludf.DUMMYFUNCTION("""COMPUTED_VALUE"""),"LAVADORA DE BOTELLONES")</f>
        <v>LAVADORA DE BOTELLONES</v>
      </c>
      <c r="K17" s="5" t="str">
        <f ca="1">IFERROR(__xludf.DUMMYFUNCTION("""COMPUTED_VALUE"""),"Guzman Palechor Miguel Angel")</f>
        <v>Guzman Palechor Miguel Angel</v>
      </c>
    </row>
    <row r="18" spans="1:11" ht="13.2">
      <c r="A18" s="5" t="str">
        <f ca="1">IFERROR(__xludf.DUMMYFUNCTION("""COMPUTED_VALUE"""),"TURNO A")</f>
        <v>TURNO A</v>
      </c>
      <c r="B18" s="5">
        <f ca="1">IFERROR(__xludf.DUMMYFUNCTION("""COMPUTED_VALUE"""),23909933)</f>
        <v>23909933</v>
      </c>
      <c r="C18" s="14">
        <f ca="1">IFERROR(__xludf.DUMMYFUNCTION("""COMPUTED_VALUE"""),45358)</f>
        <v>45358</v>
      </c>
      <c r="D18" s="5" t="str">
        <f ca="1">IFERROR(__xludf.DUMMYFUNCTION("""COMPUTED_VALUE"""),"isuras laterales")</f>
        <v>isuras laterales</v>
      </c>
      <c r="E18" s="5">
        <f ca="1">IFERROR(__xludf.DUMMYFUNCTION("""COMPUTED_VALUE"""),0.08)</f>
        <v>0.08</v>
      </c>
      <c r="F18" s="15">
        <f ca="1">IFERROR(__xludf.DUMMYFUNCTION("""COMPUTED_VALUE"""),0.390972222222222)</f>
        <v>0.390972222222222</v>
      </c>
      <c r="G18" s="15">
        <f ca="1">IFERROR(__xludf.DUMMYFUNCTION("""COMPUTED_VALUE"""),0.394444444444444)</f>
        <v>0.39444444444444399</v>
      </c>
      <c r="H18" s="5" t="str">
        <f ca="1">IFERROR(__xludf.DUMMYFUNCTION("""COMPUTED_VALUE"""),"LINE 5")</f>
        <v>LINE 5</v>
      </c>
      <c r="I18" s="5">
        <f ca="1">IFERROR(__xludf.DUMMYFUNCTION("""COMPUTED_VALUE"""),20009822)</f>
        <v>20009822</v>
      </c>
      <c r="J18" s="5" t="str">
        <f ca="1">IFERROR(__xludf.DUMMYFUNCTION("""COMPUTED_VALUE"""),"RESISTENCIAS DE SELLADO")</f>
        <v>RESISTENCIAS DE SELLADO</v>
      </c>
      <c r="K18" s="5" t="str">
        <f ca="1">IFERROR(__xludf.DUMMYFUNCTION("""COMPUTED_VALUE"""),"Guzman Palechor Miguel Angel")</f>
        <v>Guzman Palechor Miguel Angel</v>
      </c>
    </row>
    <row r="19" spans="1:11" ht="13.2">
      <c r="A19" s="5" t="str">
        <f ca="1">IFERROR(__xludf.DUMMYFUNCTION("""COMPUTED_VALUE"""),"TURNO A")</f>
        <v>TURNO A</v>
      </c>
      <c r="B19" s="5">
        <f ca="1">IFERROR(__xludf.DUMMYFUNCTION("""COMPUTED_VALUE"""),23911399)</f>
        <v>23911399</v>
      </c>
      <c r="C19" s="14">
        <f ca="1">IFERROR(__xludf.DUMMYFUNCTION("""COMPUTED_VALUE"""),45359)</f>
        <v>45359</v>
      </c>
      <c r="D19" s="5" t="str">
        <f ca="1">IFERROR(__xludf.DUMMYFUNCTION("""COMPUTED_VALUE"""),"Atasco de tapon en bajante.")</f>
        <v>Atasco de tapon en bajante.</v>
      </c>
      <c r="E19" s="5">
        <f ca="1">IFERROR(__xludf.DUMMYFUNCTION("""COMPUTED_VALUE"""),0.18)</f>
        <v>0.18</v>
      </c>
      <c r="F19" s="15">
        <f ca="1">IFERROR(__xludf.DUMMYFUNCTION("""COMPUTED_VALUE"""),0.559027777777777)</f>
        <v>0.55902777777777701</v>
      </c>
      <c r="G19" s="15">
        <f ca="1">IFERROR(__xludf.DUMMYFUNCTION("""COMPUTED_VALUE"""),0.566666666666666)</f>
        <v>0.56666666666666599</v>
      </c>
      <c r="H19" s="5" t="str">
        <f ca="1">IFERROR(__xludf.DUMMYFUNCTION("""COMPUTED_VALUE"""),"LINE 6")</f>
        <v>LINE 6</v>
      </c>
      <c r="I19" s="5">
        <f ca="1">IFERROR(__xludf.DUMMYFUNCTION("""COMPUTED_VALUE"""),20009822)</f>
        <v>20009822</v>
      </c>
      <c r="J19" s="5" t="str">
        <f ca="1">IFERROR(__xludf.DUMMYFUNCTION("""COMPUTED_VALUE"""),"CAPSULADORA")</f>
        <v>CAPSULADORA</v>
      </c>
      <c r="K19" s="5" t="str">
        <f ca="1">IFERROR(__xludf.DUMMYFUNCTION("""COMPUTED_VALUE"""),"Guzman Palechor Miguel Angel")</f>
        <v>Guzman Palechor Miguel Angel</v>
      </c>
    </row>
    <row r="20" spans="1:11" ht="13.2">
      <c r="A20" s="5" t="str">
        <f ca="1">IFERROR(__xludf.DUMMYFUNCTION("""COMPUTED_VALUE"""),"TURNO A")</f>
        <v>TURNO A</v>
      </c>
      <c r="B20" s="5">
        <f ca="1">IFERROR(__xludf.DUMMYFUNCTION("""COMPUTED_VALUE"""),23912047)</f>
        <v>23912047</v>
      </c>
      <c r="C20" s="14">
        <f ca="1">IFERROR(__xludf.DUMMYFUNCTION("""COMPUTED_VALUE"""),45359)</f>
        <v>45359</v>
      </c>
      <c r="D20" s="5" t="str">
        <f ca="1">IFERROR(__xludf.DUMMYFUNCTION("""COMPUTED_VALUE"""),"Fisuras laterales")</f>
        <v>Fisuras laterales</v>
      </c>
      <c r="E20" s="5">
        <f ca="1">IFERROR(__xludf.DUMMYFUNCTION("""COMPUTED_VALUE"""),0.08)</f>
        <v>0.08</v>
      </c>
      <c r="F20" s="15">
        <f ca="1">IFERROR(__xludf.DUMMYFUNCTION("""COMPUTED_VALUE"""),0.399999999999999)</f>
        <v>0.39999999999999902</v>
      </c>
      <c r="G20" s="15">
        <f ca="1">IFERROR(__xludf.DUMMYFUNCTION("""COMPUTED_VALUE"""),0.403472222222222)</f>
        <v>0.40347222222222201</v>
      </c>
      <c r="H20" s="5" t="str">
        <f ca="1">IFERROR(__xludf.DUMMYFUNCTION("""COMPUTED_VALUE"""),"LINE 5")</f>
        <v>LINE 5</v>
      </c>
      <c r="I20" s="5">
        <f ca="1">IFERROR(__xludf.DUMMYFUNCTION("""COMPUTED_VALUE"""),20009822)</f>
        <v>20009822</v>
      </c>
      <c r="J20" s="5" t="str">
        <f ca="1">IFERROR(__xludf.DUMMYFUNCTION("""COMPUTED_VALUE"""),"RESISTENCIAS DE SELLADO")</f>
        <v>RESISTENCIAS DE SELLADO</v>
      </c>
      <c r="K20" s="5" t="str">
        <f ca="1">IFERROR(__xludf.DUMMYFUNCTION("""COMPUTED_VALUE"""),"Guzman Palechor Miguel Angel")</f>
        <v>Guzman Palechor Miguel Angel</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614"/>
  <sheetViews>
    <sheetView workbookViewId="0"/>
  </sheetViews>
  <sheetFormatPr baseColWidth="10" defaultColWidth="12.6640625" defaultRowHeight="15.75" customHeight="1"/>
  <sheetData>
    <row r="1" spans="1:27" ht="14.4">
      <c r="A1" s="16" t="s">
        <v>17</v>
      </c>
      <c r="B1" s="16" t="s">
        <v>18</v>
      </c>
      <c r="C1" s="16" t="s">
        <v>19</v>
      </c>
      <c r="D1" s="16" t="s">
        <v>20</v>
      </c>
      <c r="E1" s="16" t="s">
        <v>21</v>
      </c>
      <c r="F1" s="16" t="s">
        <v>22</v>
      </c>
      <c r="G1" s="16" t="s">
        <v>23</v>
      </c>
      <c r="H1" s="16" t="s">
        <v>24</v>
      </c>
      <c r="I1" s="16" t="s">
        <v>25</v>
      </c>
      <c r="J1" s="16" t="s">
        <v>26</v>
      </c>
      <c r="K1" s="16" t="s">
        <v>27</v>
      </c>
      <c r="L1" s="16" t="s">
        <v>28</v>
      </c>
      <c r="M1" s="16" t="s">
        <v>29</v>
      </c>
      <c r="N1" s="16" t="s">
        <v>30</v>
      </c>
      <c r="O1" s="17" t="s">
        <v>31</v>
      </c>
      <c r="P1" s="16" t="s">
        <v>32</v>
      </c>
      <c r="Q1" s="16" t="s">
        <v>33</v>
      </c>
      <c r="R1" s="16" t="s">
        <v>34</v>
      </c>
      <c r="S1" s="16" t="s">
        <v>35</v>
      </c>
      <c r="T1" s="16" t="s">
        <v>36</v>
      </c>
      <c r="U1" s="16" t="s">
        <v>37</v>
      </c>
      <c r="V1" s="16" t="s">
        <v>38</v>
      </c>
      <c r="W1" s="16" t="s">
        <v>39</v>
      </c>
      <c r="X1" s="16" t="s">
        <v>40</v>
      </c>
      <c r="Y1" s="16" t="s">
        <v>41</v>
      </c>
      <c r="Z1" s="16" t="s">
        <v>2</v>
      </c>
      <c r="AA1" s="16" t="s">
        <v>42</v>
      </c>
    </row>
    <row r="2" spans="1:27" ht="15.75" customHeight="1">
      <c r="A2" s="5" t="str">
        <f ca="1">IFERROR(__xludf.DUMMYFUNCTION("QUERY(IMPORTRANGE(""https://docs.google.com/spreadsheets/d/1yIQawtPURpAfKN2c7pbvj8vebBir9_EGgVwIDePlv5w/edit?pli=1#gid=1101008617"", ""ACTIVIDADES!A2:X4000""), ""SELECT * WHERE Col1 IS NOT NULL"", 0)"),"POSTOBÓN YUMBO")</f>
        <v>POSTOBÓN YUMBO</v>
      </c>
      <c r="B2" s="5" t="str">
        <f ca="1">IFERROR(__xludf.DUMMYFUNCTION("""COMPUTED_VALUE"""),"0410-PREPARACION JUGOS HOT F")</f>
        <v>0410-PREPARACION JUGOS HOT F</v>
      </c>
      <c r="C2" s="5" t="str">
        <f ca="1">IFERROR(__xludf.DUMMYFUNCTION("""COMPUTED_VALUE"""),"SALA DE PREPARACION JUGOS HOT FILL")</f>
        <v>SALA DE PREPARACION JUGOS HOT FILL</v>
      </c>
      <c r="D2" s="5">
        <f ca="1">IFERROR(__xludf.DUMMYFUNCTION("""COMPUTED_VALUE"""),90030201)</f>
        <v>90030201</v>
      </c>
      <c r="E2" s="5" t="str">
        <f ca="1">IFERROR(__xludf.DUMMYFUNCTION("""COMPUTED_VALUE"""),"DOSIFICADOR DE POLVOS")</f>
        <v>DOSIFICADOR DE POLVOS</v>
      </c>
      <c r="F2" s="5">
        <f ca="1">IFERROR(__xludf.DUMMYFUNCTION("""COMPUTED_VALUE"""),18698)</f>
        <v>18698</v>
      </c>
      <c r="G2" s="5" t="str">
        <f ca="1">IFERROR(__xludf.DUMMYFUNCTION("""COMPUTED_VALUE"""),"PLAN MTTO LUB DOSIFICADOR POLVO 90030201")</f>
        <v>PLAN MTTO LUB DOSIFICADOR POLVO 90030201</v>
      </c>
      <c r="H2" s="5">
        <f ca="1">IFERROR(__xludf.DUMMYFUNCTION("""COMPUTED_VALUE"""),13226521)</f>
        <v>13226521</v>
      </c>
      <c r="I2" s="5" t="str">
        <f ca="1">IFERROR(__xludf.DUMMYFUNCTION("""COMPUTED_VALUE"""),"Soporte mezclador:")</f>
        <v>Soporte mezclador:</v>
      </c>
      <c r="J2" s="5" t="str">
        <f ca="1">IFERROR(__xludf.DUMMYFUNCTION("""COMPUTED_VALUE"""),"ALTO")</f>
        <v>ALTO</v>
      </c>
      <c r="K2" s="5" t="str">
        <f ca="1">IFERROR(__xludf.DUMMYFUNCTION("""COMPUTED_VALUE"""),"Preventivo")</f>
        <v>Preventivo</v>
      </c>
      <c r="L2" s="5" t="str">
        <f ca="1">IFERROR(__xludf.DUMMYFUNCTION("""COMPUTED_VALUE"""),"Maquinaria")</f>
        <v>Maquinaria</v>
      </c>
      <c r="M2" s="5" t="str">
        <f ca="1">IFERROR(__xludf.DUMMYFUNCTION("""COMPUTED_VALUE"""),"No")</f>
        <v>No</v>
      </c>
      <c r="N2" s="5"/>
      <c r="O2" s="5"/>
      <c r="P2" s="18">
        <f ca="1">IFERROR(__xludf.DUMMYFUNCTION("""COMPUTED_VALUE"""),45323)</f>
        <v>45323</v>
      </c>
      <c r="Q2" s="18">
        <f ca="1">IFERROR(__xludf.DUMMYFUNCTION("""COMPUTED_VALUE"""),45323)</f>
        <v>45323</v>
      </c>
      <c r="R2" s="18"/>
      <c r="S2" s="5">
        <f ca="1">IFERROR(__xludf.DUMMYFUNCTION("""COMPUTED_VALUE"""),0.1)</f>
        <v>0.1</v>
      </c>
      <c r="T2" s="5"/>
      <c r="U2" s="5" t="str">
        <f ca="1">IFERROR(__xludf.DUMMYFUNCTION("""COMPUTED_VALUE"""),"CORTES HERMES DAVID")</f>
        <v>CORTES HERMES DAVID</v>
      </c>
      <c r="V2" s="5"/>
      <c r="W2" s="5" t="str">
        <f ca="1">IFERROR(__xludf.DUMMYFUNCTION("""COMPUTED_VALUE"""),"E_sIuh6l8gg")</f>
        <v>E_sIuh6l8gg</v>
      </c>
      <c r="X2" s="5">
        <f ca="1">IFERROR(__xludf.DUMMYFUNCTION("""COMPUTED_VALUE"""),0.1)</f>
        <v>0.1</v>
      </c>
      <c r="Y2" s="5" t="str">
        <f t="shared" ref="Y2:Y256" si="0">IF(O2=100, "Actividad realizada", IF(O2="", "Actividad sin realizar", ""))</f>
        <v>Actividad sin realizar</v>
      </c>
      <c r="Z2" s="3" t="str">
        <f ca="1">IFERROR(VLOOKUP(U2, 'Base de datos'!A:B, 2, FALSE), "")</f>
        <v/>
      </c>
      <c r="AA2" s="4" t="e">
        <f t="shared" ref="AA2:AA256" ca="1" si="1">HYPERLINK("https://api.whatsapp.com/send?phone="&amp;_xludf.ENCODEURL(Z2)&amp;"&amp;text="&amp;_xludf.ENCODEURL("Buen dia, recuerda realizar las actividades del plan pendientes a tu nombre")
)</f>
        <v>#NAME?</v>
      </c>
    </row>
    <row r="3" spans="1:27" ht="15.75" customHeight="1">
      <c r="A3" s="5" t="str">
        <f ca="1">IFERROR(__xludf.DUMMYFUNCTION("""COMPUTED_VALUE"""),"POSTOBÓN YUMBO")</f>
        <v>POSTOBÓN YUMBO</v>
      </c>
      <c r="B3" s="5" t="str">
        <f ca="1">IFERROR(__xludf.DUMMYFUNCTION("""COMPUTED_VALUE"""),"0410-LINEA PET CSD")</f>
        <v>0410-LINEA PET CSD</v>
      </c>
      <c r="C3" s="5" t="str">
        <f ca="1">IFERROR(__xludf.DUMMYFUNCTION("""COMPUTED_VALUE"""),"LINEA PET CSD - LINEA 10")</f>
        <v>LINEA PET CSD - LINEA 10</v>
      </c>
      <c r="D3" s="5">
        <f ca="1">IFERROR(__xludf.DUMMYFUNCTION("""COMPUTED_VALUE"""),820082)</f>
        <v>820082</v>
      </c>
      <c r="E3" s="5" t="str">
        <f ca="1">IFERROR(__xludf.DUMMYFUNCTION("""COMPUTED_VALUE"""),"ETIQUETADORA ENVOLVENTE")</f>
        <v>ETIQUETADORA ENVOLVENTE</v>
      </c>
      <c r="F3" s="5">
        <f ca="1">IFERROR(__xludf.DUMMYFUNCTION("""COMPUTED_VALUE"""),25365)</f>
        <v>25365</v>
      </c>
      <c r="G3" s="5" t="str">
        <f ca="1">IFERROR(__xludf.DUMMYFUNCTION("""COMPUTED_VALUE"""),"PLAN MTTO MEC ETIQUETADORA CSD")</f>
        <v>PLAN MTTO MEC ETIQUETADORA CSD</v>
      </c>
      <c r="H3" s="5">
        <f ca="1">IFERROR(__xludf.DUMMYFUNCTION("""COMPUTED_VALUE"""),13232379)</f>
        <v>13232379</v>
      </c>
      <c r="I3" s="5" t="str">
        <f ca="1">IFERROR(__xludf.DUMMYFUNCTION("""COMPUTED_VALUE"""),"Conjunto de corte:")</f>
        <v>Conjunto de corte:</v>
      </c>
      <c r="J3" s="5" t="str">
        <f ca="1">IFERROR(__xludf.DUMMYFUNCTION("""COMPUTED_VALUE"""),"MEDIO")</f>
        <v>MEDIO</v>
      </c>
      <c r="K3" s="5" t="str">
        <f ca="1">IFERROR(__xludf.DUMMYFUNCTION("""COMPUTED_VALUE"""),"Preventivo")</f>
        <v>Preventivo</v>
      </c>
      <c r="L3" s="5" t="str">
        <f ca="1">IFERROR(__xludf.DUMMYFUNCTION("""COMPUTED_VALUE"""),"Maquinaria")</f>
        <v>Maquinaria</v>
      </c>
      <c r="M3" s="5" t="str">
        <f ca="1">IFERROR(__xludf.DUMMYFUNCTION("""COMPUTED_VALUE"""),"No")</f>
        <v>No</v>
      </c>
      <c r="N3" s="5"/>
      <c r="O3" s="5">
        <f ca="1">IFERROR(__xludf.DUMMYFUNCTION("""COMPUTED_VALUE"""),100)</f>
        <v>100</v>
      </c>
      <c r="P3" s="18">
        <f ca="1">IFERROR(__xludf.DUMMYFUNCTION("""COMPUTED_VALUE"""),45328)</f>
        <v>45328</v>
      </c>
      <c r="Q3" s="18">
        <f ca="1">IFERROR(__xludf.DUMMYFUNCTION("""COMPUTED_VALUE"""),45328)</f>
        <v>45328</v>
      </c>
      <c r="R3" s="18"/>
      <c r="S3" s="5">
        <f ca="1">IFERROR(__xludf.DUMMYFUNCTION("""COMPUTED_VALUE"""),0.1)</f>
        <v>0.1</v>
      </c>
      <c r="T3" s="5"/>
      <c r="U3" s="5" t="str">
        <f ca="1">IFERROR(__xludf.DUMMYFUNCTION("""COMPUTED_VALUE"""),"Gordillo Victoria Luis Miguel")</f>
        <v>Gordillo Victoria Luis Miguel</v>
      </c>
      <c r="V3" s="5"/>
      <c r="W3" s="5" t="str">
        <f ca="1">IFERROR(__xludf.DUMMYFUNCTION("""COMPUTED_VALUE"""),"CLCOvwdFgyg")</f>
        <v>CLCOvwdFgyg</v>
      </c>
      <c r="X3" s="5">
        <f ca="1">IFERROR(__xludf.DUMMYFUNCTION("""COMPUTED_VALUE"""),0.1)</f>
        <v>0.1</v>
      </c>
      <c r="Y3" s="5" t="str">
        <f t="shared" ca="1" si="0"/>
        <v>Actividad realizada</v>
      </c>
      <c r="Z3" s="3">
        <f ca="1">IFERROR(VLOOKUP(U3, 'Base de datos'!A:B, 2, FALSE), "")</f>
        <v>573023677706</v>
      </c>
      <c r="AA3" s="4" t="e">
        <f t="shared" ca="1" si="1"/>
        <v>#NAME?</v>
      </c>
    </row>
    <row r="4" spans="1:27" ht="15.75" customHeight="1">
      <c r="A4" s="5" t="str">
        <f ca="1">IFERROR(__xludf.DUMMYFUNCTION("""COMPUTED_VALUE"""),"POSTOBÓN YUMBO")</f>
        <v>POSTOBÓN YUMBO</v>
      </c>
      <c r="B4" s="5" t="str">
        <f ca="1">IFERROR(__xludf.DUMMYFUNCTION("""COMPUTED_VALUE"""),"0410-LINEA PET CSD")</f>
        <v>0410-LINEA PET CSD</v>
      </c>
      <c r="C4" s="5" t="str">
        <f ca="1">IFERROR(__xludf.DUMMYFUNCTION("""COMPUTED_VALUE"""),"LINEA PET CSD - LINEA 10")</f>
        <v>LINEA PET CSD - LINEA 10</v>
      </c>
      <c r="D4" s="5">
        <f ca="1">IFERROR(__xludf.DUMMYFUNCTION("""COMPUTED_VALUE"""),599605)</f>
        <v>599605</v>
      </c>
      <c r="E4" s="5" t="str">
        <f ca="1">IFERROR(__xludf.DUMMYFUNCTION("""COMPUTED_VALUE"""),"INSPECTOR ELECTRONICO DE ENVASE")</f>
        <v>INSPECTOR ELECTRONICO DE ENVASE</v>
      </c>
      <c r="F4" s="5">
        <f ca="1">IFERROR(__xludf.DUMMYFUNCTION("""COMPUTED_VALUE"""),25369)</f>
        <v>25369</v>
      </c>
      <c r="G4" s="5" t="str">
        <f ca="1">IFERROR(__xludf.DUMMYFUNCTION("""COMPUTED_VALUE"""),"PLAN MTTO ELE INSPECTOR ELECTRONICO CSD")</f>
        <v>PLAN MTTO ELE INSPECTOR ELECTRONICO CSD</v>
      </c>
      <c r="H4" s="5">
        <f ca="1">IFERROR(__xludf.DUMMYFUNCTION("""COMPUTED_VALUE"""),13232387)</f>
        <v>13232387</v>
      </c>
      <c r="I4" s="5" t="str">
        <f ca="1">IFERROR(__xludf.DUMMYFUNCTION("""COMPUTED_VALUE"""),"Unidad de mantenimiento: drenar separado")</f>
        <v>Unidad de mantenimiento: drenar separado</v>
      </c>
      <c r="J4" s="5" t="str">
        <f ca="1">IFERROR(__xludf.DUMMYFUNCTION("""COMPUTED_VALUE"""),"ALTO")</f>
        <v>ALTO</v>
      </c>
      <c r="K4" s="5" t="str">
        <f ca="1">IFERROR(__xludf.DUMMYFUNCTION("""COMPUTED_VALUE"""),"Preventivo")</f>
        <v>Preventivo</v>
      </c>
      <c r="L4" s="5" t="str">
        <f ca="1">IFERROR(__xludf.DUMMYFUNCTION("""COMPUTED_VALUE"""),"Maquinaria")</f>
        <v>Maquinaria</v>
      </c>
      <c r="M4" s="5" t="str">
        <f ca="1">IFERROR(__xludf.DUMMYFUNCTION("""COMPUTED_VALUE"""),"No")</f>
        <v>No</v>
      </c>
      <c r="N4" s="5"/>
      <c r="O4" s="5">
        <f ca="1">IFERROR(__xludf.DUMMYFUNCTION("""COMPUTED_VALUE"""),100)</f>
        <v>100</v>
      </c>
      <c r="P4" s="18">
        <f ca="1">IFERROR(__xludf.DUMMYFUNCTION("""COMPUTED_VALUE"""),45328)</f>
        <v>45328</v>
      </c>
      <c r="Q4" s="18">
        <f ca="1">IFERROR(__xludf.DUMMYFUNCTION("""COMPUTED_VALUE"""),45328)</f>
        <v>45328</v>
      </c>
      <c r="R4" s="18"/>
      <c r="S4" s="5">
        <f ca="1">IFERROR(__xludf.DUMMYFUNCTION("""COMPUTED_VALUE"""),0.1)</f>
        <v>0.1</v>
      </c>
      <c r="T4" s="5"/>
      <c r="U4" s="5" t="str">
        <f ca="1">IFERROR(__xludf.DUMMYFUNCTION("""COMPUTED_VALUE"""),"BONILLA ANGULO EDWIN ANDRES")</f>
        <v>BONILLA ANGULO EDWIN ANDRES</v>
      </c>
      <c r="V4" s="5"/>
      <c r="W4" s="5" t="str">
        <f ca="1">IFERROR(__xludf.DUMMYFUNCTION("""COMPUTED_VALUE"""),"aAC4JgW5-8o")</f>
        <v>aAC4JgW5-8o</v>
      </c>
      <c r="X4" s="5">
        <f ca="1">IFERROR(__xludf.DUMMYFUNCTION("""COMPUTED_VALUE"""),0.1)</f>
        <v>0.1</v>
      </c>
      <c r="Y4" s="5" t="str">
        <f t="shared" ca="1" si="0"/>
        <v>Actividad realizada</v>
      </c>
      <c r="Z4" s="3">
        <f ca="1">IFERROR(VLOOKUP(U4, 'Base de datos'!A:B, 2, FALSE), "")</f>
        <v>573154265203</v>
      </c>
      <c r="AA4" s="4" t="e">
        <f t="shared" ca="1" si="1"/>
        <v>#NAME?</v>
      </c>
    </row>
    <row r="5" spans="1:27" ht="15.75" customHeight="1">
      <c r="A5" s="5" t="str">
        <f ca="1">IFERROR(__xludf.DUMMYFUNCTION("""COMPUTED_VALUE"""),"POSTOBÓN YUMBO")</f>
        <v>POSTOBÓN YUMBO</v>
      </c>
      <c r="B5" s="5" t="str">
        <f ca="1">IFERROR(__xludf.DUMMYFUNCTION("""COMPUTED_VALUE"""),"0410-SALA DE JARABE TERMINADO")</f>
        <v>0410-SALA DE JARABE TERMINADO</v>
      </c>
      <c r="C5" s="5" t="str">
        <f ca="1">IFERROR(__xludf.DUMMYFUNCTION("""COMPUTED_VALUE"""),"EQUIPOS PARA PREPARACION DE JARABE")</f>
        <v>EQUIPOS PARA PREPARACION DE JARABE</v>
      </c>
      <c r="D5" s="5">
        <f ca="1">IFERROR(__xludf.DUMMYFUNCTION("""COMPUTED_VALUE"""),69963404)</f>
        <v>69963404</v>
      </c>
      <c r="E5" s="5" t="str">
        <f ca="1">IFERROR(__xludf.DUMMYFUNCTION("""COMPUTED_VALUE"""),"TANQUE DE JARABE")</f>
        <v>TANQUE DE JARABE</v>
      </c>
      <c r="F5" s="5">
        <f ca="1">IFERROR(__xludf.DUMMYFUNCTION("""COMPUTED_VALUE"""),17361)</f>
        <v>17361</v>
      </c>
      <c r="G5" s="5" t="str">
        <f ca="1">IFERROR(__xludf.DUMMYFUNCTION("""COMPUTED_VALUE"""),"MTTO MEC TK JARABE 1 JARABE TERMINADO")</f>
        <v>MTTO MEC TK JARABE 1 JARABE TERMINADO</v>
      </c>
      <c r="H5" s="5">
        <f ca="1">IFERROR(__xludf.DUMMYFUNCTION("""COMPUTED_VALUE"""),13247146)</f>
        <v>13247146</v>
      </c>
      <c r="I5" s="5" t="str">
        <f ca="1">IFERROR(__xludf.DUMMYFUNCTION("""COMPUTED_VALUE"""),"ANTON PAAR - remplace los diafragmas")</f>
        <v>ANTON PAAR - remplace los diafragmas</v>
      </c>
      <c r="J5" s="5" t="str">
        <f ca="1">IFERROR(__xludf.DUMMYFUNCTION("""COMPUTED_VALUE"""),"ALTO")</f>
        <v>ALTO</v>
      </c>
      <c r="K5" s="5" t="str">
        <f ca="1">IFERROR(__xludf.DUMMYFUNCTION("""COMPUTED_VALUE"""),"Preventivo")</f>
        <v>Preventivo</v>
      </c>
      <c r="L5" s="5" t="str">
        <f ca="1">IFERROR(__xludf.DUMMYFUNCTION("""COMPUTED_VALUE"""),"Maquinaria")</f>
        <v>Maquinaria</v>
      </c>
      <c r="M5" s="5" t="str">
        <f ca="1">IFERROR(__xludf.DUMMYFUNCTION("""COMPUTED_VALUE"""),"No")</f>
        <v>No</v>
      </c>
      <c r="N5" s="5"/>
      <c r="O5" s="5">
        <f ca="1">IFERROR(__xludf.DUMMYFUNCTION("""COMPUTED_VALUE"""),100)</f>
        <v>100</v>
      </c>
      <c r="P5" s="18">
        <f ca="1">IFERROR(__xludf.DUMMYFUNCTION("""COMPUTED_VALUE"""),45342)</f>
        <v>45342</v>
      </c>
      <c r="Q5" s="18">
        <f ca="1">IFERROR(__xludf.DUMMYFUNCTION("""COMPUTED_VALUE"""),45342)</f>
        <v>45342</v>
      </c>
      <c r="R5" s="18"/>
      <c r="S5" s="5">
        <f ca="1">IFERROR(__xludf.DUMMYFUNCTION("""COMPUTED_VALUE"""),8)</f>
        <v>8</v>
      </c>
      <c r="T5" s="5"/>
      <c r="U5" s="5" t="str">
        <f ca="1">IFERROR(__xludf.DUMMYFUNCTION("""COMPUTED_VALUE"""),"Moreno Pernia Bladimir")</f>
        <v>Moreno Pernia Bladimir</v>
      </c>
      <c r="V5" s="5"/>
      <c r="W5" s="5" t="str">
        <f ca="1">IFERROR(__xludf.DUMMYFUNCTION("""COMPUTED_VALUE"""),"mi7oHD4-YQQ")</f>
        <v>mi7oHD4-YQQ</v>
      </c>
      <c r="X5" s="5">
        <f ca="1">IFERROR(__xludf.DUMMYFUNCTION("""COMPUTED_VALUE"""),8)</f>
        <v>8</v>
      </c>
      <c r="Y5" s="5" t="str">
        <f t="shared" ca="1" si="0"/>
        <v>Actividad realizada</v>
      </c>
      <c r="Z5" s="3">
        <f ca="1">IFERROR(VLOOKUP(U5, 'Base de datos'!A:B, 2, FALSE), "")</f>
        <v>573148903137</v>
      </c>
      <c r="AA5" s="4" t="e">
        <f t="shared" ca="1" si="1"/>
        <v>#NAME?</v>
      </c>
    </row>
    <row r="6" spans="1:27" ht="15.75" customHeight="1">
      <c r="A6" s="5" t="str">
        <f ca="1">IFERROR(__xludf.DUMMYFUNCTION("""COMPUTED_VALUE"""),"POSTOBÓN YUMBO")</f>
        <v>POSTOBÓN YUMBO</v>
      </c>
      <c r="B6" s="5" t="str">
        <f ca="1">IFERROR(__xludf.DUMMYFUNCTION("""COMPUTED_VALUE"""),"0410-PLANTA DE AGUA ENVASADO")</f>
        <v>0410-PLANTA DE AGUA ENVASADO</v>
      </c>
      <c r="C6" s="5" t="str">
        <f ca="1">IFERROR(__xludf.DUMMYFUNCTION("""COMPUTED_VALUE"""),"TRATAMIENTO DE AGUA PARA ENVASADO")</f>
        <v>TRATAMIENTO DE AGUA PARA ENVASADO</v>
      </c>
      <c r="D6" s="5">
        <f ca="1">IFERROR(__xludf.DUMMYFUNCTION("""COMPUTED_VALUE"""),709491)</f>
        <v>709491</v>
      </c>
      <c r="E6" s="5" t="str">
        <f ca="1">IFERROR(__xludf.DUMMYFUNCTION("""COMPUTED_VALUE"""),"FLOCULADOR 2 - TRAT PRIM")</f>
        <v>FLOCULADOR 2 - TRAT PRIM</v>
      </c>
      <c r="F6" s="5">
        <f ca="1">IFERROR(__xludf.DUMMYFUNCTION("""COMPUTED_VALUE"""),31346)</f>
        <v>31346</v>
      </c>
      <c r="G6" s="5" t="str">
        <f ca="1">IFERROR(__xludf.DUMMYFUNCTION("""COMPUTED_VALUE"""),"PLAN MTTO LUB FLOCULADOR 2 - TRAT PRIM")</f>
        <v>PLAN MTTO LUB FLOCULADOR 2 - TRAT PRIM</v>
      </c>
      <c r="H6" s="5">
        <f ca="1">IFERROR(__xludf.DUMMYFUNCTION("""COMPUTED_VALUE"""),13247253)</f>
        <v>13247253</v>
      </c>
      <c r="I6" s="5" t="str">
        <f ca="1">IFERROR(__xludf.DUMMYFUNCTION("""COMPUTED_VALUE"""),"VERIFICACION FUGAS ACEITE")</f>
        <v>VERIFICACION FUGAS ACEITE</v>
      </c>
      <c r="J6" s="5" t="str">
        <f ca="1">IFERROR(__xludf.DUMMYFUNCTION("""COMPUTED_VALUE"""),"ALTO")</f>
        <v>ALTO</v>
      </c>
      <c r="K6" s="5" t="str">
        <f ca="1">IFERROR(__xludf.DUMMYFUNCTION("""COMPUTED_VALUE"""),"Preventivo")</f>
        <v>Preventivo</v>
      </c>
      <c r="L6" s="5" t="str">
        <f ca="1">IFERROR(__xludf.DUMMYFUNCTION("""COMPUTED_VALUE"""),"Maquinaria")</f>
        <v>Maquinaria</v>
      </c>
      <c r="M6" s="5" t="str">
        <f ca="1">IFERROR(__xludf.DUMMYFUNCTION("""COMPUTED_VALUE"""),"No")</f>
        <v>No</v>
      </c>
      <c r="N6" s="5"/>
      <c r="O6" s="5"/>
      <c r="P6" s="18">
        <f ca="1">IFERROR(__xludf.DUMMYFUNCTION("""COMPUTED_VALUE"""),45334)</f>
        <v>45334</v>
      </c>
      <c r="Q6" s="18">
        <f ca="1">IFERROR(__xludf.DUMMYFUNCTION("""COMPUTED_VALUE"""),45334)</f>
        <v>45334</v>
      </c>
      <c r="R6" s="18"/>
      <c r="S6" s="5">
        <f ca="1">IFERROR(__xludf.DUMMYFUNCTION("""COMPUTED_VALUE"""),0.1)</f>
        <v>0.1</v>
      </c>
      <c r="T6" s="5"/>
      <c r="U6" s="5" t="str">
        <f ca="1">IFERROR(__xludf.DUMMYFUNCTION("""COMPUTED_VALUE"""),"Guzman Palechor Miguel Angel")</f>
        <v>Guzman Palechor Miguel Angel</v>
      </c>
      <c r="V6" s="5"/>
      <c r="W6" s="5" t="str">
        <f ca="1">IFERROR(__xludf.DUMMYFUNCTION("""COMPUTED_VALUE"""),"Rwasqhg-seI")</f>
        <v>Rwasqhg-seI</v>
      </c>
      <c r="X6" s="5">
        <f ca="1">IFERROR(__xludf.DUMMYFUNCTION("""COMPUTED_VALUE"""),0.1)</f>
        <v>0.1</v>
      </c>
      <c r="Y6" s="5" t="str">
        <f t="shared" si="0"/>
        <v>Actividad sin realizar</v>
      </c>
      <c r="Z6" s="3">
        <f ca="1">IFERROR(VLOOKUP(U6, 'Base de datos'!A:B, 2, FALSE), "")</f>
        <v>573112422176</v>
      </c>
      <c r="AA6" s="4" t="e">
        <f t="shared" ca="1" si="1"/>
        <v>#NAME?</v>
      </c>
    </row>
    <row r="7" spans="1:27" ht="15.75" customHeight="1">
      <c r="A7" s="5" t="str">
        <f ca="1">IFERROR(__xludf.DUMMYFUNCTION("""COMPUTED_VALUE"""),"POSTOBÓN YUMBO")</f>
        <v>POSTOBÓN YUMBO</v>
      </c>
      <c r="B7" s="5" t="str">
        <f ca="1">IFERROR(__xludf.DUMMYFUNCTION("""COMPUTED_VALUE"""),"0410-LINEA 1")</f>
        <v>0410-LINEA 1</v>
      </c>
      <c r="C7" s="5" t="str">
        <f ca="1">IFERROR(__xludf.DUMMYFUNCTION("""COMPUTED_VALUE"""),"LINEA DE ENVASADO PET NO RETORNABLE")</f>
        <v>LINEA DE ENVASADO PET NO RETORNABLE</v>
      </c>
      <c r="D7" s="5">
        <f ca="1">IFERROR(__xludf.DUMMYFUNCTION("""COMPUTED_VALUE"""),82964102)</f>
        <v>82964102</v>
      </c>
      <c r="E7" s="5" t="str">
        <f ca="1">IFERROR(__xludf.DUMMYFUNCTION("""COMPUTED_VALUE"""),"CODIFICADOR LASER")</f>
        <v>CODIFICADOR LASER</v>
      </c>
      <c r="F7" s="5">
        <f ca="1">IFERROR(__xludf.DUMMYFUNCTION("""COMPUTED_VALUE"""),18694)</f>
        <v>18694</v>
      </c>
      <c r="G7" s="5" t="str">
        <f ca="1">IFERROR(__xludf.DUMMYFUNCTION("""COMPUTED_VALUE"""),"PLAN MTTO CODIFICADOR LASER L1 82964102")</f>
        <v>PLAN MTTO CODIFICADOR LASER L1 82964102</v>
      </c>
      <c r="H7" s="5">
        <f ca="1">IFERROR(__xludf.DUMMYFUNCTION("""COMPUTED_VALUE"""),13247178)</f>
        <v>13247178</v>
      </c>
      <c r="I7" s="5" t="str">
        <f ca="1">IFERROR(__xludf.DUMMYFUNCTION("""COMPUTED_VALUE"""),"Cabezal: Limpieza de lente")</f>
        <v>Cabezal: Limpieza de lente</v>
      </c>
      <c r="J7" s="5" t="str">
        <f ca="1">IFERROR(__xludf.DUMMYFUNCTION("""COMPUTED_VALUE"""),"ALTO")</f>
        <v>ALTO</v>
      </c>
      <c r="K7" s="5" t="str">
        <f ca="1">IFERROR(__xludf.DUMMYFUNCTION("""COMPUTED_VALUE"""),"Preventivo")</f>
        <v>Preventivo</v>
      </c>
      <c r="L7" s="5" t="str">
        <f ca="1">IFERROR(__xludf.DUMMYFUNCTION("""COMPUTED_VALUE"""),"Maquinaria")</f>
        <v>Maquinaria</v>
      </c>
      <c r="M7" s="5" t="str">
        <f ca="1">IFERROR(__xludf.DUMMYFUNCTION("""COMPUTED_VALUE"""),"No")</f>
        <v>No</v>
      </c>
      <c r="N7" s="5"/>
      <c r="O7" s="5"/>
      <c r="P7" s="18">
        <f ca="1">IFERROR(__xludf.DUMMYFUNCTION("""COMPUTED_VALUE"""),45336)</f>
        <v>45336</v>
      </c>
      <c r="Q7" s="18">
        <f ca="1">IFERROR(__xludf.DUMMYFUNCTION("""COMPUTED_VALUE"""),45336)</f>
        <v>45336</v>
      </c>
      <c r="R7" s="18"/>
      <c r="S7" s="5">
        <f ca="1">IFERROR(__xludf.DUMMYFUNCTION("""COMPUTED_VALUE"""),0.1)</f>
        <v>0.1</v>
      </c>
      <c r="T7" s="5"/>
      <c r="U7" s="5" t="str">
        <f ca="1">IFERROR(__xludf.DUMMYFUNCTION("""COMPUTED_VALUE"""),"Peña Quiñonez Andres Gilberto")</f>
        <v>Peña Quiñonez Andres Gilberto</v>
      </c>
      <c r="V7" s="5"/>
      <c r="W7" s="5" t="str">
        <f ca="1">IFERROR(__xludf.DUMMYFUNCTION("""COMPUTED_VALUE"""),"wDtyOBDln20")</f>
        <v>wDtyOBDln20</v>
      </c>
      <c r="X7" s="5">
        <f ca="1">IFERROR(__xludf.DUMMYFUNCTION("""COMPUTED_VALUE"""),0.1)</f>
        <v>0.1</v>
      </c>
      <c r="Y7" s="5" t="str">
        <f t="shared" si="0"/>
        <v>Actividad sin realizar</v>
      </c>
      <c r="Z7" s="3">
        <f ca="1">IFERROR(VLOOKUP(U7, 'Base de datos'!A:B, 2, FALSE), "")</f>
        <v>573022795068</v>
      </c>
      <c r="AA7" s="4" t="e">
        <f t="shared" ca="1" si="1"/>
        <v>#NAME?</v>
      </c>
    </row>
    <row r="8" spans="1:27" ht="15.75" customHeight="1">
      <c r="A8" s="5" t="str">
        <f ca="1">IFERROR(__xludf.DUMMYFUNCTION("""COMPUTED_VALUE"""),"POSTOBÓN YUMBO")</f>
        <v>POSTOBÓN YUMBO</v>
      </c>
      <c r="B8" s="5" t="str">
        <f ca="1">IFERROR(__xludf.DUMMYFUNCTION("""COMPUTED_VALUE"""),"0410-PLANTA DE AGUA ENVASADO")</f>
        <v>0410-PLANTA DE AGUA ENVASADO</v>
      </c>
      <c r="C8" s="5" t="str">
        <f ca="1">IFERROR(__xludf.DUMMYFUNCTION("""COMPUTED_VALUE"""),"TRATAMIENTO DE AGUA PARA ENVASADO")</f>
        <v>TRATAMIENTO DE AGUA PARA ENVASADO</v>
      </c>
      <c r="D8" s="5">
        <f ca="1">IFERROR(__xludf.DUMMYFUNCTION("""COMPUTED_VALUE"""),709490)</f>
        <v>709490</v>
      </c>
      <c r="E8" s="5" t="str">
        <f ca="1">IFERROR(__xludf.DUMMYFUNCTION("""COMPUTED_VALUE"""),"FLOCULADOR 1 - TRAT PRIM")</f>
        <v>FLOCULADOR 1 - TRAT PRIM</v>
      </c>
      <c r="F8" s="5">
        <f ca="1">IFERROR(__xludf.DUMMYFUNCTION("""COMPUTED_VALUE"""),31345)</f>
        <v>31345</v>
      </c>
      <c r="G8" s="5" t="str">
        <f ca="1">IFERROR(__xludf.DUMMYFUNCTION("""COMPUTED_VALUE"""),"PLAN MTTO LUB FLOCULADOR 1 TRAT PRIM")</f>
        <v>PLAN MTTO LUB FLOCULADOR 1 TRAT PRIM</v>
      </c>
      <c r="H8" s="5">
        <f ca="1">IFERROR(__xludf.DUMMYFUNCTION("""COMPUTED_VALUE"""),13247252)</f>
        <v>13247252</v>
      </c>
      <c r="I8" s="5" t="str">
        <f ca="1">IFERROR(__xludf.DUMMYFUNCTION("""COMPUTED_VALUE"""),"VERIFICACION FUGAS ACEITE")</f>
        <v>VERIFICACION FUGAS ACEITE</v>
      </c>
      <c r="J8" s="5" t="str">
        <f ca="1">IFERROR(__xludf.DUMMYFUNCTION("""COMPUTED_VALUE"""),"ALTO")</f>
        <v>ALTO</v>
      </c>
      <c r="K8" s="5" t="str">
        <f ca="1">IFERROR(__xludf.DUMMYFUNCTION("""COMPUTED_VALUE"""),"Preventivo")</f>
        <v>Preventivo</v>
      </c>
      <c r="L8" s="5" t="str">
        <f ca="1">IFERROR(__xludf.DUMMYFUNCTION("""COMPUTED_VALUE"""),"Maquinaria")</f>
        <v>Maquinaria</v>
      </c>
      <c r="M8" s="5" t="str">
        <f ca="1">IFERROR(__xludf.DUMMYFUNCTION("""COMPUTED_VALUE"""),"No")</f>
        <v>No</v>
      </c>
      <c r="N8" s="5"/>
      <c r="O8" s="5"/>
      <c r="P8" s="18">
        <f ca="1">IFERROR(__xludf.DUMMYFUNCTION("""COMPUTED_VALUE"""),45334)</f>
        <v>45334</v>
      </c>
      <c r="Q8" s="18">
        <f ca="1">IFERROR(__xludf.DUMMYFUNCTION("""COMPUTED_VALUE"""),45334)</f>
        <v>45334</v>
      </c>
      <c r="R8" s="18"/>
      <c r="S8" s="5">
        <f ca="1">IFERROR(__xludf.DUMMYFUNCTION("""COMPUTED_VALUE"""),0.1)</f>
        <v>0.1</v>
      </c>
      <c r="T8" s="5"/>
      <c r="U8" s="5" t="str">
        <f ca="1">IFERROR(__xludf.DUMMYFUNCTION("""COMPUTED_VALUE"""),"Guzman Palechor Miguel Angel")</f>
        <v>Guzman Palechor Miguel Angel</v>
      </c>
      <c r="V8" s="5"/>
      <c r="W8" s="5" t="str">
        <f ca="1">IFERROR(__xludf.DUMMYFUNCTION("""COMPUTED_VALUE"""),"Kb58SETNReg")</f>
        <v>Kb58SETNReg</v>
      </c>
      <c r="X8" s="5">
        <f ca="1">IFERROR(__xludf.DUMMYFUNCTION("""COMPUTED_VALUE"""),0.1)</f>
        <v>0.1</v>
      </c>
      <c r="Y8" s="5" t="str">
        <f t="shared" si="0"/>
        <v>Actividad sin realizar</v>
      </c>
      <c r="Z8" s="3">
        <f ca="1">IFERROR(VLOOKUP(U8, 'Base de datos'!A:B, 2, FALSE), "")</f>
        <v>573112422176</v>
      </c>
      <c r="AA8" s="4" t="e">
        <f t="shared" ca="1" si="1"/>
        <v>#NAME?</v>
      </c>
    </row>
    <row r="9" spans="1:27" ht="15.75" customHeight="1">
      <c r="A9" s="5" t="str">
        <f ca="1">IFERROR(__xludf.DUMMYFUNCTION("""COMPUTED_VALUE"""),"POSTOBÓN YUMBO")</f>
        <v>POSTOBÓN YUMBO</v>
      </c>
      <c r="B9" s="5" t="str">
        <f ca="1">IFERROR(__xludf.DUMMYFUNCTION("""COMPUTED_VALUE"""),"0410-LINEA DISPENSADORES")</f>
        <v>0410-LINEA DISPENSADORES</v>
      </c>
      <c r="C9" s="5" t="str">
        <f ca="1">IFERROR(__xludf.DUMMYFUNCTION("""COMPUTED_VALUE"""),"LINEA ENVASADO BAG IN BOX DISPENSADORES")</f>
        <v>LINEA ENVASADO BAG IN BOX DISPENSADORES</v>
      </c>
      <c r="D9" s="5">
        <f ca="1">IFERROR(__xludf.DUMMYFUNCTION("""COMPUTED_VALUE"""),710174)</f>
        <v>710174</v>
      </c>
      <c r="E9" s="5" t="str">
        <f ca="1">IFERROR(__xludf.DUMMYFUNCTION("""COMPUTED_VALUE"""),"LLENADORA DE BOLSAS BAG IN BOX")</f>
        <v>LLENADORA DE BOLSAS BAG IN BOX</v>
      </c>
      <c r="F9" s="5">
        <f ca="1">IFERROR(__xludf.DUMMYFUNCTION("""COMPUTED_VALUE"""),20730)</f>
        <v>20730</v>
      </c>
      <c r="G9" s="5" t="str">
        <f ca="1">IFERROR(__xludf.DUMMYFUNCTION("""COMPUTED_VALUE"""),"PLAN MTTO LUB LLENADORA B&amp;B 710174")</f>
        <v>PLAN MTTO LUB LLENADORA B&amp;B 710174</v>
      </c>
      <c r="H9" s="5">
        <f ca="1">IFERROR(__xludf.DUMMYFUNCTION("""COMPUTED_VALUE"""),13247179)</f>
        <v>13247179</v>
      </c>
      <c r="I9" s="5" t="str">
        <f ca="1">IFERROR(__xludf.DUMMYFUNCTION("""COMPUTED_VALUE"""),"Reajustar nivel aceite")</f>
        <v>Reajustar nivel aceite</v>
      </c>
      <c r="J9" s="5" t="str">
        <f ca="1">IFERROR(__xludf.DUMMYFUNCTION("""COMPUTED_VALUE"""),"ALTO")</f>
        <v>ALTO</v>
      </c>
      <c r="K9" s="5" t="str">
        <f ca="1">IFERROR(__xludf.DUMMYFUNCTION("""COMPUTED_VALUE"""),"Preventivo")</f>
        <v>Preventivo</v>
      </c>
      <c r="L9" s="5" t="str">
        <f ca="1">IFERROR(__xludf.DUMMYFUNCTION("""COMPUTED_VALUE"""),"Maquinaria")</f>
        <v>Maquinaria</v>
      </c>
      <c r="M9" s="5" t="str">
        <f ca="1">IFERROR(__xludf.DUMMYFUNCTION("""COMPUTED_VALUE"""),"No")</f>
        <v>No</v>
      </c>
      <c r="N9" s="5"/>
      <c r="O9" s="5"/>
      <c r="P9" s="18">
        <f ca="1">IFERROR(__xludf.DUMMYFUNCTION("""COMPUTED_VALUE"""),45331)</f>
        <v>45331</v>
      </c>
      <c r="Q9" s="18">
        <f ca="1">IFERROR(__xludf.DUMMYFUNCTION("""COMPUTED_VALUE"""),45331)</f>
        <v>45331</v>
      </c>
      <c r="R9" s="18"/>
      <c r="S9" s="5">
        <f ca="1">IFERROR(__xludf.DUMMYFUNCTION("""COMPUTED_VALUE"""),0.1)</f>
        <v>0.1</v>
      </c>
      <c r="T9" s="5"/>
      <c r="U9" s="5" t="str">
        <f ca="1">IFERROR(__xludf.DUMMYFUNCTION("""COMPUTED_VALUE"""),"MARIO ALBERTO MARTÍNEZ MORA")</f>
        <v>MARIO ALBERTO MARTÍNEZ MORA</v>
      </c>
      <c r="V9" s="5"/>
      <c r="W9" s="5" t="str">
        <f ca="1">IFERROR(__xludf.DUMMYFUNCTION("""COMPUTED_VALUE"""),"0ClhyavVDeE")</f>
        <v>0ClhyavVDeE</v>
      </c>
      <c r="X9" s="5">
        <f ca="1">IFERROR(__xludf.DUMMYFUNCTION("""COMPUTED_VALUE"""),0.1)</f>
        <v>0.1</v>
      </c>
      <c r="Y9" s="5" t="str">
        <f t="shared" si="0"/>
        <v>Actividad sin realizar</v>
      </c>
      <c r="Z9" s="3">
        <f ca="1">IFERROR(VLOOKUP(U9, 'Base de datos'!A:B, 2, FALSE), "")</f>
        <v>573116493969</v>
      </c>
      <c r="AA9" s="4" t="e">
        <f t="shared" ca="1" si="1"/>
        <v>#NAME?</v>
      </c>
    </row>
    <row r="10" spans="1:27" ht="15.75" customHeight="1">
      <c r="A10" s="5" t="str">
        <f ca="1">IFERROR(__xludf.DUMMYFUNCTION("""COMPUTED_VALUE"""),"POSTOBÓN YUMBO")</f>
        <v>POSTOBÓN YUMBO</v>
      </c>
      <c r="B10" s="5" t="str">
        <f ca="1">IFERROR(__xludf.DUMMYFUNCTION("""COMPUTED_VALUE"""),"0410-EQUIPOS AUXILIARES")</f>
        <v>0410-EQUIPOS AUXILIARES</v>
      </c>
      <c r="C10" s="5" t="str">
        <f ca="1">IFERROR(__xludf.DUMMYFUNCTION("""COMPUTED_VALUE"""),"EQUIPOS PARA SERVICIOS INDUSTRIALES")</f>
        <v>EQUIPOS PARA SERVICIOS INDUSTRIALES</v>
      </c>
      <c r="D10" s="5">
        <f ca="1">IFERROR(__xludf.DUMMYFUNCTION("""COMPUTED_VALUE"""),669446)</f>
        <v>669446</v>
      </c>
      <c r="E10" s="5" t="str">
        <f ca="1">IFERROR(__xludf.DUMMYFUNCTION("""COMPUTED_VALUE"""),"TORRE ENFRIAMIENTO COMPRESORES REFRIGER")</f>
        <v>TORRE ENFRIAMIENTO COMPRESORES REFRIGER</v>
      </c>
      <c r="F10" s="5">
        <f ca="1">IFERROR(__xludf.DUMMYFUNCTION("""COMPUTED_VALUE"""),21703)</f>
        <v>21703</v>
      </c>
      <c r="G10" s="5" t="str">
        <f ca="1">IFERROR(__xludf.DUMMYFUNCTION("""COMPUTED_VALUE"""),"PLAN MTTO MEC TORRE ENFRIAMIENTO RECIPRO")</f>
        <v>PLAN MTTO MEC TORRE ENFRIAMIENTO RECIPRO</v>
      </c>
      <c r="H10" s="5">
        <f ca="1">IFERROR(__xludf.DUMMYFUNCTION("""COMPUTED_VALUE"""),13247185)</f>
        <v>13247185</v>
      </c>
      <c r="I10" s="5" t="str">
        <f ca="1">IFERROR(__xludf.DUMMYFUNCTION("""COMPUTED_VALUE"""),"Comprobar nivel de agua")</f>
        <v>Comprobar nivel de agua</v>
      </c>
      <c r="J10" s="5" t="str">
        <f ca="1">IFERROR(__xludf.DUMMYFUNCTION("""COMPUTED_VALUE"""),"MEDIO")</f>
        <v>MEDIO</v>
      </c>
      <c r="K10" s="5" t="str">
        <f ca="1">IFERROR(__xludf.DUMMYFUNCTION("""COMPUTED_VALUE"""),"Preventivo")</f>
        <v>Preventivo</v>
      </c>
      <c r="L10" s="5" t="str">
        <f ca="1">IFERROR(__xludf.DUMMYFUNCTION("""COMPUTED_VALUE"""),"Maquinaria")</f>
        <v>Maquinaria</v>
      </c>
      <c r="M10" s="5" t="str">
        <f ca="1">IFERROR(__xludf.DUMMYFUNCTION("""COMPUTED_VALUE"""),"No")</f>
        <v>No</v>
      </c>
      <c r="N10" s="5"/>
      <c r="O10" s="5"/>
      <c r="P10" s="18">
        <f ca="1">IFERROR(__xludf.DUMMYFUNCTION("""COMPUTED_VALUE"""),45343)</f>
        <v>45343</v>
      </c>
      <c r="Q10" s="18">
        <f ca="1">IFERROR(__xludf.DUMMYFUNCTION("""COMPUTED_VALUE"""),45343)</f>
        <v>45343</v>
      </c>
      <c r="R10" s="18"/>
      <c r="S10" s="5">
        <f ca="1">IFERROR(__xludf.DUMMYFUNCTION("""COMPUTED_VALUE"""),0.3)</f>
        <v>0.3</v>
      </c>
      <c r="T10" s="5"/>
      <c r="U10" s="5" t="str">
        <f ca="1">IFERROR(__xludf.DUMMYFUNCTION("""COMPUTED_VALUE"""),"Henao William")</f>
        <v>Henao William</v>
      </c>
      <c r="V10" s="5"/>
      <c r="W10" s="5" t="str">
        <f ca="1">IFERROR(__xludf.DUMMYFUNCTION("""COMPUTED_VALUE"""),"Lq7xMcUMuhk")</f>
        <v>Lq7xMcUMuhk</v>
      </c>
      <c r="X10" s="5">
        <f ca="1">IFERROR(__xludf.DUMMYFUNCTION("""COMPUTED_VALUE"""),0.3)</f>
        <v>0.3</v>
      </c>
      <c r="Y10" s="5" t="str">
        <f t="shared" si="0"/>
        <v>Actividad sin realizar</v>
      </c>
      <c r="Z10" s="3">
        <f ca="1">IFERROR(VLOOKUP(U10, 'Base de datos'!A:B, 2, FALSE), "")</f>
        <v>573222217492</v>
      </c>
      <c r="AA10" s="4" t="e">
        <f t="shared" ca="1" si="1"/>
        <v>#NAME?</v>
      </c>
    </row>
    <row r="11" spans="1:27" ht="15.75" customHeight="1">
      <c r="A11" s="5" t="str">
        <f ca="1">IFERROR(__xludf.DUMMYFUNCTION("""COMPUTED_VALUE"""),"POSTOBÓN YUMBO")</f>
        <v>POSTOBÓN YUMBO</v>
      </c>
      <c r="B11" s="5" t="str">
        <f ca="1">IFERROR(__xludf.DUMMYFUNCTION("""COMPUTED_VALUE"""),"0410-EQUIPOS AUXILIARES JUGOS")</f>
        <v>0410-EQUIPOS AUXILIARES JUGOS</v>
      </c>
      <c r="C11" s="5" t="str">
        <f ca="1">IFERROR(__xludf.DUMMYFUNCTION("""COMPUTED_VALUE"""),"EQUIPOS PARA SERVICIOS INDUSTRIALES JUGO")</f>
        <v>EQUIPOS PARA SERVICIOS INDUSTRIALES JUGO</v>
      </c>
      <c r="D11" s="5">
        <f ca="1">IFERROR(__xludf.DUMMYFUNCTION("""COMPUTED_VALUE"""),669466)</f>
        <v>669466</v>
      </c>
      <c r="E11" s="5" t="str">
        <f ca="1">IFERROR(__xludf.DUMMYFUNCTION("""COMPUTED_VALUE"""),"TORRE DE ENFRIAMIENTO JUGOS 2")</f>
        <v>TORRE DE ENFRIAMIENTO JUGOS 2</v>
      </c>
      <c r="F11" s="5">
        <f ca="1">IFERROR(__xludf.DUMMYFUNCTION("""COMPUTED_VALUE"""),42325)</f>
        <v>42325</v>
      </c>
      <c r="G11" s="5" t="str">
        <f ca="1">IFERROR(__xludf.DUMMYFUNCTION("""COMPUTED_VALUE"""),"PLAN MTTO MEC TORRE ENFRIAMIENTO FILTROX")</f>
        <v>PLAN MTTO MEC TORRE ENFRIAMIENTO FILTROX</v>
      </c>
      <c r="H11" s="5">
        <f ca="1">IFERROR(__xludf.DUMMYFUNCTION("""COMPUTED_VALUE"""),13247848)</f>
        <v>13247848</v>
      </c>
      <c r="I11" s="5" t="str">
        <f ca="1">IFERROR(__xludf.DUMMYFUNCTION("""COMPUTED_VALUE"""),"Comprobar nivel de agua")</f>
        <v>Comprobar nivel de agua</v>
      </c>
      <c r="J11" s="5" t="str">
        <f ca="1">IFERROR(__xludf.DUMMYFUNCTION("""COMPUTED_VALUE"""),"MEDIO")</f>
        <v>MEDIO</v>
      </c>
      <c r="K11" s="5" t="str">
        <f ca="1">IFERROR(__xludf.DUMMYFUNCTION("""COMPUTED_VALUE"""),"Preventivo")</f>
        <v>Preventivo</v>
      </c>
      <c r="L11" s="5" t="str">
        <f ca="1">IFERROR(__xludf.DUMMYFUNCTION("""COMPUTED_VALUE"""),"Maquinaria")</f>
        <v>Maquinaria</v>
      </c>
      <c r="M11" s="5" t="str">
        <f ca="1">IFERROR(__xludf.DUMMYFUNCTION("""COMPUTED_VALUE"""),"No")</f>
        <v>No</v>
      </c>
      <c r="N11" s="5"/>
      <c r="O11" s="5"/>
      <c r="P11" s="18">
        <f ca="1">IFERROR(__xludf.DUMMYFUNCTION("""COMPUTED_VALUE"""),45343)</f>
        <v>45343</v>
      </c>
      <c r="Q11" s="18">
        <f ca="1">IFERROR(__xludf.DUMMYFUNCTION("""COMPUTED_VALUE"""),45343)</f>
        <v>45343</v>
      </c>
      <c r="R11" s="18"/>
      <c r="S11" s="5">
        <f ca="1">IFERROR(__xludf.DUMMYFUNCTION("""COMPUTED_VALUE"""),0.3)</f>
        <v>0.3</v>
      </c>
      <c r="T11" s="5"/>
      <c r="U11" s="5" t="str">
        <f ca="1">IFERROR(__xludf.DUMMYFUNCTION("""COMPUTED_VALUE"""),"Lopez Raul")</f>
        <v>Lopez Raul</v>
      </c>
      <c r="V11" s="5"/>
      <c r="W11" s="5" t="str">
        <f ca="1">IFERROR(__xludf.DUMMYFUNCTION("""COMPUTED_VALUE"""),"PfDOtfHXAiU")</f>
        <v>PfDOtfHXAiU</v>
      </c>
      <c r="X11" s="5">
        <f ca="1">IFERROR(__xludf.DUMMYFUNCTION("""COMPUTED_VALUE"""),0.3)</f>
        <v>0.3</v>
      </c>
      <c r="Y11" s="5" t="str">
        <f t="shared" si="0"/>
        <v>Actividad sin realizar</v>
      </c>
      <c r="Z11" s="3">
        <f ca="1">IFERROR(VLOOKUP(U11, 'Base de datos'!A:B, 2, FALSE), "")</f>
        <v>573122172129</v>
      </c>
      <c r="AA11" s="4" t="e">
        <f t="shared" ca="1" si="1"/>
        <v>#NAME?</v>
      </c>
    </row>
    <row r="12" spans="1:27" ht="15.75" customHeight="1">
      <c r="A12" s="5" t="str">
        <f ca="1">IFERROR(__xludf.DUMMYFUNCTION("""COMPUTED_VALUE"""),"POSTOBÓN YUMBO")</f>
        <v>POSTOBÓN YUMBO</v>
      </c>
      <c r="B12" s="5" t="str">
        <f ca="1">IFERROR(__xludf.DUMMYFUNCTION("""COMPUTED_VALUE"""),"0410-LINEA 2")</f>
        <v>0410-LINEA 2</v>
      </c>
      <c r="C12" s="5" t="str">
        <f ca="1">IFERROR(__xludf.DUMMYFUNCTION("""COMPUTED_VALUE"""),"LINEA DE ENVASADO FAMILIAR Y PRB")</f>
        <v>LINEA DE ENVASADO FAMILIAR Y PRB</v>
      </c>
      <c r="D12" s="5">
        <f ca="1">IFERROR(__xludf.DUMMYFUNCTION("""COMPUTED_VALUE"""),510001)</f>
        <v>510001</v>
      </c>
      <c r="E12" s="5" t="str">
        <f ca="1">IFERROR(__xludf.DUMMYFUNCTION("""COMPUTED_VALUE"""),"LLENADORA")</f>
        <v>LLENADORA</v>
      </c>
      <c r="F12" s="5">
        <f ca="1">IFERROR(__xludf.DUMMYFUNCTION("""COMPUTED_VALUE"""),13196)</f>
        <v>13196</v>
      </c>
      <c r="G12" s="5" t="str">
        <f ca="1">IFERROR(__xludf.DUMMYFUNCTION("""COMPUTED_VALUE"""),"Mantto lubr sist aliment tapa Llenad.")</f>
        <v>Mantto lubr sist aliment tapa Llenad.</v>
      </c>
      <c r="H12" s="5">
        <f ca="1">IFERROR(__xludf.DUMMYFUNCTION("""COMPUTED_VALUE"""),13247131)</f>
        <v>13247131</v>
      </c>
      <c r="I12" s="5" t="str">
        <f ca="1">IFERROR(__xludf.DUMMYFUNCTION("""COMPUTED_VALUE"""),"Lubrique sist tapa de acuerdo al plano.")</f>
        <v>Lubrique sist tapa de acuerdo al plano.</v>
      </c>
      <c r="J12" s="5" t="str">
        <f ca="1">IFERROR(__xludf.DUMMYFUNCTION("""COMPUTED_VALUE"""),"ALTO")</f>
        <v>ALTO</v>
      </c>
      <c r="K12" s="5" t="str">
        <f ca="1">IFERROR(__xludf.DUMMYFUNCTION("""COMPUTED_VALUE"""),"Preventivo")</f>
        <v>Preventivo</v>
      </c>
      <c r="L12" s="5" t="str">
        <f ca="1">IFERROR(__xludf.DUMMYFUNCTION("""COMPUTED_VALUE"""),"Maquinaria")</f>
        <v>Maquinaria</v>
      </c>
      <c r="M12" s="5" t="str">
        <f ca="1">IFERROR(__xludf.DUMMYFUNCTION("""COMPUTED_VALUE"""),"No")</f>
        <v>No</v>
      </c>
      <c r="N12" s="5"/>
      <c r="O12" s="5"/>
      <c r="P12" s="18">
        <f ca="1">IFERROR(__xludf.DUMMYFUNCTION("""COMPUTED_VALUE"""),45324)</f>
        <v>45324</v>
      </c>
      <c r="Q12" s="18">
        <f ca="1">IFERROR(__xludf.DUMMYFUNCTION("""COMPUTED_VALUE"""),45324)</f>
        <v>45324</v>
      </c>
      <c r="R12" s="18"/>
      <c r="S12" s="5">
        <f ca="1">IFERROR(__xludf.DUMMYFUNCTION("""COMPUTED_VALUE"""),0.3)</f>
        <v>0.3</v>
      </c>
      <c r="T12" s="5"/>
      <c r="U12" s="5" t="str">
        <f ca="1">IFERROR(__xludf.DUMMYFUNCTION("""COMPUTED_VALUE"""),"Poveda Jorge")</f>
        <v>Poveda Jorge</v>
      </c>
      <c r="V12" s="5"/>
      <c r="W12" s="5" t="str">
        <f ca="1">IFERROR(__xludf.DUMMYFUNCTION("""COMPUTED_VALUE"""),"T1bsN6dAZuU")</f>
        <v>T1bsN6dAZuU</v>
      </c>
      <c r="X12" s="5">
        <f ca="1">IFERROR(__xludf.DUMMYFUNCTION("""COMPUTED_VALUE"""),0.3)</f>
        <v>0.3</v>
      </c>
      <c r="Y12" s="5" t="str">
        <f t="shared" si="0"/>
        <v>Actividad sin realizar</v>
      </c>
      <c r="Z12" s="3">
        <f ca="1">IFERROR(VLOOKUP(U12, 'Base de datos'!A:B, 2, FALSE), "")</f>
        <v>573212589618</v>
      </c>
      <c r="AA12" s="4" t="e">
        <f t="shared" ca="1" si="1"/>
        <v>#NAME?</v>
      </c>
    </row>
    <row r="13" spans="1:27" ht="15.75" customHeight="1">
      <c r="A13" s="5" t="str">
        <f ca="1">IFERROR(__xludf.DUMMYFUNCTION("""COMPUTED_VALUE"""),"POSTOBÓN YUMBO")</f>
        <v>POSTOBÓN YUMBO</v>
      </c>
      <c r="B13" s="5" t="str">
        <f ca="1">IFERROR(__xludf.DUMMYFUNCTION("""COMPUTED_VALUE"""),"0410-EQUIPOS AUXILIARES")</f>
        <v>0410-EQUIPOS AUXILIARES</v>
      </c>
      <c r="C13" s="5" t="str">
        <f ca="1">IFERROR(__xludf.DUMMYFUNCTION("""COMPUTED_VALUE"""),"EQUIPOS PARA SERVICIOS INDUSTRIALES")</f>
        <v>EQUIPOS PARA SERVICIOS INDUSTRIALES</v>
      </c>
      <c r="D13" s="5">
        <f ca="1">IFERROR(__xludf.DUMMYFUNCTION("""COMPUTED_VALUE"""),659371)</f>
        <v>659371</v>
      </c>
      <c r="E13" s="5" t="str">
        <f ca="1">IFERROR(__xludf.DUMMYFUNCTION("""COMPUTED_VALUE"""),"CALDERA DE 300 BHP")</f>
        <v>CALDERA DE 300 BHP</v>
      </c>
      <c r="F13" s="5">
        <f ca="1">IFERROR(__xludf.DUMMYFUNCTION("""COMPUTED_VALUE"""),21693)</f>
        <v>21693</v>
      </c>
      <c r="G13" s="5" t="str">
        <f ca="1">IFERROR(__xludf.DUMMYFUNCTION("""COMPUTED_VALUE"""),"PLAN DE MTTO MEC CALDERA C#3 A- 1341")</f>
        <v>PLAN DE MTTO MEC CALDERA C#3 A- 1341</v>
      </c>
      <c r="H13" s="5">
        <f ca="1">IFERROR(__xludf.DUMMYFUNCTION("""COMPUTED_VALUE"""),13247183)</f>
        <v>13247183</v>
      </c>
      <c r="I13" s="5" t="str">
        <f ca="1">IFERROR(__xludf.DUMMYFUNCTION("""COMPUTED_VALUE"""),"cámara de combustión y tuberías gases")</f>
        <v>cámara de combustión y tuberías gases</v>
      </c>
      <c r="J13" s="5" t="str">
        <f ca="1">IFERROR(__xludf.DUMMYFUNCTION("""COMPUTED_VALUE"""),"ALTO")</f>
        <v>ALTO</v>
      </c>
      <c r="K13" s="5" t="str">
        <f ca="1">IFERROR(__xludf.DUMMYFUNCTION("""COMPUTED_VALUE"""),"Preventivo")</f>
        <v>Preventivo</v>
      </c>
      <c r="L13" s="5" t="str">
        <f ca="1">IFERROR(__xludf.DUMMYFUNCTION("""COMPUTED_VALUE"""),"Maquinaria")</f>
        <v>Maquinaria</v>
      </c>
      <c r="M13" s="5" t="str">
        <f ca="1">IFERROR(__xludf.DUMMYFUNCTION("""COMPUTED_VALUE"""),"No")</f>
        <v>No</v>
      </c>
      <c r="N13" s="5"/>
      <c r="O13" s="5"/>
      <c r="P13" s="18">
        <f ca="1">IFERROR(__xludf.DUMMYFUNCTION("""COMPUTED_VALUE"""),45337)</f>
        <v>45337</v>
      </c>
      <c r="Q13" s="18">
        <f ca="1">IFERROR(__xludf.DUMMYFUNCTION("""COMPUTED_VALUE"""),45337)</f>
        <v>45337</v>
      </c>
      <c r="R13" s="18"/>
      <c r="S13" s="5">
        <f ca="1">IFERROR(__xludf.DUMMYFUNCTION("""COMPUTED_VALUE"""),0.3)</f>
        <v>0.3</v>
      </c>
      <c r="T13" s="5"/>
      <c r="U13" s="5" t="str">
        <f ca="1">IFERROR(__xludf.DUMMYFUNCTION("""COMPUTED_VALUE"""),"Valencia Hector")</f>
        <v>Valencia Hector</v>
      </c>
      <c r="V13" s="5"/>
      <c r="W13" s="5" t="str">
        <f ca="1">IFERROR(__xludf.DUMMYFUNCTION("""COMPUTED_VALUE"""),"vrHrrjtCHG4")</f>
        <v>vrHrrjtCHG4</v>
      </c>
      <c r="X13" s="5">
        <f ca="1">IFERROR(__xludf.DUMMYFUNCTION("""COMPUTED_VALUE"""),0.3)</f>
        <v>0.3</v>
      </c>
      <c r="Y13" s="5" t="str">
        <f t="shared" si="0"/>
        <v>Actividad sin realizar</v>
      </c>
      <c r="Z13" s="3">
        <f ca="1">IFERROR(VLOOKUP(U13, 'Base de datos'!A:B, 2, FALSE), "")</f>
        <v>573108951371</v>
      </c>
      <c r="AA13" s="4" t="e">
        <f t="shared" ca="1" si="1"/>
        <v>#NAME?</v>
      </c>
    </row>
    <row r="14" spans="1:27" ht="15.75" customHeight="1">
      <c r="A14" s="5" t="str">
        <f ca="1">IFERROR(__xludf.DUMMYFUNCTION("""COMPUTED_VALUE"""),"POSTOBÓN YUMBO")</f>
        <v>POSTOBÓN YUMBO</v>
      </c>
      <c r="B14" s="5" t="str">
        <f ca="1">IFERROR(__xludf.DUMMYFUNCTION("""COMPUTED_VALUE"""),"0410-LINEA 2")</f>
        <v>0410-LINEA 2</v>
      </c>
      <c r="C14" s="5" t="str">
        <f ca="1">IFERROR(__xludf.DUMMYFUNCTION("""COMPUTED_VALUE"""),"LINEA DE ENVASADO FAMILIAR Y PRB")</f>
        <v>LINEA DE ENVASADO FAMILIAR Y PRB</v>
      </c>
      <c r="D14" s="5">
        <f ca="1">IFERROR(__xludf.DUMMYFUNCTION("""COMPUTED_VALUE"""),510001)</f>
        <v>510001</v>
      </c>
      <c r="E14" s="5" t="str">
        <f ca="1">IFERROR(__xludf.DUMMYFUNCTION("""COMPUTED_VALUE"""),"LLENADORA")</f>
        <v>LLENADORA</v>
      </c>
      <c r="F14" s="5">
        <f ca="1">IFERROR(__xludf.DUMMYFUNCTION("""COMPUTED_VALUE"""),13196)</f>
        <v>13196</v>
      </c>
      <c r="G14" s="5" t="str">
        <f ca="1">IFERROR(__xludf.DUMMYFUNCTION("""COMPUTED_VALUE"""),"Mantto lubr sist manejo de bot. Llenad.")</f>
        <v>Mantto lubr sist manejo de bot. Llenad.</v>
      </c>
      <c r="H14" s="5">
        <f ca="1">IFERROR(__xludf.DUMMYFUNCTION("""COMPUTED_VALUE"""),13247126)</f>
        <v>13247126</v>
      </c>
      <c r="I14" s="5" t="str">
        <f ca="1">IFERROR(__xludf.DUMMYFUNCTION("""COMPUTED_VALUE"""),"Purgue aceite usado del tubo de")</f>
        <v>Purgue aceite usado del tubo de</v>
      </c>
      <c r="J14" s="5" t="str">
        <f ca="1">IFERROR(__xludf.DUMMYFUNCTION("""COMPUTED_VALUE"""),"ALTO")</f>
        <v>ALTO</v>
      </c>
      <c r="K14" s="5" t="str">
        <f ca="1">IFERROR(__xludf.DUMMYFUNCTION("""COMPUTED_VALUE"""),"Preventivo")</f>
        <v>Preventivo</v>
      </c>
      <c r="L14" s="5" t="str">
        <f ca="1">IFERROR(__xludf.DUMMYFUNCTION("""COMPUTED_VALUE"""),"Maquinaria")</f>
        <v>Maquinaria</v>
      </c>
      <c r="M14" s="5" t="str">
        <f ca="1">IFERROR(__xludf.DUMMYFUNCTION("""COMPUTED_VALUE"""),"No")</f>
        <v>No</v>
      </c>
      <c r="N14" s="5"/>
      <c r="O14" s="5"/>
      <c r="P14" s="18">
        <f ca="1">IFERROR(__xludf.DUMMYFUNCTION("""COMPUTED_VALUE"""),45324)</f>
        <v>45324</v>
      </c>
      <c r="Q14" s="18">
        <f ca="1">IFERROR(__xludf.DUMMYFUNCTION("""COMPUTED_VALUE"""),45324)</f>
        <v>45324</v>
      </c>
      <c r="R14" s="18"/>
      <c r="S14" s="5">
        <f ca="1">IFERROR(__xludf.DUMMYFUNCTION("""COMPUTED_VALUE"""),0.3)</f>
        <v>0.3</v>
      </c>
      <c r="T14" s="5"/>
      <c r="U14" s="5" t="str">
        <f ca="1">IFERROR(__xludf.DUMMYFUNCTION("""COMPUTED_VALUE"""),"Poveda Jorge")</f>
        <v>Poveda Jorge</v>
      </c>
      <c r="V14" s="5"/>
      <c r="W14" s="5" t="str">
        <f ca="1">IFERROR(__xludf.DUMMYFUNCTION("""COMPUTED_VALUE"""),"71eoytP5ctc")</f>
        <v>71eoytP5ctc</v>
      </c>
      <c r="X14" s="5">
        <f ca="1">IFERROR(__xludf.DUMMYFUNCTION("""COMPUTED_VALUE"""),0.3)</f>
        <v>0.3</v>
      </c>
      <c r="Y14" s="5" t="str">
        <f t="shared" si="0"/>
        <v>Actividad sin realizar</v>
      </c>
      <c r="Z14" s="3">
        <f ca="1">IFERROR(VLOOKUP(U14, 'Base de datos'!A:B, 2, FALSE), "")</f>
        <v>573212589618</v>
      </c>
      <c r="AA14" s="4" t="e">
        <f t="shared" ca="1" si="1"/>
        <v>#NAME?</v>
      </c>
    </row>
    <row r="15" spans="1:27" ht="15.75" customHeight="1">
      <c r="A15" s="5" t="str">
        <f ca="1">IFERROR(__xludf.DUMMYFUNCTION("""COMPUTED_VALUE"""),"POSTOBÓN YUMBO")</f>
        <v>POSTOBÓN YUMBO</v>
      </c>
      <c r="B15" s="5" t="str">
        <f ca="1">IFERROR(__xludf.DUMMYFUNCTION("""COMPUTED_VALUE"""),"0410-LINEA 2")</f>
        <v>0410-LINEA 2</v>
      </c>
      <c r="C15" s="5" t="str">
        <f ca="1">IFERROR(__xludf.DUMMYFUNCTION("""COMPUTED_VALUE"""),"LINEA DE ENVASADO FAMILIAR Y PRB")</f>
        <v>LINEA DE ENVASADO FAMILIAR Y PRB</v>
      </c>
      <c r="D15" s="5">
        <f ca="1">IFERROR(__xludf.DUMMYFUNCTION("""COMPUTED_VALUE"""),510001)</f>
        <v>510001</v>
      </c>
      <c r="E15" s="5" t="str">
        <f ca="1">IFERROR(__xludf.DUMMYFUNCTION("""COMPUTED_VALUE"""),"LLENADORA")</f>
        <v>LLENADORA</v>
      </c>
      <c r="F15" s="5">
        <f ca="1">IFERROR(__xludf.DUMMYFUNCTION("""COMPUTED_VALUE"""),13196)</f>
        <v>13196</v>
      </c>
      <c r="G15" s="5" t="str">
        <f ca="1">IFERROR(__xludf.DUMMYFUNCTION("""COMPUTED_VALUE"""),"Mantto lubr sist manejo de bot. Llenad.")</f>
        <v>Mantto lubr sist manejo de bot. Llenad.</v>
      </c>
      <c r="H15" s="5">
        <f ca="1">IFERROR(__xludf.DUMMYFUNCTION("""COMPUTED_VALUE"""),13247127)</f>
        <v>13247127</v>
      </c>
      <c r="I15" s="5" t="str">
        <f ca="1">IFERROR(__xludf.DUMMYFUNCTION("""COMPUTED_VALUE"""),"Purgue aceite usado del tubo de")</f>
        <v>Purgue aceite usado del tubo de</v>
      </c>
      <c r="J15" s="5" t="str">
        <f ca="1">IFERROR(__xludf.DUMMYFUNCTION("""COMPUTED_VALUE"""),"ALTO")</f>
        <v>ALTO</v>
      </c>
      <c r="K15" s="5" t="str">
        <f ca="1">IFERROR(__xludf.DUMMYFUNCTION("""COMPUTED_VALUE"""),"Preventivo")</f>
        <v>Preventivo</v>
      </c>
      <c r="L15" s="5" t="str">
        <f ca="1">IFERROR(__xludf.DUMMYFUNCTION("""COMPUTED_VALUE"""),"Maquinaria")</f>
        <v>Maquinaria</v>
      </c>
      <c r="M15" s="5" t="str">
        <f ca="1">IFERROR(__xludf.DUMMYFUNCTION("""COMPUTED_VALUE"""),"No")</f>
        <v>No</v>
      </c>
      <c r="N15" s="5"/>
      <c r="O15" s="5"/>
      <c r="P15" s="18">
        <f ca="1">IFERROR(__xludf.DUMMYFUNCTION("""COMPUTED_VALUE"""),45324)</f>
        <v>45324</v>
      </c>
      <c r="Q15" s="18">
        <f ca="1">IFERROR(__xludf.DUMMYFUNCTION("""COMPUTED_VALUE"""),45324)</f>
        <v>45324</v>
      </c>
      <c r="R15" s="18"/>
      <c r="S15" s="5">
        <f ca="1">IFERROR(__xludf.DUMMYFUNCTION("""COMPUTED_VALUE"""),0.3)</f>
        <v>0.3</v>
      </c>
      <c r="T15" s="5"/>
      <c r="U15" s="5" t="str">
        <f ca="1">IFERROR(__xludf.DUMMYFUNCTION("""COMPUTED_VALUE"""),"Poveda Jorge")</f>
        <v>Poveda Jorge</v>
      </c>
      <c r="V15" s="5"/>
      <c r="W15" s="5" t="str">
        <f ca="1">IFERROR(__xludf.DUMMYFUNCTION("""COMPUTED_VALUE"""),"Ou8gIeFyBJE")</f>
        <v>Ou8gIeFyBJE</v>
      </c>
      <c r="X15" s="5">
        <f ca="1">IFERROR(__xludf.DUMMYFUNCTION("""COMPUTED_VALUE"""),0.3)</f>
        <v>0.3</v>
      </c>
      <c r="Y15" s="5" t="str">
        <f t="shared" si="0"/>
        <v>Actividad sin realizar</v>
      </c>
      <c r="Z15" s="3">
        <f ca="1">IFERROR(VLOOKUP(U15, 'Base de datos'!A:B, 2, FALSE), "")</f>
        <v>573212589618</v>
      </c>
      <c r="AA15" s="4" t="e">
        <f t="shared" ca="1" si="1"/>
        <v>#NAME?</v>
      </c>
    </row>
    <row r="16" spans="1:27" ht="15.75" customHeight="1">
      <c r="A16" s="5" t="str">
        <f ca="1">IFERROR(__xludf.DUMMYFUNCTION("""COMPUTED_VALUE"""),"POSTOBÓN YUMBO")</f>
        <v>POSTOBÓN YUMBO</v>
      </c>
      <c r="B16" s="5" t="str">
        <f ca="1">IFERROR(__xludf.DUMMYFUNCTION("""COMPUTED_VALUE"""),"0410-LINEA PET CSD")</f>
        <v>0410-LINEA PET CSD</v>
      </c>
      <c r="C16" s="5" t="str">
        <f ca="1">IFERROR(__xludf.DUMMYFUNCTION("""COMPUTED_VALUE"""),"LINEA PET CSD - LINEA 10")</f>
        <v>LINEA PET CSD - LINEA 10</v>
      </c>
      <c r="D16" s="5">
        <f ca="1">IFERROR(__xludf.DUMMYFUNCTION("""COMPUTED_VALUE"""),829703)</f>
        <v>829703</v>
      </c>
      <c r="E16" s="5" t="str">
        <f ca="1">IFERROR(__xludf.DUMMYFUNCTION("""COMPUTED_VALUE"""),"ALIMENTADOR DE TAPA PLASTICA")</f>
        <v>ALIMENTADOR DE TAPA PLASTICA</v>
      </c>
      <c r="F16" s="5">
        <f ca="1">IFERROR(__xludf.DUMMYFUNCTION("""COMPUTED_VALUE"""),37846)</f>
        <v>37846</v>
      </c>
      <c r="G16" s="5" t="str">
        <f ca="1">IFERROR(__xludf.DUMMYFUNCTION("""COMPUTED_VALUE"""),"INSPECCION SEMANAL ALIMENTADOR DE TAPA P")</f>
        <v>INSPECCION SEMANAL ALIMENTADOR DE TAPA P</v>
      </c>
      <c r="H16" s="5">
        <f ca="1">IFERROR(__xludf.DUMMYFUNCTION("""COMPUTED_VALUE"""),13214443)</f>
        <v>13214443</v>
      </c>
      <c r="I16" s="5" t="str">
        <f ca="1">IFERROR(__xludf.DUMMYFUNCTION("""COMPUTED_VALUE"""),"cambio de cable m8 sensor 5401-B122")</f>
        <v>cambio de cable m8 sensor 5401-B122</v>
      </c>
      <c r="J16" s="5" t="str">
        <f ca="1">IFERROR(__xludf.DUMMYFUNCTION("""COMPUTED_VALUE"""),"MEDIO")</f>
        <v>MEDIO</v>
      </c>
      <c r="K16" s="5" t="str">
        <f ca="1">IFERROR(__xludf.DUMMYFUNCTION("""COMPUTED_VALUE"""),"Preventivo")</f>
        <v>Preventivo</v>
      </c>
      <c r="L16" s="5" t="str">
        <f ca="1">IFERROR(__xludf.DUMMYFUNCTION("""COMPUTED_VALUE"""),"Maquinaria")</f>
        <v>Maquinaria</v>
      </c>
      <c r="M16" s="5" t="str">
        <f ca="1">IFERROR(__xludf.DUMMYFUNCTION("""COMPUTED_VALUE"""),"No")</f>
        <v>No</v>
      </c>
      <c r="N16" s="5"/>
      <c r="O16" s="5">
        <f ca="1">IFERROR(__xludf.DUMMYFUNCTION("""COMPUTED_VALUE"""),100)</f>
        <v>100</v>
      </c>
      <c r="P16" s="18">
        <f ca="1">IFERROR(__xludf.DUMMYFUNCTION("""COMPUTED_VALUE"""),45325)</f>
        <v>45325</v>
      </c>
      <c r="Q16" s="18">
        <f ca="1">IFERROR(__xludf.DUMMYFUNCTION("""COMPUTED_VALUE"""),45325)</f>
        <v>45325</v>
      </c>
      <c r="R16" s="18"/>
      <c r="S16" s="5">
        <f ca="1">IFERROR(__xludf.DUMMYFUNCTION("""COMPUTED_VALUE"""),1)</f>
        <v>1</v>
      </c>
      <c r="T16" s="5"/>
      <c r="U16" s="5" t="str">
        <f ca="1">IFERROR(__xludf.DUMMYFUNCTION("""COMPUTED_VALUE"""),"Bolaños Camacho Luis Miguel")</f>
        <v>Bolaños Camacho Luis Miguel</v>
      </c>
      <c r="V16" s="5"/>
      <c r="W16" s="5" t="str">
        <f ca="1">IFERROR(__xludf.DUMMYFUNCTION("""COMPUTED_VALUE"""),"03TgjbM0-V0")</f>
        <v>03TgjbM0-V0</v>
      </c>
      <c r="X16" s="5">
        <f ca="1">IFERROR(__xludf.DUMMYFUNCTION("""COMPUTED_VALUE"""),1)</f>
        <v>1</v>
      </c>
      <c r="Y16" s="5" t="str">
        <f t="shared" ca="1" si="0"/>
        <v>Actividad realizada</v>
      </c>
      <c r="Z16" s="3">
        <f ca="1">IFERROR(VLOOKUP(U16, 'Base de datos'!A:B, 2, FALSE), "")</f>
        <v>573122788043</v>
      </c>
      <c r="AA16" s="4" t="e">
        <f t="shared" ca="1" si="1"/>
        <v>#NAME?</v>
      </c>
    </row>
    <row r="17" spans="1:27" ht="15.75" customHeight="1">
      <c r="A17" s="5" t="str">
        <f ca="1">IFERROR(__xludf.DUMMYFUNCTION("""COMPUTED_VALUE"""),"POSTOBÓN YUMBO")</f>
        <v>POSTOBÓN YUMBO</v>
      </c>
      <c r="B17" s="5" t="str">
        <f ca="1">IFERROR(__xludf.DUMMYFUNCTION("""COMPUTED_VALUE"""),"0410-PLANTA DE AGUA ENVASADO")</f>
        <v>0410-PLANTA DE AGUA ENVASADO</v>
      </c>
      <c r="C17" s="5" t="str">
        <f ca="1">IFERROR(__xludf.DUMMYFUNCTION("""COMPUTED_VALUE"""),"TRATAMIENTO DE AGUA PARA ENVASADO")</f>
        <v>TRATAMIENTO DE AGUA PARA ENVASADO</v>
      </c>
      <c r="D17" s="5">
        <f ca="1">IFERROR(__xludf.DUMMYFUNCTION("""COMPUTED_VALUE"""),70948957)</f>
        <v>70948957</v>
      </c>
      <c r="E17" s="5" t="str">
        <f ca="1">IFERROR(__xludf.DUMMYFUNCTION("""COMPUTED_VALUE"""),"TANQUE PLASTICO HIPOCLORITO - TRAT PRIM")</f>
        <v>TANQUE PLASTICO HIPOCLORITO - TRAT PRIM</v>
      </c>
      <c r="F17" s="5">
        <f ca="1">IFERROR(__xludf.DUMMYFUNCTION("""COMPUTED_VALUE"""),32893)</f>
        <v>32893</v>
      </c>
      <c r="G17" s="5" t="str">
        <f ca="1">IFERROR(__xludf.DUMMYFUNCTION("""COMPUTED_VALUE"""),"PLAN MTTO ELE TANQUE PLASTICO HIPOCLORIT")</f>
        <v>PLAN MTTO ELE TANQUE PLASTICO HIPOCLORIT</v>
      </c>
      <c r="H17" s="5">
        <f ca="1">IFERROR(__xludf.DUMMYFUNCTION("""COMPUTED_VALUE"""),13207492)</f>
        <v>13207492</v>
      </c>
      <c r="I17" s="5" t="str">
        <f ca="1">IFERROR(__xludf.DUMMYFUNCTION("""COMPUTED_VALUE"""),"VERIFICAR CONEXIONES ELECTRICAS")</f>
        <v>VERIFICAR CONEXIONES ELECTRICAS</v>
      </c>
      <c r="J17" s="5" t="str">
        <f ca="1">IFERROR(__xludf.DUMMYFUNCTION("""COMPUTED_VALUE"""),"ALTO")</f>
        <v>ALTO</v>
      </c>
      <c r="K17" s="5" t="str">
        <f ca="1">IFERROR(__xludf.DUMMYFUNCTION("""COMPUTED_VALUE"""),"Preventivo")</f>
        <v>Preventivo</v>
      </c>
      <c r="L17" s="5" t="str">
        <f ca="1">IFERROR(__xludf.DUMMYFUNCTION("""COMPUTED_VALUE"""),"Maquinaria")</f>
        <v>Maquinaria</v>
      </c>
      <c r="M17" s="5" t="str">
        <f ca="1">IFERROR(__xludf.DUMMYFUNCTION("""COMPUTED_VALUE"""),"No")</f>
        <v>No</v>
      </c>
      <c r="N17" s="5"/>
      <c r="O17" s="5"/>
      <c r="P17" s="18">
        <f ca="1">IFERROR(__xludf.DUMMYFUNCTION("""COMPUTED_VALUE"""),45344)</f>
        <v>45344</v>
      </c>
      <c r="Q17" s="18">
        <f ca="1">IFERROR(__xludf.DUMMYFUNCTION("""COMPUTED_VALUE"""),45344)</f>
        <v>45344</v>
      </c>
      <c r="R17" s="18"/>
      <c r="S17" s="5">
        <f ca="1">IFERROR(__xludf.DUMMYFUNCTION("""COMPUTED_VALUE"""),1)</f>
        <v>1</v>
      </c>
      <c r="T17" s="5"/>
      <c r="U17" s="5" t="str">
        <f ca="1">IFERROR(__xludf.DUMMYFUNCTION("""COMPUTED_VALUE"""),"Guzman Palechor Miguel Angel")</f>
        <v>Guzman Palechor Miguel Angel</v>
      </c>
      <c r="V17" s="5"/>
      <c r="W17" s="5" t="str">
        <f ca="1">IFERROR(__xludf.DUMMYFUNCTION("""COMPUTED_VALUE"""),"gxP-ooF220g")</f>
        <v>gxP-ooF220g</v>
      </c>
      <c r="X17" s="5">
        <f ca="1">IFERROR(__xludf.DUMMYFUNCTION("""COMPUTED_VALUE"""),1)</f>
        <v>1</v>
      </c>
      <c r="Y17" s="5" t="str">
        <f t="shared" si="0"/>
        <v>Actividad sin realizar</v>
      </c>
      <c r="Z17" s="3">
        <f ca="1">IFERROR(VLOOKUP(U17, 'Base de datos'!A:B, 2, FALSE), "")</f>
        <v>573112422176</v>
      </c>
      <c r="AA17" s="4" t="e">
        <f t="shared" ca="1" si="1"/>
        <v>#NAME?</v>
      </c>
    </row>
    <row r="18" spans="1:27" ht="15.75" customHeight="1">
      <c r="A18" s="5" t="str">
        <f ca="1">IFERROR(__xludf.DUMMYFUNCTION("""COMPUTED_VALUE"""),"POSTOBÓN YUMBO")</f>
        <v>POSTOBÓN YUMBO</v>
      </c>
      <c r="B18" s="5" t="str">
        <f ca="1">IFERROR(__xludf.DUMMYFUNCTION("""COMPUTED_VALUE"""),"0410-LINEA PET CSD")</f>
        <v>0410-LINEA PET CSD</v>
      </c>
      <c r="C18" s="5" t="str">
        <f ca="1">IFERROR(__xludf.DUMMYFUNCTION("""COMPUTED_VALUE"""),"LINEA PET CSD - LINEA 10")</f>
        <v>LINEA PET CSD - LINEA 10</v>
      </c>
      <c r="D18" s="5">
        <f ca="1">IFERROR(__xludf.DUMMYFUNCTION("""COMPUTED_VALUE"""),519561)</f>
        <v>519561</v>
      </c>
      <c r="E18" s="5" t="str">
        <f ca="1">IFERROR(__xludf.DUMMYFUNCTION("""COMPUTED_VALUE"""),"LLENADORA DE BOTELLAS PET 162 VALVULAS")</f>
        <v>LLENADORA DE BOTELLAS PET 162 VALVULAS</v>
      </c>
      <c r="F18" s="5">
        <f ca="1">IFERROR(__xludf.DUMMYFUNCTION("""COMPUTED_VALUE"""),25366)</f>
        <v>25366</v>
      </c>
      <c r="G18" s="5" t="str">
        <f ca="1">IFERROR(__xludf.DUMMYFUNCTION("""COMPUTED_VALUE"""),"PLAN MTTO LUB LLENADORA CSD")</f>
        <v>PLAN MTTO LUB LLENADORA CSD</v>
      </c>
      <c r="H18" s="5">
        <f ca="1">IFERROR(__xludf.DUMMYFUNCTION("""COMPUTED_VALUE"""),13232384)</f>
        <v>13232384</v>
      </c>
      <c r="I18" s="5" t="str">
        <f ca="1">IFERROR(__xludf.DUMMYFUNCTION("""COMPUTED_VALUE"""),"Corona Giratoria:")</f>
        <v>Corona Giratoria:</v>
      </c>
      <c r="J18" s="5" t="str">
        <f ca="1">IFERROR(__xludf.DUMMYFUNCTION("""COMPUTED_VALUE"""),"ALTO")</f>
        <v>ALTO</v>
      </c>
      <c r="K18" s="5" t="str">
        <f ca="1">IFERROR(__xludf.DUMMYFUNCTION("""COMPUTED_VALUE"""),"Preventivo")</f>
        <v>Preventivo</v>
      </c>
      <c r="L18" s="5" t="str">
        <f ca="1">IFERROR(__xludf.DUMMYFUNCTION("""COMPUTED_VALUE"""),"Maquinaria")</f>
        <v>Maquinaria</v>
      </c>
      <c r="M18" s="5" t="str">
        <f ca="1">IFERROR(__xludf.DUMMYFUNCTION("""COMPUTED_VALUE"""),"No")</f>
        <v>No</v>
      </c>
      <c r="N18" s="5"/>
      <c r="O18" s="5">
        <f ca="1">IFERROR(__xludf.DUMMYFUNCTION("""COMPUTED_VALUE"""),100)</f>
        <v>100</v>
      </c>
      <c r="P18" s="18">
        <f ca="1">IFERROR(__xludf.DUMMYFUNCTION("""COMPUTED_VALUE"""),45328)</f>
        <v>45328</v>
      </c>
      <c r="Q18" s="18">
        <f ca="1">IFERROR(__xludf.DUMMYFUNCTION("""COMPUTED_VALUE"""),45328)</f>
        <v>45328</v>
      </c>
      <c r="R18" s="18"/>
      <c r="S18" s="5">
        <f ca="1">IFERROR(__xludf.DUMMYFUNCTION("""COMPUTED_VALUE"""),0.2)</f>
        <v>0.2</v>
      </c>
      <c r="T18" s="5"/>
      <c r="U18" s="5" t="str">
        <f ca="1">IFERROR(__xludf.DUMMYFUNCTION("""COMPUTED_VALUE"""),"Duran Sanchez Nelson Fernando")</f>
        <v>Duran Sanchez Nelson Fernando</v>
      </c>
      <c r="V18" s="5"/>
      <c r="W18" s="5" t="str">
        <f ca="1">IFERROR(__xludf.DUMMYFUNCTION("""COMPUTED_VALUE"""),"gEj_mFLMJU0")</f>
        <v>gEj_mFLMJU0</v>
      </c>
      <c r="X18" s="5">
        <f ca="1">IFERROR(__xludf.DUMMYFUNCTION("""COMPUTED_VALUE"""),0.2)</f>
        <v>0.2</v>
      </c>
      <c r="Y18" s="5" t="str">
        <f t="shared" ca="1" si="0"/>
        <v>Actividad realizada</v>
      </c>
      <c r="Z18" s="3">
        <f ca="1">IFERROR(VLOOKUP(U18, 'Base de datos'!A:B, 2, FALSE), "")</f>
        <v>573187183243</v>
      </c>
      <c r="AA18" s="4" t="e">
        <f t="shared" ca="1" si="1"/>
        <v>#NAME?</v>
      </c>
    </row>
    <row r="19" spans="1:27" ht="15.75" customHeight="1">
      <c r="A19" s="5" t="str">
        <f ca="1">IFERROR(__xludf.DUMMYFUNCTION("""COMPUTED_VALUE"""),"POSTOBÓN YUMBO")</f>
        <v>POSTOBÓN YUMBO</v>
      </c>
      <c r="B19" s="5" t="str">
        <f ca="1">IFERROR(__xludf.DUMMYFUNCTION("""COMPUTED_VALUE"""),"0410-PLANTA DE AGUA ENVASADO")</f>
        <v>0410-PLANTA DE AGUA ENVASADO</v>
      </c>
      <c r="C19" s="5" t="str">
        <f ca="1">IFERROR(__xludf.DUMMYFUNCTION("""COMPUTED_VALUE"""),"TRATAMIENTO DE AGUA PARA ENVASADO")</f>
        <v>TRATAMIENTO DE AGUA PARA ENVASADO</v>
      </c>
      <c r="D19" s="5">
        <f ca="1">IFERROR(__xludf.DUMMYFUNCTION("""COMPUTED_VALUE"""),70948925)</f>
        <v>70948925</v>
      </c>
      <c r="E19" s="5" t="str">
        <f ca="1">IFERROR(__xludf.DUMMYFUNCTION("""COMPUTED_VALUE"""),"UNIDAD OSMOSIS 2")</f>
        <v>UNIDAD OSMOSIS 2</v>
      </c>
      <c r="F19" s="5">
        <f ca="1">IFERROR(__xludf.DUMMYFUNCTION("""COMPUTED_VALUE"""),21765)</f>
        <v>21765</v>
      </c>
      <c r="G19" s="5" t="str">
        <f ca="1">IFERROR(__xludf.DUMMYFUNCTION("""COMPUTED_VALUE"""),"PLAN MTTO MEC UNIDAD OSMOSIS 2")</f>
        <v>PLAN MTTO MEC UNIDAD OSMOSIS 2</v>
      </c>
      <c r="H19" s="5">
        <f ca="1">IFERROR(__xludf.DUMMYFUNCTION("""COMPUTED_VALUE"""),13174138)</f>
        <v>13174138</v>
      </c>
      <c r="I19" s="5" t="str">
        <f ca="1">IFERROR(__xludf.DUMMYFUNCTION("""COMPUTED_VALUE"""),"CAMBIO DE MEMBRANAS")</f>
        <v>CAMBIO DE MEMBRANAS</v>
      </c>
      <c r="J19" s="5" t="str">
        <f ca="1">IFERROR(__xludf.DUMMYFUNCTION("""COMPUTED_VALUE"""),"ALTO")</f>
        <v>ALTO</v>
      </c>
      <c r="K19" s="5" t="str">
        <f ca="1">IFERROR(__xludf.DUMMYFUNCTION("""COMPUTED_VALUE"""),"Preventivo")</f>
        <v>Preventivo</v>
      </c>
      <c r="L19" s="5" t="str">
        <f ca="1">IFERROR(__xludf.DUMMYFUNCTION("""COMPUTED_VALUE"""),"Maquinaria")</f>
        <v>Maquinaria</v>
      </c>
      <c r="M19" s="5" t="str">
        <f ca="1">IFERROR(__xludf.DUMMYFUNCTION("""COMPUTED_VALUE"""),"No")</f>
        <v>No</v>
      </c>
      <c r="N19" s="5"/>
      <c r="O19" s="5"/>
      <c r="P19" s="18">
        <f ca="1">IFERROR(__xludf.DUMMYFUNCTION("""COMPUTED_VALUE"""),45337)</f>
        <v>45337</v>
      </c>
      <c r="Q19" s="18">
        <f ca="1">IFERROR(__xludf.DUMMYFUNCTION("""COMPUTED_VALUE"""),45337)</f>
        <v>45337</v>
      </c>
      <c r="R19" s="18"/>
      <c r="S19" s="5">
        <f ca="1">IFERROR(__xludf.DUMMYFUNCTION("""COMPUTED_VALUE"""),16)</f>
        <v>16</v>
      </c>
      <c r="T19" s="5"/>
      <c r="U19" s="5" t="str">
        <f ca="1">IFERROR(__xludf.DUMMYFUNCTION("""COMPUTED_VALUE"""),"JEFFERSON BRAVO PIEDRAHITA")</f>
        <v>JEFFERSON BRAVO PIEDRAHITA</v>
      </c>
      <c r="V19" s="5"/>
      <c r="W19" s="5" t="str">
        <f ca="1">IFERROR(__xludf.DUMMYFUNCTION("""COMPUTED_VALUE"""),"9TOnj0by_f4")</f>
        <v>9TOnj0by_f4</v>
      </c>
      <c r="X19" s="5">
        <f ca="1">IFERROR(__xludf.DUMMYFUNCTION("""COMPUTED_VALUE"""),16)</f>
        <v>16</v>
      </c>
      <c r="Y19" s="5" t="str">
        <f t="shared" si="0"/>
        <v>Actividad sin realizar</v>
      </c>
      <c r="Z19" s="3">
        <f ca="1">IFERROR(VLOOKUP(U19, 'Base de datos'!A:B, 2, FALSE), "")</f>
        <v>573043623277</v>
      </c>
      <c r="AA19" s="4" t="e">
        <f t="shared" ca="1" si="1"/>
        <v>#NAME?</v>
      </c>
    </row>
    <row r="20" spans="1:27" ht="15.75" customHeight="1">
      <c r="A20" s="5" t="str">
        <f ca="1">IFERROR(__xludf.DUMMYFUNCTION("""COMPUTED_VALUE"""),"POSTOBÓN YUMBO")</f>
        <v>POSTOBÓN YUMBO</v>
      </c>
      <c r="B20" s="5" t="str">
        <f ca="1">IFERROR(__xludf.DUMMYFUNCTION("""COMPUTED_VALUE"""),"0410-LINEA PET CSD")</f>
        <v>0410-LINEA PET CSD</v>
      </c>
      <c r="C20" s="5" t="str">
        <f ca="1">IFERROR(__xludf.DUMMYFUNCTION("""COMPUTED_VALUE"""),"LINEA PET CSD - LINEA 10")</f>
        <v>LINEA PET CSD - LINEA 10</v>
      </c>
      <c r="D20" s="5">
        <f ca="1">IFERROR(__xludf.DUMMYFUNCTION("""COMPUTED_VALUE"""),599605)</f>
        <v>599605</v>
      </c>
      <c r="E20" s="5" t="str">
        <f ca="1">IFERROR(__xludf.DUMMYFUNCTION("""COMPUTED_VALUE"""),"INSPECTOR ELECTRONICO DE ENVASE")</f>
        <v>INSPECTOR ELECTRONICO DE ENVASE</v>
      </c>
      <c r="F20" s="5">
        <f ca="1">IFERROR(__xludf.DUMMYFUNCTION("""COMPUTED_VALUE"""),25369)</f>
        <v>25369</v>
      </c>
      <c r="G20" s="5" t="str">
        <f ca="1">IFERROR(__xludf.DUMMYFUNCTION("""COMPUTED_VALUE"""),"PLAN MTTO LUB INSPECTOR ELECTRONICO CSD")</f>
        <v>PLAN MTTO LUB INSPECTOR ELECTRONICO CSD</v>
      </c>
      <c r="H20" s="5">
        <f ca="1">IFERROR(__xludf.DUMMYFUNCTION("""COMPUTED_VALUE"""),13232389)</f>
        <v>13232389</v>
      </c>
      <c r="I20" s="5" t="str">
        <f ca="1">IFERROR(__xludf.DUMMYFUNCTION("""COMPUTED_VALUE"""),"Unidad de mantenimiento aire: completar")</f>
        <v>Unidad de mantenimiento aire: completar</v>
      </c>
      <c r="J20" s="5" t="str">
        <f ca="1">IFERROR(__xludf.DUMMYFUNCTION("""COMPUTED_VALUE"""),"ALTO")</f>
        <v>ALTO</v>
      </c>
      <c r="K20" s="5" t="str">
        <f ca="1">IFERROR(__xludf.DUMMYFUNCTION("""COMPUTED_VALUE"""),"Preventivo")</f>
        <v>Preventivo</v>
      </c>
      <c r="L20" s="5" t="str">
        <f ca="1">IFERROR(__xludf.DUMMYFUNCTION("""COMPUTED_VALUE"""),"Maquinaria")</f>
        <v>Maquinaria</v>
      </c>
      <c r="M20" s="5" t="str">
        <f ca="1">IFERROR(__xludf.DUMMYFUNCTION("""COMPUTED_VALUE"""),"No")</f>
        <v>No</v>
      </c>
      <c r="N20" s="5"/>
      <c r="O20" s="5">
        <f ca="1">IFERROR(__xludf.DUMMYFUNCTION("""COMPUTED_VALUE"""),100)</f>
        <v>100</v>
      </c>
      <c r="P20" s="18">
        <f ca="1">IFERROR(__xludf.DUMMYFUNCTION("""COMPUTED_VALUE"""),45328)</f>
        <v>45328</v>
      </c>
      <c r="Q20" s="18">
        <f ca="1">IFERROR(__xludf.DUMMYFUNCTION("""COMPUTED_VALUE"""),45328)</f>
        <v>45328</v>
      </c>
      <c r="R20" s="18"/>
      <c r="S20" s="5">
        <f ca="1">IFERROR(__xludf.DUMMYFUNCTION("""COMPUTED_VALUE"""),0.2)</f>
        <v>0.2</v>
      </c>
      <c r="T20" s="5"/>
      <c r="U20" s="5" t="str">
        <f ca="1">IFERROR(__xludf.DUMMYFUNCTION("""COMPUTED_VALUE"""),"BONILLA ANGULO EDWIN ANDRES")</f>
        <v>BONILLA ANGULO EDWIN ANDRES</v>
      </c>
      <c r="V20" s="5"/>
      <c r="W20" s="5" t="str">
        <f ca="1">IFERROR(__xludf.DUMMYFUNCTION("""COMPUTED_VALUE"""),"3fP-adWPcGo")</f>
        <v>3fP-adWPcGo</v>
      </c>
      <c r="X20" s="5">
        <f ca="1">IFERROR(__xludf.DUMMYFUNCTION("""COMPUTED_VALUE"""),0.2)</f>
        <v>0.2</v>
      </c>
      <c r="Y20" s="5" t="str">
        <f t="shared" ca="1" si="0"/>
        <v>Actividad realizada</v>
      </c>
      <c r="Z20" s="3">
        <f ca="1">IFERROR(VLOOKUP(U20, 'Base de datos'!A:B, 2, FALSE), "")</f>
        <v>573154265203</v>
      </c>
      <c r="AA20" s="4" t="e">
        <f t="shared" ca="1" si="1"/>
        <v>#NAME?</v>
      </c>
    </row>
    <row r="21" spans="1:27" ht="15.75" customHeight="1">
      <c r="A21" s="5" t="str">
        <f ca="1">IFERROR(__xludf.DUMMYFUNCTION("""COMPUTED_VALUE"""),"POSTOBÓN YUMBO")</f>
        <v>POSTOBÓN YUMBO</v>
      </c>
      <c r="B21" s="5" t="str">
        <f ca="1">IFERROR(__xludf.DUMMYFUNCTION("""COMPUTED_VALUE"""),"0410-ENVASADO JUGOS PET HOT F")</f>
        <v>0410-ENVASADO JUGOS PET HOT F</v>
      </c>
      <c r="C21" s="5" t="str">
        <f ca="1">IFERROR(__xludf.DUMMYFUNCTION("""COMPUTED_VALUE"""),"LINEA DE ENVASADO JUGOS PET HOT FILL")</f>
        <v>LINEA DE ENVASADO JUGOS PET HOT FILL</v>
      </c>
      <c r="D21" s="5">
        <f ca="1">IFERROR(__xludf.DUMMYFUNCTION("""COMPUTED_VALUE"""),599566)</f>
        <v>599566</v>
      </c>
      <c r="E21" s="5" t="str">
        <f ca="1">IFERROR(__xludf.DUMMYFUNCTION("""COMPUTED_VALUE"""),"INSPECTOR DE BOTELLA LLENA")</f>
        <v>INSPECTOR DE BOTELLA LLENA</v>
      </c>
      <c r="F21" s="5">
        <f ca="1">IFERROR(__xludf.DUMMYFUNCTION("""COMPUTED_VALUE"""),14082)</f>
        <v>14082</v>
      </c>
      <c r="G21" s="5" t="str">
        <f ca="1">IFERROR(__xludf.DUMMYFUNCTION("""COMPUTED_VALUE"""),"MTTO ELECT CHECKMAT L8")</f>
        <v>MTTO ELECT CHECKMAT L8</v>
      </c>
      <c r="H21" s="5">
        <f ca="1">IFERROR(__xludf.DUMMYFUNCTION("""COMPUTED_VALUE"""),13247135)</f>
        <v>13247135</v>
      </c>
      <c r="I21" s="5" t="str">
        <f ca="1">IFERROR(__xludf.DUMMYFUNCTION("""COMPUTED_VALUE"""),"Elementos de fijaci¢n en")</f>
        <v>Elementos de fijaci¢n en</v>
      </c>
      <c r="J21" s="5" t="str">
        <f ca="1">IFERROR(__xludf.DUMMYFUNCTION("""COMPUTED_VALUE"""),"ALTO")</f>
        <v>ALTO</v>
      </c>
      <c r="K21" s="5" t="str">
        <f ca="1">IFERROR(__xludf.DUMMYFUNCTION("""COMPUTED_VALUE"""),"Preventivo")</f>
        <v>Preventivo</v>
      </c>
      <c r="L21" s="5" t="str">
        <f ca="1">IFERROR(__xludf.DUMMYFUNCTION("""COMPUTED_VALUE"""),"Maquinaria")</f>
        <v>Maquinaria</v>
      </c>
      <c r="M21" s="5" t="str">
        <f ca="1">IFERROR(__xludf.DUMMYFUNCTION("""COMPUTED_VALUE"""),"No")</f>
        <v>No</v>
      </c>
      <c r="N21" s="5"/>
      <c r="O21" s="5"/>
      <c r="P21" s="18">
        <f ca="1">IFERROR(__xludf.DUMMYFUNCTION("""COMPUTED_VALUE"""),45340)</f>
        <v>45340</v>
      </c>
      <c r="Q21" s="18">
        <f ca="1">IFERROR(__xludf.DUMMYFUNCTION("""COMPUTED_VALUE"""),45340)</f>
        <v>45340</v>
      </c>
      <c r="R21" s="18"/>
      <c r="S21" s="5">
        <f ca="1">IFERROR(__xludf.DUMMYFUNCTION("""COMPUTED_VALUE"""),1)</f>
        <v>1</v>
      </c>
      <c r="T21" s="5"/>
      <c r="U21" s="5" t="str">
        <f ca="1">IFERROR(__xludf.DUMMYFUNCTION("""COMPUTED_VALUE"""),"Bedoya Marin Johan Andres")</f>
        <v>Bedoya Marin Johan Andres</v>
      </c>
      <c r="V21" s="5"/>
      <c r="W21" s="5" t="str">
        <f ca="1">IFERROR(__xludf.DUMMYFUNCTION("""COMPUTED_VALUE"""),"ML-1B-bMla8")</f>
        <v>ML-1B-bMla8</v>
      </c>
      <c r="X21" s="5">
        <f ca="1">IFERROR(__xludf.DUMMYFUNCTION("""COMPUTED_VALUE"""),1)</f>
        <v>1</v>
      </c>
      <c r="Y21" s="5" t="str">
        <f t="shared" si="0"/>
        <v>Actividad sin realizar</v>
      </c>
      <c r="Z21" s="3">
        <f ca="1">IFERROR(VLOOKUP(U21, 'Base de datos'!A:B, 2, FALSE), "")</f>
        <v>573147103334</v>
      </c>
      <c r="AA21" s="4" t="e">
        <f t="shared" ca="1" si="1"/>
        <v>#NAME?</v>
      </c>
    </row>
    <row r="22" spans="1:27" ht="15.75" customHeight="1">
      <c r="A22" s="5" t="str">
        <f ca="1">IFERROR(__xludf.DUMMYFUNCTION("""COMPUTED_VALUE"""),"POSTOBÓN YUMBO")</f>
        <v>POSTOBÓN YUMBO</v>
      </c>
      <c r="B22" s="5" t="str">
        <f ca="1">IFERROR(__xludf.DUMMYFUNCTION("""COMPUTED_VALUE"""),"0410-ENVASADO JUGOS PET HOT F")</f>
        <v>0410-ENVASADO JUGOS PET HOT F</v>
      </c>
      <c r="C22" s="5" t="str">
        <f ca="1">IFERROR(__xludf.DUMMYFUNCTION("""COMPUTED_VALUE"""),"LINEA DE ENVASADO JUGOS PET HOT FILL")</f>
        <v>LINEA DE ENVASADO JUGOS PET HOT FILL</v>
      </c>
      <c r="D22" s="5">
        <f ca="1">IFERROR(__xludf.DUMMYFUNCTION("""COMPUTED_VALUE"""),900303)</f>
        <v>900303</v>
      </c>
      <c r="E22" s="5" t="str">
        <f ca="1">IFERROR(__xludf.DUMMYFUNCTION("""COMPUTED_VALUE"""),"LLENADORA")</f>
        <v>LLENADORA</v>
      </c>
      <c r="F22" s="5">
        <f ca="1">IFERROR(__xludf.DUMMYFUNCTION("""COMPUTED_VALUE"""),14085)</f>
        <v>14085</v>
      </c>
      <c r="G22" s="5" t="str">
        <f ca="1">IFERROR(__xludf.DUMMYFUNCTION("""COMPUTED_VALUE"""),"MANTENIMIENTO LUB TAPONADORA L8 90030")</f>
        <v>MANTENIMIENTO LUB TAPONADORA L8 90030</v>
      </c>
      <c r="H22" s="5">
        <f ca="1">IFERROR(__xludf.DUMMYFUNCTION("""COMPUTED_VALUE"""),13247138)</f>
        <v>13247138</v>
      </c>
      <c r="I22" s="5" t="str">
        <f ca="1">IFERROR(__xludf.DUMMYFUNCTION("""COMPUTED_VALUE"""),"Entrega de tapones:")</f>
        <v>Entrega de tapones:</v>
      </c>
      <c r="J22" s="5" t="str">
        <f ca="1">IFERROR(__xludf.DUMMYFUNCTION("""COMPUTED_VALUE"""),"ALTO")</f>
        <v>ALTO</v>
      </c>
      <c r="K22" s="5" t="str">
        <f ca="1">IFERROR(__xludf.DUMMYFUNCTION("""COMPUTED_VALUE"""),"Preventivo")</f>
        <v>Preventivo</v>
      </c>
      <c r="L22" s="5" t="str">
        <f ca="1">IFERROR(__xludf.DUMMYFUNCTION("""COMPUTED_VALUE"""),"Maquinaria")</f>
        <v>Maquinaria</v>
      </c>
      <c r="M22" s="5" t="str">
        <f ca="1">IFERROR(__xludf.DUMMYFUNCTION("""COMPUTED_VALUE"""),"No")</f>
        <v>No</v>
      </c>
      <c r="N22" s="5"/>
      <c r="O22" s="5"/>
      <c r="P22" s="18">
        <f ca="1">IFERROR(__xludf.DUMMYFUNCTION("""COMPUTED_VALUE"""),45324)</f>
        <v>45324</v>
      </c>
      <c r="Q22" s="18">
        <f ca="1">IFERROR(__xludf.DUMMYFUNCTION("""COMPUTED_VALUE"""),45324)</f>
        <v>45324</v>
      </c>
      <c r="R22" s="18"/>
      <c r="S22" s="5">
        <f ca="1">IFERROR(__xludf.DUMMYFUNCTION("""COMPUTED_VALUE"""),1)</f>
        <v>1</v>
      </c>
      <c r="T22" s="5"/>
      <c r="U22" s="5" t="str">
        <f ca="1">IFERROR(__xludf.DUMMYFUNCTION("""COMPUTED_VALUE"""),"Franco Castillo Brayan Steven")</f>
        <v>Franco Castillo Brayan Steven</v>
      </c>
      <c r="V22" s="5"/>
      <c r="W22" s="5" t="str">
        <f ca="1">IFERROR(__xludf.DUMMYFUNCTION("""COMPUTED_VALUE"""),"_2klFE4XFds")</f>
        <v>_2klFE4XFds</v>
      </c>
      <c r="X22" s="5">
        <f ca="1">IFERROR(__xludf.DUMMYFUNCTION("""COMPUTED_VALUE"""),1)</f>
        <v>1</v>
      </c>
      <c r="Y22" s="5" t="str">
        <f t="shared" si="0"/>
        <v>Actividad sin realizar</v>
      </c>
      <c r="Z22" s="3">
        <f ca="1">IFERROR(VLOOKUP(U22, 'Base de datos'!A:B, 2, FALSE), "")</f>
        <v>573053427911</v>
      </c>
      <c r="AA22" s="4" t="e">
        <f t="shared" ca="1" si="1"/>
        <v>#NAME?</v>
      </c>
    </row>
    <row r="23" spans="1:27" ht="15.75" customHeight="1">
      <c r="A23" s="5" t="str">
        <f ca="1">IFERROR(__xludf.DUMMYFUNCTION("""COMPUTED_VALUE"""),"POSTOBÓN YUMBO")</f>
        <v>POSTOBÓN YUMBO</v>
      </c>
      <c r="B23" s="5" t="str">
        <f ca="1">IFERROR(__xludf.DUMMYFUNCTION("""COMPUTED_VALUE"""),"0410-ENVASADO JUGOS PET HOT F")</f>
        <v>0410-ENVASADO JUGOS PET HOT F</v>
      </c>
      <c r="C23" s="5" t="str">
        <f ca="1">IFERROR(__xludf.DUMMYFUNCTION("""COMPUTED_VALUE"""),"LINEA DE ENVASADO JUGOS PET HOT FILL")</f>
        <v>LINEA DE ENVASADO JUGOS PET HOT FILL</v>
      </c>
      <c r="D23" s="5">
        <f ca="1">IFERROR(__xludf.DUMMYFUNCTION("""COMPUTED_VALUE"""),900305)</f>
        <v>900305</v>
      </c>
      <c r="E23" s="5" t="str">
        <f ca="1">IFERROR(__xludf.DUMMYFUNCTION("""COMPUTED_VALUE"""),"ETIQUETADORA")</f>
        <v>ETIQUETADORA</v>
      </c>
      <c r="F23" s="5">
        <f ca="1">IFERROR(__xludf.DUMMYFUNCTION("""COMPUTED_VALUE"""),14086)</f>
        <v>14086</v>
      </c>
      <c r="G23" s="5" t="str">
        <f ca="1">IFERROR(__xludf.DUMMYFUNCTION("""COMPUTED_VALUE"""),"MTTO MEC ETIQUETADORA L8 900305")</f>
        <v>MTTO MEC ETIQUETADORA L8 900305</v>
      </c>
      <c r="H23" s="5">
        <f ca="1">IFERROR(__xludf.DUMMYFUNCTION("""COMPUTED_VALUE"""),13247139)</f>
        <v>13247139</v>
      </c>
      <c r="I23" s="5" t="str">
        <f ca="1">IFERROR(__xludf.DUMMYFUNCTION("""COMPUTED_VALUE"""),"Unidad mantenimiento")</f>
        <v>Unidad mantenimiento</v>
      </c>
      <c r="J23" s="5" t="str">
        <f ca="1">IFERROR(__xludf.DUMMYFUNCTION("""COMPUTED_VALUE"""),"MEDIO")</f>
        <v>MEDIO</v>
      </c>
      <c r="K23" s="5" t="str">
        <f ca="1">IFERROR(__xludf.DUMMYFUNCTION("""COMPUTED_VALUE"""),"Preventivo")</f>
        <v>Preventivo</v>
      </c>
      <c r="L23" s="5" t="str">
        <f ca="1">IFERROR(__xludf.DUMMYFUNCTION("""COMPUTED_VALUE"""),"Maquinaria")</f>
        <v>Maquinaria</v>
      </c>
      <c r="M23" s="5" t="str">
        <f ca="1">IFERROR(__xludf.DUMMYFUNCTION("""COMPUTED_VALUE"""),"No")</f>
        <v>No</v>
      </c>
      <c r="N23" s="5"/>
      <c r="O23" s="5"/>
      <c r="P23" s="18">
        <f ca="1">IFERROR(__xludf.DUMMYFUNCTION("""COMPUTED_VALUE"""),45334)</f>
        <v>45334</v>
      </c>
      <c r="Q23" s="18">
        <f ca="1">IFERROR(__xludf.DUMMYFUNCTION("""COMPUTED_VALUE"""),45334)</f>
        <v>45334</v>
      </c>
      <c r="R23" s="18"/>
      <c r="S23" s="5">
        <f ca="1">IFERROR(__xludf.DUMMYFUNCTION("""COMPUTED_VALUE"""),1)</f>
        <v>1</v>
      </c>
      <c r="T23" s="5"/>
      <c r="U23" s="5" t="str">
        <f ca="1">IFERROR(__xludf.DUMMYFUNCTION("""COMPUTED_VALUE"""),"Bedoya Marin Johan Andres")</f>
        <v>Bedoya Marin Johan Andres</v>
      </c>
      <c r="V23" s="5"/>
      <c r="W23" s="5" t="str">
        <f ca="1">IFERROR(__xludf.DUMMYFUNCTION("""COMPUTED_VALUE"""),"qkb-TvS3LTs")</f>
        <v>qkb-TvS3LTs</v>
      </c>
      <c r="X23" s="5">
        <f ca="1">IFERROR(__xludf.DUMMYFUNCTION("""COMPUTED_VALUE"""),1)</f>
        <v>1</v>
      </c>
      <c r="Y23" s="5" t="str">
        <f t="shared" si="0"/>
        <v>Actividad sin realizar</v>
      </c>
      <c r="Z23" s="3">
        <f ca="1">IFERROR(VLOOKUP(U23, 'Base de datos'!A:B, 2, FALSE), "")</f>
        <v>573147103334</v>
      </c>
      <c r="AA23" s="4" t="e">
        <f t="shared" ca="1" si="1"/>
        <v>#NAME?</v>
      </c>
    </row>
    <row r="24" spans="1:27" ht="15.75" customHeight="1">
      <c r="A24" s="5" t="str">
        <f ca="1">IFERROR(__xludf.DUMMYFUNCTION("""COMPUTED_VALUE"""),"POSTOBÓN YUMBO")</f>
        <v>POSTOBÓN YUMBO</v>
      </c>
      <c r="B24" s="5" t="str">
        <f ca="1">IFERROR(__xludf.DUMMYFUNCTION("""COMPUTED_VALUE"""),"0410-CUARTO DE BOMBAS")</f>
        <v>0410-CUARTO DE BOMBAS</v>
      </c>
      <c r="C24" s="5" t="str">
        <f ca="1">IFERROR(__xludf.DUMMYFUNCTION("""COMPUTED_VALUE"""),"BOMBAS DE SERVICIO PROCESO")</f>
        <v>BOMBAS DE SERVICIO PROCESO</v>
      </c>
      <c r="D24" s="5">
        <f ca="1">IFERROR(__xludf.DUMMYFUNCTION("""COMPUTED_VALUE"""),70948902)</f>
        <v>70948902</v>
      </c>
      <c r="E24" s="5" t="str">
        <f ca="1">IFERROR(__xludf.DUMMYFUNCTION("""COMPUTED_VALUE"""),"BOMBA AGUA FILTRO ARENA 6-7-10")</f>
        <v>BOMBA AGUA FILTRO ARENA 6-7-10</v>
      </c>
      <c r="F24" s="5">
        <f ca="1">IFERROR(__xludf.DUMMYFUNCTION("""COMPUTED_VALUE"""),20727)</f>
        <v>20727</v>
      </c>
      <c r="G24" s="5" t="str">
        <f ca="1">IFERROR(__xludf.DUMMYFUNCTION("""COMPUTED_VALUE"""),"PLAN MTTO ELE BOMBA AGUA SUAVI 70948902")</f>
        <v>PLAN MTTO ELE BOMBA AGUA SUAVI 70948902</v>
      </c>
      <c r="H24" s="5">
        <f ca="1">IFERROR(__xludf.DUMMYFUNCTION("""COMPUTED_VALUE"""),13207392)</f>
        <v>13207392</v>
      </c>
      <c r="I24" s="5" t="str">
        <f ca="1">IFERROR(__xludf.DUMMYFUNCTION("""COMPUTED_VALUE"""),"Motor Bomba")</f>
        <v>Motor Bomba</v>
      </c>
      <c r="J24" s="5" t="str">
        <f ca="1">IFERROR(__xludf.DUMMYFUNCTION("""COMPUTED_VALUE"""),"ALTO")</f>
        <v>ALTO</v>
      </c>
      <c r="K24" s="5" t="str">
        <f ca="1">IFERROR(__xludf.DUMMYFUNCTION("""COMPUTED_VALUE"""),"Preventivo")</f>
        <v>Preventivo</v>
      </c>
      <c r="L24" s="5" t="str">
        <f ca="1">IFERROR(__xludf.DUMMYFUNCTION("""COMPUTED_VALUE"""),"Maquinaria")</f>
        <v>Maquinaria</v>
      </c>
      <c r="M24" s="5" t="str">
        <f ca="1">IFERROR(__xludf.DUMMYFUNCTION("""COMPUTED_VALUE"""),"No")</f>
        <v>No</v>
      </c>
      <c r="N24" s="5"/>
      <c r="O24" s="5"/>
      <c r="P24" s="18">
        <f ca="1">IFERROR(__xludf.DUMMYFUNCTION("""COMPUTED_VALUE"""),45350)</f>
        <v>45350</v>
      </c>
      <c r="Q24" s="18">
        <f ca="1">IFERROR(__xludf.DUMMYFUNCTION("""COMPUTED_VALUE"""),45350)</f>
        <v>45350</v>
      </c>
      <c r="R24" s="18"/>
      <c r="S24" s="5">
        <f ca="1">IFERROR(__xludf.DUMMYFUNCTION("""COMPUTED_VALUE"""),2)</f>
        <v>2</v>
      </c>
      <c r="T24" s="5"/>
      <c r="U24" s="5" t="str">
        <f ca="1">IFERROR(__xludf.DUMMYFUNCTION("""COMPUTED_VALUE"""),"John Edier Gomez Zuñiga")</f>
        <v>John Edier Gomez Zuñiga</v>
      </c>
      <c r="V24" s="5"/>
      <c r="W24" s="5" t="str">
        <f ca="1">IFERROR(__xludf.DUMMYFUNCTION("""COMPUTED_VALUE"""),"PZ5L_oP0ZXU")</f>
        <v>PZ5L_oP0ZXU</v>
      </c>
      <c r="X24" s="5">
        <f ca="1">IFERROR(__xludf.DUMMYFUNCTION("""COMPUTED_VALUE"""),2)</f>
        <v>2</v>
      </c>
      <c r="Y24" s="5" t="str">
        <f t="shared" si="0"/>
        <v>Actividad sin realizar</v>
      </c>
      <c r="Z24" s="3">
        <f ca="1">IFERROR(VLOOKUP(U24, 'Base de datos'!A:B, 2, FALSE), "")</f>
        <v>573003678745</v>
      </c>
      <c r="AA24" s="4" t="e">
        <f t="shared" ca="1" si="1"/>
        <v>#NAME?</v>
      </c>
    </row>
    <row r="25" spans="1:27" ht="15.75" customHeight="1">
      <c r="A25" s="5" t="str">
        <f ca="1">IFERROR(__xludf.DUMMYFUNCTION("""COMPUTED_VALUE"""),"POSTOBÓN YUMBO")</f>
        <v>POSTOBÓN YUMBO</v>
      </c>
      <c r="B25" s="5" t="str">
        <f ca="1">IFERROR(__xludf.DUMMYFUNCTION("""COMPUTED_VALUE"""),"0410-EQUIPOS AUXILIARES")</f>
        <v>0410-EQUIPOS AUXILIARES</v>
      </c>
      <c r="C25" s="5" t="str">
        <f ca="1">IFERROR(__xludf.DUMMYFUNCTION("""COMPUTED_VALUE"""),"EQUIPOS PARA SERVICIOS INDUSTRIALES")</f>
        <v>EQUIPOS PARA SERVICIOS INDUSTRIALES</v>
      </c>
      <c r="D25" s="5">
        <f ca="1">IFERROR(__xludf.DUMMYFUNCTION("""COMPUTED_VALUE"""),659371)</f>
        <v>659371</v>
      </c>
      <c r="E25" s="5" t="str">
        <f ca="1">IFERROR(__xludf.DUMMYFUNCTION("""COMPUTED_VALUE"""),"CALDERA DE 300 BHP")</f>
        <v>CALDERA DE 300 BHP</v>
      </c>
      <c r="F25" s="5">
        <f ca="1">IFERROR(__xludf.DUMMYFUNCTION("""COMPUTED_VALUE"""),21693)</f>
        <v>21693</v>
      </c>
      <c r="G25" s="5" t="str">
        <f ca="1">IFERROR(__xludf.DUMMYFUNCTION("""COMPUTED_VALUE"""),"PLAN DE MTTO ELE CALDERA C#3 A- 1341")</f>
        <v>PLAN DE MTTO ELE CALDERA C#3 A- 1341</v>
      </c>
      <c r="H25" s="5">
        <f ca="1">IFERROR(__xludf.DUMMYFUNCTION("""COMPUTED_VALUE"""),13247184)</f>
        <v>13247184</v>
      </c>
      <c r="I25" s="5" t="str">
        <f ca="1">IFERROR(__xludf.DUMMYFUNCTION("""COMPUTED_VALUE"""),"controles y accesorios caldera.")</f>
        <v>controles y accesorios caldera.</v>
      </c>
      <c r="J25" s="5" t="str">
        <f ca="1">IFERROR(__xludf.DUMMYFUNCTION("""COMPUTED_VALUE"""),"ALTO")</f>
        <v>ALTO</v>
      </c>
      <c r="K25" s="5" t="str">
        <f ca="1">IFERROR(__xludf.DUMMYFUNCTION("""COMPUTED_VALUE"""),"Preventivo")</f>
        <v>Preventivo</v>
      </c>
      <c r="L25" s="5" t="str">
        <f ca="1">IFERROR(__xludf.DUMMYFUNCTION("""COMPUTED_VALUE"""),"Maquinaria")</f>
        <v>Maquinaria</v>
      </c>
      <c r="M25" s="5" t="str">
        <f ca="1">IFERROR(__xludf.DUMMYFUNCTION("""COMPUTED_VALUE"""),"No")</f>
        <v>No</v>
      </c>
      <c r="N25" s="5"/>
      <c r="O25" s="5"/>
      <c r="P25" s="18">
        <f ca="1">IFERROR(__xludf.DUMMYFUNCTION("""COMPUTED_VALUE"""),45339)</f>
        <v>45339</v>
      </c>
      <c r="Q25" s="18">
        <f ca="1">IFERROR(__xludf.DUMMYFUNCTION("""COMPUTED_VALUE"""),45339)</f>
        <v>45339</v>
      </c>
      <c r="R25" s="18"/>
      <c r="S25" s="5">
        <f ca="1">IFERROR(__xludf.DUMMYFUNCTION("""COMPUTED_VALUE"""),4)</f>
        <v>4</v>
      </c>
      <c r="T25" s="5"/>
      <c r="U25" s="5" t="str">
        <f ca="1">IFERROR(__xludf.DUMMYFUNCTION("""COMPUTED_VALUE"""),"Valencia Hector")</f>
        <v>Valencia Hector</v>
      </c>
      <c r="V25" s="5"/>
      <c r="W25" s="5" t="str">
        <f ca="1">IFERROR(__xludf.DUMMYFUNCTION("""COMPUTED_VALUE"""),"bnMabRjD8Rs")</f>
        <v>bnMabRjD8Rs</v>
      </c>
      <c r="X25" s="5">
        <f ca="1">IFERROR(__xludf.DUMMYFUNCTION("""COMPUTED_VALUE"""),4)</f>
        <v>4</v>
      </c>
      <c r="Y25" s="5" t="str">
        <f t="shared" si="0"/>
        <v>Actividad sin realizar</v>
      </c>
      <c r="Z25" s="3">
        <f ca="1">IFERROR(VLOOKUP(U25, 'Base de datos'!A:B, 2, FALSE), "")</f>
        <v>573108951371</v>
      </c>
      <c r="AA25" s="4" t="e">
        <f t="shared" ca="1" si="1"/>
        <v>#NAME?</v>
      </c>
    </row>
    <row r="26" spans="1:27" ht="15.75" customHeight="1">
      <c r="A26" s="5" t="str">
        <f ca="1">IFERROR(__xludf.DUMMYFUNCTION("""COMPUTED_VALUE"""),"POSTOBÓN YUMBO")</f>
        <v>POSTOBÓN YUMBO</v>
      </c>
      <c r="B26" s="5" t="str">
        <f ca="1">IFERROR(__xludf.DUMMYFUNCTION("""COMPUTED_VALUE"""),"0410-SALA DE JARABE TERMINADO")</f>
        <v>0410-SALA DE JARABE TERMINADO</v>
      </c>
      <c r="C26" s="5" t="str">
        <f ca="1">IFERROR(__xludf.DUMMYFUNCTION("""COMPUTED_VALUE"""),"EQUIPOS PARA PREPARACION DE JARABE")</f>
        <v>EQUIPOS PARA PREPARACION DE JARABE</v>
      </c>
      <c r="D26" s="5">
        <f ca="1">IFERROR(__xludf.DUMMYFUNCTION("""COMPUTED_VALUE"""),69963407)</f>
        <v>69963407</v>
      </c>
      <c r="E26" s="5" t="str">
        <f ca="1">IFERROR(__xludf.DUMMYFUNCTION("""COMPUTED_VALUE"""),"TANQUE DE JARABE")</f>
        <v>TANQUE DE JARABE</v>
      </c>
      <c r="F26" s="5">
        <f ca="1">IFERROR(__xludf.DUMMYFUNCTION("""COMPUTED_VALUE"""),17361)</f>
        <v>17361</v>
      </c>
      <c r="G26" s="5" t="str">
        <f ca="1">IFERROR(__xludf.DUMMYFUNCTION("""COMPUTED_VALUE"""),"MTTO MEC TK JARABE 4 JARABE TERMINADO")</f>
        <v>MTTO MEC TK JARABE 4 JARABE TERMINADO</v>
      </c>
      <c r="H26" s="5">
        <f ca="1">IFERROR(__xludf.DUMMYFUNCTION("""COMPUTED_VALUE"""),13247154)</f>
        <v>13247154</v>
      </c>
      <c r="I26" s="5" t="str">
        <f ca="1">IFERROR(__xludf.DUMMYFUNCTION("""COMPUTED_VALUE"""),"BOMBA DE RECIRCULACION:")</f>
        <v>BOMBA DE RECIRCULACION:</v>
      </c>
      <c r="J26" s="5" t="str">
        <f ca="1">IFERROR(__xludf.DUMMYFUNCTION("""COMPUTED_VALUE"""),"ALTO")</f>
        <v>ALTO</v>
      </c>
      <c r="K26" s="5" t="str">
        <f ca="1">IFERROR(__xludf.DUMMYFUNCTION("""COMPUTED_VALUE"""),"Preventivo")</f>
        <v>Preventivo</v>
      </c>
      <c r="L26" s="5" t="str">
        <f ca="1">IFERROR(__xludf.DUMMYFUNCTION("""COMPUTED_VALUE"""),"Maquinaria")</f>
        <v>Maquinaria</v>
      </c>
      <c r="M26" s="5" t="str">
        <f ca="1">IFERROR(__xludf.DUMMYFUNCTION("""COMPUTED_VALUE"""),"No")</f>
        <v>No</v>
      </c>
      <c r="N26" s="5"/>
      <c r="O26" s="5">
        <f ca="1">IFERROR(__xludf.DUMMYFUNCTION("""COMPUTED_VALUE"""),100)</f>
        <v>100</v>
      </c>
      <c r="P26" s="18">
        <f ca="1">IFERROR(__xludf.DUMMYFUNCTION("""COMPUTED_VALUE"""),45342)</f>
        <v>45342</v>
      </c>
      <c r="Q26" s="18">
        <f ca="1">IFERROR(__xludf.DUMMYFUNCTION("""COMPUTED_VALUE"""),45342)</f>
        <v>45342</v>
      </c>
      <c r="R26" s="18"/>
      <c r="S26" s="5">
        <f ca="1">IFERROR(__xludf.DUMMYFUNCTION("""COMPUTED_VALUE"""),1)</f>
        <v>1</v>
      </c>
      <c r="T26" s="5"/>
      <c r="U26" s="5" t="str">
        <f ca="1">IFERROR(__xludf.DUMMYFUNCTION("""COMPUTED_VALUE"""),"Moreno Pernia Bladimir")</f>
        <v>Moreno Pernia Bladimir</v>
      </c>
      <c r="V26" s="5"/>
      <c r="W26" s="5" t="str">
        <f ca="1">IFERROR(__xludf.DUMMYFUNCTION("""COMPUTED_VALUE"""),"lCfdpGdBoHk")</f>
        <v>lCfdpGdBoHk</v>
      </c>
      <c r="X26" s="5">
        <f ca="1">IFERROR(__xludf.DUMMYFUNCTION("""COMPUTED_VALUE"""),1)</f>
        <v>1</v>
      </c>
      <c r="Y26" s="5" t="str">
        <f t="shared" ca="1" si="0"/>
        <v>Actividad realizada</v>
      </c>
      <c r="Z26" s="3">
        <f ca="1">IFERROR(VLOOKUP(U26, 'Base de datos'!A:B, 2, FALSE), "")</f>
        <v>573148903137</v>
      </c>
      <c r="AA26" s="4" t="e">
        <f t="shared" ca="1" si="1"/>
        <v>#NAME?</v>
      </c>
    </row>
    <row r="27" spans="1:27" ht="15.75" customHeight="1">
      <c r="A27" s="5" t="str">
        <f ca="1">IFERROR(__xludf.DUMMYFUNCTION("""COMPUTED_VALUE"""),"POSTOBÓN YUMBO")</f>
        <v>POSTOBÓN YUMBO</v>
      </c>
      <c r="B27" s="5" t="str">
        <f ca="1">IFERROR(__xludf.DUMMYFUNCTION("""COMPUTED_VALUE"""),"0410-EQUIPOS AUXILIARES")</f>
        <v>0410-EQUIPOS AUXILIARES</v>
      </c>
      <c r="C27" s="5" t="str">
        <f ca="1">IFERROR(__xludf.DUMMYFUNCTION("""COMPUTED_VALUE"""),"EQUIPOS PARA SERVICIOS INDUSTRIALES")</f>
        <v>EQUIPOS PARA SERVICIOS INDUSTRIALES</v>
      </c>
      <c r="D27" s="5">
        <f ca="1">IFERROR(__xludf.DUMMYFUNCTION("""COMPUTED_VALUE"""),829072)</f>
        <v>829072</v>
      </c>
      <c r="E27" s="5" t="str">
        <f ca="1">IFERROR(__xludf.DUMMYFUNCTION("""COMPUTED_VALUE"""),"COMPRESOR TORNILLO AIRE VEL. VARIABLE")</f>
        <v>COMPRESOR TORNILLO AIRE VEL. VARIABLE</v>
      </c>
      <c r="F27" s="5">
        <f ca="1">IFERROR(__xludf.DUMMYFUNCTION("""COMPUTED_VALUE"""),25380)</f>
        <v>25380</v>
      </c>
      <c r="G27" s="5" t="str">
        <f ca="1">IFERROR(__xludf.DUMMYFUNCTION("""COMPUTED_VALUE"""),"PLAN MTTO MEC COMPRESOR AIRE KAESER")</f>
        <v>PLAN MTTO MEC COMPRESOR AIRE KAESER</v>
      </c>
      <c r="H27" s="5">
        <f ca="1">IFERROR(__xludf.DUMMYFUNCTION("""COMPUTED_VALUE"""),13207475)</f>
        <v>13207475</v>
      </c>
      <c r="I27" s="5" t="str">
        <f ca="1">IFERROR(__xludf.DUMMYFUNCTION("""COMPUTED_VALUE"""),"CAMBIO FILTROS AIRE ENFRIAMIENTO, CAMBIO")</f>
        <v>CAMBIO FILTROS AIRE ENFRIAMIENTO, CAMBIO</v>
      </c>
      <c r="J27" s="5" t="str">
        <f ca="1">IFERROR(__xludf.DUMMYFUNCTION("""COMPUTED_VALUE"""),"MEDIO")</f>
        <v>MEDIO</v>
      </c>
      <c r="K27" s="5" t="str">
        <f ca="1">IFERROR(__xludf.DUMMYFUNCTION("""COMPUTED_VALUE"""),"Preventivo")</f>
        <v>Preventivo</v>
      </c>
      <c r="L27" s="5" t="str">
        <f ca="1">IFERROR(__xludf.DUMMYFUNCTION("""COMPUTED_VALUE"""),"Maquinaria")</f>
        <v>Maquinaria</v>
      </c>
      <c r="M27" s="5" t="str">
        <f ca="1">IFERROR(__xludf.DUMMYFUNCTION("""COMPUTED_VALUE"""),"No")</f>
        <v>No</v>
      </c>
      <c r="N27" s="5"/>
      <c r="O27" s="5"/>
      <c r="P27" s="18">
        <f ca="1">IFERROR(__xludf.DUMMYFUNCTION("""COMPUTED_VALUE"""),45345)</f>
        <v>45345</v>
      </c>
      <c r="Q27" s="18">
        <f ca="1">IFERROR(__xludf.DUMMYFUNCTION("""COMPUTED_VALUE"""),45345)</f>
        <v>45345</v>
      </c>
      <c r="R27" s="18"/>
      <c r="S27" s="5">
        <f ca="1">IFERROR(__xludf.DUMMYFUNCTION("""COMPUTED_VALUE"""),1)</f>
        <v>1</v>
      </c>
      <c r="T27" s="5"/>
      <c r="U27" s="5" t="str">
        <f ca="1">IFERROR(__xludf.DUMMYFUNCTION("""COMPUTED_VALUE"""),"JEFFERSON BRAVO PIEDRAHITA")</f>
        <v>JEFFERSON BRAVO PIEDRAHITA</v>
      </c>
      <c r="V27" s="5"/>
      <c r="W27" s="5" t="str">
        <f ca="1">IFERROR(__xludf.DUMMYFUNCTION("""COMPUTED_VALUE"""),"kCE8Z4GyYmM")</f>
        <v>kCE8Z4GyYmM</v>
      </c>
      <c r="X27" s="5">
        <f ca="1">IFERROR(__xludf.DUMMYFUNCTION("""COMPUTED_VALUE"""),1)</f>
        <v>1</v>
      </c>
      <c r="Y27" s="5" t="str">
        <f t="shared" si="0"/>
        <v>Actividad sin realizar</v>
      </c>
      <c r="Z27" s="3">
        <f ca="1">IFERROR(VLOOKUP(U27, 'Base de datos'!A:B, 2, FALSE), "")</f>
        <v>573043623277</v>
      </c>
      <c r="AA27" s="4" t="e">
        <f t="shared" ca="1" si="1"/>
        <v>#NAME?</v>
      </c>
    </row>
    <row r="28" spans="1:27" ht="15.75" customHeight="1">
      <c r="A28" s="5" t="str">
        <f ca="1">IFERROR(__xludf.DUMMYFUNCTION("""COMPUTED_VALUE"""),"POSTOBÓN YUMBO")</f>
        <v>POSTOBÓN YUMBO</v>
      </c>
      <c r="B28" s="5" t="str">
        <f ca="1">IFERROR(__xludf.DUMMYFUNCTION("""COMPUTED_VALUE"""),"0410-EQUIPOS AUXILIARES")</f>
        <v>0410-EQUIPOS AUXILIARES</v>
      </c>
      <c r="C28" s="5" t="str">
        <f ca="1">IFERROR(__xludf.DUMMYFUNCTION("""COMPUTED_VALUE"""),"EQUIPOS PARA SERVICIOS INDUSTRIALES")</f>
        <v>EQUIPOS PARA SERVICIOS INDUSTRIALES</v>
      </c>
      <c r="D28" s="5">
        <f ca="1">IFERROR(__xludf.DUMMYFUNCTION("""COMPUTED_VALUE"""),630013)</f>
        <v>630013</v>
      </c>
      <c r="E28" s="5" t="str">
        <f ca="1">IFERROR(__xludf.DUMMYFUNCTION("""COMPUTED_VALUE"""),"CONDENSADOR EVAPORATIVO 1")</f>
        <v>CONDENSADOR EVAPORATIVO 1</v>
      </c>
      <c r="F28" s="5">
        <f ca="1">IFERROR(__xludf.DUMMYFUNCTION("""COMPUTED_VALUE"""),25394)</f>
        <v>25394</v>
      </c>
      <c r="G28" s="5" t="str">
        <f ca="1">IFERROR(__xludf.DUMMYFUNCTION("""COMPUTED_VALUE"""),"PLAN MTTO MEC COND EVAPORATIVO #1 L10")</f>
        <v>PLAN MTTO MEC COND EVAPORATIVO #1 L10</v>
      </c>
      <c r="H28" s="5">
        <f ca="1">IFERROR(__xludf.DUMMYFUNCTION("""COMPUTED_VALUE"""),13226529)</f>
        <v>13226529</v>
      </c>
      <c r="I28" s="5" t="str">
        <f ca="1">IFERROR(__xludf.DUMMYFUNCTION("""COMPUTED_VALUE"""),"Cambio total de agua y limpieza Gral, Ca")</f>
        <v>Cambio total de agua y limpieza Gral, Ca</v>
      </c>
      <c r="J28" s="5" t="str">
        <f ca="1">IFERROR(__xludf.DUMMYFUNCTION("""COMPUTED_VALUE"""),"MEDIO")</f>
        <v>MEDIO</v>
      </c>
      <c r="K28" s="5" t="str">
        <f ca="1">IFERROR(__xludf.DUMMYFUNCTION("""COMPUTED_VALUE"""),"Preventivo")</f>
        <v>Preventivo</v>
      </c>
      <c r="L28" s="5" t="str">
        <f ca="1">IFERROR(__xludf.DUMMYFUNCTION("""COMPUTED_VALUE"""),"Maquinaria")</f>
        <v>Maquinaria</v>
      </c>
      <c r="M28" s="5" t="str">
        <f ca="1">IFERROR(__xludf.DUMMYFUNCTION("""COMPUTED_VALUE"""),"No")</f>
        <v>No</v>
      </c>
      <c r="N28" s="5"/>
      <c r="O28" s="5"/>
      <c r="P28" s="18">
        <f ca="1">IFERROR(__xludf.DUMMYFUNCTION("""COMPUTED_VALUE"""),45340)</f>
        <v>45340</v>
      </c>
      <c r="Q28" s="18">
        <f ca="1">IFERROR(__xludf.DUMMYFUNCTION("""COMPUTED_VALUE"""),45340)</f>
        <v>45340</v>
      </c>
      <c r="R28" s="18"/>
      <c r="S28" s="5">
        <f ca="1">IFERROR(__xludf.DUMMYFUNCTION("""COMPUTED_VALUE"""),7)</f>
        <v>7</v>
      </c>
      <c r="T28" s="5"/>
      <c r="U28" s="5" t="str">
        <f ca="1">IFERROR(__xludf.DUMMYFUNCTION("""COMPUTED_VALUE"""),"CALDERON CORTES JULIAN DAVID")</f>
        <v>CALDERON CORTES JULIAN DAVID</v>
      </c>
      <c r="V28" s="5"/>
      <c r="W28" s="5" t="str">
        <f ca="1">IFERROR(__xludf.DUMMYFUNCTION("""COMPUTED_VALUE"""),"DPOco0auSEY")</f>
        <v>DPOco0auSEY</v>
      </c>
      <c r="X28" s="5">
        <f ca="1">IFERROR(__xludf.DUMMYFUNCTION("""COMPUTED_VALUE"""),7)</f>
        <v>7</v>
      </c>
      <c r="Y28" s="5" t="str">
        <f t="shared" si="0"/>
        <v>Actividad sin realizar</v>
      </c>
      <c r="Z28" s="3">
        <f ca="1">IFERROR(VLOOKUP(U28, 'Base de datos'!A:B, 2, FALSE), "")</f>
        <v>573106062699</v>
      </c>
      <c r="AA28" s="4" t="e">
        <f t="shared" ca="1" si="1"/>
        <v>#NAME?</v>
      </c>
    </row>
    <row r="29" spans="1:27" ht="15.75" customHeight="1">
      <c r="A29" s="5" t="str">
        <f ca="1">IFERROR(__xludf.DUMMYFUNCTION("""COMPUTED_VALUE"""),"POSTOBÓN YUMBO")</f>
        <v>POSTOBÓN YUMBO</v>
      </c>
      <c r="B29" s="5" t="str">
        <f ca="1">IFERROR(__xludf.DUMMYFUNCTION("""COMPUTED_VALUE"""),"0410-ENVASADO JUGOS PET HOT F")</f>
        <v>0410-ENVASADO JUGOS PET HOT F</v>
      </c>
      <c r="C29" s="5" t="str">
        <f ca="1">IFERROR(__xludf.DUMMYFUNCTION("""COMPUTED_VALUE"""),"LINEA DE ENVASADO JUGOS PET HOT FILL")</f>
        <v>LINEA DE ENVASADO JUGOS PET HOT FILL</v>
      </c>
      <c r="D29" s="5">
        <f ca="1">IFERROR(__xludf.DUMMYFUNCTION("""COMPUTED_VALUE"""),900303)</f>
        <v>900303</v>
      </c>
      <c r="E29" s="5" t="str">
        <f ca="1">IFERROR(__xludf.DUMMYFUNCTION("""COMPUTED_VALUE"""),"LLENADORA")</f>
        <v>LLENADORA</v>
      </c>
      <c r="F29" s="5">
        <f ca="1">IFERROR(__xludf.DUMMYFUNCTION("""COMPUTED_VALUE"""),14085)</f>
        <v>14085</v>
      </c>
      <c r="G29" s="5" t="str">
        <f ca="1">IFERROR(__xludf.DUMMYFUNCTION("""COMPUTED_VALUE"""),"MANTENIMIENTO ELEC LLENADORA L8 90030")</f>
        <v>MANTENIMIENTO ELEC LLENADORA L8 90030</v>
      </c>
      <c r="H29" s="5">
        <f ca="1">IFERROR(__xludf.DUMMYFUNCTION("""COMPUTED_VALUE"""),13226501)</f>
        <v>13226501</v>
      </c>
      <c r="I29" s="5" t="str">
        <f ca="1">IFERROR(__xludf.DUMMYFUNCTION("""COMPUTED_VALUE"""),"Bloque superior llenadora:")</f>
        <v>Bloque superior llenadora:</v>
      </c>
      <c r="J29" s="5" t="str">
        <f ca="1">IFERROR(__xludf.DUMMYFUNCTION("""COMPUTED_VALUE"""),"ALTO")</f>
        <v>ALTO</v>
      </c>
      <c r="K29" s="5" t="str">
        <f ca="1">IFERROR(__xludf.DUMMYFUNCTION("""COMPUTED_VALUE"""),"Preventivo")</f>
        <v>Preventivo</v>
      </c>
      <c r="L29" s="5" t="str">
        <f ca="1">IFERROR(__xludf.DUMMYFUNCTION("""COMPUTED_VALUE"""),"Maquinaria")</f>
        <v>Maquinaria</v>
      </c>
      <c r="M29" s="5" t="str">
        <f ca="1">IFERROR(__xludf.DUMMYFUNCTION("""COMPUTED_VALUE"""),"No")</f>
        <v>No</v>
      </c>
      <c r="N29" s="5"/>
      <c r="O29" s="5"/>
      <c r="P29" s="18">
        <f ca="1">IFERROR(__xludf.DUMMYFUNCTION("""COMPUTED_VALUE"""),45323)</f>
        <v>45323</v>
      </c>
      <c r="Q29" s="18">
        <f ca="1">IFERROR(__xludf.DUMMYFUNCTION("""COMPUTED_VALUE"""),45323)</f>
        <v>45323</v>
      </c>
      <c r="R29" s="18"/>
      <c r="S29" s="5">
        <f ca="1">IFERROR(__xludf.DUMMYFUNCTION("""COMPUTED_VALUE"""),8)</f>
        <v>8</v>
      </c>
      <c r="T29" s="5"/>
      <c r="U29" s="5" t="str">
        <f ca="1">IFERROR(__xludf.DUMMYFUNCTION("""COMPUTED_VALUE"""),"Franco Castillo Brayan Steven")</f>
        <v>Franco Castillo Brayan Steven</v>
      </c>
      <c r="V29" s="5"/>
      <c r="W29" s="5" t="str">
        <f ca="1">IFERROR(__xludf.DUMMYFUNCTION("""COMPUTED_VALUE"""),"CxajzBStlLo")</f>
        <v>CxajzBStlLo</v>
      </c>
      <c r="X29" s="5">
        <f ca="1">IFERROR(__xludf.DUMMYFUNCTION("""COMPUTED_VALUE"""),8)</f>
        <v>8</v>
      </c>
      <c r="Y29" s="5" t="str">
        <f t="shared" si="0"/>
        <v>Actividad sin realizar</v>
      </c>
      <c r="Z29" s="3">
        <f ca="1">IFERROR(VLOOKUP(U29, 'Base de datos'!A:B, 2, FALSE), "")</f>
        <v>573053427911</v>
      </c>
      <c r="AA29" s="4" t="e">
        <f t="shared" ca="1" si="1"/>
        <v>#NAME?</v>
      </c>
    </row>
    <row r="30" spans="1:27" ht="15.75" customHeight="1">
      <c r="A30" s="5" t="str">
        <f ca="1">IFERROR(__xludf.DUMMYFUNCTION("""COMPUTED_VALUE"""),"POSTOBÓN YUMBO")</f>
        <v>POSTOBÓN YUMBO</v>
      </c>
      <c r="B30" s="5" t="str">
        <f ca="1">IFERROR(__xludf.DUMMYFUNCTION("""COMPUTED_VALUE"""),"0410-LINEA DE BOLSAS")</f>
        <v>0410-LINEA DE BOLSAS</v>
      </c>
      <c r="C30" s="5" t="str">
        <f ca="1">IFERROR(__xludf.DUMMYFUNCTION("""COMPUTED_VALUE"""),"LINEA PARA EL LLENADO DE BOLSAS")</f>
        <v>LINEA PARA EL LLENADO DE BOLSAS</v>
      </c>
      <c r="D30" s="5">
        <f ca="1">IFERROR(__xludf.DUMMYFUNCTION("""COMPUTED_VALUE"""),710199)</f>
        <v>710199</v>
      </c>
      <c r="E30" s="5" t="str">
        <f ca="1">IFERROR(__xludf.DUMMYFUNCTION("""COMPUTED_VALUE"""),"LLENADORA DE BOLSAS LINEA 5")</f>
        <v>LLENADORA DE BOLSAS LINEA 5</v>
      </c>
      <c r="F30" s="5">
        <f ca="1">IFERROR(__xludf.DUMMYFUNCTION("""COMPUTED_VALUE"""),22715)</f>
        <v>22715</v>
      </c>
      <c r="G30" s="5" t="str">
        <f ca="1">IFERROR(__xludf.DUMMYFUNCTION("""COMPUTED_VALUE"""),"PLAN MTTO MEC LLENADORA BOLSA 5L 710199")</f>
        <v>PLAN MTTO MEC LLENADORA BOLSA 5L 710199</v>
      </c>
      <c r="H30" s="5">
        <f ca="1">IFERROR(__xludf.DUMMYFUNCTION("""COMPUTED_VALUE"""),13207464)</f>
        <v>13207464</v>
      </c>
      <c r="I30" s="5" t="str">
        <f ca="1">IFERROR(__xludf.DUMMYFUNCTION("""COMPUTED_VALUE"""),"Cambio banda sincronismo")</f>
        <v>Cambio banda sincronismo</v>
      </c>
      <c r="J30" s="5" t="str">
        <f ca="1">IFERROR(__xludf.DUMMYFUNCTION("""COMPUTED_VALUE"""),"ALTO")</f>
        <v>ALTO</v>
      </c>
      <c r="K30" s="5" t="str">
        <f ca="1">IFERROR(__xludf.DUMMYFUNCTION("""COMPUTED_VALUE"""),"Preventivo")</f>
        <v>Preventivo</v>
      </c>
      <c r="L30" s="5" t="str">
        <f ca="1">IFERROR(__xludf.DUMMYFUNCTION("""COMPUTED_VALUE"""),"Maquinaria")</f>
        <v>Maquinaria</v>
      </c>
      <c r="M30" s="5" t="str">
        <f ca="1">IFERROR(__xludf.DUMMYFUNCTION("""COMPUTED_VALUE"""),"No")</f>
        <v>No</v>
      </c>
      <c r="N30" s="5"/>
      <c r="O30" s="5"/>
      <c r="P30" s="18">
        <f ca="1">IFERROR(__xludf.DUMMYFUNCTION("""COMPUTED_VALUE"""),45348)</f>
        <v>45348</v>
      </c>
      <c r="Q30" s="18">
        <f ca="1">IFERROR(__xludf.DUMMYFUNCTION("""COMPUTED_VALUE"""),45348)</f>
        <v>45348</v>
      </c>
      <c r="R30" s="18"/>
      <c r="S30" s="5">
        <f ca="1">IFERROR(__xludf.DUMMYFUNCTION("""COMPUTED_VALUE"""),1)</f>
        <v>1</v>
      </c>
      <c r="T30" s="5"/>
      <c r="U30" s="5" t="str">
        <f ca="1">IFERROR(__xludf.DUMMYFUNCTION("""COMPUTED_VALUE"""),"ESTEBAN POTOSI ISAZA")</f>
        <v>ESTEBAN POTOSI ISAZA</v>
      </c>
      <c r="V30" s="5"/>
      <c r="W30" s="5" t="str">
        <f ca="1">IFERROR(__xludf.DUMMYFUNCTION("""COMPUTED_VALUE"""),"rumpdCsyMtU")</f>
        <v>rumpdCsyMtU</v>
      </c>
      <c r="X30" s="5">
        <f ca="1">IFERROR(__xludf.DUMMYFUNCTION("""COMPUTED_VALUE"""),1)</f>
        <v>1</v>
      </c>
      <c r="Y30" s="5" t="str">
        <f t="shared" si="0"/>
        <v>Actividad sin realizar</v>
      </c>
      <c r="Z30" s="3">
        <f ca="1">IFERROR(VLOOKUP(U30, 'Base de datos'!A:B, 2, FALSE), "")</f>
        <v>573128543241</v>
      </c>
      <c r="AA30" s="4" t="e">
        <f t="shared" ca="1" si="1"/>
        <v>#NAME?</v>
      </c>
    </row>
    <row r="31" spans="1:27" ht="15.75" customHeight="1">
      <c r="A31" s="5" t="str">
        <f ca="1">IFERROR(__xludf.DUMMYFUNCTION("""COMPUTED_VALUE"""),"POSTOBÓN YUMBO")</f>
        <v>POSTOBÓN YUMBO</v>
      </c>
      <c r="B31" s="5" t="str">
        <f ca="1">IFERROR(__xludf.DUMMYFUNCTION("""COMPUTED_VALUE"""),"0410-LINEA DE BOLSAS")</f>
        <v>0410-LINEA DE BOLSAS</v>
      </c>
      <c r="C31" s="5" t="str">
        <f ca="1">IFERROR(__xludf.DUMMYFUNCTION("""COMPUTED_VALUE"""),"LINEA PARA EL LLENADO DE BOLSAS")</f>
        <v>LINEA PARA EL LLENADO DE BOLSAS</v>
      </c>
      <c r="D31" s="5">
        <f ca="1">IFERROR(__xludf.DUMMYFUNCTION("""COMPUTED_VALUE"""),710199)</f>
        <v>710199</v>
      </c>
      <c r="E31" s="5" t="str">
        <f ca="1">IFERROR(__xludf.DUMMYFUNCTION("""COMPUTED_VALUE"""),"LLENADORA DE BOLSAS LINEA 5")</f>
        <v>LLENADORA DE BOLSAS LINEA 5</v>
      </c>
      <c r="F31" s="5">
        <f ca="1">IFERROR(__xludf.DUMMYFUNCTION("""COMPUTED_VALUE"""),22715)</f>
        <v>22715</v>
      </c>
      <c r="G31" s="5" t="str">
        <f ca="1">IFERROR(__xludf.DUMMYFUNCTION("""COMPUTED_VALUE"""),"PLAN MTTO ELE LLENADORA BOLSA 5L 710199")</f>
        <v>PLAN MTTO ELE LLENADORA BOLSA 5L 710199</v>
      </c>
      <c r="H31" s="5">
        <f ca="1">IFERROR(__xludf.DUMMYFUNCTION("""COMPUTED_VALUE"""),13207465)</f>
        <v>13207465</v>
      </c>
      <c r="I31" s="5" t="str">
        <f ca="1">IFERROR(__xludf.DUMMYFUNCTION("""COMPUTED_VALUE"""),"Bomba sumergible")</f>
        <v>Bomba sumergible</v>
      </c>
      <c r="J31" s="5" t="str">
        <f ca="1">IFERROR(__xludf.DUMMYFUNCTION("""COMPUTED_VALUE"""),"ALTO")</f>
        <v>ALTO</v>
      </c>
      <c r="K31" s="5" t="str">
        <f ca="1">IFERROR(__xludf.DUMMYFUNCTION("""COMPUTED_VALUE"""),"Preventivo")</f>
        <v>Preventivo</v>
      </c>
      <c r="L31" s="5" t="str">
        <f ca="1">IFERROR(__xludf.DUMMYFUNCTION("""COMPUTED_VALUE"""),"Maquinaria")</f>
        <v>Maquinaria</v>
      </c>
      <c r="M31" s="5" t="str">
        <f ca="1">IFERROR(__xludf.DUMMYFUNCTION("""COMPUTED_VALUE"""),"No")</f>
        <v>No</v>
      </c>
      <c r="N31" s="5"/>
      <c r="O31" s="5"/>
      <c r="P31" s="18">
        <f ca="1">IFERROR(__xludf.DUMMYFUNCTION("""COMPUTED_VALUE"""),45349)</f>
        <v>45349</v>
      </c>
      <c r="Q31" s="18">
        <f ca="1">IFERROR(__xludf.DUMMYFUNCTION("""COMPUTED_VALUE"""),45349)</f>
        <v>45349</v>
      </c>
      <c r="R31" s="18"/>
      <c r="S31" s="5">
        <f ca="1">IFERROR(__xludf.DUMMYFUNCTION("""COMPUTED_VALUE"""),1)</f>
        <v>1</v>
      </c>
      <c r="T31" s="5"/>
      <c r="U31" s="5" t="str">
        <f ca="1">IFERROR(__xludf.DUMMYFUNCTION("""COMPUTED_VALUE"""),"ESTEBAN POTOSI ISAZA")</f>
        <v>ESTEBAN POTOSI ISAZA</v>
      </c>
      <c r="V31" s="5"/>
      <c r="W31" s="5" t="str">
        <f ca="1">IFERROR(__xludf.DUMMYFUNCTION("""COMPUTED_VALUE"""),"wSR8JH742NA")</f>
        <v>wSR8JH742NA</v>
      </c>
      <c r="X31" s="5">
        <f ca="1">IFERROR(__xludf.DUMMYFUNCTION("""COMPUTED_VALUE"""),1)</f>
        <v>1</v>
      </c>
      <c r="Y31" s="5" t="str">
        <f t="shared" si="0"/>
        <v>Actividad sin realizar</v>
      </c>
      <c r="Z31" s="3">
        <f ca="1">IFERROR(VLOOKUP(U31, 'Base de datos'!A:B, 2, FALSE), "")</f>
        <v>573128543241</v>
      </c>
      <c r="AA31" s="4" t="e">
        <f t="shared" ca="1" si="1"/>
        <v>#NAME?</v>
      </c>
    </row>
    <row r="32" spans="1:27" ht="15.75" customHeight="1">
      <c r="A32" s="5" t="str">
        <f ca="1">IFERROR(__xludf.DUMMYFUNCTION("""COMPUTED_VALUE"""),"POSTOBÓN YUMBO")</f>
        <v>POSTOBÓN YUMBO</v>
      </c>
      <c r="B32" s="5" t="str">
        <f ca="1">IFERROR(__xludf.DUMMYFUNCTION("""COMPUTED_VALUE"""),"0410-LINEA 1")</f>
        <v>0410-LINEA 1</v>
      </c>
      <c r="C32" s="5" t="str">
        <f ca="1">IFERROR(__xludf.DUMMYFUNCTION("""COMPUTED_VALUE"""),"LINEA DE ENVASADO PET NO RETORNABLE")</f>
        <v>LINEA DE ENVASADO PET NO RETORNABLE</v>
      </c>
      <c r="D32" s="5">
        <f ca="1">IFERROR(__xludf.DUMMYFUNCTION("""COMPUTED_VALUE"""),820071)</f>
        <v>820071</v>
      </c>
      <c r="E32" s="5" t="str">
        <f ca="1">IFERROR(__xludf.DUMMYFUNCTION("""COMPUTED_VALUE"""),"ETIQUETADORA")</f>
        <v>ETIQUETADORA</v>
      </c>
      <c r="F32" s="5">
        <f ca="1">IFERROR(__xludf.DUMMYFUNCTION("""COMPUTED_VALUE"""),14083)</f>
        <v>14083</v>
      </c>
      <c r="G32" s="5" t="str">
        <f ca="1">IFERROR(__xludf.DUMMYFUNCTION("""COMPUTED_VALUE"""),"MTTO MEC ETIQUETADORA L1 820071")</f>
        <v>MTTO MEC ETIQUETADORA L1 820071</v>
      </c>
      <c r="H32" s="5">
        <f ca="1">IFERROR(__xludf.DUMMYFUNCTION("""COMPUTED_VALUE"""),13238371)</f>
        <v>13238371</v>
      </c>
      <c r="I32" s="5" t="str">
        <f ca="1">IFERROR(__xludf.DUMMYFUNCTION("""COMPUTED_VALUE"""),"Conjunto de corte:")</f>
        <v>Conjunto de corte:</v>
      </c>
      <c r="J32" s="5" t="str">
        <f ca="1">IFERROR(__xludf.DUMMYFUNCTION("""COMPUTED_VALUE"""),"MEDIO")</f>
        <v>MEDIO</v>
      </c>
      <c r="K32" s="5" t="str">
        <f ca="1">IFERROR(__xludf.DUMMYFUNCTION("""COMPUTED_VALUE"""),"Preventivo")</f>
        <v>Preventivo</v>
      </c>
      <c r="L32" s="5" t="str">
        <f ca="1">IFERROR(__xludf.DUMMYFUNCTION("""COMPUTED_VALUE"""),"Maquinaria")</f>
        <v>Maquinaria</v>
      </c>
      <c r="M32" s="5" t="str">
        <f ca="1">IFERROR(__xludf.DUMMYFUNCTION("""COMPUTED_VALUE"""),"No")</f>
        <v>No</v>
      </c>
      <c r="N32" s="5"/>
      <c r="O32" s="5"/>
      <c r="P32" s="18">
        <f ca="1">IFERROR(__xludf.DUMMYFUNCTION("""COMPUTED_VALUE"""),45334)</f>
        <v>45334</v>
      </c>
      <c r="Q32" s="18">
        <f ca="1">IFERROR(__xludf.DUMMYFUNCTION("""COMPUTED_VALUE"""),45334)</f>
        <v>45334</v>
      </c>
      <c r="R32" s="18"/>
      <c r="S32" s="5">
        <f ca="1">IFERROR(__xludf.DUMMYFUNCTION("""COMPUTED_VALUE"""),0.1)</f>
        <v>0.1</v>
      </c>
      <c r="T32" s="5"/>
      <c r="U32" s="5" t="str">
        <f ca="1">IFERROR(__xludf.DUMMYFUNCTION("""COMPUTED_VALUE"""),"Sanchez Rodriguez Gerson Andres")</f>
        <v>Sanchez Rodriguez Gerson Andres</v>
      </c>
      <c r="V32" s="5"/>
      <c r="W32" s="5" t="str">
        <f ca="1">IFERROR(__xludf.DUMMYFUNCTION("""COMPUTED_VALUE"""),"A8-vj9XPp4Q")</f>
        <v>A8-vj9XPp4Q</v>
      </c>
      <c r="X32" s="5">
        <f ca="1">IFERROR(__xludf.DUMMYFUNCTION("""COMPUTED_VALUE"""),0.1)</f>
        <v>0.1</v>
      </c>
      <c r="Y32" s="5" t="str">
        <f t="shared" si="0"/>
        <v>Actividad sin realizar</v>
      </c>
      <c r="Z32" s="3">
        <f ca="1">IFERROR(VLOOKUP(U32, 'Base de datos'!A:B, 2, FALSE), "")</f>
        <v>573112884549</v>
      </c>
      <c r="AA32" s="4" t="e">
        <f t="shared" ca="1" si="1"/>
        <v>#NAME?</v>
      </c>
    </row>
    <row r="33" spans="1:27" ht="15.75" customHeight="1">
      <c r="A33" s="5" t="str">
        <f ca="1">IFERROR(__xludf.DUMMYFUNCTION("""COMPUTED_VALUE"""),"POSTOBÓN YUMBO")</f>
        <v>POSTOBÓN YUMBO</v>
      </c>
      <c r="B33" s="5" t="str">
        <f ca="1">IFERROR(__xludf.DUMMYFUNCTION("""COMPUTED_VALUE"""),"0410-LINEA 3")</f>
        <v>0410-LINEA 3</v>
      </c>
      <c r="C33" s="5" t="str">
        <f ca="1">IFERROR(__xludf.DUMMYFUNCTION("""COMPUTED_VALUE"""),"LINEA DE ENVASADO TAMAÑO PERSONAL")</f>
        <v>LINEA DE ENVASADO TAMAÑO PERSONAL</v>
      </c>
      <c r="D33" s="5">
        <f ca="1">IFERROR(__xludf.DUMMYFUNCTION("""COMPUTED_VALUE"""),558020)</f>
        <v>558020</v>
      </c>
      <c r="E33" s="5" t="str">
        <f ca="1">IFERROR(__xludf.DUMMYFUNCTION("""COMPUTED_VALUE"""),"EMPACADORA")</f>
        <v>EMPACADORA</v>
      </c>
      <c r="F33" s="5">
        <f ca="1">IFERROR(__xludf.DUMMYFUNCTION("""COMPUTED_VALUE"""),22604)</f>
        <v>22604</v>
      </c>
      <c r="G33" s="5" t="str">
        <f ca="1">IFERROR(__xludf.DUMMYFUNCTION("""COMPUTED_VALUE"""),"PLAN MTTO MEC EMPACADORA 558020 L3")</f>
        <v>PLAN MTTO MEC EMPACADORA 558020 L3</v>
      </c>
      <c r="H33" s="5">
        <f ca="1">IFERROR(__xludf.DUMMYFUNCTION("""COMPUTED_VALUE"""),13185964)</f>
        <v>13185964</v>
      </c>
      <c r="I33" s="5" t="str">
        <f ca="1">IFERROR(__xludf.DUMMYFUNCTION("""COMPUTED_VALUE"""),"Mesa De Botellas")</f>
        <v>Mesa De Botellas</v>
      </c>
      <c r="J33" s="5" t="str">
        <f ca="1">IFERROR(__xludf.DUMMYFUNCTION("""COMPUTED_VALUE"""),"MEDIO")</f>
        <v>MEDIO</v>
      </c>
      <c r="K33" s="5" t="str">
        <f ca="1">IFERROR(__xludf.DUMMYFUNCTION("""COMPUTED_VALUE"""),"Preventivo")</f>
        <v>Preventivo</v>
      </c>
      <c r="L33" s="5" t="str">
        <f ca="1">IFERROR(__xludf.DUMMYFUNCTION("""COMPUTED_VALUE"""),"Maquinaria")</f>
        <v>Maquinaria</v>
      </c>
      <c r="M33" s="5" t="str">
        <f ca="1">IFERROR(__xludf.DUMMYFUNCTION("""COMPUTED_VALUE"""),"No")</f>
        <v>No</v>
      </c>
      <c r="N33" s="5"/>
      <c r="O33" s="5"/>
      <c r="P33" s="18">
        <f ca="1">IFERROR(__xludf.DUMMYFUNCTION("""COMPUTED_VALUE"""),45324)</f>
        <v>45324</v>
      </c>
      <c r="Q33" s="18">
        <f ca="1">IFERROR(__xludf.DUMMYFUNCTION("""COMPUTED_VALUE"""),45324)</f>
        <v>45324</v>
      </c>
      <c r="R33" s="18"/>
      <c r="S33" s="5">
        <f ca="1">IFERROR(__xludf.DUMMYFUNCTION("""COMPUTED_VALUE"""),8)</f>
        <v>8</v>
      </c>
      <c r="T33" s="5"/>
      <c r="U33" s="5" t="str">
        <f ca="1">IFERROR(__xludf.DUMMYFUNCTION("""COMPUTED_VALUE"""),"Jimenez Jhon")</f>
        <v>Jimenez Jhon</v>
      </c>
      <c r="V33" s="5"/>
      <c r="W33" s="5" t="str">
        <f ca="1">IFERROR(__xludf.DUMMYFUNCTION("""COMPUTED_VALUE"""),"QKuHUIpOlG4")</f>
        <v>QKuHUIpOlG4</v>
      </c>
      <c r="X33" s="5">
        <f ca="1">IFERROR(__xludf.DUMMYFUNCTION("""COMPUTED_VALUE"""),8)</f>
        <v>8</v>
      </c>
      <c r="Y33" s="5" t="str">
        <f t="shared" si="0"/>
        <v>Actividad sin realizar</v>
      </c>
      <c r="Z33" s="3">
        <f ca="1">IFERROR(VLOOKUP(U33, 'Base de datos'!A:B, 2, FALSE), "")</f>
        <v>573147637946</v>
      </c>
      <c r="AA33" s="4" t="e">
        <f t="shared" ca="1" si="1"/>
        <v>#NAME?</v>
      </c>
    </row>
    <row r="34" spans="1:27" ht="15.75" customHeight="1">
      <c r="A34" s="5" t="str">
        <f ca="1">IFERROR(__xludf.DUMMYFUNCTION("""COMPUTED_VALUE"""),"POSTOBÓN YUMBO")</f>
        <v>POSTOBÓN YUMBO</v>
      </c>
      <c r="B34" s="5" t="str">
        <f ca="1">IFERROR(__xludf.DUMMYFUNCTION("""COMPUTED_VALUE"""),"0410-LINEA 3")</f>
        <v>0410-LINEA 3</v>
      </c>
      <c r="C34" s="5" t="str">
        <f ca="1">IFERROR(__xludf.DUMMYFUNCTION("""COMPUTED_VALUE"""),"LINEA DE ENVASADO TAMAÑO PERSONAL")</f>
        <v>LINEA DE ENVASADO TAMAÑO PERSONAL</v>
      </c>
      <c r="D34" s="5">
        <f ca="1">IFERROR(__xludf.DUMMYFUNCTION("""COMPUTED_VALUE"""),558020)</f>
        <v>558020</v>
      </c>
      <c r="E34" s="5" t="str">
        <f ca="1">IFERROR(__xludf.DUMMYFUNCTION("""COMPUTED_VALUE"""),"EMPACADORA")</f>
        <v>EMPACADORA</v>
      </c>
      <c r="F34" s="5">
        <f ca="1">IFERROR(__xludf.DUMMYFUNCTION("""COMPUTED_VALUE"""),22604)</f>
        <v>22604</v>
      </c>
      <c r="G34" s="5" t="str">
        <f ca="1">IFERROR(__xludf.DUMMYFUNCTION("""COMPUTED_VALUE"""),"PLAN MTTO MEC EMPACADORA 558020 L3")</f>
        <v>PLAN MTTO MEC EMPACADORA 558020 L3</v>
      </c>
      <c r="H34" s="5">
        <f ca="1">IFERROR(__xludf.DUMMYFUNCTION("""COMPUTED_VALUE"""),13185964)</f>
        <v>13185964</v>
      </c>
      <c r="I34" s="5" t="str">
        <f ca="1">IFERROR(__xludf.DUMMYFUNCTION("""COMPUTED_VALUE"""),"mecanismo empacadora")</f>
        <v>mecanismo empacadora</v>
      </c>
      <c r="J34" s="5" t="str">
        <f ca="1">IFERROR(__xludf.DUMMYFUNCTION("""COMPUTED_VALUE"""),"MEDIO")</f>
        <v>MEDIO</v>
      </c>
      <c r="K34" s="5" t="str">
        <f ca="1">IFERROR(__xludf.DUMMYFUNCTION("""COMPUTED_VALUE"""),"Preventivo")</f>
        <v>Preventivo</v>
      </c>
      <c r="L34" s="5" t="str">
        <f ca="1">IFERROR(__xludf.DUMMYFUNCTION("""COMPUTED_VALUE"""),"Maquinaria")</f>
        <v>Maquinaria</v>
      </c>
      <c r="M34" s="5" t="str">
        <f ca="1">IFERROR(__xludf.DUMMYFUNCTION("""COMPUTED_VALUE"""),"No")</f>
        <v>No</v>
      </c>
      <c r="N34" s="5"/>
      <c r="O34" s="5"/>
      <c r="P34" s="18">
        <f ca="1">IFERROR(__xludf.DUMMYFUNCTION("""COMPUTED_VALUE"""),45324)</f>
        <v>45324</v>
      </c>
      <c r="Q34" s="18">
        <f ca="1">IFERROR(__xludf.DUMMYFUNCTION("""COMPUTED_VALUE"""),45324)</f>
        <v>45324</v>
      </c>
      <c r="R34" s="18"/>
      <c r="S34" s="5">
        <f ca="1">IFERROR(__xludf.DUMMYFUNCTION("""COMPUTED_VALUE"""),8)</f>
        <v>8</v>
      </c>
      <c r="T34" s="5"/>
      <c r="U34" s="5" t="str">
        <f ca="1">IFERROR(__xludf.DUMMYFUNCTION("""COMPUTED_VALUE"""),"Jimenez Jhon")</f>
        <v>Jimenez Jhon</v>
      </c>
      <c r="V34" s="5"/>
      <c r="W34" s="5" t="str">
        <f ca="1">IFERROR(__xludf.DUMMYFUNCTION("""COMPUTED_VALUE"""),"YM7NTtuVBZc")</f>
        <v>YM7NTtuVBZc</v>
      </c>
      <c r="X34" s="5">
        <f ca="1">IFERROR(__xludf.DUMMYFUNCTION("""COMPUTED_VALUE"""),8)</f>
        <v>8</v>
      </c>
      <c r="Y34" s="5" t="str">
        <f t="shared" si="0"/>
        <v>Actividad sin realizar</v>
      </c>
      <c r="Z34" s="3">
        <f ca="1">IFERROR(VLOOKUP(U34, 'Base de datos'!A:B, 2, FALSE), "")</f>
        <v>573147637946</v>
      </c>
      <c r="AA34" s="4" t="e">
        <f t="shared" ca="1" si="1"/>
        <v>#NAME?</v>
      </c>
    </row>
    <row r="35" spans="1:27" ht="15.75" customHeight="1">
      <c r="A35" s="5" t="str">
        <f ca="1">IFERROR(__xludf.DUMMYFUNCTION("""COMPUTED_VALUE"""),"POSTOBÓN YUMBO")</f>
        <v>POSTOBÓN YUMBO</v>
      </c>
      <c r="B35" s="5" t="str">
        <f ca="1">IFERROR(__xludf.DUMMYFUNCTION("""COMPUTED_VALUE"""),"0410-LINEA 3")</f>
        <v>0410-LINEA 3</v>
      </c>
      <c r="C35" s="5" t="str">
        <f ca="1">IFERROR(__xludf.DUMMYFUNCTION("""COMPUTED_VALUE"""),"LINEA DE ENVASADO TAMAÑO PERSONAL")</f>
        <v>LINEA DE ENVASADO TAMAÑO PERSONAL</v>
      </c>
      <c r="D35" s="5">
        <f ca="1">IFERROR(__xludf.DUMMYFUNCTION("""COMPUTED_VALUE"""),558020)</f>
        <v>558020</v>
      </c>
      <c r="E35" s="5" t="str">
        <f ca="1">IFERROR(__xludf.DUMMYFUNCTION("""COMPUTED_VALUE"""),"EMPACADORA")</f>
        <v>EMPACADORA</v>
      </c>
      <c r="F35" s="5">
        <f ca="1">IFERROR(__xludf.DUMMYFUNCTION("""COMPUTED_VALUE"""),22604)</f>
        <v>22604</v>
      </c>
      <c r="G35" s="5" t="str">
        <f ca="1">IFERROR(__xludf.DUMMYFUNCTION("""COMPUTED_VALUE"""),"PLAN MTTO MEC EMPACADORA 558020 L3")</f>
        <v>PLAN MTTO MEC EMPACADORA 558020 L3</v>
      </c>
      <c r="H35" s="5">
        <f ca="1">IFERROR(__xludf.DUMMYFUNCTION("""COMPUTED_VALUE"""),13185964)</f>
        <v>13185964</v>
      </c>
      <c r="I35" s="5" t="str">
        <f ca="1">IFERROR(__xludf.DUMMYFUNCTION("""COMPUTED_VALUE"""),"Cajas Reductoras")</f>
        <v>Cajas Reductoras</v>
      </c>
      <c r="J35" s="5" t="str">
        <f ca="1">IFERROR(__xludf.DUMMYFUNCTION("""COMPUTED_VALUE"""),"MEDIO")</f>
        <v>MEDIO</v>
      </c>
      <c r="K35" s="5" t="str">
        <f ca="1">IFERROR(__xludf.DUMMYFUNCTION("""COMPUTED_VALUE"""),"Preventivo")</f>
        <v>Preventivo</v>
      </c>
      <c r="L35" s="5" t="str">
        <f ca="1">IFERROR(__xludf.DUMMYFUNCTION("""COMPUTED_VALUE"""),"Maquinaria")</f>
        <v>Maquinaria</v>
      </c>
      <c r="M35" s="5" t="str">
        <f ca="1">IFERROR(__xludf.DUMMYFUNCTION("""COMPUTED_VALUE"""),"No")</f>
        <v>No</v>
      </c>
      <c r="N35" s="5"/>
      <c r="O35" s="5"/>
      <c r="P35" s="18">
        <f ca="1">IFERROR(__xludf.DUMMYFUNCTION("""COMPUTED_VALUE"""),45324)</f>
        <v>45324</v>
      </c>
      <c r="Q35" s="18">
        <f ca="1">IFERROR(__xludf.DUMMYFUNCTION("""COMPUTED_VALUE"""),45324)</f>
        <v>45324</v>
      </c>
      <c r="R35" s="18"/>
      <c r="S35" s="5">
        <f ca="1">IFERROR(__xludf.DUMMYFUNCTION("""COMPUTED_VALUE"""),8)</f>
        <v>8</v>
      </c>
      <c r="T35" s="5"/>
      <c r="U35" s="5" t="str">
        <f ca="1">IFERROR(__xludf.DUMMYFUNCTION("""COMPUTED_VALUE"""),"Jimenez Jhon")</f>
        <v>Jimenez Jhon</v>
      </c>
      <c r="V35" s="5"/>
      <c r="W35" s="5" t="str">
        <f ca="1">IFERROR(__xludf.DUMMYFUNCTION("""COMPUTED_VALUE"""),"IycXMzkYQcg")</f>
        <v>IycXMzkYQcg</v>
      </c>
      <c r="X35" s="5">
        <f ca="1">IFERROR(__xludf.DUMMYFUNCTION("""COMPUTED_VALUE"""),8)</f>
        <v>8</v>
      </c>
      <c r="Y35" s="5" t="str">
        <f t="shared" si="0"/>
        <v>Actividad sin realizar</v>
      </c>
      <c r="Z35" s="3">
        <f ca="1">IFERROR(VLOOKUP(U35, 'Base de datos'!A:B, 2, FALSE), "")</f>
        <v>573147637946</v>
      </c>
      <c r="AA35" s="4" t="e">
        <f t="shared" ca="1" si="1"/>
        <v>#NAME?</v>
      </c>
    </row>
    <row r="36" spans="1:27" ht="15.75" customHeight="1">
      <c r="A36" s="5" t="str">
        <f ca="1">IFERROR(__xludf.DUMMYFUNCTION("""COMPUTED_VALUE"""),"POSTOBÓN YUMBO")</f>
        <v>POSTOBÓN YUMBO</v>
      </c>
      <c r="B36" s="5" t="str">
        <f ca="1">IFERROR(__xludf.DUMMYFUNCTION("""COMPUTED_VALUE"""),"0410-LINEA GARRAFAS")</f>
        <v>0410-LINEA GARRAFAS</v>
      </c>
      <c r="C36" s="5" t="str">
        <f ca="1">IFERROR(__xludf.DUMMYFUNCTION("""COMPUTED_VALUE"""),"LINEA PARA EL LLENADO DE GARRAFAS")</f>
        <v>LINEA PARA EL LLENADO DE GARRAFAS</v>
      </c>
      <c r="D36" s="5">
        <f ca="1">IFERROR(__xludf.DUMMYFUNCTION("""COMPUTED_VALUE"""),710019)</f>
        <v>710019</v>
      </c>
      <c r="E36" s="5" t="str">
        <f ca="1">IFERROR(__xludf.DUMMYFUNCTION("""COMPUTED_VALUE"""),"LLENADORA DE GARRAFAS")</f>
        <v>LLENADORA DE GARRAFAS</v>
      </c>
      <c r="F36" s="5">
        <f ca="1">IFERROR(__xludf.DUMMYFUNCTION("""COMPUTED_VALUE"""),22720)</f>
        <v>22720</v>
      </c>
      <c r="G36" s="5" t="str">
        <f ca="1">IFERROR(__xludf.DUMMYFUNCTION("""COMPUTED_VALUE"""),"PLAN MTTO MEC LLENADORA GARRAFAS 710019")</f>
        <v>PLAN MTTO MEC LLENADORA GARRAFAS 710019</v>
      </c>
      <c r="H36" s="5">
        <f ca="1">IFERROR(__xludf.DUMMYFUNCTION("""COMPUTED_VALUE"""),13193572)</f>
        <v>13193572</v>
      </c>
      <c r="I36" s="5" t="str">
        <f ca="1">IFERROR(__xludf.DUMMYFUNCTION("""COMPUTED_VALUE"""),"Roscador magentico")</f>
        <v>Roscador magentico</v>
      </c>
      <c r="J36" s="5" t="str">
        <f ca="1">IFERROR(__xludf.DUMMYFUNCTION("""COMPUTED_VALUE"""),"ALTO")</f>
        <v>ALTO</v>
      </c>
      <c r="K36" s="5" t="str">
        <f ca="1">IFERROR(__xludf.DUMMYFUNCTION("""COMPUTED_VALUE"""),"Preventivo")</f>
        <v>Preventivo</v>
      </c>
      <c r="L36" s="5" t="str">
        <f ca="1">IFERROR(__xludf.DUMMYFUNCTION("""COMPUTED_VALUE"""),"Maquinaria")</f>
        <v>Maquinaria</v>
      </c>
      <c r="M36" s="5" t="str">
        <f ca="1">IFERROR(__xludf.DUMMYFUNCTION("""COMPUTED_VALUE"""),"No")</f>
        <v>No</v>
      </c>
      <c r="N36" s="5"/>
      <c r="O36" s="5"/>
      <c r="P36" s="18">
        <f ca="1">IFERROR(__xludf.DUMMYFUNCTION("""COMPUTED_VALUE"""),45332)</f>
        <v>45332</v>
      </c>
      <c r="Q36" s="18">
        <f ca="1">IFERROR(__xludf.DUMMYFUNCTION("""COMPUTED_VALUE"""),45332)</f>
        <v>45332</v>
      </c>
      <c r="R36" s="18"/>
      <c r="S36" s="5">
        <f ca="1">IFERROR(__xludf.DUMMYFUNCTION("""COMPUTED_VALUE"""),8)</f>
        <v>8</v>
      </c>
      <c r="T36" s="5"/>
      <c r="U36" s="5" t="str">
        <f ca="1">IFERROR(__xludf.DUMMYFUNCTION("""COMPUTED_VALUE"""),"Víctor David Burbano Gómez")</f>
        <v>Víctor David Burbano Gómez</v>
      </c>
      <c r="V36" s="5"/>
      <c r="W36" s="5" t="str">
        <f ca="1">IFERROR(__xludf.DUMMYFUNCTION("""COMPUTED_VALUE"""),"z2ap9g2tF8Q")</f>
        <v>z2ap9g2tF8Q</v>
      </c>
      <c r="X36" s="5">
        <f ca="1">IFERROR(__xludf.DUMMYFUNCTION("""COMPUTED_VALUE"""),8)</f>
        <v>8</v>
      </c>
      <c r="Y36" s="5" t="str">
        <f t="shared" si="0"/>
        <v>Actividad sin realizar</v>
      </c>
      <c r="Z36" s="3">
        <f ca="1">IFERROR(VLOOKUP(U36, 'Base de datos'!A:B, 2, FALSE), "")</f>
        <v>573023403586</v>
      </c>
      <c r="AA36" s="4" t="e">
        <f t="shared" ca="1" si="1"/>
        <v>#NAME?</v>
      </c>
    </row>
    <row r="37" spans="1:27" ht="15.75" customHeight="1">
      <c r="A37" s="5" t="str">
        <f ca="1">IFERROR(__xludf.DUMMYFUNCTION("""COMPUTED_VALUE"""),"POSTOBÓN YUMBO")</f>
        <v>POSTOBÓN YUMBO</v>
      </c>
      <c r="B37" s="5" t="str">
        <f ca="1">IFERROR(__xludf.DUMMYFUNCTION("""COMPUTED_VALUE"""),"0410-SALA DE JARABE TERMINADO")</f>
        <v>0410-SALA DE JARABE TERMINADO</v>
      </c>
      <c r="C37" s="5" t="str">
        <f ca="1">IFERROR(__xludf.DUMMYFUNCTION("""COMPUTED_VALUE"""),"EQUIPOS PARA PREPARACION DE JARABE")</f>
        <v>EQUIPOS PARA PREPARACION DE JARABE</v>
      </c>
      <c r="D37" s="5">
        <f ca="1">IFERROR(__xludf.DUMMYFUNCTION("""COMPUTED_VALUE"""),699636)</f>
        <v>699636</v>
      </c>
      <c r="E37" s="5" t="str">
        <f ca="1">IFERROR(__xludf.DUMMYFUNCTION("""COMPUTED_VALUE"""),"EQUIPO ELECTRONICO-SALA JARABE TERMINADO")</f>
        <v>EQUIPO ELECTRONICO-SALA JARABE TERMINADO</v>
      </c>
      <c r="F37" s="5">
        <f ca="1">IFERROR(__xludf.DUMMYFUNCTION("""COMPUTED_VALUE"""),17361)</f>
        <v>17361</v>
      </c>
      <c r="G37" s="5" t="str">
        <f ca="1">IFERROR(__xludf.DUMMYFUNCTION("""COMPUTED_VALUE"""),"MTTO ELEC EQUIPO ELECT JARABE TERMINADO")</f>
        <v>MTTO ELEC EQUIPO ELECT JARABE TERMINADO</v>
      </c>
      <c r="H37" s="5">
        <f ca="1">IFERROR(__xludf.DUMMYFUNCTION("""COMPUTED_VALUE"""),13247145)</f>
        <v>13247145</v>
      </c>
      <c r="I37" s="5" t="str">
        <f ca="1">IFERROR(__xludf.DUMMYFUNCTION("""COMPUTED_VALUE"""),"Realizar limpieza de los servidores físi")</f>
        <v>Realizar limpieza de los servidores físi</v>
      </c>
      <c r="J37" s="5" t="str">
        <f ca="1">IFERROR(__xludf.DUMMYFUNCTION("""COMPUTED_VALUE"""),"ALTO")</f>
        <v>ALTO</v>
      </c>
      <c r="K37" s="5" t="str">
        <f ca="1">IFERROR(__xludf.DUMMYFUNCTION("""COMPUTED_VALUE"""),"Preventivo")</f>
        <v>Preventivo</v>
      </c>
      <c r="L37" s="5" t="str">
        <f ca="1">IFERROR(__xludf.DUMMYFUNCTION("""COMPUTED_VALUE"""),"Maquinaria")</f>
        <v>Maquinaria</v>
      </c>
      <c r="M37" s="5" t="str">
        <f ca="1">IFERROR(__xludf.DUMMYFUNCTION("""COMPUTED_VALUE"""),"No")</f>
        <v>No</v>
      </c>
      <c r="N37" s="5"/>
      <c r="O37" s="5">
        <f ca="1">IFERROR(__xludf.DUMMYFUNCTION("""COMPUTED_VALUE"""),100)</f>
        <v>100</v>
      </c>
      <c r="P37" s="18">
        <f ca="1">IFERROR(__xludf.DUMMYFUNCTION("""COMPUTED_VALUE"""),45341)</f>
        <v>45341</v>
      </c>
      <c r="Q37" s="18">
        <f ca="1">IFERROR(__xludf.DUMMYFUNCTION("""COMPUTED_VALUE"""),45341)</f>
        <v>45341</v>
      </c>
      <c r="R37" s="18"/>
      <c r="S37" s="5">
        <f ca="1">IFERROR(__xludf.DUMMYFUNCTION("""COMPUTED_VALUE"""),4)</f>
        <v>4</v>
      </c>
      <c r="T37" s="5"/>
      <c r="U37" s="5" t="str">
        <f ca="1">IFERROR(__xludf.DUMMYFUNCTION("""COMPUTED_VALUE"""),"IMBACHI WILTON ANDRES")</f>
        <v>IMBACHI WILTON ANDRES</v>
      </c>
      <c r="V37" s="5"/>
      <c r="W37" s="5" t="str">
        <f ca="1">IFERROR(__xludf.DUMMYFUNCTION("""COMPUTED_VALUE"""),"30cyTZ9BlkI")</f>
        <v>30cyTZ9BlkI</v>
      </c>
      <c r="X37" s="5">
        <f ca="1">IFERROR(__xludf.DUMMYFUNCTION("""COMPUTED_VALUE"""),4)</f>
        <v>4</v>
      </c>
      <c r="Y37" s="5" t="str">
        <f t="shared" ca="1" si="0"/>
        <v>Actividad realizada</v>
      </c>
      <c r="Z37" s="3">
        <f ca="1">IFERROR(VLOOKUP(U37, 'Base de datos'!A:B, 2, FALSE), "")</f>
        <v>573158655205</v>
      </c>
      <c r="AA37" s="4" t="e">
        <f t="shared" ca="1" si="1"/>
        <v>#NAME?</v>
      </c>
    </row>
    <row r="38" spans="1:27" ht="15.75" customHeight="1">
      <c r="A38" s="5" t="str">
        <f ca="1">IFERROR(__xludf.DUMMYFUNCTION("""COMPUTED_VALUE"""),"POSTOBÓN YUMBO")</f>
        <v>POSTOBÓN YUMBO</v>
      </c>
      <c r="B38" s="5" t="str">
        <f ca="1">IFERROR(__xludf.DUMMYFUNCTION("""COMPUTED_VALUE"""),"0410-PLANTA DE AGUA ENVASADO")</f>
        <v>0410-PLANTA DE AGUA ENVASADO</v>
      </c>
      <c r="C38" s="5" t="str">
        <f ca="1">IFERROR(__xludf.DUMMYFUNCTION("""COMPUTED_VALUE"""),"TRATAMIENTO DE AGUA PARA ENVASADO")</f>
        <v>TRATAMIENTO DE AGUA PARA ENVASADO</v>
      </c>
      <c r="D38" s="5">
        <f ca="1">IFERROR(__xludf.DUMMYFUNCTION("""COMPUTED_VALUE"""),70948947)</f>
        <v>70948947</v>
      </c>
      <c r="E38" s="5" t="str">
        <f ca="1">IFERROR(__xludf.DUMMYFUNCTION("""COMPUTED_VALUE"""),"ESPESADOR DE LODOS - TRAT PRIM")</f>
        <v>ESPESADOR DE LODOS - TRAT PRIM</v>
      </c>
      <c r="F38" s="5">
        <f ca="1">IFERROR(__xludf.DUMMYFUNCTION("""COMPUTED_VALUE"""),31350)</f>
        <v>31350</v>
      </c>
      <c r="G38" s="5" t="str">
        <f ca="1">IFERROR(__xludf.DUMMYFUNCTION("""COMPUTED_VALUE"""),"PLAN MTTO MEC ESPESADOR DE LODOS - TRAT")</f>
        <v>PLAN MTTO MEC ESPESADOR DE LODOS - TRAT</v>
      </c>
      <c r="H38" s="5">
        <f ca="1">IFERROR(__xludf.DUMMYFUNCTION("""COMPUTED_VALUE"""),13207483)</f>
        <v>13207483</v>
      </c>
      <c r="I38" s="5" t="str">
        <f ca="1">IFERROR(__xludf.DUMMYFUNCTION("""COMPUTED_VALUE"""),"LIMPIAR SUCCION BOMBAS TORNILLO")</f>
        <v>LIMPIAR SUCCION BOMBAS TORNILLO</v>
      </c>
      <c r="J38" s="5" t="str">
        <f ca="1">IFERROR(__xludf.DUMMYFUNCTION("""COMPUTED_VALUE"""),"ALTO")</f>
        <v>ALTO</v>
      </c>
      <c r="K38" s="5" t="str">
        <f ca="1">IFERROR(__xludf.DUMMYFUNCTION("""COMPUTED_VALUE"""),"Preventivo")</f>
        <v>Preventivo</v>
      </c>
      <c r="L38" s="5" t="str">
        <f ca="1">IFERROR(__xludf.DUMMYFUNCTION("""COMPUTED_VALUE"""),"Maquinaria")</f>
        <v>Maquinaria</v>
      </c>
      <c r="M38" s="5" t="str">
        <f ca="1">IFERROR(__xludf.DUMMYFUNCTION("""COMPUTED_VALUE"""),"No")</f>
        <v>No</v>
      </c>
      <c r="N38" s="5"/>
      <c r="O38" s="5"/>
      <c r="P38" s="18">
        <f ca="1">IFERROR(__xludf.DUMMYFUNCTION("""COMPUTED_VALUE"""),45344)</f>
        <v>45344</v>
      </c>
      <c r="Q38" s="18">
        <f ca="1">IFERROR(__xludf.DUMMYFUNCTION("""COMPUTED_VALUE"""),45344)</f>
        <v>45344</v>
      </c>
      <c r="R38" s="18"/>
      <c r="S38" s="5">
        <f ca="1">IFERROR(__xludf.DUMMYFUNCTION("""COMPUTED_VALUE"""),4)</f>
        <v>4</v>
      </c>
      <c r="T38" s="5"/>
      <c r="U38" s="5" t="str">
        <f ca="1">IFERROR(__xludf.DUMMYFUNCTION("""COMPUTED_VALUE"""),"Guzman Palechor Miguel Angel")</f>
        <v>Guzman Palechor Miguel Angel</v>
      </c>
      <c r="V38" s="5"/>
      <c r="W38" s="5" t="str">
        <f ca="1">IFERROR(__xludf.DUMMYFUNCTION("""COMPUTED_VALUE"""),"NTcEVfMR0dc")</f>
        <v>NTcEVfMR0dc</v>
      </c>
      <c r="X38" s="5">
        <f ca="1">IFERROR(__xludf.DUMMYFUNCTION("""COMPUTED_VALUE"""),4)</f>
        <v>4</v>
      </c>
      <c r="Y38" s="5" t="str">
        <f t="shared" si="0"/>
        <v>Actividad sin realizar</v>
      </c>
      <c r="Z38" s="3">
        <f ca="1">IFERROR(VLOOKUP(U38, 'Base de datos'!A:B, 2, FALSE), "")</f>
        <v>573112422176</v>
      </c>
      <c r="AA38" s="4" t="e">
        <f t="shared" ca="1" si="1"/>
        <v>#NAME?</v>
      </c>
    </row>
    <row r="39" spans="1:27" ht="15.75" customHeight="1">
      <c r="A39" s="5" t="str">
        <f ca="1">IFERROR(__xludf.DUMMYFUNCTION("""COMPUTED_VALUE"""),"POSTOBÓN YUMBO")</f>
        <v>POSTOBÓN YUMBO</v>
      </c>
      <c r="B39" s="5" t="str">
        <f ca="1">IFERROR(__xludf.DUMMYFUNCTION("""COMPUTED_VALUE"""),"0410-EQUIPOS AUXILIARES")</f>
        <v>0410-EQUIPOS AUXILIARES</v>
      </c>
      <c r="C39" s="5" t="str">
        <f ca="1">IFERROR(__xludf.DUMMYFUNCTION("""COMPUTED_VALUE"""),"EQUIPOS PARA SERVICIOS INDUSTRIALES")</f>
        <v>EQUIPOS PARA SERVICIOS INDUSTRIALES</v>
      </c>
      <c r="D39" s="5">
        <f ca="1">IFERROR(__xludf.DUMMYFUNCTION("""COMPUTED_VALUE"""),649544)</f>
        <v>649544</v>
      </c>
      <c r="E39" s="5" t="str">
        <f ca="1">IFERROR(__xludf.DUMMYFUNCTION("""COMPUTED_VALUE"""),"COMPRESOR AIRE 3")</f>
        <v>COMPRESOR AIRE 3</v>
      </c>
      <c r="F39" s="5">
        <f ca="1">IFERROR(__xludf.DUMMYFUNCTION("""COMPUTED_VALUE"""),22534)</f>
        <v>22534</v>
      </c>
      <c r="G39" s="5" t="str">
        <f ca="1">IFERROR(__xludf.DUMMYFUNCTION("""COMPUTED_VALUE"""),"PLAN MTTO MEC COMPRESOR AIRE SIERRA 3")</f>
        <v>PLAN MTTO MEC COMPRESOR AIRE SIERRA 3</v>
      </c>
      <c r="H39" s="5">
        <f ca="1">IFERROR(__xludf.DUMMYFUNCTION("""COMPUTED_VALUE"""),13207428)</f>
        <v>13207428</v>
      </c>
      <c r="I39" s="5" t="str">
        <f ca="1">IFERROR(__xludf.DUMMYFUNCTION("""COMPUTED_VALUE"""),"MTTO SERVICIO EXTERNO")</f>
        <v>MTTO SERVICIO EXTERNO</v>
      </c>
      <c r="J39" s="5" t="str">
        <f ca="1">IFERROR(__xludf.DUMMYFUNCTION("""COMPUTED_VALUE"""),"MEDIO")</f>
        <v>MEDIO</v>
      </c>
      <c r="K39" s="5" t="str">
        <f ca="1">IFERROR(__xludf.DUMMYFUNCTION("""COMPUTED_VALUE"""),"Preventivo")</f>
        <v>Preventivo</v>
      </c>
      <c r="L39" s="5" t="str">
        <f ca="1">IFERROR(__xludf.DUMMYFUNCTION("""COMPUTED_VALUE"""),"Maquinaria")</f>
        <v>Maquinaria</v>
      </c>
      <c r="M39" s="5" t="str">
        <f ca="1">IFERROR(__xludf.DUMMYFUNCTION("""COMPUTED_VALUE"""),"No")</f>
        <v>No</v>
      </c>
      <c r="N39" s="5"/>
      <c r="O39" s="5"/>
      <c r="P39" s="18">
        <f ca="1">IFERROR(__xludf.DUMMYFUNCTION("""COMPUTED_VALUE"""),45336)</f>
        <v>45336</v>
      </c>
      <c r="Q39" s="18">
        <f ca="1">IFERROR(__xludf.DUMMYFUNCTION("""COMPUTED_VALUE"""),45336)</f>
        <v>45336</v>
      </c>
      <c r="R39" s="18"/>
      <c r="S39" s="5">
        <f ca="1">IFERROR(__xludf.DUMMYFUNCTION("""COMPUTED_VALUE"""),4)</f>
        <v>4</v>
      </c>
      <c r="T39" s="5"/>
      <c r="U39" s="5" t="str">
        <f ca="1">IFERROR(__xludf.DUMMYFUNCTION("""COMPUTED_VALUE"""),"MARIO ALBERTO MARTÍNEZ MORA")</f>
        <v>MARIO ALBERTO MARTÍNEZ MORA</v>
      </c>
      <c r="V39" s="5"/>
      <c r="W39" s="5" t="str">
        <f ca="1">IFERROR(__xludf.DUMMYFUNCTION("""COMPUTED_VALUE"""),"jMKIW3MwyKc")</f>
        <v>jMKIW3MwyKc</v>
      </c>
      <c r="X39" s="5">
        <f ca="1">IFERROR(__xludf.DUMMYFUNCTION("""COMPUTED_VALUE"""),4)</f>
        <v>4</v>
      </c>
      <c r="Y39" s="5" t="str">
        <f t="shared" si="0"/>
        <v>Actividad sin realizar</v>
      </c>
      <c r="Z39" s="3">
        <f ca="1">IFERROR(VLOOKUP(U39, 'Base de datos'!A:B, 2, FALSE), "")</f>
        <v>573116493969</v>
      </c>
      <c r="AA39" s="4" t="e">
        <f t="shared" ca="1" si="1"/>
        <v>#NAME?</v>
      </c>
    </row>
    <row r="40" spans="1:27" ht="15.75" customHeight="1">
      <c r="A40" s="5" t="str">
        <f ca="1">IFERROR(__xludf.DUMMYFUNCTION("""COMPUTED_VALUE"""),"POSTOBÓN YUMBO")</f>
        <v>POSTOBÓN YUMBO</v>
      </c>
      <c r="B40" s="5" t="str">
        <f ca="1">IFERROR(__xludf.DUMMYFUNCTION("""COMPUTED_VALUE"""),"0410-EQUIPOS AUXILIARES JUGOS")</f>
        <v>0410-EQUIPOS AUXILIARES JUGOS</v>
      </c>
      <c r="C40" s="5" t="str">
        <f ca="1">IFERROR(__xludf.DUMMYFUNCTION("""COMPUTED_VALUE"""),"EQUIPOS PARA SERVICIOS INDUSTRIALES JUGO")</f>
        <v>EQUIPOS PARA SERVICIOS INDUSTRIALES JUGO</v>
      </c>
      <c r="D40" s="5">
        <f ca="1">IFERROR(__xludf.DUMMYFUNCTION("""COMPUTED_VALUE"""),638563)</f>
        <v>638563</v>
      </c>
      <c r="E40" s="5" t="str">
        <f ca="1">IFERROR(__xludf.DUMMYFUNCTION("""COMPUTED_VALUE"""),"CONDENSADOR EVAPORATIIVO JUGOS")</f>
        <v>CONDENSADOR EVAPORATIIVO JUGOS</v>
      </c>
      <c r="F40" s="5">
        <f ca="1">IFERROR(__xludf.DUMMYFUNCTION("""COMPUTED_VALUE"""),21702)</f>
        <v>21702</v>
      </c>
      <c r="G40" s="5" t="str">
        <f ca="1">IFERROR(__xludf.DUMMYFUNCTION("""COMPUTED_VALUE"""),"PLAN MTTO MEC CONDENSADOR EVAP JUGOS")</f>
        <v>PLAN MTTO MEC CONDENSADOR EVAP JUGOS</v>
      </c>
      <c r="H40" s="5">
        <f ca="1">IFERROR(__xludf.DUMMYFUNCTION("""COMPUTED_VALUE"""),13193545)</f>
        <v>13193545</v>
      </c>
      <c r="I40" s="5" t="str">
        <f ca="1">IFERROR(__xludf.DUMMYFUNCTION("""COMPUTED_VALUE"""),"Cambio total de agua y limpieza Gral")</f>
        <v>Cambio total de agua y limpieza Gral</v>
      </c>
      <c r="J40" s="5" t="str">
        <f ca="1">IFERROR(__xludf.DUMMYFUNCTION("""COMPUTED_VALUE"""),"MEDIO")</f>
        <v>MEDIO</v>
      </c>
      <c r="K40" s="5" t="str">
        <f ca="1">IFERROR(__xludf.DUMMYFUNCTION("""COMPUTED_VALUE"""),"Preventivo")</f>
        <v>Preventivo</v>
      </c>
      <c r="L40" s="5" t="str">
        <f ca="1">IFERROR(__xludf.DUMMYFUNCTION("""COMPUTED_VALUE"""),"Maquinaria")</f>
        <v>Maquinaria</v>
      </c>
      <c r="M40" s="5" t="str">
        <f ca="1">IFERROR(__xludf.DUMMYFUNCTION("""COMPUTED_VALUE"""),"No")</f>
        <v>No</v>
      </c>
      <c r="N40" s="5"/>
      <c r="O40" s="5"/>
      <c r="P40" s="18">
        <f ca="1">IFERROR(__xludf.DUMMYFUNCTION("""COMPUTED_VALUE"""),45326)</f>
        <v>45326</v>
      </c>
      <c r="Q40" s="18">
        <f ca="1">IFERROR(__xludf.DUMMYFUNCTION("""COMPUTED_VALUE"""),45326)</f>
        <v>45326</v>
      </c>
      <c r="R40" s="18"/>
      <c r="S40" s="5">
        <f ca="1">IFERROR(__xludf.DUMMYFUNCTION("""COMPUTED_VALUE"""),7)</f>
        <v>7</v>
      </c>
      <c r="T40" s="5"/>
      <c r="U40" s="5" t="str">
        <f ca="1">IFERROR(__xludf.DUMMYFUNCTION("""COMPUTED_VALUE"""),"Lopez Raul")</f>
        <v>Lopez Raul</v>
      </c>
      <c r="V40" s="5"/>
      <c r="W40" s="5" t="str">
        <f ca="1">IFERROR(__xludf.DUMMYFUNCTION("""COMPUTED_VALUE"""),"qwe83j6a00w")</f>
        <v>qwe83j6a00w</v>
      </c>
      <c r="X40" s="5">
        <f ca="1">IFERROR(__xludf.DUMMYFUNCTION("""COMPUTED_VALUE"""),7)</f>
        <v>7</v>
      </c>
      <c r="Y40" s="5" t="str">
        <f t="shared" si="0"/>
        <v>Actividad sin realizar</v>
      </c>
      <c r="Z40" s="3">
        <f ca="1">IFERROR(VLOOKUP(U40, 'Base de datos'!A:B, 2, FALSE), "")</f>
        <v>573122172129</v>
      </c>
      <c r="AA40" s="4" t="e">
        <f t="shared" ca="1" si="1"/>
        <v>#NAME?</v>
      </c>
    </row>
    <row r="41" spans="1:27" ht="15.75" customHeight="1">
      <c r="A41" s="5" t="str">
        <f ca="1">IFERROR(__xludf.DUMMYFUNCTION("""COMPUTED_VALUE"""),"POSTOBÓN YUMBO")</f>
        <v>POSTOBÓN YUMBO</v>
      </c>
      <c r="B41" s="5" t="str">
        <f ca="1">IFERROR(__xludf.DUMMYFUNCTION("""COMPUTED_VALUE"""),"0410-LINEA 1")</f>
        <v>0410-LINEA 1</v>
      </c>
      <c r="C41" s="5" t="str">
        <f ca="1">IFERROR(__xludf.DUMMYFUNCTION("""COMPUTED_VALUE"""),"LINEA DE ENVASADO PET NO RETORNABLE")</f>
        <v>LINEA DE ENVASADO PET NO RETORNABLE</v>
      </c>
      <c r="D41" s="5">
        <f ca="1">IFERROR(__xludf.DUMMYFUNCTION("""COMPUTED_VALUE"""),900233)</f>
        <v>900233</v>
      </c>
      <c r="E41" s="5" t="str">
        <f ca="1">IFERROR(__xludf.DUMMYFUNCTION("""COMPUTED_VALUE"""),"ENVOLVEDORA-ROBOPAC")</f>
        <v>ENVOLVEDORA-ROBOPAC</v>
      </c>
      <c r="F41" s="5">
        <f ca="1">IFERROR(__xludf.DUMMYFUNCTION("""COMPUTED_VALUE"""),22513)</f>
        <v>22513</v>
      </c>
      <c r="G41" s="5" t="str">
        <f ca="1">IFERROR(__xludf.DUMMYFUNCTION("""COMPUTED_VALUE"""),"PLAN MTTO MEC ENVOLVEDORA DE FILM 900233")</f>
        <v>PLAN MTTO MEC ENVOLVEDORA DE FILM 900233</v>
      </c>
      <c r="H41" s="5">
        <f ca="1">IFERROR(__xludf.DUMMYFUNCTION("""COMPUTED_VALUE"""),13135491)</f>
        <v>13135491</v>
      </c>
      <c r="I41" s="5" t="str">
        <f ca="1">IFERROR(__xludf.DUMMYFUNCTION("""COMPUTED_VALUE"""),"Cambio 2 chumaceras accionamiento ppal")</f>
        <v>Cambio 2 chumaceras accionamiento ppal</v>
      </c>
      <c r="J41" s="5" t="str">
        <f ca="1">IFERROR(__xludf.DUMMYFUNCTION("""COMPUTED_VALUE"""),"MEDIO")</f>
        <v>MEDIO</v>
      </c>
      <c r="K41" s="5" t="str">
        <f ca="1">IFERROR(__xludf.DUMMYFUNCTION("""COMPUTED_VALUE"""),"Preventivo")</f>
        <v>Preventivo</v>
      </c>
      <c r="L41" s="5" t="str">
        <f ca="1">IFERROR(__xludf.DUMMYFUNCTION("""COMPUTED_VALUE"""),"Maquinaria")</f>
        <v>Maquinaria</v>
      </c>
      <c r="M41" s="5" t="str">
        <f ca="1">IFERROR(__xludf.DUMMYFUNCTION("""COMPUTED_VALUE"""),"No")</f>
        <v>No</v>
      </c>
      <c r="N41" s="5"/>
      <c r="O41" s="5"/>
      <c r="P41" s="18">
        <f ca="1">IFERROR(__xludf.DUMMYFUNCTION("""COMPUTED_VALUE"""),45327)</f>
        <v>45327</v>
      </c>
      <c r="Q41" s="18">
        <f ca="1">IFERROR(__xludf.DUMMYFUNCTION("""COMPUTED_VALUE"""),45327)</f>
        <v>45327</v>
      </c>
      <c r="R41" s="18"/>
      <c r="S41" s="5">
        <f ca="1">IFERROR(__xludf.DUMMYFUNCTION("""COMPUTED_VALUE"""),8)</f>
        <v>8</v>
      </c>
      <c r="T41" s="5"/>
      <c r="U41" s="5" t="str">
        <f ca="1">IFERROR(__xludf.DUMMYFUNCTION("""COMPUTED_VALUE"""),"Héctor Toro")</f>
        <v>Héctor Toro</v>
      </c>
      <c r="V41" s="5"/>
      <c r="W41" s="5" t="str">
        <f ca="1">IFERROR(__xludf.DUMMYFUNCTION("""COMPUTED_VALUE"""),"BB97piTIgAI")</f>
        <v>BB97piTIgAI</v>
      </c>
      <c r="X41" s="5">
        <f ca="1">IFERROR(__xludf.DUMMYFUNCTION("""COMPUTED_VALUE"""),8)</f>
        <v>8</v>
      </c>
      <c r="Y41" s="5" t="str">
        <f t="shared" si="0"/>
        <v>Actividad sin realizar</v>
      </c>
      <c r="Z41" s="3">
        <f ca="1">IFERROR(VLOOKUP(U41, 'Base de datos'!A:B, 2, FALSE), "")</f>
        <v>573015223410</v>
      </c>
      <c r="AA41" s="4" t="e">
        <f t="shared" ca="1" si="1"/>
        <v>#NAME?</v>
      </c>
    </row>
    <row r="42" spans="1:27" ht="15.75" customHeight="1">
      <c r="A42" s="5" t="str">
        <f ca="1">IFERROR(__xludf.DUMMYFUNCTION("""COMPUTED_VALUE"""),"POSTOBÓN YUMBO")</f>
        <v>POSTOBÓN YUMBO</v>
      </c>
      <c r="B42" s="5" t="str">
        <f ca="1">IFERROR(__xludf.DUMMYFUNCTION("""COMPUTED_VALUE"""),"0410-LINEA 1")</f>
        <v>0410-LINEA 1</v>
      </c>
      <c r="C42" s="5" t="str">
        <f ca="1">IFERROR(__xludf.DUMMYFUNCTION("""COMPUTED_VALUE"""),"LINEA DE ENVASADO PET NO RETORNABLE")</f>
        <v>LINEA DE ENVASADO PET NO RETORNABLE</v>
      </c>
      <c r="D42" s="5">
        <f ca="1">IFERROR(__xludf.DUMMYFUNCTION("""COMPUTED_VALUE"""),820071)</f>
        <v>820071</v>
      </c>
      <c r="E42" s="5" t="str">
        <f ca="1">IFERROR(__xludf.DUMMYFUNCTION("""COMPUTED_VALUE"""),"ETIQUETADORA")</f>
        <v>ETIQUETADORA</v>
      </c>
      <c r="F42" s="5">
        <f ca="1">IFERROR(__xludf.DUMMYFUNCTION("""COMPUTED_VALUE"""),14083)</f>
        <v>14083</v>
      </c>
      <c r="G42" s="5" t="str">
        <f ca="1">IFERROR(__xludf.DUMMYFUNCTION("""COMPUTED_VALUE"""),"MTTO MEC ETIQUETADORA L1 820071")</f>
        <v>MTTO MEC ETIQUETADORA L1 820071</v>
      </c>
      <c r="H42" s="5">
        <f ca="1">IFERROR(__xludf.DUMMYFUNCTION("""COMPUTED_VALUE"""),13238371)</f>
        <v>13238371</v>
      </c>
      <c r="I42" s="5" t="str">
        <f ca="1">IFERROR(__xludf.DUMMYFUNCTION("""COMPUTED_VALUE"""),"Tambor de corte: Limpiar")</f>
        <v>Tambor de corte: Limpiar</v>
      </c>
      <c r="J42" s="5" t="str">
        <f ca="1">IFERROR(__xludf.DUMMYFUNCTION("""COMPUTED_VALUE"""),"MEDIO")</f>
        <v>MEDIO</v>
      </c>
      <c r="K42" s="5" t="str">
        <f ca="1">IFERROR(__xludf.DUMMYFUNCTION("""COMPUTED_VALUE"""),"Preventivo")</f>
        <v>Preventivo</v>
      </c>
      <c r="L42" s="5" t="str">
        <f ca="1">IFERROR(__xludf.DUMMYFUNCTION("""COMPUTED_VALUE"""),"Maquinaria")</f>
        <v>Maquinaria</v>
      </c>
      <c r="M42" s="5" t="str">
        <f ca="1">IFERROR(__xludf.DUMMYFUNCTION("""COMPUTED_VALUE"""),"No")</f>
        <v>No</v>
      </c>
      <c r="N42" s="5"/>
      <c r="O42" s="5"/>
      <c r="P42" s="18">
        <f ca="1">IFERROR(__xludf.DUMMYFUNCTION("""COMPUTED_VALUE"""),45334)</f>
        <v>45334</v>
      </c>
      <c r="Q42" s="18">
        <f ca="1">IFERROR(__xludf.DUMMYFUNCTION("""COMPUTED_VALUE"""),45334)</f>
        <v>45334</v>
      </c>
      <c r="R42" s="18"/>
      <c r="S42" s="5">
        <f ca="1">IFERROR(__xludf.DUMMYFUNCTION("""COMPUTED_VALUE"""),4)</f>
        <v>4</v>
      </c>
      <c r="T42" s="5"/>
      <c r="U42" s="5" t="str">
        <f ca="1">IFERROR(__xludf.DUMMYFUNCTION("""COMPUTED_VALUE"""),"Sanchez Rodriguez Gerson Andres")</f>
        <v>Sanchez Rodriguez Gerson Andres</v>
      </c>
      <c r="V42" s="5"/>
      <c r="W42" s="5" t="str">
        <f ca="1">IFERROR(__xludf.DUMMYFUNCTION("""COMPUTED_VALUE"""),"uElsdMHTEBg")</f>
        <v>uElsdMHTEBg</v>
      </c>
      <c r="X42" s="5">
        <f ca="1">IFERROR(__xludf.DUMMYFUNCTION("""COMPUTED_VALUE"""),4)</f>
        <v>4</v>
      </c>
      <c r="Y42" s="5" t="str">
        <f t="shared" si="0"/>
        <v>Actividad sin realizar</v>
      </c>
      <c r="Z42" s="3">
        <f ca="1">IFERROR(VLOOKUP(U42, 'Base de datos'!A:B, 2, FALSE), "")</f>
        <v>573112884549</v>
      </c>
      <c r="AA42" s="4" t="e">
        <f t="shared" ca="1" si="1"/>
        <v>#NAME?</v>
      </c>
    </row>
    <row r="43" spans="1:27" ht="15.75" customHeight="1">
      <c r="A43" s="5" t="str">
        <f ca="1">IFERROR(__xludf.DUMMYFUNCTION("""COMPUTED_VALUE"""),"POSTOBÓN YUMBO")</f>
        <v>POSTOBÓN YUMBO</v>
      </c>
      <c r="B43" s="5" t="str">
        <f ca="1">IFERROR(__xludf.DUMMYFUNCTION("""COMPUTED_VALUE"""),"0410-LINEA 3")</f>
        <v>0410-LINEA 3</v>
      </c>
      <c r="C43" s="5" t="str">
        <f ca="1">IFERROR(__xludf.DUMMYFUNCTION("""COMPUTED_VALUE"""),"LINEA DE ENVASADO TAMAÑO PERSONAL")</f>
        <v>LINEA DE ENVASADO TAMAÑO PERSONAL</v>
      </c>
      <c r="D43" s="5">
        <f ca="1">IFERROR(__xludf.DUMMYFUNCTION("""COMPUTED_VALUE"""),558020)</f>
        <v>558020</v>
      </c>
      <c r="E43" s="5" t="str">
        <f ca="1">IFERROR(__xludf.DUMMYFUNCTION("""COMPUTED_VALUE"""),"EMPACADORA")</f>
        <v>EMPACADORA</v>
      </c>
      <c r="F43" s="5">
        <f ca="1">IFERROR(__xludf.DUMMYFUNCTION("""COMPUTED_VALUE"""),22604)</f>
        <v>22604</v>
      </c>
      <c r="G43" s="5" t="str">
        <f ca="1">IFERROR(__xludf.DUMMYFUNCTION("""COMPUTED_VALUE"""),"PLAN MTTO ELE EMPACADORA 558020 L3")</f>
        <v>PLAN MTTO ELE EMPACADORA 558020 L3</v>
      </c>
      <c r="H43" s="5">
        <f ca="1">IFERROR(__xludf.DUMMYFUNCTION("""COMPUTED_VALUE"""),13226527)</f>
        <v>13226527</v>
      </c>
      <c r="I43" s="5" t="str">
        <f ca="1">IFERROR(__xludf.DUMMYFUNCTION("""COMPUTED_VALUE"""),"Tablero Gral Operador")</f>
        <v>Tablero Gral Operador</v>
      </c>
      <c r="J43" s="5" t="str">
        <f ca="1">IFERROR(__xludf.DUMMYFUNCTION("""COMPUTED_VALUE"""),"MEDIO")</f>
        <v>MEDIO</v>
      </c>
      <c r="K43" s="5" t="str">
        <f ca="1">IFERROR(__xludf.DUMMYFUNCTION("""COMPUTED_VALUE"""),"Preventivo")</f>
        <v>Preventivo</v>
      </c>
      <c r="L43" s="5" t="str">
        <f ca="1">IFERROR(__xludf.DUMMYFUNCTION("""COMPUTED_VALUE"""),"Maquinaria")</f>
        <v>Maquinaria</v>
      </c>
      <c r="M43" s="5" t="str">
        <f ca="1">IFERROR(__xludf.DUMMYFUNCTION("""COMPUTED_VALUE"""),"No")</f>
        <v>No</v>
      </c>
      <c r="N43" s="5"/>
      <c r="O43" s="5"/>
      <c r="P43" s="18">
        <f ca="1">IFERROR(__xludf.DUMMYFUNCTION("""COMPUTED_VALUE"""),45327)</f>
        <v>45327</v>
      </c>
      <c r="Q43" s="18">
        <f ca="1">IFERROR(__xludf.DUMMYFUNCTION("""COMPUTED_VALUE"""),45327)</f>
        <v>45327</v>
      </c>
      <c r="R43" s="18"/>
      <c r="S43" s="5">
        <f ca="1">IFERROR(__xludf.DUMMYFUNCTION("""COMPUTED_VALUE"""),4)</f>
        <v>4</v>
      </c>
      <c r="T43" s="5"/>
      <c r="U43" s="5" t="str">
        <f ca="1">IFERROR(__xludf.DUMMYFUNCTION("""COMPUTED_VALUE"""),"Jimenez Jhon")</f>
        <v>Jimenez Jhon</v>
      </c>
      <c r="V43" s="5"/>
      <c r="W43" s="5" t="str">
        <f ca="1">IFERROR(__xludf.DUMMYFUNCTION("""COMPUTED_VALUE"""),"3fhuAEAitMU")</f>
        <v>3fhuAEAitMU</v>
      </c>
      <c r="X43" s="5">
        <f ca="1">IFERROR(__xludf.DUMMYFUNCTION("""COMPUTED_VALUE"""),4)</f>
        <v>4</v>
      </c>
      <c r="Y43" s="5" t="str">
        <f t="shared" si="0"/>
        <v>Actividad sin realizar</v>
      </c>
      <c r="Z43" s="3">
        <f ca="1">IFERROR(VLOOKUP(U43, 'Base de datos'!A:B, 2, FALSE), "")</f>
        <v>573147637946</v>
      </c>
      <c r="AA43" s="4" t="e">
        <f t="shared" ca="1" si="1"/>
        <v>#NAME?</v>
      </c>
    </row>
    <row r="44" spans="1:27" ht="15.75" customHeight="1">
      <c r="A44" s="5" t="str">
        <f ca="1">IFERROR(__xludf.DUMMYFUNCTION("""COMPUTED_VALUE"""),"POSTOBÓN YUMBO")</f>
        <v>POSTOBÓN YUMBO</v>
      </c>
      <c r="B44" s="5" t="str">
        <f ca="1">IFERROR(__xludf.DUMMYFUNCTION("""COMPUTED_VALUE"""),"0410-LINEA 3")</f>
        <v>0410-LINEA 3</v>
      </c>
      <c r="C44" s="5" t="str">
        <f ca="1">IFERROR(__xludf.DUMMYFUNCTION("""COMPUTED_VALUE"""),"LINEA DE ENVASADO TAMAÑO PERSONAL")</f>
        <v>LINEA DE ENVASADO TAMAÑO PERSONAL</v>
      </c>
      <c r="D44" s="5">
        <f ca="1">IFERROR(__xludf.DUMMYFUNCTION("""COMPUTED_VALUE"""),558020)</f>
        <v>558020</v>
      </c>
      <c r="E44" s="5" t="str">
        <f ca="1">IFERROR(__xludf.DUMMYFUNCTION("""COMPUTED_VALUE"""),"EMPACADORA")</f>
        <v>EMPACADORA</v>
      </c>
      <c r="F44" s="5">
        <f ca="1">IFERROR(__xludf.DUMMYFUNCTION("""COMPUTED_VALUE"""),22604)</f>
        <v>22604</v>
      </c>
      <c r="G44" s="5" t="str">
        <f ca="1">IFERROR(__xludf.DUMMYFUNCTION("""COMPUTED_VALUE"""),"PLAN MTTO MEC EMPACADORA 558020 L3")</f>
        <v>PLAN MTTO MEC EMPACADORA 558020 L3</v>
      </c>
      <c r="H44" s="5">
        <f ca="1">IFERROR(__xludf.DUMMYFUNCTION("""COMPUTED_VALUE"""),13226526)</f>
        <v>13226526</v>
      </c>
      <c r="I44" s="5" t="str">
        <f ca="1">IFERROR(__xludf.DUMMYFUNCTION("""COMPUTED_VALUE"""),"Revision Sistema Neumaticos")</f>
        <v>Revision Sistema Neumaticos</v>
      </c>
      <c r="J44" s="5" t="str">
        <f ca="1">IFERROR(__xludf.DUMMYFUNCTION("""COMPUTED_VALUE"""),"MEDIO")</f>
        <v>MEDIO</v>
      </c>
      <c r="K44" s="5" t="str">
        <f ca="1">IFERROR(__xludf.DUMMYFUNCTION("""COMPUTED_VALUE"""),"Preventivo")</f>
        <v>Preventivo</v>
      </c>
      <c r="L44" s="5" t="str">
        <f ca="1">IFERROR(__xludf.DUMMYFUNCTION("""COMPUTED_VALUE"""),"Maquinaria")</f>
        <v>Maquinaria</v>
      </c>
      <c r="M44" s="5" t="str">
        <f ca="1">IFERROR(__xludf.DUMMYFUNCTION("""COMPUTED_VALUE"""),"No")</f>
        <v>No</v>
      </c>
      <c r="N44" s="5"/>
      <c r="O44" s="5"/>
      <c r="P44" s="18">
        <f ca="1">IFERROR(__xludf.DUMMYFUNCTION("""COMPUTED_VALUE"""),45327)</f>
        <v>45327</v>
      </c>
      <c r="Q44" s="18">
        <f ca="1">IFERROR(__xludf.DUMMYFUNCTION("""COMPUTED_VALUE"""),45327)</f>
        <v>45327</v>
      </c>
      <c r="R44" s="18"/>
      <c r="S44" s="5">
        <f ca="1">IFERROR(__xludf.DUMMYFUNCTION("""COMPUTED_VALUE"""),4)</f>
        <v>4</v>
      </c>
      <c r="T44" s="5"/>
      <c r="U44" s="5" t="str">
        <f ca="1">IFERROR(__xludf.DUMMYFUNCTION("""COMPUTED_VALUE"""),"Jimenez Jhon")</f>
        <v>Jimenez Jhon</v>
      </c>
      <c r="V44" s="5"/>
      <c r="W44" s="5" t="str">
        <f ca="1">IFERROR(__xludf.DUMMYFUNCTION("""COMPUTED_VALUE"""),"7phTOXEUrlg")</f>
        <v>7phTOXEUrlg</v>
      </c>
      <c r="X44" s="5">
        <f ca="1">IFERROR(__xludf.DUMMYFUNCTION("""COMPUTED_VALUE"""),4)</f>
        <v>4</v>
      </c>
      <c r="Y44" s="5" t="str">
        <f t="shared" si="0"/>
        <v>Actividad sin realizar</v>
      </c>
      <c r="Z44" s="3">
        <f ca="1">IFERROR(VLOOKUP(U44, 'Base de datos'!A:B, 2, FALSE), "")</f>
        <v>573147637946</v>
      </c>
      <c r="AA44" s="4" t="e">
        <f t="shared" ca="1" si="1"/>
        <v>#NAME?</v>
      </c>
    </row>
    <row r="45" spans="1:27" ht="15.75" customHeight="1">
      <c r="A45" s="5" t="str">
        <f ca="1">IFERROR(__xludf.DUMMYFUNCTION("""COMPUTED_VALUE"""),"POSTOBÓN YUMBO")</f>
        <v>POSTOBÓN YUMBO</v>
      </c>
      <c r="B45" s="5" t="str">
        <f ca="1">IFERROR(__xludf.DUMMYFUNCTION("""COMPUTED_VALUE"""),"0410-LINEA 3")</f>
        <v>0410-LINEA 3</v>
      </c>
      <c r="C45" s="5" t="str">
        <f ca="1">IFERROR(__xludf.DUMMYFUNCTION("""COMPUTED_VALUE"""),"LINEA DE ENVASADO TAMAÑO PERSONAL")</f>
        <v>LINEA DE ENVASADO TAMAÑO PERSONAL</v>
      </c>
      <c r="D45" s="5">
        <f ca="1">IFERROR(__xludf.DUMMYFUNCTION("""COMPUTED_VALUE"""),828592)</f>
        <v>828592</v>
      </c>
      <c r="E45" s="5" t="str">
        <f ca="1">IFERROR(__xludf.DUMMYFUNCTION("""COMPUTED_VALUE"""),"LLENADORA")</f>
        <v>LLENADORA</v>
      </c>
      <c r="F45" s="5">
        <f ca="1">IFERROR(__xludf.DUMMYFUNCTION("""COMPUTED_VALUE"""),5821)</f>
        <v>5821</v>
      </c>
      <c r="G45" s="5" t="str">
        <f ca="1">IFERROR(__xludf.DUMMYFUNCTION("""COMPUTED_VALUE"""),"Mantto Electr panel de control Llenadora")</f>
        <v>Mantto Electr panel de control Llenadora</v>
      </c>
      <c r="H45" s="5">
        <f ca="1">IFERROR(__xludf.DUMMYFUNCTION("""COMPUTED_VALUE"""),13247121)</f>
        <v>13247121</v>
      </c>
      <c r="I45" s="5" t="str">
        <f ca="1">IFERROR(__xludf.DUMMYFUNCTION("""COMPUTED_VALUE"""),"revision y ajuste de panel de control.")</f>
        <v>revision y ajuste de panel de control.</v>
      </c>
      <c r="J45" s="5" t="str">
        <f ca="1">IFERROR(__xludf.DUMMYFUNCTION("""COMPUTED_VALUE"""),"ALTO")</f>
        <v>ALTO</v>
      </c>
      <c r="K45" s="5" t="str">
        <f ca="1">IFERROR(__xludf.DUMMYFUNCTION("""COMPUTED_VALUE"""),"Preventivo")</f>
        <v>Preventivo</v>
      </c>
      <c r="L45" s="5" t="str">
        <f ca="1">IFERROR(__xludf.DUMMYFUNCTION("""COMPUTED_VALUE"""),"Maquinaria")</f>
        <v>Maquinaria</v>
      </c>
      <c r="M45" s="5" t="str">
        <f ca="1">IFERROR(__xludf.DUMMYFUNCTION("""COMPUTED_VALUE"""),"No")</f>
        <v>No</v>
      </c>
      <c r="N45" s="5"/>
      <c r="O45" s="5"/>
      <c r="P45" s="18">
        <f ca="1">IFERROR(__xludf.DUMMYFUNCTION("""COMPUTED_VALUE"""),45324)</f>
        <v>45324</v>
      </c>
      <c r="Q45" s="18">
        <f ca="1">IFERROR(__xludf.DUMMYFUNCTION("""COMPUTED_VALUE"""),45324)</f>
        <v>45324</v>
      </c>
      <c r="R45" s="18"/>
      <c r="S45" s="5">
        <f ca="1">IFERROR(__xludf.DUMMYFUNCTION("""COMPUTED_VALUE"""),4)</f>
        <v>4</v>
      </c>
      <c r="T45" s="5"/>
      <c r="U45" s="5" t="str">
        <f ca="1">IFERROR(__xludf.DUMMYFUNCTION("""COMPUTED_VALUE"""),"Jimenez Jhon")</f>
        <v>Jimenez Jhon</v>
      </c>
      <c r="V45" s="5"/>
      <c r="W45" s="5" t="str">
        <f ca="1">IFERROR(__xludf.DUMMYFUNCTION("""COMPUTED_VALUE"""),"UrgvFE54Rbg")</f>
        <v>UrgvFE54Rbg</v>
      </c>
      <c r="X45" s="5">
        <f ca="1">IFERROR(__xludf.DUMMYFUNCTION("""COMPUTED_VALUE"""),4)</f>
        <v>4</v>
      </c>
      <c r="Y45" s="5" t="str">
        <f t="shared" si="0"/>
        <v>Actividad sin realizar</v>
      </c>
      <c r="Z45" s="3">
        <f ca="1">IFERROR(VLOOKUP(U45, 'Base de datos'!A:B, 2, FALSE), "")</f>
        <v>573147637946</v>
      </c>
      <c r="AA45" s="4" t="e">
        <f t="shared" ca="1" si="1"/>
        <v>#NAME?</v>
      </c>
    </row>
    <row r="46" spans="1:27" ht="15.75" customHeight="1">
      <c r="A46" s="5" t="str">
        <f ca="1">IFERROR(__xludf.DUMMYFUNCTION("""COMPUTED_VALUE"""),"POSTOBÓN YUMBO")</f>
        <v>POSTOBÓN YUMBO</v>
      </c>
      <c r="B46" s="5" t="str">
        <f ca="1">IFERROR(__xludf.DUMMYFUNCTION("""COMPUTED_VALUE"""),"0410-LINEA 3")</f>
        <v>0410-LINEA 3</v>
      </c>
      <c r="C46" s="5" t="str">
        <f ca="1">IFERROR(__xludf.DUMMYFUNCTION("""COMPUTED_VALUE"""),"LINEA DE ENVASADO TAMAÑO PERSONAL")</f>
        <v>LINEA DE ENVASADO TAMAÑO PERSONAL</v>
      </c>
      <c r="D46" s="5">
        <f ca="1">IFERROR(__xludf.DUMMYFUNCTION("""COMPUTED_VALUE"""),900235)</f>
        <v>900235</v>
      </c>
      <c r="E46" s="5" t="str">
        <f ca="1">IFERROR(__xludf.DUMMYFUNCTION("""COMPUTED_VALUE"""),"PROCESADOR DE BEBIDA")</f>
        <v>PROCESADOR DE BEBIDA</v>
      </c>
      <c r="F46" s="5">
        <f ca="1">IFERROR(__xludf.DUMMYFUNCTION("""COMPUTED_VALUE"""),17381)</f>
        <v>17381</v>
      </c>
      <c r="G46" s="5" t="str">
        <f ca="1">IFERROR(__xludf.DUMMYFUNCTION("""COMPUTED_VALUE"""),"MTTO ELEC CONTIFLOW L3 900235")</f>
        <v>MTTO ELEC CONTIFLOW L3 900235</v>
      </c>
      <c r="H46" s="5">
        <f ca="1">IFERROR(__xludf.DUMMYFUNCTION("""COMPUTED_VALUE"""),13247177)</f>
        <v>13247177</v>
      </c>
      <c r="I46" s="5" t="str">
        <f ca="1">IFERROR(__xludf.DUMMYFUNCTION("""COMPUTED_VALUE"""),"ANTON PAAR - mPDS 2000 V3 revisar si hay")</f>
        <v>ANTON PAAR - mPDS 2000 V3 revisar si hay</v>
      </c>
      <c r="J46" s="5" t="str">
        <f ca="1">IFERROR(__xludf.DUMMYFUNCTION("""COMPUTED_VALUE"""),"ALTO")</f>
        <v>ALTO</v>
      </c>
      <c r="K46" s="5" t="str">
        <f ca="1">IFERROR(__xludf.DUMMYFUNCTION("""COMPUTED_VALUE"""),"Preventivo")</f>
        <v>Preventivo</v>
      </c>
      <c r="L46" s="5" t="str">
        <f ca="1">IFERROR(__xludf.DUMMYFUNCTION("""COMPUTED_VALUE"""),"Maquinaria")</f>
        <v>Maquinaria</v>
      </c>
      <c r="M46" s="5" t="str">
        <f ca="1">IFERROR(__xludf.DUMMYFUNCTION("""COMPUTED_VALUE"""),"No")</f>
        <v>No</v>
      </c>
      <c r="N46" s="5"/>
      <c r="O46" s="5"/>
      <c r="P46" s="18">
        <f ca="1">IFERROR(__xludf.DUMMYFUNCTION("""COMPUTED_VALUE"""),45324)</f>
        <v>45324</v>
      </c>
      <c r="Q46" s="18">
        <f ca="1">IFERROR(__xludf.DUMMYFUNCTION("""COMPUTED_VALUE"""),45324)</f>
        <v>45324</v>
      </c>
      <c r="R46" s="18"/>
      <c r="S46" s="5">
        <f ca="1">IFERROR(__xludf.DUMMYFUNCTION("""COMPUTED_VALUE"""),2)</f>
        <v>2</v>
      </c>
      <c r="T46" s="5"/>
      <c r="U46" s="5" t="str">
        <f ca="1">IFERROR(__xludf.DUMMYFUNCTION("""COMPUTED_VALUE"""),"Paz Paz Jhon Estiven")</f>
        <v>Paz Paz Jhon Estiven</v>
      </c>
      <c r="V46" s="5"/>
      <c r="W46" s="5" t="str">
        <f ca="1">IFERROR(__xludf.DUMMYFUNCTION("""COMPUTED_VALUE"""),"VfjzXCzYlk8")</f>
        <v>VfjzXCzYlk8</v>
      </c>
      <c r="X46" s="5">
        <f ca="1">IFERROR(__xludf.DUMMYFUNCTION("""COMPUTED_VALUE"""),2)</f>
        <v>2</v>
      </c>
      <c r="Y46" s="5" t="str">
        <f t="shared" si="0"/>
        <v>Actividad sin realizar</v>
      </c>
      <c r="Z46" s="3">
        <f ca="1">IFERROR(VLOOKUP(U46, 'Base de datos'!A:B, 2, FALSE), "")</f>
        <v>573117137924</v>
      </c>
      <c r="AA46" s="4" t="e">
        <f t="shared" ca="1" si="1"/>
        <v>#NAME?</v>
      </c>
    </row>
    <row r="47" spans="1:27" ht="15.75" customHeight="1">
      <c r="A47" s="5" t="str">
        <f ca="1">IFERROR(__xludf.DUMMYFUNCTION("""COMPUTED_VALUE"""),"POSTOBÓN YUMBO")</f>
        <v>POSTOBÓN YUMBO</v>
      </c>
      <c r="B47" s="5" t="str">
        <f ca="1">IFERROR(__xludf.DUMMYFUNCTION("""COMPUTED_VALUE"""),"0410-PLANTA DE AGUA ENVASADO")</f>
        <v>0410-PLANTA DE AGUA ENVASADO</v>
      </c>
      <c r="C47" s="5" t="str">
        <f ca="1">IFERROR(__xludf.DUMMYFUNCTION("""COMPUTED_VALUE"""),"TRATAMIENTO DE AGUA PARA ENVASADO")</f>
        <v>TRATAMIENTO DE AGUA PARA ENVASADO</v>
      </c>
      <c r="D47" s="5">
        <f ca="1">IFERROR(__xludf.DUMMYFUNCTION("""COMPUTED_VALUE"""),70948925)</f>
        <v>70948925</v>
      </c>
      <c r="E47" s="5" t="str">
        <f ca="1">IFERROR(__xludf.DUMMYFUNCTION("""COMPUTED_VALUE"""),"UNIDAD OSMOSIS 2")</f>
        <v>UNIDAD OSMOSIS 2</v>
      </c>
      <c r="F47" s="5">
        <f ca="1">IFERROR(__xludf.DUMMYFUNCTION("""COMPUTED_VALUE"""),21765)</f>
        <v>21765</v>
      </c>
      <c r="G47" s="5" t="str">
        <f ca="1">IFERROR(__xludf.DUMMYFUNCTION("""COMPUTED_VALUE"""),"PLAN MTTO ELE UNIDAD OSMOSIS 2")</f>
        <v>PLAN MTTO ELE UNIDAD OSMOSIS 2</v>
      </c>
      <c r="H47" s="5">
        <f ca="1">IFERROR(__xludf.DUMMYFUNCTION("""COMPUTED_VALUE"""),13174139)</f>
        <v>13174139</v>
      </c>
      <c r="I47" s="5" t="str">
        <f ca="1">IFERROR(__xludf.DUMMYFUNCTION("""COMPUTED_VALUE"""),"MTTO MOTOR OSMOSIS")</f>
        <v>MTTO MOTOR OSMOSIS</v>
      </c>
      <c r="J47" s="5" t="str">
        <f ca="1">IFERROR(__xludf.DUMMYFUNCTION("""COMPUTED_VALUE"""),"ALTO")</f>
        <v>ALTO</v>
      </c>
      <c r="K47" s="5" t="str">
        <f ca="1">IFERROR(__xludf.DUMMYFUNCTION("""COMPUTED_VALUE"""),"Preventivo")</f>
        <v>Preventivo</v>
      </c>
      <c r="L47" s="5" t="str">
        <f ca="1">IFERROR(__xludf.DUMMYFUNCTION("""COMPUTED_VALUE"""),"Maquinaria")</f>
        <v>Maquinaria</v>
      </c>
      <c r="M47" s="5" t="str">
        <f ca="1">IFERROR(__xludf.DUMMYFUNCTION("""COMPUTED_VALUE"""),"No")</f>
        <v>No</v>
      </c>
      <c r="N47" s="5"/>
      <c r="O47" s="5"/>
      <c r="P47" s="18">
        <f ca="1">IFERROR(__xludf.DUMMYFUNCTION("""COMPUTED_VALUE"""),45323)</f>
        <v>45323</v>
      </c>
      <c r="Q47" s="18">
        <f ca="1">IFERROR(__xludf.DUMMYFUNCTION("""COMPUTED_VALUE"""),45323)</f>
        <v>45323</v>
      </c>
      <c r="R47" s="18"/>
      <c r="S47" s="5">
        <f ca="1">IFERROR(__xludf.DUMMYFUNCTION("""COMPUTED_VALUE"""),8)</f>
        <v>8</v>
      </c>
      <c r="T47" s="5"/>
      <c r="U47" s="5" t="str">
        <f ca="1">IFERROR(__xludf.DUMMYFUNCTION("""COMPUTED_VALUE"""),"JEFFERSON BRAVO PIEDRAHITA")</f>
        <v>JEFFERSON BRAVO PIEDRAHITA</v>
      </c>
      <c r="V47" s="5"/>
      <c r="W47" s="5" t="str">
        <f ca="1">IFERROR(__xludf.DUMMYFUNCTION("""COMPUTED_VALUE"""),"biqG86WI3WY")</f>
        <v>biqG86WI3WY</v>
      </c>
      <c r="X47" s="5">
        <f ca="1">IFERROR(__xludf.DUMMYFUNCTION("""COMPUTED_VALUE"""),8)</f>
        <v>8</v>
      </c>
      <c r="Y47" s="5" t="str">
        <f t="shared" si="0"/>
        <v>Actividad sin realizar</v>
      </c>
      <c r="Z47" s="3">
        <f ca="1">IFERROR(VLOOKUP(U47, 'Base de datos'!A:B, 2, FALSE), "")</f>
        <v>573043623277</v>
      </c>
      <c r="AA47" s="4" t="e">
        <f t="shared" ca="1" si="1"/>
        <v>#NAME?</v>
      </c>
    </row>
    <row r="48" spans="1:27" ht="15.75" customHeight="1">
      <c r="A48" s="5" t="str">
        <f ca="1">IFERROR(__xludf.DUMMYFUNCTION("""COMPUTED_VALUE"""),"POSTOBÓN YUMBO")</f>
        <v>POSTOBÓN YUMBO</v>
      </c>
      <c r="B48" s="5" t="str">
        <f ca="1">IFERROR(__xludf.DUMMYFUNCTION("""COMPUTED_VALUE"""),"0410-SUBESTACION ELECTRICA")</f>
        <v>0410-SUBESTACION ELECTRICA</v>
      </c>
      <c r="C48" s="5" t="str">
        <f ca="1">IFERROR(__xludf.DUMMYFUNCTION("""COMPUTED_VALUE"""),"EQUIPOS ALTA Y BAJA TENSION ELECTRICA")</f>
        <v>EQUIPOS ALTA Y BAJA TENSION ELECTRICA</v>
      </c>
      <c r="D48" s="5">
        <f ca="1">IFERROR(__xludf.DUMMYFUNCTION("""COMPUTED_VALUE"""),740010)</f>
        <v>740010</v>
      </c>
      <c r="E48" s="5" t="str">
        <f ca="1">IFERROR(__xludf.DUMMYFUNCTION("""COMPUTED_VALUE"""),"SUBESTACION PRODUCCION 13.2 KV A 440 V")</f>
        <v>SUBESTACION PRODUCCION 13.2 KV A 440 V</v>
      </c>
      <c r="F48" s="5">
        <f ca="1">IFERROR(__xludf.DUMMYFUNCTION("""COMPUTED_VALUE"""),46692)</f>
        <v>46692</v>
      </c>
      <c r="G48" s="5" t="str">
        <f ca="1">IFERROR(__xludf.DUMMYFUNCTION("""COMPUTED_VALUE"""),"PLAN MTTO PREDIC TERMOGR TRAFO 740010")</f>
        <v>PLAN MTTO PREDIC TERMOGR TRAFO 740010</v>
      </c>
      <c r="H48" s="5">
        <f ca="1">IFERROR(__xludf.DUMMYFUNCTION("""COMPUTED_VALUE"""),13207732)</f>
        <v>13207732</v>
      </c>
      <c r="I48" s="5" t="str">
        <f ca="1">IFERROR(__xludf.DUMMYFUNCTION("""COMPUTED_VALUE"""),"ANALISIS DE ACEITE")</f>
        <v>ANALISIS DE ACEITE</v>
      </c>
      <c r="J48" s="5" t="str">
        <f ca="1">IFERROR(__xludf.DUMMYFUNCTION("""COMPUTED_VALUE"""),"ALTO")</f>
        <v>ALTO</v>
      </c>
      <c r="K48" s="5" t="str">
        <f ca="1">IFERROR(__xludf.DUMMYFUNCTION("""COMPUTED_VALUE"""),"Predictivo")</f>
        <v>Predictivo</v>
      </c>
      <c r="L48" s="5" t="str">
        <f ca="1">IFERROR(__xludf.DUMMYFUNCTION("""COMPUTED_VALUE"""),"Maquinaria")</f>
        <v>Maquinaria</v>
      </c>
      <c r="M48" s="5" t="str">
        <f ca="1">IFERROR(__xludf.DUMMYFUNCTION("""COMPUTED_VALUE"""),"No")</f>
        <v>No</v>
      </c>
      <c r="N48" s="5"/>
      <c r="O48" s="5">
        <f ca="1">IFERROR(__xludf.DUMMYFUNCTION("""COMPUTED_VALUE"""),100)</f>
        <v>100</v>
      </c>
      <c r="P48" s="18">
        <f ca="1">IFERROR(__xludf.DUMMYFUNCTION("""COMPUTED_VALUE"""),45337)</f>
        <v>45337</v>
      </c>
      <c r="Q48" s="18">
        <f ca="1">IFERROR(__xludf.DUMMYFUNCTION("""COMPUTED_VALUE"""),45337)</f>
        <v>45337</v>
      </c>
      <c r="R48" s="18"/>
      <c r="S48" s="5">
        <f ca="1">IFERROR(__xludf.DUMMYFUNCTION("""COMPUTED_VALUE"""),1)</f>
        <v>1</v>
      </c>
      <c r="T48" s="5"/>
      <c r="U48" s="5" t="str">
        <f ca="1">IFERROR(__xludf.DUMMYFUNCTION("""COMPUTED_VALUE"""),"MUÑOZ VALENCIA JEFFERSON")</f>
        <v>MUÑOZ VALENCIA JEFFERSON</v>
      </c>
      <c r="V48" s="5"/>
      <c r="W48" s="5" t="str">
        <f ca="1">IFERROR(__xludf.DUMMYFUNCTION("""COMPUTED_VALUE"""),"xTmoTH8o-rE")</f>
        <v>xTmoTH8o-rE</v>
      </c>
      <c r="X48" s="5">
        <f ca="1">IFERROR(__xludf.DUMMYFUNCTION("""COMPUTED_VALUE"""),1)</f>
        <v>1</v>
      </c>
      <c r="Y48" s="5" t="str">
        <f t="shared" ca="1" si="0"/>
        <v>Actividad realizada</v>
      </c>
      <c r="Z48" s="3">
        <f ca="1">IFERROR(VLOOKUP(U48, 'Base de datos'!A:B, 2, FALSE), "")</f>
        <v>573122261803</v>
      </c>
      <c r="AA48" s="4" t="e">
        <f t="shared" ca="1" si="1"/>
        <v>#NAME?</v>
      </c>
    </row>
    <row r="49" spans="1:27" ht="15.75" customHeight="1">
      <c r="A49" s="5" t="str">
        <f ca="1">IFERROR(__xludf.DUMMYFUNCTION("""COMPUTED_VALUE"""),"POSTOBÓN YUMBO")</f>
        <v>POSTOBÓN YUMBO</v>
      </c>
      <c r="B49" s="5" t="str">
        <f ca="1">IFERROR(__xludf.DUMMYFUNCTION("""COMPUTED_VALUE"""),"0410-LINEA 1")</f>
        <v>0410-LINEA 1</v>
      </c>
      <c r="C49" s="5" t="str">
        <f ca="1">IFERROR(__xludf.DUMMYFUNCTION("""COMPUTED_VALUE"""),"LINEA DE ENVASADO PET NO RETORNABLE")</f>
        <v>LINEA DE ENVASADO PET NO RETORNABLE</v>
      </c>
      <c r="D49" s="5">
        <f ca="1">IFERROR(__xludf.DUMMYFUNCTION("""COMPUTED_VALUE"""),829612)</f>
        <v>829612</v>
      </c>
      <c r="E49" s="5" t="str">
        <f ca="1">IFERROR(__xludf.DUMMYFUNCTION("""COMPUTED_VALUE"""),"TRANSPORTADOR AEREO")</f>
        <v>TRANSPORTADOR AEREO</v>
      </c>
      <c r="F49" s="5">
        <f ca="1">IFERROR(__xludf.DUMMYFUNCTION("""COMPUTED_VALUE"""),0)</f>
        <v>0</v>
      </c>
      <c r="G49" s="5" t="str">
        <f ca="1">IFERROR(__xludf.DUMMYFUNCTION("""COMPUTED_VALUE"""),"MTTO MAYOR TRANSP AEREO")</f>
        <v>MTTO MAYOR TRANSP AEREO</v>
      </c>
      <c r="H49" s="5">
        <f ca="1">IFERROR(__xludf.DUMMYFUNCTION("""COMPUTED_VALUE"""),13246525)</f>
        <v>13246525</v>
      </c>
      <c r="I49" s="5" t="str">
        <f ca="1">IFERROR(__xludf.DUMMYFUNCTION("""COMPUTED_VALUE"""),"CAMBIO GUIAS SALIDA ETIQUETADORA")</f>
        <v>CAMBIO GUIAS SALIDA ETIQUETADORA</v>
      </c>
      <c r="J49" s="5" t="str">
        <f ca="1">IFERROR(__xludf.DUMMYFUNCTION("""COMPUTED_VALUE"""),"ALTO")</f>
        <v>ALTO</v>
      </c>
      <c r="K49" s="5" t="str">
        <f ca="1">IFERROR(__xludf.DUMMYFUNCTION("""COMPUTED_VALUE"""),"Preventivo")</f>
        <v>Preventivo</v>
      </c>
      <c r="L49" s="5" t="str">
        <f ca="1">IFERROR(__xludf.DUMMYFUNCTION("""COMPUTED_VALUE"""),"Maquinaria")</f>
        <v>Maquinaria</v>
      </c>
      <c r="M49" s="5" t="str">
        <f ca="1">IFERROR(__xludf.DUMMYFUNCTION("""COMPUTED_VALUE"""),"No")</f>
        <v>No</v>
      </c>
      <c r="N49" s="5"/>
      <c r="O49" s="5"/>
      <c r="P49" s="18">
        <f ca="1">IFERROR(__xludf.DUMMYFUNCTION("""COMPUTED_VALUE"""),45323)</f>
        <v>45323</v>
      </c>
      <c r="Q49" s="18">
        <f ca="1">IFERROR(__xludf.DUMMYFUNCTION("""COMPUTED_VALUE"""),45323)</f>
        <v>45323</v>
      </c>
      <c r="R49" s="18"/>
      <c r="S49" s="5">
        <f ca="1">IFERROR(__xludf.DUMMYFUNCTION("""COMPUTED_VALUE"""),4)</f>
        <v>4</v>
      </c>
      <c r="T49" s="5"/>
      <c r="U49" s="5" t="str">
        <f ca="1">IFERROR(__xludf.DUMMYFUNCTION("""COMPUTED_VALUE"""),"FERNEYORLANDO RAMOS AULLON")</f>
        <v>FERNEYORLANDO RAMOS AULLON</v>
      </c>
      <c r="V49" s="5"/>
      <c r="W49" s="5" t="str">
        <f ca="1">IFERROR(__xludf.DUMMYFUNCTION("""COMPUTED_VALUE"""),"OcIsmqc8DJ0")</f>
        <v>OcIsmqc8DJ0</v>
      </c>
      <c r="X49" s="5">
        <f ca="1">IFERROR(__xludf.DUMMYFUNCTION("""COMPUTED_VALUE"""),4)</f>
        <v>4</v>
      </c>
      <c r="Y49" s="5" t="str">
        <f t="shared" si="0"/>
        <v>Actividad sin realizar</v>
      </c>
      <c r="Z49" s="3">
        <f ca="1">IFERROR(VLOOKUP(U49, 'Base de datos'!A:B, 2, FALSE), "")</f>
        <v>573117665570</v>
      </c>
      <c r="AA49" s="4" t="e">
        <f t="shared" ca="1" si="1"/>
        <v>#NAME?</v>
      </c>
    </row>
    <row r="50" spans="1:27" ht="15.75" customHeight="1">
      <c r="A50" s="5" t="str">
        <f ca="1">IFERROR(__xludf.DUMMYFUNCTION("""COMPUTED_VALUE"""),"POSTOBÓN YUMBO")</f>
        <v>POSTOBÓN YUMBO</v>
      </c>
      <c r="B50" s="5" t="str">
        <f ca="1">IFERROR(__xludf.DUMMYFUNCTION("""COMPUTED_VALUE"""),"0410-SUBESTACION ELECTRICA")</f>
        <v>0410-SUBESTACION ELECTRICA</v>
      </c>
      <c r="C50" s="5" t="str">
        <f ca="1">IFERROR(__xludf.DUMMYFUNCTION("""COMPUTED_VALUE"""),"EQUIPOS ALTA Y BAJA TENSION ELECTRICA")</f>
        <v>EQUIPOS ALTA Y BAJA TENSION ELECTRICA</v>
      </c>
      <c r="D50" s="5">
        <f ca="1">IFERROR(__xludf.DUMMYFUNCTION("""COMPUTED_VALUE"""),740009)</f>
        <v>740009</v>
      </c>
      <c r="E50" s="5" t="str">
        <f ca="1">IFERROR(__xludf.DUMMYFUNCTION("""COMPUTED_VALUE"""),"SUBESTACION PRINCIPAL 34.5 KV A 13.2 KV")</f>
        <v>SUBESTACION PRINCIPAL 34.5 KV A 13.2 KV</v>
      </c>
      <c r="F50" s="5">
        <f ca="1">IFERROR(__xludf.DUMMYFUNCTION("""COMPUTED_VALUE"""),46692)</f>
        <v>46692</v>
      </c>
      <c r="G50" s="5" t="str">
        <f ca="1">IFERROR(__xludf.DUMMYFUNCTION("""COMPUTED_VALUE"""),"PLAN MTTO PREDIC TERMOGR TRAFO 740009")</f>
        <v>PLAN MTTO PREDIC TERMOGR TRAFO 740009</v>
      </c>
      <c r="H50" s="5">
        <f ca="1">IFERROR(__xludf.DUMMYFUNCTION("""COMPUTED_VALUE"""),13207731)</f>
        <v>13207731</v>
      </c>
      <c r="I50" s="5" t="str">
        <f ca="1">IFERROR(__xludf.DUMMYFUNCTION("""COMPUTED_VALUE"""),"ANALISIS DE ACEITE")</f>
        <v>ANALISIS DE ACEITE</v>
      </c>
      <c r="J50" s="5" t="str">
        <f ca="1">IFERROR(__xludf.DUMMYFUNCTION("""COMPUTED_VALUE"""),"ALTO")</f>
        <v>ALTO</v>
      </c>
      <c r="K50" s="5" t="str">
        <f ca="1">IFERROR(__xludf.DUMMYFUNCTION("""COMPUTED_VALUE"""),"Predictivo")</f>
        <v>Predictivo</v>
      </c>
      <c r="L50" s="5" t="str">
        <f ca="1">IFERROR(__xludf.DUMMYFUNCTION("""COMPUTED_VALUE"""),"Maquinaria")</f>
        <v>Maquinaria</v>
      </c>
      <c r="M50" s="5" t="str">
        <f ca="1">IFERROR(__xludf.DUMMYFUNCTION("""COMPUTED_VALUE"""),"No")</f>
        <v>No</v>
      </c>
      <c r="N50" s="5"/>
      <c r="O50" s="5">
        <f ca="1">IFERROR(__xludf.DUMMYFUNCTION("""COMPUTED_VALUE"""),100)</f>
        <v>100</v>
      </c>
      <c r="P50" s="18">
        <f ca="1">IFERROR(__xludf.DUMMYFUNCTION("""COMPUTED_VALUE"""),45337)</f>
        <v>45337</v>
      </c>
      <c r="Q50" s="18">
        <f ca="1">IFERROR(__xludf.DUMMYFUNCTION("""COMPUTED_VALUE"""),45337)</f>
        <v>45337</v>
      </c>
      <c r="R50" s="18"/>
      <c r="S50" s="5">
        <f ca="1">IFERROR(__xludf.DUMMYFUNCTION("""COMPUTED_VALUE"""),1)</f>
        <v>1</v>
      </c>
      <c r="T50" s="5"/>
      <c r="U50" s="5" t="str">
        <f ca="1">IFERROR(__xludf.DUMMYFUNCTION("""COMPUTED_VALUE"""),"MUÑOZ VALENCIA JEFFERSON")</f>
        <v>MUÑOZ VALENCIA JEFFERSON</v>
      </c>
      <c r="V50" s="5"/>
      <c r="W50" s="5" t="str">
        <f ca="1">IFERROR(__xludf.DUMMYFUNCTION("""COMPUTED_VALUE"""),"1vF5USj3L7Q")</f>
        <v>1vF5USj3L7Q</v>
      </c>
      <c r="X50" s="5">
        <f ca="1">IFERROR(__xludf.DUMMYFUNCTION("""COMPUTED_VALUE"""),1)</f>
        <v>1</v>
      </c>
      <c r="Y50" s="5" t="str">
        <f t="shared" ca="1" si="0"/>
        <v>Actividad realizada</v>
      </c>
      <c r="Z50" s="3">
        <f ca="1">IFERROR(VLOOKUP(U50, 'Base de datos'!A:B, 2, FALSE), "")</f>
        <v>573122261803</v>
      </c>
      <c r="AA50" s="4" t="e">
        <f t="shared" ca="1" si="1"/>
        <v>#NAME?</v>
      </c>
    </row>
    <row r="51" spans="1:27" ht="15.75" customHeight="1">
      <c r="A51" s="5" t="str">
        <f ca="1">IFERROR(__xludf.DUMMYFUNCTION("""COMPUTED_VALUE"""),"POSTOBÓN YUMBO")</f>
        <v>POSTOBÓN YUMBO</v>
      </c>
      <c r="B51" s="5" t="str">
        <f ca="1">IFERROR(__xludf.DUMMYFUNCTION("""COMPUTED_VALUE"""),"0410-SALA DE JARABE TERMINADO")</f>
        <v>0410-SALA DE JARABE TERMINADO</v>
      </c>
      <c r="C51" s="5" t="str">
        <f ca="1">IFERROR(__xludf.DUMMYFUNCTION("""COMPUTED_VALUE"""),"EQUIPOS PARA PREPARACION DE JARABE")</f>
        <v>EQUIPOS PARA PREPARACION DE JARABE</v>
      </c>
      <c r="D51" s="5">
        <f ca="1">IFERROR(__xludf.DUMMYFUNCTION("""COMPUTED_VALUE"""),69963411)</f>
        <v>69963411</v>
      </c>
      <c r="E51" s="5" t="str">
        <f ca="1">IFERROR(__xludf.DUMMYFUNCTION("""COMPUTED_VALUE"""),"TANQUE DE JARABE")</f>
        <v>TANQUE DE JARABE</v>
      </c>
      <c r="F51" s="5">
        <f ca="1">IFERROR(__xludf.DUMMYFUNCTION("""COMPUTED_VALUE"""),17361)</f>
        <v>17361</v>
      </c>
      <c r="G51" s="5" t="str">
        <f ca="1">IFERROR(__xludf.DUMMYFUNCTION("""COMPUTED_VALUE"""),"MTTO MEC TK JARABE 8 JARABE TERMINADO")</f>
        <v>MTTO MEC TK JARABE 8 JARABE TERMINADO</v>
      </c>
      <c r="H51" s="5">
        <f ca="1">IFERROR(__xludf.DUMMYFUNCTION("""COMPUTED_VALUE"""),13247162)</f>
        <v>13247162</v>
      </c>
      <c r="I51" s="5" t="str">
        <f ca="1">IFERROR(__xludf.DUMMYFUNCTION("""COMPUTED_VALUE"""),"Sistema neumatico: revision fugas y esta")</f>
        <v>Sistema neumatico: revision fugas y esta</v>
      </c>
      <c r="J51" s="5" t="str">
        <f ca="1">IFERROR(__xludf.DUMMYFUNCTION("""COMPUTED_VALUE"""),"ALTO")</f>
        <v>ALTO</v>
      </c>
      <c r="K51" s="5" t="str">
        <f ca="1">IFERROR(__xludf.DUMMYFUNCTION("""COMPUTED_VALUE"""),"Preventivo")</f>
        <v>Preventivo</v>
      </c>
      <c r="L51" s="5" t="str">
        <f ca="1">IFERROR(__xludf.DUMMYFUNCTION("""COMPUTED_VALUE"""),"Maquinaria")</f>
        <v>Maquinaria</v>
      </c>
      <c r="M51" s="5" t="str">
        <f ca="1">IFERROR(__xludf.DUMMYFUNCTION("""COMPUTED_VALUE"""),"No")</f>
        <v>No</v>
      </c>
      <c r="N51" s="5"/>
      <c r="O51" s="5">
        <f ca="1">IFERROR(__xludf.DUMMYFUNCTION("""COMPUTED_VALUE"""),100)</f>
        <v>100</v>
      </c>
      <c r="P51" s="18">
        <f ca="1">IFERROR(__xludf.DUMMYFUNCTION("""COMPUTED_VALUE"""),45342)</f>
        <v>45342</v>
      </c>
      <c r="Q51" s="18">
        <f ca="1">IFERROR(__xludf.DUMMYFUNCTION("""COMPUTED_VALUE"""),45342)</f>
        <v>45342</v>
      </c>
      <c r="R51" s="18"/>
      <c r="S51" s="5">
        <f ca="1">IFERROR(__xludf.DUMMYFUNCTION("""COMPUTED_VALUE"""),1)</f>
        <v>1</v>
      </c>
      <c r="T51" s="5"/>
      <c r="U51" s="5" t="str">
        <f ca="1">IFERROR(__xludf.DUMMYFUNCTION("""COMPUTED_VALUE"""),"Rivas Mena Carlos Danny")</f>
        <v>Rivas Mena Carlos Danny</v>
      </c>
      <c r="V51" s="5"/>
      <c r="W51" s="5" t="str">
        <f ca="1">IFERROR(__xludf.DUMMYFUNCTION("""COMPUTED_VALUE"""),"OpNJ6aXhwww")</f>
        <v>OpNJ6aXhwww</v>
      </c>
      <c r="X51" s="5">
        <f ca="1">IFERROR(__xludf.DUMMYFUNCTION("""COMPUTED_VALUE"""),1)</f>
        <v>1</v>
      </c>
      <c r="Y51" s="5" t="str">
        <f t="shared" ca="1" si="0"/>
        <v>Actividad realizada</v>
      </c>
      <c r="Z51" s="3">
        <f ca="1">IFERROR(VLOOKUP(U51, 'Base de datos'!A:B, 2, FALSE), "")</f>
        <v>0</v>
      </c>
      <c r="AA51" s="4" t="e">
        <f t="shared" ca="1" si="1"/>
        <v>#NAME?</v>
      </c>
    </row>
    <row r="52" spans="1:27" ht="15.75" customHeight="1">
      <c r="A52" s="5" t="str">
        <f ca="1">IFERROR(__xludf.DUMMYFUNCTION("""COMPUTED_VALUE"""),"POSTOBÓN YUMBO")</f>
        <v>POSTOBÓN YUMBO</v>
      </c>
      <c r="B52" s="5" t="str">
        <f ca="1">IFERROR(__xludf.DUMMYFUNCTION("""COMPUTED_VALUE"""),"0410-ENVASADO JUGOS PET HOT F")</f>
        <v>0410-ENVASADO JUGOS PET HOT F</v>
      </c>
      <c r="C52" s="5" t="str">
        <f ca="1">IFERROR(__xludf.DUMMYFUNCTION("""COMPUTED_VALUE"""),"LINEA DE ENVASADO JUGOS PET HOT FILL")</f>
        <v>LINEA DE ENVASADO JUGOS PET HOT FILL</v>
      </c>
      <c r="D52" s="5">
        <f ca="1">IFERROR(__xludf.DUMMYFUNCTION("""COMPUTED_VALUE"""),690104)</f>
        <v>690104</v>
      </c>
      <c r="E52" s="5" t="str">
        <f ca="1">IFERROR(__xludf.DUMMYFUNCTION("""COMPUTED_VALUE"""),"PASTEURIZADOR")</f>
        <v>PASTEURIZADOR</v>
      </c>
      <c r="F52" s="5">
        <f ca="1">IFERROR(__xludf.DUMMYFUNCTION("""COMPUTED_VALUE"""),22581)</f>
        <v>22581</v>
      </c>
      <c r="G52" s="5" t="str">
        <f ca="1">IFERROR(__xludf.DUMMYFUNCTION("""COMPUTED_VALUE"""),"PLAN MTTO ELE PASTEURIZADOR 690104")</f>
        <v>PLAN MTTO ELE PASTEURIZADOR 690104</v>
      </c>
      <c r="H52" s="5">
        <f ca="1">IFERROR(__xludf.DUMMYFUNCTION("""COMPUTED_VALUE"""),13174161)</f>
        <v>13174161</v>
      </c>
      <c r="I52" s="5" t="str">
        <f ca="1">IFERROR(__xludf.DUMMYFUNCTION("""COMPUTED_VALUE"""),"Mtto Motores")</f>
        <v>Mtto Motores</v>
      </c>
      <c r="J52" s="5" t="str">
        <f ca="1">IFERROR(__xludf.DUMMYFUNCTION("""COMPUTED_VALUE"""),"ALTO")</f>
        <v>ALTO</v>
      </c>
      <c r="K52" s="5" t="str">
        <f ca="1">IFERROR(__xludf.DUMMYFUNCTION("""COMPUTED_VALUE"""),"Preventivo")</f>
        <v>Preventivo</v>
      </c>
      <c r="L52" s="5" t="str">
        <f ca="1">IFERROR(__xludf.DUMMYFUNCTION("""COMPUTED_VALUE"""),"Maquinaria")</f>
        <v>Maquinaria</v>
      </c>
      <c r="M52" s="5" t="str">
        <f ca="1">IFERROR(__xludf.DUMMYFUNCTION("""COMPUTED_VALUE"""),"No")</f>
        <v>No</v>
      </c>
      <c r="N52" s="5"/>
      <c r="O52" s="5"/>
      <c r="P52" s="18">
        <f ca="1">IFERROR(__xludf.DUMMYFUNCTION("""COMPUTED_VALUE"""),45324)</f>
        <v>45324</v>
      </c>
      <c r="Q52" s="18">
        <f ca="1">IFERROR(__xludf.DUMMYFUNCTION("""COMPUTED_VALUE"""),45324)</f>
        <v>45324</v>
      </c>
      <c r="R52" s="18"/>
      <c r="S52" s="5">
        <f ca="1">IFERROR(__xludf.DUMMYFUNCTION("""COMPUTED_VALUE"""),8)</f>
        <v>8</v>
      </c>
      <c r="T52" s="5"/>
      <c r="U52" s="5" t="str">
        <f ca="1">IFERROR(__xludf.DUMMYFUNCTION("""COMPUTED_VALUE"""),"Jhonnys Arturo Fernández Suarez")</f>
        <v>Jhonnys Arturo Fernández Suarez</v>
      </c>
      <c r="V52" s="5"/>
      <c r="W52" s="5" t="str">
        <f ca="1">IFERROR(__xludf.DUMMYFUNCTION("""COMPUTED_VALUE"""),"EmAxNSwes00")</f>
        <v>EmAxNSwes00</v>
      </c>
      <c r="X52" s="5">
        <f ca="1">IFERROR(__xludf.DUMMYFUNCTION("""COMPUTED_VALUE"""),8)</f>
        <v>8</v>
      </c>
      <c r="Y52" s="5" t="str">
        <f t="shared" si="0"/>
        <v>Actividad sin realizar</v>
      </c>
      <c r="Z52" s="3">
        <f ca="1">IFERROR(VLOOKUP(U52, 'Base de datos'!A:B, 2, FALSE), "")</f>
        <v>573117998312</v>
      </c>
      <c r="AA52" s="4" t="e">
        <f t="shared" ca="1" si="1"/>
        <v>#NAME?</v>
      </c>
    </row>
    <row r="53" spans="1:27" ht="15.75" customHeight="1">
      <c r="A53" s="5" t="str">
        <f ca="1">IFERROR(__xludf.DUMMYFUNCTION("""COMPUTED_VALUE"""),"POSTOBÓN YUMBO")</f>
        <v>POSTOBÓN YUMBO</v>
      </c>
      <c r="B53" s="5" t="str">
        <f ca="1">IFERROR(__xludf.DUMMYFUNCTION("""COMPUTED_VALUE"""),"0410-LINEA 1")</f>
        <v>0410-LINEA 1</v>
      </c>
      <c r="C53" s="5" t="str">
        <f ca="1">IFERROR(__xludf.DUMMYFUNCTION("""COMPUTED_VALUE"""),"LINEA DE ENVASADO PET NO RETORNABLE")</f>
        <v>LINEA DE ENVASADO PET NO RETORNABLE</v>
      </c>
      <c r="D53" s="5">
        <f ca="1">IFERROR(__xludf.DUMMYFUNCTION("""COMPUTED_VALUE"""),820071)</f>
        <v>820071</v>
      </c>
      <c r="E53" s="5" t="str">
        <f ca="1">IFERROR(__xludf.DUMMYFUNCTION("""COMPUTED_VALUE"""),"ETIQUETADORA")</f>
        <v>ETIQUETADORA</v>
      </c>
      <c r="F53" s="5">
        <f ca="1">IFERROR(__xludf.DUMMYFUNCTION("""COMPUTED_VALUE"""),14083)</f>
        <v>14083</v>
      </c>
      <c r="G53" s="5" t="str">
        <f ca="1">IFERROR(__xludf.DUMMYFUNCTION("""COMPUTED_VALUE"""),"MTTO ELEC ETIQUETADORA L1 820071")</f>
        <v>MTTO ELEC ETIQUETADORA L1 820071</v>
      </c>
      <c r="H53" s="5">
        <f ca="1">IFERROR(__xludf.DUMMYFUNCTION("""COMPUTED_VALUE"""),13238373)</f>
        <v>13238373</v>
      </c>
      <c r="I53" s="5" t="str">
        <f ca="1">IFERROR(__xludf.DUMMYFUNCTION("""COMPUTED_VALUE"""),"Barreras de luz y reflectores:")</f>
        <v>Barreras de luz y reflectores:</v>
      </c>
      <c r="J53" s="5" t="str">
        <f ca="1">IFERROR(__xludf.DUMMYFUNCTION("""COMPUTED_VALUE"""),"MEDIO")</f>
        <v>MEDIO</v>
      </c>
      <c r="K53" s="5" t="str">
        <f ca="1">IFERROR(__xludf.DUMMYFUNCTION("""COMPUTED_VALUE"""),"Preventivo")</f>
        <v>Preventivo</v>
      </c>
      <c r="L53" s="5" t="str">
        <f ca="1">IFERROR(__xludf.DUMMYFUNCTION("""COMPUTED_VALUE"""),"Maquinaria")</f>
        <v>Maquinaria</v>
      </c>
      <c r="M53" s="5" t="str">
        <f ca="1">IFERROR(__xludf.DUMMYFUNCTION("""COMPUTED_VALUE"""),"No")</f>
        <v>No</v>
      </c>
      <c r="N53" s="5"/>
      <c r="O53" s="5"/>
      <c r="P53" s="18">
        <f ca="1">IFERROR(__xludf.DUMMYFUNCTION("""COMPUTED_VALUE"""),45334)</f>
        <v>45334</v>
      </c>
      <c r="Q53" s="18">
        <f ca="1">IFERROR(__xludf.DUMMYFUNCTION("""COMPUTED_VALUE"""),45334)</f>
        <v>45334</v>
      </c>
      <c r="R53" s="18"/>
      <c r="S53" s="5">
        <f ca="1">IFERROR(__xludf.DUMMYFUNCTION("""COMPUTED_VALUE"""),1)</f>
        <v>1</v>
      </c>
      <c r="T53" s="5"/>
      <c r="U53" s="5" t="str">
        <f ca="1">IFERROR(__xludf.DUMMYFUNCTION("""COMPUTED_VALUE"""),"Sanchez Rodriguez Gerson Andres")</f>
        <v>Sanchez Rodriguez Gerson Andres</v>
      </c>
      <c r="V53" s="5"/>
      <c r="W53" s="5" t="str">
        <f ca="1">IFERROR(__xludf.DUMMYFUNCTION("""COMPUTED_VALUE"""),"7t_G2v68B9U")</f>
        <v>7t_G2v68B9U</v>
      </c>
      <c r="X53" s="5">
        <f ca="1">IFERROR(__xludf.DUMMYFUNCTION("""COMPUTED_VALUE"""),1)</f>
        <v>1</v>
      </c>
      <c r="Y53" s="5" t="str">
        <f t="shared" si="0"/>
        <v>Actividad sin realizar</v>
      </c>
      <c r="Z53" s="3">
        <f ca="1">IFERROR(VLOOKUP(U53, 'Base de datos'!A:B, 2, FALSE), "")</f>
        <v>573112884549</v>
      </c>
      <c r="AA53" s="4" t="e">
        <f t="shared" ca="1" si="1"/>
        <v>#NAME?</v>
      </c>
    </row>
    <row r="54" spans="1:27" ht="15.75" customHeight="1">
      <c r="A54" s="5" t="str">
        <f ca="1">IFERROR(__xludf.DUMMYFUNCTION("""COMPUTED_VALUE"""),"POSTOBÓN YUMBO")</f>
        <v>POSTOBÓN YUMBO</v>
      </c>
      <c r="B54" s="5" t="str">
        <f ca="1">IFERROR(__xludf.DUMMYFUNCTION("""COMPUTED_VALUE"""),"0410-LINEA 3")</f>
        <v>0410-LINEA 3</v>
      </c>
      <c r="C54" s="5" t="str">
        <f ca="1">IFERROR(__xludf.DUMMYFUNCTION("""COMPUTED_VALUE"""),"LINEA DE ENVASADO TAMAÑO PERSONAL")</f>
        <v>LINEA DE ENVASADO TAMAÑO PERSONAL</v>
      </c>
      <c r="D54" s="5">
        <f ca="1">IFERROR(__xludf.DUMMYFUNCTION("""COMPUTED_VALUE"""),828592)</f>
        <v>828592</v>
      </c>
      <c r="E54" s="5" t="str">
        <f ca="1">IFERROR(__xludf.DUMMYFUNCTION("""COMPUTED_VALUE"""),"LLENADORA")</f>
        <v>LLENADORA</v>
      </c>
      <c r="F54" s="5">
        <f ca="1">IFERROR(__xludf.DUMMYFUNCTION("""COMPUTED_VALUE"""),0)</f>
        <v>0</v>
      </c>
      <c r="G54" s="5" t="str">
        <f ca="1">IFERROR(__xludf.DUMMYFUNCTION("""COMPUTED_VALUE"""),"MANTENIMIENTO LLENADORA HK 72-16")</f>
        <v>MANTENIMIENTO LLENADORA HK 72-16</v>
      </c>
      <c r="H54" s="5">
        <f ca="1">IFERROR(__xludf.DUMMYFUNCTION("""COMPUTED_VALUE"""),13210754)</f>
        <v>13210754</v>
      </c>
      <c r="I54" s="5" t="str">
        <f ca="1">IFERROR(__xludf.DUMMYFUNCTION("""COMPUTED_VALUE"""),"MANT. CAJAS TRANSMISION LLENADORA")</f>
        <v>MANT. CAJAS TRANSMISION LLENADORA</v>
      </c>
      <c r="J54" s="5" t="str">
        <f ca="1">IFERROR(__xludf.DUMMYFUNCTION("""COMPUTED_VALUE"""),"ALTO")</f>
        <v>ALTO</v>
      </c>
      <c r="K54" s="5" t="str">
        <f ca="1">IFERROR(__xludf.DUMMYFUNCTION("""COMPUTED_VALUE"""),"Preventivo")</f>
        <v>Preventivo</v>
      </c>
      <c r="L54" s="5" t="str">
        <f ca="1">IFERROR(__xludf.DUMMYFUNCTION("""COMPUTED_VALUE"""),"Maquinaria")</f>
        <v>Maquinaria</v>
      </c>
      <c r="M54" s="5" t="str">
        <f ca="1">IFERROR(__xludf.DUMMYFUNCTION("""COMPUTED_VALUE"""),"No")</f>
        <v>No</v>
      </c>
      <c r="N54" s="5"/>
      <c r="O54" s="5"/>
      <c r="P54" s="18">
        <f ca="1">IFERROR(__xludf.DUMMYFUNCTION("""COMPUTED_VALUE"""),45325)</f>
        <v>45325</v>
      </c>
      <c r="Q54" s="18">
        <f ca="1">IFERROR(__xludf.DUMMYFUNCTION("""COMPUTED_VALUE"""),45325)</f>
        <v>45325</v>
      </c>
      <c r="R54" s="18"/>
      <c r="S54" s="5">
        <f ca="1">IFERROR(__xludf.DUMMYFUNCTION("""COMPUTED_VALUE"""),1)</f>
        <v>1</v>
      </c>
      <c r="T54" s="5"/>
      <c r="U54" s="5" t="str">
        <f ca="1">IFERROR(__xludf.DUMMYFUNCTION("""COMPUTED_VALUE"""),"Jimenez Jhon")</f>
        <v>Jimenez Jhon</v>
      </c>
      <c r="V54" s="5"/>
      <c r="W54" s="5" t="str">
        <f ca="1">IFERROR(__xludf.DUMMYFUNCTION("""COMPUTED_VALUE"""),"jDzP5Byf_mo")</f>
        <v>jDzP5Byf_mo</v>
      </c>
      <c r="X54" s="5">
        <f ca="1">IFERROR(__xludf.DUMMYFUNCTION("""COMPUTED_VALUE"""),1)</f>
        <v>1</v>
      </c>
      <c r="Y54" s="5" t="str">
        <f t="shared" si="0"/>
        <v>Actividad sin realizar</v>
      </c>
      <c r="Z54" s="3">
        <f ca="1">IFERROR(VLOOKUP(U54, 'Base de datos'!A:B, 2, FALSE), "")</f>
        <v>573147637946</v>
      </c>
      <c r="AA54" s="4" t="e">
        <f t="shared" ca="1" si="1"/>
        <v>#NAME?</v>
      </c>
    </row>
    <row r="55" spans="1:27" ht="15.75" customHeight="1">
      <c r="A55" s="5" t="str">
        <f ca="1">IFERROR(__xludf.DUMMYFUNCTION("""COMPUTED_VALUE"""),"POSTOBÓN YUMBO")</f>
        <v>POSTOBÓN YUMBO</v>
      </c>
      <c r="B55" s="5" t="str">
        <f ca="1">IFERROR(__xludf.DUMMYFUNCTION("""COMPUTED_VALUE"""),"0410-PLANTA DE AGUA ENVASADO")</f>
        <v>0410-PLANTA DE AGUA ENVASADO</v>
      </c>
      <c r="C55" s="5" t="str">
        <f ca="1">IFERROR(__xludf.DUMMYFUNCTION("""COMPUTED_VALUE"""),"TRATAMIENTO DE AGUA PARA ENVASADO")</f>
        <v>TRATAMIENTO DE AGUA PARA ENVASADO</v>
      </c>
      <c r="D55" s="5">
        <f ca="1">IFERROR(__xludf.DUMMYFUNCTION("""COMPUTED_VALUE"""),70948957)</f>
        <v>70948957</v>
      </c>
      <c r="E55" s="5" t="str">
        <f ca="1">IFERROR(__xludf.DUMMYFUNCTION("""COMPUTED_VALUE"""),"TANQUE PLASTICO HIPOCLORITO - TRAT PRIM")</f>
        <v>TANQUE PLASTICO HIPOCLORITO - TRAT PRIM</v>
      </c>
      <c r="F55" s="5">
        <f ca="1">IFERROR(__xludf.DUMMYFUNCTION("""COMPUTED_VALUE"""),32893)</f>
        <v>32893</v>
      </c>
      <c r="G55" s="5" t="str">
        <f ca="1">IFERROR(__xludf.DUMMYFUNCTION("""COMPUTED_VALUE"""),"PLAN MTTO MEC TANQUE PLASTICO HIPOCLORIT")</f>
        <v>PLAN MTTO MEC TANQUE PLASTICO HIPOCLORIT</v>
      </c>
      <c r="H55" s="5">
        <f ca="1">IFERROR(__xludf.DUMMYFUNCTION("""COMPUTED_VALUE"""),13207491)</f>
        <v>13207491</v>
      </c>
      <c r="I55" s="5" t="str">
        <f ca="1">IFERROR(__xludf.DUMMYFUNCTION("""COMPUTED_VALUE"""),"REVISION BOMBA DOSIFICADORA")</f>
        <v>REVISION BOMBA DOSIFICADORA</v>
      </c>
      <c r="J55" s="5" t="str">
        <f ca="1">IFERROR(__xludf.DUMMYFUNCTION("""COMPUTED_VALUE"""),"ALTO")</f>
        <v>ALTO</v>
      </c>
      <c r="K55" s="5" t="str">
        <f ca="1">IFERROR(__xludf.DUMMYFUNCTION("""COMPUTED_VALUE"""),"Preventivo")</f>
        <v>Preventivo</v>
      </c>
      <c r="L55" s="5" t="str">
        <f ca="1">IFERROR(__xludf.DUMMYFUNCTION("""COMPUTED_VALUE"""),"Maquinaria")</f>
        <v>Maquinaria</v>
      </c>
      <c r="M55" s="5" t="str">
        <f ca="1">IFERROR(__xludf.DUMMYFUNCTION("""COMPUTED_VALUE"""),"No")</f>
        <v>No</v>
      </c>
      <c r="N55" s="5"/>
      <c r="O55" s="5"/>
      <c r="P55" s="18">
        <f ca="1">IFERROR(__xludf.DUMMYFUNCTION("""COMPUTED_VALUE"""),45344)</f>
        <v>45344</v>
      </c>
      <c r="Q55" s="18">
        <f ca="1">IFERROR(__xludf.DUMMYFUNCTION("""COMPUTED_VALUE"""),45344)</f>
        <v>45344</v>
      </c>
      <c r="R55" s="18"/>
      <c r="S55" s="5">
        <f ca="1">IFERROR(__xludf.DUMMYFUNCTION("""COMPUTED_VALUE"""),1)</f>
        <v>1</v>
      </c>
      <c r="T55" s="5"/>
      <c r="U55" s="5" t="str">
        <f ca="1">IFERROR(__xludf.DUMMYFUNCTION("""COMPUTED_VALUE"""),"Guzman Palechor Miguel Angel")</f>
        <v>Guzman Palechor Miguel Angel</v>
      </c>
      <c r="V55" s="5"/>
      <c r="W55" s="5" t="str">
        <f ca="1">IFERROR(__xludf.DUMMYFUNCTION("""COMPUTED_VALUE"""),"1AAti5a3Jl8")</f>
        <v>1AAti5a3Jl8</v>
      </c>
      <c r="X55" s="5">
        <f ca="1">IFERROR(__xludf.DUMMYFUNCTION("""COMPUTED_VALUE"""),1)</f>
        <v>1</v>
      </c>
      <c r="Y55" s="5" t="str">
        <f t="shared" si="0"/>
        <v>Actividad sin realizar</v>
      </c>
      <c r="Z55" s="3">
        <f ca="1">IFERROR(VLOOKUP(U55, 'Base de datos'!A:B, 2, FALSE), "")</f>
        <v>573112422176</v>
      </c>
      <c r="AA55" s="4" t="e">
        <f t="shared" ca="1" si="1"/>
        <v>#NAME?</v>
      </c>
    </row>
    <row r="56" spans="1:27" ht="15.75" customHeight="1">
      <c r="A56" s="5" t="str">
        <f ca="1">IFERROR(__xludf.DUMMYFUNCTION("""COMPUTED_VALUE"""),"POSTOBÓN YUMBO")</f>
        <v>POSTOBÓN YUMBO</v>
      </c>
      <c r="B56" s="5" t="str">
        <f ca="1">IFERROR(__xludf.DUMMYFUNCTION("""COMPUTED_VALUE"""),"0410-EQUIPOS AUXILIARES")</f>
        <v>0410-EQUIPOS AUXILIARES</v>
      </c>
      <c r="C56" s="5" t="str">
        <f ca="1">IFERROR(__xludf.DUMMYFUNCTION("""COMPUTED_VALUE"""),"EQUIPOS PARA SERVICIOS INDUSTRIALES")</f>
        <v>EQUIPOS PARA SERVICIOS INDUSTRIALES</v>
      </c>
      <c r="D56" s="5">
        <f ca="1">IFERROR(__xludf.DUMMYFUNCTION("""COMPUTED_VALUE"""),829072)</f>
        <v>829072</v>
      </c>
      <c r="E56" s="5" t="str">
        <f ca="1">IFERROR(__xludf.DUMMYFUNCTION("""COMPUTED_VALUE"""),"COMPRESOR TORNILLO AIRE VEL. VARIABLE")</f>
        <v>COMPRESOR TORNILLO AIRE VEL. VARIABLE</v>
      </c>
      <c r="F56" s="5">
        <f ca="1">IFERROR(__xludf.DUMMYFUNCTION("""COMPUTED_VALUE"""),25380)</f>
        <v>25380</v>
      </c>
      <c r="G56" s="5" t="str">
        <f ca="1">IFERROR(__xludf.DUMMYFUNCTION("""COMPUTED_VALUE"""),"PLAN MTTO MEC COMPRESOR AIRE KAESER")</f>
        <v>PLAN MTTO MEC COMPRESOR AIRE KAESER</v>
      </c>
      <c r="H56" s="5">
        <f ca="1">IFERROR(__xludf.DUMMYFUNCTION("""COMPUTED_VALUE"""),13207475)</f>
        <v>13207475</v>
      </c>
      <c r="I56" s="5" t="str">
        <f ca="1">IFERROR(__xludf.DUMMYFUNCTION("""COMPUTED_VALUE"""),"CAMBIAR FILTRO DE ACEITE DEL REFRIGERANT")</f>
        <v>CAMBIAR FILTRO DE ACEITE DEL REFRIGERANT</v>
      </c>
      <c r="J56" s="5" t="str">
        <f ca="1">IFERROR(__xludf.DUMMYFUNCTION("""COMPUTED_VALUE"""),"MEDIO")</f>
        <v>MEDIO</v>
      </c>
      <c r="K56" s="5" t="str">
        <f ca="1">IFERROR(__xludf.DUMMYFUNCTION("""COMPUTED_VALUE"""),"Preventivo")</f>
        <v>Preventivo</v>
      </c>
      <c r="L56" s="5" t="str">
        <f ca="1">IFERROR(__xludf.DUMMYFUNCTION("""COMPUTED_VALUE"""),"Maquinaria")</f>
        <v>Maquinaria</v>
      </c>
      <c r="M56" s="5" t="str">
        <f ca="1">IFERROR(__xludf.DUMMYFUNCTION("""COMPUTED_VALUE"""),"No")</f>
        <v>No</v>
      </c>
      <c r="N56" s="5"/>
      <c r="O56" s="5"/>
      <c r="P56" s="18">
        <f ca="1">IFERROR(__xludf.DUMMYFUNCTION("""COMPUTED_VALUE"""),45345)</f>
        <v>45345</v>
      </c>
      <c r="Q56" s="18">
        <f ca="1">IFERROR(__xludf.DUMMYFUNCTION("""COMPUTED_VALUE"""),45345)</f>
        <v>45345</v>
      </c>
      <c r="R56" s="18"/>
      <c r="S56" s="5">
        <f ca="1">IFERROR(__xludf.DUMMYFUNCTION("""COMPUTED_VALUE"""),1)</f>
        <v>1</v>
      </c>
      <c r="T56" s="5"/>
      <c r="U56" s="5" t="str">
        <f ca="1">IFERROR(__xludf.DUMMYFUNCTION("""COMPUTED_VALUE"""),"JEFFERSON BRAVO PIEDRAHITA")</f>
        <v>JEFFERSON BRAVO PIEDRAHITA</v>
      </c>
      <c r="V56" s="5"/>
      <c r="W56" s="5" t="str">
        <f ca="1">IFERROR(__xludf.DUMMYFUNCTION("""COMPUTED_VALUE"""),"A1IPHTTWPiM")</f>
        <v>A1IPHTTWPiM</v>
      </c>
      <c r="X56" s="5">
        <f ca="1">IFERROR(__xludf.DUMMYFUNCTION("""COMPUTED_VALUE"""),1)</f>
        <v>1</v>
      </c>
      <c r="Y56" s="5" t="str">
        <f t="shared" si="0"/>
        <v>Actividad sin realizar</v>
      </c>
      <c r="Z56" s="3">
        <f ca="1">IFERROR(VLOOKUP(U56, 'Base de datos'!A:B, 2, FALSE), "")</f>
        <v>573043623277</v>
      </c>
      <c r="AA56" s="4" t="e">
        <f t="shared" ca="1" si="1"/>
        <v>#NAME?</v>
      </c>
    </row>
    <row r="57" spans="1:27" ht="15.75" customHeight="1">
      <c r="A57" s="5" t="str">
        <f ca="1">IFERROR(__xludf.DUMMYFUNCTION("""COMPUTED_VALUE"""),"POSTOBÓN YUMBO")</f>
        <v>POSTOBÓN YUMBO</v>
      </c>
      <c r="B57" s="5" t="str">
        <f ca="1">IFERROR(__xludf.DUMMYFUNCTION("""COMPUTED_VALUE"""),"0410-LINEA 1")</f>
        <v>0410-LINEA 1</v>
      </c>
      <c r="C57" s="5" t="str">
        <f ca="1">IFERROR(__xludf.DUMMYFUNCTION("""COMPUTED_VALUE"""),"LINEA DE ENVASADO PET NO RETORNABLE")</f>
        <v>LINEA DE ENVASADO PET NO RETORNABLE</v>
      </c>
      <c r="D57" s="5">
        <f ca="1">IFERROR(__xludf.DUMMYFUNCTION("""COMPUTED_VALUE"""),820071)</f>
        <v>820071</v>
      </c>
      <c r="E57" s="5" t="str">
        <f ca="1">IFERROR(__xludf.DUMMYFUNCTION("""COMPUTED_VALUE"""),"ETIQUETADORA")</f>
        <v>ETIQUETADORA</v>
      </c>
      <c r="F57" s="5">
        <f ca="1">IFERROR(__xludf.DUMMYFUNCTION("""COMPUTED_VALUE"""),14083)</f>
        <v>14083</v>
      </c>
      <c r="G57" s="5" t="str">
        <f ca="1">IFERROR(__xludf.DUMMYFUNCTION("""COMPUTED_VALUE"""),"MTTO LUB ETIQUETADORA L1 820071")</f>
        <v>MTTO LUB ETIQUETADORA L1 820071</v>
      </c>
      <c r="H57" s="5">
        <f ca="1">IFERROR(__xludf.DUMMYFUNCTION("""COMPUTED_VALUE"""),13238375)</f>
        <v>13238375</v>
      </c>
      <c r="I57" s="5" t="str">
        <f ca="1">IFERROR(__xludf.DUMMYFUNCTION("""COMPUTED_VALUE"""),"Engrasador permanente/")</f>
        <v>Engrasador permanente/</v>
      </c>
      <c r="J57" s="5" t="str">
        <f ca="1">IFERROR(__xludf.DUMMYFUNCTION("""COMPUTED_VALUE"""),"MEDIO")</f>
        <v>MEDIO</v>
      </c>
      <c r="K57" s="5" t="str">
        <f ca="1">IFERROR(__xludf.DUMMYFUNCTION("""COMPUTED_VALUE"""),"Preventivo")</f>
        <v>Preventivo</v>
      </c>
      <c r="L57" s="5" t="str">
        <f ca="1">IFERROR(__xludf.DUMMYFUNCTION("""COMPUTED_VALUE"""),"Maquinaria")</f>
        <v>Maquinaria</v>
      </c>
      <c r="M57" s="5" t="str">
        <f ca="1">IFERROR(__xludf.DUMMYFUNCTION("""COMPUTED_VALUE"""),"No")</f>
        <v>No</v>
      </c>
      <c r="N57" s="5"/>
      <c r="O57" s="5"/>
      <c r="P57" s="18">
        <f ca="1">IFERROR(__xludf.DUMMYFUNCTION("""COMPUTED_VALUE"""),45336)</f>
        <v>45336</v>
      </c>
      <c r="Q57" s="18">
        <f ca="1">IFERROR(__xludf.DUMMYFUNCTION("""COMPUTED_VALUE"""),45336)</f>
        <v>45336</v>
      </c>
      <c r="R57" s="18"/>
      <c r="S57" s="5">
        <f ca="1">IFERROR(__xludf.DUMMYFUNCTION("""COMPUTED_VALUE"""),1)</f>
        <v>1</v>
      </c>
      <c r="T57" s="5"/>
      <c r="U57" s="5" t="str">
        <f ca="1">IFERROR(__xludf.DUMMYFUNCTION("""COMPUTED_VALUE"""),"Sanchez Rodriguez Gerson Andres")</f>
        <v>Sanchez Rodriguez Gerson Andres</v>
      </c>
      <c r="V57" s="5"/>
      <c r="W57" s="5" t="str">
        <f ca="1">IFERROR(__xludf.DUMMYFUNCTION("""COMPUTED_VALUE"""),"x0dSSTJEXYc")</f>
        <v>x0dSSTJEXYc</v>
      </c>
      <c r="X57" s="5">
        <f ca="1">IFERROR(__xludf.DUMMYFUNCTION("""COMPUTED_VALUE"""),1)</f>
        <v>1</v>
      </c>
      <c r="Y57" s="5" t="str">
        <f t="shared" si="0"/>
        <v>Actividad sin realizar</v>
      </c>
      <c r="Z57" s="3">
        <f ca="1">IFERROR(VLOOKUP(U57, 'Base de datos'!A:B, 2, FALSE), "")</f>
        <v>573112884549</v>
      </c>
      <c r="AA57" s="4" t="e">
        <f t="shared" ca="1" si="1"/>
        <v>#NAME?</v>
      </c>
    </row>
    <row r="58" spans="1:27" ht="15.75" customHeight="1">
      <c r="A58" s="5" t="str">
        <f ca="1">IFERROR(__xludf.DUMMYFUNCTION("""COMPUTED_VALUE"""),"POSTOBÓN YUMBO")</f>
        <v>POSTOBÓN YUMBO</v>
      </c>
      <c r="B58" s="5" t="str">
        <f ca="1">IFERROR(__xludf.DUMMYFUNCTION("""COMPUTED_VALUE"""),"0410-ENVASADO JUGOS PET HOT F")</f>
        <v>0410-ENVASADO JUGOS PET HOT F</v>
      </c>
      <c r="C58" s="5" t="str">
        <f ca="1">IFERROR(__xludf.DUMMYFUNCTION("""COMPUTED_VALUE"""),"LINEA DE ENVASADO JUGOS PET HOT FILL")</f>
        <v>LINEA DE ENVASADO JUGOS PET HOT FILL</v>
      </c>
      <c r="D58" s="5">
        <f ca="1">IFERROR(__xludf.DUMMYFUNCTION("""COMPUTED_VALUE"""),900305)</f>
        <v>900305</v>
      </c>
      <c r="E58" s="5" t="str">
        <f ca="1">IFERROR(__xludf.DUMMYFUNCTION("""COMPUTED_VALUE"""),"ETIQUETADORA")</f>
        <v>ETIQUETADORA</v>
      </c>
      <c r="F58" s="5">
        <f ca="1">IFERROR(__xludf.DUMMYFUNCTION("""COMPUTED_VALUE"""),14086)</f>
        <v>14086</v>
      </c>
      <c r="G58" s="5" t="str">
        <f ca="1">IFERROR(__xludf.DUMMYFUNCTION("""COMPUTED_VALUE"""),"MTTO MEC ETIQUETADORA L8 900305")</f>
        <v>MTTO MEC ETIQUETADORA L8 900305</v>
      </c>
      <c r="H58" s="5">
        <f ca="1">IFERROR(__xludf.DUMMYFUNCTION("""COMPUTED_VALUE"""),13247139)</f>
        <v>13247139</v>
      </c>
      <c r="I58" s="5" t="str">
        <f ca="1">IFERROR(__xludf.DUMMYFUNCTION("""COMPUTED_VALUE"""),"Cilindro de transferencia:")</f>
        <v>Cilindro de transferencia:</v>
      </c>
      <c r="J58" s="5" t="str">
        <f ca="1">IFERROR(__xludf.DUMMYFUNCTION("""COMPUTED_VALUE"""),"MEDIO")</f>
        <v>MEDIO</v>
      </c>
      <c r="K58" s="5" t="str">
        <f ca="1">IFERROR(__xludf.DUMMYFUNCTION("""COMPUTED_VALUE"""),"Preventivo")</f>
        <v>Preventivo</v>
      </c>
      <c r="L58" s="5" t="str">
        <f ca="1">IFERROR(__xludf.DUMMYFUNCTION("""COMPUTED_VALUE"""),"Maquinaria")</f>
        <v>Maquinaria</v>
      </c>
      <c r="M58" s="5" t="str">
        <f ca="1">IFERROR(__xludf.DUMMYFUNCTION("""COMPUTED_VALUE"""),"No")</f>
        <v>No</v>
      </c>
      <c r="N58" s="5"/>
      <c r="O58" s="5"/>
      <c r="P58" s="18">
        <f ca="1">IFERROR(__xludf.DUMMYFUNCTION("""COMPUTED_VALUE"""),45334)</f>
        <v>45334</v>
      </c>
      <c r="Q58" s="18">
        <f ca="1">IFERROR(__xludf.DUMMYFUNCTION("""COMPUTED_VALUE"""),45334)</f>
        <v>45334</v>
      </c>
      <c r="R58" s="18"/>
      <c r="S58" s="5">
        <f ca="1">IFERROR(__xludf.DUMMYFUNCTION("""COMPUTED_VALUE"""),4)</f>
        <v>4</v>
      </c>
      <c r="T58" s="5"/>
      <c r="U58" s="5" t="str">
        <f ca="1">IFERROR(__xludf.DUMMYFUNCTION("""COMPUTED_VALUE"""),"Bedoya Marin Johan Andres")</f>
        <v>Bedoya Marin Johan Andres</v>
      </c>
      <c r="V58" s="5"/>
      <c r="W58" s="5" t="str">
        <f ca="1">IFERROR(__xludf.DUMMYFUNCTION("""COMPUTED_VALUE"""),"dPoHwIpMNMY")</f>
        <v>dPoHwIpMNMY</v>
      </c>
      <c r="X58" s="5">
        <f ca="1">IFERROR(__xludf.DUMMYFUNCTION("""COMPUTED_VALUE"""),4)</f>
        <v>4</v>
      </c>
      <c r="Y58" s="5" t="str">
        <f t="shared" si="0"/>
        <v>Actividad sin realizar</v>
      </c>
      <c r="Z58" s="3">
        <f ca="1">IFERROR(VLOOKUP(U58, 'Base de datos'!A:B, 2, FALSE), "")</f>
        <v>573147103334</v>
      </c>
      <c r="AA58" s="4" t="e">
        <f t="shared" ca="1" si="1"/>
        <v>#NAME?</v>
      </c>
    </row>
    <row r="59" spans="1:27" ht="15.75" customHeight="1">
      <c r="A59" s="5" t="str">
        <f ca="1">IFERROR(__xludf.DUMMYFUNCTION("""COMPUTED_VALUE"""),"POSTOBÓN YUMBO")</f>
        <v>POSTOBÓN YUMBO</v>
      </c>
      <c r="B59" s="5" t="str">
        <f ca="1">IFERROR(__xludf.DUMMYFUNCTION("""COMPUTED_VALUE"""),"0410-EQUIPOS AUXILIARES")</f>
        <v>0410-EQUIPOS AUXILIARES</v>
      </c>
      <c r="C59" s="5" t="str">
        <f ca="1">IFERROR(__xludf.DUMMYFUNCTION("""COMPUTED_VALUE"""),"EQUIPOS PARA SERVICIOS INDUSTRIALES")</f>
        <v>EQUIPOS PARA SERVICIOS INDUSTRIALES</v>
      </c>
      <c r="D59" s="5">
        <f ca="1">IFERROR(__xludf.DUMMYFUNCTION("""COMPUTED_VALUE"""),638554)</f>
        <v>638554</v>
      </c>
      <c r="E59" s="5" t="str">
        <f ca="1">IFERROR(__xludf.DUMMYFUNCTION("""COMPUTED_VALUE"""),"CONDENSADOR EVAPORATIVO")</f>
        <v>CONDENSADOR EVAPORATIVO</v>
      </c>
      <c r="F59" s="5">
        <f ca="1">IFERROR(__xludf.DUMMYFUNCTION("""COMPUTED_VALUE"""),21699)</f>
        <v>21699</v>
      </c>
      <c r="G59" s="5" t="str">
        <f ca="1">IFERROR(__xludf.DUMMYFUNCTION("""COMPUTED_VALUE"""),"PLAN MTTO MEC CONDENSADOR EVAP GASEOSA")</f>
        <v>PLAN MTTO MEC CONDENSADOR EVAP GASEOSA</v>
      </c>
      <c r="H59" s="5">
        <f ca="1">IFERROR(__xludf.DUMMYFUNCTION("""COMPUTED_VALUE"""),13193540)</f>
        <v>13193540</v>
      </c>
      <c r="I59" s="5" t="str">
        <f ca="1">IFERROR(__xludf.DUMMYFUNCTION("""COMPUTED_VALUE"""),"Cambio total de agua y limpieza Gral")</f>
        <v>Cambio total de agua y limpieza Gral</v>
      </c>
      <c r="J59" s="5" t="str">
        <f ca="1">IFERROR(__xludf.DUMMYFUNCTION("""COMPUTED_VALUE"""),"MEDIO")</f>
        <v>MEDIO</v>
      </c>
      <c r="K59" s="5" t="str">
        <f ca="1">IFERROR(__xludf.DUMMYFUNCTION("""COMPUTED_VALUE"""),"Preventivo")</f>
        <v>Preventivo</v>
      </c>
      <c r="L59" s="5" t="str">
        <f ca="1">IFERROR(__xludf.DUMMYFUNCTION("""COMPUTED_VALUE"""),"Maquinaria")</f>
        <v>Maquinaria</v>
      </c>
      <c r="M59" s="5" t="str">
        <f ca="1">IFERROR(__xludf.DUMMYFUNCTION("""COMPUTED_VALUE"""),"No")</f>
        <v>No</v>
      </c>
      <c r="N59" s="5"/>
      <c r="O59" s="5"/>
      <c r="P59" s="18">
        <f ca="1">IFERROR(__xludf.DUMMYFUNCTION("""COMPUTED_VALUE"""),45326)</f>
        <v>45326</v>
      </c>
      <c r="Q59" s="18">
        <f ca="1">IFERROR(__xludf.DUMMYFUNCTION("""COMPUTED_VALUE"""),45326)</f>
        <v>45326</v>
      </c>
      <c r="R59" s="18"/>
      <c r="S59" s="5">
        <f ca="1">IFERROR(__xludf.DUMMYFUNCTION("""COMPUTED_VALUE"""),7)</f>
        <v>7</v>
      </c>
      <c r="T59" s="5"/>
      <c r="U59" s="5" t="str">
        <f ca="1">IFERROR(__xludf.DUMMYFUNCTION("""COMPUTED_VALUE"""),"Henao William")</f>
        <v>Henao William</v>
      </c>
      <c r="V59" s="5"/>
      <c r="W59" s="5" t="str">
        <f ca="1">IFERROR(__xludf.DUMMYFUNCTION("""COMPUTED_VALUE"""),"ZMpcPqu6V-I")</f>
        <v>ZMpcPqu6V-I</v>
      </c>
      <c r="X59" s="5">
        <f ca="1">IFERROR(__xludf.DUMMYFUNCTION("""COMPUTED_VALUE"""),7)</f>
        <v>7</v>
      </c>
      <c r="Y59" s="5" t="str">
        <f t="shared" si="0"/>
        <v>Actividad sin realizar</v>
      </c>
      <c r="Z59" s="3">
        <f ca="1">IFERROR(VLOOKUP(U59, 'Base de datos'!A:B, 2, FALSE), "")</f>
        <v>573222217492</v>
      </c>
      <c r="AA59" s="4" t="e">
        <f t="shared" ca="1" si="1"/>
        <v>#NAME?</v>
      </c>
    </row>
    <row r="60" spans="1:27" ht="15.75" customHeight="1">
      <c r="A60" s="5" t="str">
        <f ca="1">IFERROR(__xludf.DUMMYFUNCTION("""COMPUTED_VALUE"""),"POSTOBÓN YUMBO")</f>
        <v>POSTOBÓN YUMBO</v>
      </c>
      <c r="B60" s="5" t="str">
        <f ca="1">IFERROR(__xludf.DUMMYFUNCTION("""COMPUTED_VALUE"""),"0410-PLANTA DE AGUA ENVASADO")</f>
        <v>0410-PLANTA DE AGUA ENVASADO</v>
      </c>
      <c r="C60" s="5" t="str">
        <f ca="1">IFERROR(__xludf.DUMMYFUNCTION("""COMPUTED_VALUE"""),"TRATAMIENTO DE AGUA PARA ENVASADO")</f>
        <v>TRATAMIENTO DE AGUA PARA ENVASADO</v>
      </c>
      <c r="D60" s="5">
        <f ca="1">IFERROR(__xludf.DUMMYFUNCTION("""COMPUTED_VALUE"""),70949105)</f>
        <v>70949105</v>
      </c>
      <c r="E60" s="5" t="str">
        <f ca="1">IFERROR(__xludf.DUMMYFUNCTION("""COMPUTED_VALUE"""),"GENERADOR DE OXIGENO 1")</f>
        <v>GENERADOR DE OXIGENO 1</v>
      </c>
      <c r="F60" s="5">
        <f ca="1">IFERROR(__xludf.DUMMYFUNCTION("""COMPUTED_VALUE"""),42254)</f>
        <v>42254</v>
      </c>
      <c r="G60" s="5" t="str">
        <f ca="1">IFERROR(__xludf.DUMMYFUNCTION("""COMPUTED_VALUE"""),"PLAN MTTO MEC GENERADOR DE OXIGENO 1")</f>
        <v>PLAN MTTO MEC GENERADOR DE OXIGENO 1</v>
      </c>
      <c r="H60" s="5">
        <f ca="1">IFERROR(__xludf.DUMMYFUNCTION("""COMPUTED_VALUE"""),13229233)</f>
        <v>13229233</v>
      </c>
      <c r="I60" s="5" t="str">
        <f ca="1">IFERROR(__xludf.DUMMYFUNCTION("""COMPUTED_VALUE"""),"REVISAR/CAMBIO DE FILTROS AIRE")</f>
        <v>REVISAR/CAMBIO DE FILTROS AIRE</v>
      </c>
      <c r="J60" s="5" t="str">
        <f ca="1">IFERROR(__xludf.DUMMYFUNCTION("""COMPUTED_VALUE"""),"ALTO")</f>
        <v>ALTO</v>
      </c>
      <c r="K60" s="5" t="str">
        <f ca="1">IFERROR(__xludf.DUMMYFUNCTION("""COMPUTED_VALUE"""),"Preventivo")</f>
        <v>Preventivo</v>
      </c>
      <c r="L60" s="5" t="str">
        <f ca="1">IFERROR(__xludf.DUMMYFUNCTION("""COMPUTED_VALUE"""),"Maquinaria")</f>
        <v>Maquinaria</v>
      </c>
      <c r="M60" s="5" t="str">
        <f ca="1">IFERROR(__xludf.DUMMYFUNCTION("""COMPUTED_VALUE"""),"No")</f>
        <v>No</v>
      </c>
      <c r="N60" s="5"/>
      <c r="O60" s="5"/>
      <c r="P60" s="18">
        <f ca="1">IFERROR(__xludf.DUMMYFUNCTION("""COMPUTED_VALUE"""),45340)</f>
        <v>45340</v>
      </c>
      <c r="Q60" s="18">
        <f ca="1">IFERROR(__xludf.DUMMYFUNCTION("""COMPUTED_VALUE"""),45340)</f>
        <v>45340</v>
      </c>
      <c r="R60" s="18"/>
      <c r="S60" s="5">
        <f ca="1">IFERROR(__xludf.DUMMYFUNCTION("""COMPUTED_VALUE"""),2)</f>
        <v>2</v>
      </c>
      <c r="T60" s="5"/>
      <c r="U60" s="5" t="str">
        <f ca="1">IFERROR(__xludf.DUMMYFUNCTION("""COMPUTED_VALUE"""),"PAPAMIJA GUIDO")</f>
        <v>PAPAMIJA GUIDO</v>
      </c>
      <c r="V60" s="5"/>
      <c r="W60" s="5" t="str">
        <f ca="1">IFERROR(__xludf.DUMMYFUNCTION("""COMPUTED_VALUE"""),"u21q7AquX94")</f>
        <v>u21q7AquX94</v>
      </c>
      <c r="X60" s="5">
        <f ca="1">IFERROR(__xludf.DUMMYFUNCTION("""COMPUTED_VALUE"""),2)</f>
        <v>2</v>
      </c>
      <c r="Y60" s="5" t="str">
        <f t="shared" si="0"/>
        <v>Actividad sin realizar</v>
      </c>
      <c r="Z60" s="3">
        <f ca="1">IFERROR(VLOOKUP(U60, 'Base de datos'!A:B, 2, FALSE), "")</f>
        <v>573156712311</v>
      </c>
      <c r="AA60" s="4" t="e">
        <f t="shared" ca="1" si="1"/>
        <v>#NAME?</v>
      </c>
    </row>
    <row r="61" spans="1:27" ht="15.75" customHeight="1">
      <c r="A61" s="5" t="str">
        <f ca="1">IFERROR(__xludf.DUMMYFUNCTION("""COMPUTED_VALUE"""),"POSTOBÓN YUMBO")</f>
        <v>POSTOBÓN YUMBO</v>
      </c>
      <c r="B61" s="5" t="str">
        <f ca="1">IFERROR(__xludf.DUMMYFUNCTION("""COMPUTED_VALUE"""),"0410-LINEA 1")</f>
        <v>0410-LINEA 1</v>
      </c>
      <c r="C61" s="5" t="str">
        <f ca="1">IFERROR(__xludf.DUMMYFUNCTION("""COMPUTED_VALUE"""),"LINEA DE ENVASADO PET NO RETORNABLE")</f>
        <v>LINEA DE ENVASADO PET NO RETORNABLE</v>
      </c>
      <c r="D61" s="5">
        <f ca="1">IFERROR(__xludf.DUMMYFUNCTION("""COMPUTED_VALUE"""),829612)</f>
        <v>829612</v>
      </c>
      <c r="E61" s="5" t="str">
        <f ca="1">IFERROR(__xludf.DUMMYFUNCTION("""COMPUTED_VALUE"""),"TRANSPORTADOR AEREO")</f>
        <v>TRANSPORTADOR AEREO</v>
      </c>
      <c r="F61" s="5">
        <f ca="1">IFERROR(__xludf.DUMMYFUNCTION("""COMPUTED_VALUE"""),0)</f>
        <v>0</v>
      </c>
      <c r="G61" s="5" t="str">
        <f ca="1">IFERROR(__xludf.DUMMYFUNCTION("""COMPUTED_VALUE"""),"MTTO MAYOR TRANSP AEREO")</f>
        <v>MTTO MAYOR TRANSP AEREO</v>
      </c>
      <c r="H61" s="5">
        <f ca="1">IFERROR(__xludf.DUMMYFUNCTION("""COMPUTED_VALUE"""),13246525)</f>
        <v>13246525</v>
      </c>
      <c r="I61" s="5" t="str">
        <f ca="1">IFERROR(__xludf.DUMMYFUNCTION("""COMPUTED_VALUE"""),"CAMBIO GUIAS ENTRADA ETIQUETADORA")</f>
        <v>CAMBIO GUIAS ENTRADA ETIQUETADORA</v>
      </c>
      <c r="J61" s="5" t="str">
        <f ca="1">IFERROR(__xludf.DUMMYFUNCTION("""COMPUTED_VALUE"""),"ALTO")</f>
        <v>ALTO</v>
      </c>
      <c r="K61" s="5" t="str">
        <f ca="1">IFERROR(__xludf.DUMMYFUNCTION("""COMPUTED_VALUE"""),"Preventivo")</f>
        <v>Preventivo</v>
      </c>
      <c r="L61" s="5" t="str">
        <f ca="1">IFERROR(__xludf.DUMMYFUNCTION("""COMPUTED_VALUE"""),"Maquinaria")</f>
        <v>Maquinaria</v>
      </c>
      <c r="M61" s="5" t="str">
        <f ca="1">IFERROR(__xludf.DUMMYFUNCTION("""COMPUTED_VALUE"""),"No")</f>
        <v>No</v>
      </c>
      <c r="N61" s="5"/>
      <c r="O61" s="5"/>
      <c r="P61" s="18">
        <f ca="1">IFERROR(__xludf.DUMMYFUNCTION("""COMPUTED_VALUE"""),45323)</f>
        <v>45323</v>
      </c>
      <c r="Q61" s="18">
        <f ca="1">IFERROR(__xludf.DUMMYFUNCTION("""COMPUTED_VALUE"""),45323)</f>
        <v>45323</v>
      </c>
      <c r="R61" s="18"/>
      <c r="S61" s="5">
        <f ca="1">IFERROR(__xludf.DUMMYFUNCTION("""COMPUTED_VALUE"""),4)</f>
        <v>4</v>
      </c>
      <c r="T61" s="5"/>
      <c r="U61" s="5" t="str">
        <f ca="1">IFERROR(__xludf.DUMMYFUNCTION("""COMPUTED_VALUE"""),"FERNEYORLANDO RAMOS AULLON")</f>
        <v>FERNEYORLANDO RAMOS AULLON</v>
      </c>
      <c r="V61" s="5"/>
      <c r="W61" s="5" t="str">
        <f ca="1">IFERROR(__xludf.DUMMYFUNCTION("""COMPUTED_VALUE"""),"sNewLTBrbIs")</f>
        <v>sNewLTBrbIs</v>
      </c>
      <c r="X61" s="5">
        <f ca="1">IFERROR(__xludf.DUMMYFUNCTION("""COMPUTED_VALUE"""),4)</f>
        <v>4</v>
      </c>
      <c r="Y61" s="5" t="str">
        <f t="shared" si="0"/>
        <v>Actividad sin realizar</v>
      </c>
      <c r="Z61" s="3">
        <f ca="1">IFERROR(VLOOKUP(U61, 'Base de datos'!A:B, 2, FALSE), "")</f>
        <v>573117665570</v>
      </c>
      <c r="AA61" s="4" t="e">
        <f t="shared" ca="1" si="1"/>
        <v>#NAME?</v>
      </c>
    </row>
    <row r="62" spans="1:27" ht="15.75" customHeight="1">
      <c r="A62" s="5" t="str">
        <f ca="1">IFERROR(__xludf.DUMMYFUNCTION("""COMPUTED_VALUE"""),"POSTOBÓN YUMBO")</f>
        <v>POSTOBÓN YUMBO</v>
      </c>
      <c r="B62" s="5" t="str">
        <f ca="1">IFERROR(__xludf.DUMMYFUNCTION("""COMPUTED_VALUE"""),"0410-LINEA 1")</f>
        <v>0410-LINEA 1</v>
      </c>
      <c r="C62" s="5" t="str">
        <f ca="1">IFERROR(__xludf.DUMMYFUNCTION("""COMPUTED_VALUE"""),"LINEA DE ENVASADO PET NO RETORNABLE")</f>
        <v>LINEA DE ENVASADO PET NO RETORNABLE</v>
      </c>
      <c r="D62" s="5">
        <f ca="1">IFERROR(__xludf.DUMMYFUNCTION("""COMPUTED_VALUE"""),829614)</f>
        <v>829614</v>
      </c>
      <c r="E62" s="5" t="str">
        <f ca="1">IFERROR(__xludf.DUMMYFUNCTION("""COMPUTED_VALUE"""),"TRANSPORTADOR DE EMBALAJES")</f>
        <v>TRANSPORTADOR DE EMBALAJES</v>
      </c>
      <c r="F62" s="5">
        <f ca="1">IFERROR(__xludf.DUMMYFUNCTION("""COMPUTED_VALUE"""),0)</f>
        <v>0</v>
      </c>
      <c r="G62" s="5" t="str">
        <f ca="1">IFERROR(__xludf.DUMMYFUNCTION("""COMPUTED_VALUE"""),"MTTO MAYOR TRANSP PAQUETES L1")</f>
        <v>MTTO MAYOR TRANSP PAQUETES L1</v>
      </c>
      <c r="H62" s="5">
        <f ca="1">IFERROR(__xludf.DUMMYFUNCTION("""COMPUTED_VALUE"""),13246533)</f>
        <v>13246533</v>
      </c>
      <c r="I62" s="5" t="str">
        <f ca="1">IFERROR(__xludf.DUMMYFUNCTION("""COMPUTED_VALUE"""),"MTTO MAYOR TRANSP PAQUETES G21-33")</f>
        <v>MTTO MAYOR TRANSP PAQUETES G21-33</v>
      </c>
      <c r="J62" s="5" t="str">
        <f ca="1">IFERROR(__xludf.DUMMYFUNCTION("""COMPUTED_VALUE"""),"BAJO")</f>
        <v>BAJO</v>
      </c>
      <c r="K62" s="5" t="str">
        <f ca="1">IFERROR(__xludf.DUMMYFUNCTION("""COMPUTED_VALUE"""),"Preventivo")</f>
        <v>Preventivo</v>
      </c>
      <c r="L62" s="5" t="str">
        <f ca="1">IFERROR(__xludf.DUMMYFUNCTION("""COMPUTED_VALUE"""),"Maquinaria")</f>
        <v>Maquinaria</v>
      </c>
      <c r="M62" s="5" t="str">
        <f ca="1">IFERROR(__xludf.DUMMYFUNCTION("""COMPUTED_VALUE"""),"No")</f>
        <v>No</v>
      </c>
      <c r="N62" s="5"/>
      <c r="O62" s="5"/>
      <c r="P62" s="18">
        <f ca="1">IFERROR(__xludf.DUMMYFUNCTION("""COMPUTED_VALUE"""),45323)</f>
        <v>45323</v>
      </c>
      <c r="Q62" s="18">
        <f ca="1">IFERROR(__xludf.DUMMYFUNCTION("""COMPUTED_VALUE"""),45323)</f>
        <v>45323</v>
      </c>
      <c r="R62" s="18"/>
      <c r="S62" s="5">
        <f ca="1">IFERROR(__xludf.DUMMYFUNCTION("""COMPUTED_VALUE"""),4)</f>
        <v>4</v>
      </c>
      <c r="T62" s="5"/>
      <c r="U62" s="5" t="str">
        <f ca="1">IFERROR(__xludf.DUMMYFUNCTION("""COMPUTED_VALUE"""),"Mauricio Murillo Arrollo")</f>
        <v>Mauricio Murillo Arrollo</v>
      </c>
      <c r="V62" s="5"/>
      <c r="W62" s="5" t="str">
        <f ca="1">IFERROR(__xludf.DUMMYFUNCTION("""COMPUTED_VALUE"""),"HmDm36Vr_ak")</f>
        <v>HmDm36Vr_ak</v>
      </c>
      <c r="X62" s="5">
        <f ca="1">IFERROR(__xludf.DUMMYFUNCTION("""COMPUTED_VALUE"""),4)</f>
        <v>4</v>
      </c>
      <c r="Y62" s="5" t="str">
        <f t="shared" si="0"/>
        <v>Actividad sin realizar</v>
      </c>
      <c r="Z62" s="3">
        <f ca="1">IFERROR(VLOOKUP(U62, 'Base de datos'!A:B, 2, FALSE), "")</f>
        <v>573027971204</v>
      </c>
      <c r="AA62" s="4" t="e">
        <f t="shared" ca="1" si="1"/>
        <v>#NAME?</v>
      </c>
    </row>
    <row r="63" spans="1:27" ht="15.75" customHeight="1">
      <c r="A63" s="5" t="str">
        <f ca="1">IFERROR(__xludf.DUMMYFUNCTION("""COMPUTED_VALUE"""),"POSTOBÓN YUMBO")</f>
        <v>POSTOBÓN YUMBO</v>
      </c>
      <c r="B63" s="5" t="str">
        <f ca="1">IFERROR(__xludf.DUMMYFUNCTION("""COMPUTED_VALUE"""),"0410-ENVASADO JUGOS PET HOT F")</f>
        <v>0410-ENVASADO JUGOS PET HOT F</v>
      </c>
      <c r="C63" s="5" t="str">
        <f ca="1">IFERROR(__xludf.DUMMYFUNCTION("""COMPUTED_VALUE"""),"LINEA DE ENVASADO JUGOS PET HOT FILL")</f>
        <v>LINEA DE ENVASADO JUGOS PET HOT FILL</v>
      </c>
      <c r="D63" s="5">
        <f ca="1">IFERROR(__xludf.DUMMYFUNCTION("""COMPUTED_VALUE"""),599566)</f>
        <v>599566</v>
      </c>
      <c r="E63" s="5" t="str">
        <f ca="1">IFERROR(__xludf.DUMMYFUNCTION("""COMPUTED_VALUE"""),"INSPECTOR DE BOTELLA LLENA")</f>
        <v>INSPECTOR DE BOTELLA LLENA</v>
      </c>
      <c r="F63" s="5">
        <f ca="1">IFERROR(__xludf.DUMMYFUNCTION("""COMPUTED_VALUE"""),14082)</f>
        <v>14082</v>
      </c>
      <c r="G63" s="5" t="str">
        <f ca="1">IFERROR(__xludf.DUMMYFUNCTION("""COMPUTED_VALUE"""),"MTTO LUB CHECKMAT L8")</f>
        <v>MTTO LUB CHECKMAT L8</v>
      </c>
      <c r="H63" s="5">
        <f ca="1">IFERROR(__xludf.DUMMYFUNCTION("""COMPUTED_VALUE"""),13247136)</f>
        <v>13247136</v>
      </c>
      <c r="I63" s="5" t="str">
        <f ca="1">IFERROR(__xludf.DUMMYFUNCTION("""COMPUTED_VALUE"""),"Unidad de mantenimiento aire:")</f>
        <v>Unidad de mantenimiento aire:</v>
      </c>
      <c r="J63" s="5" t="str">
        <f ca="1">IFERROR(__xludf.DUMMYFUNCTION("""COMPUTED_VALUE"""),"ALTO")</f>
        <v>ALTO</v>
      </c>
      <c r="K63" s="5" t="str">
        <f ca="1">IFERROR(__xludf.DUMMYFUNCTION("""COMPUTED_VALUE"""),"Preventivo")</f>
        <v>Preventivo</v>
      </c>
      <c r="L63" s="5" t="str">
        <f ca="1">IFERROR(__xludf.DUMMYFUNCTION("""COMPUTED_VALUE"""),"Maquinaria")</f>
        <v>Maquinaria</v>
      </c>
      <c r="M63" s="5" t="str">
        <f ca="1">IFERROR(__xludf.DUMMYFUNCTION("""COMPUTED_VALUE"""),"No")</f>
        <v>No</v>
      </c>
      <c r="N63" s="5"/>
      <c r="O63" s="5"/>
      <c r="P63" s="18">
        <f ca="1">IFERROR(__xludf.DUMMYFUNCTION("""COMPUTED_VALUE"""),45340)</f>
        <v>45340</v>
      </c>
      <c r="Q63" s="18">
        <f ca="1">IFERROR(__xludf.DUMMYFUNCTION("""COMPUTED_VALUE"""),45340)</f>
        <v>45340</v>
      </c>
      <c r="R63" s="18"/>
      <c r="S63" s="5">
        <f ca="1">IFERROR(__xludf.DUMMYFUNCTION("""COMPUTED_VALUE"""),0.2)</f>
        <v>0.2</v>
      </c>
      <c r="T63" s="5"/>
      <c r="U63" s="5" t="str">
        <f ca="1">IFERROR(__xludf.DUMMYFUNCTION("""COMPUTED_VALUE"""),"Bedoya Marin Johan Andres")</f>
        <v>Bedoya Marin Johan Andres</v>
      </c>
      <c r="V63" s="5"/>
      <c r="W63" s="5" t="str">
        <f ca="1">IFERROR(__xludf.DUMMYFUNCTION("""COMPUTED_VALUE"""),"uqVL6Dd4MwE")</f>
        <v>uqVL6Dd4MwE</v>
      </c>
      <c r="X63" s="5">
        <f ca="1">IFERROR(__xludf.DUMMYFUNCTION("""COMPUTED_VALUE"""),0.2)</f>
        <v>0.2</v>
      </c>
      <c r="Y63" s="5" t="str">
        <f t="shared" si="0"/>
        <v>Actividad sin realizar</v>
      </c>
      <c r="Z63" s="3">
        <f ca="1">IFERROR(VLOOKUP(U63, 'Base de datos'!A:B, 2, FALSE), "")</f>
        <v>573147103334</v>
      </c>
      <c r="AA63" s="4" t="e">
        <f t="shared" ca="1" si="1"/>
        <v>#NAME?</v>
      </c>
    </row>
    <row r="64" spans="1:27" ht="15.75" customHeight="1">
      <c r="A64" s="5" t="str">
        <f ca="1">IFERROR(__xludf.DUMMYFUNCTION("""COMPUTED_VALUE"""),"POSTOBÓN YUMBO")</f>
        <v>POSTOBÓN YUMBO</v>
      </c>
      <c r="B64" s="5" t="str">
        <f ca="1">IFERROR(__xludf.DUMMYFUNCTION("""COMPUTED_VALUE"""),"0410-EQUIPOS AUXILIARES JUGOS")</f>
        <v>0410-EQUIPOS AUXILIARES JUGOS</v>
      </c>
      <c r="C64" s="5" t="str">
        <f ca="1">IFERROR(__xludf.DUMMYFUNCTION("""COMPUTED_VALUE"""),"EQUIPOS PARA SERVICIOS INDUSTRIALES JUGO")</f>
        <v>EQUIPOS PARA SERVICIOS INDUSTRIALES JUGO</v>
      </c>
      <c r="D64" s="5">
        <f ca="1">IFERROR(__xludf.DUMMYFUNCTION("""COMPUTED_VALUE"""),829059)</f>
        <v>829059</v>
      </c>
      <c r="E64" s="5" t="str">
        <f ca="1">IFERROR(__xludf.DUMMYFUNCTION("""COMPUTED_VALUE"""),"COMPRESOR DE REFRIGERACION No. 2 JUGOS")</f>
        <v>COMPRESOR DE REFRIGERACION No. 2 JUGOS</v>
      </c>
      <c r="F64" s="5">
        <f ca="1">IFERROR(__xludf.DUMMYFUNCTION("""COMPUTED_VALUE"""),0)</f>
        <v>0</v>
      </c>
      <c r="G64" s="5" t="str">
        <f ca="1">IFERROR(__xludf.DUMMYFUNCTION("""COMPUTED_VALUE"""),"CONSUMO LUB COMPRESOR TORNILLO JUGOS 2")</f>
        <v>CONSUMO LUB COMPRESOR TORNILLO JUGOS 2</v>
      </c>
      <c r="H64" s="5">
        <f ca="1">IFERROR(__xludf.DUMMYFUNCTION("""COMPUTED_VALUE"""),13230960)</f>
        <v>13230960</v>
      </c>
      <c r="I64" s="5" t="str">
        <f ca="1">IFERROR(__xludf.DUMMYFUNCTION("""COMPUTED_VALUE"""),"CONSUMO LUB COMPRESOR TORNILLO JUGOS 2")</f>
        <v>CONSUMO LUB COMPRESOR TORNILLO JUGOS 2</v>
      </c>
      <c r="J64" s="5" t="str">
        <f ca="1">IFERROR(__xludf.DUMMYFUNCTION("""COMPUTED_VALUE"""),"MEDIO")</f>
        <v>MEDIO</v>
      </c>
      <c r="K64" s="5" t="str">
        <f ca="1">IFERROR(__xludf.DUMMYFUNCTION("""COMPUTED_VALUE"""),"Preventivo")</f>
        <v>Preventivo</v>
      </c>
      <c r="L64" s="5" t="str">
        <f ca="1">IFERROR(__xludf.DUMMYFUNCTION("""COMPUTED_VALUE"""),"Maquinaria")</f>
        <v>Maquinaria</v>
      </c>
      <c r="M64" s="5" t="str">
        <f ca="1">IFERROR(__xludf.DUMMYFUNCTION("""COMPUTED_VALUE"""),"No")</f>
        <v>No</v>
      </c>
      <c r="N64" s="5"/>
      <c r="O64" s="5"/>
      <c r="P64" s="18">
        <f ca="1">IFERROR(__xludf.DUMMYFUNCTION("""COMPUTED_VALUE"""),45325)</f>
        <v>45325</v>
      </c>
      <c r="Q64" s="18">
        <f ca="1">IFERROR(__xludf.DUMMYFUNCTION("""COMPUTED_VALUE"""),45325)</f>
        <v>45325</v>
      </c>
      <c r="R64" s="18"/>
      <c r="S64" s="5">
        <f ca="1">IFERROR(__xludf.DUMMYFUNCTION("""COMPUTED_VALUE"""),1)</f>
        <v>1</v>
      </c>
      <c r="T64" s="5"/>
      <c r="U64" s="5" t="str">
        <f ca="1">IFERROR(__xludf.DUMMYFUNCTION("""COMPUTED_VALUE"""),"Lopez Raul")</f>
        <v>Lopez Raul</v>
      </c>
      <c r="V64" s="5"/>
      <c r="W64" s="5" t="str">
        <f ca="1">IFERROR(__xludf.DUMMYFUNCTION("""COMPUTED_VALUE"""),"PNZyBhPdl98")</f>
        <v>PNZyBhPdl98</v>
      </c>
      <c r="X64" s="5">
        <f ca="1">IFERROR(__xludf.DUMMYFUNCTION("""COMPUTED_VALUE"""),1)</f>
        <v>1</v>
      </c>
      <c r="Y64" s="5" t="str">
        <f t="shared" si="0"/>
        <v>Actividad sin realizar</v>
      </c>
      <c r="Z64" s="3">
        <f ca="1">IFERROR(VLOOKUP(U64, 'Base de datos'!A:B, 2, FALSE), "")</f>
        <v>573122172129</v>
      </c>
      <c r="AA64" s="4" t="e">
        <f t="shared" ca="1" si="1"/>
        <v>#NAME?</v>
      </c>
    </row>
    <row r="65" spans="1:27" ht="15.75" customHeight="1">
      <c r="A65" s="5" t="str">
        <f ca="1">IFERROR(__xludf.DUMMYFUNCTION("""COMPUTED_VALUE"""),"POSTOBÓN YUMBO")</f>
        <v>POSTOBÓN YUMBO</v>
      </c>
      <c r="B65" s="5" t="str">
        <f ca="1">IFERROR(__xludf.DUMMYFUNCTION("""COMPUTED_VALUE"""),"0410-LINEA 3")</f>
        <v>0410-LINEA 3</v>
      </c>
      <c r="C65" s="5" t="str">
        <f ca="1">IFERROR(__xludf.DUMMYFUNCTION("""COMPUTED_VALUE"""),"LINEA DE ENVASADO TAMAÑO PERSONAL")</f>
        <v>LINEA DE ENVASADO TAMAÑO PERSONAL</v>
      </c>
      <c r="D65" s="5">
        <f ca="1">IFERROR(__xludf.DUMMYFUNCTION("""COMPUTED_VALUE"""),508169)</f>
        <v>508169</v>
      </c>
      <c r="E65" s="5" t="str">
        <f ca="1">IFERROR(__xludf.DUMMYFUNCTION("""COMPUTED_VALUE"""),"LAVADORA DE BOTELLAS")</f>
        <v>LAVADORA DE BOTELLAS</v>
      </c>
      <c r="F65" s="5">
        <f ca="1">IFERROR(__xludf.DUMMYFUNCTION("""COMPUTED_VALUE"""),13351)</f>
        <v>13351</v>
      </c>
      <c r="G65" s="5" t="str">
        <f ca="1">IFERROR(__xludf.DUMMYFUNCTION("""COMPUTED_VALUE"""),"Mantto electrico lavadora de botellas.")</f>
        <v>Mantto electrico lavadora de botellas.</v>
      </c>
      <c r="H65" s="5">
        <f ca="1">IFERROR(__xludf.DUMMYFUNCTION("""COMPUTED_VALUE"""),13195262)</f>
        <v>13195262</v>
      </c>
      <c r="I65" s="5" t="str">
        <f ca="1">IFERROR(__xludf.DUMMYFUNCTION("""COMPUTED_VALUE"""),"Mantto motor principal y cambio")</f>
        <v>Mantto motor principal y cambio</v>
      </c>
      <c r="J65" s="5" t="str">
        <f ca="1">IFERROR(__xludf.DUMMYFUNCTION("""COMPUTED_VALUE"""),"ALTO")</f>
        <v>ALTO</v>
      </c>
      <c r="K65" s="5" t="str">
        <f ca="1">IFERROR(__xludf.DUMMYFUNCTION("""COMPUTED_VALUE"""),"Preventivo")</f>
        <v>Preventivo</v>
      </c>
      <c r="L65" s="5" t="str">
        <f ca="1">IFERROR(__xludf.DUMMYFUNCTION("""COMPUTED_VALUE"""),"Maquinaria")</f>
        <v>Maquinaria</v>
      </c>
      <c r="M65" s="5" t="str">
        <f ca="1">IFERROR(__xludf.DUMMYFUNCTION("""COMPUTED_VALUE"""),"No")</f>
        <v>No</v>
      </c>
      <c r="N65" s="5"/>
      <c r="O65" s="5"/>
      <c r="P65" s="18">
        <f ca="1">IFERROR(__xludf.DUMMYFUNCTION("""COMPUTED_VALUE"""),45323)</f>
        <v>45323</v>
      </c>
      <c r="Q65" s="18">
        <f ca="1">IFERROR(__xludf.DUMMYFUNCTION("""COMPUTED_VALUE"""),45323)</f>
        <v>45323</v>
      </c>
      <c r="R65" s="18"/>
      <c r="S65" s="5">
        <f ca="1">IFERROR(__xludf.DUMMYFUNCTION("""COMPUTED_VALUE"""),4)</f>
        <v>4</v>
      </c>
      <c r="T65" s="5"/>
      <c r="U65" s="5" t="str">
        <f ca="1">IFERROR(__xludf.DUMMYFUNCTION("""COMPUTED_VALUE"""),"Jimenez Jhon")</f>
        <v>Jimenez Jhon</v>
      </c>
      <c r="V65" s="5"/>
      <c r="W65" s="5" t="str">
        <f ca="1">IFERROR(__xludf.DUMMYFUNCTION("""COMPUTED_VALUE"""),"ot6Ysd6HmQw")</f>
        <v>ot6Ysd6HmQw</v>
      </c>
      <c r="X65" s="5">
        <f ca="1">IFERROR(__xludf.DUMMYFUNCTION("""COMPUTED_VALUE"""),4)</f>
        <v>4</v>
      </c>
      <c r="Y65" s="5" t="str">
        <f t="shared" si="0"/>
        <v>Actividad sin realizar</v>
      </c>
      <c r="Z65" s="3">
        <f ca="1">IFERROR(VLOOKUP(U65, 'Base de datos'!A:B, 2, FALSE), "")</f>
        <v>573147637946</v>
      </c>
      <c r="AA65" s="4" t="e">
        <f t="shared" ca="1" si="1"/>
        <v>#NAME?</v>
      </c>
    </row>
    <row r="66" spans="1:27" ht="15.75" customHeight="1">
      <c r="A66" s="5" t="str">
        <f ca="1">IFERROR(__xludf.DUMMYFUNCTION("""COMPUTED_VALUE"""),"POSTOBÓN YUMBO")</f>
        <v>POSTOBÓN YUMBO</v>
      </c>
      <c r="B66" s="5" t="str">
        <f ca="1">IFERROR(__xludf.DUMMYFUNCTION("""COMPUTED_VALUE"""),"0410-LINEA GARRAFAS")</f>
        <v>0410-LINEA GARRAFAS</v>
      </c>
      <c r="C66" s="5" t="str">
        <f ca="1">IFERROR(__xludf.DUMMYFUNCTION("""COMPUTED_VALUE"""),"LINEA PARA EL LLENADO DE GARRAFAS")</f>
        <v>LINEA PARA EL LLENADO DE GARRAFAS</v>
      </c>
      <c r="D66" s="5">
        <f ca="1">IFERROR(__xludf.DUMMYFUNCTION("""COMPUTED_VALUE"""),710019)</f>
        <v>710019</v>
      </c>
      <c r="E66" s="5" t="str">
        <f ca="1">IFERROR(__xludf.DUMMYFUNCTION("""COMPUTED_VALUE"""),"LLENADORA DE GARRAFAS")</f>
        <v>LLENADORA DE GARRAFAS</v>
      </c>
      <c r="F66" s="5">
        <f ca="1">IFERROR(__xludf.DUMMYFUNCTION("""COMPUTED_VALUE"""),22720)</f>
        <v>22720</v>
      </c>
      <c r="G66" s="5" t="str">
        <f ca="1">IFERROR(__xludf.DUMMYFUNCTION("""COMPUTED_VALUE"""),"PLAN MTTO MEC LLENADORA GARRAFAS 710019")</f>
        <v>PLAN MTTO MEC LLENADORA GARRAFAS 710019</v>
      </c>
      <c r="H66" s="5">
        <f ca="1">IFERROR(__xludf.DUMMYFUNCTION("""COMPUTED_VALUE"""),13193572)</f>
        <v>13193572</v>
      </c>
      <c r="I66" s="5" t="str">
        <f ca="1">IFERROR(__xludf.DUMMYFUNCTION("""COMPUTED_VALUE"""),"mesa elevadora")</f>
        <v>mesa elevadora</v>
      </c>
      <c r="J66" s="5" t="str">
        <f ca="1">IFERROR(__xludf.DUMMYFUNCTION("""COMPUTED_VALUE"""),"ALTO")</f>
        <v>ALTO</v>
      </c>
      <c r="K66" s="5" t="str">
        <f ca="1">IFERROR(__xludf.DUMMYFUNCTION("""COMPUTED_VALUE"""),"Preventivo")</f>
        <v>Preventivo</v>
      </c>
      <c r="L66" s="5" t="str">
        <f ca="1">IFERROR(__xludf.DUMMYFUNCTION("""COMPUTED_VALUE"""),"Maquinaria")</f>
        <v>Maquinaria</v>
      </c>
      <c r="M66" s="5" t="str">
        <f ca="1">IFERROR(__xludf.DUMMYFUNCTION("""COMPUTED_VALUE"""),"No")</f>
        <v>No</v>
      </c>
      <c r="N66" s="5"/>
      <c r="O66" s="5"/>
      <c r="P66" s="18">
        <f ca="1">IFERROR(__xludf.DUMMYFUNCTION("""COMPUTED_VALUE"""),45332)</f>
        <v>45332</v>
      </c>
      <c r="Q66" s="18">
        <f ca="1">IFERROR(__xludf.DUMMYFUNCTION("""COMPUTED_VALUE"""),45332)</f>
        <v>45332</v>
      </c>
      <c r="R66" s="18"/>
      <c r="S66" s="5">
        <f ca="1">IFERROR(__xludf.DUMMYFUNCTION("""COMPUTED_VALUE"""),4)</f>
        <v>4</v>
      </c>
      <c r="T66" s="5"/>
      <c r="U66" s="5" t="str">
        <f ca="1">IFERROR(__xludf.DUMMYFUNCTION("""COMPUTED_VALUE"""),"Víctor David Burbano Gómez")</f>
        <v>Víctor David Burbano Gómez</v>
      </c>
      <c r="V66" s="5"/>
      <c r="W66" s="5" t="str">
        <f ca="1">IFERROR(__xludf.DUMMYFUNCTION("""COMPUTED_VALUE"""),"jZGWqnnojlE")</f>
        <v>jZGWqnnojlE</v>
      </c>
      <c r="X66" s="5">
        <f ca="1">IFERROR(__xludf.DUMMYFUNCTION("""COMPUTED_VALUE"""),4)</f>
        <v>4</v>
      </c>
      <c r="Y66" s="5" t="str">
        <f t="shared" si="0"/>
        <v>Actividad sin realizar</v>
      </c>
      <c r="Z66" s="3">
        <f ca="1">IFERROR(VLOOKUP(U66, 'Base de datos'!A:B, 2, FALSE), "")</f>
        <v>573023403586</v>
      </c>
      <c r="AA66" s="4" t="e">
        <f t="shared" ca="1" si="1"/>
        <v>#NAME?</v>
      </c>
    </row>
    <row r="67" spans="1:27" ht="15.75" customHeight="1">
      <c r="A67" s="5" t="str">
        <f ca="1">IFERROR(__xludf.DUMMYFUNCTION("""COMPUTED_VALUE"""),"POSTOBÓN YUMBO")</f>
        <v>POSTOBÓN YUMBO</v>
      </c>
      <c r="B67" s="5" t="str">
        <f ca="1">IFERROR(__xludf.DUMMYFUNCTION("""COMPUTED_VALUE"""),"0410-EQUIPOS AUXILIARES")</f>
        <v>0410-EQUIPOS AUXILIARES</v>
      </c>
      <c r="C67" s="5" t="str">
        <f ca="1">IFERROR(__xludf.DUMMYFUNCTION("""COMPUTED_VALUE"""),"EQUIPOS PARA SERVICIOS INDUSTRIALES")</f>
        <v>EQUIPOS PARA SERVICIOS INDUSTRIALES</v>
      </c>
      <c r="D67" s="5">
        <f ca="1">IFERROR(__xludf.DUMMYFUNCTION("""COMPUTED_VALUE"""),829072)</f>
        <v>829072</v>
      </c>
      <c r="E67" s="5" t="str">
        <f ca="1">IFERROR(__xludf.DUMMYFUNCTION("""COMPUTED_VALUE"""),"COMPRESOR TORNILLO AIRE VEL. VARIABLE")</f>
        <v>COMPRESOR TORNILLO AIRE VEL. VARIABLE</v>
      </c>
      <c r="F67" s="5">
        <f ca="1">IFERROR(__xludf.DUMMYFUNCTION("""COMPUTED_VALUE"""),25380)</f>
        <v>25380</v>
      </c>
      <c r="G67" s="5" t="str">
        <f ca="1">IFERROR(__xludf.DUMMYFUNCTION("""COMPUTED_VALUE"""),"PLAN MTTO MEC COMPRESOR AIRE KAESER")</f>
        <v>PLAN MTTO MEC COMPRESOR AIRE KAESER</v>
      </c>
      <c r="H67" s="5">
        <f ca="1">IFERROR(__xludf.DUMMYFUNCTION("""COMPUTED_VALUE"""),13207475)</f>
        <v>13207475</v>
      </c>
      <c r="I67" s="5" t="str">
        <f ca="1">IFERROR(__xludf.DUMMYFUNCTION("""COMPUTED_VALUE"""),"VENTILACION TRANSMISION: CAMBIAR CARTUCH")</f>
        <v>VENTILACION TRANSMISION: CAMBIAR CARTUCH</v>
      </c>
      <c r="J67" s="5" t="str">
        <f ca="1">IFERROR(__xludf.DUMMYFUNCTION("""COMPUTED_VALUE"""),"MEDIO")</f>
        <v>MEDIO</v>
      </c>
      <c r="K67" s="5" t="str">
        <f ca="1">IFERROR(__xludf.DUMMYFUNCTION("""COMPUTED_VALUE"""),"Preventivo")</f>
        <v>Preventivo</v>
      </c>
      <c r="L67" s="5" t="str">
        <f ca="1">IFERROR(__xludf.DUMMYFUNCTION("""COMPUTED_VALUE"""),"Maquinaria")</f>
        <v>Maquinaria</v>
      </c>
      <c r="M67" s="5" t="str">
        <f ca="1">IFERROR(__xludf.DUMMYFUNCTION("""COMPUTED_VALUE"""),"No")</f>
        <v>No</v>
      </c>
      <c r="N67" s="5"/>
      <c r="O67" s="5"/>
      <c r="P67" s="18">
        <f ca="1">IFERROR(__xludf.DUMMYFUNCTION("""COMPUTED_VALUE"""),45345)</f>
        <v>45345</v>
      </c>
      <c r="Q67" s="18">
        <f ca="1">IFERROR(__xludf.DUMMYFUNCTION("""COMPUTED_VALUE"""),45345)</f>
        <v>45345</v>
      </c>
      <c r="R67" s="18"/>
      <c r="S67" s="5">
        <f ca="1">IFERROR(__xludf.DUMMYFUNCTION("""COMPUTED_VALUE"""),1)</f>
        <v>1</v>
      </c>
      <c r="T67" s="5"/>
      <c r="U67" s="5" t="str">
        <f ca="1">IFERROR(__xludf.DUMMYFUNCTION("""COMPUTED_VALUE"""),"JEFFERSON BRAVO PIEDRAHITA")</f>
        <v>JEFFERSON BRAVO PIEDRAHITA</v>
      </c>
      <c r="V67" s="5"/>
      <c r="W67" s="5" t="str">
        <f ca="1">IFERROR(__xludf.DUMMYFUNCTION("""COMPUTED_VALUE"""),"wmm1zLUpH38")</f>
        <v>wmm1zLUpH38</v>
      </c>
      <c r="X67" s="5">
        <f ca="1">IFERROR(__xludf.DUMMYFUNCTION("""COMPUTED_VALUE"""),1)</f>
        <v>1</v>
      </c>
      <c r="Y67" s="5" t="str">
        <f t="shared" si="0"/>
        <v>Actividad sin realizar</v>
      </c>
      <c r="Z67" s="3">
        <f ca="1">IFERROR(VLOOKUP(U67, 'Base de datos'!A:B, 2, FALSE), "")</f>
        <v>573043623277</v>
      </c>
      <c r="AA67" s="4" t="e">
        <f t="shared" ca="1" si="1"/>
        <v>#NAME?</v>
      </c>
    </row>
    <row r="68" spans="1:27" ht="15.75" customHeight="1">
      <c r="A68" s="5" t="str">
        <f ca="1">IFERROR(__xludf.DUMMYFUNCTION("""COMPUTED_VALUE"""),"POSTOBÓN YUMBO")</f>
        <v>POSTOBÓN YUMBO</v>
      </c>
      <c r="B68" s="5" t="str">
        <f ca="1">IFERROR(__xludf.DUMMYFUNCTION("""COMPUTED_VALUE"""),"0410-LINEA 1")</f>
        <v>0410-LINEA 1</v>
      </c>
      <c r="C68" s="5" t="str">
        <f ca="1">IFERROR(__xludf.DUMMYFUNCTION("""COMPUTED_VALUE"""),"LINEA DE ENVASADO PET NO RETORNABLE")</f>
        <v>LINEA DE ENVASADO PET NO RETORNABLE</v>
      </c>
      <c r="D68" s="5">
        <f ca="1">IFERROR(__xludf.DUMMYFUNCTION("""COMPUTED_VALUE"""),820071)</f>
        <v>820071</v>
      </c>
      <c r="E68" s="5" t="str">
        <f ca="1">IFERROR(__xludf.DUMMYFUNCTION("""COMPUTED_VALUE"""),"ETIQUETADORA")</f>
        <v>ETIQUETADORA</v>
      </c>
      <c r="F68" s="5">
        <f ca="1">IFERROR(__xludf.DUMMYFUNCTION("""COMPUTED_VALUE"""),37873)</f>
        <v>37873</v>
      </c>
      <c r="G68" s="5" t="str">
        <f ca="1">IFERROR(__xludf.DUMMYFUNCTION("""COMPUTED_VALUE"""),"INSPECCION SEMANAL ETIQUETADORA")</f>
        <v>INSPECCION SEMANAL ETIQUETADORA</v>
      </c>
      <c r="H68" s="5">
        <f ca="1">IFERROR(__xludf.DUMMYFUNCTION("""COMPUTED_VALUE"""),13214543)</f>
        <v>13214543</v>
      </c>
      <c r="I68" s="5" t="str">
        <f ca="1">IFERROR(__xludf.DUMMYFUNCTION("""COMPUTED_VALUE"""),"MANT. BOMBA VACIO")</f>
        <v>MANT. BOMBA VACIO</v>
      </c>
      <c r="J68" s="5" t="str">
        <f ca="1">IFERROR(__xludf.DUMMYFUNCTION("""COMPUTED_VALUE"""),"MEDIO")</f>
        <v>MEDIO</v>
      </c>
      <c r="K68" s="5" t="str">
        <f ca="1">IFERROR(__xludf.DUMMYFUNCTION("""COMPUTED_VALUE"""),"Preventivo")</f>
        <v>Preventivo</v>
      </c>
      <c r="L68" s="5" t="str">
        <f ca="1">IFERROR(__xludf.DUMMYFUNCTION("""COMPUTED_VALUE"""),"Maquinaria")</f>
        <v>Maquinaria</v>
      </c>
      <c r="M68" s="5" t="str">
        <f ca="1">IFERROR(__xludf.DUMMYFUNCTION("""COMPUTED_VALUE"""),"No")</f>
        <v>No</v>
      </c>
      <c r="N68" s="5"/>
      <c r="O68" s="5"/>
      <c r="P68" s="18">
        <f ca="1">IFERROR(__xludf.DUMMYFUNCTION("""COMPUTED_VALUE"""),45325)</f>
        <v>45325</v>
      </c>
      <c r="Q68" s="18">
        <f ca="1">IFERROR(__xludf.DUMMYFUNCTION("""COMPUTED_VALUE"""),45325)</f>
        <v>45325</v>
      </c>
      <c r="R68" s="18"/>
      <c r="S68" s="5">
        <f ca="1">IFERROR(__xludf.DUMMYFUNCTION("""COMPUTED_VALUE"""),1)</f>
        <v>1</v>
      </c>
      <c r="T68" s="5"/>
      <c r="U68" s="5" t="str">
        <f ca="1">IFERROR(__xludf.DUMMYFUNCTION("""COMPUTED_VALUE"""),"Sanchez Rodriguez Gerson Andres")</f>
        <v>Sanchez Rodriguez Gerson Andres</v>
      </c>
      <c r="V68" s="5"/>
      <c r="W68" s="5" t="str">
        <f ca="1">IFERROR(__xludf.DUMMYFUNCTION("""COMPUTED_VALUE"""),"lIiGXiLK5NU")</f>
        <v>lIiGXiLK5NU</v>
      </c>
      <c r="X68" s="5">
        <f ca="1">IFERROR(__xludf.DUMMYFUNCTION("""COMPUTED_VALUE"""),1)</f>
        <v>1</v>
      </c>
      <c r="Y68" s="5" t="str">
        <f t="shared" si="0"/>
        <v>Actividad sin realizar</v>
      </c>
      <c r="Z68" s="3">
        <f ca="1">IFERROR(VLOOKUP(U68, 'Base de datos'!A:B, 2, FALSE), "")</f>
        <v>573112884549</v>
      </c>
      <c r="AA68" s="4" t="e">
        <f t="shared" ca="1" si="1"/>
        <v>#NAME?</v>
      </c>
    </row>
    <row r="69" spans="1:27" ht="15.75" customHeight="1">
      <c r="A69" s="5" t="str">
        <f ca="1">IFERROR(__xludf.DUMMYFUNCTION("""COMPUTED_VALUE"""),"POSTOBÓN YUMBO")</f>
        <v>POSTOBÓN YUMBO</v>
      </c>
      <c r="B69" s="5" t="str">
        <f ca="1">IFERROR(__xludf.DUMMYFUNCTION("""COMPUTED_VALUE"""),"0410-ENVASADO JUGOS PET HOT F")</f>
        <v>0410-ENVASADO JUGOS PET HOT F</v>
      </c>
      <c r="C69" s="5" t="str">
        <f ca="1">IFERROR(__xludf.DUMMYFUNCTION("""COMPUTED_VALUE"""),"LINEA DE ENVASADO JUGOS PET HOT FILL")</f>
        <v>LINEA DE ENVASADO JUGOS PET HOT FILL</v>
      </c>
      <c r="D69" s="5">
        <f ca="1">IFERROR(__xludf.DUMMYFUNCTION("""COMPUTED_VALUE"""),82964103)</f>
        <v>82964103</v>
      </c>
      <c r="E69" s="5" t="str">
        <f ca="1">IFERROR(__xludf.DUMMYFUNCTION("""COMPUTED_VALUE"""),"CODIFICADOR LASER")</f>
        <v>CODIFICADOR LASER</v>
      </c>
      <c r="F69" s="5">
        <f ca="1">IFERROR(__xludf.DUMMYFUNCTION("""COMPUTED_VALUE"""),37859)</f>
        <v>37859</v>
      </c>
      <c r="G69" s="5" t="str">
        <f ca="1">IFERROR(__xludf.DUMMYFUNCTION("""COMPUTED_VALUE"""),"INSPECCION SEMANAL CODIFICADOR LASER")</f>
        <v>INSPECCION SEMANAL CODIFICADOR LASER</v>
      </c>
      <c r="H69" s="5">
        <f ca="1">IFERROR(__xludf.DUMMYFUNCTION("""COMPUTED_VALUE"""),13214507)</f>
        <v>13214507</v>
      </c>
      <c r="I69" s="5" t="str">
        <f ca="1">IFERROR(__xludf.DUMMYFUNCTION("""COMPUTED_VALUE"""),"CAMBIO FILTRO")</f>
        <v>CAMBIO FILTRO</v>
      </c>
      <c r="J69" s="5" t="str">
        <f ca="1">IFERROR(__xludf.DUMMYFUNCTION("""COMPUTED_VALUE"""),"ALTO")</f>
        <v>ALTO</v>
      </c>
      <c r="K69" s="5" t="str">
        <f ca="1">IFERROR(__xludf.DUMMYFUNCTION("""COMPUTED_VALUE"""),"Preventivo")</f>
        <v>Preventivo</v>
      </c>
      <c r="L69" s="5" t="str">
        <f ca="1">IFERROR(__xludf.DUMMYFUNCTION("""COMPUTED_VALUE"""),"Maquinaria")</f>
        <v>Maquinaria</v>
      </c>
      <c r="M69" s="5" t="str">
        <f ca="1">IFERROR(__xludf.DUMMYFUNCTION("""COMPUTED_VALUE"""),"No")</f>
        <v>No</v>
      </c>
      <c r="N69" s="5"/>
      <c r="O69" s="5"/>
      <c r="P69" s="18">
        <f ca="1">IFERROR(__xludf.DUMMYFUNCTION("""COMPUTED_VALUE"""),45325)</f>
        <v>45325</v>
      </c>
      <c r="Q69" s="18">
        <f ca="1">IFERROR(__xludf.DUMMYFUNCTION("""COMPUTED_VALUE"""),45325)</f>
        <v>45325</v>
      </c>
      <c r="R69" s="18"/>
      <c r="S69" s="5">
        <f ca="1">IFERROR(__xludf.DUMMYFUNCTION("""COMPUTED_VALUE"""),1)</f>
        <v>1</v>
      </c>
      <c r="T69" s="5"/>
      <c r="U69" s="5" t="str">
        <f ca="1">IFERROR(__xludf.DUMMYFUNCTION("""COMPUTED_VALUE"""),"Álvaro Celeita Muñoz")</f>
        <v>Álvaro Celeita Muñoz</v>
      </c>
      <c r="V69" s="5"/>
      <c r="W69" s="5" t="str">
        <f ca="1">IFERROR(__xludf.DUMMYFUNCTION("""COMPUTED_VALUE"""),"LpG7w6-HRNM")</f>
        <v>LpG7w6-HRNM</v>
      </c>
      <c r="X69" s="5">
        <f ca="1">IFERROR(__xludf.DUMMYFUNCTION("""COMPUTED_VALUE"""),1)</f>
        <v>1</v>
      </c>
      <c r="Y69" s="5" t="str">
        <f t="shared" si="0"/>
        <v>Actividad sin realizar</v>
      </c>
      <c r="Z69" s="3">
        <f ca="1">IFERROR(VLOOKUP(U69, 'Base de datos'!A:B, 2, FALSE), "")</f>
        <v>573148174772</v>
      </c>
      <c r="AA69" s="4" t="e">
        <f t="shared" ca="1" si="1"/>
        <v>#NAME?</v>
      </c>
    </row>
    <row r="70" spans="1:27" ht="15.75" customHeight="1">
      <c r="A70" s="5" t="str">
        <f ca="1">IFERROR(__xludf.DUMMYFUNCTION("""COMPUTED_VALUE"""),"POSTOBÓN YUMBO")</f>
        <v>POSTOBÓN YUMBO</v>
      </c>
      <c r="B70" s="5" t="str">
        <f ca="1">IFERROR(__xludf.DUMMYFUNCTION("""COMPUTED_VALUE"""),"0410-ENVASADO JUGOS PET HOT F")</f>
        <v>0410-ENVASADO JUGOS PET HOT F</v>
      </c>
      <c r="C70" s="5" t="str">
        <f ca="1">IFERROR(__xludf.DUMMYFUNCTION("""COMPUTED_VALUE"""),"LINEA DE ENVASADO JUGOS PET HOT FILL")</f>
        <v>LINEA DE ENVASADO JUGOS PET HOT FILL</v>
      </c>
      <c r="D70" s="5">
        <f ca="1">IFERROR(__xludf.DUMMYFUNCTION("""COMPUTED_VALUE"""),829667)</f>
        <v>829667</v>
      </c>
      <c r="E70" s="5" t="str">
        <f ca="1">IFERROR(__xludf.DUMMYFUNCTION("""COMPUTED_VALUE"""),"TRANSPORTADOR DE EMBALAJES")</f>
        <v>TRANSPORTADOR DE EMBALAJES</v>
      </c>
      <c r="F70" s="5">
        <f ca="1">IFERROR(__xludf.DUMMYFUNCTION("""COMPUTED_VALUE"""),37859)</f>
        <v>37859</v>
      </c>
      <c r="G70" s="5" t="str">
        <f ca="1">IFERROR(__xludf.DUMMYFUNCTION("""COMPUTED_VALUE"""),"INSPECCION SEMANAL TRANSPORTADOR DE EMBA")</f>
        <v>INSPECCION SEMANAL TRANSPORTADOR DE EMBA</v>
      </c>
      <c r="H70" s="5">
        <f ca="1">IFERROR(__xludf.DUMMYFUNCTION("""COMPUTED_VALUE"""),13214525)</f>
        <v>13214525</v>
      </c>
      <c r="I70" s="5" t="str">
        <f ca="1">IFERROR(__xludf.DUMMYFUNCTION("""COMPUTED_VALUE"""),"cambio retenes")</f>
        <v>cambio retenes</v>
      </c>
      <c r="J70" s="5" t="str">
        <f ca="1">IFERROR(__xludf.DUMMYFUNCTION("""COMPUTED_VALUE"""),"MEDIO")</f>
        <v>MEDIO</v>
      </c>
      <c r="K70" s="5" t="str">
        <f ca="1">IFERROR(__xludf.DUMMYFUNCTION("""COMPUTED_VALUE"""),"Preventivo")</f>
        <v>Preventivo</v>
      </c>
      <c r="L70" s="5" t="str">
        <f ca="1">IFERROR(__xludf.DUMMYFUNCTION("""COMPUTED_VALUE"""),"Maquinaria")</f>
        <v>Maquinaria</v>
      </c>
      <c r="M70" s="5" t="str">
        <f ca="1">IFERROR(__xludf.DUMMYFUNCTION("""COMPUTED_VALUE"""),"No")</f>
        <v>No</v>
      </c>
      <c r="N70" s="5"/>
      <c r="O70" s="5"/>
      <c r="P70" s="18">
        <f ca="1">IFERROR(__xludf.DUMMYFUNCTION("""COMPUTED_VALUE"""),45325)</f>
        <v>45325</v>
      </c>
      <c r="Q70" s="18">
        <f ca="1">IFERROR(__xludf.DUMMYFUNCTION("""COMPUTED_VALUE"""),45325)</f>
        <v>45325</v>
      </c>
      <c r="R70" s="18"/>
      <c r="S70" s="5">
        <f ca="1">IFERROR(__xludf.DUMMYFUNCTION("""COMPUTED_VALUE"""),1)</f>
        <v>1</v>
      </c>
      <c r="T70" s="5"/>
      <c r="U70" s="5" t="str">
        <f ca="1">IFERROR(__xludf.DUMMYFUNCTION("""COMPUTED_VALUE"""),"Martinez Delgado Osver")</f>
        <v>Martinez Delgado Osver</v>
      </c>
      <c r="V70" s="5"/>
      <c r="W70" s="5" t="str">
        <f ca="1">IFERROR(__xludf.DUMMYFUNCTION("""COMPUTED_VALUE"""),"qcXgjPJr6sE")</f>
        <v>qcXgjPJr6sE</v>
      </c>
      <c r="X70" s="5">
        <f ca="1">IFERROR(__xludf.DUMMYFUNCTION("""COMPUTED_VALUE"""),1)</f>
        <v>1</v>
      </c>
      <c r="Y70" s="5" t="str">
        <f t="shared" si="0"/>
        <v>Actividad sin realizar</v>
      </c>
      <c r="Z70" s="3">
        <f ca="1">IFERROR(VLOOKUP(U70, 'Base de datos'!A:B, 2, FALSE), "")</f>
        <v>573104055117</v>
      </c>
      <c r="AA70" s="4" t="e">
        <f t="shared" ca="1" si="1"/>
        <v>#NAME?</v>
      </c>
    </row>
    <row r="71" spans="1:27" ht="15.75" customHeight="1">
      <c r="A71" s="5" t="str">
        <f ca="1">IFERROR(__xludf.DUMMYFUNCTION("""COMPUTED_VALUE"""),"POSTOBÓN YUMBO")</f>
        <v>POSTOBÓN YUMBO</v>
      </c>
      <c r="B71" s="5" t="str">
        <f ca="1">IFERROR(__xludf.DUMMYFUNCTION("""COMPUTED_VALUE"""),"0410-LINEA BOTELLON 20 LTS")</f>
        <v>0410-LINEA BOTELLON 20 LTS</v>
      </c>
      <c r="C71" s="5" t="str">
        <f ca="1">IFERROR(__xludf.DUMMYFUNCTION("""COMPUTED_VALUE"""),"LINEA DE PRODUCCION DE BOTELLONES DE 20")</f>
        <v>LINEA DE PRODUCCION DE BOTELLONES DE 20</v>
      </c>
      <c r="D71" s="5">
        <f ca="1">IFERROR(__xludf.DUMMYFUNCTION("""COMPUTED_VALUE"""),71951101)</f>
        <v>71951101</v>
      </c>
      <c r="E71" s="5" t="str">
        <f ca="1">IFERROR(__xludf.DUMMYFUNCTION("""COMPUTED_VALUE"""),"TRANSPORTADORES DE BOTELLONES")</f>
        <v>TRANSPORTADORES DE BOTELLONES</v>
      </c>
      <c r="F71" s="5">
        <f ca="1">IFERROR(__xludf.DUMMYFUNCTION("""COMPUTED_VALUE"""),0)</f>
        <v>0</v>
      </c>
      <c r="G71" s="5" t="str">
        <f ca="1">IFERROR(__xludf.DUMMYFUNCTION("""COMPUTED_VALUE"""),"CONSUMO LUB TRANS BOTELLON")</f>
        <v>CONSUMO LUB TRANS BOTELLON</v>
      </c>
      <c r="H71" s="5">
        <f ca="1">IFERROR(__xludf.DUMMYFUNCTION("""COMPUTED_VALUE"""),13230954)</f>
        <v>13230954</v>
      </c>
      <c r="I71" s="5" t="str">
        <f ca="1">IFERROR(__xludf.DUMMYFUNCTION("""COMPUTED_VALUE"""),"CONSUMO LUB TRANS BOTELLON")</f>
        <v>CONSUMO LUB TRANS BOTELLON</v>
      </c>
      <c r="J71" s="5" t="str">
        <f ca="1">IFERROR(__xludf.DUMMYFUNCTION("""COMPUTED_VALUE"""),"MEDIO")</f>
        <v>MEDIO</v>
      </c>
      <c r="K71" s="5" t="str">
        <f ca="1">IFERROR(__xludf.DUMMYFUNCTION("""COMPUTED_VALUE"""),"Preventivo")</f>
        <v>Preventivo</v>
      </c>
      <c r="L71" s="5" t="str">
        <f ca="1">IFERROR(__xludf.DUMMYFUNCTION("""COMPUTED_VALUE"""),"Maquinaria")</f>
        <v>Maquinaria</v>
      </c>
      <c r="M71" s="5" t="str">
        <f ca="1">IFERROR(__xludf.DUMMYFUNCTION("""COMPUTED_VALUE"""),"No")</f>
        <v>No</v>
      </c>
      <c r="N71" s="5"/>
      <c r="O71" s="5"/>
      <c r="P71" s="18">
        <f ca="1">IFERROR(__xludf.DUMMYFUNCTION("""COMPUTED_VALUE"""),45324)</f>
        <v>45324</v>
      </c>
      <c r="Q71" s="18">
        <f ca="1">IFERROR(__xludf.DUMMYFUNCTION("""COMPUTED_VALUE"""),45324)</f>
        <v>45324</v>
      </c>
      <c r="R71" s="18"/>
      <c r="S71" s="5">
        <f ca="1">IFERROR(__xludf.DUMMYFUNCTION("""COMPUTED_VALUE"""),1)</f>
        <v>1</v>
      </c>
      <c r="T71" s="5"/>
      <c r="U71" s="5" t="str">
        <f ca="1">IFERROR(__xludf.DUMMYFUNCTION("""COMPUTED_VALUE"""),"Víctor David Burbano Gómez")</f>
        <v>Víctor David Burbano Gómez</v>
      </c>
      <c r="V71" s="5"/>
      <c r="W71" s="5" t="str">
        <f ca="1">IFERROR(__xludf.DUMMYFUNCTION("""COMPUTED_VALUE"""),"fn5kfGiHnGU")</f>
        <v>fn5kfGiHnGU</v>
      </c>
      <c r="X71" s="5">
        <f ca="1">IFERROR(__xludf.DUMMYFUNCTION("""COMPUTED_VALUE"""),1)</f>
        <v>1</v>
      </c>
      <c r="Y71" s="5" t="str">
        <f t="shared" si="0"/>
        <v>Actividad sin realizar</v>
      </c>
      <c r="Z71" s="3">
        <f ca="1">IFERROR(VLOOKUP(U71, 'Base de datos'!A:B, 2, FALSE), "")</f>
        <v>573023403586</v>
      </c>
      <c r="AA71" s="4" t="e">
        <f t="shared" ca="1" si="1"/>
        <v>#NAME?</v>
      </c>
    </row>
    <row r="72" spans="1:27" ht="15.75" customHeight="1">
      <c r="A72" s="5" t="str">
        <f ca="1">IFERROR(__xludf.DUMMYFUNCTION("""COMPUTED_VALUE"""),"POSTOBÓN YUMBO")</f>
        <v>POSTOBÓN YUMBO</v>
      </c>
      <c r="B72" s="5" t="str">
        <f ca="1">IFERROR(__xludf.DUMMYFUNCTION("""COMPUTED_VALUE"""),"0410-LINEA 3")</f>
        <v>0410-LINEA 3</v>
      </c>
      <c r="C72" s="5" t="str">
        <f ca="1">IFERROR(__xludf.DUMMYFUNCTION("""COMPUTED_VALUE"""),"LINEA DE ENVASADO TAMAÑO PERSONAL")</f>
        <v>LINEA DE ENVASADO TAMAÑO PERSONAL</v>
      </c>
      <c r="D72" s="5">
        <f ca="1">IFERROR(__xludf.DUMMYFUNCTION("""COMPUTED_VALUE"""),558020)</f>
        <v>558020</v>
      </c>
      <c r="E72" s="5" t="str">
        <f ca="1">IFERROR(__xludf.DUMMYFUNCTION("""COMPUTED_VALUE"""),"EMPACADORA")</f>
        <v>EMPACADORA</v>
      </c>
      <c r="F72" s="5">
        <f ca="1">IFERROR(__xludf.DUMMYFUNCTION("""COMPUTED_VALUE"""),22604)</f>
        <v>22604</v>
      </c>
      <c r="G72" s="5" t="str">
        <f ca="1">IFERROR(__xludf.DUMMYFUNCTION("""COMPUTED_VALUE"""),"PLAN MTTO MEC EMPACADORA 558020 L3")</f>
        <v>PLAN MTTO MEC EMPACADORA 558020 L3</v>
      </c>
      <c r="H72" s="5">
        <f ca="1">IFERROR(__xludf.DUMMYFUNCTION("""COMPUTED_VALUE"""),13185964)</f>
        <v>13185964</v>
      </c>
      <c r="I72" s="5" t="str">
        <f ca="1">IFERROR(__xludf.DUMMYFUNCTION("""COMPUTED_VALUE"""),"Transportadores Cajas")</f>
        <v>Transportadores Cajas</v>
      </c>
      <c r="J72" s="5" t="str">
        <f ca="1">IFERROR(__xludf.DUMMYFUNCTION("""COMPUTED_VALUE"""),"MEDIO")</f>
        <v>MEDIO</v>
      </c>
      <c r="K72" s="5" t="str">
        <f ca="1">IFERROR(__xludf.DUMMYFUNCTION("""COMPUTED_VALUE"""),"Preventivo")</f>
        <v>Preventivo</v>
      </c>
      <c r="L72" s="5" t="str">
        <f ca="1">IFERROR(__xludf.DUMMYFUNCTION("""COMPUTED_VALUE"""),"Maquinaria")</f>
        <v>Maquinaria</v>
      </c>
      <c r="M72" s="5" t="str">
        <f ca="1">IFERROR(__xludf.DUMMYFUNCTION("""COMPUTED_VALUE"""),"No")</f>
        <v>No</v>
      </c>
      <c r="N72" s="5"/>
      <c r="O72" s="5"/>
      <c r="P72" s="18">
        <f ca="1">IFERROR(__xludf.DUMMYFUNCTION("""COMPUTED_VALUE"""),45324)</f>
        <v>45324</v>
      </c>
      <c r="Q72" s="18">
        <f ca="1">IFERROR(__xludf.DUMMYFUNCTION("""COMPUTED_VALUE"""),45324)</f>
        <v>45324</v>
      </c>
      <c r="R72" s="18"/>
      <c r="S72" s="5">
        <f ca="1">IFERROR(__xludf.DUMMYFUNCTION("""COMPUTED_VALUE"""),8)</f>
        <v>8</v>
      </c>
      <c r="T72" s="5"/>
      <c r="U72" s="5" t="str">
        <f ca="1">IFERROR(__xludf.DUMMYFUNCTION("""COMPUTED_VALUE"""),"Jimenez Jhon")</f>
        <v>Jimenez Jhon</v>
      </c>
      <c r="V72" s="5"/>
      <c r="W72" s="5" t="str">
        <f ca="1">IFERROR(__xludf.DUMMYFUNCTION("""COMPUTED_VALUE"""),"gJcXdEYR5nQ")</f>
        <v>gJcXdEYR5nQ</v>
      </c>
      <c r="X72" s="5">
        <f ca="1">IFERROR(__xludf.DUMMYFUNCTION("""COMPUTED_VALUE"""),8)</f>
        <v>8</v>
      </c>
      <c r="Y72" s="5" t="str">
        <f t="shared" si="0"/>
        <v>Actividad sin realizar</v>
      </c>
      <c r="Z72" s="3">
        <f ca="1">IFERROR(VLOOKUP(U72, 'Base de datos'!A:B, 2, FALSE), "")</f>
        <v>573147637946</v>
      </c>
      <c r="AA72" s="4" t="e">
        <f t="shared" ca="1" si="1"/>
        <v>#NAME?</v>
      </c>
    </row>
    <row r="73" spans="1:27" ht="15.75" customHeight="1">
      <c r="A73" s="5" t="str">
        <f ca="1">IFERROR(__xludf.DUMMYFUNCTION("""COMPUTED_VALUE"""),"POSTOBÓN YUMBO")</f>
        <v>POSTOBÓN YUMBO</v>
      </c>
      <c r="B73" s="5" t="str">
        <f ca="1">IFERROR(__xludf.DUMMYFUNCTION("""COMPUTED_VALUE"""),"0410-SALA DE JARABE TERMINADO")</f>
        <v>0410-SALA DE JARABE TERMINADO</v>
      </c>
      <c r="C73" s="5" t="str">
        <f ca="1">IFERROR(__xludf.DUMMYFUNCTION("""COMPUTED_VALUE"""),"EQUIPOS PARA PREPARACION DE JARABE")</f>
        <v>EQUIPOS PARA PREPARACION DE JARABE</v>
      </c>
      <c r="D73" s="5">
        <f ca="1">IFERROR(__xludf.DUMMYFUNCTION("""COMPUTED_VALUE"""),69963415)</f>
        <v>69963415</v>
      </c>
      <c r="E73" s="5" t="str">
        <f ca="1">IFERROR(__xludf.DUMMYFUNCTION("""COMPUTED_VALUE"""),"TANQUE ALMAC.JARABE SIMPLE")</f>
        <v>TANQUE ALMAC.JARABE SIMPLE</v>
      </c>
      <c r="F73" s="5">
        <f ca="1">IFERROR(__xludf.DUMMYFUNCTION("""COMPUTED_VALUE"""),17361)</f>
        <v>17361</v>
      </c>
      <c r="G73" s="5" t="str">
        <f ca="1">IFERROR(__xludf.DUMMYFUNCTION("""COMPUTED_VALUE"""),"MTTO ELE TK JARABE SIMPL JARABE TERMIN")</f>
        <v>MTTO ELE TK JARABE SIMPL JARABE TERMIN</v>
      </c>
      <c r="H73" s="5">
        <f ca="1">IFERROR(__xludf.DUMMYFUNCTION("""COMPUTED_VALUE"""),13247149)</f>
        <v>13247149</v>
      </c>
      <c r="I73" s="5" t="str">
        <f ca="1">IFERROR(__xludf.DUMMYFUNCTION("""COMPUTED_VALUE"""),"MOTOR BOMBAS (5):")</f>
        <v>MOTOR BOMBAS (5):</v>
      </c>
      <c r="J73" s="5" t="str">
        <f ca="1">IFERROR(__xludf.DUMMYFUNCTION("""COMPUTED_VALUE"""),"ALTO")</f>
        <v>ALTO</v>
      </c>
      <c r="K73" s="5" t="str">
        <f ca="1">IFERROR(__xludf.DUMMYFUNCTION("""COMPUTED_VALUE"""),"Preventivo")</f>
        <v>Preventivo</v>
      </c>
      <c r="L73" s="5" t="str">
        <f ca="1">IFERROR(__xludf.DUMMYFUNCTION("""COMPUTED_VALUE"""),"Maquinaria")</f>
        <v>Maquinaria</v>
      </c>
      <c r="M73" s="5" t="str">
        <f ca="1">IFERROR(__xludf.DUMMYFUNCTION("""COMPUTED_VALUE"""),"No")</f>
        <v>No</v>
      </c>
      <c r="N73" s="5"/>
      <c r="O73" s="5">
        <f ca="1">IFERROR(__xludf.DUMMYFUNCTION("""COMPUTED_VALUE"""),100)</f>
        <v>100</v>
      </c>
      <c r="P73" s="18">
        <f ca="1">IFERROR(__xludf.DUMMYFUNCTION("""COMPUTED_VALUE"""),45343)</f>
        <v>45343</v>
      </c>
      <c r="Q73" s="18">
        <f ca="1">IFERROR(__xludf.DUMMYFUNCTION("""COMPUTED_VALUE"""),45343)</f>
        <v>45343</v>
      </c>
      <c r="R73" s="18"/>
      <c r="S73" s="5">
        <f ca="1">IFERROR(__xludf.DUMMYFUNCTION("""COMPUTED_VALUE"""),4)</f>
        <v>4</v>
      </c>
      <c r="T73" s="5"/>
      <c r="U73" s="5" t="str">
        <f ca="1">IFERROR(__xludf.DUMMYFUNCTION("""COMPUTED_VALUE"""),"Rivas Mena Carlos Danny")</f>
        <v>Rivas Mena Carlos Danny</v>
      </c>
      <c r="V73" s="5"/>
      <c r="W73" s="5" t="str">
        <f ca="1">IFERROR(__xludf.DUMMYFUNCTION("""COMPUTED_VALUE"""),"PW8fb52akcQ")</f>
        <v>PW8fb52akcQ</v>
      </c>
      <c r="X73" s="5">
        <f ca="1">IFERROR(__xludf.DUMMYFUNCTION("""COMPUTED_VALUE"""),4)</f>
        <v>4</v>
      </c>
      <c r="Y73" s="5" t="str">
        <f t="shared" ca="1" si="0"/>
        <v>Actividad realizada</v>
      </c>
      <c r="Z73" s="3">
        <f ca="1">IFERROR(VLOOKUP(U73, 'Base de datos'!A:B, 2, FALSE), "")</f>
        <v>0</v>
      </c>
      <c r="AA73" s="4" t="e">
        <f t="shared" ca="1" si="1"/>
        <v>#NAME?</v>
      </c>
    </row>
    <row r="74" spans="1:27" ht="15.75" customHeight="1">
      <c r="A74" s="5" t="str">
        <f ca="1">IFERROR(__xludf.DUMMYFUNCTION("""COMPUTED_VALUE"""),"POSTOBÓN YUMBO")</f>
        <v>POSTOBÓN YUMBO</v>
      </c>
      <c r="B74" s="5" t="str">
        <f ca="1">IFERROR(__xludf.DUMMYFUNCTION("""COMPUTED_VALUE"""),"0410-LINEA PET CSD")</f>
        <v>0410-LINEA PET CSD</v>
      </c>
      <c r="C74" s="5" t="str">
        <f ca="1">IFERROR(__xludf.DUMMYFUNCTION("""COMPUTED_VALUE"""),"LINEA PET CSD - LINEA 10")</f>
        <v>LINEA PET CSD - LINEA 10</v>
      </c>
      <c r="D74" s="5">
        <f ca="1">IFERROR(__xludf.DUMMYFUNCTION("""COMPUTED_VALUE"""),579080)</f>
        <v>579080</v>
      </c>
      <c r="E74" s="5" t="str">
        <f ca="1">IFERROR(__xludf.DUMMYFUNCTION("""COMPUTED_VALUE"""),"PALETIZADORA")</f>
        <v>PALETIZADORA</v>
      </c>
      <c r="F74" s="5">
        <f ca="1">IFERROR(__xludf.DUMMYFUNCTION("""COMPUTED_VALUE"""),0)</f>
        <v>0</v>
      </c>
      <c r="G74" s="5" t="str">
        <f ca="1">IFERROR(__xludf.DUMMYFUNCTION("""COMPUTED_VALUE"""),"CONSUMO LUB PALETIZADORA L10")</f>
        <v>CONSUMO LUB PALETIZADORA L10</v>
      </c>
      <c r="H74" s="5">
        <f ca="1">IFERROR(__xludf.DUMMYFUNCTION("""COMPUTED_VALUE"""),13230955)</f>
        <v>13230955</v>
      </c>
      <c r="I74" s="5" t="str">
        <f ca="1">IFERROR(__xludf.DUMMYFUNCTION("""COMPUTED_VALUE"""),"CONSUMO LUB PALETIZADORA L10")</f>
        <v>CONSUMO LUB PALETIZADORA L10</v>
      </c>
      <c r="J74" s="5" t="str">
        <f ca="1">IFERROR(__xludf.DUMMYFUNCTION("""COMPUTED_VALUE"""),"MEDIO")</f>
        <v>MEDIO</v>
      </c>
      <c r="K74" s="5" t="str">
        <f ca="1">IFERROR(__xludf.DUMMYFUNCTION("""COMPUTED_VALUE"""),"Preventivo")</f>
        <v>Preventivo</v>
      </c>
      <c r="L74" s="5" t="str">
        <f ca="1">IFERROR(__xludf.DUMMYFUNCTION("""COMPUTED_VALUE"""),"Maquinaria")</f>
        <v>Maquinaria</v>
      </c>
      <c r="M74" s="5" t="str">
        <f ca="1">IFERROR(__xludf.DUMMYFUNCTION("""COMPUTED_VALUE"""),"No")</f>
        <v>No</v>
      </c>
      <c r="N74" s="5"/>
      <c r="O74" s="5">
        <f ca="1">IFERROR(__xludf.DUMMYFUNCTION("""COMPUTED_VALUE"""),100)</f>
        <v>100</v>
      </c>
      <c r="P74" s="18">
        <f ca="1">IFERROR(__xludf.DUMMYFUNCTION("""COMPUTED_VALUE"""),45325)</f>
        <v>45325</v>
      </c>
      <c r="Q74" s="18">
        <f ca="1">IFERROR(__xludf.DUMMYFUNCTION("""COMPUTED_VALUE"""),45325)</f>
        <v>45325</v>
      </c>
      <c r="R74" s="18"/>
      <c r="S74" s="5">
        <f ca="1">IFERROR(__xludf.DUMMYFUNCTION("""COMPUTED_VALUE"""),1)</f>
        <v>1</v>
      </c>
      <c r="T74" s="5"/>
      <c r="U74" s="5" t="str">
        <f ca="1">IFERROR(__xludf.DUMMYFUNCTION("""COMPUTED_VALUE"""),"Lucumi Juan")</f>
        <v>Lucumi Juan</v>
      </c>
      <c r="V74" s="5"/>
      <c r="W74" s="5" t="str">
        <f ca="1">IFERROR(__xludf.DUMMYFUNCTION("""COMPUTED_VALUE"""),"zbAJoYqAkxI")</f>
        <v>zbAJoYqAkxI</v>
      </c>
      <c r="X74" s="5">
        <f ca="1">IFERROR(__xludf.DUMMYFUNCTION("""COMPUTED_VALUE"""),1)</f>
        <v>1</v>
      </c>
      <c r="Y74" s="5" t="str">
        <f t="shared" ca="1" si="0"/>
        <v>Actividad realizada</v>
      </c>
      <c r="Z74" s="3">
        <f ca="1">IFERROR(VLOOKUP(U74, 'Base de datos'!A:B, 2, FALSE), "")</f>
        <v>573042194088</v>
      </c>
      <c r="AA74" s="4" t="e">
        <f t="shared" ca="1" si="1"/>
        <v>#NAME?</v>
      </c>
    </row>
    <row r="75" spans="1:27" ht="15.75" customHeight="1">
      <c r="A75" s="5" t="str">
        <f ca="1">IFERROR(__xludf.DUMMYFUNCTION("""COMPUTED_VALUE"""),"POSTOBÓN YUMBO")</f>
        <v>POSTOBÓN YUMBO</v>
      </c>
      <c r="B75" s="5" t="str">
        <f ca="1">IFERROR(__xludf.DUMMYFUNCTION("""COMPUTED_VALUE"""),"0410-LINEA 1")</f>
        <v>0410-LINEA 1</v>
      </c>
      <c r="C75" s="5" t="str">
        <f ca="1">IFERROR(__xludf.DUMMYFUNCTION("""COMPUTED_VALUE"""),"LINEA DE ENVASADO PET NO RETORNABLE")</f>
        <v>LINEA DE ENVASADO PET NO RETORNABLE</v>
      </c>
      <c r="D75" s="5">
        <f ca="1">IFERROR(__xludf.DUMMYFUNCTION("""COMPUTED_VALUE"""),820071)</f>
        <v>820071</v>
      </c>
      <c r="E75" s="5" t="str">
        <f ca="1">IFERROR(__xludf.DUMMYFUNCTION("""COMPUTED_VALUE"""),"ETIQUETADORA")</f>
        <v>ETIQUETADORA</v>
      </c>
      <c r="F75" s="5">
        <f ca="1">IFERROR(__xludf.DUMMYFUNCTION("""COMPUTED_VALUE"""),14083)</f>
        <v>14083</v>
      </c>
      <c r="G75" s="5" t="str">
        <f ca="1">IFERROR(__xludf.DUMMYFUNCTION("""COMPUTED_VALUE"""),"MTTO MEC ETIQUETADORA L1 820071")</f>
        <v>MTTO MEC ETIQUETADORA L1 820071</v>
      </c>
      <c r="H75" s="5">
        <f ca="1">IFERROR(__xludf.DUMMYFUNCTION("""COMPUTED_VALUE"""),13238371)</f>
        <v>13238371</v>
      </c>
      <c r="I75" s="5" t="str">
        <f ca="1">IFERROR(__xludf.DUMMYFUNCTION("""COMPUTED_VALUE"""),"Estaci¢n de alisado/ placa")</f>
        <v>Estaci¢n de alisado/ placa</v>
      </c>
      <c r="J75" s="5" t="str">
        <f ca="1">IFERROR(__xludf.DUMMYFUNCTION("""COMPUTED_VALUE"""),"MEDIO")</f>
        <v>MEDIO</v>
      </c>
      <c r="K75" s="5" t="str">
        <f ca="1">IFERROR(__xludf.DUMMYFUNCTION("""COMPUTED_VALUE"""),"Preventivo")</f>
        <v>Preventivo</v>
      </c>
      <c r="L75" s="5" t="str">
        <f ca="1">IFERROR(__xludf.DUMMYFUNCTION("""COMPUTED_VALUE"""),"Maquinaria")</f>
        <v>Maquinaria</v>
      </c>
      <c r="M75" s="5" t="str">
        <f ca="1">IFERROR(__xludf.DUMMYFUNCTION("""COMPUTED_VALUE"""),"No")</f>
        <v>No</v>
      </c>
      <c r="N75" s="5"/>
      <c r="O75" s="5"/>
      <c r="P75" s="18">
        <f ca="1">IFERROR(__xludf.DUMMYFUNCTION("""COMPUTED_VALUE"""),45334)</f>
        <v>45334</v>
      </c>
      <c r="Q75" s="18">
        <f ca="1">IFERROR(__xludf.DUMMYFUNCTION("""COMPUTED_VALUE"""),45334)</f>
        <v>45334</v>
      </c>
      <c r="R75" s="18"/>
      <c r="S75" s="5">
        <f ca="1">IFERROR(__xludf.DUMMYFUNCTION("""COMPUTED_VALUE"""),1)</f>
        <v>1</v>
      </c>
      <c r="T75" s="5"/>
      <c r="U75" s="5" t="str">
        <f ca="1">IFERROR(__xludf.DUMMYFUNCTION("""COMPUTED_VALUE"""),"Sanchez Rodriguez Gerson Andres")</f>
        <v>Sanchez Rodriguez Gerson Andres</v>
      </c>
      <c r="V75" s="5"/>
      <c r="W75" s="5" t="str">
        <f ca="1">IFERROR(__xludf.DUMMYFUNCTION("""COMPUTED_VALUE"""),"P0YRGezNAqk")</f>
        <v>P0YRGezNAqk</v>
      </c>
      <c r="X75" s="5">
        <f ca="1">IFERROR(__xludf.DUMMYFUNCTION("""COMPUTED_VALUE"""),1)</f>
        <v>1</v>
      </c>
      <c r="Y75" s="5" t="str">
        <f t="shared" si="0"/>
        <v>Actividad sin realizar</v>
      </c>
      <c r="Z75" s="3">
        <f ca="1">IFERROR(VLOOKUP(U75, 'Base de datos'!A:B, 2, FALSE), "")</f>
        <v>573112884549</v>
      </c>
      <c r="AA75" s="4" t="e">
        <f t="shared" ca="1" si="1"/>
        <v>#NAME?</v>
      </c>
    </row>
    <row r="76" spans="1:27" ht="15.75" customHeight="1">
      <c r="A76" s="5" t="str">
        <f ca="1">IFERROR(__xludf.DUMMYFUNCTION("""COMPUTED_VALUE"""),"POSTOBÓN YUMBO")</f>
        <v>POSTOBÓN YUMBO</v>
      </c>
      <c r="B76" s="5" t="str">
        <f ca="1">IFERROR(__xludf.DUMMYFUNCTION("""COMPUTED_VALUE"""),"0410-ENVASADO JUGOS PET HOT F")</f>
        <v>0410-ENVASADO JUGOS PET HOT F</v>
      </c>
      <c r="C76" s="5" t="str">
        <f ca="1">IFERROR(__xludf.DUMMYFUNCTION("""COMPUTED_VALUE"""),"LINEA DE ENVASADO JUGOS PET HOT FILL")</f>
        <v>LINEA DE ENVASADO JUGOS PET HOT FILL</v>
      </c>
      <c r="D76" s="5">
        <f ca="1">IFERROR(__xludf.DUMMYFUNCTION("""COMPUTED_VALUE"""),710319)</f>
        <v>710319</v>
      </c>
      <c r="E76" s="5" t="str">
        <f ca="1">IFERROR(__xludf.DUMMYFUNCTION("""COMPUTED_VALUE"""),"ENFARDADORA")</f>
        <v>ENFARDADORA</v>
      </c>
      <c r="F76" s="5">
        <f ca="1">IFERROR(__xludf.DUMMYFUNCTION("""COMPUTED_VALUE"""),22575)</f>
        <v>22575</v>
      </c>
      <c r="G76" s="5" t="str">
        <f ca="1">IFERROR(__xludf.DUMMYFUNCTION("""COMPUTED_VALUE"""),"PLAN MTTO MEC ENFARDADORA L8 710319")</f>
        <v>PLAN MTTO MEC ENFARDADORA L8 710319</v>
      </c>
      <c r="H76" s="5">
        <f ca="1">IFERROR(__xludf.DUMMYFUNCTION("""COMPUTED_VALUE"""),13247201)</f>
        <v>13247201</v>
      </c>
      <c r="I76" s="5" t="str">
        <f ca="1">IFERROR(__xludf.DUMMYFUNCTION("""COMPUTED_VALUE"""),"cambio de cuchilla de corte")</f>
        <v>cambio de cuchilla de corte</v>
      </c>
      <c r="J76" s="5" t="str">
        <f ca="1">IFERROR(__xludf.DUMMYFUNCTION("""COMPUTED_VALUE"""),"MEDIO")</f>
        <v>MEDIO</v>
      </c>
      <c r="K76" s="5" t="str">
        <f ca="1">IFERROR(__xludf.DUMMYFUNCTION("""COMPUTED_VALUE"""),"Preventivo")</f>
        <v>Preventivo</v>
      </c>
      <c r="L76" s="5" t="str">
        <f ca="1">IFERROR(__xludf.DUMMYFUNCTION("""COMPUTED_VALUE"""),"Maquinaria")</f>
        <v>Maquinaria</v>
      </c>
      <c r="M76" s="5" t="str">
        <f ca="1">IFERROR(__xludf.DUMMYFUNCTION("""COMPUTED_VALUE"""),"No")</f>
        <v>No</v>
      </c>
      <c r="N76" s="5"/>
      <c r="O76" s="5"/>
      <c r="P76" s="18">
        <f ca="1">IFERROR(__xludf.DUMMYFUNCTION("""COMPUTED_VALUE"""),45351)</f>
        <v>45351</v>
      </c>
      <c r="Q76" s="18">
        <f ca="1">IFERROR(__xludf.DUMMYFUNCTION("""COMPUTED_VALUE"""),45351)</f>
        <v>45351</v>
      </c>
      <c r="R76" s="18"/>
      <c r="S76" s="5">
        <f ca="1">IFERROR(__xludf.DUMMYFUNCTION("""COMPUTED_VALUE"""),4)</f>
        <v>4</v>
      </c>
      <c r="T76" s="5"/>
      <c r="U76" s="5" t="str">
        <f ca="1">IFERROR(__xludf.DUMMYFUNCTION("""COMPUTED_VALUE"""),"Lopez Correa Jonathan")</f>
        <v>Lopez Correa Jonathan</v>
      </c>
      <c r="V76" s="5"/>
      <c r="W76" s="5" t="str">
        <f ca="1">IFERROR(__xludf.DUMMYFUNCTION("""COMPUTED_VALUE"""),"6vWTQz619m8")</f>
        <v>6vWTQz619m8</v>
      </c>
      <c r="X76" s="5">
        <f ca="1">IFERROR(__xludf.DUMMYFUNCTION("""COMPUTED_VALUE"""),4)</f>
        <v>4</v>
      </c>
      <c r="Y76" s="5" t="str">
        <f t="shared" si="0"/>
        <v>Actividad sin realizar</v>
      </c>
      <c r="Z76" s="3">
        <f ca="1">IFERROR(VLOOKUP(U76, 'Base de datos'!A:B, 2, FALSE), "")</f>
        <v>573215267623</v>
      </c>
      <c r="AA76" s="4" t="e">
        <f t="shared" ca="1" si="1"/>
        <v>#NAME?</v>
      </c>
    </row>
    <row r="77" spans="1:27" ht="15.75" customHeight="1">
      <c r="A77" s="5" t="str">
        <f ca="1">IFERROR(__xludf.DUMMYFUNCTION("""COMPUTED_VALUE"""),"POSTOBÓN YUMBO")</f>
        <v>POSTOBÓN YUMBO</v>
      </c>
      <c r="B77" s="5" t="str">
        <f ca="1">IFERROR(__xludf.DUMMYFUNCTION("""COMPUTED_VALUE"""),"0410-EQUIPOS AUXILIARES")</f>
        <v>0410-EQUIPOS AUXILIARES</v>
      </c>
      <c r="C77" s="5" t="str">
        <f ca="1">IFERROR(__xludf.DUMMYFUNCTION("""COMPUTED_VALUE"""),"EQUIPOS PARA SERVICIOS INDUSTRIALES")</f>
        <v>EQUIPOS PARA SERVICIOS INDUSTRIALES</v>
      </c>
      <c r="D77" s="5">
        <f ca="1">IFERROR(__xludf.DUMMYFUNCTION("""COMPUTED_VALUE"""),638556)</f>
        <v>638556</v>
      </c>
      <c r="E77" s="5" t="str">
        <f ca="1">IFERROR(__xludf.DUMMYFUNCTION("""COMPUTED_VALUE"""),"CONDENSADOR EVAPORATIVO")</f>
        <v>CONDENSADOR EVAPORATIVO</v>
      </c>
      <c r="F77" s="5">
        <f ca="1">IFERROR(__xludf.DUMMYFUNCTION("""COMPUTED_VALUE"""),21701)</f>
        <v>21701</v>
      </c>
      <c r="G77" s="5" t="str">
        <f ca="1">IFERROR(__xludf.DUMMYFUNCTION("""COMPUTED_VALUE"""),"PLAN MTTO MEC CONDENSADOR EVAP GASEOSA")</f>
        <v>PLAN MTTO MEC CONDENSADOR EVAP GASEOSA</v>
      </c>
      <c r="H77" s="5">
        <f ca="1">IFERROR(__xludf.DUMMYFUNCTION("""COMPUTED_VALUE"""),13207394)</f>
        <v>13207394</v>
      </c>
      <c r="I77" s="5" t="str">
        <f ca="1">IFERROR(__xludf.DUMMYFUNCTION("""COMPUTED_VALUE"""),"Cambio total de agua y limpieza Gral")</f>
        <v>Cambio total de agua y limpieza Gral</v>
      </c>
      <c r="J77" s="5" t="str">
        <f ca="1">IFERROR(__xludf.DUMMYFUNCTION("""COMPUTED_VALUE"""),"MEDIO")</f>
        <v>MEDIO</v>
      </c>
      <c r="K77" s="5" t="str">
        <f ca="1">IFERROR(__xludf.DUMMYFUNCTION("""COMPUTED_VALUE"""),"Preventivo")</f>
        <v>Preventivo</v>
      </c>
      <c r="L77" s="5" t="str">
        <f ca="1">IFERROR(__xludf.DUMMYFUNCTION("""COMPUTED_VALUE"""),"Maquinaria")</f>
        <v>Maquinaria</v>
      </c>
      <c r="M77" s="5" t="str">
        <f ca="1">IFERROR(__xludf.DUMMYFUNCTION("""COMPUTED_VALUE"""),"No")</f>
        <v>No</v>
      </c>
      <c r="N77" s="5"/>
      <c r="O77" s="5"/>
      <c r="P77" s="18">
        <f ca="1">IFERROR(__xludf.DUMMYFUNCTION("""COMPUTED_VALUE"""),45340)</f>
        <v>45340</v>
      </c>
      <c r="Q77" s="18">
        <f ca="1">IFERROR(__xludf.DUMMYFUNCTION("""COMPUTED_VALUE"""),45340)</f>
        <v>45340</v>
      </c>
      <c r="R77" s="18"/>
      <c r="S77" s="5">
        <f ca="1">IFERROR(__xludf.DUMMYFUNCTION("""COMPUTED_VALUE"""),7)</f>
        <v>7</v>
      </c>
      <c r="T77" s="5"/>
      <c r="U77" s="5" t="str">
        <f ca="1">IFERROR(__xludf.DUMMYFUNCTION("""COMPUTED_VALUE"""),"Henao William")</f>
        <v>Henao William</v>
      </c>
      <c r="V77" s="5"/>
      <c r="W77" s="5" t="str">
        <f ca="1">IFERROR(__xludf.DUMMYFUNCTION("""COMPUTED_VALUE"""),"pOcaTZX1mXo")</f>
        <v>pOcaTZX1mXo</v>
      </c>
      <c r="X77" s="5">
        <f ca="1">IFERROR(__xludf.DUMMYFUNCTION("""COMPUTED_VALUE"""),7)</f>
        <v>7</v>
      </c>
      <c r="Y77" s="5" t="str">
        <f t="shared" si="0"/>
        <v>Actividad sin realizar</v>
      </c>
      <c r="Z77" s="3">
        <f ca="1">IFERROR(VLOOKUP(U77, 'Base de datos'!A:B, 2, FALSE), "")</f>
        <v>573222217492</v>
      </c>
      <c r="AA77" s="4" t="e">
        <f t="shared" ca="1" si="1"/>
        <v>#NAME?</v>
      </c>
    </row>
    <row r="78" spans="1:27" ht="15.75" customHeight="1">
      <c r="A78" s="5" t="str">
        <f ca="1">IFERROR(__xludf.DUMMYFUNCTION("""COMPUTED_VALUE"""),"POSTOBÓN YUMBO")</f>
        <v>POSTOBÓN YUMBO</v>
      </c>
      <c r="B78" s="5" t="str">
        <f ca="1">IFERROR(__xludf.DUMMYFUNCTION("""COMPUTED_VALUE"""),"0410-LINEA DE BOLSAS")</f>
        <v>0410-LINEA DE BOLSAS</v>
      </c>
      <c r="C78" s="5" t="str">
        <f ca="1">IFERROR(__xludf.DUMMYFUNCTION("""COMPUTED_VALUE"""),"LINEA PARA EL LLENADO DE BOLSAS")</f>
        <v>LINEA PARA EL LLENADO DE BOLSAS</v>
      </c>
      <c r="D78" s="5">
        <f ca="1">IFERROR(__xludf.DUMMYFUNCTION("""COMPUTED_VALUE"""),710199)</f>
        <v>710199</v>
      </c>
      <c r="E78" s="5" t="str">
        <f ca="1">IFERROR(__xludf.DUMMYFUNCTION("""COMPUTED_VALUE"""),"LLENADORA DE BOLSAS LINEA 5")</f>
        <v>LLENADORA DE BOLSAS LINEA 5</v>
      </c>
      <c r="F78" s="5">
        <f ca="1">IFERROR(__xludf.DUMMYFUNCTION("""COMPUTED_VALUE"""),22715)</f>
        <v>22715</v>
      </c>
      <c r="G78" s="5" t="str">
        <f ca="1">IFERROR(__xludf.DUMMYFUNCTION("""COMPUTED_VALUE"""),"PLAN MTTO ELE LLENADORA BOLSA 5L 710199")</f>
        <v>PLAN MTTO ELE LLENADORA BOLSA 5L 710199</v>
      </c>
      <c r="H78" s="5">
        <f ca="1">IFERROR(__xludf.DUMMYFUNCTION("""COMPUTED_VALUE"""),13207465)</f>
        <v>13207465</v>
      </c>
      <c r="I78" s="5" t="str">
        <f ca="1">IFERROR(__xludf.DUMMYFUNCTION("""COMPUTED_VALUE"""),"motores Transmision")</f>
        <v>motores Transmision</v>
      </c>
      <c r="J78" s="5" t="str">
        <f ca="1">IFERROR(__xludf.DUMMYFUNCTION("""COMPUTED_VALUE"""),"ALTO")</f>
        <v>ALTO</v>
      </c>
      <c r="K78" s="5" t="str">
        <f ca="1">IFERROR(__xludf.DUMMYFUNCTION("""COMPUTED_VALUE"""),"Preventivo")</f>
        <v>Preventivo</v>
      </c>
      <c r="L78" s="5" t="str">
        <f ca="1">IFERROR(__xludf.DUMMYFUNCTION("""COMPUTED_VALUE"""),"Maquinaria")</f>
        <v>Maquinaria</v>
      </c>
      <c r="M78" s="5" t="str">
        <f ca="1">IFERROR(__xludf.DUMMYFUNCTION("""COMPUTED_VALUE"""),"No")</f>
        <v>No</v>
      </c>
      <c r="N78" s="5"/>
      <c r="O78" s="5"/>
      <c r="P78" s="18">
        <f ca="1">IFERROR(__xludf.DUMMYFUNCTION("""COMPUTED_VALUE"""),45349)</f>
        <v>45349</v>
      </c>
      <c r="Q78" s="18">
        <f ca="1">IFERROR(__xludf.DUMMYFUNCTION("""COMPUTED_VALUE"""),45349)</f>
        <v>45349</v>
      </c>
      <c r="R78" s="18"/>
      <c r="S78" s="5">
        <f ca="1">IFERROR(__xludf.DUMMYFUNCTION("""COMPUTED_VALUE"""),6)</f>
        <v>6</v>
      </c>
      <c r="T78" s="5"/>
      <c r="U78" s="5" t="str">
        <f ca="1">IFERROR(__xludf.DUMMYFUNCTION("""COMPUTED_VALUE"""),"ESTEBAN POTOSI ISAZA")</f>
        <v>ESTEBAN POTOSI ISAZA</v>
      </c>
      <c r="V78" s="5"/>
      <c r="W78" s="5" t="str">
        <f ca="1">IFERROR(__xludf.DUMMYFUNCTION("""COMPUTED_VALUE"""),"aywncVyDC0U")</f>
        <v>aywncVyDC0U</v>
      </c>
      <c r="X78" s="5">
        <f ca="1">IFERROR(__xludf.DUMMYFUNCTION("""COMPUTED_VALUE"""),6)</f>
        <v>6</v>
      </c>
      <c r="Y78" s="5" t="str">
        <f t="shared" si="0"/>
        <v>Actividad sin realizar</v>
      </c>
      <c r="Z78" s="3">
        <f ca="1">IFERROR(VLOOKUP(U78, 'Base de datos'!A:B, 2, FALSE), "")</f>
        <v>573128543241</v>
      </c>
      <c r="AA78" s="4" t="e">
        <f t="shared" ca="1" si="1"/>
        <v>#NAME?</v>
      </c>
    </row>
    <row r="79" spans="1:27" ht="15.75" customHeight="1">
      <c r="A79" s="5" t="str">
        <f ca="1">IFERROR(__xludf.DUMMYFUNCTION("""COMPUTED_VALUE"""),"POSTOBÓN YUMBO")</f>
        <v>POSTOBÓN YUMBO</v>
      </c>
      <c r="B79" s="5" t="str">
        <f ca="1">IFERROR(__xludf.DUMMYFUNCTION("""COMPUTED_VALUE"""),"0410-TALLER MANTTO PLANTA")</f>
        <v>0410-TALLER MANTTO PLANTA</v>
      </c>
      <c r="C79" s="5" t="str">
        <f ca="1">IFERROR(__xludf.DUMMYFUNCTION("""COMPUTED_VALUE"""),"TALLER MANTENIMIENTO EQUIPOS DE PLANTA")</f>
        <v>TALLER MANTENIMIENTO EQUIPOS DE PLANTA</v>
      </c>
      <c r="D79" s="5">
        <f ca="1">IFERROR(__xludf.DUMMYFUNCTION("""COMPUTED_VALUE"""),20702701)</f>
        <v>20702701</v>
      </c>
      <c r="E79" s="5" t="str">
        <f ca="1">IFERROR(__xludf.DUMMYFUNCTION("""COMPUTED_VALUE"""),"TALLER HERRAMIENTAS")</f>
        <v>TALLER HERRAMIENTAS</v>
      </c>
      <c r="F79" s="5">
        <f ca="1">IFERROR(__xludf.DUMMYFUNCTION("""COMPUTED_VALUE"""),0)</f>
        <v>0</v>
      </c>
      <c r="G79" s="5" t="str">
        <f ca="1">IFERROR(__xludf.DUMMYFUNCTION("""COMPUTED_VALUE"""),"HERRAMIENTA TECNICOS III PRODUCCION")</f>
        <v>HERRAMIENTA TECNICOS III PRODUCCION</v>
      </c>
      <c r="H79" s="5">
        <f ca="1">IFERROR(__xludf.DUMMYFUNCTION("""COMPUTED_VALUE"""),13209098)</f>
        <v>13209098</v>
      </c>
      <c r="I79" s="5" t="str">
        <f ca="1">IFERROR(__xludf.DUMMYFUNCTION("""COMPUTED_VALUE"""),"ASIGNACION BROQUEROS")</f>
        <v>ASIGNACION BROQUEROS</v>
      </c>
      <c r="J79" s="5" t="str">
        <f ca="1">IFERROR(__xludf.DUMMYFUNCTION("""COMPUTED_VALUE"""),"MEDIO")</f>
        <v>MEDIO</v>
      </c>
      <c r="K79" s="5" t="str">
        <f ca="1">IFERROR(__xludf.DUMMYFUNCTION("""COMPUTED_VALUE"""),"Preventivo")</f>
        <v>Preventivo</v>
      </c>
      <c r="L79" s="5" t="str">
        <f ca="1">IFERROR(__xludf.DUMMYFUNCTION("""COMPUTED_VALUE"""),"Maquinaria")</f>
        <v>Maquinaria</v>
      </c>
      <c r="M79" s="5" t="str">
        <f ca="1">IFERROR(__xludf.DUMMYFUNCTION("""COMPUTED_VALUE"""),"No")</f>
        <v>No</v>
      </c>
      <c r="N79" s="5"/>
      <c r="O79" s="5"/>
      <c r="P79" s="18">
        <f ca="1">IFERROR(__xludf.DUMMYFUNCTION("""COMPUTED_VALUE"""),45325)</f>
        <v>45325</v>
      </c>
      <c r="Q79" s="18">
        <f ca="1">IFERROR(__xludf.DUMMYFUNCTION("""COMPUTED_VALUE"""),45325)</f>
        <v>45325</v>
      </c>
      <c r="R79" s="18"/>
      <c r="S79" s="5">
        <f ca="1">IFERROR(__xludf.DUMMYFUNCTION("""COMPUTED_VALUE"""),1)</f>
        <v>1</v>
      </c>
      <c r="T79" s="5"/>
      <c r="U79" s="5" t="str">
        <f ca="1">IFERROR(__xludf.DUMMYFUNCTION("""COMPUTED_VALUE"""),"Martinez Carlos")</f>
        <v>Martinez Carlos</v>
      </c>
      <c r="V79" s="5"/>
      <c r="W79" s="5" t="str">
        <f ca="1">IFERROR(__xludf.DUMMYFUNCTION("""COMPUTED_VALUE"""),"dWm8rLnVGH0")</f>
        <v>dWm8rLnVGH0</v>
      </c>
      <c r="X79" s="5">
        <f ca="1">IFERROR(__xludf.DUMMYFUNCTION("""COMPUTED_VALUE"""),1)</f>
        <v>1</v>
      </c>
      <c r="Y79" s="5" t="str">
        <f t="shared" si="0"/>
        <v>Actividad sin realizar</v>
      </c>
      <c r="Z79" s="3">
        <f ca="1">IFERROR(VLOOKUP(U79, 'Base de datos'!A:B, 2, FALSE), "")</f>
        <v>573113563903</v>
      </c>
      <c r="AA79" s="4" t="e">
        <f t="shared" ca="1" si="1"/>
        <v>#NAME?</v>
      </c>
    </row>
    <row r="80" spans="1:27" ht="15.75" customHeight="1">
      <c r="A80" s="5" t="str">
        <f ca="1">IFERROR(__xludf.DUMMYFUNCTION("""COMPUTED_VALUE"""),"POSTOBÓN YUMBO")</f>
        <v>POSTOBÓN YUMBO</v>
      </c>
      <c r="B80" s="5" t="str">
        <f ca="1">IFERROR(__xludf.DUMMYFUNCTION("""COMPUTED_VALUE"""),"0410-PLANTA DE AGUA ENVASADO")</f>
        <v>0410-PLANTA DE AGUA ENVASADO</v>
      </c>
      <c r="C80" s="5" t="str">
        <f ca="1">IFERROR(__xludf.DUMMYFUNCTION("""COMPUTED_VALUE"""),"TRATAMIENTO DE AGUA PARA ENVASADO")</f>
        <v>TRATAMIENTO DE AGUA PARA ENVASADO</v>
      </c>
      <c r="D80" s="5">
        <f ca="1">IFERROR(__xludf.DUMMYFUNCTION("""COMPUTED_VALUE"""),70965319)</f>
        <v>70965319</v>
      </c>
      <c r="E80" s="5" t="str">
        <f ca="1">IFERROR(__xludf.DUMMYFUNCTION("""COMPUTED_VALUE"""),"FILTRO BANDA - TRAT PRIM")</f>
        <v>FILTRO BANDA - TRAT PRIM</v>
      </c>
      <c r="F80" s="5">
        <f ca="1">IFERROR(__xludf.DUMMYFUNCTION("""COMPUTED_VALUE"""),32903)</f>
        <v>32903</v>
      </c>
      <c r="G80" s="5" t="str">
        <f ca="1">IFERROR(__xludf.DUMMYFUNCTION("""COMPUTED_VALUE"""),"PLAN MTTO LUB FILTRO BANDA - TRAT PRIM")</f>
        <v>PLAN MTTO LUB FILTRO BANDA - TRAT PRIM</v>
      </c>
      <c r="H80" s="5">
        <f ca="1">IFERROR(__xludf.DUMMYFUNCTION("""COMPUTED_VALUE"""),13247260)</f>
        <v>13247260</v>
      </c>
      <c r="I80" s="5" t="str">
        <f ca="1">IFERROR(__xludf.DUMMYFUNCTION("""COMPUTED_VALUE"""),"LUBRICAR RODAMIENTOS")</f>
        <v>LUBRICAR RODAMIENTOS</v>
      </c>
      <c r="J80" s="5" t="str">
        <f ca="1">IFERROR(__xludf.DUMMYFUNCTION("""COMPUTED_VALUE"""),"ALTO")</f>
        <v>ALTO</v>
      </c>
      <c r="K80" s="5" t="str">
        <f ca="1">IFERROR(__xludf.DUMMYFUNCTION("""COMPUTED_VALUE"""),"Preventivo")</f>
        <v>Preventivo</v>
      </c>
      <c r="L80" s="5" t="str">
        <f ca="1">IFERROR(__xludf.DUMMYFUNCTION("""COMPUTED_VALUE"""),"Maquinaria")</f>
        <v>Maquinaria</v>
      </c>
      <c r="M80" s="5" t="str">
        <f ca="1">IFERROR(__xludf.DUMMYFUNCTION("""COMPUTED_VALUE"""),"No")</f>
        <v>No</v>
      </c>
      <c r="N80" s="5"/>
      <c r="O80" s="5"/>
      <c r="P80" s="18">
        <f ca="1">IFERROR(__xludf.DUMMYFUNCTION("""COMPUTED_VALUE"""),45339)</f>
        <v>45339</v>
      </c>
      <c r="Q80" s="18">
        <f ca="1">IFERROR(__xludf.DUMMYFUNCTION("""COMPUTED_VALUE"""),45339)</f>
        <v>45339</v>
      </c>
      <c r="R80" s="18"/>
      <c r="S80" s="5">
        <f ca="1">IFERROR(__xludf.DUMMYFUNCTION("""COMPUTED_VALUE"""),0.2)</f>
        <v>0.2</v>
      </c>
      <c r="T80" s="5"/>
      <c r="U80" s="5" t="str">
        <f ca="1">IFERROR(__xludf.DUMMYFUNCTION("""COMPUTED_VALUE"""),"Guzman Palechor Miguel Angel")</f>
        <v>Guzman Palechor Miguel Angel</v>
      </c>
      <c r="V80" s="5"/>
      <c r="W80" s="5" t="str">
        <f ca="1">IFERROR(__xludf.DUMMYFUNCTION("""COMPUTED_VALUE"""),"8nvOqwpcjiI")</f>
        <v>8nvOqwpcjiI</v>
      </c>
      <c r="X80" s="5">
        <f ca="1">IFERROR(__xludf.DUMMYFUNCTION("""COMPUTED_VALUE"""),0.2)</f>
        <v>0.2</v>
      </c>
      <c r="Y80" s="5" t="str">
        <f t="shared" si="0"/>
        <v>Actividad sin realizar</v>
      </c>
      <c r="Z80" s="3">
        <f ca="1">IFERROR(VLOOKUP(U80, 'Base de datos'!A:B, 2, FALSE), "")</f>
        <v>573112422176</v>
      </c>
      <c r="AA80" s="4" t="e">
        <f t="shared" ca="1" si="1"/>
        <v>#NAME?</v>
      </c>
    </row>
    <row r="81" spans="1:27" ht="15.75" customHeight="1">
      <c r="A81" s="5" t="str">
        <f ca="1">IFERROR(__xludf.DUMMYFUNCTION("""COMPUTED_VALUE"""),"POSTOBÓN YUMBO")</f>
        <v>POSTOBÓN YUMBO</v>
      </c>
      <c r="B81" s="5" t="str">
        <f ca="1">IFERROR(__xludf.DUMMYFUNCTION("""COMPUTED_VALUE"""),"0410-LINEA 2")</f>
        <v>0410-LINEA 2</v>
      </c>
      <c r="C81" s="5" t="str">
        <f ca="1">IFERROR(__xludf.DUMMYFUNCTION("""COMPUTED_VALUE"""),"LINEA DE ENVASADO FAMILIAR Y PRB")</f>
        <v>LINEA DE ENVASADO FAMILIAR Y PRB</v>
      </c>
      <c r="D81" s="5">
        <f ca="1">IFERROR(__xludf.DUMMYFUNCTION("""COMPUTED_VALUE"""),548732)</f>
        <v>548732</v>
      </c>
      <c r="E81" s="5" t="str">
        <f ca="1">IFERROR(__xludf.DUMMYFUNCTION("""COMPUTED_VALUE"""),"DESEMPACADORA")</f>
        <v>DESEMPACADORA</v>
      </c>
      <c r="F81" s="5">
        <f ca="1">IFERROR(__xludf.DUMMYFUNCTION("""COMPUTED_VALUE"""),4322)</f>
        <v>4322</v>
      </c>
      <c r="G81" s="5" t="str">
        <f ca="1">IFERROR(__xludf.DUMMYFUNCTION("""COMPUTED_VALUE"""),"MANTTO ELECTRICO DESEMPACA L2 548732")</f>
        <v>MANTTO ELECTRICO DESEMPACA L2 548732</v>
      </c>
      <c r="H81" s="5">
        <f ca="1">IFERROR(__xludf.DUMMYFUNCTION("""COMPUTED_VALUE"""),13247110)</f>
        <v>13247110</v>
      </c>
      <c r="I81" s="5" t="str">
        <f ca="1">IFERROR(__xludf.DUMMYFUNCTION("""COMPUTED_VALUE"""),"Revision Tablero Gral Operador y PLC")</f>
        <v>Revision Tablero Gral Operador y PLC</v>
      </c>
      <c r="J81" s="5" t="str">
        <f ca="1">IFERROR(__xludf.DUMMYFUNCTION("""COMPUTED_VALUE"""),"MEDIO")</f>
        <v>MEDIO</v>
      </c>
      <c r="K81" s="5" t="str">
        <f ca="1">IFERROR(__xludf.DUMMYFUNCTION("""COMPUTED_VALUE"""),"Preventivo")</f>
        <v>Preventivo</v>
      </c>
      <c r="L81" s="5" t="str">
        <f ca="1">IFERROR(__xludf.DUMMYFUNCTION("""COMPUTED_VALUE"""),"Maquinaria")</f>
        <v>Maquinaria</v>
      </c>
      <c r="M81" s="5" t="str">
        <f ca="1">IFERROR(__xludf.DUMMYFUNCTION("""COMPUTED_VALUE"""),"No")</f>
        <v>No</v>
      </c>
      <c r="N81" s="5"/>
      <c r="O81" s="5"/>
      <c r="P81" s="18">
        <f ca="1">IFERROR(__xludf.DUMMYFUNCTION("""COMPUTED_VALUE"""),45333)</f>
        <v>45333</v>
      </c>
      <c r="Q81" s="18">
        <f ca="1">IFERROR(__xludf.DUMMYFUNCTION("""COMPUTED_VALUE"""),45333)</f>
        <v>45333</v>
      </c>
      <c r="R81" s="18"/>
      <c r="S81" s="5">
        <f ca="1">IFERROR(__xludf.DUMMYFUNCTION("""COMPUTED_VALUE"""),5)</f>
        <v>5</v>
      </c>
      <c r="T81" s="5"/>
      <c r="U81" s="5" t="str">
        <f ca="1">IFERROR(__xludf.DUMMYFUNCTION("""COMPUTED_VALUE"""),"Alexander Echeverry Moreno")</f>
        <v>Alexander Echeverry Moreno</v>
      </c>
      <c r="V81" s="5"/>
      <c r="W81" s="5" t="str">
        <f ca="1">IFERROR(__xludf.DUMMYFUNCTION("""COMPUTED_VALUE"""),"W-G4_vUoYpg")</f>
        <v>W-G4_vUoYpg</v>
      </c>
      <c r="X81" s="5">
        <f ca="1">IFERROR(__xludf.DUMMYFUNCTION("""COMPUTED_VALUE"""),5)</f>
        <v>5</v>
      </c>
      <c r="Y81" s="5" t="str">
        <f t="shared" si="0"/>
        <v>Actividad sin realizar</v>
      </c>
      <c r="Z81" s="3">
        <f ca="1">IFERROR(VLOOKUP(U81, 'Base de datos'!A:B, 2, FALSE), "")</f>
        <v>573173223149</v>
      </c>
      <c r="AA81" s="4" t="e">
        <f t="shared" ca="1" si="1"/>
        <v>#NAME?</v>
      </c>
    </row>
    <row r="82" spans="1:27" ht="15.75" customHeight="1">
      <c r="A82" s="5" t="str">
        <f ca="1">IFERROR(__xludf.DUMMYFUNCTION("""COMPUTED_VALUE"""),"POSTOBÓN YUMBO")</f>
        <v>POSTOBÓN YUMBO</v>
      </c>
      <c r="B82" s="5" t="str">
        <f ca="1">IFERROR(__xludf.DUMMYFUNCTION("""COMPUTED_VALUE"""),"0410-PLANTA DE AGUA ENVASADO")</f>
        <v>0410-PLANTA DE AGUA ENVASADO</v>
      </c>
      <c r="C82" s="5" t="str">
        <f ca="1">IFERROR(__xludf.DUMMYFUNCTION("""COMPUTED_VALUE"""),"TRATAMIENTO DE AGUA PARA ENVASADO")</f>
        <v>TRATAMIENTO DE AGUA PARA ENVASADO</v>
      </c>
      <c r="D82" s="5">
        <f ca="1">IFERROR(__xludf.DUMMYFUNCTION("""COMPUTED_VALUE"""),70948938)</f>
        <v>70948938</v>
      </c>
      <c r="E82" s="5" t="str">
        <f ca="1">IFERROR(__xludf.DUMMYFUNCTION("""COMPUTED_VALUE"""),"TANQUE SERVICIOS GRALES AGUA AUEDUCTO")</f>
        <v>TANQUE SERVICIOS GRALES AGUA AUEDUCTO</v>
      </c>
      <c r="F82" s="5">
        <f ca="1">IFERROR(__xludf.DUMMYFUNCTION("""COMPUTED_VALUE"""),22746)</f>
        <v>22746</v>
      </c>
      <c r="G82" s="5" t="str">
        <f ca="1">IFERROR(__xludf.DUMMYFUNCTION("""COMPUTED_VALUE"""),"PLAN MTTO MEC TK SERV GRAL AGUA 70948938")</f>
        <v>PLAN MTTO MEC TK SERV GRAL AGUA 70948938</v>
      </c>
      <c r="H82" s="5">
        <f ca="1">IFERROR(__xludf.DUMMYFUNCTION("""COMPUTED_VALUE"""),13193575)</f>
        <v>13193575</v>
      </c>
      <c r="I82" s="5" t="str">
        <f ca="1">IFERROR(__xludf.DUMMYFUNCTION("""COMPUTED_VALUE"""),"MTTO BOMBAS:")</f>
        <v>MTTO BOMBAS:</v>
      </c>
      <c r="J82" s="5" t="str">
        <f ca="1">IFERROR(__xludf.DUMMYFUNCTION("""COMPUTED_VALUE"""),"ALTO")</f>
        <v>ALTO</v>
      </c>
      <c r="K82" s="5" t="str">
        <f ca="1">IFERROR(__xludf.DUMMYFUNCTION("""COMPUTED_VALUE"""),"Preventivo")</f>
        <v>Preventivo</v>
      </c>
      <c r="L82" s="5" t="str">
        <f ca="1">IFERROR(__xludf.DUMMYFUNCTION("""COMPUTED_VALUE"""),"Maquinaria")</f>
        <v>Maquinaria</v>
      </c>
      <c r="M82" s="5" t="str">
        <f ca="1">IFERROR(__xludf.DUMMYFUNCTION("""COMPUTED_VALUE"""),"No")</f>
        <v>No</v>
      </c>
      <c r="N82" s="5"/>
      <c r="O82" s="5"/>
      <c r="P82" s="18">
        <f ca="1">IFERROR(__xludf.DUMMYFUNCTION("""COMPUTED_VALUE"""),45340)</f>
        <v>45340</v>
      </c>
      <c r="Q82" s="18">
        <f ca="1">IFERROR(__xludf.DUMMYFUNCTION("""COMPUTED_VALUE"""),45340)</f>
        <v>45340</v>
      </c>
      <c r="R82" s="18"/>
      <c r="S82" s="5">
        <f ca="1">IFERROR(__xludf.DUMMYFUNCTION("""COMPUTED_VALUE"""),6)</f>
        <v>6</v>
      </c>
      <c r="T82" s="5"/>
      <c r="U82" s="5" t="str">
        <f ca="1">IFERROR(__xludf.DUMMYFUNCTION("""COMPUTED_VALUE"""),"PAPAMIJA GUIDO")</f>
        <v>PAPAMIJA GUIDO</v>
      </c>
      <c r="V82" s="5"/>
      <c r="W82" s="5" t="str">
        <f ca="1">IFERROR(__xludf.DUMMYFUNCTION("""COMPUTED_VALUE"""),"maS0f4RUfnQ")</f>
        <v>maS0f4RUfnQ</v>
      </c>
      <c r="X82" s="5">
        <f ca="1">IFERROR(__xludf.DUMMYFUNCTION("""COMPUTED_VALUE"""),6)</f>
        <v>6</v>
      </c>
      <c r="Y82" s="5" t="str">
        <f t="shared" si="0"/>
        <v>Actividad sin realizar</v>
      </c>
      <c r="Z82" s="3">
        <f ca="1">IFERROR(VLOOKUP(U82, 'Base de datos'!A:B, 2, FALSE), "")</f>
        <v>573156712311</v>
      </c>
      <c r="AA82" s="4" t="e">
        <f t="shared" ca="1" si="1"/>
        <v>#NAME?</v>
      </c>
    </row>
    <row r="83" spans="1:27" ht="15.75" customHeight="1">
      <c r="A83" s="5" t="str">
        <f ca="1">IFERROR(__xludf.DUMMYFUNCTION("""COMPUTED_VALUE"""),"POSTOBÓN YUMBO")</f>
        <v>POSTOBÓN YUMBO</v>
      </c>
      <c r="B83" s="5" t="str">
        <f ca="1">IFERROR(__xludf.DUMMYFUNCTION("""COMPUTED_VALUE"""),"0410-LINEA 2")</f>
        <v>0410-LINEA 2</v>
      </c>
      <c r="C83" s="5" t="str">
        <f ca="1">IFERROR(__xludf.DUMMYFUNCTION("""COMPUTED_VALUE"""),"LINEA DE ENVASADO FAMILIAR Y PRB")</f>
        <v>LINEA DE ENVASADO FAMILIAR Y PRB</v>
      </c>
      <c r="D83" s="5">
        <f ca="1">IFERROR(__xludf.DUMMYFUNCTION("""COMPUTED_VALUE"""),548732)</f>
        <v>548732</v>
      </c>
      <c r="E83" s="5" t="str">
        <f ca="1">IFERROR(__xludf.DUMMYFUNCTION("""COMPUTED_VALUE"""),"DESEMPACADORA")</f>
        <v>DESEMPACADORA</v>
      </c>
      <c r="F83" s="5">
        <f ca="1">IFERROR(__xludf.DUMMYFUNCTION("""COMPUTED_VALUE"""),4322)</f>
        <v>4322</v>
      </c>
      <c r="G83" s="5" t="str">
        <f ca="1">IFERROR(__xludf.DUMMYFUNCTION("""COMPUTED_VALUE"""),"MANTTO ELECTRICO DESEMPACA L2 548732")</f>
        <v>MANTTO ELECTRICO DESEMPACA L2 548732</v>
      </c>
      <c r="H83" s="5">
        <f ca="1">IFERROR(__xludf.DUMMYFUNCTION("""COMPUTED_VALUE"""),13247110)</f>
        <v>13247110</v>
      </c>
      <c r="I83" s="5" t="str">
        <f ca="1">IFERROR(__xludf.DUMMYFUNCTION("""COMPUTED_VALUE"""),"Revision Sensores y Fotoceldas")</f>
        <v>Revision Sensores y Fotoceldas</v>
      </c>
      <c r="J83" s="5" t="str">
        <f ca="1">IFERROR(__xludf.DUMMYFUNCTION("""COMPUTED_VALUE"""),"MEDIO")</f>
        <v>MEDIO</v>
      </c>
      <c r="K83" s="5" t="str">
        <f ca="1">IFERROR(__xludf.DUMMYFUNCTION("""COMPUTED_VALUE"""),"Preventivo")</f>
        <v>Preventivo</v>
      </c>
      <c r="L83" s="5" t="str">
        <f ca="1">IFERROR(__xludf.DUMMYFUNCTION("""COMPUTED_VALUE"""),"Maquinaria")</f>
        <v>Maquinaria</v>
      </c>
      <c r="M83" s="5" t="str">
        <f ca="1">IFERROR(__xludf.DUMMYFUNCTION("""COMPUTED_VALUE"""),"No")</f>
        <v>No</v>
      </c>
      <c r="N83" s="5"/>
      <c r="O83" s="5"/>
      <c r="P83" s="18">
        <f ca="1">IFERROR(__xludf.DUMMYFUNCTION("""COMPUTED_VALUE"""),45333)</f>
        <v>45333</v>
      </c>
      <c r="Q83" s="18">
        <f ca="1">IFERROR(__xludf.DUMMYFUNCTION("""COMPUTED_VALUE"""),45333)</f>
        <v>45333</v>
      </c>
      <c r="R83" s="18"/>
      <c r="S83" s="5">
        <f ca="1">IFERROR(__xludf.DUMMYFUNCTION("""COMPUTED_VALUE"""),5.5)</f>
        <v>5.5</v>
      </c>
      <c r="T83" s="5"/>
      <c r="U83" s="5" t="str">
        <f ca="1">IFERROR(__xludf.DUMMYFUNCTION("""COMPUTED_VALUE"""),"Alexander Echeverry Moreno")</f>
        <v>Alexander Echeverry Moreno</v>
      </c>
      <c r="V83" s="5"/>
      <c r="W83" s="5" t="str">
        <f ca="1">IFERROR(__xludf.DUMMYFUNCTION("""COMPUTED_VALUE"""),"XttX1liqDWQ")</f>
        <v>XttX1liqDWQ</v>
      </c>
      <c r="X83" s="5">
        <f ca="1">IFERROR(__xludf.DUMMYFUNCTION("""COMPUTED_VALUE"""),5.5)</f>
        <v>5.5</v>
      </c>
      <c r="Y83" s="5" t="str">
        <f t="shared" si="0"/>
        <v>Actividad sin realizar</v>
      </c>
      <c r="Z83" s="3">
        <f ca="1">IFERROR(VLOOKUP(U83, 'Base de datos'!A:B, 2, FALSE), "")</f>
        <v>573173223149</v>
      </c>
      <c r="AA83" s="4" t="e">
        <f t="shared" ca="1" si="1"/>
        <v>#NAME?</v>
      </c>
    </row>
    <row r="84" spans="1:27" ht="15.75" customHeight="1">
      <c r="A84" s="5" t="str">
        <f ca="1">IFERROR(__xludf.DUMMYFUNCTION("""COMPUTED_VALUE"""),"POSTOBÓN YUMBO")</f>
        <v>POSTOBÓN YUMBO</v>
      </c>
      <c r="B84" s="5" t="str">
        <f ca="1">IFERROR(__xludf.DUMMYFUNCTION("""COMPUTED_VALUE"""),"0410-ENVASADO JUGOS PET HOT F")</f>
        <v>0410-ENVASADO JUGOS PET HOT F</v>
      </c>
      <c r="C84" s="5" t="str">
        <f ca="1">IFERROR(__xludf.DUMMYFUNCTION("""COMPUTED_VALUE"""),"LINEA DE ENVASADO JUGOS PET HOT FILL")</f>
        <v>LINEA DE ENVASADO JUGOS PET HOT FILL</v>
      </c>
      <c r="D84" s="5">
        <f ca="1">IFERROR(__xludf.DUMMYFUNCTION("""COMPUTED_VALUE"""),710319)</f>
        <v>710319</v>
      </c>
      <c r="E84" s="5" t="str">
        <f ca="1">IFERROR(__xludf.DUMMYFUNCTION("""COMPUTED_VALUE"""),"ENFARDADORA")</f>
        <v>ENFARDADORA</v>
      </c>
      <c r="F84" s="5">
        <f ca="1">IFERROR(__xludf.DUMMYFUNCTION("""COMPUTED_VALUE"""),22575)</f>
        <v>22575</v>
      </c>
      <c r="G84" s="5" t="str">
        <f ca="1">IFERROR(__xludf.DUMMYFUNCTION("""COMPUTED_VALUE"""),"PLAN MTTO ELE ENFARDADORA L8 710319")</f>
        <v>PLAN MTTO ELE ENFARDADORA L8 710319</v>
      </c>
      <c r="H84" s="5">
        <f ca="1">IFERROR(__xludf.DUMMYFUNCTION("""COMPUTED_VALUE"""),13247202)</f>
        <v>13247202</v>
      </c>
      <c r="I84" s="5" t="str">
        <f ca="1">IFERROR(__xludf.DUMMYFUNCTION("""COMPUTED_VALUE"""),"Estacion de Corte")</f>
        <v>Estacion de Corte</v>
      </c>
      <c r="J84" s="5" t="str">
        <f ca="1">IFERROR(__xludf.DUMMYFUNCTION("""COMPUTED_VALUE"""),"MEDIO")</f>
        <v>MEDIO</v>
      </c>
      <c r="K84" s="5" t="str">
        <f ca="1">IFERROR(__xludf.DUMMYFUNCTION("""COMPUTED_VALUE"""),"Preventivo")</f>
        <v>Preventivo</v>
      </c>
      <c r="L84" s="5" t="str">
        <f ca="1">IFERROR(__xludf.DUMMYFUNCTION("""COMPUTED_VALUE"""),"Maquinaria")</f>
        <v>Maquinaria</v>
      </c>
      <c r="M84" s="5" t="str">
        <f ca="1">IFERROR(__xludf.DUMMYFUNCTION("""COMPUTED_VALUE"""),"No")</f>
        <v>No</v>
      </c>
      <c r="N84" s="5"/>
      <c r="O84" s="5"/>
      <c r="P84" s="18">
        <f ca="1">IFERROR(__xludf.DUMMYFUNCTION("""COMPUTED_VALUE"""),45341)</f>
        <v>45341</v>
      </c>
      <c r="Q84" s="18">
        <f ca="1">IFERROR(__xludf.DUMMYFUNCTION("""COMPUTED_VALUE"""),45341)</f>
        <v>45341</v>
      </c>
      <c r="R84" s="18"/>
      <c r="S84" s="5">
        <f ca="1">IFERROR(__xludf.DUMMYFUNCTION("""COMPUTED_VALUE"""),6)</f>
        <v>6</v>
      </c>
      <c r="T84" s="5"/>
      <c r="U84" s="5" t="str">
        <f ca="1">IFERROR(__xludf.DUMMYFUNCTION("""COMPUTED_VALUE"""),"Lopez Correa Jonathan")</f>
        <v>Lopez Correa Jonathan</v>
      </c>
      <c r="V84" s="5"/>
      <c r="W84" s="5" t="str">
        <f ca="1">IFERROR(__xludf.DUMMYFUNCTION("""COMPUTED_VALUE"""),"JZwQMUkut5A")</f>
        <v>JZwQMUkut5A</v>
      </c>
      <c r="X84" s="5">
        <f ca="1">IFERROR(__xludf.DUMMYFUNCTION("""COMPUTED_VALUE"""),6)</f>
        <v>6</v>
      </c>
      <c r="Y84" s="5" t="str">
        <f t="shared" si="0"/>
        <v>Actividad sin realizar</v>
      </c>
      <c r="Z84" s="3">
        <f ca="1">IFERROR(VLOOKUP(U84, 'Base de datos'!A:B, 2, FALSE), "")</f>
        <v>573215267623</v>
      </c>
      <c r="AA84" s="4" t="e">
        <f t="shared" ca="1" si="1"/>
        <v>#NAME?</v>
      </c>
    </row>
    <row r="85" spans="1:27" ht="15.75" customHeight="1">
      <c r="A85" s="5" t="str">
        <f ca="1">IFERROR(__xludf.DUMMYFUNCTION("""COMPUTED_VALUE"""),"POSTOBÓN YUMBO")</f>
        <v>POSTOBÓN YUMBO</v>
      </c>
      <c r="B85" s="5" t="str">
        <f ca="1">IFERROR(__xludf.DUMMYFUNCTION("""COMPUTED_VALUE"""),"0410-EQUIPOS AUXILIARES")</f>
        <v>0410-EQUIPOS AUXILIARES</v>
      </c>
      <c r="C85" s="5" t="str">
        <f ca="1">IFERROR(__xludf.DUMMYFUNCTION("""COMPUTED_VALUE"""),"EQUIPOS PARA SERVICIOS INDUSTRIALES")</f>
        <v>EQUIPOS PARA SERVICIOS INDUSTRIALES</v>
      </c>
      <c r="D85" s="5">
        <f ca="1">IFERROR(__xludf.DUMMYFUNCTION("""COMPUTED_VALUE"""),638555)</f>
        <v>638555</v>
      </c>
      <c r="E85" s="5" t="str">
        <f ca="1">IFERROR(__xludf.DUMMYFUNCTION("""COMPUTED_VALUE"""),"CONDENSADOR EVAPORATIVO")</f>
        <v>CONDENSADOR EVAPORATIVO</v>
      </c>
      <c r="F85" s="5">
        <f ca="1">IFERROR(__xludf.DUMMYFUNCTION("""COMPUTED_VALUE"""),21700)</f>
        <v>21700</v>
      </c>
      <c r="G85" s="5" t="str">
        <f ca="1">IFERROR(__xludf.DUMMYFUNCTION("""COMPUTED_VALUE"""),"PLAN MTTO MEC CONDENSADOR EVAP GASEOSA")</f>
        <v>PLAN MTTO MEC CONDENSADOR EVAP GASEOSA</v>
      </c>
      <c r="H85" s="5">
        <f ca="1">IFERROR(__xludf.DUMMYFUNCTION("""COMPUTED_VALUE"""),13193543)</f>
        <v>13193543</v>
      </c>
      <c r="I85" s="5" t="str">
        <f ca="1">IFERROR(__xludf.DUMMYFUNCTION("""COMPUTED_VALUE"""),"Cambio total de agua y limpieza Gral")</f>
        <v>Cambio total de agua y limpieza Gral</v>
      </c>
      <c r="J85" s="5" t="str">
        <f ca="1">IFERROR(__xludf.DUMMYFUNCTION("""COMPUTED_VALUE"""),"MEDIO")</f>
        <v>MEDIO</v>
      </c>
      <c r="K85" s="5" t="str">
        <f ca="1">IFERROR(__xludf.DUMMYFUNCTION("""COMPUTED_VALUE"""),"Preventivo")</f>
        <v>Preventivo</v>
      </c>
      <c r="L85" s="5" t="str">
        <f ca="1">IFERROR(__xludf.DUMMYFUNCTION("""COMPUTED_VALUE"""),"Maquinaria")</f>
        <v>Maquinaria</v>
      </c>
      <c r="M85" s="5" t="str">
        <f ca="1">IFERROR(__xludf.DUMMYFUNCTION("""COMPUTED_VALUE"""),"No")</f>
        <v>No</v>
      </c>
      <c r="N85" s="5"/>
      <c r="O85" s="5"/>
      <c r="P85" s="18">
        <f ca="1">IFERROR(__xludf.DUMMYFUNCTION("""COMPUTED_VALUE"""),45326)</f>
        <v>45326</v>
      </c>
      <c r="Q85" s="18">
        <f ca="1">IFERROR(__xludf.DUMMYFUNCTION("""COMPUTED_VALUE"""),45326)</f>
        <v>45326</v>
      </c>
      <c r="R85" s="18"/>
      <c r="S85" s="5">
        <f ca="1">IFERROR(__xludf.DUMMYFUNCTION("""COMPUTED_VALUE"""),7)</f>
        <v>7</v>
      </c>
      <c r="T85" s="5"/>
      <c r="U85" s="5" t="str">
        <f ca="1">IFERROR(__xludf.DUMMYFUNCTION("""COMPUTED_VALUE"""),"Henao William")</f>
        <v>Henao William</v>
      </c>
      <c r="V85" s="5"/>
      <c r="W85" s="5" t="str">
        <f ca="1">IFERROR(__xludf.DUMMYFUNCTION("""COMPUTED_VALUE"""),"BUfw-t0IePo")</f>
        <v>BUfw-t0IePo</v>
      </c>
      <c r="X85" s="5">
        <f ca="1">IFERROR(__xludf.DUMMYFUNCTION("""COMPUTED_VALUE"""),7)</f>
        <v>7</v>
      </c>
      <c r="Y85" s="5" t="str">
        <f t="shared" si="0"/>
        <v>Actividad sin realizar</v>
      </c>
      <c r="Z85" s="3">
        <f ca="1">IFERROR(VLOOKUP(U85, 'Base de datos'!A:B, 2, FALSE), "")</f>
        <v>573222217492</v>
      </c>
      <c r="AA85" s="4" t="e">
        <f t="shared" ca="1" si="1"/>
        <v>#NAME?</v>
      </c>
    </row>
    <row r="86" spans="1:27" ht="15.75" customHeight="1">
      <c r="A86" s="5" t="str">
        <f ca="1">IFERROR(__xludf.DUMMYFUNCTION("""COMPUTED_VALUE"""),"POSTOBÓN YUMBO")</f>
        <v>POSTOBÓN YUMBO</v>
      </c>
      <c r="B86" s="5" t="str">
        <f ca="1">IFERROR(__xludf.DUMMYFUNCTION("""COMPUTED_VALUE"""),"0410-LINEA 2")</f>
        <v>0410-LINEA 2</v>
      </c>
      <c r="C86" s="5" t="str">
        <f ca="1">IFERROR(__xludf.DUMMYFUNCTION("""COMPUTED_VALUE"""),"LINEA DE ENVASADO FAMILIAR Y PRB")</f>
        <v>LINEA DE ENVASADO FAMILIAR Y PRB</v>
      </c>
      <c r="D86" s="5">
        <f ca="1">IFERROR(__xludf.DUMMYFUNCTION("""COMPUTED_VALUE"""),900234)</f>
        <v>900234</v>
      </c>
      <c r="E86" s="5" t="str">
        <f ca="1">IFERROR(__xludf.DUMMYFUNCTION("""COMPUTED_VALUE"""),"PROCESADOR DE BEBIDA")</f>
        <v>PROCESADOR DE BEBIDA</v>
      </c>
      <c r="F86" s="5">
        <f ca="1">IFERROR(__xludf.DUMMYFUNCTION("""COMPUTED_VALUE"""),37844)</f>
        <v>37844</v>
      </c>
      <c r="G86" s="5" t="str">
        <f ca="1">IFERROR(__xludf.DUMMYFUNCTION("""COMPUTED_VALUE"""),"INSPECCION SEMANAL PROCESADOR DE BEBIDA")</f>
        <v>INSPECCION SEMANAL PROCESADOR DE BEBIDA</v>
      </c>
      <c r="H86" s="5">
        <f ca="1">IFERROR(__xludf.DUMMYFUNCTION("""COMPUTED_VALUE"""),13232415)</f>
        <v>13232415</v>
      </c>
      <c r="I86" s="5" t="str">
        <f ca="1">IFERROR(__xludf.DUMMYFUNCTION("""COMPUTED_VALUE"""),"cambio de fuente")</f>
        <v>cambio de fuente</v>
      </c>
      <c r="J86" s="5" t="str">
        <f ca="1">IFERROR(__xludf.DUMMYFUNCTION("""COMPUTED_VALUE"""),"ALTO")</f>
        <v>ALTO</v>
      </c>
      <c r="K86" s="5" t="str">
        <f ca="1">IFERROR(__xludf.DUMMYFUNCTION("""COMPUTED_VALUE"""),"Preventivo")</f>
        <v>Preventivo</v>
      </c>
      <c r="L86" s="5" t="str">
        <f ca="1">IFERROR(__xludf.DUMMYFUNCTION("""COMPUTED_VALUE"""),"Maquinaria")</f>
        <v>Maquinaria</v>
      </c>
      <c r="M86" s="5" t="str">
        <f ca="1">IFERROR(__xludf.DUMMYFUNCTION("""COMPUTED_VALUE"""),"No")</f>
        <v>No</v>
      </c>
      <c r="N86" s="5"/>
      <c r="O86" s="5"/>
      <c r="P86" s="18">
        <f ca="1">IFERROR(__xludf.DUMMYFUNCTION("""COMPUTED_VALUE"""),45323)</f>
        <v>45323</v>
      </c>
      <c r="Q86" s="18">
        <f ca="1">IFERROR(__xludf.DUMMYFUNCTION("""COMPUTED_VALUE"""),45323)</f>
        <v>45323</v>
      </c>
      <c r="R86" s="18"/>
      <c r="S86" s="5">
        <f ca="1">IFERROR(__xludf.DUMMYFUNCTION("""COMPUTED_VALUE"""),1)</f>
        <v>1</v>
      </c>
      <c r="T86" s="5"/>
      <c r="U86" s="5" t="str">
        <f ca="1">IFERROR(__xludf.DUMMYFUNCTION("""COMPUTED_VALUE"""),"Paz Paz Jhon Estiven")</f>
        <v>Paz Paz Jhon Estiven</v>
      </c>
      <c r="V86" s="5"/>
      <c r="W86" s="5" t="str">
        <f ca="1">IFERROR(__xludf.DUMMYFUNCTION("""COMPUTED_VALUE"""),"K3zO49ZGcfQ")</f>
        <v>K3zO49ZGcfQ</v>
      </c>
      <c r="X86" s="5">
        <f ca="1">IFERROR(__xludf.DUMMYFUNCTION("""COMPUTED_VALUE"""),1)</f>
        <v>1</v>
      </c>
      <c r="Y86" s="5" t="str">
        <f t="shared" si="0"/>
        <v>Actividad sin realizar</v>
      </c>
      <c r="Z86" s="3">
        <f ca="1">IFERROR(VLOOKUP(U86, 'Base de datos'!A:B, 2, FALSE), "")</f>
        <v>573117137924</v>
      </c>
      <c r="AA86" s="4" t="e">
        <f t="shared" ca="1" si="1"/>
        <v>#NAME?</v>
      </c>
    </row>
    <row r="87" spans="1:27" ht="15.75" customHeight="1">
      <c r="A87" s="5" t="str">
        <f ca="1">IFERROR(__xludf.DUMMYFUNCTION("""COMPUTED_VALUE"""),"POSTOBÓN YUMBO")</f>
        <v>POSTOBÓN YUMBO</v>
      </c>
      <c r="B87" s="5" t="str">
        <f ca="1">IFERROR(__xludf.DUMMYFUNCTION("""COMPUTED_VALUE"""),"0410-LINEA PET CSD")</f>
        <v>0410-LINEA PET CSD</v>
      </c>
      <c r="C87" s="5" t="str">
        <f ca="1">IFERROR(__xludf.DUMMYFUNCTION("""COMPUTED_VALUE"""),"LINEA PET CSD - LINEA 10")</f>
        <v>LINEA PET CSD - LINEA 10</v>
      </c>
      <c r="D87" s="5">
        <f ca="1">IFERROR(__xludf.DUMMYFUNCTION("""COMPUTED_VALUE"""),579079)</f>
        <v>579079</v>
      </c>
      <c r="E87" s="5" t="str">
        <f ca="1">IFERROR(__xludf.DUMMYFUNCTION("""COMPUTED_VALUE"""),"ENVOLVEDORA FILM PLASTICO")</f>
        <v>ENVOLVEDORA FILM PLASTICO</v>
      </c>
      <c r="F87" s="5">
        <f ca="1">IFERROR(__xludf.DUMMYFUNCTION("""COMPUTED_VALUE"""),37846)</f>
        <v>37846</v>
      </c>
      <c r="G87" s="5" t="str">
        <f ca="1">IFERROR(__xludf.DUMMYFUNCTION("""COMPUTED_VALUE"""),"INSPECCION SEMANAL ENVOLVEDORA FILM PLAS")</f>
        <v>INSPECCION SEMANAL ENVOLVEDORA FILM PLAS</v>
      </c>
      <c r="H87" s="5">
        <f ca="1">IFERROR(__xludf.DUMMYFUNCTION("""COMPUTED_VALUE"""),13232574)</f>
        <v>13232574</v>
      </c>
      <c r="I87" s="5" t="str">
        <f ca="1">IFERROR(__xludf.DUMMYFUNCTION("""COMPUTED_VALUE"""),"cambio de encoder del anillo rotador")</f>
        <v>cambio de encoder del anillo rotador</v>
      </c>
      <c r="J87" s="5" t="str">
        <f ca="1">IFERROR(__xludf.DUMMYFUNCTION("""COMPUTED_VALUE"""),"MEDIO")</f>
        <v>MEDIO</v>
      </c>
      <c r="K87" s="5" t="str">
        <f ca="1">IFERROR(__xludf.DUMMYFUNCTION("""COMPUTED_VALUE"""),"Preventivo")</f>
        <v>Preventivo</v>
      </c>
      <c r="L87" s="5" t="str">
        <f ca="1">IFERROR(__xludf.DUMMYFUNCTION("""COMPUTED_VALUE"""),"Maquinaria")</f>
        <v>Maquinaria</v>
      </c>
      <c r="M87" s="5" t="str">
        <f ca="1">IFERROR(__xludf.DUMMYFUNCTION("""COMPUTED_VALUE"""),"No")</f>
        <v>No</v>
      </c>
      <c r="N87" s="5"/>
      <c r="O87" s="5">
        <f ca="1">IFERROR(__xludf.DUMMYFUNCTION("""COMPUTED_VALUE"""),100)</f>
        <v>100</v>
      </c>
      <c r="P87" s="18">
        <f ca="1">IFERROR(__xludf.DUMMYFUNCTION("""COMPUTED_VALUE"""),45323)</f>
        <v>45323</v>
      </c>
      <c r="Q87" s="18">
        <f ca="1">IFERROR(__xludf.DUMMYFUNCTION("""COMPUTED_VALUE"""),45323)</f>
        <v>45323</v>
      </c>
      <c r="R87" s="18"/>
      <c r="S87" s="5">
        <f ca="1">IFERROR(__xludf.DUMMYFUNCTION("""COMPUTED_VALUE"""),1)</f>
        <v>1</v>
      </c>
      <c r="T87" s="5"/>
      <c r="U87" s="5" t="str">
        <f ca="1">IFERROR(__xludf.DUMMYFUNCTION("""COMPUTED_VALUE"""),"Lucumi Juan")</f>
        <v>Lucumi Juan</v>
      </c>
      <c r="V87" s="5"/>
      <c r="W87" s="5" t="str">
        <f ca="1">IFERROR(__xludf.DUMMYFUNCTION("""COMPUTED_VALUE"""),"vyxgTM-og-I")</f>
        <v>vyxgTM-og-I</v>
      </c>
      <c r="X87" s="5">
        <f ca="1">IFERROR(__xludf.DUMMYFUNCTION("""COMPUTED_VALUE"""),1)</f>
        <v>1</v>
      </c>
      <c r="Y87" s="5" t="str">
        <f t="shared" ca="1" si="0"/>
        <v>Actividad realizada</v>
      </c>
      <c r="Z87" s="3">
        <f ca="1">IFERROR(VLOOKUP(U87, 'Base de datos'!A:B, 2, FALSE), "")</f>
        <v>573042194088</v>
      </c>
      <c r="AA87" s="4" t="e">
        <f t="shared" ca="1" si="1"/>
        <v>#NAME?</v>
      </c>
    </row>
    <row r="88" spans="1:27" ht="15.75" customHeight="1">
      <c r="A88" s="5" t="str">
        <f ca="1">IFERROR(__xludf.DUMMYFUNCTION("""COMPUTED_VALUE"""),"POSTOBÓN YUMBO")</f>
        <v>POSTOBÓN YUMBO</v>
      </c>
      <c r="B88" s="5" t="str">
        <f ca="1">IFERROR(__xludf.DUMMYFUNCTION("""COMPUTED_VALUE"""),"0410-ENVASADO JUGOS PET HOT F")</f>
        <v>0410-ENVASADO JUGOS PET HOT F</v>
      </c>
      <c r="C88" s="5" t="str">
        <f ca="1">IFERROR(__xludf.DUMMYFUNCTION("""COMPUTED_VALUE"""),"LINEA DE ENVASADO JUGOS PET HOT FILL")</f>
        <v>LINEA DE ENVASADO JUGOS PET HOT FILL</v>
      </c>
      <c r="D88" s="5">
        <f ca="1">IFERROR(__xludf.DUMMYFUNCTION("""COMPUTED_VALUE"""),900305)</f>
        <v>900305</v>
      </c>
      <c r="E88" s="5" t="str">
        <f ca="1">IFERROR(__xludf.DUMMYFUNCTION("""COMPUTED_VALUE"""),"ETIQUETADORA")</f>
        <v>ETIQUETADORA</v>
      </c>
      <c r="F88" s="5">
        <f ca="1">IFERROR(__xludf.DUMMYFUNCTION("""COMPUTED_VALUE"""),14086)</f>
        <v>14086</v>
      </c>
      <c r="G88" s="5" t="str">
        <f ca="1">IFERROR(__xludf.DUMMYFUNCTION("""COMPUTED_VALUE"""),"MTTO ELEC ETIQUETADORA L8 900305")</f>
        <v>MTTO ELEC ETIQUETADORA L8 900305</v>
      </c>
      <c r="H88" s="5">
        <f ca="1">IFERROR(__xludf.DUMMYFUNCTION("""COMPUTED_VALUE"""),13247140)</f>
        <v>13247140</v>
      </c>
      <c r="I88" s="5" t="str">
        <f ca="1">IFERROR(__xludf.DUMMYFUNCTION("""COMPUTED_VALUE"""),"Armarios de distribucion,")</f>
        <v>Armarios de distribucion,</v>
      </c>
      <c r="J88" s="5" t="str">
        <f ca="1">IFERROR(__xludf.DUMMYFUNCTION("""COMPUTED_VALUE"""),"MEDIO")</f>
        <v>MEDIO</v>
      </c>
      <c r="K88" s="5" t="str">
        <f ca="1">IFERROR(__xludf.DUMMYFUNCTION("""COMPUTED_VALUE"""),"Preventivo")</f>
        <v>Preventivo</v>
      </c>
      <c r="L88" s="5" t="str">
        <f ca="1">IFERROR(__xludf.DUMMYFUNCTION("""COMPUTED_VALUE"""),"Maquinaria")</f>
        <v>Maquinaria</v>
      </c>
      <c r="M88" s="5" t="str">
        <f ca="1">IFERROR(__xludf.DUMMYFUNCTION("""COMPUTED_VALUE"""),"No")</f>
        <v>No</v>
      </c>
      <c r="N88" s="5"/>
      <c r="O88" s="5"/>
      <c r="P88" s="18">
        <f ca="1">IFERROR(__xludf.DUMMYFUNCTION("""COMPUTED_VALUE"""),45334)</f>
        <v>45334</v>
      </c>
      <c r="Q88" s="18">
        <f ca="1">IFERROR(__xludf.DUMMYFUNCTION("""COMPUTED_VALUE"""),45334)</f>
        <v>45334</v>
      </c>
      <c r="R88" s="18"/>
      <c r="S88" s="5">
        <f ca="1">IFERROR(__xludf.DUMMYFUNCTION("""COMPUTED_VALUE"""),8)</f>
        <v>8</v>
      </c>
      <c r="T88" s="5"/>
      <c r="U88" s="5" t="str">
        <f ca="1">IFERROR(__xludf.DUMMYFUNCTION("""COMPUTED_VALUE"""),"Bedoya Marin Johan Andres")</f>
        <v>Bedoya Marin Johan Andres</v>
      </c>
      <c r="V88" s="5"/>
      <c r="W88" s="5" t="str">
        <f ca="1">IFERROR(__xludf.DUMMYFUNCTION("""COMPUTED_VALUE"""),"SVKrcJ5Uarg")</f>
        <v>SVKrcJ5Uarg</v>
      </c>
      <c r="X88" s="5">
        <f ca="1">IFERROR(__xludf.DUMMYFUNCTION("""COMPUTED_VALUE"""),8)</f>
        <v>8</v>
      </c>
      <c r="Y88" s="5" t="str">
        <f t="shared" si="0"/>
        <v>Actividad sin realizar</v>
      </c>
      <c r="Z88" s="3">
        <f ca="1">IFERROR(VLOOKUP(U88, 'Base de datos'!A:B, 2, FALSE), "")</f>
        <v>573147103334</v>
      </c>
      <c r="AA88" s="4" t="e">
        <f t="shared" ca="1" si="1"/>
        <v>#NAME?</v>
      </c>
    </row>
    <row r="89" spans="1:27" ht="15.75" customHeight="1">
      <c r="A89" s="5" t="str">
        <f ca="1">IFERROR(__xludf.DUMMYFUNCTION("""COMPUTED_VALUE"""),"POSTOBÓN YUMBO")</f>
        <v>POSTOBÓN YUMBO</v>
      </c>
      <c r="B89" s="5" t="str">
        <f ca="1">IFERROR(__xludf.DUMMYFUNCTION("""COMPUTED_VALUE"""),"0410-LINEA 1")</f>
        <v>0410-LINEA 1</v>
      </c>
      <c r="C89" s="5" t="str">
        <f ca="1">IFERROR(__xludf.DUMMYFUNCTION("""COMPUTED_VALUE"""),"LINEA DE ENVASADO PET NO RETORNABLE")</f>
        <v>LINEA DE ENVASADO PET NO RETORNABLE</v>
      </c>
      <c r="D89" s="5">
        <f ca="1">IFERROR(__xludf.DUMMYFUNCTION("""COMPUTED_VALUE"""),820071)</f>
        <v>820071</v>
      </c>
      <c r="E89" s="5" t="str">
        <f ca="1">IFERROR(__xludf.DUMMYFUNCTION("""COMPUTED_VALUE"""),"ETIQUETADORA")</f>
        <v>ETIQUETADORA</v>
      </c>
      <c r="F89" s="5">
        <f ca="1">IFERROR(__xludf.DUMMYFUNCTION("""COMPUTED_VALUE"""),14083)</f>
        <v>14083</v>
      </c>
      <c r="G89" s="5" t="str">
        <f ca="1">IFERROR(__xludf.DUMMYFUNCTION("""COMPUTED_VALUE"""),"MTTO ELEC ETIQUETADORA L1 820071")</f>
        <v>MTTO ELEC ETIQUETADORA L1 820071</v>
      </c>
      <c r="H89" s="5">
        <f ca="1">IFERROR(__xludf.DUMMYFUNCTION("""COMPUTED_VALUE"""),13238373)</f>
        <v>13238373</v>
      </c>
      <c r="I89" s="5" t="str">
        <f ca="1">IFERROR(__xludf.DUMMYFUNCTION("""COMPUTED_VALUE"""),"Armarios de distribuci¢n,")</f>
        <v>Armarios de distribuci¢n,</v>
      </c>
      <c r="J89" s="5" t="str">
        <f ca="1">IFERROR(__xludf.DUMMYFUNCTION("""COMPUTED_VALUE"""),"MEDIO")</f>
        <v>MEDIO</v>
      </c>
      <c r="K89" s="5" t="str">
        <f ca="1">IFERROR(__xludf.DUMMYFUNCTION("""COMPUTED_VALUE"""),"Preventivo")</f>
        <v>Preventivo</v>
      </c>
      <c r="L89" s="5" t="str">
        <f ca="1">IFERROR(__xludf.DUMMYFUNCTION("""COMPUTED_VALUE"""),"Maquinaria")</f>
        <v>Maquinaria</v>
      </c>
      <c r="M89" s="5" t="str">
        <f ca="1">IFERROR(__xludf.DUMMYFUNCTION("""COMPUTED_VALUE"""),"No")</f>
        <v>No</v>
      </c>
      <c r="N89" s="5"/>
      <c r="O89" s="5"/>
      <c r="P89" s="18">
        <f ca="1">IFERROR(__xludf.DUMMYFUNCTION("""COMPUTED_VALUE"""),45334)</f>
        <v>45334</v>
      </c>
      <c r="Q89" s="18">
        <f ca="1">IFERROR(__xludf.DUMMYFUNCTION("""COMPUTED_VALUE"""),45334)</f>
        <v>45334</v>
      </c>
      <c r="R89" s="18"/>
      <c r="S89" s="5">
        <f ca="1">IFERROR(__xludf.DUMMYFUNCTION("""COMPUTED_VALUE"""),0.5)</f>
        <v>0.5</v>
      </c>
      <c r="T89" s="5"/>
      <c r="U89" s="5" t="str">
        <f ca="1">IFERROR(__xludf.DUMMYFUNCTION("""COMPUTED_VALUE"""),"Sanchez Rodriguez Gerson Andres")</f>
        <v>Sanchez Rodriguez Gerson Andres</v>
      </c>
      <c r="V89" s="5"/>
      <c r="W89" s="5" t="str">
        <f ca="1">IFERROR(__xludf.DUMMYFUNCTION("""COMPUTED_VALUE"""),"wok-V2210jQ")</f>
        <v>wok-V2210jQ</v>
      </c>
      <c r="X89" s="5">
        <f ca="1">IFERROR(__xludf.DUMMYFUNCTION("""COMPUTED_VALUE"""),0.5)</f>
        <v>0.5</v>
      </c>
      <c r="Y89" s="5" t="str">
        <f t="shared" si="0"/>
        <v>Actividad sin realizar</v>
      </c>
      <c r="Z89" s="3">
        <f ca="1">IFERROR(VLOOKUP(U89, 'Base de datos'!A:B, 2, FALSE), "")</f>
        <v>573112884549</v>
      </c>
      <c r="AA89" s="4" t="e">
        <f t="shared" ca="1" si="1"/>
        <v>#NAME?</v>
      </c>
    </row>
    <row r="90" spans="1:27" ht="15.75" customHeight="1">
      <c r="A90" s="5" t="str">
        <f ca="1">IFERROR(__xludf.DUMMYFUNCTION("""COMPUTED_VALUE"""),"POSTOBÓN YUMBO")</f>
        <v>POSTOBÓN YUMBO</v>
      </c>
      <c r="B90" s="5" t="str">
        <f ca="1">IFERROR(__xludf.DUMMYFUNCTION("""COMPUTED_VALUE"""),"0410-LINEA BOTELLON 20 LTS")</f>
        <v>0410-LINEA BOTELLON 20 LTS</v>
      </c>
      <c r="C90" s="5" t="str">
        <f ca="1">IFERROR(__xludf.DUMMYFUNCTION("""COMPUTED_VALUE"""),"LINEA DE PRODUCCION DE BOTELLONES DE 20")</f>
        <v>LINEA DE PRODUCCION DE BOTELLONES DE 20</v>
      </c>
      <c r="D90" s="5">
        <f ca="1">IFERROR(__xludf.DUMMYFUNCTION("""COMPUTED_VALUE"""),71960605)</f>
        <v>71960605</v>
      </c>
      <c r="E90" s="5" t="str">
        <f ca="1">IFERROR(__xludf.DUMMYFUNCTION("""COMPUTED_VALUE"""),"GENERADOR DE OXIGENO PARA BOTELLON.")</f>
        <v>GENERADOR DE OXIGENO PARA BOTELLON.</v>
      </c>
      <c r="F90" s="5">
        <f ca="1">IFERROR(__xludf.DUMMYFUNCTION("""COMPUTED_VALUE"""),17373)</f>
        <v>17373</v>
      </c>
      <c r="G90" s="5" t="str">
        <f ca="1">IFERROR(__xludf.DUMMYFUNCTION("""COMPUTED_VALUE"""),"MTTO ELEC-MEC GEN OXIG BOTELLON 71960605")</f>
        <v>MTTO ELEC-MEC GEN OXIG BOTELLON 71960605</v>
      </c>
      <c r="H90" s="5">
        <f ca="1">IFERROR(__xludf.DUMMYFUNCTION("""COMPUTED_VALUE"""),13207379)</f>
        <v>13207379</v>
      </c>
      <c r="I90" s="5" t="str">
        <f ca="1">IFERROR(__xludf.DUMMYFUNCTION("""COMPUTED_VALUE"""),"cambiar filtros entrada generador ozono")</f>
        <v>cambiar filtros entrada generador ozono</v>
      </c>
      <c r="J90" s="5" t="str">
        <f ca="1">IFERROR(__xludf.DUMMYFUNCTION("""COMPUTED_VALUE"""),"ALTO")</f>
        <v>ALTO</v>
      </c>
      <c r="K90" s="5" t="str">
        <f ca="1">IFERROR(__xludf.DUMMYFUNCTION("""COMPUTED_VALUE"""),"Preventivo")</f>
        <v>Preventivo</v>
      </c>
      <c r="L90" s="5" t="str">
        <f ca="1">IFERROR(__xludf.DUMMYFUNCTION("""COMPUTED_VALUE"""),"Maquinaria")</f>
        <v>Maquinaria</v>
      </c>
      <c r="M90" s="5" t="str">
        <f ca="1">IFERROR(__xludf.DUMMYFUNCTION("""COMPUTED_VALUE"""),"No")</f>
        <v>No</v>
      </c>
      <c r="N90" s="5"/>
      <c r="O90" s="5"/>
      <c r="P90" s="18">
        <f ca="1">IFERROR(__xludf.DUMMYFUNCTION("""COMPUTED_VALUE"""),45329)</f>
        <v>45329</v>
      </c>
      <c r="Q90" s="18">
        <f ca="1">IFERROR(__xludf.DUMMYFUNCTION("""COMPUTED_VALUE"""),45329)</f>
        <v>45329</v>
      </c>
      <c r="R90" s="18"/>
      <c r="S90" s="5">
        <f ca="1">IFERROR(__xludf.DUMMYFUNCTION("""COMPUTED_VALUE"""),1)</f>
        <v>1</v>
      </c>
      <c r="T90" s="5"/>
      <c r="U90" s="5" t="str">
        <f ca="1">IFERROR(__xludf.DUMMYFUNCTION("""COMPUTED_VALUE"""),"Christian Camilo Ramirez Rendón")</f>
        <v>Christian Camilo Ramirez Rendón</v>
      </c>
      <c r="V90" s="5"/>
      <c r="W90" s="5" t="str">
        <f ca="1">IFERROR(__xludf.DUMMYFUNCTION("""COMPUTED_VALUE"""),"TvB9q5ntUbY")</f>
        <v>TvB9q5ntUbY</v>
      </c>
      <c r="X90" s="5">
        <f ca="1">IFERROR(__xludf.DUMMYFUNCTION("""COMPUTED_VALUE"""),1)</f>
        <v>1</v>
      </c>
      <c r="Y90" s="5" t="str">
        <f t="shared" si="0"/>
        <v>Actividad sin realizar</v>
      </c>
      <c r="Z90" s="3">
        <f ca="1">IFERROR(VLOOKUP(U90, 'Base de datos'!A:B, 2, FALSE), "")</f>
        <v>573117720757</v>
      </c>
      <c r="AA90" s="4" t="e">
        <f t="shared" ca="1" si="1"/>
        <v>#NAME?</v>
      </c>
    </row>
    <row r="91" spans="1:27" ht="15.75" customHeight="1">
      <c r="A91" s="5" t="str">
        <f ca="1">IFERROR(__xludf.DUMMYFUNCTION("""COMPUTED_VALUE"""),"POSTOBÓN YUMBO")</f>
        <v>POSTOBÓN YUMBO</v>
      </c>
      <c r="B91" s="5" t="str">
        <f ca="1">IFERROR(__xludf.DUMMYFUNCTION("""COMPUTED_VALUE"""),"0410-LINEA DE BOLSAS")</f>
        <v>0410-LINEA DE BOLSAS</v>
      </c>
      <c r="C91" s="5" t="str">
        <f ca="1">IFERROR(__xludf.DUMMYFUNCTION("""COMPUTED_VALUE"""),"LINEA PARA EL LLENADO DE BOLSAS")</f>
        <v>LINEA PARA EL LLENADO DE BOLSAS</v>
      </c>
      <c r="D91" s="5">
        <f ca="1">IFERROR(__xludf.DUMMYFUNCTION("""COMPUTED_VALUE"""),710199)</f>
        <v>710199</v>
      </c>
      <c r="E91" s="5" t="str">
        <f ca="1">IFERROR(__xludf.DUMMYFUNCTION("""COMPUTED_VALUE"""),"LLENADORA DE BOLSAS LINEA 5")</f>
        <v>LLENADORA DE BOLSAS LINEA 5</v>
      </c>
      <c r="F91" s="5">
        <f ca="1">IFERROR(__xludf.DUMMYFUNCTION("""COMPUTED_VALUE"""),22715)</f>
        <v>22715</v>
      </c>
      <c r="G91" s="5" t="str">
        <f ca="1">IFERROR(__xludf.DUMMYFUNCTION("""COMPUTED_VALUE"""),"PLAN MTTO ELE LLENADORA BOLSA 5L 710199")</f>
        <v>PLAN MTTO ELE LLENADORA BOLSA 5L 710199</v>
      </c>
      <c r="H91" s="5">
        <f ca="1">IFERROR(__xludf.DUMMYFUNCTION("""COMPUTED_VALUE"""),13207465)</f>
        <v>13207465</v>
      </c>
      <c r="I91" s="5" t="str">
        <f ca="1">IFERROR(__xludf.DUMMYFUNCTION("""COMPUTED_VALUE"""),"Mtto lampara Germicidad")</f>
        <v>Mtto lampara Germicidad</v>
      </c>
      <c r="J91" s="5" t="str">
        <f ca="1">IFERROR(__xludf.DUMMYFUNCTION("""COMPUTED_VALUE"""),"ALTO")</f>
        <v>ALTO</v>
      </c>
      <c r="K91" s="5" t="str">
        <f ca="1">IFERROR(__xludf.DUMMYFUNCTION("""COMPUTED_VALUE"""),"Preventivo")</f>
        <v>Preventivo</v>
      </c>
      <c r="L91" s="5" t="str">
        <f ca="1">IFERROR(__xludf.DUMMYFUNCTION("""COMPUTED_VALUE"""),"Maquinaria")</f>
        <v>Maquinaria</v>
      </c>
      <c r="M91" s="5" t="str">
        <f ca="1">IFERROR(__xludf.DUMMYFUNCTION("""COMPUTED_VALUE"""),"No")</f>
        <v>No</v>
      </c>
      <c r="N91" s="5"/>
      <c r="O91" s="5"/>
      <c r="P91" s="18">
        <f ca="1">IFERROR(__xludf.DUMMYFUNCTION("""COMPUTED_VALUE"""),45349)</f>
        <v>45349</v>
      </c>
      <c r="Q91" s="18">
        <f ca="1">IFERROR(__xludf.DUMMYFUNCTION("""COMPUTED_VALUE"""),45349)</f>
        <v>45349</v>
      </c>
      <c r="R91" s="18"/>
      <c r="S91" s="5">
        <f ca="1">IFERROR(__xludf.DUMMYFUNCTION("""COMPUTED_VALUE"""),1)</f>
        <v>1</v>
      </c>
      <c r="T91" s="5"/>
      <c r="U91" s="5" t="str">
        <f ca="1">IFERROR(__xludf.DUMMYFUNCTION("""COMPUTED_VALUE"""),"ESTEBAN POTOSI ISAZA")</f>
        <v>ESTEBAN POTOSI ISAZA</v>
      </c>
      <c r="V91" s="5"/>
      <c r="W91" s="5" t="str">
        <f ca="1">IFERROR(__xludf.DUMMYFUNCTION("""COMPUTED_VALUE"""),"0bAqdyzBQUQ")</f>
        <v>0bAqdyzBQUQ</v>
      </c>
      <c r="X91" s="5">
        <f ca="1">IFERROR(__xludf.DUMMYFUNCTION("""COMPUTED_VALUE"""),1)</f>
        <v>1</v>
      </c>
      <c r="Y91" s="5" t="str">
        <f t="shared" si="0"/>
        <v>Actividad sin realizar</v>
      </c>
      <c r="Z91" s="3">
        <f ca="1">IFERROR(VLOOKUP(U91, 'Base de datos'!A:B, 2, FALSE), "")</f>
        <v>573128543241</v>
      </c>
      <c r="AA91" s="4" t="e">
        <f t="shared" ca="1" si="1"/>
        <v>#NAME?</v>
      </c>
    </row>
    <row r="92" spans="1:27" ht="15.75" customHeight="1">
      <c r="A92" s="5" t="str">
        <f ca="1">IFERROR(__xludf.DUMMYFUNCTION("""COMPUTED_VALUE"""),"POSTOBÓN YUMBO")</f>
        <v>POSTOBÓN YUMBO</v>
      </c>
      <c r="B92" s="5" t="str">
        <f ca="1">IFERROR(__xludf.DUMMYFUNCTION("""COMPUTED_VALUE"""),"0410-LINEA PET CSD")</f>
        <v>0410-LINEA PET CSD</v>
      </c>
      <c r="C92" s="5" t="str">
        <f ca="1">IFERROR(__xludf.DUMMYFUNCTION("""COMPUTED_VALUE"""),"LINEA PET CSD - LINEA 10")</f>
        <v>LINEA PET CSD - LINEA 10</v>
      </c>
      <c r="D92" s="5">
        <f ca="1">IFERROR(__xludf.DUMMYFUNCTION("""COMPUTED_VALUE"""),820082)</f>
        <v>820082</v>
      </c>
      <c r="E92" s="5" t="str">
        <f ca="1">IFERROR(__xludf.DUMMYFUNCTION("""COMPUTED_VALUE"""),"ETIQUETADORA ENVOLVENTE")</f>
        <v>ETIQUETADORA ENVOLVENTE</v>
      </c>
      <c r="F92" s="5">
        <f ca="1">IFERROR(__xludf.DUMMYFUNCTION("""COMPUTED_VALUE"""),37846)</f>
        <v>37846</v>
      </c>
      <c r="G92" s="5" t="str">
        <f ca="1">IFERROR(__xludf.DUMMYFUNCTION("""COMPUTED_VALUE"""),"INSPECCION SEMANAL ETIQUETADORA ENVOLVE")</f>
        <v>INSPECCION SEMANAL ETIQUETADORA ENVOLVE</v>
      </c>
      <c r="H92" s="5">
        <f ca="1">IFERROR(__xludf.DUMMYFUNCTION("""COMPUTED_VALUE"""),13214439)</f>
        <v>13214439</v>
      </c>
      <c r="I92" s="5" t="str">
        <f ca="1">IFERROR(__xludf.DUMMYFUNCTION("""COMPUTED_VALUE"""),"cambio de almuhadillas 1,5 y 600 mlts")</f>
        <v>cambio de almuhadillas 1,5 y 600 mlts</v>
      </c>
      <c r="J92" s="5" t="str">
        <f ca="1">IFERROR(__xludf.DUMMYFUNCTION("""COMPUTED_VALUE"""),"MEDIO")</f>
        <v>MEDIO</v>
      </c>
      <c r="K92" s="5" t="str">
        <f ca="1">IFERROR(__xludf.DUMMYFUNCTION("""COMPUTED_VALUE"""),"Preventivo")</f>
        <v>Preventivo</v>
      </c>
      <c r="L92" s="5" t="str">
        <f ca="1">IFERROR(__xludf.DUMMYFUNCTION("""COMPUTED_VALUE"""),"Maquinaria")</f>
        <v>Maquinaria</v>
      </c>
      <c r="M92" s="5" t="str">
        <f ca="1">IFERROR(__xludf.DUMMYFUNCTION("""COMPUTED_VALUE"""),"No")</f>
        <v>No</v>
      </c>
      <c r="N92" s="5"/>
      <c r="O92" s="5">
        <f ca="1">IFERROR(__xludf.DUMMYFUNCTION("""COMPUTED_VALUE"""),100)</f>
        <v>100</v>
      </c>
      <c r="P92" s="18">
        <f ca="1">IFERROR(__xludf.DUMMYFUNCTION("""COMPUTED_VALUE"""),45325)</f>
        <v>45325</v>
      </c>
      <c r="Q92" s="18">
        <f ca="1">IFERROR(__xludf.DUMMYFUNCTION("""COMPUTED_VALUE"""),45325)</f>
        <v>45325</v>
      </c>
      <c r="R92" s="18"/>
      <c r="S92" s="5">
        <f ca="1">IFERROR(__xludf.DUMMYFUNCTION("""COMPUTED_VALUE"""),1)</f>
        <v>1</v>
      </c>
      <c r="T92" s="5"/>
      <c r="U92" s="5" t="str">
        <f ca="1">IFERROR(__xludf.DUMMYFUNCTION("""COMPUTED_VALUE"""),"Gordillo Victoria Luis Miguel")</f>
        <v>Gordillo Victoria Luis Miguel</v>
      </c>
      <c r="V92" s="5"/>
      <c r="W92" s="5" t="str">
        <f ca="1">IFERROR(__xludf.DUMMYFUNCTION("""COMPUTED_VALUE"""),"7k69FxB-Py0")</f>
        <v>7k69FxB-Py0</v>
      </c>
      <c r="X92" s="5">
        <f ca="1">IFERROR(__xludf.DUMMYFUNCTION("""COMPUTED_VALUE"""),1)</f>
        <v>1</v>
      </c>
      <c r="Y92" s="5" t="str">
        <f t="shared" ca="1" si="0"/>
        <v>Actividad realizada</v>
      </c>
      <c r="Z92" s="3">
        <f ca="1">IFERROR(VLOOKUP(U92, 'Base de datos'!A:B, 2, FALSE), "")</f>
        <v>573023677706</v>
      </c>
      <c r="AA92" s="4" t="e">
        <f t="shared" ca="1" si="1"/>
        <v>#NAME?</v>
      </c>
    </row>
    <row r="93" spans="1:27" ht="15.75" customHeight="1">
      <c r="A93" s="5" t="str">
        <f ca="1">IFERROR(__xludf.DUMMYFUNCTION("""COMPUTED_VALUE"""),"POSTOBÓN YUMBO")</f>
        <v>POSTOBÓN YUMBO</v>
      </c>
      <c r="B93" s="5" t="str">
        <f ca="1">IFERROR(__xludf.DUMMYFUNCTION("""COMPUTED_VALUE"""),"0410-EQUIPOS AUXILIARES")</f>
        <v>0410-EQUIPOS AUXILIARES</v>
      </c>
      <c r="C93" s="5" t="str">
        <f ca="1">IFERROR(__xludf.DUMMYFUNCTION("""COMPUTED_VALUE"""),"EQUIPOS PARA SERVICIOS INDUSTRIALES")</f>
        <v>EQUIPOS PARA SERVICIOS INDUSTRIALES</v>
      </c>
      <c r="D93" s="5">
        <f ca="1">IFERROR(__xludf.DUMMYFUNCTION("""COMPUTED_VALUE"""),638555)</f>
        <v>638555</v>
      </c>
      <c r="E93" s="5" t="str">
        <f ca="1">IFERROR(__xludf.DUMMYFUNCTION("""COMPUTED_VALUE"""),"CONDENSADOR EVAPORATIVO")</f>
        <v>CONDENSADOR EVAPORATIVO</v>
      </c>
      <c r="F93" s="5">
        <f ca="1">IFERROR(__xludf.DUMMYFUNCTION("""COMPUTED_VALUE"""),21700)</f>
        <v>21700</v>
      </c>
      <c r="G93" s="5" t="str">
        <f ca="1">IFERROR(__xludf.DUMMYFUNCTION("""COMPUTED_VALUE"""),"PLAN MTTO MEC CONDENSADOR EVAP GASEOSA")</f>
        <v>PLAN MTTO MEC CONDENSADOR EVAP GASEOSA</v>
      </c>
      <c r="H93" s="5">
        <f ca="1">IFERROR(__xludf.DUMMYFUNCTION("""COMPUTED_VALUE"""),13193543)</f>
        <v>13193543</v>
      </c>
      <c r="I93" s="5" t="str">
        <f ca="1">IFERROR(__xludf.DUMMYFUNCTION("""COMPUTED_VALUE"""),"Limpiar filtros succión bomba de agua")</f>
        <v>Limpiar filtros succión bomba de agua</v>
      </c>
      <c r="J93" s="5" t="str">
        <f ca="1">IFERROR(__xludf.DUMMYFUNCTION("""COMPUTED_VALUE"""),"MEDIO")</f>
        <v>MEDIO</v>
      </c>
      <c r="K93" s="5" t="str">
        <f ca="1">IFERROR(__xludf.DUMMYFUNCTION("""COMPUTED_VALUE"""),"Preventivo")</f>
        <v>Preventivo</v>
      </c>
      <c r="L93" s="5" t="str">
        <f ca="1">IFERROR(__xludf.DUMMYFUNCTION("""COMPUTED_VALUE"""),"Maquinaria")</f>
        <v>Maquinaria</v>
      </c>
      <c r="M93" s="5" t="str">
        <f ca="1">IFERROR(__xludf.DUMMYFUNCTION("""COMPUTED_VALUE"""),"No")</f>
        <v>No</v>
      </c>
      <c r="N93" s="5"/>
      <c r="O93" s="5"/>
      <c r="P93" s="18">
        <f ca="1">IFERROR(__xludf.DUMMYFUNCTION("""COMPUTED_VALUE"""),45326)</f>
        <v>45326</v>
      </c>
      <c r="Q93" s="18">
        <f ca="1">IFERROR(__xludf.DUMMYFUNCTION("""COMPUTED_VALUE"""),45326)</f>
        <v>45326</v>
      </c>
      <c r="R93" s="18"/>
      <c r="S93" s="5">
        <f ca="1">IFERROR(__xludf.DUMMYFUNCTION("""COMPUTED_VALUE"""),1)</f>
        <v>1</v>
      </c>
      <c r="T93" s="5"/>
      <c r="U93" s="5" t="str">
        <f ca="1">IFERROR(__xludf.DUMMYFUNCTION("""COMPUTED_VALUE"""),"Henao William")</f>
        <v>Henao William</v>
      </c>
      <c r="V93" s="5"/>
      <c r="W93" s="5" t="str">
        <f ca="1">IFERROR(__xludf.DUMMYFUNCTION("""COMPUTED_VALUE"""),"Tp26Hf6yoUs")</f>
        <v>Tp26Hf6yoUs</v>
      </c>
      <c r="X93" s="5">
        <f ca="1">IFERROR(__xludf.DUMMYFUNCTION("""COMPUTED_VALUE"""),1)</f>
        <v>1</v>
      </c>
      <c r="Y93" s="5" t="str">
        <f t="shared" si="0"/>
        <v>Actividad sin realizar</v>
      </c>
      <c r="Z93" s="3">
        <f ca="1">IFERROR(VLOOKUP(U93, 'Base de datos'!A:B, 2, FALSE), "")</f>
        <v>573222217492</v>
      </c>
      <c r="AA93" s="4" t="e">
        <f t="shared" ca="1" si="1"/>
        <v>#NAME?</v>
      </c>
    </row>
    <row r="94" spans="1:27" ht="15.75" customHeight="1">
      <c r="A94" s="5" t="str">
        <f ca="1">IFERROR(__xludf.DUMMYFUNCTION("""COMPUTED_VALUE"""),"POSTOBÓN YUMBO")</f>
        <v>POSTOBÓN YUMBO</v>
      </c>
      <c r="B94" s="5" t="str">
        <f ca="1">IFERROR(__xludf.DUMMYFUNCTION("""COMPUTED_VALUE"""),"0410-ENVASADO JUGOS PET HOT F")</f>
        <v>0410-ENVASADO JUGOS PET HOT F</v>
      </c>
      <c r="C94" s="5" t="str">
        <f ca="1">IFERROR(__xludf.DUMMYFUNCTION("""COMPUTED_VALUE"""),"LINEA DE ENVASADO JUGOS PET HOT FILL")</f>
        <v>LINEA DE ENVASADO JUGOS PET HOT FILL</v>
      </c>
      <c r="D94" s="5">
        <f ca="1">IFERROR(__xludf.DUMMYFUNCTION("""COMPUTED_VALUE"""),900305)</f>
        <v>900305</v>
      </c>
      <c r="E94" s="5" t="str">
        <f ca="1">IFERROR(__xludf.DUMMYFUNCTION("""COMPUTED_VALUE"""),"ETIQUETADORA")</f>
        <v>ETIQUETADORA</v>
      </c>
      <c r="F94" s="5">
        <f ca="1">IFERROR(__xludf.DUMMYFUNCTION("""COMPUTED_VALUE"""),14086)</f>
        <v>14086</v>
      </c>
      <c r="G94" s="5" t="str">
        <f ca="1">IFERROR(__xludf.DUMMYFUNCTION("""COMPUTED_VALUE"""),"MTTO MEC ETIQUETADORA L8 900305")</f>
        <v>MTTO MEC ETIQUETADORA L8 900305</v>
      </c>
      <c r="H94" s="5">
        <f ca="1">IFERROR(__xludf.DUMMYFUNCTION("""COMPUTED_VALUE"""),13247139)</f>
        <v>13247139</v>
      </c>
      <c r="I94" s="5" t="str">
        <f ca="1">IFERROR(__xludf.DUMMYFUNCTION("""COMPUTED_VALUE"""),"Tambor de corte: Limpiar")</f>
        <v>Tambor de corte: Limpiar</v>
      </c>
      <c r="J94" s="5" t="str">
        <f ca="1">IFERROR(__xludf.DUMMYFUNCTION("""COMPUTED_VALUE"""),"MEDIO")</f>
        <v>MEDIO</v>
      </c>
      <c r="K94" s="5" t="str">
        <f ca="1">IFERROR(__xludf.DUMMYFUNCTION("""COMPUTED_VALUE"""),"Preventivo")</f>
        <v>Preventivo</v>
      </c>
      <c r="L94" s="5" t="str">
        <f ca="1">IFERROR(__xludf.DUMMYFUNCTION("""COMPUTED_VALUE"""),"Maquinaria")</f>
        <v>Maquinaria</v>
      </c>
      <c r="M94" s="5" t="str">
        <f ca="1">IFERROR(__xludf.DUMMYFUNCTION("""COMPUTED_VALUE"""),"No")</f>
        <v>No</v>
      </c>
      <c r="N94" s="5"/>
      <c r="O94" s="5"/>
      <c r="P94" s="18">
        <f ca="1">IFERROR(__xludf.DUMMYFUNCTION("""COMPUTED_VALUE"""),45334)</f>
        <v>45334</v>
      </c>
      <c r="Q94" s="18">
        <f ca="1">IFERROR(__xludf.DUMMYFUNCTION("""COMPUTED_VALUE"""),45334)</f>
        <v>45334</v>
      </c>
      <c r="R94" s="18"/>
      <c r="S94" s="5">
        <f ca="1">IFERROR(__xludf.DUMMYFUNCTION("""COMPUTED_VALUE"""),8)</f>
        <v>8</v>
      </c>
      <c r="T94" s="5"/>
      <c r="U94" s="5" t="str">
        <f ca="1">IFERROR(__xludf.DUMMYFUNCTION("""COMPUTED_VALUE"""),"Bedoya Marin Johan Andres")</f>
        <v>Bedoya Marin Johan Andres</v>
      </c>
      <c r="V94" s="5"/>
      <c r="W94" s="5" t="str">
        <f ca="1">IFERROR(__xludf.DUMMYFUNCTION("""COMPUTED_VALUE"""),"JF28-4Lu0W4")</f>
        <v>JF28-4Lu0W4</v>
      </c>
      <c r="X94" s="5">
        <f ca="1">IFERROR(__xludf.DUMMYFUNCTION("""COMPUTED_VALUE"""),8)</f>
        <v>8</v>
      </c>
      <c r="Y94" s="5" t="str">
        <f t="shared" si="0"/>
        <v>Actividad sin realizar</v>
      </c>
      <c r="Z94" s="3">
        <f ca="1">IFERROR(VLOOKUP(U94, 'Base de datos'!A:B, 2, FALSE), "")</f>
        <v>573147103334</v>
      </c>
      <c r="AA94" s="4" t="e">
        <f t="shared" ca="1" si="1"/>
        <v>#NAME?</v>
      </c>
    </row>
    <row r="95" spans="1:27" ht="15.75" customHeight="1">
      <c r="A95" s="5" t="str">
        <f ca="1">IFERROR(__xludf.DUMMYFUNCTION("""COMPUTED_VALUE"""),"POSTOBÓN YUMBO")</f>
        <v>POSTOBÓN YUMBO</v>
      </c>
      <c r="B95" s="5" t="str">
        <f ca="1">IFERROR(__xludf.DUMMYFUNCTION("""COMPUTED_VALUE"""),"0410-EQUIPOS AUXILIARES")</f>
        <v>0410-EQUIPOS AUXILIARES</v>
      </c>
      <c r="C95" s="5" t="str">
        <f ca="1">IFERROR(__xludf.DUMMYFUNCTION("""COMPUTED_VALUE"""),"EQUIPOS PARA SERVICIOS INDUSTRIALES")</f>
        <v>EQUIPOS PARA SERVICIOS INDUSTRIALES</v>
      </c>
      <c r="D95" s="5">
        <f ca="1">IFERROR(__xludf.DUMMYFUNCTION("""COMPUTED_VALUE"""),628832)</f>
        <v>628832</v>
      </c>
      <c r="E95" s="5" t="str">
        <f ca="1">IFERROR(__xludf.DUMMYFUNCTION("""COMPUTED_VALUE"""),"COMPRESOR DE REFRIGERACION")</f>
        <v>COMPRESOR DE REFRIGERACION</v>
      </c>
      <c r="F95" s="5">
        <f ca="1">IFERROR(__xludf.DUMMYFUNCTION("""COMPUTED_VALUE"""),21695)</f>
        <v>21695</v>
      </c>
      <c r="G95" s="5" t="str">
        <f ca="1">IFERROR(__xludf.DUMMYFUNCTION("""COMPUTED_VALUE"""),"PLAN DE MTTO MEC COMPRESOR REFRIG 1")</f>
        <v>PLAN DE MTTO MEC COMPRESOR REFRIG 1</v>
      </c>
      <c r="H95" s="5">
        <f ca="1">IFERROR(__xludf.DUMMYFUNCTION("""COMPUTED_VALUE"""),13193538)</f>
        <v>13193538</v>
      </c>
      <c r="I95" s="5" t="str">
        <f ca="1">IFERROR(__xludf.DUMMYFUNCTION("""COMPUTED_VALUE"""),"Revisar descargadores")</f>
        <v>Revisar descargadores</v>
      </c>
      <c r="J95" s="5" t="str">
        <f ca="1">IFERROR(__xludf.DUMMYFUNCTION("""COMPUTED_VALUE"""),"MEDIO")</f>
        <v>MEDIO</v>
      </c>
      <c r="K95" s="5" t="str">
        <f ca="1">IFERROR(__xludf.DUMMYFUNCTION("""COMPUTED_VALUE"""),"Preventivo")</f>
        <v>Preventivo</v>
      </c>
      <c r="L95" s="5" t="str">
        <f ca="1">IFERROR(__xludf.DUMMYFUNCTION("""COMPUTED_VALUE"""),"Maquinaria")</f>
        <v>Maquinaria</v>
      </c>
      <c r="M95" s="5" t="str">
        <f ca="1">IFERROR(__xludf.DUMMYFUNCTION("""COMPUTED_VALUE"""),"No")</f>
        <v>No</v>
      </c>
      <c r="N95" s="5"/>
      <c r="O95" s="5"/>
      <c r="P95" s="18">
        <f ca="1">IFERROR(__xludf.DUMMYFUNCTION("""COMPUTED_VALUE"""),45326)</f>
        <v>45326</v>
      </c>
      <c r="Q95" s="18">
        <f ca="1">IFERROR(__xludf.DUMMYFUNCTION("""COMPUTED_VALUE"""),45326)</f>
        <v>45326</v>
      </c>
      <c r="R95" s="18"/>
      <c r="S95" s="5">
        <f ca="1">IFERROR(__xludf.DUMMYFUNCTION("""COMPUTED_VALUE"""),1)</f>
        <v>1</v>
      </c>
      <c r="T95" s="5"/>
      <c r="U95" s="5" t="str">
        <f ca="1">IFERROR(__xludf.DUMMYFUNCTION("""COMPUTED_VALUE"""),"MUÑOZ VALENCIA JEFFERSON")</f>
        <v>MUÑOZ VALENCIA JEFFERSON</v>
      </c>
      <c r="V95" s="5"/>
      <c r="W95" s="5" t="str">
        <f ca="1">IFERROR(__xludf.DUMMYFUNCTION("""COMPUTED_VALUE"""),"B1I9VljTzoM")</f>
        <v>B1I9VljTzoM</v>
      </c>
      <c r="X95" s="5">
        <f ca="1">IFERROR(__xludf.DUMMYFUNCTION("""COMPUTED_VALUE"""),1)</f>
        <v>1</v>
      </c>
      <c r="Y95" s="5" t="str">
        <f t="shared" si="0"/>
        <v>Actividad sin realizar</v>
      </c>
      <c r="Z95" s="3">
        <f ca="1">IFERROR(VLOOKUP(U95, 'Base de datos'!A:B, 2, FALSE), "")</f>
        <v>573122261803</v>
      </c>
      <c r="AA95" s="4" t="e">
        <f t="shared" ca="1" si="1"/>
        <v>#NAME?</v>
      </c>
    </row>
    <row r="96" spans="1:27" ht="15.75" customHeight="1">
      <c r="A96" s="5" t="str">
        <f ca="1">IFERROR(__xludf.DUMMYFUNCTION("""COMPUTED_VALUE"""),"POSTOBÓN YUMBO")</f>
        <v>POSTOBÓN YUMBO</v>
      </c>
      <c r="B96" s="5" t="str">
        <f ca="1">IFERROR(__xludf.DUMMYFUNCTION("""COMPUTED_VALUE"""),"0410-SALA DE JARABE TERMINADO")</f>
        <v>0410-SALA DE JARABE TERMINADO</v>
      </c>
      <c r="C96" s="5" t="str">
        <f ca="1">IFERROR(__xludf.DUMMYFUNCTION("""COMPUTED_VALUE"""),"EQUIPOS PARA PREPARACION DE JARABE")</f>
        <v>EQUIPOS PARA PREPARACION DE JARABE</v>
      </c>
      <c r="D96" s="5">
        <f ca="1">IFERROR(__xludf.DUMMYFUNCTION("""COMPUTED_VALUE"""),69963411)</f>
        <v>69963411</v>
      </c>
      <c r="E96" s="5" t="str">
        <f ca="1">IFERROR(__xludf.DUMMYFUNCTION("""COMPUTED_VALUE"""),"TANQUE DE JARABE")</f>
        <v>TANQUE DE JARABE</v>
      </c>
      <c r="F96" s="5">
        <f ca="1">IFERROR(__xludf.DUMMYFUNCTION("""COMPUTED_VALUE"""),17361)</f>
        <v>17361</v>
      </c>
      <c r="G96" s="5" t="str">
        <f ca="1">IFERROR(__xludf.DUMMYFUNCTION("""COMPUTED_VALUE"""),"MTTO ELE TK JARABE 8 JARABE TERMINADO")</f>
        <v>MTTO ELE TK JARABE 8 JARABE TERMINADO</v>
      </c>
      <c r="H96" s="5">
        <f ca="1">IFERROR(__xludf.DUMMYFUNCTION("""COMPUTED_VALUE"""),13247163)</f>
        <v>13247163</v>
      </c>
      <c r="I96" s="5" t="str">
        <f ca="1">IFERROR(__xludf.DUMMYFUNCTION("""COMPUTED_VALUE"""),"MOTOR BOMBA DE RECIRCULACION:")</f>
        <v>MOTOR BOMBA DE RECIRCULACION:</v>
      </c>
      <c r="J96" s="5" t="str">
        <f ca="1">IFERROR(__xludf.DUMMYFUNCTION("""COMPUTED_VALUE"""),"ALTO")</f>
        <v>ALTO</v>
      </c>
      <c r="K96" s="5" t="str">
        <f ca="1">IFERROR(__xludf.DUMMYFUNCTION("""COMPUTED_VALUE"""),"Preventivo")</f>
        <v>Preventivo</v>
      </c>
      <c r="L96" s="5" t="str">
        <f ca="1">IFERROR(__xludf.DUMMYFUNCTION("""COMPUTED_VALUE"""),"Maquinaria")</f>
        <v>Maquinaria</v>
      </c>
      <c r="M96" s="5" t="str">
        <f ca="1">IFERROR(__xludf.DUMMYFUNCTION("""COMPUTED_VALUE"""),"No")</f>
        <v>No</v>
      </c>
      <c r="N96" s="5"/>
      <c r="O96" s="5">
        <f ca="1">IFERROR(__xludf.DUMMYFUNCTION("""COMPUTED_VALUE"""),100)</f>
        <v>100</v>
      </c>
      <c r="P96" s="18">
        <f ca="1">IFERROR(__xludf.DUMMYFUNCTION("""COMPUTED_VALUE"""),45343)</f>
        <v>45343</v>
      </c>
      <c r="Q96" s="18">
        <f ca="1">IFERROR(__xludf.DUMMYFUNCTION("""COMPUTED_VALUE"""),45343)</f>
        <v>45343</v>
      </c>
      <c r="R96" s="18"/>
      <c r="S96" s="5">
        <f ca="1">IFERROR(__xludf.DUMMYFUNCTION("""COMPUTED_VALUE"""),1)</f>
        <v>1</v>
      </c>
      <c r="T96" s="5"/>
      <c r="U96" s="5" t="str">
        <f ca="1">IFERROR(__xludf.DUMMYFUNCTION("""COMPUTED_VALUE"""),"Rivas Mena Carlos Danny")</f>
        <v>Rivas Mena Carlos Danny</v>
      </c>
      <c r="V96" s="5"/>
      <c r="W96" s="5" t="str">
        <f ca="1">IFERROR(__xludf.DUMMYFUNCTION("""COMPUTED_VALUE"""),"hGg9RI9XF4A")</f>
        <v>hGg9RI9XF4A</v>
      </c>
      <c r="X96" s="5">
        <f ca="1">IFERROR(__xludf.DUMMYFUNCTION("""COMPUTED_VALUE"""),1)</f>
        <v>1</v>
      </c>
      <c r="Y96" s="5" t="str">
        <f t="shared" ca="1" si="0"/>
        <v>Actividad realizada</v>
      </c>
      <c r="Z96" s="3">
        <f ca="1">IFERROR(VLOOKUP(U96, 'Base de datos'!A:B, 2, FALSE), "")</f>
        <v>0</v>
      </c>
      <c r="AA96" s="4" t="e">
        <f t="shared" ca="1" si="1"/>
        <v>#NAME?</v>
      </c>
    </row>
    <row r="97" spans="1:27" ht="15.75" customHeight="1">
      <c r="A97" s="5" t="str">
        <f ca="1">IFERROR(__xludf.DUMMYFUNCTION("""COMPUTED_VALUE"""),"POSTOBÓN YUMBO")</f>
        <v>POSTOBÓN YUMBO</v>
      </c>
      <c r="B97" s="5" t="str">
        <f ca="1">IFERROR(__xludf.DUMMYFUNCTION("""COMPUTED_VALUE"""),"0410-ENVASADO JUGOS PET HOT F")</f>
        <v>0410-ENVASADO JUGOS PET HOT F</v>
      </c>
      <c r="C97" s="5" t="str">
        <f ca="1">IFERROR(__xludf.DUMMYFUNCTION("""COMPUTED_VALUE"""),"LINEA DE ENVASADO JUGOS PET HOT FILL")</f>
        <v>LINEA DE ENVASADO JUGOS PET HOT FILL</v>
      </c>
      <c r="D97" s="5">
        <f ca="1">IFERROR(__xludf.DUMMYFUNCTION("""COMPUTED_VALUE"""),900303)</f>
        <v>900303</v>
      </c>
      <c r="E97" s="5" t="str">
        <f ca="1">IFERROR(__xludf.DUMMYFUNCTION("""COMPUTED_VALUE"""),"LLENADORA")</f>
        <v>LLENADORA</v>
      </c>
      <c r="F97" s="5">
        <f ca="1">IFERROR(__xludf.DUMMYFUNCTION("""COMPUTED_VALUE"""),0)</f>
        <v>0</v>
      </c>
      <c r="G97" s="5" t="str">
        <f ca="1">IFERROR(__xludf.DUMMYFUNCTION("""COMPUTED_VALUE"""),"CONSUMO LUB LLENADORA L8")</f>
        <v>CONSUMO LUB LLENADORA L8</v>
      </c>
      <c r="H97" s="5">
        <f ca="1">IFERROR(__xludf.DUMMYFUNCTION("""COMPUTED_VALUE"""),13230942)</f>
        <v>13230942</v>
      </c>
      <c r="I97" s="5" t="str">
        <f ca="1">IFERROR(__xludf.DUMMYFUNCTION("""COMPUTED_VALUE"""),"CONSUMO LUB LLENADORA L8")</f>
        <v>CONSUMO LUB LLENADORA L8</v>
      </c>
      <c r="J97" s="5" t="str">
        <f ca="1">IFERROR(__xludf.DUMMYFUNCTION("""COMPUTED_VALUE"""),"ALTO")</f>
        <v>ALTO</v>
      </c>
      <c r="K97" s="5" t="str">
        <f ca="1">IFERROR(__xludf.DUMMYFUNCTION("""COMPUTED_VALUE"""),"Preventivo")</f>
        <v>Preventivo</v>
      </c>
      <c r="L97" s="5" t="str">
        <f ca="1">IFERROR(__xludf.DUMMYFUNCTION("""COMPUTED_VALUE"""),"Maquinaria")</f>
        <v>Maquinaria</v>
      </c>
      <c r="M97" s="5" t="str">
        <f ca="1">IFERROR(__xludf.DUMMYFUNCTION("""COMPUTED_VALUE"""),"No")</f>
        <v>No</v>
      </c>
      <c r="N97" s="5"/>
      <c r="O97" s="5"/>
      <c r="P97" s="18">
        <f ca="1">IFERROR(__xludf.DUMMYFUNCTION("""COMPUTED_VALUE"""),45325)</f>
        <v>45325</v>
      </c>
      <c r="Q97" s="18">
        <f ca="1">IFERROR(__xludf.DUMMYFUNCTION("""COMPUTED_VALUE"""),45325)</f>
        <v>45325</v>
      </c>
      <c r="R97" s="18"/>
      <c r="S97" s="5">
        <f ca="1">IFERROR(__xludf.DUMMYFUNCTION("""COMPUTED_VALUE"""),1)</f>
        <v>1</v>
      </c>
      <c r="T97" s="5"/>
      <c r="U97" s="5" t="str">
        <f ca="1">IFERROR(__xludf.DUMMYFUNCTION("""COMPUTED_VALUE"""),"Franco Castillo Brayan Steven")</f>
        <v>Franco Castillo Brayan Steven</v>
      </c>
      <c r="V97" s="5"/>
      <c r="W97" s="5" t="str">
        <f ca="1">IFERROR(__xludf.DUMMYFUNCTION("""COMPUTED_VALUE"""),"Oz8pA9yI9wI")</f>
        <v>Oz8pA9yI9wI</v>
      </c>
      <c r="X97" s="5">
        <f ca="1">IFERROR(__xludf.DUMMYFUNCTION("""COMPUTED_VALUE"""),1)</f>
        <v>1</v>
      </c>
      <c r="Y97" s="5" t="str">
        <f t="shared" si="0"/>
        <v>Actividad sin realizar</v>
      </c>
      <c r="Z97" s="3">
        <f ca="1">IFERROR(VLOOKUP(U97, 'Base de datos'!A:B, 2, FALSE), "")</f>
        <v>573053427911</v>
      </c>
      <c r="AA97" s="4" t="e">
        <f t="shared" ca="1" si="1"/>
        <v>#NAME?</v>
      </c>
    </row>
    <row r="98" spans="1:27" ht="15.75" customHeight="1">
      <c r="A98" s="5" t="str">
        <f ca="1">IFERROR(__xludf.DUMMYFUNCTION("""COMPUTED_VALUE"""),"POSTOBÓN YUMBO")</f>
        <v>POSTOBÓN YUMBO</v>
      </c>
      <c r="B98" s="5" t="str">
        <f ca="1">IFERROR(__xludf.DUMMYFUNCTION("""COMPUTED_VALUE"""),"0410-LINEA 1")</f>
        <v>0410-LINEA 1</v>
      </c>
      <c r="C98" s="5" t="str">
        <f ca="1">IFERROR(__xludf.DUMMYFUNCTION("""COMPUTED_VALUE"""),"LINEA DE ENVASADO PET NO RETORNABLE")</f>
        <v>LINEA DE ENVASADO PET NO RETORNABLE</v>
      </c>
      <c r="D98" s="5">
        <f ca="1">IFERROR(__xludf.DUMMYFUNCTION("""COMPUTED_VALUE"""),518635)</f>
        <v>518635</v>
      </c>
      <c r="E98" s="5" t="str">
        <f ca="1">IFERROR(__xludf.DUMMYFUNCTION("""COMPUTED_VALUE"""),"LLENADORA")</f>
        <v>LLENADORA</v>
      </c>
      <c r="F98" s="5">
        <f ca="1">IFERROR(__xludf.DUMMYFUNCTION("""COMPUTED_VALUE"""),0)</f>
        <v>0</v>
      </c>
      <c r="G98" s="5" t="str">
        <f ca="1">IFERROR(__xludf.DUMMYFUNCTION("""COMPUTED_VALUE"""),"MTTO MAYOR LLENADORA L1")</f>
        <v>MTTO MAYOR LLENADORA L1</v>
      </c>
      <c r="H98" s="5">
        <f ca="1">IFERROR(__xludf.DUMMYFUNCTION("""COMPUTED_VALUE"""),13246494)</f>
        <v>13246494</v>
      </c>
      <c r="I98" s="5" t="str">
        <f ca="1">IFERROR(__xludf.DUMMYFUNCTION("""COMPUTED_VALUE"""),"MTTO VALVULAS DE LLENADO")</f>
        <v>MTTO VALVULAS DE LLENADO</v>
      </c>
      <c r="J98" s="5" t="str">
        <f ca="1">IFERROR(__xludf.DUMMYFUNCTION("""COMPUTED_VALUE"""),"ALTO")</f>
        <v>ALTO</v>
      </c>
      <c r="K98" s="5" t="str">
        <f ca="1">IFERROR(__xludf.DUMMYFUNCTION("""COMPUTED_VALUE"""),"Preventivo")</f>
        <v>Preventivo</v>
      </c>
      <c r="L98" s="5" t="str">
        <f ca="1">IFERROR(__xludf.DUMMYFUNCTION("""COMPUTED_VALUE"""),"Maquinaria")</f>
        <v>Maquinaria</v>
      </c>
      <c r="M98" s="5" t="str">
        <f ca="1">IFERROR(__xludf.DUMMYFUNCTION("""COMPUTED_VALUE"""),"No")</f>
        <v>No</v>
      </c>
      <c r="N98" s="5"/>
      <c r="O98" s="5"/>
      <c r="P98" s="18">
        <f ca="1">IFERROR(__xludf.DUMMYFUNCTION("""COMPUTED_VALUE"""),45323)</f>
        <v>45323</v>
      </c>
      <c r="Q98" s="18">
        <f ca="1">IFERROR(__xludf.DUMMYFUNCTION("""COMPUTED_VALUE"""),45323)</f>
        <v>45323</v>
      </c>
      <c r="R98" s="18"/>
      <c r="S98" s="5">
        <f ca="1">IFERROR(__xludf.DUMMYFUNCTION("""COMPUTED_VALUE"""),32)</f>
        <v>32</v>
      </c>
      <c r="T98" s="5"/>
      <c r="U98" s="5" t="str">
        <f ca="1">IFERROR(__xludf.DUMMYFUNCTION("""COMPUTED_VALUE"""),"FRANCO HERRERA ALEJANDRO")</f>
        <v>FRANCO HERRERA ALEJANDRO</v>
      </c>
      <c r="V98" s="5"/>
      <c r="W98" s="5" t="str">
        <f ca="1">IFERROR(__xludf.DUMMYFUNCTION("""COMPUTED_VALUE"""),"qxRYgu2Zghg")</f>
        <v>qxRYgu2Zghg</v>
      </c>
      <c r="X98" s="5">
        <f ca="1">IFERROR(__xludf.DUMMYFUNCTION("""COMPUTED_VALUE"""),32)</f>
        <v>32</v>
      </c>
      <c r="Y98" s="5" t="str">
        <f t="shared" si="0"/>
        <v>Actividad sin realizar</v>
      </c>
      <c r="Z98" s="3">
        <f ca="1">IFERROR(VLOOKUP(U98, 'Base de datos'!A:B, 2, FALSE), "")</f>
        <v>573015282155</v>
      </c>
      <c r="AA98" s="4" t="e">
        <f t="shared" ca="1" si="1"/>
        <v>#NAME?</v>
      </c>
    </row>
    <row r="99" spans="1:27" ht="15.75" customHeight="1">
      <c r="A99" s="5" t="str">
        <f ca="1">IFERROR(__xludf.DUMMYFUNCTION("""COMPUTED_VALUE"""),"POSTOBÓN YUMBO")</f>
        <v>POSTOBÓN YUMBO</v>
      </c>
      <c r="B99" s="5" t="str">
        <f ca="1">IFERROR(__xludf.DUMMYFUNCTION("""COMPUTED_VALUE"""),"0410-LINEA 1")</f>
        <v>0410-LINEA 1</v>
      </c>
      <c r="C99" s="5" t="str">
        <f ca="1">IFERROR(__xludf.DUMMYFUNCTION("""COMPUTED_VALUE"""),"LINEA DE ENVASADO PET NO RETORNABLE")</f>
        <v>LINEA DE ENVASADO PET NO RETORNABLE</v>
      </c>
      <c r="D99" s="5">
        <f ca="1">IFERROR(__xludf.DUMMYFUNCTION("""COMPUTED_VALUE"""),829612)</f>
        <v>829612</v>
      </c>
      <c r="E99" s="5" t="str">
        <f ca="1">IFERROR(__xludf.DUMMYFUNCTION("""COMPUTED_VALUE"""),"TRANSPORTADOR AEREO")</f>
        <v>TRANSPORTADOR AEREO</v>
      </c>
      <c r="F99" s="5">
        <f ca="1">IFERROR(__xludf.DUMMYFUNCTION("""COMPUTED_VALUE"""),22597)</f>
        <v>22597</v>
      </c>
      <c r="G99" s="5" t="str">
        <f ca="1">IFERROR(__xludf.DUMMYFUNCTION("""COMPUTED_VALUE"""),"PLAN MTTO MEC TRANSPORTADOR AEREO 829612")</f>
        <v>PLAN MTTO MEC TRANSPORTADOR AEREO 829612</v>
      </c>
      <c r="H99" s="5">
        <f ca="1">IFERROR(__xludf.DUMMYFUNCTION("""COMPUTED_VALUE"""),13247223)</f>
        <v>13247223</v>
      </c>
      <c r="I99" s="5" t="str">
        <f ca="1">IFERROR(__xludf.DUMMYFUNCTION("""COMPUTED_VALUE"""),"CAMBIO GUATA DE FILTROS TURBINAS TRANSPO")</f>
        <v>CAMBIO GUATA DE FILTROS TURBINAS TRANSPO</v>
      </c>
      <c r="J99" s="5" t="str">
        <f ca="1">IFERROR(__xludf.DUMMYFUNCTION("""COMPUTED_VALUE"""),"ALTO")</f>
        <v>ALTO</v>
      </c>
      <c r="K99" s="5" t="str">
        <f ca="1">IFERROR(__xludf.DUMMYFUNCTION("""COMPUTED_VALUE"""),"Preventivo")</f>
        <v>Preventivo</v>
      </c>
      <c r="L99" s="5" t="str">
        <f ca="1">IFERROR(__xludf.DUMMYFUNCTION("""COMPUTED_VALUE"""),"Maquinaria")</f>
        <v>Maquinaria</v>
      </c>
      <c r="M99" s="5" t="str">
        <f ca="1">IFERROR(__xludf.DUMMYFUNCTION("""COMPUTED_VALUE"""),"No")</f>
        <v>No</v>
      </c>
      <c r="N99" s="5"/>
      <c r="O99" s="5"/>
      <c r="P99" s="18">
        <f ca="1">IFERROR(__xludf.DUMMYFUNCTION("""COMPUTED_VALUE"""),45324)</f>
        <v>45324</v>
      </c>
      <c r="Q99" s="18">
        <f ca="1">IFERROR(__xludf.DUMMYFUNCTION("""COMPUTED_VALUE"""),45324)</f>
        <v>45324</v>
      </c>
      <c r="R99" s="18"/>
      <c r="S99" s="5">
        <f ca="1">IFERROR(__xludf.DUMMYFUNCTION("""COMPUTED_VALUE"""),2)</f>
        <v>2</v>
      </c>
      <c r="T99" s="5"/>
      <c r="U99" s="5" t="str">
        <f ca="1">IFERROR(__xludf.DUMMYFUNCTION("""COMPUTED_VALUE"""),"FERNEYORLANDO RAMOS AULLON")</f>
        <v>FERNEYORLANDO RAMOS AULLON</v>
      </c>
      <c r="V99" s="5"/>
      <c r="W99" s="5" t="str">
        <f ca="1">IFERROR(__xludf.DUMMYFUNCTION("""COMPUTED_VALUE"""),"Usljtv2zfMg")</f>
        <v>Usljtv2zfMg</v>
      </c>
      <c r="X99" s="5">
        <f ca="1">IFERROR(__xludf.DUMMYFUNCTION("""COMPUTED_VALUE"""),2)</f>
        <v>2</v>
      </c>
      <c r="Y99" s="5" t="str">
        <f t="shared" si="0"/>
        <v>Actividad sin realizar</v>
      </c>
      <c r="Z99" s="3">
        <f ca="1">IFERROR(VLOOKUP(U99, 'Base de datos'!A:B, 2, FALSE), "")</f>
        <v>573117665570</v>
      </c>
      <c r="AA99" s="4" t="e">
        <f t="shared" ca="1" si="1"/>
        <v>#NAME?</v>
      </c>
    </row>
    <row r="100" spans="1:27" ht="15.75" customHeight="1">
      <c r="A100" s="5" t="str">
        <f ca="1">IFERROR(__xludf.DUMMYFUNCTION("""COMPUTED_VALUE"""),"POSTOBÓN YUMBO")</f>
        <v>POSTOBÓN YUMBO</v>
      </c>
      <c r="B100" s="5" t="str">
        <f ca="1">IFERROR(__xludf.DUMMYFUNCTION("""COMPUTED_VALUE"""),"0410-SALA DE JARABE TERMINADO")</f>
        <v>0410-SALA DE JARABE TERMINADO</v>
      </c>
      <c r="C100" s="5" t="str">
        <f ca="1">IFERROR(__xludf.DUMMYFUNCTION("""COMPUTED_VALUE"""),"EQUIPOS PARA PREPARACION DE JARABE")</f>
        <v>EQUIPOS PARA PREPARACION DE JARABE</v>
      </c>
      <c r="D100" s="5">
        <f ca="1">IFERROR(__xludf.DUMMYFUNCTION("""COMPUTED_VALUE"""),69963414)</f>
        <v>69963414</v>
      </c>
      <c r="E100" s="5" t="str">
        <f ca="1">IFERROR(__xludf.DUMMYFUNCTION("""COMPUTED_VALUE"""),"TANQUE DE JARABE")</f>
        <v>TANQUE DE JARABE</v>
      </c>
      <c r="F100" s="5">
        <f ca="1">IFERROR(__xludf.DUMMYFUNCTION("""COMPUTED_VALUE"""),17361)</f>
        <v>17361</v>
      </c>
      <c r="G100" s="5" t="str">
        <f ca="1">IFERROR(__xludf.DUMMYFUNCTION("""COMPUTED_VALUE"""),"MTTO ELE TK JARABE 11 JARABE TERMINADO")</f>
        <v>MTTO ELE TK JARABE 11 JARABE TERMINADO</v>
      </c>
      <c r="H100" s="5">
        <f ca="1">IFERROR(__xludf.DUMMYFUNCTION("""COMPUTED_VALUE"""),13247169)</f>
        <v>13247169</v>
      </c>
      <c r="I100" s="5" t="str">
        <f ca="1">IFERROR(__xludf.DUMMYFUNCTION("""COMPUTED_VALUE"""),"MOTOR BOMBA DE RECIRCULACION:")</f>
        <v>MOTOR BOMBA DE RECIRCULACION:</v>
      </c>
      <c r="J100" s="5" t="str">
        <f ca="1">IFERROR(__xludf.DUMMYFUNCTION("""COMPUTED_VALUE"""),"ALTO")</f>
        <v>ALTO</v>
      </c>
      <c r="K100" s="5" t="str">
        <f ca="1">IFERROR(__xludf.DUMMYFUNCTION("""COMPUTED_VALUE"""),"Preventivo")</f>
        <v>Preventivo</v>
      </c>
      <c r="L100" s="5" t="str">
        <f ca="1">IFERROR(__xludf.DUMMYFUNCTION("""COMPUTED_VALUE"""),"Maquinaria")</f>
        <v>Maquinaria</v>
      </c>
      <c r="M100" s="5" t="str">
        <f ca="1">IFERROR(__xludf.DUMMYFUNCTION("""COMPUTED_VALUE"""),"No")</f>
        <v>No</v>
      </c>
      <c r="N100" s="5"/>
      <c r="O100" s="5">
        <f ca="1">IFERROR(__xludf.DUMMYFUNCTION("""COMPUTED_VALUE"""),100)</f>
        <v>100</v>
      </c>
      <c r="P100" s="18">
        <f ca="1">IFERROR(__xludf.DUMMYFUNCTION("""COMPUTED_VALUE"""),45343)</f>
        <v>45343</v>
      </c>
      <c r="Q100" s="18">
        <f ca="1">IFERROR(__xludf.DUMMYFUNCTION("""COMPUTED_VALUE"""),45343)</f>
        <v>45343</v>
      </c>
      <c r="R100" s="18"/>
      <c r="S100" s="5">
        <f ca="1">IFERROR(__xludf.DUMMYFUNCTION("""COMPUTED_VALUE"""),1)</f>
        <v>1</v>
      </c>
      <c r="T100" s="5"/>
      <c r="U100" s="5" t="str">
        <f ca="1">IFERROR(__xludf.DUMMYFUNCTION("""COMPUTED_VALUE"""),"Rivas Mena Carlos Danny")</f>
        <v>Rivas Mena Carlos Danny</v>
      </c>
      <c r="V100" s="5"/>
      <c r="W100" s="5" t="str">
        <f ca="1">IFERROR(__xludf.DUMMYFUNCTION("""COMPUTED_VALUE"""),"tfYHzsGBeyA")</f>
        <v>tfYHzsGBeyA</v>
      </c>
      <c r="X100" s="5">
        <f ca="1">IFERROR(__xludf.DUMMYFUNCTION("""COMPUTED_VALUE"""),1)</f>
        <v>1</v>
      </c>
      <c r="Y100" s="5" t="str">
        <f t="shared" ca="1" si="0"/>
        <v>Actividad realizada</v>
      </c>
      <c r="Z100" s="3">
        <f ca="1">IFERROR(VLOOKUP(U100, 'Base de datos'!A:B, 2, FALSE), "")</f>
        <v>0</v>
      </c>
      <c r="AA100" s="4" t="e">
        <f t="shared" ca="1" si="1"/>
        <v>#NAME?</v>
      </c>
    </row>
    <row r="101" spans="1:27" ht="15.75" customHeight="1">
      <c r="A101" s="5" t="str">
        <f ca="1">IFERROR(__xludf.DUMMYFUNCTION("""COMPUTED_VALUE"""),"POSTOBÓN YUMBO")</f>
        <v>POSTOBÓN YUMBO</v>
      </c>
      <c r="B101" s="5" t="str">
        <f ca="1">IFERROR(__xludf.DUMMYFUNCTION("""COMPUTED_VALUE"""),"0410-ENVASADO JUGOS PET HOT F")</f>
        <v>0410-ENVASADO JUGOS PET HOT F</v>
      </c>
      <c r="C101" s="5" t="str">
        <f ca="1">IFERROR(__xludf.DUMMYFUNCTION("""COMPUTED_VALUE"""),"LINEA DE ENVASADO JUGOS PET HOT FILL")</f>
        <v>LINEA DE ENVASADO JUGOS PET HOT FILL</v>
      </c>
      <c r="D101" s="5">
        <f ca="1">IFERROR(__xludf.DUMMYFUNCTION("""COMPUTED_VALUE"""),900303)</f>
        <v>900303</v>
      </c>
      <c r="E101" s="5" t="str">
        <f ca="1">IFERROR(__xludf.DUMMYFUNCTION("""COMPUTED_VALUE"""),"LLENADORA")</f>
        <v>LLENADORA</v>
      </c>
      <c r="F101" s="5">
        <f ca="1">IFERROR(__xludf.DUMMYFUNCTION("""COMPUTED_VALUE"""),14085)</f>
        <v>14085</v>
      </c>
      <c r="G101" s="5" t="str">
        <f ca="1">IFERROR(__xludf.DUMMYFUNCTION("""COMPUTED_VALUE"""),"MANTENIMIENTO LUB LLENADORA L8 90030")</f>
        <v>MANTENIMIENTO LUB LLENADORA L8 90030</v>
      </c>
      <c r="H101" s="5">
        <f ca="1">IFERROR(__xludf.DUMMYFUNCTION("""COMPUTED_VALUE"""),13226502)</f>
        <v>13226502</v>
      </c>
      <c r="I101" s="5" t="str">
        <f ca="1">IFERROR(__xludf.DUMMYFUNCTION("""COMPUTED_VALUE"""),"Lubricacion central grasa:")</f>
        <v>Lubricacion central grasa:</v>
      </c>
      <c r="J101" s="5" t="str">
        <f ca="1">IFERROR(__xludf.DUMMYFUNCTION("""COMPUTED_VALUE"""),"ALTO")</f>
        <v>ALTO</v>
      </c>
      <c r="K101" s="5" t="str">
        <f ca="1">IFERROR(__xludf.DUMMYFUNCTION("""COMPUTED_VALUE"""),"Preventivo")</f>
        <v>Preventivo</v>
      </c>
      <c r="L101" s="5" t="str">
        <f ca="1">IFERROR(__xludf.DUMMYFUNCTION("""COMPUTED_VALUE"""),"Maquinaria")</f>
        <v>Maquinaria</v>
      </c>
      <c r="M101" s="5" t="str">
        <f ca="1">IFERROR(__xludf.DUMMYFUNCTION("""COMPUTED_VALUE"""),"No")</f>
        <v>No</v>
      </c>
      <c r="N101" s="5"/>
      <c r="O101" s="5"/>
      <c r="P101" s="18">
        <f ca="1">IFERROR(__xludf.DUMMYFUNCTION("""COMPUTED_VALUE"""),45324)</f>
        <v>45324</v>
      </c>
      <c r="Q101" s="18">
        <f ca="1">IFERROR(__xludf.DUMMYFUNCTION("""COMPUTED_VALUE"""),45324)</f>
        <v>45324</v>
      </c>
      <c r="R101" s="18"/>
      <c r="S101" s="5">
        <f ca="1">IFERROR(__xludf.DUMMYFUNCTION("""COMPUTED_VALUE"""),1)</f>
        <v>1</v>
      </c>
      <c r="T101" s="5"/>
      <c r="U101" s="5" t="str">
        <f ca="1">IFERROR(__xludf.DUMMYFUNCTION("""COMPUTED_VALUE"""),"Franco Castillo Brayan Steven")</f>
        <v>Franco Castillo Brayan Steven</v>
      </c>
      <c r="V101" s="5"/>
      <c r="W101" s="5" t="str">
        <f ca="1">IFERROR(__xludf.DUMMYFUNCTION("""COMPUTED_VALUE"""),"y-Gk8W5O58Q")</f>
        <v>y-Gk8W5O58Q</v>
      </c>
      <c r="X101" s="5">
        <f ca="1">IFERROR(__xludf.DUMMYFUNCTION("""COMPUTED_VALUE"""),1)</f>
        <v>1</v>
      </c>
      <c r="Y101" s="5" t="str">
        <f t="shared" si="0"/>
        <v>Actividad sin realizar</v>
      </c>
      <c r="Z101" s="3">
        <f ca="1">IFERROR(VLOOKUP(U101, 'Base de datos'!A:B, 2, FALSE), "")</f>
        <v>573053427911</v>
      </c>
      <c r="AA101" s="4" t="e">
        <f t="shared" ca="1" si="1"/>
        <v>#NAME?</v>
      </c>
    </row>
    <row r="102" spans="1:27" ht="15.75" customHeight="1">
      <c r="A102" s="5" t="str">
        <f ca="1">IFERROR(__xludf.DUMMYFUNCTION("""COMPUTED_VALUE"""),"POSTOBÓN YUMBO")</f>
        <v>POSTOBÓN YUMBO</v>
      </c>
      <c r="B102" s="5" t="str">
        <f ca="1">IFERROR(__xludf.DUMMYFUNCTION("""COMPUTED_VALUE"""),"0410-ENVASADO JUGOS PET HOT F")</f>
        <v>0410-ENVASADO JUGOS PET HOT F</v>
      </c>
      <c r="C102" s="5" t="str">
        <f ca="1">IFERROR(__xludf.DUMMYFUNCTION("""COMPUTED_VALUE"""),"LINEA DE ENVASADO JUGOS PET HOT FILL")</f>
        <v>LINEA DE ENVASADO JUGOS PET HOT FILL</v>
      </c>
      <c r="D102" s="5">
        <f ca="1">IFERROR(__xludf.DUMMYFUNCTION("""COMPUTED_VALUE"""),82965901)</f>
        <v>82965901</v>
      </c>
      <c r="E102" s="5" t="str">
        <f ca="1">IFERROR(__xludf.DUMMYFUNCTION("""COMPUTED_VALUE"""),"CODIFICADOR DE BOTELLAS LINEA JUGOS")</f>
        <v>CODIFICADOR DE BOTELLAS LINEA JUGOS</v>
      </c>
      <c r="F102" s="5">
        <f ca="1">IFERROR(__xludf.DUMMYFUNCTION("""COMPUTED_VALUE"""),22574)</f>
        <v>22574</v>
      </c>
      <c r="G102" s="5" t="str">
        <f ca="1">IFERROR(__xludf.DUMMYFUNCTION("""COMPUTED_VALUE"""),"PLAN MTTO ELE CODIFICADOR 82965901 IMAGE")</f>
        <v>PLAN MTTO ELE CODIFICADOR 82965901 IMAGE</v>
      </c>
      <c r="H102" s="5">
        <f ca="1">IFERROR(__xludf.DUMMYFUNCTION("""COMPUTED_VALUE"""),13247200)</f>
        <v>13247200</v>
      </c>
      <c r="I102" s="5" t="str">
        <f ca="1">IFERROR(__xludf.DUMMYFUNCTION("""COMPUTED_VALUE"""),"Limpiar cabezal")</f>
        <v>Limpiar cabezal</v>
      </c>
      <c r="J102" s="5" t="str">
        <f ca="1">IFERROR(__xludf.DUMMYFUNCTION("""COMPUTED_VALUE"""),"ALTO")</f>
        <v>ALTO</v>
      </c>
      <c r="K102" s="5" t="str">
        <f ca="1">IFERROR(__xludf.DUMMYFUNCTION("""COMPUTED_VALUE"""),"Preventivo")</f>
        <v>Preventivo</v>
      </c>
      <c r="L102" s="5" t="str">
        <f ca="1">IFERROR(__xludf.DUMMYFUNCTION("""COMPUTED_VALUE"""),"Maquinaria")</f>
        <v>Maquinaria</v>
      </c>
      <c r="M102" s="5" t="str">
        <f ca="1">IFERROR(__xludf.DUMMYFUNCTION("""COMPUTED_VALUE"""),"No")</f>
        <v>No</v>
      </c>
      <c r="N102" s="5"/>
      <c r="O102" s="5"/>
      <c r="P102" s="18">
        <f ca="1">IFERROR(__xludf.DUMMYFUNCTION("""COMPUTED_VALUE"""),45335)</f>
        <v>45335</v>
      </c>
      <c r="Q102" s="18">
        <f ca="1">IFERROR(__xludf.DUMMYFUNCTION("""COMPUTED_VALUE"""),45335)</f>
        <v>45335</v>
      </c>
      <c r="R102" s="18"/>
      <c r="S102" s="5">
        <f ca="1">IFERROR(__xludf.DUMMYFUNCTION("""COMPUTED_VALUE"""),2)</f>
        <v>2</v>
      </c>
      <c r="T102" s="5"/>
      <c r="U102" s="5" t="str">
        <f ca="1">IFERROR(__xludf.DUMMYFUNCTION("""COMPUTED_VALUE"""),"Álvaro Celeita Muñoz")</f>
        <v>Álvaro Celeita Muñoz</v>
      </c>
      <c r="V102" s="5"/>
      <c r="W102" s="5" t="str">
        <f ca="1">IFERROR(__xludf.DUMMYFUNCTION("""COMPUTED_VALUE"""),"G-Ha1yysfeI")</f>
        <v>G-Ha1yysfeI</v>
      </c>
      <c r="X102" s="5">
        <f ca="1">IFERROR(__xludf.DUMMYFUNCTION("""COMPUTED_VALUE"""),2)</f>
        <v>2</v>
      </c>
      <c r="Y102" s="5" t="str">
        <f t="shared" si="0"/>
        <v>Actividad sin realizar</v>
      </c>
      <c r="Z102" s="3">
        <f ca="1">IFERROR(VLOOKUP(U102, 'Base de datos'!A:B, 2, FALSE), "")</f>
        <v>573148174772</v>
      </c>
      <c r="AA102" s="4" t="e">
        <f t="shared" ca="1" si="1"/>
        <v>#NAME?</v>
      </c>
    </row>
    <row r="103" spans="1:27" ht="15.75" customHeight="1">
      <c r="A103" s="5" t="str">
        <f ca="1">IFERROR(__xludf.DUMMYFUNCTION("""COMPUTED_VALUE"""),"POSTOBÓN YUMBO")</f>
        <v>POSTOBÓN YUMBO</v>
      </c>
      <c r="B103" s="5" t="str">
        <f ca="1">IFERROR(__xludf.DUMMYFUNCTION("""COMPUTED_VALUE"""),"0410-SALA DE JARABE TERMINADO")</f>
        <v>0410-SALA DE JARABE TERMINADO</v>
      </c>
      <c r="C103" s="5" t="str">
        <f ca="1">IFERROR(__xludf.DUMMYFUNCTION("""COMPUTED_VALUE"""),"EQUIPOS PARA PREPARACION DE JARABE")</f>
        <v>EQUIPOS PARA PREPARACION DE JARABE</v>
      </c>
      <c r="D103" s="5">
        <f ca="1">IFERROR(__xludf.DUMMYFUNCTION("""COMPUTED_VALUE"""),69963412)</f>
        <v>69963412</v>
      </c>
      <c r="E103" s="5" t="str">
        <f ca="1">IFERROR(__xludf.DUMMYFUNCTION("""COMPUTED_VALUE"""),"TANQUE DE JARABE")</f>
        <v>TANQUE DE JARABE</v>
      </c>
      <c r="F103" s="5">
        <f ca="1">IFERROR(__xludf.DUMMYFUNCTION("""COMPUTED_VALUE"""),17361)</f>
        <v>17361</v>
      </c>
      <c r="G103" s="5" t="str">
        <f ca="1">IFERROR(__xludf.DUMMYFUNCTION("""COMPUTED_VALUE"""),"MTTO MEC TK JARABE 9 JARABE TERMINADO")</f>
        <v>MTTO MEC TK JARABE 9 JARABE TERMINADO</v>
      </c>
      <c r="H103" s="5">
        <f ca="1">IFERROR(__xludf.DUMMYFUNCTION("""COMPUTED_VALUE"""),13247164)</f>
        <v>13247164</v>
      </c>
      <c r="I103" s="5" t="str">
        <f ca="1">IFERROR(__xludf.DUMMYFUNCTION("""COMPUTED_VALUE"""),"BOMBA DE RECIRCULACION:")</f>
        <v>BOMBA DE RECIRCULACION:</v>
      </c>
      <c r="J103" s="5" t="str">
        <f ca="1">IFERROR(__xludf.DUMMYFUNCTION("""COMPUTED_VALUE"""),"ALTO")</f>
        <v>ALTO</v>
      </c>
      <c r="K103" s="5" t="str">
        <f ca="1">IFERROR(__xludf.DUMMYFUNCTION("""COMPUTED_VALUE"""),"Preventivo")</f>
        <v>Preventivo</v>
      </c>
      <c r="L103" s="5" t="str">
        <f ca="1">IFERROR(__xludf.DUMMYFUNCTION("""COMPUTED_VALUE"""),"Maquinaria")</f>
        <v>Maquinaria</v>
      </c>
      <c r="M103" s="5" t="str">
        <f ca="1">IFERROR(__xludf.DUMMYFUNCTION("""COMPUTED_VALUE"""),"No")</f>
        <v>No</v>
      </c>
      <c r="N103" s="5"/>
      <c r="O103" s="5">
        <f ca="1">IFERROR(__xludf.DUMMYFUNCTION("""COMPUTED_VALUE"""),100)</f>
        <v>100</v>
      </c>
      <c r="P103" s="18">
        <f ca="1">IFERROR(__xludf.DUMMYFUNCTION("""COMPUTED_VALUE"""),45342)</f>
        <v>45342</v>
      </c>
      <c r="Q103" s="18">
        <f ca="1">IFERROR(__xludf.DUMMYFUNCTION("""COMPUTED_VALUE"""),45342)</f>
        <v>45342</v>
      </c>
      <c r="R103" s="18"/>
      <c r="S103" s="5">
        <f ca="1">IFERROR(__xludf.DUMMYFUNCTION("""COMPUTED_VALUE"""),1)</f>
        <v>1</v>
      </c>
      <c r="T103" s="5"/>
      <c r="U103" s="5" t="str">
        <f ca="1">IFERROR(__xludf.DUMMYFUNCTION("""COMPUTED_VALUE"""),"Rivas Mena Carlos Danny")</f>
        <v>Rivas Mena Carlos Danny</v>
      </c>
      <c r="V103" s="5"/>
      <c r="W103" s="5" t="str">
        <f ca="1">IFERROR(__xludf.DUMMYFUNCTION("""COMPUTED_VALUE"""),"OPRJMEfm8Hc")</f>
        <v>OPRJMEfm8Hc</v>
      </c>
      <c r="X103" s="5">
        <f ca="1">IFERROR(__xludf.DUMMYFUNCTION("""COMPUTED_VALUE"""),1)</f>
        <v>1</v>
      </c>
      <c r="Y103" s="5" t="str">
        <f t="shared" ca="1" si="0"/>
        <v>Actividad realizada</v>
      </c>
      <c r="Z103" s="3">
        <f ca="1">IFERROR(VLOOKUP(U103, 'Base de datos'!A:B, 2, FALSE), "")</f>
        <v>0</v>
      </c>
      <c r="AA103" s="4" t="e">
        <f t="shared" ca="1" si="1"/>
        <v>#NAME?</v>
      </c>
    </row>
    <row r="104" spans="1:27" ht="15.75" customHeight="1">
      <c r="A104" s="5" t="str">
        <f ca="1">IFERROR(__xludf.DUMMYFUNCTION("""COMPUTED_VALUE"""),"POSTOBÓN YUMBO")</f>
        <v>POSTOBÓN YUMBO</v>
      </c>
      <c r="B104" s="5" t="str">
        <f ca="1">IFERROR(__xludf.DUMMYFUNCTION("""COMPUTED_VALUE"""),"0410-SALA DE JARABE TERMINADO")</f>
        <v>0410-SALA DE JARABE TERMINADO</v>
      </c>
      <c r="C104" s="5" t="str">
        <f ca="1">IFERROR(__xludf.DUMMYFUNCTION("""COMPUTED_VALUE"""),"EQUIPOS PARA PREPARACION DE JARABE")</f>
        <v>EQUIPOS PARA PREPARACION DE JARABE</v>
      </c>
      <c r="D104" s="5">
        <f ca="1">IFERROR(__xludf.DUMMYFUNCTION("""COMPUTED_VALUE"""),69963413)</f>
        <v>69963413</v>
      </c>
      <c r="E104" s="5" t="str">
        <f ca="1">IFERROR(__xludf.DUMMYFUNCTION("""COMPUTED_VALUE"""),"TANQUE DE JARABE")</f>
        <v>TANQUE DE JARABE</v>
      </c>
      <c r="F104" s="5">
        <f ca="1">IFERROR(__xludf.DUMMYFUNCTION("""COMPUTED_VALUE"""),17361)</f>
        <v>17361</v>
      </c>
      <c r="G104" s="5" t="str">
        <f ca="1">IFERROR(__xludf.DUMMYFUNCTION("""COMPUTED_VALUE"""),"MTTO MEC TK JARABE 10 JARABE TERMINADO")</f>
        <v>MTTO MEC TK JARABE 10 JARABE TERMINADO</v>
      </c>
      <c r="H104" s="5">
        <f ca="1">IFERROR(__xludf.DUMMYFUNCTION("""COMPUTED_VALUE"""),13247166)</f>
        <v>13247166</v>
      </c>
      <c r="I104" s="5" t="str">
        <f ca="1">IFERROR(__xludf.DUMMYFUNCTION("""COMPUTED_VALUE"""),"ANTON PAAR - dentro de la cubierta de")</f>
        <v>ANTON PAAR - dentro de la cubierta de</v>
      </c>
      <c r="J104" s="5" t="str">
        <f ca="1">IFERROR(__xludf.DUMMYFUNCTION("""COMPUTED_VALUE"""),"ALTO")</f>
        <v>ALTO</v>
      </c>
      <c r="K104" s="5" t="str">
        <f ca="1">IFERROR(__xludf.DUMMYFUNCTION("""COMPUTED_VALUE"""),"Preventivo")</f>
        <v>Preventivo</v>
      </c>
      <c r="L104" s="5" t="str">
        <f ca="1">IFERROR(__xludf.DUMMYFUNCTION("""COMPUTED_VALUE"""),"Maquinaria")</f>
        <v>Maquinaria</v>
      </c>
      <c r="M104" s="5" t="str">
        <f ca="1">IFERROR(__xludf.DUMMYFUNCTION("""COMPUTED_VALUE"""),"No")</f>
        <v>No</v>
      </c>
      <c r="N104" s="5"/>
      <c r="O104" s="5">
        <f ca="1">IFERROR(__xludf.DUMMYFUNCTION("""COMPUTED_VALUE"""),100)</f>
        <v>100</v>
      </c>
      <c r="P104" s="18">
        <f ca="1">IFERROR(__xludf.DUMMYFUNCTION("""COMPUTED_VALUE"""),45342)</f>
        <v>45342</v>
      </c>
      <c r="Q104" s="18">
        <f ca="1">IFERROR(__xludf.DUMMYFUNCTION("""COMPUTED_VALUE"""),45342)</f>
        <v>45342</v>
      </c>
      <c r="R104" s="18"/>
      <c r="S104" s="5">
        <f ca="1">IFERROR(__xludf.DUMMYFUNCTION("""COMPUTED_VALUE"""),1)</f>
        <v>1</v>
      </c>
      <c r="T104" s="5"/>
      <c r="U104" s="5" t="str">
        <f ca="1">IFERROR(__xludf.DUMMYFUNCTION("""COMPUTED_VALUE"""),"Rivas Mena Carlos Danny")</f>
        <v>Rivas Mena Carlos Danny</v>
      </c>
      <c r="V104" s="5"/>
      <c r="W104" s="5" t="str">
        <f ca="1">IFERROR(__xludf.DUMMYFUNCTION("""COMPUTED_VALUE"""),"bS8EADhlREI")</f>
        <v>bS8EADhlREI</v>
      </c>
      <c r="X104" s="5">
        <f ca="1">IFERROR(__xludf.DUMMYFUNCTION("""COMPUTED_VALUE"""),1)</f>
        <v>1</v>
      </c>
      <c r="Y104" s="5" t="str">
        <f t="shared" ca="1" si="0"/>
        <v>Actividad realizada</v>
      </c>
      <c r="Z104" s="3">
        <f ca="1">IFERROR(VLOOKUP(U104, 'Base de datos'!A:B, 2, FALSE), "")</f>
        <v>0</v>
      </c>
      <c r="AA104" s="4" t="e">
        <f t="shared" ca="1" si="1"/>
        <v>#NAME?</v>
      </c>
    </row>
    <row r="105" spans="1:27" ht="15.75" customHeight="1">
      <c r="A105" s="5" t="str">
        <f ca="1">IFERROR(__xludf.DUMMYFUNCTION("""COMPUTED_VALUE"""),"POSTOBÓN YUMBO")</f>
        <v>POSTOBÓN YUMBO</v>
      </c>
      <c r="B105" s="5" t="str">
        <f ca="1">IFERROR(__xludf.DUMMYFUNCTION("""COMPUTED_VALUE"""),"0410-SUBESTACION ELECTRICA")</f>
        <v>0410-SUBESTACION ELECTRICA</v>
      </c>
      <c r="C105" s="5" t="str">
        <f ca="1">IFERROR(__xludf.DUMMYFUNCTION("""COMPUTED_VALUE"""),"EQUIPOS ALTA Y BAJA TENSION ELECTRICA")</f>
        <v>EQUIPOS ALTA Y BAJA TENSION ELECTRICA</v>
      </c>
      <c r="D105" s="5">
        <f ca="1">IFERROR(__xludf.DUMMYFUNCTION("""COMPUTED_VALUE"""),74928618)</f>
        <v>74928618</v>
      </c>
      <c r="E105" s="5" t="str">
        <f ca="1">IFERROR(__xludf.DUMMYFUNCTION("""COMPUTED_VALUE"""),"TRANSFORMADOR 3F 3(440V)")</f>
        <v>TRANSFORMADOR 3F 3(440V)</v>
      </c>
      <c r="F105" s="5">
        <f ca="1">IFERROR(__xludf.DUMMYFUNCTION("""COMPUTED_VALUE"""),46692)</f>
        <v>46692</v>
      </c>
      <c r="G105" s="5" t="str">
        <f ca="1">IFERROR(__xludf.DUMMYFUNCTION("""COMPUTED_VALUE"""),"PLAN MTTO PREDIC TERMOGR TRAFO 74928618")</f>
        <v>PLAN MTTO PREDIC TERMOGR TRAFO 74928618</v>
      </c>
      <c r="H105" s="5">
        <f ca="1">IFERROR(__xludf.DUMMYFUNCTION("""COMPUTED_VALUE"""),13207733)</f>
        <v>13207733</v>
      </c>
      <c r="I105" s="5" t="str">
        <f ca="1">IFERROR(__xludf.DUMMYFUNCTION("""COMPUTED_VALUE"""),"ANALISIS DE ACEITE")</f>
        <v>ANALISIS DE ACEITE</v>
      </c>
      <c r="J105" s="5" t="str">
        <f ca="1">IFERROR(__xludf.DUMMYFUNCTION("""COMPUTED_VALUE"""),"ALTO")</f>
        <v>ALTO</v>
      </c>
      <c r="K105" s="5" t="str">
        <f ca="1">IFERROR(__xludf.DUMMYFUNCTION("""COMPUTED_VALUE"""),"Predictivo")</f>
        <v>Predictivo</v>
      </c>
      <c r="L105" s="5" t="str">
        <f ca="1">IFERROR(__xludf.DUMMYFUNCTION("""COMPUTED_VALUE"""),"Maquinaria")</f>
        <v>Maquinaria</v>
      </c>
      <c r="M105" s="5" t="str">
        <f ca="1">IFERROR(__xludf.DUMMYFUNCTION("""COMPUTED_VALUE"""),"No")</f>
        <v>No</v>
      </c>
      <c r="N105" s="5"/>
      <c r="O105" s="5">
        <f ca="1">IFERROR(__xludf.DUMMYFUNCTION("""COMPUTED_VALUE"""),100)</f>
        <v>100</v>
      </c>
      <c r="P105" s="18">
        <f ca="1">IFERROR(__xludf.DUMMYFUNCTION("""COMPUTED_VALUE"""),45337)</f>
        <v>45337</v>
      </c>
      <c r="Q105" s="18">
        <f ca="1">IFERROR(__xludf.DUMMYFUNCTION("""COMPUTED_VALUE"""),45337)</f>
        <v>45337</v>
      </c>
      <c r="R105" s="18"/>
      <c r="S105" s="5">
        <f ca="1">IFERROR(__xludf.DUMMYFUNCTION("""COMPUTED_VALUE"""),1)</f>
        <v>1</v>
      </c>
      <c r="T105" s="5"/>
      <c r="U105" s="5" t="str">
        <f ca="1">IFERROR(__xludf.DUMMYFUNCTION("""COMPUTED_VALUE"""),"MUÑOZ VALENCIA JEFFERSON")</f>
        <v>MUÑOZ VALENCIA JEFFERSON</v>
      </c>
      <c r="V105" s="5"/>
      <c r="W105" s="5" t="str">
        <f ca="1">IFERROR(__xludf.DUMMYFUNCTION("""COMPUTED_VALUE"""),"SjBJE5G24Ks")</f>
        <v>SjBJE5G24Ks</v>
      </c>
      <c r="X105" s="5">
        <f ca="1">IFERROR(__xludf.DUMMYFUNCTION("""COMPUTED_VALUE"""),1)</f>
        <v>1</v>
      </c>
      <c r="Y105" s="5" t="str">
        <f t="shared" ca="1" si="0"/>
        <v>Actividad realizada</v>
      </c>
      <c r="Z105" s="3">
        <f ca="1">IFERROR(VLOOKUP(U105, 'Base de datos'!A:B, 2, FALSE), "")</f>
        <v>573122261803</v>
      </c>
      <c r="AA105" s="4" t="e">
        <f t="shared" ca="1" si="1"/>
        <v>#NAME?</v>
      </c>
    </row>
    <row r="106" spans="1:27" ht="15.75" customHeight="1">
      <c r="A106" s="5" t="str">
        <f ca="1">IFERROR(__xludf.DUMMYFUNCTION("""COMPUTED_VALUE"""),"POSTOBÓN YUMBO")</f>
        <v>POSTOBÓN YUMBO</v>
      </c>
      <c r="B106" s="5" t="str">
        <f ca="1">IFERROR(__xludf.DUMMYFUNCTION("""COMPUTED_VALUE"""),"0410-LINEA BOTELLON 20 LTS")</f>
        <v>0410-LINEA BOTELLON 20 LTS</v>
      </c>
      <c r="C106" s="5" t="str">
        <f ca="1">IFERROR(__xludf.DUMMYFUNCTION("""COMPUTED_VALUE"""),"LINEA DE PRODUCCION DE BOTELLONES DE 20")</f>
        <v>LINEA DE PRODUCCION DE BOTELLONES DE 20</v>
      </c>
      <c r="D106" s="5">
        <f ca="1">IFERROR(__xludf.DUMMYFUNCTION("""COMPUTED_VALUE"""),71951101)</f>
        <v>71951101</v>
      </c>
      <c r="E106" s="5" t="str">
        <f ca="1">IFERROR(__xludf.DUMMYFUNCTION("""COMPUTED_VALUE"""),"TRANSPORTADORES DE BOTELLONES")</f>
        <v>TRANSPORTADORES DE BOTELLONES</v>
      </c>
      <c r="F106" s="5">
        <f ca="1">IFERROR(__xludf.DUMMYFUNCTION("""COMPUTED_VALUE"""),22698)</f>
        <v>22698</v>
      </c>
      <c r="G106" s="5" t="str">
        <f ca="1">IFERROR(__xludf.DUMMYFUNCTION("""COMPUTED_VALUE"""),"PLAN MTTO LUB TRANSP BOTELLONES 71951101")</f>
        <v>PLAN MTTO LUB TRANSP BOTELLONES 71951101</v>
      </c>
      <c r="H106" s="5">
        <f ca="1">IFERROR(__xludf.DUMMYFUNCTION("""COMPUTED_VALUE"""),13193559)</f>
        <v>13193559</v>
      </c>
      <c r="I106" s="5" t="str">
        <f ca="1">IFERROR(__xludf.DUMMYFUNCTION("""COMPUTED_VALUE"""),"Cambio aceite reductores")</f>
        <v>Cambio aceite reductores</v>
      </c>
      <c r="J106" s="5" t="str">
        <f ca="1">IFERROR(__xludf.DUMMYFUNCTION("""COMPUTED_VALUE"""),"MEDIO")</f>
        <v>MEDIO</v>
      </c>
      <c r="K106" s="5" t="str">
        <f ca="1">IFERROR(__xludf.DUMMYFUNCTION("""COMPUTED_VALUE"""),"Preventivo")</f>
        <v>Preventivo</v>
      </c>
      <c r="L106" s="5" t="str">
        <f ca="1">IFERROR(__xludf.DUMMYFUNCTION("""COMPUTED_VALUE"""),"Maquinaria")</f>
        <v>Maquinaria</v>
      </c>
      <c r="M106" s="5" t="str">
        <f ca="1">IFERROR(__xludf.DUMMYFUNCTION("""COMPUTED_VALUE"""),"No")</f>
        <v>No</v>
      </c>
      <c r="N106" s="5"/>
      <c r="O106" s="5"/>
      <c r="P106" s="18">
        <f ca="1">IFERROR(__xludf.DUMMYFUNCTION("""COMPUTED_VALUE"""),45334)</f>
        <v>45334</v>
      </c>
      <c r="Q106" s="18">
        <f ca="1">IFERROR(__xludf.DUMMYFUNCTION("""COMPUTED_VALUE"""),45334)</f>
        <v>45334</v>
      </c>
      <c r="R106" s="18"/>
      <c r="S106" s="5">
        <f ca="1">IFERROR(__xludf.DUMMYFUNCTION("""COMPUTED_VALUE"""),4)</f>
        <v>4</v>
      </c>
      <c r="T106" s="5"/>
      <c r="U106" s="5" t="str">
        <f ca="1">IFERROR(__xludf.DUMMYFUNCTION("""COMPUTED_VALUE"""),"Víctor David Burbano Gómez")</f>
        <v>Víctor David Burbano Gómez</v>
      </c>
      <c r="V106" s="5"/>
      <c r="W106" s="5" t="str">
        <f ca="1">IFERROR(__xludf.DUMMYFUNCTION("""COMPUTED_VALUE"""),"Y6mX4Qt3Ecw")</f>
        <v>Y6mX4Qt3Ecw</v>
      </c>
      <c r="X106" s="5">
        <f ca="1">IFERROR(__xludf.DUMMYFUNCTION("""COMPUTED_VALUE"""),4)</f>
        <v>4</v>
      </c>
      <c r="Y106" s="5" t="str">
        <f t="shared" si="0"/>
        <v>Actividad sin realizar</v>
      </c>
      <c r="Z106" s="3">
        <f ca="1">IFERROR(VLOOKUP(U106, 'Base de datos'!A:B, 2, FALSE), "")</f>
        <v>573023403586</v>
      </c>
      <c r="AA106" s="4" t="e">
        <f t="shared" ca="1" si="1"/>
        <v>#NAME?</v>
      </c>
    </row>
    <row r="107" spans="1:27" ht="15.75" customHeight="1">
      <c r="A107" s="5" t="str">
        <f ca="1">IFERROR(__xludf.DUMMYFUNCTION("""COMPUTED_VALUE"""),"POSTOBÓN YUMBO")</f>
        <v>POSTOBÓN YUMBO</v>
      </c>
      <c r="B107" s="5" t="str">
        <f ca="1">IFERROR(__xludf.DUMMYFUNCTION("""COMPUTED_VALUE"""),"0410-LINEA 3")</f>
        <v>0410-LINEA 3</v>
      </c>
      <c r="C107" s="5" t="str">
        <f ca="1">IFERROR(__xludf.DUMMYFUNCTION("""COMPUTED_VALUE"""),"LINEA DE ENVASADO TAMAÑO PERSONAL")</f>
        <v>LINEA DE ENVASADO TAMAÑO PERSONAL</v>
      </c>
      <c r="D107" s="5">
        <f ca="1">IFERROR(__xludf.DUMMYFUNCTION("""COMPUTED_VALUE"""),828592)</f>
        <v>828592</v>
      </c>
      <c r="E107" s="5" t="str">
        <f ca="1">IFERROR(__xludf.DUMMYFUNCTION("""COMPUTED_VALUE"""),"LLENADORA")</f>
        <v>LLENADORA</v>
      </c>
      <c r="F107" s="5">
        <f ca="1">IFERROR(__xludf.DUMMYFUNCTION("""COMPUTED_VALUE"""),5821)</f>
        <v>5821</v>
      </c>
      <c r="G107" s="5" t="str">
        <f ca="1">IFERROR(__xludf.DUMMYFUNCTION("""COMPUTED_VALUE"""),"Mantto Mec sist manejo de botella Llenad")</f>
        <v>Mantto Mec sist manejo de botella Llenad</v>
      </c>
      <c r="H107" s="5">
        <f ca="1">IFERROR(__xludf.DUMMYFUNCTION("""COMPUTED_VALUE"""),13247115)</f>
        <v>13247115</v>
      </c>
      <c r="I107" s="5" t="str">
        <f ca="1">IFERROR(__xludf.DUMMYFUNCTION("""COMPUTED_VALUE"""),"mantenimiento platinas de")</f>
        <v>mantenimiento platinas de</v>
      </c>
      <c r="J107" s="5" t="str">
        <f ca="1">IFERROR(__xludf.DUMMYFUNCTION("""COMPUTED_VALUE"""),"ALTO")</f>
        <v>ALTO</v>
      </c>
      <c r="K107" s="5" t="str">
        <f ca="1">IFERROR(__xludf.DUMMYFUNCTION("""COMPUTED_VALUE"""),"Preventivo")</f>
        <v>Preventivo</v>
      </c>
      <c r="L107" s="5" t="str">
        <f ca="1">IFERROR(__xludf.DUMMYFUNCTION("""COMPUTED_VALUE"""),"Maquinaria")</f>
        <v>Maquinaria</v>
      </c>
      <c r="M107" s="5" t="str">
        <f ca="1">IFERROR(__xludf.DUMMYFUNCTION("""COMPUTED_VALUE"""),"No")</f>
        <v>No</v>
      </c>
      <c r="N107" s="5"/>
      <c r="O107" s="5"/>
      <c r="P107" s="18">
        <f ca="1">IFERROR(__xludf.DUMMYFUNCTION("""COMPUTED_VALUE"""),45324)</f>
        <v>45324</v>
      </c>
      <c r="Q107" s="18">
        <f ca="1">IFERROR(__xludf.DUMMYFUNCTION("""COMPUTED_VALUE"""),45324)</f>
        <v>45324</v>
      </c>
      <c r="R107" s="18"/>
      <c r="S107" s="5">
        <f ca="1">IFERROR(__xludf.DUMMYFUNCTION("""COMPUTED_VALUE"""),2)</f>
        <v>2</v>
      </c>
      <c r="T107" s="5"/>
      <c r="U107" s="5" t="str">
        <f ca="1">IFERROR(__xludf.DUMMYFUNCTION("""COMPUTED_VALUE"""),"Jimenez Jhon")</f>
        <v>Jimenez Jhon</v>
      </c>
      <c r="V107" s="5"/>
      <c r="W107" s="5" t="str">
        <f ca="1">IFERROR(__xludf.DUMMYFUNCTION("""COMPUTED_VALUE"""),"yvRNNMfnc2k")</f>
        <v>yvRNNMfnc2k</v>
      </c>
      <c r="X107" s="5">
        <f ca="1">IFERROR(__xludf.DUMMYFUNCTION("""COMPUTED_VALUE"""),2)</f>
        <v>2</v>
      </c>
      <c r="Y107" s="5" t="str">
        <f t="shared" si="0"/>
        <v>Actividad sin realizar</v>
      </c>
      <c r="Z107" s="3">
        <f ca="1">IFERROR(VLOOKUP(U107, 'Base de datos'!A:B, 2, FALSE), "")</f>
        <v>573147637946</v>
      </c>
      <c r="AA107" s="4" t="e">
        <f t="shared" ca="1" si="1"/>
        <v>#NAME?</v>
      </c>
    </row>
    <row r="108" spans="1:27" ht="15.75" customHeight="1">
      <c r="A108" s="5" t="str">
        <f ca="1">IFERROR(__xludf.DUMMYFUNCTION("""COMPUTED_VALUE"""),"POSTOBÓN YUMBO")</f>
        <v>POSTOBÓN YUMBO</v>
      </c>
      <c r="B108" s="5" t="str">
        <f ca="1">IFERROR(__xludf.DUMMYFUNCTION("""COMPUTED_VALUE"""),"0410-LINEA 2")</f>
        <v>0410-LINEA 2</v>
      </c>
      <c r="C108" s="5" t="str">
        <f ca="1">IFERROR(__xludf.DUMMYFUNCTION("""COMPUTED_VALUE"""),"LINEA DE ENVASADO FAMILIAR Y PRB")</f>
        <v>LINEA DE ENVASADO FAMILIAR Y PRB</v>
      </c>
      <c r="D108" s="5">
        <f ca="1">IFERROR(__xludf.DUMMYFUNCTION("""COMPUTED_VALUE"""),900234)</f>
        <v>900234</v>
      </c>
      <c r="E108" s="5" t="str">
        <f ca="1">IFERROR(__xludf.DUMMYFUNCTION("""COMPUTED_VALUE"""),"PROCESADOR DE BEBIDA")</f>
        <v>PROCESADOR DE BEBIDA</v>
      </c>
      <c r="F108" s="5">
        <f ca="1">IFERROR(__xludf.DUMMYFUNCTION("""COMPUTED_VALUE"""),17379)</f>
        <v>17379</v>
      </c>
      <c r="G108" s="5" t="str">
        <f ca="1">IFERROR(__xludf.DUMMYFUNCTION("""COMPUTED_VALUE"""),"PLAN DE MTTO MECA.CONTIFLOW L2 900234")</f>
        <v>PLAN DE MTTO MECA.CONTIFLOW L2 900234</v>
      </c>
      <c r="H108" s="5">
        <f ca="1">IFERROR(__xludf.DUMMYFUNCTION("""COMPUTED_VALUE"""),13247174)</f>
        <v>13247174</v>
      </c>
      <c r="I108" s="5" t="str">
        <f ca="1">IFERROR(__xludf.DUMMYFUNCTION("""COMPUTED_VALUE"""),"mtto tuberias Agua, Co2, aire, jarabe,")</f>
        <v>mtto tuberias Agua, Co2, aire, jarabe,</v>
      </c>
      <c r="J108" s="5" t="str">
        <f ca="1">IFERROR(__xludf.DUMMYFUNCTION("""COMPUTED_VALUE"""),"ALTO")</f>
        <v>ALTO</v>
      </c>
      <c r="K108" s="5" t="str">
        <f ca="1">IFERROR(__xludf.DUMMYFUNCTION("""COMPUTED_VALUE"""),"Preventivo")</f>
        <v>Preventivo</v>
      </c>
      <c r="L108" s="5" t="str">
        <f ca="1">IFERROR(__xludf.DUMMYFUNCTION("""COMPUTED_VALUE"""),"Maquinaria")</f>
        <v>Maquinaria</v>
      </c>
      <c r="M108" s="5" t="str">
        <f ca="1">IFERROR(__xludf.DUMMYFUNCTION("""COMPUTED_VALUE"""),"No")</f>
        <v>No</v>
      </c>
      <c r="N108" s="5"/>
      <c r="O108" s="5"/>
      <c r="P108" s="18">
        <f ca="1">IFERROR(__xludf.DUMMYFUNCTION("""COMPUTED_VALUE"""),45324)</f>
        <v>45324</v>
      </c>
      <c r="Q108" s="18">
        <f ca="1">IFERROR(__xludf.DUMMYFUNCTION("""COMPUTED_VALUE"""),45324)</f>
        <v>45324</v>
      </c>
      <c r="R108" s="18"/>
      <c r="S108" s="5">
        <f ca="1">IFERROR(__xludf.DUMMYFUNCTION("""COMPUTED_VALUE"""),1)</f>
        <v>1</v>
      </c>
      <c r="T108" s="5"/>
      <c r="U108" s="5" t="str">
        <f ca="1">IFERROR(__xludf.DUMMYFUNCTION("""COMPUTED_VALUE"""),"Paz Paz Jhon Estiven")</f>
        <v>Paz Paz Jhon Estiven</v>
      </c>
      <c r="V108" s="5"/>
      <c r="W108" s="5" t="str">
        <f ca="1">IFERROR(__xludf.DUMMYFUNCTION("""COMPUTED_VALUE"""),"qRwY3KMYF78")</f>
        <v>qRwY3KMYF78</v>
      </c>
      <c r="X108" s="5">
        <f ca="1">IFERROR(__xludf.DUMMYFUNCTION("""COMPUTED_VALUE"""),1)</f>
        <v>1</v>
      </c>
      <c r="Y108" s="5" t="str">
        <f t="shared" si="0"/>
        <v>Actividad sin realizar</v>
      </c>
      <c r="Z108" s="3">
        <f ca="1">IFERROR(VLOOKUP(U108, 'Base de datos'!A:B, 2, FALSE), "")</f>
        <v>573117137924</v>
      </c>
      <c r="AA108" s="4" t="e">
        <f t="shared" ca="1" si="1"/>
        <v>#NAME?</v>
      </c>
    </row>
    <row r="109" spans="1:27" ht="15.75" customHeight="1">
      <c r="A109" s="5" t="str">
        <f ca="1">IFERROR(__xludf.DUMMYFUNCTION("""COMPUTED_VALUE"""),"POSTOBÓN YUMBO")</f>
        <v>POSTOBÓN YUMBO</v>
      </c>
      <c r="B109" s="5" t="str">
        <f ca="1">IFERROR(__xludf.DUMMYFUNCTION("""COMPUTED_VALUE"""),"0410-LINEA 2")</f>
        <v>0410-LINEA 2</v>
      </c>
      <c r="C109" s="5" t="str">
        <f ca="1">IFERROR(__xludf.DUMMYFUNCTION("""COMPUTED_VALUE"""),"LINEA DE ENVASADO FAMILIAR Y PRB")</f>
        <v>LINEA DE ENVASADO FAMILIAR Y PRB</v>
      </c>
      <c r="D109" s="5">
        <f ca="1">IFERROR(__xludf.DUMMYFUNCTION("""COMPUTED_VALUE"""),599559)</f>
        <v>599559</v>
      </c>
      <c r="E109" s="5" t="str">
        <f ca="1">IFERROR(__xludf.DUMMYFUNCTION("""COMPUTED_VALUE"""),"INSPECTOR ELECTRONICO")</f>
        <v>INSPECTOR ELECTRONICO</v>
      </c>
      <c r="F109" s="5">
        <f ca="1">IFERROR(__xludf.DUMMYFUNCTION("""COMPUTED_VALUE"""),17380)</f>
        <v>17380</v>
      </c>
      <c r="G109" s="5" t="str">
        <f ca="1">IFERROR(__xludf.DUMMYFUNCTION("""COMPUTED_VALUE"""),"MTTO MEC INSPECTOR L2 599559")</f>
        <v>MTTO MEC INSPECTOR L2 599559</v>
      </c>
      <c r="H109" s="5">
        <f ca="1">IFERROR(__xludf.DUMMYFUNCTION("""COMPUTED_VALUE"""),13221299)</f>
        <v>13221299</v>
      </c>
      <c r="I109" s="5" t="str">
        <f ca="1">IFERROR(__xludf.DUMMYFUNCTION("""COMPUTED_VALUE"""),"CORREAS DE TRANSPORTE COMPROBAR LAS")</f>
        <v>CORREAS DE TRANSPORTE COMPROBAR LAS</v>
      </c>
      <c r="J109" s="5" t="str">
        <f ca="1">IFERROR(__xludf.DUMMYFUNCTION("""COMPUTED_VALUE"""),"ALTO")</f>
        <v>ALTO</v>
      </c>
      <c r="K109" s="5" t="str">
        <f ca="1">IFERROR(__xludf.DUMMYFUNCTION("""COMPUTED_VALUE"""),"Preventivo")</f>
        <v>Preventivo</v>
      </c>
      <c r="L109" s="5" t="str">
        <f ca="1">IFERROR(__xludf.DUMMYFUNCTION("""COMPUTED_VALUE"""),"Maquinaria")</f>
        <v>Maquinaria</v>
      </c>
      <c r="M109" s="5" t="str">
        <f ca="1">IFERROR(__xludf.DUMMYFUNCTION("""COMPUTED_VALUE"""),"No")</f>
        <v>No</v>
      </c>
      <c r="N109" s="5"/>
      <c r="O109" s="5"/>
      <c r="P109" s="18">
        <f ca="1">IFERROR(__xludf.DUMMYFUNCTION("""COMPUTED_VALUE"""),45342)</f>
        <v>45342</v>
      </c>
      <c r="Q109" s="18">
        <f ca="1">IFERROR(__xludf.DUMMYFUNCTION("""COMPUTED_VALUE"""),45342)</f>
        <v>45342</v>
      </c>
      <c r="R109" s="18"/>
      <c r="S109" s="5">
        <f ca="1">IFERROR(__xludf.DUMMYFUNCTION("""COMPUTED_VALUE"""),2)</f>
        <v>2</v>
      </c>
      <c r="T109" s="5"/>
      <c r="U109" s="5" t="str">
        <f ca="1">IFERROR(__xludf.DUMMYFUNCTION("""COMPUTED_VALUE"""),"Alexander Echeverry Moreno")</f>
        <v>Alexander Echeverry Moreno</v>
      </c>
      <c r="V109" s="5"/>
      <c r="W109" s="5" t="str">
        <f ca="1">IFERROR(__xludf.DUMMYFUNCTION("""COMPUTED_VALUE"""),"U7qJDPUEu7Q")</f>
        <v>U7qJDPUEu7Q</v>
      </c>
      <c r="X109" s="5">
        <f ca="1">IFERROR(__xludf.DUMMYFUNCTION("""COMPUTED_VALUE"""),2)</f>
        <v>2</v>
      </c>
      <c r="Y109" s="5" t="str">
        <f t="shared" si="0"/>
        <v>Actividad sin realizar</v>
      </c>
      <c r="Z109" s="3">
        <f ca="1">IFERROR(VLOOKUP(U109, 'Base de datos'!A:B, 2, FALSE), "")</f>
        <v>573173223149</v>
      </c>
      <c r="AA109" s="4" t="e">
        <f t="shared" ca="1" si="1"/>
        <v>#NAME?</v>
      </c>
    </row>
    <row r="110" spans="1:27" ht="15.75" customHeight="1">
      <c r="A110" s="5" t="str">
        <f ca="1">IFERROR(__xludf.DUMMYFUNCTION("""COMPUTED_VALUE"""),"POSTOBÓN YUMBO")</f>
        <v>POSTOBÓN YUMBO</v>
      </c>
      <c r="B110" s="5" t="str">
        <f ca="1">IFERROR(__xludf.DUMMYFUNCTION("""COMPUTED_VALUE"""),"0410-SALA DE JARABE TERMINADO")</f>
        <v>0410-SALA DE JARABE TERMINADO</v>
      </c>
      <c r="C110" s="5" t="str">
        <f ca="1">IFERROR(__xludf.DUMMYFUNCTION("""COMPUTED_VALUE"""),"EQUIPOS PARA PREPARACION DE JARABE")</f>
        <v>EQUIPOS PARA PREPARACION DE JARABE</v>
      </c>
      <c r="D110" s="5">
        <f ca="1">IFERROR(__xludf.DUMMYFUNCTION("""COMPUTED_VALUE"""),69963412)</f>
        <v>69963412</v>
      </c>
      <c r="E110" s="5" t="str">
        <f ca="1">IFERROR(__xludf.DUMMYFUNCTION("""COMPUTED_VALUE"""),"TANQUE DE JARABE")</f>
        <v>TANQUE DE JARABE</v>
      </c>
      <c r="F110" s="5">
        <f ca="1">IFERROR(__xludf.DUMMYFUNCTION("""COMPUTED_VALUE"""),17361)</f>
        <v>17361</v>
      </c>
      <c r="G110" s="5" t="str">
        <f ca="1">IFERROR(__xludf.DUMMYFUNCTION("""COMPUTED_VALUE"""),"MTTO MEC TK JARABE 9 JARABE TERMINADO")</f>
        <v>MTTO MEC TK JARABE 9 JARABE TERMINADO</v>
      </c>
      <c r="H110" s="5">
        <f ca="1">IFERROR(__xludf.DUMMYFUNCTION("""COMPUTED_VALUE"""),13247164)</f>
        <v>13247164</v>
      </c>
      <c r="I110" s="5" t="str">
        <f ca="1">IFERROR(__xludf.DUMMYFUNCTION("""COMPUTED_VALUE"""),"Sistema neumatico: revision fugas y esta")</f>
        <v>Sistema neumatico: revision fugas y esta</v>
      </c>
      <c r="J110" s="5" t="str">
        <f ca="1">IFERROR(__xludf.DUMMYFUNCTION("""COMPUTED_VALUE"""),"ALTO")</f>
        <v>ALTO</v>
      </c>
      <c r="K110" s="5" t="str">
        <f ca="1">IFERROR(__xludf.DUMMYFUNCTION("""COMPUTED_VALUE"""),"Preventivo")</f>
        <v>Preventivo</v>
      </c>
      <c r="L110" s="5" t="str">
        <f ca="1">IFERROR(__xludf.DUMMYFUNCTION("""COMPUTED_VALUE"""),"Maquinaria")</f>
        <v>Maquinaria</v>
      </c>
      <c r="M110" s="5" t="str">
        <f ca="1">IFERROR(__xludf.DUMMYFUNCTION("""COMPUTED_VALUE"""),"No")</f>
        <v>No</v>
      </c>
      <c r="N110" s="5"/>
      <c r="O110" s="5">
        <f ca="1">IFERROR(__xludf.DUMMYFUNCTION("""COMPUTED_VALUE"""),100)</f>
        <v>100</v>
      </c>
      <c r="P110" s="18">
        <f ca="1">IFERROR(__xludf.DUMMYFUNCTION("""COMPUTED_VALUE"""),45342)</f>
        <v>45342</v>
      </c>
      <c r="Q110" s="18">
        <f ca="1">IFERROR(__xludf.DUMMYFUNCTION("""COMPUTED_VALUE"""),45342)</f>
        <v>45342</v>
      </c>
      <c r="R110" s="18"/>
      <c r="S110" s="5">
        <f ca="1">IFERROR(__xludf.DUMMYFUNCTION("""COMPUTED_VALUE"""),1)</f>
        <v>1</v>
      </c>
      <c r="T110" s="5"/>
      <c r="U110" s="5" t="str">
        <f ca="1">IFERROR(__xludf.DUMMYFUNCTION("""COMPUTED_VALUE"""),"Rivas Mena Carlos Danny")</f>
        <v>Rivas Mena Carlos Danny</v>
      </c>
      <c r="V110" s="5"/>
      <c r="W110" s="5" t="str">
        <f ca="1">IFERROR(__xludf.DUMMYFUNCTION("""COMPUTED_VALUE"""),"Uzeb5jYGq4E")</f>
        <v>Uzeb5jYGq4E</v>
      </c>
      <c r="X110" s="5">
        <f ca="1">IFERROR(__xludf.DUMMYFUNCTION("""COMPUTED_VALUE"""),1)</f>
        <v>1</v>
      </c>
      <c r="Y110" s="5" t="str">
        <f t="shared" ca="1" si="0"/>
        <v>Actividad realizada</v>
      </c>
      <c r="Z110" s="3">
        <f ca="1">IFERROR(VLOOKUP(U110, 'Base de datos'!A:B, 2, FALSE), "")</f>
        <v>0</v>
      </c>
      <c r="AA110" s="4" t="e">
        <f t="shared" ca="1" si="1"/>
        <v>#NAME?</v>
      </c>
    </row>
    <row r="111" spans="1:27" ht="15.75" customHeight="1">
      <c r="A111" s="5" t="str">
        <f ca="1">IFERROR(__xludf.DUMMYFUNCTION("""COMPUTED_VALUE"""),"POSTOBÓN YUMBO")</f>
        <v>POSTOBÓN YUMBO</v>
      </c>
      <c r="B111" s="5" t="str">
        <f ca="1">IFERROR(__xludf.DUMMYFUNCTION("""COMPUTED_VALUE"""),"0410-SALA DE JARABE TERMINADO")</f>
        <v>0410-SALA DE JARABE TERMINADO</v>
      </c>
      <c r="C111" s="5" t="str">
        <f ca="1">IFERROR(__xludf.DUMMYFUNCTION("""COMPUTED_VALUE"""),"EQUIPOS PARA PREPARACION DE JARABE")</f>
        <v>EQUIPOS PARA PREPARACION DE JARABE</v>
      </c>
      <c r="D111" s="5">
        <f ca="1">IFERROR(__xludf.DUMMYFUNCTION("""COMPUTED_VALUE"""),69963412)</f>
        <v>69963412</v>
      </c>
      <c r="E111" s="5" t="str">
        <f ca="1">IFERROR(__xludf.DUMMYFUNCTION("""COMPUTED_VALUE"""),"TANQUE DE JARABE")</f>
        <v>TANQUE DE JARABE</v>
      </c>
      <c r="F111" s="5">
        <f ca="1">IFERROR(__xludf.DUMMYFUNCTION("""COMPUTED_VALUE"""),17361)</f>
        <v>17361</v>
      </c>
      <c r="G111" s="5" t="str">
        <f ca="1">IFERROR(__xludf.DUMMYFUNCTION("""COMPUTED_VALUE"""),"MTTO ELE TK JARABE 9 JARABE TERMINADO")</f>
        <v>MTTO ELE TK JARABE 9 JARABE TERMINADO</v>
      </c>
      <c r="H111" s="5">
        <f ca="1">IFERROR(__xludf.DUMMYFUNCTION("""COMPUTED_VALUE"""),13247165)</f>
        <v>13247165</v>
      </c>
      <c r="I111" s="5" t="str">
        <f ca="1">IFERROR(__xludf.DUMMYFUNCTION("""COMPUTED_VALUE"""),"MOTOR BOMBA DE RECIRCULACION:")</f>
        <v>MOTOR BOMBA DE RECIRCULACION:</v>
      </c>
      <c r="J111" s="5" t="str">
        <f ca="1">IFERROR(__xludf.DUMMYFUNCTION("""COMPUTED_VALUE"""),"ALTO")</f>
        <v>ALTO</v>
      </c>
      <c r="K111" s="5" t="str">
        <f ca="1">IFERROR(__xludf.DUMMYFUNCTION("""COMPUTED_VALUE"""),"Preventivo")</f>
        <v>Preventivo</v>
      </c>
      <c r="L111" s="5" t="str">
        <f ca="1">IFERROR(__xludf.DUMMYFUNCTION("""COMPUTED_VALUE"""),"Maquinaria")</f>
        <v>Maquinaria</v>
      </c>
      <c r="M111" s="5" t="str">
        <f ca="1">IFERROR(__xludf.DUMMYFUNCTION("""COMPUTED_VALUE"""),"No")</f>
        <v>No</v>
      </c>
      <c r="N111" s="5"/>
      <c r="O111" s="5">
        <f ca="1">IFERROR(__xludf.DUMMYFUNCTION("""COMPUTED_VALUE"""),100)</f>
        <v>100</v>
      </c>
      <c r="P111" s="18">
        <f ca="1">IFERROR(__xludf.DUMMYFUNCTION("""COMPUTED_VALUE"""),45343)</f>
        <v>45343</v>
      </c>
      <c r="Q111" s="18">
        <f ca="1">IFERROR(__xludf.DUMMYFUNCTION("""COMPUTED_VALUE"""),45343)</f>
        <v>45343</v>
      </c>
      <c r="R111" s="18"/>
      <c r="S111" s="5">
        <f ca="1">IFERROR(__xludf.DUMMYFUNCTION("""COMPUTED_VALUE"""),1)</f>
        <v>1</v>
      </c>
      <c r="T111" s="5"/>
      <c r="U111" s="5" t="str">
        <f ca="1">IFERROR(__xludf.DUMMYFUNCTION("""COMPUTED_VALUE"""),"Rivas Mena Carlos Danny")</f>
        <v>Rivas Mena Carlos Danny</v>
      </c>
      <c r="V111" s="5"/>
      <c r="W111" s="5" t="str">
        <f ca="1">IFERROR(__xludf.DUMMYFUNCTION("""COMPUTED_VALUE"""),"q3ouvNXecto")</f>
        <v>q3ouvNXecto</v>
      </c>
      <c r="X111" s="5">
        <f ca="1">IFERROR(__xludf.DUMMYFUNCTION("""COMPUTED_VALUE"""),1)</f>
        <v>1</v>
      </c>
      <c r="Y111" s="5" t="str">
        <f t="shared" ca="1" si="0"/>
        <v>Actividad realizada</v>
      </c>
      <c r="Z111" s="3">
        <f ca="1">IFERROR(VLOOKUP(U111, 'Base de datos'!A:B, 2, FALSE), "")</f>
        <v>0</v>
      </c>
      <c r="AA111" s="4" t="e">
        <f t="shared" ca="1" si="1"/>
        <v>#NAME?</v>
      </c>
    </row>
    <row r="112" spans="1:27" ht="15.75" customHeight="1">
      <c r="A112" s="5" t="str">
        <f ca="1">IFERROR(__xludf.DUMMYFUNCTION("""COMPUTED_VALUE"""),"POSTOBÓN YUMBO")</f>
        <v>POSTOBÓN YUMBO</v>
      </c>
      <c r="B112" s="5" t="str">
        <f ca="1">IFERROR(__xludf.DUMMYFUNCTION("""COMPUTED_VALUE"""),"0410-LINEA 3")</f>
        <v>0410-LINEA 3</v>
      </c>
      <c r="C112" s="5" t="str">
        <f ca="1">IFERROR(__xludf.DUMMYFUNCTION("""COMPUTED_VALUE"""),"LINEA DE ENVASADO TAMAÑO PERSONAL")</f>
        <v>LINEA DE ENVASADO TAMAÑO PERSONAL</v>
      </c>
      <c r="D112" s="5">
        <f ca="1">IFERROR(__xludf.DUMMYFUNCTION("""COMPUTED_VALUE"""),828592)</f>
        <v>828592</v>
      </c>
      <c r="E112" s="5" t="str">
        <f ca="1">IFERROR(__xludf.DUMMYFUNCTION("""COMPUTED_VALUE"""),"LLENADORA")</f>
        <v>LLENADORA</v>
      </c>
      <c r="F112" s="5">
        <f ca="1">IFERROR(__xludf.DUMMYFUNCTION("""COMPUTED_VALUE"""),5821)</f>
        <v>5821</v>
      </c>
      <c r="G112" s="5" t="str">
        <f ca="1">IFERROR(__xludf.DUMMYFUNCTION("""COMPUTED_VALUE"""),"LUBRICACION SISTEMA LLENADO Y CORONADOLU")</f>
        <v>LUBRICACION SISTEMA LLENADO Y CORONADOLU</v>
      </c>
      <c r="H112" s="5">
        <f ca="1">IFERROR(__xludf.DUMMYFUNCTION("""COMPUTED_VALUE"""),13247124)</f>
        <v>13247124</v>
      </c>
      <c r="I112" s="5" t="str">
        <f ca="1">IFERROR(__xludf.DUMMYFUNCTION("""COMPUTED_VALUE"""),"LUBRICACION DE CORONADORES.")</f>
        <v>LUBRICACION DE CORONADORES.</v>
      </c>
      <c r="J112" s="5" t="str">
        <f ca="1">IFERROR(__xludf.DUMMYFUNCTION("""COMPUTED_VALUE"""),"ALTO")</f>
        <v>ALTO</v>
      </c>
      <c r="K112" s="5" t="str">
        <f ca="1">IFERROR(__xludf.DUMMYFUNCTION("""COMPUTED_VALUE"""),"Preventivo")</f>
        <v>Preventivo</v>
      </c>
      <c r="L112" s="5" t="str">
        <f ca="1">IFERROR(__xludf.DUMMYFUNCTION("""COMPUTED_VALUE"""),"Maquinaria")</f>
        <v>Maquinaria</v>
      </c>
      <c r="M112" s="5" t="str">
        <f ca="1">IFERROR(__xludf.DUMMYFUNCTION("""COMPUTED_VALUE"""),"No")</f>
        <v>No</v>
      </c>
      <c r="N112" s="5"/>
      <c r="O112" s="5"/>
      <c r="P112" s="18">
        <f ca="1">IFERROR(__xludf.DUMMYFUNCTION("""COMPUTED_VALUE"""),45324)</f>
        <v>45324</v>
      </c>
      <c r="Q112" s="18">
        <f ca="1">IFERROR(__xludf.DUMMYFUNCTION("""COMPUTED_VALUE"""),45324)</f>
        <v>45324</v>
      </c>
      <c r="R112" s="18"/>
      <c r="S112" s="5">
        <f ca="1">IFERROR(__xludf.DUMMYFUNCTION("""COMPUTED_VALUE"""),0.5)</f>
        <v>0.5</v>
      </c>
      <c r="T112" s="5"/>
      <c r="U112" s="5" t="str">
        <f ca="1">IFERROR(__xludf.DUMMYFUNCTION("""COMPUTED_VALUE"""),"Jimenez Jhon")</f>
        <v>Jimenez Jhon</v>
      </c>
      <c r="V112" s="5"/>
      <c r="W112" s="5" t="str">
        <f ca="1">IFERROR(__xludf.DUMMYFUNCTION("""COMPUTED_VALUE"""),"GoF8jQVzB00")</f>
        <v>GoF8jQVzB00</v>
      </c>
      <c r="X112" s="5">
        <f ca="1">IFERROR(__xludf.DUMMYFUNCTION("""COMPUTED_VALUE"""),0.5)</f>
        <v>0.5</v>
      </c>
      <c r="Y112" s="5" t="str">
        <f t="shared" si="0"/>
        <v>Actividad sin realizar</v>
      </c>
      <c r="Z112" s="3">
        <f ca="1">IFERROR(VLOOKUP(U112, 'Base de datos'!A:B, 2, FALSE), "")</f>
        <v>573147637946</v>
      </c>
      <c r="AA112" s="4" t="e">
        <f t="shared" ca="1" si="1"/>
        <v>#NAME?</v>
      </c>
    </row>
    <row r="113" spans="1:27" ht="15.75" customHeight="1">
      <c r="A113" s="5" t="str">
        <f ca="1">IFERROR(__xludf.DUMMYFUNCTION("""COMPUTED_VALUE"""),"POSTOBÓN YUMBO")</f>
        <v>POSTOBÓN YUMBO</v>
      </c>
      <c r="B113" s="5" t="str">
        <f ca="1">IFERROR(__xludf.DUMMYFUNCTION("""COMPUTED_VALUE"""),"0410-ENVASADO JUGOS PET HOT F")</f>
        <v>0410-ENVASADO JUGOS PET HOT F</v>
      </c>
      <c r="C113" s="5" t="str">
        <f ca="1">IFERROR(__xludf.DUMMYFUNCTION("""COMPUTED_VALUE"""),"LINEA DE ENVASADO JUGOS PET HOT FILL")</f>
        <v>LINEA DE ENVASADO JUGOS PET HOT FILL</v>
      </c>
      <c r="D113" s="5">
        <f ca="1">IFERROR(__xludf.DUMMYFUNCTION("""COMPUTED_VALUE"""),739536)</f>
        <v>739536</v>
      </c>
      <c r="E113" s="5" t="str">
        <f ca="1">IFERROR(__xludf.DUMMYFUNCTION("""COMPUTED_VALUE"""),"TERMOFORMADO FULL BODY")</f>
        <v>TERMOFORMADO FULL BODY</v>
      </c>
      <c r="F113" s="5">
        <f ca="1">IFERROR(__xludf.DUMMYFUNCTION("""COMPUTED_VALUE"""),0)</f>
        <v>0</v>
      </c>
      <c r="G113" s="5" t="str">
        <f ca="1">IFERROR(__xludf.DUMMYFUNCTION("""COMPUTED_VALUE"""),"CONSUMO LUB HORNO TECMI L8")</f>
        <v>CONSUMO LUB HORNO TECMI L8</v>
      </c>
      <c r="H113" s="5">
        <f ca="1">IFERROR(__xludf.DUMMYFUNCTION("""COMPUTED_VALUE"""),13230951)</f>
        <v>13230951</v>
      </c>
      <c r="I113" s="5" t="str">
        <f ca="1">IFERROR(__xludf.DUMMYFUNCTION("""COMPUTED_VALUE"""),"CONSUMO LUB HORNO TECMI L8")</f>
        <v>CONSUMO LUB HORNO TECMI L8</v>
      </c>
      <c r="J113" s="5" t="str">
        <f ca="1">IFERROR(__xludf.DUMMYFUNCTION("""COMPUTED_VALUE"""),"BAJO")</f>
        <v>BAJO</v>
      </c>
      <c r="K113" s="5" t="str">
        <f ca="1">IFERROR(__xludf.DUMMYFUNCTION("""COMPUTED_VALUE"""),"Preventivo")</f>
        <v>Preventivo</v>
      </c>
      <c r="L113" s="5" t="str">
        <f ca="1">IFERROR(__xludf.DUMMYFUNCTION("""COMPUTED_VALUE"""),"Maquinaria")</f>
        <v>Maquinaria</v>
      </c>
      <c r="M113" s="5" t="str">
        <f ca="1">IFERROR(__xludf.DUMMYFUNCTION("""COMPUTED_VALUE"""),"No")</f>
        <v>No</v>
      </c>
      <c r="N113" s="5"/>
      <c r="O113" s="5"/>
      <c r="P113" s="18">
        <f ca="1">IFERROR(__xludf.DUMMYFUNCTION("""COMPUTED_VALUE"""),45324)</f>
        <v>45324</v>
      </c>
      <c r="Q113" s="18">
        <f ca="1">IFERROR(__xludf.DUMMYFUNCTION("""COMPUTED_VALUE"""),45324)</f>
        <v>45324</v>
      </c>
      <c r="R113" s="18"/>
      <c r="S113" s="5">
        <f ca="1">IFERROR(__xludf.DUMMYFUNCTION("""COMPUTED_VALUE"""),1)</f>
        <v>1</v>
      </c>
      <c r="T113" s="5"/>
      <c r="U113" s="5" t="str">
        <f ca="1">IFERROR(__xludf.DUMMYFUNCTION("""COMPUTED_VALUE"""),"Bedoya Marin Johan Andres")</f>
        <v>Bedoya Marin Johan Andres</v>
      </c>
      <c r="V113" s="5"/>
      <c r="W113" s="5" t="str">
        <f ca="1">IFERROR(__xludf.DUMMYFUNCTION("""COMPUTED_VALUE"""),"FtDcudeHD1A")</f>
        <v>FtDcudeHD1A</v>
      </c>
      <c r="X113" s="5">
        <f ca="1">IFERROR(__xludf.DUMMYFUNCTION("""COMPUTED_VALUE"""),1)</f>
        <v>1</v>
      </c>
      <c r="Y113" s="5" t="str">
        <f t="shared" si="0"/>
        <v>Actividad sin realizar</v>
      </c>
      <c r="Z113" s="3">
        <f ca="1">IFERROR(VLOOKUP(U113, 'Base de datos'!A:B, 2, FALSE), "")</f>
        <v>573147103334</v>
      </c>
      <c r="AA113" s="4" t="e">
        <f t="shared" ca="1" si="1"/>
        <v>#NAME?</v>
      </c>
    </row>
    <row r="114" spans="1:27" ht="15.75" customHeight="1">
      <c r="A114" s="5" t="str">
        <f ca="1">IFERROR(__xludf.DUMMYFUNCTION("""COMPUTED_VALUE"""),"POSTOBÓN YUMBO")</f>
        <v>POSTOBÓN YUMBO</v>
      </c>
      <c r="B114" s="5" t="str">
        <f ca="1">IFERROR(__xludf.DUMMYFUNCTION("""COMPUTED_VALUE"""),"0410-LINEA 1")</f>
        <v>0410-LINEA 1</v>
      </c>
      <c r="C114" s="5" t="str">
        <f ca="1">IFERROR(__xludf.DUMMYFUNCTION("""COMPUTED_VALUE"""),"LINEA DE ENVASADO PET NO RETORNABLE")</f>
        <v>LINEA DE ENVASADO PET NO RETORNABLE</v>
      </c>
      <c r="D114" s="5">
        <f ca="1">IFERROR(__xludf.DUMMYFUNCTION("""COMPUTED_VALUE"""),820071)</f>
        <v>820071</v>
      </c>
      <c r="E114" s="5" t="str">
        <f ca="1">IFERROR(__xludf.DUMMYFUNCTION("""COMPUTED_VALUE"""),"ETIQUETADORA")</f>
        <v>ETIQUETADORA</v>
      </c>
      <c r="F114" s="5">
        <f ca="1">IFERROR(__xludf.DUMMYFUNCTION("""COMPUTED_VALUE"""),0)</f>
        <v>0</v>
      </c>
      <c r="G114" s="5" t="str">
        <f ca="1">IFERROR(__xludf.DUMMYFUNCTION("""COMPUTED_VALUE"""),"MTTO MAYOR ETIQUETADORA L1")</f>
        <v>MTTO MAYOR ETIQUETADORA L1</v>
      </c>
      <c r="H114" s="5">
        <f ca="1">IFERROR(__xludf.DUMMYFUNCTION("""COMPUTED_VALUE"""),13246503)</f>
        <v>13246503</v>
      </c>
      <c r="I114" s="5" t="str">
        <f ca="1">IFERROR(__xludf.DUMMYFUNCTION("""COMPUTED_VALUE"""),"MTTO PORTAENVASES CAMBIO POLEAS")</f>
        <v>MTTO PORTAENVASES CAMBIO POLEAS</v>
      </c>
      <c r="J114" s="5" t="str">
        <f ca="1">IFERROR(__xludf.DUMMYFUNCTION("""COMPUTED_VALUE"""),"MEDIO")</f>
        <v>MEDIO</v>
      </c>
      <c r="K114" s="5" t="str">
        <f ca="1">IFERROR(__xludf.DUMMYFUNCTION("""COMPUTED_VALUE"""),"Preventivo")</f>
        <v>Preventivo</v>
      </c>
      <c r="L114" s="5" t="str">
        <f ca="1">IFERROR(__xludf.DUMMYFUNCTION("""COMPUTED_VALUE"""),"Maquinaria")</f>
        <v>Maquinaria</v>
      </c>
      <c r="M114" s="5" t="str">
        <f ca="1">IFERROR(__xludf.DUMMYFUNCTION("""COMPUTED_VALUE"""),"No")</f>
        <v>No</v>
      </c>
      <c r="N114" s="5"/>
      <c r="O114" s="5"/>
      <c r="P114" s="18">
        <f ca="1">IFERROR(__xludf.DUMMYFUNCTION("""COMPUTED_VALUE"""),45323)</f>
        <v>45323</v>
      </c>
      <c r="Q114" s="18">
        <f ca="1">IFERROR(__xludf.DUMMYFUNCTION("""COMPUTED_VALUE"""),45323)</f>
        <v>45323</v>
      </c>
      <c r="R114" s="18"/>
      <c r="S114" s="5">
        <f ca="1">IFERROR(__xludf.DUMMYFUNCTION("""COMPUTED_VALUE"""),8)</f>
        <v>8</v>
      </c>
      <c r="T114" s="5"/>
      <c r="U114" s="5" t="str">
        <f ca="1">IFERROR(__xludf.DUMMYFUNCTION("""COMPUTED_VALUE"""),"Sanchez Rodriguez Gerson Andres")</f>
        <v>Sanchez Rodriguez Gerson Andres</v>
      </c>
      <c r="V114" s="5"/>
      <c r="W114" s="5" t="str">
        <f ca="1">IFERROR(__xludf.DUMMYFUNCTION("""COMPUTED_VALUE"""),"LTlrMZVesd4")</f>
        <v>LTlrMZVesd4</v>
      </c>
      <c r="X114" s="5">
        <f ca="1">IFERROR(__xludf.DUMMYFUNCTION("""COMPUTED_VALUE"""),8)</f>
        <v>8</v>
      </c>
      <c r="Y114" s="5" t="str">
        <f t="shared" si="0"/>
        <v>Actividad sin realizar</v>
      </c>
      <c r="Z114" s="3">
        <f ca="1">IFERROR(VLOOKUP(U114, 'Base de datos'!A:B, 2, FALSE), "")</f>
        <v>573112884549</v>
      </c>
      <c r="AA114" s="4" t="e">
        <f t="shared" ca="1" si="1"/>
        <v>#NAME?</v>
      </c>
    </row>
    <row r="115" spans="1:27" ht="15.75" customHeight="1">
      <c r="A115" s="5" t="str">
        <f ca="1">IFERROR(__xludf.DUMMYFUNCTION("""COMPUTED_VALUE"""),"POSTOBÓN YUMBO")</f>
        <v>POSTOBÓN YUMBO</v>
      </c>
      <c r="B115" s="5" t="str">
        <f ca="1">IFERROR(__xludf.DUMMYFUNCTION("""COMPUTED_VALUE"""),"0410-PLANTA DE AGUA ENVASADO")</f>
        <v>0410-PLANTA DE AGUA ENVASADO</v>
      </c>
      <c r="C115" s="5" t="str">
        <f ca="1">IFERROR(__xludf.DUMMYFUNCTION("""COMPUTED_VALUE"""),"TRATAMIENTO DE AGUA PARA ENVASADO")</f>
        <v>TRATAMIENTO DE AGUA PARA ENVASADO</v>
      </c>
      <c r="D115" s="5">
        <f ca="1">IFERROR(__xludf.DUMMYFUNCTION("""COMPUTED_VALUE"""),700038)</f>
        <v>700038</v>
      </c>
      <c r="E115" s="5" t="str">
        <f ca="1">IFERROR(__xludf.DUMMYFUNCTION("""COMPUTED_VALUE"""),"TANQUE AGUA SUAVIZADA")</f>
        <v>TANQUE AGUA SUAVIZADA</v>
      </c>
      <c r="F115" s="5">
        <f ca="1">IFERROR(__xludf.DUMMYFUNCTION("""COMPUTED_VALUE"""),21763)</f>
        <v>21763</v>
      </c>
      <c r="G115" s="5" t="str">
        <f ca="1">IFERROR(__xludf.DUMMYFUNCTION("""COMPUTED_VALUE"""),"PLAN MTTO MEC TK SALMUERA (SUAVIZADOR)")</f>
        <v>PLAN MTTO MEC TK SALMUERA (SUAVIZADOR)</v>
      </c>
      <c r="H115" s="5">
        <f ca="1">IFERROR(__xludf.DUMMYFUNCTION("""COMPUTED_VALUE"""),13207422)</f>
        <v>13207422</v>
      </c>
      <c r="I115" s="5" t="str">
        <f ca="1">IFERROR(__xludf.DUMMYFUNCTION("""COMPUTED_VALUE"""),"REVISAR/CAMBIAR FILTRO")</f>
        <v>REVISAR/CAMBIAR FILTRO</v>
      </c>
      <c r="J115" s="5" t="str">
        <f ca="1">IFERROR(__xludf.DUMMYFUNCTION("""COMPUTED_VALUE"""),"ALTO")</f>
        <v>ALTO</v>
      </c>
      <c r="K115" s="5" t="str">
        <f ca="1">IFERROR(__xludf.DUMMYFUNCTION("""COMPUTED_VALUE"""),"Preventivo")</f>
        <v>Preventivo</v>
      </c>
      <c r="L115" s="5" t="str">
        <f ca="1">IFERROR(__xludf.DUMMYFUNCTION("""COMPUTED_VALUE"""),"Maquinaria")</f>
        <v>Maquinaria</v>
      </c>
      <c r="M115" s="5" t="str">
        <f ca="1">IFERROR(__xludf.DUMMYFUNCTION("""COMPUTED_VALUE"""),"No")</f>
        <v>No</v>
      </c>
      <c r="N115" s="5"/>
      <c r="O115" s="5"/>
      <c r="P115" s="18">
        <f ca="1">IFERROR(__xludf.DUMMYFUNCTION("""COMPUTED_VALUE"""),45351)</f>
        <v>45351</v>
      </c>
      <c r="Q115" s="18">
        <f ca="1">IFERROR(__xludf.DUMMYFUNCTION("""COMPUTED_VALUE"""),45351)</f>
        <v>45351</v>
      </c>
      <c r="R115" s="18"/>
      <c r="S115" s="5">
        <f ca="1">IFERROR(__xludf.DUMMYFUNCTION("""COMPUTED_VALUE"""),1)</f>
        <v>1</v>
      </c>
      <c r="T115" s="5"/>
      <c r="U115" s="5" t="str">
        <f ca="1">IFERROR(__xludf.DUMMYFUNCTION("""COMPUTED_VALUE"""),"Guzman Palechor Miguel Angel")</f>
        <v>Guzman Palechor Miguel Angel</v>
      </c>
      <c r="V115" s="5"/>
      <c r="W115" s="5" t="str">
        <f ca="1">IFERROR(__xludf.DUMMYFUNCTION("""COMPUTED_VALUE"""),"FYeysxb9EOs")</f>
        <v>FYeysxb9EOs</v>
      </c>
      <c r="X115" s="5">
        <f ca="1">IFERROR(__xludf.DUMMYFUNCTION("""COMPUTED_VALUE"""),1)</f>
        <v>1</v>
      </c>
      <c r="Y115" s="5" t="str">
        <f t="shared" si="0"/>
        <v>Actividad sin realizar</v>
      </c>
      <c r="Z115" s="3">
        <f ca="1">IFERROR(VLOOKUP(U115, 'Base de datos'!A:B, 2, FALSE), "")</f>
        <v>573112422176</v>
      </c>
      <c r="AA115" s="4" t="e">
        <f t="shared" ca="1" si="1"/>
        <v>#NAME?</v>
      </c>
    </row>
    <row r="116" spans="1:27" ht="15.75" customHeight="1">
      <c r="A116" s="5" t="str">
        <f ca="1">IFERROR(__xludf.DUMMYFUNCTION("""COMPUTED_VALUE"""),"POSTOBÓN YUMBO")</f>
        <v>POSTOBÓN YUMBO</v>
      </c>
      <c r="B116" s="5" t="str">
        <f ca="1">IFERROR(__xludf.DUMMYFUNCTION("""COMPUTED_VALUE"""),"0410-PLANTA DE AGUA ENVASADO")</f>
        <v>0410-PLANTA DE AGUA ENVASADO</v>
      </c>
      <c r="C116" s="5" t="str">
        <f ca="1">IFERROR(__xludf.DUMMYFUNCTION("""COMPUTED_VALUE"""),"TRATAMIENTO DE AGUA PARA ENVASADO")</f>
        <v>TRATAMIENTO DE AGUA PARA ENVASADO</v>
      </c>
      <c r="D116" s="5">
        <f ca="1">IFERROR(__xludf.DUMMYFUNCTION("""COMPUTED_VALUE"""),70948949)</f>
        <v>70948949</v>
      </c>
      <c r="E116" s="5" t="str">
        <f ca="1">IFERROR(__xludf.DUMMYFUNCTION("""COMPUTED_VALUE"""),"TANQUE FIBR ACD CLORU FERRI - TRAT PRIM")</f>
        <v>TANQUE FIBR ACD CLORU FERRI - TRAT PRIM</v>
      </c>
      <c r="F116" s="5">
        <f ca="1">IFERROR(__xludf.DUMMYFUNCTION("""COMPUTED_VALUE"""),32892)</f>
        <v>32892</v>
      </c>
      <c r="G116" s="5" t="str">
        <f ca="1">IFERROR(__xludf.DUMMYFUNCTION("""COMPUTED_VALUE"""),"PLAN MTTO MEC TANQUE FIBR ACD CLORU FERR")</f>
        <v>PLAN MTTO MEC TANQUE FIBR ACD CLORU FERR</v>
      </c>
      <c r="H116" s="5">
        <f ca="1">IFERROR(__xludf.DUMMYFUNCTION("""COMPUTED_VALUE"""),13207489)</f>
        <v>13207489</v>
      </c>
      <c r="I116" s="5" t="str">
        <f ca="1">IFERROR(__xludf.DUMMYFUNCTION("""COMPUTED_VALUE"""),"REVISION BOMBA DOSIFICADORA")</f>
        <v>REVISION BOMBA DOSIFICADORA</v>
      </c>
      <c r="J116" s="5" t="str">
        <f ca="1">IFERROR(__xludf.DUMMYFUNCTION("""COMPUTED_VALUE"""),"ALTO")</f>
        <v>ALTO</v>
      </c>
      <c r="K116" s="5" t="str">
        <f ca="1">IFERROR(__xludf.DUMMYFUNCTION("""COMPUTED_VALUE"""),"Preventivo")</f>
        <v>Preventivo</v>
      </c>
      <c r="L116" s="5" t="str">
        <f ca="1">IFERROR(__xludf.DUMMYFUNCTION("""COMPUTED_VALUE"""),"Maquinaria")</f>
        <v>Maquinaria</v>
      </c>
      <c r="M116" s="5" t="str">
        <f ca="1">IFERROR(__xludf.DUMMYFUNCTION("""COMPUTED_VALUE"""),"No")</f>
        <v>No</v>
      </c>
      <c r="N116" s="5"/>
      <c r="O116" s="5"/>
      <c r="P116" s="18">
        <f ca="1">IFERROR(__xludf.DUMMYFUNCTION("""COMPUTED_VALUE"""),45344)</f>
        <v>45344</v>
      </c>
      <c r="Q116" s="18">
        <f ca="1">IFERROR(__xludf.DUMMYFUNCTION("""COMPUTED_VALUE"""),45344)</f>
        <v>45344</v>
      </c>
      <c r="R116" s="18"/>
      <c r="S116" s="5">
        <f ca="1">IFERROR(__xludf.DUMMYFUNCTION("""COMPUTED_VALUE"""),1)</f>
        <v>1</v>
      </c>
      <c r="T116" s="5"/>
      <c r="U116" s="5" t="str">
        <f ca="1">IFERROR(__xludf.DUMMYFUNCTION("""COMPUTED_VALUE"""),"Guzman Palechor Miguel Angel")</f>
        <v>Guzman Palechor Miguel Angel</v>
      </c>
      <c r="V116" s="5"/>
      <c r="W116" s="5" t="str">
        <f ca="1">IFERROR(__xludf.DUMMYFUNCTION("""COMPUTED_VALUE"""),"tOlx0-uIlGk")</f>
        <v>tOlx0-uIlGk</v>
      </c>
      <c r="X116" s="5">
        <f ca="1">IFERROR(__xludf.DUMMYFUNCTION("""COMPUTED_VALUE"""),1)</f>
        <v>1</v>
      </c>
      <c r="Y116" s="5" t="str">
        <f t="shared" si="0"/>
        <v>Actividad sin realizar</v>
      </c>
      <c r="Z116" s="3">
        <f ca="1">IFERROR(VLOOKUP(U116, 'Base de datos'!A:B, 2, FALSE), "")</f>
        <v>573112422176</v>
      </c>
      <c r="AA116" s="4" t="e">
        <f t="shared" ca="1" si="1"/>
        <v>#NAME?</v>
      </c>
    </row>
    <row r="117" spans="1:27" ht="15.75" customHeight="1">
      <c r="A117" s="5" t="str">
        <f ca="1">IFERROR(__xludf.DUMMYFUNCTION("""COMPUTED_VALUE"""),"POSTOBÓN YUMBO")</f>
        <v>POSTOBÓN YUMBO</v>
      </c>
      <c r="B117" s="5" t="str">
        <f ca="1">IFERROR(__xludf.DUMMYFUNCTION("""COMPUTED_VALUE"""),"0410-PLANTA DE AGUA ENVASADO")</f>
        <v>0410-PLANTA DE AGUA ENVASADO</v>
      </c>
      <c r="C117" s="5" t="str">
        <f ca="1">IFERROR(__xludf.DUMMYFUNCTION("""COMPUTED_VALUE"""),"TRATAMIENTO DE AGUA PARA ENVASADO")</f>
        <v>TRATAMIENTO DE AGUA PARA ENVASADO</v>
      </c>
      <c r="D117" s="5">
        <f ca="1">IFERROR(__xludf.DUMMYFUNCTION("""COMPUTED_VALUE"""),70948949)</f>
        <v>70948949</v>
      </c>
      <c r="E117" s="5" t="str">
        <f ca="1">IFERROR(__xludf.DUMMYFUNCTION("""COMPUTED_VALUE"""),"TANQUE FIBR ACD CLORU FERRI - TRAT PRIM")</f>
        <v>TANQUE FIBR ACD CLORU FERRI - TRAT PRIM</v>
      </c>
      <c r="F117" s="5">
        <f ca="1">IFERROR(__xludf.DUMMYFUNCTION("""COMPUTED_VALUE"""),32892)</f>
        <v>32892</v>
      </c>
      <c r="G117" s="5" t="str">
        <f ca="1">IFERROR(__xludf.DUMMYFUNCTION("""COMPUTED_VALUE"""),"PLAN MTTO ELE TANQUE FIBR ACD CLORU FERR")</f>
        <v>PLAN MTTO ELE TANQUE FIBR ACD CLORU FERR</v>
      </c>
      <c r="H117" s="5">
        <f ca="1">IFERROR(__xludf.DUMMYFUNCTION("""COMPUTED_VALUE"""),13207490)</f>
        <v>13207490</v>
      </c>
      <c r="I117" s="5" t="str">
        <f ca="1">IFERROR(__xludf.DUMMYFUNCTION("""COMPUTED_VALUE"""),"VERIFICAR CONEXIONES ELECTRICAS")</f>
        <v>VERIFICAR CONEXIONES ELECTRICAS</v>
      </c>
      <c r="J117" s="5" t="str">
        <f ca="1">IFERROR(__xludf.DUMMYFUNCTION("""COMPUTED_VALUE"""),"ALTO")</f>
        <v>ALTO</v>
      </c>
      <c r="K117" s="5" t="str">
        <f ca="1">IFERROR(__xludf.DUMMYFUNCTION("""COMPUTED_VALUE"""),"Preventivo")</f>
        <v>Preventivo</v>
      </c>
      <c r="L117" s="5" t="str">
        <f ca="1">IFERROR(__xludf.DUMMYFUNCTION("""COMPUTED_VALUE"""),"Maquinaria")</f>
        <v>Maquinaria</v>
      </c>
      <c r="M117" s="5" t="str">
        <f ca="1">IFERROR(__xludf.DUMMYFUNCTION("""COMPUTED_VALUE"""),"No")</f>
        <v>No</v>
      </c>
      <c r="N117" s="5"/>
      <c r="O117" s="5"/>
      <c r="P117" s="18">
        <f ca="1">IFERROR(__xludf.DUMMYFUNCTION("""COMPUTED_VALUE"""),45344)</f>
        <v>45344</v>
      </c>
      <c r="Q117" s="18">
        <f ca="1">IFERROR(__xludf.DUMMYFUNCTION("""COMPUTED_VALUE"""),45344)</f>
        <v>45344</v>
      </c>
      <c r="R117" s="18"/>
      <c r="S117" s="5">
        <f ca="1">IFERROR(__xludf.DUMMYFUNCTION("""COMPUTED_VALUE"""),1)</f>
        <v>1</v>
      </c>
      <c r="T117" s="5"/>
      <c r="U117" s="5" t="str">
        <f ca="1">IFERROR(__xludf.DUMMYFUNCTION("""COMPUTED_VALUE"""),"Guzman Palechor Miguel Angel")</f>
        <v>Guzman Palechor Miguel Angel</v>
      </c>
      <c r="V117" s="5"/>
      <c r="W117" s="5" t="str">
        <f ca="1">IFERROR(__xludf.DUMMYFUNCTION("""COMPUTED_VALUE"""),"2nS3R_wlatI")</f>
        <v>2nS3R_wlatI</v>
      </c>
      <c r="X117" s="5">
        <f ca="1">IFERROR(__xludf.DUMMYFUNCTION("""COMPUTED_VALUE"""),1)</f>
        <v>1</v>
      </c>
      <c r="Y117" s="5" t="str">
        <f t="shared" si="0"/>
        <v>Actividad sin realizar</v>
      </c>
      <c r="Z117" s="3">
        <f ca="1">IFERROR(VLOOKUP(U117, 'Base de datos'!A:B, 2, FALSE), "")</f>
        <v>573112422176</v>
      </c>
      <c r="AA117" s="4" t="e">
        <f t="shared" ca="1" si="1"/>
        <v>#NAME?</v>
      </c>
    </row>
    <row r="118" spans="1:27" ht="15.75" customHeight="1">
      <c r="A118" s="5" t="str">
        <f ca="1">IFERROR(__xludf.DUMMYFUNCTION("""COMPUTED_VALUE"""),"POSTOBÓN YUMBO")</f>
        <v>POSTOBÓN YUMBO</v>
      </c>
      <c r="B118" s="5" t="str">
        <f ca="1">IFERROR(__xludf.DUMMYFUNCTION("""COMPUTED_VALUE"""),"0410-PLANTA DE AGUA ENVASADO")</f>
        <v>0410-PLANTA DE AGUA ENVASADO</v>
      </c>
      <c r="C118" s="5" t="str">
        <f ca="1">IFERROR(__xludf.DUMMYFUNCTION("""COMPUTED_VALUE"""),"TRATAMIENTO DE AGUA PARA ENVASADO")</f>
        <v>TRATAMIENTO DE AGUA PARA ENVASADO</v>
      </c>
      <c r="D118" s="5">
        <f ca="1">IFERROR(__xludf.DUMMYFUNCTION("""COMPUTED_VALUE"""),70948938)</f>
        <v>70948938</v>
      </c>
      <c r="E118" s="5" t="str">
        <f ca="1">IFERROR(__xludf.DUMMYFUNCTION("""COMPUTED_VALUE"""),"TANQUE SERVICIOS GRALES AGUA AUEDUCTO")</f>
        <v>TANQUE SERVICIOS GRALES AGUA AUEDUCTO</v>
      </c>
      <c r="F118" s="5">
        <f ca="1">IFERROR(__xludf.DUMMYFUNCTION("""COMPUTED_VALUE"""),22746)</f>
        <v>22746</v>
      </c>
      <c r="G118" s="5" t="str">
        <f ca="1">IFERROR(__xludf.DUMMYFUNCTION("""COMPUTED_VALUE"""),"PLAN MTTO MEC TK SERV GRAL AGUA 70948938")</f>
        <v>PLAN MTTO MEC TK SERV GRAL AGUA 70948938</v>
      </c>
      <c r="H118" s="5">
        <f ca="1">IFERROR(__xludf.DUMMYFUNCTION("""COMPUTED_VALUE"""),13193575)</f>
        <v>13193575</v>
      </c>
      <c r="I118" s="5" t="str">
        <f ca="1">IFERROR(__xludf.DUMMYFUNCTION("""COMPUTED_VALUE"""),"ESTADO VALVULAS")</f>
        <v>ESTADO VALVULAS</v>
      </c>
      <c r="J118" s="5" t="str">
        <f ca="1">IFERROR(__xludf.DUMMYFUNCTION("""COMPUTED_VALUE"""),"ALTO")</f>
        <v>ALTO</v>
      </c>
      <c r="K118" s="5" t="str">
        <f ca="1">IFERROR(__xludf.DUMMYFUNCTION("""COMPUTED_VALUE"""),"Preventivo")</f>
        <v>Preventivo</v>
      </c>
      <c r="L118" s="5" t="str">
        <f ca="1">IFERROR(__xludf.DUMMYFUNCTION("""COMPUTED_VALUE"""),"Maquinaria")</f>
        <v>Maquinaria</v>
      </c>
      <c r="M118" s="5" t="str">
        <f ca="1">IFERROR(__xludf.DUMMYFUNCTION("""COMPUTED_VALUE"""),"No")</f>
        <v>No</v>
      </c>
      <c r="N118" s="5"/>
      <c r="O118" s="5"/>
      <c r="P118" s="18">
        <f ca="1">IFERROR(__xludf.DUMMYFUNCTION("""COMPUTED_VALUE"""),45340)</f>
        <v>45340</v>
      </c>
      <c r="Q118" s="18">
        <f ca="1">IFERROR(__xludf.DUMMYFUNCTION("""COMPUTED_VALUE"""),45340)</f>
        <v>45340</v>
      </c>
      <c r="R118" s="18"/>
      <c r="S118" s="5">
        <f ca="1">IFERROR(__xludf.DUMMYFUNCTION("""COMPUTED_VALUE"""),1)</f>
        <v>1</v>
      </c>
      <c r="T118" s="5"/>
      <c r="U118" s="5" t="str">
        <f ca="1">IFERROR(__xludf.DUMMYFUNCTION("""COMPUTED_VALUE"""),"PAPAMIJA GUIDO")</f>
        <v>PAPAMIJA GUIDO</v>
      </c>
      <c r="V118" s="5"/>
      <c r="W118" s="5" t="str">
        <f ca="1">IFERROR(__xludf.DUMMYFUNCTION("""COMPUTED_VALUE"""),"rlNkMocnRWs")</f>
        <v>rlNkMocnRWs</v>
      </c>
      <c r="X118" s="5">
        <f ca="1">IFERROR(__xludf.DUMMYFUNCTION("""COMPUTED_VALUE"""),1)</f>
        <v>1</v>
      </c>
      <c r="Y118" s="5" t="str">
        <f t="shared" si="0"/>
        <v>Actividad sin realizar</v>
      </c>
      <c r="Z118" s="3">
        <f ca="1">IFERROR(VLOOKUP(U118, 'Base de datos'!A:B, 2, FALSE), "")</f>
        <v>573156712311</v>
      </c>
      <c r="AA118" s="4" t="e">
        <f t="shared" ca="1" si="1"/>
        <v>#NAME?</v>
      </c>
    </row>
    <row r="119" spans="1:27" ht="15.75" customHeight="1">
      <c r="A119" s="5" t="str">
        <f ca="1">IFERROR(__xludf.DUMMYFUNCTION("""COMPUTED_VALUE"""),"POSTOBÓN YUMBO")</f>
        <v>POSTOBÓN YUMBO</v>
      </c>
      <c r="B119" s="5" t="str">
        <f ca="1">IFERROR(__xludf.DUMMYFUNCTION("""COMPUTED_VALUE"""),"0410-SUBESTACION ELECTRICA")</f>
        <v>0410-SUBESTACION ELECTRICA</v>
      </c>
      <c r="C119" s="5" t="str">
        <f ca="1">IFERROR(__xludf.DUMMYFUNCTION("""COMPUTED_VALUE"""),"EQUIPOS ALTA Y BAJA TENSION ELECTRICA")</f>
        <v>EQUIPOS ALTA Y BAJA TENSION ELECTRICA</v>
      </c>
      <c r="D119" s="5">
        <f ca="1">IFERROR(__xludf.DUMMYFUNCTION("""COMPUTED_VALUE"""),74928616)</f>
        <v>74928616</v>
      </c>
      <c r="E119" s="5" t="str">
        <f ca="1">IFERROR(__xludf.DUMMYFUNCTION("""COMPUTED_VALUE"""),"TABL. OPTIMIZACION ENERGIA")</f>
        <v>TABL. OPTIMIZACION ENERGIA</v>
      </c>
      <c r="F119" s="5">
        <f ca="1">IFERROR(__xludf.DUMMYFUNCTION("""COMPUTED_VALUE"""),22490)</f>
        <v>22490</v>
      </c>
      <c r="G119" s="5" t="str">
        <f ca="1">IFERROR(__xludf.DUMMYFUNCTION("""COMPUTED_VALUE"""),"PLAN MTTO CELDA BAJA TDP-3 74928616")</f>
        <v>PLAN MTTO CELDA BAJA TDP-3 74928616</v>
      </c>
      <c r="H119" s="5">
        <f ca="1">IFERROR(__xludf.DUMMYFUNCTION("""COMPUTED_VALUE"""),13247192)</f>
        <v>13247192</v>
      </c>
      <c r="I119" s="5" t="str">
        <f ca="1">IFERROR(__xludf.DUMMYFUNCTION("""COMPUTED_VALUE"""),"REVISION BATERIAS: LIMPIEZA Y AJUSTE BOR")</f>
        <v>REVISION BATERIAS: LIMPIEZA Y AJUSTE BOR</v>
      </c>
      <c r="J119" s="5" t="str">
        <f ca="1">IFERROR(__xludf.DUMMYFUNCTION("""COMPUTED_VALUE"""),"ALTO")</f>
        <v>ALTO</v>
      </c>
      <c r="K119" s="5" t="str">
        <f ca="1">IFERROR(__xludf.DUMMYFUNCTION("""COMPUTED_VALUE"""),"Preventivo")</f>
        <v>Preventivo</v>
      </c>
      <c r="L119" s="5" t="str">
        <f ca="1">IFERROR(__xludf.DUMMYFUNCTION("""COMPUTED_VALUE"""),"Maquinaria")</f>
        <v>Maquinaria</v>
      </c>
      <c r="M119" s="5" t="str">
        <f ca="1">IFERROR(__xludf.DUMMYFUNCTION("""COMPUTED_VALUE"""),"No")</f>
        <v>No</v>
      </c>
      <c r="N119" s="5"/>
      <c r="O119" s="5">
        <f ca="1">IFERROR(__xludf.DUMMYFUNCTION("""COMPUTED_VALUE"""),100)</f>
        <v>100</v>
      </c>
      <c r="P119" s="18">
        <f ca="1">IFERROR(__xludf.DUMMYFUNCTION("""COMPUTED_VALUE"""),45347)</f>
        <v>45347</v>
      </c>
      <c r="Q119" s="18">
        <f ca="1">IFERROR(__xludf.DUMMYFUNCTION("""COMPUTED_VALUE"""),45347)</f>
        <v>45347</v>
      </c>
      <c r="R119" s="18"/>
      <c r="S119" s="5">
        <f ca="1">IFERROR(__xludf.DUMMYFUNCTION("""COMPUTED_VALUE"""),2)</f>
        <v>2</v>
      </c>
      <c r="T119" s="5"/>
      <c r="U119" s="5" t="str">
        <f ca="1">IFERROR(__xludf.DUMMYFUNCTION("""COMPUTED_VALUE"""),"MUÑOZ VALENCIA JEFFERSON")</f>
        <v>MUÑOZ VALENCIA JEFFERSON</v>
      </c>
      <c r="V119" s="5"/>
      <c r="W119" s="5" t="str">
        <f ca="1">IFERROR(__xludf.DUMMYFUNCTION("""COMPUTED_VALUE"""),"kplgER1zyg0")</f>
        <v>kplgER1zyg0</v>
      </c>
      <c r="X119" s="5">
        <f ca="1">IFERROR(__xludf.DUMMYFUNCTION("""COMPUTED_VALUE"""),2)</f>
        <v>2</v>
      </c>
      <c r="Y119" s="5" t="str">
        <f t="shared" ca="1" si="0"/>
        <v>Actividad realizada</v>
      </c>
      <c r="Z119" s="3">
        <f ca="1">IFERROR(VLOOKUP(U119, 'Base de datos'!A:B, 2, FALSE), "")</f>
        <v>573122261803</v>
      </c>
      <c r="AA119" s="4" t="e">
        <f t="shared" ca="1" si="1"/>
        <v>#NAME?</v>
      </c>
    </row>
    <row r="120" spans="1:27" ht="15.75" customHeight="1">
      <c r="A120" s="5" t="str">
        <f ca="1">IFERROR(__xludf.DUMMYFUNCTION("""COMPUTED_VALUE"""),"POSTOBÓN YUMBO")</f>
        <v>POSTOBÓN YUMBO</v>
      </c>
      <c r="B120" s="5" t="str">
        <f ca="1">IFERROR(__xludf.DUMMYFUNCTION("""COMPUTED_VALUE"""),"0410-ENVASADO JUGOS PET HOT F")</f>
        <v>0410-ENVASADO JUGOS PET HOT F</v>
      </c>
      <c r="C120" s="5" t="str">
        <f ca="1">IFERROR(__xludf.DUMMYFUNCTION("""COMPUTED_VALUE"""),"LINEA DE ENVASADO JUGOS PET HOT FILL")</f>
        <v>LINEA DE ENVASADO JUGOS PET HOT FILL</v>
      </c>
      <c r="D120" s="5">
        <f ca="1">IFERROR(__xludf.DUMMYFUNCTION("""COMPUTED_VALUE"""),599566)</f>
        <v>599566</v>
      </c>
      <c r="E120" s="5" t="str">
        <f ca="1">IFERROR(__xludf.DUMMYFUNCTION("""COMPUTED_VALUE"""),"INSPECTOR DE BOTELLA LLENA")</f>
        <v>INSPECTOR DE BOTELLA LLENA</v>
      </c>
      <c r="F120" s="5">
        <f ca="1">IFERROR(__xludf.DUMMYFUNCTION("""COMPUTED_VALUE"""),14082)</f>
        <v>14082</v>
      </c>
      <c r="G120" s="5" t="str">
        <f ca="1">IFERROR(__xludf.DUMMYFUNCTION("""COMPUTED_VALUE"""),"PLAN DE MTTO CHECKMAT L8")</f>
        <v>PLAN DE MTTO CHECKMAT L8</v>
      </c>
      <c r="H120" s="5">
        <f ca="1">IFERROR(__xludf.DUMMYFUNCTION("""COMPUTED_VALUE"""),13247134)</f>
        <v>13247134</v>
      </c>
      <c r="I120" s="5" t="str">
        <f ca="1">IFERROR(__xludf.DUMMYFUNCTION("""COMPUTED_VALUE"""),"Unidad de mantenimiento:")</f>
        <v>Unidad de mantenimiento:</v>
      </c>
      <c r="J120" s="5" t="str">
        <f ca="1">IFERROR(__xludf.DUMMYFUNCTION("""COMPUTED_VALUE"""),"ALTO")</f>
        <v>ALTO</v>
      </c>
      <c r="K120" s="5" t="str">
        <f ca="1">IFERROR(__xludf.DUMMYFUNCTION("""COMPUTED_VALUE"""),"Preventivo")</f>
        <v>Preventivo</v>
      </c>
      <c r="L120" s="5" t="str">
        <f ca="1">IFERROR(__xludf.DUMMYFUNCTION("""COMPUTED_VALUE"""),"Maquinaria")</f>
        <v>Maquinaria</v>
      </c>
      <c r="M120" s="5" t="str">
        <f ca="1">IFERROR(__xludf.DUMMYFUNCTION("""COMPUTED_VALUE"""),"No")</f>
        <v>No</v>
      </c>
      <c r="N120" s="5"/>
      <c r="O120" s="5"/>
      <c r="P120" s="18">
        <f ca="1">IFERROR(__xludf.DUMMYFUNCTION("""COMPUTED_VALUE"""),45340)</f>
        <v>45340</v>
      </c>
      <c r="Q120" s="18">
        <f ca="1">IFERROR(__xludf.DUMMYFUNCTION("""COMPUTED_VALUE"""),45340)</f>
        <v>45340</v>
      </c>
      <c r="R120" s="18"/>
      <c r="S120" s="5">
        <f ca="1">IFERROR(__xludf.DUMMYFUNCTION("""COMPUTED_VALUE"""),1)</f>
        <v>1</v>
      </c>
      <c r="T120" s="5"/>
      <c r="U120" s="5" t="str">
        <f ca="1">IFERROR(__xludf.DUMMYFUNCTION("""COMPUTED_VALUE"""),"Bedoya Marin Johan Andres")</f>
        <v>Bedoya Marin Johan Andres</v>
      </c>
      <c r="V120" s="5"/>
      <c r="W120" s="5" t="str">
        <f ca="1">IFERROR(__xludf.DUMMYFUNCTION("""COMPUTED_VALUE"""),"4a_IZWFVTIQ")</f>
        <v>4a_IZWFVTIQ</v>
      </c>
      <c r="X120" s="5">
        <f ca="1">IFERROR(__xludf.DUMMYFUNCTION("""COMPUTED_VALUE"""),1)</f>
        <v>1</v>
      </c>
      <c r="Y120" s="5" t="str">
        <f t="shared" si="0"/>
        <v>Actividad sin realizar</v>
      </c>
      <c r="Z120" s="3">
        <f ca="1">IFERROR(VLOOKUP(U120, 'Base de datos'!A:B, 2, FALSE), "")</f>
        <v>573147103334</v>
      </c>
      <c r="AA120" s="4" t="e">
        <f t="shared" ca="1" si="1"/>
        <v>#NAME?</v>
      </c>
    </row>
    <row r="121" spans="1:27" ht="15.75" customHeight="1">
      <c r="A121" s="5" t="str">
        <f ca="1">IFERROR(__xludf.DUMMYFUNCTION("""COMPUTED_VALUE"""),"POSTOBÓN YUMBO")</f>
        <v>POSTOBÓN YUMBO</v>
      </c>
      <c r="B121" s="5" t="str">
        <f ca="1">IFERROR(__xludf.DUMMYFUNCTION("""COMPUTED_VALUE"""),"0410-LINEA 1")</f>
        <v>0410-LINEA 1</v>
      </c>
      <c r="C121" s="5" t="str">
        <f ca="1">IFERROR(__xludf.DUMMYFUNCTION("""COMPUTED_VALUE"""),"LINEA DE ENVASADO PET NO RETORNABLE")</f>
        <v>LINEA DE ENVASADO PET NO RETORNABLE</v>
      </c>
      <c r="D121" s="5">
        <f ca="1">IFERROR(__xludf.DUMMYFUNCTION("""COMPUTED_VALUE"""),820071)</f>
        <v>820071</v>
      </c>
      <c r="E121" s="5" t="str">
        <f ca="1">IFERROR(__xludf.DUMMYFUNCTION("""COMPUTED_VALUE"""),"ETIQUETADORA")</f>
        <v>ETIQUETADORA</v>
      </c>
      <c r="F121" s="5">
        <f ca="1">IFERROR(__xludf.DUMMYFUNCTION("""COMPUTED_VALUE"""),14083)</f>
        <v>14083</v>
      </c>
      <c r="G121" s="5" t="str">
        <f ca="1">IFERROR(__xludf.DUMMYFUNCTION("""COMPUTED_VALUE"""),"MTTO LUB ETIQUETADORA L1 820071")</f>
        <v>MTTO LUB ETIQUETADORA L1 820071</v>
      </c>
      <c r="H121" s="5">
        <f ca="1">IFERROR(__xludf.DUMMYFUNCTION("""COMPUTED_VALUE"""),13238375)</f>
        <v>13238375</v>
      </c>
      <c r="I121" s="5" t="str">
        <f ca="1">IFERROR(__xludf.DUMMYFUNCTION("""COMPUTED_VALUE"""),"Sistema de lubricaci¢n")</f>
        <v>Sistema de lubricaci¢n</v>
      </c>
      <c r="J121" s="5" t="str">
        <f ca="1">IFERROR(__xludf.DUMMYFUNCTION("""COMPUTED_VALUE"""),"MEDIO")</f>
        <v>MEDIO</v>
      </c>
      <c r="K121" s="5" t="str">
        <f ca="1">IFERROR(__xludf.DUMMYFUNCTION("""COMPUTED_VALUE"""),"Preventivo")</f>
        <v>Preventivo</v>
      </c>
      <c r="L121" s="5" t="str">
        <f ca="1">IFERROR(__xludf.DUMMYFUNCTION("""COMPUTED_VALUE"""),"Maquinaria")</f>
        <v>Maquinaria</v>
      </c>
      <c r="M121" s="5" t="str">
        <f ca="1">IFERROR(__xludf.DUMMYFUNCTION("""COMPUTED_VALUE"""),"No")</f>
        <v>No</v>
      </c>
      <c r="N121" s="5"/>
      <c r="O121" s="5"/>
      <c r="P121" s="18">
        <f ca="1">IFERROR(__xludf.DUMMYFUNCTION("""COMPUTED_VALUE"""),45336)</f>
        <v>45336</v>
      </c>
      <c r="Q121" s="18">
        <f ca="1">IFERROR(__xludf.DUMMYFUNCTION("""COMPUTED_VALUE"""),45336)</f>
        <v>45336</v>
      </c>
      <c r="R121" s="18"/>
      <c r="S121" s="5">
        <f ca="1">IFERROR(__xludf.DUMMYFUNCTION("""COMPUTED_VALUE"""),0.5)</f>
        <v>0.5</v>
      </c>
      <c r="T121" s="5"/>
      <c r="U121" s="5" t="str">
        <f ca="1">IFERROR(__xludf.DUMMYFUNCTION("""COMPUTED_VALUE"""),"Sanchez Rodriguez Gerson Andres")</f>
        <v>Sanchez Rodriguez Gerson Andres</v>
      </c>
      <c r="V121" s="5"/>
      <c r="W121" s="5" t="str">
        <f ca="1">IFERROR(__xludf.DUMMYFUNCTION("""COMPUTED_VALUE"""),"Pt_AbSiQ0GU")</f>
        <v>Pt_AbSiQ0GU</v>
      </c>
      <c r="X121" s="5">
        <f ca="1">IFERROR(__xludf.DUMMYFUNCTION("""COMPUTED_VALUE"""),0.5)</f>
        <v>0.5</v>
      </c>
      <c r="Y121" s="5" t="str">
        <f t="shared" si="0"/>
        <v>Actividad sin realizar</v>
      </c>
      <c r="Z121" s="3">
        <f ca="1">IFERROR(VLOOKUP(U121, 'Base de datos'!A:B, 2, FALSE), "")</f>
        <v>573112884549</v>
      </c>
      <c r="AA121" s="4" t="e">
        <f t="shared" ca="1" si="1"/>
        <v>#NAME?</v>
      </c>
    </row>
    <row r="122" spans="1:27" ht="15.75" customHeight="1">
      <c r="A122" s="5" t="str">
        <f ca="1">IFERROR(__xludf.DUMMYFUNCTION("""COMPUTED_VALUE"""),"POSTOBÓN YUMBO")</f>
        <v>POSTOBÓN YUMBO</v>
      </c>
      <c r="B122" s="5" t="str">
        <f ca="1">IFERROR(__xludf.DUMMYFUNCTION("""COMPUTED_VALUE"""),"0410-LINEA 3")</f>
        <v>0410-LINEA 3</v>
      </c>
      <c r="C122" s="5" t="str">
        <f ca="1">IFERROR(__xludf.DUMMYFUNCTION("""COMPUTED_VALUE"""),"LINEA DE ENVASADO TAMAÑO PERSONAL")</f>
        <v>LINEA DE ENVASADO TAMAÑO PERSONAL</v>
      </c>
      <c r="D122" s="5">
        <f ca="1">IFERROR(__xludf.DUMMYFUNCTION("""COMPUTED_VALUE"""),900235)</f>
        <v>900235</v>
      </c>
      <c r="E122" s="5" t="str">
        <f ca="1">IFERROR(__xludf.DUMMYFUNCTION("""COMPUTED_VALUE"""),"PROCESADOR DE BEBIDA")</f>
        <v>PROCESADOR DE BEBIDA</v>
      </c>
      <c r="F122" s="5">
        <f ca="1">IFERROR(__xludf.DUMMYFUNCTION("""COMPUTED_VALUE"""),17381)</f>
        <v>17381</v>
      </c>
      <c r="G122" s="5" t="str">
        <f ca="1">IFERROR(__xludf.DUMMYFUNCTION("""COMPUTED_VALUE"""),"MTTO MEC CONTIFLOW L3 900235")</f>
        <v>MTTO MEC CONTIFLOW L3 900235</v>
      </c>
      <c r="H122" s="5">
        <f ca="1">IFERROR(__xludf.DUMMYFUNCTION("""COMPUTED_VALUE"""),13247176)</f>
        <v>13247176</v>
      </c>
      <c r="I122" s="5" t="str">
        <f ca="1">IFERROR(__xludf.DUMMYFUNCTION("""COMPUTED_VALUE"""),"ANTON PAAR - dentro de la cubierta de ac")</f>
        <v>ANTON PAAR - dentro de la cubierta de ac</v>
      </c>
      <c r="J122" s="5" t="str">
        <f ca="1">IFERROR(__xludf.DUMMYFUNCTION("""COMPUTED_VALUE"""),"ALTO")</f>
        <v>ALTO</v>
      </c>
      <c r="K122" s="5" t="str">
        <f ca="1">IFERROR(__xludf.DUMMYFUNCTION("""COMPUTED_VALUE"""),"Preventivo")</f>
        <v>Preventivo</v>
      </c>
      <c r="L122" s="5" t="str">
        <f ca="1">IFERROR(__xludf.DUMMYFUNCTION("""COMPUTED_VALUE"""),"Maquinaria")</f>
        <v>Maquinaria</v>
      </c>
      <c r="M122" s="5" t="str">
        <f ca="1">IFERROR(__xludf.DUMMYFUNCTION("""COMPUTED_VALUE"""),"No")</f>
        <v>No</v>
      </c>
      <c r="N122" s="5"/>
      <c r="O122" s="5"/>
      <c r="P122" s="18">
        <f ca="1">IFERROR(__xludf.DUMMYFUNCTION("""COMPUTED_VALUE"""),45324)</f>
        <v>45324</v>
      </c>
      <c r="Q122" s="18">
        <f ca="1">IFERROR(__xludf.DUMMYFUNCTION("""COMPUTED_VALUE"""),45324)</f>
        <v>45324</v>
      </c>
      <c r="R122" s="18"/>
      <c r="S122" s="5">
        <f ca="1">IFERROR(__xludf.DUMMYFUNCTION("""COMPUTED_VALUE"""),1)</f>
        <v>1</v>
      </c>
      <c r="T122" s="5"/>
      <c r="U122" s="5" t="str">
        <f ca="1">IFERROR(__xludf.DUMMYFUNCTION("""COMPUTED_VALUE"""),"Paz Paz Jhon Estiven")</f>
        <v>Paz Paz Jhon Estiven</v>
      </c>
      <c r="V122" s="5"/>
      <c r="W122" s="5" t="str">
        <f ca="1">IFERROR(__xludf.DUMMYFUNCTION("""COMPUTED_VALUE"""),"Zlm6d_tU5TQ")</f>
        <v>Zlm6d_tU5TQ</v>
      </c>
      <c r="X122" s="5">
        <f ca="1">IFERROR(__xludf.DUMMYFUNCTION("""COMPUTED_VALUE"""),1)</f>
        <v>1</v>
      </c>
      <c r="Y122" s="5" t="str">
        <f t="shared" si="0"/>
        <v>Actividad sin realizar</v>
      </c>
      <c r="Z122" s="3">
        <f ca="1">IFERROR(VLOOKUP(U122, 'Base de datos'!A:B, 2, FALSE), "")</f>
        <v>573117137924</v>
      </c>
      <c r="AA122" s="4" t="e">
        <f t="shared" ca="1" si="1"/>
        <v>#NAME?</v>
      </c>
    </row>
    <row r="123" spans="1:27" ht="15.75" customHeight="1">
      <c r="A123" s="5" t="str">
        <f ca="1">IFERROR(__xludf.DUMMYFUNCTION("""COMPUTED_VALUE"""),"POSTOBÓN YUMBO")</f>
        <v>POSTOBÓN YUMBO</v>
      </c>
      <c r="B123" s="5" t="str">
        <f ca="1">IFERROR(__xludf.DUMMYFUNCTION("""COMPUTED_VALUE"""),"0410-ENVASADO JUGOS PET HOT F")</f>
        <v>0410-ENVASADO JUGOS PET HOT F</v>
      </c>
      <c r="C123" s="5" t="str">
        <f ca="1">IFERROR(__xludf.DUMMYFUNCTION("""COMPUTED_VALUE"""),"LINEA DE ENVASADO JUGOS PET HOT FILL")</f>
        <v>LINEA DE ENVASADO JUGOS PET HOT FILL</v>
      </c>
      <c r="D123" s="5">
        <f ca="1">IFERROR(__xludf.DUMMYFUNCTION("""COMPUTED_VALUE"""),90030304)</f>
        <v>90030304</v>
      </c>
      <c r="E123" s="5" t="str">
        <f ca="1">IFERROR(__xludf.DUMMYFUNCTION("""COMPUTED_VALUE"""),"SISTEMA INYECCIÓN DE NITRÓGENO")</f>
        <v>SISTEMA INYECCIÓN DE NITRÓGENO</v>
      </c>
      <c r="F123" s="5">
        <f ca="1">IFERROR(__xludf.DUMMYFUNCTION("""COMPUTED_VALUE"""),22582)</f>
        <v>22582</v>
      </c>
      <c r="G123" s="5" t="str">
        <f ca="1">IFERROR(__xludf.DUMMYFUNCTION("""COMPUTED_VALUE"""),"PLAN MTTO MEC INYECCIÓN NITR 90030304")</f>
        <v>PLAN MTTO MEC INYECCIÓN NITR 90030304</v>
      </c>
      <c r="H123" s="5">
        <f ca="1">IFERROR(__xludf.DUMMYFUNCTION("""COMPUTED_VALUE"""),13247207)</f>
        <v>13247207</v>
      </c>
      <c r="I123" s="5" t="str">
        <f ca="1">IFERROR(__xludf.DUMMYFUNCTION("""COMPUTED_VALUE"""),"Realizar purga a Dosificador nitrogeno:C")</f>
        <v>Realizar purga a Dosificador nitrogeno:C</v>
      </c>
      <c r="J123" s="5" t="str">
        <f ca="1">IFERROR(__xludf.DUMMYFUNCTION("""COMPUTED_VALUE"""),"ALTO")</f>
        <v>ALTO</v>
      </c>
      <c r="K123" s="5" t="str">
        <f ca="1">IFERROR(__xludf.DUMMYFUNCTION("""COMPUTED_VALUE"""),"Preventivo")</f>
        <v>Preventivo</v>
      </c>
      <c r="L123" s="5" t="str">
        <f ca="1">IFERROR(__xludf.DUMMYFUNCTION("""COMPUTED_VALUE"""),"Maquinaria")</f>
        <v>Maquinaria</v>
      </c>
      <c r="M123" s="5" t="str">
        <f ca="1">IFERROR(__xludf.DUMMYFUNCTION("""COMPUTED_VALUE"""),"No")</f>
        <v>No</v>
      </c>
      <c r="N123" s="5"/>
      <c r="O123" s="5"/>
      <c r="P123" s="18">
        <f ca="1">IFERROR(__xludf.DUMMYFUNCTION("""COMPUTED_VALUE"""),45327)</f>
        <v>45327</v>
      </c>
      <c r="Q123" s="18">
        <f ca="1">IFERROR(__xludf.DUMMYFUNCTION("""COMPUTED_VALUE"""),45327)</f>
        <v>45327</v>
      </c>
      <c r="R123" s="18"/>
      <c r="S123" s="5">
        <f ca="1">IFERROR(__xludf.DUMMYFUNCTION("""COMPUTED_VALUE"""),2)</f>
        <v>2</v>
      </c>
      <c r="T123" s="5"/>
      <c r="U123" s="5" t="str">
        <f ca="1">IFERROR(__xludf.DUMMYFUNCTION("""COMPUTED_VALUE"""),"Jhonnys Arturo Fernández Suarez")</f>
        <v>Jhonnys Arturo Fernández Suarez</v>
      </c>
      <c r="V123" s="5"/>
      <c r="W123" s="5" t="str">
        <f ca="1">IFERROR(__xludf.DUMMYFUNCTION("""COMPUTED_VALUE"""),"svyUYXdtu-c")</f>
        <v>svyUYXdtu-c</v>
      </c>
      <c r="X123" s="5">
        <f ca="1">IFERROR(__xludf.DUMMYFUNCTION("""COMPUTED_VALUE"""),2)</f>
        <v>2</v>
      </c>
      <c r="Y123" s="5" t="str">
        <f t="shared" si="0"/>
        <v>Actividad sin realizar</v>
      </c>
      <c r="Z123" s="3">
        <f ca="1">IFERROR(VLOOKUP(U123, 'Base de datos'!A:B, 2, FALSE), "")</f>
        <v>573117998312</v>
      </c>
      <c r="AA123" s="4" t="e">
        <f t="shared" ca="1" si="1"/>
        <v>#NAME?</v>
      </c>
    </row>
    <row r="124" spans="1:27" ht="15.75" customHeight="1">
      <c r="A124" s="5" t="str">
        <f ca="1">IFERROR(__xludf.DUMMYFUNCTION("""COMPUTED_VALUE"""),"POSTOBÓN YUMBO")</f>
        <v>POSTOBÓN YUMBO</v>
      </c>
      <c r="B124" s="5" t="str">
        <f ca="1">IFERROR(__xludf.DUMMYFUNCTION("""COMPUTED_VALUE"""),"0410-LINEA 3")</f>
        <v>0410-LINEA 3</v>
      </c>
      <c r="C124" s="5" t="str">
        <f ca="1">IFERROR(__xludf.DUMMYFUNCTION("""COMPUTED_VALUE"""),"LINEA DE ENVASADO TAMAÑO PERSONAL")</f>
        <v>LINEA DE ENVASADO TAMAÑO PERSONAL</v>
      </c>
      <c r="D124" s="5">
        <f ca="1">IFERROR(__xludf.DUMMYFUNCTION("""COMPUTED_VALUE"""),900235)</f>
        <v>900235</v>
      </c>
      <c r="E124" s="5" t="str">
        <f ca="1">IFERROR(__xludf.DUMMYFUNCTION("""COMPUTED_VALUE"""),"PROCESADOR DE BEBIDA")</f>
        <v>PROCESADOR DE BEBIDA</v>
      </c>
      <c r="F124" s="5">
        <f ca="1">IFERROR(__xludf.DUMMYFUNCTION("""COMPUTED_VALUE"""),17381)</f>
        <v>17381</v>
      </c>
      <c r="G124" s="5" t="str">
        <f ca="1">IFERROR(__xludf.DUMMYFUNCTION("""COMPUTED_VALUE"""),"MTTO MEC CONTIFLOW L3 900235")</f>
        <v>MTTO MEC CONTIFLOW L3 900235</v>
      </c>
      <c r="H124" s="5">
        <f ca="1">IFERROR(__xludf.DUMMYFUNCTION("""COMPUTED_VALUE"""),13247176)</f>
        <v>13247176</v>
      </c>
      <c r="I124" s="5" t="str">
        <f ca="1">IFERROR(__xludf.DUMMYFUNCTION("""COMPUTED_VALUE"""),"Reparar fuga valvulas manual, neumatica")</f>
        <v>Reparar fuga valvulas manual, neumatica</v>
      </c>
      <c r="J124" s="5" t="str">
        <f ca="1">IFERROR(__xludf.DUMMYFUNCTION("""COMPUTED_VALUE"""),"ALTO")</f>
        <v>ALTO</v>
      </c>
      <c r="K124" s="5" t="str">
        <f ca="1">IFERROR(__xludf.DUMMYFUNCTION("""COMPUTED_VALUE"""),"Preventivo")</f>
        <v>Preventivo</v>
      </c>
      <c r="L124" s="5" t="str">
        <f ca="1">IFERROR(__xludf.DUMMYFUNCTION("""COMPUTED_VALUE"""),"Maquinaria")</f>
        <v>Maquinaria</v>
      </c>
      <c r="M124" s="5" t="str">
        <f ca="1">IFERROR(__xludf.DUMMYFUNCTION("""COMPUTED_VALUE"""),"No")</f>
        <v>No</v>
      </c>
      <c r="N124" s="5"/>
      <c r="O124" s="5"/>
      <c r="P124" s="18">
        <f ca="1">IFERROR(__xludf.DUMMYFUNCTION("""COMPUTED_VALUE"""),45324)</f>
        <v>45324</v>
      </c>
      <c r="Q124" s="18">
        <f ca="1">IFERROR(__xludf.DUMMYFUNCTION("""COMPUTED_VALUE"""),45324)</f>
        <v>45324</v>
      </c>
      <c r="R124" s="18"/>
      <c r="S124" s="5">
        <f ca="1">IFERROR(__xludf.DUMMYFUNCTION("""COMPUTED_VALUE"""),1)</f>
        <v>1</v>
      </c>
      <c r="T124" s="5"/>
      <c r="U124" s="5" t="str">
        <f ca="1">IFERROR(__xludf.DUMMYFUNCTION("""COMPUTED_VALUE"""),"Paz Paz Jhon Estiven")</f>
        <v>Paz Paz Jhon Estiven</v>
      </c>
      <c r="V124" s="5"/>
      <c r="W124" s="5" t="str">
        <f ca="1">IFERROR(__xludf.DUMMYFUNCTION("""COMPUTED_VALUE"""),"eXODPIs4aXQ")</f>
        <v>eXODPIs4aXQ</v>
      </c>
      <c r="X124" s="5">
        <f ca="1">IFERROR(__xludf.DUMMYFUNCTION("""COMPUTED_VALUE"""),1)</f>
        <v>1</v>
      </c>
      <c r="Y124" s="5" t="str">
        <f t="shared" si="0"/>
        <v>Actividad sin realizar</v>
      </c>
      <c r="Z124" s="3">
        <f ca="1">IFERROR(VLOOKUP(U124, 'Base de datos'!A:B, 2, FALSE), "")</f>
        <v>573117137924</v>
      </c>
      <c r="AA124" s="4" t="e">
        <f t="shared" ca="1" si="1"/>
        <v>#NAME?</v>
      </c>
    </row>
    <row r="125" spans="1:27" ht="15.75" customHeight="1">
      <c r="A125" s="5" t="str">
        <f ca="1">IFERROR(__xludf.DUMMYFUNCTION("""COMPUTED_VALUE"""),"POSTOBÓN YUMBO")</f>
        <v>POSTOBÓN YUMBO</v>
      </c>
      <c r="B125" s="5" t="str">
        <f ca="1">IFERROR(__xludf.DUMMYFUNCTION("""COMPUTED_VALUE"""),"0410-PLANTA DE AGUA ENVASADO")</f>
        <v>0410-PLANTA DE AGUA ENVASADO</v>
      </c>
      <c r="C125" s="5" t="str">
        <f ca="1">IFERROR(__xludf.DUMMYFUNCTION("""COMPUTED_VALUE"""),"TRATAMIENTO DE AGUA PARA ENVASADO")</f>
        <v>TRATAMIENTO DE AGUA PARA ENVASADO</v>
      </c>
      <c r="D125" s="5">
        <f ca="1">IFERROR(__xludf.DUMMYFUNCTION("""COMPUTED_VALUE"""),70948952)</f>
        <v>70948952</v>
      </c>
      <c r="E125" s="5" t="str">
        <f ca="1">IFERROR(__xludf.DUMMYFUNCTION("""COMPUTED_VALUE"""),"SISTEMA DE CAL - TRAT PRIM")</f>
        <v>SISTEMA DE CAL - TRAT PRIM</v>
      </c>
      <c r="F125" s="5">
        <f ca="1">IFERROR(__xludf.DUMMYFUNCTION("""COMPUTED_VALUE"""),32895)</f>
        <v>32895</v>
      </c>
      <c r="G125" s="5" t="str">
        <f ca="1">IFERROR(__xludf.DUMMYFUNCTION("""COMPUTED_VALUE"""),"PLAN MTTO ELE SISTEMA DE CAL - TRAT PRIM")</f>
        <v>PLAN MTTO ELE SISTEMA DE CAL - TRAT PRIM</v>
      </c>
      <c r="H125" s="5">
        <f ca="1">IFERROR(__xludf.DUMMYFUNCTION("""COMPUTED_VALUE"""),13247257)</f>
        <v>13247257</v>
      </c>
      <c r="I125" s="5" t="str">
        <f ca="1">IFERROR(__xludf.DUMMYFUNCTION("""COMPUTED_VALUE"""),"MTTO BOMBAS ENTRADA AGUA TK CAL")</f>
        <v>MTTO BOMBAS ENTRADA AGUA TK CAL</v>
      </c>
      <c r="J125" s="5" t="str">
        <f ca="1">IFERROR(__xludf.DUMMYFUNCTION("""COMPUTED_VALUE"""),"ALTO")</f>
        <v>ALTO</v>
      </c>
      <c r="K125" s="5" t="str">
        <f ca="1">IFERROR(__xludf.DUMMYFUNCTION("""COMPUTED_VALUE"""),"Preventivo")</f>
        <v>Preventivo</v>
      </c>
      <c r="L125" s="5" t="str">
        <f ca="1">IFERROR(__xludf.DUMMYFUNCTION("""COMPUTED_VALUE"""),"Maquinaria")</f>
        <v>Maquinaria</v>
      </c>
      <c r="M125" s="5" t="str">
        <f ca="1">IFERROR(__xludf.DUMMYFUNCTION("""COMPUTED_VALUE"""),"No")</f>
        <v>No</v>
      </c>
      <c r="N125" s="5"/>
      <c r="O125" s="5"/>
      <c r="P125" s="18">
        <f ca="1">IFERROR(__xludf.DUMMYFUNCTION("""COMPUTED_VALUE"""),45339)</f>
        <v>45339</v>
      </c>
      <c r="Q125" s="18">
        <f ca="1">IFERROR(__xludf.DUMMYFUNCTION("""COMPUTED_VALUE"""),45339)</f>
        <v>45339</v>
      </c>
      <c r="R125" s="18"/>
      <c r="S125" s="5">
        <f ca="1">IFERROR(__xludf.DUMMYFUNCTION("""COMPUTED_VALUE"""),1)</f>
        <v>1</v>
      </c>
      <c r="T125" s="5"/>
      <c r="U125" s="5" t="str">
        <f ca="1">IFERROR(__xludf.DUMMYFUNCTION("""COMPUTED_VALUE"""),"Guzman Palechor Miguel Angel")</f>
        <v>Guzman Palechor Miguel Angel</v>
      </c>
      <c r="V125" s="5"/>
      <c r="W125" s="5" t="str">
        <f ca="1">IFERROR(__xludf.DUMMYFUNCTION("""COMPUTED_VALUE"""),"QOPInJFwlXU")</f>
        <v>QOPInJFwlXU</v>
      </c>
      <c r="X125" s="5">
        <f ca="1">IFERROR(__xludf.DUMMYFUNCTION("""COMPUTED_VALUE"""),1)</f>
        <v>1</v>
      </c>
      <c r="Y125" s="5" t="str">
        <f t="shared" si="0"/>
        <v>Actividad sin realizar</v>
      </c>
      <c r="Z125" s="3">
        <f ca="1">IFERROR(VLOOKUP(U125, 'Base de datos'!A:B, 2, FALSE), "")</f>
        <v>573112422176</v>
      </c>
      <c r="AA125" s="4" t="e">
        <f t="shared" ca="1" si="1"/>
        <v>#NAME?</v>
      </c>
    </row>
    <row r="126" spans="1:27" ht="15.75" customHeight="1">
      <c r="A126" s="5" t="str">
        <f ca="1">IFERROR(__xludf.DUMMYFUNCTION("""COMPUTED_VALUE"""),"POSTOBÓN YUMBO")</f>
        <v>POSTOBÓN YUMBO</v>
      </c>
      <c r="B126" s="5" t="str">
        <f ca="1">IFERROR(__xludf.DUMMYFUNCTION("""COMPUTED_VALUE"""),"0410-EQUIPOS AUXILIARES JUGOS")</f>
        <v>0410-EQUIPOS AUXILIARES JUGOS</v>
      </c>
      <c r="C126" s="5" t="str">
        <f ca="1">IFERROR(__xludf.DUMMYFUNCTION("""COMPUTED_VALUE"""),"EQUIPOS PARA SERVICIOS INDUSTRIALES JUGO")</f>
        <v>EQUIPOS PARA SERVICIOS INDUSTRIALES JUGO</v>
      </c>
      <c r="D126" s="5">
        <f ca="1">IFERROR(__xludf.DUMMYFUNCTION("""COMPUTED_VALUE"""),638563)</f>
        <v>638563</v>
      </c>
      <c r="E126" s="5" t="str">
        <f ca="1">IFERROR(__xludf.DUMMYFUNCTION("""COMPUTED_VALUE"""),"CONDENSADOR EVAPORATIIVO JUGOS")</f>
        <v>CONDENSADOR EVAPORATIIVO JUGOS</v>
      </c>
      <c r="F126" s="5">
        <f ca="1">IFERROR(__xludf.DUMMYFUNCTION("""COMPUTED_VALUE"""),21702)</f>
        <v>21702</v>
      </c>
      <c r="G126" s="5" t="str">
        <f ca="1">IFERROR(__xludf.DUMMYFUNCTION("""COMPUTED_VALUE"""),"PLAN MTTO MEC CONDENSADOR EVAP JUGOS")</f>
        <v>PLAN MTTO MEC CONDENSADOR EVAP JUGOS</v>
      </c>
      <c r="H126" s="5">
        <f ca="1">IFERROR(__xludf.DUMMYFUNCTION("""COMPUTED_VALUE"""),13193545)</f>
        <v>13193545</v>
      </c>
      <c r="I126" s="5" t="str">
        <f ca="1">IFERROR(__xludf.DUMMYFUNCTION("""COMPUTED_VALUE"""),"Limpiar filtros succión bomba de agua")</f>
        <v>Limpiar filtros succión bomba de agua</v>
      </c>
      <c r="J126" s="5" t="str">
        <f ca="1">IFERROR(__xludf.DUMMYFUNCTION("""COMPUTED_VALUE"""),"MEDIO")</f>
        <v>MEDIO</v>
      </c>
      <c r="K126" s="5" t="str">
        <f ca="1">IFERROR(__xludf.DUMMYFUNCTION("""COMPUTED_VALUE"""),"Preventivo")</f>
        <v>Preventivo</v>
      </c>
      <c r="L126" s="5" t="str">
        <f ca="1">IFERROR(__xludf.DUMMYFUNCTION("""COMPUTED_VALUE"""),"Maquinaria")</f>
        <v>Maquinaria</v>
      </c>
      <c r="M126" s="5" t="str">
        <f ca="1">IFERROR(__xludf.DUMMYFUNCTION("""COMPUTED_VALUE"""),"No")</f>
        <v>No</v>
      </c>
      <c r="N126" s="5"/>
      <c r="O126" s="5"/>
      <c r="P126" s="18">
        <f ca="1">IFERROR(__xludf.DUMMYFUNCTION("""COMPUTED_VALUE"""),45326)</f>
        <v>45326</v>
      </c>
      <c r="Q126" s="18">
        <f ca="1">IFERROR(__xludf.DUMMYFUNCTION("""COMPUTED_VALUE"""),45326)</f>
        <v>45326</v>
      </c>
      <c r="R126" s="18"/>
      <c r="S126" s="5">
        <f ca="1">IFERROR(__xludf.DUMMYFUNCTION("""COMPUTED_VALUE"""),1)</f>
        <v>1</v>
      </c>
      <c r="T126" s="5"/>
      <c r="U126" s="5" t="str">
        <f ca="1">IFERROR(__xludf.DUMMYFUNCTION("""COMPUTED_VALUE"""),"Lopez Raul")</f>
        <v>Lopez Raul</v>
      </c>
      <c r="V126" s="5"/>
      <c r="W126" s="5" t="str">
        <f ca="1">IFERROR(__xludf.DUMMYFUNCTION("""COMPUTED_VALUE"""),"nmei-eT7hDg")</f>
        <v>nmei-eT7hDg</v>
      </c>
      <c r="X126" s="5">
        <f ca="1">IFERROR(__xludf.DUMMYFUNCTION("""COMPUTED_VALUE"""),1)</f>
        <v>1</v>
      </c>
      <c r="Y126" s="5" t="str">
        <f t="shared" si="0"/>
        <v>Actividad sin realizar</v>
      </c>
      <c r="Z126" s="3">
        <f ca="1">IFERROR(VLOOKUP(U126, 'Base de datos'!A:B, 2, FALSE), "")</f>
        <v>573122172129</v>
      </c>
      <c r="AA126" s="4" t="e">
        <f t="shared" ca="1" si="1"/>
        <v>#NAME?</v>
      </c>
    </row>
    <row r="127" spans="1:27" ht="15.75" customHeight="1">
      <c r="A127" s="5" t="str">
        <f ca="1">IFERROR(__xludf.DUMMYFUNCTION("""COMPUTED_VALUE"""),"POSTOBÓN YUMBO")</f>
        <v>POSTOBÓN YUMBO</v>
      </c>
      <c r="B127" s="5" t="str">
        <f ca="1">IFERROR(__xludf.DUMMYFUNCTION("""COMPUTED_VALUE"""),"0410-LINEA 3")</f>
        <v>0410-LINEA 3</v>
      </c>
      <c r="C127" s="5" t="str">
        <f ca="1">IFERROR(__xludf.DUMMYFUNCTION("""COMPUTED_VALUE"""),"LINEA DE ENVASADO TAMAÑO PERSONAL")</f>
        <v>LINEA DE ENVASADO TAMAÑO PERSONAL</v>
      </c>
      <c r="D127" s="5">
        <f ca="1">IFERROR(__xludf.DUMMYFUNCTION("""COMPUTED_VALUE"""),900235)</f>
        <v>900235</v>
      </c>
      <c r="E127" s="5" t="str">
        <f ca="1">IFERROR(__xludf.DUMMYFUNCTION("""COMPUTED_VALUE"""),"PROCESADOR DE BEBIDA")</f>
        <v>PROCESADOR DE BEBIDA</v>
      </c>
      <c r="F127" s="5">
        <f ca="1">IFERROR(__xludf.DUMMYFUNCTION("""COMPUTED_VALUE"""),17381)</f>
        <v>17381</v>
      </c>
      <c r="G127" s="5" t="str">
        <f ca="1">IFERROR(__xludf.DUMMYFUNCTION("""COMPUTED_VALUE"""),"MTTO MEC CONTIFLOW L3 900235")</f>
        <v>MTTO MEC CONTIFLOW L3 900235</v>
      </c>
      <c r="H127" s="5">
        <f ca="1">IFERROR(__xludf.DUMMYFUNCTION("""COMPUTED_VALUE"""),13247176)</f>
        <v>13247176</v>
      </c>
      <c r="I127" s="5" t="str">
        <f ca="1">IFERROR(__xludf.DUMMYFUNCTION("""COMPUTED_VALUE"""),"mtto tuberias Agua, Co2, aire, jarabe,")</f>
        <v>mtto tuberias Agua, Co2, aire, jarabe,</v>
      </c>
      <c r="J127" s="5" t="str">
        <f ca="1">IFERROR(__xludf.DUMMYFUNCTION("""COMPUTED_VALUE"""),"ALTO")</f>
        <v>ALTO</v>
      </c>
      <c r="K127" s="5" t="str">
        <f ca="1">IFERROR(__xludf.DUMMYFUNCTION("""COMPUTED_VALUE"""),"Preventivo")</f>
        <v>Preventivo</v>
      </c>
      <c r="L127" s="5" t="str">
        <f ca="1">IFERROR(__xludf.DUMMYFUNCTION("""COMPUTED_VALUE"""),"Maquinaria")</f>
        <v>Maquinaria</v>
      </c>
      <c r="M127" s="5" t="str">
        <f ca="1">IFERROR(__xludf.DUMMYFUNCTION("""COMPUTED_VALUE"""),"No")</f>
        <v>No</v>
      </c>
      <c r="N127" s="5"/>
      <c r="O127" s="5"/>
      <c r="P127" s="18">
        <f ca="1">IFERROR(__xludf.DUMMYFUNCTION("""COMPUTED_VALUE"""),45324)</f>
        <v>45324</v>
      </c>
      <c r="Q127" s="18">
        <f ca="1">IFERROR(__xludf.DUMMYFUNCTION("""COMPUTED_VALUE"""),45324)</f>
        <v>45324</v>
      </c>
      <c r="R127" s="18"/>
      <c r="S127" s="5">
        <f ca="1">IFERROR(__xludf.DUMMYFUNCTION("""COMPUTED_VALUE"""),1)</f>
        <v>1</v>
      </c>
      <c r="T127" s="5"/>
      <c r="U127" s="5" t="str">
        <f ca="1">IFERROR(__xludf.DUMMYFUNCTION("""COMPUTED_VALUE"""),"Paz Paz Jhon Estiven")</f>
        <v>Paz Paz Jhon Estiven</v>
      </c>
      <c r="V127" s="5"/>
      <c r="W127" s="5" t="str">
        <f ca="1">IFERROR(__xludf.DUMMYFUNCTION("""COMPUTED_VALUE"""),"KPi26X5HNV0")</f>
        <v>KPi26X5HNV0</v>
      </c>
      <c r="X127" s="5">
        <f ca="1">IFERROR(__xludf.DUMMYFUNCTION("""COMPUTED_VALUE"""),1)</f>
        <v>1</v>
      </c>
      <c r="Y127" s="5" t="str">
        <f t="shared" si="0"/>
        <v>Actividad sin realizar</v>
      </c>
      <c r="Z127" s="3">
        <f ca="1">IFERROR(VLOOKUP(U127, 'Base de datos'!A:B, 2, FALSE), "")</f>
        <v>573117137924</v>
      </c>
      <c r="AA127" s="4" t="e">
        <f t="shared" ca="1" si="1"/>
        <v>#NAME?</v>
      </c>
    </row>
    <row r="128" spans="1:27" ht="15.75" customHeight="1">
      <c r="A128" s="5" t="str">
        <f ca="1">IFERROR(__xludf.DUMMYFUNCTION("""COMPUTED_VALUE"""),"POSTOBÓN YUMBO")</f>
        <v>POSTOBÓN YUMBO</v>
      </c>
      <c r="B128" s="5" t="str">
        <f ca="1">IFERROR(__xludf.DUMMYFUNCTION("""COMPUTED_VALUE"""),"0410-PLANTA DE AGUA ENVASADO")</f>
        <v>0410-PLANTA DE AGUA ENVASADO</v>
      </c>
      <c r="C128" s="5" t="str">
        <f ca="1">IFERROR(__xludf.DUMMYFUNCTION("""COMPUTED_VALUE"""),"TRATAMIENTO DE AGUA PARA ENVASADO")</f>
        <v>TRATAMIENTO DE AGUA PARA ENVASADO</v>
      </c>
      <c r="D128" s="5">
        <f ca="1">IFERROR(__xludf.DUMMYFUNCTION("""COMPUTED_VALUE"""),70965304)</f>
        <v>70965304</v>
      </c>
      <c r="E128" s="5" t="str">
        <f ca="1">IFERROR(__xludf.DUMMYFUNCTION("""COMPUTED_VALUE"""),"FILTRO ARENA 05")</f>
        <v>FILTRO ARENA 05</v>
      </c>
      <c r="F128" s="5">
        <f ca="1">IFERROR(__xludf.DUMMYFUNCTION("""COMPUTED_VALUE"""),21738)</f>
        <v>21738</v>
      </c>
      <c r="G128" s="5" t="str">
        <f ca="1">IFERROR(__xludf.DUMMYFUNCTION("""COMPUTED_VALUE"""),"PLAN MTTO MEC FILTRO ARENA FA#05")</f>
        <v>PLAN MTTO MEC FILTRO ARENA FA#05</v>
      </c>
      <c r="H128" s="5">
        <f ca="1">IFERROR(__xludf.DUMMYFUNCTION("""COMPUTED_VALUE"""),13193548)</f>
        <v>13193548</v>
      </c>
      <c r="I128" s="5" t="str">
        <f ca="1">IFERROR(__xludf.DUMMYFUNCTION("""COMPUTED_VALUE"""),"VALVULAS : REVISAR FUGAS,")</f>
        <v>VALVULAS : REVISAR FUGAS,</v>
      </c>
      <c r="J128" s="5" t="str">
        <f ca="1">IFERROR(__xludf.DUMMYFUNCTION("""COMPUTED_VALUE"""),"ALTO")</f>
        <v>ALTO</v>
      </c>
      <c r="K128" s="5" t="str">
        <f ca="1">IFERROR(__xludf.DUMMYFUNCTION("""COMPUTED_VALUE"""),"Preventivo")</f>
        <v>Preventivo</v>
      </c>
      <c r="L128" s="5" t="str">
        <f ca="1">IFERROR(__xludf.DUMMYFUNCTION("""COMPUTED_VALUE"""),"Maquinaria")</f>
        <v>Maquinaria</v>
      </c>
      <c r="M128" s="5" t="str">
        <f ca="1">IFERROR(__xludf.DUMMYFUNCTION("""COMPUTED_VALUE"""),"No")</f>
        <v>No</v>
      </c>
      <c r="N128" s="5"/>
      <c r="O128" s="5"/>
      <c r="P128" s="18">
        <f ca="1">IFERROR(__xludf.DUMMYFUNCTION("""COMPUTED_VALUE"""),45340)</f>
        <v>45340</v>
      </c>
      <c r="Q128" s="18">
        <f ca="1">IFERROR(__xludf.DUMMYFUNCTION("""COMPUTED_VALUE"""),45340)</f>
        <v>45340</v>
      </c>
      <c r="R128" s="18"/>
      <c r="S128" s="5">
        <f ca="1">IFERROR(__xludf.DUMMYFUNCTION("""COMPUTED_VALUE"""),1)</f>
        <v>1</v>
      </c>
      <c r="T128" s="5"/>
      <c r="U128" s="5" t="str">
        <f ca="1">IFERROR(__xludf.DUMMYFUNCTION("""COMPUTED_VALUE"""),"John Edier Gomez Zuñiga")</f>
        <v>John Edier Gomez Zuñiga</v>
      </c>
      <c r="V128" s="5"/>
      <c r="W128" s="5" t="str">
        <f ca="1">IFERROR(__xludf.DUMMYFUNCTION("""COMPUTED_VALUE"""),"pO8vtmt42Z4")</f>
        <v>pO8vtmt42Z4</v>
      </c>
      <c r="X128" s="5">
        <f ca="1">IFERROR(__xludf.DUMMYFUNCTION("""COMPUTED_VALUE"""),1)</f>
        <v>1</v>
      </c>
      <c r="Y128" s="5" t="str">
        <f t="shared" si="0"/>
        <v>Actividad sin realizar</v>
      </c>
      <c r="Z128" s="3">
        <f ca="1">IFERROR(VLOOKUP(U128, 'Base de datos'!A:B, 2, FALSE), "")</f>
        <v>573003678745</v>
      </c>
      <c r="AA128" s="4" t="e">
        <f t="shared" ca="1" si="1"/>
        <v>#NAME?</v>
      </c>
    </row>
    <row r="129" spans="1:27" ht="15.75" customHeight="1">
      <c r="A129" s="5" t="str">
        <f ca="1">IFERROR(__xludf.DUMMYFUNCTION("""COMPUTED_VALUE"""),"POSTOBÓN YUMBO")</f>
        <v>POSTOBÓN YUMBO</v>
      </c>
      <c r="B129" s="5" t="str">
        <f ca="1">IFERROR(__xludf.DUMMYFUNCTION("""COMPUTED_VALUE"""),"0410-LINEA 2")</f>
        <v>0410-LINEA 2</v>
      </c>
      <c r="C129" s="5" t="str">
        <f ca="1">IFERROR(__xludf.DUMMYFUNCTION("""COMPUTED_VALUE"""),"LINEA DE ENVASADO FAMILIAR Y PRB")</f>
        <v>LINEA DE ENVASADO FAMILIAR Y PRB</v>
      </c>
      <c r="D129" s="5">
        <f ca="1">IFERROR(__xludf.DUMMYFUNCTION("""COMPUTED_VALUE"""),900234)</f>
        <v>900234</v>
      </c>
      <c r="E129" s="5" t="str">
        <f ca="1">IFERROR(__xludf.DUMMYFUNCTION("""COMPUTED_VALUE"""),"PROCESADOR DE BEBIDA")</f>
        <v>PROCESADOR DE BEBIDA</v>
      </c>
      <c r="F129" s="5">
        <f ca="1">IFERROR(__xludf.DUMMYFUNCTION("""COMPUTED_VALUE"""),17379)</f>
        <v>17379</v>
      </c>
      <c r="G129" s="5" t="str">
        <f ca="1">IFERROR(__xludf.DUMMYFUNCTION("""COMPUTED_VALUE"""),"PLAN DE MTTO MECA.CONTIFLOW L2 900234")</f>
        <v>PLAN DE MTTO MECA.CONTIFLOW L2 900234</v>
      </c>
      <c r="H129" s="5">
        <f ca="1">IFERROR(__xludf.DUMMYFUNCTION("""COMPUTED_VALUE"""),13247174)</f>
        <v>13247174</v>
      </c>
      <c r="I129" s="5" t="str">
        <f ca="1">IFERROR(__xludf.DUMMYFUNCTION("""COMPUTED_VALUE"""),"Reparar fuga valvulas manual, neumatica")</f>
        <v>Reparar fuga valvulas manual, neumatica</v>
      </c>
      <c r="J129" s="5" t="str">
        <f ca="1">IFERROR(__xludf.DUMMYFUNCTION("""COMPUTED_VALUE"""),"ALTO")</f>
        <v>ALTO</v>
      </c>
      <c r="K129" s="5" t="str">
        <f ca="1">IFERROR(__xludf.DUMMYFUNCTION("""COMPUTED_VALUE"""),"Preventivo")</f>
        <v>Preventivo</v>
      </c>
      <c r="L129" s="5" t="str">
        <f ca="1">IFERROR(__xludf.DUMMYFUNCTION("""COMPUTED_VALUE"""),"Maquinaria")</f>
        <v>Maquinaria</v>
      </c>
      <c r="M129" s="5" t="str">
        <f ca="1">IFERROR(__xludf.DUMMYFUNCTION("""COMPUTED_VALUE"""),"No")</f>
        <v>No</v>
      </c>
      <c r="N129" s="5"/>
      <c r="O129" s="5"/>
      <c r="P129" s="18">
        <f ca="1">IFERROR(__xludf.DUMMYFUNCTION("""COMPUTED_VALUE"""),45324)</f>
        <v>45324</v>
      </c>
      <c r="Q129" s="18">
        <f ca="1">IFERROR(__xludf.DUMMYFUNCTION("""COMPUTED_VALUE"""),45324)</f>
        <v>45324</v>
      </c>
      <c r="R129" s="18"/>
      <c r="S129" s="5">
        <f ca="1">IFERROR(__xludf.DUMMYFUNCTION("""COMPUTED_VALUE"""),1)</f>
        <v>1</v>
      </c>
      <c r="T129" s="5"/>
      <c r="U129" s="5" t="str">
        <f ca="1">IFERROR(__xludf.DUMMYFUNCTION("""COMPUTED_VALUE"""),"Paz Paz Jhon Estiven")</f>
        <v>Paz Paz Jhon Estiven</v>
      </c>
      <c r="V129" s="5"/>
      <c r="W129" s="5" t="str">
        <f ca="1">IFERROR(__xludf.DUMMYFUNCTION("""COMPUTED_VALUE"""),"GSyisP-4rXM")</f>
        <v>GSyisP-4rXM</v>
      </c>
      <c r="X129" s="5">
        <f ca="1">IFERROR(__xludf.DUMMYFUNCTION("""COMPUTED_VALUE"""),1)</f>
        <v>1</v>
      </c>
      <c r="Y129" s="5" t="str">
        <f t="shared" si="0"/>
        <v>Actividad sin realizar</v>
      </c>
      <c r="Z129" s="3">
        <f ca="1">IFERROR(VLOOKUP(U129, 'Base de datos'!A:B, 2, FALSE), "")</f>
        <v>573117137924</v>
      </c>
      <c r="AA129" s="4" t="e">
        <f t="shared" ca="1" si="1"/>
        <v>#NAME?</v>
      </c>
    </row>
    <row r="130" spans="1:27" ht="15.75" customHeight="1">
      <c r="A130" s="5" t="str">
        <f ca="1">IFERROR(__xludf.DUMMYFUNCTION("""COMPUTED_VALUE"""),"POSTOBÓN YUMBO")</f>
        <v>POSTOBÓN YUMBO</v>
      </c>
      <c r="B130" s="5" t="str">
        <f ca="1">IFERROR(__xludf.DUMMYFUNCTION("""COMPUTED_VALUE"""),"0410-LINEA 3")</f>
        <v>0410-LINEA 3</v>
      </c>
      <c r="C130" s="5" t="str">
        <f ca="1">IFERROR(__xludf.DUMMYFUNCTION("""COMPUTED_VALUE"""),"LINEA DE ENVASADO TAMAÑO PERSONAL")</f>
        <v>LINEA DE ENVASADO TAMAÑO PERSONAL</v>
      </c>
      <c r="D130" s="5">
        <f ca="1">IFERROR(__xludf.DUMMYFUNCTION("""COMPUTED_VALUE"""),828592)</f>
        <v>828592</v>
      </c>
      <c r="E130" s="5" t="str">
        <f ca="1">IFERROR(__xludf.DUMMYFUNCTION("""COMPUTED_VALUE"""),"LLENADORA")</f>
        <v>LLENADORA</v>
      </c>
      <c r="F130" s="5">
        <f ca="1">IFERROR(__xludf.DUMMYFUNCTION("""COMPUTED_VALUE"""),0)</f>
        <v>0</v>
      </c>
      <c r="G130" s="5" t="str">
        <f ca="1">IFERROR(__xludf.DUMMYFUNCTION("""COMPUTED_VALUE"""),"CONSUMO LUB LLENADORA PERSONAL")</f>
        <v>CONSUMO LUB LLENADORA PERSONAL</v>
      </c>
      <c r="H130" s="5">
        <f ca="1">IFERROR(__xludf.DUMMYFUNCTION("""COMPUTED_VALUE"""),13230944)</f>
        <v>13230944</v>
      </c>
      <c r="I130" s="5" t="str">
        <f ca="1">IFERROR(__xludf.DUMMYFUNCTION("""COMPUTED_VALUE"""),"CONSUMO LUBRICANTES ENERO 2024")</f>
        <v>CONSUMO LUBRICANTES ENERO 2024</v>
      </c>
      <c r="J130" s="5" t="str">
        <f ca="1">IFERROR(__xludf.DUMMYFUNCTION("""COMPUTED_VALUE"""),"ALTO")</f>
        <v>ALTO</v>
      </c>
      <c r="K130" s="5" t="str">
        <f ca="1">IFERROR(__xludf.DUMMYFUNCTION("""COMPUTED_VALUE"""),"Preventivo")</f>
        <v>Preventivo</v>
      </c>
      <c r="L130" s="5" t="str">
        <f ca="1">IFERROR(__xludf.DUMMYFUNCTION("""COMPUTED_VALUE"""),"Maquinaria")</f>
        <v>Maquinaria</v>
      </c>
      <c r="M130" s="5" t="str">
        <f ca="1">IFERROR(__xludf.DUMMYFUNCTION("""COMPUTED_VALUE"""),"No")</f>
        <v>No</v>
      </c>
      <c r="N130" s="5"/>
      <c r="O130" s="5"/>
      <c r="P130" s="18">
        <f ca="1">IFERROR(__xludf.DUMMYFUNCTION("""COMPUTED_VALUE"""),45325)</f>
        <v>45325</v>
      </c>
      <c r="Q130" s="18">
        <f ca="1">IFERROR(__xludf.DUMMYFUNCTION("""COMPUTED_VALUE"""),45325)</f>
        <v>45325</v>
      </c>
      <c r="R130" s="18"/>
      <c r="S130" s="5">
        <f ca="1">IFERROR(__xludf.DUMMYFUNCTION("""COMPUTED_VALUE"""),1)</f>
        <v>1</v>
      </c>
      <c r="T130" s="5"/>
      <c r="U130" s="5" t="str">
        <f ca="1">IFERROR(__xludf.DUMMYFUNCTION("""COMPUTED_VALUE"""),"Jimenez Jhon")</f>
        <v>Jimenez Jhon</v>
      </c>
      <c r="V130" s="5"/>
      <c r="W130" s="5" t="str">
        <f ca="1">IFERROR(__xludf.DUMMYFUNCTION("""COMPUTED_VALUE"""),"0c4o9bXZ6nQ")</f>
        <v>0c4o9bXZ6nQ</v>
      </c>
      <c r="X130" s="5">
        <f ca="1">IFERROR(__xludf.DUMMYFUNCTION("""COMPUTED_VALUE"""),1)</f>
        <v>1</v>
      </c>
      <c r="Y130" s="5" t="str">
        <f t="shared" si="0"/>
        <v>Actividad sin realizar</v>
      </c>
      <c r="Z130" s="3">
        <f ca="1">IFERROR(VLOOKUP(U130, 'Base de datos'!A:B, 2, FALSE), "")</f>
        <v>573147637946</v>
      </c>
      <c r="AA130" s="4" t="e">
        <f t="shared" ca="1" si="1"/>
        <v>#NAME?</v>
      </c>
    </row>
    <row r="131" spans="1:27" ht="15.75" customHeight="1">
      <c r="A131" s="5" t="str">
        <f ca="1">IFERROR(__xludf.DUMMYFUNCTION("""COMPUTED_VALUE"""),"POSTOBÓN YUMBO")</f>
        <v>POSTOBÓN YUMBO</v>
      </c>
      <c r="B131" s="5" t="str">
        <f ca="1">IFERROR(__xludf.DUMMYFUNCTION("""COMPUTED_VALUE"""),"0410-ENVASADO JUGOS PET HOT F")</f>
        <v>0410-ENVASADO JUGOS PET HOT F</v>
      </c>
      <c r="C131" s="5" t="str">
        <f ca="1">IFERROR(__xludf.DUMMYFUNCTION("""COMPUTED_VALUE"""),"LINEA DE ENVASADO JUGOS PET HOT FILL")</f>
        <v>LINEA DE ENVASADO JUGOS PET HOT FILL</v>
      </c>
      <c r="D131" s="5">
        <f ca="1">IFERROR(__xludf.DUMMYFUNCTION("""COMPUTED_VALUE"""),900305)</f>
        <v>900305</v>
      </c>
      <c r="E131" s="5" t="str">
        <f ca="1">IFERROR(__xludf.DUMMYFUNCTION("""COMPUTED_VALUE"""),"ETIQUETADORA")</f>
        <v>ETIQUETADORA</v>
      </c>
      <c r="F131" s="5">
        <f ca="1">IFERROR(__xludf.DUMMYFUNCTION("""COMPUTED_VALUE"""),14086)</f>
        <v>14086</v>
      </c>
      <c r="G131" s="5" t="str">
        <f ca="1">IFERROR(__xludf.DUMMYFUNCTION("""COMPUTED_VALUE"""),"MTTO LUB ETIQUETADORA L8 900305")</f>
        <v>MTTO LUB ETIQUETADORA L8 900305</v>
      </c>
      <c r="H131" s="5">
        <f ca="1">IFERROR(__xludf.DUMMYFUNCTION("""COMPUTED_VALUE"""),13247141)</f>
        <v>13247141</v>
      </c>
      <c r="I131" s="5" t="str">
        <f ca="1">IFERROR(__xludf.DUMMYFUNCTION("""COMPUTED_VALUE"""),"Engrasadores permanente/")</f>
        <v>Engrasadores permanente/</v>
      </c>
      <c r="J131" s="5" t="str">
        <f ca="1">IFERROR(__xludf.DUMMYFUNCTION("""COMPUTED_VALUE"""),"MEDIO")</f>
        <v>MEDIO</v>
      </c>
      <c r="K131" s="5" t="str">
        <f ca="1">IFERROR(__xludf.DUMMYFUNCTION("""COMPUTED_VALUE"""),"Preventivo")</f>
        <v>Preventivo</v>
      </c>
      <c r="L131" s="5" t="str">
        <f ca="1">IFERROR(__xludf.DUMMYFUNCTION("""COMPUTED_VALUE"""),"Maquinaria")</f>
        <v>Maquinaria</v>
      </c>
      <c r="M131" s="5" t="str">
        <f ca="1">IFERROR(__xludf.DUMMYFUNCTION("""COMPUTED_VALUE"""),"No")</f>
        <v>No</v>
      </c>
      <c r="N131" s="5"/>
      <c r="O131" s="5"/>
      <c r="P131" s="18">
        <f ca="1">IFERROR(__xludf.DUMMYFUNCTION("""COMPUTED_VALUE"""),45336)</f>
        <v>45336</v>
      </c>
      <c r="Q131" s="18">
        <f ca="1">IFERROR(__xludf.DUMMYFUNCTION("""COMPUTED_VALUE"""),45336)</f>
        <v>45336</v>
      </c>
      <c r="R131" s="18"/>
      <c r="S131" s="5">
        <f ca="1">IFERROR(__xludf.DUMMYFUNCTION("""COMPUTED_VALUE"""),1)</f>
        <v>1</v>
      </c>
      <c r="T131" s="5"/>
      <c r="U131" s="5" t="str">
        <f ca="1">IFERROR(__xludf.DUMMYFUNCTION("""COMPUTED_VALUE"""),"Bedoya Marin Johan Andres")</f>
        <v>Bedoya Marin Johan Andres</v>
      </c>
      <c r="V131" s="5"/>
      <c r="W131" s="5" t="str">
        <f ca="1">IFERROR(__xludf.DUMMYFUNCTION("""COMPUTED_VALUE"""),"SAfhO5QenUg")</f>
        <v>SAfhO5QenUg</v>
      </c>
      <c r="X131" s="5">
        <f ca="1">IFERROR(__xludf.DUMMYFUNCTION("""COMPUTED_VALUE"""),1)</f>
        <v>1</v>
      </c>
      <c r="Y131" s="5" t="str">
        <f t="shared" si="0"/>
        <v>Actividad sin realizar</v>
      </c>
      <c r="Z131" s="3">
        <f ca="1">IFERROR(VLOOKUP(U131, 'Base de datos'!A:B, 2, FALSE), "")</f>
        <v>573147103334</v>
      </c>
      <c r="AA131" s="4" t="e">
        <f t="shared" ca="1" si="1"/>
        <v>#NAME?</v>
      </c>
    </row>
    <row r="132" spans="1:27" ht="15.75" customHeight="1">
      <c r="A132" s="5" t="str">
        <f ca="1">IFERROR(__xludf.DUMMYFUNCTION("""COMPUTED_VALUE"""),"POSTOBÓN YUMBO")</f>
        <v>POSTOBÓN YUMBO</v>
      </c>
      <c r="B132" s="5" t="str">
        <f ca="1">IFERROR(__xludf.DUMMYFUNCTION("""COMPUTED_VALUE"""),"0410-SUBESTACION ELECTRICA")</f>
        <v>0410-SUBESTACION ELECTRICA</v>
      </c>
      <c r="C132" s="5" t="str">
        <f ca="1">IFERROR(__xludf.DUMMYFUNCTION("""COMPUTED_VALUE"""),"EQUIPOS ALTA Y BAJA TENSION ELECTRICA")</f>
        <v>EQUIPOS ALTA Y BAJA TENSION ELECTRICA</v>
      </c>
      <c r="D132" s="5">
        <f ca="1">IFERROR(__xludf.DUMMYFUNCTION("""COMPUTED_VALUE"""),74928603)</f>
        <v>74928603</v>
      </c>
      <c r="E132" s="5" t="str">
        <f ca="1">IFERROR(__xludf.DUMMYFUNCTION("""COMPUTED_VALUE"""),"TRANSFORMADOR 3F 2(220V)")</f>
        <v>TRANSFORMADOR 3F 2(220V)</v>
      </c>
      <c r="F132" s="5">
        <f ca="1">IFERROR(__xludf.DUMMYFUNCTION("""COMPUTED_VALUE"""),46692)</f>
        <v>46692</v>
      </c>
      <c r="G132" s="5" t="str">
        <f ca="1">IFERROR(__xludf.DUMMYFUNCTION("""COMPUTED_VALUE"""),"PLAN MTTO PREDIC TERMOGR TRAFO 74928603")</f>
        <v>PLAN MTTO PREDIC TERMOGR TRAFO 74928603</v>
      </c>
      <c r="H132" s="5">
        <f ca="1">IFERROR(__xludf.DUMMYFUNCTION("""COMPUTED_VALUE"""),13207735)</f>
        <v>13207735</v>
      </c>
      <c r="I132" s="5" t="str">
        <f ca="1">IFERROR(__xludf.DUMMYFUNCTION("""COMPUTED_VALUE"""),"ANALISIS DE ACEITE")</f>
        <v>ANALISIS DE ACEITE</v>
      </c>
      <c r="J132" s="5" t="str">
        <f ca="1">IFERROR(__xludf.DUMMYFUNCTION("""COMPUTED_VALUE"""),"ALTO")</f>
        <v>ALTO</v>
      </c>
      <c r="K132" s="5" t="str">
        <f ca="1">IFERROR(__xludf.DUMMYFUNCTION("""COMPUTED_VALUE"""),"Predictivo")</f>
        <v>Predictivo</v>
      </c>
      <c r="L132" s="5" t="str">
        <f ca="1">IFERROR(__xludf.DUMMYFUNCTION("""COMPUTED_VALUE"""),"Maquinaria")</f>
        <v>Maquinaria</v>
      </c>
      <c r="M132" s="5" t="str">
        <f ca="1">IFERROR(__xludf.DUMMYFUNCTION("""COMPUTED_VALUE"""),"No")</f>
        <v>No</v>
      </c>
      <c r="N132" s="5"/>
      <c r="O132" s="5">
        <f ca="1">IFERROR(__xludf.DUMMYFUNCTION("""COMPUTED_VALUE"""),100)</f>
        <v>100</v>
      </c>
      <c r="P132" s="18">
        <f ca="1">IFERROR(__xludf.DUMMYFUNCTION("""COMPUTED_VALUE"""),45338)</f>
        <v>45338</v>
      </c>
      <c r="Q132" s="18">
        <f ca="1">IFERROR(__xludf.DUMMYFUNCTION("""COMPUTED_VALUE"""),45338)</f>
        <v>45338</v>
      </c>
      <c r="R132" s="18"/>
      <c r="S132" s="5">
        <f ca="1">IFERROR(__xludf.DUMMYFUNCTION("""COMPUTED_VALUE"""),1)</f>
        <v>1</v>
      </c>
      <c r="T132" s="5"/>
      <c r="U132" s="5" t="str">
        <f ca="1">IFERROR(__xludf.DUMMYFUNCTION("""COMPUTED_VALUE"""),"MUÑOZ VALENCIA JEFFERSON")</f>
        <v>MUÑOZ VALENCIA JEFFERSON</v>
      </c>
      <c r="V132" s="5"/>
      <c r="W132" s="5" t="str">
        <f ca="1">IFERROR(__xludf.DUMMYFUNCTION("""COMPUTED_VALUE"""),"M47MoiNjIlQ")</f>
        <v>M47MoiNjIlQ</v>
      </c>
      <c r="X132" s="5">
        <f ca="1">IFERROR(__xludf.DUMMYFUNCTION("""COMPUTED_VALUE"""),1)</f>
        <v>1</v>
      </c>
      <c r="Y132" s="5" t="str">
        <f t="shared" ca="1" si="0"/>
        <v>Actividad realizada</v>
      </c>
      <c r="Z132" s="3">
        <f ca="1">IFERROR(VLOOKUP(U132, 'Base de datos'!A:B, 2, FALSE), "")</f>
        <v>573122261803</v>
      </c>
      <c r="AA132" s="4" t="e">
        <f t="shared" ca="1" si="1"/>
        <v>#NAME?</v>
      </c>
    </row>
    <row r="133" spans="1:27" ht="15.75" customHeight="1">
      <c r="A133" s="5" t="str">
        <f ca="1">IFERROR(__xludf.DUMMYFUNCTION("""COMPUTED_VALUE"""),"POSTOBÓN YUMBO")</f>
        <v>POSTOBÓN YUMBO</v>
      </c>
      <c r="B133" s="5" t="str">
        <f ca="1">IFERROR(__xludf.DUMMYFUNCTION("""COMPUTED_VALUE"""),"0410-ENVASADO JUGOS PET HOT F")</f>
        <v>0410-ENVASADO JUGOS PET HOT F</v>
      </c>
      <c r="C133" s="5" t="str">
        <f ca="1">IFERROR(__xludf.DUMMYFUNCTION("""COMPUTED_VALUE"""),"LINEA DE ENVASADO JUGOS PET HOT FILL")</f>
        <v>LINEA DE ENVASADO JUGOS PET HOT FILL</v>
      </c>
      <c r="D133" s="5">
        <f ca="1">IFERROR(__xludf.DUMMYFUNCTION("""COMPUTED_VALUE"""),739537)</f>
        <v>739537</v>
      </c>
      <c r="E133" s="5" t="str">
        <f ca="1">IFERROR(__xludf.DUMMYFUNCTION("""COMPUTED_VALUE"""),"TERMOFORMADO PAQUETES")</f>
        <v>TERMOFORMADO PAQUETES</v>
      </c>
      <c r="F133" s="5">
        <f ca="1">IFERROR(__xludf.DUMMYFUNCTION("""COMPUTED_VALUE"""),0)</f>
        <v>0</v>
      </c>
      <c r="G133" s="5" t="str">
        <f ca="1">IFERROR(__xludf.DUMMYFUNCTION("""COMPUTED_VALUE"""),"LUB. TERMOFORMADO PAQUETES TECMI")</f>
        <v>LUB. TERMOFORMADO PAQUETES TECMI</v>
      </c>
      <c r="H133" s="5">
        <f ca="1">IFERROR(__xludf.DUMMYFUNCTION("""COMPUTED_VALUE"""),13212485)</f>
        <v>13212485</v>
      </c>
      <c r="I133" s="5" t="str">
        <f ca="1">IFERROR(__xludf.DUMMYFUNCTION("""COMPUTED_VALUE"""),"LUBRICACION MALLA")</f>
        <v>LUBRICACION MALLA</v>
      </c>
      <c r="J133" s="5" t="str">
        <f ca="1">IFERROR(__xludf.DUMMYFUNCTION("""COMPUTED_VALUE"""),"MEDIO")</f>
        <v>MEDIO</v>
      </c>
      <c r="K133" s="5" t="str">
        <f ca="1">IFERROR(__xludf.DUMMYFUNCTION("""COMPUTED_VALUE"""),"Preventivo")</f>
        <v>Preventivo</v>
      </c>
      <c r="L133" s="5" t="str">
        <f ca="1">IFERROR(__xludf.DUMMYFUNCTION("""COMPUTED_VALUE"""),"Maquinaria")</f>
        <v>Maquinaria</v>
      </c>
      <c r="M133" s="5" t="str">
        <f ca="1">IFERROR(__xludf.DUMMYFUNCTION("""COMPUTED_VALUE"""),"No")</f>
        <v>No</v>
      </c>
      <c r="N133" s="5"/>
      <c r="O133" s="5"/>
      <c r="P133" s="18">
        <f ca="1">IFERROR(__xludf.DUMMYFUNCTION("""COMPUTED_VALUE"""),45325)</f>
        <v>45325</v>
      </c>
      <c r="Q133" s="18">
        <f ca="1">IFERROR(__xludf.DUMMYFUNCTION("""COMPUTED_VALUE"""),45325)</f>
        <v>45325</v>
      </c>
      <c r="R133" s="18"/>
      <c r="S133" s="5">
        <f ca="1">IFERROR(__xludf.DUMMYFUNCTION("""COMPUTED_VALUE"""),1)</f>
        <v>1</v>
      </c>
      <c r="T133" s="5"/>
      <c r="U133" s="5" t="str">
        <f ca="1">IFERROR(__xludf.DUMMYFUNCTION("""COMPUTED_VALUE"""),"Lopez Correa Jonathan")</f>
        <v>Lopez Correa Jonathan</v>
      </c>
      <c r="V133" s="5"/>
      <c r="W133" s="5" t="str">
        <f ca="1">IFERROR(__xludf.DUMMYFUNCTION("""COMPUTED_VALUE"""),"uGIhi5wnGZ8")</f>
        <v>uGIhi5wnGZ8</v>
      </c>
      <c r="X133" s="5">
        <f ca="1">IFERROR(__xludf.DUMMYFUNCTION("""COMPUTED_VALUE"""),1)</f>
        <v>1</v>
      </c>
      <c r="Y133" s="5" t="str">
        <f t="shared" si="0"/>
        <v>Actividad sin realizar</v>
      </c>
      <c r="Z133" s="3">
        <f ca="1">IFERROR(VLOOKUP(U133, 'Base de datos'!A:B, 2, FALSE), "")</f>
        <v>573215267623</v>
      </c>
      <c r="AA133" s="4" t="e">
        <f t="shared" ca="1" si="1"/>
        <v>#NAME?</v>
      </c>
    </row>
    <row r="134" spans="1:27" ht="15.75" customHeight="1">
      <c r="A134" s="5" t="str">
        <f ca="1">IFERROR(__xludf.DUMMYFUNCTION("""COMPUTED_VALUE"""),"POSTOBÓN YUMBO")</f>
        <v>POSTOBÓN YUMBO</v>
      </c>
      <c r="B134" s="5" t="str">
        <f ca="1">IFERROR(__xludf.DUMMYFUNCTION("""COMPUTED_VALUE"""),"0410-PLANTA DE AGUA ENVASADO")</f>
        <v>0410-PLANTA DE AGUA ENVASADO</v>
      </c>
      <c r="C134" s="5" t="str">
        <f ca="1">IFERROR(__xludf.DUMMYFUNCTION("""COMPUTED_VALUE"""),"TRATAMIENTO DE AGUA PARA ENVASADO")</f>
        <v>TRATAMIENTO DE AGUA PARA ENVASADO</v>
      </c>
      <c r="D134" s="5">
        <f ca="1">IFERROR(__xludf.DUMMYFUNCTION("""COMPUTED_VALUE"""),70948948)</f>
        <v>70948948</v>
      </c>
      <c r="E134" s="5" t="str">
        <f ca="1">IFERROR(__xludf.DUMMYFUNCTION("""COMPUTED_VALUE"""),"TANQUE FIBRA ACD CLORHIDRI - TRAT PRIM")</f>
        <v>TANQUE FIBRA ACD CLORHIDRI - TRAT PRIM</v>
      </c>
      <c r="F134" s="5">
        <f ca="1">IFERROR(__xludf.DUMMYFUNCTION("""COMPUTED_VALUE"""),32891)</f>
        <v>32891</v>
      </c>
      <c r="G134" s="5" t="str">
        <f ca="1">IFERROR(__xludf.DUMMYFUNCTION("""COMPUTED_VALUE"""),"PLAN MTTO MEC TANQUE FIBRA ACD CLORHIDRI")</f>
        <v>PLAN MTTO MEC TANQUE FIBRA ACD CLORHIDRI</v>
      </c>
      <c r="H134" s="5">
        <f ca="1">IFERROR(__xludf.DUMMYFUNCTION("""COMPUTED_VALUE"""),13207486)</f>
        <v>13207486</v>
      </c>
      <c r="I134" s="5" t="str">
        <f ca="1">IFERROR(__xludf.DUMMYFUNCTION("""COMPUTED_VALUE"""),"REVISION BOMBA DOSIFICADORA")</f>
        <v>REVISION BOMBA DOSIFICADORA</v>
      </c>
      <c r="J134" s="5" t="str">
        <f ca="1">IFERROR(__xludf.DUMMYFUNCTION("""COMPUTED_VALUE"""),"ALTO")</f>
        <v>ALTO</v>
      </c>
      <c r="K134" s="5" t="str">
        <f ca="1">IFERROR(__xludf.DUMMYFUNCTION("""COMPUTED_VALUE"""),"Preventivo")</f>
        <v>Preventivo</v>
      </c>
      <c r="L134" s="5" t="str">
        <f ca="1">IFERROR(__xludf.DUMMYFUNCTION("""COMPUTED_VALUE"""),"Maquinaria")</f>
        <v>Maquinaria</v>
      </c>
      <c r="M134" s="5" t="str">
        <f ca="1">IFERROR(__xludf.DUMMYFUNCTION("""COMPUTED_VALUE"""),"No")</f>
        <v>No</v>
      </c>
      <c r="N134" s="5"/>
      <c r="O134" s="5"/>
      <c r="P134" s="18">
        <f ca="1">IFERROR(__xludf.DUMMYFUNCTION("""COMPUTED_VALUE"""),45344)</f>
        <v>45344</v>
      </c>
      <c r="Q134" s="18">
        <f ca="1">IFERROR(__xludf.DUMMYFUNCTION("""COMPUTED_VALUE"""),45344)</f>
        <v>45344</v>
      </c>
      <c r="R134" s="18"/>
      <c r="S134" s="5">
        <f ca="1">IFERROR(__xludf.DUMMYFUNCTION("""COMPUTED_VALUE"""),1)</f>
        <v>1</v>
      </c>
      <c r="T134" s="5"/>
      <c r="U134" s="5" t="str">
        <f ca="1">IFERROR(__xludf.DUMMYFUNCTION("""COMPUTED_VALUE"""),"Guzman Palechor Miguel Angel")</f>
        <v>Guzman Palechor Miguel Angel</v>
      </c>
      <c r="V134" s="5"/>
      <c r="W134" s="5" t="str">
        <f ca="1">IFERROR(__xludf.DUMMYFUNCTION("""COMPUTED_VALUE"""),"0EvDzwLwt_0")</f>
        <v>0EvDzwLwt_0</v>
      </c>
      <c r="X134" s="5">
        <f ca="1">IFERROR(__xludf.DUMMYFUNCTION("""COMPUTED_VALUE"""),1)</f>
        <v>1</v>
      </c>
      <c r="Y134" s="5" t="str">
        <f t="shared" si="0"/>
        <v>Actividad sin realizar</v>
      </c>
      <c r="Z134" s="3">
        <f ca="1">IFERROR(VLOOKUP(U134, 'Base de datos'!A:B, 2, FALSE), "")</f>
        <v>573112422176</v>
      </c>
      <c r="AA134" s="4" t="e">
        <f t="shared" ca="1" si="1"/>
        <v>#NAME?</v>
      </c>
    </row>
    <row r="135" spans="1:27" ht="15.75" customHeight="1">
      <c r="A135" s="5" t="str">
        <f ca="1">IFERROR(__xludf.DUMMYFUNCTION("""COMPUTED_VALUE"""),"POSTOBÓN YUMBO")</f>
        <v>POSTOBÓN YUMBO</v>
      </c>
      <c r="B135" s="5" t="str">
        <f ca="1">IFERROR(__xludf.DUMMYFUNCTION("""COMPUTED_VALUE"""),"0410-LINEA 2")</f>
        <v>0410-LINEA 2</v>
      </c>
      <c r="C135" s="5" t="str">
        <f ca="1">IFERROR(__xludf.DUMMYFUNCTION("""COMPUTED_VALUE"""),"LINEA DE ENVASADO FAMILIAR Y PRB")</f>
        <v>LINEA DE ENVASADO FAMILIAR Y PRB</v>
      </c>
      <c r="D135" s="5">
        <f ca="1">IFERROR(__xludf.DUMMYFUNCTION("""COMPUTED_VALUE"""),900234)</f>
        <v>900234</v>
      </c>
      <c r="E135" s="5" t="str">
        <f ca="1">IFERROR(__xludf.DUMMYFUNCTION("""COMPUTED_VALUE"""),"PROCESADOR DE BEBIDA")</f>
        <v>PROCESADOR DE BEBIDA</v>
      </c>
      <c r="F135" s="5">
        <f ca="1">IFERROR(__xludf.DUMMYFUNCTION("""COMPUTED_VALUE"""),17379)</f>
        <v>17379</v>
      </c>
      <c r="G135" s="5" t="str">
        <f ca="1">IFERROR(__xludf.DUMMYFUNCTION("""COMPUTED_VALUE"""),"PLAN DE MTTO ELECT. CONTIFLOW L2 900234")</f>
        <v>PLAN DE MTTO ELECT. CONTIFLOW L2 900234</v>
      </c>
      <c r="H135" s="5">
        <f ca="1">IFERROR(__xludf.DUMMYFUNCTION("""COMPUTED_VALUE"""),13247175)</f>
        <v>13247175</v>
      </c>
      <c r="I135" s="5" t="str">
        <f ca="1">IFERROR(__xludf.DUMMYFUNCTION("""COMPUTED_VALUE"""),"Revisar conectores de sensores")</f>
        <v>Revisar conectores de sensores</v>
      </c>
      <c r="J135" s="5" t="str">
        <f ca="1">IFERROR(__xludf.DUMMYFUNCTION("""COMPUTED_VALUE"""),"ALTO")</f>
        <v>ALTO</v>
      </c>
      <c r="K135" s="5" t="str">
        <f ca="1">IFERROR(__xludf.DUMMYFUNCTION("""COMPUTED_VALUE"""),"Preventivo")</f>
        <v>Preventivo</v>
      </c>
      <c r="L135" s="5" t="str">
        <f ca="1">IFERROR(__xludf.DUMMYFUNCTION("""COMPUTED_VALUE"""),"Maquinaria")</f>
        <v>Maquinaria</v>
      </c>
      <c r="M135" s="5" t="str">
        <f ca="1">IFERROR(__xludf.DUMMYFUNCTION("""COMPUTED_VALUE"""),"No")</f>
        <v>No</v>
      </c>
      <c r="N135" s="5"/>
      <c r="O135" s="5"/>
      <c r="P135" s="18">
        <f ca="1">IFERROR(__xludf.DUMMYFUNCTION("""COMPUTED_VALUE"""),45324)</f>
        <v>45324</v>
      </c>
      <c r="Q135" s="18">
        <f ca="1">IFERROR(__xludf.DUMMYFUNCTION("""COMPUTED_VALUE"""),45324)</f>
        <v>45324</v>
      </c>
      <c r="R135" s="18"/>
      <c r="S135" s="5">
        <f ca="1">IFERROR(__xludf.DUMMYFUNCTION("""COMPUTED_VALUE"""),1)</f>
        <v>1</v>
      </c>
      <c r="T135" s="5"/>
      <c r="U135" s="5" t="str">
        <f ca="1">IFERROR(__xludf.DUMMYFUNCTION("""COMPUTED_VALUE"""),"Paz Paz Jhon Estiven")</f>
        <v>Paz Paz Jhon Estiven</v>
      </c>
      <c r="V135" s="5"/>
      <c r="W135" s="5" t="str">
        <f ca="1">IFERROR(__xludf.DUMMYFUNCTION("""COMPUTED_VALUE"""),"C8ddGGOnwME")</f>
        <v>C8ddGGOnwME</v>
      </c>
      <c r="X135" s="5">
        <f ca="1">IFERROR(__xludf.DUMMYFUNCTION("""COMPUTED_VALUE"""),1)</f>
        <v>1</v>
      </c>
      <c r="Y135" s="5" t="str">
        <f t="shared" si="0"/>
        <v>Actividad sin realizar</v>
      </c>
      <c r="Z135" s="3">
        <f ca="1">IFERROR(VLOOKUP(U135, 'Base de datos'!A:B, 2, FALSE), "")</f>
        <v>573117137924</v>
      </c>
      <c r="AA135" s="4" t="e">
        <f t="shared" ca="1" si="1"/>
        <v>#NAME?</v>
      </c>
    </row>
    <row r="136" spans="1:27" ht="15.75" customHeight="1">
      <c r="A136" s="5" t="str">
        <f ca="1">IFERROR(__xludf.DUMMYFUNCTION("""COMPUTED_VALUE"""),"POSTOBÓN YUMBO")</f>
        <v>POSTOBÓN YUMBO</v>
      </c>
      <c r="B136" s="5" t="str">
        <f ca="1">IFERROR(__xludf.DUMMYFUNCTION("""COMPUTED_VALUE"""),"0410-ENVASADO JUGOS PET HOT F")</f>
        <v>0410-ENVASADO JUGOS PET HOT F</v>
      </c>
      <c r="C136" s="5" t="str">
        <f ca="1">IFERROR(__xludf.DUMMYFUNCTION("""COMPUTED_VALUE"""),"LINEA DE ENVASADO JUGOS PET HOT FILL")</f>
        <v>LINEA DE ENVASADO JUGOS PET HOT FILL</v>
      </c>
      <c r="D136" s="5">
        <f ca="1">IFERROR(__xludf.DUMMYFUNCTION("""COMPUTED_VALUE"""),829667)</f>
        <v>829667</v>
      </c>
      <c r="E136" s="5" t="str">
        <f ca="1">IFERROR(__xludf.DUMMYFUNCTION("""COMPUTED_VALUE"""),"TRANSPORTADOR DE EMBALAJES")</f>
        <v>TRANSPORTADOR DE EMBALAJES</v>
      </c>
      <c r="F136" s="5">
        <f ca="1">IFERROR(__xludf.DUMMYFUNCTION("""COMPUTED_VALUE"""),0)</f>
        <v>0</v>
      </c>
      <c r="G136" s="5" t="str">
        <f ca="1">IFERROR(__xludf.DUMMYFUNCTION("""COMPUTED_VALUE"""),"CONSUMO LUB TRANS EMBALAJES 8")</f>
        <v>CONSUMO LUB TRANS EMBALAJES 8</v>
      </c>
      <c r="H136" s="5">
        <f ca="1">IFERROR(__xludf.DUMMYFUNCTION("""COMPUTED_VALUE"""),13230949)</f>
        <v>13230949</v>
      </c>
      <c r="I136" s="5" t="str">
        <f ca="1">IFERROR(__xludf.DUMMYFUNCTION("""COMPUTED_VALUE"""),"CONSUMO LUB TRANS EMBALAJES 8")</f>
        <v>CONSUMO LUB TRANS EMBALAJES 8</v>
      </c>
      <c r="J136" s="5" t="str">
        <f ca="1">IFERROR(__xludf.DUMMYFUNCTION("""COMPUTED_VALUE"""),"MEDIO")</f>
        <v>MEDIO</v>
      </c>
      <c r="K136" s="5" t="str">
        <f ca="1">IFERROR(__xludf.DUMMYFUNCTION("""COMPUTED_VALUE"""),"Preventivo")</f>
        <v>Preventivo</v>
      </c>
      <c r="L136" s="5" t="str">
        <f ca="1">IFERROR(__xludf.DUMMYFUNCTION("""COMPUTED_VALUE"""),"Maquinaria")</f>
        <v>Maquinaria</v>
      </c>
      <c r="M136" s="5" t="str">
        <f ca="1">IFERROR(__xludf.DUMMYFUNCTION("""COMPUTED_VALUE"""),"No")</f>
        <v>No</v>
      </c>
      <c r="N136" s="5"/>
      <c r="O136" s="5"/>
      <c r="P136" s="18">
        <f ca="1">IFERROR(__xludf.DUMMYFUNCTION("""COMPUTED_VALUE"""),45324)</f>
        <v>45324</v>
      </c>
      <c r="Q136" s="18">
        <f ca="1">IFERROR(__xludf.DUMMYFUNCTION("""COMPUTED_VALUE"""),45324)</f>
        <v>45324</v>
      </c>
      <c r="R136" s="18"/>
      <c r="S136" s="5">
        <f ca="1">IFERROR(__xludf.DUMMYFUNCTION("""COMPUTED_VALUE"""),1)</f>
        <v>1</v>
      </c>
      <c r="T136" s="5"/>
      <c r="U136" s="5" t="str">
        <f ca="1">IFERROR(__xludf.DUMMYFUNCTION("""COMPUTED_VALUE"""),"Martinez Delgado Osver")</f>
        <v>Martinez Delgado Osver</v>
      </c>
      <c r="V136" s="5"/>
      <c r="W136" s="5" t="str">
        <f ca="1">IFERROR(__xludf.DUMMYFUNCTION("""COMPUTED_VALUE"""),"AomlHJrYSL4")</f>
        <v>AomlHJrYSL4</v>
      </c>
      <c r="X136" s="5">
        <f ca="1">IFERROR(__xludf.DUMMYFUNCTION("""COMPUTED_VALUE"""),1)</f>
        <v>1</v>
      </c>
      <c r="Y136" s="5" t="str">
        <f t="shared" si="0"/>
        <v>Actividad sin realizar</v>
      </c>
      <c r="Z136" s="3">
        <f ca="1">IFERROR(VLOOKUP(U136, 'Base de datos'!A:B, 2, FALSE), "")</f>
        <v>573104055117</v>
      </c>
      <c r="AA136" s="4" t="e">
        <f t="shared" ca="1" si="1"/>
        <v>#NAME?</v>
      </c>
    </row>
    <row r="137" spans="1:27" ht="15.75" customHeight="1">
      <c r="A137" s="5" t="str">
        <f ca="1">IFERROR(__xludf.DUMMYFUNCTION("""COMPUTED_VALUE"""),"POSTOBÓN YUMBO")</f>
        <v>POSTOBÓN YUMBO</v>
      </c>
      <c r="B137" s="5" t="str">
        <f ca="1">IFERROR(__xludf.DUMMYFUNCTION("""COMPUTED_VALUE"""),"0410-LINEA 2")</f>
        <v>0410-LINEA 2</v>
      </c>
      <c r="C137" s="5" t="str">
        <f ca="1">IFERROR(__xludf.DUMMYFUNCTION("""COMPUTED_VALUE"""),"LINEA DE ENVASADO FAMILIAR Y PRB")</f>
        <v>LINEA DE ENVASADO FAMILIAR Y PRB</v>
      </c>
      <c r="D137" s="5">
        <f ca="1">IFERROR(__xludf.DUMMYFUNCTION("""COMPUTED_VALUE"""),510001)</f>
        <v>510001</v>
      </c>
      <c r="E137" s="5" t="str">
        <f ca="1">IFERROR(__xludf.DUMMYFUNCTION("""COMPUTED_VALUE"""),"LLENADORA")</f>
        <v>LLENADORA</v>
      </c>
      <c r="F137" s="5">
        <f ca="1">IFERROR(__xludf.DUMMYFUNCTION("""COMPUTED_VALUE"""),0)</f>
        <v>0</v>
      </c>
      <c r="G137" s="5" t="str">
        <f ca="1">IFERROR(__xludf.DUMMYFUNCTION("""COMPUTED_VALUE"""),"CONSUMO LUB LLENADORA FAMILIAR")</f>
        <v>CONSUMO LUB LLENADORA FAMILIAR</v>
      </c>
      <c r="H137" s="5">
        <f ca="1">IFERROR(__xludf.DUMMYFUNCTION("""COMPUTED_VALUE"""),13230943)</f>
        <v>13230943</v>
      </c>
      <c r="I137" s="5" t="str">
        <f ca="1">IFERROR(__xludf.DUMMYFUNCTION("""COMPUTED_VALUE"""),"CONSUMO LUBRICANTES ENERO 2024")</f>
        <v>CONSUMO LUBRICANTES ENERO 2024</v>
      </c>
      <c r="J137" s="5" t="str">
        <f ca="1">IFERROR(__xludf.DUMMYFUNCTION("""COMPUTED_VALUE"""),"ALTO")</f>
        <v>ALTO</v>
      </c>
      <c r="K137" s="5" t="str">
        <f ca="1">IFERROR(__xludf.DUMMYFUNCTION("""COMPUTED_VALUE"""),"Preventivo")</f>
        <v>Preventivo</v>
      </c>
      <c r="L137" s="5" t="str">
        <f ca="1">IFERROR(__xludf.DUMMYFUNCTION("""COMPUTED_VALUE"""),"Maquinaria")</f>
        <v>Maquinaria</v>
      </c>
      <c r="M137" s="5" t="str">
        <f ca="1">IFERROR(__xludf.DUMMYFUNCTION("""COMPUTED_VALUE"""),"No")</f>
        <v>No</v>
      </c>
      <c r="N137" s="5"/>
      <c r="O137" s="5"/>
      <c r="P137" s="18">
        <f ca="1">IFERROR(__xludf.DUMMYFUNCTION("""COMPUTED_VALUE"""),45325)</f>
        <v>45325</v>
      </c>
      <c r="Q137" s="18">
        <f ca="1">IFERROR(__xludf.DUMMYFUNCTION("""COMPUTED_VALUE"""),45325)</f>
        <v>45325</v>
      </c>
      <c r="R137" s="18"/>
      <c r="S137" s="5">
        <f ca="1">IFERROR(__xludf.DUMMYFUNCTION("""COMPUTED_VALUE"""),1)</f>
        <v>1</v>
      </c>
      <c r="T137" s="5"/>
      <c r="U137" s="5" t="str">
        <f ca="1">IFERROR(__xludf.DUMMYFUNCTION("""COMPUTED_VALUE"""),"Poveda Jorge")</f>
        <v>Poveda Jorge</v>
      </c>
      <c r="V137" s="5"/>
      <c r="W137" s="5" t="str">
        <f ca="1">IFERROR(__xludf.DUMMYFUNCTION("""COMPUTED_VALUE"""),"B4v6m3qZzLY")</f>
        <v>B4v6m3qZzLY</v>
      </c>
      <c r="X137" s="5">
        <f ca="1">IFERROR(__xludf.DUMMYFUNCTION("""COMPUTED_VALUE"""),1)</f>
        <v>1</v>
      </c>
      <c r="Y137" s="5" t="str">
        <f t="shared" si="0"/>
        <v>Actividad sin realizar</v>
      </c>
      <c r="Z137" s="3">
        <f ca="1">IFERROR(VLOOKUP(U137, 'Base de datos'!A:B, 2, FALSE), "")</f>
        <v>573212589618</v>
      </c>
      <c r="AA137" s="4" t="e">
        <f t="shared" ca="1" si="1"/>
        <v>#NAME?</v>
      </c>
    </row>
    <row r="138" spans="1:27" ht="15.75" customHeight="1">
      <c r="A138" s="5" t="str">
        <f ca="1">IFERROR(__xludf.DUMMYFUNCTION("""COMPUTED_VALUE"""),"POSTOBÓN YUMBO")</f>
        <v>POSTOBÓN YUMBO</v>
      </c>
      <c r="B138" s="5" t="str">
        <f ca="1">IFERROR(__xludf.DUMMYFUNCTION("""COMPUTED_VALUE"""),"0410-SUBESTACION ELECTRICA")</f>
        <v>0410-SUBESTACION ELECTRICA</v>
      </c>
      <c r="C138" s="5" t="str">
        <f ca="1">IFERROR(__xludf.DUMMYFUNCTION("""COMPUTED_VALUE"""),"EQUIPOS ALTA Y BAJA TENSION ELECTRICA")</f>
        <v>EQUIPOS ALTA Y BAJA TENSION ELECTRICA</v>
      </c>
      <c r="D138" s="5">
        <f ca="1">IFERROR(__xludf.DUMMYFUNCTION("""COMPUTED_VALUE"""),74928602)</f>
        <v>74928602</v>
      </c>
      <c r="E138" s="5" t="str">
        <f ca="1">IFERROR(__xludf.DUMMYFUNCTION("""COMPUTED_VALUE"""),"TRANSFORMADOR 3F 1(220V)")</f>
        <v>TRANSFORMADOR 3F 1(220V)</v>
      </c>
      <c r="F138" s="5">
        <f ca="1">IFERROR(__xludf.DUMMYFUNCTION("""COMPUTED_VALUE"""),46692)</f>
        <v>46692</v>
      </c>
      <c r="G138" s="5" t="str">
        <f ca="1">IFERROR(__xludf.DUMMYFUNCTION("""COMPUTED_VALUE"""),"PLAN MTTO PREDIC TERMOGR TRAFO 74928602")</f>
        <v>PLAN MTTO PREDIC TERMOGR TRAFO 74928602</v>
      </c>
      <c r="H138" s="5">
        <f ca="1">IFERROR(__xludf.DUMMYFUNCTION("""COMPUTED_VALUE"""),13207736)</f>
        <v>13207736</v>
      </c>
      <c r="I138" s="5" t="str">
        <f ca="1">IFERROR(__xludf.DUMMYFUNCTION("""COMPUTED_VALUE"""),"ANALISIS DE ACEITE")</f>
        <v>ANALISIS DE ACEITE</v>
      </c>
      <c r="J138" s="5" t="str">
        <f ca="1">IFERROR(__xludf.DUMMYFUNCTION("""COMPUTED_VALUE"""),"ALTO")</f>
        <v>ALTO</v>
      </c>
      <c r="K138" s="5" t="str">
        <f ca="1">IFERROR(__xludf.DUMMYFUNCTION("""COMPUTED_VALUE"""),"Predictivo")</f>
        <v>Predictivo</v>
      </c>
      <c r="L138" s="5" t="str">
        <f ca="1">IFERROR(__xludf.DUMMYFUNCTION("""COMPUTED_VALUE"""),"Maquinaria")</f>
        <v>Maquinaria</v>
      </c>
      <c r="M138" s="5" t="str">
        <f ca="1">IFERROR(__xludf.DUMMYFUNCTION("""COMPUTED_VALUE"""),"No")</f>
        <v>No</v>
      </c>
      <c r="N138" s="5"/>
      <c r="O138" s="5">
        <f ca="1">IFERROR(__xludf.DUMMYFUNCTION("""COMPUTED_VALUE"""),100)</f>
        <v>100</v>
      </c>
      <c r="P138" s="18">
        <f ca="1">IFERROR(__xludf.DUMMYFUNCTION("""COMPUTED_VALUE"""),45337)</f>
        <v>45337</v>
      </c>
      <c r="Q138" s="18">
        <f ca="1">IFERROR(__xludf.DUMMYFUNCTION("""COMPUTED_VALUE"""),45337)</f>
        <v>45337</v>
      </c>
      <c r="R138" s="18"/>
      <c r="S138" s="5">
        <f ca="1">IFERROR(__xludf.DUMMYFUNCTION("""COMPUTED_VALUE"""),1)</f>
        <v>1</v>
      </c>
      <c r="T138" s="5"/>
      <c r="U138" s="5" t="str">
        <f ca="1">IFERROR(__xludf.DUMMYFUNCTION("""COMPUTED_VALUE"""),"MUÑOZ VALENCIA JEFFERSON")</f>
        <v>MUÑOZ VALENCIA JEFFERSON</v>
      </c>
      <c r="V138" s="5"/>
      <c r="W138" s="5" t="str">
        <f ca="1">IFERROR(__xludf.DUMMYFUNCTION("""COMPUTED_VALUE"""),"aj_UkwdDLDs")</f>
        <v>aj_UkwdDLDs</v>
      </c>
      <c r="X138" s="5">
        <f ca="1">IFERROR(__xludf.DUMMYFUNCTION("""COMPUTED_VALUE"""),1)</f>
        <v>1</v>
      </c>
      <c r="Y138" s="5" t="str">
        <f t="shared" ca="1" si="0"/>
        <v>Actividad realizada</v>
      </c>
      <c r="Z138" s="3">
        <f ca="1">IFERROR(VLOOKUP(U138, 'Base de datos'!A:B, 2, FALSE), "")</f>
        <v>573122261803</v>
      </c>
      <c r="AA138" s="4" t="e">
        <f t="shared" ca="1" si="1"/>
        <v>#NAME?</v>
      </c>
    </row>
    <row r="139" spans="1:27" ht="15.75" customHeight="1">
      <c r="A139" s="5" t="str">
        <f ca="1">IFERROR(__xludf.DUMMYFUNCTION("""COMPUTED_VALUE"""),"POSTOBÓN YUMBO")</f>
        <v>POSTOBÓN YUMBO</v>
      </c>
      <c r="B139" s="5" t="str">
        <f ca="1">IFERROR(__xludf.DUMMYFUNCTION("""COMPUTED_VALUE"""),"0410-LINEA DISPENSADORES")</f>
        <v>0410-LINEA DISPENSADORES</v>
      </c>
      <c r="C139" s="5" t="str">
        <f ca="1">IFERROR(__xludf.DUMMYFUNCTION("""COMPUTED_VALUE"""),"LINEA ENVASADO BAG IN BOX DISPENSADORES")</f>
        <v>LINEA ENVASADO BAG IN BOX DISPENSADORES</v>
      </c>
      <c r="D139" s="5">
        <f ca="1">IFERROR(__xludf.DUMMYFUNCTION("""COMPUTED_VALUE"""),710174)</f>
        <v>710174</v>
      </c>
      <c r="E139" s="5" t="str">
        <f ca="1">IFERROR(__xludf.DUMMYFUNCTION("""COMPUTED_VALUE"""),"LLENADORA DE BOLSAS BAG IN BOX")</f>
        <v>LLENADORA DE BOLSAS BAG IN BOX</v>
      </c>
      <c r="F139" s="5">
        <f ca="1">IFERROR(__xludf.DUMMYFUNCTION("""COMPUTED_VALUE"""),0)</f>
        <v>0</v>
      </c>
      <c r="G139" s="5" t="str">
        <f ca="1">IFERROR(__xludf.DUMMYFUNCTION("""COMPUTED_VALUE"""),"CONSUMO LUB BAG IN BOX")</f>
        <v>CONSUMO LUB BAG IN BOX</v>
      </c>
      <c r="H139" s="5">
        <f ca="1">IFERROR(__xludf.DUMMYFUNCTION("""COMPUTED_VALUE"""),13230946)</f>
        <v>13230946</v>
      </c>
      <c r="I139" s="5" t="str">
        <f ca="1">IFERROR(__xludf.DUMMYFUNCTION("""COMPUTED_VALUE"""),"CONSUMO LUB BAG IN BOX")</f>
        <v>CONSUMO LUB BAG IN BOX</v>
      </c>
      <c r="J139" s="5" t="str">
        <f ca="1">IFERROR(__xludf.DUMMYFUNCTION("""COMPUTED_VALUE"""),"ALTO")</f>
        <v>ALTO</v>
      </c>
      <c r="K139" s="5" t="str">
        <f ca="1">IFERROR(__xludf.DUMMYFUNCTION("""COMPUTED_VALUE"""),"Preventivo")</f>
        <v>Preventivo</v>
      </c>
      <c r="L139" s="5" t="str">
        <f ca="1">IFERROR(__xludf.DUMMYFUNCTION("""COMPUTED_VALUE"""),"Maquinaria")</f>
        <v>Maquinaria</v>
      </c>
      <c r="M139" s="5" t="str">
        <f ca="1">IFERROR(__xludf.DUMMYFUNCTION("""COMPUTED_VALUE"""),"No")</f>
        <v>No</v>
      </c>
      <c r="N139" s="5"/>
      <c r="O139" s="5"/>
      <c r="P139" s="18">
        <f ca="1">IFERROR(__xludf.DUMMYFUNCTION("""COMPUTED_VALUE"""),45324)</f>
        <v>45324</v>
      </c>
      <c r="Q139" s="18">
        <f ca="1">IFERROR(__xludf.DUMMYFUNCTION("""COMPUTED_VALUE"""),45324)</f>
        <v>45324</v>
      </c>
      <c r="R139" s="18"/>
      <c r="S139" s="5">
        <f ca="1">IFERROR(__xludf.DUMMYFUNCTION("""COMPUTED_VALUE"""),1)</f>
        <v>1</v>
      </c>
      <c r="T139" s="5"/>
      <c r="U139" s="5" t="str">
        <f ca="1">IFERROR(__xludf.DUMMYFUNCTION("""COMPUTED_VALUE"""),"MARIO ALBERTO MARTÍNEZ MORA")</f>
        <v>MARIO ALBERTO MARTÍNEZ MORA</v>
      </c>
      <c r="V139" s="5"/>
      <c r="W139" s="5" t="str">
        <f ca="1">IFERROR(__xludf.DUMMYFUNCTION("""COMPUTED_VALUE"""),"TRK5r4lGZfk")</f>
        <v>TRK5r4lGZfk</v>
      </c>
      <c r="X139" s="5">
        <f ca="1">IFERROR(__xludf.DUMMYFUNCTION("""COMPUTED_VALUE"""),1)</f>
        <v>1</v>
      </c>
      <c r="Y139" s="5" t="str">
        <f t="shared" si="0"/>
        <v>Actividad sin realizar</v>
      </c>
      <c r="Z139" s="3">
        <f ca="1">IFERROR(VLOOKUP(U139, 'Base de datos'!A:B, 2, FALSE), "")</f>
        <v>573116493969</v>
      </c>
      <c r="AA139" s="4" t="e">
        <f t="shared" ca="1" si="1"/>
        <v>#NAME?</v>
      </c>
    </row>
    <row r="140" spans="1:27" ht="15.75" customHeight="1">
      <c r="A140" s="5" t="str">
        <f ca="1">IFERROR(__xludf.DUMMYFUNCTION("""COMPUTED_VALUE"""),"POSTOBÓN YUMBO")</f>
        <v>POSTOBÓN YUMBO</v>
      </c>
      <c r="B140" s="5" t="str">
        <f ca="1">IFERROR(__xludf.DUMMYFUNCTION("""COMPUTED_VALUE"""),"0410-EQUIPOS AUXILIARES")</f>
        <v>0410-EQUIPOS AUXILIARES</v>
      </c>
      <c r="C140" s="5" t="str">
        <f ca="1">IFERROR(__xludf.DUMMYFUNCTION("""COMPUTED_VALUE"""),"EQUIPOS PARA SERVICIOS INDUSTRIALES")</f>
        <v>EQUIPOS PARA SERVICIOS INDUSTRIALES</v>
      </c>
      <c r="D140" s="5">
        <f ca="1">IFERROR(__xludf.DUMMYFUNCTION("""COMPUTED_VALUE"""),649544)</f>
        <v>649544</v>
      </c>
      <c r="E140" s="5" t="str">
        <f ca="1">IFERROR(__xludf.DUMMYFUNCTION("""COMPUTED_VALUE"""),"COMPRESOR AIRE 3")</f>
        <v>COMPRESOR AIRE 3</v>
      </c>
      <c r="F140" s="5">
        <f ca="1">IFERROR(__xludf.DUMMYFUNCTION("""COMPUTED_VALUE"""),22534)</f>
        <v>22534</v>
      </c>
      <c r="G140" s="5" t="str">
        <f ca="1">IFERROR(__xludf.DUMMYFUNCTION("""COMPUTED_VALUE"""),"PLAN MTTO MEC COMPRESOR AIRE SIERRA 3")</f>
        <v>PLAN MTTO MEC COMPRESOR AIRE SIERRA 3</v>
      </c>
      <c r="H140" s="5">
        <f ca="1">IFERROR(__xludf.DUMMYFUNCTION("""COMPUTED_VALUE"""),13207428)</f>
        <v>13207428</v>
      </c>
      <c r="I140" s="5" t="str">
        <f ca="1">IFERROR(__xludf.DUMMYFUNCTION("""COMPUTED_VALUE"""),"LIMPIEZA DEL ENFRIADOR:")</f>
        <v>LIMPIEZA DEL ENFRIADOR:</v>
      </c>
      <c r="J140" s="5" t="str">
        <f ca="1">IFERROR(__xludf.DUMMYFUNCTION("""COMPUTED_VALUE"""),"MEDIO")</f>
        <v>MEDIO</v>
      </c>
      <c r="K140" s="5" t="str">
        <f ca="1">IFERROR(__xludf.DUMMYFUNCTION("""COMPUTED_VALUE"""),"Preventivo")</f>
        <v>Preventivo</v>
      </c>
      <c r="L140" s="5" t="str">
        <f ca="1">IFERROR(__xludf.DUMMYFUNCTION("""COMPUTED_VALUE"""),"Maquinaria")</f>
        <v>Maquinaria</v>
      </c>
      <c r="M140" s="5" t="str">
        <f ca="1">IFERROR(__xludf.DUMMYFUNCTION("""COMPUTED_VALUE"""),"No")</f>
        <v>No</v>
      </c>
      <c r="N140" s="5"/>
      <c r="O140" s="5"/>
      <c r="P140" s="18">
        <f ca="1">IFERROR(__xludf.DUMMYFUNCTION("""COMPUTED_VALUE"""),45336)</f>
        <v>45336</v>
      </c>
      <c r="Q140" s="18">
        <f ca="1">IFERROR(__xludf.DUMMYFUNCTION("""COMPUTED_VALUE"""),45336)</f>
        <v>45336</v>
      </c>
      <c r="R140" s="18"/>
      <c r="S140" s="5">
        <f ca="1">IFERROR(__xludf.DUMMYFUNCTION("""COMPUTED_VALUE"""),2)</f>
        <v>2</v>
      </c>
      <c r="T140" s="5"/>
      <c r="U140" s="5" t="str">
        <f ca="1">IFERROR(__xludf.DUMMYFUNCTION("""COMPUTED_VALUE"""),"MARIO ALBERTO MARTÍNEZ MORA")</f>
        <v>MARIO ALBERTO MARTÍNEZ MORA</v>
      </c>
      <c r="V140" s="5"/>
      <c r="W140" s="5" t="str">
        <f ca="1">IFERROR(__xludf.DUMMYFUNCTION("""COMPUTED_VALUE"""),"ng2bgQtlP1s")</f>
        <v>ng2bgQtlP1s</v>
      </c>
      <c r="X140" s="5">
        <f ca="1">IFERROR(__xludf.DUMMYFUNCTION("""COMPUTED_VALUE"""),2)</f>
        <v>2</v>
      </c>
      <c r="Y140" s="5" t="str">
        <f t="shared" si="0"/>
        <v>Actividad sin realizar</v>
      </c>
      <c r="Z140" s="3">
        <f ca="1">IFERROR(VLOOKUP(U140, 'Base de datos'!A:B, 2, FALSE), "")</f>
        <v>573116493969</v>
      </c>
      <c r="AA140" s="4" t="e">
        <f t="shared" ca="1" si="1"/>
        <v>#NAME?</v>
      </c>
    </row>
    <row r="141" spans="1:27" ht="15.75" customHeight="1">
      <c r="A141" s="5" t="str">
        <f ca="1">IFERROR(__xludf.DUMMYFUNCTION("""COMPUTED_VALUE"""),"POSTOBÓN YUMBO")</f>
        <v>POSTOBÓN YUMBO</v>
      </c>
      <c r="B141" s="5" t="str">
        <f ca="1">IFERROR(__xludf.DUMMYFUNCTION("""COMPUTED_VALUE"""),"0410-EQUIPOS AUXILIARES")</f>
        <v>0410-EQUIPOS AUXILIARES</v>
      </c>
      <c r="C141" s="5" t="str">
        <f ca="1">IFERROR(__xludf.DUMMYFUNCTION("""COMPUTED_VALUE"""),"EQUIPOS PARA SERVICIOS INDUSTRIALES")</f>
        <v>EQUIPOS PARA SERVICIOS INDUSTRIALES</v>
      </c>
      <c r="D141" s="5">
        <f ca="1">IFERROR(__xludf.DUMMYFUNCTION("""COMPUTED_VALUE"""),649544)</f>
        <v>649544</v>
      </c>
      <c r="E141" s="5" t="str">
        <f ca="1">IFERROR(__xludf.DUMMYFUNCTION("""COMPUTED_VALUE"""),"COMPRESOR AIRE 3")</f>
        <v>COMPRESOR AIRE 3</v>
      </c>
      <c r="F141" s="5">
        <f ca="1">IFERROR(__xludf.DUMMYFUNCTION("""COMPUTED_VALUE"""),22534)</f>
        <v>22534</v>
      </c>
      <c r="G141" s="5" t="str">
        <f ca="1">IFERROR(__xludf.DUMMYFUNCTION("""COMPUTED_VALUE"""),"PLAN MTTO MEC COMPRESOR AIRE SIERRA 3")</f>
        <v>PLAN MTTO MEC COMPRESOR AIRE SIERRA 3</v>
      </c>
      <c r="H141" s="5">
        <f ca="1">IFERROR(__xludf.DUMMYFUNCTION("""COMPUTED_VALUE"""),13207428)</f>
        <v>13207428</v>
      </c>
      <c r="I141" s="5" t="str">
        <f ca="1">IFERROR(__xludf.DUMMYFUNCTION("""COMPUTED_VALUE"""),"MTTO VALVULAS CONDENSADO:")</f>
        <v>MTTO VALVULAS CONDENSADO:</v>
      </c>
      <c r="J141" s="5" t="str">
        <f ca="1">IFERROR(__xludf.DUMMYFUNCTION("""COMPUTED_VALUE"""),"MEDIO")</f>
        <v>MEDIO</v>
      </c>
      <c r="K141" s="5" t="str">
        <f ca="1">IFERROR(__xludf.DUMMYFUNCTION("""COMPUTED_VALUE"""),"Preventivo")</f>
        <v>Preventivo</v>
      </c>
      <c r="L141" s="5" t="str">
        <f ca="1">IFERROR(__xludf.DUMMYFUNCTION("""COMPUTED_VALUE"""),"Maquinaria")</f>
        <v>Maquinaria</v>
      </c>
      <c r="M141" s="5" t="str">
        <f ca="1">IFERROR(__xludf.DUMMYFUNCTION("""COMPUTED_VALUE"""),"No")</f>
        <v>No</v>
      </c>
      <c r="N141" s="5"/>
      <c r="O141" s="5"/>
      <c r="P141" s="18">
        <f ca="1">IFERROR(__xludf.DUMMYFUNCTION("""COMPUTED_VALUE"""),45336)</f>
        <v>45336</v>
      </c>
      <c r="Q141" s="18">
        <f ca="1">IFERROR(__xludf.DUMMYFUNCTION("""COMPUTED_VALUE"""),45336)</f>
        <v>45336</v>
      </c>
      <c r="R141" s="18"/>
      <c r="S141" s="5">
        <f ca="1">IFERROR(__xludf.DUMMYFUNCTION("""COMPUTED_VALUE"""),2)</f>
        <v>2</v>
      </c>
      <c r="T141" s="5"/>
      <c r="U141" s="5" t="str">
        <f ca="1">IFERROR(__xludf.DUMMYFUNCTION("""COMPUTED_VALUE"""),"MARIO ALBERTO MARTÍNEZ MORA")</f>
        <v>MARIO ALBERTO MARTÍNEZ MORA</v>
      </c>
      <c r="V141" s="5"/>
      <c r="W141" s="5" t="str">
        <f ca="1">IFERROR(__xludf.DUMMYFUNCTION("""COMPUTED_VALUE"""),"F8RsjjWY6gA")</f>
        <v>F8RsjjWY6gA</v>
      </c>
      <c r="X141" s="5">
        <f ca="1">IFERROR(__xludf.DUMMYFUNCTION("""COMPUTED_VALUE"""),2)</f>
        <v>2</v>
      </c>
      <c r="Y141" s="5" t="str">
        <f t="shared" si="0"/>
        <v>Actividad sin realizar</v>
      </c>
      <c r="Z141" s="3">
        <f ca="1">IFERROR(VLOOKUP(U141, 'Base de datos'!A:B, 2, FALSE), "")</f>
        <v>573116493969</v>
      </c>
      <c r="AA141" s="4" t="e">
        <f t="shared" ca="1" si="1"/>
        <v>#NAME?</v>
      </c>
    </row>
    <row r="142" spans="1:27" ht="15.75" customHeight="1">
      <c r="A142" s="5" t="str">
        <f ca="1">IFERROR(__xludf.DUMMYFUNCTION("""COMPUTED_VALUE"""),"POSTOBÓN YUMBO")</f>
        <v>POSTOBÓN YUMBO</v>
      </c>
      <c r="B142" s="5" t="str">
        <f ca="1">IFERROR(__xludf.DUMMYFUNCTION("""COMPUTED_VALUE"""),"0410-LINEA 2")</f>
        <v>0410-LINEA 2</v>
      </c>
      <c r="C142" s="5" t="str">
        <f ca="1">IFERROR(__xludf.DUMMYFUNCTION("""COMPUTED_VALUE"""),"LINEA DE ENVASADO FAMILIAR Y PRB")</f>
        <v>LINEA DE ENVASADO FAMILIAR Y PRB</v>
      </c>
      <c r="D142" s="5">
        <f ca="1">IFERROR(__xludf.DUMMYFUNCTION("""COMPUTED_VALUE"""),828266)</f>
        <v>828266</v>
      </c>
      <c r="E142" s="5" t="str">
        <f ca="1">IFERROR(__xludf.DUMMYFUNCTION("""COMPUTED_VALUE"""),"LAVADORA DE BOTELLAS")</f>
        <v>LAVADORA DE BOTELLAS</v>
      </c>
      <c r="F142" s="5">
        <f ca="1">IFERROR(__xludf.DUMMYFUNCTION("""COMPUTED_VALUE"""),0)</f>
        <v>0</v>
      </c>
      <c r="G142" s="5" t="str">
        <f ca="1">IFERROR(__xludf.DUMMYFUNCTION("""COMPUTED_VALUE"""),"CONSUMO LUB LAVADORA BOTELLAS FAMILIAR")</f>
        <v>CONSUMO LUB LAVADORA BOTELLAS FAMILIAR</v>
      </c>
      <c r="H142" s="5">
        <f ca="1">IFERROR(__xludf.DUMMYFUNCTION("""COMPUTED_VALUE"""),13230950)</f>
        <v>13230950</v>
      </c>
      <c r="I142" s="5" t="str">
        <f ca="1">IFERROR(__xludf.DUMMYFUNCTION("""COMPUTED_VALUE"""),"CONSUMO LUBRICANTES ENERO 2024")</f>
        <v>CONSUMO LUBRICANTES ENERO 2024</v>
      </c>
      <c r="J142" s="5" t="str">
        <f ca="1">IFERROR(__xludf.DUMMYFUNCTION("""COMPUTED_VALUE"""),"ALTO")</f>
        <v>ALTO</v>
      </c>
      <c r="K142" s="5" t="str">
        <f ca="1">IFERROR(__xludf.DUMMYFUNCTION("""COMPUTED_VALUE"""),"Preventivo")</f>
        <v>Preventivo</v>
      </c>
      <c r="L142" s="5" t="str">
        <f ca="1">IFERROR(__xludf.DUMMYFUNCTION("""COMPUTED_VALUE"""),"Maquinaria")</f>
        <v>Maquinaria</v>
      </c>
      <c r="M142" s="5" t="str">
        <f ca="1">IFERROR(__xludf.DUMMYFUNCTION("""COMPUTED_VALUE"""),"No")</f>
        <v>No</v>
      </c>
      <c r="N142" s="5"/>
      <c r="O142" s="5"/>
      <c r="P142" s="18">
        <f ca="1">IFERROR(__xludf.DUMMYFUNCTION("""COMPUTED_VALUE"""),45325)</f>
        <v>45325</v>
      </c>
      <c r="Q142" s="18">
        <f ca="1">IFERROR(__xludf.DUMMYFUNCTION("""COMPUTED_VALUE"""),45325)</f>
        <v>45325</v>
      </c>
      <c r="R142" s="18"/>
      <c r="S142" s="5">
        <f ca="1">IFERROR(__xludf.DUMMYFUNCTION("""COMPUTED_VALUE"""),1)</f>
        <v>1</v>
      </c>
      <c r="T142" s="5"/>
      <c r="U142" s="5" t="str">
        <f ca="1">IFERROR(__xludf.DUMMYFUNCTION("""COMPUTED_VALUE"""),"Henao William")</f>
        <v>Henao William</v>
      </c>
      <c r="V142" s="5"/>
      <c r="W142" s="5" t="str">
        <f ca="1">IFERROR(__xludf.DUMMYFUNCTION("""COMPUTED_VALUE"""),"cb_nsKSSqjo")</f>
        <v>cb_nsKSSqjo</v>
      </c>
      <c r="X142" s="5">
        <f ca="1">IFERROR(__xludf.DUMMYFUNCTION("""COMPUTED_VALUE"""),1)</f>
        <v>1</v>
      </c>
      <c r="Y142" s="5" t="str">
        <f t="shared" si="0"/>
        <v>Actividad sin realizar</v>
      </c>
      <c r="Z142" s="3">
        <f ca="1">IFERROR(VLOOKUP(U142, 'Base de datos'!A:B, 2, FALSE), "")</f>
        <v>573222217492</v>
      </c>
      <c r="AA142" s="4" t="e">
        <f t="shared" ca="1" si="1"/>
        <v>#NAME?</v>
      </c>
    </row>
    <row r="143" spans="1:27" ht="15.75" customHeight="1">
      <c r="A143" s="5" t="str">
        <f ca="1">IFERROR(__xludf.DUMMYFUNCTION("""COMPUTED_VALUE"""),"POSTOBÓN YUMBO")</f>
        <v>POSTOBÓN YUMBO</v>
      </c>
      <c r="B143" s="5" t="str">
        <f ca="1">IFERROR(__xludf.DUMMYFUNCTION("""COMPUTED_VALUE"""),"0410-SALA DE JARABE TERMINADO")</f>
        <v>0410-SALA DE JARABE TERMINADO</v>
      </c>
      <c r="C143" s="5" t="str">
        <f ca="1">IFERROR(__xludf.DUMMYFUNCTION("""COMPUTED_VALUE"""),"EQUIPOS PARA PREPARACION DE JARABE")</f>
        <v>EQUIPOS PARA PREPARACION DE JARABE</v>
      </c>
      <c r="D143" s="5">
        <f ca="1">IFERROR(__xludf.DUMMYFUNCTION("""COMPUTED_VALUE"""),69963408)</f>
        <v>69963408</v>
      </c>
      <c r="E143" s="5" t="str">
        <f ca="1">IFERROR(__xludf.DUMMYFUNCTION("""COMPUTED_VALUE"""),"TANQUE DE JARABE")</f>
        <v>TANQUE DE JARABE</v>
      </c>
      <c r="F143" s="5">
        <f ca="1">IFERROR(__xludf.DUMMYFUNCTION("""COMPUTED_VALUE"""),17361)</f>
        <v>17361</v>
      </c>
      <c r="G143" s="5" t="str">
        <f ca="1">IFERROR(__xludf.DUMMYFUNCTION("""COMPUTED_VALUE"""),"MTTO MEC TK JARABE 5 JARABE TERMINADO")</f>
        <v>MTTO MEC TK JARABE 5 JARABE TERMINADO</v>
      </c>
      <c r="H143" s="5">
        <f ca="1">IFERROR(__xludf.DUMMYFUNCTION("""COMPUTED_VALUE"""),13247156)</f>
        <v>13247156</v>
      </c>
      <c r="I143" s="5" t="str">
        <f ca="1">IFERROR(__xludf.DUMMYFUNCTION("""COMPUTED_VALUE"""),"ANTON PAAR - remplace los diafragmas")</f>
        <v>ANTON PAAR - remplace los diafragmas</v>
      </c>
      <c r="J143" s="5" t="str">
        <f ca="1">IFERROR(__xludf.DUMMYFUNCTION("""COMPUTED_VALUE"""),"ALTO")</f>
        <v>ALTO</v>
      </c>
      <c r="K143" s="5" t="str">
        <f ca="1">IFERROR(__xludf.DUMMYFUNCTION("""COMPUTED_VALUE"""),"Preventivo")</f>
        <v>Preventivo</v>
      </c>
      <c r="L143" s="5" t="str">
        <f ca="1">IFERROR(__xludf.DUMMYFUNCTION("""COMPUTED_VALUE"""),"Maquinaria")</f>
        <v>Maquinaria</v>
      </c>
      <c r="M143" s="5" t="str">
        <f ca="1">IFERROR(__xludf.DUMMYFUNCTION("""COMPUTED_VALUE"""),"No")</f>
        <v>No</v>
      </c>
      <c r="N143" s="5"/>
      <c r="O143" s="5">
        <f ca="1">IFERROR(__xludf.DUMMYFUNCTION("""COMPUTED_VALUE"""),100)</f>
        <v>100</v>
      </c>
      <c r="P143" s="18">
        <f ca="1">IFERROR(__xludf.DUMMYFUNCTION("""COMPUTED_VALUE"""),45342)</f>
        <v>45342</v>
      </c>
      <c r="Q143" s="18">
        <f ca="1">IFERROR(__xludf.DUMMYFUNCTION("""COMPUTED_VALUE"""),45342)</f>
        <v>45342</v>
      </c>
      <c r="R143" s="18"/>
      <c r="S143" s="5">
        <f ca="1">IFERROR(__xludf.DUMMYFUNCTION("""COMPUTED_VALUE"""),8)</f>
        <v>8</v>
      </c>
      <c r="T143" s="5"/>
      <c r="U143" s="5" t="str">
        <f ca="1">IFERROR(__xludf.DUMMYFUNCTION("""COMPUTED_VALUE"""),"Moreno Pernia Bladimir")</f>
        <v>Moreno Pernia Bladimir</v>
      </c>
      <c r="V143" s="5"/>
      <c r="W143" s="5" t="str">
        <f ca="1">IFERROR(__xludf.DUMMYFUNCTION("""COMPUTED_VALUE"""),"lMaRIjKWs7Q")</f>
        <v>lMaRIjKWs7Q</v>
      </c>
      <c r="X143" s="5">
        <f ca="1">IFERROR(__xludf.DUMMYFUNCTION("""COMPUTED_VALUE"""),8)</f>
        <v>8</v>
      </c>
      <c r="Y143" s="5" t="str">
        <f t="shared" ca="1" si="0"/>
        <v>Actividad realizada</v>
      </c>
      <c r="Z143" s="3">
        <f ca="1">IFERROR(VLOOKUP(U143, 'Base de datos'!A:B, 2, FALSE), "")</f>
        <v>573148903137</v>
      </c>
      <c r="AA143" s="4" t="e">
        <f t="shared" ca="1" si="1"/>
        <v>#NAME?</v>
      </c>
    </row>
    <row r="144" spans="1:27" ht="15.75" customHeight="1">
      <c r="A144" s="5" t="str">
        <f ca="1">IFERROR(__xludf.DUMMYFUNCTION("""COMPUTED_VALUE"""),"POSTOBÓN YUMBO")</f>
        <v>POSTOBÓN YUMBO</v>
      </c>
      <c r="B144" s="5" t="str">
        <f ca="1">IFERROR(__xludf.DUMMYFUNCTION("""COMPUTED_VALUE"""),"0410-PLANTA DE AGUA ENVASADO")</f>
        <v>0410-PLANTA DE AGUA ENVASADO</v>
      </c>
      <c r="C144" s="5" t="str">
        <f ca="1">IFERROR(__xludf.DUMMYFUNCTION("""COMPUTED_VALUE"""),"TRATAMIENTO DE AGUA PARA ENVASADO")</f>
        <v>TRATAMIENTO DE AGUA PARA ENVASADO</v>
      </c>
      <c r="D144" s="5">
        <f ca="1">IFERROR(__xludf.DUMMYFUNCTION("""COMPUTED_VALUE"""),70949107)</f>
        <v>70949107</v>
      </c>
      <c r="E144" s="5" t="str">
        <f ca="1">IFERROR(__xludf.DUMMYFUNCTION("""COMPUTED_VALUE"""),"GENERADOR DE OZONO SUEZ OZONIA")</f>
        <v>GENERADOR DE OZONO SUEZ OZONIA</v>
      </c>
      <c r="F144" s="5">
        <f ca="1">IFERROR(__xludf.DUMMYFUNCTION("""COMPUTED_VALUE"""),42256)</f>
        <v>42256</v>
      </c>
      <c r="G144" s="5" t="str">
        <f ca="1">IFERROR(__xludf.DUMMYFUNCTION("""COMPUTED_VALUE"""),"PLAN MTTO MEC GENERADOR DE OZONO SUEZ OZ")</f>
        <v>PLAN MTTO MEC GENERADOR DE OZONO SUEZ OZ</v>
      </c>
      <c r="H144" s="5">
        <f ca="1">IFERROR(__xludf.DUMMYFUNCTION("""COMPUTED_VALUE"""),13193788)</f>
        <v>13193788</v>
      </c>
      <c r="I144" s="5" t="str">
        <f ca="1">IFERROR(__xludf.DUMMYFUNCTION("""COMPUTED_VALUE"""),"REVISAR ESTADO REGULADORES")</f>
        <v>REVISAR ESTADO REGULADORES</v>
      </c>
      <c r="J144" s="5" t="str">
        <f ca="1">IFERROR(__xludf.DUMMYFUNCTION("""COMPUTED_VALUE"""),"ALTO")</f>
        <v>ALTO</v>
      </c>
      <c r="K144" s="5" t="str">
        <f ca="1">IFERROR(__xludf.DUMMYFUNCTION("""COMPUTED_VALUE"""),"Preventivo")</f>
        <v>Preventivo</v>
      </c>
      <c r="L144" s="5" t="str">
        <f ca="1">IFERROR(__xludf.DUMMYFUNCTION("""COMPUTED_VALUE"""),"Maquinaria")</f>
        <v>Maquinaria</v>
      </c>
      <c r="M144" s="5" t="str">
        <f ca="1">IFERROR(__xludf.DUMMYFUNCTION("""COMPUTED_VALUE"""),"No")</f>
        <v>No</v>
      </c>
      <c r="N144" s="5"/>
      <c r="O144" s="5"/>
      <c r="P144" s="18">
        <f ca="1">IFERROR(__xludf.DUMMYFUNCTION("""COMPUTED_VALUE"""),45340)</f>
        <v>45340</v>
      </c>
      <c r="Q144" s="18">
        <f ca="1">IFERROR(__xludf.DUMMYFUNCTION("""COMPUTED_VALUE"""),45340)</f>
        <v>45340</v>
      </c>
      <c r="R144" s="18"/>
      <c r="S144" s="5">
        <f ca="1">IFERROR(__xludf.DUMMYFUNCTION("""COMPUTED_VALUE"""),1)</f>
        <v>1</v>
      </c>
      <c r="T144" s="5"/>
      <c r="U144" s="5" t="str">
        <f ca="1">IFERROR(__xludf.DUMMYFUNCTION("""COMPUTED_VALUE"""),"PAPAMIJA GUIDO")</f>
        <v>PAPAMIJA GUIDO</v>
      </c>
      <c r="V144" s="5"/>
      <c r="W144" s="5" t="str">
        <f ca="1">IFERROR(__xludf.DUMMYFUNCTION("""COMPUTED_VALUE"""),"MhGFwGo62KM")</f>
        <v>MhGFwGo62KM</v>
      </c>
      <c r="X144" s="5">
        <f ca="1">IFERROR(__xludf.DUMMYFUNCTION("""COMPUTED_VALUE"""),1)</f>
        <v>1</v>
      </c>
      <c r="Y144" s="5" t="str">
        <f t="shared" si="0"/>
        <v>Actividad sin realizar</v>
      </c>
      <c r="Z144" s="3">
        <f ca="1">IFERROR(VLOOKUP(U144, 'Base de datos'!A:B, 2, FALSE), "")</f>
        <v>573156712311</v>
      </c>
      <c r="AA144" s="4" t="e">
        <f t="shared" ca="1" si="1"/>
        <v>#NAME?</v>
      </c>
    </row>
    <row r="145" spans="1:27" ht="15.75" customHeight="1">
      <c r="A145" s="5" t="str">
        <f ca="1">IFERROR(__xludf.DUMMYFUNCTION("""COMPUTED_VALUE"""),"POSTOBÓN YUMBO")</f>
        <v>POSTOBÓN YUMBO</v>
      </c>
      <c r="B145" s="5" t="str">
        <f ca="1">IFERROR(__xludf.DUMMYFUNCTION("""COMPUTED_VALUE"""),"0410-LINEA 3")</f>
        <v>0410-LINEA 3</v>
      </c>
      <c r="C145" s="5" t="str">
        <f ca="1">IFERROR(__xludf.DUMMYFUNCTION("""COMPUTED_VALUE"""),"LINEA DE ENVASADO TAMAÑO PERSONAL")</f>
        <v>LINEA DE ENVASADO TAMAÑO PERSONAL</v>
      </c>
      <c r="D145" s="5">
        <f ca="1">IFERROR(__xludf.DUMMYFUNCTION("""COMPUTED_VALUE"""),829654)</f>
        <v>829654</v>
      </c>
      <c r="E145" s="5" t="str">
        <f ca="1">IFERROR(__xludf.DUMMYFUNCTION("""COMPUTED_VALUE"""),"TRANSPORTADOR DE BOTELLAS")</f>
        <v>TRANSPORTADOR DE BOTELLAS</v>
      </c>
      <c r="F145" s="5">
        <f ca="1">IFERROR(__xludf.DUMMYFUNCTION("""COMPUTED_VALUE"""),0)</f>
        <v>0</v>
      </c>
      <c r="G145" s="5" t="str">
        <f ca="1">IFERROR(__xludf.DUMMYFUNCTION("""COMPUTED_VALUE"""),"CONSUMO LUB TRANS BOTELLAS L3")</f>
        <v>CONSUMO LUB TRANS BOTELLAS L3</v>
      </c>
      <c r="H145" s="5">
        <f ca="1">IFERROR(__xludf.DUMMYFUNCTION("""COMPUTED_VALUE"""),13230952)</f>
        <v>13230952</v>
      </c>
      <c r="I145" s="5" t="str">
        <f ca="1">IFERROR(__xludf.DUMMYFUNCTION("""COMPUTED_VALUE"""),"CONSUMO LUB TRANS BOTELLAS L3")</f>
        <v>CONSUMO LUB TRANS BOTELLAS L3</v>
      </c>
      <c r="J145" s="5" t="str">
        <f ca="1">IFERROR(__xludf.DUMMYFUNCTION("""COMPUTED_VALUE"""),"MEDIO")</f>
        <v>MEDIO</v>
      </c>
      <c r="K145" s="5" t="str">
        <f ca="1">IFERROR(__xludf.DUMMYFUNCTION("""COMPUTED_VALUE"""),"Preventivo")</f>
        <v>Preventivo</v>
      </c>
      <c r="L145" s="5" t="str">
        <f ca="1">IFERROR(__xludf.DUMMYFUNCTION("""COMPUTED_VALUE"""),"Maquinaria")</f>
        <v>Maquinaria</v>
      </c>
      <c r="M145" s="5" t="str">
        <f ca="1">IFERROR(__xludf.DUMMYFUNCTION("""COMPUTED_VALUE"""),"No")</f>
        <v>No</v>
      </c>
      <c r="N145" s="5"/>
      <c r="O145" s="5"/>
      <c r="P145" s="18">
        <f ca="1">IFERROR(__xludf.DUMMYFUNCTION("""COMPUTED_VALUE"""),45325)</f>
        <v>45325</v>
      </c>
      <c r="Q145" s="18">
        <f ca="1">IFERROR(__xludf.DUMMYFUNCTION("""COMPUTED_VALUE"""),45325)</f>
        <v>45325</v>
      </c>
      <c r="R145" s="18"/>
      <c r="S145" s="5">
        <f ca="1">IFERROR(__xludf.DUMMYFUNCTION("""COMPUTED_VALUE"""),1)</f>
        <v>1</v>
      </c>
      <c r="T145" s="5"/>
      <c r="U145" s="5" t="str">
        <f ca="1">IFERROR(__xludf.DUMMYFUNCTION("""COMPUTED_VALUE"""),"Campo Rodriguez Adalcides Jesus")</f>
        <v>Campo Rodriguez Adalcides Jesus</v>
      </c>
      <c r="V145" s="5"/>
      <c r="W145" s="5" t="str">
        <f ca="1">IFERROR(__xludf.DUMMYFUNCTION("""COMPUTED_VALUE"""),"WTR7zvJ1KeI")</f>
        <v>WTR7zvJ1KeI</v>
      </c>
      <c r="X145" s="5">
        <f ca="1">IFERROR(__xludf.DUMMYFUNCTION("""COMPUTED_VALUE"""),1)</f>
        <v>1</v>
      </c>
      <c r="Y145" s="5" t="str">
        <f t="shared" si="0"/>
        <v>Actividad sin realizar</v>
      </c>
      <c r="Z145" s="3">
        <f ca="1">IFERROR(VLOOKUP(U145, 'Base de datos'!A:B, 2, FALSE), "")</f>
        <v>573045833726</v>
      </c>
      <c r="AA145" s="4" t="e">
        <f t="shared" ca="1" si="1"/>
        <v>#NAME?</v>
      </c>
    </row>
    <row r="146" spans="1:27" ht="15.75" customHeight="1">
      <c r="A146" s="5" t="str">
        <f ca="1">IFERROR(__xludf.DUMMYFUNCTION("""COMPUTED_VALUE"""),"POSTOBÓN YUMBO")</f>
        <v>POSTOBÓN YUMBO</v>
      </c>
      <c r="B146" s="5" t="str">
        <f ca="1">IFERROR(__xludf.DUMMYFUNCTION("""COMPUTED_VALUE"""),"0410-SUBESTACION ELECTRICA")</f>
        <v>0410-SUBESTACION ELECTRICA</v>
      </c>
      <c r="C146" s="5" t="str">
        <f ca="1">IFERROR(__xludf.DUMMYFUNCTION("""COMPUTED_VALUE"""),"EQUIPOS ALTA Y BAJA TENSION ELECTRICA")</f>
        <v>EQUIPOS ALTA Y BAJA TENSION ELECTRICA</v>
      </c>
      <c r="D146" s="5">
        <f ca="1">IFERROR(__xludf.DUMMYFUNCTION("""COMPUTED_VALUE"""),74928604)</f>
        <v>74928604</v>
      </c>
      <c r="E146" s="5" t="str">
        <f ca="1">IFERROR(__xludf.DUMMYFUNCTION("""COMPUTED_VALUE"""),"TRANSFORMADOR 3F 3(440V)")</f>
        <v>TRANSFORMADOR 3F 3(440V)</v>
      </c>
      <c r="F146" s="5">
        <f ca="1">IFERROR(__xludf.DUMMYFUNCTION("""COMPUTED_VALUE"""),46692)</f>
        <v>46692</v>
      </c>
      <c r="G146" s="5" t="str">
        <f ca="1">IFERROR(__xludf.DUMMYFUNCTION("""COMPUTED_VALUE"""),"PLAN MTTO PREDIC TERMOGR TRAFO 74928604")</f>
        <v>PLAN MTTO PREDIC TERMOGR TRAFO 74928604</v>
      </c>
      <c r="H146" s="5">
        <f ca="1">IFERROR(__xludf.DUMMYFUNCTION("""COMPUTED_VALUE"""),13207734)</f>
        <v>13207734</v>
      </c>
      <c r="I146" s="5" t="str">
        <f ca="1">IFERROR(__xludf.DUMMYFUNCTION("""COMPUTED_VALUE"""),"ANALISIS DE ACEITE")</f>
        <v>ANALISIS DE ACEITE</v>
      </c>
      <c r="J146" s="5" t="str">
        <f ca="1">IFERROR(__xludf.DUMMYFUNCTION("""COMPUTED_VALUE"""),"ALTO")</f>
        <v>ALTO</v>
      </c>
      <c r="K146" s="5" t="str">
        <f ca="1">IFERROR(__xludf.DUMMYFUNCTION("""COMPUTED_VALUE"""),"Predictivo")</f>
        <v>Predictivo</v>
      </c>
      <c r="L146" s="5" t="str">
        <f ca="1">IFERROR(__xludf.DUMMYFUNCTION("""COMPUTED_VALUE"""),"Maquinaria")</f>
        <v>Maquinaria</v>
      </c>
      <c r="M146" s="5" t="str">
        <f ca="1">IFERROR(__xludf.DUMMYFUNCTION("""COMPUTED_VALUE"""),"No")</f>
        <v>No</v>
      </c>
      <c r="N146" s="5"/>
      <c r="O146" s="5">
        <f ca="1">IFERROR(__xludf.DUMMYFUNCTION("""COMPUTED_VALUE"""),100)</f>
        <v>100</v>
      </c>
      <c r="P146" s="18">
        <f ca="1">IFERROR(__xludf.DUMMYFUNCTION("""COMPUTED_VALUE"""),45337)</f>
        <v>45337</v>
      </c>
      <c r="Q146" s="18">
        <f ca="1">IFERROR(__xludf.DUMMYFUNCTION("""COMPUTED_VALUE"""),45337)</f>
        <v>45337</v>
      </c>
      <c r="R146" s="18"/>
      <c r="S146" s="5">
        <f ca="1">IFERROR(__xludf.DUMMYFUNCTION("""COMPUTED_VALUE"""),1)</f>
        <v>1</v>
      </c>
      <c r="T146" s="5"/>
      <c r="U146" s="5" t="str">
        <f ca="1">IFERROR(__xludf.DUMMYFUNCTION("""COMPUTED_VALUE"""),"MUÑOZ VALENCIA JEFFERSON")</f>
        <v>MUÑOZ VALENCIA JEFFERSON</v>
      </c>
      <c r="V146" s="5"/>
      <c r="W146" s="5" t="str">
        <f ca="1">IFERROR(__xludf.DUMMYFUNCTION("""COMPUTED_VALUE"""),"chYi0Z6AZ0o")</f>
        <v>chYi0Z6AZ0o</v>
      </c>
      <c r="X146" s="5">
        <f ca="1">IFERROR(__xludf.DUMMYFUNCTION("""COMPUTED_VALUE"""),1)</f>
        <v>1</v>
      </c>
      <c r="Y146" s="5" t="str">
        <f t="shared" ca="1" si="0"/>
        <v>Actividad realizada</v>
      </c>
      <c r="Z146" s="3">
        <f ca="1">IFERROR(VLOOKUP(U146, 'Base de datos'!A:B, 2, FALSE), "")</f>
        <v>573122261803</v>
      </c>
      <c r="AA146" s="4" t="e">
        <f t="shared" ca="1" si="1"/>
        <v>#NAME?</v>
      </c>
    </row>
    <row r="147" spans="1:27" ht="15.75" customHeight="1">
      <c r="A147" s="5" t="str">
        <f ca="1">IFERROR(__xludf.DUMMYFUNCTION("""COMPUTED_VALUE"""),"POSTOBÓN YUMBO")</f>
        <v>POSTOBÓN YUMBO</v>
      </c>
      <c r="B147" s="5" t="str">
        <f ca="1">IFERROR(__xludf.DUMMYFUNCTION("""COMPUTED_VALUE"""),"0410-EQUIPOS AUXILIARES JUGOS")</f>
        <v>0410-EQUIPOS AUXILIARES JUGOS</v>
      </c>
      <c r="C147" s="5" t="str">
        <f ca="1">IFERROR(__xludf.DUMMYFUNCTION("""COMPUTED_VALUE"""),"EQUIPOS PARA SERVICIOS INDUSTRIALES JUGO")</f>
        <v>EQUIPOS PARA SERVICIOS INDUSTRIALES JUGO</v>
      </c>
      <c r="D147" s="5">
        <f ca="1">IFERROR(__xludf.DUMMYFUNCTION("""COMPUTED_VALUE"""),829058)</f>
        <v>829058</v>
      </c>
      <c r="E147" s="5" t="str">
        <f ca="1">IFERROR(__xludf.DUMMYFUNCTION("""COMPUTED_VALUE"""),"COMPRESOR DE REFRIGERACION No. 1 JUGOS")</f>
        <v>COMPRESOR DE REFRIGERACION No. 1 JUGOS</v>
      </c>
      <c r="F147" s="5">
        <f ca="1">IFERROR(__xludf.DUMMYFUNCTION("""COMPUTED_VALUE"""),0)</f>
        <v>0</v>
      </c>
      <c r="G147" s="5" t="str">
        <f ca="1">IFERROR(__xludf.DUMMYFUNCTION("""COMPUTED_VALUE"""),"CONSUMO LUB COMPRESOR TORNILLO JUGOS 1")</f>
        <v>CONSUMO LUB COMPRESOR TORNILLO JUGOS 1</v>
      </c>
      <c r="H147" s="5">
        <f ca="1">IFERROR(__xludf.DUMMYFUNCTION("""COMPUTED_VALUE"""),13230963)</f>
        <v>13230963</v>
      </c>
      <c r="I147" s="5" t="str">
        <f ca="1">IFERROR(__xludf.DUMMYFUNCTION("""COMPUTED_VALUE"""),"CONSUMO LUB COMPRESOR TORNILLO JUGOS 1")</f>
        <v>CONSUMO LUB COMPRESOR TORNILLO JUGOS 1</v>
      </c>
      <c r="J147" s="5" t="str">
        <f ca="1">IFERROR(__xludf.DUMMYFUNCTION("""COMPUTED_VALUE"""),"MEDIO")</f>
        <v>MEDIO</v>
      </c>
      <c r="K147" s="5" t="str">
        <f ca="1">IFERROR(__xludf.DUMMYFUNCTION("""COMPUTED_VALUE"""),"Preventivo")</f>
        <v>Preventivo</v>
      </c>
      <c r="L147" s="5" t="str">
        <f ca="1">IFERROR(__xludf.DUMMYFUNCTION("""COMPUTED_VALUE"""),"Maquinaria")</f>
        <v>Maquinaria</v>
      </c>
      <c r="M147" s="5" t="str">
        <f ca="1">IFERROR(__xludf.DUMMYFUNCTION("""COMPUTED_VALUE"""),"No")</f>
        <v>No</v>
      </c>
      <c r="N147" s="5"/>
      <c r="O147" s="5"/>
      <c r="P147" s="18">
        <f ca="1">IFERROR(__xludf.DUMMYFUNCTION("""COMPUTED_VALUE"""),45324)</f>
        <v>45324</v>
      </c>
      <c r="Q147" s="18">
        <f ca="1">IFERROR(__xludf.DUMMYFUNCTION("""COMPUTED_VALUE"""),45324)</f>
        <v>45324</v>
      </c>
      <c r="R147" s="18"/>
      <c r="S147" s="5">
        <f ca="1">IFERROR(__xludf.DUMMYFUNCTION("""COMPUTED_VALUE"""),1)</f>
        <v>1</v>
      </c>
      <c r="T147" s="5"/>
      <c r="U147" s="5" t="str">
        <f ca="1">IFERROR(__xludf.DUMMYFUNCTION("""COMPUTED_VALUE"""),"Lopez Raul")</f>
        <v>Lopez Raul</v>
      </c>
      <c r="V147" s="5"/>
      <c r="W147" s="5" t="str">
        <f ca="1">IFERROR(__xludf.DUMMYFUNCTION("""COMPUTED_VALUE"""),"ZGExQbMTYVA")</f>
        <v>ZGExQbMTYVA</v>
      </c>
      <c r="X147" s="5">
        <f ca="1">IFERROR(__xludf.DUMMYFUNCTION("""COMPUTED_VALUE"""),1)</f>
        <v>1</v>
      </c>
      <c r="Y147" s="5" t="str">
        <f t="shared" si="0"/>
        <v>Actividad sin realizar</v>
      </c>
      <c r="Z147" s="3">
        <f ca="1">IFERROR(VLOOKUP(U147, 'Base de datos'!A:B, 2, FALSE), "")</f>
        <v>573122172129</v>
      </c>
      <c r="AA147" s="4" t="e">
        <f t="shared" ca="1" si="1"/>
        <v>#NAME?</v>
      </c>
    </row>
    <row r="148" spans="1:27" ht="15.75" customHeight="1">
      <c r="A148" s="5" t="str">
        <f ca="1">IFERROR(__xludf.DUMMYFUNCTION("""COMPUTED_VALUE"""),"POSTOBÓN YUMBO")</f>
        <v>POSTOBÓN YUMBO</v>
      </c>
      <c r="B148" s="5" t="str">
        <f ca="1">IFERROR(__xludf.DUMMYFUNCTION("""COMPUTED_VALUE"""),"0410-LINEA 2")</f>
        <v>0410-LINEA 2</v>
      </c>
      <c r="C148" s="5" t="str">
        <f ca="1">IFERROR(__xludf.DUMMYFUNCTION("""COMPUTED_VALUE"""),"LINEA DE ENVASADO FAMILIAR Y PRB")</f>
        <v>LINEA DE ENVASADO FAMILIAR Y PRB</v>
      </c>
      <c r="D148" s="5">
        <f ca="1">IFERROR(__xludf.DUMMYFUNCTION("""COMPUTED_VALUE"""),900234)</f>
        <v>900234</v>
      </c>
      <c r="E148" s="5" t="str">
        <f ca="1">IFERROR(__xludf.DUMMYFUNCTION("""COMPUTED_VALUE"""),"PROCESADOR DE BEBIDA")</f>
        <v>PROCESADOR DE BEBIDA</v>
      </c>
      <c r="F148" s="5">
        <f ca="1">IFERROR(__xludf.DUMMYFUNCTION("""COMPUTED_VALUE"""),17379)</f>
        <v>17379</v>
      </c>
      <c r="G148" s="5" t="str">
        <f ca="1">IFERROR(__xludf.DUMMYFUNCTION("""COMPUTED_VALUE"""),"PLAN DE MTTO MECA.CONTIFLOW L2 900234")</f>
        <v>PLAN DE MTTO MECA.CONTIFLOW L2 900234</v>
      </c>
      <c r="H148" s="5">
        <f ca="1">IFERROR(__xludf.DUMMYFUNCTION("""COMPUTED_VALUE"""),13247174)</f>
        <v>13247174</v>
      </c>
      <c r="I148" s="5" t="str">
        <f ca="1">IFERROR(__xludf.DUMMYFUNCTION("""COMPUTED_VALUE"""),"ANTON PAAR - dentro de la cubierta de")</f>
        <v>ANTON PAAR - dentro de la cubierta de</v>
      </c>
      <c r="J148" s="5" t="str">
        <f ca="1">IFERROR(__xludf.DUMMYFUNCTION("""COMPUTED_VALUE"""),"ALTO")</f>
        <v>ALTO</v>
      </c>
      <c r="K148" s="5" t="str">
        <f ca="1">IFERROR(__xludf.DUMMYFUNCTION("""COMPUTED_VALUE"""),"Preventivo")</f>
        <v>Preventivo</v>
      </c>
      <c r="L148" s="5" t="str">
        <f ca="1">IFERROR(__xludf.DUMMYFUNCTION("""COMPUTED_VALUE"""),"Maquinaria")</f>
        <v>Maquinaria</v>
      </c>
      <c r="M148" s="5" t="str">
        <f ca="1">IFERROR(__xludf.DUMMYFUNCTION("""COMPUTED_VALUE"""),"No")</f>
        <v>No</v>
      </c>
      <c r="N148" s="5"/>
      <c r="O148" s="5"/>
      <c r="P148" s="18">
        <f ca="1">IFERROR(__xludf.DUMMYFUNCTION("""COMPUTED_VALUE"""),45324)</f>
        <v>45324</v>
      </c>
      <c r="Q148" s="18">
        <f ca="1">IFERROR(__xludf.DUMMYFUNCTION("""COMPUTED_VALUE"""),45324)</f>
        <v>45324</v>
      </c>
      <c r="R148" s="18"/>
      <c r="S148" s="5">
        <f ca="1">IFERROR(__xludf.DUMMYFUNCTION("""COMPUTED_VALUE"""),1)</f>
        <v>1</v>
      </c>
      <c r="T148" s="5"/>
      <c r="U148" s="5" t="str">
        <f ca="1">IFERROR(__xludf.DUMMYFUNCTION("""COMPUTED_VALUE"""),"Paz Paz Jhon Estiven")</f>
        <v>Paz Paz Jhon Estiven</v>
      </c>
      <c r="V148" s="5"/>
      <c r="W148" s="5" t="str">
        <f ca="1">IFERROR(__xludf.DUMMYFUNCTION("""COMPUTED_VALUE"""),"m_7EhYE84qU")</f>
        <v>m_7EhYE84qU</v>
      </c>
      <c r="X148" s="5">
        <f ca="1">IFERROR(__xludf.DUMMYFUNCTION("""COMPUTED_VALUE"""),1)</f>
        <v>1</v>
      </c>
      <c r="Y148" s="5" t="str">
        <f t="shared" si="0"/>
        <v>Actividad sin realizar</v>
      </c>
      <c r="Z148" s="3">
        <f ca="1">IFERROR(VLOOKUP(U148, 'Base de datos'!A:B, 2, FALSE), "")</f>
        <v>573117137924</v>
      </c>
      <c r="AA148" s="4" t="e">
        <f t="shared" ca="1" si="1"/>
        <v>#NAME?</v>
      </c>
    </row>
    <row r="149" spans="1:27" ht="15.75" customHeight="1">
      <c r="A149" s="5" t="str">
        <f ca="1">IFERROR(__xludf.DUMMYFUNCTION("""COMPUTED_VALUE"""),"POSTOBÓN YUMBO")</f>
        <v>POSTOBÓN YUMBO</v>
      </c>
      <c r="B149" s="5" t="str">
        <f ca="1">IFERROR(__xludf.DUMMYFUNCTION("""COMPUTED_VALUE"""),"0410-LINEA DE BOLSAS")</f>
        <v>0410-LINEA DE BOLSAS</v>
      </c>
      <c r="C149" s="5" t="str">
        <f ca="1">IFERROR(__xludf.DUMMYFUNCTION("""COMPUTED_VALUE"""),"LINEA PARA EL LLENADO DE BOLSAS")</f>
        <v>LINEA PARA EL LLENADO DE BOLSAS</v>
      </c>
      <c r="D149" s="5">
        <f ca="1">IFERROR(__xludf.DUMMYFUNCTION("""COMPUTED_VALUE"""),710199)</f>
        <v>710199</v>
      </c>
      <c r="E149" s="5" t="str">
        <f ca="1">IFERROR(__xludf.DUMMYFUNCTION("""COMPUTED_VALUE"""),"LLENADORA DE BOLSAS LINEA 5")</f>
        <v>LLENADORA DE BOLSAS LINEA 5</v>
      </c>
      <c r="F149" s="5">
        <f ca="1">IFERROR(__xludf.DUMMYFUNCTION("""COMPUTED_VALUE"""),22715)</f>
        <v>22715</v>
      </c>
      <c r="G149" s="5" t="str">
        <f ca="1">IFERROR(__xludf.DUMMYFUNCTION("""COMPUTED_VALUE"""),"PLAN MTTO MEC LLENADORA BOLSA 5L 710199")</f>
        <v>PLAN MTTO MEC LLENADORA BOLSA 5L 710199</v>
      </c>
      <c r="H149" s="5">
        <f ca="1">IFERROR(__xludf.DUMMYFUNCTION("""COMPUTED_VALUE"""),13207464)</f>
        <v>13207464</v>
      </c>
      <c r="I149" s="5" t="str">
        <f ca="1">IFERROR(__xludf.DUMMYFUNCTION("""COMPUTED_VALUE"""),"seguidor levas sellado")</f>
        <v>seguidor levas sellado</v>
      </c>
      <c r="J149" s="5" t="str">
        <f ca="1">IFERROR(__xludf.DUMMYFUNCTION("""COMPUTED_VALUE"""),"ALTO")</f>
        <v>ALTO</v>
      </c>
      <c r="K149" s="5" t="str">
        <f ca="1">IFERROR(__xludf.DUMMYFUNCTION("""COMPUTED_VALUE"""),"Preventivo")</f>
        <v>Preventivo</v>
      </c>
      <c r="L149" s="5" t="str">
        <f ca="1">IFERROR(__xludf.DUMMYFUNCTION("""COMPUTED_VALUE"""),"Maquinaria")</f>
        <v>Maquinaria</v>
      </c>
      <c r="M149" s="5" t="str">
        <f ca="1">IFERROR(__xludf.DUMMYFUNCTION("""COMPUTED_VALUE"""),"No")</f>
        <v>No</v>
      </c>
      <c r="N149" s="5"/>
      <c r="O149" s="5"/>
      <c r="P149" s="18">
        <f ca="1">IFERROR(__xludf.DUMMYFUNCTION("""COMPUTED_VALUE"""),45348)</f>
        <v>45348</v>
      </c>
      <c r="Q149" s="18">
        <f ca="1">IFERROR(__xludf.DUMMYFUNCTION("""COMPUTED_VALUE"""),45348)</f>
        <v>45348</v>
      </c>
      <c r="R149" s="18"/>
      <c r="S149" s="5">
        <f ca="1">IFERROR(__xludf.DUMMYFUNCTION("""COMPUTED_VALUE"""),2)</f>
        <v>2</v>
      </c>
      <c r="T149" s="5"/>
      <c r="U149" s="5" t="str">
        <f ca="1">IFERROR(__xludf.DUMMYFUNCTION("""COMPUTED_VALUE"""),"ESTEBAN POTOSI ISAZA")</f>
        <v>ESTEBAN POTOSI ISAZA</v>
      </c>
      <c r="V149" s="5"/>
      <c r="W149" s="5" t="str">
        <f ca="1">IFERROR(__xludf.DUMMYFUNCTION("""COMPUTED_VALUE"""),"gQb5yFvIoXk")</f>
        <v>gQb5yFvIoXk</v>
      </c>
      <c r="X149" s="5">
        <f ca="1">IFERROR(__xludf.DUMMYFUNCTION("""COMPUTED_VALUE"""),2)</f>
        <v>2</v>
      </c>
      <c r="Y149" s="5" t="str">
        <f t="shared" si="0"/>
        <v>Actividad sin realizar</v>
      </c>
      <c r="Z149" s="3">
        <f ca="1">IFERROR(VLOOKUP(U149, 'Base de datos'!A:B, 2, FALSE), "")</f>
        <v>573128543241</v>
      </c>
      <c r="AA149" s="4" t="e">
        <f t="shared" ca="1" si="1"/>
        <v>#NAME?</v>
      </c>
    </row>
    <row r="150" spans="1:27" ht="15.75" customHeight="1">
      <c r="A150" s="5" t="str">
        <f ca="1">IFERROR(__xludf.DUMMYFUNCTION("""COMPUTED_VALUE"""),"POSTOBÓN YUMBO")</f>
        <v>POSTOBÓN YUMBO</v>
      </c>
      <c r="B150" s="5" t="str">
        <f ca="1">IFERROR(__xludf.DUMMYFUNCTION("""COMPUTED_VALUE"""),"0410-LINEA DE BOLSAS")</f>
        <v>0410-LINEA DE BOLSAS</v>
      </c>
      <c r="C150" s="5" t="str">
        <f ca="1">IFERROR(__xludf.DUMMYFUNCTION("""COMPUTED_VALUE"""),"LINEA PARA EL LLENADO DE BOLSAS")</f>
        <v>LINEA PARA EL LLENADO DE BOLSAS</v>
      </c>
      <c r="D150" s="5">
        <f ca="1">IFERROR(__xludf.DUMMYFUNCTION("""COMPUTED_VALUE"""),710199)</f>
        <v>710199</v>
      </c>
      <c r="E150" s="5" t="str">
        <f ca="1">IFERROR(__xludf.DUMMYFUNCTION("""COMPUTED_VALUE"""),"LLENADORA DE BOLSAS LINEA 5")</f>
        <v>LLENADORA DE BOLSAS LINEA 5</v>
      </c>
      <c r="F150" s="5">
        <f ca="1">IFERROR(__xludf.DUMMYFUNCTION("""COMPUTED_VALUE"""),22715)</f>
        <v>22715</v>
      </c>
      <c r="G150" s="5" t="str">
        <f ca="1">IFERROR(__xludf.DUMMYFUNCTION("""COMPUTED_VALUE"""),"PLAN MTTO MEC LLENADORA BOLSA 5L 710199")</f>
        <v>PLAN MTTO MEC LLENADORA BOLSA 5L 710199</v>
      </c>
      <c r="H150" s="5">
        <f ca="1">IFERROR(__xludf.DUMMYFUNCTION("""COMPUTED_VALUE"""),13207464)</f>
        <v>13207464</v>
      </c>
      <c r="I150" s="5" t="str">
        <f ca="1">IFERROR(__xludf.DUMMYFUNCTION("""COMPUTED_VALUE"""),"Bomba sumergible")</f>
        <v>Bomba sumergible</v>
      </c>
      <c r="J150" s="5" t="str">
        <f ca="1">IFERROR(__xludf.DUMMYFUNCTION("""COMPUTED_VALUE"""),"ALTO")</f>
        <v>ALTO</v>
      </c>
      <c r="K150" s="5" t="str">
        <f ca="1">IFERROR(__xludf.DUMMYFUNCTION("""COMPUTED_VALUE"""),"Preventivo")</f>
        <v>Preventivo</v>
      </c>
      <c r="L150" s="5" t="str">
        <f ca="1">IFERROR(__xludf.DUMMYFUNCTION("""COMPUTED_VALUE"""),"Maquinaria")</f>
        <v>Maquinaria</v>
      </c>
      <c r="M150" s="5" t="str">
        <f ca="1">IFERROR(__xludf.DUMMYFUNCTION("""COMPUTED_VALUE"""),"No")</f>
        <v>No</v>
      </c>
      <c r="N150" s="5"/>
      <c r="O150" s="5"/>
      <c r="P150" s="18">
        <f ca="1">IFERROR(__xludf.DUMMYFUNCTION("""COMPUTED_VALUE"""),45348)</f>
        <v>45348</v>
      </c>
      <c r="Q150" s="18">
        <f ca="1">IFERROR(__xludf.DUMMYFUNCTION("""COMPUTED_VALUE"""),45348)</f>
        <v>45348</v>
      </c>
      <c r="R150" s="18"/>
      <c r="S150" s="5">
        <f ca="1">IFERROR(__xludf.DUMMYFUNCTION("""COMPUTED_VALUE"""),2)</f>
        <v>2</v>
      </c>
      <c r="T150" s="5"/>
      <c r="U150" s="5" t="str">
        <f ca="1">IFERROR(__xludf.DUMMYFUNCTION("""COMPUTED_VALUE"""),"ESTEBAN POTOSI ISAZA")</f>
        <v>ESTEBAN POTOSI ISAZA</v>
      </c>
      <c r="V150" s="5"/>
      <c r="W150" s="5" t="str">
        <f ca="1">IFERROR(__xludf.DUMMYFUNCTION("""COMPUTED_VALUE"""),"94RlBUo6G6Q")</f>
        <v>94RlBUo6G6Q</v>
      </c>
      <c r="X150" s="5">
        <f ca="1">IFERROR(__xludf.DUMMYFUNCTION("""COMPUTED_VALUE"""),2)</f>
        <v>2</v>
      </c>
      <c r="Y150" s="5" t="str">
        <f t="shared" si="0"/>
        <v>Actividad sin realizar</v>
      </c>
      <c r="Z150" s="3">
        <f ca="1">IFERROR(VLOOKUP(U150, 'Base de datos'!A:B, 2, FALSE), "")</f>
        <v>573128543241</v>
      </c>
      <c r="AA150" s="4" t="e">
        <f t="shared" ca="1" si="1"/>
        <v>#NAME?</v>
      </c>
    </row>
    <row r="151" spans="1:27" ht="15.75" customHeight="1">
      <c r="A151" s="5" t="str">
        <f ca="1">IFERROR(__xludf.DUMMYFUNCTION("""COMPUTED_VALUE"""),"POSTOBÓN YUMBO")</f>
        <v>POSTOBÓN YUMBO</v>
      </c>
      <c r="B151" s="5" t="str">
        <f ca="1">IFERROR(__xludf.DUMMYFUNCTION("""COMPUTED_VALUE"""),"0410-PLANTA DE AGUA ENVASADO")</f>
        <v>0410-PLANTA DE AGUA ENVASADO</v>
      </c>
      <c r="C151" s="5" t="str">
        <f ca="1">IFERROR(__xludf.DUMMYFUNCTION("""COMPUTED_VALUE"""),"TRATAMIENTO DE AGUA PARA ENVASADO")</f>
        <v>TRATAMIENTO DE AGUA PARA ENVASADO</v>
      </c>
      <c r="D151" s="5">
        <f ca="1">IFERROR(__xludf.DUMMYFUNCTION("""COMPUTED_VALUE"""),70948947)</f>
        <v>70948947</v>
      </c>
      <c r="E151" s="5" t="str">
        <f ca="1">IFERROR(__xludf.DUMMYFUNCTION("""COMPUTED_VALUE"""),"ESPESADOR DE LODOS - TRAT PRIM")</f>
        <v>ESPESADOR DE LODOS - TRAT PRIM</v>
      </c>
      <c r="F151" s="5">
        <f ca="1">IFERROR(__xludf.DUMMYFUNCTION("""COMPUTED_VALUE"""),31350)</f>
        <v>31350</v>
      </c>
      <c r="G151" s="5" t="str">
        <f ca="1">IFERROR(__xludf.DUMMYFUNCTION("""COMPUTED_VALUE"""),"PLAN MTTO ELE ESPESADOR DE LODOS - TRAT")</f>
        <v>PLAN MTTO ELE ESPESADOR DE LODOS - TRAT</v>
      </c>
      <c r="H151" s="5">
        <f ca="1">IFERROR(__xludf.DUMMYFUNCTION("""COMPUTED_VALUE"""),13207484)</f>
        <v>13207484</v>
      </c>
      <c r="I151" s="5" t="str">
        <f ca="1">IFERROR(__xludf.DUMMYFUNCTION("""COMPUTED_VALUE"""),"REVISION/LIMPIEZA ESCOBILLAS GIRO")</f>
        <v>REVISION/LIMPIEZA ESCOBILLAS GIRO</v>
      </c>
      <c r="J151" s="5" t="str">
        <f ca="1">IFERROR(__xludf.DUMMYFUNCTION("""COMPUTED_VALUE"""),"ALTO")</f>
        <v>ALTO</v>
      </c>
      <c r="K151" s="5" t="str">
        <f ca="1">IFERROR(__xludf.DUMMYFUNCTION("""COMPUTED_VALUE"""),"Preventivo")</f>
        <v>Preventivo</v>
      </c>
      <c r="L151" s="5" t="str">
        <f ca="1">IFERROR(__xludf.DUMMYFUNCTION("""COMPUTED_VALUE"""),"Maquinaria")</f>
        <v>Maquinaria</v>
      </c>
      <c r="M151" s="5" t="str">
        <f ca="1">IFERROR(__xludf.DUMMYFUNCTION("""COMPUTED_VALUE"""),"No")</f>
        <v>No</v>
      </c>
      <c r="N151" s="5"/>
      <c r="O151" s="5"/>
      <c r="P151" s="18">
        <f ca="1">IFERROR(__xludf.DUMMYFUNCTION("""COMPUTED_VALUE"""),45344)</f>
        <v>45344</v>
      </c>
      <c r="Q151" s="18">
        <f ca="1">IFERROR(__xludf.DUMMYFUNCTION("""COMPUTED_VALUE"""),45344)</f>
        <v>45344</v>
      </c>
      <c r="R151" s="18"/>
      <c r="S151" s="5">
        <f ca="1">IFERROR(__xludf.DUMMYFUNCTION("""COMPUTED_VALUE"""),1)</f>
        <v>1</v>
      </c>
      <c r="T151" s="5"/>
      <c r="U151" s="5" t="str">
        <f ca="1">IFERROR(__xludf.DUMMYFUNCTION("""COMPUTED_VALUE"""),"Guzman Palechor Miguel Angel")</f>
        <v>Guzman Palechor Miguel Angel</v>
      </c>
      <c r="V151" s="5"/>
      <c r="W151" s="5" t="str">
        <f ca="1">IFERROR(__xludf.DUMMYFUNCTION("""COMPUTED_VALUE"""),"mFZTtvTZr58")</f>
        <v>mFZTtvTZr58</v>
      </c>
      <c r="X151" s="5">
        <f ca="1">IFERROR(__xludf.DUMMYFUNCTION("""COMPUTED_VALUE"""),1)</f>
        <v>1</v>
      </c>
      <c r="Y151" s="5" t="str">
        <f t="shared" si="0"/>
        <v>Actividad sin realizar</v>
      </c>
      <c r="Z151" s="3">
        <f ca="1">IFERROR(VLOOKUP(U151, 'Base de datos'!A:B, 2, FALSE), "")</f>
        <v>573112422176</v>
      </c>
      <c r="AA151" s="4" t="e">
        <f t="shared" ca="1" si="1"/>
        <v>#NAME?</v>
      </c>
    </row>
    <row r="152" spans="1:27" ht="15.75" customHeight="1">
      <c r="A152" s="5" t="str">
        <f ca="1">IFERROR(__xludf.DUMMYFUNCTION("""COMPUTED_VALUE"""),"POSTOBÓN YUMBO")</f>
        <v>POSTOBÓN YUMBO</v>
      </c>
      <c r="B152" s="5" t="str">
        <f ca="1">IFERROR(__xludf.DUMMYFUNCTION("""COMPUTED_VALUE"""),"0410-SUBESTACION ELECTRICA")</f>
        <v>0410-SUBESTACION ELECTRICA</v>
      </c>
      <c r="C152" s="5" t="str">
        <f ca="1">IFERROR(__xludf.DUMMYFUNCTION("""COMPUTED_VALUE"""),"EQUIPOS ALTA Y BAJA TENSION ELECTRICA")</f>
        <v>EQUIPOS ALTA Y BAJA TENSION ELECTRICA</v>
      </c>
      <c r="D152" s="5">
        <f ca="1">IFERROR(__xludf.DUMMYFUNCTION("""COMPUTED_VALUE"""),74928601)</f>
        <v>74928601</v>
      </c>
      <c r="E152" s="5" t="str">
        <f ca="1">IFERROR(__xludf.DUMMYFUNCTION("""COMPUTED_VALUE"""),"TRANSFORMADOR 3F")</f>
        <v>TRANSFORMADOR 3F</v>
      </c>
      <c r="F152" s="5">
        <f ca="1">IFERROR(__xludf.DUMMYFUNCTION("""COMPUTED_VALUE"""),46692)</f>
        <v>46692</v>
      </c>
      <c r="G152" s="5" t="str">
        <f ca="1">IFERROR(__xludf.DUMMYFUNCTION("""COMPUTED_VALUE"""),"PLAN MTTO PREDIC TERMOGR TRAFO 74928601")</f>
        <v>PLAN MTTO PREDIC TERMOGR TRAFO 74928601</v>
      </c>
      <c r="H152" s="5">
        <f ca="1">IFERROR(__xludf.DUMMYFUNCTION("""COMPUTED_VALUE"""),13207737)</f>
        <v>13207737</v>
      </c>
      <c r="I152" s="5" t="str">
        <f ca="1">IFERROR(__xludf.DUMMYFUNCTION("""COMPUTED_VALUE"""),"ANALISIS DE ACEITE")</f>
        <v>ANALISIS DE ACEITE</v>
      </c>
      <c r="J152" s="5" t="str">
        <f ca="1">IFERROR(__xludf.DUMMYFUNCTION("""COMPUTED_VALUE"""),"ALTO")</f>
        <v>ALTO</v>
      </c>
      <c r="K152" s="5" t="str">
        <f ca="1">IFERROR(__xludf.DUMMYFUNCTION("""COMPUTED_VALUE"""),"Predictivo")</f>
        <v>Predictivo</v>
      </c>
      <c r="L152" s="5" t="str">
        <f ca="1">IFERROR(__xludf.DUMMYFUNCTION("""COMPUTED_VALUE"""),"Maquinaria")</f>
        <v>Maquinaria</v>
      </c>
      <c r="M152" s="5" t="str">
        <f ca="1">IFERROR(__xludf.DUMMYFUNCTION("""COMPUTED_VALUE"""),"No")</f>
        <v>No</v>
      </c>
      <c r="N152" s="5"/>
      <c r="O152" s="5">
        <f ca="1">IFERROR(__xludf.DUMMYFUNCTION("""COMPUTED_VALUE"""),100)</f>
        <v>100</v>
      </c>
      <c r="P152" s="18">
        <f ca="1">IFERROR(__xludf.DUMMYFUNCTION("""COMPUTED_VALUE"""),45337)</f>
        <v>45337</v>
      </c>
      <c r="Q152" s="18">
        <f ca="1">IFERROR(__xludf.DUMMYFUNCTION("""COMPUTED_VALUE"""),45337)</f>
        <v>45337</v>
      </c>
      <c r="R152" s="18"/>
      <c r="S152" s="5">
        <f ca="1">IFERROR(__xludf.DUMMYFUNCTION("""COMPUTED_VALUE"""),1)</f>
        <v>1</v>
      </c>
      <c r="T152" s="5"/>
      <c r="U152" s="5" t="str">
        <f ca="1">IFERROR(__xludf.DUMMYFUNCTION("""COMPUTED_VALUE"""),"MUÑOZ VALENCIA JEFFERSON")</f>
        <v>MUÑOZ VALENCIA JEFFERSON</v>
      </c>
      <c r="V152" s="5"/>
      <c r="W152" s="5" t="str">
        <f ca="1">IFERROR(__xludf.DUMMYFUNCTION("""COMPUTED_VALUE"""),"__sfOxELNEQ")</f>
        <v>__sfOxELNEQ</v>
      </c>
      <c r="X152" s="5">
        <f ca="1">IFERROR(__xludf.DUMMYFUNCTION("""COMPUTED_VALUE"""),1)</f>
        <v>1</v>
      </c>
      <c r="Y152" s="5" t="str">
        <f t="shared" ca="1" si="0"/>
        <v>Actividad realizada</v>
      </c>
      <c r="Z152" s="3">
        <f ca="1">IFERROR(VLOOKUP(U152, 'Base de datos'!A:B, 2, FALSE), "")</f>
        <v>573122261803</v>
      </c>
      <c r="AA152" s="4" t="e">
        <f t="shared" ca="1" si="1"/>
        <v>#NAME?</v>
      </c>
    </row>
    <row r="153" spans="1:27" ht="15.75" customHeight="1">
      <c r="A153" s="5" t="str">
        <f ca="1">IFERROR(__xludf.DUMMYFUNCTION("""COMPUTED_VALUE"""),"POSTOBÓN YUMBO")</f>
        <v>POSTOBÓN YUMBO</v>
      </c>
      <c r="B153" s="5" t="str">
        <f ca="1">IFERROR(__xludf.DUMMYFUNCTION("""COMPUTED_VALUE"""),"0410-LINEA PET CSD")</f>
        <v>0410-LINEA PET CSD</v>
      </c>
      <c r="C153" s="5" t="str">
        <f ca="1">IFERROR(__xludf.DUMMYFUNCTION("""COMPUTED_VALUE"""),"LINEA PET CSD - LINEA 10")</f>
        <v>LINEA PET CSD - LINEA 10</v>
      </c>
      <c r="D153" s="5">
        <f ca="1">IFERROR(__xludf.DUMMYFUNCTION("""COMPUTED_VALUE"""),579080)</f>
        <v>579080</v>
      </c>
      <c r="E153" s="5" t="str">
        <f ca="1">IFERROR(__xludf.DUMMYFUNCTION("""COMPUTED_VALUE"""),"PALETIZADORA")</f>
        <v>PALETIZADORA</v>
      </c>
      <c r="F153" s="5">
        <f ca="1">IFERROR(__xludf.DUMMYFUNCTION("""COMPUTED_VALUE"""),0)</f>
        <v>0</v>
      </c>
      <c r="G153" s="5" t="str">
        <f ca="1">IFERROR(__xludf.DUMMYFUNCTION("""COMPUTED_VALUE"""),"CONSUMO LUB PALETIZADORA L10")</f>
        <v>CONSUMO LUB PALETIZADORA L10</v>
      </c>
      <c r="H153" s="5">
        <f ca="1">IFERROR(__xludf.DUMMYFUNCTION("""COMPUTED_VALUE"""),13230955)</f>
        <v>13230955</v>
      </c>
      <c r="I153" s="5" t="str">
        <f ca="1">IFERROR(__xludf.DUMMYFUNCTION("""COMPUTED_VALUE"""),"CONSUMO LUBRICANTES ENERO 2024")</f>
        <v>CONSUMO LUBRICANTES ENERO 2024</v>
      </c>
      <c r="J153" s="5" t="str">
        <f ca="1">IFERROR(__xludf.DUMMYFUNCTION("""COMPUTED_VALUE"""),"MEDIO")</f>
        <v>MEDIO</v>
      </c>
      <c r="K153" s="5" t="str">
        <f ca="1">IFERROR(__xludf.DUMMYFUNCTION("""COMPUTED_VALUE"""),"Preventivo")</f>
        <v>Preventivo</v>
      </c>
      <c r="L153" s="5" t="str">
        <f ca="1">IFERROR(__xludf.DUMMYFUNCTION("""COMPUTED_VALUE"""),"Maquinaria")</f>
        <v>Maquinaria</v>
      </c>
      <c r="M153" s="5" t="str">
        <f ca="1">IFERROR(__xludf.DUMMYFUNCTION("""COMPUTED_VALUE"""),"No")</f>
        <v>No</v>
      </c>
      <c r="N153" s="5"/>
      <c r="O153" s="5">
        <f ca="1">IFERROR(__xludf.DUMMYFUNCTION("""COMPUTED_VALUE"""),100)</f>
        <v>100</v>
      </c>
      <c r="P153" s="18">
        <f ca="1">IFERROR(__xludf.DUMMYFUNCTION("""COMPUTED_VALUE"""),45325)</f>
        <v>45325</v>
      </c>
      <c r="Q153" s="18">
        <f ca="1">IFERROR(__xludf.DUMMYFUNCTION("""COMPUTED_VALUE"""),45325)</f>
        <v>45325</v>
      </c>
      <c r="R153" s="18"/>
      <c r="S153" s="5">
        <f ca="1">IFERROR(__xludf.DUMMYFUNCTION("""COMPUTED_VALUE"""),1)</f>
        <v>1</v>
      </c>
      <c r="T153" s="5"/>
      <c r="U153" s="5" t="str">
        <f ca="1">IFERROR(__xludf.DUMMYFUNCTION("""COMPUTED_VALUE"""),"Lucumi Juan")</f>
        <v>Lucumi Juan</v>
      </c>
      <c r="V153" s="5"/>
      <c r="W153" s="5" t="str">
        <f ca="1">IFERROR(__xludf.DUMMYFUNCTION("""COMPUTED_VALUE"""),"4e5lMO1A800")</f>
        <v>4e5lMO1A800</v>
      </c>
      <c r="X153" s="5">
        <f ca="1">IFERROR(__xludf.DUMMYFUNCTION("""COMPUTED_VALUE"""),1)</f>
        <v>1</v>
      </c>
      <c r="Y153" s="5" t="str">
        <f t="shared" ca="1" si="0"/>
        <v>Actividad realizada</v>
      </c>
      <c r="Z153" s="3">
        <f ca="1">IFERROR(VLOOKUP(U153, 'Base de datos'!A:B, 2, FALSE), "")</f>
        <v>573042194088</v>
      </c>
      <c r="AA153" s="4" t="e">
        <f t="shared" ca="1" si="1"/>
        <v>#NAME?</v>
      </c>
    </row>
    <row r="154" spans="1:27" ht="15.75" customHeight="1">
      <c r="A154" s="5" t="str">
        <f ca="1">IFERROR(__xludf.DUMMYFUNCTION("""COMPUTED_VALUE"""),"POSTOBÓN YUMBO")</f>
        <v>POSTOBÓN YUMBO</v>
      </c>
      <c r="B154" s="5" t="str">
        <f ca="1">IFERROR(__xludf.DUMMYFUNCTION("""COMPUTED_VALUE"""),"0410-LINEA 1")</f>
        <v>0410-LINEA 1</v>
      </c>
      <c r="C154" s="5" t="str">
        <f ca="1">IFERROR(__xludf.DUMMYFUNCTION("""COMPUTED_VALUE"""),"LINEA DE ENVASADO PET NO RETORNABLE")</f>
        <v>LINEA DE ENVASADO PET NO RETORNABLE</v>
      </c>
      <c r="D154" s="5">
        <f ca="1">IFERROR(__xludf.DUMMYFUNCTION("""COMPUTED_VALUE"""),900232)</f>
        <v>900232</v>
      </c>
      <c r="E154" s="5" t="str">
        <f ca="1">IFERROR(__xludf.DUMMYFUNCTION("""COMPUTED_VALUE"""),"PALETIZADORA")</f>
        <v>PALETIZADORA</v>
      </c>
      <c r="F154" s="5">
        <f ca="1">IFERROR(__xludf.DUMMYFUNCTION("""COMPUTED_VALUE"""),37873)</f>
        <v>37873</v>
      </c>
      <c r="G154" s="5" t="str">
        <f ca="1">IFERROR(__xludf.DUMMYFUNCTION("""COMPUTED_VALUE"""),"INSPECCION SEMANAL PALETIZADORA")</f>
        <v>INSPECCION SEMANAL PALETIZADORA</v>
      </c>
      <c r="H154" s="5">
        <f ca="1">IFERROR(__xludf.DUMMYFUNCTION("""COMPUTED_VALUE"""),13227788)</f>
        <v>13227788</v>
      </c>
      <c r="I154" s="5" t="str">
        <f ca="1">IFERROR(__xludf.DUMMYFUNCTION("""COMPUTED_VALUE"""),"Cambio mesa estacion cargue y rodillos")</f>
        <v>Cambio mesa estacion cargue y rodillos</v>
      </c>
      <c r="J154" s="5" t="str">
        <f ca="1">IFERROR(__xludf.DUMMYFUNCTION("""COMPUTED_VALUE"""),"MEDIO")</f>
        <v>MEDIO</v>
      </c>
      <c r="K154" s="5" t="str">
        <f ca="1">IFERROR(__xludf.DUMMYFUNCTION("""COMPUTED_VALUE"""),"Preventivo")</f>
        <v>Preventivo</v>
      </c>
      <c r="L154" s="5" t="str">
        <f ca="1">IFERROR(__xludf.DUMMYFUNCTION("""COMPUTED_VALUE"""),"Maquinaria")</f>
        <v>Maquinaria</v>
      </c>
      <c r="M154" s="5" t="str">
        <f ca="1">IFERROR(__xludf.DUMMYFUNCTION("""COMPUTED_VALUE"""),"No")</f>
        <v>No</v>
      </c>
      <c r="N154" s="5"/>
      <c r="O154" s="5"/>
      <c r="P154" s="18">
        <f ca="1">IFERROR(__xludf.DUMMYFUNCTION("""COMPUTED_VALUE"""),45342)</f>
        <v>45342</v>
      </c>
      <c r="Q154" s="18">
        <f ca="1">IFERROR(__xludf.DUMMYFUNCTION("""COMPUTED_VALUE"""),45342)</f>
        <v>45342</v>
      </c>
      <c r="R154" s="18"/>
      <c r="S154" s="5">
        <f ca="1">IFERROR(__xludf.DUMMYFUNCTION("""COMPUTED_VALUE"""),4)</f>
        <v>4</v>
      </c>
      <c r="T154" s="5"/>
      <c r="U154" s="5" t="str">
        <f ca="1">IFERROR(__xludf.DUMMYFUNCTION("""COMPUTED_VALUE"""),"Astaiza Hernandez John Eyder")</f>
        <v>Astaiza Hernandez John Eyder</v>
      </c>
      <c r="V154" s="5"/>
      <c r="W154" s="5" t="str">
        <f ca="1">IFERROR(__xludf.DUMMYFUNCTION("""COMPUTED_VALUE"""),"lsqtMyzrBoo")</f>
        <v>lsqtMyzrBoo</v>
      </c>
      <c r="X154" s="5">
        <f ca="1">IFERROR(__xludf.DUMMYFUNCTION("""COMPUTED_VALUE"""),4)</f>
        <v>4</v>
      </c>
      <c r="Y154" s="5" t="str">
        <f t="shared" si="0"/>
        <v>Actividad sin realizar</v>
      </c>
      <c r="Z154" s="3">
        <f ca="1">IFERROR(VLOOKUP(U154, 'Base de datos'!A:B, 2, FALSE), "")</f>
        <v>573016653684</v>
      </c>
      <c r="AA154" s="4" t="e">
        <f t="shared" ca="1" si="1"/>
        <v>#NAME?</v>
      </c>
    </row>
    <row r="155" spans="1:27" ht="15.75" customHeight="1">
      <c r="A155" s="5" t="str">
        <f ca="1">IFERROR(__xludf.DUMMYFUNCTION("""COMPUTED_VALUE"""),"POSTOBÓN YUMBO")</f>
        <v>POSTOBÓN YUMBO</v>
      </c>
      <c r="B155" s="5" t="str">
        <f ca="1">IFERROR(__xludf.DUMMYFUNCTION("""COMPUTED_VALUE"""),"0410-LINEA 1")</f>
        <v>0410-LINEA 1</v>
      </c>
      <c r="C155" s="5" t="str">
        <f ca="1">IFERROR(__xludf.DUMMYFUNCTION("""COMPUTED_VALUE"""),"LINEA DE ENVASADO PET NO RETORNABLE")</f>
        <v>LINEA DE ENVASADO PET NO RETORNABLE</v>
      </c>
      <c r="D155" s="5">
        <f ca="1">IFERROR(__xludf.DUMMYFUNCTION("""COMPUTED_VALUE"""),829614)</f>
        <v>829614</v>
      </c>
      <c r="E155" s="5" t="str">
        <f ca="1">IFERROR(__xludf.DUMMYFUNCTION("""COMPUTED_VALUE"""),"TRANSPORTADOR DE EMBALAJES")</f>
        <v>TRANSPORTADOR DE EMBALAJES</v>
      </c>
      <c r="F155" s="5">
        <f ca="1">IFERROR(__xludf.DUMMYFUNCTION("""COMPUTED_VALUE"""),37873)</f>
        <v>37873</v>
      </c>
      <c r="G155" s="5" t="str">
        <f ca="1">IFERROR(__xludf.DUMMYFUNCTION("""COMPUTED_VALUE"""),"INSPECCION SEMANAL TRANSPORTADOR DE EMB")</f>
        <v>INSPECCION SEMANAL TRANSPORTADOR DE EMB</v>
      </c>
      <c r="H155" s="5">
        <f ca="1">IFERROR(__xludf.DUMMYFUNCTION("""COMPUTED_VALUE"""),13227793)</f>
        <v>13227793</v>
      </c>
      <c r="I155" s="5" t="str">
        <f ca="1">IFERROR(__xludf.DUMMYFUNCTION("""COMPUTED_VALUE"""),"Cambio tramo cadena G21-33 mal estado")</f>
        <v>Cambio tramo cadena G21-33 mal estado</v>
      </c>
      <c r="J155" s="5" t="str">
        <f ca="1">IFERROR(__xludf.DUMMYFUNCTION("""COMPUTED_VALUE"""),"BAJO")</f>
        <v>BAJO</v>
      </c>
      <c r="K155" s="5" t="str">
        <f ca="1">IFERROR(__xludf.DUMMYFUNCTION("""COMPUTED_VALUE"""),"Preventivo")</f>
        <v>Preventivo</v>
      </c>
      <c r="L155" s="5" t="str">
        <f ca="1">IFERROR(__xludf.DUMMYFUNCTION("""COMPUTED_VALUE"""),"Maquinaria")</f>
        <v>Maquinaria</v>
      </c>
      <c r="M155" s="5" t="str">
        <f ca="1">IFERROR(__xludf.DUMMYFUNCTION("""COMPUTED_VALUE"""),"No")</f>
        <v>No</v>
      </c>
      <c r="N155" s="5"/>
      <c r="O155" s="5"/>
      <c r="P155" s="18">
        <f ca="1">IFERROR(__xludf.DUMMYFUNCTION("""COMPUTED_VALUE"""),45342)</f>
        <v>45342</v>
      </c>
      <c r="Q155" s="18">
        <f ca="1">IFERROR(__xludf.DUMMYFUNCTION("""COMPUTED_VALUE"""),45342)</f>
        <v>45342</v>
      </c>
      <c r="R155" s="18"/>
      <c r="S155" s="5">
        <f ca="1">IFERROR(__xludf.DUMMYFUNCTION("""COMPUTED_VALUE"""),4)</f>
        <v>4</v>
      </c>
      <c r="T155" s="5"/>
      <c r="U155" s="5" t="str">
        <f ca="1">IFERROR(__xludf.DUMMYFUNCTION("""COMPUTED_VALUE"""),"Mauricio Murillo Arrollo")</f>
        <v>Mauricio Murillo Arrollo</v>
      </c>
      <c r="V155" s="5"/>
      <c r="W155" s="5" t="str">
        <f ca="1">IFERROR(__xludf.DUMMYFUNCTION("""COMPUTED_VALUE"""),"GDNsPn66Ag8")</f>
        <v>GDNsPn66Ag8</v>
      </c>
      <c r="X155" s="5">
        <f ca="1">IFERROR(__xludf.DUMMYFUNCTION("""COMPUTED_VALUE"""),4)</f>
        <v>4</v>
      </c>
      <c r="Y155" s="5" t="str">
        <f t="shared" si="0"/>
        <v>Actividad sin realizar</v>
      </c>
      <c r="Z155" s="3">
        <f ca="1">IFERROR(VLOOKUP(U155, 'Base de datos'!A:B, 2, FALSE), "")</f>
        <v>573027971204</v>
      </c>
      <c r="AA155" s="4" t="e">
        <f t="shared" ca="1" si="1"/>
        <v>#NAME?</v>
      </c>
    </row>
    <row r="156" spans="1:27" ht="15.75" customHeight="1">
      <c r="A156" s="5" t="str">
        <f ca="1">IFERROR(__xludf.DUMMYFUNCTION("""COMPUTED_VALUE"""),"POSTOBÓN YUMBO")</f>
        <v>POSTOBÓN YUMBO</v>
      </c>
      <c r="B156" s="5" t="str">
        <f ca="1">IFERROR(__xludf.DUMMYFUNCTION("""COMPUTED_VALUE"""),"0410-LINEA 3")</f>
        <v>0410-LINEA 3</v>
      </c>
      <c r="C156" s="5" t="str">
        <f ca="1">IFERROR(__xludf.DUMMYFUNCTION("""COMPUTED_VALUE"""),"LINEA DE ENVASADO TAMAÑO PERSONAL")</f>
        <v>LINEA DE ENVASADO TAMAÑO PERSONAL</v>
      </c>
      <c r="D156" s="5">
        <f ca="1">IFERROR(__xludf.DUMMYFUNCTION("""COMPUTED_VALUE"""),900235)</f>
        <v>900235</v>
      </c>
      <c r="E156" s="5" t="str">
        <f ca="1">IFERROR(__xludf.DUMMYFUNCTION("""COMPUTED_VALUE"""),"PROCESADOR DE BEBIDA")</f>
        <v>PROCESADOR DE BEBIDA</v>
      </c>
      <c r="F156" s="5">
        <f ca="1">IFERROR(__xludf.DUMMYFUNCTION("""COMPUTED_VALUE"""),17381)</f>
        <v>17381</v>
      </c>
      <c r="G156" s="5" t="str">
        <f ca="1">IFERROR(__xludf.DUMMYFUNCTION("""COMPUTED_VALUE"""),"MTTO ELEC CONTIFLOW L3 900235")</f>
        <v>MTTO ELEC CONTIFLOW L3 900235</v>
      </c>
      <c r="H156" s="5">
        <f ca="1">IFERROR(__xludf.DUMMYFUNCTION("""COMPUTED_VALUE"""),13247177)</f>
        <v>13247177</v>
      </c>
      <c r="I156" s="5" t="str">
        <f ca="1">IFERROR(__xludf.DUMMYFUNCTION("""COMPUTED_VALUE"""),"Revisar conectores de sensores")</f>
        <v>Revisar conectores de sensores</v>
      </c>
      <c r="J156" s="5" t="str">
        <f ca="1">IFERROR(__xludf.DUMMYFUNCTION("""COMPUTED_VALUE"""),"ALTO")</f>
        <v>ALTO</v>
      </c>
      <c r="K156" s="5" t="str">
        <f ca="1">IFERROR(__xludf.DUMMYFUNCTION("""COMPUTED_VALUE"""),"Preventivo")</f>
        <v>Preventivo</v>
      </c>
      <c r="L156" s="5" t="str">
        <f ca="1">IFERROR(__xludf.DUMMYFUNCTION("""COMPUTED_VALUE"""),"Maquinaria")</f>
        <v>Maquinaria</v>
      </c>
      <c r="M156" s="5" t="str">
        <f ca="1">IFERROR(__xludf.DUMMYFUNCTION("""COMPUTED_VALUE"""),"No")</f>
        <v>No</v>
      </c>
      <c r="N156" s="5"/>
      <c r="O156" s="5"/>
      <c r="P156" s="18">
        <f ca="1">IFERROR(__xludf.DUMMYFUNCTION("""COMPUTED_VALUE"""),45324)</f>
        <v>45324</v>
      </c>
      <c r="Q156" s="18">
        <f ca="1">IFERROR(__xludf.DUMMYFUNCTION("""COMPUTED_VALUE"""),45324)</f>
        <v>45324</v>
      </c>
      <c r="R156" s="18"/>
      <c r="S156" s="5">
        <f ca="1">IFERROR(__xludf.DUMMYFUNCTION("""COMPUTED_VALUE"""),1)</f>
        <v>1</v>
      </c>
      <c r="T156" s="5"/>
      <c r="U156" s="5" t="str">
        <f ca="1">IFERROR(__xludf.DUMMYFUNCTION("""COMPUTED_VALUE"""),"Paz Paz Jhon Estiven")</f>
        <v>Paz Paz Jhon Estiven</v>
      </c>
      <c r="V156" s="5"/>
      <c r="W156" s="5" t="str">
        <f ca="1">IFERROR(__xludf.DUMMYFUNCTION("""COMPUTED_VALUE"""),"Eq8x1YJ-ykk")</f>
        <v>Eq8x1YJ-ykk</v>
      </c>
      <c r="X156" s="5">
        <f ca="1">IFERROR(__xludf.DUMMYFUNCTION("""COMPUTED_VALUE"""),1)</f>
        <v>1</v>
      </c>
      <c r="Y156" s="5" t="str">
        <f t="shared" si="0"/>
        <v>Actividad sin realizar</v>
      </c>
      <c r="Z156" s="3">
        <f ca="1">IFERROR(VLOOKUP(U156, 'Base de datos'!A:B, 2, FALSE), "")</f>
        <v>573117137924</v>
      </c>
      <c r="AA156" s="4" t="e">
        <f t="shared" ca="1" si="1"/>
        <v>#NAME?</v>
      </c>
    </row>
    <row r="157" spans="1:27" ht="15.75" customHeight="1">
      <c r="A157" s="5" t="str">
        <f ca="1">IFERROR(__xludf.DUMMYFUNCTION("""COMPUTED_VALUE"""),"POSTOBÓN YUMBO")</f>
        <v>POSTOBÓN YUMBO</v>
      </c>
      <c r="B157" s="5" t="str">
        <f ca="1">IFERROR(__xludf.DUMMYFUNCTION("""COMPUTED_VALUE"""),"0410-EQUIPOS AUXILIARES")</f>
        <v>0410-EQUIPOS AUXILIARES</v>
      </c>
      <c r="C157" s="5" t="str">
        <f ca="1">IFERROR(__xludf.DUMMYFUNCTION("""COMPUTED_VALUE"""),"EQUIPOS PARA SERVICIOS INDUSTRIALES")</f>
        <v>EQUIPOS PARA SERVICIOS INDUSTRIALES</v>
      </c>
      <c r="D157" s="5">
        <f ca="1">IFERROR(__xludf.DUMMYFUNCTION("""COMPUTED_VALUE"""),659371)</f>
        <v>659371</v>
      </c>
      <c r="E157" s="5" t="str">
        <f ca="1">IFERROR(__xludf.DUMMYFUNCTION("""COMPUTED_VALUE"""),"CALDERA DE 300 BHP")</f>
        <v>CALDERA DE 300 BHP</v>
      </c>
      <c r="F157" s="5">
        <f ca="1">IFERROR(__xludf.DUMMYFUNCTION("""COMPUTED_VALUE"""),21693)</f>
        <v>21693</v>
      </c>
      <c r="G157" s="5" t="str">
        <f ca="1">IFERROR(__xludf.DUMMYFUNCTION("""COMPUTED_VALUE"""),"PLAN DE MTTO MEC CALDERA C#3 A- 1341")</f>
        <v>PLAN DE MTTO MEC CALDERA C#3 A- 1341</v>
      </c>
      <c r="H157" s="5">
        <f ca="1">IFERROR(__xludf.DUMMYFUNCTION("""COMPUTED_VALUE"""),13247183)</f>
        <v>13247183</v>
      </c>
      <c r="I157" s="5" t="str">
        <f ca="1">IFERROR(__xludf.DUMMYFUNCTION("""COMPUTED_VALUE"""),"lavado interno en zona presión")</f>
        <v>lavado interno en zona presión</v>
      </c>
      <c r="J157" s="5" t="str">
        <f ca="1">IFERROR(__xludf.DUMMYFUNCTION("""COMPUTED_VALUE"""),"ALTO")</f>
        <v>ALTO</v>
      </c>
      <c r="K157" s="5" t="str">
        <f ca="1">IFERROR(__xludf.DUMMYFUNCTION("""COMPUTED_VALUE"""),"Preventivo")</f>
        <v>Preventivo</v>
      </c>
      <c r="L157" s="5" t="str">
        <f ca="1">IFERROR(__xludf.DUMMYFUNCTION("""COMPUTED_VALUE"""),"Maquinaria")</f>
        <v>Maquinaria</v>
      </c>
      <c r="M157" s="5" t="str">
        <f ca="1">IFERROR(__xludf.DUMMYFUNCTION("""COMPUTED_VALUE"""),"No")</f>
        <v>No</v>
      </c>
      <c r="N157" s="5"/>
      <c r="O157" s="5"/>
      <c r="P157" s="18">
        <f ca="1">IFERROR(__xludf.DUMMYFUNCTION("""COMPUTED_VALUE"""),45337)</f>
        <v>45337</v>
      </c>
      <c r="Q157" s="18">
        <f ca="1">IFERROR(__xludf.DUMMYFUNCTION("""COMPUTED_VALUE"""),45337)</f>
        <v>45337</v>
      </c>
      <c r="R157" s="18"/>
      <c r="S157" s="5">
        <f ca="1">IFERROR(__xludf.DUMMYFUNCTION("""COMPUTED_VALUE"""),1)</f>
        <v>1</v>
      </c>
      <c r="T157" s="5"/>
      <c r="U157" s="5" t="str">
        <f ca="1">IFERROR(__xludf.DUMMYFUNCTION("""COMPUTED_VALUE"""),"Valencia Hector")</f>
        <v>Valencia Hector</v>
      </c>
      <c r="V157" s="5"/>
      <c r="W157" s="5" t="str">
        <f ca="1">IFERROR(__xludf.DUMMYFUNCTION("""COMPUTED_VALUE"""),"XJlLeZCcgaI")</f>
        <v>XJlLeZCcgaI</v>
      </c>
      <c r="X157" s="5">
        <f ca="1">IFERROR(__xludf.DUMMYFUNCTION("""COMPUTED_VALUE"""),1)</f>
        <v>1</v>
      </c>
      <c r="Y157" s="5" t="str">
        <f t="shared" si="0"/>
        <v>Actividad sin realizar</v>
      </c>
      <c r="Z157" s="3">
        <f ca="1">IFERROR(VLOOKUP(U157, 'Base de datos'!A:B, 2, FALSE), "")</f>
        <v>573108951371</v>
      </c>
      <c r="AA157" s="4" t="e">
        <f t="shared" ca="1" si="1"/>
        <v>#NAME?</v>
      </c>
    </row>
    <row r="158" spans="1:27" ht="15.75" customHeight="1">
      <c r="A158" s="5" t="str">
        <f ca="1">IFERROR(__xludf.DUMMYFUNCTION("""COMPUTED_VALUE"""),"POSTOBÓN YUMBO")</f>
        <v>POSTOBÓN YUMBO</v>
      </c>
      <c r="B158" s="5" t="str">
        <f ca="1">IFERROR(__xludf.DUMMYFUNCTION("""COMPUTED_VALUE"""),"0410-SALA DE JARABE TERMINADO")</f>
        <v>0410-SALA DE JARABE TERMINADO</v>
      </c>
      <c r="C158" s="5" t="str">
        <f ca="1">IFERROR(__xludf.DUMMYFUNCTION("""COMPUTED_VALUE"""),"EQUIPOS PARA PREPARACION DE JARABE")</f>
        <v>EQUIPOS PARA PREPARACION DE JARABE</v>
      </c>
      <c r="D158" s="5">
        <f ca="1">IFERROR(__xludf.DUMMYFUNCTION("""COMPUTED_VALUE"""),69963413)</f>
        <v>69963413</v>
      </c>
      <c r="E158" s="5" t="str">
        <f ca="1">IFERROR(__xludf.DUMMYFUNCTION("""COMPUTED_VALUE"""),"TANQUE DE JARABE")</f>
        <v>TANQUE DE JARABE</v>
      </c>
      <c r="F158" s="5">
        <f ca="1">IFERROR(__xludf.DUMMYFUNCTION("""COMPUTED_VALUE"""),17361)</f>
        <v>17361</v>
      </c>
      <c r="G158" s="5" t="str">
        <f ca="1">IFERROR(__xludf.DUMMYFUNCTION("""COMPUTED_VALUE"""),"MTTO MEC TK JARABE 10 JARABE TERMINADO")</f>
        <v>MTTO MEC TK JARABE 10 JARABE TERMINADO</v>
      </c>
      <c r="H158" s="5">
        <f ca="1">IFERROR(__xludf.DUMMYFUNCTION("""COMPUTED_VALUE"""),13247166)</f>
        <v>13247166</v>
      </c>
      <c r="I158" s="5" t="str">
        <f ca="1">IFERROR(__xludf.DUMMYFUNCTION("""COMPUTED_VALUE"""),"ANTON PAAR - remplace los diafragmas")</f>
        <v>ANTON PAAR - remplace los diafragmas</v>
      </c>
      <c r="J158" s="5" t="str">
        <f ca="1">IFERROR(__xludf.DUMMYFUNCTION("""COMPUTED_VALUE"""),"ALTO")</f>
        <v>ALTO</v>
      </c>
      <c r="K158" s="5" t="str">
        <f ca="1">IFERROR(__xludf.DUMMYFUNCTION("""COMPUTED_VALUE"""),"Preventivo")</f>
        <v>Preventivo</v>
      </c>
      <c r="L158" s="5" t="str">
        <f ca="1">IFERROR(__xludf.DUMMYFUNCTION("""COMPUTED_VALUE"""),"Maquinaria")</f>
        <v>Maquinaria</v>
      </c>
      <c r="M158" s="5" t="str">
        <f ca="1">IFERROR(__xludf.DUMMYFUNCTION("""COMPUTED_VALUE"""),"No")</f>
        <v>No</v>
      </c>
      <c r="N158" s="5"/>
      <c r="O158" s="5">
        <f ca="1">IFERROR(__xludf.DUMMYFUNCTION("""COMPUTED_VALUE"""),100)</f>
        <v>100</v>
      </c>
      <c r="P158" s="18">
        <f ca="1">IFERROR(__xludf.DUMMYFUNCTION("""COMPUTED_VALUE"""),45342)</f>
        <v>45342</v>
      </c>
      <c r="Q158" s="18">
        <f ca="1">IFERROR(__xludf.DUMMYFUNCTION("""COMPUTED_VALUE"""),45342)</f>
        <v>45342</v>
      </c>
      <c r="R158" s="18"/>
      <c r="S158" s="5">
        <f ca="1">IFERROR(__xludf.DUMMYFUNCTION("""COMPUTED_VALUE"""),8)</f>
        <v>8</v>
      </c>
      <c r="T158" s="5"/>
      <c r="U158" s="5" t="str">
        <f ca="1">IFERROR(__xludf.DUMMYFUNCTION("""COMPUTED_VALUE"""),"Rivas Mena Carlos Danny")</f>
        <v>Rivas Mena Carlos Danny</v>
      </c>
      <c r="V158" s="5"/>
      <c r="W158" s="5" t="str">
        <f ca="1">IFERROR(__xludf.DUMMYFUNCTION("""COMPUTED_VALUE"""),"3HuDiM1ntq0")</f>
        <v>3HuDiM1ntq0</v>
      </c>
      <c r="X158" s="5">
        <f ca="1">IFERROR(__xludf.DUMMYFUNCTION("""COMPUTED_VALUE"""),8)</f>
        <v>8</v>
      </c>
      <c r="Y158" s="5" t="str">
        <f t="shared" ca="1" si="0"/>
        <v>Actividad realizada</v>
      </c>
      <c r="Z158" s="3">
        <f ca="1">IFERROR(VLOOKUP(U158, 'Base de datos'!A:B, 2, FALSE), "")</f>
        <v>0</v>
      </c>
      <c r="AA158" s="4" t="e">
        <f t="shared" ca="1" si="1"/>
        <v>#NAME?</v>
      </c>
    </row>
    <row r="159" spans="1:27" ht="15.75" customHeight="1">
      <c r="A159" s="5" t="str">
        <f ca="1">IFERROR(__xludf.DUMMYFUNCTION("""COMPUTED_VALUE"""),"POSTOBÓN YUMBO")</f>
        <v>POSTOBÓN YUMBO</v>
      </c>
      <c r="B159" s="5" t="str">
        <f ca="1">IFERROR(__xludf.DUMMYFUNCTION("""COMPUTED_VALUE"""),"0410-LINEA BOTELLON 20 LTS")</f>
        <v>0410-LINEA BOTELLON 20 LTS</v>
      </c>
      <c r="C159" s="5" t="str">
        <f ca="1">IFERROR(__xludf.DUMMYFUNCTION("""COMPUTED_VALUE"""),"LINEA DE PRODUCCION DE BOTELLONES DE 20")</f>
        <v>LINEA DE PRODUCCION DE BOTELLONES DE 20</v>
      </c>
      <c r="D159" s="5">
        <f ca="1">IFERROR(__xludf.DUMMYFUNCTION("""COMPUTED_VALUE"""),719511)</f>
        <v>719511</v>
      </c>
      <c r="E159" s="5" t="str">
        <f ca="1">IFERROR(__xludf.DUMMYFUNCTION("""COMPUTED_VALUE"""),"LLENADORA DE BOTELLONES Y TAPONADORA")</f>
        <v>LLENADORA DE BOTELLONES Y TAPONADORA</v>
      </c>
      <c r="F159" s="5">
        <f ca="1">IFERROR(__xludf.DUMMYFUNCTION("""COMPUTED_VALUE"""),37849)</f>
        <v>37849</v>
      </c>
      <c r="G159" s="5" t="str">
        <f ca="1">IFERROR(__xludf.DUMMYFUNCTION("""COMPUTED_VALUE"""),"INSPECCION SEMANAL LENADORA DE BOTELLO")</f>
        <v>INSPECCION SEMANAL LENADORA DE BOTELLO</v>
      </c>
      <c r="H159" s="5">
        <f ca="1">IFERROR(__xludf.DUMMYFUNCTION("""COMPUTED_VALUE"""),13232607)</f>
        <v>13232607</v>
      </c>
      <c r="I159" s="5" t="str">
        <f ca="1">IFERROR(__xludf.DUMMYFUNCTION("""COMPUTED_VALUE"""),"CAMBIO MANGUERAS LLENADORA BOTELLONES")</f>
        <v>CAMBIO MANGUERAS LLENADORA BOTELLONES</v>
      </c>
      <c r="J159" s="5" t="str">
        <f ca="1">IFERROR(__xludf.DUMMYFUNCTION("""COMPUTED_VALUE"""),"ALTO")</f>
        <v>ALTO</v>
      </c>
      <c r="K159" s="5" t="str">
        <f ca="1">IFERROR(__xludf.DUMMYFUNCTION("""COMPUTED_VALUE"""),"Preventivo")</f>
        <v>Preventivo</v>
      </c>
      <c r="L159" s="5" t="str">
        <f ca="1">IFERROR(__xludf.DUMMYFUNCTION("""COMPUTED_VALUE"""),"Maquinaria")</f>
        <v>Maquinaria</v>
      </c>
      <c r="M159" s="5" t="str">
        <f ca="1">IFERROR(__xludf.DUMMYFUNCTION("""COMPUTED_VALUE"""),"No")</f>
        <v>No</v>
      </c>
      <c r="N159" s="5"/>
      <c r="O159" s="5"/>
      <c r="P159" s="18">
        <f ca="1">IFERROR(__xludf.DUMMYFUNCTION("""COMPUTED_VALUE"""),45325)</f>
        <v>45325</v>
      </c>
      <c r="Q159" s="18">
        <f ca="1">IFERROR(__xludf.DUMMYFUNCTION("""COMPUTED_VALUE"""),45325)</f>
        <v>45325</v>
      </c>
      <c r="R159" s="18"/>
      <c r="S159" s="5">
        <f ca="1">IFERROR(__xludf.DUMMYFUNCTION("""COMPUTED_VALUE"""),1)</f>
        <v>1</v>
      </c>
      <c r="T159" s="5"/>
      <c r="U159" s="5" t="str">
        <f ca="1">IFERROR(__xludf.DUMMYFUNCTION("""COMPUTED_VALUE"""),"Christian Camilo Ramirez Rendón")</f>
        <v>Christian Camilo Ramirez Rendón</v>
      </c>
      <c r="V159" s="5"/>
      <c r="W159" s="5" t="str">
        <f ca="1">IFERROR(__xludf.DUMMYFUNCTION("""COMPUTED_VALUE"""),"mMgu47d0nno")</f>
        <v>mMgu47d0nno</v>
      </c>
      <c r="X159" s="5">
        <f ca="1">IFERROR(__xludf.DUMMYFUNCTION("""COMPUTED_VALUE"""),1)</f>
        <v>1</v>
      </c>
      <c r="Y159" s="5" t="str">
        <f t="shared" si="0"/>
        <v>Actividad sin realizar</v>
      </c>
      <c r="Z159" s="3">
        <f ca="1">IFERROR(VLOOKUP(U159, 'Base de datos'!A:B, 2, FALSE), "")</f>
        <v>573117720757</v>
      </c>
      <c r="AA159" s="4" t="e">
        <f t="shared" ca="1" si="1"/>
        <v>#NAME?</v>
      </c>
    </row>
    <row r="160" spans="1:27" ht="15.75" customHeight="1">
      <c r="A160" s="5" t="str">
        <f ca="1">IFERROR(__xludf.DUMMYFUNCTION("""COMPUTED_VALUE"""),"POSTOBÓN YUMBO")</f>
        <v>POSTOBÓN YUMBO</v>
      </c>
      <c r="B160" s="5" t="str">
        <f ca="1">IFERROR(__xludf.DUMMYFUNCTION("""COMPUTED_VALUE"""),"0410-LINEA PET CSD")</f>
        <v>0410-LINEA PET CSD</v>
      </c>
      <c r="C160" s="5" t="str">
        <f ca="1">IFERROR(__xludf.DUMMYFUNCTION("""COMPUTED_VALUE"""),"LINEA PET CSD - LINEA 10")</f>
        <v>LINEA PET CSD - LINEA 10</v>
      </c>
      <c r="D160" s="5">
        <f ca="1">IFERROR(__xludf.DUMMYFUNCTION("""COMPUTED_VALUE"""),579080)</f>
        <v>579080</v>
      </c>
      <c r="E160" s="5" t="str">
        <f ca="1">IFERROR(__xludf.DUMMYFUNCTION("""COMPUTED_VALUE"""),"PALETIZADORA")</f>
        <v>PALETIZADORA</v>
      </c>
      <c r="F160" s="5">
        <f ca="1">IFERROR(__xludf.DUMMYFUNCTION("""COMPUTED_VALUE"""),37846)</f>
        <v>37846</v>
      </c>
      <c r="G160" s="5" t="str">
        <f ca="1">IFERROR(__xludf.DUMMYFUNCTION("""COMPUTED_VALUE"""),"INSPECCION SEMANAL PALETIZADORA")</f>
        <v>INSPECCION SEMANAL PALETIZADORA</v>
      </c>
      <c r="H160" s="5">
        <f ca="1">IFERROR(__xludf.DUMMYFUNCTION("""COMPUTED_VALUE"""),13232575)</f>
        <v>13232575</v>
      </c>
      <c r="I160" s="5" t="str">
        <f ca="1">IFERROR(__xludf.DUMMYFUNCTION("""COMPUTED_VALUE"""),"cambio de servo entrada de paquetes")</f>
        <v>cambio de servo entrada de paquetes</v>
      </c>
      <c r="J160" s="5" t="str">
        <f ca="1">IFERROR(__xludf.DUMMYFUNCTION("""COMPUTED_VALUE"""),"MEDIO")</f>
        <v>MEDIO</v>
      </c>
      <c r="K160" s="5" t="str">
        <f ca="1">IFERROR(__xludf.DUMMYFUNCTION("""COMPUTED_VALUE"""),"Preventivo")</f>
        <v>Preventivo</v>
      </c>
      <c r="L160" s="5" t="str">
        <f ca="1">IFERROR(__xludf.DUMMYFUNCTION("""COMPUTED_VALUE"""),"Maquinaria")</f>
        <v>Maquinaria</v>
      </c>
      <c r="M160" s="5" t="str">
        <f ca="1">IFERROR(__xludf.DUMMYFUNCTION("""COMPUTED_VALUE"""),"No")</f>
        <v>No</v>
      </c>
      <c r="N160" s="5"/>
      <c r="O160" s="5">
        <f ca="1">IFERROR(__xludf.DUMMYFUNCTION("""COMPUTED_VALUE"""),100)</f>
        <v>100</v>
      </c>
      <c r="P160" s="18">
        <f ca="1">IFERROR(__xludf.DUMMYFUNCTION("""COMPUTED_VALUE"""),45323)</f>
        <v>45323</v>
      </c>
      <c r="Q160" s="18">
        <f ca="1">IFERROR(__xludf.DUMMYFUNCTION("""COMPUTED_VALUE"""),45323)</f>
        <v>45323</v>
      </c>
      <c r="R160" s="18"/>
      <c r="S160" s="5">
        <f ca="1">IFERROR(__xludf.DUMMYFUNCTION("""COMPUTED_VALUE"""),1)</f>
        <v>1</v>
      </c>
      <c r="T160" s="5"/>
      <c r="U160" s="5" t="str">
        <f ca="1">IFERROR(__xludf.DUMMYFUNCTION("""COMPUTED_VALUE"""),"Lucumi Juan")</f>
        <v>Lucumi Juan</v>
      </c>
      <c r="V160" s="5"/>
      <c r="W160" s="5" t="str">
        <f ca="1">IFERROR(__xludf.DUMMYFUNCTION("""COMPUTED_VALUE"""),"kh4oTlNTer0")</f>
        <v>kh4oTlNTer0</v>
      </c>
      <c r="X160" s="5">
        <f ca="1">IFERROR(__xludf.DUMMYFUNCTION("""COMPUTED_VALUE"""),1)</f>
        <v>1</v>
      </c>
      <c r="Y160" s="5" t="str">
        <f t="shared" ca="1" si="0"/>
        <v>Actividad realizada</v>
      </c>
      <c r="Z160" s="3">
        <f ca="1">IFERROR(VLOOKUP(U160, 'Base de datos'!A:B, 2, FALSE), "")</f>
        <v>573042194088</v>
      </c>
      <c r="AA160" s="4" t="e">
        <f t="shared" ca="1" si="1"/>
        <v>#NAME?</v>
      </c>
    </row>
    <row r="161" spans="1:27" ht="15.75" customHeight="1">
      <c r="A161" s="5" t="str">
        <f ca="1">IFERROR(__xludf.DUMMYFUNCTION("""COMPUTED_VALUE"""),"POSTOBÓN YUMBO")</f>
        <v>POSTOBÓN YUMBO</v>
      </c>
      <c r="B161" s="5" t="str">
        <f ca="1">IFERROR(__xludf.DUMMYFUNCTION("""COMPUTED_VALUE"""),"0410-EQUIPOS AUXILIARES")</f>
        <v>0410-EQUIPOS AUXILIARES</v>
      </c>
      <c r="C161" s="5" t="str">
        <f ca="1">IFERROR(__xludf.DUMMYFUNCTION("""COMPUTED_VALUE"""),"EQUIPOS PARA SERVICIOS INDUSTRIALES")</f>
        <v>EQUIPOS PARA SERVICIOS INDUSTRIALES</v>
      </c>
      <c r="D161" s="5">
        <f ca="1">IFERROR(__xludf.DUMMYFUNCTION("""COMPUTED_VALUE"""),638556)</f>
        <v>638556</v>
      </c>
      <c r="E161" s="5" t="str">
        <f ca="1">IFERROR(__xludf.DUMMYFUNCTION("""COMPUTED_VALUE"""),"CONDENSADOR EVAPORATIVO")</f>
        <v>CONDENSADOR EVAPORATIVO</v>
      </c>
      <c r="F161" s="5">
        <f ca="1">IFERROR(__xludf.DUMMYFUNCTION("""COMPUTED_VALUE"""),21701)</f>
        <v>21701</v>
      </c>
      <c r="G161" s="5" t="str">
        <f ca="1">IFERROR(__xludf.DUMMYFUNCTION("""COMPUTED_VALUE"""),"PLAN MTTO MEC CONDENSADOR EVAP GASEOSA")</f>
        <v>PLAN MTTO MEC CONDENSADOR EVAP GASEOSA</v>
      </c>
      <c r="H161" s="5">
        <f ca="1">IFERROR(__xludf.DUMMYFUNCTION("""COMPUTED_VALUE"""),13207394)</f>
        <v>13207394</v>
      </c>
      <c r="I161" s="5" t="str">
        <f ca="1">IFERROR(__xludf.DUMMYFUNCTION("""COMPUTED_VALUE"""),"Limpiar filtros succión bomba de agua")</f>
        <v>Limpiar filtros succión bomba de agua</v>
      </c>
      <c r="J161" s="5" t="str">
        <f ca="1">IFERROR(__xludf.DUMMYFUNCTION("""COMPUTED_VALUE"""),"MEDIO")</f>
        <v>MEDIO</v>
      </c>
      <c r="K161" s="5" t="str">
        <f ca="1">IFERROR(__xludf.DUMMYFUNCTION("""COMPUTED_VALUE"""),"Preventivo")</f>
        <v>Preventivo</v>
      </c>
      <c r="L161" s="5" t="str">
        <f ca="1">IFERROR(__xludf.DUMMYFUNCTION("""COMPUTED_VALUE"""),"Maquinaria")</f>
        <v>Maquinaria</v>
      </c>
      <c r="M161" s="5" t="str">
        <f ca="1">IFERROR(__xludf.DUMMYFUNCTION("""COMPUTED_VALUE"""),"No")</f>
        <v>No</v>
      </c>
      <c r="N161" s="5"/>
      <c r="O161" s="5"/>
      <c r="P161" s="18">
        <f ca="1">IFERROR(__xludf.DUMMYFUNCTION("""COMPUTED_VALUE"""),45340)</f>
        <v>45340</v>
      </c>
      <c r="Q161" s="18">
        <f ca="1">IFERROR(__xludf.DUMMYFUNCTION("""COMPUTED_VALUE"""),45340)</f>
        <v>45340</v>
      </c>
      <c r="R161" s="18"/>
      <c r="S161" s="5">
        <f ca="1">IFERROR(__xludf.DUMMYFUNCTION("""COMPUTED_VALUE"""),1)</f>
        <v>1</v>
      </c>
      <c r="T161" s="5"/>
      <c r="U161" s="5" t="str">
        <f ca="1">IFERROR(__xludf.DUMMYFUNCTION("""COMPUTED_VALUE"""),"Henao William")</f>
        <v>Henao William</v>
      </c>
      <c r="V161" s="5"/>
      <c r="W161" s="5" t="str">
        <f ca="1">IFERROR(__xludf.DUMMYFUNCTION("""COMPUTED_VALUE"""),"j5akh-VYlK4")</f>
        <v>j5akh-VYlK4</v>
      </c>
      <c r="X161" s="5">
        <f ca="1">IFERROR(__xludf.DUMMYFUNCTION("""COMPUTED_VALUE"""),1)</f>
        <v>1</v>
      </c>
      <c r="Y161" s="5" t="str">
        <f t="shared" si="0"/>
        <v>Actividad sin realizar</v>
      </c>
      <c r="Z161" s="3">
        <f ca="1">IFERROR(VLOOKUP(U161, 'Base de datos'!A:B, 2, FALSE), "")</f>
        <v>573222217492</v>
      </c>
      <c r="AA161" s="4" t="e">
        <f t="shared" ca="1" si="1"/>
        <v>#NAME?</v>
      </c>
    </row>
    <row r="162" spans="1:27" ht="15.75" customHeight="1">
      <c r="A162" s="5" t="str">
        <f ca="1">IFERROR(__xludf.DUMMYFUNCTION("""COMPUTED_VALUE"""),"POSTOBÓN YUMBO")</f>
        <v>POSTOBÓN YUMBO</v>
      </c>
      <c r="B162" s="5" t="str">
        <f ca="1">IFERROR(__xludf.DUMMYFUNCTION("""COMPUTED_VALUE"""),"0410-PLANTA DE AGUA ENVASADO")</f>
        <v>0410-PLANTA DE AGUA ENVASADO</v>
      </c>
      <c r="C162" s="5" t="str">
        <f ca="1">IFERROR(__xludf.DUMMYFUNCTION("""COMPUTED_VALUE"""),"TRATAMIENTO DE AGUA PARA ENVASADO")</f>
        <v>TRATAMIENTO DE AGUA PARA ENVASADO</v>
      </c>
      <c r="D162" s="5">
        <f ca="1">IFERROR(__xludf.DUMMYFUNCTION("""COMPUTED_VALUE"""),70948948)</f>
        <v>70948948</v>
      </c>
      <c r="E162" s="5" t="str">
        <f ca="1">IFERROR(__xludf.DUMMYFUNCTION("""COMPUTED_VALUE"""),"TANQUE FIBRA ACD CLORHIDRI - TRAT PRIM")</f>
        <v>TANQUE FIBRA ACD CLORHIDRI - TRAT PRIM</v>
      </c>
      <c r="F162" s="5">
        <f ca="1">IFERROR(__xludf.DUMMYFUNCTION("""COMPUTED_VALUE"""),32891)</f>
        <v>32891</v>
      </c>
      <c r="G162" s="5" t="str">
        <f ca="1">IFERROR(__xludf.DUMMYFUNCTION("""COMPUTED_VALUE"""),"PLAN MTTO ELE TANQUE FIBRA ACD CLORHIDRI")</f>
        <v>PLAN MTTO ELE TANQUE FIBRA ACD CLORHIDRI</v>
      </c>
      <c r="H162" s="5">
        <f ca="1">IFERROR(__xludf.DUMMYFUNCTION("""COMPUTED_VALUE"""),13207487)</f>
        <v>13207487</v>
      </c>
      <c r="I162" s="5" t="str">
        <f ca="1">IFERROR(__xludf.DUMMYFUNCTION("""COMPUTED_VALUE"""),"VERIFICAR CONEXIONES ELECTRICAS")</f>
        <v>VERIFICAR CONEXIONES ELECTRICAS</v>
      </c>
      <c r="J162" s="5" t="str">
        <f ca="1">IFERROR(__xludf.DUMMYFUNCTION("""COMPUTED_VALUE"""),"ALTO")</f>
        <v>ALTO</v>
      </c>
      <c r="K162" s="5" t="str">
        <f ca="1">IFERROR(__xludf.DUMMYFUNCTION("""COMPUTED_VALUE"""),"Preventivo")</f>
        <v>Preventivo</v>
      </c>
      <c r="L162" s="5" t="str">
        <f ca="1">IFERROR(__xludf.DUMMYFUNCTION("""COMPUTED_VALUE"""),"Maquinaria")</f>
        <v>Maquinaria</v>
      </c>
      <c r="M162" s="5" t="str">
        <f ca="1">IFERROR(__xludf.DUMMYFUNCTION("""COMPUTED_VALUE"""),"No")</f>
        <v>No</v>
      </c>
      <c r="N162" s="5"/>
      <c r="O162" s="5"/>
      <c r="P162" s="18">
        <f ca="1">IFERROR(__xludf.DUMMYFUNCTION("""COMPUTED_VALUE"""),45344)</f>
        <v>45344</v>
      </c>
      <c r="Q162" s="18">
        <f ca="1">IFERROR(__xludf.DUMMYFUNCTION("""COMPUTED_VALUE"""),45344)</f>
        <v>45344</v>
      </c>
      <c r="R162" s="18"/>
      <c r="S162" s="5">
        <f ca="1">IFERROR(__xludf.DUMMYFUNCTION("""COMPUTED_VALUE"""),1)</f>
        <v>1</v>
      </c>
      <c r="T162" s="5"/>
      <c r="U162" s="5" t="str">
        <f ca="1">IFERROR(__xludf.DUMMYFUNCTION("""COMPUTED_VALUE"""),"Guzman Palechor Miguel Angel")</f>
        <v>Guzman Palechor Miguel Angel</v>
      </c>
      <c r="V162" s="5"/>
      <c r="W162" s="5" t="str">
        <f ca="1">IFERROR(__xludf.DUMMYFUNCTION("""COMPUTED_VALUE"""),"FzfCCitB4hU")</f>
        <v>FzfCCitB4hU</v>
      </c>
      <c r="X162" s="5">
        <f ca="1">IFERROR(__xludf.DUMMYFUNCTION("""COMPUTED_VALUE"""),1)</f>
        <v>1</v>
      </c>
      <c r="Y162" s="5" t="str">
        <f t="shared" si="0"/>
        <v>Actividad sin realizar</v>
      </c>
      <c r="Z162" s="3">
        <f ca="1">IFERROR(VLOOKUP(U162, 'Base de datos'!A:B, 2, FALSE), "")</f>
        <v>573112422176</v>
      </c>
      <c r="AA162" s="4" t="e">
        <f t="shared" ca="1" si="1"/>
        <v>#NAME?</v>
      </c>
    </row>
    <row r="163" spans="1:27" ht="15.75" customHeight="1">
      <c r="A163" s="5" t="str">
        <f ca="1">IFERROR(__xludf.DUMMYFUNCTION("""COMPUTED_VALUE"""),"POSTOBÓN YUMBO")</f>
        <v>POSTOBÓN YUMBO</v>
      </c>
      <c r="B163" s="5" t="str">
        <f ca="1">IFERROR(__xludf.DUMMYFUNCTION("""COMPUTED_VALUE"""),"0410-LINEA 1")</f>
        <v>0410-LINEA 1</v>
      </c>
      <c r="C163" s="5" t="str">
        <f ca="1">IFERROR(__xludf.DUMMYFUNCTION("""COMPUTED_VALUE"""),"LINEA DE ENVASADO PET NO RETORNABLE")</f>
        <v>LINEA DE ENVASADO PET NO RETORNABLE</v>
      </c>
      <c r="D163" s="5">
        <f ca="1">IFERROR(__xludf.DUMMYFUNCTION("""COMPUTED_VALUE"""),71031601)</f>
        <v>71031601</v>
      </c>
      <c r="E163" s="5" t="str">
        <f ca="1">IFERROR(__xludf.DUMMYFUNCTION("""COMPUTED_VALUE"""),"HORNO EMBANDEJADORA VARIOPAC")</f>
        <v>HORNO EMBANDEJADORA VARIOPAC</v>
      </c>
      <c r="F163" s="5">
        <f ca="1">IFERROR(__xludf.DUMMYFUNCTION("""COMPUTED_VALUE"""),0)</f>
        <v>0</v>
      </c>
      <c r="G163" s="5" t="str">
        <f ca="1">IFERROR(__xludf.DUMMYFUNCTION("""COMPUTED_VALUE"""),"CONSUMO LUB VARIOPAC L1")</f>
        <v>CONSUMO LUB VARIOPAC L1</v>
      </c>
      <c r="H163" s="5">
        <f ca="1">IFERROR(__xludf.DUMMYFUNCTION("""COMPUTED_VALUE"""),13230948)</f>
        <v>13230948</v>
      </c>
      <c r="I163" s="5" t="str">
        <f ca="1">IFERROR(__xludf.DUMMYFUNCTION("""COMPUTED_VALUE"""),"CONSUMO LUB VARIOPAC L1")</f>
        <v>CONSUMO LUB VARIOPAC L1</v>
      </c>
      <c r="J163" s="5" t="str">
        <f ca="1">IFERROR(__xludf.DUMMYFUNCTION("""COMPUTED_VALUE"""),"MEDIO")</f>
        <v>MEDIO</v>
      </c>
      <c r="K163" s="5" t="str">
        <f ca="1">IFERROR(__xludf.DUMMYFUNCTION("""COMPUTED_VALUE"""),"Preventivo")</f>
        <v>Preventivo</v>
      </c>
      <c r="L163" s="5" t="str">
        <f ca="1">IFERROR(__xludf.DUMMYFUNCTION("""COMPUTED_VALUE"""),"Maquinaria")</f>
        <v>Maquinaria</v>
      </c>
      <c r="M163" s="5" t="str">
        <f ca="1">IFERROR(__xludf.DUMMYFUNCTION("""COMPUTED_VALUE"""),"No")</f>
        <v>No</v>
      </c>
      <c r="N163" s="5"/>
      <c r="O163" s="5"/>
      <c r="P163" s="18">
        <f ca="1">IFERROR(__xludf.DUMMYFUNCTION("""COMPUTED_VALUE"""),45324)</f>
        <v>45324</v>
      </c>
      <c r="Q163" s="18">
        <f ca="1">IFERROR(__xludf.DUMMYFUNCTION("""COMPUTED_VALUE"""),45324)</f>
        <v>45324</v>
      </c>
      <c r="R163" s="18"/>
      <c r="S163" s="5">
        <f ca="1">IFERROR(__xludf.DUMMYFUNCTION("""COMPUTED_VALUE"""),1)</f>
        <v>1</v>
      </c>
      <c r="T163" s="5"/>
      <c r="U163" s="5" t="str">
        <f ca="1">IFERROR(__xludf.DUMMYFUNCTION("""COMPUTED_VALUE"""),"Leon Narvaez Andres Felipe")</f>
        <v>Leon Narvaez Andres Felipe</v>
      </c>
      <c r="V163" s="5"/>
      <c r="W163" s="5" t="str">
        <f ca="1">IFERROR(__xludf.DUMMYFUNCTION("""COMPUTED_VALUE"""),"isXMG5fHV1k")</f>
        <v>isXMG5fHV1k</v>
      </c>
      <c r="X163" s="5">
        <f ca="1">IFERROR(__xludf.DUMMYFUNCTION("""COMPUTED_VALUE"""),1)</f>
        <v>1</v>
      </c>
      <c r="Y163" s="5" t="str">
        <f t="shared" si="0"/>
        <v>Actividad sin realizar</v>
      </c>
      <c r="Z163" s="3">
        <f ca="1">IFERROR(VLOOKUP(U163, 'Base de datos'!A:B, 2, FALSE), "")</f>
        <v>573145741289</v>
      </c>
      <c r="AA163" s="4" t="e">
        <f t="shared" ca="1" si="1"/>
        <v>#NAME?</v>
      </c>
    </row>
    <row r="164" spans="1:27" ht="15.75" customHeight="1">
      <c r="A164" s="5" t="str">
        <f ca="1">IFERROR(__xludf.DUMMYFUNCTION("""COMPUTED_VALUE"""),"POSTOBÓN YUMBO")</f>
        <v>POSTOBÓN YUMBO</v>
      </c>
      <c r="B164" s="5" t="str">
        <f ca="1">IFERROR(__xludf.DUMMYFUNCTION("""COMPUTED_VALUE"""),"0410-EQUIPOS AUXILIARES")</f>
        <v>0410-EQUIPOS AUXILIARES</v>
      </c>
      <c r="C164" s="5" t="str">
        <f ca="1">IFERROR(__xludf.DUMMYFUNCTION("""COMPUTED_VALUE"""),"EQUIPOS PARA SERVICIOS INDUSTRIALES")</f>
        <v>EQUIPOS PARA SERVICIOS INDUSTRIALES</v>
      </c>
      <c r="D164" s="5">
        <f ca="1">IFERROR(__xludf.DUMMYFUNCTION("""COMPUTED_VALUE"""),628884)</f>
        <v>628884</v>
      </c>
      <c r="E164" s="5" t="str">
        <f ca="1">IFERROR(__xludf.DUMMYFUNCTION("""COMPUTED_VALUE"""),"COMPRESOR DE REFRIGERACION 2")</f>
        <v>COMPRESOR DE REFRIGERACION 2</v>
      </c>
      <c r="F164" s="5">
        <f ca="1">IFERROR(__xludf.DUMMYFUNCTION("""COMPUTED_VALUE"""),0)</f>
        <v>0</v>
      </c>
      <c r="G164" s="5" t="str">
        <f ca="1">IFERROR(__xludf.DUMMYFUNCTION("""COMPUTED_VALUE"""),"CONSUMO LUB COMPRESOR TORNILLO L10 #2")</f>
        <v>CONSUMO LUB COMPRESOR TORNILLO L10 #2</v>
      </c>
      <c r="H164" s="5">
        <f ca="1">IFERROR(__xludf.DUMMYFUNCTION("""COMPUTED_VALUE"""),13230964)</f>
        <v>13230964</v>
      </c>
      <c r="I164" s="5" t="str">
        <f ca="1">IFERROR(__xludf.DUMMYFUNCTION("""COMPUTED_VALUE"""),"CONSUMO LUB COMPRESOR TORNILLO L10 #2")</f>
        <v>CONSUMO LUB COMPRESOR TORNILLO L10 #2</v>
      </c>
      <c r="J164" s="5" t="str">
        <f ca="1">IFERROR(__xludf.DUMMYFUNCTION("""COMPUTED_VALUE"""),"MEDIO")</f>
        <v>MEDIO</v>
      </c>
      <c r="K164" s="5" t="str">
        <f ca="1">IFERROR(__xludf.DUMMYFUNCTION("""COMPUTED_VALUE"""),"Preventivo")</f>
        <v>Preventivo</v>
      </c>
      <c r="L164" s="5" t="str">
        <f ca="1">IFERROR(__xludf.DUMMYFUNCTION("""COMPUTED_VALUE"""),"Maquinaria")</f>
        <v>Maquinaria</v>
      </c>
      <c r="M164" s="5" t="str">
        <f ca="1">IFERROR(__xludf.DUMMYFUNCTION("""COMPUTED_VALUE"""),"No")</f>
        <v>No</v>
      </c>
      <c r="N164" s="5"/>
      <c r="O164" s="5"/>
      <c r="P164" s="18">
        <f ca="1">IFERROR(__xludf.DUMMYFUNCTION("""COMPUTED_VALUE"""),45325)</f>
        <v>45325</v>
      </c>
      <c r="Q164" s="18">
        <f ca="1">IFERROR(__xludf.DUMMYFUNCTION("""COMPUTED_VALUE"""),45325)</f>
        <v>45325</v>
      </c>
      <c r="R164" s="18"/>
      <c r="S164" s="5">
        <f ca="1">IFERROR(__xludf.DUMMYFUNCTION("""COMPUTED_VALUE"""),1)</f>
        <v>1</v>
      </c>
      <c r="T164" s="5"/>
      <c r="U164" s="5" t="str">
        <f ca="1">IFERROR(__xludf.DUMMYFUNCTION("""COMPUTED_VALUE"""),"CALDERON CORTES JULIAN DAVID")</f>
        <v>CALDERON CORTES JULIAN DAVID</v>
      </c>
      <c r="V164" s="5"/>
      <c r="W164" s="5" t="str">
        <f ca="1">IFERROR(__xludf.DUMMYFUNCTION("""COMPUTED_VALUE"""),"a6GJZWSQS_k")</f>
        <v>a6GJZWSQS_k</v>
      </c>
      <c r="X164" s="5">
        <f ca="1">IFERROR(__xludf.DUMMYFUNCTION("""COMPUTED_VALUE"""),1)</f>
        <v>1</v>
      </c>
      <c r="Y164" s="5" t="str">
        <f t="shared" si="0"/>
        <v>Actividad sin realizar</v>
      </c>
      <c r="Z164" s="3">
        <f ca="1">IFERROR(VLOOKUP(U164, 'Base de datos'!A:B, 2, FALSE), "")</f>
        <v>573106062699</v>
      </c>
      <c r="AA164" s="4" t="e">
        <f t="shared" ca="1" si="1"/>
        <v>#NAME?</v>
      </c>
    </row>
    <row r="165" spans="1:27" ht="15.75" customHeight="1">
      <c r="A165" s="5" t="str">
        <f ca="1">IFERROR(__xludf.DUMMYFUNCTION("""COMPUTED_VALUE"""),"POSTOBÓN YUMBO")</f>
        <v>POSTOBÓN YUMBO</v>
      </c>
      <c r="B165" s="5" t="str">
        <f ca="1">IFERROR(__xludf.DUMMYFUNCTION("""COMPUTED_VALUE"""),"0410-AGUAS RESIDUALES")</f>
        <v>0410-AGUAS RESIDUALES</v>
      </c>
      <c r="C165" s="5" t="str">
        <f ca="1">IFERROR(__xludf.DUMMYFUNCTION("""COMPUTED_VALUE"""),"TRATAMIENTO DE AGUAS DE DESECHO")</f>
        <v>TRATAMIENTO DE AGUAS DE DESECHO</v>
      </c>
      <c r="D165" s="5">
        <f ca="1">IFERROR(__xludf.DUMMYFUNCTION("""COMPUTED_VALUE"""),710207)</f>
        <v>710207</v>
      </c>
      <c r="E165" s="5" t="str">
        <f ca="1">IFERROR(__xludf.DUMMYFUNCTION("""COMPUTED_VALUE"""),"PLANTA AGUAS RESIDUALES")</f>
        <v>PLANTA AGUAS RESIDUALES</v>
      </c>
      <c r="F165" s="5">
        <f ca="1">IFERROR(__xludf.DUMMYFUNCTION("""COMPUTED_VALUE"""),37881)</f>
        <v>37881</v>
      </c>
      <c r="G165" s="5" t="str">
        <f ca="1">IFERROR(__xludf.DUMMYFUNCTION("""COMPUTED_VALUE"""),"INSPECCION SEMANAL PLANTA AGUAS RESIDUAL")</f>
        <v>INSPECCION SEMANAL PLANTA AGUAS RESIDUAL</v>
      </c>
      <c r="H165" s="5">
        <f ca="1">IFERROR(__xludf.DUMMYFUNCTION("""COMPUTED_VALUE"""),13229212)</f>
        <v>13229212</v>
      </c>
      <c r="I165" s="5" t="str">
        <f ca="1">IFERROR(__xludf.DUMMYFUNCTION("""COMPUTED_VALUE"""),"SESNOR FLOTA PTAR")</f>
        <v>SESNOR FLOTA PTAR</v>
      </c>
      <c r="J165" s="5" t="str">
        <f ca="1">IFERROR(__xludf.DUMMYFUNCTION("""COMPUTED_VALUE"""),"MEDIO")</f>
        <v>MEDIO</v>
      </c>
      <c r="K165" s="5" t="str">
        <f ca="1">IFERROR(__xludf.DUMMYFUNCTION("""COMPUTED_VALUE"""),"Preventivo")</f>
        <v>Preventivo</v>
      </c>
      <c r="L165" s="5" t="str">
        <f ca="1">IFERROR(__xludf.DUMMYFUNCTION("""COMPUTED_VALUE"""),"Maquinaria")</f>
        <v>Maquinaria</v>
      </c>
      <c r="M165" s="5" t="str">
        <f ca="1">IFERROR(__xludf.DUMMYFUNCTION("""COMPUTED_VALUE"""),"No")</f>
        <v>No</v>
      </c>
      <c r="N165" s="5"/>
      <c r="O165" s="5"/>
      <c r="P165" s="18">
        <f ca="1">IFERROR(__xludf.DUMMYFUNCTION("""COMPUTED_VALUE"""),45324)</f>
        <v>45324</v>
      </c>
      <c r="Q165" s="18">
        <f ca="1">IFERROR(__xludf.DUMMYFUNCTION("""COMPUTED_VALUE"""),45324)</f>
        <v>45324</v>
      </c>
      <c r="R165" s="18"/>
      <c r="S165" s="5">
        <f ca="1">IFERROR(__xludf.DUMMYFUNCTION("""COMPUTED_VALUE"""),1)</f>
        <v>1</v>
      </c>
      <c r="T165" s="5"/>
      <c r="U165" s="5" t="str">
        <f ca="1">IFERROR(__xludf.DUMMYFUNCTION("""COMPUTED_VALUE"""),"Guzman Palechor Miguel Angel")</f>
        <v>Guzman Palechor Miguel Angel</v>
      </c>
      <c r="V165" s="5"/>
      <c r="W165" s="5" t="str">
        <f ca="1">IFERROR(__xludf.DUMMYFUNCTION("""COMPUTED_VALUE"""),"YbHndIXnFQ8")</f>
        <v>YbHndIXnFQ8</v>
      </c>
      <c r="X165" s="5">
        <f ca="1">IFERROR(__xludf.DUMMYFUNCTION("""COMPUTED_VALUE"""),1)</f>
        <v>1</v>
      </c>
      <c r="Y165" s="5" t="str">
        <f t="shared" si="0"/>
        <v>Actividad sin realizar</v>
      </c>
      <c r="Z165" s="3">
        <f ca="1">IFERROR(VLOOKUP(U165, 'Base de datos'!A:B, 2, FALSE), "")</f>
        <v>573112422176</v>
      </c>
      <c r="AA165" s="4" t="e">
        <f t="shared" ca="1" si="1"/>
        <v>#NAME?</v>
      </c>
    </row>
    <row r="166" spans="1:27" ht="15.75" customHeight="1">
      <c r="A166" s="5" t="str">
        <f ca="1">IFERROR(__xludf.DUMMYFUNCTION("""COMPUTED_VALUE"""),"POSTOBÓN YUMBO")</f>
        <v>POSTOBÓN YUMBO</v>
      </c>
      <c r="B166" s="5" t="str">
        <f ca="1">IFERROR(__xludf.DUMMYFUNCTION("""COMPUTED_VALUE"""),"0410-EQUIPOS AUXILIARES")</f>
        <v>0410-EQUIPOS AUXILIARES</v>
      </c>
      <c r="C166" s="5" t="str">
        <f ca="1">IFERROR(__xludf.DUMMYFUNCTION("""COMPUTED_VALUE"""),"EQUIPOS PARA SERVICIOS INDUSTRIALES")</f>
        <v>EQUIPOS PARA SERVICIOS INDUSTRIALES</v>
      </c>
      <c r="D166" s="5">
        <f ca="1">IFERROR(__xludf.DUMMYFUNCTION("""COMPUTED_VALUE"""),829072)</f>
        <v>829072</v>
      </c>
      <c r="E166" s="5" t="str">
        <f ca="1">IFERROR(__xludf.DUMMYFUNCTION("""COMPUTED_VALUE"""),"COMPRESOR TORNILLO AIRE VEL. VARIABLE")</f>
        <v>COMPRESOR TORNILLO AIRE VEL. VARIABLE</v>
      </c>
      <c r="F166" s="5">
        <f ca="1">IFERROR(__xludf.DUMMYFUNCTION("""COMPUTED_VALUE"""),25380)</f>
        <v>25380</v>
      </c>
      <c r="G166" s="5" t="str">
        <f ca="1">IFERROR(__xludf.DUMMYFUNCTION("""COMPUTED_VALUE"""),"PLAN MTTO MEC COMPRESOR AIRE KAESER")</f>
        <v>PLAN MTTO MEC COMPRESOR AIRE KAESER</v>
      </c>
      <c r="H166" s="5">
        <f ca="1">IFERROR(__xludf.DUMMYFUNCTION("""COMPUTED_VALUE"""),13207475)</f>
        <v>13207475</v>
      </c>
      <c r="I166" s="5" t="str">
        <f ca="1">IFERROR(__xludf.DUMMYFUNCTION("""COMPUTED_VALUE"""),"REVISION DE VALVULA DE ALIVIO DE SEGURID")</f>
        <v>REVISION DE VALVULA DE ALIVIO DE SEGURID</v>
      </c>
      <c r="J166" s="5" t="str">
        <f ca="1">IFERROR(__xludf.DUMMYFUNCTION("""COMPUTED_VALUE"""),"MEDIO")</f>
        <v>MEDIO</v>
      </c>
      <c r="K166" s="5" t="str">
        <f ca="1">IFERROR(__xludf.DUMMYFUNCTION("""COMPUTED_VALUE"""),"Preventivo")</f>
        <v>Preventivo</v>
      </c>
      <c r="L166" s="5" t="str">
        <f ca="1">IFERROR(__xludf.DUMMYFUNCTION("""COMPUTED_VALUE"""),"Maquinaria")</f>
        <v>Maquinaria</v>
      </c>
      <c r="M166" s="5" t="str">
        <f ca="1">IFERROR(__xludf.DUMMYFUNCTION("""COMPUTED_VALUE"""),"No")</f>
        <v>No</v>
      </c>
      <c r="N166" s="5"/>
      <c r="O166" s="5"/>
      <c r="P166" s="18">
        <f ca="1">IFERROR(__xludf.DUMMYFUNCTION("""COMPUTED_VALUE"""),45345)</f>
        <v>45345</v>
      </c>
      <c r="Q166" s="18">
        <f ca="1">IFERROR(__xludf.DUMMYFUNCTION("""COMPUTED_VALUE"""),45345)</f>
        <v>45345</v>
      </c>
      <c r="R166" s="18"/>
      <c r="S166" s="5">
        <f ca="1">IFERROR(__xludf.DUMMYFUNCTION("""COMPUTED_VALUE"""),1)</f>
        <v>1</v>
      </c>
      <c r="T166" s="5"/>
      <c r="U166" s="5" t="str">
        <f ca="1">IFERROR(__xludf.DUMMYFUNCTION("""COMPUTED_VALUE"""),"JEFFERSON BRAVO PIEDRAHITA")</f>
        <v>JEFFERSON BRAVO PIEDRAHITA</v>
      </c>
      <c r="V166" s="5"/>
      <c r="W166" s="5" t="str">
        <f ca="1">IFERROR(__xludf.DUMMYFUNCTION("""COMPUTED_VALUE"""),"U3pH7YJIkqM")</f>
        <v>U3pH7YJIkqM</v>
      </c>
      <c r="X166" s="5">
        <f ca="1">IFERROR(__xludf.DUMMYFUNCTION("""COMPUTED_VALUE"""),1)</f>
        <v>1</v>
      </c>
      <c r="Y166" s="5" t="str">
        <f t="shared" si="0"/>
        <v>Actividad sin realizar</v>
      </c>
      <c r="Z166" s="3">
        <f ca="1">IFERROR(VLOOKUP(U166, 'Base de datos'!A:B, 2, FALSE), "")</f>
        <v>573043623277</v>
      </c>
      <c r="AA166" s="4" t="e">
        <f t="shared" ca="1" si="1"/>
        <v>#NAME?</v>
      </c>
    </row>
    <row r="167" spans="1:27" ht="15.75" customHeight="1">
      <c r="A167" s="5" t="str">
        <f ca="1">IFERROR(__xludf.DUMMYFUNCTION("""COMPUTED_VALUE"""),"POSTOBÓN YUMBO")</f>
        <v>POSTOBÓN YUMBO</v>
      </c>
      <c r="B167" s="5" t="str">
        <f ca="1">IFERROR(__xludf.DUMMYFUNCTION("""COMPUTED_VALUE"""),"0410-SALA DE JARABE TERMINADO")</f>
        <v>0410-SALA DE JARABE TERMINADO</v>
      </c>
      <c r="C167" s="5" t="str">
        <f ca="1">IFERROR(__xludf.DUMMYFUNCTION("""COMPUTED_VALUE"""),"EQUIPOS PARA PREPARACION DE JARABE")</f>
        <v>EQUIPOS PARA PREPARACION DE JARABE</v>
      </c>
      <c r="D167" s="5">
        <f ca="1">IFERROR(__xludf.DUMMYFUNCTION("""COMPUTED_VALUE"""),69963414)</f>
        <v>69963414</v>
      </c>
      <c r="E167" s="5" t="str">
        <f ca="1">IFERROR(__xludf.DUMMYFUNCTION("""COMPUTED_VALUE"""),"TANQUE DE JARABE")</f>
        <v>TANQUE DE JARABE</v>
      </c>
      <c r="F167" s="5">
        <f ca="1">IFERROR(__xludf.DUMMYFUNCTION("""COMPUTED_VALUE"""),17361)</f>
        <v>17361</v>
      </c>
      <c r="G167" s="5" t="str">
        <f ca="1">IFERROR(__xludf.DUMMYFUNCTION("""COMPUTED_VALUE"""),"MTTO MEC TK JARABE 11 JARABE TERMINADO")</f>
        <v>MTTO MEC TK JARABE 11 JARABE TERMINADO</v>
      </c>
      <c r="H167" s="5">
        <f ca="1">IFERROR(__xludf.DUMMYFUNCTION("""COMPUTED_VALUE"""),13247168)</f>
        <v>13247168</v>
      </c>
      <c r="I167" s="5" t="str">
        <f ca="1">IFERROR(__xludf.DUMMYFUNCTION("""COMPUTED_VALUE"""),"BOMBA DE RECIRCULACION:")</f>
        <v>BOMBA DE RECIRCULACION:</v>
      </c>
      <c r="J167" s="5" t="str">
        <f ca="1">IFERROR(__xludf.DUMMYFUNCTION("""COMPUTED_VALUE"""),"ALTO")</f>
        <v>ALTO</v>
      </c>
      <c r="K167" s="5" t="str">
        <f ca="1">IFERROR(__xludf.DUMMYFUNCTION("""COMPUTED_VALUE"""),"Preventivo")</f>
        <v>Preventivo</v>
      </c>
      <c r="L167" s="5" t="str">
        <f ca="1">IFERROR(__xludf.DUMMYFUNCTION("""COMPUTED_VALUE"""),"Maquinaria")</f>
        <v>Maquinaria</v>
      </c>
      <c r="M167" s="5" t="str">
        <f ca="1">IFERROR(__xludf.DUMMYFUNCTION("""COMPUTED_VALUE"""),"No")</f>
        <v>No</v>
      </c>
      <c r="N167" s="5"/>
      <c r="O167" s="5">
        <f ca="1">IFERROR(__xludf.DUMMYFUNCTION("""COMPUTED_VALUE"""),100)</f>
        <v>100</v>
      </c>
      <c r="P167" s="18">
        <f ca="1">IFERROR(__xludf.DUMMYFUNCTION("""COMPUTED_VALUE"""),45342)</f>
        <v>45342</v>
      </c>
      <c r="Q167" s="18">
        <f ca="1">IFERROR(__xludf.DUMMYFUNCTION("""COMPUTED_VALUE"""),45342)</f>
        <v>45342</v>
      </c>
      <c r="R167" s="18"/>
      <c r="S167" s="5">
        <f ca="1">IFERROR(__xludf.DUMMYFUNCTION("""COMPUTED_VALUE"""),1)</f>
        <v>1</v>
      </c>
      <c r="T167" s="5"/>
      <c r="U167" s="5" t="str">
        <f ca="1">IFERROR(__xludf.DUMMYFUNCTION("""COMPUTED_VALUE"""),"Rivas Mena Carlos Danny")</f>
        <v>Rivas Mena Carlos Danny</v>
      </c>
      <c r="V167" s="5"/>
      <c r="W167" s="5" t="str">
        <f ca="1">IFERROR(__xludf.DUMMYFUNCTION("""COMPUTED_VALUE"""),"G03lIaXN-V8")</f>
        <v>G03lIaXN-V8</v>
      </c>
      <c r="X167" s="5">
        <f ca="1">IFERROR(__xludf.DUMMYFUNCTION("""COMPUTED_VALUE"""),1)</f>
        <v>1</v>
      </c>
      <c r="Y167" s="5" t="str">
        <f t="shared" ca="1" si="0"/>
        <v>Actividad realizada</v>
      </c>
      <c r="Z167" s="3">
        <f ca="1">IFERROR(VLOOKUP(U167, 'Base de datos'!A:B, 2, FALSE), "")</f>
        <v>0</v>
      </c>
      <c r="AA167" s="4" t="e">
        <f t="shared" ca="1" si="1"/>
        <v>#NAME?</v>
      </c>
    </row>
    <row r="168" spans="1:27" ht="15.75" customHeight="1">
      <c r="A168" s="5" t="str">
        <f ca="1">IFERROR(__xludf.DUMMYFUNCTION("""COMPUTED_VALUE"""),"POSTOBÓN YUMBO")</f>
        <v>POSTOBÓN YUMBO</v>
      </c>
      <c r="B168" s="5" t="str">
        <f ca="1">IFERROR(__xludf.DUMMYFUNCTION("""COMPUTED_VALUE"""),"0410-PLANTA DE AGUA ENVASADO")</f>
        <v>0410-PLANTA DE AGUA ENVASADO</v>
      </c>
      <c r="C168" s="5" t="str">
        <f ca="1">IFERROR(__xludf.DUMMYFUNCTION("""COMPUTED_VALUE"""),"TRATAMIENTO DE AGUA PARA ENVASADO")</f>
        <v>TRATAMIENTO DE AGUA PARA ENVASADO</v>
      </c>
      <c r="D168" s="5">
        <f ca="1">IFERROR(__xludf.DUMMYFUNCTION("""COMPUTED_VALUE"""),70948925)</f>
        <v>70948925</v>
      </c>
      <c r="E168" s="5" t="str">
        <f ca="1">IFERROR(__xludf.DUMMYFUNCTION("""COMPUTED_VALUE"""),"UNIDAD OSMOSIS 2")</f>
        <v>UNIDAD OSMOSIS 2</v>
      </c>
      <c r="F168" s="5">
        <f ca="1">IFERROR(__xludf.DUMMYFUNCTION("""COMPUTED_VALUE"""),21765)</f>
        <v>21765</v>
      </c>
      <c r="G168" s="5" t="str">
        <f ca="1">IFERROR(__xludf.DUMMYFUNCTION("""COMPUTED_VALUE"""),"PLAN MTTO MEC UNIDAD OSMOSIS 2")</f>
        <v>PLAN MTTO MEC UNIDAD OSMOSIS 2</v>
      </c>
      <c r="H168" s="5">
        <f ca="1">IFERROR(__xludf.DUMMYFUNCTION("""COMPUTED_VALUE"""),13229041)</f>
        <v>13229041</v>
      </c>
      <c r="I168" s="5" t="str">
        <f ca="1">IFERROR(__xludf.DUMMYFUNCTION("""COMPUTED_VALUE"""),"VALVULA REGULADORA NEUMATICA (2):")</f>
        <v>VALVULA REGULADORA NEUMATICA (2):</v>
      </c>
      <c r="J168" s="5" t="str">
        <f ca="1">IFERROR(__xludf.DUMMYFUNCTION("""COMPUTED_VALUE"""),"ALTO")</f>
        <v>ALTO</v>
      </c>
      <c r="K168" s="5" t="str">
        <f ca="1">IFERROR(__xludf.DUMMYFUNCTION("""COMPUTED_VALUE"""),"Preventivo")</f>
        <v>Preventivo</v>
      </c>
      <c r="L168" s="5" t="str">
        <f ca="1">IFERROR(__xludf.DUMMYFUNCTION("""COMPUTED_VALUE"""),"Maquinaria")</f>
        <v>Maquinaria</v>
      </c>
      <c r="M168" s="5" t="str">
        <f ca="1">IFERROR(__xludf.DUMMYFUNCTION("""COMPUTED_VALUE"""),"No")</f>
        <v>No</v>
      </c>
      <c r="N168" s="5"/>
      <c r="O168" s="5"/>
      <c r="P168" s="18">
        <f ca="1">IFERROR(__xludf.DUMMYFUNCTION("""COMPUTED_VALUE"""),45339)</f>
        <v>45339</v>
      </c>
      <c r="Q168" s="18">
        <f ca="1">IFERROR(__xludf.DUMMYFUNCTION("""COMPUTED_VALUE"""),45339)</f>
        <v>45339</v>
      </c>
      <c r="R168" s="18"/>
      <c r="S168" s="5">
        <f ca="1">IFERROR(__xludf.DUMMYFUNCTION("""COMPUTED_VALUE"""),1)</f>
        <v>1</v>
      </c>
      <c r="T168" s="5"/>
      <c r="U168" s="5" t="str">
        <f ca="1">IFERROR(__xludf.DUMMYFUNCTION("""COMPUTED_VALUE"""),"JEFFERSON BRAVO PIEDRAHITA")</f>
        <v>JEFFERSON BRAVO PIEDRAHITA</v>
      </c>
      <c r="V168" s="5"/>
      <c r="W168" s="5" t="str">
        <f ca="1">IFERROR(__xludf.DUMMYFUNCTION("""COMPUTED_VALUE"""),"QyALwccJo7s")</f>
        <v>QyALwccJo7s</v>
      </c>
      <c r="X168" s="5">
        <f ca="1">IFERROR(__xludf.DUMMYFUNCTION("""COMPUTED_VALUE"""),1)</f>
        <v>1</v>
      </c>
      <c r="Y168" s="5" t="str">
        <f t="shared" si="0"/>
        <v>Actividad sin realizar</v>
      </c>
      <c r="Z168" s="3">
        <f ca="1">IFERROR(VLOOKUP(U168, 'Base de datos'!A:B, 2, FALSE), "")</f>
        <v>573043623277</v>
      </c>
      <c r="AA168" s="4" t="e">
        <f t="shared" ca="1" si="1"/>
        <v>#NAME?</v>
      </c>
    </row>
    <row r="169" spans="1:27" ht="15.75" customHeight="1">
      <c r="A169" s="5" t="str">
        <f ca="1">IFERROR(__xludf.DUMMYFUNCTION("""COMPUTED_VALUE"""),"POSTOBÓN YUMBO")</f>
        <v>POSTOBÓN YUMBO</v>
      </c>
      <c r="B169" s="5" t="str">
        <f ca="1">IFERROR(__xludf.DUMMYFUNCTION("""COMPUTED_VALUE"""),"0410-PLANTA DE AGUA ENVASADO")</f>
        <v>0410-PLANTA DE AGUA ENVASADO</v>
      </c>
      <c r="C169" s="5" t="str">
        <f ca="1">IFERROR(__xludf.DUMMYFUNCTION("""COMPUTED_VALUE"""),"TRATAMIENTO DE AGUA PARA ENVASADO")</f>
        <v>TRATAMIENTO DE AGUA PARA ENVASADO</v>
      </c>
      <c r="D169" s="5">
        <f ca="1">IFERROR(__xludf.DUMMYFUNCTION("""COMPUTED_VALUE"""),709812)</f>
        <v>709812</v>
      </c>
      <c r="E169" s="5" t="str">
        <f ca="1">IFERROR(__xludf.DUMMYFUNCTION("""COMPUTED_VALUE"""),"UV PREPARACIÓN TE")</f>
        <v>UV PREPARACIÓN TE</v>
      </c>
      <c r="F169" s="5">
        <f ca="1">IFERROR(__xludf.DUMMYFUNCTION("""COMPUTED_VALUE"""),42253)</f>
        <v>42253</v>
      </c>
      <c r="G169" s="5" t="str">
        <f ca="1">IFERROR(__xludf.DUMMYFUNCTION("""COMPUTED_VALUE"""),"PLAN MTTO MEC UV PREPARAC TE ATLANTIUM")</f>
        <v>PLAN MTTO MEC UV PREPARAC TE ATLANTIUM</v>
      </c>
      <c r="H169" s="5">
        <f ca="1">IFERROR(__xludf.DUMMYFUNCTION("""COMPUTED_VALUE"""),13229228)</f>
        <v>13229228</v>
      </c>
      <c r="I169" s="5" t="str">
        <f ca="1">IFERROR(__xludf.DUMMYFUNCTION("""COMPUTED_VALUE"""),"REVISION FUGAS UNIDAD UV")</f>
        <v>REVISION FUGAS UNIDAD UV</v>
      </c>
      <c r="J169" s="5" t="str">
        <f ca="1">IFERROR(__xludf.DUMMYFUNCTION("""COMPUTED_VALUE"""),"ALTO")</f>
        <v>ALTO</v>
      </c>
      <c r="K169" s="5" t="str">
        <f ca="1">IFERROR(__xludf.DUMMYFUNCTION("""COMPUTED_VALUE"""),"Preventivo")</f>
        <v>Preventivo</v>
      </c>
      <c r="L169" s="5" t="str">
        <f ca="1">IFERROR(__xludf.DUMMYFUNCTION("""COMPUTED_VALUE"""),"Maquinaria")</f>
        <v>Maquinaria</v>
      </c>
      <c r="M169" s="5" t="str">
        <f ca="1">IFERROR(__xludf.DUMMYFUNCTION("""COMPUTED_VALUE"""),"No")</f>
        <v>No</v>
      </c>
      <c r="N169" s="5"/>
      <c r="O169" s="5"/>
      <c r="P169" s="18">
        <f ca="1">IFERROR(__xludf.DUMMYFUNCTION("""COMPUTED_VALUE"""),45340)</f>
        <v>45340</v>
      </c>
      <c r="Q169" s="18">
        <f ca="1">IFERROR(__xludf.DUMMYFUNCTION("""COMPUTED_VALUE"""),45340)</f>
        <v>45340</v>
      </c>
      <c r="R169" s="18"/>
      <c r="S169" s="5">
        <f ca="1">IFERROR(__xludf.DUMMYFUNCTION("""COMPUTED_VALUE"""),1)</f>
        <v>1</v>
      </c>
      <c r="T169" s="5"/>
      <c r="U169" s="5" t="str">
        <f ca="1">IFERROR(__xludf.DUMMYFUNCTION("""COMPUTED_VALUE"""),"JEFFERSON BRAVO PIEDRAHITA")</f>
        <v>JEFFERSON BRAVO PIEDRAHITA</v>
      </c>
      <c r="V169" s="5"/>
      <c r="W169" s="5" t="str">
        <f ca="1">IFERROR(__xludf.DUMMYFUNCTION("""COMPUTED_VALUE"""),"GVJJLI_jKOg")</f>
        <v>GVJJLI_jKOg</v>
      </c>
      <c r="X169" s="5">
        <f ca="1">IFERROR(__xludf.DUMMYFUNCTION("""COMPUTED_VALUE"""),1)</f>
        <v>1</v>
      </c>
      <c r="Y169" s="5" t="str">
        <f t="shared" si="0"/>
        <v>Actividad sin realizar</v>
      </c>
      <c r="Z169" s="3">
        <f ca="1">IFERROR(VLOOKUP(U169, 'Base de datos'!A:B, 2, FALSE), "")</f>
        <v>573043623277</v>
      </c>
      <c r="AA169" s="4" t="e">
        <f t="shared" ca="1" si="1"/>
        <v>#NAME?</v>
      </c>
    </row>
    <row r="170" spans="1:27" ht="15.75" customHeight="1">
      <c r="A170" s="5" t="str">
        <f ca="1">IFERROR(__xludf.DUMMYFUNCTION("""COMPUTED_VALUE"""),"POSTOBÓN YUMBO")</f>
        <v>POSTOBÓN YUMBO</v>
      </c>
      <c r="B170" s="5" t="str">
        <f ca="1">IFERROR(__xludf.DUMMYFUNCTION("""COMPUTED_VALUE"""),"0410-PLANTA DE AGUA ENVASADO")</f>
        <v>0410-PLANTA DE AGUA ENVASADO</v>
      </c>
      <c r="C170" s="5" t="str">
        <f ca="1">IFERROR(__xludf.DUMMYFUNCTION("""COMPUTED_VALUE"""),"TRATAMIENTO DE AGUA PARA ENVASADO")</f>
        <v>TRATAMIENTO DE AGUA PARA ENVASADO</v>
      </c>
      <c r="D170" s="5">
        <f ca="1">IFERROR(__xludf.DUMMYFUNCTION("""COMPUTED_VALUE"""),70965319)</f>
        <v>70965319</v>
      </c>
      <c r="E170" s="5" t="str">
        <f ca="1">IFERROR(__xludf.DUMMYFUNCTION("""COMPUTED_VALUE"""),"FILTRO BANDA - TRAT PRIM")</f>
        <v>FILTRO BANDA - TRAT PRIM</v>
      </c>
      <c r="F170" s="5">
        <f ca="1">IFERROR(__xludf.DUMMYFUNCTION("""COMPUTED_VALUE"""),32903)</f>
        <v>32903</v>
      </c>
      <c r="G170" s="5" t="str">
        <f ca="1">IFERROR(__xludf.DUMMYFUNCTION("""COMPUTED_VALUE"""),"PLAN MTTO MEC FILTRO BANDA - TRAT PRIM")</f>
        <v>PLAN MTTO MEC FILTRO BANDA - TRAT PRIM</v>
      </c>
      <c r="H170" s="5">
        <f ca="1">IFERROR(__xludf.DUMMYFUNCTION("""COMPUTED_VALUE"""),13247259)</f>
        <v>13247259</v>
      </c>
      <c r="I170" s="5" t="str">
        <f ca="1">IFERROR(__xludf.DUMMYFUNCTION("""COMPUTED_VALUE"""),"REVISAR/ LIMPIAR BANDA CON JABON")</f>
        <v>REVISAR/ LIMPIAR BANDA CON JABON</v>
      </c>
      <c r="J170" s="5" t="str">
        <f ca="1">IFERROR(__xludf.DUMMYFUNCTION("""COMPUTED_VALUE"""),"ALTO")</f>
        <v>ALTO</v>
      </c>
      <c r="K170" s="5" t="str">
        <f ca="1">IFERROR(__xludf.DUMMYFUNCTION("""COMPUTED_VALUE"""),"Preventivo")</f>
        <v>Preventivo</v>
      </c>
      <c r="L170" s="5" t="str">
        <f ca="1">IFERROR(__xludf.DUMMYFUNCTION("""COMPUTED_VALUE"""),"Maquinaria")</f>
        <v>Maquinaria</v>
      </c>
      <c r="M170" s="5" t="str">
        <f ca="1">IFERROR(__xludf.DUMMYFUNCTION("""COMPUTED_VALUE"""),"No")</f>
        <v>No</v>
      </c>
      <c r="N170" s="5"/>
      <c r="O170" s="5"/>
      <c r="P170" s="18">
        <f ca="1">IFERROR(__xludf.DUMMYFUNCTION("""COMPUTED_VALUE"""),45339)</f>
        <v>45339</v>
      </c>
      <c r="Q170" s="18">
        <f ca="1">IFERROR(__xludf.DUMMYFUNCTION("""COMPUTED_VALUE"""),45339)</f>
        <v>45339</v>
      </c>
      <c r="R170" s="18"/>
      <c r="S170" s="5">
        <f ca="1">IFERROR(__xludf.DUMMYFUNCTION("""COMPUTED_VALUE"""),1)</f>
        <v>1</v>
      </c>
      <c r="T170" s="5"/>
      <c r="U170" s="5" t="str">
        <f ca="1">IFERROR(__xludf.DUMMYFUNCTION("""COMPUTED_VALUE"""),"Guzman Palechor Miguel Angel")</f>
        <v>Guzman Palechor Miguel Angel</v>
      </c>
      <c r="V170" s="5"/>
      <c r="W170" s="5" t="str">
        <f ca="1">IFERROR(__xludf.DUMMYFUNCTION("""COMPUTED_VALUE"""),"IIEnBIhen7A")</f>
        <v>IIEnBIhen7A</v>
      </c>
      <c r="X170" s="5">
        <f ca="1">IFERROR(__xludf.DUMMYFUNCTION("""COMPUTED_VALUE"""),1)</f>
        <v>1</v>
      </c>
      <c r="Y170" s="5" t="str">
        <f t="shared" si="0"/>
        <v>Actividad sin realizar</v>
      </c>
      <c r="Z170" s="3">
        <f ca="1">IFERROR(VLOOKUP(U170, 'Base de datos'!A:B, 2, FALSE), "")</f>
        <v>573112422176</v>
      </c>
      <c r="AA170" s="4" t="e">
        <f t="shared" ca="1" si="1"/>
        <v>#NAME?</v>
      </c>
    </row>
    <row r="171" spans="1:27" ht="15.75" customHeight="1">
      <c r="A171" s="5" t="str">
        <f ca="1">IFERROR(__xludf.DUMMYFUNCTION("""COMPUTED_VALUE"""),"POSTOBÓN YUMBO")</f>
        <v>POSTOBÓN YUMBO</v>
      </c>
      <c r="B171" s="5" t="str">
        <f ca="1">IFERROR(__xludf.DUMMYFUNCTION("""COMPUTED_VALUE"""),"0410-LINEA PET CSD")</f>
        <v>0410-LINEA PET CSD</v>
      </c>
      <c r="C171" s="5" t="str">
        <f ca="1">IFERROR(__xludf.DUMMYFUNCTION("""COMPUTED_VALUE"""),"LINEA PET CSD - LINEA 10")</f>
        <v>LINEA PET CSD - LINEA 10</v>
      </c>
      <c r="D171" s="5">
        <f ca="1">IFERROR(__xludf.DUMMYFUNCTION("""COMPUTED_VALUE"""),820082)</f>
        <v>820082</v>
      </c>
      <c r="E171" s="5" t="str">
        <f ca="1">IFERROR(__xludf.DUMMYFUNCTION("""COMPUTED_VALUE"""),"ETIQUETADORA ENVOLVENTE")</f>
        <v>ETIQUETADORA ENVOLVENTE</v>
      </c>
      <c r="F171" s="5">
        <f ca="1">IFERROR(__xludf.DUMMYFUNCTION("""COMPUTED_VALUE"""),25365)</f>
        <v>25365</v>
      </c>
      <c r="G171" s="5" t="str">
        <f ca="1">IFERROR(__xludf.DUMMYFUNCTION("""COMPUTED_VALUE"""),"PLAN MTTO ELE ETIQUETADORA CSD")</f>
        <v>PLAN MTTO ELE ETIQUETADORA CSD</v>
      </c>
      <c r="H171" s="5">
        <f ca="1">IFERROR(__xludf.DUMMYFUNCTION("""COMPUTED_VALUE"""),13232380)</f>
        <v>13232380</v>
      </c>
      <c r="I171" s="5" t="str">
        <f ca="1">IFERROR(__xludf.DUMMYFUNCTION("""COMPUTED_VALUE"""),"Barreras de luz y reflectores:")</f>
        <v>Barreras de luz y reflectores:</v>
      </c>
      <c r="J171" s="5" t="str">
        <f ca="1">IFERROR(__xludf.DUMMYFUNCTION("""COMPUTED_VALUE"""),"MEDIO")</f>
        <v>MEDIO</v>
      </c>
      <c r="K171" s="5" t="str">
        <f ca="1">IFERROR(__xludf.DUMMYFUNCTION("""COMPUTED_VALUE"""),"Preventivo")</f>
        <v>Preventivo</v>
      </c>
      <c r="L171" s="5" t="str">
        <f ca="1">IFERROR(__xludf.DUMMYFUNCTION("""COMPUTED_VALUE"""),"Maquinaria")</f>
        <v>Maquinaria</v>
      </c>
      <c r="M171" s="5" t="str">
        <f ca="1">IFERROR(__xludf.DUMMYFUNCTION("""COMPUTED_VALUE"""),"No")</f>
        <v>No</v>
      </c>
      <c r="N171" s="5"/>
      <c r="O171" s="5">
        <f ca="1">IFERROR(__xludf.DUMMYFUNCTION("""COMPUTED_VALUE"""),100)</f>
        <v>100</v>
      </c>
      <c r="P171" s="18">
        <f ca="1">IFERROR(__xludf.DUMMYFUNCTION("""COMPUTED_VALUE"""),45328)</f>
        <v>45328</v>
      </c>
      <c r="Q171" s="18">
        <f ca="1">IFERROR(__xludf.DUMMYFUNCTION("""COMPUTED_VALUE"""),45328)</f>
        <v>45328</v>
      </c>
      <c r="R171" s="18"/>
      <c r="S171" s="5">
        <f ca="1">IFERROR(__xludf.DUMMYFUNCTION("""COMPUTED_VALUE"""),1)</f>
        <v>1</v>
      </c>
      <c r="T171" s="5"/>
      <c r="U171" s="5" t="str">
        <f ca="1">IFERROR(__xludf.DUMMYFUNCTION("""COMPUTED_VALUE"""),"Gordillo Victoria Luis Miguel")</f>
        <v>Gordillo Victoria Luis Miguel</v>
      </c>
      <c r="V171" s="5"/>
      <c r="W171" s="5" t="str">
        <f ca="1">IFERROR(__xludf.DUMMYFUNCTION("""COMPUTED_VALUE"""),"FVNUJYx_tVs")</f>
        <v>FVNUJYx_tVs</v>
      </c>
      <c r="X171" s="5">
        <f ca="1">IFERROR(__xludf.DUMMYFUNCTION("""COMPUTED_VALUE"""),1)</f>
        <v>1</v>
      </c>
      <c r="Y171" s="5" t="str">
        <f t="shared" ca="1" si="0"/>
        <v>Actividad realizada</v>
      </c>
      <c r="Z171" s="3">
        <f ca="1">IFERROR(VLOOKUP(U171, 'Base de datos'!A:B, 2, FALSE), "")</f>
        <v>573023677706</v>
      </c>
      <c r="AA171" s="4" t="e">
        <f t="shared" ca="1" si="1"/>
        <v>#NAME?</v>
      </c>
    </row>
    <row r="172" spans="1:27" ht="15.75" customHeight="1">
      <c r="A172" s="5" t="str">
        <f ca="1">IFERROR(__xludf.DUMMYFUNCTION("""COMPUTED_VALUE"""),"POSTOBÓN YUMBO")</f>
        <v>POSTOBÓN YUMBO</v>
      </c>
      <c r="B172" s="5" t="str">
        <f ca="1">IFERROR(__xludf.DUMMYFUNCTION("""COMPUTED_VALUE"""),"0410-PLANTA DE AGUA ENVASADO")</f>
        <v>0410-PLANTA DE AGUA ENVASADO</v>
      </c>
      <c r="C172" s="5" t="str">
        <f ca="1">IFERROR(__xludf.DUMMYFUNCTION("""COMPUTED_VALUE"""),"TRATAMIENTO DE AGUA PARA ENVASADO")</f>
        <v>TRATAMIENTO DE AGUA PARA ENVASADO</v>
      </c>
      <c r="D172" s="5">
        <f ca="1">IFERROR(__xludf.DUMMYFUNCTION("""COMPUTED_VALUE"""),70948953)</f>
        <v>70948953</v>
      </c>
      <c r="E172" s="5" t="str">
        <f ca="1">IFERROR(__xludf.DUMMYFUNCTION("""COMPUTED_VALUE"""),"TABLERO ELECTRICO - TRAT PRIM")</f>
        <v>TABLERO ELECTRICO - TRAT PRIM</v>
      </c>
      <c r="F172" s="5">
        <f ca="1">IFERROR(__xludf.DUMMYFUNCTION("""COMPUTED_VALUE"""),32896)</f>
        <v>32896</v>
      </c>
      <c r="G172" s="5" t="str">
        <f ca="1">IFERROR(__xludf.DUMMYFUNCTION("""COMPUTED_VALUE"""),"PLAN MTTO ELE TABLERO ELECTRICO - TRAT P")</f>
        <v>PLAN MTTO ELE TABLERO ELECTRICO - TRAT P</v>
      </c>
      <c r="H172" s="5">
        <f ca="1">IFERROR(__xludf.DUMMYFUNCTION("""COMPUTED_VALUE"""),13247258)</f>
        <v>13247258</v>
      </c>
      <c r="I172" s="5" t="str">
        <f ca="1">IFERROR(__xludf.DUMMYFUNCTION("""COMPUTED_VALUE"""),"REVISION, LIMPIEZA Y AJUSTE CONEXIONES")</f>
        <v>REVISION, LIMPIEZA Y AJUSTE CONEXIONES</v>
      </c>
      <c r="J172" s="5" t="str">
        <f ca="1">IFERROR(__xludf.DUMMYFUNCTION("""COMPUTED_VALUE"""),"ALTO")</f>
        <v>ALTO</v>
      </c>
      <c r="K172" s="5" t="str">
        <f ca="1">IFERROR(__xludf.DUMMYFUNCTION("""COMPUTED_VALUE"""),"Preventivo")</f>
        <v>Preventivo</v>
      </c>
      <c r="L172" s="5" t="str">
        <f ca="1">IFERROR(__xludf.DUMMYFUNCTION("""COMPUTED_VALUE"""),"Maquinaria")</f>
        <v>Maquinaria</v>
      </c>
      <c r="M172" s="5" t="str">
        <f ca="1">IFERROR(__xludf.DUMMYFUNCTION("""COMPUTED_VALUE"""),"No")</f>
        <v>No</v>
      </c>
      <c r="N172" s="5"/>
      <c r="O172" s="5"/>
      <c r="P172" s="18">
        <f ca="1">IFERROR(__xludf.DUMMYFUNCTION("""COMPUTED_VALUE"""),45339)</f>
        <v>45339</v>
      </c>
      <c r="Q172" s="18">
        <f ca="1">IFERROR(__xludf.DUMMYFUNCTION("""COMPUTED_VALUE"""),45339)</f>
        <v>45339</v>
      </c>
      <c r="R172" s="18"/>
      <c r="S172" s="5">
        <f ca="1">IFERROR(__xludf.DUMMYFUNCTION("""COMPUTED_VALUE"""),2)</f>
        <v>2</v>
      </c>
      <c r="T172" s="5"/>
      <c r="U172" s="5" t="str">
        <f ca="1">IFERROR(__xludf.DUMMYFUNCTION("""COMPUTED_VALUE"""),"Guzman Palechor Miguel Angel")</f>
        <v>Guzman Palechor Miguel Angel</v>
      </c>
      <c r="V172" s="5"/>
      <c r="W172" s="5" t="str">
        <f ca="1">IFERROR(__xludf.DUMMYFUNCTION("""COMPUTED_VALUE"""),"Kus9uwuktXs")</f>
        <v>Kus9uwuktXs</v>
      </c>
      <c r="X172" s="5">
        <f ca="1">IFERROR(__xludf.DUMMYFUNCTION("""COMPUTED_VALUE"""),2)</f>
        <v>2</v>
      </c>
      <c r="Y172" s="5" t="str">
        <f t="shared" si="0"/>
        <v>Actividad sin realizar</v>
      </c>
      <c r="Z172" s="3">
        <f ca="1">IFERROR(VLOOKUP(U172, 'Base de datos'!A:B, 2, FALSE), "")</f>
        <v>573112422176</v>
      </c>
      <c r="AA172" s="4" t="e">
        <f t="shared" ca="1" si="1"/>
        <v>#NAME?</v>
      </c>
    </row>
    <row r="173" spans="1:27" ht="15.75" customHeight="1">
      <c r="A173" s="5" t="str">
        <f ca="1">IFERROR(__xludf.DUMMYFUNCTION("""COMPUTED_VALUE"""),"POSTOBÓN YUMBO")</f>
        <v>POSTOBÓN YUMBO</v>
      </c>
      <c r="B173" s="5" t="str">
        <f ca="1">IFERROR(__xludf.DUMMYFUNCTION("""COMPUTED_VALUE"""),"0410-LINEA PET CSD")</f>
        <v>0410-LINEA PET CSD</v>
      </c>
      <c r="C173" s="5" t="str">
        <f ca="1">IFERROR(__xludf.DUMMYFUNCTION("""COMPUTED_VALUE"""),"LINEA PET CSD - LINEA 10")</f>
        <v>LINEA PET CSD - LINEA 10</v>
      </c>
      <c r="D173" s="5">
        <f ca="1">IFERROR(__xludf.DUMMYFUNCTION("""COMPUTED_VALUE"""),599605)</f>
        <v>599605</v>
      </c>
      <c r="E173" s="5" t="str">
        <f ca="1">IFERROR(__xludf.DUMMYFUNCTION("""COMPUTED_VALUE"""),"INSPECTOR ELECTRONICO DE ENVASE")</f>
        <v>INSPECTOR ELECTRONICO DE ENVASE</v>
      </c>
      <c r="F173" s="5">
        <f ca="1">IFERROR(__xludf.DUMMYFUNCTION("""COMPUTED_VALUE"""),37846)</f>
        <v>37846</v>
      </c>
      <c r="G173" s="5" t="str">
        <f ca="1">IFERROR(__xludf.DUMMYFUNCTION("""COMPUTED_VALUE"""),"INSPECCION SEMANAL INSPECTOR ELECTRONICO")</f>
        <v>INSPECCION SEMANAL INSPECTOR ELECTRONICO</v>
      </c>
      <c r="H173" s="5">
        <f ca="1">IFERROR(__xludf.DUMMYFUNCTION("""COMPUTED_VALUE"""),13195599)</f>
        <v>13195599</v>
      </c>
      <c r="I173" s="5" t="str">
        <f ca="1">IFERROR(__xludf.DUMMYFUNCTION("""COMPUTED_VALUE"""),"cambio de swich de puerta de seguridad 1")</f>
        <v>cambio de swich de puerta de seguridad 1</v>
      </c>
      <c r="J173" s="5" t="str">
        <f ca="1">IFERROR(__xludf.DUMMYFUNCTION("""COMPUTED_VALUE"""),"ALTO")</f>
        <v>ALTO</v>
      </c>
      <c r="K173" s="5" t="str">
        <f ca="1">IFERROR(__xludf.DUMMYFUNCTION("""COMPUTED_VALUE"""),"Preventivo")</f>
        <v>Preventivo</v>
      </c>
      <c r="L173" s="5" t="str">
        <f ca="1">IFERROR(__xludf.DUMMYFUNCTION("""COMPUTED_VALUE"""),"Maquinaria")</f>
        <v>Maquinaria</v>
      </c>
      <c r="M173" s="5" t="str">
        <f ca="1">IFERROR(__xludf.DUMMYFUNCTION("""COMPUTED_VALUE"""),"No")</f>
        <v>No</v>
      </c>
      <c r="N173" s="5"/>
      <c r="O173" s="5">
        <f ca="1">IFERROR(__xludf.DUMMYFUNCTION("""COMPUTED_VALUE"""),100)</f>
        <v>100</v>
      </c>
      <c r="P173" s="18">
        <f ca="1">IFERROR(__xludf.DUMMYFUNCTION("""COMPUTED_VALUE"""),45325)</f>
        <v>45325</v>
      </c>
      <c r="Q173" s="18">
        <f ca="1">IFERROR(__xludf.DUMMYFUNCTION("""COMPUTED_VALUE"""),45325)</f>
        <v>45325</v>
      </c>
      <c r="R173" s="18"/>
      <c r="S173" s="5">
        <f ca="1">IFERROR(__xludf.DUMMYFUNCTION("""COMPUTED_VALUE"""),1)</f>
        <v>1</v>
      </c>
      <c r="T173" s="5"/>
      <c r="U173" s="5" t="str">
        <f ca="1">IFERROR(__xludf.DUMMYFUNCTION("""COMPUTED_VALUE"""),"BONILLA ANGULO EDWIN ANDRES")</f>
        <v>BONILLA ANGULO EDWIN ANDRES</v>
      </c>
      <c r="V173" s="5"/>
      <c r="W173" s="5" t="str">
        <f ca="1">IFERROR(__xludf.DUMMYFUNCTION("""COMPUTED_VALUE"""),"H3srOHiJwu8")</f>
        <v>H3srOHiJwu8</v>
      </c>
      <c r="X173" s="5">
        <f ca="1">IFERROR(__xludf.DUMMYFUNCTION("""COMPUTED_VALUE"""),1)</f>
        <v>1</v>
      </c>
      <c r="Y173" s="5" t="str">
        <f t="shared" ca="1" si="0"/>
        <v>Actividad realizada</v>
      </c>
      <c r="Z173" s="3">
        <f ca="1">IFERROR(VLOOKUP(U173, 'Base de datos'!A:B, 2, FALSE), "")</f>
        <v>573154265203</v>
      </c>
      <c r="AA173" s="4" t="e">
        <f t="shared" ca="1" si="1"/>
        <v>#NAME?</v>
      </c>
    </row>
    <row r="174" spans="1:27" ht="15.75" customHeight="1">
      <c r="A174" s="5" t="str">
        <f ca="1">IFERROR(__xludf.DUMMYFUNCTION("""COMPUTED_VALUE"""),"POSTOBÓN YUMBO")</f>
        <v>POSTOBÓN YUMBO</v>
      </c>
      <c r="B174" s="5" t="str">
        <f ca="1">IFERROR(__xludf.DUMMYFUNCTION("""COMPUTED_VALUE"""),"0410-SALA DE JARABE TERMINADO")</f>
        <v>0410-SALA DE JARABE TERMINADO</v>
      </c>
      <c r="C174" s="5" t="str">
        <f ca="1">IFERROR(__xludf.DUMMYFUNCTION("""COMPUTED_VALUE"""),"EQUIPOS PARA PREPARACION DE JARABE")</f>
        <v>EQUIPOS PARA PREPARACION DE JARABE</v>
      </c>
      <c r="D174" s="5">
        <f ca="1">IFERROR(__xludf.DUMMYFUNCTION("""COMPUTED_VALUE"""),69963413)</f>
        <v>69963413</v>
      </c>
      <c r="E174" s="5" t="str">
        <f ca="1">IFERROR(__xludf.DUMMYFUNCTION("""COMPUTED_VALUE"""),"TANQUE DE JARABE")</f>
        <v>TANQUE DE JARABE</v>
      </c>
      <c r="F174" s="5">
        <f ca="1">IFERROR(__xludf.DUMMYFUNCTION("""COMPUTED_VALUE"""),17361)</f>
        <v>17361</v>
      </c>
      <c r="G174" s="5" t="str">
        <f ca="1">IFERROR(__xludf.DUMMYFUNCTION("""COMPUTED_VALUE"""),"MTTO MEC TK JARABE 10 JARABE TERMINADO")</f>
        <v>MTTO MEC TK JARABE 10 JARABE TERMINADO</v>
      </c>
      <c r="H174" s="5">
        <f ca="1">IFERROR(__xludf.DUMMYFUNCTION("""COMPUTED_VALUE"""),13247166)</f>
        <v>13247166</v>
      </c>
      <c r="I174" s="5" t="str">
        <f ca="1">IFERROR(__xludf.DUMMYFUNCTION("""COMPUTED_VALUE"""),"BOMBA DE RECIRCULACION:")</f>
        <v>BOMBA DE RECIRCULACION:</v>
      </c>
      <c r="J174" s="5" t="str">
        <f ca="1">IFERROR(__xludf.DUMMYFUNCTION("""COMPUTED_VALUE"""),"ALTO")</f>
        <v>ALTO</v>
      </c>
      <c r="K174" s="5" t="str">
        <f ca="1">IFERROR(__xludf.DUMMYFUNCTION("""COMPUTED_VALUE"""),"Preventivo")</f>
        <v>Preventivo</v>
      </c>
      <c r="L174" s="5" t="str">
        <f ca="1">IFERROR(__xludf.DUMMYFUNCTION("""COMPUTED_VALUE"""),"Maquinaria")</f>
        <v>Maquinaria</v>
      </c>
      <c r="M174" s="5" t="str">
        <f ca="1">IFERROR(__xludf.DUMMYFUNCTION("""COMPUTED_VALUE"""),"No")</f>
        <v>No</v>
      </c>
      <c r="N174" s="5"/>
      <c r="O174" s="5">
        <f ca="1">IFERROR(__xludf.DUMMYFUNCTION("""COMPUTED_VALUE"""),100)</f>
        <v>100</v>
      </c>
      <c r="P174" s="18">
        <f ca="1">IFERROR(__xludf.DUMMYFUNCTION("""COMPUTED_VALUE"""),45342)</f>
        <v>45342</v>
      </c>
      <c r="Q174" s="18">
        <f ca="1">IFERROR(__xludf.DUMMYFUNCTION("""COMPUTED_VALUE"""),45342)</f>
        <v>45342</v>
      </c>
      <c r="R174" s="18"/>
      <c r="S174" s="5">
        <f ca="1">IFERROR(__xludf.DUMMYFUNCTION("""COMPUTED_VALUE"""),1)</f>
        <v>1</v>
      </c>
      <c r="T174" s="5"/>
      <c r="U174" s="5" t="str">
        <f ca="1">IFERROR(__xludf.DUMMYFUNCTION("""COMPUTED_VALUE"""),"Rivas Mena Carlos Danny")</f>
        <v>Rivas Mena Carlos Danny</v>
      </c>
      <c r="V174" s="5"/>
      <c r="W174" s="5" t="str">
        <f ca="1">IFERROR(__xludf.DUMMYFUNCTION("""COMPUTED_VALUE"""),"CJw18LA6X9w")</f>
        <v>CJw18LA6X9w</v>
      </c>
      <c r="X174" s="5">
        <f ca="1">IFERROR(__xludf.DUMMYFUNCTION("""COMPUTED_VALUE"""),1)</f>
        <v>1</v>
      </c>
      <c r="Y174" s="5" t="str">
        <f t="shared" ca="1" si="0"/>
        <v>Actividad realizada</v>
      </c>
      <c r="Z174" s="3">
        <f ca="1">IFERROR(VLOOKUP(U174, 'Base de datos'!A:B, 2, FALSE), "")</f>
        <v>0</v>
      </c>
      <c r="AA174" s="4" t="e">
        <f t="shared" ca="1" si="1"/>
        <v>#NAME?</v>
      </c>
    </row>
    <row r="175" spans="1:27" ht="15.75" customHeight="1">
      <c r="A175" s="5" t="str">
        <f ca="1">IFERROR(__xludf.DUMMYFUNCTION("""COMPUTED_VALUE"""),"POSTOBÓN YUMBO")</f>
        <v>POSTOBÓN YUMBO</v>
      </c>
      <c r="B175" s="5" t="str">
        <f ca="1">IFERROR(__xludf.DUMMYFUNCTION("""COMPUTED_VALUE"""),"0410-SALA DE JARABE TERMINADO")</f>
        <v>0410-SALA DE JARABE TERMINADO</v>
      </c>
      <c r="C175" s="5" t="str">
        <f ca="1">IFERROR(__xludf.DUMMYFUNCTION("""COMPUTED_VALUE"""),"EQUIPOS PARA PREPARACION DE JARABE")</f>
        <v>EQUIPOS PARA PREPARACION DE JARABE</v>
      </c>
      <c r="D175" s="5">
        <f ca="1">IFERROR(__xludf.DUMMYFUNCTION("""COMPUTED_VALUE"""),69963414)</f>
        <v>69963414</v>
      </c>
      <c r="E175" s="5" t="str">
        <f ca="1">IFERROR(__xludf.DUMMYFUNCTION("""COMPUTED_VALUE"""),"TANQUE DE JARABE")</f>
        <v>TANQUE DE JARABE</v>
      </c>
      <c r="F175" s="5">
        <f ca="1">IFERROR(__xludf.DUMMYFUNCTION("""COMPUTED_VALUE"""),17361)</f>
        <v>17361</v>
      </c>
      <c r="G175" s="5" t="str">
        <f ca="1">IFERROR(__xludf.DUMMYFUNCTION("""COMPUTED_VALUE"""),"MTTO MEC TK JARABE 11 JARABE TERMINADO")</f>
        <v>MTTO MEC TK JARABE 11 JARABE TERMINADO</v>
      </c>
      <c r="H175" s="5">
        <f ca="1">IFERROR(__xludf.DUMMYFUNCTION("""COMPUTED_VALUE"""),13247168)</f>
        <v>13247168</v>
      </c>
      <c r="I175" s="5" t="str">
        <f ca="1">IFERROR(__xludf.DUMMYFUNCTION("""COMPUTED_VALUE"""),"Sistema neumatico: revision fugas y esta")</f>
        <v>Sistema neumatico: revision fugas y esta</v>
      </c>
      <c r="J175" s="5" t="str">
        <f ca="1">IFERROR(__xludf.DUMMYFUNCTION("""COMPUTED_VALUE"""),"ALTO")</f>
        <v>ALTO</v>
      </c>
      <c r="K175" s="5" t="str">
        <f ca="1">IFERROR(__xludf.DUMMYFUNCTION("""COMPUTED_VALUE"""),"Preventivo")</f>
        <v>Preventivo</v>
      </c>
      <c r="L175" s="5" t="str">
        <f ca="1">IFERROR(__xludf.DUMMYFUNCTION("""COMPUTED_VALUE"""),"Maquinaria")</f>
        <v>Maquinaria</v>
      </c>
      <c r="M175" s="5" t="str">
        <f ca="1">IFERROR(__xludf.DUMMYFUNCTION("""COMPUTED_VALUE"""),"No")</f>
        <v>No</v>
      </c>
      <c r="N175" s="5"/>
      <c r="O175" s="5">
        <f ca="1">IFERROR(__xludf.DUMMYFUNCTION("""COMPUTED_VALUE"""),100)</f>
        <v>100</v>
      </c>
      <c r="P175" s="18">
        <f ca="1">IFERROR(__xludf.DUMMYFUNCTION("""COMPUTED_VALUE"""),45342)</f>
        <v>45342</v>
      </c>
      <c r="Q175" s="18">
        <f ca="1">IFERROR(__xludf.DUMMYFUNCTION("""COMPUTED_VALUE"""),45342)</f>
        <v>45342</v>
      </c>
      <c r="R175" s="18"/>
      <c r="S175" s="5">
        <f ca="1">IFERROR(__xludf.DUMMYFUNCTION("""COMPUTED_VALUE"""),1)</f>
        <v>1</v>
      </c>
      <c r="T175" s="5"/>
      <c r="U175" s="5" t="str">
        <f ca="1">IFERROR(__xludf.DUMMYFUNCTION("""COMPUTED_VALUE"""),"Rivas Mena Carlos Danny")</f>
        <v>Rivas Mena Carlos Danny</v>
      </c>
      <c r="V175" s="5"/>
      <c r="W175" s="5" t="str">
        <f ca="1">IFERROR(__xludf.DUMMYFUNCTION("""COMPUTED_VALUE"""),"NYx7BjYq_JI")</f>
        <v>NYx7BjYq_JI</v>
      </c>
      <c r="X175" s="5">
        <f ca="1">IFERROR(__xludf.DUMMYFUNCTION("""COMPUTED_VALUE"""),1)</f>
        <v>1</v>
      </c>
      <c r="Y175" s="5" t="str">
        <f t="shared" ca="1" si="0"/>
        <v>Actividad realizada</v>
      </c>
      <c r="Z175" s="3">
        <f ca="1">IFERROR(VLOOKUP(U175, 'Base de datos'!A:B, 2, FALSE), "")</f>
        <v>0</v>
      </c>
      <c r="AA175" s="4" t="e">
        <f t="shared" ca="1" si="1"/>
        <v>#NAME?</v>
      </c>
    </row>
    <row r="176" spans="1:27" ht="15.75" customHeight="1">
      <c r="A176" s="5" t="str">
        <f ca="1">IFERROR(__xludf.DUMMYFUNCTION("""COMPUTED_VALUE"""),"POSTOBÓN YUMBO")</f>
        <v>POSTOBÓN YUMBO</v>
      </c>
      <c r="B176" s="5" t="str">
        <f ca="1">IFERROR(__xludf.DUMMYFUNCTION("""COMPUTED_VALUE"""),"0410-LINEA 2")</f>
        <v>0410-LINEA 2</v>
      </c>
      <c r="C176" s="5" t="str">
        <f ca="1">IFERROR(__xludf.DUMMYFUNCTION("""COMPUTED_VALUE"""),"LINEA DE ENVASADO FAMILIAR Y PRB")</f>
        <v>LINEA DE ENVASADO FAMILIAR Y PRB</v>
      </c>
      <c r="D176" s="5">
        <f ca="1">IFERROR(__xludf.DUMMYFUNCTION("""COMPUTED_VALUE"""),548732)</f>
        <v>548732</v>
      </c>
      <c r="E176" s="5" t="str">
        <f ca="1">IFERROR(__xludf.DUMMYFUNCTION("""COMPUTED_VALUE"""),"DESEMPACADORA")</f>
        <v>DESEMPACADORA</v>
      </c>
      <c r="F176" s="5">
        <f ca="1">IFERROR(__xludf.DUMMYFUNCTION("""COMPUTED_VALUE"""),4322)</f>
        <v>4322</v>
      </c>
      <c r="G176" s="5" t="str">
        <f ca="1">IFERROR(__xludf.DUMMYFUNCTION("""COMPUTED_VALUE"""),"MANTTO MECANICO DESEMPACAD L2 548732")</f>
        <v>MANTTO MECANICO DESEMPACAD L2 548732</v>
      </c>
      <c r="H176" s="5">
        <f ca="1">IFERROR(__xludf.DUMMYFUNCTION("""COMPUTED_VALUE"""),13226496)</f>
        <v>13226496</v>
      </c>
      <c r="I176" s="5" t="str">
        <f ca="1">IFERROR(__xludf.DUMMYFUNCTION("""COMPUTED_VALUE"""),"Mantto Mecanico Mesa De Botellas")</f>
        <v>Mantto Mecanico Mesa De Botellas</v>
      </c>
      <c r="J176" s="5" t="str">
        <f ca="1">IFERROR(__xludf.DUMMYFUNCTION("""COMPUTED_VALUE"""),"MEDIO")</f>
        <v>MEDIO</v>
      </c>
      <c r="K176" s="5" t="str">
        <f ca="1">IFERROR(__xludf.DUMMYFUNCTION("""COMPUTED_VALUE"""),"Preventivo")</f>
        <v>Preventivo</v>
      </c>
      <c r="L176" s="5" t="str">
        <f ca="1">IFERROR(__xludf.DUMMYFUNCTION("""COMPUTED_VALUE"""),"Maquinaria")</f>
        <v>Maquinaria</v>
      </c>
      <c r="M176" s="5" t="str">
        <f ca="1">IFERROR(__xludf.DUMMYFUNCTION("""COMPUTED_VALUE"""),"No")</f>
        <v>No</v>
      </c>
      <c r="N176" s="5"/>
      <c r="O176" s="5"/>
      <c r="P176" s="18">
        <f ca="1">IFERROR(__xludf.DUMMYFUNCTION("""COMPUTED_VALUE"""),45349)</f>
        <v>45349</v>
      </c>
      <c r="Q176" s="18">
        <f ca="1">IFERROR(__xludf.DUMMYFUNCTION("""COMPUTED_VALUE"""),45349)</f>
        <v>45349</v>
      </c>
      <c r="R176" s="18"/>
      <c r="S176" s="5">
        <f ca="1">IFERROR(__xludf.DUMMYFUNCTION("""COMPUTED_VALUE"""),1)</f>
        <v>1</v>
      </c>
      <c r="T176" s="5"/>
      <c r="U176" s="5" t="str">
        <f ca="1">IFERROR(__xludf.DUMMYFUNCTION("""COMPUTED_VALUE"""),"Alexander Echeverry Moreno")</f>
        <v>Alexander Echeverry Moreno</v>
      </c>
      <c r="V176" s="5"/>
      <c r="W176" s="5" t="str">
        <f ca="1">IFERROR(__xludf.DUMMYFUNCTION("""COMPUTED_VALUE"""),"jlq53Kh5FGk")</f>
        <v>jlq53Kh5FGk</v>
      </c>
      <c r="X176" s="5">
        <f ca="1">IFERROR(__xludf.DUMMYFUNCTION("""COMPUTED_VALUE"""),1)</f>
        <v>1</v>
      </c>
      <c r="Y176" s="5" t="str">
        <f t="shared" si="0"/>
        <v>Actividad sin realizar</v>
      </c>
      <c r="Z176" s="3">
        <f ca="1">IFERROR(VLOOKUP(U176, 'Base de datos'!A:B, 2, FALSE), "")</f>
        <v>573173223149</v>
      </c>
      <c r="AA176" s="4" t="e">
        <f t="shared" ca="1" si="1"/>
        <v>#NAME?</v>
      </c>
    </row>
    <row r="177" spans="1:27" ht="15.75" customHeight="1">
      <c r="A177" s="5" t="str">
        <f ca="1">IFERROR(__xludf.DUMMYFUNCTION("""COMPUTED_VALUE"""),"POSTOBÓN YUMBO")</f>
        <v>POSTOBÓN YUMBO</v>
      </c>
      <c r="B177" s="5" t="str">
        <f ca="1">IFERROR(__xludf.DUMMYFUNCTION("""COMPUTED_VALUE"""),"0410-LINEA PET CSD")</f>
        <v>0410-LINEA PET CSD</v>
      </c>
      <c r="C177" s="5" t="str">
        <f ca="1">IFERROR(__xludf.DUMMYFUNCTION("""COMPUTED_VALUE"""),"LINEA PET CSD - LINEA 10")</f>
        <v>LINEA PET CSD - LINEA 10</v>
      </c>
      <c r="D177" s="5">
        <f ca="1">IFERROR(__xludf.DUMMYFUNCTION("""COMPUTED_VALUE"""),519561)</f>
        <v>519561</v>
      </c>
      <c r="E177" s="5" t="str">
        <f ca="1">IFERROR(__xludf.DUMMYFUNCTION("""COMPUTED_VALUE"""),"LLENADORA DE BOTELLAS PET 162 VALVULAS")</f>
        <v>LLENADORA DE BOTELLAS PET 162 VALVULAS</v>
      </c>
      <c r="F177" s="5">
        <f ca="1">IFERROR(__xludf.DUMMYFUNCTION("""COMPUTED_VALUE"""),0)</f>
        <v>0</v>
      </c>
      <c r="G177" s="5" t="str">
        <f ca="1">IFERROR(__xludf.DUMMYFUNCTION("""COMPUTED_VALUE"""),"CONSUMO LUB LLENADORA L10")</f>
        <v>CONSUMO LUB LLENADORA L10</v>
      </c>
      <c r="H177" s="5">
        <f ca="1">IFERROR(__xludf.DUMMYFUNCTION("""COMPUTED_VALUE"""),13230971)</f>
        <v>13230971</v>
      </c>
      <c r="I177" s="5" t="str">
        <f ca="1">IFERROR(__xludf.DUMMYFUNCTION("""COMPUTED_VALUE"""),"CONSUMO LUB LLENADORA L10")</f>
        <v>CONSUMO LUB LLENADORA L10</v>
      </c>
      <c r="J177" s="5" t="str">
        <f ca="1">IFERROR(__xludf.DUMMYFUNCTION("""COMPUTED_VALUE"""),"ALTO")</f>
        <v>ALTO</v>
      </c>
      <c r="K177" s="5" t="str">
        <f ca="1">IFERROR(__xludf.DUMMYFUNCTION("""COMPUTED_VALUE"""),"Preventivo")</f>
        <v>Preventivo</v>
      </c>
      <c r="L177" s="5" t="str">
        <f ca="1">IFERROR(__xludf.DUMMYFUNCTION("""COMPUTED_VALUE"""),"Maquinaria")</f>
        <v>Maquinaria</v>
      </c>
      <c r="M177" s="5" t="str">
        <f ca="1">IFERROR(__xludf.DUMMYFUNCTION("""COMPUTED_VALUE"""),"No")</f>
        <v>No</v>
      </c>
      <c r="N177" s="5"/>
      <c r="O177" s="5">
        <f ca="1">IFERROR(__xludf.DUMMYFUNCTION("""COMPUTED_VALUE"""),100)</f>
        <v>100</v>
      </c>
      <c r="P177" s="18">
        <f ca="1">IFERROR(__xludf.DUMMYFUNCTION("""COMPUTED_VALUE"""),45325)</f>
        <v>45325</v>
      </c>
      <c r="Q177" s="18">
        <f ca="1">IFERROR(__xludf.DUMMYFUNCTION("""COMPUTED_VALUE"""),45325)</f>
        <v>45325</v>
      </c>
      <c r="R177" s="18"/>
      <c r="S177" s="5">
        <f ca="1">IFERROR(__xludf.DUMMYFUNCTION("""COMPUTED_VALUE"""),1)</f>
        <v>1</v>
      </c>
      <c r="T177" s="5"/>
      <c r="U177" s="5" t="str">
        <f ca="1">IFERROR(__xludf.DUMMYFUNCTION("""COMPUTED_VALUE"""),"Duran Sanchez Nelson Fernando")</f>
        <v>Duran Sanchez Nelson Fernando</v>
      </c>
      <c r="V177" s="5"/>
      <c r="W177" s="5" t="str">
        <f ca="1">IFERROR(__xludf.DUMMYFUNCTION("""COMPUTED_VALUE"""),"Vi7AaMHXfF0")</f>
        <v>Vi7AaMHXfF0</v>
      </c>
      <c r="X177" s="5">
        <f ca="1">IFERROR(__xludf.DUMMYFUNCTION("""COMPUTED_VALUE"""),1)</f>
        <v>1</v>
      </c>
      <c r="Y177" s="5" t="str">
        <f t="shared" ca="1" si="0"/>
        <v>Actividad realizada</v>
      </c>
      <c r="Z177" s="3">
        <f ca="1">IFERROR(VLOOKUP(U177, 'Base de datos'!A:B, 2, FALSE), "")</f>
        <v>573187183243</v>
      </c>
      <c r="AA177" s="4" t="e">
        <f t="shared" ca="1" si="1"/>
        <v>#NAME?</v>
      </c>
    </row>
    <row r="178" spans="1:27" ht="15.75" customHeight="1">
      <c r="A178" s="5" t="str">
        <f ca="1">IFERROR(__xludf.DUMMYFUNCTION("""COMPUTED_VALUE"""),"POSTOBÓN YUMBO")</f>
        <v>POSTOBÓN YUMBO</v>
      </c>
      <c r="B178" s="5" t="str">
        <f ca="1">IFERROR(__xludf.DUMMYFUNCTION("""COMPUTED_VALUE"""),"0410-LINEA 3")</f>
        <v>0410-LINEA 3</v>
      </c>
      <c r="C178" s="5" t="str">
        <f ca="1">IFERROR(__xludf.DUMMYFUNCTION("""COMPUTED_VALUE"""),"LINEA DE ENVASADO TAMAÑO PERSONAL")</f>
        <v>LINEA DE ENVASADO TAMAÑO PERSONAL</v>
      </c>
      <c r="D178" s="5">
        <f ca="1">IFERROR(__xludf.DUMMYFUNCTION("""COMPUTED_VALUE"""),508169)</f>
        <v>508169</v>
      </c>
      <c r="E178" s="5" t="str">
        <f ca="1">IFERROR(__xludf.DUMMYFUNCTION("""COMPUTED_VALUE"""),"LAVADORA DE BOTELLAS")</f>
        <v>LAVADORA DE BOTELLAS</v>
      </c>
      <c r="F178" s="5">
        <f ca="1">IFERROR(__xludf.DUMMYFUNCTION("""COMPUTED_VALUE"""),0)</f>
        <v>0</v>
      </c>
      <c r="G178" s="5" t="str">
        <f ca="1">IFERROR(__xludf.DUMMYFUNCTION("""COMPUTED_VALUE"""),"CONSUMO LUB LAVADORA BOTELLAS PERSONAL")</f>
        <v>CONSUMO LUB LAVADORA BOTELLAS PERSONAL</v>
      </c>
      <c r="H178" s="5">
        <f ca="1">IFERROR(__xludf.DUMMYFUNCTION("""COMPUTED_VALUE"""),13230945)</f>
        <v>13230945</v>
      </c>
      <c r="I178" s="5" t="str">
        <f ca="1">IFERROR(__xludf.DUMMYFUNCTION("""COMPUTED_VALUE"""),"CONSUMO LUBRICANTES ENERO 2024")</f>
        <v>CONSUMO LUBRICANTES ENERO 2024</v>
      </c>
      <c r="J178" s="5" t="str">
        <f ca="1">IFERROR(__xludf.DUMMYFUNCTION("""COMPUTED_VALUE"""),"ALTO")</f>
        <v>ALTO</v>
      </c>
      <c r="K178" s="5" t="str">
        <f ca="1">IFERROR(__xludf.DUMMYFUNCTION("""COMPUTED_VALUE"""),"Preventivo")</f>
        <v>Preventivo</v>
      </c>
      <c r="L178" s="5" t="str">
        <f ca="1">IFERROR(__xludf.DUMMYFUNCTION("""COMPUTED_VALUE"""),"Maquinaria")</f>
        <v>Maquinaria</v>
      </c>
      <c r="M178" s="5" t="str">
        <f ca="1">IFERROR(__xludf.DUMMYFUNCTION("""COMPUTED_VALUE"""),"No")</f>
        <v>No</v>
      </c>
      <c r="N178" s="5"/>
      <c r="O178" s="5"/>
      <c r="P178" s="18">
        <f ca="1">IFERROR(__xludf.DUMMYFUNCTION("""COMPUTED_VALUE"""),45325)</f>
        <v>45325</v>
      </c>
      <c r="Q178" s="18">
        <f ca="1">IFERROR(__xludf.DUMMYFUNCTION("""COMPUTED_VALUE"""),45325)</f>
        <v>45325</v>
      </c>
      <c r="R178" s="18"/>
      <c r="S178" s="5">
        <f ca="1">IFERROR(__xludf.DUMMYFUNCTION("""COMPUTED_VALUE"""),1)</f>
        <v>1</v>
      </c>
      <c r="T178" s="5"/>
      <c r="U178" s="5" t="str">
        <f ca="1">IFERROR(__xludf.DUMMYFUNCTION("""COMPUTED_VALUE"""),"Jimenez Jhon")</f>
        <v>Jimenez Jhon</v>
      </c>
      <c r="V178" s="5"/>
      <c r="W178" s="5" t="str">
        <f ca="1">IFERROR(__xludf.DUMMYFUNCTION("""COMPUTED_VALUE"""),"1bcnw8cab9w")</f>
        <v>1bcnw8cab9w</v>
      </c>
      <c r="X178" s="5">
        <f ca="1">IFERROR(__xludf.DUMMYFUNCTION("""COMPUTED_VALUE"""),1)</f>
        <v>1</v>
      </c>
      <c r="Y178" s="5" t="str">
        <f t="shared" si="0"/>
        <v>Actividad sin realizar</v>
      </c>
      <c r="Z178" s="3">
        <f ca="1">IFERROR(VLOOKUP(U178, 'Base de datos'!A:B, 2, FALSE), "")</f>
        <v>573147637946</v>
      </c>
      <c r="AA178" s="4" t="e">
        <f t="shared" ca="1" si="1"/>
        <v>#NAME?</v>
      </c>
    </row>
    <row r="179" spans="1:27" ht="15.75" customHeight="1">
      <c r="A179" s="5" t="str">
        <f ca="1">IFERROR(__xludf.DUMMYFUNCTION("""COMPUTED_VALUE"""),"POSTOBÓN YUMBO")</f>
        <v>POSTOBÓN YUMBO</v>
      </c>
      <c r="B179" s="5" t="str">
        <f ca="1">IFERROR(__xludf.DUMMYFUNCTION("""COMPUTED_VALUE"""),"0410-ENVASADO JUGOS PET HOT F")</f>
        <v>0410-ENVASADO JUGOS PET HOT F</v>
      </c>
      <c r="C179" s="5" t="str">
        <f ca="1">IFERROR(__xludf.DUMMYFUNCTION("""COMPUTED_VALUE"""),"LINEA DE ENVASADO JUGOS PET HOT FILL")</f>
        <v>LINEA DE ENVASADO JUGOS PET HOT FILL</v>
      </c>
      <c r="D179" s="5">
        <f ca="1">IFERROR(__xludf.DUMMYFUNCTION("""COMPUTED_VALUE"""),900303)</f>
        <v>900303</v>
      </c>
      <c r="E179" s="5" t="str">
        <f ca="1">IFERROR(__xludf.DUMMYFUNCTION("""COMPUTED_VALUE"""),"LLENADORA")</f>
        <v>LLENADORA</v>
      </c>
      <c r="F179" s="5">
        <f ca="1">IFERROR(__xludf.DUMMYFUNCTION("""COMPUTED_VALUE"""),14085)</f>
        <v>14085</v>
      </c>
      <c r="G179" s="5" t="str">
        <f ca="1">IFERROR(__xludf.DUMMYFUNCTION("""COMPUTED_VALUE"""),"MANTENIMIENTO ELEC TAPONADORA L8 90030")</f>
        <v>MANTENIMIENTO ELEC TAPONADORA L8 90030</v>
      </c>
      <c r="H179" s="5">
        <f ca="1">IFERROR(__xludf.DUMMYFUNCTION("""COMPUTED_VALUE"""),13226504)</f>
        <v>13226504</v>
      </c>
      <c r="I179" s="5" t="str">
        <f ca="1">IFERROR(__xludf.DUMMYFUNCTION("""COMPUTED_VALUE"""),"Revisar sensores:")</f>
        <v>Revisar sensores:</v>
      </c>
      <c r="J179" s="5" t="str">
        <f ca="1">IFERROR(__xludf.DUMMYFUNCTION("""COMPUTED_VALUE"""),"ALTO")</f>
        <v>ALTO</v>
      </c>
      <c r="K179" s="5" t="str">
        <f ca="1">IFERROR(__xludf.DUMMYFUNCTION("""COMPUTED_VALUE"""),"Preventivo")</f>
        <v>Preventivo</v>
      </c>
      <c r="L179" s="5" t="str">
        <f ca="1">IFERROR(__xludf.DUMMYFUNCTION("""COMPUTED_VALUE"""),"Maquinaria")</f>
        <v>Maquinaria</v>
      </c>
      <c r="M179" s="5" t="str">
        <f ca="1">IFERROR(__xludf.DUMMYFUNCTION("""COMPUTED_VALUE"""),"No")</f>
        <v>No</v>
      </c>
      <c r="N179" s="5"/>
      <c r="O179" s="5"/>
      <c r="P179" s="18">
        <f ca="1">IFERROR(__xludf.DUMMYFUNCTION("""COMPUTED_VALUE"""),45324)</f>
        <v>45324</v>
      </c>
      <c r="Q179" s="18">
        <f ca="1">IFERROR(__xludf.DUMMYFUNCTION("""COMPUTED_VALUE"""),45324)</f>
        <v>45324</v>
      </c>
      <c r="R179" s="18"/>
      <c r="S179" s="5">
        <f ca="1">IFERROR(__xludf.DUMMYFUNCTION("""COMPUTED_VALUE"""),2)</f>
        <v>2</v>
      </c>
      <c r="T179" s="5"/>
      <c r="U179" s="5" t="str">
        <f ca="1">IFERROR(__xludf.DUMMYFUNCTION("""COMPUTED_VALUE"""),"Franco Castillo Brayan Steven")</f>
        <v>Franco Castillo Brayan Steven</v>
      </c>
      <c r="V179" s="5"/>
      <c r="W179" s="5" t="str">
        <f ca="1">IFERROR(__xludf.DUMMYFUNCTION("""COMPUTED_VALUE"""),"h3quq5HYBWk")</f>
        <v>h3quq5HYBWk</v>
      </c>
      <c r="X179" s="5">
        <f ca="1">IFERROR(__xludf.DUMMYFUNCTION("""COMPUTED_VALUE"""),2)</f>
        <v>2</v>
      </c>
      <c r="Y179" s="5" t="str">
        <f t="shared" si="0"/>
        <v>Actividad sin realizar</v>
      </c>
      <c r="Z179" s="3">
        <f ca="1">IFERROR(VLOOKUP(U179, 'Base de datos'!A:B, 2, FALSE), "")</f>
        <v>573053427911</v>
      </c>
      <c r="AA179" s="4" t="e">
        <f t="shared" ca="1" si="1"/>
        <v>#NAME?</v>
      </c>
    </row>
    <row r="180" spans="1:27" ht="15.75" customHeight="1">
      <c r="A180" s="5" t="str">
        <f ca="1">IFERROR(__xludf.DUMMYFUNCTION("""COMPUTED_VALUE"""),"POSTOBÓN YUMBO")</f>
        <v>POSTOBÓN YUMBO</v>
      </c>
      <c r="B180" s="5" t="str">
        <f ca="1">IFERROR(__xludf.DUMMYFUNCTION("""COMPUTED_VALUE"""),"0410-LINEA 1")</f>
        <v>0410-LINEA 1</v>
      </c>
      <c r="C180" s="5" t="str">
        <f ca="1">IFERROR(__xludf.DUMMYFUNCTION("""COMPUTED_VALUE"""),"LINEA DE ENVASADO PET NO RETORNABLE")</f>
        <v>LINEA DE ENVASADO PET NO RETORNABLE</v>
      </c>
      <c r="D180" s="5">
        <f ca="1">IFERROR(__xludf.DUMMYFUNCTION("""COMPUTED_VALUE"""),820071)</f>
        <v>820071</v>
      </c>
      <c r="E180" s="5" t="str">
        <f ca="1">IFERROR(__xludf.DUMMYFUNCTION("""COMPUTED_VALUE"""),"ETIQUETADORA")</f>
        <v>ETIQUETADORA</v>
      </c>
      <c r="F180" s="5">
        <f ca="1">IFERROR(__xludf.DUMMYFUNCTION("""COMPUTED_VALUE"""),0)</f>
        <v>0</v>
      </c>
      <c r="G180" s="5" t="str">
        <f ca="1">IFERROR(__xludf.DUMMYFUNCTION("""COMPUTED_VALUE"""),"CONSUMO LUB ETIQUETADORA L1")</f>
        <v>CONSUMO LUB ETIQUETADORA L1</v>
      </c>
      <c r="H180" s="5">
        <f ca="1">IFERROR(__xludf.DUMMYFUNCTION("""COMPUTED_VALUE"""),13230940)</f>
        <v>13230940</v>
      </c>
      <c r="I180" s="5" t="str">
        <f ca="1">IFERROR(__xludf.DUMMYFUNCTION("""COMPUTED_VALUE"""),"CONSUMO LUBRICANTES ENERO 2024")</f>
        <v>CONSUMO LUBRICANTES ENERO 2024</v>
      </c>
      <c r="J180" s="5" t="str">
        <f ca="1">IFERROR(__xludf.DUMMYFUNCTION("""COMPUTED_VALUE"""),"MEDIO")</f>
        <v>MEDIO</v>
      </c>
      <c r="K180" s="5" t="str">
        <f ca="1">IFERROR(__xludf.DUMMYFUNCTION("""COMPUTED_VALUE"""),"Preventivo")</f>
        <v>Preventivo</v>
      </c>
      <c r="L180" s="5" t="str">
        <f ca="1">IFERROR(__xludf.DUMMYFUNCTION("""COMPUTED_VALUE"""),"Maquinaria")</f>
        <v>Maquinaria</v>
      </c>
      <c r="M180" s="5" t="str">
        <f ca="1">IFERROR(__xludf.DUMMYFUNCTION("""COMPUTED_VALUE"""),"No")</f>
        <v>No</v>
      </c>
      <c r="N180" s="5"/>
      <c r="O180" s="5"/>
      <c r="P180" s="18">
        <f ca="1">IFERROR(__xludf.DUMMYFUNCTION("""COMPUTED_VALUE"""),45325)</f>
        <v>45325</v>
      </c>
      <c r="Q180" s="18">
        <f ca="1">IFERROR(__xludf.DUMMYFUNCTION("""COMPUTED_VALUE"""),45325)</f>
        <v>45325</v>
      </c>
      <c r="R180" s="18"/>
      <c r="S180" s="5">
        <f ca="1">IFERROR(__xludf.DUMMYFUNCTION("""COMPUTED_VALUE"""),1)</f>
        <v>1</v>
      </c>
      <c r="T180" s="5"/>
      <c r="U180" s="5" t="str">
        <f ca="1">IFERROR(__xludf.DUMMYFUNCTION("""COMPUTED_VALUE"""),"Sanchez Rodriguez Gerson Andres")</f>
        <v>Sanchez Rodriguez Gerson Andres</v>
      </c>
      <c r="V180" s="5"/>
      <c r="W180" s="5" t="str">
        <f ca="1">IFERROR(__xludf.DUMMYFUNCTION("""COMPUTED_VALUE"""),"Kh5QHnxO0mQ")</f>
        <v>Kh5QHnxO0mQ</v>
      </c>
      <c r="X180" s="5">
        <f ca="1">IFERROR(__xludf.DUMMYFUNCTION("""COMPUTED_VALUE"""),1)</f>
        <v>1</v>
      </c>
      <c r="Y180" s="5" t="str">
        <f t="shared" si="0"/>
        <v>Actividad sin realizar</v>
      </c>
      <c r="Z180" s="3">
        <f ca="1">IFERROR(VLOOKUP(U180, 'Base de datos'!A:B, 2, FALSE), "")</f>
        <v>573112884549</v>
      </c>
      <c r="AA180" s="4" t="e">
        <f t="shared" ca="1" si="1"/>
        <v>#NAME?</v>
      </c>
    </row>
    <row r="181" spans="1:27" ht="15.75" customHeight="1">
      <c r="A181" s="5" t="str">
        <f ca="1">IFERROR(__xludf.DUMMYFUNCTION("""COMPUTED_VALUE"""),"POSTOBÓN YUMBO")</f>
        <v>POSTOBÓN YUMBO</v>
      </c>
      <c r="B181" s="5" t="str">
        <f ca="1">IFERROR(__xludf.DUMMYFUNCTION("""COMPUTED_VALUE"""),"0410-SALA DE JARABE TERMINADO")</f>
        <v>0410-SALA DE JARABE TERMINADO</v>
      </c>
      <c r="C181" s="5" t="str">
        <f ca="1">IFERROR(__xludf.DUMMYFUNCTION("""COMPUTED_VALUE"""),"EQUIPOS PARA PREPARACION DE JARABE")</f>
        <v>EQUIPOS PARA PREPARACION DE JARABE</v>
      </c>
      <c r="D181" s="5">
        <f ca="1">IFERROR(__xludf.DUMMYFUNCTION("""COMPUTED_VALUE"""),69963412)</f>
        <v>69963412</v>
      </c>
      <c r="E181" s="5" t="str">
        <f ca="1">IFERROR(__xludf.DUMMYFUNCTION("""COMPUTED_VALUE"""),"TANQUE DE JARABE")</f>
        <v>TANQUE DE JARABE</v>
      </c>
      <c r="F181" s="5">
        <f ca="1">IFERROR(__xludf.DUMMYFUNCTION("""COMPUTED_VALUE"""),17361)</f>
        <v>17361</v>
      </c>
      <c r="G181" s="5" t="str">
        <f ca="1">IFERROR(__xludf.DUMMYFUNCTION("""COMPUTED_VALUE"""),"MTTO MEC TK JARABE 9 JARABE TERMINADO")</f>
        <v>MTTO MEC TK JARABE 9 JARABE TERMINADO</v>
      </c>
      <c r="H181" s="5">
        <f ca="1">IFERROR(__xludf.DUMMYFUNCTION("""COMPUTED_VALUE"""),13247164)</f>
        <v>13247164</v>
      </c>
      <c r="I181" s="5" t="str">
        <f ca="1">IFERROR(__xludf.DUMMYFUNCTION("""COMPUTED_VALUE"""),"ANTON PAAR - dentro de la cubierta de")</f>
        <v>ANTON PAAR - dentro de la cubierta de</v>
      </c>
      <c r="J181" s="5" t="str">
        <f ca="1">IFERROR(__xludf.DUMMYFUNCTION("""COMPUTED_VALUE"""),"ALTO")</f>
        <v>ALTO</v>
      </c>
      <c r="K181" s="5" t="str">
        <f ca="1">IFERROR(__xludf.DUMMYFUNCTION("""COMPUTED_VALUE"""),"Preventivo")</f>
        <v>Preventivo</v>
      </c>
      <c r="L181" s="5" t="str">
        <f ca="1">IFERROR(__xludf.DUMMYFUNCTION("""COMPUTED_VALUE"""),"Maquinaria")</f>
        <v>Maquinaria</v>
      </c>
      <c r="M181" s="5" t="str">
        <f ca="1">IFERROR(__xludf.DUMMYFUNCTION("""COMPUTED_VALUE"""),"No")</f>
        <v>No</v>
      </c>
      <c r="N181" s="5"/>
      <c r="O181" s="5">
        <f ca="1">IFERROR(__xludf.DUMMYFUNCTION("""COMPUTED_VALUE"""),100)</f>
        <v>100</v>
      </c>
      <c r="P181" s="18">
        <f ca="1">IFERROR(__xludf.DUMMYFUNCTION("""COMPUTED_VALUE"""),45342)</f>
        <v>45342</v>
      </c>
      <c r="Q181" s="18">
        <f ca="1">IFERROR(__xludf.DUMMYFUNCTION("""COMPUTED_VALUE"""),45342)</f>
        <v>45342</v>
      </c>
      <c r="R181" s="18"/>
      <c r="S181" s="5">
        <f ca="1">IFERROR(__xludf.DUMMYFUNCTION("""COMPUTED_VALUE"""),1)</f>
        <v>1</v>
      </c>
      <c r="T181" s="5"/>
      <c r="U181" s="5" t="str">
        <f ca="1">IFERROR(__xludf.DUMMYFUNCTION("""COMPUTED_VALUE"""),"Rivas Mena Carlos Danny")</f>
        <v>Rivas Mena Carlos Danny</v>
      </c>
      <c r="V181" s="5"/>
      <c r="W181" s="5" t="str">
        <f ca="1">IFERROR(__xludf.DUMMYFUNCTION("""COMPUTED_VALUE"""),"oWbswWCc36M")</f>
        <v>oWbswWCc36M</v>
      </c>
      <c r="X181" s="5">
        <f ca="1">IFERROR(__xludf.DUMMYFUNCTION("""COMPUTED_VALUE"""),1)</f>
        <v>1</v>
      </c>
      <c r="Y181" s="5" t="str">
        <f t="shared" ca="1" si="0"/>
        <v>Actividad realizada</v>
      </c>
      <c r="Z181" s="3">
        <f ca="1">IFERROR(VLOOKUP(U181, 'Base de datos'!A:B, 2, FALSE), "")</f>
        <v>0</v>
      </c>
      <c r="AA181" s="4" t="e">
        <f t="shared" ca="1" si="1"/>
        <v>#NAME?</v>
      </c>
    </row>
    <row r="182" spans="1:27" ht="15.75" customHeight="1">
      <c r="A182" s="5" t="str">
        <f ca="1">IFERROR(__xludf.DUMMYFUNCTION("""COMPUTED_VALUE"""),"POSTOBÓN YUMBO")</f>
        <v>POSTOBÓN YUMBO</v>
      </c>
      <c r="B182" s="5" t="str">
        <f ca="1">IFERROR(__xludf.DUMMYFUNCTION("""COMPUTED_VALUE"""),"0410-ENVASADO JUGOS PET HOT F")</f>
        <v>0410-ENVASADO JUGOS PET HOT F</v>
      </c>
      <c r="C182" s="5" t="str">
        <f ca="1">IFERROR(__xludf.DUMMYFUNCTION("""COMPUTED_VALUE"""),"LINEA DE ENVASADO JUGOS PET HOT FILL")</f>
        <v>LINEA DE ENVASADO JUGOS PET HOT FILL</v>
      </c>
      <c r="D182" s="5">
        <f ca="1">IFERROR(__xludf.DUMMYFUNCTION("""COMPUTED_VALUE"""),900303)</f>
        <v>900303</v>
      </c>
      <c r="E182" s="5" t="str">
        <f ca="1">IFERROR(__xludf.DUMMYFUNCTION("""COMPUTED_VALUE"""),"LLENADORA")</f>
        <v>LLENADORA</v>
      </c>
      <c r="F182" s="5">
        <f ca="1">IFERROR(__xludf.DUMMYFUNCTION("""COMPUTED_VALUE"""),14085)</f>
        <v>14085</v>
      </c>
      <c r="G182" s="5" t="str">
        <f ca="1">IFERROR(__xludf.DUMMYFUNCTION("""COMPUTED_VALUE"""),"MANTENIMIENTO LUB LLENADORA L8 90030")</f>
        <v>MANTENIMIENTO LUB LLENADORA L8 90030</v>
      </c>
      <c r="H182" s="5">
        <f ca="1">IFERROR(__xludf.DUMMYFUNCTION("""COMPUTED_VALUE"""),13226502)</f>
        <v>13226502</v>
      </c>
      <c r="I182" s="5" t="str">
        <f ca="1">IFERROR(__xludf.DUMMYFUNCTION("""COMPUTED_VALUE"""),"Distribuidor central:")</f>
        <v>Distribuidor central:</v>
      </c>
      <c r="J182" s="5" t="str">
        <f ca="1">IFERROR(__xludf.DUMMYFUNCTION("""COMPUTED_VALUE"""),"ALTO")</f>
        <v>ALTO</v>
      </c>
      <c r="K182" s="5" t="str">
        <f ca="1">IFERROR(__xludf.DUMMYFUNCTION("""COMPUTED_VALUE"""),"Preventivo")</f>
        <v>Preventivo</v>
      </c>
      <c r="L182" s="5" t="str">
        <f ca="1">IFERROR(__xludf.DUMMYFUNCTION("""COMPUTED_VALUE"""),"Maquinaria")</f>
        <v>Maquinaria</v>
      </c>
      <c r="M182" s="5" t="str">
        <f ca="1">IFERROR(__xludf.DUMMYFUNCTION("""COMPUTED_VALUE"""),"No")</f>
        <v>No</v>
      </c>
      <c r="N182" s="5"/>
      <c r="O182" s="5"/>
      <c r="P182" s="18">
        <f ca="1">IFERROR(__xludf.DUMMYFUNCTION("""COMPUTED_VALUE"""),45324)</f>
        <v>45324</v>
      </c>
      <c r="Q182" s="18">
        <f ca="1">IFERROR(__xludf.DUMMYFUNCTION("""COMPUTED_VALUE"""),45324)</f>
        <v>45324</v>
      </c>
      <c r="R182" s="18"/>
      <c r="S182" s="5">
        <f ca="1">IFERROR(__xludf.DUMMYFUNCTION("""COMPUTED_VALUE"""),1)</f>
        <v>1</v>
      </c>
      <c r="T182" s="5"/>
      <c r="U182" s="5" t="str">
        <f ca="1">IFERROR(__xludf.DUMMYFUNCTION("""COMPUTED_VALUE"""),"Franco Castillo Brayan Steven")</f>
        <v>Franco Castillo Brayan Steven</v>
      </c>
      <c r="V182" s="5"/>
      <c r="W182" s="5" t="str">
        <f ca="1">IFERROR(__xludf.DUMMYFUNCTION("""COMPUTED_VALUE"""),"7gkPY6imRaQ")</f>
        <v>7gkPY6imRaQ</v>
      </c>
      <c r="X182" s="5">
        <f ca="1">IFERROR(__xludf.DUMMYFUNCTION("""COMPUTED_VALUE"""),1)</f>
        <v>1</v>
      </c>
      <c r="Y182" s="5" t="str">
        <f t="shared" si="0"/>
        <v>Actividad sin realizar</v>
      </c>
      <c r="Z182" s="3">
        <f ca="1">IFERROR(VLOOKUP(U182, 'Base de datos'!A:B, 2, FALSE), "")</f>
        <v>573053427911</v>
      </c>
      <c r="AA182" s="4" t="e">
        <f t="shared" ca="1" si="1"/>
        <v>#NAME?</v>
      </c>
    </row>
    <row r="183" spans="1:27" ht="15.75" customHeight="1">
      <c r="A183" s="5" t="str">
        <f ca="1">IFERROR(__xludf.DUMMYFUNCTION("""COMPUTED_VALUE"""),"POSTOBÓN YUMBO")</f>
        <v>POSTOBÓN YUMBO</v>
      </c>
      <c r="B183" s="5" t="str">
        <f ca="1">IFERROR(__xludf.DUMMYFUNCTION("""COMPUTED_VALUE"""),"0410-ENVASADO JUGOS PET HOT F")</f>
        <v>0410-ENVASADO JUGOS PET HOT F</v>
      </c>
      <c r="C183" s="5" t="str">
        <f ca="1">IFERROR(__xludf.DUMMYFUNCTION("""COMPUTED_VALUE"""),"LINEA DE ENVASADO JUGOS PET HOT FILL")</f>
        <v>LINEA DE ENVASADO JUGOS PET HOT FILL</v>
      </c>
      <c r="D183" s="5">
        <f ca="1">IFERROR(__xludf.DUMMYFUNCTION("""COMPUTED_VALUE"""),900303)</f>
        <v>900303</v>
      </c>
      <c r="E183" s="5" t="str">
        <f ca="1">IFERROR(__xludf.DUMMYFUNCTION("""COMPUTED_VALUE"""),"LLENADORA")</f>
        <v>LLENADORA</v>
      </c>
      <c r="F183" s="5">
        <f ca="1">IFERROR(__xludf.DUMMYFUNCTION("""COMPUTED_VALUE"""),14085)</f>
        <v>14085</v>
      </c>
      <c r="G183" s="5" t="str">
        <f ca="1">IFERROR(__xludf.DUMMYFUNCTION("""COMPUTED_VALUE"""),"MANTENIMIENTO LUB LLENADORA L8 90030")</f>
        <v>MANTENIMIENTO LUB LLENADORA L8 90030</v>
      </c>
      <c r="H183" s="5">
        <f ca="1">IFERROR(__xludf.DUMMYFUNCTION("""COMPUTED_VALUE"""),13226502)</f>
        <v>13226502</v>
      </c>
      <c r="I183" s="5" t="str">
        <f ca="1">IFERROR(__xludf.DUMMYFUNCTION("""COMPUTED_VALUE"""),"Revisar estado toberas")</f>
        <v>Revisar estado toberas</v>
      </c>
      <c r="J183" s="5" t="str">
        <f ca="1">IFERROR(__xludf.DUMMYFUNCTION("""COMPUTED_VALUE"""),"ALTO")</f>
        <v>ALTO</v>
      </c>
      <c r="K183" s="5" t="str">
        <f ca="1">IFERROR(__xludf.DUMMYFUNCTION("""COMPUTED_VALUE"""),"Preventivo")</f>
        <v>Preventivo</v>
      </c>
      <c r="L183" s="5" t="str">
        <f ca="1">IFERROR(__xludf.DUMMYFUNCTION("""COMPUTED_VALUE"""),"Maquinaria")</f>
        <v>Maquinaria</v>
      </c>
      <c r="M183" s="5" t="str">
        <f ca="1">IFERROR(__xludf.DUMMYFUNCTION("""COMPUTED_VALUE"""),"No")</f>
        <v>No</v>
      </c>
      <c r="N183" s="5"/>
      <c r="O183" s="5"/>
      <c r="P183" s="18">
        <f ca="1">IFERROR(__xludf.DUMMYFUNCTION("""COMPUTED_VALUE"""),45324)</f>
        <v>45324</v>
      </c>
      <c r="Q183" s="18">
        <f ca="1">IFERROR(__xludf.DUMMYFUNCTION("""COMPUTED_VALUE"""),45324)</f>
        <v>45324</v>
      </c>
      <c r="R183" s="18"/>
      <c r="S183" s="5">
        <f ca="1">IFERROR(__xludf.DUMMYFUNCTION("""COMPUTED_VALUE"""),1)</f>
        <v>1</v>
      </c>
      <c r="T183" s="5"/>
      <c r="U183" s="5" t="str">
        <f ca="1">IFERROR(__xludf.DUMMYFUNCTION("""COMPUTED_VALUE"""),"Franco Castillo Brayan Steven")</f>
        <v>Franco Castillo Brayan Steven</v>
      </c>
      <c r="V183" s="5"/>
      <c r="W183" s="5" t="str">
        <f ca="1">IFERROR(__xludf.DUMMYFUNCTION("""COMPUTED_VALUE"""),"l6Q_6MbMlK8")</f>
        <v>l6Q_6MbMlK8</v>
      </c>
      <c r="X183" s="5">
        <f ca="1">IFERROR(__xludf.DUMMYFUNCTION("""COMPUTED_VALUE"""),1)</f>
        <v>1</v>
      </c>
      <c r="Y183" s="5" t="str">
        <f t="shared" si="0"/>
        <v>Actividad sin realizar</v>
      </c>
      <c r="Z183" s="3">
        <f ca="1">IFERROR(VLOOKUP(U183, 'Base de datos'!A:B, 2, FALSE), "")</f>
        <v>573053427911</v>
      </c>
      <c r="AA183" s="4" t="e">
        <f t="shared" ca="1" si="1"/>
        <v>#NAME?</v>
      </c>
    </row>
    <row r="184" spans="1:27" ht="15.75" customHeight="1">
      <c r="A184" s="5" t="str">
        <f ca="1">IFERROR(__xludf.DUMMYFUNCTION("""COMPUTED_VALUE"""),"POSTOBÓN YUMBO")</f>
        <v>POSTOBÓN YUMBO</v>
      </c>
      <c r="B184" s="5" t="str">
        <f ca="1">IFERROR(__xludf.DUMMYFUNCTION("""COMPUTED_VALUE"""),"0410-ENVASADO JUGOS PET HOT F")</f>
        <v>0410-ENVASADO JUGOS PET HOT F</v>
      </c>
      <c r="C184" s="5" t="str">
        <f ca="1">IFERROR(__xludf.DUMMYFUNCTION("""COMPUTED_VALUE"""),"LINEA DE ENVASADO JUGOS PET HOT FILL")</f>
        <v>LINEA DE ENVASADO JUGOS PET HOT FILL</v>
      </c>
      <c r="D184" s="5">
        <f ca="1">IFERROR(__xludf.DUMMYFUNCTION("""COMPUTED_VALUE"""),900303)</f>
        <v>900303</v>
      </c>
      <c r="E184" s="5" t="str">
        <f ca="1">IFERROR(__xludf.DUMMYFUNCTION("""COMPUTED_VALUE"""),"LLENADORA")</f>
        <v>LLENADORA</v>
      </c>
      <c r="F184" s="5">
        <f ca="1">IFERROR(__xludf.DUMMYFUNCTION("""COMPUTED_VALUE"""),14085)</f>
        <v>14085</v>
      </c>
      <c r="G184" s="5" t="str">
        <f ca="1">IFERROR(__xludf.DUMMYFUNCTION("""COMPUTED_VALUE"""),"MANTENIMIENTO ELEC TAPONADORA L8 90030")</f>
        <v>MANTENIMIENTO ELEC TAPONADORA L8 90030</v>
      </c>
      <c r="H184" s="5">
        <f ca="1">IFERROR(__xludf.DUMMYFUNCTION("""COMPUTED_VALUE"""),13226504)</f>
        <v>13226504</v>
      </c>
      <c r="I184" s="5" t="str">
        <f ca="1">IFERROR(__xludf.DUMMYFUNCTION("""COMPUTED_VALUE"""),"Tablero Tapas Mezanine:")</f>
        <v>Tablero Tapas Mezanine:</v>
      </c>
      <c r="J184" s="5" t="str">
        <f ca="1">IFERROR(__xludf.DUMMYFUNCTION("""COMPUTED_VALUE"""),"ALTO")</f>
        <v>ALTO</v>
      </c>
      <c r="K184" s="5" t="str">
        <f ca="1">IFERROR(__xludf.DUMMYFUNCTION("""COMPUTED_VALUE"""),"Preventivo")</f>
        <v>Preventivo</v>
      </c>
      <c r="L184" s="5" t="str">
        <f ca="1">IFERROR(__xludf.DUMMYFUNCTION("""COMPUTED_VALUE"""),"Maquinaria")</f>
        <v>Maquinaria</v>
      </c>
      <c r="M184" s="5" t="str">
        <f ca="1">IFERROR(__xludf.DUMMYFUNCTION("""COMPUTED_VALUE"""),"No")</f>
        <v>No</v>
      </c>
      <c r="N184" s="5"/>
      <c r="O184" s="5"/>
      <c r="P184" s="18">
        <f ca="1">IFERROR(__xludf.DUMMYFUNCTION("""COMPUTED_VALUE"""),45324)</f>
        <v>45324</v>
      </c>
      <c r="Q184" s="18">
        <f ca="1">IFERROR(__xludf.DUMMYFUNCTION("""COMPUTED_VALUE"""),45324)</f>
        <v>45324</v>
      </c>
      <c r="R184" s="18"/>
      <c r="S184" s="5">
        <f ca="1">IFERROR(__xludf.DUMMYFUNCTION("""COMPUTED_VALUE"""),2)</f>
        <v>2</v>
      </c>
      <c r="T184" s="5"/>
      <c r="U184" s="5" t="str">
        <f ca="1">IFERROR(__xludf.DUMMYFUNCTION("""COMPUTED_VALUE"""),"Franco Castillo Brayan Steven")</f>
        <v>Franco Castillo Brayan Steven</v>
      </c>
      <c r="V184" s="5"/>
      <c r="W184" s="5" t="str">
        <f ca="1">IFERROR(__xludf.DUMMYFUNCTION("""COMPUTED_VALUE"""),"lZpXca9Uhqg")</f>
        <v>lZpXca9Uhqg</v>
      </c>
      <c r="X184" s="5">
        <f ca="1">IFERROR(__xludf.DUMMYFUNCTION("""COMPUTED_VALUE"""),2)</f>
        <v>2</v>
      </c>
      <c r="Y184" s="5" t="str">
        <f t="shared" si="0"/>
        <v>Actividad sin realizar</v>
      </c>
      <c r="Z184" s="3">
        <f ca="1">IFERROR(VLOOKUP(U184, 'Base de datos'!A:B, 2, FALSE), "")</f>
        <v>573053427911</v>
      </c>
      <c r="AA184" s="4" t="e">
        <f t="shared" ca="1" si="1"/>
        <v>#NAME?</v>
      </c>
    </row>
    <row r="185" spans="1:27" ht="15.75" customHeight="1">
      <c r="A185" s="5" t="str">
        <f ca="1">IFERROR(__xludf.DUMMYFUNCTION("""COMPUTED_VALUE"""),"POSTOBÓN YUMBO")</f>
        <v>POSTOBÓN YUMBO</v>
      </c>
      <c r="B185" s="5" t="str">
        <f ca="1">IFERROR(__xludf.DUMMYFUNCTION("""COMPUTED_VALUE"""),"0410-ENVASADO JUGOS PET HOT F")</f>
        <v>0410-ENVASADO JUGOS PET HOT F</v>
      </c>
      <c r="C185" s="5" t="str">
        <f ca="1">IFERROR(__xludf.DUMMYFUNCTION("""COMPUTED_VALUE"""),"LINEA DE ENVASADO JUGOS PET HOT FILL")</f>
        <v>LINEA DE ENVASADO JUGOS PET HOT FILL</v>
      </c>
      <c r="D185" s="5">
        <f ca="1">IFERROR(__xludf.DUMMYFUNCTION("""COMPUTED_VALUE"""),900303)</f>
        <v>900303</v>
      </c>
      <c r="E185" s="5" t="str">
        <f ca="1">IFERROR(__xludf.DUMMYFUNCTION("""COMPUTED_VALUE"""),"LLENADORA")</f>
        <v>LLENADORA</v>
      </c>
      <c r="F185" s="5">
        <f ca="1">IFERROR(__xludf.DUMMYFUNCTION("""COMPUTED_VALUE"""),14085)</f>
        <v>14085</v>
      </c>
      <c r="G185" s="5" t="str">
        <f ca="1">IFERROR(__xludf.DUMMYFUNCTION("""COMPUTED_VALUE"""),"MANTENIMIENTO ELEC LLENADORA L8 90030")</f>
        <v>MANTENIMIENTO ELEC LLENADORA L8 90030</v>
      </c>
      <c r="H185" s="5">
        <f ca="1">IFERROR(__xludf.DUMMYFUNCTION("""COMPUTED_VALUE"""),13226501)</f>
        <v>13226501</v>
      </c>
      <c r="I185" s="5" t="str">
        <f ca="1">IFERROR(__xludf.DUMMYFUNCTION("""COMPUTED_VALUE"""),"Puertas protectoras:")</f>
        <v>Puertas protectoras:</v>
      </c>
      <c r="J185" s="5" t="str">
        <f ca="1">IFERROR(__xludf.DUMMYFUNCTION("""COMPUTED_VALUE"""),"ALTO")</f>
        <v>ALTO</v>
      </c>
      <c r="K185" s="5" t="str">
        <f ca="1">IFERROR(__xludf.DUMMYFUNCTION("""COMPUTED_VALUE"""),"Preventivo")</f>
        <v>Preventivo</v>
      </c>
      <c r="L185" s="5" t="str">
        <f ca="1">IFERROR(__xludf.DUMMYFUNCTION("""COMPUTED_VALUE"""),"Maquinaria")</f>
        <v>Maquinaria</v>
      </c>
      <c r="M185" s="5" t="str">
        <f ca="1">IFERROR(__xludf.DUMMYFUNCTION("""COMPUTED_VALUE"""),"No")</f>
        <v>No</v>
      </c>
      <c r="N185" s="5"/>
      <c r="O185" s="5"/>
      <c r="P185" s="18">
        <f ca="1">IFERROR(__xludf.DUMMYFUNCTION("""COMPUTED_VALUE"""),45323)</f>
        <v>45323</v>
      </c>
      <c r="Q185" s="18">
        <f ca="1">IFERROR(__xludf.DUMMYFUNCTION("""COMPUTED_VALUE"""),45323)</f>
        <v>45323</v>
      </c>
      <c r="R185" s="18"/>
      <c r="S185" s="5">
        <f ca="1">IFERROR(__xludf.DUMMYFUNCTION("""COMPUTED_VALUE"""),2)</f>
        <v>2</v>
      </c>
      <c r="T185" s="5"/>
      <c r="U185" s="5" t="str">
        <f ca="1">IFERROR(__xludf.DUMMYFUNCTION("""COMPUTED_VALUE"""),"Franco Castillo Brayan Steven")</f>
        <v>Franco Castillo Brayan Steven</v>
      </c>
      <c r="V185" s="5"/>
      <c r="W185" s="5" t="str">
        <f ca="1">IFERROR(__xludf.DUMMYFUNCTION("""COMPUTED_VALUE"""),"gqLhi8jTn6Q")</f>
        <v>gqLhi8jTn6Q</v>
      </c>
      <c r="X185" s="5">
        <f ca="1">IFERROR(__xludf.DUMMYFUNCTION("""COMPUTED_VALUE"""),2)</f>
        <v>2</v>
      </c>
      <c r="Y185" s="5" t="str">
        <f t="shared" si="0"/>
        <v>Actividad sin realizar</v>
      </c>
      <c r="Z185" s="3">
        <f ca="1">IFERROR(VLOOKUP(U185, 'Base de datos'!A:B, 2, FALSE), "")</f>
        <v>573053427911</v>
      </c>
      <c r="AA185" s="4" t="e">
        <f t="shared" ca="1" si="1"/>
        <v>#NAME?</v>
      </c>
    </row>
    <row r="186" spans="1:27" ht="15.75" customHeight="1">
      <c r="A186" s="5" t="str">
        <f ca="1">IFERROR(__xludf.DUMMYFUNCTION("""COMPUTED_VALUE"""),"POSTOBÓN YUMBO")</f>
        <v>POSTOBÓN YUMBO</v>
      </c>
      <c r="B186" s="5" t="str">
        <f ca="1">IFERROR(__xludf.DUMMYFUNCTION("""COMPUTED_VALUE"""),"0410-EQUIPOS AUXILIARES")</f>
        <v>0410-EQUIPOS AUXILIARES</v>
      </c>
      <c r="C186" s="5" t="str">
        <f ca="1">IFERROR(__xludf.DUMMYFUNCTION("""COMPUTED_VALUE"""),"EQUIPOS PARA SERVICIOS INDUSTRIALES")</f>
        <v>EQUIPOS PARA SERVICIOS INDUSTRIALES</v>
      </c>
      <c r="D186" s="5">
        <f ca="1">IFERROR(__xludf.DUMMYFUNCTION("""COMPUTED_VALUE"""),630013)</f>
        <v>630013</v>
      </c>
      <c r="E186" s="5" t="str">
        <f ca="1">IFERROR(__xludf.DUMMYFUNCTION("""COMPUTED_VALUE"""),"CONDENSADOR EVAPORATIVO 1")</f>
        <v>CONDENSADOR EVAPORATIVO 1</v>
      </c>
      <c r="F186" s="5">
        <f ca="1">IFERROR(__xludf.DUMMYFUNCTION("""COMPUTED_VALUE"""),25394)</f>
        <v>25394</v>
      </c>
      <c r="G186" s="5" t="str">
        <f ca="1">IFERROR(__xludf.DUMMYFUNCTION("""COMPUTED_VALUE"""),"PLAN MTTO MEC COND EVAPORATIVO #1 L10")</f>
        <v>PLAN MTTO MEC COND EVAPORATIVO #1 L10</v>
      </c>
      <c r="H186" s="5">
        <f ca="1">IFERROR(__xludf.DUMMYFUNCTION("""COMPUTED_VALUE"""),13226529)</f>
        <v>13226529</v>
      </c>
      <c r="I186" s="5" t="str">
        <f ca="1">IFERROR(__xludf.DUMMYFUNCTION("""COMPUTED_VALUE"""),"Limpiar filtros succión bomba de agua, L")</f>
        <v>Limpiar filtros succión bomba de agua, L</v>
      </c>
      <c r="J186" s="5" t="str">
        <f ca="1">IFERROR(__xludf.DUMMYFUNCTION("""COMPUTED_VALUE"""),"MEDIO")</f>
        <v>MEDIO</v>
      </c>
      <c r="K186" s="5" t="str">
        <f ca="1">IFERROR(__xludf.DUMMYFUNCTION("""COMPUTED_VALUE"""),"Preventivo")</f>
        <v>Preventivo</v>
      </c>
      <c r="L186" s="5" t="str">
        <f ca="1">IFERROR(__xludf.DUMMYFUNCTION("""COMPUTED_VALUE"""),"Maquinaria")</f>
        <v>Maquinaria</v>
      </c>
      <c r="M186" s="5" t="str">
        <f ca="1">IFERROR(__xludf.DUMMYFUNCTION("""COMPUTED_VALUE"""),"No")</f>
        <v>No</v>
      </c>
      <c r="N186" s="5"/>
      <c r="O186" s="5"/>
      <c r="P186" s="18">
        <f ca="1">IFERROR(__xludf.DUMMYFUNCTION("""COMPUTED_VALUE"""),45340)</f>
        <v>45340</v>
      </c>
      <c r="Q186" s="18">
        <f ca="1">IFERROR(__xludf.DUMMYFUNCTION("""COMPUTED_VALUE"""),45340)</f>
        <v>45340</v>
      </c>
      <c r="R186" s="18"/>
      <c r="S186" s="5">
        <f ca="1">IFERROR(__xludf.DUMMYFUNCTION("""COMPUTED_VALUE"""),1)</f>
        <v>1</v>
      </c>
      <c r="T186" s="5"/>
      <c r="U186" s="5" t="str">
        <f ca="1">IFERROR(__xludf.DUMMYFUNCTION("""COMPUTED_VALUE"""),"CALDERON CORTES JULIAN DAVID")</f>
        <v>CALDERON CORTES JULIAN DAVID</v>
      </c>
      <c r="V186" s="5"/>
      <c r="W186" s="5" t="str">
        <f ca="1">IFERROR(__xludf.DUMMYFUNCTION("""COMPUTED_VALUE"""),"5zSW98OLYbI")</f>
        <v>5zSW98OLYbI</v>
      </c>
      <c r="X186" s="5">
        <f ca="1">IFERROR(__xludf.DUMMYFUNCTION("""COMPUTED_VALUE"""),1)</f>
        <v>1</v>
      </c>
      <c r="Y186" s="5" t="str">
        <f t="shared" si="0"/>
        <v>Actividad sin realizar</v>
      </c>
      <c r="Z186" s="3">
        <f ca="1">IFERROR(VLOOKUP(U186, 'Base de datos'!A:B, 2, FALSE), "")</f>
        <v>573106062699</v>
      </c>
      <c r="AA186" s="4" t="e">
        <f t="shared" ca="1" si="1"/>
        <v>#NAME?</v>
      </c>
    </row>
    <row r="187" spans="1:27" ht="15.75" customHeight="1">
      <c r="A187" s="5" t="str">
        <f ca="1">IFERROR(__xludf.DUMMYFUNCTION("""COMPUTED_VALUE"""),"POSTOBÓN YUMBO")</f>
        <v>POSTOBÓN YUMBO</v>
      </c>
      <c r="B187" s="5" t="str">
        <f ca="1">IFERROR(__xludf.DUMMYFUNCTION("""COMPUTED_VALUE"""),"0410-EQUIPOS AUXILIARES")</f>
        <v>0410-EQUIPOS AUXILIARES</v>
      </c>
      <c r="C187" s="5" t="str">
        <f ca="1">IFERROR(__xludf.DUMMYFUNCTION("""COMPUTED_VALUE"""),"EQUIPOS PARA SERVICIOS INDUSTRIALES")</f>
        <v>EQUIPOS PARA SERVICIOS INDUSTRIALES</v>
      </c>
      <c r="D187" s="5">
        <f ca="1">IFERROR(__xludf.DUMMYFUNCTION("""COMPUTED_VALUE"""),638556)</f>
        <v>638556</v>
      </c>
      <c r="E187" s="5" t="str">
        <f ca="1">IFERROR(__xludf.DUMMYFUNCTION("""COMPUTED_VALUE"""),"CONDENSADOR EVAPORATIVO")</f>
        <v>CONDENSADOR EVAPORATIVO</v>
      </c>
      <c r="F187" s="5">
        <f ca="1">IFERROR(__xludf.DUMMYFUNCTION("""COMPUTED_VALUE"""),21701)</f>
        <v>21701</v>
      </c>
      <c r="G187" s="5" t="str">
        <f ca="1">IFERROR(__xludf.DUMMYFUNCTION("""COMPUTED_VALUE"""),"PLAN MTTO LUB CONDENSADOR EVAP GASEOSA")</f>
        <v>PLAN MTTO LUB CONDENSADOR EVAP GASEOSA</v>
      </c>
      <c r="H187" s="5">
        <f ca="1">IFERROR(__xludf.DUMMYFUNCTION("""COMPUTED_VALUE"""),13207395)</f>
        <v>13207395</v>
      </c>
      <c r="I187" s="5" t="str">
        <f ca="1">IFERROR(__xludf.DUMMYFUNCTION("""COMPUTED_VALUE"""),"Lubricación chumaceras")</f>
        <v>Lubricación chumaceras</v>
      </c>
      <c r="J187" s="5" t="str">
        <f ca="1">IFERROR(__xludf.DUMMYFUNCTION("""COMPUTED_VALUE"""),"MEDIO")</f>
        <v>MEDIO</v>
      </c>
      <c r="K187" s="5" t="str">
        <f ca="1">IFERROR(__xludf.DUMMYFUNCTION("""COMPUTED_VALUE"""),"Preventivo")</f>
        <v>Preventivo</v>
      </c>
      <c r="L187" s="5" t="str">
        <f ca="1">IFERROR(__xludf.DUMMYFUNCTION("""COMPUTED_VALUE"""),"Maquinaria")</f>
        <v>Maquinaria</v>
      </c>
      <c r="M187" s="5" t="str">
        <f ca="1">IFERROR(__xludf.DUMMYFUNCTION("""COMPUTED_VALUE"""),"No")</f>
        <v>No</v>
      </c>
      <c r="N187" s="5"/>
      <c r="O187" s="5"/>
      <c r="P187" s="18">
        <f ca="1">IFERROR(__xludf.DUMMYFUNCTION("""COMPUTED_VALUE"""),45340)</f>
        <v>45340</v>
      </c>
      <c r="Q187" s="18">
        <f ca="1">IFERROR(__xludf.DUMMYFUNCTION("""COMPUTED_VALUE"""),45340)</f>
        <v>45340</v>
      </c>
      <c r="R187" s="18"/>
      <c r="S187" s="5">
        <f ca="1">IFERROR(__xludf.DUMMYFUNCTION("""COMPUTED_VALUE"""),2)</f>
        <v>2</v>
      </c>
      <c r="T187" s="5"/>
      <c r="U187" s="5" t="str">
        <f ca="1">IFERROR(__xludf.DUMMYFUNCTION("""COMPUTED_VALUE"""),"Henao William")</f>
        <v>Henao William</v>
      </c>
      <c r="V187" s="5"/>
      <c r="W187" s="5" t="str">
        <f ca="1">IFERROR(__xludf.DUMMYFUNCTION("""COMPUTED_VALUE"""),"KvuvR8K5hUw")</f>
        <v>KvuvR8K5hUw</v>
      </c>
      <c r="X187" s="5">
        <f ca="1">IFERROR(__xludf.DUMMYFUNCTION("""COMPUTED_VALUE"""),2)</f>
        <v>2</v>
      </c>
      <c r="Y187" s="5" t="str">
        <f t="shared" si="0"/>
        <v>Actividad sin realizar</v>
      </c>
      <c r="Z187" s="3">
        <f ca="1">IFERROR(VLOOKUP(U187, 'Base de datos'!A:B, 2, FALSE), "")</f>
        <v>573222217492</v>
      </c>
      <c r="AA187" s="4" t="e">
        <f t="shared" ca="1" si="1"/>
        <v>#NAME?</v>
      </c>
    </row>
    <row r="188" spans="1:27" ht="15.75" customHeight="1">
      <c r="A188" s="5" t="str">
        <f ca="1">IFERROR(__xludf.DUMMYFUNCTION("""COMPUTED_VALUE"""),"POSTOBÓN YUMBO")</f>
        <v>POSTOBÓN YUMBO</v>
      </c>
      <c r="B188" s="5" t="str">
        <f ca="1">IFERROR(__xludf.DUMMYFUNCTION("""COMPUTED_VALUE"""),"0410-ENVASADO JUGOS PET HOT F")</f>
        <v>0410-ENVASADO JUGOS PET HOT F</v>
      </c>
      <c r="C188" s="5" t="str">
        <f ca="1">IFERROR(__xludf.DUMMYFUNCTION("""COMPUTED_VALUE"""),"LINEA DE ENVASADO JUGOS PET HOT FILL")</f>
        <v>LINEA DE ENVASADO JUGOS PET HOT FILL</v>
      </c>
      <c r="D188" s="5">
        <f ca="1">IFERROR(__xludf.DUMMYFUNCTION("""COMPUTED_VALUE"""),900303)</f>
        <v>900303</v>
      </c>
      <c r="E188" s="5" t="str">
        <f ca="1">IFERROR(__xludf.DUMMYFUNCTION("""COMPUTED_VALUE"""),"LLENADORA")</f>
        <v>LLENADORA</v>
      </c>
      <c r="F188" s="5">
        <f ca="1">IFERROR(__xludf.DUMMYFUNCTION("""COMPUTED_VALUE"""),14085)</f>
        <v>14085</v>
      </c>
      <c r="G188" s="5" t="str">
        <f ca="1">IFERROR(__xludf.DUMMYFUNCTION("""COMPUTED_VALUE"""),"MANTENIMIENTO ELEC LLENADORA L8 90030")</f>
        <v>MANTENIMIENTO ELEC LLENADORA L8 90030</v>
      </c>
      <c r="H188" s="5">
        <f ca="1">IFERROR(__xludf.DUMMYFUNCTION("""COMPUTED_VALUE"""),13226501)</f>
        <v>13226501</v>
      </c>
      <c r="I188" s="5" t="str">
        <f ca="1">IFERROR(__xludf.DUMMYFUNCTION("""COMPUTED_VALUE"""),"Revisar conectores,Limpiar (sopletear)")</f>
        <v>Revisar conectores,Limpiar (sopletear)</v>
      </c>
      <c r="J188" s="5" t="str">
        <f ca="1">IFERROR(__xludf.DUMMYFUNCTION("""COMPUTED_VALUE"""),"ALTO")</f>
        <v>ALTO</v>
      </c>
      <c r="K188" s="5" t="str">
        <f ca="1">IFERROR(__xludf.DUMMYFUNCTION("""COMPUTED_VALUE"""),"Preventivo")</f>
        <v>Preventivo</v>
      </c>
      <c r="L188" s="5" t="str">
        <f ca="1">IFERROR(__xludf.DUMMYFUNCTION("""COMPUTED_VALUE"""),"Maquinaria")</f>
        <v>Maquinaria</v>
      </c>
      <c r="M188" s="5" t="str">
        <f ca="1">IFERROR(__xludf.DUMMYFUNCTION("""COMPUTED_VALUE"""),"No")</f>
        <v>No</v>
      </c>
      <c r="N188" s="5"/>
      <c r="O188" s="5"/>
      <c r="P188" s="18">
        <f ca="1">IFERROR(__xludf.DUMMYFUNCTION("""COMPUTED_VALUE"""),45323)</f>
        <v>45323</v>
      </c>
      <c r="Q188" s="18">
        <f ca="1">IFERROR(__xludf.DUMMYFUNCTION("""COMPUTED_VALUE"""),45323)</f>
        <v>45323</v>
      </c>
      <c r="R188" s="18"/>
      <c r="S188" s="5">
        <f ca="1">IFERROR(__xludf.DUMMYFUNCTION("""COMPUTED_VALUE"""),2)</f>
        <v>2</v>
      </c>
      <c r="T188" s="5"/>
      <c r="U188" s="5" t="str">
        <f ca="1">IFERROR(__xludf.DUMMYFUNCTION("""COMPUTED_VALUE"""),"Franco Castillo Brayan Steven")</f>
        <v>Franco Castillo Brayan Steven</v>
      </c>
      <c r="V188" s="5"/>
      <c r="W188" s="5" t="str">
        <f ca="1">IFERROR(__xludf.DUMMYFUNCTION("""COMPUTED_VALUE"""),"P-cTFrznV6E")</f>
        <v>P-cTFrznV6E</v>
      </c>
      <c r="X188" s="5">
        <f ca="1">IFERROR(__xludf.DUMMYFUNCTION("""COMPUTED_VALUE"""),2)</f>
        <v>2</v>
      </c>
      <c r="Y188" s="5" t="str">
        <f t="shared" si="0"/>
        <v>Actividad sin realizar</v>
      </c>
      <c r="Z188" s="3">
        <f ca="1">IFERROR(VLOOKUP(U188, 'Base de datos'!A:B, 2, FALSE), "")</f>
        <v>573053427911</v>
      </c>
      <c r="AA188" s="4" t="e">
        <f t="shared" ca="1" si="1"/>
        <v>#NAME?</v>
      </c>
    </row>
    <row r="189" spans="1:27" ht="15.75" customHeight="1">
      <c r="A189" s="5" t="str">
        <f ca="1">IFERROR(__xludf.DUMMYFUNCTION("""COMPUTED_VALUE"""),"POSTOBÓN YUMBO")</f>
        <v>POSTOBÓN YUMBO</v>
      </c>
      <c r="B189" s="5" t="str">
        <f ca="1">IFERROR(__xludf.DUMMYFUNCTION("""COMPUTED_VALUE"""),"0410-ENVASADO JUGOS PET HOT F")</f>
        <v>0410-ENVASADO JUGOS PET HOT F</v>
      </c>
      <c r="C189" s="5" t="str">
        <f ca="1">IFERROR(__xludf.DUMMYFUNCTION("""COMPUTED_VALUE"""),"LINEA DE ENVASADO JUGOS PET HOT FILL")</f>
        <v>LINEA DE ENVASADO JUGOS PET HOT FILL</v>
      </c>
      <c r="D189" s="5">
        <f ca="1">IFERROR(__xludf.DUMMYFUNCTION("""COMPUTED_VALUE"""),900303)</f>
        <v>900303</v>
      </c>
      <c r="E189" s="5" t="str">
        <f ca="1">IFERROR(__xludf.DUMMYFUNCTION("""COMPUTED_VALUE"""),"LLENADORA")</f>
        <v>LLENADORA</v>
      </c>
      <c r="F189" s="5">
        <f ca="1">IFERROR(__xludf.DUMMYFUNCTION("""COMPUTED_VALUE"""),14085)</f>
        <v>14085</v>
      </c>
      <c r="G189" s="5" t="str">
        <f ca="1">IFERROR(__xludf.DUMMYFUNCTION("""COMPUTED_VALUE"""),"MANTENIMIENTO ELEC LLENADORA L8 90030")</f>
        <v>MANTENIMIENTO ELEC LLENADORA L8 90030</v>
      </c>
      <c r="H189" s="5">
        <f ca="1">IFERROR(__xludf.DUMMYFUNCTION("""COMPUTED_VALUE"""),13226501)</f>
        <v>13226501</v>
      </c>
      <c r="I189" s="5" t="str">
        <f ca="1">IFERROR(__xludf.DUMMYFUNCTION("""COMPUTED_VALUE"""),"Elementos de mando:")</f>
        <v>Elementos de mando:</v>
      </c>
      <c r="J189" s="5" t="str">
        <f ca="1">IFERROR(__xludf.DUMMYFUNCTION("""COMPUTED_VALUE"""),"ALTO")</f>
        <v>ALTO</v>
      </c>
      <c r="K189" s="5" t="str">
        <f ca="1">IFERROR(__xludf.DUMMYFUNCTION("""COMPUTED_VALUE"""),"Preventivo")</f>
        <v>Preventivo</v>
      </c>
      <c r="L189" s="5" t="str">
        <f ca="1">IFERROR(__xludf.DUMMYFUNCTION("""COMPUTED_VALUE"""),"Maquinaria")</f>
        <v>Maquinaria</v>
      </c>
      <c r="M189" s="5" t="str">
        <f ca="1">IFERROR(__xludf.DUMMYFUNCTION("""COMPUTED_VALUE"""),"No")</f>
        <v>No</v>
      </c>
      <c r="N189" s="5"/>
      <c r="O189" s="5"/>
      <c r="P189" s="18">
        <f ca="1">IFERROR(__xludf.DUMMYFUNCTION("""COMPUTED_VALUE"""),45323)</f>
        <v>45323</v>
      </c>
      <c r="Q189" s="18">
        <f ca="1">IFERROR(__xludf.DUMMYFUNCTION("""COMPUTED_VALUE"""),45323)</f>
        <v>45323</v>
      </c>
      <c r="R189" s="18"/>
      <c r="S189" s="5">
        <f ca="1">IFERROR(__xludf.DUMMYFUNCTION("""COMPUTED_VALUE"""),2)</f>
        <v>2</v>
      </c>
      <c r="T189" s="5"/>
      <c r="U189" s="5" t="str">
        <f ca="1">IFERROR(__xludf.DUMMYFUNCTION("""COMPUTED_VALUE"""),"Franco Castillo Brayan Steven")</f>
        <v>Franco Castillo Brayan Steven</v>
      </c>
      <c r="V189" s="5"/>
      <c r="W189" s="5" t="str">
        <f ca="1">IFERROR(__xludf.DUMMYFUNCTION("""COMPUTED_VALUE"""),"ogz_EyLtimc")</f>
        <v>ogz_EyLtimc</v>
      </c>
      <c r="X189" s="5">
        <f ca="1">IFERROR(__xludf.DUMMYFUNCTION("""COMPUTED_VALUE"""),2)</f>
        <v>2</v>
      </c>
      <c r="Y189" s="5" t="str">
        <f t="shared" si="0"/>
        <v>Actividad sin realizar</v>
      </c>
      <c r="Z189" s="3">
        <f ca="1">IFERROR(VLOOKUP(U189, 'Base de datos'!A:B, 2, FALSE), "")</f>
        <v>573053427911</v>
      </c>
      <c r="AA189" s="4" t="e">
        <f t="shared" ca="1" si="1"/>
        <v>#NAME?</v>
      </c>
    </row>
    <row r="190" spans="1:27" ht="15.75" customHeight="1">
      <c r="A190" s="5" t="str">
        <f ca="1">IFERROR(__xludf.DUMMYFUNCTION("""COMPUTED_VALUE"""),"POSTOBÓN YUMBO")</f>
        <v>POSTOBÓN YUMBO</v>
      </c>
      <c r="B190" s="5" t="str">
        <f ca="1">IFERROR(__xludf.DUMMYFUNCTION("""COMPUTED_VALUE"""),"0410-ENVASADO JUGOS PET HOT F")</f>
        <v>0410-ENVASADO JUGOS PET HOT F</v>
      </c>
      <c r="C190" s="5" t="str">
        <f ca="1">IFERROR(__xludf.DUMMYFUNCTION("""COMPUTED_VALUE"""),"LINEA DE ENVASADO JUGOS PET HOT FILL")</f>
        <v>LINEA DE ENVASADO JUGOS PET HOT FILL</v>
      </c>
      <c r="D190" s="5">
        <f ca="1">IFERROR(__xludf.DUMMYFUNCTION("""COMPUTED_VALUE"""),900303)</f>
        <v>900303</v>
      </c>
      <c r="E190" s="5" t="str">
        <f ca="1">IFERROR(__xludf.DUMMYFUNCTION("""COMPUTED_VALUE"""),"LLENADORA")</f>
        <v>LLENADORA</v>
      </c>
      <c r="F190" s="5">
        <f ca="1">IFERROR(__xludf.DUMMYFUNCTION("""COMPUTED_VALUE"""),14085)</f>
        <v>14085</v>
      </c>
      <c r="G190" s="5" t="str">
        <f ca="1">IFERROR(__xludf.DUMMYFUNCTION("""COMPUTED_VALUE"""),"MANTENIMIENTO ELEC LLENADORA L8 90030")</f>
        <v>MANTENIMIENTO ELEC LLENADORA L8 90030</v>
      </c>
      <c r="H190" s="5">
        <f ca="1">IFERROR(__xludf.DUMMYFUNCTION("""COMPUTED_VALUE"""),13226501)</f>
        <v>13226501</v>
      </c>
      <c r="I190" s="5" t="str">
        <f ca="1">IFERROR(__xludf.DUMMYFUNCTION("""COMPUTED_VALUE"""),"Revision Tableros electricos de cabina d")</f>
        <v>Revision Tableros electricos de cabina d</v>
      </c>
      <c r="J190" s="5" t="str">
        <f ca="1">IFERROR(__xludf.DUMMYFUNCTION("""COMPUTED_VALUE"""),"ALTO")</f>
        <v>ALTO</v>
      </c>
      <c r="K190" s="5" t="str">
        <f ca="1">IFERROR(__xludf.DUMMYFUNCTION("""COMPUTED_VALUE"""),"Preventivo")</f>
        <v>Preventivo</v>
      </c>
      <c r="L190" s="5" t="str">
        <f ca="1">IFERROR(__xludf.DUMMYFUNCTION("""COMPUTED_VALUE"""),"Maquinaria")</f>
        <v>Maquinaria</v>
      </c>
      <c r="M190" s="5" t="str">
        <f ca="1">IFERROR(__xludf.DUMMYFUNCTION("""COMPUTED_VALUE"""),"No")</f>
        <v>No</v>
      </c>
      <c r="N190" s="5"/>
      <c r="O190" s="5"/>
      <c r="P190" s="18">
        <f ca="1">IFERROR(__xludf.DUMMYFUNCTION("""COMPUTED_VALUE"""),45323)</f>
        <v>45323</v>
      </c>
      <c r="Q190" s="18">
        <f ca="1">IFERROR(__xludf.DUMMYFUNCTION("""COMPUTED_VALUE"""),45323)</f>
        <v>45323</v>
      </c>
      <c r="R190" s="18"/>
      <c r="S190" s="5">
        <f ca="1">IFERROR(__xludf.DUMMYFUNCTION("""COMPUTED_VALUE"""),2)</f>
        <v>2</v>
      </c>
      <c r="T190" s="5"/>
      <c r="U190" s="5" t="str">
        <f ca="1">IFERROR(__xludf.DUMMYFUNCTION("""COMPUTED_VALUE"""),"Franco Castillo Brayan Steven")</f>
        <v>Franco Castillo Brayan Steven</v>
      </c>
      <c r="V190" s="5"/>
      <c r="W190" s="5" t="str">
        <f ca="1">IFERROR(__xludf.DUMMYFUNCTION("""COMPUTED_VALUE"""),"PSvJRvCG_Gc")</f>
        <v>PSvJRvCG_Gc</v>
      </c>
      <c r="X190" s="5">
        <f ca="1">IFERROR(__xludf.DUMMYFUNCTION("""COMPUTED_VALUE"""),2)</f>
        <v>2</v>
      </c>
      <c r="Y190" s="5" t="str">
        <f t="shared" si="0"/>
        <v>Actividad sin realizar</v>
      </c>
      <c r="Z190" s="3">
        <f ca="1">IFERROR(VLOOKUP(U190, 'Base de datos'!A:B, 2, FALSE), "")</f>
        <v>573053427911</v>
      </c>
      <c r="AA190" s="4" t="e">
        <f t="shared" ca="1" si="1"/>
        <v>#NAME?</v>
      </c>
    </row>
    <row r="191" spans="1:27" ht="15.75" customHeight="1">
      <c r="A191" s="5" t="str">
        <f ca="1">IFERROR(__xludf.DUMMYFUNCTION("""COMPUTED_VALUE"""),"POSTOBÓN YUMBO")</f>
        <v>POSTOBÓN YUMBO</v>
      </c>
      <c r="B191" s="5" t="str">
        <f ca="1">IFERROR(__xludf.DUMMYFUNCTION("""COMPUTED_VALUE"""),"0410-PLANTA DE AGUA ENVASADO")</f>
        <v>0410-PLANTA DE AGUA ENVASADO</v>
      </c>
      <c r="C191" s="5" t="str">
        <f ca="1">IFERROR(__xludf.DUMMYFUNCTION("""COMPUTED_VALUE"""),"TRATAMIENTO DE AGUA PARA ENVASADO")</f>
        <v>TRATAMIENTO DE AGUA PARA ENVASADO</v>
      </c>
      <c r="D191" s="5">
        <f ca="1">IFERROR(__xludf.DUMMYFUNCTION("""COMPUTED_VALUE"""),70948941)</f>
        <v>70948941</v>
      </c>
      <c r="E191" s="5" t="str">
        <f ca="1">IFERROR(__xludf.DUMMYFUNCTION("""COMPUTED_VALUE"""),"DESGASIFICADOR POZO PARQUEADERO")</f>
        <v>DESGASIFICADOR POZO PARQUEADERO</v>
      </c>
      <c r="F191" s="5">
        <f ca="1">IFERROR(__xludf.DUMMYFUNCTION("""COMPUTED_VALUE"""),22740)</f>
        <v>22740</v>
      </c>
      <c r="G191" s="5" t="str">
        <f ca="1">IFERROR(__xludf.DUMMYFUNCTION("""COMPUTED_VALUE"""),"PLAN MTTO MEC DESGA POZO PARQUE 70948941")</f>
        <v>PLAN MTTO MEC DESGA POZO PARQUE 70948941</v>
      </c>
      <c r="H191" s="5">
        <f ca="1">IFERROR(__xludf.DUMMYFUNCTION("""COMPUTED_VALUE"""),13141418)</f>
        <v>13141418</v>
      </c>
      <c r="I191" s="5" t="str">
        <f ca="1">IFERROR(__xludf.DUMMYFUNCTION("""COMPUTED_VALUE"""),"CAMBIO DE FILTROS AIRE")</f>
        <v>CAMBIO DE FILTROS AIRE</v>
      </c>
      <c r="J191" s="5" t="str">
        <f ca="1">IFERROR(__xludf.DUMMYFUNCTION("""COMPUTED_VALUE"""),"ALTO")</f>
        <v>ALTO</v>
      </c>
      <c r="K191" s="5" t="str">
        <f ca="1">IFERROR(__xludf.DUMMYFUNCTION("""COMPUTED_VALUE"""),"Preventivo")</f>
        <v>Preventivo</v>
      </c>
      <c r="L191" s="5" t="str">
        <f ca="1">IFERROR(__xludf.DUMMYFUNCTION("""COMPUTED_VALUE"""),"Maquinaria")</f>
        <v>Maquinaria</v>
      </c>
      <c r="M191" s="5" t="str">
        <f ca="1">IFERROR(__xludf.DUMMYFUNCTION("""COMPUTED_VALUE"""),"No")</f>
        <v>No</v>
      </c>
      <c r="N191" s="5"/>
      <c r="O191" s="5"/>
      <c r="P191" s="18">
        <f ca="1">IFERROR(__xludf.DUMMYFUNCTION("""COMPUTED_VALUE"""),45324)</f>
        <v>45324</v>
      </c>
      <c r="Q191" s="18">
        <f ca="1">IFERROR(__xludf.DUMMYFUNCTION("""COMPUTED_VALUE"""),45324)</f>
        <v>45324</v>
      </c>
      <c r="R191" s="18"/>
      <c r="S191" s="5">
        <f ca="1">IFERROR(__xludf.DUMMYFUNCTION("""COMPUTED_VALUE"""),2)</f>
        <v>2</v>
      </c>
      <c r="T191" s="5"/>
      <c r="U191" s="5" t="str">
        <f ca="1">IFERROR(__xludf.DUMMYFUNCTION("""COMPUTED_VALUE"""),"PAPAMIJA GUIDO")</f>
        <v>PAPAMIJA GUIDO</v>
      </c>
      <c r="V191" s="5"/>
      <c r="W191" s="5" t="str">
        <f ca="1">IFERROR(__xludf.DUMMYFUNCTION("""COMPUTED_VALUE"""),"5jknZx_TCwo")</f>
        <v>5jknZx_TCwo</v>
      </c>
      <c r="X191" s="5">
        <f ca="1">IFERROR(__xludf.DUMMYFUNCTION("""COMPUTED_VALUE"""),2)</f>
        <v>2</v>
      </c>
      <c r="Y191" s="5" t="str">
        <f t="shared" si="0"/>
        <v>Actividad sin realizar</v>
      </c>
      <c r="Z191" s="3">
        <f ca="1">IFERROR(VLOOKUP(U191, 'Base de datos'!A:B, 2, FALSE), "")</f>
        <v>573156712311</v>
      </c>
      <c r="AA191" s="4" t="e">
        <f t="shared" ca="1" si="1"/>
        <v>#NAME?</v>
      </c>
    </row>
    <row r="192" spans="1:27" ht="15.75" customHeight="1">
      <c r="A192" s="5" t="str">
        <f ca="1">IFERROR(__xludf.DUMMYFUNCTION("""COMPUTED_VALUE"""),"POSTOBÓN YUMBO")</f>
        <v>POSTOBÓN YUMBO</v>
      </c>
      <c r="B192" s="5" t="str">
        <f ca="1">IFERROR(__xludf.DUMMYFUNCTION("""COMPUTED_VALUE"""),"0410-LINEA 2")</f>
        <v>0410-LINEA 2</v>
      </c>
      <c r="C192" s="5" t="str">
        <f ca="1">IFERROR(__xludf.DUMMYFUNCTION("""COMPUTED_VALUE"""),"LINEA DE ENVASADO FAMILIAR Y PRB")</f>
        <v>LINEA DE ENVASADO FAMILIAR Y PRB</v>
      </c>
      <c r="D192" s="5">
        <f ca="1">IFERROR(__xludf.DUMMYFUNCTION("""COMPUTED_VALUE"""),599559)</f>
        <v>599559</v>
      </c>
      <c r="E192" s="5" t="str">
        <f ca="1">IFERROR(__xludf.DUMMYFUNCTION("""COMPUTED_VALUE"""),"INSPECTOR ELECTRONICO")</f>
        <v>INSPECTOR ELECTRONICO</v>
      </c>
      <c r="F192" s="5">
        <f ca="1">IFERROR(__xludf.DUMMYFUNCTION("""COMPUTED_VALUE"""),17380)</f>
        <v>17380</v>
      </c>
      <c r="G192" s="5" t="str">
        <f ca="1">IFERROR(__xludf.DUMMYFUNCTION("""COMPUTED_VALUE"""),"MTTO MEC INSPECTOR L2 599559")</f>
        <v>MTTO MEC INSPECTOR L2 599559</v>
      </c>
      <c r="H192" s="5">
        <f ca="1">IFERROR(__xludf.DUMMYFUNCTION("""COMPUTED_VALUE"""),13221299)</f>
        <v>13221299</v>
      </c>
      <c r="I192" s="5" t="str">
        <f ca="1">IFERROR(__xludf.DUMMYFUNCTION("""COMPUTED_VALUE"""),"PAR DE RUEDAS DENTADAS LUBRICAR")</f>
        <v>PAR DE RUEDAS DENTADAS LUBRICAR</v>
      </c>
      <c r="J192" s="5" t="str">
        <f ca="1">IFERROR(__xludf.DUMMYFUNCTION("""COMPUTED_VALUE"""),"ALTO")</f>
        <v>ALTO</v>
      </c>
      <c r="K192" s="5" t="str">
        <f ca="1">IFERROR(__xludf.DUMMYFUNCTION("""COMPUTED_VALUE"""),"Preventivo")</f>
        <v>Preventivo</v>
      </c>
      <c r="L192" s="5" t="str">
        <f ca="1">IFERROR(__xludf.DUMMYFUNCTION("""COMPUTED_VALUE"""),"Maquinaria")</f>
        <v>Maquinaria</v>
      </c>
      <c r="M192" s="5" t="str">
        <f ca="1">IFERROR(__xludf.DUMMYFUNCTION("""COMPUTED_VALUE"""),"No")</f>
        <v>No</v>
      </c>
      <c r="N192" s="5"/>
      <c r="O192" s="5"/>
      <c r="P192" s="18">
        <f ca="1">IFERROR(__xludf.DUMMYFUNCTION("""COMPUTED_VALUE"""),45342)</f>
        <v>45342</v>
      </c>
      <c r="Q192" s="18">
        <f ca="1">IFERROR(__xludf.DUMMYFUNCTION("""COMPUTED_VALUE"""),45342)</f>
        <v>45342</v>
      </c>
      <c r="R192" s="18"/>
      <c r="S192" s="5">
        <f ca="1">IFERROR(__xludf.DUMMYFUNCTION("""COMPUTED_VALUE"""),2)</f>
        <v>2</v>
      </c>
      <c r="T192" s="5"/>
      <c r="U192" s="5" t="str">
        <f ca="1">IFERROR(__xludf.DUMMYFUNCTION("""COMPUTED_VALUE"""),"Alexander Echeverry Moreno")</f>
        <v>Alexander Echeverry Moreno</v>
      </c>
      <c r="V192" s="5"/>
      <c r="W192" s="5" t="str">
        <f ca="1">IFERROR(__xludf.DUMMYFUNCTION("""COMPUTED_VALUE"""),"IRYtng74WeA")</f>
        <v>IRYtng74WeA</v>
      </c>
      <c r="X192" s="5">
        <f ca="1">IFERROR(__xludf.DUMMYFUNCTION("""COMPUTED_VALUE"""),2)</f>
        <v>2</v>
      </c>
      <c r="Y192" s="5" t="str">
        <f t="shared" si="0"/>
        <v>Actividad sin realizar</v>
      </c>
      <c r="Z192" s="3">
        <f ca="1">IFERROR(VLOOKUP(U192, 'Base de datos'!A:B, 2, FALSE), "")</f>
        <v>573173223149</v>
      </c>
      <c r="AA192" s="4" t="e">
        <f t="shared" ca="1" si="1"/>
        <v>#NAME?</v>
      </c>
    </row>
    <row r="193" spans="1:27" ht="15.75" customHeight="1">
      <c r="A193" s="5" t="str">
        <f ca="1">IFERROR(__xludf.DUMMYFUNCTION("""COMPUTED_VALUE"""),"POSTOBÓN YUMBO")</f>
        <v>POSTOBÓN YUMBO</v>
      </c>
      <c r="B193" s="5" t="str">
        <f ca="1">IFERROR(__xludf.DUMMYFUNCTION("""COMPUTED_VALUE"""),"0410-LINEA DE BOLSAS")</f>
        <v>0410-LINEA DE BOLSAS</v>
      </c>
      <c r="C193" s="5" t="str">
        <f ca="1">IFERROR(__xludf.DUMMYFUNCTION("""COMPUTED_VALUE"""),"LINEA PARA EL LLENADO DE BOLSAS")</f>
        <v>LINEA PARA EL LLENADO DE BOLSAS</v>
      </c>
      <c r="D193" s="5">
        <f ca="1">IFERROR(__xludf.DUMMYFUNCTION("""COMPUTED_VALUE"""),710199)</f>
        <v>710199</v>
      </c>
      <c r="E193" s="5" t="str">
        <f ca="1">IFERROR(__xludf.DUMMYFUNCTION("""COMPUTED_VALUE"""),"LLENADORA DE BOLSAS LINEA 5")</f>
        <v>LLENADORA DE BOLSAS LINEA 5</v>
      </c>
      <c r="F193" s="5">
        <f ca="1">IFERROR(__xludf.DUMMYFUNCTION("""COMPUTED_VALUE"""),22715)</f>
        <v>22715</v>
      </c>
      <c r="G193" s="5" t="str">
        <f ca="1">IFERROR(__xludf.DUMMYFUNCTION("""COMPUTED_VALUE"""),"PLAN MTTO MEC LLENADORA BOLSA 5L 710199")</f>
        <v>PLAN MTTO MEC LLENADORA BOLSA 5L 710199</v>
      </c>
      <c r="H193" s="5">
        <f ca="1">IFERROR(__xludf.DUMMYFUNCTION("""COMPUTED_VALUE"""),13207464)</f>
        <v>13207464</v>
      </c>
      <c r="I193" s="5" t="str">
        <f ca="1">IFERROR(__xludf.DUMMYFUNCTION("""COMPUTED_VALUE"""),"Mtto sellador Horizontal")</f>
        <v>Mtto sellador Horizontal</v>
      </c>
      <c r="J193" s="5" t="str">
        <f ca="1">IFERROR(__xludf.DUMMYFUNCTION("""COMPUTED_VALUE"""),"ALTO")</f>
        <v>ALTO</v>
      </c>
      <c r="K193" s="5" t="str">
        <f ca="1">IFERROR(__xludf.DUMMYFUNCTION("""COMPUTED_VALUE"""),"Preventivo")</f>
        <v>Preventivo</v>
      </c>
      <c r="L193" s="5" t="str">
        <f ca="1">IFERROR(__xludf.DUMMYFUNCTION("""COMPUTED_VALUE"""),"Maquinaria")</f>
        <v>Maquinaria</v>
      </c>
      <c r="M193" s="5" t="str">
        <f ca="1">IFERROR(__xludf.DUMMYFUNCTION("""COMPUTED_VALUE"""),"No")</f>
        <v>No</v>
      </c>
      <c r="N193" s="5"/>
      <c r="O193" s="5"/>
      <c r="P193" s="18">
        <f ca="1">IFERROR(__xludf.DUMMYFUNCTION("""COMPUTED_VALUE"""),45348)</f>
        <v>45348</v>
      </c>
      <c r="Q193" s="18">
        <f ca="1">IFERROR(__xludf.DUMMYFUNCTION("""COMPUTED_VALUE"""),45348)</f>
        <v>45348</v>
      </c>
      <c r="R193" s="18"/>
      <c r="S193" s="5">
        <f ca="1">IFERROR(__xludf.DUMMYFUNCTION("""COMPUTED_VALUE"""),2)</f>
        <v>2</v>
      </c>
      <c r="T193" s="5"/>
      <c r="U193" s="5" t="str">
        <f ca="1">IFERROR(__xludf.DUMMYFUNCTION("""COMPUTED_VALUE"""),"ESTEBAN POTOSI ISAZA")</f>
        <v>ESTEBAN POTOSI ISAZA</v>
      </c>
      <c r="V193" s="5"/>
      <c r="W193" s="5" t="str">
        <f ca="1">IFERROR(__xludf.DUMMYFUNCTION("""COMPUTED_VALUE"""),"PpOGjh2IEK4")</f>
        <v>PpOGjh2IEK4</v>
      </c>
      <c r="X193" s="5">
        <f ca="1">IFERROR(__xludf.DUMMYFUNCTION("""COMPUTED_VALUE"""),2)</f>
        <v>2</v>
      </c>
      <c r="Y193" s="5" t="str">
        <f t="shared" si="0"/>
        <v>Actividad sin realizar</v>
      </c>
      <c r="Z193" s="3">
        <f ca="1">IFERROR(VLOOKUP(U193, 'Base de datos'!A:B, 2, FALSE), "")</f>
        <v>573128543241</v>
      </c>
      <c r="AA193" s="4" t="e">
        <f t="shared" ca="1" si="1"/>
        <v>#NAME?</v>
      </c>
    </row>
    <row r="194" spans="1:27" ht="15.75" customHeight="1">
      <c r="A194" s="5" t="str">
        <f ca="1">IFERROR(__xludf.DUMMYFUNCTION("""COMPUTED_VALUE"""),"POSTOBÓN YUMBO")</f>
        <v>POSTOBÓN YUMBO</v>
      </c>
      <c r="B194" s="5" t="str">
        <f ca="1">IFERROR(__xludf.DUMMYFUNCTION("""COMPUTED_VALUE"""),"0410-ENVASADO JUGOS PET HOT F")</f>
        <v>0410-ENVASADO JUGOS PET HOT F</v>
      </c>
      <c r="C194" s="5" t="str">
        <f ca="1">IFERROR(__xludf.DUMMYFUNCTION("""COMPUTED_VALUE"""),"LINEA DE ENVASADO JUGOS PET HOT FILL")</f>
        <v>LINEA DE ENVASADO JUGOS PET HOT FILL</v>
      </c>
      <c r="D194" s="5">
        <f ca="1">IFERROR(__xludf.DUMMYFUNCTION("""COMPUTED_VALUE"""),90030303)</f>
        <v>90030303</v>
      </c>
      <c r="E194" s="5" t="str">
        <f ca="1">IFERROR(__xludf.DUMMYFUNCTION("""COMPUTED_VALUE"""),"ENRUTADOR TAPA")</f>
        <v>ENRUTADOR TAPA</v>
      </c>
      <c r="F194" s="5">
        <f ca="1">IFERROR(__xludf.DUMMYFUNCTION("""COMPUTED_VALUE"""),22577)</f>
        <v>22577</v>
      </c>
      <c r="G194" s="5" t="str">
        <f ca="1">IFERROR(__xludf.DUMMYFUNCTION("""COMPUTED_VALUE"""),"PLAN MTTO ELE ENRUTADOR TAPA 90030303")</f>
        <v>PLAN MTTO ELE ENRUTADOR TAPA 90030303</v>
      </c>
      <c r="H194" s="5">
        <f ca="1">IFERROR(__xludf.DUMMYFUNCTION("""COMPUTED_VALUE"""),13174155)</f>
        <v>13174155</v>
      </c>
      <c r="I194" s="5" t="str">
        <f ca="1">IFERROR(__xludf.DUMMYFUNCTION("""COMPUTED_VALUE"""),"Mtto Motoreductor elevador")</f>
        <v>Mtto Motoreductor elevador</v>
      </c>
      <c r="J194" s="5" t="str">
        <f ca="1">IFERROR(__xludf.DUMMYFUNCTION("""COMPUTED_VALUE"""),"MEDIO")</f>
        <v>MEDIO</v>
      </c>
      <c r="K194" s="5" t="str">
        <f ca="1">IFERROR(__xludf.DUMMYFUNCTION("""COMPUTED_VALUE"""),"Preventivo")</f>
        <v>Preventivo</v>
      </c>
      <c r="L194" s="5" t="str">
        <f ca="1">IFERROR(__xludf.DUMMYFUNCTION("""COMPUTED_VALUE"""),"Maquinaria")</f>
        <v>Maquinaria</v>
      </c>
      <c r="M194" s="5" t="str">
        <f ca="1">IFERROR(__xludf.DUMMYFUNCTION("""COMPUTED_VALUE"""),"No")</f>
        <v>No</v>
      </c>
      <c r="N194" s="5"/>
      <c r="O194" s="5"/>
      <c r="P194" s="18">
        <f ca="1">IFERROR(__xludf.DUMMYFUNCTION("""COMPUTED_VALUE"""),45324)</f>
        <v>45324</v>
      </c>
      <c r="Q194" s="18">
        <f ca="1">IFERROR(__xludf.DUMMYFUNCTION("""COMPUTED_VALUE"""),45324)</f>
        <v>45324</v>
      </c>
      <c r="R194" s="18"/>
      <c r="S194" s="5">
        <f ca="1">IFERROR(__xludf.DUMMYFUNCTION("""COMPUTED_VALUE"""),4)</f>
        <v>4</v>
      </c>
      <c r="T194" s="5"/>
      <c r="U194" s="5" t="str">
        <f ca="1">IFERROR(__xludf.DUMMYFUNCTION("""COMPUTED_VALUE"""),"Vanegas Guependo Hermes")</f>
        <v>Vanegas Guependo Hermes</v>
      </c>
      <c r="V194" s="5"/>
      <c r="W194" s="5" t="str">
        <f ca="1">IFERROR(__xludf.DUMMYFUNCTION("""COMPUTED_VALUE"""),"kcWSN8IGxbk")</f>
        <v>kcWSN8IGxbk</v>
      </c>
      <c r="X194" s="5">
        <f ca="1">IFERROR(__xludf.DUMMYFUNCTION("""COMPUTED_VALUE"""),4)</f>
        <v>4</v>
      </c>
      <c r="Y194" s="5" t="str">
        <f t="shared" si="0"/>
        <v>Actividad sin realizar</v>
      </c>
      <c r="Z194" s="3">
        <f ca="1">IFERROR(VLOOKUP(U194, 'Base de datos'!A:B, 2, FALSE), "")</f>
        <v>573136290785</v>
      </c>
      <c r="AA194" s="4" t="e">
        <f t="shared" ca="1" si="1"/>
        <v>#NAME?</v>
      </c>
    </row>
    <row r="195" spans="1:27" ht="15.75" customHeight="1">
      <c r="A195" s="5" t="str">
        <f ca="1">IFERROR(__xludf.DUMMYFUNCTION("""COMPUTED_VALUE"""),"POSTOBÓN YUMBO")</f>
        <v>POSTOBÓN YUMBO</v>
      </c>
      <c r="B195" s="5" t="str">
        <f ca="1">IFERROR(__xludf.DUMMYFUNCTION("""COMPUTED_VALUE"""),"0410-SALA DE JARABE TERMINADO")</f>
        <v>0410-SALA DE JARABE TERMINADO</v>
      </c>
      <c r="C195" s="5" t="str">
        <f ca="1">IFERROR(__xludf.DUMMYFUNCTION("""COMPUTED_VALUE"""),"EQUIPOS PARA PREPARACION DE JARABE")</f>
        <v>EQUIPOS PARA PREPARACION DE JARABE</v>
      </c>
      <c r="D195" s="5">
        <f ca="1">IFERROR(__xludf.DUMMYFUNCTION("""COMPUTED_VALUE"""),69963414)</f>
        <v>69963414</v>
      </c>
      <c r="E195" s="5" t="str">
        <f ca="1">IFERROR(__xludf.DUMMYFUNCTION("""COMPUTED_VALUE"""),"TANQUE DE JARABE")</f>
        <v>TANQUE DE JARABE</v>
      </c>
      <c r="F195" s="5">
        <f ca="1">IFERROR(__xludf.DUMMYFUNCTION("""COMPUTED_VALUE"""),17361)</f>
        <v>17361</v>
      </c>
      <c r="G195" s="5" t="str">
        <f ca="1">IFERROR(__xludf.DUMMYFUNCTION("""COMPUTED_VALUE"""),"MTTO MEC TK JARABE 11 JARABE TERMINADO")</f>
        <v>MTTO MEC TK JARABE 11 JARABE TERMINADO</v>
      </c>
      <c r="H195" s="5">
        <f ca="1">IFERROR(__xludf.DUMMYFUNCTION("""COMPUTED_VALUE"""),13247168)</f>
        <v>13247168</v>
      </c>
      <c r="I195" s="5" t="str">
        <f ca="1">IFERROR(__xludf.DUMMYFUNCTION("""COMPUTED_VALUE"""),"ANTON PAAR - remplace los diafragmas")</f>
        <v>ANTON PAAR - remplace los diafragmas</v>
      </c>
      <c r="J195" s="5" t="str">
        <f ca="1">IFERROR(__xludf.DUMMYFUNCTION("""COMPUTED_VALUE"""),"ALTO")</f>
        <v>ALTO</v>
      </c>
      <c r="K195" s="5" t="str">
        <f ca="1">IFERROR(__xludf.DUMMYFUNCTION("""COMPUTED_VALUE"""),"Preventivo")</f>
        <v>Preventivo</v>
      </c>
      <c r="L195" s="5" t="str">
        <f ca="1">IFERROR(__xludf.DUMMYFUNCTION("""COMPUTED_VALUE"""),"Maquinaria")</f>
        <v>Maquinaria</v>
      </c>
      <c r="M195" s="5" t="str">
        <f ca="1">IFERROR(__xludf.DUMMYFUNCTION("""COMPUTED_VALUE"""),"No")</f>
        <v>No</v>
      </c>
      <c r="N195" s="5"/>
      <c r="O195" s="5">
        <f ca="1">IFERROR(__xludf.DUMMYFUNCTION("""COMPUTED_VALUE"""),100)</f>
        <v>100</v>
      </c>
      <c r="P195" s="18">
        <f ca="1">IFERROR(__xludf.DUMMYFUNCTION("""COMPUTED_VALUE"""),45342)</f>
        <v>45342</v>
      </c>
      <c r="Q195" s="18">
        <f ca="1">IFERROR(__xludf.DUMMYFUNCTION("""COMPUTED_VALUE"""),45342)</f>
        <v>45342</v>
      </c>
      <c r="R195" s="18"/>
      <c r="S195" s="5">
        <f ca="1">IFERROR(__xludf.DUMMYFUNCTION("""COMPUTED_VALUE"""),8)</f>
        <v>8</v>
      </c>
      <c r="T195" s="5"/>
      <c r="U195" s="5" t="str">
        <f ca="1">IFERROR(__xludf.DUMMYFUNCTION("""COMPUTED_VALUE"""),"Rivas Mena Carlos Danny")</f>
        <v>Rivas Mena Carlos Danny</v>
      </c>
      <c r="V195" s="5"/>
      <c r="W195" s="5" t="str">
        <f ca="1">IFERROR(__xludf.DUMMYFUNCTION("""COMPUTED_VALUE"""),"apVvAgQocTg")</f>
        <v>apVvAgQocTg</v>
      </c>
      <c r="X195" s="5">
        <f ca="1">IFERROR(__xludf.DUMMYFUNCTION("""COMPUTED_VALUE"""),8)</f>
        <v>8</v>
      </c>
      <c r="Y195" s="5" t="str">
        <f t="shared" ca="1" si="0"/>
        <v>Actividad realizada</v>
      </c>
      <c r="Z195" s="3">
        <f ca="1">IFERROR(VLOOKUP(U195, 'Base de datos'!A:B, 2, FALSE), "")</f>
        <v>0</v>
      </c>
      <c r="AA195" s="4" t="e">
        <f t="shared" ca="1" si="1"/>
        <v>#NAME?</v>
      </c>
    </row>
    <row r="196" spans="1:27" ht="15.75" customHeight="1">
      <c r="A196" s="5" t="str">
        <f ca="1">IFERROR(__xludf.DUMMYFUNCTION("""COMPUTED_VALUE"""),"POSTOBÓN YUMBO")</f>
        <v>POSTOBÓN YUMBO</v>
      </c>
      <c r="B196" s="5" t="str">
        <f ca="1">IFERROR(__xludf.DUMMYFUNCTION("""COMPUTED_VALUE"""),"0410-SALA DE JARABE TERMINADO")</f>
        <v>0410-SALA DE JARABE TERMINADO</v>
      </c>
      <c r="C196" s="5" t="str">
        <f ca="1">IFERROR(__xludf.DUMMYFUNCTION("""COMPUTED_VALUE"""),"EQUIPOS PARA PREPARACION DE JARABE")</f>
        <v>EQUIPOS PARA PREPARACION DE JARABE</v>
      </c>
      <c r="D196" s="5">
        <f ca="1">IFERROR(__xludf.DUMMYFUNCTION("""COMPUTED_VALUE"""),69963409)</f>
        <v>69963409</v>
      </c>
      <c r="E196" s="5" t="str">
        <f ca="1">IFERROR(__xludf.DUMMYFUNCTION("""COMPUTED_VALUE"""),"TANQUE DE JARABE")</f>
        <v>TANQUE DE JARABE</v>
      </c>
      <c r="F196" s="5">
        <f ca="1">IFERROR(__xludf.DUMMYFUNCTION("""COMPUTED_VALUE"""),17361)</f>
        <v>17361</v>
      </c>
      <c r="G196" s="5" t="str">
        <f ca="1">IFERROR(__xludf.DUMMYFUNCTION("""COMPUTED_VALUE"""),"MTTO MEC TK JARABE 6 JARABE TERMINADO")</f>
        <v>MTTO MEC TK JARABE 6 JARABE TERMINADO</v>
      </c>
      <c r="H196" s="5">
        <f ca="1">IFERROR(__xludf.DUMMYFUNCTION("""COMPUTED_VALUE"""),13247158)</f>
        <v>13247158</v>
      </c>
      <c r="I196" s="5" t="str">
        <f ca="1">IFERROR(__xludf.DUMMYFUNCTION("""COMPUTED_VALUE"""),"ANTON PAAR - remplace los diafragmas")</f>
        <v>ANTON PAAR - remplace los diafragmas</v>
      </c>
      <c r="J196" s="5" t="str">
        <f ca="1">IFERROR(__xludf.DUMMYFUNCTION("""COMPUTED_VALUE"""),"ALTO")</f>
        <v>ALTO</v>
      </c>
      <c r="K196" s="5" t="str">
        <f ca="1">IFERROR(__xludf.DUMMYFUNCTION("""COMPUTED_VALUE"""),"Preventivo")</f>
        <v>Preventivo</v>
      </c>
      <c r="L196" s="5" t="str">
        <f ca="1">IFERROR(__xludf.DUMMYFUNCTION("""COMPUTED_VALUE"""),"Maquinaria")</f>
        <v>Maquinaria</v>
      </c>
      <c r="M196" s="5" t="str">
        <f ca="1">IFERROR(__xludf.DUMMYFUNCTION("""COMPUTED_VALUE"""),"No")</f>
        <v>No</v>
      </c>
      <c r="N196" s="5"/>
      <c r="O196" s="5">
        <f ca="1">IFERROR(__xludf.DUMMYFUNCTION("""COMPUTED_VALUE"""),100)</f>
        <v>100</v>
      </c>
      <c r="P196" s="18">
        <f ca="1">IFERROR(__xludf.DUMMYFUNCTION("""COMPUTED_VALUE"""),45342)</f>
        <v>45342</v>
      </c>
      <c r="Q196" s="18">
        <f ca="1">IFERROR(__xludf.DUMMYFUNCTION("""COMPUTED_VALUE"""),45342)</f>
        <v>45342</v>
      </c>
      <c r="R196" s="18"/>
      <c r="S196" s="5">
        <f ca="1">IFERROR(__xludf.DUMMYFUNCTION("""COMPUTED_VALUE"""),8)</f>
        <v>8</v>
      </c>
      <c r="T196" s="5"/>
      <c r="U196" s="5" t="str">
        <f ca="1">IFERROR(__xludf.DUMMYFUNCTION("""COMPUTED_VALUE"""),"Moreno Pernia Bladimir")</f>
        <v>Moreno Pernia Bladimir</v>
      </c>
      <c r="V196" s="5"/>
      <c r="W196" s="5" t="str">
        <f ca="1">IFERROR(__xludf.DUMMYFUNCTION("""COMPUTED_VALUE"""),"shX5huzxX-s")</f>
        <v>shX5huzxX-s</v>
      </c>
      <c r="X196" s="5">
        <f ca="1">IFERROR(__xludf.DUMMYFUNCTION("""COMPUTED_VALUE"""),8)</f>
        <v>8</v>
      </c>
      <c r="Y196" s="5" t="str">
        <f t="shared" ca="1" si="0"/>
        <v>Actividad realizada</v>
      </c>
      <c r="Z196" s="3">
        <f ca="1">IFERROR(VLOOKUP(U196, 'Base de datos'!A:B, 2, FALSE), "")</f>
        <v>573148903137</v>
      </c>
      <c r="AA196" s="4" t="e">
        <f t="shared" ca="1" si="1"/>
        <v>#NAME?</v>
      </c>
    </row>
    <row r="197" spans="1:27" ht="15.75" customHeight="1">
      <c r="A197" s="5" t="str">
        <f ca="1">IFERROR(__xludf.DUMMYFUNCTION("""COMPUTED_VALUE"""),"POSTOBÓN YUMBO")</f>
        <v>POSTOBÓN YUMBO</v>
      </c>
      <c r="B197" s="5" t="str">
        <f ca="1">IFERROR(__xludf.DUMMYFUNCTION("""COMPUTED_VALUE"""),"0410-LINEA 2")</f>
        <v>0410-LINEA 2</v>
      </c>
      <c r="C197" s="5" t="str">
        <f ca="1">IFERROR(__xludf.DUMMYFUNCTION("""COMPUTED_VALUE"""),"LINEA DE ENVASADO FAMILIAR Y PRB")</f>
        <v>LINEA DE ENVASADO FAMILIAR Y PRB</v>
      </c>
      <c r="D197" s="5">
        <f ca="1">IFERROR(__xludf.DUMMYFUNCTION("""COMPUTED_VALUE"""),548732)</f>
        <v>548732</v>
      </c>
      <c r="E197" s="5" t="str">
        <f ca="1">IFERROR(__xludf.DUMMYFUNCTION("""COMPUTED_VALUE"""),"DESEMPACADORA")</f>
        <v>DESEMPACADORA</v>
      </c>
      <c r="F197" s="5">
        <f ca="1">IFERROR(__xludf.DUMMYFUNCTION("""COMPUTED_VALUE"""),4322)</f>
        <v>4322</v>
      </c>
      <c r="G197" s="5" t="str">
        <f ca="1">IFERROR(__xludf.DUMMYFUNCTION("""COMPUTED_VALUE"""),"MANTTO LUBRICACION DESEMPACAD L2 548732")</f>
        <v>MANTTO LUBRICACION DESEMPACAD L2 548732</v>
      </c>
      <c r="H197" s="5">
        <f ca="1">IFERROR(__xludf.DUMMYFUNCTION("""COMPUTED_VALUE"""),13247111)</f>
        <v>13247111</v>
      </c>
      <c r="I197" s="5" t="str">
        <f ca="1">IFERROR(__xludf.DUMMYFUNCTION("""COMPUTED_VALUE"""),"Lubricar Tablero Lubricacion Gral")</f>
        <v>Lubricar Tablero Lubricacion Gral</v>
      </c>
      <c r="J197" s="5" t="str">
        <f ca="1">IFERROR(__xludf.DUMMYFUNCTION("""COMPUTED_VALUE"""),"MEDIO")</f>
        <v>MEDIO</v>
      </c>
      <c r="K197" s="5" t="str">
        <f ca="1">IFERROR(__xludf.DUMMYFUNCTION("""COMPUTED_VALUE"""),"Preventivo")</f>
        <v>Preventivo</v>
      </c>
      <c r="L197" s="5" t="str">
        <f ca="1">IFERROR(__xludf.DUMMYFUNCTION("""COMPUTED_VALUE"""),"Maquinaria")</f>
        <v>Maquinaria</v>
      </c>
      <c r="M197" s="5" t="str">
        <f ca="1">IFERROR(__xludf.DUMMYFUNCTION("""COMPUTED_VALUE"""),"No")</f>
        <v>No</v>
      </c>
      <c r="N197" s="5"/>
      <c r="O197" s="5"/>
      <c r="P197" s="18">
        <f ca="1">IFERROR(__xludf.DUMMYFUNCTION("""COMPUTED_VALUE"""),45334)</f>
        <v>45334</v>
      </c>
      <c r="Q197" s="18">
        <f ca="1">IFERROR(__xludf.DUMMYFUNCTION("""COMPUTED_VALUE"""),45334)</f>
        <v>45334</v>
      </c>
      <c r="R197" s="18"/>
      <c r="S197" s="5">
        <f ca="1">IFERROR(__xludf.DUMMYFUNCTION("""COMPUTED_VALUE"""),2)</f>
        <v>2</v>
      </c>
      <c r="T197" s="5"/>
      <c r="U197" s="5" t="str">
        <f ca="1">IFERROR(__xludf.DUMMYFUNCTION("""COMPUTED_VALUE"""),"Alexander Echeverry Moreno")</f>
        <v>Alexander Echeverry Moreno</v>
      </c>
      <c r="V197" s="5"/>
      <c r="W197" s="5" t="str">
        <f ca="1">IFERROR(__xludf.DUMMYFUNCTION("""COMPUTED_VALUE"""),"7EAiMw9p6MI")</f>
        <v>7EAiMw9p6MI</v>
      </c>
      <c r="X197" s="5">
        <f ca="1">IFERROR(__xludf.DUMMYFUNCTION("""COMPUTED_VALUE"""),2)</f>
        <v>2</v>
      </c>
      <c r="Y197" s="5" t="str">
        <f t="shared" si="0"/>
        <v>Actividad sin realizar</v>
      </c>
      <c r="Z197" s="3">
        <f ca="1">IFERROR(VLOOKUP(U197, 'Base de datos'!A:B, 2, FALSE), "")</f>
        <v>573173223149</v>
      </c>
      <c r="AA197" s="4" t="e">
        <f t="shared" ca="1" si="1"/>
        <v>#NAME?</v>
      </c>
    </row>
    <row r="198" spans="1:27" ht="15.75" customHeight="1">
      <c r="A198" s="5" t="str">
        <f ca="1">IFERROR(__xludf.DUMMYFUNCTION("""COMPUTED_VALUE"""),"POSTOBÓN YUMBO")</f>
        <v>POSTOBÓN YUMBO</v>
      </c>
      <c r="B198" s="5" t="str">
        <f ca="1">IFERROR(__xludf.DUMMYFUNCTION("""COMPUTED_VALUE"""),"0410-LINEA PET CSD")</f>
        <v>0410-LINEA PET CSD</v>
      </c>
      <c r="C198" s="5" t="str">
        <f ca="1">IFERROR(__xludf.DUMMYFUNCTION("""COMPUTED_VALUE"""),"LINEA PET CSD - LINEA 10")</f>
        <v>LINEA PET CSD - LINEA 10</v>
      </c>
      <c r="D198" s="5">
        <f ca="1">IFERROR(__xludf.DUMMYFUNCTION("""COMPUTED_VALUE"""),519561)</f>
        <v>519561</v>
      </c>
      <c r="E198" s="5" t="str">
        <f ca="1">IFERROR(__xludf.DUMMYFUNCTION("""COMPUTED_VALUE"""),"LLENADORA DE BOTELLAS PET 162 VALVULAS")</f>
        <v>LLENADORA DE BOTELLAS PET 162 VALVULAS</v>
      </c>
      <c r="F198" s="5">
        <f ca="1">IFERROR(__xludf.DUMMYFUNCTION("""COMPUTED_VALUE"""),37846)</f>
        <v>37846</v>
      </c>
      <c r="G198" s="5" t="str">
        <f ca="1">IFERROR(__xludf.DUMMYFUNCTION("""COMPUTED_VALUE"""),"INSPECCION SEMANAL LLENADORA L10")</f>
        <v>INSPECCION SEMANAL LLENADORA L10</v>
      </c>
      <c r="H198" s="5">
        <f ca="1">IFERROR(__xludf.DUMMYFUNCTION("""COMPUTED_VALUE"""),13186128)</f>
        <v>13186128</v>
      </c>
      <c r="I198" s="5" t="str">
        <f ca="1">IFERROR(__xludf.DUMMYFUNCTION("""COMPUTED_VALUE"""),"cambio de regulador 0 902 79 858 3")</f>
        <v>cambio de regulador 0 902 79 858 3</v>
      </c>
      <c r="J198" s="5" t="str">
        <f ca="1">IFERROR(__xludf.DUMMYFUNCTION("""COMPUTED_VALUE"""),"ALTO")</f>
        <v>ALTO</v>
      </c>
      <c r="K198" s="5" t="str">
        <f ca="1">IFERROR(__xludf.DUMMYFUNCTION("""COMPUTED_VALUE"""),"Preventivo")</f>
        <v>Preventivo</v>
      </c>
      <c r="L198" s="5" t="str">
        <f ca="1">IFERROR(__xludf.DUMMYFUNCTION("""COMPUTED_VALUE"""),"Maquinaria")</f>
        <v>Maquinaria</v>
      </c>
      <c r="M198" s="5" t="str">
        <f ca="1">IFERROR(__xludf.DUMMYFUNCTION("""COMPUTED_VALUE"""),"No")</f>
        <v>No</v>
      </c>
      <c r="N198" s="5"/>
      <c r="O198" s="5">
        <f ca="1">IFERROR(__xludf.DUMMYFUNCTION("""COMPUTED_VALUE"""),100)</f>
        <v>100</v>
      </c>
      <c r="P198" s="18">
        <f ca="1">IFERROR(__xludf.DUMMYFUNCTION("""COMPUTED_VALUE"""),45325)</f>
        <v>45325</v>
      </c>
      <c r="Q198" s="18">
        <f ca="1">IFERROR(__xludf.DUMMYFUNCTION("""COMPUTED_VALUE"""),45325)</f>
        <v>45325</v>
      </c>
      <c r="R198" s="18"/>
      <c r="S198" s="5">
        <f ca="1">IFERROR(__xludf.DUMMYFUNCTION("""COMPUTED_VALUE"""),1)</f>
        <v>1</v>
      </c>
      <c r="T198" s="5"/>
      <c r="U198" s="5" t="str">
        <f ca="1">IFERROR(__xludf.DUMMYFUNCTION("""COMPUTED_VALUE"""),"Duran Sanchez Nelson Fernando")</f>
        <v>Duran Sanchez Nelson Fernando</v>
      </c>
      <c r="V198" s="5"/>
      <c r="W198" s="5" t="str">
        <f ca="1">IFERROR(__xludf.DUMMYFUNCTION("""COMPUTED_VALUE"""),"2yiqYROC4WM")</f>
        <v>2yiqYROC4WM</v>
      </c>
      <c r="X198" s="5">
        <f ca="1">IFERROR(__xludf.DUMMYFUNCTION("""COMPUTED_VALUE"""),1)</f>
        <v>1</v>
      </c>
      <c r="Y198" s="5" t="str">
        <f t="shared" ca="1" si="0"/>
        <v>Actividad realizada</v>
      </c>
      <c r="Z198" s="3">
        <f ca="1">IFERROR(VLOOKUP(U198, 'Base de datos'!A:B, 2, FALSE), "")</f>
        <v>573187183243</v>
      </c>
      <c r="AA198" s="4" t="e">
        <f t="shared" ca="1" si="1"/>
        <v>#NAME?</v>
      </c>
    </row>
    <row r="199" spans="1:27" ht="15.75" customHeight="1">
      <c r="A199" s="5" t="str">
        <f ca="1">IFERROR(__xludf.DUMMYFUNCTION("""COMPUTED_VALUE"""),"POSTOBÓN YUMBO")</f>
        <v>POSTOBÓN YUMBO</v>
      </c>
      <c r="B199" s="5" t="str">
        <f ca="1">IFERROR(__xludf.DUMMYFUNCTION("""COMPUTED_VALUE"""),"0410-PLANTA DE AGUA ENVASADO")</f>
        <v>0410-PLANTA DE AGUA ENVASADO</v>
      </c>
      <c r="C199" s="5" t="str">
        <f ca="1">IFERROR(__xludf.DUMMYFUNCTION("""COMPUTED_VALUE"""),"TRATAMIENTO DE AGUA PARA ENVASADO")</f>
        <v>TRATAMIENTO DE AGUA PARA ENVASADO</v>
      </c>
      <c r="D199" s="5">
        <f ca="1">IFERROR(__xludf.DUMMYFUNCTION("""COMPUTED_VALUE"""),709627)</f>
        <v>709627</v>
      </c>
      <c r="E199" s="5" t="str">
        <f ca="1">IFERROR(__xludf.DUMMYFUNCTION("""COMPUTED_VALUE"""),"POZO 1 RIO CAUCA")</f>
        <v>POZO 1 RIO CAUCA</v>
      </c>
      <c r="F199" s="5">
        <f ca="1">IFERROR(__xludf.DUMMYFUNCTION("""COMPUTED_VALUE"""),21759)</f>
        <v>21759</v>
      </c>
      <c r="G199" s="5" t="str">
        <f ca="1">IFERROR(__xludf.DUMMYFUNCTION("""COMPUTED_VALUE"""),"PLAN MTTO ELE POZO 1 RIO CAUCA")</f>
        <v>PLAN MTTO ELE POZO 1 RIO CAUCA</v>
      </c>
      <c r="H199" s="5">
        <f ca="1">IFERROR(__xludf.DUMMYFUNCTION("""COMPUTED_VALUE"""),13185954)</f>
        <v>13185954</v>
      </c>
      <c r="I199" s="5" t="str">
        <f ca="1">IFERROR(__xludf.DUMMYFUNCTION("""COMPUTED_VALUE"""),"CONTADOR FLUJO: REVISION FUNCIONAMIENTO")</f>
        <v>CONTADOR FLUJO: REVISION FUNCIONAMIENTO</v>
      </c>
      <c r="J199" s="5" t="str">
        <f ca="1">IFERROR(__xludf.DUMMYFUNCTION("""COMPUTED_VALUE"""),"ALTO")</f>
        <v>ALTO</v>
      </c>
      <c r="K199" s="5" t="str">
        <f ca="1">IFERROR(__xludf.DUMMYFUNCTION("""COMPUTED_VALUE"""),"Preventivo")</f>
        <v>Preventivo</v>
      </c>
      <c r="L199" s="5" t="str">
        <f ca="1">IFERROR(__xludf.DUMMYFUNCTION("""COMPUTED_VALUE"""),"Maquinaria")</f>
        <v>Maquinaria</v>
      </c>
      <c r="M199" s="5" t="str">
        <f ca="1">IFERROR(__xludf.DUMMYFUNCTION("""COMPUTED_VALUE"""),"No")</f>
        <v>No</v>
      </c>
      <c r="N199" s="5"/>
      <c r="O199" s="5"/>
      <c r="P199" s="18">
        <f ca="1">IFERROR(__xludf.DUMMYFUNCTION("""COMPUTED_VALUE"""),45329)</f>
        <v>45329</v>
      </c>
      <c r="Q199" s="18">
        <f ca="1">IFERROR(__xludf.DUMMYFUNCTION("""COMPUTED_VALUE"""),45329)</f>
        <v>45329</v>
      </c>
      <c r="R199" s="18"/>
      <c r="S199" s="5">
        <f ca="1">IFERROR(__xludf.DUMMYFUNCTION("""COMPUTED_VALUE"""),0.5)</f>
        <v>0.5</v>
      </c>
      <c r="T199" s="5"/>
      <c r="U199" s="5" t="str">
        <f ca="1">IFERROR(__xludf.DUMMYFUNCTION("""COMPUTED_VALUE"""),"Guzman Palechor Miguel Angel")</f>
        <v>Guzman Palechor Miguel Angel</v>
      </c>
      <c r="V199" s="5"/>
      <c r="W199" s="5" t="str">
        <f ca="1">IFERROR(__xludf.DUMMYFUNCTION("""COMPUTED_VALUE"""),"wl132oRF1FQ")</f>
        <v>wl132oRF1FQ</v>
      </c>
      <c r="X199" s="5">
        <f ca="1">IFERROR(__xludf.DUMMYFUNCTION("""COMPUTED_VALUE"""),0.5)</f>
        <v>0.5</v>
      </c>
      <c r="Y199" s="5" t="str">
        <f t="shared" si="0"/>
        <v>Actividad sin realizar</v>
      </c>
      <c r="Z199" s="3">
        <f ca="1">IFERROR(VLOOKUP(U199, 'Base de datos'!A:B, 2, FALSE), "")</f>
        <v>573112422176</v>
      </c>
      <c r="AA199" s="4" t="e">
        <f t="shared" ca="1" si="1"/>
        <v>#NAME?</v>
      </c>
    </row>
    <row r="200" spans="1:27" ht="15.75" customHeight="1">
      <c r="A200" s="5" t="str">
        <f ca="1">IFERROR(__xludf.DUMMYFUNCTION("""COMPUTED_VALUE"""),"POSTOBÓN YUMBO")</f>
        <v>POSTOBÓN YUMBO</v>
      </c>
      <c r="B200" s="5" t="str">
        <f ca="1">IFERROR(__xludf.DUMMYFUNCTION("""COMPUTED_VALUE"""),"0410-EQUIPOS AUXILIARES JUGOS")</f>
        <v>0410-EQUIPOS AUXILIARES JUGOS</v>
      </c>
      <c r="C200" s="5" t="str">
        <f ca="1">IFERROR(__xludf.DUMMYFUNCTION("""COMPUTED_VALUE"""),"EQUIPOS PARA SERVICIOS INDUSTRIALES JUGO")</f>
        <v>EQUIPOS PARA SERVICIOS INDUSTRIALES JUGO</v>
      </c>
      <c r="D200" s="5">
        <f ca="1">IFERROR(__xludf.DUMMYFUNCTION("""COMPUTED_VALUE"""),829059)</f>
        <v>829059</v>
      </c>
      <c r="E200" s="5" t="str">
        <f ca="1">IFERROR(__xludf.DUMMYFUNCTION("""COMPUTED_VALUE"""),"COMPRESOR DE REFRIGERACION No. 2 JUGOS")</f>
        <v>COMPRESOR DE REFRIGERACION No. 2 JUGOS</v>
      </c>
      <c r="F200" s="5">
        <f ca="1">IFERROR(__xludf.DUMMYFUNCTION("""COMPUTED_VALUE"""),0)</f>
        <v>0</v>
      </c>
      <c r="G200" s="5" t="str">
        <f ca="1">IFERROR(__xludf.DUMMYFUNCTION("""COMPUTED_VALUE"""),"CONSUMO LUB COMPRESOR TORNILLO JUGOS 2")</f>
        <v>CONSUMO LUB COMPRESOR TORNILLO JUGOS 2</v>
      </c>
      <c r="H200" s="5">
        <f ca="1">IFERROR(__xludf.DUMMYFUNCTION("""COMPUTED_VALUE"""),13230960)</f>
        <v>13230960</v>
      </c>
      <c r="I200" s="5" t="str">
        <f ca="1">IFERROR(__xludf.DUMMYFUNCTION("""COMPUTED_VALUE"""),"CONSUMO LUBRICANTES ENERO 2024")</f>
        <v>CONSUMO LUBRICANTES ENERO 2024</v>
      </c>
      <c r="J200" s="5" t="str">
        <f ca="1">IFERROR(__xludf.DUMMYFUNCTION("""COMPUTED_VALUE"""),"MEDIO")</f>
        <v>MEDIO</v>
      </c>
      <c r="K200" s="5" t="str">
        <f ca="1">IFERROR(__xludf.DUMMYFUNCTION("""COMPUTED_VALUE"""),"Preventivo")</f>
        <v>Preventivo</v>
      </c>
      <c r="L200" s="5" t="str">
        <f ca="1">IFERROR(__xludf.DUMMYFUNCTION("""COMPUTED_VALUE"""),"Maquinaria")</f>
        <v>Maquinaria</v>
      </c>
      <c r="M200" s="5" t="str">
        <f ca="1">IFERROR(__xludf.DUMMYFUNCTION("""COMPUTED_VALUE"""),"No")</f>
        <v>No</v>
      </c>
      <c r="N200" s="5"/>
      <c r="O200" s="5"/>
      <c r="P200" s="18">
        <f ca="1">IFERROR(__xludf.DUMMYFUNCTION("""COMPUTED_VALUE"""),45325)</f>
        <v>45325</v>
      </c>
      <c r="Q200" s="18">
        <f ca="1">IFERROR(__xludf.DUMMYFUNCTION("""COMPUTED_VALUE"""),45325)</f>
        <v>45325</v>
      </c>
      <c r="R200" s="18"/>
      <c r="S200" s="5">
        <f ca="1">IFERROR(__xludf.DUMMYFUNCTION("""COMPUTED_VALUE"""),1)</f>
        <v>1</v>
      </c>
      <c r="T200" s="5"/>
      <c r="U200" s="5" t="str">
        <f ca="1">IFERROR(__xludf.DUMMYFUNCTION("""COMPUTED_VALUE"""),"Lopez Raul")</f>
        <v>Lopez Raul</v>
      </c>
      <c r="V200" s="5"/>
      <c r="W200" s="5" t="str">
        <f ca="1">IFERROR(__xludf.DUMMYFUNCTION("""COMPUTED_VALUE"""),"GOE2s9Zj5Z4")</f>
        <v>GOE2s9Zj5Z4</v>
      </c>
      <c r="X200" s="5">
        <f ca="1">IFERROR(__xludf.DUMMYFUNCTION("""COMPUTED_VALUE"""),1)</f>
        <v>1</v>
      </c>
      <c r="Y200" s="5" t="str">
        <f t="shared" si="0"/>
        <v>Actividad sin realizar</v>
      </c>
      <c r="Z200" s="3">
        <f ca="1">IFERROR(VLOOKUP(U200, 'Base de datos'!A:B, 2, FALSE), "")</f>
        <v>573122172129</v>
      </c>
      <c r="AA200" s="4" t="e">
        <f t="shared" ca="1" si="1"/>
        <v>#NAME?</v>
      </c>
    </row>
    <row r="201" spans="1:27" ht="15.75" customHeight="1">
      <c r="A201" s="5" t="str">
        <f ca="1">IFERROR(__xludf.DUMMYFUNCTION("""COMPUTED_VALUE"""),"POSTOBÓN YUMBO")</f>
        <v>POSTOBÓN YUMBO</v>
      </c>
      <c r="B201" s="5" t="str">
        <f ca="1">IFERROR(__xludf.DUMMYFUNCTION("""COMPUTED_VALUE"""),"0410-LINEA 1")</f>
        <v>0410-LINEA 1</v>
      </c>
      <c r="C201" s="5" t="str">
        <f ca="1">IFERROR(__xludf.DUMMYFUNCTION("""COMPUTED_VALUE"""),"LINEA DE ENVASADO PET NO RETORNABLE")</f>
        <v>LINEA DE ENVASADO PET NO RETORNABLE</v>
      </c>
      <c r="D201" s="5">
        <f ca="1">IFERROR(__xludf.DUMMYFUNCTION("""COMPUTED_VALUE"""),900232)</f>
        <v>900232</v>
      </c>
      <c r="E201" s="5" t="str">
        <f ca="1">IFERROR(__xludf.DUMMYFUNCTION("""COMPUTED_VALUE"""),"PALETIZADORA")</f>
        <v>PALETIZADORA</v>
      </c>
      <c r="F201" s="5">
        <f ca="1">IFERROR(__xludf.DUMMYFUNCTION("""COMPUTED_VALUE"""),0)</f>
        <v>0</v>
      </c>
      <c r="G201" s="5" t="str">
        <f ca="1">IFERROR(__xludf.DUMMYFUNCTION("""COMPUTED_VALUE"""),"CONSUMO LUB PALETIZADORA L1")</f>
        <v>CONSUMO LUB PALETIZADORA L1</v>
      </c>
      <c r="H201" s="5">
        <f ca="1">IFERROR(__xludf.DUMMYFUNCTION("""COMPUTED_VALUE"""),13230957)</f>
        <v>13230957</v>
      </c>
      <c r="I201" s="5" t="str">
        <f ca="1">IFERROR(__xludf.DUMMYFUNCTION("""COMPUTED_VALUE"""),"CONSUMO LUB PALETIZADORA L1")</f>
        <v>CONSUMO LUB PALETIZADORA L1</v>
      </c>
      <c r="J201" s="5" t="str">
        <f ca="1">IFERROR(__xludf.DUMMYFUNCTION("""COMPUTED_VALUE"""),"MEDIO")</f>
        <v>MEDIO</v>
      </c>
      <c r="K201" s="5" t="str">
        <f ca="1">IFERROR(__xludf.DUMMYFUNCTION("""COMPUTED_VALUE"""),"Preventivo")</f>
        <v>Preventivo</v>
      </c>
      <c r="L201" s="5" t="str">
        <f ca="1">IFERROR(__xludf.DUMMYFUNCTION("""COMPUTED_VALUE"""),"Maquinaria")</f>
        <v>Maquinaria</v>
      </c>
      <c r="M201" s="5" t="str">
        <f ca="1">IFERROR(__xludf.DUMMYFUNCTION("""COMPUTED_VALUE"""),"No")</f>
        <v>No</v>
      </c>
      <c r="N201" s="5"/>
      <c r="O201" s="5"/>
      <c r="P201" s="18">
        <f ca="1">IFERROR(__xludf.DUMMYFUNCTION("""COMPUTED_VALUE"""),45324)</f>
        <v>45324</v>
      </c>
      <c r="Q201" s="18">
        <f ca="1">IFERROR(__xludf.DUMMYFUNCTION("""COMPUTED_VALUE"""),45324)</f>
        <v>45324</v>
      </c>
      <c r="R201" s="18"/>
      <c r="S201" s="5">
        <f ca="1">IFERROR(__xludf.DUMMYFUNCTION("""COMPUTED_VALUE"""),1)</f>
        <v>1</v>
      </c>
      <c r="T201" s="5"/>
      <c r="U201" s="5" t="str">
        <f ca="1">IFERROR(__xludf.DUMMYFUNCTION("""COMPUTED_VALUE"""),"Astaiza Hernandez John Eyder")</f>
        <v>Astaiza Hernandez John Eyder</v>
      </c>
      <c r="V201" s="5"/>
      <c r="W201" s="5" t="str">
        <f ca="1">IFERROR(__xludf.DUMMYFUNCTION("""COMPUTED_VALUE"""),"_ngelOBjmdI")</f>
        <v>_ngelOBjmdI</v>
      </c>
      <c r="X201" s="5">
        <f ca="1">IFERROR(__xludf.DUMMYFUNCTION("""COMPUTED_VALUE"""),1)</f>
        <v>1</v>
      </c>
      <c r="Y201" s="5" t="str">
        <f t="shared" si="0"/>
        <v>Actividad sin realizar</v>
      </c>
      <c r="Z201" s="3">
        <f ca="1">IFERROR(VLOOKUP(U201, 'Base de datos'!A:B, 2, FALSE), "")</f>
        <v>573016653684</v>
      </c>
      <c r="AA201" s="4" t="e">
        <f t="shared" ca="1" si="1"/>
        <v>#NAME?</v>
      </c>
    </row>
    <row r="202" spans="1:27" ht="15.75" customHeight="1">
      <c r="A202" s="5" t="str">
        <f ca="1">IFERROR(__xludf.DUMMYFUNCTION("""COMPUTED_VALUE"""),"POSTOBÓN YUMBO")</f>
        <v>POSTOBÓN YUMBO</v>
      </c>
      <c r="B202" s="5" t="str">
        <f ca="1">IFERROR(__xludf.DUMMYFUNCTION("""COMPUTED_VALUE"""),"0410-ENVASADO JUGOS PET HOT F")</f>
        <v>0410-ENVASADO JUGOS PET HOT F</v>
      </c>
      <c r="C202" s="5" t="str">
        <f ca="1">IFERROR(__xludf.DUMMYFUNCTION("""COMPUTED_VALUE"""),"LINEA DE ENVASADO JUGOS PET HOT FILL")</f>
        <v>LINEA DE ENVASADO JUGOS PET HOT FILL</v>
      </c>
      <c r="D202" s="5">
        <f ca="1">IFERROR(__xludf.DUMMYFUNCTION("""COMPUTED_VALUE"""),739537)</f>
        <v>739537</v>
      </c>
      <c r="E202" s="5" t="str">
        <f ca="1">IFERROR(__xludf.DUMMYFUNCTION("""COMPUTED_VALUE"""),"TERMOFORMADO PAQUETES")</f>
        <v>TERMOFORMADO PAQUETES</v>
      </c>
      <c r="F202" s="5">
        <f ca="1">IFERROR(__xludf.DUMMYFUNCTION("""COMPUTED_VALUE"""),22584)</f>
        <v>22584</v>
      </c>
      <c r="G202" s="5" t="str">
        <f ca="1">IFERROR(__xludf.DUMMYFUNCTION("""COMPUTED_VALUE"""),"PLAN MTTO ELE HORNO ENFARDAD 739537 L8")</f>
        <v>PLAN MTTO ELE HORNO ENFARDAD 739537 L8</v>
      </c>
      <c r="H202" s="5">
        <f ca="1">IFERROR(__xludf.DUMMYFUNCTION("""COMPUTED_VALUE"""),13247210)</f>
        <v>13247210</v>
      </c>
      <c r="I202" s="5" t="str">
        <f ca="1">IFERROR(__xludf.DUMMYFUNCTION("""COMPUTED_VALUE"""),"motores Ventiladores")</f>
        <v>motores Ventiladores</v>
      </c>
      <c r="J202" s="5" t="str">
        <f ca="1">IFERROR(__xludf.DUMMYFUNCTION("""COMPUTED_VALUE"""),"MEDIO")</f>
        <v>MEDIO</v>
      </c>
      <c r="K202" s="5" t="str">
        <f ca="1">IFERROR(__xludf.DUMMYFUNCTION("""COMPUTED_VALUE"""),"Preventivo")</f>
        <v>Preventivo</v>
      </c>
      <c r="L202" s="5" t="str">
        <f ca="1">IFERROR(__xludf.DUMMYFUNCTION("""COMPUTED_VALUE"""),"Maquinaria")</f>
        <v>Maquinaria</v>
      </c>
      <c r="M202" s="5" t="str">
        <f ca="1">IFERROR(__xludf.DUMMYFUNCTION("""COMPUTED_VALUE"""),"No")</f>
        <v>No</v>
      </c>
      <c r="N202" s="5"/>
      <c r="O202" s="5"/>
      <c r="P202" s="18">
        <f ca="1">IFERROR(__xludf.DUMMYFUNCTION("""COMPUTED_VALUE"""),45350)</f>
        <v>45350</v>
      </c>
      <c r="Q202" s="18">
        <f ca="1">IFERROR(__xludf.DUMMYFUNCTION("""COMPUTED_VALUE"""),45350)</f>
        <v>45350</v>
      </c>
      <c r="R202" s="18"/>
      <c r="S202" s="5">
        <f ca="1">IFERROR(__xludf.DUMMYFUNCTION("""COMPUTED_VALUE"""),8)</f>
        <v>8</v>
      </c>
      <c r="T202" s="5"/>
      <c r="U202" s="5" t="str">
        <f ca="1">IFERROR(__xludf.DUMMYFUNCTION("""COMPUTED_VALUE"""),"Lopez Correa Jonathan")</f>
        <v>Lopez Correa Jonathan</v>
      </c>
      <c r="V202" s="5"/>
      <c r="W202" s="5" t="str">
        <f ca="1">IFERROR(__xludf.DUMMYFUNCTION("""COMPUTED_VALUE"""),"oTDsPMciW-Y")</f>
        <v>oTDsPMciW-Y</v>
      </c>
      <c r="X202" s="5">
        <f ca="1">IFERROR(__xludf.DUMMYFUNCTION("""COMPUTED_VALUE"""),8)</f>
        <v>8</v>
      </c>
      <c r="Y202" s="5" t="str">
        <f t="shared" si="0"/>
        <v>Actividad sin realizar</v>
      </c>
      <c r="Z202" s="3">
        <f ca="1">IFERROR(VLOOKUP(U202, 'Base de datos'!A:B, 2, FALSE), "")</f>
        <v>573215267623</v>
      </c>
      <c r="AA202" s="4" t="e">
        <f t="shared" ca="1" si="1"/>
        <v>#NAME?</v>
      </c>
    </row>
    <row r="203" spans="1:27" ht="15.75" customHeight="1">
      <c r="A203" s="5" t="str">
        <f ca="1">IFERROR(__xludf.DUMMYFUNCTION("""COMPUTED_VALUE"""),"POSTOBÓN YUMBO")</f>
        <v>POSTOBÓN YUMBO</v>
      </c>
      <c r="B203" s="5" t="str">
        <f ca="1">IFERROR(__xludf.DUMMYFUNCTION("""COMPUTED_VALUE"""),"0410-LINEA PET CSD")</f>
        <v>0410-LINEA PET CSD</v>
      </c>
      <c r="C203" s="5" t="str">
        <f ca="1">IFERROR(__xludf.DUMMYFUNCTION("""COMPUTED_VALUE"""),"LINEA PET CSD - LINEA 10")</f>
        <v>LINEA PET CSD - LINEA 10</v>
      </c>
      <c r="D203" s="5">
        <f ca="1">IFERROR(__xludf.DUMMYFUNCTION("""COMPUTED_VALUE"""),519561)</f>
        <v>519561</v>
      </c>
      <c r="E203" s="5" t="str">
        <f ca="1">IFERROR(__xludf.DUMMYFUNCTION("""COMPUTED_VALUE"""),"LLENADORA DE BOTELLAS PET 162 VALVULAS")</f>
        <v>LLENADORA DE BOTELLAS PET 162 VALVULAS</v>
      </c>
      <c r="F203" s="5">
        <f ca="1">IFERROR(__xludf.DUMMYFUNCTION("""COMPUTED_VALUE"""),25366)</f>
        <v>25366</v>
      </c>
      <c r="G203" s="5" t="str">
        <f ca="1">IFERROR(__xludf.DUMMYFUNCTION("""COMPUTED_VALUE"""),"PLAN MTTO ELE LLENADORA CSD")</f>
        <v>PLAN MTTO ELE LLENADORA CSD</v>
      </c>
      <c r="H203" s="5">
        <f ca="1">IFERROR(__xludf.DUMMYFUNCTION("""COMPUTED_VALUE"""),13232383)</f>
        <v>13232383</v>
      </c>
      <c r="I203" s="5" t="str">
        <f ca="1">IFERROR(__xludf.DUMMYFUNCTION("""COMPUTED_VALUE"""),"Verificar señales de alarma")</f>
        <v>Verificar señales de alarma</v>
      </c>
      <c r="J203" s="5" t="str">
        <f ca="1">IFERROR(__xludf.DUMMYFUNCTION("""COMPUTED_VALUE"""),"ALTO")</f>
        <v>ALTO</v>
      </c>
      <c r="K203" s="5" t="str">
        <f ca="1">IFERROR(__xludf.DUMMYFUNCTION("""COMPUTED_VALUE"""),"Preventivo")</f>
        <v>Preventivo</v>
      </c>
      <c r="L203" s="5" t="str">
        <f ca="1">IFERROR(__xludf.DUMMYFUNCTION("""COMPUTED_VALUE"""),"Maquinaria")</f>
        <v>Maquinaria</v>
      </c>
      <c r="M203" s="5" t="str">
        <f ca="1">IFERROR(__xludf.DUMMYFUNCTION("""COMPUTED_VALUE"""),"No")</f>
        <v>No</v>
      </c>
      <c r="N203" s="5"/>
      <c r="O203" s="5">
        <f ca="1">IFERROR(__xludf.DUMMYFUNCTION("""COMPUTED_VALUE"""),100)</f>
        <v>100</v>
      </c>
      <c r="P203" s="18">
        <f ca="1">IFERROR(__xludf.DUMMYFUNCTION("""COMPUTED_VALUE"""),45328)</f>
        <v>45328</v>
      </c>
      <c r="Q203" s="18">
        <f ca="1">IFERROR(__xludf.DUMMYFUNCTION("""COMPUTED_VALUE"""),45328)</f>
        <v>45328</v>
      </c>
      <c r="R203" s="18"/>
      <c r="S203" s="5">
        <f ca="1">IFERROR(__xludf.DUMMYFUNCTION("""COMPUTED_VALUE"""),0.5)</f>
        <v>0.5</v>
      </c>
      <c r="T203" s="5"/>
      <c r="U203" s="5" t="str">
        <f ca="1">IFERROR(__xludf.DUMMYFUNCTION("""COMPUTED_VALUE"""),"Duran Sanchez Nelson Fernando")</f>
        <v>Duran Sanchez Nelson Fernando</v>
      </c>
      <c r="V203" s="5"/>
      <c r="W203" s="5" t="str">
        <f ca="1">IFERROR(__xludf.DUMMYFUNCTION("""COMPUTED_VALUE"""),"I0npZy3udf8")</f>
        <v>I0npZy3udf8</v>
      </c>
      <c r="X203" s="5">
        <f ca="1">IFERROR(__xludf.DUMMYFUNCTION("""COMPUTED_VALUE"""),0.5)</f>
        <v>0.5</v>
      </c>
      <c r="Y203" s="5" t="str">
        <f t="shared" ca="1" si="0"/>
        <v>Actividad realizada</v>
      </c>
      <c r="Z203" s="3">
        <f ca="1">IFERROR(VLOOKUP(U203, 'Base de datos'!A:B, 2, FALSE), "")</f>
        <v>573187183243</v>
      </c>
      <c r="AA203" s="4" t="e">
        <f t="shared" ca="1" si="1"/>
        <v>#NAME?</v>
      </c>
    </row>
    <row r="204" spans="1:27" ht="15.75" customHeight="1">
      <c r="A204" s="5" t="str">
        <f ca="1">IFERROR(__xludf.DUMMYFUNCTION("""COMPUTED_VALUE"""),"POSTOBÓN YUMBO")</f>
        <v>POSTOBÓN YUMBO</v>
      </c>
      <c r="B204" s="5" t="str">
        <f ca="1">IFERROR(__xludf.DUMMYFUNCTION("""COMPUTED_VALUE"""),"0410-PLANTA DE AGUA ENVASADO")</f>
        <v>0410-PLANTA DE AGUA ENVASADO</v>
      </c>
      <c r="C204" s="5" t="str">
        <f ca="1">IFERROR(__xludf.DUMMYFUNCTION("""COMPUTED_VALUE"""),"TRATAMIENTO DE AGUA PARA ENVASADO")</f>
        <v>TRATAMIENTO DE AGUA PARA ENVASADO</v>
      </c>
      <c r="D204" s="5">
        <f ca="1">IFERROR(__xludf.DUMMYFUNCTION("""COMPUTED_VALUE"""),70965304)</f>
        <v>70965304</v>
      </c>
      <c r="E204" s="5" t="str">
        <f ca="1">IFERROR(__xludf.DUMMYFUNCTION("""COMPUTED_VALUE"""),"FILTRO ARENA 05")</f>
        <v>FILTRO ARENA 05</v>
      </c>
      <c r="F204" s="5">
        <f ca="1">IFERROR(__xludf.DUMMYFUNCTION("""COMPUTED_VALUE"""),21738)</f>
        <v>21738</v>
      </c>
      <c r="G204" s="5" t="str">
        <f ca="1">IFERROR(__xludf.DUMMYFUNCTION("""COMPUTED_VALUE"""),"PLAN MTTO MEC FILTRO ARENA FA#05")</f>
        <v>PLAN MTTO MEC FILTRO ARENA FA#05</v>
      </c>
      <c r="H204" s="5">
        <f ca="1">IFERROR(__xludf.DUMMYFUNCTION("""COMPUTED_VALUE"""),13193548)</f>
        <v>13193548</v>
      </c>
      <c r="I204" s="5" t="str">
        <f ca="1">IFERROR(__xludf.DUMMYFUNCTION("""COMPUTED_VALUE"""),"VALVULA REGULADORA NEUMATICA: REVISAR")</f>
        <v>VALVULA REGULADORA NEUMATICA: REVISAR</v>
      </c>
      <c r="J204" s="5" t="str">
        <f ca="1">IFERROR(__xludf.DUMMYFUNCTION("""COMPUTED_VALUE"""),"ALTO")</f>
        <v>ALTO</v>
      </c>
      <c r="K204" s="5" t="str">
        <f ca="1">IFERROR(__xludf.DUMMYFUNCTION("""COMPUTED_VALUE"""),"Preventivo")</f>
        <v>Preventivo</v>
      </c>
      <c r="L204" s="5" t="str">
        <f ca="1">IFERROR(__xludf.DUMMYFUNCTION("""COMPUTED_VALUE"""),"Maquinaria")</f>
        <v>Maquinaria</v>
      </c>
      <c r="M204" s="5" t="str">
        <f ca="1">IFERROR(__xludf.DUMMYFUNCTION("""COMPUTED_VALUE"""),"No")</f>
        <v>No</v>
      </c>
      <c r="N204" s="5"/>
      <c r="O204" s="5"/>
      <c r="P204" s="18">
        <f ca="1">IFERROR(__xludf.DUMMYFUNCTION("""COMPUTED_VALUE"""),45340)</f>
        <v>45340</v>
      </c>
      <c r="Q204" s="18">
        <f ca="1">IFERROR(__xludf.DUMMYFUNCTION("""COMPUTED_VALUE"""),45340)</f>
        <v>45340</v>
      </c>
      <c r="R204" s="18"/>
      <c r="S204" s="5">
        <f ca="1">IFERROR(__xludf.DUMMYFUNCTION("""COMPUTED_VALUE"""),0.5)</f>
        <v>0.5</v>
      </c>
      <c r="T204" s="5"/>
      <c r="U204" s="5" t="str">
        <f ca="1">IFERROR(__xludf.DUMMYFUNCTION("""COMPUTED_VALUE"""),"John Edier Gomez Zuñiga")</f>
        <v>John Edier Gomez Zuñiga</v>
      </c>
      <c r="V204" s="5"/>
      <c r="W204" s="5" t="str">
        <f ca="1">IFERROR(__xludf.DUMMYFUNCTION("""COMPUTED_VALUE"""),"yPDcgiSsiRk")</f>
        <v>yPDcgiSsiRk</v>
      </c>
      <c r="X204" s="5">
        <f ca="1">IFERROR(__xludf.DUMMYFUNCTION("""COMPUTED_VALUE"""),0.5)</f>
        <v>0.5</v>
      </c>
      <c r="Y204" s="5" t="str">
        <f t="shared" si="0"/>
        <v>Actividad sin realizar</v>
      </c>
      <c r="Z204" s="3">
        <f ca="1">IFERROR(VLOOKUP(U204, 'Base de datos'!A:B, 2, FALSE), "")</f>
        <v>573003678745</v>
      </c>
      <c r="AA204" s="4" t="e">
        <f t="shared" ca="1" si="1"/>
        <v>#NAME?</v>
      </c>
    </row>
    <row r="205" spans="1:27" ht="15.75" customHeight="1">
      <c r="A205" s="5" t="str">
        <f ca="1">IFERROR(__xludf.DUMMYFUNCTION("""COMPUTED_VALUE"""),"POSTOBÓN YUMBO")</f>
        <v>POSTOBÓN YUMBO</v>
      </c>
      <c r="B205" s="5" t="str">
        <f ca="1">IFERROR(__xludf.DUMMYFUNCTION("""COMPUTED_VALUE"""),"0410-PLANTA DE AGUA ENVASADO")</f>
        <v>0410-PLANTA DE AGUA ENVASADO</v>
      </c>
      <c r="C205" s="5" t="str">
        <f ca="1">IFERROR(__xludf.DUMMYFUNCTION("""COMPUTED_VALUE"""),"TRATAMIENTO DE AGUA PARA ENVASADO")</f>
        <v>TRATAMIENTO DE AGUA PARA ENVASADO</v>
      </c>
      <c r="D205" s="5">
        <f ca="1">IFERROR(__xludf.DUMMYFUNCTION("""COMPUTED_VALUE"""),70965304)</f>
        <v>70965304</v>
      </c>
      <c r="E205" s="5" t="str">
        <f ca="1">IFERROR(__xludf.DUMMYFUNCTION("""COMPUTED_VALUE"""),"FILTRO ARENA 05")</f>
        <v>FILTRO ARENA 05</v>
      </c>
      <c r="F205" s="5">
        <f ca="1">IFERROR(__xludf.DUMMYFUNCTION("""COMPUTED_VALUE"""),21738)</f>
        <v>21738</v>
      </c>
      <c r="G205" s="5" t="str">
        <f ca="1">IFERROR(__xludf.DUMMYFUNCTION("""COMPUTED_VALUE"""),"PLAN MTTO ELE FILTRO ARENA FA#05")</f>
        <v>PLAN MTTO ELE FILTRO ARENA FA#05</v>
      </c>
      <c r="H205" s="5">
        <f ca="1">IFERROR(__xludf.DUMMYFUNCTION("""COMPUTED_VALUE"""),13193549)</f>
        <v>13193549</v>
      </c>
      <c r="I205" s="5" t="str">
        <f ca="1">IFERROR(__xludf.DUMMYFUNCTION("""COMPUTED_VALUE"""),"MEDIDOR DE FLUJO ENTRADA PPAL:")</f>
        <v>MEDIDOR DE FLUJO ENTRADA PPAL:</v>
      </c>
      <c r="J205" s="5" t="str">
        <f ca="1">IFERROR(__xludf.DUMMYFUNCTION("""COMPUTED_VALUE"""),"ALTO")</f>
        <v>ALTO</v>
      </c>
      <c r="K205" s="5" t="str">
        <f ca="1">IFERROR(__xludf.DUMMYFUNCTION("""COMPUTED_VALUE"""),"Preventivo")</f>
        <v>Preventivo</v>
      </c>
      <c r="L205" s="5" t="str">
        <f ca="1">IFERROR(__xludf.DUMMYFUNCTION("""COMPUTED_VALUE"""),"Maquinaria")</f>
        <v>Maquinaria</v>
      </c>
      <c r="M205" s="5" t="str">
        <f ca="1">IFERROR(__xludf.DUMMYFUNCTION("""COMPUTED_VALUE"""),"No")</f>
        <v>No</v>
      </c>
      <c r="N205" s="5"/>
      <c r="O205" s="5"/>
      <c r="P205" s="18">
        <f ca="1">IFERROR(__xludf.DUMMYFUNCTION("""COMPUTED_VALUE"""),45340)</f>
        <v>45340</v>
      </c>
      <c r="Q205" s="18">
        <f ca="1">IFERROR(__xludf.DUMMYFUNCTION("""COMPUTED_VALUE"""),45340)</f>
        <v>45340</v>
      </c>
      <c r="R205" s="18"/>
      <c r="S205" s="5">
        <f ca="1">IFERROR(__xludf.DUMMYFUNCTION("""COMPUTED_VALUE"""),0.5)</f>
        <v>0.5</v>
      </c>
      <c r="T205" s="5"/>
      <c r="U205" s="5" t="str">
        <f ca="1">IFERROR(__xludf.DUMMYFUNCTION("""COMPUTED_VALUE"""),"John Edier Gomez Zuñiga")</f>
        <v>John Edier Gomez Zuñiga</v>
      </c>
      <c r="V205" s="5"/>
      <c r="W205" s="5" t="str">
        <f ca="1">IFERROR(__xludf.DUMMYFUNCTION("""COMPUTED_VALUE"""),"keGfb6OGrfc")</f>
        <v>keGfb6OGrfc</v>
      </c>
      <c r="X205" s="5">
        <f ca="1">IFERROR(__xludf.DUMMYFUNCTION("""COMPUTED_VALUE"""),0.5)</f>
        <v>0.5</v>
      </c>
      <c r="Y205" s="5" t="str">
        <f t="shared" si="0"/>
        <v>Actividad sin realizar</v>
      </c>
      <c r="Z205" s="3">
        <f ca="1">IFERROR(VLOOKUP(U205, 'Base de datos'!A:B, 2, FALSE), "")</f>
        <v>573003678745</v>
      </c>
      <c r="AA205" s="4" t="e">
        <f t="shared" ca="1" si="1"/>
        <v>#NAME?</v>
      </c>
    </row>
    <row r="206" spans="1:27" ht="15.75" customHeight="1">
      <c r="A206" s="5" t="str">
        <f ca="1">IFERROR(__xludf.DUMMYFUNCTION("""COMPUTED_VALUE"""),"POSTOBÓN YUMBO")</f>
        <v>POSTOBÓN YUMBO</v>
      </c>
      <c r="B206" s="5" t="str">
        <f ca="1">IFERROR(__xludf.DUMMYFUNCTION("""COMPUTED_VALUE"""),"0410-LINEA PET CSD")</f>
        <v>0410-LINEA PET CSD</v>
      </c>
      <c r="C206" s="5" t="str">
        <f ca="1">IFERROR(__xludf.DUMMYFUNCTION("""COMPUTED_VALUE"""),"LINEA PET CSD - LINEA 10")</f>
        <v>LINEA PET CSD - LINEA 10</v>
      </c>
      <c r="D206" s="5">
        <f ca="1">IFERROR(__xludf.DUMMYFUNCTION("""COMPUTED_VALUE"""),820082)</f>
        <v>820082</v>
      </c>
      <c r="E206" s="5" t="str">
        <f ca="1">IFERROR(__xludf.DUMMYFUNCTION("""COMPUTED_VALUE"""),"ETIQUETADORA ENVOLVENTE")</f>
        <v>ETIQUETADORA ENVOLVENTE</v>
      </c>
      <c r="F206" s="5">
        <f ca="1">IFERROR(__xludf.DUMMYFUNCTION("""COMPUTED_VALUE"""),25365)</f>
        <v>25365</v>
      </c>
      <c r="G206" s="5" t="str">
        <f ca="1">IFERROR(__xludf.DUMMYFUNCTION("""COMPUTED_VALUE"""),"PLAN MTTO ELE ETIQUETADORA CSD")</f>
        <v>PLAN MTTO ELE ETIQUETADORA CSD</v>
      </c>
      <c r="H206" s="5">
        <f ca="1">IFERROR(__xludf.DUMMYFUNCTION("""COMPUTED_VALUE"""),13195461)</f>
        <v>13195461</v>
      </c>
      <c r="I206" s="5" t="str">
        <f ca="1">IFERROR(__xludf.DUMMYFUNCTION("""COMPUTED_VALUE"""),"Armarios de distribución,")</f>
        <v>Armarios de distribución,</v>
      </c>
      <c r="J206" s="5" t="str">
        <f ca="1">IFERROR(__xludf.DUMMYFUNCTION("""COMPUTED_VALUE"""),"MEDIO")</f>
        <v>MEDIO</v>
      </c>
      <c r="K206" s="5" t="str">
        <f ca="1">IFERROR(__xludf.DUMMYFUNCTION("""COMPUTED_VALUE"""),"Preventivo")</f>
        <v>Preventivo</v>
      </c>
      <c r="L206" s="5" t="str">
        <f ca="1">IFERROR(__xludf.DUMMYFUNCTION("""COMPUTED_VALUE"""),"Maquinaria")</f>
        <v>Maquinaria</v>
      </c>
      <c r="M206" s="5" t="str">
        <f ca="1">IFERROR(__xludf.DUMMYFUNCTION("""COMPUTED_VALUE"""),"No")</f>
        <v>No</v>
      </c>
      <c r="N206" s="5"/>
      <c r="O206" s="5">
        <f ca="1">IFERROR(__xludf.DUMMYFUNCTION("""COMPUTED_VALUE"""),100)</f>
        <v>100</v>
      </c>
      <c r="P206" s="18">
        <f ca="1">IFERROR(__xludf.DUMMYFUNCTION("""COMPUTED_VALUE"""),45325)</f>
        <v>45325</v>
      </c>
      <c r="Q206" s="18">
        <f ca="1">IFERROR(__xludf.DUMMYFUNCTION("""COMPUTED_VALUE"""),45325)</f>
        <v>45325</v>
      </c>
      <c r="R206" s="18"/>
      <c r="S206" s="5">
        <f ca="1">IFERROR(__xludf.DUMMYFUNCTION("""COMPUTED_VALUE"""),0.5)</f>
        <v>0.5</v>
      </c>
      <c r="T206" s="5"/>
      <c r="U206" s="5" t="str">
        <f ca="1">IFERROR(__xludf.DUMMYFUNCTION("""COMPUTED_VALUE"""),"Gordillo Victoria Luis Miguel")</f>
        <v>Gordillo Victoria Luis Miguel</v>
      </c>
      <c r="V206" s="5"/>
      <c r="W206" s="5" t="str">
        <f ca="1">IFERROR(__xludf.DUMMYFUNCTION("""COMPUTED_VALUE"""),"QKrxTjcwvoA")</f>
        <v>QKrxTjcwvoA</v>
      </c>
      <c r="X206" s="5">
        <f ca="1">IFERROR(__xludf.DUMMYFUNCTION("""COMPUTED_VALUE"""),0.5)</f>
        <v>0.5</v>
      </c>
      <c r="Y206" s="5" t="str">
        <f t="shared" ca="1" si="0"/>
        <v>Actividad realizada</v>
      </c>
      <c r="Z206" s="3">
        <f ca="1">IFERROR(VLOOKUP(U206, 'Base de datos'!A:B, 2, FALSE), "")</f>
        <v>573023677706</v>
      </c>
      <c r="AA206" s="4" t="e">
        <f t="shared" ca="1" si="1"/>
        <v>#NAME?</v>
      </c>
    </row>
    <row r="207" spans="1:27" ht="15.75" customHeight="1">
      <c r="A207" s="5" t="str">
        <f ca="1">IFERROR(__xludf.DUMMYFUNCTION("""COMPUTED_VALUE"""),"POSTOBÓN YUMBO")</f>
        <v>POSTOBÓN YUMBO</v>
      </c>
      <c r="B207" s="5" t="str">
        <f ca="1">IFERROR(__xludf.DUMMYFUNCTION("""COMPUTED_VALUE"""),"0410-EQUIPOS AUXILIARES")</f>
        <v>0410-EQUIPOS AUXILIARES</v>
      </c>
      <c r="C207" s="5" t="str">
        <f ca="1">IFERROR(__xludf.DUMMYFUNCTION("""COMPUTED_VALUE"""),"EQUIPOS PARA SERVICIOS INDUSTRIALES")</f>
        <v>EQUIPOS PARA SERVICIOS INDUSTRIALES</v>
      </c>
      <c r="D207" s="5">
        <f ca="1">IFERROR(__xludf.DUMMYFUNCTION("""COMPUTED_VALUE"""),659371)</f>
        <v>659371</v>
      </c>
      <c r="E207" s="5" t="str">
        <f ca="1">IFERROR(__xludf.DUMMYFUNCTION("""COMPUTED_VALUE"""),"CALDERA DE 300 BHP")</f>
        <v>CALDERA DE 300 BHP</v>
      </c>
      <c r="F207" s="5">
        <f ca="1">IFERROR(__xludf.DUMMYFUNCTION("""COMPUTED_VALUE"""),21693)</f>
        <v>21693</v>
      </c>
      <c r="G207" s="5" t="str">
        <f ca="1">IFERROR(__xludf.DUMMYFUNCTION("""COMPUTED_VALUE"""),"PLAN DE MTTO MEC CALDERA C#3 A- 1341")</f>
        <v>PLAN DE MTTO MEC CALDERA C#3 A- 1341</v>
      </c>
      <c r="H207" s="5">
        <f ca="1">IFERROR(__xludf.DUMMYFUNCTION("""COMPUTED_VALUE"""),13247183)</f>
        <v>13247183</v>
      </c>
      <c r="I207" s="5" t="str">
        <f ca="1">IFERROR(__xludf.DUMMYFUNCTION("""COMPUTED_VALUE"""),"hermeticidad bomba de alimentación")</f>
        <v>hermeticidad bomba de alimentación</v>
      </c>
      <c r="J207" s="5" t="str">
        <f ca="1">IFERROR(__xludf.DUMMYFUNCTION("""COMPUTED_VALUE"""),"ALTO")</f>
        <v>ALTO</v>
      </c>
      <c r="K207" s="5" t="str">
        <f ca="1">IFERROR(__xludf.DUMMYFUNCTION("""COMPUTED_VALUE"""),"Preventivo")</f>
        <v>Preventivo</v>
      </c>
      <c r="L207" s="5" t="str">
        <f ca="1">IFERROR(__xludf.DUMMYFUNCTION("""COMPUTED_VALUE"""),"Maquinaria")</f>
        <v>Maquinaria</v>
      </c>
      <c r="M207" s="5" t="str">
        <f ca="1">IFERROR(__xludf.DUMMYFUNCTION("""COMPUTED_VALUE"""),"No")</f>
        <v>No</v>
      </c>
      <c r="N207" s="5"/>
      <c r="O207" s="5"/>
      <c r="P207" s="18">
        <f ca="1">IFERROR(__xludf.DUMMYFUNCTION("""COMPUTED_VALUE"""),45337)</f>
        <v>45337</v>
      </c>
      <c r="Q207" s="18">
        <f ca="1">IFERROR(__xludf.DUMMYFUNCTION("""COMPUTED_VALUE"""),45337)</f>
        <v>45337</v>
      </c>
      <c r="R207" s="18"/>
      <c r="S207" s="5">
        <f ca="1">IFERROR(__xludf.DUMMYFUNCTION("""COMPUTED_VALUE"""),0.5)</f>
        <v>0.5</v>
      </c>
      <c r="T207" s="5"/>
      <c r="U207" s="5" t="str">
        <f ca="1">IFERROR(__xludf.DUMMYFUNCTION("""COMPUTED_VALUE"""),"Valencia Hector")</f>
        <v>Valencia Hector</v>
      </c>
      <c r="V207" s="5"/>
      <c r="W207" s="5" t="str">
        <f ca="1">IFERROR(__xludf.DUMMYFUNCTION("""COMPUTED_VALUE"""),"iGdXsFyO7zA")</f>
        <v>iGdXsFyO7zA</v>
      </c>
      <c r="X207" s="5">
        <f ca="1">IFERROR(__xludf.DUMMYFUNCTION("""COMPUTED_VALUE"""),0.5)</f>
        <v>0.5</v>
      </c>
      <c r="Y207" s="5" t="str">
        <f t="shared" si="0"/>
        <v>Actividad sin realizar</v>
      </c>
      <c r="Z207" s="3">
        <f ca="1">IFERROR(VLOOKUP(U207, 'Base de datos'!A:B, 2, FALSE), "")</f>
        <v>573108951371</v>
      </c>
      <c r="AA207" s="4" t="e">
        <f t="shared" ca="1" si="1"/>
        <v>#NAME?</v>
      </c>
    </row>
    <row r="208" spans="1:27" ht="15.75" customHeight="1">
      <c r="A208" s="5" t="str">
        <f ca="1">IFERROR(__xludf.DUMMYFUNCTION("""COMPUTED_VALUE"""),"POSTOBÓN YUMBO")</f>
        <v>POSTOBÓN YUMBO</v>
      </c>
      <c r="B208" s="5" t="str">
        <f ca="1">IFERROR(__xludf.DUMMYFUNCTION("""COMPUTED_VALUE"""),"0410-LINEA PET CSD")</f>
        <v>0410-LINEA PET CSD</v>
      </c>
      <c r="C208" s="5" t="str">
        <f ca="1">IFERROR(__xludf.DUMMYFUNCTION("""COMPUTED_VALUE"""),"LINEA PET CSD - LINEA 10")</f>
        <v>LINEA PET CSD - LINEA 10</v>
      </c>
      <c r="D208" s="5">
        <f ca="1">IFERROR(__xludf.DUMMYFUNCTION("""COMPUTED_VALUE"""),519561)</f>
        <v>519561</v>
      </c>
      <c r="E208" s="5" t="str">
        <f ca="1">IFERROR(__xludf.DUMMYFUNCTION("""COMPUTED_VALUE"""),"LLENADORA DE BOTELLAS PET 162 VALVULAS")</f>
        <v>LLENADORA DE BOTELLAS PET 162 VALVULAS</v>
      </c>
      <c r="F208" s="5">
        <f ca="1">IFERROR(__xludf.DUMMYFUNCTION("""COMPUTED_VALUE"""),25366)</f>
        <v>25366</v>
      </c>
      <c r="G208" s="5" t="str">
        <f ca="1">IFERROR(__xludf.DUMMYFUNCTION("""COMPUTED_VALUE"""),"PLAN MTTO LUB LLENADORA CSD")</f>
        <v>PLAN MTTO LUB LLENADORA CSD</v>
      </c>
      <c r="H208" s="5">
        <f ca="1">IFERROR(__xludf.DUMMYFUNCTION("""COMPUTED_VALUE"""),13232384)</f>
        <v>13232384</v>
      </c>
      <c r="I208" s="5" t="str">
        <f ca="1">IFERROR(__xludf.DUMMYFUNCTION("""COMPUTED_VALUE"""),"Revisar estado toberas de")</f>
        <v>Revisar estado toberas de</v>
      </c>
      <c r="J208" s="5" t="str">
        <f ca="1">IFERROR(__xludf.DUMMYFUNCTION("""COMPUTED_VALUE"""),"ALTO")</f>
        <v>ALTO</v>
      </c>
      <c r="K208" s="5" t="str">
        <f ca="1">IFERROR(__xludf.DUMMYFUNCTION("""COMPUTED_VALUE"""),"Preventivo")</f>
        <v>Preventivo</v>
      </c>
      <c r="L208" s="5" t="str">
        <f ca="1">IFERROR(__xludf.DUMMYFUNCTION("""COMPUTED_VALUE"""),"Maquinaria")</f>
        <v>Maquinaria</v>
      </c>
      <c r="M208" s="5" t="str">
        <f ca="1">IFERROR(__xludf.DUMMYFUNCTION("""COMPUTED_VALUE"""),"No")</f>
        <v>No</v>
      </c>
      <c r="N208" s="5"/>
      <c r="O208" s="5">
        <f ca="1">IFERROR(__xludf.DUMMYFUNCTION("""COMPUTED_VALUE"""),100)</f>
        <v>100</v>
      </c>
      <c r="P208" s="18">
        <f ca="1">IFERROR(__xludf.DUMMYFUNCTION("""COMPUTED_VALUE"""),45328)</f>
        <v>45328</v>
      </c>
      <c r="Q208" s="18">
        <f ca="1">IFERROR(__xludf.DUMMYFUNCTION("""COMPUTED_VALUE"""),45328)</f>
        <v>45328</v>
      </c>
      <c r="R208" s="18"/>
      <c r="S208" s="5">
        <f ca="1">IFERROR(__xludf.DUMMYFUNCTION("""COMPUTED_VALUE"""),0.5)</f>
        <v>0.5</v>
      </c>
      <c r="T208" s="5"/>
      <c r="U208" s="5" t="str">
        <f ca="1">IFERROR(__xludf.DUMMYFUNCTION("""COMPUTED_VALUE"""),"Duran Sanchez Nelson Fernando")</f>
        <v>Duran Sanchez Nelson Fernando</v>
      </c>
      <c r="V208" s="5"/>
      <c r="W208" s="5" t="str">
        <f ca="1">IFERROR(__xludf.DUMMYFUNCTION("""COMPUTED_VALUE"""),"nqUwBhpseWU")</f>
        <v>nqUwBhpseWU</v>
      </c>
      <c r="X208" s="5">
        <f ca="1">IFERROR(__xludf.DUMMYFUNCTION("""COMPUTED_VALUE"""),0.5)</f>
        <v>0.5</v>
      </c>
      <c r="Y208" s="5" t="str">
        <f t="shared" ca="1" si="0"/>
        <v>Actividad realizada</v>
      </c>
      <c r="Z208" s="3">
        <f ca="1">IFERROR(VLOOKUP(U208, 'Base de datos'!A:B, 2, FALSE), "")</f>
        <v>573187183243</v>
      </c>
      <c r="AA208" s="4" t="e">
        <f t="shared" ca="1" si="1"/>
        <v>#NAME?</v>
      </c>
    </row>
    <row r="209" spans="1:27" ht="15.75" customHeight="1">
      <c r="A209" s="5" t="str">
        <f ca="1">IFERROR(__xludf.DUMMYFUNCTION("""COMPUTED_VALUE"""),"POSTOBÓN YUMBO")</f>
        <v>POSTOBÓN YUMBO</v>
      </c>
      <c r="B209" s="5" t="str">
        <f ca="1">IFERROR(__xludf.DUMMYFUNCTION("""COMPUTED_VALUE"""),"0410-SALA DE JARABE TERMINADO")</f>
        <v>0410-SALA DE JARABE TERMINADO</v>
      </c>
      <c r="C209" s="5" t="str">
        <f ca="1">IFERROR(__xludf.DUMMYFUNCTION("""COMPUTED_VALUE"""),"EQUIPOS PARA PREPARACION DE JARABE")</f>
        <v>EQUIPOS PARA PREPARACION DE JARABE</v>
      </c>
      <c r="D209" s="5">
        <f ca="1">IFERROR(__xludf.DUMMYFUNCTION("""COMPUTED_VALUE"""),69963413)</f>
        <v>69963413</v>
      </c>
      <c r="E209" s="5" t="str">
        <f ca="1">IFERROR(__xludf.DUMMYFUNCTION("""COMPUTED_VALUE"""),"TANQUE DE JARABE")</f>
        <v>TANQUE DE JARABE</v>
      </c>
      <c r="F209" s="5">
        <f ca="1">IFERROR(__xludf.DUMMYFUNCTION("""COMPUTED_VALUE"""),17361)</f>
        <v>17361</v>
      </c>
      <c r="G209" s="5" t="str">
        <f ca="1">IFERROR(__xludf.DUMMYFUNCTION("""COMPUTED_VALUE"""),"MTTO MEC TK JARABE 10 JARABE TERMINADO")</f>
        <v>MTTO MEC TK JARABE 10 JARABE TERMINADO</v>
      </c>
      <c r="H209" s="5">
        <f ca="1">IFERROR(__xludf.DUMMYFUNCTION("""COMPUTED_VALUE"""),13247166)</f>
        <v>13247166</v>
      </c>
      <c r="I209" s="5" t="str">
        <f ca="1">IFERROR(__xludf.DUMMYFUNCTION("""COMPUTED_VALUE"""),"Revisar fugas tuberias, empaques, tapas")</f>
        <v>Revisar fugas tuberias, empaques, tapas</v>
      </c>
      <c r="J209" s="5" t="str">
        <f ca="1">IFERROR(__xludf.DUMMYFUNCTION("""COMPUTED_VALUE"""),"ALTO")</f>
        <v>ALTO</v>
      </c>
      <c r="K209" s="5" t="str">
        <f ca="1">IFERROR(__xludf.DUMMYFUNCTION("""COMPUTED_VALUE"""),"Preventivo")</f>
        <v>Preventivo</v>
      </c>
      <c r="L209" s="5" t="str">
        <f ca="1">IFERROR(__xludf.DUMMYFUNCTION("""COMPUTED_VALUE"""),"Maquinaria")</f>
        <v>Maquinaria</v>
      </c>
      <c r="M209" s="5" t="str">
        <f ca="1">IFERROR(__xludf.DUMMYFUNCTION("""COMPUTED_VALUE"""),"No")</f>
        <v>No</v>
      </c>
      <c r="N209" s="5"/>
      <c r="O209" s="5">
        <f ca="1">IFERROR(__xludf.DUMMYFUNCTION("""COMPUTED_VALUE"""),100)</f>
        <v>100</v>
      </c>
      <c r="P209" s="18">
        <f ca="1">IFERROR(__xludf.DUMMYFUNCTION("""COMPUTED_VALUE"""),45342)</f>
        <v>45342</v>
      </c>
      <c r="Q209" s="18">
        <f ca="1">IFERROR(__xludf.DUMMYFUNCTION("""COMPUTED_VALUE"""),45342)</f>
        <v>45342</v>
      </c>
      <c r="R209" s="18"/>
      <c r="S209" s="5">
        <f ca="1">IFERROR(__xludf.DUMMYFUNCTION("""COMPUTED_VALUE"""),0.5)</f>
        <v>0.5</v>
      </c>
      <c r="T209" s="5"/>
      <c r="U209" s="5" t="str">
        <f ca="1">IFERROR(__xludf.DUMMYFUNCTION("""COMPUTED_VALUE"""),"Rivas Mena Carlos Danny")</f>
        <v>Rivas Mena Carlos Danny</v>
      </c>
      <c r="V209" s="5"/>
      <c r="W209" s="5" t="str">
        <f ca="1">IFERROR(__xludf.DUMMYFUNCTION("""COMPUTED_VALUE"""),"wl4BjA1P74M")</f>
        <v>wl4BjA1P74M</v>
      </c>
      <c r="X209" s="5">
        <f ca="1">IFERROR(__xludf.DUMMYFUNCTION("""COMPUTED_VALUE"""),0.5)</f>
        <v>0.5</v>
      </c>
      <c r="Y209" s="5" t="str">
        <f t="shared" ca="1" si="0"/>
        <v>Actividad realizada</v>
      </c>
      <c r="Z209" s="3">
        <f ca="1">IFERROR(VLOOKUP(U209, 'Base de datos'!A:B, 2, FALSE), "")</f>
        <v>0</v>
      </c>
      <c r="AA209" s="4" t="e">
        <f t="shared" ca="1" si="1"/>
        <v>#NAME?</v>
      </c>
    </row>
    <row r="210" spans="1:27" ht="15.75" customHeight="1">
      <c r="A210" s="5" t="str">
        <f ca="1">IFERROR(__xludf.DUMMYFUNCTION("""COMPUTED_VALUE"""),"POSTOBÓN YUMBO")</f>
        <v>POSTOBÓN YUMBO</v>
      </c>
      <c r="B210" s="5" t="str">
        <f ca="1">IFERROR(__xludf.DUMMYFUNCTION("""COMPUTED_VALUE"""),"0410-CUARTO DE BOMBAS")</f>
        <v>0410-CUARTO DE BOMBAS</v>
      </c>
      <c r="C210" s="5" t="str">
        <f ca="1">IFERROR(__xludf.DUMMYFUNCTION("""COMPUTED_VALUE"""),"BOMBAS DE SERVICIO PROCESO")</f>
        <v>BOMBAS DE SERVICIO PROCESO</v>
      </c>
      <c r="D210" s="5">
        <f ca="1">IFERROR(__xludf.DUMMYFUNCTION("""COMPUTED_VALUE"""),70948931)</f>
        <v>70948931</v>
      </c>
      <c r="E210" s="5" t="str">
        <f ca="1">IFERROR(__xludf.DUMMYFUNCTION("""COMPUTED_VALUE"""),"SOPLADOR TANQUES")</f>
        <v>SOPLADOR TANQUES</v>
      </c>
      <c r="F210" s="5">
        <f ca="1">IFERROR(__xludf.DUMMYFUNCTION("""COMPUTED_VALUE"""),22523)</f>
        <v>22523</v>
      </c>
      <c r="G210" s="5" t="str">
        <f ca="1">IFERROR(__xludf.DUMMYFUNCTION("""COMPUTED_VALUE"""),"PLAN MTTO SOPLADOR TANQUES 70948931")</f>
        <v>PLAN MTTO SOPLADOR TANQUES 70948931</v>
      </c>
      <c r="H210" s="5">
        <f ca="1">IFERROR(__xludf.DUMMYFUNCTION("""COMPUTED_VALUE"""),13062285)</f>
        <v>13062285</v>
      </c>
      <c r="I210" s="5" t="str">
        <f ca="1">IFERROR(__xludf.DUMMYFUNCTION("""COMPUTED_VALUE"""),"MTTO SERVICIO EXTERNO")</f>
        <v>MTTO SERVICIO EXTERNO</v>
      </c>
      <c r="J210" s="5" t="str">
        <f ca="1">IFERROR(__xludf.DUMMYFUNCTION("""COMPUTED_VALUE"""),"ALTO")</f>
        <v>ALTO</v>
      </c>
      <c r="K210" s="5" t="str">
        <f ca="1">IFERROR(__xludf.DUMMYFUNCTION("""COMPUTED_VALUE"""),"Preventivo")</f>
        <v>Preventivo</v>
      </c>
      <c r="L210" s="5" t="str">
        <f ca="1">IFERROR(__xludf.DUMMYFUNCTION("""COMPUTED_VALUE"""),"Maquinaria")</f>
        <v>Maquinaria</v>
      </c>
      <c r="M210" s="5" t="str">
        <f ca="1">IFERROR(__xludf.DUMMYFUNCTION("""COMPUTED_VALUE"""),"No")</f>
        <v>No</v>
      </c>
      <c r="N210" s="5"/>
      <c r="O210" s="5"/>
      <c r="P210" s="18">
        <f ca="1">IFERROR(__xludf.DUMMYFUNCTION("""COMPUTED_VALUE"""),45351)</f>
        <v>45351</v>
      </c>
      <c r="Q210" s="18">
        <f ca="1">IFERROR(__xludf.DUMMYFUNCTION("""COMPUTED_VALUE"""),45351)</f>
        <v>45351</v>
      </c>
      <c r="R210" s="18"/>
      <c r="S210" s="5">
        <f ca="1">IFERROR(__xludf.DUMMYFUNCTION("""COMPUTED_VALUE"""),2)</f>
        <v>2</v>
      </c>
      <c r="T210" s="5"/>
      <c r="U210" s="5" t="str">
        <f ca="1">IFERROR(__xludf.DUMMYFUNCTION("""COMPUTED_VALUE"""),"John Edier Gomez Zuñiga")</f>
        <v>John Edier Gomez Zuñiga</v>
      </c>
      <c r="V210" s="5"/>
      <c r="W210" s="5" t="str">
        <f ca="1">IFERROR(__xludf.DUMMYFUNCTION("""COMPUTED_VALUE"""),"v_6LkNyIWI8")</f>
        <v>v_6LkNyIWI8</v>
      </c>
      <c r="X210" s="5">
        <f ca="1">IFERROR(__xludf.DUMMYFUNCTION("""COMPUTED_VALUE"""),2)</f>
        <v>2</v>
      </c>
      <c r="Y210" s="5" t="str">
        <f t="shared" si="0"/>
        <v>Actividad sin realizar</v>
      </c>
      <c r="Z210" s="3">
        <f ca="1">IFERROR(VLOOKUP(U210, 'Base de datos'!A:B, 2, FALSE), "")</f>
        <v>573003678745</v>
      </c>
      <c r="AA210" s="4" t="e">
        <f t="shared" ca="1" si="1"/>
        <v>#NAME?</v>
      </c>
    </row>
    <row r="211" spans="1:27" ht="15.75" customHeight="1">
      <c r="A211" s="5" t="str">
        <f ca="1">IFERROR(__xludf.DUMMYFUNCTION("""COMPUTED_VALUE"""),"POSTOBÓN YUMBO")</f>
        <v>POSTOBÓN YUMBO</v>
      </c>
      <c r="B211" s="5" t="str">
        <f ca="1">IFERROR(__xludf.DUMMYFUNCTION("""COMPUTED_VALUE"""),"0410-EQUIPOS AUXILIARES")</f>
        <v>0410-EQUIPOS AUXILIARES</v>
      </c>
      <c r="C211" s="5" t="str">
        <f ca="1">IFERROR(__xludf.DUMMYFUNCTION("""COMPUTED_VALUE"""),"EQUIPOS PARA SERVICIOS INDUSTRIALES")</f>
        <v>EQUIPOS PARA SERVICIOS INDUSTRIALES</v>
      </c>
      <c r="D211" s="5">
        <f ca="1">IFERROR(__xludf.DUMMYFUNCTION("""COMPUTED_VALUE"""),659371)</f>
        <v>659371</v>
      </c>
      <c r="E211" s="5" t="str">
        <f ca="1">IFERROR(__xludf.DUMMYFUNCTION("""COMPUTED_VALUE"""),"CALDERA DE 300 BHP")</f>
        <v>CALDERA DE 300 BHP</v>
      </c>
      <c r="F211" s="5">
        <f ca="1">IFERROR(__xludf.DUMMYFUNCTION("""COMPUTED_VALUE"""),21693)</f>
        <v>21693</v>
      </c>
      <c r="G211" s="5" t="str">
        <f ca="1">IFERROR(__xludf.DUMMYFUNCTION("""COMPUTED_VALUE"""),"PLAN DE MTTO MEC CALDERA C#3 A- 1341")</f>
        <v>PLAN DE MTTO MEC CALDERA C#3 A- 1341</v>
      </c>
      <c r="H211" s="5">
        <f ca="1">IFERROR(__xludf.DUMMYFUNCTION("""COMPUTED_VALUE"""),13247183)</f>
        <v>13247183</v>
      </c>
      <c r="I211" s="5" t="str">
        <f ca="1">IFERROR(__xludf.DUMMYFUNCTION("""COMPUTED_VALUE"""),"prueba hidrostática")</f>
        <v>prueba hidrostática</v>
      </c>
      <c r="J211" s="5" t="str">
        <f ca="1">IFERROR(__xludf.DUMMYFUNCTION("""COMPUTED_VALUE"""),"ALTO")</f>
        <v>ALTO</v>
      </c>
      <c r="K211" s="5" t="str">
        <f ca="1">IFERROR(__xludf.DUMMYFUNCTION("""COMPUTED_VALUE"""),"Preventivo")</f>
        <v>Preventivo</v>
      </c>
      <c r="L211" s="5" t="str">
        <f ca="1">IFERROR(__xludf.DUMMYFUNCTION("""COMPUTED_VALUE"""),"Maquinaria")</f>
        <v>Maquinaria</v>
      </c>
      <c r="M211" s="5" t="str">
        <f ca="1">IFERROR(__xludf.DUMMYFUNCTION("""COMPUTED_VALUE"""),"No")</f>
        <v>No</v>
      </c>
      <c r="N211" s="5"/>
      <c r="O211" s="5"/>
      <c r="P211" s="18">
        <f ca="1">IFERROR(__xludf.DUMMYFUNCTION("""COMPUTED_VALUE"""),45337)</f>
        <v>45337</v>
      </c>
      <c r="Q211" s="18">
        <f ca="1">IFERROR(__xludf.DUMMYFUNCTION("""COMPUTED_VALUE"""),45337)</f>
        <v>45337</v>
      </c>
      <c r="R211" s="18"/>
      <c r="S211" s="5">
        <f ca="1">IFERROR(__xludf.DUMMYFUNCTION("""COMPUTED_VALUE"""),0.5)</f>
        <v>0.5</v>
      </c>
      <c r="T211" s="5"/>
      <c r="U211" s="5" t="str">
        <f ca="1">IFERROR(__xludf.DUMMYFUNCTION("""COMPUTED_VALUE"""),"Valencia Hector")</f>
        <v>Valencia Hector</v>
      </c>
      <c r="V211" s="5"/>
      <c r="W211" s="5" t="str">
        <f ca="1">IFERROR(__xludf.DUMMYFUNCTION("""COMPUTED_VALUE"""),"5D65ODM5KA0")</f>
        <v>5D65ODM5KA0</v>
      </c>
      <c r="X211" s="5">
        <f ca="1">IFERROR(__xludf.DUMMYFUNCTION("""COMPUTED_VALUE"""),0.5)</f>
        <v>0.5</v>
      </c>
      <c r="Y211" s="5" t="str">
        <f t="shared" si="0"/>
        <v>Actividad sin realizar</v>
      </c>
      <c r="Z211" s="3">
        <f ca="1">IFERROR(VLOOKUP(U211, 'Base de datos'!A:B, 2, FALSE), "")</f>
        <v>573108951371</v>
      </c>
      <c r="AA211" s="4" t="e">
        <f t="shared" ca="1" si="1"/>
        <v>#NAME?</v>
      </c>
    </row>
    <row r="212" spans="1:27" ht="15.75" customHeight="1">
      <c r="A212" s="5" t="str">
        <f ca="1">IFERROR(__xludf.DUMMYFUNCTION("""COMPUTED_VALUE"""),"POSTOBÓN YUMBO")</f>
        <v>POSTOBÓN YUMBO</v>
      </c>
      <c r="B212" s="5" t="str">
        <f ca="1">IFERROR(__xludf.DUMMYFUNCTION("""COMPUTED_VALUE"""),"0410-PLANTA DE AGUA ENVASADO")</f>
        <v>0410-PLANTA DE AGUA ENVASADO</v>
      </c>
      <c r="C212" s="5" t="str">
        <f ca="1">IFERROR(__xludf.DUMMYFUNCTION("""COMPUTED_VALUE"""),"TRATAMIENTO DE AGUA PARA ENVASADO")</f>
        <v>TRATAMIENTO DE AGUA PARA ENVASADO</v>
      </c>
      <c r="D212" s="5">
        <f ca="1">IFERROR(__xludf.DUMMYFUNCTION("""COMPUTED_VALUE"""),70948925)</f>
        <v>70948925</v>
      </c>
      <c r="E212" s="5" t="str">
        <f ca="1">IFERROR(__xludf.DUMMYFUNCTION("""COMPUTED_VALUE"""),"UNIDAD OSMOSIS 2")</f>
        <v>UNIDAD OSMOSIS 2</v>
      </c>
      <c r="F212" s="5">
        <f ca="1">IFERROR(__xludf.DUMMYFUNCTION("""COMPUTED_VALUE"""),21765)</f>
        <v>21765</v>
      </c>
      <c r="G212" s="5" t="str">
        <f ca="1">IFERROR(__xludf.DUMMYFUNCTION("""COMPUTED_VALUE"""),"PLAN MTTO MEC UNIDAD OSMOSIS 2")</f>
        <v>PLAN MTTO MEC UNIDAD OSMOSIS 2</v>
      </c>
      <c r="H212" s="5">
        <f ca="1">IFERROR(__xludf.DUMMYFUNCTION("""COMPUTED_VALUE"""),13174138)</f>
        <v>13174138</v>
      </c>
      <c r="I212" s="5" t="str">
        <f ca="1">IFERROR(__xludf.DUMMYFUNCTION("""COMPUTED_VALUE"""),"TANQUE DE LIMPIEZA OSMOSIS: REVISION")</f>
        <v>TANQUE DE LIMPIEZA OSMOSIS: REVISION</v>
      </c>
      <c r="J212" s="5" t="str">
        <f ca="1">IFERROR(__xludf.DUMMYFUNCTION("""COMPUTED_VALUE"""),"ALTO")</f>
        <v>ALTO</v>
      </c>
      <c r="K212" s="5" t="str">
        <f ca="1">IFERROR(__xludf.DUMMYFUNCTION("""COMPUTED_VALUE"""),"Preventivo")</f>
        <v>Preventivo</v>
      </c>
      <c r="L212" s="5" t="str">
        <f ca="1">IFERROR(__xludf.DUMMYFUNCTION("""COMPUTED_VALUE"""),"Maquinaria")</f>
        <v>Maquinaria</v>
      </c>
      <c r="M212" s="5" t="str">
        <f ca="1">IFERROR(__xludf.DUMMYFUNCTION("""COMPUTED_VALUE"""),"No")</f>
        <v>No</v>
      </c>
      <c r="N212" s="5"/>
      <c r="O212" s="5"/>
      <c r="P212" s="18">
        <f ca="1">IFERROR(__xludf.DUMMYFUNCTION("""COMPUTED_VALUE"""),45337)</f>
        <v>45337</v>
      </c>
      <c r="Q212" s="18">
        <f ca="1">IFERROR(__xludf.DUMMYFUNCTION("""COMPUTED_VALUE"""),45337)</f>
        <v>45337</v>
      </c>
      <c r="R212" s="18"/>
      <c r="S212" s="5">
        <f ca="1">IFERROR(__xludf.DUMMYFUNCTION("""COMPUTED_VALUE"""),0.5)</f>
        <v>0.5</v>
      </c>
      <c r="T212" s="5"/>
      <c r="U212" s="5" t="str">
        <f ca="1">IFERROR(__xludf.DUMMYFUNCTION("""COMPUTED_VALUE"""),"JEFFERSON BRAVO PIEDRAHITA")</f>
        <v>JEFFERSON BRAVO PIEDRAHITA</v>
      </c>
      <c r="V212" s="5"/>
      <c r="W212" s="5" t="str">
        <f ca="1">IFERROR(__xludf.DUMMYFUNCTION("""COMPUTED_VALUE"""),"DfNMhMH-xDw")</f>
        <v>DfNMhMH-xDw</v>
      </c>
      <c r="X212" s="5">
        <f ca="1">IFERROR(__xludf.DUMMYFUNCTION("""COMPUTED_VALUE"""),0.5)</f>
        <v>0.5</v>
      </c>
      <c r="Y212" s="5" t="str">
        <f t="shared" si="0"/>
        <v>Actividad sin realizar</v>
      </c>
      <c r="Z212" s="3">
        <f ca="1">IFERROR(VLOOKUP(U212, 'Base de datos'!A:B, 2, FALSE), "")</f>
        <v>573043623277</v>
      </c>
      <c r="AA212" s="4" t="e">
        <f t="shared" ca="1" si="1"/>
        <v>#NAME?</v>
      </c>
    </row>
    <row r="213" spans="1:27" ht="15.75" customHeight="1">
      <c r="A213" s="5" t="str">
        <f ca="1">IFERROR(__xludf.DUMMYFUNCTION("""COMPUTED_VALUE"""),"POSTOBÓN YUMBO")</f>
        <v>POSTOBÓN YUMBO</v>
      </c>
      <c r="B213" s="5" t="str">
        <f ca="1">IFERROR(__xludf.DUMMYFUNCTION("""COMPUTED_VALUE"""),"0410-SALA DE JARABE TERMINADO")</f>
        <v>0410-SALA DE JARABE TERMINADO</v>
      </c>
      <c r="C213" s="5" t="str">
        <f ca="1">IFERROR(__xludf.DUMMYFUNCTION("""COMPUTED_VALUE"""),"EQUIPOS PARA PREPARACION DE JARABE")</f>
        <v>EQUIPOS PARA PREPARACION DE JARABE</v>
      </c>
      <c r="D213" s="5">
        <f ca="1">IFERROR(__xludf.DUMMYFUNCTION("""COMPUTED_VALUE"""),69963414)</f>
        <v>69963414</v>
      </c>
      <c r="E213" s="5" t="str">
        <f ca="1">IFERROR(__xludf.DUMMYFUNCTION("""COMPUTED_VALUE"""),"TANQUE DE JARABE")</f>
        <v>TANQUE DE JARABE</v>
      </c>
      <c r="F213" s="5">
        <f ca="1">IFERROR(__xludf.DUMMYFUNCTION("""COMPUTED_VALUE"""),17361)</f>
        <v>17361</v>
      </c>
      <c r="G213" s="5" t="str">
        <f ca="1">IFERROR(__xludf.DUMMYFUNCTION("""COMPUTED_VALUE"""),"MTTO MEC TK JARABE 11 JARABE TERMINADO")</f>
        <v>MTTO MEC TK JARABE 11 JARABE TERMINADO</v>
      </c>
      <c r="H213" s="5">
        <f ca="1">IFERROR(__xludf.DUMMYFUNCTION("""COMPUTED_VALUE"""),13247168)</f>
        <v>13247168</v>
      </c>
      <c r="I213" s="5" t="str">
        <f ca="1">IFERROR(__xludf.DUMMYFUNCTION("""COMPUTED_VALUE"""),"Revisar fugas tuberias, empaques, tapas")</f>
        <v>Revisar fugas tuberias, empaques, tapas</v>
      </c>
      <c r="J213" s="5" t="str">
        <f ca="1">IFERROR(__xludf.DUMMYFUNCTION("""COMPUTED_VALUE"""),"ALTO")</f>
        <v>ALTO</v>
      </c>
      <c r="K213" s="5" t="str">
        <f ca="1">IFERROR(__xludf.DUMMYFUNCTION("""COMPUTED_VALUE"""),"Preventivo")</f>
        <v>Preventivo</v>
      </c>
      <c r="L213" s="5" t="str">
        <f ca="1">IFERROR(__xludf.DUMMYFUNCTION("""COMPUTED_VALUE"""),"Maquinaria")</f>
        <v>Maquinaria</v>
      </c>
      <c r="M213" s="5" t="str">
        <f ca="1">IFERROR(__xludf.DUMMYFUNCTION("""COMPUTED_VALUE"""),"No")</f>
        <v>No</v>
      </c>
      <c r="N213" s="5"/>
      <c r="O213" s="5">
        <f ca="1">IFERROR(__xludf.DUMMYFUNCTION("""COMPUTED_VALUE"""),100)</f>
        <v>100</v>
      </c>
      <c r="P213" s="18">
        <f ca="1">IFERROR(__xludf.DUMMYFUNCTION("""COMPUTED_VALUE"""),45342)</f>
        <v>45342</v>
      </c>
      <c r="Q213" s="18">
        <f ca="1">IFERROR(__xludf.DUMMYFUNCTION("""COMPUTED_VALUE"""),45342)</f>
        <v>45342</v>
      </c>
      <c r="R213" s="18"/>
      <c r="S213" s="5">
        <f ca="1">IFERROR(__xludf.DUMMYFUNCTION("""COMPUTED_VALUE"""),0.5)</f>
        <v>0.5</v>
      </c>
      <c r="T213" s="5"/>
      <c r="U213" s="5" t="str">
        <f ca="1">IFERROR(__xludf.DUMMYFUNCTION("""COMPUTED_VALUE"""),"Rivas Mena Carlos Danny")</f>
        <v>Rivas Mena Carlos Danny</v>
      </c>
      <c r="V213" s="5"/>
      <c r="W213" s="5" t="str">
        <f ca="1">IFERROR(__xludf.DUMMYFUNCTION("""COMPUTED_VALUE"""),"m_IeOFoPVSM")</f>
        <v>m_IeOFoPVSM</v>
      </c>
      <c r="X213" s="5">
        <f ca="1">IFERROR(__xludf.DUMMYFUNCTION("""COMPUTED_VALUE"""),0.5)</f>
        <v>0.5</v>
      </c>
      <c r="Y213" s="5" t="str">
        <f t="shared" ca="1" si="0"/>
        <v>Actividad realizada</v>
      </c>
      <c r="Z213" s="3">
        <f ca="1">IFERROR(VLOOKUP(U213, 'Base de datos'!A:B, 2, FALSE), "")</f>
        <v>0</v>
      </c>
      <c r="AA213" s="4" t="e">
        <f t="shared" ca="1" si="1"/>
        <v>#NAME?</v>
      </c>
    </row>
    <row r="214" spans="1:27" ht="15.75" customHeight="1">
      <c r="A214" s="5" t="str">
        <f ca="1">IFERROR(__xludf.DUMMYFUNCTION("""COMPUTED_VALUE"""),"POSTOBÓN YUMBO")</f>
        <v>POSTOBÓN YUMBO</v>
      </c>
      <c r="B214" s="5" t="str">
        <f ca="1">IFERROR(__xludf.DUMMYFUNCTION("""COMPUTED_VALUE"""),"0410-ENVASADO JUGOS PET HOT F")</f>
        <v>0410-ENVASADO JUGOS PET HOT F</v>
      </c>
      <c r="C214" s="5" t="str">
        <f ca="1">IFERROR(__xludf.DUMMYFUNCTION("""COMPUTED_VALUE"""),"LINEA DE ENVASADO JUGOS PET HOT FILL")</f>
        <v>LINEA DE ENVASADO JUGOS PET HOT FILL</v>
      </c>
      <c r="D214" s="5">
        <f ca="1">IFERROR(__xludf.DUMMYFUNCTION("""COMPUTED_VALUE"""),900303)</f>
        <v>900303</v>
      </c>
      <c r="E214" s="5" t="str">
        <f ca="1">IFERROR(__xludf.DUMMYFUNCTION("""COMPUTED_VALUE"""),"LLENADORA")</f>
        <v>LLENADORA</v>
      </c>
      <c r="F214" s="5">
        <f ca="1">IFERROR(__xludf.DUMMYFUNCTION("""COMPUTED_VALUE"""),14085)</f>
        <v>14085</v>
      </c>
      <c r="G214" s="5" t="str">
        <f ca="1">IFERROR(__xludf.DUMMYFUNCTION("""COMPUTED_VALUE"""),"MANTENIMIENTO LUB TAPONADORA L8 90030")</f>
        <v>MANTENIMIENTO LUB TAPONADORA L8 90030</v>
      </c>
      <c r="H214" s="5">
        <f ca="1">IFERROR(__xludf.DUMMYFUNCTION("""COMPUTED_VALUE"""),13247137)</f>
        <v>13247137</v>
      </c>
      <c r="I214" s="5" t="str">
        <f ca="1">IFERROR(__xludf.DUMMYFUNCTION("""COMPUTED_VALUE"""),"Entrega de tapones:")</f>
        <v>Entrega de tapones:</v>
      </c>
      <c r="J214" s="5" t="str">
        <f ca="1">IFERROR(__xludf.DUMMYFUNCTION("""COMPUTED_VALUE"""),"ALTO")</f>
        <v>ALTO</v>
      </c>
      <c r="K214" s="5" t="str">
        <f ca="1">IFERROR(__xludf.DUMMYFUNCTION("""COMPUTED_VALUE"""),"Preventivo")</f>
        <v>Preventivo</v>
      </c>
      <c r="L214" s="5" t="str">
        <f ca="1">IFERROR(__xludf.DUMMYFUNCTION("""COMPUTED_VALUE"""),"Maquinaria")</f>
        <v>Maquinaria</v>
      </c>
      <c r="M214" s="5" t="str">
        <f ca="1">IFERROR(__xludf.DUMMYFUNCTION("""COMPUTED_VALUE"""),"No")</f>
        <v>No</v>
      </c>
      <c r="N214" s="5"/>
      <c r="O214" s="5"/>
      <c r="P214" s="18">
        <f ca="1">IFERROR(__xludf.DUMMYFUNCTION("""COMPUTED_VALUE"""),45324)</f>
        <v>45324</v>
      </c>
      <c r="Q214" s="18">
        <f ca="1">IFERROR(__xludf.DUMMYFUNCTION("""COMPUTED_VALUE"""),45324)</f>
        <v>45324</v>
      </c>
      <c r="R214" s="18"/>
      <c r="S214" s="5">
        <f ca="1">IFERROR(__xludf.DUMMYFUNCTION("""COMPUTED_VALUE"""),1)</f>
        <v>1</v>
      </c>
      <c r="T214" s="5"/>
      <c r="U214" s="5" t="str">
        <f ca="1">IFERROR(__xludf.DUMMYFUNCTION("""COMPUTED_VALUE"""),"Franco Castillo Brayan Steven")</f>
        <v>Franco Castillo Brayan Steven</v>
      </c>
      <c r="V214" s="5"/>
      <c r="W214" s="5" t="str">
        <f ca="1">IFERROR(__xludf.DUMMYFUNCTION("""COMPUTED_VALUE"""),"wAmwfaE7BOM")</f>
        <v>wAmwfaE7BOM</v>
      </c>
      <c r="X214" s="5">
        <f ca="1">IFERROR(__xludf.DUMMYFUNCTION("""COMPUTED_VALUE"""),1)</f>
        <v>1</v>
      </c>
      <c r="Y214" s="5" t="str">
        <f t="shared" si="0"/>
        <v>Actividad sin realizar</v>
      </c>
      <c r="Z214" s="3">
        <f ca="1">IFERROR(VLOOKUP(U214, 'Base de datos'!A:B, 2, FALSE), "")</f>
        <v>573053427911</v>
      </c>
      <c r="AA214" s="4" t="e">
        <f t="shared" ca="1" si="1"/>
        <v>#NAME?</v>
      </c>
    </row>
    <row r="215" spans="1:27" ht="15.75" customHeight="1">
      <c r="A215" s="5" t="str">
        <f ca="1">IFERROR(__xludf.DUMMYFUNCTION("""COMPUTED_VALUE"""),"POSTOBÓN YUMBO")</f>
        <v>POSTOBÓN YUMBO</v>
      </c>
      <c r="B215" s="5" t="str">
        <f ca="1">IFERROR(__xludf.DUMMYFUNCTION("""COMPUTED_VALUE"""),"0410-LINEA PET CSD")</f>
        <v>0410-LINEA PET CSD</v>
      </c>
      <c r="C215" s="5" t="str">
        <f ca="1">IFERROR(__xludf.DUMMYFUNCTION("""COMPUTED_VALUE"""),"LINEA PET CSD - LINEA 10")</f>
        <v>LINEA PET CSD - LINEA 10</v>
      </c>
      <c r="D215" s="5">
        <f ca="1">IFERROR(__xludf.DUMMYFUNCTION("""COMPUTED_VALUE"""),519561)</f>
        <v>519561</v>
      </c>
      <c r="E215" s="5" t="str">
        <f ca="1">IFERROR(__xludf.DUMMYFUNCTION("""COMPUTED_VALUE"""),"LLENADORA DE BOTELLAS PET 162 VALVULAS")</f>
        <v>LLENADORA DE BOTELLAS PET 162 VALVULAS</v>
      </c>
      <c r="F215" s="5">
        <f ca="1">IFERROR(__xludf.DUMMYFUNCTION("""COMPUTED_VALUE"""),25366)</f>
        <v>25366</v>
      </c>
      <c r="G215" s="5" t="str">
        <f ca="1">IFERROR(__xludf.DUMMYFUNCTION("""COMPUTED_VALUE"""),"PLAN MTTO LUB LLENADORA CSD")</f>
        <v>PLAN MTTO LUB LLENADORA CSD</v>
      </c>
      <c r="H215" s="5">
        <f ca="1">IFERROR(__xludf.DUMMYFUNCTION("""COMPUTED_VALUE"""),13232384)</f>
        <v>13232384</v>
      </c>
      <c r="I215" s="5" t="str">
        <f ca="1">IFERROR(__xludf.DUMMYFUNCTION("""COMPUTED_VALUE"""),"Lubricacion central grasa:")</f>
        <v>Lubricacion central grasa:</v>
      </c>
      <c r="J215" s="5" t="str">
        <f ca="1">IFERROR(__xludf.DUMMYFUNCTION("""COMPUTED_VALUE"""),"ALTO")</f>
        <v>ALTO</v>
      </c>
      <c r="K215" s="5" t="str">
        <f ca="1">IFERROR(__xludf.DUMMYFUNCTION("""COMPUTED_VALUE"""),"Preventivo")</f>
        <v>Preventivo</v>
      </c>
      <c r="L215" s="5" t="str">
        <f ca="1">IFERROR(__xludf.DUMMYFUNCTION("""COMPUTED_VALUE"""),"Maquinaria")</f>
        <v>Maquinaria</v>
      </c>
      <c r="M215" s="5" t="str">
        <f ca="1">IFERROR(__xludf.DUMMYFUNCTION("""COMPUTED_VALUE"""),"No")</f>
        <v>No</v>
      </c>
      <c r="N215" s="5"/>
      <c r="O215" s="5">
        <f ca="1">IFERROR(__xludf.DUMMYFUNCTION("""COMPUTED_VALUE"""),100)</f>
        <v>100</v>
      </c>
      <c r="P215" s="18">
        <f ca="1">IFERROR(__xludf.DUMMYFUNCTION("""COMPUTED_VALUE"""),45328)</f>
        <v>45328</v>
      </c>
      <c r="Q215" s="18">
        <f ca="1">IFERROR(__xludf.DUMMYFUNCTION("""COMPUTED_VALUE"""),45328)</f>
        <v>45328</v>
      </c>
      <c r="R215" s="18"/>
      <c r="S215" s="5">
        <f ca="1">IFERROR(__xludf.DUMMYFUNCTION("""COMPUTED_VALUE"""),0.5)</f>
        <v>0.5</v>
      </c>
      <c r="T215" s="5"/>
      <c r="U215" s="5" t="str">
        <f ca="1">IFERROR(__xludf.DUMMYFUNCTION("""COMPUTED_VALUE"""),"Duran Sanchez Nelson Fernando")</f>
        <v>Duran Sanchez Nelson Fernando</v>
      </c>
      <c r="V215" s="5"/>
      <c r="W215" s="5" t="str">
        <f ca="1">IFERROR(__xludf.DUMMYFUNCTION("""COMPUTED_VALUE"""),"O71XauU0kK8")</f>
        <v>O71XauU0kK8</v>
      </c>
      <c r="X215" s="5">
        <f ca="1">IFERROR(__xludf.DUMMYFUNCTION("""COMPUTED_VALUE"""),0.5)</f>
        <v>0.5</v>
      </c>
      <c r="Y215" s="5" t="str">
        <f t="shared" ca="1" si="0"/>
        <v>Actividad realizada</v>
      </c>
      <c r="Z215" s="3">
        <f ca="1">IFERROR(VLOOKUP(U215, 'Base de datos'!A:B, 2, FALSE), "")</f>
        <v>573187183243</v>
      </c>
      <c r="AA215" s="4" t="e">
        <f t="shared" ca="1" si="1"/>
        <v>#NAME?</v>
      </c>
    </row>
    <row r="216" spans="1:27" ht="15.75" customHeight="1">
      <c r="A216" s="5" t="str">
        <f ca="1">IFERROR(__xludf.DUMMYFUNCTION("""COMPUTED_VALUE"""),"POSTOBÓN YUMBO")</f>
        <v>POSTOBÓN YUMBO</v>
      </c>
      <c r="B216" s="5" t="str">
        <f ca="1">IFERROR(__xludf.DUMMYFUNCTION("""COMPUTED_VALUE"""),"0410-EQUIPOS AUXILIARES")</f>
        <v>0410-EQUIPOS AUXILIARES</v>
      </c>
      <c r="C216" s="5" t="str">
        <f ca="1">IFERROR(__xludf.DUMMYFUNCTION("""COMPUTED_VALUE"""),"EQUIPOS PARA SERVICIOS INDUSTRIALES")</f>
        <v>EQUIPOS PARA SERVICIOS INDUSTRIALES</v>
      </c>
      <c r="D216" s="5">
        <f ca="1">IFERROR(__xludf.DUMMYFUNCTION("""COMPUTED_VALUE"""),659371)</f>
        <v>659371</v>
      </c>
      <c r="E216" s="5" t="str">
        <f ca="1">IFERROR(__xludf.DUMMYFUNCTION("""COMPUTED_VALUE"""),"CALDERA DE 300 BHP")</f>
        <v>CALDERA DE 300 BHP</v>
      </c>
      <c r="F216" s="5">
        <f ca="1">IFERROR(__xludf.DUMMYFUNCTION("""COMPUTED_VALUE"""),21693)</f>
        <v>21693</v>
      </c>
      <c r="G216" s="5" t="str">
        <f ca="1">IFERROR(__xludf.DUMMYFUNCTION("""COMPUTED_VALUE"""),"PLAN DE MTTO MEC CALDERA C#3 A- 1341")</f>
        <v>PLAN DE MTTO MEC CALDERA C#3 A- 1341</v>
      </c>
      <c r="H216" s="5">
        <f ca="1">IFERROR(__xludf.DUMMYFUNCTION("""COMPUTED_VALUE"""),13247183)</f>
        <v>13247183</v>
      </c>
      <c r="I216" s="5" t="str">
        <f ca="1">IFERROR(__xludf.DUMMYFUNCTION("""COMPUTED_VALUE"""),"inexistencia de fugas de agua")</f>
        <v>inexistencia de fugas de agua</v>
      </c>
      <c r="J216" s="5" t="str">
        <f ca="1">IFERROR(__xludf.DUMMYFUNCTION("""COMPUTED_VALUE"""),"ALTO")</f>
        <v>ALTO</v>
      </c>
      <c r="K216" s="5" t="str">
        <f ca="1">IFERROR(__xludf.DUMMYFUNCTION("""COMPUTED_VALUE"""),"Preventivo")</f>
        <v>Preventivo</v>
      </c>
      <c r="L216" s="5" t="str">
        <f ca="1">IFERROR(__xludf.DUMMYFUNCTION("""COMPUTED_VALUE"""),"Maquinaria")</f>
        <v>Maquinaria</v>
      </c>
      <c r="M216" s="5" t="str">
        <f ca="1">IFERROR(__xludf.DUMMYFUNCTION("""COMPUTED_VALUE"""),"No")</f>
        <v>No</v>
      </c>
      <c r="N216" s="5"/>
      <c r="O216" s="5"/>
      <c r="P216" s="18">
        <f ca="1">IFERROR(__xludf.DUMMYFUNCTION("""COMPUTED_VALUE"""),45337)</f>
        <v>45337</v>
      </c>
      <c r="Q216" s="18">
        <f ca="1">IFERROR(__xludf.DUMMYFUNCTION("""COMPUTED_VALUE"""),45337)</f>
        <v>45337</v>
      </c>
      <c r="R216" s="18"/>
      <c r="S216" s="5">
        <f ca="1">IFERROR(__xludf.DUMMYFUNCTION("""COMPUTED_VALUE"""),0.5)</f>
        <v>0.5</v>
      </c>
      <c r="T216" s="5"/>
      <c r="U216" s="5" t="str">
        <f ca="1">IFERROR(__xludf.DUMMYFUNCTION("""COMPUTED_VALUE"""),"Valencia Hector")</f>
        <v>Valencia Hector</v>
      </c>
      <c r="V216" s="5"/>
      <c r="W216" s="5" t="str">
        <f ca="1">IFERROR(__xludf.DUMMYFUNCTION("""COMPUTED_VALUE"""),"bnjItXZ2-88")</f>
        <v>bnjItXZ2-88</v>
      </c>
      <c r="X216" s="5">
        <f ca="1">IFERROR(__xludf.DUMMYFUNCTION("""COMPUTED_VALUE"""),0.5)</f>
        <v>0.5</v>
      </c>
      <c r="Y216" s="5" t="str">
        <f t="shared" si="0"/>
        <v>Actividad sin realizar</v>
      </c>
      <c r="Z216" s="3">
        <f ca="1">IFERROR(VLOOKUP(U216, 'Base de datos'!A:B, 2, FALSE), "")</f>
        <v>573108951371</v>
      </c>
      <c r="AA216" s="4" t="e">
        <f t="shared" ca="1" si="1"/>
        <v>#NAME?</v>
      </c>
    </row>
    <row r="217" spans="1:27" ht="15.75" customHeight="1">
      <c r="A217" s="5" t="str">
        <f ca="1">IFERROR(__xludf.DUMMYFUNCTION("""COMPUTED_VALUE"""),"POSTOBÓN YUMBO")</f>
        <v>POSTOBÓN YUMBO</v>
      </c>
      <c r="B217" s="5" t="str">
        <f ca="1">IFERROR(__xludf.DUMMYFUNCTION("""COMPUTED_VALUE"""),"0410-EQUIPOS AUXILIARES JUGOS")</f>
        <v>0410-EQUIPOS AUXILIARES JUGOS</v>
      </c>
      <c r="C217" s="5" t="str">
        <f ca="1">IFERROR(__xludf.DUMMYFUNCTION("""COMPUTED_VALUE"""),"EQUIPOS PARA SERVICIOS INDUSTRIALES JUGO")</f>
        <v>EQUIPOS PARA SERVICIOS INDUSTRIALES JUGO</v>
      </c>
      <c r="D217" s="5">
        <f ca="1">IFERROR(__xludf.DUMMYFUNCTION("""COMPUTED_VALUE"""),829058)</f>
        <v>829058</v>
      </c>
      <c r="E217" s="5" t="str">
        <f ca="1">IFERROR(__xludf.DUMMYFUNCTION("""COMPUTED_VALUE"""),"COMPRESOR DE REFRIGERACION No. 1 JUGOS")</f>
        <v>COMPRESOR DE REFRIGERACION No. 1 JUGOS</v>
      </c>
      <c r="F217" s="5">
        <f ca="1">IFERROR(__xludf.DUMMYFUNCTION("""COMPUTED_VALUE"""),21704)</f>
        <v>21704</v>
      </c>
      <c r="G217" s="5" t="str">
        <f ca="1">IFERROR(__xludf.DUMMYFUNCTION("""COMPUTED_VALUE"""),"PLAN MTTO LUB COMPRESOR REFRIG Nº1 JUGOS")</f>
        <v>PLAN MTTO LUB COMPRESOR REFRIG Nº1 JUGOS</v>
      </c>
      <c r="H217" s="5">
        <f ca="1">IFERROR(__xludf.DUMMYFUNCTION("""COMPUTED_VALUE"""),13247186)</f>
        <v>13247186</v>
      </c>
      <c r="I217" s="5" t="str">
        <f ca="1">IFERROR(__xludf.DUMMYFUNCTION("""COMPUTED_VALUE"""),"Lubricación rodamiento motor")</f>
        <v>Lubricación rodamiento motor</v>
      </c>
      <c r="J217" s="5" t="str">
        <f ca="1">IFERROR(__xludf.DUMMYFUNCTION("""COMPUTED_VALUE"""),"MEDIO")</f>
        <v>MEDIO</v>
      </c>
      <c r="K217" s="5" t="str">
        <f ca="1">IFERROR(__xludf.DUMMYFUNCTION("""COMPUTED_VALUE"""),"Preventivo")</f>
        <v>Preventivo</v>
      </c>
      <c r="L217" s="5" t="str">
        <f ca="1">IFERROR(__xludf.DUMMYFUNCTION("""COMPUTED_VALUE"""),"Maquinaria")</f>
        <v>Maquinaria</v>
      </c>
      <c r="M217" s="5" t="str">
        <f ca="1">IFERROR(__xludf.DUMMYFUNCTION("""COMPUTED_VALUE"""),"No")</f>
        <v>No</v>
      </c>
      <c r="N217" s="5"/>
      <c r="O217" s="5"/>
      <c r="P217" s="18">
        <f ca="1">IFERROR(__xludf.DUMMYFUNCTION("""COMPUTED_VALUE"""),45334)</f>
        <v>45334</v>
      </c>
      <c r="Q217" s="18">
        <f ca="1">IFERROR(__xludf.DUMMYFUNCTION("""COMPUTED_VALUE"""),45334)</f>
        <v>45334</v>
      </c>
      <c r="R217" s="18"/>
      <c r="S217" s="5">
        <f ca="1">IFERROR(__xludf.DUMMYFUNCTION("""COMPUTED_VALUE"""),0.5)</f>
        <v>0.5</v>
      </c>
      <c r="T217" s="5"/>
      <c r="U217" s="5" t="str">
        <f ca="1">IFERROR(__xludf.DUMMYFUNCTION("""COMPUTED_VALUE"""),"Lopez Raul")</f>
        <v>Lopez Raul</v>
      </c>
      <c r="V217" s="5"/>
      <c r="W217" s="5" t="str">
        <f ca="1">IFERROR(__xludf.DUMMYFUNCTION("""COMPUTED_VALUE"""),"CWBOjhbb2Q8")</f>
        <v>CWBOjhbb2Q8</v>
      </c>
      <c r="X217" s="5">
        <f ca="1">IFERROR(__xludf.DUMMYFUNCTION("""COMPUTED_VALUE"""),0.5)</f>
        <v>0.5</v>
      </c>
      <c r="Y217" s="5" t="str">
        <f t="shared" si="0"/>
        <v>Actividad sin realizar</v>
      </c>
      <c r="Z217" s="3">
        <f ca="1">IFERROR(VLOOKUP(U217, 'Base de datos'!A:B, 2, FALSE), "")</f>
        <v>573122172129</v>
      </c>
      <c r="AA217" s="4" t="e">
        <f t="shared" ca="1" si="1"/>
        <v>#NAME?</v>
      </c>
    </row>
    <row r="218" spans="1:27" ht="15.75" customHeight="1">
      <c r="A218" s="5" t="str">
        <f ca="1">IFERROR(__xludf.DUMMYFUNCTION("""COMPUTED_VALUE"""),"POSTOBÓN YUMBO")</f>
        <v>POSTOBÓN YUMBO</v>
      </c>
      <c r="B218" s="5" t="str">
        <f ca="1">IFERROR(__xludf.DUMMYFUNCTION("""COMPUTED_VALUE"""),"0410-LINEA PET CSD")</f>
        <v>0410-LINEA PET CSD</v>
      </c>
      <c r="C218" s="5" t="str">
        <f ca="1">IFERROR(__xludf.DUMMYFUNCTION("""COMPUTED_VALUE"""),"LINEA PET CSD - LINEA 10")</f>
        <v>LINEA PET CSD - LINEA 10</v>
      </c>
      <c r="D218" s="5">
        <f ca="1">IFERROR(__xludf.DUMMYFUNCTION("""COMPUTED_VALUE"""),519561)</f>
        <v>519561</v>
      </c>
      <c r="E218" s="5" t="str">
        <f ca="1">IFERROR(__xludf.DUMMYFUNCTION("""COMPUTED_VALUE"""),"LLENADORA DE BOTELLAS PET 162 VALVULAS")</f>
        <v>LLENADORA DE BOTELLAS PET 162 VALVULAS</v>
      </c>
      <c r="F218" s="5">
        <f ca="1">IFERROR(__xludf.DUMMYFUNCTION("""COMPUTED_VALUE"""),25366)</f>
        <v>25366</v>
      </c>
      <c r="G218" s="5" t="str">
        <f ca="1">IFERROR(__xludf.DUMMYFUNCTION("""COMPUTED_VALUE"""),"PLAN MTTO MEC LLENADORA CSD")</f>
        <v>PLAN MTTO MEC LLENADORA CSD</v>
      </c>
      <c r="H218" s="5">
        <f ca="1">IFERROR(__xludf.DUMMYFUNCTION("""COMPUTED_VALUE"""),13232382)</f>
        <v>13232382</v>
      </c>
      <c r="I218" s="5" t="str">
        <f ca="1">IFERROR(__xludf.DUMMYFUNCTION("""COMPUTED_VALUE"""),"Cilindros elevadores:")</f>
        <v>Cilindros elevadores:</v>
      </c>
      <c r="J218" s="5" t="str">
        <f ca="1">IFERROR(__xludf.DUMMYFUNCTION("""COMPUTED_VALUE"""),"ALTO")</f>
        <v>ALTO</v>
      </c>
      <c r="K218" s="5" t="str">
        <f ca="1">IFERROR(__xludf.DUMMYFUNCTION("""COMPUTED_VALUE"""),"Preventivo")</f>
        <v>Preventivo</v>
      </c>
      <c r="L218" s="5" t="str">
        <f ca="1">IFERROR(__xludf.DUMMYFUNCTION("""COMPUTED_VALUE"""),"Maquinaria")</f>
        <v>Maquinaria</v>
      </c>
      <c r="M218" s="5" t="str">
        <f ca="1">IFERROR(__xludf.DUMMYFUNCTION("""COMPUTED_VALUE"""),"No")</f>
        <v>No</v>
      </c>
      <c r="N218" s="5"/>
      <c r="O218" s="5">
        <f ca="1">IFERROR(__xludf.DUMMYFUNCTION("""COMPUTED_VALUE"""),100)</f>
        <v>100</v>
      </c>
      <c r="P218" s="18">
        <f ca="1">IFERROR(__xludf.DUMMYFUNCTION("""COMPUTED_VALUE"""),45327)</f>
        <v>45327</v>
      </c>
      <c r="Q218" s="18">
        <f ca="1">IFERROR(__xludf.DUMMYFUNCTION("""COMPUTED_VALUE"""),45327)</f>
        <v>45327</v>
      </c>
      <c r="R218" s="18"/>
      <c r="S218" s="5">
        <f ca="1">IFERROR(__xludf.DUMMYFUNCTION("""COMPUTED_VALUE"""),1.5)</f>
        <v>1.5</v>
      </c>
      <c r="T218" s="5"/>
      <c r="U218" s="5" t="str">
        <f ca="1">IFERROR(__xludf.DUMMYFUNCTION("""COMPUTED_VALUE"""),"Duran Sanchez Nelson Fernando")</f>
        <v>Duran Sanchez Nelson Fernando</v>
      </c>
      <c r="V218" s="5"/>
      <c r="W218" s="5" t="str">
        <f ca="1">IFERROR(__xludf.DUMMYFUNCTION("""COMPUTED_VALUE"""),"I1dFvXWtda4")</f>
        <v>I1dFvXWtda4</v>
      </c>
      <c r="X218" s="5">
        <f ca="1">IFERROR(__xludf.DUMMYFUNCTION("""COMPUTED_VALUE"""),1.5)</f>
        <v>1.5</v>
      </c>
      <c r="Y218" s="5" t="str">
        <f t="shared" ca="1" si="0"/>
        <v>Actividad realizada</v>
      </c>
      <c r="Z218" s="3">
        <f ca="1">IFERROR(VLOOKUP(U218, 'Base de datos'!A:B, 2, FALSE), "")</f>
        <v>573187183243</v>
      </c>
      <c r="AA218" s="4" t="e">
        <f t="shared" ca="1" si="1"/>
        <v>#NAME?</v>
      </c>
    </row>
    <row r="219" spans="1:27" ht="15.75" customHeight="1">
      <c r="A219" s="5" t="str">
        <f ca="1">IFERROR(__xludf.DUMMYFUNCTION("""COMPUTED_VALUE"""),"POSTOBÓN YUMBO")</f>
        <v>POSTOBÓN YUMBO</v>
      </c>
      <c r="B219" s="5" t="str">
        <f ca="1">IFERROR(__xludf.DUMMYFUNCTION("""COMPUTED_VALUE"""),"0410-LINEA PET CSD")</f>
        <v>0410-LINEA PET CSD</v>
      </c>
      <c r="C219" s="5" t="str">
        <f ca="1">IFERROR(__xludf.DUMMYFUNCTION("""COMPUTED_VALUE"""),"LINEA PET CSD - LINEA 10")</f>
        <v>LINEA PET CSD - LINEA 10</v>
      </c>
      <c r="D219" s="5">
        <f ca="1">IFERROR(__xludf.DUMMYFUNCTION("""COMPUTED_VALUE"""),519561)</f>
        <v>519561</v>
      </c>
      <c r="E219" s="5" t="str">
        <f ca="1">IFERROR(__xludf.DUMMYFUNCTION("""COMPUTED_VALUE"""),"LLENADORA DE BOTELLAS PET 162 VALVULAS")</f>
        <v>LLENADORA DE BOTELLAS PET 162 VALVULAS</v>
      </c>
      <c r="F219" s="5">
        <f ca="1">IFERROR(__xludf.DUMMYFUNCTION("""COMPUTED_VALUE"""),25366)</f>
        <v>25366</v>
      </c>
      <c r="G219" s="5" t="str">
        <f ca="1">IFERROR(__xludf.DUMMYFUNCTION("""COMPUTED_VALUE"""),"PLAN MTTO LUB LLENADORA CSD")</f>
        <v>PLAN MTTO LUB LLENADORA CSD</v>
      </c>
      <c r="H219" s="5">
        <f ca="1">IFERROR(__xludf.DUMMYFUNCTION("""COMPUTED_VALUE"""),13232384)</f>
        <v>13232384</v>
      </c>
      <c r="I219" s="5" t="str">
        <f ca="1">IFERROR(__xludf.DUMMYFUNCTION("""COMPUTED_VALUE"""),"Cilindros elevadores:")</f>
        <v>Cilindros elevadores:</v>
      </c>
      <c r="J219" s="5" t="str">
        <f ca="1">IFERROR(__xludf.DUMMYFUNCTION("""COMPUTED_VALUE"""),"ALTO")</f>
        <v>ALTO</v>
      </c>
      <c r="K219" s="5" t="str">
        <f ca="1">IFERROR(__xludf.DUMMYFUNCTION("""COMPUTED_VALUE"""),"Preventivo")</f>
        <v>Preventivo</v>
      </c>
      <c r="L219" s="5" t="str">
        <f ca="1">IFERROR(__xludf.DUMMYFUNCTION("""COMPUTED_VALUE"""),"Maquinaria")</f>
        <v>Maquinaria</v>
      </c>
      <c r="M219" s="5" t="str">
        <f ca="1">IFERROR(__xludf.DUMMYFUNCTION("""COMPUTED_VALUE"""),"No")</f>
        <v>No</v>
      </c>
      <c r="N219" s="5"/>
      <c r="O219" s="5">
        <f ca="1">IFERROR(__xludf.DUMMYFUNCTION("""COMPUTED_VALUE"""),100)</f>
        <v>100</v>
      </c>
      <c r="P219" s="18">
        <f ca="1">IFERROR(__xludf.DUMMYFUNCTION("""COMPUTED_VALUE"""),45328)</f>
        <v>45328</v>
      </c>
      <c r="Q219" s="18">
        <f ca="1">IFERROR(__xludf.DUMMYFUNCTION("""COMPUTED_VALUE"""),45328)</f>
        <v>45328</v>
      </c>
      <c r="R219" s="18"/>
      <c r="S219" s="5">
        <f ca="1">IFERROR(__xludf.DUMMYFUNCTION("""COMPUTED_VALUE"""),0.5)</f>
        <v>0.5</v>
      </c>
      <c r="T219" s="5"/>
      <c r="U219" s="5" t="str">
        <f ca="1">IFERROR(__xludf.DUMMYFUNCTION("""COMPUTED_VALUE"""),"Duran Sanchez Nelson Fernando")</f>
        <v>Duran Sanchez Nelson Fernando</v>
      </c>
      <c r="V219" s="5"/>
      <c r="W219" s="5" t="str">
        <f ca="1">IFERROR(__xludf.DUMMYFUNCTION("""COMPUTED_VALUE"""),"sGcC1DFP4qU")</f>
        <v>sGcC1DFP4qU</v>
      </c>
      <c r="X219" s="5">
        <f ca="1">IFERROR(__xludf.DUMMYFUNCTION("""COMPUTED_VALUE"""),0.5)</f>
        <v>0.5</v>
      </c>
      <c r="Y219" s="5" t="str">
        <f t="shared" ca="1" si="0"/>
        <v>Actividad realizada</v>
      </c>
      <c r="Z219" s="3">
        <f ca="1">IFERROR(VLOOKUP(U219, 'Base de datos'!A:B, 2, FALSE), "")</f>
        <v>573187183243</v>
      </c>
      <c r="AA219" s="4" t="e">
        <f t="shared" ca="1" si="1"/>
        <v>#NAME?</v>
      </c>
    </row>
    <row r="220" spans="1:27" ht="15.75" customHeight="1">
      <c r="A220" s="5" t="str">
        <f ca="1">IFERROR(__xludf.DUMMYFUNCTION("""COMPUTED_VALUE"""),"POSTOBÓN YUMBO")</f>
        <v>POSTOBÓN YUMBO</v>
      </c>
      <c r="B220" s="5" t="str">
        <f ca="1">IFERROR(__xludf.DUMMYFUNCTION("""COMPUTED_VALUE"""),"0410-LINEA PET CSD")</f>
        <v>0410-LINEA PET CSD</v>
      </c>
      <c r="C220" s="5" t="str">
        <f ca="1">IFERROR(__xludf.DUMMYFUNCTION("""COMPUTED_VALUE"""),"LINEA PET CSD - LINEA 10")</f>
        <v>LINEA PET CSD - LINEA 10</v>
      </c>
      <c r="D220" s="5">
        <f ca="1">IFERROR(__xludf.DUMMYFUNCTION("""COMPUTED_VALUE"""),519561)</f>
        <v>519561</v>
      </c>
      <c r="E220" s="5" t="str">
        <f ca="1">IFERROR(__xludf.DUMMYFUNCTION("""COMPUTED_VALUE"""),"LLENADORA DE BOTELLAS PET 162 VALVULAS")</f>
        <v>LLENADORA DE BOTELLAS PET 162 VALVULAS</v>
      </c>
      <c r="F220" s="5">
        <f ca="1">IFERROR(__xludf.DUMMYFUNCTION("""COMPUTED_VALUE"""),25366)</f>
        <v>25366</v>
      </c>
      <c r="G220" s="5" t="str">
        <f ca="1">IFERROR(__xludf.DUMMYFUNCTION("""COMPUTED_VALUE"""),"PLAN MTTO MEC Taponadora CSD")</f>
        <v>PLAN MTTO MEC Taponadora CSD</v>
      </c>
      <c r="H220" s="5">
        <f ca="1">IFERROR(__xludf.DUMMYFUNCTION("""COMPUTED_VALUE"""),13232385)</f>
        <v>13232385</v>
      </c>
      <c r="I220" s="5" t="str">
        <f ca="1">IFERROR(__xludf.DUMMYFUNCTION("""COMPUTED_VALUE"""),"Anillos taponadores:")</f>
        <v>Anillos taponadores:</v>
      </c>
      <c r="J220" s="5" t="str">
        <f ca="1">IFERROR(__xludf.DUMMYFUNCTION("""COMPUTED_VALUE"""),"ALTO")</f>
        <v>ALTO</v>
      </c>
      <c r="K220" s="5" t="str">
        <f ca="1">IFERROR(__xludf.DUMMYFUNCTION("""COMPUTED_VALUE"""),"Preventivo")</f>
        <v>Preventivo</v>
      </c>
      <c r="L220" s="5" t="str">
        <f ca="1">IFERROR(__xludf.DUMMYFUNCTION("""COMPUTED_VALUE"""),"Maquinaria")</f>
        <v>Maquinaria</v>
      </c>
      <c r="M220" s="5" t="str">
        <f ca="1">IFERROR(__xludf.DUMMYFUNCTION("""COMPUTED_VALUE"""),"No")</f>
        <v>No</v>
      </c>
      <c r="N220" s="5"/>
      <c r="O220" s="5">
        <f ca="1">IFERROR(__xludf.DUMMYFUNCTION("""COMPUTED_VALUE"""),100)</f>
        <v>100</v>
      </c>
      <c r="P220" s="18">
        <f ca="1">IFERROR(__xludf.DUMMYFUNCTION("""COMPUTED_VALUE"""),45328)</f>
        <v>45328</v>
      </c>
      <c r="Q220" s="18">
        <f ca="1">IFERROR(__xludf.DUMMYFUNCTION("""COMPUTED_VALUE"""),45328)</f>
        <v>45328</v>
      </c>
      <c r="R220" s="18"/>
      <c r="S220" s="5">
        <f ca="1">IFERROR(__xludf.DUMMYFUNCTION("""COMPUTED_VALUE"""),0.5)</f>
        <v>0.5</v>
      </c>
      <c r="T220" s="5"/>
      <c r="U220" s="5" t="str">
        <f ca="1">IFERROR(__xludf.DUMMYFUNCTION("""COMPUTED_VALUE"""),"Duran Sanchez Nelson Fernando")</f>
        <v>Duran Sanchez Nelson Fernando</v>
      </c>
      <c r="V220" s="5"/>
      <c r="W220" s="5" t="str">
        <f ca="1">IFERROR(__xludf.DUMMYFUNCTION("""COMPUTED_VALUE"""),"Zy3JbSzEt6g")</f>
        <v>Zy3JbSzEt6g</v>
      </c>
      <c r="X220" s="5">
        <f ca="1">IFERROR(__xludf.DUMMYFUNCTION("""COMPUTED_VALUE"""),0.5)</f>
        <v>0.5</v>
      </c>
      <c r="Y220" s="5" t="str">
        <f t="shared" ca="1" si="0"/>
        <v>Actividad realizada</v>
      </c>
      <c r="Z220" s="3">
        <f ca="1">IFERROR(VLOOKUP(U220, 'Base de datos'!A:B, 2, FALSE), "")</f>
        <v>573187183243</v>
      </c>
      <c r="AA220" s="4" t="e">
        <f t="shared" ca="1" si="1"/>
        <v>#NAME?</v>
      </c>
    </row>
    <row r="221" spans="1:27" ht="15.75" customHeight="1">
      <c r="A221" s="5" t="str">
        <f ca="1">IFERROR(__xludf.DUMMYFUNCTION("""COMPUTED_VALUE"""),"POSTOBÓN YUMBO")</f>
        <v>POSTOBÓN YUMBO</v>
      </c>
      <c r="B221" s="5" t="str">
        <f ca="1">IFERROR(__xludf.DUMMYFUNCTION("""COMPUTED_VALUE"""),"0410-LINEA PET CSD")</f>
        <v>0410-LINEA PET CSD</v>
      </c>
      <c r="C221" s="5" t="str">
        <f ca="1">IFERROR(__xludf.DUMMYFUNCTION("""COMPUTED_VALUE"""),"LINEA PET CSD - LINEA 10")</f>
        <v>LINEA PET CSD - LINEA 10</v>
      </c>
      <c r="D221" s="5">
        <f ca="1">IFERROR(__xludf.DUMMYFUNCTION("""COMPUTED_VALUE"""),599605)</f>
        <v>599605</v>
      </c>
      <c r="E221" s="5" t="str">
        <f ca="1">IFERROR(__xludf.DUMMYFUNCTION("""COMPUTED_VALUE"""),"INSPECTOR ELECTRONICO DE ENVASE")</f>
        <v>INSPECTOR ELECTRONICO DE ENVASE</v>
      </c>
      <c r="F221" s="5">
        <f ca="1">IFERROR(__xludf.DUMMYFUNCTION("""COMPUTED_VALUE"""),25369)</f>
        <v>25369</v>
      </c>
      <c r="G221" s="5" t="str">
        <f ca="1">IFERROR(__xludf.DUMMYFUNCTION("""COMPUTED_VALUE"""),"PLAN MTTO ELE INSPECTOR ELECTRONICO CSD")</f>
        <v>PLAN MTTO ELE INSPECTOR ELECTRONICO CSD</v>
      </c>
      <c r="H221" s="5">
        <f ca="1">IFERROR(__xludf.DUMMYFUNCTION("""COMPUTED_VALUE"""),13232387)</f>
        <v>13232387</v>
      </c>
      <c r="I221" s="5" t="str">
        <f ca="1">IFERROR(__xludf.DUMMYFUNCTION("""COMPUTED_VALUE"""),"Componentes neumáticos:")</f>
        <v>Componentes neumáticos:</v>
      </c>
      <c r="J221" s="5" t="str">
        <f ca="1">IFERROR(__xludf.DUMMYFUNCTION("""COMPUTED_VALUE"""),"ALTO")</f>
        <v>ALTO</v>
      </c>
      <c r="K221" s="5" t="str">
        <f ca="1">IFERROR(__xludf.DUMMYFUNCTION("""COMPUTED_VALUE"""),"Preventivo")</f>
        <v>Preventivo</v>
      </c>
      <c r="L221" s="5" t="str">
        <f ca="1">IFERROR(__xludf.DUMMYFUNCTION("""COMPUTED_VALUE"""),"Maquinaria")</f>
        <v>Maquinaria</v>
      </c>
      <c r="M221" s="5" t="str">
        <f ca="1">IFERROR(__xludf.DUMMYFUNCTION("""COMPUTED_VALUE"""),"No")</f>
        <v>No</v>
      </c>
      <c r="N221" s="5"/>
      <c r="O221" s="5">
        <f ca="1">IFERROR(__xludf.DUMMYFUNCTION("""COMPUTED_VALUE"""),100)</f>
        <v>100</v>
      </c>
      <c r="P221" s="18">
        <f ca="1">IFERROR(__xludf.DUMMYFUNCTION("""COMPUTED_VALUE"""),45328)</f>
        <v>45328</v>
      </c>
      <c r="Q221" s="18">
        <f ca="1">IFERROR(__xludf.DUMMYFUNCTION("""COMPUTED_VALUE"""),45328)</f>
        <v>45328</v>
      </c>
      <c r="R221" s="18"/>
      <c r="S221" s="5">
        <f ca="1">IFERROR(__xludf.DUMMYFUNCTION("""COMPUTED_VALUE"""),0.5)</f>
        <v>0.5</v>
      </c>
      <c r="T221" s="5"/>
      <c r="U221" s="5" t="str">
        <f ca="1">IFERROR(__xludf.DUMMYFUNCTION("""COMPUTED_VALUE"""),"BONILLA ANGULO EDWIN ANDRES")</f>
        <v>BONILLA ANGULO EDWIN ANDRES</v>
      </c>
      <c r="V221" s="5"/>
      <c r="W221" s="5" t="str">
        <f ca="1">IFERROR(__xludf.DUMMYFUNCTION("""COMPUTED_VALUE"""),"nyHgvqlK9iQ")</f>
        <v>nyHgvqlK9iQ</v>
      </c>
      <c r="X221" s="5">
        <f ca="1">IFERROR(__xludf.DUMMYFUNCTION("""COMPUTED_VALUE"""),0.5)</f>
        <v>0.5</v>
      </c>
      <c r="Y221" s="5" t="str">
        <f t="shared" ca="1" si="0"/>
        <v>Actividad realizada</v>
      </c>
      <c r="Z221" s="3">
        <f ca="1">IFERROR(VLOOKUP(U221, 'Base de datos'!A:B, 2, FALSE), "")</f>
        <v>573154265203</v>
      </c>
      <c r="AA221" s="4" t="e">
        <f t="shared" ca="1" si="1"/>
        <v>#NAME?</v>
      </c>
    </row>
    <row r="222" spans="1:27" ht="15.75" customHeight="1">
      <c r="A222" s="5" t="str">
        <f ca="1">IFERROR(__xludf.DUMMYFUNCTION("""COMPUTED_VALUE"""),"POSTOBÓN YUMBO")</f>
        <v>POSTOBÓN YUMBO</v>
      </c>
      <c r="B222" s="5" t="str">
        <f ca="1">IFERROR(__xludf.DUMMYFUNCTION("""COMPUTED_VALUE"""),"0410-LINEA PET CSD")</f>
        <v>0410-LINEA PET CSD</v>
      </c>
      <c r="C222" s="5" t="str">
        <f ca="1">IFERROR(__xludf.DUMMYFUNCTION("""COMPUTED_VALUE"""),"LINEA PET CSD - LINEA 10")</f>
        <v>LINEA PET CSD - LINEA 10</v>
      </c>
      <c r="D222" s="5">
        <f ca="1">IFERROR(__xludf.DUMMYFUNCTION("""COMPUTED_VALUE"""),599605)</f>
        <v>599605</v>
      </c>
      <c r="E222" s="5" t="str">
        <f ca="1">IFERROR(__xludf.DUMMYFUNCTION("""COMPUTED_VALUE"""),"INSPECTOR ELECTRONICO DE ENVASE")</f>
        <v>INSPECTOR ELECTRONICO DE ENVASE</v>
      </c>
      <c r="F222" s="5">
        <f ca="1">IFERROR(__xludf.DUMMYFUNCTION("""COMPUTED_VALUE"""),25369)</f>
        <v>25369</v>
      </c>
      <c r="G222" s="5" t="str">
        <f ca="1">IFERROR(__xludf.DUMMYFUNCTION("""COMPUTED_VALUE"""),"PLAN MTTO ELE INSPECTOR ELECTRONICO CSD")</f>
        <v>PLAN MTTO ELE INSPECTOR ELECTRONICO CSD</v>
      </c>
      <c r="H222" s="5">
        <f ca="1">IFERROR(__xludf.DUMMYFUNCTION("""COMPUTED_VALUE"""),13232388)</f>
        <v>13232388</v>
      </c>
      <c r="I222" s="5" t="str">
        <f ca="1">IFERROR(__xludf.DUMMYFUNCTION("""COMPUTED_VALUE"""),"Revisar estado, posicion y limpiar:")</f>
        <v>Revisar estado, posicion y limpiar:</v>
      </c>
      <c r="J222" s="5" t="str">
        <f ca="1">IFERROR(__xludf.DUMMYFUNCTION("""COMPUTED_VALUE"""),"ALTO")</f>
        <v>ALTO</v>
      </c>
      <c r="K222" s="5" t="str">
        <f ca="1">IFERROR(__xludf.DUMMYFUNCTION("""COMPUTED_VALUE"""),"Preventivo")</f>
        <v>Preventivo</v>
      </c>
      <c r="L222" s="5" t="str">
        <f ca="1">IFERROR(__xludf.DUMMYFUNCTION("""COMPUTED_VALUE"""),"Maquinaria")</f>
        <v>Maquinaria</v>
      </c>
      <c r="M222" s="5" t="str">
        <f ca="1">IFERROR(__xludf.DUMMYFUNCTION("""COMPUTED_VALUE"""),"No")</f>
        <v>No</v>
      </c>
      <c r="N222" s="5"/>
      <c r="O222" s="5">
        <f ca="1">IFERROR(__xludf.DUMMYFUNCTION("""COMPUTED_VALUE"""),100)</f>
        <v>100</v>
      </c>
      <c r="P222" s="18">
        <f ca="1">IFERROR(__xludf.DUMMYFUNCTION("""COMPUTED_VALUE"""),45328)</f>
        <v>45328</v>
      </c>
      <c r="Q222" s="18">
        <f ca="1">IFERROR(__xludf.DUMMYFUNCTION("""COMPUTED_VALUE"""),45328)</f>
        <v>45328</v>
      </c>
      <c r="R222" s="18"/>
      <c r="S222" s="5">
        <f ca="1">IFERROR(__xludf.DUMMYFUNCTION("""COMPUTED_VALUE"""),0.5)</f>
        <v>0.5</v>
      </c>
      <c r="T222" s="5"/>
      <c r="U222" s="5" t="str">
        <f ca="1">IFERROR(__xludf.DUMMYFUNCTION("""COMPUTED_VALUE"""),"BONILLA ANGULO EDWIN ANDRES")</f>
        <v>BONILLA ANGULO EDWIN ANDRES</v>
      </c>
      <c r="V222" s="5"/>
      <c r="W222" s="5" t="str">
        <f ca="1">IFERROR(__xludf.DUMMYFUNCTION("""COMPUTED_VALUE"""),"FjwWTfACTHI")</f>
        <v>FjwWTfACTHI</v>
      </c>
      <c r="X222" s="5">
        <f ca="1">IFERROR(__xludf.DUMMYFUNCTION("""COMPUTED_VALUE"""),0.5)</f>
        <v>0.5</v>
      </c>
      <c r="Y222" s="5" t="str">
        <f t="shared" ca="1" si="0"/>
        <v>Actividad realizada</v>
      </c>
      <c r="Z222" s="3">
        <f ca="1">IFERROR(VLOOKUP(U222, 'Base de datos'!A:B, 2, FALSE), "")</f>
        <v>573154265203</v>
      </c>
      <c r="AA222" s="4" t="e">
        <f t="shared" ca="1" si="1"/>
        <v>#NAME?</v>
      </c>
    </row>
    <row r="223" spans="1:27" ht="15.75" customHeight="1">
      <c r="A223" s="5" t="str">
        <f ca="1">IFERROR(__xludf.DUMMYFUNCTION("""COMPUTED_VALUE"""),"POSTOBÓN YUMBO")</f>
        <v>POSTOBÓN YUMBO</v>
      </c>
      <c r="B223" s="5" t="str">
        <f ca="1">IFERROR(__xludf.DUMMYFUNCTION("""COMPUTED_VALUE"""),"0410-LINEA PET CSD")</f>
        <v>0410-LINEA PET CSD</v>
      </c>
      <c r="C223" s="5" t="str">
        <f ca="1">IFERROR(__xludf.DUMMYFUNCTION("""COMPUTED_VALUE"""),"LINEA PET CSD - LINEA 10")</f>
        <v>LINEA PET CSD - LINEA 10</v>
      </c>
      <c r="D223" s="5">
        <f ca="1">IFERROR(__xludf.DUMMYFUNCTION("""COMPUTED_VALUE"""),710324)</f>
        <v>710324</v>
      </c>
      <c r="E223" s="5" t="str">
        <f ca="1">IFERROR(__xludf.DUMMYFUNCTION("""COMPUTED_VALUE"""),"ENFARDADORA")</f>
        <v>ENFARDADORA</v>
      </c>
      <c r="F223" s="5">
        <f ca="1">IFERROR(__xludf.DUMMYFUNCTION("""COMPUTED_VALUE"""),25371)</f>
        <v>25371</v>
      </c>
      <c r="G223" s="5" t="str">
        <f ca="1">IFERROR(__xludf.DUMMYFUNCTION("""COMPUTED_VALUE"""),"PLAN MTTO LUB ENFARDADORA CSD")</f>
        <v>PLAN MTTO LUB ENFARDADORA CSD</v>
      </c>
      <c r="H223" s="5">
        <f ca="1">IFERROR(__xludf.DUMMYFUNCTION("""COMPUTED_VALUE"""),13232390)</f>
        <v>13232390</v>
      </c>
      <c r="I223" s="5" t="str">
        <f ca="1">IFERROR(__xludf.DUMMYFUNCTION("""COMPUTED_VALUE"""),"Lubricacion")</f>
        <v>Lubricacion</v>
      </c>
      <c r="J223" s="5" t="str">
        <f ca="1">IFERROR(__xludf.DUMMYFUNCTION("""COMPUTED_VALUE"""),"MEDIO")</f>
        <v>MEDIO</v>
      </c>
      <c r="K223" s="5" t="str">
        <f ca="1">IFERROR(__xludf.DUMMYFUNCTION("""COMPUTED_VALUE"""),"Preventivo")</f>
        <v>Preventivo</v>
      </c>
      <c r="L223" s="5" t="str">
        <f ca="1">IFERROR(__xludf.DUMMYFUNCTION("""COMPUTED_VALUE"""),"Maquinaria")</f>
        <v>Maquinaria</v>
      </c>
      <c r="M223" s="5" t="str">
        <f ca="1">IFERROR(__xludf.DUMMYFUNCTION("""COMPUTED_VALUE"""),"No")</f>
        <v>No</v>
      </c>
      <c r="N223" s="5"/>
      <c r="O223" s="5">
        <f ca="1">IFERROR(__xludf.DUMMYFUNCTION("""COMPUTED_VALUE"""),100)</f>
        <v>100</v>
      </c>
      <c r="P223" s="18">
        <f ca="1">IFERROR(__xludf.DUMMYFUNCTION("""COMPUTED_VALUE"""),45328)</f>
        <v>45328</v>
      </c>
      <c r="Q223" s="18">
        <f ca="1">IFERROR(__xludf.DUMMYFUNCTION("""COMPUTED_VALUE"""),45328)</f>
        <v>45328</v>
      </c>
      <c r="R223" s="18"/>
      <c r="S223" s="5">
        <f ca="1">IFERROR(__xludf.DUMMYFUNCTION("""COMPUTED_VALUE"""),0.5)</f>
        <v>0.5</v>
      </c>
      <c r="T223" s="5"/>
      <c r="U223" s="5" t="str">
        <f ca="1">IFERROR(__xludf.DUMMYFUNCTION("""COMPUTED_VALUE"""),"PARRA VELANDIA JOHN JAIRO")</f>
        <v>PARRA VELANDIA JOHN JAIRO</v>
      </c>
      <c r="V223" s="5"/>
      <c r="W223" s="5" t="str">
        <f ca="1">IFERROR(__xludf.DUMMYFUNCTION("""COMPUTED_VALUE"""),"p9EZDVg6JFs")</f>
        <v>p9EZDVg6JFs</v>
      </c>
      <c r="X223" s="5">
        <f ca="1">IFERROR(__xludf.DUMMYFUNCTION("""COMPUTED_VALUE"""),0.5)</f>
        <v>0.5</v>
      </c>
      <c r="Y223" s="5" t="str">
        <f t="shared" ca="1" si="0"/>
        <v>Actividad realizada</v>
      </c>
      <c r="Z223" s="3">
        <f ca="1">IFERROR(VLOOKUP(U223, 'Base de datos'!A:B, 2, FALSE), "")</f>
        <v>573012765105</v>
      </c>
      <c r="AA223" s="4" t="e">
        <f t="shared" ca="1" si="1"/>
        <v>#NAME?</v>
      </c>
    </row>
    <row r="224" spans="1:27" ht="15.75" customHeight="1">
      <c r="A224" s="5" t="str">
        <f ca="1">IFERROR(__xludf.DUMMYFUNCTION("""COMPUTED_VALUE"""),"POSTOBÓN YUMBO")</f>
        <v>POSTOBÓN YUMBO</v>
      </c>
      <c r="B224" s="5" t="str">
        <f ca="1">IFERROR(__xludf.DUMMYFUNCTION("""COMPUTED_VALUE"""),"0410-LINEA PET CSD")</f>
        <v>0410-LINEA PET CSD</v>
      </c>
      <c r="C224" s="5" t="str">
        <f ca="1">IFERROR(__xludf.DUMMYFUNCTION("""COMPUTED_VALUE"""),"LINEA PET CSD - LINEA 10")</f>
        <v>LINEA PET CSD - LINEA 10</v>
      </c>
      <c r="D224" s="5">
        <f ca="1">IFERROR(__xludf.DUMMYFUNCTION("""COMPUTED_VALUE"""),579080)</f>
        <v>579080</v>
      </c>
      <c r="E224" s="5" t="str">
        <f ca="1">IFERROR(__xludf.DUMMYFUNCTION("""COMPUTED_VALUE"""),"PALETIZADORA")</f>
        <v>PALETIZADORA</v>
      </c>
      <c r="F224" s="5">
        <f ca="1">IFERROR(__xludf.DUMMYFUNCTION("""COMPUTED_VALUE"""),25373)</f>
        <v>25373</v>
      </c>
      <c r="G224" s="5" t="str">
        <f ca="1">IFERROR(__xludf.DUMMYFUNCTION("""COMPUTED_VALUE"""),"PLAN MTTO LUB PALETIZADORA CSD")</f>
        <v>PLAN MTTO LUB PALETIZADORA CSD</v>
      </c>
      <c r="H224" s="5">
        <f ca="1">IFERROR(__xludf.DUMMYFUNCTION("""COMPUTED_VALUE"""),13232393)</f>
        <v>13232393</v>
      </c>
      <c r="I224" s="5" t="str">
        <f ca="1">IFERROR(__xludf.DUMMYFUNCTION("""COMPUTED_VALUE"""),"Lubricacion Gral")</f>
        <v>Lubricacion Gral</v>
      </c>
      <c r="J224" s="5" t="str">
        <f ca="1">IFERROR(__xludf.DUMMYFUNCTION("""COMPUTED_VALUE"""),"MEDIO")</f>
        <v>MEDIO</v>
      </c>
      <c r="K224" s="5" t="str">
        <f ca="1">IFERROR(__xludf.DUMMYFUNCTION("""COMPUTED_VALUE"""),"Preventivo")</f>
        <v>Preventivo</v>
      </c>
      <c r="L224" s="5" t="str">
        <f ca="1">IFERROR(__xludf.DUMMYFUNCTION("""COMPUTED_VALUE"""),"Maquinaria")</f>
        <v>Maquinaria</v>
      </c>
      <c r="M224" s="5" t="str">
        <f ca="1">IFERROR(__xludf.DUMMYFUNCTION("""COMPUTED_VALUE"""),"No")</f>
        <v>No</v>
      </c>
      <c r="N224" s="5"/>
      <c r="O224" s="5">
        <f ca="1">IFERROR(__xludf.DUMMYFUNCTION("""COMPUTED_VALUE"""),100)</f>
        <v>100</v>
      </c>
      <c r="P224" s="18">
        <f ca="1">IFERROR(__xludf.DUMMYFUNCTION("""COMPUTED_VALUE"""),45328)</f>
        <v>45328</v>
      </c>
      <c r="Q224" s="18">
        <f ca="1">IFERROR(__xludf.DUMMYFUNCTION("""COMPUTED_VALUE"""),45328)</f>
        <v>45328</v>
      </c>
      <c r="R224" s="18"/>
      <c r="S224" s="5">
        <f ca="1">IFERROR(__xludf.DUMMYFUNCTION("""COMPUTED_VALUE"""),0.5)</f>
        <v>0.5</v>
      </c>
      <c r="T224" s="5"/>
      <c r="U224" s="5" t="str">
        <f ca="1">IFERROR(__xludf.DUMMYFUNCTION("""COMPUTED_VALUE"""),"Lucumi Juan")</f>
        <v>Lucumi Juan</v>
      </c>
      <c r="V224" s="5"/>
      <c r="W224" s="5" t="str">
        <f ca="1">IFERROR(__xludf.DUMMYFUNCTION("""COMPUTED_VALUE"""),"oyde6_dQwKw")</f>
        <v>oyde6_dQwKw</v>
      </c>
      <c r="X224" s="5">
        <f ca="1">IFERROR(__xludf.DUMMYFUNCTION("""COMPUTED_VALUE"""),0.5)</f>
        <v>0.5</v>
      </c>
      <c r="Y224" s="5" t="str">
        <f t="shared" ca="1" si="0"/>
        <v>Actividad realizada</v>
      </c>
      <c r="Z224" s="3">
        <f ca="1">IFERROR(VLOOKUP(U224, 'Base de datos'!A:B, 2, FALSE), "")</f>
        <v>573042194088</v>
      </c>
      <c r="AA224" s="4" t="e">
        <f t="shared" ca="1" si="1"/>
        <v>#NAME?</v>
      </c>
    </row>
    <row r="225" spans="1:27" ht="15.75" customHeight="1">
      <c r="A225" s="5" t="str">
        <f ca="1">IFERROR(__xludf.DUMMYFUNCTION("""COMPUTED_VALUE"""),"POSTOBÓN YUMBO")</f>
        <v>POSTOBÓN YUMBO</v>
      </c>
      <c r="B225" s="5" t="str">
        <f ca="1">IFERROR(__xludf.DUMMYFUNCTION("""COMPUTED_VALUE"""),"0410-LINEA PET CSD")</f>
        <v>0410-LINEA PET CSD</v>
      </c>
      <c r="C225" s="5" t="str">
        <f ca="1">IFERROR(__xludf.DUMMYFUNCTION("""COMPUTED_VALUE"""),"LINEA PET CSD - LINEA 10")</f>
        <v>LINEA PET CSD - LINEA 10</v>
      </c>
      <c r="D225" s="5">
        <f ca="1">IFERROR(__xludf.DUMMYFUNCTION("""COMPUTED_VALUE"""),829871)</f>
        <v>829871</v>
      </c>
      <c r="E225" s="5" t="str">
        <f ca="1">IFERROR(__xludf.DUMMYFUNCTION("""COMPUTED_VALUE"""),"TRANSPORTE DE ENVASES")</f>
        <v>TRANSPORTE DE ENVASES</v>
      </c>
      <c r="F225" s="5">
        <f ca="1">IFERROR(__xludf.DUMMYFUNCTION("""COMPUTED_VALUE"""),25377)</f>
        <v>25377</v>
      </c>
      <c r="G225" s="5" t="str">
        <f ca="1">IFERROR(__xludf.DUMMYFUNCTION("""COMPUTED_VALUE"""),"PLAN MTTO LUB TRANSPORTE ENVASES CSD")</f>
        <v>PLAN MTTO LUB TRANSPORTE ENVASES CSD</v>
      </c>
      <c r="H225" s="5">
        <f ca="1">IFERROR(__xludf.DUMMYFUNCTION("""COMPUTED_VALUE"""),13232394)</f>
        <v>13232394</v>
      </c>
      <c r="I225" s="5" t="str">
        <f ca="1">IFERROR(__xludf.DUMMYFUNCTION("""COMPUTED_VALUE"""),"Lubricar chumaceras")</f>
        <v>Lubricar chumaceras</v>
      </c>
      <c r="J225" s="5" t="str">
        <f ca="1">IFERROR(__xludf.DUMMYFUNCTION("""COMPUTED_VALUE"""),"MEDIO")</f>
        <v>MEDIO</v>
      </c>
      <c r="K225" s="5" t="str">
        <f ca="1">IFERROR(__xludf.DUMMYFUNCTION("""COMPUTED_VALUE"""),"Preventivo")</f>
        <v>Preventivo</v>
      </c>
      <c r="L225" s="5" t="str">
        <f ca="1">IFERROR(__xludf.DUMMYFUNCTION("""COMPUTED_VALUE"""),"Maquinaria")</f>
        <v>Maquinaria</v>
      </c>
      <c r="M225" s="5" t="str">
        <f ca="1">IFERROR(__xludf.DUMMYFUNCTION("""COMPUTED_VALUE"""),"No")</f>
        <v>No</v>
      </c>
      <c r="N225" s="5"/>
      <c r="O225" s="5">
        <f ca="1">IFERROR(__xludf.DUMMYFUNCTION("""COMPUTED_VALUE"""),100)</f>
        <v>100</v>
      </c>
      <c r="P225" s="18">
        <f ca="1">IFERROR(__xludf.DUMMYFUNCTION("""COMPUTED_VALUE"""),45329)</f>
        <v>45329</v>
      </c>
      <c r="Q225" s="18">
        <f ca="1">IFERROR(__xludf.DUMMYFUNCTION("""COMPUTED_VALUE"""),45329)</f>
        <v>45329</v>
      </c>
      <c r="R225" s="18"/>
      <c r="S225" s="5">
        <f ca="1">IFERROR(__xludf.DUMMYFUNCTION("""COMPUTED_VALUE"""),0.5)</f>
        <v>0.5</v>
      </c>
      <c r="T225" s="5"/>
      <c r="U225" s="5" t="str">
        <f ca="1">IFERROR(__xludf.DUMMYFUNCTION("""COMPUTED_VALUE"""),"Parra Ramos Hector Jairo")</f>
        <v>Parra Ramos Hector Jairo</v>
      </c>
      <c r="V225" s="5"/>
      <c r="W225" s="5" t="str">
        <f ca="1">IFERROR(__xludf.DUMMYFUNCTION("""COMPUTED_VALUE"""),"opibEAw5yLc")</f>
        <v>opibEAw5yLc</v>
      </c>
      <c r="X225" s="5">
        <f ca="1">IFERROR(__xludf.DUMMYFUNCTION("""COMPUTED_VALUE"""),0.5)</f>
        <v>0.5</v>
      </c>
      <c r="Y225" s="5" t="str">
        <f t="shared" ca="1" si="0"/>
        <v>Actividad realizada</v>
      </c>
      <c r="Z225" s="3">
        <f ca="1">IFERROR(VLOOKUP(U225, 'Base de datos'!A:B, 2, FALSE), "")</f>
        <v>573122198612</v>
      </c>
      <c r="AA225" s="4" t="e">
        <f t="shared" ca="1" si="1"/>
        <v>#NAME?</v>
      </c>
    </row>
    <row r="226" spans="1:27" ht="15.75" customHeight="1">
      <c r="A226" s="5" t="str">
        <f ca="1">IFERROR(__xludf.DUMMYFUNCTION("""COMPUTED_VALUE"""),"POSTOBÓN YUMBO")</f>
        <v>POSTOBÓN YUMBO</v>
      </c>
      <c r="B226" s="5" t="str">
        <f ca="1">IFERROR(__xludf.DUMMYFUNCTION("""COMPUTED_VALUE"""),"0410-LINEA 3")</f>
        <v>0410-LINEA 3</v>
      </c>
      <c r="C226" s="5" t="str">
        <f ca="1">IFERROR(__xludf.DUMMYFUNCTION("""COMPUTED_VALUE"""),"LINEA DE ENVASADO TAMAÑO PERSONAL")</f>
        <v>LINEA DE ENVASADO TAMAÑO PERSONAL</v>
      </c>
      <c r="D226" s="5">
        <f ca="1">IFERROR(__xludf.DUMMYFUNCTION("""COMPUTED_VALUE"""),508169)</f>
        <v>508169</v>
      </c>
      <c r="E226" s="5" t="str">
        <f ca="1">IFERROR(__xludf.DUMMYFUNCTION("""COMPUTED_VALUE"""),"LAVADORA DE BOTELLAS")</f>
        <v>LAVADORA DE BOTELLAS</v>
      </c>
      <c r="F226" s="5">
        <f ca="1">IFERROR(__xludf.DUMMYFUNCTION("""COMPUTED_VALUE"""),13351)</f>
        <v>13351</v>
      </c>
      <c r="G226" s="5" t="str">
        <f ca="1">IFERROR(__xludf.DUMMYFUNCTION("""COMPUTED_VALUE"""),"Mantto lubricacion lavadora de botellas.")</f>
        <v>Mantto lubricacion lavadora de botellas.</v>
      </c>
      <c r="H226" s="5">
        <f ca="1">IFERROR(__xludf.DUMMYFUNCTION("""COMPUTED_VALUE"""),13247133)</f>
        <v>13247133</v>
      </c>
      <c r="I226" s="5" t="str">
        <f ca="1">IFERROR(__xludf.DUMMYFUNCTION("""COMPUTED_VALUE"""),"Lubricar balineras y chumaceras.")</f>
        <v>Lubricar balineras y chumaceras.</v>
      </c>
      <c r="J226" s="5" t="str">
        <f ca="1">IFERROR(__xludf.DUMMYFUNCTION("""COMPUTED_VALUE"""),"ALTO")</f>
        <v>ALTO</v>
      </c>
      <c r="K226" s="5" t="str">
        <f ca="1">IFERROR(__xludf.DUMMYFUNCTION("""COMPUTED_VALUE"""),"Preventivo")</f>
        <v>Preventivo</v>
      </c>
      <c r="L226" s="5" t="str">
        <f ca="1">IFERROR(__xludf.DUMMYFUNCTION("""COMPUTED_VALUE"""),"Maquinaria")</f>
        <v>Maquinaria</v>
      </c>
      <c r="M226" s="5" t="str">
        <f ca="1">IFERROR(__xludf.DUMMYFUNCTION("""COMPUTED_VALUE"""),"No")</f>
        <v>No</v>
      </c>
      <c r="N226" s="5"/>
      <c r="O226" s="5"/>
      <c r="P226" s="18">
        <f ca="1">IFERROR(__xludf.DUMMYFUNCTION("""COMPUTED_VALUE"""),45324)</f>
        <v>45324</v>
      </c>
      <c r="Q226" s="18">
        <f ca="1">IFERROR(__xludf.DUMMYFUNCTION("""COMPUTED_VALUE"""),45324)</f>
        <v>45324</v>
      </c>
      <c r="R226" s="18"/>
      <c r="S226" s="5">
        <f ca="1">IFERROR(__xludf.DUMMYFUNCTION("""COMPUTED_VALUE"""),2)</f>
        <v>2</v>
      </c>
      <c r="T226" s="5"/>
      <c r="U226" s="5" t="str">
        <f ca="1">IFERROR(__xludf.DUMMYFUNCTION("""COMPUTED_VALUE"""),"Jimenez Jhon")</f>
        <v>Jimenez Jhon</v>
      </c>
      <c r="V226" s="5"/>
      <c r="W226" s="5" t="str">
        <f ca="1">IFERROR(__xludf.DUMMYFUNCTION("""COMPUTED_VALUE"""),"D7I7i48bps8")</f>
        <v>D7I7i48bps8</v>
      </c>
      <c r="X226" s="5">
        <f ca="1">IFERROR(__xludf.DUMMYFUNCTION("""COMPUTED_VALUE"""),2)</f>
        <v>2</v>
      </c>
      <c r="Y226" s="5" t="str">
        <f t="shared" si="0"/>
        <v>Actividad sin realizar</v>
      </c>
      <c r="Z226" s="3">
        <f ca="1">IFERROR(VLOOKUP(U226, 'Base de datos'!A:B, 2, FALSE), "")</f>
        <v>573147637946</v>
      </c>
      <c r="AA226" s="4" t="e">
        <f t="shared" ca="1" si="1"/>
        <v>#NAME?</v>
      </c>
    </row>
    <row r="227" spans="1:27" ht="15.75" customHeight="1">
      <c r="A227" s="5" t="str">
        <f ca="1">IFERROR(__xludf.DUMMYFUNCTION("""COMPUTED_VALUE"""),"POSTOBÓN YUMBO")</f>
        <v>POSTOBÓN YUMBO</v>
      </c>
      <c r="B227" s="5" t="str">
        <f ca="1">IFERROR(__xludf.DUMMYFUNCTION("""COMPUTED_VALUE"""),"0410-LINEA 3")</f>
        <v>0410-LINEA 3</v>
      </c>
      <c r="C227" s="5" t="str">
        <f ca="1">IFERROR(__xludf.DUMMYFUNCTION("""COMPUTED_VALUE"""),"LINEA DE ENVASADO TAMAÑO PERSONAL")</f>
        <v>LINEA DE ENVASADO TAMAÑO PERSONAL</v>
      </c>
      <c r="D227" s="5">
        <f ca="1">IFERROR(__xludf.DUMMYFUNCTION("""COMPUTED_VALUE"""),508169)</f>
        <v>508169</v>
      </c>
      <c r="E227" s="5" t="str">
        <f ca="1">IFERROR(__xludf.DUMMYFUNCTION("""COMPUTED_VALUE"""),"LAVADORA DE BOTELLAS")</f>
        <v>LAVADORA DE BOTELLAS</v>
      </c>
      <c r="F227" s="5">
        <f ca="1">IFERROR(__xludf.DUMMYFUNCTION("""COMPUTED_VALUE"""),13351)</f>
        <v>13351</v>
      </c>
      <c r="G227" s="5" t="str">
        <f ca="1">IFERROR(__xludf.DUMMYFUNCTION("""COMPUTED_VALUE"""),"Mantto lubricacion lavadora de botellas.")</f>
        <v>Mantto lubricacion lavadora de botellas.</v>
      </c>
      <c r="H227" s="5">
        <f ca="1">IFERROR(__xludf.DUMMYFUNCTION("""COMPUTED_VALUE"""),13247133)</f>
        <v>13247133</v>
      </c>
      <c r="I227" s="5" t="str">
        <f ca="1">IFERROR(__xludf.DUMMYFUNCTION("""COMPUTED_VALUE"""),"Lubricar tablero cargue y descargue.")</f>
        <v>Lubricar tablero cargue y descargue.</v>
      </c>
      <c r="J227" s="5" t="str">
        <f ca="1">IFERROR(__xludf.DUMMYFUNCTION("""COMPUTED_VALUE"""),"ALTO")</f>
        <v>ALTO</v>
      </c>
      <c r="K227" s="5" t="str">
        <f ca="1">IFERROR(__xludf.DUMMYFUNCTION("""COMPUTED_VALUE"""),"Preventivo")</f>
        <v>Preventivo</v>
      </c>
      <c r="L227" s="5" t="str">
        <f ca="1">IFERROR(__xludf.DUMMYFUNCTION("""COMPUTED_VALUE"""),"Maquinaria")</f>
        <v>Maquinaria</v>
      </c>
      <c r="M227" s="5" t="str">
        <f ca="1">IFERROR(__xludf.DUMMYFUNCTION("""COMPUTED_VALUE"""),"No")</f>
        <v>No</v>
      </c>
      <c r="N227" s="5"/>
      <c r="O227" s="5"/>
      <c r="P227" s="18">
        <f ca="1">IFERROR(__xludf.DUMMYFUNCTION("""COMPUTED_VALUE"""),45324)</f>
        <v>45324</v>
      </c>
      <c r="Q227" s="18">
        <f ca="1">IFERROR(__xludf.DUMMYFUNCTION("""COMPUTED_VALUE"""),45324)</f>
        <v>45324</v>
      </c>
      <c r="R227" s="18"/>
      <c r="S227" s="5">
        <f ca="1">IFERROR(__xludf.DUMMYFUNCTION("""COMPUTED_VALUE"""),1)</f>
        <v>1</v>
      </c>
      <c r="T227" s="5"/>
      <c r="U227" s="5" t="str">
        <f ca="1">IFERROR(__xludf.DUMMYFUNCTION("""COMPUTED_VALUE"""),"Jimenez Jhon")</f>
        <v>Jimenez Jhon</v>
      </c>
      <c r="V227" s="5"/>
      <c r="W227" s="5" t="str">
        <f ca="1">IFERROR(__xludf.DUMMYFUNCTION("""COMPUTED_VALUE"""),"5MypGaUsHQM")</f>
        <v>5MypGaUsHQM</v>
      </c>
      <c r="X227" s="5">
        <f ca="1">IFERROR(__xludf.DUMMYFUNCTION("""COMPUTED_VALUE"""),1)</f>
        <v>1</v>
      </c>
      <c r="Y227" s="5" t="str">
        <f t="shared" si="0"/>
        <v>Actividad sin realizar</v>
      </c>
      <c r="Z227" s="3">
        <f ca="1">IFERROR(VLOOKUP(U227, 'Base de datos'!A:B, 2, FALSE), "")</f>
        <v>573147637946</v>
      </c>
      <c r="AA227" s="4" t="e">
        <f t="shared" ca="1" si="1"/>
        <v>#NAME?</v>
      </c>
    </row>
    <row r="228" spans="1:27" ht="15.75" customHeight="1">
      <c r="A228" s="5" t="str">
        <f ca="1">IFERROR(__xludf.DUMMYFUNCTION("""COMPUTED_VALUE"""),"POSTOBÓN YUMBO")</f>
        <v>POSTOBÓN YUMBO</v>
      </c>
      <c r="B228" s="5" t="str">
        <f ca="1">IFERROR(__xludf.DUMMYFUNCTION("""COMPUTED_VALUE"""),"0410-SALA DE JARABE TERMINADO")</f>
        <v>0410-SALA DE JARABE TERMINADO</v>
      </c>
      <c r="C228" s="5" t="str">
        <f ca="1">IFERROR(__xludf.DUMMYFUNCTION("""COMPUTED_VALUE"""),"EQUIPOS PARA PREPARACION DE JARABE")</f>
        <v>EQUIPOS PARA PREPARACION DE JARABE</v>
      </c>
      <c r="D228" s="5">
        <f ca="1">IFERROR(__xludf.DUMMYFUNCTION("""COMPUTED_VALUE"""),69963410)</f>
        <v>69963410</v>
      </c>
      <c r="E228" s="5" t="str">
        <f ca="1">IFERROR(__xludf.DUMMYFUNCTION("""COMPUTED_VALUE"""),"TANQUE DE JARABE")</f>
        <v>TANQUE DE JARABE</v>
      </c>
      <c r="F228" s="5">
        <f ca="1">IFERROR(__xludf.DUMMYFUNCTION("""COMPUTED_VALUE"""),17361)</f>
        <v>17361</v>
      </c>
      <c r="G228" s="5" t="str">
        <f ca="1">IFERROR(__xludf.DUMMYFUNCTION("""COMPUTED_VALUE"""),"MTTO ELE TK JARABE 7 JARABE TERMINADO")</f>
        <v>MTTO ELE TK JARABE 7 JARABE TERMINADO</v>
      </c>
      <c r="H228" s="5">
        <f ca="1">IFERROR(__xludf.DUMMYFUNCTION("""COMPUTED_VALUE"""),13247161)</f>
        <v>13247161</v>
      </c>
      <c r="I228" s="5" t="str">
        <f ca="1">IFERROR(__xludf.DUMMYFUNCTION("""COMPUTED_VALUE"""),"MOTOR BOMBA DE RECIRCULACION:")</f>
        <v>MOTOR BOMBA DE RECIRCULACION:</v>
      </c>
      <c r="J228" s="5" t="str">
        <f ca="1">IFERROR(__xludf.DUMMYFUNCTION("""COMPUTED_VALUE"""),"ALTO")</f>
        <v>ALTO</v>
      </c>
      <c r="K228" s="5" t="str">
        <f ca="1">IFERROR(__xludf.DUMMYFUNCTION("""COMPUTED_VALUE"""),"Preventivo")</f>
        <v>Preventivo</v>
      </c>
      <c r="L228" s="5" t="str">
        <f ca="1">IFERROR(__xludf.DUMMYFUNCTION("""COMPUTED_VALUE"""),"Maquinaria")</f>
        <v>Maquinaria</v>
      </c>
      <c r="M228" s="5" t="str">
        <f ca="1">IFERROR(__xludf.DUMMYFUNCTION("""COMPUTED_VALUE"""),"No")</f>
        <v>No</v>
      </c>
      <c r="N228" s="5"/>
      <c r="O228" s="5">
        <f ca="1">IFERROR(__xludf.DUMMYFUNCTION("""COMPUTED_VALUE"""),100)</f>
        <v>100</v>
      </c>
      <c r="P228" s="18">
        <f ca="1">IFERROR(__xludf.DUMMYFUNCTION("""COMPUTED_VALUE"""),45343)</f>
        <v>45343</v>
      </c>
      <c r="Q228" s="18">
        <f ca="1">IFERROR(__xludf.DUMMYFUNCTION("""COMPUTED_VALUE"""),45343)</f>
        <v>45343</v>
      </c>
      <c r="R228" s="18"/>
      <c r="S228" s="5">
        <f ca="1">IFERROR(__xludf.DUMMYFUNCTION("""COMPUTED_VALUE"""),1)</f>
        <v>1</v>
      </c>
      <c r="T228" s="5"/>
      <c r="U228" s="5" t="str">
        <f ca="1">IFERROR(__xludf.DUMMYFUNCTION("""COMPUTED_VALUE"""),"Moreno Pernia Bladimir")</f>
        <v>Moreno Pernia Bladimir</v>
      </c>
      <c r="V228" s="5"/>
      <c r="W228" s="5" t="str">
        <f ca="1">IFERROR(__xludf.DUMMYFUNCTION("""COMPUTED_VALUE"""),"ask7x8qvyAs")</f>
        <v>ask7x8qvyAs</v>
      </c>
      <c r="X228" s="5">
        <f ca="1">IFERROR(__xludf.DUMMYFUNCTION("""COMPUTED_VALUE"""),1)</f>
        <v>1</v>
      </c>
      <c r="Y228" s="5" t="str">
        <f t="shared" ca="1" si="0"/>
        <v>Actividad realizada</v>
      </c>
      <c r="Z228" s="3">
        <f ca="1">IFERROR(VLOOKUP(U228, 'Base de datos'!A:B, 2, FALSE), "")</f>
        <v>573148903137</v>
      </c>
      <c r="AA228" s="4" t="e">
        <f t="shared" ca="1" si="1"/>
        <v>#NAME?</v>
      </c>
    </row>
    <row r="229" spans="1:27" ht="15.75" customHeight="1">
      <c r="A229" s="5" t="str">
        <f ca="1">IFERROR(__xludf.DUMMYFUNCTION("""COMPUTED_VALUE"""),"POSTOBÓN YUMBO")</f>
        <v>POSTOBÓN YUMBO</v>
      </c>
      <c r="B229" s="5" t="str">
        <f ca="1">IFERROR(__xludf.DUMMYFUNCTION("""COMPUTED_VALUE"""),"0410-SALA DE JARABE TERMINADO")</f>
        <v>0410-SALA DE JARABE TERMINADO</v>
      </c>
      <c r="C229" s="5" t="str">
        <f ca="1">IFERROR(__xludf.DUMMYFUNCTION("""COMPUTED_VALUE"""),"EQUIPOS PARA PREPARACION DE JARABE")</f>
        <v>EQUIPOS PARA PREPARACION DE JARABE</v>
      </c>
      <c r="D229" s="5">
        <f ca="1">IFERROR(__xludf.DUMMYFUNCTION("""COMPUTED_VALUE"""),69963411)</f>
        <v>69963411</v>
      </c>
      <c r="E229" s="5" t="str">
        <f ca="1">IFERROR(__xludf.DUMMYFUNCTION("""COMPUTED_VALUE"""),"TANQUE DE JARABE")</f>
        <v>TANQUE DE JARABE</v>
      </c>
      <c r="F229" s="5">
        <f ca="1">IFERROR(__xludf.DUMMYFUNCTION("""COMPUTED_VALUE"""),17361)</f>
        <v>17361</v>
      </c>
      <c r="G229" s="5" t="str">
        <f ca="1">IFERROR(__xludf.DUMMYFUNCTION("""COMPUTED_VALUE"""),"MTTO MEC TK JARABE 8 JARABE TERMINADO")</f>
        <v>MTTO MEC TK JARABE 8 JARABE TERMINADO</v>
      </c>
      <c r="H229" s="5">
        <f ca="1">IFERROR(__xludf.DUMMYFUNCTION("""COMPUTED_VALUE"""),13247162)</f>
        <v>13247162</v>
      </c>
      <c r="I229" s="5" t="str">
        <f ca="1">IFERROR(__xludf.DUMMYFUNCTION("""COMPUTED_VALUE"""),"BOMBA DE RECIRCULACION:")</f>
        <v>BOMBA DE RECIRCULACION:</v>
      </c>
      <c r="J229" s="5" t="str">
        <f ca="1">IFERROR(__xludf.DUMMYFUNCTION("""COMPUTED_VALUE"""),"ALTO")</f>
        <v>ALTO</v>
      </c>
      <c r="K229" s="5" t="str">
        <f ca="1">IFERROR(__xludf.DUMMYFUNCTION("""COMPUTED_VALUE"""),"Preventivo")</f>
        <v>Preventivo</v>
      </c>
      <c r="L229" s="5" t="str">
        <f ca="1">IFERROR(__xludf.DUMMYFUNCTION("""COMPUTED_VALUE"""),"Maquinaria")</f>
        <v>Maquinaria</v>
      </c>
      <c r="M229" s="5" t="str">
        <f ca="1">IFERROR(__xludf.DUMMYFUNCTION("""COMPUTED_VALUE"""),"No")</f>
        <v>No</v>
      </c>
      <c r="N229" s="5"/>
      <c r="O229" s="5">
        <f ca="1">IFERROR(__xludf.DUMMYFUNCTION("""COMPUTED_VALUE"""),100)</f>
        <v>100</v>
      </c>
      <c r="P229" s="18">
        <f ca="1">IFERROR(__xludf.DUMMYFUNCTION("""COMPUTED_VALUE"""),45342)</f>
        <v>45342</v>
      </c>
      <c r="Q229" s="18">
        <f ca="1">IFERROR(__xludf.DUMMYFUNCTION("""COMPUTED_VALUE"""),45342)</f>
        <v>45342</v>
      </c>
      <c r="R229" s="18"/>
      <c r="S229" s="5">
        <f ca="1">IFERROR(__xludf.DUMMYFUNCTION("""COMPUTED_VALUE"""),1)</f>
        <v>1</v>
      </c>
      <c r="T229" s="5"/>
      <c r="U229" s="5" t="str">
        <f ca="1">IFERROR(__xludf.DUMMYFUNCTION("""COMPUTED_VALUE"""),"Rivas Mena Carlos Danny")</f>
        <v>Rivas Mena Carlos Danny</v>
      </c>
      <c r="V229" s="5"/>
      <c r="W229" s="5" t="str">
        <f ca="1">IFERROR(__xludf.DUMMYFUNCTION("""COMPUTED_VALUE"""),"cqfnUO4PO7g")</f>
        <v>cqfnUO4PO7g</v>
      </c>
      <c r="X229" s="5">
        <f ca="1">IFERROR(__xludf.DUMMYFUNCTION("""COMPUTED_VALUE"""),1)</f>
        <v>1</v>
      </c>
      <c r="Y229" s="5" t="str">
        <f t="shared" ca="1" si="0"/>
        <v>Actividad realizada</v>
      </c>
      <c r="Z229" s="3">
        <f ca="1">IFERROR(VLOOKUP(U229, 'Base de datos'!A:B, 2, FALSE), "")</f>
        <v>0</v>
      </c>
      <c r="AA229" s="4" t="e">
        <f t="shared" ca="1" si="1"/>
        <v>#NAME?</v>
      </c>
    </row>
    <row r="230" spans="1:27" ht="15.75" customHeight="1">
      <c r="A230" s="5" t="str">
        <f ca="1">IFERROR(__xludf.DUMMYFUNCTION("""COMPUTED_VALUE"""),"POSTOBÓN YUMBO")</f>
        <v>POSTOBÓN YUMBO</v>
      </c>
      <c r="B230" s="5" t="str">
        <f ca="1">IFERROR(__xludf.DUMMYFUNCTION("""COMPUTED_VALUE"""),"0410-SALA DE JARABE TERMINADO")</f>
        <v>0410-SALA DE JARABE TERMINADO</v>
      </c>
      <c r="C230" s="5" t="str">
        <f ca="1">IFERROR(__xludf.DUMMYFUNCTION("""COMPUTED_VALUE"""),"EQUIPOS PARA PREPARACION DE JARABE")</f>
        <v>EQUIPOS PARA PREPARACION DE JARABE</v>
      </c>
      <c r="D230" s="5">
        <f ca="1">IFERROR(__xludf.DUMMYFUNCTION("""COMPUTED_VALUE"""),69963409)</f>
        <v>69963409</v>
      </c>
      <c r="E230" s="5" t="str">
        <f ca="1">IFERROR(__xludf.DUMMYFUNCTION("""COMPUTED_VALUE"""),"TANQUE DE JARABE")</f>
        <v>TANQUE DE JARABE</v>
      </c>
      <c r="F230" s="5">
        <f ca="1">IFERROR(__xludf.DUMMYFUNCTION("""COMPUTED_VALUE"""),17361)</f>
        <v>17361</v>
      </c>
      <c r="G230" s="5" t="str">
        <f ca="1">IFERROR(__xludf.DUMMYFUNCTION("""COMPUTED_VALUE"""),"MTTO MEC TK JARABE 6 JARABE TERMINADO")</f>
        <v>MTTO MEC TK JARABE 6 JARABE TERMINADO</v>
      </c>
      <c r="H230" s="5">
        <f ca="1">IFERROR(__xludf.DUMMYFUNCTION("""COMPUTED_VALUE"""),13247158)</f>
        <v>13247158</v>
      </c>
      <c r="I230" s="5" t="str">
        <f ca="1">IFERROR(__xludf.DUMMYFUNCTION("""COMPUTED_VALUE"""),"ANTON PAAR - dentro de la cubierta de")</f>
        <v>ANTON PAAR - dentro de la cubierta de</v>
      </c>
      <c r="J230" s="5" t="str">
        <f ca="1">IFERROR(__xludf.DUMMYFUNCTION("""COMPUTED_VALUE"""),"ALTO")</f>
        <v>ALTO</v>
      </c>
      <c r="K230" s="5" t="str">
        <f ca="1">IFERROR(__xludf.DUMMYFUNCTION("""COMPUTED_VALUE"""),"Preventivo")</f>
        <v>Preventivo</v>
      </c>
      <c r="L230" s="5" t="str">
        <f ca="1">IFERROR(__xludf.DUMMYFUNCTION("""COMPUTED_VALUE"""),"Maquinaria")</f>
        <v>Maquinaria</v>
      </c>
      <c r="M230" s="5" t="str">
        <f ca="1">IFERROR(__xludf.DUMMYFUNCTION("""COMPUTED_VALUE"""),"No")</f>
        <v>No</v>
      </c>
      <c r="N230" s="5"/>
      <c r="O230" s="5">
        <f ca="1">IFERROR(__xludf.DUMMYFUNCTION("""COMPUTED_VALUE"""),100)</f>
        <v>100</v>
      </c>
      <c r="P230" s="18">
        <f ca="1">IFERROR(__xludf.DUMMYFUNCTION("""COMPUTED_VALUE"""),45342)</f>
        <v>45342</v>
      </c>
      <c r="Q230" s="18">
        <f ca="1">IFERROR(__xludf.DUMMYFUNCTION("""COMPUTED_VALUE"""),45342)</f>
        <v>45342</v>
      </c>
      <c r="R230" s="18"/>
      <c r="S230" s="5">
        <f ca="1">IFERROR(__xludf.DUMMYFUNCTION("""COMPUTED_VALUE"""),1)</f>
        <v>1</v>
      </c>
      <c r="T230" s="5"/>
      <c r="U230" s="5" t="str">
        <f ca="1">IFERROR(__xludf.DUMMYFUNCTION("""COMPUTED_VALUE"""),"Moreno Pernia Bladimir")</f>
        <v>Moreno Pernia Bladimir</v>
      </c>
      <c r="V230" s="5"/>
      <c r="W230" s="5" t="str">
        <f ca="1">IFERROR(__xludf.DUMMYFUNCTION("""COMPUTED_VALUE"""),"jOYFseqq8m4")</f>
        <v>jOYFseqq8m4</v>
      </c>
      <c r="X230" s="5">
        <f ca="1">IFERROR(__xludf.DUMMYFUNCTION("""COMPUTED_VALUE"""),1)</f>
        <v>1</v>
      </c>
      <c r="Y230" s="5" t="str">
        <f t="shared" ca="1" si="0"/>
        <v>Actividad realizada</v>
      </c>
      <c r="Z230" s="3">
        <f ca="1">IFERROR(VLOOKUP(U230, 'Base de datos'!A:B, 2, FALSE), "")</f>
        <v>573148903137</v>
      </c>
      <c r="AA230" s="4" t="e">
        <f t="shared" ca="1" si="1"/>
        <v>#NAME?</v>
      </c>
    </row>
    <row r="231" spans="1:27" ht="15.75" customHeight="1">
      <c r="A231" s="5" t="str">
        <f ca="1">IFERROR(__xludf.DUMMYFUNCTION("""COMPUTED_VALUE"""),"POSTOBÓN YUMBO")</f>
        <v>POSTOBÓN YUMBO</v>
      </c>
      <c r="B231" s="5" t="str">
        <f ca="1">IFERROR(__xludf.DUMMYFUNCTION("""COMPUTED_VALUE"""),"0410-SALA DE JARABE TERMINADO")</f>
        <v>0410-SALA DE JARABE TERMINADO</v>
      </c>
      <c r="C231" s="5" t="str">
        <f ca="1">IFERROR(__xludf.DUMMYFUNCTION("""COMPUTED_VALUE"""),"EQUIPOS PARA PREPARACION DE JARABE")</f>
        <v>EQUIPOS PARA PREPARACION DE JARABE</v>
      </c>
      <c r="D231" s="5">
        <f ca="1">IFERROR(__xludf.DUMMYFUNCTION("""COMPUTED_VALUE"""),69963409)</f>
        <v>69963409</v>
      </c>
      <c r="E231" s="5" t="str">
        <f ca="1">IFERROR(__xludf.DUMMYFUNCTION("""COMPUTED_VALUE"""),"TANQUE DE JARABE")</f>
        <v>TANQUE DE JARABE</v>
      </c>
      <c r="F231" s="5">
        <f ca="1">IFERROR(__xludf.DUMMYFUNCTION("""COMPUTED_VALUE"""),17361)</f>
        <v>17361</v>
      </c>
      <c r="G231" s="5" t="str">
        <f ca="1">IFERROR(__xludf.DUMMYFUNCTION("""COMPUTED_VALUE"""),"MTTO MEC TK JARABE 6 JARABE TERMINADO")</f>
        <v>MTTO MEC TK JARABE 6 JARABE TERMINADO</v>
      </c>
      <c r="H231" s="5">
        <f ca="1">IFERROR(__xludf.DUMMYFUNCTION("""COMPUTED_VALUE"""),13247158)</f>
        <v>13247158</v>
      </c>
      <c r="I231" s="5" t="str">
        <f ca="1">IFERROR(__xludf.DUMMYFUNCTION("""COMPUTED_VALUE"""),"BOMBA DE RECIRCULACION:")</f>
        <v>BOMBA DE RECIRCULACION:</v>
      </c>
      <c r="J231" s="5" t="str">
        <f ca="1">IFERROR(__xludf.DUMMYFUNCTION("""COMPUTED_VALUE"""),"ALTO")</f>
        <v>ALTO</v>
      </c>
      <c r="K231" s="5" t="str">
        <f ca="1">IFERROR(__xludf.DUMMYFUNCTION("""COMPUTED_VALUE"""),"Preventivo")</f>
        <v>Preventivo</v>
      </c>
      <c r="L231" s="5" t="str">
        <f ca="1">IFERROR(__xludf.DUMMYFUNCTION("""COMPUTED_VALUE"""),"Maquinaria")</f>
        <v>Maquinaria</v>
      </c>
      <c r="M231" s="5" t="str">
        <f ca="1">IFERROR(__xludf.DUMMYFUNCTION("""COMPUTED_VALUE"""),"No")</f>
        <v>No</v>
      </c>
      <c r="N231" s="5"/>
      <c r="O231" s="5">
        <f ca="1">IFERROR(__xludf.DUMMYFUNCTION("""COMPUTED_VALUE"""),100)</f>
        <v>100</v>
      </c>
      <c r="P231" s="18">
        <f ca="1">IFERROR(__xludf.DUMMYFUNCTION("""COMPUTED_VALUE"""),45342)</f>
        <v>45342</v>
      </c>
      <c r="Q231" s="18">
        <f ca="1">IFERROR(__xludf.DUMMYFUNCTION("""COMPUTED_VALUE"""),45342)</f>
        <v>45342</v>
      </c>
      <c r="R231" s="18"/>
      <c r="S231" s="5">
        <f ca="1">IFERROR(__xludf.DUMMYFUNCTION("""COMPUTED_VALUE"""),1)</f>
        <v>1</v>
      </c>
      <c r="T231" s="5"/>
      <c r="U231" s="5" t="str">
        <f ca="1">IFERROR(__xludf.DUMMYFUNCTION("""COMPUTED_VALUE"""),"Moreno Pernia Bladimir")</f>
        <v>Moreno Pernia Bladimir</v>
      </c>
      <c r="V231" s="5"/>
      <c r="W231" s="5" t="str">
        <f ca="1">IFERROR(__xludf.DUMMYFUNCTION("""COMPUTED_VALUE"""),"eJlV2ablotQ")</f>
        <v>eJlV2ablotQ</v>
      </c>
      <c r="X231" s="5">
        <f ca="1">IFERROR(__xludf.DUMMYFUNCTION("""COMPUTED_VALUE"""),1)</f>
        <v>1</v>
      </c>
      <c r="Y231" s="5" t="str">
        <f t="shared" ca="1" si="0"/>
        <v>Actividad realizada</v>
      </c>
      <c r="Z231" s="3">
        <f ca="1">IFERROR(VLOOKUP(U231, 'Base de datos'!A:B, 2, FALSE), "")</f>
        <v>573148903137</v>
      </c>
      <c r="AA231" s="4" t="e">
        <f t="shared" ca="1" si="1"/>
        <v>#NAME?</v>
      </c>
    </row>
    <row r="232" spans="1:27" ht="15.75" customHeight="1">
      <c r="A232" s="5" t="str">
        <f ca="1">IFERROR(__xludf.DUMMYFUNCTION("""COMPUTED_VALUE"""),"POSTOBÓN YUMBO")</f>
        <v>POSTOBÓN YUMBO</v>
      </c>
      <c r="B232" s="5" t="str">
        <f ca="1">IFERROR(__xludf.DUMMYFUNCTION("""COMPUTED_VALUE"""),"0410-SALA DE JARABE TERMINADO")</f>
        <v>0410-SALA DE JARABE TERMINADO</v>
      </c>
      <c r="C232" s="5" t="str">
        <f ca="1">IFERROR(__xludf.DUMMYFUNCTION("""COMPUTED_VALUE"""),"EQUIPOS PARA PREPARACION DE JARABE")</f>
        <v>EQUIPOS PARA PREPARACION DE JARABE</v>
      </c>
      <c r="D232" s="5">
        <f ca="1">IFERROR(__xludf.DUMMYFUNCTION("""COMPUTED_VALUE"""),69963408)</f>
        <v>69963408</v>
      </c>
      <c r="E232" s="5" t="str">
        <f ca="1">IFERROR(__xludf.DUMMYFUNCTION("""COMPUTED_VALUE"""),"TANQUE DE JARABE")</f>
        <v>TANQUE DE JARABE</v>
      </c>
      <c r="F232" s="5">
        <f ca="1">IFERROR(__xludf.DUMMYFUNCTION("""COMPUTED_VALUE"""),17361)</f>
        <v>17361</v>
      </c>
      <c r="G232" s="5" t="str">
        <f ca="1">IFERROR(__xludf.DUMMYFUNCTION("""COMPUTED_VALUE"""),"MTTO MEC TK JARABE 5 JARABE TERMINADO")</f>
        <v>MTTO MEC TK JARABE 5 JARABE TERMINADO</v>
      </c>
      <c r="H232" s="5">
        <f ca="1">IFERROR(__xludf.DUMMYFUNCTION("""COMPUTED_VALUE"""),13247156)</f>
        <v>13247156</v>
      </c>
      <c r="I232" s="5" t="str">
        <f ca="1">IFERROR(__xludf.DUMMYFUNCTION("""COMPUTED_VALUE"""),"BOMBA DE RECIRCULACION:")</f>
        <v>BOMBA DE RECIRCULACION:</v>
      </c>
      <c r="J232" s="5" t="str">
        <f ca="1">IFERROR(__xludf.DUMMYFUNCTION("""COMPUTED_VALUE"""),"ALTO")</f>
        <v>ALTO</v>
      </c>
      <c r="K232" s="5" t="str">
        <f ca="1">IFERROR(__xludf.DUMMYFUNCTION("""COMPUTED_VALUE"""),"Preventivo")</f>
        <v>Preventivo</v>
      </c>
      <c r="L232" s="5" t="str">
        <f ca="1">IFERROR(__xludf.DUMMYFUNCTION("""COMPUTED_VALUE"""),"Maquinaria")</f>
        <v>Maquinaria</v>
      </c>
      <c r="M232" s="5" t="str">
        <f ca="1">IFERROR(__xludf.DUMMYFUNCTION("""COMPUTED_VALUE"""),"No")</f>
        <v>No</v>
      </c>
      <c r="N232" s="5"/>
      <c r="O232" s="5">
        <f ca="1">IFERROR(__xludf.DUMMYFUNCTION("""COMPUTED_VALUE"""),100)</f>
        <v>100</v>
      </c>
      <c r="P232" s="18">
        <f ca="1">IFERROR(__xludf.DUMMYFUNCTION("""COMPUTED_VALUE"""),45342)</f>
        <v>45342</v>
      </c>
      <c r="Q232" s="18">
        <f ca="1">IFERROR(__xludf.DUMMYFUNCTION("""COMPUTED_VALUE"""),45342)</f>
        <v>45342</v>
      </c>
      <c r="R232" s="18"/>
      <c r="S232" s="5">
        <f ca="1">IFERROR(__xludf.DUMMYFUNCTION("""COMPUTED_VALUE"""),1)</f>
        <v>1</v>
      </c>
      <c r="T232" s="5"/>
      <c r="U232" s="5" t="str">
        <f ca="1">IFERROR(__xludf.DUMMYFUNCTION("""COMPUTED_VALUE"""),"Moreno Pernia Bladimir")</f>
        <v>Moreno Pernia Bladimir</v>
      </c>
      <c r="V232" s="5"/>
      <c r="W232" s="5" t="str">
        <f ca="1">IFERROR(__xludf.DUMMYFUNCTION("""COMPUTED_VALUE"""),"r0gewIdwJUs")</f>
        <v>r0gewIdwJUs</v>
      </c>
      <c r="X232" s="5">
        <f ca="1">IFERROR(__xludf.DUMMYFUNCTION("""COMPUTED_VALUE"""),1)</f>
        <v>1</v>
      </c>
      <c r="Y232" s="5" t="str">
        <f t="shared" ca="1" si="0"/>
        <v>Actividad realizada</v>
      </c>
      <c r="Z232" s="3">
        <f ca="1">IFERROR(VLOOKUP(U232, 'Base de datos'!A:B, 2, FALSE), "")</f>
        <v>573148903137</v>
      </c>
      <c r="AA232" s="4" t="e">
        <f t="shared" ca="1" si="1"/>
        <v>#NAME?</v>
      </c>
    </row>
    <row r="233" spans="1:27" ht="15.75" customHeight="1">
      <c r="A233" s="5" t="str">
        <f ca="1">IFERROR(__xludf.DUMMYFUNCTION("""COMPUTED_VALUE"""),"POSTOBÓN YUMBO")</f>
        <v>POSTOBÓN YUMBO</v>
      </c>
      <c r="B233" s="5" t="str">
        <f ca="1">IFERROR(__xludf.DUMMYFUNCTION("""COMPUTED_VALUE"""),"0410-SALA DE JARABE TERMINADO")</f>
        <v>0410-SALA DE JARABE TERMINADO</v>
      </c>
      <c r="C233" s="5" t="str">
        <f ca="1">IFERROR(__xludf.DUMMYFUNCTION("""COMPUTED_VALUE"""),"EQUIPOS PARA PREPARACION DE JARABE")</f>
        <v>EQUIPOS PARA PREPARACION DE JARABE</v>
      </c>
      <c r="D233" s="5">
        <f ca="1">IFERROR(__xludf.DUMMYFUNCTION("""COMPUTED_VALUE"""),69963408)</f>
        <v>69963408</v>
      </c>
      <c r="E233" s="5" t="str">
        <f ca="1">IFERROR(__xludf.DUMMYFUNCTION("""COMPUTED_VALUE"""),"TANQUE DE JARABE")</f>
        <v>TANQUE DE JARABE</v>
      </c>
      <c r="F233" s="5">
        <f ca="1">IFERROR(__xludf.DUMMYFUNCTION("""COMPUTED_VALUE"""),17361)</f>
        <v>17361</v>
      </c>
      <c r="G233" s="5" t="str">
        <f ca="1">IFERROR(__xludf.DUMMYFUNCTION("""COMPUTED_VALUE"""),"MTTO MEC TK JARABE 5 JARABE TERMINADO")</f>
        <v>MTTO MEC TK JARABE 5 JARABE TERMINADO</v>
      </c>
      <c r="H233" s="5">
        <f ca="1">IFERROR(__xludf.DUMMYFUNCTION("""COMPUTED_VALUE"""),13247156)</f>
        <v>13247156</v>
      </c>
      <c r="I233" s="5" t="str">
        <f ca="1">IFERROR(__xludf.DUMMYFUNCTION("""COMPUTED_VALUE"""),"Sistema neumatico: revision fugas y esta")</f>
        <v>Sistema neumatico: revision fugas y esta</v>
      </c>
      <c r="J233" s="5" t="str">
        <f ca="1">IFERROR(__xludf.DUMMYFUNCTION("""COMPUTED_VALUE"""),"ALTO")</f>
        <v>ALTO</v>
      </c>
      <c r="K233" s="5" t="str">
        <f ca="1">IFERROR(__xludf.DUMMYFUNCTION("""COMPUTED_VALUE"""),"Preventivo")</f>
        <v>Preventivo</v>
      </c>
      <c r="L233" s="5" t="str">
        <f ca="1">IFERROR(__xludf.DUMMYFUNCTION("""COMPUTED_VALUE"""),"Maquinaria")</f>
        <v>Maquinaria</v>
      </c>
      <c r="M233" s="5" t="str">
        <f ca="1">IFERROR(__xludf.DUMMYFUNCTION("""COMPUTED_VALUE"""),"No")</f>
        <v>No</v>
      </c>
      <c r="N233" s="5"/>
      <c r="O233" s="5">
        <f ca="1">IFERROR(__xludf.DUMMYFUNCTION("""COMPUTED_VALUE"""),100)</f>
        <v>100</v>
      </c>
      <c r="P233" s="18">
        <f ca="1">IFERROR(__xludf.DUMMYFUNCTION("""COMPUTED_VALUE"""),45342)</f>
        <v>45342</v>
      </c>
      <c r="Q233" s="18">
        <f ca="1">IFERROR(__xludf.DUMMYFUNCTION("""COMPUTED_VALUE"""),45342)</f>
        <v>45342</v>
      </c>
      <c r="R233" s="18"/>
      <c r="S233" s="5">
        <f ca="1">IFERROR(__xludf.DUMMYFUNCTION("""COMPUTED_VALUE"""),1)</f>
        <v>1</v>
      </c>
      <c r="T233" s="5"/>
      <c r="U233" s="5" t="str">
        <f ca="1">IFERROR(__xludf.DUMMYFUNCTION("""COMPUTED_VALUE"""),"Moreno Pernia Bladimir")</f>
        <v>Moreno Pernia Bladimir</v>
      </c>
      <c r="V233" s="5"/>
      <c r="W233" s="5" t="str">
        <f ca="1">IFERROR(__xludf.DUMMYFUNCTION("""COMPUTED_VALUE"""),"5lxBgPXNNOM")</f>
        <v>5lxBgPXNNOM</v>
      </c>
      <c r="X233" s="5">
        <f ca="1">IFERROR(__xludf.DUMMYFUNCTION("""COMPUTED_VALUE"""),1)</f>
        <v>1</v>
      </c>
      <c r="Y233" s="5" t="str">
        <f t="shared" ca="1" si="0"/>
        <v>Actividad realizada</v>
      </c>
      <c r="Z233" s="3">
        <f ca="1">IFERROR(VLOOKUP(U233, 'Base de datos'!A:B, 2, FALSE), "")</f>
        <v>573148903137</v>
      </c>
      <c r="AA233" s="4" t="e">
        <f t="shared" ca="1" si="1"/>
        <v>#NAME?</v>
      </c>
    </row>
    <row r="234" spans="1:27" ht="15.75" customHeight="1">
      <c r="A234" s="5" t="str">
        <f ca="1">IFERROR(__xludf.DUMMYFUNCTION("""COMPUTED_VALUE"""),"POSTOBÓN YUMBO")</f>
        <v>POSTOBÓN YUMBO</v>
      </c>
      <c r="B234" s="5" t="str">
        <f ca="1">IFERROR(__xludf.DUMMYFUNCTION("""COMPUTED_VALUE"""),"0410-ENVASADO JUGOS PET HOT F")</f>
        <v>0410-ENVASADO JUGOS PET HOT F</v>
      </c>
      <c r="C234" s="5" t="str">
        <f ca="1">IFERROR(__xludf.DUMMYFUNCTION("""COMPUTED_VALUE"""),"LINEA DE ENVASADO JUGOS PET HOT FILL")</f>
        <v>LINEA DE ENVASADO JUGOS PET HOT FILL</v>
      </c>
      <c r="D234" s="5">
        <f ca="1">IFERROR(__xludf.DUMMYFUNCTION("""COMPUTED_VALUE"""),599566)</f>
        <v>599566</v>
      </c>
      <c r="E234" s="5" t="str">
        <f ca="1">IFERROR(__xludf.DUMMYFUNCTION("""COMPUTED_VALUE"""),"INSPECTOR DE BOTELLA LLENA")</f>
        <v>INSPECTOR DE BOTELLA LLENA</v>
      </c>
      <c r="F234" s="5">
        <f ca="1">IFERROR(__xludf.DUMMYFUNCTION("""COMPUTED_VALUE"""),14082)</f>
        <v>14082</v>
      </c>
      <c r="G234" s="5" t="str">
        <f ca="1">IFERROR(__xludf.DUMMYFUNCTION("""COMPUTED_VALUE"""),"PLAN DE MTTO CHECKMAT L8")</f>
        <v>PLAN DE MTTO CHECKMAT L8</v>
      </c>
      <c r="H234" s="5">
        <f ca="1">IFERROR(__xludf.DUMMYFUNCTION("""COMPUTED_VALUE"""),13247134)</f>
        <v>13247134</v>
      </c>
      <c r="I234" s="5" t="str">
        <f ca="1">IFERROR(__xludf.DUMMYFUNCTION("""COMPUTED_VALUE"""),"Componentes neumaticos:")</f>
        <v>Componentes neumaticos:</v>
      </c>
      <c r="J234" s="5" t="str">
        <f ca="1">IFERROR(__xludf.DUMMYFUNCTION("""COMPUTED_VALUE"""),"ALTO")</f>
        <v>ALTO</v>
      </c>
      <c r="K234" s="5" t="str">
        <f ca="1">IFERROR(__xludf.DUMMYFUNCTION("""COMPUTED_VALUE"""),"Preventivo")</f>
        <v>Preventivo</v>
      </c>
      <c r="L234" s="5" t="str">
        <f ca="1">IFERROR(__xludf.DUMMYFUNCTION("""COMPUTED_VALUE"""),"Maquinaria")</f>
        <v>Maquinaria</v>
      </c>
      <c r="M234" s="5" t="str">
        <f ca="1">IFERROR(__xludf.DUMMYFUNCTION("""COMPUTED_VALUE"""),"No")</f>
        <v>No</v>
      </c>
      <c r="N234" s="5"/>
      <c r="O234" s="5"/>
      <c r="P234" s="18">
        <f ca="1">IFERROR(__xludf.DUMMYFUNCTION("""COMPUTED_VALUE"""),45340)</f>
        <v>45340</v>
      </c>
      <c r="Q234" s="18">
        <f ca="1">IFERROR(__xludf.DUMMYFUNCTION("""COMPUTED_VALUE"""),45340)</f>
        <v>45340</v>
      </c>
      <c r="R234" s="18"/>
      <c r="S234" s="5">
        <f ca="1">IFERROR(__xludf.DUMMYFUNCTION("""COMPUTED_VALUE"""),2)</f>
        <v>2</v>
      </c>
      <c r="T234" s="5"/>
      <c r="U234" s="5" t="str">
        <f ca="1">IFERROR(__xludf.DUMMYFUNCTION("""COMPUTED_VALUE"""),"Bedoya Marin Johan Andres")</f>
        <v>Bedoya Marin Johan Andres</v>
      </c>
      <c r="V234" s="5"/>
      <c r="W234" s="5" t="str">
        <f ca="1">IFERROR(__xludf.DUMMYFUNCTION("""COMPUTED_VALUE"""),"QeSVufkUx4k")</f>
        <v>QeSVufkUx4k</v>
      </c>
      <c r="X234" s="5">
        <f ca="1">IFERROR(__xludf.DUMMYFUNCTION("""COMPUTED_VALUE"""),2)</f>
        <v>2</v>
      </c>
      <c r="Y234" s="5" t="str">
        <f t="shared" si="0"/>
        <v>Actividad sin realizar</v>
      </c>
      <c r="Z234" s="3">
        <f ca="1">IFERROR(VLOOKUP(U234, 'Base de datos'!A:B, 2, FALSE), "")</f>
        <v>573147103334</v>
      </c>
      <c r="AA234" s="4" t="e">
        <f t="shared" ca="1" si="1"/>
        <v>#NAME?</v>
      </c>
    </row>
    <row r="235" spans="1:27" ht="15.75" customHeight="1">
      <c r="A235" s="5" t="str">
        <f ca="1">IFERROR(__xludf.DUMMYFUNCTION("""COMPUTED_VALUE"""),"POSTOBÓN YUMBO")</f>
        <v>POSTOBÓN YUMBO</v>
      </c>
      <c r="B235" s="5" t="str">
        <f ca="1">IFERROR(__xludf.DUMMYFUNCTION("""COMPUTED_VALUE"""),"0410-LINEA 3")</f>
        <v>0410-LINEA 3</v>
      </c>
      <c r="C235" s="5" t="str">
        <f ca="1">IFERROR(__xludf.DUMMYFUNCTION("""COMPUTED_VALUE"""),"LINEA DE ENVASADO TAMAÑO PERSONAL")</f>
        <v>LINEA DE ENVASADO TAMAÑO PERSONAL</v>
      </c>
      <c r="D235" s="5">
        <f ca="1">IFERROR(__xludf.DUMMYFUNCTION("""COMPUTED_VALUE"""),828592)</f>
        <v>828592</v>
      </c>
      <c r="E235" s="5" t="str">
        <f ca="1">IFERROR(__xludf.DUMMYFUNCTION("""COMPUTED_VALUE"""),"LLENADORA")</f>
        <v>LLENADORA</v>
      </c>
      <c r="F235" s="5">
        <f ca="1">IFERROR(__xludf.DUMMYFUNCTION("""COMPUTED_VALUE"""),5821)</f>
        <v>5821</v>
      </c>
      <c r="G235" s="5" t="str">
        <f ca="1">IFERROR(__xludf.DUMMYFUNCTION("""COMPUTED_VALUE"""),"Mantto Mecanico sistema de llenado")</f>
        <v>Mantto Mecanico sistema de llenado</v>
      </c>
      <c r="H235" s="5">
        <f ca="1">IFERROR(__xludf.DUMMYFUNCTION("""COMPUTED_VALUE"""),13247116)</f>
        <v>13247116</v>
      </c>
      <c r="I235" s="5" t="str">
        <f ca="1">IFERROR(__xludf.DUMMYFUNCTION("""COMPUTED_VALUE"""),"revision y/o cambio gomas y rociadores")</f>
        <v>revision y/o cambio gomas y rociadores</v>
      </c>
      <c r="J235" s="5" t="str">
        <f ca="1">IFERROR(__xludf.DUMMYFUNCTION("""COMPUTED_VALUE"""),"ALTO")</f>
        <v>ALTO</v>
      </c>
      <c r="K235" s="5" t="str">
        <f ca="1">IFERROR(__xludf.DUMMYFUNCTION("""COMPUTED_VALUE"""),"Preventivo")</f>
        <v>Preventivo</v>
      </c>
      <c r="L235" s="5" t="str">
        <f ca="1">IFERROR(__xludf.DUMMYFUNCTION("""COMPUTED_VALUE"""),"Maquinaria")</f>
        <v>Maquinaria</v>
      </c>
      <c r="M235" s="5" t="str">
        <f ca="1">IFERROR(__xludf.DUMMYFUNCTION("""COMPUTED_VALUE"""),"No")</f>
        <v>No</v>
      </c>
      <c r="N235" s="5"/>
      <c r="O235" s="5"/>
      <c r="P235" s="18">
        <f ca="1">IFERROR(__xludf.DUMMYFUNCTION("""COMPUTED_VALUE"""),45324)</f>
        <v>45324</v>
      </c>
      <c r="Q235" s="18">
        <f ca="1">IFERROR(__xludf.DUMMYFUNCTION("""COMPUTED_VALUE"""),45324)</f>
        <v>45324</v>
      </c>
      <c r="R235" s="18"/>
      <c r="S235" s="5">
        <f ca="1">IFERROR(__xludf.DUMMYFUNCTION("""COMPUTED_VALUE"""),2)</f>
        <v>2</v>
      </c>
      <c r="T235" s="5"/>
      <c r="U235" s="5" t="str">
        <f ca="1">IFERROR(__xludf.DUMMYFUNCTION("""COMPUTED_VALUE"""),"Jimenez Jhon")</f>
        <v>Jimenez Jhon</v>
      </c>
      <c r="V235" s="5"/>
      <c r="W235" s="5" t="str">
        <f ca="1">IFERROR(__xludf.DUMMYFUNCTION("""COMPUTED_VALUE"""),"lzWiY8Ai4DI")</f>
        <v>lzWiY8Ai4DI</v>
      </c>
      <c r="X235" s="5">
        <f ca="1">IFERROR(__xludf.DUMMYFUNCTION("""COMPUTED_VALUE"""),2)</f>
        <v>2</v>
      </c>
      <c r="Y235" s="5" t="str">
        <f t="shared" si="0"/>
        <v>Actividad sin realizar</v>
      </c>
      <c r="Z235" s="3">
        <f ca="1">IFERROR(VLOOKUP(U235, 'Base de datos'!A:B, 2, FALSE), "")</f>
        <v>573147637946</v>
      </c>
      <c r="AA235" s="4" t="e">
        <f t="shared" ca="1" si="1"/>
        <v>#NAME?</v>
      </c>
    </row>
    <row r="236" spans="1:27" ht="15.75" customHeight="1">
      <c r="A236" s="5" t="str">
        <f ca="1">IFERROR(__xludf.DUMMYFUNCTION("""COMPUTED_VALUE"""),"POSTOBÓN YUMBO")</f>
        <v>POSTOBÓN YUMBO</v>
      </c>
      <c r="B236" s="5" t="str">
        <f ca="1">IFERROR(__xludf.DUMMYFUNCTION("""COMPUTED_VALUE"""),"0410-SALA DE JARABE TERMINADO")</f>
        <v>0410-SALA DE JARABE TERMINADO</v>
      </c>
      <c r="C236" s="5" t="str">
        <f ca="1">IFERROR(__xludf.DUMMYFUNCTION("""COMPUTED_VALUE"""),"EQUIPOS PARA PREPARACION DE JARABE")</f>
        <v>EQUIPOS PARA PREPARACION DE JARABE</v>
      </c>
      <c r="D236" s="5">
        <f ca="1">IFERROR(__xludf.DUMMYFUNCTION("""COMPUTED_VALUE"""),69963405)</f>
        <v>69963405</v>
      </c>
      <c r="E236" s="5" t="str">
        <f ca="1">IFERROR(__xludf.DUMMYFUNCTION("""COMPUTED_VALUE"""),"TANQUE DE JARABE")</f>
        <v>TANQUE DE JARABE</v>
      </c>
      <c r="F236" s="5">
        <f ca="1">IFERROR(__xludf.DUMMYFUNCTION("""COMPUTED_VALUE"""),17361)</f>
        <v>17361</v>
      </c>
      <c r="G236" s="5" t="str">
        <f ca="1">IFERROR(__xludf.DUMMYFUNCTION("""COMPUTED_VALUE"""),"MTTO MEC TK JARABE 2 JARABE TERMINADO")</f>
        <v>MTTO MEC TK JARABE 2 JARABE TERMINADO</v>
      </c>
      <c r="H236" s="5">
        <f ca="1">IFERROR(__xludf.DUMMYFUNCTION("""COMPUTED_VALUE"""),13247150)</f>
        <v>13247150</v>
      </c>
      <c r="I236" s="5" t="str">
        <f ca="1">IFERROR(__xludf.DUMMYFUNCTION("""COMPUTED_VALUE"""),"ANTON PAAR - remplace los diafragmas")</f>
        <v>ANTON PAAR - remplace los diafragmas</v>
      </c>
      <c r="J236" s="5" t="str">
        <f ca="1">IFERROR(__xludf.DUMMYFUNCTION("""COMPUTED_VALUE"""),"ALTO")</f>
        <v>ALTO</v>
      </c>
      <c r="K236" s="5" t="str">
        <f ca="1">IFERROR(__xludf.DUMMYFUNCTION("""COMPUTED_VALUE"""),"Preventivo")</f>
        <v>Preventivo</v>
      </c>
      <c r="L236" s="5" t="str">
        <f ca="1">IFERROR(__xludf.DUMMYFUNCTION("""COMPUTED_VALUE"""),"Maquinaria")</f>
        <v>Maquinaria</v>
      </c>
      <c r="M236" s="5" t="str">
        <f ca="1">IFERROR(__xludf.DUMMYFUNCTION("""COMPUTED_VALUE"""),"No")</f>
        <v>No</v>
      </c>
      <c r="N236" s="5"/>
      <c r="O236" s="5">
        <f ca="1">IFERROR(__xludf.DUMMYFUNCTION("""COMPUTED_VALUE"""),100)</f>
        <v>100</v>
      </c>
      <c r="P236" s="18">
        <f ca="1">IFERROR(__xludf.DUMMYFUNCTION("""COMPUTED_VALUE"""),45342)</f>
        <v>45342</v>
      </c>
      <c r="Q236" s="18">
        <f ca="1">IFERROR(__xludf.DUMMYFUNCTION("""COMPUTED_VALUE"""),45342)</f>
        <v>45342</v>
      </c>
      <c r="R236" s="18"/>
      <c r="S236" s="5">
        <f ca="1">IFERROR(__xludf.DUMMYFUNCTION("""COMPUTED_VALUE"""),8)</f>
        <v>8</v>
      </c>
      <c r="T236" s="5"/>
      <c r="U236" s="5" t="str">
        <f ca="1">IFERROR(__xludf.DUMMYFUNCTION("""COMPUTED_VALUE"""),"Moreno Pernia Bladimir")</f>
        <v>Moreno Pernia Bladimir</v>
      </c>
      <c r="V236" s="5"/>
      <c r="W236" s="5" t="str">
        <f ca="1">IFERROR(__xludf.DUMMYFUNCTION("""COMPUTED_VALUE"""),"Oy5L2k8k_-A")</f>
        <v>Oy5L2k8k_-A</v>
      </c>
      <c r="X236" s="5">
        <f ca="1">IFERROR(__xludf.DUMMYFUNCTION("""COMPUTED_VALUE"""),8)</f>
        <v>8</v>
      </c>
      <c r="Y236" s="5" t="str">
        <f t="shared" ca="1" si="0"/>
        <v>Actividad realizada</v>
      </c>
      <c r="Z236" s="3">
        <f ca="1">IFERROR(VLOOKUP(U236, 'Base de datos'!A:B, 2, FALSE), "")</f>
        <v>573148903137</v>
      </c>
      <c r="AA236" s="4" t="e">
        <f t="shared" ca="1" si="1"/>
        <v>#NAME?</v>
      </c>
    </row>
    <row r="237" spans="1:27" ht="15.75" customHeight="1">
      <c r="A237" s="5" t="str">
        <f ca="1">IFERROR(__xludf.DUMMYFUNCTION("""COMPUTED_VALUE"""),"POSTOBÓN YUMBO")</f>
        <v>POSTOBÓN YUMBO</v>
      </c>
      <c r="B237" s="5" t="str">
        <f ca="1">IFERROR(__xludf.DUMMYFUNCTION("""COMPUTED_VALUE"""),"0410-EQUIPOS AUXILIARES JUGOS")</f>
        <v>0410-EQUIPOS AUXILIARES JUGOS</v>
      </c>
      <c r="C237" s="5" t="str">
        <f ca="1">IFERROR(__xludf.DUMMYFUNCTION("""COMPUTED_VALUE"""),"EQUIPOS PARA SERVICIOS INDUSTRIALES JUGO")</f>
        <v>EQUIPOS PARA SERVICIOS INDUSTRIALES JUGO</v>
      </c>
      <c r="D237" s="5">
        <f ca="1">IFERROR(__xludf.DUMMYFUNCTION("""COMPUTED_VALUE"""),829059)</f>
        <v>829059</v>
      </c>
      <c r="E237" s="5" t="str">
        <f ca="1">IFERROR(__xludf.DUMMYFUNCTION("""COMPUTED_VALUE"""),"COMPRESOR DE REFRIGERACION No. 2 JUGOS")</f>
        <v>COMPRESOR DE REFRIGERACION No. 2 JUGOS</v>
      </c>
      <c r="F237" s="5">
        <f ca="1">IFERROR(__xludf.DUMMYFUNCTION("""COMPUTED_VALUE"""),21705)</f>
        <v>21705</v>
      </c>
      <c r="G237" s="5" t="str">
        <f ca="1">IFERROR(__xludf.DUMMYFUNCTION("""COMPUTED_VALUE"""),"PLAN MTTO LUB COMPRESOR REFRIG Nº2 JUGOS")</f>
        <v>PLAN MTTO LUB COMPRESOR REFRIG Nº2 JUGOS</v>
      </c>
      <c r="H237" s="5">
        <f ca="1">IFERROR(__xludf.DUMMYFUNCTION("""COMPUTED_VALUE"""),13247188)</f>
        <v>13247188</v>
      </c>
      <c r="I237" s="5" t="str">
        <f ca="1">IFERROR(__xludf.DUMMYFUNCTION("""COMPUTED_VALUE"""),"Lubricación rodamiento motor")</f>
        <v>Lubricación rodamiento motor</v>
      </c>
      <c r="J237" s="5" t="str">
        <f ca="1">IFERROR(__xludf.DUMMYFUNCTION("""COMPUTED_VALUE"""),"MEDIO")</f>
        <v>MEDIO</v>
      </c>
      <c r="K237" s="5" t="str">
        <f ca="1">IFERROR(__xludf.DUMMYFUNCTION("""COMPUTED_VALUE"""),"Preventivo")</f>
        <v>Preventivo</v>
      </c>
      <c r="L237" s="5" t="str">
        <f ca="1">IFERROR(__xludf.DUMMYFUNCTION("""COMPUTED_VALUE"""),"Maquinaria")</f>
        <v>Maquinaria</v>
      </c>
      <c r="M237" s="5" t="str">
        <f ca="1">IFERROR(__xludf.DUMMYFUNCTION("""COMPUTED_VALUE"""),"No")</f>
        <v>No</v>
      </c>
      <c r="N237" s="5"/>
      <c r="O237" s="5"/>
      <c r="P237" s="18">
        <f ca="1">IFERROR(__xludf.DUMMYFUNCTION("""COMPUTED_VALUE"""),45333)</f>
        <v>45333</v>
      </c>
      <c r="Q237" s="18">
        <f ca="1">IFERROR(__xludf.DUMMYFUNCTION("""COMPUTED_VALUE"""),45333)</f>
        <v>45333</v>
      </c>
      <c r="R237" s="18"/>
      <c r="S237" s="5">
        <f ca="1">IFERROR(__xludf.DUMMYFUNCTION("""COMPUTED_VALUE"""),0.5)</f>
        <v>0.5</v>
      </c>
      <c r="T237" s="5"/>
      <c r="U237" s="5" t="str">
        <f ca="1">IFERROR(__xludf.DUMMYFUNCTION("""COMPUTED_VALUE"""),"Lopez Raul")</f>
        <v>Lopez Raul</v>
      </c>
      <c r="V237" s="5"/>
      <c r="W237" s="5" t="str">
        <f ca="1">IFERROR(__xludf.DUMMYFUNCTION("""COMPUTED_VALUE"""),"lU2Isi9HvVc")</f>
        <v>lU2Isi9HvVc</v>
      </c>
      <c r="X237" s="5">
        <f ca="1">IFERROR(__xludf.DUMMYFUNCTION("""COMPUTED_VALUE"""),0.5)</f>
        <v>0.5</v>
      </c>
      <c r="Y237" s="5" t="str">
        <f t="shared" si="0"/>
        <v>Actividad sin realizar</v>
      </c>
      <c r="Z237" s="3">
        <f ca="1">IFERROR(VLOOKUP(U237, 'Base de datos'!A:B, 2, FALSE), "")</f>
        <v>573122172129</v>
      </c>
      <c r="AA237" s="4" t="e">
        <f t="shared" ca="1" si="1"/>
        <v>#NAME?</v>
      </c>
    </row>
    <row r="238" spans="1:27" ht="15.75" customHeight="1">
      <c r="A238" s="5" t="str">
        <f ca="1">IFERROR(__xludf.DUMMYFUNCTION("""COMPUTED_VALUE"""),"POSTOBÓN YUMBO")</f>
        <v>POSTOBÓN YUMBO</v>
      </c>
      <c r="B238" s="5" t="str">
        <f ca="1">IFERROR(__xludf.DUMMYFUNCTION("""COMPUTED_VALUE"""),"0410-LINEA DE BOLSAS")</f>
        <v>0410-LINEA DE BOLSAS</v>
      </c>
      <c r="C238" s="5" t="str">
        <f ca="1">IFERROR(__xludf.DUMMYFUNCTION("""COMPUTED_VALUE"""),"LINEA PARA EL LLENADO DE BOLSAS")</f>
        <v>LINEA PARA EL LLENADO DE BOLSAS</v>
      </c>
      <c r="D238" s="5">
        <f ca="1">IFERROR(__xludf.DUMMYFUNCTION("""COMPUTED_VALUE"""),829853)</f>
        <v>829853</v>
      </c>
      <c r="E238" s="5" t="str">
        <f ca="1">IFERROR(__xludf.DUMMYFUNCTION("""COMPUTED_VALUE"""),"TRANSPORTADOR DE CAJAS")</f>
        <v>TRANSPORTADOR DE CAJAS</v>
      </c>
      <c r="F238" s="5">
        <f ca="1">IFERROR(__xludf.DUMMYFUNCTION("""COMPUTED_VALUE"""),22717)</f>
        <v>22717</v>
      </c>
      <c r="G238" s="5" t="str">
        <f ca="1">IFERROR(__xludf.DUMMYFUNCTION("""COMPUTED_VALUE"""),"PLAN MTTO LUB TRANSP CAJAS BOLSA 8")</f>
        <v>PLAN MTTO LUB TRANSP CAJAS BOLSA 8</v>
      </c>
      <c r="H238" s="5">
        <f ca="1">IFERROR(__xludf.DUMMYFUNCTION("""COMPUTED_VALUE"""),13232376)</f>
        <v>13232376</v>
      </c>
      <c r="I238" s="5" t="str">
        <f ca="1">IFERROR(__xludf.DUMMYFUNCTION("""COMPUTED_VALUE"""),"Lubricar chumaceras")</f>
        <v>Lubricar chumaceras</v>
      </c>
      <c r="J238" s="5" t="str">
        <f ca="1">IFERROR(__xludf.DUMMYFUNCTION("""COMPUTED_VALUE"""),"MEDIO")</f>
        <v>MEDIO</v>
      </c>
      <c r="K238" s="5" t="str">
        <f ca="1">IFERROR(__xludf.DUMMYFUNCTION("""COMPUTED_VALUE"""),"Preventivo")</f>
        <v>Preventivo</v>
      </c>
      <c r="L238" s="5" t="str">
        <f ca="1">IFERROR(__xludf.DUMMYFUNCTION("""COMPUTED_VALUE"""),"Maquinaria")</f>
        <v>Maquinaria</v>
      </c>
      <c r="M238" s="5" t="str">
        <f ca="1">IFERROR(__xludf.DUMMYFUNCTION("""COMPUTED_VALUE"""),"No")</f>
        <v>No</v>
      </c>
      <c r="N238" s="5"/>
      <c r="O238" s="5"/>
      <c r="P238" s="18">
        <f ca="1">IFERROR(__xludf.DUMMYFUNCTION("""COMPUTED_VALUE"""),45329)</f>
        <v>45329</v>
      </c>
      <c r="Q238" s="18">
        <f ca="1">IFERROR(__xludf.DUMMYFUNCTION("""COMPUTED_VALUE"""),45329)</f>
        <v>45329</v>
      </c>
      <c r="R238" s="18"/>
      <c r="S238" s="5">
        <f ca="1">IFERROR(__xludf.DUMMYFUNCTION("""COMPUTED_VALUE"""),0.5)</f>
        <v>0.5</v>
      </c>
      <c r="T238" s="5"/>
      <c r="U238" s="5" t="str">
        <f ca="1">IFERROR(__xludf.DUMMYFUNCTION("""COMPUTED_VALUE"""),"ESTEBAN POTOSI ISAZA")</f>
        <v>ESTEBAN POTOSI ISAZA</v>
      </c>
      <c r="V238" s="5"/>
      <c r="W238" s="5" t="str">
        <f ca="1">IFERROR(__xludf.DUMMYFUNCTION("""COMPUTED_VALUE"""),"JxAdvnBH0wc")</f>
        <v>JxAdvnBH0wc</v>
      </c>
      <c r="X238" s="5">
        <f ca="1">IFERROR(__xludf.DUMMYFUNCTION("""COMPUTED_VALUE"""),0.5)</f>
        <v>0.5</v>
      </c>
      <c r="Y238" s="5" t="str">
        <f t="shared" si="0"/>
        <v>Actividad sin realizar</v>
      </c>
      <c r="Z238" s="3">
        <f ca="1">IFERROR(VLOOKUP(U238, 'Base de datos'!A:B, 2, FALSE), "")</f>
        <v>573128543241</v>
      </c>
      <c r="AA238" s="4" t="e">
        <f t="shared" ca="1" si="1"/>
        <v>#NAME?</v>
      </c>
    </row>
    <row r="239" spans="1:27" ht="15.75" customHeight="1">
      <c r="A239" s="5" t="str">
        <f ca="1">IFERROR(__xludf.DUMMYFUNCTION("""COMPUTED_VALUE"""),"POSTOBÓN YUMBO")</f>
        <v>POSTOBÓN YUMBO</v>
      </c>
      <c r="B239" s="5" t="str">
        <f ca="1">IFERROR(__xludf.DUMMYFUNCTION("""COMPUTED_VALUE"""),"0410-LINEA DE BOLSAS")</f>
        <v>0410-LINEA DE BOLSAS</v>
      </c>
      <c r="C239" s="5" t="str">
        <f ca="1">IFERROR(__xludf.DUMMYFUNCTION("""COMPUTED_VALUE"""),"LINEA PARA EL LLENADO DE BOLSAS")</f>
        <v>LINEA PARA EL LLENADO DE BOLSAS</v>
      </c>
      <c r="D239" s="5">
        <f ca="1">IFERROR(__xludf.DUMMYFUNCTION("""COMPUTED_VALUE"""),71020001)</f>
        <v>71020001</v>
      </c>
      <c r="E239" s="5" t="str">
        <f ca="1">IFERROR(__xludf.DUMMYFUNCTION("""COMPUTED_VALUE"""),"TRANSPORTADORES TABLETOP PARA BOLSAS.")</f>
        <v>TRANSPORTADORES TABLETOP PARA BOLSAS.</v>
      </c>
      <c r="F239" s="5">
        <f ca="1">IFERROR(__xludf.DUMMYFUNCTION("""COMPUTED_VALUE"""),22718)</f>
        <v>22718</v>
      </c>
      <c r="G239" s="5" t="str">
        <f ca="1">IFERROR(__xludf.DUMMYFUNCTION("""COMPUTED_VALUE"""),"PLAN MTTO LUB TABLETOP BOLSAS 71020001")</f>
        <v>PLAN MTTO LUB TABLETOP BOLSAS 71020001</v>
      </c>
      <c r="H239" s="5">
        <f ca="1">IFERROR(__xludf.DUMMYFUNCTION("""COMPUTED_VALUE"""),13232377)</f>
        <v>13232377</v>
      </c>
      <c r="I239" s="5" t="str">
        <f ca="1">IFERROR(__xludf.DUMMYFUNCTION("""COMPUTED_VALUE"""),"Lubricar chumaceras")</f>
        <v>Lubricar chumaceras</v>
      </c>
      <c r="J239" s="5" t="str">
        <f ca="1">IFERROR(__xludf.DUMMYFUNCTION("""COMPUTED_VALUE"""),"MEDIO")</f>
        <v>MEDIO</v>
      </c>
      <c r="K239" s="5" t="str">
        <f ca="1">IFERROR(__xludf.DUMMYFUNCTION("""COMPUTED_VALUE"""),"Preventivo")</f>
        <v>Preventivo</v>
      </c>
      <c r="L239" s="5" t="str">
        <f ca="1">IFERROR(__xludf.DUMMYFUNCTION("""COMPUTED_VALUE"""),"Maquinaria")</f>
        <v>Maquinaria</v>
      </c>
      <c r="M239" s="5" t="str">
        <f ca="1">IFERROR(__xludf.DUMMYFUNCTION("""COMPUTED_VALUE"""),"No")</f>
        <v>No</v>
      </c>
      <c r="N239" s="5"/>
      <c r="O239" s="5"/>
      <c r="P239" s="18">
        <f ca="1">IFERROR(__xludf.DUMMYFUNCTION("""COMPUTED_VALUE"""),45329)</f>
        <v>45329</v>
      </c>
      <c r="Q239" s="18">
        <f ca="1">IFERROR(__xludf.DUMMYFUNCTION("""COMPUTED_VALUE"""),45329)</f>
        <v>45329</v>
      </c>
      <c r="R239" s="18"/>
      <c r="S239" s="5">
        <f ca="1">IFERROR(__xludf.DUMMYFUNCTION("""COMPUTED_VALUE"""),0.5)</f>
        <v>0.5</v>
      </c>
      <c r="T239" s="5"/>
      <c r="U239" s="5" t="str">
        <f ca="1">IFERROR(__xludf.DUMMYFUNCTION("""COMPUTED_VALUE"""),"ESTEBAN POTOSI ISAZA")</f>
        <v>ESTEBAN POTOSI ISAZA</v>
      </c>
      <c r="V239" s="5"/>
      <c r="W239" s="5" t="str">
        <f ca="1">IFERROR(__xludf.DUMMYFUNCTION("""COMPUTED_VALUE"""),"qdgUolWUNWE")</f>
        <v>qdgUolWUNWE</v>
      </c>
      <c r="X239" s="5">
        <f ca="1">IFERROR(__xludf.DUMMYFUNCTION("""COMPUTED_VALUE"""),0.5)</f>
        <v>0.5</v>
      </c>
      <c r="Y239" s="5" t="str">
        <f t="shared" si="0"/>
        <v>Actividad sin realizar</v>
      </c>
      <c r="Z239" s="3">
        <f ca="1">IFERROR(VLOOKUP(U239, 'Base de datos'!A:B, 2, FALSE), "")</f>
        <v>573128543241</v>
      </c>
      <c r="AA239" s="4" t="e">
        <f t="shared" ca="1" si="1"/>
        <v>#NAME?</v>
      </c>
    </row>
    <row r="240" spans="1:27" ht="15.75" customHeight="1">
      <c r="A240" s="5" t="str">
        <f ca="1">IFERROR(__xludf.DUMMYFUNCTION("""COMPUTED_VALUE"""),"POSTOBÓN YUMBO")</f>
        <v>POSTOBÓN YUMBO</v>
      </c>
      <c r="B240" s="5" t="str">
        <f ca="1">IFERROR(__xludf.DUMMYFUNCTION("""COMPUTED_VALUE"""),"0410-LINEA GARRAFAS")</f>
        <v>0410-LINEA GARRAFAS</v>
      </c>
      <c r="C240" s="5" t="str">
        <f ca="1">IFERROR(__xludf.DUMMYFUNCTION("""COMPUTED_VALUE"""),"LINEA PARA EL LLENADO DE GARRAFAS")</f>
        <v>LINEA PARA EL LLENADO DE GARRAFAS</v>
      </c>
      <c r="D240" s="5">
        <f ca="1">IFERROR(__xludf.DUMMYFUNCTION("""COMPUTED_VALUE"""),710019)</f>
        <v>710019</v>
      </c>
      <c r="E240" s="5" t="str">
        <f ca="1">IFERROR(__xludf.DUMMYFUNCTION("""COMPUTED_VALUE"""),"LLENADORA DE GARRAFAS")</f>
        <v>LLENADORA DE GARRAFAS</v>
      </c>
      <c r="F240" s="5">
        <f ca="1">IFERROR(__xludf.DUMMYFUNCTION("""COMPUTED_VALUE"""),22720)</f>
        <v>22720</v>
      </c>
      <c r="G240" s="5" t="str">
        <f ca="1">IFERROR(__xludf.DUMMYFUNCTION("""COMPUTED_VALUE"""),"PLAN MTTO LUB LLENADORA GARRAFAS 710019")</f>
        <v>PLAN MTTO LUB LLENADORA GARRAFAS 710019</v>
      </c>
      <c r="H240" s="5">
        <f ca="1">IFERROR(__xludf.DUMMYFUNCTION("""COMPUTED_VALUE"""),13232378)</f>
        <v>13232378</v>
      </c>
      <c r="I240" s="5" t="str">
        <f ca="1">IFERROR(__xludf.DUMMYFUNCTION("""COMPUTED_VALUE"""),"Lubricar chumaceras")</f>
        <v>Lubricar chumaceras</v>
      </c>
      <c r="J240" s="5" t="str">
        <f ca="1">IFERROR(__xludf.DUMMYFUNCTION("""COMPUTED_VALUE"""),"ALTO")</f>
        <v>ALTO</v>
      </c>
      <c r="K240" s="5" t="str">
        <f ca="1">IFERROR(__xludf.DUMMYFUNCTION("""COMPUTED_VALUE"""),"Preventivo")</f>
        <v>Preventivo</v>
      </c>
      <c r="L240" s="5" t="str">
        <f ca="1">IFERROR(__xludf.DUMMYFUNCTION("""COMPUTED_VALUE"""),"Maquinaria")</f>
        <v>Maquinaria</v>
      </c>
      <c r="M240" s="5" t="str">
        <f ca="1">IFERROR(__xludf.DUMMYFUNCTION("""COMPUTED_VALUE"""),"No")</f>
        <v>No</v>
      </c>
      <c r="N240" s="5"/>
      <c r="O240" s="5"/>
      <c r="P240" s="18">
        <f ca="1">IFERROR(__xludf.DUMMYFUNCTION("""COMPUTED_VALUE"""),45329)</f>
        <v>45329</v>
      </c>
      <c r="Q240" s="18">
        <f ca="1">IFERROR(__xludf.DUMMYFUNCTION("""COMPUTED_VALUE"""),45329)</f>
        <v>45329</v>
      </c>
      <c r="R240" s="18"/>
      <c r="S240" s="5">
        <f ca="1">IFERROR(__xludf.DUMMYFUNCTION("""COMPUTED_VALUE"""),0.5)</f>
        <v>0.5</v>
      </c>
      <c r="T240" s="5"/>
      <c r="U240" s="5" t="str">
        <f ca="1">IFERROR(__xludf.DUMMYFUNCTION("""COMPUTED_VALUE"""),"Víctor David Burbano Gómez")</f>
        <v>Víctor David Burbano Gómez</v>
      </c>
      <c r="V240" s="5"/>
      <c r="W240" s="5" t="str">
        <f ca="1">IFERROR(__xludf.DUMMYFUNCTION("""COMPUTED_VALUE"""),"_jM2O_VVORU")</f>
        <v>_jM2O_VVORU</v>
      </c>
      <c r="X240" s="5">
        <f ca="1">IFERROR(__xludf.DUMMYFUNCTION("""COMPUTED_VALUE"""),0.5)</f>
        <v>0.5</v>
      </c>
      <c r="Y240" s="5" t="str">
        <f t="shared" si="0"/>
        <v>Actividad sin realizar</v>
      </c>
      <c r="Z240" s="3">
        <f ca="1">IFERROR(VLOOKUP(U240, 'Base de datos'!A:B, 2, FALSE), "")</f>
        <v>573023403586</v>
      </c>
      <c r="AA240" s="4" t="e">
        <f t="shared" ca="1" si="1"/>
        <v>#NAME?</v>
      </c>
    </row>
    <row r="241" spans="1:27" ht="15.75" customHeight="1">
      <c r="A241" s="5" t="str">
        <f ca="1">IFERROR(__xludf.DUMMYFUNCTION("""COMPUTED_VALUE"""),"POSTOBÓN YUMBO")</f>
        <v>POSTOBÓN YUMBO</v>
      </c>
      <c r="B241" s="5" t="str">
        <f ca="1">IFERROR(__xludf.DUMMYFUNCTION("""COMPUTED_VALUE"""),"0410-LINEA PET CSD")</f>
        <v>0410-LINEA PET CSD</v>
      </c>
      <c r="C241" s="5" t="str">
        <f ca="1">IFERROR(__xludf.DUMMYFUNCTION("""COMPUTED_VALUE"""),"LINEA PET CSD - LINEA 10")</f>
        <v>LINEA PET CSD - LINEA 10</v>
      </c>
      <c r="D241" s="5">
        <f ca="1">IFERROR(__xludf.DUMMYFUNCTION("""COMPUTED_VALUE"""),820082)</f>
        <v>820082</v>
      </c>
      <c r="E241" s="5" t="str">
        <f ca="1">IFERROR(__xludf.DUMMYFUNCTION("""COMPUTED_VALUE"""),"ETIQUETADORA ENVOLVENTE")</f>
        <v>ETIQUETADORA ENVOLVENTE</v>
      </c>
      <c r="F241" s="5">
        <f ca="1">IFERROR(__xludf.DUMMYFUNCTION("""COMPUTED_VALUE"""),25365)</f>
        <v>25365</v>
      </c>
      <c r="G241" s="5" t="str">
        <f ca="1">IFERROR(__xludf.DUMMYFUNCTION("""COMPUTED_VALUE"""),"PLAN MTTO ELE ETIQUETADORA CSD")</f>
        <v>PLAN MTTO ELE ETIQUETADORA CSD</v>
      </c>
      <c r="H241" s="5">
        <f ca="1">IFERROR(__xludf.DUMMYFUNCTION("""COMPUTED_VALUE"""),13232380)</f>
        <v>13232380</v>
      </c>
      <c r="I241" s="5" t="str">
        <f ca="1">IFERROR(__xludf.DUMMYFUNCTION("""COMPUTED_VALUE"""),"Armarios de distribución,")</f>
        <v>Armarios de distribución,</v>
      </c>
      <c r="J241" s="5" t="str">
        <f ca="1">IFERROR(__xludf.DUMMYFUNCTION("""COMPUTED_VALUE"""),"MEDIO")</f>
        <v>MEDIO</v>
      </c>
      <c r="K241" s="5" t="str">
        <f ca="1">IFERROR(__xludf.DUMMYFUNCTION("""COMPUTED_VALUE"""),"Preventivo")</f>
        <v>Preventivo</v>
      </c>
      <c r="L241" s="5" t="str">
        <f ca="1">IFERROR(__xludf.DUMMYFUNCTION("""COMPUTED_VALUE"""),"Maquinaria")</f>
        <v>Maquinaria</v>
      </c>
      <c r="M241" s="5" t="str">
        <f ca="1">IFERROR(__xludf.DUMMYFUNCTION("""COMPUTED_VALUE"""),"No")</f>
        <v>No</v>
      </c>
      <c r="N241" s="5"/>
      <c r="O241" s="5">
        <f ca="1">IFERROR(__xludf.DUMMYFUNCTION("""COMPUTED_VALUE"""),100)</f>
        <v>100</v>
      </c>
      <c r="P241" s="18">
        <f ca="1">IFERROR(__xludf.DUMMYFUNCTION("""COMPUTED_VALUE"""),45328)</f>
        <v>45328</v>
      </c>
      <c r="Q241" s="18">
        <f ca="1">IFERROR(__xludf.DUMMYFUNCTION("""COMPUTED_VALUE"""),45328)</f>
        <v>45328</v>
      </c>
      <c r="R241" s="18"/>
      <c r="S241" s="5">
        <f ca="1">IFERROR(__xludf.DUMMYFUNCTION("""COMPUTED_VALUE"""),0.5)</f>
        <v>0.5</v>
      </c>
      <c r="T241" s="5"/>
      <c r="U241" s="5" t="str">
        <f ca="1">IFERROR(__xludf.DUMMYFUNCTION("""COMPUTED_VALUE"""),"Gordillo Victoria Luis Miguel")</f>
        <v>Gordillo Victoria Luis Miguel</v>
      </c>
      <c r="V241" s="5"/>
      <c r="W241" s="5" t="str">
        <f ca="1">IFERROR(__xludf.DUMMYFUNCTION("""COMPUTED_VALUE"""),"jia2JVT5Imw")</f>
        <v>jia2JVT5Imw</v>
      </c>
      <c r="X241" s="5">
        <f ca="1">IFERROR(__xludf.DUMMYFUNCTION("""COMPUTED_VALUE"""),0.5)</f>
        <v>0.5</v>
      </c>
      <c r="Y241" s="5" t="str">
        <f t="shared" ca="1" si="0"/>
        <v>Actividad realizada</v>
      </c>
      <c r="Z241" s="3">
        <f ca="1">IFERROR(VLOOKUP(U241, 'Base de datos'!A:B, 2, FALSE), "")</f>
        <v>573023677706</v>
      </c>
      <c r="AA241" s="4" t="e">
        <f t="shared" ca="1" si="1"/>
        <v>#NAME?</v>
      </c>
    </row>
    <row r="242" spans="1:27" ht="15.75" customHeight="1">
      <c r="A242" s="5" t="str">
        <f ca="1">IFERROR(__xludf.DUMMYFUNCTION("""COMPUTED_VALUE"""),"POSTOBÓN YUMBO")</f>
        <v>POSTOBÓN YUMBO</v>
      </c>
      <c r="B242" s="5" t="str">
        <f ca="1">IFERROR(__xludf.DUMMYFUNCTION("""COMPUTED_VALUE"""),"0410-LINEA 3")</f>
        <v>0410-LINEA 3</v>
      </c>
      <c r="C242" s="5" t="str">
        <f ca="1">IFERROR(__xludf.DUMMYFUNCTION("""COMPUTED_VALUE"""),"LINEA DE ENVASADO TAMAÑO PERSONAL")</f>
        <v>LINEA DE ENVASADO TAMAÑO PERSONAL</v>
      </c>
      <c r="D242" s="5">
        <f ca="1">IFERROR(__xludf.DUMMYFUNCTION("""COMPUTED_VALUE"""),558020)</f>
        <v>558020</v>
      </c>
      <c r="E242" s="5" t="str">
        <f ca="1">IFERROR(__xludf.DUMMYFUNCTION("""COMPUTED_VALUE"""),"EMPACADORA")</f>
        <v>EMPACADORA</v>
      </c>
      <c r="F242" s="5">
        <f ca="1">IFERROR(__xludf.DUMMYFUNCTION("""COMPUTED_VALUE"""),22604)</f>
        <v>22604</v>
      </c>
      <c r="G242" s="5" t="str">
        <f ca="1">IFERROR(__xludf.DUMMYFUNCTION("""COMPUTED_VALUE"""),"PLAN MTTO MEC EMPACADORA 558020 L3")</f>
        <v>PLAN MTTO MEC EMPACADORA 558020 L3</v>
      </c>
      <c r="H242" s="5">
        <f ca="1">IFERROR(__xludf.DUMMYFUNCTION("""COMPUTED_VALUE"""),13226526)</f>
        <v>13226526</v>
      </c>
      <c r="I242" s="5" t="str">
        <f ca="1">IFERROR(__xludf.DUMMYFUNCTION("""COMPUTED_VALUE"""),"Revision Vastagos")</f>
        <v>Revision Vastagos</v>
      </c>
      <c r="J242" s="5" t="str">
        <f ca="1">IFERROR(__xludf.DUMMYFUNCTION("""COMPUTED_VALUE"""),"MEDIO")</f>
        <v>MEDIO</v>
      </c>
      <c r="K242" s="5" t="str">
        <f ca="1">IFERROR(__xludf.DUMMYFUNCTION("""COMPUTED_VALUE"""),"Preventivo")</f>
        <v>Preventivo</v>
      </c>
      <c r="L242" s="5" t="str">
        <f ca="1">IFERROR(__xludf.DUMMYFUNCTION("""COMPUTED_VALUE"""),"Maquinaria")</f>
        <v>Maquinaria</v>
      </c>
      <c r="M242" s="5" t="str">
        <f ca="1">IFERROR(__xludf.DUMMYFUNCTION("""COMPUTED_VALUE"""),"No")</f>
        <v>No</v>
      </c>
      <c r="N242" s="5"/>
      <c r="O242" s="5"/>
      <c r="P242" s="18">
        <f ca="1">IFERROR(__xludf.DUMMYFUNCTION("""COMPUTED_VALUE"""),45327)</f>
        <v>45327</v>
      </c>
      <c r="Q242" s="18">
        <f ca="1">IFERROR(__xludf.DUMMYFUNCTION("""COMPUTED_VALUE"""),45327)</f>
        <v>45327</v>
      </c>
      <c r="R242" s="18"/>
      <c r="S242" s="5">
        <f ca="1">IFERROR(__xludf.DUMMYFUNCTION("""COMPUTED_VALUE"""),3)</f>
        <v>3</v>
      </c>
      <c r="T242" s="5"/>
      <c r="U242" s="5" t="str">
        <f ca="1">IFERROR(__xludf.DUMMYFUNCTION("""COMPUTED_VALUE"""),"Jimenez Jhon")</f>
        <v>Jimenez Jhon</v>
      </c>
      <c r="V242" s="5"/>
      <c r="W242" s="5" t="str">
        <f ca="1">IFERROR(__xludf.DUMMYFUNCTION("""COMPUTED_VALUE"""),"2_Wtby8o5sQ")</f>
        <v>2_Wtby8o5sQ</v>
      </c>
      <c r="X242" s="5">
        <f ca="1">IFERROR(__xludf.DUMMYFUNCTION("""COMPUTED_VALUE"""),3)</f>
        <v>3</v>
      </c>
      <c r="Y242" s="5" t="str">
        <f t="shared" si="0"/>
        <v>Actividad sin realizar</v>
      </c>
      <c r="Z242" s="3">
        <f ca="1">IFERROR(VLOOKUP(U242, 'Base de datos'!A:B, 2, FALSE), "")</f>
        <v>573147637946</v>
      </c>
      <c r="AA242" s="4" t="e">
        <f t="shared" ca="1" si="1"/>
        <v>#NAME?</v>
      </c>
    </row>
    <row r="243" spans="1:27" ht="15.75" customHeight="1">
      <c r="A243" s="5" t="str">
        <f ca="1">IFERROR(__xludf.DUMMYFUNCTION("""COMPUTED_VALUE"""),"POSTOBÓN YUMBO")</f>
        <v>POSTOBÓN YUMBO</v>
      </c>
      <c r="B243" s="5" t="str">
        <f ca="1">IFERROR(__xludf.DUMMYFUNCTION("""COMPUTED_VALUE"""),"0410-LINEA PET CSD")</f>
        <v>0410-LINEA PET CSD</v>
      </c>
      <c r="C243" s="5" t="str">
        <f ca="1">IFERROR(__xludf.DUMMYFUNCTION("""COMPUTED_VALUE"""),"LINEA PET CSD - LINEA 10")</f>
        <v>LINEA PET CSD - LINEA 10</v>
      </c>
      <c r="D243" s="5">
        <f ca="1">IFERROR(__xludf.DUMMYFUNCTION("""COMPUTED_VALUE"""),820082)</f>
        <v>820082</v>
      </c>
      <c r="E243" s="5" t="str">
        <f ca="1">IFERROR(__xludf.DUMMYFUNCTION("""COMPUTED_VALUE"""),"ETIQUETADORA ENVOLVENTE")</f>
        <v>ETIQUETADORA ENVOLVENTE</v>
      </c>
      <c r="F243" s="5">
        <f ca="1">IFERROR(__xludf.DUMMYFUNCTION("""COMPUTED_VALUE"""),25365)</f>
        <v>25365</v>
      </c>
      <c r="G243" s="5" t="str">
        <f ca="1">IFERROR(__xludf.DUMMYFUNCTION("""COMPUTED_VALUE"""),"PLAN MTTO LUB ETIQUETADORA CSD")</f>
        <v>PLAN MTTO LUB ETIQUETADORA CSD</v>
      </c>
      <c r="H243" s="5">
        <f ca="1">IFERROR(__xludf.DUMMYFUNCTION("""COMPUTED_VALUE"""),13232381)</f>
        <v>13232381</v>
      </c>
      <c r="I243" s="5" t="str">
        <f ca="1">IFERROR(__xludf.DUMMYFUNCTION("""COMPUTED_VALUE"""),"Sistema de lubricación")</f>
        <v>Sistema de lubricación</v>
      </c>
      <c r="J243" s="5" t="str">
        <f ca="1">IFERROR(__xludf.DUMMYFUNCTION("""COMPUTED_VALUE"""),"MEDIO")</f>
        <v>MEDIO</v>
      </c>
      <c r="K243" s="5" t="str">
        <f ca="1">IFERROR(__xludf.DUMMYFUNCTION("""COMPUTED_VALUE"""),"Preventivo")</f>
        <v>Preventivo</v>
      </c>
      <c r="L243" s="5" t="str">
        <f ca="1">IFERROR(__xludf.DUMMYFUNCTION("""COMPUTED_VALUE"""),"Maquinaria")</f>
        <v>Maquinaria</v>
      </c>
      <c r="M243" s="5" t="str">
        <f ca="1">IFERROR(__xludf.DUMMYFUNCTION("""COMPUTED_VALUE"""),"No")</f>
        <v>No</v>
      </c>
      <c r="N243" s="5"/>
      <c r="O243" s="5">
        <f ca="1">IFERROR(__xludf.DUMMYFUNCTION("""COMPUTED_VALUE"""),100)</f>
        <v>100</v>
      </c>
      <c r="P243" s="18">
        <f ca="1">IFERROR(__xludf.DUMMYFUNCTION("""COMPUTED_VALUE"""),45328)</f>
        <v>45328</v>
      </c>
      <c r="Q243" s="18">
        <f ca="1">IFERROR(__xludf.DUMMYFUNCTION("""COMPUTED_VALUE"""),45328)</f>
        <v>45328</v>
      </c>
      <c r="R243" s="18"/>
      <c r="S243" s="5">
        <f ca="1">IFERROR(__xludf.DUMMYFUNCTION("""COMPUTED_VALUE"""),0.5)</f>
        <v>0.5</v>
      </c>
      <c r="T243" s="5"/>
      <c r="U243" s="5" t="str">
        <f ca="1">IFERROR(__xludf.DUMMYFUNCTION("""COMPUTED_VALUE"""),"Gordillo Victoria Luis Miguel")</f>
        <v>Gordillo Victoria Luis Miguel</v>
      </c>
      <c r="V243" s="5"/>
      <c r="W243" s="5" t="str">
        <f ca="1">IFERROR(__xludf.DUMMYFUNCTION("""COMPUTED_VALUE"""),"3HPCka-3byc")</f>
        <v>3HPCka-3byc</v>
      </c>
      <c r="X243" s="5">
        <f ca="1">IFERROR(__xludf.DUMMYFUNCTION("""COMPUTED_VALUE"""),0.5)</f>
        <v>0.5</v>
      </c>
      <c r="Y243" s="5" t="str">
        <f t="shared" ca="1" si="0"/>
        <v>Actividad realizada</v>
      </c>
      <c r="Z243" s="3">
        <f ca="1">IFERROR(VLOOKUP(U243, 'Base de datos'!A:B, 2, FALSE), "")</f>
        <v>573023677706</v>
      </c>
      <c r="AA243" s="4" t="e">
        <f t="shared" ca="1" si="1"/>
        <v>#NAME?</v>
      </c>
    </row>
    <row r="244" spans="1:27" ht="15.75" customHeight="1">
      <c r="A244" s="5" t="str">
        <f ca="1">IFERROR(__xludf.DUMMYFUNCTION("""COMPUTED_VALUE"""),"POSTOBÓN YUMBO")</f>
        <v>POSTOBÓN YUMBO</v>
      </c>
      <c r="B244" s="5" t="str">
        <f ca="1">IFERROR(__xludf.DUMMYFUNCTION("""COMPUTED_VALUE"""),"0410-LINEA PET CSD")</f>
        <v>0410-LINEA PET CSD</v>
      </c>
      <c r="C244" s="5" t="str">
        <f ca="1">IFERROR(__xludf.DUMMYFUNCTION("""COMPUTED_VALUE"""),"LINEA PET CSD - LINEA 10")</f>
        <v>LINEA PET CSD - LINEA 10</v>
      </c>
      <c r="D244" s="5">
        <f ca="1">IFERROR(__xludf.DUMMYFUNCTION("""COMPUTED_VALUE"""),519561)</f>
        <v>519561</v>
      </c>
      <c r="E244" s="5" t="str">
        <f ca="1">IFERROR(__xludf.DUMMYFUNCTION("""COMPUTED_VALUE"""),"LLENADORA DE BOTELLAS PET 162 VALVULAS")</f>
        <v>LLENADORA DE BOTELLAS PET 162 VALVULAS</v>
      </c>
      <c r="F244" s="5">
        <f ca="1">IFERROR(__xludf.DUMMYFUNCTION("""COMPUTED_VALUE"""),25366)</f>
        <v>25366</v>
      </c>
      <c r="G244" s="5" t="str">
        <f ca="1">IFERROR(__xludf.DUMMYFUNCTION("""COMPUTED_VALUE"""),"PLAN MTTO MEC LLENADORA CSD")</f>
        <v>PLAN MTTO MEC LLENADORA CSD</v>
      </c>
      <c r="H244" s="5">
        <f ca="1">IFERROR(__xludf.DUMMYFUNCTION("""COMPUTED_VALUE"""),13232382)</f>
        <v>13232382</v>
      </c>
      <c r="I244" s="5" t="str">
        <f ca="1">IFERROR(__xludf.DUMMYFUNCTION("""COMPUTED_VALUE"""),"Distribuidor rotativo:")</f>
        <v>Distribuidor rotativo:</v>
      </c>
      <c r="J244" s="5" t="str">
        <f ca="1">IFERROR(__xludf.DUMMYFUNCTION("""COMPUTED_VALUE"""),"ALTO")</f>
        <v>ALTO</v>
      </c>
      <c r="K244" s="5" t="str">
        <f ca="1">IFERROR(__xludf.DUMMYFUNCTION("""COMPUTED_VALUE"""),"Preventivo")</f>
        <v>Preventivo</v>
      </c>
      <c r="L244" s="5" t="str">
        <f ca="1">IFERROR(__xludf.DUMMYFUNCTION("""COMPUTED_VALUE"""),"Maquinaria")</f>
        <v>Maquinaria</v>
      </c>
      <c r="M244" s="5" t="str">
        <f ca="1">IFERROR(__xludf.DUMMYFUNCTION("""COMPUTED_VALUE"""),"No")</f>
        <v>No</v>
      </c>
      <c r="N244" s="5"/>
      <c r="O244" s="5">
        <f ca="1">IFERROR(__xludf.DUMMYFUNCTION("""COMPUTED_VALUE"""),100)</f>
        <v>100</v>
      </c>
      <c r="P244" s="18">
        <f ca="1">IFERROR(__xludf.DUMMYFUNCTION("""COMPUTED_VALUE"""),45327)</f>
        <v>45327</v>
      </c>
      <c r="Q244" s="18">
        <f ca="1">IFERROR(__xludf.DUMMYFUNCTION("""COMPUTED_VALUE"""),45327)</f>
        <v>45327</v>
      </c>
      <c r="R244" s="18"/>
      <c r="S244" s="5">
        <f ca="1">IFERROR(__xludf.DUMMYFUNCTION("""COMPUTED_VALUE"""),0.5)</f>
        <v>0.5</v>
      </c>
      <c r="T244" s="5"/>
      <c r="U244" s="5" t="str">
        <f ca="1">IFERROR(__xludf.DUMMYFUNCTION("""COMPUTED_VALUE"""),"Duran Sanchez Nelson Fernando")</f>
        <v>Duran Sanchez Nelson Fernando</v>
      </c>
      <c r="V244" s="5"/>
      <c r="W244" s="5" t="str">
        <f ca="1">IFERROR(__xludf.DUMMYFUNCTION("""COMPUTED_VALUE"""),"mEAgAAXbeUQ")</f>
        <v>mEAgAAXbeUQ</v>
      </c>
      <c r="X244" s="5">
        <f ca="1">IFERROR(__xludf.DUMMYFUNCTION("""COMPUTED_VALUE"""),0.5)</f>
        <v>0.5</v>
      </c>
      <c r="Y244" s="5" t="str">
        <f t="shared" ca="1" si="0"/>
        <v>Actividad realizada</v>
      </c>
      <c r="Z244" s="3">
        <f ca="1">IFERROR(VLOOKUP(U244, 'Base de datos'!A:B, 2, FALSE), "")</f>
        <v>573187183243</v>
      </c>
      <c r="AA244" s="4" t="e">
        <f t="shared" ca="1" si="1"/>
        <v>#NAME?</v>
      </c>
    </row>
    <row r="245" spans="1:27" ht="15.75" customHeight="1">
      <c r="A245" s="5" t="str">
        <f ca="1">IFERROR(__xludf.DUMMYFUNCTION("""COMPUTED_VALUE"""),"POSTOBÓN YUMBO")</f>
        <v>POSTOBÓN YUMBO</v>
      </c>
      <c r="B245" s="5" t="str">
        <f ca="1">IFERROR(__xludf.DUMMYFUNCTION("""COMPUTED_VALUE"""),"0410-LINEA 2")</f>
        <v>0410-LINEA 2</v>
      </c>
      <c r="C245" s="5" t="str">
        <f ca="1">IFERROR(__xludf.DUMMYFUNCTION("""COMPUTED_VALUE"""),"LINEA DE ENVASADO FAMILIAR Y PRB")</f>
        <v>LINEA DE ENVASADO FAMILIAR Y PRB</v>
      </c>
      <c r="D245" s="5">
        <f ca="1">IFERROR(__xludf.DUMMYFUNCTION("""COMPUTED_VALUE"""),828655)</f>
        <v>828655</v>
      </c>
      <c r="E245" s="5" t="str">
        <f ca="1">IFERROR(__xludf.DUMMYFUNCTION("""COMPUTED_VALUE"""),"CAPSULADORA")</f>
        <v>CAPSULADORA</v>
      </c>
      <c r="F245" s="5">
        <f ca="1">IFERROR(__xludf.DUMMYFUNCTION("""COMPUTED_VALUE"""),22506)</f>
        <v>22506</v>
      </c>
      <c r="G245" s="5" t="str">
        <f ca="1">IFERROR(__xludf.DUMMYFUNCTION("""COMPUTED_VALUE"""),"PLAN MTTO LUB CAPSULAD 828655")</f>
        <v>PLAN MTTO LUB CAPSULAD 828655</v>
      </c>
      <c r="H245" s="5">
        <f ca="1">IFERROR(__xludf.DUMMYFUNCTION("""COMPUTED_VALUE"""),13247193)</f>
        <v>13247193</v>
      </c>
      <c r="I245" s="5" t="str">
        <f ca="1">IFERROR(__xludf.DUMMYFUNCTION("""COMPUTED_VALUE"""),"Lubricar roscadores")</f>
        <v>Lubricar roscadores</v>
      </c>
      <c r="J245" s="5" t="str">
        <f ca="1">IFERROR(__xludf.DUMMYFUNCTION("""COMPUTED_VALUE"""),"ALTO")</f>
        <v>ALTO</v>
      </c>
      <c r="K245" s="5" t="str">
        <f ca="1">IFERROR(__xludf.DUMMYFUNCTION("""COMPUTED_VALUE"""),"Preventivo")</f>
        <v>Preventivo</v>
      </c>
      <c r="L245" s="5" t="str">
        <f ca="1">IFERROR(__xludf.DUMMYFUNCTION("""COMPUTED_VALUE"""),"Maquinaria")</f>
        <v>Maquinaria</v>
      </c>
      <c r="M245" s="5" t="str">
        <f ca="1">IFERROR(__xludf.DUMMYFUNCTION("""COMPUTED_VALUE"""),"No")</f>
        <v>No</v>
      </c>
      <c r="N245" s="5"/>
      <c r="O245" s="5"/>
      <c r="P245" s="18">
        <f ca="1">IFERROR(__xludf.DUMMYFUNCTION("""COMPUTED_VALUE"""),45338)</f>
        <v>45338</v>
      </c>
      <c r="Q245" s="18">
        <f ca="1">IFERROR(__xludf.DUMMYFUNCTION("""COMPUTED_VALUE"""),45338)</f>
        <v>45338</v>
      </c>
      <c r="R245" s="18"/>
      <c r="S245" s="5">
        <f ca="1">IFERROR(__xludf.DUMMYFUNCTION("""COMPUTED_VALUE"""),0.5)</f>
        <v>0.5</v>
      </c>
      <c r="T245" s="5"/>
      <c r="U245" s="5" t="str">
        <f ca="1">IFERROR(__xludf.DUMMYFUNCTION("""COMPUTED_VALUE"""),"Poveda Jorge")</f>
        <v>Poveda Jorge</v>
      </c>
      <c r="V245" s="5"/>
      <c r="W245" s="5" t="str">
        <f ca="1">IFERROR(__xludf.DUMMYFUNCTION("""COMPUTED_VALUE"""),"PDmfvrwCgp0")</f>
        <v>PDmfvrwCgp0</v>
      </c>
      <c r="X245" s="5">
        <f ca="1">IFERROR(__xludf.DUMMYFUNCTION("""COMPUTED_VALUE"""),0.5)</f>
        <v>0.5</v>
      </c>
      <c r="Y245" s="5" t="str">
        <f t="shared" si="0"/>
        <v>Actividad sin realizar</v>
      </c>
      <c r="Z245" s="3">
        <f ca="1">IFERROR(VLOOKUP(U245, 'Base de datos'!A:B, 2, FALSE), "")</f>
        <v>573212589618</v>
      </c>
      <c r="AA245" s="4" t="e">
        <f t="shared" ca="1" si="1"/>
        <v>#NAME?</v>
      </c>
    </row>
    <row r="246" spans="1:27" ht="15.75" customHeight="1">
      <c r="A246" s="5" t="str">
        <f ca="1">IFERROR(__xludf.DUMMYFUNCTION("""COMPUTED_VALUE"""),"POSTOBÓN YUMBO")</f>
        <v>POSTOBÓN YUMBO</v>
      </c>
      <c r="B246" s="5" t="str">
        <f ca="1">IFERROR(__xludf.DUMMYFUNCTION("""COMPUTED_VALUE"""),"0410-LINEA 3")</f>
        <v>0410-LINEA 3</v>
      </c>
      <c r="C246" s="5" t="str">
        <f ca="1">IFERROR(__xludf.DUMMYFUNCTION("""COMPUTED_VALUE"""),"LINEA DE ENVASADO TAMAÑO PERSONAL")</f>
        <v>LINEA DE ENVASADO TAMAÑO PERSONAL</v>
      </c>
      <c r="D246" s="5">
        <f ca="1">IFERROR(__xludf.DUMMYFUNCTION("""COMPUTED_VALUE"""),508169)</f>
        <v>508169</v>
      </c>
      <c r="E246" s="5" t="str">
        <f ca="1">IFERROR(__xludf.DUMMYFUNCTION("""COMPUTED_VALUE"""),"LAVADORA DE BOTELLAS")</f>
        <v>LAVADORA DE BOTELLAS</v>
      </c>
      <c r="F246" s="5">
        <f ca="1">IFERROR(__xludf.DUMMYFUNCTION("""COMPUTED_VALUE"""),13351)</f>
        <v>13351</v>
      </c>
      <c r="G246" s="5" t="str">
        <f ca="1">IFERROR(__xludf.DUMMYFUNCTION("""COMPUTED_VALUE"""),"Mantto lubricacion lavadora de botellas.")</f>
        <v>Mantto lubricacion lavadora de botellas.</v>
      </c>
      <c r="H246" s="5">
        <f ca="1">IFERROR(__xludf.DUMMYFUNCTION("""COMPUTED_VALUE"""),13247133)</f>
        <v>13247133</v>
      </c>
      <c r="I246" s="5" t="str">
        <f ca="1">IFERROR(__xludf.DUMMYFUNCTION("""COMPUTED_VALUE"""),"Lubricar cadenas de transmision.")</f>
        <v>Lubricar cadenas de transmision.</v>
      </c>
      <c r="J246" s="5" t="str">
        <f ca="1">IFERROR(__xludf.DUMMYFUNCTION("""COMPUTED_VALUE"""),"ALTO")</f>
        <v>ALTO</v>
      </c>
      <c r="K246" s="5" t="str">
        <f ca="1">IFERROR(__xludf.DUMMYFUNCTION("""COMPUTED_VALUE"""),"Preventivo")</f>
        <v>Preventivo</v>
      </c>
      <c r="L246" s="5" t="str">
        <f ca="1">IFERROR(__xludf.DUMMYFUNCTION("""COMPUTED_VALUE"""),"Maquinaria")</f>
        <v>Maquinaria</v>
      </c>
      <c r="M246" s="5" t="str">
        <f ca="1">IFERROR(__xludf.DUMMYFUNCTION("""COMPUTED_VALUE"""),"No")</f>
        <v>No</v>
      </c>
      <c r="N246" s="5"/>
      <c r="O246" s="5"/>
      <c r="P246" s="18">
        <f ca="1">IFERROR(__xludf.DUMMYFUNCTION("""COMPUTED_VALUE"""),45324)</f>
        <v>45324</v>
      </c>
      <c r="Q246" s="18">
        <f ca="1">IFERROR(__xludf.DUMMYFUNCTION("""COMPUTED_VALUE"""),45324)</f>
        <v>45324</v>
      </c>
      <c r="R246" s="18"/>
      <c r="S246" s="5">
        <f ca="1">IFERROR(__xludf.DUMMYFUNCTION("""COMPUTED_VALUE"""),1)</f>
        <v>1</v>
      </c>
      <c r="T246" s="5"/>
      <c r="U246" s="5" t="str">
        <f ca="1">IFERROR(__xludf.DUMMYFUNCTION("""COMPUTED_VALUE"""),"Jimenez Jhon")</f>
        <v>Jimenez Jhon</v>
      </c>
      <c r="V246" s="5"/>
      <c r="W246" s="5" t="str">
        <f ca="1">IFERROR(__xludf.DUMMYFUNCTION("""COMPUTED_VALUE"""),"bjPif4haKXk")</f>
        <v>bjPif4haKXk</v>
      </c>
      <c r="X246" s="5">
        <f ca="1">IFERROR(__xludf.DUMMYFUNCTION("""COMPUTED_VALUE"""),1)</f>
        <v>1</v>
      </c>
      <c r="Y246" s="5" t="str">
        <f t="shared" si="0"/>
        <v>Actividad sin realizar</v>
      </c>
      <c r="Z246" s="3">
        <f ca="1">IFERROR(VLOOKUP(U246, 'Base de datos'!A:B, 2, FALSE), "")</f>
        <v>573147637946</v>
      </c>
      <c r="AA246" s="4" t="e">
        <f t="shared" ca="1" si="1"/>
        <v>#NAME?</v>
      </c>
    </row>
    <row r="247" spans="1:27" ht="15.75" customHeight="1">
      <c r="A247" s="5" t="str">
        <f ca="1">IFERROR(__xludf.DUMMYFUNCTION("""COMPUTED_VALUE"""),"POSTOBÓN YUMBO")</f>
        <v>POSTOBÓN YUMBO</v>
      </c>
      <c r="B247" s="5" t="str">
        <f ca="1">IFERROR(__xludf.DUMMYFUNCTION("""COMPUTED_VALUE"""),"0410-LINEA BOTELLON 20 LTS")</f>
        <v>0410-LINEA BOTELLON 20 LTS</v>
      </c>
      <c r="C247" s="5" t="str">
        <f ca="1">IFERROR(__xludf.DUMMYFUNCTION("""COMPUTED_VALUE"""),"LINEA DE PRODUCCION DE BOTELLONES DE 20")</f>
        <v>LINEA DE PRODUCCION DE BOTELLONES DE 20</v>
      </c>
      <c r="D247" s="5">
        <f ca="1">IFERROR(__xludf.DUMMYFUNCTION("""COMPUTED_VALUE"""),829615)</f>
        <v>829615</v>
      </c>
      <c r="E247" s="5" t="str">
        <f ca="1">IFERROR(__xludf.DUMMYFUNCTION("""COMPUTED_VALUE"""),"TRANSPORTADORES DE HUACALES")</f>
        <v>TRANSPORTADORES DE HUACALES</v>
      </c>
      <c r="F247" s="5">
        <f ca="1">IFERROR(__xludf.DUMMYFUNCTION("""COMPUTED_VALUE"""),22699)</f>
        <v>22699</v>
      </c>
      <c r="G247" s="5" t="str">
        <f ca="1">IFERROR(__xludf.DUMMYFUNCTION("""COMPUTED_VALUE"""),"PLAN MTTO LUB TRANSP HUACALES 829615")</f>
        <v>PLAN MTTO LUB TRANSP HUACALES 829615</v>
      </c>
      <c r="H247" s="5">
        <f ca="1">IFERROR(__xludf.DUMMYFUNCTION("""COMPUTED_VALUE"""),13193562)</f>
        <v>13193562</v>
      </c>
      <c r="I247" s="5" t="str">
        <f ca="1">IFERROR(__xludf.DUMMYFUNCTION("""COMPUTED_VALUE"""),"Cambio aceite reductores")</f>
        <v>Cambio aceite reductores</v>
      </c>
      <c r="J247" s="5" t="str">
        <f ca="1">IFERROR(__xludf.DUMMYFUNCTION("""COMPUTED_VALUE"""),"MEDIO")</f>
        <v>MEDIO</v>
      </c>
      <c r="K247" s="5" t="str">
        <f ca="1">IFERROR(__xludf.DUMMYFUNCTION("""COMPUTED_VALUE"""),"Preventivo")</f>
        <v>Preventivo</v>
      </c>
      <c r="L247" s="5" t="str">
        <f ca="1">IFERROR(__xludf.DUMMYFUNCTION("""COMPUTED_VALUE"""),"Maquinaria")</f>
        <v>Maquinaria</v>
      </c>
      <c r="M247" s="5" t="str">
        <f ca="1">IFERROR(__xludf.DUMMYFUNCTION("""COMPUTED_VALUE"""),"No")</f>
        <v>No</v>
      </c>
      <c r="N247" s="5"/>
      <c r="O247" s="5"/>
      <c r="P247" s="18">
        <f ca="1">IFERROR(__xludf.DUMMYFUNCTION("""COMPUTED_VALUE"""),45334)</f>
        <v>45334</v>
      </c>
      <c r="Q247" s="18">
        <f ca="1">IFERROR(__xludf.DUMMYFUNCTION("""COMPUTED_VALUE"""),45334)</f>
        <v>45334</v>
      </c>
      <c r="R247" s="18"/>
      <c r="S247" s="5">
        <f ca="1">IFERROR(__xludf.DUMMYFUNCTION("""COMPUTED_VALUE"""),4)</f>
        <v>4</v>
      </c>
      <c r="T247" s="5"/>
      <c r="U247" s="5" t="str">
        <f ca="1">IFERROR(__xludf.DUMMYFUNCTION("""COMPUTED_VALUE"""),"Víctor David Burbano Gómez")</f>
        <v>Víctor David Burbano Gómez</v>
      </c>
      <c r="V247" s="5"/>
      <c r="W247" s="5" t="str">
        <f ca="1">IFERROR(__xludf.DUMMYFUNCTION("""COMPUTED_VALUE"""),"DH2KReY4kLE")</f>
        <v>DH2KReY4kLE</v>
      </c>
      <c r="X247" s="5">
        <f ca="1">IFERROR(__xludf.DUMMYFUNCTION("""COMPUTED_VALUE"""),4)</f>
        <v>4</v>
      </c>
      <c r="Y247" s="5" t="str">
        <f t="shared" si="0"/>
        <v>Actividad sin realizar</v>
      </c>
      <c r="Z247" s="3">
        <f ca="1">IFERROR(VLOOKUP(U247, 'Base de datos'!A:B, 2, FALSE), "")</f>
        <v>573023403586</v>
      </c>
      <c r="AA247" s="4" t="e">
        <f t="shared" ca="1" si="1"/>
        <v>#NAME?</v>
      </c>
    </row>
    <row r="248" spans="1:27" ht="15.75" customHeight="1">
      <c r="A248" s="5" t="str">
        <f ca="1">IFERROR(__xludf.DUMMYFUNCTION("""COMPUTED_VALUE"""),"POSTOBÓN YUMBO")</f>
        <v>POSTOBÓN YUMBO</v>
      </c>
      <c r="B248" s="5" t="str">
        <f ca="1">IFERROR(__xludf.DUMMYFUNCTION("""COMPUTED_VALUE"""),"0410-EQUIPOS AUXILIARES")</f>
        <v>0410-EQUIPOS AUXILIARES</v>
      </c>
      <c r="C248" s="5" t="str">
        <f ca="1">IFERROR(__xludf.DUMMYFUNCTION("""COMPUTED_VALUE"""),"EQUIPOS PARA SERVICIOS INDUSTRIALES")</f>
        <v>EQUIPOS PARA SERVICIOS INDUSTRIALES</v>
      </c>
      <c r="D248" s="5">
        <f ca="1">IFERROR(__xludf.DUMMYFUNCTION("""COMPUTED_VALUE"""),638554)</f>
        <v>638554</v>
      </c>
      <c r="E248" s="5" t="str">
        <f ca="1">IFERROR(__xludf.DUMMYFUNCTION("""COMPUTED_VALUE"""),"CONDENSADOR EVAPORATIVO")</f>
        <v>CONDENSADOR EVAPORATIVO</v>
      </c>
      <c r="F248" s="5">
        <f ca="1">IFERROR(__xludf.DUMMYFUNCTION("""COMPUTED_VALUE"""),21699)</f>
        <v>21699</v>
      </c>
      <c r="G248" s="5" t="str">
        <f ca="1">IFERROR(__xludf.DUMMYFUNCTION("""COMPUTED_VALUE"""),"PLAN MTTO ELE CONDENSADOR EVAP GASEOSA")</f>
        <v>PLAN MTTO ELE CONDENSADOR EVAP GASEOSA</v>
      </c>
      <c r="H248" s="5">
        <f ca="1">IFERROR(__xludf.DUMMYFUNCTION("""COMPUTED_VALUE"""),13193541)</f>
        <v>13193541</v>
      </c>
      <c r="I248" s="5" t="str">
        <f ca="1">IFERROR(__xludf.DUMMYFUNCTION("""COMPUTED_VALUE"""),"tableros de fuerza y control")</f>
        <v>tableros de fuerza y control</v>
      </c>
      <c r="J248" s="5" t="str">
        <f ca="1">IFERROR(__xludf.DUMMYFUNCTION("""COMPUTED_VALUE"""),"MEDIO")</f>
        <v>MEDIO</v>
      </c>
      <c r="K248" s="5" t="str">
        <f ca="1">IFERROR(__xludf.DUMMYFUNCTION("""COMPUTED_VALUE"""),"Preventivo")</f>
        <v>Preventivo</v>
      </c>
      <c r="L248" s="5" t="str">
        <f ca="1">IFERROR(__xludf.DUMMYFUNCTION("""COMPUTED_VALUE"""),"Maquinaria")</f>
        <v>Maquinaria</v>
      </c>
      <c r="M248" s="5" t="str">
        <f ca="1">IFERROR(__xludf.DUMMYFUNCTION("""COMPUTED_VALUE"""),"No")</f>
        <v>No</v>
      </c>
      <c r="N248" s="5"/>
      <c r="O248" s="5"/>
      <c r="P248" s="18">
        <f ca="1">IFERROR(__xludf.DUMMYFUNCTION("""COMPUTED_VALUE"""),45336)</f>
        <v>45336</v>
      </c>
      <c r="Q248" s="18">
        <f ca="1">IFERROR(__xludf.DUMMYFUNCTION("""COMPUTED_VALUE"""),45336)</f>
        <v>45336</v>
      </c>
      <c r="R248" s="18"/>
      <c r="S248" s="5">
        <f ca="1">IFERROR(__xludf.DUMMYFUNCTION("""COMPUTED_VALUE"""),4)</f>
        <v>4</v>
      </c>
      <c r="T248" s="5"/>
      <c r="U248" s="5" t="str">
        <f ca="1">IFERROR(__xludf.DUMMYFUNCTION("""COMPUTED_VALUE"""),"Henao William")</f>
        <v>Henao William</v>
      </c>
      <c r="V248" s="5"/>
      <c r="W248" s="5" t="str">
        <f ca="1">IFERROR(__xludf.DUMMYFUNCTION("""COMPUTED_VALUE"""),"PIv-zbfaNvc")</f>
        <v>PIv-zbfaNvc</v>
      </c>
      <c r="X248" s="5">
        <f ca="1">IFERROR(__xludf.DUMMYFUNCTION("""COMPUTED_VALUE"""),4)</f>
        <v>4</v>
      </c>
      <c r="Y248" s="5" t="str">
        <f t="shared" si="0"/>
        <v>Actividad sin realizar</v>
      </c>
      <c r="Z248" s="3">
        <f ca="1">IFERROR(VLOOKUP(U248, 'Base de datos'!A:B, 2, FALSE), "")</f>
        <v>573222217492</v>
      </c>
      <c r="AA248" s="4" t="e">
        <f t="shared" ca="1" si="1"/>
        <v>#NAME?</v>
      </c>
    </row>
    <row r="249" spans="1:27" ht="15.75" customHeight="1">
      <c r="A249" s="5" t="str">
        <f ca="1">IFERROR(__xludf.DUMMYFUNCTION("""COMPUTED_VALUE"""),"POSTOBÓN YUMBO")</f>
        <v>POSTOBÓN YUMBO</v>
      </c>
      <c r="B249" s="5" t="str">
        <f ca="1">IFERROR(__xludf.DUMMYFUNCTION("""COMPUTED_VALUE"""),"0410-PLANTA DE AGUA ENVASADO")</f>
        <v>0410-PLANTA DE AGUA ENVASADO</v>
      </c>
      <c r="C249" s="5" t="str">
        <f ca="1">IFERROR(__xludf.DUMMYFUNCTION("""COMPUTED_VALUE"""),"TRATAMIENTO DE AGUA PARA ENVASADO")</f>
        <v>TRATAMIENTO DE AGUA PARA ENVASADO</v>
      </c>
      <c r="D249" s="5">
        <f ca="1">IFERROR(__xludf.DUMMYFUNCTION("""COMPUTED_VALUE"""),70965317)</f>
        <v>70965317</v>
      </c>
      <c r="E249" s="5" t="str">
        <f ca="1">IFERROR(__xludf.DUMMYFUNCTION("""COMPUTED_VALUE"""),"FILTRO PURIFICA (CARBON) 9 - TRAT PRIM")</f>
        <v>FILTRO PURIFICA (CARBON) 9 - TRAT PRIM</v>
      </c>
      <c r="F249" s="5">
        <f ca="1">IFERROR(__xludf.DUMMYFUNCTION("""COMPUTED_VALUE"""),32901)</f>
        <v>32901</v>
      </c>
      <c r="G249" s="5" t="str">
        <f ca="1">IFERROR(__xludf.DUMMYFUNCTION("""COMPUTED_VALUE"""),"PLAN MTTO MEC FILTRO PURIFICA (CARBON) 9")</f>
        <v>PLAN MTTO MEC FILTRO PURIFICA (CARBON) 9</v>
      </c>
      <c r="H249" s="5">
        <f ca="1">IFERROR(__xludf.DUMMYFUNCTION("""COMPUTED_VALUE"""),13207501)</f>
        <v>13207501</v>
      </c>
      <c r="I249" s="5" t="str">
        <f ca="1">IFERROR(__xludf.DUMMYFUNCTION("""COMPUTED_VALUE"""),"VALVULA REGULADORA NEUMATICA: REVISAR")</f>
        <v>VALVULA REGULADORA NEUMATICA: REVISAR</v>
      </c>
      <c r="J249" s="5" t="str">
        <f ca="1">IFERROR(__xludf.DUMMYFUNCTION("""COMPUTED_VALUE"""),"ALTO")</f>
        <v>ALTO</v>
      </c>
      <c r="K249" s="5" t="str">
        <f ca="1">IFERROR(__xludf.DUMMYFUNCTION("""COMPUTED_VALUE"""),"Preventivo")</f>
        <v>Preventivo</v>
      </c>
      <c r="L249" s="5" t="str">
        <f ca="1">IFERROR(__xludf.DUMMYFUNCTION("""COMPUTED_VALUE"""),"Maquinaria")</f>
        <v>Maquinaria</v>
      </c>
      <c r="M249" s="5" t="str">
        <f ca="1">IFERROR(__xludf.DUMMYFUNCTION("""COMPUTED_VALUE"""),"No")</f>
        <v>No</v>
      </c>
      <c r="N249" s="5"/>
      <c r="O249" s="5"/>
      <c r="P249" s="18">
        <f ca="1">IFERROR(__xludf.DUMMYFUNCTION("""COMPUTED_VALUE"""),45344)</f>
        <v>45344</v>
      </c>
      <c r="Q249" s="18">
        <f ca="1">IFERROR(__xludf.DUMMYFUNCTION("""COMPUTED_VALUE"""),45344)</f>
        <v>45344</v>
      </c>
      <c r="R249" s="18"/>
      <c r="S249" s="5">
        <f ca="1">IFERROR(__xludf.DUMMYFUNCTION("""COMPUTED_VALUE"""),0.5)</f>
        <v>0.5</v>
      </c>
      <c r="T249" s="5"/>
      <c r="U249" s="5" t="str">
        <f ca="1">IFERROR(__xludf.DUMMYFUNCTION("""COMPUTED_VALUE"""),"Guzman Palechor Miguel Angel")</f>
        <v>Guzman Palechor Miguel Angel</v>
      </c>
      <c r="V249" s="5"/>
      <c r="W249" s="5" t="str">
        <f ca="1">IFERROR(__xludf.DUMMYFUNCTION("""COMPUTED_VALUE"""),"RC9yxI_x8ZQ")</f>
        <v>RC9yxI_x8ZQ</v>
      </c>
      <c r="X249" s="5">
        <f ca="1">IFERROR(__xludf.DUMMYFUNCTION("""COMPUTED_VALUE"""),0.5)</f>
        <v>0.5</v>
      </c>
      <c r="Y249" s="5" t="str">
        <f t="shared" si="0"/>
        <v>Actividad sin realizar</v>
      </c>
      <c r="Z249" s="3">
        <f ca="1">IFERROR(VLOOKUP(U249, 'Base de datos'!A:B, 2, FALSE), "")</f>
        <v>573112422176</v>
      </c>
      <c r="AA249" s="4" t="e">
        <f t="shared" ca="1" si="1"/>
        <v>#NAME?</v>
      </c>
    </row>
    <row r="250" spans="1:27" ht="15.75" customHeight="1">
      <c r="A250" s="5" t="str">
        <f ca="1">IFERROR(__xludf.DUMMYFUNCTION("""COMPUTED_VALUE"""),"POSTOBÓN YUMBO")</f>
        <v>POSTOBÓN YUMBO</v>
      </c>
      <c r="B250" s="5" t="str">
        <f ca="1">IFERROR(__xludf.DUMMYFUNCTION("""COMPUTED_VALUE"""),"0410-LINEA 3")</f>
        <v>0410-LINEA 3</v>
      </c>
      <c r="C250" s="5" t="str">
        <f ca="1">IFERROR(__xludf.DUMMYFUNCTION("""COMPUTED_VALUE"""),"LINEA DE ENVASADO TAMAÑO PERSONAL")</f>
        <v>LINEA DE ENVASADO TAMAÑO PERSONAL</v>
      </c>
      <c r="D250" s="5">
        <f ca="1">IFERROR(__xludf.DUMMYFUNCTION("""COMPUTED_VALUE"""),508169)</f>
        <v>508169</v>
      </c>
      <c r="E250" s="5" t="str">
        <f ca="1">IFERROR(__xludf.DUMMYFUNCTION("""COMPUTED_VALUE"""),"LAVADORA DE BOTELLAS")</f>
        <v>LAVADORA DE BOTELLAS</v>
      </c>
      <c r="F250" s="5">
        <f ca="1">IFERROR(__xludf.DUMMYFUNCTION("""COMPUTED_VALUE"""),13351)</f>
        <v>13351</v>
      </c>
      <c r="G250" s="5" t="str">
        <f ca="1">IFERROR(__xludf.DUMMYFUNCTION("""COMPUTED_VALUE"""),"Mantto lubricacion lavadora de botellas.")</f>
        <v>Mantto lubricacion lavadora de botellas.</v>
      </c>
      <c r="H250" s="5">
        <f ca="1">IFERROR(__xludf.DUMMYFUNCTION("""COMPUTED_VALUE"""),13247132)</f>
        <v>13247132</v>
      </c>
      <c r="I250" s="5" t="str">
        <f ca="1">IFERROR(__xludf.DUMMYFUNCTION("""COMPUTED_VALUE"""),"Lubricar balineras y chumaceras.")</f>
        <v>Lubricar balineras y chumaceras.</v>
      </c>
      <c r="J250" s="5" t="str">
        <f ca="1">IFERROR(__xludf.DUMMYFUNCTION("""COMPUTED_VALUE"""),"ALTO")</f>
        <v>ALTO</v>
      </c>
      <c r="K250" s="5" t="str">
        <f ca="1">IFERROR(__xludf.DUMMYFUNCTION("""COMPUTED_VALUE"""),"Preventivo")</f>
        <v>Preventivo</v>
      </c>
      <c r="L250" s="5" t="str">
        <f ca="1">IFERROR(__xludf.DUMMYFUNCTION("""COMPUTED_VALUE"""),"Maquinaria")</f>
        <v>Maquinaria</v>
      </c>
      <c r="M250" s="5" t="str">
        <f ca="1">IFERROR(__xludf.DUMMYFUNCTION("""COMPUTED_VALUE"""),"No")</f>
        <v>No</v>
      </c>
      <c r="N250" s="5"/>
      <c r="O250" s="5"/>
      <c r="P250" s="18">
        <f ca="1">IFERROR(__xludf.DUMMYFUNCTION("""COMPUTED_VALUE"""),45324)</f>
        <v>45324</v>
      </c>
      <c r="Q250" s="18">
        <f ca="1">IFERROR(__xludf.DUMMYFUNCTION("""COMPUTED_VALUE"""),45324)</f>
        <v>45324</v>
      </c>
      <c r="R250" s="18"/>
      <c r="S250" s="5">
        <f ca="1">IFERROR(__xludf.DUMMYFUNCTION("""COMPUTED_VALUE"""),2)</f>
        <v>2</v>
      </c>
      <c r="T250" s="5"/>
      <c r="U250" s="5" t="str">
        <f ca="1">IFERROR(__xludf.DUMMYFUNCTION("""COMPUTED_VALUE"""),"Jimenez Jhon")</f>
        <v>Jimenez Jhon</v>
      </c>
      <c r="V250" s="5"/>
      <c r="W250" s="5" t="str">
        <f ca="1">IFERROR(__xludf.DUMMYFUNCTION("""COMPUTED_VALUE"""),"1M_8-w886Yk")</f>
        <v>1M_8-w886Yk</v>
      </c>
      <c r="X250" s="5">
        <f ca="1">IFERROR(__xludf.DUMMYFUNCTION("""COMPUTED_VALUE"""),2)</f>
        <v>2</v>
      </c>
      <c r="Y250" s="5" t="str">
        <f t="shared" si="0"/>
        <v>Actividad sin realizar</v>
      </c>
      <c r="Z250" s="3">
        <f ca="1">IFERROR(VLOOKUP(U250, 'Base de datos'!A:B, 2, FALSE), "")</f>
        <v>573147637946</v>
      </c>
      <c r="AA250" s="4" t="e">
        <f t="shared" ca="1" si="1"/>
        <v>#NAME?</v>
      </c>
    </row>
    <row r="251" spans="1:27" ht="15.75" customHeight="1">
      <c r="A251" s="5" t="str">
        <f ca="1">IFERROR(__xludf.DUMMYFUNCTION("""COMPUTED_VALUE"""),"POSTOBÓN YUMBO")</f>
        <v>POSTOBÓN YUMBO</v>
      </c>
      <c r="B251" s="5" t="str">
        <f ca="1">IFERROR(__xludf.DUMMYFUNCTION("""COMPUTED_VALUE"""),"0410-SALA DE JARABE TERMINADO")</f>
        <v>0410-SALA DE JARABE TERMINADO</v>
      </c>
      <c r="C251" s="5" t="str">
        <f ca="1">IFERROR(__xludf.DUMMYFUNCTION("""COMPUTED_VALUE"""),"EQUIPOS PARA PREPARACION DE JARABE")</f>
        <v>EQUIPOS PARA PREPARACION DE JARABE</v>
      </c>
      <c r="D251" s="5">
        <f ca="1">IFERROR(__xludf.DUMMYFUNCTION("""COMPUTED_VALUE"""),69963404)</f>
        <v>69963404</v>
      </c>
      <c r="E251" s="5" t="str">
        <f ca="1">IFERROR(__xludf.DUMMYFUNCTION("""COMPUTED_VALUE"""),"TANQUE DE JARABE")</f>
        <v>TANQUE DE JARABE</v>
      </c>
      <c r="F251" s="5">
        <f ca="1">IFERROR(__xludf.DUMMYFUNCTION("""COMPUTED_VALUE"""),17361)</f>
        <v>17361</v>
      </c>
      <c r="G251" s="5" t="str">
        <f ca="1">IFERROR(__xludf.DUMMYFUNCTION("""COMPUTED_VALUE"""),"MTTO MEC TK JARABE 1 JARABE TERMINADO")</f>
        <v>MTTO MEC TK JARABE 1 JARABE TERMINADO</v>
      </c>
      <c r="H251" s="5">
        <f ca="1">IFERROR(__xludf.DUMMYFUNCTION("""COMPUTED_VALUE"""),13247146)</f>
        <v>13247146</v>
      </c>
      <c r="I251" s="5" t="str">
        <f ca="1">IFERROR(__xludf.DUMMYFUNCTION("""COMPUTED_VALUE"""),"Sistema neumatico: revision fugas y esta")</f>
        <v>Sistema neumatico: revision fugas y esta</v>
      </c>
      <c r="J251" s="5" t="str">
        <f ca="1">IFERROR(__xludf.DUMMYFUNCTION("""COMPUTED_VALUE"""),"ALTO")</f>
        <v>ALTO</v>
      </c>
      <c r="K251" s="5" t="str">
        <f ca="1">IFERROR(__xludf.DUMMYFUNCTION("""COMPUTED_VALUE"""),"Preventivo")</f>
        <v>Preventivo</v>
      </c>
      <c r="L251" s="5" t="str">
        <f ca="1">IFERROR(__xludf.DUMMYFUNCTION("""COMPUTED_VALUE"""),"Maquinaria")</f>
        <v>Maquinaria</v>
      </c>
      <c r="M251" s="5" t="str">
        <f ca="1">IFERROR(__xludf.DUMMYFUNCTION("""COMPUTED_VALUE"""),"No")</f>
        <v>No</v>
      </c>
      <c r="N251" s="5"/>
      <c r="O251" s="5">
        <f ca="1">IFERROR(__xludf.DUMMYFUNCTION("""COMPUTED_VALUE"""),100)</f>
        <v>100</v>
      </c>
      <c r="P251" s="18">
        <f ca="1">IFERROR(__xludf.DUMMYFUNCTION("""COMPUTED_VALUE"""),45342)</f>
        <v>45342</v>
      </c>
      <c r="Q251" s="18">
        <f ca="1">IFERROR(__xludf.DUMMYFUNCTION("""COMPUTED_VALUE"""),45342)</f>
        <v>45342</v>
      </c>
      <c r="R251" s="18"/>
      <c r="S251" s="5">
        <f ca="1">IFERROR(__xludf.DUMMYFUNCTION("""COMPUTED_VALUE"""),1)</f>
        <v>1</v>
      </c>
      <c r="T251" s="5"/>
      <c r="U251" s="5" t="str">
        <f ca="1">IFERROR(__xludf.DUMMYFUNCTION("""COMPUTED_VALUE"""),"Moreno Pernia Bladimir")</f>
        <v>Moreno Pernia Bladimir</v>
      </c>
      <c r="V251" s="5"/>
      <c r="W251" s="5" t="str">
        <f ca="1">IFERROR(__xludf.DUMMYFUNCTION("""COMPUTED_VALUE"""),"7tO2LePDT1U")</f>
        <v>7tO2LePDT1U</v>
      </c>
      <c r="X251" s="5">
        <f ca="1">IFERROR(__xludf.DUMMYFUNCTION("""COMPUTED_VALUE"""),1)</f>
        <v>1</v>
      </c>
      <c r="Y251" s="5" t="str">
        <f t="shared" ca="1" si="0"/>
        <v>Actividad realizada</v>
      </c>
      <c r="Z251" s="3">
        <f ca="1">IFERROR(VLOOKUP(U251, 'Base de datos'!A:B, 2, FALSE), "")</f>
        <v>573148903137</v>
      </c>
      <c r="AA251" s="4" t="e">
        <f t="shared" ca="1" si="1"/>
        <v>#NAME?</v>
      </c>
    </row>
    <row r="252" spans="1:27" ht="15.75" customHeight="1">
      <c r="A252" s="5" t="str">
        <f ca="1">IFERROR(__xludf.DUMMYFUNCTION("""COMPUTED_VALUE"""),"POSTOBÓN YUMBO")</f>
        <v>POSTOBÓN YUMBO</v>
      </c>
      <c r="B252" s="5" t="str">
        <f ca="1">IFERROR(__xludf.DUMMYFUNCTION("""COMPUTED_VALUE"""),"0410-SALA DE JARABE TERMINADO")</f>
        <v>0410-SALA DE JARABE TERMINADO</v>
      </c>
      <c r="C252" s="5" t="str">
        <f ca="1">IFERROR(__xludf.DUMMYFUNCTION("""COMPUTED_VALUE"""),"EQUIPOS PARA PREPARACION DE JARABE")</f>
        <v>EQUIPOS PARA PREPARACION DE JARABE</v>
      </c>
      <c r="D252" s="5">
        <f ca="1">IFERROR(__xludf.DUMMYFUNCTION("""COMPUTED_VALUE"""),69963404)</f>
        <v>69963404</v>
      </c>
      <c r="E252" s="5" t="str">
        <f ca="1">IFERROR(__xludf.DUMMYFUNCTION("""COMPUTED_VALUE"""),"TANQUE DE JARABE")</f>
        <v>TANQUE DE JARABE</v>
      </c>
      <c r="F252" s="5">
        <f ca="1">IFERROR(__xludf.DUMMYFUNCTION("""COMPUTED_VALUE"""),17361)</f>
        <v>17361</v>
      </c>
      <c r="G252" s="5" t="str">
        <f ca="1">IFERROR(__xludf.DUMMYFUNCTION("""COMPUTED_VALUE"""),"MTTO ELEC TK JARABE 1 JARABE TERMINADO")</f>
        <v>MTTO ELEC TK JARABE 1 JARABE TERMINADO</v>
      </c>
      <c r="H252" s="5">
        <f ca="1">IFERROR(__xludf.DUMMYFUNCTION("""COMPUTED_VALUE"""),13247147)</f>
        <v>13247147</v>
      </c>
      <c r="I252" s="5" t="str">
        <f ca="1">IFERROR(__xludf.DUMMYFUNCTION("""COMPUTED_VALUE"""),"MOTOR BOMBA DE RECIRCULACION:")</f>
        <v>MOTOR BOMBA DE RECIRCULACION:</v>
      </c>
      <c r="J252" s="5" t="str">
        <f ca="1">IFERROR(__xludf.DUMMYFUNCTION("""COMPUTED_VALUE"""),"ALTO")</f>
        <v>ALTO</v>
      </c>
      <c r="K252" s="5" t="str">
        <f ca="1">IFERROR(__xludf.DUMMYFUNCTION("""COMPUTED_VALUE"""),"Preventivo")</f>
        <v>Preventivo</v>
      </c>
      <c r="L252" s="5" t="str">
        <f ca="1">IFERROR(__xludf.DUMMYFUNCTION("""COMPUTED_VALUE"""),"Maquinaria")</f>
        <v>Maquinaria</v>
      </c>
      <c r="M252" s="5" t="str">
        <f ca="1">IFERROR(__xludf.DUMMYFUNCTION("""COMPUTED_VALUE"""),"No")</f>
        <v>No</v>
      </c>
      <c r="N252" s="5"/>
      <c r="O252" s="5">
        <f ca="1">IFERROR(__xludf.DUMMYFUNCTION("""COMPUTED_VALUE"""),100)</f>
        <v>100</v>
      </c>
      <c r="P252" s="18">
        <f ca="1">IFERROR(__xludf.DUMMYFUNCTION("""COMPUTED_VALUE"""),45343)</f>
        <v>45343</v>
      </c>
      <c r="Q252" s="18">
        <f ca="1">IFERROR(__xludf.DUMMYFUNCTION("""COMPUTED_VALUE"""),45343)</f>
        <v>45343</v>
      </c>
      <c r="R252" s="18"/>
      <c r="S252" s="5">
        <f ca="1">IFERROR(__xludf.DUMMYFUNCTION("""COMPUTED_VALUE"""),1)</f>
        <v>1</v>
      </c>
      <c r="T252" s="5"/>
      <c r="U252" s="5" t="str">
        <f ca="1">IFERROR(__xludf.DUMMYFUNCTION("""COMPUTED_VALUE"""),"Moreno Pernia Bladimir")</f>
        <v>Moreno Pernia Bladimir</v>
      </c>
      <c r="V252" s="5"/>
      <c r="W252" s="5" t="str">
        <f ca="1">IFERROR(__xludf.DUMMYFUNCTION("""COMPUTED_VALUE"""),"-IJAIVqZsHk")</f>
        <v>-IJAIVqZsHk</v>
      </c>
      <c r="X252" s="5">
        <f ca="1">IFERROR(__xludf.DUMMYFUNCTION("""COMPUTED_VALUE"""),1)</f>
        <v>1</v>
      </c>
      <c r="Y252" s="5" t="str">
        <f t="shared" ca="1" si="0"/>
        <v>Actividad realizada</v>
      </c>
      <c r="Z252" s="3">
        <f ca="1">IFERROR(VLOOKUP(U252, 'Base de datos'!A:B, 2, FALSE), "")</f>
        <v>573148903137</v>
      </c>
      <c r="AA252" s="4" t="e">
        <f t="shared" ca="1" si="1"/>
        <v>#NAME?</v>
      </c>
    </row>
    <row r="253" spans="1:27" ht="15.75" customHeight="1">
      <c r="A253" s="5" t="str">
        <f ca="1">IFERROR(__xludf.DUMMYFUNCTION("""COMPUTED_VALUE"""),"POSTOBÓN YUMBO")</f>
        <v>POSTOBÓN YUMBO</v>
      </c>
      <c r="B253" s="5" t="str">
        <f ca="1">IFERROR(__xludf.DUMMYFUNCTION("""COMPUTED_VALUE"""),"0410-EQUIPOS AUXILIARES")</f>
        <v>0410-EQUIPOS AUXILIARES</v>
      </c>
      <c r="C253" s="5" t="str">
        <f ca="1">IFERROR(__xludf.DUMMYFUNCTION("""COMPUTED_VALUE"""),"EQUIPOS PARA SERVICIOS INDUSTRIALES")</f>
        <v>EQUIPOS PARA SERVICIOS INDUSTRIALES</v>
      </c>
      <c r="D253" s="5">
        <f ca="1">IFERROR(__xludf.DUMMYFUNCTION("""COMPUTED_VALUE"""),649544)</f>
        <v>649544</v>
      </c>
      <c r="E253" s="5" t="str">
        <f ca="1">IFERROR(__xludf.DUMMYFUNCTION("""COMPUTED_VALUE"""),"COMPRESOR AIRE 3")</f>
        <v>COMPRESOR AIRE 3</v>
      </c>
      <c r="F253" s="5">
        <f ca="1">IFERROR(__xludf.DUMMYFUNCTION("""COMPUTED_VALUE"""),22534)</f>
        <v>22534</v>
      </c>
      <c r="G253" s="5" t="str">
        <f ca="1">IFERROR(__xludf.DUMMYFUNCTION("""COMPUTED_VALUE"""),"PLAN MTTO MEC COMPRESOR AIRE SIERRA 3")</f>
        <v>PLAN MTTO MEC COMPRESOR AIRE SIERRA 3</v>
      </c>
      <c r="H253" s="5">
        <f ca="1">IFERROR(__xludf.DUMMYFUNCTION("""COMPUTED_VALUE"""),13207428)</f>
        <v>13207428</v>
      </c>
      <c r="I253" s="5" t="str">
        <f ca="1">IFERROR(__xludf.DUMMYFUNCTION("""COMPUTED_VALUE"""),"COMPROBACION VALVULA SEGURIDAD:")</f>
        <v>COMPROBACION VALVULA SEGURIDAD:</v>
      </c>
      <c r="J253" s="5" t="str">
        <f ca="1">IFERROR(__xludf.DUMMYFUNCTION("""COMPUTED_VALUE"""),"MEDIO")</f>
        <v>MEDIO</v>
      </c>
      <c r="K253" s="5" t="str">
        <f ca="1">IFERROR(__xludf.DUMMYFUNCTION("""COMPUTED_VALUE"""),"Preventivo")</f>
        <v>Preventivo</v>
      </c>
      <c r="L253" s="5" t="str">
        <f ca="1">IFERROR(__xludf.DUMMYFUNCTION("""COMPUTED_VALUE"""),"Maquinaria")</f>
        <v>Maquinaria</v>
      </c>
      <c r="M253" s="5" t="str">
        <f ca="1">IFERROR(__xludf.DUMMYFUNCTION("""COMPUTED_VALUE"""),"No")</f>
        <v>No</v>
      </c>
      <c r="N253" s="5"/>
      <c r="O253" s="5"/>
      <c r="P253" s="18">
        <f ca="1">IFERROR(__xludf.DUMMYFUNCTION("""COMPUTED_VALUE"""),45336)</f>
        <v>45336</v>
      </c>
      <c r="Q253" s="18">
        <f ca="1">IFERROR(__xludf.DUMMYFUNCTION("""COMPUTED_VALUE"""),45336)</f>
        <v>45336</v>
      </c>
      <c r="R253" s="18"/>
      <c r="S253" s="5">
        <f ca="1">IFERROR(__xludf.DUMMYFUNCTION("""COMPUTED_VALUE"""),0.5)</f>
        <v>0.5</v>
      </c>
      <c r="T253" s="5"/>
      <c r="U253" s="5" t="str">
        <f ca="1">IFERROR(__xludf.DUMMYFUNCTION("""COMPUTED_VALUE"""),"MARIO ALBERTO MARTÍNEZ MORA")</f>
        <v>MARIO ALBERTO MARTÍNEZ MORA</v>
      </c>
      <c r="V253" s="5"/>
      <c r="W253" s="5" t="str">
        <f ca="1">IFERROR(__xludf.DUMMYFUNCTION("""COMPUTED_VALUE"""),"JuW7SuqIDRc")</f>
        <v>JuW7SuqIDRc</v>
      </c>
      <c r="X253" s="5">
        <f ca="1">IFERROR(__xludf.DUMMYFUNCTION("""COMPUTED_VALUE"""),0.5)</f>
        <v>0.5</v>
      </c>
      <c r="Y253" s="5" t="str">
        <f t="shared" si="0"/>
        <v>Actividad sin realizar</v>
      </c>
      <c r="Z253" s="3">
        <f ca="1">IFERROR(VLOOKUP(U253, 'Base de datos'!A:B, 2, FALSE), "")</f>
        <v>573116493969</v>
      </c>
      <c r="AA253" s="4" t="e">
        <f t="shared" ca="1" si="1"/>
        <v>#NAME?</v>
      </c>
    </row>
    <row r="254" spans="1:27" ht="15.75" customHeight="1">
      <c r="A254" s="5" t="str">
        <f ca="1">IFERROR(__xludf.DUMMYFUNCTION("""COMPUTED_VALUE"""),"POSTOBÓN YUMBO")</f>
        <v>POSTOBÓN YUMBO</v>
      </c>
      <c r="B254" s="5" t="str">
        <f ca="1">IFERROR(__xludf.DUMMYFUNCTION("""COMPUTED_VALUE"""),"0410-LINEA DE BOLSAS")</f>
        <v>0410-LINEA DE BOLSAS</v>
      </c>
      <c r="C254" s="5" t="str">
        <f ca="1">IFERROR(__xludf.DUMMYFUNCTION("""COMPUTED_VALUE"""),"LINEA PARA EL LLENADO DE BOLSAS")</f>
        <v>LINEA PARA EL LLENADO DE BOLSAS</v>
      </c>
      <c r="D254" s="5">
        <f ca="1">IFERROR(__xludf.DUMMYFUNCTION("""COMPUTED_VALUE"""),71020001)</f>
        <v>71020001</v>
      </c>
      <c r="E254" s="5" t="str">
        <f ca="1">IFERROR(__xludf.DUMMYFUNCTION("""COMPUTED_VALUE"""),"TRANSPORTADORES TABLETOP PARA BOLSAS.")</f>
        <v>TRANSPORTADORES TABLETOP PARA BOLSAS.</v>
      </c>
      <c r="F254" s="5">
        <f ca="1">IFERROR(__xludf.DUMMYFUNCTION("""COMPUTED_VALUE"""),22718)</f>
        <v>22718</v>
      </c>
      <c r="G254" s="5" t="str">
        <f ca="1">IFERROR(__xludf.DUMMYFUNCTION("""COMPUTED_VALUE"""),"PLAN MTTO ELE TABLETOP BOLSAS 71020001")</f>
        <v>PLAN MTTO ELE TABLETOP BOLSAS 71020001</v>
      </c>
      <c r="H254" s="5">
        <f ca="1">IFERROR(__xludf.DUMMYFUNCTION("""COMPUTED_VALUE"""),13193570)</f>
        <v>13193570</v>
      </c>
      <c r="I254" s="5" t="str">
        <f ca="1">IFERROR(__xludf.DUMMYFUNCTION("""COMPUTED_VALUE"""),"Mtto Anual Motores")</f>
        <v>Mtto Anual Motores</v>
      </c>
      <c r="J254" s="5" t="str">
        <f ca="1">IFERROR(__xludf.DUMMYFUNCTION("""COMPUTED_VALUE"""),"MEDIO")</f>
        <v>MEDIO</v>
      </c>
      <c r="K254" s="5" t="str">
        <f ca="1">IFERROR(__xludf.DUMMYFUNCTION("""COMPUTED_VALUE"""),"Preventivo")</f>
        <v>Preventivo</v>
      </c>
      <c r="L254" s="5" t="str">
        <f ca="1">IFERROR(__xludf.DUMMYFUNCTION("""COMPUTED_VALUE"""),"Maquinaria")</f>
        <v>Maquinaria</v>
      </c>
      <c r="M254" s="5" t="str">
        <f ca="1">IFERROR(__xludf.DUMMYFUNCTION("""COMPUTED_VALUE"""),"No")</f>
        <v>No</v>
      </c>
      <c r="N254" s="5"/>
      <c r="O254" s="5"/>
      <c r="P254" s="18">
        <f ca="1">IFERROR(__xludf.DUMMYFUNCTION("""COMPUTED_VALUE"""),45333)</f>
        <v>45333</v>
      </c>
      <c r="Q254" s="18">
        <f ca="1">IFERROR(__xludf.DUMMYFUNCTION("""COMPUTED_VALUE"""),45333)</f>
        <v>45333</v>
      </c>
      <c r="R254" s="18"/>
      <c r="S254" s="5">
        <f ca="1">IFERROR(__xludf.DUMMYFUNCTION("""COMPUTED_VALUE"""),8)</f>
        <v>8</v>
      </c>
      <c r="T254" s="5"/>
      <c r="U254" s="5" t="str">
        <f ca="1">IFERROR(__xludf.DUMMYFUNCTION("""COMPUTED_VALUE"""),"ESTEBAN POTOSI ISAZA")</f>
        <v>ESTEBAN POTOSI ISAZA</v>
      </c>
      <c r="V254" s="5"/>
      <c r="W254" s="5" t="str">
        <f ca="1">IFERROR(__xludf.DUMMYFUNCTION("""COMPUTED_VALUE"""),"kqJrrVgu4a8")</f>
        <v>kqJrrVgu4a8</v>
      </c>
      <c r="X254" s="5">
        <f ca="1">IFERROR(__xludf.DUMMYFUNCTION("""COMPUTED_VALUE"""),8)</f>
        <v>8</v>
      </c>
      <c r="Y254" s="5" t="str">
        <f t="shared" si="0"/>
        <v>Actividad sin realizar</v>
      </c>
      <c r="Z254" s="3">
        <f ca="1">IFERROR(VLOOKUP(U254, 'Base de datos'!A:B, 2, FALSE), "")</f>
        <v>573128543241</v>
      </c>
      <c r="AA254" s="4" t="e">
        <f t="shared" ca="1" si="1"/>
        <v>#NAME?</v>
      </c>
    </row>
    <row r="255" spans="1:27" ht="15.75" customHeight="1">
      <c r="A255" s="5" t="str">
        <f ca="1">IFERROR(__xludf.DUMMYFUNCTION("""COMPUTED_VALUE"""),"POSTOBÓN YUMBO")</f>
        <v>POSTOBÓN YUMBO</v>
      </c>
      <c r="B255" s="5" t="str">
        <f ca="1">IFERROR(__xludf.DUMMYFUNCTION("""COMPUTED_VALUE"""),"0410-LINEA DE BOLSAS")</f>
        <v>0410-LINEA DE BOLSAS</v>
      </c>
      <c r="C255" s="5" t="str">
        <f ca="1">IFERROR(__xludf.DUMMYFUNCTION("""COMPUTED_VALUE"""),"LINEA PARA EL LLENADO DE BOLSAS")</f>
        <v>LINEA PARA EL LLENADO DE BOLSAS</v>
      </c>
      <c r="D255" s="5">
        <f ca="1">IFERROR(__xludf.DUMMYFUNCTION("""COMPUTED_VALUE"""),710199)</f>
        <v>710199</v>
      </c>
      <c r="E255" s="5" t="str">
        <f ca="1">IFERROR(__xludf.DUMMYFUNCTION("""COMPUTED_VALUE"""),"LLENADORA DE BOLSAS LINEA 5")</f>
        <v>LLENADORA DE BOLSAS LINEA 5</v>
      </c>
      <c r="F255" s="5">
        <f ca="1">IFERROR(__xludf.DUMMYFUNCTION("""COMPUTED_VALUE"""),22715)</f>
        <v>22715</v>
      </c>
      <c r="G255" s="5" t="str">
        <f ca="1">IFERROR(__xludf.DUMMYFUNCTION("""COMPUTED_VALUE"""),"PLAN MTTO MEC LLENADORA BOLSA 5L 710199")</f>
        <v>PLAN MTTO MEC LLENADORA BOLSA 5L 710199</v>
      </c>
      <c r="H255" s="5">
        <f ca="1">IFERROR(__xludf.DUMMYFUNCTION("""COMPUTED_VALUE"""),13207464)</f>
        <v>13207464</v>
      </c>
      <c r="I255" s="5" t="str">
        <f ca="1">IFERROR(__xludf.DUMMYFUNCTION("""COMPUTED_VALUE"""),"BANDAS TRANSPORTE BOLSA")</f>
        <v>BANDAS TRANSPORTE BOLSA</v>
      </c>
      <c r="J255" s="5" t="str">
        <f ca="1">IFERROR(__xludf.DUMMYFUNCTION("""COMPUTED_VALUE"""),"ALTO")</f>
        <v>ALTO</v>
      </c>
      <c r="K255" s="5" t="str">
        <f ca="1">IFERROR(__xludf.DUMMYFUNCTION("""COMPUTED_VALUE"""),"Preventivo")</f>
        <v>Preventivo</v>
      </c>
      <c r="L255" s="5" t="str">
        <f ca="1">IFERROR(__xludf.DUMMYFUNCTION("""COMPUTED_VALUE"""),"Maquinaria")</f>
        <v>Maquinaria</v>
      </c>
      <c r="M255" s="5" t="str">
        <f ca="1">IFERROR(__xludf.DUMMYFUNCTION("""COMPUTED_VALUE"""),"No")</f>
        <v>No</v>
      </c>
      <c r="N255" s="5"/>
      <c r="O255" s="5"/>
      <c r="P255" s="18">
        <f ca="1">IFERROR(__xludf.DUMMYFUNCTION("""COMPUTED_VALUE"""),45348)</f>
        <v>45348</v>
      </c>
      <c r="Q255" s="18">
        <f ca="1">IFERROR(__xludf.DUMMYFUNCTION("""COMPUTED_VALUE"""),45348)</f>
        <v>45348</v>
      </c>
      <c r="R255" s="18"/>
      <c r="S255" s="5">
        <f ca="1">IFERROR(__xludf.DUMMYFUNCTION("""COMPUTED_VALUE"""),2)</f>
        <v>2</v>
      </c>
      <c r="T255" s="5"/>
      <c r="U255" s="5" t="str">
        <f ca="1">IFERROR(__xludf.DUMMYFUNCTION("""COMPUTED_VALUE"""),"ESTEBAN POTOSI ISAZA")</f>
        <v>ESTEBAN POTOSI ISAZA</v>
      </c>
      <c r="V255" s="5"/>
      <c r="W255" s="5" t="str">
        <f ca="1">IFERROR(__xludf.DUMMYFUNCTION("""COMPUTED_VALUE"""),"YC9B3kSyT4s")</f>
        <v>YC9B3kSyT4s</v>
      </c>
      <c r="X255" s="5">
        <f ca="1">IFERROR(__xludf.DUMMYFUNCTION("""COMPUTED_VALUE"""),2)</f>
        <v>2</v>
      </c>
      <c r="Y255" s="5" t="str">
        <f t="shared" si="0"/>
        <v>Actividad sin realizar</v>
      </c>
      <c r="Z255" s="3">
        <f ca="1">IFERROR(VLOOKUP(U255, 'Base de datos'!A:B, 2, FALSE), "")</f>
        <v>573128543241</v>
      </c>
      <c r="AA255" s="4" t="e">
        <f t="shared" ca="1" si="1"/>
        <v>#NAME?</v>
      </c>
    </row>
    <row r="256" spans="1:27" ht="15.75" customHeight="1">
      <c r="A256" s="5" t="str">
        <f ca="1">IFERROR(__xludf.DUMMYFUNCTION("""COMPUTED_VALUE"""),"POSTOBÓN YUMBO")</f>
        <v>POSTOBÓN YUMBO</v>
      </c>
      <c r="B256" s="5" t="str">
        <f ca="1">IFERROR(__xludf.DUMMYFUNCTION("""COMPUTED_VALUE"""),"0410-LINEA 3")</f>
        <v>0410-LINEA 3</v>
      </c>
      <c r="C256" s="5" t="str">
        <f ca="1">IFERROR(__xludf.DUMMYFUNCTION("""COMPUTED_VALUE"""),"LINEA DE ENVASADO TAMAÑO PERSONAL")</f>
        <v>LINEA DE ENVASADO TAMAÑO PERSONAL</v>
      </c>
      <c r="D256" s="5">
        <f ca="1">IFERROR(__xludf.DUMMYFUNCTION("""COMPUTED_VALUE"""),558034)</f>
        <v>558034</v>
      </c>
      <c r="E256" s="5" t="str">
        <f ca="1">IFERROR(__xludf.DUMMYFUNCTION("""COMPUTED_VALUE"""),"DESEMPACADORA")</f>
        <v>DESEMPACADORA</v>
      </c>
      <c r="F256" s="5">
        <f ca="1">IFERROR(__xludf.DUMMYFUNCTION("""COMPUTED_VALUE"""),4323)</f>
        <v>4323</v>
      </c>
      <c r="G256" s="5" t="str">
        <f ca="1">IFERROR(__xludf.DUMMYFUNCTION("""COMPUTED_VALUE"""),"MANTTO LUBRICACION DESEMPACADORA L3 5580")</f>
        <v>MANTTO LUBRICACION DESEMPACADORA L3 5580</v>
      </c>
      <c r="H256" s="5">
        <f ca="1">IFERROR(__xludf.DUMMYFUNCTION("""COMPUTED_VALUE"""),13247113)</f>
        <v>13247113</v>
      </c>
      <c r="I256" s="5" t="str">
        <f ca="1">IFERROR(__xludf.DUMMYFUNCTION("""COMPUTED_VALUE"""),"Lubricar Tablero Lubricacion Gral")</f>
        <v>Lubricar Tablero Lubricacion Gral</v>
      </c>
      <c r="J256" s="5" t="str">
        <f ca="1">IFERROR(__xludf.DUMMYFUNCTION("""COMPUTED_VALUE"""),"MEDIO")</f>
        <v>MEDIO</v>
      </c>
      <c r="K256" s="5" t="str">
        <f ca="1">IFERROR(__xludf.DUMMYFUNCTION("""COMPUTED_VALUE"""),"Preventivo")</f>
        <v>Preventivo</v>
      </c>
      <c r="L256" s="5" t="str">
        <f ca="1">IFERROR(__xludf.DUMMYFUNCTION("""COMPUTED_VALUE"""),"Maquinaria")</f>
        <v>Maquinaria</v>
      </c>
      <c r="M256" s="5" t="str">
        <f ca="1">IFERROR(__xludf.DUMMYFUNCTION("""COMPUTED_VALUE"""),"No")</f>
        <v>No</v>
      </c>
      <c r="N256" s="5"/>
      <c r="O256" s="5"/>
      <c r="P256" s="18">
        <f ca="1">IFERROR(__xludf.DUMMYFUNCTION("""COMPUTED_VALUE"""),45324)</f>
        <v>45324</v>
      </c>
      <c r="Q256" s="18">
        <f ca="1">IFERROR(__xludf.DUMMYFUNCTION("""COMPUTED_VALUE"""),45324)</f>
        <v>45324</v>
      </c>
      <c r="R256" s="18"/>
      <c r="S256" s="5">
        <f ca="1">IFERROR(__xludf.DUMMYFUNCTION("""COMPUTED_VALUE"""),2)</f>
        <v>2</v>
      </c>
      <c r="T256" s="5"/>
      <c r="U256" s="5" t="str">
        <f ca="1">IFERROR(__xludf.DUMMYFUNCTION("""COMPUTED_VALUE"""),"Andrés Felipe Pérez Polania")</f>
        <v>Andrés Felipe Pérez Polania</v>
      </c>
      <c r="V256" s="5"/>
      <c r="W256" s="5" t="str">
        <f ca="1">IFERROR(__xludf.DUMMYFUNCTION("""COMPUTED_VALUE"""),"6baTpk3Jzl8")</f>
        <v>6baTpk3Jzl8</v>
      </c>
      <c r="X256" s="5">
        <f ca="1">IFERROR(__xludf.DUMMYFUNCTION("""COMPUTED_VALUE"""),2)</f>
        <v>2</v>
      </c>
      <c r="Y256" s="5" t="str">
        <f t="shared" si="0"/>
        <v>Actividad sin realizar</v>
      </c>
      <c r="Z256" s="3">
        <f ca="1">IFERROR(VLOOKUP(U256, 'Base de datos'!A:B, 2, FALSE), "")</f>
        <v>573186924079</v>
      </c>
      <c r="AA256" s="4" t="e">
        <f t="shared" ca="1" si="1"/>
        <v>#NAME?</v>
      </c>
    </row>
    <row r="257" spans="1:27" ht="15.75" customHeight="1">
      <c r="A257" s="5" t="str">
        <f ca="1">IFERROR(__xludf.DUMMYFUNCTION("""COMPUTED_VALUE"""),"POSTOBÓN YUMBO")</f>
        <v>POSTOBÓN YUMBO</v>
      </c>
      <c r="B257" s="5" t="str">
        <f ca="1">IFERROR(__xludf.DUMMYFUNCTION("""COMPUTED_VALUE"""),"0410-EQUIPOS AUXILIARES")</f>
        <v>0410-EQUIPOS AUXILIARES</v>
      </c>
      <c r="C257" s="5" t="str">
        <f ca="1">IFERROR(__xludf.DUMMYFUNCTION("""COMPUTED_VALUE"""),"EQUIPOS PARA SERVICIOS INDUSTRIALES")</f>
        <v>EQUIPOS PARA SERVICIOS INDUSTRIALES</v>
      </c>
      <c r="D257" s="5">
        <f ca="1">IFERROR(__xludf.DUMMYFUNCTION("""COMPUTED_VALUE"""),649544)</f>
        <v>649544</v>
      </c>
      <c r="E257" s="5" t="str">
        <f ca="1">IFERROR(__xludf.DUMMYFUNCTION("""COMPUTED_VALUE"""),"COMPRESOR AIRE 3")</f>
        <v>COMPRESOR AIRE 3</v>
      </c>
      <c r="F257" s="5">
        <f ca="1">IFERROR(__xludf.DUMMYFUNCTION("""COMPUTED_VALUE"""),22534)</f>
        <v>22534</v>
      </c>
      <c r="G257" s="5" t="str">
        <f ca="1">IFERROR(__xludf.DUMMYFUNCTION("""COMPUTED_VALUE"""),"PLAN MTTO MEC COMPRESOR AIRE SIERRA 3")</f>
        <v>PLAN MTTO MEC COMPRESOR AIRE SIERRA 3</v>
      </c>
      <c r="H257" s="5">
        <f ca="1">IFERROR(__xludf.DUMMYFUNCTION("""COMPUTED_VALUE"""),13207428)</f>
        <v>13207428</v>
      </c>
      <c r="I257" s="5" t="str">
        <f ca="1">IFERROR(__xludf.DUMMYFUNCTION("""COMPUTED_VALUE"""),"CAJA DE ENGRANAJES:Limpiar el respirader")</f>
        <v>CAJA DE ENGRANAJES:Limpiar el respirader</v>
      </c>
      <c r="J257" s="5" t="str">
        <f ca="1">IFERROR(__xludf.DUMMYFUNCTION("""COMPUTED_VALUE"""),"MEDIO")</f>
        <v>MEDIO</v>
      </c>
      <c r="K257" s="5" t="str">
        <f ca="1">IFERROR(__xludf.DUMMYFUNCTION("""COMPUTED_VALUE"""),"Preventivo")</f>
        <v>Preventivo</v>
      </c>
      <c r="L257" s="5" t="str">
        <f ca="1">IFERROR(__xludf.DUMMYFUNCTION("""COMPUTED_VALUE"""),"Maquinaria")</f>
        <v>Maquinaria</v>
      </c>
      <c r="M257" s="5" t="str">
        <f ca="1">IFERROR(__xludf.DUMMYFUNCTION("""COMPUTED_VALUE"""),"No")</f>
        <v>No</v>
      </c>
      <c r="N257" s="5"/>
      <c r="O257" s="5"/>
      <c r="P257" s="18">
        <f ca="1">IFERROR(__xludf.DUMMYFUNCTION("""COMPUTED_VALUE"""),45336)</f>
        <v>45336</v>
      </c>
      <c r="Q257" s="18">
        <f ca="1">IFERROR(__xludf.DUMMYFUNCTION("""COMPUTED_VALUE"""),45336)</f>
        <v>45336</v>
      </c>
      <c r="R257" s="18"/>
      <c r="S257" s="5">
        <f ca="1">IFERROR(__xludf.DUMMYFUNCTION("""COMPUTED_VALUE"""),0.5)</f>
        <v>0.5</v>
      </c>
      <c r="T257" s="5"/>
      <c r="U257" s="5" t="str">
        <f ca="1">IFERROR(__xludf.DUMMYFUNCTION("""COMPUTED_VALUE"""),"MARIO ALBERTO MARTÍNEZ MORA")</f>
        <v>MARIO ALBERTO MARTÍNEZ MORA</v>
      </c>
      <c r="V257" s="5"/>
      <c r="W257" s="5" t="str">
        <f ca="1">IFERROR(__xludf.DUMMYFUNCTION("""COMPUTED_VALUE"""),"vqEKUHJswbY")</f>
        <v>vqEKUHJswbY</v>
      </c>
      <c r="X257" s="5">
        <f ca="1">IFERROR(__xludf.DUMMYFUNCTION("""COMPUTED_VALUE"""),0.5)</f>
        <v>0.5</v>
      </c>
      <c r="Y257" s="5" t="str">
        <f t="shared" ref="Y257:Y511" si="2">IF(O257=100, "Actividad realizada", IF(O257="", "Actividad sin realizar", ""))</f>
        <v>Actividad sin realizar</v>
      </c>
      <c r="Z257" s="3">
        <f ca="1">IFERROR(VLOOKUP(U257, 'Base de datos'!A:B, 2, FALSE), "")</f>
        <v>573116493969</v>
      </c>
      <c r="AA257" s="4" t="e">
        <f t="shared" ref="AA257:AA511" ca="1" si="3">HYPERLINK("https://api.whatsapp.com/send?phone="&amp;_xludf.ENCODEURL(Z257)&amp;"&amp;text="&amp;_xludf.ENCODEURL("Buen dia, recuerda realizar las actividades del plan pendientes a tu nombre")
)</f>
        <v>#NAME?</v>
      </c>
    </row>
    <row r="258" spans="1:27" ht="15.75" customHeight="1">
      <c r="A258" s="5" t="str">
        <f ca="1">IFERROR(__xludf.DUMMYFUNCTION("""COMPUTED_VALUE"""),"POSTOBÓN YUMBO")</f>
        <v>POSTOBÓN YUMBO</v>
      </c>
      <c r="B258" s="5" t="str">
        <f ca="1">IFERROR(__xludf.DUMMYFUNCTION("""COMPUTED_VALUE"""),"0410-SALA DE JARABE TERMINADO")</f>
        <v>0410-SALA DE JARABE TERMINADO</v>
      </c>
      <c r="C258" s="5" t="str">
        <f ca="1">IFERROR(__xludf.DUMMYFUNCTION("""COMPUTED_VALUE"""),"EQUIPOS PARA PREPARACION DE JARABE")</f>
        <v>EQUIPOS PARA PREPARACION DE JARABE</v>
      </c>
      <c r="D258" s="5">
        <f ca="1">IFERROR(__xludf.DUMMYFUNCTION("""COMPUTED_VALUE"""),69963410)</f>
        <v>69963410</v>
      </c>
      <c r="E258" s="5" t="str">
        <f ca="1">IFERROR(__xludf.DUMMYFUNCTION("""COMPUTED_VALUE"""),"TANQUE DE JARABE")</f>
        <v>TANQUE DE JARABE</v>
      </c>
      <c r="F258" s="5">
        <f ca="1">IFERROR(__xludf.DUMMYFUNCTION("""COMPUTED_VALUE"""),17361)</f>
        <v>17361</v>
      </c>
      <c r="G258" s="5" t="str">
        <f ca="1">IFERROR(__xludf.DUMMYFUNCTION("""COMPUTED_VALUE"""),"MTTO MEC TK JARABE 7 JARABE TERMINADO")</f>
        <v>MTTO MEC TK JARABE 7 JARABE TERMINADO</v>
      </c>
      <c r="H258" s="5">
        <f ca="1">IFERROR(__xludf.DUMMYFUNCTION("""COMPUTED_VALUE"""),13247160)</f>
        <v>13247160</v>
      </c>
      <c r="I258" s="5" t="str">
        <f ca="1">IFERROR(__xludf.DUMMYFUNCTION("""COMPUTED_VALUE"""),"Sistema neumatico: revision fugas y esta")</f>
        <v>Sistema neumatico: revision fugas y esta</v>
      </c>
      <c r="J258" s="5" t="str">
        <f ca="1">IFERROR(__xludf.DUMMYFUNCTION("""COMPUTED_VALUE"""),"ALTO")</f>
        <v>ALTO</v>
      </c>
      <c r="K258" s="5" t="str">
        <f ca="1">IFERROR(__xludf.DUMMYFUNCTION("""COMPUTED_VALUE"""),"Preventivo")</f>
        <v>Preventivo</v>
      </c>
      <c r="L258" s="5" t="str">
        <f ca="1">IFERROR(__xludf.DUMMYFUNCTION("""COMPUTED_VALUE"""),"Maquinaria")</f>
        <v>Maquinaria</v>
      </c>
      <c r="M258" s="5" t="str">
        <f ca="1">IFERROR(__xludf.DUMMYFUNCTION("""COMPUTED_VALUE"""),"No")</f>
        <v>No</v>
      </c>
      <c r="N258" s="5"/>
      <c r="O258" s="5">
        <f ca="1">IFERROR(__xludf.DUMMYFUNCTION("""COMPUTED_VALUE"""),100)</f>
        <v>100</v>
      </c>
      <c r="P258" s="18">
        <f ca="1">IFERROR(__xludf.DUMMYFUNCTION("""COMPUTED_VALUE"""),45342)</f>
        <v>45342</v>
      </c>
      <c r="Q258" s="18">
        <f ca="1">IFERROR(__xludf.DUMMYFUNCTION("""COMPUTED_VALUE"""),45342)</f>
        <v>45342</v>
      </c>
      <c r="R258" s="18"/>
      <c r="S258" s="5">
        <f ca="1">IFERROR(__xludf.DUMMYFUNCTION("""COMPUTED_VALUE"""),1)</f>
        <v>1</v>
      </c>
      <c r="T258" s="5"/>
      <c r="U258" s="5" t="str">
        <f ca="1">IFERROR(__xludf.DUMMYFUNCTION("""COMPUTED_VALUE"""),"Moreno Pernia Bladimir")</f>
        <v>Moreno Pernia Bladimir</v>
      </c>
      <c r="V258" s="5"/>
      <c r="W258" s="5" t="str">
        <f ca="1">IFERROR(__xludf.DUMMYFUNCTION("""COMPUTED_VALUE"""),"LTmnMP5yJ9U")</f>
        <v>LTmnMP5yJ9U</v>
      </c>
      <c r="X258" s="5">
        <f ca="1">IFERROR(__xludf.DUMMYFUNCTION("""COMPUTED_VALUE"""),1)</f>
        <v>1</v>
      </c>
      <c r="Y258" s="5" t="str">
        <f t="shared" ca="1" si="2"/>
        <v>Actividad realizada</v>
      </c>
      <c r="Z258" s="3">
        <f ca="1">IFERROR(VLOOKUP(U258, 'Base de datos'!A:B, 2, FALSE), "")</f>
        <v>573148903137</v>
      </c>
      <c r="AA258" s="4" t="e">
        <f t="shared" ca="1" si="3"/>
        <v>#NAME?</v>
      </c>
    </row>
    <row r="259" spans="1:27" ht="15.75" customHeight="1">
      <c r="A259" s="5" t="str">
        <f ca="1">IFERROR(__xludf.DUMMYFUNCTION("""COMPUTED_VALUE"""),"POSTOBÓN YUMBO")</f>
        <v>POSTOBÓN YUMBO</v>
      </c>
      <c r="B259" s="5" t="str">
        <f ca="1">IFERROR(__xludf.DUMMYFUNCTION("""COMPUTED_VALUE"""),"0410-SALA DE JARABE TERMINADO")</f>
        <v>0410-SALA DE JARABE TERMINADO</v>
      </c>
      <c r="C259" s="5" t="str">
        <f ca="1">IFERROR(__xludf.DUMMYFUNCTION("""COMPUTED_VALUE"""),"EQUIPOS PARA PREPARACION DE JARABE")</f>
        <v>EQUIPOS PARA PREPARACION DE JARABE</v>
      </c>
      <c r="D259" s="5">
        <f ca="1">IFERROR(__xludf.DUMMYFUNCTION("""COMPUTED_VALUE"""),69963411)</f>
        <v>69963411</v>
      </c>
      <c r="E259" s="5" t="str">
        <f ca="1">IFERROR(__xludf.DUMMYFUNCTION("""COMPUTED_VALUE"""),"TANQUE DE JARABE")</f>
        <v>TANQUE DE JARABE</v>
      </c>
      <c r="F259" s="5">
        <f ca="1">IFERROR(__xludf.DUMMYFUNCTION("""COMPUTED_VALUE"""),17361)</f>
        <v>17361</v>
      </c>
      <c r="G259" s="5" t="str">
        <f ca="1">IFERROR(__xludf.DUMMYFUNCTION("""COMPUTED_VALUE"""),"MTTO MEC TK JARABE 8 JARABE TERMINADO")</f>
        <v>MTTO MEC TK JARABE 8 JARABE TERMINADO</v>
      </c>
      <c r="H259" s="5">
        <f ca="1">IFERROR(__xludf.DUMMYFUNCTION("""COMPUTED_VALUE"""),13247162)</f>
        <v>13247162</v>
      </c>
      <c r="I259" s="5" t="str">
        <f ca="1">IFERROR(__xludf.DUMMYFUNCTION("""COMPUTED_VALUE"""),"ANTON PAAR - dentro de la cubierta de")</f>
        <v>ANTON PAAR - dentro de la cubierta de</v>
      </c>
      <c r="J259" s="5" t="str">
        <f ca="1">IFERROR(__xludf.DUMMYFUNCTION("""COMPUTED_VALUE"""),"ALTO")</f>
        <v>ALTO</v>
      </c>
      <c r="K259" s="5" t="str">
        <f ca="1">IFERROR(__xludf.DUMMYFUNCTION("""COMPUTED_VALUE"""),"Preventivo")</f>
        <v>Preventivo</v>
      </c>
      <c r="L259" s="5" t="str">
        <f ca="1">IFERROR(__xludf.DUMMYFUNCTION("""COMPUTED_VALUE"""),"Maquinaria")</f>
        <v>Maquinaria</v>
      </c>
      <c r="M259" s="5" t="str">
        <f ca="1">IFERROR(__xludf.DUMMYFUNCTION("""COMPUTED_VALUE"""),"No")</f>
        <v>No</v>
      </c>
      <c r="N259" s="5"/>
      <c r="O259" s="5">
        <f ca="1">IFERROR(__xludf.DUMMYFUNCTION("""COMPUTED_VALUE"""),100)</f>
        <v>100</v>
      </c>
      <c r="P259" s="18">
        <f ca="1">IFERROR(__xludf.DUMMYFUNCTION("""COMPUTED_VALUE"""),45342)</f>
        <v>45342</v>
      </c>
      <c r="Q259" s="18">
        <f ca="1">IFERROR(__xludf.DUMMYFUNCTION("""COMPUTED_VALUE"""),45342)</f>
        <v>45342</v>
      </c>
      <c r="R259" s="18"/>
      <c r="S259" s="5">
        <f ca="1">IFERROR(__xludf.DUMMYFUNCTION("""COMPUTED_VALUE"""),1)</f>
        <v>1</v>
      </c>
      <c r="T259" s="5"/>
      <c r="U259" s="5" t="str">
        <f ca="1">IFERROR(__xludf.DUMMYFUNCTION("""COMPUTED_VALUE"""),"Rivas Mena Carlos Danny")</f>
        <v>Rivas Mena Carlos Danny</v>
      </c>
      <c r="V259" s="5"/>
      <c r="W259" s="5" t="str">
        <f ca="1">IFERROR(__xludf.DUMMYFUNCTION("""COMPUTED_VALUE"""),"RGzh-95Fr1o")</f>
        <v>RGzh-95Fr1o</v>
      </c>
      <c r="X259" s="5">
        <f ca="1">IFERROR(__xludf.DUMMYFUNCTION("""COMPUTED_VALUE"""),1)</f>
        <v>1</v>
      </c>
      <c r="Y259" s="5" t="str">
        <f t="shared" ca="1" si="2"/>
        <v>Actividad realizada</v>
      </c>
      <c r="Z259" s="3">
        <f ca="1">IFERROR(VLOOKUP(U259, 'Base de datos'!A:B, 2, FALSE), "")</f>
        <v>0</v>
      </c>
      <c r="AA259" s="4" t="e">
        <f t="shared" ca="1" si="3"/>
        <v>#NAME?</v>
      </c>
    </row>
    <row r="260" spans="1:27" ht="15.75" customHeight="1">
      <c r="A260" s="5" t="str">
        <f ca="1">IFERROR(__xludf.DUMMYFUNCTION("""COMPUTED_VALUE"""),"POSTOBÓN YUMBO")</f>
        <v>POSTOBÓN YUMBO</v>
      </c>
      <c r="B260" s="5" t="str">
        <f ca="1">IFERROR(__xludf.DUMMYFUNCTION("""COMPUTED_VALUE"""),"0410-LINEA 1")</f>
        <v>0410-LINEA 1</v>
      </c>
      <c r="C260" s="5" t="str">
        <f ca="1">IFERROR(__xludf.DUMMYFUNCTION("""COMPUTED_VALUE"""),"LINEA DE ENVASADO PET NO RETORNABLE")</f>
        <v>LINEA DE ENVASADO PET NO RETORNABLE</v>
      </c>
      <c r="D260" s="5">
        <f ca="1">IFERROR(__xludf.DUMMYFUNCTION("""COMPUTED_VALUE"""),820071)</f>
        <v>820071</v>
      </c>
      <c r="E260" s="5" t="str">
        <f ca="1">IFERROR(__xludf.DUMMYFUNCTION("""COMPUTED_VALUE"""),"ETIQUETADORA")</f>
        <v>ETIQUETADORA</v>
      </c>
      <c r="F260" s="5">
        <f ca="1">IFERROR(__xludf.DUMMYFUNCTION("""COMPUTED_VALUE"""),0)</f>
        <v>0</v>
      </c>
      <c r="G260" s="5" t="str">
        <f ca="1">IFERROR(__xludf.DUMMYFUNCTION("""COMPUTED_VALUE"""),"MTTO MAYOR ETIQUETADORA L1")</f>
        <v>MTTO MAYOR ETIQUETADORA L1</v>
      </c>
      <c r="H260" s="5">
        <f ca="1">IFERROR(__xludf.DUMMYFUNCTION("""COMPUTED_VALUE"""),13246503)</f>
        <v>13246503</v>
      </c>
      <c r="I260" s="5" t="str">
        <f ca="1">IFERROR(__xludf.DUMMYFUNCTION("""COMPUTED_VALUE"""),"CAMBIO RASQUETAS ENCOLADO")</f>
        <v>CAMBIO RASQUETAS ENCOLADO</v>
      </c>
      <c r="J260" s="5" t="str">
        <f ca="1">IFERROR(__xludf.DUMMYFUNCTION("""COMPUTED_VALUE"""),"MEDIO")</f>
        <v>MEDIO</v>
      </c>
      <c r="K260" s="5" t="str">
        <f ca="1">IFERROR(__xludf.DUMMYFUNCTION("""COMPUTED_VALUE"""),"Preventivo")</f>
        <v>Preventivo</v>
      </c>
      <c r="L260" s="5" t="str">
        <f ca="1">IFERROR(__xludf.DUMMYFUNCTION("""COMPUTED_VALUE"""),"Maquinaria")</f>
        <v>Maquinaria</v>
      </c>
      <c r="M260" s="5" t="str">
        <f ca="1">IFERROR(__xludf.DUMMYFUNCTION("""COMPUTED_VALUE"""),"No")</f>
        <v>No</v>
      </c>
      <c r="N260" s="5"/>
      <c r="O260" s="5"/>
      <c r="P260" s="18">
        <f ca="1">IFERROR(__xludf.DUMMYFUNCTION("""COMPUTED_VALUE"""),45323)</f>
        <v>45323</v>
      </c>
      <c r="Q260" s="18">
        <f ca="1">IFERROR(__xludf.DUMMYFUNCTION("""COMPUTED_VALUE"""),45323)</f>
        <v>45323</v>
      </c>
      <c r="R260" s="18"/>
      <c r="S260" s="5">
        <f ca="1">IFERROR(__xludf.DUMMYFUNCTION("""COMPUTED_VALUE"""),8)</f>
        <v>8</v>
      </c>
      <c r="T260" s="5"/>
      <c r="U260" s="5" t="str">
        <f ca="1">IFERROR(__xludf.DUMMYFUNCTION("""COMPUTED_VALUE"""),"Sanchez Rodriguez Gerson Andres")</f>
        <v>Sanchez Rodriguez Gerson Andres</v>
      </c>
      <c r="V260" s="5"/>
      <c r="W260" s="5" t="str">
        <f ca="1">IFERROR(__xludf.DUMMYFUNCTION("""COMPUTED_VALUE"""),"px-Zp7WjhhQ")</f>
        <v>px-Zp7WjhhQ</v>
      </c>
      <c r="X260" s="5">
        <f ca="1">IFERROR(__xludf.DUMMYFUNCTION("""COMPUTED_VALUE"""),8)</f>
        <v>8</v>
      </c>
      <c r="Y260" s="5" t="str">
        <f t="shared" si="2"/>
        <v>Actividad sin realizar</v>
      </c>
      <c r="Z260" s="3">
        <f ca="1">IFERROR(VLOOKUP(U260, 'Base de datos'!A:B, 2, FALSE), "")</f>
        <v>573112884549</v>
      </c>
      <c r="AA260" s="4" t="e">
        <f t="shared" ca="1" si="3"/>
        <v>#NAME?</v>
      </c>
    </row>
    <row r="261" spans="1:27" ht="15.75" customHeight="1">
      <c r="A261" s="5" t="str">
        <f ca="1">IFERROR(__xludf.DUMMYFUNCTION("""COMPUTED_VALUE"""),"POSTOBÓN YUMBO")</f>
        <v>POSTOBÓN YUMBO</v>
      </c>
      <c r="B261" s="5" t="str">
        <f ca="1">IFERROR(__xludf.DUMMYFUNCTION("""COMPUTED_VALUE"""),"0410-SALA DE JARABE TERMINADO")</f>
        <v>0410-SALA DE JARABE TERMINADO</v>
      </c>
      <c r="C261" s="5" t="str">
        <f ca="1">IFERROR(__xludf.DUMMYFUNCTION("""COMPUTED_VALUE"""),"EQUIPOS PARA PREPARACION DE JARABE")</f>
        <v>EQUIPOS PARA PREPARACION DE JARABE</v>
      </c>
      <c r="D261" s="5">
        <f ca="1">IFERROR(__xludf.DUMMYFUNCTION("""COMPUTED_VALUE"""),69963415)</f>
        <v>69963415</v>
      </c>
      <c r="E261" s="5" t="str">
        <f ca="1">IFERROR(__xludf.DUMMYFUNCTION("""COMPUTED_VALUE"""),"TANQUE ALMAC.JARABE SIMPLE")</f>
        <v>TANQUE ALMAC.JARABE SIMPLE</v>
      </c>
      <c r="F261" s="5">
        <f ca="1">IFERROR(__xludf.DUMMYFUNCTION("""COMPUTED_VALUE"""),17361)</f>
        <v>17361</v>
      </c>
      <c r="G261" s="5" t="str">
        <f ca="1">IFERROR(__xludf.DUMMYFUNCTION("""COMPUTED_VALUE"""),"MTTO MEC TK JARABE SIMPL JARABE TERMIN")</f>
        <v>MTTO MEC TK JARABE SIMPL JARABE TERMIN</v>
      </c>
      <c r="H261" s="5">
        <f ca="1">IFERROR(__xludf.DUMMYFUNCTION("""COMPUTED_VALUE"""),13247148)</f>
        <v>13247148</v>
      </c>
      <c r="I261" s="5" t="str">
        <f ca="1">IFERROR(__xludf.DUMMYFUNCTION("""COMPUTED_VALUE"""),"Sistema neumatico: revision fugas y esta")</f>
        <v>Sistema neumatico: revision fugas y esta</v>
      </c>
      <c r="J261" s="5" t="str">
        <f ca="1">IFERROR(__xludf.DUMMYFUNCTION("""COMPUTED_VALUE"""),"ALTO")</f>
        <v>ALTO</v>
      </c>
      <c r="K261" s="5" t="str">
        <f ca="1">IFERROR(__xludf.DUMMYFUNCTION("""COMPUTED_VALUE"""),"Preventivo")</f>
        <v>Preventivo</v>
      </c>
      <c r="L261" s="5" t="str">
        <f ca="1">IFERROR(__xludf.DUMMYFUNCTION("""COMPUTED_VALUE"""),"Maquinaria")</f>
        <v>Maquinaria</v>
      </c>
      <c r="M261" s="5" t="str">
        <f ca="1">IFERROR(__xludf.DUMMYFUNCTION("""COMPUTED_VALUE"""),"No")</f>
        <v>No</v>
      </c>
      <c r="N261" s="5"/>
      <c r="O261" s="5">
        <f ca="1">IFERROR(__xludf.DUMMYFUNCTION("""COMPUTED_VALUE"""),100)</f>
        <v>100</v>
      </c>
      <c r="P261" s="18">
        <f ca="1">IFERROR(__xludf.DUMMYFUNCTION("""COMPUTED_VALUE"""),45341)</f>
        <v>45341</v>
      </c>
      <c r="Q261" s="18">
        <f ca="1">IFERROR(__xludf.DUMMYFUNCTION("""COMPUTED_VALUE"""),45341)</f>
        <v>45341</v>
      </c>
      <c r="R261" s="18"/>
      <c r="S261" s="5">
        <f ca="1">IFERROR(__xludf.DUMMYFUNCTION("""COMPUTED_VALUE"""),1)</f>
        <v>1</v>
      </c>
      <c r="T261" s="5"/>
      <c r="U261" s="5" t="str">
        <f ca="1">IFERROR(__xludf.DUMMYFUNCTION("""COMPUTED_VALUE"""),"Rivas Mena Carlos Danny")</f>
        <v>Rivas Mena Carlos Danny</v>
      </c>
      <c r="V261" s="5"/>
      <c r="W261" s="5" t="str">
        <f ca="1">IFERROR(__xludf.DUMMYFUNCTION("""COMPUTED_VALUE"""),"Uzm1nrDM71o")</f>
        <v>Uzm1nrDM71o</v>
      </c>
      <c r="X261" s="5">
        <f ca="1">IFERROR(__xludf.DUMMYFUNCTION("""COMPUTED_VALUE"""),1)</f>
        <v>1</v>
      </c>
      <c r="Y261" s="5" t="str">
        <f t="shared" ca="1" si="2"/>
        <v>Actividad realizada</v>
      </c>
      <c r="Z261" s="3">
        <f ca="1">IFERROR(VLOOKUP(U261, 'Base de datos'!A:B, 2, FALSE), "")</f>
        <v>0</v>
      </c>
      <c r="AA261" s="4" t="e">
        <f t="shared" ca="1" si="3"/>
        <v>#NAME?</v>
      </c>
    </row>
    <row r="262" spans="1:27" ht="15.75" customHeight="1">
      <c r="A262" s="5" t="str">
        <f ca="1">IFERROR(__xludf.DUMMYFUNCTION("""COMPUTED_VALUE"""),"POSTOBÓN YUMBO")</f>
        <v>POSTOBÓN YUMBO</v>
      </c>
      <c r="B262" s="5" t="str">
        <f ca="1">IFERROR(__xludf.DUMMYFUNCTION("""COMPUTED_VALUE"""),"0410-LINEA 3")</f>
        <v>0410-LINEA 3</v>
      </c>
      <c r="C262" s="5" t="str">
        <f ca="1">IFERROR(__xludf.DUMMYFUNCTION("""COMPUTED_VALUE"""),"LINEA DE ENVASADO TAMAÑO PERSONAL")</f>
        <v>LINEA DE ENVASADO TAMAÑO PERSONAL</v>
      </c>
      <c r="D262" s="5">
        <f ca="1">IFERROR(__xludf.DUMMYFUNCTION("""COMPUTED_VALUE"""),828592)</f>
        <v>828592</v>
      </c>
      <c r="E262" s="5" t="str">
        <f ca="1">IFERROR(__xludf.DUMMYFUNCTION("""COMPUTED_VALUE"""),"LLENADORA")</f>
        <v>LLENADORA</v>
      </c>
      <c r="F262" s="5">
        <f ca="1">IFERROR(__xludf.DUMMYFUNCTION("""COMPUTED_VALUE"""),5821)</f>
        <v>5821</v>
      </c>
      <c r="G262" s="5" t="str">
        <f ca="1">IFERROR(__xludf.DUMMYFUNCTION("""COMPUTED_VALUE"""),"Mantto Mec sist manejo de botella Llenad")</f>
        <v>Mantto Mec sist manejo de botella Llenad</v>
      </c>
      <c r="H262" s="5">
        <f ca="1">IFERROR(__xludf.DUMMYFUNCTION("""COMPUTED_VALUE"""),13247115)</f>
        <v>13247115</v>
      </c>
      <c r="I262" s="5" t="str">
        <f ca="1">IFERROR(__xludf.DUMMYFUNCTION("""COMPUTED_VALUE"""),"mantto estrellas de entrada y salida,")</f>
        <v>mantto estrellas de entrada y salida,</v>
      </c>
      <c r="J262" s="5" t="str">
        <f ca="1">IFERROR(__xludf.DUMMYFUNCTION("""COMPUTED_VALUE"""),"ALTO")</f>
        <v>ALTO</v>
      </c>
      <c r="K262" s="5" t="str">
        <f ca="1">IFERROR(__xludf.DUMMYFUNCTION("""COMPUTED_VALUE"""),"Preventivo")</f>
        <v>Preventivo</v>
      </c>
      <c r="L262" s="5" t="str">
        <f ca="1">IFERROR(__xludf.DUMMYFUNCTION("""COMPUTED_VALUE"""),"Maquinaria")</f>
        <v>Maquinaria</v>
      </c>
      <c r="M262" s="5" t="str">
        <f ca="1">IFERROR(__xludf.DUMMYFUNCTION("""COMPUTED_VALUE"""),"No")</f>
        <v>No</v>
      </c>
      <c r="N262" s="5"/>
      <c r="O262" s="5"/>
      <c r="P262" s="18">
        <f ca="1">IFERROR(__xludf.DUMMYFUNCTION("""COMPUTED_VALUE"""),45324)</f>
        <v>45324</v>
      </c>
      <c r="Q262" s="18">
        <f ca="1">IFERROR(__xludf.DUMMYFUNCTION("""COMPUTED_VALUE"""),45324)</f>
        <v>45324</v>
      </c>
      <c r="R262" s="18"/>
      <c r="S262" s="5">
        <f ca="1">IFERROR(__xludf.DUMMYFUNCTION("""COMPUTED_VALUE"""),2)</f>
        <v>2</v>
      </c>
      <c r="T262" s="5"/>
      <c r="U262" s="5" t="str">
        <f ca="1">IFERROR(__xludf.DUMMYFUNCTION("""COMPUTED_VALUE"""),"Jimenez Jhon")</f>
        <v>Jimenez Jhon</v>
      </c>
      <c r="V262" s="5"/>
      <c r="W262" s="5" t="str">
        <f ca="1">IFERROR(__xludf.DUMMYFUNCTION("""COMPUTED_VALUE"""),"qMAExPVMNZI")</f>
        <v>qMAExPVMNZI</v>
      </c>
      <c r="X262" s="5">
        <f ca="1">IFERROR(__xludf.DUMMYFUNCTION("""COMPUTED_VALUE"""),2)</f>
        <v>2</v>
      </c>
      <c r="Y262" s="5" t="str">
        <f t="shared" si="2"/>
        <v>Actividad sin realizar</v>
      </c>
      <c r="Z262" s="3">
        <f ca="1">IFERROR(VLOOKUP(U262, 'Base de datos'!A:B, 2, FALSE), "")</f>
        <v>573147637946</v>
      </c>
      <c r="AA262" s="4" t="e">
        <f t="shared" ca="1" si="3"/>
        <v>#NAME?</v>
      </c>
    </row>
    <row r="263" spans="1:27" ht="15.75" customHeight="1">
      <c r="A263" s="5" t="str">
        <f ca="1">IFERROR(__xludf.DUMMYFUNCTION("""COMPUTED_VALUE"""),"POSTOBÓN YUMBO")</f>
        <v>POSTOBÓN YUMBO</v>
      </c>
      <c r="B263" s="5" t="str">
        <f ca="1">IFERROR(__xludf.DUMMYFUNCTION("""COMPUTED_VALUE"""),"0410-ENVASADO JUGOS PET HOT F")</f>
        <v>0410-ENVASADO JUGOS PET HOT F</v>
      </c>
      <c r="C263" s="5" t="str">
        <f ca="1">IFERROR(__xludf.DUMMYFUNCTION("""COMPUTED_VALUE"""),"LINEA DE ENVASADO JUGOS PET HOT FILL")</f>
        <v>LINEA DE ENVASADO JUGOS PET HOT FILL</v>
      </c>
      <c r="D263" s="5">
        <f ca="1">IFERROR(__xludf.DUMMYFUNCTION("""COMPUTED_VALUE"""),739537)</f>
        <v>739537</v>
      </c>
      <c r="E263" s="5" t="str">
        <f ca="1">IFERROR(__xludf.DUMMYFUNCTION("""COMPUTED_VALUE"""),"TERMOFORMADO PAQUETES")</f>
        <v>TERMOFORMADO PAQUETES</v>
      </c>
      <c r="F263" s="5">
        <f ca="1">IFERROR(__xludf.DUMMYFUNCTION("""COMPUTED_VALUE"""),22584)</f>
        <v>22584</v>
      </c>
      <c r="G263" s="5" t="str">
        <f ca="1">IFERROR(__xludf.DUMMYFUNCTION("""COMPUTED_VALUE"""),"PLAN MTTO ELE HORNO ENFARDAD 739537 L8")</f>
        <v>PLAN MTTO ELE HORNO ENFARDAD 739537 L8</v>
      </c>
      <c r="H263" s="5">
        <f ca="1">IFERROR(__xludf.DUMMYFUNCTION("""COMPUTED_VALUE"""),13247210)</f>
        <v>13247210</v>
      </c>
      <c r="I263" s="5" t="str">
        <f ca="1">IFERROR(__xludf.DUMMYFUNCTION("""COMPUTED_VALUE"""),"HORNO PARTE INTERNA")</f>
        <v>HORNO PARTE INTERNA</v>
      </c>
      <c r="J263" s="5" t="str">
        <f ca="1">IFERROR(__xludf.DUMMYFUNCTION("""COMPUTED_VALUE"""),"MEDIO")</f>
        <v>MEDIO</v>
      </c>
      <c r="K263" s="5" t="str">
        <f ca="1">IFERROR(__xludf.DUMMYFUNCTION("""COMPUTED_VALUE"""),"Preventivo")</f>
        <v>Preventivo</v>
      </c>
      <c r="L263" s="5" t="str">
        <f ca="1">IFERROR(__xludf.DUMMYFUNCTION("""COMPUTED_VALUE"""),"Maquinaria")</f>
        <v>Maquinaria</v>
      </c>
      <c r="M263" s="5" t="str">
        <f ca="1">IFERROR(__xludf.DUMMYFUNCTION("""COMPUTED_VALUE"""),"No")</f>
        <v>No</v>
      </c>
      <c r="N263" s="5"/>
      <c r="O263" s="5"/>
      <c r="P263" s="18">
        <f ca="1">IFERROR(__xludf.DUMMYFUNCTION("""COMPUTED_VALUE"""),45350)</f>
        <v>45350</v>
      </c>
      <c r="Q263" s="18">
        <f ca="1">IFERROR(__xludf.DUMMYFUNCTION("""COMPUTED_VALUE"""),45350)</f>
        <v>45350</v>
      </c>
      <c r="R263" s="18"/>
      <c r="S263" s="5">
        <f ca="1">IFERROR(__xludf.DUMMYFUNCTION("""COMPUTED_VALUE"""),8)</f>
        <v>8</v>
      </c>
      <c r="T263" s="5"/>
      <c r="U263" s="5" t="str">
        <f ca="1">IFERROR(__xludf.DUMMYFUNCTION("""COMPUTED_VALUE"""),"Lopez Correa Jonathan")</f>
        <v>Lopez Correa Jonathan</v>
      </c>
      <c r="V263" s="5"/>
      <c r="W263" s="5" t="str">
        <f ca="1">IFERROR(__xludf.DUMMYFUNCTION("""COMPUTED_VALUE"""),"7L1QHnZoRKo")</f>
        <v>7L1QHnZoRKo</v>
      </c>
      <c r="X263" s="5">
        <f ca="1">IFERROR(__xludf.DUMMYFUNCTION("""COMPUTED_VALUE"""),8)</f>
        <v>8</v>
      </c>
      <c r="Y263" s="5" t="str">
        <f t="shared" si="2"/>
        <v>Actividad sin realizar</v>
      </c>
      <c r="Z263" s="3">
        <f ca="1">IFERROR(VLOOKUP(U263, 'Base de datos'!A:B, 2, FALSE), "")</f>
        <v>573215267623</v>
      </c>
      <c r="AA263" s="4" t="e">
        <f t="shared" ca="1" si="3"/>
        <v>#NAME?</v>
      </c>
    </row>
    <row r="264" spans="1:27" ht="15.75" customHeight="1">
      <c r="A264" s="5" t="str">
        <f ca="1">IFERROR(__xludf.DUMMYFUNCTION("""COMPUTED_VALUE"""),"POSTOBÓN YUMBO")</f>
        <v>POSTOBÓN YUMBO</v>
      </c>
      <c r="B264" s="5" t="str">
        <f ca="1">IFERROR(__xludf.DUMMYFUNCTION("""COMPUTED_VALUE"""),"0410-LINEA 3")</f>
        <v>0410-LINEA 3</v>
      </c>
      <c r="C264" s="5" t="str">
        <f ca="1">IFERROR(__xludf.DUMMYFUNCTION("""COMPUTED_VALUE"""),"LINEA DE ENVASADO TAMAÑO PERSONAL")</f>
        <v>LINEA DE ENVASADO TAMAÑO PERSONAL</v>
      </c>
      <c r="D264" s="5">
        <f ca="1">IFERROR(__xludf.DUMMYFUNCTION("""COMPUTED_VALUE"""),558034)</f>
        <v>558034</v>
      </c>
      <c r="E264" s="5" t="str">
        <f ca="1">IFERROR(__xludf.DUMMYFUNCTION("""COMPUTED_VALUE"""),"DESEMPACADORA")</f>
        <v>DESEMPACADORA</v>
      </c>
      <c r="F264" s="5">
        <f ca="1">IFERROR(__xludf.DUMMYFUNCTION("""COMPUTED_VALUE"""),4323)</f>
        <v>4323</v>
      </c>
      <c r="G264" s="5" t="str">
        <f ca="1">IFERROR(__xludf.DUMMYFUNCTION("""COMPUTED_VALUE"""),"MANTTO LUBRICACION DESEMPACADORA L3 5580")</f>
        <v>MANTTO LUBRICACION DESEMPACADORA L3 5580</v>
      </c>
      <c r="H264" s="5">
        <f ca="1">IFERROR(__xludf.DUMMYFUNCTION("""COMPUTED_VALUE"""),13247114)</f>
        <v>13247114</v>
      </c>
      <c r="I264" s="5" t="str">
        <f ca="1">IFERROR(__xludf.DUMMYFUNCTION("""COMPUTED_VALUE"""),"Lubricar Tablero Lubricacion Gral")</f>
        <v>Lubricar Tablero Lubricacion Gral</v>
      </c>
      <c r="J264" s="5" t="str">
        <f ca="1">IFERROR(__xludf.DUMMYFUNCTION("""COMPUTED_VALUE"""),"MEDIO")</f>
        <v>MEDIO</v>
      </c>
      <c r="K264" s="5" t="str">
        <f ca="1">IFERROR(__xludf.DUMMYFUNCTION("""COMPUTED_VALUE"""),"Preventivo")</f>
        <v>Preventivo</v>
      </c>
      <c r="L264" s="5" t="str">
        <f ca="1">IFERROR(__xludf.DUMMYFUNCTION("""COMPUTED_VALUE"""),"Maquinaria")</f>
        <v>Maquinaria</v>
      </c>
      <c r="M264" s="5" t="str">
        <f ca="1">IFERROR(__xludf.DUMMYFUNCTION("""COMPUTED_VALUE"""),"No")</f>
        <v>No</v>
      </c>
      <c r="N264" s="5"/>
      <c r="O264" s="5"/>
      <c r="P264" s="18">
        <f ca="1">IFERROR(__xludf.DUMMYFUNCTION("""COMPUTED_VALUE"""),45327)</f>
        <v>45327</v>
      </c>
      <c r="Q264" s="18">
        <f ca="1">IFERROR(__xludf.DUMMYFUNCTION("""COMPUTED_VALUE"""),45327)</f>
        <v>45327</v>
      </c>
      <c r="R264" s="18"/>
      <c r="S264" s="5">
        <f ca="1">IFERROR(__xludf.DUMMYFUNCTION("""COMPUTED_VALUE"""),2)</f>
        <v>2</v>
      </c>
      <c r="T264" s="5"/>
      <c r="U264" s="5" t="str">
        <f ca="1">IFERROR(__xludf.DUMMYFUNCTION("""COMPUTED_VALUE"""),"Andrés Felipe Pérez Polania")</f>
        <v>Andrés Felipe Pérez Polania</v>
      </c>
      <c r="V264" s="5"/>
      <c r="W264" s="5" t="str">
        <f ca="1">IFERROR(__xludf.DUMMYFUNCTION("""COMPUTED_VALUE"""),"jtS1DIPBq0o")</f>
        <v>jtS1DIPBq0o</v>
      </c>
      <c r="X264" s="5">
        <f ca="1">IFERROR(__xludf.DUMMYFUNCTION("""COMPUTED_VALUE"""),2)</f>
        <v>2</v>
      </c>
      <c r="Y264" s="5" t="str">
        <f t="shared" si="2"/>
        <v>Actividad sin realizar</v>
      </c>
      <c r="Z264" s="3">
        <f ca="1">IFERROR(VLOOKUP(U264, 'Base de datos'!A:B, 2, FALSE), "")</f>
        <v>573186924079</v>
      </c>
      <c r="AA264" s="4" t="e">
        <f t="shared" ca="1" si="3"/>
        <v>#NAME?</v>
      </c>
    </row>
    <row r="265" spans="1:27" ht="15.75" customHeight="1">
      <c r="A265" s="5" t="str">
        <f ca="1">IFERROR(__xludf.DUMMYFUNCTION("""COMPUTED_VALUE"""),"POSTOBÓN YUMBO")</f>
        <v>POSTOBÓN YUMBO</v>
      </c>
      <c r="B265" s="5" t="str">
        <f ca="1">IFERROR(__xludf.DUMMYFUNCTION("""COMPUTED_VALUE"""),"0410-PLANTA DE AGUA ENVASADO")</f>
        <v>0410-PLANTA DE AGUA ENVASADO</v>
      </c>
      <c r="C265" s="5" t="str">
        <f ca="1">IFERROR(__xludf.DUMMYFUNCTION("""COMPUTED_VALUE"""),"TRATAMIENTO DE AGUA PARA ENVASADO")</f>
        <v>TRATAMIENTO DE AGUA PARA ENVASADO</v>
      </c>
      <c r="D265" s="5">
        <f ca="1">IFERROR(__xludf.DUMMYFUNCTION("""COMPUTED_VALUE"""),700037)</f>
        <v>700037</v>
      </c>
      <c r="E265" s="5" t="str">
        <f ca="1">IFERROR(__xludf.DUMMYFUNCTION("""COMPUTED_VALUE"""),"SUAVIZADOR")</f>
        <v>SUAVIZADOR</v>
      </c>
      <c r="F265" s="5">
        <f ca="1">IFERROR(__xludf.DUMMYFUNCTION("""COMPUTED_VALUE"""),21760)</f>
        <v>21760</v>
      </c>
      <c r="G265" s="5" t="str">
        <f ca="1">IFERROR(__xludf.DUMMYFUNCTION("""COMPUTED_VALUE"""),"PLAN MTTO ELE SUAVIZADOR")</f>
        <v>PLAN MTTO ELE SUAVIZADOR</v>
      </c>
      <c r="H265" s="5">
        <f ca="1">IFERROR(__xludf.DUMMYFUNCTION("""COMPUTED_VALUE"""),13207417)</f>
        <v>13207417</v>
      </c>
      <c r="I265" s="5" t="str">
        <f ca="1">IFERROR(__xludf.DUMMYFUNCTION("""COMPUTED_VALUE"""),"TABLERO ELECTROVALVULAS:")</f>
        <v>TABLERO ELECTROVALVULAS:</v>
      </c>
      <c r="J265" s="5" t="str">
        <f ca="1">IFERROR(__xludf.DUMMYFUNCTION("""COMPUTED_VALUE"""),"ALTO")</f>
        <v>ALTO</v>
      </c>
      <c r="K265" s="5" t="str">
        <f ca="1">IFERROR(__xludf.DUMMYFUNCTION("""COMPUTED_VALUE"""),"Preventivo")</f>
        <v>Preventivo</v>
      </c>
      <c r="L265" s="5" t="str">
        <f ca="1">IFERROR(__xludf.DUMMYFUNCTION("""COMPUTED_VALUE"""),"Maquinaria")</f>
        <v>Maquinaria</v>
      </c>
      <c r="M265" s="5" t="str">
        <f ca="1">IFERROR(__xludf.DUMMYFUNCTION("""COMPUTED_VALUE"""),"No")</f>
        <v>No</v>
      </c>
      <c r="N265" s="5"/>
      <c r="O265" s="5"/>
      <c r="P265" s="18">
        <f ca="1">IFERROR(__xludf.DUMMYFUNCTION("""COMPUTED_VALUE"""),45351)</f>
        <v>45351</v>
      </c>
      <c r="Q265" s="18">
        <f ca="1">IFERROR(__xludf.DUMMYFUNCTION("""COMPUTED_VALUE"""),45351)</f>
        <v>45351</v>
      </c>
      <c r="R265" s="18"/>
      <c r="S265" s="5">
        <f ca="1">IFERROR(__xludf.DUMMYFUNCTION("""COMPUTED_VALUE"""),4)</f>
        <v>4</v>
      </c>
      <c r="T265" s="5"/>
      <c r="U265" s="5" t="str">
        <f ca="1">IFERROR(__xludf.DUMMYFUNCTION("""COMPUTED_VALUE"""),"Guzman Palechor Miguel Angel")</f>
        <v>Guzman Palechor Miguel Angel</v>
      </c>
      <c r="V265" s="5"/>
      <c r="W265" s="5" t="str">
        <f ca="1">IFERROR(__xludf.DUMMYFUNCTION("""COMPUTED_VALUE"""),"60f-LyKupI8")</f>
        <v>60f-LyKupI8</v>
      </c>
      <c r="X265" s="5">
        <f ca="1">IFERROR(__xludf.DUMMYFUNCTION("""COMPUTED_VALUE"""),4)</f>
        <v>4</v>
      </c>
      <c r="Y265" s="5" t="str">
        <f t="shared" si="2"/>
        <v>Actividad sin realizar</v>
      </c>
      <c r="Z265" s="3">
        <f ca="1">IFERROR(VLOOKUP(U265, 'Base de datos'!A:B, 2, FALSE), "")</f>
        <v>573112422176</v>
      </c>
      <c r="AA265" s="4" t="e">
        <f t="shared" ca="1" si="3"/>
        <v>#NAME?</v>
      </c>
    </row>
    <row r="266" spans="1:27" ht="15.75" customHeight="1">
      <c r="A266" s="5" t="str">
        <f ca="1">IFERROR(__xludf.DUMMYFUNCTION("""COMPUTED_VALUE"""),"POSTOBÓN YUMBO")</f>
        <v>POSTOBÓN YUMBO</v>
      </c>
      <c r="B266" s="5" t="str">
        <f ca="1">IFERROR(__xludf.DUMMYFUNCTION("""COMPUTED_VALUE"""),"0410-PLANTA DE AGUA ENVASADO")</f>
        <v>0410-PLANTA DE AGUA ENVASADO</v>
      </c>
      <c r="C266" s="5" t="str">
        <f ca="1">IFERROR(__xludf.DUMMYFUNCTION("""COMPUTED_VALUE"""),"TRATAMIENTO DE AGUA PARA ENVASADO")</f>
        <v>TRATAMIENTO DE AGUA PARA ENVASADO</v>
      </c>
      <c r="D266" s="5">
        <f ca="1">IFERROR(__xludf.DUMMYFUNCTION("""COMPUTED_VALUE"""),70948954)</f>
        <v>70948954</v>
      </c>
      <c r="E266" s="5" t="str">
        <f ca="1">IFERROR(__xludf.DUMMYFUNCTION("""COMPUTED_VALUE"""),"TANQUE ACIDO (TRIMETA) - CIP")</f>
        <v>TANQUE ACIDO (TRIMETA) - CIP</v>
      </c>
      <c r="F266" s="5">
        <f ca="1">IFERROR(__xludf.DUMMYFUNCTION("""COMPUTED_VALUE"""),32897)</f>
        <v>32897</v>
      </c>
      <c r="G266" s="5" t="str">
        <f ca="1">IFERROR(__xludf.DUMMYFUNCTION("""COMPUTED_VALUE"""),"PLAN MTTO MEC TANQUE ACIDO (TRIMETA) - C")</f>
        <v>PLAN MTTO MEC TANQUE ACIDO (TRIMETA) - C</v>
      </c>
      <c r="H266" s="5">
        <f ca="1">IFERROR(__xludf.DUMMYFUNCTION("""COMPUTED_VALUE"""),13207496)</f>
        <v>13207496</v>
      </c>
      <c r="I266" s="5" t="str">
        <f ca="1">IFERROR(__xludf.DUMMYFUNCTION("""COMPUTED_VALUE"""),"VERIFICACION FUGAS")</f>
        <v>VERIFICACION FUGAS</v>
      </c>
      <c r="J266" s="5" t="str">
        <f ca="1">IFERROR(__xludf.DUMMYFUNCTION("""COMPUTED_VALUE"""),"ALTO")</f>
        <v>ALTO</v>
      </c>
      <c r="K266" s="5" t="str">
        <f ca="1">IFERROR(__xludf.DUMMYFUNCTION("""COMPUTED_VALUE"""),"Preventivo")</f>
        <v>Preventivo</v>
      </c>
      <c r="L266" s="5" t="str">
        <f ca="1">IFERROR(__xludf.DUMMYFUNCTION("""COMPUTED_VALUE"""),"Maquinaria")</f>
        <v>Maquinaria</v>
      </c>
      <c r="M266" s="5" t="str">
        <f ca="1">IFERROR(__xludf.DUMMYFUNCTION("""COMPUTED_VALUE"""),"No")</f>
        <v>No</v>
      </c>
      <c r="N266" s="5"/>
      <c r="O266" s="5"/>
      <c r="P266" s="18">
        <f ca="1">IFERROR(__xludf.DUMMYFUNCTION("""COMPUTED_VALUE"""),45344)</f>
        <v>45344</v>
      </c>
      <c r="Q266" s="18">
        <f ca="1">IFERROR(__xludf.DUMMYFUNCTION("""COMPUTED_VALUE"""),45344)</f>
        <v>45344</v>
      </c>
      <c r="R266" s="18"/>
      <c r="S266" s="5">
        <f ca="1">IFERROR(__xludf.DUMMYFUNCTION("""COMPUTED_VALUE"""),0.5)</f>
        <v>0.5</v>
      </c>
      <c r="T266" s="5"/>
      <c r="U266" s="5" t="str">
        <f ca="1">IFERROR(__xludf.DUMMYFUNCTION("""COMPUTED_VALUE"""),"Moreno Pernia Bladimir")</f>
        <v>Moreno Pernia Bladimir</v>
      </c>
      <c r="V266" s="5"/>
      <c r="W266" s="5" t="str">
        <f ca="1">IFERROR(__xludf.DUMMYFUNCTION("""COMPUTED_VALUE"""),"RrjUEdA8Ugg")</f>
        <v>RrjUEdA8Ugg</v>
      </c>
      <c r="X266" s="5">
        <f ca="1">IFERROR(__xludf.DUMMYFUNCTION("""COMPUTED_VALUE"""),0.5)</f>
        <v>0.5</v>
      </c>
      <c r="Y266" s="5" t="str">
        <f t="shared" si="2"/>
        <v>Actividad sin realizar</v>
      </c>
      <c r="Z266" s="3">
        <f ca="1">IFERROR(VLOOKUP(U266, 'Base de datos'!A:B, 2, FALSE), "")</f>
        <v>573148903137</v>
      </c>
      <c r="AA266" s="4" t="e">
        <f t="shared" ca="1" si="3"/>
        <v>#NAME?</v>
      </c>
    </row>
    <row r="267" spans="1:27" ht="15.75" customHeight="1">
      <c r="A267" s="5" t="str">
        <f ca="1">IFERROR(__xludf.DUMMYFUNCTION("""COMPUTED_VALUE"""),"POSTOBÓN YUMBO")</f>
        <v>POSTOBÓN YUMBO</v>
      </c>
      <c r="B267" s="5" t="str">
        <f ca="1">IFERROR(__xludf.DUMMYFUNCTION("""COMPUTED_VALUE"""),"0410-ENVASADO JUGOS PET HOT F")</f>
        <v>0410-ENVASADO JUGOS PET HOT F</v>
      </c>
      <c r="C267" s="5" t="str">
        <f ca="1">IFERROR(__xludf.DUMMYFUNCTION("""COMPUTED_VALUE"""),"LINEA DE ENVASADO JUGOS PET HOT FILL")</f>
        <v>LINEA DE ENVASADO JUGOS PET HOT FILL</v>
      </c>
      <c r="D267" s="5">
        <f ca="1">IFERROR(__xludf.DUMMYFUNCTION("""COMPUTED_VALUE"""),710319)</f>
        <v>710319</v>
      </c>
      <c r="E267" s="5" t="str">
        <f ca="1">IFERROR(__xludf.DUMMYFUNCTION("""COMPUTED_VALUE"""),"ENFARDADORA")</f>
        <v>ENFARDADORA</v>
      </c>
      <c r="F267" s="5">
        <f ca="1">IFERROR(__xludf.DUMMYFUNCTION("""COMPUTED_VALUE"""),22575)</f>
        <v>22575</v>
      </c>
      <c r="G267" s="5" t="str">
        <f ca="1">IFERROR(__xludf.DUMMYFUNCTION("""COMPUTED_VALUE"""),"PLAN MTTO LUB ENFARDADORA L8 710319")</f>
        <v>PLAN MTTO LUB ENFARDADORA L8 710319</v>
      </c>
      <c r="H267" s="5">
        <f ca="1">IFERROR(__xludf.DUMMYFUNCTION("""COMPUTED_VALUE"""),13247203)</f>
        <v>13247203</v>
      </c>
      <c r="I267" s="5" t="str">
        <f ca="1">IFERROR(__xludf.DUMMYFUNCTION("""COMPUTED_VALUE"""),"Lubricacion")</f>
        <v>Lubricacion</v>
      </c>
      <c r="J267" s="5" t="str">
        <f ca="1">IFERROR(__xludf.DUMMYFUNCTION("""COMPUTED_VALUE"""),"MEDIO")</f>
        <v>MEDIO</v>
      </c>
      <c r="K267" s="5" t="str">
        <f ca="1">IFERROR(__xludf.DUMMYFUNCTION("""COMPUTED_VALUE"""),"Preventivo")</f>
        <v>Preventivo</v>
      </c>
      <c r="L267" s="5" t="str">
        <f ca="1">IFERROR(__xludf.DUMMYFUNCTION("""COMPUTED_VALUE"""),"Maquinaria")</f>
        <v>Maquinaria</v>
      </c>
      <c r="M267" s="5" t="str">
        <f ca="1">IFERROR(__xludf.DUMMYFUNCTION("""COMPUTED_VALUE"""),"No")</f>
        <v>No</v>
      </c>
      <c r="N267" s="5"/>
      <c r="O267" s="5"/>
      <c r="P267" s="18">
        <f ca="1">IFERROR(__xludf.DUMMYFUNCTION("""COMPUTED_VALUE"""),45336)</f>
        <v>45336</v>
      </c>
      <c r="Q267" s="18">
        <f ca="1">IFERROR(__xludf.DUMMYFUNCTION("""COMPUTED_VALUE"""),45336)</f>
        <v>45336</v>
      </c>
      <c r="R267" s="18"/>
      <c r="S267" s="5">
        <f ca="1">IFERROR(__xludf.DUMMYFUNCTION("""COMPUTED_VALUE"""),0.5)</f>
        <v>0.5</v>
      </c>
      <c r="T267" s="5"/>
      <c r="U267" s="5" t="str">
        <f ca="1">IFERROR(__xludf.DUMMYFUNCTION("""COMPUTED_VALUE"""),"Lopez Correa Jonathan")</f>
        <v>Lopez Correa Jonathan</v>
      </c>
      <c r="V267" s="5"/>
      <c r="W267" s="5" t="str">
        <f ca="1">IFERROR(__xludf.DUMMYFUNCTION("""COMPUTED_VALUE"""),"ba7mdGFyKBE")</f>
        <v>ba7mdGFyKBE</v>
      </c>
      <c r="X267" s="5">
        <f ca="1">IFERROR(__xludf.DUMMYFUNCTION("""COMPUTED_VALUE"""),0.5)</f>
        <v>0.5</v>
      </c>
      <c r="Y267" s="5" t="str">
        <f t="shared" si="2"/>
        <v>Actividad sin realizar</v>
      </c>
      <c r="Z267" s="3">
        <f ca="1">IFERROR(VLOOKUP(U267, 'Base de datos'!A:B, 2, FALSE), "")</f>
        <v>573215267623</v>
      </c>
      <c r="AA267" s="4" t="e">
        <f t="shared" ca="1" si="3"/>
        <v>#NAME?</v>
      </c>
    </row>
    <row r="268" spans="1:27" ht="15.75" customHeight="1">
      <c r="A268" s="5" t="str">
        <f ca="1">IFERROR(__xludf.DUMMYFUNCTION("""COMPUTED_VALUE"""),"POSTOBÓN YUMBO")</f>
        <v>POSTOBÓN YUMBO</v>
      </c>
      <c r="B268" s="5" t="str">
        <f ca="1">IFERROR(__xludf.DUMMYFUNCTION("""COMPUTED_VALUE"""),"0410-LINEA PET CSD")</f>
        <v>0410-LINEA PET CSD</v>
      </c>
      <c r="C268" s="5" t="str">
        <f ca="1">IFERROR(__xludf.DUMMYFUNCTION("""COMPUTED_VALUE"""),"LINEA PET CSD - LINEA 10")</f>
        <v>LINEA PET CSD - LINEA 10</v>
      </c>
      <c r="D268" s="5">
        <f ca="1">IFERROR(__xludf.DUMMYFUNCTION("""COMPUTED_VALUE"""),820082)</f>
        <v>820082</v>
      </c>
      <c r="E268" s="5" t="str">
        <f ca="1">IFERROR(__xludf.DUMMYFUNCTION("""COMPUTED_VALUE"""),"ETIQUETADORA ENVOLVENTE")</f>
        <v>ETIQUETADORA ENVOLVENTE</v>
      </c>
      <c r="F268" s="5">
        <f ca="1">IFERROR(__xludf.DUMMYFUNCTION("""COMPUTED_VALUE"""),25365)</f>
        <v>25365</v>
      </c>
      <c r="G268" s="5" t="str">
        <f ca="1">IFERROR(__xludf.DUMMYFUNCTION("""COMPUTED_VALUE"""),"PLAN MTTO MEC ETIQUETADORA CSD")</f>
        <v>PLAN MTTO MEC ETIQUETADORA CSD</v>
      </c>
      <c r="H268" s="5">
        <f ca="1">IFERROR(__xludf.DUMMYFUNCTION("""COMPUTED_VALUE"""),13232379)</f>
        <v>13232379</v>
      </c>
      <c r="I268" s="5" t="str">
        <f ca="1">IFERROR(__xludf.DUMMYFUNCTION("""COMPUTED_VALUE"""),"Cilindro de transferencia:")</f>
        <v>Cilindro de transferencia:</v>
      </c>
      <c r="J268" s="5" t="str">
        <f ca="1">IFERROR(__xludf.DUMMYFUNCTION("""COMPUTED_VALUE"""),"MEDIO")</f>
        <v>MEDIO</v>
      </c>
      <c r="K268" s="5" t="str">
        <f ca="1">IFERROR(__xludf.DUMMYFUNCTION("""COMPUTED_VALUE"""),"Preventivo")</f>
        <v>Preventivo</v>
      </c>
      <c r="L268" s="5" t="str">
        <f ca="1">IFERROR(__xludf.DUMMYFUNCTION("""COMPUTED_VALUE"""),"Maquinaria")</f>
        <v>Maquinaria</v>
      </c>
      <c r="M268" s="5" t="str">
        <f ca="1">IFERROR(__xludf.DUMMYFUNCTION("""COMPUTED_VALUE"""),"No")</f>
        <v>No</v>
      </c>
      <c r="N268" s="5"/>
      <c r="O268" s="5">
        <f ca="1">IFERROR(__xludf.DUMMYFUNCTION("""COMPUTED_VALUE"""),100)</f>
        <v>100</v>
      </c>
      <c r="P268" s="18">
        <f ca="1">IFERROR(__xludf.DUMMYFUNCTION("""COMPUTED_VALUE"""),45328)</f>
        <v>45328</v>
      </c>
      <c r="Q268" s="18">
        <f ca="1">IFERROR(__xludf.DUMMYFUNCTION("""COMPUTED_VALUE"""),45328)</f>
        <v>45328</v>
      </c>
      <c r="R268" s="18"/>
      <c r="S268" s="5">
        <f ca="1">IFERROR(__xludf.DUMMYFUNCTION("""COMPUTED_VALUE"""),3)</f>
        <v>3</v>
      </c>
      <c r="T268" s="5"/>
      <c r="U268" s="5" t="str">
        <f ca="1">IFERROR(__xludf.DUMMYFUNCTION("""COMPUTED_VALUE"""),"Gordillo Victoria Luis Miguel")</f>
        <v>Gordillo Victoria Luis Miguel</v>
      </c>
      <c r="V268" s="5"/>
      <c r="W268" s="5" t="str">
        <f ca="1">IFERROR(__xludf.DUMMYFUNCTION("""COMPUTED_VALUE"""),"8sZfnJwHAAQ")</f>
        <v>8sZfnJwHAAQ</v>
      </c>
      <c r="X268" s="5">
        <f ca="1">IFERROR(__xludf.DUMMYFUNCTION("""COMPUTED_VALUE"""),3)</f>
        <v>3</v>
      </c>
      <c r="Y268" s="5" t="str">
        <f t="shared" ca="1" si="2"/>
        <v>Actividad realizada</v>
      </c>
      <c r="Z268" s="3">
        <f ca="1">IFERROR(VLOOKUP(U268, 'Base de datos'!A:B, 2, FALSE), "")</f>
        <v>573023677706</v>
      </c>
      <c r="AA268" s="4" t="e">
        <f t="shared" ca="1" si="3"/>
        <v>#NAME?</v>
      </c>
    </row>
    <row r="269" spans="1:27" ht="15.75" customHeight="1">
      <c r="A269" s="5" t="str">
        <f ca="1">IFERROR(__xludf.DUMMYFUNCTION("""COMPUTED_VALUE"""),"POSTOBÓN YUMBO")</f>
        <v>POSTOBÓN YUMBO</v>
      </c>
      <c r="B269" s="5" t="str">
        <f ca="1">IFERROR(__xludf.DUMMYFUNCTION("""COMPUTED_VALUE"""),"0410-EQUIPOS AUXILIARES")</f>
        <v>0410-EQUIPOS AUXILIARES</v>
      </c>
      <c r="C269" s="5" t="str">
        <f ca="1">IFERROR(__xludf.DUMMYFUNCTION("""COMPUTED_VALUE"""),"EQUIPOS PARA SERVICIOS INDUSTRIALES")</f>
        <v>EQUIPOS PARA SERVICIOS INDUSTRIALES</v>
      </c>
      <c r="D269" s="5">
        <f ca="1">IFERROR(__xludf.DUMMYFUNCTION("""COMPUTED_VALUE"""),659371)</f>
        <v>659371</v>
      </c>
      <c r="E269" s="5" t="str">
        <f ca="1">IFERROR(__xludf.DUMMYFUNCTION("""COMPUTED_VALUE"""),"CALDERA DE 300 BHP")</f>
        <v>CALDERA DE 300 BHP</v>
      </c>
      <c r="F269" s="5">
        <f ca="1">IFERROR(__xludf.DUMMYFUNCTION("""COMPUTED_VALUE"""),21693)</f>
        <v>21693</v>
      </c>
      <c r="G269" s="5" t="str">
        <f ca="1">IFERROR(__xludf.DUMMYFUNCTION("""COMPUTED_VALUE"""),"PLAN DE MTTO MEC CALDERA C#3 A- 1341")</f>
        <v>PLAN DE MTTO MEC CALDERA C#3 A- 1341</v>
      </c>
      <c r="H269" s="5">
        <f ca="1">IFERROR(__xludf.DUMMYFUNCTION("""COMPUTED_VALUE"""),13247183)</f>
        <v>13247183</v>
      </c>
      <c r="I269" s="5" t="str">
        <f ca="1">IFERROR(__xludf.DUMMYFUNCTION("""COMPUTED_VALUE"""),"purgas de drenaje")</f>
        <v>purgas de drenaje</v>
      </c>
      <c r="J269" s="5" t="str">
        <f ca="1">IFERROR(__xludf.DUMMYFUNCTION("""COMPUTED_VALUE"""),"ALTO")</f>
        <v>ALTO</v>
      </c>
      <c r="K269" s="5" t="str">
        <f ca="1">IFERROR(__xludf.DUMMYFUNCTION("""COMPUTED_VALUE"""),"Preventivo")</f>
        <v>Preventivo</v>
      </c>
      <c r="L269" s="5" t="str">
        <f ca="1">IFERROR(__xludf.DUMMYFUNCTION("""COMPUTED_VALUE"""),"Maquinaria")</f>
        <v>Maquinaria</v>
      </c>
      <c r="M269" s="5" t="str">
        <f ca="1">IFERROR(__xludf.DUMMYFUNCTION("""COMPUTED_VALUE"""),"No")</f>
        <v>No</v>
      </c>
      <c r="N269" s="5"/>
      <c r="O269" s="5"/>
      <c r="P269" s="18">
        <f ca="1">IFERROR(__xludf.DUMMYFUNCTION("""COMPUTED_VALUE"""),45337)</f>
        <v>45337</v>
      </c>
      <c r="Q269" s="18">
        <f ca="1">IFERROR(__xludf.DUMMYFUNCTION("""COMPUTED_VALUE"""),45337)</f>
        <v>45337</v>
      </c>
      <c r="R269" s="18"/>
      <c r="S269" s="5">
        <f ca="1">IFERROR(__xludf.DUMMYFUNCTION("""COMPUTED_VALUE"""),1)</f>
        <v>1</v>
      </c>
      <c r="T269" s="5"/>
      <c r="U269" s="5" t="str">
        <f ca="1">IFERROR(__xludf.DUMMYFUNCTION("""COMPUTED_VALUE"""),"Valencia Hector")</f>
        <v>Valencia Hector</v>
      </c>
      <c r="V269" s="5"/>
      <c r="W269" s="5" t="str">
        <f ca="1">IFERROR(__xludf.DUMMYFUNCTION("""COMPUTED_VALUE"""),"N98eiUv47vY")</f>
        <v>N98eiUv47vY</v>
      </c>
      <c r="X269" s="5">
        <f ca="1">IFERROR(__xludf.DUMMYFUNCTION("""COMPUTED_VALUE"""),1)</f>
        <v>1</v>
      </c>
      <c r="Y269" s="5" t="str">
        <f t="shared" si="2"/>
        <v>Actividad sin realizar</v>
      </c>
      <c r="Z269" s="3">
        <f ca="1">IFERROR(VLOOKUP(U269, 'Base de datos'!A:B, 2, FALSE), "")</f>
        <v>573108951371</v>
      </c>
      <c r="AA269" s="4" t="e">
        <f t="shared" ca="1" si="3"/>
        <v>#NAME?</v>
      </c>
    </row>
    <row r="270" spans="1:27" ht="15.75" customHeight="1">
      <c r="A270" s="5" t="str">
        <f ca="1">IFERROR(__xludf.DUMMYFUNCTION("""COMPUTED_VALUE"""),"POSTOBÓN YUMBO")</f>
        <v>POSTOBÓN YUMBO</v>
      </c>
      <c r="B270" s="5" t="str">
        <f ca="1">IFERROR(__xludf.DUMMYFUNCTION("""COMPUTED_VALUE"""),"0410-PLANTA DE AGUA ENVASADO")</f>
        <v>0410-PLANTA DE AGUA ENVASADO</v>
      </c>
      <c r="C270" s="5" t="str">
        <f ca="1">IFERROR(__xludf.DUMMYFUNCTION("""COMPUTED_VALUE"""),"TRATAMIENTO DE AGUA PARA ENVASADO")</f>
        <v>TRATAMIENTO DE AGUA PARA ENVASADO</v>
      </c>
      <c r="D270" s="5">
        <f ca="1">IFERROR(__xludf.DUMMYFUNCTION("""COMPUTED_VALUE"""),70949106)</f>
        <v>70949106</v>
      </c>
      <c r="E270" s="5" t="str">
        <f ca="1">IFERROR(__xludf.DUMMYFUNCTION("""COMPUTED_VALUE"""),"GENERADOR DE OXIGENO 2")</f>
        <v>GENERADOR DE OXIGENO 2</v>
      </c>
      <c r="F270" s="5">
        <f ca="1">IFERROR(__xludf.DUMMYFUNCTION("""COMPUTED_VALUE"""),42255)</f>
        <v>42255</v>
      </c>
      <c r="G270" s="5" t="str">
        <f ca="1">IFERROR(__xludf.DUMMYFUNCTION("""COMPUTED_VALUE"""),"PLAN MTTO ELE GENERADOR DE OXIGENO 2")</f>
        <v>PLAN MTTO ELE GENERADOR DE OXIGENO 2</v>
      </c>
      <c r="H270" s="5">
        <f ca="1">IFERROR(__xludf.DUMMYFUNCTION("""COMPUTED_VALUE"""),13229238)</f>
        <v>13229238</v>
      </c>
      <c r="I270" s="5" t="str">
        <f ca="1">IFERROR(__xludf.DUMMYFUNCTION("""COMPUTED_VALUE"""),"Compruebe las funcion flujometro. Reempl")</f>
        <v>Compruebe las funcion flujometro. Reempl</v>
      </c>
      <c r="J270" s="5" t="str">
        <f ca="1">IFERROR(__xludf.DUMMYFUNCTION("""COMPUTED_VALUE"""),"ALTO")</f>
        <v>ALTO</v>
      </c>
      <c r="K270" s="5" t="str">
        <f ca="1">IFERROR(__xludf.DUMMYFUNCTION("""COMPUTED_VALUE"""),"Preventivo")</f>
        <v>Preventivo</v>
      </c>
      <c r="L270" s="5" t="str">
        <f ca="1">IFERROR(__xludf.DUMMYFUNCTION("""COMPUTED_VALUE"""),"Maquinaria")</f>
        <v>Maquinaria</v>
      </c>
      <c r="M270" s="5" t="str">
        <f ca="1">IFERROR(__xludf.DUMMYFUNCTION("""COMPUTED_VALUE"""),"No")</f>
        <v>No</v>
      </c>
      <c r="N270" s="5"/>
      <c r="O270" s="5"/>
      <c r="P270" s="18">
        <f ca="1">IFERROR(__xludf.DUMMYFUNCTION("""COMPUTED_VALUE"""),45340)</f>
        <v>45340</v>
      </c>
      <c r="Q270" s="18">
        <f ca="1">IFERROR(__xludf.DUMMYFUNCTION("""COMPUTED_VALUE"""),45340)</f>
        <v>45340</v>
      </c>
      <c r="R270" s="18"/>
      <c r="S270" s="5">
        <f ca="1">IFERROR(__xludf.DUMMYFUNCTION("""COMPUTED_VALUE"""),0.5)</f>
        <v>0.5</v>
      </c>
      <c r="T270" s="5"/>
      <c r="U270" s="5" t="str">
        <f ca="1">IFERROR(__xludf.DUMMYFUNCTION("""COMPUTED_VALUE"""),"PAPAMIJA GUIDO")</f>
        <v>PAPAMIJA GUIDO</v>
      </c>
      <c r="V270" s="5"/>
      <c r="W270" s="5" t="str">
        <f ca="1">IFERROR(__xludf.DUMMYFUNCTION("""COMPUTED_VALUE"""),"3v45Rsp0qQg")</f>
        <v>3v45Rsp0qQg</v>
      </c>
      <c r="X270" s="5">
        <f ca="1">IFERROR(__xludf.DUMMYFUNCTION("""COMPUTED_VALUE"""),0.5)</f>
        <v>0.5</v>
      </c>
      <c r="Y270" s="5" t="str">
        <f t="shared" si="2"/>
        <v>Actividad sin realizar</v>
      </c>
      <c r="Z270" s="3">
        <f ca="1">IFERROR(VLOOKUP(U270, 'Base de datos'!A:B, 2, FALSE), "")</f>
        <v>573156712311</v>
      </c>
      <c r="AA270" s="4" t="e">
        <f t="shared" ca="1" si="3"/>
        <v>#NAME?</v>
      </c>
    </row>
    <row r="271" spans="1:27" ht="15.75" customHeight="1">
      <c r="A271" s="5" t="str">
        <f ca="1">IFERROR(__xludf.DUMMYFUNCTION("""COMPUTED_VALUE"""),"POSTOBÓN YUMBO")</f>
        <v>POSTOBÓN YUMBO</v>
      </c>
      <c r="B271" s="5" t="str">
        <f ca="1">IFERROR(__xludf.DUMMYFUNCTION("""COMPUTED_VALUE"""),"0410-LINEA PET CSD")</f>
        <v>0410-LINEA PET CSD</v>
      </c>
      <c r="C271" s="5" t="str">
        <f ca="1">IFERROR(__xludf.DUMMYFUNCTION("""COMPUTED_VALUE"""),"LINEA PET CSD - LINEA 10")</f>
        <v>LINEA PET CSD - LINEA 10</v>
      </c>
      <c r="D271" s="5">
        <f ca="1">IFERROR(__xludf.DUMMYFUNCTION("""COMPUTED_VALUE"""),710324)</f>
        <v>710324</v>
      </c>
      <c r="E271" s="5" t="str">
        <f ca="1">IFERROR(__xludf.DUMMYFUNCTION("""COMPUTED_VALUE"""),"ENFARDADORA")</f>
        <v>ENFARDADORA</v>
      </c>
      <c r="F271" s="5">
        <f ca="1">IFERROR(__xludf.DUMMYFUNCTION("""COMPUTED_VALUE"""),25371)</f>
        <v>25371</v>
      </c>
      <c r="G271" s="5" t="str">
        <f ca="1">IFERROR(__xludf.DUMMYFUNCTION("""COMPUTED_VALUE"""),"PLAN MTTO MEC HORNO ENFARDADORA CSD")</f>
        <v>PLAN MTTO MEC HORNO ENFARDADORA CSD</v>
      </c>
      <c r="H271" s="5">
        <f ca="1">IFERROR(__xludf.DUMMYFUNCTION("""COMPUTED_VALUE"""),13232391)</f>
        <v>13232391</v>
      </c>
      <c r="I271" s="5" t="str">
        <f ca="1">IFERROR(__xludf.DUMMYFUNCTION("""COMPUTED_VALUE"""),"QUEMADOR: Compruebe la bujía de encendid")</f>
        <v>QUEMADOR: Compruebe la bujía de encendid</v>
      </c>
      <c r="J271" s="5" t="str">
        <f ca="1">IFERROR(__xludf.DUMMYFUNCTION("""COMPUTED_VALUE"""),"MEDIO")</f>
        <v>MEDIO</v>
      </c>
      <c r="K271" s="5" t="str">
        <f ca="1">IFERROR(__xludf.DUMMYFUNCTION("""COMPUTED_VALUE"""),"Preventivo")</f>
        <v>Preventivo</v>
      </c>
      <c r="L271" s="5" t="str">
        <f ca="1">IFERROR(__xludf.DUMMYFUNCTION("""COMPUTED_VALUE"""),"Maquinaria")</f>
        <v>Maquinaria</v>
      </c>
      <c r="M271" s="5" t="str">
        <f ca="1">IFERROR(__xludf.DUMMYFUNCTION("""COMPUTED_VALUE"""),"No")</f>
        <v>No</v>
      </c>
      <c r="N271" s="5"/>
      <c r="O271" s="5">
        <f ca="1">IFERROR(__xludf.DUMMYFUNCTION("""COMPUTED_VALUE"""),100)</f>
        <v>100</v>
      </c>
      <c r="P271" s="18">
        <f ca="1">IFERROR(__xludf.DUMMYFUNCTION("""COMPUTED_VALUE"""),45328)</f>
        <v>45328</v>
      </c>
      <c r="Q271" s="18">
        <f ca="1">IFERROR(__xludf.DUMMYFUNCTION("""COMPUTED_VALUE"""),45328)</f>
        <v>45328</v>
      </c>
      <c r="R271" s="18"/>
      <c r="S271" s="5">
        <f ca="1">IFERROR(__xludf.DUMMYFUNCTION("""COMPUTED_VALUE"""),4)</f>
        <v>4</v>
      </c>
      <c r="T271" s="5"/>
      <c r="U271" s="5" t="str">
        <f ca="1">IFERROR(__xludf.DUMMYFUNCTION("""COMPUTED_VALUE"""),"PARRA VELANDIA JOHN JAIRO")</f>
        <v>PARRA VELANDIA JOHN JAIRO</v>
      </c>
      <c r="V271" s="5"/>
      <c r="W271" s="5" t="str">
        <f ca="1">IFERROR(__xludf.DUMMYFUNCTION("""COMPUTED_VALUE"""),"UMgpYvo083o")</f>
        <v>UMgpYvo083o</v>
      </c>
      <c r="X271" s="5">
        <f ca="1">IFERROR(__xludf.DUMMYFUNCTION("""COMPUTED_VALUE"""),4)</f>
        <v>4</v>
      </c>
      <c r="Y271" s="5" t="str">
        <f t="shared" ca="1" si="2"/>
        <v>Actividad realizada</v>
      </c>
      <c r="Z271" s="3">
        <f ca="1">IFERROR(VLOOKUP(U271, 'Base de datos'!A:B, 2, FALSE), "")</f>
        <v>573012765105</v>
      </c>
      <c r="AA271" s="4" t="e">
        <f t="shared" ca="1" si="3"/>
        <v>#NAME?</v>
      </c>
    </row>
    <row r="272" spans="1:27" ht="15.75" customHeight="1">
      <c r="A272" s="5" t="str">
        <f ca="1">IFERROR(__xludf.DUMMYFUNCTION("""COMPUTED_VALUE"""),"POSTOBÓN YUMBO")</f>
        <v>POSTOBÓN YUMBO</v>
      </c>
      <c r="B272" s="5" t="str">
        <f ca="1">IFERROR(__xludf.DUMMYFUNCTION("""COMPUTED_VALUE"""),"0410-LINEA 2")</f>
        <v>0410-LINEA 2</v>
      </c>
      <c r="C272" s="5" t="str">
        <f ca="1">IFERROR(__xludf.DUMMYFUNCTION("""COMPUTED_VALUE"""),"LINEA DE ENVASADO FAMILIAR Y PRB")</f>
        <v>LINEA DE ENVASADO FAMILIAR Y PRB</v>
      </c>
      <c r="D272" s="5">
        <f ca="1">IFERROR(__xludf.DUMMYFUNCTION("""COMPUTED_VALUE"""),828006)</f>
        <v>828006</v>
      </c>
      <c r="E272" s="5" t="str">
        <f ca="1">IFERROR(__xludf.DUMMYFUNCTION("""COMPUTED_VALUE"""),"EMPACADORA")</f>
        <v>EMPACADORA</v>
      </c>
      <c r="F272" s="5">
        <f ca="1">IFERROR(__xludf.DUMMYFUNCTION("""COMPUTED_VALUE"""),22509)</f>
        <v>22509</v>
      </c>
      <c r="G272" s="5" t="str">
        <f ca="1">IFERROR(__xludf.DUMMYFUNCTION("""COMPUTED_VALUE"""),"PLAN MTTO MEC EMPACADORA 828006 L2")</f>
        <v>PLAN MTTO MEC EMPACADORA 828006 L2</v>
      </c>
      <c r="H272" s="5">
        <f ca="1">IFERROR(__xludf.DUMMYFUNCTION("""COMPUTED_VALUE"""),13232358)</f>
        <v>13232358</v>
      </c>
      <c r="I272" s="5" t="str">
        <f ca="1">IFERROR(__xludf.DUMMYFUNCTION("""COMPUTED_VALUE"""),"Revision Vastagos")</f>
        <v>Revision Vastagos</v>
      </c>
      <c r="J272" s="5" t="str">
        <f ca="1">IFERROR(__xludf.DUMMYFUNCTION("""COMPUTED_VALUE"""),"MEDIO")</f>
        <v>MEDIO</v>
      </c>
      <c r="K272" s="5" t="str">
        <f ca="1">IFERROR(__xludf.DUMMYFUNCTION("""COMPUTED_VALUE"""),"Preventivo")</f>
        <v>Preventivo</v>
      </c>
      <c r="L272" s="5" t="str">
        <f ca="1">IFERROR(__xludf.DUMMYFUNCTION("""COMPUTED_VALUE"""),"Maquinaria")</f>
        <v>Maquinaria</v>
      </c>
      <c r="M272" s="5" t="str">
        <f ca="1">IFERROR(__xludf.DUMMYFUNCTION("""COMPUTED_VALUE"""),"No")</f>
        <v>No</v>
      </c>
      <c r="N272" s="5"/>
      <c r="O272" s="5"/>
      <c r="P272" s="18">
        <f ca="1">IFERROR(__xludf.DUMMYFUNCTION("""COMPUTED_VALUE"""),45343)</f>
        <v>45343</v>
      </c>
      <c r="Q272" s="18">
        <f ca="1">IFERROR(__xludf.DUMMYFUNCTION("""COMPUTED_VALUE"""),45343)</f>
        <v>45343</v>
      </c>
      <c r="R272" s="18"/>
      <c r="S272" s="5">
        <f ca="1">IFERROR(__xludf.DUMMYFUNCTION("""COMPUTED_VALUE"""),3)</f>
        <v>3</v>
      </c>
      <c r="T272" s="5"/>
      <c r="U272" s="5" t="str">
        <f ca="1">IFERROR(__xludf.DUMMYFUNCTION("""COMPUTED_VALUE"""),"Andrés Felipe Pérez Polania")</f>
        <v>Andrés Felipe Pérez Polania</v>
      </c>
      <c r="V272" s="5"/>
      <c r="W272" s="5" t="str">
        <f ca="1">IFERROR(__xludf.DUMMYFUNCTION("""COMPUTED_VALUE"""),"lwbHAdwo6l0")</f>
        <v>lwbHAdwo6l0</v>
      </c>
      <c r="X272" s="5">
        <f ca="1">IFERROR(__xludf.DUMMYFUNCTION("""COMPUTED_VALUE"""),3)</f>
        <v>3</v>
      </c>
      <c r="Y272" s="5" t="str">
        <f t="shared" si="2"/>
        <v>Actividad sin realizar</v>
      </c>
      <c r="Z272" s="3">
        <f ca="1">IFERROR(VLOOKUP(U272, 'Base de datos'!A:B, 2, FALSE), "")</f>
        <v>573186924079</v>
      </c>
      <c r="AA272" s="4" t="e">
        <f t="shared" ca="1" si="3"/>
        <v>#NAME?</v>
      </c>
    </row>
    <row r="273" spans="1:27" ht="15.75" customHeight="1">
      <c r="A273" s="5" t="str">
        <f ca="1">IFERROR(__xludf.DUMMYFUNCTION("""COMPUTED_VALUE"""),"POSTOBÓN YUMBO")</f>
        <v>POSTOBÓN YUMBO</v>
      </c>
      <c r="B273" s="5" t="str">
        <f ca="1">IFERROR(__xludf.DUMMYFUNCTION("""COMPUTED_VALUE"""),"0410-LINEA 1")</f>
        <v>0410-LINEA 1</v>
      </c>
      <c r="C273" s="5" t="str">
        <f ca="1">IFERROR(__xludf.DUMMYFUNCTION("""COMPUTED_VALUE"""),"LINEA DE ENVASADO PET NO RETORNABLE")</f>
        <v>LINEA DE ENVASADO PET NO RETORNABLE</v>
      </c>
      <c r="D273" s="5">
        <f ca="1">IFERROR(__xludf.DUMMYFUNCTION("""COMPUTED_VALUE"""),820071)</f>
        <v>820071</v>
      </c>
      <c r="E273" s="5" t="str">
        <f ca="1">IFERROR(__xludf.DUMMYFUNCTION("""COMPUTED_VALUE"""),"ETIQUETADORA")</f>
        <v>ETIQUETADORA</v>
      </c>
      <c r="F273" s="5">
        <f ca="1">IFERROR(__xludf.DUMMYFUNCTION("""COMPUTED_VALUE"""),14083)</f>
        <v>14083</v>
      </c>
      <c r="G273" s="5" t="str">
        <f ca="1">IFERROR(__xludf.DUMMYFUNCTION("""COMPUTED_VALUE"""),"MTTO MEC ETIQUETADORA L1 820071")</f>
        <v>MTTO MEC ETIQUETADORA L1 820071</v>
      </c>
      <c r="H273" s="5">
        <f ca="1">IFERROR(__xludf.DUMMYFUNCTION("""COMPUTED_VALUE"""),13238371)</f>
        <v>13238371</v>
      </c>
      <c r="I273" s="5" t="str">
        <f ca="1">IFERROR(__xludf.DUMMYFUNCTION("""COMPUTED_VALUE"""),"Cilindro de transferencia:")</f>
        <v>Cilindro de transferencia:</v>
      </c>
      <c r="J273" s="5" t="str">
        <f ca="1">IFERROR(__xludf.DUMMYFUNCTION("""COMPUTED_VALUE"""),"MEDIO")</f>
        <v>MEDIO</v>
      </c>
      <c r="K273" s="5" t="str">
        <f ca="1">IFERROR(__xludf.DUMMYFUNCTION("""COMPUTED_VALUE"""),"Preventivo")</f>
        <v>Preventivo</v>
      </c>
      <c r="L273" s="5" t="str">
        <f ca="1">IFERROR(__xludf.DUMMYFUNCTION("""COMPUTED_VALUE"""),"Maquinaria")</f>
        <v>Maquinaria</v>
      </c>
      <c r="M273" s="5" t="str">
        <f ca="1">IFERROR(__xludf.DUMMYFUNCTION("""COMPUTED_VALUE"""),"No")</f>
        <v>No</v>
      </c>
      <c r="N273" s="5"/>
      <c r="O273" s="5"/>
      <c r="P273" s="18">
        <f ca="1">IFERROR(__xludf.DUMMYFUNCTION("""COMPUTED_VALUE"""),45334)</f>
        <v>45334</v>
      </c>
      <c r="Q273" s="18">
        <f ca="1">IFERROR(__xludf.DUMMYFUNCTION("""COMPUTED_VALUE"""),45334)</f>
        <v>45334</v>
      </c>
      <c r="R273" s="18"/>
      <c r="S273" s="5">
        <f ca="1">IFERROR(__xludf.DUMMYFUNCTION("""COMPUTED_VALUE"""),3)</f>
        <v>3</v>
      </c>
      <c r="T273" s="5"/>
      <c r="U273" s="5" t="str">
        <f ca="1">IFERROR(__xludf.DUMMYFUNCTION("""COMPUTED_VALUE"""),"Sanchez Rodriguez Gerson Andres")</f>
        <v>Sanchez Rodriguez Gerson Andres</v>
      </c>
      <c r="V273" s="5"/>
      <c r="W273" s="5" t="str">
        <f ca="1">IFERROR(__xludf.DUMMYFUNCTION("""COMPUTED_VALUE"""),"ucQqJ_thJG0")</f>
        <v>ucQqJ_thJG0</v>
      </c>
      <c r="X273" s="5">
        <f ca="1">IFERROR(__xludf.DUMMYFUNCTION("""COMPUTED_VALUE"""),3)</f>
        <v>3</v>
      </c>
      <c r="Y273" s="5" t="str">
        <f t="shared" si="2"/>
        <v>Actividad sin realizar</v>
      </c>
      <c r="Z273" s="3">
        <f ca="1">IFERROR(VLOOKUP(U273, 'Base de datos'!A:B, 2, FALSE), "")</f>
        <v>573112884549</v>
      </c>
      <c r="AA273" s="4" t="e">
        <f t="shared" ca="1" si="3"/>
        <v>#NAME?</v>
      </c>
    </row>
    <row r="274" spans="1:27" ht="15.75" customHeight="1">
      <c r="A274" s="5" t="str">
        <f ca="1">IFERROR(__xludf.DUMMYFUNCTION("""COMPUTED_VALUE"""),"POSTOBÓN YUMBO")</f>
        <v>POSTOBÓN YUMBO</v>
      </c>
      <c r="B274" s="5" t="str">
        <f ca="1">IFERROR(__xludf.DUMMYFUNCTION("""COMPUTED_VALUE"""),"0410-PLANTA DE AGUA ENVASADO")</f>
        <v>0410-PLANTA DE AGUA ENVASADO</v>
      </c>
      <c r="C274" s="5" t="str">
        <f ca="1">IFERROR(__xludf.DUMMYFUNCTION("""COMPUTED_VALUE"""),"TRATAMIENTO DE AGUA PARA ENVASADO")</f>
        <v>TRATAMIENTO DE AGUA PARA ENVASADO</v>
      </c>
      <c r="D274" s="5">
        <f ca="1">IFERROR(__xludf.DUMMYFUNCTION("""COMPUTED_VALUE"""),70948957)</f>
        <v>70948957</v>
      </c>
      <c r="E274" s="5" t="str">
        <f ca="1">IFERROR(__xludf.DUMMYFUNCTION("""COMPUTED_VALUE"""),"TANQUE PLASTICO HIPOCLORITO - TRAT PRIM")</f>
        <v>TANQUE PLASTICO HIPOCLORITO - TRAT PRIM</v>
      </c>
      <c r="F274" s="5">
        <f ca="1">IFERROR(__xludf.DUMMYFUNCTION("""COMPUTED_VALUE"""),32893)</f>
        <v>32893</v>
      </c>
      <c r="G274" s="5" t="str">
        <f ca="1">IFERROR(__xludf.DUMMYFUNCTION("""COMPUTED_VALUE"""),"PLAN MTTO MEC TANQUE PLASTICO HIPOCLORIT")</f>
        <v>PLAN MTTO MEC TANQUE PLASTICO HIPOCLORIT</v>
      </c>
      <c r="H274" s="5">
        <f ca="1">IFERROR(__xludf.DUMMYFUNCTION("""COMPUTED_VALUE"""),13207491)</f>
        <v>13207491</v>
      </c>
      <c r="I274" s="5" t="str">
        <f ca="1">IFERROR(__xludf.DUMMYFUNCTION("""COMPUTED_VALUE"""),"VERIFICACION FUGAS")</f>
        <v>VERIFICACION FUGAS</v>
      </c>
      <c r="J274" s="5" t="str">
        <f ca="1">IFERROR(__xludf.DUMMYFUNCTION("""COMPUTED_VALUE"""),"ALTO")</f>
        <v>ALTO</v>
      </c>
      <c r="K274" s="5" t="str">
        <f ca="1">IFERROR(__xludf.DUMMYFUNCTION("""COMPUTED_VALUE"""),"Preventivo")</f>
        <v>Preventivo</v>
      </c>
      <c r="L274" s="5" t="str">
        <f ca="1">IFERROR(__xludf.DUMMYFUNCTION("""COMPUTED_VALUE"""),"Maquinaria")</f>
        <v>Maquinaria</v>
      </c>
      <c r="M274" s="5" t="str">
        <f ca="1">IFERROR(__xludf.DUMMYFUNCTION("""COMPUTED_VALUE"""),"No")</f>
        <v>No</v>
      </c>
      <c r="N274" s="5"/>
      <c r="O274" s="5"/>
      <c r="P274" s="18">
        <f ca="1">IFERROR(__xludf.DUMMYFUNCTION("""COMPUTED_VALUE"""),45344)</f>
        <v>45344</v>
      </c>
      <c r="Q274" s="18">
        <f ca="1">IFERROR(__xludf.DUMMYFUNCTION("""COMPUTED_VALUE"""),45344)</f>
        <v>45344</v>
      </c>
      <c r="R274" s="18"/>
      <c r="S274" s="5">
        <f ca="1">IFERROR(__xludf.DUMMYFUNCTION("""COMPUTED_VALUE"""),0.5)</f>
        <v>0.5</v>
      </c>
      <c r="T274" s="5"/>
      <c r="U274" s="5" t="str">
        <f ca="1">IFERROR(__xludf.DUMMYFUNCTION("""COMPUTED_VALUE"""),"Guzman Palechor Miguel Angel")</f>
        <v>Guzman Palechor Miguel Angel</v>
      </c>
      <c r="V274" s="5"/>
      <c r="W274" s="5" t="str">
        <f ca="1">IFERROR(__xludf.DUMMYFUNCTION("""COMPUTED_VALUE"""),"McRuzjPsb7E")</f>
        <v>McRuzjPsb7E</v>
      </c>
      <c r="X274" s="5">
        <f ca="1">IFERROR(__xludf.DUMMYFUNCTION("""COMPUTED_VALUE"""),0.5)</f>
        <v>0.5</v>
      </c>
      <c r="Y274" s="5" t="str">
        <f t="shared" si="2"/>
        <v>Actividad sin realizar</v>
      </c>
      <c r="Z274" s="3">
        <f ca="1">IFERROR(VLOOKUP(U274, 'Base de datos'!A:B, 2, FALSE), "")</f>
        <v>573112422176</v>
      </c>
      <c r="AA274" s="4" t="e">
        <f t="shared" ca="1" si="3"/>
        <v>#NAME?</v>
      </c>
    </row>
    <row r="275" spans="1:27" ht="15.75" customHeight="1">
      <c r="A275" s="5" t="str">
        <f ca="1">IFERROR(__xludf.DUMMYFUNCTION("""COMPUTED_VALUE"""),"POSTOBÓN YUMBO")</f>
        <v>POSTOBÓN YUMBO</v>
      </c>
      <c r="B275" s="5" t="str">
        <f ca="1">IFERROR(__xludf.DUMMYFUNCTION("""COMPUTED_VALUE"""),"0410-LINEA PET CSD")</f>
        <v>0410-LINEA PET CSD</v>
      </c>
      <c r="C275" s="5" t="str">
        <f ca="1">IFERROR(__xludf.DUMMYFUNCTION("""COMPUTED_VALUE"""),"LINEA PET CSD - LINEA 10")</f>
        <v>LINEA PET CSD - LINEA 10</v>
      </c>
      <c r="D275" s="5">
        <f ca="1">IFERROR(__xludf.DUMMYFUNCTION("""COMPUTED_VALUE"""),820082)</f>
        <v>820082</v>
      </c>
      <c r="E275" s="5" t="str">
        <f ca="1">IFERROR(__xludf.DUMMYFUNCTION("""COMPUTED_VALUE"""),"ETIQUETADORA ENVOLVENTE")</f>
        <v>ETIQUETADORA ENVOLVENTE</v>
      </c>
      <c r="F275" s="5">
        <f ca="1">IFERROR(__xludf.DUMMYFUNCTION("""COMPUTED_VALUE"""),25365)</f>
        <v>25365</v>
      </c>
      <c r="G275" s="5" t="str">
        <f ca="1">IFERROR(__xludf.DUMMYFUNCTION("""COMPUTED_VALUE"""),"PLAN MTTO MEC ETIQUETADORA CSD")</f>
        <v>PLAN MTTO MEC ETIQUETADORA CSD</v>
      </c>
      <c r="H275" s="5">
        <f ca="1">IFERROR(__xludf.DUMMYFUNCTION("""COMPUTED_VALUE"""),13232379)</f>
        <v>13232379</v>
      </c>
      <c r="I275" s="5" t="str">
        <f ca="1">IFERROR(__xludf.DUMMYFUNCTION("""COMPUTED_VALUE"""),"pinzas de agarre: limpiar")</f>
        <v>pinzas de agarre: limpiar</v>
      </c>
      <c r="J275" s="5" t="str">
        <f ca="1">IFERROR(__xludf.DUMMYFUNCTION("""COMPUTED_VALUE"""),"MEDIO")</f>
        <v>MEDIO</v>
      </c>
      <c r="K275" s="5" t="str">
        <f ca="1">IFERROR(__xludf.DUMMYFUNCTION("""COMPUTED_VALUE"""),"Preventivo")</f>
        <v>Preventivo</v>
      </c>
      <c r="L275" s="5" t="str">
        <f ca="1">IFERROR(__xludf.DUMMYFUNCTION("""COMPUTED_VALUE"""),"Maquinaria")</f>
        <v>Maquinaria</v>
      </c>
      <c r="M275" s="5" t="str">
        <f ca="1">IFERROR(__xludf.DUMMYFUNCTION("""COMPUTED_VALUE"""),"No")</f>
        <v>No</v>
      </c>
      <c r="N275" s="5"/>
      <c r="O275" s="5">
        <f ca="1">IFERROR(__xludf.DUMMYFUNCTION("""COMPUTED_VALUE"""),100)</f>
        <v>100</v>
      </c>
      <c r="P275" s="18">
        <f ca="1">IFERROR(__xludf.DUMMYFUNCTION("""COMPUTED_VALUE"""),45328)</f>
        <v>45328</v>
      </c>
      <c r="Q275" s="18">
        <f ca="1">IFERROR(__xludf.DUMMYFUNCTION("""COMPUTED_VALUE"""),45328)</f>
        <v>45328</v>
      </c>
      <c r="R275" s="18"/>
      <c r="S275" s="5">
        <f ca="1">IFERROR(__xludf.DUMMYFUNCTION("""COMPUTED_VALUE"""),3)</f>
        <v>3</v>
      </c>
      <c r="T275" s="5"/>
      <c r="U275" s="5" t="str">
        <f ca="1">IFERROR(__xludf.DUMMYFUNCTION("""COMPUTED_VALUE"""),"Gordillo Victoria Luis Miguel")</f>
        <v>Gordillo Victoria Luis Miguel</v>
      </c>
      <c r="V275" s="5"/>
      <c r="W275" s="5" t="str">
        <f ca="1">IFERROR(__xludf.DUMMYFUNCTION("""COMPUTED_VALUE"""),"kujmS8WaaTI")</f>
        <v>kujmS8WaaTI</v>
      </c>
      <c r="X275" s="5">
        <f ca="1">IFERROR(__xludf.DUMMYFUNCTION("""COMPUTED_VALUE"""),3)</f>
        <v>3</v>
      </c>
      <c r="Y275" s="5" t="str">
        <f t="shared" ca="1" si="2"/>
        <v>Actividad realizada</v>
      </c>
      <c r="Z275" s="3">
        <f ca="1">IFERROR(VLOOKUP(U275, 'Base de datos'!A:B, 2, FALSE), "")</f>
        <v>573023677706</v>
      </c>
      <c r="AA275" s="4" t="e">
        <f t="shared" ca="1" si="3"/>
        <v>#NAME?</v>
      </c>
    </row>
    <row r="276" spans="1:27" ht="15.75" customHeight="1">
      <c r="A276" s="5" t="str">
        <f ca="1">IFERROR(__xludf.DUMMYFUNCTION("""COMPUTED_VALUE"""),"POSTOBÓN YUMBO")</f>
        <v>POSTOBÓN YUMBO</v>
      </c>
      <c r="B276" s="5" t="str">
        <f ca="1">IFERROR(__xludf.DUMMYFUNCTION("""COMPUTED_VALUE"""),"0410-SALA DE JARABE TERMINADO")</f>
        <v>0410-SALA DE JARABE TERMINADO</v>
      </c>
      <c r="C276" s="5" t="str">
        <f ca="1">IFERROR(__xludf.DUMMYFUNCTION("""COMPUTED_VALUE"""),"EQUIPOS PARA PREPARACION DE JARABE")</f>
        <v>EQUIPOS PARA PREPARACION DE JARABE</v>
      </c>
      <c r="D276" s="5">
        <f ca="1">IFERROR(__xludf.DUMMYFUNCTION("""COMPUTED_VALUE"""),69963408)</f>
        <v>69963408</v>
      </c>
      <c r="E276" s="5" t="str">
        <f ca="1">IFERROR(__xludf.DUMMYFUNCTION("""COMPUTED_VALUE"""),"TANQUE DE JARABE")</f>
        <v>TANQUE DE JARABE</v>
      </c>
      <c r="F276" s="5">
        <f ca="1">IFERROR(__xludf.DUMMYFUNCTION("""COMPUTED_VALUE"""),17361)</f>
        <v>17361</v>
      </c>
      <c r="G276" s="5" t="str">
        <f ca="1">IFERROR(__xludf.DUMMYFUNCTION("""COMPUTED_VALUE"""),"MTTO ELE TK JARABE 5 JARABE TERMINADO")</f>
        <v>MTTO ELE TK JARABE 5 JARABE TERMINADO</v>
      </c>
      <c r="H276" s="5">
        <f ca="1">IFERROR(__xludf.DUMMYFUNCTION("""COMPUTED_VALUE"""),13247157)</f>
        <v>13247157</v>
      </c>
      <c r="I276" s="5" t="str">
        <f ca="1">IFERROR(__xludf.DUMMYFUNCTION("""COMPUTED_VALUE"""),"MOTOR BOMBA DE RECIRCULACION:")</f>
        <v>MOTOR BOMBA DE RECIRCULACION:</v>
      </c>
      <c r="J276" s="5" t="str">
        <f ca="1">IFERROR(__xludf.DUMMYFUNCTION("""COMPUTED_VALUE"""),"ALTO")</f>
        <v>ALTO</v>
      </c>
      <c r="K276" s="5" t="str">
        <f ca="1">IFERROR(__xludf.DUMMYFUNCTION("""COMPUTED_VALUE"""),"Preventivo")</f>
        <v>Preventivo</v>
      </c>
      <c r="L276" s="5" t="str">
        <f ca="1">IFERROR(__xludf.DUMMYFUNCTION("""COMPUTED_VALUE"""),"Maquinaria")</f>
        <v>Maquinaria</v>
      </c>
      <c r="M276" s="5" t="str">
        <f ca="1">IFERROR(__xludf.DUMMYFUNCTION("""COMPUTED_VALUE"""),"No")</f>
        <v>No</v>
      </c>
      <c r="N276" s="5"/>
      <c r="O276" s="5">
        <f ca="1">IFERROR(__xludf.DUMMYFUNCTION("""COMPUTED_VALUE"""),100)</f>
        <v>100</v>
      </c>
      <c r="P276" s="18">
        <f ca="1">IFERROR(__xludf.DUMMYFUNCTION("""COMPUTED_VALUE"""),45343)</f>
        <v>45343</v>
      </c>
      <c r="Q276" s="18">
        <f ca="1">IFERROR(__xludf.DUMMYFUNCTION("""COMPUTED_VALUE"""),45343)</f>
        <v>45343</v>
      </c>
      <c r="R276" s="18"/>
      <c r="S276" s="5">
        <f ca="1">IFERROR(__xludf.DUMMYFUNCTION("""COMPUTED_VALUE"""),1)</f>
        <v>1</v>
      </c>
      <c r="T276" s="5"/>
      <c r="U276" s="5" t="str">
        <f ca="1">IFERROR(__xludf.DUMMYFUNCTION("""COMPUTED_VALUE"""),"Moreno Pernia Bladimir")</f>
        <v>Moreno Pernia Bladimir</v>
      </c>
      <c r="V276" s="5"/>
      <c r="W276" s="5" t="str">
        <f ca="1">IFERROR(__xludf.DUMMYFUNCTION("""COMPUTED_VALUE"""),"zG0i8M7VGaY")</f>
        <v>zG0i8M7VGaY</v>
      </c>
      <c r="X276" s="5">
        <f ca="1">IFERROR(__xludf.DUMMYFUNCTION("""COMPUTED_VALUE"""),1)</f>
        <v>1</v>
      </c>
      <c r="Y276" s="5" t="str">
        <f t="shared" ca="1" si="2"/>
        <v>Actividad realizada</v>
      </c>
      <c r="Z276" s="3">
        <f ca="1">IFERROR(VLOOKUP(U276, 'Base de datos'!A:B, 2, FALSE), "")</f>
        <v>573148903137</v>
      </c>
      <c r="AA276" s="4" t="e">
        <f t="shared" ca="1" si="3"/>
        <v>#NAME?</v>
      </c>
    </row>
    <row r="277" spans="1:27" ht="15.75" customHeight="1">
      <c r="A277" s="5" t="str">
        <f ca="1">IFERROR(__xludf.DUMMYFUNCTION("""COMPUTED_VALUE"""),"POSTOBÓN YUMBO")</f>
        <v>POSTOBÓN YUMBO</v>
      </c>
      <c r="B277" s="5" t="str">
        <f ca="1">IFERROR(__xludf.DUMMYFUNCTION("""COMPUTED_VALUE"""),"0410-LINEA 2")</f>
        <v>0410-LINEA 2</v>
      </c>
      <c r="C277" s="5" t="str">
        <f ca="1">IFERROR(__xludf.DUMMYFUNCTION("""COMPUTED_VALUE"""),"LINEA DE ENVASADO FAMILIAR Y PRB")</f>
        <v>LINEA DE ENVASADO FAMILIAR Y PRB</v>
      </c>
      <c r="D277" s="5">
        <f ca="1">IFERROR(__xludf.DUMMYFUNCTION("""COMPUTED_VALUE"""),828006)</f>
        <v>828006</v>
      </c>
      <c r="E277" s="5" t="str">
        <f ca="1">IFERROR(__xludf.DUMMYFUNCTION("""COMPUTED_VALUE"""),"EMPACADORA")</f>
        <v>EMPACADORA</v>
      </c>
      <c r="F277" s="5">
        <f ca="1">IFERROR(__xludf.DUMMYFUNCTION("""COMPUTED_VALUE"""),22509)</f>
        <v>22509</v>
      </c>
      <c r="G277" s="5" t="str">
        <f ca="1">IFERROR(__xludf.DUMMYFUNCTION("""COMPUTED_VALUE"""),"PLAN MTTO ELE EMPACADORA 828006 L2")</f>
        <v>PLAN MTTO ELE EMPACADORA 828006 L2</v>
      </c>
      <c r="H277" s="5">
        <f ca="1">IFERROR(__xludf.DUMMYFUNCTION("""COMPUTED_VALUE"""),13232359)</f>
        <v>13232359</v>
      </c>
      <c r="I277" s="5" t="str">
        <f ca="1">IFERROR(__xludf.DUMMYFUNCTION("""COMPUTED_VALUE"""),"Revision Sensores y Fotoceldas")</f>
        <v>Revision Sensores y Fotoceldas</v>
      </c>
      <c r="J277" s="5" t="str">
        <f ca="1">IFERROR(__xludf.DUMMYFUNCTION("""COMPUTED_VALUE"""),"MEDIO")</f>
        <v>MEDIO</v>
      </c>
      <c r="K277" s="5" t="str">
        <f ca="1">IFERROR(__xludf.DUMMYFUNCTION("""COMPUTED_VALUE"""),"Preventivo")</f>
        <v>Preventivo</v>
      </c>
      <c r="L277" s="5" t="str">
        <f ca="1">IFERROR(__xludf.DUMMYFUNCTION("""COMPUTED_VALUE"""),"Maquinaria")</f>
        <v>Maquinaria</v>
      </c>
      <c r="M277" s="5" t="str">
        <f ca="1">IFERROR(__xludf.DUMMYFUNCTION("""COMPUTED_VALUE"""),"No")</f>
        <v>No</v>
      </c>
      <c r="N277" s="5"/>
      <c r="O277" s="5"/>
      <c r="P277" s="18">
        <f ca="1">IFERROR(__xludf.DUMMYFUNCTION("""COMPUTED_VALUE"""),45343)</f>
        <v>45343</v>
      </c>
      <c r="Q277" s="18">
        <f ca="1">IFERROR(__xludf.DUMMYFUNCTION("""COMPUTED_VALUE"""),45343)</f>
        <v>45343</v>
      </c>
      <c r="R277" s="18"/>
      <c r="S277" s="5">
        <f ca="1">IFERROR(__xludf.DUMMYFUNCTION("""COMPUTED_VALUE"""),4)</f>
        <v>4</v>
      </c>
      <c r="T277" s="5"/>
      <c r="U277" s="5" t="str">
        <f ca="1">IFERROR(__xludf.DUMMYFUNCTION("""COMPUTED_VALUE"""),"Andrés Felipe Pérez Polania")</f>
        <v>Andrés Felipe Pérez Polania</v>
      </c>
      <c r="V277" s="5"/>
      <c r="W277" s="5" t="str">
        <f ca="1">IFERROR(__xludf.DUMMYFUNCTION("""COMPUTED_VALUE"""),"k5qxsEs05Ak")</f>
        <v>k5qxsEs05Ak</v>
      </c>
      <c r="X277" s="5">
        <f ca="1">IFERROR(__xludf.DUMMYFUNCTION("""COMPUTED_VALUE"""),4)</f>
        <v>4</v>
      </c>
      <c r="Y277" s="5" t="str">
        <f t="shared" si="2"/>
        <v>Actividad sin realizar</v>
      </c>
      <c r="Z277" s="3">
        <f ca="1">IFERROR(VLOOKUP(U277, 'Base de datos'!A:B, 2, FALSE), "")</f>
        <v>573186924079</v>
      </c>
      <c r="AA277" s="4" t="e">
        <f t="shared" ca="1" si="3"/>
        <v>#NAME?</v>
      </c>
    </row>
    <row r="278" spans="1:27" ht="15.75" customHeight="1">
      <c r="A278" s="5" t="str">
        <f ca="1">IFERROR(__xludf.DUMMYFUNCTION("""COMPUTED_VALUE"""),"POSTOBÓN YUMBO")</f>
        <v>POSTOBÓN YUMBO</v>
      </c>
      <c r="B278" s="5" t="str">
        <f ca="1">IFERROR(__xludf.DUMMYFUNCTION("""COMPUTED_VALUE"""),"0410-LINEA 3")</f>
        <v>0410-LINEA 3</v>
      </c>
      <c r="C278" s="5" t="str">
        <f ca="1">IFERROR(__xludf.DUMMYFUNCTION("""COMPUTED_VALUE"""),"LINEA DE ENVASADO TAMAÑO PERSONAL")</f>
        <v>LINEA DE ENVASADO TAMAÑO PERSONAL</v>
      </c>
      <c r="D278" s="5">
        <f ca="1">IFERROR(__xludf.DUMMYFUNCTION("""COMPUTED_VALUE"""),558020)</f>
        <v>558020</v>
      </c>
      <c r="E278" s="5" t="str">
        <f ca="1">IFERROR(__xludf.DUMMYFUNCTION("""COMPUTED_VALUE"""),"EMPACADORA")</f>
        <v>EMPACADORA</v>
      </c>
      <c r="F278" s="5">
        <f ca="1">IFERROR(__xludf.DUMMYFUNCTION("""COMPUTED_VALUE"""),22604)</f>
        <v>22604</v>
      </c>
      <c r="G278" s="5" t="str">
        <f ca="1">IFERROR(__xludf.DUMMYFUNCTION("""COMPUTED_VALUE"""),"PLAN MTTO ELE EMPACADORA 558020 L3")</f>
        <v>PLAN MTTO ELE EMPACADORA 558020 L3</v>
      </c>
      <c r="H278" s="5">
        <f ca="1">IFERROR(__xludf.DUMMYFUNCTION("""COMPUTED_VALUE"""),13226527)</f>
        <v>13226527</v>
      </c>
      <c r="I278" s="5" t="str">
        <f ca="1">IFERROR(__xludf.DUMMYFUNCTION("""COMPUTED_VALUE"""),"Revision Electrovalvulas")</f>
        <v>Revision Electrovalvulas</v>
      </c>
      <c r="J278" s="5" t="str">
        <f ca="1">IFERROR(__xludf.DUMMYFUNCTION("""COMPUTED_VALUE"""),"MEDIO")</f>
        <v>MEDIO</v>
      </c>
      <c r="K278" s="5" t="str">
        <f ca="1">IFERROR(__xludf.DUMMYFUNCTION("""COMPUTED_VALUE"""),"Preventivo")</f>
        <v>Preventivo</v>
      </c>
      <c r="L278" s="5" t="str">
        <f ca="1">IFERROR(__xludf.DUMMYFUNCTION("""COMPUTED_VALUE"""),"Maquinaria")</f>
        <v>Maquinaria</v>
      </c>
      <c r="M278" s="5" t="str">
        <f ca="1">IFERROR(__xludf.DUMMYFUNCTION("""COMPUTED_VALUE"""),"No")</f>
        <v>No</v>
      </c>
      <c r="N278" s="5"/>
      <c r="O278" s="5"/>
      <c r="P278" s="18">
        <f ca="1">IFERROR(__xludf.DUMMYFUNCTION("""COMPUTED_VALUE"""),45327)</f>
        <v>45327</v>
      </c>
      <c r="Q278" s="18">
        <f ca="1">IFERROR(__xludf.DUMMYFUNCTION("""COMPUTED_VALUE"""),45327)</f>
        <v>45327</v>
      </c>
      <c r="R278" s="18"/>
      <c r="S278" s="5">
        <f ca="1">IFERROR(__xludf.DUMMYFUNCTION("""COMPUTED_VALUE"""),4)</f>
        <v>4</v>
      </c>
      <c r="T278" s="5"/>
      <c r="U278" s="5" t="str">
        <f ca="1">IFERROR(__xludf.DUMMYFUNCTION("""COMPUTED_VALUE"""),"Jimenez Jhon")</f>
        <v>Jimenez Jhon</v>
      </c>
      <c r="V278" s="5"/>
      <c r="W278" s="5" t="str">
        <f ca="1">IFERROR(__xludf.DUMMYFUNCTION("""COMPUTED_VALUE"""),"l268xGqEmpM")</f>
        <v>l268xGqEmpM</v>
      </c>
      <c r="X278" s="5">
        <f ca="1">IFERROR(__xludf.DUMMYFUNCTION("""COMPUTED_VALUE"""),4)</f>
        <v>4</v>
      </c>
      <c r="Y278" s="5" t="str">
        <f t="shared" si="2"/>
        <v>Actividad sin realizar</v>
      </c>
      <c r="Z278" s="3">
        <f ca="1">IFERROR(VLOOKUP(U278, 'Base de datos'!A:B, 2, FALSE), "")</f>
        <v>573147637946</v>
      </c>
      <c r="AA278" s="4" t="e">
        <f t="shared" ca="1" si="3"/>
        <v>#NAME?</v>
      </c>
    </row>
    <row r="279" spans="1:27" ht="15.75" customHeight="1">
      <c r="A279" s="5" t="str">
        <f ca="1">IFERROR(__xludf.DUMMYFUNCTION("""COMPUTED_VALUE"""),"POSTOBÓN YUMBO")</f>
        <v>POSTOBÓN YUMBO</v>
      </c>
      <c r="B279" s="5" t="str">
        <f ca="1">IFERROR(__xludf.DUMMYFUNCTION("""COMPUTED_VALUE"""),"0410-ENVASADO JUGOS PET HOT F")</f>
        <v>0410-ENVASADO JUGOS PET HOT F</v>
      </c>
      <c r="C279" s="5" t="str">
        <f ca="1">IFERROR(__xludf.DUMMYFUNCTION("""COMPUTED_VALUE"""),"LINEA DE ENVASADO JUGOS PET HOT FILL")</f>
        <v>LINEA DE ENVASADO JUGOS PET HOT FILL</v>
      </c>
      <c r="D279" s="5">
        <f ca="1">IFERROR(__xludf.DUMMYFUNCTION("""COMPUTED_VALUE"""),579063)</f>
        <v>579063</v>
      </c>
      <c r="E279" s="5" t="str">
        <f ca="1">IFERROR(__xludf.DUMMYFUNCTION("""COMPUTED_VALUE"""),"PALETIZADORA MODUPAL 2A")</f>
        <v>PALETIZADORA MODUPAL 2A</v>
      </c>
      <c r="F279" s="5">
        <f ca="1">IFERROR(__xludf.DUMMYFUNCTION("""COMPUTED_VALUE"""),22580)</f>
        <v>22580</v>
      </c>
      <c r="G279" s="5" t="str">
        <f ca="1">IFERROR(__xludf.DUMMYFUNCTION("""COMPUTED_VALUE"""),"PLAN MTTO ELE PALETIZADORA MODUP 579063")</f>
        <v>PLAN MTTO ELE PALETIZADORA MODUP 579063</v>
      </c>
      <c r="H279" s="5">
        <f ca="1">IFERROR(__xludf.DUMMYFUNCTION("""COMPUTED_VALUE"""),13232362)</f>
        <v>13232362</v>
      </c>
      <c r="I279" s="5" t="str">
        <f ca="1">IFERROR(__xludf.DUMMYFUNCTION("""COMPUTED_VALUE"""),"Tablero electrico:")</f>
        <v>Tablero electrico:</v>
      </c>
      <c r="J279" s="5" t="str">
        <f ca="1">IFERROR(__xludf.DUMMYFUNCTION("""COMPUTED_VALUE"""),"MEDIO")</f>
        <v>MEDIO</v>
      </c>
      <c r="K279" s="5" t="str">
        <f ca="1">IFERROR(__xludf.DUMMYFUNCTION("""COMPUTED_VALUE"""),"Preventivo")</f>
        <v>Preventivo</v>
      </c>
      <c r="L279" s="5" t="str">
        <f ca="1">IFERROR(__xludf.DUMMYFUNCTION("""COMPUTED_VALUE"""),"Maquinaria")</f>
        <v>Maquinaria</v>
      </c>
      <c r="M279" s="5" t="str">
        <f ca="1">IFERROR(__xludf.DUMMYFUNCTION("""COMPUTED_VALUE"""),"No")</f>
        <v>No</v>
      </c>
      <c r="N279" s="5"/>
      <c r="O279" s="5"/>
      <c r="P279" s="18">
        <f ca="1">IFERROR(__xludf.DUMMYFUNCTION("""COMPUTED_VALUE"""),45344)</f>
        <v>45344</v>
      </c>
      <c r="Q279" s="18">
        <f ca="1">IFERROR(__xludf.DUMMYFUNCTION("""COMPUTED_VALUE"""),45344)</f>
        <v>45344</v>
      </c>
      <c r="R279" s="18"/>
      <c r="S279" s="5">
        <f ca="1">IFERROR(__xludf.DUMMYFUNCTION("""COMPUTED_VALUE"""),4)</f>
        <v>4</v>
      </c>
      <c r="T279" s="5"/>
      <c r="U279" s="5" t="str">
        <f ca="1">IFERROR(__xludf.DUMMYFUNCTION("""COMPUTED_VALUE"""),"Martinez Delgado Osver")</f>
        <v>Martinez Delgado Osver</v>
      </c>
      <c r="V279" s="5"/>
      <c r="W279" s="5" t="str">
        <f ca="1">IFERROR(__xludf.DUMMYFUNCTION("""COMPUTED_VALUE"""),"7ecfDGVgUwM")</f>
        <v>7ecfDGVgUwM</v>
      </c>
      <c r="X279" s="5">
        <f ca="1">IFERROR(__xludf.DUMMYFUNCTION("""COMPUTED_VALUE"""),4)</f>
        <v>4</v>
      </c>
      <c r="Y279" s="5" t="str">
        <f t="shared" si="2"/>
        <v>Actividad sin realizar</v>
      </c>
      <c r="Z279" s="3">
        <f ca="1">IFERROR(VLOOKUP(U279, 'Base de datos'!A:B, 2, FALSE), "")</f>
        <v>573104055117</v>
      </c>
      <c r="AA279" s="4" t="e">
        <f t="shared" ca="1" si="3"/>
        <v>#NAME?</v>
      </c>
    </row>
    <row r="280" spans="1:27" ht="15.75" customHeight="1">
      <c r="A280" s="5" t="str">
        <f ca="1">IFERROR(__xludf.DUMMYFUNCTION("""COMPUTED_VALUE"""),"POSTOBÓN YUMBO")</f>
        <v>POSTOBÓN YUMBO</v>
      </c>
      <c r="B280" s="5" t="str">
        <f ca="1">IFERROR(__xludf.DUMMYFUNCTION("""COMPUTED_VALUE"""),"0410-ENVASADO JUGOS PET HOT F")</f>
        <v>0410-ENVASADO JUGOS PET HOT F</v>
      </c>
      <c r="C280" s="5" t="str">
        <f ca="1">IFERROR(__xludf.DUMMYFUNCTION("""COMPUTED_VALUE"""),"LINEA DE ENVASADO JUGOS PET HOT FILL")</f>
        <v>LINEA DE ENVASADO JUGOS PET HOT FILL</v>
      </c>
      <c r="D280" s="5">
        <f ca="1">IFERROR(__xludf.DUMMYFUNCTION("""COMPUTED_VALUE"""),900303)</f>
        <v>900303</v>
      </c>
      <c r="E280" s="5" t="str">
        <f ca="1">IFERROR(__xludf.DUMMYFUNCTION("""COMPUTED_VALUE"""),"LLENADORA")</f>
        <v>LLENADORA</v>
      </c>
      <c r="F280" s="5">
        <f ca="1">IFERROR(__xludf.DUMMYFUNCTION("""COMPUTED_VALUE"""),14085)</f>
        <v>14085</v>
      </c>
      <c r="G280" s="5" t="str">
        <f ca="1">IFERROR(__xludf.DUMMYFUNCTION("""COMPUTED_VALUE"""),"MANTENIMIENTO ELEC TAPONADORA L8 90030")</f>
        <v>MANTENIMIENTO ELEC TAPONADORA L8 90030</v>
      </c>
      <c r="H280" s="5">
        <f ca="1">IFERROR(__xludf.DUMMYFUNCTION("""COMPUTED_VALUE"""),13226504)</f>
        <v>13226504</v>
      </c>
      <c r="I280" s="5" t="str">
        <f ca="1">IFERROR(__xludf.DUMMYFUNCTION("""COMPUTED_VALUE"""),"Elevador tapas:")</f>
        <v>Elevador tapas:</v>
      </c>
      <c r="J280" s="5" t="str">
        <f ca="1">IFERROR(__xludf.DUMMYFUNCTION("""COMPUTED_VALUE"""),"ALTO")</f>
        <v>ALTO</v>
      </c>
      <c r="K280" s="5" t="str">
        <f ca="1">IFERROR(__xludf.DUMMYFUNCTION("""COMPUTED_VALUE"""),"Preventivo")</f>
        <v>Preventivo</v>
      </c>
      <c r="L280" s="5" t="str">
        <f ca="1">IFERROR(__xludf.DUMMYFUNCTION("""COMPUTED_VALUE"""),"Maquinaria")</f>
        <v>Maquinaria</v>
      </c>
      <c r="M280" s="5" t="str">
        <f ca="1">IFERROR(__xludf.DUMMYFUNCTION("""COMPUTED_VALUE"""),"No")</f>
        <v>No</v>
      </c>
      <c r="N280" s="5"/>
      <c r="O280" s="5"/>
      <c r="P280" s="18">
        <f ca="1">IFERROR(__xludf.DUMMYFUNCTION("""COMPUTED_VALUE"""),45324)</f>
        <v>45324</v>
      </c>
      <c r="Q280" s="18">
        <f ca="1">IFERROR(__xludf.DUMMYFUNCTION("""COMPUTED_VALUE"""),45324)</f>
        <v>45324</v>
      </c>
      <c r="R280" s="18"/>
      <c r="S280" s="5">
        <f ca="1">IFERROR(__xludf.DUMMYFUNCTION("""COMPUTED_VALUE"""),8)</f>
        <v>8</v>
      </c>
      <c r="T280" s="5"/>
      <c r="U280" s="5" t="str">
        <f ca="1">IFERROR(__xludf.DUMMYFUNCTION("""COMPUTED_VALUE"""),"Franco Castillo Brayan Steven")</f>
        <v>Franco Castillo Brayan Steven</v>
      </c>
      <c r="V280" s="5"/>
      <c r="W280" s="5" t="str">
        <f ca="1">IFERROR(__xludf.DUMMYFUNCTION("""COMPUTED_VALUE"""),"EZCWjwzmc3c")</f>
        <v>EZCWjwzmc3c</v>
      </c>
      <c r="X280" s="5">
        <f ca="1">IFERROR(__xludf.DUMMYFUNCTION("""COMPUTED_VALUE"""),8)</f>
        <v>8</v>
      </c>
      <c r="Y280" s="5" t="str">
        <f t="shared" si="2"/>
        <v>Actividad sin realizar</v>
      </c>
      <c r="Z280" s="3">
        <f ca="1">IFERROR(VLOOKUP(U280, 'Base de datos'!A:B, 2, FALSE), "")</f>
        <v>573053427911</v>
      </c>
      <c r="AA280" s="4" t="e">
        <f t="shared" ca="1" si="3"/>
        <v>#NAME?</v>
      </c>
    </row>
    <row r="281" spans="1:27" ht="15.75" customHeight="1">
      <c r="A281" s="5" t="str">
        <f ca="1">IFERROR(__xludf.DUMMYFUNCTION("""COMPUTED_VALUE"""),"POSTOBÓN YUMBO")</f>
        <v>POSTOBÓN YUMBO</v>
      </c>
      <c r="B281" s="5" t="str">
        <f ca="1">IFERROR(__xludf.DUMMYFUNCTION("""COMPUTED_VALUE"""),"0410-TALLER MANTTO PLANTA")</f>
        <v>0410-TALLER MANTTO PLANTA</v>
      </c>
      <c r="C281" s="5" t="str">
        <f ca="1">IFERROR(__xludf.DUMMYFUNCTION("""COMPUTED_VALUE"""),"TALLER MANTENIMIENTO EQUIPOS DE PLANTA")</f>
        <v>TALLER MANTENIMIENTO EQUIPOS DE PLANTA</v>
      </c>
      <c r="D281" s="5">
        <f ca="1">IFERROR(__xludf.DUMMYFUNCTION("""COMPUTED_VALUE"""),207027)</f>
        <v>207027</v>
      </c>
      <c r="E281" s="5" t="str">
        <f ca="1">IFERROR(__xludf.DUMMYFUNCTION("""COMPUTED_VALUE"""),"TALLER INDUSTRIAL MANTENIMIENTO PLANTA")</f>
        <v>TALLER INDUSTRIAL MANTENIMIENTO PLANTA</v>
      </c>
      <c r="F281" s="5">
        <f ca="1">IFERROR(__xludf.DUMMYFUNCTION("""COMPUTED_VALUE"""),37881)</f>
        <v>37881</v>
      </c>
      <c r="G281" s="5" t="str">
        <f ca="1">IFERROR(__xludf.DUMMYFUNCTION("""COMPUTED_VALUE"""),"INSPECCION SEMANAL TALLER INDUSTRIAL MAN")</f>
        <v>INSPECCION SEMANAL TALLER INDUSTRIAL MAN</v>
      </c>
      <c r="H281" s="5">
        <f ca="1">IFERROR(__xludf.DUMMYFUNCTION("""COMPUTED_VALUE"""),13232779)</f>
        <v>13232779</v>
      </c>
      <c r="I281" s="5" t="str">
        <f ca="1">IFERROR(__xludf.DUMMYFUNCTION("""COMPUTED_VALUE"""),"MATERIALES PARA LABORES MANTENIMIENTO")</f>
        <v>MATERIALES PARA LABORES MANTENIMIENTO</v>
      </c>
      <c r="J281" s="5" t="str">
        <f ca="1">IFERROR(__xludf.DUMMYFUNCTION("""COMPUTED_VALUE"""),"MEDIO")</f>
        <v>MEDIO</v>
      </c>
      <c r="K281" s="5" t="str">
        <f ca="1">IFERROR(__xludf.DUMMYFUNCTION("""COMPUTED_VALUE"""),"Preventivo")</f>
        <v>Preventivo</v>
      </c>
      <c r="L281" s="5" t="str">
        <f ca="1">IFERROR(__xludf.DUMMYFUNCTION("""COMPUTED_VALUE"""),"Maquinaria")</f>
        <v>Maquinaria</v>
      </c>
      <c r="M281" s="5" t="str">
        <f ca="1">IFERROR(__xludf.DUMMYFUNCTION("""COMPUTED_VALUE"""),"No")</f>
        <v>No</v>
      </c>
      <c r="N281" s="5"/>
      <c r="O281" s="5"/>
      <c r="P281" s="18">
        <f ca="1">IFERROR(__xludf.DUMMYFUNCTION("""COMPUTED_VALUE"""),45325)</f>
        <v>45325</v>
      </c>
      <c r="Q281" s="18">
        <f ca="1">IFERROR(__xludf.DUMMYFUNCTION("""COMPUTED_VALUE"""),45325)</f>
        <v>45325</v>
      </c>
      <c r="R281" s="18"/>
      <c r="S281" s="5">
        <f ca="1">IFERROR(__xludf.DUMMYFUNCTION("""COMPUTED_VALUE"""),2.5)</f>
        <v>2.5</v>
      </c>
      <c r="T281" s="5"/>
      <c r="U281" s="5" t="str">
        <f ca="1">IFERROR(__xludf.DUMMYFUNCTION("""COMPUTED_VALUE"""),"Martinez Carlos")</f>
        <v>Martinez Carlos</v>
      </c>
      <c r="V281" s="5"/>
      <c r="W281" s="5" t="str">
        <f ca="1">IFERROR(__xludf.DUMMYFUNCTION("""COMPUTED_VALUE"""),"Db0cAHao4Jw")</f>
        <v>Db0cAHao4Jw</v>
      </c>
      <c r="X281" s="5">
        <f ca="1">IFERROR(__xludf.DUMMYFUNCTION("""COMPUTED_VALUE"""),2.5)</f>
        <v>2.5</v>
      </c>
      <c r="Y281" s="5" t="str">
        <f t="shared" si="2"/>
        <v>Actividad sin realizar</v>
      </c>
      <c r="Z281" s="3">
        <f ca="1">IFERROR(VLOOKUP(U281, 'Base de datos'!A:B, 2, FALSE), "")</f>
        <v>573113563903</v>
      </c>
      <c r="AA281" s="4" t="e">
        <f t="shared" ca="1" si="3"/>
        <v>#NAME?</v>
      </c>
    </row>
    <row r="282" spans="1:27" ht="15.75" customHeight="1">
      <c r="A282" s="5" t="str">
        <f ca="1">IFERROR(__xludf.DUMMYFUNCTION("""COMPUTED_VALUE"""),"POSTOBÓN YUMBO")</f>
        <v>POSTOBÓN YUMBO</v>
      </c>
      <c r="B282" s="5" t="str">
        <f ca="1">IFERROR(__xludf.DUMMYFUNCTION("""COMPUTED_VALUE"""),"0410-LINEA 1")</f>
        <v>0410-LINEA 1</v>
      </c>
      <c r="C282" s="5" t="str">
        <f ca="1">IFERROR(__xludf.DUMMYFUNCTION("""COMPUTED_VALUE"""),"LINEA DE ENVASADO PET NO RETORNABLE")</f>
        <v>LINEA DE ENVASADO PET NO RETORNABLE</v>
      </c>
      <c r="D282" s="5">
        <f ca="1">IFERROR(__xludf.DUMMYFUNCTION("""COMPUTED_VALUE"""),820071)</f>
        <v>820071</v>
      </c>
      <c r="E282" s="5" t="str">
        <f ca="1">IFERROR(__xludf.DUMMYFUNCTION("""COMPUTED_VALUE"""),"ETIQUETADORA")</f>
        <v>ETIQUETADORA</v>
      </c>
      <c r="F282" s="5">
        <f ca="1">IFERROR(__xludf.DUMMYFUNCTION("""COMPUTED_VALUE"""),14083)</f>
        <v>14083</v>
      </c>
      <c r="G282" s="5" t="str">
        <f ca="1">IFERROR(__xludf.DUMMYFUNCTION("""COMPUTED_VALUE"""),"MTTO MEC ETIQUETADORA L1 820071")</f>
        <v>MTTO MEC ETIQUETADORA L1 820071</v>
      </c>
      <c r="H282" s="5">
        <f ca="1">IFERROR(__xludf.DUMMYFUNCTION("""COMPUTED_VALUE"""),13238371)</f>
        <v>13238371</v>
      </c>
      <c r="I282" s="5" t="str">
        <f ca="1">IFERROR(__xludf.DUMMYFUNCTION("""COMPUTED_VALUE"""),"Conjunto de encolado:")</f>
        <v>Conjunto de encolado:</v>
      </c>
      <c r="J282" s="5" t="str">
        <f ca="1">IFERROR(__xludf.DUMMYFUNCTION("""COMPUTED_VALUE"""),"MEDIO")</f>
        <v>MEDIO</v>
      </c>
      <c r="K282" s="5" t="str">
        <f ca="1">IFERROR(__xludf.DUMMYFUNCTION("""COMPUTED_VALUE"""),"Preventivo")</f>
        <v>Preventivo</v>
      </c>
      <c r="L282" s="5" t="str">
        <f ca="1">IFERROR(__xludf.DUMMYFUNCTION("""COMPUTED_VALUE"""),"Maquinaria")</f>
        <v>Maquinaria</v>
      </c>
      <c r="M282" s="5" t="str">
        <f ca="1">IFERROR(__xludf.DUMMYFUNCTION("""COMPUTED_VALUE"""),"No")</f>
        <v>No</v>
      </c>
      <c r="N282" s="5"/>
      <c r="O282" s="5"/>
      <c r="P282" s="18">
        <f ca="1">IFERROR(__xludf.DUMMYFUNCTION("""COMPUTED_VALUE"""),45334)</f>
        <v>45334</v>
      </c>
      <c r="Q282" s="18">
        <f ca="1">IFERROR(__xludf.DUMMYFUNCTION("""COMPUTED_VALUE"""),45334)</f>
        <v>45334</v>
      </c>
      <c r="R282" s="18"/>
      <c r="S282" s="5">
        <f ca="1">IFERROR(__xludf.DUMMYFUNCTION("""COMPUTED_VALUE"""),4)</f>
        <v>4</v>
      </c>
      <c r="T282" s="5"/>
      <c r="U282" s="5" t="str">
        <f ca="1">IFERROR(__xludf.DUMMYFUNCTION("""COMPUTED_VALUE"""),"Sanchez Rodriguez Gerson Andres")</f>
        <v>Sanchez Rodriguez Gerson Andres</v>
      </c>
      <c r="V282" s="5"/>
      <c r="W282" s="5" t="str">
        <f ca="1">IFERROR(__xludf.DUMMYFUNCTION("""COMPUTED_VALUE"""),"NT6y-utyaIs")</f>
        <v>NT6y-utyaIs</v>
      </c>
      <c r="X282" s="5">
        <f ca="1">IFERROR(__xludf.DUMMYFUNCTION("""COMPUTED_VALUE"""),4)</f>
        <v>4</v>
      </c>
      <c r="Y282" s="5" t="str">
        <f t="shared" si="2"/>
        <v>Actividad sin realizar</v>
      </c>
      <c r="Z282" s="3">
        <f ca="1">IFERROR(VLOOKUP(U282, 'Base de datos'!A:B, 2, FALSE), "")</f>
        <v>573112884549</v>
      </c>
      <c r="AA282" s="4" t="e">
        <f t="shared" ca="1" si="3"/>
        <v>#NAME?</v>
      </c>
    </row>
    <row r="283" spans="1:27" ht="15.75" customHeight="1">
      <c r="A283" s="5" t="str">
        <f ca="1">IFERROR(__xludf.DUMMYFUNCTION("""COMPUTED_VALUE"""),"POSTOBÓN YUMBO")</f>
        <v>POSTOBÓN YUMBO</v>
      </c>
      <c r="B283" s="5" t="str">
        <f ca="1">IFERROR(__xludf.DUMMYFUNCTION("""COMPUTED_VALUE"""),"0410-LINEA 2")</f>
        <v>0410-LINEA 2</v>
      </c>
      <c r="C283" s="5" t="str">
        <f ca="1">IFERROR(__xludf.DUMMYFUNCTION("""COMPUTED_VALUE"""),"LINEA DE ENVASADO FAMILIAR Y PRB")</f>
        <v>LINEA DE ENVASADO FAMILIAR Y PRB</v>
      </c>
      <c r="D283" s="5">
        <f ca="1">IFERROR(__xludf.DUMMYFUNCTION("""COMPUTED_VALUE"""),828006)</f>
        <v>828006</v>
      </c>
      <c r="E283" s="5" t="str">
        <f ca="1">IFERROR(__xludf.DUMMYFUNCTION("""COMPUTED_VALUE"""),"EMPACADORA")</f>
        <v>EMPACADORA</v>
      </c>
      <c r="F283" s="5">
        <f ca="1">IFERROR(__xludf.DUMMYFUNCTION("""COMPUTED_VALUE"""),22509)</f>
        <v>22509</v>
      </c>
      <c r="G283" s="5" t="str">
        <f ca="1">IFERROR(__xludf.DUMMYFUNCTION("""COMPUTED_VALUE"""),"PLAN MTTO ELE EMPACADORA 828006 L2")</f>
        <v>PLAN MTTO ELE EMPACADORA 828006 L2</v>
      </c>
      <c r="H283" s="5">
        <f ca="1">IFERROR(__xludf.DUMMYFUNCTION("""COMPUTED_VALUE"""),13232359)</f>
        <v>13232359</v>
      </c>
      <c r="I283" s="5" t="str">
        <f ca="1">IFERROR(__xludf.DUMMYFUNCTION("""COMPUTED_VALUE"""),"Revision Electrovalvulas")</f>
        <v>Revision Electrovalvulas</v>
      </c>
      <c r="J283" s="5" t="str">
        <f ca="1">IFERROR(__xludf.DUMMYFUNCTION("""COMPUTED_VALUE"""),"MEDIO")</f>
        <v>MEDIO</v>
      </c>
      <c r="K283" s="5" t="str">
        <f ca="1">IFERROR(__xludf.DUMMYFUNCTION("""COMPUTED_VALUE"""),"Preventivo")</f>
        <v>Preventivo</v>
      </c>
      <c r="L283" s="5" t="str">
        <f ca="1">IFERROR(__xludf.DUMMYFUNCTION("""COMPUTED_VALUE"""),"Maquinaria")</f>
        <v>Maquinaria</v>
      </c>
      <c r="M283" s="5" t="str">
        <f ca="1">IFERROR(__xludf.DUMMYFUNCTION("""COMPUTED_VALUE"""),"No")</f>
        <v>No</v>
      </c>
      <c r="N283" s="5"/>
      <c r="O283" s="5"/>
      <c r="P283" s="18">
        <f ca="1">IFERROR(__xludf.DUMMYFUNCTION("""COMPUTED_VALUE"""),45343)</f>
        <v>45343</v>
      </c>
      <c r="Q283" s="18">
        <f ca="1">IFERROR(__xludf.DUMMYFUNCTION("""COMPUTED_VALUE"""),45343)</f>
        <v>45343</v>
      </c>
      <c r="R283" s="18"/>
      <c r="S283" s="5">
        <f ca="1">IFERROR(__xludf.DUMMYFUNCTION("""COMPUTED_VALUE"""),4)</f>
        <v>4</v>
      </c>
      <c r="T283" s="5"/>
      <c r="U283" s="5" t="str">
        <f ca="1">IFERROR(__xludf.DUMMYFUNCTION("""COMPUTED_VALUE"""),"Andrés Felipe Pérez Polania")</f>
        <v>Andrés Felipe Pérez Polania</v>
      </c>
      <c r="V283" s="5"/>
      <c r="W283" s="5" t="str">
        <f ca="1">IFERROR(__xludf.DUMMYFUNCTION("""COMPUTED_VALUE"""),"L0QgJqtdgqs")</f>
        <v>L0QgJqtdgqs</v>
      </c>
      <c r="X283" s="5">
        <f ca="1">IFERROR(__xludf.DUMMYFUNCTION("""COMPUTED_VALUE"""),4)</f>
        <v>4</v>
      </c>
      <c r="Y283" s="5" t="str">
        <f t="shared" si="2"/>
        <v>Actividad sin realizar</v>
      </c>
      <c r="Z283" s="3">
        <f ca="1">IFERROR(VLOOKUP(U283, 'Base de datos'!A:B, 2, FALSE), "")</f>
        <v>573186924079</v>
      </c>
      <c r="AA283" s="4" t="e">
        <f t="shared" ca="1" si="3"/>
        <v>#NAME?</v>
      </c>
    </row>
    <row r="284" spans="1:27" ht="15.75" customHeight="1">
      <c r="A284" s="5" t="str">
        <f ca="1">IFERROR(__xludf.DUMMYFUNCTION("""COMPUTED_VALUE"""),"POSTOBÓN YUMBO")</f>
        <v>POSTOBÓN YUMBO</v>
      </c>
      <c r="B284" s="5" t="str">
        <f ca="1">IFERROR(__xludf.DUMMYFUNCTION("""COMPUTED_VALUE"""),"0410-SALA DE JARABE TERMINADO")</f>
        <v>0410-SALA DE JARABE TERMINADO</v>
      </c>
      <c r="C284" s="5" t="str">
        <f ca="1">IFERROR(__xludf.DUMMYFUNCTION("""COMPUTED_VALUE"""),"EQUIPOS PARA PREPARACION DE JARABE")</f>
        <v>EQUIPOS PARA PREPARACION DE JARABE</v>
      </c>
      <c r="D284" s="5">
        <f ca="1">IFERROR(__xludf.DUMMYFUNCTION("""COMPUTED_VALUE"""),69963404)</f>
        <v>69963404</v>
      </c>
      <c r="E284" s="5" t="str">
        <f ca="1">IFERROR(__xludf.DUMMYFUNCTION("""COMPUTED_VALUE"""),"TANQUE DE JARABE")</f>
        <v>TANQUE DE JARABE</v>
      </c>
      <c r="F284" s="5">
        <f ca="1">IFERROR(__xludf.DUMMYFUNCTION("""COMPUTED_VALUE"""),37845)</f>
        <v>37845</v>
      </c>
      <c r="G284" s="5" t="str">
        <f ca="1">IFERROR(__xludf.DUMMYFUNCTION("""COMPUTED_VALUE"""),"INSPECCION SEMANAL TNQUE DE JARABE")</f>
        <v>INSPECCION SEMANAL TNQUE DE JARABE</v>
      </c>
      <c r="H284" s="5">
        <f ca="1">IFERROR(__xludf.DUMMYFUNCTION("""COMPUTED_VALUE"""),13193631)</f>
        <v>13193631</v>
      </c>
      <c r="I284" s="5" t="str">
        <f ca="1">IFERROR(__xludf.DUMMYFUNCTION("""COMPUTED_VALUE"""),"kit repuesto")</f>
        <v>kit repuesto</v>
      </c>
      <c r="J284" s="5" t="str">
        <f ca="1">IFERROR(__xludf.DUMMYFUNCTION("""COMPUTED_VALUE"""),"ALTO")</f>
        <v>ALTO</v>
      </c>
      <c r="K284" s="5" t="str">
        <f ca="1">IFERROR(__xludf.DUMMYFUNCTION("""COMPUTED_VALUE"""),"Preventivo")</f>
        <v>Preventivo</v>
      </c>
      <c r="L284" s="5" t="str">
        <f ca="1">IFERROR(__xludf.DUMMYFUNCTION("""COMPUTED_VALUE"""),"Maquinaria")</f>
        <v>Maquinaria</v>
      </c>
      <c r="M284" s="5" t="str">
        <f ca="1">IFERROR(__xludf.DUMMYFUNCTION("""COMPUTED_VALUE"""),"No")</f>
        <v>No</v>
      </c>
      <c r="N284" s="5"/>
      <c r="O284" s="5">
        <f ca="1">IFERROR(__xludf.DUMMYFUNCTION("""COMPUTED_VALUE"""),100)</f>
        <v>100</v>
      </c>
      <c r="P284" s="18">
        <f ca="1">IFERROR(__xludf.DUMMYFUNCTION("""COMPUTED_VALUE"""),45325)</f>
        <v>45325</v>
      </c>
      <c r="Q284" s="18">
        <f ca="1">IFERROR(__xludf.DUMMYFUNCTION("""COMPUTED_VALUE"""),45325)</f>
        <v>45325</v>
      </c>
      <c r="R284" s="18"/>
      <c r="S284" s="5">
        <f ca="1">IFERROR(__xludf.DUMMYFUNCTION("""COMPUTED_VALUE"""),1)</f>
        <v>1</v>
      </c>
      <c r="T284" s="5"/>
      <c r="U284" s="5" t="str">
        <f ca="1">IFERROR(__xludf.DUMMYFUNCTION("""COMPUTED_VALUE"""),"Moreno Pernia Bladimir")</f>
        <v>Moreno Pernia Bladimir</v>
      </c>
      <c r="V284" s="5"/>
      <c r="W284" s="5" t="str">
        <f ca="1">IFERROR(__xludf.DUMMYFUNCTION("""COMPUTED_VALUE"""),"aDuyXZ3aUDI")</f>
        <v>aDuyXZ3aUDI</v>
      </c>
      <c r="X284" s="5">
        <f ca="1">IFERROR(__xludf.DUMMYFUNCTION("""COMPUTED_VALUE"""),1)</f>
        <v>1</v>
      </c>
      <c r="Y284" s="5" t="str">
        <f t="shared" ca="1" si="2"/>
        <v>Actividad realizada</v>
      </c>
      <c r="Z284" s="3">
        <f ca="1">IFERROR(VLOOKUP(U284, 'Base de datos'!A:B, 2, FALSE), "")</f>
        <v>573148903137</v>
      </c>
      <c r="AA284" s="4" t="e">
        <f t="shared" ca="1" si="3"/>
        <v>#NAME?</v>
      </c>
    </row>
    <row r="285" spans="1:27" ht="15.75" customHeight="1">
      <c r="A285" s="5" t="str">
        <f ca="1">IFERROR(__xludf.DUMMYFUNCTION("""COMPUTED_VALUE"""),"POSTOBÓN YUMBO")</f>
        <v>POSTOBÓN YUMBO</v>
      </c>
      <c r="B285" s="5" t="str">
        <f ca="1">IFERROR(__xludf.DUMMYFUNCTION("""COMPUTED_VALUE"""),"0410-PLANTA DE AGUA ENVASADO")</f>
        <v>0410-PLANTA DE AGUA ENVASADO</v>
      </c>
      <c r="C285" s="5" t="str">
        <f ca="1">IFERROR(__xludf.DUMMYFUNCTION("""COMPUTED_VALUE"""),"TRATAMIENTO DE AGUA PARA ENVASADO")</f>
        <v>TRATAMIENTO DE AGUA PARA ENVASADO</v>
      </c>
      <c r="D285" s="5">
        <f ca="1">IFERROR(__xludf.DUMMYFUNCTION("""COMPUTED_VALUE"""),709627)</f>
        <v>709627</v>
      </c>
      <c r="E285" s="5" t="str">
        <f ca="1">IFERROR(__xludf.DUMMYFUNCTION("""COMPUTED_VALUE"""),"POZO 1 RIO CAUCA")</f>
        <v>POZO 1 RIO CAUCA</v>
      </c>
      <c r="F285" s="5">
        <f ca="1">IFERROR(__xludf.DUMMYFUNCTION("""COMPUTED_VALUE"""),21759)</f>
        <v>21759</v>
      </c>
      <c r="G285" s="5" t="str">
        <f ca="1">IFERROR(__xludf.DUMMYFUNCTION("""COMPUTED_VALUE"""),"PLAN MTTO MEC POZO 1 RIO CAUCA")</f>
        <v>PLAN MTTO MEC POZO 1 RIO CAUCA</v>
      </c>
      <c r="H285" s="5">
        <f ca="1">IFERROR(__xludf.DUMMYFUNCTION("""COMPUTED_VALUE"""),13185953)</f>
        <v>13185953</v>
      </c>
      <c r="I285" s="5" t="str">
        <f ca="1">IFERROR(__xludf.DUMMYFUNCTION("""COMPUTED_VALUE"""),"REVISION BOMBAS POZO: REVISION PRESION Y")</f>
        <v>REVISION BOMBAS POZO: REVISION PRESION Y</v>
      </c>
      <c r="J285" s="5" t="str">
        <f ca="1">IFERROR(__xludf.DUMMYFUNCTION("""COMPUTED_VALUE"""),"ALTO")</f>
        <v>ALTO</v>
      </c>
      <c r="K285" s="5" t="str">
        <f ca="1">IFERROR(__xludf.DUMMYFUNCTION("""COMPUTED_VALUE"""),"Preventivo")</f>
        <v>Preventivo</v>
      </c>
      <c r="L285" s="5" t="str">
        <f ca="1">IFERROR(__xludf.DUMMYFUNCTION("""COMPUTED_VALUE"""),"Maquinaria")</f>
        <v>Maquinaria</v>
      </c>
      <c r="M285" s="5" t="str">
        <f ca="1">IFERROR(__xludf.DUMMYFUNCTION("""COMPUTED_VALUE"""),"No")</f>
        <v>No</v>
      </c>
      <c r="N285" s="5"/>
      <c r="O285" s="5"/>
      <c r="P285" s="18">
        <f ca="1">IFERROR(__xludf.DUMMYFUNCTION("""COMPUTED_VALUE"""),45329)</f>
        <v>45329</v>
      </c>
      <c r="Q285" s="18">
        <f ca="1">IFERROR(__xludf.DUMMYFUNCTION("""COMPUTED_VALUE"""),45329)</f>
        <v>45329</v>
      </c>
      <c r="R285" s="18"/>
      <c r="S285" s="5">
        <f ca="1">IFERROR(__xludf.DUMMYFUNCTION("""COMPUTED_VALUE"""),0.5)</f>
        <v>0.5</v>
      </c>
      <c r="T285" s="5"/>
      <c r="U285" s="5" t="str">
        <f ca="1">IFERROR(__xludf.DUMMYFUNCTION("""COMPUTED_VALUE"""),"Guzman Palechor Miguel Angel")</f>
        <v>Guzman Palechor Miguel Angel</v>
      </c>
      <c r="V285" s="5"/>
      <c r="W285" s="5" t="str">
        <f ca="1">IFERROR(__xludf.DUMMYFUNCTION("""COMPUTED_VALUE"""),"7HiHfp0snZ8")</f>
        <v>7HiHfp0snZ8</v>
      </c>
      <c r="X285" s="5">
        <f ca="1">IFERROR(__xludf.DUMMYFUNCTION("""COMPUTED_VALUE"""),0.5)</f>
        <v>0.5</v>
      </c>
      <c r="Y285" s="5" t="str">
        <f t="shared" si="2"/>
        <v>Actividad sin realizar</v>
      </c>
      <c r="Z285" s="3">
        <f ca="1">IFERROR(VLOOKUP(U285, 'Base de datos'!A:B, 2, FALSE), "")</f>
        <v>573112422176</v>
      </c>
      <c r="AA285" s="4" t="e">
        <f t="shared" ca="1" si="3"/>
        <v>#NAME?</v>
      </c>
    </row>
    <row r="286" spans="1:27" ht="15.75" customHeight="1">
      <c r="A286" s="5" t="str">
        <f ca="1">IFERROR(__xludf.DUMMYFUNCTION("""COMPUTED_VALUE"""),"POSTOBÓN YUMBO")</f>
        <v>POSTOBÓN YUMBO</v>
      </c>
      <c r="B286" s="5" t="str">
        <f ca="1">IFERROR(__xludf.DUMMYFUNCTION("""COMPUTED_VALUE"""),"0410-ENVASADO JUGOS PET HOT F")</f>
        <v>0410-ENVASADO JUGOS PET HOT F</v>
      </c>
      <c r="C286" s="5" t="str">
        <f ca="1">IFERROR(__xludf.DUMMYFUNCTION("""COMPUTED_VALUE"""),"LINEA DE ENVASADO JUGOS PET HOT FILL")</f>
        <v>LINEA DE ENVASADO JUGOS PET HOT FILL</v>
      </c>
      <c r="D286" s="5">
        <f ca="1">IFERROR(__xludf.DUMMYFUNCTION("""COMPUTED_VALUE"""),900303)</f>
        <v>900303</v>
      </c>
      <c r="E286" s="5" t="str">
        <f ca="1">IFERROR(__xludf.DUMMYFUNCTION("""COMPUTED_VALUE"""),"LLENADORA")</f>
        <v>LLENADORA</v>
      </c>
      <c r="F286" s="5">
        <f ca="1">IFERROR(__xludf.DUMMYFUNCTION("""COMPUTED_VALUE"""),14085)</f>
        <v>14085</v>
      </c>
      <c r="G286" s="5" t="str">
        <f ca="1">IFERROR(__xludf.DUMMYFUNCTION("""COMPUTED_VALUE"""),"MANTENIMIENTO ELEC LLENADORA L8 90030")</f>
        <v>MANTENIMIENTO ELEC LLENADORA L8 90030</v>
      </c>
      <c r="H286" s="5">
        <f ca="1">IFERROR(__xludf.DUMMYFUNCTION("""COMPUTED_VALUE"""),13226501)</f>
        <v>13226501</v>
      </c>
      <c r="I286" s="5" t="str">
        <f ca="1">IFERROR(__xludf.DUMMYFUNCTION("""COMPUTED_VALUE"""),"Accionamientos Servos")</f>
        <v>Accionamientos Servos</v>
      </c>
      <c r="J286" s="5" t="str">
        <f ca="1">IFERROR(__xludf.DUMMYFUNCTION("""COMPUTED_VALUE"""),"ALTO")</f>
        <v>ALTO</v>
      </c>
      <c r="K286" s="5" t="str">
        <f ca="1">IFERROR(__xludf.DUMMYFUNCTION("""COMPUTED_VALUE"""),"Preventivo")</f>
        <v>Preventivo</v>
      </c>
      <c r="L286" s="5" t="str">
        <f ca="1">IFERROR(__xludf.DUMMYFUNCTION("""COMPUTED_VALUE"""),"Maquinaria")</f>
        <v>Maquinaria</v>
      </c>
      <c r="M286" s="5" t="str">
        <f ca="1">IFERROR(__xludf.DUMMYFUNCTION("""COMPUTED_VALUE"""),"No")</f>
        <v>No</v>
      </c>
      <c r="N286" s="5"/>
      <c r="O286" s="5"/>
      <c r="P286" s="18">
        <f ca="1">IFERROR(__xludf.DUMMYFUNCTION("""COMPUTED_VALUE"""),45323)</f>
        <v>45323</v>
      </c>
      <c r="Q286" s="18">
        <f ca="1">IFERROR(__xludf.DUMMYFUNCTION("""COMPUTED_VALUE"""),45323)</f>
        <v>45323</v>
      </c>
      <c r="R286" s="18"/>
      <c r="S286" s="5">
        <f ca="1">IFERROR(__xludf.DUMMYFUNCTION("""COMPUTED_VALUE"""),8)</f>
        <v>8</v>
      </c>
      <c r="T286" s="5"/>
      <c r="U286" s="5" t="str">
        <f ca="1">IFERROR(__xludf.DUMMYFUNCTION("""COMPUTED_VALUE"""),"Franco Castillo Brayan Steven")</f>
        <v>Franco Castillo Brayan Steven</v>
      </c>
      <c r="V286" s="5"/>
      <c r="W286" s="5" t="str">
        <f ca="1">IFERROR(__xludf.DUMMYFUNCTION("""COMPUTED_VALUE"""),"XLr7t9hZYlQ")</f>
        <v>XLr7t9hZYlQ</v>
      </c>
      <c r="X286" s="5">
        <f ca="1">IFERROR(__xludf.DUMMYFUNCTION("""COMPUTED_VALUE"""),8)</f>
        <v>8</v>
      </c>
      <c r="Y286" s="5" t="str">
        <f t="shared" si="2"/>
        <v>Actividad sin realizar</v>
      </c>
      <c r="Z286" s="3">
        <f ca="1">IFERROR(VLOOKUP(U286, 'Base de datos'!A:B, 2, FALSE), "")</f>
        <v>573053427911</v>
      </c>
      <c r="AA286" s="4" t="e">
        <f t="shared" ca="1" si="3"/>
        <v>#NAME?</v>
      </c>
    </row>
    <row r="287" spans="1:27" ht="15.75" customHeight="1">
      <c r="A287" s="5" t="str">
        <f ca="1">IFERROR(__xludf.DUMMYFUNCTION("""COMPUTED_VALUE"""),"POSTOBÓN YUMBO")</f>
        <v>POSTOBÓN YUMBO</v>
      </c>
      <c r="B287" s="5" t="str">
        <f ca="1">IFERROR(__xludf.DUMMYFUNCTION("""COMPUTED_VALUE"""),"0410-CUARTO DE BOMBAS")</f>
        <v>0410-CUARTO DE BOMBAS</v>
      </c>
      <c r="C287" s="5" t="str">
        <f ca="1">IFERROR(__xludf.DUMMYFUNCTION("""COMPUTED_VALUE"""),"BOMBAS DE SERVICIO PROCESO")</f>
        <v>BOMBAS DE SERVICIO PROCESO</v>
      </c>
      <c r="D287" s="5">
        <f ca="1">IFERROR(__xludf.DUMMYFUNCTION("""COMPUTED_VALUE"""),70948905)</f>
        <v>70948905</v>
      </c>
      <c r="E287" s="5" t="str">
        <f ca="1">IFERROR(__xludf.DUMMYFUNCTION("""COMPUTED_VALUE"""),"BOMBA AGUA FILTRO ARENA 1-2-3-8-9")</f>
        <v>BOMBA AGUA FILTRO ARENA 1-2-3-8-9</v>
      </c>
      <c r="F287" s="5">
        <f ca="1">IFERROR(__xludf.DUMMYFUNCTION("""COMPUTED_VALUE"""),20674)</f>
        <v>20674</v>
      </c>
      <c r="G287" s="5" t="str">
        <f ca="1">IFERROR(__xludf.DUMMYFUNCTION("""COMPUTED_VALUE"""),"PLAN MTTO MEC BOMBA AGUA PRODUCT70948905")</f>
        <v>PLAN MTTO MEC BOMBA AGUA PRODUCT70948905</v>
      </c>
      <c r="H287" s="5">
        <f ca="1">IFERROR(__xludf.DUMMYFUNCTION("""COMPUTED_VALUE"""),13141388)</f>
        <v>13141388</v>
      </c>
      <c r="I287" s="5" t="str">
        <f ca="1">IFERROR(__xludf.DUMMYFUNCTION("""COMPUTED_VALUE"""),"Bomba")</f>
        <v>Bomba</v>
      </c>
      <c r="J287" s="5" t="str">
        <f ca="1">IFERROR(__xludf.DUMMYFUNCTION("""COMPUTED_VALUE"""),"ALTO")</f>
        <v>ALTO</v>
      </c>
      <c r="K287" s="5" t="str">
        <f ca="1">IFERROR(__xludf.DUMMYFUNCTION("""COMPUTED_VALUE"""),"Preventivo")</f>
        <v>Preventivo</v>
      </c>
      <c r="L287" s="5" t="str">
        <f ca="1">IFERROR(__xludf.DUMMYFUNCTION("""COMPUTED_VALUE"""),"Maquinaria")</f>
        <v>Maquinaria</v>
      </c>
      <c r="M287" s="5" t="str">
        <f ca="1">IFERROR(__xludf.DUMMYFUNCTION("""COMPUTED_VALUE"""),"No")</f>
        <v>No</v>
      </c>
      <c r="N287" s="5"/>
      <c r="O287" s="5"/>
      <c r="P287" s="18">
        <f ca="1">IFERROR(__xludf.DUMMYFUNCTION("""COMPUTED_VALUE"""),45325)</f>
        <v>45325</v>
      </c>
      <c r="Q287" s="18">
        <f ca="1">IFERROR(__xludf.DUMMYFUNCTION("""COMPUTED_VALUE"""),45325)</f>
        <v>45325</v>
      </c>
      <c r="R287" s="18"/>
      <c r="S287" s="5">
        <f ca="1">IFERROR(__xludf.DUMMYFUNCTION("""COMPUTED_VALUE"""),0.5)</f>
        <v>0.5</v>
      </c>
      <c r="T287" s="5"/>
      <c r="U287" s="5" t="str">
        <f ca="1">IFERROR(__xludf.DUMMYFUNCTION("""COMPUTED_VALUE"""),"John Edier Gomez Zuñiga")</f>
        <v>John Edier Gomez Zuñiga</v>
      </c>
      <c r="V287" s="5"/>
      <c r="W287" s="5" t="str">
        <f ca="1">IFERROR(__xludf.DUMMYFUNCTION("""COMPUTED_VALUE"""),"6ez8IxlHEGs")</f>
        <v>6ez8IxlHEGs</v>
      </c>
      <c r="X287" s="5">
        <f ca="1">IFERROR(__xludf.DUMMYFUNCTION("""COMPUTED_VALUE"""),0.5)</f>
        <v>0.5</v>
      </c>
      <c r="Y287" s="5" t="str">
        <f t="shared" si="2"/>
        <v>Actividad sin realizar</v>
      </c>
      <c r="Z287" s="3">
        <f ca="1">IFERROR(VLOOKUP(U287, 'Base de datos'!A:B, 2, FALSE), "")</f>
        <v>573003678745</v>
      </c>
      <c r="AA287" s="4" t="e">
        <f t="shared" ca="1" si="3"/>
        <v>#NAME?</v>
      </c>
    </row>
    <row r="288" spans="1:27" ht="15.75" customHeight="1">
      <c r="A288" s="5" t="str">
        <f ca="1">IFERROR(__xludf.DUMMYFUNCTION("""COMPUTED_VALUE"""),"POSTOBÓN YUMBO")</f>
        <v>POSTOBÓN YUMBO</v>
      </c>
      <c r="B288" s="5" t="str">
        <f ca="1">IFERROR(__xludf.DUMMYFUNCTION("""COMPUTED_VALUE"""),"0410-ENVASADO JUGOS PET HOT F")</f>
        <v>0410-ENVASADO JUGOS PET HOT F</v>
      </c>
      <c r="C288" s="5" t="str">
        <f ca="1">IFERROR(__xludf.DUMMYFUNCTION("""COMPUTED_VALUE"""),"LINEA DE ENVASADO JUGOS PET HOT FILL")</f>
        <v>LINEA DE ENVASADO JUGOS PET HOT FILL</v>
      </c>
      <c r="D288" s="5">
        <f ca="1">IFERROR(__xludf.DUMMYFUNCTION("""COMPUTED_VALUE"""),900303)</f>
        <v>900303</v>
      </c>
      <c r="E288" s="5" t="str">
        <f ca="1">IFERROR(__xludf.DUMMYFUNCTION("""COMPUTED_VALUE"""),"LLENADORA")</f>
        <v>LLENADORA</v>
      </c>
      <c r="F288" s="5">
        <f ca="1">IFERROR(__xludf.DUMMYFUNCTION("""COMPUTED_VALUE"""),14085)</f>
        <v>14085</v>
      </c>
      <c r="G288" s="5" t="str">
        <f ca="1">IFERROR(__xludf.DUMMYFUNCTION("""COMPUTED_VALUE"""),"MANTENIMIENTO LUB LLENADORA L8 90030")</f>
        <v>MANTENIMIENTO LUB LLENADORA L8 90030</v>
      </c>
      <c r="H288" s="5">
        <f ca="1">IFERROR(__xludf.DUMMYFUNCTION("""COMPUTED_VALUE"""),13226502)</f>
        <v>13226502</v>
      </c>
      <c r="I288" s="5" t="str">
        <f ca="1">IFERROR(__xludf.DUMMYFUNCTION("""COMPUTED_VALUE"""),"Cilindros elevadores:")</f>
        <v>Cilindros elevadores:</v>
      </c>
      <c r="J288" s="5" t="str">
        <f ca="1">IFERROR(__xludf.DUMMYFUNCTION("""COMPUTED_VALUE"""),"ALTO")</f>
        <v>ALTO</v>
      </c>
      <c r="K288" s="5" t="str">
        <f ca="1">IFERROR(__xludf.DUMMYFUNCTION("""COMPUTED_VALUE"""),"Preventivo")</f>
        <v>Preventivo</v>
      </c>
      <c r="L288" s="5" t="str">
        <f ca="1">IFERROR(__xludf.DUMMYFUNCTION("""COMPUTED_VALUE"""),"Maquinaria")</f>
        <v>Maquinaria</v>
      </c>
      <c r="M288" s="5" t="str">
        <f ca="1">IFERROR(__xludf.DUMMYFUNCTION("""COMPUTED_VALUE"""),"No")</f>
        <v>No</v>
      </c>
      <c r="N288" s="5"/>
      <c r="O288" s="5"/>
      <c r="P288" s="18">
        <f ca="1">IFERROR(__xludf.DUMMYFUNCTION("""COMPUTED_VALUE"""),45324)</f>
        <v>45324</v>
      </c>
      <c r="Q288" s="18">
        <f ca="1">IFERROR(__xludf.DUMMYFUNCTION("""COMPUTED_VALUE"""),45324)</f>
        <v>45324</v>
      </c>
      <c r="R288" s="18"/>
      <c r="S288" s="5">
        <f ca="1">IFERROR(__xludf.DUMMYFUNCTION("""COMPUTED_VALUE"""),4)</f>
        <v>4</v>
      </c>
      <c r="T288" s="5"/>
      <c r="U288" s="5" t="str">
        <f ca="1">IFERROR(__xludf.DUMMYFUNCTION("""COMPUTED_VALUE"""),"Franco Castillo Brayan Steven")</f>
        <v>Franco Castillo Brayan Steven</v>
      </c>
      <c r="V288" s="5"/>
      <c r="W288" s="5" t="str">
        <f ca="1">IFERROR(__xludf.DUMMYFUNCTION("""COMPUTED_VALUE"""),"rYdcOkUgR8Y")</f>
        <v>rYdcOkUgR8Y</v>
      </c>
      <c r="X288" s="5">
        <f ca="1">IFERROR(__xludf.DUMMYFUNCTION("""COMPUTED_VALUE"""),4)</f>
        <v>4</v>
      </c>
      <c r="Y288" s="5" t="str">
        <f t="shared" si="2"/>
        <v>Actividad sin realizar</v>
      </c>
      <c r="Z288" s="3">
        <f ca="1">IFERROR(VLOOKUP(U288, 'Base de datos'!A:B, 2, FALSE), "")</f>
        <v>573053427911</v>
      </c>
      <c r="AA288" s="4" t="e">
        <f t="shared" ca="1" si="3"/>
        <v>#NAME?</v>
      </c>
    </row>
    <row r="289" spans="1:27" ht="15.75" customHeight="1">
      <c r="A289" s="5" t="str">
        <f ca="1">IFERROR(__xludf.DUMMYFUNCTION("""COMPUTED_VALUE"""),"POSTOBÓN YUMBO")</f>
        <v>POSTOBÓN YUMBO</v>
      </c>
      <c r="B289" s="5" t="str">
        <f ca="1">IFERROR(__xludf.DUMMYFUNCTION("""COMPUTED_VALUE"""),"0410-PLANTA DE AGUA ENVASADO")</f>
        <v>0410-PLANTA DE AGUA ENVASADO</v>
      </c>
      <c r="C289" s="5" t="str">
        <f ca="1">IFERROR(__xludf.DUMMYFUNCTION("""COMPUTED_VALUE"""),"TRATAMIENTO DE AGUA PARA ENVASADO")</f>
        <v>TRATAMIENTO DE AGUA PARA ENVASADO</v>
      </c>
      <c r="D289" s="5">
        <f ca="1">IFERROR(__xludf.DUMMYFUNCTION("""COMPUTED_VALUE"""),709627)</f>
        <v>709627</v>
      </c>
      <c r="E289" s="5" t="str">
        <f ca="1">IFERROR(__xludf.DUMMYFUNCTION("""COMPUTED_VALUE"""),"POZO 1 RIO CAUCA")</f>
        <v>POZO 1 RIO CAUCA</v>
      </c>
      <c r="F289" s="5">
        <f ca="1">IFERROR(__xludf.DUMMYFUNCTION("""COMPUTED_VALUE"""),21759)</f>
        <v>21759</v>
      </c>
      <c r="G289" s="5" t="str">
        <f ca="1">IFERROR(__xludf.DUMMYFUNCTION("""COMPUTED_VALUE"""),"PLAN MTTO MEC POZO 1 RIO CAUCA")</f>
        <v>PLAN MTTO MEC POZO 1 RIO CAUCA</v>
      </c>
      <c r="H289" s="5">
        <f ca="1">IFERROR(__xludf.DUMMYFUNCTION("""COMPUTED_VALUE"""),13185953)</f>
        <v>13185953</v>
      </c>
      <c r="I289" s="5" t="str">
        <f ca="1">IFERROR(__xludf.DUMMYFUNCTION("""COMPUTED_VALUE"""),"REVISION FUGAS POZO: SE DEBE VERIFICAR")</f>
        <v>REVISION FUGAS POZO: SE DEBE VERIFICAR</v>
      </c>
      <c r="J289" s="5" t="str">
        <f ca="1">IFERROR(__xludf.DUMMYFUNCTION("""COMPUTED_VALUE"""),"ALTO")</f>
        <v>ALTO</v>
      </c>
      <c r="K289" s="5" t="str">
        <f ca="1">IFERROR(__xludf.DUMMYFUNCTION("""COMPUTED_VALUE"""),"Preventivo")</f>
        <v>Preventivo</v>
      </c>
      <c r="L289" s="5" t="str">
        <f ca="1">IFERROR(__xludf.DUMMYFUNCTION("""COMPUTED_VALUE"""),"Maquinaria")</f>
        <v>Maquinaria</v>
      </c>
      <c r="M289" s="5" t="str">
        <f ca="1">IFERROR(__xludf.DUMMYFUNCTION("""COMPUTED_VALUE"""),"No")</f>
        <v>No</v>
      </c>
      <c r="N289" s="5"/>
      <c r="O289" s="5"/>
      <c r="P289" s="18">
        <f ca="1">IFERROR(__xludf.DUMMYFUNCTION("""COMPUTED_VALUE"""),45329)</f>
        <v>45329</v>
      </c>
      <c r="Q289" s="18">
        <f ca="1">IFERROR(__xludf.DUMMYFUNCTION("""COMPUTED_VALUE"""),45329)</f>
        <v>45329</v>
      </c>
      <c r="R289" s="18"/>
      <c r="S289" s="5">
        <f ca="1">IFERROR(__xludf.DUMMYFUNCTION("""COMPUTED_VALUE"""),0.5)</f>
        <v>0.5</v>
      </c>
      <c r="T289" s="5"/>
      <c r="U289" s="5" t="str">
        <f ca="1">IFERROR(__xludf.DUMMYFUNCTION("""COMPUTED_VALUE"""),"Guzman Palechor Miguel Angel")</f>
        <v>Guzman Palechor Miguel Angel</v>
      </c>
      <c r="V289" s="5"/>
      <c r="W289" s="5" t="str">
        <f ca="1">IFERROR(__xludf.DUMMYFUNCTION("""COMPUTED_VALUE"""),"wE-DEeSobAM")</f>
        <v>wE-DEeSobAM</v>
      </c>
      <c r="X289" s="5">
        <f ca="1">IFERROR(__xludf.DUMMYFUNCTION("""COMPUTED_VALUE"""),0.5)</f>
        <v>0.5</v>
      </c>
      <c r="Y289" s="5" t="str">
        <f t="shared" si="2"/>
        <v>Actividad sin realizar</v>
      </c>
      <c r="Z289" s="3">
        <f ca="1">IFERROR(VLOOKUP(U289, 'Base de datos'!A:B, 2, FALSE), "")</f>
        <v>573112422176</v>
      </c>
      <c r="AA289" s="4" t="e">
        <f t="shared" ca="1" si="3"/>
        <v>#NAME?</v>
      </c>
    </row>
    <row r="290" spans="1:27" ht="15.75" customHeight="1">
      <c r="A290" s="5" t="str">
        <f ca="1">IFERROR(__xludf.DUMMYFUNCTION("""COMPUTED_VALUE"""),"POSTOBÓN YUMBO")</f>
        <v>POSTOBÓN YUMBO</v>
      </c>
      <c r="B290" s="5" t="str">
        <f ca="1">IFERROR(__xludf.DUMMYFUNCTION("""COMPUTED_VALUE"""),"0410-CUARTO DE BOMBAS")</f>
        <v>0410-CUARTO DE BOMBAS</v>
      </c>
      <c r="C290" s="5" t="str">
        <f ca="1">IFERROR(__xludf.DUMMYFUNCTION("""COMPUTED_VALUE"""),"BOMBAS DE SERVICIO PROCESO")</f>
        <v>BOMBAS DE SERVICIO PROCESO</v>
      </c>
      <c r="D290" s="5">
        <f ca="1">IFERROR(__xludf.DUMMYFUNCTION("""COMPUTED_VALUE"""),70948912)</f>
        <v>70948912</v>
      </c>
      <c r="E290" s="5" t="str">
        <f ca="1">IFERROR(__xludf.DUMMYFUNCTION("""COMPUTED_VALUE"""),"BOMBA AGUA SERVICIOS EDIFICIOS ADMINIS")</f>
        <v>BOMBA AGUA SERVICIOS EDIFICIOS ADMINIS</v>
      </c>
      <c r="F290" s="5">
        <f ca="1">IFERROR(__xludf.DUMMYFUNCTION("""COMPUTED_VALUE"""),20679)</f>
        <v>20679</v>
      </c>
      <c r="G290" s="5" t="str">
        <f ca="1">IFERROR(__xludf.DUMMYFUNCTION("""COMPUTED_VALUE"""),"PLAN MTTO ELEC BOMBA SERV EDI 70948912")</f>
        <v>PLAN MTTO ELEC BOMBA SERV EDI 70948912</v>
      </c>
      <c r="H290" s="5">
        <f ca="1">IFERROR(__xludf.DUMMYFUNCTION("""COMPUTED_VALUE"""),13207385)</f>
        <v>13207385</v>
      </c>
      <c r="I290" s="5" t="str">
        <f ca="1">IFERROR(__xludf.DUMMYFUNCTION("""COMPUTED_VALUE"""),"Motor Bomba")</f>
        <v>Motor Bomba</v>
      </c>
      <c r="J290" s="5" t="str">
        <f ca="1">IFERROR(__xludf.DUMMYFUNCTION("""COMPUTED_VALUE"""),"ALTO")</f>
        <v>ALTO</v>
      </c>
      <c r="K290" s="5" t="str">
        <f ca="1">IFERROR(__xludf.DUMMYFUNCTION("""COMPUTED_VALUE"""),"Preventivo")</f>
        <v>Preventivo</v>
      </c>
      <c r="L290" s="5" t="str">
        <f ca="1">IFERROR(__xludf.DUMMYFUNCTION("""COMPUTED_VALUE"""),"Maquinaria")</f>
        <v>Maquinaria</v>
      </c>
      <c r="M290" s="5" t="str">
        <f ca="1">IFERROR(__xludf.DUMMYFUNCTION("""COMPUTED_VALUE"""),"No")</f>
        <v>No</v>
      </c>
      <c r="N290" s="5"/>
      <c r="O290" s="5"/>
      <c r="P290" s="18">
        <f ca="1">IFERROR(__xludf.DUMMYFUNCTION("""COMPUTED_VALUE"""),45351)</f>
        <v>45351</v>
      </c>
      <c r="Q290" s="18">
        <f ca="1">IFERROR(__xludf.DUMMYFUNCTION("""COMPUTED_VALUE"""),45351)</f>
        <v>45351</v>
      </c>
      <c r="R290" s="18"/>
      <c r="S290" s="5">
        <f ca="1">IFERROR(__xludf.DUMMYFUNCTION("""COMPUTED_VALUE"""),2)</f>
        <v>2</v>
      </c>
      <c r="T290" s="5"/>
      <c r="U290" s="5" t="str">
        <f ca="1">IFERROR(__xludf.DUMMYFUNCTION("""COMPUTED_VALUE"""),"John Edier Gomez Zuñiga")</f>
        <v>John Edier Gomez Zuñiga</v>
      </c>
      <c r="V290" s="5"/>
      <c r="W290" s="5" t="str">
        <f ca="1">IFERROR(__xludf.DUMMYFUNCTION("""COMPUTED_VALUE"""),"P09Ih_7L9P0")</f>
        <v>P09Ih_7L9P0</v>
      </c>
      <c r="X290" s="5">
        <f ca="1">IFERROR(__xludf.DUMMYFUNCTION("""COMPUTED_VALUE"""),2)</f>
        <v>2</v>
      </c>
      <c r="Y290" s="5" t="str">
        <f t="shared" si="2"/>
        <v>Actividad sin realizar</v>
      </c>
      <c r="Z290" s="3">
        <f ca="1">IFERROR(VLOOKUP(U290, 'Base de datos'!A:B, 2, FALSE), "")</f>
        <v>573003678745</v>
      </c>
      <c r="AA290" s="4" t="e">
        <f t="shared" ca="1" si="3"/>
        <v>#NAME?</v>
      </c>
    </row>
    <row r="291" spans="1:27" ht="15.75" customHeight="1">
      <c r="A291" s="5" t="str">
        <f ca="1">IFERROR(__xludf.DUMMYFUNCTION("""COMPUTED_VALUE"""),"POSTOBÓN YUMBO")</f>
        <v>POSTOBÓN YUMBO</v>
      </c>
      <c r="B291" s="5" t="str">
        <f ca="1">IFERROR(__xludf.DUMMYFUNCTION("""COMPUTED_VALUE"""),"0410-CUARTO DE BOMBAS")</f>
        <v>0410-CUARTO DE BOMBAS</v>
      </c>
      <c r="C291" s="5" t="str">
        <f ca="1">IFERROR(__xludf.DUMMYFUNCTION("""COMPUTED_VALUE"""),"BOMBAS DE SERVICIO PROCESO")</f>
        <v>BOMBAS DE SERVICIO PROCESO</v>
      </c>
      <c r="D291" s="5">
        <f ca="1">IFERROR(__xludf.DUMMYFUNCTION("""COMPUTED_VALUE"""),70948901)</f>
        <v>70948901</v>
      </c>
      <c r="E291" s="5" t="str">
        <f ca="1">IFERROR(__xludf.DUMMYFUNCTION("""COMPUTED_VALUE"""),"BOMBA AGUA FILTRO ARENA 6-7-10")</f>
        <v>BOMBA AGUA FILTRO ARENA 6-7-10</v>
      </c>
      <c r="F291" s="5">
        <f ca="1">IFERROR(__xludf.DUMMYFUNCTION("""COMPUTED_VALUE"""),20726)</f>
        <v>20726</v>
      </c>
      <c r="G291" s="5" t="str">
        <f ca="1">IFERROR(__xludf.DUMMYFUNCTION("""COMPUTED_VALUE"""),"PLAN MTTO ELE BOMBA AGUA SUAVIZ 70948901")</f>
        <v>PLAN MTTO ELE BOMBA AGUA SUAVIZ 70948901</v>
      </c>
      <c r="H291" s="5">
        <f ca="1">IFERROR(__xludf.DUMMYFUNCTION("""COMPUTED_VALUE"""),13207391)</f>
        <v>13207391</v>
      </c>
      <c r="I291" s="5" t="str">
        <f ca="1">IFERROR(__xludf.DUMMYFUNCTION("""COMPUTED_VALUE"""),"Motor Bomba")</f>
        <v>Motor Bomba</v>
      </c>
      <c r="J291" s="5" t="str">
        <f ca="1">IFERROR(__xludf.DUMMYFUNCTION("""COMPUTED_VALUE"""),"ALTO")</f>
        <v>ALTO</v>
      </c>
      <c r="K291" s="5" t="str">
        <f ca="1">IFERROR(__xludf.DUMMYFUNCTION("""COMPUTED_VALUE"""),"Preventivo")</f>
        <v>Preventivo</v>
      </c>
      <c r="L291" s="5" t="str">
        <f ca="1">IFERROR(__xludf.DUMMYFUNCTION("""COMPUTED_VALUE"""),"Maquinaria")</f>
        <v>Maquinaria</v>
      </c>
      <c r="M291" s="5" t="str">
        <f ca="1">IFERROR(__xludf.DUMMYFUNCTION("""COMPUTED_VALUE"""),"No")</f>
        <v>No</v>
      </c>
      <c r="N291" s="5"/>
      <c r="O291" s="5"/>
      <c r="P291" s="18">
        <f ca="1">IFERROR(__xludf.DUMMYFUNCTION("""COMPUTED_VALUE"""),45350)</f>
        <v>45350</v>
      </c>
      <c r="Q291" s="18">
        <f ca="1">IFERROR(__xludf.DUMMYFUNCTION("""COMPUTED_VALUE"""),45350)</f>
        <v>45350</v>
      </c>
      <c r="R291" s="18"/>
      <c r="S291" s="5">
        <f ca="1">IFERROR(__xludf.DUMMYFUNCTION("""COMPUTED_VALUE"""),2)</f>
        <v>2</v>
      </c>
      <c r="T291" s="5"/>
      <c r="U291" s="5" t="str">
        <f ca="1">IFERROR(__xludf.DUMMYFUNCTION("""COMPUTED_VALUE"""),"John Edier Gomez Zuñiga")</f>
        <v>John Edier Gomez Zuñiga</v>
      </c>
      <c r="V291" s="5"/>
      <c r="W291" s="5" t="str">
        <f ca="1">IFERROR(__xludf.DUMMYFUNCTION("""COMPUTED_VALUE"""),"wXdCI0Pwxxo")</f>
        <v>wXdCI0Pwxxo</v>
      </c>
      <c r="X291" s="5">
        <f ca="1">IFERROR(__xludf.DUMMYFUNCTION("""COMPUTED_VALUE"""),2)</f>
        <v>2</v>
      </c>
      <c r="Y291" s="5" t="str">
        <f t="shared" si="2"/>
        <v>Actividad sin realizar</v>
      </c>
      <c r="Z291" s="3">
        <f ca="1">IFERROR(VLOOKUP(U291, 'Base de datos'!A:B, 2, FALSE), "")</f>
        <v>573003678745</v>
      </c>
      <c r="AA291" s="4" t="e">
        <f t="shared" ca="1" si="3"/>
        <v>#NAME?</v>
      </c>
    </row>
    <row r="292" spans="1:27" ht="15.75" customHeight="1">
      <c r="A292" s="5" t="str">
        <f ca="1">IFERROR(__xludf.DUMMYFUNCTION("""COMPUTED_VALUE"""),"POSTOBÓN YUMBO")</f>
        <v>POSTOBÓN YUMBO</v>
      </c>
      <c r="B292" s="5" t="str">
        <f ca="1">IFERROR(__xludf.DUMMYFUNCTION("""COMPUTED_VALUE"""),"0410-ENVASADO JUGOS PET HOT F")</f>
        <v>0410-ENVASADO JUGOS PET HOT F</v>
      </c>
      <c r="C292" s="5" t="str">
        <f ca="1">IFERROR(__xludf.DUMMYFUNCTION("""COMPUTED_VALUE"""),"LINEA DE ENVASADO JUGOS PET HOT FILL")</f>
        <v>LINEA DE ENVASADO JUGOS PET HOT FILL</v>
      </c>
      <c r="D292" s="5">
        <f ca="1">IFERROR(__xludf.DUMMYFUNCTION("""COMPUTED_VALUE"""),739537)</f>
        <v>739537</v>
      </c>
      <c r="E292" s="5" t="str">
        <f ca="1">IFERROR(__xludf.DUMMYFUNCTION("""COMPUTED_VALUE"""),"TERMOFORMADO PAQUETES")</f>
        <v>TERMOFORMADO PAQUETES</v>
      </c>
      <c r="F292" s="5">
        <f ca="1">IFERROR(__xludf.DUMMYFUNCTION("""COMPUTED_VALUE"""),22584)</f>
        <v>22584</v>
      </c>
      <c r="G292" s="5" t="str">
        <f ca="1">IFERROR(__xludf.DUMMYFUNCTION("""COMPUTED_VALUE"""),"PLAN MTTO ELE HORNO ENFARDAD 739537 L8")</f>
        <v>PLAN MTTO ELE HORNO ENFARDAD 739537 L8</v>
      </c>
      <c r="H292" s="5">
        <f ca="1">IFERROR(__xludf.DUMMYFUNCTION("""COMPUTED_VALUE"""),13247210)</f>
        <v>13247210</v>
      </c>
      <c r="I292" s="5" t="str">
        <f ca="1">IFERROR(__xludf.DUMMYFUNCTION("""COMPUTED_VALUE"""),"Tablero electrico:")</f>
        <v>Tablero electrico:</v>
      </c>
      <c r="J292" s="5" t="str">
        <f ca="1">IFERROR(__xludf.DUMMYFUNCTION("""COMPUTED_VALUE"""),"MEDIO")</f>
        <v>MEDIO</v>
      </c>
      <c r="K292" s="5" t="str">
        <f ca="1">IFERROR(__xludf.DUMMYFUNCTION("""COMPUTED_VALUE"""),"Preventivo")</f>
        <v>Preventivo</v>
      </c>
      <c r="L292" s="5" t="str">
        <f ca="1">IFERROR(__xludf.DUMMYFUNCTION("""COMPUTED_VALUE"""),"Maquinaria")</f>
        <v>Maquinaria</v>
      </c>
      <c r="M292" s="5" t="str">
        <f ca="1">IFERROR(__xludf.DUMMYFUNCTION("""COMPUTED_VALUE"""),"No")</f>
        <v>No</v>
      </c>
      <c r="N292" s="5"/>
      <c r="O292" s="5"/>
      <c r="P292" s="18">
        <f ca="1">IFERROR(__xludf.DUMMYFUNCTION("""COMPUTED_VALUE"""),45350)</f>
        <v>45350</v>
      </c>
      <c r="Q292" s="18">
        <f ca="1">IFERROR(__xludf.DUMMYFUNCTION("""COMPUTED_VALUE"""),45350)</f>
        <v>45350</v>
      </c>
      <c r="R292" s="18"/>
      <c r="S292" s="5">
        <f ca="1">IFERROR(__xludf.DUMMYFUNCTION("""COMPUTED_VALUE"""),4)</f>
        <v>4</v>
      </c>
      <c r="T292" s="5"/>
      <c r="U292" s="5" t="str">
        <f ca="1">IFERROR(__xludf.DUMMYFUNCTION("""COMPUTED_VALUE"""),"Lopez Correa Jonathan")</f>
        <v>Lopez Correa Jonathan</v>
      </c>
      <c r="V292" s="5"/>
      <c r="W292" s="5" t="str">
        <f ca="1">IFERROR(__xludf.DUMMYFUNCTION("""COMPUTED_VALUE"""),"EzZClLVD4Yw")</f>
        <v>EzZClLVD4Yw</v>
      </c>
      <c r="X292" s="5">
        <f ca="1">IFERROR(__xludf.DUMMYFUNCTION("""COMPUTED_VALUE"""),4)</f>
        <v>4</v>
      </c>
      <c r="Y292" s="5" t="str">
        <f t="shared" si="2"/>
        <v>Actividad sin realizar</v>
      </c>
      <c r="Z292" s="3">
        <f ca="1">IFERROR(VLOOKUP(U292, 'Base de datos'!A:B, 2, FALSE), "")</f>
        <v>573215267623</v>
      </c>
      <c r="AA292" s="4" t="e">
        <f t="shared" ca="1" si="3"/>
        <v>#NAME?</v>
      </c>
    </row>
    <row r="293" spans="1:27" ht="15.75" customHeight="1">
      <c r="A293" s="5" t="str">
        <f ca="1">IFERROR(__xludf.DUMMYFUNCTION("""COMPUTED_VALUE"""),"POSTOBÓN YUMBO")</f>
        <v>POSTOBÓN YUMBO</v>
      </c>
      <c r="B293" s="5" t="str">
        <f ca="1">IFERROR(__xludf.DUMMYFUNCTION("""COMPUTED_VALUE"""),"0410-CUARTO DE BOMBAS")</f>
        <v>0410-CUARTO DE BOMBAS</v>
      </c>
      <c r="C293" s="5" t="str">
        <f ca="1">IFERROR(__xludf.DUMMYFUNCTION("""COMPUTED_VALUE"""),"BOMBAS DE SERVICIO PROCESO")</f>
        <v>BOMBAS DE SERVICIO PROCESO</v>
      </c>
      <c r="D293" s="5">
        <f ca="1">IFERROR(__xludf.DUMMYFUNCTION("""COMPUTED_VALUE"""),70948906)</f>
        <v>70948906</v>
      </c>
      <c r="E293" s="5" t="str">
        <f ca="1">IFERROR(__xludf.DUMMYFUNCTION("""COMPUTED_VALUE"""),"BOMBA AGUA FILTRO ARENA 1-2-3-8-9")</f>
        <v>BOMBA AGUA FILTRO ARENA 1-2-3-8-9</v>
      </c>
      <c r="F293" s="5">
        <f ca="1">IFERROR(__xludf.DUMMYFUNCTION("""COMPUTED_VALUE"""),20675)</f>
        <v>20675</v>
      </c>
      <c r="G293" s="5" t="str">
        <f ca="1">IFERROR(__xludf.DUMMYFUNCTION("""COMPUTED_VALUE"""),"PLAN MTTO ELE BOMBA AGUA PRODUCT70948906")</f>
        <v>PLAN MTTO ELE BOMBA AGUA PRODUCT70948906</v>
      </c>
      <c r="H293" s="5">
        <f ca="1">IFERROR(__xludf.DUMMYFUNCTION("""COMPUTED_VALUE"""),13207381)</f>
        <v>13207381</v>
      </c>
      <c r="I293" s="5" t="str">
        <f ca="1">IFERROR(__xludf.DUMMYFUNCTION("""COMPUTED_VALUE"""),"Motor Bomba")</f>
        <v>Motor Bomba</v>
      </c>
      <c r="J293" s="5" t="str">
        <f ca="1">IFERROR(__xludf.DUMMYFUNCTION("""COMPUTED_VALUE"""),"ALTO")</f>
        <v>ALTO</v>
      </c>
      <c r="K293" s="5" t="str">
        <f ca="1">IFERROR(__xludf.DUMMYFUNCTION("""COMPUTED_VALUE"""),"Preventivo")</f>
        <v>Preventivo</v>
      </c>
      <c r="L293" s="5" t="str">
        <f ca="1">IFERROR(__xludf.DUMMYFUNCTION("""COMPUTED_VALUE"""),"Maquinaria")</f>
        <v>Maquinaria</v>
      </c>
      <c r="M293" s="5" t="str">
        <f ca="1">IFERROR(__xludf.DUMMYFUNCTION("""COMPUTED_VALUE"""),"No")</f>
        <v>No</v>
      </c>
      <c r="N293" s="5"/>
      <c r="O293" s="5"/>
      <c r="P293" s="18">
        <f ca="1">IFERROR(__xludf.DUMMYFUNCTION("""COMPUTED_VALUE"""),45351)</f>
        <v>45351</v>
      </c>
      <c r="Q293" s="18">
        <f ca="1">IFERROR(__xludf.DUMMYFUNCTION("""COMPUTED_VALUE"""),45351)</f>
        <v>45351</v>
      </c>
      <c r="R293" s="18"/>
      <c r="S293" s="5">
        <f ca="1">IFERROR(__xludf.DUMMYFUNCTION("""COMPUTED_VALUE"""),2)</f>
        <v>2</v>
      </c>
      <c r="T293" s="5"/>
      <c r="U293" s="5" t="str">
        <f ca="1">IFERROR(__xludf.DUMMYFUNCTION("""COMPUTED_VALUE"""),"John Edier Gomez Zuñiga")</f>
        <v>John Edier Gomez Zuñiga</v>
      </c>
      <c r="V293" s="5"/>
      <c r="W293" s="5" t="str">
        <f ca="1">IFERROR(__xludf.DUMMYFUNCTION("""COMPUTED_VALUE"""),"p8fSeGoeDPM")</f>
        <v>p8fSeGoeDPM</v>
      </c>
      <c r="X293" s="5">
        <f ca="1">IFERROR(__xludf.DUMMYFUNCTION("""COMPUTED_VALUE"""),2)</f>
        <v>2</v>
      </c>
      <c r="Y293" s="5" t="str">
        <f t="shared" si="2"/>
        <v>Actividad sin realizar</v>
      </c>
      <c r="Z293" s="3">
        <f ca="1">IFERROR(VLOOKUP(U293, 'Base de datos'!A:B, 2, FALSE), "")</f>
        <v>573003678745</v>
      </c>
      <c r="AA293" s="4" t="e">
        <f t="shared" ca="1" si="3"/>
        <v>#NAME?</v>
      </c>
    </row>
    <row r="294" spans="1:27" ht="15.75" customHeight="1">
      <c r="A294" s="5" t="str">
        <f ca="1">IFERROR(__xludf.DUMMYFUNCTION("""COMPUTED_VALUE"""),"POSTOBÓN YUMBO")</f>
        <v>POSTOBÓN YUMBO</v>
      </c>
      <c r="B294" s="5" t="str">
        <f ca="1">IFERROR(__xludf.DUMMYFUNCTION("""COMPUTED_VALUE"""),"0410-SALA DE JARABE TERMINADO")</f>
        <v>0410-SALA DE JARABE TERMINADO</v>
      </c>
      <c r="C294" s="5" t="str">
        <f ca="1">IFERROR(__xludf.DUMMYFUNCTION("""COMPUTED_VALUE"""),"EQUIPOS PARA PREPARACION DE JARABE")</f>
        <v>EQUIPOS PARA PREPARACION DE JARABE</v>
      </c>
      <c r="D294" s="5">
        <f ca="1">IFERROR(__xludf.DUMMYFUNCTION("""COMPUTED_VALUE"""),69963404)</f>
        <v>69963404</v>
      </c>
      <c r="E294" s="5" t="str">
        <f ca="1">IFERROR(__xludf.DUMMYFUNCTION("""COMPUTED_VALUE"""),"TANQUE DE JARABE")</f>
        <v>TANQUE DE JARABE</v>
      </c>
      <c r="F294" s="5">
        <f ca="1">IFERROR(__xludf.DUMMYFUNCTION("""COMPUTED_VALUE"""),17361)</f>
        <v>17361</v>
      </c>
      <c r="G294" s="5" t="str">
        <f ca="1">IFERROR(__xludf.DUMMYFUNCTION("""COMPUTED_VALUE"""),"MTTO MEC TK JARABE 1 JARABE TERMINADO")</f>
        <v>MTTO MEC TK JARABE 1 JARABE TERMINADO</v>
      </c>
      <c r="H294" s="5">
        <f ca="1">IFERROR(__xludf.DUMMYFUNCTION("""COMPUTED_VALUE"""),13247146)</f>
        <v>13247146</v>
      </c>
      <c r="I294" s="5" t="str">
        <f ca="1">IFERROR(__xludf.DUMMYFUNCTION("""COMPUTED_VALUE"""),"BOMBA DE RECIRCULACION:")</f>
        <v>BOMBA DE RECIRCULACION:</v>
      </c>
      <c r="J294" s="5" t="str">
        <f ca="1">IFERROR(__xludf.DUMMYFUNCTION("""COMPUTED_VALUE"""),"ALTO")</f>
        <v>ALTO</v>
      </c>
      <c r="K294" s="5" t="str">
        <f ca="1">IFERROR(__xludf.DUMMYFUNCTION("""COMPUTED_VALUE"""),"Preventivo")</f>
        <v>Preventivo</v>
      </c>
      <c r="L294" s="5" t="str">
        <f ca="1">IFERROR(__xludf.DUMMYFUNCTION("""COMPUTED_VALUE"""),"Maquinaria")</f>
        <v>Maquinaria</v>
      </c>
      <c r="M294" s="5" t="str">
        <f ca="1">IFERROR(__xludf.DUMMYFUNCTION("""COMPUTED_VALUE"""),"No")</f>
        <v>No</v>
      </c>
      <c r="N294" s="5"/>
      <c r="O294" s="5">
        <f ca="1">IFERROR(__xludf.DUMMYFUNCTION("""COMPUTED_VALUE"""),100)</f>
        <v>100</v>
      </c>
      <c r="P294" s="18">
        <f ca="1">IFERROR(__xludf.DUMMYFUNCTION("""COMPUTED_VALUE"""),45342)</f>
        <v>45342</v>
      </c>
      <c r="Q294" s="18">
        <f ca="1">IFERROR(__xludf.DUMMYFUNCTION("""COMPUTED_VALUE"""),45342)</f>
        <v>45342</v>
      </c>
      <c r="R294" s="18"/>
      <c r="S294" s="5">
        <f ca="1">IFERROR(__xludf.DUMMYFUNCTION("""COMPUTED_VALUE"""),1)</f>
        <v>1</v>
      </c>
      <c r="T294" s="5"/>
      <c r="U294" s="5" t="str">
        <f ca="1">IFERROR(__xludf.DUMMYFUNCTION("""COMPUTED_VALUE"""),"Moreno Pernia Bladimir")</f>
        <v>Moreno Pernia Bladimir</v>
      </c>
      <c r="V294" s="5"/>
      <c r="W294" s="5" t="str">
        <f ca="1">IFERROR(__xludf.DUMMYFUNCTION("""COMPUTED_VALUE"""),"eGG-e7A6ZEE")</f>
        <v>eGG-e7A6ZEE</v>
      </c>
      <c r="X294" s="5">
        <f ca="1">IFERROR(__xludf.DUMMYFUNCTION("""COMPUTED_VALUE"""),1)</f>
        <v>1</v>
      </c>
      <c r="Y294" s="5" t="str">
        <f t="shared" ca="1" si="2"/>
        <v>Actividad realizada</v>
      </c>
      <c r="Z294" s="3">
        <f ca="1">IFERROR(VLOOKUP(U294, 'Base de datos'!A:B, 2, FALSE), "")</f>
        <v>573148903137</v>
      </c>
      <c r="AA294" s="4" t="e">
        <f t="shared" ca="1" si="3"/>
        <v>#NAME?</v>
      </c>
    </row>
    <row r="295" spans="1:27" ht="15.75" customHeight="1">
      <c r="A295" s="5" t="str">
        <f ca="1">IFERROR(__xludf.DUMMYFUNCTION("""COMPUTED_VALUE"""),"POSTOBÓN YUMBO")</f>
        <v>POSTOBÓN YUMBO</v>
      </c>
      <c r="B295" s="5" t="str">
        <f ca="1">IFERROR(__xludf.DUMMYFUNCTION("""COMPUTED_VALUE"""),"0410-LINEA 2")</f>
        <v>0410-LINEA 2</v>
      </c>
      <c r="C295" s="5" t="str">
        <f ca="1">IFERROR(__xludf.DUMMYFUNCTION("""COMPUTED_VALUE"""),"LINEA DE ENVASADO FAMILIAR Y PRB")</f>
        <v>LINEA DE ENVASADO FAMILIAR Y PRB</v>
      </c>
      <c r="D295" s="5">
        <f ca="1">IFERROR(__xludf.DUMMYFUNCTION("""COMPUTED_VALUE"""),828083)</f>
        <v>828083</v>
      </c>
      <c r="E295" s="5" t="str">
        <f ca="1">IFERROR(__xludf.DUMMYFUNCTION("""COMPUTED_VALUE"""),"DESCAPSULADORA")</f>
        <v>DESCAPSULADORA</v>
      </c>
      <c r="F295" s="5">
        <f ca="1">IFERROR(__xludf.DUMMYFUNCTION("""COMPUTED_VALUE"""),22508)</f>
        <v>22508</v>
      </c>
      <c r="G295" s="5" t="str">
        <f ca="1">IFERROR(__xludf.DUMMYFUNCTION("""COMPUTED_VALUE"""),"PLAN MTTO LUB DESCAPSUL 828083")</f>
        <v>PLAN MTTO LUB DESCAPSUL 828083</v>
      </c>
      <c r="H295" s="5">
        <f ca="1">IFERROR(__xludf.DUMMYFUNCTION("""COMPUTED_VALUE"""),13247194)</f>
        <v>13247194</v>
      </c>
      <c r="I295" s="5" t="str">
        <f ca="1">IFERROR(__xludf.DUMMYFUNCTION("""COMPUTED_VALUE"""),"Lubricar roscadores")</f>
        <v>Lubricar roscadores</v>
      </c>
      <c r="J295" s="5" t="str">
        <f ca="1">IFERROR(__xludf.DUMMYFUNCTION("""COMPUTED_VALUE"""),"ALTO")</f>
        <v>ALTO</v>
      </c>
      <c r="K295" s="5" t="str">
        <f ca="1">IFERROR(__xludf.DUMMYFUNCTION("""COMPUTED_VALUE"""),"Preventivo")</f>
        <v>Preventivo</v>
      </c>
      <c r="L295" s="5" t="str">
        <f ca="1">IFERROR(__xludf.DUMMYFUNCTION("""COMPUTED_VALUE"""),"Maquinaria")</f>
        <v>Maquinaria</v>
      </c>
      <c r="M295" s="5" t="str">
        <f ca="1">IFERROR(__xludf.DUMMYFUNCTION("""COMPUTED_VALUE"""),"No")</f>
        <v>No</v>
      </c>
      <c r="N295" s="5"/>
      <c r="O295" s="5"/>
      <c r="P295" s="18">
        <f ca="1">IFERROR(__xludf.DUMMYFUNCTION("""COMPUTED_VALUE"""),45330)</f>
        <v>45330</v>
      </c>
      <c r="Q295" s="18">
        <f ca="1">IFERROR(__xludf.DUMMYFUNCTION("""COMPUTED_VALUE"""),45330)</f>
        <v>45330</v>
      </c>
      <c r="R295" s="18"/>
      <c r="S295" s="5">
        <f ca="1">IFERROR(__xludf.DUMMYFUNCTION("""COMPUTED_VALUE"""),0.5)</f>
        <v>0.5</v>
      </c>
      <c r="T295" s="5"/>
      <c r="U295" s="5" t="str">
        <f ca="1">IFERROR(__xludf.DUMMYFUNCTION("""COMPUTED_VALUE"""),"Paz Paz Jhon Estiven")</f>
        <v>Paz Paz Jhon Estiven</v>
      </c>
      <c r="V295" s="5"/>
      <c r="W295" s="5" t="str">
        <f ca="1">IFERROR(__xludf.DUMMYFUNCTION("""COMPUTED_VALUE"""),"c2rkdJFD2qo")</f>
        <v>c2rkdJFD2qo</v>
      </c>
      <c r="X295" s="5">
        <f ca="1">IFERROR(__xludf.DUMMYFUNCTION("""COMPUTED_VALUE"""),0.5)</f>
        <v>0.5</v>
      </c>
      <c r="Y295" s="5" t="str">
        <f t="shared" si="2"/>
        <v>Actividad sin realizar</v>
      </c>
      <c r="Z295" s="3">
        <f ca="1">IFERROR(VLOOKUP(U295, 'Base de datos'!A:B, 2, FALSE), "")</f>
        <v>573117137924</v>
      </c>
      <c r="AA295" s="4" t="e">
        <f t="shared" ca="1" si="3"/>
        <v>#NAME?</v>
      </c>
    </row>
    <row r="296" spans="1:27" ht="15.75" customHeight="1">
      <c r="A296" s="5" t="str">
        <f ca="1">IFERROR(__xludf.DUMMYFUNCTION("""COMPUTED_VALUE"""),"POSTOBÓN YUMBO")</f>
        <v>POSTOBÓN YUMBO</v>
      </c>
      <c r="B296" s="5" t="str">
        <f ca="1">IFERROR(__xludf.DUMMYFUNCTION("""COMPUTED_VALUE"""),"0410-CUARTO DE BOMBAS")</f>
        <v>0410-CUARTO DE BOMBAS</v>
      </c>
      <c r="C296" s="5" t="str">
        <f ca="1">IFERROR(__xludf.DUMMYFUNCTION("""COMPUTED_VALUE"""),"BOMBAS DE SERVICIO PROCESO")</f>
        <v>BOMBAS DE SERVICIO PROCESO</v>
      </c>
      <c r="D296" s="5">
        <f ca="1">IFERROR(__xludf.DUMMYFUNCTION("""COMPUTED_VALUE"""),70948908)</f>
        <v>70948908</v>
      </c>
      <c r="E296" s="5" t="str">
        <f ca="1">IFERROR(__xludf.DUMMYFUNCTION("""COMPUTED_VALUE"""),"BOMBA AGUA FILTRO ARENA 1-2-3-8-9")</f>
        <v>BOMBA AGUA FILTRO ARENA 1-2-3-8-9</v>
      </c>
      <c r="F296" s="5">
        <f ca="1">IFERROR(__xludf.DUMMYFUNCTION("""COMPUTED_VALUE"""),20677)</f>
        <v>20677</v>
      </c>
      <c r="G296" s="5" t="str">
        <f ca="1">IFERROR(__xludf.DUMMYFUNCTION("""COMPUTED_VALUE"""),"PLAN MTTO ELE BOMBA AGUA PRODUCT70948908")</f>
        <v>PLAN MTTO ELE BOMBA AGUA PRODUCT70948908</v>
      </c>
      <c r="H296" s="5">
        <f ca="1">IFERROR(__xludf.DUMMYFUNCTION("""COMPUTED_VALUE"""),13207383)</f>
        <v>13207383</v>
      </c>
      <c r="I296" s="5" t="str">
        <f ca="1">IFERROR(__xludf.DUMMYFUNCTION("""COMPUTED_VALUE"""),"Motor Bomba")</f>
        <v>Motor Bomba</v>
      </c>
      <c r="J296" s="5" t="str">
        <f ca="1">IFERROR(__xludf.DUMMYFUNCTION("""COMPUTED_VALUE"""),"ALTO")</f>
        <v>ALTO</v>
      </c>
      <c r="K296" s="5" t="str">
        <f ca="1">IFERROR(__xludf.DUMMYFUNCTION("""COMPUTED_VALUE"""),"Preventivo")</f>
        <v>Preventivo</v>
      </c>
      <c r="L296" s="5" t="str">
        <f ca="1">IFERROR(__xludf.DUMMYFUNCTION("""COMPUTED_VALUE"""),"Maquinaria")</f>
        <v>Maquinaria</v>
      </c>
      <c r="M296" s="5" t="str">
        <f ca="1">IFERROR(__xludf.DUMMYFUNCTION("""COMPUTED_VALUE"""),"No")</f>
        <v>No</v>
      </c>
      <c r="N296" s="5"/>
      <c r="O296" s="5"/>
      <c r="P296" s="18">
        <f ca="1">IFERROR(__xludf.DUMMYFUNCTION("""COMPUTED_VALUE"""),45351)</f>
        <v>45351</v>
      </c>
      <c r="Q296" s="18">
        <f ca="1">IFERROR(__xludf.DUMMYFUNCTION("""COMPUTED_VALUE"""),45351)</f>
        <v>45351</v>
      </c>
      <c r="R296" s="18"/>
      <c r="S296" s="5">
        <f ca="1">IFERROR(__xludf.DUMMYFUNCTION("""COMPUTED_VALUE"""),2)</f>
        <v>2</v>
      </c>
      <c r="T296" s="5"/>
      <c r="U296" s="5" t="str">
        <f ca="1">IFERROR(__xludf.DUMMYFUNCTION("""COMPUTED_VALUE"""),"John Edier Gomez Zuñiga")</f>
        <v>John Edier Gomez Zuñiga</v>
      </c>
      <c r="V296" s="5"/>
      <c r="W296" s="5" t="str">
        <f ca="1">IFERROR(__xludf.DUMMYFUNCTION("""COMPUTED_VALUE"""),"ajsZNqm6S6s")</f>
        <v>ajsZNqm6S6s</v>
      </c>
      <c r="X296" s="5">
        <f ca="1">IFERROR(__xludf.DUMMYFUNCTION("""COMPUTED_VALUE"""),2)</f>
        <v>2</v>
      </c>
      <c r="Y296" s="5" t="str">
        <f t="shared" si="2"/>
        <v>Actividad sin realizar</v>
      </c>
      <c r="Z296" s="3">
        <f ca="1">IFERROR(VLOOKUP(U296, 'Base de datos'!A:B, 2, FALSE), "")</f>
        <v>573003678745</v>
      </c>
      <c r="AA296" s="4" t="e">
        <f t="shared" ca="1" si="3"/>
        <v>#NAME?</v>
      </c>
    </row>
    <row r="297" spans="1:27" ht="15.75" customHeight="1">
      <c r="A297" s="5" t="str">
        <f ca="1">IFERROR(__xludf.DUMMYFUNCTION("""COMPUTED_VALUE"""),"POSTOBÓN YUMBO")</f>
        <v>POSTOBÓN YUMBO</v>
      </c>
      <c r="B297" s="5" t="str">
        <f ca="1">IFERROR(__xludf.DUMMYFUNCTION("""COMPUTED_VALUE"""),"0410-EQUIPOS AUXILIARES JUGOS")</f>
        <v>0410-EQUIPOS AUXILIARES JUGOS</v>
      </c>
      <c r="C297" s="5" t="str">
        <f ca="1">IFERROR(__xludf.DUMMYFUNCTION("""COMPUTED_VALUE"""),"EQUIPOS PARA SERVICIOS INDUSTRIALES JUGO")</f>
        <v>EQUIPOS PARA SERVICIOS INDUSTRIALES JUGO</v>
      </c>
      <c r="D297" s="5">
        <f ca="1">IFERROR(__xludf.DUMMYFUNCTION("""COMPUTED_VALUE"""),829060)</f>
        <v>829060</v>
      </c>
      <c r="E297" s="5" t="str">
        <f ca="1">IFERROR(__xludf.DUMMYFUNCTION("""COMPUTED_VALUE"""),"COMPRESOR DE REFRIGERACION No. 3 JUGOS")</f>
        <v>COMPRESOR DE REFRIGERACION No. 3 JUGOS</v>
      </c>
      <c r="F297" s="5">
        <f ca="1">IFERROR(__xludf.DUMMYFUNCTION("""COMPUTED_VALUE"""),21706)</f>
        <v>21706</v>
      </c>
      <c r="G297" s="5" t="str">
        <f ca="1">IFERROR(__xludf.DUMMYFUNCTION("""COMPUTED_VALUE"""),"PLAN MTTO LUB COMPRESOR REFRIG Nº3 JUGOS")</f>
        <v>PLAN MTTO LUB COMPRESOR REFRIG Nº3 JUGOS</v>
      </c>
      <c r="H297" s="5">
        <f ca="1">IFERROR(__xludf.DUMMYFUNCTION("""COMPUTED_VALUE"""),13247189)</f>
        <v>13247189</v>
      </c>
      <c r="I297" s="5" t="str">
        <f ca="1">IFERROR(__xludf.DUMMYFUNCTION("""COMPUTED_VALUE"""),"Lubricación rodamiento motor")</f>
        <v>Lubricación rodamiento motor</v>
      </c>
      <c r="J297" s="5" t="str">
        <f ca="1">IFERROR(__xludf.DUMMYFUNCTION("""COMPUTED_VALUE"""),"MEDIO")</f>
        <v>MEDIO</v>
      </c>
      <c r="K297" s="5" t="str">
        <f ca="1">IFERROR(__xludf.DUMMYFUNCTION("""COMPUTED_VALUE"""),"Preventivo")</f>
        <v>Preventivo</v>
      </c>
      <c r="L297" s="5" t="str">
        <f ca="1">IFERROR(__xludf.DUMMYFUNCTION("""COMPUTED_VALUE"""),"Maquinaria")</f>
        <v>Maquinaria</v>
      </c>
      <c r="M297" s="5" t="str">
        <f ca="1">IFERROR(__xludf.DUMMYFUNCTION("""COMPUTED_VALUE"""),"No")</f>
        <v>No</v>
      </c>
      <c r="N297" s="5"/>
      <c r="O297" s="5"/>
      <c r="P297" s="18">
        <f ca="1">IFERROR(__xludf.DUMMYFUNCTION("""COMPUTED_VALUE"""),45333)</f>
        <v>45333</v>
      </c>
      <c r="Q297" s="18">
        <f ca="1">IFERROR(__xludf.DUMMYFUNCTION("""COMPUTED_VALUE"""),45333)</f>
        <v>45333</v>
      </c>
      <c r="R297" s="18"/>
      <c r="S297" s="5">
        <f ca="1">IFERROR(__xludf.DUMMYFUNCTION("""COMPUTED_VALUE"""),0.5)</f>
        <v>0.5</v>
      </c>
      <c r="T297" s="5"/>
      <c r="U297" s="5" t="str">
        <f ca="1">IFERROR(__xludf.DUMMYFUNCTION("""COMPUTED_VALUE"""),"Lopez Raul")</f>
        <v>Lopez Raul</v>
      </c>
      <c r="V297" s="5"/>
      <c r="W297" s="5" t="str">
        <f ca="1">IFERROR(__xludf.DUMMYFUNCTION("""COMPUTED_VALUE"""),"TkkkJoo3HuA")</f>
        <v>TkkkJoo3HuA</v>
      </c>
      <c r="X297" s="5">
        <f ca="1">IFERROR(__xludf.DUMMYFUNCTION("""COMPUTED_VALUE"""),0.5)</f>
        <v>0.5</v>
      </c>
      <c r="Y297" s="5" t="str">
        <f t="shared" si="2"/>
        <v>Actividad sin realizar</v>
      </c>
      <c r="Z297" s="3">
        <f ca="1">IFERROR(VLOOKUP(U297, 'Base de datos'!A:B, 2, FALSE), "")</f>
        <v>573122172129</v>
      </c>
      <c r="AA297" s="4" t="e">
        <f t="shared" ca="1" si="3"/>
        <v>#NAME?</v>
      </c>
    </row>
    <row r="298" spans="1:27" ht="15.75" customHeight="1">
      <c r="A298" s="5" t="str">
        <f ca="1">IFERROR(__xludf.DUMMYFUNCTION("""COMPUTED_VALUE"""),"POSTOBÓN YUMBO")</f>
        <v>POSTOBÓN YUMBO</v>
      </c>
      <c r="B298" s="5" t="str">
        <f ca="1">IFERROR(__xludf.DUMMYFUNCTION("""COMPUTED_VALUE"""),"0410-CUARTO DE BOMBAS")</f>
        <v>0410-CUARTO DE BOMBAS</v>
      </c>
      <c r="C298" s="5" t="str">
        <f ca="1">IFERROR(__xludf.DUMMYFUNCTION("""COMPUTED_VALUE"""),"BOMBAS DE SERVICIO PROCESO")</f>
        <v>BOMBAS DE SERVICIO PROCESO</v>
      </c>
      <c r="D298" s="5">
        <f ca="1">IFERROR(__xludf.DUMMYFUNCTION("""COMPUTED_VALUE"""),70948910)</f>
        <v>70948910</v>
      </c>
      <c r="E298" s="5" t="str">
        <f ca="1">IFERROR(__xludf.DUMMYFUNCTION("""COMPUTED_VALUE"""),"BOMBA AGUA SERVICIOS PRODUCCION")</f>
        <v>BOMBA AGUA SERVICIOS PRODUCCION</v>
      </c>
      <c r="F298" s="5">
        <f ca="1">IFERROR(__xludf.DUMMYFUNCTION("""COMPUTED_VALUE"""),20723)</f>
        <v>20723</v>
      </c>
      <c r="G298" s="5" t="str">
        <f ca="1">IFERROR(__xludf.DUMMYFUNCTION("""COMPUTED_VALUE"""),"PLAN MTTO ELE BOMBA SERV PROD 70948910")</f>
        <v>PLAN MTTO ELE BOMBA SERV PROD 70948910</v>
      </c>
      <c r="H298" s="5">
        <f ca="1">IFERROR(__xludf.DUMMYFUNCTION("""COMPUTED_VALUE"""),13207389)</f>
        <v>13207389</v>
      </c>
      <c r="I298" s="5" t="str">
        <f ca="1">IFERROR(__xludf.DUMMYFUNCTION("""COMPUTED_VALUE"""),"Motor Bomba")</f>
        <v>Motor Bomba</v>
      </c>
      <c r="J298" s="5" t="str">
        <f ca="1">IFERROR(__xludf.DUMMYFUNCTION("""COMPUTED_VALUE"""),"ALTO")</f>
        <v>ALTO</v>
      </c>
      <c r="K298" s="5" t="str">
        <f ca="1">IFERROR(__xludf.DUMMYFUNCTION("""COMPUTED_VALUE"""),"Preventivo")</f>
        <v>Preventivo</v>
      </c>
      <c r="L298" s="5" t="str">
        <f ca="1">IFERROR(__xludf.DUMMYFUNCTION("""COMPUTED_VALUE"""),"Maquinaria")</f>
        <v>Maquinaria</v>
      </c>
      <c r="M298" s="5" t="str">
        <f ca="1">IFERROR(__xludf.DUMMYFUNCTION("""COMPUTED_VALUE"""),"No")</f>
        <v>No</v>
      </c>
      <c r="N298" s="5"/>
      <c r="O298" s="5"/>
      <c r="P298" s="18">
        <f ca="1">IFERROR(__xludf.DUMMYFUNCTION("""COMPUTED_VALUE"""),45351)</f>
        <v>45351</v>
      </c>
      <c r="Q298" s="18">
        <f ca="1">IFERROR(__xludf.DUMMYFUNCTION("""COMPUTED_VALUE"""),45351)</f>
        <v>45351</v>
      </c>
      <c r="R298" s="18"/>
      <c r="S298" s="5">
        <f ca="1">IFERROR(__xludf.DUMMYFUNCTION("""COMPUTED_VALUE"""),2)</f>
        <v>2</v>
      </c>
      <c r="T298" s="5"/>
      <c r="U298" s="5" t="str">
        <f ca="1">IFERROR(__xludf.DUMMYFUNCTION("""COMPUTED_VALUE"""),"John Edier Gomez Zuñiga")</f>
        <v>John Edier Gomez Zuñiga</v>
      </c>
      <c r="V298" s="5"/>
      <c r="W298" s="5" t="str">
        <f ca="1">IFERROR(__xludf.DUMMYFUNCTION("""COMPUTED_VALUE"""),"WroE-qQAi4M")</f>
        <v>WroE-qQAi4M</v>
      </c>
      <c r="X298" s="5">
        <f ca="1">IFERROR(__xludf.DUMMYFUNCTION("""COMPUTED_VALUE"""),2)</f>
        <v>2</v>
      </c>
      <c r="Y298" s="5" t="str">
        <f t="shared" si="2"/>
        <v>Actividad sin realizar</v>
      </c>
      <c r="Z298" s="3">
        <f ca="1">IFERROR(VLOOKUP(U298, 'Base de datos'!A:B, 2, FALSE), "")</f>
        <v>573003678745</v>
      </c>
      <c r="AA298" s="4" t="e">
        <f t="shared" ca="1" si="3"/>
        <v>#NAME?</v>
      </c>
    </row>
    <row r="299" spans="1:27" ht="15.75" customHeight="1">
      <c r="A299" s="5" t="str">
        <f ca="1">IFERROR(__xludf.DUMMYFUNCTION("""COMPUTED_VALUE"""),"POSTOBÓN YUMBO")</f>
        <v>POSTOBÓN YUMBO</v>
      </c>
      <c r="B299" s="5" t="str">
        <f ca="1">IFERROR(__xludf.DUMMYFUNCTION("""COMPUTED_VALUE"""),"0410-LINEA 1")</f>
        <v>0410-LINEA 1</v>
      </c>
      <c r="C299" s="5" t="str">
        <f ca="1">IFERROR(__xludf.DUMMYFUNCTION("""COMPUTED_VALUE"""),"LINEA DE ENVASADO PET NO RETORNABLE")</f>
        <v>LINEA DE ENVASADO PET NO RETORNABLE</v>
      </c>
      <c r="D299" s="5">
        <f ca="1">IFERROR(__xludf.DUMMYFUNCTION("""COMPUTED_VALUE"""),829612)</f>
        <v>829612</v>
      </c>
      <c r="E299" s="5" t="str">
        <f ca="1">IFERROR(__xludf.DUMMYFUNCTION("""COMPUTED_VALUE"""),"TRANSPORTADOR AEREO")</f>
        <v>TRANSPORTADOR AEREO</v>
      </c>
      <c r="F299" s="5">
        <f ca="1">IFERROR(__xludf.DUMMYFUNCTION("""COMPUTED_VALUE"""),22597)</f>
        <v>22597</v>
      </c>
      <c r="G299" s="5" t="str">
        <f ca="1">IFERROR(__xludf.DUMMYFUNCTION("""COMPUTED_VALUE"""),"PLAN MTTO MEC TRANSPORTADOR AEREO 829612")</f>
        <v>PLAN MTTO MEC TRANSPORTADOR AEREO 829612</v>
      </c>
      <c r="H299" s="5">
        <f ca="1">IFERROR(__xludf.DUMMYFUNCTION("""COMPUTED_VALUE"""),13247224)</f>
        <v>13247224</v>
      </c>
      <c r="I299" s="5" t="str">
        <f ca="1">IFERROR(__xludf.DUMMYFUNCTION("""COMPUTED_VALUE"""),"CAMBIO GUATA DE FILTROS TURBINAS TRANSPO")</f>
        <v>CAMBIO GUATA DE FILTROS TURBINAS TRANSPO</v>
      </c>
      <c r="J299" s="5" t="str">
        <f ca="1">IFERROR(__xludf.DUMMYFUNCTION("""COMPUTED_VALUE"""),"ALTO")</f>
        <v>ALTO</v>
      </c>
      <c r="K299" s="5" t="str">
        <f ca="1">IFERROR(__xludf.DUMMYFUNCTION("""COMPUTED_VALUE"""),"Preventivo")</f>
        <v>Preventivo</v>
      </c>
      <c r="L299" s="5" t="str">
        <f ca="1">IFERROR(__xludf.DUMMYFUNCTION("""COMPUTED_VALUE"""),"Maquinaria")</f>
        <v>Maquinaria</v>
      </c>
      <c r="M299" s="5" t="str">
        <f ca="1">IFERROR(__xludf.DUMMYFUNCTION("""COMPUTED_VALUE"""),"No")</f>
        <v>No</v>
      </c>
      <c r="N299" s="5"/>
      <c r="O299" s="5"/>
      <c r="P299" s="18">
        <f ca="1">IFERROR(__xludf.DUMMYFUNCTION("""COMPUTED_VALUE"""),45324)</f>
        <v>45324</v>
      </c>
      <c r="Q299" s="18">
        <f ca="1">IFERROR(__xludf.DUMMYFUNCTION("""COMPUTED_VALUE"""),45324)</f>
        <v>45324</v>
      </c>
      <c r="R299" s="18"/>
      <c r="S299" s="5">
        <f ca="1">IFERROR(__xludf.DUMMYFUNCTION("""COMPUTED_VALUE"""),2)</f>
        <v>2</v>
      </c>
      <c r="T299" s="5"/>
      <c r="U299" s="5" t="str">
        <f ca="1">IFERROR(__xludf.DUMMYFUNCTION("""COMPUTED_VALUE"""),"FERNEYORLANDO RAMOS AULLON")</f>
        <v>FERNEYORLANDO RAMOS AULLON</v>
      </c>
      <c r="V299" s="5"/>
      <c r="W299" s="5" t="str">
        <f ca="1">IFERROR(__xludf.DUMMYFUNCTION("""COMPUTED_VALUE"""),"xr8vUVH30bY")</f>
        <v>xr8vUVH30bY</v>
      </c>
      <c r="X299" s="5">
        <f ca="1">IFERROR(__xludf.DUMMYFUNCTION("""COMPUTED_VALUE"""),2)</f>
        <v>2</v>
      </c>
      <c r="Y299" s="5" t="str">
        <f t="shared" si="2"/>
        <v>Actividad sin realizar</v>
      </c>
      <c r="Z299" s="3">
        <f ca="1">IFERROR(VLOOKUP(U299, 'Base de datos'!A:B, 2, FALSE), "")</f>
        <v>573117665570</v>
      </c>
      <c r="AA299" s="4" t="e">
        <f t="shared" ca="1" si="3"/>
        <v>#NAME?</v>
      </c>
    </row>
    <row r="300" spans="1:27" ht="15.75" customHeight="1">
      <c r="A300" s="5" t="str">
        <f ca="1">IFERROR(__xludf.DUMMYFUNCTION("""COMPUTED_VALUE"""),"POSTOBÓN YUMBO")</f>
        <v>POSTOBÓN YUMBO</v>
      </c>
      <c r="B300" s="5" t="str">
        <f ca="1">IFERROR(__xludf.DUMMYFUNCTION("""COMPUTED_VALUE"""),"0410-ENVASADO JUGOS PET HOT F")</f>
        <v>0410-ENVASADO JUGOS PET HOT F</v>
      </c>
      <c r="C300" s="5" t="str">
        <f ca="1">IFERROR(__xludf.DUMMYFUNCTION("""COMPUTED_VALUE"""),"LINEA DE ENVASADO JUGOS PET HOT FILL")</f>
        <v>LINEA DE ENVASADO JUGOS PET HOT FILL</v>
      </c>
      <c r="D300" s="5">
        <f ca="1">IFERROR(__xludf.DUMMYFUNCTION("""COMPUTED_VALUE"""),900303)</f>
        <v>900303</v>
      </c>
      <c r="E300" s="5" t="str">
        <f ca="1">IFERROR(__xludf.DUMMYFUNCTION("""COMPUTED_VALUE"""),"LLENADORA")</f>
        <v>LLENADORA</v>
      </c>
      <c r="F300" s="5">
        <f ca="1">IFERROR(__xludf.DUMMYFUNCTION("""COMPUTED_VALUE"""),14085)</f>
        <v>14085</v>
      </c>
      <c r="G300" s="5" t="str">
        <f ca="1">IFERROR(__xludf.DUMMYFUNCTION("""COMPUTED_VALUE"""),"MANTENIMIENTO ELEC LLENADORA L8 90030")</f>
        <v>MANTENIMIENTO ELEC LLENADORA L8 90030</v>
      </c>
      <c r="H300" s="5">
        <f ca="1">IFERROR(__xludf.DUMMYFUNCTION("""COMPUTED_VALUE"""),13226501)</f>
        <v>13226501</v>
      </c>
      <c r="I300" s="5" t="str">
        <f ca="1">IFERROR(__xludf.DUMMYFUNCTION("""COMPUTED_VALUE"""),"Transmisor de anillos")</f>
        <v>Transmisor de anillos</v>
      </c>
      <c r="J300" s="5" t="str">
        <f ca="1">IFERROR(__xludf.DUMMYFUNCTION("""COMPUTED_VALUE"""),"ALTO")</f>
        <v>ALTO</v>
      </c>
      <c r="K300" s="5" t="str">
        <f ca="1">IFERROR(__xludf.DUMMYFUNCTION("""COMPUTED_VALUE"""),"Preventivo")</f>
        <v>Preventivo</v>
      </c>
      <c r="L300" s="5" t="str">
        <f ca="1">IFERROR(__xludf.DUMMYFUNCTION("""COMPUTED_VALUE"""),"Maquinaria")</f>
        <v>Maquinaria</v>
      </c>
      <c r="M300" s="5" t="str">
        <f ca="1">IFERROR(__xludf.DUMMYFUNCTION("""COMPUTED_VALUE"""),"No")</f>
        <v>No</v>
      </c>
      <c r="N300" s="5"/>
      <c r="O300" s="5"/>
      <c r="P300" s="18">
        <f ca="1">IFERROR(__xludf.DUMMYFUNCTION("""COMPUTED_VALUE"""),45323)</f>
        <v>45323</v>
      </c>
      <c r="Q300" s="18">
        <f ca="1">IFERROR(__xludf.DUMMYFUNCTION("""COMPUTED_VALUE"""),45323)</f>
        <v>45323</v>
      </c>
      <c r="R300" s="18"/>
      <c r="S300" s="5">
        <f ca="1">IFERROR(__xludf.DUMMYFUNCTION("""COMPUTED_VALUE"""),4)</f>
        <v>4</v>
      </c>
      <c r="T300" s="5"/>
      <c r="U300" s="5" t="str">
        <f ca="1">IFERROR(__xludf.DUMMYFUNCTION("""COMPUTED_VALUE"""),"Franco Castillo Brayan Steven")</f>
        <v>Franco Castillo Brayan Steven</v>
      </c>
      <c r="V300" s="5"/>
      <c r="W300" s="5" t="str">
        <f ca="1">IFERROR(__xludf.DUMMYFUNCTION("""COMPUTED_VALUE"""),"_qZC_2PTo7s")</f>
        <v>_qZC_2PTo7s</v>
      </c>
      <c r="X300" s="5">
        <f ca="1">IFERROR(__xludf.DUMMYFUNCTION("""COMPUTED_VALUE"""),4)</f>
        <v>4</v>
      </c>
      <c r="Y300" s="5" t="str">
        <f t="shared" si="2"/>
        <v>Actividad sin realizar</v>
      </c>
      <c r="Z300" s="3">
        <f ca="1">IFERROR(VLOOKUP(U300, 'Base de datos'!A:B, 2, FALSE), "")</f>
        <v>573053427911</v>
      </c>
      <c r="AA300" s="4" t="e">
        <f t="shared" ca="1" si="3"/>
        <v>#NAME?</v>
      </c>
    </row>
    <row r="301" spans="1:27" ht="15.75" customHeight="1">
      <c r="A301" s="5" t="str">
        <f ca="1">IFERROR(__xludf.DUMMYFUNCTION("""COMPUTED_VALUE"""),"POSTOBÓN YUMBO")</f>
        <v>POSTOBÓN YUMBO</v>
      </c>
      <c r="B301" s="5" t="str">
        <f ca="1">IFERROR(__xludf.DUMMYFUNCTION("""COMPUTED_VALUE"""),"0410-LINEA 2")</f>
        <v>0410-LINEA 2</v>
      </c>
      <c r="C301" s="5" t="str">
        <f ca="1">IFERROR(__xludf.DUMMYFUNCTION("""COMPUTED_VALUE"""),"LINEA DE ENVASADO FAMILIAR Y PRB")</f>
        <v>LINEA DE ENVASADO FAMILIAR Y PRB</v>
      </c>
      <c r="D301" s="5">
        <f ca="1">IFERROR(__xludf.DUMMYFUNCTION("""COMPUTED_VALUE"""),599559)</f>
        <v>599559</v>
      </c>
      <c r="E301" s="5" t="str">
        <f ca="1">IFERROR(__xludf.DUMMYFUNCTION("""COMPUTED_VALUE"""),"INSPECTOR ELECTRONICO")</f>
        <v>INSPECTOR ELECTRONICO</v>
      </c>
      <c r="F301" s="5">
        <f ca="1">IFERROR(__xludf.DUMMYFUNCTION("""COMPUTED_VALUE"""),17380)</f>
        <v>17380</v>
      </c>
      <c r="G301" s="5" t="str">
        <f ca="1">IFERROR(__xludf.DUMMYFUNCTION("""COMPUTED_VALUE"""),"MTTO ELEC INSPECTOR L2 599559")</f>
        <v>MTTO ELEC INSPECTOR L2 599559</v>
      </c>
      <c r="H301" s="5">
        <f ca="1">IFERROR(__xludf.DUMMYFUNCTION("""COMPUTED_VALUE"""),13221300)</f>
        <v>13221300</v>
      </c>
      <c r="I301" s="5" t="str">
        <f ca="1">IFERROR(__xludf.DUMMYFUNCTION("""COMPUTED_VALUE"""),"RECHAZADORES: DESMONTAR-LIMPIAR SISTEMA")</f>
        <v>RECHAZADORES: DESMONTAR-LIMPIAR SISTEMA</v>
      </c>
      <c r="J301" s="5" t="str">
        <f ca="1">IFERROR(__xludf.DUMMYFUNCTION("""COMPUTED_VALUE"""),"ALTO")</f>
        <v>ALTO</v>
      </c>
      <c r="K301" s="5" t="str">
        <f ca="1">IFERROR(__xludf.DUMMYFUNCTION("""COMPUTED_VALUE"""),"Preventivo")</f>
        <v>Preventivo</v>
      </c>
      <c r="L301" s="5" t="str">
        <f ca="1">IFERROR(__xludf.DUMMYFUNCTION("""COMPUTED_VALUE"""),"Maquinaria")</f>
        <v>Maquinaria</v>
      </c>
      <c r="M301" s="5" t="str">
        <f ca="1">IFERROR(__xludf.DUMMYFUNCTION("""COMPUTED_VALUE"""),"No")</f>
        <v>No</v>
      </c>
      <c r="N301" s="5"/>
      <c r="O301" s="5"/>
      <c r="P301" s="18">
        <f ca="1">IFERROR(__xludf.DUMMYFUNCTION("""COMPUTED_VALUE"""),45341)</f>
        <v>45341</v>
      </c>
      <c r="Q301" s="18">
        <f ca="1">IFERROR(__xludf.DUMMYFUNCTION("""COMPUTED_VALUE"""),45341)</f>
        <v>45341</v>
      </c>
      <c r="R301" s="18"/>
      <c r="S301" s="5">
        <f ca="1">IFERROR(__xludf.DUMMYFUNCTION("""COMPUTED_VALUE"""),4)</f>
        <v>4</v>
      </c>
      <c r="T301" s="5"/>
      <c r="U301" s="5" t="str">
        <f ca="1">IFERROR(__xludf.DUMMYFUNCTION("""COMPUTED_VALUE"""),"Alexander Echeverry Moreno")</f>
        <v>Alexander Echeverry Moreno</v>
      </c>
      <c r="V301" s="5"/>
      <c r="W301" s="5" t="str">
        <f ca="1">IFERROR(__xludf.DUMMYFUNCTION("""COMPUTED_VALUE"""),"_xrg87ZZFF4")</f>
        <v>_xrg87ZZFF4</v>
      </c>
      <c r="X301" s="5">
        <f ca="1">IFERROR(__xludf.DUMMYFUNCTION("""COMPUTED_VALUE"""),4)</f>
        <v>4</v>
      </c>
      <c r="Y301" s="5" t="str">
        <f t="shared" si="2"/>
        <v>Actividad sin realizar</v>
      </c>
      <c r="Z301" s="3">
        <f ca="1">IFERROR(VLOOKUP(U301, 'Base de datos'!A:B, 2, FALSE), "")</f>
        <v>573173223149</v>
      </c>
      <c r="AA301" s="4" t="e">
        <f t="shared" ca="1" si="3"/>
        <v>#NAME?</v>
      </c>
    </row>
    <row r="302" spans="1:27" ht="15.75" customHeight="1">
      <c r="A302" s="5" t="str">
        <f ca="1">IFERROR(__xludf.DUMMYFUNCTION("""COMPUTED_VALUE"""),"POSTOBÓN YUMBO")</f>
        <v>POSTOBÓN YUMBO</v>
      </c>
      <c r="B302" s="5" t="str">
        <f ca="1">IFERROR(__xludf.DUMMYFUNCTION("""COMPUTED_VALUE"""),"0410-PLANTA DE AGUA ENVASADO")</f>
        <v>0410-PLANTA DE AGUA ENVASADO</v>
      </c>
      <c r="C302" s="5" t="str">
        <f ca="1">IFERROR(__xludf.DUMMYFUNCTION("""COMPUTED_VALUE"""),"TRATAMIENTO DE AGUA PARA ENVASADO")</f>
        <v>TRATAMIENTO DE AGUA PARA ENVASADO</v>
      </c>
      <c r="D302" s="5">
        <f ca="1">IFERROR(__xludf.DUMMYFUNCTION("""COMPUTED_VALUE"""),70948930)</f>
        <v>70948930</v>
      </c>
      <c r="E302" s="5" t="str">
        <f ca="1">IFERROR(__xludf.DUMMYFUNCTION("""COMPUTED_VALUE"""),"BOMBA AGUA RECUPERADA PRETRATAMIENTO TQ7")</f>
        <v>BOMBA AGUA RECUPERADA PRETRATAMIENTO TQ7</v>
      </c>
      <c r="F302" s="5">
        <f ca="1">IFERROR(__xludf.DUMMYFUNCTION("""COMPUTED_VALUE"""),20678)</f>
        <v>20678</v>
      </c>
      <c r="G302" s="5" t="str">
        <f ca="1">IFERROR(__xludf.DUMMYFUNCTION("""COMPUTED_VALUE"""),"PLAN MTTO ELE BOMBA FILTRO ARENA70948908")</f>
        <v>PLAN MTTO ELE BOMBA FILTRO ARENA70948908</v>
      </c>
      <c r="H302" s="5">
        <f ca="1">IFERROR(__xludf.DUMMYFUNCTION("""COMPUTED_VALUE"""),13207384)</f>
        <v>13207384</v>
      </c>
      <c r="I302" s="5" t="str">
        <f ca="1">IFERROR(__xludf.DUMMYFUNCTION("""COMPUTED_VALUE"""),"Motor Bomba")</f>
        <v>Motor Bomba</v>
      </c>
      <c r="J302" s="5" t="str">
        <f ca="1">IFERROR(__xludf.DUMMYFUNCTION("""COMPUTED_VALUE"""),"ALTO")</f>
        <v>ALTO</v>
      </c>
      <c r="K302" s="5" t="str">
        <f ca="1">IFERROR(__xludf.DUMMYFUNCTION("""COMPUTED_VALUE"""),"Preventivo")</f>
        <v>Preventivo</v>
      </c>
      <c r="L302" s="5" t="str">
        <f ca="1">IFERROR(__xludf.DUMMYFUNCTION("""COMPUTED_VALUE"""),"Maquinaria")</f>
        <v>Maquinaria</v>
      </c>
      <c r="M302" s="5" t="str">
        <f ca="1">IFERROR(__xludf.DUMMYFUNCTION("""COMPUTED_VALUE"""),"No")</f>
        <v>No</v>
      </c>
      <c r="N302" s="5"/>
      <c r="O302" s="5"/>
      <c r="P302" s="18">
        <f ca="1">IFERROR(__xludf.DUMMYFUNCTION("""COMPUTED_VALUE"""),45351)</f>
        <v>45351</v>
      </c>
      <c r="Q302" s="18">
        <f ca="1">IFERROR(__xludf.DUMMYFUNCTION("""COMPUTED_VALUE"""),45351)</f>
        <v>45351</v>
      </c>
      <c r="R302" s="18"/>
      <c r="S302" s="5">
        <f ca="1">IFERROR(__xludf.DUMMYFUNCTION("""COMPUTED_VALUE"""),2)</f>
        <v>2</v>
      </c>
      <c r="T302" s="5"/>
      <c r="U302" s="5" t="str">
        <f ca="1">IFERROR(__xludf.DUMMYFUNCTION("""COMPUTED_VALUE"""),"John Edier Gomez Zuñiga")</f>
        <v>John Edier Gomez Zuñiga</v>
      </c>
      <c r="V302" s="5"/>
      <c r="W302" s="5" t="str">
        <f ca="1">IFERROR(__xludf.DUMMYFUNCTION("""COMPUTED_VALUE"""),"S3Z29FE1Blk")</f>
        <v>S3Z29FE1Blk</v>
      </c>
      <c r="X302" s="5">
        <f ca="1">IFERROR(__xludf.DUMMYFUNCTION("""COMPUTED_VALUE"""),2)</f>
        <v>2</v>
      </c>
      <c r="Y302" s="5" t="str">
        <f t="shared" si="2"/>
        <v>Actividad sin realizar</v>
      </c>
      <c r="Z302" s="3">
        <f ca="1">IFERROR(VLOOKUP(U302, 'Base de datos'!A:B, 2, FALSE), "")</f>
        <v>573003678745</v>
      </c>
      <c r="AA302" s="4" t="e">
        <f t="shared" ca="1" si="3"/>
        <v>#NAME?</v>
      </c>
    </row>
    <row r="303" spans="1:27" ht="15.75" customHeight="1">
      <c r="A303" s="5" t="str">
        <f ca="1">IFERROR(__xludf.DUMMYFUNCTION("""COMPUTED_VALUE"""),"POSTOBÓN YUMBO")</f>
        <v>POSTOBÓN YUMBO</v>
      </c>
      <c r="B303" s="5" t="str">
        <f ca="1">IFERROR(__xludf.DUMMYFUNCTION("""COMPUTED_VALUE"""),"0410-ENVASADO JUGOS PET HOT F")</f>
        <v>0410-ENVASADO JUGOS PET HOT F</v>
      </c>
      <c r="C303" s="5" t="str">
        <f ca="1">IFERROR(__xludf.DUMMYFUNCTION("""COMPUTED_VALUE"""),"LINEA DE ENVASADO JUGOS PET HOT FILL")</f>
        <v>LINEA DE ENVASADO JUGOS PET HOT FILL</v>
      </c>
      <c r="D303" s="5">
        <f ca="1">IFERROR(__xludf.DUMMYFUNCTION("""COMPUTED_VALUE"""),579064)</f>
        <v>579064</v>
      </c>
      <c r="E303" s="5" t="str">
        <f ca="1">IFERROR(__xludf.DUMMYFUNCTION("""COMPUTED_VALUE"""),"ENVOLVEDORA DE FILM")</f>
        <v>ENVOLVEDORA DE FILM</v>
      </c>
      <c r="F303" s="5">
        <f ca="1">IFERROR(__xludf.DUMMYFUNCTION("""COMPUTED_VALUE"""),22450)</f>
        <v>22450</v>
      </c>
      <c r="G303" s="5" t="str">
        <f ca="1">IFERROR(__xludf.DUMMYFUNCTION("""COMPUTED_VALUE"""),"PLAN MTTO MEC ENVOLVEDORA DE FILM 579064")</f>
        <v>PLAN MTTO MEC ENVOLVEDORA DE FILM 579064</v>
      </c>
      <c r="H303" s="5">
        <f ca="1">IFERROR(__xludf.DUMMYFUNCTION("""COMPUTED_VALUE"""),13229042)</f>
        <v>13229042</v>
      </c>
      <c r="I303" s="5" t="str">
        <f ca="1">IFERROR(__xludf.DUMMYFUNCTION("""COMPUTED_VALUE"""),"mtto electrico ajuste de bornes, verific")</f>
        <v>mtto electrico ajuste de bornes, verific</v>
      </c>
      <c r="J303" s="5" t="str">
        <f ca="1">IFERROR(__xludf.DUMMYFUNCTION("""COMPUTED_VALUE"""),"BAJO")</f>
        <v>BAJO</v>
      </c>
      <c r="K303" s="5" t="str">
        <f ca="1">IFERROR(__xludf.DUMMYFUNCTION("""COMPUTED_VALUE"""),"Preventivo")</f>
        <v>Preventivo</v>
      </c>
      <c r="L303" s="5" t="str">
        <f ca="1">IFERROR(__xludf.DUMMYFUNCTION("""COMPUTED_VALUE"""),"Maquinaria")</f>
        <v>Maquinaria</v>
      </c>
      <c r="M303" s="5" t="str">
        <f ca="1">IFERROR(__xludf.DUMMYFUNCTION("""COMPUTED_VALUE"""),"No")</f>
        <v>No</v>
      </c>
      <c r="N303" s="5"/>
      <c r="O303" s="5"/>
      <c r="P303" s="18">
        <f ca="1">IFERROR(__xludf.DUMMYFUNCTION("""COMPUTED_VALUE"""),45339)</f>
        <v>45339</v>
      </c>
      <c r="Q303" s="18">
        <f ca="1">IFERROR(__xludf.DUMMYFUNCTION("""COMPUTED_VALUE"""),45339)</f>
        <v>45339</v>
      </c>
      <c r="R303" s="18"/>
      <c r="S303" s="5">
        <f ca="1">IFERROR(__xludf.DUMMYFUNCTION("""COMPUTED_VALUE"""),8)</f>
        <v>8</v>
      </c>
      <c r="T303" s="5"/>
      <c r="U303" s="5" t="str">
        <f ca="1">IFERROR(__xludf.DUMMYFUNCTION("""COMPUTED_VALUE"""),"Martinez Delgado Osver")</f>
        <v>Martinez Delgado Osver</v>
      </c>
      <c r="V303" s="5"/>
      <c r="W303" s="5" t="str">
        <f ca="1">IFERROR(__xludf.DUMMYFUNCTION("""COMPUTED_VALUE"""),"y77FWCHSe40")</f>
        <v>y77FWCHSe40</v>
      </c>
      <c r="X303" s="5">
        <f ca="1">IFERROR(__xludf.DUMMYFUNCTION("""COMPUTED_VALUE"""),8)</f>
        <v>8</v>
      </c>
      <c r="Y303" s="5" t="str">
        <f t="shared" si="2"/>
        <v>Actividad sin realizar</v>
      </c>
      <c r="Z303" s="3">
        <f ca="1">IFERROR(VLOOKUP(U303, 'Base de datos'!A:B, 2, FALSE), "")</f>
        <v>573104055117</v>
      </c>
      <c r="AA303" s="4" t="e">
        <f t="shared" ca="1" si="3"/>
        <v>#NAME?</v>
      </c>
    </row>
    <row r="304" spans="1:27" ht="15.75" customHeight="1">
      <c r="A304" s="5" t="str">
        <f ca="1">IFERROR(__xludf.DUMMYFUNCTION("""COMPUTED_VALUE"""),"POSTOBÓN YUMBO")</f>
        <v>POSTOBÓN YUMBO</v>
      </c>
      <c r="B304" s="5" t="str">
        <f ca="1">IFERROR(__xludf.DUMMYFUNCTION("""COMPUTED_VALUE"""),"0410-EQUIPOS AUXILIARES")</f>
        <v>0410-EQUIPOS AUXILIARES</v>
      </c>
      <c r="C304" s="5" t="str">
        <f ca="1">IFERROR(__xludf.DUMMYFUNCTION("""COMPUTED_VALUE"""),"EQUIPOS PARA SERVICIOS INDUSTRIALES")</f>
        <v>EQUIPOS PARA SERVICIOS INDUSTRIALES</v>
      </c>
      <c r="D304" s="5">
        <f ca="1">IFERROR(__xludf.DUMMYFUNCTION("""COMPUTED_VALUE"""),638555)</f>
        <v>638555</v>
      </c>
      <c r="E304" s="5" t="str">
        <f ca="1">IFERROR(__xludf.DUMMYFUNCTION("""COMPUTED_VALUE"""),"CONDENSADOR EVAPORATIVO")</f>
        <v>CONDENSADOR EVAPORATIVO</v>
      </c>
      <c r="F304" s="5">
        <f ca="1">IFERROR(__xludf.DUMMYFUNCTION("""COMPUTED_VALUE"""),21700)</f>
        <v>21700</v>
      </c>
      <c r="G304" s="5" t="str">
        <f ca="1">IFERROR(__xludf.DUMMYFUNCTION("""COMPUTED_VALUE"""),"PLAN MTTO LUB CONDENSADOR EVAP GASEOSA")</f>
        <v>PLAN MTTO LUB CONDENSADOR EVAP GASEOSA</v>
      </c>
      <c r="H304" s="5">
        <f ca="1">IFERROR(__xludf.DUMMYFUNCTION("""COMPUTED_VALUE"""),13193544)</f>
        <v>13193544</v>
      </c>
      <c r="I304" s="5" t="str">
        <f ca="1">IFERROR(__xludf.DUMMYFUNCTION("""COMPUTED_VALUE"""),"Lubricación chumaceras")</f>
        <v>Lubricación chumaceras</v>
      </c>
      <c r="J304" s="5" t="str">
        <f ca="1">IFERROR(__xludf.DUMMYFUNCTION("""COMPUTED_VALUE"""),"MEDIO")</f>
        <v>MEDIO</v>
      </c>
      <c r="K304" s="5" t="str">
        <f ca="1">IFERROR(__xludf.DUMMYFUNCTION("""COMPUTED_VALUE"""),"Preventivo")</f>
        <v>Preventivo</v>
      </c>
      <c r="L304" s="5" t="str">
        <f ca="1">IFERROR(__xludf.DUMMYFUNCTION("""COMPUTED_VALUE"""),"Maquinaria")</f>
        <v>Maquinaria</v>
      </c>
      <c r="M304" s="5" t="str">
        <f ca="1">IFERROR(__xludf.DUMMYFUNCTION("""COMPUTED_VALUE"""),"No")</f>
        <v>No</v>
      </c>
      <c r="N304" s="5"/>
      <c r="O304" s="5"/>
      <c r="P304" s="18">
        <f ca="1">IFERROR(__xludf.DUMMYFUNCTION("""COMPUTED_VALUE"""),45326)</f>
        <v>45326</v>
      </c>
      <c r="Q304" s="18">
        <f ca="1">IFERROR(__xludf.DUMMYFUNCTION("""COMPUTED_VALUE"""),45326)</f>
        <v>45326</v>
      </c>
      <c r="R304" s="18"/>
      <c r="S304" s="5">
        <f ca="1">IFERROR(__xludf.DUMMYFUNCTION("""COMPUTED_VALUE"""),2)</f>
        <v>2</v>
      </c>
      <c r="T304" s="5"/>
      <c r="U304" s="5" t="str">
        <f ca="1">IFERROR(__xludf.DUMMYFUNCTION("""COMPUTED_VALUE"""),"Henao William")</f>
        <v>Henao William</v>
      </c>
      <c r="V304" s="5"/>
      <c r="W304" s="5" t="str">
        <f ca="1">IFERROR(__xludf.DUMMYFUNCTION("""COMPUTED_VALUE"""),"pP_wl_Cw0Ks")</f>
        <v>pP_wl_Cw0Ks</v>
      </c>
      <c r="X304" s="5">
        <f ca="1">IFERROR(__xludf.DUMMYFUNCTION("""COMPUTED_VALUE"""),2)</f>
        <v>2</v>
      </c>
      <c r="Y304" s="5" t="str">
        <f t="shared" si="2"/>
        <v>Actividad sin realizar</v>
      </c>
      <c r="Z304" s="3">
        <f ca="1">IFERROR(VLOOKUP(U304, 'Base de datos'!A:B, 2, FALSE), "")</f>
        <v>573222217492</v>
      </c>
      <c r="AA304" s="4" t="e">
        <f t="shared" ca="1" si="3"/>
        <v>#NAME?</v>
      </c>
    </row>
    <row r="305" spans="1:27" ht="15.75" customHeight="1">
      <c r="A305" s="5" t="str">
        <f ca="1">IFERROR(__xludf.DUMMYFUNCTION("""COMPUTED_VALUE"""),"POSTOBÓN YUMBO")</f>
        <v>POSTOBÓN YUMBO</v>
      </c>
      <c r="B305" s="5" t="str">
        <f ca="1">IFERROR(__xludf.DUMMYFUNCTION("""COMPUTED_VALUE"""),"0410-CUARTO DE BOMBAS")</f>
        <v>0410-CUARTO DE BOMBAS</v>
      </c>
      <c r="C305" s="5" t="str">
        <f ca="1">IFERROR(__xludf.DUMMYFUNCTION("""COMPUTED_VALUE"""),"BOMBAS DE SERVICIO PROCESO")</f>
        <v>BOMBAS DE SERVICIO PROCESO</v>
      </c>
      <c r="D305" s="5">
        <f ca="1">IFERROR(__xludf.DUMMYFUNCTION("""COMPUTED_VALUE"""),70948913)</f>
        <v>70948913</v>
      </c>
      <c r="E305" s="5" t="str">
        <f ca="1">IFERROR(__xludf.DUMMYFUNCTION("""COMPUTED_VALUE"""),"BOMBA AGUA SERVICIOS EDIFICIOS ADMINIS")</f>
        <v>BOMBA AGUA SERVICIOS EDIFICIOS ADMINIS</v>
      </c>
      <c r="F305" s="5">
        <f ca="1">IFERROR(__xludf.DUMMYFUNCTION("""COMPUTED_VALUE"""),20680)</f>
        <v>20680</v>
      </c>
      <c r="G305" s="5" t="str">
        <f ca="1">IFERROR(__xludf.DUMMYFUNCTION("""COMPUTED_VALUE"""),"PLAN MTTO ELE BOMBA SERV EDI 70948913")</f>
        <v>PLAN MTTO ELE BOMBA SERV EDI 70948913</v>
      </c>
      <c r="H305" s="5">
        <f ca="1">IFERROR(__xludf.DUMMYFUNCTION("""COMPUTED_VALUE"""),13207386)</f>
        <v>13207386</v>
      </c>
      <c r="I305" s="5" t="str">
        <f ca="1">IFERROR(__xludf.DUMMYFUNCTION("""COMPUTED_VALUE"""),"Motor Bomba")</f>
        <v>Motor Bomba</v>
      </c>
      <c r="J305" s="5" t="str">
        <f ca="1">IFERROR(__xludf.DUMMYFUNCTION("""COMPUTED_VALUE"""),"ALTO")</f>
        <v>ALTO</v>
      </c>
      <c r="K305" s="5" t="str">
        <f ca="1">IFERROR(__xludf.DUMMYFUNCTION("""COMPUTED_VALUE"""),"Preventivo")</f>
        <v>Preventivo</v>
      </c>
      <c r="L305" s="5" t="str">
        <f ca="1">IFERROR(__xludf.DUMMYFUNCTION("""COMPUTED_VALUE"""),"Maquinaria")</f>
        <v>Maquinaria</v>
      </c>
      <c r="M305" s="5" t="str">
        <f ca="1">IFERROR(__xludf.DUMMYFUNCTION("""COMPUTED_VALUE"""),"No")</f>
        <v>No</v>
      </c>
      <c r="N305" s="5"/>
      <c r="O305" s="5"/>
      <c r="P305" s="18">
        <f ca="1">IFERROR(__xludf.DUMMYFUNCTION("""COMPUTED_VALUE"""),45351)</f>
        <v>45351</v>
      </c>
      <c r="Q305" s="18">
        <f ca="1">IFERROR(__xludf.DUMMYFUNCTION("""COMPUTED_VALUE"""),45351)</f>
        <v>45351</v>
      </c>
      <c r="R305" s="18"/>
      <c r="S305" s="5">
        <f ca="1">IFERROR(__xludf.DUMMYFUNCTION("""COMPUTED_VALUE"""),2)</f>
        <v>2</v>
      </c>
      <c r="T305" s="5"/>
      <c r="U305" s="5" t="str">
        <f ca="1">IFERROR(__xludf.DUMMYFUNCTION("""COMPUTED_VALUE"""),"John Edier Gomez Zuñiga")</f>
        <v>John Edier Gomez Zuñiga</v>
      </c>
      <c r="V305" s="5"/>
      <c r="W305" s="5" t="str">
        <f ca="1">IFERROR(__xludf.DUMMYFUNCTION("""COMPUTED_VALUE"""),"7D-3qS5cBHo")</f>
        <v>7D-3qS5cBHo</v>
      </c>
      <c r="X305" s="5">
        <f ca="1">IFERROR(__xludf.DUMMYFUNCTION("""COMPUTED_VALUE"""),2)</f>
        <v>2</v>
      </c>
      <c r="Y305" s="5" t="str">
        <f t="shared" si="2"/>
        <v>Actividad sin realizar</v>
      </c>
      <c r="Z305" s="3">
        <f ca="1">IFERROR(VLOOKUP(U305, 'Base de datos'!A:B, 2, FALSE), "")</f>
        <v>573003678745</v>
      </c>
      <c r="AA305" s="4" t="e">
        <f t="shared" ca="1" si="3"/>
        <v>#NAME?</v>
      </c>
    </row>
    <row r="306" spans="1:27" ht="15.75" customHeight="1">
      <c r="A306" s="5" t="str">
        <f ca="1">IFERROR(__xludf.DUMMYFUNCTION("""COMPUTED_VALUE"""),"POSTOBÓN YUMBO")</f>
        <v>POSTOBÓN YUMBO</v>
      </c>
      <c r="B306" s="5" t="str">
        <f ca="1">IFERROR(__xludf.DUMMYFUNCTION("""COMPUTED_VALUE"""),"0410-EQUIPOS AUXILIARES")</f>
        <v>0410-EQUIPOS AUXILIARES</v>
      </c>
      <c r="C306" s="5" t="str">
        <f ca="1">IFERROR(__xludf.DUMMYFUNCTION("""COMPUTED_VALUE"""),"EQUIPOS PARA SERVICIOS INDUSTRIALES")</f>
        <v>EQUIPOS PARA SERVICIOS INDUSTRIALES</v>
      </c>
      <c r="D306" s="5">
        <f ca="1">IFERROR(__xludf.DUMMYFUNCTION("""COMPUTED_VALUE"""),829072)</f>
        <v>829072</v>
      </c>
      <c r="E306" s="5" t="str">
        <f ca="1">IFERROR(__xludf.DUMMYFUNCTION("""COMPUTED_VALUE"""),"COMPRESOR TORNILLO AIRE VEL. VARIABLE")</f>
        <v>COMPRESOR TORNILLO AIRE VEL. VARIABLE</v>
      </c>
      <c r="F306" s="5">
        <f ca="1">IFERROR(__xludf.DUMMYFUNCTION("""COMPUTED_VALUE"""),25380)</f>
        <v>25380</v>
      </c>
      <c r="G306" s="5" t="str">
        <f ca="1">IFERROR(__xludf.DUMMYFUNCTION("""COMPUTED_VALUE"""),"PLAN MTTO ELE COMPRESOR AIRE KAESER")</f>
        <v>PLAN MTTO ELE COMPRESOR AIRE KAESER</v>
      </c>
      <c r="H306" s="5">
        <f ca="1">IFERROR(__xludf.DUMMYFUNCTION("""COMPUTED_VALUE"""),13207476)</f>
        <v>13207476</v>
      </c>
      <c r="I306" s="5" t="str">
        <f ca="1">IFERROR(__xludf.DUMMYFUNCTION("""COMPUTED_VALUE"""),"AJUSTAR Y VERIFICAR CONEXIONES ELECTRICA")</f>
        <v>AJUSTAR Y VERIFICAR CONEXIONES ELECTRICA</v>
      </c>
      <c r="J306" s="5" t="str">
        <f ca="1">IFERROR(__xludf.DUMMYFUNCTION("""COMPUTED_VALUE"""),"MEDIO")</f>
        <v>MEDIO</v>
      </c>
      <c r="K306" s="5" t="str">
        <f ca="1">IFERROR(__xludf.DUMMYFUNCTION("""COMPUTED_VALUE"""),"Preventivo")</f>
        <v>Preventivo</v>
      </c>
      <c r="L306" s="5" t="str">
        <f ca="1">IFERROR(__xludf.DUMMYFUNCTION("""COMPUTED_VALUE"""),"Maquinaria")</f>
        <v>Maquinaria</v>
      </c>
      <c r="M306" s="5" t="str">
        <f ca="1">IFERROR(__xludf.DUMMYFUNCTION("""COMPUTED_VALUE"""),"No")</f>
        <v>No</v>
      </c>
      <c r="N306" s="5"/>
      <c r="O306" s="5"/>
      <c r="P306" s="18">
        <f ca="1">IFERROR(__xludf.DUMMYFUNCTION("""COMPUTED_VALUE"""),45345)</f>
        <v>45345</v>
      </c>
      <c r="Q306" s="18">
        <f ca="1">IFERROR(__xludf.DUMMYFUNCTION("""COMPUTED_VALUE"""),45345)</f>
        <v>45345</v>
      </c>
      <c r="R306" s="18"/>
      <c r="S306" s="5">
        <f ca="1">IFERROR(__xludf.DUMMYFUNCTION("""COMPUTED_VALUE"""),0.5)</f>
        <v>0.5</v>
      </c>
      <c r="T306" s="5"/>
      <c r="U306" s="5" t="str">
        <f ca="1">IFERROR(__xludf.DUMMYFUNCTION("""COMPUTED_VALUE"""),"JEFFERSON BRAVO PIEDRAHITA")</f>
        <v>JEFFERSON BRAVO PIEDRAHITA</v>
      </c>
      <c r="V306" s="5"/>
      <c r="W306" s="5" t="str">
        <f ca="1">IFERROR(__xludf.DUMMYFUNCTION("""COMPUTED_VALUE"""),"KqjJr5RnOEw")</f>
        <v>KqjJr5RnOEw</v>
      </c>
      <c r="X306" s="5">
        <f ca="1">IFERROR(__xludf.DUMMYFUNCTION("""COMPUTED_VALUE"""),0.5)</f>
        <v>0.5</v>
      </c>
      <c r="Y306" s="5" t="str">
        <f t="shared" si="2"/>
        <v>Actividad sin realizar</v>
      </c>
      <c r="Z306" s="3">
        <f ca="1">IFERROR(VLOOKUP(U306, 'Base de datos'!A:B, 2, FALSE), "")</f>
        <v>573043623277</v>
      </c>
      <c r="AA306" s="4" t="e">
        <f t="shared" ca="1" si="3"/>
        <v>#NAME?</v>
      </c>
    </row>
    <row r="307" spans="1:27" ht="15.75" customHeight="1">
      <c r="A307" s="5" t="str">
        <f ca="1">IFERROR(__xludf.DUMMYFUNCTION("""COMPUTED_VALUE"""),"POSTOBÓN YUMBO")</f>
        <v>POSTOBÓN YUMBO</v>
      </c>
      <c r="B307" s="5" t="str">
        <f ca="1">IFERROR(__xludf.DUMMYFUNCTION("""COMPUTED_VALUE"""),"0410-CUARTO DE BOMBAS")</f>
        <v>0410-CUARTO DE BOMBAS</v>
      </c>
      <c r="C307" s="5" t="str">
        <f ca="1">IFERROR(__xludf.DUMMYFUNCTION("""COMPUTED_VALUE"""),"BOMBAS DE SERVICIO PROCESO")</f>
        <v>BOMBAS DE SERVICIO PROCESO</v>
      </c>
      <c r="D307" s="5">
        <f ca="1">IFERROR(__xludf.DUMMYFUNCTION("""COMPUTED_VALUE"""),70948605)</f>
        <v>70948605</v>
      </c>
      <c r="E307" s="5" t="str">
        <f ca="1">IFERROR(__xludf.DUMMYFUNCTION("""COMPUTED_VALUE"""),"BOMBAS RECIRCULACION CL2 TQ NORTE")</f>
        <v>BOMBAS RECIRCULACION CL2 TQ NORTE</v>
      </c>
      <c r="F307" s="5">
        <f ca="1">IFERROR(__xludf.DUMMYFUNCTION("""COMPUTED_VALUE"""),42252)</f>
        <v>42252</v>
      </c>
      <c r="G307" s="5" t="str">
        <f ca="1">IFERROR(__xludf.DUMMYFUNCTION("""COMPUTED_VALUE"""),"PLAN MTTO MEC BOMBAS RECIR CL2 TK NORTE")</f>
        <v>PLAN MTTO MEC BOMBAS RECIR CL2 TK NORTE</v>
      </c>
      <c r="H307" s="5">
        <f ca="1">IFERROR(__xludf.DUMMYFUNCTION("""COMPUTED_VALUE"""),13153669)</f>
        <v>13153669</v>
      </c>
      <c r="I307" s="5" t="str">
        <f ca="1">IFERROR(__xludf.DUMMYFUNCTION("""COMPUTED_VALUE"""),"Valvula cheque:")</f>
        <v>Valvula cheque:</v>
      </c>
      <c r="J307" s="5" t="str">
        <f ca="1">IFERROR(__xludf.DUMMYFUNCTION("""COMPUTED_VALUE"""),"ALTO")</f>
        <v>ALTO</v>
      </c>
      <c r="K307" s="5" t="str">
        <f ca="1">IFERROR(__xludf.DUMMYFUNCTION("""COMPUTED_VALUE"""),"Preventivo")</f>
        <v>Preventivo</v>
      </c>
      <c r="L307" s="5" t="str">
        <f ca="1">IFERROR(__xludf.DUMMYFUNCTION("""COMPUTED_VALUE"""),"Maquinaria")</f>
        <v>Maquinaria</v>
      </c>
      <c r="M307" s="5" t="str">
        <f ca="1">IFERROR(__xludf.DUMMYFUNCTION("""COMPUTED_VALUE"""),"No")</f>
        <v>No</v>
      </c>
      <c r="N307" s="5"/>
      <c r="O307" s="5"/>
      <c r="P307" s="18">
        <f ca="1">IFERROR(__xludf.DUMMYFUNCTION("""COMPUTED_VALUE"""),45333)</f>
        <v>45333</v>
      </c>
      <c r="Q307" s="18">
        <f ca="1">IFERROR(__xludf.DUMMYFUNCTION("""COMPUTED_VALUE"""),45333)</f>
        <v>45333</v>
      </c>
      <c r="R307" s="18"/>
      <c r="S307" s="5">
        <f ca="1">IFERROR(__xludf.DUMMYFUNCTION("""COMPUTED_VALUE"""),0.5)</f>
        <v>0.5</v>
      </c>
      <c r="T307" s="5"/>
      <c r="U307" s="5" t="str">
        <f ca="1">IFERROR(__xludf.DUMMYFUNCTION("""COMPUTED_VALUE"""),"John Edier Gomez Zuñiga")</f>
        <v>John Edier Gomez Zuñiga</v>
      </c>
      <c r="V307" s="5"/>
      <c r="W307" s="5" t="str">
        <f ca="1">IFERROR(__xludf.DUMMYFUNCTION("""COMPUTED_VALUE"""),"ZXP7YBhsP2c")</f>
        <v>ZXP7YBhsP2c</v>
      </c>
      <c r="X307" s="5">
        <f ca="1">IFERROR(__xludf.DUMMYFUNCTION("""COMPUTED_VALUE"""),0.5)</f>
        <v>0.5</v>
      </c>
      <c r="Y307" s="5" t="str">
        <f t="shared" si="2"/>
        <v>Actividad sin realizar</v>
      </c>
      <c r="Z307" s="3">
        <f ca="1">IFERROR(VLOOKUP(U307, 'Base de datos'!A:B, 2, FALSE), "")</f>
        <v>573003678745</v>
      </c>
      <c r="AA307" s="4" t="e">
        <f t="shared" ca="1" si="3"/>
        <v>#NAME?</v>
      </c>
    </row>
    <row r="308" spans="1:27" ht="15.75" customHeight="1">
      <c r="A308" s="5" t="str">
        <f ca="1">IFERROR(__xludf.DUMMYFUNCTION("""COMPUTED_VALUE"""),"POSTOBÓN YUMBO")</f>
        <v>POSTOBÓN YUMBO</v>
      </c>
      <c r="B308" s="5" t="str">
        <f ca="1">IFERROR(__xludf.DUMMYFUNCTION("""COMPUTED_VALUE"""),"0410-EQUIPOS AUXILIARES")</f>
        <v>0410-EQUIPOS AUXILIARES</v>
      </c>
      <c r="C308" s="5" t="str">
        <f ca="1">IFERROR(__xludf.DUMMYFUNCTION("""COMPUTED_VALUE"""),"EQUIPOS PARA SERVICIOS INDUSTRIALES")</f>
        <v>EQUIPOS PARA SERVICIOS INDUSTRIALES</v>
      </c>
      <c r="D308" s="5">
        <f ca="1">IFERROR(__xludf.DUMMYFUNCTION("""COMPUTED_VALUE"""),649544)</f>
        <v>649544</v>
      </c>
      <c r="E308" s="5" t="str">
        <f ca="1">IFERROR(__xludf.DUMMYFUNCTION("""COMPUTED_VALUE"""),"COMPRESOR AIRE 3")</f>
        <v>COMPRESOR AIRE 3</v>
      </c>
      <c r="F308" s="5">
        <f ca="1">IFERROR(__xludf.DUMMYFUNCTION("""COMPUTED_VALUE"""),22534)</f>
        <v>22534</v>
      </c>
      <c r="G308" s="5" t="str">
        <f ca="1">IFERROR(__xludf.DUMMYFUNCTION("""COMPUTED_VALUE"""),"PLAN MTTO MEC COMPRESOR AIRE SIERRA 3")</f>
        <v>PLAN MTTO MEC COMPRESOR AIRE SIERRA 3</v>
      </c>
      <c r="H308" s="5">
        <f ca="1">IFERROR(__xludf.DUMMYFUNCTION("""COMPUTED_VALUE"""),13207428)</f>
        <v>13207428</v>
      </c>
      <c r="I308" s="5" t="str">
        <f ca="1">IFERROR(__xludf.DUMMYFUNCTION("""COMPUTED_VALUE"""),"CAMBIAR FILTRO DE AIRE COMPRESOR:")</f>
        <v>CAMBIAR FILTRO DE AIRE COMPRESOR:</v>
      </c>
      <c r="J308" s="5" t="str">
        <f ca="1">IFERROR(__xludf.DUMMYFUNCTION("""COMPUTED_VALUE"""),"MEDIO")</f>
        <v>MEDIO</v>
      </c>
      <c r="K308" s="5" t="str">
        <f ca="1">IFERROR(__xludf.DUMMYFUNCTION("""COMPUTED_VALUE"""),"Preventivo")</f>
        <v>Preventivo</v>
      </c>
      <c r="L308" s="5" t="str">
        <f ca="1">IFERROR(__xludf.DUMMYFUNCTION("""COMPUTED_VALUE"""),"Maquinaria")</f>
        <v>Maquinaria</v>
      </c>
      <c r="M308" s="5" t="str">
        <f ca="1">IFERROR(__xludf.DUMMYFUNCTION("""COMPUTED_VALUE"""),"No")</f>
        <v>No</v>
      </c>
      <c r="N308" s="5"/>
      <c r="O308" s="5"/>
      <c r="P308" s="18">
        <f ca="1">IFERROR(__xludf.DUMMYFUNCTION("""COMPUTED_VALUE"""),45336)</f>
        <v>45336</v>
      </c>
      <c r="Q308" s="18">
        <f ca="1">IFERROR(__xludf.DUMMYFUNCTION("""COMPUTED_VALUE"""),45336)</f>
        <v>45336</v>
      </c>
      <c r="R308" s="18"/>
      <c r="S308" s="5">
        <f ca="1">IFERROR(__xludf.DUMMYFUNCTION("""COMPUTED_VALUE"""),0.5)</f>
        <v>0.5</v>
      </c>
      <c r="T308" s="5"/>
      <c r="U308" s="5" t="str">
        <f ca="1">IFERROR(__xludf.DUMMYFUNCTION("""COMPUTED_VALUE"""),"MARIO ALBERTO MARTÍNEZ MORA")</f>
        <v>MARIO ALBERTO MARTÍNEZ MORA</v>
      </c>
      <c r="V308" s="5"/>
      <c r="W308" s="5" t="str">
        <f ca="1">IFERROR(__xludf.DUMMYFUNCTION("""COMPUTED_VALUE"""),"JoXBCCmg5Zs")</f>
        <v>JoXBCCmg5Zs</v>
      </c>
      <c r="X308" s="5">
        <f ca="1">IFERROR(__xludf.DUMMYFUNCTION("""COMPUTED_VALUE"""),0.5)</f>
        <v>0.5</v>
      </c>
      <c r="Y308" s="5" t="str">
        <f t="shared" si="2"/>
        <v>Actividad sin realizar</v>
      </c>
      <c r="Z308" s="3">
        <f ca="1">IFERROR(VLOOKUP(U308, 'Base de datos'!A:B, 2, FALSE), "")</f>
        <v>573116493969</v>
      </c>
      <c r="AA308" s="4" t="e">
        <f t="shared" ca="1" si="3"/>
        <v>#NAME?</v>
      </c>
    </row>
    <row r="309" spans="1:27" ht="15.75" customHeight="1">
      <c r="A309" s="5" t="str">
        <f ca="1">IFERROR(__xludf.DUMMYFUNCTION("""COMPUTED_VALUE"""),"POSTOBÓN YUMBO")</f>
        <v>POSTOBÓN YUMBO</v>
      </c>
      <c r="B309" s="5" t="str">
        <f ca="1">IFERROR(__xludf.DUMMYFUNCTION("""COMPUTED_VALUE"""),"0410-LINEA DE BOLSAS")</f>
        <v>0410-LINEA DE BOLSAS</v>
      </c>
      <c r="C309" s="5" t="str">
        <f ca="1">IFERROR(__xludf.DUMMYFUNCTION("""COMPUTED_VALUE"""),"LINEA PARA EL LLENADO DE BOLSAS")</f>
        <v>LINEA PARA EL LLENADO DE BOLSAS</v>
      </c>
      <c r="D309" s="5">
        <f ca="1">IFERROR(__xludf.DUMMYFUNCTION("""COMPUTED_VALUE"""),710199)</f>
        <v>710199</v>
      </c>
      <c r="E309" s="5" t="str">
        <f ca="1">IFERROR(__xludf.DUMMYFUNCTION("""COMPUTED_VALUE"""),"LLENADORA DE BOLSAS LINEA 5")</f>
        <v>LLENADORA DE BOLSAS LINEA 5</v>
      </c>
      <c r="F309" s="5">
        <f ca="1">IFERROR(__xludf.DUMMYFUNCTION("""COMPUTED_VALUE"""),22715)</f>
        <v>22715</v>
      </c>
      <c r="G309" s="5" t="str">
        <f ca="1">IFERROR(__xludf.DUMMYFUNCTION("""COMPUTED_VALUE"""),"PLAN MTTO ELE LLENADORA BOLSA 5L 710199")</f>
        <v>PLAN MTTO ELE LLENADORA BOLSA 5L 710199</v>
      </c>
      <c r="H309" s="5">
        <f ca="1">IFERROR(__xludf.DUMMYFUNCTION("""COMPUTED_VALUE"""),13207465)</f>
        <v>13207465</v>
      </c>
      <c r="I309" s="5" t="str">
        <f ca="1">IFERROR(__xludf.DUMMYFUNCTION("""COMPUTED_VALUE"""),"Revisar estado horometro")</f>
        <v>Revisar estado horometro</v>
      </c>
      <c r="J309" s="5" t="str">
        <f ca="1">IFERROR(__xludf.DUMMYFUNCTION("""COMPUTED_VALUE"""),"ALTO")</f>
        <v>ALTO</v>
      </c>
      <c r="K309" s="5" t="str">
        <f ca="1">IFERROR(__xludf.DUMMYFUNCTION("""COMPUTED_VALUE"""),"Preventivo")</f>
        <v>Preventivo</v>
      </c>
      <c r="L309" s="5" t="str">
        <f ca="1">IFERROR(__xludf.DUMMYFUNCTION("""COMPUTED_VALUE"""),"Maquinaria")</f>
        <v>Maquinaria</v>
      </c>
      <c r="M309" s="5" t="str">
        <f ca="1">IFERROR(__xludf.DUMMYFUNCTION("""COMPUTED_VALUE"""),"No")</f>
        <v>No</v>
      </c>
      <c r="N309" s="5"/>
      <c r="O309" s="5"/>
      <c r="P309" s="18">
        <f ca="1">IFERROR(__xludf.DUMMYFUNCTION("""COMPUTED_VALUE"""),45349)</f>
        <v>45349</v>
      </c>
      <c r="Q309" s="18">
        <f ca="1">IFERROR(__xludf.DUMMYFUNCTION("""COMPUTED_VALUE"""),45349)</f>
        <v>45349</v>
      </c>
      <c r="R309" s="18"/>
      <c r="S309" s="5">
        <f ca="1">IFERROR(__xludf.DUMMYFUNCTION("""COMPUTED_VALUE"""),0.5)</f>
        <v>0.5</v>
      </c>
      <c r="T309" s="5"/>
      <c r="U309" s="5" t="str">
        <f ca="1">IFERROR(__xludf.DUMMYFUNCTION("""COMPUTED_VALUE"""),"ESTEBAN POTOSI ISAZA")</f>
        <v>ESTEBAN POTOSI ISAZA</v>
      </c>
      <c r="V309" s="5"/>
      <c r="W309" s="5" t="str">
        <f ca="1">IFERROR(__xludf.DUMMYFUNCTION("""COMPUTED_VALUE"""),"on8yTRLvIdg")</f>
        <v>on8yTRLvIdg</v>
      </c>
      <c r="X309" s="5">
        <f ca="1">IFERROR(__xludf.DUMMYFUNCTION("""COMPUTED_VALUE"""),0.5)</f>
        <v>0.5</v>
      </c>
      <c r="Y309" s="5" t="str">
        <f t="shared" si="2"/>
        <v>Actividad sin realizar</v>
      </c>
      <c r="Z309" s="3">
        <f ca="1">IFERROR(VLOOKUP(U309, 'Base de datos'!A:B, 2, FALSE), "")</f>
        <v>573128543241</v>
      </c>
      <c r="AA309" s="4" t="e">
        <f t="shared" ca="1" si="3"/>
        <v>#NAME?</v>
      </c>
    </row>
    <row r="310" spans="1:27" ht="15.75" customHeight="1">
      <c r="A310" s="5" t="str">
        <f ca="1">IFERROR(__xludf.DUMMYFUNCTION("""COMPUTED_VALUE"""),"POSTOBÓN YUMBO")</f>
        <v>POSTOBÓN YUMBO</v>
      </c>
      <c r="B310" s="5" t="str">
        <f ca="1">IFERROR(__xludf.DUMMYFUNCTION("""COMPUTED_VALUE"""),"0410-EQUIPOS AUXILIARES")</f>
        <v>0410-EQUIPOS AUXILIARES</v>
      </c>
      <c r="C310" s="5" t="str">
        <f ca="1">IFERROR(__xludf.DUMMYFUNCTION("""COMPUTED_VALUE"""),"EQUIPOS PARA SERVICIOS INDUSTRIALES")</f>
        <v>EQUIPOS PARA SERVICIOS INDUSTRIALES</v>
      </c>
      <c r="D310" s="5">
        <f ca="1">IFERROR(__xludf.DUMMYFUNCTION("""COMPUTED_VALUE"""),649544)</f>
        <v>649544</v>
      </c>
      <c r="E310" s="5" t="str">
        <f ca="1">IFERROR(__xludf.DUMMYFUNCTION("""COMPUTED_VALUE"""),"COMPRESOR AIRE 3")</f>
        <v>COMPRESOR AIRE 3</v>
      </c>
      <c r="F310" s="5">
        <f ca="1">IFERROR(__xludf.DUMMYFUNCTION("""COMPUTED_VALUE"""),22534)</f>
        <v>22534</v>
      </c>
      <c r="G310" s="5" t="str">
        <f ca="1">IFERROR(__xludf.DUMMYFUNCTION("""COMPUTED_VALUE"""),"PLAN MTTO MEC COMPRESOR AIRE SIERRA 3")</f>
        <v>PLAN MTTO MEC COMPRESOR AIRE SIERRA 3</v>
      </c>
      <c r="H310" s="5">
        <f ca="1">IFERROR(__xludf.DUMMYFUNCTION("""COMPUTED_VALUE"""),13207428)</f>
        <v>13207428</v>
      </c>
      <c r="I310" s="5" t="str">
        <f ca="1">IFERROR(__xludf.DUMMYFUNCTION("""COMPUTED_VALUE"""),"LUBRICAR COJINETE:")</f>
        <v>LUBRICAR COJINETE:</v>
      </c>
      <c r="J310" s="5" t="str">
        <f ca="1">IFERROR(__xludf.DUMMYFUNCTION("""COMPUTED_VALUE"""),"MEDIO")</f>
        <v>MEDIO</v>
      </c>
      <c r="K310" s="5" t="str">
        <f ca="1">IFERROR(__xludf.DUMMYFUNCTION("""COMPUTED_VALUE"""),"Preventivo")</f>
        <v>Preventivo</v>
      </c>
      <c r="L310" s="5" t="str">
        <f ca="1">IFERROR(__xludf.DUMMYFUNCTION("""COMPUTED_VALUE"""),"Maquinaria")</f>
        <v>Maquinaria</v>
      </c>
      <c r="M310" s="5" t="str">
        <f ca="1">IFERROR(__xludf.DUMMYFUNCTION("""COMPUTED_VALUE"""),"No")</f>
        <v>No</v>
      </c>
      <c r="N310" s="5"/>
      <c r="O310" s="5"/>
      <c r="P310" s="18">
        <f ca="1">IFERROR(__xludf.DUMMYFUNCTION("""COMPUTED_VALUE"""),45336)</f>
        <v>45336</v>
      </c>
      <c r="Q310" s="18">
        <f ca="1">IFERROR(__xludf.DUMMYFUNCTION("""COMPUTED_VALUE"""),45336)</f>
        <v>45336</v>
      </c>
      <c r="R310" s="18"/>
      <c r="S310" s="5">
        <f ca="1">IFERROR(__xludf.DUMMYFUNCTION("""COMPUTED_VALUE"""),0.5)</f>
        <v>0.5</v>
      </c>
      <c r="T310" s="5"/>
      <c r="U310" s="5" t="str">
        <f ca="1">IFERROR(__xludf.DUMMYFUNCTION("""COMPUTED_VALUE"""),"MARIO ALBERTO MARTÍNEZ MORA")</f>
        <v>MARIO ALBERTO MARTÍNEZ MORA</v>
      </c>
      <c r="V310" s="5"/>
      <c r="W310" s="5" t="str">
        <f ca="1">IFERROR(__xludf.DUMMYFUNCTION("""COMPUTED_VALUE"""),"dWj__zIjrA8")</f>
        <v>dWj__zIjrA8</v>
      </c>
      <c r="X310" s="5">
        <f ca="1">IFERROR(__xludf.DUMMYFUNCTION("""COMPUTED_VALUE"""),0.5)</f>
        <v>0.5</v>
      </c>
      <c r="Y310" s="5" t="str">
        <f t="shared" si="2"/>
        <v>Actividad sin realizar</v>
      </c>
      <c r="Z310" s="3">
        <f ca="1">IFERROR(VLOOKUP(U310, 'Base de datos'!A:B, 2, FALSE), "")</f>
        <v>573116493969</v>
      </c>
      <c r="AA310" s="4" t="e">
        <f t="shared" ca="1" si="3"/>
        <v>#NAME?</v>
      </c>
    </row>
    <row r="311" spans="1:27" ht="15.75" customHeight="1">
      <c r="A311" s="5" t="str">
        <f ca="1">IFERROR(__xludf.DUMMYFUNCTION("""COMPUTED_VALUE"""),"POSTOBÓN YUMBO")</f>
        <v>POSTOBÓN YUMBO</v>
      </c>
      <c r="B311" s="5" t="str">
        <f ca="1">IFERROR(__xludf.DUMMYFUNCTION("""COMPUTED_VALUE"""),"0410-PLANTA DE AGUA ENVASADO")</f>
        <v>0410-PLANTA DE AGUA ENVASADO</v>
      </c>
      <c r="C311" s="5" t="str">
        <f ca="1">IFERROR(__xludf.DUMMYFUNCTION("""COMPUTED_VALUE"""),"TRATAMIENTO DE AGUA PARA ENVASADO")</f>
        <v>TRATAMIENTO DE AGUA PARA ENVASADO</v>
      </c>
      <c r="D311" s="5">
        <f ca="1">IFERROR(__xludf.DUMMYFUNCTION("""COMPUTED_VALUE"""),700038)</f>
        <v>700038</v>
      </c>
      <c r="E311" s="5" t="str">
        <f ca="1">IFERROR(__xludf.DUMMYFUNCTION("""COMPUTED_VALUE"""),"TANQUE AGUA SUAVIZADA")</f>
        <v>TANQUE AGUA SUAVIZADA</v>
      </c>
      <c r="F311" s="5">
        <f ca="1">IFERROR(__xludf.DUMMYFUNCTION("""COMPUTED_VALUE"""),21763)</f>
        <v>21763</v>
      </c>
      <c r="G311" s="5" t="str">
        <f ca="1">IFERROR(__xludf.DUMMYFUNCTION("""COMPUTED_VALUE"""),"PLAN MTTO ELE TK SALMUERA (SUAVIZADOR)")</f>
        <v>PLAN MTTO ELE TK SALMUERA (SUAVIZADOR)</v>
      </c>
      <c r="H311" s="5">
        <f ca="1">IFERROR(__xludf.DUMMYFUNCTION("""COMPUTED_VALUE"""),13207423)</f>
        <v>13207423</v>
      </c>
      <c r="I311" s="5" t="str">
        <f ca="1">IFERROR(__xludf.DUMMYFUNCTION("""COMPUTED_VALUE"""),"ELECTROVALVULAS ENTRADA AGUA")</f>
        <v>ELECTROVALVULAS ENTRADA AGUA</v>
      </c>
      <c r="J311" s="5" t="str">
        <f ca="1">IFERROR(__xludf.DUMMYFUNCTION("""COMPUTED_VALUE"""),"ALTO")</f>
        <v>ALTO</v>
      </c>
      <c r="K311" s="5" t="str">
        <f ca="1">IFERROR(__xludf.DUMMYFUNCTION("""COMPUTED_VALUE"""),"Preventivo")</f>
        <v>Preventivo</v>
      </c>
      <c r="L311" s="5" t="str">
        <f ca="1">IFERROR(__xludf.DUMMYFUNCTION("""COMPUTED_VALUE"""),"Maquinaria")</f>
        <v>Maquinaria</v>
      </c>
      <c r="M311" s="5" t="str">
        <f ca="1">IFERROR(__xludf.DUMMYFUNCTION("""COMPUTED_VALUE"""),"No")</f>
        <v>No</v>
      </c>
      <c r="N311" s="5"/>
      <c r="O311" s="5"/>
      <c r="P311" s="18">
        <f ca="1">IFERROR(__xludf.DUMMYFUNCTION("""COMPUTED_VALUE"""),45351)</f>
        <v>45351</v>
      </c>
      <c r="Q311" s="18">
        <f ca="1">IFERROR(__xludf.DUMMYFUNCTION("""COMPUTED_VALUE"""),45351)</f>
        <v>45351</v>
      </c>
      <c r="R311" s="18"/>
      <c r="S311" s="5">
        <f ca="1">IFERROR(__xludf.DUMMYFUNCTION("""COMPUTED_VALUE"""),0.5)</f>
        <v>0.5</v>
      </c>
      <c r="T311" s="5"/>
      <c r="U311" s="5" t="str">
        <f ca="1">IFERROR(__xludf.DUMMYFUNCTION("""COMPUTED_VALUE"""),"Guzman Palechor Miguel Angel")</f>
        <v>Guzman Palechor Miguel Angel</v>
      </c>
      <c r="V311" s="5"/>
      <c r="W311" s="5" t="str">
        <f ca="1">IFERROR(__xludf.DUMMYFUNCTION("""COMPUTED_VALUE"""),"PrEVdKzM65w")</f>
        <v>PrEVdKzM65w</v>
      </c>
      <c r="X311" s="5">
        <f ca="1">IFERROR(__xludf.DUMMYFUNCTION("""COMPUTED_VALUE"""),0.5)</f>
        <v>0.5</v>
      </c>
      <c r="Y311" s="5" t="str">
        <f t="shared" si="2"/>
        <v>Actividad sin realizar</v>
      </c>
      <c r="Z311" s="3">
        <f ca="1">IFERROR(VLOOKUP(U311, 'Base de datos'!A:B, 2, FALSE), "")</f>
        <v>573112422176</v>
      </c>
      <c r="AA311" s="4" t="e">
        <f t="shared" ca="1" si="3"/>
        <v>#NAME?</v>
      </c>
    </row>
    <row r="312" spans="1:27" ht="15.75" customHeight="1">
      <c r="A312" s="5" t="str">
        <f ca="1">IFERROR(__xludf.DUMMYFUNCTION("""COMPUTED_VALUE"""),"POSTOBÓN YUMBO")</f>
        <v>POSTOBÓN YUMBO</v>
      </c>
      <c r="B312" s="5" t="str">
        <f ca="1">IFERROR(__xludf.DUMMYFUNCTION("""COMPUTED_VALUE"""),"0410-PLANTA DE AGUA ENVASADO")</f>
        <v>0410-PLANTA DE AGUA ENVASADO</v>
      </c>
      <c r="C312" s="5" t="str">
        <f ca="1">IFERROR(__xludf.DUMMYFUNCTION("""COMPUTED_VALUE"""),"TRATAMIENTO DE AGUA PARA ENVASADO")</f>
        <v>TRATAMIENTO DE AGUA PARA ENVASADO</v>
      </c>
      <c r="D312" s="5">
        <f ca="1">IFERROR(__xludf.DUMMYFUNCTION("""COMPUTED_VALUE"""),70948949)</f>
        <v>70948949</v>
      </c>
      <c r="E312" s="5" t="str">
        <f ca="1">IFERROR(__xludf.DUMMYFUNCTION("""COMPUTED_VALUE"""),"TANQUE FIBR ACD CLORU FERRI - TRAT PRIM")</f>
        <v>TANQUE FIBR ACD CLORU FERRI - TRAT PRIM</v>
      </c>
      <c r="F312" s="5">
        <f ca="1">IFERROR(__xludf.DUMMYFUNCTION("""COMPUTED_VALUE"""),32892)</f>
        <v>32892</v>
      </c>
      <c r="G312" s="5" t="str">
        <f ca="1">IFERROR(__xludf.DUMMYFUNCTION("""COMPUTED_VALUE"""),"PLAN MTTO MEC TANQUE FIBR ACD CLORU FERR")</f>
        <v>PLAN MTTO MEC TANQUE FIBR ACD CLORU FERR</v>
      </c>
      <c r="H312" s="5">
        <f ca="1">IFERROR(__xludf.DUMMYFUNCTION("""COMPUTED_VALUE"""),13207489)</f>
        <v>13207489</v>
      </c>
      <c r="I312" s="5" t="str">
        <f ca="1">IFERROR(__xludf.DUMMYFUNCTION("""COMPUTED_VALUE"""),"VERIFICACION FUGAS")</f>
        <v>VERIFICACION FUGAS</v>
      </c>
      <c r="J312" s="5" t="str">
        <f ca="1">IFERROR(__xludf.DUMMYFUNCTION("""COMPUTED_VALUE"""),"ALTO")</f>
        <v>ALTO</v>
      </c>
      <c r="K312" s="5" t="str">
        <f ca="1">IFERROR(__xludf.DUMMYFUNCTION("""COMPUTED_VALUE"""),"Preventivo")</f>
        <v>Preventivo</v>
      </c>
      <c r="L312" s="5" t="str">
        <f ca="1">IFERROR(__xludf.DUMMYFUNCTION("""COMPUTED_VALUE"""),"Maquinaria")</f>
        <v>Maquinaria</v>
      </c>
      <c r="M312" s="5" t="str">
        <f ca="1">IFERROR(__xludf.DUMMYFUNCTION("""COMPUTED_VALUE"""),"No")</f>
        <v>No</v>
      </c>
      <c r="N312" s="5"/>
      <c r="O312" s="5"/>
      <c r="P312" s="18">
        <f ca="1">IFERROR(__xludf.DUMMYFUNCTION("""COMPUTED_VALUE"""),45344)</f>
        <v>45344</v>
      </c>
      <c r="Q312" s="18">
        <f ca="1">IFERROR(__xludf.DUMMYFUNCTION("""COMPUTED_VALUE"""),45344)</f>
        <v>45344</v>
      </c>
      <c r="R312" s="18"/>
      <c r="S312" s="5">
        <f ca="1">IFERROR(__xludf.DUMMYFUNCTION("""COMPUTED_VALUE"""),0.5)</f>
        <v>0.5</v>
      </c>
      <c r="T312" s="5"/>
      <c r="U312" s="5" t="str">
        <f ca="1">IFERROR(__xludf.DUMMYFUNCTION("""COMPUTED_VALUE"""),"Guzman Palechor Miguel Angel")</f>
        <v>Guzman Palechor Miguel Angel</v>
      </c>
      <c r="V312" s="5"/>
      <c r="W312" s="5" t="str">
        <f ca="1">IFERROR(__xludf.DUMMYFUNCTION("""COMPUTED_VALUE"""),"n_HIC0aPlIw")</f>
        <v>n_HIC0aPlIw</v>
      </c>
      <c r="X312" s="5">
        <f ca="1">IFERROR(__xludf.DUMMYFUNCTION("""COMPUTED_VALUE"""),0.5)</f>
        <v>0.5</v>
      </c>
      <c r="Y312" s="5" t="str">
        <f t="shared" si="2"/>
        <v>Actividad sin realizar</v>
      </c>
      <c r="Z312" s="3">
        <f ca="1">IFERROR(VLOOKUP(U312, 'Base de datos'!A:B, 2, FALSE), "")</f>
        <v>573112422176</v>
      </c>
      <c r="AA312" s="4" t="e">
        <f t="shared" ca="1" si="3"/>
        <v>#NAME?</v>
      </c>
    </row>
    <row r="313" spans="1:27" ht="15.75" customHeight="1">
      <c r="A313" s="5" t="str">
        <f ca="1">IFERROR(__xludf.DUMMYFUNCTION("""COMPUTED_VALUE"""),"POSTOBÓN YUMBO")</f>
        <v>POSTOBÓN YUMBO</v>
      </c>
      <c r="B313" s="5" t="str">
        <f ca="1">IFERROR(__xludf.DUMMYFUNCTION("""COMPUTED_VALUE"""),"0410-PLANTA DE AGUA ENVASADO")</f>
        <v>0410-PLANTA DE AGUA ENVASADO</v>
      </c>
      <c r="C313" s="5" t="str">
        <f ca="1">IFERROR(__xludf.DUMMYFUNCTION("""COMPUTED_VALUE"""),"TRATAMIENTO DE AGUA PARA ENVASADO")</f>
        <v>TRATAMIENTO DE AGUA PARA ENVASADO</v>
      </c>
      <c r="D313" s="5">
        <f ca="1">IFERROR(__xludf.DUMMYFUNCTION("""COMPUTED_VALUE"""),70948948)</f>
        <v>70948948</v>
      </c>
      <c r="E313" s="5" t="str">
        <f ca="1">IFERROR(__xludf.DUMMYFUNCTION("""COMPUTED_VALUE"""),"TANQUE FIBRA ACD CLORHIDRI - TRAT PRIM")</f>
        <v>TANQUE FIBRA ACD CLORHIDRI - TRAT PRIM</v>
      </c>
      <c r="F313" s="5">
        <f ca="1">IFERROR(__xludf.DUMMYFUNCTION("""COMPUTED_VALUE"""),32891)</f>
        <v>32891</v>
      </c>
      <c r="G313" s="5" t="str">
        <f ca="1">IFERROR(__xludf.DUMMYFUNCTION("""COMPUTED_VALUE"""),"PLAN MTTO MEC TANQUE FIBRA ACD CLORHIDRI")</f>
        <v>PLAN MTTO MEC TANQUE FIBRA ACD CLORHIDRI</v>
      </c>
      <c r="H313" s="5">
        <f ca="1">IFERROR(__xludf.DUMMYFUNCTION("""COMPUTED_VALUE"""),13207486)</f>
        <v>13207486</v>
      </c>
      <c r="I313" s="5" t="str">
        <f ca="1">IFERROR(__xludf.DUMMYFUNCTION("""COMPUTED_VALUE"""),"VERIFICACION FUGAS")</f>
        <v>VERIFICACION FUGAS</v>
      </c>
      <c r="J313" s="5" t="str">
        <f ca="1">IFERROR(__xludf.DUMMYFUNCTION("""COMPUTED_VALUE"""),"ALTO")</f>
        <v>ALTO</v>
      </c>
      <c r="K313" s="5" t="str">
        <f ca="1">IFERROR(__xludf.DUMMYFUNCTION("""COMPUTED_VALUE"""),"Preventivo")</f>
        <v>Preventivo</v>
      </c>
      <c r="L313" s="5" t="str">
        <f ca="1">IFERROR(__xludf.DUMMYFUNCTION("""COMPUTED_VALUE"""),"Maquinaria")</f>
        <v>Maquinaria</v>
      </c>
      <c r="M313" s="5" t="str">
        <f ca="1">IFERROR(__xludf.DUMMYFUNCTION("""COMPUTED_VALUE"""),"No")</f>
        <v>No</v>
      </c>
      <c r="N313" s="5"/>
      <c r="O313" s="5"/>
      <c r="P313" s="18">
        <f ca="1">IFERROR(__xludf.DUMMYFUNCTION("""COMPUTED_VALUE"""),45344)</f>
        <v>45344</v>
      </c>
      <c r="Q313" s="18">
        <f ca="1">IFERROR(__xludf.DUMMYFUNCTION("""COMPUTED_VALUE"""),45344)</f>
        <v>45344</v>
      </c>
      <c r="R313" s="18"/>
      <c r="S313" s="5">
        <f ca="1">IFERROR(__xludf.DUMMYFUNCTION("""COMPUTED_VALUE"""),0.5)</f>
        <v>0.5</v>
      </c>
      <c r="T313" s="5"/>
      <c r="U313" s="5" t="str">
        <f ca="1">IFERROR(__xludf.DUMMYFUNCTION("""COMPUTED_VALUE"""),"Guzman Palechor Miguel Angel")</f>
        <v>Guzman Palechor Miguel Angel</v>
      </c>
      <c r="V313" s="5"/>
      <c r="W313" s="5" t="str">
        <f ca="1">IFERROR(__xludf.DUMMYFUNCTION("""COMPUTED_VALUE"""),"6Rqx4MqqQg0")</f>
        <v>6Rqx4MqqQg0</v>
      </c>
      <c r="X313" s="5">
        <f ca="1">IFERROR(__xludf.DUMMYFUNCTION("""COMPUTED_VALUE"""),0.5)</f>
        <v>0.5</v>
      </c>
      <c r="Y313" s="5" t="str">
        <f t="shared" si="2"/>
        <v>Actividad sin realizar</v>
      </c>
      <c r="Z313" s="3">
        <f ca="1">IFERROR(VLOOKUP(U313, 'Base de datos'!A:B, 2, FALSE), "")</f>
        <v>573112422176</v>
      </c>
      <c r="AA313" s="4" t="e">
        <f t="shared" ca="1" si="3"/>
        <v>#NAME?</v>
      </c>
    </row>
    <row r="314" spans="1:27" ht="15.75" customHeight="1">
      <c r="A314" s="5" t="str">
        <f ca="1">IFERROR(__xludf.DUMMYFUNCTION("""COMPUTED_VALUE"""),"POSTOBÓN YUMBO")</f>
        <v>POSTOBÓN YUMBO</v>
      </c>
      <c r="B314" s="5" t="str">
        <f ca="1">IFERROR(__xludf.DUMMYFUNCTION("""COMPUTED_VALUE"""),"0410-LINEA 1")</f>
        <v>0410-LINEA 1</v>
      </c>
      <c r="C314" s="5" t="str">
        <f ca="1">IFERROR(__xludf.DUMMYFUNCTION("""COMPUTED_VALUE"""),"LINEA DE ENVASADO PET NO RETORNABLE")</f>
        <v>LINEA DE ENVASADO PET NO RETORNABLE</v>
      </c>
      <c r="D314" s="5">
        <f ca="1">IFERROR(__xludf.DUMMYFUNCTION("""COMPUTED_VALUE"""),820071)</f>
        <v>820071</v>
      </c>
      <c r="E314" s="5" t="str">
        <f ca="1">IFERROR(__xludf.DUMMYFUNCTION("""COMPUTED_VALUE"""),"ETIQUETADORA")</f>
        <v>ETIQUETADORA</v>
      </c>
      <c r="F314" s="5">
        <f ca="1">IFERROR(__xludf.DUMMYFUNCTION("""COMPUTED_VALUE"""),37873)</f>
        <v>37873</v>
      </c>
      <c r="G314" s="5" t="str">
        <f ca="1">IFERROR(__xludf.DUMMYFUNCTION("""COMPUTED_VALUE"""),"INSPECCION SEMANAL ETIQUETADORA")</f>
        <v>INSPECCION SEMANAL ETIQUETADORA</v>
      </c>
      <c r="H314" s="5">
        <f ca="1">IFERROR(__xludf.DUMMYFUNCTION("""COMPUTED_VALUE"""),13214543)</f>
        <v>13214543</v>
      </c>
      <c r="I314" s="5" t="str">
        <f ca="1">IFERROR(__xludf.DUMMYFUNCTION("""COMPUTED_VALUE"""),"Reparación cilindro de encolado")</f>
        <v>Reparación cilindro de encolado</v>
      </c>
      <c r="J314" s="5" t="str">
        <f ca="1">IFERROR(__xludf.DUMMYFUNCTION("""COMPUTED_VALUE"""),"MEDIO")</f>
        <v>MEDIO</v>
      </c>
      <c r="K314" s="5" t="str">
        <f ca="1">IFERROR(__xludf.DUMMYFUNCTION("""COMPUTED_VALUE"""),"Preventivo")</f>
        <v>Preventivo</v>
      </c>
      <c r="L314" s="5" t="str">
        <f ca="1">IFERROR(__xludf.DUMMYFUNCTION("""COMPUTED_VALUE"""),"Maquinaria")</f>
        <v>Maquinaria</v>
      </c>
      <c r="M314" s="5" t="str">
        <f ca="1">IFERROR(__xludf.DUMMYFUNCTION("""COMPUTED_VALUE"""),"No")</f>
        <v>No</v>
      </c>
      <c r="N314" s="5"/>
      <c r="O314" s="5"/>
      <c r="P314" s="18">
        <f ca="1">IFERROR(__xludf.DUMMYFUNCTION("""COMPUTED_VALUE"""),45325)</f>
        <v>45325</v>
      </c>
      <c r="Q314" s="18">
        <f ca="1">IFERROR(__xludf.DUMMYFUNCTION("""COMPUTED_VALUE"""),45325)</f>
        <v>45325</v>
      </c>
      <c r="R314" s="18"/>
      <c r="S314" s="5">
        <f ca="1">IFERROR(__xludf.DUMMYFUNCTION("""COMPUTED_VALUE"""),1)</f>
        <v>1</v>
      </c>
      <c r="T314" s="5"/>
      <c r="U314" s="5" t="str">
        <f ca="1">IFERROR(__xludf.DUMMYFUNCTION("""COMPUTED_VALUE"""),"Sanchez Rodriguez Gerson Andres")</f>
        <v>Sanchez Rodriguez Gerson Andres</v>
      </c>
      <c r="V314" s="5"/>
      <c r="W314" s="5" t="str">
        <f ca="1">IFERROR(__xludf.DUMMYFUNCTION("""COMPUTED_VALUE"""),"4pp39L6B0aU")</f>
        <v>4pp39L6B0aU</v>
      </c>
      <c r="X314" s="5">
        <f ca="1">IFERROR(__xludf.DUMMYFUNCTION("""COMPUTED_VALUE"""),1)</f>
        <v>1</v>
      </c>
      <c r="Y314" s="5" t="str">
        <f t="shared" si="2"/>
        <v>Actividad sin realizar</v>
      </c>
      <c r="Z314" s="3">
        <f ca="1">IFERROR(VLOOKUP(U314, 'Base de datos'!A:B, 2, FALSE), "")</f>
        <v>573112884549</v>
      </c>
      <c r="AA314" s="4" t="e">
        <f t="shared" ca="1" si="3"/>
        <v>#NAME?</v>
      </c>
    </row>
    <row r="315" spans="1:27" ht="15.75" customHeight="1">
      <c r="A315" s="5" t="str">
        <f ca="1">IFERROR(__xludf.DUMMYFUNCTION("""COMPUTED_VALUE"""),"POSTOBÓN YUMBO")</f>
        <v>POSTOBÓN YUMBO</v>
      </c>
      <c r="B315" s="5" t="str">
        <f ca="1">IFERROR(__xludf.DUMMYFUNCTION("""COMPUTED_VALUE"""),"0410-ENVASADO JUGOS PET HOT F")</f>
        <v>0410-ENVASADO JUGOS PET HOT F</v>
      </c>
      <c r="C315" s="5" t="str">
        <f ca="1">IFERROR(__xludf.DUMMYFUNCTION("""COMPUTED_VALUE"""),"LINEA DE ENVASADO JUGOS PET HOT FILL")</f>
        <v>LINEA DE ENVASADO JUGOS PET HOT FILL</v>
      </c>
      <c r="D315" s="5">
        <f ca="1">IFERROR(__xludf.DUMMYFUNCTION("""COMPUTED_VALUE"""),82964103)</f>
        <v>82964103</v>
      </c>
      <c r="E315" s="5" t="str">
        <f ca="1">IFERROR(__xludf.DUMMYFUNCTION("""COMPUTED_VALUE"""),"CODIFICADOR LASER")</f>
        <v>CODIFICADOR LASER</v>
      </c>
      <c r="F315" s="5">
        <f ca="1">IFERROR(__xludf.DUMMYFUNCTION("""COMPUTED_VALUE"""),37859)</f>
        <v>37859</v>
      </c>
      <c r="G315" s="5" t="str">
        <f ca="1">IFERROR(__xludf.DUMMYFUNCTION("""COMPUTED_VALUE"""),"INSPECCION SEMANAL CODIFICADOR LASER")</f>
        <v>INSPECCION SEMANAL CODIFICADOR LASER</v>
      </c>
      <c r="H315" s="5">
        <f ca="1">IFERROR(__xludf.DUMMYFUNCTION("""COMPUTED_VALUE"""),13214507)</f>
        <v>13214507</v>
      </c>
      <c r="I315" s="5" t="str">
        <f ca="1">IFERROR(__xludf.DUMMYFUNCTION("""COMPUTED_VALUE"""),"CAMBIO DE TUBO POTENCIA CO2")</f>
        <v>CAMBIO DE TUBO POTENCIA CO2</v>
      </c>
      <c r="J315" s="5" t="str">
        <f ca="1">IFERROR(__xludf.DUMMYFUNCTION("""COMPUTED_VALUE"""),"ALTO")</f>
        <v>ALTO</v>
      </c>
      <c r="K315" s="5" t="str">
        <f ca="1">IFERROR(__xludf.DUMMYFUNCTION("""COMPUTED_VALUE"""),"Preventivo")</f>
        <v>Preventivo</v>
      </c>
      <c r="L315" s="5" t="str">
        <f ca="1">IFERROR(__xludf.DUMMYFUNCTION("""COMPUTED_VALUE"""),"Maquinaria")</f>
        <v>Maquinaria</v>
      </c>
      <c r="M315" s="5" t="str">
        <f ca="1">IFERROR(__xludf.DUMMYFUNCTION("""COMPUTED_VALUE"""),"No")</f>
        <v>No</v>
      </c>
      <c r="N315" s="5"/>
      <c r="O315" s="5"/>
      <c r="P315" s="18">
        <f ca="1">IFERROR(__xludf.DUMMYFUNCTION("""COMPUTED_VALUE"""),45325)</f>
        <v>45325</v>
      </c>
      <c r="Q315" s="18">
        <f ca="1">IFERROR(__xludf.DUMMYFUNCTION("""COMPUTED_VALUE"""),45325)</f>
        <v>45325</v>
      </c>
      <c r="R315" s="18"/>
      <c r="S315" s="5">
        <f ca="1">IFERROR(__xludf.DUMMYFUNCTION("""COMPUTED_VALUE"""),4)</f>
        <v>4</v>
      </c>
      <c r="T315" s="5"/>
      <c r="U315" s="5" t="str">
        <f ca="1">IFERROR(__xludf.DUMMYFUNCTION("""COMPUTED_VALUE"""),"Álvaro Celeita Muñoz")</f>
        <v>Álvaro Celeita Muñoz</v>
      </c>
      <c r="V315" s="5"/>
      <c r="W315" s="5" t="str">
        <f ca="1">IFERROR(__xludf.DUMMYFUNCTION("""COMPUTED_VALUE"""),"pO5SHTGipOo")</f>
        <v>pO5SHTGipOo</v>
      </c>
      <c r="X315" s="5">
        <f ca="1">IFERROR(__xludf.DUMMYFUNCTION("""COMPUTED_VALUE"""),4)</f>
        <v>4</v>
      </c>
      <c r="Y315" s="5" t="str">
        <f t="shared" si="2"/>
        <v>Actividad sin realizar</v>
      </c>
      <c r="Z315" s="3">
        <f ca="1">IFERROR(VLOOKUP(U315, 'Base de datos'!A:B, 2, FALSE), "")</f>
        <v>573148174772</v>
      </c>
      <c r="AA315" s="4" t="e">
        <f t="shared" ca="1" si="3"/>
        <v>#NAME?</v>
      </c>
    </row>
    <row r="316" spans="1:27" ht="15.75" customHeight="1">
      <c r="A316" s="5" t="str">
        <f ca="1">IFERROR(__xludf.DUMMYFUNCTION("""COMPUTED_VALUE"""),"POSTOBÓN YUMBO")</f>
        <v>POSTOBÓN YUMBO</v>
      </c>
      <c r="B316" s="5" t="str">
        <f ca="1">IFERROR(__xludf.DUMMYFUNCTION("""COMPUTED_VALUE"""),"0410-PREPARACION JUGOS HOT F")</f>
        <v>0410-PREPARACION JUGOS HOT F</v>
      </c>
      <c r="C316" s="5" t="str">
        <f ca="1">IFERROR(__xludf.DUMMYFUNCTION("""COMPUTED_VALUE"""),"SALA DE PREPARACION JUGOS HOT FILL")</f>
        <v>SALA DE PREPARACION JUGOS HOT FILL</v>
      </c>
      <c r="D316" s="5">
        <f ca="1">IFERROR(__xludf.DUMMYFUNCTION("""COMPUTED_VALUE"""),900302)</f>
        <v>900302</v>
      </c>
      <c r="E316" s="5" t="str">
        <f ca="1">IFERROR(__xludf.DUMMYFUNCTION("""COMPUTED_VALUE"""),"HOMOGENIZADOR")</f>
        <v>HOMOGENIZADOR</v>
      </c>
      <c r="F316" s="5">
        <f ca="1">IFERROR(__xludf.DUMMYFUNCTION("""COMPUTED_VALUE"""),0)</f>
        <v>0</v>
      </c>
      <c r="G316" s="5" t="str">
        <f ca="1">IFERROR(__xludf.DUMMYFUNCTION("""COMPUTED_VALUE"""),"CONSUMO LUB HOMOGENIZADOR")</f>
        <v>CONSUMO LUB HOMOGENIZADOR</v>
      </c>
      <c r="H316" s="5">
        <f ca="1">IFERROR(__xludf.DUMMYFUNCTION("""COMPUTED_VALUE"""),13230969)</f>
        <v>13230969</v>
      </c>
      <c r="I316" s="5" t="str">
        <f ca="1">IFERROR(__xludf.DUMMYFUNCTION("""COMPUTED_VALUE"""),"CONSUMO LUB HOMOGENIZADOR")</f>
        <v>CONSUMO LUB HOMOGENIZADOR</v>
      </c>
      <c r="J316" s="5" t="str">
        <f ca="1">IFERROR(__xludf.DUMMYFUNCTION("""COMPUTED_VALUE"""),"ALTO")</f>
        <v>ALTO</v>
      </c>
      <c r="K316" s="5" t="str">
        <f ca="1">IFERROR(__xludf.DUMMYFUNCTION("""COMPUTED_VALUE"""),"Preventivo")</f>
        <v>Preventivo</v>
      </c>
      <c r="L316" s="5" t="str">
        <f ca="1">IFERROR(__xludf.DUMMYFUNCTION("""COMPUTED_VALUE"""),"Maquinaria")</f>
        <v>Maquinaria</v>
      </c>
      <c r="M316" s="5" t="str">
        <f ca="1">IFERROR(__xludf.DUMMYFUNCTION("""COMPUTED_VALUE"""),"No")</f>
        <v>No</v>
      </c>
      <c r="N316" s="5"/>
      <c r="O316" s="5"/>
      <c r="P316" s="18">
        <f ca="1">IFERROR(__xludf.DUMMYFUNCTION("""COMPUTED_VALUE"""),45324)</f>
        <v>45324</v>
      </c>
      <c r="Q316" s="18">
        <f ca="1">IFERROR(__xludf.DUMMYFUNCTION("""COMPUTED_VALUE"""),45324)</f>
        <v>45324</v>
      </c>
      <c r="R316" s="18"/>
      <c r="S316" s="5">
        <f ca="1">IFERROR(__xludf.DUMMYFUNCTION("""COMPUTED_VALUE"""),1)</f>
        <v>1</v>
      </c>
      <c r="T316" s="5"/>
      <c r="U316" s="5" t="str">
        <f ca="1">IFERROR(__xludf.DUMMYFUNCTION("""COMPUTED_VALUE"""),"CORTES HERMES DAVID")</f>
        <v>CORTES HERMES DAVID</v>
      </c>
      <c r="V316" s="5"/>
      <c r="W316" s="5" t="str">
        <f ca="1">IFERROR(__xludf.DUMMYFUNCTION("""COMPUTED_VALUE"""),"jjDEjgZr-gg")</f>
        <v>jjDEjgZr-gg</v>
      </c>
      <c r="X316" s="5">
        <f ca="1">IFERROR(__xludf.DUMMYFUNCTION("""COMPUTED_VALUE"""),1)</f>
        <v>1</v>
      </c>
      <c r="Y316" s="5" t="str">
        <f t="shared" si="2"/>
        <v>Actividad sin realizar</v>
      </c>
      <c r="Z316" s="3" t="str">
        <f ca="1">IFERROR(VLOOKUP(U316, 'Base de datos'!A:B, 2, FALSE), "")</f>
        <v/>
      </c>
      <c r="AA316" s="4" t="e">
        <f t="shared" ca="1" si="3"/>
        <v>#NAME?</v>
      </c>
    </row>
    <row r="317" spans="1:27" ht="15.75" customHeight="1">
      <c r="A317" s="5" t="str">
        <f ca="1">IFERROR(__xludf.DUMMYFUNCTION("""COMPUTED_VALUE"""),"POSTOBÓN YUMBO")</f>
        <v>POSTOBÓN YUMBO</v>
      </c>
      <c r="B317" s="5" t="str">
        <f ca="1">IFERROR(__xludf.DUMMYFUNCTION("""COMPUTED_VALUE"""),"0410-LINEA 1")</f>
        <v>0410-LINEA 1</v>
      </c>
      <c r="C317" s="5" t="str">
        <f ca="1">IFERROR(__xludf.DUMMYFUNCTION("""COMPUTED_VALUE"""),"LINEA DE ENVASADO PET NO RETORNABLE")</f>
        <v>LINEA DE ENVASADO PET NO RETORNABLE</v>
      </c>
      <c r="D317" s="5">
        <f ca="1">IFERROR(__xludf.DUMMYFUNCTION("""COMPUTED_VALUE"""),820071)</f>
        <v>820071</v>
      </c>
      <c r="E317" s="5" t="str">
        <f ca="1">IFERROR(__xludf.DUMMYFUNCTION("""COMPUTED_VALUE"""),"ETIQUETADORA")</f>
        <v>ETIQUETADORA</v>
      </c>
      <c r="F317" s="5">
        <f ca="1">IFERROR(__xludf.DUMMYFUNCTION("""COMPUTED_VALUE"""),14083)</f>
        <v>14083</v>
      </c>
      <c r="G317" s="5" t="str">
        <f ca="1">IFERROR(__xludf.DUMMYFUNCTION("""COMPUTED_VALUE"""),"MTTO MEC ETIQUETADORA L1 820071")</f>
        <v>MTTO MEC ETIQUETADORA L1 820071</v>
      </c>
      <c r="H317" s="5">
        <f ca="1">IFERROR(__xludf.DUMMYFUNCTION("""COMPUTED_VALUE"""),13238371)</f>
        <v>13238371</v>
      </c>
      <c r="I317" s="5" t="str">
        <f ca="1">IFERROR(__xludf.DUMMYFUNCTION("""COMPUTED_VALUE"""),"pinzas de agarre: limpiar")</f>
        <v>pinzas de agarre: limpiar</v>
      </c>
      <c r="J317" s="5" t="str">
        <f ca="1">IFERROR(__xludf.DUMMYFUNCTION("""COMPUTED_VALUE"""),"MEDIO")</f>
        <v>MEDIO</v>
      </c>
      <c r="K317" s="5" t="str">
        <f ca="1">IFERROR(__xludf.DUMMYFUNCTION("""COMPUTED_VALUE"""),"Preventivo")</f>
        <v>Preventivo</v>
      </c>
      <c r="L317" s="5" t="str">
        <f ca="1">IFERROR(__xludf.DUMMYFUNCTION("""COMPUTED_VALUE"""),"Maquinaria")</f>
        <v>Maquinaria</v>
      </c>
      <c r="M317" s="5" t="str">
        <f ca="1">IFERROR(__xludf.DUMMYFUNCTION("""COMPUTED_VALUE"""),"No")</f>
        <v>No</v>
      </c>
      <c r="N317" s="5"/>
      <c r="O317" s="5"/>
      <c r="P317" s="18">
        <f ca="1">IFERROR(__xludf.DUMMYFUNCTION("""COMPUTED_VALUE"""),45334)</f>
        <v>45334</v>
      </c>
      <c r="Q317" s="18">
        <f ca="1">IFERROR(__xludf.DUMMYFUNCTION("""COMPUTED_VALUE"""),45334)</f>
        <v>45334</v>
      </c>
      <c r="R317" s="18"/>
      <c r="S317" s="5">
        <f ca="1">IFERROR(__xludf.DUMMYFUNCTION("""COMPUTED_VALUE"""),3)</f>
        <v>3</v>
      </c>
      <c r="T317" s="5"/>
      <c r="U317" s="5" t="str">
        <f ca="1">IFERROR(__xludf.DUMMYFUNCTION("""COMPUTED_VALUE"""),"Sanchez Rodriguez Gerson Andres")</f>
        <v>Sanchez Rodriguez Gerson Andres</v>
      </c>
      <c r="V317" s="5"/>
      <c r="W317" s="5" t="str">
        <f ca="1">IFERROR(__xludf.DUMMYFUNCTION("""COMPUTED_VALUE"""),"kUw4aL28UpA")</f>
        <v>kUw4aL28UpA</v>
      </c>
      <c r="X317" s="5">
        <f ca="1">IFERROR(__xludf.DUMMYFUNCTION("""COMPUTED_VALUE"""),3)</f>
        <v>3</v>
      </c>
      <c r="Y317" s="5" t="str">
        <f t="shared" si="2"/>
        <v>Actividad sin realizar</v>
      </c>
      <c r="Z317" s="3">
        <f ca="1">IFERROR(VLOOKUP(U317, 'Base de datos'!A:B, 2, FALSE), "")</f>
        <v>573112884549</v>
      </c>
      <c r="AA317" s="4" t="e">
        <f t="shared" ca="1" si="3"/>
        <v>#NAME?</v>
      </c>
    </row>
    <row r="318" spans="1:27" ht="15.75" customHeight="1">
      <c r="A318" s="5" t="str">
        <f ca="1">IFERROR(__xludf.DUMMYFUNCTION("""COMPUTED_VALUE"""),"POSTOBÓN YUMBO")</f>
        <v>POSTOBÓN YUMBO</v>
      </c>
      <c r="B318" s="5" t="str">
        <f ca="1">IFERROR(__xludf.DUMMYFUNCTION("""COMPUTED_VALUE"""),"0410-LINEA BOTELLON 20 LTS")</f>
        <v>0410-LINEA BOTELLON 20 LTS</v>
      </c>
      <c r="C318" s="5" t="str">
        <f ca="1">IFERROR(__xludf.DUMMYFUNCTION("""COMPUTED_VALUE"""),"LINEA DE PRODUCCION DE BOTELLONES DE 20")</f>
        <v>LINEA DE PRODUCCION DE BOTELLONES DE 20</v>
      </c>
      <c r="D318" s="5">
        <f ca="1">IFERROR(__xludf.DUMMYFUNCTION("""COMPUTED_VALUE"""),719519)</f>
        <v>719519</v>
      </c>
      <c r="E318" s="5" t="str">
        <f ca="1">IFERROR(__xludf.DUMMYFUNCTION("""COMPUTED_VALUE"""),"LAVADORA DE HUACALES")</f>
        <v>LAVADORA DE HUACALES</v>
      </c>
      <c r="F318" s="5">
        <f ca="1">IFERROR(__xludf.DUMMYFUNCTION("""COMPUTED_VALUE"""),22692)</f>
        <v>22692</v>
      </c>
      <c r="G318" s="5" t="str">
        <f ca="1">IFERROR(__xludf.DUMMYFUNCTION("""COMPUTED_VALUE"""),"PLAN MTTO LUB LAVADORA HUACALES 719519")</f>
        <v>PLAN MTTO LUB LAVADORA HUACALES 719519</v>
      </c>
      <c r="H318" s="5">
        <f ca="1">IFERROR(__xludf.DUMMYFUNCTION("""COMPUTED_VALUE"""),13193554)</f>
        <v>13193554</v>
      </c>
      <c r="I318" s="5" t="str">
        <f ca="1">IFERROR(__xludf.DUMMYFUNCTION("""COMPUTED_VALUE"""),"Cambio de aceite reductores")</f>
        <v>Cambio de aceite reductores</v>
      </c>
      <c r="J318" s="5" t="str">
        <f ca="1">IFERROR(__xludf.DUMMYFUNCTION("""COMPUTED_VALUE"""),"MEDIO")</f>
        <v>MEDIO</v>
      </c>
      <c r="K318" s="5" t="str">
        <f ca="1">IFERROR(__xludf.DUMMYFUNCTION("""COMPUTED_VALUE"""),"Preventivo")</f>
        <v>Preventivo</v>
      </c>
      <c r="L318" s="5" t="str">
        <f ca="1">IFERROR(__xludf.DUMMYFUNCTION("""COMPUTED_VALUE"""),"Maquinaria")</f>
        <v>Maquinaria</v>
      </c>
      <c r="M318" s="5" t="str">
        <f ca="1">IFERROR(__xludf.DUMMYFUNCTION("""COMPUTED_VALUE"""),"No")</f>
        <v>No</v>
      </c>
      <c r="N318" s="5"/>
      <c r="O318" s="5"/>
      <c r="P318" s="18">
        <f ca="1">IFERROR(__xludf.DUMMYFUNCTION("""COMPUTED_VALUE"""),45334)</f>
        <v>45334</v>
      </c>
      <c r="Q318" s="18">
        <f ca="1">IFERROR(__xludf.DUMMYFUNCTION("""COMPUTED_VALUE"""),45334)</f>
        <v>45334</v>
      </c>
      <c r="R318" s="18"/>
      <c r="S318" s="5">
        <f ca="1">IFERROR(__xludf.DUMMYFUNCTION("""COMPUTED_VALUE"""),2)</f>
        <v>2</v>
      </c>
      <c r="T318" s="5"/>
      <c r="U318" s="5" t="str">
        <f ca="1">IFERROR(__xludf.DUMMYFUNCTION("""COMPUTED_VALUE"""),"Víctor David Burbano Gómez")</f>
        <v>Víctor David Burbano Gómez</v>
      </c>
      <c r="V318" s="5"/>
      <c r="W318" s="5" t="str">
        <f ca="1">IFERROR(__xludf.DUMMYFUNCTION("""COMPUTED_VALUE"""),"U21ZiUEdr28")</f>
        <v>U21ZiUEdr28</v>
      </c>
      <c r="X318" s="5">
        <f ca="1">IFERROR(__xludf.DUMMYFUNCTION("""COMPUTED_VALUE"""),2)</f>
        <v>2</v>
      </c>
      <c r="Y318" s="5" t="str">
        <f t="shared" si="2"/>
        <v>Actividad sin realizar</v>
      </c>
      <c r="Z318" s="3">
        <f ca="1">IFERROR(VLOOKUP(U318, 'Base de datos'!A:B, 2, FALSE), "")</f>
        <v>573023403586</v>
      </c>
      <c r="AA318" s="4" t="e">
        <f t="shared" ca="1" si="3"/>
        <v>#NAME?</v>
      </c>
    </row>
    <row r="319" spans="1:27" ht="15.75" customHeight="1">
      <c r="A319" s="5" t="str">
        <f ca="1">IFERROR(__xludf.DUMMYFUNCTION("""COMPUTED_VALUE"""),"POSTOBÓN YUMBO")</f>
        <v>POSTOBÓN YUMBO</v>
      </c>
      <c r="B319" s="5" t="str">
        <f ca="1">IFERROR(__xludf.DUMMYFUNCTION("""COMPUTED_VALUE"""),"0410-LINEA PET CSD")</f>
        <v>0410-LINEA PET CSD</v>
      </c>
      <c r="C319" s="5" t="str">
        <f ca="1">IFERROR(__xludf.DUMMYFUNCTION("""COMPUTED_VALUE"""),"LINEA PET CSD - LINEA 10")</f>
        <v>LINEA PET CSD - LINEA 10</v>
      </c>
      <c r="D319" s="5">
        <f ca="1">IFERROR(__xludf.DUMMYFUNCTION("""COMPUTED_VALUE"""),710324)</f>
        <v>710324</v>
      </c>
      <c r="E319" s="5" t="str">
        <f ca="1">IFERROR(__xludf.DUMMYFUNCTION("""COMPUTED_VALUE"""),"ENFARDADORA")</f>
        <v>ENFARDADORA</v>
      </c>
      <c r="F319" s="5">
        <f ca="1">IFERROR(__xludf.DUMMYFUNCTION("""COMPUTED_VALUE"""),0)</f>
        <v>0</v>
      </c>
      <c r="G319" s="5" t="str">
        <f ca="1">IFERROR(__xludf.DUMMYFUNCTION("""COMPUTED_VALUE"""),"CONSUMO LUB ENFARDADORA L10")</f>
        <v>CONSUMO LUB ENFARDADORA L10</v>
      </c>
      <c r="H319" s="5">
        <f ca="1">IFERROR(__xludf.DUMMYFUNCTION("""COMPUTED_VALUE"""),13230962)</f>
        <v>13230962</v>
      </c>
      <c r="I319" s="5" t="str">
        <f ca="1">IFERROR(__xludf.DUMMYFUNCTION("""COMPUTED_VALUE"""),"CONSUMO LUB ENFARDADORA L10")</f>
        <v>CONSUMO LUB ENFARDADORA L10</v>
      </c>
      <c r="J319" s="5" t="str">
        <f ca="1">IFERROR(__xludf.DUMMYFUNCTION("""COMPUTED_VALUE"""),"MEDIO")</f>
        <v>MEDIO</v>
      </c>
      <c r="K319" s="5" t="str">
        <f ca="1">IFERROR(__xludf.DUMMYFUNCTION("""COMPUTED_VALUE"""),"Preventivo")</f>
        <v>Preventivo</v>
      </c>
      <c r="L319" s="5" t="str">
        <f ca="1">IFERROR(__xludf.DUMMYFUNCTION("""COMPUTED_VALUE"""),"Maquinaria")</f>
        <v>Maquinaria</v>
      </c>
      <c r="M319" s="5" t="str">
        <f ca="1">IFERROR(__xludf.DUMMYFUNCTION("""COMPUTED_VALUE"""),"No")</f>
        <v>No</v>
      </c>
      <c r="N319" s="5"/>
      <c r="O319" s="5">
        <f ca="1">IFERROR(__xludf.DUMMYFUNCTION("""COMPUTED_VALUE"""),100)</f>
        <v>100</v>
      </c>
      <c r="P319" s="18">
        <f ca="1">IFERROR(__xludf.DUMMYFUNCTION("""COMPUTED_VALUE"""),45324)</f>
        <v>45324</v>
      </c>
      <c r="Q319" s="18">
        <f ca="1">IFERROR(__xludf.DUMMYFUNCTION("""COMPUTED_VALUE"""),45324)</f>
        <v>45324</v>
      </c>
      <c r="R319" s="18"/>
      <c r="S319" s="5">
        <f ca="1">IFERROR(__xludf.DUMMYFUNCTION("""COMPUTED_VALUE"""),1)</f>
        <v>1</v>
      </c>
      <c r="T319" s="5"/>
      <c r="U319" s="5" t="str">
        <f ca="1">IFERROR(__xludf.DUMMYFUNCTION("""COMPUTED_VALUE"""),"PARRA VELANDIA JOHN JAIRO")</f>
        <v>PARRA VELANDIA JOHN JAIRO</v>
      </c>
      <c r="V319" s="5"/>
      <c r="W319" s="5" t="str">
        <f ca="1">IFERROR(__xludf.DUMMYFUNCTION("""COMPUTED_VALUE"""),"z8hxnnAWNWI")</f>
        <v>z8hxnnAWNWI</v>
      </c>
      <c r="X319" s="5">
        <f ca="1">IFERROR(__xludf.DUMMYFUNCTION("""COMPUTED_VALUE"""),1)</f>
        <v>1</v>
      </c>
      <c r="Y319" s="5" t="str">
        <f t="shared" ca="1" si="2"/>
        <v>Actividad realizada</v>
      </c>
      <c r="Z319" s="3">
        <f ca="1">IFERROR(VLOOKUP(U319, 'Base de datos'!A:B, 2, FALSE), "")</f>
        <v>573012765105</v>
      </c>
      <c r="AA319" s="4" t="e">
        <f t="shared" ca="1" si="3"/>
        <v>#NAME?</v>
      </c>
    </row>
    <row r="320" spans="1:27" ht="15.75" customHeight="1">
      <c r="A320" s="5" t="str">
        <f ca="1">IFERROR(__xludf.DUMMYFUNCTION("""COMPUTED_VALUE"""),"POSTOBÓN YUMBO")</f>
        <v>POSTOBÓN YUMBO</v>
      </c>
      <c r="B320" s="5" t="str">
        <f ca="1">IFERROR(__xludf.DUMMYFUNCTION("""COMPUTED_VALUE"""),"0410-LINEA 1")</f>
        <v>0410-LINEA 1</v>
      </c>
      <c r="C320" s="5" t="str">
        <f ca="1">IFERROR(__xludf.DUMMYFUNCTION("""COMPUTED_VALUE"""),"LINEA DE ENVASADO PET NO RETORNABLE")</f>
        <v>LINEA DE ENVASADO PET NO RETORNABLE</v>
      </c>
      <c r="D320" s="5">
        <f ca="1">IFERROR(__xludf.DUMMYFUNCTION("""COMPUTED_VALUE"""),820071)</f>
        <v>820071</v>
      </c>
      <c r="E320" s="5" t="str">
        <f ca="1">IFERROR(__xludf.DUMMYFUNCTION("""COMPUTED_VALUE"""),"ETIQUETADORA")</f>
        <v>ETIQUETADORA</v>
      </c>
      <c r="F320" s="5">
        <f ca="1">IFERROR(__xludf.DUMMYFUNCTION("""COMPUTED_VALUE"""),14083)</f>
        <v>14083</v>
      </c>
      <c r="G320" s="5" t="str">
        <f ca="1">IFERROR(__xludf.DUMMYFUNCTION("""COMPUTED_VALUE"""),"MTTO MEC ETIQUETADORA L1 820071")</f>
        <v>MTTO MEC ETIQUETADORA L1 820071</v>
      </c>
      <c r="H320" s="5">
        <f ca="1">IFERROR(__xludf.DUMMYFUNCTION("""COMPUTED_VALUE"""),13238371)</f>
        <v>13238371</v>
      </c>
      <c r="I320" s="5" t="str">
        <f ca="1">IFERROR(__xludf.DUMMYFUNCTION("""COMPUTED_VALUE"""),"Unidad mantenimiento")</f>
        <v>Unidad mantenimiento</v>
      </c>
      <c r="J320" s="5" t="str">
        <f ca="1">IFERROR(__xludf.DUMMYFUNCTION("""COMPUTED_VALUE"""),"MEDIO")</f>
        <v>MEDIO</v>
      </c>
      <c r="K320" s="5" t="str">
        <f ca="1">IFERROR(__xludf.DUMMYFUNCTION("""COMPUTED_VALUE"""),"Preventivo")</f>
        <v>Preventivo</v>
      </c>
      <c r="L320" s="5" t="str">
        <f ca="1">IFERROR(__xludf.DUMMYFUNCTION("""COMPUTED_VALUE"""),"Maquinaria")</f>
        <v>Maquinaria</v>
      </c>
      <c r="M320" s="5" t="str">
        <f ca="1">IFERROR(__xludf.DUMMYFUNCTION("""COMPUTED_VALUE"""),"No")</f>
        <v>No</v>
      </c>
      <c r="N320" s="5"/>
      <c r="O320" s="5"/>
      <c r="P320" s="18">
        <f ca="1">IFERROR(__xludf.DUMMYFUNCTION("""COMPUTED_VALUE"""),45334)</f>
        <v>45334</v>
      </c>
      <c r="Q320" s="18">
        <f ca="1">IFERROR(__xludf.DUMMYFUNCTION("""COMPUTED_VALUE"""),45334)</f>
        <v>45334</v>
      </c>
      <c r="R320" s="18"/>
      <c r="S320" s="5">
        <f ca="1">IFERROR(__xludf.DUMMYFUNCTION("""COMPUTED_VALUE"""),1)</f>
        <v>1</v>
      </c>
      <c r="T320" s="5"/>
      <c r="U320" s="5" t="str">
        <f ca="1">IFERROR(__xludf.DUMMYFUNCTION("""COMPUTED_VALUE"""),"Sanchez Rodriguez Gerson Andres")</f>
        <v>Sanchez Rodriguez Gerson Andres</v>
      </c>
      <c r="V320" s="5"/>
      <c r="W320" s="5" t="str">
        <f ca="1">IFERROR(__xludf.DUMMYFUNCTION("""COMPUTED_VALUE"""),"5lBEccIQ4Fg")</f>
        <v>5lBEccIQ4Fg</v>
      </c>
      <c r="X320" s="5">
        <f ca="1">IFERROR(__xludf.DUMMYFUNCTION("""COMPUTED_VALUE"""),1)</f>
        <v>1</v>
      </c>
      <c r="Y320" s="5" t="str">
        <f t="shared" si="2"/>
        <v>Actividad sin realizar</v>
      </c>
      <c r="Z320" s="3">
        <f ca="1">IFERROR(VLOOKUP(U320, 'Base de datos'!A:B, 2, FALSE), "")</f>
        <v>573112884549</v>
      </c>
      <c r="AA320" s="4" t="e">
        <f t="shared" ca="1" si="3"/>
        <v>#NAME?</v>
      </c>
    </row>
    <row r="321" spans="1:27" ht="15.75" customHeight="1">
      <c r="A321" s="5" t="str">
        <f ca="1">IFERROR(__xludf.DUMMYFUNCTION("""COMPUTED_VALUE"""),"POSTOBÓN YUMBO")</f>
        <v>POSTOBÓN YUMBO</v>
      </c>
      <c r="B321" s="5" t="str">
        <f ca="1">IFERROR(__xludf.DUMMYFUNCTION("""COMPUTED_VALUE"""),"0410-EQUIPOS AUXILIARES")</f>
        <v>0410-EQUIPOS AUXILIARES</v>
      </c>
      <c r="C321" s="5" t="str">
        <f ca="1">IFERROR(__xludf.DUMMYFUNCTION("""COMPUTED_VALUE"""),"EQUIPOS PARA SERVICIOS INDUSTRIALES")</f>
        <v>EQUIPOS PARA SERVICIOS INDUSTRIALES</v>
      </c>
      <c r="D321" s="5">
        <f ca="1">IFERROR(__xludf.DUMMYFUNCTION("""COMPUTED_VALUE"""),628831)</f>
        <v>628831</v>
      </c>
      <c r="E321" s="5" t="str">
        <f ca="1">IFERROR(__xludf.DUMMYFUNCTION("""COMPUTED_VALUE"""),"COMPRESOR REFRIGERACION RECIPROCANTE 2")</f>
        <v>COMPRESOR REFRIGERACION RECIPROCANTE 2</v>
      </c>
      <c r="F321" s="5">
        <f ca="1">IFERROR(__xludf.DUMMYFUNCTION("""COMPUTED_VALUE"""),21694)</f>
        <v>21694</v>
      </c>
      <c r="G321" s="5" t="str">
        <f ca="1">IFERROR(__xludf.DUMMYFUNCTION("""COMPUTED_VALUE"""),"PLAN DE MTTO MEC COMPRESOR REFRIG 2")</f>
        <v>PLAN DE MTTO MEC COMPRESOR REFRIG 2</v>
      </c>
      <c r="H321" s="5">
        <f ca="1">IFERROR(__xludf.DUMMYFUNCTION("""COMPUTED_VALUE"""),13193537)</f>
        <v>13193537</v>
      </c>
      <c r="I321" s="5" t="str">
        <f ca="1">IFERROR(__xludf.DUMMYFUNCTION("""COMPUTED_VALUE"""),"Desincrustar compresor")</f>
        <v>Desincrustar compresor</v>
      </c>
      <c r="J321" s="5" t="str">
        <f ca="1">IFERROR(__xludf.DUMMYFUNCTION("""COMPUTED_VALUE"""),"MEDIO")</f>
        <v>MEDIO</v>
      </c>
      <c r="K321" s="5" t="str">
        <f ca="1">IFERROR(__xludf.DUMMYFUNCTION("""COMPUTED_VALUE"""),"Preventivo")</f>
        <v>Preventivo</v>
      </c>
      <c r="L321" s="5" t="str">
        <f ca="1">IFERROR(__xludf.DUMMYFUNCTION("""COMPUTED_VALUE"""),"Maquinaria")</f>
        <v>Maquinaria</v>
      </c>
      <c r="M321" s="5" t="str">
        <f ca="1">IFERROR(__xludf.DUMMYFUNCTION("""COMPUTED_VALUE"""),"No")</f>
        <v>No</v>
      </c>
      <c r="N321" s="5"/>
      <c r="O321" s="5"/>
      <c r="P321" s="18">
        <f ca="1">IFERROR(__xludf.DUMMYFUNCTION("""COMPUTED_VALUE"""),45326)</f>
        <v>45326</v>
      </c>
      <c r="Q321" s="18">
        <f ca="1">IFERROR(__xludf.DUMMYFUNCTION("""COMPUTED_VALUE"""),45326)</f>
        <v>45326</v>
      </c>
      <c r="R321" s="18"/>
      <c r="S321" s="5">
        <f ca="1">IFERROR(__xludf.DUMMYFUNCTION("""COMPUTED_VALUE"""),2)</f>
        <v>2</v>
      </c>
      <c r="T321" s="5"/>
      <c r="U321" s="5" t="str">
        <f ca="1">IFERROR(__xludf.DUMMYFUNCTION("""COMPUTED_VALUE"""),"MUÑOZ VALENCIA JEFFERSON")</f>
        <v>MUÑOZ VALENCIA JEFFERSON</v>
      </c>
      <c r="V321" s="5"/>
      <c r="W321" s="5" t="str">
        <f ca="1">IFERROR(__xludf.DUMMYFUNCTION("""COMPUTED_VALUE"""),"DQkectNR0pU")</f>
        <v>DQkectNR0pU</v>
      </c>
      <c r="X321" s="5">
        <f ca="1">IFERROR(__xludf.DUMMYFUNCTION("""COMPUTED_VALUE"""),2)</f>
        <v>2</v>
      </c>
      <c r="Y321" s="5" t="str">
        <f t="shared" si="2"/>
        <v>Actividad sin realizar</v>
      </c>
      <c r="Z321" s="3">
        <f ca="1">IFERROR(VLOOKUP(U321, 'Base de datos'!A:B, 2, FALSE), "")</f>
        <v>573122261803</v>
      </c>
      <c r="AA321" s="4" t="e">
        <f t="shared" ca="1" si="3"/>
        <v>#NAME?</v>
      </c>
    </row>
    <row r="322" spans="1:27" ht="15.75" customHeight="1">
      <c r="A322" s="5" t="str">
        <f ca="1">IFERROR(__xludf.DUMMYFUNCTION("""COMPUTED_VALUE"""),"POSTOBÓN YUMBO")</f>
        <v>POSTOBÓN YUMBO</v>
      </c>
      <c r="B322" s="5" t="str">
        <f ca="1">IFERROR(__xludf.DUMMYFUNCTION("""COMPUTED_VALUE"""),"0410-ENVASADO JUGOS PET HOT F")</f>
        <v>0410-ENVASADO JUGOS PET HOT F</v>
      </c>
      <c r="C322" s="5" t="str">
        <f ca="1">IFERROR(__xludf.DUMMYFUNCTION("""COMPUTED_VALUE"""),"LINEA DE ENVASADO JUGOS PET HOT FILL")</f>
        <v>LINEA DE ENVASADO JUGOS PET HOT FILL</v>
      </c>
      <c r="D322" s="5">
        <f ca="1">IFERROR(__xludf.DUMMYFUNCTION("""COMPUTED_VALUE"""),710319)</f>
        <v>710319</v>
      </c>
      <c r="E322" s="5" t="str">
        <f ca="1">IFERROR(__xludf.DUMMYFUNCTION("""COMPUTED_VALUE"""),"ENFARDADORA")</f>
        <v>ENFARDADORA</v>
      </c>
      <c r="F322" s="5">
        <f ca="1">IFERROR(__xludf.DUMMYFUNCTION("""COMPUTED_VALUE"""),22575)</f>
        <v>22575</v>
      </c>
      <c r="G322" s="5" t="str">
        <f ca="1">IFERROR(__xludf.DUMMYFUNCTION("""COMPUTED_VALUE"""),"PLAN MTTO ELE ENFARDADORA L8 710319")</f>
        <v>PLAN MTTO ELE ENFARDADORA L8 710319</v>
      </c>
      <c r="H322" s="5">
        <f ca="1">IFERROR(__xludf.DUMMYFUNCTION("""COMPUTED_VALUE"""),13247202)</f>
        <v>13247202</v>
      </c>
      <c r="I322" s="5" t="str">
        <f ca="1">IFERROR(__xludf.DUMMYFUNCTION("""COMPUTED_VALUE"""),"Tablero electrico:")</f>
        <v>Tablero electrico:</v>
      </c>
      <c r="J322" s="5" t="str">
        <f ca="1">IFERROR(__xludf.DUMMYFUNCTION("""COMPUTED_VALUE"""),"MEDIO")</f>
        <v>MEDIO</v>
      </c>
      <c r="K322" s="5" t="str">
        <f ca="1">IFERROR(__xludf.DUMMYFUNCTION("""COMPUTED_VALUE"""),"Preventivo")</f>
        <v>Preventivo</v>
      </c>
      <c r="L322" s="5" t="str">
        <f ca="1">IFERROR(__xludf.DUMMYFUNCTION("""COMPUTED_VALUE"""),"Maquinaria")</f>
        <v>Maquinaria</v>
      </c>
      <c r="M322" s="5" t="str">
        <f ca="1">IFERROR(__xludf.DUMMYFUNCTION("""COMPUTED_VALUE"""),"No")</f>
        <v>No</v>
      </c>
      <c r="N322" s="5"/>
      <c r="O322" s="5"/>
      <c r="P322" s="18">
        <f ca="1">IFERROR(__xludf.DUMMYFUNCTION("""COMPUTED_VALUE"""),45341)</f>
        <v>45341</v>
      </c>
      <c r="Q322" s="18">
        <f ca="1">IFERROR(__xludf.DUMMYFUNCTION("""COMPUTED_VALUE"""),45341)</f>
        <v>45341</v>
      </c>
      <c r="R322" s="18"/>
      <c r="S322" s="5">
        <f ca="1">IFERROR(__xludf.DUMMYFUNCTION("""COMPUTED_VALUE"""),4)</f>
        <v>4</v>
      </c>
      <c r="T322" s="5"/>
      <c r="U322" s="5" t="str">
        <f ca="1">IFERROR(__xludf.DUMMYFUNCTION("""COMPUTED_VALUE"""),"Lopez Correa Jonathan")</f>
        <v>Lopez Correa Jonathan</v>
      </c>
      <c r="V322" s="5"/>
      <c r="W322" s="5" t="str">
        <f ca="1">IFERROR(__xludf.DUMMYFUNCTION("""COMPUTED_VALUE"""),"slri5j03pbU")</f>
        <v>slri5j03pbU</v>
      </c>
      <c r="X322" s="5">
        <f ca="1">IFERROR(__xludf.DUMMYFUNCTION("""COMPUTED_VALUE"""),4)</f>
        <v>4</v>
      </c>
      <c r="Y322" s="5" t="str">
        <f t="shared" si="2"/>
        <v>Actividad sin realizar</v>
      </c>
      <c r="Z322" s="3">
        <f ca="1">IFERROR(VLOOKUP(U322, 'Base de datos'!A:B, 2, FALSE), "")</f>
        <v>573215267623</v>
      </c>
      <c r="AA322" s="4" t="e">
        <f t="shared" ca="1" si="3"/>
        <v>#NAME?</v>
      </c>
    </row>
    <row r="323" spans="1:27" ht="15.75" customHeight="1">
      <c r="A323" s="5" t="str">
        <f ca="1">IFERROR(__xludf.DUMMYFUNCTION("""COMPUTED_VALUE"""),"POSTOBÓN YUMBO")</f>
        <v>POSTOBÓN YUMBO</v>
      </c>
      <c r="B323" s="5" t="str">
        <f ca="1">IFERROR(__xludf.DUMMYFUNCTION("""COMPUTED_VALUE"""),"0410-LINEA 1")</f>
        <v>0410-LINEA 1</v>
      </c>
      <c r="C323" s="5" t="str">
        <f ca="1">IFERROR(__xludf.DUMMYFUNCTION("""COMPUTED_VALUE"""),"LINEA DE ENVASADO PET NO RETORNABLE")</f>
        <v>LINEA DE ENVASADO PET NO RETORNABLE</v>
      </c>
      <c r="D323" s="5">
        <f ca="1">IFERROR(__xludf.DUMMYFUNCTION("""COMPUTED_VALUE"""),900232)</f>
        <v>900232</v>
      </c>
      <c r="E323" s="5" t="str">
        <f ca="1">IFERROR(__xludf.DUMMYFUNCTION("""COMPUTED_VALUE"""),"PALETIZADORA")</f>
        <v>PALETIZADORA</v>
      </c>
      <c r="F323" s="5">
        <f ca="1">IFERROR(__xludf.DUMMYFUNCTION("""COMPUTED_VALUE"""),22594)</f>
        <v>22594</v>
      </c>
      <c r="G323" s="5" t="str">
        <f ca="1">IFERROR(__xludf.DUMMYFUNCTION("""COMPUTED_VALUE"""),"PLAN MTTO LUB PALETIZADORA 900232 L1")</f>
        <v>PLAN MTTO LUB PALETIZADORA 900232 L1</v>
      </c>
      <c r="H323" s="5">
        <f ca="1">IFERROR(__xludf.DUMMYFUNCTION("""COMPUTED_VALUE"""),13247220)</f>
        <v>13247220</v>
      </c>
      <c r="I323" s="5" t="str">
        <f ca="1">IFERROR(__xludf.DUMMYFUNCTION("""COMPUTED_VALUE"""),"Lubricacion")</f>
        <v>Lubricacion</v>
      </c>
      <c r="J323" s="5" t="str">
        <f ca="1">IFERROR(__xludf.DUMMYFUNCTION("""COMPUTED_VALUE"""),"MEDIO")</f>
        <v>MEDIO</v>
      </c>
      <c r="K323" s="5" t="str">
        <f ca="1">IFERROR(__xludf.DUMMYFUNCTION("""COMPUTED_VALUE"""),"Preventivo")</f>
        <v>Preventivo</v>
      </c>
      <c r="L323" s="5" t="str">
        <f ca="1">IFERROR(__xludf.DUMMYFUNCTION("""COMPUTED_VALUE"""),"Maquinaria")</f>
        <v>Maquinaria</v>
      </c>
      <c r="M323" s="5" t="str">
        <f ca="1">IFERROR(__xludf.DUMMYFUNCTION("""COMPUTED_VALUE"""),"No")</f>
        <v>No</v>
      </c>
      <c r="N323" s="5"/>
      <c r="O323" s="5"/>
      <c r="P323" s="18">
        <f ca="1">IFERROR(__xludf.DUMMYFUNCTION("""COMPUTED_VALUE"""),45333)</f>
        <v>45333</v>
      </c>
      <c r="Q323" s="18">
        <f ca="1">IFERROR(__xludf.DUMMYFUNCTION("""COMPUTED_VALUE"""),45333)</f>
        <v>45333</v>
      </c>
      <c r="R323" s="18"/>
      <c r="S323" s="5">
        <f ca="1">IFERROR(__xludf.DUMMYFUNCTION("""COMPUTED_VALUE"""),0.5)</f>
        <v>0.5</v>
      </c>
      <c r="T323" s="5"/>
      <c r="U323" s="5" t="str">
        <f ca="1">IFERROR(__xludf.DUMMYFUNCTION("""COMPUTED_VALUE"""),"Astaiza Hernandez John Eyder")</f>
        <v>Astaiza Hernandez John Eyder</v>
      </c>
      <c r="V323" s="5"/>
      <c r="W323" s="5" t="str">
        <f ca="1">IFERROR(__xludf.DUMMYFUNCTION("""COMPUTED_VALUE"""),"QZoHlH84BOE")</f>
        <v>QZoHlH84BOE</v>
      </c>
      <c r="X323" s="5">
        <f ca="1">IFERROR(__xludf.DUMMYFUNCTION("""COMPUTED_VALUE"""),0.5)</f>
        <v>0.5</v>
      </c>
      <c r="Y323" s="5" t="str">
        <f t="shared" si="2"/>
        <v>Actividad sin realizar</v>
      </c>
      <c r="Z323" s="3">
        <f ca="1">IFERROR(VLOOKUP(U323, 'Base de datos'!A:B, 2, FALSE), "")</f>
        <v>573016653684</v>
      </c>
      <c r="AA323" s="4" t="e">
        <f t="shared" ca="1" si="3"/>
        <v>#NAME?</v>
      </c>
    </row>
    <row r="324" spans="1:27" ht="15.75" customHeight="1">
      <c r="A324" s="5" t="str">
        <f ca="1">IFERROR(__xludf.DUMMYFUNCTION("""COMPUTED_VALUE"""),"POSTOBÓN YUMBO")</f>
        <v>POSTOBÓN YUMBO</v>
      </c>
      <c r="B324" s="5" t="str">
        <f ca="1">IFERROR(__xludf.DUMMYFUNCTION("""COMPUTED_VALUE"""),"0410-SALA DE JARABE TERMINADO")</f>
        <v>0410-SALA DE JARABE TERMINADO</v>
      </c>
      <c r="C324" s="5" t="str">
        <f ca="1">IFERROR(__xludf.DUMMYFUNCTION("""COMPUTED_VALUE"""),"EQUIPOS PARA PREPARACION DE JARABE")</f>
        <v>EQUIPOS PARA PREPARACION DE JARABE</v>
      </c>
      <c r="D324" s="5">
        <f ca="1">IFERROR(__xludf.DUMMYFUNCTION("""COMPUTED_VALUE"""),69963415)</f>
        <v>69963415</v>
      </c>
      <c r="E324" s="5" t="str">
        <f ca="1">IFERROR(__xludf.DUMMYFUNCTION("""COMPUTED_VALUE"""),"TANQUE ALMAC.JARABE SIMPLE")</f>
        <v>TANQUE ALMAC.JARABE SIMPLE</v>
      </c>
      <c r="F324" s="5">
        <f ca="1">IFERROR(__xludf.DUMMYFUNCTION("""COMPUTED_VALUE"""),17361)</f>
        <v>17361</v>
      </c>
      <c r="G324" s="5" t="str">
        <f ca="1">IFERROR(__xludf.DUMMYFUNCTION("""COMPUTED_VALUE"""),"MTTO MEC TK JARABE SIMPL JARABE TERMIN")</f>
        <v>MTTO MEC TK JARABE SIMPL JARABE TERMIN</v>
      </c>
      <c r="H324" s="5">
        <f ca="1">IFERROR(__xludf.DUMMYFUNCTION("""COMPUTED_VALUE"""),13247148)</f>
        <v>13247148</v>
      </c>
      <c r="I324" s="5" t="str">
        <f ca="1">IFERROR(__xludf.DUMMYFUNCTION("""COMPUTED_VALUE"""),"ANTON PAAR - dentro de la cubierta de")</f>
        <v>ANTON PAAR - dentro de la cubierta de</v>
      </c>
      <c r="J324" s="5" t="str">
        <f ca="1">IFERROR(__xludf.DUMMYFUNCTION("""COMPUTED_VALUE"""),"ALTO")</f>
        <v>ALTO</v>
      </c>
      <c r="K324" s="5" t="str">
        <f ca="1">IFERROR(__xludf.DUMMYFUNCTION("""COMPUTED_VALUE"""),"Preventivo")</f>
        <v>Preventivo</v>
      </c>
      <c r="L324" s="5" t="str">
        <f ca="1">IFERROR(__xludf.DUMMYFUNCTION("""COMPUTED_VALUE"""),"Maquinaria")</f>
        <v>Maquinaria</v>
      </c>
      <c r="M324" s="5" t="str">
        <f ca="1">IFERROR(__xludf.DUMMYFUNCTION("""COMPUTED_VALUE"""),"No")</f>
        <v>No</v>
      </c>
      <c r="N324" s="5"/>
      <c r="O324" s="5">
        <f ca="1">IFERROR(__xludf.DUMMYFUNCTION("""COMPUTED_VALUE"""),100)</f>
        <v>100</v>
      </c>
      <c r="P324" s="18">
        <f ca="1">IFERROR(__xludf.DUMMYFUNCTION("""COMPUTED_VALUE"""),45341)</f>
        <v>45341</v>
      </c>
      <c r="Q324" s="18">
        <f ca="1">IFERROR(__xludf.DUMMYFUNCTION("""COMPUTED_VALUE"""),45341)</f>
        <v>45341</v>
      </c>
      <c r="R324" s="18"/>
      <c r="S324" s="5">
        <f ca="1">IFERROR(__xludf.DUMMYFUNCTION("""COMPUTED_VALUE"""),1)</f>
        <v>1</v>
      </c>
      <c r="T324" s="5"/>
      <c r="U324" s="5" t="str">
        <f ca="1">IFERROR(__xludf.DUMMYFUNCTION("""COMPUTED_VALUE"""),"Rivas Mena Carlos Danny")</f>
        <v>Rivas Mena Carlos Danny</v>
      </c>
      <c r="V324" s="5"/>
      <c r="W324" s="5" t="str">
        <f ca="1">IFERROR(__xludf.DUMMYFUNCTION("""COMPUTED_VALUE"""),"C8FEt9I2omo")</f>
        <v>C8FEt9I2omo</v>
      </c>
      <c r="X324" s="5">
        <f ca="1">IFERROR(__xludf.DUMMYFUNCTION("""COMPUTED_VALUE"""),1)</f>
        <v>1</v>
      </c>
      <c r="Y324" s="5" t="str">
        <f t="shared" ca="1" si="2"/>
        <v>Actividad realizada</v>
      </c>
      <c r="Z324" s="3">
        <f ca="1">IFERROR(VLOOKUP(U324, 'Base de datos'!A:B, 2, FALSE), "")</f>
        <v>0</v>
      </c>
      <c r="AA324" s="4" t="e">
        <f t="shared" ca="1" si="3"/>
        <v>#NAME?</v>
      </c>
    </row>
    <row r="325" spans="1:27" ht="15.75" customHeight="1">
      <c r="A325" s="5" t="str">
        <f ca="1">IFERROR(__xludf.DUMMYFUNCTION("""COMPUTED_VALUE"""),"POSTOBÓN YUMBO")</f>
        <v>POSTOBÓN YUMBO</v>
      </c>
      <c r="B325" s="5" t="str">
        <f ca="1">IFERROR(__xludf.DUMMYFUNCTION("""COMPUTED_VALUE"""),"0410-ENVASADO JUGOS PET HOT F")</f>
        <v>0410-ENVASADO JUGOS PET HOT F</v>
      </c>
      <c r="C325" s="5" t="str">
        <f ca="1">IFERROR(__xludf.DUMMYFUNCTION("""COMPUTED_VALUE"""),"LINEA DE ENVASADO JUGOS PET HOT FILL")</f>
        <v>LINEA DE ENVASADO JUGOS PET HOT FILL</v>
      </c>
      <c r="D325" s="5">
        <f ca="1">IFERROR(__xludf.DUMMYFUNCTION("""COMPUTED_VALUE"""),900305)</f>
        <v>900305</v>
      </c>
      <c r="E325" s="5" t="str">
        <f ca="1">IFERROR(__xludf.DUMMYFUNCTION("""COMPUTED_VALUE"""),"ETIQUETADORA")</f>
        <v>ETIQUETADORA</v>
      </c>
      <c r="F325" s="5">
        <f ca="1">IFERROR(__xludf.DUMMYFUNCTION("""COMPUTED_VALUE"""),0)</f>
        <v>0</v>
      </c>
      <c r="G325" s="5" t="str">
        <f ca="1">IFERROR(__xludf.DUMMYFUNCTION("""COMPUTED_VALUE"""),"CONSUMO LUB ETIQUETADORA L8")</f>
        <v>CONSUMO LUB ETIQUETADORA L8</v>
      </c>
      <c r="H325" s="5">
        <f ca="1">IFERROR(__xludf.DUMMYFUNCTION("""COMPUTED_VALUE"""),13230959)</f>
        <v>13230959</v>
      </c>
      <c r="I325" s="5" t="str">
        <f ca="1">IFERROR(__xludf.DUMMYFUNCTION("""COMPUTED_VALUE"""),"CONSUMO LUBRICANTES ENERO 2024")</f>
        <v>CONSUMO LUBRICANTES ENERO 2024</v>
      </c>
      <c r="J325" s="5" t="str">
        <f ca="1">IFERROR(__xludf.DUMMYFUNCTION("""COMPUTED_VALUE"""),"MEDIO")</f>
        <v>MEDIO</v>
      </c>
      <c r="K325" s="5" t="str">
        <f ca="1">IFERROR(__xludf.DUMMYFUNCTION("""COMPUTED_VALUE"""),"Preventivo")</f>
        <v>Preventivo</v>
      </c>
      <c r="L325" s="5" t="str">
        <f ca="1">IFERROR(__xludf.DUMMYFUNCTION("""COMPUTED_VALUE"""),"Maquinaria")</f>
        <v>Maquinaria</v>
      </c>
      <c r="M325" s="5" t="str">
        <f ca="1">IFERROR(__xludf.DUMMYFUNCTION("""COMPUTED_VALUE"""),"No")</f>
        <v>No</v>
      </c>
      <c r="N325" s="5"/>
      <c r="O325" s="5"/>
      <c r="P325" s="18">
        <f ca="1">IFERROR(__xludf.DUMMYFUNCTION("""COMPUTED_VALUE"""),45325)</f>
        <v>45325</v>
      </c>
      <c r="Q325" s="18">
        <f ca="1">IFERROR(__xludf.DUMMYFUNCTION("""COMPUTED_VALUE"""),45325)</f>
        <v>45325</v>
      </c>
      <c r="R325" s="18"/>
      <c r="S325" s="5">
        <f ca="1">IFERROR(__xludf.DUMMYFUNCTION("""COMPUTED_VALUE"""),1)</f>
        <v>1</v>
      </c>
      <c r="T325" s="5"/>
      <c r="U325" s="5" t="str">
        <f ca="1">IFERROR(__xludf.DUMMYFUNCTION("""COMPUTED_VALUE"""),"Bedoya Marin Johan Andres")</f>
        <v>Bedoya Marin Johan Andres</v>
      </c>
      <c r="V325" s="5"/>
      <c r="W325" s="5" t="str">
        <f ca="1">IFERROR(__xludf.DUMMYFUNCTION("""COMPUTED_VALUE"""),"WoM8rdoAkSI")</f>
        <v>WoM8rdoAkSI</v>
      </c>
      <c r="X325" s="5">
        <f ca="1">IFERROR(__xludf.DUMMYFUNCTION("""COMPUTED_VALUE"""),1)</f>
        <v>1</v>
      </c>
      <c r="Y325" s="5" t="str">
        <f t="shared" si="2"/>
        <v>Actividad sin realizar</v>
      </c>
      <c r="Z325" s="3">
        <f ca="1">IFERROR(VLOOKUP(U325, 'Base de datos'!A:B, 2, FALSE), "")</f>
        <v>573147103334</v>
      </c>
      <c r="AA325" s="4" t="e">
        <f t="shared" ca="1" si="3"/>
        <v>#NAME?</v>
      </c>
    </row>
    <row r="326" spans="1:27" ht="15.75" customHeight="1">
      <c r="A326" s="5" t="str">
        <f ca="1">IFERROR(__xludf.DUMMYFUNCTION("""COMPUTED_VALUE"""),"POSTOBÓN YUMBO")</f>
        <v>POSTOBÓN YUMBO</v>
      </c>
      <c r="B326" s="5" t="str">
        <f ca="1">IFERROR(__xludf.DUMMYFUNCTION("""COMPUTED_VALUE"""),"0410-ENVASADO JUGOS PET HOT F")</f>
        <v>0410-ENVASADO JUGOS PET HOT F</v>
      </c>
      <c r="C326" s="5" t="str">
        <f ca="1">IFERROR(__xludf.DUMMYFUNCTION("""COMPUTED_VALUE"""),"LINEA DE ENVASADO JUGOS PET HOT FILL")</f>
        <v>LINEA DE ENVASADO JUGOS PET HOT FILL</v>
      </c>
      <c r="D326" s="5">
        <f ca="1">IFERROR(__xludf.DUMMYFUNCTION("""COMPUTED_VALUE"""),90030303)</f>
        <v>90030303</v>
      </c>
      <c r="E326" s="5" t="str">
        <f ca="1">IFERROR(__xludf.DUMMYFUNCTION("""COMPUTED_VALUE"""),"ENRUTADOR TAPA")</f>
        <v>ENRUTADOR TAPA</v>
      </c>
      <c r="F326" s="5">
        <f ca="1">IFERROR(__xludf.DUMMYFUNCTION("""COMPUTED_VALUE"""),22577)</f>
        <v>22577</v>
      </c>
      <c r="G326" s="5" t="str">
        <f ca="1">IFERROR(__xludf.DUMMYFUNCTION("""COMPUTED_VALUE"""),"PLAN MTTO MEC ENRUTADOR TAPA 90030303")</f>
        <v>PLAN MTTO MEC ENRUTADOR TAPA 90030303</v>
      </c>
      <c r="H326" s="5">
        <f ca="1">IFERROR(__xludf.DUMMYFUNCTION("""COMPUTED_VALUE"""),13174154)</f>
        <v>13174154</v>
      </c>
      <c r="I326" s="5" t="str">
        <f ca="1">IFERROR(__xludf.DUMMYFUNCTION("""COMPUTED_VALUE"""),"mtto recorte de bandas traportadoras,piñ")</f>
        <v>mtto recorte de bandas traportadoras,piñ</v>
      </c>
      <c r="J326" s="5" t="str">
        <f ca="1">IFERROR(__xludf.DUMMYFUNCTION("""COMPUTED_VALUE"""),"MEDIO")</f>
        <v>MEDIO</v>
      </c>
      <c r="K326" s="5" t="str">
        <f ca="1">IFERROR(__xludf.DUMMYFUNCTION("""COMPUTED_VALUE"""),"Preventivo")</f>
        <v>Preventivo</v>
      </c>
      <c r="L326" s="5" t="str">
        <f ca="1">IFERROR(__xludf.DUMMYFUNCTION("""COMPUTED_VALUE"""),"Maquinaria")</f>
        <v>Maquinaria</v>
      </c>
      <c r="M326" s="5" t="str">
        <f ca="1">IFERROR(__xludf.DUMMYFUNCTION("""COMPUTED_VALUE"""),"No")</f>
        <v>No</v>
      </c>
      <c r="N326" s="5"/>
      <c r="O326" s="5"/>
      <c r="P326" s="18">
        <f ca="1">IFERROR(__xludf.DUMMYFUNCTION("""COMPUTED_VALUE"""),45339)</f>
        <v>45339</v>
      </c>
      <c r="Q326" s="18">
        <f ca="1">IFERROR(__xludf.DUMMYFUNCTION("""COMPUTED_VALUE"""),45339)</f>
        <v>45339</v>
      </c>
      <c r="R326" s="18"/>
      <c r="S326" s="5">
        <f ca="1">IFERROR(__xludf.DUMMYFUNCTION("""COMPUTED_VALUE"""),4)</f>
        <v>4</v>
      </c>
      <c r="T326" s="5"/>
      <c r="U326" s="5" t="str">
        <f ca="1">IFERROR(__xludf.DUMMYFUNCTION("""COMPUTED_VALUE"""),"Vanegas Guependo Hermes")</f>
        <v>Vanegas Guependo Hermes</v>
      </c>
      <c r="V326" s="5"/>
      <c r="W326" s="5" t="str">
        <f ca="1">IFERROR(__xludf.DUMMYFUNCTION("""COMPUTED_VALUE"""),"EsvfxbrL5OY")</f>
        <v>EsvfxbrL5OY</v>
      </c>
      <c r="X326" s="5">
        <f ca="1">IFERROR(__xludf.DUMMYFUNCTION("""COMPUTED_VALUE"""),4)</f>
        <v>4</v>
      </c>
      <c r="Y326" s="5" t="str">
        <f t="shared" si="2"/>
        <v>Actividad sin realizar</v>
      </c>
      <c r="Z326" s="3">
        <f ca="1">IFERROR(VLOOKUP(U326, 'Base de datos'!A:B, 2, FALSE), "")</f>
        <v>573136290785</v>
      </c>
      <c r="AA326" s="4" t="e">
        <f t="shared" ca="1" si="3"/>
        <v>#NAME?</v>
      </c>
    </row>
    <row r="327" spans="1:27" ht="15.75" customHeight="1">
      <c r="A327" s="5" t="str">
        <f ca="1">IFERROR(__xludf.DUMMYFUNCTION("""COMPUTED_VALUE"""),"POSTOBÓN YUMBO")</f>
        <v>POSTOBÓN YUMBO</v>
      </c>
      <c r="B327" s="5" t="str">
        <f ca="1">IFERROR(__xludf.DUMMYFUNCTION("""COMPUTED_VALUE"""),"0410-EQUIPOS AUXILIARES")</f>
        <v>0410-EQUIPOS AUXILIARES</v>
      </c>
      <c r="C327" s="5" t="str">
        <f ca="1">IFERROR(__xludf.DUMMYFUNCTION("""COMPUTED_VALUE"""),"EQUIPOS PARA SERVICIOS INDUSTRIALES")</f>
        <v>EQUIPOS PARA SERVICIOS INDUSTRIALES</v>
      </c>
      <c r="D327" s="5">
        <f ca="1">IFERROR(__xludf.DUMMYFUNCTION("""COMPUTED_VALUE"""),659371)</f>
        <v>659371</v>
      </c>
      <c r="E327" s="5" t="str">
        <f ca="1">IFERROR(__xludf.DUMMYFUNCTION("""COMPUTED_VALUE"""),"CALDERA DE 300 BHP")</f>
        <v>CALDERA DE 300 BHP</v>
      </c>
      <c r="F327" s="5">
        <f ca="1">IFERROR(__xludf.DUMMYFUNCTION("""COMPUTED_VALUE"""),37845)</f>
        <v>37845</v>
      </c>
      <c r="G327" s="5" t="str">
        <f ca="1">IFERROR(__xludf.DUMMYFUNCTION("""COMPUTED_VALUE"""),"INSPECCION SEMANAL CALDERA DE 300 BHP")</f>
        <v>INSPECCION SEMANAL CALDERA DE 300 BHP</v>
      </c>
      <c r="H327" s="5">
        <f ca="1">IFERROR(__xludf.DUMMYFUNCTION("""COMPUTED_VALUE"""),13084225)</f>
        <v>13084225</v>
      </c>
      <c r="I327" s="5" t="str">
        <f ca="1">IFERROR(__xludf.DUMMYFUNCTION("""COMPUTED_VALUE"""),"PURGAS CALDERAS 12")</f>
        <v>PURGAS CALDERAS 12</v>
      </c>
      <c r="J327" s="5" t="str">
        <f ca="1">IFERROR(__xludf.DUMMYFUNCTION("""COMPUTED_VALUE"""),"ALTO")</f>
        <v>ALTO</v>
      </c>
      <c r="K327" s="5" t="str">
        <f ca="1">IFERROR(__xludf.DUMMYFUNCTION("""COMPUTED_VALUE"""),"Preventivo")</f>
        <v>Preventivo</v>
      </c>
      <c r="L327" s="5" t="str">
        <f ca="1">IFERROR(__xludf.DUMMYFUNCTION("""COMPUTED_VALUE"""),"Maquinaria")</f>
        <v>Maquinaria</v>
      </c>
      <c r="M327" s="5" t="str">
        <f ca="1">IFERROR(__xludf.DUMMYFUNCTION("""COMPUTED_VALUE"""),"No")</f>
        <v>No</v>
      </c>
      <c r="N327" s="5"/>
      <c r="O327" s="5"/>
      <c r="P327" s="18">
        <f ca="1">IFERROR(__xludf.DUMMYFUNCTION("""COMPUTED_VALUE"""),45323)</f>
        <v>45323</v>
      </c>
      <c r="Q327" s="18">
        <f ca="1">IFERROR(__xludf.DUMMYFUNCTION("""COMPUTED_VALUE"""),45323)</f>
        <v>45323</v>
      </c>
      <c r="R327" s="18"/>
      <c r="S327" s="5">
        <f ca="1">IFERROR(__xludf.DUMMYFUNCTION("""COMPUTED_VALUE"""),1)</f>
        <v>1</v>
      </c>
      <c r="T327" s="5"/>
      <c r="U327" s="5" t="str">
        <f ca="1">IFERROR(__xludf.DUMMYFUNCTION("""COMPUTED_VALUE"""),"Valencia Hector")</f>
        <v>Valencia Hector</v>
      </c>
      <c r="V327" s="5"/>
      <c r="W327" s="5" t="str">
        <f ca="1">IFERROR(__xludf.DUMMYFUNCTION("""COMPUTED_VALUE"""),"wIUkA6qqrtE")</f>
        <v>wIUkA6qqrtE</v>
      </c>
      <c r="X327" s="5">
        <f ca="1">IFERROR(__xludf.DUMMYFUNCTION("""COMPUTED_VALUE"""),1)</f>
        <v>1</v>
      </c>
      <c r="Y327" s="5" t="str">
        <f t="shared" si="2"/>
        <v>Actividad sin realizar</v>
      </c>
      <c r="Z327" s="3">
        <f ca="1">IFERROR(VLOOKUP(U327, 'Base de datos'!A:B, 2, FALSE), "")</f>
        <v>573108951371</v>
      </c>
      <c r="AA327" s="4" t="e">
        <f t="shared" ca="1" si="3"/>
        <v>#NAME?</v>
      </c>
    </row>
    <row r="328" spans="1:27" ht="15.75" customHeight="1">
      <c r="A328" s="5" t="str">
        <f ca="1">IFERROR(__xludf.DUMMYFUNCTION("""COMPUTED_VALUE"""),"POSTOBÓN YUMBO")</f>
        <v>POSTOBÓN YUMBO</v>
      </c>
      <c r="B328" s="5" t="str">
        <f ca="1">IFERROR(__xludf.DUMMYFUNCTION("""COMPUTED_VALUE"""),"0410-PLANTA DE AGUA ENVASADO")</f>
        <v>0410-PLANTA DE AGUA ENVASADO</v>
      </c>
      <c r="C328" s="5" t="str">
        <f ca="1">IFERROR(__xludf.DUMMYFUNCTION("""COMPUTED_VALUE"""),"TRATAMIENTO DE AGUA PARA ENVASADO")</f>
        <v>TRATAMIENTO DE AGUA PARA ENVASADO</v>
      </c>
      <c r="D328" s="5">
        <f ca="1">IFERROR(__xludf.DUMMYFUNCTION("""COMPUTED_VALUE"""),70948952)</f>
        <v>70948952</v>
      </c>
      <c r="E328" s="5" t="str">
        <f ca="1">IFERROR(__xludf.DUMMYFUNCTION("""COMPUTED_VALUE"""),"SISTEMA DE CAL - TRAT PRIM")</f>
        <v>SISTEMA DE CAL - TRAT PRIM</v>
      </c>
      <c r="F328" s="5">
        <f ca="1">IFERROR(__xludf.DUMMYFUNCTION("""COMPUTED_VALUE"""),32895)</f>
        <v>32895</v>
      </c>
      <c r="G328" s="5" t="str">
        <f ca="1">IFERROR(__xludf.DUMMYFUNCTION("""COMPUTED_VALUE"""),"PLAN MTTO MEC SISTEMA DE CAL - TRAT PRIM")</f>
        <v>PLAN MTTO MEC SISTEMA DE CAL - TRAT PRIM</v>
      </c>
      <c r="H328" s="5">
        <f ca="1">IFERROR(__xludf.DUMMYFUNCTION("""COMPUTED_VALUE"""),13247256)</f>
        <v>13247256</v>
      </c>
      <c r="I328" s="5" t="str">
        <f ca="1">IFERROR(__xludf.DUMMYFUNCTION("""COMPUTED_VALUE"""),"REVISION BOMBAS NEUMATICAS")</f>
        <v>REVISION BOMBAS NEUMATICAS</v>
      </c>
      <c r="J328" s="5" t="str">
        <f ca="1">IFERROR(__xludf.DUMMYFUNCTION("""COMPUTED_VALUE"""),"ALTO")</f>
        <v>ALTO</v>
      </c>
      <c r="K328" s="5" t="str">
        <f ca="1">IFERROR(__xludf.DUMMYFUNCTION("""COMPUTED_VALUE"""),"Preventivo")</f>
        <v>Preventivo</v>
      </c>
      <c r="L328" s="5" t="str">
        <f ca="1">IFERROR(__xludf.DUMMYFUNCTION("""COMPUTED_VALUE"""),"Maquinaria")</f>
        <v>Maquinaria</v>
      </c>
      <c r="M328" s="5" t="str">
        <f ca="1">IFERROR(__xludf.DUMMYFUNCTION("""COMPUTED_VALUE"""),"No")</f>
        <v>No</v>
      </c>
      <c r="N328" s="5"/>
      <c r="O328" s="5"/>
      <c r="P328" s="18">
        <f ca="1">IFERROR(__xludf.DUMMYFUNCTION("""COMPUTED_VALUE"""),45339)</f>
        <v>45339</v>
      </c>
      <c r="Q328" s="18">
        <f ca="1">IFERROR(__xludf.DUMMYFUNCTION("""COMPUTED_VALUE"""),45339)</f>
        <v>45339</v>
      </c>
      <c r="R328" s="18"/>
      <c r="S328" s="5">
        <f ca="1">IFERROR(__xludf.DUMMYFUNCTION("""COMPUTED_VALUE"""),0.5)</f>
        <v>0.5</v>
      </c>
      <c r="T328" s="5"/>
      <c r="U328" s="5" t="str">
        <f ca="1">IFERROR(__xludf.DUMMYFUNCTION("""COMPUTED_VALUE"""),"Guzman Palechor Miguel Angel")</f>
        <v>Guzman Palechor Miguel Angel</v>
      </c>
      <c r="V328" s="5"/>
      <c r="W328" s="5" t="str">
        <f ca="1">IFERROR(__xludf.DUMMYFUNCTION("""COMPUTED_VALUE"""),"Sz5FtpYEU8o")</f>
        <v>Sz5FtpYEU8o</v>
      </c>
      <c r="X328" s="5">
        <f ca="1">IFERROR(__xludf.DUMMYFUNCTION("""COMPUTED_VALUE"""),0.5)</f>
        <v>0.5</v>
      </c>
      <c r="Y328" s="5" t="str">
        <f t="shared" si="2"/>
        <v>Actividad sin realizar</v>
      </c>
      <c r="Z328" s="3">
        <f ca="1">IFERROR(VLOOKUP(U328, 'Base de datos'!A:B, 2, FALSE), "")</f>
        <v>573112422176</v>
      </c>
      <c r="AA328" s="4" t="e">
        <f t="shared" ca="1" si="3"/>
        <v>#NAME?</v>
      </c>
    </row>
    <row r="329" spans="1:27" ht="15.75" customHeight="1">
      <c r="A329" s="5" t="str">
        <f ca="1">IFERROR(__xludf.DUMMYFUNCTION("""COMPUTED_VALUE"""),"POSTOBÓN YUMBO")</f>
        <v>POSTOBÓN YUMBO</v>
      </c>
      <c r="B329" s="5" t="str">
        <f ca="1">IFERROR(__xludf.DUMMYFUNCTION("""COMPUTED_VALUE"""),"0410-ENVASADO JUGOS PET HOT F")</f>
        <v>0410-ENVASADO JUGOS PET HOT F</v>
      </c>
      <c r="C329" s="5" t="str">
        <f ca="1">IFERROR(__xludf.DUMMYFUNCTION("""COMPUTED_VALUE"""),"LINEA DE ENVASADO JUGOS PET HOT FILL")</f>
        <v>LINEA DE ENVASADO JUGOS PET HOT FILL</v>
      </c>
      <c r="D329" s="5">
        <f ca="1">IFERROR(__xludf.DUMMYFUNCTION("""COMPUTED_VALUE"""),900303)</f>
        <v>900303</v>
      </c>
      <c r="E329" s="5" t="str">
        <f ca="1">IFERROR(__xludf.DUMMYFUNCTION("""COMPUTED_VALUE"""),"LLENADORA")</f>
        <v>LLENADORA</v>
      </c>
      <c r="F329" s="5">
        <f ca="1">IFERROR(__xludf.DUMMYFUNCTION("""COMPUTED_VALUE"""),0)</f>
        <v>0</v>
      </c>
      <c r="G329" s="5" t="str">
        <f ca="1">IFERROR(__xludf.DUMMYFUNCTION("""COMPUTED_VALUE"""),"CONSUMO LUB LLENADORA L8")</f>
        <v>CONSUMO LUB LLENADORA L8</v>
      </c>
      <c r="H329" s="5">
        <f ca="1">IFERROR(__xludf.DUMMYFUNCTION("""COMPUTED_VALUE"""),13230942)</f>
        <v>13230942</v>
      </c>
      <c r="I329" s="5" t="str">
        <f ca="1">IFERROR(__xludf.DUMMYFUNCTION("""COMPUTED_VALUE"""),"CONSUMO LUBRICANTES ENERO 2024")</f>
        <v>CONSUMO LUBRICANTES ENERO 2024</v>
      </c>
      <c r="J329" s="5" t="str">
        <f ca="1">IFERROR(__xludf.DUMMYFUNCTION("""COMPUTED_VALUE"""),"ALTO")</f>
        <v>ALTO</v>
      </c>
      <c r="K329" s="5" t="str">
        <f ca="1">IFERROR(__xludf.DUMMYFUNCTION("""COMPUTED_VALUE"""),"Preventivo")</f>
        <v>Preventivo</v>
      </c>
      <c r="L329" s="5" t="str">
        <f ca="1">IFERROR(__xludf.DUMMYFUNCTION("""COMPUTED_VALUE"""),"Maquinaria")</f>
        <v>Maquinaria</v>
      </c>
      <c r="M329" s="5" t="str">
        <f ca="1">IFERROR(__xludf.DUMMYFUNCTION("""COMPUTED_VALUE"""),"No")</f>
        <v>No</v>
      </c>
      <c r="N329" s="5"/>
      <c r="O329" s="5"/>
      <c r="P329" s="18">
        <f ca="1">IFERROR(__xludf.DUMMYFUNCTION("""COMPUTED_VALUE"""),45325)</f>
        <v>45325</v>
      </c>
      <c r="Q329" s="18">
        <f ca="1">IFERROR(__xludf.DUMMYFUNCTION("""COMPUTED_VALUE"""),45325)</f>
        <v>45325</v>
      </c>
      <c r="R329" s="18"/>
      <c r="S329" s="5">
        <f ca="1">IFERROR(__xludf.DUMMYFUNCTION("""COMPUTED_VALUE"""),1)</f>
        <v>1</v>
      </c>
      <c r="T329" s="5"/>
      <c r="U329" s="5" t="str">
        <f ca="1">IFERROR(__xludf.DUMMYFUNCTION("""COMPUTED_VALUE"""),"Franco Castillo Brayan Steven")</f>
        <v>Franco Castillo Brayan Steven</v>
      </c>
      <c r="V329" s="5"/>
      <c r="W329" s="5" t="str">
        <f ca="1">IFERROR(__xludf.DUMMYFUNCTION("""COMPUTED_VALUE"""),"nM_IrHlC_dU")</f>
        <v>nM_IrHlC_dU</v>
      </c>
      <c r="X329" s="5">
        <f ca="1">IFERROR(__xludf.DUMMYFUNCTION("""COMPUTED_VALUE"""),1)</f>
        <v>1</v>
      </c>
      <c r="Y329" s="5" t="str">
        <f t="shared" si="2"/>
        <v>Actividad sin realizar</v>
      </c>
      <c r="Z329" s="3">
        <f ca="1">IFERROR(VLOOKUP(U329, 'Base de datos'!A:B, 2, FALSE), "")</f>
        <v>573053427911</v>
      </c>
      <c r="AA329" s="4" t="e">
        <f t="shared" ca="1" si="3"/>
        <v>#NAME?</v>
      </c>
    </row>
    <row r="330" spans="1:27" ht="15.75" customHeight="1">
      <c r="A330" s="5" t="str">
        <f ca="1">IFERROR(__xludf.DUMMYFUNCTION("""COMPUTED_VALUE"""),"POSTOBÓN YUMBO")</f>
        <v>POSTOBÓN YUMBO</v>
      </c>
      <c r="B330" s="5" t="str">
        <f ca="1">IFERROR(__xludf.DUMMYFUNCTION("""COMPUTED_VALUE"""),"0410-EQUIPOS AUXILIARES")</f>
        <v>0410-EQUIPOS AUXILIARES</v>
      </c>
      <c r="C330" s="5" t="str">
        <f ca="1">IFERROR(__xludf.DUMMYFUNCTION("""COMPUTED_VALUE"""),"EQUIPOS PARA SERVICIOS INDUSTRIALES")</f>
        <v>EQUIPOS PARA SERVICIOS INDUSTRIALES</v>
      </c>
      <c r="D330" s="5">
        <f ca="1">IFERROR(__xludf.DUMMYFUNCTION("""COMPUTED_VALUE"""),829072)</f>
        <v>829072</v>
      </c>
      <c r="E330" s="5" t="str">
        <f ca="1">IFERROR(__xludf.DUMMYFUNCTION("""COMPUTED_VALUE"""),"COMPRESOR TORNILLO AIRE VEL. VARIABLE")</f>
        <v>COMPRESOR TORNILLO AIRE VEL. VARIABLE</v>
      </c>
      <c r="F330" s="5">
        <f ca="1">IFERROR(__xludf.DUMMYFUNCTION("""COMPUTED_VALUE"""),25380)</f>
        <v>25380</v>
      </c>
      <c r="G330" s="5" t="str">
        <f ca="1">IFERROR(__xludf.DUMMYFUNCTION("""COMPUTED_VALUE"""),"PLAN MTTO ELE COMPRESOR AIRE KAESER")</f>
        <v>PLAN MTTO ELE COMPRESOR AIRE KAESER</v>
      </c>
      <c r="H330" s="5">
        <f ca="1">IFERROR(__xludf.DUMMYFUNCTION("""COMPUTED_VALUE"""),13207476)</f>
        <v>13207476</v>
      </c>
      <c r="I330" s="5" t="str">
        <f ca="1">IFERROR(__xludf.DUMMYFUNCTION("""COMPUTED_VALUE"""),"REVISE LA FUNCION DE APAGADO DE SEGURIDA")</f>
        <v>REVISE LA FUNCION DE APAGADO DE SEGURIDA</v>
      </c>
      <c r="J330" s="5" t="str">
        <f ca="1">IFERROR(__xludf.DUMMYFUNCTION("""COMPUTED_VALUE"""),"MEDIO")</f>
        <v>MEDIO</v>
      </c>
      <c r="K330" s="5" t="str">
        <f ca="1">IFERROR(__xludf.DUMMYFUNCTION("""COMPUTED_VALUE"""),"Preventivo")</f>
        <v>Preventivo</v>
      </c>
      <c r="L330" s="5" t="str">
        <f ca="1">IFERROR(__xludf.DUMMYFUNCTION("""COMPUTED_VALUE"""),"Maquinaria")</f>
        <v>Maquinaria</v>
      </c>
      <c r="M330" s="5" t="str">
        <f ca="1">IFERROR(__xludf.DUMMYFUNCTION("""COMPUTED_VALUE"""),"No")</f>
        <v>No</v>
      </c>
      <c r="N330" s="5"/>
      <c r="O330" s="5"/>
      <c r="P330" s="18">
        <f ca="1">IFERROR(__xludf.DUMMYFUNCTION("""COMPUTED_VALUE"""),45345)</f>
        <v>45345</v>
      </c>
      <c r="Q330" s="18">
        <f ca="1">IFERROR(__xludf.DUMMYFUNCTION("""COMPUTED_VALUE"""),45345)</f>
        <v>45345</v>
      </c>
      <c r="R330" s="18"/>
      <c r="S330" s="5">
        <f ca="1">IFERROR(__xludf.DUMMYFUNCTION("""COMPUTED_VALUE"""),0.5)</f>
        <v>0.5</v>
      </c>
      <c r="T330" s="5"/>
      <c r="U330" s="5" t="str">
        <f ca="1">IFERROR(__xludf.DUMMYFUNCTION("""COMPUTED_VALUE"""),"JEFFERSON BRAVO PIEDRAHITA")</f>
        <v>JEFFERSON BRAVO PIEDRAHITA</v>
      </c>
      <c r="V330" s="5"/>
      <c r="W330" s="5" t="str">
        <f ca="1">IFERROR(__xludf.DUMMYFUNCTION("""COMPUTED_VALUE"""),"BbGgZNqf1n8")</f>
        <v>BbGgZNqf1n8</v>
      </c>
      <c r="X330" s="5">
        <f ca="1">IFERROR(__xludf.DUMMYFUNCTION("""COMPUTED_VALUE"""),0.5)</f>
        <v>0.5</v>
      </c>
      <c r="Y330" s="5" t="str">
        <f t="shared" si="2"/>
        <v>Actividad sin realizar</v>
      </c>
      <c r="Z330" s="3">
        <f ca="1">IFERROR(VLOOKUP(U330, 'Base de datos'!A:B, 2, FALSE), "")</f>
        <v>573043623277</v>
      </c>
      <c r="AA330" s="4" t="e">
        <f t="shared" ca="1" si="3"/>
        <v>#NAME?</v>
      </c>
    </row>
    <row r="331" spans="1:27" ht="15.75" customHeight="1">
      <c r="A331" s="5" t="str">
        <f ca="1">IFERROR(__xludf.DUMMYFUNCTION("""COMPUTED_VALUE"""),"POSTOBÓN YUMBO")</f>
        <v>POSTOBÓN YUMBO</v>
      </c>
      <c r="B331" s="5" t="str">
        <f ca="1">IFERROR(__xludf.DUMMYFUNCTION("""COMPUTED_VALUE"""),"0410-EQUIPOS AUXILIARES JUGOS")</f>
        <v>0410-EQUIPOS AUXILIARES JUGOS</v>
      </c>
      <c r="C331" s="5" t="str">
        <f ca="1">IFERROR(__xludf.DUMMYFUNCTION("""COMPUTED_VALUE"""),"EQUIPOS PARA SERVICIOS INDUSTRIALES JUGO")</f>
        <v>EQUIPOS PARA SERVICIOS INDUSTRIALES JUGO</v>
      </c>
      <c r="D331" s="5">
        <f ca="1">IFERROR(__xludf.DUMMYFUNCTION("""COMPUTED_VALUE"""),829060)</f>
        <v>829060</v>
      </c>
      <c r="E331" s="5" t="str">
        <f ca="1">IFERROR(__xludf.DUMMYFUNCTION("""COMPUTED_VALUE"""),"COMPRESOR DE REFRIGERACION No. 3 JUGOS")</f>
        <v>COMPRESOR DE REFRIGERACION No. 3 JUGOS</v>
      </c>
      <c r="F331" s="5">
        <f ca="1">IFERROR(__xludf.DUMMYFUNCTION("""COMPUTED_VALUE"""),0)</f>
        <v>0</v>
      </c>
      <c r="G331" s="5" t="str">
        <f ca="1">IFERROR(__xludf.DUMMYFUNCTION("""COMPUTED_VALUE"""),"CONSUMO LUB COMPRESOR TORNILLO JUGOS 3")</f>
        <v>CONSUMO LUB COMPRESOR TORNILLO JUGOS 3</v>
      </c>
      <c r="H331" s="5">
        <f ca="1">IFERROR(__xludf.DUMMYFUNCTION("""COMPUTED_VALUE"""),13230965)</f>
        <v>13230965</v>
      </c>
      <c r="I331" s="5" t="str">
        <f ca="1">IFERROR(__xludf.DUMMYFUNCTION("""COMPUTED_VALUE"""),"CONSUMO LUBRICANTES ENERO 2024")</f>
        <v>CONSUMO LUBRICANTES ENERO 2024</v>
      </c>
      <c r="J331" s="5" t="str">
        <f ca="1">IFERROR(__xludf.DUMMYFUNCTION("""COMPUTED_VALUE"""),"MEDIO")</f>
        <v>MEDIO</v>
      </c>
      <c r="K331" s="5" t="str">
        <f ca="1">IFERROR(__xludf.DUMMYFUNCTION("""COMPUTED_VALUE"""),"Preventivo")</f>
        <v>Preventivo</v>
      </c>
      <c r="L331" s="5" t="str">
        <f ca="1">IFERROR(__xludf.DUMMYFUNCTION("""COMPUTED_VALUE"""),"Maquinaria")</f>
        <v>Maquinaria</v>
      </c>
      <c r="M331" s="5" t="str">
        <f ca="1">IFERROR(__xludf.DUMMYFUNCTION("""COMPUTED_VALUE"""),"No")</f>
        <v>No</v>
      </c>
      <c r="N331" s="5"/>
      <c r="O331" s="5"/>
      <c r="P331" s="18">
        <f ca="1">IFERROR(__xludf.DUMMYFUNCTION("""COMPUTED_VALUE"""),45325)</f>
        <v>45325</v>
      </c>
      <c r="Q331" s="18">
        <f ca="1">IFERROR(__xludf.DUMMYFUNCTION("""COMPUTED_VALUE"""),45325)</f>
        <v>45325</v>
      </c>
      <c r="R331" s="18"/>
      <c r="S331" s="5">
        <f ca="1">IFERROR(__xludf.DUMMYFUNCTION("""COMPUTED_VALUE"""),1)</f>
        <v>1</v>
      </c>
      <c r="T331" s="5"/>
      <c r="U331" s="5" t="str">
        <f ca="1">IFERROR(__xludf.DUMMYFUNCTION("""COMPUTED_VALUE"""),"Lopez Raul")</f>
        <v>Lopez Raul</v>
      </c>
      <c r="V331" s="5"/>
      <c r="W331" s="5" t="str">
        <f ca="1">IFERROR(__xludf.DUMMYFUNCTION("""COMPUTED_VALUE"""),"0-sV_Q-w7oU")</f>
        <v>0-sV_Q-w7oU</v>
      </c>
      <c r="X331" s="5">
        <f ca="1">IFERROR(__xludf.DUMMYFUNCTION("""COMPUTED_VALUE"""),1)</f>
        <v>1</v>
      </c>
      <c r="Y331" s="5" t="str">
        <f t="shared" si="2"/>
        <v>Actividad sin realizar</v>
      </c>
      <c r="Z331" s="3">
        <f ca="1">IFERROR(VLOOKUP(U331, 'Base de datos'!A:B, 2, FALSE), "")</f>
        <v>573122172129</v>
      </c>
      <c r="AA331" s="4" t="e">
        <f t="shared" ca="1" si="3"/>
        <v>#NAME?</v>
      </c>
    </row>
    <row r="332" spans="1:27" ht="15.75" customHeight="1">
      <c r="A332" s="5" t="str">
        <f ca="1">IFERROR(__xludf.DUMMYFUNCTION("""COMPUTED_VALUE"""),"POSTOBÓN YUMBO")</f>
        <v>POSTOBÓN YUMBO</v>
      </c>
      <c r="B332" s="5" t="str">
        <f ca="1">IFERROR(__xludf.DUMMYFUNCTION("""COMPUTED_VALUE"""),"0410-EQUIPOS AUXILIARES")</f>
        <v>0410-EQUIPOS AUXILIARES</v>
      </c>
      <c r="C332" s="5" t="str">
        <f ca="1">IFERROR(__xludf.DUMMYFUNCTION("""COMPUTED_VALUE"""),"EQUIPOS PARA SERVICIOS INDUSTRIALES")</f>
        <v>EQUIPOS PARA SERVICIOS INDUSTRIALES</v>
      </c>
      <c r="D332" s="5">
        <f ca="1">IFERROR(__xludf.DUMMYFUNCTION("""COMPUTED_VALUE"""),659371)</f>
        <v>659371</v>
      </c>
      <c r="E332" s="5" t="str">
        <f ca="1">IFERROR(__xludf.DUMMYFUNCTION("""COMPUTED_VALUE"""),"CALDERA DE 300 BHP")</f>
        <v>CALDERA DE 300 BHP</v>
      </c>
      <c r="F332" s="5">
        <f ca="1">IFERROR(__xludf.DUMMYFUNCTION("""COMPUTED_VALUE"""),21693)</f>
        <v>21693</v>
      </c>
      <c r="G332" s="5" t="str">
        <f ca="1">IFERROR(__xludf.DUMMYFUNCTION("""COMPUTED_VALUE"""),"PLAN DE MTTO ELE CALDERA C#3 A- 1341")</f>
        <v>PLAN DE MTTO ELE CALDERA C#3 A- 1341</v>
      </c>
      <c r="H332" s="5">
        <f ca="1">IFERROR(__xludf.DUMMYFUNCTION("""COMPUTED_VALUE"""),13247184)</f>
        <v>13247184</v>
      </c>
      <c r="I332" s="5" t="str">
        <f ca="1">IFERROR(__xludf.DUMMYFUNCTION("""COMPUTED_VALUE"""),"enclavamientos sistema combustible.")</f>
        <v>enclavamientos sistema combustible.</v>
      </c>
      <c r="J332" s="5" t="str">
        <f ca="1">IFERROR(__xludf.DUMMYFUNCTION("""COMPUTED_VALUE"""),"ALTO")</f>
        <v>ALTO</v>
      </c>
      <c r="K332" s="5" t="str">
        <f ca="1">IFERROR(__xludf.DUMMYFUNCTION("""COMPUTED_VALUE"""),"Preventivo")</f>
        <v>Preventivo</v>
      </c>
      <c r="L332" s="5" t="str">
        <f ca="1">IFERROR(__xludf.DUMMYFUNCTION("""COMPUTED_VALUE"""),"Maquinaria")</f>
        <v>Maquinaria</v>
      </c>
      <c r="M332" s="5" t="str">
        <f ca="1">IFERROR(__xludf.DUMMYFUNCTION("""COMPUTED_VALUE"""),"No")</f>
        <v>No</v>
      </c>
      <c r="N332" s="5"/>
      <c r="O332" s="5"/>
      <c r="P332" s="18">
        <f ca="1">IFERROR(__xludf.DUMMYFUNCTION("""COMPUTED_VALUE"""),45339)</f>
        <v>45339</v>
      </c>
      <c r="Q332" s="18">
        <f ca="1">IFERROR(__xludf.DUMMYFUNCTION("""COMPUTED_VALUE"""),45339)</f>
        <v>45339</v>
      </c>
      <c r="R332" s="18"/>
      <c r="S332" s="5">
        <f ca="1">IFERROR(__xludf.DUMMYFUNCTION("""COMPUTED_VALUE"""),2)</f>
        <v>2</v>
      </c>
      <c r="T332" s="5"/>
      <c r="U332" s="5" t="str">
        <f ca="1">IFERROR(__xludf.DUMMYFUNCTION("""COMPUTED_VALUE"""),"Valencia Hector")</f>
        <v>Valencia Hector</v>
      </c>
      <c r="V332" s="5"/>
      <c r="W332" s="5" t="str">
        <f ca="1">IFERROR(__xludf.DUMMYFUNCTION("""COMPUTED_VALUE"""),"_og4MdyT03Y")</f>
        <v>_og4MdyT03Y</v>
      </c>
      <c r="X332" s="5">
        <f ca="1">IFERROR(__xludf.DUMMYFUNCTION("""COMPUTED_VALUE"""),2)</f>
        <v>2</v>
      </c>
      <c r="Y332" s="5" t="str">
        <f t="shared" si="2"/>
        <v>Actividad sin realizar</v>
      </c>
      <c r="Z332" s="3">
        <f ca="1">IFERROR(VLOOKUP(U332, 'Base de datos'!A:B, 2, FALSE), "")</f>
        <v>573108951371</v>
      </c>
      <c r="AA332" s="4" t="e">
        <f t="shared" ca="1" si="3"/>
        <v>#NAME?</v>
      </c>
    </row>
    <row r="333" spans="1:27" ht="15.75" customHeight="1">
      <c r="A333" s="5" t="str">
        <f ca="1">IFERROR(__xludf.DUMMYFUNCTION("""COMPUTED_VALUE"""),"POSTOBÓN YUMBO")</f>
        <v>POSTOBÓN YUMBO</v>
      </c>
      <c r="B333" s="5" t="str">
        <f ca="1">IFERROR(__xludf.DUMMYFUNCTION("""COMPUTED_VALUE"""),"0410-CUARTO DE BOMBAS")</f>
        <v>0410-CUARTO DE BOMBAS</v>
      </c>
      <c r="C333" s="5" t="str">
        <f ca="1">IFERROR(__xludf.DUMMYFUNCTION("""COMPUTED_VALUE"""),"BOMBAS DE SERVICIO PROCESO")</f>
        <v>BOMBAS DE SERVICIO PROCESO</v>
      </c>
      <c r="D333" s="5">
        <f ca="1">IFERROR(__xludf.DUMMYFUNCTION("""COMPUTED_VALUE"""),70948605)</f>
        <v>70948605</v>
      </c>
      <c r="E333" s="5" t="str">
        <f ca="1">IFERROR(__xludf.DUMMYFUNCTION("""COMPUTED_VALUE"""),"BOMBAS RECIRCULACION CL2 TQ NORTE")</f>
        <v>BOMBAS RECIRCULACION CL2 TQ NORTE</v>
      </c>
      <c r="F333" s="5">
        <f ca="1">IFERROR(__xludf.DUMMYFUNCTION("""COMPUTED_VALUE"""),42252)</f>
        <v>42252</v>
      </c>
      <c r="G333" s="5" t="str">
        <f ca="1">IFERROR(__xludf.DUMMYFUNCTION("""COMPUTED_VALUE"""),"PLAN MTTO MEC BOMBAS RECIR CL2 TK NORTE")</f>
        <v>PLAN MTTO MEC BOMBAS RECIR CL2 TK NORTE</v>
      </c>
      <c r="H333" s="5">
        <f ca="1">IFERROR(__xludf.DUMMYFUNCTION("""COMPUTED_VALUE"""),13153669)</f>
        <v>13153669</v>
      </c>
      <c r="I333" s="5" t="str">
        <f ca="1">IFERROR(__xludf.DUMMYFUNCTION("""COMPUTED_VALUE"""),"Bomba")</f>
        <v>Bomba</v>
      </c>
      <c r="J333" s="5" t="str">
        <f ca="1">IFERROR(__xludf.DUMMYFUNCTION("""COMPUTED_VALUE"""),"ALTO")</f>
        <v>ALTO</v>
      </c>
      <c r="K333" s="5" t="str">
        <f ca="1">IFERROR(__xludf.DUMMYFUNCTION("""COMPUTED_VALUE"""),"Preventivo")</f>
        <v>Preventivo</v>
      </c>
      <c r="L333" s="5" t="str">
        <f ca="1">IFERROR(__xludf.DUMMYFUNCTION("""COMPUTED_VALUE"""),"Maquinaria")</f>
        <v>Maquinaria</v>
      </c>
      <c r="M333" s="5" t="str">
        <f ca="1">IFERROR(__xludf.DUMMYFUNCTION("""COMPUTED_VALUE"""),"No")</f>
        <v>No</v>
      </c>
      <c r="N333" s="5"/>
      <c r="O333" s="5"/>
      <c r="P333" s="18">
        <f ca="1">IFERROR(__xludf.DUMMYFUNCTION("""COMPUTED_VALUE"""),45333)</f>
        <v>45333</v>
      </c>
      <c r="Q333" s="18">
        <f ca="1">IFERROR(__xludf.DUMMYFUNCTION("""COMPUTED_VALUE"""),45333)</f>
        <v>45333</v>
      </c>
      <c r="R333" s="18"/>
      <c r="S333" s="5">
        <f ca="1">IFERROR(__xludf.DUMMYFUNCTION("""COMPUTED_VALUE"""),1.5)</f>
        <v>1.5</v>
      </c>
      <c r="T333" s="5"/>
      <c r="U333" s="5" t="str">
        <f ca="1">IFERROR(__xludf.DUMMYFUNCTION("""COMPUTED_VALUE"""),"John Edier Gomez Zuñiga")</f>
        <v>John Edier Gomez Zuñiga</v>
      </c>
      <c r="V333" s="5"/>
      <c r="W333" s="5" t="str">
        <f ca="1">IFERROR(__xludf.DUMMYFUNCTION("""COMPUTED_VALUE"""),"gabZQmOhbj4")</f>
        <v>gabZQmOhbj4</v>
      </c>
      <c r="X333" s="5">
        <f ca="1">IFERROR(__xludf.DUMMYFUNCTION("""COMPUTED_VALUE"""),1.5)</f>
        <v>1.5</v>
      </c>
      <c r="Y333" s="5" t="str">
        <f t="shared" si="2"/>
        <v>Actividad sin realizar</v>
      </c>
      <c r="Z333" s="3">
        <f ca="1">IFERROR(VLOOKUP(U333, 'Base de datos'!A:B, 2, FALSE), "")</f>
        <v>573003678745</v>
      </c>
      <c r="AA333" s="4" t="e">
        <f t="shared" ca="1" si="3"/>
        <v>#NAME?</v>
      </c>
    </row>
    <row r="334" spans="1:27" ht="15.75" customHeight="1">
      <c r="A334" s="5" t="str">
        <f ca="1">IFERROR(__xludf.DUMMYFUNCTION("""COMPUTED_VALUE"""),"POSTOBÓN YUMBO")</f>
        <v>POSTOBÓN YUMBO</v>
      </c>
      <c r="B334" s="5" t="str">
        <f ca="1">IFERROR(__xludf.DUMMYFUNCTION("""COMPUTED_VALUE"""),"0410-LINEA 3")</f>
        <v>0410-LINEA 3</v>
      </c>
      <c r="C334" s="5" t="str">
        <f ca="1">IFERROR(__xludf.DUMMYFUNCTION("""COMPUTED_VALUE"""),"LINEA DE ENVASADO TAMAÑO PERSONAL")</f>
        <v>LINEA DE ENVASADO TAMAÑO PERSONAL</v>
      </c>
      <c r="D334" s="5">
        <f ca="1">IFERROR(__xludf.DUMMYFUNCTION("""COMPUTED_VALUE"""),560025)</f>
        <v>560025</v>
      </c>
      <c r="E334" s="5" t="str">
        <f ca="1">IFERROR(__xludf.DUMMYFUNCTION("""COMPUTED_VALUE"""),"LAVADORA DE CAJAS")</f>
        <v>LAVADORA DE CAJAS</v>
      </c>
      <c r="F334" s="5">
        <f ca="1">IFERROR(__xludf.DUMMYFUNCTION("""COMPUTED_VALUE"""),22605)</f>
        <v>22605</v>
      </c>
      <c r="G334" s="5" t="str">
        <f ca="1">IFERROR(__xludf.DUMMYFUNCTION("""COMPUTED_VALUE"""),"PLAN MTTO LUB LAVADORA DE CAJAS 560025")</f>
        <v>PLAN MTTO LUB LAVADORA DE CAJAS 560025</v>
      </c>
      <c r="H334" s="5">
        <f ca="1">IFERROR(__xludf.DUMMYFUNCTION("""COMPUTED_VALUE"""),13247228)</f>
        <v>13247228</v>
      </c>
      <c r="I334" s="5" t="str">
        <f ca="1">IFERROR(__xludf.DUMMYFUNCTION("""COMPUTED_VALUE"""),"Lubricar chumaceras")</f>
        <v>Lubricar chumaceras</v>
      </c>
      <c r="J334" s="5" t="str">
        <f ca="1">IFERROR(__xludf.DUMMYFUNCTION("""COMPUTED_VALUE"""),"ALTO")</f>
        <v>ALTO</v>
      </c>
      <c r="K334" s="5" t="str">
        <f ca="1">IFERROR(__xludf.DUMMYFUNCTION("""COMPUTED_VALUE"""),"Preventivo")</f>
        <v>Preventivo</v>
      </c>
      <c r="L334" s="5" t="str">
        <f ca="1">IFERROR(__xludf.DUMMYFUNCTION("""COMPUTED_VALUE"""),"Maquinaria")</f>
        <v>Maquinaria</v>
      </c>
      <c r="M334" s="5" t="str">
        <f ca="1">IFERROR(__xludf.DUMMYFUNCTION("""COMPUTED_VALUE"""),"No")</f>
        <v>No</v>
      </c>
      <c r="N334" s="5"/>
      <c r="O334" s="5"/>
      <c r="P334" s="18">
        <f ca="1">IFERROR(__xludf.DUMMYFUNCTION("""COMPUTED_VALUE"""),45336)</f>
        <v>45336</v>
      </c>
      <c r="Q334" s="18">
        <f ca="1">IFERROR(__xludf.DUMMYFUNCTION("""COMPUTED_VALUE"""),45336)</f>
        <v>45336</v>
      </c>
      <c r="R334" s="18"/>
      <c r="S334" s="5">
        <f ca="1">IFERROR(__xludf.DUMMYFUNCTION("""COMPUTED_VALUE"""),0.5)</f>
        <v>0.5</v>
      </c>
      <c r="T334" s="5"/>
      <c r="U334" s="5" t="str">
        <f ca="1">IFERROR(__xludf.DUMMYFUNCTION("""COMPUTED_VALUE"""),"Martinez Carlos")</f>
        <v>Martinez Carlos</v>
      </c>
      <c r="V334" s="5"/>
      <c r="W334" s="5" t="str">
        <f ca="1">IFERROR(__xludf.DUMMYFUNCTION("""COMPUTED_VALUE"""),"QZ-ONiatoDA")</f>
        <v>QZ-ONiatoDA</v>
      </c>
      <c r="X334" s="5">
        <f ca="1">IFERROR(__xludf.DUMMYFUNCTION("""COMPUTED_VALUE"""),0.5)</f>
        <v>0.5</v>
      </c>
      <c r="Y334" s="5" t="str">
        <f t="shared" si="2"/>
        <v>Actividad sin realizar</v>
      </c>
      <c r="Z334" s="3">
        <f ca="1">IFERROR(VLOOKUP(U334, 'Base de datos'!A:B, 2, FALSE), "")</f>
        <v>573113563903</v>
      </c>
      <c r="AA334" s="4" t="e">
        <f t="shared" ca="1" si="3"/>
        <v>#NAME?</v>
      </c>
    </row>
    <row r="335" spans="1:27" ht="15.75" customHeight="1">
      <c r="A335" s="5" t="str">
        <f ca="1">IFERROR(__xludf.DUMMYFUNCTION("""COMPUTED_VALUE"""),"POSTOBÓN YUMBO")</f>
        <v>POSTOBÓN YUMBO</v>
      </c>
      <c r="B335" s="5" t="str">
        <f ca="1">IFERROR(__xludf.DUMMYFUNCTION("""COMPUTED_VALUE"""),"0410-PLANTA DE AGUA ENVASADO")</f>
        <v>0410-PLANTA DE AGUA ENVASADO</v>
      </c>
      <c r="C335" s="5" t="str">
        <f ca="1">IFERROR(__xludf.DUMMYFUNCTION("""COMPUTED_VALUE"""),"TRATAMIENTO DE AGUA PARA ENVASADO")</f>
        <v>TRATAMIENTO DE AGUA PARA ENVASADO</v>
      </c>
      <c r="D335" s="5">
        <f ca="1">IFERROR(__xludf.DUMMYFUNCTION("""COMPUTED_VALUE"""),70965304)</f>
        <v>70965304</v>
      </c>
      <c r="E335" s="5" t="str">
        <f ca="1">IFERROR(__xludf.DUMMYFUNCTION("""COMPUTED_VALUE"""),"FILTRO ARENA 05")</f>
        <v>FILTRO ARENA 05</v>
      </c>
      <c r="F335" s="5">
        <f ca="1">IFERROR(__xludf.DUMMYFUNCTION("""COMPUTED_VALUE"""),21738)</f>
        <v>21738</v>
      </c>
      <c r="G335" s="5" t="str">
        <f ca="1">IFERROR(__xludf.DUMMYFUNCTION("""COMPUTED_VALUE"""),"PLAN MTTO MEC FILTRO ARENA FA#05")</f>
        <v>PLAN MTTO MEC FILTRO ARENA FA#05</v>
      </c>
      <c r="H335" s="5">
        <f ca="1">IFERROR(__xludf.DUMMYFUNCTION("""COMPUTED_VALUE"""),13193548)</f>
        <v>13193548</v>
      </c>
      <c r="I335" s="5" t="str">
        <f ca="1">IFERROR(__xludf.DUMMYFUNCTION("""COMPUTED_VALUE"""),"REVISION FUGAS FILTRO ARENA: SE DEBE")</f>
        <v>REVISION FUGAS FILTRO ARENA: SE DEBE</v>
      </c>
      <c r="J335" s="5" t="str">
        <f ca="1">IFERROR(__xludf.DUMMYFUNCTION("""COMPUTED_VALUE"""),"ALTO")</f>
        <v>ALTO</v>
      </c>
      <c r="K335" s="5" t="str">
        <f ca="1">IFERROR(__xludf.DUMMYFUNCTION("""COMPUTED_VALUE"""),"Preventivo")</f>
        <v>Preventivo</v>
      </c>
      <c r="L335" s="5" t="str">
        <f ca="1">IFERROR(__xludf.DUMMYFUNCTION("""COMPUTED_VALUE"""),"Maquinaria")</f>
        <v>Maquinaria</v>
      </c>
      <c r="M335" s="5" t="str">
        <f ca="1">IFERROR(__xludf.DUMMYFUNCTION("""COMPUTED_VALUE"""),"No")</f>
        <v>No</v>
      </c>
      <c r="N335" s="5"/>
      <c r="O335" s="5"/>
      <c r="P335" s="18">
        <f ca="1">IFERROR(__xludf.DUMMYFUNCTION("""COMPUTED_VALUE"""),45340)</f>
        <v>45340</v>
      </c>
      <c r="Q335" s="18">
        <f ca="1">IFERROR(__xludf.DUMMYFUNCTION("""COMPUTED_VALUE"""),45340)</f>
        <v>45340</v>
      </c>
      <c r="R335" s="18"/>
      <c r="S335" s="5">
        <f ca="1">IFERROR(__xludf.DUMMYFUNCTION("""COMPUTED_VALUE"""),0.5)</f>
        <v>0.5</v>
      </c>
      <c r="T335" s="5"/>
      <c r="U335" s="5" t="str">
        <f ca="1">IFERROR(__xludf.DUMMYFUNCTION("""COMPUTED_VALUE"""),"John Edier Gomez Zuñiga")</f>
        <v>John Edier Gomez Zuñiga</v>
      </c>
      <c r="V335" s="5"/>
      <c r="W335" s="5" t="str">
        <f ca="1">IFERROR(__xludf.DUMMYFUNCTION("""COMPUTED_VALUE"""),"auSe6HDhBOE")</f>
        <v>auSe6HDhBOE</v>
      </c>
      <c r="X335" s="5">
        <f ca="1">IFERROR(__xludf.DUMMYFUNCTION("""COMPUTED_VALUE"""),0.5)</f>
        <v>0.5</v>
      </c>
      <c r="Y335" s="5" t="str">
        <f t="shared" si="2"/>
        <v>Actividad sin realizar</v>
      </c>
      <c r="Z335" s="3">
        <f ca="1">IFERROR(VLOOKUP(U335, 'Base de datos'!A:B, 2, FALSE), "")</f>
        <v>573003678745</v>
      </c>
      <c r="AA335" s="4" t="e">
        <f t="shared" ca="1" si="3"/>
        <v>#NAME?</v>
      </c>
    </row>
    <row r="336" spans="1:27" ht="15.75" customHeight="1">
      <c r="A336" s="5" t="str">
        <f ca="1">IFERROR(__xludf.DUMMYFUNCTION("""COMPUTED_VALUE"""),"POSTOBÓN YUMBO")</f>
        <v>POSTOBÓN YUMBO</v>
      </c>
      <c r="B336" s="5" t="str">
        <f ca="1">IFERROR(__xludf.DUMMYFUNCTION("""COMPUTED_VALUE"""),"0410-EQUIPOS AUXILIARES")</f>
        <v>0410-EQUIPOS AUXILIARES</v>
      </c>
      <c r="C336" s="5" t="str">
        <f ca="1">IFERROR(__xludf.DUMMYFUNCTION("""COMPUTED_VALUE"""),"EQUIPOS PARA SERVICIOS INDUSTRIALES")</f>
        <v>EQUIPOS PARA SERVICIOS INDUSTRIALES</v>
      </c>
      <c r="D336" s="5">
        <f ca="1">IFERROR(__xludf.DUMMYFUNCTION("""COMPUTED_VALUE"""),659371)</f>
        <v>659371</v>
      </c>
      <c r="E336" s="5" t="str">
        <f ca="1">IFERROR(__xludf.DUMMYFUNCTION("""COMPUTED_VALUE"""),"CALDERA DE 300 BHP")</f>
        <v>CALDERA DE 300 BHP</v>
      </c>
      <c r="F336" s="5">
        <f ca="1">IFERROR(__xludf.DUMMYFUNCTION("""COMPUTED_VALUE"""),21693)</f>
        <v>21693</v>
      </c>
      <c r="G336" s="5" t="str">
        <f ca="1">IFERROR(__xludf.DUMMYFUNCTION("""COMPUTED_VALUE"""),"PLAN DE MTTO ELE CALDERA C#3 A- 1341")</f>
        <v>PLAN DE MTTO ELE CALDERA C#3 A- 1341</v>
      </c>
      <c r="H336" s="5">
        <f ca="1">IFERROR(__xludf.DUMMYFUNCTION("""COMPUTED_VALUE"""),13247184)</f>
        <v>13247184</v>
      </c>
      <c r="I336" s="5" t="str">
        <f ca="1">IFERROR(__xludf.DUMMYFUNCTION("""COMPUTED_VALUE"""),"funcionamiento de los motores")</f>
        <v>funcionamiento de los motores</v>
      </c>
      <c r="J336" s="5" t="str">
        <f ca="1">IFERROR(__xludf.DUMMYFUNCTION("""COMPUTED_VALUE"""),"ALTO")</f>
        <v>ALTO</v>
      </c>
      <c r="K336" s="5" t="str">
        <f ca="1">IFERROR(__xludf.DUMMYFUNCTION("""COMPUTED_VALUE"""),"Preventivo")</f>
        <v>Preventivo</v>
      </c>
      <c r="L336" s="5" t="str">
        <f ca="1">IFERROR(__xludf.DUMMYFUNCTION("""COMPUTED_VALUE"""),"Maquinaria")</f>
        <v>Maquinaria</v>
      </c>
      <c r="M336" s="5" t="str">
        <f ca="1">IFERROR(__xludf.DUMMYFUNCTION("""COMPUTED_VALUE"""),"No")</f>
        <v>No</v>
      </c>
      <c r="N336" s="5"/>
      <c r="O336" s="5"/>
      <c r="P336" s="18">
        <f ca="1">IFERROR(__xludf.DUMMYFUNCTION("""COMPUTED_VALUE"""),45339)</f>
        <v>45339</v>
      </c>
      <c r="Q336" s="18">
        <f ca="1">IFERROR(__xludf.DUMMYFUNCTION("""COMPUTED_VALUE"""),45339)</f>
        <v>45339</v>
      </c>
      <c r="R336" s="18"/>
      <c r="S336" s="5">
        <f ca="1">IFERROR(__xludf.DUMMYFUNCTION("""COMPUTED_VALUE"""),2)</f>
        <v>2</v>
      </c>
      <c r="T336" s="5"/>
      <c r="U336" s="5" t="str">
        <f ca="1">IFERROR(__xludf.DUMMYFUNCTION("""COMPUTED_VALUE"""),"Valencia Hector")</f>
        <v>Valencia Hector</v>
      </c>
      <c r="V336" s="5"/>
      <c r="W336" s="5" t="str">
        <f ca="1">IFERROR(__xludf.DUMMYFUNCTION("""COMPUTED_VALUE"""),"Iy1l-qdZ5ww")</f>
        <v>Iy1l-qdZ5ww</v>
      </c>
      <c r="X336" s="5">
        <f ca="1">IFERROR(__xludf.DUMMYFUNCTION("""COMPUTED_VALUE"""),2)</f>
        <v>2</v>
      </c>
      <c r="Y336" s="5" t="str">
        <f t="shared" si="2"/>
        <v>Actividad sin realizar</v>
      </c>
      <c r="Z336" s="3">
        <f ca="1">IFERROR(VLOOKUP(U336, 'Base de datos'!A:B, 2, FALSE), "")</f>
        <v>573108951371</v>
      </c>
      <c r="AA336" s="4" t="e">
        <f t="shared" ca="1" si="3"/>
        <v>#NAME?</v>
      </c>
    </row>
    <row r="337" spans="1:27" ht="15.75" customHeight="1">
      <c r="A337" s="5" t="str">
        <f ca="1">IFERROR(__xludf.DUMMYFUNCTION("""COMPUTED_VALUE"""),"POSTOBÓN YUMBO")</f>
        <v>POSTOBÓN YUMBO</v>
      </c>
      <c r="B337" s="5" t="str">
        <f ca="1">IFERROR(__xludf.DUMMYFUNCTION("""COMPUTED_VALUE"""),"0410-LINEA 3")</f>
        <v>0410-LINEA 3</v>
      </c>
      <c r="C337" s="5" t="str">
        <f ca="1">IFERROR(__xludf.DUMMYFUNCTION("""COMPUTED_VALUE"""),"LINEA DE ENVASADO TAMAÑO PERSONAL")</f>
        <v>LINEA DE ENVASADO TAMAÑO PERSONAL</v>
      </c>
      <c r="D337" s="5">
        <f ca="1">IFERROR(__xludf.DUMMYFUNCTION("""COMPUTED_VALUE"""),829654)</f>
        <v>829654</v>
      </c>
      <c r="E337" s="5" t="str">
        <f ca="1">IFERROR(__xludf.DUMMYFUNCTION("""COMPUTED_VALUE"""),"TRANSPORTADOR DE BOTELLAS")</f>
        <v>TRANSPORTADOR DE BOTELLAS</v>
      </c>
      <c r="F337" s="5">
        <f ca="1">IFERROR(__xludf.DUMMYFUNCTION("""COMPUTED_VALUE"""),22606)</f>
        <v>22606</v>
      </c>
      <c r="G337" s="5" t="str">
        <f ca="1">IFERROR(__xludf.DUMMYFUNCTION("""COMPUTED_VALUE"""),"PLAN MTTO LUB TRANSP BOTELLAS 829654 L3")</f>
        <v>PLAN MTTO LUB TRANSP BOTELLAS 829654 L3</v>
      </c>
      <c r="H337" s="5">
        <f ca="1">IFERROR(__xludf.DUMMYFUNCTION("""COMPUTED_VALUE"""),13247229)</f>
        <v>13247229</v>
      </c>
      <c r="I337" s="5" t="str">
        <f ca="1">IFERROR(__xludf.DUMMYFUNCTION("""COMPUTED_VALUE"""),"Lubricar chumaceras")</f>
        <v>Lubricar chumaceras</v>
      </c>
      <c r="J337" s="5" t="str">
        <f ca="1">IFERROR(__xludf.DUMMYFUNCTION("""COMPUTED_VALUE"""),"MEDIO")</f>
        <v>MEDIO</v>
      </c>
      <c r="K337" s="5" t="str">
        <f ca="1">IFERROR(__xludf.DUMMYFUNCTION("""COMPUTED_VALUE"""),"Preventivo")</f>
        <v>Preventivo</v>
      </c>
      <c r="L337" s="5" t="str">
        <f ca="1">IFERROR(__xludf.DUMMYFUNCTION("""COMPUTED_VALUE"""),"Maquinaria")</f>
        <v>Maquinaria</v>
      </c>
      <c r="M337" s="5" t="str">
        <f ca="1">IFERROR(__xludf.DUMMYFUNCTION("""COMPUTED_VALUE"""),"No")</f>
        <v>No</v>
      </c>
      <c r="N337" s="5"/>
      <c r="O337" s="5"/>
      <c r="P337" s="18">
        <f ca="1">IFERROR(__xludf.DUMMYFUNCTION("""COMPUTED_VALUE"""),45336)</f>
        <v>45336</v>
      </c>
      <c r="Q337" s="18">
        <f ca="1">IFERROR(__xludf.DUMMYFUNCTION("""COMPUTED_VALUE"""),45336)</f>
        <v>45336</v>
      </c>
      <c r="R337" s="18"/>
      <c r="S337" s="5">
        <f ca="1">IFERROR(__xludf.DUMMYFUNCTION("""COMPUTED_VALUE"""),0.5)</f>
        <v>0.5</v>
      </c>
      <c r="T337" s="5"/>
      <c r="U337" s="5" t="str">
        <f ca="1">IFERROR(__xludf.DUMMYFUNCTION("""COMPUTED_VALUE"""),"Campo Rodriguez Adalcides Jesus")</f>
        <v>Campo Rodriguez Adalcides Jesus</v>
      </c>
      <c r="V337" s="5"/>
      <c r="W337" s="5" t="str">
        <f ca="1">IFERROR(__xludf.DUMMYFUNCTION("""COMPUTED_VALUE"""),"QNnoAljq_XY")</f>
        <v>QNnoAljq_XY</v>
      </c>
      <c r="X337" s="5">
        <f ca="1">IFERROR(__xludf.DUMMYFUNCTION("""COMPUTED_VALUE"""),0.5)</f>
        <v>0.5</v>
      </c>
      <c r="Y337" s="5" t="str">
        <f t="shared" si="2"/>
        <v>Actividad sin realizar</v>
      </c>
      <c r="Z337" s="3">
        <f ca="1">IFERROR(VLOOKUP(U337, 'Base de datos'!A:B, 2, FALSE), "")</f>
        <v>573045833726</v>
      </c>
      <c r="AA337" s="4" t="e">
        <f t="shared" ca="1" si="3"/>
        <v>#NAME?</v>
      </c>
    </row>
    <row r="338" spans="1:27" ht="15.75" customHeight="1">
      <c r="A338" s="5" t="str">
        <f ca="1">IFERROR(__xludf.DUMMYFUNCTION("""COMPUTED_VALUE"""),"POSTOBÓN YUMBO")</f>
        <v>POSTOBÓN YUMBO</v>
      </c>
      <c r="B338" s="5" t="str">
        <f ca="1">IFERROR(__xludf.DUMMYFUNCTION("""COMPUTED_VALUE"""),"0410-EQUIPOS AUXILIARES JUGOS")</f>
        <v>0410-EQUIPOS AUXILIARES JUGOS</v>
      </c>
      <c r="C338" s="5" t="str">
        <f ca="1">IFERROR(__xludf.DUMMYFUNCTION("""COMPUTED_VALUE"""),"EQUIPOS PARA SERVICIOS INDUSTRIALES JUGO")</f>
        <v>EQUIPOS PARA SERVICIOS INDUSTRIALES JUGO</v>
      </c>
      <c r="D338" s="5">
        <f ca="1">IFERROR(__xludf.DUMMYFUNCTION("""COMPUTED_VALUE"""),669451)</f>
        <v>669451</v>
      </c>
      <c r="E338" s="5" t="str">
        <f ca="1">IFERROR(__xludf.DUMMYFUNCTION("""COMPUTED_VALUE"""),"TORRE DE ENFRIAMIENTO PARA JUGOS")</f>
        <v>TORRE DE ENFRIAMIENTO PARA JUGOS</v>
      </c>
      <c r="F338" s="5">
        <f ca="1">IFERROR(__xludf.DUMMYFUNCTION("""COMPUTED_VALUE"""),0)</f>
        <v>0</v>
      </c>
      <c r="G338" s="5" t="str">
        <f ca="1">IFERROR(__xludf.DUMMYFUNCTION("""COMPUTED_VALUE"""),"CONSUMO LUB TORRE ENFRIAMIANTO JUGOS")</f>
        <v>CONSUMO LUB TORRE ENFRIAMIANTO JUGOS</v>
      </c>
      <c r="H338" s="5">
        <f ca="1">IFERROR(__xludf.DUMMYFUNCTION("""COMPUTED_VALUE"""),13230961)</f>
        <v>13230961</v>
      </c>
      <c r="I338" s="5" t="str">
        <f ca="1">IFERROR(__xludf.DUMMYFUNCTION("""COMPUTED_VALUE"""),"CONSUMO LUB TORRE ENFRIAMIANTO JUGOS")</f>
        <v>CONSUMO LUB TORRE ENFRIAMIANTO JUGOS</v>
      </c>
      <c r="J338" s="5" t="str">
        <f ca="1">IFERROR(__xludf.DUMMYFUNCTION("""COMPUTED_VALUE"""),"MEDIO")</f>
        <v>MEDIO</v>
      </c>
      <c r="K338" s="5" t="str">
        <f ca="1">IFERROR(__xludf.DUMMYFUNCTION("""COMPUTED_VALUE"""),"Preventivo")</f>
        <v>Preventivo</v>
      </c>
      <c r="L338" s="5" t="str">
        <f ca="1">IFERROR(__xludf.DUMMYFUNCTION("""COMPUTED_VALUE"""),"Maquinaria")</f>
        <v>Maquinaria</v>
      </c>
      <c r="M338" s="5" t="str">
        <f ca="1">IFERROR(__xludf.DUMMYFUNCTION("""COMPUTED_VALUE"""),"No")</f>
        <v>No</v>
      </c>
      <c r="N338" s="5"/>
      <c r="O338" s="5"/>
      <c r="P338" s="18">
        <f ca="1">IFERROR(__xludf.DUMMYFUNCTION("""COMPUTED_VALUE"""),45324)</f>
        <v>45324</v>
      </c>
      <c r="Q338" s="18">
        <f ca="1">IFERROR(__xludf.DUMMYFUNCTION("""COMPUTED_VALUE"""),45324)</f>
        <v>45324</v>
      </c>
      <c r="R338" s="18"/>
      <c r="S338" s="5">
        <f ca="1">IFERROR(__xludf.DUMMYFUNCTION("""COMPUTED_VALUE"""),1)</f>
        <v>1</v>
      </c>
      <c r="T338" s="5"/>
      <c r="U338" s="5" t="str">
        <f ca="1">IFERROR(__xludf.DUMMYFUNCTION("""COMPUTED_VALUE"""),"Lopez Raul")</f>
        <v>Lopez Raul</v>
      </c>
      <c r="V338" s="5"/>
      <c r="W338" s="5" t="str">
        <f ca="1">IFERROR(__xludf.DUMMYFUNCTION("""COMPUTED_VALUE"""),"-o922SLZD-k")</f>
        <v>-o922SLZD-k</v>
      </c>
      <c r="X338" s="5">
        <f ca="1">IFERROR(__xludf.DUMMYFUNCTION("""COMPUTED_VALUE"""),1)</f>
        <v>1</v>
      </c>
      <c r="Y338" s="5" t="str">
        <f t="shared" si="2"/>
        <v>Actividad sin realizar</v>
      </c>
      <c r="Z338" s="3">
        <f ca="1">IFERROR(VLOOKUP(U338, 'Base de datos'!A:B, 2, FALSE), "")</f>
        <v>573122172129</v>
      </c>
      <c r="AA338" s="4" t="e">
        <f t="shared" ca="1" si="3"/>
        <v>#NAME?</v>
      </c>
    </row>
    <row r="339" spans="1:27" ht="15.75" customHeight="1">
      <c r="A339" s="5" t="str">
        <f ca="1">IFERROR(__xludf.DUMMYFUNCTION("""COMPUTED_VALUE"""),"POSTOBÓN YUMBO")</f>
        <v>POSTOBÓN YUMBO</v>
      </c>
      <c r="B339" s="5" t="str">
        <f ca="1">IFERROR(__xludf.DUMMYFUNCTION("""COMPUTED_VALUE"""),"0410-EQUIPOS AUXILIARES")</f>
        <v>0410-EQUIPOS AUXILIARES</v>
      </c>
      <c r="C339" s="5" t="str">
        <f ca="1">IFERROR(__xludf.DUMMYFUNCTION("""COMPUTED_VALUE"""),"EQUIPOS PARA SERVICIOS INDUSTRIALES")</f>
        <v>EQUIPOS PARA SERVICIOS INDUSTRIALES</v>
      </c>
      <c r="D339" s="5">
        <f ca="1">IFERROR(__xludf.DUMMYFUNCTION("""COMPUTED_VALUE"""),659371)</f>
        <v>659371</v>
      </c>
      <c r="E339" s="5" t="str">
        <f ca="1">IFERROR(__xludf.DUMMYFUNCTION("""COMPUTED_VALUE"""),"CALDERA DE 300 BHP")</f>
        <v>CALDERA DE 300 BHP</v>
      </c>
      <c r="F339" s="5">
        <f ca="1">IFERROR(__xludf.DUMMYFUNCTION("""COMPUTED_VALUE"""),21693)</f>
        <v>21693</v>
      </c>
      <c r="G339" s="5" t="str">
        <f ca="1">IFERROR(__xludf.DUMMYFUNCTION("""COMPUTED_VALUE"""),"PLAN DE MTTO ELE CALDERA C#3 A- 1341")</f>
        <v>PLAN DE MTTO ELE CALDERA C#3 A- 1341</v>
      </c>
      <c r="H339" s="5">
        <f ca="1">IFERROR(__xludf.DUMMYFUNCTION("""COMPUTED_VALUE"""),13247184)</f>
        <v>13247184</v>
      </c>
      <c r="I339" s="5" t="str">
        <f ca="1">IFERROR(__xludf.DUMMYFUNCTION("""COMPUTED_VALUE"""),"válvulas automáticas y manuales")</f>
        <v>válvulas automáticas y manuales</v>
      </c>
      <c r="J339" s="5" t="str">
        <f ca="1">IFERROR(__xludf.DUMMYFUNCTION("""COMPUTED_VALUE"""),"ALTO")</f>
        <v>ALTO</v>
      </c>
      <c r="K339" s="5" t="str">
        <f ca="1">IFERROR(__xludf.DUMMYFUNCTION("""COMPUTED_VALUE"""),"Preventivo")</f>
        <v>Preventivo</v>
      </c>
      <c r="L339" s="5" t="str">
        <f ca="1">IFERROR(__xludf.DUMMYFUNCTION("""COMPUTED_VALUE"""),"Maquinaria")</f>
        <v>Maquinaria</v>
      </c>
      <c r="M339" s="5" t="str">
        <f ca="1">IFERROR(__xludf.DUMMYFUNCTION("""COMPUTED_VALUE"""),"No")</f>
        <v>No</v>
      </c>
      <c r="N339" s="5"/>
      <c r="O339" s="5"/>
      <c r="P339" s="18">
        <f ca="1">IFERROR(__xludf.DUMMYFUNCTION("""COMPUTED_VALUE"""),45339)</f>
        <v>45339</v>
      </c>
      <c r="Q339" s="18">
        <f ca="1">IFERROR(__xludf.DUMMYFUNCTION("""COMPUTED_VALUE"""),45339)</f>
        <v>45339</v>
      </c>
      <c r="R339" s="18"/>
      <c r="S339" s="5">
        <f ca="1">IFERROR(__xludf.DUMMYFUNCTION("""COMPUTED_VALUE"""),2)</f>
        <v>2</v>
      </c>
      <c r="T339" s="5"/>
      <c r="U339" s="5" t="str">
        <f ca="1">IFERROR(__xludf.DUMMYFUNCTION("""COMPUTED_VALUE"""),"Valencia Hector")</f>
        <v>Valencia Hector</v>
      </c>
      <c r="V339" s="5"/>
      <c r="W339" s="5" t="str">
        <f ca="1">IFERROR(__xludf.DUMMYFUNCTION("""COMPUTED_VALUE"""),"sSyg1cB3l5M")</f>
        <v>sSyg1cB3l5M</v>
      </c>
      <c r="X339" s="5">
        <f ca="1">IFERROR(__xludf.DUMMYFUNCTION("""COMPUTED_VALUE"""),2)</f>
        <v>2</v>
      </c>
      <c r="Y339" s="5" t="str">
        <f t="shared" si="2"/>
        <v>Actividad sin realizar</v>
      </c>
      <c r="Z339" s="3">
        <f ca="1">IFERROR(VLOOKUP(U339, 'Base de datos'!A:B, 2, FALSE), "")</f>
        <v>573108951371</v>
      </c>
      <c r="AA339" s="4" t="e">
        <f t="shared" ca="1" si="3"/>
        <v>#NAME?</v>
      </c>
    </row>
    <row r="340" spans="1:27" ht="15.75" customHeight="1">
      <c r="A340" s="5" t="str">
        <f ca="1">IFERROR(__xludf.DUMMYFUNCTION("""COMPUTED_VALUE"""),"POSTOBÓN YUMBO")</f>
        <v>POSTOBÓN YUMBO</v>
      </c>
      <c r="B340" s="5" t="str">
        <f ca="1">IFERROR(__xludf.DUMMYFUNCTION("""COMPUTED_VALUE"""),"0410-LINEA 3")</f>
        <v>0410-LINEA 3</v>
      </c>
      <c r="C340" s="5" t="str">
        <f ca="1">IFERROR(__xludf.DUMMYFUNCTION("""COMPUTED_VALUE"""),"LINEA DE ENVASADO TAMAÑO PERSONAL")</f>
        <v>LINEA DE ENVASADO TAMAÑO PERSONAL</v>
      </c>
      <c r="D340" s="5">
        <f ca="1">IFERROR(__xludf.DUMMYFUNCTION("""COMPUTED_VALUE"""),589679)</f>
        <v>589679</v>
      </c>
      <c r="E340" s="5" t="str">
        <f ca="1">IFERROR(__xludf.DUMMYFUNCTION("""COMPUTED_VALUE"""),"CODIFICADOR L3")</f>
        <v>CODIFICADOR L3</v>
      </c>
      <c r="F340" s="5">
        <f ca="1">IFERROR(__xludf.DUMMYFUNCTION("""COMPUTED_VALUE"""),32943)</f>
        <v>32943</v>
      </c>
      <c r="G340" s="5" t="str">
        <f ca="1">IFERROR(__xludf.DUMMYFUNCTION("""COMPUTED_VALUE"""),"PLAN MTTO ELE CODIFICADOR L3")</f>
        <v>PLAN MTTO ELE CODIFICADOR L3</v>
      </c>
      <c r="H340" s="5">
        <f ca="1">IFERROR(__xludf.DUMMYFUNCTION("""COMPUTED_VALUE"""),13247261)</f>
        <v>13247261</v>
      </c>
      <c r="I340" s="5" t="str">
        <f ca="1">IFERROR(__xludf.DUMMYFUNCTION("""COMPUTED_VALUE"""),"Revision cabezal de impresion")</f>
        <v>Revision cabezal de impresion</v>
      </c>
      <c r="J340" s="5" t="str">
        <f ca="1">IFERROR(__xludf.DUMMYFUNCTION("""COMPUTED_VALUE"""),"ALTO")</f>
        <v>ALTO</v>
      </c>
      <c r="K340" s="5" t="str">
        <f ca="1">IFERROR(__xludf.DUMMYFUNCTION("""COMPUTED_VALUE"""),"Preventivo")</f>
        <v>Preventivo</v>
      </c>
      <c r="L340" s="5" t="str">
        <f ca="1">IFERROR(__xludf.DUMMYFUNCTION("""COMPUTED_VALUE"""),"Maquinaria")</f>
        <v>Maquinaria</v>
      </c>
      <c r="M340" s="5" t="str">
        <f ca="1">IFERROR(__xludf.DUMMYFUNCTION("""COMPUTED_VALUE"""),"No")</f>
        <v>No</v>
      </c>
      <c r="N340" s="5"/>
      <c r="O340" s="5"/>
      <c r="P340" s="18">
        <f ca="1">IFERROR(__xludf.DUMMYFUNCTION("""COMPUTED_VALUE"""),45324)</f>
        <v>45324</v>
      </c>
      <c r="Q340" s="18">
        <f ca="1">IFERROR(__xludf.DUMMYFUNCTION("""COMPUTED_VALUE"""),45324)</f>
        <v>45324</v>
      </c>
      <c r="R340" s="18"/>
      <c r="S340" s="5">
        <f ca="1">IFERROR(__xludf.DUMMYFUNCTION("""COMPUTED_VALUE"""),0.5)</f>
        <v>0.5</v>
      </c>
      <c r="T340" s="5"/>
      <c r="U340" s="5" t="str">
        <f ca="1">IFERROR(__xludf.DUMMYFUNCTION("""COMPUTED_VALUE"""),"Campo Rodriguez Adalcides Jesus")</f>
        <v>Campo Rodriguez Adalcides Jesus</v>
      </c>
      <c r="V340" s="5"/>
      <c r="W340" s="5" t="str">
        <f ca="1">IFERROR(__xludf.DUMMYFUNCTION("""COMPUTED_VALUE"""),"y2m_Ig_QCrg")</f>
        <v>y2m_Ig_QCrg</v>
      </c>
      <c r="X340" s="5">
        <f ca="1">IFERROR(__xludf.DUMMYFUNCTION("""COMPUTED_VALUE"""),0.5)</f>
        <v>0.5</v>
      </c>
      <c r="Y340" s="5" t="str">
        <f t="shared" si="2"/>
        <v>Actividad sin realizar</v>
      </c>
      <c r="Z340" s="3">
        <f ca="1">IFERROR(VLOOKUP(U340, 'Base de datos'!A:B, 2, FALSE), "")</f>
        <v>573045833726</v>
      </c>
      <c r="AA340" s="4" t="e">
        <f t="shared" ca="1" si="3"/>
        <v>#NAME?</v>
      </c>
    </row>
    <row r="341" spans="1:27" ht="15.75" customHeight="1">
      <c r="A341" s="5" t="str">
        <f ca="1">IFERROR(__xludf.DUMMYFUNCTION("""COMPUTED_VALUE"""),"POSTOBÓN YUMBO")</f>
        <v>POSTOBÓN YUMBO</v>
      </c>
      <c r="B341" s="5" t="str">
        <f ca="1">IFERROR(__xludf.DUMMYFUNCTION("""COMPUTED_VALUE"""),"0410-CUARTO DE BOMBAS")</f>
        <v>0410-CUARTO DE BOMBAS</v>
      </c>
      <c r="C341" s="5" t="str">
        <f ca="1">IFERROR(__xludf.DUMMYFUNCTION("""COMPUTED_VALUE"""),"BOMBAS DE SERVICIO PROCESO")</f>
        <v>BOMBAS DE SERVICIO PROCESO</v>
      </c>
      <c r="D341" s="5">
        <f ca="1">IFERROR(__xludf.DUMMYFUNCTION("""COMPUTED_VALUE"""),70948905)</f>
        <v>70948905</v>
      </c>
      <c r="E341" s="5" t="str">
        <f ca="1">IFERROR(__xludf.DUMMYFUNCTION("""COMPUTED_VALUE"""),"BOMBA AGUA FILTRO ARENA 1-2-3-8-9")</f>
        <v>BOMBA AGUA FILTRO ARENA 1-2-3-8-9</v>
      </c>
      <c r="F341" s="5">
        <f ca="1">IFERROR(__xludf.DUMMYFUNCTION("""COMPUTED_VALUE"""),20674)</f>
        <v>20674</v>
      </c>
      <c r="G341" s="5" t="str">
        <f ca="1">IFERROR(__xludf.DUMMYFUNCTION("""COMPUTED_VALUE"""),"PLAN MTTO MEC BOMBA AGUA PRODUCT70948905")</f>
        <v>PLAN MTTO MEC BOMBA AGUA PRODUCT70948905</v>
      </c>
      <c r="H341" s="5">
        <f ca="1">IFERROR(__xludf.DUMMYFUNCTION("""COMPUTED_VALUE"""),13141388)</f>
        <v>13141388</v>
      </c>
      <c r="I341" s="5" t="str">
        <f ca="1">IFERROR(__xludf.DUMMYFUNCTION("""COMPUTED_VALUE"""),"Valvula cheque:")</f>
        <v>Valvula cheque:</v>
      </c>
      <c r="J341" s="5" t="str">
        <f ca="1">IFERROR(__xludf.DUMMYFUNCTION("""COMPUTED_VALUE"""),"ALTO")</f>
        <v>ALTO</v>
      </c>
      <c r="K341" s="5" t="str">
        <f ca="1">IFERROR(__xludf.DUMMYFUNCTION("""COMPUTED_VALUE"""),"Preventivo")</f>
        <v>Preventivo</v>
      </c>
      <c r="L341" s="5" t="str">
        <f ca="1">IFERROR(__xludf.DUMMYFUNCTION("""COMPUTED_VALUE"""),"Maquinaria")</f>
        <v>Maquinaria</v>
      </c>
      <c r="M341" s="5" t="str">
        <f ca="1">IFERROR(__xludf.DUMMYFUNCTION("""COMPUTED_VALUE"""),"No")</f>
        <v>No</v>
      </c>
      <c r="N341" s="5"/>
      <c r="O341" s="5"/>
      <c r="P341" s="18">
        <f ca="1">IFERROR(__xludf.DUMMYFUNCTION("""COMPUTED_VALUE"""),45325)</f>
        <v>45325</v>
      </c>
      <c r="Q341" s="18">
        <f ca="1">IFERROR(__xludf.DUMMYFUNCTION("""COMPUTED_VALUE"""),45325)</f>
        <v>45325</v>
      </c>
      <c r="R341" s="18"/>
      <c r="S341" s="5">
        <f ca="1">IFERROR(__xludf.DUMMYFUNCTION("""COMPUTED_VALUE"""),0.5)</f>
        <v>0.5</v>
      </c>
      <c r="T341" s="5"/>
      <c r="U341" s="5" t="str">
        <f ca="1">IFERROR(__xludf.DUMMYFUNCTION("""COMPUTED_VALUE"""),"John Edier Gomez Zuñiga")</f>
        <v>John Edier Gomez Zuñiga</v>
      </c>
      <c r="V341" s="5"/>
      <c r="W341" s="5" t="str">
        <f ca="1">IFERROR(__xludf.DUMMYFUNCTION("""COMPUTED_VALUE"""),"DnjnBF1iyss")</f>
        <v>DnjnBF1iyss</v>
      </c>
      <c r="X341" s="5">
        <f ca="1">IFERROR(__xludf.DUMMYFUNCTION("""COMPUTED_VALUE"""),0.5)</f>
        <v>0.5</v>
      </c>
      <c r="Y341" s="5" t="str">
        <f t="shared" si="2"/>
        <v>Actividad sin realizar</v>
      </c>
      <c r="Z341" s="3">
        <f ca="1">IFERROR(VLOOKUP(U341, 'Base de datos'!A:B, 2, FALSE), "")</f>
        <v>573003678745</v>
      </c>
      <c r="AA341" s="4" t="e">
        <f t="shared" ca="1" si="3"/>
        <v>#NAME?</v>
      </c>
    </row>
    <row r="342" spans="1:27" ht="15.75" customHeight="1">
      <c r="A342" s="5" t="str">
        <f ca="1">IFERROR(__xludf.DUMMYFUNCTION("""COMPUTED_VALUE"""),"POSTOBÓN YUMBO")</f>
        <v>POSTOBÓN YUMBO</v>
      </c>
      <c r="B342" s="5" t="str">
        <f ca="1">IFERROR(__xludf.DUMMYFUNCTION("""COMPUTED_VALUE"""),"0410-LINEA 3")</f>
        <v>0410-LINEA 3</v>
      </c>
      <c r="C342" s="5" t="str">
        <f ca="1">IFERROR(__xludf.DUMMYFUNCTION("""COMPUTED_VALUE"""),"LINEA DE ENVASADO TAMAÑO PERSONAL")</f>
        <v>LINEA DE ENVASADO TAMAÑO PERSONAL</v>
      </c>
      <c r="D342" s="5">
        <f ca="1">IFERROR(__xludf.DUMMYFUNCTION("""COMPUTED_VALUE"""),828592)</f>
        <v>828592</v>
      </c>
      <c r="E342" s="5" t="str">
        <f ca="1">IFERROR(__xludf.DUMMYFUNCTION("""COMPUTED_VALUE"""),"LLENADORA")</f>
        <v>LLENADORA</v>
      </c>
      <c r="F342" s="5">
        <f ca="1">IFERROR(__xludf.DUMMYFUNCTION("""COMPUTED_VALUE"""),37848)</f>
        <v>37848</v>
      </c>
      <c r="G342" s="5" t="str">
        <f ca="1">IFERROR(__xludf.DUMMYFUNCTION("""COMPUTED_VALUE"""),"INSPECCION SEMANAL LLENADORA")</f>
        <v>INSPECCION SEMANAL LLENADORA</v>
      </c>
      <c r="H342" s="5">
        <f ca="1">IFERROR(__xludf.DUMMYFUNCTION("""COMPUTED_VALUE"""),13247632)</f>
        <v>13247632</v>
      </c>
      <c r="I342" s="5" t="str">
        <f ca="1">IFERROR(__xludf.DUMMYFUNCTION("""COMPUTED_VALUE"""),"camb platina fondo estrel salida llenad")</f>
        <v>camb platina fondo estrel salida llenad</v>
      </c>
      <c r="J342" s="5" t="str">
        <f ca="1">IFERROR(__xludf.DUMMYFUNCTION("""COMPUTED_VALUE"""),"ALTO")</f>
        <v>ALTO</v>
      </c>
      <c r="K342" s="5" t="str">
        <f ca="1">IFERROR(__xludf.DUMMYFUNCTION("""COMPUTED_VALUE"""),"Preventivo")</f>
        <v>Preventivo</v>
      </c>
      <c r="L342" s="5" t="str">
        <f ca="1">IFERROR(__xludf.DUMMYFUNCTION("""COMPUTED_VALUE"""),"Maquinaria")</f>
        <v>Maquinaria</v>
      </c>
      <c r="M342" s="5" t="str">
        <f ca="1">IFERROR(__xludf.DUMMYFUNCTION("""COMPUTED_VALUE"""),"No")</f>
        <v>No</v>
      </c>
      <c r="N342" s="5"/>
      <c r="O342" s="5"/>
      <c r="P342" s="18">
        <f ca="1">IFERROR(__xludf.DUMMYFUNCTION("""COMPUTED_VALUE"""),45325)</f>
        <v>45325</v>
      </c>
      <c r="Q342" s="18">
        <f ca="1">IFERROR(__xludf.DUMMYFUNCTION("""COMPUTED_VALUE"""),45325)</f>
        <v>45325</v>
      </c>
      <c r="R342" s="18"/>
      <c r="S342" s="5">
        <f ca="1">IFERROR(__xludf.DUMMYFUNCTION("""COMPUTED_VALUE"""),1)</f>
        <v>1</v>
      </c>
      <c r="T342" s="5"/>
      <c r="U342" s="5" t="str">
        <f ca="1">IFERROR(__xludf.DUMMYFUNCTION("""COMPUTED_VALUE"""),"Jimenez Jhon")</f>
        <v>Jimenez Jhon</v>
      </c>
      <c r="V342" s="5"/>
      <c r="W342" s="5" t="str">
        <f ca="1">IFERROR(__xludf.DUMMYFUNCTION("""COMPUTED_VALUE"""),"qNeLE5xgS_4")</f>
        <v>qNeLE5xgS_4</v>
      </c>
      <c r="X342" s="5">
        <f ca="1">IFERROR(__xludf.DUMMYFUNCTION("""COMPUTED_VALUE"""),1)</f>
        <v>1</v>
      </c>
      <c r="Y342" s="5" t="str">
        <f t="shared" si="2"/>
        <v>Actividad sin realizar</v>
      </c>
      <c r="Z342" s="3">
        <f ca="1">IFERROR(VLOOKUP(U342, 'Base de datos'!A:B, 2, FALSE), "")</f>
        <v>573147637946</v>
      </c>
      <c r="AA342" s="4" t="e">
        <f t="shared" ca="1" si="3"/>
        <v>#NAME?</v>
      </c>
    </row>
    <row r="343" spans="1:27" ht="15.75" customHeight="1">
      <c r="A343" s="5" t="str">
        <f ca="1">IFERROR(__xludf.DUMMYFUNCTION("""COMPUTED_VALUE"""),"POSTOBÓN YUMBO")</f>
        <v>POSTOBÓN YUMBO</v>
      </c>
      <c r="B343" s="5" t="str">
        <f ca="1">IFERROR(__xludf.DUMMYFUNCTION("""COMPUTED_VALUE"""),"0410-LINEA 2")</f>
        <v>0410-LINEA 2</v>
      </c>
      <c r="C343" s="5" t="str">
        <f ca="1">IFERROR(__xludf.DUMMYFUNCTION("""COMPUTED_VALUE"""),"LINEA DE ENVASADO FAMILIAR Y PRB")</f>
        <v>LINEA DE ENVASADO FAMILIAR Y PRB</v>
      </c>
      <c r="D343" s="5">
        <f ca="1">IFERROR(__xludf.DUMMYFUNCTION("""COMPUTED_VALUE"""),900234)</f>
        <v>900234</v>
      </c>
      <c r="E343" s="5" t="str">
        <f ca="1">IFERROR(__xludf.DUMMYFUNCTION("""COMPUTED_VALUE"""),"PROCESADOR DE BEBIDA")</f>
        <v>PROCESADOR DE BEBIDA</v>
      </c>
      <c r="F343" s="5">
        <f ca="1">IFERROR(__xludf.DUMMYFUNCTION("""COMPUTED_VALUE"""),17379)</f>
        <v>17379</v>
      </c>
      <c r="G343" s="5" t="str">
        <f ca="1">IFERROR(__xludf.DUMMYFUNCTION("""COMPUTED_VALUE"""),"PLAN DE MTTO ELECT. CONTIFLOW L2 900234")</f>
        <v>PLAN DE MTTO ELECT. CONTIFLOW L2 900234</v>
      </c>
      <c r="H343" s="5">
        <f ca="1">IFERROR(__xludf.DUMMYFUNCTION("""COMPUTED_VALUE"""),13247175)</f>
        <v>13247175</v>
      </c>
      <c r="I343" s="5" t="str">
        <f ca="1">IFERROR(__xludf.DUMMYFUNCTION("""COMPUTED_VALUE"""),"ANTON PAAR - mPDS 2000 V3 revisar si hay")</f>
        <v>ANTON PAAR - mPDS 2000 V3 revisar si hay</v>
      </c>
      <c r="J343" s="5" t="str">
        <f ca="1">IFERROR(__xludf.DUMMYFUNCTION("""COMPUTED_VALUE"""),"ALTO")</f>
        <v>ALTO</v>
      </c>
      <c r="K343" s="5" t="str">
        <f ca="1">IFERROR(__xludf.DUMMYFUNCTION("""COMPUTED_VALUE"""),"Preventivo")</f>
        <v>Preventivo</v>
      </c>
      <c r="L343" s="5" t="str">
        <f ca="1">IFERROR(__xludf.DUMMYFUNCTION("""COMPUTED_VALUE"""),"Maquinaria")</f>
        <v>Maquinaria</v>
      </c>
      <c r="M343" s="5" t="str">
        <f ca="1">IFERROR(__xludf.DUMMYFUNCTION("""COMPUTED_VALUE"""),"No")</f>
        <v>No</v>
      </c>
      <c r="N343" s="5"/>
      <c r="O343" s="5"/>
      <c r="P343" s="18">
        <f ca="1">IFERROR(__xludf.DUMMYFUNCTION("""COMPUTED_VALUE"""),45324)</f>
        <v>45324</v>
      </c>
      <c r="Q343" s="18">
        <f ca="1">IFERROR(__xludf.DUMMYFUNCTION("""COMPUTED_VALUE"""),45324)</f>
        <v>45324</v>
      </c>
      <c r="R343" s="18"/>
      <c r="S343" s="5">
        <f ca="1">IFERROR(__xludf.DUMMYFUNCTION("""COMPUTED_VALUE"""),2)</f>
        <v>2</v>
      </c>
      <c r="T343" s="5"/>
      <c r="U343" s="5" t="str">
        <f ca="1">IFERROR(__xludf.DUMMYFUNCTION("""COMPUTED_VALUE"""),"Paz Paz Jhon Estiven")</f>
        <v>Paz Paz Jhon Estiven</v>
      </c>
      <c r="V343" s="5"/>
      <c r="W343" s="5" t="str">
        <f ca="1">IFERROR(__xludf.DUMMYFUNCTION("""COMPUTED_VALUE"""),"eN77WkPc_rs")</f>
        <v>eN77WkPc_rs</v>
      </c>
      <c r="X343" s="5">
        <f ca="1">IFERROR(__xludf.DUMMYFUNCTION("""COMPUTED_VALUE"""),2)</f>
        <v>2</v>
      </c>
      <c r="Y343" s="5" t="str">
        <f t="shared" si="2"/>
        <v>Actividad sin realizar</v>
      </c>
      <c r="Z343" s="3">
        <f ca="1">IFERROR(VLOOKUP(U343, 'Base de datos'!A:B, 2, FALSE), "")</f>
        <v>573117137924</v>
      </c>
      <c r="AA343" s="4" t="e">
        <f t="shared" ca="1" si="3"/>
        <v>#NAME?</v>
      </c>
    </row>
    <row r="344" spans="1:27" ht="15.75" customHeight="1">
      <c r="A344" s="5" t="str">
        <f ca="1">IFERROR(__xludf.DUMMYFUNCTION("""COMPUTED_VALUE"""),"POSTOBÓN YUMBO")</f>
        <v>POSTOBÓN YUMBO</v>
      </c>
      <c r="B344" s="5" t="str">
        <f ca="1">IFERROR(__xludf.DUMMYFUNCTION("""COMPUTED_VALUE"""),"0410-EQUIPOS AUXILIARES")</f>
        <v>0410-EQUIPOS AUXILIARES</v>
      </c>
      <c r="C344" s="5" t="str">
        <f ca="1">IFERROR(__xludf.DUMMYFUNCTION("""COMPUTED_VALUE"""),"EQUIPOS PARA SERVICIOS INDUSTRIALES")</f>
        <v>EQUIPOS PARA SERVICIOS INDUSTRIALES</v>
      </c>
      <c r="D344" s="5">
        <f ca="1">IFERROR(__xludf.DUMMYFUNCTION("""COMPUTED_VALUE"""),628885)</f>
        <v>628885</v>
      </c>
      <c r="E344" s="5" t="str">
        <f ca="1">IFERROR(__xludf.DUMMYFUNCTION("""COMPUTED_VALUE"""),"COMPRESOR DE REFRIGERACION 3")</f>
        <v>COMPRESOR DE REFRIGERACION 3</v>
      </c>
      <c r="F344" s="5">
        <f ca="1">IFERROR(__xludf.DUMMYFUNCTION("""COMPUTED_VALUE"""),25393)</f>
        <v>25393</v>
      </c>
      <c r="G344" s="5" t="str">
        <f ca="1">IFERROR(__xludf.DUMMYFUNCTION("""COMPUTED_VALUE"""),"PLAN MTTO LUB COMPRESOR REFRIGER 3 L10")</f>
        <v>PLAN MTTO LUB COMPRESOR REFRIGER 3 L10</v>
      </c>
      <c r="H344" s="5">
        <f ca="1">IFERROR(__xludf.DUMMYFUNCTION("""COMPUTED_VALUE"""),13232399)</f>
        <v>13232399</v>
      </c>
      <c r="I344" s="5" t="str">
        <f ca="1">IFERROR(__xludf.DUMMYFUNCTION("""COMPUTED_VALUE"""),"Lubricación rodamiento motor")</f>
        <v>Lubricación rodamiento motor</v>
      </c>
      <c r="J344" s="5" t="str">
        <f ca="1">IFERROR(__xludf.DUMMYFUNCTION("""COMPUTED_VALUE"""),"MEDIO")</f>
        <v>MEDIO</v>
      </c>
      <c r="K344" s="5" t="str">
        <f ca="1">IFERROR(__xludf.DUMMYFUNCTION("""COMPUTED_VALUE"""),"Preventivo")</f>
        <v>Preventivo</v>
      </c>
      <c r="L344" s="5" t="str">
        <f ca="1">IFERROR(__xludf.DUMMYFUNCTION("""COMPUTED_VALUE"""),"Maquinaria")</f>
        <v>Maquinaria</v>
      </c>
      <c r="M344" s="5" t="str">
        <f ca="1">IFERROR(__xludf.DUMMYFUNCTION("""COMPUTED_VALUE"""),"No")</f>
        <v>No</v>
      </c>
      <c r="N344" s="5"/>
      <c r="O344" s="5"/>
      <c r="P344" s="18">
        <f ca="1">IFERROR(__xludf.DUMMYFUNCTION("""COMPUTED_VALUE"""),45326)</f>
        <v>45326</v>
      </c>
      <c r="Q344" s="18">
        <f ca="1">IFERROR(__xludf.DUMMYFUNCTION("""COMPUTED_VALUE"""),45326)</f>
        <v>45326</v>
      </c>
      <c r="R344" s="18"/>
      <c r="S344" s="5">
        <f ca="1">IFERROR(__xludf.DUMMYFUNCTION("""COMPUTED_VALUE"""),0.5)</f>
        <v>0.5</v>
      </c>
      <c r="T344" s="5"/>
      <c r="U344" s="5" t="str">
        <f ca="1">IFERROR(__xludf.DUMMYFUNCTION("""COMPUTED_VALUE"""),"CALDERON CORTES JULIAN DAVID")</f>
        <v>CALDERON CORTES JULIAN DAVID</v>
      </c>
      <c r="V344" s="5"/>
      <c r="W344" s="5" t="str">
        <f ca="1">IFERROR(__xludf.DUMMYFUNCTION("""COMPUTED_VALUE"""),"DJy_VS-gyvM")</f>
        <v>DJy_VS-gyvM</v>
      </c>
      <c r="X344" s="5">
        <f ca="1">IFERROR(__xludf.DUMMYFUNCTION("""COMPUTED_VALUE"""),0.5)</f>
        <v>0.5</v>
      </c>
      <c r="Y344" s="5" t="str">
        <f t="shared" si="2"/>
        <v>Actividad sin realizar</v>
      </c>
      <c r="Z344" s="3">
        <f ca="1">IFERROR(VLOOKUP(U344, 'Base de datos'!A:B, 2, FALSE), "")</f>
        <v>573106062699</v>
      </c>
      <c r="AA344" s="4" t="e">
        <f t="shared" ca="1" si="3"/>
        <v>#NAME?</v>
      </c>
    </row>
    <row r="345" spans="1:27" ht="15.75" customHeight="1">
      <c r="A345" s="5" t="str">
        <f ca="1">IFERROR(__xludf.DUMMYFUNCTION("""COMPUTED_VALUE"""),"POSTOBÓN YUMBO")</f>
        <v>POSTOBÓN YUMBO</v>
      </c>
      <c r="B345" s="5" t="str">
        <f ca="1">IFERROR(__xludf.DUMMYFUNCTION("""COMPUTED_VALUE"""),"0410-LINEA PET CSD")</f>
        <v>0410-LINEA PET CSD</v>
      </c>
      <c r="C345" s="5" t="str">
        <f ca="1">IFERROR(__xludf.DUMMYFUNCTION("""COMPUTED_VALUE"""),"LINEA PET CSD - LINEA 10")</f>
        <v>LINEA PET CSD - LINEA 10</v>
      </c>
      <c r="D345" s="5">
        <f ca="1">IFERROR(__xludf.DUMMYFUNCTION("""COMPUTED_VALUE"""),519561)</f>
        <v>519561</v>
      </c>
      <c r="E345" s="5" t="str">
        <f ca="1">IFERROR(__xludf.DUMMYFUNCTION("""COMPUTED_VALUE"""),"LLENADORA DE BOTELLAS PET 162 VALVULAS")</f>
        <v>LLENADORA DE BOTELLAS PET 162 VALVULAS</v>
      </c>
      <c r="F345" s="5">
        <f ca="1">IFERROR(__xludf.DUMMYFUNCTION("""COMPUTED_VALUE"""),25366)</f>
        <v>25366</v>
      </c>
      <c r="G345" s="5" t="str">
        <f ca="1">IFERROR(__xludf.DUMMYFUNCTION("""COMPUTED_VALUE"""),"PLAN MTTO ELE LLENADORA CSD")</f>
        <v>PLAN MTTO ELE LLENADORA CSD</v>
      </c>
      <c r="H345" s="5">
        <f ca="1">IFERROR(__xludf.DUMMYFUNCTION("""COMPUTED_VALUE"""),13232383)</f>
        <v>13232383</v>
      </c>
      <c r="I345" s="5" t="str">
        <f ca="1">IFERROR(__xludf.DUMMYFUNCTION("""COMPUTED_VALUE"""),"Servo Estrella Lavado fondo:Limpiar/camb")</f>
        <v>Servo Estrella Lavado fondo:Limpiar/camb</v>
      </c>
      <c r="J345" s="5" t="str">
        <f ca="1">IFERROR(__xludf.DUMMYFUNCTION("""COMPUTED_VALUE"""),"ALTO")</f>
        <v>ALTO</v>
      </c>
      <c r="K345" s="5" t="str">
        <f ca="1">IFERROR(__xludf.DUMMYFUNCTION("""COMPUTED_VALUE"""),"Preventivo")</f>
        <v>Preventivo</v>
      </c>
      <c r="L345" s="5" t="str">
        <f ca="1">IFERROR(__xludf.DUMMYFUNCTION("""COMPUTED_VALUE"""),"Maquinaria")</f>
        <v>Maquinaria</v>
      </c>
      <c r="M345" s="5" t="str">
        <f ca="1">IFERROR(__xludf.DUMMYFUNCTION("""COMPUTED_VALUE"""),"No")</f>
        <v>No</v>
      </c>
      <c r="N345" s="5"/>
      <c r="O345" s="5">
        <f ca="1">IFERROR(__xludf.DUMMYFUNCTION("""COMPUTED_VALUE"""),100)</f>
        <v>100</v>
      </c>
      <c r="P345" s="18">
        <f ca="1">IFERROR(__xludf.DUMMYFUNCTION("""COMPUTED_VALUE"""),45328)</f>
        <v>45328</v>
      </c>
      <c r="Q345" s="18">
        <f ca="1">IFERROR(__xludf.DUMMYFUNCTION("""COMPUTED_VALUE"""),45328)</f>
        <v>45328</v>
      </c>
      <c r="R345" s="18"/>
      <c r="S345" s="5">
        <f ca="1">IFERROR(__xludf.DUMMYFUNCTION("""COMPUTED_VALUE"""),0.5)</f>
        <v>0.5</v>
      </c>
      <c r="T345" s="5"/>
      <c r="U345" s="5" t="str">
        <f ca="1">IFERROR(__xludf.DUMMYFUNCTION("""COMPUTED_VALUE"""),"Duran Sanchez Nelson Fernando")</f>
        <v>Duran Sanchez Nelson Fernando</v>
      </c>
      <c r="V345" s="5"/>
      <c r="W345" s="5" t="str">
        <f ca="1">IFERROR(__xludf.DUMMYFUNCTION("""COMPUTED_VALUE"""),"4xwLUoP9loo")</f>
        <v>4xwLUoP9loo</v>
      </c>
      <c r="X345" s="5">
        <f ca="1">IFERROR(__xludf.DUMMYFUNCTION("""COMPUTED_VALUE"""),0.5)</f>
        <v>0.5</v>
      </c>
      <c r="Y345" s="5" t="str">
        <f t="shared" ca="1" si="2"/>
        <v>Actividad realizada</v>
      </c>
      <c r="Z345" s="3">
        <f ca="1">IFERROR(VLOOKUP(U345, 'Base de datos'!A:B, 2, FALSE), "")</f>
        <v>573187183243</v>
      </c>
      <c r="AA345" s="4" t="e">
        <f t="shared" ca="1" si="3"/>
        <v>#NAME?</v>
      </c>
    </row>
    <row r="346" spans="1:27" ht="15.75" customHeight="1">
      <c r="A346" s="5" t="str">
        <f ca="1">IFERROR(__xludf.DUMMYFUNCTION("""COMPUTED_VALUE"""),"POSTOBÓN YUMBO")</f>
        <v>POSTOBÓN YUMBO</v>
      </c>
      <c r="B346" s="5" t="str">
        <f ca="1">IFERROR(__xludf.DUMMYFUNCTION("""COMPUTED_VALUE"""),"0410-LINEA PET CSD")</f>
        <v>0410-LINEA PET CSD</v>
      </c>
      <c r="C346" s="5" t="str">
        <f ca="1">IFERROR(__xludf.DUMMYFUNCTION("""COMPUTED_VALUE"""),"LINEA PET CSD - LINEA 10")</f>
        <v>LINEA PET CSD - LINEA 10</v>
      </c>
      <c r="D346" s="5">
        <f ca="1">IFERROR(__xludf.DUMMYFUNCTION("""COMPUTED_VALUE"""),519561)</f>
        <v>519561</v>
      </c>
      <c r="E346" s="5" t="str">
        <f ca="1">IFERROR(__xludf.DUMMYFUNCTION("""COMPUTED_VALUE"""),"LLENADORA DE BOTELLAS PET 162 VALVULAS")</f>
        <v>LLENADORA DE BOTELLAS PET 162 VALVULAS</v>
      </c>
      <c r="F346" s="5">
        <f ca="1">IFERROR(__xludf.DUMMYFUNCTION("""COMPUTED_VALUE"""),25366)</f>
        <v>25366</v>
      </c>
      <c r="G346" s="5" t="str">
        <f ca="1">IFERROR(__xludf.DUMMYFUNCTION("""COMPUTED_VALUE"""),"PLAN MTTO LUB LLENADORA CSD")</f>
        <v>PLAN MTTO LUB LLENADORA CSD</v>
      </c>
      <c r="H346" s="5">
        <f ca="1">IFERROR(__xludf.DUMMYFUNCTION("""COMPUTED_VALUE"""),13232384)</f>
        <v>13232384</v>
      </c>
      <c r="I346" s="5" t="str">
        <f ca="1">IFERROR(__xludf.DUMMYFUNCTION("""COMPUTED_VALUE"""),"Distribuidor central: Lubricar")</f>
        <v>Distribuidor central: Lubricar</v>
      </c>
      <c r="J346" s="5" t="str">
        <f ca="1">IFERROR(__xludf.DUMMYFUNCTION("""COMPUTED_VALUE"""),"ALTO")</f>
        <v>ALTO</v>
      </c>
      <c r="K346" s="5" t="str">
        <f ca="1">IFERROR(__xludf.DUMMYFUNCTION("""COMPUTED_VALUE"""),"Preventivo")</f>
        <v>Preventivo</v>
      </c>
      <c r="L346" s="5" t="str">
        <f ca="1">IFERROR(__xludf.DUMMYFUNCTION("""COMPUTED_VALUE"""),"Maquinaria")</f>
        <v>Maquinaria</v>
      </c>
      <c r="M346" s="5" t="str">
        <f ca="1">IFERROR(__xludf.DUMMYFUNCTION("""COMPUTED_VALUE"""),"No")</f>
        <v>No</v>
      </c>
      <c r="N346" s="5"/>
      <c r="O346" s="5">
        <f ca="1">IFERROR(__xludf.DUMMYFUNCTION("""COMPUTED_VALUE"""),100)</f>
        <v>100</v>
      </c>
      <c r="P346" s="18">
        <f ca="1">IFERROR(__xludf.DUMMYFUNCTION("""COMPUTED_VALUE"""),45328)</f>
        <v>45328</v>
      </c>
      <c r="Q346" s="18">
        <f ca="1">IFERROR(__xludf.DUMMYFUNCTION("""COMPUTED_VALUE"""),45328)</f>
        <v>45328</v>
      </c>
      <c r="R346" s="18"/>
      <c r="S346" s="5">
        <f ca="1">IFERROR(__xludf.DUMMYFUNCTION("""COMPUTED_VALUE"""),0.5)</f>
        <v>0.5</v>
      </c>
      <c r="T346" s="5"/>
      <c r="U346" s="5" t="str">
        <f ca="1">IFERROR(__xludf.DUMMYFUNCTION("""COMPUTED_VALUE"""),"Duran Sanchez Nelson Fernando")</f>
        <v>Duran Sanchez Nelson Fernando</v>
      </c>
      <c r="V346" s="5"/>
      <c r="W346" s="5" t="str">
        <f ca="1">IFERROR(__xludf.DUMMYFUNCTION("""COMPUTED_VALUE"""),"FEm6C4OHG_c")</f>
        <v>FEm6C4OHG_c</v>
      </c>
      <c r="X346" s="5">
        <f ca="1">IFERROR(__xludf.DUMMYFUNCTION("""COMPUTED_VALUE"""),0.5)</f>
        <v>0.5</v>
      </c>
      <c r="Y346" s="5" t="str">
        <f t="shared" ca="1" si="2"/>
        <v>Actividad realizada</v>
      </c>
      <c r="Z346" s="3">
        <f ca="1">IFERROR(VLOOKUP(U346, 'Base de datos'!A:B, 2, FALSE), "")</f>
        <v>573187183243</v>
      </c>
      <c r="AA346" s="4" t="e">
        <f t="shared" ca="1" si="3"/>
        <v>#NAME?</v>
      </c>
    </row>
    <row r="347" spans="1:27" ht="15.75" customHeight="1">
      <c r="A347" s="5" t="str">
        <f ca="1">IFERROR(__xludf.DUMMYFUNCTION("""COMPUTED_VALUE"""),"POSTOBÓN YUMBO")</f>
        <v>POSTOBÓN YUMBO</v>
      </c>
      <c r="B347" s="5" t="str">
        <f ca="1">IFERROR(__xludf.DUMMYFUNCTION("""COMPUTED_VALUE"""),"0410-LINEA PET CSD")</f>
        <v>0410-LINEA PET CSD</v>
      </c>
      <c r="C347" s="5" t="str">
        <f ca="1">IFERROR(__xludf.DUMMYFUNCTION("""COMPUTED_VALUE"""),"LINEA PET CSD - LINEA 10")</f>
        <v>LINEA PET CSD - LINEA 10</v>
      </c>
      <c r="D347" s="5">
        <f ca="1">IFERROR(__xludf.DUMMYFUNCTION("""COMPUTED_VALUE"""),710324)</f>
        <v>710324</v>
      </c>
      <c r="E347" s="5" t="str">
        <f ca="1">IFERROR(__xludf.DUMMYFUNCTION("""COMPUTED_VALUE"""),"ENFARDADORA")</f>
        <v>ENFARDADORA</v>
      </c>
      <c r="F347" s="5">
        <f ca="1">IFERROR(__xludf.DUMMYFUNCTION("""COMPUTED_VALUE"""),25371)</f>
        <v>25371</v>
      </c>
      <c r="G347" s="5" t="str">
        <f ca="1">IFERROR(__xludf.DUMMYFUNCTION("""COMPUTED_VALUE"""),"PLAN MTTO LUB HORNO ENFARDADORA CSD")</f>
        <v>PLAN MTTO LUB HORNO ENFARDADORA CSD</v>
      </c>
      <c r="H347" s="5">
        <f ca="1">IFERROR(__xludf.DUMMYFUNCTION("""COMPUTED_VALUE"""),13232392)</f>
        <v>13232392</v>
      </c>
      <c r="I347" s="5" t="str">
        <f ca="1">IFERROR(__xludf.DUMMYFUNCTION("""COMPUTED_VALUE"""),"Lubricacion")</f>
        <v>Lubricacion</v>
      </c>
      <c r="J347" s="5" t="str">
        <f ca="1">IFERROR(__xludf.DUMMYFUNCTION("""COMPUTED_VALUE"""),"MEDIO")</f>
        <v>MEDIO</v>
      </c>
      <c r="K347" s="5" t="str">
        <f ca="1">IFERROR(__xludf.DUMMYFUNCTION("""COMPUTED_VALUE"""),"Preventivo")</f>
        <v>Preventivo</v>
      </c>
      <c r="L347" s="5" t="str">
        <f ca="1">IFERROR(__xludf.DUMMYFUNCTION("""COMPUTED_VALUE"""),"Maquinaria")</f>
        <v>Maquinaria</v>
      </c>
      <c r="M347" s="5" t="str">
        <f ca="1">IFERROR(__xludf.DUMMYFUNCTION("""COMPUTED_VALUE"""),"No")</f>
        <v>No</v>
      </c>
      <c r="N347" s="5"/>
      <c r="O347" s="5">
        <f ca="1">IFERROR(__xludf.DUMMYFUNCTION("""COMPUTED_VALUE"""),100)</f>
        <v>100</v>
      </c>
      <c r="P347" s="18">
        <f ca="1">IFERROR(__xludf.DUMMYFUNCTION("""COMPUTED_VALUE"""),45328)</f>
        <v>45328</v>
      </c>
      <c r="Q347" s="18">
        <f ca="1">IFERROR(__xludf.DUMMYFUNCTION("""COMPUTED_VALUE"""),45328)</f>
        <v>45328</v>
      </c>
      <c r="R347" s="18"/>
      <c r="S347" s="5">
        <f ca="1">IFERROR(__xludf.DUMMYFUNCTION("""COMPUTED_VALUE"""),0.5)</f>
        <v>0.5</v>
      </c>
      <c r="T347" s="5"/>
      <c r="U347" s="5" t="str">
        <f ca="1">IFERROR(__xludf.DUMMYFUNCTION("""COMPUTED_VALUE"""),"PARRA VELANDIA JOHN JAIRO")</f>
        <v>PARRA VELANDIA JOHN JAIRO</v>
      </c>
      <c r="V347" s="5"/>
      <c r="W347" s="5" t="str">
        <f ca="1">IFERROR(__xludf.DUMMYFUNCTION("""COMPUTED_VALUE"""),"PVc5OjntVPU")</f>
        <v>PVc5OjntVPU</v>
      </c>
      <c r="X347" s="5">
        <f ca="1">IFERROR(__xludf.DUMMYFUNCTION("""COMPUTED_VALUE"""),0.5)</f>
        <v>0.5</v>
      </c>
      <c r="Y347" s="5" t="str">
        <f t="shared" ca="1" si="2"/>
        <v>Actividad realizada</v>
      </c>
      <c r="Z347" s="3">
        <f ca="1">IFERROR(VLOOKUP(U347, 'Base de datos'!A:B, 2, FALSE), "")</f>
        <v>573012765105</v>
      </c>
      <c r="AA347" s="4" t="e">
        <f t="shared" ca="1" si="3"/>
        <v>#NAME?</v>
      </c>
    </row>
    <row r="348" spans="1:27" ht="15.75" customHeight="1">
      <c r="A348" s="5" t="str">
        <f ca="1">IFERROR(__xludf.DUMMYFUNCTION("""COMPUTED_VALUE"""),"POSTOBÓN YUMBO")</f>
        <v>POSTOBÓN YUMBO</v>
      </c>
      <c r="B348" s="5" t="str">
        <f ca="1">IFERROR(__xludf.DUMMYFUNCTION("""COMPUTED_VALUE"""),"0410-LINEA PET CSD")</f>
        <v>0410-LINEA PET CSD</v>
      </c>
      <c r="C348" s="5" t="str">
        <f ca="1">IFERROR(__xludf.DUMMYFUNCTION("""COMPUTED_VALUE"""),"LINEA PET CSD - LINEA 10")</f>
        <v>LINEA PET CSD - LINEA 10</v>
      </c>
      <c r="D348" s="5">
        <f ca="1">IFERROR(__xludf.DUMMYFUNCTION("""COMPUTED_VALUE"""),829868)</f>
        <v>829868</v>
      </c>
      <c r="E348" s="5" t="str">
        <f ca="1">IFERROR(__xludf.DUMMYFUNCTION("""COMPUTED_VALUE"""),"TRANSPORTE DE PAQUETES")</f>
        <v>TRANSPORTE DE PAQUETES</v>
      </c>
      <c r="F348" s="5">
        <f ca="1">IFERROR(__xludf.DUMMYFUNCTION("""COMPUTED_VALUE"""),25378)</f>
        <v>25378</v>
      </c>
      <c r="G348" s="5" t="str">
        <f ca="1">IFERROR(__xludf.DUMMYFUNCTION("""COMPUTED_VALUE"""),"PLAN MTTO LUB TRANSPORTE DE PAQUETES CSD")</f>
        <v>PLAN MTTO LUB TRANSPORTE DE PAQUETES CSD</v>
      </c>
      <c r="H348" s="5">
        <f ca="1">IFERROR(__xludf.DUMMYFUNCTION("""COMPUTED_VALUE"""),13232395)</f>
        <v>13232395</v>
      </c>
      <c r="I348" s="5" t="str">
        <f ca="1">IFERROR(__xludf.DUMMYFUNCTION("""COMPUTED_VALUE"""),"Lubricar chumaceras")</f>
        <v>Lubricar chumaceras</v>
      </c>
      <c r="J348" s="5" t="str">
        <f ca="1">IFERROR(__xludf.DUMMYFUNCTION("""COMPUTED_VALUE"""),"MEDIO")</f>
        <v>MEDIO</v>
      </c>
      <c r="K348" s="5" t="str">
        <f ca="1">IFERROR(__xludf.DUMMYFUNCTION("""COMPUTED_VALUE"""),"Preventivo")</f>
        <v>Preventivo</v>
      </c>
      <c r="L348" s="5" t="str">
        <f ca="1">IFERROR(__xludf.DUMMYFUNCTION("""COMPUTED_VALUE"""),"Maquinaria")</f>
        <v>Maquinaria</v>
      </c>
      <c r="M348" s="5" t="str">
        <f ca="1">IFERROR(__xludf.DUMMYFUNCTION("""COMPUTED_VALUE"""),"No")</f>
        <v>No</v>
      </c>
      <c r="N348" s="5"/>
      <c r="O348" s="5">
        <f ca="1">IFERROR(__xludf.DUMMYFUNCTION("""COMPUTED_VALUE"""),100)</f>
        <v>100</v>
      </c>
      <c r="P348" s="18">
        <f ca="1">IFERROR(__xludf.DUMMYFUNCTION("""COMPUTED_VALUE"""),45329)</f>
        <v>45329</v>
      </c>
      <c r="Q348" s="18">
        <f ca="1">IFERROR(__xludf.DUMMYFUNCTION("""COMPUTED_VALUE"""),45329)</f>
        <v>45329</v>
      </c>
      <c r="R348" s="18"/>
      <c r="S348" s="5">
        <f ca="1">IFERROR(__xludf.DUMMYFUNCTION("""COMPUTED_VALUE"""),0.5)</f>
        <v>0.5</v>
      </c>
      <c r="T348" s="5"/>
      <c r="U348" s="5" t="str">
        <f ca="1">IFERROR(__xludf.DUMMYFUNCTION("""COMPUTED_VALUE"""),"PARRA VELANDIA JOHN JAIRO")</f>
        <v>PARRA VELANDIA JOHN JAIRO</v>
      </c>
      <c r="V348" s="5"/>
      <c r="W348" s="5" t="str">
        <f ca="1">IFERROR(__xludf.DUMMYFUNCTION("""COMPUTED_VALUE"""),"WHtrSLk6kec")</f>
        <v>WHtrSLk6kec</v>
      </c>
      <c r="X348" s="5">
        <f ca="1">IFERROR(__xludf.DUMMYFUNCTION("""COMPUTED_VALUE"""),0.5)</f>
        <v>0.5</v>
      </c>
      <c r="Y348" s="5" t="str">
        <f t="shared" ca="1" si="2"/>
        <v>Actividad realizada</v>
      </c>
      <c r="Z348" s="3">
        <f ca="1">IFERROR(VLOOKUP(U348, 'Base de datos'!A:B, 2, FALSE), "")</f>
        <v>573012765105</v>
      </c>
      <c r="AA348" s="4" t="e">
        <f t="shared" ca="1" si="3"/>
        <v>#NAME?</v>
      </c>
    </row>
    <row r="349" spans="1:27" ht="15.75" customHeight="1">
      <c r="A349" s="5" t="str">
        <f ca="1">IFERROR(__xludf.DUMMYFUNCTION("""COMPUTED_VALUE"""),"POSTOBÓN YUMBO")</f>
        <v>POSTOBÓN YUMBO</v>
      </c>
      <c r="B349" s="5" t="str">
        <f ca="1">IFERROR(__xludf.DUMMYFUNCTION("""COMPUTED_VALUE"""),"0410-LINEA DE BOLSAS")</f>
        <v>0410-LINEA DE BOLSAS</v>
      </c>
      <c r="C349" s="5" t="str">
        <f ca="1">IFERROR(__xludf.DUMMYFUNCTION("""COMPUTED_VALUE"""),"LINEA PARA EL LLENADO DE BOLSAS")</f>
        <v>LINEA PARA EL LLENADO DE BOLSAS</v>
      </c>
      <c r="D349" s="5">
        <f ca="1">IFERROR(__xludf.DUMMYFUNCTION("""COMPUTED_VALUE"""),829853)</f>
        <v>829853</v>
      </c>
      <c r="E349" s="5" t="str">
        <f ca="1">IFERROR(__xludf.DUMMYFUNCTION("""COMPUTED_VALUE"""),"TRANSPORTADOR DE CAJAS")</f>
        <v>TRANSPORTADOR DE CAJAS</v>
      </c>
      <c r="F349" s="5">
        <f ca="1">IFERROR(__xludf.DUMMYFUNCTION("""COMPUTED_VALUE"""),22717)</f>
        <v>22717</v>
      </c>
      <c r="G349" s="5" t="str">
        <f ca="1">IFERROR(__xludf.DUMMYFUNCTION("""COMPUTED_VALUE"""),"PLAN MTTO LUB TRANSP CAJAS BOLSA 8")</f>
        <v>PLAN MTTO LUB TRANSP CAJAS BOLSA 8</v>
      </c>
      <c r="H349" s="5">
        <f ca="1">IFERROR(__xludf.DUMMYFUNCTION("""COMPUTED_VALUE"""),13193568)</f>
        <v>13193568</v>
      </c>
      <c r="I349" s="5" t="str">
        <f ca="1">IFERROR(__xludf.DUMMYFUNCTION("""COMPUTED_VALUE"""),"Cambio aceite reductores")</f>
        <v>Cambio aceite reductores</v>
      </c>
      <c r="J349" s="5" t="str">
        <f ca="1">IFERROR(__xludf.DUMMYFUNCTION("""COMPUTED_VALUE"""),"MEDIO")</f>
        <v>MEDIO</v>
      </c>
      <c r="K349" s="5" t="str">
        <f ca="1">IFERROR(__xludf.DUMMYFUNCTION("""COMPUTED_VALUE"""),"Preventivo")</f>
        <v>Preventivo</v>
      </c>
      <c r="L349" s="5" t="str">
        <f ca="1">IFERROR(__xludf.DUMMYFUNCTION("""COMPUTED_VALUE"""),"Maquinaria")</f>
        <v>Maquinaria</v>
      </c>
      <c r="M349" s="5" t="str">
        <f ca="1">IFERROR(__xludf.DUMMYFUNCTION("""COMPUTED_VALUE"""),"No")</f>
        <v>No</v>
      </c>
      <c r="N349" s="5"/>
      <c r="O349" s="5"/>
      <c r="P349" s="18">
        <f ca="1">IFERROR(__xludf.DUMMYFUNCTION("""COMPUTED_VALUE"""),45334)</f>
        <v>45334</v>
      </c>
      <c r="Q349" s="18">
        <f ca="1">IFERROR(__xludf.DUMMYFUNCTION("""COMPUTED_VALUE"""),45334)</f>
        <v>45334</v>
      </c>
      <c r="R349" s="18"/>
      <c r="S349" s="5">
        <f ca="1">IFERROR(__xludf.DUMMYFUNCTION("""COMPUTED_VALUE"""),4)</f>
        <v>4</v>
      </c>
      <c r="T349" s="5"/>
      <c r="U349" s="5" t="str">
        <f ca="1">IFERROR(__xludf.DUMMYFUNCTION("""COMPUTED_VALUE"""),"ESTEBAN POTOSI ISAZA")</f>
        <v>ESTEBAN POTOSI ISAZA</v>
      </c>
      <c r="V349" s="5"/>
      <c r="W349" s="5" t="str">
        <f ca="1">IFERROR(__xludf.DUMMYFUNCTION("""COMPUTED_VALUE"""),"yFoad8pLcEQ")</f>
        <v>yFoad8pLcEQ</v>
      </c>
      <c r="X349" s="5">
        <f ca="1">IFERROR(__xludf.DUMMYFUNCTION("""COMPUTED_VALUE"""),4)</f>
        <v>4</v>
      </c>
      <c r="Y349" s="5" t="str">
        <f t="shared" si="2"/>
        <v>Actividad sin realizar</v>
      </c>
      <c r="Z349" s="3">
        <f ca="1">IFERROR(VLOOKUP(U349, 'Base de datos'!A:B, 2, FALSE), "")</f>
        <v>573128543241</v>
      </c>
      <c r="AA349" s="4" t="e">
        <f t="shared" ca="1" si="3"/>
        <v>#NAME?</v>
      </c>
    </row>
    <row r="350" spans="1:27" ht="15.75" customHeight="1">
      <c r="A350" s="5" t="str">
        <f ca="1">IFERROR(__xludf.DUMMYFUNCTION("""COMPUTED_VALUE"""),"POSTOBÓN YUMBO")</f>
        <v>POSTOBÓN YUMBO</v>
      </c>
      <c r="B350" s="5" t="str">
        <f ca="1">IFERROR(__xludf.DUMMYFUNCTION("""COMPUTED_VALUE"""),"0410-LINEA PET CSD")</f>
        <v>0410-LINEA PET CSD</v>
      </c>
      <c r="C350" s="5" t="str">
        <f ca="1">IFERROR(__xludf.DUMMYFUNCTION("""COMPUTED_VALUE"""),"LINEA PET CSD - LINEA 10")</f>
        <v>LINEA PET CSD - LINEA 10</v>
      </c>
      <c r="D350" s="5">
        <f ca="1">IFERROR(__xludf.DUMMYFUNCTION("""COMPUTED_VALUE"""),829869)</f>
        <v>829869</v>
      </c>
      <c r="E350" s="5" t="str">
        <f ca="1">IFERROR(__xludf.DUMMYFUNCTION("""COMPUTED_VALUE"""),"TRANSPORTE DE PALETS")</f>
        <v>TRANSPORTE DE PALETS</v>
      </c>
      <c r="F350" s="5">
        <f ca="1">IFERROR(__xludf.DUMMYFUNCTION("""COMPUTED_VALUE"""),25379)</f>
        <v>25379</v>
      </c>
      <c r="G350" s="5" t="str">
        <f ca="1">IFERROR(__xludf.DUMMYFUNCTION("""COMPUTED_VALUE"""),"PLAN MTTO LUB TRANSPORTE DE PALETS CSD")</f>
        <v>PLAN MTTO LUB TRANSPORTE DE PALETS CSD</v>
      </c>
      <c r="H350" s="5">
        <f ca="1">IFERROR(__xludf.DUMMYFUNCTION("""COMPUTED_VALUE"""),13232396)</f>
        <v>13232396</v>
      </c>
      <c r="I350" s="5" t="str">
        <f ca="1">IFERROR(__xludf.DUMMYFUNCTION("""COMPUTED_VALUE"""),"Lubricar chumaceras")</f>
        <v>Lubricar chumaceras</v>
      </c>
      <c r="J350" s="5" t="str">
        <f ca="1">IFERROR(__xludf.DUMMYFUNCTION("""COMPUTED_VALUE"""),"BAJO")</f>
        <v>BAJO</v>
      </c>
      <c r="K350" s="5" t="str">
        <f ca="1">IFERROR(__xludf.DUMMYFUNCTION("""COMPUTED_VALUE"""),"Preventivo")</f>
        <v>Preventivo</v>
      </c>
      <c r="L350" s="5" t="str">
        <f ca="1">IFERROR(__xludf.DUMMYFUNCTION("""COMPUTED_VALUE"""),"Maquinaria")</f>
        <v>Maquinaria</v>
      </c>
      <c r="M350" s="5" t="str">
        <f ca="1">IFERROR(__xludf.DUMMYFUNCTION("""COMPUTED_VALUE"""),"No")</f>
        <v>No</v>
      </c>
      <c r="N350" s="5"/>
      <c r="O350" s="5">
        <f ca="1">IFERROR(__xludf.DUMMYFUNCTION("""COMPUTED_VALUE"""),100)</f>
        <v>100</v>
      </c>
      <c r="P350" s="18">
        <f ca="1">IFERROR(__xludf.DUMMYFUNCTION("""COMPUTED_VALUE"""),45329)</f>
        <v>45329</v>
      </c>
      <c r="Q350" s="18">
        <f ca="1">IFERROR(__xludf.DUMMYFUNCTION("""COMPUTED_VALUE"""),45329)</f>
        <v>45329</v>
      </c>
      <c r="R350" s="18"/>
      <c r="S350" s="5">
        <f ca="1">IFERROR(__xludf.DUMMYFUNCTION("""COMPUTED_VALUE"""),0.5)</f>
        <v>0.5</v>
      </c>
      <c r="T350" s="5"/>
      <c r="U350" s="5" t="str">
        <f ca="1">IFERROR(__xludf.DUMMYFUNCTION("""COMPUTED_VALUE"""),"PARRA VELANDIA JOHN JAIRO")</f>
        <v>PARRA VELANDIA JOHN JAIRO</v>
      </c>
      <c r="V350" s="5"/>
      <c r="W350" s="5" t="str">
        <f ca="1">IFERROR(__xludf.DUMMYFUNCTION("""COMPUTED_VALUE"""),"edPdkmERd7I")</f>
        <v>edPdkmERd7I</v>
      </c>
      <c r="X350" s="5">
        <f ca="1">IFERROR(__xludf.DUMMYFUNCTION("""COMPUTED_VALUE"""),0.5)</f>
        <v>0.5</v>
      </c>
      <c r="Y350" s="5" t="str">
        <f t="shared" ca="1" si="2"/>
        <v>Actividad realizada</v>
      </c>
      <c r="Z350" s="3">
        <f ca="1">IFERROR(VLOOKUP(U350, 'Base de datos'!A:B, 2, FALSE), "")</f>
        <v>573012765105</v>
      </c>
      <c r="AA350" s="4" t="e">
        <f t="shared" ca="1" si="3"/>
        <v>#NAME?</v>
      </c>
    </row>
    <row r="351" spans="1:27" ht="15.75" customHeight="1">
      <c r="A351" s="5" t="str">
        <f ca="1">IFERROR(__xludf.DUMMYFUNCTION("""COMPUTED_VALUE"""),"POSTOBÓN YUMBO")</f>
        <v>POSTOBÓN YUMBO</v>
      </c>
      <c r="B351" s="5" t="str">
        <f ca="1">IFERROR(__xludf.DUMMYFUNCTION("""COMPUTED_VALUE"""),"0410-SALA DE JARABE TERMINADO")</f>
        <v>0410-SALA DE JARABE TERMINADO</v>
      </c>
      <c r="C351" s="5" t="str">
        <f ca="1">IFERROR(__xludf.DUMMYFUNCTION("""COMPUTED_VALUE"""),"EQUIPOS PARA PREPARACION DE JARABE")</f>
        <v>EQUIPOS PARA PREPARACION DE JARABE</v>
      </c>
      <c r="D351" s="5">
        <f ca="1">IFERROR(__xludf.DUMMYFUNCTION("""COMPUTED_VALUE"""),69963405)</f>
        <v>69963405</v>
      </c>
      <c r="E351" s="5" t="str">
        <f ca="1">IFERROR(__xludf.DUMMYFUNCTION("""COMPUTED_VALUE"""),"TANQUE DE JARABE")</f>
        <v>TANQUE DE JARABE</v>
      </c>
      <c r="F351" s="5">
        <f ca="1">IFERROR(__xludf.DUMMYFUNCTION("""COMPUTED_VALUE"""),17361)</f>
        <v>17361</v>
      </c>
      <c r="G351" s="5" t="str">
        <f ca="1">IFERROR(__xludf.DUMMYFUNCTION("""COMPUTED_VALUE"""),"MTTO ELE TK JARABE 2 JARABE TERMINADO")</f>
        <v>MTTO ELE TK JARABE 2 JARABE TERMINADO</v>
      </c>
      <c r="H351" s="5">
        <f ca="1">IFERROR(__xludf.DUMMYFUNCTION("""COMPUTED_VALUE"""),13247151)</f>
        <v>13247151</v>
      </c>
      <c r="I351" s="5" t="str">
        <f ca="1">IFERROR(__xludf.DUMMYFUNCTION("""COMPUTED_VALUE"""),"MOTOR BOMBA DE RECIRCULACION:")</f>
        <v>MOTOR BOMBA DE RECIRCULACION:</v>
      </c>
      <c r="J351" s="5" t="str">
        <f ca="1">IFERROR(__xludf.DUMMYFUNCTION("""COMPUTED_VALUE"""),"ALTO")</f>
        <v>ALTO</v>
      </c>
      <c r="K351" s="5" t="str">
        <f ca="1">IFERROR(__xludf.DUMMYFUNCTION("""COMPUTED_VALUE"""),"Preventivo")</f>
        <v>Preventivo</v>
      </c>
      <c r="L351" s="5" t="str">
        <f ca="1">IFERROR(__xludf.DUMMYFUNCTION("""COMPUTED_VALUE"""),"Maquinaria")</f>
        <v>Maquinaria</v>
      </c>
      <c r="M351" s="5" t="str">
        <f ca="1">IFERROR(__xludf.DUMMYFUNCTION("""COMPUTED_VALUE"""),"No")</f>
        <v>No</v>
      </c>
      <c r="N351" s="5"/>
      <c r="O351" s="5">
        <f ca="1">IFERROR(__xludf.DUMMYFUNCTION("""COMPUTED_VALUE"""),100)</f>
        <v>100</v>
      </c>
      <c r="P351" s="18">
        <f ca="1">IFERROR(__xludf.DUMMYFUNCTION("""COMPUTED_VALUE"""),45343)</f>
        <v>45343</v>
      </c>
      <c r="Q351" s="18">
        <f ca="1">IFERROR(__xludf.DUMMYFUNCTION("""COMPUTED_VALUE"""),45343)</f>
        <v>45343</v>
      </c>
      <c r="R351" s="18"/>
      <c r="S351" s="5">
        <f ca="1">IFERROR(__xludf.DUMMYFUNCTION("""COMPUTED_VALUE"""),1)</f>
        <v>1</v>
      </c>
      <c r="T351" s="5"/>
      <c r="U351" s="5" t="str">
        <f ca="1">IFERROR(__xludf.DUMMYFUNCTION("""COMPUTED_VALUE"""),"Moreno Pernia Bladimir")</f>
        <v>Moreno Pernia Bladimir</v>
      </c>
      <c r="V351" s="5"/>
      <c r="W351" s="5" t="str">
        <f ca="1">IFERROR(__xludf.DUMMYFUNCTION("""COMPUTED_VALUE"""),"-OUVdwziB6c")</f>
        <v>-OUVdwziB6c</v>
      </c>
      <c r="X351" s="5">
        <f ca="1">IFERROR(__xludf.DUMMYFUNCTION("""COMPUTED_VALUE"""),1)</f>
        <v>1</v>
      </c>
      <c r="Y351" s="5" t="str">
        <f t="shared" ca="1" si="2"/>
        <v>Actividad realizada</v>
      </c>
      <c r="Z351" s="3">
        <f ca="1">IFERROR(VLOOKUP(U351, 'Base de datos'!A:B, 2, FALSE), "")</f>
        <v>573148903137</v>
      </c>
      <c r="AA351" s="4" t="e">
        <f t="shared" ca="1" si="3"/>
        <v>#NAME?</v>
      </c>
    </row>
    <row r="352" spans="1:27" ht="15.75" customHeight="1">
      <c r="A352" s="5" t="str">
        <f ca="1">IFERROR(__xludf.DUMMYFUNCTION("""COMPUTED_VALUE"""),"POSTOBÓN YUMBO")</f>
        <v>POSTOBÓN YUMBO</v>
      </c>
      <c r="B352" s="5" t="str">
        <f ca="1">IFERROR(__xludf.DUMMYFUNCTION("""COMPUTED_VALUE"""),"0410-LINEA GARRAFAS")</f>
        <v>0410-LINEA GARRAFAS</v>
      </c>
      <c r="C352" s="5" t="str">
        <f ca="1">IFERROR(__xludf.DUMMYFUNCTION("""COMPUTED_VALUE"""),"LINEA PARA EL LLENADO DE GARRAFAS")</f>
        <v>LINEA PARA EL LLENADO DE GARRAFAS</v>
      </c>
      <c r="D352" s="5">
        <f ca="1">IFERROR(__xludf.DUMMYFUNCTION("""COMPUTED_VALUE"""),710019)</f>
        <v>710019</v>
      </c>
      <c r="E352" s="5" t="str">
        <f ca="1">IFERROR(__xludf.DUMMYFUNCTION("""COMPUTED_VALUE"""),"LLENADORA DE GARRAFAS")</f>
        <v>LLENADORA DE GARRAFAS</v>
      </c>
      <c r="F352" s="5">
        <f ca="1">IFERROR(__xludf.DUMMYFUNCTION("""COMPUTED_VALUE"""),22720)</f>
        <v>22720</v>
      </c>
      <c r="G352" s="5" t="str">
        <f ca="1">IFERROR(__xludf.DUMMYFUNCTION("""COMPUTED_VALUE"""),"PLAN MTTO MEC LLENADORA GARRAFAS 710019")</f>
        <v>PLAN MTTO MEC LLENADORA GARRAFAS 710019</v>
      </c>
      <c r="H352" s="5">
        <f ca="1">IFERROR(__xludf.DUMMYFUNCTION("""COMPUTED_VALUE"""),13193572)</f>
        <v>13193572</v>
      </c>
      <c r="I352" s="5" t="str">
        <f ca="1">IFERROR(__xludf.DUMMYFUNCTION("""COMPUTED_VALUE"""),"Transportador de entrada-salida")</f>
        <v>Transportador de entrada-salida</v>
      </c>
      <c r="J352" s="5" t="str">
        <f ca="1">IFERROR(__xludf.DUMMYFUNCTION("""COMPUTED_VALUE"""),"ALTO")</f>
        <v>ALTO</v>
      </c>
      <c r="K352" s="5" t="str">
        <f ca="1">IFERROR(__xludf.DUMMYFUNCTION("""COMPUTED_VALUE"""),"Preventivo")</f>
        <v>Preventivo</v>
      </c>
      <c r="L352" s="5" t="str">
        <f ca="1">IFERROR(__xludf.DUMMYFUNCTION("""COMPUTED_VALUE"""),"Maquinaria")</f>
        <v>Maquinaria</v>
      </c>
      <c r="M352" s="5" t="str">
        <f ca="1">IFERROR(__xludf.DUMMYFUNCTION("""COMPUTED_VALUE"""),"No")</f>
        <v>No</v>
      </c>
      <c r="N352" s="5"/>
      <c r="O352" s="5"/>
      <c r="P352" s="18">
        <f ca="1">IFERROR(__xludf.DUMMYFUNCTION("""COMPUTED_VALUE"""),45332)</f>
        <v>45332</v>
      </c>
      <c r="Q352" s="18">
        <f ca="1">IFERROR(__xludf.DUMMYFUNCTION("""COMPUTED_VALUE"""),45332)</f>
        <v>45332</v>
      </c>
      <c r="R352" s="18"/>
      <c r="S352" s="5">
        <f ca="1">IFERROR(__xludf.DUMMYFUNCTION("""COMPUTED_VALUE"""),4)</f>
        <v>4</v>
      </c>
      <c r="T352" s="5"/>
      <c r="U352" s="5" t="str">
        <f ca="1">IFERROR(__xludf.DUMMYFUNCTION("""COMPUTED_VALUE"""),"Víctor David Burbano Gómez")</f>
        <v>Víctor David Burbano Gómez</v>
      </c>
      <c r="V352" s="5"/>
      <c r="W352" s="5" t="str">
        <f ca="1">IFERROR(__xludf.DUMMYFUNCTION("""COMPUTED_VALUE"""),"xs5TjpBC19c")</f>
        <v>xs5TjpBC19c</v>
      </c>
      <c r="X352" s="5">
        <f ca="1">IFERROR(__xludf.DUMMYFUNCTION("""COMPUTED_VALUE"""),4)</f>
        <v>4</v>
      </c>
      <c r="Y352" s="5" t="str">
        <f t="shared" si="2"/>
        <v>Actividad sin realizar</v>
      </c>
      <c r="Z352" s="3">
        <f ca="1">IFERROR(VLOOKUP(U352, 'Base de datos'!A:B, 2, FALSE), "")</f>
        <v>573023403586</v>
      </c>
      <c r="AA352" s="4" t="e">
        <f t="shared" ca="1" si="3"/>
        <v>#NAME?</v>
      </c>
    </row>
    <row r="353" spans="1:27" ht="15.75" customHeight="1">
      <c r="A353" s="5" t="str">
        <f ca="1">IFERROR(__xludf.DUMMYFUNCTION("""COMPUTED_VALUE"""),"POSTOBÓN YUMBO")</f>
        <v>POSTOBÓN YUMBO</v>
      </c>
      <c r="B353" s="5" t="str">
        <f ca="1">IFERROR(__xludf.DUMMYFUNCTION("""COMPUTED_VALUE"""),"0410-SALA DE JARABE TERMINADO")</f>
        <v>0410-SALA DE JARABE TERMINADO</v>
      </c>
      <c r="C353" s="5" t="str">
        <f ca="1">IFERROR(__xludf.DUMMYFUNCTION("""COMPUTED_VALUE"""),"EQUIPOS PARA PREPARACION DE JARABE")</f>
        <v>EQUIPOS PARA PREPARACION DE JARABE</v>
      </c>
      <c r="D353" s="5">
        <f ca="1">IFERROR(__xludf.DUMMYFUNCTION("""COMPUTED_VALUE"""),69963406)</f>
        <v>69963406</v>
      </c>
      <c r="E353" s="5" t="str">
        <f ca="1">IFERROR(__xludf.DUMMYFUNCTION("""COMPUTED_VALUE"""),"TANQUE DE JARABE")</f>
        <v>TANQUE DE JARABE</v>
      </c>
      <c r="F353" s="5">
        <f ca="1">IFERROR(__xludf.DUMMYFUNCTION("""COMPUTED_VALUE"""),17361)</f>
        <v>17361</v>
      </c>
      <c r="G353" s="5" t="str">
        <f ca="1">IFERROR(__xludf.DUMMYFUNCTION("""COMPUTED_VALUE"""),"MTTO MEC TK JARABE 3 JARABE TERMINADO")</f>
        <v>MTTO MEC TK JARABE 3 JARABE TERMINADO</v>
      </c>
      <c r="H353" s="5">
        <f ca="1">IFERROR(__xludf.DUMMYFUNCTION("""COMPUTED_VALUE"""),13247152)</f>
        <v>13247152</v>
      </c>
      <c r="I353" s="5" t="str">
        <f ca="1">IFERROR(__xludf.DUMMYFUNCTION("""COMPUTED_VALUE"""),"BOMBA DE RECIRCULACION:")</f>
        <v>BOMBA DE RECIRCULACION:</v>
      </c>
      <c r="J353" s="5" t="str">
        <f ca="1">IFERROR(__xludf.DUMMYFUNCTION("""COMPUTED_VALUE"""),"ALTO")</f>
        <v>ALTO</v>
      </c>
      <c r="K353" s="5" t="str">
        <f ca="1">IFERROR(__xludf.DUMMYFUNCTION("""COMPUTED_VALUE"""),"Preventivo")</f>
        <v>Preventivo</v>
      </c>
      <c r="L353" s="5" t="str">
        <f ca="1">IFERROR(__xludf.DUMMYFUNCTION("""COMPUTED_VALUE"""),"Maquinaria")</f>
        <v>Maquinaria</v>
      </c>
      <c r="M353" s="5" t="str">
        <f ca="1">IFERROR(__xludf.DUMMYFUNCTION("""COMPUTED_VALUE"""),"No")</f>
        <v>No</v>
      </c>
      <c r="N353" s="5"/>
      <c r="O353" s="5">
        <f ca="1">IFERROR(__xludf.DUMMYFUNCTION("""COMPUTED_VALUE"""),100)</f>
        <v>100</v>
      </c>
      <c r="P353" s="18">
        <f ca="1">IFERROR(__xludf.DUMMYFUNCTION("""COMPUTED_VALUE"""),45342)</f>
        <v>45342</v>
      </c>
      <c r="Q353" s="18">
        <f ca="1">IFERROR(__xludf.DUMMYFUNCTION("""COMPUTED_VALUE"""),45342)</f>
        <v>45342</v>
      </c>
      <c r="R353" s="18"/>
      <c r="S353" s="5">
        <f ca="1">IFERROR(__xludf.DUMMYFUNCTION("""COMPUTED_VALUE"""),1)</f>
        <v>1</v>
      </c>
      <c r="T353" s="5"/>
      <c r="U353" s="5" t="str">
        <f ca="1">IFERROR(__xludf.DUMMYFUNCTION("""COMPUTED_VALUE"""),"Moreno Pernia Bladimir")</f>
        <v>Moreno Pernia Bladimir</v>
      </c>
      <c r="V353" s="5"/>
      <c r="W353" s="5" t="str">
        <f ca="1">IFERROR(__xludf.DUMMYFUNCTION("""COMPUTED_VALUE"""),"eIIqHzZoEdk")</f>
        <v>eIIqHzZoEdk</v>
      </c>
      <c r="X353" s="5">
        <f ca="1">IFERROR(__xludf.DUMMYFUNCTION("""COMPUTED_VALUE"""),1)</f>
        <v>1</v>
      </c>
      <c r="Y353" s="5" t="str">
        <f t="shared" ca="1" si="2"/>
        <v>Actividad realizada</v>
      </c>
      <c r="Z353" s="3">
        <f ca="1">IFERROR(VLOOKUP(U353, 'Base de datos'!A:B, 2, FALSE), "")</f>
        <v>573148903137</v>
      </c>
      <c r="AA353" s="4" t="e">
        <f t="shared" ca="1" si="3"/>
        <v>#NAME?</v>
      </c>
    </row>
    <row r="354" spans="1:27" ht="15.75" customHeight="1">
      <c r="A354" s="5" t="str">
        <f ca="1">IFERROR(__xludf.DUMMYFUNCTION("""COMPUTED_VALUE"""),"POSTOBÓN YUMBO")</f>
        <v>POSTOBÓN YUMBO</v>
      </c>
      <c r="B354" s="5" t="str">
        <f ca="1">IFERROR(__xludf.DUMMYFUNCTION("""COMPUTED_VALUE"""),"0410-PLANTA DE AGUA ENVASADO")</f>
        <v>0410-PLANTA DE AGUA ENVASADO</v>
      </c>
      <c r="C354" s="5" t="str">
        <f ca="1">IFERROR(__xludf.DUMMYFUNCTION("""COMPUTED_VALUE"""),"TRATAMIENTO DE AGUA PARA ENVASADO")</f>
        <v>TRATAMIENTO DE AGUA PARA ENVASADO</v>
      </c>
      <c r="D354" s="5">
        <f ca="1">IFERROR(__xludf.DUMMYFUNCTION("""COMPUTED_VALUE"""),70949106)</f>
        <v>70949106</v>
      </c>
      <c r="E354" s="5" t="str">
        <f ca="1">IFERROR(__xludf.DUMMYFUNCTION("""COMPUTED_VALUE"""),"GENERADOR DE OXIGENO 2")</f>
        <v>GENERADOR DE OXIGENO 2</v>
      </c>
      <c r="F354" s="5">
        <f ca="1">IFERROR(__xludf.DUMMYFUNCTION("""COMPUTED_VALUE"""),42255)</f>
        <v>42255</v>
      </c>
      <c r="G354" s="5" t="str">
        <f ca="1">IFERROR(__xludf.DUMMYFUNCTION("""COMPUTED_VALUE"""),"PLAN MTTO MEC GENERADOR DE OXIGENO 2")</f>
        <v>PLAN MTTO MEC GENERADOR DE OXIGENO 2</v>
      </c>
      <c r="H354" s="5">
        <f ca="1">IFERROR(__xludf.DUMMYFUNCTION("""COMPUTED_VALUE"""),13229237)</f>
        <v>13229237</v>
      </c>
      <c r="I354" s="5" t="str">
        <f ca="1">IFERROR(__xludf.DUMMYFUNCTION("""COMPUTED_VALUE"""),"REVISAR/CAMBIO DE FILTROS AIRE")</f>
        <v>REVISAR/CAMBIO DE FILTROS AIRE</v>
      </c>
      <c r="J354" s="5" t="str">
        <f ca="1">IFERROR(__xludf.DUMMYFUNCTION("""COMPUTED_VALUE"""),"ALTO")</f>
        <v>ALTO</v>
      </c>
      <c r="K354" s="5" t="str">
        <f ca="1">IFERROR(__xludf.DUMMYFUNCTION("""COMPUTED_VALUE"""),"Preventivo")</f>
        <v>Preventivo</v>
      </c>
      <c r="L354" s="5" t="str">
        <f ca="1">IFERROR(__xludf.DUMMYFUNCTION("""COMPUTED_VALUE"""),"Maquinaria")</f>
        <v>Maquinaria</v>
      </c>
      <c r="M354" s="5" t="str">
        <f ca="1">IFERROR(__xludf.DUMMYFUNCTION("""COMPUTED_VALUE"""),"No")</f>
        <v>No</v>
      </c>
      <c r="N354" s="5"/>
      <c r="O354" s="5"/>
      <c r="P354" s="18">
        <f ca="1">IFERROR(__xludf.DUMMYFUNCTION("""COMPUTED_VALUE"""),45340)</f>
        <v>45340</v>
      </c>
      <c r="Q354" s="18">
        <f ca="1">IFERROR(__xludf.DUMMYFUNCTION("""COMPUTED_VALUE"""),45340)</f>
        <v>45340</v>
      </c>
      <c r="R354" s="18"/>
      <c r="S354" s="5">
        <f ca="1">IFERROR(__xludf.DUMMYFUNCTION("""COMPUTED_VALUE"""),2)</f>
        <v>2</v>
      </c>
      <c r="T354" s="5"/>
      <c r="U354" s="5" t="str">
        <f ca="1">IFERROR(__xludf.DUMMYFUNCTION("""COMPUTED_VALUE"""),"PAPAMIJA GUIDO")</f>
        <v>PAPAMIJA GUIDO</v>
      </c>
      <c r="V354" s="5"/>
      <c r="W354" s="5" t="str">
        <f ca="1">IFERROR(__xludf.DUMMYFUNCTION("""COMPUTED_VALUE"""),"TPg2sqB6jS8")</f>
        <v>TPg2sqB6jS8</v>
      </c>
      <c r="X354" s="5">
        <f ca="1">IFERROR(__xludf.DUMMYFUNCTION("""COMPUTED_VALUE"""),2)</f>
        <v>2</v>
      </c>
      <c r="Y354" s="5" t="str">
        <f t="shared" si="2"/>
        <v>Actividad sin realizar</v>
      </c>
      <c r="Z354" s="3">
        <f ca="1">IFERROR(VLOOKUP(U354, 'Base de datos'!A:B, 2, FALSE), "")</f>
        <v>573156712311</v>
      </c>
      <c r="AA354" s="4" t="e">
        <f t="shared" ca="1" si="3"/>
        <v>#NAME?</v>
      </c>
    </row>
    <row r="355" spans="1:27" ht="15.75" customHeight="1">
      <c r="A355" s="5" t="str">
        <f ca="1">IFERROR(__xludf.DUMMYFUNCTION("""COMPUTED_VALUE"""),"POSTOBÓN YUMBO")</f>
        <v>POSTOBÓN YUMBO</v>
      </c>
      <c r="B355" s="5" t="str">
        <f ca="1">IFERROR(__xludf.DUMMYFUNCTION("""COMPUTED_VALUE"""),"0410-EQUIPOS AUXILIARES")</f>
        <v>0410-EQUIPOS AUXILIARES</v>
      </c>
      <c r="C355" s="5" t="str">
        <f ca="1">IFERROR(__xludf.DUMMYFUNCTION("""COMPUTED_VALUE"""),"EQUIPOS PARA SERVICIOS INDUSTRIALES")</f>
        <v>EQUIPOS PARA SERVICIOS INDUSTRIALES</v>
      </c>
      <c r="D355" s="5">
        <f ca="1">IFERROR(__xludf.DUMMYFUNCTION("""COMPUTED_VALUE"""),628883)</f>
        <v>628883</v>
      </c>
      <c r="E355" s="5" t="str">
        <f ca="1">IFERROR(__xludf.DUMMYFUNCTION("""COMPUTED_VALUE"""),"COMPRESOR DE REFRIGERACION 1")</f>
        <v>COMPRESOR DE REFRIGERACION 1</v>
      </c>
      <c r="F355" s="5">
        <f ca="1">IFERROR(__xludf.DUMMYFUNCTION("""COMPUTED_VALUE"""),25391)</f>
        <v>25391</v>
      </c>
      <c r="G355" s="5" t="str">
        <f ca="1">IFERROR(__xludf.DUMMYFUNCTION("""COMPUTED_VALUE"""),"PLAN MTTO LUB COMPRESOR REFRIGER 1 L10")</f>
        <v>PLAN MTTO LUB COMPRESOR REFRIGER 1 L10</v>
      </c>
      <c r="H355" s="5">
        <f ca="1">IFERROR(__xludf.DUMMYFUNCTION("""COMPUTED_VALUE"""),13232397)</f>
        <v>13232397</v>
      </c>
      <c r="I355" s="5" t="str">
        <f ca="1">IFERROR(__xludf.DUMMYFUNCTION("""COMPUTED_VALUE"""),"Lubricación rodamiento motor")</f>
        <v>Lubricación rodamiento motor</v>
      </c>
      <c r="J355" s="5" t="str">
        <f ca="1">IFERROR(__xludf.DUMMYFUNCTION("""COMPUTED_VALUE"""),"MEDIO")</f>
        <v>MEDIO</v>
      </c>
      <c r="K355" s="5" t="str">
        <f ca="1">IFERROR(__xludf.DUMMYFUNCTION("""COMPUTED_VALUE"""),"Preventivo")</f>
        <v>Preventivo</v>
      </c>
      <c r="L355" s="5" t="str">
        <f ca="1">IFERROR(__xludf.DUMMYFUNCTION("""COMPUTED_VALUE"""),"Maquinaria")</f>
        <v>Maquinaria</v>
      </c>
      <c r="M355" s="5" t="str">
        <f ca="1">IFERROR(__xludf.DUMMYFUNCTION("""COMPUTED_VALUE"""),"No")</f>
        <v>No</v>
      </c>
      <c r="N355" s="5"/>
      <c r="O355" s="5"/>
      <c r="P355" s="18">
        <f ca="1">IFERROR(__xludf.DUMMYFUNCTION("""COMPUTED_VALUE"""),45326)</f>
        <v>45326</v>
      </c>
      <c r="Q355" s="18">
        <f ca="1">IFERROR(__xludf.DUMMYFUNCTION("""COMPUTED_VALUE"""),45326)</f>
        <v>45326</v>
      </c>
      <c r="R355" s="18"/>
      <c r="S355" s="5">
        <f ca="1">IFERROR(__xludf.DUMMYFUNCTION("""COMPUTED_VALUE"""),0.5)</f>
        <v>0.5</v>
      </c>
      <c r="T355" s="5"/>
      <c r="U355" s="5" t="str">
        <f ca="1">IFERROR(__xludf.DUMMYFUNCTION("""COMPUTED_VALUE"""),"CALDERON CORTES JULIAN DAVID")</f>
        <v>CALDERON CORTES JULIAN DAVID</v>
      </c>
      <c r="V355" s="5"/>
      <c r="W355" s="5" t="str">
        <f ca="1">IFERROR(__xludf.DUMMYFUNCTION("""COMPUTED_VALUE"""),"bK2ktKIElOg")</f>
        <v>bK2ktKIElOg</v>
      </c>
      <c r="X355" s="5">
        <f ca="1">IFERROR(__xludf.DUMMYFUNCTION("""COMPUTED_VALUE"""),0.5)</f>
        <v>0.5</v>
      </c>
      <c r="Y355" s="5" t="str">
        <f t="shared" si="2"/>
        <v>Actividad sin realizar</v>
      </c>
      <c r="Z355" s="3">
        <f ca="1">IFERROR(VLOOKUP(U355, 'Base de datos'!A:B, 2, FALSE), "")</f>
        <v>573106062699</v>
      </c>
      <c r="AA355" s="4" t="e">
        <f t="shared" ca="1" si="3"/>
        <v>#NAME?</v>
      </c>
    </row>
    <row r="356" spans="1:27" ht="15.75" customHeight="1">
      <c r="A356" s="5" t="str">
        <f ca="1">IFERROR(__xludf.DUMMYFUNCTION("""COMPUTED_VALUE"""),"POSTOBÓN YUMBO")</f>
        <v>POSTOBÓN YUMBO</v>
      </c>
      <c r="B356" s="5" t="str">
        <f ca="1">IFERROR(__xludf.DUMMYFUNCTION("""COMPUTED_VALUE"""),"0410-EQUIPOS AUXILIARES JUGOS")</f>
        <v>0410-EQUIPOS AUXILIARES JUGOS</v>
      </c>
      <c r="C356" s="5" t="str">
        <f ca="1">IFERROR(__xludf.DUMMYFUNCTION("""COMPUTED_VALUE"""),"EQUIPOS PARA SERVICIOS INDUSTRIALES JUGO")</f>
        <v>EQUIPOS PARA SERVICIOS INDUSTRIALES JUGO</v>
      </c>
      <c r="D356" s="5">
        <f ca="1">IFERROR(__xludf.DUMMYFUNCTION("""COMPUTED_VALUE"""),829059)</f>
        <v>829059</v>
      </c>
      <c r="E356" s="5" t="str">
        <f ca="1">IFERROR(__xludf.DUMMYFUNCTION("""COMPUTED_VALUE"""),"COMPRESOR DE REFRIGERACION No. 2 JUGOS")</f>
        <v>COMPRESOR DE REFRIGERACION No. 2 JUGOS</v>
      </c>
      <c r="F356" s="5">
        <f ca="1">IFERROR(__xludf.DUMMYFUNCTION("""COMPUTED_VALUE"""),21705)</f>
        <v>21705</v>
      </c>
      <c r="G356" s="5" t="str">
        <f ca="1">IFERROR(__xludf.DUMMYFUNCTION("""COMPUTED_VALUE"""),"PLAN MTTO ELE COMPRESOR REFRIG Nº2 JUGOS")</f>
        <v>PLAN MTTO ELE COMPRESOR REFRIG Nº2 JUGOS</v>
      </c>
      <c r="H356" s="5">
        <f ca="1">IFERROR(__xludf.DUMMYFUNCTION("""COMPUTED_VALUE"""),13247187)</f>
        <v>13247187</v>
      </c>
      <c r="I356" s="5" t="str">
        <f ca="1">IFERROR(__xludf.DUMMYFUNCTION("""COMPUTED_VALUE"""),"TABLERO ELECTRICO Y CONTROL")</f>
        <v>TABLERO ELECTRICO Y CONTROL</v>
      </c>
      <c r="J356" s="5" t="str">
        <f ca="1">IFERROR(__xludf.DUMMYFUNCTION("""COMPUTED_VALUE"""),"MEDIO")</f>
        <v>MEDIO</v>
      </c>
      <c r="K356" s="5" t="str">
        <f ca="1">IFERROR(__xludf.DUMMYFUNCTION("""COMPUTED_VALUE"""),"Preventivo")</f>
        <v>Preventivo</v>
      </c>
      <c r="L356" s="5" t="str">
        <f ca="1">IFERROR(__xludf.DUMMYFUNCTION("""COMPUTED_VALUE"""),"Maquinaria")</f>
        <v>Maquinaria</v>
      </c>
      <c r="M356" s="5" t="str">
        <f ca="1">IFERROR(__xludf.DUMMYFUNCTION("""COMPUTED_VALUE"""),"No")</f>
        <v>No</v>
      </c>
      <c r="N356" s="5"/>
      <c r="O356" s="5"/>
      <c r="P356" s="18">
        <f ca="1">IFERROR(__xludf.DUMMYFUNCTION("""COMPUTED_VALUE"""),45348)</f>
        <v>45348</v>
      </c>
      <c r="Q356" s="18">
        <f ca="1">IFERROR(__xludf.DUMMYFUNCTION("""COMPUTED_VALUE"""),45348)</f>
        <v>45348</v>
      </c>
      <c r="R356" s="18"/>
      <c r="S356" s="5">
        <f ca="1">IFERROR(__xludf.DUMMYFUNCTION("""COMPUTED_VALUE"""),2)</f>
        <v>2</v>
      </c>
      <c r="T356" s="5"/>
      <c r="U356" s="5" t="str">
        <f ca="1">IFERROR(__xludf.DUMMYFUNCTION("""COMPUTED_VALUE"""),"Lopez Raul")</f>
        <v>Lopez Raul</v>
      </c>
      <c r="V356" s="5"/>
      <c r="W356" s="5" t="str">
        <f ca="1">IFERROR(__xludf.DUMMYFUNCTION("""COMPUTED_VALUE"""),"K7XihA7AqTc")</f>
        <v>K7XihA7AqTc</v>
      </c>
      <c r="X356" s="5">
        <f ca="1">IFERROR(__xludf.DUMMYFUNCTION("""COMPUTED_VALUE"""),2)</f>
        <v>2</v>
      </c>
      <c r="Y356" s="5" t="str">
        <f t="shared" si="2"/>
        <v>Actividad sin realizar</v>
      </c>
      <c r="Z356" s="3">
        <f ca="1">IFERROR(VLOOKUP(U356, 'Base de datos'!A:B, 2, FALSE), "")</f>
        <v>573122172129</v>
      </c>
      <c r="AA356" s="4" t="e">
        <f t="shared" ca="1" si="3"/>
        <v>#NAME?</v>
      </c>
    </row>
    <row r="357" spans="1:27" ht="15.75" customHeight="1">
      <c r="A357" s="5" t="str">
        <f ca="1">IFERROR(__xludf.DUMMYFUNCTION("""COMPUTED_VALUE"""),"POSTOBÓN YUMBO")</f>
        <v>POSTOBÓN YUMBO</v>
      </c>
      <c r="B357" s="5" t="str">
        <f ca="1">IFERROR(__xludf.DUMMYFUNCTION("""COMPUTED_VALUE"""),"0410-SALA DE JARABE TERMINADO")</f>
        <v>0410-SALA DE JARABE TERMINADO</v>
      </c>
      <c r="C357" s="5" t="str">
        <f ca="1">IFERROR(__xludf.DUMMYFUNCTION("""COMPUTED_VALUE"""),"EQUIPOS PARA PREPARACION DE JARABE")</f>
        <v>EQUIPOS PARA PREPARACION DE JARABE</v>
      </c>
      <c r="D357" s="5">
        <f ca="1">IFERROR(__xludf.DUMMYFUNCTION("""COMPUTED_VALUE"""),69963405)</f>
        <v>69963405</v>
      </c>
      <c r="E357" s="5" t="str">
        <f ca="1">IFERROR(__xludf.DUMMYFUNCTION("""COMPUTED_VALUE"""),"TANQUE DE JARABE")</f>
        <v>TANQUE DE JARABE</v>
      </c>
      <c r="F357" s="5">
        <f ca="1">IFERROR(__xludf.DUMMYFUNCTION("""COMPUTED_VALUE"""),17361)</f>
        <v>17361</v>
      </c>
      <c r="G357" s="5" t="str">
        <f ca="1">IFERROR(__xludf.DUMMYFUNCTION("""COMPUTED_VALUE"""),"MTTO MEC TK JARABE 2 JARABE TERMINADO")</f>
        <v>MTTO MEC TK JARABE 2 JARABE TERMINADO</v>
      </c>
      <c r="H357" s="5">
        <f ca="1">IFERROR(__xludf.DUMMYFUNCTION("""COMPUTED_VALUE"""),13247150)</f>
        <v>13247150</v>
      </c>
      <c r="I357" s="5" t="str">
        <f ca="1">IFERROR(__xludf.DUMMYFUNCTION("""COMPUTED_VALUE"""),"Sistema neumatico: revision fugas y esta")</f>
        <v>Sistema neumatico: revision fugas y esta</v>
      </c>
      <c r="J357" s="5" t="str">
        <f ca="1">IFERROR(__xludf.DUMMYFUNCTION("""COMPUTED_VALUE"""),"ALTO")</f>
        <v>ALTO</v>
      </c>
      <c r="K357" s="5" t="str">
        <f ca="1">IFERROR(__xludf.DUMMYFUNCTION("""COMPUTED_VALUE"""),"Preventivo")</f>
        <v>Preventivo</v>
      </c>
      <c r="L357" s="5" t="str">
        <f ca="1">IFERROR(__xludf.DUMMYFUNCTION("""COMPUTED_VALUE"""),"Maquinaria")</f>
        <v>Maquinaria</v>
      </c>
      <c r="M357" s="5" t="str">
        <f ca="1">IFERROR(__xludf.DUMMYFUNCTION("""COMPUTED_VALUE"""),"No")</f>
        <v>No</v>
      </c>
      <c r="N357" s="5"/>
      <c r="O357" s="5">
        <f ca="1">IFERROR(__xludf.DUMMYFUNCTION("""COMPUTED_VALUE"""),100)</f>
        <v>100</v>
      </c>
      <c r="P357" s="18">
        <f ca="1">IFERROR(__xludf.DUMMYFUNCTION("""COMPUTED_VALUE"""),45342)</f>
        <v>45342</v>
      </c>
      <c r="Q357" s="18">
        <f ca="1">IFERROR(__xludf.DUMMYFUNCTION("""COMPUTED_VALUE"""),45342)</f>
        <v>45342</v>
      </c>
      <c r="R357" s="18"/>
      <c r="S357" s="5">
        <f ca="1">IFERROR(__xludf.DUMMYFUNCTION("""COMPUTED_VALUE"""),1)</f>
        <v>1</v>
      </c>
      <c r="T357" s="5"/>
      <c r="U357" s="5" t="str">
        <f ca="1">IFERROR(__xludf.DUMMYFUNCTION("""COMPUTED_VALUE"""),"Moreno Pernia Bladimir")</f>
        <v>Moreno Pernia Bladimir</v>
      </c>
      <c r="V357" s="5"/>
      <c r="W357" s="5" t="str">
        <f ca="1">IFERROR(__xludf.DUMMYFUNCTION("""COMPUTED_VALUE"""),"vI00ZDzxzIo")</f>
        <v>vI00ZDzxzIo</v>
      </c>
      <c r="X357" s="5">
        <f ca="1">IFERROR(__xludf.DUMMYFUNCTION("""COMPUTED_VALUE"""),1)</f>
        <v>1</v>
      </c>
      <c r="Y357" s="5" t="str">
        <f t="shared" ca="1" si="2"/>
        <v>Actividad realizada</v>
      </c>
      <c r="Z357" s="3">
        <f ca="1">IFERROR(VLOOKUP(U357, 'Base de datos'!A:B, 2, FALSE), "")</f>
        <v>573148903137</v>
      </c>
      <c r="AA357" s="4" t="e">
        <f t="shared" ca="1" si="3"/>
        <v>#NAME?</v>
      </c>
    </row>
    <row r="358" spans="1:27" ht="15.75" customHeight="1">
      <c r="A358" s="5" t="str">
        <f ca="1">IFERROR(__xludf.DUMMYFUNCTION("""COMPUTED_VALUE"""),"POSTOBÓN YUMBO")</f>
        <v>POSTOBÓN YUMBO</v>
      </c>
      <c r="B358" s="5" t="str">
        <f ca="1">IFERROR(__xludf.DUMMYFUNCTION("""COMPUTED_VALUE"""),"0410-PLANTA DE AGUA ENVASADO")</f>
        <v>0410-PLANTA DE AGUA ENVASADO</v>
      </c>
      <c r="C358" s="5" t="str">
        <f ca="1">IFERROR(__xludf.DUMMYFUNCTION("""COMPUTED_VALUE"""),"TRATAMIENTO DE AGUA PARA ENVASADO")</f>
        <v>TRATAMIENTO DE AGUA PARA ENVASADO</v>
      </c>
      <c r="D358" s="5">
        <f ca="1">IFERROR(__xludf.DUMMYFUNCTION("""COMPUTED_VALUE"""),70965316)</f>
        <v>70965316</v>
      </c>
      <c r="E358" s="5" t="str">
        <f ca="1">IFERROR(__xludf.DUMMYFUNCTION("""COMPUTED_VALUE"""),"FILTRO PURIFICA (CARBON) 8 - TRAT PRIM")</f>
        <v>FILTRO PURIFICA (CARBON) 8 - TRAT PRIM</v>
      </c>
      <c r="F358" s="5">
        <f ca="1">IFERROR(__xludf.DUMMYFUNCTION("""COMPUTED_VALUE"""),32900)</f>
        <v>32900</v>
      </c>
      <c r="G358" s="5" t="str">
        <f ca="1">IFERROR(__xludf.DUMMYFUNCTION("""COMPUTED_VALUE"""),"PLAN MTTO MEC FILTRO PURIFICA (CARBON) 8")</f>
        <v>PLAN MTTO MEC FILTRO PURIFICA (CARBON) 8</v>
      </c>
      <c r="H358" s="5">
        <f ca="1">IFERROR(__xludf.DUMMYFUNCTION("""COMPUTED_VALUE"""),13207500)</f>
        <v>13207500</v>
      </c>
      <c r="I358" s="5" t="str">
        <f ca="1">IFERROR(__xludf.DUMMYFUNCTION("""COMPUTED_VALUE"""),"VALVULA REGULADORA NEUMATICA: REVISAR")</f>
        <v>VALVULA REGULADORA NEUMATICA: REVISAR</v>
      </c>
      <c r="J358" s="5" t="str">
        <f ca="1">IFERROR(__xludf.DUMMYFUNCTION("""COMPUTED_VALUE"""),"ALTO")</f>
        <v>ALTO</v>
      </c>
      <c r="K358" s="5" t="str">
        <f ca="1">IFERROR(__xludf.DUMMYFUNCTION("""COMPUTED_VALUE"""),"Preventivo")</f>
        <v>Preventivo</v>
      </c>
      <c r="L358" s="5" t="str">
        <f ca="1">IFERROR(__xludf.DUMMYFUNCTION("""COMPUTED_VALUE"""),"Maquinaria")</f>
        <v>Maquinaria</v>
      </c>
      <c r="M358" s="5" t="str">
        <f ca="1">IFERROR(__xludf.DUMMYFUNCTION("""COMPUTED_VALUE"""),"No")</f>
        <v>No</v>
      </c>
      <c r="N358" s="5"/>
      <c r="O358" s="5"/>
      <c r="P358" s="18">
        <f ca="1">IFERROR(__xludf.DUMMYFUNCTION("""COMPUTED_VALUE"""),45344)</f>
        <v>45344</v>
      </c>
      <c r="Q358" s="18">
        <f ca="1">IFERROR(__xludf.DUMMYFUNCTION("""COMPUTED_VALUE"""),45344)</f>
        <v>45344</v>
      </c>
      <c r="R358" s="18"/>
      <c r="S358" s="5">
        <f ca="1">IFERROR(__xludf.DUMMYFUNCTION("""COMPUTED_VALUE"""),0.5)</f>
        <v>0.5</v>
      </c>
      <c r="T358" s="5"/>
      <c r="U358" s="5" t="str">
        <f ca="1">IFERROR(__xludf.DUMMYFUNCTION("""COMPUTED_VALUE"""),"Guzman Palechor Miguel Angel")</f>
        <v>Guzman Palechor Miguel Angel</v>
      </c>
      <c r="V358" s="5"/>
      <c r="W358" s="5" t="str">
        <f ca="1">IFERROR(__xludf.DUMMYFUNCTION("""COMPUTED_VALUE"""),"wVm86H6d8do")</f>
        <v>wVm86H6d8do</v>
      </c>
      <c r="X358" s="5">
        <f ca="1">IFERROR(__xludf.DUMMYFUNCTION("""COMPUTED_VALUE"""),0.5)</f>
        <v>0.5</v>
      </c>
      <c r="Y358" s="5" t="str">
        <f t="shared" si="2"/>
        <v>Actividad sin realizar</v>
      </c>
      <c r="Z358" s="3">
        <f ca="1">IFERROR(VLOOKUP(U358, 'Base de datos'!A:B, 2, FALSE), "")</f>
        <v>573112422176</v>
      </c>
      <c r="AA358" s="4" t="e">
        <f t="shared" ca="1" si="3"/>
        <v>#NAME?</v>
      </c>
    </row>
    <row r="359" spans="1:27" ht="15.75" customHeight="1">
      <c r="A359" s="5" t="str">
        <f ca="1">IFERROR(__xludf.DUMMYFUNCTION("""COMPUTED_VALUE"""),"POSTOBÓN YUMBO")</f>
        <v>POSTOBÓN YUMBO</v>
      </c>
      <c r="B359" s="5" t="str">
        <f ca="1">IFERROR(__xludf.DUMMYFUNCTION("""COMPUTED_VALUE"""),"0410-LINEA DE BOLSAS")</f>
        <v>0410-LINEA DE BOLSAS</v>
      </c>
      <c r="C359" s="5" t="str">
        <f ca="1">IFERROR(__xludf.DUMMYFUNCTION("""COMPUTED_VALUE"""),"LINEA PARA EL LLENADO DE BOLSAS")</f>
        <v>LINEA PARA EL LLENADO DE BOLSAS</v>
      </c>
      <c r="D359" s="5">
        <f ca="1">IFERROR(__xludf.DUMMYFUNCTION("""COMPUTED_VALUE"""),560026)</f>
        <v>560026</v>
      </c>
      <c r="E359" s="5" t="str">
        <f ca="1">IFERROR(__xludf.DUMMYFUNCTION("""COMPUTED_VALUE"""),"LAVADORA DE CAJAS PLASTICAS")</f>
        <v>LAVADORA DE CAJAS PLASTICAS</v>
      </c>
      <c r="F359" s="5">
        <f ca="1">IFERROR(__xludf.DUMMYFUNCTION("""COMPUTED_VALUE"""),22713)</f>
        <v>22713</v>
      </c>
      <c r="G359" s="5" t="str">
        <f ca="1">IFERROR(__xludf.DUMMYFUNCTION("""COMPUTED_VALUE"""),"PLAN MTTO LUB LAVADORA CAJAS BOLS 560026")</f>
        <v>PLAN MTTO LUB LAVADORA CAJAS BOLS 560026</v>
      </c>
      <c r="H359" s="5">
        <f ca="1">IFERROR(__xludf.DUMMYFUNCTION("""COMPUTED_VALUE"""),13193565)</f>
        <v>13193565</v>
      </c>
      <c r="I359" s="5" t="str">
        <f ca="1">IFERROR(__xludf.DUMMYFUNCTION("""COMPUTED_VALUE"""),"Cambio de aceite reductores")</f>
        <v>Cambio de aceite reductores</v>
      </c>
      <c r="J359" s="5" t="str">
        <f ca="1">IFERROR(__xludf.DUMMYFUNCTION("""COMPUTED_VALUE"""),"MEDIO")</f>
        <v>MEDIO</v>
      </c>
      <c r="K359" s="5" t="str">
        <f ca="1">IFERROR(__xludf.DUMMYFUNCTION("""COMPUTED_VALUE"""),"Preventivo")</f>
        <v>Preventivo</v>
      </c>
      <c r="L359" s="5" t="str">
        <f ca="1">IFERROR(__xludf.DUMMYFUNCTION("""COMPUTED_VALUE"""),"Maquinaria")</f>
        <v>Maquinaria</v>
      </c>
      <c r="M359" s="5" t="str">
        <f ca="1">IFERROR(__xludf.DUMMYFUNCTION("""COMPUTED_VALUE"""),"No")</f>
        <v>No</v>
      </c>
      <c r="N359" s="5"/>
      <c r="O359" s="5"/>
      <c r="P359" s="18">
        <f ca="1">IFERROR(__xludf.DUMMYFUNCTION("""COMPUTED_VALUE"""),45334)</f>
        <v>45334</v>
      </c>
      <c r="Q359" s="18">
        <f ca="1">IFERROR(__xludf.DUMMYFUNCTION("""COMPUTED_VALUE"""),45334)</f>
        <v>45334</v>
      </c>
      <c r="R359" s="18"/>
      <c r="S359" s="5">
        <f ca="1">IFERROR(__xludf.DUMMYFUNCTION("""COMPUTED_VALUE"""),2)</f>
        <v>2</v>
      </c>
      <c r="T359" s="5"/>
      <c r="U359" s="5" t="str">
        <f ca="1">IFERROR(__xludf.DUMMYFUNCTION("""COMPUTED_VALUE"""),"ESTEBAN POTOSI ISAZA")</f>
        <v>ESTEBAN POTOSI ISAZA</v>
      </c>
      <c r="V359" s="5"/>
      <c r="W359" s="5" t="str">
        <f ca="1">IFERROR(__xludf.DUMMYFUNCTION("""COMPUTED_VALUE"""),"10eHvdSLlWc")</f>
        <v>10eHvdSLlWc</v>
      </c>
      <c r="X359" s="5">
        <f ca="1">IFERROR(__xludf.DUMMYFUNCTION("""COMPUTED_VALUE"""),2)</f>
        <v>2</v>
      </c>
      <c r="Y359" s="5" t="str">
        <f t="shared" si="2"/>
        <v>Actividad sin realizar</v>
      </c>
      <c r="Z359" s="3">
        <f ca="1">IFERROR(VLOOKUP(U359, 'Base de datos'!A:B, 2, FALSE), "")</f>
        <v>573128543241</v>
      </c>
      <c r="AA359" s="4" t="e">
        <f t="shared" ca="1" si="3"/>
        <v>#NAME?</v>
      </c>
    </row>
    <row r="360" spans="1:27" ht="15.75" customHeight="1">
      <c r="A360" s="5" t="str">
        <f ca="1">IFERROR(__xludf.DUMMYFUNCTION("""COMPUTED_VALUE"""),"POSTOBÓN YUMBO")</f>
        <v>POSTOBÓN YUMBO</v>
      </c>
      <c r="B360" s="5" t="str">
        <f ca="1">IFERROR(__xludf.DUMMYFUNCTION("""COMPUTED_VALUE"""),"0410-PLANTA DE AGUA ENVASADO")</f>
        <v>0410-PLANTA DE AGUA ENVASADO</v>
      </c>
      <c r="C360" s="5" t="str">
        <f ca="1">IFERROR(__xludf.DUMMYFUNCTION("""COMPUTED_VALUE"""),"TRATAMIENTO DE AGUA PARA ENVASADO")</f>
        <v>TRATAMIENTO DE AGUA PARA ENVASADO</v>
      </c>
      <c r="D360" s="5">
        <f ca="1">IFERROR(__xludf.DUMMYFUNCTION("""COMPUTED_VALUE"""),829708)</f>
        <v>829708</v>
      </c>
      <c r="E360" s="5" t="str">
        <f ca="1">IFERROR(__xludf.DUMMYFUNCTION("""COMPUTED_VALUE"""),"TOLVA DOSIFIC POLIMEROS - TRAT PRIM")</f>
        <v>TOLVA DOSIFIC POLIMEROS - TRAT PRIM</v>
      </c>
      <c r="F360" s="5">
        <f ca="1">IFERROR(__xludf.DUMMYFUNCTION("""COMPUTED_VALUE"""),31347)</f>
        <v>31347</v>
      </c>
      <c r="G360" s="5" t="str">
        <f ca="1">IFERROR(__xludf.DUMMYFUNCTION("""COMPUTED_VALUE"""),"PLAN MTTO MEC TOLVA DOSIFIC POLIMEROS -")</f>
        <v>PLAN MTTO MEC TOLVA DOSIFIC POLIMEROS -</v>
      </c>
      <c r="H360" s="5">
        <f ca="1">IFERROR(__xludf.DUMMYFUNCTION("""COMPUTED_VALUE"""),13247254)</f>
        <v>13247254</v>
      </c>
      <c r="I360" s="5" t="str">
        <f ca="1">IFERROR(__xludf.DUMMYFUNCTION("""COMPUTED_VALUE"""),"VERIFICAR ESTADO VALVULAS")</f>
        <v>VERIFICAR ESTADO VALVULAS</v>
      </c>
      <c r="J360" s="5" t="str">
        <f ca="1">IFERROR(__xludf.DUMMYFUNCTION("""COMPUTED_VALUE"""),"ALTO")</f>
        <v>ALTO</v>
      </c>
      <c r="K360" s="5" t="str">
        <f ca="1">IFERROR(__xludf.DUMMYFUNCTION("""COMPUTED_VALUE"""),"Preventivo")</f>
        <v>Preventivo</v>
      </c>
      <c r="L360" s="5" t="str">
        <f ca="1">IFERROR(__xludf.DUMMYFUNCTION("""COMPUTED_VALUE"""),"Maquinaria")</f>
        <v>Maquinaria</v>
      </c>
      <c r="M360" s="5" t="str">
        <f ca="1">IFERROR(__xludf.DUMMYFUNCTION("""COMPUTED_VALUE"""),"No")</f>
        <v>No</v>
      </c>
      <c r="N360" s="5"/>
      <c r="O360" s="5"/>
      <c r="P360" s="18">
        <f ca="1">IFERROR(__xludf.DUMMYFUNCTION("""COMPUTED_VALUE"""),45344)</f>
        <v>45344</v>
      </c>
      <c r="Q360" s="18">
        <f ca="1">IFERROR(__xludf.DUMMYFUNCTION("""COMPUTED_VALUE"""),45344)</f>
        <v>45344</v>
      </c>
      <c r="R360" s="18"/>
      <c r="S360" s="5">
        <f ca="1">IFERROR(__xludf.DUMMYFUNCTION("""COMPUTED_VALUE"""),0.5)</f>
        <v>0.5</v>
      </c>
      <c r="T360" s="5"/>
      <c r="U360" s="5" t="str">
        <f ca="1">IFERROR(__xludf.DUMMYFUNCTION("""COMPUTED_VALUE"""),"PAPAMIJA GUIDO")</f>
        <v>PAPAMIJA GUIDO</v>
      </c>
      <c r="V360" s="5"/>
      <c r="W360" s="5" t="str">
        <f ca="1">IFERROR(__xludf.DUMMYFUNCTION("""COMPUTED_VALUE"""),"MZnUAMCWEqU")</f>
        <v>MZnUAMCWEqU</v>
      </c>
      <c r="X360" s="5">
        <f ca="1">IFERROR(__xludf.DUMMYFUNCTION("""COMPUTED_VALUE"""),0.5)</f>
        <v>0.5</v>
      </c>
      <c r="Y360" s="5" t="str">
        <f t="shared" si="2"/>
        <v>Actividad sin realizar</v>
      </c>
      <c r="Z360" s="3">
        <f ca="1">IFERROR(VLOOKUP(U360, 'Base de datos'!A:B, 2, FALSE), "")</f>
        <v>573156712311</v>
      </c>
      <c r="AA360" s="4" t="e">
        <f t="shared" ca="1" si="3"/>
        <v>#NAME?</v>
      </c>
    </row>
    <row r="361" spans="1:27" ht="15.75" customHeight="1">
      <c r="A361" s="5" t="str">
        <f ca="1">IFERROR(__xludf.DUMMYFUNCTION("""COMPUTED_VALUE"""),"POSTOBÓN YUMBO")</f>
        <v>POSTOBÓN YUMBO</v>
      </c>
      <c r="B361" s="5" t="str">
        <f ca="1">IFERROR(__xludf.DUMMYFUNCTION("""COMPUTED_VALUE"""),"0410-PLANTA DE AGUA ENVASADO")</f>
        <v>0410-PLANTA DE AGUA ENVASADO</v>
      </c>
      <c r="C361" s="5" t="str">
        <f ca="1">IFERROR(__xludf.DUMMYFUNCTION("""COMPUTED_VALUE"""),"TRATAMIENTO DE AGUA PARA ENVASADO")</f>
        <v>TRATAMIENTO DE AGUA PARA ENVASADO</v>
      </c>
      <c r="D361" s="5">
        <f ca="1">IFERROR(__xludf.DUMMYFUNCTION("""COMPUTED_VALUE"""),70965317)</f>
        <v>70965317</v>
      </c>
      <c r="E361" s="5" t="str">
        <f ca="1">IFERROR(__xludf.DUMMYFUNCTION("""COMPUTED_VALUE"""),"FILTRO PURIFICA (CARBON) 9 - TRAT PRIM")</f>
        <v>FILTRO PURIFICA (CARBON) 9 - TRAT PRIM</v>
      </c>
      <c r="F361" s="5">
        <f ca="1">IFERROR(__xludf.DUMMYFUNCTION("""COMPUTED_VALUE"""),32901)</f>
        <v>32901</v>
      </c>
      <c r="G361" s="5" t="str">
        <f ca="1">IFERROR(__xludf.DUMMYFUNCTION("""COMPUTED_VALUE"""),"PLAN MTTO MEC FILTRO PURIFICA (CARBON) 9")</f>
        <v>PLAN MTTO MEC FILTRO PURIFICA (CARBON) 9</v>
      </c>
      <c r="H361" s="5">
        <f ca="1">IFERROR(__xludf.DUMMYFUNCTION("""COMPUTED_VALUE"""),13207501)</f>
        <v>13207501</v>
      </c>
      <c r="I361" s="5" t="str">
        <f ca="1">IFERROR(__xludf.DUMMYFUNCTION("""COMPUTED_VALUE"""),"REVISION FUGAS FILTRO CARBON: SE DEBE")</f>
        <v>REVISION FUGAS FILTRO CARBON: SE DEBE</v>
      </c>
      <c r="J361" s="5" t="str">
        <f ca="1">IFERROR(__xludf.DUMMYFUNCTION("""COMPUTED_VALUE"""),"ALTO")</f>
        <v>ALTO</v>
      </c>
      <c r="K361" s="5" t="str">
        <f ca="1">IFERROR(__xludf.DUMMYFUNCTION("""COMPUTED_VALUE"""),"Preventivo")</f>
        <v>Preventivo</v>
      </c>
      <c r="L361" s="5" t="str">
        <f ca="1">IFERROR(__xludf.DUMMYFUNCTION("""COMPUTED_VALUE"""),"Maquinaria")</f>
        <v>Maquinaria</v>
      </c>
      <c r="M361" s="5" t="str">
        <f ca="1">IFERROR(__xludf.DUMMYFUNCTION("""COMPUTED_VALUE"""),"No")</f>
        <v>No</v>
      </c>
      <c r="N361" s="5"/>
      <c r="O361" s="5"/>
      <c r="P361" s="18">
        <f ca="1">IFERROR(__xludf.DUMMYFUNCTION("""COMPUTED_VALUE"""),45344)</f>
        <v>45344</v>
      </c>
      <c r="Q361" s="18">
        <f ca="1">IFERROR(__xludf.DUMMYFUNCTION("""COMPUTED_VALUE"""),45344)</f>
        <v>45344</v>
      </c>
      <c r="R361" s="18"/>
      <c r="S361" s="5">
        <f ca="1">IFERROR(__xludf.DUMMYFUNCTION("""COMPUTED_VALUE"""),0.5)</f>
        <v>0.5</v>
      </c>
      <c r="T361" s="5"/>
      <c r="U361" s="5" t="str">
        <f ca="1">IFERROR(__xludf.DUMMYFUNCTION("""COMPUTED_VALUE"""),"Guzman Palechor Miguel Angel")</f>
        <v>Guzman Palechor Miguel Angel</v>
      </c>
      <c r="V361" s="5"/>
      <c r="W361" s="5" t="str">
        <f ca="1">IFERROR(__xludf.DUMMYFUNCTION("""COMPUTED_VALUE"""),"OIbQww79y5g")</f>
        <v>OIbQww79y5g</v>
      </c>
      <c r="X361" s="5">
        <f ca="1">IFERROR(__xludf.DUMMYFUNCTION("""COMPUTED_VALUE"""),0.5)</f>
        <v>0.5</v>
      </c>
      <c r="Y361" s="5" t="str">
        <f t="shared" si="2"/>
        <v>Actividad sin realizar</v>
      </c>
      <c r="Z361" s="3">
        <f ca="1">IFERROR(VLOOKUP(U361, 'Base de datos'!A:B, 2, FALSE), "")</f>
        <v>573112422176</v>
      </c>
      <c r="AA361" s="4" t="e">
        <f t="shared" ca="1" si="3"/>
        <v>#NAME?</v>
      </c>
    </row>
    <row r="362" spans="1:27" ht="15.75" customHeight="1">
      <c r="A362" s="5" t="str">
        <f ca="1">IFERROR(__xludf.DUMMYFUNCTION("""COMPUTED_VALUE"""),"POSTOBÓN YUMBO")</f>
        <v>POSTOBÓN YUMBO</v>
      </c>
      <c r="B362" s="5" t="str">
        <f ca="1">IFERROR(__xludf.DUMMYFUNCTION("""COMPUTED_VALUE"""),"0410-LINEA DE BOLSAS")</f>
        <v>0410-LINEA DE BOLSAS</v>
      </c>
      <c r="C362" s="5" t="str">
        <f ca="1">IFERROR(__xludf.DUMMYFUNCTION("""COMPUTED_VALUE"""),"LINEA PARA EL LLENADO DE BOLSAS")</f>
        <v>LINEA PARA EL LLENADO DE BOLSAS</v>
      </c>
      <c r="D362" s="5">
        <f ca="1">IFERROR(__xludf.DUMMYFUNCTION("""COMPUTED_VALUE"""),71020001)</f>
        <v>71020001</v>
      </c>
      <c r="E362" s="5" t="str">
        <f ca="1">IFERROR(__xludf.DUMMYFUNCTION("""COMPUTED_VALUE"""),"TRANSPORTADORES TABLETOP PARA BOLSAS.")</f>
        <v>TRANSPORTADORES TABLETOP PARA BOLSAS.</v>
      </c>
      <c r="F362" s="5">
        <f ca="1">IFERROR(__xludf.DUMMYFUNCTION("""COMPUTED_VALUE"""),22718)</f>
        <v>22718</v>
      </c>
      <c r="G362" s="5" t="str">
        <f ca="1">IFERROR(__xludf.DUMMYFUNCTION("""COMPUTED_VALUE"""),"PLAN MTTO LUB TABLETOP BOLSAS 71020001")</f>
        <v>PLAN MTTO LUB TABLETOP BOLSAS 71020001</v>
      </c>
      <c r="H362" s="5">
        <f ca="1">IFERROR(__xludf.DUMMYFUNCTION("""COMPUTED_VALUE"""),13193571)</f>
        <v>13193571</v>
      </c>
      <c r="I362" s="5" t="str">
        <f ca="1">IFERROR(__xludf.DUMMYFUNCTION("""COMPUTED_VALUE"""),"Cambio aceite reductores")</f>
        <v>Cambio aceite reductores</v>
      </c>
      <c r="J362" s="5" t="str">
        <f ca="1">IFERROR(__xludf.DUMMYFUNCTION("""COMPUTED_VALUE"""),"MEDIO")</f>
        <v>MEDIO</v>
      </c>
      <c r="K362" s="5" t="str">
        <f ca="1">IFERROR(__xludf.DUMMYFUNCTION("""COMPUTED_VALUE"""),"Preventivo")</f>
        <v>Preventivo</v>
      </c>
      <c r="L362" s="5" t="str">
        <f ca="1">IFERROR(__xludf.DUMMYFUNCTION("""COMPUTED_VALUE"""),"Maquinaria")</f>
        <v>Maquinaria</v>
      </c>
      <c r="M362" s="5" t="str">
        <f ca="1">IFERROR(__xludf.DUMMYFUNCTION("""COMPUTED_VALUE"""),"No")</f>
        <v>No</v>
      </c>
      <c r="N362" s="5"/>
      <c r="O362" s="5"/>
      <c r="P362" s="18">
        <f ca="1">IFERROR(__xludf.DUMMYFUNCTION("""COMPUTED_VALUE"""),45334)</f>
        <v>45334</v>
      </c>
      <c r="Q362" s="18">
        <f ca="1">IFERROR(__xludf.DUMMYFUNCTION("""COMPUTED_VALUE"""),45334)</f>
        <v>45334</v>
      </c>
      <c r="R362" s="18"/>
      <c r="S362" s="5">
        <f ca="1">IFERROR(__xludf.DUMMYFUNCTION("""COMPUTED_VALUE"""),4)</f>
        <v>4</v>
      </c>
      <c r="T362" s="5"/>
      <c r="U362" s="5" t="str">
        <f ca="1">IFERROR(__xludf.DUMMYFUNCTION("""COMPUTED_VALUE"""),"ESTEBAN POTOSI ISAZA")</f>
        <v>ESTEBAN POTOSI ISAZA</v>
      </c>
      <c r="V362" s="5"/>
      <c r="W362" s="5" t="str">
        <f ca="1">IFERROR(__xludf.DUMMYFUNCTION("""COMPUTED_VALUE"""),"f6mxl0xsjzY")</f>
        <v>f6mxl0xsjzY</v>
      </c>
      <c r="X362" s="5">
        <f ca="1">IFERROR(__xludf.DUMMYFUNCTION("""COMPUTED_VALUE"""),4)</f>
        <v>4</v>
      </c>
      <c r="Y362" s="5" t="str">
        <f t="shared" si="2"/>
        <v>Actividad sin realizar</v>
      </c>
      <c r="Z362" s="3">
        <f ca="1">IFERROR(VLOOKUP(U362, 'Base de datos'!A:B, 2, FALSE), "")</f>
        <v>573128543241</v>
      </c>
      <c r="AA362" s="4" t="e">
        <f t="shared" ca="1" si="3"/>
        <v>#NAME?</v>
      </c>
    </row>
    <row r="363" spans="1:27" ht="15.75" customHeight="1">
      <c r="A363" s="5" t="str">
        <f ca="1">IFERROR(__xludf.DUMMYFUNCTION("""COMPUTED_VALUE"""),"POSTOBÓN YUMBO")</f>
        <v>POSTOBÓN YUMBO</v>
      </c>
      <c r="B363" s="5" t="str">
        <f ca="1">IFERROR(__xludf.DUMMYFUNCTION("""COMPUTED_VALUE"""),"0410-LINEA 1")</f>
        <v>0410-LINEA 1</v>
      </c>
      <c r="C363" s="5" t="str">
        <f ca="1">IFERROR(__xludf.DUMMYFUNCTION("""COMPUTED_VALUE"""),"LINEA DE ENVASADO PET NO RETORNABLE")</f>
        <v>LINEA DE ENVASADO PET NO RETORNABLE</v>
      </c>
      <c r="D363" s="5">
        <f ca="1">IFERROR(__xludf.DUMMYFUNCTION("""COMPUTED_VALUE"""),900232)</f>
        <v>900232</v>
      </c>
      <c r="E363" s="5" t="str">
        <f ca="1">IFERROR(__xludf.DUMMYFUNCTION("""COMPUTED_VALUE"""),"PALETIZADORA")</f>
        <v>PALETIZADORA</v>
      </c>
      <c r="F363" s="5">
        <f ca="1">IFERROR(__xludf.DUMMYFUNCTION("""COMPUTED_VALUE"""),0)</f>
        <v>0</v>
      </c>
      <c r="G363" s="5" t="str">
        <f ca="1">IFERROR(__xludf.DUMMYFUNCTION("""COMPUTED_VALUE"""),"MTTO MAYOR PALETIZADORA L1")</f>
        <v>MTTO MAYOR PALETIZADORA L1</v>
      </c>
      <c r="H363" s="5">
        <f ca="1">IFERROR(__xludf.DUMMYFUNCTION("""COMPUTED_VALUE"""),13246536)</f>
        <v>13246536</v>
      </c>
      <c r="I363" s="5" t="str">
        <f ca="1">IFERROR(__xludf.DUMMYFUNCTION("""COMPUTED_VALUE"""),"CAMBIO CARRO DE CARGA PALETIZADORA L1")</f>
        <v>CAMBIO CARRO DE CARGA PALETIZADORA L1</v>
      </c>
      <c r="J363" s="5" t="str">
        <f ca="1">IFERROR(__xludf.DUMMYFUNCTION("""COMPUTED_VALUE"""),"MEDIO")</f>
        <v>MEDIO</v>
      </c>
      <c r="K363" s="5" t="str">
        <f ca="1">IFERROR(__xludf.DUMMYFUNCTION("""COMPUTED_VALUE"""),"Preventivo")</f>
        <v>Preventivo</v>
      </c>
      <c r="L363" s="5" t="str">
        <f ca="1">IFERROR(__xludf.DUMMYFUNCTION("""COMPUTED_VALUE"""),"Maquinaria")</f>
        <v>Maquinaria</v>
      </c>
      <c r="M363" s="5" t="str">
        <f ca="1">IFERROR(__xludf.DUMMYFUNCTION("""COMPUTED_VALUE"""),"No")</f>
        <v>No</v>
      </c>
      <c r="N363" s="5"/>
      <c r="O363" s="5"/>
      <c r="P363" s="18">
        <f ca="1">IFERROR(__xludf.DUMMYFUNCTION("""COMPUTED_VALUE"""),45323)</f>
        <v>45323</v>
      </c>
      <c r="Q363" s="18">
        <f ca="1">IFERROR(__xludf.DUMMYFUNCTION("""COMPUTED_VALUE"""),45323)</f>
        <v>45323</v>
      </c>
      <c r="R363" s="18"/>
      <c r="S363" s="5">
        <f ca="1">IFERROR(__xludf.DUMMYFUNCTION("""COMPUTED_VALUE"""),8)</f>
        <v>8</v>
      </c>
      <c r="T363" s="5"/>
      <c r="U363" s="5" t="str">
        <f ca="1">IFERROR(__xludf.DUMMYFUNCTION("""COMPUTED_VALUE"""),"Astaiza Hernandez John Eyder")</f>
        <v>Astaiza Hernandez John Eyder</v>
      </c>
      <c r="V363" s="5"/>
      <c r="W363" s="5" t="str">
        <f ca="1">IFERROR(__xludf.DUMMYFUNCTION("""COMPUTED_VALUE"""),"lXSrJONGXio")</f>
        <v>lXSrJONGXio</v>
      </c>
      <c r="X363" s="5">
        <f ca="1">IFERROR(__xludf.DUMMYFUNCTION("""COMPUTED_VALUE"""),8)</f>
        <v>8</v>
      </c>
      <c r="Y363" s="5" t="str">
        <f t="shared" si="2"/>
        <v>Actividad sin realizar</v>
      </c>
      <c r="Z363" s="3">
        <f ca="1">IFERROR(VLOOKUP(U363, 'Base de datos'!A:B, 2, FALSE), "")</f>
        <v>573016653684</v>
      </c>
      <c r="AA363" s="4" t="e">
        <f t="shared" ca="1" si="3"/>
        <v>#NAME?</v>
      </c>
    </row>
    <row r="364" spans="1:27" ht="15.75" customHeight="1">
      <c r="A364" s="5" t="str">
        <f ca="1">IFERROR(__xludf.DUMMYFUNCTION("""COMPUTED_VALUE"""),"POSTOBÓN YUMBO")</f>
        <v>POSTOBÓN YUMBO</v>
      </c>
      <c r="B364" s="5" t="str">
        <f ca="1">IFERROR(__xludf.DUMMYFUNCTION("""COMPUTED_VALUE"""),"0410-LINEA 2")</f>
        <v>0410-LINEA 2</v>
      </c>
      <c r="C364" s="5" t="str">
        <f ca="1">IFERROR(__xludf.DUMMYFUNCTION("""COMPUTED_VALUE"""),"LINEA DE ENVASADO FAMILIAR Y PRB")</f>
        <v>LINEA DE ENVASADO FAMILIAR Y PRB</v>
      </c>
      <c r="D364" s="5">
        <f ca="1">IFERROR(__xludf.DUMMYFUNCTION("""COMPUTED_VALUE"""),548732)</f>
        <v>548732</v>
      </c>
      <c r="E364" s="5" t="str">
        <f ca="1">IFERROR(__xludf.DUMMYFUNCTION("""COMPUTED_VALUE"""),"DESEMPACADORA")</f>
        <v>DESEMPACADORA</v>
      </c>
      <c r="F364" s="5">
        <f ca="1">IFERROR(__xludf.DUMMYFUNCTION("""COMPUTED_VALUE"""),4322)</f>
        <v>4322</v>
      </c>
      <c r="G364" s="5" t="str">
        <f ca="1">IFERROR(__xludf.DUMMYFUNCTION("""COMPUTED_VALUE"""),"MANTTO MECANICO DESEMPACAD L2 548732")</f>
        <v>MANTTO MECANICO DESEMPACAD L2 548732</v>
      </c>
      <c r="H364" s="5">
        <f ca="1">IFERROR(__xludf.DUMMYFUNCTION("""COMPUTED_VALUE"""),13247109)</f>
        <v>13247109</v>
      </c>
      <c r="I364" s="5" t="str">
        <f ca="1">IFERROR(__xludf.DUMMYFUNCTION("""COMPUTED_VALUE"""),"Revision Vastagos Portavastagos.")</f>
        <v>Revision Vastagos Portavastagos.</v>
      </c>
      <c r="J364" s="5" t="str">
        <f ca="1">IFERROR(__xludf.DUMMYFUNCTION("""COMPUTED_VALUE"""),"MEDIO")</f>
        <v>MEDIO</v>
      </c>
      <c r="K364" s="5" t="str">
        <f ca="1">IFERROR(__xludf.DUMMYFUNCTION("""COMPUTED_VALUE"""),"Preventivo")</f>
        <v>Preventivo</v>
      </c>
      <c r="L364" s="5" t="str">
        <f ca="1">IFERROR(__xludf.DUMMYFUNCTION("""COMPUTED_VALUE"""),"Maquinaria")</f>
        <v>Maquinaria</v>
      </c>
      <c r="M364" s="5" t="str">
        <f ca="1">IFERROR(__xludf.DUMMYFUNCTION("""COMPUTED_VALUE"""),"No")</f>
        <v>No</v>
      </c>
      <c r="N364" s="5"/>
      <c r="O364" s="5"/>
      <c r="P364" s="18">
        <f ca="1">IFERROR(__xludf.DUMMYFUNCTION("""COMPUTED_VALUE"""),45339)</f>
        <v>45339</v>
      </c>
      <c r="Q364" s="18">
        <f ca="1">IFERROR(__xludf.DUMMYFUNCTION("""COMPUTED_VALUE"""),45339)</f>
        <v>45339</v>
      </c>
      <c r="R364" s="18"/>
      <c r="S364" s="5">
        <f ca="1">IFERROR(__xludf.DUMMYFUNCTION("""COMPUTED_VALUE"""),3)</f>
        <v>3</v>
      </c>
      <c r="T364" s="5"/>
      <c r="U364" s="5" t="str">
        <f ca="1">IFERROR(__xludf.DUMMYFUNCTION("""COMPUTED_VALUE"""),"Alexander Echeverry Moreno")</f>
        <v>Alexander Echeverry Moreno</v>
      </c>
      <c r="V364" s="5"/>
      <c r="W364" s="5" t="str">
        <f ca="1">IFERROR(__xludf.DUMMYFUNCTION("""COMPUTED_VALUE"""),"CA-GW3z6vqk")</f>
        <v>CA-GW3z6vqk</v>
      </c>
      <c r="X364" s="5">
        <f ca="1">IFERROR(__xludf.DUMMYFUNCTION("""COMPUTED_VALUE"""),3)</f>
        <v>3</v>
      </c>
      <c r="Y364" s="5" t="str">
        <f t="shared" si="2"/>
        <v>Actividad sin realizar</v>
      </c>
      <c r="Z364" s="3">
        <f ca="1">IFERROR(VLOOKUP(U364, 'Base de datos'!A:B, 2, FALSE), "")</f>
        <v>573173223149</v>
      </c>
      <c r="AA364" s="4" t="e">
        <f t="shared" ca="1" si="3"/>
        <v>#NAME?</v>
      </c>
    </row>
    <row r="365" spans="1:27" ht="15.75" customHeight="1">
      <c r="A365" s="5" t="str">
        <f ca="1">IFERROR(__xludf.DUMMYFUNCTION("""COMPUTED_VALUE"""),"POSTOBÓN YUMBO")</f>
        <v>POSTOBÓN YUMBO</v>
      </c>
      <c r="B365" s="5" t="str">
        <f ca="1">IFERROR(__xludf.DUMMYFUNCTION("""COMPUTED_VALUE"""),"0410-LINEA PET CSD")</f>
        <v>0410-LINEA PET CSD</v>
      </c>
      <c r="C365" s="5" t="str">
        <f ca="1">IFERROR(__xludf.DUMMYFUNCTION("""COMPUTED_VALUE"""),"LINEA PET CSD - LINEA 10")</f>
        <v>LINEA PET CSD - LINEA 10</v>
      </c>
      <c r="D365" s="5">
        <f ca="1">IFERROR(__xludf.DUMMYFUNCTION("""COMPUTED_VALUE"""),820303)</f>
        <v>820303</v>
      </c>
      <c r="E365" s="5" t="str">
        <f ca="1">IFERROR(__xludf.DUMMYFUNCTION("""COMPUTED_VALUE"""),"SALA LIMPIA")</f>
        <v>SALA LIMPIA</v>
      </c>
      <c r="F365" s="5">
        <f ca="1">IFERROR(__xludf.DUMMYFUNCTION("""COMPUTED_VALUE"""),25367)</f>
        <v>25367</v>
      </c>
      <c r="G365" s="5" t="str">
        <f ca="1">IFERROR(__xludf.DUMMYFUNCTION("""COMPUTED_VALUE"""),"PLAN MTTO ELE SALA LIMPIA CSD")</f>
        <v>PLAN MTTO ELE SALA LIMPIA CSD</v>
      </c>
      <c r="H365" s="5">
        <f ca="1">IFERROR(__xludf.DUMMYFUNCTION("""COMPUTED_VALUE"""),13247247)</f>
        <v>13247247</v>
      </c>
      <c r="I365" s="5" t="str">
        <f ca="1">IFERROR(__xludf.DUMMYFUNCTION("""COMPUTED_VALUE"""),"Limpiar Ventilador y prefiltro sala limp")</f>
        <v>Limpiar Ventilador y prefiltro sala limp</v>
      </c>
      <c r="J365" s="5" t="str">
        <f ca="1">IFERROR(__xludf.DUMMYFUNCTION("""COMPUTED_VALUE"""),"ALTO")</f>
        <v>ALTO</v>
      </c>
      <c r="K365" s="5" t="str">
        <f ca="1">IFERROR(__xludf.DUMMYFUNCTION("""COMPUTED_VALUE"""),"Preventivo")</f>
        <v>Preventivo</v>
      </c>
      <c r="L365" s="5" t="str">
        <f ca="1">IFERROR(__xludf.DUMMYFUNCTION("""COMPUTED_VALUE"""),"Maquinaria")</f>
        <v>Maquinaria</v>
      </c>
      <c r="M365" s="5" t="str">
        <f ca="1">IFERROR(__xludf.DUMMYFUNCTION("""COMPUTED_VALUE"""),"No")</f>
        <v>No</v>
      </c>
      <c r="N365" s="5"/>
      <c r="O365" s="5">
        <f ca="1">IFERROR(__xludf.DUMMYFUNCTION("""COMPUTED_VALUE"""),100)</f>
        <v>100</v>
      </c>
      <c r="P365" s="18">
        <f ca="1">IFERROR(__xludf.DUMMYFUNCTION("""COMPUTED_VALUE"""),45335)</f>
        <v>45335</v>
      </c>
      <c r="Q365" s="18">
        <f ca="1">IFERROR(__xludf.DUMMYFUNCTION("""COMPUTED_VALUE"""),45335)</f>
        <v>45335</v>
      </c>
      <c r="R365" s="18"/>
      <c r="S365" s="5">
        <f ca="1">IFERROR(__xludf.DUMMYFUNCTION("""COMPUTED_VALUE"""),0.5)</f>
        <v>0.5</v>
      </c>
      <c r="T365" s="5"/>
      <c r="U365" s="5" t="str">
        <f ca="1">IFERROR(__xludf.DUMMYFUNCTION("""COMPUTED_VALUE"""),"Bolaños Camacho Luis Miguel")</f>
        <v>Bolaños Camacho Luis Miguel</v>
      </c>
      <c r="V365" s="5"/>
      <c r="W365" s="5" t="str">
        <f ca="1">IFERROR(__xludf.DUMMYFUNCTION("""COMPUTED_VALUE"""),"wtnLHKrKHNw")</f>
        <v>wtnLHKrKHNw</v>
      </c>
      <c r="X365" s="5">
        <f ca="1">IFERROR(__xludf.DUMMYFUNCTION("""COMPUTED_VALUE"""),0.5)</f>
        <v>0.5</v>
      </c>
      <c r="Y365" s="5" t="str">
        <f t="shared" ca="1" si="2"/>
        <v>Actividad realizada</v>
      </c>
      <c r="Z365" s="3">
        <f ca="1">IFERROR(VLOOKUP(U365, 'Base de datos'!A:B, 2, FALSE), "")</f>
        <v>573122788043</v>
      </c>
      <c r="AA365" s="4" t="e">
        <f t="shared" ca="1" si="3"/>
        <v>#NAME?</v>
      </c>
    </row>
    <row r="366" spans="1:27" ht="15.75" customHeight="1">
      <c r="A366" s="5" t="str">
        <f ca="1">IFERROR(__xludf.DUMMYFUNCTION("""COMPUTED_VALUE"""),"POSTOBÓN YUMBO")</f>
        <v>POSTOBÓN YUMBO</v>
      </c>
      <c r="B366" s="5" t="str">
        <f ca="1">IFERROR(__xludf.DUMMYFUNCTION("""COMPUTED_VALUE"""),"0410-LINEA BOTELLON 20 LTS")</f>
        <v>0410-LINEA BOTELLON 20 LTS</v>
      </c>
      <c r="C366" s="5" t="str">
        <f ca="1">IFERROR(__xludf.DUMMYFUNCTION("""COMPUTED_VALUE"""),"LINEA DE PRODUCCION DE BOTELLONES DE 20")</f>
        <v>LINEA DE PRODUCCION DE BOTELLONES DE 20</v>
      </c>
      <c r="D366" s="5">
        <f ca="1">IFERROR(__xludf.DUMMYFUNCTION("""COMPUTED_VALUE"""),82961501)</f>
        <v>82961501</v>
      </c>
      <c r="E366" s="5" t="str">
        <f ca="1">IFERROR(__xludf.DUMMYFUNCTION("""COMPUTED_VALUE"""),"TRANSPORTADOR DE RODILLOS PARA ESTIBAS")</f>
        <v>TRANSPORTADOR DE RODILLOS PARA ESTIBAS</v>
      </c>
      <c r="F366" s="5">
        <f ca="1">IFERROR(__xludf.DUMMYFUNCTION("""COMPUTED_VALUE"""),22697)</f>
        <v>22697</v>
      </c>
      <c r="G366" s="5" t="str">
        <f ca="1">IFERROR(__xludf.DUMMYFUNCTION("""COMPUTED_VALUE"""),"PLAN MTTO LUB TRANS RODILLO 82961501")</f>
        <v>PLAN MTTO LUB TRANS RODILLO 82961501</v>
      </c>
      <c r="H366" s="5">
        <f ca="1">IFERROR(__xludf.DUMMYFUNCTION("""COMPUTED_VALUE"""),13193556)</f>
        <v>13193556</v>
      </c>
      <c r="I366" s="5" t="str">
        <f ca="1">IFERROR(__xludf.DUMMYFUNCTION("""COMPUTED_VALUE"""),"Cambio aceite reductores")</f>
        <v>Cambio aceite reductores</v>
      </c>
      <c r="J366" s="5" t="str">
        <f ca="1">IFERROR(__xludf.DUMMYFUNCTION("""COMPUTED_VALUE"""),"BAJO")</f>
        <v>BAJO</v>
      </c>
      <c r="K366" s="5" t="str">
        <f ca="1">IFERROR(__xludf.DUMMYFUNCTION("""COMPUTED_VALUE"""),"Preventivo")</f>
        <v>Preventivo</v>
      </c>
      <c r="L366" s="5" t="str">
        <f ca="1">IFERROR(__xludf.DUMMYFUNCTION("""COMPUTED_VALUE"""),"Maquinaria")</f>
        <v>Maquinaria</v>
      </c>
      <c r="M366" s="5" t="str">
        <f ca="1">IFERROR(__xludf.DUMMYFUNCTION("""COMPUTED_VALUE"""),"No")</f>
        <v>No</v>
      </c>
      <c r="N366" s="5"/>
      <c r="O366" s="5"/>
      <c r="P366" s="18">
        <f ca="1">IFERROR(__xludf.DUMMYFUNCTION("""COMPUTED_VALUE"""),45334)</f>
        <v>45334</v>
      </c>
      <c r="Q366" s="18">
        <f ca="1">IFERROR(__xludf.DUMMYFUNCTION("""COMPUTED_VALUE"""),45334)</f>
        <v>45334</v>
      </c>
      <c r="R366" s="18"/>
      <c r="S366" s="5">
        <f ca="1">IFERROR(__xludf.DUMMYFUNCTION("""COMPUTED_VALUE"""),4)</f>
        <v>4</v>
      </c>
      <c r="T366" s="5"/>
      <c r="U366" s="5" t="str">
        <f ca="1">IFERROR(__xludf.DUMMYFUNCTION("""COMPUTED_VALUE"""),"Víctor David Burbano Gómez")</f>
        <v>Víctor David Burbano Gómez</v>
      </c>
      <c r="V366" s="5"/>
      <c r="W366" s="5" t="str">
        <f ca="1">IFERROR(__xludf.DUMMYFUNCTION("""COMPUTED_VALUE"""),"HwX2jte8XgY")</f>
        <v>HwX2jte8XgY</v>
      </c>
      <c r="X366" s="5">
        <f ca="1">IFERROR(__xludf.DUMMYFUNCTION("""COMPUTED_VALUE"""),4)</f>
        <v>4</v>
      </c>
      <c r="Y366" s="5" t="str">
        <f t="shared" si="2"/>
        <v>Actividad sin realizar</v>
      </c>
      <c r="Z366" s="3">
        <f ca="1">IFERROR(VLOOKUP(U366, 'Base de datos'!A:B, 2, FALSE), "")</f>
        <v>573023403586</v>
      </c>
      <c r="AA366" s="4" t="e">
        <f t="shared" ca="1" si="3"/>
        <v>#NAME?</v>
      </c>
    </row>
    <row r="367" spans="1:27" ht="15.75" customHeight="1">
      <c r="A367" s="5" t="str">
        <f ca="1">IFERROR(__xludf.DUMMYFUNCTION("""COMPUTED_VALUE"""),"POSTOBÓN YUMBO")</f>
        <v>POSTOBÓN YUMBO</v>
      </c>
      <c r="B367" s="5" t="str">
        <f ca="1">IFERROR(__xludf.DUMMYFUNCTION("""COMPUTED_VALUE"""),"0410-SALA DE JARABE TERMINADO")</f>
        <v>0410-SALA DE JARABE TERMINADO</v>
      </c>
      <c r="C367" s="5" t="str">
        <f ca="1">IFERROR(__xludf.DUMMYFUNCTION("""COMPUTED_VALUE"""),"EQUIPOS PARA PREPARACION DE JARABE")</f>
        <v>EQUIPOS PARA PREPARACION DE JARABE</v>
      </c>
      <c r="D367" s="5">
        <f ca="1">IFERROR(__xludf.DUMMYFUNCTION("""COMPUTED_VALUE"""),69963405)</f>
        <v>69963405</v>
      </c>
      <c r="E367" s="5" t="str">
        <f ca="1">IFERROR(__xludf.DUMMYFUNCTION("""COMPUTED_VALUE"""),"TANQUE DE JARABE")</f>
        <v>TANQUE DE JARABE</v>
      </c>
      <c r="F367" s="5">
        <f ca="1">IFERROR(__xludf.DUMMYFUNCTION("""COMPUTED_VALUE"""),17361)</f>
        <v>17361</v>
      </c>
      <c r="G367" s="5" t="str">
        <f ca="1">IFERROR(__xludf.DUMMYFUNCTION("""COMPUTED_VALUE"""),"MTTO MEC TK JARABE 2 JARABE TERMINADO")</f>
        <v>MTTO MEC TK JARABE 2 JARABE TERMINADO</v>
      </c>
      <c r="H367" s="5">
        <f ca="1">IFERROR(__xludf.DUMMYFUNCTION("""COMPUTED_VALUE"""),13247150)</f>
        <v>13247150</v>
      </c>
      <c r="I367" s="5" t="str">
        <f ca="1">IFERROR(__xludf.DUMMYFUNCTION("""COMPUTED_VALUE"""),"BOMBA DE RECIRCULACION:")</f>
        <v>BOMBA DE RECIRCULACION:</v>
      </c>
      <c r="J367" s="5" t="str">
        <f ca="1">IFERROR(__xludf.DUMMYFUNCTION("""COMPUTED_VALUE"""),"ALTO")</f>
        <v>ALTO</v>
      </c>
      <c r="K367" s="5" t="str">
        <f ca="1">IFERROR(__xludf.DUMMYFUNCTION("""COMPUTED_VALUE"""),"Preventivo")</f>
        <v>Preventivo</v>
      </c>
      <c r="L367" s="5" t="str">
        <f ca="1">IFERROR(__xludf.DUMMYFUNCTION("""COMPUTED_VALUE"""),"Maquinaria")</f>
        <v>Maquinaria</v>
      </c>
      <c r="M367" s="5" t="str">
        <f ca="1">IFERROR(__xludf.DUMMYFUNCTION("""COMPUTED_VALUE"""),"No")</f>
        <v>No</v>
      </c>
      <c r="N367" s="5"/>
      <c r="O367" s="5">
        <f ca="1">IFERROR(__xludf.DUMMYFUNCTION("""COMPUTED_VALUE"""),100)</f>
        <v>100</v>
      </c>
      <c r="P367" s="18">
        <f ca="1">IFERROR(__xludf.DUMMYFUNCTION("""COMPUTED_VALUE"""),45342)</f>
        <v>45342</v>
      </c>
      <c r="Q367" s="18">
        <f ca="1">IFERROR(__xludf.DUMMYFUNCTION("""COMPUTED_VALUE"""),45342)</f>
        <v>45342</v>
      </c>
      <c r="R367" s="18"/>
      <c r="S367" s="5">
        <f ca="1">IFERROR(__xludf.DUMMYFUNCTION("""COMPUTED_VALUE"""),1)</f>
        <v>1</v>
      </c>
      <c r="T367" s="5"/>
      <c r="U367" s="5" t="str">
        <f ca="1">IFERROR(__xludf.DUMMYFUNCTION("""COMPUTED_VALUE"""),"Moreno Pernia Bladimir")</f>
        <v>Moreno Pernia Bladimir</v>
      </c>
      <c r="V367" s="5"/>
      <c r="W367" s="5" t="str">
        <f ca="1">IFERROR(__xludf.DUMMYFUNCTION("""COMPUTED_VALUE"""),"IU7RUR28MkM")</f>
        <v>IU7RUR28MkM</v>
      </c>
      <c r="X367" s="5">
        <f ca="1">IFERROR(__xludf.DUMMYFUNCTION("""COMPUTED_VALUE"""),1)</f>
        <v>1</v>
      </c>
      <c r="Y367" s="5" t="str">
        <f t="shared" ca="1" si="2"/>
        <v>Actividad realizada</v>
      </c>
      <c r="Z367" s="3">
        <f ca="1">IFERROR(VLOOKUP(U367, 'Base de datos'!A:B, 2, FALSE), "")</f>
        <v>573148903137</v>
      </c>
      <c r="AA367" s="4" t="e">
        <f t="shared" ca="1" si="3"/>
        <v>#NAME?</v>
      </c>
    </row>
    <row r="368" spans="1:27" ht="15.75" customHeight="1">
      <c r="A368" s="5" t="str">
        <f ca="1">IFERROR(__xludf.DUMMYFUNCTION("""COMPUTED_VALUE"""),"POSTOBÓN YUMBO")</f>
        <v>POSTOBÓN YUMBO</v>
      </c>
      <c r="B368" s="5" t="str">
        <f ca="1">IFERROR(__xludf.DUMMYFUNCTION("""COMPUTED_VALUE"""),"0410-LINEA PET CSD")</f>
        <v>0410-LINEA PET CSD</v>
      </c>
      <c r="C368" s="5" t="str">
        <f ca="1">IFERROR(__xludf.DUMMYFUNCTION("""COMPUTED_VALUE"""),"LINEA PET CSD - LINEA 10")</f>
        <v>LINEA PET CSD - LINEA 10</v>
      </c>
      <c r="D368" s="5">
        <f ca="1">IFERROR(__xludf.DUMMYFUNCTION("""COMPUTED_VALUE"""),579079)</f>
        <v>579079</v>
      </c>
      <c r="E368" s="5" t="str">
        <f ca="1">IFERROR(__xludf.DUMMYFUNCTION("""COMPUTED_VALUE"""),"ENVOLVEDORA FILM PLASTICO")</f>
        <v>ENVOLVEDORA FILM PLASTICO</v>
      </c>
      <c r="F368" s="5">
        <f ca="1">IFERROR(__xludf.DUMMYFUNCTION("""COMPUTED_VALUE"""),37846)</f>
        <v>37846</v>
      </c>
      <c r="G368" s="5" t="str">
        <f ca="1">IFERROR(__xludf.DUMMYFUNCTION("""COMPUTED_VALUE"""),"INSPECCION SEMANAL ENVOLVEDORA FILM PLAS")</f>
        <v>INSPECCION SEMANAL ENVOLVEDORA FILM PLAS</v>
      </c>
      <c r="H368" s="5">
        <f ca="1">IFERROR(__xludf.DUMMYFUNCTION("""COMPUTED_VALUE"""),13247590)</f>
        <v>13247590</v>
      </c>
      <c r="I368" s="5" t="str">
        <f ca="1">IFERROR(__xludf.DUMMYFUNCTION("""COMPUTED_VALUE"""),"cambio de ruedas del anillo rotativo")</f>
        <v>cambio de ruedas del anillo rotativo</v>
      </c>
      <c r="J368" s="5" t="str">
        <f ca="1">IFERROR(__xludf.DUMMYFUNCTION("""COMPUTED_VALUE"""),"MEDIO")</f>
        <v>MEDIO</v>
      </c>
      <c r="K368" s="5" t="str">
        <f ca="1">IFERROR(__xludf.DUMMYFUNCTION("""COMPUTED_VALUE"""),"Preventivo")</f>
        <v>Preventivo</v>
      </c>
      <c r="L368" s="5" t="str">
        <f ca="1">IFERROR(__xludf.DUMMYFUNCTION("""COMPUTED_VALUE"""),"Maquinaria")</f>
        <v>Maquinaria</v>
      </c>
      <c r="M368" s="5" t="str">
        <f ca="1">IFERROR(__xludf.DUMMYFUNCTION("""COMPUTED_VALUE"""),"No")</f>
        <v>No</v>
      </c>
      <c r="N368" s="5"/>
      <c r="O368" s="5">
        <f ca="1">IFERROR(__xludf.DUMMYFUNCTION("""COMPUTED_VALUE"""),100)</f>
        <v>100</v>
      </c>
      <c r="P368" s="18">
        <f ca="1">IFERROR(__xludf.DUMMYFUNCTION("""COMPUTED_VALUE"""),45325)</f>
        <v>45325</v>
      </c>
      <c r="Q368" s="18">
        <f ca="1">IFERROR(__xludf.DUMMYFUNCTION("""COMPUTED_VALUE"""),45325)</f>
        <v>45325</v>
      </c>
      <c r="R368" s="18"/>
      <c r="S368" s="5">
        <f ca="1">IFERROR(__xludf.DUMMYFUNCTION("""COMPUTED_VALUE"""),3)</f>
        <v>3</v>
      </c>
      <c r="T368" s="5"/>
      <c r="U368" s="5" t="str">
        <f ca="1">IFERROR(__xludf.DUMMYFUNCTION("""COMPUTED_VALUE"""),"Lucumi Juan")</f>
        <v>Lucumi Juan</v>
      </c>
      <c r="V368" s="5"/>
      <c r="W368" s="5" t="str">
        <f ca="1">IFERROR(__xludf.DUMMYFUNCTION("""COMPUTED_VALUE"""),"Q_ELq0ocsD0")</f>
        <v>Q_ELq0ocsD0</v>
      </c>
      <c r="X368" s="5">
        <f ca="1">IFERROR(__xludf.DUMMYFUNCTION("""COMPUTED_VALUE"""),3)</f>
        <v>3</v>
      </c>
      <c r="Y368" s="5" t="str">
        <f t="shared" ca="1" si="2"/>
        <v>Actividad realizada</v>
      </c>
      <c r="Z368" s="3">
        <f ca="1">IFERROR(VLOOKUP(U368, 'Base de datos'!A:B, 2, FALSE), "")</f>
        <v>573042194088</v>
      </c>
      <c r="AA368" s="4" t="e">
        <f t="shared" ca="1" si="3"/>
        <v>#NAME?</v>
      </c>
    </row>
    <row r="369" spans="1:27" ht="15.75" customHeight="1">
      <c r="A369" s="5" t="str">
        <f ca="1">IFERROR(__xludf.DUMMYFUNCTION("""COMPUTED_VALUE"""),"POSTOBÓN YUMBO")</f>
        <v>POSTOBÓN YUMBO</v>
      </c>
      <c r="B369" s="5" t="str">
        <f ca="1">IFERROR(__xludf.DUMMYFUNCTION("""COMPUTED_VALUE"""),"0410-LINEA 2")</f>
        <v>0410-LINEA 2</v>
      </c>
      <c r="C369" s="5" t="str">
        <f ca="1">IFERROR(__xludf.DUMMYFUNCTION("""COMPUTED_VALUE"""),"LINEA DE ENVASADO FAMILIAR Y PRB")</f>
        <v>LINEA DE ENVASADO FAMILIAR Y PRB</v>
      </c>
      <c r="D369" s="5">
        <f ca="1">IFERROR(__xludf.DUMMYFUNCTION("""COMPUTED_VALUE"""),829851)</f>
        <v>829851</v>
      </c>
      <c r="E369" s="5" t="str">
        <f ca="1">IFERROR(__xludf.DUMMYFUNCTION("""COMPUTED_VALUE"""),"TRANSPORTADOR DE CAJAS")</f>
        <v>TRANSPORTADOR DE CAJAS</v>
      </c>
      <c r="F369" s="5">
        <f ca="1">IFERROR(__xludf.DUMMYFUNCTION("""COMPUTED_VALUE"""),22573)</f>
        <v>22573</v>
      </c>
      <c r="G369" s="5" t="str">
        <f ca="1">IFERROR(__xludf.DUMMYFUNCTION("""COMPUTED_VALUE"""),"PLAN MTTO LUB TRANSPORT CAJAS 829851 L2")</f>
        <v>PLAN MTTO LUB TRANSPORT CAJAS 829851 L2</v>
      </c>
      <c r="H369" s="5">
        <f ca="1">IFERROR(__xludf.DUMMYFUNCTION("""COMPUTED_VALUE"""),13247199)</f>
        <v>13247199</v>
      </c>
      <c r="I369" s="5" t="str">
        <f ca="1">IFERROR(__xludf.DUMMYFUNCTION("""COMPUTED_VALUE"""),"Lubricar chumaceras")</f>
        <v>Lubricar chumaceras</v>
      </c>
      <c r="J369" s="5" t="str">
        <f ca="1">IFERROR(__xludf.DUMMYFUNCTION("""COMPUTED_VALUE"""),"MEDIO")</f>
        <v>MEDIO</v>
      </c>
      <c r="K369" s="5" t="str">
        <f ca="1">IFERROR(__xludf.DUMMYFUNCTION("""COMPUTED_VALUE"""),"Preventivo")</f>
        <v>Preventivo</v>
      </c>
      <c r="L369" s="5" t="str">
        <f ca="1">IFERROR(__xludf.DUMMYFUNCTION("""COMPUTED_VALUE"""),"Maquinaria")</f>
        <v>Maquinaria</v>
      </c>
      <c r="M369" s="5" t="str">
        <f ca="1">IFERROR(__xludf.DUMMYFUNCTION("""COMPUTED_VALUE"""),"No")</f>
        <v>No</v>
      </c>
      <c r="N369" s="5"/>
      <c r="O369" s="5"/>
      <c r="P369" s="18">
        <f ca="1">IFERROR(__xludf.DUMMYFUNCTION("""COMPUTED_VALUE"""),45333)</f>
        <v>45333</v>
      </c>
      <c r="Q369" s="18">
        <f ca="1">IFERROR(__xludf.DUMMYFUNCTION("""COMPUTED_VALUE"""),45333)</f>
        <v>45333</v>
      </c>
      <c r="R369" s="18"/>
      <c r="S369" s="5">
        <f ca="1">IFERROR(__xludf.DUMMYFUNCTION("""COMPUTED_VALUE"""),0.5)</f>
        <v>0.5</v>
      </c>
      <c r="T369" s="5"/>
      <c r="U369" s="5" t="str">
        <f ca="1">IFERROR(__xludf.DUMMYFUNCTION("""COMPUTED_VALUE"""),"Andrés Felipe Pérez Polania")</f>
        <v>Andrés Felipe Pérez Polania</v>
      </c>
      <c r="V369" s="5"/>
      <c r="W369" s="5" t="str">
        <f ca="1">IFERROR(__xludf.DUMMYFUNCTION("""COMPUTED_VALUE"""),"efAiBM5ZK_I")</f>
        <v>efAiBM5ZK_I</v>
      </c>
      <c r="X369" s="5">
        <f ca="1">IFERROR(__xludf.DUMMYFUNCTION("""COMPUTED_VALUE"""),0.5)</f>
        <v>0.5</v>
      </c>
      <c r="Y369" s="5" t="str">
        <f t="shared" si="2"/>
        <v>Actividad sin realizar</v>
      </c>
      <c r="Z369" s="3">
        <f ca="1">IFERROR(VLOOKUP(U369, 'Base de datos'!A:B, 2, FALSE), "")</f>
        <v>573186924079</v>
      </c>
      <c r="AA369" s="4" t="e">
        <f t="shared" ca="1" si="3"/>
        <v>#NAME?</v>
      </c>
    </row>
    <row r="370" spans="1:27" ht="15.75" customHeight="1">
      <c r="A370" s="5" t="str">
        <f ca="1">IFERROR(__xludf.DUMMYFUNCTION("""COMPUTED_VALUE"""),"POSTOBÓN YUMBO")</f>
        <v>POSTOBÓN YUMBO</v>
      </c>
      <c r="B370" s="5" t="str">
        <f ca="1">IFERROR(__xludf.DUMMYFUNCTION("""COMPUTED_VALUE"""),"0410-PLANTA DE AGUA ENVASADO")</f>
        <v>0410-PLANTA DE AGUA ENVASADO</v>
      </c>
      <c r="C370" s="5" t="str">
        <f ca="1">IFERROR(__xludf.DUMMYFUNCTION("""COMPUTED_VALUE"""),"TRATAMIENTO DE AGUA PARA ENVASADO")</f>
        <v>TRATAMIENTO DE AGUA PARA ENVASADO</v>
      </c>
      <c r="D370" s="5">
        <f ca="1">IFERROR(__xludf.DUMMYFUNCTION("""COMPUTED_VALUE"""),70949106)</f>
        <v>70949106</v>
      </c>
      <c r="E370" s="5" t="str">
        <f ca="1">IFERROR(__xludf.DUMMYFUNCTION("""COMPUTED_VALUE"""),"GENERADOR DE OXIGENO 2")</f>
        <v>GENERADOR DE OXIGENO 2</v>
      </c>
      <c r="F370" s="5">
        <f ca="1">IFERROR(__xludf.DUMMYFUNCTION("""COMPUTED_VALUE"""),42255)</f>
        <v>42255</v>
      </c>
      <c r="G370" s="5" t="str">
        <f ca="1">IFERROR(__xludf.DUMMYFUNCTION("""COMPUTED_VALUE"""),"PLAN MTTO ELE GENERADOR DE OXIGENO 2")</f>
        <v>PLAN MTTO ELE GENERADOR DE OXIGENO 2</v>
      </c>
      <c r="H370" s="5">
        <f ca="1">IFERROR(__xludf.DUMMYFUNCTION("""COMPUTED_VALUE"""),13229238)</f>
        <v>13229238</v>
      </c>
      <c r="I370" s="5" t="str">
        <f ca="1">IFERROR(__xludf.DUMMYFUNCTION("""COMPUTED_VALUE"""),"Verifique si los ventiladores funcionan")</f>
        <v>Verifique si los ventiladores funcionan</v>
      </c>
      <c r="J370" s="5" t="str">
        <f ca="1">IFERROR(__xludf.DUMMYFUNCTION("""COMPUTED_VALUE"""),"ALTO")</f>
        <v>ALTO</v>
      </c>
      <c r="K370" s="5" t="str">
        <f ca="1">IFERROR(__xludf.DUMMYFUNCTION("""COMPUTED_VALUE"""),"Preventivo")</f>
        <v>Preventivo</v>
      </c>
      <c r="L370" s="5" t="str">
        <f ca="1">IFERROR(__xludf.DUMMYFUNCTION("""COMPUTED_VALUE"""),"Maquinaria")</f>
        <v>Maquinaria</v>
      </c>
      <c r="M370" s="5" t="str">
        <f ca="1">IFERROR(__xludf.DUMMYFUNCTION("""COMPUTED_VALUE"""),"No")</f>
        <v>No</v>
      </c>
      <c r="N370" s="5"/>
      <c r="O370" s="5"/>
      <c r="P370" s="18">
        <f ca="1">IFERROR(__xludf.DUMMYFUNCTION("""COMPUTED_VALUE"""),45340)</f>
        <v>45340</v>
      </c>
      <c r="Q370" s="18">
        <f ca="1">IFERROR(__xludf.DUMMYFUNCTION("""COMPUTED_VALUE"""),45340)</f>
        <v>45340</v>
      </c>
      <c r="R370" s="18"/>
      <c r="S370" s="5">
        <f ca="1">IFERROR(__xludf.DUMMYFUNCTION("""COMPUTED_VALUE"""),0.5)</f>
        <v>0.5</v>
      </c>
      <c r="T370" s="5"/>
      <c r="U370" s="5" t="str">
        <f ca="1">IFERROR(__xludf.DUMMYFUNCTION("""COMPUTED_VALUE"""),"PAPAMIJA GUIDO")</f>
        <v>PAPAMIJA GUIDO</v>
      </c>
      <c r="V370" s="5"/>
      <c r="W370" s="5" t="str">
        <f ca="1">IFERROR(__xludf.DUMMYFUNCTION("""COMPUTED_VALUE"""),"LvUKk-EhtKA")</f>
        <v>LvUKk-EhtKA</v>
      </c>
      <c r="X370" s="5">
        <f ca="1">IFERROR(__xludf.DUMMYFUNCTION("""COMPUTED_VALUE"""),0.5)</f>
        <v>0.5</v>
      </c>
      <c r="Y370" s="5" t="str">
        <f t="shared" si="2"/>
        <v>Actividad sin realizar</v>
      </c>
      <c r="Z370" s="3">
        <f ca="1">IFERROR(VLOOKUP(U370, 'Base de datos'!A:B, 2, FALSE), "")</f>
        <v>573156712311</v>
      </c>
      <c r="AA370" s="4" t="e">
        <f t="shared" ca="1" si="3"/>
        <v>#NAME?</v>
      </c>
    </row>
    <row r="371" spans="1:27" ht="15.75" customHeight="1">
      <c r="A371" s="5" t="str">
        <f ca="1">IFERROR(__xludf.DUMMYFUNCTION("""COMPUTED_VALUE"""),"POSTOBÓN YUMBO")</f>
        <v>POSTOBÓN YUMBO</v>
      </c>
      <c r="B371" s="5" t="str">
        <f ca="1">IFERROR(__xludf.DUMMYFUNCTION("""COMPUTED_VALUE"""),"0410-LINEA DE BOLSAS")</f>
        <v>0410-LINEA DE BOLSAS</v>
      </c>
      <c r="C371" s="5" t="str">
        <f ca="1">IFERROR(__xludf.DUMMYFUNCTION("""COMPUTED_VALUE"""),"LINEA PARA EL LLENADO DE BOLSAS")</f>
        <v>LINEA PARA EL LLENADO DE BOLSAS</v>
      </c>
      <c r="D371" s="5">
        <f ca="1">IFERROR(__xludf.DUMMYFUNCTION("""COMPUTED_VALUE"""),710199)</f>
        <v>710199</v>
      </c>
      <c r="E371" s="5" t="str">
        <f ca="1">IFERROR(__xludf.DUMMYFUNCTION("""COMPUTED_VALUE"""),"LLENADORA DE BOLSAS LINEA 5")</f>
        <v>LLENADORA DE BOLSAS LINEA 5</v>
      </c>
      <c r="F371" s="5">
        <f ca="1">IFERROR(__xludf.DUMMYFUNCTION("""COMPUTED_VALUE"""),22715)</f>
        <v>22715</v>
      </c>
      <c r="G371" s="5" t="str">
        <f ca="1">IFERROR(__xludf.DUMMYFUNCTION("""COMPUTED_VALUE"""),"PLAN MTTO LUB LLENADORA BOLSA 5L 710199")</f>
        <v>PLAN MTTO LUB LLENADORA BOLSA 5L 710199</v>
      </c>
      <c r="H371" s="5">
        <f ca="1">IFERROR(__xludf.DUMMYFUNCTION("""COMPUTED_VALUE"""),13207466)</f>
        <v>13207466</v>
      </c>
      <c r="I371" s="5" t="str">
        <f ca="1">IFERROR(__xludf.DUMMYFUNCTION("""COMPUTED_VALUE"""),"Cambio de aceite reductores")</f>
        <v>Cambio de aceite reductores</v>
      </c>
      <c r="J371" s="5" t="str">
        <f ca="1">IFERROR(__xludf.DUMMYFUNCTION("""COMPUTED_VALUE"""),"ALTO")</f>
        <v>ALTO</v>
      </c>
      <c r="K371" s="5" t="str">
        <f ca="1">IFERROR(__xludf.DUMMYFUNCTION("""COMPUTED_VALUE"""),"Preventivo")</f>
        <v>Preventivo</v>
      </c>
      <c r="L371" s="5" t="str">
        <f ca="1">IFERROR(__xludf.DUMMYFUNCTION("""COMPUTED_VALUE"""),"Maquinaria")</f>
        <v>Maquinaria</v>
      </c>
      <c r="M371" s="5" t="str">
        <f ca="1">IFERROR(__xludf.DUMMYFUNCTION("""COMPUTED_VALUE"""),"No")</f>
        <v>No</v>
      </c>
      <c r="N371" s="5"/>
      <c r="O371" s="5"/>
      <c r="P371" s="18">
        <f ca="1">IFERROR(__xludf.DUMMYFUNCTION("""COMPUTED_VALUE"""),45349)</f>
        <v>45349</v>
      </c>
      <c r="Q371" s="18">
        <f ca="1">IFERROR(__xludf.DUMMYFUNCTION("""COMPUTED_VALUE"""),45349)</f>
        <v>45349</v>
      </c>
      <c r="R371" s="18"/>
      <c r="S371" s="5">
        <f ca="1">IFERROR(__xludf.DUMMYFUNCTION("""COMPUTED_VALUE"""),2)</f>
        <v>2</v>
      </c>
      <c r="T371" s="5"/>
      <c r="U371" s="5" t="str">
        <f ca="1">IFERROR(__xludf.DUMMYFUNCTION("""COMPUTED_VALUE"""),"ESTEBAN POTOSI ISAZA")</f>
        <v>ESTEBAN POTOSI ISAZA</v>
      </c>
      <c r="V371" s="5"/>
      <c r="W371" s="5" t="str">
        <f ca="1">IFERROR(__xludf.DUMMYFUNCTION("""COMPUTED_VALUE"""),"Z-UwXgj5cK8")</f>
        <v>Z-UwXgj5cK8</v>
      </c>
      <c r="X371" s="5">
        <f ca="1">IFERROR(__xludf.DUMMYFUNCTION("""COMPUTED_VALUE"""),2)</f>
        <v>2</v>
      </c>
      <c r="Y371" s="5" t="str">
        <f t="shared" si="2"/>
        <v>Actividad sin realizar</v>
      </c>
      <c r="Z371" s="3">
        <f ca="1">IFERROR(VLOOKUP(U371, 'Base de datos'!A:B, 2, FALSE), "")</f>
        <v>573128543241</v>
      </c>
      <c r="AA371" s="4" t="e">
        <f t="shared" ca="1" si="3"/>
        <v>#NAME?</v>
      </c>
    </row>
    <row r="372" spans="1:27" ht="15.75" customHeight="1">
      <c r="A372" s="5" t="str">
        <f ca="1">IFERROR(__xludf.DUMMYFUNCTION("""COMPUTED_VALUE"""),"POSTOBÓN YUMBO")</f>
        <v>POSTOBÓN YUMBO</v>
      </c>
      <c r="B372" s="5" t="str">
        <f ca="1">IFERROR(__xludf.DUMMYFUNCTION("""COMPUTED_VALUE"""),"0410-SALA DE JARABE TERMINADO")</f>
        <v>0410-SALA DE JARABE TERMINADO</v>
      </c>
      <c r="C372" s="5" t="str">
        <f ca="1">IFERROR(__xludf.DUMMYFUNCTION("""COMPUTED_VALUE"""),"EQUIPOS PARA PREPARACION DE JARABE")</f>
        <v>EQUIPOS PARA PREPARACION DE JARABE</v>
      </c>
      <c r="D372" s="5">
        <f ca="1">IFERROR(__xludf.DUMMYFUNCTION("""COMPUTED_VALUE"""),699636)</f>
        <v>699636</v>
      </c>
      <c r="E372" s="5" t="str">
        <f ca="1">IFERROR(__xludf.DUMMYFUNCTION("""COMPUTED_VALUE"""),"EQUIPO ELECTRONICO-SALA JARABE TERMINADO")</f>
        <v>EQUIPO ELECTRONICO-SALA JARABE TERMINADO</v>
      </c>
      <c r="F372" s="5">
        <f ca="1">IFERROR(__xludf.DUMMYFUNCTION("""COMPUTED_VALUE"""),17361)</f>
        <v>17361</v>
      </c>
      <c r="G372" s="5" t="str">
        <f ca="1">IFERROR(__xludf.DUMMYFUNCTION("""COMPUTED_VALUE"""),"MTTO ELEC EQUIPO ELECT JARABE TERMINADO")</f>
        <v>MTTO ELEC EQUIPO ELECT JARABE TERMINADO</v>
      </c>
      <c r="H372" s="5">
        <f ca="1">IFERROR(__xludf.DUMMYFUNCTION("""COMPUTED_VALUE"""),13247145)</f>
        <v>13247145</v>
      </c>
      <c r="I372" s="5" t="str">
        <f ca="1">IFERROR(__xludf.DUMMYFUNCTION("""COMPUTED_VALUE"""),"Realizar una revisión y reajuste de los")</f>
        <v>Realizar una revisión y reajuste de los</v>
      </c>
      <c r="J372" s="5" t="str">
        <f ca="1">IFERROR(__xludf.DUMMYFUNCTION("""COMPUTED_VALUE"""),"ALTO")</f>
        <v>ALTO</v>
      </c>
      <c r="K372" s="5" t="str">
        <f ca="1">IFERROR(__xludf.DUMMYFUNCTION("""COMPUTED_VALUE"""),"Preventivo")</f>
        <v>Preventivo</v>
      </c>
      <c r="L372" s="5" t="str">
        <f ca="1">IFERROR(__xludf.DUMMYFUNCTION("""COMPUTED_VALUE"""),"Maquinaria")</f>
        <v>Maquinaria</v>
      </c>
      <c r="M372" s="5" t="str">
        <f ca="1">IFERROR(__xludf.DUMMYFUNCTION("""COMPUTED_VALUE"""),"No")</f>
        <v>No</v>
      </c>
      <c r="N372" s="5"/>
      <c r="O372" s="5">
        <f ca="1">IFERROR(__xludf.DUMMYFUNCTION("""COMPUTED_VALUE"""),100)</f>
        <v>100</v>
      </c>
      <c r="P372" s="18">
        <f ca="1">IFERROR(__xludf.DUMMYFUNCTION("""COMPUTED_VALUE"""),45341)</f>
        <v>45341</v>
      </c>
      <c r="Q372" s="18">
        <f ca="1">IFERROR(__xludf.DUMMYFUNCTION("""COMPUTED_VALUE"""),45341)</f>
        <v>45341</v>
      </c>
      <c r="R372" s="18"/>
      <c r="S372" s="5">
        <f ca="1">IFERROR(__xludf.DUMMYFUNCTION("""COMPUTED_VALUE"""),16)</f>
        <v>16</v>
      </c>
      <c r="T372" s="5"/>
      <c r="U372" s="5" t="str">
        <f ca="1">IFERROR(__xludf.DUMMYFUNCTION("""COMPUTED_VALUE"""),"IMBACHI WILTON ANDRES")</f>
        <v>IMBACHI WILTON ANDRES</v>
      </c>
      <c r="V372" s="5"/>
      <c r="W372" s="5" t="str">
        <f ca="1">IFERROR(__xludf.DUMMYFUNCTION("""COMPUTED_VALUE"""),"RmirNXFvoDY")</f>
        <v>RmirNXFvoDY</v>
      </c>
      <c r="X372" s="5">
        <f ca="1">IFERROR(__xludf.DUMMYFUNCTION("""COMPUTED_VALUE"""),16)</f>
        <v>16</v>
      </c>
      <c r="Y372" s="5" t="str">
        <f t="shared" ca="1" si="2"/>
        <v>Actividad realizada</v>
      </c>
      <c r="Z372" s="3">
        <f ca="1">IFERROR(VLOOKUP(U372, 'Base de datos'!A:B, 2, FALSE), "")</f>
        <v>573158655205</v>
      </c>
      <c r="AA372" s="4" t="e">
        <f t="shared" ca="1" si="3"/>
        <v>#NAME?</v>
      </c>
    </row>
    <row r="373" spans="1:27" ht="15.75" customHeight="1">
      <c r="A373" s="5" t="str">
        <f ca="1">IFERROR(__xludf.DUMMYFUNCTION("""COMPUTED_VALUE"""),"POSTOBÓN YUMBO")</f>
        <v>POSTOBÓN YUMBO</v>
      </c>
      <c r="B373" s="5" t="str">
        <f ca="1">IFERROR(__xludf.DUMMYFUNCTION("""COMPUTED_VALUE"""),"0410-ENVASADO JUGOS PET HOT F")</f>
        <v>0410-ENVASADO JUGOS PET HOT F</v>
      </c>
      <c r="C373" s="5" t="str">
        <f ca="1">IFERROR(__xludf.DUMMYFUNCTION("""COMPUTED_VALUE"""),"LINEA DE ENVASADO JUGOS PET HOT FILL")</f>
        <v>LINEA DE ENVASADO JUGOS PET HOT FILL</v>
      </c>
      <c r="D373" s="5">
        <f ca="1">IFERROR(__xludf.DUMMYFUNCTION("""COMPUTED_VALUE"""),739537)</f>
        <v>739537</v>
      </c>
      <c r="E373" s="5" t="str">
        <f ca="1">IFERROR(__xludf.DUMMYFUNCTION("""COMPUTED_VALUE"""),"TERMOFORMADO PAQUETES")</f>
        <v>TERMOFORMADO PAQUETES</v>
      </c>
      <c r="F373" s="5">
        <f ca="1">IFERROR(__xludf.DUMMYFUNCTION("""COMPUTED_VALUE"""),22584)</f>
        <v>22584</v>
      </c>
      <c r="G373" s="5" t="str">
        <f ca="1">IFERROR(__xludf.DUMMYFUNCTION("""COMPUTED_VALUE"""),"PLAN MTTO LUB HORNO ENFARDAD 739537 L8")</f>
        <v>PLAN MTTO LUB HORNO ENFARDAD 739537 L8</v>
      </c>
      <c r="H373" s="5">
        <f ca="1">IFERROR(__xludf.DUMMYFUNCTION("""COMPUTED_VALUE"""),13247211)</f>
        <v>13247211</v>
      </c>
      <c r="I373" s="5" t="str">
        <f ca="1">IFERROR(__xludf.DUMMYFUNCTION("""COMPUTED_VALUE"""),"Lubricacion")</f>
        <v>Lubricacion</v>
      </c>
      <c r="J373" s="5" t="str">
        <f ca="1">IFERROR(__xludf.DUMMYFUNCTION("""COMPUTED_VALUE"""),"MEDIO")</f>
        <v>MEDIO</v>
      </c>
      <c r="K373" s="5" t="str">
        <f ca="1">IFERROR(__xludf.DUMMYFUNCTION("""COMPUTED_VALUE"""),"Preventivo")</f>
        <v>Preventivo</v>
      </c>
      <c r="L373" s="5" t="str">
        <f ca="1">IFERROR(__xludf.DUMMYFUNCTION("""COMPUTED_VALUE"""),"Maquinaria")</f>
        <v>Maquinaria</v>
      </c>
      <c r="M373" s="5" t="str">
        <f ca="1">IFERROR(__xludf.DUMMYFUNCTION("""COMPUTED_VALUE"""),"No")</f>
        <v>No</v>
      </c>
      <c r="N373" s="5"/>
      <c r="O373" s="5"/>
      <c r="P373" s="18">
        <f ca="1">IFERROR(__xludf.DUMMYFUNCTION("""COMPUTED_VALUE"""),45336)</f>
        <v>45336</v>
      </c>
      <c r="Q373" s="18">
        <f ca="1">IFERROR(__xludf.DUMMYFUNCTION("""COMPUTED_VALUE"""),45336)</f>
        <v>45336</v>
      </c>
      <c r="R373" s="18"/>
      <c r="S373" s="5">
        <f ca="1">IFERROR(__xludf.DUMMYFUNCTION("""COMPUTED_VALUE"""),0.5)</f>
        <v>0.5</v>
      </c>
      <c r="T373" s="5"/>
      <c r="U373" s="5" t="str">
        <f ca="1">IFERROR(__xludf.DUMMYFUNCTION("""COMPUTED_VALUE"""),"Lopez Correa Jonathan")</f>
        <v>Lopez Correa Jonathan</v>
      </c>
      <c r="V373" s="5"/>
      <c r="W373" s="5" t="str">
        <f ca="1">IFERROR(__xludf.DUMMYFUNCTION("""COMPUTED_VALUE"""),"7OUP8TbwkTE")</f>
        <v>7OUP8TbwkTE</v>
      </c>
      <c r="X373" s="5">
        <f ca="1">IFERROR(__xludf.DUMMYFUNCTION("""COMPUTED_VALUE"""),0.5)</f>
        <v>0.5</v>
      </c>
      <c r="Y373" s="5" t="str">
        <f t="shared" si="2"/>
        <v>Actividad sin realizar</v>
      </c>
      <c r="Z373" s="3">
        <f ca="1">IFERROR(VLOOKUP(U373, 'Base de datos'!A:B, 2, FALSE), "")</f>
        <v>573215267623</v>
      </c>
      <c r="AA373" s="4" t="e">
        <f t="shared" ca="1" si="3"/>
        <v>#NAME?</v>
      </c>
    </row>
    <row r="374" spans="1:27" ht="15.75" customHeight="1">
      <c r="A374" s="5" t="str">
        <f ca="1">IFERROR(__xludf.DUMMYFUNCTION("""COMPUTED_VALUE"""),"POSTOBÓN YUMBO")</f>
        <v>POSTOBÓN YUMBO</v>
      </c>
      <c r="B374" s="5" t="str">
        <f ca="1">IFERROR(__xludf.DUMMYFUNCTION("""COMPUTED_VALUE"""),"0410-LINEA 2")</f>
        <v>0410-LINEA 2</v>
      </c>
      <c r="C374" s="5" t="str">
        <f ca="1">IFERROR(__xludf.DUMMYFUNCTION("""COMPUTED_VALUE"""),"LINEA DE ENVASADO FAMILIAR Y PRB")</f>
        <v>LINEA DE ENVASADO FAMILIAR Y PRB</v>
      </c>
      <c r="D374" s="5">
        <f ca="1">IFERROR(__xludf.DUMMYFUNCTION("""COMPUTED_VALUE"""),510001)</f>
        <v>510001</v>
      </c>
      <c r="E374" s="5" t="str">
        <f ca="1">IFERROR(__xludf.DUMMYFUNCTION("""COMPUTED_VALUE"""),"LLENADORA")</f>
        <v>LLENADORA</v>
      </c>
      <c r="F374" s="5">
        <f ca="1">IFERROR(__xludf.DUMMYFUNCTION("""COMPUTED_VALUE"""),13196)</f>
        <v>13196</v>
      </c>
      <c r="G374" s="5" t="str">
        <f ca="1">IFERROR(__xludf.DUMMYFUNCTION("""COMPUTED_VALUE"""),"Mantto lubr sist motriz Llenad.")</f>
        <v>Mantto lubr sist motriz Llenad.</v>
      </c>
      <c r="H374" s="5">
        <f ca="1">IFERROR(__xludf.DUMMYFUNCTION("""COMPUTED_VALUE"""),13247128)</f>
        <v>13247128</v>
      </c>
      <c r="I374" s="5" t="str">
        <f ca="1">IFERROR(__xludf.DUMMYFUNCTION("""COMPUTED_VALUE"""),"Lubrique piñones debajo de mesa llenad.")</f>
        <v>Lubrique piñones debajo de mesa llenad.</v>
      </c>
      <c r="J374" s="5" t="str">
        <f ca="1">IFERROR(__xludf.DUMMYFUNCTION("""COMPUTED_VALUE"""),"ALTO")</f>
        <v>ALTO</v>
      </c>
      <c r="K374" s="5" t="str">
        <f ca="1">IFERROR(__xludf.DUMMYFUNCTION("""COMPUTED_VALUE"""),"Preventivo")</f>
        <v>Preventivo</v>
      </c>
      <c r="L374" s="5" t="str">
        <f ca="1">IFERROR(__xludf.DUMMYFUNCTION("""COMPUTED_VALUE"""),"Maquinaria")</f>
        <v>Maquinaria</v>
      </c>
      <c r="M374" s="5" t="str">
        <f ca="1">IFERROR(__xludf.DUMMYFUNCTION("""COMPUTED_VALUE"""),"No")</f>
        <v>No</v>
      </c>
      <c r="N374" s="5"/>
      <c r="O374" s="5"/>
      <c r="P374" s="18">
        <f ca="1">IFERROR(__xludf.DUMMYFUNCTION("""COMPUTED_VALUE"""),45324)</f>
        <v>45324</v>
      </c>
      <c r="Q374" s="18">
        <f ca="1">IFERROR(__xludf.DUMMYFUNCTION("""COMPUTED_VALUE"""),45324)</f>
        <v>45324</v>
      </c>
      <c r="R374" s="18"/>
      <c r="S374" s="5">
        <f ca="1">IFERROR(__xludf.DUMMYFUNCTION("""COMPUTED_VALUE"""),1)</f>
        <v>1</v>
      </c>
      <c r="T374" s="5"/>
      <c r="U374" s="5" t="str">
        <f ca="1">IFERROR(__xludf.DUMMYFUNCTION("""COMPUTED_VALUE"""),"Poveda Jorge")</f>
        <v>Poveda Jorge</v>
      </c>
      <c r="V374" s="5"/>
      <c r="W374" s="5" t="str">
        <f ca="1">IFERROR(__xludf.DUMMYFUNCTION("""COMPUTED_VALUE"""),"MDrKktIap9o")</f>
        <v>MDrKktIap9o</v>
      </c>
      <c r="X374" s="5">
        <f ca="1">IFERROR(__xludf.DUMMYFUNCTION("""COMPUTED_VALUE"""),1)</f>
        <v>1</v>
      </c>
      <c r="Y374" s="5" t="str">
        <f t="shared" si="2"/>
        <v>Actividad sin realizar</v>
      </c>
      <c r="Z374" s="3">
        <f ca="1">IFERROR(VLOOKUP(U374, 'Base de datos'!A:B, 2, FALSE), "")</f>
        <v>573212589618</v>
      </c>
      <c r="AA374" s="4" t="e">
        <f t="shared" ca="1" si="3"/>
        <v>#NAME?</v>
      </c>
    </row>
    <row r="375" spans="1:27" ht="15.75" customHeight="1">
      <c r="A375" s="5" t="str">
        <f ca="1">IFERROR(__xludf.DUMMYFUNCTION("""COMPUTED_VALUE"""),"POSTOBÓN YUMBO")</f>
        <v>POSTOBÓN YUMBO</v>
      </c>
      <c r="B375" s="5" t="str">
        <f ca="1">IFERROR(__xludf.DUMMYFUNCTION("""COMPUTED_VALUE"""),"0410-PLANTA DE AGUA ENVASADO")</f>
        <v>0410-PLANTA DE AGUA ENVASADO</v>
      </c>
      <c r="C375" s="5" t="str">
        <f ca="1">IFERROR(__xludf.DUMMYFUNCTION("""COMPUTED_VALUE"""),"TRATAMIENTO DE AGUA PARA ENVASADO")</f>
        <v>TRATAMIENTO DE AGUA PARA ENVASADO</v>
      </c>
      <c r="D375" s="5">
        <f ca="1">IFERROR(__xludf.DUMMYFUNCTION("""COMPUTED_VALUE"""),70949106)</f>
        <v>70949106</v>
      </c>
      <c r="E375" s="5" t="str">
        <f ca="1">IFERROR(__xludf.DUMMYFUNCTION("""COMPUTED_VALUE"""),"GENERADOR DE OXIGENO 2")</f>
        <v>GENERADOR DE OXIGENO 2</v>
      </c>
      <c r="F375" s="5">
        <f ca="1">IFERROR(__xludf.DUMMYFUNCTION("""COMPUTED_VALUE"""),42255)</f>
        <v>42255</v>
      </c>
      <c r="G375" s="5" t="str">
        <f ca="1">IFERROR(__xludf.DUMMYFUNCTION("""COMPUTED_VALUE"""),"PLAN MTTO MEC GENERADOR DE OXIGENO 2")</f>
        <v>PLAN MTTO MEC GENERADOR DE OXIGENO 2</v>
      </c>
      <c r="H375" s="5">
        <f ca="1">IFERROR(__xludf.DUMMYFUNCTION("""COMPUTED_VALUE"""),13229237)</f>
        <v>13229237</v>
      </c>
      <c r="I375" s="5" t="str">
        <f ca="1">IFERROR(__xludf.DUMMYFUNCTION("""COMPUTED_VALUE"""),"REVISION GRAL REGULADORES:")</f>
        <v>REVISION GRAL REGULADORES:</v>
      </c>
      <c r="J375" s="5" t="str">
        <f ca="1">IFERROR(__xludf.DUMMYFUNCTION("""COMPUTED_VALUE"""),"ALTO")</f>
        <v>ALTO</v>
      </c>
      <c r="K375" s="5" t="str">
        <f ca="1">IFERROR(__xludf.DUMMYFUNCTION("""COMPUTED_VALUE"""),"Preventivo")</f>
        <v>Preventivo</v>
      </c>
      <c r="L375" s="5" t="str">
        <f ca="1">IFERROR(__xludf.DUMMYFUNCTION("""COMPUTED_VALUE"""),"Maquinaria")</f>
        <v>Maquinaria</v>
      </c>
      <c r="M375" s="5" t="str">
        <f ca="1">IFERROR(__xludf.DUMMYFUNCTION("""COMPUTED_VALUE"""),"No")</f>
        <v>No</v>
      </c>
      <c r="N375" s="5"/>
      <c r="O375" s="5"/>
      <c r="P375" s="18">
        <f ca="1">IFERROR(__xludf.DUMMYFUNCTION("""COMPUTED_VALUE"""),45340)</f>
        <v>45340</v>
      </c>
      <c r="Q375" s="18">
        <f ca="1">IFERROR(__xludf.DUMMYFUNCTION("""COMPUTED_VALUE"""),45340)</f>
        <v>45340</v>
      </c>
      <c r="R375" s="18"/>
      <c r="S375" s="5">
        <f ca="1">IFERROR(__xludf.DUMMYFUNCTION("""COMPUTED_VALUE"""),0.5)</f>
        <v>0.5</v>
      </c>
      <c r="T375" s="5"/>
      <c r="U375" s="5" t="str">
        <f ca="1">IFERROR(__xludf.DUMMYFUNCTION("""COMPUTED_VALUE"""),"PAPAMIJA GUIDO")</f>
        <v>PAPAMIJA GUIDO</v>
      </c>
      <c r="V375" s="5"/>
      <c r="W375" s="5" t="str">
        <f ca="1">IFERROR(__xludf.DUMMYFUNCTION("""COMPUTED_VALUE"""),"UuploY49oE0")</f>
        <v>UuploY49oE0</v>
      </c>
      <c r="X375" s="5">
        <f ca="1">IFERROR(__xludf.DUMMYFUNCTION("""COMPUTED_VALUE"""),0.5)</f>
        <v>0.5</v>
      </c>
      <c r="Y375" s="5" t="str">
        <f t="shared" si="2"/>
        <v>Actividad sin realizar</v>
      </c>
      <c r="Z375" s="3">
        <f ca="1">IFERROR(VLOOKUP(U375, 'Base de datos'!A:B, 2, FALSE), "")</f>
        <v>573156712311</v>
      </c>
      <c r="AA375" s="4" t="e">
        <f t="shared" ca="1" si="3"/>
        <v>#NAME?</v>
      </c>
    </row>
    <row r="376" spans="1:27" ht="15.75" customHeight="1">
      <c r="A376" s="5" t="str">
        <f ca="1">IFERROR(__xludf.DUMMYFUNCTION("""COMPUTED_VALUE"""),"POSTOBÓN YUMBO")</f>
        <v>POSTOBÓN YUMBO</v>
      </c>
      <c r="B376" s="5" t="str">
        <f ca="1">IFERROR(__xludf.DUMMYFUNCTION("""COMPUTED_VALUE"""),"0410-ENVASADO JUGOS PET HOT F")</f>
        <v>0410-ENVASADO JUGOS PET HOT F</v>
      </c>
      <c r="C376" s="5" t="str">
        <f ca="1">IFERROR(__xludf.DUMMYFUNCTION("""COMPUTED_VALUE"""),"LINEA DE ENVASADO JUGOS PET HOT FILL")</f>
        <v>LINEA DE ENVASADO JUGOS PET HOT FILL</v>
      </c>
      <c r="D376" s="5">
        <f ca="1">IFERROR(__xludf.DUMMYFUNCTION("""COMPUTED_VALUE"""),669450)</f>
        <v>669450</v>
      </c>
      <c r="E376" s="5" t="str">
        <f ca="1">IFERROR(__xludf.DUMMYFUNCTION("""COMPUTED_VALUE"""),"ENFRIADOR")</f>
        <v>ENFRIADOR</v>
      </c>
      <c r="F376" s="5">
        <f ca="1">IFERROR(__xludf.DUMMYFUNCTION("""COMPUTED_VALUE"""),22576)</f>
        <v>22576</v>
      </c>
      <c r="G376" s="5" t="str">
        <f ca="1">IFERROR(__xludf.DUMMYFUNCTION("""COMPUTED_VALUE"""),"PLAN MTTO LUB COOLER 669450")</f>
        <v>PLAN MTTO LUB COOLER 669450</v>
      </c>
      <c r="H376" s="5">
        <f ca="1">IFERROR(__xludf.DUMMYFUNCTION("""COMPUTED_VALUE"""),13247205)</f>
        <v>13247205</v>
      </c>
      <c r="I376" s="5" t="str">
        <f ca="1">IFERROR(__xludf.DUMMYFUNCTION("""COMPUTED_VALUE"""),"Lubricar chumaceras")</f>
        <v>Lubricar chumaceras</v>
      </c>
      <c r="J376" s="5" t="str">
        <f ca="1">IFERROR(__xludf.DUMMYFUNCTION("""COMPUTED_VALUE"""),"MEDIO")</f>
        <v>MEDIO</v>
      </c>
      <c r="K376" s="5" t="str">
        <f ca="1">IFERROR(__xludf.DUMMYFUNCTION("""COMPUTED_VALUE"""),"Preventivo")</f>
        <v>Preventivo</v>
      </c>
      <c r="L376" s="5" t="str">
        <f ca="1">IFERROR(__xludf.DUMMYFUNCTION("""COMPUTED_VALUE"""),"Maquinaria")</f>
        <v>Maquinaria</v>
      </c>
      <c r="M376" s="5" t="str">
        <f ca="1">IFERROR(__xludf.DUMMYFUNCTION("""COMPUTED_VALUE"""),"No")</f>
        <v>No</v>
      </c>
      <c r="N376" s="5"/>
      <c r="O376" s="5"/>
      <c r="P376" s="18">
        <f ca="1">IFERROR(__xludf.DUMMYFUNCTION("""COMPUTED_VALUE"""),45340)</f>
        <v>45340</v>
      </c>
      <c r="Q376" s="18">
        <f ca="1">IFERROR(__xludf.DUMMYFUNCTION("""COMPUTED_VALUE"""),45340)</f>
        <v>45340</v>
      </c>
      <c r="R376" s="18"/>
      <c r="S376" s="5">
        <f ca="1">IFERROR(__xludf.DUMMYFUNCTION("""COMPUTED_VALUE"""),0.5)</f>
        <v>0.5</v>
      </c>
      <c r="T376" s="5"/>
      <c r="U376" s="5" t="str">
        <f ca="1">IFERROR(__xludf.DUMMYFUNCTION("""COMPUTED_VALUE"""),"Vanegas Guependo Hermes")</f>
        <v>Vanegas Guependo Hermes</v>
      </c>
      <c r="V376" s="5"/>
      <c r="W376" s="5" t="str">
        <f ca="1">IFERROR(__xludf.DUMMYFUNCTION("""COMPUTED_VALUE"""),"aGJIuWdXZK8")</f>
        <v>aGJIuWdXZK8</v>
      </c>
      <c r="X376" s="5">
        <f ca="1">IFERROR(__xludf.DUMMYFUNCTION("""COMPUTED_VALUE"""),0.5)</f>
        <v>0.5</v>
      </c>
      <c r="Y376" s="5" t="str">
        <f t="shared" si="2"/>
        <v>Actividad sin realizar</v>
      </c>
      <c r="Z376" s="3">
        <f ca="1">IFERROR(VLOOKUP(U376, 'Base de datos'!A:B, 2, FALSE), "")</f>
        <v>573136290785</v>
      </c>
      <c r="AA376" s="4" t="e">
        <f t="shared" ca="1" si="3"/>
        <v>#NAME?</v>
      </c>
    </row>
    <row r="377" spans="1:27" ht="15.75" customHeight="1">
      <c r="A377" s="5" t="str">
        <f ca="1">IFERROR(__xludf.DUMMYFUNCTION("""COMPUTED_VALUE"""),"POSTOBÓN YUMBO")</f>
        <v>POSTOBÓN YUMBO</v>
      </c>
      <c r="B377" s="5" t="str">
        <f ca="1">IFERROR(__xludf.DUMMYFUNCTION("""COMPUTED_VALUE"""),"0410-ENVASADO JUGOS PET HOT F")</f>
        <v>0410-ENVASADO JUGOS PET HOT F</v>
      </c>
      <c r="C377" s="5" t="str">
        <f ca="1">IFERROR(__xludf.DUMMYFUNCTION("""COMPUTED_VALUE"""),"LINEA DE ENVASADO JUGOS PET HOT FILL")</f>
        <v>LINEA DE ENVASADO JUGOS PET HOT FILL</v>
      </c>
      <c r="D377" s="5">
        <f ca="1">IFERROR(__xludf.DUMMYFUNCTION("""COMPUTED_VALUE"""),579063)</f>
        <v>579063</v>
      </c>
      <c r="E377" s="5" t="str">
        <f ca="1">IFERROR(__xludf.DUMMYFUNCTION("""COMPUTED_VALUE"""),"PALETIZADORA MODUPAL 2A")</f>
        <v>PALETIZADORA MODUPAL 2A</v>
      </c>
      <c r="F377" s="5">
        <f ca="1">IFERROR(__xludf.DUMMYFUNCTION("""COMPUTED_VALUE"""),22580)</f>
        <v>22580</v>
      </c>
      <c r="G377" s="5" t="str">
        <f ca="1">IFERROR(__xludf.DUMMYFUNCTION("""COMPUTED_VALUE"""),"PLAN MTTO LUB PALETIZADORA MODUP 579063")</f>
        <v>PLAN MTTO LUB PALETIZADORA MODUP 579063</v>
      </c>
      <c r="H377" s="5">
        <f ca="1">IFERROR(__xludf.DUMMYFUNCTION("""COMPUTED_VALUE"""),13232363)</f>
        <v>13232363</v>
      </c>
      <c r="I377" s="5" t="str">
        <f ca="1">IFERROR(__xludf.DUMMYFUNCTION("""COMPUTED_VALUE"""),"Lubricacion Gral")</f>
        <v>Lubricacion Gral</v>
      </c>
      <c r="J377" s="5" t="str">
        <f ca="1">IFERROR(__xludf.DUMMYFUNCTION("""COMPUTED_VALUE"""),"MEDIO")</f>
        <v>MEDIO</v>
      </c>
      <c r="K377" s="5" t="str">
        <f ca="1">IFERROR(__xludf.DUMMYFUNCTION("""COMPUTED_VALUE"""),"Preventivo")</f>
        <v>Preventivo</v>
      </c>
      <c r="L377" s="5" t="str">
        <f ca="1">IFERROR(__xludf.DUMMYFUNCTION("""COMPUTED_VALUE"""),"Maquinaria")</f>
        <v>Maquinaria</v>
      </c>
      <c r="M377" s="5" t="str">
        <f ca="1">IFERROR(__xludf.DUMMYFUNCTION("""COMPUTED_VALUE"""),"No")</f>
        <v>No</v>
      </c>
      <c r="N377" s="5"/>
      <c r="O377" s="5"/>
      <c r="P377" s="18">
        <f ca="1">IFERROR(__xludf.DUMMYFUNCTION("""COMPUTED_VALUE"""),45329)</f>
        <v>45329</v>
      </c>
      <c r="Q377" s="18">
        <f ca="1">IFERROR(__xludf.DUMMYFUNCTION("""COMPUTED_VALUE"""),45329)</f>
        <v>45329</v>
      </c>
      <c r="R377" s="18"/>
      <c r="S377" s="5">
        <f ca="1">IFERROR(__xludf.DUMMYFUNCTION("""COMPUTED_VALUE"""),0.5)</f>
        <v>0.5</v>
      </c>
      <c r="T377" s="5"/>
      <c r="U377" s="5" t="str">
        <f ca="1">IFERROR(__xludf.DUMMYFUNCTION("""COMPUTED_VALUE"""),"Martinez Delgado Osver")</f>
        <v>Martinez Delgado Osver</v>
      </c>
      <c r="V377" s="5"/>
      <c r="W377" s="5" t="str">
        <f ca="1">IFERROR(__xludf.DUMMYFUNCTION("""COMPUTED_VALUE"""),"ACmDKtU99Po")</f>
        <v>ACmDKtU99Po</v>
      </c>
      <c r="X377" s="5">
        <f ca="1">IFERROR(__xludf.DUMMYFUNCTION("""COMPUTED_VALUE"""),0.5)</f>
        <v>0.5</v>
      </c>
      <c r="Y377" s="5" t="str">
        <f t="shared" si="2"/>
        <v>Actividad sin realizar</v>
      </c>
      <c r="Z377" s="3">
        <f ca="1">IFERROR(VLOOKUP(U377, 'Base de datos'!A:B, 2, FALSE), "")</f>
        <v>573104055117</v>
      </c>
      <c r="AA377" s="4" t="e">
        <f t="shared" ca="1" si="3"/>
        <v>#NAME?</v>
      </c>
    </row>
    <row r="378" spans="1:27" ht="15.75" customHeight="1">
      <c r="A378" s="5" t="str">
        <f ca="1">IFERROR(__xludf.DUMMYFUNCTION("""COMPUTED_VALUE"""),"POSTOBÓN YUMBO")</f>
        <v>POSTOBÓN YUMBO</v>
      </c>
      <c r="B378" s="5" t="str">
        <f ca="1">IFERROR(__xludf.DUMMYFUNCTION("""COMPUTED_VALUE"""),"0410-LINEA BOTELLON 20 LTS")</f>
        <v>0410-LINEA BOTELLON 20 LTS</v>
      </c>
      <c r="C378" s="5" t="str">
        <f ca="1">IFERROR(__xludf.DUMMYFUNCTION("""COMPUTED_VALUE"""),"LINEA DE PRODUCCION DE BOTELLONES DE 20")</f>
        <v>LINEA DE PRODUCCION DE BOTELLONES DE 20</v>
      </c>
      <c r="D378" s="5">
        <f ca="1">IFERROR(__xludf.DUMMYFUNCTION("""COMPUTED_VALUE"""),719519)</f>
        <v>719519</v>
      </c>
      <c r="E378" s="5" t="str">
        <f ca="1">IFERROR(__xludf.DUMMYFUNCTION("""COMPUTED_VALUE"""),"LAVADORA DE HUACALES")</f>
        <v>LAVADORA DE HUACALES</v>
      </c>
      <c r="F378" s="5">
        <f ca="1">IFERROR(__xludf.DUMMYFUNCTION("""COMPUTED_VALUE"""),22692)</f>
        <v>22692</v>
      </c>
      <c r="G378" s="5" t="str">
        <f ca="1">IFERROR(__xludf.DUMMYFUNCTION("""COMPUTED_VALUE"""),"PLAN MTTO LUB LAVADORA HUACALES 719519")</f>
        <v>PLAN MTTO LUB LAVADORA HUACALES 719519</v>
      </c>
      <c r="H378" s="5">
        <f ca="1">IFERROR(__xludf.DUMMYFUNCTION("""COMPUTED_VALUE"""),13232371)</f>
        <v>13232371</v>
      </c>
      <c r="I378" s="5" t="str">
        <f ca="1">IFERROR(__xludf.DUMMYFUNCTION("""COMPUTED_VALUE"""),"Lubricar Chumaceras")</f>
        <v>Lubricar Chumaceras</v>
      </c>
      <c r="J378" s="5" t="str">
        <f ca="1">IFERROR(__xludf.DUMMYFUNCTION("""COMPUTED_VALUE"""),"MEDIO")</f>
        <v>MEDIO</v>
      </c>
      <c r="K378" s="5" t="str">
        <f ca="1">IFERROR(__xludf.DUMMYFUNCTION("""COMPUTED_VALUE"""),"Preventivo")</f>
        <v>Preventivo</v>
      </c>
      <c r="L378" s="5" t="str">
        <f ca="1">IFERROR(__xludf.DUMMYFUNCTION("""COMPUTED_VALUE"""),"Maquinaria")</f>
        <v>Maquinaria</v>
      </c>
      <c r="M378" s="5" t="str">
        <f ca="1">IFERROR(__xludf.DUMMYFUNCTION("""COMPUTED_VALUE"""),"No")</f>
        <v>No</v>
      </c>
      <c r="N378" s="5"/>
      <c r="O378" s="5"/>
      <c r="P378" s="18">
        <f ca="1">IFERROR(__xludf.DUMMYFUNCTION("""COMPUTED_VALUE"""),45329)</f>
        <v>45329</v>
      </c>
      <c r="Q378" s="18">
        <f ca="1">IFERROR(__xludf.DUMMYFUNCTION("""COMPUTED_VALUE"""),45329)</f>
        <v>45329</v>
      </c>
      <c r="R378" s="18"/>
      <c r="S378" s="5">
        <f ca="1">IFERROR(__xludf.DUMMYFUNCTION("""COMPUTED_VALUE"""),0.5)</f>
        <v>0.5</v>
      </c>
      <c r="T378" s="5"/>
      <c r="U378" s="5" t="str">
        <f ca="1">IFERROR(__xludf.DUMMYFUNCTION("""COMPUTED_VALUE"""),"Víctor David Burbano Gómez")</f>
        <v>Víctor David Burbano Gómez</v>
      </c>
      <c r="V378" s="5"/>
      <c r="W378" s="5" t="str">
        <f ca="1">IFERROR(__xludf.DUMMYFUNCTION("""COMPUTED_VALUE"""),"TecwWib5P5o")</f>
        <v>TecwWib5P5o</v>
      </c>
      <c r="X378" s="5">
        <f ca="1">IFERROR(__xludf.DUMMYFUNCTION("""COMPUTED_VALUE"""),0.5)</f>
        <v>0.5</v>
      </c>
      <c r="Y378" s="5" t="str">
        <f t="shared" si="2"/>
        <v>Actividad sin realizar</v>
      </c>
      <c r="Z378" s="3">
        <f ca="1">IFERROR(VLOOKUP(U378, 'Base de datos'!A:B, 2, FALSE), "")</f>
        <v>573023403586</v>
      </c>
      <c r="AA378" s="4" t="e">
        <f t="shared" ca="1" si="3"/>
        <v>#NAME?</v>
      </c>
    </row>
    <row r="379" spans="1:27" ht="15.75" customHeight="1">
      <c r="A379" s="5" t="str">
        <f ca="1">IFERROR(__xludf.DUMMYFUNCTION("""COMPUTED_VALUE"""),"POSTOBÓN YUMBO")</f>
        <v>POSTOBÓN YUMBO</v>
      </c>
      <c r="B379" s="5" t="str">
        <f ca="1">IFERROR(__xludf.DUMMYFUNCTION("""COMPUTED_VALUE"""),"0410-LINEA BOTELLON 20 LTS")</f>
        <v>0410-LINEA BOTELLON 20 LTS</v>
      </c>
      <c r="C379" s="5" t="str">
        <f ca="1">IFERROR(__xludf.DUMMYFUNCTION("""COMPUTED_VALUE"""),"LINEA DE PRODUCCION DE BOTELLONES DE 20")</f>
        <v>LINEA DE PRODUCCION DE BOTELLONES DE 20</v>
      </c>
      <c r="D379" s="5">
        <f ca="1">IFERROR(__xludf.DUMMYFUNCTION("""COMPUTED_VALUE"""),82961501)</f>
        <v>82961501</v>
      </c>
      <c r="E379" s="5" t="str">
        <f ca="1">IFERROR(__xludf.DUMMYFUNCTION("""COMPUTED_VALUE"""),"TRANSPORTADOR DE RODILLOS PARA ESTIBAS")</f>
        <v>TRANSPORTADOR DE RODILLOS PARA ESTIBAS</v>
      </c>
      <c r="F379" s="5">
        <f ca="1">IFERROR(__xludf.DUMMYFUNCTION("""COMPUTED_VALUE"""),22697)</f>
        <v>22697</v>
      </c>
      <c r="G379" s="5" t="str">
        <f ca="1">IFERROR(__xludf.DUMMYFUNCTION("""COMPUTED_VALUE"""),"PLAN MTTO LUB TRANS RODILLO 82961501")</f>
        <v>PLAN MTTO LUB TRANS RODILLO 82961501</v>
      </c>
      <c r="H379" s="5">
        <f ca="1">IFERROR(__xludf.DUMMYFUNCTION("""COMPUTED_VALUE"""),13232372)</f>
        <v>13232372</v>
      </c>
      <c r="I379" s="5" t="str">
        <f ca="1">IFERROR(__xludf.DUMMYFUNCTION("""COMPUTED_VALUE"""),"Lubricar chumaceras")</f>
        <v>Lubricar chumaceras</v>
      </c>
      <c r="J379" s="5" t="str">
        <f ca="1">IFERROR(__xludf.DUMMYFUNCTION("""COMPUTED_VALUE"""),"BAJO")</f>
        <v>BAJO</v>
      </c>
      <c r="K379" s="5" t="str">
        <f ca="1">IFERROR(__xludf.DUMMYFUNCTION("""COMPUTED_VALUE"""),"Preventivo")</f>
        <v>Preventivo</v>
      </c>
      <c r="L379" s="5" t="str">
        <f ca="1">IFERROR(__xludf.DUMMYFUNCTION("""COMPUTED_VALUE"""),"Maquinaria")</f>
        <v>Maquinaria</v>
      </c>
      <c r="M379" s="5" t="str">
        <f ca="1">IFERROR(__xludf.DUMMYFUNCTION("""COMPUTED_VALUE"""),"No")</f>
        <v>No</v>
      </c>
      <c r="N379" s="5"/>
      <c r="O379" s="5"/>
      <c r="P379" s="18">
        <f ca="1">IFERROR(__xludf.DUMMYFUNCTION("""COMPUTED_VALUE"""),45329)</f>
        <v>45329</v>
      </c>
      <c r="Q379" s="18">
        <f ca="1">IFERROR(__xludf.DUMMYFUNCTION("""COMPUTED_VALUE"""),45329)</f>
        <v>45329</v>
      </c>
      <c r="R379" s="18"/>
      <c r="S379" s="5">
        <f ca="1">IFERROR(__xludf.DUMMYFUNCTION("""COMPUTED_VALUE"""),0.5)</f>
        <v>0.5</v>
      </c>
      <c r="T379" s="5"/>
      <c r="U379" s="5" t="str">
        <f ca="1">IFERROR(__xludf.DUMMYFUNCTION("""COMPUTED_VALUE"""),"Víctor David Burbano Gómez")</f>
        <v>Víctor David Burbano Gómez</v>
      </c>
      <c r="V379" s="5"/>
      <c r="W379" s="5" t="str">
        <f ca="1">IFERROR(__xludf.DUMMYFUNCTION("""COMPUTED_VALUE"""),"o7VuIPxrqtk")</f>
        <v>o7VuIPxrqtk</v>
      </c>
      <c r="X379" s="5">
        <f ca="1">IFERROR(__xludf.DUMMYFUNCTION("""COMPUTED_VALUE"""),0.5)</f>
        <v>0.5</v>
      </c>
      <c r="Y379" s="5" t="str">
        <f t="shared" si="2"/>
        <v>Actividad sin realizar</v>
      </c>
      <c r="Z379" s="3">
        <f ca="1">IFERROR(VLOOKUP(U379, 'Base de datos'!A:B, 2, FALSE), "")</f>
        <v>573023403586</v>
      </c>
      <c r="AA379" s="4" t="e">
        <f t="shared" ca="1" si="3"/>
        <v>#NAME?</v>
      </c>
    </row>
    <row r="380" spans="1:27" ht="15.75" customHeight="1">
      <c r="A380" s="5" t="str">
        <f ca="1">IFERROR(__xludf.DUMMYFUNCTION("""COMPUTED_VALUE"""),"POSTOBÓN YUMBO")</f>
        <v>POSTOBÓN YUMBO</v>
      </c>
      <c r="B380" s="5" t="str">
        <f ca="1">IFERROR(__xludf.DUMMYFUNCTION("""COMPUTED_VALUE"""),"0410-LINEA BOTELLON 20 LTS")</f>
        <v>0410-LINEA BOTELLON 20 LTS</v>
      </c>
      <c r="C380" s="5" t="str">
        <f ca="1">IFERROR(__xludf.DUMMYFUNCTION("""COMPUTED_VALUE"""),"LINEA DE PRODUCCION DE BOTELLONES DE 20")</f>
        <v>LINEA DE PRODUCCION DE BOTELLONES DE 20</v>
      </c>
      <c r="D380" s="5">
        <f ca="1">IFERROR(__xludf.DUMMYFUNCTION("""COMPUTED_VALUE"""),71951101)</f>
        <v>71951101</v>
      </c>
      <c r="E380" s="5" t="str">
        <f ca="1">IFERROR(__xludf.DUMMYFUNCTION("""COMPUTED_VALUE"""),"TRANSPORTADORES DE BOTELLONES")</f>
        <v>TRANSPORTADORES DE BOTELLONES</v>
      </c>
      <c r="F380" s="5">
        <f ca="1">IFERROR(__xludf.DUMMYFUNCTION("""COMPUTED_VALUE"""),22698)</f>
        <v>22698</v>
      </c>
      <c r="G380" s="5" t="str">
        <f ca="1">IFERROR(__xludf.DUMMYFUNCTION("""COMPUTED_VALUE"""),"PLAN MTTO LUB TRANSP BOTELLONES 71951101")</f>
        <v>PLAN MTTO LUB TRANSP BOTELLONES 71951101</v>
      </c>
      <c r="H380" s="5">
        <f ca="1">IFERROR(__xludf.DUMMYFUNCTION("""COMPUTED_VALUE"""),13232373)</f>
        <v>13232373</v>
      </c>
      <c r="I380" s="5" t="str">
        <f ca="1">IFERROR(__xludf.DUMMYFUNCTION("""COMPUTED_VALUE"""),"Lubricar chumaceras")</f>
        <v>Lubricar chumaceras</v>
      </c>
      <c r="J380" s="5" t="str">
        <f ca="1">IFERROR(__xludf.DUMMYFUNCTION("""COMPUTED_VALUE"""),"MEDIO")</f>
        <v>MEDIO</v>
      </c>
      <c r="K380" s="5" t="str">
        <f ca="1">IFERROR(__xludf.DUMMYFUNCTION("""COMPUTED_VALUE"""),"Preventivo")</f>
        <v>Preventivo</v>
      </c>
      <c r="L380" s="5" t="str">
        <f ca="1">IFERROR(__xludf.DUMMYFUNCTION("""COMPUTED_VALUE"""),"Maquinaria")</f>
        <v>Maquinaria</v>
      </c>
      <c r="M380" s="5" t="str">
        <f ca="1">IFERROR(__xludf.DUMMYFUNCTION("""COMPUTED_VALUE"""),"No")</f>
        <v>No</v>
      </c>
      <c r="N380" s="5"/>
      <c r="O380" s="5"/>
      <c r="P380" s="18">
        <f ca="1">IFERROR(__xludf.DUMMYFUNCTION("""COMPUTED_VALUE"""),45329)</f>
        <v>45329</v>
      </c>
      <c r="Q380" s="18">
        <f ca="1">IFERROR(__xludf.DUMMYFUNCTION("""COMPUTED_VALUE"""),45329)</f>
        <v>45329</v>
      </c>
      <c r="R380" s="18"/>
      <c r="S380" s="5">
        <f ca="1">IFERROR(__xludf.DUMMYFUNCTION("""COMPUTED_VALUE"""),0.5)</f>
        <v>0.5</v>
      </c>
      <c r="T380" s="5"/>
      <c r="U380" s="5" t="str">
        <f ca="1">IFERROR(__xludf.DUMMYFUNCTION("""COMPUTED_VALUE"""),"Víctor David Burbano Gómez")</f>
        <v>Víctor David Burbano Gómez</v>
      </c>
      <c r="V380" s="5"/>
      <c r="W380" s="5" t="str">
        <f ca="1">IFERROR(__xludf.DUMMYFUNCTION("""COMPUTED_VALUE"""),"xUgOap_A_4k")</f>
        <v>xUgOap_A_4k</v>
      </c>
      <c r="X380" s="5">
        <f ca="1">IFERROR(__xludf.DUMMYFUNCTION("""COMPUTED_VALUE"""),0.5)</f>
        <v>0.5</v>
      </c>
      <c r="Y380" s="5" t="str">
        <f t="shared" si="2"/>
        <v>Actividad sin realizar</v>
      </c>
      <c r="Z380" s="3">
        <f ca="1">IFERROR(VLOOKUP(U380, 'Base de datos'!A:B, 2, FALSE), "")</f>
        <v>573023403586</v>
      </c>
      <c r="AA380" s="4" t="e">
        <f t="shared" ca="1" si="3"/>
        <v>#NAME?</v>
      </c>
    </row>
    <row r="381" spans="1:27" ht="15.75" customHeight="1">
      <c r="A381" s="5" t="str">
        <f ca="1">IFERROR(__xludf.DUMMYFUNCTION("""COMPUTED_VALUE"""),"POSTOBÓN YUMBO")</f>
        <v>POSTOBÓN YUMBO</v>
      </c>
      <c r="B381" s="5" t="str">
        <f ca="1">IFERROR(__xludf.DUMMYFUNCTION("""COMPUTED_VALUE"""),"0410-LINEA BOTELLON 20 LTS")</f>
        <v>0410-LINEA BOTELLON 20 LTS</v>
      </c>
      <c r="C381" s="5" t="str">
        <f ca="1">IFERROR(__xludf.DUMMYFUNCTION("""COMPUTED_VALUE"""),"LINEA DE PRODUCCION DE BOTELLONES DE 20")</f>
        <v>LINEA DE PRODUCCION DE BOTELLONES DE 20</v>
      </c>
      <c r="D381" s="5">
        <f ca="1">IFERROR(__xludf.DUMMYFUNCTION("""COMPUTED_VALUE"""),829615)</f>
        <v>829615</v>
      </c>
      <c r="E381" s="5" t="str">
        <f ca="1">IFERROR(__xludf.DUMMYFUNCTION("""COMPUTED_VALUE"""),"TRANSPORTADORES DE HUACALES")</f>
        <v>TRANSPORTADORES DE HUACALES</v>
      </c>
      <c r="F381" s="5">
        <f ca="1">IFERROR(__xludf.DUMMYFUNCTION("""COMPUTED_VALUE"""),22699)</f>
        <v>22699</v>
      </c>
      <c r="G381" s="5" t="str">
        <f ca="1">IFERROR(__xludf.DUMMYFUNCTION("""COMPUTED_VALUE"""),"PLAN MTTO LUB TRANSP HUACALES 829615")</f>
        <v>PLAN MTTO LUB TRANSP HUACALES 829615</v>
      </c>
      <c r="H381" s="5">
        <f ca="1">IFERROR(__xludf.DUMMYFUNCTION("""COMPUTED_VALUE"""),13232374)</f>
        <v>13232374</v>
      </c>
      <c r="I381" s="5" t="str">
        <f ca="1">IFERROR(__xludf.DUMMYFUNCTION("""COMPUTED_VALUE"""),"Lubricar chumaceras")</f>
        <v>Lubricar chumaceras</v>
      </c>
      <c r="J381" s="5" t="str">
        <f ca="1">IFERROR(__xludf.DUMMYFUNCTION("""COMPUTED_VALUE"""),"MEDIO")</f>
        <v>MEDIO</v>
      </c>
      <c r="K381" s="5" t="str">
        <f ca="1">IFERROR(__xludf.DUMMYFUNCTION("""COMPUTED_VALUE"""),"Preventivo")</f>
        <v>Preventivo</v>
      </c>
      <c r="L381" s="5" t="str">
        <f ca="1">IFERROR(__xludf.DUMMYFUNCTION("""COMPUTED_VALUE"""),"Maquinaria")</f>
        <v>Maquinaria</v>
      </c>
      <c r="M381" s="5" t="str">
        <f ca="1">IFERROR(__xludf.DUMMYFUNCTION("""COMPUTED_VALUE"""),"No")</f>
        <v>No</v>
      </c>
      <c r="N381" s="5"/>
      <c r="O381" s="5"/>
      <c r="P381" s="18">
        <f ca="1">IFERROR(__xludf.DUMMYFUNCTION("""COMPUTED_VALUE"""),45329)</f>
        <v>45329</v>
      </c>
      <c r="Q381" s="18">
        <f ca="1">IFERROR(__xludf.DUMMYFUNCTION("""COMPUTED_VALUE"""),45329)</f>
        <v>45329</v>
      </c>
      <c r="R381" s="18"/>
      <c r="S381" s="5">
        <f ca="1">IFERROR(__xludf.DUMMYFUNCTION("""COMPUTED_VALUE"""),0.5)</f>
        <v>0.5</v>
      </c>
      <c r="T381" s="5"/>
      <c r="U381" s="5" t="str">
        <f ca="1">IFERROR(__xludf.DUMMYFUNCTION("""COMPUTED_VALUE"""),"Víctor David Burbano Gómez")</f>
        <v>Víctor David Burbano Gómez</v>
      </c>
      <c r="V381" s="5"/>
      <c r="W381" s="5" t="str">
        <f ca="1">IFERROR(__xludf.DUMMYFUNCTION("""COMPUTED_VALUE"""),"wyPYbXwibJI")</f>
        <v>wyPYbXwibJI</v>
      </c>
      <c r="X381" s="5">
        <f ca="1">IFERROR(__xludf.DUMMYFUNCTION("""COMPUTED_VALUE"""),0.5)</f>
        <v>0.5</v>
      </c>
      <c r="Y381" s="5" t="str">
        <f t="shared" si="2"/>
        <v>Actividad sin realizar</v>
      </c>
      <c r="Z381" s="3">
        <f ca="1">IFERROR(VLOOKUP(U381, 'Base de datos'!A:B, 2, FALSE), "")</f>
        <v>573023403586</v>
      </c>
      <c r="AA381" s="4" t="e">
        <f t="shared" ca="1" si="3"/>
        <v>#NAME?</v>
      </c>
    </row>
    <row r="382" spans="1:27" ht="15.75" customHeight="1">
      <c r="A382" s="5" t="str">
        <f ca="1">IFERROR(__xludf.DUMMYFUNCTION("""COMPUTED_VALUE"""),"POSTOBÓN YUMBO")</f>
        <v>POSTOBÓN YUMBO</v>
      </c>
      <c r="B382" s="5" t="str">
        <f ca="1">IFERROR(__xludf.DUMMYFUNCTION("""COMPUTED_VALUE"""),"0410-EQUIPOS AUXILIARES")</f>
        <v>0410-EQUIPOS AUXILIARES</v>
      </c>
      <c r="C382" s="5" t="str">
        <f ca="1">IFERROR(__xludf.DUMMYFUNCTION("""COMPUTED_VALUE"""),"EQUIPOS PARA SERVICIOS INDUSTRIALES")</f>
        <v>EQUIPOS PARA SERVICIOS INDUSTRIALES</v>
      </c>
      <c r="D382" s="5">
        <f ca="1">IFERROR(__xludf.DUMMYFUNCTION("""COMPUTED_VALUE"""),628831)</f>
        <v>628831</v>
      </c>
      <c r="E382" s="5" t="str">
        <f ca="1">IFERROR(__xludf.DUMMYFUNCTION("""COMPUTED_VALUE"""),"COMPRESOR REFRIGERACION RECIPROCANTE 2")</f>
        <v>COMPRESOR REFRIGERACION RECIPROCANTE 2</v>
      </c>
      <c r="F382" s="5">
        <f ca="1">IFERROR(__xludf.DUMMYFUNCTION("""COMPUTED_VALUE"""),21694)</f>
        <v>21694</v>
      </c>
      <c r="G382" s="5" t="str">
        <f ca="1">IFERROR(__xludf.DUMMYFUNCTION("""COMPUTED_VALUE"""),"PLAN DE MTTO MEC COMPRESOR REFRIG 2")</f>
        <v>PLAN DE MTTO MEC COMPRESOR REFRIG 2</v>
      </c>
      <c r="H382" s="5">
        <f ca="1">IFERROR(__xludf.DUMMYFUNCTION("""COMPUTED_VALUE"""),13193537)</f>
        <v>13193537</v>
      </c>
      <c r="I382" s="5" t="str">
        <f ca="1">IFERROR(__xludf.DUMMYFUNCTION("""COMPUTED_VALUE"""),"Revisar descargadores")</f>
        <v>Revisar descargadores</v>
      </c>
      <c r="J382" s="5" t="str">
        <f ca="1">IFERROR(__xludf.DUMMYFUNCTION("""COMPUTED_VALUE"""),"MEDIO")</f>
        <v>MEDIO</v>
      </c>
      <c r="K382" s="5" t="str">
        <f ca="1">IFERROR(__xludf.DUMMYFUNCTION("""COMPUTED_VALUE"""),"Preventivo")</f>
        <v>Preventivo</v>
      </c>
      <c r="L382" s="5" t="str">
        <f ca="1">IFERROR(__xludf.DUMMYFUNCTION("""COMPUTED_VALUE"""),"Maquinaria")</f>
        <v>Maquinaria</v>
      </c>
      <c r="M382" s="5" t="str">
        <f ca="1">IFERROR(__xludf.DUMMYFUNCTION("""COMPUTED_VALUE"""),"No")</f>
        <v>No</v>
      </c>
      <c r="N382" s="5"/>
      <c r="O382" s="5"/>
      <c r="P382" s="18">
        <f ca="1">IFERROR(__xludf.DUMMYFUNCTION("""COMPUTED_VALUE"""),45326)</f>
        <v>45326</v>
      </c>
      <c r="Q382" s="18">
        <f ca="1">IFERROR(__xludf.DUMMYFUNCTION("""COMPUTED_VALUE"""),45326)</f>
        <v>45326</v>
      </c>
      <c r="R382" s="18"/>
      <c r="S382" s="5">
        <f ca="1">IFERROR(__xludf.DUMMYFUNCTION("""COMPUTED_VALUE"""),1)</f>
        <v>1</v>
      </c>
      <c r="T382" s="5"/>
      <c r="U382" s="5" t="str">
        <f ca="1">IFERROR(__xludf.DUMMYFUNCTION("""COMPUTED_VALUE"""),"MUÑOZ VALENCIA JEFFERSON")</f>
        <v>MUÑOZ VALENCIA JEFFERSON</v>
      </c>
      <c r="V382" s="5"/>
      <c r="W382" s="5" t="str">
        <f ca="1">IFERROR(__xludf.DUMMYFUNCTION("""COMPUTED_VALUE"""),"IOTt1oUGv38")</f>
        <v>IOTt1oUGv38</v>
      </c>
      <c r="X382" s="5">
        <f ca="1">IFERROR(__xludf.DUMMYFUNCTION("""COMPUTED_VALUE"""),1)</f>
        <v>1</v>
      </c>
      <c r="Y382" s="5" t="str">
        <f t="shared" si="2"/>
        <v>Actividad sin realizar</v>
      </c>
      <c r="Z382" s="3">
        <f ca="1">IFERROR(VLOOKUP(U382, 'Base de datos'!A:B, 2, FALSE), "")</f>
        <v>573122261803</v>
      </c>
      <c r="AA382" s="4" t="e">
        <f t="shared" ca="1" si="3"/>
        <v>#NAME?</v>
      </c>
    </row>
    <row r="383" spans="1:27" ht="15.75" customHeight="1">
      <c r="A383" s="5" t="str">
        <f ca="1">IFERROR(__xludf.DUMMYFUNCTION("""COMPUTED_VALUE"""),"POSTOBÓN YUMBO")</f>
        <v>POSTOBÓN YUMBO</v>
      </c>
      <c r="B383" s="5" t="str">
        <f ca="1">IFERROR(__xludf.DUMMYFUNCTION("""COMPUTED_VALUE"""),"0410-LINEA DE BOLSAS")</f>
        <v>0410-LINEA DE BOLSAS</v>
      </c>
      <c r="C383" s="5" t="str">
        <f ca="1">IFERROR(__xludf.DUMMYFUNCTION("""COMPUTED_VALUE"""),"LINEA PARA EL LLENADO DE BOLSAS")</f>
        <v>LINEA PARA EL LLENADO DE BOLSAS</v>
      </c>
      <c r="D383" s="5">
        <f ca="1">IFERROR(__xludf.DUMMYFUNCTION("""COMPUTED_VALUE"""),560026)</f>
        <v>560026</v>
      </c>
      <c r="E383" s="5" t="str">
        <f ca="1">IFERROR(__xludf.DUMMYFUNCTION("""COMPUTED_VALUE"""),"LAVADORA DE CAJAS PLASTICAS")</f>
        <v>LAVADORA DE CAJAS PLASTICAS</v>
      </c>
      <c r="F383" s="5">
        <f ca="1">IFERROR(__xludf.DUMMYFUNCTION("""COMPUTED_VALUE"""),22713)</f>
        <v>22713</v>
      </c>
      <c r="G383" s="5" t="str">
        <f ca="1">IFERROR(__xludf.DUMMYFUNCTION("""COMPUTED_VALUE"""),"PLAN MTTO LUB LAVADORA CAJAS BOLS 560026")</f>
        <v>PLAN MTTO LUB LAVADORA CAJAS BOLS 560026</v>
      </c>
      <c r="H383" s="5">
        <f ca="1">IFERROR(__xludf.DUMMYFUNCTION("""COMPUTED_VALUE"""),13232375)</f>
        <v>13232375</v>
      </c>
      <c r="I383" s="5" t="str">
        <f ca="1">IFERROR(__xludf.DUMMYFUNCTION("""COMPUTED_VALUE"""),"Lubricar Chumaceras")</f>
        <v>Lubricar Chumaceras</v>
      </c>
      <c r="J383" s="5" t="str">
        <f ca="1">IFERROR(__xludf.DUMMYFUNCTION("""COMPUTED_VALUE"""),"MEDIO")</f>
        <v>MEDIO</v>
      </c>
      <c r="K383" s="5" t="str">
        <f ca="1">IFERROR(__xludf.DUMMYFUNCTION("""COMPUTED_VALUE"""),"Preventivo")</f>
        <v>Preventivo</v>
      </c>
      <c r="L383" s="5" t="str">
        <f ca="1">IFERROR(__xludf.DUMMYFUNCTION("""COMPUTED_VALUE"""),"Maquinaria")</f>
        <v>Maquinaria</v>
      </c>
      <c r="M383" s="5" t="str">
        <f ca="1">IFERROR(__xludf.DUMMYFUNCTION("""COMPUTED_VALUE"""),"No")</f>
        <v>No</v>
      </c>
      <c r="N383" s="5"/>
      <c r="O383" s="5"/>
      <c r="P383" s="18">
        <f ca="1">IFERROR(__xludf.DUMMYFUNCTION("""COMPUTED_VALUE"""),45329)</f>
        <v>45329</v>
      </c>
      <c r="Q383" s="18">
        <f ca="1">IFERROR(__xludf.DUMMYFUNCTION("""COMPUTED_VALUE"""),45329)</f>
        <v>45329</v>
      </c>
      <c r="R383" s="18"/>
      <c r="S383" s="5">
        <f ca="1">IFERROR(__xludf.DUMMYFUNCTION("""COMPUTED_VALUE"""),0.5)</f>
        <v>0.5</v>
      </c>
      <c r="T383" s="5"/>
      <c r="U383" s="5" t="str">
        <f ca="1">IFERROR(__xludf.DUMMYFUNCTION("""COMPUTED_VALUE"""),"ESTEBAN POTOSI ISAZA")</f>
        <v>ESTEBAN POTOSI ISAZA</v>
      </c>
      <c r="V383" s="5"/>
      <c r="W383" s="5" t="str">
        <f ca="1">IFERROR(__xludf.DUMMYFUNCTION("""COMPUTED_VALUE"""),"P2kclmSysg4")</f>
        <v>P2kclmSysg4</v>
      </c>
      <c r="X383" s="5">
        <f ca="1">IFERROR(__xludf.DUMMYFUNCTION("""COMPUTED_VALUE"""),0.5)</f>
        <v>0.5</v>
      </c>
      <c r="Y383" s="5" t="str">
        <f t="shared" si="2"/>
        <v>Actividad sin realizar</v>
      </c>
      <c r="Z383" s="3">
        <f ca="1">IFERROR(VLOOKUP(U383, 'Base de datos'!A:B, 2, FALSE), "")</f>
        <v>573128543241</v>
      </c>
      <c r="AA383" s="4" t="e">
        <f t="shared" ca="1" si="3"/>
        <v>#NAME?</v>
      </c>
    </row>
    <row r="384" spans="1:27" ht="15.75" customHeight="1">
      <c r="A384" s="5" t="str">
        <f ca="1">IFERROR(__xludf.DUMMYFUNCTION("""COMPUTED_VALUE"""),"POSTOBÓN YUMBO")</f>
        <v>POSTOBÓN YUMBO</v>
      </c>
      <c r="B384" s="5" t="str">
        <f ca="1">IFERROR(__xludf.DUMMYFUNCTION("""COMPUTED_VALUE"""),"0410-LINEA 3")</f>
        <v>0410-LINEA 3</v>
      </c>
      <c r="C384" s="5" t="str">
        <f ca="1">IFERROR(__xludf.DUMMYFUNCTION("""COMPUTED_VALUE"""),"LINEA DE ENVASADO TAMAÑO PERSONAL")</f>
        <v>LINEA DE ENVASADO TAMAÑO PERSONAL</v>
      </c>
      <c r="D384" s="5">
        <f ca="1">IFERROR(__xludf.DUMMYFUNCTION("""COMPUTED_VALUE"""),508169)</f>
        <v>508169</v>
      </c>
      <c r="E384" s="5" t="str">
        <f ca="1">IFERROR(__xludf.DUMMYFUNCTION("""COMPUTED_VALUE"""),"LAVADORA DE BOTELLAS")</f>
        <v>LAVADORA DE BOTELLAS</v>
      </c>
      <c r="F384" s="5">
        <f ca="1">IFERROR(__xludf.DUMMYFUNCTION("""COMPUTED_VALUE"""),13351)</f>
        <v>13351</v>
      </c>
      <c r="G384" s="5" t="str">
        <f ca="1">IFERROR(__xludf.DUMMYFUNCTION("""COMPUTED_VALUE"""),"Mantto lubricacion lavadora de botellas.")</f>
        <v>Mantto lubricacion lavadora de botellas.</v>
      </c>
      <c r="H384" s="5">
        <f ca="1">IFERROR(__xludf.DUMMYFUNCTION("""COMPUTED_VALUE"""),13247132)</f>
        <v>13247132</v>
      </c>
      <c r="I384" s="5" t="str">
        <f ca="1">IFERROR(__xludf.DUMMYFUNCTION("""COMPUTED_VALUE"""),"Lubricar tablero cargue y descargue.")</f>
        <v>Lubricar tablero cargue y descargue.</v>
      </c>
      <c r="J384" s="5" t="str">
        <f ca="1">IFERROR(__xludf.DUMMYFUNCTION("""COMPUTED_VALUE"""),"ALTO")</f>
        <v>ALTO</v>
      </c>
      <c r="K384" s="5" t="str">
        <f ca="1">IFERROR(__xludf.DUMMYFUNCTION("""COMPUTED_VALUE"""),"Preventivo")</f>
        <v>Preventivo</v>
      </c>
      <c r="L384" s="5" t="str">
        <f ca="1">IFERROR(__xludf.DUMMYFUNCTION("""COMPUTED_VALUE"""),"Maquinaria")</f>
        <v>Maquinaria</v>
      </c>
      <c r="M384" s="5" t="str">
        <f ca="1">IFERROR(__xludf.DUMMYFUNCTION("""COMPUTED_VALUE"""),"No")</f>
        <v>No</v>
      </c>
      <c r="N384" s="5"/>
      <c r="O384" s="5"/>
      <c r="P384" s="18">
        <f ca="1">IFERROR(__xludf.DUMMYFUNCTION("""COMPUTED_VALUE"""),45324)</f>
        <v>45324</v>
      </c>
      <c r="Q384" s="18">
        <f ca="1">IFERROR(__xludf.DUMMYFUNCTION("""COMPUTED_VALUE"""),45324)</f>
        <v>45324</v>
      </c>
      <c r="R384" s="18"/>
      <c r="S384" s="5">
        <f ca="1">IFERROR(__xludf.DUMMYFUNCTION("""COMPUTED_VALUE"""),1)</f>
        <v>1</v>
      </c>
      <c r="T384" s="5"/>
      <c r="U384" s="5" t="str">
        <f ca="1">IFERROR(__xludf.DUMMYFUNCTION("""COMPUTED_VALUE"""),"Jimenez Jhon")</f>
        <v>Jimenez Jhon</v>
      </c>
      <c r="V384" s="5"/>
      <c r="W384" s="5" t="str">
        <f ca="1">IFERROR(__xludf.DUMMYFUNCTION("""COMPUTED_VALUE"""),"PJU412r4OAY")</f>
        <v>PJU412r4OAY</v>
      </c>
      <c r="X384" s="5">
        <f ca="1">IFERROR(__xludf.DUMMYFUNCTION("""COMPUTED_VALUE"""),1)</f>
        <v>1</v>
      </c>
      <c r="Y384" s="5" t="str">
        <f t="shared" si="2"/>
        <v>Actividad sin realizar</v>
      </c>
      <c r="Z384" s="3">
        <f ca="1">IFERROR(VLOOKUP(U384, 'Base de datos'!A:B, 2, FALSE), "")</f>
        <v>573147637946</v>
      </c>
      <c r="AA384" s="4" t="e">
        <f t="shared" ca="1" si="3"/>
        <v>#NAME?</v>
      </c>
    </row>
    <row r="385" spans="1:27" ht="15.75" customHeight="1">
      <c r="A385" s="5" t="str">
        <f ca="1">IFERROR(__xludf.DUMMYFUNCTION("""COMPUTED_VALUE"""),"POSTOBÓN YUMBO")</f>
        <v>POSTOBÓN YUMBO</v>
      </c>
      <c r="B385" s="5" t="str">
        <f ca="1">IFERROR(__xludf.DUMMYFUNCTION("""COMPUTED_VALUE"""),"0410-SALA DE JARABE TERMINADO")</f>
        <v>0410-SALA DE JARABE TERMINADO</v>
      </c>
      <c r="C385" s="5" t="str">
        <f ca="1">IFERROR(__xludf.DUMMYFUNCTION("""COMPUTED_VALUE"""),"EQUIPOS PARA PREPARACION DE JARABE")</f>
        <v>EQUIPOS PARA PREPARACION DE JARABE</v>
      </c>
      <c r="D385" s="5">
        <f ca="1">IFERROR(__xludf.DUMMYFUNCTION("""COMPUTED_VALUE"""),69963406)</f>
        <v>69963406</v>
      </c>
      <c r="E385" s="5" t="str">
        <f ca="1">IFERROR(__xludf.DUMMYFUNCTION("""COMPUTED_VALUE"""),"TANQUE DE JARABE")</f>
        <v>TANQUE DE JARABE</v>
      </c>
      <c r="F385" s="5">
        <f ca="1">IFERROR(__xludf.DUMMYFUNCTION("""COMPUTED_VALUE"""),17361)</f>
        <v>17361</v>
      </c>
      <c r="G385" s="5" t="str">
        <f ca="1">IFERROR(__xludf.DUMMYFUNCTION("""COMPUTED_VALUE"""),"MTTO ELE TK JARABE 3 JARABE TERMINADO")</f>
        <v>MTTO ELE TK JARABE 3 JARABE TERMINADO</v>
      </c>
      <c r="H385" s="5">
        <f ca="1">IFERROR(__xludf.DUMMYFUNCTION("""COMPUTED_VALUE"""),13247153)</f>
        <v>13247153</v>
      </c>
      <c r="I385" s="5" t="str">
        <f ca="1">IFERROR(__xludf.DUMMYFUNCTION("""COMPUTED_VALUE"""),"MOTOR BOMBA DE RECIRCULACION:")</f>
        <v>MOTOR BOMBA DE RECIRCULACION:</v>
      </c>
      <c r="J385" s="5" t="str">
        <f ca="1">IFERROR(__xludf.DUMMYFUNCTION("""COMPUTED_VALUE"""),"ALTO")</f>
        <v>ALTO</v>
      </c>
      <c r="K385" s="5" t="str">
        <f ca="1">IFERROR(__xludf.DUMMYFUNCTION("""COMPUTED_VALUE"""),"Preventivo")</f>
        <v>Preventivo</v>
      </c>
      <c r="L385" s="5" t="str">
        <f ca="1">IFERROR(__xludf.DUMMYFUNCTION("""COMPUTED_VALUE"""),"Maquinaria")</f>
        <v>Maquinaria</v>
      </c>
      <c r="M385" s="5" t="str">
        <f ca="1">IFERROR(__xludf.DUMMYFUNCTION("""COMPUTED_VALUE"""),"No")</f>
        <v>No</v>
      </c>
      <c r="N385" s="5"/>
      <c r="O385" s="5">
        <f ca="1">IFERROR(__xludf.DUMMYFUNCTION("""COMPUTED_VALUE"""),100)</f>
        <v>100</v>
      </c>
      <c r="P385" s="18">
        <f ca="1">IFERROR(__xludf.DUMMYFUNCTION("""COMPUTED_VALUE"""),45343)</f>
        <v>45343</v>
      </c>
      <c r="Q385" s="18">
        <f ca="1">IFERROR(__xludf.DUMMYFUNCTION("""COMPUTED_VALUE"""),45343)</f>
        <v>45343</v>
      </c>
      <c r="R385" s="18"/>
      <c r="S385" s="5">
        <f ca="1">IFERROR(__xludf.DUMMYFUNCTION("""COMPUTED_VALUE"""),1)</f>
        <v>1</v>
      </c>
      <c r="T385" s="5"/>
      <c r="U385" s="5" t="str">
        <f ca="1">IFERROR(__xludf.DUMMYFUNCTION("""COMPUTED_VALUE"""),"Moreno Pernia Bladimir")</f>
        <v>Moreno Pernia Bladimir</v>
      </c>
      <c r="V385" s="5"/>
      <c r="W385" s="5" t="str">
        <f ca="1">IFERROR(__xludf.DUMMYFUNCTION("""COMPUTED_VALUE"""),"5tTL3mS8Sww")</f>
        <v>5tTL3mS8Sww</v>
      </c>
      <c r="X385" s="5">
        <f ca="1">IFERROR(__xludf.DUMMYFUNCTION("""COMPUTED_VALUE"""),1)</f>
        <v>1</v>
      </c>
      <c r="Y385" s="5" t="str">
        <f t="shared" ca="1" si="2"/>
        <v>Actividad realizada</v>
      </c>
      <c r="Z385" s="3">
        <f ca="1">IFERROR(VLOOKUP(U385, 'Base de datos'!A:B, 2, FALSE), "")</f>
        <v>573148903137</v>
      </c>
      <c r="AA385" s="4" t="e">
        <f t="shared" ca="1" si="3"/>
        <v>#NAME?</v>
      </c>
    </row>
    <row r="386" spans="1:27" ht="15.75" customHeight="1">
      <c r="A386" s="5" t="str">
        <f ca="1">IFERROR(__xludf.DUMMYFUNCTION("""COMPUTED_VALUE"""),"POSTOBÓN YUMBO")</f>
        <v>POSTOBÓN YUMBO</v>
      </c>
      <c r="B386" s="5" t="str">
        <f ca="1">IFERROR(__xludf.DUMMYFUNCTION("""COMPUTED_VALUE"""),"0410-EQUIPOS AUXILIARES")</f>
        <v>0410-EQUIPOS AUXILIARES</v>
      </c>
      <c r="C386" s="5" t="str">
        <f ca="1">IFERROR(__xludf.DUMMYFUNCTION("""COMPUTED_VALUE"""),"EQUIPOS PARA SERVICIOS INDUSTRIALES")</f>
        <v>EQUIPOS PARA SERVICIOS INDUSTRIALES</v>
      </c>
      <c r="D386" s="5">
        <f ca="1">IFERROR(__xludf.DUMMYFUNCTION("""COMPUTED_VALUE"""),689634)</f>
        <v>689634</v>
      </c>
      <c r="E386" s="5" t="str">
        <f ca="1">IFERROR(__xludf.DUMMYFUNCTION("""COMPUTED_VALUE"""),"REDES HIDRAULICAS Y NEUMATICAS")</f>
        <v>REDES HIDRAULICAS Y NEUMATICAS</v>
      </c>
      <c r="F386" s="5">
        <f ca="1">IFERROR(__xludf.DUMMYFUNCTION("""COMPUTED_VALUE"""),37845)</f>
        <v>37845</v>
      </c>
      <c r="G386" s="5" t="str">
        <f ca="1">IFERROR(__xludf.DUMMYFUNCTION("""COMPUTED_VALUE"""),"INSPECCION SEMANAL REDES HIDRAULICAS Y N")</f>
        <v>INSPECCION SEMANAL REDES HIDRAULICAS Y N</v>
      </c>
      <c r="H386" s="5">
        <f ca="1">IFERROR(__xludf.DUMMYFUNCTION("""COMPUTED_VALUE"""),13195568)</f>
        <v>13195568</v>
      </c>
      <c r="I386" s="5" t="str">
        <f ca="1">IFERROR(__xludf.DUMMYFUNCTION("""COMPUTED_VALUE"""),"CAMBIO TUBERIA AGUA SUAV. CRIWA")</f>
        <v>CAMBIO TUBERIA AGUA SUAV. CRIWA</v>
      </c>
      <c r="J386" s="5" t="str">
        <f ca="1">IFERROR(__xludf.DUMMYFUNCTION("""COMPUTED_VALUE"""),"MEDIO")</f>
        <v>MEDIO</v>
      </c>
      <c r="K386" s="5" t="str">
        <f ca="1">IFERROR(__xludf.DUMMYFUNCTION("""COMPUTED_VALUE"""),"Preventivo")</f>
        <v>Preventivo</v>
      </c>
      <c r="L386" s="5" t="str">
        <f ca="1">IFERROR(__xludf.DUMMYFUNCTION("""COMPUTED_VALUE"""),"Maquinaria")</f>
        <v>Maquinaria</v>
      </c>
      <c r="M386" s="5" t="str">
        <f ca="1">IFERROR(__xludf.DUMMYFUNCTION("""COMPUTED_VALUE"""),"No")</f>
        <v>No</v>
      </c>
      <c r="N386" s="5"/>
      <c r="O386" s="5"/>
      <c r="P386" s="18">
        <f ca="1">IFERROR(__xludf.DUMMYFUNCTION("""COMPUTED_VALUE"""),45324)</f>
        <v>45324</v>
      </c>
      <c r="Q386" s="18">
        <f ca="1">IFERROR(__xludf.DUMMYFUNCTION("""COMPUTED_VALUE"""),45324)</f>
        <v>45324</v>
      </c>
      <c r="R386" s="18"/>
      <c r="S386" s="5">
        <f ca="1">IFERROR(__xludf.DUMMYFUNCTION("""COMPUTED_VALUE"""),3)</f>
        <v>3</v>
      </c>
      <c r="T386" s="5"/>
      <c r="U386" s="5" t="str">
        <f ca="1">IFERROR(__xludf.DUMMYFUNCTION("""COMPUTED_VALUE"""),"Guzman Palechor Miguel Angel")</f>
        <v>Guzman Palechor Miguel Angel</v>
      </c>
      <c r="V386" s="5"/>
      <c r="W386" s="5" t="str">
        <f ca="1">IFERROR(__xludf.DUMMYFUNCTION("""COMPUTED_VALUE"""),"XhA6QB6LZH8")</f>
        <v>XhA6QB6LZH8</v>
      </c>
      <c r="X386" s="5">
        <f ca="1">IFERROR(__xludf.DUMMYFUNCTION("""COMPUTED_VALUE"""),3)</f>
        <v>3</v>
      </c>
      <c r="Y386" s="5" t="str">
        <f t="shared" si="2"/>
        <v>Actividad sin realizar</v>
      </c>
      <c r="Z386" s="3">
        <f ca="1">IFERROR(VLOOKUP(U386, 'Base de datos'!A:B, 2, FALSE), "")</f>
        <v>573112422176</v>
      </c>
      <c r="AA386" s="4" t="e">
        <f t="shared" ca="1" si="3"/>
        <v>#NAME?</v>
      </c>
    </row>
    <row r="387" spans="1:27" ht="15.75" customHeight="1">
      <c r="A387" s="5" t="str">
        <f ca="1">IFERROR(__xludf.DUMMYFUNCTION("""COMPUTED_VALUE"""),"POSTOBÓN YUMBO")</f>
        <v>POSTOBÓN YUMBO</v>
      </c>
      <c r="B387" s="5" t="str">
        <f ca="1">IFERROR(__xludf.DUMMYFUNCTION("""COMPUTED_VALUE"""),"0410-EQUIPOS AUXILIARES")</f>
        <v>0410-EQUIPOS AUXILIARES</v>
      </c>
      <c r="C387" s="5" t="str">
        <f ca="1">IFERROR(__xludf.DUMMYFUNCTION("""COMPUTED_VALUE"""),"EQUIPOS PARA SERVICIOS INDUSTRIALES")</f>
        <v>EQUIPOS PARA SERVICIOS INDUSTRIALES</v>
      </c>
      <c r="D387" s="5">
        <f ca="1">IFERROR(__xludf.DUMMYFUNCTION("""COMPUTED_VALUE"""),649544)</f>
        <v>649544</v>
      </c>
      <c r="E387" s="5" t="str">
        <f ca="1">IFERROR(__xludf.DUMMYFUNCTION("""COMPUTED_VALUE"""),"COMPRESOR AIRE 3")</f>
        <v>COMPRESOR AIRE 3</v>
      </c>
      <c r="F387" s="5">
        <f ca="1">IFERROR(__xludf.DUMMYFUNCTION("""COMPUTED_VALUE"""),22534)</f>
        <v>22534</v>
      </c>
      <c r="G387" s="5" t="str">
        <f ca="1">IFERROR(__xludf.DUMMYFUNCTION("""COMPUTED_VALUE"""),"PLAN MTTO MEC COMPRESOR AIRE SIERRA 3")</f>
        <v>PLAN MTTO MEC COMPRESOR AIRE SIERRA 3</v>
      </c>
      <c r="H387" s="5">
        <f ca="1">IFERROR(__xludf.DUMMYFUNCTION("""COMPUTED_VALUE"""),13207428)</f>
        <v>13207428</v>
      </c>
      <c r="I387" s="5" t="str">
        <f ca="1">IFERROR(__xludf.DUMMYFUNCTION("""COMPUTED_VALUE"""),"MTTO SILENCIADORES:")</f>
        <v>MTTO SILENCIADORES:</v>
      </c>
      <c r="J387" s="5" t="str">
        <f ca="1">IFERROR(__xludf.DUMMYFUNCTION("""COMPUTED_VALUE"""),"MEDIO")</f>
        <v>MEDIO</v>
      </c>
      <c r="K387" s="5" t="str">
        <f ca="1">IFERROR(__xludf.DUMMYFUNCTION("""COMPUTED_VALUE"""),"Preventivo")</f>
        <v>Preventivo</v>
      </c>
      <c r="L387" s="5" t="str">
        <f ca="1">IFERROR(__xludf.DUMMYFUNCTION("""COMPUTED_VALUE"""),"Maquinaria")</f>
        <v>Maquinaria</v>
      </c>
      <c r="M387" s="5" t="str">
        <f ca="1">IFERROR(__xludf.DUMMYFUNCTION("""COMPUTED_VALUE"""),"No")</f>
        <v>No</v>
      </c>
      <c r="N387" s="5"/>
      <c r="O387" s="5"/>
      <c r="P387" s="18">
        <f ca="1">IFERROR(__xludf.DUMMYFUNCTION("""COMPUTED_VALUE"""),45336)</f>
        <v>45336</v>
      </c>
      <c r="Q387" s="18">
        <f ca="1">IFERROR(__xludf.DUMMYFUNCTION("""COMPUTED_VALUE"""),45336)</f>
        <v>45336</v>
      </c>
      <c r="R387" s="18"/>
      <c r="S387" s="5">
        <f ca="1">IFERROR(__xludf.DUMMYFUNCTION("""COMPUTED_VALUE"""),0.5)</f>
        <v>0.5</v>
      </c>
      <c r="T387" s="5"/>
      <c r="U387" s="5" t="str">
        <f ca="1">IFERROR(__xludf.DUMMYFUNCTION("""COMPUTED_VALUE"""),"MARIO ALBERTO MARTÍNEZ MORA")</f>
        <v>MARIO ALBERTO MARTÍNEZ MORA</v>
      </c>
      <c r="V387" s="5"/>
      <c r="W387" s="5" t="str">
        <f ca="1">IFERROR(__xludf.DUMMYFUNCTION("""COMPUTED_VALUE"""),"Ms5IFRJGzSE")</f>
        <v>Ms5IFRJGzSE</v>
      </c>
      <c r="X387" s="5">
        <f ca="1">IFERROR(__xludf.DUMMYFUNCTION("""COMPUTED_VALUE"""),0.5)</f>
        <v>0.5</v>
      </c>
      <c r="Y387" s="5" t="str">
        <f t="shared" si="2"/>
        <v>Actividad sin realizar</v>
      </c>
      <c r="Z387" s="3">
        <f ca="1">IFERROR(VLOOKUP(U387, 'Base de datos'!A:B, 2, FALSE), "")</f>
        <v>573116493969</v>
      </c>
      <c r="AA387" s="4" t="e">
        <f t="shared" ca="1" si="3"/>
        <v>#NAME?</v>
      </c>
    </row>
    <row r="388" spans="1:27" ht="15.75" customHeight="1">
      <c r="A388" s="5" t="str">
        <f ca="1">IFERROR(__xludf.DUMMYFUNCTION("""COMPUTED_VALUE"""),"POSTOBÓN YUMBO")</f>
        <v>POSTOBÓN YUMBO</v>
      </c>
      <c r="B388" s="5" t="str">
        <f ca="1">IFERROR(__xludf.DUMMYFUNCTION("""COMPUTED_VALUE"""),"0410-PLANTA DE AGUA ENVASADO")</f>
        <v>0410-PLANTA DE AGUA ENVASADO</v>
      </c>
      <c r="C388" s="5" t="str">
        <f ca="1">IFERROR(__xludf.DUMMYFUNCTION("""COMPUTED_VALUE"""),"TRATAMIENTO DE AGUA PARA ENVASADO")</f>
        <v>TRATAMIENTO DE AGUA PARA ENVASADO</v>
      </c>
      <c r="D388" s="5">
        <f ca="1">IFERROR(__xludf.DUMMYFUNCTION("""COMPUTED_VALUE"""),70948955)</f>
        <v>70948955</v>
      </c>
      <c r="E388" s="5" t="str">
        <f ca="1">IFERROR(__xludf.DUMMYFUNCTION("""COMPUTED_VALUE"""),"TANQUE ALCALINO (BEVRO) - CIP")</f>
        <v>TANQUE ALCALINO (BEVRO) - CIP</v>
      </c>
      <c r="F388" s="5">
        <f ca="1">IFERROR(__xludf.DUMMYFUNCTION("""COMPUTED_VALUE"""),32898)</f>
        <v>32898</v>
      </c>
      <c r="G388" s="5" t="str">
        <f ca="1">IFERROR(__xludf.DUMMYFUNCTION("""COMPUTED_VALUE"""),"PLAN MTTO MEC TANQUE ALCALINO (BEVRO) -")</f>
        <v>PLAN MTTO MEC TANQUE ALCALINO (BEVRO) -</v>
      </c>
      <c r="H388" s="5">
        <f ca="1">IFERROR(__xludf.DUMMYFUNCTION("""COMPUTED_VALUE"""),13207498)</f>
        <v>13207498</v>
      </c>
      <c r="I388" s="5" t="str">
        <f ca="1">IFERROR(__xludf.DUMMYFUNCTION("""COMPUTED_VALUE"""),"VERIFICACION FUGAS")</f>
        <v>VERIFICACION FUGAS</v>
      </c>
      <c r="J388" s="5" t="str">
        <f ca="1">IFERROR(__xludf.DUMMYFUNCTION("""COMPUTED_VALUE"""),"ALTO")</f>
        <v>ALTO</v>
      </c>
      <c r="K388" s="5" t="str">
        <f ca="1">IFERROR(__xludf.DUMMYFUNCTION("""COMPUTED_VALUE"""),"Preventivo")</f>
        <v>Preventivo</v>
      </c>
      <c r="L388" s="5" t="str">
        <f ca="1">IFERROR(__xludf.DUMMYFUNCTION("""COMPUTED_VALUE"""),"Maquinaria")</f>
        <v>Maquinaria</v>
      </c>
      <c r="M388" s="5" t="str">
        <f ca="1">IFERROR(__xludf.DUMMYFUNCTION("""COMPUTED_VALUE"""),"No")</f>
        <v>No</v>
      </c>
      <c r="N388" s="5"/>
      <c r="O388" s="5"/>
      <c r="P388" s="18">
        <f ca="1">IFERROR(__xludf.DUMMYFUNCTION("""COMPUTED_VALUE"""),45344)</f>
        <v>45344</v>
      </c>
      <c r="Q388" s="18">
        <f ca="1">IFERROR(__xludf.DUMMYFUNCTION("""COMPUTED_VALUE"""),45344)</f>
        <v>45344</v>
      </c>
      <c r="R388" s="18"/>
      <c r="S388" s="5">
        <f ca="1">IFERROR(__xludf.DUMMYFUNCTION("""COMPUTED_VALUE"""),0.5)</f>
        <v>0.5</v>
      </c>
      <c r="T388" s="5"/>
      <c r="U388" s="5" t="str">
        <f ca="1">IFERROR(__xludf.DUMMYFUNCTION("""COMPUTED_VALUE"""),"Moreno Pernia Bladimir")</f>
        <v>Moreno Pernia Bladimir</v>
      </c>
      <c r="V388" s="5"/>
      <c r="W388" s="5" t="str">
        <f ca="1">IFERROR(__xludf.DUMMYFUNCTION("""COMPUTED_VALUE"""),"0DbHtQkBXO0")</f>
        <v>0DbHtQkBXO0</v>
      </c>
      <c r="X388" s="5">
        <f ca="1">IFERROR(__xludf.DUMMYFUNCTION("""COMPUTED_VALUE"""),0.5)</f>
        <v>0.5</v>
      </c>
      <c r="Y388" s="5" t="str">
        <f t="shared" si="2"/>
        <v>Actividad sin realizar</v>
      </c>
      <c r="Z388" s="3">
        <f ca="1">IFERROR(VLOOKUP(U388, 'Base de datos'!A:B, 2, FALSE), "")</f>
        <v>573148903137</v>
      </c>
      <c r="AA388" s="4" t="e">
        <f t="shared" ca="1" si="3"/>
        <v>#NAME?</v>
      </c>
    </row>
    <row r="389" spans="1:27" ht="15.75" customHeight="1">
      <c r="A389" s="5" t="str">
        <f ca="1">IFERROR(__xludf.DUMMYFUNCTION("""COMPUTED_VALUE"""),"POSTOBÓN YUMBO")</f>
        <v>POSTOBÓN YUMBO</v>
      </c>
      <c r="B389" s="5" t="str">
        <f ca="1">IFERROR(__xludf.DUMMYFUNCTION("""COMPUTED_VALUE"""),"0410-SALA DE JARABE TERMINADO")</f>
        <v>0410-SALA DE JARABE TERMINADO</v>
      </c>
      <c r="C389" s="5" t="str">
        <f ca="1">IFERROR(__xludf.DUMMYFUNCTION("""COMPUTED_VALUE"""),"EQUIPOS PARA PREPARACION DE JARABE")</f>
        <v>EQUIPOS PARA PREPARACION DE JARABE</v>
      </c>
      <c r="D389" s="5">
        <f ca="1">IFERROR(__xludf.DUMMYFUNCTION("""COMPUTED_VALUE"""),699636)</f>
        <v>699636</v>
      </c>
      <c r="E389" s="5" t="str">
        <f ca="1">IFERROR(__xludf.DUMMYFUNCTION("""COMPUTED_VALUE"""),"EQUIPO ELECTRONICO-SALA JARABE TERMINADO")</f>
        <v>EQUIPO ELECTRONICO-SALA JARABE TERMINADO</v>
      </c>
      <c r="F389" s="5">
        <f ca="1">IFERROR(__xludf.DUMMYFUNCTION("""COMPUTED_VALUE"""),17361)</f>
        <v>17361</v>
      </c>
      <c r="G389" s="5" t="str">
        <f ca="1">IFERROR(__xludf.DUMMYFUNCTION("""COMPUTED_VALUE"""),"MTTO ELEC EQUIPO ELECT JARABE TERMINADO")</f>
        <v>MTTO ELEC EQUIPO ELECT JARABE TERMINADO</v>
      </c>
      <c r="H389" s="5">
        <f ca="1">IFERROR(__xludf.DUMMYFUNCTION("""COMPUTED_VALUE"""),13247145)</f>
        <v>13247145</v>
      </c>
      <c r="I389" s="5" t="str">
        <f ca="1">IFERROR(__xludf.DUMMYFUNCTION("""COMPUTED_VALUE"""),"Realizar un Backup de las bases de datos")</f>
        <v>Realizar un Backup de las bases de datos</v>
      </c>
      <c r="J389" s="5" t="str">
        <f ca="1">IFERROR(__xludf.DUMMYFUNCTION("""COMPUTED_VALUE"""),"ALTO")</f>
        <v>ALTO</v>
      </c>
      <c r="K389" s="5" t="str">
        <f ca="1">IFERROR(__xludf.DUMMYFUNCTION("""COMPUTED_VALUE"""),"Preventivo")</f>
        <v>Preventivo</v>
      </c>
      <c r="L389" s="5" t="str">
        <f ca="1">IFERROR(__xludf.DUMMYFUNCTION("""COMPUTED_VALUE"""),"Maquinaria")</f>
        <v>Maquinaria</v>
      </c>
      <c r="M389" s="5" t="str">
        <f ca="1">IFERROR(__xludf.DUMMYFUNCTION("""COMPUTED_VALUE"""),"No")</f>
        <v>No</v>
      </c>
      <c r="N389" s="5"/>
      <c r="O389" s="5">
        <f ca="1">IFERROR(__xludf.DUMMYFUNCTION("""COMPUTED_VALUE"""),100)</f>
        <v>100</v>
      </c>
      <c r="P389" s="18">
        <f ca="1">IFERROR(__xludf.DUMMYFUNCTION("""COMPUTED_VALUE"""),45341)</f>
        <v>45341</v>
      </c>
      <c r="Q389" s="18">
        <f ca="1">IFERROR(__xludf.DUMMYFUNCTION("""COMPUTED_VALUE"""),45341)</f>
        <v>45341</v>
      </c>
      <c r="R389" s="18"/>
      <c r="S389" s="5">
        <f ca="1">IFERROR(__xludf.DUMMYFUNCTION("""COMPUTED_VALUE"""),8)</f>
        <v>8</v>
      </c>
      <c r="T389" s="5"/>
      <c r="U389" s="5" t="str">
        <f ca="1">IFERROR(__xludf.DUMMYFUNCTION("""COMPUTED_VALUE"""),"IMBACHI WILTON ANDRES")</f>
        <v>IMBACHI WILTON ANDRES</v>
      </c>
      <c r="V389" s="5"/>
      <c r="W389" s="5" t="str">
        <f ca="1">IFERROR(__xludf.DUMMYFUNCTION("""COMPUTED_VALUE"""),"ZQt6f02UYzU")</f>
        <v>ZQt6f02UYzU</v>
      </c>
      <c r="X389" s="5">
        <f ca="1">IFERROR(__xludf.DUMMYFUNCTION("""COMPUTED_VALUE"""),8)</f>
        <v>8</v>
      </c>
      <c r="Y389" s="5" t="str">
        <f t="shared" ca="1" si="2"/>
        <v>Actividad realizada</v>
      </c>
      <c r="Z389" s="3">
        <f ca="1">IFERROR(VLOOKUP(U389, 'Base de datos'!A:B, 2, FALSE), "")</f>
        <v>573158655205</v>
      </c>
      <c r="AA389" s="4" t="e">
        <f t="shared" ca="1" si="3"/>
        <v>#NAME?</v>
      </c>
    </row>
    <row r="390" spans="1:27" ht="15.75" customHeight="1">
      <c r="A390" s="5" t="str">
        <f ca="1">IFERROR(__xludf.DUMMYFUNCTION("""COMPUTED_VALUE"""),"POSTOBÓN YUMBO")</f>
        <v>POSTOBÓN YUMBO</v>
      </c>
      <c r="B390" s="5" t="str">
        <f ca="1">IFERROR(__xludf.DUMMYFUNCTION("""COMPUTED_VALUE"""),"0410-SALA DE JARABE TERMINADO")</f>
        <v>0410-SALA DE JARABE TERMINADO</v>
      </c>
      <c r="C390" s="5" t="str">
        <f ca="1">IFERROR(__xludf.DUMMYFUNCTION("""COMPUTED_VALUE"""),"EQUIPOS PARA PREPARACION DE JARABE")</f>
        <v>EQUIPOS PARA PREPARACION DE JARABE</v>
      </c>
      <c r="D390" s="5">
        <f ca="1">IFERROR(__xludf.DUMMYFUNCTION("""COMPUTED_VALUE"""),69963410)</f>
        <v>69963410</v>
      </c>
      <c r="E390" s="5" t="str">
        <f ca="1">IFERROR(__xludf.DUMMYFUNCTION("""COMPUTED_VALUE"""),"TANQUE DE JARABE")</f>
        <v>TANQUE DE JARABE</v>
      </c>
      <c r="F390" s="5">
        <f ca="1">IFERROR(__xludf.DUMMYFUNCTION("""COMPUTED_VALUE"""),17361)</f>
        <v>17361</v>
      </c>
      <c r="G390" s="5" t="str">
        <f ca="1">IFERROR(__xludf.DUMMYFUNCTION("""COMPUTED_VALUE"""),"MTTO MEC TK JARABE 7 JARABE TERMINADO")</f>
        <v>MTTO MEC TK JARABE 7 JARABE TERMINADO</v>
      </c>
      <c r="H390" s="5">
        <f ca="1">IFERROR(__xludf.DUMMYFUNCTION("""COMPUTED_VALUE"""),13247160)</f>
        <v>13247160</v>
      </c>
      <c r="I390" s="5" t="str">
        <f ca="1">IFERROR(__xludf.DUMMYFUNCTION("""COMPUTED_VALUE"""),"BOMBA DE RECIRCULACION:")</f>
        <v>BOMBA DE RECIRCULACION:</v>
      </c>
      <c r="J390" s="5" t="str">
        <f ca="1">IFERROR(__xludf.DUMMYFUNCTION("""COMPUTED_VALUE"""),"ALTO")</f>
        <v>ALTO</v>
      </c>
      <c r="K390" s="5" t="str">
        <f ca="1">IFERROR(__xludf.DUMMYFUNCTION("""COMPUTED_VALUE"""),"Preventivo")</f>
        <v>Preventivo</v>
      </c>
      <c r="L390" s="5" t="str">
        <f ca="1">IFERROR(__xludf.DUMMYFUNCTION("""COMPUTED_VALUE"""),"Maquinaria")</f>
        <v>Maquinaria</v>
      </c>
      <c r="M390" s="5" t="str">
        <f ca="1">IFERROR(__xludf.DUMMYFUNCTION("""COMPUTED_VALUE"""),"No")</f>
        <v>No</v>
      </c>
      <c r="N390" s="5"/>
      <c r="O390" s="5">
        <f ca="1">IFERROR(__xludf.DUMMYFUNCTION("""COMPUTED_VALUE"""),100)</f>
        <v>100</v>
      </c>
      <c r="P390" s="18">
        <f ca="1">IFERROR(__xludf.DUMMYFUNCTION("""COMPUTED_VALUE"""),45342)</f>
        <v>45342</v>
      </c>
      <c r="Q390" s="18">
        <f ca="1">IFERROR(__xludf.DUMMYFUNCTION("""COMPUTED_VALUE"""),45342)</f>
        <v>45342</v>
      </c>
      <c r="R390" s="18"/>
      <c r="S390" s="5">
        <f ca="1">IFERROR(__xludf.DUMMYFUNCTION("""COMPUTED_VALUE"""),1)</f>
        <v>1</v>
      </c>
      <c r="T390" s="5"/>
      <c r="U390" s="5" t="str">
        <f ca="1">IFERROR(__xludf.DUMMYFUNCTION("""COMPUTED_VALUE"""),"Moreno Pernia Bladimir")</f>
        <v>Moreno Pernia Bladimir</v>
      </c>
      <c r="V390" s="5"/>
      <c r="W390" s="5" t="str">
        <f ca="1">IFERROR(__xludf.DUMMYFUNCTION("""COMPUTED_VALUE"""),"MyLEy9j4W_I")</f>
        <v>MyLEy9j4W_I</v>
      </c>
      <c r="X390" s="5">
        <f ca="1">IFERROR(__xludf.DUMMYFUNCTION("""COMPUTED_VALUE"""),1)</f>
        <v>1</v>
      </c>
      <c r="Y390" s="5" t="str">
        <f t="shared" ca="1" si="2"/>
        <v>Actividad realizada</v>
      </c>
      <c r="Z390" s="3">
        <f ca="1">IFERROR(VLOOKUP(U390, 'Base de datos'!A:B, 2, FALSE), "")</f>
        <v>573148903137</v>
      </c>
      <c r="AA390" s="4" t="e">
        <f t="shared" ca="1" si="3"/>
        <v>#NAME?</v>
      </c>
    </row>
    <row r="391" spans="1:27" ht="15.75" customHeight="1">
      <c r="A391" s="5" t="str">
        <f ca="1">IFERROR(__xludf.DUMMYFUNCTION("""COMPUTED_VALUE"""),"POSTOBÓN YUMBO")</f>
        <v>POSTOBÓN YUMBO</v>
      </c>
      <c r="B391" s="5" t="str">
        <f ca="1">IFERROR(__xludf.DUMMYFUNCTION("""COMPUTED_VALUE"""),"0410-LINEA 3")</f>
        <v>0410-LINEA 3</v>
      </c>
      <c r="C391" s="5" t="str">
        <f ca="1">IFERROR(__xludf.DUMMYFUNCTION("""COMPUTED_VALUE"""),"LINEA DE ENVASADO TAMAÑO PERSONAL")</f>
        <v>LINEA DE ENVASADO TAMAÑO PERSONAL</v>
      </c>
      <c r="D391" s="5">
        <f ca="1">IFERROR(__xludf.DUMMYFUNCTION("""COMPUTED_VALUE"""),829852)</f>
        <v>829852</v>
      </c>
      <c r="E391" s="5" t="str">
        <f ca="1">IFERROR(__xludf.DUMMYFUNCTION("""COMPUTED_VALUE"""),"TRANSPORTADOR DE CAJAS")</f>
        <v>TRANSPORTADOR DE CAJAS</v>
      </c>
      <c r="F391" s="5">
        <f ca="1">IFERROR(__xludf.DUMMYFUNCTION("""COMPUTED_VALUE"""),22607)</f>
        <v>22607</v>
      </c>
      <c r="G391" s="5" t="str">
        <f ca="1">IFERROR(__xludf.DUMMYFUNCTION("""COMPUTED_VALUE"""),"PLAN MTTO LUB TRANSP CAJAS L3 829852")</f>
        <v>PLAN MTTO LUB TRANSP CAJAS L3 829852</v>
      </c>
      <c r="H391" s="5">
        <f ca="1">IFERROR(__xludf.DUMMYFUNCTION("""COMPUTED_VALUE"""),13247230)</f>
        <v>13247230</v>
      </c>
      <c r="I391" s="5" t="str">
        <f ca="1">IFERROR(__xludf.DUMMYFUNCTION("""COMPUTED_VALUE"""),"Lubricar chumaceras")</f>
        <v>Lubricar chumaceras</v>
      </c>
      <c r="J391" s="5" t="str">
        <f ca="1">IFERROR(__xludf.DUMMYFUNCTION("""COMPUTED_VALUE"""),"MEDIO")</f>
        <v>MEDIO</v>
      </c>
      <c r="K391" s="5" t="str">
        <f ca="1">IFERROR(__xludf.DUMMYFUNCTION("""COMPUTED_VALUE"""),"Preventivo")</f>
        <v>Preventivo</v>
      </c>
      <c r="L391" s="5" t="str">
        <f ca="1">IFERROR(__xludf.DUMMYFUNCTION("""COMPUTED_VALUE"""),"Maquinaria")</f>
        <v>Maquinaria</v>
      </c>
      <c r="M391" s="5" t="str">
        <f ca="1">IFERROR(__xludf.DUMMYFUNCTION("""COMPUTED_VALUE"""),"No")</f>
        <v>No</v>
      </c>
      <c r="N391" s="5"/>
      <c r="O391" s="5"/>
      <c r="P391" s="18">
        <f ca="1">IFERROR(__xludf.DUMMYFUNCTION("""COMPUTED_VALUE"""),45337)</f>
        <v>45337</v>
      </c>
      <c r="Q391" s="18">
        <f ca="1">IFERROR(__xludf.DUMMYFUNCTION("""COMPUTED_VALUE"""),45337)</f>
        <v>45337</v>
      </c>
      <c r="R391" s="18"/>
      <c r="S391" s="5">
        <f ca="1">IFERROR(__xludf.DUMMYFUNCTION("""COMPUTED_VALUE"""),0.5)</f>
        <v>0.5</v>
      </c>
      <c r="T391" s="5"/>
      <c r="U391" s="5" t="str">
        <f ca="1">IFERROR(__xludf.DUMMYFUNCTION("""COMPUTED_VALUE"""),"Campo Rodriguez Adalcides Jesus")</f>
        <v>Campo Rodriguez Adalcides Jesus</v>
      </c>
      <c r="V391" s="5"/>
      <c r="W391" s="5" t="str">
        <f ca="1">IFERROR(__xludf.DUMMYFUNCTION("""COMPUTED_VALUE"""),"TjGCW7CAn94")</f>
        <v>TjGCW7CAn94</v>
      </c>
      <c r="X391" s="5">
        <f ca="1">IFERROR(__xludf.DUMMYFUNCTION("""COMPUTED_VALUE"""),0.5)</f>
        <v>0.5</v>
      </c>
      <c r="Y391" s="5" t="str">
        <f t="shared" si="2"/>
        <v>Actividad sin realizar</v>
      </c>
      <c r="Z391" s="3">
        <f ca="1">IFERROR(VLOOKUP(U391, 'Base de datos'!A:B, 2, FALSE), "")</f>
        <v>573045833726</v>
      </c>
      <c r="AA391" s="4" t="e">
        <f t="shared" ca="1" si="3"/>
        <v>#NAME?</v>
      </c>
    </row>
    <row r="392" spans="1:27" ht="15.75" customHeight="1">
      <c r="A392" s="5" t="str">
        <f ca="1">IFERROR(__xludf.DUMMYFUNCTION("""COMPUTED_VALUE"""),"POSTOBÓN YUMBO")</f>
        <v>POSTOBÓN YUMBO</v>
      </c>
      <c r="B392" s="5" t="str">
        <f ca="1">IFERROR(__xludf.DUMMYFUNCTION("""COMPUTED_VALUE"""),"0410-LINEA 2")</f>
        <v>0410-LINEA 2</v>
      </c>
      <c r="C392" s="5" t="str">
        <f ca="1">IFERROR(__xludf.DUMMYFUNCTION("""COMPUTED_VALUE"""),"LINEA DE ENVASADO FAMILIAR Y PRB")</f>
        <v>LINEA DE ENVASADO FAMILIAR Y PRB</v>
      </c>
      <c r="D392" s="5">
        <f ca="1">IFERROR(__xludf.DUMMYFUNCTION("""COMPUTED_VALUE"""),510001)</f>
        <v>510001</v>
      </c>
      <c r="E392" s="5" t="str">
        <f ca="1">IFERROR(__xludf.DUMMYFUNCTION("""COMPUTED_VALUE"""),"LLENADORA")</f>
        <v>LLENADORA</v>
      </c>
      <c r="F392" s="5">
        <f ca="1">IFERROR(__xludf.DUMMYFUNCTION("""COMPUTED_VALUE"""),13196)</f>
        <v>13196</v>
      </c>
      <c r="G392" s="5" t="str">
        <f ca="1">IFERROR(__xludf.DUMMYFUNCTION("""COMPUTED_VALUE"""),"Mantto lubr sist coronado Llenad.")</f>
        <v>Mantto lubr sist coronado Llenad.</v>
      </c>
      <c r="H392" s="5">
        <f ca="1">IFERROR(__xludf.DUMMYFUNCTION("""COMPUTED_VALUE"""),13247129)</f>
        <v>13247129</v>
      </c>
      <c r="I392" s="5" t="str">
        <f ca="1">IFERROR(__xludf.DUMMYFUNCTION("""COMPUTED_VALUE"""),"Lubrique torre coronador de acuerdo")</f>
        <v>Lubrique torre coronador de acuerdo</v>
      </c>
      <c r="J392" s="5" t="str">
        <f ca="1">IFERROR(__xludf.DUMMYFUNCTION("""COMPUTED_VALUE"""),"ALTO")</f>
        <v>ALTO</v>
      </c>
      <c r="K392" s="5" t="str">
        <f ca="1">IFERROR(__xludf.DUMMYFUNCTION("""COMPUTED_VALUE"""),"Preventivo")</f>
        <v>Preventivo</v>
      </c>
      <c r="L392" s="5" t="str">
        <f ca="1">IFERROR(__xludf.DUMMYFUNCTION("""COMPUTED_VALUE"""),"Maquinaria")</f>
        <v>Maquinaria</v>
      </c>
      <c r="M392" s="5" t="str">
        <f ca="1">IFERROR(__xludf.DUMMYFUNCTION("""COMPUTED_VALUE"""),"No")</f>
        <v>No</v>
      </c>
      <c r="N392" s="5"/>
      <c r="O392" s="5"/>
      <c r="P392" s="18">
        <f ca="1">IFERROR(__xludf.DUMMYFUNCTION("""COMPUTED_VALUE"""),45324)</f>
        <v>45324</v>
      </c>
      <c r="Q392" s="18">
        <f ca="1">IFERROR(__xludf.DUMMYFUNCTION("""COMPUTED_VALUE"""),45324)</f>
        <v>45324</v>
      </c>
      <c r="R392" s="18"/>
      <c r="S392" s="5">
        <f ca="1">IFERROR(__xludf.DUMMYFUNCTION("""COMPUTED_VALUE"""),0.7)</f>
        <v>0.7</v>
      </c>
      <c r="T392" s="5"/>
      <c r="U392" s="5" t="str">
        <f ca="1">IFERROR(__xludf.DUMMYFUNCTION("""COMPUTED_VALUE"""),"Poveda Jorge")</f>
        <v>Poveda Jorge</v>
      </c>
      <c r="V392" s="5"/>
      <c r="W392" s="5" t="str">
        <f ca="1">IFERROR(__xludf.DUMMYFUNCTION("""COMPUTED_VALUE"""),"5ZK6XsVqENM")</f>
        <v>5ZK6XsVqENM</v>
      </c>
      <c r="X392" s="5">
        <f ca="1">IFERROR(__xludf.DUMMYFUNCTION("""COMPUTED_VALUE"""),0.7)</f>
        <v>0.7</v>
      </c>
      <c r="Y392" s="5" t="str">
        <f t="shared" si="2"/>
        <v>Actividad sin realizar</v>
      </c>
      <c r="Z392" s="3">
        <f ca="1">IFERROR(VLOOKUP(U392, 'Base de datos'!A:B, 2, FALSE), "")</f>
        <v>573212589618</v>
      </c>
      <c r="AA392" s="4" t="e">
        <f t="shared" ca="1" si="3"/>
        <v>#NAME?</v>
      </c>
    </row>
    <row r="393" spans="1:27" ht="15.75" customHeight="1">
      <c r="A393" s="5" t="str">
        <f ca="1">IFERROR(__xludf.DUMMYFUNCTION("""COMPUTED_VALUE"""),"POSTOBÓN YUMBO")</f>
        <v>POSTOBÓN YUMBO</v>
      </c>
      <c r="B393" s="5" t="str">
        <f ca="1">IFERROR(__xludf.DUMMYFUNCTION("""COMPUTED_VALUE"""),"0410-PLANTA DE AGUA ENVASADO")</f>
        <v>0410-PLANTA DE AGUA ENVASADO</v>
      </c>
      <c r="C393" s="5" t="str">
        <f ca="1">IFERROR(__xludf.DUMMYFUNCTION("""COMPUTED_VALUE"""),"TRATAMIENTO DE AGUA PARA ENVASADO")</f>
        <v>TRATAMIENTO DE AGUA PARA ENVASADO</v>
      </c>
      <c r="D393" s="5">
        <f ca="1">IFERROR(__xludf.DUMMYFUNCTION("""COMPUTED_VALUE"""),70948925)</f>
        <v>70948925</v>
      </c>
      <c r="E393" s="5" t="str">
        <f ca="1">IFERROR(__xludf.DUMMYFUNCTION("""COMPUTED_VALUE"""),"UNIDAD OSMOSIS 2")</f>
        <v>UNIDAD OSMOSIS 2</v>
      </c>
      <c r="F393" s="5">
        <f ca="1">IFERROR(__xludf.DUMMYFUNCTION("""COMPUTED_VALUE"""),21765)</f>
        <v>21765</v>
      </c>
      <c r="G393" s="5" t="str">
        <f ca="1">IFERROR(__xludf.DUMMYFUNCTION("""COMPUTED_VALUE"""),"PLAN MTTO MEC UNIDAD OSMOSIS 2")</f>
        <v>PLAN MTTO MEC UNIDAD OSMOSIS 2</v>
      </c>
      <c r="H393" s="5">
        <f ca="1">IFERROR(__xludf.DUMMYFUNCTION("""COMPUTED_VALUE"""),13229041)</f>
        <v>13229041</v>
      </c>
      <c r="I393" s="5" t="str">
        <f ca="1">IFERROR(__xludf.DUMMYFUNCTION("""COMPUTED_VALUE"""),"REVISION FUGAS UNIDAD OSMOSIS: SE DEBE")</f>
        <v>REVISION FUGAS UNIDAD OSMOSIS: SE DEBE</v>
      </c>
      <c r="J393" s="5" t="str">
        <f ca="1">IFERROR(__xludf.DUMMYFUNCTION("""COMPUTED_VALUE"""),"ALTO")</f>
        <v>ALTO</v>
      </c>
      <c r="K393" s="5" t="str">
        <f ca="1">IFERROR(__xludf.DUMMYFUNCTION("""COMPUTED_VALUE"""),"Preventivo")</f>
        <v>Preventivo</v>
      </c>
      <c r="L393" s="5" t="str">
        <f ca="1">IFERROR(__xludf.DUMMYFUNCTION("""COMPUTED_VALUE"""),"Maquinaria")</f>
        <v>Maquinaria</v>
      </c>
      <c r="M393" s="5" t="str">
        <f ca="1">IFERROR(__xludf.DUMMYFUNCTION("""COMPUTED_VALUE"""),"No")</f>
        <v>No</v>
      </c>
      <c r="N393" s="5"/>
      <c r="O393" s="5"/>
      <c r="P393" s="18">
        <f ca="1">IFERROR(__xludf.DUMMYFUNCTION("""COMPUTED_VALUE"""),45339)</f>
        <v>45339</v>
      </c>
      <c r="Q393" s="18">
        <f ca="1">IFERROR(__xludf.DUMMYFUNCTION("""COMPUTED_VALUE"""),45339)</f>
        <v>45339</v>
      </c>
      <c r="R393" s="18"/>
      <c r="S393" s="5">
        <f ca="1">IFERROR(__xludf.DUMMYFUNCTION("""COMPUTED_VALUE"""),0.5)</f>
        <v>0.5</v>
      </c>
      <c r="T393" s="5"/>
      <c r="U393" s="5" t="str">
        <f ca="1">IFERROR(__xludf.DUMMYFUNCTION("""COMPUTED_VALUE"""),"JEFFERSON BRAVO PIEDRAHITA")</f>
        <v>JEFFERSON BRAVO PIEDRAHITA</v>
      </c>
      <c r="V393" s="5"/>
      <c r="W393" s="5" t="str">
        <f ca="1">IFERROR(__xludf.DUMMYFUNCTION("""COMPUTED_VALUE"""),"Tm0e03_DKbA")</f>
        <v>Tm0e03_DKbA</v>
      </c>
      <c r="X393" s="5">
        <f ca="1">IFERROR(__xludf.DUMMYFUNCTION("""COMPUTED_VALUE"""),0.5)</f>
        <v>0.5</v>
      </c>
      <c r="Y393" s="5" t="str">
        <f t="shared" si="2"/>
        <v>Actividad sin realizar</v>
      </c>
      <c r="Z393" s="3">
        <f ca="1">IFERROR(VLOOKUP(U393, 'Base de datos'!A:B, 2, FALSE), "")</f>
        <v>573043623277</v>
      </c>
      <c r="AA393" s="4" t="e">
        <f t="shared" ca="1" si="3"/>
        <v>#NAME?</v>
      </c>
    </row>
    <row r="394" spans="1:27" ht="15.75" customHeight="1">
      <c r="A394" s="5" t="str">
        <f ca="1">IFERROR(__xludf.DUMMYFUNCTION("""COMPUTED_VALUE"""),"POSTOBÓN YUMBO")</f>
        <v>POSTOBÓN YUMBO</v>
      </c>
      <c r="B394" s="5" t="str">
        <f ca="1">IFERROR(__xludf.DUMMYFUNCTION("""COMPUTED_VALUE"""),"0410-LINEA 2")</f>
        <v>0410-LINEA 2</v>
      </c>
      <c r="C394" s="5" t="str">
        <f ca="1">IFERROR(__xludf.DUMMYFUNCTION("""COMPUTED_VALUE"""),"LINEA DE ENVASADO FAMILIAR Y PRB")</f>
        <v>LINEA DE ENVASADO FAMILIAR Y PRB</v>
      </c>
      <c r="D394" s="5">
        <f ca="1">IFERROR(__xludf.DUMMYFUNCTION("""COMPUTED_VALUE"""),828006)</f>
        <v>828006</v>
      </c>
      <c r="E394" s="5" t="str">
        <f ca="1">IFERROR(__xludf.DUMMYFUNCTION("""COMPUTED_VALUE"""),"EMPACADORA")</f>
        <v>EMPACADORA</v>
      </c>
      <c r="F394" s="5">
        <f ca="1">IFERROR(__xludf.DUMMYFUNCTION("""COMPUTED_VALUE"""),22509)</f>
        <v>22509</v>
      </c>
      <c r="G394" s="5" t="str">
        <f ca="1">IFERROR(__xludf.DUMMYFUNCTION("""COMPUTED_VALUE"""),"PLAN MTTO MEC EMPACADORA 828006 L2")</f>
        <v>PLAN MTTO MEC EMPACADORA 828006 L2</v>
      </c>
      <c r="H394" s="5">
        <f ca="1">IFERROR(__xludf.DUMMYFUNCTION("""COMPUTED_VALUE"""),13232358)</f>
        <v>13232358</v>
      </c>
      <c r="I394" s="5" t="str">
        <f ca="1">IFERROR(__xludf.DUMMYFUNCTION("""COMPUTED_VALUE"""),"Revision Sistema Neumaticos")</f>
        <v>Revision Sistema Neumaticos</v>
      </c>
      <c r="J394" s="5" t="str">
        <f ca="1">IFERROR(__xludf.DUMMYFUNCTION("""COMPUTED_VALUE"""),"MEDIO")</f>
        <v>MEDIO</v>
      </c>
      <c r="K394" s="5" t="str">
        <f ca="1">IFERROR(__xludf.DUMMYFUNCTION("""COMPUTED_VALUE"""),"Preventivo")</f>
        <v>Preventivo</v>
      </c>
      <c r="L394" s="5" t="str">
        <f ca="1">IFERROR(__xludf.DUMMYFUNCTION("""COMPUTED_VALUE"""),"Maquinaria")</f>
        <v>Maquinaria</v>
      </c>
      <c r="M394" s="5" t="str">
        <f ca="1">IFERROR(__xludf.DUMMYFUNCTION("""COMPUTED_VALUE"""),"No")</f>
        <v>No</v>
      </c>
      <c r="N394" s="5"/>
      <c r="O394" s="5"/>
      <c r="P394" s="18">
        <f ca="1">IFERROR(__xludf.DUMMYFUNCTION("""COMPUTED_VALUE"""),45343)</f>
        <v>45343</v>
      </c>
      <c r="Q394" s="18">
        <f ca="1">IFERROR(__xludf.DUMMYFUNCTION("""COMPUTED_VALUE"""),45343)</f>
        <v>45343</v>
      </c>
      <c r="R394" s="18"/>
      <c r="S394" s="5">
        <f ca="1">IFERROR(__xludf.DUMMYFUNCTION("""COMPUTED_VALUE"""),4)</f>
        <v>4</v>
      </c>
      <c r="T394" s="5"/>
      <c r="U394" s="5" t="str">
        <f ca="1">IFERROR(__xludf.DUMMYFUNCTION("""COMPUTED_VALUE"""),"Andrés Felipe Pérez Polania")</f>
        <v>Andrés Felipe Pérez Polania</v>
      </c>
      <c r="V394" s="5"/>
      <c r="W394" s="5" t="str">
        <f ca="1">IFERROR(__xludf.DUMMYFUNCTION("""COMPUTED_VALUE"""),"3rjOSdka13U")</f>
        <v>3rjOSdka13U</v>
      </c>
      <c r="X394" s="5">
        <f ca="1">IFERROR(__xludf.DUMMYFUNCTION("""COMPUTED_VALUE"""),4)</f>
        <v>4</v>
      </c>
      <c r="Y394" s="5" t="str">
        <f t="shared" si="2"/>
        <v>Actividad sin realizar</v>
      </c>
      <c r="Z394" s="3">
        <f ca="1">IFERROR(VLOOKUP(U394, 'Base de datos'!A:B, 2, FALSE), "")</f>
        <v>573186924079</v>
      </c>
      <c r="AA394" s="4" t="e">
        <f t="shared" ca="1" si="3"/>
        <v>#NAME?</v>
      </c>
    </row>
    <row r="395" spans="1:27" ht="15.75" customHeight="1">
      <c r="A395" s="5" t="str">
        <f ca="1">IFERROR(__xludf.DUMMYFUNCTION("""COMPUTED_VALUE"""),"POSTOBÓN YUMBO")</f>
        <v>POSTOBÓN YUMBO</v>
      </c>
      <c r="B395" s="5" t="str">
        <f ca="1">IFERROR(__xludf.DUMMYFUNCTION("""COMPUTED_VALUE"""),"0410-LINEA 1")</f>
        <v>0410-LINEA 1</v>
      </c>
      <c r="C395" s="5" t="str">
        <f ca="1">IFERROR(__xludf.DUMMYFUNCTION("""COMPUTED_VALUE"""),"LINEA DE ENVASADO PET NO RETORNABLE")</f>
        <v>LINEA DE ENVASADO PET NO RETORNABLE</v>
      </c>
      <c r="D395" s="5">
        <f ca="1">IFERROR(__xludf.DUMMYFUNCTION("""COMPUTED_VALUE"""),829613)</f>
        <v>829613</v>
      </c>
      <c r="E395" s="5" t="str">
        <f ca="1">IFERROR(__xludf.DUMMYFUNCTION("""COMPUTED_VALUE"""),"TRANSPORTADOR ENVASE")</f>
        <v>TRANSPORTADOR ENVASE</v>
      </c>
      <c r="F395" s="5">
        <f ca="1">IFERROR(__xludf.DUMMYFUNCTION("""COMPUTED_VALUE"""),37873)</f>
        <v>37873</v>
      </c>
      <c r="G395" s="5" t="str">
        <f ca="1">IFERROR(__xludf.DUMMYFUNCTION("""COMPUTED_VALUE"""),"INSPECCION SEMANAL TRANSPORTADOR ENVASE")</f>
        <v>INSPECCION SEMANAL TRANSPORTADOR ENVASE</v>
      </c>
      <c r="H395" s="5">
        <f ca="1">IFERROR(__xludf.DUMMYFUNCTION("""COMPUTED_VALUE"""),13227794)</f>
        <v>13227794</v>
      </c>
      <c r="I395" s="5" t="str">
        <f ca="1">IFERROR(__xludf.DUMMYFUNCTION("""COMPUTED_VALUE"""),"CAMBIO TUBERIA AGUA SIST LUBRICACION")</f>
        <v>CAMBIO TUBERIA AGUA SIST LUBRICACION</v>
      </c>
      <c r="J395" s="5" t="str">
        <f ca="1">IFERROR(__xludf.DUMMYFUNCTION("""COMPUTED_VALUE"""),"BAJO")</f>
        <v>BAJO</v>
      </c>
      <c r="K395" s="5" t="str">
        <f ca="1">IFERROR(__xludf.DUMMYFUNCTION("""COMPUTED_VALUE"""),"Preventivo")</f>
        <v>Preventivo</v>
      </c>
      <c r="L395" s="5" t="str">
        <f ca="1">IFERROR(__xludf.DUMMYFUNCTION("""COMPUTED_VALUE"""),"Maquinaria")</f>
        <v>Maquinaria</v>
      </c>
      <c r="M395" s="5" t="str">
        <f ca="1">IFERROR(__xludf.DUMMYFUNCTION("""COMPUTED_VALUE"""),"No")</f>
        <v>No</v>
      </c>
      <c r="N395" s="5"/>
      <c r="O395" s="5"/>
      <c r="P395" s="18">
        <f ca="1">IFERROR(__xludf.DUMMYFUNCTION("""COMPUTED_VALUE"""),45341)</f>
        <v>45341</v>
      </c>
      <c r="Q395" s="18">
        <f ca="1">IFERROR(__xludf.DUMMYFUNCTION("""COMPUTED_VALUE"""),45341)</f>
        <v>45341</v>
      </c>
      <c r="R395" s="18"/>
      <c r="S395" s="5">
        <f ca="1">IFERROR(__xludf.DUMMYFUNCTION("""COMPUTED_VALUE"""),16)</f>
        <v>16</v>
      </c>
      <c r="T395" s="5"/>
      <c r="U395" s="5" t="str">
        <f ca="1">IFERROR(__xludf.DUMMYFUNCTION("""COMPUTED_VALUE"""),"Lozano Delgado Fausto Andres")</f>
        <v>Lozano Delgado Fausto Andres</v>
      </c>
      <c r="V395" s="5"/>
      <c r="W395" s="5" t="str">
        <f ca="1">IFERROR(__xludf.DUMMYFUNCTION("""COMPUTED_VALUE"""),"pGq9lPoK5v8")</f>
        <v>pGq9lPoK5v8</v>
      </c>
      <c r="X395" s="5">
        <f ca="1">IFERROR(__xludf.DUMMYFUNCTION("""COMPUTED_VALUE"""),16)</f>
        <v>16</v>
      </c>
      <c r="Y395" s="5" t="str">
        <f t="shared" si="2"/>
        <v>Actividad sin realizar</v>
      </c>
      <c r="Z395" s="3">
        <f ca="1">IFERROR(VLOOKUP(U395, 'Base de datos'!A:B, 2, FALSE), "")</f>
        <v>573145758691</v>
      </c>
      <c r="AA395" s="4" t="e">
        <f t="shared" ca="1" si="3"/>
        <v>#NAME?</v>
      </c>
    </row>
    <row r="396" spans="1:27" ht="15.75" customHeight="1">
      <c r="A396" s="5" t="str">
        <f ca="1">IFERROR(__xludf.DUMMYFUNCTION("""COMPUTED_VALUE"""),"POSTOBÓN YUMBO")</f>
        <v>POSTOBÓN YUMBO</v>
      </c>
      <c r="B396" s="5" t="str">
        <f ca="1">IFERROR(__xludf.DUMMYFUNCTION("""COMPUTED_VALUE"""),"0410-PLANTA DE AGUA ENVASADO")</f>
        <v>0410-PLANTA DE AGUA ENVASADO</v>
      </c>
      <c r="C396" s="5" t="str">
        <f ca="1">IFERROR(__xludf.DUMMYFUNCTION("""COMPUTED_VALUE"""),"TRATAMIENTO DE AGUA PARA ENVASADO")</f>
        <v>TRATAMIENTO DE AGUA PARA ENVASADO</v>
      </c>
      <c r="D396" s="5">
        <f ca="1">IFERROR(__xludf.DUMMYFUNCTION("""COMPUTED_VALUE"""),709812)</f>
        <v>709812</v>
      </c>
      <c r="E396" s="5" t="str">
        <f ca="1">IFERROR(__xludf.DUMMYFUNCTION("""COMPUTED_VALUE"""),"UV PREPARACIÓN TE")</f>
        <v>UV PREPARACIÓN TE</v>
      </c>
      <c r="F396" s="5">
        <f ca="1">IFERROR(__xludf.DUMMYFUNCTION("""COMPUTED_VALUE"""),42253)</f>
        <v>42253</v>
      </c>
      <c r="G396" s="5" t="str">
        <f ca="1">IFERROR(__xludf.DUMMYFUNCTION("""COMPUTED_VALUE"""),"PLAN MTTO ELE UV PREPARAC TE ATLANTIUM")</f>
        <v>PLAN MTTO ELE UV PREPARAC TE ATLANTIUM</v>
      </c>
      <c r="H396" s="5">
        <f ca="1">IFERROR(__xludf.DUMMYFUNCTION("""COMPUTED_VALUE"""),13229229)</f>
        <v>13229229</v>
      </c>
      <c r="I396" s="5" t="str">
        <f ca="1">IFERROR(__xludf.DUMMYFUNCTION("""COMPUTED_VALUE"""),"VENTILADOR GABINETE:se debe revisar el v")</f>
        <v>VENTILADOR GABINETE:se debe revisar el v</v>
      </c>
      <c r="J396" s="5" t="str">
        <f ca="1">IFERROR(__xludf.DUMMYFUNCTION("""COMPUTED_VALUE"""),"ALTO")</f>
        <v>ALTO</v>
      </c>
      <c r="K396" s="5" t="str">
        <f ca="1">IFERROR(__xludf.DUMMYFUNCTION("""COMPUTED_VALUE"""),"Preventivo")</f>
        <v>Preventivo</v>
      </c>
      <c r="L396" s="5" t="str">
        <f ca="1">IFERROR(__xludf.DUMMYFUNCTION("""COMPUTED_VALUE"""),"Maquinaria")</f>
        <v>Maquinaria</v>
      </c>
      <c r="M396" s="5" t="str">
        <f ca="1">IFERROR(__xludf.DUMMYFUNCTION("""COMPUTED_VALUE"""),"No")</f>
        <v>No</v>
      </c>
      <c r="N396" s="5"/>
      <c r="O396" s="5"/>
      <c r="P396" s="18">
        <f ca="1">IFERROR(__xludf.DUMMYFUNCTION("""COMPUTED_VALUE"""),45340)</f>
        <v>45340</v>
      </c>
      <c r="Q396" s="18">
        <f ca="1">IFERROR(__xludf.DUMMYFUNCTION("""COMPUTED_VALUE"""),45340)</f>
        <v>45340</v>
      </c>
      <c r="R396" s="18"/>
      <c r="S396" s="5">
        <f ca="1">IFERROR(__xludf.DUMMYFUNCTION("""COMPUTED_VALUE"""),0.5)</f>
        <v>0.5</v>
      </c>
      <c r="T396" s="5"/>
      <c r="U396" s="5" t="str">
        <f ca="1">IFERROR(__xludf.DUMMYFUNCTION("""COMPUTED_VALUE"""),"JEFFERSON BRAVO PIEDRAHITA")</f>
        <v>JEFFERSON BRAVO PIEDRAHITA</v>
      </c>
      <c r="V396" s="5"/>
      <c r="W396" s="5" t="str">
        <f ca="1">IFERROR(__xludf.DUMMYFUNCTION("""COMPUTED_VALUE"""),"-gkvZq_t-oM")</f>
        <v>-gkvZq_t-oM</v>
      </c>
      <c r="X396" s="5">
        <f ca="1">IFERROR(__xludf.DUMMYFUNCTION("""COMPUTED_VALUE"""),0.5)</f>
        <v>0.5</v>
      </c>
      <c r="Y396" s="5" t="str">
        <f t="shared" si="2"/>
        <v>Actividad sin realizar</v>
      </c>
      <c r="Z396" s="3">
        <f ca="1">IFERROR(VLOOKUP(U396, 'Base de datos'!A:B, 2, FALSE), "")</f>
        <v>573043623277</v>
      </c>
      <c r="AA396" s="4" t="e">
        <f t="shared" ca="1" si="3"/>
        <v>#NAME?</v>
      </c>
    </row>
    <row r="397" spans="1:27" ht="15.75" customHeight="1">
      <c r="A397" s="5" t="str">
        <f ca="1">IFERROR(__xludf.DUMMYFUNCTION("""COMPUTED_VALUE"""),"POSTOBÓN YUMBO")</f>
        <v>POSTOBÓN YUMBO</v>
      </c>
      <c r="B397" s="5" t="str">
        <f ca="1">IFERROR(__xludf.DUMMYFUNCTION("""COMPUTED_VALUE"""),"0410-PLANTA DE AGUA ENVASADO")</f>
        <v>0410-PLANTA DE AGUA ENVASADO</v>
      </c>
      <c r="C397" s="5" t="str">
        <f ca="1">IFERROR(__xludf.DUMMYFUNCTION("""COMPUTED_VALUE"""),"TRATAMIENTO DE AGUA PARA ENVASADO")</f>
        <v>TRATAMIENTO DE AGUA PARA ENVASADO</v>
      </c>
      <c r="D397" s="5">
        <f ca="1">IFERROR(__xludf.DUMMYFUNCTION("""COMPUTED_VALUE"""),709812)</f>
        <v>709812</v>
      </c>
      <c r="E397" s="5" t="str">
        <f ca="1">IFERROR(__xludf.DUMMYFUNCTION("""COMPUTED_VALUE"""),"UV PREPARACIÓN TE")</f>
        <v>UV PREPARACIÓN TE</v>
      </c>
      <c r="F397" s="5">
        <f ca="1">IFERROR(__xludf.DUMMYFUNCTION("""COMPUTED_VALUE"""),42253)</f>
        <v>42253</v>
      </c>
      <c r="G397" s="5" t="str">
        <f ca="1">IFERROR(__xludf.DUMMYFUNCTION("""COMPUTED_VALUE"""),"PLAN MTTO ELE UV PREPARAC TE ATLANTIUM")</f>
        <v>PLAN MTTO ELE UV PREPARAC TE ATLANTIUM</v>
      </c>
      <c r="H397" s="5">
        <f ca="1">IFERROR(__xludf.DUMMYFUNCTION("""COMPUTED_VALUE"""),13229229)</f>
        <v>13229229</v>
      </c>
      <c r="I397" s="5" t="str">
        <f ca="1">IFERROR(__xludf.DUMMYFUNCTION("""COMPUTED_VALUE"""),"FILTRO AIRE TABLERO: Limpieza del filtro")</f>
        <v>FILTRO AIRE TABLERO: Limpieza del filtro</v>
      </c>
      <c r="J397" s="5" t="str">
        <f ca="1">IFERROR(__xludf.DUMMYFUNCTION("""COMPUTED_VALUE"""),"ALTO")</f>
        <v>ALTO</v>
      </c>
      <c r="K397" s="5" t="str">
        <f ca="1">IFERROR(__xludf.DUMMYFUNCTION("""COMPUTED_VALUE"""),"Preventivo")</f>
        <v>Preventivo</v>
      </c>
      <c r="L397" s="5" t="str">
        <f ca="1">IFERROR(__xludf.DUMMYFUNCTION("""COMPUTED_VALUE"""),"Maquinaria")</f>
        <v>Maquinaria</v>
      </c>
      <c r="M397" s="5" t="str">
        <f ca="1">IFERROR(__xludf.DUMMYFUNCTION("""COMPUTED_VALUE"""),"No")</f>
        <v>No</v>
      </c>
      <c r="N397" s="5"/>
      <c r="O397" s="5"/>
      <c r="P397" s="18">
        <f ca="1">IFERROR(__xludf.DUMMYFUNCTION("""COMPUTED_VALUE"""),45340)</f>
        <v>45340</v>
      </c>
      <c r="Q397" s="18">
        <f ca="1">IFERROR(__xludf.DUMMYFUNCTION("""COMPUTED_VALUE"""),45340)</f>
        <v>45340</v>
      </c>
      <c r="R397" s="18"/>
      <c r="S397" s="5">
        <f ca="1">IFERROR(__xludf.DUMMYFUNCTION("""COMPUTED_VALUE"""),0.5)</f>
        <v>0.5</v>
      </c>
      <c r="T397" s="5"/>
      <c r="U397" s="5" t="str">
        <f ca="1">IFERROR(__xludf.DUMMYFUNCTION("""COMPUTED_VALUE"""),"JEFFERSON BRAVO PIEDRAHITA")</f>
        <v>JEFFERSON BRAVO PIEDRAHITA</v>
      </c>
      <c r="V397" s="5"/>
      <c r="W397" s="5" t="str">
        <f ca="1">IFERROR(__xludf.DUMMYFUNCTION("""COMPUTED_VALUE"""),"rhRYHevirLs")</f>
        <v>rhRYHevirLs</v>
      </c>
      <c r="X397" s="5">
        <f ca="1">IFERROR(__xludf.DUMMYFUNCTION("""COMPUTED_VALUE"""),0.5)</f>
        <v>0.5</v>
      </c>
      <c r="Y397" s="5" t="str">
        <f t="shared" si="2"/>
        <v>Actividad sin realizar</v>
      </c>
      <c r="Z397" s="3">
        <f ca="1">IFERROR(VLOOKUP(U397, 'Base de datos'!A:B, 2, FALSE), "")</f>
        <v>573043623277</v>
      </c>
      <c r="AA397" s="4" t="e">
        <f t="shared" ca="1" si="3"/>
        <v>#NAME?</v>
      </c>
    </row>
    <row r="398" spans="1:27" ht="15.75" customHeight="1">
      <c r="A398" s="5" t="str">
        <f ca="1">IFERROR(__xludf.DUMMYFUNCTION("""COMPUTED_VALUE"""),"POSTOBÓN YUMBO")</f>
        <v>POSTOBÓN YUMBO</v>
      </c>
      <c r="B398" s="5" t="str">
        <f ca="1">IFERROR(__xludf.DUMMYFUNCTION("""COMPUTED_VALUE"""),"0410-PLANTA DE AGUA ENVASADO")</f>
        <v>0410-PLANTA DE AGUA ENVASADO</v>
      </c>
      <c r="C398" s="5" t="str">
        <f ca="1">IFERROR(__xludf.DUMMYFUNCTION("""COMPUTED_VALUE"""),"TRATAMIENTO DE AGUA PARA ENVASADO")</f>
        <v>TRATAMIENTO DE AGUA PARA ENVASADO</v>
      </c>
      <c r="D398" s="5">
        <f ca="1">IFERROR(__xludf.DUMMYFUNCTION("""COMPUTED_VALUE"""),709812)</f>
        <v>709812</v>
      </c>
      <c r="E398" s="5" t="str">
        <f ca="1">IFERROR(__xludf.DUMMYFUNCTION("""COMPUTED_VALUE"""),"UV PREPARACIÓN TE")</f>
        <v>UV PREPARACIÓN TE</v>
      </c>
      <c r="F398" s="5">
        <f ca="1">IFERROR(__xludf.DUMMYFUNCTION("""COMPUTED_VALUE"""),42253)</f>
        <v>42253</v>
      </c>
      <c r="G398" s="5" t="str">
        <f ca="1">IFERROR(__xludf.DUMMYFUNCTION("""COMPUTED_VALUE"""),"PLAN MTTO ELE UV PREPARAC TE ATLANTIUM")</f>
        <v>PLAN MTTO ELE UV PREPARAC TE ATLANTIUM</v>
      </c>
      <c r="H398" s="5">
        <f ca="1">IFERROR(__xludf.DUMMYFUNCTION("""COMPUTED_VALUE"""),13229229)</f>
        <v>13229229</v>
      </c>
      <c r="I398" s="5" t="str">
        <f ca="1">IFERROR(__xludf.DUMMYFUNCTION("""COMPUTED_VALUE"""),"Limpieza del tubo de cuarzo")</f>
        <v>Limpieza del tubo de cuarzo</v>
      </c>
      <c r="J398" s="5" t="str">
        <f ca="1">IFERROR(__xludf.DUMMYFUNCTION("""COMPUTED_VALUE"""),"ALTO")</f>
        <v>ALTO</v>
      </c>
      <c r="K398" s="5" t="str">
        <f ca="1">IFERROR(__xludf.DUMMYFUNCTION("""COMPUTED_VALUE"""),"Preventivo")</f>
        <v>Preventivo</v>
      </c>
      <c r="L398" s="5" t="str">
        <f ca="1">IFERROR(__xludf.DUMMYFUNCTION("""COMPUTED_VALUE"""),"Maquinaria")</f>
        <v>Maquinaria</v>
      </c>
      <c r="M398" s="5" t="str">
        <f ca="1">IFERROR(__xludf.DUMMYFUNCTION("""COMPUTED_VALUE"""),"No")</f>
        <v>No</v>
      </c>
      <c r="N398" s="5"/>
      <c r="O398" s="5"/>
      <c r="P398" s="18">
        <f ca="1">IFERROR(__xludf.DUMMYFUNCTION("""COMPUTED_VALUE"""),45340)</f>
        <v>45340</v>
      </c>
      <c r="Q398" s="18">
        <f ca="1">IFERROR(__xludf.DUMMYFUNCTION("""COMPUTED_VALUE"""),45340)</f>
        <v>45340</v>
      </c>
      <c r="R398" s="18"/>
      <c r="S398" s="5">
        <f ca="1">IFERROR(__xludf.DUMMYFUNCTION("""COMPUTED_VALUE"""),0.5)</f>
        <v>0.5</v>
      </c>
      <c r="T398" s="5"/>
      <c r="U398" s="5" t="str">
        <f ca="1">IFERROR(__xludf.DUMMYFUNCTION("""COMPUTED_VALUE"""),"JEFFERSON BRAVO PIEDRAHITA")</f>
        <v>JEFFERSON BRAVO PIEDRAHITA</v>
      </c>
      <c r="V398" s="5"/>
      <c r="W398" s="5" t="str">
        <f ca="1">IFERROR(__xludf.DUMMYFUNCTION("""COMPUTED_VALUE"""),"hDFWHfIGcjU")</f>
        <v>hDFWHfIGcjU</v>
      </c>
      <c r="X398" s="5">
        <f ca="1">IFERROR(__xludf.DUMMYFUNCTION("""COMPUTED_VALUE"""),0.5)</f>
        <v>0.5</v>
      </c>
      <c r="Y398" s="5" t="str">
        <f t="shared" si="2"/>
        <v>Actividad sin realizar</v>
      </c>
      <c r="Z398" s="3">
        <f ca="1">IFERROR(VLOOKUP(U398, 'Base de datos'!A:B, 2, FALSE), "")</f>
        <v>573043623277</v>
      </c>
      <c r="AA398" s="4" t="e">
        <f t="shared" ca="1" si="3"/>
        <v>#NAME?</v>
      </c>
    </row>
    <row r="399" spans="1:27" ht="15.75" customHeight="1">
      <c r="A399" s="5" t="str">
        <f ca="1">IFERROR(__xludf.DUMMYFUNCTION("""COMPUTED_VALUE"""),"POSTOBÓN YUMBO")</f>
        <v>POSTOBÓN YUMBO</v>
      </c>
      <c r="B399" s="5" t="str">
        <f ca="1">IFERROR(__xludf.DUMMYFUNCTION("""COMPUTED_VALUE"""),"0410-PLANTA DE AGUA ENVASADO")</f>
        <v>0410-PLANTA DE AGUA ENVASADO</v>
      </c>
      <c r="C399" s="5" t="str">
        <f ca="1">IFERROR(__xludf.DUMMYFUNCTION("""COMPUTED_VALUE"""),"TRATAMIENTO DE AGUA PARA ENVASADO")</f>
        <v>TRATAMIENTO DE AGUA PARA ENVASADO</v>
      </c>
      <c r="D399" s="5">
        <f ca="1">IFERROR(__xludf.DUMMYFUNCTION("""COMPUTED_VALUE"""),70949105)</f>
        <v>70949105</v>
      </c>
      <c r="E399" s="5" t="str">
        <f ca="1">IFERROR(__xludf.DUMMYFUNCTION("""COMPUTED_VALUE"""),"GENERADOR DE OXIGENO 1")</f>
        <v>GENERADOR DE OXIGENO 1</v>
      </c>
      <c r="F399" s="5">
        <f ca="1">IFERROR(__xludf.DUMMYFUNCTION("""COMPUTED_VALUE"""),42254)</f>
        <v>42254</v>
      </c>
      <c r="G399" s="5" t="str">
        <f ca="1">IFERROR(__xludf.DUMMYFUNCTION("""COMPUTED_VALUE"""),"PLAN MTTO MEC GENERADOR DE OXIGENO 1")</f>
        <v>PLAN MTTO MEC GENERADOR DE OXIGENO 1</v>
      </c>
      <c r="H399" s="5">
        <f ca="1">IFERROR(__xludf.DUMMYFUNCTION("""COMPUTED_VALUE"""),13229233)</f>
        <v>13229233</v>
      </c>
      <c r="I399" s="5" t="str">
        <f ca="1">IFERROR(__xludf.DUMMYFUNCTION("""COMPUTED_VALUE"""),"Limpie el filtro ubicado en los paneles")</f>
        <v>Limpie el filtro ubicado en los paneles</v>
      </c>
      <c r="J399" s="5" t="str">
        <f ca="1">IFERROR(__xludf.DUMMYFUNCTION("""COMPUTED_VALUE"""),"ALTO")</f>
        <v>ALTO</v>
      </c>
      <c r="K399" s="5" t="str">
        <f ca="1">IFERROR(__xludf.DUMMYFUNCTION("""COMPUTED_VALUE"""),"Preventivo")</f>
        <v>Preventivo</v>
      </c>
      <c r="L399" s="5" t="str">
        <f ca="1">IFERROR(__xludf.DUMMYFUNCTION("""COMPUTED_VALUE"""),"Maquinaria")</f>
        <v>Maquinaria</v>
      </c>
      <c r="M399" s="5" t="str">
        <f ca="1">IFERROR(__xludf.DUMMYFUNCTION("""COMPUTED_VALUE"""),"No")</f>
        <v>No</v>
      </c>
      <c r="N399" s="5"/>
      <c r="O399" s="5"/>
      <c r="P399" s="18">
        <f ca="1">IFERROR(__xludf.DUMMYFUNCTION("""COMPUTED_VALUE"""),45340)</f>
        <v>45340</v>
      </c>
      <c r="Q399" s="18">
        <f ca="1">IFERROR(__xludf.DUMMYFUNCTION("""COMPUTED_VALUE"""),45340)</f>
        <v>45340</v>
      </c>
      <c r="R399" s="18"/>
      <c r="S399" s="5">
        <f ca="1">IFERROR(__xludf.DUMMYFUNCTION("""COMPUTED_VALUE"""),0.5)</f>
        <v>0.5</v>
      </c>
      <c r="T399" s="5"/>
      <c r="U399" s="5" t="str">
        <f ca="1">IFERROR(__xludf.DUMMYFUNCTION("""COMPUTED_VALUE"""),"PAPAMIJA GUIDO")</f>
        <v>PAPAMIJA GUIDO</v>
      </c>
      <c r="V399" s="5"/>
      <c r="W399" s="5" t="str">
        <f ca="1">IFERROR(__xludf.DUMMYFUNCTION("""COMPUTED_VALUE"""),"_3BicXE7hUc")</f>
        <v>_3BicXE7hUc</v>
      </c>
      <c r="X399" s="5">
        <f ca="1">IFERROR(__xludf.DUMMYFUNCTION("""COMPUTED_VALUE"""),0.5)</f>
        <v>0.5</v>
      </c>
      <c r="Y399" s="5" t="str">
        <f t="shared" si="2"/>
        <v>Actividad sin realizar</v>
      </c>
      <c r="Z399" s="3">
        <f ca="1">IFERROR(VLOOKUP(U399, 'Base de datos'!A:B, 2, FALSE), "")</f>
        <v>573156712311</v>
      </c>
      <c r="AA399" s="4" t="e">
        <f t="shared" ca="1" si="3"/>
        <v>#NAME?</v>
      </c>
    </row>
    <row r="400" spans="1:27" ht="15.75" customHeight="1">
      <c r="A400" s="5" t="str">
        <f ca="1">IFERROR(__xludf.DUMMYFUNCTION("""COMPUTED_VALUE"""),"POSTOBÓN YUMBO")</f>
        <v>POSTOBÓN YUMBO</v>
      </c>
      <c r="B400" s="5" t="str">
        <f ca="1">IFERROR(__xludf.DUMMYFUNCTION("""COMPUTED_VALUE"""),"0410-PLANTA DE AGUA ENVASADO")</f>
        <v>0410-PLANTA DE AGUA ENVASADO</v>
      </c>
      <c r="C400" s="5" t="str">
        <f ca="1">IFERROR(__xludf.DUMMYFUNCTION("""COMPUTED_VALUE"""),"TRATAMIENTO DE AGUA PARA ENVASADO")</f>
        <v>TRATAMIENTO DE AGUA PARA ENVASADO</v>
      </c>
      <c r="D400" s="5">
        <f ca="1">IFERROR(__xludf.DUMMYFUNCTION("""COMPUTED_VALUE"""),70949105)</f>
        <v>70949105</v>
      </c>
      <c r="E400" s="5" t="str">
        <f ca="1">IFERROR(__xludf.DUMMYFUNCTION("""COMPUTED_VALUE"""),"GENERADOR DE OXIGENO 1")</f>
        <v>GENERADOR DE OXIGENO 1</v>
      </c>
      <c r="F400" s="5">
        <f ca="1">IFERROR(__xludf.DUMMYFUNCTION("""COMPUTED_VALUE"""),42254)</f>
        <v>42254</v>
      </c>
      <c r="G400" s="5" t="str">
        <f ca="1">IFERROR(__xludf.DUMMYFUNCTION("""COMPUTED_VALUE"""),"PLAN MTTO MEC GENERADOR DE OXIGENO 1")</f>
        <v>PLAN MTTO MEC GENERADOR DE OXIGENO 1</v>
      </c>
      <c r="H400" s="5">
        <f ca="1">IFERROR(__xludf.DUMMYFUNCTION("""COMPUTED_VALUE"""),13229233)</f>
        <v>13229233</v>
      </c>
      <c r="I400" s="5" t="str">
        <f ca="1">IFERROR(__xludf.DUMMYFUNCTION("""COMPUTED_VALUE"""),"Revise y limpie el auto drenaje:")</f>
        <v>Revise y limpie el auto drenaje:</v>
      </c>
      <c r="J400" s="5" t="str">
        <f ca="1">IFERROR(__xludf.DUMMYFUNCTION("""COMPUTED_VALUE"""),"ALTO")</f>
        <v>ALTO</v>
      </c>
      <c r="K400" s="5" t="str">
        <f ca="1">IFERROR(__xludf.DUMMYFUNCTION("""COMPUTED_VALUE"""),"Preventivo")</f>
        <v>Preventivo</v>
      </c>
      <c r="L400" s="5" t="str">
        <f ca="1">IFERROR(__xludf.DUMMYFUNCTION("""COMPUTED_VALUE"""),"Maquinaria")</f>
        <v>Maquinaria</v>
      </c>
      <c r="M400" s="5" t="str">
        <f ca="1">IFERROR(__xludf.DUMMYFUNCTION("""COMPUTED_VALUE"""),"No")</f>
        <v>No</v>
      </c>
      <c r="N400" s="5"/>
      <c r="O400" s="5"/>
      <c r="P400" s="18">
        <f ca="1">IFERROR(__xludf.DUMMYFUNCTION("""COMPUTED_VALUE"""),45340)</f>
        <v>45340</v>
      </c>
      <c r="Q400" s="18">
        <f ca="1">IFERROR(__xludf.DUMMYFUNCTION("""COMPUTED_VALUE"""),45340)</f>
        <v>45340</v>
      </c>
      <c r="R400" s="18"/>
      <c r="S400" s="5">
        <f ca="1">IFERROR(__xludf.DUMMYFUNCTION("""COMPUTED_VALUE"""),0.5)</f>
        <v>0.5</v>
      </c>
      <c r="T400" s="5"/>
      <c r="U400" s="5" t="str">
        <f ca="1">IFERROR(__xludf.DUMMYFUNCTION("""COMPUTED_VALUE"""),"PAPAMIJA GUIDO")</f>
        <v>PAPAMIJA GUIDO</v>
      </c>
      <c r="V400" s="5"/>
      <c r="W400" s="5" t="str">
        <f ca="1">IFERROR(__xludf.DUMMYFUNCTION("""COMPUTED_VALUE"""),"YE9k5WmDIs8")</f>
        <v>YE9k5WmDIs8</v>
      </c>
      <c r="X400" s="5">
        <f ca="1">IFERROR(__xludf.DUMMYFUNCTION("""COMPUTED_VALUE"""),0.5)</f>
        <v>0.5</v>
      </c>
      <c r="Y400" s="5" t="str">
        <f t="shared" si="2"/>
        <v>Actividad sin realizar</v>
      </c>
      <c r="Z400" s="3">
        <f ca="1">IFERROR(VLOOKUP(U400, 'Base de datos'!A:B, 2, FALSE), "")</f>
        <v>573156712311</v>
      </c>
      <c r="AA400" s="4" t="e">
        <f t="shared" ca="1" si="3"/>
        <v>#NAME?</v>
      </c>
    </row>
    <row r="401" spans="1:27" ht="15.75" customHeight="1">
      <c r="A401" s="5" t="str">
        <f ca="1">IFERROR(__xludf.DUMMYFUNCTION("""COMPUTED_VALUE"""),"POSTOBÓN YUMBO")</f>
        <v>POSTOBÓN YUMBO</v>
      </c>
      <c r="B401" s="5" t="str">
        <f ca="1">IFERROR(__xludf.DUMMYFUNCTION("""COMPUTED_VALUE"""),"0410-PLANTA DE AGUA ENVASADO")</f>
        <v>0410-PLANTA DE AGUA ENVASADO</v>
      </c>
      <c r="C401" s="5" t="str">
        <f ca="1">IFERROR(__xludf.DUMMYFUNCTION("""COMPUTED_VALUE"""),"TRATAMIENTO DE AGUA PARA ENVASADO")</f>
        <v>TRATAMIENTO DE AGUA PARA ENVASADO</v>
      </c>
      <c r="D401" s="5">
        <f ca="1">IFERROR(__xludf.DUMMYFUNCTION("""COMPUTED_VALUE"""),70949105)</f>
        <v>70949105</v>
      </c>
      <c r="E401" s="5" t="str">
        <f ca="1">IFERROR(__xludf.DUMMYFUNCTION("""COMPUTED_VALUE"""),"GENERADOR DE OXIGENO 1")</f>
        <v>GENERADOR DE OXIGENO 1</v>
      </c>
      <c r="F401" s="5">
        <f ca="1">IFERROR(__xludf.DUMMYFUNCTION("""COMPUTED_VALUE"""),42254)</f>
        <v>42254</v>
      </c>
      <c r="G401" s="5" t="str">
        <f ca="1">IFERROR(__xludf.DUMMYFUNCTION("""COMPUTED_VALUE"""),"PLAN MTTO MEC GENERADOR DE OXIGENO 1")</f>
        <v>PLAN MTTO MEC GENERADOR DE OXIGENO 1</v>
      </c>
      <c r="H401" s="5">
        <f ca="1">IFERROR(__xludf.DUMMYFUNCTION("""COMPUTED_VALUE"""),13229233)</f>
        <v>13229233</v>
      </c>
      <c r="I401" s="5" t="str">
        <f ca="1">IFERROR(__xludf.DUMMYFUNCTION("""COMPUTED_VALUE"""),"REVISION GRAL REGULADORES:")</f>
        <v>REVISION GRAL REGULADORES:</v>
      </c>
      <c r="J401" s="5" t="str">
        <f ca="1">IFERROR(__xludf.DUMMYFUNCTION("""COMPUTED_VALUE"""),"ALTO")</f>
        <v>ALTO</v>
      </c>
      <c r="K401" s="5" t="str">
        <f ca="1">IFERROR(__xludf.DUMMYFUNCTION("""COMPUTED_VALUE"""),"Preventivo")</f>
        <v>Preventivo</v>
      </c>
      <c r="L401" s="5" t="str">
        <f ca="1">IFERROR(__xludf.DUMMYFUNCTION("""COMPUTED_VALUE"""),"Maquinaria")</f>
        <v>Maquinaria</v>
      </c>
      <c r="M401" s="5" t="str">
        <f ca="1">IFERROR(__xludf.DUMMYFUNCTION("""COMPUTED_VALUE"""),"No")</f>
        <v>No</v>
      </c>
      <c r="N401" s="5"/>
      <c r="O401" s="5"/>
      <c r="P401" s="18">
        <f ca="1">IFERROR(__xludf.DUMMYFUNCTION("""COMPUTED_VALUE"""),45340)</f>
        <v>45340</v>
      </c>
      <c r="Q401" s="18">
        <f ca="1">IFERROR(__xludf.DUMMYFUNCTION("""COMPUTED_VALUE"""),45340)</f>
        <v>45340</v>
      </c>
      <c r="R401" s="18"/>
      <c r="S401" s="5">
        <f ca="1">IFERROR(__xludf.DUMMYFUNCTION("""COMPUTED_VALUE"""),0.5)</f>
        <v>0.5</v>
      </c>
      <c r="T401" s="5"/>
      <c r="U401" s="5" t="str">
        <f ca="1">IFERROR(__xludf.DUMMYFUNCTION("""COMPUTED_VALUE"""),"PAPAMIJA GUIDO")</f>
        <v>PAPAMIJA GUIDO</v>
      </c>
      <c r="V401" s="5"/>
      <c r="W401" s="5" t="str">
        <f ca="1">IFERROR(__xludf.DUMMYFUNCTION("""COMPUTED_VALUE"""),"X1dV6N5hvig")</f>
        <v>X1dV6N5hvig</v>
      </c>
      <c r="X401" s="5">
        <f ca="1">IFERROR(__xludf.DUMMYFUNCTION("""COMPUTED_VALUE"""),0.5)</f>
        <v>0.5</v>
      </c>
      <c r="Y401" s="5" t="str">
        <f t="shared" si="2"/>
        <v>Actividad sin realizar</v>
      </c>
      <c r="Z401" s="3">
        <f ca="1">IFERROR(VLOOKUP(U401, 'Base de datos'!A:B, 2, FALSE), "")</f>
        <v>573156712311</v>
      </c>
      <c r="AA401" s="4" t="e">
        <f t="shared" ca="1" si="3"/>
        <v>#NAME?</v>
      </c>
    </row>
    <row r="402" spans="1:27" ht="15.75" customHeight="1">
      <c r="A402" s="5" t="str">
        <f ca="1">IFERROR(__xludf.DUMMYFUNCTION("""COMPUTED_VALUE"""),"POSTOBÓN YUMBO")</f>
        <v>POSTOBÓN YUMBO</v>
      </c>
      <c r="B402" s="5" t="str">
        <f ca="1">IFERROR(__xludf.DUMMYFUNCTION("""COMPUTED_VALUE"""),"0410-PLANTA DE AGUA ENVASADO")</f>
        <v>0410-PLANTA DE AGUA ENVASADO</v>
      </c>
      <c r="C402" s="5" t="str">
        <f ca="1">IFERROR(__xludf.DUMMYFUNCTION("""COMPUTED_VALUE"""),"TRATAMIENTO DE AGUA PARA ENVASADO")</f>
        <v>TRATAMIENTO DE AGUA PARA ENVASADO</v>
      </c>
      <c r="D402" s="5">
        <f ca="1">IFERROR(__xludf.DUMMYFUNCTION("""COMPUTED_VALUE"""),70949105)</f>
        <v>70949105</v>
      </c>
      <c r="E402" s="5" t="str">
        <f ca="1">IFERROR(__xludf.DUMMYFUNCTION("""COMPUTED_VALUE"""),"GENERADOR DE OXIGENO 1")</f>
        <v>GENERADOR DE OXIGENO 1</v>
      </c>
      <c r="F402" s="5">
        <f ca="1">IFERROR(__xludf.DUMMYFUNCTION("""COMPUTED_VALUE"""),42254)</f>
        <v>42254</v>
      </c>
      <c r="G402" s="5" t="str">
        <f ca="1">IFERROR(__xludf.DUMMYFUNCTION("""COMPUTED_VALUE"""),"PLAN MTTO ELE GENERADOR DE OXIGENO 1")</f>
        <v>PLAN MTTO ELE GENERADOR DE OXIGENO 1</v>
      </c>
      <c r="H402" s="5">
        <f ca="1">IFERROR(__xludf.DUMMYFUNCTION("""COMPUTED_VALUE"""),13229234)</f>
        <v>13229234</v>
      </c>
      <c r="I402" s="5" t="str">
        <f ca="1">IFERROR(__xludf.DUMMYFUNCTION("""COMPUTED_VALUE"""),"Verifique si los ventiladores funcionan")</f>
        <v>Verifique si los ventiladores funcionan</v>
      </c>
      <c r="J402" s="5" t="str">
        <f ca="1">IFERROR(__xludf.DUMMYFUNCTION("""COMPUTED_VALUE"""),"ALTO")</f>
        <v>ALTO</v>
      </c>
      <c r="K402" s="5" t="str">
        <f ca="1">IFERROR(__xludf.DUMMYFUNCTION("""COMPUTED_VALUE"""),"Preventivo")</f>
        <v>Preventivo</v>
      </c>
      <c r="L402" s="5" t="str">
        <f ca="1">IFERROR(__xludf.DUMMYFUNCTION("""COMPUTED_VALUE"""),"Maquinaria")</f>
        <v>Maquinaria</v>
      </c>
      <c r="M402" s="5" t="str">
        <f ca="1">IFERROR(__xludf.DUMMYFUNCTION("""COMPUTED_VALUE"""),"No")</f>
        <v>No</v>
      </c>
      <c r="N402" s="5"/>
      <c r="O402" s="5"/>
      <c r="P402" s="18">
        <f ca="1">IFERROR(__xludf.DUMMYFUNCTION("""COMPUTED_VALUE"""),45340)</f>
        <v>45340</v>
      </c>
      <c r="Q402" s="18">
        <f ca="1">IFERROR(__xludf.DUMMYFUNCTION("""COMPUTED_VALUE"""),45340)</f>
        <v>45340</v>
      </c>
      <c r="R402" s="18"/>
      <c r="S402" s="5">
        <f ca="1">IFERROR(__xludf.DUMMYFUNCTION("""COMPUTED_VALUE"""),0.5)</f>
        <v>0.5</v>
      </c>
      <c r="T402" s="5"/>
      <c r="U402" s="5" t="str">
        <f ca="1">IFERROR(__xludf.DUMMYFUNCTION("""COMPUTED_VALUE"""),"PAPAMIJA GUIDO")</f>
        <v>PAPAMIJA GUIDO</v>
      </c>
      <c r="V402" s="5"/>
      <c r="W402" s="5" t="str">
        <f ca="1">IFERROR(__xludf.DUMMYFUNCTION("""COMPUTED_VALUE"""),"5gtj7cyen20")</f>
        <v>5gtj7cyen20</v>
      </c>
      <c r="X402" s="5">
        <f ca="1">IFERROR(__xludf.DUMMYFUNCTION("""COMPUTED_VALUE"""),0.5)</f>
        <v>0.5</v>
      </c>
      <c r="Y402" s="5" t="str">
        <f t="shared" si="2"/>
        <v>Actividad sin realizar</v>
      </c>
      <c r="Z402" s="3">
        <f ca="1">IFERROR(VLOOKUP(U402, 'Base de datos'!A:B, 2, FALSE), "")</f>
        <v>573156712311</v>
      </c>
      <c r="AA402" s="4" t="e">
        <f t="shared" ca="1" si="3"/>
        <v>#NAME?</v>
      </c>
    </row>
    <row r="403" spans="1:27" ht="15.75" customHeight="1">
      <c r="A403" s="5" t="str">
        <f ca="1">IFERROR(__xludf.DUMMYFUNCTION("""COMPUTED_VALUE"""),"POSTOBÓN YUMBO")</f>
        <v>POSTOBÓN YUMBO</v>
      </c>
      <c r="B403" s="5" t="str">
        <f ca="1">IFERROR(__xludf.DUMMYFUNCTION("""COMPUTED_VALUE"""),"0410-PLANTA DE AGUA ENVASADO")</f>
        <v>0410-PLANTA DE AGUA ENVASADO</v>
      </c>
      <c r="C403" s="5" t="str">
        <f ca="1">IFERROR(__xludf.DUMMYFUNCTION("""COMPUTED_VALUE"""),"TRATAMIENTO DE AGUA PARA ENVASADO")</f>
        <v>TRATAMIENTO DE AGUA PARA ENVASADO</v>
      </c>
      <c r="D403" s="5">
        <f ca="1">IFERROR(__xludf.DUMMYFUNCTION("""COMPUTED_VALUE"""),70949105)</f>
        <v>70949105</v>
      </c>
      <c r="E403" s="5" t="str">
        <f ca="1">IFERROR(__xludf.DUMMYFUNCTION("""COMPUTED_VALUE"""),"GENERADOR DE OXIGENO 1")</f>
        <v>GENERADOR DE OXIGENO 1</v>
      </c>
      <c r="F403" s="5">
        <f ca="1">IFERROR(__xludf.DUMMYFUNCTION("""COMPUTED_VALUE"""),42254)</f>
        <v>42254</v>
      </c>
      <c r="G403" s="5" t="str">
        <f ca="1">IFERROR(__xludf.DUMMYFUNCTION("""COMPUTED_VALUE"""),"PLAN MTTO ELE GENERADOR DE OXIGENO 1")</f>
        <v>PLAN MTTO ELE GENERADOR DE OXIGENO 1</v>
      </c>
      <c r="H403" s="5">
        <f ca="1">IFERROR(__xludf.DUMMYFUNCTION("""COMPUTED_VALUE"""),13229234)</f>
        <v>13229234</v>
      </c>
      <c r="I403" s="5" t="str">
        <f ca="1">IFERROR(__xludf.DUMMYFUNCTION("""COMPUTED_VALUE"""),"Compruebe las funcion flujometro. Reempl")</f>
        <v>Compruebe las funcion flujometro. Reempl</v>
      </c>
      <c r="J403" s="5" t="str">
        <f ca="1">IFERROR(__xludf.DUMMYFUNCTION("""COMPUTED_VALUE"""),"ALTO")</f>
        <v>ALTO</v>
      </c>
      <c r="K403" s="5" t="str">
        <f ca="1">IFERROR(__xludf.DUMMYFUNCTION("""COMPUTED_VALUE"""),"Preventivo")</f>
        <v>Preventivo</v>
      </c>
      <c r="L403" s="5" t="str">
        <f ca="1">IFERROR(__xludf.DUMMYFUNCTION("""COMPUTED_VALUE"""),"Maquinaria")</f>
        <v>Maquinaria</v>
      </c>
      <c r="M403" s="5" t="str">
        <f ca="1">IFERROR(__xludf.DUMMYFUNCTION("""COMPUTED_VALUE"""),"No")</f>
        <v>No</v>
      </c>
      <c r="N403" s="5"/>
      <c r="O403" s="5"/>
      <c r="P403" s="18">
        <f ca="1">IFERROR(__xludf.DUMMYFUNCTION("""COMPUTED_VALUE"""),45340)</f>
        <v>45340</v>
      </c>
      <c r="Q403" s="18">
        <f ca="1">IFERROR(__xludf.DUMMYFUNCTION("""COMPUTED_VALUE"""),45340)</f>
        <v>45340</v>
      </c>
      <c r="R403" s="18"/>
      <c r="S403" s="5">
        <f ca="1">IFERROR(__xludf.DUMMYFUNCTION("""COMPUTED_VALUE"""),0.5)</f>
        <v>0.5</v>
      </c>
      <c r="T403" s="5"/>
      <c r="U403" s="5" t="str">
        <f ca="1">IFERROR(__xludf.DUMMYFUNCTION("""COMPUTED_VALUE"""),"PAPAMIJA GUIDO")</f>
        <v>PAPAMIJA GUIDO</v>
      </c>
      <c r="V403" s="5"/>
      <c r="W403" s="5" t="str">
        <f ca="1">IFERROR(__xludf.DUMMYFUNCTION("""COMPUTED_VALUE"""),"bZO2azijB6A")</f>
        <v>bZO2azijB6A</v>
      </c>
      <c r="X403" s="5">
        <f ca="1">IFERROR(__xludf.DUMMYFUNCTION("""COMPUTED_VALUE"""),0.5)</f>
        <v>0.5</v>
      </c>
      <c r="Y403" s="5" t="str">
        <f t="shared" si="2"/>
        <v>Actividad sin realizar</v>
      </c>
      <c r="Z403" s="3">
        <f ca="1">IFERROR(VLOOKUP(U403, 'Base de datos'!A:B, 2, FALSE), "")</f>
        <v>573156712311</v>
      </c>
      <c r="AA403" s="4" t="e">
        <f t="shared" ca="1" si="3"/>
        <v>#NAME?</v>
      </c>
    </row>
    <row r="404" spans="1:27" ht="15.75" customHeight="1">
      <c r="A404" s="5" t="str">
        <f ca="1">IFERROR(__xludf.DUMMYFUNCTION("""COMPUTED_VALUE"""),"POSTOBÓN YUMBO")</f>
        <v>POSTOBÓN YUMBO</v>
      </c>
      <c r="B404" s="5" t="str">
        <f ca="1">IFERROR(__xludf.DUMMYFUNCTION("""COMPUTED_VALUE"""),"0410-PLANTA DE AGUA ENVASADO")</f>
        <v>0410-PLANTA DE AGUA ENVASADO</v>
      </c>
      <c r="C404" s="5" t="str">
        <f ca="1">IFERROR(__xludf.DUMMYFUNCTION("""COMPUTED_VALUE"""),"TRATAMIENTO DE AGUA PARA ENVASADO")</f>
        <v>TRATAMIENTO DE AGUA PARA ENVASADO</v>
      </c>
      <c r="D404" s="5">
        <f ca="1">IFERROR(__xludf.DUMMYFUNCTION("""COMPUTED_VALUE"""),70949106)</f>
        <v>70949106</v>
      </c>
      <c r="E404" s="5" t="str">
        <f ca="1">IFERROR(__xludf.DUMMYFUNCTION("""COMPUTED_VALUE"""),"GENERADOR DE OXIGENO 2")</f>
        <v>GENERADOR DE OXIGENO 2</v>
      </c>
      <c r="F404" s="5">
        <f ca="1">IFERROR(__xludf.DUMMYFUNCTION("""COMPUTED_VALUE"""),42255)</f>
        <v>42255</v>
      </c>
      <c r="G404" s="5" t="str">
        <f ca="1">IFERROR(__xludf.DUMMYFUNCTION("""COMPUTED_VALUE"""),"PLAN MTTO MEC GENERADOR DE OXIGENO 2")</f>
        <v>PLAN MTTO MEC GENERADOR DE OXIGENO 2</v>
      </c>
      <c r="H404" s="5">
        <f ca="1">IFERROR(__xludf.DUMMYFUNCTION("""COMPUTED_VALUE"""),13229237)</f>
        <v>13229237</v>
      </c>
      <c r="I404" s="5" t="str">
        <f ca="1">IFERROR(__xludf.DUMMYFUNCTION("""COMPUTED_VALUE"""),"Limpie el filtro ubicado en los paneles")</f>
        <v>Limpie el filtro ubicado en los paneles</v>
      </c>
      <c r="J404" s="5" t="str">
        <f ca="1">IFERROR(__xludf.DUMMYFUNCTION("""COMPUTED_VALUE"""),"ALTO")</f>
        <v>ALTO</v>
      </c>
      <c r="K404" s="5" t="str">
        <f ca="1">IFERROR(__xludf.DUMMYFUNCTION("""COMPUTED_VALUE"""),"Preventivo")</f>
        <v>Preventivo</v>
      </c>
      <c r="L404" s="5" t="str">
        <f ca="1">IFERROR(__xludf.DUMMYFUNCTION("""COMPUTED_VALUE"""),"Maquinaria")</f>
        <v>Maquinaria</v>
      </c>
      <c r="M404" s="5" t="str">
        <f ca="1">IFERROR(__xludf.DUMMYFUNCTION("""COMPUTED_VALUE"""),"No")</f>
        <v>No</v>
      </c>
      <c r="N404" s="5"/>
      <c r="O404" s="5"/>
      <c r="P404" s="18">
        <f ca="1">IFERROR(__xludf.DUMMYFUNCTION("""COMPUTED_VALUE"""),45340)</f>
        <v>45340</v>
      </c>
      <c r="Q404" s="18">
        <f ca="1">IFERROR(__xludf.DUMMYFUNCTION("""COMPUTED_VALUE"""),45340)</f>
        <v>45340</v>
      </c>
      <c r="R404" s="18"/>
      <c r="S404" s="5">
        <f ca="1">IFERROR(__xludf.DUMMYFUNCTION("""COMPUTED_VALUE"""),0.5)</f>
        <v>0.5</v>
      </c>
      <c r="T404" s="5"/>
      <c r="U404" s="5" t="str">
        <f ca="1">IFERROR(__xludf.DUMMYFUNCTION("""COMPUTED_VALUE"""),"PAPAMIJA GUIDO")</f>
        <v>PAPAMIJA GUIDO</v>
      </c>
      <c r="V404" s="5"/>
      <c r="W404" s="5" t="str">
        <f ca="1">IFERROR(__xludf.DUMMYFUNCTION("""COMPUTED_VALUE"""),"KECxABnSDQ8")</f>
        <v>KECxABnSDQ8</v>
      </c>
      <c r="X404" s="5">
        <f ca="1">IFERROR(__xludf.DUMMYFUNCTION("""COMPUTED_VALUE"""),0.5)</f>
        <v>0.5</v>
      </c>
      <c r="Y404" s="5" t="str">
        <f t="shared" si="2"/>
        <v>Actividad sin realizar</v>
      </c>
      <c r="Z404" s="3">
        <f ca="1">IFERROR(VLOOKUP(U404, 'Base de datos'!A:B, 2, FALSE), "")</f>
        <v>573156712311</v>
      </c>
      <c r="AA404" s="4" t="e">
        <f t="shared" ca="1" si="3"/>
        <v>#NAME?</v>
      </c>
    </row>
    <row r="405" spans="1:27" ht="15.75" customHeight="1">
      <c r="A405" s="5" t="str">
        <f ca="1">IFERROR(__xludf.DUMMYFUNCTION("""COMPUTED_VALUE"""),"POSTOBÓN YUMBO")</f>
        <v>POSTOBÓN YUMBO</v>
      </c>
      <c r="B405" s="5" t="str">
        <f ca="1">IFERROR(__xludf.DUMMYFUNCTION("""COMPUTED_VALUE"""),"0410-PLANTA DE AGUA ENVASADO")</f>
        <v>0410-PLANTA DE AGUA ENVASADO</v>
      </c>
      <c r="C405" s="5" t="str">
        <f ca="1">IFERROR(__xludf.DUMMYFUNCTION("""COMPUTED_VALUE"""),"TRATAMIENTO DE AGUA PARA ENVASADO")</f>
        <v>TRATAMIENTO DE AGUA PARA ENVASADO</v>
      </c>
      <c r="D405" s="5">
        <f ca="1">IFERROR(__xludf.DUMMYFUNCTION("""COMPUTED_VALUE"""),70949106)</f>
        <v>70949106</v>
      </c>
      <c r="E405" s="5" t="str">
        <f ca="1">IFERROR(__xludf.DUMMYFUNCTION("""COMPUTED_VALUE"""),"GENERADOR DE OXIGENO 2")</f>
        <v>GENERADOR DE OXIGENO 2</v>
      </c>
      <c r="F405" s="5">
        <f ca="1">IFERROR(__xludf.DUMMYFUNCTION("""COMPUTED_VALUE"""),42255)</f>
        <v>42255</v>
      </c>
      <c r="G405" s="5" t="str">
        <f ca="1">IFERROR(__xludf.DUMMYFUNCTION("""COMPUTED_VALUE"""),"PLAN MTTO MEC GENERADOR DE OXIGENO 2")</f>
        <v>PLAN MTTO MEC GENERADOR DE OXIGENO 2</v>
      </c>
      <c r="H405" s="5">
        <f ca="1">IFERROR(__xludf.DUMMYFUNCTION("""COMPUTED_VALUE"""),13229237)</f>
        <v>13229237</v>
      </c>
      <c r="I405" s="5" t="str">
        <f ca="1">IFERROR(__xludf.DUMMYFUNCTION("""COMPUTED_VALUE"""),"Revise y limpie el auto drenaje:")</f>
        <v>Revise y limpie el auto drenaje:</v>
      </c>
      <c r="J405" s="5" t="str">
        <f ca="1">IFERROR(__xludf.DUMMYFUNCTION("""COMPUTED_VALUE"""),"ALTO")</f>
        <v>ALTO</v>
      </c>
      <c r="K405" s="5" t="str">
        <f ca="1">IFERROR(__xludf.DUMMYFUNCTION("""COMPUTED_VALUE"""),"Preventivo")</f>
        <v>Preventivo</v>
      </c>
      <c r="L405" s="5" t="str">
        <f ca="1">IFERROR(__xludf.DUMMYFUNCTION("""COMPUTED_VALUE"""),"Maquinaria")</f>
        <v>Maquinaria</v>
      </c>
      <c r="M405" s="5" t="str">
        <f ca="1">IFERROR(__xludf.DUMMYFUNCTION("""COMPUTED_VALUE"""),"No")</f>
        <v>No</v>
      </c>
      <c r="N405" s="5"/>
      <c r="O405" s="5"/>
      <c r="P405" s="18">
        <f ca="1">IFERROR(__xludf.DUMMYFUNCTION("""COMPUTED_VALUE"""),45340)</f>
        <v>45340</v>
      </c>
      <c r="Q405" s="18">
        <f ca="1">IFERROR(__xludf.DUMMYFUNCTION("""COMPUTED_VALUE"""),45340)</f>
        <v>45340</v>
      </c>
      <c r="R405" s="18"/>
      <c r="S405" s="5">
        <f ca="1">IFERROR(__xludf.DUMMYFUNCTION("""COMPUTED_VALUE"""),0.5)</f>
        <v>0.5</v>
      </c>
      <c r="T405" s="5"/>
      <c r="U405" s="5" t="str">
        <f ca="1">IFERROR(__xludf.DUMMYFUNCTION("""COMPUTED_VALUE"""),"PAPAMIJA GUIDO")</f>
        <v>PAPAMIJA GUIDO</v>
      </c>
      <c r="V405" s="5"/>
      <c r="W405" s="5" t="str">
        <f ca="1">IFERROR(__xludf.DUMMYFUNCTION("""COMPUTED_VALUE"""),"Lx_HP2ZAgj0")</f>
        <v>Lx_HP2ZAgj0</v>
      </c>
      <c r="X405" s="5">
        <f ca="1">IFERROR(__xludf.DUMMYFUNCTION("""COMPUTED_VALUE"""),0.5)</f>
        <v>0.5</v>
      </c>
      <c r="Y405" s="5" t="str">
        <f t="shared" si="2"/>
        <v>Actividad sin realizar</v>
      </c>
      <c r="Z405" s="3">
        <f ca="1">IFERROR(VLOOKUP(U405, 'Base de datos'!A:B, 2, FALSE), "")</f>
        <v>573156712311</v>
      </c>
      <c r="AA405" s="4" t="e">
        <f t="shared" ca="1" si="3"/>
        <v>#NAME?</v>
      </c>
    </row>
    <row r="406" spans="1:27" ht="15.75" customHeight="1">
      <c r="A406" s="5" t="str">
        <f ca="1">IFERROR(__xludf.DUMMYFUNCTION("""COMPUTED_VALUE"""),"POSTOBÓN YUMBO")</f>
        <v>POSTOBÓN YUMBO</v>
      </c>
      <c r="B406" s="5" t="str">
        <f ca="1">IFERROR(__xludf.DUMMYFUNCTION("""COMPUTED_VALUE"""),"0410-LINEA 3")</f>
        <v>0410-LINEA 3</v>
      </c>
      <c r="C406" s="5" t="str">
        <f ca="1">IFERROR(__xludf.DUMMYFUNCTION("""COMPUTED_VALUE"""),"LINEA DE ENVASADO TAMAÑO PERSONAL")</f>
        <v>LINEA DE ENVASADO TAMAÑO PERSONAL</v>
      </c>
      <c r="D406" s="5">
        <f ca="1">IFERROR(__xludf.DUMMYFUNCTION("""COMPUTED_VALUE"""),828592)</f>
        <v>828592</v>
      </c>
      <c r="E406" s="5" t="str">
        <f ca="1">IFERROR(__xludf.DUMMYFUNCTION("""COMPUTED_VALUE"""),"LLENADORA")</f>
        <v>LLENADORA</v>
      </c>
      <c r="F406" s="5">
        <f ca="1">IFERROR(__xludf.DUMMYFUNCTION("""COMPUTED_VALUE"""),5821)</f>
        <v>5821</v>
      </c>
      <c r="G406" s="5" t="str">
        <f ca="1">IFERROR(__xludf.DUMMYFUNCTION("""COMPUTED_VALUE"""),"Mantto Mec sist manejo de botella Llenad")</f>
        <v>Mantto Mec sist manejo de botella Llenad</v>
      </c>
      <c r="H406" s="5">
        <f ca="1">IFERROR(__xludf.DUMMYFUNCTION("""COMPUTED_VALUE"""),13247115)</f>
        <v>13247115</v>
      </c>
      <c r="I406" s="5" t="str">
        <f ca="1">IFERROR(__xludf.DUMMYFUNCTION("""COMPUTED_VALUE"""),"revision separadores de explosion.")</f>
        <v>revision separadores de explosion.</v>
      </c>
      <c r="J406" s="5" t="str">
        <f ca="1">IFERROR(__xludf.DUMMYFUNCTION("""COMPUTED_VALUE"""),"ALTO")</f>
        <v>ALTO</v>
      </c>
      <c r="K406" s="5" t="str">
        <f ca="1">IFERROR(__xludf.DUMMYFUNCTION("""COMPUTED_VALUE"""),"Preventivo")</f>
        <v>Preventivo</v>
      </c>
      <c r="L406" s="5" t="str">
        <f ca="1">IFERROR(__xludf.DUMMYFUNCTION("""COMPUTED_VALUE"""),"Maquinaria")</f>
        <v>Maquinaria</v>
      </c>
      <c r="M406" s="5" t="str">
        <f ca="1">IFERROR(__xludf.DUMMYFUNCTION("""COMPUTED_VALUE"""),"No")</f>
        <v>No</v>
      </c>
      <c r="N406" s="5"/>
      <c r="O406" s="5"/>
      <c r="P406" s="18">
        <f ca="1">IFERROR(__xludf.DUMMYFUNCTION("""COMPUTED_VALUE"""),45324)</f>
        <v>45324</v>
      </c>
      <c r="Q406" s="18">
        <f ca="1">IFERROR(__xludf.DUMMYFUNCTION("""COMPUTED_VALUE"""),45324)</f>
        <v>45324</v>
      </c>
      <c r="R406" s="18"/>
      <c r="S406" s="5">
        <f ca="1">IFERROR(__xludf.DUMMYFUNCTION("""COMPUTED_VALUE"""),1)</f>
        <v>1</v>
      </c>
      <c r="T406" s="5"/>
      <c r="U406" s="5" t="str">
        <f ca="1">IFERROR(__xludf.DUMMYFUNCTION("""COMPUTED_VALUE"""),"Jimenez Jhon")</f>
        <v>Jimenez Jhon</v>
      </c>
      <c r="V406" s="5"/>
      <c r="W406" s="5" t="str">
        <f ca="1">IFERROR(__xludf.DUMMYFUNCTION("""COMPUTED_VALUE"""),"GSK8PnONdDs")</f>
        <v>GSK8PnONdDs</v>
      </c>
      <c r="X406" s="5">
        <f ca="1">IFERROR(__xludf.DUMMYFUNCTION("""COMPUTED_VALUE"""),1)</f>
        <v>1</v>
      </c>
      <c r="Y406" s="5" t="str">
        <f t="shared" si="2"/>
        <v>Actividad sin realizar</v>
      </c>
      <c r="Z406" s="3">
        <f ca="1">IFERROR(VLOOKUP(U406, 'Base de datos'!A:B, 2, FALSE), "")</f>
        <v>573147637946</v>
      </c>
      <c r="AA406" s="4" t="e">
        <f t="shared" ca="1" si="3"/>
        <v>#NAME?</v>
      </c>
    </row>
    <row r="407" spans="1:27" ht="15.75" customHeight="1">
      <c r="A407" s="5" t="str">
        <f ca="1">IFERROR(__xludf.DUMMYFUNCTION("""COMPUTED_VALUE"""),"POSTOBÓN YUMBO")</f>
        <v>POSTOBÓN YUMBO</v>
      </c>
      <c r="B407" s="5" t="str">
        <f ca="1">IFERROR(__xludf.DUMMYFUNCTION("""COMPUTED_VALUE"""),"0410-LINEA 1")</f>
        <v>0410-LINEA 1</v>
      </c>
      <c r="C407" s="5" t="str">
        <f ca="1">IFERROR(__xludf.DUMMYFUNCTION("""COMPUTED_VALUE"""),"LINEA DE ENVASADO PET NO RETORNABLE")</f>
        <v>LINEA DE ENVASADO PET NO RETORNABLE</v>
      </c>
      <c r="D407" s="5">
        <f ca="1">IFERROR(__xludf.DUMMYFUNCTION("""COMPUTED_VALUE"""),829613)</f>
        <v>829613</v>
      </c>
      <c r="E407" s="5" t="str">
        <f ca="1">IFERROR(__xludf.DUMMYFUNCTION("""COMPUTED_VALUE"""),"TRANSPORTADOR ENVASE")</f>
        <v>TRANSPORTADOR ENVASE</v>
      </c>
      <c r="F407" s="5">
        <f ca="1">IFERROR(__xludf.DUMMYFUNCTION("""COMPUTED_VALUE"""),22599)</f>
        <v>22599</v>
      </c>
      <c r="G407" s="5" t="str">
        <f ca="1">IFERROR(__xludf.DUMMYFUNCTION("""COMPUTED_VALUE"""),"PLAN MTTO LUB TRANSPORT ENV L1 829613")</f>
        <v>PLAN MTTO LUB TRANSPORT ENV L1 829613</v>
      </c>
      <c r="H407" s="5">
        <f ca="1">IFERROR(__xludf.DUMMYFUNCTION("""COMPUTED_VALUE"""),13247226)</f>
        <v>13247226</v>
      </c>
      <c r="I407" s="5" t="str">
        <f ca="1">IFERROR(__xludf.DUMMYFUNCTION("""COMPUTED_VALUE"""),"Lubricar chumaceras")</f>
        <v>Lubricar chumaceras</v>
      </c>
      <c r="J407" s="5" t="str">
        <f ca="1">IFERROR(__xludf.DUMMYFUNCTION("""COMPUTED_VALUE"""),"BAJO")</f>
        <v>BAJO</v>
      </c>
      <c r="K407" s="5" t="str">
        <f ca="1">IFERROR(__xludf.DUMMYFUNCTION("""COMPUTED_VALUE"""),"Preventivo")</f>
        <v>Preventivo</v>
      </c>
      <c r="L407" s="5" t="str">
        <f ca="1">IFERROR(__xludf.DUMMYFUNCTION("""COMPUTED_VALUE"""),"Maquinaria")</f>
        <v>Maquinaria</v>
      </c>
      <c r="M407" s="5" t="str">
        <f ca="1">IFERROR(__xludf.DUMMYFUNCTION("""COMPUTED_VALUE"""),"No")</f>
        <v>No</v>
      </c>
      <c r="N407" s="5"/>
      <c r="O407" s="5"/>
      <c r="P407" s="18">
        <f ca="1">IFERROR(__xludf.DUMMYFUNCTION("""COMPUTED_VALUE"""),45337)</f>
        <v>45337</v>
      </c>
      <c r="Q407" s="18">
        <f ca="1">IFERROR(__xludf.DUMMYFUNCTION("""COMPUTED_VALUE"""),45337)</f>
        <v>45337</v>
      </c>
      <c r="R407" s="18"/>
      <c r="S407" s="5">
        <f ca="1">IFERROR(__xludf.DUMMYFUNCTION("""COMPUTED_VALUE"""),0.5)</f>
        <v>0.5</v>
      </c>
      <c r="T407" s="5"/>
      <c r="U407" s="5" t="str">
        <f ca="1">IFERROR(__xludf.DUMMYFUNCTION("""COMPUTED_VALUE"""),"Lozano Delgado Fausto Andres")</f>
        <v>Lozano Delgado Fausto Andres</v>
      </c>
      <c r="V407" s="5"/>
      <c r="W407" s="5" t="str">
        <f ca="1">IFERROR(__xludf.DUMMYFUNCTION("""COMPUTED_VALUE"""),"aWpw9Fb-6KM")</f>
        <v>aWpw9Fb-6KM</v>
      </c>
      <c r="X407" s="5">
        <f ca="1">IFERROR(__xludf.DUMMYFUNCTION("""COMPUTED_VALUE"""),0.5)</f>
        <v>0.5</v>
      </c>
      <c r="Y407" s="5" t="str">
        <f t="shared" si="2"/>
        <v>Actividad sin realizar</v>
      </c>
      <c r="Z407" s="3">
        <f ca="1">IFERROR(VLOOKUP(U407, 'Base de datos'!A:B, 2, FALSE), "")</f>
        <v>573145758691</v>
      </c>
      <c r="AA407" s="4" t="e">
        <f t="shared" ca="1" si="3"/>
        <v>#NAME?</v>
      </c>
    </row>
    <row r="408" spans="1:27" ht="15.75" customHeight="1">
      <c r="A408" s="5" t="str">
        <f ca="1">IFERROR(__xludf.DUMMYFUNCTION("""COMPUTED_VALUE"""),"POSTOBÓN YUMBO")</f>
        <v>POSTOBÓN YUMBO</v>
      </c>
      <c r="B408" s="5" t="str">
        <f ca="1">IFERROR(__xludf.DUMMYFUNCTION("""COMPUTED_VALUE"""),"0410-LINEA 3")</f>
        <v>0410-LINEA 3</v>
      </c>
      <c r="C408" s="5" t="str">
        <f ca="1">IFERROR(__xludf.DUMMYFUNCTION("""COMPUTED_VALUE"""),"LINEA DE ENVASADO TAMAÑO PERSONAL")</f>
        <v>LINEA DE ENVASADO TAMAÑO PERSONAL</v>
      </c>
      <c r="D408" s="5">
        <f ca="1">IFERROR(__xludf.DUMMYFUNCTION("""COMPUTED_VALUE"""),589679)</f>
        <v>589679</v>
      </c>
      <c r="E408" s="5" t="str">
        <f ca="1">IFERROR(__xludf.DUMMYFUNCTION("""COMPUTED_VALUE"""),"CODIFICADOR L3")</f>
        <v>CODIFICADOR L3</v>
      </c>
      <c r="F408" s="5">
        <f ca="1">IFERROR(__xludf.DUMMYFUNCTION("""COMPUTED_VALUE"""),32943)</f>
        <v>32943</v>
      </c>
      <c r="G408" s="5" t="str">
        <f ca="1">IFERROR(__xludf.DUMMYFUNCTION("""COMPUTED_VALUE"""),"PLAN MTTO ELE CODIFICADOR L3")</f>
        <v>PLAN MTTO ELE CODIFICADOR L3</v>
      </c>
      <c r="H408" s="5">
        <f ca="1">IFERROR(__xludf.DUMMYFUNCTION("""COMPUTED_VALUE"""),13247262)</f>
        <v>13247262</v>
      </c>
      <c r="I408" s="5" t="str">
        <f ca="1">IFERROR(__xludf.DUMMYFUNCTION("""COMPUTED_VALUE"""),"Revision cabezal de impresion")</f>
        <v>Revision cabezal de impresion</v>
      </c>
      <c r="J408" s="5" t="str">
        <f ca="1">IFERROR(__xludf.DUMMYFUNCTION("""COMPUTED_VALUE"""),"ALTO")</f>
        <v>ALTO</v>
      </c>
      <c r="K408" s="5" t="str">
        <f ca="1">IFERROR(__xludf.DUMMYFUNCTION("""COMPUTED_VALUE"""),"Preventivo")</f>
        <v>Preventivo</v>
      </c>
      <c r="L408" s="5" t="str">
        <f ca="1">IFERROR(__xludf.DUMMYFUNCTION("""COMPUTED_VALUE"""),"Maquinaria")</f>
        <v>Maquinaria</v>
      </c>
      <c r="M408" s="5" t="str">
        <f ca="1">IFERROR(__xludf.DUMMYFUNCTION("""COMPUTED_VALUE"""),"No")</f>
        <v>No</v>
      </c>
      <c r="N408" s="5"/>
      <c r="O408" s="5"/>
      <c r="P408" s="18">
        <f ca="1">IFERROR(__xludf.DUMMYFUNCTION("""COMPUTED_VALUE"""),45332)</f>
        <v>45332</v>
      </c>
      <c r="Q408" s="18">
        <f ca="1">IFERROR(__xludf.DUMMYFUNCTION("""COMPUTED_VALUE"""),45332)</f>
        <v>45332</v>
      </c>
      <c r="R408" s="18"/>
      <c r="S408" s="5">
        <f ca="1">IFERROR(__xludf.DUMMYFUNCTION("""COMPUTED_VALUE"""),0.5)</f>
        <v>0.5</v>
      </c>
      <c r="T408" s="5"/>
      <c r="U408" s="5" t="str">
        <f ca="1">IFERROR(__xludf.DUMMYFUNCTION("""COMPUTED_VALUE"""),"Campo Rodriguez Adalcides Jesus")</f>
        <v>Campo Rodriguez Adalcides Jesus</v>
      </c>
      <c r="V408" s="5"/>
      <c r="W408" s="5" t="str">
        <f ca="1">IFERROR(__xludf.DUMMYFUNCTION("""COMPUTED_VALUE"""),"GWxuISPCHkg")</f>
        <v>GWxuISPCHkg</v>
      </c>
      <c r="X408" s="5">
        <f ca="1">IFERROR(__xludf.DUMMYFUNCTION("""COMPUTED_VALUE"""),0.5)</f>
        <v>0.5</v>
      </c>
      <c r="Y408" s="5" t="str">
        <f t="shared" si="2"/>
        <v>Actividad sin realizar</v>
      </c>
      <c r="Z408" s="3">
        <f ca="1">IFERROR(VLOOKUP(U408, 'Base de datos'!A:B, 2, FALSE), "")</f>
        <v>573045833726</v>
      </c>
      <c r="AA408" s="4" t="e">
        <f t="shared" ca="1" si="3"/>
        <v>#NAME?</v>
      </c>
    </row>
    <row r="409" spans="1:27" ht="15.75" customHeight="1">
      <c r="A409" s="5" t="str">
        <f ca="1">IFERROR(__xludf.DUMMYFUNCTION("""COMPUTED_VALUE"""),"POSTOBÓN YUMBO")</f>
        <v>POSTOBÓN YUMBO</v>
      </c>
      <c r="B409" s="5" t="str">
        <f ca="1">IFERROR(__xludf.DUMMYFUNCTION("""COMPUTED_VALUE"""),"0410-LINEA 1")</f>
        <v>0410-LINEA 1</v>
      </c>
      <c r="C409" s="5" t="str">
        <f ca="1">IFERROR(__xludf.DUMMYFUNCTION("""COMPUTED_VALUE"""),"LINEA DE ENVASADO PET NO RETORNABLE")</f>
        <v>LINEA DE ENVASADO PET NO RETORNABLE</v>
      </c>
      <c r="D409" s="5">
        <f ca="1">IFERROR(__xludf.DUMMYFUNCTION("""COMPUTED_VALUE"""),518635)</f>
        <v>518635</v>
      </c>
      <c r="E409" s="5" t="str">
        <f ca="1">IFERROR(__xludf.DUMMYFUNCTION("""COMPUTED_VALUE"""),"LLENADORA")</f>
        <v>LLENADORA</v>
      </c>
      <c r="F409" s="5">
        <f ca="1">IFERROR(__xludf.DUMMYFUNCTION("""COMPUTED_VALUE"""),0)</f>
        <v>0</v>
      </c>
      <c r="G409" s="5" t="str">
        <f ca="1">IFERROR(__xludf.DUMMYFUNCTION("""COMPUTED_VALUE"""),"CONSUMO LUB LLENADORA L1")</f>
        <v>CONSUMO LUB LLENADORA L1</v>
      </c>
      <c r="H409" s="5">
        <f ca="1">IFERROR(__xludf.DUMMYFUNCTION("""COMPUTED_VALUE"""),13230941)</f>
        <v>13230941</v>
      </c>
      <c r="I409" s="5" t="str">
        <f ca="1">IFERROR(__xludf.DUMMYFUNCTION("""COMPUTED_VALUE"""),"CONSUMO LUBRICANTES ENERO 2024")</f>
        <v>CONSUMO LUBRICANTES ENERO 2024</v>
      </c>
      <c r="J409" s="5" t="str">
        <f ca="1">IFERROR(__xludf.DUMMYFUNCTION("""COMPUTED_VALUE"""),"ALTO")</f>
        <v>ALTO</v>
      </c>
      <c r="K409" s="5" t="str">
        <f ca="1">IFERROR(__xludf.DUMMYFUNCTION("""COMPUTED_VALUE"""),"Preventivo")</f>
        <v>Preventivo</v>
      </c>
      <c r="L409" s="5" t="str">
        <f ca="1">IFERROR(__xludf.DUMMYFUNCTION("""COMPUTED_VALUE"""),"Maquinaria")</f>
        <v>Maquinaria</v>
      </c>
      <c r="M409" s="5" t="str">
        <f ca="1">IFERROR(__xludf.DUMMYFUNCTION("""COMPUTED_VALUE"""),"No")</f>
        <v>No</v>
      </c>
      <c r="N409" s="5"/>
      <c r="O409" s="5"/>
      <c r="P409" s="18">
        <f ca="1">IFERROR(__xludf.DUMMYFUNCTION("""COMPUTED_VALUE"""),45325)</f>
        <v>45325</v>
      </c>
      <c r="Q409" s="18">
        <f ca="1">IFERROR(__xludf.DUMMYFUNCTION("""COMPUTED_VALUE"""),45325)</f>
        <v>45325</v>
      </c>
      <c r="R409" s="18"/>
      <c r="S409" s="5">
        <f ca="1">IFERROR(__xludf.DUMMYFUNCTION("""COMPUTED_VALUE"""),1)</f>
        <v>1</v>
      </c>
      <c r="T409" s="5"/>
      <c r="U409" s="5" t="str">
        <f ca="1">IFERROR(__xludf.DUMMYFUNCTION("""COMPUTED_VALUE"""),"FRANCO HERRERA ALEJANDRO")</f>
        <v>FRANCO HERRERA ALEJANDRO</v>
      </c>
      <c r="V409" s="5"/>
      <c r="W409" s="5" t="str">
        <f ca="1">IFERROR(__xludf.DUMMYFUNCTION("""COMPUTED_VALUE"""),"RJMPMr88bQc")</f>
        <v>RJMPMr88bQc</v>
      </c>
      <c r="X409" s="5">
        <f ca="1">IFERROR(__xludf.DUMMYFUNCTION("""COMPUTED_VALUE"""),1)</f>
        <v>1</v>
      </c>
      <c r="Y409" s="5" t="str">
        <f t="shared" si="2"/>
        <v>Actividad sin realizar</v>
      </c>
      <c r="Z409" s="3">
        <f ca="1">IFERROR(VLOOKUP(U409, 'Base de datos'!A:B, 2, FALSE), "")</f>
        <v>573015282155</v>
      </c>
      <c r="AA409" s="4" t="e">
        <f t="shared" ca="1" si="3"/>
        <v>#NAME?</v>
      </c>
    </row>
    <row r="410" spans="1:27" ht="15.75" customHeight="1">
      <c r="A410" s="5" t="str">
        <f ca="1">IFERROR(__xludf.DUMMYFUNCTION("""COMPUTED_VALUE"""),"POSTOBÓN YUMBO")</f>
        <v>POSTOBÓN YUMBO</v>
      </c>
      <c r="B410" s="5" t="str">
        <f ca="1">IFERROR(__xludf.DUMMYFUNCTION("""COMPUTED_VALUE"""),"0410-LINEA GARRAFAS")</f>
        <v>0410-LINEA GARRAFAS</v>
      </c>
      <c r="C410" s="5" t="str">
        <f ca="1">IFERROR(__xludf.DUMMYFUNCTION("""COMPUTED_VALUE"""),"LINEA PARA EL LLENADO DE GARRAFAS")</f>
        <v>LINEA PARA EL LLENADO DE GARRAFAS</v>
      </c>
      <c r="D410" s="5">
        <f ca="1">IFERROR(__xludf.DUMMYFUNCTION("""COMPUTED_VALUE"""),71951102)</f>
        <v>71951102</v>
      </c>
      <c r="E410" s="5" t="str">
        <f ca="1">IFERROR(__xludf.DUMMYFUNCTION("""COMPUTED_VALUE"""),"CODIFICADOR")</f>
        <v>CODIFICADOR</v>
      </c>
      <c r="F410" s="5">
        <f ca="1">IFERROR(__xludf.DUMMYFUNCTION("""COMPUTED_VALUE"""),22719)</f>
        <v>22719</v>
      </c>
      <c r="G410" s="5" t="str">
        <f ca="1">IFERROR(__xludf.DUMMYFUNCTION("""COMPUTED_VALUE"""),"PLAN MTTO ELE CODIFICAD GARRAFA 71951102")</f>
        <v>PLAN MTTO ELE CODIFICAD GARRAFA 71951102</v>
      </c>
      <c r="H410" s="5">
        <f ca="1">IFERROR(__xludf.DUMMYFUNCTION("""COMPUTED_VALUE"""),13214311)</f>
        <v>13214311</v>
      </c>
      <c r="I410" s="5" t="str">
        <f ca="1">IFERROR(__xludf.DUMMYFUNCTION("""COMPUTED_VALUE"""),"Limpiar cabezal")</f>
        <v>Limpiar cabezal</v>
      </c>
      <c r="J410" s="5" t="str">
        <f ca="1">IFERROR(__xludf.DUMMYFUNCTION("""COMPUTED_VALUE"""),"ALTO")</f>
        <v>ALTO</v>
      </c>
      <c r="K410" s="5" t="str">
        <f ca="1">IFERROR(__xludf.DUMMYFUNCTION("""COMPUTED_VALUE"""),"Preventivo")</f>
        <v>Preventivo</v>
      </c>
      <c r="L410" s="5" t="str">
        <f ca="1">IFERROR(__xludf.DUMMYFUNCTION("""COMPUTED_VALUE"""),"Maquinaria")</f>
        <v>Maquinaria</v>
      </c>
      <c r="M410" s="5" t="str">
        <f ca="1">IFERROR(__xludf.DUMMYFUNCTION("""COMPUTED_VALUE"""),"No")</f>
        <v>No</v>
      </c>
      <c r="N410" s="5"/>
      <c r="O410" s="5"/>
      <c r="P410" s="18">
        <f ca="1">IFERROR(__xludf.DUMMYFUNCTION("""COMPUTED_VALUE"""),45330)</f>
        <v>45330</v>
      </c>
      <c r="Q410" s="18">
        <f ca="1">IFERROR(__xludf.DUMMYFUNCTION("""COMPUTED_VALUE"""),45330)</f>
        <v>45330</v>
      </c>
      <c r="R410" s="18"/>
      <c r="S410" s="5">
        <f ca="1">IFERROR(__xludf.DUMMYFUNCTION("""COMPUTED_VALUE"""),2)</f>
        <v>2</v>
      </c>
      <c r="T410" s="5"/>
      <c r="U410" s="5" t="str">
        <f ca="1">IFERROR(__xludf.DUMMYFUNCTION("""COMPUTED_VALUE"""),"Víctor David Burbano Gómez")</f>
        <v>Víctor David Burbano Gómez</v>
      </c>
      <c r="V410" s="5"/>
      <c r="W410" s="5" t="str">
        <f ca="1">IFERROR(__xludf.DUMMYFUNCTION("""COMPUTED_VALUE"""),"wi1AZcxU2oU")</f>
        <v>wi1AZcxU2oU</v>
      </c>
      <c r="X410" s="5">
        <f ca="1">IFERROR(__xludf.DUMMYFUNCTION("""COMPUTED_VALUE"""),2)</f>
        <v>2</v>
      </c>
      <c r="Y410" s="5" t="str">
        <f t="shared" si="2"/>
        <v>Actividad sin realizar</v>
      </c>
      <c r="Z410" s="3">
        <f ca="1">IFERROR(VLOOKUP(U410, 'Base de datos'!A:B, 2, FALSE), "")</f>
        <v>573023403586</v>
      </c>
      <c r="AA410" s="4" t="e">
        <f t="shared" ca="1" si="3"/>
        <v>#NAME?</v>
      </c>
    </row>
    <row r="411" spans="1:27" ht="15.75" customHeight="1">
      <c r="A411" s="5" t="str">
        <f ca="1">IFERROR(__xludf.DUMMYFUNCTION("""COMPUTED_VALUE"""),"POSTOBÓN YUMBO")</f>
        <v>POSTOBÓN YUMBO</v>
      </c>
      <c r="B411" s="5" t="str">
        <f ca="1">IFERROR(__xludf.DUMMYFUNCTION("""COMPUTED_VALUE"""),"0410-LINEA 1")</f>
        <v>0410-LINEA 1</v>
      </c>
      <c r="C411" s="5" t="str">
        <f ca="1">IFERROR(__xludf.DUMMYFUNCTION("""COMPUTED_VALUE"""),"LINEA DE ENVASADO PET NO RETORNABLE")</f>
        <v>LINEA DE ENVASADO PET NO RETORNABLE</v>
      </c>
      <c r="D411" s="5">
        <f ca="1">IFERROR(__xludf.DUMMYFUNCTION("""COMPUTED_VALUE"""),829614)</f>
        <v>829614</v>
      </c>
      <c r="E411" s="5" t="str">
        <f ca="1">IFERROR(__xludf.DUMMYFUNCTION("""COMPUTED_VALUE"""),"TRANSPORTADOR DE EMBALAJES")</f>
        <v>TRANSPORTADOR DE EMBALAJES</v>
      </c>
      <c r="F411" s="5">
        <f ca="1">IFERROR(__xludf.DUMMYFUNCTION("""COMPUTED_VALUE"""),22598)</f>
        <v>22598</v>
      </c>
      <c r="G411" s="5" t="str">
        <f ca="1">IFERROR(__xludf.DUMMYFUNCTION("""COMPUTED_VALUE"""),"PLAN MTTO LUB TRANSP PAQUETE L1 829614")</f>
        <v>PLAN MTTO LUB TRANSP PAQUETE L1 829614</v>
      </c>
      <c r="H411" s="5">
        <f ca="1">IFERROR(__xludf.DUMMYFUNCTION("""COMPUTED_VALUE"""),13247225)</f>
        <v>13247225</v>
      </c>
      <c r="I411" s="5" t="str">
        <f ca="1">IFERROR(__xludf.DUMMYFUNCTION("""COMPUTED_VALUE"""),"Lubricar chumaceras")</f>
        <v>Lubricar chumaceras</v>
      </c>
      <c r="J411" s="5" t="str">
        <f ca="1">IFERROR(__xludf.DUMMYFUNCTION("""COMPUTED_VALUE"""),"BAJO")</f>
        <v>BAJO</v>
      </c>
      <c r="K411" s="5" t="str">
        <f ca="1">IFERROR(__xludf.DUMMYFUNCTION("""COMPUTED_VALUE"""),"Preventivo")</f>
        <v>Preventivo</v>
      </c>
      <c r="L411" s="5" t="str">
        <f ca="1">IFERROR(__xludf.DUMMYFUNCTION("""COMPUTED_VALUE"""),"Maquinaria")</f>
        <v>Maquinaria</v>
      </c>
      <c r="M411" s="5" t="str">
        <f ca="1">IFERROR(__xludf.DUMMYFUNCTION("""COMPUTED_VALUE"""),"No")</f>
        <v>No</v>
      </c>
      <c r="N411" s="5"/>
      <c r="O411" s="5"/>
      <c r="P411" s="18">
        <f ca="1">IFERROR(__xludf.DUMMYFUNCTION("""COMPUTED_VALUE"""),45337)</f>
        <v>45337</v>
      </c>
      <c r="Q411" s="18">
        <f ca="1">IFERROR(__xludf.DUMMYFUNCTION("""COMPUTED_VALUE"""),45337)</f>
        <v>45337</v>
      </c>
      <c r="R411" s="18"/>
      <c r="S411" s="5">
        <f ca="1">IFERROR(__xludf.DUMMYFUNCTION("""COMPUTED_VALUE"""),0.5)</f>
        <v>0.5</v>
      </c>
      <c r="T411" s="5"/>
      <c r="U411" s="5" t="str">
        <f ca="1">IFERROR(__xludf.DUMMYFUNCTION("""COMPUTED_VALUE"""),"Mauricio Murillo Arrollo")</f>
        <v>Mauricio Murillo Arrollo</v>
      </c>
      <c r="V411" s="5"/>
      <c r="W411" s="5" t="str">
        <f ca="1">IFERROR(__xludf.DUMMYFUNCTION("""COMPUTED_VALUE"""),"pYjXcSMtes0")</f>
        <v>pYjXcSMtes0</v>
      </c>
      <c r="X411" s="5">
        <f ca="1">IFERROR(__xludf.DUMMYFUNCTION("""COMPUTED_VALUE"""),0.5)</f>
        <v>0.5</v>
      </c>
      <c r="Y411" s="5" t="str">
        <f t="shared" si="2"/>
        <v>Actividad sin realizar</v>
      </c>
      <c r="Z411" s="3">
        <f ca="1">IFERROR(VLOOKUP(U411, 'Base de datos'!A:B, 2, FALSE), "")</f>
        <v>573027971204</v>
      </c>
      <c r="AA411" s="4" t="e">
        <f t="shared" ca="1" si="3"/>
        <v>#NAME?</v>
      </c>
    </row>
    <row r="412" spans="1:27" ht="15.75" customHeight="1">
      <c r="A412" s="5" t="str">
        <f ca="1">IFERROR(__xludf.DUMMYFUNCTION("""COMPUTED_VALUE"""),"POSTOBÓN YUMBO")</f>
        <v>POSTOBÓN YUMBO</v>
      </c>
      <c r="B412" s="5" t="str">
        <f ca="1">IFERROR(__xludf.DUMMYFUNCTION("""COMPUTED_VALUE"""),"0410-LINEA GARRAFAS")</f>
        <v>0410-LINEA GARRAFAS</v>
      </c>
      <c r="C412" s="5" t="str">
        <f ca="1">IFERROR(__xludf.DUMMYFUNCTION("""COMPUTED_VALUE"""),"LINEA PARA EL LLENADO DE GARRAFAS")</f>
        <v>LINEA PARA EL LLENADO DE GARRAFAS</v>
      </c>
      <c r="D412" s="5">
        <f ca="1">IFERROR(__xludf.DUMMYFUNCTION("""COMPUTED_VALUE"""),710019)</f>
        <v>710019</v>
      </c>
      <c r="E412" s="5" t="str">
        <f ca="1">IFERROR(__xludf.DUMMYFUNCTION("""COMPUTED_VALUE"""),"LLENADORA DE GARRAFAS")</f>
        <v>LLENADORA DE GARRAFAS</v>
      </c>
      <c r="F412" s="5">
        <f ca="1">IFERROR(__xludf.DUMMYFUNCTION("""COMPUTED_VALUE"""),22720)</f>
        <v>22720</v>
      </c>
      <c r="G412" s="5" t="str">
        <f ca="1">IFERROR(__xludf.DUMMYFUNCTION("""COMPUTED_VALUE"""),"PLAN MTTO MEC LLENADORA GARRAFAS 710019")</f>
        <v>PLAN MTTO MEC LLENADORA GARRAFAS 710019</v>
      </c>
      <c r="H412" s="5">
        <f ca="1">IFERROR(__xludf.DUMMYFUNCTION("""COMPUTED_VALUE"""),13193572)</f>
        <v>13193572</v>
      </c>
      <c r="I412" s="5" t="str">
        <f ca="1">IFERROR(__xludf.DUMMYFUNCTION("""COMPUTED_VALUE"""),"Modulo de transferencia")</f>
        <v>Modulo de transferencia</v>
      </c>
      <c r="J412" s="5" t="str">
        <f ca="1">IFERROR(__xludf.DUMMYFUNCTION("""COMPUTED_VALUE"""),"ALTO")</f>
        <v>ALTO</v>
      </c>
      <c r="K412" s="5" t="str">
        <f ca="1">IFERROR(__xludf.DUMMYFUNCTION("""COMPUTED_VALUE"""),"Preventivo")</f>
        <v>Preventivo</v>
      </c>
      <c r="L412" s="5" t="str">
        <f ca="1">IFERROR(__xludf.DUMMYFUNCTION("""COMPUTED_VALUE"""),"Maquinaria")</f>
        <v>Maquinaria</v>
      </c>
      <c r="M412" s="5" t="str">
        <f ca="1">IFERROR(__xludf.DUMMYFUNCTION("""COMPUTED_VALUE"""),"No")</f>
        <v>No</v>
      </c>
      <c r="N412" s="5"/>
      <c r="O412" s="5"/>
      <c r="P412" s="18">
        <f ca="1">IFERROR(__xludf.DUMMYFUNCTION("""COMPUTED_VALUE"""),45332)</f>
        <v>45332</v>
      </c>
      <c r="Q412" s="18">
        <f ca="1">IFERROR(__xludf.DUMMYFUNCTION("""COMPUTED_VALUE"""),45332)</f>
        <v>45332</v>
      </c>
      <c r="R412" s="18"/>
      <c r="S412" s="5">
        <f ca="1">IFERROR(__xludf.DUMMYFUNCTION("""COMPUTED_VALUE"""),2)</f>
        <v>2</v>
      </c>
      <c r="T412" s="5"/>
      <c r="U412" s="5" t="str">
        <f ca="1">IFERROR(__xludf.DUMMYFUNCTION("""COMPUTED_VALUE"""),"Víctor David Burbano Gómez")</f>
        <v>Víctor David Burbano Gómez</v>
      </c>
      <c r="V412" s="5"/>
      <c r="W412" s="5" t="str">
        <f ca="1">IFERROR(__xludf.DUMMYFUNCTION("""COMPUTED_VALUE"""),"BGobfi6PPdw")</f>
        <v>BGobfi6PPdw</v>
      </c>
      <c r="X412" s="5">
        <f ca="1">IFERROR(__xludf.DUMMYFUNCTION("""COMPUTED_VALUE"""),2)</f>
        <v>2</v>
      </c>
      <c r="Y412" s="5" t="str">
        <f t="shared" si="2"/>
        <v>Actividad sin realizar</v>
      </c>
      <c r="Z412" s="3">
        <f ca="1">IFERROR(VLOOKUP(U412, 'Base de datos'!A:B, 2, FALSE), "")</f>
        <v>573023403586</v>
      </c>
      <c r="AA412" s="4" t="e">
        <f t="shared" ca="1" si="3"/>
        <v>#NAME?</v>
      </c>
    </row>
    <row r="413" spans="1:27" ht="15.75" customHeight="1">
      <c r="A413" s="5" t="str">
        <f ca="1">IFERROR(__xludf.DUMMYFUNCTION("""COMPUTED_VALUE"""),"POSTOBÓN YUMBO")</f>
        <v>POSTOBÓN YUMBO</v>
      </c>
      <c r="B413" s="5" t="str">
        <f ca="1">IFERROR(__xludf.DUMMYFUNCTION("""COMPUTED_VALUE"""),"0410-LINEA 1")</f>
        <v>0410-LINEA 1</v>
      </c>
      <c r="C413" s="5" t="str">
        <f ca="1">IFERROR(__xludf.DUMMYFUNCTION("""COMPUTED_VALUE"""),"LINEA DE ENVASADO PET NO RETORNABLE")</f>
        <v>LINEA DE ENVASADO PET NO RETORNABLE</v>
      </c>
      <c r="D413" s="5">
        <f ca="1">IFERROR(__xludf.DUMMYFUNCTION("""COMPUTED_VALUE"""),820071)</f>
        <v>820071</v>
      </c>
      <c r="E413" s="5" t="str">
        <f ca="1">IFERROR(__xludf.DUMMYFUNCTION("""COMPUTED_VALUE"""),"ETIQUETADORA")</f>
        <v>ETIQUETADORA</v>
      </c>
      <c r="F413" s="5">
        <f ca="1">IFERROR(__xludf.DUMMYFUNCTION("""COMPUTED_VALUE"""),14083)</f>
        <v>14083</v>
      </c>
      <c r="G413" s="5" t="str">
        <f ca="1">IFERROR(__xludf.DUMMYFUNCTION("""COMPUTED_VALUE"""),"MTTO LUB ETIQUETADORA L1 820071")</f>
        <v>MTTO LUB ETIQUETADORA L1 820071</v>
      </c>
      <c r="H413" s="5">
        <f ca="1">IFERROR(__xludf.DUMMYFUNCTION("""COMPUTED_VALUE"""),13238375)</f>
        <v>13238375</v>
      </c>
      <c r="I413" s="5" t="str">
        <f ca="1">IFERROR(__xludf.DUMMYFUNCTION("""COMPUTED_VALUE"""),"Accionamiento Todos los")</f>
        <v>Accionamiento Todos los</v>
      </c>
      <c r="J413" s="5" t="str">
        <f ca="1">IFERROR(__xludf.DUMMYFUNCTION("""COMPUTED_VALUE"""),"MEDIO")</f>
        <v>MEDIO</v>
      </c>
      <c r="K413" s="5" t="str">
        <f ca="1">IFERROR(__xludf.DUMMYFUNCTION("""COMPUTED_VALUE"""),"Preventivo")</f>
        <v>Preventivo</v>
      </c>
      <c r="L413" s="5" t="str">
        <f ca="1">IFERROR(__xludf.DUMMYFUNCTION("""COMPUTED_VALUE"""),"Maquinaria")</f>
        <v>Maquinaria</v>
      </c>
      <c r="M413" s="5" t="str">
        <f ca="1">IFERROR(__xludf.DUMMYFUNCTION("""COMPUTED_VALUE"""),"No")</f>
        <v>No</v>
      </c>
      <c r="N413" s="5"/>
      <c r="O413" s="5"/>
      <c r="P413" s="18">
        <f ca="1">IFERROR(__xludf.DUMMYFUNCTION("""COMPUTED_VALUE"""),45336)</f>
        <v>45336</v>
      </c>
      <c r="Q413" s="18">
        <f ca="1">IFERROR(__xludf.DUMMYFUNCTION("""COMPUTED_VALUE"""),45336)</f>
        <v>45336</v>
      </c>
      <c r="R413" s="18"/>
      <c r="S413" s="5">
        <f ca="1">IFERROR(__xludf.DUMMYFUNCTION("""COMPUTED_VALUE"""),0.5)</f>
        <v>0.5</v>
      </c>
      <c r="T413" s="5"/>
      <c r="U413" s="5" t="str">
        <f ca="1">IFERROR(__xludf.DUMMYFUNCTION("""COMPUTED_VALUE"""),"Sanchez Rodriguez Gerson Andres")</f>
        <v>Sanchez Rodriguez Gerson Andres</v>
      </c>
      <c r="V413" s="5"/>
      <c r="W413" s="5" t="str">
        <f ca="1">IFERROR(__xludf.DUMMYFUNCTION("""COMPUTED_VALUE"""),"dgok19bd8bg")</f>
        <v>dgok19bd8bg</v>
      </c>
      <c r="X413" s="5">
        <f ca="1">IFERROR(__xludf.DUMMYFUNCTION("""COMPUTED_VALUE"""),0.5)</f>
        <v>0.5</v>
      </c>
      <c r="Y413" s="5" t="str">
        <f t="shared" si="2"/>
        <v>Actividad sin realizar</v>
      </c>
      <c r="Z413" s="3">
        <f ca="1">IFERROR(VLOOKUP(U413, 'Base de datos'!A:B, 2, FALSE), "")</f>
        <v>573112884549</v>
      </c>
      <c r="AA413" s="4" t="e">
        <f t="shared" ca="1" si="3"/>
        <v>#NAME?</v>
      </c>
    </row>
    <row r="414" spans="1:27" ht="15.75" customHeight="1">
      <c r="A414" s="5" t="str">
        <f ca="1">IFERROR(__xludf.DUMMYFUNCTION("""COMPUTED_VALUE"""),"POSTOBÓN YUMBO")</f>
        <v>POSTOBÓN YUMBO</v>
      </c>
      <c r="B414" s="5" t="str">
        <f ca="1">IFERROR(__xludf.DUMMYFUNCTION("""COMPUTED_VALUE"""),"0410-LINEA PET CSD")</f>
        <v>0410-LINEA PET CSD</v>
      </c>
      <c r="C414" s="5" t="str">
        <f ca="1">IFERROR(__xludf.DUMMYFUNCTION("""COMPUTED_VALUE"""),"LINEA PET CSD - LINEA 10")</f>
        <v>LINEA PET CSD - LINEA 10</v>
      </c>
      <c r="D414" s="5">
        <f ca="1">IFERROR(__xludf.DUMMYFUNCTION("""COMPUTED_VALUE"""),820303)</f>
        <v>820303</v>
      </c>
      <c r="E414" s="5" t="str">
        <f ca="1">IFERROR(__xludf.DUMMYFUNCTION("""COMPUTED_VALUE"""),"SALA LIMPIA")</f>
        <v>SALA LIMPIA</v>
      </c>
      <c r="F414" s="5">
        <f ca="1">IFERROR(__xludf.DUMMYFUNCTION("""COMPUTED_VALUE"""),25367)</f>
        <v>25367</v>
      </c>
      <c r="G414" s="5" t="str">
        <f ca="1">IFERROR(__xludf.DUMMYFUNCTION("""COMPUTED_VALUE"""),"PLAN MTTO MEC SALA LIMPIA CSD")</f>
        <v>PLAN MTTO MEC SALA LIMPIA CSD</v>
      </c>
      <c r="H414" s="5">
        <f ca="1">IFERROR(__xludf.DUMMYFUNCTION("""COMPUTED_VALUE"""),13247246)</f>
        <v>13247246</v>
      </c>
      <c r="I414" s="5" t="str">
        <f ca="1">IFERROR(__xludf.DUMMYFUNCTION("""COMPUTED_VALUE"""),"rev/ cambiar filtros Presion positiva Ca")</f>
        <v>rev/ cambiar filtros Presion positiva Ca</v>
      </c>
      <c r="J414" s="5" t="str">
        <f ca="1">IFERROR(__xludf.DUMMYFUNCTION("""COMPUTED_VALUE"""),"ALTO")</f>
        <v>ALTO</v>
      </c>
      <c r="K414" s="5" t="str">
        <f ca="1">IFERROR(__xludf.DUMMYFUNCTION("""COMPUTED_VALUE"""),"Preventivo")</f>
        <v>Preventivo</v>
      </c>
      <c r="L414" s="5" t="str">
        <f ca="1">IFERROR(__xludf.DUMMYFUNCTION("""COMPUTED_VALUE"""),"Maquinaria")</f>
        <v>Maquinaria</v>
      </c>
      <c r="M414" s="5" t="str">
        <f ca="1">IFERROR(__xludf.DUMMYFUNCTION("""COMPUTED_VALUE"""),"No")</f>
        <v>No</v>
      </c>
      <c r="N414" s="5"/>
      <c r="O414" s="5">
        <f ca="1">IFERROR(__xludf.DUMMYFUNCTION("""COMPUTED_VALUE"""),100)</f>
        <v>100</v>
      </c>
      <c r="P414" s="18">
        <f ca="1">IFERROR(__xludf.DUMMYFUNCTION("""COMPUTED_VALUE"""),45335)</f>
        <v>45335</v>
      </c>
      <c r="Q414" s="18">
        <f ca="1">IFERROR(__xludf.DUMMYFUNCTION("""COMPUTED_VALUE"""),45335)</f>
        <v>45335</v>
      </c>
      <c r="R414" s="18"/>
      <c r="S414" s="5">
        <f ca="1">IFERROR(__xludf.DUMMYFUNCTION("""COMPUTED_VALUE"""),1)</f>
        <v>1</v>
      </c>
      <c r="T414" s="5"/>
      <c r="U414" s="5" t="str">
        <f ca="1">IFERROR(__xludf.DUMMYFUNCTION("""COMPUTED_VALUE"""),"Bolaños Camacho Luis Miguel")</f>
        <v>Bolaños Camacho Luis Miguel</v>
      </c>
      <c r="V414" s="5"/>
      <c r="W414" s="5" t="str">
        <f ca="1">IFERROR(__xludf.DUMMYFUNCTION("""COMPUTED_VALUE"""),"vvNETxilBmU")</f>
        <v>vvNETxilBmU</v>
      </c>
      <c r="X414" s="5">
        <f ca="1">IFERROR(__xludf.DUMMYFUNCTION("""COMPUTED_VALUE"""),1)</f>
        <v>1</v>
      </c>
      <c r="Y414" s="5" t="str">
        <f t="shared" ca="1" si="2"/>
        <v>Actividad realizada</v>
      </c>
      <c r="Z414" s="3">
        <f ca="1">IFERROR(VLOOKUP(U414, 'Base de datos'!A:B, 2, FALSE), "")</f>
        <v>573122788043</v>
      </c>
      <c r="AA414" s="4" t="e">
        <f t="shared" ca="1" si="3"/>
        <v>#NAME?</v>
      </c>
    </row>
    <row r="415" spans="1:27" ht="15.75" customHeight="1">
      <c r="A415" s="5" t="str">
        <f ca="1">IFERROR(__xludf.DUMMYFUNCTION("""COMPUTED_VALUE"""),"POSTOBÓN YUMBO")</f>
        <v>POSTOBÓN YUMBO</v>
      </c>
      <c r="B415" s="5" t="str">
        <f ca="1">IFERROR(__xludf.DUMMYFUNCTION("""COMPUTED_VALUE"""),"0410-EQUIPOS AUXILIARES")</f>
        <v>0410-EQUIPOS AUXILIARES</v>
      </c>
      <c r="C415" s="5" t="str">
        <f ca="1">IFERROR(__xludf.DUMMYFUNCTION("""COMPUTED_VALUE"""),"EQUIPOS PARA SERVICIOS INDUSTRIALES")</f>
        <v>EQUIPOS PARA SERVICIOS INDUSTRIALES</v>
      </c>
      <c r="D415" s="5">
        <f ca="1">IFERROR(__xludf.DUMMYFUNCTION("""COMPUTED_VALUE"""),638554)</f>
        <v>638554</v>
      </c>
      <c r="E415" s="5" t="str">
        <f ca="1">IFERROR(__xludf.DUMMYFUNCTION("""COMPUTED_VALUE"""),"CONDENSADOR EVAPORATIVO")</f>
        <v>CONDENSADOR EVAPORATIVO</v>
      </c>
      <c r="F415" s="5">
        <f ca="1">IFERROR(__xludf.DUMMYFUNCTION("""COMPUTED_VALUE"""),21699)</f>
        <v>21699</v>
      </c>
      <c r="G415" s="5" t="str">
        <f ca="1">IFERROR(__xludf.DUMMYFUNCTION("""COMPUTED_VALUE"""),"PLAN MTTO LUB CONDENSADOR EVAP GASEOSA")</f>
        <v>PLAN MTTO LUB CONDENSADOR EVAP GASEOSA</v>
      </c>
      <c r="H415" s="5">
        <f ca="1">IFERROR(__xludf.DUMMYFUNCTION("""COMPUTED_VALUE"""),13193542)</f>
        <v>13193542</v>
      </c>
      <c r="I415" s="5" t="str">
        <f ca="1">IFERROR(__xludf.DUMMYFUNCTION("""COMPUTED_VALUE"""),"Lubricación chumaceras")</f>
        <v>Lubricación chumaceras</v>
      </c>
      <c r="J415" s="5" t="str">
        <f ca="1">IFERROR(__xludf.DUMMYFUNCTION("""COMPUTED_VALUE"""),"MEDIO")</f>
        <v>MEDIO</v>
      </c>
      <c r="K415" s="5" t="str">
        <f ca="1">IFERROR(__xludf.DUMMYFUNCTION("""COMPUTED_VALUE"""),"Preventivo")</f>
        <v>Preventivo</v>
      </c>
      <c r="L415" s="5" t="str">
        <f ca="1">IFERROR(__xludf.DUMMYFUNCTION("""COMPUTED_VALUE"""),"Maquinaria")</f>
        <v>Maquinaria</v>
      </c>
      <c r="M415" s="5" t="str">
        <f ca="1">IFERROR(__xludf.DUMMYFUNCTION("""COMPUTED_VALUE"""),"No")</f>
        <v>No</v>
      </c>
      <c r="N415" s="5"/>
      <c r="O415" s="5"/>
      <c r="P415" s="18">
        <f ca="1">IFERROR(__xludf.DUMMYFUNCTION("""COMPUTED_VALUE"""),45326)</f>
        <v>45326</v>
      </c>
      <c r="Q415" s="18">
        <f ca="1">IFERROR(__xludf.DUMMYFUNCTION("""COMPUTED_VALUE"""),45326)</f>
        <v>45326</v>
      </c>
      <c r="R415" s="18"/>
      <c r="S415" s="5">
        <f ca="1">IFERROR(__xludf.DUMMYFUNCTION("""COMPUTED_VALUE"""),2)</f>
        <v>2</v>
      </c>
      <c r="T415" s="5"/>
      <c r="U415" s="5" t="str">
        <f ca="1">IFERROR(__xludf.DUMMYFUNCTION("""COMPUTED_VALUE"""),"Henao William")</f>
        <v>Henao William</v>
      </c>
      <c r="V415" s="5"/>
      <c r="W415" s="5" t="str">
        <f ca="1">IFERROR(__xludf.DUMMYFUNCTION("""COMPUTED_VALUE"""),"GxtmJdM00n4")</f>
        <v>GxtmJdM00n4</v>
      </c>
      <c r="X415" s="5">
        <f ca="1">IFERROR(__xludf.DUMMYFUNCTION("""COMPUTED_VALUE"""),2)</f>
        <v>2</v>
      </c>
      <c r="Y415" s="5" t="str">
        <f t="shared" si="2"/>
        <v>Actividad sin realizar</v>
      </c>
      <c r="Z415" s="3">
        <f ca="1">IFERROR(VLOOKUP(U415, 'Base de datos'!A:B, 2, FALSE), "")</f>
        <v>573222217492</v>
      </c>
      <c r="AA415" s="4" t="e">
        <f t="shared" ca="1" si="3"/>
        <v>#NAME?</v>
      </c>
    </row>
    <row r="416" spans="1:27" ht="15.75" customHeight="1">
      <c r="A416" s="5" t="str">
        <f ca="1">IFERROR(__xludf.DUMMYFUNCTION("""COMPUTED_VALUE"""),"POSTOBÓN YUMBO")</f>
        <v>POSTOBÓN YUMBO</v>
      </c>
      <c r="B416" s="5" t="str">
        <f ca="1">IFERROR(__xludf.DUMMYFUNCTION("""COMPUTED_VALUE"""),"0410-SALA DE JARABE TERMINADO")</f>
        <v>0410-SALA DE JARABE TERMINADO</v>
      </c>
      <c r="C416" s="5" t="str">
        <f ca="1">IFERROR(__xludf.DUMMYFUNCTION("""COMPUTED_VALUE"""),"EQUIPOS PARA PREPARACION DE JARABE")</f>
        <v>EQUIPOS PARA PREPARACION DE JARABE</v>
      </c>
      <c r="D416" s="5">
        <f ca="1">IFERROR(__xludf.DUMMYFUNCTION("""COMPUTED_VALUE"""),69963412)</f>
        <v>69963412</v>
      </c>
      <c r="E416" s="5" t="str">
        <f ca="1">IFERROR(__xludf.DUMMYFUNCTION("""COMPUTED_VALUE"""),"TANQUE DE JARABE")</f>
        <v>TANQUE DE JARABE</v>
      </c>
      <c r="F416" s="5">
        <f ca="1">IFERROR(__xludf.DUMMYFUNCTION("""COMPUTED_VALUE"""),17361)</f>
        <v>17361</v>
      </c>
      <c r="G416" s="5" t="str">
        <f ca="1">IFERROR(__xludf.DUMMYFUNCTION("""COMPUTED_VALUE"""),"MTTO MEC TK JARABE 9 JARABE TERMINADO")</f>
        <v>MTTO MEC TK JARABE 9 JARABE TERMINADO</v>
      </c>
      <c r="H416" s="5">
        <f ca="1">IFERROR(__xludf.DUMMYFUNCTION("""COMPUTED_VALUE"""),13247164)</f>
        <v>13247164</v>
      </c>
      <c r="I416" s="5" t="str">
        <f ca="1">IFERROR(__xludf.DUMMYFUNCTION("""COMPUTED_VALUE"""),"ANTON PAAR - remplace los diafragmas")</f>
        <v>ANTON PAAR - remplace los diafragmas</v>
      </c>
      <c r="J416" s="5" t="str">
        <f ca="1">IFERROR(__xludf.DUMMYFUNCTION("""COMPUTED_VALUE"""),"ALTO")</f>
        <v>ALTO</v>
      </c>
      <c r="K416" s="5" t="str">
        <f ca="1">IFERROR(__xludf.DUMMYFUNCTION("""COMPUTED_VALUE"""),"Preventivo")</f>
        <v>Preventivo</v>
      </c>
      <c r="L416" s="5" t="str">
        <f ca="1">IFERROR(__xludf.DUMMYFUNCTION("""COMPUTED_VALUE"""),"Maquinaria")</f>
        <v>Maquinaria</v>
      </c>
      <c r="M416" s="5" t="str">
        <f ca="1">IFERROR(__xludf.DUMMYFUNCTION("""COMPUTED_VALUE"""),"No")</f>
        <v>No</v>
      </c>
      <c r="N416" s="5"/>
      <c r="O416" s="5">
        <f ca="1">IFERROR(__xludf.DUMMYFUNCTION("""COMPUTED_VALUE"""),100)</f>
        <v>100</v>
      </c>
      <c r="P416" s="18">
        <f ca="1">IFERROR(__xludf.DUMMYFUNCTION("""COMPUTED_VALUE"""),45342)</f>
        <v>45342</v>
      </c>
      <c r="Q416" s="18">
        <f ca="1">IFERROR(__xludf.DUMMYFUNCTION("""COMPUTED_VALUE"""),45342)</f>
        <v>45342</v>
      </c>
      <c r="R416" s="18"/>
      <c r="S416" s="5">
        <f ca="1">IFERROR(__xludf.DUMMYFUNCTION("""COMPUTED_VALUE"""),8)</f>
        <v>8</v>
      </c>
      <c r="T416" s="5"/>
      <c r="U416" s="5" t="str">
        <f ca="1">IFERROR(__xludf.DUMMYFUNCTION("""COMPUTED_VALUE"""),"Rivas Mena Carlos Danny")</f>
        <v>Rivas Mena Carlos Danny</v>
      </c>
      <c r="V416" s="5"/>
      <c r="W416" s="5" t="str">
        <f ca="1">IFERROR(__xludf.DUMMYFUNCTION("""COMPUTED_VALUE"""),"lXDUt9sECVQ")</f>
        <v>lXDUt9sECVQ</v>
      </c>
      <c r="X416" s="5">
        <f ca="1">IFERROR(__xludf.DUMMYFUNCTION("""COMPUTED_VALUE"""),8)</f>
        <v>8</v>
      </c>
      <c r="Y416" s="5" t="str">
        <f t="shared" ca="1" si="2"/>
        <v>Actividad realizada</v>
      </c>
      <c r="Z416" s="3">
        <f ca="1">IFERROR(VLOOKUP(U416, 'Base de datos'!A:B, 2, FALSE), "")</f>
        <v>0</v>
      </c>
      <c r="AA416" s="4" t="e">
        <f t="shared" ca="1" si="3"/>
        <v>#NAME?</v>
      </c>
    </row>
    <row r="417" spans="1:27" ht="15.75" customHeight="1">
      <c r="A417" s="5" t="str">
        <f ca="1">IFERROR(__xludf.DUMMYFUNCTION("""COMPUTED_VALUE"""),"POSTOBÓN YUMBO")</f>
        <v>POSTOBÓN YUMBO</v>
      </c>
      <c r="B417" s="5" t="str">
        <f ca="1">IFERROR(__xludf.DUMMYFUNCTION("""COMPUTED_VALUE"""),"0410-LINEA BOTELLON 20 LTS")</f>
        <v>0410-LINEA BOTELLON 20 LTS</v>
      </c>
      <c r="C417" s="5" t="str">
        <f ca="1">IFERROR(__xludf.DUMMYFUNCTION("""COMPUTED_VALUE"""),"LINEA DE PRODUCCION DE BOTELLONES DE 20")</f>
        <v>LINEA DE PRODUCCION DE BOTELLONES DE 20</v>
      </c>
      <c r="D417" s="5">
        <f ca="1">IFERROR(__xludf.DUMMYFUNCTION("""COMPUTED_VALUE"""),719606)</f>
        <v>719606</v>
      </c>
      <c r="E417" s="5" t="str">
        <f ca="1">IFERROR(__xludf.DUMMYFUNCTION("""COMPUTED_VALUE"""),"GENERADOR DE OZONO BOTELLON OZOSTARLITE")</f>
        <v>GENERADOR DE OZONO BOTELLON OZOSTARLITE</v>
      </c>
      <c r="F417" s="5">
        <f ca="1">IFERROR(__xludf.DUMMYFUNCTION("""COMPUTED_VALUE"""),17374)</f>
        <v>17374</v>
      </c>
      <c r="G417" s="5" t="str">
        <f ca="1">IFERROR(__xludf.DUMMYFUNCTION("""COMPUTED_VALUE"""),"MTTO MEC GEN OZON BOTELLON 719606")</f>
        <v>MTTO MEC GEN OZON BOTELLON 719606</v>
      </c>
      <c r="H417" s="5">
        <f ca="1">IFERROR(__xludf.DUMMYFUNCTION("""COMPUTED_VALUE"""),13247171)</f>
        <v>13247171</v>
      </c>
      <c r="I417" s="5" t="str">
        <f ca="1">IFERROR(__xludf.DUMMYFUNCTION("""COMPUTED_VALUE"""),"Cambiar 3 tubos de borosilicato y limpia")</f>
        <v>Cambiar 3 tubos de borosilicato y limpia</v>
      </c>
      <c r="J417" s="5" t="str">
        <f ca="1">IFERROR(__xludf.DUMMYFUNCTION("""COMPUTED_VALUE"""),"ALTO")</f>
        <v>ALTO</v>
      </c>
      <c r="K417" s="5" t="str">
        <f ca="1">IFERROR(__xludf.DUMMYFUNCTION("""COMPUTED_VALUE"""),"Preventivo")</f>
        <v>Preventivo</v>
      </c>
      <c r="L417" s="5" t="str">
        <f ca="1">IFERROR(__xludf.DUMMYFUNCTION("""COMPUTED_VALUE"""),"Maquinaria")</f>
        <v>Maquinaria</v>
      </c>
      <c r="M417" s="5" t="str">
        <f ca="1">IFERROR(__xludf.DUMMYFUNCTION("""COMPUTED_VALUE"""),"No")</f>
        <v>No</v>
      </c>
      <c r="N417" s="5"/>
      <c r="O417" s="5"/>
      <c r="P417" s="18">
        <f ca="1">IFERROR(__xludf.DUMMYFUNCTION("""COMPUTED_VALUE"""),45334)</f>
        <v>45334</v>
      </c>
      <c r="Q417" s="18">
        <f ca="1">IFERROR(__xludf.DUMMYFUNCTION("""COMPUTED_VALUE"""),45334)</f>
        <v>45334</v>
      </c>
      <c r="R417" s="18"/>
      <c r="S417" s="5">
        <f ca="1">IFERROR(__xludf.DUMMYFUNCTION("""COMPUTED_VALUE"""),3)</f>
        <v>3</v>
      </c>
      <c r="T417" s="5"/>
      <c r="U417" s="5" t="str">
        <f ca="1">IFERROR(__xludf.DUMMYFUNCTION("""COMPUTED_VALUE"""),"Christian Camilo Ramirez Rendón")</f>
        <v>Christian Camilo Ramirez Rendón</v>
      </c>
      <c r="V417" s="5"/>
      <c r="W417" s="5" t="str">
        <f ca="1">IFERROR(__xludf.DUMMYFUNCTION("""COMPUTED_VALUE"""),"055LbvAxKPU")</f>
        <v>055LbvAxKPU</v>
      </c>
      <c r="X417" s="5">
        <f ca="1">IFERROR(__xludf.DUMMYFUNCTION("""COMPUTED_VALUE"""),3)</f>
        <v>3</v>
      </c>
      <c r="Y417" s="5" t="str">
        <f t="shared" si="2"/>
        <v>Actividad sin realizar</v>
      </c>
      <c r="Z417" s="3">
        <f ca="1">IFERROR(VLOOKUP(U417, 'Base de datos'!A:B, 2, FALSE), "")</f>
        <v>573117720757</v>
      </c>
      <c r="AA417" s="4" t="e">
        <f t="shared" ca="1" si="3"/>
        <v>#NAME?</v>
      </c>
    </row>
    <row r="418" spans="1:27" ht="15.75" customHeight="1">
      <c r="A418" s="5" t="str">
        <f ca="1">IFERROR(__xludf.DUMMYFUNCTION("""COMPUTED_VALUE"""),"POSTOBÓN YUMBO")</f>
        <v>POSTOBÓN YUMBO</v>
      </c>
      <c r="B418" s="5" t="str">
        <f ca="1">IFERROR(__xludf.DUMMYFUNCTION("""COMPUTED_VALUE"""),"0410-SALA DE JARABE TERMINADO")</f>
        <v>0410-SALA DE JARABE TERMINADO</v>
      </c>
      <c r="C418" s="5" t="str">
        <f ca="1">IFERROR(__xludf.DUMMYFUNCTION("""COMPUTED_VALUE"""),"EQUIPOS PARA PREPARACION DE JARABE")</f>
        <v>EQUIPOS PARA PREPARACION DE JARABE</v>
      </c>
      <c r="D418" s="5">
        <f ca="1">IFERROR(__xludf.DUMMYFUNCTION("""COMPUTED_VALUE"""),69963410)</f>
        <v>69963410</v>
      </c>
      <c r="E418" s="5" t="str">
        <f ca="1">IFERROR(__xludf.DUMMYFUNCTION("""COMPUTED_VALUE"""),"TANQUE DE JARABE")</f>
        <v>TANQUE DE JARABE</v>
      </c>
      <c r="F418" s="5">
        <f ca="1">IFERROR(__xludf.DUMMYFUNCTION("""COMPUTED_VALUE"""),17361)</f>
        <v>17361</v>
      </c>
      <c r="G418" s="5" t="str">
        <f ca="1">IFERROR(__xludf.DUMMYFUNCTION("""COMPUTED_VALUE"""),"MTTO MEC TK JARABE 7 JARABE TERMINADO")</f>
        <v>MTTO MEC TK JARABE 7 JARABE TERMINADO</v>
      </c>
      <c r="H418" s="5">
        <f ca="1">IFERROR(__xludf.DUMMYFUNCTION("""COMPUTED_VALUE"""),13247160)</f>
        <v>13247160</v>
      </c>
      <c r="I418" s="5" t="str">
        <f ca="1">IFERROR(__xludf.DUMMYFUNCTION("""COMPUTED_VALUE"""),"ANTON PAAR - dentro de la cubierta de")</f>
        <v>ANTON PAAR - dentro de la cubierta de</v>
      </c>
      <c r="J418" s="5" t="str">
        <f ca="1">IFERROR(__xludf.DUMMYFUNCTION("""COMPUTED_VALUE"""),"ALTO")</f>
        <v>ALTO</v>
      </c>
      <c r="K418" s="5" t="str">
        <f ca="1">IFERROR(__xludf.DUMMYFUNCTION("""COMPUTED_VALUE"""),"Preventivo")</f>
        <v>Preventivo</v>
      </c>
      <c r="L418" s="5" t="str">
        <f ca="1">IFERROR(__xludf.DUMMYFUNCTION("""COMPUTED_VALUE"""),"Maquinaria")</f>
        <v>Maquinaria</v>
      </c>
      <c r="M418" s="5" t="str">
        <f ca="1">IFERROR(__xludf.DUMMYFUNCTION("""COMPUTED_VALUE"""),"No")</f>
        <v>No</v>
      </c>
      <c r="N418" s="5"/>
      <c r="O418" s="5">
        <f ca="1">IFERROR(__xludf.DUMMYFUNCTION("""COMPUTED_VALUE"""),100)</f>
        <v>100</v>
      </c>
      <c r="P418" s="18">
        <f ca="1">IFERROR(__xludf.DUMMYFUNCTION("""COMPUTED_VALUE"""),45342)</f>
        <v>45342</v>
      </c>
      <c r="Q418" s="18">
        <f ca="1">IFERROR(__xludf.DUMMYFUNCTION("""COMPUTED_VALUE"""),45342)</f>
        <v>45342</v>
      </c>
      <c r="R418" s="18"/>
      <c r="S418" s="5">
        <f ca="1">IFERROR(__xludf.DUMMYFUNCTION("""COMPUTED_VALUE"""),1)</f>
        <v>1</v>
      </c>
      <c r="T418" s="5"/>
      <c r="U418" s="5" t="str">
        <f ca="1">IFERROR(__xludf.DUMMYFUNCTION("""COMPUTED_VALUE"""),"Moreno Pernia Bladimir")</f>
        <v>Moreno Pernia Bladimir</v>
      </c>
      <c r="V418" s="5"/>
      <c r="W418" s="5" t="str">
        <f ca="1">IFERROR(__xludf.DUMMYFUNCTION("""COMPUTED_VALUE"""),"m-IxjW0rP7o")</f>
        <v>m-IxjW0rP7o</v>
      </c>
      <c r="X418" s="5">
        <f ca="1">IFERROR(__xludf.DUMMYFUNCTION("""COMPUTED_VALUE"""),1)</f>
        <v>1</v>
      </c>
      <c r="Y418" s="5" t="str">
        <f t="shared" ca="1" si="2"/>
        <v>Actividad realizada</v>
      </c>
      <c r="Z418" s="3">
        <f ca="1">IFERROR(VLOOKUP(U418, 'Base de datos'!A:B, 2, FALSE), "")</f>
        <v>573148903137</v>
      </c>
      <c r="AA418" s="4" t="e">
        <f t="shared" ca="1" si="3"/>
        <v>#NAME?</v>
      </c>
    </row>
    <row r="419" spans="1:27" ht="15.75" customHeight="1">
      <c r="A419" s="5" t="str">
        <f ca="1">IFERROR(__xludf.DUMMYFUNCTION("""COMPUTED_VALUE"""),"POSTOBÓN YUMBO")</f>
        <v>POSTOBÓN YUMBO</v>
      </c>
      <c r="B419" s="5" t="str">
        <f ca="1">IFERROR(__xludf.DUMMYFUNCTION("""COMPUTED_VALUE"""),"0410-PLANTA DE AGUA ENVASADO")</f>
        <v>0410-PLANTA DE AGUA ENVASADO</v>
      </c>
      <c r="C419" s="5" t="str">
        <f ca="1">IFERROR(__xludf.DUMMYFUNCTION("""COMPUTED_VALUE"""),"TRATAMIENTO DE AGUA PARA ENVASADO")</f>
        <v>TRATAMIENTO DE AGUA PARA ENVASADO</v>
      </c>
      <c r="D419" s="5">
        <f ca="1">IFERROR(__xludf.DUMMYFUNCTION("""COMPUTED_VALUE"""),70948956)</f>
        <v>70948956</v>
      </c>
      <c r="E419" s="5" t="str">
        <f ca="1">IFERROR(__xludf.DUMMYFUNCTION("""COMPUTED_VALUE"""),"TANQUE DE AGUA - CIP")</f>
        <v>TANQUE DE AGUA - CIP</v>
      </c>
      <c r="F419" s="5">
        <f ca="1">IFERROR(__xludf.DUMMYFUNCTION("""COMPUTED_VALUE"""),32899)</f>
        <v>32899</v>
      </c>
      <c r="G419" s="5" t="str">
        <f ca="1">IFERROR(__xludf.DUMMYFUNCTION("""COMPUTED_VALUE"""),"PLAN MTTO MEC TANQUE DE AGUA - CIP")</f>
        <v>PLAN MTTO MEC TANQUE DE AGUA - CIP</v>
      </c>
      <c r="H419" s="5">
        <f ca="1">IFERROR(__xludf.DUMMYFUNCTION("""COMPUTED_VALUE"""),13207499)</f>
        <v>13207499</v>
      </c>
      <c r="I419" s="5" t="str">
        <f ca="1">IFERROR(__xludf.DUMMYFUNCTION("""COMPUTED_VALUE"""),"VERIFICACION FUGAS")</f>
        <v>VERIFICACION FUGAS</v>
      </c>
      <c r="J419" s="5" t="str">
        <f ca="1">IFERROR(__xludf.DUMMYFUNCTION("""COMPUTED_VALUE"""),"ALTO")</f>
        <v>ALTO</v>
      </c>
      <c r="K419" s="5" t="str">
        <f ca="1">IFERROR(__xludf.DUMMYFUNCTION("""COMPUTED_VALUE"""),"Preventivo")</f>
        <v>Preventivo</v>
      </c>
      <c r="L419" s="5" t="str">
        <f ca="1">IFERROR(__xludf.DUMMYFUNCTION("""COMPUTED_VALUE"""),"Maquinaria")</f>
        <v>Maquinaria</v>
      </c>
      <c r="M419" s="5" t="str">
        <f ca="1">IFERROR(__xludf.DUMMYFUNCTION("""COMPUTED_VALUE"""),"No")</f>
        <v>No</v>
      </c>
      <c r="N419" s="5"/>
      <c r="O419" s="5"/>
      <c r="P419" s="18">
        <f ca="1">IFERROR(__xludf.DUMMYFUNCTION("""COMPUTED_VALUE"""),45344)</f>
        <v>45344</v>
      </c>
      <c r="Q419" s="18">
        <f ca="1">IFERROR(__xludf.DUMMYFUNCTION("""COMPUTED_VALUE"""),45344)</f>
        <v>45344</v>
      </c>
      <c r="R419" s="18"/>
      <c r="S419" s="5">
        <f ca="1">IFERROR(__xludf.DUMMYFUNCTION("""COMPUTED_VALUE"""),0.5)</f>
        <v>0.5</v>
      </c>
      <c r="T419" s="5"/>
      <c r="U419" s="5" t="str">
        <f ca="1">IFERROR(__xludf.DUMMYFUNCTION("""COMPUTED_VALUE"""),"Moreno Pernia Bladimir")</f>
        <v>Moreno Pernia Bladimir</v>
      </c>
      <c r="V419" s="5"/>
      <c r="W419" s="5" t="str">
        <f ca="1">IFERROR(__xludf.DUMMYFUNCTION("""COMPUTED_VALUE"""),"timrs66GAhw")</f>
        <v>timrs66GAhw</v>
      </c>
      <c r="X419" s="5">
        <f ca="1">IFERROR(__xludf.DUMMYFUNCTION("""COMPUTED_VALUE"""),0.5)</f>
        <v>0.5</v>
      </c>
      <c r="Y419" s="5" t="str">
        <f t="shared" si="2"/>
        <v>Actividad sin realizar</v>
      </c>
      <c r="Z419" s="3">
        <f ca="1">IFERROR(VLOOKUP(U419, 'Base de datos'!A:B, 2, FALSE), "")</f>
        <v>573148903137</v>
      </c>
      <c r="AA419" s="4" t="e">
        <f t="shared" ca="1" si="3"/>
        <v>#NAME?</v>
      </c>
    </row>
    <row r="420" spans="1:27" ht="15.75" customHeight="1">
      <c r="A420" s="5" t="str">
        <f ca="1">IFERROR(__xludf.DUMMYFUNCTION("""COMPUTED_VALUE"""),"POSTOBÓN YUMBO")</f>
        <v>POSTOBÓN YUMBO</v>
      </c>
      <c r="B420" s="5" t="str">
        <f ca="1">IFERROR(__xludf.DUMMYFUNCTION("""COMPUTED_VALUE"""),"0410-SALA DE JARABE TERMINADO")</f>
        <v>0410-SALA DE JARABE TERMINADO</v>
      </c>
      <c r="C420" s="5" t="str">
        <f ca="1">IFERROR(__xludf.DUMMYFUNCTION("""COMPUTED_VALUE"""),"EQUIPOS PARA PREPARACION DE JARABE")</f>
        <v>EQUIPOS PARA PREPARACION DE JARABE</v>
      </c>
      <c r="D420" s="5">
        <f ca="1">IFERROR(__xludf.DUMMYFUNCTION("""COMPUTED_VALUE"""),69963409)</f>
        <v>69963409</v>
      </c>
      <c r="E420" s="5" t="str">
        <f ca="1">IFERROR(__xludf.DUMMYFUNCTION("""COMPUTED_VALUE"""),"TANQUE DE JARABE")</f>
        <v>TANQUE DE JARABE</v>
      </c>
      <c r="F420" s="5">
        <f ca="1">IFERROR(__xludf.DUMMYFUNCTION("""COMPUTED_VALUE"""),17361)</f>
        <v>17361</v>
      </c>
      <c r="G420" s="5" t="str">
        <f ca="1">IFERROR(__xludf.DUMMYFUNCTION("""COMPUTED_VALUE"""),"MTTO MEC TK JARABE 6 JARABE TERMINADO")</f>
        <v>MTTO MEC TK JARABE 6 JARABE TERMINADO</v>
      </c>
      <c r="H420" s="5">
        <f ca="1">IFERROR(__xludf.DUMMYFUNCTION("""COMPUTED_VALUE"""),13247158)</f>
        <v>13247158</v>
      </c>
      <c r="I420" s="5" t="str">
        <f ca="1">IFERROR(__xludf.DUMMYFUNCTION("""COMPUTED_VALUE"""),"Sistema neumatico: revision fugas y esta")</f>
        <v>Sistema neumatico: revision fugas y esta</v>
      </c>
      <c r="J420" s="5" t="str">
        <f ca="1">IFERROR(__xludf.DUMMYFUNCTION("""COMPUTED_VALUE"""),"ALTO")</f>
        <v>ALTO</v>
      </c>
      <c r="K420" s="5" t="str">
        <f ca="1">IFERROR(__xludf.DUMMYFUNCTION("""COMPUTED_VALUE"""),"Preventivo")</f>
        <v>Preventivo</v>
      </c>
      <c r="L420" s="5" t="str">
        <f ca="1">IFERROR(__xludf.DUMMYFUNCTION("""COMPUTED_VALUE"""),"Maquinaria")</f>
        <v>Maquinaria</v>
      </c>
      <c r="M420" s="5" t="str">
        <f ca="1">IFERROR(__xludf.DUMMYFUNCTION("""COMPUTED_VALUE"""),"No")</f>
        <v>No</v>
      </c>
      <c r="N420" s="5"/>
      <c r="O420" s="5">
        <f ca="1">IFERROR(__xludf.DUMMYFUNCTION("""COMPUTED_VALUE"""),100)</f>
        <v>100</v>
      </c>
      <c r="P420" s="18">
        <f ca="1">IFERROR(__xludf.DUMMYFUNCTION("""COMPUTED_VALUE"""),45342)</f>
        <v>45342</v>
      </c>
      <c r="Q420" s="18">
        <f ca="1">IFERROR(__xludf.DUMMYFUNCTION("""COMPUTED_VALUE"""),45342)</f>
        <v>45342</v>
      </c>
      <c r="R420" s="18"/>
      <c r="S420" s="5">
        <f ca="1">IFERROR(__xludf.DUMMYFUNCTION("""COMPUTED_VALUE"""),1)</f>
        <v>1</v>
      </c>
      <c r="T420" s="5"/>
      <c r="U420" s="5" t="str">
        <f ca="1">IFERROR(__xludf.DUMMYFUNCTION("""COMPUTED_VALUE"""),"Moreno Pernia Bladimir")</f>
        <v>Moreno Pernia Bladimir</v>
      </c>
      <c r="V420" s="5"/>
      <c r="W420" s="5" t="str">
        <f ca="1">IFERROR(__xludf.DUMMYFUNCTION("""COMPUTED_VALUE"""),"qOf96r3Dsgo")</f>
        <v>qOf96r3Dsgo</v>
      </c>
      <c r="X420" s="5">
        <f ca="1">IFERROR(__xludf.DUMMYFUNCTION("""COMPUTED_VALUE"""),1)</f>
        <v>1</v>
      </c>
      <c r="Y420" s="5" t="str">
        <f t="shared" ca="1" si="2"/>
        <v>Actividad realizada</v>
      </c>
      <c r="Z420" s="3">
        <f ca="1">IFERROR(VLOOKUP(U420, 'Base de datos'!A:B, 2, FALSE), "")</f>
        <v>573148903137</v>
      </c>
      <c r="AA420" s="4" t="e">
        <f t="shared" ca="1" si="3"/>
        <v>#NAME?</v>
      </c>
    </row>
    <row r="421" spans="1:27" ht="15.75" customHeight="1">
      <c r="A421" s="5" t="str">
        <f ca="1">IFERROR(__xludf.DUMMYFUNCTION("""COMPUTED_VALUE"""),"POSTOBÓN YUMBO")</f>
        <v>POSTOBÓN YUMBO</v>
      </c>
      <c r="B421" s="5" t="str">
        <f ca="1">IFERROR(__xludf.DUMMYFUNCTION("""COMPUTED_VALUE"""),"0410-PLANTA DE AGUA ENVASADO")</f>
        <v>0410-PLANTA DE AGUA ENVASADO</v>
      </c>
      <c r="C421" s="5" t="str">
        <f ca="1">IFERROR(__xludf.DUMMYFUNCTION("""COMPUTED_VALUE"""),"TRATAMIENTO DE AGUA PARA ENVASADO")</f>
        <v>TRATAMIENTO DE AGUA PARA ENVASADO</v>
      </c>
      <c r="D421" s="5">
        <f ca="1">IFERROR(__xludf.DUMMYFUNCTION("""COMPUTED_VALUE"""),70965316)</f>
        <v>70965316</v>
      </c>
      <c r="E421" s="5" t="str">
        <f ca="1">IFERROR(__xludf.DUMMYFUNCTION("""COMPUTED_VALUE"""),"FILTRO PURIFICA (CARBON) 8 - TRAT PRIM")</f>
        <v>FILTRO PURIFICA (CARBON) 8 - TRAT PRIM</v>
      </c>
      <c r="F421" s="5">
        <f ca="1">IFERROR(__xludf.DUMMYFUNCTION("""COMPUTED_VALUE"""),32900)</f>
        <v>32900</v>
      </c>
      <c r="G421" s="5" t="str">
        <f ca="1">IFERROR(__xludf.DUMMYFUNCTION("""COMPUTED_VALUE"""),"PLAN MTTO MEC FILTRO PURIFICA (CARBON) 8")</f>
        <v>PLAN MTTO MEC FILTRO PURIFICA (CARBON) 8</v>
      </c>
      <c r="H421" s="5">
        <f ca="1">IFERROR(__xludf.DUMMYFUNCTION("""COMPUTED_VALUE"""),13207500)</f>
        <v>13207500</v>
      </c>
      <c r="I421" s="5" t="str">
        <f ca="1">IFERROR(__xludf.DUMMYFUNCTION("""COMPUTED_VALUE"""),"REVISION FUGAS FILTRO CARBON: SE DEBE")</f>
        <v>REVISION FUGAS FILTRO CARBON: SE DEBE</v>
      </c>
      <c r="J421" s="5" t="str">
        <f ca="1">IFERROR(__xludf.DUMMYFUNCTION("""COMPUTED_VALUE"""),"ALTO")</f>
        <v>ALTO</v>
      </c>
      <c r="K421" s="5" t="str">
        <f ca="1">IFERROR(__xludf.DUMMYFUNCTION("""COMPUTED_VALUE"""),"Preventivo")</f>
        <v>Preventivo</v>
      </c>
      <c r="L421" s="5" t="str">
        <f ca="1">IFERROR(__xludf.DUMMYFUNCTION("""COMPUTED_VALUE"""),"Maquinaria")</f>
        <v>Maquinaria</v>
      </c>
      <c r="M421" s="5" t="str">
        <f ca="1">IFERROR(__xludf.DUMMYFUNCTION("""COMPUTED_VALUE"""),"No")</f>
        <v>No</v>
      </c>
      <c r="N421" s="5"/>
      <c r="O421" s="5"/>
      <c r="P421" s="18">
        <f ca="1">IFERROR(__xludf.DUMMYFUNCTION("""COMPUTED_VALUE"""),45344)</f>
        <v>45344</v>
      </c>
      <c r="Q421" s="18">
        <f ca="1">IFERROR(__xludf.DUMMYFUNCTION("""COMPUTED_VALUE"""),45344)</f>
        <v>45344</v>
      </c>
      <c r="R421" s="18"/>
      <c r="S421" s="5">
        <f ca="1">IFERROR(__xludf.DUMMYFUNCTION("""COMPUTED_VALUE"""),0.5)</f>
        <v>0.5</v>
      </c>
      <c r="T421" s="5"/>
      <c r="U421" s="5" t="str">
        <f ca="1">IFERROR(__xludf.DUMMYFUNCTION("""COMPUTED_VALUE"""),"Guzman Palechor Miguel Angel")</f>
        <v>Guzman Palechor Miguel Angel</v>
      </c>
      <c r="V421" s="5"/>
      <c r="W421" s="5" t="str">
        <f ca="1">IFERROR(__xludf.DUMMYFUNCTION("""COMPUTED_VALUE"""),"MCd8p_eONuQ")</f>
        <v>MCd8p_eONuQ</v>
      </c>
      <c r="X421" s="5">
        <f ca="1">IFERROR(__xludf.DUMMYFUNCTION("""COMPUTED_VALUE"""),0.5)</f>
        <v>0.5</v>
      </c>
      <c r="Y421" s="5" t="str">
        <f t="shared" si="2"/>
        <v>Actividad sin realizar</v>
      </c>
      <c r="Z421" s="3">
        <f ca="1">IFERROR(VLOOKUP(U421, 'Base de datos'!A:B, 2, FALSE), "")</f>
        <v>573112422176</v>
      </c>
      <c r="AA421" s="4" t="e">
        <f t="shared" ca="1" si="3"/>
        <v>#NAME?</v>
      </c>
    </row>
    <row r="422" spans="1:27" ht="15.75" customHeight="1">
      <c r="A422" s="5" t="str">
        <f ca="1">IFERROR(__xludf.DUMMYFUNCTION("""COMPUTED_VALUE"""),"POSTOBÓN YUMBO")</f>
        <v>POSTOBÓN YUMBO</v>
      </c>
      <c r="B422" s="5" t="str">
        <f ca="1">IFERROR(__xludf.DUMMYFUNCTION("""COMPUTED_VALUE"""),"0410-LINEA 2")</f>
        <v>0410-LINEA 2</v>
      </c>
      <c r="C422" s="5" t="str">
        <f ca="1">IFERROR(__xludf.DUMMYFUNCTION("""COMPUTED_VALUE"""),"LINEA DE ENVASADO FAMILIAR Y PRB")</f>
        <v>LINEA DE ENVASADO FAMILIAR Y PRB</v>
      </c>
      <c r="D422" s="5">
        <f ca="1">IFERROR(__xludf.DUMMYFUNCTION("""COMPUTED_VALUE"""),82964402)</f>
        <v>82964402</v>
      </c>
      <c r="E422" s="5" t="str">
        <f ca="1">IFERROR(__xludf.DUMMYFUNCTION("""COMPUTED_VALUE"""),"CODIFICADOR L2")</f>
        <v>CODIFICADOR L2</v>
      </c>
      <c r="F422" s="5">
        <f ca="1">IFERROR(__xludf.DUMMYFUNCTION("""COMPUTED_VALUE"""),46430)</f>
        <v>46430</v>
      </c>
      <c r="G422" s="5" t="str">
        <f ca="1">IFERROR(__xludf.DUMMYFUNCTION("""COMPUTED_VALUE"""),"PLAN MTTO ELE CODIFICADOR L2 82964402")</f>
        <v>PLAN MTTO ELE CODIFICADOR L2 82964402</v>
      </c>
      <c r="H422" s="5">
        <f ca="1">IFERROR(__xludf.DUMMYFUNCTION("""COMPUTED_VALUE"""),13247850)</f>
        <v>13247850</v>
      </c>
      <c r="I422" s="5" t="str">
        <f ca="1">IFERROR(__xludf.DUMMYFUNCTION("""COMPUTED_VALUE"""),"Revision electrovalvula de aire")</f>
        <v>Revision electrovalvula de aire</v>
      </c>
      <c r="J422" s="5" t="str">
        <f ca="1">IFERROR(__xludf.DUMMYFUNCTION("""COMPUTED_VALUE"""),"ALTO")</f>
        <v>ALTO</v>
      </c>
      <c r="K422" s="5" t="str">
        <f ca="1">IFERROR(__xludf.DUMMYFUNCTION("""COMPUTED_VALUE"""),"Preventivo")</f>
        <v>Preventivo</v>
      </c>
      <c r="L422" s="5" t="str">
        <f ca="1">IFERROR(__xludf.DUMMYFUNCTION("""COMPUTED_VALUE"""),"Maquinaria")</f>
        <v>Maquinaria</v>
      </c>
      <c r="M422" s="5" t="str">
        <f ca="1">IFERROR(__xludf.DUMMYFUNCTION("""COMPUTED_VALUE"""),"No")</f>
        <v>No</v>
      </c>
      <c r="N422" s="5"/>
      <c r="O422" s="5"/>
      <c r="P422" s="18">
        <f ca="1">IFERROR(__xludf.DUMMYFUNCTION("""COMPUTED_VALUE"""),45331)</f>
        <v>45331</v>
      </c>
      <c r="Q422" s="18">
        <f ca="1">IFERROR(__xludf.DUMMYFUNCTION("""COMPUTED_VALUE"""),45331)</f>
        <v>45331</v>
      </c>
      <c r="R422" s="18"/>
      <c r="S422" s="5">
        <f ca="1">IFERROR(__xludf.DUMMYFUNCTION("""COMPUTED_VALUE"""),0.5)</f>
        <v>0.5</v>
      </c>
      <c r="T422" s="5"/>
      <c r="U422" s="5" t="str">
        <f ca="1">IFERROR(__xludf.DUMMYFUNCTION("""COMPUTED_VALUE"""),"Andrés Felipe Pérez Polania")</f>
        <v>Andrés Felipe Pérez Polania</v>
      </c>
      <c r="V422" s="5"/>
      <c r="W422" s="5" t="str">
        <f ca="1">IFERROR(__xludf.DUMMYFUNCTION("""COMPUTED_VALUE"""),"CSN5UVtjDgM")</f>
        <v>CSN5UVtjDgM</v>
      </c>
      <c r="X422" s="5">
        <f ca="1">IFERROR(__xludf.DUMMYFUNCTION("""COMPUTED_VALUE"""),0.5)</f>
        <v>0.5</v>
      </c>
      <c r="Y422" s="5" t="str">
        <f t="shared" si="2"/>
        <v>Actividad sin realizar</v>
      </c>
      <c r="Z422" s="3">
        <f ca="1">IFERROR(VLOOKUP(U422, 'Base de datos'!A:B, 2, FALSE), "")</f>
        <v>573186924079</v>
      </c>
      <c r="AA422" s="4" t="e">
        <f t="shared" ca="1" si="3"/>
        <v>#NAME?</v>
      </c>
    </row>
    <row r="423" spans="1:27" ht="15.75" customHeight="1">
      <c r="A423" s="5" t="str">
        <f ca="1">IFERROR(__xludf.DUMMYFUNCTION("""COMPUTED_VALUE"""),"POSTOBÓN YUMBO")</f>
        <v>POSTOBÓN YUMBO</v>
      </c>
      <c r="B423" s="5" t="str">
        <f ca="1">IFERROR(__xludf.DUMMYFUNCTION("""COMPUTED_VALUE"""),"0410-LINEA 2")</f>
        <v>0410-LINEA 2</v>
      </c>
      <c r="C423" s="5" t="str">
        <f ca="1">IFERROR(__xludf.DUMMYFUNCTION("""COMPUTED_VALUE"""),"LINEA DE ENVASADO FAMILIAR Y PRB")</f>
        <v>LINEA DE ENVASADO FAMILIAR Y PRB</v>
      </c>
      <c r="D423" s="5">
        <f ca="1">IFERROR(__xludf.DUMMYFUNCTION("""COMPUTED_VALUE"""),82964402)</f>
        <v>82964402</v>
      </c>
      <c r="E423" s="5" t="str">
        <f ca="1">IFERROR(__xludf.DUMMYFUNCTION("""COMPUTED_VALUE"""),"CODIFICADOR L2")</f>
        <v>CODIFICADOR L2</v>
      </c>
      <c r="F423" s="5">
        <f ca="1">IFERROR(__xludf.DUMMYFUNCTION("""COMPUTED_VALUE"""),46430)</f>
        <v>46430</v>
      </c>
      <c r="G423" s="5" t="str">
        <f ca="1">IFERROR(__xludf.DUMMYFUNCTION("""COMPUTED_VALUE"""),"PLAN MTTO ELE CODIFICADOR L2 82964402")</f>
        <v>PLAN MTTO ELE CODIFICADOR L2 82964402</v>
      </c>
      <c r="H423" s="5">
        <f ca="1">IFERROR(__xludf.DUMMYFUNCTION("""COMPUTED_VALUE"""),13247850)</f>
        <v>13247850</v>
      </c>
      <c r="I423" s="5" t="str">
        <f ca="1">IFERROR(__xludf.DUMMYFUNCTION("""COMPUTED_VALUE"""),"Revision lampara de se¤alizacion")</f>
        <v>Revision lampara de se¤alizacion</v>
      </c>
      <c r="J423" s="5" t="str">
        <f ca="1">IFERROR(__xludf.DUMMYFUNCTION("""COMPUTED_VALUE"""),"ALTO")</f>
        <v>ALTO</v>
      </c>
      <c r="K423" s="5" t="str">
        <f ca="1">IFERROR(__xludf.DUMMYFUNCTION("""COMPUTED_VALUE"""),"Preventivo")</f>
        <v>Preventivo</v>
      </c>
      <c r="L423" s="5" t="str">
        <f ca="1">IFERROR(__xludf.DUMMYFUNCTION("""COMPUTED_VALUE"""),"Maquinaria")</f>
        <v>Maquinaria</v>
      </c>
      <c r="M423" s="5" t="str">
        <f ca="1">IFERROR(__xludf.DUMMYFUNCTION("""COMPUTED_VALUE"""),"No")</f>
        <v>No</v>
      </c>
      <c r="N423" s="5"/>
      <c r="O423" s="5"/>
      <c r="P423" s="18">
        <f ca="1">IFERROR(__xludf.DUMMYFUNCTION("""COMPUTED_VALUE"""),45331)</f>
        <v>45331</v>
      </c>
      <c r="Q423" s="18">
        <f ca="1">IFERROR(__xludf.DUMMYFUNCTION("""COMPUTED_VALUE"""),45331)</f>
        <v>45331</v>
      </c>
      <c r="R423" s="18"/>
      <c r="S423" s="5">
        <f ca="1">IFERROR(__xludf.DUMMYFUNCTION("""COMPUTED_VALUE"""),0.5)</f>
        <v>0.5</v>
      </c>
      <c r="T423" s="5"/>
      <c r="U423" s="5" t="str">
        <f ca="1">IFERROR(__xludf.DUMMYFUNCTION("""COMPUTED_VALUE"""),"Andrés Felipe Pérez Polania")</f>
        <v>Andrés Felipe Pérez Polania</v>
      </c>
      <c r="V423" s="5"/>
      <c r="W423" s="5" t="str">
        <f ca="1">IFERROR(__xludf.DUMMYFUNCTION("""COMPUTED_VALUE"""),"oH_w73x41r0")</f>
        <v>oH_w73x41r0</v>
      </c>
      <c r="X423" s="5">
        <f ca="1">IFERROR(__xludf.DUMMYFUNCTION("""COMPUTED_VALUE"""),0.5)</f>
        <v>0.5</v>
      </c>
      <c r="Y423" s="5" t="str">
        <f t="shared" si="2"/>
        <v>Actividad sin realizar</v>
      </c>
      <c r="Z423" s="3">
        <f ca="1">IFERROR(VLOOKUP(U423, 'Base de datos'!A:B, 2, FALSE), "")</f>
        <v>573186924079</v>
      </c>
      <c r="AA423" s="4" t="e">
        <f t="shared" ca="1" si="3"/>
        <v>#NAME?</v>
      </c>
    </row>
    <row r="424" spans="1:27" ht="15.75" customHeight="1">
      <c r="A424" s="5" t="str">
        <f ca="1">IFERROR(__xludf.DUMMYFUNCTION("""COMPUTED_VALUE"""),"POSTOBÓN YUMBO")</f>
        <v>POSTOBÓN YUMBO</v>
      </c>
      <c r="B424" s="5" t="str">
        <f ca="1">IFERROR(__xludf.DUMMYFUNCTION("""COMPUTED_VALUE"""),"0410-EQUIPOS AUXILIARES")</f>
        <v>0410-EQUIPOS AUXILIARES</v>
      </c>
      <c r="C424" s="5" t="str">
        <f ca="1">IFERROR(__xludf.DUMMYFUNCTION("""COMPUTED_VALUE"""),"EQUIPOS PARA SERVICIOS INDUSTRIALES")</f>
        <v>EQUIPOS PARA SERVICIOS INDUSTRIALES</v>
      </c>
      <c r="D424" s="5">
        <f ca="1">IFERROR(__xludf.DUMMYFUNCTION("""COMPUTED_VALUE"""),629054)</f>
        <v>629054</v>
      </c>
      <c r="E424" s="5" t="str">
        <f ca="1">IFERROR(__xludf.DUMMYFUNCTION("""COMPUTED_VALUE"""),"COMPRESOR REFRIGERACION RECIPROCANTE 4")</f>
        <v>COMPRESOR REFRIGERACION RECIPROCANTE 4</v>
      </c>
      <c r="F424" s="5">
        <f ca="1">IFERROR(__xludf.DUMMYFUNCTION("""COMPUTED_VALUE"""),21696)</f>
        <v>21696</v>
      </c>
      <c r="G424" s="5" t="str">
        <f ca="1">IFERROR(__xludf.DUMMYFUNCTION("""COMPUTED_VALUE"""),"PLAN DE MTTO MEC COMPRESOR REFRIG 4")</f>
        <v>PLAN DE MTTO MEC COMPRESOR REFRIG 4</v>
      </c>
      <c r="H424" s="5">
        <f ca="1">IFERROR(__xludf.DUMMYFUNCTION("""COMPUTED_VALUE"""),13193539)</f>
        <v>13193539</v>
      </c>
      <c r="I424" s="5" t="str">
        <f ca="1">IFERROR(__xludf.DUMMYFUNCTION("""COMPUTED_VALUE"""),"Desincrustar compresor")</f>
        <v>Desincrustar compresor</v>
      </c>
      <c r="J424" s="5" t="str">
        <f ca="1">IFERROR(__xludf.DUMMYFUNCTION("""COMPUTED_VALUE"""),"MEDIO")</f>
        <v>MEDIO</v>
      </c>
      <c r="K424" s="5" t="str">
        <f ca="1">IFERROR(__xludf.DUMMYFUNCTION("""COMPUTED_VALUE"""),"Preventivo")</f>
        <v>Preventivo</v>
      </c>
      <c r="L424" s="5" t="str">
        <f ca="1">IFERROR(__xludf.DUMMYFUNCTION("""COMPUTED_VALUE"""),"Maquinaria")</f>
        <v>Maquinaria</v>
      </c>
      <c r="M424" s="5" t="str">
        <f ca="1">IFERROR(__xludf.DUMMYFUNCTION("""COMPUTED_VALUE"""),"No")</f>
        <v>No</v>
      </c>
      <c r="N424" s="5"/>
      <c r="O424" s="5"/>
      <c r="P424" s="18">
        <f ca="1">IFERROR(__xludf.DUMMYFUNCTION("""COMPUTED_VALUE"""),45326)</f>
        <v>45326</v>
      </c>
      <c r="Q424" s="18">
        <f ca="1">IFERROR(__xludf.DUMMYFUNCTION("""COMPUTED_VALUE"""),45326)</f>
        <v>45326</v>
      </c>
      <c r="R424" s="18"/>
      <c r="S424" s="5">
        <f ca="1">IFERROR(__xludf.DUMMYFUNCTION("""COMPUTED_VALUE"""),2)</f>
        <v>2</v>
      </c>
      <c r="T424" s="5"/>
      <c r="U424" s="5" t="str">
        <f ca="1">IFERROR(__xludf.DUMMYFUNCTION("""COMPUTED_VALUE"""),"MUÑOZ VALENCIA JEFFERSON")</f>
        <v>MUÑOZ VALENCIA JEFFERSON</v>
      </c>
      <c r="V424" s="5"/>
      <c r="W424" s="5" t="str">
        <f ca="1">IFERROR(__xludf.DUMMYFUNCTION("""COMPUTED_VALUE"""),"jhmCg6F8cjs")</f>
        <v>jhmCg6F8cjs</v>
      </c>
      <c r="X424" s="5">
        <f ca="1">IFERROR(__xludf.DUMMYFUNCTION("""COMPUTED_VALUE"""),2)</f>
        <v>2</v>
      </c>
      <c r="Y424" s="5" t="str">
        <f t="shared" si="2"/>
        <v>Actividad sin realizar</v>
      </c>
      <c r="Z424" s="3">
        <f ca="1">IFERROR(VLOOKUP(U424, 'Base de datos'!A:B, 2, FALSE), "")</f>
        <v>573122261803</v>
      </c>
      <c r="AA424" s="4" t="e">
        <f t="shared" ca="1" si="3"/>
        <v>#NAME?</v>
      </c>
    </row>
    <row r="425" spans="1:27" ht="15.75" customHeight="1">
      <c r="A425" s="5" t="str">
        <f ca="1">IFERROR(__xludf.DUMMYFUNCTION("""COMPUTED_VALUE"""),"POSTOBÓN YUMBO")</f>
        <v>POSTOBÓN YUMBO</v>
      </c>
      <c r="B425" s="5" t="str">
        <f ca="1">IFERROR(__xludf.DUMMYFUNCTION("""COMPUTED_VALUE"""),"0410-LINEA 2")</f>
        <v>0410-LINEA 2</v>
      </c>
      <c r="C425" s="5" t="str">
        <f ca="1">IFERROR(__xludf.DUMMYFUNCTION("""COMPUTED_VALUE"""),"LINEA DE ENVASADO FAMILIAR Y PRB")</f>
        <v>LINEA DE ENVASADO FAMILIAR Y PRB</v>
      </c>
      <c r="D425" s="5">
        <f ca="1">IFERROR(__xludf.DUMMYFUNCTION("""COMPUTED_VALUE"""),599559)</f>
        <v>599559</v>
      </c>
      <c r="E425" s="5" t="str">
        <f ca="1">IFERROR(__xludf.DUMMYFUNCTION("""COMPUTED_VALUE"""),"INSPECTOR ELECTRONICO")</f>
        <v>INSPECTOR ELECTRONICO</v>
      </c>
      <c r="F425" s="5">
        <f ca="1">IFERROR(__xludf.DUMMYFUNCTION("""COMPUTED_VALUE"""),17380)</f>
        <v>17380</v>
      </c>
      <c r="G425" s="5" t="str">
        <f ca="1">IFERROR(__xludf.DUMMYFUNCTION("""COMPUTED_VALUE"""),"MTTO ELEC INSPECTOR L2 599559")</f>
        <v>MTTO ELEC INSPECTOR L2 599559</v>
      </c>
      <c r="H425" s="5">
        <f ca="1">IFERROR(__xludf.DUMMYFUNCTION("""COMPUTED_VALUE"""),13221300)</f>
        <v>13221300</v>
      </c>
      <c r="I425" s="5" t="str">
        <f ca="1">IFERROR(__xludf.DUMMYFUNCTION("""COMPUTED_VALUE"""),"Mantenimiento anual o periódico por part")</f>
        <v>Mantenimiento anual o periódico por part</v>
      </c>
      <c r="J425" s="5" t="str">
        <f ca="1">IFERROR(__xludf.DUMMYFUNCTION("""COMPUTED_VALUE"""),"ALTO")</f>
        <v>ALTO</v>
      </c>
      <c r="K425" s="5" t="str">
        <f ca="1">IFERROR(__xludf.DUMMYFUNCTION("""COMPUTED_VALUE"""),"Preventivo")</f>
        <v>Preventivo</v>
      </c>
      <c r="L425" s="5" t="str">
        <f ca="1">IFERROR(__xludf.DUMMYFUNCTION("""COMPUTED_VALUE"""),"Maquinaria")</f>
        <v>Maquinaria</v>
      </c>
      <c r="M425" s="5" t="str">
        <f ca="1">IFERROR(__xludf.DUMMYFUNCTION("""COMPUTED_VALUE"""),"No")</f>
        <v>No</v>
      </c>
      <c r="N425" s="5"/>
      <c r="O425" s="5"/>
      <c r="P425" s="18">
        <f ca="1">IFERROR(__xludf.DUMMYFUNCTION("""COMPUTED_VALUE"""),45341)</f>
        <v>45341</v>
      </c>
      <c r="Q425" s="18">
        <f ca="1">IFERROR(__xludf.DUMMYFUNCTION("""COMPUTED_VALUE"""),45341)</f>
        <v>45341</v>
      </c>
      <c r="R425" s="18"/>
      <c r="S425" s="5">
        <f ca="1">IFERROR(__xludf.DUMMYFUNCTION("""COMPUTED_VALUE"""),8)</f>
        <v>8</v>
      </c>
      <c r="T425" s="5"/>
      <c r="U425" s="5" t="str">
        <f ca="1">IFERROR(__xludf.DUMMYFUNCTION("""COMPUTED_VALUE"""),"Alexander Echeverry Moreno")</f>
        <v>Alexander Echeverry Moreno</v>
      </c>
      <c r="V425" s="5"/>
      <c r="W425" s="5" t="str">
        <f ca="1">IFERROR(__xludf.DUMMYFUNCTION("""COMPUTED_VALUE"""),"aHaww92_rtI")</f>
        <v>aHaww92_rtI</v>
      </c>
      <c r="X425" s="5">
        <f ca="1">IFERROR(__xludf.DUMMYFUNCTION("""COMPUTED_VALUE"""),8)</f>
        <v>8</v>
      </c>
      <c r="Y425" s="5" t="str">
        <f t="shared" si="2"/>
        <v>Actividad sin realizar</v>
      </c>
      <c r="Z425" s="3">
        <f ca="1">IFERROR(VLOOKUP(U425, 'Base de datos'!A:B, 2, FALSE), "")</f>
        <v>573173223149</v>
      </c>
      <c r="AA425" s="4" t="e">
        <f t="shared" ca="1" si="3"/>
        <v>#NAME?</v>
      </c>
    </row>
    <row r="426" spans="1:27" ht="15.75" customHeight="1">
      <c r="A426" s="5" t="str">
        <f ca="1">IFERROR(__xludf.DUMMYFUNCTION("""COMPUTED_VALUE"""),"POSTOBÓN YUMBO")</f>
        <v>POSTOBÓN YUMBO</v>
      </c>
      <c r="B426" s="5" t="str">
        <f ca="1">IFERROR(__xludf.DUMMYFUNCTION("""COMPUTED_VALUE"""),"0410-CUARTO DE BOMBAS")</f>
        <v>0410-CUARTO DE BOMBAS</v>
      </c>
      <c r="C426" s="5" t="str">
        <f ca="1">IFERROR(__xludf.DUMMYFUNCTION("""COMPUTED_VALUE"""),"BOMBAS DE SERVICIO PROCESO")</f>
        <v>BOMBAS DE SERVICIO PROCESO</v>
      </c>
      <c r="D426" s="5">
        <f ca="1">IFERROR(__xludf.DUMMYFUNCTION("""COMPUTED_VALUE"""),70948914)</f>
        <v>70948914</v>
      </c>
      <c r="E426" s="5" t="str">
        <f ca="1">IFERROR(__xludf.DUMMYFUNCTION("""COMPUTED_VALUE"""),"BOMBA AGUA SERVICIOS EDIFICIOS ADMINIS")</f>
        <v>BOMBA AGUA SERVICIOS EDIFICIOS ADMINIS</v>
      </c>
      <c r="F426" s="5">
        <f ca="1">IFERROR(__xludf.DUMMYFUNCTION("""COMPUTED_VALUE"""),20721)</f>
        <v>20721</v>
      </c>
      <c r="G426" s="5" t="str">
        <f ca="1">IFERROR(__xludf.DUMMYFUNCTION("""COMPUTED_VALUE"""),"PLAN MTTO ELE BOMBA SERV EDI 70948914")</f>
        <v>PLAN MTTO ELE BOMBA SERV EDI 70948914</v>
      </c>
      <c r="H426" s="5">
        <f ca="1">IFERROR(__xludf.DUMMYFUNCTION("""COMPUTED_VALUE"""),13207387)</f>
        <v>13207387</v>
      </c>
      <c r="I426" s="5" t="str">
        <f ca="1">IFERROR(__xludf.DUMMYFUNCTION("""COMPUTED_VALUE"""),"Motor Bomba")</f>
        <v>Motor Bomba</v>
      </c>
      <c r="J426" s="5" t="str">
        <f ca="1">IFERROR(__xludf.DUMMYFUNCTION("""COMPUTED_VALUE"""),"ALTO")</f>
        <v>ALTO</v>
      </c>
      <c r="K426" s="5" t="str">
        <f ca="1">IFERROR(__xludf.DUMMYFUNCTION("""COMPUTED_VALUE"""),"Preventivo")</f>
        <v>Preventivo</v>
      </c>
      <c r="L426" s="5" t="str">
        <f ca="1">IFERROR(__xludf.DUMMYFUNCTION("""COMPUTED_VALUE"""),"Maquinaria")</f>
        <v>Maquinaria</v>
      </c>
      <c r="M426" s="5" t="str">
        <f ca="1">IFERROR(__xludf.DUMMYFUNCTION("""COMPUTED_VALUE"""),"No")</f>
        <v>No</v>
      </c>
      <c r="N426" s="5"/>
      <c r="O426" s="5"/>
      <c r="P426" s="18">
        <f ca="1">IFERROR(__xludf.DUMMYFUNCTION("""COMPUTED_VALUE"""),45351)</f>
        <v>45351</v>
      </c>
      <c r="Q426" s="18">
        <f ca="1">IFERROR(__xludf.DUMMYFUNCTION("""COMPUTED_VALUE"""),45351)</f>
        <v>45351</v>
      </c>
      <c r="R426" s="18"/>
      <c r="S426" s="5">
        <f ca="1">IFERROR(__xludf.DUMMYFUNCTION("""COMPUTED_VALUE"""),2)</f>
        <v>2</v>
      </c>
      <c r="T426" s="5"/>
      <c r="U426" s="5" t="str">
        <f ca="1">IFERROR(__xludf.DUMMYFUNCTION("""COMPUTED_VALUE"""),"John Edier Gomez Zuñiga")</f>
        <v>John Edier Gomez Zuñiga</v>
      </c>
      <c r="V426" s="5"/>
      <c r="W426" s="5" t="str">
        <f ca="1">IFERROR(__xludf.DUMMYFUNCTION("""COMPUTED_VALUE"""),"Yik5TfMEo0g")</f>
        <v>Yik5TfMEo0g</v>
      </c>
      <c r="X426" s="5">
        <f ca="1">IFERROR(__xludf.DUMMYFUNCTION("""COMPUTED_VALUE"""),2)</f>
        <v>2</v>
      </c>
      <c r="Y426" s="5" t="str">
        <f t="shared" si="2"/>
        <v>Actividad sin realizar</v>
      </c>
      <c r="Z426" s="3">
        <f ca="1">IFERROR(VLOOKUP(U426, 'Base de datos'!A:B, 2, FALSE), "")</f>
        <v>573003678745</v>
      </c>
      <c r="AA426" s="4" t="e">
        <f t="shared" ca="1" si="3"/>
        <v>#NAME?</v>
      </c>
    </row>
    <row r="427" spans="1:27" ht="15.75" customHeight="1">
      <c r="A427" s="5" t="str">
        <f ca="1">IFERROR(__xludf.DUMMYFUNCTION("""COMPUTED_VALUE"""),"POSTOBÓN YUMBO")</f>
        <v>POSTOBÓN YUMBO</v>
      </c>
      <c r="B427" s="5" t="str">
        <f ca="1">IFERROR(__xludf.DUMMYFUNCTION("""COMPUTED_VALUE"""),"0410-EQUIPOS AUXILIARES JUGOS")</f>
        <v>0410-EQUIPOS AUXILIARES JUGOS</v>
      </c>
      <c r="C427" s="5" t="str">
        <f ca="1">IFERROR(__xludf.DUMMYFUNCTION("""COMPUTED_VALUE"""),"EQUIPOS PARA SERVICIOS INDUSTRIALES JUGO")</f>
        <v>EQUIPOS PARA SERVICIOS INDUSTRIALES JUGO</v>
      </c>
      <c r="D427" s="5">
        <f ca="1">IFERROR(__xludf.DUMMYFUNCTION("""COMPUTED_VALUE"""),638563)</f>
        <v>638563</v>
      </c>
      <c r="E427" s="5" t="str">
        <f ca="1">IFERROR(__xludf.DUMMYFUNCTION("""COMPUTED_VALUE"""),"CONDENSADOR EVAPORATIIVO JUGOS")</f>
        <v>CONDENSADOR EVAPORATIIVO JUGOS</v>
      </c>
      <c r="F427" s="5">
        <f ca="1">IFERROR(__xludf.DUMMYFUNCTION("""COMPUTED_VALUE"""),21702)</f>
        <v>21702</v>
      </c>
      <c r="G427" s="5" t="str">
        <f ca="1">IFERROR(__xludf.DUMMYFUNCTION("""COMPUTED_VALUE"""),"PLAN MTTO LUB CONDENSADOR EVAP JUGOS")</f>
        <v>PLAN MTTO LUB CONDENSADOR EVAP JUGOS</v>
      </c>
      <c r="H427" s="5">
        <f ca="1">IFERROR(__xludf.DUMMYFUNCTION("""COMPUTED_VALUE"""),13193546)</f>
        <v>13193546</v>
      </c>
      <c r="I427" s="5" t="str">
        <f ca="1">IFERROR(__xludf.DUMMYFUNCTION("""COMPUTED_VALUE"""),"Lubricación chumaceras")</f>
        <v>Lubricación chumaceras</v>
      </c>
      <c r="J427" s="5" t="str">
        <f ca="1">IFERROR(__xludf.DUMMYFUNCTION("""COMPUTED_VALUE"""),"MEDIO")</f>
        <v>MEDIO</v>
      </c>
      <c r="K427" s="5" t="str">
        <f ca="1">IFERROR(__xludf.DUMMYFUNCTION("""COMPUTED_VALUE"""),"Preventivo")</f>
        <v>Preventivo</v>
      </c>
      <c r="L427" s="5" t="str">
        <f ca="1">IFERROR(__xludf.DUMMYFUNCTION("""COMPUTED_VALUE"""),"Maquinaria")</f>
        <v>Maquinaria</v>
      </c>
      <c r="M427" s="5" t="str">
        <f ca="1">IFERROR(__xludf.DUMMYFUNCTION("""COMPUTED_VALUE"""),"No")</f>
        <v>No</v>
      </c>
      <c r="N427" s="5"/>
      <c r="O427" s="5"/>
      <c r="P427" s="18">
        <f ca="1">IFERROR(__xludf.DUMMYFUNCTION("""COMPUTED_VALUE"""),45326)</f>
        <v>45326</v>
      </c>
      <c r="Q427" s="18">
        <f ca="1">IFERROR(__xludf.DUMMYFUNCTION("""COMPUTED_VALUE"""),45326)</f>
        <v>45326</v>
      </c>
      <c r="R427" s="18"/>
      <c r="S427" s="5">
        <f ca="1">IFERROR(__xludf.DUMMYFUNCTION("""COMPUTED_VALUE"""),2)</f>
        <v>2</v>
      </c>
      <c r="T427" s="5"/>
      <c r="U427" s="5" t="str">
        <f ca="1">IFERROR(__xludf.DUMMYFUNCTION("""COMPUTED_VALUE"""),"Lopez Raul")</f>
        <v>Lopez Raul</v>
      </c>
      <c r="V427" s="5"/>
      <c r="W427" s="5" t="str">
        <f ca="1">IFERROR(__xludf.DUMMYFUNCTION("""COMPUTED_VALUE"""),"vdNEfy5TwPM")</f>
        <v>vdNEfy5TwPM</v>
      </c>
      <c r="X427" s="5">
        <f ca="1">IFERROR(__xludf.DUMMYFUNCTION("""COMPUTED_VALUE"""),2)</f>
        <v>2</v>
      </c>
      <c r="Y427" s="5" t="str">
        <f t="shared" si="2"/>
        <v>Actividad sin realizar</v>
      </c>
      <c r="Z427" s="3">
        <f ca="1">IFERROR(VLOOKUP(U427, 'Base de datos'!A:B, 2, FALSE), "")</f>
        <v>573122172129</v>
      </c>
      <c r="AA427" s="4" t="e">
        <f t="shared" ca="1" si="3"/>
        <v>#NAME?</v>
      </c>
    </row>
    <row r="428" spans="1:27" ht="15.75" customHeight="1">
      <c r="A428" s="5" t="str">
        <f ca="1">IFERROR(__xludf.DUMMYFUNCTION("""COMPUTED_VALUE"""),"POSTOBÓN YUMBO")</f>
        <v>POSTOBÓN YUMBO</v>
      </c>
      <c r="B428" s="5" t="str">
        <f ca="1">IFERROR(__xludf.DUMMYFUNCTION("""COMPUTED_VALUE"""),"0410-LINEA 1")</f>
        <v>0410-LINEA 1</v>
      </c>
      <c r="C428" s="5" t="str">
        <f ca="1">IFERROR(__xludf.DUMMYFUNCTION("""COMPUTED_VALUE"""),"LINEA DE ENVASADO PET NO RETORNABLE")</f>
        <v>LINEA DE ENVASADO PET NO RETORNABLE</v>
      </c>
      <c r="D428" s="5">
        <f ca="1">IFERROR(__xludf.DUMMYFUNCTION("""COMPUTED_VALUE"""),820071)</f>
        <v>820071</v>
      </c>
      <c r="E428" s="5" t="str">
        <f ca="1">IFERROR(__xludf.DUMMYFUNCTION("""COMPUTED_VALUE"""),"ETIQUETADORA")</f>
        <v>ETIQUETADORA</v>
      </c>
      <c r="F428" s="5">
        <f ca="1">IFERROR(__xludf.DUMMYFUNCTION("""COMPUTED_VALUE"""),14083)</f>
        <v>14083</v>
      </c>
      <c r="G428" s="5" t="str">
        <f ca="1">IFERROR(__xludf.DUMMYFUNCTION("""COMPUTED_VALUE"""),"MTTO MEC ETIQUETADORA L1 820071")</f>
        <v>MTTO MEC ETIQUETADORA L1 820071</v>
      </c>
      <c r="H428" s="5">
        <f ca="1">IFERROR(__xludf.DUMMYFUNCTION("""COMPUTED_VALUE"""),13238371)</f>
        <v>13238371</v>
      </c>
      <c r="I428" s="5" t="str">
        <f ca="1">IFERROR(__xludf.DUMMYFUNCTION("""COMPUTED_VALUE"""),"Conjunto encolador/")</f>
        <v>Conjunto encolador/</v>
      </c>
      <c r="J428" s="5" t="str">
        <f ca="1">IFERROR(__xludf.DUMMYFUNCTION("""COMPUTED_VALUE"""),"MEDIO")</f>
        <v>MEDIO</v>
      </c>
      <c r="K428" s="5" t="str">
        <f ca="1">IFERROR(__xludf.DUMMYFUNCTION("""COMPUTED_VALUE"""),"Preventivo")</f>
        <v>Preventivo</v>
      </c>
      <c r="L428" s="5" t="str">
        <f ca="1">IFERROR(__xludf.DUMMYFUNCTION("""COMPUTED_VALUE"""),"Maquinaria")</f>
        <v>Maquinaria</v>
      </c>
      <c r="M428" s="5" t="str">
        <f ca="1">IFERROR(__xludf.DUMMYFUNCTION("""COMPUTED_VALUE"""),"No")</f>
        <v>No</v>
      </c>
      <c r="N428" s="5"/>
      <c r="O428" s="5"/>
      <c r="P428" s="18">
        <f ca="1">IFERROR(__xludf.DUMMYFUNCTION("""COMPUTED_VALUE"""),45334)</f>
        <v>45334</v>
      </c>
      <c r="Q428" s="18">
        <f ca="1">IFERROR(__xludf.DUMMYFUNCTION("""COMPUTED_VALUE"""),45334)</f>
        <v>45334</v>
      </c>
      <c r="R428" s="18"/>
      <c r="S428" s="5">
        <f ca="1">IFERROR(__xludf.DUMMYFUNCTION("""COMPUTED_VALUE"""),3)</f>
        <v>3</v>
      </c>
      <c r="T428" s="5"/>
      <c r="U428" s="5" t="str">
        <f ca="1">IFERROR(__xludf.DUMMYFUNCTION("""COMPUTED_VALUE"""),"Sanchez Rodriguez Gerson Andres")</f>
        <v>Sanchez Rodriguez Gerson Andres</v>
      </c>
      <c r="V428" s="5"/>
      <c r="W428" s="5" t="str">
        <f ca="1">IFERROR(__xludf.DUMMYFUNCTION("""COMPUTED_VALUE"""),"jUT3tk-T_BM")</f>
        <v>jUT3tk-T_BM</v>
      </c>
      <c r="X428" s="5">
        <f ca="1">IFERROR(__xludf.DUMMYFUNCTION("""COMPUTED_VALUE"""),3)</f>
        <v>3</v>
      </c>
      <c r="Y428" s="5" t="str">
        <f t="shared" si="2"/>
        <v>Actividad sin realizar</v>
      </c>
      <c r="Z428" s="3">
        <f ca="1">IFERROR(VLOOKUP(U428, 'Base de datos'!A:B, 2, FALSE), "")</f>
        <v>573112884549</v>
      </c>
      <c r="AA428" s="4" t="e">
        <f t="shared" ca="1" si="3"/>
        <v>#NAME?</v>
      </c>
    </row>
    <row r="429" spans="1:27" ht="15.75" customHeight="1">
      <c r="A429" s="5" t="str">
        <f ca="1">IFERROR(__xludf.DUMMYFUNCTION("""COMPUTED_VALUE"""),"POSTOBÓN YUMBO")</f>
        <v>POSTOBÓN YUMBO</v>
      </c>
      <c r="B429" s="5" t="str">
        <f ca="1">IFERROR(__xludf.DUMMYFUNCTION("""COMPUTED_VALUE"""),"0410-LINEA PET CSD")</f>
        <v>0410-LINEA PET CSD</v>
      </c>
      <c r="C429" s="5" t="str">
        <f ca="1">IFERROR(__xludf.DUMMYFUNCTION("""COMPUTED_VALUE"""),"LINEA PET CSD - LINEA 10")</f>
        <v>LINEA PET CSD - LINEA 10</v>
      </c>
      <c r="D429" s="5">
        <f ca="1">IFERROR(__xludf.DUMMYFUNCTION("""COMPUTED_VALUE"""),519561)</f>
        <v>519561</v>
      </c>
      <c r="E429" s="5" t="str">
        <f ca="1">IFERROR(__xludf.DUMMYFUNCTION("""COMPUTED_VALUE"""),"LLENADORA DE BOTELLAS PET 162 VALVULAS")</f>
        <v>LLENADORA DE BOTELLAS PET 162 VALVULAS</v>
      </c>
      <c r="F429" s="5">
        <f ca="1">IFERROR(__xludf.DUMMYFUNCTION("""COMPUTED_VALUE"""),25366)</f>
        <v>25366</v>
      </c>
      <c r="G429" s="5" t="str">
        <f ca="1">IFERROR(__xludf.DUMMYFUNCTION("""COMPUTED_VALUE"""),"PLAN MTTO LUB Taponadora CSD")</f>
        <v>PLAN MTTO LUB Taponadora CSD</v>
      </c>
      <c r="H429" s="5">
        <f ca="1">IFERROR(__xludf.DUMMYFUNCTION("""COMPUTED_VALUE"""),13232386)</f>
        <v>13232386</v>
      </c>
      <c r="I429" s="5" t="str">
        <f ca="1">IFERROR(__xludf.DUMMYFUNCTION("""COMPUTED_VALUE"""),"Pista de rodadura parte")</f>
        <v>Pista de rodadura parte</v>
      </c>
      <c r="J429" s="5" t="str">
        <f ca="1">IFERROR(__xludf.DUMMYFUNCTION("""COMPUTED_VALUE"""),"ALTO")</f>
        <v>ALTO</v>
      </c>
      <c r="K429" s="5" t="str">
        <f ca="1">IFERROR(__xludf.DUMMYFUNCTION("""COMPUTED_VALUE"""),"Preventivo")</f>
        <v>Preventivo</v>
      </c>
      <c r="L429" s="5" t="str">
        <f ca="1">IFERROR(__xludf.DUMMYFUNCTION("""COMPUTED_VALUE"""),"Maquinaria")</f>
        <v>Maquinaria</v>
      </c>
      <c r="M429" s="5" t="str">
        <f ca="1">IFERROR(__xludf.DUMMYFUNCTION("""COMPUTED_VALUE"""),"No")</f>
        <v>No</v>
      </c>
      <c r="N429" s="5"/>
      <c r="O429" s="5">
        <f ca="1">IFERROR(__xludf.DUMMYFUNCTION("""COMPUTED_VALUE"""),100)</f>
        <v>100</v>
      </c>
      <c r="P429" s="18">
        <f ca="1">IFERROR(__xludf.DUMMYFUNCTION("""COMPUTED_VALUE"""),45328)</f>
        <v>45328</v>
      </c>
      <c r="Q429" s="18">
        <f ca="1">IFERROR(__xludf.DUMMYFUNCTION("""COMPUTED_VALUE"""),45328)</f>
        <v>45328</v>
      </c>
      <c r="R429" s="18"/>
      <c r="S429" s="5">
        <f ca="1">IFERROR(__xludf.DUMMYFUNCTION("""COMPUTED_VALUE"""),3)</f>
        <v>3</v>
      </c>
      <c r="T429" s="5"/>
      <c r="U429" s="5" t="str">
        <f ca="1">IFERROR(__xludf.DUMMYFUNCTION("""COMPUTED_VALUE"""),"Duran Sanchez Nelson Fernando")</f>
        <v>Duran Sanchez Nelson Fernando</v>
      </c>
      <c r="V429" s="5"/>
      <c r="W429" s="5" t="str">
        <f ca="1">IFERROR(__xludf.DUMMYFUNCTION("""COMPUTED_VALUE"""),"cLaNeqkZN5E")</f>
        <v>cLaNeqkZN5E</v>
      </c>
      <c r="X429" s="5">
        <f ca="1">IFERROR(__xludf.DUMMYFUNCTION("""COMPUTED_VALUE"""),3)</f>
        <v>3</v>
      </c>
      <c r="Y429" s="5" t="str">
        <f t="shared" ca="1" si="2"/>
        <v>Actividad realizada</v>
      </c>
      <c r="Z429" s="3">
        <f ca="1">IFERROR(VLOOKUP(U429, 'Base de datos'!A:B, 2, FALSE), "")</f>
        <v>573187183243</v>
      </c>
      <c r="AA429" s="4" t="e">
        <f t="shared" ca="1" si="3"/>
        <v>#NAME?</v>
      </c>
    </row>
    <row r="430" spans="1:27" ht="15.75" customHeight="1">
      <c r="A430" s="5" t="str">
        <f ca="1">IFERROR(__xludf.DUMMYFUNCTION("""COMPUTED_VALUE"""),"POSTOBÓN YUMBO")</f>
        <v>POSTOBÓN YUMBO</v>
      </c>
      <c r="B430" s="5" t="str">
        <f ca="1">IFERROR(__xludf.DUMMYFUNCTION("""COMPUTED_VALUE"""),"0410-LINEA 3")</f>
        <v>0410-LINEA 3</v>
      </c>
      <c r="C430" s="5" t="str">
        <f ca="1">IFERROR(__xludf.DUMMYFUNCTION("""COMPUTED_VALUE"""),"LINEA DE ENVASADO TAMAÑO PERSONAL")</f>
        <v>LINEA DE ENVASADO TAMAÑO PERSONAL</v>
      </c>
      <c r="D430" s="5">
        <f ca="1">IFERROR(__xludf.DUMMYFUNCTION("""COMPUTED_VALUE"""),828592)</f>
        <v>828592</v>
      </c>
      <c r="E430" s="5" t="str">
        <f ca="1">IFERROR(__xludf.DUMMYFUNCTION("""COMPUTED_VALUE"""),"LLENADORA")</f>
        <v>LLENADORA</v>
      </c>
      <c r="F430" s="5">
        <f ca="1">IFERROR(__xludf.DUMMYFUNCTION("""COMPUTED_VALUE"""),5821)</f>
        <v>5821</v>
      </c>
      <c r="G430" s="5" t="str">
        <f ca="1">IFERROR(__xludf.DUMMYFUNCTION("""COMPUTED_VALUE"""),"LUBRICACION SISTEMA LLENADO Y CORONADOLU")</f>
        <v>LUBRICACION SISTEMA LLENADO Y CORONADOLU</v>
      </c>
      <c r="H430" s="5">
        <f ca="1">IFERROR(__xludf.DUMMYFUNCTION("""COMPUTED_VALUE"""),13247124)</f>
        <v>13247124</v>
      </c>
      <c r="I430" s="5" t="str">
        <f ca="1">IFERROR(__xludf.DUMMYFUNCTION("""COMPUTED_VALUE"""),"LUBRICACION LUBRICONTROLES PISTONES")</f>
        <v>LUBRICACION LUBRICONTROLES PISTONES</v>
      </c>
      <c r="J430" s="5" t="str">
        <f ca="1">IFERROR(__xludf.DUMMYFUNCTION("""COMPUTED_VALUE"""),"ALTO")</f>
        <v>ALTO</v>
      </c>
      <c r="K430" s="5" t="str">
        <f ca="1">IFERROR(__xludf.DUMMYFUNCTION("""COMPUTED_VALUE"""),"Preventivo")</f>
        <v>Preventivo</v>
      </c>
      <c r="L430" s="5" t="str">
        <f ca="1">IFERROR(__xludf.DUMMYFUNCTION("""COMPUTED_VALUE"""),"Maquinaria")</f>
        <v>Maquinaria</v>
      </c>
      <c r="M430" s="5" t="str">
        <f ca="1">IFERROR(__xludf.DUMMYFUNCTION("""COMPUTED_VALUE"""),"No")</f>
        <v>No</v>
      </c>
      <c r="N430" s="5"/>
      <c r="O430" s="5"/>
      <c r="P430" s="18">
        <f ca="1">IFERROR(__xludf.DUMMYFUNCTION("""COMPUTED_VALUE"""),45324)</f>
        <v>45324</v>
      </c>
      <c r="Q430" s="18">
        <f ca="1">IFERROR(__xludf.DUMMYFUNCTION("""COMPUTED_VALUE"""),45324)</f>
        <v>45324</v>
      </c>
      <c r="R430" s="18"/>
      <c r="S430" s="5">
        <f ca="1">IFERROR(__xludf.DUMMYFUNCTION("""COMPUTED_VALUE"""),0.5)</f>
        <v>0.5</v>
      </c>
      <c r="T430" s="5"/>
      <c r="U430" s="5" t="str">
        <f ca="1">IFERROR(__xludf.DUMMYFUNCTION("""COMPUTED_VALUE"""),"Jimenez Jhon")</f>
        <v>Jimenez Jhon</v>
      </c>
      <c r="V430" s="5"/>
      <c r="W430" s="5" t="str">
        <f ca="1">IFERROR(__xludf.DUMMYFUNCTION("""COMPUTED_VALUE"""),"ADYLsfxHpes")</f>
        <v>ADYLsfxHpes</v>
      </c>
      <c r="X430" s="5">
        <f ca="1">IFERROR(__xludf.DUMMYFUNCTION("""COMPUTED_VALUE"""),0.5)</f>
        <v>0.5</v>
      </c>
      <c r="Y430" s="5" t="str">
        <f t="shared" si="2"/>
        <v>Actividad sin realizar</v>
      </c>
      <c r="Z430" s="3">
        <f ca="1">IFERROR(VLOOKUP(U430, 'Base de datos'!A:B, 2, FALSE), "")</f>
        <v>573147637946</v>
      </c>
      <c r="AA430" s="4" t="e">
        <f t="shared" ca="1" si="3"/>
        <v>#NAME?</v>
      </c>
    </row>
    <row r="431" spans="1:27" ht="15.75" customHeight="1">
      <c r="A431" s="5" t="str">
        <f ca="1">IFERROR(__xludf.DUMMYFUNCTION("""COMPUTED_VALUE"""),"POSTOBÓN YUMBO")</f>
        <v>POSTOBÓN YUMBO</v>
      </c>
      <c r="B431" s="5" t="str">
        <f ca="1">IFERROR(__xludf.DUMMYFUNCTION("""COMPUTED_VALUE"""),"0410-ENVASADO JUGOS PET HOT F")</f>
        <v>0410-ENVASADO JUGOS PET HOT F</v>
      </c>
      <c r="C431" s="5" t="str">
        <f ca="1">IFERROR(__xludf.DUMMYFUNCTION("""COMPUTED_VALUE"""),"LINEA DE ENVASADO JUGOS PET HOT FILL")</f>
        <v>LINEA DE ENVASADO JUGOS PET HOT FILL</v>
      </c>
      <c r="D431" s="5">
        <f ca="1">IFERROR(__xludf.DUMMYFUNCTION("""COMPUTED_VALUE"""),900305)</f>
        <v>900305</v>
      </c>
      <c r="E431" s="5" t="str">
        <f ca="1">IFERROR(__xludf.DUMMYFUNCTION("""COMPUTED_VALUE"""),"ETIQUETADORA")</f>
        <v>ETIQUETADORA</v>
      </c>
      <c r="F431" s="5">
        <f ca="1">IFERROR(__xludf.DUMMYFUNCTION("""COMPUTED_VALUE"""),14086)</f>
        <v>14086</v>
      </c>
      <c r="G431" s="5" t="str">
        <f ca="1">IFERROR(__xludf.DUMMYFUNCTION("""COMPUTED_VALUE"""),"MTTO LUB ETIQUETADORA L8 900305")</f>
        <v>MTTO LUB ETIQUETADORA L8 900305</v>
      </c>
      <c r="H431" s="5">
        <f ca="1">IFERROR(__xludf.DUMMYFUNCTION("""COMPUTED_VALUE"""),13247141)</f>
        <v>13247141</v>
      </c>
      <c r="I431" s="5" t="str">
        <f ca="1">IFERROR(__xludf.DUMMYFUNCTION("""COMPUTED_VALUE"""),"Boquillas de engrase: lubricar con")</f>
        <v>Boquillas de engrase: lubricar con</v>
      </c>
      <c r="J431" s="5" t="str">
        <f ca="1">IFERROR(__xludf.DUMMYFUNCTION("""COMPUTED_VALUE"""),"MEDIO")</f>
        <v>MEDIO</v>
      </c>
      <c r="K431" s="5" t="str">
        <f ca="1">IFERROR(__xludf.DUMMYFUNCTION("""COMPUTED_VALUE"""),"Preventivo")</f>
        <v>Preventivo</v>
      </c>
      <c r="L431" s="5" t="str">
        <f ca="1">IFERROR(__xludf.DUMMYFUNCTION("""COMPUTED_VALUE"""),"Maquinaria")</f>
        <v>Maquinaria</v>
      </c>
      <c r="M431" s="5" t="str">
        <f ca="1">IFERROR(__xludf.DUMMYFUNCTION("""COMPUTED_VALUE"""),"No")</f>
        <v>No</v>
      </c>
      <c r="N431" s="5"/>
      <c r="O431" s="5"/>
      <c r="P431" s="18">
        <f ca="1">IFERROR(__xludf.DUMMYFUNCTION("""COMPUTED_VALUE"""),45336)</f>
        <v>45336</v>
      </c>
      <c r="Q431" s="18">
        <f ca="1">IFERROR(__xludf.DUMMYFUNCTION("""COMPUTED_VALUE"""),45336)</f>
        <v>45336</v>
      </c>
      <c r="R431" s="18"/>
      <c r="S431" s="5">
        <f ca="1">IFERROR(__xludf.DUMMYFUNCTION("""COMPUTED_VALUE"""),0.5)</f>
        <v>0.5</v>
      </c>
      <c r="T431" s="5"/>
      <c r="U431" s="5" t="str">
        <f ca="1">IFERROR(__xludf.DUMMYFUNCTION("""COMPUTED_VALUE"""),"Bedoya Marin Johan Andres")</f>
        <v>Bedoya Marin Johan Andres</v>
      </c>
      <c r="V431" s="5"/>
      <c r="W431" s="5" t="str">
        <f ca="1">IFERROR(__xludf.DUMMYFUNCTION("""COMPUTED_VALUE"""),"oeerISbjNRo")</f>
        <v>oeerISbjNRo</v>
      </c>
      <c r="X431" s="5">
        <f ca="1">IFERROR(__xludf.DUMMYFUNCTION("""COMPUTED_VALUE"""),0.5)</f>
        <v>0.5</v>
      </c>
      <c r="Y431" s="5" t="str">
        <f t="shared" si="2"/>
        <v>Actividad sin realizar</v>
      </c>
      <c r="Z431" s="3">
        <f ca="1">IFERROR(VLOOKUP(U431, 'Base de datos'!A:B, 2, FALSE), "")</f>
        <v>573147103334</v>
      </c>
      <c r="AA431" s="4" t="e">
        <f t="shared" ca="1" si="3"/>
        <v>#NAME?</v>
      </c>
    </row>
    <row r="432" spans="1:27" ht="15.75" customHeight="1">
      <c r="A432" s="5" t="str">
        <f ca="1">IFERROR(__xludf.DUMMYFUNCTION("""COMPUTED_VALUE"""),"POSTOBÓN YUMBO")</f>
        <v>POSTOBÓN YUMBO</v>
      </c>
      <c r="B432" s="5" t="str">
        <f ca="1">IFERROR(__xludf.DUMMYFUNCTION("""COMPUTED_VALUE"""),"0410-LINEA 3")</f>
        <v>0410-LINEA 3</v>
      </c>
      <c r="C432" s="5" t="str">
        <f ca="1">IFERROR(__xludf.DUMMYFUNCTION("""COMPUTED_VALUE"""),"LINEA DE ENVASADO TAMAÑO PERSONAL")</f>
        <v>LINEA DE ENVASADO TAMAÑO PERSONAL</v>
      </c>
      <c r="D432" s="5">
        <f ca="1">IFERROR(__xludf.DUMMYFUNCTION("""COMPUTED_VALUE"""),828592)</f>
        <v>828592</v>
      </c>
      <c r="E432" s="5" t="str">
        <f ca="1">IFERROR(__xludf.DUMMYFUNCTION("""COMPUTED_VALUE"""),"LLENADORA")</f>
        <v>LLENADORA</v>
      </c>
      <c r="F432" s="5">
        <f ca="1">IFERROR(__xludf.DUMMYFUNCTION("""COMPUTED_VALUE"""),5821)</f>
        <v>5821</v>
      </c>
      <c r="G432" s="5" t="str">
        <f ca="1">IFERROR(__xludf.DUMMYFUNCTION("""COMPUTED_VALUE"""),"LUBRICACION SISTEMA LLENADO Y CORONADOLU")</f>
        <v>LUBRICACION SISTEMA LLENADO Y CORONADOLU</v>
      </c>
      <c r="H432" s="5">
        <f ca="1">IFERROR(__xludf.DUMMYFUNCTION("""COMPUTED_VALUE"""),13247123)</f>
        <v>13247123</v>
      </c>
      <c r="I432" s="5" t="str">
        <f ca="1">IFERROR(__xludf.DUMMYFUNCTION("""COMPUTED_VALUE"""),"LUBRICACION TORNILLO SINFIN")</f>
        <v>LUBRICACION TORNILLO SINFIN</v>
      </c>
      <c r="J432" s="5" t="str">
        <f ca="1">IFERROR(__xludf.DUMMYFUNCTION("""COMPUTED_VALUE"""),"ALTO")</f>
        <v>ALTO</v>
      </c>
      <c r="K432" s="5" t="str">
        <f ca="1">IFERROR(__xludf.DUMMYFUNCTION("""COMPUTED_VALUE"""),"Preventivo")</f>
        <v>Preventivo</v>
      </c>
      <c r="L432" s="5" t="str">
        <f ca="1">IFERROR(__xludf.DUMMYFUNCTION("""COMPUTED_VALUE"""),"Maquinaria")</f>
        <v>Maquinaria</v>
      </c>
      <c r="M432" s="5" t="str">
        <f ca="1">IFERROR(__xludf.DUMMYFUNCTION("""COMPUTED_VALUE"""),"No")</f>
        <v>No</v>
      </c>
      <c r="N432" s="5"/>
      <c r="O432" s="5"/>
      <c r="P432" s="18">
        <f ca="1">IFERROR(__xludf.DUMMYFUNCTION("""COMPUTED_VALUE"""),45324)</f>
        <v>45324</v>
      </c>
      <c r="Q432" s="18">
        <f ca="1">IFERROR(__xludf.DUMMYFUNCTION("""COMPUTED_VALUE"""),45324)</f>
        <v>45324</v>
      </c>
      <c r="R432" s="18"/>
      <c r="S432" s="5">
        <f ca="1">IFERROR(__xludf.DUMMYFUNCTION("""COMPUTED_VALUE"""),0.5)</f>
        <v>0.5</v>
      </c>
      <c r="T432" s="5"/>
      <c r="U432" s="5" t="str">
        <f ca="1">IFERROR(__xludf.DUMMYFUNCTION("""COMPUTED_VALUE"""),"Jimenez Jhon")</f>
        <v>Jimenez Jhon</v>
      </c>
      <c r="V432" s="5"/>
      <c r="W432" s="5" t="str">
        <f ca="1">IFERROR(__xludf.DUMMYFUNCTION("""COMPUTED_VALUE"""),"7d7ojFP8O2g")</f>
        <v>7d7ojFP8O2g</v>
      </c>
      <c r="X432" s="5">
        <f ca="1">IFERROR(__xludf.DUMMYFUNCTION("""COMPUTED_VALUE"""),0.5)</f>
        <v>0.5</v>
      </c>
      <c r="Y432" s="5" t="str">
        <f t="shared" si="2"/>
        <v>Actividad sin realizar</v>
      </c>
      <c r="Z432" s="3">
        <f ca="1">IFERROR(VLOOKUP(U432, 'Base de datos'!A:B, 2, FALSE), "")</f>
        <v>573147637946</v>
      </c>
      <c r="AA432" s="4" t="e">
        <f t="shared" ca="1" si="3"/>
        <v>#NAME?</v>
      </c>
    </row>
    <row r="433" spans="1:27" ht="15.75" customHeight="1">
      <c r="A433" s="5" t="str">
        <f ca="1">IFERROR(__xludf.DUMMYFUNCTION("""COMPUTED_VALUE"""),"POSTOBÓN YUMBO")</f>
        <v>POSTOBÓN YUMBO</v>
      </c>
      <c r="B433" s="5" t="str">
        <f ca="1">IFERROR(__xludf.DUMMYFUNCTION("""COMPUTED_VALUE"""),"0410-LINEA PET CSD")</f>
        <v>0410-LINEA PET CSD</v>
      </c>
      <c r="C433" s="5" t="str">
        <f ca="1">IFERROR(__xludf.DUMMYFUNCTION("""COMPUTED_VALUE"""),"LINEA PET CSD - LINEA 10")</f>
        <v>LINEA PET CSD - LINEA 10</v>
      </c>
      <c r="D433" s="5">
        <f ca="1">IFERROR(__xludf.DUMMYFUNCTION("""COMPUTED_VALUE"""),519561)</f>
        <v>519561</v>
      </c>
      <c r="E433" s="5" t="str">
        <f ca="1">IFERROR(__xludf.DUMMYFUNCTION("""COMPUTED_VALUE"""),"LLENADORA DE BOTELLAS PET 162 VALVULAS")</f>
        <v>LLENADORA DE BOTELLAS PET 162 VALVULAS</v>
      </c>
      <c r="F433" s="5">
        <f ca="1">IFERROR(__xludf.DUMMYFUNCTION("""COMPUTED_VALUE"""),25366)</f>
        <v>25366</v>
      </c>
      <c r="G433" s="5" t="str">
        <f ca="1">IFERROR(__xludf.DUMMYFUNCTION("""COMPUTED_VALUE"""),"PLAN MTTO MEC LLENADORA CSD")</f>
        <v>PLAN MTTO MEC LLENADORA CSD</v>
      </c>
      <c r="H433" s="5">
        <f ca="1">IFERROR(__xludf.DUMMYFUNCTION("""COMPUTED_VALUE"""),13232382)</f>
        <v>13232382</v>
      </c>
      <c r="I433" s="5" t="str">
        <f ca="1">IFERROR(__xludf.DUMMYFUNCTION("""COMPUTED_VALUE"""),"Pinzas de sujeción cuello")</f>
        <v>Pinzas de sujeción cuello</v>
      </c>
      <c r="J433" s="5" t="str">
        <f ca="1">IFERROR(__xludf.DUMMYFUNCTION("""COMPUTED_VALUE"""),"ALTO")</f>
        <v>ALTO</v>
      </c>
      <c r="K433" s="5" t="str">
        <f ca="1">IFERROR(__xludf.DUMMYFUNCTION("""COMPUTED_VALUE"""),"Preventivo")</f>
        <v>Preventivo</v>
      </c>
      <c r="L433" s="5" t="str">
        <f ca="1">IFERROR(__xludf.DUMMYFUNCTION("""COMPUTED_VALUE"""),"Maquinaria")</f>
        <v>Maquinaria</v>
      </c>
      <c r="M433" s="5" t="str">
        <f ca="1">IFERROR(__xludf.DUMMYFUNCTION("""COMPUTED_VALUE"""),"No")</f>
        <v>No</v>
      </c>
      <c r="N433" s="5"/>
      <c r="O433" s="5">
        <f ca="1">IFERROR(__xludf.DUMMYFUNCTION("""COMPUTED_VALUE"""),100)</f>
        <v>100</v>
      </c>
      <c r="P433" s="18">
        <f ca="1">IFERROR(__xludf.DUMMYFUNCTION("""COMPUTED_VALUE"""),45327)</f>
        <v>45327</v>
      </c>
      <c r="Q433" s="18">
        <f ca="1">IFERROR(__xludf.DUMMYFUNCTION("""COMPUTED_VALUE"""),45327)</f>
        <v>45327</v>
      </c>
      <c r="R433" s="18"/>
      <c r="S433" s="5">
        <f ca="1">IFERROR(__xludf.DUMMYFUNCTION("""COMPUTED_VALUE"""),4)</f>
        <v>4</v>
      </c>
      <c r="T433" s="5"/>
      <c r="U433" s="5" t="str">
        <f ca="1">IFERROR(__xludf.DUMMYFUNCTION("""COMPUTED_VALUE"""),"Duran Sanchez Nelson Fernando")</f>
        <v>Duran Sanchez Nelson Fernando</v>
      </c>
      <c r="V433" s="5"/>
      <c r="W433" s="5" t="str">
        <f ca="1">IFERROR(__xludf.DUMMYFUNCTION("""COMPUTED_VALUE"""),"U1W0WmDGsZA")</f>
        <v>U1W0WmDGsZA</v>
      </c>
      <c r="X433" s="5">
        <f ca="1">IFERROR(__xludf.DUMMYFUNCTION("""COMPUTED_VALUE"""),4)</f>
        <v>4</v>
      </c>
      <c r="Y433" s="5" t="str">
        <f t="shared" ca="1" si="2"/>
        <v>Actividad realizada</v>
      </c>
      <c r="Z433" s="3">
        <f ca="1">IFERROR(VLOOKUP(U433, 'Base de datos'!A:B, 2, FALSE), "")</f>
        <v>573187183243</v>
      </c>
      <c r="AA433" s="4" t="e">
        <f t="shared" ca="1" si="3"/>
        <v>#NAME?</v>
      </c>
    </row>
    <row r="434" spans="1:27" ht="15.75" customHeight="1">
      <c r="A434" s="5" t="str">
        <f ca="1">IFERROR(__xludf.DUMMYFUNCTION("""COMPUTED_VALUE"""),"POSTOBÓN YUMBO")</f>
        <v>POSTOBÓN YUMBO</v>
      </c>
      <c r="B434" s="5" t="str">
        <f ca="1">IFERROR(__xludf.DUMMYFUNCTION("""COMPUTED_VALUE"""),"0410-PLANTA DE AGUA ENVASADO")</f>
        <v>0410-PLANTA DE AGUA ENVASADO</v>
      </c>
      <c r="C434" s="5" t="str">
        <f ca="1">IFERROR(__xludf.DUMMYFUNCTION("""COMPUTED_VALUE"""),"TRATAMIENTO DE AGUA PARA ENVASADO")</f>
        <v>TRATAMIENTO DE AGUA PARA ENVASADO</v>
      </c>
      <c r="D434" s="5">
        <f ca="1">IFERROR(__xludf.DUMMYFUNCTION("""COMPUTED_VALUE"""),70948925)</f>
        <v>70948925</v>
      </c>
      <c r="E434" s="5" t="str">
        <f ca="1">IFERROR(__xludf.DUMMYFUNCTION("""COMPUTED_VALUE"""),"UNIDAD OSMOSIS 2")</f>
        <v>UNIDAD OSMOSIS 2</v>
      </c>
      <c r="F434" s="5">
        <f ca="1">IFERROR(__xludf.DUMMYFUNCTION("""COMPUTED_VALUE"""),21765)</f>
        <v>21765</v>
      </c>
      <c r="G434" s="5" t="str">
        <f ca="1">IFERROR(__xludf.DUMMYFUNCTION("""COMPUTED_VALUE"""),"PLAN MTTO ELE UNIDAD OSMOSIS 2")</f>
        <v>PLAN MTTO ELE UNIDAD OSMOSIS 2</v>
      </c>
      <c r="H434" s="5">
        <f ca="1">IFERROR(__xludf.DUMMYFUNCTION("""COMPUTED_VALUE"""),13174139)</f>
        <v>13174139</v>
      </c>
      <c r="I434" s="5" t="str">
        <f ca="1">IFERROR(__xludf.DUMMYFUNCTION("""COMPUTED_VALUE"""),"TABLERO DE CONTROL OSMOSIS: REVISAR,")</f>
        <v>TABLERO DE CONTROL OSMOSIS: REVISAR,</v>
      </c>
      <c r="J434" s="5" t="str">
        <f ca="1">IFERROR(__xludf.DUMMYFUNCTION("""COMPUTED_VALUE"""),"ALTO")</f>
        <v>ALTO</v>
      </c>
      <c r="K434" s="5" t="str">
        <f ca="1">IFERROR(__xludf.DUMMYFUNCTION("""COMPUTED_VALUE"""),"Preventivo")</f>
        <v>Preventivo</v>
      </c>
      <c r="L434" s="5" t="str">
        <f ca="1">IFERROR(__xludf.DUMMYFUNCTION("""COMPUTED_VALUE"""),"Maquinaria")</f>
        <v>Maquinaria</v>
      </c>
      <c r="M434" s="5" t="str">
        <f ca="1">IFERROR(__xludf.DUMMYFUNCTION("""COMPUTED_VALUE"""),"No")</f>
        <v>No</v>
      </c>
      <c r="N434" s="5"/>
      <c r="O434" s="5"/>
      <c r="P434" s="18">
        <f ca="1">IFERROR(__xludf.DUMMYFUNCTION("""COMPUTED_VALUE"""),45323)</f>
        <v>45323</v>
      </c>
      <c r="Q434" s="18">
        <f ca="1">IFERROR(__xludf.DUMMYFUNCTION("""COMPUTED_VALUE"""),45323)</f>
        <v>45323</v>
      </c>
      <c r="R434" s="18"/>
      <c r="S434" s="5">
        <f ca="1">IFERROR(__xludf.DUMMYFUNCTION("""COMPUTED_VALUE"""),1)</f>
        <v>1</v>
      </c>
      <c r="T434" s="5"/>
      <c r="U434" s="5" t="str">
        <f ca="1">IFERROR(__xludf.DUMMYFUNCTION("""COMPUTED_VALUE"""),"JEFFERSON BRAVO PIEDRAHITA")</f>
        <v>JEFFERSON BRAVO PIEDRAHITA</v>
      </c>
      <c r="V434" s="5"/>
      <c r="W434" s="5" t="str">
        <f ca="1">IFERROR(__xludf.DUMMYFUNCTION("""COMPUTED_VALUE"""),"gOwymnBtLf4")</f>
        <v>gOwymnBtLf4</v>
      </c>
      <c r="X434" s="5">
        <f ca="1">IFERROR(__xludf.DUMMYFUNCTION("""COMPUTED_VALUE"""),1)</f>
        <v>1</v>
      </c>
      <c r="Y434" s="5" t="str">
        <f t="shared" si="2"/>
        <v>Actividad sin realizar</v>
      </c>
      <c r="Z434" s="3">
        <f ca="1">IFERROR(VLOOKUP(U434, 'Base de datos'!A:B, 2, FALSE), "")</f>
        <v>573043623277</v>
      </c>
      <c r="AA434" s="4" t="e">
        <f t="shared" ca="1" si="3"/>
        <v>#NAME?</v>
      </c>
    </row>
    <row r="435" spans="1:27" ht="15.75" customHeight="1">
      <c r="A435" s="5" t="str">
        <f ca="1">IFERROR(__xludf.DUMMYFUNCTION("""COMPUTED_VALUE"""),"POSTOBÓN YUMBO")</f>
        <v>POSTOBÓN YUMBO</v>
      </c>
      <c r="B435" s="5" t="str">
        <f ca="1">IFERROR(__xludf.DUMMYFUNCTION("""COMPUTED_VALUE"""),"0410-ENVASADO JUGOS PET HOT F")</f>
        <v>0410-ENVASADO JUGOS PET HOT F</v>
      </c>
      <c r="C435" s="5" t="str">
        <f ca="1">IFERROR(__xludf.DUMMYFUNCTION("""COMPUTED_VALUE"""),"LINEA DE ENVASADO JUGOS PET HOT FILL")</f>
        <v>LINEA DE ENVASADO JUGOS PET HOT FILL</v>
      </c>
      <c r="D435" s="5">
        <f ca="1">IFERROR(__xludf.DUMMYFUNCTION("""COMPUTED_VALUE"""),900305)</f>
        <v>900305</v>
      </c>
      <c r="E435" s="5" t="str">
        <f ca="1">IFERROR(__xludf.DUMMYFUNCTION("""COMPUTED_VALUE"""),"ETIQUETADORA")</f>
        <v>ETIQUETADORA</v>
      </c>
      <c r="F435" s="5">
        <f ca="1">IFERROR(__xludf.DUMMYFUNCTION("""COMPUTED_VALUE"""),0)</f>
        <v>0</v>
      </c>
      <c r="G435" s="5" t="str">
        <f ca="1">IFERROR(__xludf.DUMMYFUNCTION("""COMPUTED_VALUE"""),"CONSUMO LUB ETIQUETADORA L8")</f>
        <v>CONSUMO LUB ETIQUETADORA L8</v>
      </c>
      <c r="H435" s="5">
        <f ca="1">IFERROR(__xludf.DUMMYFUNCTION("""COMPUTED_VALUE"""),13230959)</f>
        <v>13230959</v>
      </c>
      <c r="I435" s="5" t="str">
        <f ca="1">IFERROR(__xludf.DUMMYFUNCTION("""COMPUTED_VALUE"""),"CONSUMO LUB ETIQUETADORA L8")</f>
        <v>CONSUMO LUB ETIQUETADORA L8</v>
      </c>
      <c r="J435" s="5" t="str">
        <f ca="1">IFERROR(__xludf.DUMMYFUNCTION("""COMPUTED_VALUE"""),"MEDIO")</f>
        <v>MEDIO</v>
      </c>
      <c r="K435" s="5" t="str">
        <f ca="1">IFERROR(__xludf.DUMMYFUNCTION("""COMPUTED_VALUE"""),"Preventivo")</f>
        <v>Preventivo</v>
      </c>
      <c r="L435" s="5" t="str">
        <f ca="1">IFERROR(__xludf.DUMMYFUNCTION("""COMPUTED_VALUE"""),"Maquinaria")</f>
        <v>Maquinaria</v>
      </c>
      <c r="M435" s="5" t="str">
        <f ca="1">IFERROR(__xludf.DUMMYFUNCTION("""COMPUTED_VALUE"""),"No")</f>
        <v>No</v>
      </c>
      <c r="N435" s="5"/>
      <c r="O435" s="5"/>
      <c r="P435" s="18">
        <f ca="1">IFERROR(__xludf.DUMMYFUNCTION("""COMPUTED_VALUE"""),45325)</f>
        <v>45325</v>
      </c>
      <c r="Q435" s="18">
        <f ca="1">IFERROR(__xludf.DUMMYFUNCTION("""COMPUTED_VALUE"""),45325)</f>
        <v>45325</v>
      </c>
      <c r="R435" s="18"/>
      <c r="S435" s="5">
        <f ca="1">IFERROR(__xludf.DUMMYFUNCTION("""COMPUTED_VALUE"""),1)</f>
        <v>1</v>
      </c>
      <c r="T435" s="5"/>
      <c r="U435" s="5" t="str">
        <f ca="1">IFERROR(__xludf.DUMMYFUNCTION("""COMPUTED_VALUE"""),"Bedoya Marin Johan Andres")</f>
        <v>Bedoya Marin Johan Andres</v>
      </c>
      <c r="V435" s="5"/>
      <c r="W435" s="5" t="str">
        <f ca="1">IFERROR(__xludf.DUMMYFUNCTION("""COMPUTED_VALUE"""),"oY-ffdt_S6w")</f>
        <v>oY-ffdt_S6w</v>
      </c>
      <c r="X435" s="5">
        <f ca="1">IFERROR(__xludf.DUMMYFUNCTION("""COMPUTED_VALUE"""),1)</f>
        <v>1</v>
      </c>
      <c r="Y435" s="5" t="str">
        <f t="shared" si="2"/>
        <v>Actividad sin realizar</v>
      </c>
      <c r="Z435" s="3">
        <f ca="1">IFERROR(VLOOKUP(U435, 'Base de datos'!A:B, 2, FALSE), "")</f>
        <v>573147103334</v>
      </c>
      <c r="AA435" s="4" t="e">
        <f t="shared" ca="1" si="3"/>
        <v>#NAME?</v>
      </c>
    </row>
    <row r="436" spans="1:27" ht="15.75" customHeight="1">
      <c r="A436" s="5" t="str">
        <f ca="1">IFERROR(__xludf.DUMMYFUNCTION("""COMPUTED_VALUE"""),"POSTOBÓN YUMBO")</f>
        <v>POSTOBÓN YUMBO</v>
      </c>
      <c r="B436" s="5" t="str">
        <f ca="1">IFERROR(__xludf.DUMMYFUNCTION("""COMPUTED_VALUE"""),"0410-ENVASADO JUGOS PET HOT F")</f>
        <v>0410-ENVASADO JUGOS PET HOT F</v>
      </c>
      <c r="C436" s="5" t="str">
        <f ca="1">IFERROR(__xludf.DUMMYFUNCTION("""COMPUTED_VALUE"""),"LINEA DE ENVASADO JUGOS PET HOT FILL")</f>
        <v>LINEA DE ENVASADO JUGOS PET HOT FILL</v>
      </c>
      <c r="D436" s="5">
        <f ca="1">IFERROR(__xludf.DUMMYFUNCTION("""COMPUTED_VALUE"""),900305)</f>
        <v>900305</v>
      </c>
      <c r="E436" s="5" t="str">
        <f ca="1">IFERROR(__xludf.DUMMYFUNCTION("""COMPUTED_VALUE"""),"ETIQUETADORA")</f>
        <v>ETIQUETADORA</v>
      </c>
      <c r="F436" s="5">
        <f ca="1">IFERROR(__xludf.DUMMYFUNCTION("""COMPUTED_VALUE"""),14086)</f>
        <v>14086</v>
      </c>
      <c r="G436" s="5" t="str">
        <f ca="1">IFERROR(__xludf.DUMMYFUNCTION("""COMPUTED_VALUE"""),"MTTO LUB ETIQUETADORA L8 900305")</f>
        <v>MTTO LUB ETIQUETADORA L8 900305</v>
      </c>
      <c r="H436" s="5">
        <f ca="1">IFERROR(__xludf.DUMMYFUNCTION("""COMPUTED_VALUE"""),13247141)</f>
        <v>13247141</v>
      </c>
      <c r="I436" s="5" t="str">
        <f ca="1">IFERROR(__xludf.DUMMYFUNCTION("""COMPUTED_VALUE"""),"Sistema de lubricaci¢n")</f>
        <v>Sistema de lubricaci¢n</v>
      </c>
      <c r="J436" s="5" t="str">
        <f ca="1">IFERROR(__xludf.DUMMYFUNCTION("""COMPUTED_VALUE"""),"MEDIO")</f>
        <v>MEDIO</v>
      </c>
      <c r="K436" s="5" t="str">
        <f ca="1">IFERROR(__xludf.DUMMYFUNCTION("""COMPUTED_VALUE"""),"Preventivo")</f>
        <v>Preventivo</v>
      </c>
      <c r="L436" s="5" t="str">
        <f ca="1">IFERROR(__xludf.DUMMYFUNCTION("""COMPUTED_VALUE"""),"Maquinaria")</f>
        <v>Maquinaria</v>
      </c>
      <c r="M436" s="5" t="str">
        <f ca="1">IFERROR(__xludf.DUMMYFUNCTION("""COMPUTED_VALUE"""),"No")</f>
        <v>No</v>
      </c>
      <c r="N436" s="5"/>
      <c r="O436" s="5"/>
      <c r="P436" s="18">
        <f ca="1">IFERROR(__xludf.DUMMYFUNCTION("""COMPUTED_VALUE"""),45336)</f>
        <v>45336</v>
      </c>
      <c r="Q436" s="18">
        <f ca="1">IFERROR(__xludf.DUMMYFUNCTION("""COMPUTED_VALUE"""),45336)</f>
        <v>45336</v>
      </c>
      <c r="R436" s="18"/>
      <c r="S436" s="5">
        <f ca="1">IFERROR(__xludf.DUMMYFUNCTION("""COMPUTED_VALUE"""),0.5)</f>
        <v>0.5</v>
      </c>
      <c r="T436" s="5"/>
      <c r="U436" s="5" t="str">
        <f ca="1">IFERROR(__xludf.DUMMYFUNCTION("""COMPUTED_VALUE"""),"Bedoya Marin Johan Andres")</f>
        <v>Bedoya Marin Johan Andres</v>
      </c>
      <c r="V436" s="5"/>
      <c r="W436" s="5" t="str">
        <f ca="1">IFERROR(__xludf.DUMMYFUNCTION("""COMPUTED_VALUE"""),"IaiiX8s0Lgk")</f>
        <v>IaiiX8s0Lgk</v>
      </c>
      <c r="X436" s="5">
        <f ca="1">IFERROR(__xludf.DUMMYFUNCTION("""COMPUTED_VALUE"""),0.5)</f>
        <v>0.5</v>
      </c>
      <c r="Y436" s="5" t="str">
        <f t="shared" si="2"/>
        <v>Actividad sin realizar</v>
      </c>
      <c r="Z436" s="3">
        <f ca="1">IFERROR(VLOOKUP(U436, 'Base de datos'!A:B, 2, FALSE), "")</f>
        <v>573147103334</v>
      </c>
      <c r="AA436" s="4" t="e">
        <f t="shared" ca="1" si="3"/>
        <v>#NAME?</v>
      </c>
    </row>
    <row r="437" spans="1:27" ht="15.75" customHeight="1">
      <c r="A437" s="5" t="str">
        <f ca="1">IFERROR(__xludf.DUMMYFUNCTION("""COMPUTED_VALUE"""),"POSTOBÓN YUMBO")</f>
        <v>POSTOBÓN YUMBO</v>
      </c>
      <c r="B437" s="5" t="str">
        <f ca="1">IFERROR(__xludf.DUMMYFUNCTION("""COMPUTED_VALUE"""),"0410-LINEA 3")</f>
        <v>0410-LINEA 3</v>
      </c>
      <c r="C437" s="5" t="str">
        <f ca="1">IFERROR(__xludf.DUMMYFUNCTION("""COMPUTED_VALUE"""),"LINEA DE ENVASADO TAMAÑO PERSONAL")</f>
        <v>LINEA DE ENVASADO TAMAÑO PERSONAL</v>
      </c>
      <c r="D437" s="5">
        <f ca="1">IFERROR(__xludf.DUMMYFUNCTION("""COMPUTED_VALUE"""),828592)</f>
        <v>828592</v>
      </c>
      <c r="E437" s="5" t="str">
        <f ca="1">IFERROR(__xludf.DUMMYFUNCTION("""COMPUTED_VALUE"""),"LLENADORA")</f>
        <v>LLENADORA</v>
      </c>
      <c r="F437" s="5">
        <f ca="1">IFERROR(__xludf.DUMMYFUNCTION("""COMPUTED_VALUE"""),5821)</f>
        <v>5821</v>
      </c>
      <c r="G437" s="5" t="str">
        <f ca="1">IFERROR(__xludf.DUMMYFUNCTION("""COMPUTED_VALUE"""),"Mantto Mec sist manejo de botella Llenad")</f>
        <v>Mantto Mec sist manejo de botella Llenad</v>
      </c>
      <c r="H437" s="5">
        <f ca="1">IFERROR(__xludf.DUMMYFUNCTION("""COMPUTED_VALUE"""),13247115)</f>
        <v>13247115</v>
      </c>
      <c r="I437" s="5" t="str">
        <f ca="1">IFERROR(__xludf.DUMMYFUNCTION("""COMPUTED_VALUE"""),"revision tornillo sinf¡n.")</f>
        <v>revision tornillo sinf¡n.</v>
      </c>
      <c r="J437" s="5" t="str">
        <f ca="1">IFERROR(__xludf.DUMMYFUNCTION("""COMPUTED_VALUE"""),"ALTO")</f>
        <v>ALTO</v>
      </c>
      <c r="K437" s="5" t="str">
        <f ca="1">IFERROR(__xludf.DUMMYFUNCTION("""COMPUTED_VALUE"""),"Preventivo")</f>
        <v>Preventivo</v>
      </c>
      <c r="L437" s="5" t="str">
        <f ca="1">IFERROR(__xludf.DUMMYFUNCTION("""COMPUTED_VALUE"""),"Maquinaria")</f>
        <v>Maquinaria</v>
      </c>
      <c r="M437" s="5" t="str">
        <f ca="1">IFERROR(__xludf.DUMMYFUNCTION("""COMPUTED_VALUE"""),"No")</f>
        <v>No</v>
      </c>
      <c r="N437" s="5"/>
      <c r="O437" s="5"/>
      <c r="P437" s="18">
        <f ca="1">IFERROR(__xludf.DUMMYFUNCTION("""COMPUTED_VALUE"""),45324)</f>
        <v>45324</v>
      </c>
      <c r="Q437" s="18">
        <f ca="1">IFERROR(__xludf.DUMMYFUNCTION("""COMPUTED_VALUE"""),45324)</f>
        <v>45324</v>
      </c>
      <c r="R437" s="18"/>
      <c r="S437" s="5">
        <f ca="1">IFERROR(__xludf.DUMMYFUNCTION("""COMPUTED_VALUE"""),1)</f>
        <v>1</v>
      </c>
      <c r="T437" s="5"/>
      <c r="U437" s="5" t="str">
        <f ca="1">IFERROR(__xludf.DUMMYFUNCTION("""COMPUTED_VALUE"""),"Jimenez Jhon")</f>
        <v>Jimenez Jhon</v>
      </c>
      <c r="V437" s="5"/>
      <c r="W437" s="5" t="str">
        <f ca="1">IFERROR(__xludf.DUMMYFUNCTION("""COMPUTED_VALUE"""),"kwwFJJ8Q0Qs")</f>
        <v>kwwFJJ8Q0Qs</v>
      </c>
      <c r="X437" s="5">
        <f ca="1">IFERROR(__xludf.DUMMYFUNCTION("""COMPUTED_VALUE"""),1)</f>
        <v>1</v>
      </c>
      <c r="Y437" s="5" t="str">
        <f t="shared" si="2"/>
        <v>Actividad sin realizar</v>
      </c>
      <c r="Z437" s="3">
        <f ca="1">IFERROR(VLOOKUP(U437, 'Base de datos'!A:B, 2, FALSE), "")</f>
        <v>573147637946</v>
      </c>
      <c r="AA437" s="4" t="e">
        <f t="shared" ca="1" si="3"/>
        <v>#NAME?</v>
      </c>
    </row>
    <row r="438" spans="1:27" ht="15.75" customHeight="1">
      <c r="A438" s="5" t="str">
        <f ca="1">IFERROR(__xludf.DUMMYFUNCTION("""COMPUTED_VALUE"""),"POSTOBÓN YUMBO")</f>
        <v>POSTOBÓN YUMBO</v>
      </c>
      <c r="B438" s="5" t="str">
        <f ca="1">IFERROR(__xludf.DUMMYFUNCTION("""COMPUTED_VALUE"""),"0410-SALA DE JARABE TERMINADO")</f>
        <v>0410-SALA DE JARABE TERMINADO</v>
      </c>
      <c r="C438" s="5" t="str">
        <f ca="1">IFERROR(__xludf.DUMMYFUNCTION("""COMPUTED_VALUE"""),"EQUIPOS PARA PREPARACION DE JARABE")</f>
        <v>EQUIPOS PARA PREPARACION DE JARABE</v>
      </c>
      <c r="D438" s="5">
        <f ca="1">IFERROR(__xludf.DUMMYFUNCTION("""COMPUTED_VALUE"""),69963415)</f>
        <v>69963415</v>
      </c>
      <c r="E438" s="5" t="str">
        <f ca="1">IFERROR(__xludf.DUMMYFUNCTION("""COMPUTED_VALUE"""),"TANQUE ALMAC.JARABE SIMPLE")</f>
        <v>TANQUE ALMAC.JARABE SIMPLE</v>
      </c>
      <c r="F438" s="5">
        <f ca="1">IFERROR(__xludf.DUMMYFUNCTION("""COMPUTED_VALUE"""),17361)</f>
        <v>17361</v>
      </c>
      <c r="G438" s="5" t="str">
        <f ca="1">IFERROR(__xludf.DUMMYFUNCTION("""COMPUTED_VALUE"""),"MTTO ELE TK JARABE SIMPL JARABE TERMIN")</f>
        <v>MTTO ELE TK JARABE SIMPL JARABE TERMIN</v>
      </c>
      <c r="H438" s="5">
        <f ca="1">IFERROR(__xludf.DUMMYFUNCTION("""COMPUTED_VALUE"""),13247149)</f>
        <v>13247149</v>
      </c>
      <c r="I438" s="5" t="str">
        <f ca="1">IFERROR(__xludf.DUMMYFUNCTION("""COMPUTED_VALUE"""),"Revisar funcionamiento valvulas thinktop")</f>
        <v>Revisar funcionamiento valvulas thinktop</v>
      </c>
      <c r="J438" s="5" t="str">
        <f ca="1">IFERROR(__xludf.DUMMYFUNCTION("""COMPUTED_VALUE"""),"ALTO")</f>
        <v>ALTO</v>
      </c>
      <c r="K438" s="5" t="str">
        <f ca="1">IFERROR(__xludf.DUMMYFUNCTION("""COMPUTED_VALUE"""),"Preventivo")</f>
        <v>Preventivo</v>
      </c>
      <c r="L438" s="5" t="str">
        <f ca="1">IFERROR(__xludf.DUMMYFUNCTION("""COMPUTED_VALUE"""),"Maquinaria")</f>
        <v>Maquinaria</v>
      </c>
      <c r="M438" s="5" t="str">
        <f ca="1">IFERROR(__xludf.DUMMYFUNCTION("""COMPUTED_VALUE"""),"No")</f>
        <v>No</v>
      </c>
      <c r="N438" s="5"/>
      <c r="O438" s="5">
        <f ca="1">IFERROR(__xludf.DUMMYFUNCTION("""COMPUTED_VALUE"""),100)</f>
        <v>100</v>
      </c>
      <c r="P438" s="18">
        <f ca="1">IFERROR(__xludf.DUMMYFUNCTION("""COMPUTED_VALUE"""),45343)</f>
        <v>45343</v>
      </c>
      <c r="Q438" s="18">
        <f ca="1">IFERROR(__xludf.DUMMYFUNCTION("""COMPUTED_VALUE"""),45343)</f>
        <v>45343</v>
      </c>
      <c r="R438" s="18"/>
      <c r="S438" s="5">
        <f ca="1">IFERROR(__xludf.DUMMYFUNCTION("""COMPUTED_VALUE"""),1)</f>
        <v>1</v>
      </c>
      <c r="T438" s="5"/>
      <c r="U438" s="5" t="str">
        <f ca="1">IFERROR(__xludf.DUMMYFUNCTION("""COMPUTED_VALUE"""),"Rivas Mena Carlos Danny")</f>
        <v>Rivas Mena Carlos Danny</v>
      </c>
      <c r="V438" s="5"/>
      <c r="W438" s="5" t="str">
        <f ca="1">IFERROR(__xludf.DUMMYFUNCTION("""COMPUTED_VALUE"""),"CdjGV-1bxSk")</f>
        <v>CdjGV-1bxSk</v>
      </c>
      <c r="X438" s="5">
        <f ca="1">IFERROR(__xludf.DUMMYFUNCTION("""COMPUTED_VALUE"""),1)</f>
        <v>1</v>
      </c>
      <c r="Y438" s="5" t="str">
        <f t="shared" ca="1" si="2"/>
        <v>Actividad realizada</v>
      </c>
      <c r="Z438" s="3">
        <f ca="1">IFERROR(VLOOKUP(U438, 'Base de datos'!A:B, 2, FALSE), "")</f>
        <v>0</v>
      </c>
      <c r="AA438" s="4" t="e">
        <f t="shared" ca="1" si="3"/>
        <v>#NAME?</v>
      </c>
    </row>
    <row r="439" spans="1:27" ht="15.75" customHeight="1">
      <c r="A439" s="5" t="str">
        <f ca="1">IFERROR(__xludf.DUMMYFUNCTION("""COMPUTED_VALUE"""),"POSTOBÓN YUMBO")</f>
        <v>POSTOBÓN YUMBO</v>
      </c>
      <c r="B439" s="5" t="str">
        <f ca="1">IFERROR(__xludf.DUMMYFUNCTION("""COMPUTED_VALUE"""),"0410-SALA DE JARABE TERMINADO")</f>
        <v>0410-SALA DE JARABE TERMINADO</v>
      </c>
      <c r="C439" s="5" t="str">
        <f ca="1">IFERROR(__xludf.DUMMYFUNCTION("""COMPUTED_VALUE"""),"EQUIPOS PARA PREPARACION DE JARABE")</f>
        <v>EQUIPOS PARA PREPARACION DE JARABE</v>
      </c>
      <c r="D439" s="5">
        <f ca="1">IFERROR(__xludf.DUMMYFUNCTION("""COMPUTED_VALUE"""),69963407)</f>
        <v>69963407</v>
      </c>
      <c r="E439" s="5" t="str">
        <f ca="1">IFERROR(__xludf.DUMMYFUNCTION("""COMPUTED_VALUE"""),"TANQUE DE JARABE")</f>
        <v>TANQUE DE JARABE</v>
      </c>
      <c r="F439" s="5">
        <f ca="1">IFERROR(__xludf.DUMMYFUNCTION("""COMPUTED_VALUE"""),17361)</f>
        <v>17361</v>
      </c>
      <c r="G439" s="5" t="str">
        <f ca="1">IFERROR(__xludf.DUMMYFUNCTION("""COMPUTED_VALUE"""),"MTTO ELE TK JARABE 4 JARABE TERMINADO")</f>
        <v>MTTO ELE TK JARABE 4 JARABE TERMINADO</v>
      </c>
      <c r="H439" s="5">
        <f ca="1">IFERROR(__xludf.DUMMYFUNCTION("""COMPUTED_VALUE"""),13247155)</f>
        <v>13247155</v>
      </c>
      <c r="I439" s="5" t="str">
        <f ca="1">IFERROR(__xludf.DUMMYFUNCTION("""COMPUTED_VALUE"""),"MOTOR BOMBA DE RECIRCULACION:")</f>
        <v>MOTOR BOMBA DE RECIRCULACION:</v>
      </c>
      <c r="J439" s="5" t="str">
        <f ca="1">IFERROR(__xludf.DUMMYFUNCTION("""COMPUTED_VALUE"""),"ALTO")</f>
        <v>ALTO</v>
      </c>
      <c r="K439" s="5" t="str">
        <f ca="1">IFERROR(__xludf.DUMMYFUNCTION("""COMPUTED_VALUE"""),"Preventivo")</f>
        <v>Preventivo</v>
      </c>
      <c r="L439" s="5" t="str">
        <f ca="1">IFERROR(__xludf.DUMMYFUNCTION("""COMPUTED_VALUE"""),"Maquinaria")</f>
        <v>Maquinaria</v>
      </c>
      <c r="M439" s="5" t="str">
        <f ca="1">IFERROR(__xludf.DUMMYFUNCTION("""COMPUTED_VALUE"""),"No")</f>
        <v>No</v>
      </c>
      <c r="N439" s="5"/>
      <c r="O439" s="5">
        <f ca="1">IFERROR(__xludf.DUMMYFUNCTION("""COMPUTED_VALUE"""),100)</f>
        <v>100</v>
      </c>
      <c r="P439" s="18">
        <f ca="1">IFERROR(__xludf.DUMMYFUNCTION("""COMPUTED_VALUE"""),45343)</f>
        <v>45343</v>
      </c>
      <c r="Q439" s="18">
        <f ca="1">IFERROR(__xludf.DUMMYFUNCTION("""COMPUTED_VALUE"""),45343)</f>
        <v>45343</v>
      </c>
      <c r="R439" s="18"/>
      <c r="S439" s="5">
        <f ca="1">IFERROR(__xludf.DUMMYFUNCTION("""COMPUTED_VALUE"""),1)</f>
        <v>1</v>
      </c>
      <c r="T439" s="5"/>
      <c r="U439" s="5" t="str">
        <f ca="1">IFERROR(__xludf.DUMMYFUNCTION("""COMPUTED_VALUE"""),"Moreno Pernia Bladimir")</f>
        <v>Moreno Pernia Bladimir</v>
      </c>
      <c r="V439" s="5"/>
      <c r="W439" s="5" t="str">
        <f ca="1">IFERROR(__xludf.DUMMYFUNCTION("""COMPUTED_VALUE"""),"IwZCzFEVqN8")</f>
        <v>IwZCzFEVqN8</v>
      </c>
      <c r="X439" s="5">
        <f ca="1">IFERROR(__xludf.DUMMYFUNCTION("""COMPUTED_VALUE"""),1)</f>
        <v>1</v>
      </c>
      <c r="Y439" s="5" t="str">
        <f t="shared" ca="1" si="2"/>
        <v>Actividad realizada</v>
      </c>
      <c r="Z439" s="3">
        <f ca="1">IFERROR(VLOOKUP(U439, 'Base de datos'!A:B, 2, FALSE), "")</f>
        <v>573148903137</v>
      </c>
      <c r="AA439" s="4" t="e">
        <f t="shared" ca="1" si="3"/>
        <v>#NAME?</v>
      </c>
    </row>
    <row r="440" spans="1:27" ht="15.75" customHeight="1">
      <c r="A440" s="5" t="str">
        <f ca="1">IFERROR(__xludf.DUMMYFUNCTION("""COMPUTED_VALUE"""),"POSTOBÓN YUMBO")</f>
        <v>POSTOBÓN YUMBO</v>
      </c>
      <c r="B440" s="5" t="str">
        <f ca="1">IFERROR(__xludf.DUMMYFUNCTION("""COMPUTED_VALUE"""),"0410-SALA DE JARABE TERMINADO")</f>
        <v>0410-SALA DE JARABE TERMINADO</v>
      </c>
      <c r="C440" s="5" t="str">
        <f ca="1">IFERROR(__xludf.DUMMYFUNCTION("""COMPUTED_VALUE"""),"EQUIPOS PARA PREPARACION DE JARABE")</f>
        <v>EQUIPOS PARA PREPARACION DE JARABE</v>
      </c>
      <c r="D440" s="5">
        <f ca="1">IFERROR(__xludf.DUMMYFUNCTION("""COMPUTED_VALUE"""),69963408)</f>
        <v>69963408</v>
      </c>
      <c r="E440" s="5" t="str">
        <f ca="1">IFERROR(__xludf.DUMMYFUNCTION("""COMPUTED_VALUE"""),"TANQUE DE JARABE")</f>
        <v>TANQUE DE JARABE</v>
      </c>
      <c r="F440" s="5">
        <f ca="1">IFERROR(__xludf.DUMMYFUNCTION("""COMPUTED_VALUE"""),17361)</f>
        <v>17361</v>
      </c>
      <c r="G440" s="5" t="str">
        <f ca="1">IFERROR(__xludf.DUMMYFUNCTION("""COMPUTED_VALUE"""),"MTTO MEC TK JARABE 5 JARABE TERMINADO")</f>
        <v>MTTO MEC TK JARABE 5 JARABE TERMINADO</v>
      </c>
      <c r="H440" s="5">
        <f ca="1">IFERROR(__xludf.DUMMYFUNCTION("""COMPUTED_VALUE"""),13247156)</f>
        <v>13247156</v>
      </c>
      <c r="I440" s="5" t="str">
        <f ca="1">IFERROR(__xludf.DUMMYFUNCTION("""COMPUTED_VALUE"""),"ANTON PAAR - dentro de la cubierta de")</f>
        <v>ANTON PAAR - dentro de la cubierta de</v>
      </c>
      <c r="J440" s="5" t="str">
        <f ca="1">IFERROR(__xludf.DUMMYFUNCTION("""COMPUTED_VALUE"""),"ALTO")</f>
        <v>ALTO</v>
      </c>
      <c r="K440" s="5" t="str">
        <f ca="1">IFERROR(__xludf.DUMMYFUNCTION("""COMPUTED_VALUE"""),"Preventivo")</f>
        <v>Preventivo</v>
      </c>
      <c r="L440" s="5" t="str">
        <f ca="1">IFERROR(__xludf.DUMMYFUNCTION("""COMPUTED_VALUE"""),"Maquinaria")</f>
        <v>Maquinaria</v>
      </c>
      <c r="M440" s="5" t="str">
        <f ca="1">IFERROR(__xludf.DUMMYFUNCTION("""COMPUTED_VALUE"""),"No")</f>
        <v>No</v>
      </c>
      <c r="N440" s="5"/>
      <c r="O440" s="5">
        <f ca="1">IFERROR(__xludf.DUMMYFUNCTION("""COMPUTED_VALUE"""),100)</f>
        <v>100</v>
      </c>
      <c r="P440" s="18">
        <f ca="1">IFERROR(__xludf.DUMMYFUNCTION("""COMPUTED_VALUE"""),45342)</f>
        <v>45342</v>
      </c>
      <c r="Q440" s="18">
        <f ca="1">IFERROR(__xludf.DUMMYFUNCTION("""COMPUTED_VALUE"""),45342)</f>
        <v>45342</v>
      </c>
      <c r="R440" s="18"/>
      <c r="S440" s="5">
        <f ca="1">IFERROR(__xludf.DUMMYFUNCTION("""COMPUTED_VALUE"""),1)</f>
        <v>1</v>
      </c>
      <c r="T440" s="5"/>
      <c r="U440" s="5" t="str">
        <f ca="1">IFERROR(__xludf.DUMMYFUNCTION("""COMPUTED_VALUE"""),"Moreno Pernia Bladimir")</f>
        <v>Moreno Pernia Bladimir</v>
      </c>
      <c r="V440" s="5"/>
      <c r="W440" s="5" t="str">
        <f ca="1">IFERROR(__xludf.DUMMYFUNCTION("""COMPUTED_VALUE"""),"RAa_fD4y5Hg")</f>
        <v>RAa_fD4y5Hg</v>
      </c>
      <c r="X440" s="5">
        <f ca="1">IFERROR(__xludf.DUMMYFUNCTION("""COMPUTED_VALUE"""),1)</f>
        <v>1</v>
      </c>
      <c r="Y440" s="5" t="str">
        <f t="shared" ca="1" si="2"/>
        <v>Actividad realizada</v>
      </c>
      <c r="Z440" s="3">
        <f ca="1">IFERROR(VLOOKUP(U440, 'Base de datos'!A:B, 2, FALSE), "")</f>
        <v>573148903137</v>
      </c>
      <c r="AA440" s="4" t="e">
        <f t="shared" ca="1" si="3"/>
        <v>#NAME?</v>
      </c>
    </row>
    <row r="441" spans="1:27" ht="15.75" customHeight="1">
      <c r="A441" s="5" t="str">
        <f ca="1">IFERROR(__xludf.DUMMYFUNCTION("""COMPUTED_VALUE"""),"POSTOBÓN YUMBO")</f>
        <v>POSTOBÓN YUMBO</v>
      </c>
      <c r="B441" s="5" t="str">
        <f ca="1">IFERROR(__xludf.DUMMYFUNCTION("""COMPUTED_VALUE"""),"0410-LINEA DISPENSADORES")</f>
        <v>0410-LINEA DISPENSADORES</v>
      </c>
      <c r="C441" s="5" t="str">
        <f ca="1">IFERROR(__xludf.DUMMYFUNCTION("""COMPUTED_VALUE"""),"LINEA ENVASADO BAG IN BOX DISPENSADORES")</f>
        <v>LINEA ENVASADO BAG IN BOX DISPENSADORES</v>
      </c>
      <c r="D441" s="5">
        <f ca="1">IFERROR(__xludf.DUMMYFUNCTION("""COMPUTED_VALUE"""),71017402)</f>
        <v>71017402</v>
      </c>
      <c r="E441" s="5" t="str">
        <f ca="1">IFERROR(__xludf.DUMMYFUNCTION("""COMPUTED_VALUE"""),"APLICADOR DE HOT MELT")</f>
        <v>APLICADOR DE HOT MELT</v>
      </c>
      <c r="F441" s="5">
        <f ca="1">IFERROR(__xludf.DUMMYFUNCTION("""COMPUTED_VALUE"""),20728)</f>
        <v>20728</v>
      </c>
      <c r="G441" s="5" t="str">
        <f ca="1">IFERROR(__xludf.DUMMYFUNCTION("""COMPUTED_VALUE"""),"PLAN MTTO MEC APLICADOR HOT MELT71017402")</f>
        <v>PLAN MTTO MEC APLICADOR HOT MELT71017402</v>
      </c>
      <c r="H441" s="5">
        <f ca="1">IFERROR(__xludf.DUMMYFUNCTION("""COMPUTED_VALUE"""),13141389)</f>
        <v>13141389</v>
      </c>
      <c r="I441" s="5" t="str">
        <f ca="1">IFERROR(__xludf.DUMMYFUNCTION("""COMPUTED_VALUE"""),"Limpieza del exterior")</f>
        <v>Limpieza del exterior</v>
      </c>
      <c r="J441" s="5" t="str">
        <f ca="1">IFERROR(__xludf.DUMMYFUNCTION("""COMPUTED_VALUE"""),"MEDIO")</f>
        <v>MEDIO</v>
      </c>
      <c r="K441" s="5" t="str">
        <f ca="1">IFERROR(__xludf.DUMMYFUNCTION("""COMPUTED_VALUE"""),"Preventivo")</f>
        <v>Preventivo</v>
      </c>
      <c r="L441" s="5" t="str">
        <f ca="1">IFERROR(__xludf.DUMMYFUNCTION("""COMPUTED_VALUE"""),"Maquinaria")</f>
        <v>Maquinaria</v>
      </c>
      <c r="M441" s="5" t="str">
        <f ca="1">IFERROR(__xludf.DUMMYFUNCTION("""COMPUTED_VALUE"""),"No")</f>
        <v>No</v>
      </c>
      <c r="N441" s="5"/>
      <c r="O441" s="5"/>
      <c r="P441" s="18">
        <f ca="1">IFERROR(__xludf.DUMMYFUNCTION("""COMPUTED_VALUE"""),45329)</f>
        <v>45329</v>
      </c>
      <c r="Q441" s="18">
        <f ca="1">IFERROR(__xludf.DUMMYFUNCTION("""COMPUTED_VALUE"""),45329)</f>
        <v>45329</v>
      </c>
      <c r="R441" s="18"/>
      <c r="S441" s="5">
        <f ca="1">IFERROR(__xludf.DUMMYFUNCTION("""COMPUTED_VALUE"""),2)</f>
        <v>2</v>
      </c>
      <c r="T441" s="5"/>
      <c r="U441" s="5" t="str">
        <f ca="1">IFERROR(__xludf.DUMMYFUNCTION("""COMPUTED_VALUE"""),"MARIO ALBERTO MARTÍNEZ MORA")</f>
        <v>MARIO ALBERTO MARTÍNEZ MORA</v>
      </c>
      <c r="V441" s="5"/>
      <c r="W441" s="5" t="str">
        <f ca="1">IFERROR(__xludf.DUMMYFUNCTION("""COMPUTED_VALUE"""),"WJ9u7spZKPE")</f>
        <v>WJ9u7spZKPE</v>
      </c>
      <c r="X441" s="5">
        <f ca="1">IFERROR(__xludf.DUMMYFUNCTION("""COMPUTED_VALUE"""),2)</f>
        <v>2</v>
      </c>
      <c r="Y441" s="5" t="str">
        <f t="shared" si="2"/>
        <v>Actividad sin realizar</v>
      </c>
      <c r="Z441" s="3">
        <f ca="1">IFERROR(VLOOKUP(U441, 'Base de datos'!A:B, 2, FALSE), "")</f>
        <v>573116493969</v>
      </c>
      <c r="AA441" s="4" t="e">
        <f t="shared" ca="1" si="3"/>
        <v>#NAME?</v>
      </c>
    </row>
    <row r="442" spans="1:27" ht="15.75" customHeight="1">
      <c r="A442" s="5" t="str">
        <f ca="1">IFERROR(__xludf.DUMMYFUNCTION("""COMPUTED_VALUE"""),"POSTOBÓN YUMBO")</f>
        <v>POSTOBÓN YUMBO</v>
      </c>
      <c r="B442" s="5" t="str">
        <f ca="1">IFERROR(__xludf.DUMMYFUNCTION("""COMPUTED_VALUE"""),"0410-ENVASADO JUGOS PET HOT F")</f>
        <v>0410-ENVASADO JUGOS PET HOT F</v>
      </c>
      <c r="C442" s="5" t="str">
        <f ca="1">IFERROR(__xludf.DUMMYFUNCTION("""COMPUTED_VALUE"""),"LINEA DE ENVASADO JUGOS PET HOT FILL")</f>
        <v>LINEA DE ENVASADO JUGOS PET HOT FILL</v>
      </c>
      <c r="D442" s="5">
        <f ca="1">IFERROR(__xludf.DUMMYFUNCTION("""COMPUTED_VALUE"""),599566)</f>
        <v>599566</v>
      </c>
      <c r="E442" s="5" t="str">
        <f ca="1">IFERROR(__xludf.DUMMYFUNCTION("""COMPUTED_VALUE"""),"INSPECTOR DE BOTELLA LLENA")</f>
        <v>INSPECTOR DE BOTELLA LLENA</v>
      </c>
      <c r="F442" s="5">
        <f ca="1">IFERROR(__xludf.DUMMYFUNCTION("""COMPUTED_VALUE"""),14082)</f>
        <v>14082</v>
      </c>
      <c r="G442" s="5" t="str">
        <f ca="1">IFERROR(__xludf.DUMMYFUNCTION("""COMPUTED_VALUE"""),"MTTO ELECT CHECKMAT L8")</f>
        <v>MTTO ELECT CHECKMAT L8</v>
      </c>
      <c r="H442" s="5">
        <f ca="1">IFERROR(__xludf.DUMMYFUNCTION("""COMPUTED_VALUE"""),13247135)</f>
        <v>13247135</v>
      </c>
      <c r="I442" s="5" t="str">
        <f ca="1">IFERROR(__xludf.DUMMYFUNCTION("""COMPUTED_VALUE"""),"Revisar estado, posicion")</f>
        <v>Revisar estado, posicion</v>
      </c>
      <c r="J442" s="5" t="str">
        <f ca="1">IFERROR(__xludf.DUMMYFUNCTION("""COMPUTED_VALUE"""),"ALTO")</f>
        <v>ALTO</v>
      </c>
      <c r="K442" s="5" t="str">
        <f ca="1">IFERROR(__xludf.DUMMYFUNCTION("""COMPUTED_VALUE"""),"Preventivo")</f>
        <v>Preventivo</v>
      </c>
      <c r="L442" s="5" t="str">
        <f ca="1">IFERROR(__xludf.DUMMYFUNCTION("""COMPUTED_VALUE"""),"Maquinaria")</f>
        <v>Maquinaria</v>
      </c>
      <c r="M442" s="5" t="str">
        <f ca="1">IFERROR(__xludf.DUMMYFUNCTION("""COMPUTED_VALUE"""),"No")</f>
        <v>No</v>
      </c>
      <c r="N442" s="5"/>
      <c r="O442" s="5"/>
      <c r="P442" s="18">
        <f ca="1">IFERROR(__xludf.DUMMYFUNCTION("""COMPUTED_VALUE"""),45340)</f>
        <v>45340</v>
      </c>
      <c r="Q442" s="18">
        <f ca="1">IFERROR(__xludf.DUMMYFUNCTION("""COMPUTED_VALUE"""),45340)</f>
        <v>45340</v>
      </c>
      <c r="R442" s="18"/>
      <c r="S442" s="5">
        <f ca="1">IFERROR(__xludf.DUMMYFUNCTION("""COMPUTED_VALUE"""),0.5)</f>
        <v>0.5</v>
      </c>
      <c r="T442" s="5"/>
      <c r="U442" s="5" t="str">
        <f ca="1">IFERROR(__xludf.DUMMYFUNCTION("""COMPUTED_VALUE"""),"Bedoya Marin Johan Andres")</f>
        <v>Bedoya Marin Johan Andres</v>
      </c>
      <c r="V442" s="5"/>
      <c r="W442" s="5" t="str">
        <f ca="1">IFERROR(__xludf.DUMMYFUNCTION("""COMPUTED_VALUE"""),"AQo4kESFyIM")</f>
        <v>AQo4kESFyIM</v>
      </c>
      <c r="X442" s="5">
        <f ca="1">IFERROR(__xludf.DUMMYFUNCTION("""COMPUTED_VALUE"""),0.5)</f>
        <v>0.5</v>
      </c>
      <c r="Y442" s="5" t="str">
        <f t="shared" si="2"/>
        <v>Actividad sin realizar</v>
      </c>
      <c r="Z442" s="3">
        <f ca="1">IFERROR(VLOOKUP(U442, 'Base de datos'!A:B, 2, FALSE), "")</f>
        <v>573147103334</v>
      </c>
      <c r="AA442" s="4" t="e">
        <f t="shared" ca="1" si="3"/>
        <v>#NAME?</v>
      </c>
    </row>
    <row r="443" spans="1:27" ht="15.75" customHeight="1">
      <c r="A443" s="5" t="str">
        <f ca="1">IFERROR(__xludf.DUMMYFUNCTION("""COMPUTED_VALUE"""),"POSTOBÓN YUMBO")</f>
        <v>POSTOBÓN YUMBO</v>
      </c>
      <c r="B443" s="5" t="str">
        <f ca="1">IFERROR(__xludf.DUMMYFUNCTION("""COMPUTED_VALUE"""),"0410-LINEA 3")</f>
        <v>0410-LINEA 3</v>
      </c>
      <c r="C443" s="5" t="str">
        <f ca="1">IFERROR(__xludf.DUMMYFUNCTION("""COMPUTED_VALUE"""),"LINEA DE ENVASADO TAMAÑO PERSONAL")</f>
        <v>LINEA DE ENVASADO TAMAÑO PERSONAL</v>
      </c>
      <c r="D443" s="5">
        <f ca="1">IFERROR(__xludf.DUMMYFUNCTION("""COMPUTED_VALUE"""),828592)</f>
        <v>828592</v>
      </c>
      <c r="E443" s="5" t="str">
        <f ca="1">IFERROR(__xludf.DUMMYFUNCTION("""COMPUTED_VALUE"""),"LLENADORA")</f>
        <v>LLENADORA</v>
      </c>
      <c r="F443" s="5">
        <f ca="1">IFERROR(__xludf.DUMMYFUNCTION("""COMPUTED_VALUE"""),5821)</f>
        <v>5821</v>
      </c>
      <c r="G443" s="5" t="str">
        <f ca="1">IFERROR(__xludf.DUMMYFUNCTION("""COMPUTED_VALUE"""),"Mantto Elect sist manejo botella Llenad")</f>
        <v>Mantto Elect sist manejo botella Llenad</v>
      </c>
      <c r="H443" s="5">
        <f ca="1">IFERROR(__xludf.DUMMYFUNCTION("""COMPUTED_VALUE"""),13247118)</f>
        <v>13247118</v>
      </c>
      <c r="I443" s="5" t="str">
        <f ca="1">IFERROR(__xludf.DUMMYFUNCTION("""COMPUTED_VALUE"""),"mantenimiento sensor piston elevador.")</f>
        <v>mantenimiento sensor piston elevador.</v>
      </c>
      <c r="J443" s="5" t="str">
        <f ca="1">IFERROR(__xludf.DUMMYFUNCTION("""COMPUTED_VALUE"""),"ALTO")</f>
        <v>ALTO</v>
      </c>
      <c r="K443" s="5" t="str">
        <f ca="1">IFERROR(__xludf.DUMMYFUNCTION("""COMPUTED_VALUE"""),"Preventivo")</f>
        <v>Preventivo</v>
      </c>
      <c r="L443" s="5" t="str">
        <f ca="1">IFERROR(__xludf.DUMMYFUNCTION("""COMPUTED_VALUE"""),"Maquinaria")</f>
        <v>Maquinaria</v>
      </c>
      <c r="M443" s="5" t="str">
        <f ca="1">IFERROR(__xludf.DUMMYFUNCTION("""COMPUTED_VALUE"""),"No")</f>
        <v>No</v>
      </c>
      <c r="N443" s="5"/>
      <c r="O443" s="5"/>
      <c r="P443" s="18">
        <f ca="1">IFERROR(__xludf.DUMMYFUNCTION("""COMPUTED_VALUE"""),45324)</f>
        <v>45324</v>
      </c>
      <c r="Q443" s="18">
        <f ca="1">IFERROR(__xludf.DUMMYFUNCTION("""COMPUTED_VALUE"""),45324)</f>
        <v>45324</v>
      </c>
      <c r="R443" s="18"/>
      <c r="S443" s="5">
        <f ca="1">IFERROR(__xludf.DUMMYFUNCTION("""COMPUTED_VALUE"""),0.5)</f>
        <v>0.5</v>
      </c>
      <c r="T443" s="5"/>
      <c r="U443" s="5" t="str">
        <f ca="1">IFERROR(__xludf.DUMMYFUNCTION("""COMPUTED_VALUE"""),"Jimenez Jhon")</f>
        <v>Jimenez Jhon</v>
      </c>
      <c r="V443" s="5"/>
      <c r="W443" s="5" t="str">
        <f ca="1">IFERROR(__xludf.DUMMYFUNCTION("""COMPUTED_VALUE"""),"m4gn7wkTryw")</f>
        <v>m4gn7wkTryw</v>
      </c>
      <c r="X443" s="5">
        <f ca="1">IFERROR(__xludf.DUMMYFUNCTION("""COMPUTED_VALUE"""),0.5)</f>
        <v>0.5</v>
      </c>
      <c r="Y443" s="5" t="str">
        <f t="shared" si="2"/>
        <v>Actividad sin realizar</v>
      </c>
      <c r="Z443" s="3">
        <f ca="1">IFERROR(VLOOKUP(U443, 'Base de datos'!A:B, 2, FALSE), "")</f>
        <v>573147637946</v>
      </c>
      <c r="AA443" s="4" t="e">
        <f t="shared" ca="1" si="3"/>
        <v>#NAME?</v>
      </c>
    </row>
    <row r="444" spans="1:27" ht="15.75" customHeight="1">
      <c r="A444" s="5" t="str">
        <f ca="1">IFERROR(__xludf.DUMMYFUNCTION("""COMPUTED_VALUE"""),"POSTOBÓN YUMBO")</f>
        <v>POSTOBÓN YUMBO</v>
      </c>
      <c r="B444" s="5" t="str">
        <f ca="1">IFERROR(__xludf.DUMMYFUNCTION("""COMPUTED_VALUE"""),"0410-ENVASADO JUGOS PET HOT F")</f>
        <v>0410-ENVASADO JUGOS PET HOT F</v>
      </c>
      <c r="C444" s="5" t="str">
        <f ca="1">IFERROR(__xludf.DUMMYFUNCTION("""COMPUTED_VALUE"""),"LINEA DE ENVASADO JUGOS PET HOT FILL")</f>
        <v>LINEA DE ENVASADO JUGOS PET HOT FILL</v>
      </c>
      <c r="D444" s="5">
        <f ca="1">IFERROR(__xludf.DUMMYFUNCTION("""COMPUTED_VALUE"""),900303)</f>
        <v>900303</v>
      </c>
      <c r="E444" s="5" t="str">
        <f ca="1">IFERROR(__xludf.DUMMYFUNCTION("""COMPUTED_VALUE"""),"LLENADORA")</f>
        <v>LLENADORA</v>
      </c>
      <c r="F444" s="5">
        <f ca="1">IFERROR(__xludf.DUMMYFUNCTION("""COMPUTED_VALUE"""),14085)</f>
        <v>14085</v>
      </c>
      <c r="G444" s="5" t="str">
        <f ca="1">IFERROR(__xludf.DUMMYFUNCTION("""COMPUTED_VALUE"""),"MANTENIMIENTO ELEC LLENADORA L8 90030")</f>
        <v>MANTENIMIENTO ELEC LLENADORA L8 90030</v>
      </c>
      <c r="H444" s="5">
        <f ca="1">IFERROR(__xludf.DUMMYFUNCTION("""COMPUTED_VALUE"""),13226501)</f>
        <v>13226501</v>
      </c>
      <c r="I444" s="5" t="str">
        <f ca="1">IFERROR(__xludf.DUMMYFUNCTION("""COMPUTED_VALUE"""),"Mtto climatizador: Parte superior llenad")</f>
        <v>Mtto climatizador: Parte superior llenad</v>
      </c>
      <c r="J444" s="5" t="str">
        <f ca="1">IFERROR(__xludf.DUMMYFUNCTION("""COMPUTED_VALUE"""),"ALTO")</f>
        <v>ALTO</v>
      </c>
      <c r="K444" s="5" t="str">
        <f ca="1">IFERROR(__xludf.DUMMYFUNCTION("""COMPUTED_VALUE"""),"Preventivo")</f>
        <v>Preventivo</v>
      </c>
      <c r="L444" s="5" t="str">
        <f ca="1">IFERROR(__xludf.DUMMYFUNCTION("""COMPUTED_VALUE"""),"Maquinaria")</f>
        <v>Maquinaria</v>
      </c>
      <c r="M444" s="5" t="str">
        <f ca="1">IFERROR(__xludf.DUMMYFUNCTION("""COMPUTED_VALUE"""),"No")</f>
        <v>No</v>
      </c>
      <c r="N444" s="5"/>
      <c r="O444" s="5"/>
      <c r="P444" s="18">
        <f ca="1">IFERROR(__xludf.DUMMYFUNCTION("""COMPUTED_VALUE"""),45323)</f>
        <v>45323</v>
      </c>
      <c r="Q444" s="18">
        <f ca="1">IFERROR(__xludf.DUMMYFUNCTION("""COMPUTED_VALUE"""),45323)</f>
        <v>45323</v>
      </c>
      <c r="R444" s="18"/>
      <c r="S444" s="5">
        <f ca="1">IFERROR(__xludf.DUMMYFUNCTION("""COMPUTED_VALUE"""),3)</f>
        <v>3</v>
      </c>
      <c r="T444" s="5"/>
      <c r="U444" s="5" t="str">
        <f ca="1">IFERROR(__xludf.DUMMYFUNCTION("""COMPUTED_VALUE"""),"Franco Castillo Brayan Steven")</f>
        <v>Franco Castillo Brayan Steven</v>
      </c>
      <c r="V444" s="5"/>
      <c r="W444" s="5" t="str">
        <f ca="1">IFERROR(__xludf.DUMMYFUNCTION("""COMPUTED_VALUE"""),"8wqeONA7ZHI")</f>
        <v>8wqeONA7ZHI</v>
      </c>
      <c r="X444" s="5">
        <f ca="1">IFERROR(__xludf.DUMMYFUNCTION("""COMPUTED_VALUE"""),3)</f>
        <v>3</v>
      </c>
      <c r="Y444" s="5" t="str">
        <f t="shared" si="2"/>
        <v>Actividad sin realizar</v>
      </c>
      <c r="Z444" s="3">
        <f ca="1">IFERROR(VLOOKUP(U444, 'Base de datos'!A:B, 2, FALSE), "")</f>
        <v>573053427911</v>
      </c>
      <c r="AA444" s="4" t="e">
        <f t="shared" ca="1" si="3"/>
        <v>#NAME?</v>
      </c>
    </row>
    <row r="445" spans="1:27" ht="15.75" customHeight="1">
      <c r="A445" s="5" t="str">
        <f ca="1">IFERROR(__xludf.DUMMYFUNCTION("""COMPUTED_VALUE"""),"POSTOBÓN YUMBO")</f>
        <v>POSTOBÓN YUMBO</v>
      </c>
      <c r="B445" s="5" t="str">
        <f ca="1">IFERROR(__xludf.DUMMYFUNCTION("""COMPUTED_VALUE"""),"0410-PLANTA DE AGUA ENVASADO")</f>
        <v>0410-PLANTA DE AGUA ENVASADO</v>
      </c>
      <c r="C445" s="5" t="str">
        <f ca="1">IFERROR(__xludf.DUMMYFUNCTION("""COMPUTED_VALUE"""),"TRATAMIENTO DE AGUA PARA ENVASADO")</f>
        <v>TRATAMIENTO DE AGUA PARA ENVASADO</v>
      </c>
      <c r="D445" s="5">
        <f ca="1">IFERROR(__xludf.DUMMYFUNCTION("""COMPUTED_VALUE"""),70948925)</f>
        <v>70948925</v>
      </c>
      <c r="E445" s="5" t="str">
        <f ca="1">IFERROR(__xludf.DUMMYFUNCTION("""COMPUTED_VALUE"""),"UNIDAD OSMOSIS 2")</f>
        <v>UNIDAD OSMOSIS 2</v>
      </c>
      <c r="F445" s="5">
        <f ca="1">IFERROR(__xludf.DUMMYFUNCTION("""COMPUTED_VALUE"""),21765)</f>
        <v>21765</v>
      </c>
      <c r="G445" s="5" t="str">
        <f ca="1">IFERROR(__xludf.DUMMYFUNCTION("""COMPUTED_VALUE"""),"PLAN MTTO MEC UNIDAD OSMOSIS 2")</f>
        <v>PLAN MTTO MEC UNIDAD OSMOSIS 2</v>
      </c>
      <c r="H445" s="5">
        <f ca="1">IFERROR(__xludf.DUMMYFUNCTION("""COMPUTED_VALUE"""),13174138)</f>
        <v>13174138</v>
      </c>
      <c r="I445" s="5" t="str">
        <f ca="1">IFERROR(__xludf.DUMMYFUNCTION("""COMPUTED_VALUE"""),"REVISION BOMBAS PPAL: REVISION FUGAS")</f>
        <v>REVISION BOMBAS PPAL: REVISION FUGAS</v>
      </c>
      <c r="J445" s="5" t="str">
        <f ca="1">IFERROR(__xludf.DUMMYFUNCTION("""COMPUTED_VALUE"""),"ALTO")</f>
        <v>ALTO</v>
      </c>
      <c r="K445" s="5" t="str">
        <f ca="1">IFERROR(__xludf.DUMMYFUNCTION("""COMPUTED_VALUE"""),"Preventivo")</f>
        <v>Preventivo</v>
      </c>
      <c r="L445" s="5" t="str">
        <f ca="1">IFERROR(__xludf.DUMMYFUNCTION("""COMPUTED_VALUE"""),"Maquinaria")</f>
        <v>Maquinaria</v>
      </c>
      <c r="M445" s="5" t="str">
        <f ca="1">IFERROR(__xludf.DUMMYFUNCTION("""COMPUTED_VALUE"""),"No")</f>
        <v>No</v>
      </c>
      <c r="N445" s="5"/>
      <c r="O445" s="5"/>
      <c r="P445" s="18">
        <f ca="1">IFERROR(__xludf.DUMMYFUNCTION("""COMPUTED_VALUE"""),45337)</f>
        <v>45337</v>
      </c>
      <c r="Q445" s="18">
        <f ca="1">IFERROR(__xludf.DUMMYFUNCTION("""COMPUTED_VALUE"""),45337)</f>
        <v>45337</v>
      </c>
      <c r="R445" s="18"/>
      <c r="S445" s="5">
        <f ca="1">IFERROR(__xludf.DUMMYFUNCTION("""COMPUTED_VALUE"""),1)</f>
        <v>1</v>
      </c>
      <c r="T445" s="5"/>
      <c r="U445" s="5" t="str">
        <f ca="1">IFERROR(__xludf.DUMMYFUNCTION("""COMPUTED_VALUE"""),"JEFFERSON BRAVO PIEDRAHITA")</f>
        <v>JEFFERSON BRAVO PIEDRAHITA</v>
      </c>
      <c r="V445" s="5"/>
      <c r="W445" s="5" t="str">
        <f ca="1">IFERROR(__xludf.DUMMYFUNCTION("""COMPUTED_VALUE"""),"aQdvcoJAKwo")</f>
        <v>aQdvcoJAKwo</v>
      </c>
      <c r="X445" s="5">
        <f ca="1">IFERROR(__xludf.DUMMYFUNCTION("""COMPUTED_VALUE"""),1)</f>
        <v>1</v>
      </c>
      <c r="Y445" s="5" t="str">
        <f t="shared" si="2"/>
        <v>Actividad sin realizar</v>
      </c>
      <c r="Z445" s="3">
        <f ca="1">IFERROR(VLOOKUP(U445, 'Base de datos'!A:B, 2, FALSE), "")</f>
        <v>573043623277</v>
      </c>
      <c r="AA445" s="4" t="e">
        <f t="shared" ca="1" si="3"/>
        <v>#NAME?</v>
      </c>
    </row>
    <row r="446" spans="1:27" ht="15.75" customHeight="1">
      <c r="A446" s="5" t="str">
        <f ca="1">IFERROR(__xludf.DUMMYFUNCTION("""COMPUTED_VALUE"""),"POSTOBÓN YUMBO")</f>
        <v>POSTOBÓN YUMBO</v>
      </c>
      <c r="B446" s="5" t="str">
        <f ca="1">IFERROR(__xludf.DUMMYFUNCTION("""COMPUTED_VALUE"""),"0410-PLANTA DE AGUA ENVASADO")</f>
        <v>0410-PLANTA DE AGUA ENVASADO</v>
      </c>
      <c r="C446" s="5" t="str">
        <f ca="1">IFERROR(__xludf.DUMMYFUNCTION("""COMPUTED_VALUE"""),"TRATAMIENTO DE AGUA PARA ENVASADO")</f>
        <v>TRATAMIENTO DE AGUA PARA ENVASADO</v>
      </c>
      <c r="D446" s="5">
        <f ca="1">IFERROR(__xludf.DUMMYFUNCTION("""COMPUTED_VALUE"""),70949107)</f>
        <v>70949107</v>
      </c>
      <c r="E446" s="5" t="str">
        <f ca="1">IFERROR(__xludf.DUMMYFUNCTION("""COMPUTED_VALUE"""),"GENERADOR DE OZONO SUEZ OZONIA")</f>
        <v>GENERADOR DE OZONO SUEZ OZONIA</v>
      </c>
      <c r="F446" s="5">
        <f ca="1">IFERROR(__xludf.DUMMYFUNCTION("""COMPUTED_VALUE"""),42256)</f>
        <v>42256</v>
      </c>
      <c r="G446" s="5" t="str">
        <f ca="1">IFERROR(__xludf.DUMMYFUNCTION("""COMPUTED_VALUE"""),"PLAN MTTO ELE GENERADOR DE OZONO SUEZ OZ")</f>
        <v>PLAN MTTO ELE GENERADOR DE OZONO SUEZ OZ</v>
      </c>
      <c r="H446" s="5">
        <f ca="1">IFERROR(__xludf.DUMMYFUNCTION("""COMPUTED_VALUE"""),13193789)</f>
        <v>13193789</v>
      </c>
      <c r="I446" s="5" t="str">
        <f ca="1">IFERROR(__xludf.DUMMYFUNCTION("""COMPUTED_VALUE"""),"LIMPIAR FILTRO PARTE TRASERA")</f>
        <v>LIMPIAR FILTRO PARTE TRASERA</v>
      </c>
      <c r="J446" s="5" t="str">
        <f ca="1">IFERROR(__xludf.DUMMYFUNCTION("""COMPUTED_VALUE"""),"ALTO")</f>
        <v>ALTO</v>
      </c>
      <c r="K446" s="5" t="str">
        <f ca="1">IFERROR(__xludf.DUMMYFUNCTION("""COMPUTED_VALUE"""),"Preventivo")</f>
        <v>Preventivo</v>
      </c>
      <c r="L446" s="5" t="str">
        <f ca="1">IFERROR(__xludf.DUMMYFUNCTION("""COMPUTED_VALUE"""),"Maquinaria")</f>
        <v>Maquinaria</v>
      </c>
      <c r="M446" s="5" t="str">
        <f ca="1">IFERROR(__xludf.DUMMYFUNCTION("""COMPUTED_VALUE"""),"No")</f>
        <v>No</v>
      </c>
      <c r="N446" s="5"/>
      <c r="O446" s="5"/>
      <c r="P446" s="18">
        <f ca="1">IFERROR(__xludf.DUMMYFUNCTION("""COMPUTED_VALUE"""),45340)</f>
        <v>45340</v>
      </c>
      <c r="Q446" s="18">
        <f ca="1">IFERROR(__xludf.DUMMYFUNCTION("""COMPUTED_VALUE"""),45340)</f>
        <v>45340</v>
      </c>
      <c r="R446" s="18"/>
      <c r="S446" s="5">
        <f ca="1">IFERROR(__xludf.DUMMYFUNCTION("""COMPUTED_VALUE"""),2)</f>
        <v>2</v>
      </c>
      <c r="T446" s="5"/>
      <c r="U446" s="5" t="str">
        <f ca="1">IFERROR(__xludf.DUMMYFUNCTION("""COMPUTED_VALUE"""),"PAPAMIJA GUIDO")</f>
        <v>PAPAMIJA GUIDO</v>
      </c>
      <c r="V446" s="5"/>
      <c r="W446" s="5" t="str">
        <f ca="1">IFERROR(__xludf.DUMMYFUNCTION("""COMPUTED_VALUE"""),"xif5QLGs9ds")</f>
        <v>xif5QLGs9ds</v>
      </c>
      <c r="X446" s="5">
        <f ca="1">IFERROR(__xludf.DUMMYFUNCTION("""COMPUTED_VALUE"""),2)</f>
        <v>2</v>
      </c>
      <c r="Y446" s="5" t="str">
        <f t="shared" si="2"/>
        <v>Actividad sin realizar</v>
      </c>
      <c r="Z446" s="3">
        <f ca="1">IFERROR(VLOOKUP(U446, 'Base de datos'!A:B, 2, FALSE), "")</f>
        <v>573156712311</v>
      </c>
      <c r="AA446" s="4" t="e">
        <f t="shared" ca="1" si="3"/>
        <v>#NAME?</v>
      </c>
    </row>
    <row r="447" spans="1:27" ht="15.75" customHeight="1">
      <c r="A447" s="5" t="str">
        <f ca="1">IFERROR(__xludf.DUMMYFUNCTION("""COMPUTED_VALUE"""),"POSTOBÓN YUMBO")</f>
        <v>POSTOBÓN YUMBO</v>
      </c>
      <c r="B447" s="5" t="str">
        <f ca="1">IFERROR(__xludf.DUMMYFUNCTION("""COMPUTED_VALUE"""),"0410-ENVASADO JUGOS PET HOT F")</f>
        <v>0410-ENVASADO JUGOS PET HOT F</v>
      </c>
      <c r="C447" s="5" t="str">
        <f ca="1">IFERROR(__xludf.DUMMYFUNCTION("""COMPUTED_VALUE"""),"LINEA DE ENVASADO JUGOS PET HOT FILL")</f>
        <v>LINEA DE ENVASADO JUGOS PET HOT FILL</v>
      </c>
      <c r="D447" s="5">
        <f ca="1">IFERROR(__xludf.DUMMYFUNCTION("""COMPUTED_VALUE"""),900303)</f>
        <v>900303</v>
      </c>
      <c r="E447" s="5" t="str">
        <f ca="1">IFERROR(__xludf.DUMMYFUNCTION("""COMPUTED_VALUE"""),"LLENADORA")</f>
        <v>LLENADORA</v>
      </c>
      <c r="F447" s="5">
        <f ca="1">IFERROR(__xludf.DUMMYFUNCTION("""COMPUTED_VALUE"""),14085)</f>
        <v>14085</v>
      </c>
      <c r="G447" s="5" t="str">
        <f ca="1">IFERROR(__xludf.DUMMYFUNCTION("""COMPUTED_VALUE"""),"MANTENIMIENTO LUB LLENADORA L8 90030")</f>
        <v>MANTENIMIENTO LUB LLENADORA L8 90030</v>
      </c>
      <c r="H447" s="5">
        <f ca="1">IFERROR(__xludf.DUMMYFUNCTION("""COMPUTED_VALUE"""),13226502)</f>
        <v>13226502</v>
      </c>
      <c r="I447" s="5" t="str">
        <f ca="1">IFERROR(__xludf.DUMMYFUNCTION("""COMPUTED_VALUE"""),"Cambio retenes servos llenadora")</f>
        <v>Cambio retenes servos llenadora</v>
      </c>
      <c r="J447" s="5" t="str">
        <f ca="1">IFERROR(__xludf.DUMMYFUNCTION("""COMPUTED_VALUE"""),"ALTO")</f>
        <v>ALTO</v>
      </c>
      <c r="K447" s="5" t="str">
        <f ca="1">IFERROR(__xludf.DUMMYFUNCTION("""COMPUTED_VALUE"""),"Preventivo")</f>
        <v>Preventivo</v>
      </c>
      <c r="L447" s="5" t="str">
        <f ca="1">IFERROR(__xludf.DUMMYFUNCTION("""COMPUTED_VALUE"""),"Maquinaria")</f>
        <v>Maquinaria</v>
      </c>
      <c r="M447" s="5" t="str">
        <f ca="1">IFERROR(__xludf.DUMMYFUNCTION("""COMPUTED_VALUE"""),"No")</f>
        <v>No</v>
      </c>
      <c r="N447" s="5"/>
      <c r="O447" s="5"/>
      <c r="P447" s="18">
        <f ca="1">IFERROR(__xludf.DUMMYFUNCTION("""COMPUTED_VALUE"""),45324)</f>
        <v>45324</v>
      </c>
      <c r="Q447" s="18">
        <f ca="1">IFERROR(__xludf.DUMMYFUNCTION("""COMPUTED_VALUE"""),45324)</f>
        <v>45324</v>
      </c>
      <c r="R447" s="18"/>
      <c r="S447" s="5">
        <f ca="1">IFERROR(__xludf.DUMMYFUNCTION("""COMPUTED_VALUE"""),2)</f>
        <v>2</v>
      </c>
      <c r="T447" s="5"/>
      <c r="U447" s="5" t="str">
        <f ca="1">IFERROR(__xludf.DUMMYFUNCTION("""COMPUTED_VALUE"""),"Franco Castillo Brayan Steven")</f>
        <v>Franco Castillo Brayan Steven</v>
      </c>
      <c r="V447" s="5"/>
      <c r="W447" s="5" t="str">
        <f ca="1">IFERROR(__xludf.DUMMYFUNCTION("""COMPUTED_VALUE"""),"qy8iWiNv_sQ")</f>
        <v>qy8iWiNv_sQ</v>
      </c>
      <c r="X447" s="5">
        <f ca="1">IFERROR(__xludf.DUMMYFUNCTION("""COMPUTED_VALUE"""),2)</f>
        <v>2</v>
      </c>
      <c r="Y447" s="5" t="str">
        <f t="shared" si="2"/>
        <v>Actividad sin realizar</v>
      </c>
      <c r="Z447" s="3">
        <f ca="1">IFERROR(VLOOKUP(U447, 'Base de datos'!A:B, 2, FALSE), "")</f>
        <v>573053427911</v>
      </c>
      <c r="AA447" s="4" t="e">
        <f t="shared" ca="1" si="3"/>
        <v>#NAME?</v>
      </c>
    </row>
    <row r="448" spans="1:27" ht="15.75" customHeight="1">
      <c r="A448" s="5" t="str">
        <f ca="1">IFERROR(__xludf.DUMMYFUNCTION("""COMPUTED_VALUE"""),"POSTOBÓN YUMBO")</f>
        <v>POSTOBÓN YUMBO</v>
      </c>
      <c r="B448" s="5" t="str">
        <f ca="1">IFERROR(__xludf.DUMMYFUNCTION("""COMPUTED_VALUE"""),"0410-LINEA 2")</f>
        <v>0410-LINEA 2</v>
      </c>
      <c r="C448" s="5" t="str">
        <f ca="1">IFERROR(__xludf.DUMMYFUNCTION("""COMPUTED_VALUE"""),"LINEA DE ENVASADO FAMILIAR Y PRB")</f>
        <v>LINEA DE ENVASADO FAMILIAR Y PRB</v>
      </c>
      <c r="D448" s="5">
        <f ca="1">IFERROR(__xludf.DUMMYFUNCTION("""COMPUTED_VALUE"""),828006)</f>
        <v>828006</v>
      </c>
      <c r="E448" s="5" t="str">
        <f ca="1">IFERROR(__xludf.DUMMYFUNCTION("""COMPUTED_VALUE"""),"EMPACADORA")</f>
        <v>EMPACADORA</v>
      </c>
      <c r="F448" s="5">
        <f ca="1">IFERROR(__xludf.DUMMYFUNCTION("""COMPUTED_VALUE"""),22509)</f>
        <v>22509</v>
      </c>
      <c r="G448" s="5" t="str">
        <f ca="1">IFERROR(__xludf.DUMMYFUNCTION("""COMPUTED_VALUE"""),"PLAN MTTO ELE EMPACADORA 828006 L2")</f>
        <v>PLAN MTTO ELE EMPACADORA 828006 L2</v>
      </c>
      <c r="H448" s="5">
        <f ca="1">IFERROR(__xludf.DUMMYFUNCTION("""COMPUTED_VALUE"""),13232359)</f>
        <v>13232359</v>
      </c>
      <c r="I448" s="5" t="str">
        <f ca="1">IFERROR(__xludf.DUMMYFUNCTION("""COMPUTED_VALUE"""),"Tablero Gral Operador")</f>
        <v>Tablero Gral Operador</v>
      </c>
      <c r="J448" s="5" t="str">
        <f ca="1">IFERROR(__xludf.DUMMYFUNCTION("""COMPUTED_VALUE"""),"MEDIO")</f>
        <v>MEDIO</v>
      </c>
      <c r="K448" s="5" t="str">
        <f ca="1">IFERROR(__xludf.DUMMYFUNCTION("""COMPUTED_VALUE"""),"Preventivo")</f>
        <v>Preventivo</v>
      </c>
      <c r="L448" s="5" t="str">
        <f ca="1">IFERROR(__xludf.DUMMYFUNCTION("""COMPUTED_VALUE"""),"Maquinaria")</f>
        <v>Maquinaria</v>
      </c>
      <c r="M448" s="5" t="str">
        <f ca="1">IFERROR(__xludf.DUMMYFUNCTION("""COMPUTED_VALUE"""),"No")</f>
        <v>No</v>
      </c>
      <c r="N448" s="5"/>
      <c r="O448" s="5"/>
      <c r="P448" s="18">
        <f ca="1">IFERROR(__xludf.DUMMYFUNCTION("""COMPUTED_VALUE"""),45343)</f>
        <v>45343</v>
      </c>
      <c r="Q448" s="18">
        <f ca="1">IFERROR(__xludf.DUMMYFUNCTION("""COMPUTED_VALUE"""),45343)</f>
        <v>45343</v>
      </c>
      <c r="R448" s="18"/>
      <c r="S448" s="5">
        <f ca="1">IFERROR(__xludf.DUMMYFUNCTION("""COMPUTED_VALUE"""),4)</f>
        <v>4</v>
      </c>
      <c r="T448" s="5"/>
      <c r="U448" s="5" t="str">
        <f ca="1">IFERROR(__xludf.DUMMYFUNCTION("""COMPUTED_VALUE"""),"Andrés Felipe Pérez Polania")</f>
        <v>Andrés Felipe Pérez Polania</v>
      </c>
      <c r="V448" s="5"/>
      <c r="W448" s="5" t="str">
        <f ca="1">IFERROR(__xludf.DUMMYFUNCTION("""COMPUTED_VALUE"""),"lZwrbfjsWjk")</f>
        <v>lZwrbfjsWjk</v>
      </c>
      <c r="X448" s="5">
        <f ca="1">IFERROR(__xludf.DUMMYFUNCTION("""COMPUTED_VALUE"""),4)</f>
        <v>4</v>
      </c>
      <c r="Y448" s="5" t="str">
        <f t="shared" si="2"/>
        <v>Actividad sin realizar</v>
      </c>
      <c r="Z448" s="3">
        <f ca="1">IFERROR(VLOOKUP(U448, 'Base de datos'!A:B, 2, FALSE), "")</f>
        <v>573186924079</v>
      </c>
      <c r="AA448" s="4" t="e">
        <f t="shared" ca="1" si="3"/>
        <v>#NAME?</v>
      </c>
    </row>
    <row r="449" spans="1:27" ht="15.75" customHeight="1">
      <c r="A449" s="5" t="str">
        <f ca="1">IFERROR(__xludf.DUMMYFUNCTION("""COMPUTED_VALUE"""),"POSTOBÓN YUMBO")</f>
        <v>POSTOBÓN YUMBO</v>
      </c>
      <c r="B449" s="5" t="str">
        <f ca="1">IFERROR(__xludf.DUMMYFUNCTION("""COMPUTED_VALUE"""),"0410-LINEA 2")</f>
        <v>0410-LINEA 2</v>
      </c>
      <c r="C449" s="5" t="str">
        <f ca="1">IFERROR(__xludf.DUMMYFUNCTION("""COMPUTED_VALUE"""),"LINEA DE ENVASADO FAMILIAR Y PRB")</f>
        <v>LINEA DE ENVASADO FAMILIAR Y PRB</v>
      </c>
      <c r="D449" s="5">
        <f ca="1">IFERROR(__xludf.DUMMYFUNCTION("""COMPUTED_VALUE"""),548732)</f>
        <v>548732</v>
      </c>
      <c r="E449" s="5" t="str">
        <f ca="1">IFERROR(__xludf.DUMMYFUNCTION("""COMPUTED_VALUE"""),"DESEMPACADORA")</f>
        <v>DESEMPACADORA</v>
      </c>
      <c r="F449" s="5">
        <f ca="1">IFERROR(__xludf.DUMMYFUNCTION("""COMPUTED_VALUE"""),4322)</f>
        <v>4322</v>
      </c>
      <c r="G449" s="5" t="str">
        <f ca="1">IFERROR(__xludf.DUMMYFUNCTION("""COMPUTED_VALUE"""),"MANTTO LUBRICACION DESEMPACAD L2 548732")</f>
        <v>MANTTO LUBRICACION DESEMPACAD L2 548732</v>
      </c>
      <c r="H449" s="5">
        <f ca="1">IFERROR(__xludf.DUMMYFUNCTION("""COMPUTED_VALUE"""),13226497)</f>
        <v>13226497</v>
      </c>
      <c r="I449" s="5" t="str">
        <f ca="1">IFERROR(__xludf.DUMMYFUNCTION("""COMPUTED_VALUE"""),"Lubricacion Caja Reductora Ppal")</f>
        <v>Lubricacion Caja Reductora Ppal</v>
      </c>
      <c r="J449" s="5" t="str">
        <f ca="1">IFERROR(__xludf.DUMMYFUNCTION("""COMPUTED_VALUE"""),"MEDIO")</f>
        <v>MEDIO</v>
      </c>
      <c r="K449" s="5" t="str">
        <f ca="1">IFERROR(__xludf.DUMMYFUNCTION("""COMPUTED_VALUE"""),"Preventivo")</f>
        <v>Preventivo</v>
      </c>
      <c r="L449" s="5" t="str">
        <f ca="1">IFERROR(__xludf.DUMMYFUNCTION("""COMPUTED_VALUE"""),"Maquinaria")</f>
        <v>Maquinaria</v>
      </c>
      <c r="M449" s="5" t="str">
        <f ca="1">IFERROR(__xludf.DUMMYFUNCTION("""COMPUTED_VALUE"""),"No")</f>
        <v>No</v>
      </c>
      <c r="N449" s="5"/>
      <c r="O449" s="5"/>
      <c r="P449" s="18">
        <f ca="1">IFERROR(__xludf.DUMMYFUNCTION("""COMPUTED_VALUE"""),45349)</f>
        <v>45349</v>
      </c>
      <c r="Q449" s="18">
        <f ca="1">IFERROR(__xludf.DUMMYFUNCTION("""COMPUTED_VALUE"""),45349)</f>
        <v>45349</v>
      </c>
      <c r="R449" s="18"/>
      <c r="S449" s="5">
        <f ca="1">IFERROR(__xludf.DUMMYFUNCTION("""COMPUTED_VALUE"""),2)</f>
        <v>2</v>
      </c>
      <c r="T449" s="5"/>
      <c r="U449" s="5" t="str">
        <f ca="1">IFERROR(__xludf.DUMMYFUNCTION("""COMPUTED_VALUE"""),"Alexander Echeverry Moreno")</f>
        <v>Alexander Echeverry Moreno</v>
      </c>
      <c r="V449" s="5"/>
      <c r="W449" s="5" t="str">
        <f ca="1">IFERROR(__xludf.DUMMYFUNCTION("""COMPUTED_VALUE"""),"4_FCEvesa5E")</f>
        <v>4_FCEvesa5E</v>
      </c>
      <c r="X449" s="5">
        <f ca="1">IFERROR(__xludf.DUMMYFUNCTION("""COMPUTED_VALUE"""),2)</f>
        <v>2</v>
      </c>
      <c r="Y449" s="5" t="str">
        <f t="shared" si="2"/>
        <v>Actividad sin realizar</v>
      </c>
      <c r="Z449" s="3">
        <f ca="1">IFERROR(VLOOKUP(U449, 'Base de datos'!A:B, 2, FALSE), "")</f>
        <v>573173223149</v>
      </c>
      <c r="AA449" s="4" t="e">
        <f t="shared" ca="1" si="3"/>
        <v>#NAME?</v>
      </c>
    </row>
    <row r="450" spans="1:27" ht="15.75" customHeight="1">
      <c r="A450" s="5" t="str">
        <f ca="1">IFERROR(__xludf.DUMMYFUNCTION("""COMPUTED_VALUE"""),"POSTOBÓN YUMBO")</f>
        <v>POSTOBÓN YUMBO</v>
      </c>
      <c r="B450" s="5" t="str">
        <f ca="1">IFERROR(__xludf.DUMMYFUNCTION("""COMPUTED_VALUE"""),"0410-ENVASADO JUGOS PET HOT F")</f>
        <v>0410-ENVASADO JUGOS PET HOT F</v>
      </c>
      <c r="C450" s="5" t="str">
        <f ca="1">IFERROR(__xludf.DUMMYFUNCTION("""COMPUTED_VALUE"""),"LINEA DE ENVASADO JUGOS PET HOT FILL")</f>
        <v>LINEA DE ENVASADO JUGOS PET HOT FILL</v>
      </c>
      <c r="D450" s="5">
        <f ca="1">IFERROR(__xludf.DUMMYFUNCTION("""COMPUTED_VALUE"""),900303)</f>
        <v>900303</v>
      </c>
      <c r="E450" s="5" t="str">
        <f ca="1">IFERROR(__xludf.DUMMYFUNCTION("""COMPUTED_VALUE"""),"LLENADORA")</f>
        <v>LLENADORA</v>
      </c>
      <c r="F450" s="5">
        <f ca="1">IFERROR(__xludf.DUMMYFUNCTION("""COMPUTED_VALUE"""),14085)</f>
        <v>14085</v>
      </c>
      <c r="G450" s="5" t="str">
        <f ca="1">IFERROR(__xludf.DUMMYFUNCTION("""COMPUTED_VALUE"""),"MANTENIMIENTO LUB LLENADORA L8 90030")</f>
        <v>MANTENIMIENTO LUB LLENADORA L8 90030</v>
      </c>
      <c r="H450" s="5">
        <f ca="1">IFERROR(__xludf.DUMMYFUNCTION("""COMPUTED_VALUE"""),13226502)</f>
        <v>13226502</v>
      </c>
      <c r="I450" s="5" t="str">
        <f ca="1">IFERROR(__xludf.DUMMYFUNCTION("""COMPUTED_VALUE"""),"Revision aceite Servos")</f>
        <v>Revision aceite Servos</v>
      </c>
      <c r="J450" s="5" t="str">
        <f ca="1">IFERROR(__xludf.DUMMYFUNCTION("""COMPUTED_VALUE"""),"ALTO")</f>
        <v>ALTO</v>
      </c>
      <c r="K450" s="5" t="str">
        <f ca="1">IFERROR(__xludf.DUMMYFUNCTION("""COMPUTED_VALUE"""),"Preventivo")</f>
        <v>Preventivo</v>
      </c>
      <c r="L450" s="5" t="str">
        <f ca="1">IFERROR(__xludf.DUMMYFUNCTION("""COMPUTED_VALUE"""),"Maquinaria")</f>
        <v>Maquinaria</v>
      </c>
      <c r="M450" s="5" t="str">
        <f ca="1">IFERROR(__xludf.DUMMYFUNCTION("""COMPUTED_VALUE"""),"No")</f>
        <v>No</v>
      </c>
      <c r="N450" s="5"/>
      <c r="O450" s="5"/>
      <c r="P450" s="18">
        <f ca="1">IFERROR(__xludf.DUMMYFUNCTION("""COMPUTED_VALUE"""),45324)</f>
        <v>45324</v>
      </c>
      <c r="Q450" s="18">
        <f ca="1">IFERROR(__xludf.DUMMYFUNCTION("""COMPUTED_VALUE"""),45324)</f>
        <v>45324</v>
      </c>
      <c r="R450" s="18"/>
      <c r="S450" s="5">
        <f ca="1">IFERROR(__xludf.DUMMYFUNCTION("""COMPUTED_VALUE"""),2)</f>
        <v>2</v>
      </c>
      <c r="T450" s="5"/>
      <c r="U450" s="5" t="str">
        <f ca="1">IFERROR(__xludf.DUMMYFUNCTION("""COMPUTED_VALUE"""),"Franco Castillo Brayan Steven")</f>
        <v>Franco Castillo Brayan Steven</v>
      </c>
      <c r="V450" s="5"/>
      <c r="W450" s="5" t="str">
        <f ca="1">IFERROR(__xludf.DUMMYFUNCTION("""COMPUTED_VALUE"""),"mIIlzRytKOg")</f>
        <v>mIIlzRytKOg</v>
      </c>
      <c r="X450" s="5">
        <f ca="1">IFERROR(__xludf.DUMMYFUNCTION("""COMPUTED_VALUE"""),2)</f>
        <v>2</v>
      </c>
      <c r="Y450" s="5" t="str">
        <f t="shared" si="2"/>
        <v>Actividad sin realizar</v>
      </c>
      <c r="Z450" s="3">
        <f ca="1">IFERROR(VLOOKUP(U450, 'Base de datos'!A:B, 2, FALSE), "")</f>
        <v>573053427911</v>
      </c>
      <c r="AA450" s="4" t="e">
        <f t="shared" ca="1" si="3"/>
        <v>#NAME?</v>
      </c>
    </row>
    <row r="451" spans="1:27" ht="15.75" customHeight="1">
      <c r="A451" s="5" t="str">
        <f ca="1">IFERROR(__xludf.DUMMYFUNCTION("""COMPUTED_VALUE"""),"POSTOBÓN YUMBO")</f>
        <v>POSTOBÓN YUMBO</v>
      </c>
      <c r="B451" s="5" t="str">
        <f ca="1">IFERROR(__xludf.DUMMYFUNCTION("""COMPUTED_VALUE"""),"0410-SALA DE JARABE TERMINADO")</f>
        <v>0410-SALA DE JARABE TERMINADO</v>
      </c>
      <c r="C451" s="5" t="str">
        <f ca="1">IFERROR(__xludf.DUMMYFUNCTION("""COMPUTED_VALUE"""),"EQUIPOS PARA PREPARACION DE JARABE")</f>
        <v>EQUIPOS PARA PREPARACION DE JARABE</v>
      </c>
      <c r="D451" s="5">
        <f ca="1">IFERROR(__xludf.DUMMYFUNCTION("""COMPUTED_VALUE"""),69963415)</f>
        <v>69963415</v>
      </c>
      <c r="E451" s="5" t="str">
        <f ca="1">IFERROR(__xludf.DUMMYFUNCTION("""COMPUTED_VALUE"""),"TANQUE ALMAC.JARABE SIMPLE")</f>
        <v>TANQUE ALMAC.JARABE SIMPLE</v>
      </c>
      <c r="F451" s="5">
        <f ca="1">IFERROR(__xludf.DUMMYFUNCTION("""COMPUTED_VALUE"""),17361)</f>
        <v>17361</v>
      </c>
      <c r="G451" s="5" t="str">
        <f ca="1">IFERROR(__xludf.DUMMYFUNCTION("""COMPUTED_VALUE"""),"MTTO ELE TK JARABE SIMPL JARABE TERMIN")</f>
        <v>MTTO ELE TK JARABE SIMPL JARABE TERMIN</v>
      </c>
      <c r="H451" s="5">
        <f ca="1">IFERROR(__xludf.DUMMYFUNCTION("""COMPUTED_VALUE"""),13247149)</f>
        <v>13247149</v>
      </c>
      <c r="I451" s="5" t="str">
        <f ca="1">IFERROR(__xludf.DUMMYFUNCTION("""COMPUTED_VALUE"""),"Revisar funcionamiento sensor flujo, niv")</f>
        <v>Revisar funcionamiento sensor flujo, niv</v>
      </c>
      <c r="J451" s="5" t="str">
        <f ca="1">IFERROR(__xludf.DUMMYFUNCTION("""COMPUTED_VALUE"""),"ALTO")</f>
        <v>ALTO</v>
      </c>
      <c r="K451" s="5" t="str">
        <f ca="1">IFERROR(__xludf.DUMMYFUNCTION("""COMPUTED_VALUE"""),"Preventivo")</f>
        <v>Preventivo</v>
      </c>
      <c r="L451" s="5" t="str">
        <f ca="1">IFERROR(__xludf.DUMMYFUNCTION("""COMPUTED_VALUE"""),"Maquinaria")</f>
        <v>Maquinaria</v>
      </c>
      <c r="M451" s="5" t="str">
        <f ca="1">IFERROR(__xludf.DUMMYFUNCTION("""COMPUTED_VALUE"""),"No")</f>
        <v>No</v>
      </c>
      <c r="N451" s="5"/>
      <c r="O451" s="5">
        <f ca="1">IFERROR(__xludf.DUMMYFUNCTION("""COMPUTED_VALUE"""),100)</f>
        <v>100</v>
      </c>
      <c r="P451" s="18">
        <f ca="1">IFERROR(__xludf.DUMMYFUNCTION("""COMPUTED_VALUE"""),45343)</f>
        <v>45343</v>
      </c>
      <c r="Q451" s="18">
        <f ca="1">IFERROR(__xludf.DUMMYFUNCTION("""COMPUTED_VALUE"""),45343)</f>
        <v>45343</v>
      </c>
      <c r="R451" s="18"/>
      <c r="S451" s="5">
        <f ca="1">IFERROR(__xludf.DUMMYFUNCTION("""COMPUTED_VALUE"""),1)</f>
        <v>1</v>
      </c>
      <c r="T451" s="5"/>
      <c r="U451" s="5" t="str">
        <f ca="1">IFERROR(__xludf.DUMMYFUNCTION("""COMPUTED_VALUE"""),"Rivas Mena Carlos Danny")</f>
        <v>Rivas Mena Carlos Danny</v>
      </c>
      <c r="V451" s="5"/>
      <c r="W451" s="5" t="str">
        <f ca="1">IFERROR(__xludf.DUMMYFUNCTION("""COMPUTED_VALUE"""),"4GcCa3Tv8z4")</f>
        <v>4GcCa3Tv8z4</v>
      </c>
      <c r="X451" s="5">
        <f ca="1">IFERROR(__xludf.DUMMYFUNCTION("""COMPUTED_VALUE"""),1)</f>
        <v>1</v>
      </c>
      <c r="Y451" s="5" t="str">
        <f t="shared" ca="1" si="2"/>
        <v>Actividad realizada</v>
      </c>
      <c r="Z451" s="3">
        <f ca="1">IFERROR(VLOOKUP(U451, 'Base de datos'!A:B, 2, FALSE), "")</f>
        <v>0</v>
      </c>
      <c r="AA451" s="4" t="e">
        <f t="shared" ca="1" si="3"/>
        <v>#NAME?</v>
      </c>
    </row>
    <row r="452" spans="1:27" ht="15.75" customHeight="1">
      <c r="A452" s="5" t="str">
        <f ca="1">IFERROR(__xludf.DUMMYFUNCTION("""COMPUTED_VALUE"""),"POSTOBÓN YUMBO")</f>
        <v>POSTOBÓN YUMBO</v>
      </c>
      <c r="B452" s="5" t="str">
        <f ca="1">IFERROR(__xludf.DUMMYFUNCTION("""COMPUTED_VALUE"""),"0410-SALA DE JARABE TERMINADO")</f>
        <v>0410-SALA DE JARABE TERMINADO</v>
      </c>
      <c r="C452" s="5" t="str">
        <f ca="1">IFERROR(__xludf.DUMMYFUNCTION("""COMPUTED_VALUE"""),"EQUIPOS PARA PREPARACION DE JARABE")</f>
        <v>EQUIPOS PARA PREPARACION DE JARABE</v>
      </c>
      <c r="D452" s="5">
        <f ca="1">IFERROR(__xludf.DUMMYFUNCTION("""COMPUTED_VALUE"""),69963407)</f>
        <v>69963407</v>
      </c>
      <c r="E452" s="5" t="str">
        <f ca="1">IFERROR(__xludf.DUMMYFUNCTION("""COMPUTED_VALUE"""),"TANQUE DE JARABE")</f>
        <v>TANQUE DE JARABE</v>
      </c>
      <c r="F452" s="5">
        <f ca="1">IFERROR(__xludf.DUMMYFUNCTION("""COMPUTED_VALUE"""),17361)</f>
        <v>17361</v>
      </c>
      <c r="G452" s="5" t="str">
        <f ca="1">IFERROR(__xludf.DUMMYFUNCTION("""COMPUTED_VALUE"""),"MTTO MEC TK JARABE 4 JARABE TERMINADO")</f>
        <v>MTTO MEC TK JARABE 4 JARABE TERMINADO</v>
      </c>
      <c r="H452" s="5">
        <f ca="1">IFERROR(__xludf.DUMMYFUNCTION("""COMPUTED_VALUE"""),13247154)</f>
        <v>13247154</v>
      </c>
      <c r="I452" s="5" t="str">
        <f ca="1">IFERROR(__xludf.DUMMYFUNCTION("""COMPUTED_VALUE"""),"ANTON PAAR - dentro de la cubierta de")</f>
        <v>ANTON PAAR - dentro de la cubierta de</v>
      </c>
      <c r="J452" s="5" t="str">
        <f ca="1">IFERROR(__xludf.DUMMYFUNCTION("""COMPUTED_VALUE"""),"ALTO")</f>
        <v>ALTO</v>
      </c>
      <c r="K452" s="5" t="str">
        <f ca="1">IFERROR(__xludf.DUMMYFUNCTION("""COMPUTED_VALUE"""),"Preventivo")</f>
        <v>Preventivo</v>
      </c>
      <c r="L452" s="5" t="str">
        <f ca="1">IFERROR(__xludf.DUMMYFUNCTION("""COMPUTED_VALUE"""),"Maquinaria")</f>
        <v>Maquinaria</v>
      </c>
      <c r="M452" s="5" t="str">
        <f ca="1">IFERROR(__xludf.DUMMYFUNCTION("""COMPUTED_VALUE"""),"No")</f>
        <v>No</v>
      </c>
      <c r="N452" s="5"/>
      <c r="O452" s="5">
        <f ca="1">IFERROR(__xludf.DUMMYFUNCTION("""COMPUTED_VALUE"""),100)</f>
        <v>100</v>
      </c>
      <c r="P452" s="18">
        <f ca="1">IFERROR(__xludf.DUMMYFUNCTION("""COMPUTED_VALUE"""),45342)</f>
        <v>45342</v>
      </c>
      <c r="Q452" s="18">
        <f ca="1">IFERROR(__xludf.DUMMYFUNCTION("""COMPUTED_VALUE"""),45342)</f>
        <v>45342</v>
      </c>
      <c r="R452" s="18"/>
      <c r="S452" s="5">
        <f ca="1">IFERROR(__xludf.DUMMYFUNCTION("""COMPUTED_VALUE"""),1)</f>
        <v>1</v>
      </c>
      <c r="T452" s="5"/>
      <c r="U452" s="5" t="str">
        <f ca="1">IFERROR(__xludf.DUMMYFUNCTION("""COMPUTED_VALUE"""),"Moreno Pernia Bladimir")</f>
        <v>Moreno Pernia Bladimir</v>
      </c>
      <c r="V452" s="5"/>
      <c r="W452" s="5" t="str">
        <f ca="1">IFERROR(__xludf.DUMMYFUNCTION("""COMPUTED_VALUE"""),"kmUQi9a5FUk")</f>
        <v>kmUQi9a5FUk</v>
      </c>
      <c r="X452" s="5">
        <f ca="1">IFERROR(__xludf.DUMMYFUNCTION("""COMPUTED_VALUE"""),1)</f>
        <v>1</v>
      </c>
      <c r="Y452" s="5" t="str">
        <f t="shared" ca="1" si="2"/>
        <v>Actividad realizada</v>
      </c>
      <c r="Z452" s="3">
        <f ca="1">IFERROR(VLOOKUP(U452, 'Base de datos'!A:B, 2, FALSE), "")</f>
        <v>573148903137</v>
      </c>
      <c r="AA452" s="4" t="e">
        <f t="shared" ca="1" si="3"/>
        <v>#NAME?</v>
      </c>
    </row>
    <row r="453" spans="1:27" ht="15.75" customHeight="1">
      <c r="A453" s="5" t="str">
        <f ca="1">IFERROR(__xludf.DUMMYFUNCTION("""COMPUTED_VALUE"""),"POSTOBÓN YUMBO")</f>
        <v>POSTOBÓN YUMBO</v>
      </c>
      <c r="B453" s="5" t="str">
        <f ca="1">IFERROR(__xludf.DUMMYFUNCTION("""COMPUTED_VALUE"""),"0410-SALA DE JARABE TERMINADO")</f>
        <v>0410-SALA DE JARABE TERMINADO</v>
      </c>
      <c r="C453" s="5" t="str">
        <f ca="1">IFERROR(__xludf.DUMMYFUNCTION("""COMPUTED_VALUE"""),"EQUIPOS PARA PREPARACION DE JARABE")</f>
        <v>EQUIPOS PARA PREPARACION DE JARABE</v>
      </c>
      <c r="D453" s="5">
        <f ca="1">IFERROR(__xludf.DUMMYFUNCTION("""COMPUTED_VALUE"""),69963407)</f>
        <v>69963407</v>
      </c>
      <c r="E453" s="5" t="str">
        <f ca="1">IFERROR(__xludf.DUMMYFUNCTION("""COMPUTED_VALUE"""),"TANQUE DE JARABE")</f>
        <v>TANQUE DE JARABE</v>
      </c>
      <c r="F453" s="5">
        <f ca="1">IFERROR(__xludf.DUMMYFUNCTION("""COMPUTED_VALUE"""),17361)</f>
        <v>17361</v>
      </c>
      <c r="G453" s="5" t="str">
        <f ca="1">IFERROR(__xludf.DUMMYFUNCTION("""COMPUTED_VALUE"""),"MTTO MEC TK JARABE 4 JARABE TERMINADO")</f>
        <v>MTTO MEC TK JARABE 4 JARABE TERMINADO</v>
      </c>
      <c r="H453" s="5">
        <f ca="1">IFERROR(__xludf.DUMMYFUNCTION("""COMPUTED_VALUE"""),13247154)</f>
        <v>13247154</v>
      </c>
      <c r="I453" s="5" t="str">
        <f ca="1">IFERROR(__xludf.DUMMYFUNCTION("""COMPUTED_VALUE"""),"ANTON PAAR - remplace los diafragmas")</f>
        <v>ANTON PAAR - remplace los diafragmas</v>
      </c>
      <c r="J453" s="5" t="str">
        <f ca="1">IFERROR(__xludf.DUMMYFUNCTION("""COMPUTED_VALUE"""),"ALTO")</f>
        <v>ALTO</v>
      </c>
      <c r="K453" s="5" t="str">
        <f ca="1">IFERROR(__xludf.DUMMYFUNCTION("""COMPUTED_VALUE"""),"Preventivo")</f>
        <v>Preventivo</v>
      </c>
      <c r="L453" s="5" t="str">
        <f ca="1">IFERROR(__xludf.DUMMYFUNCTION("""COMPUTED_VALUE"""),"Maquinaria")</f>
        <v>Maquinaria</v>
      </c>
      <c r="M453" s="5" t="str">
        <f ca="1">IFERROR(__xludf.DUMMYFUNCTION("""COMPUTED_VALUE"""),"No")</f>
        <v>No</v>
      </c>
      <c r="N453" s="5"/>
      <c r="O453" s="5">
        <f ca="1">IFERROR(__xludf.DUMMYFUNCTION("""COMPUTED_VALUE"""),100)</f>
        <v>100</v>
      </c>
      <c r="P453" s="18">
        <f ca="1">IFERROR(__xludf.DUMMYFUNCTION("""COMPUTED_VALUE"""),45342)</f>
        <v>45342</v>
      </c>
      <c r="Q453" s="18">
        <f ca="1">IFERROR(__xludf.DUMMYFUNCTION("""COMPUTED_VALUE"""),45342)</f>
        <v>45342</v>
      </c>
      <c r="R453" s="18"/>
      <c r="S453" s="5">
        <f ca="1">IFERROR(__xludf.DUMMYFUNCTION("""COMPUTED_VALUE"""),8)</f>
        <v>8</v>
      </c>
      <c r="T453" s="5"/>
      <c r="U453" s="5" t="str">
        <f ca="1">IFERROR(__xludf.DUMMYFUNCTION("""COMPUTED_VALUE"""),"Moreno Pernia Bladimir")</f>
        <v>Moreno Pernia Bladimir</v>
      </c>
      <c r="V453" s="5"/>
      <c r="W453" s="5" t="str">
        <f ca="1">IFERROR(__xludf.DUMMYFUNCTION("""COMPUTED_VALUE"""),"sP1y4SiUhxM")</f>
        <v>sP1y4SiUhxM</v>
      </c>
      <c r="X453" s="5">
        <f ca="1">IFERROR(__xludf.DUMMYFUNCTION("""COMPUTED_VALUE"""),8)</f>
        <v>8</v>
      </c>
      <c r="Y453" s="5" t="str">
        <f t="shared" ca="1" si="2"/>
        <v>Actividad realizada</v>
      </c>
      <c r="Z453" s="3">
        <f ca="1">IFERROR(VLOOKUP(U453, 'Base de datos'!A:B, 2, FALSE), "")</f>
        <v>573148903137</v>
      </c>
      <c r="AA453" s="4" t="e">
        <f t="shared" ca="1" si="3"/>
        <v>#NAME?</v>
      </c>
    </row>
    <row r="454" spans="1:27" ht="15.75" customHeight="1">
      <c r="A454" s="5" t="str">
        <f ca="1">IFERROR(__xludf.DUMMYFUNCTION("""COMPUTED_VALUE"""),"POSTOBÓN YUMBO")</f>
        <v>POSTOBÓN YUMBO</v>
      </c>
      <c r="B454" s="5" t="str">
        <f ca="1">IFERROR(__xludf.DUMMYFUNCTION("""COMPUTED_VALUE"""),"0410-LINEA 2")</f>
        <v>0410-LINEA 2</v>
      </c>
      <c r="C454" s="5" t="str">
        <f ca="1">IFERROR(__xludf.DUMMYFUNCTION("""COMPUTED_VALUE"""),"LINEA DE ENVASADO FAMILIAR Y PRB")</f>
        <v>LINEA DE ENVASADO FAMILIAR Y PRB</v>
      </c>
      <c r="D454" s="5">
        <f ca="1">IFERROR(__xludf.DUMMYFUNCTION("""COMPUTED_VALUE"""),599559)</f>
        <v>599559</v>
      </c>
      <c r="E454" s="5" t="str">
        <f ca="1">IFERROR(__xludf.DUMMYFUNCTION("""COMPUTED_VALUE"""),"INSPECTOR ELECTRONICO")</f>
        <v>INSPECTOR ELECTRONICO</v>
      </c>
      <c r="F454" s="5">
        <f ca="1">IFERROR(__xludf.DUMMYFUNCTION("""COMPUTED_VALUE"""),17380)</f>
        <v>17380</v>
      </c>
      <c r="G454" s="5" t="str">
        <f ca="1">IFERROR(__xludf.DUMMYFUNCTION("""COMPUTED_VALUE"""),"MTTO ELEC INSPECTOR L2 599559")</f>
        <v>MTTO ELEC INSPECTOR L2 599559</v>
      </c>
      <c r="H454" s="5">
        <f ca="1">IFERROR(__xludf.DUMMYFUNCTION("""COMPUTED_VALUE"""),13221300)</f>
        <v>13221300</v>
      </c>
      <c r="I454" s="5" t="str">
        <f ca="1">IFERROR(__xludf.DUMMYFUNCTION("""COMPUTED_VALUE"""),"FILTRO FINO DE LA REFRIGERACION DEL")</f>
        <v>FILTRO FINO DE LA REFRIGERACION DEL</v>
      </c>
      <c r="J454" s="5" t="str">
        <f ca="1">IFERROR(__xludf.DUMMYFUNCTION("""COMPUTED_VALUE"""),"ALTO")</f>
        <v>ALTO</v>
      </c>
      <c r="K454" s="5" t="str">
        <f ca="1">IFERROR(__xludf.DUMMYFUNCTION("""COMPUTED_VALUE"""),"Preventivo")</f>
        <v>Preventivo</v>
      </c>
      <c r="L454" s="5" t="str">
        <f ca="1">IFERROR(__xludf.DUMMYFUNCTION("""COMPUTED_VALUE"""),"Maquinaria")</f>
        <v>Maquinaria</v>
      </c>
      <c r="M454" s="5" t="str">
        <f ca="1">IFERROR(__xludf.DUMMYFUNCTION("""COMPUTED_VALUE"""),"No")</f>
        <v>No</v>
      </c>
      <c r="N454" s="5"/>
      <c r="O454" s="5"/>
      <c r="P454" s="18">
        <f ca="1">IFERROR(__xludf.DUMMYFUNCTION("""COMPUTED_VALUE"""),45341)</f>
        <v>45341</v>
      </c>
      <c r="Q454" s="18">
        <f ca="1">IFERROR(__xludf.DUMMYFUNCTION("""COMPUTED_VALUE"""),45341)</f>
        <v>45341</v>
      </c>
      <c r="R454" s="18"/>
      <c r="S454" s="5">
        <f ca="1">IFERROR(__xludf.DUMMYFUNCTION("""COMPUTED_VALUE"""),2)</f>
        <v>2</v>
      </c>
      <c r="T454" s="5"/>
      <c r="U454" s="5" t="str">
        <f ca="1">IFERROR(__xludf.DUMMYFUNCTION("""COMPUTED_VALUE"""),"Alexander Echeverry Moreno")</f>
        <v>Alexander Echeverry Moreno</v>
      </c>
      <c r="V454" s="5"/>
      <c r="W454" s="5" t="str">
        <f ca="1">IFERROR(__xludf.DUMMYFUNCTION("""COMPUTED_VALUE"""),"fhk8s1gIhEc")</f>
        <v>fhk8s1gIhEc</v>
      </c>
      <c r="X454" s="5">
        <f ca="1">IFERROR(__xludf.DUMMYFUNCTION("""COMPUTED_VALUE"""),2)</f>
        <v>2</v>
      </c>
      <c r="Y454" s="5" t="str">
        <f t="shared" si="2"/>
        <v>Actividad sin realizar</v>
      </c>
      <c r="Z454" s="3">
        <f ca="1">IFERROR(VLOOKUP(U454, 'Base de datos'!A:B, 2, FALSE), "")</f>
        <v>573173223149</v>
      </c>
      <c r="AA454" s="4" t="e">
        <f t="shared" ca="1" si="3"/>
        <v>#NAME?</v>
      </c>
    </row>
    <row r="455" spans="1:27" ht="15.75" customHeight="1">
      <c r="A455" s="5" t="str">
        <f ca="1">IFERROR(__xludf.DUMMYFUNCTION("""COMPUTED_VALUE"""),"POSTOBÓN YUMBO")</f>
        <v>POSTOBÓN YUMBO</v>
      </c>
      <c r="B455" s="5" t="str">
        <f ca="1">IFERROR(__xludf.DUMMYFUNCTION("""COMPUTED_VALUE"""),"0410-SALA DE JARABE TERMINADO")</f>
        <v>0410-SALA DE JARABE TERMINADO</v>
      </c>
      <c r="C455" s="5" t="str">
        <f ca="1">IFERROR(__xludf.DUMMYFUNCTION("""COMPUTED_VALUE"""),"EQUIPOS PARA PREPARACION DE JARABE")</f>
        <v>EQUIPOS PARA PREPARACION DE JARABE</v>
      </c>
      <c r="D455" s="5">
        <f ca="1">IFERROR(__xludf.DUMMYFUNCTION("""COMPUTED_VALUE"""),69963406)</f>
        <v>69963406</v>
      </c>
      <c r="E455" s="5" t="str">
        <f ca="1">IFERROR(__xludf.DUMMYFUNCTION("""COMPUTED_VALUE"""),"TANQUE DE JARABE")</f>
        <v>TANQUE DE JARABE</v>
      </c>
      <c r="F455" s="5">
        <f ca="1">IFERROR(__xludf.DUMMYFUNCTION("""COMPUTED_VALUE"""),17361)</f>
        <v>17361</v>
      </c>
      <c r="G455" s="5" t="str">
        <f ca="1">IFERROR(__xludf.DUMMYFUNCTION("""COMPUTED_VALUE"""),"MTTO MEC TK JARABE 3 JARABE TERMINADO")</f>
        <v>MTTO MEC TK JARABE 3 JARABE TERMINADO</v>
      </c>
      <c r="H455" s="5">
        <f ca="1">IFERROR(__xludf.DUMMYFUNCTION("""COMPUTED_VALUE"""),13247152)</f>
        <v>13247152</v>
      </c>
      <c r="I455" s="5" t="str">
        <f ca="1">IFERROR(__xludf.DUMMYFUNCTION("""COMPUTED_VALUE"""),"ANTON PAAR - remplace los diafragmas")</f>
        <v>ANTON PAAR - remplace los diafragmas</v>
      </c>
      <c r="J455" s="5" t="str">
        <f ca="1">IFERROR(__xludf.DUMMYFUNCTION("""COMPUTED_VALUE"""),"ALTO")</f>
        <v>ALTO</v>
      </c>
      <c r="K455" s="5" t="str">
        <f ca="1">IFERROR(__xludf.DUMMYFUNCTION("""COMPUTED_VALUE"""),"Preventivo")</f>
        <v>Preventivo</v>
      </c>
      <c r="L455" s="5" t="str">
        <f ca="1">IFERROR(__xludf.DUMMYFUNCTION("""COMPUTED_VALUE"""),"Maquinaria")</f>
        <v>Maquinaria</v>
      </c>
      <c r="M455" s="5" t="str">
        <f ca="1">IFERROR(__xludf.DUMMYFUNCTION("""COMPUTED_VALUE"""),"No")</f>
        <v>No</v>
      </c>
      <c r="N455" s="5"/>
      <c r="O455" s="5">
        <f ca="1">IFERROR(__xludf.DUMMYFUNCTION("""COMPUTED_VALUE"""),100)</f>
        <v>100</v>
      </c>
      <c r="P455" s="18">
        <f ca="1">IFERROR(__xludf.DUMMYFUNCTION("""COMPUTED_VALUE"""),45342)</f>
        <v>45342</v>
      </c>
      <c r="Q455" s="18">
        <f ca="1">IFERROR(__xludf.DUMMYFUNCTION("""COMPUTED_VALUE"""),45342)</f>
        <v>45342</v>
      </c>
      <c r="R455" s="18"/>
      <c r="S455" s="5">
        <f ca="1">IFERROR(__xludf.DUMMYFUNCTION("""COMPUTED_VALUE"""),8)</f>
        <v>8</v>
      </c>
      <c r="T455" s="5"/>
      <c r="U455" s="5" t="str">
        <f ca="1">IFERROR(__xludf.DUMMYFUNCTION("""COMPUTED_VALUE"""),"Moreno Pernia Bladimir")</f>
        <v>Moreno Pernia Bladimir</v>
      </c>
      <c r="V455" s="5"/>
      <c r="W455" s="5" t="str">
        <f ca="1">IFERROR(__xludf.DUMMYFUNCTION("""COMPUTED_VALUE"""),"ftJC6ouFBFM")</f>
        <v>ftJC6ouFBFM</v>
      </c>
      <c r="X455" s="5">
        <f ca="1">IFERROR(__xludf.DUMMYFUNCTION("""COMPUTED_VALUE"""),8)</f>
        <v>8</v>
      </c>
      <c r="Y455" s="5" t="str">
        <f t="shared" ca="1" si="2"/>
        <v>Actividad realizada</v>
      </c>
      <c r="Z455" s="3">
        <f ca="1">IFERROR(VLOOKUP(U455, 'Base de datos'!A:B, 2, FALSE), "")</f>
        <v>573148903137</v>
      </c>
      <c r="AA455" s="4" t="e">
        <f t="shared" ca="1" si="3"/>
        <v>#NAME?</v>
      </c>
    </row>
    <row r="456" spans="1:27" ht="15.75" customHeight="1">
      <c r="A456" s="5" t="str">
        <f ca="1">IFERROR(__xludf.DUMMYFUNCTION("""COMPUTED_VALUE"""),"POSTOBÓN YUMBO")</f>
        <v>POSTOBÓN YUMBO</v>
      </c>
      <c r="B456" s="5" t="str">
        <f ca="1">IFERROR(__xludf.DUMMYFUNCTION("""COMPUTED_VALUE"""),"0410-LINEA 3")</f>
        <v>0410-LINEA 3</v>
      </c>
      <c r="C456" s="5" t="str">
        <f ca="1">IFERROR(__xludf.DUMMYFUNCTION("""COMPUTED_VALUE"""),"LINEA DE ENVASADO TAMAÑO PERSONAL")</f>
        <v>LINEA DE ENVASADO TAMAÑO PERSONAL</v>
      </c>
      <c r="D456" s="5">
        <f ca="1">IFERROR(__xludf.DUMMYFUNCTION("""COMPUTED_VALUE"""),828592)</f>
        <v>828592</v>
      </c>
      <c r="E456" s="5" t="str">
        <f ca="1">IFERROR(__xludf.DUMMYFUNCTION("""COMPUTED_VALUE"""),"LLENADORA")</f>
        <v>LLENADORA</v>
      </c>
      <c r="F456" s="5">
        <f ca="1">IFERROR(__xludf.DUMMYFUNCTION("""COMPUTED_VALUE"""),5821)</f>
        <v>5821</v>
      </c>
      <c r="G456" s="5" t="str">
        <f ca="1">IFERROR(__xludf.DUMMYFUNCTION("""COMPUTED_VALUE"""),"LUBRICACION SISTEMA MOTRIZ LLENADORA # 1")</f>
        <v>LUBRICACION SISTEMA MOTRIZ LLENADORA # 1</v>
      </c>
      <c r="H456" s="5">
        <f ca="1">IFERROR(__xludf.DUMMYFUNCTION("""COMPUTED_VALUE"""),13247122)</f>
        <v>13247122</v>
      </c>
      <c r="I456" s="5" t="str">
        <f ca="1">IFERROR(__xludf.DUMMYFUNCTION("""COMPUTED_VALUE"""),"REAJUSTE DE ACEITE A CAJAS REDUCTORAS")</f>
        <v>REAJUSTE DE ACEITE A CAJAS REDUCTORAS</v>
      </c>
      <c r="J456" s="5" t="str">
        <f ca="1">IFERROR(__xludf.DUMMYFUNCTION("""COMPUTED_VALUE"""),"ALTO")</f>
        <v>ALTO</v>
      </c>
      <c r="K456" s="5" t="str">
        <f ca="1">IFERROR(__xludf.DUMMYFUNCTION("""COMPUTED_VALUE"""),"Preventivo")</f>
        <v>Preventivo</v>
      </c>
      <c r="L456" s="5" t="str">
        <f ca="1">IFERROR(__xludf.DUMMYFUNCTION("""COMPUTED_VALUE"""),"Maquinaria")</f>
        <v>Maquinaria</v>
      </c>
      <c r="M456" s="5" t="str">
        <f ca="1">IFERROR(__xludf.DUMMYFUNCTION("""COMPUTED_VALUE"""),"No")</f>
        <v>No</v>
      </c>
      <c r="N456" s="5"/>
      <c r="O456" s="5"/>
      <c r="P456" s="18">
        <f ca="1">IFERROR(__xludf.DUMMYFUNCTION("""COMPUTED_VALUE"""),45324)</f>
        <v>45324</v>
      </c>
      <c r="Q456" s="18">
        <f ca="1">IFERROR(__xludf.DUMMYFUNCTION("""COMPUTED_VALUE"""),45324)</f>
        <v>45324</v>
      </c>
      <c r="R456" s="18"/>
      <c r="S456" s="5">
        <f ca="1">IFERROR(__xludf.DUMMYFUNCTION("""COMPUTED_VALUE"""),1)</f>
        <v>1</v>
      </c>
      <c r="T456" s="5"/>
      <c r="U456" s="5" t="str">
        <f ca="1">IFERROR(__xludf.DUMMYFUNCTION("""COMPUTED_VALUE"""),"Jimenez Jhon")</f>
        <v>Jimenez Jhon</v>
      </c>
      <c r="V456" s="5"/>
      <c r="W456" s="5" t="str">
        <f ca="1">IFERROR(__xludf.DUMMYFUNCTION("""COMPUTED_VALUE"""),"Ycr4sVvGUGk")</f>
        <v>Ycr4sVvGUGk</v>
      </c>
      <c r="X456" s="5">
        <f ca="1">IFERROR(__xludf.DUMMYFUNCTION("""COMPUTED_VALUE"""),1)</f>
        <v>1</v>
      </c>
      <c r="Y456" s="5" t="str">
        <f t="shared" si="2"/>
        <v>Actividad sin realizar</v>
      </c>
      <c r="Z456" s="3">
        <f ca="1">IFERROR(VLOOKUP(U456, 'Base de datos'!A:B, 2, FALSE), "")</f>
        <v>573147637946</v>
      </c>
      <c r="AA456" s="4" t="e">
        <f t="shared" ca="1" si="3"/>
        <v>#NAME?</v>
      </c>
    </row>
    <row r="457" spans="1:27" ht="15.75" customHeight="1">
      <c r="A457" s="5" t="str">
        <f ca="1">IFERROR(__xludf.DUMMYFUNCTION("""COMPUTED_VALUE"""),"POSTOBÓN YUMBO")</f>
        <v>POSTOBÓN YUMBO</v>
      </c>
      <c r="B457" s="5" t="str">
        <f ca="1">IFERROR(__xludf.DUMMYFUNCTION("""COMPUTED_VALUE"""),"0410-LINEA 2")</f>
        <v>0410-LINEA 2</v>
      </c>
      <c r="C457" s="5" t="str">
        <f ca="1">IFERROR(__xludf.DUMMYFUNCTION("""COMPUTED_VALUE"""),"LINEA DE ENVASADO FAMILIAR Y PRB")</f>
        <v>LINEA DE ENVASADO FAMILIAR Y PRB</v>
      </c>
      <c r="D457" s="5">
        <f ca="1">IFERROR(__xludf.DUMMYFUNCTION("""COMPUTED_VALUE"""),510001)</f>
        <v>510001</v>
      </c>
      <c r="E457" s="5" t="str">
        <f ca="1">IFERROR(__xludf.DUMMYFUNCTION("""COMPUTED_VALUE"""),"LLENADORA")</f>
        <v>LLENADORA</v>
      </c>
      <c r="F457" s="5">
        <f ca="1">IFERROR(__xludf.DUMMYFUNCTION("""COMPUTED_VALUE"""),13196)</f>
        <v>13196</v>
      </c>
      <c r="G457" s="5" t="str">
        <f ca="1">IFERROR(__xludf.DUMMYFUNCTION("""COMPUTED_VALUE"""),"Mantto lubr sist coronado Llenad.")</f>
        <v>Mantto lubr sist coronado Llenad.</v>
      </c>
      <c r="H457" s="5">
        <f ca="1">IFERROR(__xludf.DUMMYFUNCTION("""COMPUTED_VALUE"""),13247129)</f>
        <v>13247129</v>
      </c>
      <c r="I457" s="5" t="str">
        <f ca="1">IFERROR(__xludf.DUMMYFUNCTION("""COMPUTED_VALUE"""),"Lubrique coronadores")</f>
        <v>Lubrique coronadores</v>
      </c>
      <c r="J457" s="5" t="str">
        <f ca="1">IFERROR(__xludf.DUMMYFUNCTION("""COMPUTED_VALUE"""),"ALTO")</f>
        <v>ALTO</v>
      </c>
      <c r="K457" s="5" t="str">
        <f ca="1">IFERROR(__xludf.DUMMYFUNCTION("""COMPUTED_VALUE"""),"Preventivo")</f>
        <v>Preventivo</v>
      </c>
      <c r="L457" s="5" t="str">
        <f ca="1">IFERROR(__xludf.DUMMYFUNCTION("""COMPUTED_VALUE"""),"Maquinaria")</f>
        <v>Maquinaria</v>
      </c>
      <c r="M457" s="5" t="str">
        <f ca="1">IFERROR(__xludf.DUMMYFUNCTION("""COMPUTED_VALUE"""),"No")</f>
        <v>No</v>
      </c>
      <c r="N457" s="5"/>
      <c r="O457" s="5"/>
      <c r="P457" s="18">
        <f ca="1">IFERROR(__xludf.DUMMYFUNCTION("""COMPUTED_VALUE"""),45324)</f>
        <v>45324</v>
      </c>
      <c r="Q457" s="18">
        <f ca="1">IFERROR(__xludf.DUMMYFUNCTION("""COMPUTED_VALUE"""),45324)</f>
        <v>45324</v>
      </c>
      <c r="R457" s="18"/>
      <c r="S457" s="5">
        <f ca="1">IFERROR(__xludf.DUMMYFUNCTION("""COMPUTED_VALUE"""),0.5)</f>
        <v>0.5</v>
      </c>
      <c r="T457" s="5"/>
      <c r="U457" s="5" t="str">
        <f ca="1">IFERROR(__xludf.DUMMYFUNCTION("""COMPUTED_VALUE"""),"Poveda Jorge")</f>
        <v>Poveda Jorge</v>
      </c>
      <c r="V457" s="5"/>
      <c r="W457" s="5" t="str">
        <f ca="1">IFERROR(__xludf.DUMMYFUNCTION("""COMPUTED_VALUE"""),"M7Jg2SDaja4")</f>
        <v>M7Jg2SDaja4</v>
      </c>
      <c r="X457" s="5">
        <f ca="1">IFERROR(__xludf.DUMMYFUNCTION("""COMPUTED_VALUE"""),0.5)</f>
        <v>0.5</v>
      </c>
      <c r="Y457" s="5" t="str">
        <f t="shared" si="2"/>
        <v>Actividad sin realizar</v>
      </c>
      <c r="Z457" s="3">
        <f ca="1">IFERROR(VLOOKUP(U457, 'Base de datos'!A:B, 2, FALSE), "")</f>
        <v>573212589618</v>
      </c>
      <c r="AA457" s="4" t="e">
        <f t="shared" ca="1" si="3"/>
        <v>#NAME?</v>
      </c>
    </row>
    <row r="458" spans="1:27" ht="15.75" customHeight="1">
      <c r="A458" s="5" t="str">
        <f ca="1">IFERROR(__xludf.DUMMYFUNCTION("""COMPUTED_VALUE"""),"POSTOBÓN YUMBO")</f>
        <v>POSTOBÓN YUMBO</v>
      </c>
      <c r="B458" s="5" t="str">
        <f ca="1">IFERROR(__xludf.DUMMYFUNCTION("""COMPUTED_VALUE"""),"0410-PLANTA DE AGUA ENVASADO")</f>
        <v>0410-PLANTA DE AGUA ENVASADO</v>
      </c>
      <c r="C458" s="5" t="str">
        <f ca="1">IFERROR(__xludf.DUMMYFUNCTION("""COMPUTED_VALUE"""),"TRATAMIENTO DE AGUA PARA ENVASADO")</f>
        <v>TRATAMIENTO DE AGUA PARA ENVASADO</v>
      </c>
      <c r="D458" s="5">
        <f ca="1">IFERROR(__xludf.DUMMYFUNCTION("""COMPUTED_VALUE"""),70965304)</f>
        <v>70965304</v>
      </c>
      <c r="E458" s="5" t="str">
        <f ca="1">IFERROR(__xludf.DUMMYFUNCTION("""COMPUTED_VALUE"""),"FILTRO ARENA 05")</f>
        <v>FILTRO ARENA 05</v>
      </c>
      <c r="F458" s="5">
        <f ca="1">IFERROR(__xludf.DUMMYFUNCTION("""COMPUTED_VALUE"""),21738)</f>
        <v>21738</v>
      </c>
      <c r="G458" s="5" t="str">
        <f ca="1">IFERROR(__xludf.DUMMYFUNCTION("""COMPUTED_VALUE"""),"PLAN MTTO MEC FILTRO ARENA FA#05")</f>
        <v>PLAN MTTO MEC FILTRO ARENA FA#05</v>
      </c>
      <c r="H458" s="5">
        <f ca="1">IFERROR(__xludf.DUMMYFUNCTION("""COMPUTED_VALUE"""),13193548)</f>
        <v>13193548</v>
      </c>
      <c r="I458" s="5" t="str">
        <f ca="1">IFERROR(__xludf.DUMMYFUNCTION("""COMPUTED_VALUE"""),"REVISAR Y LIMPIAR DESAIREADOR")</f>
        <v>REVISAR Y LIMPIAR DESAIREADOR</v>
      </c>
      <c r="J458" s="5" t="str">
        <f ca="1">IFERROR(__xludf.DUMMYFUNCTION("""COMPUTED_VALUE"""),"ALTO")</f>
        <v>ALTO</v>
      </c>
      <c r="K458" s="5" t="str">
        <f ca="1">IFERROR(__xludf.DUMMYFUNCTION("""COMPUTED_VALUE"""),"Preventivo")</f>
        <v>Preventivo</v>
      </c>
      <c r="L458" s="5" t="str">
        <f ca="1">IFERROR(__xludf.DUMMYFUNCTION("""COMPUTED_VALUE"""),"Maquinaria")</f>
        <v>Maquinaria</v>
      </c>
      <c r="M458" s="5" t="str">
        <f ca="1">IFERROR(__xludf.DUMMYFUNCTION("""COMPUTED_VALUE"""),"No")</f>
        <v>No</v>
      </c>
      <c r="N458" s="5"/>
      <c r="O458" s="5"/>
      <c r="P458" s="18">
        <f ca="1">IFERROR(__xludf.DUMMYFUNCTION("""COMPUTED_VALUE"""),45340)</f>
        <v>45340</v>
      </c>
      <c r="Q458" s="18">
        <f ca="1">IFERROR(__xludf.DUMMYFUNCTION("""COMPUTED_VALUE"""),45340)</f>
        <v>45340</v>
      </c>
      <c r="R458" s="18"/>
      <c r="S458" s="5">
        <f ca="1">IFERROR(__xludf.DUMMYFUNCTION("""COMPUTED_VALUE"""),1)</f>
        <v>1</v>
      </c>
      <c r="T458" s="5"/>
      <c r="U458" s="5" t="str">
        <f ca="1">IFERROR(__xludf.DUMMYFUNCTION("""COMPUTED_VALUE"""),"John Edier Gomez Zuñiga")</f>
        <v>John Edier Gomez Zuñiga</v>
      </c>
      <c r="V458" s="5"/>
      <c r="W458" s="5" t="str">
        <f ca="1">IFERROR(__xludf.DUMMYFUNCTION("""COMPUTED_VALUE"""),"GvU5Ej-k5s8")</f>
        <v>GvU5Ej-k5s8</v>
      </c>
      <c r="X458" s="5">
        <f ca="1">IFERROR(__xludf.DUMMYFUNCTION("""COMPUTED_VALUE"""),1)</f>
        <v>1</v>
      </c>
      <c r="Y458" s="5" t="str">
        <f t="shared" si="2"/>
        <v>Actividad sin realizar</v>
      </c>
      <c r="Z458" s="3">
        <f ca="1">IFERROR(VLOOKUP(U458, 'Base de datos'!A:B, 2, FALSE), "")</f>
        <v>573003678745</v>
      </c>
      <c r="AA458" s="4" t="e">
        <f t="shared" ca="1" si="3"/>
        <v>#NAME?</v>
      </c>
    </row>
    <row r="459" spans="1:27" ht="15.75" customHeight="1">
      <c r="A459" s="5" t="str">
        <f ca="1">IFERROR(__xludf.DUMMYFUNCTION("""COMPUTED_VALUE"""),"POSTOBÓN YUMBO")</f>
        <v>POSTOBÓN YUMBO</v>
      </c>
      <c r="B459" s="5" t="str">
        <f ca="1">IFERROR(__xludf.DUMMYFUNCTION("""COMPUTED_VALUE"""),"0410-SALA DE JARABE TERMINADO")</f>
        <v>0410-SALA DE JARABE TERMINADO</v>
      </c>
      <c r="C459" s="5" t="str">
        <f ca="1">IFERROR(__xludf.DUMMYFUNCTION("""COMPUTED_VALUE"""),"EQUIPOS PARA PREPARACION DE JARABE")</f>
        <v>EQUIPOS PARA PREPARACION DE JARABE</v>
      </c>
      <c r="D459" s="5">
        <f ca="1">IFERROR(__xludf.DUMMYFUNCTION("""COMPUTED_VALUE"""),69963406)</f>
        <v>69963406</v>
      </c>
      <c r="E459" s="5" t="str">
        <f ca="1">IFERROR(__xludf.DUMMYFUNCTION("""COMPUTED_VALUE"""),"TANQUE DE JARABE")</f>
        <v>TANQUE DE JARABE</v>
      </c>
      <c r="F459" s="5">
        <f ca="1">IFERROR(__xludf.DUMMYFUNCTION("""COMPUTED_VALUE"""),17361)</f>
        <v>17361</v>
      </c>
      <c r="G459" s="5" t="str">
        <f ca="1">IFERROR(__xludf.DUMMYFUNCTION("""COMPUTED_VALUE"""),"MTTO MEC TK JARABE 3 JARABE TERMINADO")</f>
        <v>MTTO MEC TK JARABE 3 JARABE TERMINADO</v>
      </c>
      <c r="H459" s="5">
        <f ca="1">IFERROR(__xludf.DUMMYFUNCTION("""COMPUTED_VALUE"""),13247152)</f>
        <v>13247152</v>
      </c>
      <c r="I459" s="5" t="str">
        <f ca="1">IFERROR(__xludf.DUMMYFUNCTION("""COMPUTED_VALUE"""),"Revisar fugas tuberias, empaques, tapas")</f>
        <v>Revisar fugas tuberias, empaques, tapas</v>
      </c>
      <c r="J459" s="5" t="str">
        <f ca="1">IFERROR(__xludf.DUMMYFUNCTION("""COMPUTED_VALUE"""),"ALTO")</f>
        <v>ALTO</v>
      </c>
      <c r="K459" s="5" t="str">
        <f ca="1">IFERROR(__xludf.DUMMYFUNCTION("""COMPUTED_VALUE"""),"Preventivo")</f>
        <v>Preventivo</v>
      </c>
      <c r="L459" s="5" t="str">
        <f ca="1">IFERROR(__xludf.DUMMYFUNCTION("""COMPUTED_VALUE"""),"Maquinaria")</f>
        <v>Maquinaria</v>
      </c>
      <c r="M459" s="5" t="str">
        <f ca="1">IFERROR(__xludf.DUMMYFUNCTION("""COMPUTED_VALUE"""),"No")</f>
        <v>No</v>
      </c>
      <c r="N459" s="5"/>
      <c r="O459" s="5">
        <f ca="1">IFERROR(__xludf.DUMMYFUNCTION("""COMPUTED_VALUE"""),100)</f>
        <v>100</v>
      </c>
      <c r="P459" s="18">
        <f ca="1">IFERROR(__xludf.DUMMYFUNCTION("""COMPUTED_VALUE"""),45342)</f>
        <v>45342</v>
      </c>
      <c r="Q459" s="18">
        <f ca="1">IFERROR(__xludf.DUMMYFUNCTION("""COMPUTED_VALUE"""),45342)</f>
        <v>45342</v>
      </c>
      <c r="R459" s="18"/>
      <c r="S459" s="5">
        <f ca="1">IFERROR(__xludf.DUMMYFUNCTION("""COMPUTED_VALUE"""),0.5)</f>
        <v>0.5</v>
      </c>
      <c r="T459" s="5"/>
      <c r="U459" s="5" t="str">
        <f ca="1">IFERROR(__xludf.DUMMYFUNCTION("""COMPUTED_VALUE"""),"Moreno Pernia Bladimir")</f>
        <v>Moreno Pernia Bladimir</v>
      </c>
      <c r="V459" s="5"/>
      <c r="W459" s="5" t="str">
        <f ca="1">IFERROR(__xludf.DUMMYFUNCTION("""COMPUTED_VALUE"""),"7T-ZWJ4jtRA")</f>
        <v>7T-ZWJ4jtRA</v>
      </c>
      <c r="X459" s="5">
        <f ca="1">IFERROR(__xludf.DUMMYFUNCTION("""COMPUTED_VALUE"""),0.5)</f>
        <v>0.5</v>
      </c>
      <c r="Y459" s="5" t="str">
        <f t="shared" ca="1" si="2"/>
        <v>Actividad realizada</v>
      </c>
      <c r="Z459" s="3">
        <f ca="1">IFERROR(VLOOKUP(U459, 'Base de datos'!A:B, 2, FALSE), "")</f>
        <v>573148903137</v>
      </c>
      <c r="AA459" s="4" t="e">
        <f t="shared" ca="1" si="3"/>
        <v>#NAME?</v>
      </c>
    </row>
    <row r="460" spans="1:27" ht="15.75" customHeight="1">
      <c r="A460" s="5" t="str">
        <f ca="1">IFERROR(__xludf.DUMMYFUNCTION("""COMPUTED_VALUE"""),"POSTOBÓN YUMBO")</f>
        <v>POSTOBÓN YUMBO</v>
      </c>
      <c r="B460" s="5" t="str">
        <f ca="1">IFERROR(__xludf.DUMMYFUNCTION("""COMPUTED_VALUE"""),"0410-LINEA PET CSD")</f>
        <v>0410-LINEA PET CSD</v>
      </c>
      <c r="C460" s="5" t="str">
        <f ca="1">IFERROR(__xludf.DUMMYFUNCTION("""COMPUTED_VALUE"""),"LINEA PET CSD - LINEA 10")</f>
        <v>LINEA PET CSD - LINEA 10</v>
      </c>
      <c r="D460" s="5">
        <f ca="1">IFERROR(__xludf.DUMMYFUNCTION("""COMPUTED_VALUE"""),519561)</f>
        <v>519561</v>
      </c>
      <c r="E460" s="5" t="str">
        <f ca="1">IFERROR(__xludf.DUMMYFUNCTION("""COMPUTED_VALUE"""),"LLENADORA DE BOTELLAS PET 162 VALVULAS")</f>
        <v>LLENADORA DE BOTELLAS PET 162 VALVULAS</v>
      </c>
      <c r="F460" s="5">
        <f ca="1">IFERROR(__xludf.DUMMYFUNCTION("""COMPUTED_VALUE"""),25366)</f>
        <v>25366</v>
      </c>
      <c r="G460" s="5" t="str">
        <f ca="1">IFERROR(__xludf.DUMMYFUNCTION("""COMPUTED_VALUE"""),"PLAN MTTO MEC Taponadora CSD")</f>
        <v>PLAN MTTO MEC Taponadora CSD</v>
      </c>
      <c r="H460" s="5">
        <f ca="1">IFERROR(__xludf.DUMMYFUNCTION("""COMPUTED_VALUE"""),13232385)</f>
        <v>13232385</v>
      </c>
      <c r="I460" s="5" t="str">
        <f ca="1">IFERROR(__xludf.DUMMYFUNCTION("""COMPUTED_VALUE"""),"Rociado de la rosca:")</f>
        <v>Rociado de la rosca:</v>
      </c>
      <c r="J460" s="5" t="str">
        <f ca="1">IFERROR(__xludf.DUMMYFUNCTION("""COMPUTED_VALUE"""),"ALTO")</f>
        <v>ALTO</v>
      </c>
      <c r="K460" s="5" t="str">
        <f ca="1">IFERROR(__xludf.DUMMYFUNCTION("""COMPUTED_VALUE"""),"Preventivo")</f>
        <v>Preventivo</v>
      </c>
      <c r="L460" s="5" t="str">
        <f ca="1">IFERROR(__xludf.DUMMYFUNCTION("""COMPUTED_VALUE"""),"Maquinaria")</f>
        <v>Maquinaria</v>
      </c>
      <c r="M460" s="5" t="str">
        <f ca="1">IFERROR(__xludf.DUMMYFUNCTION("""COMPUTED_VALUE"""),"No")</f>
        <v>No</v>
      </c>
      <c r="N460" s="5"/>
      <c r="O460" s="5">
        <f ca="1">IFERROR(__xludf.DUMMYFUNCTION("""COMPUTED_VALUE"""),100)</f>
        <v>100</v>
      </c>
      <c r="P460" s="18">
        <f ca="1">IFERROR(__xludf.DUMMYFUNCTION("""COMPUTED_VALUE"""),45328)</f>
        <v>45328</v>
      </c>
      <c r="Q460" s="18">
        <f ca="1">IFERROR(__xludf.DUMMYFUNCTION("""COMPUTED_VALUE"""),45328)</f>
        <v>45328</v>
      </c>
      <c r="R460" s="18"/>
      <c r="S460" s="5">
        <f ca="1">IFERROR(__xludf.DUMMYFUNCTION("""COMPUTED_VALUE"""),1)</f>
        <v>1</v>
      </c>
      <c r="T460" s="5"/>
      <c r="U460" s="5" t="str">
        <f ca="1">IFERROR(__xludf.DUMMYFUNCTION("""COMPUTED_VALUE"""),"Duran Sanchez Nelson Fernando")</f>
        <v>Duran Sanchez Nelson Fernando</v>
      </c>
      <c r="V460" s="5"/>
      <c r="W460" s="5" t="str">
        <f ca="1">IFERROR(__xludf.DUMMYFUNCTION("""COMPUTED_VALUE"""),"aC7gM7MAArg")</f>
        <v>aC7gM7MAArg</v>
      </c>
      <c r="X460" s="5">
        <f ca="1">IFERROR(__xludf.DUMMYFUNCTION("""COMPUTED_VALUE"""),1)</f>
        <v>1</v>
      </c>
      <c r="Y460" s="5" t="str">
        <f t="shared" ca="1" si="2"/>
        <v>Actividad realizada</v>
      </c>
      <c r="Z460" s="3">
        <f ca="1">IFERROR(VLOOKUP(U460, 'Base de datos'!A:B, 2, FALSE), "")</f>
        <v>573187183243</v>
      </c>
      <c r="AA460" s="4" t="e">
        <f t="shared" ca="1" si="3"/>
        <v>#NAME?</v>
      </c>
    </row>
    <row r="461" spans="1:27" ht="15.75" customHeight="1">
      <c r="A461" s="5" t="str">
        <f ca="1">IFERROR(__xludf.DUMMYFUNCTION("""COMPUTED_VALUE"""),"POSTOBÓN YUMBO")</f>
        <v>POSTOBÓN YUMBO</v>
      </c>
      <c r="B461" s="5" t="str">
        <f ca="1">IFERROR(__xludf.DUMMYFUNCTION("""COMPUTED_VALUE"""),"0410-SALA DE JARABE TERMINADO")</f>
        <v>0410-SALA DE JARABE TERMINADO</v>
      </c>
      <c r="C461" s="5" t="str">
        <f ca="1">IFERROR(__xludf.DUMMYFUNCTION("""COMPUTED_VALUE"""),"EQUIPOS PARA PREPARACION DE JARABE")</f>
        <v>EQUIPOS PARA PREPARACION DE JARABE</v>
      </c>
      <c r="D461" s="5">
        <f ca="1">IFERROR(__xludf.DUMMYFUNCTION("""COMPUTED_VALUE"""),69963410)</f>
        <v>69963410</v>
      </c>
      <c r="E461" s="5" t="str">
        <f ca="1">IFERROR(__xludf.DUMMYFUNCTION("""COMPUTED_VALUE"""),"TANQUE DE JARABE")</f>
        <v>TANQUE DE JARABE</v>
      </c>
      <c r="F461" s="5">
        <f ca="1">IFERROR(__xludf.DUMMYFUNCTION("""COMPUTED_VALUE"""),17361)</f>
        <v>17361</v>
      </c>
      <c r="G461" s="5" t="str">
        <f ca="1">IFERROR(__xludf.DUMMYFUNCTION("""COMPUTED_VALUE"""),"MTTO MEC TK JARABE 7 JARABE TERMINADO")</f>
        <v>MTTO MEC TK JARABE 7 JARABE TERMINADO</v>
      </c>
      <c r="H461" s="5">
        <f ca="1">IFERROR(__xludf.DUMMYFUNCTION("""COMPUTED_VALUE"""),13247160)</f>
        <v>13247160</v>
      </c>
      <c r="I461" s="5" t="str">
        <f ca="1">IFERROR(__xludf.DUMMYFUNCTION("""COMPUTED_VALUE"""),"ANTON PAAR - remplace los diafragmas")</f>
        <v>ANTON PAAR - remplace los diafragmas</v>
      </c>
      <c r="J461" s="5" t="str">
        <f ca="1">IFERROR(__xludf.DUMMYFUNCTION("""COMPUTED_VALUE"""),"ALTO")</f>
        <v>ALTO</v>
      </c>
      <c r="K461" s="5" t="str">
        <f ca="1">IFERROR(__xludf.DUMMYFUNCTION("""COMPUTED_VALUE"""),"Preventivo")</f>
        <v>Preventivo</v>
      </c>
      <c r="L461" s="5" t="str">
        <f ca="1">IFERROR(__xludf.DUMMYFUNCTION("""COMPUTED_VALUE"""),"Maquinaria")</f>
        <v>Maquinaria</v>
      </c>
      <c r="M461" s="5" t="str">
        <f ca="1">IFERROR(__xludf.DUMMYFUNCTION("""COMPUTED_VALUE"""),"No")</f>
        <v>No</v>
      </c>
      <c r="N461" s="5"/>
      <c r="O461" s="5">
        <f ca="1">IFERROR(__xludf.DUMMYFUNCTION("""COMPUTED_VALUE"""),100)</f>
        <v>100</v>
      </c>
      <c r="P461" s="18">
        <f ca="1">IFERROR(__xludf.DUMMYFUNCTION("""COMPUTED_VALUE"""),45342)</f>
        <v>45342</v>
      </c>
      <c r="Q461" s="18">
        <f ca="1">IFERROR(__xludf.DUMMYFUNCTION("""COMPUTED_VALUE"""),45342)</f>
        <v>45342</v>
      </c>
      <c r="R461" s="18"/>
      <c r="S461" s="5">
        <f ca="1">IFERROR(__xludf.DUMMYFUNCTION("""COMPUTED_VALUE"""),8)</f>
        <v>8</v>
      </c>
      <c r="T461" s="5"/>
      <c r="U461" s="5" t="str">
        <f ca="1">IFERROR(__xludf.DUMMYFUNCTION("""COMPUTED_VALUE"""),"Moreno Pernia Bladimir")</f>
        <v>Moreno Pernia Bladimir</v>
      </c>
      <c r="V461" s="5"/>
      <c r="W461" s="5" t="str">
        <f ca="1">IFERROR(__xludf.DUMMYFUNCTION("""COMPUTED_VALUE"""),"vWW0S9YtMcI")</f>
        <v>vWW0S9YtMcI</v>
      </c>
      <c r="X461" s="5">
        <f ca="1">IFERROR(__xludf.DUMMYFUNCTION("""COMPUTED_VALUE"""),8)</f>
        <v>8</v>
      </c>
      <c r="Y461" s="5" t="str">
        <f t="shared" ca="1" si="2"/>
        <v>Actividad realizada</v>
      </c>
      <c r="Z461" s="3">
        <f ca="1">IFERROR(VLOOKUP(U461, 'Base de datos'!A:B, 2, FALSE), "")</f>
        <v>573148903137</v>
      </c>
      <c r="AA461" s="4" t="e">
        <f t="shared" ca="1" si="3"/>
        <v>#NAME?</v>
      </c>
    </row>
    <row r="462" spans="1:27" ht="15.75" customHeight="1">
      <c r="A462" s="5" t="str">
        <f ca="1">IFERROR(__xludf.DUMMYFUNCTION("""COMPUTED_VALUE"""),"POSTOBÓN YUMBO")</f>
        <v>POSTOBÓN YUMBO</v>
      </c>
      <c r="B462" s="5" t="str">
        <f ca="1">IFERROR(__xludf.DUMMYFUNCTION("""COMPUTED_VALUE"""),"0410-LINEA 2")</f>
        <v>0410-LINEA 2</v>
      </c>
      <c r="C462" s="5" t="str">
        <f ca="1">IFERROR(__xludf.DUMMYFUNCTION("""COMPUTED_VALUE"""),"LINEA DE ENVASADO FAMILIAR Y PRB")</f>
        <v>LINEA DE ENVASADO FAMILIAR Y PRB</v>
      </c>
      <c r="D462" s="5">
        <f ca="1">IFERROR(__xludf.DUMMYFUNCTION("""COMPUTED_VALUE"""),548732)</f>
        <v>548732</v>
      </c>
      <c r="E462" s="5" t="str">
        <f ca="1">IFERROR(__xludf.DUMMYFUNCTION("""COMPUTED_VALUE"""),"DESEMPACADORA")</f>
        <v>DESEMPACADORA</v>
      </c>
      <c r="F462" s="5">
        <f ca="1">IFERROR(__xludf.DUMMYFUNCTION("""COMPUTED_VALUE"""),4322)</f>
        <v>4322</v>
      </c>
      <c r="G462" s="5" t="str">
        <f ca="1">IFERROR(__xludf.DUMMYFUNCTION("""COMPUTED_VALUE"""),"MANTTO MECANICO DESEMPACAD L2 548732")</f>
        <v>MANTTO MECANICO DESEMPACAD L2 548732</v>
      </c>
      <c r="H462" s="5">
        <f ca="1">IFERROR(__xludf.DUMMYFUNCTION("""COMPUTED_VALUE"""),13226496)</f>
        <v>13226496</v>
      </c>
      <c r="I462" s="5" t="str">
        <f ca="1">IFERROR(__xludf.DUMMYFUNCTION("""COMPUTED_VALUE"""),"Mantto Transportadores Cajas")</f>
        <v>Mantto Transportadores Cajas</v>
      </c>
      <c r="J462" s="5" t="str">
        <f ca="1">IFERROR(__xludf.DUMMYFUNCTION("""COMPUTED_VALUE"""),"MEDIO")</f>
        <v>MEDIO</v>
      </c>
      <c r="K462" s="5" t="str">
        <f ca="1">IFERROR(__xludf.DUMMYFUNCTION("""COMPUTED_VALUE"""),"Preventivo")</f>
        <v>Preventivo</v>
      </c>
      <c r="L462" s="5" t="str">
        <f ca="1">IFERROR(__xludf.DUMMYFUNCTION("""COMPUTED_VALUE"""),"Maquinaria")</f>
        <v>Maquinaria</v>
      </c>
      <c r="M462" s="5" t="str">
        <f ca="1">IFERROR(__xludf.DUMMYFUNCTION("""COMPUTED_VALUE"""),"No")</f>
        <v>No</v>
      </c>
      <c r="N462" s="5"/>
      <c r="O462" s="5"/>
      <c r="P462" s="18">
        <f ca="1">IFERROR(__xludf.DUMMYFUNCTION("""COMPUTED_VALUE"""),45349)</f>
        <v>45349</v>
      </c>
      <c r="Q462" s="18">
        <f ca="1">IFERROR(__xludf.DUMMYFUNCTION("""COMPUTED_VALUE"""),45349)</f>
        <v>45349</v>
      </c>
      <c r="R462" s="18"/>
      <c r="S462" s="5">
        <f ca="1">IFERROR(__xludf.DUMMYFUNCTION("""COMPUTED_VALUE"""),2)</f>
        <v>2</v>
      </c>
      <c r="T462" s="5"/>
      <c r="U462" s="5" t="str">
        <f ca="1">IFERROR(__xludf.DUMMYFUNCTION("""COMPUTED_VALUE"""),"Alexander Echeverry Moreno")</f>
        <v>Alexander Echeverry Moreno</v>
      </c>
      <c r="V462" s="5"/>
      <c r="W462" s="5" t="str">
        <f ca="1">IFERROR(__xludf.DUMMYFUNCTION("""COMPUTED_VALUE"""),"sEW3yos-JW0")</f>
        <v>sEW3yos-JW0</v>
      </c>
      <c r="X462" s="5">
        <f ca="1">IFERROR(__xludf.DUMMYFUNCTION("""COMPUTED_VALUE"""),2)</f>
        <v>2</v>
      </c>
      <c r="Y462" s="5" t="str">
        <f t="shared" si="2"/>
        <v>Actividad sin realizar</v>
      </c>
      <c r="Z462" s="3">
        <f ca="1">IFERROR(VLOOKUP(U462, 'Base de datos'!A:B, 2, FALSE), "")</f>
        <v>573173223149</v>
      </c>
      <c r="AA462" s="4" t="e">
        <f t="shared" ca="1" si="3"/>
        <v>#NAME?</v>
      </c>
    </row>
    <row r="463" spans="1:27" ht="15.75" customHeight="1">
      <c r="A463" s="5" t="str">
        <f ca="1">IFERROR(__xludf.DUMMYFUNCTION("""COMPUTED_VALUE"""),"POSTOBÓN YUMBO")</f>
        <v>POSTOBÓN YUMBO</v>
      </c>
      <c r="B463" s="5" t="str">
        <f ca="1">IFERROR(__xludf.DUMMYFUNCTION("""COMPUTED_VALUE"""),"0410-LINEA 2")</f>
        <v>0410-LINEA 2</v>
      </c>
      <c r="C463" s="5" t="str">
        <f ca="1">IFERROR(__xludf.DUMMYFUNCTION("""COMPUTED_VALUE"""),"LINEA DE ENVASADO FAMILIAR Y PRB")</f>
        <v>LINEA DE ENVASADO FAMILIAR Y PRB</v>
      </c>
      <c r="D463" s="5">
        <f ca="1">IFERROR(__xludf.DUMMYFUNCTION("""COMPUTED_VALUE"""),548732)</f>
        <v>548732</v>
      </c>
      <c r="E463" s="5" t="str">
        <f ca="1">IFERROR(__xludf.DUMMYFUNCTION("""COMPUTED_VALUE"""),"DESEMPACADORA")</f>
        <v>DESEMPACADORA</v>
      </c>
      <c r="F463" s="5">
        <f ca="1">IFERROR(__xludf.DUMMYFUNCTION("""COMPUTED_VALUE"""),4322)</f>
        <v>4322</v>
      </c>
      <c r="G463" s="5" t="str">
        <f ca="1">IFERROR(__xludf.DUMMYFUNCTION("""COMPUTED_VALUE"""),"MANTTO ELECTRICO DESEMPACA L2 548732")</f>
        <v>MANTTO ELECTRICO DESEMPACA L2 548732</v>
      </c>
      <c r="H463" s="5">
        <f ca="1">IFERROR(__xludf.DUMMYFUNCTION("""COMPUTED_VALUE"""),13247110)</f>
        <v>13247110</v>
      </c>
      <c r="I463" s="5" t="str">
        <f ca="1">IFERROR(__xludf.DUMMYFUNCTION("""COMPUTED_VALUE"""),"Revision Freno Motor Principal")</f>
        <v>Revision Freno Motor Principal</v>
      </c>
      <c r="J463" s="5" t="str">
        <f ca="1">IFERROR(__xludf.DUMMYFUNCTION("""COMPUTED_VALUE"""),"MEDIO")</f>
        <v>MEDIO</v>
      </c>
      <c r="K463" s="5" t="str">
        <f ca="1">IFERROR(__xludf.DUMMYFUNCTION("""COMPUTED_VALUE"""),"Preventivo")</f>
        <v>Preventivo</v>
      </c>
      <c r="L463" s="5" t="str">
        <f ca="1">IFERROR(__xludf.DUMMYFUNCTION("""COMPUTED_VALUE"""),"Maquinaria")</f>
        <v>Maquinaria</v>
      </c>
      <c r="M463" s="5" t="str">
        <f ca="1">IFERROR(__xludf.DUMMYFUNCTION("""COMPUTED_VALUE"""),"No")</f>
        <v>No</v>
      </c>
      <c r="N463" s="5"/>
      <c r="O463" s="5"/>
      <c r="P463" s="18">
        <f ca="1">IFERROR(__xludf.DUMMYFUNCTION("""COMPUTED_VALUE"""),45333)</f>
        <v>45333</v>
      </c>
      <c r="Q463" s="18">
        <f ca="1">IFERROR(__xludf.DUMMYFUNCTION("""COMPUTED_VALUE"""),45333)</f>
        <v>45333</v>
      </c>
      <c r="R463" s="18"/>
      <c r="S463" s="5">
        <f ca="1">IFERROR(__xludf.DUMMYFUNCTION("""COMPUTED_VALUE"""),1)</f>
        <v>1</v>
      </c>
      <c r="T463" s="5"/>
      <c r="U463" s="5" t="str">
        <f ca="1">IFERROR(__xludf.DUMMYFUNCTION("""COMPUTED_VALUE"""),"Alexander Echeverry Moreno")</f>
        <v>Alexander Echeverry Moreno</v>
      </c>
      <c r="V463" s="5"/>
      <c r="W463" s="5" t="str">
        <f ca="1">IFERROR(__xludf.DUMMYFUNCTION("""COMPUTED_VALUE"""),"FlkY63I3lMA")</f>
        <v>FlkY63I3lMA</v>
      </c>
      <c r="X463" s="5">
        <f ca="1">IFERROR(__xludf.DUMMYFUNCTION("""COMPUTED_VALUE"""),1)</f>
        <v>1</v>
      </c>
      <c r="Y463" s="5" t="str">
        <f t="shared" si="2"/>
        <v>Actividad sin realizar</v>
      </c>
      <c r="Z463" s="3">
        <f ca="1">IFERROR(VLOOKUP(U463, 'Base de datos'!A:B, 2, FALSE), "")</f>
        <v>573173223149</v>
      </c>
      <c r="AA463" s="4" t="e">
        <f t="shared" ca="1" si="3"/>
        <v>#NAME?</v>
      </c>
    </row>
    <row r="464" spans="1:27" ht="15.75" customHeight="1">
      <c r="A464" s="5" t="str">
        <f ca="1">IFERROR(__xludf.DUMMYFUNCTION("""COMPUTED_VALUE"""),"POSTOBÓN YUMBO")</f>
        <v>POSTOBÓN YUMBO</v>
      </c>
      <c r="B464" s="5" t="str">
        <f ca="1">IFERROR(__xludf.DUMMYFUNCTION("""COMPUTED_VALUE"""),"0410-LINEA 3")</f>
        <v>0410-LINEA 3</v>
      </c>
      <c r="C464" s="5" t="str">
        <f ca="1">IFERROR(__xludf.DUMMYFUNCTION("""COMPUTED_VALUE"""),"LINEA DE ENVASADO TAMAÑO PERSONAL")</f>
        <v>LINEA DE ENVASADO TAMAÑO PERSONAL</v>
      </c>
      <c r="D464" s="5">
        <f ca="1">IFERROR(__xludf.DUMMYFUNCTION("""COMPUTED_VALUE"""),828592)</f>
        <v>828592</v>
      </c>
      <c r="E464" s="5" t="str">
        <f ca="1">IFERROR(__xludf.DUMMYFUNCTION("""COMPUTED_VALUE"""),"LLENADORA")</f>
        <v>LLENADORA</v>
      </c>
      <c r="F464" s="5">
        <f ca="1">IFERROR(__xludf.DUMMYFUNCTION("""COMPUTED_VALUE"""),5821)</f>
        <v>5821</v>
      </c>
      <c r="G464" s="5" t="str">
        <f ca="1">IFERROR(__xludf.DUMMYFUNCTION("""COMPUTED_VALUE"""),"Mantto Mec aliment de tapa Llenadora")</f>
        <v>Mantto Mec aliment de tapa Llenadora</v>
      </c>
      <c r="H464" s="5">
        <f ca="1">IFERROR(__xludf.DUMMYFUNCTION("""COMPUTED_VALUE"""),13247117)</f>
        <v>13247117</v>
      </c>
      <c r="I464" s="5" t="str">
        <f ca="1">IFERROR(__xludf.DUMMYFUNCTION("""COMPUTED_VALUE"""),"limpieza del ventilador.")</f>
        <v>limpieza del ventilador.</v>
      </c>
      <c r="J464" s="5" t="str">
        <f ca="1">IFERROR(__xludf.DUMMYFUNCTION("""COMPUTED_VALUE"""),"ALTO")</f>
        <v>ALTO</v>
      </c>
      <c r="K464" s="5" t="str">
        <f ca="1">IFERROR(__xludf.DUMMYFUNCTION("""COMPUTED_VALUE"""),"Preventivo")</f>
        <v>Preventivo</v>
      </c>
      <c r="L464" s="5" t="str">
        <f ca="1">IFERROR(__xludf.DUMMYFUNCTION("""COMPUTED_VALUE"""),"Maquinaria")</f>
        <v>Maquinaria</v>
      </c>
      <c r="M464" s="5" t="str">
        <f ca="1">IFERROR(__xludf.DUMMYFUNCTION("""COMPUTED_VALUE"""),"No")</f>
        <v>No</v>
      </c>
      <c r="N464" s="5"/>
      <c r="O464" s="5"/>
      <c r="P464" s="18">
        <f ca="1">IFERROR(__xludf.DUMMYFUNCTION("""COMPUTED_VALUE"""),45324)</f>
        <v>45324</v>
      </c>
      <c r="Q464" s="18">
        <f ca="1">IFERROR(__xludf.DUMMYFUNCTION("""COMPUTED_VALUE"""),45324)</f>
        <v>45324</v>
      </c>
      <c r="R464" s="18"/>
      <c r="S464" s="5">
        <f ca="1">IFERROR(__xludf.DUMMYFUNCTION("""COMPUTED_VALUE"""),0.5)</f>
        <v>0.5</v>
      </c>
      <c r="T464" s="5"/>
      <c r="U464" s="5" t="str">
        <f ca="1">IFERROR(__xludf.DUMMYFUNCTION("""COMPUTED_VALUE"""),"Jimenez Jhon")</f>
        <v>Jimenez Jhon</v>
      </c>
      <c r="V464" s="5"/>
      <c r="W464" s="5" t="str">
        <f ca="1">IFERROR(__xludf.DUMMYFUNCTION("""COMPUTED_VALUE"""),"sIngG4AZOK8")</f>
        <v>sIngG4AZOK8</v>
      </c>
      <c r="X464" s="5">
        <f ca="1">IFERROR(__xludf.DUMMYFUNCTION("""COMPUTED_VALUE"""),0.5)</f>
        <v>0.5</v>
      </c>
      <c r="Y464" s="5" t="str">
        <f t="shared" si="2"/>
        <v>Actividad sin realizar</v>
      </c>
      <c r="Z464" s="3">
        <f ca="1">IFERROR(VLOOKUP(U464, 'Base de datos'!A:B, 2, FALSE), "")</f>
        <v>573147637946</v>
      </c>
      <c r="AA464" s="4" t="e">
        <f t="shared" ca="1" si="3"/>
        <v>#NAME?</v>
      </c>
    </row>
    <row r="465" spans="1:27" ht="15.75" customHeight="1">
      <c r="A465" s="5" t="str">
        <f ca="1">IFERROR(__xludf.DUMMYFUNCTION("""COMPUTED_VALUE"""),"POSTOBÓN YUMBO")</f>
        <v>POSTOBÓN YUMBO</v>
      </c>
      <c r="B465" s="5" t="str">
        <f ca="1">IFERROR(__xludf.DUMMYFUNCTION("""COMPUTED_VALUE"""),"0410-LINEA 3")</f>
        <v>0410-LINEA 3</v>
      </c>
      <c r="C465" s="5" t="str">
        <f ca="1">IFERROR(__xludf.DUMMYFUNCTION("""COMPUTED_VALUE"""),"LINEA DE ENVASADO TAMAÑO PERSONAL")</f>
        <v>LINEA DE ENVASADO TAMAÑO PERSONAL</v>
      </c>
      <c r="D465" s="5">
        <f ca="1">IFERROR(__xludf.DUMMYFUNCTION("""COMPUTED_VALUE"""),828592)</f>
        <v>828592</v>
      </c>
      <c r="E465" s="5" t="str">
        <f ca="1">IFERROR(__xludf.DUMMYFUNCTION("""COMPUTED_VALUE"""),"LLENADORA")</f>
        <v>LLENADORA</v>
      </c>
      <c r="F465" s="5">
        <f ca="1">IFERROR(__xludf.DUMMYFUNCTION("""COMPUTED_VALUE"""),5821)</f>
        <v>5821</v>
      </c>
      <c r="G465" s="5" t="str">
        <f ca="1">IFERROR(__xludf.DUMMYFUNCTION("""COMPUTED_VALUE"""),"Mantto Electrico sist coronado Llenadora")</f>
        <v>Mantto Electrico sist coronado Llenadora</v>
      </c>
      <c r="H465" s="5">
        <f ca="1">IFERROR(__xludf.DUMMYFUNCTION("""COMPUTED_VALUE"""),13247120)</f>
        <v>13247120</v>
      </c>
      <c r="I465" s="5" t="str">
        <f ca="1">IFERROR(__xludf.DUMMYFUNCTION("""COMPUTED_VALUE"""),"mantenimiento sensor presencia de tapa.")</f>
        <v>mantenimiento sensor presencia de tapa.</v>
      </c>
      <c r="J465" s="5" t="str">
        <f ca="1">IFERROR(__xludf.DUMMYFUNCTION("""COMPUTED_VALUE"""),"ALTO")</f>
        <v>ALTO</v>
      </c>
      <c r="K465" s="5" t="str">
        <f ca="1">IFERROR(__xludf.DUMMYFUNCTION("""COMPUTED_VALUE"""),"Preventivo")</f>
        <v>Preventivo</v>
      </c>
      <c r="L465" s="5" t="str">
        <f ca="1">IFERROR(__xludf.DUMMYFUNCTION("""COMPUTED_VALUE"""),"Maquinaria")</f>
        <v>Maquinaria</v>
      </c>
      <c r="M465" s="5" t="str">
        <f ca="1">IFERROR(__xludf.DUMMYFUNCTION("""COMPUTED_VALUE"""),"No")</f>
        <v>No</v>
      </c>
      <c r="N465" s="5"/>
      <c r="O465" s="5"/>
      <c r="P465" s="18">
        <f ca="1">IFERROR(__xludf.DUMMYFUNCTION("""COMPUTED_VALUE"""),45324)</f>
        <v>45324</v>
      </c>
      <c r="Q465" s="18">
        <f ca="1">IFERROR(__xludf.DUMMYFUNCTION("""COMPUTED_VALUE"""),45324)</f>
        <v>45324</v>
      </c>
      <c r="R465" s="18"/>
      <c r="S465" s="5">
        <f ca="1">IFERROR(__xludf.DUMMYFUNCTION("""COMPUTED_VALUE"""),1)</f>
        <v>1</v>
      </c>
      <c r="T465" s="5"/>
      <c r="U465" s="5" t="str">
        <f ca="1">IFERROR(__xludf.DUMMYFUNCTION("""COMPUTED_VALUE"""),"Jimenez Jhon")</f>
        <v>Jimenez Jhon</v>
      </c>
      <c r="V465" s="5"/>
      <c r="W465" s="5" t="str">
        <f ca="1">IFERROR(__xludf.DUMMYFUNCTION("""COMPUTED_VALUE"""),"BxWK5W5f1FY")</f>
        <v>BxWK5W5f1FY</v>
      </c>
      <c r="X465" s="5">
        <f ca="1">IFERROR(__xludf.DUMMYFUNCTION("""COMPUTED_VALUE"""),1)</f>
        <v>1</v>
      </c>
      <c r="Y465" s="5" t="str">
        <f t="shared" si="2"/>
        <v>Actividad sin realizar</v>
      </c>
      <c r="Z465" s="3">
        <f ca="1">IFERROR(VLOOKUP(U465, 'Base de datos'!A:B, 2, FALSE), "")</f>
        <v>573147637946</v>
      </c>
      <c r="AA465" s="4" t="e">
        <f t="shared" ca="1" si="3"/>
        <v>#NAME?</v>
      </c>
    </row>
    <row r="466" spans="1:27" ht="15.75" customHeight="1">
      <c r="A466" s="5" t="str">
        <f ca="1">IFERROR(__xludf.DUMMYFUNCTION("""COMPUTED_VALUE"""),"POSTOBÓN YUMBO")</f>
        <v>POSTOBÓN YUMBO</v>
      </c>
      <c r="B466" s="5" t="str">
        <f ca="1">IFERROR(__xludf.DUMMYFUNCTION("""COMPUTED_VALUE"""),"0410-LINEA 3")</f>
        <v>0410-LINEA 3</v>
      </c>
      <c r="C466" s="5" t="str">
        <f ca="1">IFERROR(__xludf.DUMMYFUNCTION("""COMPUTED_VALUE"""),"LINEA DE ENVASADO TAMAÑO PERSONAL")</f>
        <v>LINEA DE ENVASADO TAMAÑO PERSONAL</v>
      </c>
      <c r="D466" s="5">
        <f ca="1">IFERROR(__xludf.DUMMYFUNCTION("""COMPUTED_VALUE"""),828592)</f>
        <v>828592</v>
      </c>
      <c r="E466" s="5" t="str">
        <f ca="1">IFERROR(__xludf.DUMMYFUNCTION("""COMPUTED_VALUE"""),"LLENADORA")</f>
        <v>LLENADORA</v>
      </c>
      <c r="F466" s="5">
        <f ca="1">IFERROR(__xludf.DUMMYFUNCTION("""COMPUTED_VALUE"""),5821)</f>
        <v>5821</v>
      </c>
      <c r="G466" s="5" t="str">
        <f ca="1">IFERROR(__xludf.DUMMYFUNCTION("""COMPUTED_VALUE"""),"LUBRICACION SISTEMA LLENADO Y CORONADOLU")</f>
        <v>LUBRICACION SISTEMA LLENADO Y CORONADOLU</v>
      </c>
      <c r="H466" s="5">
        <f ca="1">IFERROR(__xludf.DUMMYFUNCTION("""COMPUTED_VALUE"""),13247123)</f>
        <v>13247123</v>
      </c>
      <c r="I466" s="5" t="str">
        <f ca="1">IFERROR(__xludf.DUMMYFUNCTION("""COMPUTED_VALUE"""),"LUBRICACION LUBRICONTROLES PISTONES")</f>
        <v>LUBRICACION LUBRICONTROLES PISTONES</v>
      </c>
      <c r="J466" s="5" t="str">
        <f ca="1">IFERROR(__xludf.DUMMYFUNCTION("""COMPUTED_VALUE"""),"ALTO")</f>
        <v>ALTO</v>
      </c>
      <c r="K466" s="5" t="str">
        <f ca="1">IFERROR(__xludf.DUMMYFUNCTION("""COMPUTED_VALUE"""),"Preventivo")</f>
        <v>Preventivo</v>
      </c>
      <c r="L466" s="5" t="str">
        <f ca="1">IFERROR(__xludf.DUMMYFUNCTION("""COMPUTED_VALUE"""),"Maquinaria")</f>
        <v>Maquinaria</v>
      </c>
      <c r="M466" s="5" t="str">
        <f ca="1">IFERROR(__xludf.DUMMYFUNCTION("""COMPUTED_VALUE"""),"No")</f>
        <v>No</v>
      </c>
      <c r="N466" s="5"/>
      <c r="O466" s="5"/>
      <c r="P466" s="18">
        <f ca="1">IFERROR(__xludf.DUMMYFUNCTION("""COMPUTED_VALUE"""),45324)</f>
        <v>45324</v>
      </c>
      <c r="Q466" s="18">
        <f ca="1">IFERROR(__xludf.DUMMYFUNCTION("""COMPUTED_VALUE"""),45324)</f>
        <v>45324</v>
      </c>
      <c r="R466" s="18"/>
      <c r="S466" s="5">
        <f ca="1">IFERROR(__xludf.DUMMYFUNCTION("""COMPUTED_VALUE"""),0.5)</f>
        <v>0.5</v>
      </c>
      <c r="T466" s="5"/>
      <c r="U466" s="5" t="str">
        <f ca="1">IFERROR(__xludf.DUMMYFUNCTION("""COMPUTED_VALUE"""),"Jimenez Jhon")</f>
        <v>Jimenez Jhon</v>
      </c>
      <c r="V466" s="5"/>
      <c r="W466" s="5" t="str">
        <f ca="1">IFERROR(__xludf.DUMMYFUNCTION("""COMPUTED_VALUE"""),"FjC7hHb06kU")</f>
        <v>FjC7hHb06kU</v>
      </c>
      <c r="X466" s="5">
        <f ca="1">IFERROR(__xludf.DUMMYFUNCTION("""COMPUTED_VALUE"""),0.5)</f>
        <v>0.5</v>
      </c>
      <c r="Y466" s="5" t="str">
        <f t="shared" si="2"/>
        <v>Actividad sin realizar</v>
      </c>
      <c r="Z466" s="3">
        <f ca="1">IFERROR(VLOOKUP(U466, 'Base de datos'!A:B, 2, FALSE), "")</f>
        <v>573147637946</v>
      </c>
      <c r="AA466" s="4" t="e">
        <f t="shared" ca="1" si="3"/>
        <v>#NAME?</v>
      </c>
    </row>
    <row r="467" spans="1:27" ht="15.75" customHeight="1">
      <c r="A467" s="5" t="str">
        <f ca="1">IFERROR(__xludf.DUMMYFUNCTION("""COMPUTED_VALUE"""),"POSTOBÓN YUMBO")</f>
        <v>POSTOBÓN YUMBO</v>
      </c>
      <c r="B467" s="5" t="str">
        <f ca="1">IFERROR(__xludf.DUMMYFUNCTION("""COMPUTED_VALUE"""),"0410-LINEA 2")</f>
        <v>0410-LINEA 2</v>
      </c>
      <c r="C467" s="5" t="str">
        <f ca="1">IFERROR(__xludf.DUMMYFUNCTION("""COMPUTED_VALUE"""),"LINEA DE ENVASADO FAMILIAR Y PRB")</f>
        <v>LINEA DE ENVASADO FAMILIAR Y PRB</v>
      </c>
      <c r="D467" s="5">
        <f ca="1">IFERROR(__xludf.DUMMYFUNCTION("""COMPUTED_VALUE"""),548732)</f>
        <v>548732</v>
      </c>
      <c r="E467" s="5" t="str">
        <f ca="1">IFERROR(__xludf.DUMMYFUNCTION("""COMPUTED_VALUE"""),"DESEMPACADORA")</f>
        <v>DESEMPACADORA</v>
      </c>
      <c r="F467" s="5">
        <f ca="1">IFERROR(__xludf.DUMMYFUNCTION("""COMPUTED_VALUE"""),4322)</f>
        <v>4322</v>
      </c>
      <c r="G467" s="5" t="str">
        <f ca="1">IFERROR(__xludf.DUMMYFUNCTION("""COMPUTED_VALUE"""),"MANTTO LUBRICACION DESEMPACAD L2 548732")</f>
        <v>MANTTO LUBRICACION DESEMPACAD L2 548732</v>
      </c>
      <c r="H467" s="5">
        <f ca="1">IFERROR(__xludf.DUMMYFUNCTION("""COMPUTED_VALUE"""),13226497)</f>
        <v>13226497</v>
      </c>
      <c r="I467" s="5" t="str">
        <f ca="1">IFERROR(__xludf.DUMMYFUNCTION("""COMPUTED_VALUE"""),"Lubricacion Cajas Reductoras Auxiliares")</f>
        <v>Lubricacion Cajas Reductoras Auxiliares</v>
      </c>
      <c r="J467" s="5" t="str">
        <f ca="1">IFERROR(__xludf.DUMMYFUNCTION("""COMPUTED_VALUE"""),"MEDIO")</f>
        <v>MEDIO</v>
      </c>
      <c r="K467" s="5" t="str">
        <f ca="1">IFERROR(__xludf.DUMMYFUNCTION("""COMPUTED_VALUE"""),"Preventivo")</f>
        <v>Preventivo</v>
      </c>
      <c r="L467" s="5" t="str">
        <f ca="1">IFERROR(__xludf.DUMMYFUNCTION("""COMPUTED_VALUE"""),"Maquinaria")</f>
        <v>Maquinaria</v>
      </c>
      <c r="M467" s="5" t="str">
        <f ca="1">IFERROR(__xludf.DUMMYFUNCTION("""COMPUTED_VALUE"""),"No")</f>
        <v>No</v>
      </c>
      <c r="N467" s="5"/>
      <c r="O467" s="5"/>
      <c r="P467" s="18">
        <f ca="1">IFERROR(__xludf.DUMMYFUNCTION("""COMPUTED_VALUE"""),45349)</f>
        <v>45349</v>
      </c>
      <c r="Q467" s="18">
        <f ca="1">IFERROR(__xludf.DUMMYFUNCTION("""COMPUTED_VALUE"""),45349)</f>
        <v>45349</v>
      </c>
      <c r="R467" s="18"/>
      <c r="S467" s="5">
        <f ca="1">IFERROR(__xludf.DUMMYFUNCTION("""COMPUTED_VALUE"""),2)</f>
        <v>2</v>
      </c>
      <c r="T467" s="5"/>
      <c r="U467" s="5" t="str">
        <f ca="1">IFERROR(__xludf.DUMMYFUNCTION("""COMPUTED_VALUE"""),"Alexander Echeverry Moreno")</f>
        <v>Alexander Echeverry Moreno</v>
      </c>
      <c r="V467" s="5"/>
      <c r="W467" s="5" t="str">
        <f ca="1">IFERROR(__xludf.DUMMYFUNCTION("""COMPUTED_VALUE"""),"WYtSrPkFNMg")</f>
        <v>WYtSrPkFNMg</v>
      </c>
      <c r="X467" s="5">
        <f ca="1">IFERROR(__xludf.DUMMYFUNCTION("""COMPUTED_VALUE"""),2)</f>
        <v>2</v>
      </c>
      <c r="Y467" s="5" t="str">
        <f t="shared" si="2"/>
        <v>Actividad sin realizar</v>
      </c>
      <c r="Z467" s="3">
        <f ca="1">IFERROR(VLOOKUP(U467, 'Base de datos'!A:B, 2, FALSE), "")</f>
        <v>573173223149</v>
      </c>
      <c r="AA467" s="4" t="e">
        <f t="shared" ca="1" si="3"/>
        <v>#NAME?</v>
      </c>
    </row>
    <row r="468" spans="1:27" ht="15.75" customHeight="1">
      <c r="A468" s="5" t="str">
        <f ca="1">IFERROR(__xludf.DUMMYFUNCTION("""COMPUTED_VALUE"""),"POSTOBÓN YUMBO")</f>
        <v>POSTOBÓN YUMBO</v>
      </c>
      <c r="B468" s="5" t="str">
        <f ca="1">IFERROR(__xludf.DUMMYFUNCTION("""COMPUTED_VALUE"""),"0410-SALA DE JARABE TERMINADO")</f>
        <v>0410-SALA DE JARABE TERMINADO</v>
      </c>
      <c r="C468" s="5" t="str">
        <f ca="1">IFERROR(__xludf.DUMMYFUNCTION("""COMPUTED_VALUE"""),"EQUIPOS PARA PREPARACION DE JARABE")</f>
        <v>EQUIPOS PARA PREPARACION DE JARABE</v>
      </c>
      <c r="D468" s="5">
        <f ca="1">IFERROR(__xludf.DUMMYFUNCTION("""COMPUTED_VALUE"""),69963410)</f>
        <v>69963410</v>
      </c>
      <c r="E468" s="5" t="str">
        <f ca="1">IFERROR(__xludf.DUMMYFUNCTION("""COMPUTED_VALUE"""),"TANQUE DE JARABE")</f>
        <v>TANQUE DE JARABE</v>
      </c>
      <c r="F468" s="5">
        <f ca="1">IFERROR(__xludf.DUMMYFUNCTION("""COMPUTED_VALUE"""),17361)</f>
        <v>17361</v>
      </c>
      <c r="G468" s="5" t="str">
        <f ca="1">IFERROR(__xludf.DUMMYFUNCTION("""COMPUTED_VALUE"""),"MTTO MEC TK JARABE 7 JARABE TERMINADO")</f>
        <v>MTTO MEC TK JARABE 7 JARABE TERMINADO</v>
      </c>
      <c r="H468" s="5">
        <f ca="1">IFERROR(__xludf.DUMMYFUNCTION("""COMPUTED_VALUE"""),13247160)</f>
        <v>13247160</v>
      </c>
      <c r="I468" s="5" t="str">
        <f ca="1">IFERROR(__xludf.DUMMYFUNCTION("""COMPUTED_VALUE"""),"Revisar fugas tuberias, empaques, tapas")</f>
        <v>Revisar fugas tuberias, empaques, tapas</v>
      </c>
      <c r="J468" s="5" t="str">
        <f ca="1">IFERROR(__xludf.DUMMYFUNCTION("""COMPUTED_VALUE"""),"ALTO")</f>
        <v>ALTO</v>
      </c>
      <c r="K468" s="5" t="str">
        <f ca="1">IFERROR(__xludf.DUMMYFUNCTION("""COMPUTED_VALUE"""),"Preventivo")</f>
        <v>Preventivo</v>
      </c>
      <c r="L468" s="5" t="str">
        <f ca="1">IFERROR(__xludf.DUMMYFUNCTION("""COMPUTED_VALUE"""),"Maquinaria")</f>
        <v>Maquinaria</v>
      </c>
      <c r="M468" s="5" t="str">
        <f ca="1">IFERROR(__xludf.DUMMYFUNCTION("""COMPUTED_VALUE"""),"No")</f>
        <v>No</v>
      </c>
      <c r="N468" s="5"/>
      <c r="O468" s="5">
        <f ca="1">IFERROR(__xludf.DUMMYFUNCTION("""COMPUTED_VALUE"""),100)</f>
        <v>100</v>
      </c>
      <c r="P468" s="18">
        <f ca="1">IFERROR(__xludf.DUMMYFUNCTION("""COMPUTED_VALUE"""),45342)</f>
        <v>45342</v>
      </c>
      <c r="Q468" s="18">
        <f ca="1">IFERROR(__xludf.DUMMYFUNCTION("""COMPUTED_VALUE"""),45342)</f>
        <v>45342</v>
      </c>
      <c r="R468" s="18"/>
      <c r="S468" s="5">
        <f ca="1">IFERROR(__xludf.DUMMYFUNCTION("""COMPUTED_VALUE"""),0.5)</f>
        <v>0.5</v>
      </c>
      <c r="T468" s="5"/>
      <c r="U468" s="5" t="str">
        <f ca="1">IFERROR(__xludf.DUMMYFUNCTION("""COMPUTED_VALUE"""),"Moreno Pernia Bladimir")</f>
        <v>Moreno Pernia Bladimir</v>
      </c>
      <c r="V468" s="5"/>
      <c r="W468" s="5" t="str">
        <f ca="1">IFERROR(__xludf.DUMMYFUNCTION("""COMPUTED_VALUE"""),"EdKKhzJbzf8")</f>
        <v>EdKKhzJbzf8</v>
      </c>
      <c r="X468" s="5">
        <f ca="1">IFERROR(__xludf.DUMMYFUNCTION("""COMPUTED_VALUE"""),0.5)</f>
        <v>0.5</v>
      </c>
      <c r="Y468" s="5" t="str">
        <f t="shared" ca="1" si="2"/>
        <v>Actividad realizada</v>
      </c>
      <c r="Z468" s="3">
        <f ca="1">IFERROR(VLOOKUP(U468, 'Base de datos'!A:B, 2, FALSE), "")</f>
        <v>573148903137</v>
      </c>
      <c r="AA468" s="4" t="e">
        <f t="shared" ca="1" si="3"/>
        <v>#NAME?</v>
      </c>
    </row>
    <row r="469" spans="1:27" ht="15.75" customHeight="1">
      <c r="A469" s="5" t="str">
        <f ca="1">IFERROR(__xludf.DUMMYFUNCTION("""COMPUTED_VALUE"""),"POSTOBÓN YUMBO")</f>
        <v>POSTOBÓN YUMBO</v>
      </c>
      <c r="B469" s="5" t="str">
        <f ca="1">IFERROR(__xludf.DUMMYFUNCTION("""COMPUTED_VALUE"""),"0410-SALA DE JARABE TERMINADO")</f>
        <v>0410-SALA DE JARABE TERMINADO</v>
      </c>
      <c r="C469" s="5" t="str">
        <f ca="1">IFERROR(__xludf.DUMMYFUNCTION("""COMPUTED_VALUE"""),"EQUIPOS PARA PREPARACION DE JARABE")</f>
        <v>EQUIPOS PARA PREPARACION DE JARABE</v>
      </c>
      <c r="D469" s="5">
        <f ca="1">IFERROR(__xludf.DUMMYFUNCTION("""COMPUTED_VALUE"""),69963412)</f>
        <v>69963412</v>
      </c>
      <c r="E469" s="5" t="str">
        <f ca="1">IFERROR(__xludf.DUMMYFUNCTION("""COMPUTED_VALUE"""),"TANQUE DE JARABE")</f>
        <v>TANQUE DE JARABE</v>
      </c>
      <c r="F469" s="5">
        <f ca="1">IFERROR(__xludf.DUMMYFUNCTION("""COMPUTED_VALUE"""),17361)</f>
        <v>17361</v>
      </c>
      <c r="G469" s="5" t="str">
        <f ca="1">IFERROR(__xludf.DUMMYFUNCTION("""COMPUTED_VALUE"""),"MTTO MEC TK JARABE 9 JARABE TERMINADO")</f>
        <v>MTTO MEC TK JARABE 9 JARABE TERMINADO</v>
      </c>
      <c r="H469" s="5">
        <f ca="1">IFERROR(__xludf.DUMMYFUNCTION("""COMPUTED_VALUE"""),13247164)</f>
        <v>13247164</v>
      </c>
      <c r="I469" s="5" t="str">
        <f ca="1">IFERROR(__xludf.DUMMYFUNCTION("""COMPUTED_VALUE"""),"Revisar fugas tuberias, empaques, tapas")</f>
        <v>Revisar fugas tuberias, empaques, tapas</v>
      </c>
      <c r="J469" s="5" t="str">
        <f ca="1">IFERROR(__xludf.DUMMYFUNCTION("""COMPUTED_VALUE"""),"ALTO")</f>
        <v>ALTO</v>
      </c>
      <c r="K469" s="5" t="str">
        <f ca="1">IFERROR(__xludf.DUMMYFUNCTION("""COMPUTED_VALUE"""),"Preventivo")</f>
        <v>Preventivo</v>
      </c>
      <c r="L469" s="5" t="str">
        <f ca="1">IFERROR(__xludf.DUMMYFUNCTION("""COMPUTED_VALUE"""),"Maquinaria")</f>
        <v>Maquinaria</v>
      </c>
      <c r="M469" s="5" t="str">
        <f ca="1">IFERROR(__xludf.DUMMYFUNCTION("""COMPUTED_VALUE"""),"No")</f>
        <v>No</v>
      </c>
      <c r="N469" s="5"/>
      <c r="O469" s="5">
        <f ca="1">IFERROR(__xludf.DUMMYFUNCTION("""COMPUTED_VALUE"""),100)</f>
        <v>100</v>
      </c>
      <c r="P469" s="18">
        <f ca="1">IFERROR(__xludf.DUMMYFUNCTION("""COMPUTED_VALUE"""),45342)</f>
        <v>45342</v>
      </c>
      <c r="Q469" s="18">
        <f ca="1">IFERROR(__xludf.DUMMYFUNCTION("""COMPUTED_VALUE"""),45342)</f>
        <v>45342</v>
      </c>
      <c r="R469" s="18"/>
      <c r="S469" s="5">
        <f ca="1">IFERROR(__xludf.DUMMYFUNCTION("""COMPUTED_VALUE"""),0.5)</f>
        <v>0.5</v>
      </c>
      <c r="T469" s="5"/>
      <c r="U469" s="5" t="str">
        <f ca="1">IFERROR(__xludf.DUMMYFUNCTION("""COMPUTED_VALUE"""),"Rivas Mena Carlos Danny")</f>
        <v>Rivas Mena Carlos Danny</v>
      </c>
      <c r="V469" s="5"/>
      <c r="W469" s="5" t="str">
        <f ca="1">IFERROR(__xludf.DUMMYFUNCTION("""COMPUTED_VALUE"""),"aZ-6eCxS7Cs")</f>
        <v>aZ-6eCxS7Cs</v>
      </c>
      <c r="X469" s="5">
        <f ca="1">IFERROR(__xludf.DUMMYFUNCTION("""COMPUTED_VALUE"""),0.5)</f>
        <v>0.5</v>
      </c>
      <c r="Y469" s="5" t="str">
        <f t="shared" ca="1" si="2"/>
        <v>Actividad realizada</v>
      </c>
      <c r="Z469" s="3">
        <f ca="1">IFERROR(VLOOKUP(U469, 'Base de datos'!A:B, 2, FALSE), "")</f>
        <v>0</v>
      </c>
      <c r="AA469" s="4" t="e">
        <f t="shared" ca="1" si="3"/>
        <v>#NAME?</v>
      </c>
    </row>
    <row r="470" spans="1:27" ht="15.75" customHeight="1">
      <c r="A470" s="5" t="str">
        <f ca="1">IFERROR(__xludf.DUMMYFUNCTION("""COMPUTED_VALUE"""),"POSTOBÓN YUMBO")</f>
        <v>POSTOBÓN YUMBO</v>
      </c>
      <c r="B470" s="5" t="str">
        <f ca="1">IFERROR(__xludf.DUMMYFUNCTION("""COMPUTED_VALUE"""),"0410-SALA DE JARABE TERMINADO")</f>
        <v>0410-SALA DE JARABE TERMINADO</v>
      </c>
      <c r="C470" s="5" t="str">
        <f ca="1">IFERROR(__xludf.DUMMYFUNCTION("""COMPUTED_VALUE"""),"EQUIPOS PARA PREPARACION DE JARABE")</f>
        <v>EQUIPOS PARA PREPARACION DE JARABE</v>
      </c>
      <c r="D470" s="5">
        <f ca="1">IFERROR(__xludf.DUMMYFUNCTION("""COMPUTED_VALUE"""),69963411)</f>
        <v>69963411</v>
      </c>
      <c r="E470" s="5" t="str">
        <f ca="1">IFERROR(__xludf.DUMMYFUNCTION("""COMPUTED_VALUE"""),"TANQUE DE JARABE")</f>
        <v>TANQUE DE JARABE</v>
      </c>
      <c r="F470" s="5">
        <f ca="1">IFERROR(__xludf.DUMMYFUNCTION("""COMPUTED_VALUE"""),17361)</f>
        <v>17361</v>
      </c>
      <c r="G470" s="5" t="str">
        <f ca="1">IFERROR(__xludf.DUMMYFUNCTION("""COMPUTED_VALUE"""),"MTTO MEC TK JARABE 8 JARABE TERMINADO")</f>
        <v>MTTO MEC TK JARABE 8 JARABE TERMINADO</v>
      </c>
      <c r="H470" s="5">
        <f ca="1">IFERROR(__xludf.DUMMYFUNCTION("""COMPUTED_VALUE"""),13247162)</f>
        <v>13247162</v>
      </c>
      <c r="I470" s="5" t="str">
        <f ca="1">IFERROR(__xludf.DUMMYFUNCTION("""COMPUTED_VALUE"""),"Revisar fugas tuberias, empaques, tapas")</f>
        <v>Revisar fugas tuberias, empaques, tapas</v>
      </c>
      <c r="J470" s="5" t="str">
        <f ca="1">IFERROR(__xludf.DUMMYFUNCTION("""COMPUTED_VALUE"""),"ALTO")</f>
        <v>ALTO</v>
      </c>
      <c r="K470" s="5" t="str">
        <f ca="1">IFERROR(__xludf.DUMMYFUNCTION("""COMPUTED_VALUE"""),"Preventivo")</f>
        <v>Preventivo</v>
      </c>
      <c r="L470" s="5" t="str">
        <f ca="1">IFERROR(__xludf.DUMMYFUNCTION("""COMPUTED_VALUE"""),"Maquinaria")</f>
        <v>Maquinaria</v>
      </c>
      <c r="M470" s="5" t="str">
        <f ca="1">IFERROR(__xludf.DUMMYFUNCTION("""COMPUTED_VALUE"""),"No")</f>
        <v>No</v>
      </c>
      <c r="N470" s="5"/>
      <c r="O470" s="5">
        <f ca="1">IFERROR(__xludf.DUMMYFUNCTION("""COMPUTED_VALUE"""),100)</f>
        <v>100</v>
      </c>
      <c r="P470" s="18">
        <f ca="1">IFERROR(__xludf.DUMMYFUNCTION("""COMPUTED_VALUE"""),45342)</f>
        <v>45342</v>
      </c>
      <c r="Q470" s="18">
        <f ca="1">IFERROR(__xludf.DUMMYFUNCTION("""COMPUTED_VALUE"""),45342)</f>
        <v>45342</v>
      </c>
      <c r="R470" s="18"/>
      <c r="S470" s="5">
        <f ca="1">IFERROR(__xludf.DUMMYFUNCTION("""COMPUTED_VALUE"""),0.5)</f>
        <v>0.5</v>
      </c>
      <c r="T470" s="5"/>
      <c r="U470" s="5" t="str">
        <f ca="1">IFERROR(__xludf.DUMMYFUNCTION("""COMPUTED_VALUE"""),"Rivas Mena Carlos Danny")</f>
        <v>Rivas Mena Carlos Danny</v>
      </c>
      <c r="V470" s="5"/>
      <c r="W470" s="5" t="str">
        <f ca="1">IFERROR(__xludf.DUMMYFUNCTION("""COMPUTED_VALUE"""),"dtJORNjGbcU")</f>
        <v>dtJORNjGbcU</v>
      </c>
      <c r="X470" s="5">
        <f ca="1">IFERROR(__xludf.DUMMYFUNCTION("""COMPUTED_VALUE"""),0.5)</f>
        <v>0.5</v>
      </c>
      <c r="Y470" s="5" t="str">
        <f t="shared" ca="1" si="2"/>
        <v>Actividad realizada</v>
      </c>
      <c r="Z470" s="3">
        <f ca="1">IFERROR(VLOOKUP(U470, 'Base de datos'!A:B, 2, FALSE), "")</f>
        <v>0</v>
      </c>
      <c r="AA470" s="4" t="e">
        <f t="shared" ca="1" si="3"/>
        <v>#NAME?</v>
      </c>
    </row>
    <row r="471" spans="1:27" ht="15.75" customHeight="1">
      <c r="A471" s="5" t="str">
        <f ca="1">IFERROR(__xludf.DUMMYFUNCTION("""COMPUTED_VALUE"""),"POSTOBÓN YUMBO")</f>
        <v>POSTOBÓN YUMBO</v>
      </c>
      <c r="B471" s="5" t="str">
        <f ca="1">IFERROR(__xludf.DUMMYFUNCTION("""COMPUTED_VALUE"""),"0410-LINEA 2")</f>
        <v>0410-LINEA 2</v>
      </c>
      <c r="C471" s="5" t="str">
        <f ca="1">IFERROR(__xludf.DUMMYFUNCTION("""COMPUTED_VALUE"""),"LINEA DE ENVASADO FAMILIAR Y PRB")</f>
        <v>LINEA DE ENVASADO FAMILIAR Y PRB</v>
      </c>
      <c r="D471" s="5">
        <f ca="1">IFERROR(__xludf.DUMMYFUNCTION("""COMPUTED_VALUE"""),828266)</f>
        <v>828266</v>
      </c>
      <c r="E471" s="5" t="str">
        <f ca="1">IFERROR(__xludf.DUMMYFUNCTION("""COMPUTED_VALUE"""),"LAVADORA DE BOTELLAS")</f>
        <v>LAVADORA DE BOTELLAS</v>
      </c>
      <c r="F471" s="5">
        <f ca="1">IFERROR(__xludf.DUMMYFUNCTION("""COMPUTED_VALUE"""),0)</f>
        <v>0</v>
      </c>
      <c r="G471" s="5" t="str">
        <f ca="1">IFERROR(__xludf.DUMMYFUNCTION("""COMPUTED_VALUE"""),"CONSUMO LUB LAVADORA BOTELLAS FAMILIAR")</f>
        <v>CONSUMO LUB LAVADORA BOTELLAS FAMILIAR</v>
      </c>
      <c r="H471" s="5">
        <f ca="1">IFERROR(__xludf.DUMMYFUNCTION("""COMPUTED_VALUE"""),13230950)</f>
        <v>13230950</v>
      </c>
      <c r="I471" s="5" t="str">
        <f ca="1">IFERROR(__xludf.DUMMYFUNCTION("""COMPUTED_VALUE"""),"CONSUMO LUB LAVADORA BOTELLAS FAMILIAR")</f>
        <v>CONSUMO LUB LAVADORA BOTELLAS FAMILIAR</v>
      </c>
      <c r="J471" s="5" t="str">
        <f ca="1">IFERROR(__xludf.DUMMYFUNCTION("""COMPUTED_VALUE"""),"ALTO")</f>
        <v>ALTO</v>
      </c>
      <c r="K471" s="5" t="str">
        <f ca="1">IFERROR(__xludf.DUMMYFUNCTION("""COMPUTED_VALUE"""),"Preventivo")</f>
        <v>Preventivo</v>
      </c>
      <c r="L471" s="5" t="str">
        <f ca="1">IFERROR(__xludf.DUMMYFUNCTION("""COMPUTED_VALUE"""),"Maquinaria")</f>
        <v>Maquinaria</v>
      </c>
      <c r="M471" s="5" t="str">
        <f ca="1">IFERROR(__xludf.DUMMYFUNCTION("""COMPUTED_VALUE"""),"No")</f>
        <v>No</v>
      </c>
      <c r="N471" s="5"/>
      <c r="O471" s="5"/>
      <c r="P471" s="18">
        <f ca="1">IFERROR(__xludf.DUMMYFUNCTION("""COMPUTED_VALUE"""),45325)</f>
        <v>45325</v>
      </c>
      <c r="Q471" s="18">
        <f ca="1">IFERROR(__xludf.DUMMYFUNCTION("""COMPUTED_VALUE"""),45325)</f>
        <v>45325</v>
      </c>
      <c r="R471" s="18"/>
      <c r="S471" s="5">
        <f ca="1">IFERROR(__xludf.DUMMYFUNCTION("""COMPUTED_VALUE"""),1)</f>
        <v>1</v>
      </c>
      <c r="T471" s="5"/>
      <c r="U471" s="5" t="str">
        <f ca="1">IFERROR(__xludf.DUMMYFUNCTION("""COMPUTED_VALUE"""),"Henao William")</f>
        <v>Henao William</v>
      </c>
      <c r="V471" s="5"/>
      <c r="W471" s="5" t="str">
        <f ca="1">IFERROR(__xludf.DUMMYFUNCTION("""COMPUTED_VALUE"""),"RBu6CgDBu8o")</f>
        <v>RBu6CgDBu8o</v>
      </c>
      <c r="X471" s="5">
        <f ca="1">IFERROR(__xludf.DUMMYFUNCTION("""COMPUTED_VALUE"""),1)</f>
        <v>1</v>
      </c>
      <c r="Y471" s="5" t="str">
        <f t="shared" si="2"/>
        <v>Actividad sin realizar</v>
      </c>
      <c r="Z471" s="3">
        <f ca="1">IFERROR(VLOOKUP(U471, 'Base de datos'!A:B, 2, FALSE), "")</f>
        <v>573222217492</v>
      </c>
      <c r="AA471" s="4" t="e">
        <f t="shared" ca="1" si="3"/>
        <v>#NAME?</v>
      </c>
    </row>
    <row r="472" spans="1:27" ht="15.75" customHeight="1">
      <c r="A472" s="5" t="str">
        <f ca="1">IFERROR(__xludf.DUMMYFUNCTION("""COMPUTED_VALUE"""),"POSTOBÓN YUMBO")</f>
        <v>POSTOBÓN YUMBO</v>
      </c>
      <c r="B472" s="5" t="str">
        <f ca="1">IFERROR(__xludf.DUMMYFUNCTION("""COMPUTED_VALUE"""),"0410-LINEA 2")</f>
        <v>0410-LINEA 2</v>
      </c>
      <c r="C472" s="5" t="str">
        <f ca="1">IFERROR(__xludf.DUMMYFUNCTION("""COMPUTED_VALUE"""),"LINEA DE ENVASADO FAMILIAR Y PRB")</f>
        <v>LINEA DE ENVASADO FAMILIAR Y PRB</v>
      </c>
      <c r="D472" s="5">
        <f ca="1">IFERROR(__xludf.DUMMYFUNCTION("""COMPUTED_VALUE"""),510001)</f>
        <v>510001</v>
      </c>
      <c r="E472" s="5" t="str">
        <f ca="1">IFERROR(__xludf.DUMMYFUNCTION("""COMPUTED_VALUE"""),"LLENADORA")</f>
        <v>LLENADORA</v>
      </c>
      <c r="F472" s="5">
        <f ca="1">IFERROR(__xludf.DUMMYFUNCTION("""COMPUTED_VALUE"""),13196)</f>
        <v>13196</v>
      </c>
      <c r="G472" s="5" t="str">
        <f ca="1">IFERROR(__xludf.DUMMYFUNCTION("""COMPUTED_VALUE"""),"Mantto lubr sist coronado Llenad.")</f>
        <v>Mantto lubr sist coronado Llenad.</v>
      </c>
      <c r="H472" s="5">
        <f ca="1">IFERROR(__xludf.DUMMYFUNCTION("""COMPUTED_VALUE"""),13247130)</f>
        <v>13247130</v>
      </c>
      <c r="I472" s="5" t="str">
        <f ca="1">IFERROR(__xludf.DUMMYFUNCTION("""COMPUTED_VALUE"""),"Lubrique coronadores")</f>
        <v>Lubrique coronadores</v>
      </c>
      <c r="J472" s="5" t="str">
        <f ca="1">IFERROR(__xludf.DUMMYFUNCTION("""COMPUTED_VALUE"""),"ALTO")</f>
        <v>ALTO</v>
      </c>
      <c r="K472" s="5" t="str">
        <f ca="1">IFERROR(__xludf.DUMMYFUNCTION("""COMPUTED_VALUE"""),"Preventivo")</f>
        <v>Preventivo</v>
      </c>
      <c r="L472" s="5" t="str">
        <f ca="1">IFERROR(__xludf.DUMMYFUNCTION("""COMPUTED_VALUE"""),"Maquinaria")</f>
        <v>Maquinaria</v>
      </c>
      <c r="M472" s="5" t="str">
        <f ca="1">IFERROR(__xludf.DUMMYFUNCTION("""COMPUTED_VALUE"""),"No")</f>
        <v>No</v>
      </c>
      <c r="N472" s="5"/>
      <c r="O472" s="5"/>
      <c r="P472" s="18">
        <f ca="1">IFERROR(__xludf.DUMMYFUNCTION("""COMPUTED_VALUE"""),45324)</f>
        <v>45324</v>
      </c>
      <c r="Q472" s="18">
        <f ca="1">IFERROR(__xludf.DUMMYFUNCTION("""COMPUTED_VALUE"""),45324)</f>
        <v>45324</v>
      </c>
      <c r="R472" s="18"/>
      <c r="S472" s="5">
        <f ca="1">IFERROR(__xludf.DUMMYFUNCTION("""COMPUTED_VALUE"""),0.5)</f>
        <v>0.5</v>
      </c>
      <c r="T472" s="5"/>
      <c r="U472" s="5" t="str">
        <f ca="1">IFERROR(__xludf.DUMMYFUNCTION("""COMPUTED_VALUE"""),"Poveda Jorge")</f>
        <v>Poveda Jorge</v>
      </c>
      <c r="V472" s="5"/>
      <c r="W472" s="5" t="str">
        <f ca="1">IFERROR(__xludf.DUMMYFUNCTION("""COMPUTED_VALUE"""),"mGn9HMA6hgM")</f>
        <v>mGn9HMA6hgM</v>
      </c>
      <c r="X472" s="5">
        <f ca="1">IFERROR(__xludf.DUMMYFUNCTION("""COMPUTED_VALUE"""),0.5)</f>
        <v>0.5</v>
      </c>
      <c r="Y472" s="5" t="str">
        <f t="shared" si="2"/>
        <v>Actividad sin realizar</v>
      </c>
      <c r="Z472" s="3">
        <f ca="1">IFERROR(VLOOKUP(U472, 'Base de datos'!A:B, 2, FALSE), "")</f>
        <v>573212589618</v>
      </c>
      <c r="AA472" s="4" t="e">
        <f t="shared" ca="1" si="3"/>
        <v>#NAME?</v>
      </c>
    </row>
    <row r="473" spans="1:27" ht="15.75" customHeight="1">
      <c r="A473" s="5" t="str">
        <f ca="1">IFERROR(__xludf.DUMMYFUNCTION("""COMPUTED_VALUE"""),"POSTOBÓN YUMBO")</f>
        <v>POSTOBÓN YUMBO</v>
      </c>
      <c r="B473" s="5" t="str">
        <f ca="1">IFERROR(__xludf.DUMMYFUNCTION("""COMPUTED_VALUE"""),"0410-SALA DE JARABE TERMINADO")</f>
        <v>0410-SALA DE JARABE TERMINADO</v>
      </c>
      <c r="C473" s="5" t="str">
        <f ca="1">IFERROR(__xludf.DUMMYFUNCTION("""COMPUTED_VALUE"""),"EQUIPOS PARA PREPARACION DE JARABE")</f>
        <v>EQUIPOS PARA PREPARACION DE JARABE</v>
      </c>
      <c r="D473" s="5">
        <f ca="1">IFERROR(__xludf.DUMMYFUNCTION("""COMPUTED_VALUE"""),69963404)</f>
        <v>69963404</v>
      </c>
      <c r="E473" s="5" t="str">
        <f ca="1">IFERROR(__xludf.DUMMYFUNCTION("""COMPUTED_VALUE"""),"TANQUE DE JARABE")</f>
        <v>TANQUE DE JARABE</v>
      </c>
      <c r="F473" s="5">
        <f ca="1">IFERROR(__xludf.DUMMYFUNCTION("""COMPUTED_VALUE"""),17361)</f>
        <v>17361</v>
      </c>
      <c r="G473" s="5" t="str">
        <f ca="1">IFERROR(__xludf.DUMMYFUNCTION("""COMPUTED_VALUE"""),"MTTO MEC TK JARABE 1 JARABE TERMINADO")</f>
        <v>MTTO MEC TK JARABE 1 JARABE TERMINADO</v>
      </c>
      <c r="H473" s="5">
        <f ca="1">IFERROR(__xludf.DUMMYFUNCTION("""COMPUTED_VALUE"""),13247146)</f>
        <v>13247146</v>
      </c>
      <c r="I473" s="5" t="str">
        <f ca="1">IFERROR(__xludf.DUMMYFUNCTION("""COMPUTED_VALUE"""),"ANTON PAAR - dentro de la cubierta de")</f>
        <v>ANTON PAAR - dentro de la cubierta de</v>
      </c>
      <c r="J473" s="5" t="str">
        <f ca="1">IFERROR(__xludf.DUMMYFUNCTION("""COMPUTED_VALUE"""),"ALTO")</f>
        <v>ALTO</v>
      </c>
      <c r="K473" s="5" t="str">
        <f ca="1">IFERROR(__xludf.DUMMYFUNCTION("""COMPUTED_VALUE"""),"Preventivo")</f>
        <v>Preventivo</v>
      </c>
      <c r="L473" s="5" t="str">
        <f ca="1">IFERROR(__xludf.DUMMYFUNCTION("""COMPUTED_VALUE"""),"Maquinaria")</f>
        <v>Maquinaria</v>
      </c>
      <c r="M473" s="5" t="str">
        <f ca="1">IFERROR(__xludf.DUMMYFUNCTION("""COMPUTED_VALUE"""),"No")</f>
        <v>No</v>
      </c>
      <c r="N473" s="5"/>
      <c r="O473" s="5">
        <f ca="1">IFERROR(__xludf.DUMMYFUNCTION("""COMPUTED_VALUE"""),100)</f>
        <v>100</v>
      </c>
      <c r="P473" s="18">
        <f ca="1">IFERROR(__xludf.DUMMYFUNCTION("""COMPUTED_VALUE"""),45342)</f>
        <v>45342</v>
      </c>
      <c r="Q473" s="18">
        <f ca="1">IFERROR(__xludf.DUMMYFUNCTION("""COMPUTED_VALUE"""),45342)</f>
        <v>45342</v>
      </c>
      <c r="R473" s="18"/>
      <c r="S473" s="5">
        <f ca="1">IFERROR(__xludf.DUMMYFUNCTION("""COMPUTED_VALUE"""),1)</f>
        <v>1</v>
      </c>
      <c r="T473" s="5"/>
      <c r="U473" s="5" t="str">
        <f ca="1">IFERROR(__xludf.DUMMYFUNCTION("""COMPUTED_VALUE"""),"Moreno Pernia Bladimir")</f>
        <v>Moreno Pernia Bladimir</v>
      </c>
      <c r="V473" s="5"/>
      <c r="W473" s="5" t="str">
        <f ca="1">IFERROR(__xludf.DUMMYFUNCTION("""COMPUTED_VALUE"""),"AbDoo5dnNOE")</f>
        <v>AbDoo5dnNOE</v>
      </c>
      <c r="X473" s="5">
        <f ca="1">IFERROR(__xludf.DUMMYFUNCTION("""COMPUTED_VALUE"""),1)</f>
        <v>1</v>
      </c>
      <c r="Y473" s="5" t="str">
        <f t="shared" ca="1" si="2"/>
        <v>Actividad realizada</v>
      </c>
      <c r="Z473" s="3">
        <f ca="1">IFERROR(VLOOKUP(U473, 'Base de datos'!A:B, 2, FALSE), "")</f>
        <v>573148903137</v>
      </c>
      <c r="AA473" s="4" t="e">
        <f t="shared" ca="1" si="3"/>
        <v>#NAME?</v>
      </c>
    </row>
    <row r="474" spans="1:27" ht="15.75" customHeight="1">
      <c r="A474" s="5" t="str">
        <f ca="1">IFERROR(__xludf.DUMMYFUNCTION("""COMPUTED_VALUE"""),"POSTOBÓN YUMBO")</f>
        <v>POSTOBÓN YUMBO</v>
      </c>
      <c r="B474" s="5" t="str">
        <f ca="1">IFERROR(__xludf.DUMMYFUNCTION("""COMPUTED_VALUE"""),"0410-PLANTA DE AGUA ENVASADO")</f>
        <v>0410-PLANTA DE AGUA ENVASADO</v>
      </c>
      <c r="C474" s="5" t="str">
        <f ca="1">IFERROR(__xludf.DUMMYFUNCTION("""COMPUTED_VALUE"""),"TRATAMIENTO DE AGUA PARA ENVASADO")</f>
        <v>TRATAMIENTO DE AGUA PARA ENVASADO</v>
      </c>
      <c r="D474" s="5">
        <f ca="1">IFERROR(__xludf.DUMMYFUNCTION("""COMPUTED_VALUE"""),70948941)</f>
        <v>70948941</v>
      </c>
      <c r="E474" s="5" t="str">
        <f ca="1">IFERROR(__xludf.DUMMYFUNCTION("""COMPUTED_VALUE"""),"DESGASIFICADOR POZO PARQUEADERO")</f>
        <v>DESGASIFICADOR POZO PARQUEADERO</v>
      </c>
      <c r="F474" s="5">
        <f ca="1">IFERROR(__xludf.DUMMYFUNCTION("""COMPUTED_VALUE"""),22740)</f>
        <v>22740</v>
      </c>
      <c r="G474" s="5" t="str">
        <f ca="1">IFERROR(__xludf.DUMMYFUNCTION("""COMPUTED_VALUE"""),"PLAN MTTO ELE DESGA POZO PARQUE 70948941")</f>
        <v>PLAN MTTO ELE DESGA POZO PARQUE 70948941</v>
      </c>
      <c r="H474" s="5">
        <f ca="1">IFERROR(__xludf.DUMMYFUNCTION("""COMPUTED_VALUE"""),13141419)</f>
        <v>13141419</v>
      </c>
      <c r="I474" s="5" t="str">
        <f ca="1">IFERROR(__xludf.DUMMYFUNCTION("""COMPUTED_VALUE"""),"REVISION ELECTRODO PH")</f>
        <v>REVISION ELECTRODO PH</v>
      </c>
      <c r="J474" s="5" t="str">
        <f ca="1">IFERROR(__xludf.DUMMYFUNCTION("""COMPUTED_VALUE"""),"ALTO")</f>
        <v>ALTO</v>
      </c>
      <c r="K474" s="5" t="str">
        <f ca="1">IFERROR(__xludf.DUMMYFUNCTION("""COMPUTED_VALUE"""),"Preventivo")</f>
        <v>Preventivo</v>
      </c>
      <c r="L474" s="5" t="str">
        <f ca="1">IFERROR(__xludf.DUMMYFUNCTION("""COMPUTED_VALUE"""),"Maquinaria")</f>
        <v>Maquinaria</v>
      </c>
      <c r="M474" s="5" t="str">
        <f ca="1">IFERROR(__xludf.DUMMYFUNCTION("""COMPUTED_VALUE"""),"No")</f>
        <v>No</v>
      </c>
      <c r="N474" s="5"/>
      <c r="O474" s="5"/>
      <c r="P474" s="18">
        <f ca="1">IFERROR(__xludf.DUMMYFUNCTION("""COMPUTED_VALUE"""),45324)</f>
        <v>45324</v>
      </c>
      <c r="Q474" s="18">
        <f ca="1">IFERROR(__xludf.DUMMYFUNCTION("""COMPUTED_VALUE"""),45324)</f>
        <v>45324</v>
      </c>
      <c r="R474" s="18"/>
      <c r="S474" s="5">
        <f ca="1">IFERROR(__xludf.DUMMYFUNCTION("""COMPUTED_VALUE"""),2)</f>
        <v>2</v>
      </c>
      <c r="T474" s="5"/>
      <c r="U474" s="5" t="str">
        <f ca="1">IFERROR(__xludf.DUMMYFUNCTION("""COMPUTED_VALUE"""),"PAPAMIJA GUIDO")</f>
        <v>PAPAMIJA GUIDO</v>
      </c>
      <c r="V474" s="5"/>
      <c r="W474" s="5" t="str">
        <f ca="1">IFERROR(__xludf.DUMMYFUNCTION("""COMPUTED_VALUE"""),"RkJ2b-H7OEk")</f>
        <v>RkJ2b-H7OEk</v>
      </c>
      <c r="X474" s="5">
        <f ca="1">IFERROR(__xludf.DUMMYFUNCTION("""COMPUTED_VALUE"""),2)</f>
        <v>2</v>
      </c>
      <c r="Y474" s="5" t="str">
        <f t="shared" si="2"/>
        <v>Actividad sin realizar</v>
      </c>
      <c r="Z474" s="3">
        <f ca="1">IFERROR(VLOOKUP(U474, 'Base de datos'!A:B, 2, FALSE), "")</f>
        <v>573156712311</v>
      </c>
      <c r="AA474" s="4" t="e">
        <f t="shared" ca="1" si="3"/>
        <v>#NAME?</v>
      </c>
    </row>
    <row r="475" spans="1:27" ht="15.75" customHeight="1">
      <c r="A475" s="5" t="str">
        <f ca="1">IFERROR(__xludf.DUMMYFUNCTION("""COMPUTED_VALUE"""),"POSTOBÓN YUMBO")</f>
        <v>POSTOBÓN YUMBO</v>
      </c>
      <c r="B475" s="5" t="str">
        <f ca="1">IFERROR(__xludf.DUMMYFUNCTION("""COMPUTED_VALUE"""),"0410-LINEA 2")</f>
        <v>0410-LINEA 2</v>
      </c>
      <c r="C475" s="5" t="str">
        <f ca="1">IFERROR(__xludf.DUMMYFUNCTION("""COMPUTED_VALUE"""),"LINEA DE ENVASADO FAMILIAR Y PRB")</f>
        <v>LINEA DE ENVASADO FAMILIAR Y PRB</v>
      </c>
      <c r="D475" s="5">
        <f ca="1">IFERROR(__xludf.DUMMYFUNCTION("""COMPUTED_VALUE"""),829653)</f>
        <v>829653</v>
      </c>
      <c r="E475" s="5" t="str">
        <f ca="1">IFERROR(__xludf.DUMMYFUNCTION("""COMPUTED_VALUE"""),"TRANSPORTADOR DE BOTELLAS")</f>
        <v>TRANSPORTADOR DE BOTELLAS</v>
      </c>
      <c r="F475" s="5">
        <f ca="1">IFERROR(__xludf.DUMMYFUNCTION("""COMPUTED_VALUE"""),22572)</f>
        <v>22572</v>
      </c>
      <c r="G475" s="5" t="str">
        <f ca="1">IFERROR(__xludf.DUMMYFUNCTION("""COMPUTED_VALUE"""),"PLAN MTTO LUB TRANSPORT BOTELL 829653 L2")</f>
        <v>PLAN MTTO LUB TRANSPORT BOTELL 829653 L2</v>
      </c>
      <c r="H475" s="5">
        <f ca="1">IFERROR(__xludf.DUMMYFUNCTION("""COMPUTED_VALUE"""),13247198)</f>
        <v>13247198</v>
      </c>
      <c r="I475" s="5" t="str">
        <f ca="1">IFERROR(__xludf.DUMMYFUNCTION("""COMPUTED_VALUE"""),"Lubricar chumaceras")</f>
        <v>Lubricar chumaceras</v>
      </c>
      <c r="J475" s="5" t="str">
        <f ca="1">IFERROR(__xludf.DUMMYFUNCTION("""COMPUTED_VALUE"""),"MEDIO")</f>
        <v>MEDIO</v>
      </c>
      <c r="K475" s="5" t="str">
        <f ca="1">IFERROR(__xludf.DUMMYFUNCTION("""COMPUTED_VALUE"""),"Preventivo")</f>
        <v>Preventivo</v>
      </c>
      <c r="L475" s="5" t="str">
        <f ca="1">IFERROR(__xludf.DUMMYFUNCTION("""COMPUTED_VALUE"""),"Maquinaria")</f>
        <v>Maquinaria</v>
      </c>
      <c r="M475" s="5" t="str">
        <f ca="1">IFERROR(__xludf.DUMMYFUNCTION("""COMPUTED_VALUE"""),"No")</f>
        <v>No</v>
      </c>
      <c r="N475" s="5"/>
      <c r="O475" s="5"/>
      <c r="P475" s="18">
        <f ca="1">IFERROR(__xludf.DUMMYFUNCTION("""COMPUTED_VALUE"""),45331)</f>
        <v>45331</v>
      </c>
      <c r="Q475" s="18">
        <f ca="1">IFERROR(__xludf.DUMMYFUNCTION("""COMPUTED_VALUE"""),45331)</f>
        <v>45331</v>
      </c>
      <c r="R475" s="18"/>
      <c r="S475" s="5">
        <f ca="1">IFERROR(__xludf.DUMMYFUNCTION("""COMPUTED_VALUE"""),0.5)</f>
        <v>0.5</v>
      </c>
      <c r="T475" s="5"/>
      <c r="U475" s="5" t="str">
        <f ca="1">IFERROR(__xludf.DUMMYFUNCTION("""COMPUTED_VALUE"""),"Andrés Felipe Pérez Polania")</f>
        <v>Andrés Felipe Pérez Polania</v>
      </c>
      <c r="V475" s="5"/>
      <c r="W475" s="5" t="str">
        <f ca="1">IFERROR(__xludf.DUMMYFUNCTION("""COMPUTED_VALUE"""),"I1bYRQ8fk_U")</f>
        <v>I1bYRQ8fk_U</v>
      </c>
      <c r="X475" s="5">
        <f ca="1">IFERROR(__xludf.DUMMYFUNCTION("""COMPUTED_VALUE"""),0.5)</f>
        <v>0.5</v>
      </c>
      <c r="Y475" s="5" t="str">
        <f t="shared" si="2"/>
        <v>Actividad sin realizar</v>
      </c>
      <c r="Z475" s="3">
        <f ca="1">IFERROR(VLOOKUP(U475, 'Base de datos'!A:B, 2, FALSE), "")</f>
        <v>573186924079</v>
      </c>
      <c r="AA475" s="4" t="e">
        <f t="shared" ca="1" si="3"/>
        <v>#NAME?</v>
      </c>
    </row>
    <row r="476" spans="1:27" ht="15.75" customHeight="1">
      <c r="A476" s="5" t="str">
        <f ca="1">IFERROR(__xludf.DUMMYFUNCTION("""COMPUTED_VALUE"""),"POSTOBÓN YUMBO")</f>
        <v>POSTOBÓN YUMBO</v>
      </c>
      <c r="B476" s="5" t="str">
        <f ca="1">IFERROR(__xludf.DUMMYFUNCTION("""COMPUTED_VALUE"""),"0410-PLANTA DE AGUA ENVASADO")</f>
        <v>0410-PLANTA DE AGUA ENVASADO</v>
      </c>
      <c r="C476" s="5" t="str">
        <f ca="1">IFERROR(__xludf.DUMMYFUNCTION("""COMPUTED_VALUE"""),"TRATAMIENTO DE AGUA PARA ENVASADO")</f>
        <v>TRATAMIENTO DE AGUA PARA ENVASADO</v>
      </c>
      <c r="D476" s="5">
        <f ca="1">IFERROR(__xludf.DUMMYFUNCTION("""COMPUTED_VALUE"""),70948952)</f>
        <v>70948952</v>
      </c>
      <c r="E476" s="5" t="str">
        <f ca="1">IFERROR(__xludf.DUMMYFUNCTION("""COMPUTED_VALUE"""),"SISTEMA DE CAL - TRAT PRIM")</f>
        <v>SISTEMA DE CAL - TRAT PRIM</v>
      </c>
      <c r="F476" s="5">
        <f ca="1">IFERROR(__xludf.DUMMYFUNCTION("""COMPUTED_VALUE"""),32895)</f>
        <v>32895</v>
      </c>
      <c r="G476" s="5" t="str">
        <f ca="1">IFERROR(__xludf.DUMMYFUNCTION("""COMPUTED_VALUE"""),"PLAN MTTO ELE SISTEMA DE CAL - TRAT PRIM")</f>
        <v>PLAN MTTO ELE SISTEMA DE CAL - TRAT PRIM</v>
      </c>
      <c r="H476" s="5">
        <f ca="1">IFERROR(__xludf.DUMMYFUNCTION("""COMPUTED_VALUE"""),13247257)</f>
        <v>13247257</v>
      </c>
      <c r="I476" s="5" t="str">
        <f ca="1">IFERROR(__xludf.DUMMYFUNCTION("""COMPUTED_VALUE"""),"LIMPIAR CONTROL POLIPASTO")</f>
        <v>LIMPIAR CONTROL POLIPASTO</v>
      </c>
      <c r="J476" s="5" t="str">
        <f ca="1">IFERROR(__xludf.DUMMYFUNCTION("""COMPUTED_VALUE"""),"ALTO")</f>
        <v>ALTO</v>
      </c>
      <c r="K476" s="5" t="str">
        <f ca="1">IFERROR(__xludf.DUMMYFUNCTION("""COMPUTED_VALUE"""),"Preventivo")</f>
        <v>Preventivo</v>
      </c>
      <c r="L476" s="5" t="str">
        <f ca="1">IFERROR(__xludf.DUMMYFUNCTION("""COMPUTED_VALUE"""),"Maquinaria")</f>
        <v>Maquinaria</v>
      </c>
      <c r="M476" s="5" t="str">
        <f ca="1">IFERROR(__xludf.DUMMYFUNCTION("""COMPUTED_VALUE"""),"No")</f>
        <v>No</v>
      </c>
      <c r="N476" s="5"/>
      <c r="O476" s="5"/>
      <c r="P476" s="18">
        <f ca="1">IFERROR(__xludf.DUMMYFUNCTION("""COMPUTED_VALUE"""),45339)</f>
        <v>45339</v>
      </c>
      <c r="Q476" s="18">
        <f ca="1">IFERROR(__xludf.DUMMYFUNCTION("""COMPUTED_VALUE"""),45339)</f>
        <v>45339</v>
      </c>
      <c r="R476" s="18"/>
      <c r="S476" s="5">
        <f ca="1">IFERROR(__xludf.DUMMYFUNCTION("""COMPUTED_VALUE"""),1)</f>
        <v>1</v>
      </c>
      <c r="T476" s="5"/>
      <c r="U476" s="5" t="str">
        <f ca="1">IFERROR(__xludf.DUMMYFUNCTION("""COMPUTED_VALUE"""),"Guzman Palechor Miguel Angel")</f>
        <v>Guzman Palechor Miguel Angel</v>
      </c>
      <c r="V476" s="5"/>
      <c r="W476" s="5" t="str">
        <f ca="1">IFERROR(__xludf.DUMMYFUNCTION("""COMPUTED_VALUE"""),"7zm4ToZlQ1U")</f>
        <v>7zm4ToZlQ1U</v>
      </c>
      <c r="X476" s="5">
        <f ca="1">IFERROR(__xludf.DUMMYFUNCTION("""COMPUTED_VALUE"""),1)</f>
        <v>1</v>
      </c>
      <c r="Y476" s="5" t="str">
        <f t="shared" si="2"/>
        <v>Actividad sin realizar</v>
      </c>
      <c r="Z476" s="3">
        <f ca="1">IFERROR(VLOOKUP(U476, 'Base de datos'!A:B, 2, FALSE), "")</f>
        <v>573112422176</v>
      </c>
      <c r="AA476" s="4" t="e">
        <f t="shared" ca="1" si="3"/>
        <v>#NAME?</v>
      </c>
    </row>
    <row r="477" spans="1:27" ht="15.75" customHeight="1">
      <c r="A477" s="5" t="str">
        <f ca="1">IFERROR(__xludf.DUMMYFUNCTION("""COMPUTED_VALUE"""),"POSTOBÓN YUMBO")</f>
        <v>POSTOBÓN YUMBO</v>
      </c>
      <c r="B477" s="5" t="str">
        <f ca="1">IFERROR(__xludf.DUMMYFUNCTION("""COMPUTED_VALUE"""),"0410-SALA DE JARABE TERMINADO")</f>
        <v>0410-SALA DE JARABE TERMINADO</v>
      </c>
      <c r="C477" s="5" t="str">
        <f ca="1">IFERROR(__xludf.DUMMYFUNCTION("""COMPUTED_VALUE"""),"EQUIPOS PARA PREPARACION DE JARABE")</f>
        <v>EQUIPOS PARA PREPARACION DE JARABE</v>
      </c>
      <c r="D477" s="5">
        <f ca="1">IFERROR(__xludf.DUMMYFUNCTION("""COMPUTED_VALUE"""),69963415)</f>
        <v>69963415</v>
      </c>
      <c r="E477" s="5" t="str">
        <f ca="1">IFERROR(__xludf.DUMMYFUNCTION("""COMPUTED_VALUE"""),"TANQUE ALMAC.JARABE SIMPLE")</f>
        <v>TANQUE ALMAC.JARABE SIMPLE</v>
      </c>
      <c r="F477" s="5">
        <f ca="1">IFERROR(__xludf.DUMMYFUNCTION("""COMPUTED_VALUE"""),17361)</f>
        <v>17361</v>
      </c>
      <c r="G477" s="5" t="str">
        <f ca="1">IFERROR(__xludf.DUMMYFUNCTION("""COMPUTED_VALUE"""),"MTTO MEC TK JARABE SIMPL JARABE TERMIN")</f>
        <v>MTTO MEC TK JARABE SIMPL JARABE TERMIN</v>
      </c>
      <c r="H477" s="5">
        <f ca="1">IFERROR(__xludf.DUMMYFUNCTION("""COMPUTED_VALUE"""),13247148)</f>
        <v>13247148</v>
      </c>
      <c r="I477" s="5" t="str">
        <f ca="1">IFERROR(__xludf.DUMMYFUNCTION("""COMPUTED_VALUE"""),"Revisar fugas tuberias, empaques, tapas")</f>
        <v>Revisar fugas tuberias, empaques, tapas</v>
      </c>
      <c r="J477" s="5" t="str">
        <f ca="1">IFERROR(__xludf.DUMMYFUNCTION("""COMPUTED_VALUE"""),"ALTO")</f>
        <v>ALTO</v>
      </c>
      <c r="K477" s="5" t="str">
        <f ca="1">IFERROR(__xludf.DUMMYFUNCTION("""COMPUTED_VALUE"""),"Preventivo")</f>
        <v>Preventivo</v>
      </c>
      <c r="L477" s="5" t="str">
        <f ca="1">IFERROR(__xludf.DUMMYFUNCTION("""COMPUTED_VALUE"""),"Maquinaria")</f>
        <v>Maquinaria</v>
      </c>
      <c r="M477" s="5" t="str">
        <f ca="1">IFERROR(__xludf.DUMMYFUNCTION("""COMPUTED_VALUE"""),"No")</f>
        <v>No</v>
      </c>
      <c r="N477" s="5"/>
      <c r="O477" s="5">
        <f ca="1">IFERROR(__xludf.DUMMYFUNCTION("""COMPUTED_VALUE"""),100)</f>
        <v>100</v>
      </c>
      <c r="P477" s="18">
        <f ca="1">IFERROR(__xludf.DUMMYFUNCTION("""COMPUTED_VALUE"""),45341)</f>
        <v>45341</v>
      </c>
      <c r="Q477" s="18">
        <f ca="1">IFERROR(__xludf.DUMMYFUNCTION("""COMPUTED_VALUE"""),45341)</f>
        <v>45341</v>
      </c>
      <c r="R477" s="18"/>
      <c r="S477" s="5">
        <f ca="1">IFERROR(__xludf.DUMMYFUNCTION("""COMPUTED_VALUE"""),0.5)</f>
        <v>0.5</v>
      </c>
      <c r="T477" s="5"/>
      <c r="U477" s="5" t="str">
        <f ca="1">IFERROR(__xludf.DUMMYFUNCTION("""COMPUTED_VALUE"""),"Rivas Mena Carlos Danny")</f>
        <v>Rivas Mena Carlos Danny</v>
      </c>
      <c r="V477" s="5"/>
      <c r="W477" s="5" t="str">
        <f ca="1">IFERROR(__xludf.DUMMYFUNCTION("""COMPUTED_VALUE"""),"Eu6Yzb6CSZY")</f>
        <v>Eu6Yzb6CSZY</v>
      </c>
      <c r="X477" s="5">
        <f ca="1">IFERROR(__xludf.DUMMYFUNCTION("""COMPUTED_VALUE"""),0.5)</f>
        <v>0.5</v>
      </c>
      <c r="Y477" s="5" t="str">
        <f t="shared" ca="1" si="2"/>
        <v>Actividad realizada</v>
      </c>
      <c r="Z477" s="3">
        <f ca="1">IFERROR(VLOOKUP(U477, 'Base de datos'!A:B, 2, FALSE), "")</f>
        <v>0</v>
      </c>
      <c r="AA477" s="4" t="e">
        <f t="shared" ca="1" si="3"/>
        <v>#NAME?</v>
      </c>
    </row>
    <row r="478" spans="1:27" ht="15.75" customHeight="1">
      <c r="A478" s="5" t="str">
        <f ca="1">IFERROR(__xludf.DUMMYFUNCTION("""COMPUTED_VALUE"""),"POSTOBÓN YUMBO")</f>
        <v>POSTOBÓN YUMBO</v>
      </c>
      <c r="B478" s="5" t="str">
        <f ca="1">IFERROR(__xludf.DUMMYFUNCTION("""COMPUTED_VALUE"""),"0410-LINEA 2")</f>
        <v>0410-LINEA 2</v>
      </c>
      <c r="C478" s="5" t="str">
        <f ca="1">IFERROR(__xludf.DUMMYFUNCTION("""COMPUTED_VALUE"""),"LINEA DE ENVASADO FAMILIAR Y PRB")</f>
        <v>LINEA DE ENVASADO FAMILIAR Y PRB</v>
      </c>
      <c r="D478" s="5">
        <f ca="1">IFERROR(__xludf.DUMMYFUNCTION("""COMPUTED_VALUE"""),82964402)</f>
        <v>82964402</v>
      </c>
      <c r="E478" s="5" t="str">
        <f ca="1">IFERROR(__xludf.DUMMYFUNCTION("""COMPUTED_VALUE"""),"CODIFICADOR L2")</f>
        <v>CODIFICADOR L2</v>
      </c>
      <c r="F478" s="5">
        <f ca="1">IFERROR(__xludf.DUMMYFUNCTION("""COMPUTED_VALUE"""),46430)</f>
        <v>46430</v>
      </c>
      <c r="G478" s="5" t="str">
        <f ca="1">IFERROR(__xludf.DUMMYFUNCTION("""COMPUTED_VALUE"""),"PLAN MTTO ELE CODIFICADOR L2 82964402")</f>
        <v>PLAN MTTO ELE CODIFICADOR L2 82964402</v>
      </c>
      <c r="H478" s="5">
        <f ca="1">IFERROR(__xludf.DUMMYFUNCTION("""COMPUTED_VALUE"""),13247850)</f>
        <v>13247850</v>
      </c>
      <c r="I478" s="5" t="str">
        <f ca="1">IFERROR(__xludf.DUMMYFUNCTION("""COMPUTED_VALUE"""),"Revision electrovalvula de la boquilla")</f>
        <v>Revision electrovalvula de la boquilla</v>
      </c>
      <c r="J478" s="5" t="str">
        <f ca="1">IFERROR(__xludf.DUMMYFUNCTION("""COMPUTED_VALUE"""),"ALTO")</f>
        <v>ALTO</v>
      </c>
      <c r="K478" s="5" t="str">
        <f ca="1">IFERROR(__xludf.DUMMYFUNCTION("""COMPUTED_VALUE"""),"Preventivo")</f>
        <v>Preventivo</v>
      </c>
      <c r="L478" s="5" t="str">
        <f ca="1">IFERROR(__xludf.DUMMYFUNCTION("""COMPUTED_VALUE"""),"Maquinaria")</f>
        <v>Maquinaria</v>
      </c>
      <c r="M478" s="5" t="str">
        <f ca="1">IFERROR(__xludf.DUMMYFUNCTION("""COMPUTED_VALUE"""),"No")</f>
        <v>No</v>
      </c>
      <c r="N478" s="5"/>
      <c r="O478" s="5"/>
      <c r="P478" s="18">
        <f ca="1">IFERROR(__xludf.DUMMYFUNCTION("""COMPUTED_VALUE"""),45331)</f>
        <v>45331</v>
      </c>
      <c r="Q478" s="18">
        <f ca="1">IFERROR(__xludf.DUMMYFUNCTION("""COMPUTED_VALUE"""),45331)</f>
        <v>45331</v>
      </c>
      <c r="R478" s="18"/>
      <c r="S478" s="5">
        <f ca="1">IFERROR(__xludf.DUMMYFUNCTION("""COMPUTED_VALUE"""),0.5)</f>
        <v>0.5</v>
      </c>
      <c r="T478" s="5"/>
      <c r="U478" s="5" t="str">
        <f ca="1">IFERROR(__xludf.DUMMYFUNCTION("""COMPUTED_VALUE"""),"Andrés Felipe Pérez Polania")</f>
        <v>Andrés Felipe Pérez Polania</v>
      </c>
      <c r="V478" s="5"/>
      <c r="W478" s="5" t="str">
        <f ca="1">IFERROR(__xludf.DUMMYFUNCTION("""COMPUTED_VALUE"""),"yYMMBzwiaeI")</f>
        <v>yYMMBzwiaeI</v>
      </c>
      <c r="X478" s="5">
        <f ca="1">IFERROR(__xludf.DUMMYFUNCTION("""COMPUTED_VALUE"""),0.5)</f>
        <v>0.5</v>
      </c>
      <c r="Y478" s="5" t="str">
        <f t="shared" si="2"/>
        <v>Actividad sin realizar</v>
      </c>
      <c r="Z478" s="3">
        <f ca="1">IFERROR(VLOOKUP(U478, 'Base de datos'!A:B, 2, FALSE), "")</f>
        <v>573186924079</v>
      </c>
      <c r="AA478" s="4" t="e">
        <f t="shared" ca="1" si="3"/>
        <v>#NAME?</v>
      </c>
    </row>
    <row r="479" spans="1:27" ht="15.75" customHeight="1">
      <c r="A479" s="5" t="str">
        <f ca="1">IFERROR(__xludf.DUMMYFUNCTION("""COMPUTED_VALUE"""),"POSTOBÓN YUMBO")</f>
        <v>POSTOBÓN YUMBO</v>
      </c>
      <c r="B479" s="5" t="str">
        <f ca="1">IFERROR(__xludf.DUMMYFUNCTION("""COMPUTED_VALUE"""),"0410-ENVASADO JUGOS PET HOT F")</f>
        <v>0410-ENVASADO JUGOS PET HOT F</v>
      </c>
      <c r="C479" s="5" t="str">
        <f ca="1">IFERROR(__xludf.DUMMYFUNCTION("""COMPUTED_VALUE"""),"LINEA DE ENVASADO JUGOS PET HOT FILL")</f>
        <v>LINEA DE ENVASADO JUGOS PET HOT FILL</v>
      </c>
      <c r="D479" s="5">
        <f ca="1">IFERROR(__xludf.DUMMYFUNCTION("""COMPUTED_VALUE"""),900305)</f>
        <v>900305</v>
      </c>
      <c r="E479" s="5" t="str">
        <f ca="1">IFERROR(__xludf.DUMMYFUNCTION("""COMPUTED_VALUE"""),"ETIQUETADORA")</f>
        <v>ETIQUETADORA</v>
      </c>
      <c r="F479" s="5">
        <f ca="1">IFERROR(__xludf.DUMMYFUNCTION("""COMPUTED_VALUE"""),14086)</f>
        <v>14086</v>
      </c>
      <c r="G479" s="5" t="str">
        <f ca="1">IFERROR(__xludf.DUMMYFUNCTION("""COMPUTED_VALUE"""),"MTTO MEC ETIQUETADORA L8 900305")</f>
        <v>MTTO MEC ETIQUETADORA L8 900305</v>
      </c>
      <c r="H479" s="5">
        <f ca="1">IFERROR(__xludf.DUMMYFUNCTION("""COMPUTED_VALUE"""),13247139)</f>
        <v>13247139</v>
      </c>
      <c r="I479" s="5" t="str">
        <f ca="1">IFERROR(__xludf.DUMMYFUNCTION("""COMPUTED_VALUE"""),"Conjunto de encolado reservorio de pegan")</f>
        <v>Conjunto de encolado reservorio de pegan</v>
      </c>
      <c r="J479" s="5" t="str">
        <f ca="1">IFERROR(__xludf.DUMMYFUNCTION("""COMPUTED_VALUE"""),"MEDIO")</f>
        <v>MEDIO</v>
      </c>
      <c r="K479" s="5" t="str">
        <f ca="1">IFERROR(__xludf.DUMMYFUNCTION("""COMPUTED_VALUE"""),"Preventivo")</f>
        <v>Preventivo</v>
      </c>
      <c r="L479" s="5" t="str">
        <f ca="1">IFERROR(__xludf.DUMMYFUNCTION("""COMPUTED_VALUE"""),"Maquinaria")</f>
        <v>Maquinaria</v>
      </c>
      <c r="M479" s="5" t="str">
        <f ca="1">IFERROR(__xludf.DUMMYFUNCTION("""COMPUTED_VALUE"""),"No")</f>
        <v>No</v>
      </c>
      <c r="N479" s="5"/>
      <c r="O479" s="5"/>
      <c r="P479" s="18">
        <f ca="1">IFERROR(__xludf.DUMMYFUNCTION("""COMPUTED_VALUE"""),45334)</f>
        <v>45334</v>
      </c>
      <c r="Q479" s="18">
        <f ca="1">IFERROR(__xludf.DUMMYFUNCTION("""COMPUTED_VALUE"""),45334)</f>
        <v>45334</v>
      </c>
      <c r="R479" s="18"/>
      <c r="S479" s="5">
        <f ca="1">IFERROR(__xludf.DUMMYFUNCTION("""COMPUTED_VALUE"""),8)</f>
        <v>8</v>
      </c>
      <c r="T479" s="5"/>
      <c r="U479" s="5" t="str">
        <f ca="1">IFERROR(__xludf.DUMMYFUNCTION("""COMPUTED_VALUE"""),"Bedoya Marin Johan Andres")</f>
        <v>Bedoya Marin Johan Andres</v>
      </c>
      <c r="V479" s="5"/>
      <c r="W479" s="5" t="str">
        <f ca="1">IFERROR(__xludf.DUMMYFUNCTION("""COMPUTED_VALUE"""),"x7w8dU1z9Y8")</f>
        <v>x7w8dU1z9Y8</v>
      </c>
      <c r="X479" s="5">
        <f ca="1">IFERROR(__xludf.DUMMYFUNCTION("""COMPUTED_VALUE"""),8)</f>
        <v>8</v>
      </c>
      <c r="Y479" s="5" t="str">
        <f t="shared" si="2"/>
        <v>Actividad sin realizar</v>
      </c>
      <c r="Z479" s="3">
        <f ca="1">IFERROR(VLOOKUP(U479, 'Base de datos'!A:B, 2, FALSE), "")</f>
        <v>573147103334</v>
      </c>
      <c r="AA479" s="4" t="e">
        <f t="shared" ca="1" si="3"/>
        <v>#NAME?</v>
      </c>
    </row>
    <row r="480" spans="1:27" ht="15.75" customHeight="1">
      <c r="A480" s="5" t="str">
        <f ca="1">IFERROR(__xludf.DUMMYFUNCTION("""COMPUTED_VALUE"""),"POSTOBÓN YUMBO")</f>
        <v>POSTOBÓN YUMBO</v>
      </c>
      <c r="B480" s="5" t="str">
        <f ca="1">IFERROR(__xludf.DUMMYFUNCTION("""COMPUTED_VALUE"""),"0410-LINEA DE BOLSAS")</f>
        <v>0410-LINEA DE BOLSAS</v>
      </c>
      <c r="C480" s="5" t="str">
        <f ca="1">IFERROR(__xludf.DUMMYFUNCTION("""COMPUTED_VALUE"""),"LINEA PARA EL LLENADO DE BOLSAS")</f>
        <v>LINEA PARA EL LLENADO DE BOLSAS</v>
      </c>
      <c r="D480" s="5">
        <f ca="1">IFERROR(__xludf.DUMMYFUNCTION("""COMPUTED_VALUE"""),71020001)</f>
        <v>71020001</v>
      </c>
      <c r="E480" s="5" t="str">
        <f ca="1">IFERROR(__xludf.DUMMYFUNCTION("""COMPUTED_VALUE"""),"TRANSPORTADORES TABLETOP PARA BOLSAS.")</f>
        <v>TRANSPORTADORES TABLETOP PARA BOLSAS.</v>
      </c>
      <c r="F480" s="5">
        <f ca="1">IFERROR(__xludf.DUMMYFUNCTION("""COMPUTED_VALUE"""),22718)</f>
        <v>22718</v>
      </c>
      <c r="G480" s="5" t="str">
        <f ca="1">IFERROR(__xludf.DUMMYFUNCTION("""COMPUTED_VALUE"""),"PLAN MTTO ELE TABLETOP BOLSAS 71020001")</f>
        <v>PLAN MTTO ELE TABLETOP BOLSAS 71020001</v>
      </c>
      <c r="H480" s="5">
        <f ca="1">IFERROR(__xludf.DUMMYFUNCTION("""COMPUTED_VALUE"""),13193570)</f>
        <v>13193570</v>
      </c>
      <c r="I480" s="5" t="str">
        <f ca="1">IFERROR(__xludf.DUMMYFUNCTION("""COMPUTED_VALUE"""),"mesa Giratoria")</f>
        <v>mesa Giratoria</v>
      </c>
      <c r="J480" s="5" t="str">
        <f ca="1">IFERROR(__xludf.DUMMYFUNCTION("""COMPUTED_VALUE"""),"MEDIO")</f>
        <v>MEDIO</v>
      </c>
      <c r="K480" s="5" t="str">
        <f ca="1">IFERROR(__xludf.DUMMYFUNCTION("""COMPUTED_VALUE"""),"Preventivo")</f>
        <v>Preventivo</v>
      </c>
      <c r="L480" s="5" t="str">
        <f ca="1">IFERROR(__xludf.DUMMYFUNCTION("""COMPUTED_VALUE"""),"Maquinaria")</f>
        <v>Maquinaria</v>
      </c>
      <c r="M480" s="5" t="str">
        <f ca="1">IFERROR(__xludf.DUMMYFUNCTION("""COMPUTED_VALUE"""),"No")</f>
        <v>No</v>
      </c>
      <c r="N480" s="5"/>
      <c r="O480" s="5"/>
      <c r="P480" s="18">
        <f ca="1">IFERROR(__xludf.DUMMYFUNCTION("""COMPUTED_VALUE"""),45333)</f>
        <v>45333</v>
      </c>
      <c r="Q480" s="18">
        <f ca="1">IFERROR(__xludf.DUMMYFUNCTION("""COMPUTED_VALUE"""),45333)</f>
        <v>45333</v>
      </c>
      <c r="R480" s="18"/>
      <c r="S480" s="5">
        <f ca="1">IFERROR(__xludf.DUMMYFUNCTION("""COMPUTED_VALUE"""),4)</f>
        <v>4</v>
      </c>
      <c r="T480" s="5"/>
      <c r="U480" s="5" t="str">
        <f ca="1">IFERROR(__xludf.DUMMYFUNCTION("""COMPUTED_VALUE"""),"ESTEBAN POTOSI ISAZA")</f>
        <v>ESTEBAN POTOSI ISAZA</v>
      </c>
      <c r="V480" s="5"/>
      <c r="W480" s="5" t="str">
        <f ca="1">IFERROR(__xludf.DUMMYFUNCTION("""COMPUTED_VALUE"""),"vdwlzWK3ykw")</f>
        <v>vdwlzWK3ykw</v>
      </c>
      <c r="X480" s="5">
        <f ca="1">IFERROR(__xludf.DUMMYFUNCTION("""COMPUTED_VALUE"""),4)</f>
        <v>4</v>
      </c>
      <c r="Y480" s="5" t="str">
        <f t="shared" si="2"/>
        <v>Actividad sin realizar</v>
      </c>
      <c r="Z480" s="3">
        <f ca="1">IFERROR(VLOOKUP(U480, 'Base de datos'!A:B, 2, FALSE), "")</f>
        <v>573128543241</v>
      </c>
      <c r="AA480" s="4" t="e">
        <f t="shared" ca="1" si="3"/>
        <v>#NAME?</v>
      </c>
    </row>
    <row r="481" spans="1:27" ht="15.75" customHeight="1">
      <c r="A481" s="5" t="str">
        <f ca="1">IFERROR(__xludf.DUMMYFUNCTION("""COMPUTED_VALUE"""),"POSTOBÓN YUMBO")</f>
        <v>POSTOBÓN YUMBO</v>
      </c>
      <c r="B481" s="5" t="str">
        <f ca="1">IFERROR(__xludf.DUMMYFUNCTION("""COMPUTED_VALUE"""),"0410-PLANTA DE AGUA ENVASADO")</f>
        <v>0410-PLANTA DE AGUA ENVASADO</v>
      </c>
      <c r="C481" s="5" t="str">
        <f ca="1">IFERROR(__xludf.DUMMYFUNCTION("""COMPUTED_VALUE"""),"TRATAMIENTO DE AGUA PARA ENVASADO")</f>
        <v>TRATAMIENTO DE AGUA PARA ENVASADO</v>
      </c>
      <c r="D481" s="5">
        <f ca="1">IFERROR(__xludf.DUMMYFUNCTION("""COMPUTED_VALUE"""),70949107)</f>
        <v>70949107</v>
      </c>
      <c r="E481" s="5" t="str">
        <f ca="1">IFERROR(__xludf.DUMMYFUNCTION("""COMPUTED_VALUE"""),"GENERADOR DE OZONO SUEZ OZONIA")</f>
        <v>GENERADOR DE OZONO SUEZ OZONIA</v>
      </c>
      <c r="F481" s="5">
        <f ca="1">IFERROR(__xludf.DUMMYFUNCTION("""COMPUTED_VALUE"""),42256)</f>
        <v>42256</v>
      </c>
      <c r="G481" s="5" t="str">
        <f ca="1">IFERROR(__xludf.DUMMYFUNCTION("""COMPUTED_VALUE"""),"PLAN MTTO MEC GENERADOR DE OZONO SUEZ OZ")</f>
        <v>PLAN MTTO MEC GENERADOR DE OZONO SUEZ OZ</v>
      </c>
      <c r="H481" s="5">
        <f ca="1">IFERROR(__xludf.DUMMYFUNCTION("""COMPUTED_VALUE"""),13193788)</f>
        <v>13193788</v>
      </c>
      <c r="I481" s="5" t="str">
        <f ca="1">IFERROR(__xludf.DUMMYFUNCTION("""COMPUTED_VALUE"""),"REVISAR SISTEMA DOSIFICACION OZONO")</f>
        <v>REVISAR SISTEMA DOSIFICACION OZONO</v>
      </c>
      <c r="J481" s="5" t="str">
        <f ca="1">IFERROR(__xludf.DUMMYFUNCTION("""COMPUTED_VALUE"""),"ALTO")</f>
        <v>ALTO</v>
      </c>
      <c r="K481" s="5" t="str">
        <f ca="1">IFERROR(__xludf.DUMMYFUNCTION("""COMPUTED_VALUE"""),"Preventivo")</f>
        <v>Preventivo</v>
      </c>
      <c r="L481" s="5" t="str">
        <f ca="1">IFERROR(__xludf.DUMMYFUNCTION("""COMPUTED_VALUE"""),"Maquinaria")</f>
        <v>Maquinaria</v>
      </c>
      <c r="M481" s="5" t="str">
        <f ca="1">IFERROR(__xludf.DUMMYFUNCTION("""COMPUTED_VALUE"""),"No")</f>
        <v>No</v>
      </c>
      <c r="N481" s="5"/>
      <c r="O481" s="5"/>
      <c r="P481" s="18">
        <f ca="1">IFERROR(__xludf.DUMMYFUNCTION("""COMPUTED_VALUE"""),45340)</f>
        <v>45340</v>
      </c>
      <c r="Q481" s="18">
        <f ca="1">IFERROR(__xludf.DUMMYFUNCTION("""COMPUTED_VALUE"""),45340)</f>
        <v>45340</v>
      </c>
      <c r="R481" s="18"/>
      <c r="S481" s="5">
        <f ca="1">IFERROR(__xludf.DUMMYFUNCTION("""COMPUTED_VALUE"""),2)</f>
        <v>2</v>
      </c>
      <c r="T481" s="5"/>
      <c r="U481" s="5" t="str">
        <f ca="1">IFERROR(__xludf.DUMMYFUNCTION("""COMPUTED_VALUE"""),"PAPAMIJA GUIDO")</f>
        <v>PAPAMIJA GUIDO</v>
      </c>
      <c r="V481" s="5"/>
      <c r="W481" s="5" t="str">
        <f ca="1">IFERROR(__xludf.DUMMYFUNCTION("""COMPUTED_VALUE"""),"z9zL_gp5P2o")</f>
        <v>z9zL_gp5P2o</v>
      </c>
      <c r="X481" s="5">
        <f ca="1">IFERROR(__xludf.DUMMYFUNCTION("""COMPUTED_VALUE"""),2)</f>
        <v>2</v>
      </c>
      <c r="Y481" s="5" t="str">
        <f t="shared" si="2"/>
        <v>Actividad sin realizar</v>
      </c>
      <c r="Z481" s="3">
        <f ca="1">IFERROR(VLOOKUP(U481, 'Base de datos'!A:B, 2, FALSE), "")</f>
        <v>573156712311</v>
      </c>
      <c r="AA481" s="4" t="e">
        <f t="shared" ca="1" si="3"/>
        <v>#NAME?</v>
      </c>
    </row>
    <row r="482" spans="1:27" ht="15.75" customHeight="1">
      <c r="A482" s="5" t="str">
        <f ca="1">IFERROR(__xludf.DUMMYFUNCTION("""COMPUTED_VALUE"""),"POSTOBÓN YUMBO")</f>
        <v>POSTOBÓN YUMBO</v>
      </c>
      <c r="B482" s="5" t="str">
        <f ca="1">IFERROR(__xludf.DUMMYFUNCTION("""COMPUTED_VALUE"""),"0410-ENVASADO JUGOS PET HOT F")</f>
        <v>0410-ENVASADO JUGOS PET HOT F</v>
      </c>
      <c r="C482" s="5" t="str">
        <f ca="1">IFERROR(__xludf.DUMMYFUNCTION("""COMPUTED_VALUE"""),"LINEA DE ENVASADO JUGOS PET HOT FILL")</f>
        <v>LINEA DE ENVASADO JUGOS PET HOT FILL</v>
      </c>
      <c r="D482" s="5">
        <f ca="1">IFERROR(__xludf.DUMMYFUNCTION("""COMPUTED_VALUE"""),900305)</f>
        <v>900305</v>
      </c>
      <c r="E482" s="5" t="str">
        <f ca="1">IFERROR(__xludf.DUMMYFUNCTION("""COMPUTED_VALUE"""),"ETIQUETADORA")</f>
        <v>ETIQUETADORA</v>
      </c>
      <c r="F482" s="5">
        <f ca="1">IFERROR(__xludf.DUMMYFUNCTION("""COMPUTED_VALUE"""),14086)</f>
        <v>14086</v>
      </c>
      <c r="G482" s="5" t="str">
        <f ca="1">IFERROR(__xludf.DUMMYFUNCTION("""COMPUTED_VALUE"""),"MTTO LUB ETIQUETADORA L8 900305")</f>
        <v>MTTO LUB ETIQUETADORA L8 900305</v>
      </c>
      <c r="H482" s="5">
        <f ca="1">IFERROR(__xludf.DUMMYFUNCTION("""COMPUTED_VALUE"""),13247141)</f>
        <v>13247141</v>
      </c>
      <c r="I482" s="5" t="str">
        <f ca="1">IFERROR(__xludf.DUMMYFUNCTION("""COMPUTED_VALUE"""),"rbol de transmisi¢n tornillo sinf¡n")</f>
        <v>rbol de transmisi¢n tornillo sinf¡n</v>
      </c>
      <c r="J482" s="5" t="str">
        <f ca="1">IFERROR(__xludf.DUMMYFUNCTION("""COMPUTED_VALUE"""),"MEDIO")</f>
        <v>MEDIO</v>
      </c>
      <c r="K482" s="5" t="str">
        <f ca="1">IFERROR(__xludf.DUMMYFUNCTION("""COMPUTED_VALUE"""),"Preventivo")</f>
        <v>Preventivo</v>
      </c>
      <c r="L482" s="5" t="str">
        <f ca="1">IFERROR(__xludf.DUMMYFUNCTION("""COMPUTED_VALUE"""),"Maquinaria")</f>
        <v>Maquinaria</v>
      </c>
      <c r="M482" s="5" t="str">
        <f ca="1">IFERROR(__xludf.DUMMYFUNCTION("""COMPUTED_VALUE"""),"No")</f>
        <v>No</v>
      </c>
      <c r="N482" s="5"/>
      <c r="O482" s="5"/>
      <c r="P482" s="18">
        <f ca="1">IFERROR(__xludf.DUMMYFUNCTION("""COMPUTED_VALUE"""),45336)</f>
        <v>45336</v>
      </c>
      <c r="Q482" s="18">
        <f ca="1">IFERROR(__xludf.DUMMYFUNCTION("""COMPUTED_VALUE"""),45336)</f>
        <v>45336</v>
      </c>
      <c r="R482" s="18"/>
      <c r="S482" s="5">
        <f ca="1">IFERROR(__xludf.DUMMYFUNCTION("""COMPUTED_VALUE"""),0.5)</f>
        <v>0.5</v>
      </c>
      <c r="T482" s="5"/>
      <c r="U482" s="5" t="str">
        <f ca="1">IFERROR(__xludf.DUMMYFUNCTION("""COMPUTED_VALUE"""),"Bedoya Marin Johan Andres")</f>
        <v>Bedoya Marin Johan Andres</v>
      </c>
      <c r="V482" s="5"/>
      <c r="W482" s="5" t="str">
        <f ca="1">IFERROR(__xludf.DUMMYFUNCTION("""COMPUTED_VALUE"""),"VirOy46t5qw")</f>
        <v>VirOy46t5qw</v>
      </c>
      <c r="X482" s="5">
        <f ca="1">IFERROR(__xludf.DUMMYFUNCTION("""COMPUTED_VALUE"""),0.5)</f>
        <v>0.5</v>
      </c>
      <c r="Y482" s="5" t="str">
        <f t="shared" si="2"/>
        <v>Actividad sin realizar</v>
      </c>
      <c r="Z482" s="3">
        <f ca="1">IFERROR(VLOOKUP(U482, 'Base de datos'!A:B, 2, FALSE), "")</f>
        <v>573147103334</v>
      </c>
      <c r="AA482" s="4" t="e">
        <f t="shared" ca="1" si="3"/>
        <v>#NAME?</v>
      </c>
    </row>
    <row r="483" spans="1:27" ht="15.75" customHeight="1">
      <c r="A483" s="5" t="str">
        <f ca="1">IFERROR(__xludf.DUMMYFUNCTION("""COMPUTED_VALUE"""),"POSTOBÓN YUMBO")</f>
        <v>POSTOBÓN YUMBO</v>
      </c>
      <c r="B483" s="5" t="str">
        <f ca="1">IFERROR(__xludf.DUMMYFUNCTION("""COMPUTED_VALUE"""),"0410-SALA DE JARABE TERMINADO")</f>
        <v>0410-SALA DE JARABE TERMINADO</v>
      </c>
      <c r="C483" s="5" t="str">
        <f ca="1">IFERROR(__xludf.DUMMYFUNCTION("""COMPUTED_VALUE"""),"EQUIPOS PARA PREPARACION DE JARABE")</f>
        <v>EQUIPOS PARA PREPARACION DE JARABE</v>
      </c>
      <c r="D483" s="5">
        <f ca="1">IFERROR(__xludf.DUMMYFUNCTION("""COMPUTED_VALUE"""),69963407)</f>
        <v>69963407</v>
      </c>
      <c r="E483" s="5" t="str">
        <f ca="1">IFERROR(__xludf.DUMMYFUNCTION("""COMPUTED_VALUE"""),"TANQUE DE JARABE")</f>
        <v>TANQUE DE JARABE</v>
      </c>
      <c r="F483" s="5">
        <f ca="1">IFERROR(__xludf.DUMMYFUNCTION("""COMPUTED_VALUE"""),17361)</f>
        <v>17361</v>
      </c>
      <c r="G483" s="5" t="str">
        <f ca="1">IFERROR(__xludf.DUMMYFUNCTION("""COMPUTED_VALUE"""),"MTTO MEC TK JARABE 4 JARABE TERMINADO")</f>
        <v>MTTO MEC TK JARABE 4 JARABE TERMINADO</v>
      </c>
      <c r="H483" s="5">
        <f ca="1">IFERROR(__xludf.DUMMYFUNCTION("""COMPUTED_VALUE"""),13247154)</f>
        <v>13247154</v>
      </c>
      <c r="I483" s="5" t="str">
        <f ca="1">IFERROR(__xludf.DUMMYFUNCTION("""COMPUTED_VALUE"""),"Revisar fugas tuberias, empaques, tapas")</f>
        <v>Revisar fugas tuberias, empaques, tapas</v>
      </c>
      <c r="J483" s="5" t="str">
        <f ca="1">IFERROR(__xludf.DUMMYFUNCTION("""COMPUTED_VALUE"""),"ALTO")</f>
        <v>ALTO</v>
      </c>
      <c r="K483" s="5" t="str">
        <f ca="1">IFERROR(__xludf.DUMMYFUNCTION("""COMPUTED_VALUE"""),"Preventivo")</f>
        <v>Preventivo</v>
      </c>
      <c r="L483" s="5" t="str">
        <f ca="1">IFERROR(__xludf.DUMMYFUNCTION("""COMPUTED_VALUE"""),"Maquinaria")</f>
        <v>Maquinaria</v>
      </c>
      <c r="M483" s="5" t="str">
        <f ca="1">IFERROR(__xludf.DUMMYFUNCTION("""COMPUTED_VALUE"""),"No")</f>
        <v>No</v>
      </c>
      <c r="N483" s="5"/>
      <c r="O483" s="5">
        <f ca="1">IFERROR(__xludf.DUMMYFUNCTION("""COMPUTED_VALUE"""),100)</f>
        <v>100</v>
      </c>
      <c r="P483" s="18">
        <f ca="1">IFERROR(__xludf.DUMMYFUNCTION("""COMPUTED_VALUE"""),45342)</f>
        <v>45342</v>
      </c>
      <c r="Q483" s="18">
        <f ca="1">IFERROR(__xludf.DUMMYFUNCTION("""COMPUTED_VALUE"""),45342)</f>
        <v>45342</v>
      </c>
      <c r="R483" s="18"/>
      <c r="S483" s="5">
        <f ca="1">IFERROR(__xludf.DUMMYFUNCTION("""COMPUTED_VALUE"""),0.5)</f>
        <v>0.5</v>
      </c>
      <c r="T483" s="5"/>
      <c r="U483" s="5" t="str">
        <f ca="1">IFERROR(__xludf.DUMMYFUNCTION("""COMPUTED_VALUE"""),"Moreno Pernia Bladimir")</f>
        <v>Moreno Pernia Bladimir</v>
      </c>
      <c r="V483" s="5"/>
      <c r="W483" s="5" t="str">
        <f ca="1">IFERROR(__xludf.DUMMYFUNCTION("""COMPUTED_VALUE"""),"DMqYfUN3HIA")</f>
        <v>DMqYfUN3HIA</v>
      </c>
      <c r="X483" s="5">
        <f ca="1">IFERROR(__xludf.DUMMYFUNCTION("""COMPUTED_VALUE"""),0.5)</f>
        <v>0.5</v>
      </c>
      <c r="Y483" s="5" t="str">
        <f t="shared" ca="1" si="2"/>
        <v>Actividad realizada</v>
      </c>
      <c r="Z483" s="3">
        <f ca="1">IFERROR(VLOOKUP(U483, 'Base de datos'!A:B, 2, FALSE), "")</f>
        <v>573148903137</v>
      </c>
      <c r="AA483" s="4" t="e">
        <f t="shared" ca="1" si="3"/>
        <v>#NAME?</v>
      </c>
    </row>
    <row r="484" spans="1:27" ht="15.75" customHeight="1">
      <c r="A484" s="5" t="str">
        <f ca="1">IFERROR(__xludf.DUMMYFUNCTION("""COMPUTED_VALUE"""),"POSTOBÓN YUMBO")</f>
        <v>POSTOBÓN YUMBO</v>
      </c>
      <c r="B484" s="5" t="str">
        <f ca="1">IFERROR(__xludf.DUMMYFUNCTION("""COMPUTED_VALUE"""),"0410-SALA DE JARABE TERMINADO")</f>
        <v>0410-SALA DE JARABE TERMINADO</v>
      </c>
      <c r="C484" s="5" t="str">
        <f ca="1">IFERROR(__xludf.DUMMYFUNCTION("""COMPUTED_VALUE"""),"EQUIPOS PARA PREPARACION DE JARABE")</f>
        <v>EQUIPOS PARA PREPARACION DE JARABE</v>
      </c>
      <c r="D484" s="5">
        <f ca="1">IFERROR(__xludf.DUMMYFUNCTION("""COMPUTED_VALUE"""),69963405)</f>
        <v>69963405</v>
      </c>
      <c r="E484" s="5" t="str">
        <f ca="1">IFERROR(__xludf.DUMMYFUNCTION("""COMPUTED_VALUE"""),"TANQUE DE JARABE")</f>
        <v>TANQUE DE JARABE</v>
      </c>
      <c r="F484" s="5">
        <f ca="1">IFERROR(__xludf.DUMMYFUNCTION("""COMPUTED_VALUE"""),17361)</f>
        <v>17361</v>
      </c>
      <c r="G484" s="5" t="str">
        <f ca="1">IFERROR(__xludf.DUMMYFUNCTION("""COMPUTED_VALUE"""),"MTTO MEC TK JARABE 2 JARABE TERMINADO")</f>
        <v>MTTO MEC TK JARABE 2 JARABE TERMINADO</v>
      </c>
      <c r="H484" s="5">
        <f ca="1">IFERROR(__xludf.DUMMYFUNCTION("""COMPUTED_VALUE"""),13247150)</f>
        <v>13247150</v>
      </c>
      <c r="I484" s="5" t="str">
        <f ca="1">IFERROR(__xludf.DUMMYFUNCTION("""COMPUTED_VALUE"""),"Revisar fugas tuberias, empaques, tapas")</f>
        <v>Revisar fugas tuberias, empaques, tapas</v>
      </c>
      <c r="J484" s="5" t="str">
        <f ca="1">IFERROR(__xludf.DUMMYFUNCTION("""COMPUTED_VALUE"""),"ALTO")</f>
        <v>ALTO</v>
      </c>
      <c r="K484" s="5" t="str">
        <f ca="1">IFERROR(__xludf.DUMMYFUNCTION("""COMPUTED_VALUE"""),"Preventivo")</f>
        <v>Preventivo</v>
      </c>
      <c r="L484" s="5" t="str">
        <f ca="1">IFERROR(__xludf.DUMMYFUNCTION("""COMPUTED_VALUE"""),"Maquinaria")</f>
        <v>Maquinaria</v>
      </c>
      <c r="M484" s="5" t="str">
        <f ca="1">IFERROR(__xludf.DUMMYFUNCTION("""COMPUTED_VALUE"""),"No")</f>
        <v>No</v>
      </c>
      <c r="N484" s="5"/>
      <c r="O484" s="5">
        <f ca="1">IFERROR(__xludf.DUMMYFUNCTION("""COMPUTED_VALUE"""),100)</f>
        <v>100</v>
      </c>
      <c r="P484" s="18">
        <f ca="1">IFERROR(__xludf.DUMMYFUNCTION("""COMPUTED_VALUE"""),45342)</f>
        <v>45342</v>
      </c>
      <c r="Q484" s="18">
        <f ca="1">IFERROR(__xludf.DUMMYFUNCTION("""COMPUTED_VALUE"""),45342)</f>
        <v>45342</v>
      </c>
      <c r="R484" s="18"/>
      <c r="S484" s="5">
        <f ca="1">IFERROR(__xludf.DUMMYFUNCTION("""COMPUTED_VALUE"""),0.5)</f>
        <v>0.5</v>
      </c>
      <c r="T484" s="5"/>
      <c r="U484" s="5" t="str">
        <f ca="1">IFERROR(__xludf.DUMMYFUNCTION("""COMPUTED_VALUE"""),"Moreno Pernia Bladimir")</f>
        <v>Moreno Pernia Bladimir</v>
      </c>
      <c r="V484" s="5"/>
      <c r="W484" s="5" t="str">
        <f ca="1">IFERROR(__xludf.DUMMYFUNCTION("""COMPUTED_VALUE"""),"YFD7lB2u-y4")</f>
        <v>YFD7lB2u-y4</v>
      </c>
      <c r="X484" s="5">
        <f ca="1">IFERROR(__xludf.DUMMYFUNCTION("""COMPUTED_VALUE"""),0.5)</f>
        <v>0.5</v>
      </c>
      <c r="Y484" s="5" t="str">
        <f t="shared" ca="1" si="2"/>
        <v>Actividad realizada</v>
      </c>
      <c r="Z484" s="3">
        <f ca="1">IFERROR(VLOOKUP(U484, 'Base de datos'!A:B, 2, FALSE), "")</f>
        <v>573148903137</v>
      </c>
      <c r="AA484" s="4" t="e">
        <f t="shared" ca="1" si="3"/>
        <v>#NAME?</v>
      </c>
    </row>
    <row r="485" spans="1:27" ht="15.75" customHeight="1">
      <c r="A485" s="5" t="str">
        <f ca="1">IFERROR(__xludf.DUMMYFUNCTION("""COMPUTED_VALUE"""),"POSTOBÓN YUMBO")</f>
        <v>POSTOBÓN YUMBO</v>
      </c>
      <c r="B485" s="5" t="str">
        <f ca="1">IFERROR(__xludf.DUMMYFUNCTION("""COMPUTED_VALUE"""),"0410-LINEA 3")</f>
        <v>0410-LINEA 3</v>
      </c>
      <c r="C485" s="5" t="str">
        <f ca="1">IFERROR(__xludf.DUMMYFUNCTION("""COMPUTED_VALUE"""),"LINEA DE ENVASADO TAMAÑO PERSONAL")</f>
        <v>LINEA DE ENVASADO TAMAÑO PERSONAL</v>
      </c>
      <c r="D485" s="5">
        <f ca="1">IFERROR(__xludf.DUMMYFUNCTION("""COMPUTED_VALUE"""),828592)</f>
        <v>828592</v>
      </c>
      <c r="E485" s="5" t="str">
        <f ca="1">IFERROR(__xludf.DUMMYFUNCTION("""COMPUTED_VALUE"""),"LLENADORA")</f>
        <v>LLENADORA</v>
      </c>
      <c r="F485" s="5">
        <f ca="1">IFERROR(__xludf.DUMMYFUNCTION("""COMPUTED_VALUE"""),5821)</f>
        <v>5821</v>
      </c>
      <c r="G485" s="5" t="str">
        <f ca="1">IFERROR(__xludf.DUMMYFUNCTION("""COMPUTED_VALUE"""),"LUBRICACION SISTEMA LLENADO Y CORONADOLU")</f>
        <v>LUBRICACION SISTEMA LLENADO Y CORONADOLU</v>
      </c>
      <c r="H485" s="5">
        <f ca="1">IFERROR(__xludf.DUMMYFUNCTION("""COMPUTED_VALUE"""),13247123)</f>
        <v>13247123</v>
      </c>
      <c r="I485" s="5" t="str">
        <f ca="1">IFERROR(__xludf.DUMMYFUNCTION("""COMPUTED_VALUE"""),"LUBRICACION DE CORONADORES.")</f>
        <v>LUBRICACION DE CORONADORES.</v>
      </c>
      <c r="J485" s="5" t="str">
        <f ca="1">IFERROR(__xludf.DUMMYFUNCTION("""COMPUTED_VALUE"""),"ALTO")</f>
        <v>ALTO</v>
      </c>
      <c r="K485" s="5" t="str">
        <f ca="1">IFERROR(__xludf.DUMMYFUNCTION("""COMPUTED_VALUE"""),"Preventivo")</f>
        <v>Preventivo</v>
      </c>
      <c r="L485" s="5" t="str">
        <f ca="1">IFERROR(__xludf.DUMMYFUNCTION("""COMPUTED_VALUE"""),"Maquinaria")</f>
        <v>Maquinaria</v>
      </c>
      <c r="M485" s="5" t="str">
        <f ca="1">IFERROR(__xludf.DUMMYFUNCTION("""COMPUTED_VALUE"""),"No")</f>
        <v>No</v>
      </c>
      <c r="N485" s="5"/>
      <c r="O485" s="5"/>
      <c r="P485" s="18">
        <f ca="1">IFERROR(__xludf.DUMMYFUNCTION("""COMPUTED_VALUE"""),45324)</f>
        <v>45324</v>
      </c>
      <c r="Q485" s="18">
        <f ca="1">IFERROR(__xludf.DUMMYFUNCTION("""COMPUTED_VALUE"""),45324)</f>
        <v>45324</v>
      </c>
      <c r="R485" s="18"/>
      <c r="S485" s="5">
        <f ca="1">IFERROR(__xludf.DUMMYFUNCTION("""COMPUTED_VALUE"""),0.5)</f>
        <v>0.5</v>
      </c>
      <c r="T485" s="5"/>
      <c r="U485" s="5" t="str">
        <f ca="1">IFERROR(__xludf.DUMMYFUNCTION("""COMPUTED_VALUE"""),"Jimenez Jhon")</f>
        <v>Jimenez Jhon</v>
      </c>
      <c r="V485" s="5"/>
      <c r="W485" s="5" t="str">
        <f ca="1">IFERROR(__xludf.DUMMYFUNCTION("""COMPUTED_VALUE"""),"m5evwteeYt0")</f>
        <v>m5evwteeYt0</v>
      </c>
      <c r="X485" s="5">
        <f ca="1">IFERROR(__xludf.DUMMYFUNCTION("""COMPUTED_VALUE"""),0.5)</f>
        <v>0.5</v>
      </c>
      <c r="Y485" s="5" t="str">
        <f t="shared" si="2"/>
        <v>Actividad sin realizar</v>
      </c>
      <c r="Z485" s="3">
        <f ca="1">IFERROR(VLOOKUP(U485, 'Base de datos'!A:B, 2, FALSE), "")</f>
        <v>573147637946</v>
      </c>
      <c r="AA485" s="4" t="e">
        <f t="shared" ca="1" si="3"/>
        <v>#NAME?</v>
      </c>
    </row>
    <row r="486" spans="1:27" ht="15.75" customHeight="1">
      <c r="A486" s="5" t="str">
        <f ca="1">IFERROR(__xludf.DUMMYFUNCTION("""COMPUTED_VALUE"""),"POSTOBÓN YUMBO")</f>
        <v>POSTOBÓN YUMBO</v>
      </c>
      <c r="B486" s="5" t="str">
        <f ca="1">IFERROR(__xludf.DUMMYFUNCTION("""COMPUTED_VALUE"""),"0410-LINEA PET CSD")</f>
        <v>0410-LINEA PET CSD</v>
      </c>
      <c r="C486" s="5" t="str">
        <f ca="1">IFERROR(__xludf.DUMMYFUNCTION("""COMPUTED_VALUE"""),"LINEA PET CSD - LINEA 10")</f>
        <v>LINEA PET CSD - LINEA 10</v>
      </c>
      <c r="D486" s="5">
        <f ca="1">IFERROR(__xludf.DUMMYFUNCTION("""COMPUTED_VALUE"""),51956101)</f>
        <v>51956101</v>
      </c>
      <c r="E486" s="5" t="str">
        <f ca="1">IFERROR(__xludf.DUMMYFUNCTION("""COMPUTED_VALUE"""),"SISTEMA INYECCIÓN DE NITRÓGENO")</f>
        <v>SISTEMA INYECCIÓN DE NITRÓGENO</v>
      </c>
      <c r="F486" s="5">
        <f ca="1">IFERROR(__xludf.DUMMYFUNCTION("""COMPUTED_VALUE"""),41005)</f>
        <v>41005</v>
      </c>
      <c r="G486" s="5" t="str">
        <f ca="1">IFERROR(__xludf.DUMMYFUNCTION("""COMPUTED_VALUE"""),"PLAN MEC MTTO EQUIPO NITROGENO L10")</f>
        <v>PLAN MEC MTTO EQUIPO NITROGENO L10</v>
      </c>
      <c r="H486" s="5">
        <f ca="1">IFERROR(__xludf.DUMMYFUNCTION("""COMPUTED_VALUE"""),13232834)</f>
        <v>13232834</v>
      </c>
      <c r="I486" s="5" t="str">
        <f ca="1">IFERROR(__xludf.DUMMYFUNCTION("""COMPUTED_VALUE"""),"Mtto piston nitrogeno")</f>
        <v>Mtto piston nitrogeno</v>
      </c>
      <c r="J486" s="5" t="str">
        <f ca="1">IFERROR(__xludf.DUMMYFUNCTION("""COMPUTED_VALUE"""),"ALTO")</f>
        <v>ALTO</v>
      </c>
      <c r="K486" s="5" t="str">
        <f ca="1">IFERROR(__xludf.DUMMYFUNCTION("""COMPUTED_VALUE"""),"Preventivo")</f>
        <v>Preventivo</v>
      </c>
      <c r="L486" s="5" t="str">
        <f ca="1">IFERROR(__xludf.DUMMYFUNCTION("""COMPUTED_VALUE"""),"Maquinaria")</f>
        <v>Maquinaria</v>
      </c>
      <c r="M486" s="5" t="str">
        <f ca="1">IFERROR(__xludf.DUMMYFUNCTION("""COMPUTED_VALUE"""),"No")</f>
        <v>No</v>
      </c>
      <c r="N486" s="5"/>
      <c r="O486" s="5">
        <f ca="1">IFERROR(__xludf.DUMMYFUNCTION("""COMPUTED_VALUE"""),100)</f>
        <v>100</v>
      </c>
      <c r="P486" s="18">
        <f ca="1">IFERROR(__xludf.DUMMYFUNCTION("""COMPUTED_VALUE"""),45334)</f>
        <v>45334</v>
      </c>
      <c r="Q486" s="18">
        <f ca="1">IFERROR(__xludf.DUMMYFUNCTION("""COMPUTED_VALUE"""),45334)</f>
        <v>45334</v>
      </c>
      <c r="R486" s="18"/>
      <c r="S486" s="5">
        <f ca="1">IFERROR(__xludf.DUMMYFUNCTION("""COMPUTED_VALUE"""),2)</f>
        <v>2</v>
      </c>
      <c r="T486" s="5"/>
      <c r="U486" s="5" t="str">
        <f ca="1">IFERROR(__xludf.DUMMYFUNCTION("""COMPUTED_VALUE"""),"Jhon Edwar Echeverry Reina")</f>
        <v>Jhon Edwar Echeverry Reina</v>
      </c>
      <c r="V486" s="5"/>
      <c r="W486" s="5" t="str">
        <f ca="1">IFERROR(__xludf.DUMMYFUNCTION("""COMPUTED_VALUE"""),"Y7Y0N3aMbWs")</f>
        <v>Y7Y0N3aMbWs</v>
      </c>
      <c r="X486" s="5">
        <f ca="1">IFERROR(__xludf.DUMMYFUNCTION("""COMPUTED_VALUE"""),2)</f>
        <v>2</v>
      </c>
      <c r="Y486" s="5" t="str">
        <f t="shared" ca="1" si="2"/>
        <v>Actividad realizada</v>
      </c>
      <c r="Z486" s="3" t="str">
        <f ca="1">IFERROR(VLOOKUP(U486, 'Base de datos'!A:B, 2, FALSE), "")</f>
        <v/>
      </c>
      <c r="AA486" s="4" t="e">
        <f t="shared" ca="1" si="3"/>
        <v>#NAME?</v>
      </c>
    </row>
    <row r="487" spans="1:27" ht="15.75" customHeight="1">
      <c r="A487" s="5" t="str">
        <f ca="1">IFERROR(__xludf.DUMMYFUNCTION("""COMPUTED_VALUE"""),"POSTOBÓN YUMBO")</f>
        <v>POSTOBÓN YUMBO</v>
      </c>
      <c r="B487" s="5" t="str">
        <f ca="1">IFERROR(__xludf.DUMMYFUNCTION("""COMPUTED_VALUE"""),"0410-EQUIPOS AUXILIARES")</f>
        <v>0410-EQUIPOS AUXILIARES</v>
      </c>
      <c r="C487" s="5" t="str">
        <f ca="1">IFERROR(__xludf.DUMMYFUNCTION("""COMPUTED_VALUE"""),"EQUIPOS PARA SERVICIOS INDUSTRIALES")</f>
        <v>EQUIPOS PARA SERVICIOS INDUSTRIALES</v>
      </c>
      <c r="D487" s="5">
        <f ca="1">IFERROR(__xludf.DUMMYFUNCTION("""COMPUTED_VALUE"""),638554)</f>
        <v>638554</v>
      </c>
      <c r="E487" s="5" t="str">
        <f ca="1">IFERROR(__xludf.DUMMYFUNCTION("""COMPUTED_VALUE"""),"CONDENSADOR EVAPORATIVO")</f>
        <v>CONDENSADOR EVAPORATIVO</v>
      </c>
      <c r="F487" s="5">
        <f ca="1">IFERROR(__xludf.DUMMYFUNCTION("""COMPUTED_VALUE"""),21699)</f>
        <v>21699</v>
      </c>
      <c r="G487" s="5" t="str">
        <f ca="1">IFERROR(__xludf.DUMMYFUNCTION("""COMPUTED_VALUE"""),"PLAN MTTO MEC CONDENSADOR EVAP GASEOSA")</f>
        <v>PLAN MTTO MEC CONDENSADOR EVAP GASEOSA</v>
      </c>
      <c r="H487" s="5">
        <f ca="1">IFERROR(__xludf.DUMMYFUNCTION("""COMPUTED_VALUE"""),13193540)</f>
        <v>13193540</v>
      </c>
      <c r="I487" s="5" t="str">
        <f ca="1">IFERROR(__xludf.DUMMYFUNCTION("""COMPUTED_VALUE"""),"Limpiar filtros succión bomba de agua")</f>
        <v>Limpiar filtros succión bomba de agua</v>
      </c>
      <c r="J487" s="5" t="str">
        <f ca="1">IFERROR(__xludf.DUMMYFUNCTION("""COMPUTED_VALUE"""),"MEDIO")</f>
        <v>MEDIO</v>
      </c>
      <c r="K487" s="5" t="str">
        <f ca="1">IFERROR(__xludf.DUMMYFUNCTION("""COMPUTED_VALUE"""),"Preventivo")</f>
        <v>Preventivo</v>
      </c>
      <c r="L487" s="5" t="str">
        <f ca="1">IFERROR(__xludf.DUMMYFUNCTION("""COMPUTED_VALUE"""),"Maquinaria")</f>
        <v>Maquinaria</v>
      </c>
      <c r="M487" s="5" t="str">
        <f ca="1">IFERROR(__xludf.DUMMYFUNCTION("""COMPUTED_VALUE"""),"No")</f>
        <v>No</v>
      </c>
      <c r="N487" s="5"/>
      <c r="O487" s="5"/>
      <c r="P487" s="18">
        <f ca="1">IFERROR(__xludf.DUMMYFUNCTION("""COMPUTED_VALUE"""),45326)</f>
        <v>45326</v>
      </c>
      <c r="Q487" s="18">
        <f ca="1">IFERROR(__xludf.DUMMYFUNCTION("""COMPUTED_VALUE"""),45326)</f>
        <v>45326</v>
      </c>
      <c r="R487" s="18"/>
      <c r="S487" s="5">
        <f ca="1">IFERROR(__xludf.DUMMYFUNCTION("""COMPUTED_VALUE"""),1)</f>
        <v>1</v>
      </c>
      <c r="T487" s="5"/>
      <c r="U487" s="5" t="str">
        <f ca="1">IFERROR(__xludf.DUMMYFUNCTION("""COMPUTED_VALUE"""),"Henao William")</f>
        <v>Henao William</v>
      </c>
      <c r="V487" s="5"/>
      <c r="W487" s="5" t="str">
        <f ca="1">IFERROR(__xludf.DUMMYFUNCTION("""COMPUTED_VALUE"""),"w1222ZgK7AE")</f>
        <v>w1222ZgK7AE</v>
      </c>
      <c r="X487" s="5">
        <f ca="1">IFERROR(__xludf.DUMMYFUNCTION("""COMPUTED_VALUE"""),1)</f>
        <v>1</v>
      </c>
      <c r="Y487" s="5" t="str">
        <f t="shared" si="2"/>
        <v>Actividad sin realizar</v>
      </c>
      <c r="Z487" s="3">
        <f ca="1">IFERROR(VLOOKUP(U487, 'Base de datos'!A:B, 2, FALSE), "")</f>
        <v>573222217492</v>
      </c>
      <c r="AA487" s="4" t="e">
        <f t="shared" ca="1" si="3"/>
        <v>#NAME?</v>
      </c>
    </row>
    <row r="488" spans="1:27" ht="15.75" customHeight="1">
      <c r="A488" s="5" t="str">
        <f ca="1">IFERROR(__xludf.DUMMYFUNCTION("""COMPUTED_VALUE"""),"POSTOBÓN YUMBO")</f>
        <v>POSTOBÓN YUMBO</v>
      </c>
      <c r="B488" s="5" t="str">
        <f ca="1">IFERROR(__xludf.DUMMYFUNCTION("""COMPUTED_VALUE"""),"0410-LINEA 3")</f>
        <v>0410-LINEA 3</v>
      </c>
      <c r="C488" s="5" t="str">
        <f ca="1">IFERROR(__xludf.DUMMYFUNCTION("""COMPUTED_VALUE"""),"LINEA DE ENVASADO TAMAÑO PERSONAL")</f>
        <v>LINEA DE ENVASADO TAMAÑO PERSONAL</v>
      </c>
      <c r="D488" s="5">
        <f ca="1">IFERROR(__xludf.DUMMYFUNCTION("""COMPUTED_VALUE"""),560025)</f>
        <v>560025</v>
      </c>
      <c r="E488" s="5" t="str">
        <f ca="1">IFERROR(__xludf.DUMMYFUNCTION("""COMPUTED_VALUE"""),"LAVADORA DE CAJAS")</f>
        <v>LAVADORA DE CAJAS</v>
      </c>
      <c r="F488" s="5">
        <f ca="1">IFERROR(__xludf.DUMMYFUNCTION("""COMPUTED_VALUE"""),22605)</f>
        <v>22605</v>
      </c>
      <c r="G488" s="5" t="str">
        <f ca="1">IFERROR(__xludf.DUMMYFUNCTION("""COMPUTED_VALUE"""),"PLAN MTTO MEC LAVADORA DE CAJAS 560025")</f>
        <v>PLAN MTTO MEC LAVADORA DE CAJAS 560025</v>
      </c>
      <c r="H488" s="5">
        <f ca="1">IFERROR(__xludf.DUMMYFUNCTION("""COMPUTED_VALUE"""),13247227)</f>
        <v>13247227</v>
      </c>
      <c r="I488" s="5" t="str">
        <f ca="1">IFERROR(__xludf.DUMMYFUNCTION("""COMPUTED_VALUE"""),"Mtto Valvulas entrada agua.")</f>
        <v>Mtto Valvulas entrada agua.</v>
      </c>
      <c r="J488" s="5" t="str">
        <f ca="1">IFERROR(__xludf.DUMMYFUNCTION("""COMPUTED_VALUE"""),"ALTO")</f>
        <v>ALTO</v>
      </c>
      <c r="K488" s="5" t="str">
        <f ca="1">IFERROR(__xludf.DUMMYFUNCTION("""COMPUTED_VALUE"""),"Preventivo")</f>
        <v>Preventivo</v>
      </c>
      <c r="L488" s="5" t="str">
        <f ca="1">IFERROR(__xludf.DUMMYFUNCTION("""COMPUTED_VALUE"""),"Maquinaria")</f>
        <v>Maquinaria</v>
      </c>
      <c r="M488" s="5" t="str">
        <f ca="1">IFERROR(__xludf.DUMMYFUNCTION("""COMPUTED_VALUE"""),"No")</f>
        <v>No</v>
      </c>
      <c r="N488" s="5"/>
      <c r="O488" s="5"/>
      <c r="P488" s="18">
        <f ca="1">IFERROR(__xludf.DUMMYFUNCTION("""COMPUTED_VALUE"""),45346)</f>
        <v>45346</v>
      </c>
      <c r="Q488" s="18">
        <f ca="1">IFERROR(__xludf.DUMMYFUNCTION("""COMPUTED_VALUE"""),45346)</f>
        <v>45346</v>
      </c>
      <c r="R488" s="18"/>
      <c r="S488" s="5">
        <f ca="1">IFERROR(__xludf.DUMMYFUNCTION("""COMPUTED_VALUE"""),3)</f>
        <v>3</v>
      </c>
      <c r="T488" s="5"/>
      <c r="U488" s="5" t="str">
        <f ca="1">IFERROR(__xludf.DUMMYFUNCTION("""COMPUTED_VALUE"""),"Martinez Carlos")</f>
        <v>Martinez Carlos</v>
      </c>
      <c r="V488" s="5"/>
      <c r="W488" s="5" t="str">
        <f ca="1">IFERROR(__xludf.DUMMYFUNCTION("""COMPUTED_VALUE"""),"UK5YWmlwgb8")</f>
        <v>UK5YWmlwgb8</v>
      </c>
      <c r="X488" s="5">
        <f ca="1">IFERROR(__xludf.DUMMYFUNCTION("""COMPUTED_VALUE"""),3)</f>
        <v>3</v>
      </c>
      <c r="Y488" s="5" t="str">
        <f t="shared" si="2"/>
        <v>Actividad sin realizar</v>
      </c>
      <c r="Z488" s="3">
        <f ca="1">IFERROR(VLOOKUP(U488, 'Base de datos'!A:B, 2, FALSE), "")</f>
        <v>573113563903</v>
      </c>
      <c r="AA488" s="4" t="e">
        <f t="shared" ca="1" si="3"/>
        <v>#NAME?</v>
      </c>
    </row>
    <row r="489" spans="1:27" ht="15.75" customHeight="1">
      <c r="A489" s="5" t="str">
        <f ca="1">IFERROR(__xludf.DUMMYFUNCTION("""COMPUTED_VALUE"""),"POSTOBÓN YUMBO")</f>
        <v>POSTOBÓN YUMBO</v>
      </c>
      <c r="B489" s="5" t="str">
        <f ca="1">IFERROR(__xludf.DUMMYFUNCTION("""COMPUTED_VALUE"""),"0410-LINEA 2")</f>
        <v>0410-LINEA 2</v>
      </c>
      <c r="C489" s="5" t="str">
        <f ca="1">IFERROR(__xludf.DUMMYFUNCTION("""COMPUTED_VALUE"""),"LINEA DE ENVASADO FAMILIAR Y PRB")</f>
        <v>LINEA DE ENVASADO FAMILIAR Y PRB</v>
      </c>
      <c r="D489" s="5">
        <f ca="1">IFERROR(__xludf.DUMMYFUNCTION("""COMPUTED_VALUE"""),510001)</f>
        <v>510001</v>
      </c>
      <c r="E489" s="5" t="str">
        <f ca="1">IFERROR(__xludf.DUMMYFUNCTION("""COMPUTED_VALUE"""),"LLENADORA")</f>
        <v>LLENADORA</v>
      </c>
      <c r="F489" s="5">
        <f ca="1">IFERROR(__xludf.DUMMYFUNCTION("""COMPUTED_VALUE"""),0)</f>
        <v>0</v>
      </c>
      <c r="G489" s="5" t="str">
        <f ca="1">IFERROR(__xludf.DUMMYFUNCTION("""COMPUTED_VALUE"""),"CONSUMO LUB LLENADORA FAMILIAR")</f>
        <v>CONSUMO LUB LLENADORA FAMILIAR</v>
      </c>
      <c r="H489" s="5">
        <f ca="1">IFERROR(__xludf.DUMMYFUNCTION("""COMPUTED_VALUE"""),13230943)</f>
        <v>13230943</v>
      </c>
      <c r="I489" s="5" t="str">
        <f ca="1">IFERROR(__xludf.DUMMYFUNCTION("""COMPUTED_VALUE"""),"CONSUMO LUB LLENADORA FAMILIAR")</f>
        <v>CONSUMO LUB LLENADORA FAMILIAR</v>
      </c>
      <c r="J489" s="5" t="str">
        <f ca="1">IFERROR(__xludf.DUMMYFUNCTION("""COMPUTED_VALUE"""),"ALTO")</f>
        <v>ALTO</v>
      </c>
      <c r="K489" s="5" t="str">
        <f ca="1">IFERROR(__xludf.DUMMYFUNCTION("""COMPUTED_VALUE"""),"Preventivo")</f>
        <v>Preventivo</v>
      </c>
      <c r="L489" s="5" t="str">
        <f ca="1">IFERROR(__xludf.DUMMYFUNCTION("""COMPUTED_VALUE"""),"Maquinaria")</f>
        <v>Maquinaria</v>
      </c>
      <c r="M489" s="5" t="str">
        <f ca="1">IFERROR(__xludf.DUMMYFUNCTION("""COMPUTED_VALUE"""),"No")</f>
        <v>No</v>
      </c>
      <c r="N489" s="5"/>
      <c r="O489" s="5"/>
      <c r="P489" s="18">
        <f ca="1">IFERROR(__xludf.DUMMYFUNCTION("""COMPUTED_VALUE"""),45325)</f>
        <v>45325</v>
      </c>
      <c r="Q489" s="18">
        <f ca="1">IFERROR(__xludf.DUMMYFUNCTION("""COMPUTED_VALUE"""),45325)</f>
        <v>45325</v>
      </c>
      <c r="R489" s="18"/>
      <c r="S489" s="5">
        <f ca="1">IFERROR(__xludf.DUMMYFUNCTION("""COMPUTED_VALUE"""),1)</f>
        <v>1</v>
      </c>
      <c r="T489" s="5"/>
      <c r="U489" s="5" t="str">
        <f ca="1">IFERROR(__xludf.DUMMYFUNCTION("""COMPUTED_VALUE"""),"Poveda Jorge")</f>
        <v>Poveda Jorge</v>
      </c>
      <c r="V489" s="5"/>
      <c r="W489" s="5" t="str">
        <f ca="1">IFERROR(__xludf.DUMMYFUNCTION("""COMPUTED_VALUE"""),"0SFeOAUkiGE")</f>
        <v>0SFeOAUkiGE</v>
      </c>
      <c r="X489" s="5">
        <f ca="1">IFERROR(__xludf.DUMMYFUNCTION("""COMPUTED_VALUE"""),1)</f>
        <v>1</v>
      </c>
      <c r="Y489" s="5" t="str">
        <f t="shared" si="2"/>
        <v>Actividad sin realizar</v>
      </c>
      <c r="Z489" s="3">
        <f ca="1">IFERROR(VLOOKUP(U489, 'Base de datos'!A:B, 2, FALSE), "")</f>
        <v>573212589618</v>
      </c>
      <c r="AA489" s="4" t="e">
        <f t="shared" ca="1" si="3"/>
        <v>#NAME?</v>
      </c>
    </row>
    <row r="490" spans="1:27" ht="15.75" customHeight="1">
      <c r="A490" s="5" t="str">
        <f ca="1">IFERROR(__xludf.DUMMYFUNCTION("""COMPUTED_VALUE"""),"POSTOBÓN YUMBO")</f>
        <v>POSTOBÓN YUMBO</v>
      </c>
      <c r="B490" s="5" t="str">
        <f ca="1">IFERROR(__xludf.DUMMYFUNCTION("""COMPUTED_VALUE"""),"0410-LINEA 3")</f>
        <v>0410-LINEA 3</v>
      </c>
      <c r="C490" s="5" t="str">
        <f ca="1">IFERROR(__xludf.DUMMYFUNCTION("""COMPUTED_VALUE"""),"LINEA DE ENVASADO TAMAÑO PERSONAL")</f>
        <v>LINEA DE ENVASADO TAMAÑO PERSONAL</v>
      </c>
      <c r="D490" s="5">
        <f ca="1">IFERROR(__xludf.DUMMYFUNCTION("""COMPUTED_VALUE"""),558034)</f>
        <v>558034</v>
      </c>
      <c r="E490" s="5" t="str">
        <f ca="1">IFERROR(__xludf.DUMMYFUNCTION("""COMPUTED_VALUE"""),"DESEMPACADORA")</f>
        <v>DESEMPACADORA</v>
      </c>
      <c r="F490" s="5">
        <f ca="1">IFERROR(__xludf.DUMMYFUNCTION("""COMPUTED_VALUE"""),4323)</f>
        <v>4323</v>
      </c>
      <c r="G490" s="5" t="str">
        <f ca="1">IFERROR(__xludf.DUMMYFUNCTION("""COMPUTED_VALUE"""),"MANTTO LUBRICACION DESEMPACADORA L3 5580")</f>
        <v>MANTTO LUBRICACION DESEMPACADORA L3 5580</v>
      </c>
      <c r="H490" s="5">
        <f ca="1">IFERROR(__xludf.DUMMYFUNCTION("""COMPUTED_VALUE"""),13247112)</f>
        <v>13247112</v>
      </c>
      <c r="I490" s="5" t="str">
        <f ca="1">IFERROR(__xludf.DUMMYFUNCTION("""COMPUTED_VALUE"""),"Lubricar Tablero Lubricacion Gral")</f>
        <v>Lubricar Tablero Lubricacion Gral</v>
      </c>
      <c r="J490" s="5" t="str">
        <f ca="1">IFERROR(__xludf.DUMMYFUNCTION("""COMPUTED_VALUE"""),"MEDIO")</f>
        <v>MEDIO</v>
      </c>
      <c r="K490" s="5" t="str">
        <f ca="1">IFERROR(__xludf.DUMMYFUNCTION("""COMPUTED_VALUE"""),"Preventivo")</f>
        <v>Preventivo</v>
      </c>
      <c r="L490" s="5" t="str">
        <f ca="1">IFERROR(__xludf.DUMMYFUNCTION("""COMPUTED_VALUE"""),"Maquinaria")</f>
        <v>Maquinaria</v>
      </c>
      <c r="M490" s="5" t="str">
        <f ca="1">IFERROR(__xludf.DUMMYFUNCTION("""COMPUTED_VALUE"""),"No")</f>
        <v>No</v>
      </c>
      <c r="N490" s="5"/>
      <c r="O490" s="5"/>
      <c r="P490" s="18">
        <f ca="1">IFERROR(__xludf.DUMMYFUNCTION("""COMPUTED_VALUE"""),45324)</f>
        <v>45324</v>
      </c>
      <c r="Q490" s="18">
        <f ca="1">IFERROR(__xludf.DUMMYFUNCTION("""COMPUTED_VALUE"""),45324)</f>
        <v>45324</v>
      </c>
      <c r="R490" s="18"/>
      <c r="S490" s="5">
        <f ca="1">IFERROR(__xludf.DUMMYFUNCTION("""COMPUTED_VALUE"""),2)</f>
        <v>2</v>
      </c>
      <c r="T490" s="5"/>
      <c r="U490" s="5" t="str">
        <f ca="1">IFERROR(__xludf.DUMMYFUNCTION("""COMPUTED_VALUE"""),"Andrés Felipe Pérez Polania")</f>
        <v>Andrés Felipe Pérez Polania</v>
      </c>
      <c r="V490" s="5"/>
      <c r="W490" s="5" t="str">
        <f ca="1">IFERROR(__xludf.DUMMYFUNCTION("""COMPUTED_VALUE"""),"QcSg1MdVz3w")</f>
        <v>QcSg1MdVz3w</v>
      </c>
      <c r="X490" s="5">
        <f ca="1">IFERROR(__xludf.DUMMYFUNCTION("""COMPUTED_VALUE"""),2)</f>
        <v>2</v>
      </c>
      <c r="Y490" s="5" t="str">
        <f t="shared" si="2"/>
        <v>Actividad sin realizar</v>
      </c>
      <c r="Z490" s="3">
        <f ca="1">IFERROR(VLOOKUP(U490, 'Base de datos'!A:B, 2, FALSE), "")</f>
        <v>573186924079</v>
      </c>
      <c r="AA490" s="4" t="e">
        <f t="shared" ca="1" si="3"/>
        <v>#NAME?</v>
      </c>
    </row>
    <row r="491" spans="1:27" ht="15.75" customHeight="1">
      <c r="A491" s="5" t="str">
        <f ca="1">IFERROR(__xludf.DUMMYFUNCTION("""COMPUTED_VALUE"""),"POSTOBÓN YUMBO")</f>
        <v>POSTOBÓN YUMBO</v>
      </c>
      <c r="B491" s="5" t="str">
        <f ca="1">IFERROR(__xludf.DUMMYFUNCTION("""COMPUTED_VALUE"""),"0410-LINEA 1")</f>
        <v>0410-LINEA 1</v>
      </c>
      <c r="C491" s="5" t="str">
        <f ca="1">IFERROR(__xludf.DUMMYFUNCTION("""COMPUTED_VALUE"""),"LINEA DE ENVASADO PET NO RETORNABLE")</f>
        <v>LINEA DE ENVASADO PET NO RETORNABLE</v>
      </c>
      <c r="D491" s="5">
        <f ca="1">IFERROR(__xludf.DUMMYFUNCTION("""COMPUTED_VALUE"""),900233)</f>
        <v>900233</v>
      </c>
      <c r="E491" s="5" t="str">
        <f ca="1">IFERROR(__xludf.DUMMYFUNCTION("""COMPUTED_VALUE"""),"ENVOLVEDORA-ROBOPAC")</f>
        <v>ENVOLVEDORA-ROBOPAC</v>
      </c>
      <c r="F491" s="5">
        <f ca="1">IFERROR(__xludf.DUMMYFUNCTION("""COMPUTED_VALUE"""),22513)</f>
        <v>22513</v>
      </c>
      <c r="G491" s="5" t="str">
        <f ca="1">IFERROR(__xludf.DUMMYFUNCTION("""COMPUTED_VALUE"""),"PLAN MTTO MEC ENVOLVEDORA DE FILM 900233")</f>
        <v>PLAN MTTO MEC ENVOLVEDORA DE FILM 900233</v>
      </c>
      <c r="H491" s="5">
        <f ca="1">IFERROR(__xludf.DUMMYFUNCTION("""COMPUTED_VALUE"""),13135491)</f>
        <v>13135491</v>
      </c>
      <c r="I491" s="5" t="str">
        <f ca="1">IFERROR(__xludf.DUMMYFUNCTION("""COMPUTED_VALUE"""),"CAMBIO DE CORREAS TRANSMISION, CAMBIAR C")</f>
        <v>CAMBIO DE CORREAS TRANSMISION, CAMBIAR C</v>
      </c>
      <c r="J491" s="5" t="str">
        <f ca="1">IFERROR(__xludf.DUMMYFUNCTION("""COMPUTED_VALUE"""),"MEDIO")</f>
        <v>MEDIO</v>
      </c>
      <c r="K491" s="5" t="str">
        <f ca="1">IFERROR(__xludf.DUMMYFUNCTION("""COMPUTED_VALUE"""),"Preventivo")</f>
        <v>Preventivo</v>
      </c>
      <c r="L491" s="5" t="str">
        <f ca="1">IFERROR(__xludf.DUMMYFUNCTION("""COMPUTED_VALUE"""),"Maquinaria")</f>
        <v>Maquinaria</v>
      </c>
      <c r="M491" s="5" t="str">
        <f ca="1">IFERROR(__xludf.DUMMYFUNCTION("""COMPUTED_VALUE"""),"No")</f>
        <v>No</v>
      </c>
      <c r="N491" s="5"/>
      <c r="O491" s="5"/>
      <c r="P491" s="18">
        <f ca="1">IFERROR(__xludf.DUMMYFUNCTION("""COMPUTED_VALUE"""),45327)</f>
        <v>45327</v>
      </c>
      <c r="Q491" s="18">
        <f ca="1">IFERROR(__xludf.DUMMYFUNCTION("""COMPUTED_VALUE"""),45327)</f>
        <v>45327</v>
      </c>
      <c r="R491" s="18"/>
      <c r="S491" s="5">
        <f ca="1">IFERROR(__xludf.DUMMYFUNCTION("""COMPUTED_VALUE"""),2)</f>
        <v>2</v>
      </c>
      <c r="T491" s="5"/>
      <c r="U491" s="5" t="str">
        <f ca="1">IFERROR(__xludf.DUMMYFUNCTION("""COMPUTED_VALUE"""),"Héctor Toro")</f>
        <v>Héctor Toro</v>
      </c>
      <c r="V491" s="5"/>
      <c r="W491" s="5" t="str">
        <f ca="1">IFERROR(__xludf.DUMMYFUNCTION("""COMPUTED_VALUE"""),"0mANI4afErs")</f>
        <v>0mANI4afErs</v>
      </c>
      <c r="X491" s="5">
        <f ca="1">IFERROR(__xludf.DUMMYFUNCTION("""COMPUTED_VALUE"""),2)</f>
        <v>2</v>
      </c>
      <c r="Y491" s="5" t="str">
        <f t="shared" si="2"/>
        <v>Actividad sin realizar</v>
      </c>
      <c r="Z491" s="3">
        <f ca="1">IFERROR(VLOOKUP(U491, 'Base de datos'!A:B, 2, FALSE), "")</f>
        <v>573015223410</v>
      </c>
      <c r="AA491" s="4" t="e">
        <f t="shared" ca="1" si="3"/>
        <v>#NAME?</v>
      </c>
    </row>
    <row r="492" spans="1:27" ht="15.75" customHeight="1">
      <c r="A492" s="5" t="str">
        <f ca="1">IFERROR(__xludf.DUMMYFUNCTION("""COMPUTED_VALUE"""),"POSTOBÓN YUMBO")</f>
        <v>POSTOBÓN YUMBO</v>
      </c>
      <c r="B492" s="5" t="str">
        <f ca="1">IFERROR(__xludf.DUMMYFUNCTION("""COMPUTED_VALUE"""),"0410-LINEA 3")</f>
        <v>0410-LINEA 3</v>
      </c>
      <c r="C492" s="5" t="str">
        <f ca="1">IFERROR(__xludf.DUMMYFUNCTION("""COMPUTED_VALUE"""),"LINEA DE ENVASADO TAMAÑO PERSONAL")</f>
        <v>LINEA DE ENVASADO TAMAÑO PERSONAL</v>
      </c>
      <c r="D492" s="5">
        <f ca="1">IFERROR(__xludf.DUMMYFUNCTION("""COMPUTED_VALUE"""),828592)</f>
        <v>828592</v>
      </c>
      <c r="E492" s="5" t="str">
        <f ca="1">IFERROR(__xludf.DUMMYFUNCTION("""COMPUTED_VALUE"""),"LLENADORA")</f>
        <v>LLENADORA</v>
      </c>
      <c r="F492" s="5">
        <f ca="1">IFERROR(__xludf.DUMMYFUNCTION("""COMPUTED_VALUE"""),0)</f>
        <v>0</v>
      </c>
      <c r="G492" s="5" t="str">
        <f ca="1">IFERROR(__xludf.DUMMYFUNCTION("""COMPUTED_VALUE"""),"CONSUMO LUB LLENADORA PERSONAL")</f>
        <v>CONSUMO LUB LLENADORA PERSONAL</v>
      </c>
      <c r="H492" s="5">
        <f ca="1">IFERROR(__xludf.DUMMYFUNCTION("""COMPUTED_VALUE"""),13230944)</f>
        <v>13230944</v>
      </c>
      <c r="I492" s="5" t="str">
        <f ca="1">IFERROR(__xludf.DUMMYFUNCTION("""COMPUTED_VALUE"""),"CONSUMO LUB LLENADORA PERSONAL")</f>
        <v>CONSUMO LUB LLENADORA PERSONAL</v>
      </c>
      <c r="J492" s="5" t="str">
        <f ca="1">IFERROR(__xludf.DUMMYFUNCTION("""COMPUTED_VALUE"""),"ALTO")</f>
        <v>ALTO</v>
      </c>
      <c r="K492" s="5" t="str">
        <f ca="1">IFERROR(__xludf.DUMMYFUNCTION("""COMPUTED_VALUE"""),"Preventivo")</f>
        <v>Preventivo</v>
      </c>
      <c r="L492" s="5" t="str">
        <f ca="1">IFERROR(__xludf.DUMMYFUNCTION("""COMPUTED_VALUE"""),"Maquinaria")</f>
        <v>Maquinaria</v>
      </c>
      <c r="M492" s="5" t="str">
        <f ca="1">IFERROR(__xludf.DUMMYFUNCTION("""COMPUTED_VALUE"""),"No")</f>
        <v>No</v>
      </c>
      <c r="N492" s="5"/>
      <c r="O492" s="5"/>
      <c r="P492" s="18">
        <f ca="1">IFERROR(__xludf.DUMMYFUNCTION("""COMPUTED_VALUE"""),45325)</f>
        <v>45325</v>
      </c>
      <c r="Q492" s="18">
        <f ca="1">IFERROR(__xludf.DUMMYFUNCTION("""COMPUTED_VALUE"""),45325)</f>
        <v>45325</v>
      </c>
      <c r="R492" s="18"/>
      <c r="S492" s="5">
        <f ca="1">IFERROR(__xludf.DUMMYFUNCTION("""COMPUTED_VALUE"""),1)</f>
        <v>1</v>
      </c>
      <c r="T492" s="5"/>
      <c r="U492" s="5" t="str">
        <f ca="1">IFERROR(__xludf.DUMMYFUNCTION("""COMPUTED_VALUE"""),"Jimenez Jhon")</f>
        <v>Jimenez Jhon</v>
      </c>
      <c r="V492" s="5"/>
      <c r="W492" s="5" t="str">
        <f ca="1">IFERROR(__xludf.DUMMYFUNCTION("""COMPUTED_VALUE"""),"7aq0xuXeG8k")</f>
        <v>7aq0xuXeG8k</v>
      </c>
      <c r="X492" s="5">
        <f ca="1">IFERROR(__xludf.DUMMYFUNCTION("""COMPUTED_VALUE"""),1)</f>
        <v>1</v>
      </c>
      <c r="Y492" s="5" t="str">
        <f t="shared" si="2"/>
        <v>Actividad sin realizar</v>
      </c>
      <c r="Z492" s="3">
        <f ca="1">IFERROR(VLOOKUP(U492, 'Base de datos'!A:B, 2, FALSE), "")</f>
        <v>573147637946</v>
      </c>
      <c r="AA492" s="4" t="e">
        <f t="shared" ca="1" si="3"/>
        <v>#NAME?</v>
      </c>
    </row>
    <row r="493" spans="1:27" ht="15.75" customHeight="1">
      <c r="A493" s="5" t="str">
        <f ca="1">IFERROR(__xludf.DUMMYFUNCTION("""COMPUTED_VALUE"""),"POSTOBÓN YUMBO")</f>
        <v>POSTOBÓN YUMBO</v>
      </c>
      <c r="B493" s="5" t="str">
        <f ca="1">IFERROR(__xludf.DUMMYFUNCTION("""COMPUTED_VALUE"""),"0410-LINEA 2")</f>
        <v>0410-LINEA 2</v>
      </c>
      <c r="C493" s="5" t="str">
        <f ca="1">IFERROR(__xludf.DUMMYFUNCTION("""COMPUTED_VALUE"""),"LINEA DE ENVASADO FAMILIAR Y PRB")</f>
        <v>LINEA DE ENVASADO FAMILIAR Y PRB</v>
      </c>
      <c r="D493" s="5">
        <f ca="1">IFERROR(__xludf.DUMMYFUNCTION("""COMPUTED_VALUE"""),560027)</f>
        <v>560027</v>
      </c>
      <c r="E493" s="5" t="str">
        <f ca="1">IFERROR(__xludf.DUMMYFUNCTION("""COMPUTED_VALUE"""),"LAVADORA DE CAJAS")</f>
        <v>LAVADORA DE CAJAS</v>
      </c>
      <c r="F493" s="5">
        <f ca="1">IFERROR(__xludf.DUMMYFUNCTION("""COMPUTED_VALUE"""),22510)</f>
        <v>22510</v>
      </c>
      <c r="G493" s="5" t="str">
        <f ca="1">IFERROR(__xludf.DUMMYFUNCTION("""COMPUTED_VALUE"""),"PLAN MTTO LUB LAVADORA CAJAS 560027 L2")</f>
        <v>PLAN MTTO LUB LAVADORA CAJAS 560027 L2</v>
      </c>
      <c r="H493" s="5">
        <f ca="1">IFERROR(__xludf.DUMMYFUNCTION("""COMPUTED_VALUE"""),13247195)</f>
        <v>13247195</v>
      </c>
      <c r="I493" s="5" t="str">
        <f ca="1">IFERROR(__xludf.DUMMYFUNCTION("""COMPUTED_VALUE"""),"Lubricar chumaceras")</f>
        <v>Lubricar chumaceras</v>
      </c>
      <c r="J493" s="5" t="str">
        <f ca="1">IFERROR(__xludf.DUMMYFUNCTION("""COMPUTED_VALUE"""),"ALTO")</f>
        <v>ALTO</v>
      </c>
      <c r="K493" s="5" t="str">
        <f ca="1">IFERROR(__xludf.DUMMYFUNCTION("""COMPUTED_VALUE"""),"Preventivo")</f>
        <v>Preventivo</v>
      </c>
      <c r="L493" s="5" t="str">
        <f ca="1">IFERROR(__xludf.DUMMYFUNCTION("""COMPUTED_VALUE"""),"Maquinaria")</f>
        <v>Maquinaria</v>
      </c>
      <c r="M493" s="5" t="str">
        <f ca="1">IFERROR(__xludf.DUMMYFUNCTION("""COMPUTED_VALUE"""),"No")</f>
        <v>No</v>
      </c>
      <c r="N493" s="5"/>
      <c r="O493" s="5"/>
      <c r="P493" s="18">
        <f ca="1">IFERROR(__xludf.DUMMYFUNCTION("""COMPUTED_VALUE"""),45330)</f>
        <v>45330</v>
      </c>
      <c r="Q493" s="18">
        <f ca="1">IFERROR(__xludf.DUMMYFUNCTION("""COMPUTED_VALUE"""),45330)</f>
        <v>45330</v>
      </c>
      <c r="R493" s="18"/>
      <c r="S493" s="5">
        <f ca="1">IFERROR(__xludf.DUMMYFUNCTION("""COMPUTED_VALUE"""),0.5)</f>
        <v>0.5</v>
      </c>
      <c r="T493" s="5"/>
      <c r="U493" s="5" t="str">
        <f ca="1">IFERROR(__xludf.DUMMYFUNCTION("""COMPUTED_VALUE"""),"Paz Paz Jhon Estiven")</f>
        <v>Paz Paz Jhon Estiven</v>
      </c>
      <c r="V493" s="5"/>
      <c r="W493" s="5" t="str">
        <f ca="1">IFERROR(__xludf.DUMMYFUNCTION("""COMPUTED_VALUE"""),"L3hDa7uBBi8")</f>
        <v>L3hDa7uBBi8</v>
      </c>
      <c r="X493" s="5">
        <f ca="1">IFERROR(__xludf.DUMMYFUNCTION("""COMPUTED_VALUE"""),0.5)</f>
        <v>0.5</v>
      </c>
      <c r="Y493" s="5" t="str">
        <f t="shared" si="2"/>
        <v>Actividad sin realizar</v>
      </c>
      <c r="Z493" s="3">
        <f ca="1">IFERROR(VLOOKUP(U493, 'Base de datos'!A:B, 2, FALSE), "")</f>
        <v>573117137924</v>
      </c>
      <c r="AA493" s="4" t="e">
        <f t="shared" ca="1" si="3"/>
        <v>#NAME?</v>
      </c>
    </row>
    <row r="494" spans="1:27" ht="15.75" customHeight="1">
      <c r="A494" s="5" t="str">
        <f ca="1">IFERROR(__xludf.DUMMYFUNCTION("""COMPUTED_VALUE"""),"POSTOBÓN YUMBO")</f>
        <v>POSTOBÓN YUMBO</v>
      </c>
      <c r="B494" s="5" t="str">
        <f ca="1">IFERROR(__xludf.DUMMYFUNCTION("""COMPUTED_VALUE"""),"0410-LINEA 2")</f>
        <v>0410-LINEA 2</v>
      </c>
      <c r="C494" s="5" t="str">
        <f ca="1">IFERROR(__xludf.DUMMYFUNCTION("""COMPUTED_VALUE"""),"LINEA DE ENVASADO FAMILIAR Y PRB")</f>
        <v>LINEA DE ENVASADO FAMILIAR Y PRB</v>
      </c>
      <c r="D494" s="5">
        <f ca="1">IFERROR(__xludf.DUMMYFUNCTION("""COMPUTED_VALUE"""),599559)</f>
        <v>599559</v>
      </c>
      <c r="E494" s="5" t="str">
        <f ca="1">IFERROR(__xludf.DUMMYFUNCTION("""COMPUTED_VALUE"""),"INSPECTOR ELECTRONICO")</f>
        <v>INSPECTOR ELECTRONICO</v>
      </c>
      <c r="F494" s="5">
        <f ca="1">IFERROR(__xludf.DUMMYFUNCTION("""COMPUTED_VALUE"""),17380)</f>
        <v>17380</v>
      </c>
      <c r="G494" s="5" t="str">
        <f ca="1">IFERROR(__xludf.DUMMYFUNCTION("""COMPUTED_VALUE"""),"MTTO ELEC INSPECTOR L2 599559")</f>
        <v>MTTO ELEC INSPECTOR L2 599559</v>
      </c>
      <c r="H494" s="5">
        <f ca="1">IFERROR(__xludf.DUMMYFUNCTION("""COMPUTED_VALUE"""),13221300)</f>
        <v>13221300</v>
      </c>
      <c r="I494" s="5" t="str">
        <f ca="1">IFERROR(__xludf.DUMMYFUNCTION("""COMPUTED_VALUE"""),"GENERADOR DE")</f>
        <v>GENERADOR DE</v>
      </c>
      <c r="J494" s="5" t="str">
        <f ca="1">IFERROR(__xludf.DUMMYFUNCTION("""COMPUTED_VALUE"""),"ALTO")</f>
        <v>ALTO</v>
      </c>
      <c r="K494" s="5" t="str">
        <f ca="1">IFERROR(__xludf.DUMMYFUNCTION("""COMPUTED_VALUE"""),"Preventivo")</f>
        <v>Preventivo</v>
      </c>
      <c r="L494" s="5" t="str">
        <f ca="1">IFERROR(__xludf.DUMMYFUNCTION("""COMPUTED_VALUE"""),"Maquinaria")</f>
        <v>Maquinaria</v>
      </c>
      <c r="M494" s="5" t="str">
        <f ca="1">IFERROR(__xludf.DUMMYFUNCTION("""COMPUTED_VALUE"""),"No")</f>
        <v>No</v>
      </c>
      <c r="N494" s="5"/>
      <c r="O494" s="5"/>
      <c r="P494" s="18">
        <f ca="1">IFERROR(__xludf.DUMMYFUNCTION("""COMPUTED_VALUE"""),45341)</f>
        <v>45341</v>
      </c>
      <c r="Q494" s="18">
        <f ca="1">IFERROR(__xludf.DUMMYFUNCTION("""COMPUTED_VALUE"""),45341)</f>
        <v>45341</v>
      </c>
      <c r="R494" s="18"/>
      <c r="S494" s="5">
        <f ca="1">IFERROR(__xludf.DUMMYFUNCTION("""COMPUTED_VALUE"""),1)</f>
        <v>1</v>
      </c>
      <c r="T494" s="5"/>
      <c r="U494" s="5" t="str">
        <f ca="1">IFERROR(__xludf.DUMMYFUNCTION("""COMPUTED_VALUE"""),"Alexander Echeverry Moreno")</f>
        <v>Alexander Echeverry Moreno</v>
      </c>
      <c r="V494" s="5"/>
      <c r="W494" s="5" t="str">
        <f ca="1">IFERROR(__xludf.DUMMYFUNCTION("""COMPUTED_VALUE"""),"IXhJF6gtph4")</f>
        <v>IXhJF6gtph4</v>
      </c>
      <c r="X494" s="5">
        <f ca="1">IFERROR(__xludf.DUMMYFUNCTION("""COMPUTED_VALUE"""),1)</f>
        <v>1</v>
      </c>
      <c r="Y494" s="5" t="str">
        <f t="shared" si="2"/>
        <v>Actividad sin realizar</v>
      </c>
      <c r="Z494" s="3">
        <f ca="1">IFERROR(VLOOKUP(U494, 'Base de datos'!A:B, 2, FALSE), "")</f>
        <v>573173223149</v>
      </c>
      <c r="AA494" s="4" t="e">
        <f t="shared" ca="1" si="3"/>
        <v>#NAME?</v>
      </c>
    </row>
    <row r="495" spans="1:27" ht="15.75" customHeight="1">
      <c r="A495" s="5" t="str">
        <f ca="1">IFERROR(__xludf.DUMMYFUNCTION("""COMPUTED_VALUE"""),"POSTOBÓN YUMBO")</f>
        <v>POSTOBÓN YUMBO</v>
      </c>
      <c r="B495" s="5" t="str">
        <f ca="1">IFERROR(__xludf.DUMMYFUNCTION("""COMPUTED_VALUE"""),"0410-LINEA 3")</f>
        <v>0410-LINEA 3</v>
      </c>
      <c r="C495" s="5" t="str">
        <f ca="1">IFERROR(__xludf.DUMMYFUNCTION("""COMPUTED_VALUE"""),"LINEA DE ENVASADO TAMAÑO PERSONAL")</f>
        <v>LINEA DE ENVASADO TAMAÑO PERSONAL</v>
      </c>
      <c r="D495" s="5">
        <f ca="1">IFERROR(__xludf.DUMMYFUNCTION("""COMPUTED_VALUE"""),828592)</f>
        <v>828592</v>
      </c>
      <c r="E495" s="5" t="str">
        <f ca="1">IFERROR(__xludf.DUMMYFUNCTION("""COMPUTED_VALUE"""),"LLENADORA")</f>
        <v>LLENADORA</v>
      </c>
      <c r="F495" s="5">
        <f ca="1">IFERROR(__xludf.DUMMYFUNCTION("""COMPUTED_VALUE"""),0)</f>
        <v>0</v>
      </c>
      <c r="G495" s="5" t="str">
        <f ca="1">IFERROR(__xludf.DUMMYFUNCTION("""COMPUTED_VALUE"""),"MANTENIMIENTO LLENADORA HK 72-16")</f>
        <v>MANTENIMIENTO LLENADORA HK 72-16</v>
      </c>
      <c r="H495" s="5">
        <f ca="1">IFERROR(__xludf.DUMMYFUNCTION("""COMPUTED_VALUE"""),13210754)</f>
        <v>13210754</v>
      </c>
      <c r="I495" s="5" t="str">
        <f ca="1">IFERROR(__xludf.DUMMYFUNCTION("""COMPUTED_VALUE"""),"CAMBIO EMBRAGUES FLEXIBLES ORIGINALES")</f>
        <v>CAMBIO EMBRAGUES FLEXIBLES ORIGINALES</v>
      </c>
      <c r="J495" s="5" t="str">
        <f ca="1">IFERROR(__xludf.DUMMYFUNCTION("""COMPUTED_VALUE"""),"ALTO")</f>
        <v>ALTO</v>
      </c>
      <c r="K495" s="5" t="str">
        <f ca="1">IFERROR(__xludf.DUMMYFUNCTION("""COMPUTED_VALUE"""),"Preventivo")</f>
        <v>Preventivo</v>
      </c>
      <c r="L495" s="5" t="str">
        <f ca="1">IFERROR(__xludf.DUMMYFUNCTION("""COMPUTED_VALUE"""),"Maquinaria")</f>
        <v>Maquinaria</v>
      </c>
      <c r="M495" s="5" t="str">
        <f ca="1">IFERROR(__xludf.DUMMYFUNCTION("""COMPUTED_VALUE"""),"No")</f>
        <v>No</v>
      </c>
      <c r="N495" s="5"/>
      <c r="O495" s="5"/>
      <c r="P495" s="18">
        <f ca="1">IFERROR(__xludf.DUMMYFUNCTION("""COMPUTED_VALUE"""),45325)</f>
        <v>45325</v>
      </c>
      <c r="Q495" s="18">
        <f ca="1">IFERROR(__xludf.DUMMYFUNCTION("""COMPUTED_VALUE"""),45325)</f>
        <v>45325</v>
      </c>
      <c r="R495" s="18"/>
      <c r="S495" s="5">
        <f ca="1">IFERROR(__xludf.DUMMYFUNCTION("""COMPUTED_VALUE"""),1)</f>
        <v>1</v>
      </c>
      <c r="T495" s="5"/>
      <c r="U495" s="5" t="str">
        <f ca="1">IFERROR(__xludf.DUMMYFUNCTION("""COMPUTED_VALUE"""),"Jimenez Jhon")</f>
        <v>Jimenez Jhon</v>
      </c>
      <c r="V495" s="5"/>
      <c r="W495" s="5" t="str">
        <f ca="1">IFERROR(__xludf.DUMMYFUNCTION("""COMPUTED_VALUE"""),"melgZgdUKjM")</f>
        <v>melgZgdUKjM</v>
      </c>
      <c r="X495" s="5">
        <f ca="1">IFERROR(__xludf.DUMMYFUNCTION("""COMPUTED_VALUE"""),1)</f>
        <v>1</v>
      </c>
      <c r="Y495" s="5" t="str">
        <f t="shared" si="2"/>
        <v>Actividad sin realizar</v>
      </c>
      <c r="Z495" s="3">
        <f ca="1">IFERROR(VLOOKUP(U495, 'Base de datos'!A:B, 2, FALSE), "")</f>
        <v>573147637946</v>
      </c>
      <c r="AA495" s="4" t="e">
        <f t="shared" ca="1" si="3"/>
        <v>#NAME?</v>
      </c>
    </row>
    <row r="496" spans="1:27" ht="15.75" customHeight="1">
      <c r="A496" s="5" t="str">
        <f ca="1">IFERROR(__xludf.DUMMYFUNCTION("""COMPUTED_VALUE"""),"POSTOBÓN YUMBO")</f>
        <v>POSTOBÓN YUMBO</v>
      </c>
      <c r="B496" s="5" t="str">
        <f ca="1">IFERROR(__xludf.DUMMYFUNCTION("""COMPUTED_VALUE"""),"0410-PLANTA DE AGUA ENVASADO")</f>
        <v>0410-PLANTA DE AGUA ENVASADO</v>
      </c>
      <c r="C496" s="5" t="str">
        <f ca="1">IFERROR(__xludf.DUMMYFUNCTION("""COMPUTED_VALUE"""),"TRATAMIENTO DE AGUA PARA ENVASADO")</f>
        <v>TRATAMIENTO DE AGUA PARA ENVASADO</v>
      </c>
      <c r="D496" s="5">
        <f ca="1">IFERROR(__xludf.DUMMYFUNCTION("""COMPUTED_VALUE"""),70949107)</f>
        <v>70949107</v>
      </c>
      <c r="E496" s="5" t="str">
        <f ca="1">IFERROR(__xludf.DUMMYFUNCTION("""COMPUTED_VALUE"""),"GENERADOR DE OZONO SUEZ OZONIA")</f>
        <v>GENERADOR DE OZONO SUEZ OZONIA</v>
      </c>
      <c r="F496" s="5">
        <f ca="1">IFERROR(__xludf.DUMMYFUNCTION("""COMPUTED_VALUE"""),42256)</f>
        <v>42256</v>
      </c>
      <c r="G496" s="5" t="str">
        <f ca="1">IFERROR(__xludf.DUMMYFUNCTION("""COMPUTED_VALUE"""),"PLAN MTTO MEC GENERADOR DE OZONO SUEZ OZ")</f>
        <v>PLAN MTTO MEC GENERADOR DE OZONO SUEZ OZ</v>
      </c>
      <c r="H496" s="5">
        <f ca="1">IFERROR(__xludf.DUMMYFUNCTION("""COMPUTED_VALUE"""),13193788)</f>
        <v>13193788</v>
      </c>
      <c r="I496" s="5" t="str">
        <f ca="1">IFERROR(__xludf.DUMMYFUNCTION("""COMPUTED_VALUE"""),"LIMPIEZA ENTRADA Y SALIDA AIRE:")</f>
        <v>LIMPIEZA ENTRADA Y SALIDA AIRE:</v>
      </c>
      <c r="J496" s="5" t="str">
        <f ca="1">IFERROR(__xludf.DUMMYFUNCTION("""COMPUTED_VALUE"""),"ALTO")</f>
        <v>ALTO</v>
      </c>
      <c r="K496" s="5" t="str">
        <f ca="1">IFERROR(__xludf.DUMMYFUNCTION("""COMPUTED_VALUE"""),"Preventivo")</f>
        <v>Preventivo</v>
      </c>
      <c r="L496" s="5" t="str">
        <f ca="1">IFERROR(__xludf.DUMMYFUNCTION("""COMPUTED_VALUE"""),"Maquinaria")</f>
        <v>Maquinaria</v>
      </c>
      <c r="M496" s="5" t="str">
        <f ca="1">IFERROR(__xludf.DUMMYFUNCTION("""COMPUTED_VALUE"""),"No")</f>
        <v>No</v>
      </c>
      <c r="N496" s="5"/>
      <c r="O496" s="5"/>
      <c r="P496" s="18">
        <f ca="1">IFERROR(__xludf.DUMMYFUNCTION("""COMPUTED_VALUE"""),45340)</f>
        <v>45340</v>
      </c>
      <c r="Q496" s="18">
        <f ca="1">IFERROR(__xludf.DUMMYFUNCTION("""COMPUTED_VALUE"""),45340)</f>
        <v>45340</v>
      </c>
      <c r="R496" s="18"/>
      <c r="S496" s="5">
        <f ca="1">IFERROR(__xludf.DUMMYFUNCTION("""COMPUTED_VALUE"""),1)</f>
        <v>1</v>
      </c>
      <c r="T496" s="5"/>
      <c r="U496" s="5" t="str">
        <f ca="1">IFERROR(__xludf.DUMMYFUNCTION("""COMPUTED_VALUE"""),"PAPAMIJA GUIDO")</f>
        <v>PAPAMIJA GUIDO</v>
      </c>
      <c r="V496" s="5"/>
      <c r="W496" s="5" t="str">
        <f ca="1">IFERROR(__xludf.DUMMYFUNCTION("""COMPUTED_VALUE"""),"P0EfNHtWdoE")</f>
        <v>P0EfNHtWdoE</v>
      </c>
      <c r="X496" s="5">
        <f ca="1">IFERROR(__xludf.DUMMYFUNCTION("""COMPUTED_VALUE"""),1)</f>
        <v>1</v>
      </c>
      <c r="Y496" s="5" t="str">
        <f t="shared" si="2"/>
        <v>Actividad sin realizar</v>
      </c>
      <c r="Z496" s="3">
        <f ca="1">IFERROR(VLOOKUP(U496, 'Base de datos'!A:B, 2, FALSE), "")</f>
        <v>573156712311</v>
      </c>
      <c r="AA496" s="4" t="e">
        <f t="shared" ca="1" si="3"/>
        <v>#NAME?</v>
      </c>
    </row>
    <row r="497" spans="1:27" ht="15.75" customHeight="1">
      <c r="A497" s="5" t="str">
        <f ca="1">IFERROR(__xludf.DUMMYFUNCTION("""COMPUTED_VALUE"""),"POSTOBÓN YUMBO")</f>
        <v>POSTOBÓN YUMBO</v>
      </c>
      <c r="B497" s="5" t="str">
        <f ca="1">IFERROR(__xludf.DUMMYFUNCTION("""COMPUTED_VALUE"""),"0410-LINEA 3")</f>
        <v>0410-LINEA 3</v>
      </c>
      <c r="C497" s="5" t="str">
        <f ca="1">IFERROR(__xludf.DUMMYFUNCTION("""COMPUTED_VALUE"""),"LINEA DE ENVASADO TAMAÑO PERSONAL")</f>
        <v>LINEA DE ENVASADO TAMAÑO PERSONAL</v>
      </c>
      <c r="D497" s="5">
        <f ca="1">IFERROR(__xludf.DUMMYFUNCTION("""COMPUTED_VALUE"""),508169)</f>
        <v>508169</v>
      </c>
      <c r="E497" s="5" t="str">
        <f ca="1">IFERROR(__xludf.DUMMYFUNCTION("""COMPUTED_VALUE"""),"LAVADORA DE BOTELLAS")</f>
        <v>LAVADORA DE BOTELLAS</v>
      </c>
      <c r="F497" s="5">
        <f ca="1">IFERROR(__xludf.DUMMYFUNCTION("""COMPUTED_VALUE"""),13351)</f>
        <v>13351</v>
      </c>
      <c r="G497" s="5" t="str">
        <f ca="1">IFERROR(__xludf.DUMMYFUNCTION("""COMPUTED_VALUE"""),"Mantto electrico lavadora de botellas.")</f>
        <v>Mantto electrico lavadora de botellas.</v>
      </c>
      <c r="H497" s="5">
        <f ca="1">IFERROR(__xludf.DUMMYFUNCTION("""COMPUTED_VALUE"""),13195262)</f>
        <v>13195262</v>
      </c>
      <c r="I497" s="5" t="str">
        <f ca="1">IFERROR(__xludf.DUMMYFUNCTION("""COMPUTED_VALUE"""),"Verificacion de cableado de tablero")</f>
        <v>Verificacion de cableado de tablero</v>
      </c>
      <c r="J497" s="5" t="str">
        <f ca="1">IFERROR(__xludf.DUMMYFUNCTION("""COMPUTED_VALUE"""),"ALTO")</f>
        <v>ALTO</v>
      </c>
      <c r="K497" s="5" t="str">
        <f ca="1">IFERROR(__xludf.DUMMYFUNCTION("""COMPUTED_VALUE"""),"Preventivo")</f>
        <v>Preventivo</v>
      </c>
      <c r="L497" s="5" t="str">
        <f ca="1">IFERROR(__xludf.DUMMYFUNCTION("""COMPUTED_VALUE"""),"Maquinaria")</f>
        <v>Maquinaria</v>
      </c>
      <c r="M497" s="5" t="str">
        <f ca="1">IFERROR(__xludf.DUMMYFUNCTION("""COMPUTED_VALUE"""),"No")</f>
        <v>No</v>
      </c>
      <c r="N497" s="5"/>
      <c r="O497" s="5"/>
      <c r="P497" s="18">
        <f ca="1">IFERROR(__xludf.DUMMYFUNCTION("""COMPUTED_VALUE"""),45323)</f>
        <v>45323</v>
      </c>
      <c r="Q497" s="18">
        <f ca="1">IFERROR(__xludf.DUMMYFUNCTION("""COMPUTED_VALUE"""),45323)</f>
        <v>45323</v>
      </c>
      <c r="R497" s="18"/>
      <c r="S497" s="5">
        <f ca="1">IFERROR(__xludf.DUMMYFUNCTION("""COMPUTED_VALUE"""),2)</f>
        <v>2</v>
      </c>
      <c r="T497" s="5"/>
      <c r="U497" s="5" t="str">
        <f ca="1">IFERROR(__xludf.DUMMYFUNCTION("""COMPUTED_VALUE"""),"Jimenez Jhon")</f>
        <v>Jimenez Jhon</v>
      </c>
      <c r="V497" s="5"/>
      <c r="W497" s="5" t="str">
        <f ca="1">IFERROR(__xludf.DUMMYFUNCTION("""COMPUTED_VALUE"""),"yjtizY7QUXQ")</f>
        <v>yjtizY7QUXQ</v>
      </c>
      <c r="X497" s="5">
        <f ca="1">IFERROR(__xludf.DUMMYFUNCTION("""COMPUTED_VALUE"""),2)</f>
        <v>2</v>
      </c>
      <c r="Y497" s="5" t="str">
        <f t="shared" si="2"/>
        <v>Actividad sin realizar</v>
      </c>
      <c r="Z497" s="3">
        <f ca="1">IFERROR(VLOOKUP(U497, 'Base de datos'!A:B, 2, FALSE), "")</f>
        <v>573147637946</v>
      </c>
      <c r="AA497" s="4" t="e">
        <f t="shared" ca="1" si="3"/>
        <v>#NAME?</v>
      </c>
    </row>
    <row r="498" spans="1:27" ht="15.75" customHeight="1">
      <c r="A498" s="5" t="str">
        <f ca="1">IFERROR(__xludf.DUMMYFUNCTION("""COMPUTED_VALUE"""),"POSTOBÓN YUMBO")</f>
        <v>POSTOBÓN YUMBO</v>
      </c>
      <c r="B498" s="5" t="str">
        <f ca="1">IFERROR(__xludf.DUMMYFUNCTION("""COMPUTED_VALUE"""),"0410-CUARTO DE BOMBAS")</f>
        <v>0410-CUARTO DE BOMBAS</v>
      </c>
      <c r="C498" s="5" t="str">
        <f ca="1">IFERROR(__xludf.DUMMYFUNCTION("""COMPUTED_VALUE"""),"BOMBAS DE SERVICIO PROCESO")</f>
        <v>BOMBAS DE SERVICIO PROCESO</v>
      </c>
      <c r="D498" s="5">
        <f ca="1">IFERROR(__xludf.DUMMYFUNCTION("""COMPUTED_VALUE"""),70948907)</f>
        <v>70948907</v>
      </c>
      <c r="E498" s="5" t="str">
        <f ca="1">IFERROR(__xludf.DUMMYFUNCTION("""COMPUTED_VALUE"""),"BOMBA AGUA FILTRO ARENA 1-2-3-8-9")</f>
        <v>BOMBA AGUA FILTRO ARENA 1-2-3-8-9</v>
      </c>
      <c r="F498" s="5">
        <f ca="1">IFERROR(__xludf.DUMMYFUNCTION("""COMPUTED_VALUE"""),20676)</f>
        <v>20676</v>
      </c>
      <c r="G498" s="5" t="str">
        <f ca="1">IFERROR(__xludf.DUMMYFUNCTION("""COMPUTED_VALUE"""),"PLAN MTTO ELE BOMBA AGUA PRODUCT70948907")</f>
        <v>PLAN MTTO ELE BOMBA AGUA PRODUCT70948907</v>
      </c>
      <c r="H498" s="5">
        <f ca="1">IFERROR(__xludf.DUMMYFUNCTION("""COMPUTED_VALUE"""),13207382)</f>
        <v>13207382</v>
      </c>
      <c r="I498" s="5" t="str">
        <f ca="1">IFERROR(__xludf.DUMMYFUNCTION("""COMPUTED_VALUE"""),"Motor Bomba")</f>
        <v>Motor Bomba</v>
      </c>
      <c r="J498" s="5" t="str">
        <f ca="1">IFERROR(__xludf.DUMMYFUNCTION("""COMPUTED_VALUE"""),"ALTO")</f>
        <v>ALTO</v>
      </c>
      <c r="K498" s="5" t="str">
        <f ca="1">IFERROR(__xludf.DUMMYFUNCTION("""COMPUTED_VALUE"""),"Preventivo")</f>
        <v>Preventivo</v>
      </c>
      <c r="L498" s="5" t="str">
        <f ca="1">IFERROR(__xludf.DUMMYFUNCTION("""COMPUTED_VALUE"""),"Maquinaria")</f>
        <v>Maquinaria</v>
      </c>
      <c r="M498" s="5" t="str">
        <f ca="1">IFERROR(__xludf.DUMMYFUNCTION("""COMPUTED_VALUE"""),"No")</f>
        <v>No</v>
      </c>
      <c r="N498" s="5"/>
      <c r="O498" s="5"/>
      <c r="P498" s="18">
        <f ca="1">IFERROR(__xludf.DUMMYFUNCTION("""COMPUTED_VALUE"""),45351)</f>
        <v>45351</v>
      </c>
      <c r="Q498" s="18">
        <f ca="1">IFERROR(__xludf.DUMMYFUNCTION("""COMPUTED_VALUE"""),45351)</f>
        <v>45351</v>
      </c>
      <c r="R498" s="18"/>
      <c r="S498" s="5">
        <f ca="1">IFERROR(__xludf.DUMMYFUNCTION("""COMPUTED_VALUE"""),2)</f>
        <v>2</v>
      </c>
      <c r="T498" s="5"/>
      <c r="U498" s="5" t="str">
        <f ca="1">IFERROR(__xludf.DUMMYFUNCTION("""COMPUTED_VALUE"""),"John Edier Gomez Zuñiga")</f>
        <v>John Edier Gomez Zuñiga</v>
      </c>
      <c r="V498" s="5"/>
      <c r="W498" s="5" t="str">
        <f ca="1">IFERROR(__xludf.DUMMYFUNCTION("""COMPUTED_VALUE"""),"d-XvAnLWfB4")</f>
        <v>d-XvAnLWfB4</v>
      </c>
      <c r="X498" s="5">
        <f ca="1">IFERROR(__xludf.DUMMYFUNCTION("""COMPUTED_VALUE"""),2)</f>
        <v>2</v>
      </c>
      <c r="Y498" s="5" t="str">
        <f t="shared" si="2"/>
        <v>Actividad sin realizar</v>
      </c>
      <c r="Z498" s="3">
        <f ca="1">IFERROR(VLOOKUP(U498, 'Base de datos'!A:B, 2, FALSE), "")</f>
        <v>573003678745</v>
      </c>
      <c r="AA498" s="4" t="e">
        <f t="shared" ca="1" si="3"/>
        <v>#NAME?</v>
      </c>
    </row>
    <row r="499" spans="1:27" ht="15.75" customHeight="1">
      <c r="A499" s="5" t="str">
        <f ca="1">IFERROR(__xludf.DUMMYFUNCTION("""COMPUTED_VALUE"""),"POSTOBÓN YUMBO")</f>
        <v>POSTOBÓN YUMBO</v>
      </c>
      <c r="B499" s="5" t="str">
        <f ca="1">IFERROR(__xludf.DUMMYFUNCTION("""COMPUTED_VALUE"""),"0410-PLANTA DE AGUA ENVASADO")</f>
        <v>0410-PLANTA DE AGUA ENVASADO</v>
      </c>
      <c r="C499" s="5" t="str">
        <f ca="1">IFERROR(__xludf.DUMMYFUNCTION("""COMPUTED_VALUE"""),"TRATAMIENTO DE AGUA PARA ENVASADO")</f>
        <v>TRATAMIENTO DE AGUA PARA ENVASADO</v>
      </c>
      <c r="D499" s="5">
        <f ca="1">IFERROR(__xludf.DUMMYFUNCTION("""COMPUTED_VALUE"""),70949107)</f>
        <v>70949107</v>
      </c>
      <c r="E499" s="5" t="str">
        <f ca="1">IFERROR(__xludf.DUMMYFUNCTION("""COMPUTED_VALUE"""),"GENERADOR DE OZONO SUEZ OZONIA")</f>
        <v>GENERADOR DE OZONO SUEZ OZONIA</v>
      </c>
      <c r="F499" s="5">
        <f ca="1">IFERROR(__xludf.DUMMYFUNCTION("""COMPUTED_VALUE"""),42256)</f>
        <v>42256</v>
      </c>
      <c r="G499" s="5" t="str">
        <f ca="1">IFERROR(__xludf.DUMMYFUNCTION("""COMPUTED_VALUE"""),"PLAN MTTO ELE GENERADOR DE OZONO SUEZ OZ")</f>
        <v>PLAN MTTO ELE GENERADOR DE OZONO SUEZ OZ</v>
      </c>
      <c r="H499" s="5">
        <f ca="1">IFERROR(__xludf.DUMMYFUNCTION("""COMPUTED_VALUE"""),13193789)</f>
        <v>13193789</v>
      </c>
      <c r="I499" s="5" t="str">
        <f ca="1">IFERROR(__xludf.DUMMYFUNCTION("""COMPUTED_VALUE"""),"REVISAR ESTADO VENTILADOR")</f>
        <v>REVISAR ESTADO VENTILADOR</v>
      </c>
      <c r="J499" s="5" t="str">
        <f ca="1">IFERROR(__xludf.DUMMYFUNCTION("""COMPUTED_VALUE"""),"ALTO")</f>
        <v>ALTO</v>
      </c>
      <c r="K499" s="5" t="str">
        <f ca="1">IFERROR(__xludf.DUMMYFUNCTION("""COMPUTED_VALUE"""),"Preventivo")</f>
        <v>Preventivo</v>
      </c>
      <c r="L499" s="5" t="str">
        <f ca="1">IFERROR(__xludf.DUMMYFUNCTION("""COMPUTED_VALUE"""),"Maquinaria")</f>
        <v>Maquinaria</v>
      </c>
      <c r="M499" s="5" t="str">
        <f ca="1">IFERROR(__xludf.DUMMYFUNCTION("""COMPUTED_VALUE"""),"No")</f>
        <v>No</v>
      </c>
      <c r="N499" s="5"/>
      <c r="O499" s="5"/>
      <c r="P499" s="18">
        <f ca="1">IFERROR(__xludf.DUMMYFUNCTION("""COMPUTED_VALUE"""),45340)</f>
        <v>45340</v>
      </c>
      <c r="Q499" s="18">
        <f ca="1">IFERROR(__xludf.DUMMYFUNCTION("""COMPUTED_VALUE"""),45340)</f>
        <v>45340</v>
      </c>
      <c r="R499" s="18"/>
      <c r="S499" s="5">
        <f ca="1">IFERROR(__xludf.DUMMYFUNCTION("""COMPUTED_VALUE"""),2)</f>
        <v>2</v>
      </c>
      <c r="T499" s="5"/>
      <c r="U499" s="5" t="str">
        <f ca="1">IFERROR(__xludf.DUMMYFUNCTION("""COMPUTED_VALUE"""),"PAPAMIJA GUIDO")</f>
        <v>PAPAMIJA GUIDO</v>
      </c>
      <c r="V499" s="5"/>
      <c r="W499" s="5" t="str">
        <f ca="1">IFERROR(__xludf.DUMMYFUNCTION("""COMPUTED_VALUE"""),"HQXiB2uYaOo")</f>
        <v>HQXiB2uYaOo</v>
      </c>
      <c r="X499" s="5">
        <f ca="1">IFERROR(__xludf.DUMMYFUNCTION("""COMPUTED_VALUE"""),2)</f>
        <v>2</v>
      </c>
      <c r="Y499" s="5" t="str">
        <f t="shared" si="2"/>
        <v>Actividad sin realizar</v>
      </c>
      <c r="Z499" s="3">
        <f ca="1">IFERROR(VLOOKUP(U499, 'Base de datos'!A:B, 2, FALSE), "")</f>
        <v>573156712311</v>
      </c>
      <c r="AA499" s="4" t="e">
        <f t="shared" ca="1" si="3"/>
        <v>#NAME?</v>
      </c>
    </row>
    <row r="500" spans="1:27" ht="15.75" customHeight="1">
      <c r="A500" s="5" t="str">
        <f ca="1">IFERROR(__xludf.DUMMYFUNCTION("""COMPUTED_VALUE"""),"POSTOBÓN YUMBO")</f>
        <v>POSTOBÓN YUMBO</v>
      </c>
      <c r="B500" s="5" t="str">
        <f ca="1">IFERROR(__xludf.DUMMYFUNCTION("""COMPUTED_VALUE"""),"0410-CUARTO DE BOMBAS")</f>
        <v>0410-CUARTO DE BOMBAS</v>
      </c>
      <c r="C500" s="5" t="str">
        <f ca="1">IFERROR(__xludf.DUMMYFUNCTION("""COMPUTED_VALUE"""),"BOMBAS DE SERVICIO PROCESO")</f>
        <v>BOMBAS DE SERVICIO PROCESO</v>
      </c>
      <c r="D500" s="5">
        <f ca="1">IFERROR(__xludf.DUMMYFUNCTION("""COMPUTED_VALUE"""),70948909)</f>
        <v>70948909</v>
      </c>
      <c r="E500" s="5" t="str">
        <f ca="1">IFERROR(__xludf.DUMMYFUNCTION("""COMPUTED_VALUE"""),"BOMBA AGUA SERVICIOS PRODUCCION")</f>
        <v>BOMBA AGUA SERVICIOS PRODUCCION</v>
      </c>
      <c r="F500" s="5">
        <f ca="1">IFERROR(__xludf.DUMMYFUNCTION("""COMPUTED_VALUE"""),20722)</f>
        <v>20722</v>
      </c>
      <c r="G500" s="5" t="str">
        <f ca="1">IFERROR(__xludf.DUMMYFUNCTION("""COMPUTED_VALUE"""),"PLAN MTTO ELE BOMBA SERV PROD 70948909")</f>
        <v>PLAN MTTO ELE BOMBA SERV PROD 70948909</v>
      </c>
      <c r="H500" s="5">
        <f ca="1">IFERROR(__xludf.DUMMYFUNCTION("""COMPUTED_VALUE"""),13207388)</f>
        <v>13207388</v>
      </c>
      <c r="I500" s="5" t="str">
        <f ca="1">IFERROR(__xludf.DUMMYFUNCTION("""COMPUTED_VALUE"""),"Motor Bomba")</f>
        <v>Motor Bomba</v>
      </c>
      <c r="J500" s="5" t="str">
        <f ca="1">IFERROR(__xludf.DUMMYFUNCTION("""COMPUTED_VALUE"""),"ALTO")</f>
        <v>ALTO</v>
      </c>
      <c r="K500" s="5" t="str">
        <f ca="1">IFERROR(__xludf.DUMMYFUNCTION("""COMPUTED_VALUE"""),"Preventivo")</f>
        <v>Preventivo</v>
      </c>
      <c r="L500" s="5" t="str">
        <f ca="1">IFERROR(__xludf.DUMMYFUNCTION("""COMPUTED_VALUE"""),"Maquinaria")</f>
        <v>Maquinaria</v>
      </c>
      <c r="M500" s="5" t="str">
        <f ca="1">IFERROR(__xludf.DUMMYFUNCTION("""COMPUTED_VALUE"""),"No")</f>
        <v>No</v>
      </c>
      <c r="N500" s="5"/>
      <c r="O500" s="5"/>
      <c r="P500" s="18">
        <f ca="1">IFERROR(__xludf.DUMMYFUNCTION("""COMPUTED_VALUE"""),45351)</f>
        <v>45351</v>
      </c>
      <c r="Q500" s="18">
        <f ca="1">IFERROR(__xludf.DUMMYFUNCTION("""COMPUTED_VALUE"""),45351)</f>
        <v>45351</v>
      </c>
      <c r="R500" s="18"/>
      <c r="S500" s="5">
        <f ca="1">IFERROR(__xludf.DUMMYFUNCTION("""COMPUTED_VALUE"""),2)</f>
        <v>2</v>
      </c>
      <c r="T500" s="5"/>
      <c r="U500" s="5" t="str">
        <f ca="1">IFERROR(__xludf.DUMMYFUNCTION("""COMPUTED_VALUE"""),"John Edier Gomez Zuñiga")</f>
        <v>John Edier Gomez Zuñiga</v>
      </c>
      <c r="V500" s="5"/>
      <c r="W500" s="5" t="str">
        <f ca="1">IFERROR(__xludf.DUMMYFUNCTION("""COMPUTED_VALUE"""),"sDt1hfYrcpc")</f>
        <v>sDt1hfYrcpc</v>
      </c>
      <c r="X500" s="5">
        <f ca="1">IFERROR(__xludf.DUMMYFUNCTION("""COMPUTED_VALUE"""),2)</f>
        <v>2</v>
      </c>
      <c r="Y500" s="5" t="str">
        <f t="shared" si="2"/>
        <v>Actividad sin realizar</v>
      </c>
      <c r="Z500" s="3">
        <f ca="1">IFERROR(VLOOKUP(U500, 'Base de datos'!A:B, 2, FALSE), "")</f>
        <v>573003678745</v>
      </c>
      <c r="AA500" s="4" t="e">
        <f t="shared" ca="1" si="3"/>
        <v>#NAME?</v>
      </c>
    </row>
    <row r="501" spans="1:27" ht="15.75" customHeight="1">
      <c r="A501" s="5" t="str">
        <f ca="1">IFERROR(__xludf.DUMMYFUNCTION("""COMPUTED_VALUE"""),"POSTOBÓN YUMBO")</f>
        <v>POSTOBÓN YUMBO</v>
      </c>
      <c r="B501" s="5" t="str">
        <f ca="1">IFERROR(__xludf.DUMMYFUNCTION("""COMPUTED_VALUE"""),"0410-CUARTO DE BOMBAS")</f>
        <v>0410-CUARTO DE BOMBAS</v>
      </c>
      <c r="C501" s="5" t="str">
        <f ca="1">IFERROR(__xludf.DUMMYFUNCTION("""COMPUTED_VALUE"""),"BOMBAS DE SERVICIO PROCESO")</f>
        <v>BOMBAS DE SERVICIO PROCESO</v>
      </c>
      <c r="D501" s="5">
        <f ca="1">IFERROR(__xludf.DUMMYFUNCTION("""COMPUTED_VALUE"""),70948900)</f>
        <v>70948900</v>
      </c>
      <c r="E501" s="5" t="str">
        <f ca="1">IFERROR(__xludf.DUMMYFUNCTION("""COMPUTED_VALUE"""),"BOMBA AGUA FILTRO ARENA 6-7-10")</f>
        <v>BOMBA AGUA FILTRO ARENA 6-7-10</v>
      </c>
      <c r="F501" s="5">
        <f ca="1">IFERROR(__xludf.DUMMYFUNCTION("""COMPUTED_VALUE"""),20725)</f>
        <v>20725</v>
      </c>
      <c r="G501" s="5" t="str">
        <f ca="1">IFERROR(__xludf.DUMMYFUNCTION("""COMPUTED_VALUE"""),"PLAN MTTO ELE BOMBA AGUA SUAVIZ 70948900")</f>
        <v>PLAN MTTO ELE BOMBA AGUA SUAVIZ 70948900</v>
      </c>
      <c r="H501" s="5">
        <f ca="1">IFERROR(__xludf.DUMMYFUNCTION("""COMPUTED_VALUE"""),13207390)</f>
        <v>13207390</v>
      </c>
      <c r="I501" s="5" t="str">
        <f ca="1">IFERROR(__xludf.DUMMYFUNCTION("""COMPUTED_VALUE"""),"Motor Bomba")</f>
        <v>Motor Bomba</v>
      </c>
      <c r="J501" s="5" t="str">
        <f ca="1">IFERROR(__xludf.DUMMYFUNCTION("""COMPUTED_VALUE"""),"ALTO")</f>
        <v>ALTO</v>
      </c>
      <c r="K501" s="5" t="str">
        <f ca="1">IFERROR(__xludf.DUMMYFUNCTION("""COMPUTED_VALUE"""),"Preventivo")</f>
        <v>Preventivo</v>
      </c>
      <c r="L501" s="5" t="str">
        <f ca="1">IFERROR(__xludf.DUMMYFUNCTION("""COMPUTED_VALUE"""),"Maquinaria")</f>
        <v>Maquinaria</v>
      </c>
      <c r="M501" s="5" t="str">
        <f ca="1">IFERROR(__xludf.DUMMYFUNCTION("""COMPUTED_VALUE"""),"No")</f>
        <v>No</v>
      </c>
      <c r="N501" s="5"/>
      <c r="O501" s="5"/>
      <c r="P501" s="18">
        <f ca="1">IFERROR(__xludf.DUMMYFUNCTION("""COMPUTED_VALUE"""),45350)</f>
        <v>45350</v>
      </c>
      <c r="Q501" s="18">
        <f ca="1">IFERROR(__xludf.DUMMYFUNCTION("""COMPUTED_VALUE"""),45350)</f>
        <v>45350</v>
      </c>
      <c r="R501" s="18"/>
      <c r="S501" s="5">
        <f ca="1">IFERROR(__xludf.DUMMYFUNCTION("""COMPUTED_VALUE"""),2)</f>
        <v>2</v>
      </c>
      <c r="T501" s="5"/>
      <c r="U501" s="5" t="str">
        <f ca="1">IFERROR(__xludf.DUMMYFUNCTION("""COMPUTED_VALUE"""),"John Edier Gomez Zuñiga")</f>
        <v>John Edier Gomez Zuñiga</v>
      </c>
      <c r="V501" s="5"/>
      <c r="W501" s="5" t="str">
        <f ca="1">IFERROR(__xludf.DUMMYFUNCTION("""COMPUTED_VALUE"""),"Mq24bfF_kRA")</f>
        <v>Mq24bfF_kRA</v>
      </c>
      <c r="X501" s="5">
        <f ca="1">IFERROR(__xludf.DUMMYFUNCTION("""COMPUTED_VALUE"""),2)</f>
        <v>2</v>
      </c>
      <c r="Y501" s="5" t="str">
        <f t="shared" si="2"/>
        <v>Actividad sin realizar</v>
      </c>
      <c r="Z501" s="3">
        <f ca="1">IFERROR(VLOOKUP(U501, 'Base de datos'!A:B, 2, FALSE), "")</f>
        <v>573003678745</v>
      </c>
      <c r="AA501" s="4" t="e">
        <f t="shared" ca="1" si="3"/>
        <v>#NAME?</v>
      </c>
    </row>
    <row r="502" spans="1:27" ht="15.75" customHeight="1">
      <c r="A502" s="5" t="str">
        <f ca="1">IFERROR(__xludf.DUMMYFUNCTION("""COMPUTED_VALUE"""),"POSTOBÓN YUMBO")</f>
        <v>POSTOBÓN YUMBO</v>
      </c>
      <c r="B502" s="5" t="str">
        <f ca="1">IFERROR(__xludf.DUMMYFUNCTION("""COMPUTED_VALUE"""),"0410-LINEA 2")</f>
        <v>0410-LINEA 2</v>
      </c>
      <c r="C502" s="5" t="str">
        <f ca="1">IFERROR(__xludf.DUMMYFUNCTION("""COMPUTED_VALUE"""),"LINEA DE ENVASADO FAMILIAR Y PRB")</f>
        <v>LINEA DE ENVASADO FAMILIAR Y PRB</v>
      </c>
      <c r="D502" s="5">
        <f ca="1">IFERROR(__xludf.DUMMYFUNCTION("""COMPUTED_VALUE"""),548732)</f>
        <v>548732</v>
      </c>
      <c r="E502" s="5" t="str">
        <f ca="1">IFERROR(__xludf.DUMMYFUNCTION("""COMPUTED_VALUE"""),"DESEMPACADORA")</f>
        <v>DESEMPACADORA</v>
      </c>
      <c r="F502" s="5">
        <f ca="1">IFERROR(__xludf.DUMMYFUNCTION("""COMPUTED_VALUE"""),4322)</f>
        <v>4322</v>
      </c>
      <c r="G502" s="5" t="str">
        <f ca="1">IFERROR(__xludf.DUMMYFUNCTION("""COMPUTED_VALUE"""),"MANTTO MECANICO DESEMPACAD L2 548732")</f>
        <v>MANTTO MECANICO DESEMPACAD L2 548732</v>
      </c>
      <c r="H502" s="5">
        <f ca="1">IFERROR(__xludf.DUMMYFUNCTION("""COMPUTED_VALUE"""),13247109)</f>
        <v>13247109</v>
      </c>
      <c r="I502" s="5" t="str">
        <f ca="1">IFERROR(__xludf.DUMMYFUNCTION("""COMPUTED_VALUE"""),"Revision Sistema Neumaticos")</f>
        <v>Revision Sistema Neumaticos</v>
      </c>
      <c r="J502" s="5" t="str">
        <f ca="1">IFERROR(__xludf.DUMMYFUNCTION("""COMPUTED_VALUE"""),"MEDIO")</f>
        <v>MEDIO</v>
      </c>
      <c r="K502" s="5" t="str">
        <f ca="1">IFERROR(__xludf.DUMMYFUNCTION("""COMPUTED_VALUE"""),"Preventivo")</f>
        <v>Preventivo</v>
      </c>
      <c r="L502" s="5" t="str">
        <f ca="1">IFERROR(__xludf.DUMMYFUNCTION("""COMPUTED_VALUE"""),"Maquinaria")</f>
        <v>Maquinaria</v>
      </c>
      <c r="M502" s="5" t="str">
        <f ca="1">IFERROR(__xludf.DUMMYFUNCTION("""COMPUTED_VALUE"""),"No")</f>
        <v>No</v>
      </c>
      <c r="N502" s="5"/>
      <c r="O502" s="5"/>
      <c r="P502" s="18">
        <f ca="1">IFERROR(__xludf.DUMMYFUNCTION("""COMPUTED_VALUE"""),45339)</f>
        <v>45339</v>
      </c>
      <c r="Q502" s="18">
        <f ca="1">IFERROR(__xludf.DUMMYFUNCTION("""COMPUTED_VALUE"""),45339)</f>
        <v>45339</v>
      </c>
      <c r="R502" s="18"/>
      <c r="S502" s="5">
        <f ca="1">IFERROR(__xludf.DUMMYFUNCTION("""COMPUTED_VALUE"""),3)</f>
        <v>3</v>
      </c>
      <c r="T502" s="5"/>
      <c r="U502" s="5" t="str">
        <f ca="1">IFERROR(__xludf.DUMMYFUNCTION("""COMPUTED_VALUE"""),"Alexander Echeverry Moreno")</f>
        <v>Alexander Echeverry Moreno</v>
      </c>
      <c r="V502" s="5"/>
      <c r="W502" s="5" t="str">
        <f ca="1">IFERROR(__xludf.DUMMYFUNCTION("""COMPUTED_VALUE"""),"_V-wSq-5qis")</f>
        <v>_V-wSq-5qis</v>
      </c>
      <c r="X502" s="5">
        <f ca="1">IFERROR(__xludf.DUMMYFUNCTION("""COMPUTED_VALUE"""),3)</f>
        <v>3</v>
      </c>
      <c r="Y502" s="5" t="str">
        <f t="shared" si="2"/>
        <v>Actividad sin realizar</v>
      </c>
      <c r="Z502" s="3">
        <f ca="1">IFERROR(VLOOKUP(U502, 'Base de datos'!A:B, 2, FALSE), "")</f>
        <v>573173223149</v>
      </c>
      <c r="AA502" s="4" t="e">
        <f t="shared" ca="1" si="3"/>
        <v>#NAME?</v>
      </c>
    </row>
    <row r="503" spans="1:27" ht="15.75" customHeight="1">
      <c r="A503" s="5" t="str">
        <f ca="1">IFERROR(__xludf.DUMMYFUNCTION("""COMPUTED_VALUE"""),"POSTOBÓN YUMBO")</f>
        <v>POSTOBÓN YUMBO</v>
      </c>
      <c r="B503" s="5" t="str">
        <f ca="1">IFERROR(__xludf.DUMMYFUNCTION("""COMPUTED_VALUE"""),"0410-PLANTA DE AGUA ENVASADO")</f>
        <v>0410-PLANTA DE AGUA ENVASADO</v>
      </c>
      <c r="C503" s="5" t="str">
        <f ca="1">IFERROR(__xludf.DUMMYFUNCTION("""COMPUTED_VALUE"""),"TRATAMIENTO DE AGUA PARA ENVASADO")</f>
        <v>TRATAMIENTO DE AGUA PARA ENVASADO</v>
      </c>
      <c r="D503" s="5">
        <f ca="1">IFERROR(__xludf.DUMMYFUNCTION("""COMPUTED_VALUE"""),70948938)</f>
        <v>70948938</v>
      </c>
      <c r="E503" s="5" t="str">
        <f ca="1">IFERROR(__xludf.DUMMYFUNCTION("""COMPUTED_VALUE"""),"TANQUE SERVICIOS GRALES AGUA AUEDUCTO")</f>
        <v>TANQUE SERVICIOS GRALES AGUA AUEDUCTO</v>
      </c>
      <c r="F503" s="5">
        <f ca="1">IFERROR(__xludf.DUMMYFUNCTION("""COMPUTED_VALUE"""),22746)</f>
        <v>22746</v>
      </c>
      <c r="G503" s="5" t="str">
        <f ca="1">IFERROR(__xludf.DUMMYFUNCTION("""COMPUTED_VALUE"""),"PLAN MTTO ELE TK SERV GRAL AGUA 70948938")</f>
        <v>PLAN MTTO ELE TK SERV GRAL AGUA 70948938</v>
      </c>
      <c r="H503" s="5">
        <f ca="1">IFERROR(__xludf.DUMMYFUNCTION("""COMPUTED_VALUE"""),13193576)</f>
        <v>13193576</v>
      </c>
      <c r="I503" s="5" t="str">
        <f ca="1">IFERROR(__xludf.DUMMYFUNCTION("""COMPUTED_VALUE"""),"MEDIDOR DE NIVEL:")</f>
        <v>MEDIDOR DE NIVEL:</v>
      </c>
      <c r="J503" s="5" t="str">
        <f ca="1">IFERROR(__xludf.DUMMYFUNCTION("""COMPUTED_VALUE"""),"ALTO")</f>
        <v>ALTO</v>
      </c>
      <c r="K503" s="5" t="str">
        <f ca="1">IFERROR(__xludf.DUMMYFUNCTION("""COMPUTED_VALUE"""),"Preventivo")</f>
        <v>Preventivo</v>
      </c>
      <c r="L503" s="5" t="str">
        <f ca="1">IFERROR(__xludf.DUMMYFUNCTION("""COMPUTED_VALUE"""),"Maquinaria")</f>
        <v>Maquinaria</v>
      </c>
      <c r="M503" s="5" t="str">
        <f ca="1">IFERROR(__xludf.DUMMYFUNCTION("""COMPUTED_VALUE"""),"No")</f>
        <v>No</v>
      </c>
      <c r="N503" s="5"/>
      <c r="O503" s="5"/>
      <c r="P503" s="18">
        <f ca="1">IFERROR(__xludf.DUMMYFUNCTION("""COMPUTED_VALUE"""),45330)</f>
        <v>45330</v>
      </c>
      <c r="Q503" s="18">
        <f ca="1">IFERROR(__xludf.DUMMYFUNCTION("""COMPUTED_VALUE"""),45330)</f>
        <v>45330</v>
      </c>
      <c r="R503" s="18"/>
      <c r="S503" s="5">
        <f ca="1">IFERROR(__xludf.DUMMYFUNCTION("""COMPUTED_VALUE"""),2)</f>
        <v>2</v>
      </c>
      <c r="T503" s="5"/>
      <c r="U503" s="5" t="str">
        <f ca="1">IFERROR(__xludf.DUMMYFUNCTION("""COMPUTED_VALUE"""),"PAPAMIJA GUIDO")</f>
        <v>PAPAMIJA GUIDO</v>
      </c>
      <c r="V503" s="5"/>
      <c r="W503" s="5" t="str">
        <f ca="1">IFERROR(__xludf.DUMMYFUNCTION("""COMPUTED_VALUE"""),"hZQYR50NlxE")</f>
        <v>hZQYR50NlxE</v>
      </c>
      <c r="X503" s="5">
        <f ca="1">IFERROR(__xludf.DUMMYFUNCTION("""COMPUTED_VALUE"""),2)</f>
        <v>2</v>
      </c>
      <c r="Y503" s="5" t="str">
        <f t="shared" si="2"/>
        <v>Actividad sin realizar</v>
      </c>
      <c r="Z503" s="3">
        <f ca="1">IFERROR(VLOOKUP(U503, 'Base de datos'!A:B, 2, FALSE), "")</f>
        <v>573156712311</v>
      </c>
      <c r="AA503" s="4" t="e">
        <f t="shared" ca="1" si="3"/>
        <v>#NAME?</v>
      </c>
    </row>
    <row r="504" spans="1:27" ht="15.75" customHeight="1">
      <c r="A504" s="5" t="str">
        <f ca="1">IFERROR(__xludf.DUMMYFUNCTION("""COMPUTED_VALUE"""),"POSTOBÓN YUMBO")</f>
        <v>POSTOBÓN YUMBO</v>
      </c>
      <c r="B504" s="5" t="str">
        <f ca="1">IFERROR(__xludf.DUMMYFUNCTION("""COMPUTED_VALUE"""),"0410-SALA DE JARABE TERMINADO")</f>
        <v>0410-SALA DE JARABE TERMINADO</v>
      </c>
      <c r="C504" s="5" t="str">
        <f ca="1">IFERROR(__xludf.DUMMYFUNCTION("""COMPUTED_VALUE"""),"EQUIPOS PARA PREPARACION DE JARABE")</f>
        <v>EQUIPOS PARA PREPARACION DE JARABE</v>
      </c>
      <c r="D504" s="5">
        <f ca="1">IFERROR(__xludf.DUMMYFUNCTION("""COMPUTED_VALUE"""),69963404)</f>
        <v>69963404</v>
      </c>
      <c r="E504" s="5" t="str">
        <f ca="1">IFERROR(__xludf.DUMMYFUNCTION("""COMPUTED_VALUE"""),"TANQUE DE JARABE")</f>
        <v>TANQUE DE JARABE</v>
      </c>
      <c r="F504" s="5">
        <f ca="1">IFERROR(__xludf.DUMMYFUNCTION("""COMPUTED_VALUE"""),17361)</f>
        <v>17361</v>
      </c>
      <c r="G504" s="5" t="str">
        <f ca="1">IFERROR(__xludf.DUMMYFUNCTION("""COMPUTED_VALUE"""),"MTTO MEC TK JARABE 1 JARABE TERMINADO")</f>
        <v>MTTO MEC TK JARABE 1 JARABE TERMINADO</v>
      </c>
      <c r="H504" s="5">
        <f ca="1">IFERROR(__xludf.DUMMYFUNCTION("""COMPUTED_VALUE"""),13247146)</f>
        <v>13247146</v>
      </c>
      <c r="I504" s="5" t="str">
        <f ca="1">IFERROR(__xludf.DUMMYFUNCTION("""COMPUTED_VALUE"""),"Revisar fugas tuberias, empaques, tapas")</f>
        <v>Revisar fugas tuberias, empaques, tapas</v>
      </c>
      <c r="J504" s="5" t="str">
        <f ca="1">IFERROR(__xludf.DUMMYFUNCTION("""COMPUTED_VALUE"""),"ALTO")</f>
        <v>ALTO</v>
      </c>
      <c r="K504" s="5" t="str">
        <f ca="1">IFERROR(__xludf.DUMMYFUNCTION("""COMPUTED_VALUE"""),"Preventivo")</f>
        <v>Preventivo</v>
      </c>
      <c r="L504" s="5" t="str">
        <f ca="1">IFERROR(__xludf.DUMMYFUNCTION("""COMPUTED_VALUE"""),"Maquinaria")</f>
        <v>Maquinaria</v>
      </c>
      <c r="M504" s="5" t="str">
        <f ca="1">IFERROR(__xludf.DUMMYFUNCTION("""COMPUTED_VALUE"""),"No")</f>
        <v>No</v>
      </c>
      <c r="N504" s="5"/>
      <c r="O504" s="5">
        <f ca="1">IFERROR(__xludf.DUMMYFUNCTION("""COMPUTED_VALUE"""),100)</f>
        <v>100</v>
      </c>
      <c r="P504" s="18">
        <f ca="1">IFERROR(__xludf.DUMMYFUNCTION("""COMPUTED_VALUE"""),45342)</f>
        <v>45342</v>
      </c>
      <c r="Q504" s="18">
        <f ca="1">IFERROR(__xludf.DUMMYFUNCTION("""COMPUTED_VALUE"""),45342)</f>
        <v>45342</v>
      </c>
      <c r="R504" s="18"/>
      <c r="S504" s="5">
        <f ca="1">IFERROR(__xludf.DUMMYFUNCTION("""COMPUTED_VALUE"""),0.5)</f>
        <v>0.5</v>
      </c>
      <c r="T504" s="5"/>
      <c r="U504" s="5" t="str">
        <f ca="1">IFERROR(__xludf.DUMMYFUNCTION("""COMPUTED_VALUE"""),"Moreno Pernia Bladimir")</f>
        <v>Moreno Pernia Bladimir</v>
      </c>
      <c r="V504" s="5"/>
      <c r="W504" s="5" t="str">
        <f ca="1">IFERROR(__xludf.DUMMYFUNCTION("""COMPUTED_VALUE"""),"8QF2CLtHCJE")</f>
        <v>8QF2CLtHCJE</v>
      </c>
      <c r="X504" s="5">
        <f ca="1">IFERROR(__xludf.DUMMYFUNCTION("""COMPUTED_VALUE"""),0.5)</f>
        <v>0.5</v>
      </c>
      <c r="Y504" s="5" t="str">
        <f t="shared" ca="1" si="2"/>
        <v>Actividad realizada</v>
      </c>
      <c r="Z504" s="3">
        <f ca="1">IFERROR(VLOOKUP(U504, 'Base de datos'!A:B, 2, FALSE), "")</f>
        <v>573148903137</v>
      </c>
      <c r="AA504" s="4" t="e">
        <f t="shared" ca="1" si="3"/>
        <v>#NAME?</v>
      </c>
    </row>
    <row r="505" spans="1:27" ht="15.75" customHeight="1">
      <c r="A505" s="5" t="str">
        <f ca="1">IFERROR(__xludf.DUMMYFUNCTION("""COMPUTED_VALUE"""),"POSTOBÓN YUMBO")</f>
        <v>POSTOBÓN YUMBO</v>
      </c>
      <c r="B505" s="5" t="str">
        <f ca="1">IFERROR(__xludf.DUMMYFUNCTION("""COMPUTED_VALUE"""),"0410-ENVASADO JUGOS PET HOT F")</f>
        <v>0410-ENVASADO JUGOS PET HOT F</v>
      </c>
      <c r="C505" s="5" t="str">
        <f ca="1">IFERROR(__xludf.DUMMYFUNCTION("""COMPUTED_VALUE"""),"LINEA DE ENVASADO JUGOS PET HOT FILL")</f>
        <v>LINEA DE ENVASADO JUGOS PET HOT FILL</v>
      </c>
      <c r="D505" s="5">
        <f ca="1">IFERROR(__xludf.DUMMYFUNCTION("""COMPUTED_VALUE"""),579063)</f>
        <v>579063</v>
      </c>
      <c r="E505" s="5" t="str">
        <f ca="1">IFERROR(__xludf.DUMMYFUNCTION("""COMPUTED_VALUE"""),"PALETIZADORA MODUPAL 2A")</f>
        <v>PALETIZADORA MODUPAL 2A</v>
      </c>
      <c r="F505" s="5">
        <f ca="1">IFERROR(__xludf.DUMMYFUNCTION("""COMPUTED_VALUE"""),37859)</f>
        <v>37859</v>
      </c>
      <c r="G505" s="5" t="str">
        <f ca="1">IFERROR(__xludf.DUMMYFUNCTION("""COMPUTED_VALUE"""),"INSPECCION SEMANAL PALETIZADORA MODUPAL")</f>
        <v>INSPECCION SEMANAL PALETIZADORA MODUPAL</v>
      </c>
      <c r="H505" s="5">
        <f ca="1">IFERROR(__xludf.DUMMYFUNCTION("""COMPUTED_VALUE"""),13174608)</f>
        <v>13174608</v>
      </c>
      <c r="I505" s="5" t="str">
        <f ca="1">IFERROR(__xludf.DUMMYFUNCTION("""COMPUTED_VALUE"""),"Cambio de sensor")</f>
        <v>Cambio de sensor</v>
      </c>
      <c r="J505" s="5" t="str">
        <f ca="1">IFERROR(__xludf.DUMMYFUNCTION("""COMPUTED_VALUE"""),"MEDIO")</f>
        <v>MEDIO</v>
      </c>
      <c r="K505" s="5" t="str">
        <f ca="1">IFERROR(__xludf.DUMMYFUNCTION("""COMPUTED_VALUE"""),"Preventivo")</f>
        <v>Preventivo</v>
      </c>
      <c r="L505" s="5" t="str">
        <f ca="1">IFERROR(__xludf.DUMMYFUNCTION("""COMPUTED_VALUE"""),"Maquinaria")</f>
        <v>Maquinaria</v>
      </c>
      <c r="M505" s="5" t="str">
        <f ca="1">IFERROR(__xludf.DUMMYFUNCTION("""COMPUTED_VALUE"""),"No")</f>
        <v>No</v>
      </c>
      <c r="N505" s="5"/>
      <c r="O505" s="5"/>
      <c r="P505" s="18">
        <f ca="1">IFERROR(__xludf.DUMMYFUNCTION("""COMPUTED_VALUE"""),45325)</f>
        <v>45325</v>
      </c>
      <c r="Q505" s="18">
        <f ca="1">IFERROR(__xludf.DUMMYFUNCTION("""COMPUTED_VALUE"""),45325)</f>
        <v>45325</v>
      </c>
      <c r="R505" s="18"/>
      <c r="S505" s="5">
        <f ca="1">IFERROR(__xludf.DUMMYFUNCTION("""COMPUTED_VALUE"""),1)</f>
        <v>1</v>
      </c>
      <c r="T505" s="5"/>
      <c r="U505" s="5" t="str">
        <f ca="1">IFERROR(__xludf.DUMMYFUNCTION("""COMPUTED_VALUE"""),"Martinez Delgado Osver")</f>
        <v>Martinez Delgado Osver</v>
      </c>
      <c r="V505" s="5"/>
      <c r="W505" s="5" t="str">
        <f ca="1">IFERROR(__xludf.DUMMYFUNCTION("""COMPUTED_VALUE"""),"jHkpZoH43Vk")</f>
        <v>jHkpZoH43Vk</v>
      </c>
      <c r="X505" s="5">
        <f ca="1">IFERROR(__xludf.DUMMYFUNCTION("""COMPUTED_VALUE"""),1)</f>
        <v>1</v>
      </c>
      <c r="Y505" s="5" t="str">
        <f t="shared" si="2"/>
        <v>Actividad sin realizar</v>
      </c>
      <c r="Z505" s="3">
        <f ca="1">IFERROR(VLOOKUP(U505, 'Base de datos'!A:B, 2, FALSE), "")</f>
        <v>573104055117</v>
      </c>
      <c r="AA505" s="4" t="e">
        <f t="shared" ca="1" si="3"/>
        <v>#NAME?</v>
      </c>
    </row>
    <row r="506" spans="1:27" ht="15.75" customHeight="1">
      <c r="A506" s="5" t="str">
        <f ca="1">IFERROR(__xludf.DUMMYFUNCTION("""COMPUTED_VALUE"""),"POSTOBÓN YUMBO")</f>
        <v>POSTOBÓN YUMBO</v>
      </c>
      <c r="B506" s="5" t="str">
        <f ca="1">IFERROR(__xludf.DUMMYFUNCTION("""COMPUTED_VALUE"""),"0410-LINEA PET CSD")</f>
        <v>0410-LINEA PET CSD</v>
      </c>
      <c r="C506" s="5" t="str">
        <f ca="1">IFERROR(__xludf.DUMMYFUNCTION("""COMPUTED_VALUE"""),"LINEA PET CSD - LINEA 10")</f>
        <v>LINEA PET CSD - LINEA 10</v>
      </c>
      <c r="D506" s="5">
        <f ca="1">IFERROR(__xludf.DUMMYFUNCTION("""COMPUTED_VALUE"""),519561)</f>
        <v>519561</v>
      </c>
      <c r="E506" s="5" t="str">
        <f ca="1">IFERROR(__xludf.DUMMYFUNCTION("""COMPUTED_VALUE"""),"LLENADORA DE BOTELLAS PET 162 VALVULAS")</f>
        <v>LLENADORA DE BOTELLAS PET 162 VALVULAS</v>
      </c>
      <c r="F506" s="5">
        <f ca="1">IFERROR(__xludf.DUMMYFUNCTION("""COMPUTED_VALUE"""),25366)</f>
        <v>25366</v>
      </c>
      <c r="G506" s="5" t="str">
        <f ca="1">IFERROR(__xludf.DUMMYFUNCTION("""COMPUTED_VALUE"""),"PLAN MTTO LUB LLENADORA CSD")</f>
        <v>PLAN MTTO LUB LLENADORA CSD</v>
      </c>
      <c r="H506" s="5">
        <f ca="1">IFERROR(__xludf.DUMMYFUNCTION("""COMPUTED_VALUE"""),13232384)</f>
        <v>13232384</v>
      </c>
      <c r="I506" s="5" t="str">
        <f ca="1">IFERROR(__xludf.DUMMYFUNCTION("""COMPUTED_VALUE"""),"Unidad Filtradora aceite")</f>
        <v>Unidad Filtradora aceite</v>
      </c>
      <c r="J506" s="5" t="str">
        <f ca="1">IFERROR(__xludf.DUMMYFUNCTION("""COMPUTED_VALUE"""),"ALTO")</f>
        <v>ALTO</v>
      </c>
      <c r="K506" s="5" t="str">
        <f ca="1">IFERROR(__xludf.DUMMYFUNCTION("""COMPUTED_VALUE"""),"Preventivo")</f>
        <v>Preventivo</v>
      </c>
      <c r="L506" s="5" t="str">
        <f ca="1">IFERROR(__xludf.DUMMYFUNCTION("""COMPUTED_VALUE"""),"Maquinaria")</f>
        <v>Maquinaria</v>
      </c>
      <c r="M506" s="5" t="str">
        <f ca="1">IFERROR(__xludf.DUMMYFUNCTION("""COMPUTED_VALUE"""),"No")</f>
        <v>No</v>
      </c>
      <c r="N506" s="5"/>
      <c r="O506" s="5">
        <f ca="1">IFERROR(__xludf.DUMMYFUNCTION("""COMPUTED_VALUE"""),100)</f>
        <v>100</v>
      </c>
      <c r="P506" s="18">
        <f ca="1">IFERROR(__xludf.DUMMYFUNCTION("""COMPUTED_VALUE"""),45328)</f>
        <v>45328</v>
      </c>
      <c r="Q506" s="18">
        <f ca="1">IFERROR(__xludf.DUMMYFUNCTION("""COMPUTED_VALUE"""),45328)</f>
        <v>45328</v>
      </c>
      <c r="R506" s="18"/>
      <c r="S506" s="5">
        <f ca="1">IFERROR(__xludf.DUMMYFUNCTION("""COMPUTED_VALUE"""),1)</f>
        <v>1</v>
      </c>
      <c r="T506" s="5"/>
      <c r="U506" s="5" t="str">
        <f ca="1">IFERROR(__xludf.DUMMYFUNCTION("""COMPUTED_VALUE"""),"Duran Sanchez Nelson Fernando")</f>
        <v>Duran Sanchez Nelson Fernando</v>
      </c>
      <c r="V506" s="5"/>
      <c r="W506" s="5" t="str">
        <f ca="1">IFERROR(__xludf.DUMMYFUNCTION("""COMPUTED_VALUE"""),"gDMM4DogprY")</f>
        <v>gDMM4DogprY</v>
      </c>
      <c r="X506" s="5">
        <f ca="1">IFERROR(__xludf.DUMMYFUNCTION("""COMPUTED_VALUE"""),1)</f>
        <v>1</v>
      </c>
      <c r="Y506" s="5" t="str">
        <f t="shared" ca="1" si="2"/>
        <v>Actividad realizada</v>
      </c>
      <c r="Z506" s="3">
        <f ca="1">IFERROR(VLOOKUP(U506, 'Base de datos'!A:B, 2, FALSE), "")</f>
        <v>573187183243</v>
      </c>
      <c r="AA506" s="4" t="e">
        <f t="shared" ca="1" si="3"/>
        <v>#NAME?</v>
      </c>
    </row>
    <row r="507" spans="1:27" ht="15.75" customHeight="1">
      <c r="A507" s="5" t="str">
        <f ca="1">IFERROR(__xludf.DUMMYFUNCTION("""COMPUTED_VALUE"""),"POSTOBÓN YUMBO")</f>
        <v>POSTOBÓN YUMBO</v>
      </c>
      <c r="B507" s="5" t="str">
        <f ca="1">IFERROR(__xludf.DUMMYFUNCTION("""COMPUTED_VALUE"""),"0410-LINEA 2")</f>
        <v>0410-LINEA 2</v>
      </c>
      <c r="C507" s="5" t="str">
        <f ca="1">IFERROR(__xludf.DUMMYFUNCTION("""COMPUTED_VALUE"""),"LINEA DE ENVASADO FAMILIAR Y PRB")</f>
        <v>LINEA DE ENVASADO FAMILIAR Y PRB</v>
      </c>
      <c r="D507" s="5">
        <f ca="1">IFERROR(__xludf.DUMMYFUNCTION("""COMPUTED_VALUE"""),82964402)</f>
        <v>82964402</v>
      </c>
      <c r="E507" s="5" t="str">
        <f ca="1">IFERROR(__xludf.DUMMYFUNCTION("""COMPUTED_VALUE"""),"CODIFICADOR L2")</f>
        <v>CODIFICADOR L2</v>
      </c>
      <c r="F507" s="5">
        <f ca="1">IFERROR(__xludf.DUMMYFUNCTION("""COMPUTED_VALUE"""),46430)</f>
        <v>46430</v>
      </c>
      <c r="G507" s="5" t="str">
        <f ca="1">IFERROR(__xludf.DUMMYFUNCTION("""COMPUTED_VALUE"""),"PLAN MTTO MEC CODIFICADOR L2 82964402")</f>
        <v>PLAN MTTO MEC CODIFICADOR L2 82964402</v>
      </c>
      <c r="H507" s="5">
        <f ca="1">IFERROR(__xludf.DUMMYFUNCTION("""COMPUTED_VALUE"""),13247849)</f>
        <v>13247849</v>
      </c>
      <c r="I507" s="5" t="str">
        <f ca="1">IFERROR(__xludf.DUMMYFUNCTION("""COMPUTED_VALUE"""),"Revision sistema neumatico")</f>
        <v>Revision sistema neumatico</v>
      </c>
      <c r="J507" s="5" t="str">
        <f ca="1">IFERROR(__xludf.DUMMYFUNCTION("""COMPUTED_VALUE"""),"ALTO")</f>
        <v>ALTO</v>
      </c>
      <c r="K507" s="5" t="str">
        <f ca="1">IFERROR(__xludf.DUMMYFUNCTION("""COMPUTED_VALUE"""),"Preventivo")</f>
        <v>Preventivo</v>
      </c>
      <c r="L507" s="5" t="str">
        <f ca="1">IFERROR(__xludf.DUMMYFUNCTION("""COMPUTED_VALUE"""),"Maquinaria")</f>
        <v>Maquinaria</v>
      </c>
      <c r="M507" s="5" t="str">
        <f ca="1">IFERROR(__xludf.DUMMYFUNCTION("""COMPUTED_VALUE"""),"No")</f>
        <v>No</v>
      </c>
      <c r="N507" s="5"/>
      <c r="O507" s="5"/>
      <c r="P507" s="18">
        <f ca="1">IFERROR(__xludf.DUMMYFUNCTION("""COMPUTED_VALUE"""),45331)</f>
        <v>45331</v>
      </c>
      <c r="Q507" s="18">
        <f ca="1">IFERROR(__xludf.DUMMYFUNCTION("""COMPUTED_VALUE"""),45331)</f>
        <v>45331</v>
      </c>
      <c r="R507" s="18"/>
      <c r="S507" s="5">
        <f ca="1">IFERROR(__xludf.DUMMYFUNCTION("""COMPUTED_VALUE"""),0.5)</f>
        <v>0.5</v>
      </c>
      <c r="T507" s="5"/>
      <c r="U507" s="5" t="str">
        <f ca="1">IFERROR(__xludf.DUMMYFUNCTION("""COMPUTED_VALUE"""),"Andrés Felipe Pérez Polania")</f>
        <v>Andrés Felipe Pérez Polania</v>
      </c>
      <c r="V507" s="5"/>
      <c r="W507" s="5" t="str">
        <f ca="1">IFERROR(__xludf.DUMMYFUNCTION("""COMPUTED_VALUE"""),"VOoIgK49c44")</f>
        <v>VOoIgK49c44</v>
      </c>
      <c r="X507" s="5">
        <f ca="1">IFERROR(__xludf.DUMMYFUNCTION("""COMPUTED_VALUE"""),0.5)</f>
        <v>0.5</v>
      </c>
      <c r="Y507" s="5" t="str">
        <f t="shared" si="2"/>
        <v>Actividad sin realizar</v>
      </c>
      <c r="Z507" s="3">
        <f ca="1">IFERROR(VLOOKUP(U507, 'Base de datos'!A:B, 2, FALSE), "")</f>
        <v>573186924079</v>
      </c>
      <c r="AA507" s="4" t="e">
        <f t="shared" ca="1" si="3"/>
        <v>#NAME?</v>
      </c>
    </row>
    <row r="508" spans="1:27" ht="15.75" customHeight="1">
      <c r="A508" s="5" t="str">
        <f ca="1">IFERROR(__xludf.DUMMYFUNCTION("""COMPUTED_VALUE"""),"POSTOBÓN YUMBO")</f>
        <v>POSTOBÓN YUMBO</v>
      </c>
      <c r="B508" s="5" t="str">
        <f ca="1">IFERROR(__xludf.DUMMYFUNCTION("""COMPUTED_VALUE"""),"0410-ENVASADO JUGOS PET HOT F")</f>
        <v>0410-ENVASADO JUGOS PET HOT F</v>
      </c>
      <c r="C508" s="5" t="str">
        <f ca="1">IFERROR(__xludf.DUMMYFUNCTION("""COMPUTED_VALUE"""),"LINEA DE ENVASADO JUGOS PET HOT FILL")</f>
        <v>LINEA DE ENVASADO JUGOS PET HOT FILL</v>
      </c>
      <c r="D508" s="5">
        <f ca="1">IFERROR(__xludf.DUMMYFUNCTION("""COMPUTED_VALUE"""),900303)</f>
        <v>900303</v>
      </c>
      <c r="E508" s="5" t="str">
        <f ca="1">IFERROR(__xludf.DUMMYFUNCTION("""COMPUTED_VALUE"""),"LLENADORA")</f>
        <v>LLENADORA</v>
      </c>
      <c r="F508" s="5">
        <f ca="1">IFERROR(__xludf.DUMMYFUNCTION("""COMPUTED_VALUE"""),14085)</f>
        <v>14085</v>
      </c>
      <c r="G508" s="5" t="str">
        <f ca="1">IFERROR(__xludf.DUMMYFUNCTION("""COMPUTED_VALUE"""),"MANTENIMIENTO ELEC LLENADORA L8 90030")</f>
        <v>MANTENIMIENTO ELEC LLENADORA L8 90030</v>
      </c>
      <c r="H508" s="5">
        <f ca="1">IFERROR(__xludf.DUMMYFUNCTION("""COMPUTED_VALUE"""),13226501)</f>
        <v>13226501</v>
      </c>
      <c r="I508" s="5" t="str">
        <f ca="1">IFERROR(__xludf.DUMMYFUNCTION("""COMPUTED_VALUE"""),"Mtto climatizador tableros decontrol:")</f>
        <v>Mtto climatizador tableros decontrol:</v>
      </c>
      <c r="J508" s="5" t="str">
        <f ca="1">IFERROR(__xludf.DUMMYFUNCTION("""COMPUTED_VALUE"""),"ALTO")</f>
        <v>ALTO</v>
      </c>
      <c r="K508" s="5" t="str">
        <f ca="1">IFERROR(__xludf.DUMMYFUNCTION("""COMPUTED_VALUE"""),"Preventivo")</f>
        <v>Preventivo</v>
      </c>
      <c r="L508" s="5" t="str">
        <f ca="1">IFERROR(__xludf.DUMMYFUNCTION("""COMPUTED_VALUE"""),"Maquinaria")</f>
        <v>Maquinaria</v>
      </c>
      <c r="M508" s="5" t="str">
        <f ca="1">IFERROR(__xludf.DUMMYFUNCTION("""COMPUTED_VALUE"""),"No")</f>
        <v>No</v>
      </c>
      <c r="N508" s="5"/>
      <c r="O508" s="5"/>
      <c r="P508" s="18">
        <f ca="1">IFERROR(__xludf.DUMMYFUNCTION("""COMPUTED_VALUE"""),45323)</f>
        <v>45323</v>
      </c>
      <c r="Q508" s="18">
        <f ca="1">IFERROR(__xludf.DUMMYFUNCTION("""COMPUTED_VALUE"""),45323)</f>
        <v>45323</v>
      </c>
      <c r="R508" s="18"/>
      <c r="S508" s="5">
        <f ca="1">IFERROR(__xludf.DUMMYFUNCTION("""COMPUTED_VALUE"""),3)</f>
        <v>3</v>
      </c>
      <c r="T508" s="5"/>
      <c r="U508" s="5" t="str">
        <f ca="1">IFERROR(__xludf.DUMMYFUNCTION("""COMPUTED_VALUE"""),"Franco Castillo Brayan Steven")</f>
        <v>Franco Castillo Brayan Steven</v>
      </c>
      <c r="V508" s="5"/>
      <c r="W508" s="5" t="str">
        <f ca="1">IFERROR(__xludf.DUMMYFUNCTION("""COMPUTED_VALUE"""),"GpWYkqCOs8A")</f>
        <v>GpWYkqCOs8A</v>
      </c>
      <c r="X508" s="5">
        <f ca="1">IFERROR(__xludf.DUMMYFUNCTION("""COMPUTED_VALUE"""),3)</f>
        <v>3</v>
      </c>
      <c r="Y508" s="5" t="str">
        <f t="shared" si="2"/>
        <v>Actividad sin realizar</v>
      </c>
      <c r="Z508" s="3">
        <f ca="1">IFERROR(VLOOKUP(U508, 'Base de datos'!A:B, 2, FALSE), "")</f>
        <v>573053427911</v>
      </c>
      <c r="AA508" s="4" t="e">
        <f t="shared" ca="1" si="3"/>
        <v>#NAME?</v>
      </c>
    </row>
    <row r="509" spans="1:27" ht="15.75" customHeight="1">
      <c r="A509" s="5" t="str">
        <f ca="1">IFERROR(__xludf.DUMMYFUNCTION("""COMPUTED_VALUE"""),"POSTOBÓN YUMBO")</f>
        <v>POSTOBÓN YUMBO</v>
      </c>
      <c r="B509" s="5" t="str">
        <f ca="1">IFERROR(__xludf.DUMMYFUNCTION("""COMPUTED_VALUE"""),"0410-LINEA 2")</f>
        <v>0410-LINEA 2</v>
      </c>
      <c r="C509" s="5" t="str">
        <f ca="1">IFERROR(__xludf.DUMMYFUNCTION("""COMPUTED_VALUE"""),"LINEA DE ENVASADO FAMILIAR Y PRB")</f>
        <v>LINEA DE ENVASADO FAMILIAR Y PRB</v>
      </c>
      <c r="D509" s="5">
        <f ca="1">IFERROR(__xludf.DUMMYFUNCTION("""COMPUTED_VALUE"""),82964402)</f>
        <v>82964402</v>
      </c>
      <c r="E509" s="5" t="str">
        <f ca="1">IFERROR(__xludf.DUMMYFUNCTION("""COMPUTED_VALUE"""),"CODIFICADOR L2")</f>
        <v>CODIFICADOR L2</v>
      </c>
      <c r="F509" s="5">
        <f ca="1">IFERROR(__xludf.DUMMYFUNCTION("""COMPUTED_VALUE"""),46430)</f>
        <v>46430</v>
      </c>
      <c r="G509" s="5" t="str">
        <f ca="1">IFERROR(__xludf.DUMMYFUNCTION("""COMPUTED_VALUE"""),"PLAN MTTO ELE CODIFICADOR L2 82964402")</f>
        <v>PLAN MTTO ELE CODIFICADOR L2 82964402</v>
      </c>
      <c r="H509" s="5">
        <f ca="1">IFERROR(__xludf.DUMMYFUNCTION("""COMPUTED_VALUE"""),13247850)</f>
        <v>13247850</v>
      </c>
      <c r="I509" s="5" t="str">
        <f ca="1">IFERROR(__xludf.DUMMYFUNCTION("""COMPUTED_VALUE"""),"Revision de fotocelda")</f>
        <v>Revision de fotocelda</v>
      </c>
      <c r="J509" s="5" t="str">
        <f ca="1">IFERROR(__xludf.DUMMYFUNCTION("""COMPUTED_VALUE"""),"ALTO")</f>
        <v>ALTO</v>
      </c>
      <c r="K509" s="5" t="str">
        <f ca="1">IFERROR(__xludf.DUMMYFUNCTION("""COMPUTED_VALUE"""),"Preventivo")</f>
        <v>Preventivo</v>
      </c>
      <c r="L509" s="5" t="str">
        <f ca="1">IFERROR(__xludf.DUMMYFUNCTION("""COMPUTED_VALUE"""),"Maquinaria")</f>
        <v>Maquinaria</v>
      </c>
      <c r="M509" s="5" t="str">
        <f ca="1">IFERROR(__xludf.DUMMYFUNCTION("""COMPUTED_VALUE"""),"No")</f>
        <v>No</v>
      </c>
      <c r="N509" s="5"/>
      <c r="O509" s="5"/>
      <c r="P509" s="18">
        <f ca="1">IFERROR(__xludf.DUMMYFUNCTION("""COMPUTED_VALUE"""),45331)</f>
        <v>45331</v>
      </c>
      <c r="Q509" s="18">
        <f ca="1">IFERROR(__xludf.DUMMYFUNCTION("""COMPUTED_VALUE"""),45331)</f>
        <v>45331</v>
      </c>
      <c r="R509" s="18"/>
      <c r="S509" s="5">
        <f ca="1">IFERROR(__xludf.DUMMYFUNCTION("""COMPUTED_VALUE"""),0.5)</f>
        <v>0.5</v>
      </c>
      <c r="T509" s="5"/>
      <c r="U509" s="5" t="str">
        <f ca="1">IFERROR(__xludf.DUMMYFUNCTION("""COMPUTED_VALUE"""),"Andrés Felipe Pérez Polania")</f>
        <v>Andrés Felipe Pérez Polania</v>
      </c>
      <c r="V509" s="5"/>
      <c r="W509" s="5" t="str">
        <f ca="1">IFERROR(__xludf.DUMMYFUNCTION("""COMPUTED_VALUE"""),"vyf8YpZ_JUI")</f>
        <v>vyf8YpZ_JUI</v>
      </c>
      <c r="X509" s="5">
        <f ca="1">IFERROR(__xludf.DUMMYFUNCTION("""COMPUTED_VALUE"""),0.5)</f>
        <v>0.5</v>
      </c>
      <c r="Y509" s="5" t="str">
        <f t="shared" si="2"/>
        <v>Actividad sin realizar</v>
      </c>
      <c r="Z509" s="3">
        <f ca="1">IFERROR(VLOOKUP(U509, 'Base de datos'!A:B, 2, FALSE), "")</f>
        <v>573186924079</v>
      </c>
      <c r="AA509" s="4" t="e">
        <f t="shared" ca="1" si="3"/>
        <v>#NAME?</v>
      </c>
    </row>
    <row r="510" spans="1:27" ht="15.75" customHeight="1">
      <c r="A510" s="5" t="str">
        <f ca="1">IFERROR(__xludf.DUMMYFUNCTION("""COMPUTED_VALUE"""),"POSTOBÓN YUMBO")</f>
        <v>POSTOBÓN YUMBO</v>
      </c>
      <c r="B510" s="5" t="str">
        <f ca="1">IFERROR(__xludf.DUMMYFUNCTION("""COMPUTED_VALUE"""),"0410-PREPARACION JUGOS HOT F")</f>
        <v>0410-PREPARACION JUGOS HOT F</v>
      </c>
      <c r="C510" s="5" t="str">
        <f ca="1">IFERROR(__xludf.DUMMYFUNCTION("""COMPUTED_VALUE"""),"SALA DE PREPARACION JUGOS HOT FILL")</f>
        <v>SALA DE PREPARACION JUGOS HOT FILL</v>
      </c>
      <c r="D510" s="5">
        <f ca="1">IFERROR(__xludf.DUMMYFUNCTION("""COMPUTED_VALUE"""),90030213)</f>
        <v>90030213</v>
      </c>
      <c r="E510" s="5" t="str">
        <f ca="1">IFERROR(__xludf.DUMMYFUNCTION("""COMPUTED_VALUE"""),"VOLTEADOR DE PULPAS")</f>
        <v>VOLTEADOR DE PULPAS</v>
      </c>
      <c r="F510" s="5">
        <f ca="1">IFERROR(__xludf.DUMMYFUNCTION("""COMPUTED_VALUE"""),0)</f>
        <v>0</v>
      </c>
      <c r="G510" s="5" t="str">
        <f ca="1">IFERROR(__xludf.DUMMYFUNCTION("""COMPUTED_VALUE"""),"CONSUMO LUB VOLTEADOR PULPAS")</f>
        <v>CONSUMO LUB VOLTEADOR PULPAS</v>
      </c>
      <c r="H510" s="5">
        <f ca="1">IFERROR(__xludf.DUMMYFUNCTION("""COMPUTED_VALUE"""),13230958)</f>
        <v>13230958</v>
      </c>
      <c r="I510" s="5" t="str">
        <f ca="1">IFERROR(__xludf.DUMMYFUNCTION("""COMPUTED_VALUE"""),"CONSUMO LUB VOLTEADOR PULPAS")</f>
        <v>CONSUMO LUB VOLTEADOR PULPAS</v>
      </c>
      <c r="J510" s="5" t="str">
        <f ca="1">IFERROR(__xludf.DUMMYFUNCTION("""COMPUTED_VALUE"""),"ALTO")</f>
        <v>ALTO</v>
      </c>
      <c r="K510" s="5" t="str">
        <f ca="1">IFERROR(__xludf.DUMMYFUNCTION("""COMPUTED_VALUE"""),"Preventivo")</f>
        <v>Preventivo</v>
      </c>
      <c r="L510" s="5" t="str">
        <f ca="1">IFERROR(__xludf.DUMMYFUNCTION("""COMPUTED_VALUE"""),"Maquinaria")</f>
        <v>Maquinaria</v>
      </c>
      <c r="M510" s="5" t="str">
        <f ca="1">IFERROR(__xludf.DUMMYFUNCTION("""COMPUTED_VALUE"""),"No")</f>
        <v>No</v>
      </c>
      <c r="N510" s="5"/>
      <c r="O510" s="5"/>
      <c r="P510" s="18">
        <f ca="1">IFERROR(__xludf.DUMMYFUNCTION("""COMPUTED_VALUE"""),45325)</f>
        <v>45325</v>
      </c>
      <c r="Q510" s="18">
        <f ca="1">IFERROR(__xludf.DUMMYFUNCTION("""COMPUTED_VALUE"""),45325)</f>
        <v>45325</v>
      </c>
      <c r="R510" s="18"/>
      <c r="S510" s="5">
        <f ca="1">IFERROR(__xludf.DUMMYFUNCTION("""COMPUTED_VALUE"""),1)</f>
        <v>1</v>
      </c>
      <c r="T510" s="5"/>
      <c r="U510" s="5" t="str">
        <f ca="1">IFERROR(__xludf.DUMMYFUNCTION("""COMPUTED_VALUE"""),"Arango Guzman Cristian Raul")</f>
        <v>Arango Guzman Cristian Raul</v>
      </c>
      <c r="V510" s="5"/>
      <c r="W510" s="5" t="str">
        <f ca="1">IFERROR(__xludf.DUMMYFUNCTION("""COMPUTED_VALUE"""),"eiooDSs5hKw")</f>
        <v>eiooDSs5hKw</v>
      </c>
      <c r="X510" s="5">
        <f ca="1">IFERROR(__xludf.DUMMYFUNCTION("""COMPUTED_VALUE"""),1)</f>
        <v>1</v>
      </c>
      <c r="Y510" s="5" t="str">
        <f t="shared" si="2"/>
        <v>Actividad sin realizar</v>
      </c>
      <c r="Z510" s="3" t="str">
        <f ca="1">IFERROR(VLOOKUP(U510, 'Base de datos'!A:B, 2, FALSE), "")</f>
        <v/>
      </c>
      <c r="AA510" s="4" t="e">
        <f t="shared" ca="1" si="3"/>
        <v>#NAME?</v>
      </c>
    </row>
    <row r="511" spans="1:27" ht="15.75" customHeight="1">
      <c r="A511" s="5" t="str">
        <f ca="1">IFERROR(__xludf.DUMMYFUNCTION("""COMPUTED_VALUE"""),"POSTOBÓN YUMBO")</f>
        <v>POSTOBÓN YUMBO</v>
      </c>
      <c r="B511" s="5" t="str">
        <f ca="1">IFERROR(__xludf.DUMMYFUNCTION("""COMPUTED_VALUE"""),"0410-EQUIPOS AUXILIARES")</f>
        <v>0410-EQUIPOS AUXILIARES</v>
      </c>
      <c r="C511" s="5" t="str">
        <f ca="1">IFERROR(__xludf.DUMMYFUNCTION("""COMPUTED_VALUE"""),"EQUIPOS PARA SERVICIOS INDUSTRIALES")</f>
        <v>EQUIPOS PARA SERVICIOS INDUSTRIALES</v>
      </c>
      <c r="D511" s="5">
        <f ca="1">IFERROR(__xludf.DUMMYFUNCTION("""COMPUTED_VALUE"""),628832)</f>
        <v>628832</v>
      </c>
      <c r="E511" s="5" t="str">
        <f ca="1">IFERROR(__xludf.DUMMYFUNCTION("""COMPUTED_VALUE"""),"COMPRESOR DE REFRIGERACION")</f>
        <v>COMPRESOR DE REFRIGERACION</v>
      </c>
      <c r="F511" s="5">
        <f ca="1">IFERROR(__xludf.DUMMYFUNCTION("""COMPUTED_VALUE"""),0)</f>
        <v>0</v>
      </c>
      <c r="G511" s="5" t="str">
        <f ca="1">IFERROR(__xludf.DUMMYFUNCTION("""COMPUTED_VALUE"""),"CONSUMO LUB COMPRESOR RECIPROCANTE 1")</f>
        <v>CONSUMO LUB COMPRESOR RECIPROCANTE 1</v>
      </c>
      <c r="H511" s="5">
        <f ca="1">IFERROR(__xludf.DUMMYFUNCTION("""COMPUTED_VALUE"""),13230956)</f>
        <v>13230956</v>
      </c>
      <c r="I511" s="5" t="str">
        <f ca="1">IFERROR(__xludf.DUMMYFUNCTION("""COMPUTED_VALUE"""),"CONSUMO LUB COMPRESOR RECIPROCANTE 1")</f>
        <v>CONSUMO LUB COMPRESOR RECIPROCANTE 1</v>
      </c>
      <c r="J511" s="5" t="str">
        <f ca="1">IFERROR(__xludf.DUMMYFUNCTION("""COMPUTED_VALUE"""),"MEDIO")</f>
        <v>MEDIO</v>
      </c>
      <c r="K511" s="5" t="str">
        <f ca="1">IFERROR(__xludf.DUMMYFUNCTION("""COMPUTED_VALUE"""),"Preventivo")</f>
        <v>Preventivo</v>
      </c>
      <c r="L511" s="5" t="str">
        <f ca="1">IFERROR(__xludf.DUMMYFUNCTION("""COMPUTED_VALUE"""),"Maquinaria")</f>
        <v>Maquinaria</v>
      </c>
      <c r="M511" s="5" t="str">
        <f ca="1">IFERROR(__xludf.DUMMYFUNCTION("""COMPUTED_VALUE"""),"No")</f>
        <v>No</v>
      </c>
      <c r="N511" s="5"/>
      <c r="O511" s="5"/>
      <c r="P511" s="18">
        <f ca="1">IFERROR(__xludf.DUMMYFUNCTION("""COMPUTED_VALUE"""),45324)</f>
        <v>45324</v>
      </c>
      <c r="Q511" s="18">
        <f ca="1">IFERROR(__xludf.DUMMYFUNCTION("""COMPUTED_VALUE"""),45324)</f>
        <v>45324</v>
      </c>
      <c r="R511" s="18"/>
      <c r="S511" s="5">
        <f ca="1">IFERROR(__xludf.DUMMYFUNCTION("""COMPUTED_VALUE"""),1)</f>
        <v>1</v>
      </c>
      <c r="T511" s="5"/>
      <c r="U511" s="5" t="str">
        <f ca="1">IFERROR(__xludf.DUMMYFUNCTION("""COMPUTED_VALUE"""),"MUÑOZ VALENCIA JEFFERSON")</f>
        <v>MUÑOZ VALENCIA JEFFERSON</v>
      </c>
      <c r="V511" s="5"/>
      <c r="W511" s="5" t="str">
        <f ca="1">IFERROR(__xludf.DUMMYFUNCTION("""COMPUTED_VALUE"""),"CgP69RFT71Y")</f>
        <v>CgP69RFT71Y</v>
      </c>
      <c r="X511" s="5">
        <f ca="1">IFERROR(__xludf.DUMMYFUNCTION("""COMPUTED_VALUE"""),1)</f>
        <v>1</v>
      </c>
      <c r="Y511" s="5" t="str">
        <f t="shared" si="2"/>
        <v>Actividad sin realizar</v>
      </c>
      <c r="Z511" s="3">
        <f ca="1">IFERROR(VLOOKUP(U511, 'Base de datos'!A:B, 2, FALSE), "")</f>
        <v>573122261803</v>
      </c>
      <c r="AA511" s="4" t="e">
        <f t="shared" ca="1" si="3"/>
        <v>#NAME?</v>
      </c>
    </row>
    <row r="512" spans="1:27" ht="15.75" customHeight="1">
      <c r="A512" s="5" t="str">
        <f ca="1">IFERROR(__xludf.DUMMYFUNCTION("""COMPUTED_VALUE"""),"POSTOBÓN YUMBO")</f>
        <v>POSTOBÓN YUMBO</v>
      </c>
      <c r="B512" s="5" t="str">
        <f ca="1">IFERROR(__xludf.DUMMYFUNCTION("""COMPUTED_VALUE"""),"0410-SALA DE JARABE TERMINADO")</f>
        <v>0410-SALA DE JARABE TERMINADO</v>
      </c>
      <c r="C512" s="5" t="str">
        <f ca="1">IFERROR(__xludf.DUMMYFUNCTION("""COMPUTED_VALUE"""),"EQUIPOS PARA PREPARACION DE JARABE")</f>
        <v>EQUIPOS PARA PREPARACION DE JARABE</v>
      </c>
      <c r="D512" s="5">
        <f ca="1">IFERROR(__xludf.DUMMYFUNCTION("""COMPUTED_VALUE"""),69963409)</f>
        <v>69963409</v>
      </c>
      <c r="E512" s="5" t="str">
        <f ca="1">IFERROR(__xludf.DUMMYFUNCTION("""COMPUTED_VALUE"""),"TANQUE DE JARABE")</f>
        <v>TANQUE DE JARABE</v>
      </c>
      <c r="F512" s="5">
        <f ca="1">IFERROR(__xludf.DUMMYFUNCTION("""COMPUTED_VALUE"""),17361)</f>
        <v>17361</v>
      </c>
      <c r="G512" s="5" t="str">
        <f ca="1">IFERROR(__xludf.DUMMYFUNCTION("""COMPUTED_VALUE"""),"MTTO ELE TK JARABE 6 JARABE TERMINADO")</f>
        <v>MTTO ELE TK JARABE 6 JARABE TERMINADO</v>
      </c>
      <c r="H512" s="5">
        <f ca="1">IFERROR(__xludf.DUMMYFUNCTION("""COMPUTED_VALUE"""),13247159)</f>
        <v>13247159</v>
      </c>
      <c r="I512" s="5" t="str">
        <f ca="1">IFERROR(__xludf.DUMMYFUNCTION("""COMPUTED_VALUE"""),"MOTOR BOMBA DE RECIRCULACION:")</f>
        <v>MOTOR BOMBA DE RECIRCULACION:</v>
      </c>
      <c r="J512" s="5" t="str">
        <f ca="1">IFERROR(__xludf.DUMMYFUNCTION("""COMPUTED_VALUE"""),"ALTO")</f>
        <v>ALTO</v>
      </c>
      <c r="K512" s="5" t="str">
        <f ca="1">IFERROR(__xludf.DUMMYFUNCTION("""COMPUTED_VALUE"""),"Preventivo")</f>
        <v>Preventivo</v>
      </c>
      <c r="L512" s="5" t="str">
        <f ca="1">IFERROR(__xludf.DUMMYFUNCTION("""COMPUTED_VALUE"""),"Maquinaria")</f>
        <v>Maquinaria</v>
      </c>
      <c r="M512" s="5" t="str">
        <f ca="1">IFERROR(__xludf.DUMMYFUNCTION("""COMPUTED_VALUE"""),"No")</f>
        <v>No</v>
      </c>
      <c r="N512" s="5"/>
      <c r="O512" s="5">
        <f ca="1">IFERROR(__xludf.DUMMYFUNCTION("""COMPUTED_VALUE"""),100)</f>
        <v>100</v>
      </c>
      <c r="P512" s="18">
        <f ca="1">IFERROR(__xludf.DUMMYFUNCTION("""COMPUTED_VALUE"""),45343)</f>
        <v>45343</v>
      </c>
      <c r="Q512" s="18">
        <f ca="1">IFERROR(__xludf.DUMMYFUNCTION("""COMPUTED_VALUE"""),45343)</f>
        <v>45343</v>
      </c>
      <c r="R512" s="18">
        <f ca="1">IFERROR(__xludf.DUMMYFUNCTION("""COMPUTED_VALUE"""),2)</f>
        <v>2</v>
      </c>
      <c r="S512" s="5">
        <f ca="1">IFERROR(__xludf.DUMMYFUNCTION("""COMPUTED_VALUE"""),1)</f>
        <v>1</v>
      </c>
      <c r="T512" s="5"/>
      <c r="U512" s="5" t="str">
        <f ca="1">IFERROR(__xludf.DUMMYFUNCTION("""COMPUTED_VALUE"""),"Moreno Pernia Bladimir")</f>
        <v>Moreno Pernia Bladimir</v>
      </c>
      <c r="V512" s="5"/>
      <c r="W512" s="5" t="str">
        <f ca="1">IFERROR(__xludf.DUMMYFUNCTION("""COMPUTED_VALUE"""),"gktUCs04HV8")</f>
        <v>gktUCs04HV8</v>
      </c>
      <c r="X512" s="5">
        <f ca="1">IFERROR(__xludf.DUMMYFUNCTION("""COMPUTED_VALUE"""),1)</f>
        <v>1</v>
      </c>
      <c r="Y512" s="5" t="str">
        <f t="shared" ref="Y512:Y532" ca="1" si="4">IF(O512=100, "Actividad realizada", IF(O512="", "Actividad sin realizar", ""))</f>
        <v>Actividad realizada</v>
      </c>
      <c r="Z512" s="3">
        <f ca="1">IFERROR(VLOOKUP(U512, 'Base de datos'!A:B, 2, FALSE), "")</f>
        <v>573148903137</v>
      </c>
      <c r="AA512" s="4" t="e">
        <f t="shared" ref="AA512:AA614" ca="1" si="5">HYPERLINK("https://api.whatsapp.com/send?phone="&amp;_xludf.ENCODEURL(Z512)&amp;"&amp;text="&amp;_xludf.ENCODEURL("Buen dia, recuerda realizar las actividades del plan pendientes a tu nombre")
)</f>
        <v>#NAME?</v>
      </c>
    </row>
    <row r="513" spans="1:27" ht="15.75" customHeight="1">
      <c r="A513" s="5" t="str">
        <f ca="1">IFERROR(__xludf.DUMMYFUNCTION("""COMPUTED_VALUE"""),"POSTOBÓN YUMBO")</f>
        <v>POSTOBÓN YUMBO</v>
      </c>
      <c r="B513" s="5" t="str">
        <f ca="1">IFERROR(__xludf.DUMMYFUNCTION("""COMPUTED_VALUE"""),"0410-LINEA 3")</f>
        <v>0410-LINEA 3</v>
      </c>
      <c r="C513" s="5" t="str">
        <f ca="1">IFERROR(__xludf.DUMMYFUNCTION("""COMPUTED_VALUE"""),"LINEA DE ENVASADO TAMAÑO PERSONAL")</f>
        <v>LINEA DE ENVASADO TAMAÑO PERSONAL</v>
      </c>
      <c r="D513" s="5">
        <f ca="1">IFERROR(__xludf.DUMMYFUNCTION("""COMPUTED_VALUE"""),829654)</f>
        <v>829654</v>
      </c>
      <c r="E513" s="5" t="str">
        <f ca="1">IFERROR(__xludf.DUMMYFUNCTION("""COMPUTED_VALUE"""),"TRANSPORTADOR DE BOTELLAS")</f>
        <v>TRANSPORTADOR DE BOTELLAS</v>
      </c>
      <c r="F513" s="5">
        <f ca="1">IFERROR(__xludf.DUMMYFUNCTION("""COMPUTED_VALUE"""),0)</f>
        <v>0</v>
      </c>
      <c r="G513" s="5" t="str">
        <f ca="1">IFERROR(__xludf.DUMMYFUNCTION("""COMPUTED_VALUE"""),"CONSUMO LUB TRANS BOTELLAS L3")</f>
        <v>CONSUMO LUB TRANS BOTELLAS L3</v>
      </c>
      <c r="H513" s="5">
        <f ca="1">IFERROR(__xludf.DUMMYFUNCTION("""COMPUTED_VALUE"""),13230952)</f>
        <v>13230952</v>
      </c>
      <c r="I513" s="5" t="str">
        <f ca="1">IFERROR(__xludf.DUMMYFUNCTION("""COMPUTED_VALUE"""),"CONSUMO LUBRICANTES ENERO 2024")</f>
        <v>CONSUMO LUBRICANTES ENERO 2024</v>
      </c>
      <c r="J513" s="5" t="str">
        <f ca="1">IFERROR(__xludf.DUMMYFUNCTION("""COMPUTED_VALUE"""),"MEDIO")</f>
        <v>MEDIO</v>
      </c>
      <c r="K513" s="5" t="str">
        <f ca="1">IFERROR(__xludf.DUMMYFUNCTION("""COMPUTED_VALUE"""),"Preventivo")</f>
        <v>Preventivo</v>
      </c>
      <c r="L513" s="5" t="str">
        <f ca="1">IFERROR(__xludf.DUMMYFUNCTION("""COMPUTED_VALUE"""),"Maquinaria")</f>
        <v>Maquinaria</v>
      </c>
      <c r="M513" s="5" t="str">
        <f ca="1">IFERROR(__xludf.DUMMYFUNCTION("""COMPUTED_VALUE"""),"No")</f>
        <v>No</v>
      </c>
      <c r="N513" s="5"/>
      <c r="O513" s="5"/>
      <c r="P513" s="18">
        <f ca="1">IFERROR(__xludf.DUMMYFUNCTION("""COMPUTED_VALUE"""),45325)</f>
        <v>45325</v>
      </c>
      <c r="Q513" s="18">
        <f ca="1">IFERROR(__xludf.DUMMYFUNCTION("""COMPUTED_VALUE"""),45325)</f>
        <v>45325</v>
      </c>
      <c r="R513" s="18">
        <f ca="1">IFERROR(__xludf.DUMMYFUNCTION("""COMPUTED_VALUE"""),2)</f>
        <v>2</v>
      </c>
      <c r="S513" s="5">
        <f ca="1">IFERROR(__xludf.DUMMYFUNCTION("""COMPUTED_VALUE"""),1)</f>
        <v>1</v>
      </c>
      <c r="T513" s="5"/>
      <c r="U513" s="5" t="str">
        <f ca="1">IFERROR(__xludf.DUMMYFUNCTION("""COMPUTED_VALUE"""),"Campo Rodriguez Adalcides Jesus")</f>
        <v>Campo Rodriguez Adalcides Jesus</v>
      </c>
      <c r="V513" s="5"/>
      <c r="W513" s="5" t="str">
        <f ca="1">IFERROR(__xludf.DUMMYFUNCTION("""COMPUTED_VALUE"""),"e7pQPp7xFeY")</f>
        <v>e7pQPp7xFeY</v>
      </c>
      <c r="X513" s="5">
        <f ca="1">IFERROR(__xludf.DUMMYFUNCTION("""COMPUTED_VALUE"""),1)</f>
        <v>1</v>
      </c>
      <c r="Y513" s="5" t="str">
        <f t="shared" si="4"/>
        <v>Actividad sin realizar</v>
      </c>
      <c r="Z513" s="3">
        <f ca="1">IFERROR(VLOOKUP(U513, 'Base de datos'!A:B, 2, FALSE), "")</f>
        <v>573045833726</v>
      </c>
      <c r="AA513" s="4" t="e">
        <f t="shared" ca="1" si="5"/>
        <v>#NAME?</v>
      </c>
    </row>
    <row r="514" spans="1:27" ht="15.75" customHeight="1">
      <c r="A514" s="5" t="str">
        <f ca="1">IFERROR(__xludf.DUMMYFUNCTION("""COMPUTED_VALUE"""),"POSTOBÓN YUMBO")</f>
        <v>POSTOBÓN YUMBO</v>
      </c>
      <c r="B514" s="5" t="str">
        <f ca="1">IFERROR(__xludf.DUMMYFUNCTION("""COMPUTED_VALUE"""),"0410-EQUIPOS AUXILIARES")</f>
        <v>0410-EQUIPOS AUXILIARES</v>
      </c>
      <c r="C514" s="5" t="str">
        <f ca="1">IFERROR(__xludf.DUMMYFUNCTION("""COMPUTED_VALUE"""),"EQUIPOS PARA SERVICIOS INDUSTRIALES")</f>
        <v>EQUIPOS PARA SERVICIOS INDUSTRIALES</v>
      </c>
      <c r="D514" s="5">
        <f ca="1">IFERROR(__xludf.DUMMYFUNCTION("""COMPUTED_VALUE"""),628883)</f>
        <v>628883</v>
      </c>
      <c r="E514" s="5" t="str">
        <f ca="1">IFERROR(__xludf.DUMMYFUNCTION("""COMPUTED_VALUE"""),"COMPRESOR DE REFRIGERACION 1")</f>
        <v>COMPRESOR DE REFRIGERACION 1</v>
      </c>
      <c r="F514" s="5">
        <f ca="1">IFERROR(__xludf.DUMMYFUNCTION("""COMPUTED_VALUE"""),0)</f>
        <v>0</v>
      </c>
      <c r="G514" s="5" t="str">
        <f ca="1">IFERROR(__xludf.DUMMYFUNCTION("""COMPUTED_VALUE"""),"CONSUMO LUB COMPRESOR TORNILLO L10 #1")</f>
        <v>CONSUMO LUB COMPRESOR TORNILLO L10 #1</v>
      </c>
      <c r="H514" s="5">
        <f ca="1">IFERROR(__xludf.DUMMYFUNCTION("""COMPUTED_VALUE"""),13230972)</f>
        <v>13230972</v>
      </c>
      <c r="I514" s="5" t="str">
        <f ca="1">IFERROR(__xludf.DUMMYFUNCTION("""COMPUTED_VALUE"""),"CONSUMO LUBRICANTES ENERO 2024")</f>
        <v>CONSUMO LUBRICANTES ENERO 2024</v>
      </c>
      <c r="J514" s="5" t="str">
        <f ca="1">IFERROR(__xludf.DUMMYFUNCTION("""COMPUTED_VALUE"""),"MEDIO")</f>
        <v>MEDIO</v>
      </c>
      <c r="K514" s="5" t="str">
        <f ca="1">IFERROR(__xludf.DUMMYFUNCTION("""COMPUTED_VALUE"""),"Preventivo")</f>
        <v>Preventivo</v>
      </c>
      <c r="L514" s="5" t="str">
        <f ca="1">IFERROR(__xludf.DUMMYFUNCTION("""COMPUTED_VALUE"""),"Maquinaria")</f>
        <v>Maquinaria</v>
      </c>
      <c r="M514" s="5" t="str">
        <f ca="1">IFERROR(__xludf.DUMMYFUNCTION("""COMPUTED_VALUE"""),"No")</f>
        <v>No</v>
      </c>
      <c r="N514" s="5"/>
      <c r="O514" s="5"/>
      <c r="P514" s="18">
        <f ca="1">IFERROR(__xludf.DUMMYFUNCTION("""COMPUTED_VALUE"""),45325)</f>
        <v>45325</v>
      </c>
      <c r="Q514" s="18">
        <f ca="1">IFERROR(__xludf.DUMMYFUNCTION("""COMPUTED_VALUE"""),45325)</f>
        <v>45325</v>
      </c>
      <c r="R514" s="18"/>
      <c r="S514" s="5">
        <f ca="1">IFERROR(__xludf.DUMMYFUNCTION("""COMPUTED_VALUE"""),1)</f>
        <v>1</v>
      </c>
      <c r="T514" s="5"/>
      <c r="U514" s="5" t="str">
        <f ca="1">IFERROR(__xludf.DUMMYFUNCTION("""COMPUTED_VALUE"""),"CALDERON CORTES JULIAN DAVID")</f>
        <v>CALDERON CORTES JULIAN DAVID</v>
      </c>
      <c r="V514" s="5"/>
      <c r="W514" s="5" t="str">
        <f ca="1">IFERROR(__xludf.DUMMYFUNCTION("""COMPUTED_VALUE"""),"yZ7bX2_zP30")</f>
        <v>yZ7bX2_zP30</v>
      </c>
      <c r="X514" s="5">
        <f ca="1">IFERROR(__xludf.DUMMYFUNCTION("""COMPUTED_VALUE"""),1)</f>
        <v>1</v>
      </c>
      <c r="Y514" s="5" t="str">
        <f t="shared" si="4"/>
        <v>Actividad sin realizar</v>
      </c>
      <c r="Z514" s="3">
        <f ca="1">IFERROR(VLOOKUP(U514, 'Base de datos'!A:B, 2, FALSE), "")</f>
        <v>573106062699</v>
      </c>
      <c r="AA514" s="4" t="e">
        <f t="shared" ca="1" si="5"/>
        <v>#NAME?</v>
      </c>
    </row>
    <row r="515" spans="1:27" ht="15.75" customHeight="1">
      <c r="A515" s="5" t="str">
        <f ca="1">IFERROR(__xludf.DUMMYFUNCTION("""COMPUTED_VALUE"""),"POSTOBÓN YUMBO")</f>
        <v>POSTOBÓN YUMBO</v>
      </c>
      <c r="B515" s="5" t="str">
        <f ca="1">IFERROR(__xludf.DUMMYFUNCTION("""COMPUTED_VALUE"""),"0410-EQUIPOS AUXILIARES")</f>
        <v>0410-EQUIPOS AUXILIARES</v>
      </c>
      <c r="C515" s="5" t="str">
        <f ca="1">IFERROR(__xludf.DUMMYFUNCTION("""COMPUTED_VALUE"""),"EQUIPOS PARA SERVICIOS INDUSTRIALES")</f>
        <v>EQUIPOS PARA SERVICIOS INDUSTRIALES</v>
      </c>
      <c r="D515" s="5">
        <f ca="1">IFERROR(__xludf.DUMMYFUNCTION("""COMPUTED_VALUE"""),628883)</f>
        <v>628883</v>
      </c>
      <c r="E515" s="5" t="str">
        <f ca="1">IFERROR(__xludf.DUMMYFUNCTION("""COMPUTED_VALUE"""),"COMPRESOR DE REFRIGERACION 1")</f>
        <v>COMPRESOR DE REFRIGERACION 1</v>
      </c>
      <c r="F515" s="5">
        <f ca="1">IFERROR(__xludf.DUMMYFUNCTION("""COMPUTED_VALUE"""),0)</f>
        <v>0</v>
      </c>
      <c r="G515" s="5" t="str">
        <f ca="1">IFERROR(__xludf.DUMMYFUNCTION("""COMPUTED_VALUE"""),"CONSUMO LUB COMPRESOR TORNILLO L10 #1")</f>
        <v>CONSUMO LUB COMPRESOR TORNILLO L10 #1</v>
      </c>
      <c r="H515" s="5">
        <f ca="1">IFERROR(__xludf.DUMMYFUNCTION("""COMPUTED_VALUE"""),13230972)</f>
        <v>13230972</v>
      </c>
      <c r="I515" s="5" t="str">
        <f ca="1">IFERROR(__xludf.DUMMYFUNCTION("""COMPUTED_VALUE"""),"CONSUMO LUB COMPRESOR TORNILLO L10 #1")</f>
        <v>CONSUMO LUB COMPRESOR TORNILLO L10 #1</v>
      </c>
      <c r="J515" s="5" t="str">
        <f ca="1">IFERROR(__xludf.DUMMYFUNCTION("""COMPUTED_VALUE"""),"MEDIO")</f>
        <v>MEDIO</v>
      </c>
      <c r="K515" s="5" t="str">
        <f ca="1">IFERROR(__xludf.DUMMYFUNCTION("""COMPUTED_VALUE"""),"Preventivo")</f>
        <v>Preventivo</v>
      </c>
      <c r="L515" s="5" t="str">
        <f ca="1">IFERROR(__xludf.DUMMYFUNCTION("""COMPUTED_VALUE"""),"Maquinaria")</f>
        <v>Maquinaria</v>
      </c>
      <c r="M515" s="5" t="str">
        <f ca="1">IFERROR(__xludf.DUMMYFUNCTION("""COMPUTED_VALUE"""),"No")</f>
        <v>No</v>
      </c>
      <c r="N515" s="5"/>
      <c r="O515" s="5"/>
      <c r="P515" s="18">
        <f ca="1">IFERROR(__xludf.DUMMYFUNCTION("""COMPUTED_VALUE"""),45325)</f>
        <v>45325</v>
      </c>
      <c r="Q515" s="18">
        <f ca="1">IFERROR(__xludf.DUMMYFUNCTION("""COMPUTED_VALUE"""),45325)</f>
        <v>45325</v>
      </c>
      <c r="R515" s="18"/>
      <c r="S515" s="5">
        <f ca="1">IFERROR(__xludf.DUMMYFUNCTION("""COMPUTED_VALUE"""),1)</f>
        <v>1</v>
      </c>
      <c r="T515" s="5"/>
      <c r="U515" s="5" t="str">
        <f ca="1">IFERROR(__xludf.DUMMYFUNCTION("""COMPUTED_VALUE"""),"CALDERON CORTES JULIAN DAVID")</f>
        <v>CALDERON CORTES JULIAN DAVID</v>
      </c>
      <c r="V515" s="5"/>
      <c r="W515" s="5" t="str">
        <f ca="1">IFERROR(__xludf.DUMMYFUNCTION("""COMPUTED_VALUE"""),"Y5zJPIyA4XY")</f>
        <v>Y5zJPIyA4XY</v>
      </c>
      <c r="X515" s="5">
        <f ca="1">IFERROR(__xludf.DUMMYFUNCTION("""COMPUTED_VALUE"""),1)</f>
        <v>1</v>
      </c>
      <c r="Y515" s="5" t="str">
        <f t="shared" si="4"/>
        <v>Actividad sin realizar</v>
      </c>
      <c r="Z515" s="3">
        <f ca="1">IFERROR(VLOOKUP(U515, 'Base de datos'!A:B, 2, FALSE), "")</f>
        <v>573106062699</v>
      </c>
      <c r="AA515" s="4" t="e">
        <f t="shared" ca="1" si="5"/>
        <v>#NAME?</v>
      </c>
    </row>
    <row r="516" spans="1:27" ht="15.75" customHeight="1">
      <c r="A516" s="5" t="str">
        <f ca="1">IFERROR(__xludf.DUMMYFUNCTION("""COMPUTED_VALUE"""),"POSTOBÓN YUMBO")</f>
        <v>POSTOBÓN YUMBO</v>
      </c>
      <c r="B516" s="5" t="str">
        <f ca="1">IFERROR(__xludf.DUMMYFUNCTION("""COMPUTED_VALUE"""),"0410-LINEA 1")</f>
        <v>0410-LINEA 1</v>
      </c>
      <c r="C516" s="5" t="str">
        <f ca="1">IFERROR(__xludf.DUMMYFUNCTION("""COMPUTED_VALUE"""),"LINEA DE ENVASADO PET NO RETORNABLE")</f>
        <v>LINEA DE ENVASADO PET NO RETORNABLE</v>
      </c>
      <c r="D516" s="5">
        <f ca="1">IFERROR(__xludf.DUMMYFUNCTION("""COMPUTED_VALUE"""),829613)</f>
        <v>829613</v>
      </c>
      <c r="E516" s="5" t="str">
        <f ca="1">IFERROR(__xludf.DUMMYFUNCTION("""COMPUTED_VALUE"""),"TRANSPORTADOR ENVASE")</f>
        <v>TRANSPORTADOR ENVASE</v>
      </c>
      <c r="F516" s="5">
        <f ca="1">IFERROR(__xludf.DUMMYFUNCTION("""COMPUTED_VALUE"""),0)</f>
        <v>0</v>
      </c>
      <c r="G516" s="5" t="str">
        <f ca="1">IFERROR(__xludf.DUMMYFUNCTION("""COMPUTED_VALUE"""),"CONSUMO LUB TRANS BOTELLAS L1")</f>
        <v>CONSUMO LUB TRANS BOTELLAS L1</v>
      </c>
      <c r="H516" s="5">
        <f ca="1">IFERROR(__xludf.DUMMYFUNCTION("""COMPUTED_VALUE"""),13230953)</f>
        <v>13230953</v>
      </c>
      <c r="I516" s="5" t="str">
        <f ca="1">IFERROR(__xludf.DUMMYFUNCTION("""COMPUTED_VALUE"""),"CONSUMO LUB TRANS BOTELLAS L1")</f>
        <v>CONSUMO LUB TRANS BOTELLAS L1</v>
      </c>
      <c r="J516" s="5" t="str">
        <f ca="1">IFERROR(__xludf.DUMMYFUNCTION("""COMPUTED_VALUE"""),"BAJO")</f>
        <v>BAJO</v>
      </c>
      <c r="K516" s="5" t="str">
        <f ca="1">IFERROR(__xludf.DUMMYFUNCTION("""COMPUTED_VALUE"""),"Preventivo")</f>
        <v>Preventivo</v>
      </c>
      <c r="L516" s="5" t="str">
        <f ca="1">IFERROR(__xludf.DUMMYFUNCTION("""COMPUTED_VALUE"""),"Maquinaria")</f>
        <v>Maquinaria</v>
      </c>
      <c r="M516" s="5" t="str">
        <f ca="1">IFERROR(__xludf.DUMMYFUNCTION("""COMPUTED_VALUE"""),"No")</f>
        <v>No</v>
      </c>
      <c r="N516" s="5"/>
      <c r="O516" s="5"/>
      <c r="P516" s="18">
        <f ca="1">IFERROR(__xludf.DUMMYFUNCTION("""COMPUTED_VALUE"""),45324)</f>
        <v>45324</v>
      </c>
      <c r="Q516" s="18">
        <f ca="1">IFERROR(__xludf.DUMMYFUNCTION("""COMPUTED_VALUE"""),45324)</f>
        <v>45324</v>
      </c>
      <c r="R516" s="18"/>
      <c r="S516" s="5">
        <f ca="1">IFERROR(__xludf.DUMMYFUNCTION("""COMPUTED_VALUE"""),1)</f>
        <v>1</v>
      </c>
      <c r="T516" s="5"/>
      <c r="U516" s="5" t="str">
        <f ca="1">IFERROR(__xludf.DUMMYFUNCTION("""COMPUTED_VALUE"""),"Lozano Delgado Fausto Andres")</f>
        <v>Lozano Delgado Fausto Andres</v>
      </c>
      <c r="V516" s="5"/>
      <c r="W516" s="5" t="str">
        <f ca="1">IFERROR(__xludf.DUMMYFUNCTION("""COMPUTED_VALUE"""),"4zCKU7sPGxw")</f>
        <v>4zCKU7sPGxw</v>
      </c>
      <c r="X516" s="5">
        <f ca="1">IFERROR(__xludf.DUMMYFUNCTION("""COMPUTED_VALUE"""),1)</f>
        <v>1</v>
      </c>
      <c r="Y516" s="5" t="str">
        <f t="shared" si="4"/>
        <v>Actividad sin realizar</v>
      </c>
      <c r="Z516" s="3">
        <f ca="1">IFERROR(VLOOKUP(U516, 'Base de datos'!A:B, 2, FALSE), "")</f>
        <v>573145758691</v>
      </c>
      <c r="AA516" s="4" t="e">
        <f t="shared" ca="1" si="5"/>
        <v>#NAME?</v>
      </c>
    </row>
    <row r="517" spans="1:27" ht="15.75" customHeight="1">
      <c r="A517" s="5" t="str">
        <f ca="1">IFERROR(__xludf.DUMMYFUNCTION("""COMPUTED_VALUE"""),"POSTOBÓN YUMBO")</f>
        <v>POSTOBÓN YUMBO</v>
      </c>
      <c r="B517" s="5" t="str">
        <f ca="1">IFERROR(__xludf.DUMMYFUNCTION("""COMPUTED_VALUE"""),"0410-SALA DE JARABE TERMINADO")</f>
        <v>0410-SALA DE JARABE TERMINADO</v>
      </c>
      <c r="C517" s="5" t="str">
        <f ca="1">IFERROR(__xludf.DUMMYFUNCTION("""COMPUTED_VALUE"""),"EQUIPOS PARA PREPARACION DE JARABE")</f>
        <v>EQUIPOS PARA PREPARACION DE JARABE</v>
      </c>
      <c r="D517" s="5">
        <f ca="1">IFERROR(__xludf.DUMMYFUNCTION("""COMPUTED_VALUE"""),69963409)</f>
        <v>69963409</v>
      </c>
      <c r="E517" s="5" t="str">
        <f ca="1">IFERROR(__xludf.DUMMYFUNCTION("""COMPUTED_VALUE"""),"TANQUE DE JARABE")</f>
        <v>TANQUE DE JARABE</v>
      </c>
      <c r="F517" s="5">
        <f ca="1">IFERROR(__xludf.DUMMYFUNCTION("""COMPUTED_VALUE"""),17361)</f>
        <v>17361</v>
      </c>
      <c r="G517" s="5" t="str">
        <f ca="1">IFERROR(__xludf.DUMMYFUNCTION("""COMPUTED_VALUE"""),"MTTO MEC TK JARABE 6 JARABE TERMINADO")</f>
        <v>MTTO MEC TK JARABE 6 JARABE TERMINADO</v>
      </c>
      <c r="H517" s="5">
        <f ca="1">IFERROR(__xludf.DUMMYFUNCTION("""COMPUTED_VALUE"""),13247158)</f>
        <v>13247158</v>
      </c>
      <c r="I517" s="5" t="str">
        <f ca="1">IFERROR(__xludf.DUMMYFUNCTION("""COMPUTED_VALUE"""),"Revisar fugas tuberias, empaques, tapas")</f>
        <v>Revisar fugas tuberias, empaques, tapas</v>
      </c>
      <c r="J517" s="5" t="str">
        <f ca="1">IFERROR(__xludf.DUMMYFUNCTION("""COMPUTED_VALUE"""),"ALTO")</f>
        <v>ALTO</v>
      </c>
      <c r="K517" s="5" t="str">
        <f ca="1">IFERROR(__xludf.DUMMYFUNCTION("""COMPUTED_VALUE"""),"Preventivo")</f>
        <v>Preventivo</v>
      </c>
      <c r="L517" s="5" t="str">
        <f ca="1">IFERROR(__xludf.DUMMYFUNCTION("""COMPUTED_VALUE"""),"Maquinaria")</f>
        <v>Maquinaria</v>
      </c>
      <c r="M517" s="5" t="str">
        <f ca="1">IFERROR(__xludf.DUMMYFUNCTION("""COMPUTED_VALUE"""),"No")</f>
        <v>No</v>
      </c>
      <c r="N517" s="5"/>
      <c r="O517" s="5">
        <f ca="1">IFERROR(__xludf.DUMMYFUNCTION("""COMPUTED_VALUE"""),100)</f>
        <v>100</v>
      </c>
      <c r="P517" s="18">
        <f ca="1">IFERROR(__xludf.DUMMYFUNCTION("""COMPUTED_VALUE"""),45342)</f>
        <v>45342</v>
      </c>
      <c r="Q517" s="18">
        <f ca="1">IFERROR(__xludf.DUMMYFUNCTION("""COMPUTED_VALUE"""),45342)</f>
        <v>45342</v>
      </c>
      <c r="R517" s="18"/>
      <c r="S517" s="5">
        <f ca="1">IFERROR(__xludf.DUMMYFUNCTION("""COMPUTED_VALUE"""),0.5)</f>
        <v>0.5</v>
      </c>
      <c r="T517" s="5"/>
      <c r="U517" s="5" t="str">
        <f ca="1">IFERROR(__xludf.DUMMYFUNCTION("""COMPUTED_VALUE"""),"Moreno Pernia Bladimir")</f>
        <v>Moreno Pernia Bladimir</v>
      </c>
      <c r="V517" s="5"/>
      <c r="W517" s="5" t="str">
        <f ca="1">IFERROR(__xludf.DUMMYFUNCTION("""COMPUTED_VALUE"""),"gEFEqztGwus")</f>
        <v>gEFEqztGwus</v>
      </c>
      <c r="X517" s="5">
        <f ca="1">IFERROR(__xludf.DUMMYFUNCTION("""COMPUTED_VALUE"""),0.5)</f>
        <v>0.5</v>
      </c>
      <c r="Y517" s="5" t="str">
        <f t="shared" ca="1" si="4"/>
        <v>Actividad realizada</v>
      </c>
      <c r="Z517" s="3">
        <f ca="1">IFERROR(VLOOKUP(U517, 'Base de datos'!A:B, 2, FALSE), "")</f>
        <v>573148903137</v>
      </c>
      <c r="AA517" s="4" t="e">
        <f t="shared" ca="1" si="5"/>
        <v>#NAME?</v>
      </c>
    </row>
    <row r="518" spans="1:27" ht="15.75" customHeight="1">
      <c r="A518" s="5" t="str">
        <f ca="1">IFERROR(__xludf.DUMMYFUNCTION("""COMPUTED_VALUE"""),"POSTOBÓN YUMBO")</f>
        <v>POSTOBÓN YUMBO</v>
      </c>
      <c r="B518" s="5" t="str">
        <f ca="1">IFERROR(__xludf.DUMMYFUNCTION("""COMPUTED_VALUE"""),"0410-SALA DE JARABE TERMINADO")</f>
        <v>0410-SALA DE JARABE TERMINADO</v>
      </c>
      <c r="C518" s="5" t="str">
        <f ca="1">IFERROR(__xludf.DUMMYFUNCTION("""COMPUTED_VALUE"""),"EQUIPOS PARA PREPARACION DE JARABE")</f>
        <v>EQUIPOS PARA PREPARACION DE JARABE</v>
      </c>
      <c r="D518" s="5">
        <f ca="1">IFERROR(__xludf.DUMMYFUNCTION("""COMPUTED_VALUE"""),69963408)</f>
        <v>69963408</v>
      </c>
      <c r="E518" s="5" t="str">
        <f ca="1">IFERROR(__xludf.DUMMYFUNCTION("""COMPUTED_VALUE"""),"TANQUE DE JARABE")</f>
        <v>TANQUE DE JARABE</v>
      </c>
      <c r="F518" s="5">
        <f ca="1">IFERROR(__xludf.DUMMYFUNCTION("""COMPUTED_VALUE"""),17361)</f>
        <v>17361</v>
      </c>
      <c r="G518" s="5" t="str">
        <f ca="1">IFERROR(__xludf.DUMMYFUNCTION("""COMPUTED_VALUE"""),"MTTO MEC TK JARABE 5 JARABE TERMINADO")</f>
        <v>MTTO MEC TK JARABE 5 JARABE TERMINADO</v>
      </c>
      <c r="H518" s="5">
        <f ca="1">IFERROR(__xludf.DUMMYFUNCTION("""COMPUTED_VALUE"""),13247156)</f>
        <v>13247156</v>
      </c>
      <c r="I518" s="5" t="str">
        <f ca="1">IFERROR(__xludf.DUMMYFUNCTION("""COMPUTED_VALUE"""),"Revisar fugas tuberias, empaques, tapas")</f>
        <v>Revisar fugas tuberias, empaques, tapas</v>
      </c>
      <c r="J518" s="5" t="str">
        <f ca="1">IFERROR(__xludf.DUMMYFUNCTION("""COMPUTED_VALUE"""),"ALTO")</f>
        <v>ALTO</v>
      </c>
      <c r="K518" s="5" t="str">
        <f ca="1">IFERROR(__xludf.DUMMYFUNCTION("""COMPUTED_VALUE"""),"Preventivo")</f>
        <v>Preventivo</v>
      </c>
      <c r="L518" s="5" t="str">
        <f ca="1">IFERROR(__xludf.DUMMYFUNCTION("""COMPUTED_VALUE"""),"Maquinaria")</f>
        <v>Maquinaria</v>
      </c>
      <c r="M518" s="5" t="str">
        <f ca="1">IFERROR(__xludf.DUMMYFUNCTION("""COMPUTED_VALUE"""),"No")</f>
        <v>No</v>
      </c>
      <c r="N518" s="5"/>
      <c r="O518" s="5">
        <f ca="1">IFERROR(__xludf.DUMMYFUNCTION("""COMPUTED_VALUE"""),100)</f>
        <v>100</v>
      </c>
      <c r="P518" s="18">
        <f ca="1">IFERROR(__xludf.DUMMYFUNCTION("""COMPUTED_VALUE"""),45342)</f>
        <v>45342</v>
      </c>
      <c r="Q518" s="18">
        <f ca="1">IFERROR(__xludf.DUMMYFUNCTION("""COMPUTED_VALUE"""),45342)</f>
        <v>45342</v>
      </c>
      <c r="R518" s="18"/>
      <c r="S518" s="5">
        <f ca="1">IFERROR(__xludf.DUMMYFUNCTION("""COMPUTED_VALUE"""),0.5)</f>
        <v>0.5</v>
      </c>
      <c r="T518" s="5"/>
      <c r="U518" s="5" t="str">
        <f ca="1">IFERROR(__xludf.DUMMYFUNCTION("""COMPUTED_VALUE"""),"Moreno Pernia Bladimir")</f>
        <v>Moreno Pernia Bladimir</v>
      </c>
      <c r="V518" s="5"/>
      <c r="W518" s="5" t="str">
        <f ca="1">IFERROR(__xludf.DUMMYFUNCTION("""COMPUTED_VALUE"""),"F_Jb_YARUro")</f>
        <v>F_Jb_YARUro</v>
      </c>
      <c r="X518" s="5">
        <f ca="1">IFERROR(__xludf.DUMMYFUNCTION("""COMPUTED_VALUE"""),0.5)</f>
        <v>0.5</v>
      </c>
      <c r="Y518" s="5" t="str">
        <f t="shared" ca="1" si="4"/>
        <v>Actividad realizada</v>
      </c>
      <c r="Z518" s="3">
        <f ca="1">IFERROR(VLOOKUP(U518, 'Base de datos'!A:B, 2, FALSE), "")</f>
        <v>573148903137</v>
      </c>
      <c r="AA518" s="4" t="e">
        <f t="shared" ca="1" si="5"/>
        <v>#NAME?</v>
      </c>
    </row>
    <row r="519" spans="1:27" ht="15.75" customHeight="1">
      <c r="A519" s="5" t="str">
        <f ca="1">IFERROR(__xludf.DUMMYFUNCTION("""COMPUTED_VALUE"""),"POSTOBÓN YUMBO")</f>
        <v>POSTOBÓN YUMBO</v>
      </c>
      <c r="B519" s="5" t="str">
        <f ca="1">IFERROR(__xludf.DUMMYFUNCTION("""COMPUTED_VALUE"""),"0410-LINEA PET CSD")</f>
        <v>0410-LINEA PET CSD</v>
      </c>
      <c r="C519" s="5" t="str">
        <f ca="1">IFERROR(__xludf.DUMMYFUNCTION("""COMPUTED_VALUE"""),"LINEA PET CSD - LINEA 10")</f>
        <v>LINEA PET CSD - LINEA 10</v>
      </c>
      <c r="D519" s="5">
        <f ca="1">IFERROR(__xludf.DUMMYFUNCTION("""COMPUTED_VALUE"""),589658)</f>
        <v>589658</v>
      </c>
      <c r="E519" s="5" t="str">
        <f ca="1">IFERROR(__xludf.DUMMYFUNCTION("""COMPUTED_VALUE"""),"CODIFICADOR LASER DE ENVASE")</f>
        <v>CODIFICADOR LASER DE ENVASE</v>
      </c>
      <c r="F519" s="5">
        <f ca="1">IFERROR(__xludf.DUMMYFUNCTION("""COMPUTED_VALUE"""),25375)</f>
        <v>25375</v>
      </c>
      <c r="G519" s="5" t="str">
        <f ca="1">IFERROR(__xludf.DUMMYFUNCTION("""COMPUTED_VALUE"""),"PLAN MTTO ELE CODIFICADOR LASER CSD")</f>
        <v>PLAN MTTO ELE CODIFICADOR LASER CSD</v>
      </c>
      <c r="H519" s="5">
        <f ca="1">IFERROR(__xludf.DUMMYFUNCTION("""COMPUTED_VALUE"""),13247249)</f>
        <v>13247249</v>
      </c>
      <c r="I519" s="5" t="str">
        <f ca="1">IFERROR(__xludf.DUMMYFUNCTION("""COMPUTED_VALUE"""),"sistema de extracción:")</f>
        <v>sistema de extracción:</v>
      </c>
      <c r="J519" s="5" t="str">
        <f ca="1">IFERROR(__xludf.DUMMYFUNCTION("""COMPUTED_VALUE"""),"ALTO")</f>
        <v>ALTO</v>
      </c>
      <c r="K519" s="5" t="str">
        <f ca="1">IFERROR(__xludf.DUMMYFUNCTION("""COMPUTED_VALUE"""),"Preventivo")</f>
        <v>Preventivo</v>
      </c>
      <c r="L519" s="5" t="str">
        <f ca="1">IFERROR(__xludf.DUMMYFUNCTION("""COMPUTED_VALUE"""),"Maquinaria")</f>
        <v>Maquinaria</v>
      </c>
      <c r="M519" s="5" t="str">
        <f ca="1">IFERROR(__xludf.DUMMYFUNCTION("""COMPUTED_VALUE"""),"No")</f>
        <v>No</v>
      </c>
      <c r="N519" s="5"/>
      <c r="O519" s="5">
        <f ca="1">IFERROR(__xludf.DUMMYFUNCTION("""COMPUTED_VALUE"""),100)</f>
        <v>100</v>
      </c>
      <c r="P519" s="18">
        <f ca="1">IFERROR(__xludf.DUMMYFUNCTION("""COMPUTED_VALUE"""),45335)</f>
        <v>45335</v>
      </c>
      <c r="Q519" s="18">
        <f ca="1">IFERROR(__xludf.DUMMYFUNCTION("""COMPUTED_VALUE"""),45335)</f>
        <v>45335</v>
      </c>
      <c r="R519" s="18"/>
      <c r="S519" s="5">
        <f ca="1">IFERROR(__xludf.DUMMYFUNCTION("""COMPUTED_VALUE"""),2)</f>
        <v>2</v>
      </c>
      <c r="T519" s="5"/>
      <c r="U519" s="5" t="str">
        <f ca="1">IFERROR(__xludf.DUMMYFUNCTION("""COMPUTED_VALUE"""),"Bolaños Camacho Luis Miguel")</f>
        <v>Bolaños Camacho Luis Miguel</v>
      </c>
      <c r="V519" s="5"/>
      <c r="W519" s="5" t="str">
        <f ca="1">IFERROR(__xludf.DUMMYFUNCTION("""COMPUTED_VALUE"""),"aTbsqc4G4_4")</f>
        <v>aTbsqc4G4_4</v>
      </c>
      <c r="X519" s="5">
        <f ca="1">IFERROR(__xludf.DUMMYFUNCTION("""COMPUTED_VALUE"""),2)</f>
        <v>2</v>
      </c>
      <c r="Y519" s="5" t="str">
        <f t="shared" ca="1" si="4"/>
        <v>Actividad realizada</v>
      </c>
      <c r="Z519" s="3">
        <f ca="1">IFERROR(VLOOKUP(U519, 'Base de datos'!A:B, 2, FALSE), "")</f>
        <v>573122788043</v>
      </c>
      <c r="AA519" s="4" t="e">
        <f t="shared" ca="1" si="5"/>
        <v>#NAME?</v>
      </c>
    </row>
    <row r="520" spans="1:27" ht="15.75" customHeight="1">
      <c r="A520" s="5" t="str">
        <f ca="1">IFERROR(__xludf.DUMMYFUNCTION("""COMPUTED_VALUE"""),"POSTOBÓN YUMBO")</f>
        <v>POSTOBÓN YUMBO</v>
      </c>
      <c r="B520" s="5" t="str">
        <f ca="1">IFERROR(__xludf.DUMMYFUNCTION("""COMPUTED_VALUE"""),"0410-EQUIPOS AUXILIARES")</f>
        <v>0410-EQUIPOS AUXILIARES</v>
      </c>
      <c r="C520" s="5" t="str">
        <f ca="1">IFERROR(__xludf.DUMMYFUNCTION("""COMPUTED_VALUE"""),"EQUIPOS PARA SERVICIOS INDUSTRIALES")</f>
        <v>EQUIPOS PARA SERVICIOS INDUSTRIALES</v>
      </c>
      <c r="D520" s="5">
        <f ca="1">IFERROR(__xludf.DUMMYFUNCTION("""COMPUTED_VALUE"""),628884)</f>
        <v>628884</v>
      </c>
      <c r="E520" s="5" t="str">
        <f ca="1">IFERROR(__xludf.DUMMYFUNCTION("""COMPUTED_VALUE"""),"COMPRESOR DE REFRIGERACION 2")</f>
        <v>COMPRESOR DE REFRIGERACION 2</v>
      </c>
      <c r="F520" s="5">
        <f ca="1">IFERROR(__xludf.DUMMYFUNCTION("""COMPUTED_VALUE"""),0)</f>
        <v>0</v>
      </c>
      <c r="G520" s="5" t="str">
        <f ca="1">IFERROR(__xludf.DUMMYFUNCTION("""COMPUTED_VALUE"""),"CONSUMO LUB COMPRESOR TORNILLO L10 #2")</f>
        <v>CONSUMO LUB COMPRESOR TORNILLO L10 #2</v>
      </c>
      <c r="H520" s="5">
        <f ca="1">IFERROR(__xludf.DUMMYFUNCTION("""COMPUTED_VALUE"""),13230964)</f>
        <v>13230964</v>
      </c>
      <c r="I520" s="5" t="str">
        <f ca="1">IFERROR(__xludf.DUMMYFUNCTION("""COMPUTED_VALUE"""),"CONSUMO LUBRICANTES ENERO 2024")</f>
        <v>CONSUMO LUBRICANTES ENERO 2024</v>
      </c>
      <c r="J520" s="5" t="str">
        <f ca="1">IFERROR(__xludf.DUMMYFUNCTION("""COMPUTED_VALUE"""),"MEDIO")</f>
        <v>MEDIO</v>
      </c>
      <c r="K520" s="5" t="str">
        <f ca="1">IFERROR(__xludf.DUMMYFUNCTION("""COMPUTED_VALUE"""),"Preventivo")</f>
        <v>Preventivo</v>
      </c>
      <c r="L520" s="5" t="str">
        <f ca="1">IFERROR(__xludf.DUMMYFUNCTION("""COMPUTED_VALUE"""),"Maquinaria")</f>
        <v>Maquinaria</v>
      </c>
      <c r="M520" s="5" t="str">
        <f ca="1">IFERROR(__xludf.DUMMYFUNCTION("""COMPUTED_VALUE"""),"No")</f>
        <v>No</v>
      </c>
      <c r="N520" s="5"/>
      <c r="O520" s="5"/>
      <c r="P520" s="18">
        <f ca="1">IFERROR(__xludf.DUMMYFUNCTION("""COMPUTED_VALUE"""),45325)</f>
        <v>45325</v>
      </c>
      <c r="Q520" s="18">
        <f ca="1">IFERROR(__xludf.DUMMYFUNCTION("""COMPUTED_VALUE"""),45325)</f>
        <v>45325</v>
      </c>
      <c r="R520" s="18"/>
      <c r="S520" s="5">
        <f ca="1">IFERROR(__xludf.DUMMYFUNCTION("""COMPUTED_VALUE"""),1)</f>
        <v>1</v>
      </c>
      <c r="T520" s="5"/>
      <c r="U520" s="5" t="str">
        <f ca="1">IFERROR(__xludf.DUMMYFUNCTION("""COMPUTED_VALUE"""),"CALDERON CORTES JULIAN DAVID")</f>
        <v>CALDERON CORTES JULIAN DAVID</v>
      </c>
      <c r="V520" s="5"/>
      <c r="W520" s="5" t="str">
        <f ca="1">IFERROR(__xludf.DUMMYFUNCTION("""COMPUTED_VALUE"""),"A16JBuneiQs")</f>
        <v>A16JBuneiQs</v>
      </c>
      <c r="X520" s="5">
        <f ca="1">IFERROR(__xludf.DUMMYFUNCTION("""COMPUTED_VALUE"""),1)</f>
        <v>1</v>
      </c>
      <c r="Y520" s="5" t="str">
        <f t="shared" si="4"/>
        <v>Actividad sin realizar</v>
      </c>
      <c r="Z520" s="3">
        <f ca="1">IFERROR(VLOOKUP(U520, 'Base de datos'!A:B, 2, FALSE), "")</f>
        <v>573106062699</v>
      </c>
      <c r="AA520" s="4" t="e">
        <f t="shared" ca="1" si="5"/>
        <v>#NAME?</v>
      </c>
    </row>
    <row r="521" spans="1:27" ht="15.75" customHeight="1">
      <c r="A521" s="5" t="str">
        <f ca="1">IFERROR(__xludf.DUMMYFUNCTION("""COMPUTED_VALUE"""),"POSTOBÓN YUMBO")</f>
        <v>POSTOBÓN YUMBO</v>
      </c>
      <c r="B521" s="5" t="str">
        <f ca="1">IFERROR(__xludf.DUMMYFUNCTION("""COMPUTED_VALUE"""),"0410-SALA DE JARABE TERMINADO")</f>
        <v>0410-SALA DE JARABE TERMINADO</v>
      </c>
      <c r="C521" s="5" t="str">
        <f ca="1">IFERROR(__xludf.DUMMYFUNCTION("""COMPUTED_VALUE"""),"EQUIPOS PARA PREPARACION DE JARABE")</f>
        <v>EQUIPOS PARA PREPARACION DE JARABE</v>
      </c>
      <c r="D521" s="5">
        <f ca="1">IFERROR(__xludf.DUMMYFUNCTION("""COMPUTED_VALUE"""),69963415)</f>
        <v>69963415</v>
      </c>
      <c r="E521" s="5" t="str">
        <f ca="1">IFERROR(__xludf.DUMMYFUNCTION("""COMPUTED_VALUE"""),"TANQUE ALMAC.JARABE SIMPLE")</f>
        <v>TANQUE ALMAC.JARABE SIMPLE</v>
      </c>
      <c r="F521" s="5">
        <f ca="1">IFERROR(__xludf.DUMMYFUNCTION("""COMPUTED_VALUE"""),17361)</f>
        <v>17361</v>
      </c>
      <c r="G521" s="5" t="str">
        <f ca="1">IFERROR(__xludf.DUMMYFUNCTION("""COMPUTED_VALUE"""),"MTTO MEC TK JARABE SIMPL JARABE TERMIN")</f>
        <v>MTTO MEC TK JARABE SIMPL JARABE TERMIN</v>
      </c>
      <c r="H521" s="5">
        <f ca="1">IFERROR(__xludf.DUMMYFUNCTION("""COMPUTED_VALUE"""),13247148)</f>
        <v>13247148</v>
      </c>
      <c r="I521" s="5" t="str">
        <f ca="1">IFERROR(__xludf.DUMMYFUNCTION("""COMPUTED_VALUE"""),"ANTON PAAR - remplace los diafragmas")</f>
        <v>ANTON PAAR - remplace los diafragmas</v>
      </c>
      <c r="J521" s="5" t="str">
        <f ca="1">IFERROR(__xludf.DUMMYFUNCTION("""COMPUTED_VALUE"""),"ALTO")</f>
        <v>ALTO</v>
      </c>
      <c r="K521" s="5" t="str">
        <f ca="1">IFERROR(__xludf.DUMMYFUNCTION("""COMPUTED_VALUE"""),"Preventivo")</f>
        <v>Preventivo</v>
      </c>
      <c r="L521" s="5" t="str">
        <f ca="1">IFERROR(__xludf.DUMMYFUNCTION("""COMPUTED_VALUE"""),"Maquinaria")</f>
        <v>Maquinaria</v>
      </c>
      <c r="M521" s="5" t="str">
        <f ca="1">IFERROR(__xludf.DUMMYFUNCTION("""COMPUTED_VALUE"""),"No")</f>
        <v>No</v>
      </c>
      <c r="N521" s="5"/>
      <c r="O521" s="5">
        <f ca="1">IFERROR(__xludf.DUMMYFUNCTION("""COMPUTED_VALUE"""),100)</f>
        <v>100</v>
      </c>
      <c r="P521" s="18">
        <f ca="1">IFERROR(__xludf.DUMMYFUNCTION("""COMPUTED_VALUE"""),45341)</f>
        <v>45341</v>
      </c>
      <c r="Q521" s="18">
        <f ca="1">IFERROR(__xludf.DUMMYFUNCTION("""COMPUTED_VALUE"""),45341)</f>
        <v>45341</v>
      </c>
      <c r="R521" s="18"/>
      <c r="S521" s="5">
        <f ca="1">IFERROR(__xludf.DUMMYFUNCTION("""COMPUTED_VALUE"""),8)</f>
        <v>8</v>
      </c>
      <c r="T521" s="5"/>
      <c r="U521" s="5" t="str">
        <f ca="1">IFERROR(__xludf.DUMMYFUNCTION("""COMPUTED_VALUE"""),"Rivas Mena Carlos Danny")</f>
        <v>Rivas Mena Carlos Danny</v>
      </c>
      <c r="V521" s="5"/>
      <c r="W521" s="5" t="str">
        <f ca="1">IFERROR(__xludf.DUMMYFUNCTION("""COMPUTED_VALUE"""),"JFpa_xLQ9uU")</f>
        <v>JFpa_xLQ9uU</v>
      </c>
      <c r="X521" s="5">
        <f ca="1">IFERROR(__xludf.DUMMYFUNCTION("""COMPUTED_VALUE"""),8)</f>
        <v>8</v>
      </c>
      <c r="Y521" s="5" t="str">
        <f t="shared" ca="1" si="4"/>
        <v>Actividad realizada</v>
      </c>
      <c r="Z521" s="3">
        <f ca="1">IFERROR(VLOOKUP(U521, 'Base de datos'!A:B, 2, FALSE), "")</f>
        <v>0</v>
      </c>
      <c r="AA521" s="4" t="e">
        <f t="shared" ca="1" si="5"/>
        <v>#NAME?</v>
      </c>
    </row>
    <row r="522" spans="1:27" ht="15.75" customHeight="1">
      <c r="A522" s="5" t="str">
        <f ca="1">IFERROR(__xludf.DUMMYFUNCTION("""COMPUTED_VALUE"""),"POSTOBÓN YUMBO")</f>
        <v>POSTOBÓN YUMBO</v>
      </c>
      <c r="B522" s="5" t="str">
        <f ca="1">IFERROR(__xludf.DUMMYFUNCTION("""COMPUTED_VALUE"""),"0410-SALA DE JARABE TERMINADO")</f>
        <v>0410-SALA DE JARABE TERMINADO</v>
      </c>
      <c r="C522" s="5" t="str">
        <f ca="1">IFERROR(__xludf.DUMMYFUNCTION("""COMPUTED_VALUE"""),"EQUIPOS PARA PREPARACION DE JARABE")</f>
        <v>EQUIPOS PARA PREPARACION DE JARABE</v>
      </c>
      <c r="D522" s="5">
        <f ca="1">IFERROR(__xludf.DUMMYFUNCTION("""COMPUTED_VALUE"""),69963406)</f>
        <v>69963406</v>
      </c>
      <c r="E522" s="5" t="str">
        <f ca="1">IFERROR(__xludf.DUMMYFUNCTION("""COMPUTED_VALUE"""),"TANQUE DE JARABE")</f>
        <v>TANQUE DE JARABE</v>
      </c>
      <c r="F522" s="5">
        <f ca="1">IFERROR(__xludf.DUMMYFUNCTION("""COMPUTED_VALUE"""),17361)</f>
        <v>17361</v>
      </c>
      <c r="G522" s="5" t="str">
        <f ca="1">IFERROR(__xludf.DUMMYFUNCTION("""COMPUTED_VALUE"""),"MTTO MEC TK JARABE 3 JARABE TERMINADO")</f>
        <v>MTTO MEC TK JARABE 3 JARABE TERMINADO</v>
      </c>
      <c r="H522" s="5">
        <f ca="1">IFERROR(__xludf.DUMMYFUNCTION("""COMPUTED_VALUE"""),13247152)</f>
        <v>13247152</v>
      </c>
      <c r="I522" s="5" t="str">
        <f ca="1">IFERROR(__xludf.DUMMYFUNCTION("""COMPUTED_VALUE"""),"ANTON PAAR - dentro de la cubierta de")</f>
        <v>ANTON PAAR - dentro de la cubierta de</v>
      </c>
      <c r="J522" s="5" t="str">
        <f ca="1">IFERROR(__xludf.DUMMYFUNCTION("""COMPUTED_VALUE"""),"ALTO")</f>
        <v>ALTO</v>
      </c>
      <c r="K522" s="5" t="str">
        <f ca="1">IFERROR(__xludf.DUMMYFUNCTION("""COMPUTED_VALUE"""),"Preventivo")</f>
        <v>Preventivo</v>
      </c>
      <c r="L522" s="5" t="str">
        <f ca="1">IFERROR(__xludf.DUMMYFUNCTION("""COMPUTED_VALUE"""),"Maquinaria")</f>
        <v>Maquinaria</v>
      </c>
      <c r="M522" s="5" t="str">
        <f ca="1">IFERROR(__xludf.DUMMYFUNCTION("""COMPUTED_VALUE"""),"No")</f>
        <v>No</v>
      </c>
      <c r="N522" s="5"/>
      <c r="O522" s="5">
        <f ca="1">IFERROR(__xludf.DUMMYFUNCTION("""COMPUTED_VALUE"""),100)</f>
        <v>100</v>
      </c>
      <c r="P522" s="18">
        <f ca="1">IFERROR(__xludf.DUMMYFUNCTION("""COMPUTED_VALUE"""),45342)</f>
        <v>45342</v>
      </c>
      <c r="Q522" s="18">
        <f ca="1">IFERROR(__xludf.DUMMYFUNCTION("""COMPUTED_VALUE"""),45342)</f>
        <v>45342</v>
      </c>
      <c r="R522" s="18"/>
      <c r="S522" s="5">
        <f ca="1">IFERROR(__xludf.DUMMYFUNCTION("""COMPUTED_VALUE"""),1)</f>
        <v>1</v>
      </c>
      <c r="T522" s="5"/>
      <c r="U522" s="5" t="str">
        <f ca="1">IFERROR(__xludf.DUMMYFUNCTION("""COMPUTED_VALUE"""),"Moreno Pernia Bladimir")</f>
        <v>Moreno Pernia Bladimir</v>
      </c>
      <c r="V522" s="5"/>
      <c r="W522" s="5" t="str">
        <f ca="1">IFERROR(__xludf.DUMMYFUNCTION("""COMPUTED_VALUE"""),"5J8CJuqpX68")</f>
        <v>5J8CJuqpX68</v>
      </c>
      <c r="X522" s="5">
        <f ca="1">IFERROR(__xludf.DUMMYFUNCTION("""COMPUTED_VALUE"""),1)</f>
        <v>1</v>
      </c>
      <c r="Y522" s="5" t="str">
        <f t="shared" ca="1" si="4"/>
        <v>Actividad realizada</v>
      </c>
      <c r="Z522" s="3">
        <f ca="1">IFERROR(VLOOKUP(U522, 'Base de datos'!A:B, 2, FALSE), "")</f>
        <v>573148903137</v>
      </c>
      <c r="AA522" s="4" t="e">
        <f t="shared" ca="1" si="5"/>
        <v>#NAME?</v>
      </c>
    </row>
    <row r="523" spans="1:27" ht="15.75" customHeight="1">
      <c r="A523" s="5" t="str">
        <f ca="1">IFERROR(__xludf.DUMMYFUNCTION("""COMPUTED_VALUE"""),"POSTOBÓN YUMBO")</f>
        <v>POSTOBÓN YUMBO</v>
      </c>
      <c r="B523" s="5" t="str">
        <f ca="1">IFERROR(__xludf.DUMMYFUNCTION("""COMPUTED_VALUE"""),"0410-LINEA 1")</f>
        <v>0410-LINEA 1</v>
      </c>
      <c r="C523" s="5" t="str">
        <f ca="1">IFERROR(__xludf.DUMMYFUNCTION("""COMPUTED_VALUE"""),"LINEA DE ENVASADO PET NO RETORNABLE")</f>
        <v>LINEA DE ENVASADO PET NO RETORNABLE</v>
      </c>
      <c r="D523" s="5">
        <f ca="1">IFERROR(__xludf.DUMMYFUNCTION("""COMPUTED_VALUE"""),51863502)</f>
        <v>51863502</v>
      </c>
      <c r="E523" s="5" t="str">
        <f ca="1">IFERROR(__xludf.DUMMYFUNCTION("""COMPUTED_VALUE"""),"ELEVADOR TAPAS")</f>
        <v>ELEVADOR TAPAS</v>
      </c>
      <c r="F523" s="5">
        <f ca="1">IFERROR(__xludf.DUMMYFUNCTION("""COMPUTED_VALUE"""),22590)</f>
        <v>22590</v>
      </c>
      <c r="G523" s="5" t="str">
        <f ca="1">IFERROR(__xludf.DUMMYFUNCTION("""COMPUTED_VALUE"""),"PLAN MTTO LUB ELEVADOR TAPAS 51863502 L1")</f>
        <v>PLAN MTTO LUB ELEVADOR TAPAS 51863502 L1</v>
      </c>
      <c r="H523" s="5">
        <f ca="1">IFERROR(__xludf.DUMMYFUNCTION("""COMPUTED_VALUE"""),13247217)</f>
        <v>13247217</v>
      </c>
      <c r="I523" s="5" t="str">
        <f ca="1">IFERROR(__xludf.DUMMYFUNCTION("""COMPUTED_VALUE"""),"Lubricar chumaceras")</f>
        <v>Lubricar chumaceras</v>
      </c>
      <c r="J523" s="5" t="str">
        <f ca="1">IFERROR(__xludf.DUMMYFUNCTION("""COMPUTED_VALUE"""),"ALTO")</f>
        <v>ALTO</v>
      </c>
      <c r="K523" s="5" t="str">
        <f ca="1">IFERROR(__xludf.DUMMYFUNCTION("""COMPUTED_VALUE"""),"Preventivo")</f>
        <v>Preventivo</v>
      </c>
      <c r="L523" s="5" t="str">
        <f ca="1">IFERROR(__xludf.DUMMYFUNCTION("""COMPUTED_VALUE"""),"Maquinaria")</f>
        <v>Maquinaria</v>
      </c>
      <c r="M523" s="5" t="str">
        <f ca="1">IFERROR(__xludf.DUMMYFUNCTION("""COMPUTED_VALUE"""),"No")</f>
        <v>No</v>
      </c>
      <c r="N523" s="5"/>
      <c r="O523" s="5"/>
      <c r="P523" s="18">
        <f ca="1">IFERROR(__xludf.DUMMYFUNCTION("""COMPUTED_VALUE"""),45335)</f>
        <v>45335</v>
      </c>
      <c r="Q523" s="18">
        <f ca="1">IFERROR(__xludf.DUMMYFUNCTION("""COMPUTED_VALUE"""),45335)</f>
        <v>45335</v>
      </c>
      <c r="R523" s="18"/>
      <c r="S523" s="5">
        <f ca="1">IFERROR(__xludf.DUMMYFUNCTION("""COMPUTED_VALUE"""),0.5)</f>
        <v>0.5</v>
      </c>
      <c r="T523" s="5"/>
      <c r="U523" s="5" t="str">
        <f ca="1">IFERROR(__xludf.DUMMYFUNCTION("""COMPUTED_VALUE"""),"FRANCO HERRERA ALEJANDRO")</f>
        <v>FRANCO HERRERA ALEJANDRO</v>
      </c>
      <c r="V523" s="5"/>
      <c r="W523" s="5" t="str">
        <f ca="1">IFERROR(__xludf.DUMMYFUNCTION("""COMPUTED_VALUE"""),"AAkGCgRdPqU")</f>
        <v>AAkGCgRdPqU</v>
      </c>
      <c r="X523" s="5">
        <f ca="1">IFERROR(__xludf.DUMMYFUNCTION("""COMPUTED_VALUE"""),0.5)</f>
        <v>0.5</v>
      </c>
      <c r="Y523" s="5" t="str">
        <f t="shared" si="4"/>
        <v>Actividad sin realizar</v>
      </c>
      <c r="Z523" s="3">
        <f ca="1">IFERROR(VLOOKUP(U523, 'Base de datos'!A:B, 2, FALSE), "")</f>
        <v>573015282155</v>
      </c>
      <c r="AA523" s="4" t="e">
        <f t="shared" ca="1" si="5"/>
        <v>#NAME?</v>
      </c>
    </row>
    <row r="524" spans="1:27" ht="15.75" customHeight="1">
      <c r="A524" s="5" t="str">
        <f ca="1">IFERROR(__xludf.DUMMYFUNCTION("""COMPUTED_VALUE"""),"POSTOBÓN YUMBO")</f>
        <v>POSTOBÓN YUMBO</v>
      </c>
      <c r="B524" s="5" t="str">
        <f ca="1">IFERROR(__xludf.DUMMYFUNCTION("""COMPUTED_VALUE"""),"0410-SALA DE JARABE TERMINADO")</f>
        <v>0410-SALA DE JARABE TERMINADO</v>
      </c>
      <c r="C524" s="5" t="str">
        <f ca="1">IFERROR(__xludf.DUMMYFUNCTION("""COMPUTED_VALUE"""),"EQUIPOS PARA PREPARACION DE JARABE")</f>
        <v>EQUIPOS PARA PREPARACION DE JARABE</v>
      </c>
      <c r="D524" s="5">
        <f ca="1">IFERROR(__xludf.DUMMYFUNCTION("""COMPUTED_VALUE"""),69963411)</f>
        <v>69963411</v>
      </c>
      <c r="E524" s="5" t="str">
        <f ca="1">IFERROR(__xludf.DUMMYFUNCTION("""COMPUTED_VALUE"""),"TANQUE DE JARABE")</f>
        <v>TANQUE DE JARABE</v>
      </c>
      <c r="F524" s="5">
        <f ca="1">IFERROR(__xludf.DUMMYFUNCTION("""COMPUTED_VALUE"""),17361)</f>
        <v>17361</v>
      </c>
      <c r="G524" s="5" t="str">
        <f ca="1">IFERROR(__xludf.DUMMYFUNCTION("""COMPUTED_VALUE"""),"MTTO MEC TK JARABE 8 JARABE TERMINADO")</f>
        <v>MTTO MEC TK JARABE 8 JARABE TERMINADO</v>
      </c>
      <c r="H524" s="5">
        <f ca="1">IFERROR(__xludf.DUMMYFUNCTION("""COMPUTED_VALUE"""),13247162)</f>
        <v>13247162</v>
      </c>
      <c r="I524" s="5" t="str">
        <f ca="1">IFERROR(__xludf.DUMMYFUNCTION("""COMPUTED_VALUE"""),"ANTON PAAR - remplace los diafragmas")</f>
        <v>ANTON PAAR - remplace los diafragmas</v>
      </c>
      <c r="J524" s="5" t="str">
        <f ca="1">IFERROR(__xludf.DUMMYFUNCTION("""COMPUTED_VALUE"""),"ALTO")</f>
        <v>ALTO</v>
      </c>
      <c r="K524" s="5" t="str">
        <f ca="1">IFERROR(__xludf.DUMMYFUNCTION("""COMPUTED_VALUE"""),"Preventivo")</f>
        <v>Preventivo</v>
      </c>
      <c r="L524" s="5" t="str">
        <f ca="1">IFERROR(__xludf.DUMMYFUNCTION("""COMPUTED_VALUE"""),"Maquinaria")</f>
        <v>Maquinaria</v>
      </c>
      <c r="M524" s="5" t="str">
        <f ca="1">IFERROR(__xludf.DUMMYFUNCTION("""COMPUTED_VALUE"""),"No")</f>
        <v>No</v>
      </c>
      <c r="N524" s="5"/>
      <c r="O524" s="5">
        <f ca="1">IFERROR(__xludf.DUMMYFUNCTION("""COMPUTED_VALUE"""),100)</f>
        <v>100</v>
      </c>
      <c r="P524" s="18">
        <f ca="1">IFERROR(__xludf.DUMMYFUNCTION("""COMPUTED_VALUE"""),45342)</f>
        <v>45342</v>
      </c>
      <c r="Q524" s="18">
        <f ca="1">IFERROR(__xludf.DUMMYFUNCTION("""COMPUTED_VALUE"""),45342)</f>
        <v>45342</v>
      </c>
      <c r="R524" s="18"/>
      <c r="S524" s="5">
        <f ca="1">IFERROR(__xludf.DUMMYFUNCTION("""COMPUTED_VALUE"""),8)</f>
        <v>8</v>
      </c>
      <c r="T524" s="5"/>
      <c r="U524" s="5" t="str">
        <f ca="1">IFERROR(__xludf.DUMMYFUNCTION("""COMPUTED_VALUE"""),"Rivas Mena Carlos Danny")</f>
        <v>Rivas Mena Carlos Danny</v>
      </c>
      <c r="V524" s="5"/>
      <c r="W524" s="5" t="str">
        <f ca="1">IFERROR(__xludf.DUMMYFUNCTION("""COMPUTED_VALUE"""),"DT-jQFfNsnQ")</f>
        <v>DT-jQFfNsnQ</v>
      </c>
      <c r="X524" s="5">
        <f ca="1">IFERROR(__xludf.DUMMYFUNCTION("""COMPUTED_VALUE"""),8)</f>
        <v>8</v>
      </c>
      <c r="Y524" s="5" t="str">
        <f t="shared" ca="1" si="4"/>
        <v>Actividad realizada</v>
      </c>
      <c r="Z524" s="3">
        <f ca="1">IFERROR(VLOOKUP(U524, 'Base de datos'!A:B, 2, FALSE), "")</f>
        <v>0</v>
      </c>
      <c r="AA524" s="4" t="e">
        <f t="shared" ca="1" si="5"/>
        <v>#NAME?</v>
      </c>
    </row>
    <row r="525" spans="1:27" ht="15.75" customHeight="1">
      <c r="A525" s="5" t="str">
        <f ca="1">IFERROR(__xludf.DUMMYFUNCTION("""COMPUTED_VALUE"""),"POSTOBÓN YUMBO")</f>
        <v>POSTOBÓN YUMBO</v>
      </c>
      <c r="B525" s="5" t="str">
        <f ca="1">IFERROR(__xludf.DUMMYFUNCTION("""COMPUTED_VALUE"""),"0410-LINEA 1")</f>
        <v>0410-LINEA 1</v>
      </c>
      <c r="C525" s="5" t="str">
        <f ca="1">IFERROR(__xludf.DUMMYFUNCTION("""COMPUTED_VALUE"""),"LINEA DE ENVASADO PET NO RETORNABLE")</f>
        <v>LINEA DE ENVASADO PET NO RETORNABLE</v>
      </c>
      <c r="D525" s="5">
        <f ca="1">IFERROR(__xludf.DUMMYFUNCTION("""COMPUTED_VALUE"""),710316)</f>
        <v>710316</v>
      </c>
      <c r="E525" s="5" t="str">
        <f ca="1">IFERROR(__xludf.DUMMYFUNCTION("""COMPUTED_VALUE"""),"EMBANDEJADORA VARIOPAC")</f>
        <v>EMBANDEJADORA VARIOPAC</v>
      </c>
      <c r="F525" s="5">
        <f ca="1">IFERROR(__xludf.DUMMYFUNCTION("""COMPUTED_VALUE"""),22591)</f>
        <v>22591</v>
      </c>
      <c r="G525" s="5" t="str">
        <f ca="1">IFERROR(__xludf.DUMMYFUNCTION("""COMPUTED_VALUE"""),"PLAN MTTO LUB EMBANDEJ VARIOP 710316")</f>
        <v>PLAN MTTO LUB EMBANDEJ VARIOP 710316</v>
      </c>
      <c r="H525" s="5">
        <f ca="1">IFERROR(__xludf.DUMMYFUNCTION("""COMPUTED_VALUE"""),13247218)</f>
        <v>13247218</v>
      </c>
      <c r="I525" s="5" t="str">
        <f ca="1">IFERROR(__xludf.DUMMYFUNCTION("""COMPUTED_VALUE"""),"Lubricacion")</f>
        <v>Lubricacion</v>
      </c>
      <c r="J525" s="5" t="str">
        <f ca="1">IFERROR(__xludf.DUMMYFUNCTION("""COMPUTED_VALUE"""),"MEDIO")</f>
        <v>MEDIO</v>
      </c>
      <c r="K525" s="5" t="str">
        <f ca="1">IFERROR(__xludf.DUMMYFUNCTION("""COMPUTED_VALUE"""),"Preventivo")</f>
        <v>Preventivo</v>
      </c>
      <c r="L525" s="5" t="str">
        <f ca="1">IFERROR(__xludf.DUMMYFUNCTION("""COMPUTED_VALUE"""),"Maquinaria")</f>
        <v>Maquinaria</v>
      </c>
      <c r="M525" s="5" t="str">
        <f ca="1">IFERROR(__xludf.DUMMYFUNCTION("""COMPUTED_VALUE"""),"No")</f>
        <v>No</v>
      </c>
      <c r="N525" s="5"/>
      <c r="O525" s="5"/>
      <c r="P525" s="18">
        <f ca="1">IFERROR(__xludf.DUMMYFUNCTION("""COMPUTED_VALUE"""),45336)</f>
        <v>45336</v>
      </c>
      <c r="Q525" s="18">
        <f ca="1">IFERROR(__xludf.DUMMYFUNCTION("""COMPUTED_VALUE"""),45336)</f>
        <v>45336</v>
      </c>
      <c r="R525" s="18"/>
      <c r="S525" s="5">
        <f ca="1">IFERROR(__xludf.DUMMYFUNCTION("""COMPUTED_VALUE"""),0.5)</f>
        <v>0.5</v>
      </c>
      <c r="T525" s="5"/>
      <c r="U525" s="5" t="str">
        <f ca="1">IFERROR(__xludf.DUMMYFUNCTION("""COMPUTED_VALUE"""),"Leon Narvaez Andres Felipe")</f>
        <v>Leon Narvaez Andres Felipe</v>
      </c>
      <c r="V525" s="5"/>
      <c r="W525" s="5" t="str">
        <f ca="1">IFERROR(__xludf.DUMMYFUNCTION("""COMPUTED_VALUE"""),"slgAK3hz1ZU")</f>
        <v>slgAK3hz1ZU</v>
      </c>
      <c r="X525" s="5">
        <f ca="1">IFERROR(__xludf.DUMMYFUNCTION("""COMPUTED_VALUE"""),0.5)</f>
        <v>0.5</v>
      </c>
      <c r="Y525" s="5" t="str">
        <f t="shared" si="4"/>
        <v>Actividad sin realizar</v>
      </c>
      <c r="Z525" s="3">
        <f ca="1">IFERROR(VLOOKUP(U525, 'Base de datos'!A:B, 2, FALSE), "")</f>
        <v>573145741289</v>
      </c>
      <c r="AA525" s="4" t="e">
        <f t="shared" ca="1" si="5"/>
        <v>#NAME?</v>
      </c>
    </row>
    <row r="526" spans="1:27" ht="15.75" customHeight="1">
      <c r="A526" s="5" t="str">
        <f ca="1">IFERROR(__xludf.DUMMYFUNCTION("""COMPUTED_VALUE"""),"POSTOBÓN YUMBO")</f>
        <v>POSTOBÓN YUMBO</v>
      </c>
      <c r="B526" s="5" t="str">
        <f ca="1">IFERROR(__xludf.DUMMYFUNCTION("""COMPUTED_VALUE"""),"0410-ENVASADO JUGOS PET HOT F")</f>
        <v>0410-ENVASADO JUGOS PET HOT F</v>
      </c>
      <c r="C526" s="5" t="str">
        <f ca="1">IFERROR(__xludf.DUMMYFUNCTION("""COMPUTED_VALUE"""),"LINEA DE ENVASADO JUGOS PET HOT FILL")</f>
        <v>LINEA DE ENVASADO JUGOS PET HOT FILL</v>
      </c>
      <c r="D526" s="5">
        <f ca="1">IFERROR(__xludf.DUMMYFUNCTION("""COMPUTED_VALUE"""),579064)</f>
        <v>579064</v>
      </c>
      <c r="E526" s="5" t="str">
        <f ca="1">IFERROR(__xludf.DUMMYFUNCTION("""COMPUTED_VALUE"""),"ENVOLVEDORA DE FILM")</f>
        <v>ENVOLVEDORA DE FILM</v>
      </c>
      <c r="F526" s="5">
        <f ca="1">IFERROR(__xludf.DUMMYFUNCTION("""COMPUTED_VALUE"""),22450)</f>
        <v>22450</v>
      </c>
      <c r="G526" s="5" t="str">
        <f ca="1">IFERROR(__xludf.DUMMYFUNCTION("""COMPUTED_VALUE"""),"PLAN MTTO MEC ENVOLVEDORA DE FILM 579064")</f>
        <v>PLAN MTTO MEC ENVOLVEDORA DE FILM 579064</v>
      </c>
      <c r="H526" s="5">
        <f ca="1">IFERROR(__xludf.DUMMYFUNCTION("""COMPUTED_VALUE"""),13174140)</f>
        <v>13174140</v>
      </c>
      <c r="I526" s="5" t="str">
        <f ca="1">IFERROR(__xludf.DUMMYFUNCTION("""COMPUTED_VALUE"""),"mtto general sistema de elevasion: cambi")</f>
        <v>mtto general sistema de elevasion: cambi</v>
      </c>
      <c r="J526" s="5" t="str">
        <f ca="1">IFERROR(__xludf.DUMMYFUNCTION("""COMPUTED_VALUE"""),"BAJO")</f>
        <v>BAJO</v>
      </c>
      <c r="K526" s="5" t="str">
        <f ca="1">IFERROR(__xludf.DUMMYFUNCTION("""COMPUTED_VALUE"""),"Preventivo")</f>
        <v>Preventivo</v>
      </c>
      <c r="L526" s="5" t="str">
        <f ca="1">IFERROR(__xludf.DUMMYFUNCTION("""COMPUTED_VALUE"""),"Maquinaria")</f>
        <v>Maquinaria</v>
      </c>
      <c r="M526" s="5" t="str">
        <f ca="1">IFERROR(__xludf.DUMMYFUNCTION("""COMPUTED_VALUE"""),"No")</f>
        <v>No</v>
      </c>
      <c r="N526" s="5"/>
      <c r="O526" s="5"/>
      <c r="P526" s="18">
        <f ca="1">IFERROR(__xludf.DUMMYFUNCTION("""COMPUTED_VALUE"""),45323)</f>
        <v>45323</v>
      </c>
      <c r="Q526" s="18">
        <f ca="1">IFERROR(__xludf.DUMMYFUNCTION("""COMPUTED_VALUE"""),45323)</f>
        <v>45323</v>
      </c>
      <c r="R526" s="18">
        <f ca="1">IFERROR(__xludf.DUMMYFUNCTION("""COMPUTED_VALUE"""),17)</f>
        <v>17</v>
      </c>
      <c r="S526" s="5">
        <f ca="1">IFERROR(__xludf.DUMMYFUNCTION("""COMPUTED_VALUE"""),16)</f>
        <v>16</v>
      </c>
      <c r="T526" s="5"/>
      <c r="U526" s="5" t="str">
        <f ca="1">IFERROR(__xludf.DUMMYFUNCTION("""COMPUTED_VALUE"""),"Martinez Delgado Osver")</f>
        <v>Martinez Delgado Osver</v>
      </c>
      <c r="V526" s="5"/>
      <c r="W526" s="5" t="str">
        <f ca="1">IFERROR(__xludf.DUMMYFUNCTION("""COMPUTED_VALUE"""),"ZPhkfRUvZqo")</f>
        <v>ZPhkfRUvZqo</v>
      </c>
      <c r="X526" s="5">
        <f ca="1">IFERROR(__xludf.DUMMYFUNCTION("""COMPUTED_VALUE"""),16)</f>
        <v>16</v>
      </c>
      <c r="Y526" s="5" t="str">
        <f t="shared" si="4"/>
        <v>Actividad sin realizar</v>
      </c>
      <c r="Z526" s="3">
        <f ca="1">IFERROR(VLOOKUP(U526, 'Base de datos'!A:B, 2, FALSE), "")</f>
        <v>573104055117</v>
      </c>
      <c r="AA526" s="4" t="e">
        <f t="shared" ca="1" si="5"/>
        <v>#NAME?</v>
      </c>
    </row>
    <row r="527" spans="1:27" ht="15.75" customHeight="1">
      <c r="A527" s="5" t="str">
        <f ca="1">IFERROR(__xludf.DUMMYFUNCTION("""COMPUTED_VALUE"""),"POSTOBÓN YUMBO")</f>
        <v>POSTOBÓN YUMBO</v>
      </c>
      <c r="B527" s="5" t="str">
        <f ca="1">IFERROR(__xludf.DUMMYFUNCTION("""COMPUTED_VALUE"""),"0410-SALA DE JARABE TERMINADO")</f>
        <v>0410-SALA DE JARABE TERMINADO</v>
      </c>
      <c r="C527" s="5" t="str">
        <f ca="1">IFERROR(__xludf.DUMMYFUNCTION("""COMPUTED_VALUE"""),"EQUIPOS PARA PREPARACION DE JARABE")</f>
        <v>EQUIPOS PARA PREPARACION DE JARABE</v>
      </c>
      <c r="D527" s="5">
        <f ca="1">IFERROR(__xludf.DUMMYFUNCTION("""COMPUTED_VALUE"""),69963405)</f>
        <v>69963405</v>
      </c>
      <c r="E527" s="5" t="str">
        <f ca="1">IFERROR(__xludf.DUMMYFUNCTION("""COMPUTED_VALUE"""),"TANQUE DE JARABE")</f>
        <v>TANQUE DE JARABE</v>
      </c>
      <c r="F527" s="5">
        <f ca="1">IFERROR(__xludf.DUMMYFUNCTION("""COMPUTED_VALUE"""),17361)</f>
        <v>17361</v>
      </c>
      <c r="G527" s="5" t="str">
        <f ca="1">IFERROR(__xludf.DUMMYFUNCTION("""COMPUTED_VALUE"""),"MTTO MEC TK JARABE 2 JARABE TERMINADO")</f>
        <v>MTTO MEC TK JARABE 2 JARABE TERMINADO</v>
      </c>
      <c r="H527" s="5">
        <f ca="1">IFERROR(__xludf.DUMMYFUNCTION("""COMPUTED_VALUE"""),13247150)</f>
        <v>13247150</v>
      </c>
      <c r="I527" s="5" t="str">
        <f ca="1">IFERROR(__xludf.DUMMYFUNCTION("""COMPUTED_VALUE"""),"ANTON PAAR - dentro de la cubierta de")</f>
        <v>ANTON PAAR - dentro de la cubierta de</v>
      </c>
      <c r="J527" s="5" t="str">
        <f ca="1">IFERROR(__xludf.DUMMYFUNCTION("""COMPUTED_VALUE"""),"ALTO")</f>
        <v>ALTO</v>
      </c>
      <c r="K527" s="5" t="str">
        <f ca="1">IFERROR(__xludf.DUMMYFUNCTION("""COMPUTED_VALUE"""),"Preventivo")</f>
        <v>Preventivo</v>
      </c>
      <c r="L527" s="5" t="str">
        <f ca="1">IFERROR(__xludf.DUMMYFUNCTION("""COMPUTED_VALUE"""),"Maquinaria")</f>
        <v>Maquinaria</v>
      </c>
      <c r="M527" s="5" t="str">
        <f ca="1">IFERROR(__xludf.DUMMYFUNCTION("""COMPUTED_VALUE"""),"No")</f>
        <v>No</v>
      </c>
      <c r="N527" s="5"/>
      <c r="O527" s="5">
        <f ca="1">IFERROR(__xludf.DUMMYFUNCTION("""COMPUTED_VALUE"""),100)</f>
        <v>100</v>
      </c>
      <c r="P527" s="18">
        <f ca="1">IFERROR(__xludf.DUMMYFUNCTION("""COMPUTED_VALUE"""),45342)</f>
        <v>45342</v>
      </c>
      <c r="Q527" s="18">
        <f ca="1">IFERROR(__xludf.DUMMYFUNCTION("""COMPUTED_VALUE"""),45342)</f>
        <v>45342</v>
      </c>
      <c r="R527" s="18"/>
      <c r="S527" s="5">
        <f ca="1">IFERROR(__xludf.DUMMYFUNCTION("""COMPUTED_VALUE"""),1)</f>
        <v>1</v>
      </c>
      <c r="T527" s="5"/>
      <c r="U527" s="5" t="str">
        <f ca="1">IFERROR(__xludf.DUMMYFUNCTION("""COMPUTED_VALUE"""),"Moreno Pernia Bladimir")</f>
        <v>Moreno Pernia Bladimir</v>
      </c>
      <c r="V527" s="5"/>
      <c r="W527" s="5" t="str">
        <f ca="1">IFERROR(__xludf.DUMMYFUNCTION("""COMPUTED_VALUE"""),"J0oovZTXT64")</f>
        <v>J0oovZTXT64</v>
      </c>
      <c r="X527" s="5">
        <f ca="1">IFERROR(__xludf.DUMMYFUNCTION("""COMPUTED_VALUE"""),1)</f>
        <v>1</v>
      </c>
      <c r="Y527" s="5" t="str">
        <f t="shared" ca="1" si="4"/>
        <v>Actividad realizada</v>
      </c>
      <c r="Z527" s="3">
        <f ca="1">IFERROR(VLOOKUP(U527, 'Base de datos'!A:B, 2, FALSE), "")</f>
        <v>573148903137</v>
      </c>
      <c r="AA527" s="4" t="e">
        <f t="shared" ca="1" si="5"/>
        <v>#NAME?</v>
      </c>
    </row>
    <row r="528" spans="1:27" ht="15.75" customHeight="1">
      <c r="A528" s="5" t="str">
        <f ca="1">IFERROR(__xludf.DUMMYFUNCTION("""COMPUTED_VALUE"""),"POSTOBÓN YUMBO")</f>
        <v>POSTOBÓN YUMBO</v>
      </c>
      <c r="B528" s="5" t="str">
        <f ca="1">IFERROR(__xludf.DUMMYFUNCTION("""COMPUTED_VALUE"""),"0410-LINEA GARRAFAS")</f>
        <v>0410-LINEA GARRAFAS</v>
      </c>
      <c r="C528" s="5" t="str">
        <f ca="1">IFERROR(__xludf.DUMMYFUNCTION("""COMPUTED_VALUE"""),"LINEA PARA EL LLENADO DE GARRAFAS")</f>
        <v>LINEA PARA EL LLENADO DE GARRAFAS</v>
      </c>
      <c r="D528" s="5">
        <f ca="1">IFERROR(__xludf.DUMMYFUNCTION("""COMPUTED_VALUE"""),71951102)</f>
        <v>71951102</v>
      </c>
      <c r="E528" s="5" t="str">
        <f ca="1">IFERROR(__xludf.DUMMYFUNCTION("""COMPUTED_VALUE"""),"CODIFICADOR")</f>
        <v>CODIFICADOR</v>
      </c>
      <c r="F528" s="5">
        <f ca="1">IFERROR(__xludf.DUMMYFUNCTION("""COMPUTED_VALUE"""),22719)</f>
        <v>22719</v>
      </c>
      <c r="G528" s="5" t="str">
        <f ca="1">IFERROR(__xludf.DUMMYFUNCTION("""COMPUTED_VALUE"""),"PLAN MTTO ELE CODIFICAD GARRAFA 71951102")</f>
        <v>PLAN MTTO ELE CODIFICAD GARRAFA 71951102</v>
      </c>
      <c r="H528" s="5">
        <f ca="1">IFERROR(__xludf.DUMMYFUNCTION("""COMPUTED_VALUE"""),13214311)</f>
        <v>13214311</v>
      </c>
      <c r="I528" s="5" t="str">
        <f ca="1">IFERROR(__xludf.DUMMYFUNCTION("""COMPUTED_VALUE"""),"mtto 3600 Horas")</f>
        <v>mtto 3600 Horas</v>
      </c>
      <c r="J528" s="5" t="str">
        <f ca="1">IFERROR(__xludf.DUMMYFUNCTION("""COMPUTED_VALUE"""),"ALTO")</f>
        <v>ALTO</v>
      </c>
      <c r="K528" s="5" t="str">
        <f ca="1">IFERROR(__xludf.DUMMYFUNCTION("""COMPUTED_VALUE"""),"Preventivo")</f>
        <v>Preventivo</v>
      </c>
      <c r="L528" s="5" t="str">
        <f ca="1">IFERROR(__xludf.DUMMYFUNCTION("""COMPUTED_VALUE"""),"Maquinaria")</f>
        <v>Maquinaria</v>
      </c>
      <c r="M528" s="5" t="str">
        <f ca="1">IFERROR(__xludf.DUMMYFUNCTION("""COMPUTED_VALUE"""),"No")</f>
        <v>No</v>
      </c>
      <c r="N528" s="5"/>
      <c r="O528" s="5"/>
      <c r="P528" s="18">
        <f ca="1">IFERROR(__xludf.DUMMYFUNCTION("""COMPUTED_VALUE"""),45330)</f>
        <v>45330</v>
      </c>
      <c r="Q528" s="18">
        <f ca="1">IFERROR(__xludf.DUMMYFUNCTION("""COMPUTED_VALUE"""),45330)</f>
        <v>45330</v>
      </c>
      <c r="R528" s="18"/>
      <c r="S528" s="5">
        <f ca="1">IFERROR(__xludf.DUMMYFUNCTION("""COMPUTED_VALUE"""),8)</f>
        <v>8</v>
      </c>
      <c r="T528" s="5"/>
      <c r="U528" s="5" t="str">
        <f ca="1">IFERROR(__xludf.DUMMYFUNCTION("""COMPUTED_VALUE"""),"Víctor David Burbano Gómez")</f>
        <v>Víctor David Burbano Gómez</v>
      </c>
      <c r="V528" s="5"/>
      <c r="W528" s="5" t="str">
        <f ca="1">IFERROR(__xludf.DUMMYFUNCTION("""COMPUTED_VALUE"""),"P2-xykhPm3Q")</f>
        <v>P2-xykhPm3Q</v>
      </c>
      <c r="X528" s="5">
        <f ca="1">IFERROR(__xludf.DUMMYFUNCTION("""COMPUTED_VALUE"""),8)</f>
        <v>8</v>
      </c>
      <c r="Y528" s="5" t="str">
        <f t="shared" si="4"/>
        <v>Actividad sin realizar</v>
      </c>
      <c r="Z528" s="3">
        <f ca="1">IFERROR(VLOOKUP(U528, 'Base de datos'!A:B, 2, FALSE), "")</f>
        <v>573023403586</v>
      </c>
      <c r="AA528" s="4" t="e">
        <f t="shared" ca="1" si="5"/>
        <v>#NAME?</v>
      </c>
    </row>
    <row r="529" spans="1:27" ht="15.75" customHeight="1">
      <c r="A529" s="5" t="str">
        <f ca="1">IFERROR(__xludf.DUMMYFUNCTION("""COMPUTED_VALUE"""),"POSTOBÓN YUMBO")</f>
        <v>POSTOBÓN YUMBO</v>
      </c>
      <c r="B529" s="5" t="str">
        <f ca="1">IFERROR(__xludf.DUMMYFUNCTION("""COMPUTED_VALUE"""),"0410-LINEA PET CSD")</f>
        <v>0410-LINEA PET CSD</v>
      </c>
      <c r="C529" s="5" t="str">
        <f ca="1">IFERROR(__xludf.DUMMYFUNCTION("""COMPUTED_VALUE"""),"LINEA PET CSD - LINEA 10")</f>
        <v>LINEA PET CSD - LINEA 10</v>
      </c>
      <c r="D529" s="5">
        <f ca="1">IFERROR(__xludf.DUMMYFUNCTION("""COMPUTED_VALUE"""),820082)</f>
        <v>820082</v>
      </c>
      <c r="E529" s="5" t="str">
        <f ca="1">IFERROR(__xludf.DUMMYFUNCTION("""COMPUTED_VALUE"""),"ETIQUETADORA ENVOLVENTE")</f>
        <v>ETIQUETADORA ENVOLVENTE</v>
      </c>
      <c r="F529" s="5">
        <f ca="1">IFERROR(__xludf.DUMMYFUNCTION("""COMPUTED_VALUE"""),25365)</f>
        <v>25365</v>
      </c>
      <c r="G529" s="5" t="str">
        <f ca="1">IFERROR(__xludf.DUMMYFUNCTION("""COMPUTED_VALUE"""),"PLAN MTTO MEC ETIQUETADORA CSD")</f>
        <v>PLAN MTTO MEC ETIQUETADORA CSD</v>
      </c>
      <c r="H529" s="5">
        <f ca="1">IFERROR(__xludf.DUMMYFUNCTION("""COMPUTED_VALUE"""),13232379)</f>
        <v>13232379</v>
      </c>
      <c r="I529" s="5" t="str">
        <f ca="1">IFERROR(__xludf.DUMMYFUNCTION("""COMPUTED_VALUE"""),"Unidad mantenimiento")</f>
        <v>Unidad mantenimiento</v>
      </c>
      <c r="J529" s="5" t="str">
        <f ca="1">IFERROR(__xludf.DUMMYFUNCTION("""COMPUTED_VALUE"""),"MEDIO")</f>
        <v>MEDIO</v>
      </c>
      <c r="K529" s="5" t="str">
        <f ca="1">IFERROR(__xludf.DUMMYFUNCTION("""COMPUTED_VALUE"""),"Preventivo")</f>
        <v>Preventivo</v>
      </c>
      <c r="L529" s="5" t="str">
        <f ca="1">IFERROR(__xludf.DUMMYFUNCTION("""COMPUTED_VALUE"""),"Maquinaria")</f>
        <v>Maquinaria</v>
      </c>
      <c r="M529" s="5" t="str">
        <f ca="1">IFERROR(__xludf.DUMMYFUNCTION("""COMPUTED_VALUE"""),"No")</f>
        <v>No</v>
      </c>
      <c r="N529" s="5"/>
      <c r="O529" s="5">
        <f ca="1">IFERROR(__xludf.DUMMYFUNCTION("""COMPUTED_VALUE"""),100)</f>
        <v>100</v>
      </c>
      <c r="P529" s="18">
        <f ca="1">IFERROR(__xludf.DUMMYFUNCTION("""COMPUTED_VALUE"""),45328)</f>
        <v>45328</v>
      </c>
      <c r="Q529" s="18">
        <f ca="1">IFERROR(__xludf.DUMMYFUNCTION("""COMPUTED_VALUE"""),45328)</f>
        <v>45328</v>
      </c>
      <c r="R529" s="18"/>
      <c r="S529" s="5">
        <f ca="1">IFERROR(__xludf.DUMMYFUNCTION("""COMPUTED_VALUE"""),1)</f>
        <v>1</v>
      </c>
      <c r="T529" s="5"/>
      <c r="U529" s="5" t="str">
        <f ca="1">IFERROR(__xludf.DUMMYFUNCTION("""COMPUTED_VALUE"""),"Gordillo Victoria Luis Miguel")</f>
        <v>Gordillo Victoria Luis Miguel</v>
      </c>
      <c r="V529" s="5"/>
      <c r="W529" s="5" t="str">
        <f ca="1">IFERROR(__xludf.DUMMYFUNCTION("""COMPUTED_VALUE"""),"14PLRMb2o9Y")</f>
        <v>14PLRMb2o9Y</v>
      </c>
      <c r="X529" s="5">
        <f ca="1">IFERROR(__xludf.DUMMYFUNCTION("""COMPUTED_VALUE"""),1)</f>
        <v>1</v>
      </c>
      <c r="Y529" s="5" t="str">
        <f t="shared" ca="1" si="4"/>
        <v>Actividad realizada</v>
      </c>
      <c r="Z529" s="3">
        <f ca="1">IFERROR(VLOOKUP(U529, 'Base de datos'!A:B, 2, FALSE), "")</f>
        <v>573023677706</v>
      </c>
      <c r="AA529" s="4" t="e">
        <f t="shared" ca="1" si="5"/>
        <v>#NAME?</v>
      </c>
    </row>
    <row r="530" spans="1:27" ht="15.75" customHeight="1">
      <c r="A530" s="5" t="str">
        <f ca="1">IFERROR(__xludf.DUMMYFUNCTION("""COMPUTED_VALUE"""),"POSTOBÓN YUMBO")</f>
        <v>POSTOBÓN YUMBO</v>
      </c>
      <c r="B530" s="5" t="str">
        <f ca="1">IFERROR(__xludf.DUMMYFUNCTION("""COMPUTED_VALUE"""),"0410-SALA DE JARABE TERMINADO")</f>
        <v>0410-SALA DE JARABE TERMINADO</v>
      </c>
      <c r="C530" s="5" t="str">
        <f ca="1">IFERROR(__xludf.DUMMYFUNCTION("""COMPUTED_VALUE"""),"EQUIPOS PARA PREPARACION DE JARABE")</f>
        <v>EQUIPOS PARA PREPARACION DE JARABE</v>
      </c>
      <c r="D530" s="5">
        <f ca="1">IFERROR(__xludf.DUMMYFUNCTION("""COMPUTED_VALUE"""),69963413)</f>
        <v>69963413</v>
      </c>
      <c r="E530" s="5" t="str">
        <f ca="1">IFERROR(__xludf.DUMMYFUNCTION("""COMPUTED_VALUE"""),"TANQUE DE JARABE")</f>
        <v>TANQUE DE JARABE</v>
      </c>
      <c r="F530" s="5">
        <f ca="1">IFERROR(__xludf.DUMMYFUNCTION("""COMPUTED_VALUE"""),17361)</f>
        <v>17361</v>
      </c>
      <c r="G530" s="5" t="str">
        <f ca="1">IFERROR(__xludf.DUMMYFUNCTION("""COMPUTED_VALUE"""),"MTTO MEC TK JARABE 10 JARABE TERMINADO")</f>
        <v>MTTO MEC TK JARABE 10 JARABE TERMINADO</v>
      </c>
      <c r="H530" s="5">
        <f ca="1">IFERROR(__xludf.DUMMYFUNCTION("""COMPUTED_VALUE"""),13247166)</f>
        <v>13247166</v>
      </c>
      <c r="I530" s="5" t="str">
        <f ca="1">IFERROR(__xludf.DUMMYFUNCTION("""COMPUTED_VALUE"""),"Sistema neumatico: revision fugas y esta")</f>
        <v>Sistema neumatico: revision fugas y esta</v>
      </c>
      <c r="J530" s="5" t="str">
        <f ca="1">IFERROR(__xludf.DUMMYFUNCTION("""COMPUTED_VALUE"""),"ALTO")</f>
        <v>ALTO</v>
      </c>
      <c r="K530" s="5" t="str">
        <f ca="1">IFERROR(__xludf.DUMMYFUNCTION("""COMPUTED_VALUE"""),"Preventivo")</f>
        <v>Preventivo</v>
      </c>
      <c r="L530" s="5" t="str">
        <f ca="1">IFERROR(__xludf.DUMMYFUNCTION("""COMPUTED_VALUE"""),"Maquinaria")</f>
        <v>Maquinaria</v>
      </c>
      <c r="M530" s="5" t="str">
        <f ca="1">IFERROR(__xludf.DUMMYFUNCTION("""COMPUTED_VALUE"""),"No")</f>
        <v>No</v>
      </c>
      <c r="N530" s="5"/>
      <c r="O530" s="5">
        <f ca="1">IFERROR(__xludf.DUMMYFUNCTION("""COMPUTED_VALUE"""),100)</f>
        <v>100</v>
      </c>
      <c r="P530" s="18">
        <f ca="1">IFERROR(__xludf.DUMMYFUNCTION("""COMPUTED_VALUE"""),45342)</f>
        <v>45342</v>
      </c>
      <c r="Q530" s="18">
        <f ca="1">IFERROR(__xludf.DUMMYFUNCTION("""COMPUTED_VALUE"""),45342)</f>
        <v>45342</v>
      </c>
      <c r="R530" s="18"/>
      <c r="S530" s="5">
        <f ca="1">IFERROR(__xludf.DUMMYFUNCTION("""COMPUTED_VALUE"""),1)</f>
        <v>1</v>
      </c>
      <c r="T530" s="5"/>
      <c r="U530" s="5" t="str">
        <f ca="1">IFERROR(__xludf.DUMMYFUNCTION("""COMPUTED_VALUE"""),"Rivas Mena Carlos Danny")</f>
        <v>Rivas Mena Carlos Danny</v>
      </c>
      <c r="V530" s="5"/>
      <c r="W530" s="5" t="str">
        <f ca="1">IFERROR(__xludf.DUMMYFUNCTION("""COMPUTED_VALUE"""),"yBdPifhPk9k")</f>
        <v>yBdPifhPk9k</v>
      </c>
      <c r="X530" s="5">
        <f ca="1">IFERROR(__xludf.DUMMYFUNCTION("""COMPUTED_VALUE"""),1)</f>
        <v>1</v>
      </c>
      <c r="Y530" s="5" t="str">
        <f t="shared" ca="1" si="4"/>
        <v>Actividad realizada</v>
      </c>
      <c r="Z530" s="3">
        <f ca="1">IFERROR(VLOOKUP(U530, 'Base de datos'!A:B, 2, FALSE), "")</f>
        <v>0</v>
      </c>
      <c r="AA530" s="4" t="e">
        <f t="shared" ca="1" si="5"/>
        <v>#NAME?</v>
      </c>
    </row>
    <row r="531" spans="1:27" ht="15.75" customHeight="1">
      <c r="A531" s="5" t="str">
        <f ca="1">IFERROR(__xludf.DUMMYFUNCTION("""COMPUTED_VALUE"""),"POSTOBÓN YUMBO")</f>
        <v>POSTOBÓN YUMBO</v>
      </c>
      <c r="B531" s="5" t="str">
        <f ca="1">IFERROR(__xludf.DUMMYFUNCTION("""COMPUTED_VALUE"""),"0410-LINEA PET CSD")</f>
        <v>0410-LINEA PET CSD</v>
      </c>
      <c r="C531" s="5" t="str">
        <f ca="1">IFERROR(__xludf.DUMMYFUNCTION("""COMPUTED_VALUE"""),"LINEA PET CSD - LINEA 10")</f>
        <v>LINEA PET CSD - LINEA 10</v>
      </c>
      <c r="D531" s="5">
        <f ca="1">IFERROR(__xludf.DUMMYFUNCTION("""COMPUTED_VALUE"""),51956101)</f>
        <v>51956101</v>
      </c>
      <c r="E531" s="5" t="str">
        <f ca="1">IFERROR(__xludf.DUMMYFUNCTION("""COMPUTED_VALUE"""),"SISTEMA INYECCIÓN DE NITRÓGENO")</f>
        <v>SISTEMA INYECCIÓN DE NITRÓGENO</v>
      </c>
      <c r="F531" s="5">
        <f ca="1">IFERROR(__xludf.DUMMYFUNCTION("""COMPUTED_VALUE"""),41005)</f>
        <v>41005</v>
      </c>
      <c r="G531" s="5" t="str">
        <f ca="1">IFERROR(__xludf.DUMMYFUNCTION("""COMPUTED_VALUE"""),"PLAN MEC MTTO EQUIPO NITROGENO L10")</f>
        <v>PLAN MEC MTTO EQUIPO NITROGENO L10</v>
      </c>
      <c r="H531" s="5">
        <f ca="1">IFERROR(__xludf.DUMMYFUNCTION("""COMPUTED_VALUE"""),13232834)</f>
        <v>13232834</v>
      </c>
      <c r="I531" s="5" t="str">
        <f ca="1">IFERROR(__xludf.DUMMYFUNCTION("""COMPUTED_VALUE"""),"Revision piston nitrogeno")</f>
        <v>Revision piston nitrogeno</v>
      </c>
      <c r="J531" s="5" t="str">
        <f ca="1">IFERROR(__xludf.DUMMYFUNCTION("""COMPUTED_VALUE"""),"ALTO")</f>
        <v>ALTO</v>
      </c>
      <c r="K531" s="5" t="str">
        <f ca="1">IFERROR(__xludf.DUMMYFUNCTION("""COMPUTED_VALUE"""),"Preventivo")</f>
        <v>Preventivo</v>
      </c>
      <c r="L531" s="5" t="str">
        <f ca="1">IFERROR(__xludf.DUMMYFUNCTION("""COMPUTED_VALUE"""),"Maquinaria")</f>
        <v>Maquinaria</v>
      </c>
      <c r="M531" s="5" t="str">
        <f ca="1">IFERROR(__xludf.DUMMYFUNCTION("""COMPUTED_VALUE"""),"No")</f>
        <v>No</v>
      </c>
      <c r="N531" s="5"/>
      <c r="O531" s="5">
        <f ca="1">IFERROR(__xludf.DUMMYFUNCTION("""COMPUTED_VALUE"""),100)</f>
        <v>100</v>
      </c>
      <c r="P531" s="18">
        <f ca="1">IFERROR(__xludf.DUMMYFUNCTION("""COMPUTED_VALUE"""),45334)</f>
        <v>45334</v>
      </c>
      <c r="Q531" s="18">
        <f ca="1">IFERROR(__xludf.DUMMYFUNCTION("""COMPUTED_VALUE"""),45334)</f>
        <v>45334</v>
      </c>
      <c r="R531" s="18">
        <f ca="1">IFERROR(__xludf.DUMMYFUNCTION("""COMPUTED_VALUE"""),3)</f>
        <v>3</v>
      </c>
      <c r="S531" s="5">
        <f ca="1">IFERROR(__xludf.DUMMYFUNCTION("""COMPUTED_VALUE"""),2)</f>
        <v>2</v>
      </c>
      <c r="T531" s="5"/>
      <c r="U531" s="5" t="str">
        <f ca="1">IFERROR(__xludf.DUMMYFUNCTION("""COMPUTED_VALUE"""),"Jhon Edwar Echeverry Reina")</f>
        <v>Jhon Edwar Echeverry Reina</v>
      </c>
      <c r="V531" s="5"/>
      <c r="W531" s="5" t="str">
        <f ca="1">IFERROR(__xludf.DUMMYFUNCTION("""COMPUTED_VALUE"""),"DXjgQ9SozVo")</f>
        <v>DXjgQ9SozVo</v>
      </c>
      <c r="X531" s="5">
        <f ca="1">IFERROR(__xludf.DUMMYFUNCTION("""COMPUTED_VALUE"""),2)</f>
        <v>2</v>
      </c>
      <c r="Y531" s="5" t="str">
        <f t="shared" ca="1" si="4"/>
        <v>Actividad realizada</v>
      </c>
      <c r="Z531" s="3" t="str">
        <f ca="1">IFERROR(VLOOKUP(U531, 'Base de datos'!A:B, 2, FALSE), "")</f>
        <v/>
      </c>
      <c r="AA531" s="4" t="e">
        <f t="shared" ca="1" si="5"/>
        <v>#NAME?</v>
      </c>
    </row>
    <row r="532" spans="1:27" ht="15.75" customHeight="1">
      <c r="A532" s="5" t="str">
        <f ca="1">IFERROR(__xludf.DUMMYFUNCTION("""COMPUTED_VALUE"""),"POSTOBÓN YUMBO")</f>
        <v>POSTOBÓN YUMBO</v>
      </c>
      <c r="B532" s="5" t="str">
        <f ca="1">IFERROR(__xludf.DUMMYFUNCTION("""COMPUTED_VALUE"""),"0410-LINEA 3")</f>
        <v>0410-LINEA 3</v>
      </c>
      <c r="C532" s="5" t="str">
        <f ca="1">IFERROR(__xludf.DUMMYFUNCTION("""COMPUTED_VALUE"""),"LINEA DE ENVASADO TAMAÑO PERSONAL")</f>
        <v>LINEA DE ENVASADO TAMAÑO PERSONAL</v>
      </c>
      <c r="D532" s="5">
        <f ca="1">IFERROR(__xludf.DUMMYFUNCTION("""COMPUTED_VALUE"""),829852)</f>
        <v>829852</v>
      </c>
      <c r="E532" s="5" t="str">
        <f ca="1">IFERROR(__xludf.DUMMYFUNCTION("""COMPUTED_VALUE"""),"TRANSPORTADOR DE CAJAS")</f>
        <v>TRANSPORTADOR DE CAJAS</v>
      </c>
      <c r="F532" s="5">
        <f ca="1">IFERROR(__xludf.DUMMYFUNCTION("""COMPUTED_VALUE"""),0)</f>
        <v>0</v>
      </c>
      <c r="G532" s="5" t="str">
        <f ca="1">IFERROR(__xludf.DUMMYFUNCTION("""COMPUTED_VALUE"""),"MTTO TRANSPORTE DE CAJAS LINEA 3 PERSONA")</f>
        <v>MTTO TRANSPORTE DE CAJAS LINEA 3 PERSONA</v>
      </c>
      <c r="H532" s="5">
        <f ca="1">IFERROR(__xludf.DUMMYFUNCTION("""COMPUTED_VALUE"""),13246161)</f>
        <v>13246161</v>
      </c>
      <c r="I532" s="5" t="str">
        <f ca="1">IFERROR(__xludf.DUMMYFUNCTION("""COMPUTED_VALUE"""),"TRANSPORTE INCLINADO ELEVACION CAJAS")</f>
        <v>TRANSPORTE INCLINADO ELEVACION CAJAS</v>
      </c>
      <c r="J532" s="5" t="str">
        <f ca="1">IFERROR(__xludf.DUMMYFUNCTION("""COMPUTED_VALUE"""),"MEDIO")</f>
        <v>MEDIO</v>
      </c>
      <c r="K532" s="5" t="str">
        <f ca="1">IFERROR(__xludf.DUMMYFUNCTION("""COMPUTED_VALUE"""),"Preventivo")</f>
        <v>Preventivo</v>
      </c>
      <c r="L532" s="5" t="str">
        <f ca="1">IFERROR(__xludf.DUMMYFUNCTION("""COMPUTED_VALUE"""),"Maquinaria")</f>
        <v>Maquinaria</v>
      </c>
      <c r="M532" s="5" t="str">
        <f ca="1">IFERROR(__xludf.DUMMYFUNCTION("""COMPUTED_VALUE"""),"No")</f>
        <v>No</v>
      </c>
      <c r="N532" s="5"/>
      <c r="O532" s="5"/>
      <c r="P532" s="18">
        <f ca="1">IFERROR(__xludf.DUMMYFUNCTION("""COMPUTED_VALUE"""),45325)</f>
        <v>45325</v>
      </c>
      <c r="Q532" s="18">
        <f ca="1">IFERROR(__xludf.DUMMYFUNCTION("""COMPUTED_VALUE"""),45325)</f>
        <v>45325</v>
      </c>
      <c r="R532" s="18"/>
      <c r="S532" s="5">
        <f ca="1">IFERROR(__xludf.DUMMYFUNCTION("""COMPUTED_VALUE"""),1)</f>
        <v>1</v>
      </c>
      <c r="T532" s="5"/>
      <c r="U532" s="5" t="str">
        <f ca="1">IFERROR(__xludf.DUMMYFUNCTION("""COMPUTED_VALUE"""),"Campo Rodriguez Adalcides Jesus")</f>
        <v>Campo Rodriguez Adalcides Jesus</v>
      </c>
      <c r="V532" s="5"/>
      <c r="W532" s="5" t="str">
        <f ca="1">IFERROR(__xludf.DUMMYFUNCTION("""COMPUTED_VALUE"""),"Hm4hn3ejE2k")</f>
        <v>Hm4hn3ejE2k</v>
      </c>
      <c r="X532" s="5">
        <f ca="1">IFERROR(__xludf.DUMMYFUNCTION("""COMPUTED_VALUE"""),1)</f>
        <v>1</v>
      </c>
      <c r="Y532" s="5" t="str">
        <f t="shared" si="4"/>
        <v>Actividad sin realizar</v>
      </c>
      <c r="Z532" s="3">
        <f ca="1">IFERROR(VLOOKUP(U532, 'Base de datos'!A:B, 2, FALSE), "")</f>
        <v>573045833726</v>
      </c>
      <c r="AA532" s="4" t="e">
        <f t="shared" ca="1" si="5"/>
        <v>#NAME?</v>
      </c>
    </row>
    <row r="533" spans="1:27" ht="15.75" customHeight="1">
      <c r="A533" s="5" t="str">
        <f ca="1">IFERROR(__xludf.DUMMYFUNCTION("""COMPUTED_VALUE"""),"POSTOBÓN YUMBO")</f>
        <v>POSTOBÓN YUMBO</v>
      </c>
      <c r="B533" s="5" t="str">
        <f ca="1">IFERROR(__xludf.DUMMYFUNCTION("""COMPUTED_VALUE"""),"0410-EQUIPOS AUXILIARES")</f>
        <v>0410-EQUIPOS AUXILIARES</v>
      </c>
      <c r="C533" s="5" t="str">
        <f ca="1">IFERROR(__xludf.DUMMYFUNCTION("""COMPUTED_VALUE"""),"EQUIPOS PARA SERVICIOS INDUSTRIALES")</f>
        <v>EQUIPOS PARA SERVICIOS INDUSTRIALES</v>
      </c>
      <c r="D533" s="5">
        <f ca="1">IFERROR(__xludf.DUMMYFUNCTION("""COMPUTED_VALUE"""),659371)</f>
        <v>659371</v>
      </c>
      <c r="E533" s="5" t="str">
        <f ca="1">IFERROR(__xludf.DUMMYFUNCTION("""COMPUTED_VALUE"""),"CALDERA DE 300 BHP")</f>
        <v>CALDERA DE 300 BHP</v>
      </c>
      <c r="F533" s="5">
        <f ca="1">IFERROR(__xludf.DUMMYFUNCTION("""COMPUTED_VALUE"""),21693)</f>
        <v>21693</v>
      </c>
      <c r="G533" s="5" t="str">
        <f ca="1">IFERROR(__xludf.DUMMYFUNCTION("""COMPUTED_VALUE"""),"PLAN DE MTTO MEC CALDERA C#3 A- 1341")</f>
        <v>PLAN DE MTTO MEC CALDERA C#3 A- 1341</v>
      </c>
      <c r="H533" s="5">
        <f ca="1">IFERROR(__xludf.DUMMYFUNCTION("""COMPUTED_VALUE"""),13247183)</f>
        <v>13247183</v>
      </c>
      <c r="I533" s="5" t="str">
        <f ca="1">IFERROR(__xludf.DUMMYFUNCTION("""COMPUTED_VALUE"""),"empaques y tubos de vidrio de niveles.")</f>
        <v>empaques y tubos de vidrio de niveles.</v>
      </c>
      <c r="J533" s="5" t="str">
        <f ca="1">IFERROR(__xludf.DUMMYFUNCTION("""COMPUTED_VALUE"""),"ALTO")</f>
        <v>ALTO</v>
      </c>
      <c r="K533" s="5" t="str">
        <f ca="1">IFERROR(__xludf.DUMMYFUNCTION("""COMPUTED_VALUE"""),"Preventivo")</f>
        <v>Preventivo</v>
      </c>
      <c r="L533" s="5" t="str">
        <f ca="1">IFERROR(__xludf.DUMMYFUNCTION("""COMPUTED_VALUE"""),"Maquinaria")</f>
        <v>Maquinaria</v>
      </c>
      <c r="M533" s="5" t="str">
        <f ca="1">IFERROR(__xludf.DUMMYFUNCTION("""COMPUTED_VALUE"""),"No")</f>
        <v>No</v>
      </c>
      <c r="N533" s="5"/>
      <c r="O533" s="5"/>
      <c r="P533" s="18">
        <f ca="1">IFERROR(__xludf.DUMMYFUNCTION("""COMPUTED_VALUE"""),45337)</f>
        <v>45337</v>
      </c>
      <c r="Q533" s="18">
        <f ca="1">IFERROR(__xludf.DUMMYFUNCTION("""COMPUTED_VALUE"""),45337)</f>
        <v>45337</v>
      </c>
      <c r="R533" s="18"/>
      <c r="S533" s="5">
        <f ca="1">IFERROR(__xludf.DUMMYFUNCTION("""COMPUTED_VALUE"""),1)</f>
        <v>1</v>
      </c>
      <c r="T533" s="5"/>
      <c r="U533" s="5" t="str">
        <f ca="1">IFERROR(__xludf.DUMMYFUNCTION("""COMPUTED_VALUE"""),"Valencia Hector")</f>
        <v>Valencia Hector</v>
      </c>
      <c r="V533" s="5"/>
      <c r="W533" s="5" t="str">
        <f ca="1">IFERROR(__xludf.DUMMYFUNCTION("""COMPUTED_VALUE"""),"m-zMJX-gn5E")</f>
        <v>m-zMJX-gn5E</v>
      </c>
      <c r="X533" s="5">
        <f ca="1">IFERROR(__xludf.DUMMYFUNCTION("""COMPUTED_VALUE"""),1)</f>
        <v>1</v>
      </c>
      <c r="Z533" s="3">
        <f ca="1">IFERROR(VLOOKUP(U533, 'Base de datos'!A:B, 2, FALSE), "")</f>
        <v>573108951371</v>
      </c>
      <c r="AA533" s="4" t="e">
        <f t="shared" ca="1" si="5"/>
        <v>#NAME?</v>
      </c>
    </row>
    <row r="534" spans="1:27" ht="15.75" customHeight="1">
      <c r="A534" s="5" t="str">
        <f ca="1">IFERROR(__xludf.DUMMYFUNCTION("""COMPUTED_VALUE"""),"POSTOBÓN YUMBO")</f>
        <v>POSTOBÓN YUMBO</v>
      </c>
      <c r="B534" s="5" t="str">
        <f ca="1">IFERROR(__xludf.DUMMYFUNCTION("""COMPUTED_VALUE"""),"0410-EQUIPOS AUXILIARES")</f>
        <v>0410-EQUIPOS AUXILIARES</v>
      </c>
      <c r="C534" s="5" t="str">
        <f ca="1">IFERROR(__xludf.DUMMYFUNCTION("""COMPUTED_VALUE"""),"EQUIPOS PARA SERVICIOS INDUSTRIALES")</f>
        <v>EQUIPOS PARA SERVICIOS INDUSTRIALES</v>
      </c>
      <c r="D534" s="5">
        <f ca="1">IFERROR(__xludf.DUMMYFUNCTION("""COMPUTED_VALUE"""),659371)</f>
        <v>659371</v>
      </c>
      <c r="E534" s="5" t="str">
        <f ca="1">IFERROR(__xludf.DUMMYFUNCTION("""COMPUTED_VALUE"""),"CALDERA DE 300 BHP")</f>
        <v>CALDERA DE 300 BHP</v>
      </c>
      <c r="F534" s="5">
        <f ca="1">IFERROR(__xludf.DUMMYFUNCTION("""COMPUTED_VALUE"""),21693)</f>
        <v>21693</v>
      </c>
      <c r="G534" s="5" t="str">
        <f ca="1">IFERROR(__xludf.DUMMYFUNCTION("""COMPUTED_VALUE"""),"PLAN DE MTTO MEC CALDERA C#3 A- 1341")</f>
        <v>PLAN DE MTTO MEC CALDERA C#3 A- 1341</v>
      </c>
      <c r="H534" s="5">
        <f ca="1">IFERROR(__xludf.DUMMYFUNCTION("""COMPUTED_VALUE"""),13247183)</f>
        <v>13247183</v>
      </c>
      <c r="I534" s="5" t="str">
        <f ca="1">IFERROR(__xludf.DUMMYFUNCTION("""COMPUTED_VALUE"""),"Revisión de interconexiones caldera")</f>
        <v>Revisión de interconexiones caldera</v>
      </c>
      <c r="J534" s="5" t="str">
        <f ca="1">IFERROR(__xludf.DUMMYFUNCTION("""COMPUTED_VALUE"""),"ALTO")</f>
        <v>ALTO</v>
      </c>
      <c r="K534" s="5" t="str">
        <f ca="1">IFERROR(__xludf.DUMMYFUNCTION("""COMPUTED_VALUE"""),"Preventivo")</f>
        <v>Preventivo</v>
      </c>
      <c r="L534" s="5" t="str">
        <f ca="1">IFERROR(__xludf.DUMMYFUNCTION("""COMPUTED_VALUE"""),"Maquinaria")</f>
        <v>Maquinaria</v>
      </c>
      <c r="M534" s="5" t="str">
        <f ca="1">IFERROR(__xludf.DUMMYFUNCTION("""COMPUTED_VALUE"""),"No")</f>
        <v>No</v>
      </c>
      <c r="N534" s="5"/>
      <c r="O534" s="5"/>
      <c r="P534" s="18">
        <f ca="1">IFERROR(__xludf.DUMMYFUNCTION("""COMPUTED_VALUE"""),45337)</f>
        <v>45337</v>
      </c>
      <c r="Q534" s="18">
        <f ca="1">IFERROR(__xludf.DUMMYFUNCTION("""COMPUTED_VALUE"""),45337)</f>
        <v>45337</v>
      </c>
      <c r="R534" s="18">
        <f ca="1">IFERROR(__xludf.DUMMYFUNCTION("""COMPUTED_VALUE"""),2)</f>
        <v>2</v>
      </c>
      <c r="S534" s="5">
        <f ca="1">IFERROR(__xludf.DUMMYFUNCTION("""COMPUTED_VALUE"""),1)</f>
        <v>1</v>
      </c>
      <c r="T534" s="5"/>
      <c r="U534" s="5" t="str">
        <f ca="1">IFERROR(__xludf.DUMMYFUNCTION("""COMPUTED_VALUE"""),"Valencia Hector")</f>
        <v>Valencia Hector</v>
      </c>
      <c r="V534" s="5"/>
      <c r="W534" s="5" t="str">
        <f ca="1">IFERROR(__xludf.DUMMYFUNCTION("""COMPUTED_VALUE"""),"7WiqTCoB0lY")</f>
        <v>7WiqTCoB0lY</v>
      </c>
      <c r="X534" s="5">
        <f ca="1">IFERROR(__xludf.DUMMYFUNCTION("""COMPUTED_VALUE"""),1)</f>
        <v>1</v>
      </c>
      <c r="Z534" s="3">
        <f ca="1">IFERROR(VLOOKUP(U534, 'Base de datos'!A:B, 2, FALSE), "")</f>
        <v>573108951371</v>
      </c>
      <c r="AA534" s="4" t="e">
        <f t="shared" ca="1" si="5"/>
        <v>#NAME?</v>
      </c>
    </row>
    <row r="535" spans="1:27" ht="15.75" customHeight="1">
      <c r="A535" s="5" t="str">
        <f ca="1">IFERROR(__xludf.DUMMYFUNCTION("""COMPUTED_VALUE"""),"POSTOBÓN YUMBO")</f>
        <v>POSTOBÓN YUMBO</v>
      </c>
      <c r="B535" s="5" t="str">
        <f ca="1">IFERROR(__xludf.DUMMYFUNCTION("""COMPUTED_VALUE"""),"0410-LINEA PET CSD")</f>
        <v>0410-LINEA PET CSD</v>
      </c>
      <c r="C535" s="5" t="str">
        <f ca="1">IFERROR(__xludf.DUMMYFUNCTION("""COMPUTED_VALUE"""),"LINEA PET CSD - LINEA 10")</f>
        <v>LINEA PET CSD - LINEA 10</v>
      </c>
      <c r="D535" s="5">
        <f ca="1">IFERROR(__xludf.DUMMYFUNCTION("""COMPUTED_VALUE"""),589658)</f>
        <v>589658</v>
      </c>
      <c r="E535" s="5" t="str">
        <f ca="1">IFERROR(__xludf.DUMMYFUNCTION("""COMPUTED_VALUE"""),"CODIFICADOR LASER DE ENVASE")</f>
        <v>CODIFICADOR LASER DE ENVASE</v>
      </c>
      <c r="F535" s="5">
        <f ca="1">IFERROR(__xludf.DUMMYFUNCTION("""COMPUTED_VALUE"""),25375)</f>
        <v>25375</v>
      </c>
      <c r="G535" s="5" t="str">
        <f ca="1">IFERROR(__xludf.DUMMYFUNCTION("""COMPUTED_VALUE"""),"PLAN MTTO ELE CODIFICADOR LASER CSD")</f>
        <v>PLAN MTTO ELE CODIFICADOR LASER CSD</v>
      </c>
      <c r="H535" s="5">
        <f ca="1">IFERROR(__xludf.DUMMYFUNCTION("""COMPUTED_VALUE"""),13247249)</f>
        <v>13247249</v>
      </c>
      <c r="I535" s="5" t="str">
        <f ca="1">IFERROR(__xludf.DUMMYFUNCTION("""COMPUTED_VALUE"""),"lente focalizadora")</f>
        <v>lente focalizadora</v>
      </c>
      <c r="J535" s="5" t="str">
        <f ca="1">IFERROR(__xludf.DUMMYFUNCTION("""COMPUTED_VALUE"""),"ALTO")</f>
        <v>ALTO</v>
      </c>
      <c r="K535" s="5" t="str">
        <f ca="1">IFERROR(__xludf.DUMMYFUNCTION("""COMPUTED_VALUE"""),"Preventivo")</f>
        <v>Preventivo</v>
      </c>
      <c r="L535" s="5" t="str">
        <f ca="1">IFERROR(__xludf.DUMMYFUNCTION("""COMPUTED_VALUE"""),"Maquinaria")</f>
        <v>Maquinaria</v>
      </c>
      <c r="M535" s="5" t="str">
        <f ca="1">IFERROR(__xludf.DUMMYFUNCTION("""COMPUTED_VALUE"""),"No")</f>
        <v>No</v>
      </c>
      <c r="N535" s="5"/>
      <c r="O535" s="5">
        <f ca="1">IFERROR(__xludf.DUMMYFUNCTION("""COMPUTED_VALUE"""),100)</f>
        <v>100</v>
      </c>
      <c r="P535" s="18">
        <f ca="1">IFERROR(__xludf.DUMMYFUNCTION("""COMPUTED_VALUE"""),45335)</f>
        <v>45335</v>
      </c>
      <c r="Q535" s="18">
        <f ca="1">IFERROR(__xludf.DUMMYFUNCTION("""COMPUTED_VALUE"""),45335)</f>
        <v>45335</v>
      </c>
      <c r="R535" s="18">
        <f ca="1">IFERROR(__xludf.DUMMYFUNCTION("""COMPUTED_VALUE"""),2)</f>
        <v>2</v>
      </c>
      <c r="S535" s="5">
        <f ca="1">IFERROR(__xludf.DUMMYFUNCTION("""COMPUTED_VALUE"""),1)</f>
        <v>1</v>
      </c>
      <c r="T535" s="5"/>
      <c r="U535" s="5" t="str">
        <f ca="1">IFERROR(__xludf.DUMMYFUNCTION("""COMPUTED_VALUE"""),"Bolaños Camacho Luis Miguel")</f>
        <v>Bolaños Camacho Luis Miguel</v>
      </c>
      <c r="V535" s="5"/>
      <c r="W535" s="5" t="str">
        <f ca="1">IFERROR(__xludf.DUMMYFUNCTION("""COMPUTED_VALUE"""),"Dzp1O1DM-l8")</f>
        <v>Dzp1O1DM-l8</v>
      </c>
      <c r="X535" s="5">
        <f ca="1">IFERROR(__xludf.DUMMYFUNCTION("""COMPUTED_VALUE"""),1)</f>
        <v>1</v>
      </c>
      <c r="Z535" s="3">
        <f ca="1">IFERROR(VLOOKUP(U535, 'Base de datos'!A:B, 2, FALSE), "")</f>
        <v>573122788043</v>
      </c>
      <c r="AA535" s="4" t="e">
        <f t="shared" ca="1" si="5"/>
        <v>#NAME?</v>
      </c>
    </row>
    <row r="536" spans="1:27" ht="15.75" customHeight="1">
      <c r="A536" s="5" t="str">
        <f ca="1">IFERROR(__xludf.DUMMYFUNCTION("""COMPUTED_VALUE"""),"POSTOBÓN YUMBO")</f>
        <v>POSTOBÓN YUMBO</v>
      </c>
      <c r="B536" s="5" t="str">
        <f ca="1">IFERROR(__xludf.DUMMYFUNCTION("""COMPUTED_VALUE"""),"0410-SALA DE JARABE TERMINADO")</f>
        <v>0410-SALA DE JARABE TERMINADO</v>
      </c>
      <c r="C536" s="5" t="str">
        <f ca="1">IFERROR(__xludf.DUMMYFUNCTION("""COMPUTED_VALUE"""),"EQUIPOS PARA PREPARACION DE JARABE")</f>
        <v>EQUIPOS PARA PREPARACION DE JARABE</v>
      </c>
      <c r="D536" s="5">
        <f ca="1">IFERROR(__xludf.DUMMYFUNCTION("""COMPUTED_VALUE"""),69963406)</f>
        <v>69963406</v>
      </c>
      <c r="E536" s="5" t="str">
        <f ca="1">IFERROR(__xludf.DUMMYFUNCTION("""COMPUTED_VALUE"""),"TANQUE DE JARABE")</f>
        <v>TANQUE DE JARABE</v>
      </c>
      <c r="F536" s="5">
        <f ca="1">IFERROR(__xludf.DUMMYFUNCTION("""COMPUTED_VALUE"""),17361)</f>
        <v>17361</v>
      </c>
      <c r="G536" s="5" t="str">
        <f ca="1">IFERROR(__xludf.DUMMYFUNCTION("""COMPUTED_VALUE"""),"MTTO MEC TK JARABE 3 JARABE TERMINADO")</f>
        <v>MTTO MEC TK JARABE 3 JARABE TERMINADO</v>
      </c>
      <c r="H536" s="5">
        <f ca="1">IFERROR(__xludf.DUMMYFUNCTION("""COMPUTED_VALUE"""),13247152)</f>
        <v>13247152</v>
      </c>
      <c r="I536" s="5" t="str">
        <f ca="1">IFERROR(__xludf.DUMMYFUNCTION("""COMPUTED_VALUE"""),"Sistema neumatico: revision fugas y esta")</f>
        <v>Sistema neumatico: revision fugas y esta</v>
      </c>
      <c r="J536" s="5" t="str">
        <f ca="1">IFERROR(__xludf.DUMMYFUNCTION("""COMPUTED_VALUE"""),"ALTO")</f>
        <v>ALTO</v>
      </c>
      <c r="K536" s="5" t="str">
        <f ca="1">IFERROR(__xludf.DUMMYFUNCTION("""COMPUTED_VALUE"""),"Preventivo")</f>
        <v>Preventivo</v>
      </c>
      <c r="L536" s="5" t="str">
        <f ca="1">IFERROR(__xludf.DUMMYFUNCTION("""COMPUTED_VALUE"""),"Maquinaria")</f>
        <v>Maquinaria</v>
      </c>
      <c r="M536" s="5" t="str">
        <f ca="1">IFERROR(__xludf.DUMMYFUNCTION("""COMPUTED_VALUE"""),"No")</f>
        <v>No</v>
      </c>
      <c r="N536" s="5"/>
      <c r="O536" s="5">
        <f ca="1">IFERROR(__xludf.DUMMYFUNCTION("""COMPUTED_VALUE"""),100)</f>
        <v>100</v>
      </c>
      <c r="P536" s="18">
        <f ca="1">IFERROR(__xludf.DUMMYFUNCTION("""COMPUTED_VALUE"""),45342)</f>
        <v>45342</v>
      </c>
      <c r="Q536" s="18">
        <f ca="1">IFERROR(__xludf.DUMMYFUNCTION("""COMPUTED_VALUE"""),45342)</f>
        <v>45342</v>
      </c>
      <c r="R536" s="18">
        <f ca="1">IFERROR(__xludf.DUMMYFUNCTION("""COMPUTED_VALUE"""),2)</f>
        <v>2</v>
      </c>
      <c r="S536" s="5">
        <f ca="1">IFERROR(__xludf.DUMMYFUNCTION("""COMPUTED_VALUE"""),1)</f>
        <v>1</v>
      </c>
      <c r="T536" s="5"/>
      <c r="U536" s="5" t="str">
        <f ca="1">IFERROR(__xludf.DUMMYFUNCTION("""COMPUTED_VALUE"""),"Moreno Pernia Bladimir")</f>
        <v>Moreno Pernia Bladimir</v>
      </c>
      <c r="V536" s="5"/>
      <c r="W536" s="5" t="str">
        <f ca="1">IFERROR(__xludf.DUMMYFUNCTION("""COMPUTED_VALUE"""),"-3OFv0O5_uY")</f>
        <v>-3OFv0O5_uY</v>
      </c>
      <c r="X536" s="5">
        <f ca="1">IFERROR(__xludf.DUMMYFUNCTION("""COMPUTED_VALUE"""),1)</f>
        <v>1</v>
      </c>
      <c r="Z536" s="3">
        <f ca="1">IFERROR(VLOOKUP(U536, 'Base de datos'!A:B, 2, FALSE), "")</f>
        <v>573148903137</v>
      </c>
      <c r="AA536" s="4" t="e">
        <f t="shared" ca="1" si="5"/>
        <v>#NAME?</v>
      </c>
    </row>
    <row r="537" spans="1:27" ht="15.75" customHeight="1">
      <c r="A537" s="5" t="str">
        <f ca="1">IFERROR(__xludf.DUMMYFUNCTION("""COMPUTED_VALUE"""),"POSTOBÓN YUMBO")</f>
        <v>POSTOBÓN YUMBO</v>
      </c>
      <c r="B537" s="5" t="str">
        <f ca="1">IFERROR(__xludf.DUMMYFUNCTION("""COMPUTED_VALUE"""),"0410-LINEA PET CSD")</f>
        <v>0410-LINEA PET CSD</v>
      </c>
      <c r="C537" s="5" t="str">
        <f ca="1">IFERROR(__xludf.DUMMYFUNCTION("""COMPUTED_VALUE"""),"LINEA PET CSD - LINEA 10")</f>
        <v>LINEA PET CSD - LINEA 10</v>
      </c>
      <c r="D537" s="5">
        <f ca="1">IFERROR(__xludf.DUMMYFUNCTION("""COMPUTED_VALUE"""),519561)</f>
        <v>519561</v>
      </c>
      <c r="E537" s="5" t="str">
        <f ca="1">IFERROR(__xludf.DUMMYFUNCTION("""COMPUTED_VALUE"""),"LLENADORA DE BOTELLAS PET 162 VALVULAS")</f>
        <v>LLENADORA DE BOTELLAS PET 162 VALVULAS</v>
      </c>
      <c r="F537" s="5">
        <f ca="1">IFERROR(__xludf.DUMMYFUNCTION("""COMPUTED_VALUE"""),25366)</f>
        <v>25366</v>
      </c>
      <c r="G537" s="5" t="str">
        <f ca="1">IFERROR(__xludf.DUMMYFUNCTION("""COMPUTED_VALUE"""),"PLAN MTTO MEC LLENADORA CSD")</f>
        <v>PLAN MTTO MEC LLENADORA CSD</v>
      </c>
      <c r="H537" s="5">
        <f ca="1">IFERROR(__xludf.DUMMYFUNCTION("""COMPUTED_VALUE"""),13232382)</f>
        <v>13232382</v>
      </c>
      <c r="I537" s="5" t="str">
        <f ca="1">IFERROR(__xludf.DUMMYFUNCTION("""COMPUTED_VALUE"""),"Colector de suciedad: Limpiar")</f>
        <v>Colector de suciedad: Limpiar</v>
      </c>
      <c r="J537" s="5" t="str">
        <f ca="1">IFERROR(__xludf.DUMMYFUNCTION("""COMPUTED_VALUE"""),"ALTO")</f>
        <v>ALTO</v>
      </c>
      <c r="K537" s="5" t="str">
        <f ca="1">IFERROR(__xludf.DUMMYFUNCTION("""COMPUTED_VALUE"""),"Preventivo")</f>
        <v>Preventivo</v>
      </c>
      <c r="L537" s="5" t="str">
        <f ca="1">IFERROR(__xludf.DUMMYFUNCTION("""COMPUTED_VALUE"""),"Maquinaria")</f>
        <v>Maquinaria</v>
      </c>
      <c r="M537" s="5" t="str">
        <f ca="1">IFERROR(__xludf.DUMMYFUNCTION("""COMPUTED_VALUE"""),"No")</f>
        <v>No</v>
      </c>
      <c r="N537" s="5"/>
      <c r="O537" s="5">
        <f ca="1">IFERROR(__xludf.DUMMYFUNCTION("""COMPUTED_VALUE"""),100)</f>
        <v>100</v>
      </c>
      <c r="P537" s="18">
        <f ca="1">IFERROR(__xludf.DUMMYFUNCTION("""COMPUTED_VALUE"""),45327)</f>
        <v>45327</v>
      </c>
      <c r="Q537" s="18">
        <f ca="1">IFERROR(__xludf.DUMMYFUNCTION("""COMPUTED_VALUE"""),45327)</f>
        <v>45327</v>
      </c>
      <c r="R537" s="18"/>
      <c r="S537" s="5">
        <f ca="1">IFERROR(__xludf.DUMMYFUNCTION("""COMPUTED_VALUE"""),1)</f>
        <v>1</v>
      </c>
      <c r="T537" s="5"/>
      <c r="U537" s="5" t="str">
        <f ca="1">IFERROR(__xludf.DUMMYFUNCTION("""COMPUTED_VALUE"""),"Duran Sanchez Nelson Fernando")</f>
        <v>Duran Sanchez Nelson Fernando</v>
      </c>
      <c r="V537" s="5"/>
      <c r="W537" s="5" t="str">
        <f ca="1">IFERROR(__xludf.DUMMYFUNCTION("""COMPUTED_VALUE"""),"4wXaYE_-kK4")</f>
        <v>4wXaYE_-kK4</v>
      </c>
      <c r="X537" s="5">
        <f ca="1">IFERROR(__xludf.DUMMYFUNCTION("""COMPUTED_VALUE"""),1)</f>
        <v>1</v>
      </c>
      <c r="Z537" s="3">
        <f ca="1">IFERROR(VLOOKUP(U537, 'Base de datos'!A:B, 2, FALSE), "")</f>
        <v>573187183243</v>
      </c>
      <c r="AA537" s="4" t="e">
        <f t="shared" ca="1" si="5"/>
        <v>#NAME?</v>
      </c>
    </row>
    <row r="538" spans="1:27" ht="15.75" customHeight="1">
      <c r="A538" s="5" t="str">
        <f ca="1">IFERROR(__xludf.DUMMYFUNCTION("""COMPUTED_VALUE"""),"POSTOBÓN YUMBO")</f>
        <v>POSTOBÓN YUMBO</v>
      </c>
      <c r="B538" s="5" t="str">
        <f ca="1">IFERROR(__xludf.DUMMYFUNCTION("""COMPUTED_VALUE"""),"0410-LINEA PET CSD")</f>
        <v>0410-LINEA PET CSD</v>
      </c>
      <c r="C538" s="5" t="str">
        <f ca="1">IFERROR(__xludf.DUMMYFUNCTION("""COMPUTED_VALUE"""),"LINEA PET CSD - LINEA 10")</f>
        <v>LINEA PET CSD - LINEA 10</v>
      </c>
      <c r="D538" s="5">
        <f ca="1">IFERROR(__xludf.DUMMYFUNCTION("""COMPUTED_VALUE"""),519561)</f>
        <v>519561</v>
      </c>
      <c r="E538" s="5" t="str">
        <f ca="1">IFERROR(__xludf.DUMMYFUNCTION("""COMPUTED_VALUE"""),"LLENADORA DE BOTELLAS PET 162 VALVULAS")</f>
        <v>LLENADORA DE BOTELLAS PET 162 VALVULAS</v>
      </c>
      <c r="F538" s="5">
        <f ca="1">IFERROR(__xludf.DUMMYFUNCTION("""COMPUTED_VALUE"""),25366)</f>
        <v>25366</v>
      </c>
      <c r="G538" s="5" t="str">
        <f ca="1">IFERROR(__xludf.DUMMYFUNCTION("""COMPUTED_VALUE"""),"PLAN MTTO ELE LLENADORA CSD")</f>
        <v>PLAN MTTO ELE LLENADORA CSD</v>
      </c>
      <c r="H538" s="5">
        <f ca="1">IFERROR(__xludf.DUMMYFUNCTION("""COMPUTED_VALUE"""),13232383)</f>
        <v>13232383</v>
      </c>
      <c r="I538" s="5" t="str">
        <f ca="1">IFERROR(__xludf.DUMMYFUNCTION("""COMPUTED_VALUE"""),"Elementos de mando:")</f>
        <v>Elementos de mando:</v>
      </c>
      <c r="J538" s="5" t="str">
        <f ca="1">IFERROR(__xludf.DUMMYFUNCTION("""COMPUTED_VALUE"""),"ALTO")</f>
        <v>ALTO</v>
      </c>
      <c r="K538" s="5" t="str">
        <f ca="1">IFERROR(__xludf.DUMMYFUNCTION("""COMPUTED_VALUE"""),"Preventivo")</f>
        <v>Preventivo</v>
      </c>
      <c r="L538" s="5" t="str">
        <f ca="1">IFERROR(__xludf.DUMMYFUNCTION("""COMPUTED_VALUE"""),"Maquinaria")</f>
        <v>Maquinaria</v>
      </c>
      <c r="M538" s="5" t="str">
        <f ca="1">IFERROR(__xludf.DUMMYFUNCTION("""COMPUTED_VALUE"""),"No")</f>
        <v>No</v>
      </c>
      <c r="N538" s="5"/>
      <c r="O538" s="5">
        <f ca="1">IFERROR(__xludf.DUMMYFUNCTION("""COMPUTED_VALUE"""),100)</f>
        <v>100</v>
      </c>
      <c r="P538" s="18">
        <f ca="1">IFERROR(__xludf.DUMMYFUNCTION("""COMPUTED_VALUE"""),45328)</f>
        <v>45328</v>
      </c>
      <c r="Q538" s="18">
        <f ca="1">IFERROR(__xludf.DUMMYFUNCTION("""COMPUTED_VALUE"""),45328)</f>
        <v>45328</v>
      </c>
      <c r="R538" s="18"/>
      <c r="S538" s="5">
        <f ca="1">IFERROR(__xludf.DUMMYFUNCTION("""COMPUTED_VALUE"""),1)</f>
        <v>1</v>
      </c>
      <c r="T538" s="5"/>
      <c r="U538" s="5" t="str">
        <f ca="1">IFERROR(__xludf.DUMMYFUNCTION("""COMPUTED_VALUE"""),"Duran Sanchez Nelson Fernando")</f>
        <v>Duran Sanchez Nelson Fernando</v>
      </c>
      <c r="V538" s="5"/>
      <c r="W538" s="5" t="str">
        <f ca="1">IFERROR(__xludf.DUMMYFUNCTION("""COMPUTED_VALUE"""),"Hd5Gp9RwLSk")</f>
        <v>Hd5Gp9RwLSk</v>
      </c>
      <c r="X538" s="5">
        <f ca="1">IFERROR(__xludf.DUMMYFUNCTION("""COMPUTED_VALUE"""),1)</f>
        <v>1</v>
      </c>
      <c r="Z538" s="3">
        <f ca="1">IFERROR(VLOOKUP(U538, 'Base de datos'!A:B, 2, FALSE), "")</f>
        <v>573187183243</v>
      </c>
      <c r="AA538" s="4" t="e">
        <f t="shared" ca="1" si="5"/>
        <v>#NAME?</v>
      </c>
    </row>
    <row r="539" spans="1:27" ht="15.75" customHeight="1">
      <c r="A539" s="5" t="str">
        <f ca="1">IFERROR(__xludf.DUMMYFUNCTION("""COMPUTED_VALUE"""),"POSTOBÓN YUMBO")</f>
        <v>POSTOBÓN YUMBO</v>
      </c>
      <c r="B539" s="5" t="str">
        <f ca="1">IFERROR(__xludf.DUMMYFUNCTION("""COMPUTED_VALUE"""),"0410-LINEA 2")</f>
        <v>0410-LINEA 2</v>
      </c>
      <c r="C539" s="5" t="str">
        <f ca="1">IFERROR(__xludf.DUMMYFUNCTION("""COMPUTED_VALUE"""),"LINEA DE ENVASADO FAMILIAR Y PRB")</f>
        <v>LINEA DE ENVASADO FAMILIAR Y PRB</v>
      </c>
      <c r="D539" s="5">
        <f ca="1">IFERROR(__xludf.DUMMYFUNCTION("""COMPUTED_VALUE"""),82964402)</f>
        <v>82964402</v>
      </c>
      <c r="E539" s="5" t="str">
        <f ca="1">IFERROR(__xludf.DUMMYFUNCTION("""COMPUTED_VALUE"""),"CODIFICADOR L2")</f>
        <v>CODIFICADOR L2</v>
      </c>
      <c r="F539" s="5">
        <f ca="1">IFERROR(__xludf.DUMMYFUNCTION("""COMPUTED_VALUE"""),46430)</f>
        <v>46430</v>
      </c>
      <c r="G539" s="5" t="str">
        <f ca="1">IFERROR(__xludf.DUMMYFUNCTION("""COMPUTED_VALUE"""),"PLAN MTTO MEC CODIFICADOR L2 82964402")</f>
        <v>PLAN MTTO MEC CODIFICADOR L2 82964402</v>
      </c>
      <c r="H539" s="5">
        <f ca="1">IFERROR(__xludf.DUMMYFUNCTION("""COMPUTED_VALUE"""),13247849)</f>
        <v>13247849</v>
      </c>
      <c r="I539" s="5" t="str">
        <f ca="1">IFERROR(__xludf.DUMMYFUNCTION("""COMPUTED_VALUE"""),"Revision soporte cabezal de alineacion")</f>
        <v>Revision soporte cabezal de alineacion</v>
      </c>
      <c r="J539" s="5" t="str">
        <f ca="1">IFERROR(__xludf.DUMMYFUNCTION("""COMPUTED_VALUE"""),"ALTO")</f>
        <v>ALTO</v>
      </c>
      <c r="K539" s="5" t="str">
        <f ca="1">IFERROR(__xludf.DUMMYFUNCTION("""COMPUTED_VALUE"""),"Preventivo")</f>
        <v>Preventivo</v>
      </c>
      <c r="L539" s="5" t="str">
        <f ca="1">IFERROR(__xludf.DUMMYFUNCTION("""COMPUTED_VALUE"""),"Maquinaria")</f>
        <v>Maquinaria</v>
      </c>
      <c r="M539" s="5" t="str">
        <f ca="1">IFERROR(__xludf.DUMMYFUNCTION("""COMPUTED_VALUE"""),"No")</f>
        <v>No</v>
      </c>
      <c r="N539" s="5"/>
      <c r="O539" s="5"/>
      <c r="P539" s="18">
        <f ca="1">IFERROR(__xludf.DUMMYFUNCTION("""COMPUTED_VALUE"""),45331)</f>
        <v>45331</v>
      </c>
      <c r="Q539" s="18">
        <f ca="1">IFERROR(__xludf.DUMMYFUNCTION("""COMPUTED_VALUE"""),45331)</f>
        <v>45331</v>
      </c>
      <c r="R539" s="18"/>
      <c r="S539" s="5">
        <f ca="1">IFERROR(__xludf.DUMMYFUNCTION("""COMPUTED_VALUE"""),0.5)</f>
        <v>0.5</v>
      </c>
      <c r="T539" s="5"/>
      <c r="U539" s="5" t="str">
        <f ca="1">IFERROR(__xludf.DUMMYFUNCTION("""COMPUTED_VALUE"""),"Andrés Felipe Pérez Polania")</f>
        <v>Andrés Felipe Pérez Polania</v>
      </c>
      <c r="V539" s="5"/>
      <c r="W539" s="5" t="str">
        <f ca="1">IFERROR(__xludf.DUMMYFUNCTION("""COMPUTED_VALUE"""),"jO8gLR4LPiY")</f>
        <v>jO8gLR4LPiY</v>
      </c>
      <c r="X539" s="5">
        <f ca="1">IFERROR(__xludf.DUMMYFUNCTION("""COMPUTED_VALUE"""),0.5)</f>
        <v>0.5</v>
      </c>
      <c r="Z539" s="3">
        <f ca="1">IFERROR(VLOOKUP(U539, 'Base de datos'!A:B, 2, FALSE), "")</f>
        <v>573186924079</v>
      </c>
      <c r="AA539" s="4" t="e">
        <f t="shared" ca="1" si="5"/>
        <v>#NAME?</v>
      </c>
    </row>
    <row r="540" spans="1:27" ht="15.75" customHeight="1">
      <c r="A540" s="5" t="str">
        <f ca="1">IFERROR(__xludf.DUMMYFUNCTION("""COMPUTED_VALUE"""),"POSTOBÓN YUMBO")</f>
        <v>POSTOBÓN YUMBO</v>
      </c>
      <c r="B540" s="5" t="str">
        <f ca="1">IFERROR(__xludf.DUMMYFUNCTION("""COMPUTED_VALUE"""),"0410-EQUIPOS AUXILIARES")</f>
        <v>0410-EQUIPOS AUXILIARES</v>
      </c>
      <c r="C540" s="5" t="str">
        <f ca="1">IFERROR(__xludf.DUMMYFUNCTION("""COMPUTED_VALUE"""),"EQUIPOS PARA SERVICIOS INDUSTRIALES")</f>
        <v>EQUIPOS PARA SERVICIOS INDUSTRIALES</v>
      </c>
      <c r="D540" s="5">
        <f ca="1">IFERROR(__xludf.DUMMYFUNCTION("""COMPUTED_VALUE"""),628885)</f>
        <v>628885</v>
      </c>
      <c r="E540" s="5" t="str">
        <f ca="1">IFERROR(__xludf.DUMMYFUNCTION("""COMPUTED_VALUE"""),"COMPRESOR DE REFRIGERACION 3")</f>
        <v>COMPRESOR DE REFRIGERACION 3</v>
      </c>
      <c r="F540" s="5">
        <f ca="1">IFERROR(__xludf.DUMMYFUNCTION("""COMPUTED_VALUE"""),0)</f>
        <v>0</v>
      </c>
      <c r="G540" s="5" t="str">
        <f ca="1">IFERROR(__xludf.DUMMYFUNCTION("""COMPUTED_VALUE"""),"CONSUMO LUB COMPRESOR TORNILLO L10 #3")</f>
        <v>CONSUMO LUB COMPRESOR TORNILLO L10 #3</v>
      </c>
      <c r="H540" s="5">
        <f ca="1">IFERROR(__xludf.DUMMYFUNCTION("""COMPUTED_VALUE"""),13230973)</f>
        <v>13230973</v>
      </c>
      <c r="I540" s="5" t="str">
        <f ca="1">IFERROR(__xludf.DUMMYFUNCTION("""COMPUTED_VALUE"""),"CONSUMO LUB COMPRESOR TORNILLO L10 #3")</f>
        <v>CONSUMO LUB COMPRESOR TORNILLO L10 #3</v>
      </c>
      <c r="J540" s="5" t="str">
        <f ca="1">IFERROR(__xludf.DUMMYFUNCTION("""COMPUTED_VALUE"""),"MEDIO")</f>
        <v>MEDIO</v>
      </c>
      <c r="K540" s="5" t="str">
        <f ca="1">IFERROR(__xludf.DUMMYFUNCTION("""COMPUTED_VALUE"""),"Preventivo")</f>
        <v>Preventivo</v>
      </c>
      <c r="L540" s="5" t="str">
        <f ca="1">IFERROR(__xludf.DUMMYFUNCTION("""COMPUTED_VALUE"""),"Maquinaria")</f>
        <v>Maquinaria</v>
      </c>
      <c r="M540" s="5" t="str">
        <f ca="1">IFERROR(__xludf.DUMMYFUNCTION("""COMPUTED_VALUE"""),"No")</f>
        <v>No</v>
      </c>
      <c r="N540" s="5"/>
      <c r="O540" s="5"/>
      <c r="P540" s="18">
        <f ca="1">IFERROR(__xludf.DUMMYFUNCTION("""COMPUTED_VALUE"""),45325)</f>
        <v>45325</v>
      </c>
      <c r="Q540" s="18">
        <f ca="1">IFERROR(__xludf.DUMMYFUNCTION("""COMPUTED_VALUE"""),45325)</f>
        <v>45325</v>
      </c>
      <c r="R540" s="18"/>
      <c r="S540" s="5">
        <f ca="1">IFERROR(__xludf.DUMMYFUNCTION("""COMPUTED_VALUE"""),1)</f>
        <v>1</v>
      </c>
      <c r="T540" s="5"/>
      <c r="U540" s="5" t="str">
        <f ca="1">IFERROR(__xludf.DUMMYFUNCTION("""COMPUTED_VALUE"""),"CALDERON CORTES JULIAN DAVID")</f>
        <v>CALDERON CORTES JULIAN DAVID</v>
      </c>
      <c r="V540" s="5"/>
      <c r="W540" s="5" t="str">
        <f ca="1">IFERROR(__xludf.DUMMYFUNCTION("""COMPUTED_VALUE"""),"wqBDSLN6YkA")</f>
        <v>wqBDSLN6YkA</v>
      </c>
      <c r="X540" s="5">
        <f ca="1">IFERROR(__xludf.DUMMYFUNCTION("""COMPUTED_VALUE"""),1)</f>
        <v>1</v>
      </c>
      <c r="Z540" s="3">
        <f ca="1">IFERROR(VLOOKUP(U540, 'Base de datos'!A:B, 2, FALSE), "")</f>
        <v>573106062699</v>
      </c>
      <c r="AA540" s="4" t="e">
        <f t="shared" ca="1" si="5"/>
        <v>#NAME?</v>
      </c>
    </row>
    <row r="541" spans="1:27" ht="15.75" customHeight="1">
      <c r="A541" s="5" t="str">
        <f ca="1">IFERROR(__xludf.DUMMYFUNCTION("""COMPUTED_VALUE"""),"POSTOBÓN YUMBO")</f>
        <v>POSTOBÓN YUMBO</v>
      </c>
      <c r="B541" s="5" t="str">
        <f ca="1">IFERROR(__xludf.DUMMYFUNCTION("""COMPUTED_VALUE"""),"0410-TALLER MANTTO PLANTA")</f>
        <v>0410-TALLER MANTTO PLANTA</v>
      </c>
      <c r="C541" s="5" t="str">
        <f ca="1">IFERROR(__xludf.DUMMYFUNCTION("""COMPUTED_VALUE"""),"TALLER MANTENIMIENTO EQUIPOS DE PLANTA")</f>
        <v>TALLER MANTENIMIENTO EQUIPOS DE PLANTA</v>
      </c>
      <c r="D541" s="5">
        <f ca="1">IFERROR(__xludf.DUMMYFUNCTION("""COMPUTED_VALUE"""),20702701)</f>
        <v>20702701</v>
      </c>
      <c r="E541" s="5" t="str">
        <f ca="1">IFERROR(__xludf.DUMMYFUNCTION("""COMPUTED_VALUE"""),"TALLER HERRAMIENTAS")</f>
        <v>TALLER HERRAMIENTAS</v>
      </c>
      <c r="F541" s="5">
        <f ca="1">IFERROR(__xludf.DUMMYFUNCTION("""COMPUTED_VALUE"""),37881)</f>
        <v>37881</v>
      </c>
      <c r="G541" s="5" t="str">
        <f ca="1">IFERROR(__xludf.DUMMYFUNCTION("""COMPUTED_VALUE"""),"INSPECCION SEMANAL TALLER HERRAMIENTAS")</f>
        <v>INSPECCION SEMANAL TALLER HERRAMIENTAS</v>
      </c>
      <c r="H541" s="5">
        <f ca="1">IFERROR(__xludf.DUMMYFUNCTION("""COMPUTED_VALUE"""),13232776)</f>
        <v>13232776</v>
      </c>
      <c r="I541" s="5" t="str">
        <f ca="1">IFERROR(__xludf.DUMMYFUNCTION("""COMPUTED_VALUE"""),"herramienta miguel guzman")</f>
        <v>herramienta miguel guzman</v>
      </c>
      <c r="J541" s="5" t="str">
        <f ca="1">IFERROR(__xludf.DUMMYFUNCTION("""COMPUTED_VALUE"""),"MEDIO")</f>
        <v>MEDIO</v>
      </c>
      <c r="K541" s="5" t="str">
        <f ca="1">IFERROR(__xludf.DUMMYFUNCTION("""COMPUTED_VALUE"""),"Preventivo")</f>
        <v>Preventivo</v>
      </c>
      <c r="L541" s="5" t="str">
        <f ca="1">IFERROR(__xludf.DUMMYFUNCTION("""COMPUTED_VALUE"""),"Maquinaria")</f>
        <v>Maquinaria</v>
      </c>
      <c r="M541" s="5" t="str">
        <f ca="1">IFERROR(__xludf.DUMMYFUNCTION("""COMPUTED_VALUE"""),"No")</f>
        <v>No</v>
      </c>
      <c r="N541" s="5"/>
      <c r="O541" s="5"/>
      <c r="P541" s="18">
        <f ca="1">IFERROR(__xludf.DUMMYFUNCTION("""COMPUTED_VALUE"""),45325)</f>
        <v>45325</v>
      </c>
      <c r="Q541" s="18">
        <f ca="1">IFERROR(__xludf.DUMMYFUNCTION("""COMPUTED_VALUE"""),45325)</f>
        <v>45325</v>
      </c>
      <c r="R541" s="18"/>
      <c r="S541" s="5">
        <f ca="1">IFERROR(__xludf.DUMMYFUNCTION("""COMPUTED_VALUE"""),1)</f>
        <v>1</v>
      </c>
      <c r="T541" s="5"/>
      <c r="U541" s="5" t="str">
        <f ca="1">IFERROR(__xludf.DUMMYFUNCTION("""COMPUTED_VALUE"""),"Martinez Carlos")</f>
        <v>Martinez Carlos</v>
      </c>
      <c r="V541" s="5"/>
      <c r="W541" s="5" t="str">
        <f ca="1">IFERROR(__xludf.DUMMYFUNCTION("""COMPUTED_VALUE"""),"ze2d6vHEsJg")</f>
        <v>ze2d6vHEsJg</v>
      </c>
      <c r="X541" s="5">
        <f ca="1">IFERROR(__xludf.DUMMYFUNCTION("""COMPUTED_VALUE"""),1)</f>
        <v>1</v>
      </c>
      <c r="Z541" s="3">
        <f ca="1">IFERROR(VLOOKUP(U541, 'Base de datos'!A:B, 2, FALSE), "")</f>
        <v>573113563903</v>
      </c>
      <c r="AA541" s="4" t="e">
        <f t="shared" ca="1" si="5"/>
        <v>#NAME?</v>
      </c>
    </row>
    <row r="542" spans="1:27" ht="15.75" customHeight="1">
      <c r="A542" s="5" t="str">
        <f ca="1">IFERROR(__xludf.DUMMYFUNCTION("""COMPUTED_VALUE"""),"POSTOBÓN YUMBO")</f>
        <v>POSTOBÓN YUMBO</v>
      </c>
      <c r="B542" s="5" t="str">
        <f ca="1">IFERROR(__xludf.DUMMYFUNCTION("""COMPUTED_VALUE"""),"0410-TALLER MANTTO PLANTA")</f>
        <v>0410-TALLER MANTTO PLANTA</v>
      </c>
      <c r="C542" s="5" t="str">
        <f ca="1">IFERROR(__xludf.DUMMYFUNCTION("""COMPUTED_VALUE"""),"TALLER MANTENIMIENTO EQUIPOS DE PLANTA")</f>
        <v>TALLER MANTENIMIENTO EQUIPOS DE PLANTA</v>
      </c>
      <c r="D542" s="5">
        <f ca="1">IFERROR(__xludf.DUMMYFUNCTION("""COMPUTED_VALUE"""),207027)</f>
        <v>207027</v>
      </c>
      <c r="E542" s="5" t="str">
        <f ca="1">IFERROR(__xludf.DUMMYFUNCTION("""COMPUTED_VALUE"""),"TALLER INDUSTRIAL MANTENIMIENTO PLANTA")</f>
        <v>TALLER INDUSTRIAL MANTENIMIENTO PLANTA</v>
      </c>
      <c r="F542" s="5">
        <f ca="1">IFERROR(__xludf.DUMMYFUNCTION("""COMPUTED_VALUE"""),37881)</f>
        <v>37881</v>
      </c>
      <c r="G542" s="5" t="str">
        <f ca="1">IFERROR(__xludf.DUMMYFUNCTION("""COMPUTED_VALUE"""),"INSPECCION SEMANAL TALLER INDUSTRIAL MAN")</f>
        <v>INSPECCION SEMANAL TALLER INDUSTRIAL MAN</v>
      </c>
      <c r="H542" s="5">
        <f ca="1">IFERROR(__xludf.DUMMYFUNCTION("""COMPUTED_VALUE"""),13232779)</f>
        <v>13232779</v>
      </c>
      <c r="I542" s="5" t="str">
        <f ca="1">IFERROR(__xludf.DUMMYFUNCTION("""COMPUTED_VALUE"""),"RACORES LUBRICACION")</f>
        <v>RACORES LUBRICACION</v>
      </c>
      <c r="J542" s="5" t="str">
        <f ca="1">IFERROR(__xludf.DUMMYFUNCTION("""COMPUTED_VALUE"""),"MEDIO")</f>
        <v>MEDIO</v>
      </c>
      <c r="K542" s="5" t="str">
        <f ca="1">IFERROR(__xludf.DUMMYFUNCTION("""COMPUTED_VALUE"""),"Preventivo")</f>
        <v>Preventivo</v>
      </c>
      <c r="L542" s="5" t="str">
        <f ca="1">IFERROR(__xludf.DUMMYFUNCTION("""COMPUTED_VALUE"""),"Maquinaria")</f>
        <v>Maquinaria</v>
      </c>
      <c r="M542" s="5" t="str">
        <f ca="1">IFERROR(__xludf.DUMMYFUNCTION("""COMPUTED_VALUE"""),"No")</f>
        <v>No</v>
      </c>
      <c r="N542" s="5"/>
      <c r="O542" s="5"/>
      <c r="P542" s="18">
        <f ca="1">IFERROR(__xludf.DUMMYFUNCTION("""COMPUTED_VALUE"""),45325)</f>
        <v>45325</v>
      </c>
      <c r="Q542" s="18">
        <f ca="1">IFERROR(__xludf.DUMMYFUNCTION("""COMPUTED_VALUE"""),45325)</f>
        <v>45325</v>
      </c>
      <c r="R542" s="18">
        <f ca="1">IFERROR(__xludf.DUMMYFUNCTION("""COMPUTED_VALUE"""),2)</f>
        <v>2</v>
      </c>
      <c r="S542" s="5">
        <f ca="1">IFERROR(__xludf.DUMMYFUNCTION("""COMPUTED_VALUE"""),1)</f>
        <v>1</v>
      </c>
      <c r="T542" s="5"/>
      <c r="U542" s="5" t="str">
        <f ca="1">IFERROR(__xludf.DUMMYFUNCTION("""COMPUTED_VALUE"""),"Martinez Carlos")</f>
        <v>Martinez Carlos</v>
      </c>
      <c r="V542" s="5"/>
      <c r="W542" s="5" t="str">
        <f ca="1">IFERROR(__xludf.DUMMYFUNCTION("""COMPUTED_VALUE"""),"MASV4D0-Dc4")</f>
        <v>MASV4D0-Dc4</v>
      </c>
      <c r="X542" s="5">
        <f ca="1">IFERROR(__xludf.DUMMYFUNCTION("""COMPUTED_VALUE"""),1)</f>
        <v>1</v>
      </c>
      <c r="Z542" s="3">
        <f ca="1">IFERROR(VLOOKUP(U542, 'Base de datos'!A:B, 2, FALSE), "")</f>
        <v>573113563903</v>
      </c>
      <c r="AA542" s="4" t="e">
        <f t="shared" ca="1" si="5"/>
        <v>#NAME?</v>
      </c>
    </row>
    <row r="543" spans="1:27" ht="15.75" customHeight="1">
      <c r="A543" s="5" t="str">
        <f ca="1">IFERROR(__xludf.DUMMYFUNCTION("""COMPUTED_VALUE"""),"POSTOBÓN YUMBO")</f>
        <v>POSTOBÓN YUMBO</v>
      </c>
      <c r="B543" s="5" t="str">
        <f ca="1">IFERROR(__xludf.DUMMYFUNCTION("""COMPUTED_VALUE"""),"0410-LINEA PET CSD")</f>
        <v>0410-LINEA PET CSD</v>
      </c>
      <c r="C543" s="5" t="str">
        <f ca="1">IFERROR(__xludf.DUMMYFUNCTION("""COMPUTED_VALUE"""),"LINEA PET CSD - LINEA 10")</f>
        <v>LINEA PET CSD - LINEA 10</v>
      </c>
      <c r="D543" s="5">
        <f ca="1">IFERROR(__xludf.DUMMYFUNCTION("""COMPUTED_VALUE"""),51956101)</f>
        <v>51956101</v>
      </c>
      <c r="E543" s="5" t="str">
        <f ca="1">IFERROR(__xludf.DUMMYFUNCTION("""COMPUTED_VALUE"""),"SISTEMA INYECCIÓN DE NITRÓGENO")</f>
        <v>SISTEMA INYECCIÓN DE NITRÓGENO</v>
      </c>
      <c r="F543" s="5">
        <f ca="1">IFERROR(__xludf.DUMMYFUNCTION("""COMPUTED_VALUE"""),41005)</f>
        <v>41005</v>
      </c>
      <c r="G543" s="5" t="str">
        <f ca="1">IFERROR(__xludf.DUMMYFUNCTION("""COMPUTED_VALUE"""),"PLAN MTTO ELE EQUIPO NITROGENO L10")</f>
        <v>PLAN MTTO ELE EQUIPO NITROGENO L10</v>
      </c>
      <c r="H543" s="5">
        <f ca="1">IFERROR(__xludf.DUMMYFUNCTION("""COMPUTED_VALUE"""),13232835)</f>
        <v>13232835</v>
      </c>
      <c r="I543" s="5" t="str">
        <f ca="1">IFERROR(__xludf.DUMMYFUNCTION("""COMPUTED_VALUE"""),"Revision enconder")</f>
        <v>Revision enconder</v>
      </c>
      <c r="J543" s="5" t="str">
        <f ca="1">IFERROR(__xludf.DUMMYFUNCTION("""COMPUTED_VALUE"""),"ALTO")</f>
        <v>ALTO</v>
      </c>
      <c r="K543" s="5" t="str">
        <f ca="1">IFERROR(__xludf.DUMMYFUNCTION("""COMPUTED_VALUE"""),"Preventivo")</f>
        <v>Preventivo</v>
      </c>
      <c r="L543" s="5" t="str">
        <f ca="1">IFERROR(__xludf.DUMMYFUNCTION("""COMPUTED_VALUE"""),"Maquinaria")</f>
        <v>Maquinaria</v>
      </c>
      <c r="M543" s="5" t="str">
        <f ca="1">IFERROR(__xludf.DUMMYFUNCTION("""COMPUTED_VALUE"""),"No")</f>
        <v>No</v>
      </c>
      <c r="N543" s="5"/>
      <c r="O543" s="5">
        <f ca="1">IFERROR(__xludf.DUMMYFUNCTION("""COMPUTED_VALUE"""),100)</f>
        <v>100</v>
      </c>
      <c r="P543" s="18">
        <f ca="1">IFERROR(__xludf.DUMMYFUNCTION("""COMPUTED_VALUE"""),45334)</f>
        <v>45334</v>
      </c>
      <c r="Q543" s="18">
        <f ca="1">IFERROR(__xludf.DUMMYFUNCTION("""COMPUTED_VALUE"""),45334)</f>
        <v>45334</v>
      </c>
      <c r="R543" s="18"/>
      <c r="S543" s="5">
        <f ca="1">IFERROR(__xludf.DUMMYFUNCTION("""COMPUTED_VALUE"""),1)</f>
        <v>1</v>
      </c>
      <c r="T543" s="5"/>
      <c r="U543" s="5" t="str">
        <f ca="1">IFERROR(__xludf.DUMMYFUNCTION("""COMPUTED_VALUE"""),"Jhon Edwar Echeverry Reina")</f>
        <v>Jhon Edwar Echeverry Reina</v>
      </c>
      <c r="V543" s="5"/>
      <c r="W543" s="5" t="str">
        <f ca="1">IFERROR(__xludf.DUMMYFUNCTION("""COMPUTED_VALUE"""),"MX6WnvqypvY")</f>
        <v>MX6WnvqypvY</v>
      </c>
      <c r="X543" s="5">
        <f ca="1">IFERROR(__xludf.DUMMYFUNCTION("""COMPUTED_VALUE"""),1)</f>
        <v>1</v>
      </c>
      <c r="Z543" s="3" t="str">
        <f ca="1">IFERROR(VLOOKUP(U543, 'Base de datos'!A:B, 2, FALSE), "")</f>
        <v/>
      </c>
      <c r="AA543" s="4" t="e">
        <f t="shared" ca="1" si="5"/>
        <v>#NAME?</v>
      </c>
    </row>
    <row r="544" spans="1:27" ht="15.75" customHeight="1">
      <c r="A544" s="5" t="str">
        <f ca="1">IFERROR(__xludf.DUMMYFUNCTION("""COMPUTED_VALUE"""),"POSTOBÓN YUMBO")</f>
        <v>POSTOBÓN YUMBO</v>
      </c>
      <c r="B544" s="5" t="str">
        <f ca="1">IFERROR(__xludf.DUMMYFUNCTION("""COMPUTED_VALUE"""),"0410-LINEA PET CSD")</f>
        <v>0410-LINEA PET CSD</v>
      </c>
      <c r="C544" s="5" t="str">
        <f ca="1">IFERROR(__xludf.DUMMYFUNCTION("""COMPUTED_VALUE"""),"LINEA PET CSD - LINEA 10")</f>
        <v>LINEA PET CSD - LINEA 10</v>
      </c>
      <c r="D544" s="5">
        <f ca="1">IFERROR(__xludf.DUMMYFUNCTION("""COMPUTED_VALUE"""),519561)</f>
        <v>519561</v>
      </c>
      <c r="E544" s="5" t="str">
        <f ca="1">IFERROR(__xludf.DUMMYFUNCTION("""COMPUTED_VALUE"""),"LLENADORA DE BOTELLAS PET 162 VALVULAS")</f>
        <v>LLENADORA DE BOTELLAS PET 162 VALVULAS</v>
      </c>
      <c r="F544" s="5">
        <f ca="1">IFERROR(__xludf.DUMMYFUNCTION("""COMPUTED_VALUE"""),0)</f>
        <v>0</v>
      </c>
      <c r="G544" s="5" t="str">
        <f ca="1">IFERROR(__xludf.DUMMYFUNCTION("""COMPUTED_VALUE"""),"CONSUMO LUB LLENADORA L10")</f>
        <v>CONSUMO LUB LLENADORA L10</v>
      </c>
      <c r="H544" s="5">
        <f ca="1">IFERROR(__xludf.DUMMYFUNCTION("""COMPUTED_VALUE"""),13230971)</f>
        <v>13230971</v>
      </c>
      <c r="I544" s="5" t="str">
        <f ca="1">IFERROR(__xludf.DUMMYFUNCTION("""COMPUTED_VALUE"""),"CONSUMO LUBRICANTES ENERO 2024")</f>
        <v>CONSUMO LUBRICANTES ENERO 2024</v>
      </c>
      <c r="J544" s="5" t="str">
        <f ca="1">IFERROR(__xludf.DUMMYFUNCTION("""COMPUTED_VALUE"""),"ALTO")</f>
        <v>ALTO</v>
      </c>
      <c r="K544" s="5" t="str">
        <f ca="1">IFERROR(__xludf.DUMMYFUNCTION("""COMPUTED_VALUE"""),"Preventivo")</f>
        <v>Preventivo</v>
      </c>
      <c r="L544" s="5" t="str">
        <f ca="1">IFERROR(__xludf.DUMMYFUNCTION("""COMPUTED_VALUE"""),"Maquinaria")</f>
        <v>Maquinaria</v>
      </c>
      <c r="M544" s="5" t="str">
        <f ca="1">IFERROR(__xludf.DUMMYFUNCTION("""COMPUTED_VALUE"""),"No")</f>
        <v>No</v>
      </c>
      <c r="N544" s="5"/>
      <c r="O544" s="5">
        <f ca="1">IFERROR(__xludf.DUMMYFUNCTION("""COMPUTED_VALUE"""),100)</f>
        <v>100</v>
      </c>
      <c r="P544" s="18">
        <f ca="1">IFERROR(__xludf.DUMMYFUNCTION("""COMPUTED_VALUE"""),45325)</f>
        <v>45325</v>
      </c>
      <c r="Q544" s="18">
        <f ca="1">IFERROR(__xludf.DUMMYFUNCTION("""COMPUTED_VALUE"""),45325)</f>
        <v>45325</v>
      </c>
      <c r="R544" s="18">
        <f ca="1">IFERROR(__xludf.DUMMYFUNCTION("""COMPUTED_VALUE"""),2)</f>
        <v>2</v>
      </c>
      <c r="S544" s="5">
        <f ca="1">IFERROR(__xludf.DUMMYFUNCTION("""COMPUTED_VALUE"""),1)</f>
        <v>1</v>
      </c>
      <c r="T544" s="5"/>
      <c r="U544" s="5" t="str">
        <f ca="1">IFERROR(__xludf.DUMMYFUNCTION("""COMPUTED_VALUE"""),"Duran Sanchez Nelson Fernando")</f>
        <v>Duran Sanchez Nelson Fernando</v>
      </c>
      <c r="V544" s="5"/>
      <c r="W544" s="5" t="str">
        <f ca="1">IFERROR(__xludf.DUMMYFUNCTION("""COMPUTED_VALUE"""),"yX9i4VxpSDU")</f>
        <v>yX9i4VxpSDU</v>
      </c>
      <c r="X544" s="5">
        <f ca="1">IFERROR(__xludf.DUMMYFUNCTION("""COMPUTED_VALUE"""),1)</f>
        <v>1</v>
      </c>
      <c r="Z544" s="3">
        <f ca="1">IFERROR(VLOOKUP(U544, 'Base de datos'!A:B, 2, FALSE), "")</f>
        <v>573187183243</v>
      </c>
      <c r="AA544" s="4" t="e">
        <f t="shared" ca="1" si="5"/>
        <v>#NAME?</v>
      </c>
    </row>
    <row r="545" spans="1:27" ht="15.75" customHeight="1">
      <c r="A545" s="5" t="str">
        <f ca="1">IFERROR(__xludf.DUMMYFUNCTION("""COMPUTED_VALUE"""),"POSTOBÓN YUMBO")</f>
        <v>POSTOBÓN YUMBO</v>
      </c>
      <c r="B545" s="5" t="str">
        <f ca="1">IFERROR(__xludf.DUMMYFUNCTION("""COMPUTED_VALUE"""),"0410-LINEA 1")</f>
        <v>0410-LINEA 1</v>
      </c>
      <c r="C545" s="5" t="str">
        <f ca="1">IFERROR(__xludf.DUMMYFUNCTION("""COMPUTED_VALUE"""),"LINEA DE ENVASADO PET NO RETORNABLE")</f>
        <v>LINEA DE ENVASADO PET NO RETORNABLE</v>
      </c>
      <c r="D545" s="5">
        <f ca="1">IFERROR(__xludf.DUMMYFUNCTION("""COMPUTED_VALUE"""),518635)</f>
        <v>518635</v>
      </c>
      <c r="E545" s="5" t="str">
        <f ca="1">IFERROR(__xludf.DUMMYFUNCTION("""COMPUTED_VALUE"""),"LLENADORA")</f>
        <v>LLENADORA</v>
      </c>
      <c r="F545" s="5">
        <f ca="1">IFERROR(__xludf.DUMMYFUNCTION("""COMPUTED_VALUE"""),0)</f>
        <v>0</v>
      </c>
      <c r="G545" s="5" t="str">
        <f ca="1">IFERROR(__xludf.DUMMYFUNCTION("""COMPUTED_VALUE"""),"CONSUMO LUB LLENADORA L1")</f>
        <v>CONSUMO LUB LLENADORA L1</v>
      </c>
      <c r="H545" s="5">
        <f ca="1">IFERROR(__xludf.DUMMYFUNCTION("""COMPUTED_VALUE"""),13230941)</f>
        <v>13230941</v>
      </c>
      <c r="I545" s="5" t="str">
        <f ca="1">IFERROR(__xludf.DUMMYFUNCTION("""COMPUTED_VALUE"""),"CONSUMO LUB LLENADORA L1")</f>
        <v>CONSUMO LUB LLENADORA L1</v>
      </c>
      <c r="J545" s="5" t="str">
        <f ca="1">IFERROR(__xludf.DUMMYFUNCTION("""COMPUTED_VALUE"""),"ALTO")</f>
        <v>ALTO</v>
      </c>
      <c r="K545" s="5" t="str">
        <f ca="1">IFERROR(__xludf.DUMMYFUNCTION("""COMPUTED_VALUE"""),"Preventivo")</f>
        <v>Preventivo</v>
      </c>
      <c r="L545" s="5" t="str">
        <f ca="1">IFERROR(__xludf.DUMMYFUNCTION("""COMPUTED_VALUE"""),"Maquinaria")</f>
        <v>Maquinaria</v>
      </c>
      <c r="M545" s="5" t="str">
        <f ca="1">IFERROR(__xludf.DUMMYFUNCTION("""COMPUTED_VALUE"""),"No")</f>
        <v>No</v>
      </c>
      <c r="N545" s="5"/>
      <c r="O545" s="5"/>
      <c r="P545" s="18">
        <f ca="1">IFERROR(__xludf.DUMMYFUNCTION("""COMPUTED_VALUE"""),45325)</f>
        <v>45325</v>
      </c>
      <c r="Q545" s="18">
        <f ca="1">IFERROR(__xludf.DUMMYFUNCTION("""COMPUTED_VALUE"""),45325)</f>
        <v>45325</v>
      </c>
      <c r="R545" s="18"/>
      <c r="S545" s="5">
        <f ca="1">IFERROR(__xludf.DUMMYFUNCTION("""COMPUTED_VALUE"""),1)</f>
        <v>1</v>
      </c>
      <c r="T545" s="5"/>
      <c r="U545" s="5" t="str">
        <f ca="1">IFERROR(__xludf.DUMMYFUNCTION("""COMPUTED_VALUE"""),"FRANCO HERRERA ALEJANDRO")</f>
        <v>FRANCO HERRERA ALEJANDRO</v>
      </c>
      <c r="V545" s="5"/>
      <c r="W545" s="5" t="str">
        <f ca="1">IFERROR(__xludf.DUMMYFUNCTION("""COMPUTED_VALUE"""),"ly74x6uhQWY")</f>
        <v>ly74x6uhQWY</v>
      </c>
      <c r="X545" s="5">
        <f ca="1">IFERROR(__xludf.DUMMYFUNCTION("""COMPUTED_VALUE"""),1)</f>
        <v>1</v>
      </c>
      <c r="Z545" s="3">
        <f ca="1">IFERROR(VLOOKUP(U545, 'Base de datos'!A:B, 2, FALSE), "")</f>
        <v>573015282155</v>
      </c>
      <c r="AA545" s="4" t="e">
        <f t="shared" ca="1" si="5"/>
        <v>#NAME?</v>
      </c>
    </row>
    <row r="546" spans="1:27" ht="15.75" customHeight="1">
      <c r="A546" s="5" t="str">
        <f ca="1">IFERROR(__xludf.DUMMYFUNCTION("""COMPUTED_VALUE"""),"POSTOBÓN YUMBO")</f>
        <v>POSTOBÓN YUMBO</v>
      </c>
      <c r="B546" s="5" t="str">
        <f ca="1">IFERROR(__xludf.DUMMYFUNCTION("""COMPUTED_VALUE"""),"0410-LINEA 1")</f>
        <v>0410-LINEA 1</v>
      </c>
      <c r="C546" s="5" t="str">
        <f ca="1">IFERROR(__xludf.DUMMYFUNCTION("""COMPUTED_VALUE"""),"LINEA DE ENVASADO PET NO RETORNABLE")</f>
        <v>LINEA DE ENVASADO PET NO RETORNABLE</v>
      </c>
      <c r="D546" s="5">
        <f ca="1">IFERROR(__xludf.DUMMYFUNCTION("""COMPUTED_VALUE"""),900231)</f>
        <v>900231</v>
      </c>
      <c r="E546" s="5" t="str">
        <f ca="1">IFERROR(__xludf.DUMMYFUNCTION("""COMPUTED_VALUE"""),"ALMACEN DE PALETS")</f>
        <v>ALMACEN DE PALETS</v>
      </c>
      <c r="F546" s="5">
        <f ca="1">IFERROR(__xludf.DUMMYFUNCTION("""COMPUTED_VALUE"""),22587)</f>
        <v>22587</v>
      </c>
      <c r="G546" s="5" t="str">
        <f ca="1">IFERROR(__xludf.DUMMYFUNCTION("""COMPUTED_VALUE"""),"PLAN MTTO LUB ALMACEN DE PALETS 900231")</f>
        <v>PLAN MTTO LUB ALMACEN DE PALETS 900231</v>
      </c>
      <c r="H546" s="5">
        <f ca="1">IFERROR(__xludf.DUMMYFUNCTION("""COMPUTED_VALUE"""),13247214)</f>
        <v>13247214</v>
      </c>
      <c r="I546" s="5" t="str">
        <f ca="1">IFERROR(__xludf.DUMMYFUNCTION("""COMPUTED_VALUE"""),"Lubricar chumaceras")</f>
        <v>Lubricar chumaceras</v>
      </c>
      <c r="J546" s="5" t="str">
        <f ca="1">IFERROR(__xludf.DUMMYFUNCTION("""COMPUTED_VALUE"""),"BAJO")</f>
        <v>BAJO</v>
      </c>
      <c r="K546" s="5" t="str">
        <f ca="1">IFERROR(__xludf.DUMMYFUNCTION("""COMPUTED_VALUE"""),"Preventivo")</f>
        <v>Preventivo</v>
      </c>
      <c r="L546" s="5" t="str">
        <f ca="1">IFERROR(__xludf.DUMMYFUNCTION("""COMPUTED_VALUE"""),"Maquinaria")</f>
        <v>Maquinaria</v>
      </c>
      <c r="M546" s="5" t="str">
        <f ca="1">IFERROR(__xludf.DUMMYFUNCTION("""COMPUTED_VALUE"""),"No")</f>
        <v>No</v>
      </c>
      <c r="N546" s="5"/>
      <c r="O546" s="5"/>
      <c r="P546" s="18">
        <f ca="1">IFERROR(__xludf.DUMMYFUNCTION("""COMPUTED_VALUE"""),45340)</f>
        <v>45340</v>
      </c>
      <c r="Q546" s="18">
        <f ca="1">IFERROR(__xludf.DUMMYFUNCTION("""COMPUTED_VALUE"""),45340)</f>
        <v>45340</v>
      </c>
      <c r="R546" s="18"/>
      <c r="S546" s="5">
        <f ca="1">IFERROR(__xludf.DUMMYFUNCTION("""COMPUTED_VALUE"""),0.5)</f>
        <v>0.5</v>
      </c>
      <c r="T546" s="5"/>
      <c r="U546" s="5" t="str">
        <f ca="1">IFERROR(__xludf.DUMMYFUNCTION("""COMPUTED_VALUE"""),"Héctor Toro")</f>
        <v>Héctor Toro</v>
      </c>
      <c r="V546" s="5"/>
      <c r="W546" s="5" t="str">
        <f ca="1">IFERROR(__xludf.DUMMYFUNCTION("""COMPUTED_VALUE"""),"_dTYpI_UqyA")</f>
        <v>_dTYpI_UqyA</v>
      </c>
      <c r="X546" s="5">
        <f ca="1">IFERROR(__xludf.DUMMYFUNCTION("""COMPUTED_VALUE"""),0.5)</f>
        <v>0.5</v>
      </c>
      <c r="Z546" s="3">
        <f ca="1">IFERROR(VLOOKUP(U546, 'Base de datos'!A:B, 2, FALSE), "")</f>
        <v>573015223410</v>
      </c>
      <c r="AA546" s="4" t="e">
        <f t="shared" ca="1" si="5"/>
        <v>#NAME?</v>
      </c>
    </row>
    <row r="547" spans="1:27" ht="15.75" customHeight="1">
      <c r="A547" s="5" t="str">
        <f ca="1">IFERROR(__xludf.DUMMYFUNCTION("""COMPUTED_VALUE"""),"POSTOBÓN YUMBO")</f>
        <v>POSTOBÓN YUMBO</v>
      </c>
      <c r="B547" s="5" t="str">
        <f ca="1">IFERROR(__xludf.DUMMYFUNCTION("""COMPUTED_VALUE"""),"0410-SALA DE JARABE TERMINADO")</f>
        <v>0410-SALA DE JARABE TERMINADO</v>
      </c>
      <c r="C547" s="5" t="str">
        <f ca="1">IFERROR(__xludf.DUMMYFUNCTION("""COMPUTED_VALUE"""),"EQUIPOS PARA PREPARACION DE JARABE")</f>
        <v>EQUIPOS PARA PREPARACION DE JARABE</v>
      </c>
      <c r="D547" s="5">
        <f ca="1">IFERROR(__xludf.DUMMYFUNCTION("""COMPUTED_VALUE"""),69963414)</f>
        <v>69963414</v>
      </c>
      <c r="E547" s="5" t="str">
        <f ca="1">IFERROR(__xludf.DUMMYFUNCTION("""COMPUTED_VALUE"""),"TANQUE DE JARABE")</f>
        <v>TANQUE DE JARABE</v>
      </c>
      <c r="F547" s="5">
        <f ca="1">IFERROR(__xludf.DUMMYFUNCTION("""COMPUTED_VALUE"""),17361)</f>
        <v>17361</v>
      </c>
      <c r="G547" s="5" t="str">
        <f ca="1">IFERROR(__xludf.DUMMYFUNCTION("""COMPUTED_VALUE"""),"MTTO MEC TK JARABE 11 JARABE TERMINADO")</f>
        <v>MTTO MEC TK JARABE 11 JARABE TERMINADO</v>
      </c>
      <c r="H547" s="5">
        <f ca="1">IFERROR(__xludf.DUMMYFUNCTION("""COMPUTED_VALUE"""),13247168)</f>
        <v>13247168</v>
      </c>
      <c r="I547" s="5" t="str">
        <f ca="1">IFERROR(__xludf.DUMMYFUNCTION("""COMPUTED_VALUE"""),"ANTON PAAR - dentro de la cubierta de")</f>
        <v>ANTON PAAR - dentro de la cubierta de</v>
      </c>
      <c r="J547" s="5" t="str">
        <f ca="1">IFERROR(__xludf.DUMMYFUNCTION("""COMPUTED_VALUE"""),"ALTO")</f>
        <v>ALTO</v>
      </c>
      <c r="K547" s="5" t="str">
        <f ca="1">IFERROR(__xludf.DUMMYFUNCTION("""COMPUTED_VALUE"""),"Preventivo")</f>
        <v>Preventivo</v>
      </c>
      <c r="L547" s="5" t="str">
        <f ca="1">IFERROR(__xludf.DUMMYFUNCTION("""COMPUTED_VALUE"""),"Maquinaria")</f>
        <v>Maquinaria</v>
      </c>
      <c r="M547" s="5" t="str">
        <f ca="1">IFERROR(__xludf.DUMMYFUNCTION("""COMPUTED_VALUE"""),"No")</f>
        <v>No</v>
      </c>
      <c r="N547" s="5"/>
      <c r="O547" s="5">
        <f ca="1">IFERROR(__xludf.DUMMYFUNCTION("""COMPUTED_VALUE"""),100)</f>
        <v>100</v>
      </c>
      <c r="P547" s="18">
        <f ca="1">IFERROR(__xludf.DUMMYFUNCTION("""COMPUTED_VALUE"""),45342)</f>
        <v>45342</v>
      </c>
      <c r="Q547" s="18">
        <f ca="1">IFERROR(__xludf.DUMMYFUNCTION("""COMPUTED_VALUE"""),45342)</f>
        <v>45342</v>
      </c>
      <c r="R547" s="18">
        <f ca="1">IFERROR(__xludf.DUMMYFUNCTION("""COMPUTED_VALUE"""),2)</f>
        <v>2</v>
      </c>
      <c r="S547" s="5">
        <f ca="1">IFERROR(__xludf.DUMMYFUNCTION("""COMPUTED_VALUE"""),1)</f>
        <v>1</v>
      </c>
      <c r="T547" s="5"/>
      <c r="U547" s="5" t="str">
        <f ca="1">IFERROR(__xludf.DUMMYFUNCTION("""COMPUTED_VALUE"""),"Rivas Mena Carlos Danny")</f>
        <v>Rivas Mena Carlos Danny</v>
      </c>
      <c r="V547" s="5"/>
      <c r="W547" s="5" t="str">
        <f ca="1">IFERROR(__xludf.DUMMYFUNCTION("""COMPUTED_VALUE"""),"KwCS6eyPt5M")</f>
        <v>KwCS6eyPt5M</v>
      </c>
      <c r="X547" s="5">
        <f ca="1">IFERROR(__xludf.DUMMYFUNCTION("""COMPUTED_VALUE"""),1)</f>
        <v>1</v>
      </c>
      <c r="Z547" s="3">
        <f ca="1">IFERROR(VLOOKUP(U547, 'Base de datos'!A:B, 2, FALSE), "")</f>
        <v>0</v>
      </c>
      <c r="AA547" s="4" t="e">
        <f t="shared" ca="1" si="5"/>
        <v>#NAME?</v>
      </c>
    </row>
    <row r="548" spans="1:27" ht="15.75" customHeight="1">
      <c r="A548" s="5" t="str">
        <f ca="1">IFERROR(__xludf.DUMMYFUNCTION("""COMPUTED_VALUE"""),"POSTOBÓN YUMBO")</f>
        <v>POSTOBÓN YUMBO</v>
      </c>
      <c r="B548" s="5" t="str">
        <f ca="1">IFERROR(__xludf.DUMMYFUNCTION("""COMPUTED_VALUE"""),"0410-EQUIPOS AUXILIARES JUGOS")</f>
        <v>0410-EQUIPOS AUXILIARES JUGOS</v>
      </c>
      <c r="C548" s="5" t="str">
        <f ca="1">IFERROR(__xludf.DUMMYFUNCTION("""COMPUTED_VALUE"""),"EQUIPOS PARA SERVICIOS INDUSTRIALES JUGO")</f>
        <v>EQUIPOS PARA SERVICIOS INDUSTRIALES JUGO</v>
      </c>
      <c r="D548" s="5">
        <f ca="1">IFERROR(__xludf.DUMMYFUNCTION("""COMPUTED_VALUE"""),829060)</f>
        <v>829060</v>
      </c>
      <c r="E548" s="5" t="str">
        <f ca="1">IFERROR(__xludf.DUMMYFUNCTION("""COMPUTED_VALUE"""),"COMPRESOR DE REFRIGERACION No. 3 JUGOS")</f>
        <v>COMPRESOR DE REFRIGERACION No. 3 JUGOS</v>
      </c>
      <c r="F548" s="5">
        <f ca="1">IFERROR(__xludf.DUMMYFUNCTION("""COMPUTED_VALUE"""),0)</f>
        <v>0</v>
      </c>
      <c r="G548" s="5" t="str">
        <f ca="1">IFERROR(__xludf.DUMMYFUNCTION("""COMPUTED_VALUE"""),"CONSUMO LUB COMPRESOR TORNILLO JUGOS 3")</f>
        <v>CONSUMO LUB COMPRESOR TORNILLO JUGOS 3</v>
      </c>
      <c r="H548" s="5">
        <f ca="1">IFERROR(__xludf.DUMMYFUNCTION("""COMPUTED_VALUE"""),13230965)</f>
        <v>13230965</v>
      </c>
      <c r="I548" s="5" t="str">
        <f ca="1">IFERROR(__xludf.DUMMYFUNCTION("""COMPUTED_VALUE"""),"CONSUMO LUB COMPRESOR TORNILLO JUGOS 3")</f>
        <v>CONSUMO LUB COMPRESOR TORNILLO JUGOS 3</v>
      </c>
      <c r="J548" s="5" t="str">
        <f ca="1">IFERROR(__xludf.DUMMYFUNCTION("""COMPUTED_VALUE"""),"MEDIO")</f>
        <v>MEDIO</v>
      </c>
      <c r="K548" s="5" t="str">
        <f ca="1">IFERROR(__xludf.DUMMYFUNCTION("""COMPUTED_VALUE"""),"Preventivo")</f>
        <v>Preventivo</v>
      </c>
      <c r="L548" s="5" t="str">
        <f ca="1">IFERROR(__xludf.DUMMYFUNCTION("""COMPUTED_VALUE"""),"Maquinaria")</f>
        <v>Maquinaria</v>
      </c>
      <c r="M548" s="5" t="str">
        <f ca="1">IFERROR(__xludf.DUMMYFUNCTION("""COMPUTED_VALUE"""),"No")</f>
        <v>No</v>
      </c>
      <c r="N548" s="5"/>
      <c r="O548" s="5"/>
      <c r="P548" s="18">
        <f ca="1">IFERROR(__xludf.DUMMYFUNCTION("""COMPUTED_VALUE"""),45325)</f>
        <v>45325</v>
      </c>
      <c r="Q548" s="18">
        <f ca="1">IFERROR(__xludf.DUMMYFUNCTION("""COMPUTED_VALUE"""),45325)</f>
        <v>45325</v>
      </c>
      <c r="R548" s="18">
        <f ca="1">IFERROR(__xludf.DUMMYFUNCTION("""COMPUTED_VALUE"""),2)</f>
        <v>2</v>
      </c>
      <c r="S548" s="5">
        <f ca="1">IFERROR(__xludf.DUMMYFUNCTION("""COMPUTED_VALUE"""),1)</f>
        <v>1</v>
      </c>
      <c r="T548" s="5"/>
      <c r="U548" s="5" t="str">
        <f ca="1">IFERROR(__xludf.DUMMYFUNCTION("""COMPUTED_VALUE"""),"Lopez Raul")</f>
        <v>Lopez Raul</v>
      </c>
      <c r="V548" s="5"/>
      <c r="W548" s="5" t="str">
        <f ca="1">IFERROR(__xludf.DUMMYFUNCTION("""COMPUTED_VALUE"""),"rWWFCr8cWhc")</f>
        <v>rWWFCr8cWhc</v>
      </c>
      <c r="X548" s="5">
        <f ca="1">IFERROR(__xludf.DUMMYFUNCTION("""COMPUTED_VALUE"""),1)</f>
        <v>1</v>
      </c>
      <c r="Z548" s="3">
        <f ca="1">IFERROR(VLOOKUP(U548, 'Base de datos'!A:B, 2, FALSE), "")</f>
        <v>573122172129</v>
      </c>
      <c r="AA548" s="4" t="e">
        <f t="shared" ca="1" si="5"/>
        <v>#NAME?</v>
      </c>
    </row>
    <row r="549" spans="1:27" ht="15.75" customHeight="1">
      <c r="A549" s="5" t="str">
        <f ca="1">IFERROR(__xludf.DUMMYFUNCTION("""COMPUTED_VALUE"""),"POSTOBÓN YUMBO")</f>
        <v>POSTOBÓN YUMBO</v>
      </c>
      <c r="B549" s="5" t="str">
        <f ca="1">IFERROR(__xludf.DUMMYFUNCTION("""COMPUTED_VALUE"""),"0410-LINEA PET CSD")</f>
        <v>0410-LINEA PET CSD</v>
      </c>
      <c r="C549" s="5" t="str">
        <f ca="1">IFERROR(__xludf.DUMMYFUNCTION("""COMPUTED_VALUE"""),"LINEA PET CSD - LINEA 10")</f>
        <v>LINEA PET CSD - LINEA 10</v>
      </c>
      <c r="D549" s="5">
        <f ca="1">IFERROR(__xludf.DUMMYFUNCTION("""COMPUTED_VALUE"""),519561)</f>
        <v>519561</v>
      </c>
      <c r="E549" s="5" t="str">
        <f ca="1">IFERROR(__xludf.DUMMYFUNCTION("""COMPUTED_VALUE"""),"LLENADORA DE BOTELLAS PET 162 VALVULAS")</f>
        <v>LLENADORA DE BOTELLAS PET 162 VALVULAS</v>
      </c>
      <c r="F549" s="5">
        <f ca="1">IFERROR(__xludf.DUMMYFUNCTION("""COMPUTED_VALUE"""),25366)</f>
        <v>25366</v>
      </c>
      <c r="G549" s="5" t="str">
        <f ca="1">IFERROR(__xludf.DUMMYFUNCTION("""COMPUTED_VALUE"""),"PLAN MTTO LUB Taponadora CSD")</f>
        <v>PLAN MTTO LUB Taponadora CSD</v>
      </c>
      <c r="H549" s="5">
        <f ca="1">IFERROR(__xludf.DUMMYFUNCTION("""COMPUTED_VALUE"""),13232386)</f>
        <v>13232386</v>
      </c>
      <c r="I549" s="5" t="str">
        <f ca="1">IFERROR(__xludf.DUMMYFUNCTION("""COMPUTED_VALUE"""),"Elementos Cierre-Perno Guia")</f>
        <v>Elementos Cierre-Perno Guia</v>
      </c>
      <c r="J549" s="5" t="str">
        <f ca="1">IFERROR(__xludf.DUMMYFUNCTION("""COMPUTED_VALUE"""),"ALTO")</f>
        <v>ALTO</v>
      </c>
      <c r="K549" s="5" t="str">
        <f ca="1">IFERROR(__xludf.DUMMYFUNCTION("""COMPUTED_VALUE"""),"Preventivo")</f>
        <v>Preventivo</v>
      </c>
      <c r="L549" s="5" t="str">
        <f ca="1">IFERROR(__xludf.DUMMYFUNCTION("""COMPUTED_VALUE"""),"Maquinaria")</f>
        <v>Maquinaria</v>
      </c>
      <c r="M549" s="5" t="str">
        <f ca="1">IFERROR(__xludf.DUMMYFUNCTION("""COMPUTED_VALUE"""),"No")</f>
        <v>No</v>
      </c>
      <c r="N549" s="5"/>
      <c r="O549" s="5">
        <f ca="1">IFERROR(__xludf.DUMMYFUNCTION("""COMPUTED_VALUE"""),100)</f>
        <v>100</v>
      </c>
      <c r="P549" s="18">
        <f ca="1">IFERROR(__xludf.DUMMYFUNCTION("""COMPUTED_VALUE"""),45328)</f>
        <v>45328</v>
      </c>
      <c r="Q549" s="18">
        <f ca="1">IFERROR(__xludf.DUMMYFUNCTION("""COMPUTED_VALUE"""),45328)</f>
        <v>45328</v>
      </c>
      <c r="R549" s="18"/>
      <c r="S549" s="5">
        <f ca="1">IFERROR(__xludf.DUMMYFUNCTION("""COMPUTED_VALUE"""),1)</f>
        <v>1</v>
      </c>
      <c r="T549" s="5"/>
      <c r="U549" s="5" t="str">
        <f ca="1">IFERROR(__xludf.DUMMYFUNCTION("""COMPUTED_VALUE"""),"Duran Sanchez Nelson Fernando")</f>
        <v>Duran Sanchez Nelson Fernando</v>
      </c>
      <c r="V549" s="5"/>
      <c r="W549" s="5" t="str">
        <f ca="1">IFERROR(__xludf.DUMMYFUNCTION("""COMPUTED_VALUE"""),"dSPZinS2MXw")</f>
        <v>dSPZinS2MXw</v>
      </c>
      <c r="X549" s="5">
        <f ca="1">IFERROR(__xludf.DUMMYFUNCTION("""COMPUTED_VALUE"""),1)</f>
        <v>1</v>
      </c>
      <c r="Z549" s="3">
        <f ca="1">IFERROR(VLOOKUP(U549, 'Base de datos'!A:B, 2, FALSE), "")</f>
        <v>573187183243</v>
      </c>
      <c r="AA549" s="4" t="e">
        <f t="shared" ca="1" si="5"/>
        <v>#NAME?</v>
      </c>
    </row>
    <row r="550" spans="1:27" ht="15.75" customHeight="1">
      <c r="A550" s="5" t="str">
        <f ca="1">IFERROR(__xludf.DUMMYFUNCTION("""COMPUTED_VALUE"""),"POSTOBÓN YUMBO")</f>
        <v>POSTOBÓN YUMBO</v>
      </c>
      <c r="B550" s="5" t="str">
        <f ca="1">IFERROR(__xludf.DUMMYFUNCTION("""COMPUTED_VALUE"""),"0410-LINEA PET CSD")</f>
        <v>0410-LINEA PET CSD</v>
      </c>
      <c r="C550" s="5" t="str">
        <f ca="1">IFERROR(__xludf.DUMMYFUNCTION("""COMPUTED_VALUE"""),"LINEA PET CSD - LINEA 10")</f>
        <v>LINEA PET CSD - LINEA 10</v>
      </c>
      <c r="D550" s="5">
        <f ca="1">IFERROR(__xludf.DUMMYFUNCTION("""COMPUTED_VALUE"""),599605)</f>
        <v>599605</v>
      </c>
      <c r="E550" s="5" t="str">
        <f ca="1">IFERROR(__xludf.DUMMYFUNCTION("""COMPUTED_VALUE"""),"INSPECTOR ELECTRONICO DE ENVASE")</f>
        <v>INSPECTOR ELECTRONICO DE ENVASE</v>
      </c>
      <c r="F550" s="5">
        <f ca="1">IFERROR(__xludf.DUMMYFUNCTION("""COMPUTED_VALUE"""),25369)</f>
        <v>25369</v>
      </c>
      <c r="G550" s="5" t="str">
        <f ca="1">IFERROR(__xludf.DUMMYFUNCTION("""COMPUTED_VALUE"""),"PLAN MTTO ELE INSPECTOR ELECTRONICO CSD")</f>
        <v>PLAN MTTO ELE INSPECTOR ELECTRONICO CSD</v>
      </c>
      <c r="H550" s="5">
        <f ca="1">IFERROR(__xludf.DUMMYFUNCTION("""COMPUTED_VALUE"""),13232388)</f>
        <v>13232388</v>
      </c>
      <c r="I550" s="5" t="str">
        <f ca="1">IFERROR(__xludf.DUMMYFUNCTION("""COMPUTED_VALUE"""),"Elementos de fijación en piezas de cambi")</f>
        <v>Elementos de fijación en piezas de cambi</v>
      </c>
      <c r="J550" s="5" t="str">
        <f ca="1">IFERROR(__xludf.DUMMYFUNCTION("""COMPUTED_VALUE"""),"ALTO")</f>
        <v>ALTO</v>
      </c>
      <c r="K550" s="5" t="str">
        <f ca="1">IFERROR(__xludf.DUMMYFUNCTION("""COMPUTED_VALUE"""),"Preventivo")</f>
        <v>Preventivo</v>
      </c>
      <c r="L550" s="5" t="str">
        <f ca="1">IFERROR(__xludf.DUMMYFUNCTION("""COMPUTED_VALUE"""),"Maquinaria")</f>
        <v>Maquinaria</v>
      </c>
      <c r="M550" s="5" t="str">
        <f ca="1">IFERROR(__xludf.DUMMYFUNCTION("""COMPUTED_VALUE"""),"No")</f>
        <v>No</v>
      </c>
      <c r="N550" s="5"/>
      <c r="O550" s="5">
        <f ca="1">IFERROR(__xludf.DUMMYFUNCTION("""COMPUTED_VALUE"""),100)</f>
        <v>100</v>
      </c>
      <c r="P550" s="18">
        <f ca="1">IFERROR(__xludf.DUMMYFUNCTION("""COMPUTED_VALUE"""),45328)</f>
        <v>45328</v>
      </c>
      <c r="Q550" s="18">
        <f ca="1">IFERROR(__xludf.DUMMYFUNCTION("""COMPUTED_VALUE"""),45328)</f>
        <v>45328</v>
      </c>
      <c r="R550" s="18">
        <f ca="1">IFERROR(__xludf.DUMMYFUNCTION("""COMPUTED_VALUE"""),2)</f>
        <v>2</v>
      </c>
      <c r="S550" s="5">
        <f ca="1">IFERROR(__xludf.DUMMYFUNCTION("""COMPUTED_VALUE"""),1)</f>
        <v>1</v>
      </c>
      <c r="T550" s="5"/>
      <c r="U550" s="5" t="str">
        <f ca="1">IFERROR(__xludf.DUMMYFUNCTION("""COMPUTED_VALUE"""),"BONILLA ANGULO EDWIN ANDRES")</f>
        <v>BONILLA ANGULO EDWIN ANDRES</v>
      </c>
      <c r="V550" s="5"/>
      <c r="W550" s="5" t="str">
        <f ca="1">IFERROR(__xludf.DUMMYFUNCTION("""COMPUTED_VALUE"""),"wYOFJ2VdMxA")</f>
        <v>wYOFJ2VdMxA</v>
      </c>
      <c r="X550" s="5">
        <f ca="1">IFERROR(__xludf.DUMMYFUNCTION("""COMPUTED_VALUE"""),1)</f>
        <v>1</v>
      </c>
      <c r="Z550" s="3">
        <f ca="1">IFERROR(VLOOKUP(U550, 'Base de datos'!A:B, 2, FALSE), "")</f>
        <v>573154265203</v>
      </c>
      <c r="AA550" s="4" t="e">
        <f t="shared" ca="1" si="5"/>
        <v>#NAME?</v>
      </c>
    </row>
    <row r="551" spans="1:27" ht="15.75" customHeight="1">
      <c r="A551" s="5" t="str">
        <f ca="1">IFERROR(__xludf.DUMMYFUNCTION("""COMPUTED_VALUE"""),"POSTOBÓN YUMBO")</f>
        <v>POSTOBÓN YUMBO</v>
      </c>
      <c r="B551" s="5" t="str">
        <f ca="1">IFERROR(__xludf.DUMMYFUNCTION("""COMPUTED_VALUE"""),"0410-EQUIPOS AUXILIARES")</f>
        <v>0410-EQUIPOS AUXILIARES</v>
      </c>
      <c r="C551" s="5" t="str">
        <f ca="1">IFERROR(__xludf.DUMMYFUNCTION("""COMPUTED_VALUE"""),"EQUIPOS PARA SERVICIOS INDUSTRIALES")</f>
        <v>EQUIPOS PARA SERVICIOS INDUSTRIALES</v>
      </c>
      <c r="D551" s="5">
        <f ca="1">IFERROR(__xludf.DUMMYFUNCTION("""COMPUTED_VALUE"""),659371)</f>
        <v>659371</v>
      </c>
      <c r="E551" s="5" t="str">
        <f ca="1">IFERROR(__xludf.DUMMYFUNCTION("""COMPUTED_VALUE"""),"CALDERA DE 300 BHP")</f>
        <v>CALDERA DE 300 BHP</v>
      </c>
      <c r="F551" s="5">
        <f ca="1">IFERROR(__xludf.DUMMYFUNCTION("""COMPUTED_VALUE"""),21693)</f>
        <v>21693</v>
      </c>
      <c r="G551" s="5" t="str">
        <f ca="1">IFERROR(__xludf.DUMMYFUNCTION("""COMPUTED_VALUE"""),"PLAN DE MTTO MEC CALDERA C#3 A- 1341")</f>
        <v>PLAN DE MTTO MEC CALDERA C#3 A- 1341</v>
      </c>
      <c r="H551" s="5">
        <f ca="1">IFERROR(__xludf.DUMMYFUNCTION("""COMPUTED_VALUE"""),13247183)</f>
        <v>13247183</v>
      </c>
      <c r="I551" s="5" t="str">
        <f ca="1">IFERROR(__xludf.DUMMYFUNCTION("""COMPUTED_VALUE"""),"limpieza interna zona lado gases")</f>
        <v>limpieza interna zona lado gases</v>
      </c>
      <c r="J551" s="5" t="str">
        <f ca="1">IFERROR(__xludf.DUMMYFUNCTION("""COMPUTED_VALUE"""),"ALTO")</f>
        <v>ALTO</v>
      </c>
      <c r="K551" s="5" t="str">
        <f ca="1">IFERROR(__xludf.DUMMYFUNCTION("""COMPUTED_VALUE"""),"Preventivo")</f>
        <v>Preventivo</v>
      </c>
      <c r="L551" s="5" t="str">
        <f ca="1">IFERROR(__xludf.DUMMYFUNCTION("""COMPUTED_VALUE"""),"Maquinaria")</f>
        <v>Maquinaria</v>
      </c>
      <c r="M551" s="5" t="str">
        <f ca="1">IFERROR(__xludf.DUMMYFUNCTION("""COMPUTED_VALUE"""),"No")</f>
        <v>No</v>
      </c>
      <c r="N551" s="5"/>
      <c r="O551" s="5"/>
      <c r="P551" s="18">
        <f ca="1">IFERROR(__xludf.DUMMYFUNCTION("""COMPUTED_VALUE"""),45337)</f>
        <v>45337</v>
      </c>
      <c r="Q551" s="18">
        <f ca="1">IFERROR(__xludf.DUMMYFUNCTION("""COMPUTED_VALUE"""),45337)</f>
        <v>45337</v>
      </c>
      <c r="R551" s="18"/>
      <c r="S551" s="5">
        <f ca="1">IFERROR(__xludf.DUMMYFUNCTION("""COMPUTED_VALUE"""),1.5)</f>
        <v>1.5</v>
      </c>
      <c r="T551" s="5"/>
      <c r="U551" s="5" t="str">
        <f ca="1">IFERROR(__xludf.DUMMYFUNCTION("""COMPUTED_VALUE"""),"Valencia Hector")</f>
        <v>Valencia Hector</v>
      </c>
      <c r="V551" s="5"/>
      <c r="W551" s="5" t="str">
        <f ca="1">IFERROR(__xludf.DUMMYFUNCTION("""COMPUTED_VALUE"""),"mlldjbTViXI")</f>
        <v>mlldjbTViXI</v>
      </c>
      <c r="X551" s="5">
        <f ca="1">IFERROR(__xludf.DUMMYFUNCTION("""COMPUTED_VALUE"""),1.5)</f>
        <v>1.5</v>
      </c>
      <c r="Z551" s="3">
        <f ca="1">IFERROR(VLOOKUP(U551, 'Base de datos'!A:B, 2, FALSE), "")</f>
        <v>573108951371</v>
      </c>
      <c r="AA551" s="4" t="e">
        <f t="shared" ca="1" si="5"/>
        <v>#NAME?</v>
      </c>
    </row>
    <row r="552" spans="1:27" ht="15.75" customHeight="1">
      <c r="A552" s="5" t="str">
        <f ca="1">IFERROR(__xludf.DUMMYFUNCTION("""COMPUTED_VALUE"""),"POSTOBÓN YUMBO")</f>
        <v>POSTOBÓN YUMBO</v>
      </c>
      <c r="B552" s="5" t="str">
        <f ca="1">IFERROR(__xludf.DUMMYFUNCTION("""COMPUTED_VALUE"""),"0410-SALA DE JARABE TERMINADO")</f>
        <v>0410-SALA DE JARABE TERMINADO</v>
      </c>
      <c r="C552" s="5" t="str">
        <f ca="1">IFERROR(__xludf.DUMMYFUNCTION("""COMPUTED_VALUE"""),"EQUIPOS PARA PREPARACION DE JARABE")</f>
        <v>EQUIPOS PARA PREPARACION DE JARABE</v>
      </c>
      <c r="D552" s="5">
        <f ca="1">IFERROR(__xludf.DUMMYFUNCTION("""COMPUTED_VALUE"""),69963404)</f>
        <v>69963404</v>
      </c>
      <c r="E552" s="5" t="str">
        <f ca="1">IFERROR(__xludf.DUMMYFUNCTION("""COMPUTED_VALUE"""),"TANQUE DE JARABE")</f>
        <v>TANQUE DE JARABE</v>
      </c>
      <c r="F552" s="5">
        <f ca="1">IFERROR(__xludf.DUMMYFUNCTION("""COMPUTED_VALUE"""),0)</f>
        <v>0</v>
      </c>
      <c r="G552" s="5" t="str">
        <f ca="1">IFERROR(__xludf.DUMMYFUNCTION("""COMPUTED_VALUE"""),"CONSUMO LUB TANQUES DE GOMA")</f>
        <v>CONSUMO LUB TANQUES DE GOMA</v>
      </c>
      <c r="H552" s="5">
        <f ca="1">IFERROR(__xludf.DUMMYFUNCTION("""COMPUTED_VALUE"""),13230967)</f>
        <v>13230967</v>
      </c>
      <c r="I552" s="5" t="str">
        <f ca="1">IFERROR(__xludf.DUMMYFUNCTION("""COMPUTED_VALUE"""),"CONSUMO LUB TANQUES DE GOMA")</f>
        <v>CONSUMO LUB TANQUES DE GOMA</v>
      </c>
      <c r="J552" s="5" t="str">
        <f ca="1">IFERROR(__xludf.DUMMYFUNCTION("""COMPUTED_VALUE"""),"ALTO")</f>
        <v>ALTO</v>
      </c>
      <c r="K552" s="5" t="str">
        <f ca="1">IFERROR(__xludf.DUMMYFUNCTION("""COMPUTED_VALUE"""),"Preventivo")</f>
        <v>Preventivo</v>
      </c>
      <c r="L552" s="5" t="str">
        <f ca="1">IFERROR(__xludf.DUMMYFUNCTION("""COMPUTED_VALUE"""),"Maquinaria")</f>
        <v>Maquinaria</v>
      </c>
      <c r="M552" s="5" t="str">
        <f ca="1">IFERROR(__xludf.DUMMYFUNCTION("""COMPUTED_VALUE"""),"No")</f>
        <v>No</v>
      </c>
      <c r="N552" s="5"/>
      <c r="O552" s="5">
        <f ca="1">IFERROR(__xludf.DUMMYFUNCTION("""COMPUTED_VALUE"""),100)</f>
        <v>100</v>
      </c>
      <c r="P552" s="18">
        <f ca="1">IFERROR(__xludf.DUMMYFUNCTION("""COMPUTED_VALUE"""),45324)</f>
        <v>45324</v>
      </c>
      <c r="Q552" s="18">
        <f ca="1">IFERROR(__xludf.DUMMYFUNCTION("""COMPUTED_VALUE"""),45324)</f>
        <v>45324</v>
      </c>
      <c r="R552" s="18"/>
      <c r="S552" s="5">
        <f ca="1">IFERROR(__xludf.DUMMYFUNCTION("""COMPUTED_VALUE"""),1)</f>
        <v>1</v>
      </c>
      <c r="T552" s="5"/>
      <c r="U552" s="5" t="str">
        <f ca="1">IFERROR(__xludf.DUMMYFUNCTION("""COMPUTED_VALUE"""),"Moreno Pernia Bladimir")</f>
        <v>Moreno Pernia Bladimir</v>
      </c>
      <c r="V552" s="5"/>
      <c r="W552" s="5" t="str">
        <f ca="1">IFERROR(__xludf.DUMMYFUNCTION("""COMPUTED_VALUE"""),"LApiILy1CbE")</f>
        <v>LApiILy1CbE</v>
      </c>
      <c r="X552" s="5">
        <f ca="1">IFERROR(__xludf.DUMMYFUNCTION("""COMPUTED_VALUE"""),1)</f>
        <v>1</v>
      </c>
      <c r="Z552" s="3">
        <f ca="1">IFERROR(VLOOKUP(U552, 'Base de datos'!A:B, 2, FALSE), "")</f>
        <v>573148903137</v>
      </c>
      <c r="AA552" s="4" t="e">
        <f t="shared" ca="1" si="5"/>
        <v>#NAME?</v>
      </c>
    </row>
    <row r="553" spans="1:27" ht="15.75" customHeight="1">
      <c r="A553" s="5" t="str">
        <f ca="1">IFERROR(__xludf.DUMMYFUNCTION("""COMPUTED_VALUE"""),"POSTOBÓN YUMBO")</f>
        <v>POSTOBÓN YUMBO</v>
      </c>
      <c r="B553" s="5" t="str">
        <f ca="1">IFERROR(__xludf.DUMMYFUNCTION("""COMPUTED_VALUE"""),"0410-PREPARACION JUGOS HOT F")</f>
        <v>0410-PREPARACION JUGOS HOT F</v>
      </c>
      <c r="C553" s="5" t="str">
        <f ca="1">IFERROR(__xludf.DUMMYFUNCTION("""COMPUTED_VALUE"""),"SALA DE PREPARACION JUGOS HOT FILL")</f>
        <v>SALA DE PREPARACION JUGOS HOT FILL</v>
      </c>
      <c r="D553" s="5">
        <f ca="1">IFERROR(__xludf.DUMMYFUNCTION("""COMPUTED_VALUE"""),90030213)</f>
        <v>90030213</v>
      </c>
      <c r="E553" s="5" t="str">
        <f ca="1">IFERROR(__xludf.DUMMYFUNCTION("""COMPUTED_VALUE"""),"VOLTEADOR DE PULPAS")</f>
        <v>VOLTEADOR DE PULPAS</v>
      </c>
      <c r="F553" s="5">
        <f ca="1">IFERROR(__xludf.DUMMYFUNCTION("""COMPUTED_VALUE"""),0)</f>
        <v>0</v>
      </c>
      <c r="G553" s="5" t="str">
        <f ca="1">IFERROR(__xludf.DUMMYFUNCTION("""COMPUTED_VALUE"""),"CONSUMO LUB VOLTEADOR PULPAS")</f>
        <v>CONSUMO LUB VOLTEADOR PULPAS</v>
      </c>
      <c r="H553" s="5">
        <f ca="1">IFERROR(__xludf.DUMMYFUNCTION("""COMPUTED_VALUE"""),13230970)</f>
        <v>13230970</v>
      </c>
      <c r="I553" s="5" t="str">
        <f ca="1">IFERROR(__xludf.DUMMYFUNCTION("""COMPUTED_VALUE"""),"CONSUMO LUB VOLTEADOR PULPAS")</f>
        <v>CONSUMO LUB VOLTEADOR PULPAS</v>
      </c>
      <c r="J553" s="5" t="str">
        <f ca="1">IFERROR(__xludf.DUMMYFUNCTION("""COMPUTED_VALUE"""),"ALTO")</f>
        <v>ALTO</v>
      </c>
      <c r="K553" s="5" t="str">
        <f ca="1">IFERROR(__xludf.DUMMYFUNCTION("""COMPUTED_VALUE"""),"Preventivo")</f>
        <v>Preventivo</v>
      </c>
      <c r="L553" s="5" t="str">
        <f ca="1">IFERROR(__xludf.DUMMYFUNCTION("""COMPUTED_VALUE"""),"Maquinaria")</f>
        <v>Maquinaria</v>
      </c>
      <c r="M553" s="5" t="str">
        <f ca="1">IFERROR(__xludf.DUMMYFUNCTION("""COMPUTED_VALUE"""),"No")</f>
        <v>No</v>
      </c>
      <c r="N553" s="5"/>
      <c r="O553" s="5"/>
      <c r="P553" s="18">
        <f ca="1">IFERROR(__xludf.DUMMYFUNCTION("""COMPUTED_VALUE"""),45324)</f>
        <v>45324</v>
      </c>
      <c r="Q553" s="18">
        <f ca="1">IFERROR(__xludf.DUMMYFUNCTION("""COMPUTED_VALUE"""),45324)</f>
        <v>45324</v>
      </c>
      <c r="R553" s="18"/>
      <c r="S553" s="5">
        <f ca="1">IFERROR(__xludf.DUMMYFUNCTION("""COMPUTED_VALUE"""),1)</f>
        <v>1</v>
      </c>
      <c r="T553" s="5"/>
      <c r="U553" s="5" t="str">
        <f ca="1">IFERROR(__xludf.DUMMYFUNCTION("""COMPUTED_VALUE"""),"Arango Guzman Cristian Raul")</f>
        <v>Arango Guzman Cristian Raul</v>
      </c>
      <c r="V553" s="5"/>
      <c r="W553" s="5" t="str">
        <f ca="1">IFERROR(__xludf.DUMMYFUNCTION("""COMPUTED_VALUE"""),"ULkNNyhQkKY")</f>
        <v>ULkNNyhQkKY</v>
      </c>
      <c r="X553" s="5">
        <f ca="1">IFERROR(__xludf.DUMMYFUNCTION("""COMPUTED_VALUE"""),1)</f>
        <v>1</v>
      </c>
      <c r="Z553" s="3" t="str">
        <f ca="1">IFERROR(VLOOKUP(U553, 'Base de datos'!A:B, 2, FALSE), "")</f>
        <v/>
      </c>
      <c r="AA553" s="4" t="e">
        <f t="shared" ca="1" si="5"/>
        <v>#NAME?</v>
      </c>
    </row>
    <row r="554" spans="1:27" ht="15.75" customHeight="1">
      <c r="A554" s="5" t="str">
        <f ca="1">IFERROR(__xludf.DUMMYFUNCTION("""COMPUTED_VALUE"""),"POSTOBÓN YUMBO")</f>
        <v>POSTOBÓN YUMBO</v>
      </c>
      <c r="B554" s="5" t="str">
        <f ca="1">IFERROR(__xludf.DUMMYFUNCTION("""COMPUTED_VALUE"""),"0410-EQUIPOS AUXILIARES")</f>
        <v>0410-EQUIPOS AUXILIARES</v>
      </c>
      <c r="C554" s="5" t="str">
        <f ca="1">IFERROR(__xludf.DUMMYFUNCTION("""COMPUTED_VALUE"""),"EQUIPOS PARA SERVICIOS INDUSTRIALES")</f>
        <v>EQUIPOS PARA SERVICIOS INDUSTRIALES</v>
      </c>
      <c r="D554" s="5">
        <f ca="1">IFERROR(__xludf.DUMMYFUNCTION("""COMPUTED_VALUE"""),628831)</f>
        <v>628831</v>
      </c>
      <c r="E554" s="5" t="str">
        <f ca="1">IFERROR(__xludf.DUMMYFUNCTION("""COMPUTED_VALUE"""),"COMPRESOR REFRIGERACION RECIPROCANTE 2")</f>
        <v>COMPRESOR REFRIGERACION RECIPROCANTE 2</v>
      </c>
      <c r="F554" s="5">
        <f ca="1">IFERROR(__xludf.DUMMYFUNCTION("""COMPUTED_VALUE"""),0)</f>
        <v>0</v>
      </c>
      <c r="G554" s="5" t="str">
        <f ca="1">IFERROR(__xludf.DUMMYFUNCTION("""COMPUTED_VALUE"""),"CONSUMO LUB COMPRESOR RECIPROCANTE 2")</f>
        <v>CONSUMO LUB COMPRESOR RECIPROCANTE 2</v>
      </c>
      <c r="H554" s="5">
        <f ca="1">IFERROR(__xludf.DUMMYFUNCTION("""COMPUTED_VALUE"""),13230966)</f>
        <v>13230966</v>
      </c>
      <c r="I554" s="5" t="str">
        <f ca="1">IFERROR(__xludf.DUMMYFUNCTION("""COMPUTED_VALUE"""),"CONSUMO LUB COMPRESOR RECIPROCANTE 2")</f>
        <v>CONSUMO LUB COMPRESOR RECIPROCANTE 2</v>
      </c>
      <c r="J554" s="5" t="str">
        <f ca="1">IFERROR(__xludf.DUMMYFUNCTION("""COMPUTED_VALUE"""),"MEDIO")</f>
        <v>MEDIO</v>
      </c>
      <c r="K554" s="5" t="str">
        <f ca="1">IFERROR(__xludf.DUMMYFUNCTION("""COMPUTED_VALUE"""),"Preventivo")</f>
        <v>Preventivo</v>
      </c>
      <c r="L554" s="5" t="str">
        <f ca="1">IFERROR(__xludf.DUMMYFUNCTION("""COMPUTED_VALUE"""),"Maquinaria")</f>
        <v>Maquinaria</v>
      </c>
      <c r="M554" s="5" t="str">
        <f ca="1">IFERROR(__xludf.DUMMYFUNCTION("""COMPUTED_VALUE"""),"No")</f>
        <v>No</v>
      </c>
      <c r="N554" s="5"/>
      <c r="O554" s="5"/>
      <c r="P554" s="18">
        <f ca="1">IFERROR(__xludf.DUMMYFUNCTION("""COMPUTED_VALUE"""),45324)</f>
        <v>45324</v>
      </c>
      <c r="Q554" s="18">
        <f ca="1">IFERROR(__xludf.DUMMYFUNCTION("""COMPUTED_VALUE"""),45324)</f>
        <v>45324</v>
      </c>
      <c r="R554" s="18"/>
      <c r="S554" s="5">
        <f ca="1">IFERROR(__xludf.DUMMYFUNCTION("""COMPUTED_VALUE"""),1)</f>
        <v>1</v>
      </c>
      <c r="T554" s="5"/>
      <c r="U554" s="5" t="str">
        <f ca="1">IFERROR(__xludf.DUMMYFUNCTION("""COMPUTED_VALUE"""),"MUÑOZ VALENCIA JEFFERSON")</f>
        <v>MUÑOZ VALENCIA JEFFERSON</v>
      </c>
      <c r="V554" s="5"/>
      <c r="W554" s="5" t="str">
        <f ca="1">IFERROR(__xludf.DUMMYFUNCTION("""COMPUTED_VALUE"""),"0pq131g6vro")</f>
        <v>0pq131g6vro</v>
      </c>
      <c r="X554" s="5">
        <f ca="1">IFERROR(__xludf.DUMMYFUNCTION("""COMPUTED_VALUE"""),1)</f>
        <v>1</v>
      </c>
      <c r="Z554" s="3">
        <f ca="1">IFERROR(VLOOKUP(U554, 'Base de datos'!A:B, 2, FALSE), "")</f>
        <v>573122261803</v>
      </c>
      <c r="AA554" s="4" t="e">
        <f t="shared" ca="1" si="5"/>
        <v>#NAME?</v>
      </c>
    </row>
    <row r="555" spans="1:27" ht="15.75" customHeight="1">
      <c r="A555" s="5" t="str">
        <f ca="1">IFERROR(__xludf.DUMMYFUNCTION("""COMPUTED_VALUE"""),"POSTOBÓN YUMBO")</f>
        <v>POSTOBÓN YUMBO</v>
      </c>
      <c r="B555" s="5" t="str">
        <f ca="1">IFERROR(__xludf.DUMMYFUNCTION("""COMPUTED_VALUE"""),"0410-LINEA PET CSD")</f>
        <v>0410-LINEA PET CSD</v>
      </c>
      <c r="C555" s="5" t="str">
        <f ca="1">IFERROR(__xludf.DUMMYFUNCTION("""COMPUTED_VALUE"""),"LINEA PET CSD - LINEA 10")</f>
        <v>LINEA PET CSD - LINEA 10</v>
      </c>
      <c r="D555" s="5">
        <f ca="1">IFERROR(__xludf.DUMMYFUNCTION("""COMPUTED_VALUE"""),820082)</f>
        <v>820082</v>
      </c>
      <c r="E555" s="5" t="str">
        <f ca="1">IFERROR(__xludf.DUMMYFUNCTION("""COMPUTED_VALUE"""),"ETIQUETADORA ENVOLVENTE")</f>
        <v>ETIQUETADORA ENVOLVENTE</v>
      </c>
      <c r="F555" s="5">
        <f ca="1">IFERROR(__xludf.DUMMYFUNCTION("""COMPUTED_VALUE"""),25365)</f>
        <v>25365</v>
      </c>
      <c r="G555" s="5" t="str">
        <f ca="1">IFERROR(__xludf.DUMMYFUNCTION("""COMPUTED_VALUE"""),"PLAN MTTO ELE ETIQUETADORA CSD")</f>
        <v>PLAN MTTO ELE ETIQUETADORA CSD</v>
      </c>
      <c r="H555" s="5">
        <f ca="1">IFERROR(__xludf.DUMMYFUNCTION("""COMPUTED_VALUE"""),13195461)</f>
        <v>13195461</v>
      </c>
      <c r="I555" s="5" t="str">
        <f ca="1">IFERROR(__xludf.DUMMYFUNCTION("""COMPUTED_VALUE"""),"Barreras de luz y reflectores:")</f>
        <v>Barreras de luz y reflectores:</v>
      </c>
      <c r="J555" s="5" t="str">
        <f ca="1">IFERROR(__xludf.DUMMYFUNCTION("""COMPUTED_VALUE"""),"MEDIO")</f>
        <v>MEDIO</v>
      </c>
      <c r="K555" s="5" t="str">
        <f ca="1">IFERROR(__xludf.DUMMYFUNCTION("""COMPUTED_VALUE"""),"Preventivo")</f>
        <v>Preventivo</v>
      </c>
      <c r="L555" s="5" t="str">
        <f ca="1">IFERROR(__xludf.DUMMYFUNCTION("""COMPUTED_VALUE"""),"Maquinaria")</f>
        <v>Maquinaria</v>
      </c>
      <c r="M555" s="5" t="str">
        <f ca="1">IFERROR(__xludf.DUMMYFUNCTION("""COMPUTED_VALUE"""),"No")</f>
        <v>No</v>
      </c>
      <c r="N555" s="5"/>
      <c r="O555" s="5">
        <f ca="1">IFERROR(__xludf.DUMMYFUNCTION("""COMPUTED_VALUE"""),100)</f>
        <v>100</v>
      </c>
      <c r="P555" s="18">
        <f ca="1">IFERROR(__xludf.DUMMYFUNCTION("""COMPUTED_VALUE"""),45325)</f>
        <v>45325</v>
      </c>
      <c r="Q555" s="18">
        <f ca="1">IFERROR(__xludf.DUMMYFUNCTION("""COMPUTED_VALUE"""),45325)</f>
        <v>45325</v>
      </c>
      <c r="R555" s="18"/>
      <c r="S555" s="5">
        <f ca="1">IFERROR(__xludf.DUMMYFUNCTION("""COMPUTED_VALUE"""),1)</f>
        <v>1</v>
      </c>
      <c r="T555" s="5"/>
      <c r="U555" s="5" t="str">
        <f ca="1">IFERROR(__xludf.DUMMYFUNCTION("""COMPUTED_VALUE"""),"Gordillo Victoria Luis Miguel")</f>
        <v>Gordillo Victoria Luis Miguel</v>
      </c>
      <c r="V555" s="5"/>
      <c r="W555" s="5" t="str">
        <f ca="1">IFERROR(__xludf.DUMMYFUNCTION("""COMPUTED_VALUE"""),"0mOKUyqQOeE")</f>
        <v>0mOKUyqQOeE</v>
      </c>
      <c r="X555" s="5">
        <f ca="1">IFERROR(__xludf.DUMMYFUNCTION("""COMPUTED_VALUE"""),1)</f>
        <v>1</v>
      </c>
      <c r="Z555" s="3">
        <f ca="1">IFERROR(VLOOKUP(U555, 'Base de datos'!A:B, 2, FALSE), "")</f>
        <v>573023677706</v>
      </c>
      <c r="AA555" s="4" t="e">
        <f t="shared" ca="1" si="5"/>
        <v>#NAME?</v>
      </c>
    </row>
    <row r="556" spans="1:27" ht="15.75" customHeight="1">
      <c r="A556" s="5" t="str">
        <f ca="1">IFERROR(__xludf.DUMMYFUNCTION("""COMPUTED_VALUE"""),"POSTOBÓN YUMBO")</f>
        <v>POSTOBÓN YUMBO</v>
      </c>
      <c r="B556" s="5" t="str">
        <f ca="1">IFERROR(__xludf.DUMMYFUNCTION("""COMPUTED_VALUE"""),"0410-LINEA 1")</f>
        <v>0410-LINEA 1</v>
      </c>
      <c r="C556" s="5" t="str">
        <f ca="1">IFERROR(__xludf.DUMMYFUNCTION("""COMPUTED_VALUE"""),"LINEA DE ENVASADO PET NO RETORNABLE")</f>
        <v>LINEA DE ENVASADO PET NO RETORNABLE</v>
      </c>
      <c r="D556" s="5">
        <f ca="1">IFERROR(__xludf.DUMMYFUNCTION("""COMPUTED_VALUE"""),820071)</f>
        <v>820071</v>
      </c>
      <c r="E556" s="5" t="str">
        <f ca="1">IFERROR(__xludf.DUMMYFUNCTION("""COMPUTED_VALUE"""),"ETIQUETADORA")</f>
        <v>ETIQUETADORA</v>
      </c>
      <c r="F556" s="5">
        <f ca="1">IFERROR(__xludf.DUMMYFUNCTION("""COMPUTED_VALUE"""),0)</f>
        <v>0</v>
      </c>
      <c r="G556" s="5" t="str">
        <f ca="1">IFERROR(__xludf.DUMMYFUNCTION("""COMPUTED_VALUE"""),"CONSUMO LUB ETIQUETADORA L1")</f>
        <v>CONSUMO LUB ETIQUETADORA L1</v>
      </c>
      <c r="H556" s="5">
        <f ca="1">IFERROR(__xludf.DUMMYFUNCTION("""COMPUTED_VALUE"""),13230940)</f>
        <v>13230940</v>
      </c>
      <c r="I556" s="5" t="str">
        <f ca="1">IFERROR(__xludf.DUMMYFUNCTION("""COMPUTED_VALUE"""),"CONSUMO LUB ETIQUETADORA L1")</f>
        <v>CONSUMO LUB ETIQUETADORA L1</v>
      </c>
      <c r="J556" s="5" t="str">
        <f ca="1">IFERROR(__xludf.DUMMYFUNCTION("""COMPUTED_VALUE"""),"MEDIO")</f>
        <v>MEDIO</v>
      </c>
      <c r="K556" s="5" t="str">
        <f ca="1">IFERROR(__xludf.DUMMYFUNCTION("""COMPUTED_VALUE"""),"Preventivo")</f>
        <v>Preventivo</v>
      </c>
      <c r="L556" s="5" t="str">
        <f ca="1">IFERROR(__xludf.DUMMYFUNCTION("""COMPUTED_VALUE"""),"Maquinaria")</f>
        <v>Maquinaria</v>
      </c>
      <c r="M556" s="5" t="str">
        <f ca="1">IFERROR(__xludf.DUMMYFUNCTION("""COMPUTED_VALUE"""),"No")</f>
        <v>No</v>
      </c>
      <c r="N556" s="5"/>
      <c r="O556" s="5"/>
      <c r="P556" s="18">
        <f ca="1">IFERROR(__xludf.DUMMYFUNCTION("""COMPUTED_VALUE"""),45325)</f>
        <v>45325</v>
      </c>
      <c r="Q556" s="18">
        <f ca="1">IFERROR(__xludf.DUMMYFUNCTION("""COMPUTED_VALUE"""),45325)</f>
        <v>45325</v>
      </c>
      <c r="R556" s="18"/>
      <c r="S556" s="5">
        <f ca="1">IFERROR(__xludf.DUMMYFUNCTION("""COMPUTED_VALUE"""),1)</f>
        <v>1</v>
      </c>
      <c r="T556" s="5"/>
      <c r="U556" s="5" t="str">
        <f ca="1">IFERROR(__xludf.DUMMYFUNCTION("""COMPUTED_VALUE"""),"Sanchez Rodriguez Gerson Andres")</f>
        <v>Sanchez Rodriguez Gerson Andres</v>
      </c>
      <c r="V556" s="5"/>
      <c r="W556" s="5" t="str">
        <f ca="1">IFERROR(__xludf.DUMMYFUNCTION("""COMPUTED_VALUE"""),"nJaLWrXgBQY")</f>
        <v>nJaLWrXgBQY</v>
      </c>
      <c r="X556" s="5">
        <f ca="1">IFERROR(__xludf.DUMMYFUNCTION("""COMPUTED_VALUE"""),1)</f>
        <v>1</v>
      </c>
      <c r="Z556" s="3">
        <f ca="1">IFERROR(VLOOKUP(U556, 'Base de datos'!A:B, 2, FALSE), "")</f>
        <v>573112884549</v>
      </c>
      <c r="AA556" s="4" t="e">
        <f t="shared" ca="1" si="5"/>
        <v>#NAME?</v>
      </c>
    </row>
    <row r="557" spans="1:27" ht="15.75" customHeight="1">
      <c r="A557" s="5" t="str">
        <f ca="1">IFERROR(__xludf.DUMMYFUNCTION("""COMPUTED_VALUE"""),"POSTOBÓN YUMBO")</f>
        <v>POSTOBÓN YUMBO</v>
      </c>
      <c r="B557" s="5" t="str">
        <f ca="1">IFERROR(__xludf.DUMMYFUNCTION("""COMPUTED_VALUE"""),"0410-LINEA GARRAFAS")</f>
        <v>0410-LINEA GARRAFAS</v>
      </c>
      <c r="C557" s="5" t="str">
        <f ca="1">IFERROR(__xludf.DUMMYFUNCTION("""COMPUTED_VALUE"""),"LINEA PARA EL LLENADO DE GARRAFAS")</f>
        <v>LINEA PARA EL LLENADO DE GARRAFAS</v>
      </c>
      <c r="D557" s="5">
        <f ca="1">IFERROR(__xludf.DUMMYFUNCTION("""COMPUTED_VALUE"""),710019)</f>
        <v>710019</v>
      </c>
      <c r="E557" s="5" t="str">
        <f ca="1">IFERROR(__xludf.DUMMYFUNCTION("""COMPUTED_VALUE"""),"LLENADORA DE GARRAFAS")</f>
        <v>LLENADORA DE GARRAFAS</v>
      </c>
      <c r="F557" s="5">
        <f ca="1">IFERROR(__xludf.DUMMYFUNCTION("""COMPUTED_VALUE"""),22720)</f>
        <v>22720</v>
      </c>
      <c r="G557" s="5" t="str">
        <f ca="1">IFERROR(__xludf.DUMMYFUNCTION("""COMPUTED_VALUE"""),"PLAN MTTO MEC LLENADORA GARRAFAS 710019")</f>
        <v>PLAN MTTO MEC LLENADORA GARRAFAS 710019</v>
      </c>
      <c r="H557" s="5">
        <f ca="1">IFERROR(__xludf.DUMMYFUNCTION("""COMPUTED_VALUE"""),13193572)</f>
        <v>13193572</v>
      </c>
      <c r="I557" s="5" t="str">
        <f ca="1">IFERROR(__xludf.DUMMYFUNCTION("""COMPUTED_VALUE"""),"Mtto Valvula entrada producto")</f>
        <v>Mtto Valvula entrada producto</v>
      </c>
      <c r="J557" s="5" t="str">
        <f ca="1">IFERROR(__xludf.DUMMYFUNCTION("""COMPUTED_VALUE"""),"ALTO")</f>
        <v>ALTO</v>
      </c>
      <c r="K557" s="5" t="str">
        <f ca="1">IFERROR(__xludf.DUMMYFUNCTION("""COMPUTED_VALUE"""),"Preventivo")</f>
        <v>Preventivo</v>
      </c>
      <c r="L557" s="5" t="str">
        <f ca="1">IFERROR(__xludf.DUMMYFUNCTION("""COMPUTED_VALUE"""),"Maquinaria")</f>
        <v>Maquinaria</v>
      </c>
      <c r="M557" s="5" t="str">
        <f ca="1">IFERROR(__xludf.DUMMYFUNCTION("""COMPUTED_VALUE"""),"No")</f>
        <v>No</v>
      </c>
      <c r="N557" s="5"/>
      <c r="O557" s="5"/>
      <c r="P557" s="18">
        <f ca="1">IFERROR(__xludf.DUMMYFUNCTION("""COMPUTED_VALUE"""),45332)</f>
        <v>45332</v>
      </c>
      <c r="Q557" s="18">
        <f ca="1">IFERROR(__xludf.DUMMYFUNCTION("""COMPUTED_VALUE"""),45332)</f>
        <v>45332</v>
      </c>
      <c r="R557" s="18"/>
      <c r="S557" s="5">
        <f ca="1">IFERROR(__xludf.DUMMYFUNCTION("""COMPUTED_VALUE"""),2)</f>
        <v>2</v>
      </c>
      <c r="T557" s="5"/>
      <c r="U557" s="5" t="str">
        <f ca="1">IFERROR(__xludf.DUMMYFUNCTION("""COMPUTED_VALUE"""),"Víctor David Burbano Gómez")</f>
        <v>Víctor David Burbano Gómez</v>
      </c>
      <c r="V557" s="5"/>
      <c r="W557" s="5" t="str">
        <f ca="1">IFERROR(__xludf.DUMMYFUNCTION("""COMPUTED_VALUE"""),"LD3_eghdtas")</f>
        <v>LD3_eghdtas</v>
      </c>
      <c r="X557" s="5">
        <f ca="1">IFERROR(__xludf.DUMMYFUNCTION("""COMPUTED_VALUE"""),2)</f>
        <v>2</v>
      </c>
      <c r="Z557" s="3">
        <f ca="1">IFERROR(VLOOKUP(U557, 'Base de datos'!A:B, 2, FALSE), "")</f>
        <v>573023403586</v>
      </c>
      <c r="AA557" s="4" t="e">
        <f t="shared" ca="1" si="5"/>
        <v>#NAME?</v>
      </c>
    </row>
    <row r="558" spans="1:27" ht="15.75" customHeight="1">
      <c r="A558" s="5" t="str">
        <f ca="1">IFERROR(__xludf.DUMMYFUNCTION("""COMPUTED_VALUE"""),"POSTOBÓN YUMBO")</f>
        <v>POSTOBÓN YUMBO</v>
      </c>
      <c r="B558" s="5" t="str">
        <f ca="1">IFERROR(__xludf.DUMMYFUNCTION("""COMPUTED_VALUE"""),"0410-LINEA PET CSD")</f>
        <v>0410-LINEA PET CSD</v>
      </c>
      <c r="C558" s="5" t="str">
        <f ca="1">IFERROR(__xludf.DUMMYFUNCTION("""COMPUTED_VALUE"""),"LINEA PET CSD - LINEA 10")</f>
        <v>LINEA PET CSD - LINEA 10</v>
      </c>
      <c r="D558" s="5">
        <f ca="1">IFERROR(__xludf.DUMMYFUNCTION("""COMPUTED_VALUE"""),829703)</f>
        <v>829703</v>
      </c>
      <c r="E558" s="5" t="str">
        <f ca="1">IFERROR(__xludf.DUMMYFUNCTION("""COMPUTED_VALUE"""),"ALIMENTADOR DE TAPA PLASTICA")</f>
        <v>ALIMENTADOR DE TAPA PLASTICA</v>
      </c>
      <c r="F558" s="5">
        <f ca="1">IFERROR(__xludf.DUMMYFUNCTION("""COMPUTED_VALUE"""),25370)</f>
        <v>25370</v>
      </c>
      <c r="G558" s="5" t="str">
        <f ca="1">IFERROR(__xludf.DUMMYFUNCTION("""COMPUTED_VALUE"""),"PLAN MTTO MEC ALIMENTADOR TAPA CSD")</f>
        <v>PLAN MTTO MEC ALIMENTADOR TAPA CSD</v>
      </c>
      <c r="H558" s="5">
        <f ca="1">IFERROR(__xludf.DUMMYFUNCTION("""COMPUTED_VALUE"""),13247248)</f>
        <v>13247248</v>
      </c>
      <c r="I558" s="5" t="str">
        <f ca="1">IFERROR(__xludf.DUMMYFUNCTION("""COMPUTED_VALUE"""),"CANALON TAPONES: CAMBIO MANGUERAS")</f>
        <v>CANALON TAPONES: CAMBIO MANGUERAS</v>
      </c>
      <c r="J558" s="5" t="str">
        <f ca="1">IFERROR(__xludf.DUMMYFUNCTION("""COMPUTED_VALUE"""),"MEDIO")</f>
        <v>MEDIO</v>
      </c>
      <c r="K558" s="5" t="str">
        <f ca="1">IFERROR(__xludf.DUMMYFUNCTION("""COMPUTED_VALUE"""),"Preventivo")</f>
        <v>Preventivo</v>
      </c>
      <c r="L558" s="5" t="str">
        <f ca="1">IFERROR(__xludf.DUMMYFUNCTION("""COMPUTED_VALUE"""),"Maquinaria")</f>
        <v>Maquinaria</v>
      </c>
      <c r="M558" s="5" t="str">
        <f ca="1">IFERROR(__xludf.DUMMYFUNCTION("""COMPUTED_VALUE"""),"No")</f>
        <v>No</v>
      </c>
      <c r="N558" s="5"/>
      <c r="O558" s="5">
        <f ca="1">IFERROR(__xludf.DUMMYFUNCTION("""COMPUTED_VALUE"""),100)</f>
        <v>100</v>
      </c>
      <c r="P558" s="18">
        <f ca="1">IFERROR(__xludf.DUMMYFUNCTION("""COMPUTED_VALUE"""),45338)</f>
        <v>45338</v>
      </c>
      <c r="Q558" s="18">
        <f ca="1">IFERROR(__xludf.DUMMYFUNCTION("""COMPUTED_VALUE"""),45338)</f>
        <v>45338</v>
      </c>
      <c r="R558" s="18"/>
      <c r="S558" s="5">
        <f ca="1">IFERROR(__xludf.DUMMYFUNCTION("""COMPUTED_VALUE"""),1)</f>
        <v>1</v>
      </c>
      <c r="T558" s="5"/>
      <c r="U558" s="5" t="str">
        <f ca="1">IFERROR(__xludf.DUMMYFUNCTION("""COMPUTED_VALUE"""),"Bolaños Camacho Luis Miguel")</f>
        <v>Bolaños Camacho Luis Miguel</v>
      </c>
      <c r="V558" s="5"/>
      <c r="W558" s="5" t="str">
        <f ca="1">IFERROR(__xludf.DUMMYFUNCTION("""COMPUTED_VALUE"""),"b76UICQC_Ac")</f>
        <v>b76UICQC_Ac</v>
      </c>
      <c r="X558" s="5">
        <f ca="1">IFERROR(__xludf.DUMMYFUNCTION("""COMPUTED_VALUE"""),1)</f>
        <v>1</v>
      </c>
      <c r="Z558" s="3">
        <f ca="1">IFERROR(VLOOKUP(U558, 'Base de datos'!A:B, 2, FALSE), "")</f>
        <v>573122788043</v>
      </c>
      <c r="AA558" s="4" t="e">
        <f t="shared" ca="1" si="5"/>
        <v>#NAME?</v>
      </c>
    </row>
    <row r="559" spans="1:27" ht="15.75" customHeight="1">
      <c r="A559" s="5" t="str">
        <f ca="1">IFERROR(__xludf.DUMMYFUNCTION("""COMPUTED_VALUE"""),"POSTOBÓN YUMBO")</f>
        <v>POSTOBÓN YUMBO</v>
      </c>
      <c r="B559" s="5" t="str">
        <f ca="1">IFERROR(__xludf.DUMMYFUNCTION("""COMPUTED_VALUE"""),"0410-LINEA 3")</f>
        <v>0410-LINEA 3</v>
      </c>
      <c r="C559" s="5" t="str">
        <f ca="1">IFERROR(__xludf.DUMMYFUNCTION("""COMPUTED_VALUE"""),"LINEA DE ENVASADO TAMAÑO PERSONAL")</f>
        <v>LINEA DE ENVASADO TAMAÑO PERSONAL</v>
      </c>
      <c r="D559" s="5">
        <f ca="1">IFERROR(__xludf.DUMMYFUNCTION("""COMPUTED_VALUE"""),560025)</f>
        <v>560025</v>
      </c>
      <c r="E559" s="5" t="str">
        <f ca="1">IFERROR(__xludf.DUMMYFUNCTION("""COMPUTED_VALUE"""),"LAVADORA DE CAJAS")</f>
        <v>LAVADORA DE CAJAS</v>
      </c>
      <c r="F559" s="5">
        <f ca="1">IFERROR(__xludf.DUMMYFUNCTION("""COMPUTED_VALUE"""),22605)</f>
        <v>22605</v>
      </c>
      <c r="G559" s="5" t="str">
        <f ca="1">IFERROR(__xludf.DUMMYFUNCTION("""COMPUTED_VALUE"""),"PLAN MTTO MEC LAVADORA DE CAJAS 560025")</f>
        <v>PLAN MTTO MEC LAVADORA DE CAJAS 560025</v>
      </c>
      <c r="H559" s="5">
        <f ca="1">IFERROR(__xludf.DUMMYFUNCTION("""COMPUTED_VALUE"""),13247227)</f>
        <v>13247227</v>
      </c>
      <c r="I559" s="5" t="str">
        <f ca="1">IFERROR(__xludf.DUMMYFUNCTION("""COMPUTED_VALUE"""),"Valvula de vapor")</f>
        <v>Valvula de vapor</v>
      </c>
      <c r="J559" s="5" t="str">
        <f ca="1">IFERROR(__xludf.DUMMYFUNCTION("""COMPUTED_VALUE"""),"ALTO")</f>
        <v>ALTO</v>
      </c>
      <c r="K559" s="5" t="str">
        <f ca="1">IFERROR(__xludf.DUMMYFUNCTION("""COMPUTED_VALUE"""),"Preventivo")</f>
        <v>Preventivo</v>
      </c>
      <c r="L559" s="5" t="str">
        <f ca="1">IFERROR(__xludf.DUMMYFUNCTION("""COMPUTED_VALUE"""),"Maquinaria")</f>
        <v>Maquinaria</v>
      </c>
      <c r="M559" s="5" t="str">
        <f ca="1">IFERROR(__xludf.DUMMYFUNCTION("""COMPUTED_VALUE"""),"No")</f>
        <v>No</v>
      </c>
      <c r="N559" s="5"/>
      <c r="O559" s="5"/>
      <c r="P559" s="18">
        <f ca="1">IFERROR(__xludf.DUMMYFUNCTION("""COMPUTED_VALUE"""),45346)</f>
        <v>45346</v>
      </c>
      <c r="Q559" s="18">
        <f ca="1">IFERROR(__xludf.DUMMYFUNCTION("""COMPUTED_VALUE"""),45346)</f>
        <v>45346</v>
      </c>
      <c r="R559" s="18"/>
      <c r="S559" s="5">
        <f ca="1">IFERROR(__xludf.DUMMYFUNCTION("""COMPUTED_VALUE"""),1)</f>
        <v>1</v>
      </c>
      <c r="T559" s="5"/>
      <c r="U559" s="5" t="str">
        <f ca="1">IFERROR(__xludf.DUMMYFUNCTION("""COMPUTED_VALUE"""),"Martinez Carlos")</f>
        <v>Martinez Carlos</v>
      </c>
      <c r="V559" s="5"/>
      <c r="W559" s="5" t="str">
        <f ca="1">IFERROR(__xludf.DUMMYFUNCTION("""COMPUTED_VALUE"""),"D-18oyM0j8M")</f>
        <v>D-18oyM0j8M</v>
      </c>
      <c r="X559" s="5">
        <f ca="1">IFERROR(__xludf.DUMMYFUNCTION("""COMPUTED_VALUE"""),1)</f>
        <v>1</v>
      </c>
      <c r="Z559" s="3">
        <f ca="1">IFERROR(VLOOKUP(U559, 'Base de datos'!A:B, 2, FALSE), "")</f>
        <v>573113563903</v>
      </c>
      <c r="AA559" s="4" t="e">
        <f t="shared" ca="1" si="5"/>
        <v>#NAME?</v>
      </c>
    </row>
    <row r="560" spans="1:27" ht="15.75" customHeight="1">
      <c r="A560" s="5" t="str">
        <f ca="1">IFERROR(__xludf.DUMMYFUNCTION("""COMPUTED_VALUE"""),"POSTOBÓN YUMBO")</f>
        <v>POSTOBÓN YUMBO</v>
      </c>
      <c r="B560" s="5" t="str">
        <f ca="1">IFERROR(__xludf.DUMMYFUNCTION("""COMPUTED_VALUE"""),"0410-PLANTA DE AGUA ENVASADO")</f>
        <v>0410-PLANTA DE AGUA ENVASADO</v>
      </c>
      <c r="C560" s="5" t="str">
        <f ca="1">IFERROR(__xludf.DUMMYFUNCTION("""COMPUTED_VALUE"""),"TRATAMIENTO DE AGUA PARA ENVASADO")</f>
        <v>TRATAMIENTO DE AGUA PARA ENVASADO</v>
      </c>
      <c r="D560" s="5">
        <f ca="1">IFERROR(__xludf.DUMMYFUNCTION("""COMPUTED_VALUE"""),829708)</f>
        <v>829708</v>
      </c>
      <c r="E560" s="5" t="str">
        <f ca="1">IFERROR(__xludf.DUMMYFUNCTION("""COMPUTED_VALUE"""),"TOLVA DOSIFIC POLIMEROS - TRAT PRIM")</f>
        <v>TOLVA DOSIFIC POLIMEROS - TRAT PRIM</v>
      </c>
      <c r="F560" s="5">
        <f ca="1">IFERROR(__xludf.DUMMYFUNCTION("""COMPUTED_VALUE"""),31347)</f>
        <v>31347</v>
      </c>
      <c r="G560" s="5" t="str">
        <f ca="1">IFERROR(__xludf.DUMMYFUNCTION("""COMPUTED_VALUE"""),"PLAN MTTO ELE TOLVA DOSIFIC POLIMEROS -")</f>
        <v>PLAN MTTO ELE TOLVA DOSIFIC POLIMEROS -</v>
      </c>
      <c r="H560" s="5">
        <f ca="1">IFERROR(__xludf.DUMMYFUNCTION("""COMPUTED_VALUE"""),13247255)</f>
        <v>13247255</v>
      </c>
      <c r="I560" s="5" t="str">
        <f ca="1">IFERROR(__xludf.DUMMYFUNCTION("""COMPUTED_VALUE"""),"REVISION, LIMPIEZA Y AJUSTE CONEXIONES")</f>
        <v>REVISION, LIMPIEZA Y AJUSTE CONEXIONES</v>
      </c>
      <c r="J560" s="5" t="str">
        <f ca="1">IFERROR(__xludf.DUMMYFUNCTION("""COMPUTED_VALUE"""),"ALTO")</f>
        <v>ALTO</v>
      </c>
      <c r="K560" s="5" t="str">
        <f ca="1">IFERROR(__xludf.DUMMYFUNCTION("""COMPUTED_VALUE"""),"Preventivo")</f>
        <v>Preventivo</v>
      </c>
      <c r="L560" s="5" t="str">
        <f ca="1">IFERROR(__xludf.DUMMYFUNCTION("""COMPUTED_VALUE"""),"Maquinaria")</f>
        <v>Maquinaria</v>
      </c>
      <c r="M560" s="5" t="str">
        <f ca="1">IFERROR(__xludf.DUMMYFUNCTION("""COMPUTED_VALUE"""),"No")</f>
        <v>No</v>
      </c>
      <c r="N560" s="5"/>
      <c r="O560" s="5"/>
      <c r="P560" s="18">
        <f ca="1">IFERROR(__xludf.DUMMYFUNCTION("""COMPUTED_VALUE"""),45339)</f>
        <v>45339</v>
      </c>
      <c r="Q560" s="18">
        <f ca="1">IFERROR(__xludf.DUMMYFUNCTION("""COMPUTED_VALUE"""),45339)</f>
        <v>45339</v>
      </c>
      <c r="R560" s="18"/>
      <c r="S560" s="5">
        <f ca="1">IFERROR(__xludf.DUMMYFUNCTION("""COMPUTED_VALUE"""),1)</f>
        <v>1</v>
      </c>
      <c r="T560" s="5"/>
      <c r="U560" s="5" t="str">
        <f ca="1">IFERROR(__xludf.DUMMYFUNCTION("""COMPUTED_VALUE"""),"PAPAMIJA GUIDO")</f>
        <v>PAPAMIJA GUIDO</v>
      </c>
      <c r="V560" s="5"/>
      <c r="W560" s="5" t="str">
        <f ca="1">IFERROR(__xludf.DUMMYFUNCTION("""COMPUTED_VALUE"""),"aZa-B37snoc")</f>
        <v>aZa-B37snoc</v>
      </c>
      <c r="X560" s="5">
        <f ca="1">IFERROR(__xludf.DUMMYFUNCTION("""COMPUTED_VALUE"""),1)</f>
        <v>1</v>
      </c>
      <c r="Z560" s="3">
        <f ca="1">IFERROR(VLOOKUP(U560, 'Base de datos'!A:B, 2, FALSE), "")</f>
        <v>573156712311</v>
      </c>
      <c r="AA560" s="4" t="e">
        <f t="shared" ca="1" si="5"/>
        <v>#NAME?</v>
      </c>
    </row>
    <row r="561" spans="1:27" ht="15.75" customHeight="1">
      <c r="A561" s="5" t="str">
        <f ca="1">IFERROR(__xludf.DUMMYFUNCTION("""COMPUTED_VALUE"""),"POSTOBÓN YUMBO")</f>
        <v>POSTOBÓN YUMBO</v>
      </c>
      <c r="B561" s="5" t="str">
        <f ca="1">IFERROR(__xludf.DUMMYFUNCTION("""COMPUTED_VALUE"""),"0410-LINEA PET CSD")</f>
        <v>0410-LINEA PET CSD</v>
      </c>
      <c r="C561" s="5" t="str">
        <f ca="1">IFERROR(__xludf.DUMMYFUNCTION("""COMPUTED_VALUE"""),"LINEA PET CSD - LINEA 10")</f>
        <v>LINEA PET CSD - LINEA 10</v>
      </c>
      <c r="D561" s="5">
        <f ca="1">IFERROR(__xludf.DUMMYFUNCTION("""COMPUTED_VALUE"""),519561)</f>
        <v>519561</v>
      </c>
      <c r="E561" s="5" t="str">
        <f ca="1">IFERROR(__xludf.DUMMYFUNCTION("""COMPUTED_VALUE"""),"LLENADORA DE BOTELLAS PET 162 VALVULAS")</f>
        <v>LLENADORA DE BOTELLAS PET 162 VALVULAS</v>
      </c>
      <c r="F561" s="5">
        <f ca="1">IFERROR(__xludf.DUMMYFUNCTION("""COMPUTED_VALUE"""),25366)</f>
        <v>25366</v>
      </c>
      <c r="G561" s="5" t="str">
        <f ca="1">IFERROR(__xludf.DUMMYFUNCTION("""COMPUTED_VALUE"""),"PLAN MTTO MEC LLENADORA CSD")</f>
        <v>PLAN MTTO MEC LLENADORA CSD</v>
      </c>
      <c r="H561" s="5">
        <f ca="1">IFERROR(__xludf.DUMMYFUNCTION("""COMPUTED_VALUE"""),13232382)</f>
        <v>13232382</v>
      </c>
      <c r="I561" s="5" t="str">
        <f ca="1">IFERROR(__xludf.DUMMYFUNCTION("""COMPUTED_VALUE"""),"Carrusel: Corona Giratoria:")</f>
        <v>Carrusel: Corona Giratoria:</v>
      </c>
      <c r="J561" s="5" t="str">
        <f ca="1">IFERROR(__xludf.DUMMYFUNCTION("""COMPUTED_VALUE"""),"ALTO")</f>
        <v>ALTO</v>
      </c>
      <c r="K561" s="5" t="str">
        <f ca="1">IFERROR(__xludf.DUMMYFUNCTION("""COMPUTED_VALUE"""),"Preventivo")</f>
        <v>Preventivo</v>
      </c>
      <c r="L561" s="5" t="str">
        <f ca="1">IFERROR(__xludf.DUMMYFUNCTION("""COMPUTED_VALUE"""),"Maquinaria")</f>
        <v>Maquinaria</v>
      </c>
      <c r="M561" s="5" t="str">
        <f ca="1">IFERROR(__xludf.DUMMYFUNCTION("""COMPUTED_VALUE"""),"No")</f>
        <v>No</v>
      </c>
      <c r="N561" s="5"/>
      <c r="O561" s="5">
        <f ca="1">IFERROR(__xludf.DUMMYFUNCTION("""COMPUTED_VALUE"""),100)</f>
        <v>100</v>
      </c>
      <c r="P561" s="18">
        <f ca="1">IFERROR(__xludf.DUMMYFUNCTION("""COMPUTED_VALUE"""),45327)</f>
        <v>45327</v>
      </c>
      <c r="Q561" s="18">
        <f ca="1">IFERROR(__xludf.DUMMYFUNCTION("""COMPUTED_VALUE"""),45327)</f>
        <v>45327</v>
      </c>
      <c r="R561" s="18"/>
      <c r="S561" s="5">
        <f ca="1">IFERROR(__xludf.DUMMYFUNCTION("""COMPUTED_VALUE"""),1)</f>
        <v>1</v>
      </c>
      <c r="T561" s="5"/>
      <c r="U561" s="5" t="str">
        <f ca="1">IFERROR(__xludf.DUMMYFUNCTION("""COMPUTED_VALUE"""),"Duran Sanchez Nelson Fernando")</f>
        <v>Duran Sanchez Nelson Fernando</v>
      </c>
      <c r="V561" s="5"/>
      <c r="W561" s="5" t="str">
        <f ca="1">IFERROR(__xludf.DUMMYFUNCTION("""COMPUTED_VALUE"""),"fBzYXu2h2RQ")</f>
        <v>fBzYXu2h2RQ</v>
      </c>
      <c r="X561" s="5">
        <f ca="1">IFERROR(__xludf.DUMMYFUNCTION("""COMPUTED_VALUE"""),1)</f>
        <v>1</v>
      </c>
      <c r="Z561" s="3">
        <f ca="1">IFERROR(VLOOKUP(U561, 'Base de datos'!A:B, 2, FALSE), "")</f>
        <v>573187183243</v>
      </c>
      <c r="AA561" s="4" t="e">
        <f t="shared" ca="1" si="5"/>
        <v>#NAME?</v>
      </c>
    </row>
    <row r="562" spans="1:27" ht="15.75" customHeight="1">
      <c r="A562" s="5" t="str">
        <f ca="1">IFERROR(__xludf.DUMMYFUNCTION("""COMPUTED_VALUE"""),"POSTOBÓN YUMBO")</f>
        <v>POSTOBÓN YUMBO</v>
      </c>
      <c r="B562" s="5" t="str">
        <f ca="1">IFERROR(__xludf.DUMMYFUNCTION("""COMPUTED_VALUE"""),"0410-LINEA PET CSD")</f>
        <v>0410-LINEA PET CSD</v>
      </c>
      <c r="C562" s="5" t="str">
        <f ca="1">IFERROR(__xludf.DUMMYFUNCTION("""COMPUTED_VALUE"""),"LINEA PET CSD - LINEA 10")</f>
        <v>LINEA PET CSD - LINEA 10</v>
      </c>
      <c r="D562" s="5">
        <f ca="1">IFERROR(__xludf.DUMMYFUNCTION("""COMPUTED_VALUE"""),519561)</f>
        <v>519561</v>
      </c>
      <c r="E562" s="5" t="str">
        <f ca="1">IFERROR(__xludf.DUMMYFUNCTION("""COMPUTED_VALUE"""),"LLENADORA DE BOTELLAS PET 162 VALVULAS")</f>
        <v>LLENADORA DE BOTELLAS PET 162 VALVULAS</v>
      </c>
      <c r="F562" s="5">
        <f ca="1">IFERROR(__xludf.DUMMYFUNCTION("""COMPUTED_VALUE"""),25366)</f>
        <v>25366</v>
      </c>
      <c r="G562" s="5" t="str">
        <f ca="1">IFERROR(__xludf.DUMMYFUNCTION("""COMPUTED_VALUE"""),"PLAN MTTO MEC LLENADORA CSD")</f>
        <v>PLAN MTTO MEC LLENADORA CSD</v>
      </c>
      <c r="H562" s="5">
        <f ca="1">IFERROR(__xludf.DUMMYFUNCTION("""COMPUTED_VALUE"""),13232382)</f>
        <v>13232382</v>
      </c>
      <c r="I562" s="5" t="str">
        <f ca="1">IFERROR(__xludf.DUMMYFUNCTION("""COMPUTED_VALUE"""),"Distribuidor de aire Llenadora")</f>
        <v>Distribuidor de aire Llenadora</v>
      </c>
      <c r="J562" s="5" t="str">
        <f ca="1">IFERROR(__xludf.DUMMYFUNCTION("""COMPUTED_VALUE"""),"ALTO")</f>
        <v>ALTO</v>
      </c>
      <c r="K562" s="5" t="str">
        <f ca="1">IFERROR(__xludf.DUMMYFUNCTION("""COMPUTED_VALUE"""),"Preventivo")</f>
        <v>Preventivo</v>
      </c>
      <c r="L562" s="5" t="str">
        <f ca="1">IFERROR(__xludf.DUMMYFUNCTION("""COMPUTED_VALUE"""),"Maquinaria")</f>
        <v>Maquinaria</v>
      </c>
      <c r="M562" s="5" t="str">
        <f ca="1">IFERROR(__xludf.DUMMYFUNCTION("""COMPUTED_VALUE"""),"No")</f>
        <v>No</v>
      </c>
      <c r="N562" s="5"/>
      <c r="O562" s="5">
        <f ca="1">IFERROR(__xludf.DUMMYFUNCTION("""COMPUTED_VALUE"""),100)</f>
        <v>100</v>
      </c>
      <c r="P562" s="18">
        <f ca="1">IFERROR(__xludf.DUMMYFUNCTION("""COMPUTED_VALUE"""),45327)</f>
        <v>45327</v>
      </c>
      <c r="Q562" s="18">
        <f ca="1">IFERROR(__xludf.DUMMYFUNCTION("""COMPUTED_VALUE"""),45327)</f>
        <v>45327</v>
      </c>
      <c r="R562" s="18"/>
      <c r="S562" s="5">
        <f ca="1">IFERROR(__xludf.DUMMYFUNCTION("""COMPUTED_VALUE"""),1)</f>
        <v>1</v>
      </c>
      <c r="T562" s="5"/>
      <c r="U562" s="5" t="str">
        <f ca="1">IFERROR(__xludf.DUMMYFUNCTION("""COMPUTED_VALUE"""),"Duran Sanchez Nelson Fernando")</f>
        <v>Duran Sanchez Nelson Fernando</v>
      </c>
      <c r="V562" s="5"/>
      <c r="W562" s="5" t="str">
        <f ca="1">IFERROR(__xludf.DUMMYFUNCTION("""COMPUTED_VALUE"""),"ye38LC_X1bs")</f>
        <v>ye38LC_X1bs</v>
      </c>
      <c r="X562" s="5">
        <f ca="1">IFERROR(__xludf.DUMMYFUNCTION("""COMPUTED_VALUE"""),1)</f>
        <v>1</v>
      </c>
      <c r="Z562" s="3">
        <f ca="1">IFERROR(VLOOKUP(U562, 'Base de datos'!A:B, 2, FALSE), "")</f>
        <v>573187183243</v>
      </c>
      <c r="AA562" s="4" t="e">
        <f t="shared" ca="1" si="5"/>
        <v>#NAME?</v>
      </c>
    </row>
    <row r="563" spans="1:27" ht="15.75" customHeight="1">
      <c r="A563" s="5" t="str">
        <f ca="1">IFERROR(__xludf.DUMMYFUNCTION("""COMPUTED_VALUE"""),"POSTOBÓN YUMBO")</f>
        <v>POSTOBÓN YUMBO</v>
      </c>
      <c r="B563" s="5" t="str">
        <f ca="1">IFERROR(__xludf.DUMMYFUNCTION("""COMPUTED_VALUE"""),"0410-LINEA 2")</f>
        <v>0410-LINEA 2</v>
      </c>
      <c r="C563" s="5" t="str">
        <f ca="1">IFERROR(__xludf.DUMMYFUNCTION("""COMPUTED_VALUE"""),"LINEA DE ENVASADO FAMILIAR Y PRB")</f>
        <v>LINEA DE ENVASADO FAMILIAR Y PRB</v>
      </c>
      <c r="D563" s="5">
        <f ca="1">IFERROR(__xludf.DUMMYFUNCTION("""COMPUTED_VALUE"""),82964402)</f>
        <v>82964402</v>
      </c>
      <c r="E563" s="5" t="str">
        <f ca="1">IFERROR(__xludf.DUMMYFUNCTION("""COMPUTED_VALUE"""),"CODIFICADOR L2")</f>
        <v>CODIFICADOR L2</v>
      </c>
      <c r="F563" s="5">
        <f ca="1">IFERROR(__xludf.DUMMYFUNCTION("""COMPUTED_VALUE"""),46430)</f>
        <v>46430</v>
      </c>
      <c r="G563" s="5" t="str">
        <f ca="1">IFERROR(__xludf.DUMMYFUNCTION("""COMPUTED_VALUE"""),"PLAN MTTO ELE CODIFICADOR L2 82964402")</f>
        <v>PLAN MTTO ELE CODIFICADOR L2 82964402</v>
      </c>
      <c r="H563" s="5">
        <f ca="1">IFERROR(__xludf.DUMMYFUNCTION("""COMPUTED_VALUE"""),13247850)</f>
        <v>13247850</v>
      </c>
      <c r="I563" s="5" t="str">
        <f ca="1">IFERROR(__xludf.DUMMYFUNCTION("""COMPUTED_VALUE"""),"Revision electrovalvula transferencia")</f>
        <v>Revision electrovalvula transferencia</v>
      </c>
      <c r="J563" s="5" t="str">
        <f ca="1">IFERROR(__xludf.DUMMYFUNCTION("""COMPUTED_VALUE"""),"ALTO")</f>
        <v>ALTO</v>
      </c>
      <c r="K563" s="5" t="str">
        <f ca="1">IFERROR(__xludf.DUMMYFUNCTION("""COMPUTED_VALUE"""),"Preventivo")</f>
        <v>Preventivo</v>
      </c>
      <c r="L563" s="5" t="str">
        <f ca="1">IFERROR(__xludf.DUMMYFUNCTION("""COMPUTED_VALUE"""),"Maquinaria")</f>
        <v>Maquinaria</v>
      </c>
      <c r="M563" s="5" t="str">
        <f ca="1">IFERROR(__xludf.DUMMYFUNCTION("""COMPUTED_VALUE"""),"No")</f>
        <v>No</v>
      </c>
      <c r="N563" s="5"/>
      <c r="O563" s="5"/>
      <c r="P563" s="18">
        <f ca="1">IFERROR(__xludf.DUMMYFUNCTION("""COMPUTED_VALUE"""),45331)</f>
        <v>45331</v>
      </c>
      <c r="Q563" s="18">
        <f ca="1">IFERROR(__xludf.DUMMYFUNCTION("""COMPUTED_VALUE"""),45331)</f>
        <v>45331</v>
      </c>
      <c r="R563" s="18"/>
      <c r="S563" s="5">
        <f ca="1">IFERROR(__xludf.DUMMYFUNCTION("""COMPUTED_VALUE"""),0.5)</f>
        <v>0.5</v>
      </c>
      <c r="T563" s="5"/>
      <c r="U563" s="5" t="str">
        <f ca="1">IFERROR(__xludf.DUMMYFUNCTION("""COMPUTED_VALUE"""),"Andrés Felipe Pérez Polania")</f>
        <v>Andrés Felipe Pérez Polania</v>
      </c>
      <c r="V563" s="5"/>
      <c r="W563" s="5" t="str">
        <f ca="1">IFERROR(__xludf.DUMMYFUNCTION("""COMPUTED_VALUE"""),"aezTDJoDNlY")</f>
        <v>aezTDJoDNlY</v>
      </c>
      <c r="X563" s="5">
        <f ca="1">IFERROR(__xludf.DUMMYFUNCTION("""COMPUTED_VALUE"""),0.5)</f>
        <v>0.5</v>
      </c>
      <c r="Z563" s="3">
        <f ca="1">IFERROR(VLOOKUP(U563, 'Base de datos'!A:B, 2, FALSE), "")</f>
        <v>573186924079</v>
      </c>
      <c r="AA563" s="4" t="e">
        <f t="shared" ca="1" si="5"/>
        <v>#NAME?</v>
      </c>
    </row>
    <row r="564" spans="1:27" ht="15.75" customHeight="1">
      <c r="A564" s="5" t="str">
        <f ca="1">IFERROR(__xludf.DUMMYFUNCTION("""COMPUTED_VALUE"""),"POSTOBÓN YUMBO")</f>
        <v>POSTOBÓN YUMBO</v>
      </c>
      <c r="B564" s="5" t="str">
        <f ca="1">IFERROR(__xludf.DUMMYFUNCTION("""COMPUTED_VALUE"""),"0410-LINEA 3")</f>
        <v>0410-LINEA 3</v>
      </c>
      <c r="C564" s="5" t="str">
        <f ca="1">IFERROR(__xludf.DUMMYFUNCTION("""COMPUTED_VALUE"""),"LINEA DE ENVASADO TAMAÑO PERSONAL")</f>
        <v>LINEA DE ENVASADO TAMAÑO PERSONAL</v>
      </c>
      <c r="D564" s="5">
        <f ca="1">IFERROR(__xludf.DUMMYFUNCTION("""COMPUTED_VALUE"""),508169)</f>
        <v>508169</v>
      </c>
      <c r="E564" s="5" t="str">
        <f ca="1">IFERROR(__xludf.DUMMYFUNCTION("""COMPUTED_VALUE"""),"LAVADORA DE BOTELLAS")</f>
        <v>LAVADORA DE BOTELLAS</v>
      </c>
      <c r="F564" s="5">
        <f ca="1">IFERROR(__xludf.DUMMYFUNCTION("""COMPUTED_VALUE"""),0)</f>
        <v>0</v>
      </c>
      <c r="G564" s="5" t="str">
        <f ca="1">IFERROR(__xludf.DUMMYFUNCTION("""COMPUTED_VALUE"""),"CONSUMO LUB LAVADORA BOTELLAS PERSONAL")</f>
        <v>CONSUMO LUB LAVADORA BOTELLAS PERSONAL</v>
      </c>
      <c r="H564" s="5">
        <f ca="1">IFERROR(__xludf.DUMMYFUNCTION("""COMPUTED_VALUE"""),13230945)</f>
        <v>13230945</v>
      </c>
      <c r="I564" s="5" t="str">
        <f ca="1">IFERROR(__xludf.DUMMYFUNCTION("""COMPUTED_VALUE"""),"CONSUMO LUB LAVADORA BOTELLAS PERSONAL")</f>
        <v>CONSUMO LUB LAVADORA BOTELLAS PERSONAL</v>
      </c>
      <c r="J564" s="5" t="str">
        <f ca="1">IFERROR(__xludf.DUMMYFUNCTION("""COMPUTED_VALUE"""),"ALTO")</f>
        <v>ALTO</v>
      </c>
      <c r="K564" s="5" t="str">
        <f ca="1">IFERROR(__xludf.DUMMYFUNCTION("""COMPUTED_VALUE"""),"Preventivo")</f>
        <v>Preventivo</v>
      </c>
      <c r="L564" s="5" t="str">
        <f ca="1">IFERROR(__xludf.DUMMYFUNCTION("""COMPUTED_VALUE"""),"Maquinaria")</f>
        <v>Maquinaria</v>
      </c>
      <c r="M564" s="5" t="str">
        <f ca="1">IFERROR(__xludf.DUMMYFUNCTION("""COMPUTED_VALUE"""),"No")</f>
        <v>No</v>
      </c>
      <c r="N564" s="5"/>
      <c r="O564" s="5"/>
      <c r="P564" s="18">
        <f ca="1">IFERROR(__xludf.DUMMYFUNCTION("""COMPUTED_VALUE"""),45325)</f>
        <v>45325</v>
      </c>
      <c r="Q564" s="18">
        <f ca="1">IFERROR(__xludf.DUMMYFUNCTION("""COMPUTED_VALUE"""),45325)</f>
        <v>45325</v>
      </c>
      <c r="R564" s="18"/>
      <c r="S564" s="5">
        <f ca="1">IFERROR(__xludf.DUMMYFUNCTION("""COMPUTED_VALUE"""),1)</f>
        <v>1</v>
      </c>
      <c r="T564" s="5"/>
      <c r="U564" s="5" t="str">
        <f ca="1">IFERROR(__xludf.DUMMYFUNCTION("""COMPUTED_VALUE"""),"Jimenez Jhon")</f>
        <v>Jimenez Jhon</v>
      </c>
      <c r="V564" s="5"/>
      <c r="W564" s="5" t="str">
        <f ca="1">IFERROR(__xludf.DUMMYFUNCTION("""COMPUTED_VALUE"""),"87nqg2SddzE")</f>
        <v>87nqg2SddzE</v>
      </c>
      <c r="X564" s="5">
        <f ca="1">IFERROR(__xludf.DUMMYFUNCTION("""COMPUTED_VALUE"""),1)</f>
        <v>1</v>
      </c>
      <c r="Z564" s="3">
        <f ca="1">IFERROR(VLOOKUP(U564, 'Base de datos'!A:B, 2, FALSE), "")</f>
        <v>573147637946</v>
      </c>
      <c r="AA564" s="4" t="e">
        <f t="shared" ca="1" si="5"/>
        <v>#NAME?</v>
      </c>
    </row>
    <row r="565" spans="1:27" ht="15.75" customHeight="1">
      <c r="A565" s="5" t="str">
        <f ca="1">IFERROR(__xludf.DUMMYFUNCTION("""COMPUTED_VALUE"""),"POSTOBÓN YUMBO")</f>
        <v>POSTOBÓN YUMBO</v>
      </c>
      <c r="B565" s="5" t="str">
        <f ca="1">IFERROR(__xludf.DUMMYFUNCTION("""COMPUTED_VALUE"""),"0410-EQUIPOS AUXILIARES")</f>
        <v>0410-EQUIPOS AUXILIARES</v>
      </c>
      <c r="C565" s="5" t="str">
        <f ca="1">IFERROR(__xludf.DUMMYFUNCTION("""COMPUTED_VALUE"""),"EQUIPOS PARA SERVICIOS INDUSTRIALES")</f>
        <v>EQUIPOS PARA SERVICIOS INDUSTRIALES</v>
      </c>
      <c r="D565" s="5">
        <f ca="1">IFERROR(__xludf.DUMMYFUNCTION("""COMPUTED_VALUE"""),628885)</f>
        <v>628885</v>
      </c>
      <c r="E565" s="5" t="str">
        <f ca="1">IFERROR(__xludf.DUMMYFUNCTION("""COMPUTED_VALUE"""),"COMPRESOR DE REFRIGERACION 3")</f>
        <v>COMPRESOR DE REFRIGERACION 3</v>
      </c>
      <c r="F565" s="5">
        <f ca="1">IFERROR(__xludf.DUMMYFUNCTION("""COMPUTED_VALUE"""),0)</f>
        <v>0</v>
      </c>
      <c r="G565" s="5" t="str">
        <f ca="1">IFERROR(__xludf.DUMMYFUNCTION("""COMPUTED_VALUE"""),"CONSUMO LUB COMPRESOR TORNILLO L10 #3")</f>
        <v>CONSUMO LUB COMPRESOR TORNILLO L10 #3</v>
      </c>
      <c r="H565" s="5">
        <f ca="1">IFERROR(__xludf.DUMMYFUNCTION("""COMPUTED_VALUE"""),13230973)</f>
        <v>13230973</v>
      </c>
      <c r="I565" s="5" t="str">
        <f ca="1">IFERROR(__xludf.DUMMYFUNCTION("""COMPUTED_VALUE"""),"CONSUMO LUBRICANTES ENERO 2024")</f>
        <v>CONSUMO LUBRICANTES ENERO 2024</v>
      </c>
      <c r="J565" s="5" t="str">
        <f ca="1">IFERROR(__xludf.DUMMYFUNCTION("""COMPUTED_VALUE"""),"MEDIO")</f>
        <v>MEDIO</v>
      </c>
      <c r="K565" s="5" t="str">
        <f ca="1">IFERROR(__xludf.DUMMYFUNCTION("""COMPUTED_VALUE"""),"Preventivo")</f>
        <v>Preventivo</v>
      </c>
      <c r="L565" s="5" t="str">
        <f ca="1">IFERROR(__xludf.DUMMYFUNCTION("""COMPUTED_VALUE"""),"Maquinaria")</f>
        <v>Maquinaria</v>
      </c>
      <c r="M565" s="5" t="str">
        <f ca="1">IFERROR(__xludf.DUMMYFUNCTION("""COMPUTED_VALUE"""),"No")</f>
        <v>No</v>
      </c>
      <c r="N565" s="5"/>
      <c r="O565" s="5"/>
      <c r="P565" s="18">
        <f ca="1">IFERROR(__xludf.DUMMYFUNCTION("""COMPUTED_VALUE"""),45325)</f>
        <v>45325</v>
      </c>
      <c r="Q565" s="18">
        <f ca="1">IFERROR(__xludf.DUMMYFUNCTION("""COMPUTED_VALUE"""),45325)</f>
        <v>45325</v>
      </c>
      <c r="R565" s="18">
        <f ca="1">IFERROR(__xludf.DUMMYFUNCTION("""COMPUTED_VALUE"""),2)</f>
        <v>2</v>
      </c>
      <c r="S565" s="5">
        <f ca="1">IFERROR(__xludf.DUMMYFUNCTION("""COMPUTED_VALUE"""),1)</f>
        <v>1</v>
      </c>
      <c r="T565" s="5"/>
      <c r="U565" s="5" t="str">
        <f ca="1">IFERROR(__xludf.DUMMYFUNCTION("""COMPUTED_VALUE"""),"CALDERON CORTES JULIAN DAVID")</f>
        <v>CALDERON CORTES JULIAN DAVID</v>
      </c>
      <c r="V565" s="5"/>
      <c r="W565" s="5" t="str">
        <f ca="1">IFERROR(__xludf.DUMMYFUNCTION("""COMPUTED_VALUE"""),"eyZwFjw6hD8")</f>
        <v>eyZwFjw6hD8</v>
      </c>
      <c r="X565" s="5">
        <f ca="1">IFERROR(__xludf.DUMMYFUNCTION("""COMPUTED_VALUE"""),1)</f>
        <v>1</v>
      </c>
      <c r="Z565" s="3">
        <f ca="1">IFERROR(VLOOKUP(U565, 'Base de datos'!A:B, 2, FALSE), "")</f>
        <v>573106062699</v>
      </c>
      <c r="AA565" s="4" t="e">
        <f t="shared" ca="1" si="5"/>
        <v>#NAME?</v>
      </c>
    </row>
    <row r="566" spans="1:27" ht="15.75" customHeight="1">
      <c r="A566" s="5" t="str">
        <f ca="1">IFERROR(__xludf.DUMMYFUNCTION("""COMPUTED_VALUE"""),"POSTOBÓN YUMBO")</f>
        <v>POSTOBÓN YUMBO</v>
      </c>
      <c r="B566" s="5" t="str">
        <f ca="1">IFERROR(__xludf.DUMMYFUNCTION("""COMPUTED_VALUE"""),"0410-LINEA 1")</f>
        <v>0410-LINEA 1</v>
      </c>
      <c r="C566" s="5" t="str">
        <f ca="1">IFERROR(__xludf.DUMMYFUNCTION("""COMPUTED_VALUE"""),"LINEA DE ENVASADO PET NO RETORNABLE")</f>
        <v>LINEA DE ENVASADO PET NO RETORNABLE</v>
      </c>
      <c r="D566" s="5">
        <f ca="1">IFERROR(__xludf.DUMMYFUNCTION("""COMPUTED_VALUE"""),71031601)</f>
        <v>71031601</v>
      </c>
      <c r="E566" s="5" t="str">
        <f ca="1">IFERROR(__xludf.DUMMYFUNCTION("""COMPUTED_VALUE"""),"HORNO EMBANDEJADORA VARIOPAC")</f>
        <v>HORNO EMBANDEJADORA VARIOPAC</v>
      </c>
      <c r="F566" s="5">
        <f ca="1">IFERROR(__xludf.DUMMYFUNCTION("""COMPUTED_VALUE"""),22593)</f>
        <v>22593</v>
      </c>
      <c r="G566" s="5" t="str">
        <f ca="1">IFERROR(__xludf.DUMMYFUNCTION("""COMPUTED_VALUE"""),"PLAN MTTO LUB HORNO VARIOPAC 71031601")</f>
        <v>PLAN MTTO LUB HORNO VARIOPAC 71031601</v>
      </c>
      <c r="H566" s="5">
        <f ca="1">IFERROR(__xludf.DUMMYFUNCTION("""COMPUTED_VALUE"""),13247219)</f>
        <v>13247219</v>
      </c>
      <c r="I566" s="5" t="str">
        <f ca="1">IFERROR(__xludf.DUMMYFUNCTION("""COMPUTED_VALUE"""),"Lubricacion")</f>
        <v>Lubricacion</v>
      </c>
      <c r="J566" s="5" t="str">
        <f ca="1">IFERROR(__xludf.DUMMYFUNCTION("""COMPUTED_VALUE"""),"MEDIO")</f>
        <v>MEDIO</v>
      </c>
      <c r="K566" s="5" t="str">
        <f ca="1">IFERROR(__xludf.DUMMYFUNCTION("""COMPUTED_VALUE"""),"Preventivo")</f>
        <v>Preventivo</v>
      </c>
      <c r="L566" s="5" t="str">
        <f ca="1">IFERROR(__xludf.DUMMYFUNCTION("""COMPUTED_VALUE"""),"Maquinaria")</f>
        <v>Maquinaria</v>
      </c>
      <c r="M566" s="5" t="str">
        <f ca="1">IFERROR(__xludf.DUMMYFUNCTION("""COMPUTED_VALUE"""),"No")</f>
        <v>No</v>
      </c>
      <c r="N566" s="5"/>
      <c r="O566" s="5"/>
      <c r="P566" s="18">
        <f ca="1">IFERROR(__xludf.DUMMYFUNCTION("""COMPUTED_VALUE"""),45334)</f>
        <v>45334</v>
      </c>
      <c r="Q566" s="18">
        <f ca="1">IFERROR(__xludf.DUMMYFUNCTION("""COMPUTED_VALUE"""),45334)</f>
        <v>45334</v>
      </c>
      <c r="R566" s="18"/>
      <c r="S566" s="5">
        <f ca="1">IFERROR(__xludf.DUMMYFUNCTION("""COMPUTED_VALUE"""),0.5)</f>
        <v>0.5</v>
      </c>
      <c r="T566" s="5"/>
      <c r="U566" s="5" t="str">
        <f ca="1">IFERROR(__xludf.DUMMYFUNCTION("""COMPUTED_VALUE"""),"Leon Narvaez Andres Felipe")</f>
        <v>Leon Narvaez Andres Felipe</v>
      </c>
      <c r="V566" s="5"/>
      <c r="W566" s="5" t="str">
        <f ca="1">IFERROR(__xludf.DUMMYFUNCTION("""COMPUTED_VALUE"""),"xi7Ju6fS3hg")</f>
        <v>xi7Ju6fS3hg</v>
      </c>
      <c r="X566" s="5">
        <f ca="1">IFERROR(__xludf.DUMMYFUNCTION("""COMPUTED_VALUE"""),0.5)</f>
        <v>0.5</v>
      </c>
      <c r="Z566" s="3">
        <f ca="1">IFERROR(VLOOKUP(U566, 'Base de datos'!A:B, 2, FALSE), "")</f>
        <v>573145741289</v>
      </c>
      <c r="AA566" s="4" t="e">
        <f t="shared" ca="1" si="5"/>
        <v>#NAME?</v>
      </c>
    </row>
    <row r="567" spans="1:27" ht="15.75" customHeight="1">
      <c r="A567" s="5" t="str">
        <f ca="1">IFERROR(__xludf.DUMMYFUNCTION("""COMPUTED_VALUE"""),"POSTOBÓN YUMBO")</f>
        <v>POSTOBÓN YUMBO</v>
      </c>
      <c r="B567" s="5" t="str">
        <f ca="1">IFERROR(__xludf.DUMMYFUNCTION("""COMPUTED_VALUE"""),"0410-LINEA 1")</f>
        <v>0410-LINEA 1</v>
      </c>
      <c r="C567" s="5" t="str">
        <f ca="1">IFERROR(__xludf.DUMMYFUNCTION("""COMPUTED_VALUE"""),"LINEA DE ENVASADO PET NO RETORNABLE")</f>
        <v>LINEA DE ENVASADO PET NO RETORNABLE</v>
      </c>
      <c r="D567" s="5">
        <f ca="1">IFERROR(__xludf.DUMMYFUNCTION("""COMPUTED_VALUE"""),829612)</f>
        <v>829612</v>
      </c>
      <c r="E567" s="5" t="str">
        <f ca="1">IFERROR(__xludf.DUMMYFUNCTION("""COMPUTED_VALUE"""),"TRANSPORTADOR AEREO")</f>
        <v>TRANSPORTADOR AEREO</v>
      </c>
      <c r="F567" s="5">
        <f ca="1">IFERROR(__xludf.DUMMYFUNCTION("""COMPUTED_VALUE"""),22597)</f>
        <v>22597</v>
      </c>
      <c r="G567" s="5" t="str">
        <f ca="1">IFERROR(__xludf.DUMMYFUNCTION("""COMPUTED_VALUE"""),"PLAN MTTO MEC TRANSPORTADOR AEREO 829612")</f>
        <v>PLAN MTTO MEC TRANSPORTADOR AEREO 829612</v>
      </c>
      <c r="H567" s="5">
        <f ca="1">IFERROR(__xludf.DUMMYFUNCTION("""COMPUTED_VALUE"""),13247222)</f>
        <v>13247222</v>
      </c>
      <c r="I567" s="5" t="str">
        <f ca="1">IFERROR(__xludf.DUMMYFUNCTION("""COMPUTED_VALUE"""),"REVISION/CAMBIO DE FILTROS TURBINAS DE S")</f>
        <v>REVISION/CAMBIO DE FILTROS TURBINAS DE S</v>
      </c>
      <c r="J567" s="5" t="str">
        <f ca="1">IFERROR(__xludf.DUMMYFUNCTION("""COMPUTED_VALUE"""),"ALTO")</f>
        <v>ALTO</v>
      </c>
      <c r="K567" s="5" t="str">
        <f ca="1">IFERROR(__xludf.DUMMYFUNCTION("""COMPUTED_VALUE"""),"Preventivo")</f>
        <v>Preventivo</v>
      </c>
      <c r="L567" s="5" t="str">
        <f ca="1">IFERROR(__xludf.DUMMYFUNCTION("""COMPUTED_VALUE"""),"Maquinaria")</f>
        <v>Maquinaria</v>
      </c>
      <c r="M567" s="5" t="str">
        <f ca="1">IFERROR(__xludf.DUMMYFUNCTION("""COMPUTED_VALUE"""),"No")</f>
        <v>No</v>
      </c>
      <c r="N567" s="5"/>
      <c r="O567" s="5"/>
      <c r="P567" s="18">
        <f ca="1">IFERROR(__xludf.DUMMYFUNCTION("""COMPUTED_VALUE"""),45324)</f>
        <v>45324</v>
      </c>
      <c r="Q567" s="18">
        <f ca="1">IFERROR(__xludf.DUMMYFUNCTION("""COMPUTED_VALUE"""),45324)</f>
        <v>45324</v>
      </c>
      <c r="R567" s="18"/>
      <c r="S567" s="5">
        <f ca="1">IFERROR(__xludf.DUMMYFUNCTION("""COMPUTED_VALUE"""),1)</f>
        <v>1</v>
      </c>
      <c r="T567" s="5"/>
      <c r="U567" s="5" t="str">
        <f ca="1">IFERROR(__xludf.DUMMYFUNCTION("""COMPUTED_VALUE"""),"FERNEYORLANDO RAMOS AULLON")</f>
        <v>FERNEYORLANDO RAMOS AULLON</v>
      </c>
      <c r="V567" s="5"/>
      <c r="W567" s="5" t="str">
        <f ca="1">IFERROR(__xludf.DUMMYFUNCTION("""COMPUTED_VALUE"""),"FVR49_xSBw4")</f>
        <v>FVR49_xSBw4</v>
      </c>
      <c r="X567" s="5">
        <f ca="1">IFERROR(__xludf.DUMMYFUNCTION("""COMPUTED_VALUE"""),1)</f>
        <v>1</v>
      </c>
      <c r="Z567" s="3">
        <f ca="1">IFERROR(VLOOKUP(U567, 'Base de datos'!A:B, 2, FALSE), "")</f>
        <v>573117665570</v>
      </c>
      <c r="AA567" s="4" t="e">
        <f t="shared" ca="1" si="5"/>
        <v>#NAME?</v>
      </c>
    </row>
    <row r="568" spans="1:27" ht="15.75" customHeight="1">
      <c r="A568" s="5" t="str">
        <f ca="1">IFERROR(__xludf.DUMMYFUNCTION("""COMPUTED_VALUE"""),"POSTOBÓN YUMBO")</f>
        <v>POSTOBÓN YUMBO</v>
      </c>
      <c r="B568" s="5" t="str">
        <f ca="1">IFERROR(__xludf.DUMMYFUNCTION("""COMPUTED_VALUE"""),"0410-LINEA 2")</f>
        <v>0410-LINEA 2</v>
      </c>
      <c r="C568" s="5" t="str">
        <f ca="1">IFERROR(__xludf.DUMMYFUNCTION("""COMPUTED_VALUE"""),"LINEA DE ENVASADO FAMILIAR Y PRB")</f>
        <v>LINEA DE ENVASADO FAMILIAR Y PRB</v>
      </c>
      <c r="D568" s="5">
        <f ca="1">IFERROR(__xludf.DUMMYFUNCTION("""COMPUTED_VALUE"""),82964402)</f>
        <v>82964402</v>
      </c>
      <c r="E568" s="5" t="str">
        <f ca="1">IFERROR(__xludf.DUMMYFUNCTION("""COMPUTED_VALUE"""),"CODIFICADOR L2")</f>
        <v>CODIFICADOR L2</v>
      </c>
      <c r="F568" s="5">
        <f ca="1">IFERROR(__xludf.DUMMYFUNCTION("""COMPUTED_VALUE"""),46430)</f>
        <v>46430</v>
      </c>
      <c r="G568" s="5" t="str">
        <f ca="1">IFERROR(__xludf.DUMMYFUNCTION("""COMPUTED_VALUE"""),"PLAN MTTO ELE CODIFICADOR L2 82964402")</f>
        <v>PLAN MTTO ELE CODIFICADOR L2 82964402</v>
      </c>
      <c r="H568" s="5">
        <f ca="1">IFERROR(__xludf.DUMMYFUNCTION("""COMPUTED_VALUE"""),13247850)</f>
        <v>13247850</v>
      </c>
      <c r="I568" s="5" t="str">
        <f ca="1">IFERROR(__xludf.DUMMYFUNCTION("""COMPUTED_VALUE"""),"Revision sistema manejo de tinta")</f>
        <v>Revision sistema manejo de tinta</v>
      </c>
      <c r="J568" s="5" t="str">
        <f ca="1">IFERROR(__xludf.DUMMYFUNCTION("""COMPUTED_VALUE"""),"ALTO")</f>
        <v>ALTO</v>
      </c>
      <c r="K568" s="5" t="str">
        <f ca="1">IFERROR(__xludf.DUMMYFUNCTION("""COMPUTED_VALUE"""),"Preventivo")</f>
        <v>Preventivo</v>
      </c>
      <c r="L568" s="5" t="str">
        <f ca="1">IFERROR(__xludf.DUMMYFUNCTION("""COMPUTED_VALUE"""),"Maquinaria")</f>
        <v>Maquinaria</v>
      </c>
      <c r="M568" s="5" t="str">
        <f ca="1">IFERROR(__xludf.DUMMYFUNCTION("""COMPUTED_VALUE"""),"No")</f>
        <v>No</v>
      </c>
      <c r="N568" s="5"/>
      <c r="O568" s="5"/>
      <c r="P568" s="18">
        <f ca="1">IFERROR(__xludf.DUMMYFUNCTION("""COMPUTED_VALUE"""),45331)</f>
        <v>45331</v>
      </c>
      <c r="Q568" s="18">
        <f ca="1">IFERROR(__xludf.DUMMYFUNCTION("""COMPUTED_VALUE"""),45331)</f>
        <v>45331</v>
      </c>
      <c r="R568" s="18"/>
      <c r="S568" s="5">
        <f ca="1">IFERROR(__xludf.DUMMYFUNCTION("""COMPUTED_VALUE"""),0.5)</f>
        <v>0.5</v>
      </c>
      <c r="T568" s="5"/>
      <c r="U568" s="5" t="str">
        <f ca="1">IFERROR(__xludf.DUMMYFUNCTION("""COMPUTED_VALUE"""),"Andrés Felipe Pérez Polania")</f>
        <v>Andrés Felipe Pérez Polania</v>
      </c>
      <c r="V568" s="5"/>
      <c r="W568" s="5" t="str">
        <f ca="1">IFERROR(__xludf.DUMMYFUNCTION("""COMPUTED_VALUE"""),"QWXdUz6k2Ng")</f>
        <v>QWXdUz6k2Ng</v>
      </c>
      <c r="X568" s="5">
        <f ca="1">IFERROR(__xludf.DUMMYFUNCTION("""COMPUTED_VALUE"""),0.5)</f>
        <v>0.5</v>
      </c>
      <c r="Z568" s="3">
        <f ca="1">IFERROR(VLOOKUP(U568, 'Base de datos'!A:B, 2, FALSE), "")</f>
        <v>573186924079</v>
      </c>
      <c r="AA568" s="4" t="e">
        <f t="shared" ca="1" si="5"/>
        <v>#NAME?</v>
      </c>
    </row>
    <row r="569" spans="1:27" ht="15.75" customHeight="1">
      <c r="A569" s="5" t="str">
        <f ca="1">IFERROR(__xludf.DUMMYFUNCTION("""COMPUTED_VALUE"""),"POSTOBÓN YUMBO")</f>
        <v>POSTOBÓN YUMBO</v>
      </c>
      <c r="B569" s="5" t="str">
        <f ca="1">IFERROR(__xludf.DUMMYFUNCTION("""COMPUTED_VALUE"""),"0410-PLANTA DE AGUA ENVASADO")</f>
        <v>0410-PLANTA DE AGUA ENVASADO</v>
      </c>
      <c r="C569" s="5" t="str">
        <f ca="1">IFERROR(__xludf.DUMMYFUNCTION("""COMPUTED_VALUE"""),"TRATAMIENTO DE AGUA PARA ENVASADO")</f>
        <v>TRATAMIENTO DE AGUA PARA ENVASADO</v>
      </c>
      <c r="D569" s="5">
        <f ca="1">IFERROR(__xludf.DUMMYFUNCTION("""COMPUTED_VALUE"""),709786)</f>
        <v>709786</v>
      </c>
      <c r="E569" s="5" t="str">
        <f ca="1">IFERROR(__xludf.DUMMYFUNCTION("""COMPUTED_VALUE"""),"FILTRO LAKOS")</f>
        <v>FILTRO LAKOS</v>
      </c>
      <c r="F569" s="5">
        <f ca="1">IFERROR(__xludf.DUMMYFUNCTION("""COMPUTED_VALUE"""),56053)</f>
        <v>56053</v>
      </c>
      <c r="G569" s="5" t="str">
        <f ca="1">IFERROR(__xludf.DUMMYFUNCTION("""COMPUTED_VALUE"""),"PLAN MTTO ELEC FILTRO LAKOS")</f>
        <v>PLAN MTTO ELEC FILTRO LAKOS</v>
      </c>
      <c r="H569" s="5">
        <f ca="1">IFERROR(__xludf.DUMMYFUNCTION("""COMPUTED_VALUE"""),13199003)</f>
        <v>13199003</v>
      </c>
      <c r="I569" s="5" t="str">
        <f ca="1">IFERROR(__xludf.DUMMYFUNCTION("""COMPUTED_VALUE"""),"remueba sonda de la purga y limpie")</f>
        <v>remueba sonda de la purga y limpie</v>
      </c>
      <c r="J569" s="5" t="str">
        <f ca="1">IFERROR(__xludf.DUMMYFUNCTION("""COMPUTED_VALUE"""),"ALTO")</f>
        <v>ALTO</v>
      </c>
      <c r="K569" s="5" t="str">
        <f ca="1">IFERROR(__xludf.DUMMYFUNCTION("""COMPUTED_VALUE"""),"Preventivo")</f>
        <v>Preventivo</v>
      </c>
      <c r="L569" s="5" t="str">
        <f ca="1">IFERROR(__xludf.DUMMYFUNCTION("""COMPUTED_VALUE"""),"Maquinaria")</f>
        <v>Maquinaria</v>
      </c>
      <c r="M569" s="5" t="str">
        <f ca="1">IFERROR(__xludf.DUMMYFUNCTION("""COMPUTED_VALUE"""),"No")</f>
        <v>No</v>
      </c>
      <c r="N569" s="5"/>
      <c r="O569" s="5"/>
      <c r="P569" s="18">
        <f ca="1">IFERROR(__xludf.DUMMYFUNCTION("""COMPUTED_VALUE"""),45328)</f>
        <v>45328</v>
      </c>
      <c r="Q569" s="18">
        <f ca="1">IFERROR(__xludf.DUMMYFUNCTION("""COMPUTED_VALUE"""),45328)</f>
        <v>45328</v>
      </c>
      <c r="R569" s="18">
        <f ca="1">IFERROR(__xludf.DUMMYFUNCTION("""COMPUTED_VALUE"""),2)</f>
        <v>2</v>
      </c>
      <c r="S569" s="5">
        <f ca="1">IFERROR(__xludf.DUMMYFUNCTION("""COMPUTED_VALUE"""),1)</f>
        <v>1</v>
      </c>
      <c r="T569" s="5"/>
      <c r="U569" s="5" t="str">
        <f ca="1">IFERROR(__xludf.DUMMYFUNCTION("""COMPUTED_VALUE"""),"John Edier Gomez Zuñiga")</f>
        <v>John Edier Gomez Zuñiga</v>
      </c>
      <c r="V569" s="5"/>
      <c r="W569" s="5" t="str">
        <f ca="1">IFERROR(__xludf.DUMMYFUNCTION("""COMPUTED_VALUE"""),"uILH6idoAno")</f>
        <v>uILH6idoAno</v>
      </c>
      <c r="X569" s="5">
        <f ca="1">IFERROR(__xludf.DUMMYFUNCTION("""COMPUTED_VALUE"""),1)</f>
        <v>1</v>
      </c>
      <c r="Z569" s="3">
        <f ca="1">IFERROR(VLOOKUP(U569, 'Base de datos'!A:B, 2, FALSE), "")</f>
        <v>573003678745</v>
      </c>
      <c r="AA569" s="4" t="e">
        <f t="shared" ca="1" si="5"/>
        <v>#NAME?</v>
      </c>
    </row>
    <row r="570" spans="1:27" ht="15.75" customHeight="1">
      <c r="A570" s="5" t="str">
        <f ca="1">IFERROR(__xludf.DUMMYFUNCTION("""COMPUTED_VALUE"""),"POSTOBÓN YUMBO")</f>
        <v>POSTOBÓN YUMBO</v>
      </c>
      <c r="B570" s="5" t="str">
        <f ca="1">IFERROR(__xludf.DUMMYFUNCTION("""COMPUTED_VALUE"""),"0410-EQUIPOS AUXILIARES")</f>
        <v>0410-EQUIPOS AUXILIARES</v>
      </c>
      <c r="C570" s="5" t="str">
        <f ca="1">IFERROR(__xludf.DUMMYFUNCTION("""COMPUTED_VALUE"""),"EQUIPOS PARA SERVICIOS INDUSTRIALES")</f>
        <v>EQUIPOS PARA SERVICIOS INDUSTRIALES</v>
      </c>
      <c r="D570" s="5">
        <f ca="1">IFERROR(__xludf.DUMMYFUNCTION("""COMPUTED_VALUE"""),628833)</f>
        <v>628833</v>
      </c>
      <c r="E570" s="5" t="str">
        <f ca="1">IFERROR(__xludf.DUMMYFUNCTION("""COMPUTED_VALUE"""),"COMPRESOR REFRIGERACION RECIPROCANTE 3")</f>
        <v>COMPRESOR REFRIGERACION RECIPROCANTE 3</v>
      </c>
      <c r="F570" s="5">
        <f ca="1">IFERROR(__xludf.DUMMYFUNCTION("""COMPUTED_VALUE"""),0)</f>
        <v>0</v>
      </c>
      <c r="G570" s="5" t="str">
        <f ca="1">IFERROR(__xludf.DUMMYFUNCTION("""COMPUTED_VALUE"""),"CONSUMO LUB COMPRESOR RECIPROCANTE 3")</f>
        <v>CONSUMO LUB COMPRESOR RECIPROCANTE 3</v>
      </c>
      <c r="H570" s="5">
        <f ca="1">IFERROR(__xludf.DUMMYFUNCTION("""COMPUTED_VALUE"""),13230947)</f>
        <v>13230947</v>
      </c>
      <c r="I570" s="5" t="str">
        <f ca="1">IFERROR(__xludf.DUMMYFUNCTION("""COMPUTED_VALUE"""),"CONSUMO LUB COMPRESOR RECIPROCANTE 3")</f>
        <v>CONSUMO LUB COMPRESOR RECIPROCANTE 3</v>
      </c>
      <c r="J570" s="5" t="str">
        <f ca="1">IFERROR(__xludf.DUMMYFUNCTION("""COMPUTED_VALUE"""),"MEDIO")</f>
        <v>MEDIO</v>
      </c>
      <c r="K570" s="5" t="str">
        <f ca="1">IFERROR(__xludf.DUMMYFUNCTION("""COMPUTED_VALUE"""),"Preventivo")</f>
        <v>Preventivo</v>
      </c>
      <c r="L570" s="5" t="str">
        <f ca="1">IFERROR(__xludf.DUMMYFUNCTION("""COMPUTED_VALUE"""),"Maquinaria")</f>
        <v>Maquinaria</v>
      </c>
      <c r="M570" s="5" t="str">
        <f ca="1">IFERROR(__xludf.DUMMYFUNCTION("""COMPUTED_VALUE"""),"No")</f>
        <v>No</v>
      </c>
      <c r="N570" s="5"/>
      <c r="O570" s="5"/>
      <c r="P570" s="18">
        <f ca="1">IFERROR(__xludf.DUMMYFUNCTION("""COMPUTED_VALUE"""),45324)</f>
        <v>45324</v>
      </c>
      <c r="Q570" s="18">
        <f ca="1">IFERROR(__xludf.DUMMYFUNCTION("""COMPUTED_VALUE"""),45324)</f>
        <v>45324</v>
      </c>
      <c r="R570" s="18"/>
      <c r="S570" s="5">
        <f ca="1">IFERROR(__xludf.DUMMYFUNCTION("""COMPUTED_VALUE"""),1)</f>
        <v>1</v>
      </c>
      <c r="T570" s="5"/>
      <c r="U570" s="5" t="str">
        <f ca="1">IFERROR(__xludf.DUMMYFUNCTION("""COMPUTED_VALUE"""),"MUÑOZ VALENCIA JEFFERSON")</f>
        <v>MUÑOZ VALENCIA JEFFERSON</v>
      </c>
      <c r="V570" s="5"/>
      <c r="W570" s="5" t="str">
        <f ca="1">IFERROR(__xludf.DUMMYFUNCTION("""COMPUTED_VALUE"""),"JXpb609JiZE")</f>
        <v>JXpb609JiZE</v>
      </c>
      <c r="X570" s="5">
        <f ca="1">IFERROR(__xludf.DUMMYFUNCTION("""COMPUTED_VALUE"""),1)</f>
        <v>1</v>
      </c>
      <c r="Z570" s="3">
        <f ca="1">IFERROR(VLOOKUP(U570, 'Base de datos'!A:B, 2, FALSE), "")</f>
        <v>573122261803</v>
      </c>
      <c r="AA570" s="4" t="e">
        <f t="shared" ca="1" si="5"/>
        <v>#NAME?</v>
      </c>
    </row>
    <row r="571" spans="1:27" ht="15.75" customHeight="1">
      <c r="A571" s="5" t="str">
        <f ca="1">IFERROR(__xludf.DUMMYFUNCTION("""COMPUTED_VALUE"""),"POSTOBÓN YUMBO")</f>
        <v>POSTOBÓN YUMBO</v>
      </c>
      <c r="B571" s="5" t="str">
        <f ca="1">IFERROR(__xludf.DUMMYFUNCTION("""COMPUTED_VALUE"""),"0410-ENVASADO JUGOS PET HOT F")</f>
        <v>0410-ENVASADO JUGOS PET HOT F</v>
      </c>
      <c r="C571" s="5" t="str">
        <f ca="1">IFERROR(__xludf.DUMMYFUNCTION("""COMPUTED_VALUE"""),"LINEA DE ENVASADO JUGOS PET HOT FILL")</f>
        <v>LINEA DE ENVASADO JUGOS PET HOT FILL</v>
      </c>
      <c r="D571" s="5">
        <f ca="1">IFERROR(__xludf.DUMMYFUNCTION("""COMPUTED_VALUE"""),690105)</f>
        <v>690105</v>
      </c>
      <c r="E571" s="5" t="str">
        <f ca="1">IFERROR(__xludf.DUMMYFUNCTION("""COMPUTED_VALUE"""),"MAQUINA DE ESTERILIZACION CUELLOS")</f>
        <v>MAQUINA DE ESTERILIZACION CUELLOS</v>
      </c>
      <c r="F571" s="5">
        <f ca="1">IFERROR(__xludf.DUMMYFUNCTION("""COMPUTED_VALUE"""),22579)</f>
        <v>22579</v>
      </c>
      <c r="G571" s="5" t="str">
        <f ca="1">IFERROR(__xludf.DUMMYFUNCTION("""COMPUTED_VALUE"""),"PLAN MTTO LUB ESTERILIZAC CUELLO 690105")</f>
        <v>PLAN MTTO LUB ESTERILIZAC CUELLO 690105</v>
      </c>
      <c r="H571" s="5">
        <f ca="1">IFERROR(__xludf.DUMMYFUNCTION("""COMPUTED_VALUE"""),13232361)</f>
        <v>13232361</v>
      </c>
      <c r="I571" s="5" t="str">
        <f ca="1">IFERROR(__xludf.DUMMYFUNCTION("""COMPUTED_VALUE"""),"Lubricar chumaceras")</f>
        <v>Lubricar chumaceras</v>
      </c>
      <c r="J571" s="5" t="str">
        <f ca="1">IFERROR(__xludf.DUMMYFUNCTION("""COMPUTED_VALUE"""),"ALTO")</f>
        <v>ALTO</v>
      </c>
      <c r="K571" s="5" t="str">
        <f ca="1">IFERROR(__xludf.DUMMYFUNCTION("""COMPUTED_VALUE"""),"Preventivo")</f>
        <v>Preventivo</v>
      </c>
      <c r="L571" s="5" t="str">
        <f ca="1">IFERROR(__xludf.DUMMYFUNCTION("""COMPUTED_VALUE"""),"Maquinaria")</f>
        <v>Maquinaria</v>
      </c>
      <c r="M571" s="5" t="str">
        <f ca="1">IFERROR(__xludf.DUMMYFUNCTION("""COMPUTED_VALUE"""),"No")</f>
        <v>No</v>
      </c>
      <c r="N571" s="5"/>
      <c r="O571" s="5"/>
      <c r="P571" s="18">
        <f ca="1">IFERROR(__xludf.DUMMYFUNCTION("""COMPUTED_VALUE"""),45329)</f>
        <v>45329</v>
      </c>
      <c r="Q571" s="18">
        <f ca="1">IFERROR(__xludf.DUMMYFUNCTION("""COMPUTED_VALUE"""),45329)</f>
        <v>45329</v>
      </c>
      <c r="R571" s="18">
        <f ca="1">IFERROR(__xludf.DUMMYFUNCTION("""COMPUTED_VALUE"""),2)</f>
        <v>2</v>
      </c>
      <c r="S571" s="5">
        <f ca="1">IFERROR(__xludf.DUMMYFUNCTION("""COMPUTED_VALUE"""),1)</f>
        <v>1</v>
      </c>
      <c r="T571" s="5"/>
      <c r="U571" s="5" t="str">
        <f ca="1">IFERROR(__xludf.DUMMYFUNCTION("""COMPUTED_VALUE"""),"Jhonnys Arturo Fernández Suarez")</f>
        <v>Jhonnys Arturo Fernández Suarez</v>
      </c>
      <c r="V571" s="5"/>
      <c r="W571" s="5" t="str">
        <f ca="1">IFERROR(__xludf.DUMMYFUNCTION("""COMPUTED_VALUE"""),"IDjgNwi12tM")</f>
        <v>IDjgNwi12tM</v>
      </c>
      <c r="X571" s="5">
        <f ca="1">IFERROR(__xludf.DUMMYFUNCTION("""COMPUTED_VALUE"""),1)</f>
        <v>1</v>
      </c>
      <c r="Z571" s="3">
        <f ca="1">IFERROR(VLOOKUP(U571, 'Base de datos'!A:B, 2, FALSE), "")</f>
        <v>573117998312</v>
      </c>
      <c r="AA571" s="4" t="e">
        <f t="shared" ca="1" si="5"/>
        <v>#NAME?</v>
      </c>
    </row>
    <row r="572" spans="1:27" ht="15.75" customHeight="1">
      <c r="A572" s="5" t="str">
        <f ca="1">IFERROR(__xludf.DUMMYFUNCTION("""COMPUTED_VALUE"""),"POSTOBÓN YUMBO")</f>
        <v>POSTOBÓN YUMBO</v>
      </c>
      <c r="B572" s="5" t="str">
        <f ca="1">IFERROR(__xludf.DUMMYFUNCTION("""COMPUTED_VALUE"""),"0410-ENVASADO JUGOS PET HOT F")</f>
        <v>0410-ENVASADO JUGOS PET HOT F</v>
      </c>
      <c r="C572" s="5" t="str">
        <f ca="1">IFERROR(__xludf.DUMMYFUNCTION("""COMPUTED_VALUE"""),"LINEA DE ENVASADO JUGOS PET HOT FILL")</f>
        <v>LINEA DE ENVASADO JUGOS PET HOT FILL</v>
      </c>
      <c r="D572" s="5">
        <f ca="1">IFERROR(__xludf.DUMMYFUNCTION("""COMPUTED_VALUE"""),829667)</f>
        <v>829667</v>
      </c>
      <c r="E572" s="5" t="str">
        <f ca="1">IFERROR(__xludf.DUMMYFUNCTION("""COMPUTED_VALUE"""),"TRANSPORTADOR DE EMBALAJES")</f>
        <v>TRANSPORTADOR DE EMBALAJES</v>
      </c>
      <c r="F572" s="5">
        <f ca="1">IFERROR(__xludf.DUMMYFUNCTION("""COMPUTED_VALUE"""),22586)</f>
        <v>22586</v>
      </c>
      <c r="G572" s="5" t="str">
        <f ca="1">IFERROR(__xludf.DUMMYFUNCTION("""COMPUTED_VALUE"""),"PLAN MTTO LUB TRANSP PAQUETES L8 829667")</f>
        <v>PLAN MTTO LUB TRANSP PAQUETES L8 829667</v>
      </c>
      <c r="H572" s="5">
        <f ca="1">IFERROR(__xludf.DUMMYFUNCTION("""COMPUTED_VALUE"""),13247213)</f>
        <v>13247213</v>
      </c>
      <c r="I572" s="5" t="str">
        <f ca="1">IFERROR(__xludf.DUMMYFUNCTION("""COMPUTED_VALUE"""),"Lubricar chumaceras")</f>
        <v>Lubricar chumaceras</v>
      </c>
      <c r="J572" s="5" t="str">
        <f ca="1">IFERROR(__xludf.DUMMYFUNCTION("""COMPUTED_VALUE"""),"MEDIO")</f>
        <v>MEDIO</v>
      </c>
      <c r="K572" s="5" t="str">
        <f ca="1">IFERROR(__xludf.DUMMYFUNCTION("""COMPUTED_VALUE"""),"Preventivo")</f>
        <v>Preventivo</v>
      </c>
      <c r="L572" s="5" t="str">
        <f ca="1">IFERROR(__xludf.DUMMYFUNCTION("""COMPUTED_VALUE"""),"Maquinaria")</f>
        <v>Maquinaria</v>
      </c>
      <c r="M572" s="5" t="str">
        <f ca="1">IFERROR(__xludf.DUMMYFUNCTION("""COMPUTED_VALUE"""),"No")</f>
        <v>No</v>
      </c>
      <c r="N572" s="5"/>
      <c r="O572" s="5"/>
      <c r="P572" s="18">
        <f ca="1">IFERROR(__xludf.DUMMYFUNCTION("""COMPUTED_VALUE"""),45332)</f>
        <v>45332</v>
      </c>
      <c r="Q572" s="18">
        <f ca="1">IFERROR(__xludf.DUMMYFUNCTION("""COMPUTED_VALUE"""),45332)</f>
        <v>45332</v>
      </c>
      <c r="R572" s="18"/>
      <c r="S572" s="5">
        <f ca="1">IFERROR(__xludf.DUMMYFUNCTION("""COMPUTED_VALUE"""),0.5)</f>
        <v>0.5</v>
      </c>
      <c r="T572" s="5"/>
      <c r="U572" s="5" t="str">
        <f ca="1">IFERROR(__xludf.DUMMYFUNCTION("""COMPUTED_VALUE"""),"Martinez Delgado Osver")</f>
        <v>Martinez Delgado Osver</v>
      </c>
      <c r="V572" s="5"/>
      <c r="W572" s="5" t="str">
        <f ca="1">IFERROR(__xludf.DUMMYFUNCTION("""COMPUTED_VALUE"""),"P6XbuIaUDT0")</f>
        <v>P6XbuIaUDT0</v>
      </c>
      <c r="X572" s="5">
        <f ca="1">IFERROR(__xludf.DUMMYFUNCTION("""COMPUTED_VALUE"""),0.5)</f>
        <v>0.5</v>
      </c>
      <c r="Z572" s="3">
        <f ca="1">IFERROR(VLOOKUP(U572, 'Base de datos'!A:B, 2, FALSE), "")</f>
        <v>573104055117</v>
      </c>
      <c r="AA572" s="4" t="e">
        <f t="shared" ca="1" si="5"/>
        <v>#NAME?</v>
      </c>
    </row>
    <row r="573" spans="1:27" ht="15.75" customHeight="1">
      <c r="A573" s="5" t="str">
        <f ca="1">IFERROR(__xludf.DUMMYFUNCTION("""COMPUTED_VALUE"""),"POSTOBÓN YUMBO")</f>
        <v>POSTOBÓN YUMBO</v>
      </c>
      <c r="B573" s="5" t="str">
        <f ca="1">IFERROR(__xludf.DUMMYFUNCTION("""COMPUTED_VALUE"""),"0410-ENVASADO JUGOS PET HOT F")</f>
        <v>0410-ENVASADO JUGOS PET HOT F</v>
      </c>
      <c r="C573" s="5" t="str">
        <f ca="1">IFERROR(__xludf.DUMMYFUNCTION("""COMPUTED_VALUE"""),"LINEA DE ENVASADO JUGOS PET HOT FILL")</f>
        <v>LINEA DE ENVASADO JUGOS PET HOT FILL</v>
      </c>
      <c r="D573" s="5">
        <f ca="1">IFERROR(__xludf.DUMMYFUNCTION("""COMPUTED_VALUE"""),900305)</f>
        <v>900305</v>
      </c>
      <c r="E573" s="5" t="str">
        <f ca="1">IFERROR(__xludf.DUMMYFUNCTION("""COMPUTED_VALUE"""),"ETIQUETADORA")</f>
        <v>ETIQUETADORA</v>
      </c>
      <c r="F573" s="5">
        <f ca="1">IFERROR(__xludf.DUMMYFUNCTION("""COMPUTED_VALUE"""),14086)</f>
        <v>14086</v>
      </c>
      <c r="G573" s="5" t="str">
        <f ca="1">IFERROR(__xludf.DUMMYFUNCTION("""COMPUTED_VALUE"""),"MTTO LUB ETIQUETADORA L8 900305")</f>
        <v>MTTO LUB ETIQUETADORA L8 900305</v>
      </c>
      <c r="H573" s="5">
        <f ca="1">IFERROR(__xludf.DUMMYFUNCTION("""COMPUTED_VALUE"""),13247141)</f>
        <v>13247141</v>
      </c>
      <c r="I573" s="5" t="str">
        <f ca="1">IFERROR(__xludf.DUMMYFUNCTION("""COMPUTED_VALUE"""),"Accionamiento Todos los")</f>
        <v>Accionamiento Todos los</v>
      </c>
      <c r="J573" s="5" t="str">
        <f ca="1">IFERROR(__xludf.DUMMYFUNCTION("""COMPUTED_VALUE"""),"MEDIO")</f>
        <v>MEDIO</v>
      </c>
      <c r="K573" s="5" t="str">
        <f ca="1">IFERROR(__xludf.DUMMYFUNCTION("""COMPUTED_VALUE"""),"Preventivo")</f>
        <v>Preventivo</v>
      </c>
      <c r="L573" s="5" t="str">
        <f ca="1">IFERROR(__xludf.DUMMYFUNCTION("""COMPUTED_VALUE"""),"Maquinaria")</f>
        <v>Maquinaria</v>
      </c>
      <c r="M573" s="5" t="str">
        <f ca="1">IFERROR(__xludf.DUMMYFUNCTION("""COMPUTED_VALUE"""),"No")</f>
        <v>No</v>
      </c>
      <c r="N573" s="5"/>
      <c r="O573" s="5"/>
      <c r="P573" s="18">
        <f ca="1">IFERROR(__xludf.DUMMYFUNCTION("""COMPUTED_VALUE"""),45336)</f>
        <v>45336</v>
      </c>
      <c r="Q573" s="18">
        <f ca="1">IFERROR(__xludf.DUMMYFUNCTION("""COMPUTED_VALUE"""),45336)</f>
        <v>45336</v>
      </c>
      <c r="R573" s="18"/>
      <c r="S573" s="5">
        <f ca="1">IFERROR(__xludf.DUMMYFUNCTION("""COMPUTED_VALUE"""),0.5)</f>
        <v>0.5</v>
      </c>
      <c r="T573" s="5"/>
      <c r="U573" s="5" t="str">
        <f ca="1">IFERROR(__xludf.DUMMYFUNCTION("""COMPUTED_VALUE"""),"Bedoya Marin Johan Andres")</f>
        <v>Bedoya Marin Johan Andres</v>
      </c>
      <c r="V573" s="5"/>
      <c r="W573" s="5" t="str">
        <f ca="1">IFERROR(__xludf.DUMMYFUNCTION("""COMPUTED_VALUE"""),"95QA_QKYhRI")</f>
        <v>95QA_QKYhRI</v>
      </c>
      <c r="X573" s="5">
        <f ca="1">IFERROR(__xludf.DUMMYFUNCTION("""COMPUTED_VALUE"""),0.5)</f>
        <v>0.5</v>
      </c>
      <c r="Z573" s="3">
        <f ca="1">IFERROR(VLOOKUP(U573, 'Base de datos'!A:B, 2, FALSE), "")</f>
        <v>573147103334</v>
      </c>
      <c r="AA573" s="4" t="e">
        <f t="shared" ca="1" si="5"/>
        <v>#NAME?</v>
      </c>
    </row>
    <row r="574" spans="1:27" ht="15.75" customHeight="1">
      <c r="A574" s="5" t="str">
        <f ca="1">IFERROR(__xludf.DUMMYFUNCTION("""COMPUTED_VALUE"""),"POSTOBÓN YUMBO")</f>
        <v>POSTOBÓN YUMBO</v>
      </c>
      <c r="B574" s="5" t="str">
        <f ca="1">IFERROR(__xludf.DUMMYFUNCTION("""COMPUTED_VALUE"""),"0410-SALA DE JARABE TERMINADO")</f>
        <v>0410-SALA DE JARABE TERMINADO</v>
      </c>
      <c r="C574" s="5" t="str">
        <f ca="1">IFERROR(__xludf.DUMMYFUNCTION("""COMPUTED_VALUE"""),"EQUIPOS PARA PREPARACION DE JARABE")</f>
        <v>EQUIPOS PARA PREPARACION DE JARABE</v>
      </c>
      <c r="D574" s="5">
        <f ca="1">IFERROR(__xludf.DUMMYFUNCTION("""COMPUTED_VALUE"""),69963413)</f>
        <v>69963413</v>
      </c>
      <c r="E574" s="5" t="str">
        <f ca="1">IFERROR(__xludf.DUMMYFUNCTION("""COMPUTED_VALUE"""),"TANQUE DE JARABE")</f>
        <v>TANQUE DE JARABE</v>
      </c>
      <c r="F574" s="5">
        <f ca="1">IFERROR(__xludf.DUMMYFUNCTION("""COMPUTED_VALUE"""),17361)</f>
        <v>17361</v>
      </c>
      <c r="G574" s="5" t="str">
        <f ca="1">IFERROR(__xludf.DUMMYFUNCTION("""COMPUTED_VALUE"""),"MTTO ELE TK JARABE 10 JARABE TERMINADO")</f>
        <v>MTTO ELE TK JARABE 10 JARABE TERMINADO</v>
      </c>
      <c r="H574" s="5">
        <f ca="1">IFERROR(__xludf.DUMMYFUNCTION("""COMPUTED_VALUE"""),13247167)</f>
        <v>13247167</v>
      </c>
      <c r="I574" s="5" t="str">
        <f ca="1">IFERROR(__xludf.DUMMYFUNCTION("""COMPUTED_VALUE"""),"MOTOR BOMBA DE RECIRCULACION:")</f>
        <v>MOTOR BOMBA DE RECIRCULACION:</v>
      </c>
      <c r="J574" s="5" t="str">
        <f ca="1">IFERROR(__xludf.DUMMYFUNCTION("""COMPUTED_VALUE"""),"ALTO")</f>
        <v>ALTO</v>
      </c>
      <c r="K574" s="5" t="str">
        <f ca="1">IFERROR(__xludf.DUMMYFUNCTION("""COMPUTED_VALUE"""),"Preventivo")</f>
        <v>Preventivo</v>
      </c>
      <c r="L574" s="5" t="str">
        <f ca="1">IFERROR(__xludf.DUMMYFUNCTION("""COMPUTED_VALUE"""),"Maquinaria")</f>
        <v>Maquinaria</v>
      </c>
      <c r="M574" s="5" t="str">
        <f ca="1">IFERROR(__xludf.DUMMYFUNCTION("""COMPUTED_VALUE"""),"No")</f>
        <v>No</v>
      </c>
      <c r="N574" s="5"/>
      <c r="O574" s="5">
        <f ca="1">IFERROR(__xludf.DUMMYFUNCTION("""COMPUTED_VALUE"""),100)</f>
        <v>100</v>
      </c>
      <c r="P574" s="18">
        <f ca="1">IFERROR(__xludf.DUMMYFUNCTION("""COMPUTED_VALUE"""),45343)</f>
        <v>45343</v>
      </c>
      <c r="Q574" s="18">
        <f ca="1">IFERROR(__xludf.DUMMYFUNCTION("""COMPUTED_VALUE"""),45343)</f>
        <v>45343</v>
      </c>
      <c r="R574" s="18">
        <f ca="1">IFERROR(__xludf.DUMMYFUNCTION("""COMPUTED_VALUE"""),2)</f>
        <v>2</v>
      </c>
      <c r="S574" s="5">
        <f ca="1">IFERROR(__xludf.DUMMYFUNCTION("""COMPUTED_VALUE"""),1)</f>
        <v>1</v>
      </c>
      <c r="T574" s="5"/>
      <c r="U574" s="5" t="str">
        <f ca="1">IFERROR(__xludf.DUMMYFUNCTION("""COMPUTED_VALUE"""),"Rivas Mena Carlos Danny")</f>
        <v>Rivas Mena Carlos Danny</v>
      </c>
      <c r="V574" s="5"/>
      <c r="W574" s="5" t="str">
        <f ca="1">IFERROR(__xludf.DUMMYFUNCTION("""COMPUTED_VALUE"""),"l2dW_SAm9po")</f>
        <v>l2dW_SAm9po</v>
      </c>
      <c r="X574" s="5">
        <f ca="1">IFERROR(__xludf.DUMMYFUNCTION("""COMPUTED_VALUE"""),1)</f>
        <v>1</v>
      </c>
      <c r="Z574" s="3">
        <f ca="1">IFERROR(VLOOKUP(U574, 'Base de datos'!A:B, 2, FALSE), "")</f>
        <v>0</v>
      </c>
      <c r="AA574" s="4" t="e">
        <f t="shared" ca="1" si="5"/>
        <v>#NAME?</v>
      </c>
    </row>
    <row r="575" spans="1:27" ht="15.75" customHeight="1">
      <c r="A575" s="5" t="str">
        <f ca="1">IFERROR(__xludf.DUMMYFUNCTION("""COMPUTED_VALUE"""),"POSTOBÓN YUMBO")</f>
        <v>POSTOBÓN YUMBO</v>
      </c>
      <c r="B575" s="5" t="str">
        <f ca="1">IFERROR(__xludf.DUMMYFUNCTION("""COMPUTED_VALUE"""),"0410-LINEA 3")</f>
        <v>0410-LINEA 3</v>
      </c>
      <c r="C575" s="5" t="str">
        <f ca="1">IFERROR(__xludf.DUMMYFUNCTION("""COMPUTED_VALUE"""),"LINEA DE ENVASADO TAMAÑO PERSONAL")</f>
        <v>LINEA DE ENVASADO TAMAÑO PERSONAL</v>
      </c>
      <c r="D575" s="5">
        <f ca="1">IFERROR(__xludf.DUMMYFUNCTION("""COMPUTED_VALUE"""),828592)</f>
        <v>828592</v>
      </c>
      <c r="E575" s="5" t="str">
        <f ca="1">IFERROR(__xludf.DUMMYFUNCTION("""COMPUTED_VALUE"""),"LLENADORA")</f>
        <v>LLENADORA</v>
      </c>
      <c r="F575" s="5">
        <f ca="1">IFERROR(__xludf.DUMMYFUNCTION("""COMPUTED_VALUE"""),5821)</f>
        <v>5821</v>
      </c>
      <c r="G575" s="5" t="str">
        <f ca="1">IFERROR(__xludf.DUMMYFUNCTION("""COMPUTED_VALUE"""),"Mantto Mec sist manejo de botella Llenad")</f>
        <v>Mantto Mec sist manejo de botella Llenad</v>
      </c>
      <c r="H575" s="5">
        <f ca="1">IFERROR(__xludf.DUMMYFUNCTION("""COMPUTED_VALUE"""),13247115)</f>
        <v>13247115</v>
      </c>
      <c r="I575" s="5" t="str">
        <f ca="1">IFERROR(__xludf.DUMMYFUNCTION("""COMPUTED_VALUE"""),"revisar estado de duchas de lavado,")</f>
        <v>revisar estado de duchas de lavado,</v>
      </c>
      <c r="J575" s="5" t="str">
        <f ca="1">IFERROR(__xludf.DUMMYFUNCTION("""COMPUTED_VALUE"""),"ALTO")</f>
        <v>ALTO</v>
      </c>
      <c r="K575" s="5" t="str">
        <f ca="1">IFERROR(__xludf.DUMMYFUNCTION("""COMPUTED_VALUE"""),"Preventivo")</f>
        <v>Preventivo</v>
      </c>
      <c r="L575" s="5" t="str">
        <f ca="1">IFERROR(__xludf.DUMMYFUNCTION("""COMPUTED_VALUE"""),"Maquinaria")</f>
        <v>Maquinaria</v>
      </c>
      <c r="M575" s="5" t="str">
        <f ca="1">IFERROR(__xludf.DUMMYFUNCTION("""COMPUTED_VALUE"""),"No")</f>
        <v>No</v>
      </c>
      <c r="N575" s="5"/>
      <c r="O575" s="5"/>
      <c r="P575" s="18">
        <f ca="1">IFERROR(__xludf.DUMMYFUNCTION("""COMPUTED_VALUE"""),45324)</f>
        <v>45324</v>
      </c>
      <c r="Q575" s="18">
        <f ca="1">IFERROR(__xludf.DUMMYFUNCTION("""COMPUTED_VALUE"""),45324)</f>
        <v>45324</v>
      </c>
      <c r="R575" s="18"/>
      <c r="S575" s="5">
        <f ca="1">IFERROR(__xludf.DUMMYFUNCTION("""COMPUTED_VALUE"""),0.5)</f>
        <v>0.5</v>
      </c>
      <c r="T575" s="5"/>
      <c r="U575" s="5" t="str">
        <f ca="1">IFERROR(__xludf.DUMMYFUNCTION("""COMPUTED_VALUE"""),"Jimenez Jhon")</f>
        <v>Jimenez Jhon</v>
      </c>
      <c r="V575" s="5"/>
      <c r="W575" s="5" t="str">
        <f ca="1">IFERROR(__xludf.DUMMYFUNCTION("""COMPUTED_VALUE"""),"YywALQoh5Wc")</f>
        <v>YywALQoh5Wc</v>
      </c>
      <c r="X575" s="5">
        <f ca="1">IFERROR(__xludf.DUMMYFUNCTION("""COMPUTED_VALUE"""),0.5)</f>
        <v>0.5</v>
      </c>
      <c r="Z575" s="3">
        <f ca="1">IFERROR(VLOOKUP(U575, 'Base de datos'!A:B, 2, FALSE), "")</f>
        <v>573147637946</v>
      </c>
      <c r="AA575" s="4" t="e">
        <f t="shared" ca="1" si="5"/>
        <v>#NAME?</v>
      </c>
    </row>
    <row r="576" spans="1:27" ht="15.75" customHeight="1">
      <c r="A576" s="5" t="str">
        <f ca="1">IFERROR(__xludf.DUMMYFUNCTION("""COMPUTED_VALUE"""),"POSTOBÓN YUMBO")</f>
        <v>POSTOBÓN YUMBO</v>
      </c>
      <c r="B576" s="5" t="str">
        <f ca="1">IFERROR(__xludf.DUMMYFUNCTION("""COMPUTED_VALUE"""),"0410-LINEA 3")</f>
        <v>0410-LINEA 3</v>
      </c>
      <c r="C576" s="5" t="str">
        <f ca="1">IFERROR(__xludf.DUMMYFUNCTION("""COMPUTED_VALUE"""),"LINEA DE ENVASADO TAMAÑO PERSONAL")</f>
        <v>LINEA DE ENVASADO TAMAÑO PERSONAL</v>
      </c>
      <c r="D576" s="5">
        <f ca="1">IFERROR(__xludf.DUMMYFUNCTION("""COMPUTED_VALUE"""),828592)</f>
        <v>828592</v>
      </c>
      <c r="E576" s="5" t="str">
        <f ca="1">IFERROR(__xludf.DUMMYFUNCTION("""COMPUTED_VALUE"""),"LLENADORA")</f>
        <v>LLENADORA</v>
      </c>
      <c r="F576" s="5">
        <f ca="1">IFERROR(__xludf.DUMMYFUNCTION("""COMPUTED_VALUE"""),5821)</f>
        <v>5821</v>
      </c>
      <c r="G576" s="5" t="str">
        <f ca="1">IFERROR(__xludf.DUMMYFUNCTION("""COMPUTED_VALUE"""),"Mantto Mec sist manejo de botella Llenad")</f>
        <v>Mantto Mec sist manejo de botella Llenad</v>
      </c>
      <c r="H576" s="5">
        <f ca="1">IFERROR(__xludf.DUMMYFUNCTION("""COMPUTED_VALUE"""),13247115)</f>
        <v>13247115</v>
      </c>
      <c r="I576" s="5" t="str">
        <f ca="1">IFERROR(__xludf.DUMMYFUNCTION("""COMPUTED_VALUE"""),"revision de pistones elevadores.")</f>
        <v>revision de pistones elevadores.</v>
      </c>
      <c r="J576" s="5" t="str">
        <f ca="1">IFERROR(__xludf.DUMMYFUNCTION("""COMPUTED_VALUE"""),"ALTO")</f>
        <v>ALTO</v>
      </c>
      <c r="K576" s="5" t="str">
        <f ca="1">IFERROR(__xludf.DUMMYFUNCTION("""COMPUTED_VALUE"""),"Preventivo")</f>
        <v>Preventivo</v>
      </c>
      <c r="L576" s="5" t="str">
        <f ca="1">IFERROR(__xludf.DUMMYFUNCTION("""COMPUTED_VALUE"""),"Maquinaria")</f>
        <v>Maquinaria</v>
      </c>
      <c r="M576" s="5" t="str">
        <f ca="1">IFERROR(__xludf.DUMMYFUNCTION("""COMPUTED_VALUE"""),"No")</f>
        <v>No</v>
      </c>
      <c r="N576" s="5"/>
      <c r="O576" s="5"/>
      <c r="P576" s="18">
        <f ca="1">IFERROR(__xludf.DUMMYFUNCTION("""COMPUTED_VALUE"""),45324)</f>
        <v>45324</v>
      </c>
      <c r="Q576" s="18">
        <f ca="1">IFERROR(__xludf.DUMMYFUNCTION("""COMPUTED_VALUE"""),45324)</f>
        <v>45324</v>
      </c>
      <c r="R576" s="18"/>
      <c r="S576" s="5">
        <f ca="1">IFERROR(__xludf.DUMMYFUNCTION("""COMPUTED_VALUE"""),1)</f>
        <v>1</v>
      </c>
      <c r="T576" s="5"/>
      <c r="U576" s="5" t="str">
        <f ca="1">IFERROR(__xludf.DUMMYFUNCTION("""COMPUTED_VALUE"""),"Jimenez Jhon")</f>
        <v>Jimenez Jhon</v>
      </c>
      <c r="V576" s="5"/>
      <c r="W576" s="5" t="str">
        <f ca="1">IFERROR(__xludf.DUMMYFUNCTION("""COMPUTED_VALUE"""),"eiCvhBhZ48g")</f>
        <v>eiCvhBhZ48g</v>
      </c>
      <c r="X576" s="5">
        <f ca="1">IFERROR(__xludf.DUMMYFUNCTION("""COMPUTED_VALUE"""),1)</f>
        <v>1</v>
      </c>
      <c r="Z576" s="3">
        <f ca="1">IFERROR(VLOOKUP(U576, 'Base de datos'!A:B, 2, FALSE), "")</f>
        <v>573147637946</v>
      </c>
      <c r="AA576" s="4" t="e">
        <f t="shared" ca="1" si="5"/>
        <v>#NAME?</v>
      </c>
    </row>
    <row r="577" spans="1:27" ht="15.75" customHeight="1">
      <c r="A577" s="5" t="str">
        <f ca="1">IFERROR(__xludf.DUMMYFUNCTION("""COMPUTED_VALUE"""),"POSTOBÓN YUMBO")</f>
        <v>POSTOBÓN YUMBO</v>
      </c>
      <c r="B577" s="5" t="str">
        <f ca="1">IFERROR(__xludf.DUMMYFUNCTION("""COMPUTED_VALUE"""),"0410-EQUIPOS AUXILIARES")</f>
        <v>0410-EQUIPOS AUXILIARES</v>
      </c>
      <c r="C577" s="5" t="str">
        <f ca="1">IFERROR(__xludf.DUMMYFUNCTION("""COMPUTED_VALUE"""),"EQUIPOS PARA SERVICIOS INDUSTRIALES")</f>
        <v>EQUIPOS PARA SERVICIOS INDUSTRIALES</v>
      </c>
      <c r="D577" s="5">
        <f ca="1">IFERROR(__xludf.DUMMYFUNCTION("""COMPUTED_VALUE"""),628884)</f>
        <v>628884</v>
      </c>
      <c r="E577" s="5" t="str">
        <f ca="1">IFERROR(__xludf.DUMMYFUNCTION("""COMPUTED_VALUE"""),"COMPRESOR DE REFRIGERACION 2")</f>
        <v>COMPRESOR DE REFRIGERACION 2</v>
      </c>
      <c r="F577" s="5">
        <f ca="1">IFERROR(__xludf.DUMMYFUNCTION("""COMPUTED_VALUE"""),25392)</f>
        <v>25392</v>
      </c>
      <c r="G577" s="5" t="str">
        <f ca="1">IFERROR(__xludf.DUMMYFUNCTION("""COMPUTED_VALUE"""),"PLAN MTTO LUB COMPRESOR REFRIGER 2 L10")</f>
        <v>PLAN MTTO LUB COMPRESOR REFRIGER 2 L10</v>
      </c>
      <c r="H577" s="5">
        <f ca="1">IFERROR(__xludf.DUMMYFUNCTION("""COMPUTED_VALUE"""),13232398)</f>
        <v>13232398</v>
      </c>
      <c r="I577" s="5" t="str">
        <f ca="1">IFERROR(__xludf.DUMMYFUNCTION("""COMPUTED_VALUE"""),"Lubricación rodamiento motor")</f>
        <v>Lubricación rodamiento motor</v>
      </c>
      <c r="J577" s="5" t="str">
        <f ca="1">IFERROR(__xludf.DUMMYFUNCTION("""COMPUTED_VALUE"""),"MEDIO")</f>
        <v>MEDIO</v>
      </c>
      <c r="K577" s="5" t="str">
        <f ca="1">IFERROR(__xludf.DUMMYFUNCTION("""COMPUTED_VALUE"""),"Preventivo")</f>
        <v>Preventivo</v>
      </c>
      <c r="L577" s="5" t="str">
        <f ca="1">IFERROR(__xludf.DUMMYFUNCTION("""COMPUTED_VALUE"""),"Maquinaria")</f>
        <v>Maquinaria</v>
      </c>
      <c r="M577" s="5" t="str">
        <f ca="1">IFERROR(__xludf.DUMMYFUNCTION("""COMPUTED_VALUE"""),"No")</f>
        <v>No</v>
      </c>
      <c r="N577" s="5"/>
      <c r="O577" s="5"/>
      <c r="P577" s="18">
        <f ca="1">IFERROR(__xludf.DUMMYFUNCTION("""COMPUTED_VALUE"""),45326)</f>
        <v>45326</v>
      </c>
      <c r="Q577" s="18">
        <f ca="1">IFERROR(__xludf.DUMMYFUNCTION("""COMPUTED_VALUE"""),45326)</f>
        <v>45326</v>
      </c>
      <c r="R577" s="18"/>
      <c r="S577" s="5">
        <f ca="1">IFERROR(__xludf.DUMMYFUNCTION("""COMPUTED_VALUE"""),0.5)</f>
        <v>0.5</v>
      </c>
      <c r="T577" s="5"/>
      <c r="U577" s="5" t="str">
        <f ca="1">IFERROR(__xludf.DUMMYFUNCTION("""COMPUTED_VALUE"""),"CALDERON CORTES JULIAN DAVID")</f>
        <v>CALDERON CORTES JULIAN DAVID</v>
      </c>
      <c r="V577" s="5"/>
      <c r="W577" s="5" t="str">
        <f ca="1">IFERROR(__xludf.DUMMYFUNCTION("""COMPUTED_VALUE"""),"eM47_Dr3Hfk")</f>
        <v>eM47_Dr3Hfk</v>
      </c>
      <c r="X577" s="5">
        <f ca="1">IFERROR(__xludf.DUMMYFUNCTION("""COMPUTED_VALUE"""),0.5)</f>
        <v>0.5</v>
      </c>
      <c r="Z577" s="3">
        <f ca="1">IFERROR(VLOOKUP(U577, 'Base de datos'!A:B, 2, FALSE), "")</f>
        <v>573106062699</v>
      </c>
      <c r="AA577" s="4" t="e">
        <f t="shared" ca="1" si="5"/>
        <v>#NAME?</v>
      </c>
    </row>
    <row r="578" spans="1:27" ht="15.75" customHeight="1">
      <c r="A578" s="5" t="str">
        <f ca="1">IFERROR(__xludf.DUMMYFUNCTION("""COMPUTED_VALUE"""),"POSTOBÓN YUMBO")</f>
        <v>POSTOBÓN YUMBO</v>
      </c>
      <c r="B578" s="5" t="str">
        <f ca="1">IFERROR(__xludf.DUMMYFUNCTION("""COMPUTED_VALUE"""),"0410-LINEA 2")</f>
        <v>0410-LINEA 2</v>
      </c>
      <c r="C578" s="5" t="str">
        <f ca="1">IFERROR(__xludf.DUMMYFUNCTION("""COMPUTED_VALUE"""),"LINEA DE ENVASADO FAMILIAR Y PRB")</f>
        <v>LINEA DE ENVASADO FAMILIAR Y PRB</v>
      </c>
      <c r="D578" s="5">
        <f ca="1">IFERROR(__xludf.DUMMYFUNCTION("""COMPUTED_VALUE"""),82964402)</f>
        <v>82964402</v>
      </c>
      <c r="E578" s="5" t="str">
        <f ca="1">IFERROR(__xludf.DUMMYFUNCTION("""COMPUTED_VALUE"""),"CODIFICADOR L2")</f>
        <v>CODIFICADOR L2</v>
      </c>
      <c r="F578" s="5">
        <f ca="1">IFERROR(__xludf.DUMMYFUNCTION("""COMPUTED_VALUE"""),46430)</f>
        <v>46430</v>
      </c>
      <c r="G578" s="5" t="str">
        <f ca="1">IFERROR(__xludf.DUMMYFUNCTION("""COMPUTED_VALUE"""),"PLAN MTTO ELE CODIFICADOR L2 82964402")</f>
        <v>PLAN MTTO ELE CODIFICADOR L2 82964402</v>
      </c>
      <c r="H578" s="5">
        <f ca="1">IFERROR(__xludf.DUMMYFUNCTION("""COMPUTED_VALUE"""),13247850)</f>
        <v>13247850</v>
      </c>
      <c r="I578" s="5" t="str">
        <f ca="1">IFERROR(__xludf.DUMMYFUNCTION("""COMPUTED_VALUE"""),"Revision electrovalvula de adicion")</f>
        <v>Revision electrovalvula de adicion</v>
      </c>
      <c r="J578" s="5" t="str">
        <f ca="1">IFERROR(__xludf.DUMMYFUNCTION("""COMPUTED_VALUE"""),"ALTO")</f>
        <v>ALTO</v>
      </c>
      <c r="K578" s="5" t="str">
        <f ca="1">IFERROR(__xludf.DUMMYFUNCTION("""COMPUTED_VALUE"""),"Preventivo")</f>
        <v>Preventivo</v>
      </c>
      <c r="L578" s="5" t="str">
        <f ca="1">IFERROR(__xludf.DUMMYFUNCTION("""COMPUTED_VALUE"""),"Maquinaria")</f>
        <v>Maquinaria</v>
      </c>
      <c r="M578" s="5" t="str">
        <f ca="1">IFERROR(__xludf.DUMMYFUNCTION("""COMPUTED_VALUE"""),"No")</f>
        <v>No</v>
      </c>
      <c r="N578" s="5"/>
      <c r="O578" s="5"/>
      <c r="P578" s="18">
        <f ca="1">IFERROR(__xludf.DUMMYFUNCTION("""COMPUTED_VALUE"""),45331)</f>
        <v>45331</v>
      </c>
      <c r="Q578" s="18">
        <f ca="1">IFERROR(__xludf.DUMMYFUNCTION("""COMPUTED_VALUE"""),45331)</f>
        <v>45331</v>
      </c>
      <c r="R578" s="18"/>
      <c r="S578" s="5">
        <f ca="1">IFERROR(__xludf.DUMMYFUNCTION("""COMPUTED_VALUE"""),0.5)</f>
        <v>0.5</v>
      </c>
      <c r="T578" s="5"/>
      <c r="U578" s="5" t="str">
        <f ca="1">IFERROR(__xludf.DUMMYFUNCTION("""COMPUTED_VALUE"""),"Andrés Felipe Pérez Polania")</f>
        <v>Andrés Felipe Pérez Polania</v>
      </c>
      <c r="V578" s="5"/>
      <c r="W578" s="5" t="str">
        <f ca="1">IFERROR(__xludf.DUMMYFUNCTION("""COMPUTED_VALUE"""),"34iGLCEu7Bw")</f>
        <v>34iGLCEu7Bw</v>
      </c>
      <c r="X578" s="5">
        <f ca="1">IFERROR(__xludf.DUMMYFUNCTION("""COMPUTED_VALUE"""),0.5)</f>
        <v>0.5</v>
      </c>
      <c r="Z578" s="3">
        <f ca="1">IFERROR(VLOOKUP(U578, 'Base de datos'!A:B, 2, FALSE), "")</f>
        <v>573186924079</v>
      </c>
      <c r="AA578" s="4" t="e">
        <f t="shared" ca="1" si="5"/>
        <v>#NAME?</v>
      </c>
    </row>
    <row r="579" spans="1:27" ht="15.75" customHeight="1">
      <c r="A579" s="5" t="str">
        <f ca="1">IFERROR(__xludf.DUMMYFUNCTION("""COMPUTED_VALUE"""),"POSTOBÓN YUMBO")</f>
        <v>POSTOBÓN YUMBO</v>
      </c>
      <c r="B579" s="5" t="str">
        <f ca="1">IFERROR(__xludf.DUMMYFUNCTION("""COMPUTED_VALUE"""),"0410-ENVASADO JUGOS PET HOT F")</f>
        <v>0410-ENVASADO JUGOS PET HOT F</v>
      </c>
      <c r="C579" s="5" t="str">
        <f ca="1">IFERROR(__xludf.DUMMYFUNCTION("""COMPUTED_VALUE"""),"LINEA DE ENVASADO JUGOS PET HOT FILL")</f>
        <v>LINEA DE ENVASADO JUGOS PET HOT FILL</v>
      </c>
      <c r="D579" s="5">
        <f ca="1">IFERROR(__xludf.DUMMYFUNCTION("""COMPUTED_VALUE"""),829659)</f>
        <v>829659</v>
      </c>
      <c r="E579" s="5" t="str">
        <f ca="1">IFERROR(__xludf.DUMMYFUNCTION("""COMPUTED_VALUE"""),"TRANSPORTADOR")</f>
        <v>TRANSPORTADOR</v>
      </c>
      <c r="F579" s="5">
        <f ca="1">IFERROR(__xludf.DUMMYFUNCTION("""COMPUTED_VALUE"""),22585)</f>
        <v>22585</v>
      </c>
      <c r="G579" s="5" t="str">
        <f ca="1">IFERROR(__xludf.DUMMYFUNCTION("""COMPUTED_VALUE"""),"PLAN MTTO LUB TRANSP LLENA-ETIQ 829659")</f>
        <v>PLAN MTTO LUB TRANSP LLENA-ETIQ 829659</v>
      </c>
      <c r="H579" s="5">
        <f ca="1">IFERROR(__xludf.DUMMYFUNCTION("""COMPUTED_VALUE"""),13247212)</f>
        <v>13247212</v>
      </c>
      <c r="I579" s="5" t="str">
        <f ca="1">IFERROR(__xludf.DUMMYFUNCTION("""COMPUTED_VALUE"""),"Lubricar chumaceras")</f>
        <v>Lubricar chumaceras</v>
      </c>
      <c r="J579" s="5" t="str">
        <f ca="1">IFERROR(__xludf.DUMMYFUNCTION("""COMPUTED_VALUE"""),"MEDIO")</f>
        <v>MEDIO</v>
      </c>
      <c r="K579" s="5" t="str">
        <f ca="1">IFERROR(__xludf.DUMMYFUNCTION("""COMPUTED_VALUE"""),"Preventivo")</f>
        <v>Preventivo</v>
      </c>
      <c r="L579" s="5" t="str">
        <f ca="1">IFERROR(__xludf.DUMMYFUNCTION("""COMPUTED_VALUE"""),"Maquinaria")</f>
        <v>Maquinaria</v>
      </c>
      <c r="M579" s="5" t="str">
        <f ca="1">IFERROR(__xludf.DUMMYFUNCTION("""COMPUTED_VALUE"""),"No")</f>
        <v>No</v>
      </c>
      <c r="N579" s="5"/>
      <c r="O579" s="5"/>
      <c r="P579" s="18">
        <f ca="1">IFERROR(__xludf.DUMMYFUNCTION("""COMPUTED_VALUE"""),45331)</f>
        <v>45331</v>
      </c>
      <c r="Q579" s="18">
        <f ca="1">IFERROR(__xludf.DUMMYFUNCTION("""COMPUTED_VALUE"""),45331)</f>
        <v>45331</v>
      </c>
      <c r="R579" s="18"/>
      <c r="S579" s="5">
        <f ca="1">IFERROR(__xludf.DUMMYFUNCTION("""COMPUTED_VALUE"""),0.5)</f>
        <v>0.5</v>
      </c>
      <c r="T579" s="5"/>
      <c r="U579" s="5" t="str">
        <f ca="1">IFERROR(__xludf.DUMMYFUNCTION("""COMPUTED_VALUE"""),"Vanegas Guependo Hermes")</f>
        <v>Vanegas Guependo Hermes</v>
      </c>
      <c r="V579" s="5"/>
      <c r="W579" s="5" t="str">
        <f ca="1">IFERROR(__xludf.DUMMYFUNCTION("""COMPUTED_VALUE"""),"sSNelpdxGKg")</f>
        <v>sSNelpdxGKg</v>
      </c>
      <c r="X579" s="5">
        <f ca="1">IFERROR(__xludf.DUMMYFUNCTION("""COMPUTED_VALUE"""),0.5)</f>
        <v>0.5</v>
      </c>
      <c r="Z579" s="3">
        <f ca="1">IFERROR(VLOOKUP(U579, 'Base de datos'!A:B, 2, FALSE), "")</f>
        <v>573136290785</v>
      </c>
      <c r="AA579" s="4" t="e">
        <f t="shared" ca="1" si="5"/>
        <v>#NAME?</v>
      </c>
    </row>
    <row r="580" spans="1:27" ht="15.75" customHeight="1">
      <c r="A580" s="5" t="str">
        <f ca="1">IFERROR(__xludf.DUMMYFUNCTION("""COMPUTED_VALUE"""),"POSTOBÓN YUMBO")</f>
        <v>POSTOBÓN YUMBO</v>
      </c>
      <c r="B580" s="5" t="str">
        <f ca="1">IFERROR(__xludf.DUMMYFUNCTION("""COMPUTED_VALUE"""),"0410-LINEA 2")</f>
        <v>0410-LINEA 2</v>
      </c>
      <c r="C580" s="5" t="str">
        <f ca="1">IFERROR(__xludf.DUMMYFUNCTION("""COMPUTED_VALUE"""),"LINEA DE ENVASADO FAMILIAR Y PRB")</f>
        <v>LINEA DE ENVASADO FAMILIAR Y PRB</v>
      </c>
      <c r="D580" s="5">
        <f ca="1">IFERROR(__xludf.DUMMYFUNCTION("""COMPUTED_VALUE"""),82964402)</f>
        <v>82964402</v>
      </c>
      <c r="E580" s="5" t="str">
        <f ca="1">IFERROR(__xludf.DUMMYFUNCTION("""COMPUTED_VALUE"""),"CODIFICADOR L2")</f>
        <v>CODIFICADOR L2</v>
      </c>
      <c r="F580" s="5">
        <f ca="1">IFERROR(__xludf.DUMMYFUNCTION("""COMPUTED_VALUE"""),46430)</f>
        <v>46430</v>
      </c>
      <c r="G580" s="5" t="str">
        <f ca="1">IFERROR(__xludf.DUMMYFUNCTION("""COMPUTED_VALUE"""),"PLAN MTTO ELE CODIFICADOR L2 82964402")</f>
        <v>PLAN MTTO ELE CODIFICADOR L2 82964402</v>
      </c>
      <c r="H580" s="5">
        <f ca="1">IFERROR(__xludf.DUMMYFUNCTION("""COMPUTED_VALUE"""),13247850)</f>
        <v>13247850</v>
      </c>
      <c r="I580" s="5" t="str">
        <f ca="1">IFERROR(__xludf.DUMMYFUNCTION("""COMPUTED_VALUE"""),"Revision bomba manejo de tinta")</f>
        <v>Revision bomba manejo de tinta</v>
      </c>
      <c r="J580" s="5" t="str">
        <f ca="1">IFERROR(__xludf.DUMMYFUNCTION("""COMPUTED_VALUE"""),"ALTO")</f>
        <v>ALTO</v>
      </c>
      <c r="K580" s="5" t="str">
        <f ca="1">IFERROR(__xludf.DUMMYFUNCTION("""COMPUTED_VALUE"""),"Preventivo")</f>
        <v>Preventivo</v>
      </c>
      <c r="L580" s="5" t="str">
        <f ca="1">IFERROR(__xludf.DUMMYFUNCTION("""COMPUTED_VALUE"""),"Maquinaria")</f>
        <v>Maquinaria</v>
      </c>
      <c r="M580" s="5" t="str">
        <f ca="1">IFERROR(__xludf.DUMMYFUNCTION("""COMPUTED_VALUE"""),"No")</f>
        <v>No</v>
      </c>
      <c r="N580" s="5"/>
      <c r="O580" s="5"/>
      <c r="P580" s="18">
        <f ca="1">IFERROR(__xludf.DUMMYFUNCTION("""COMPUTED_VALUE"""),45331)</f>
        <v>45331</v>
      </c>
      <c r="Q580" s="18">
        <f ca="1">IFERROR(__xludf.DUMMYFUNCTION("""COMPUTED_VALUE"""),45331)</f>
        <v>45331</v>
      </c>
      <c r="R580" s="18"/>
      <c r="S580" s="5">
        <f ca="1">IFERROR(__xludf.DUMMYFUNCTION("""COMPUTED_VALUE"""),0.5)</f>
        <v>0.5</v>
      </c>
      <c r="T580" s="5"/>
      <c r="U580" s="5" t="str">
        <f ca="1">IFERROR(__xludf.DUMMYFUNCTION("""COMPUTED_VALUE"""),"Andrés Felipe Pérez Polania")</f>
        <v>Andrés Felipe Pérez Polania</v>
      </c>
      <c r="V580" s="5"/>
      <c r="W580" s="5" t="str">
        <f ca="1">IFERROR(__xludf.DUMMYFUNCTION("""COMPUTED_VALUE"""),"txmmIyldayk")</f>
        <v>txmmIyldayk</v>
      </c>
      <c r="X580" s="5">
        <f ca="1">IFERROR(__xludf.DUMMYFUNCTION("""COMPUTED_VALUE"""),0.5)</f>
        <v>0.5</v>
      </c>
      <c r="Z580" s="3">
        <f ca="1">IFERROR(VLOOKUP(U580, 'Base de datos'!A:B, 2, FALSE), "")</f>
        <v>573186924079</v>
      </c>
      <c r="AA580" s="4" t="e">
        <f t="shared" ca="1" si="5"/>
        <v>#NAME?</v>
      </c>
    </row>
    <row r="581" spans="1:27" ht="15.75" customHeight="1">
      <c r="A581" s="5" t="str">
        <f ca="1">IFERROR(__xludf.DUMMYFUNCTION("""COMPUTED_VALUE"""),"POSTOBÓN YUMBO")</f>
        <v>POSTOBÓN YUMBO</v>
      </c>
      <c r="B581" s="5" t="str">
        <f ca="1">IFERROR(__xludf.DUMMYFUNCTION("""COMPUTED_VALUE"""),"0410-LINEA 3")</f>
        <v>0410-LINEA 3</v>
      </c>
      <c r="C581" s="5" t="str">
        <f ca="1">IFERROR(__xludf.DUMMYFUNCTION("""COMPUTED_VALUE"""),"LINEA DE ENVASADO TAMAÑO PERSONAL")</f>
        <v>LINEA DE ENVASADO TAMAÑO PERSONAL</v>
      </c>
      <c r="D581" s="5">
        <f ca="1">IFERROR(__xludf.DUMMYFUNCTION("""COMPUTED_VALUE"""),828592)</f>
        <v>828592</v>
      </c>
      <c r="E581" s="5" t="str">
        <f ca="1">IFERROR(__xludf.DUMMYFUNCTION("""COMPUTED_VALUE"""),"LLENADORA")</f>
        <v>LLENADORA</v>
      </c>
      <c r="F581" s="5">
        <f ca="1">IFERROR(__xludf.DUMMYFUNCTION("""COMPUTED_VALUE"""),5821)</f>
        <v>5821</v>
      </c>
      <c r="G581" s="5" t="str">
        <f ca="1">IFERROR(__xludf.DUMMYFUNCTION("""COMPUTED_VALUE"""),"Mantto Elect sist manejo botella Llenad")</f>
        <v>Mantto Elect sist manejo botella Llenad</v>
      </c>
      <c r="H581" s="5">
        <f ca="1">IFERROR(__xludf.DUMMYFUNCTION("""COMPUTED_VALUE"""),13247119)</f>
        <v>13247119</v>
      </c>
      <c r="I581" s="5" t="str">
        <f ca="1">IFERROR(__xludf.DUMMYFUNCTION("""COMPUTED_VALUE"""),"Revision Ajuste de Correas.Estado Poleas")</f>
        <v>Revision Ajuste de Correas.Estado Poleas</v>
      </c>
      <c r="J581" s="5" t="str">
        <f ca="1">IFERROR(__xludf.DUMMYFUNCTION("""COMPUTED_VALUE"""),"ALTO")</f>
        <v>ALTO</v>
      </c>
      <c r="K581" s="5" t="str">
        <f ca="1">IFERROR(__xludf.DUMMYFUNCTION("""COMPUTED_VALUE"""),"Preventivo")</f>
        <v>Preventivo</v>
      </c>
      <c r="L581" s="5" t="str">
        <f ca="1">IFERROR(__xludf.DUMMYFUNCTION("""COMPUTED_VALUE"""),"Maquinaria")</f>
        <v>Maquinaria</v>
      </c>
      <c r="M581" s="5" t="str">
        <f ca="1">IFERROR(__xludf.DUMMYFUNCTION("""COMPUTED_VALUE"""),"No")</f>
        <v>No</v>
      </c>
      <c r="N581" s="5"/>
      <c r="O581" s="5"/>
      <c r="P581" s="18">
        <f ca="1">IFERROR(__xludf.DUMMYFUNCTION("""COMPUTED_VALUE"""),45324)</f>
        <v>45324</v>
      </c>
      <c r="Q581" s="18">
        <f ca="1">IFERROR(__xludf.DUMMYFUNCTION("""COMPUTED_VALUE"""),45324)</f>
        <v>45324</v>
      </c>
      <c r="R581" s="18"/>
      <c r="S581" s="5">
        <f ca="1">IFERROR(__xludf.DUMMYFUNCTION("""COMPUTED_VALUE"""),0.5)</f>
        <v>0.5</v>
      </c>
      <c r="T581" s="5"/>
      <c r="U581" s="5" t="str">
        <f ca="1">IFERROR(__xludf.DUMMYFUNCTION("""COMPUTED_VALUE"""),"Jimenez Jhon")</f>
        <v>Jimenez Jhon</v>
      </c>
      <c r="V581" s="5"/>
      <c r="W581" s="5" t="str">
        <f ca="1">IFERROR(__xludf.DUMMYFUNCTION("""COMPUTED_VALUE"""),"05Kie48D6bw")</f>
        <v>05Kie48D6bw</v>
      </c>
      <c r="X581" s="5">
        <f ca="1">IFERROR(__xludf.DUMMYFUNCTION("""COMPUTED_VALUE"""),0.5)</f>
        <v>0.5</v>
      </c>
      <c r="Z581" s="3">
        <f ca="1">IFERROR(VLOOKUP(U581, 'Base de datos'!A:B, 2, FALSE), "")</f>
        <v>573147637946</v>
      </c>
      <c r="AA581" s="4" t="e">
        <f t="shared" ca="1" si="5"/>
        <v>#NAME?</v>
      </c>
    </row>
    <row r="582" spans="1:27" ht="15.75" customHeight="1">
      <c r="A582" s="5" t="str">
        <f ca="1">IFERROR(__xludf.DUMMYFUNCTION("""COMPUTED_VALUE"""),"POSTOBÓN YUMBO")</f>
        <v>POSTOBÓN YUMBO</v>
      </c>
      <c r="B582" s="5" t="str">
        <f ca="1">IFERROR(__xludf.DUMMYFUNCTION("""COMPUTED_VALUE"""),"0410-LINEA 3")</f>
        <v>0410-LINEA 3</v>
      </c>
      <c r="C582" s="5" t="str">
        <f ca="1">IFERROR(__xludf.DUMMYFUNCTION("""COMPUTED_VALUE"""),"LINEA DE ENVASADO TAMAÑO PERSONAL")</f>
        <v>LINEA DE ENVASADO TAMAÑO PERSONAL</v>
      </c>
      <c r="D582" s="5">
        <f ca="1">IFERROR(__xludf.DUMMYFUNCTION("""COMPUTED_VALUE"""),828592)</f>
        <v>828592</v>
      </c>
      <c r="E582" s="5" t="str">
        <f ca="1">IFERROR(__xludf.DUMMYFUNCTION("""COMPUTED_VALUE"""),"LLENADORA")</f>
        <v>LLENADORA</v>
      </c>
      <c r="F582" s="5">
        <f ca="1">IFERROR(__xludf.DUMMYFUNCTION("""COMPUTED_VALUE"""),5821)</f>
        <v>5821</v>
      </c>
      <c r="G582" s="5" t="str">
        <f ca="1">IFERROR(__xludf.DUMMYFUNCTION("""COMPUTED_VALUE"""),"LUBRICACION SISTEMA LLENADO Y CORONADOLU")</f>
        <v>LUBRICACION SISTEMA LLENADO Y CORONADOLU</v>
      </c>
      <c r="H582" s="5">
        <f ca="1">IFERROR(__xludf.DUMMYFUNCTION("""COMPUTED_VALUE"""),13247123)</f>
        <v>13247123</v>
      </c>
      <c r="I582" s="5" t="str">
        <f ca="1">IFERROR(__xludf.DUMMYFUNCTION("""COMPUTED_VALUE"""),"LUBRICACION ARBOL CENTRAL LLENADORA")</f>
        <v>LUBRICACION ARBOL CENTRAL LLENADORA</v>
      </c>
      <c r="J582" s="5" t="str">
        <f ca="1">IFERROR(__xludf.DUMMYFUNCTION("""COMPUTED_VALUE"""),"ALTO")</f>
        <v>ALTO</v>
      </c>
      <c r="K582" s="5" t="str">
        <f ca="1">IFERROR(__xludf.DUMMYFUNCTION("""COMPUTED_VALUE"""),"Preventivo")</f>
        <v>Preventivo</v>
      </c>
      <c r="L582" s="5" t="str">
        <f ca="1">IFERROR(__xludf.DUMMYFUNCTION("""COMPUTED_VALUE"""),"Maquinaria")</f>
        <v>Maquinaria</v>
      </c>
      <c r="M582" s="5" t="str">
        <f ca="1">IFERROR(__xludf.DUMMYFUNCTION("""COMPUTED_VALUE"""),"No")</f>
        <v>No</v>
      </c>
      <c r="N582" s="5"/>
      <c r="O582" s="5"/>
      <c r="P582" s="18">
        <f ca="1">IFERROR(__xludf.DUMMYFUNCTION("""COMPUTED_VALUE"""),45324)</f>
        <v>45324</v>
      </c>
      <c r="Q582" s="18">
        <f ca="1">IFERROR(__xludf.DUMMYFUNCTION("""COMPUTED_VALUE"""),45324)</f>
        <v>45324</v>
      </c>
      <c r="R582" s="18"/>
      <c r="S582" s="5">
        <f ca="1">IFERROR(__xludf.DUMMYFUNCTION("""COMPUTED_VALUE"""),0.5)</f>
        <v>0.5</v>
      </c>
      <c r="T582" s="5"/>
      <c r="U582" s="5" t="str">
        <f ca="1">IFERROR(__xludf.DUMMYFUNCTION("""COMPUTED_VALUE"""),"Jimenez Jhon")</f>
        <v>Jimenez Jhon</v>
      </c>
      <c r="V582" s="5"/>
      <c r="W582" s="5" t="str">
        <f ca="1">IFERROR(__xludf.DUMMYFUNCTION("""COMPUTED_VALUE"""),"LO2gwpNu5bU")</f>
        <v>LO2gwpNu5bU</v>
      </c>
      <c r="X582" s="5">
        <f ca="1">IFERROR(__xludf.DUMMYFUNCTION("""COMPUTED_VALUE"""),0.5)</f>
        <v>0.5</v>
      </c>
      <c r="Z582" s="3">
        <f ca="1">IFERROR(VLOOKUP(U582, 'Base de datos'!A:B, 2, FALSE), "")</f>
        <v>573147637946</v>
      </c>
      <c r="AA582" s="4" t="e">
        <f t="shared" ca="1" si="5"/>
        <v>#NAME?</v>
      </c>
    </row>
    <row r="583" spans="1:27" ht="15.75" customHeight="1">
      <c r="A583" s="5" t="str">
        <f ca="1">IFERROR(__xludf.DUMMYFUNCTION("""COMPUTED_VALUE"""),"POSTOBÓN YUMBO")</f>
        <v>POSTOBÓN YUMBO</v>
      </c>
      <c r="B583" s="5" t="str">
        <f ca="1">IFERROR(__xludf.DUMMYFUNCTION("""COMPUTED_VALUE"""),"0410-EQUIPOS AUXILIARES")</f>
        <v>0410-EQUIPOS AUXILIARES</v>
      </c>
      <c r="C583" s="5" t="str">
        <f ca="1">IFERROR(__xludf.DUMMYFUNCTION("""COMPUTED_VALUE"""),"EQUIPOS PARA SERVICIOS INDUSTRIALES")</f>
        <v>EQUIPOS PARA SERVICIOS INDUSTRIALES</v>
      </c>
      <c r="D583" s="5">
        <f ca="1">IFERROR(__xludf.DUMMYFUNCTION("""COMPUTED_VALUE"""),628832)</f>
        <v>628832</v>
      </c>
      <c r="E583" s="5" t="str">
        <f ca="1">IFERROR(__xludf.DUMMYFUNCTION("""COMPUTED_VALUE"""),"COMPRESOR DE REFRIGERACION")</f>
        <v>COMPRESOR DE REFRIGERACION</v>
      </c>
      <c r="F583" s="5">
        <f ca="1">IFERROR(__xludf.DUMMYFUNCTION("""COMPUTED_VALUE"""),21695)</f>
        <v>21695</v>
      </c>
      <c r="G583" s="5" t="str">
        <f ca="1">IFERROR(__xludf.DUMMYFUNCTION("""COMPUTED_VALUE"""),"PLAN DE MTTO MEC COMPRESOR REFRIG 1")</f>
        <v>PLAN DE MTTO MEC COMPRESOR REFRIG 1</v>
      </c>
      <c r="H583" s="5">
        <f ca="1">IFERROR(__xludf.DUMMYFUNCTION("""COMPUTED_VALUE"""),13193538)</f>
        <v>13193538</v>
      </c>
      <c r="I583" s="5" t="str">
        <f ca="1">IFERROR(__xludf.DUMMYFUNCTION("""COMPUTED_VALUE"""),"Desincrustar compresor")</f>
        <v>Desincrustar compresor</v>
      </c>
      <c r="J583" s="5" t="str">
        <f ca="1">IFERROR(__xludf.DUMMYFUNCTION("""COMPUTED_VALUE"""),"MEDIO")</f>
        <v>MEDIO</v>
      </c>
      <c r="K583" s="5" t="str">
        <f ca="1">IFERROR(__xludf.DUMMYFUNCTION("""COMPUTED_VALUE"""),"Preventivo")</f>
        <v>Preventivo</v>
      </c>
      <c r="L583" s="5" t="str">
        <f ca="1">IFERROR(__xludf.DUMMYFUNCTION("""COMPUTED_VALUE"""),"Maquinaria")</f>
        <v>Maquinaria</v>
      </c>
      <c r="M583" s="5" t="str">
        <f ca="1">IFERROR(__xludf.DUMMYFUNCTION("""COMPUTED_VALUE"""),"No")</f>
        <v>No</v>
      </c>
      <c r="N583" s="5"/>
      <c r="O583" s="5"/>
      <c r="P583" s="18">
        <f ca="1">IFERROR(__xludf.DUMMYFUNCTION("""COMPUTED_VALUE"""),45326)</f>
        <v>45326</v>
      </c>
      <c r="Q583" s="18">
        <f ca="1">IFERROR(__xludf.DUMMYFUNCTION("""COMPUTED_VALUE"""),45326)</f>
        <v>45326</v>
      </c>
      <c r="R583" s="18"/>
      <c r="S583" s="5">
        <f ca="1">IFERROR(__xludf.DUMMYFUNCTION("""COMPUTED_VALUE"""),2)</f>
        <v>2</v>
      </c>
      <c r="T583" s="5"/>
      <c r="U583" s="5" t="str">
        <f ca="1">IFERROR(__xludf.DUMMYFUNCTION("""COMPUTED_VALUE"""),"MUÑOZ VALENCIA JEFFERSON")</f>
        <v>MUÑOZ VALENCIA JEFFERSON</v>
      </c>
      <c r="V583" s="5"/>
      <c r="W583" s="5" t="str">
        <f ca="1">IFERROR(__xludf.DUMMYFUNCTION("""COMPUTED_VALUE"""),"73_jvviCIg4")</f>
        <v>73_jvviCIg4</v>
      </c>
      <c r="X583" s="5">
        <f ca="1">IFERROR(__xludf.DUMMYFUNCTION("""COMPUTED_VALUE"""),2)</f>
        <v>2</v>
      </c>
      <c r="Z583" s="3">
        <f ca="1">IFERROR(VLOOKUP(U583, 'Base de datos'!A:B, 2, FALSE), "")</f>
        <v>573122261803</v>
      </c>
      <c r="AA583" s="4" t="e">
        <f t="shared" ca="1" si="5"/>
        <v>#NAME?</v>
      </c>
    </row>
    <row r="584" spans="1:27" ht="15.75" customHeight="1">
      <c r="A584" s="5" t="str">
        <f ca="1">IFERROR(__xludf.DUMMYFUNCTION("""COMPUTED_VALUE"""),"POSTOBÓN YUMBO")</f>
        <v>POSTOBÓN YUMBO</v>
      </c>
      <c r="B584" s="5" t="str">
        <f ca="1">IFERROR(__xludf.DUMMYFUNCTION("""COMPUTED_VALUE"""),"0410-LINEA 3")</f>
        <v>0410-LINEA 3</v>
      </c>
      <c r="C584" s="5" t="str">
        <f ca="1">IFERROR(__xludf.DUMMYFUNCTION("""COMPUTED_VALUE"""),"LINEA DE ENVASADO TAMAÑO PERSONAL")</f>
        <v>LINEA DE ENVASADO TAMAÑO PERSONAL</v>
      </c>
      <c r="D584" s="5">
        <f ca="1">IFERROR(__xludf.DUMMYFUNCTION("""COMPUTED_VALUE"""),828592)</f>
        <v>828592</v>
      </c>
      <c r="E584" s="5" t="str">
        <f ca="1">IFERROR(__xludf.DUMMYFUNCTION("""COMPUTED_VALUE"""),"LLENADORA")</f>
        <v>LLENADORA</v>
      </c>
      <c r="F584" s="5">
        <f ca="1">IFERROR(__xludf.DUMMYFUNCTION("""COMPUTED_VALUE"""),5821)</f>
        <v>5821</v>
      </c>
      <c r="G584" s="5" t="str">
        <f ca="1">IFERROR(__xludf.DUMMYFUNCTION("""COMPUTED_VALUE"""),"Mantto Elect sist manejo botella Llenad")</f>
        <v>Mantto Elect sist manejo botella Llenad</v>
      </c>
      <c r="H584" s="5">
        <f ca="1">IFERROR(__xludf.DUMMYFUNCTION("""COMPUTED_VALUE"""),13247118)</f>
        <v>13247118</v>
      </c>
      <c r="I584" s="5" t="str">
        <f ca="1">IFERROR(__xludf.DUMMYFUNCTION("""COMPUTED_VALUE"""),"mantnto electrovalvula duchas de agua.")</f>
        <v>mantnto electrovalvula duchas de agua.</v>
      </c>
      <c r="J584" s="5" t="str">
        <f ca="1">IFERROR(__xludf.DUMMYFUNCTION("""COMPUTED_VALUE"""),"ALTO")</f>
        <v>ALTO</v>
      </c>
      <c r="K584" s="5" t="str">
        <f ca="1">IFERROR(__xludf.DUMMYFUNCTION("""COMPUTED_VALUE"""),"Preventivo")</f>
        <v>Preventivo</v>
      </c>
      <c r="L584" s="5" t="str">
        <f ca="1">IFERROR(__xludf.DUMMYFUNCTION("""COMPUTED_VALUE"""),"Maquinaria")</f>
        <v>Maquinaria</v>
      </c>
      <c r="M584" s="5" t="str">
        <f ca="1">IFERROR(__xludf.DUMMYFUNCTION("""COMPUTED_VALUE"""),"No")</f>
        <v>No</v>
      </c>
      <c r="N584" s="5"/>
      <c r="O584" s="5"/>
      <c r="P584" s="18">
        <f ca="1">IFERROR(__xludf.DUMMYFUNCTION("""COMPUTED_VALUE"""),45324)</f>
        <v>45324</v>
      </c>
      <c r="Q584" s="18">
        <f ca="1">IFERROR(__xludf.DUMMYFUNCTION("""COMPUTED_VALUE"""),45324)</f>
        <v>45324</v>
      </c>
      <c r="R584" s="18"/>
      <c r="S584" s="5">
        <f ca="1">IFERROR(__xludf.DUMMYFUNCTION("""COMPUTED_VALUE"""),0.5)</f>
        <v>0.5</v>
      </c>
      <c r="T584" s="5"/>
      <c r="U584" s="5" t="str">
        <f ca="1">IFERROR(__xludf.DUMMYFUNCTION("""COMPUTED_VALUE"""),"Jimenez Jhon")</f>
        <v>Jimenez Jhon</v>
      </c>
      <c r="V584" s="5"/>
      <c r="W584" s="5" t="str">
        <f ca="1">IFERROR(__xludf.DUMMYFUNCTION("""COMPUTED_VALUE"""),"5Zvc07VVH5o")</f>
        <v>5Zvc07VVH5o</v>
      </c>
      <c r="X584" s="5">
        <f ca="1">IFERROR(__xludf.DUMMYFUNCTION("""COMPUTED_VALUE"""),0.5)</f>
        <v>0.5</v>
      </c>
      <c r="Z584" s="3">
        <f ca="1">IFERROR(VLOOKUP(U584, 'Base de datos'!A:B, 2, FALSE), "")</f>
        <v>573147637946</v>
      </c>
      <c r="AA584" s="4" t="e">
        <f t="shared" ca="1" si="5"/>
        <v>#NAME?</v>
      </c>
    </row>
    <row r="585" spans="1:27" ht="15.75" customHeight="1">
      <c r="A585" s="5" t="str">
        <f ca="1">IFERROR(__xludf.DUMMYFUNCTION("""COMPUTED_VALUE"""),"POSTOBÓN YUMBO")</f>
        <v>POSTOBÓN YUMBO</v>
      </c>
      <c r="B585" s="5" t="str">
        <f ca="1">IFERROR(__xludf.DUMMYFUNCTION("""COMPUTED_VALUE"""),"0410-LINEA 3")</f>
        <v>0410-LINEA 3</v>
      </c>
      <c r="C585" s="5" t="str">
        <f ca="1">IFERROR(__xludf.DUMMYFUNCTION("""COMPUTED_VALUE"""),"LINEA DE ENVASADO TAMAÑO PERSONAL")</f>
        <v>LINEA DE ENVASADO TAMAÑO PERSONAL</v>
      </c>
      <c r="D585" s="5">
        <f ca="1">IFERROR(__xludf.DUMMYFUNCTION("""COMPUTED_VALUE"""),828592)</f>
        <v>828592</v>
      </c>
      <c r="E585" s="5" t="str">
        <f ca="1">IFERROR(__xludf.DUMMYFUNCTION("""COMPUTED_VALUE"""),"LLENADORA")</f>
        <v>LLENADORA</v>
      </c>
      <c r="F585" s="5">
        <f ca="1">IFERROR(__xludf.DUMMYFUNCTION("""COMPUTED_VALUE"""),5821)</f>
        <v>5821</v>
      </c>
      <c r="G585" s="5" t="str">
        <f ca="1">IFERROR(__xludf.DUMMYFUNCTION("""COMPUTED_VALUE"""),"Mantto Elect sist manejo botella Llenad")</f>
        <v>Mantto Elect sist manejo botella Llenad</v>
      </c>
      <c r="H585" s="5">
        <f ca="1">IFERROR(__xludf.DUMMYFUNCTION("""COMPUTED_VALUE"""),13247118)</f>
        <v>13247118</v>
      </c>
      <c r="I585" s="5" t="str">
        <f ca="1">IFERROR(__xludf.DUMMYFUNCTION("""COMPUTED_VALUE"""),"mantenimiento sensor de estallido.")</f>
        <v>mantenimiento sensor de estallido.</v>
      </c>
      <c r="J585" s="5" t="str">
        <f ca="1">IFERROR(__xludf.DUMMYFUNCTION("""COMPUTED_VALUE"""),"ALTO")</f>
        <v>ALTO</v>
      </c>
      <c r="K585" s="5" t="str">
        <f ca="1">IFERROR(__xludf.DUMMYFUNCTION("""COMPUTED_VALUE"""),"Preventivo")</f>
        <v>Preventivo</v>
      </c>
      <c r="L585" s="5" t="str">
        <f ca="1">IFERROR(__xludf.DUMMYFUNCTION("""COMPUTED_VALUE"""),"Maquinaria")</f>
        <v>Maquinaria</v>
      </c>
      <c r="M585" s="5" t="str">
        <f ca="1">IFERROR(__xludf.DUMMYFUNCTION("""COMPUTED_VALUE"""),"No")</f>
        <v>No</v>
      </c>
      <c r="N585" s="5"/>
      <c r="O585" s="5"/>
      <c r="P585" s="18">
        <f ca="1">IFERROR(__xludf.DUMMYFUNCTION("""COMPUTED_VALUE"""),45324)</f>
        <v>45324</v>
      </c>
      <c r="Q585" s="18">
        <f ca="1">IFERROR(__xludf.DUMMYFUNCTION("""COMPUTED_VALUE"""),45324)</f>
        <v>45324</v>
      </c>
      <c r="R585" s="18"/>
      <c r="S585" s="5">
        <f ca="1">IFERROR(__xludf.DUMMYFUNCTION("""COMPUTED_VALUE"""),0.5)</f>
        <v>0.5</v>
      </c>
      <c r="T585" s="5"/>
      <c r="U585" s="5" t="str">
        <f ca="1">IFERROR(__xludf.DUMMYFUNCTION("""COMPUTED_VALUE"""),"Jimenez Jhon")</f>
        <v>Jimenez Jhon</v>
      </c>
      <c r="V585" s="5"/>
      <c r="W585" s="5" t="str">
        <f ca="1">IFERROR(__xludf.DUMMYFUNCTION("""COMPUTED_VALUE"""),"fZKNLeAzl1k")</f>
        <v>fZKNLeAzl1k</v>
      </c>
      <c r="X585" s="5">
        <f ca="1">IFERROR(__xludf.DUMMYFUNCTION("""COMPUTED_VALUE"""),0.5)</f>
        <v>0.5</v>
      </c>
      <c r="Z585" s="3">
        <f ca="1">IFERROR(VLOOKUP(U585, 'Base de datos'!A:B, 2, FALSE), "")</f>
        <v>573147637946</v>
      </c>
      <c r="AA585" s="4" t="e">
        <f t="shared" ca="1" si="5"/>
        <v>#NAME?</v>
      </c>
    </row>
    <row r="586" spans="1:27" ht="15.75" customHeight="1">
      <c r="A586" s="5" t="str">
        <f ca="1">IFERROR(__xludf.DUMMYFUNCTION("""COMPUTED_VALUE"""),"POSTOBÓN YUMBO")</f>
        <v>POSTOBÓN YUMBO</v>
      </c>
      <c r="B586" s="5" t="str">
        <f ca="1">IFERROR(__xludf.DUMMYFUNCTION("""COMPUTED_VALUE"""),"0410-LINEA 3")</f>
        <v>0410-LINEA 3</v>
      </c>
      <c r="C586" s="5" t="str">
        <f ca="1">IFERROR(__xludf.DUMMYFUNCTION("""COMPUTED_VALUE"""),"LINEA DE ENVASADO TAMAÑO PERSONAL")</f>
        <v>LINEA DE ENVASADO TAMAÑO PERSONAL</v>
      </c>
      <c r="D586" s="5">
        <f ca="1">IFERROR(__xludf.DUMMYFUNCTION("""COMPUTED_VALUE"""),828592)</f>
        <v>828592</v>
      </c>
      <c r="E586" s="5" t="str">
        <f ca="1">IFERROR(__xludf.DUMMYFUNCTION("""COMPUTED_VALUE"""),"LLENADORA")</f>
        <v>LLENADORA</v>
      </c>
      <c r="F586" s="5">
        <f ca="1">IFERROR(__xludf.DUMMYFUNCTION("""COMPUTED_VALUE"""),5821)</f>
        <v>5821</v>
      </c>
      <c r="G586" s="5" t="str">
        <f ca="1">IFERROR(__xludf.DUMMYFUNCTION("""COMPUTED_VALUE"""),"Mantto Elect sist manejo botella Llenad")</f>
        <v>Mantto Elect sist manejo botella Llenad</v>
      </c>
      <c r="H586" s="5">
        <f ca="1">IFERROR(__xludf.DUMMYFUNCTION("""COMPUTED_VALUE"""),13247119)</f>
        <v>13247119</v>
      </c>
      <c r="I586" s="5" t="str">
        <f ca="1">IFERROR(__xludf.DUMMYFUNCTION("""COMPUTED_VALUE"""),"mantenimiento sensor control velocidad.")</f>
        <v>mantenimiento sensor control velocidad.</v>
      </c>
      <c r="J586" s="5" t="str">
        <f ca="1">IFERROR(__xludf.DUMMYFUNCTION("""COMPUTED_VALUE"""),"ALTO")</f>
        <v>ALTO</v>
      </c>
      <c r="K586" s="5" t="str">
        <f ca="1">IFERROR(__xludf.DUMMYFUNCTION("""COMPUTED_VALUE"""),"Preventivo")</f>
        <v>Preventivo</v>
      </c>
      <c r="L586" s="5" t="str">
        <f ca="1">IFERROR(__xludf.DUMMYFUNCTION("""COMPUTED_VALUE"""),"Maquinaria")</f>
        <v>Maquinaria</v>
      </c>
      <c r="M586" s="5" t="str">
        <f ca="1">IFERROR(__xludf.DUMMYFUNCTION("""COMPUTED_VALUE"""),"No")</f>
        <v>No</v>
      </c>
      <c r="N586" s="5"/>
      <c r="O586" s="5"/>
      <c r="P586" s="18">
        <f ca="1">IFERROR(__xludf.DUMMYFUNCTION("""COMPUTED_VALUE"""),45324)</f>
        <v>45324</v>
      </c>
      <c r="Q586" s="18">
        <f ca="1">IFERROR(__xludf.DUMMYFUNCTION("""COMPUTED_VALUE"""),45324)</f>
        <v>45324</v>
      </c>
      <c r="R586" s="18"/>
      <c r="S586" s="5">
        <f ca="1">IFERROR(__xludf.DUMMYFUNCTION("""COMPUTED_VALUE"""),0.5)</f>
        <v>0.5</v>
      </c>
      <c r="T586" s="5"/>
      <c r="U586" s="5" t="str">
        <f ca="1">IFERROR(__xludf.DUMMYFUNCTION("""COMPUTED_VALUE"""),"Jimenez Jhon")</f>
        <v>Jimenez Jhon</v>
      </c>
      <c r="V586" s="5"/>
      <c r="W586" s="5" t="str">
        <f ca="1">IFERROR(__xludf.DUMMYFUNCTION("""COMPUTED_VALUE"""),"Uhsu7fdjhqs")</f>
        <v>Uhsu7fdjhqs</v>
      </c>
      <c r="X586" s="5">
        <f ca="1">IFERROR(__xludf.DUMMYFUNCTION("""COMPUTED_VALUE"""),0.5)</f>
        <v>0.5</v>
      </c>
      <c r="Z586" s="3">
        <f ca="1">IFERROR(VLOOKUP(U586, 'Base de datos'!A:B, 2, FALSE), "")</f>
        <v>573147637946</v>
      </c>
      <c r="AA586" s="4" t="e">
        <f t="shared" ca="1" si="5"/>
        <v>#NAME?</v>
      </c>
    </row>
    <row r="587" spans="1:27" ht="15.75" customHeight="1">
      <c r="A587" s="5" t="str">
        <f ca="1">IFERROR(__xludf.DUMMYFUNCTION("""COMPUTED_VALUE"""),"POSTOBÓN YUMBO")</f>
        <v>POSTOBÓN YUMBO</v>
      </c>
      <c r="B587" s="5" t="str">
        <f ca="1">IFERROR(__xludf.DUMMYFUNCTION("""COMPUTED_VALUE"""),"0410-LINEA PET CSD")</f>
        <v>0410-LINEA PET CSD</v>
      </c>
      <c r="C587" s="5" t="str">
        <f ca="1">IFERROR(__xludf.DUMMYFUNCTION("""COMPUTED_VALUE"""),"LINEA PET CSD - LINEA 10")</f>
        <v>LINEA PET CSD - LINEA 10</v>
      </c>
      <c r="D587" s="5">
        <f ca="1">IFERROR(__xludf.DUMMYFUNCTION("""COMPUTED_VALUE"""),820082)</f>
        <v>820082</v>
      </c>
      <c r="E587" s="5" t="str">
        <f ca="1">IFERROR(__xludf.DUMMYFUNCTION("""COMPUTED_VALUE"""),"ETIQUETADORA ENVOLVENTE")</f>
        <v>ETIQUETADORA ENVOLVENTE</v>
      </c>
      <c r="F587" s="5">
        <f ca="1">IFERROR(__xludf.DUMMYFUNCTION("""COMPUTED_VALUE"""),25365)</f>
        <v>25365</v>
      </c>
      <c r="G587" s="5" t="str">
        <f ca="1">IFERROR(__xludf.DUMMYFUNCTION("""COMPUTED_VALUE"""),"PLAN MTTO LUB ETIQUETADORA CSD")</f>
        <v>PLAN MTTO LUB ETIQUETADORA CSD</v>
      </c>
      <c r="H587" s="5">
        <f ca="1">IFERROR(__xludf.DUMMYFUNCTION("""COMPUTED_VALUE"""),13232381)</f>
        <v>13232381</v>
      </c>
      <c r="I587" s="5" t="str">
        <f ca="1">IFERROR(__xludf.DUMMYFUNCTION("""COMPUTED_VALUE"""),"Engrasador permanente/")</f>
        <v>Engrasador permanente/</v>
      </c>
      <c r="J587" s="5" t="str">
        <f ca="1">IFERROR(__xludf.DUMMYFUNCTION("""COMPUTED_VALUE"""),"MEDIO")</f>
        <v>MEDIO</v>
      </c>
      <c r="K587" s="5" t="str">
        <f ca="1">IFERROR(__xludf.DUMMYFUNCTION("""COMPUTED_VALUE"""),"Preventivo")</f>
        <v>Preventivo</v>
      </c>
      <c r="L587" s="5" t="str">
        <f ca="1">IFERROR(__xludf.DUMMYFUNCTION("""COMPUTED_VALUE"""),"Maquinaria")</f>
        <v>Maquinaria</v>
      </c>
      <c r="M587" s="5" t="str">
        <f ca="1">IFERROR(__xludf.DUMMYFUNCTION("""COMPUTED_VALUE"""),"No")</f>
        <v>No</v>
      </c>
      <c r="N587" s="5"/>
      <c r="O587" s="5">
        <f ca="1">IFERROR(__xludf.DUMMYFUNCTION("""COMPUTED_VALUE"""),100)</f>
        <v>100</v>
      </c>
      <c r="P587" s="18">
        <f ca="1">IFERROR(__xludf.DUMMYFUNCTION("""COMPUTED_VALUE"""),45328)</f>
        <v>45328</v>
      </c>
      <c r="Q587" s="18">
        <f ca="1">IFERROR(__xludf.DUMMYFUNCTION("""COMPUTED_VALUE"""),45328)</f>
        <v>45328</v>
      </c>
      <c r="R587" s="18"/>
      <c r="S587" s="5">
        <f ca="1">IFERROR(__xludf.DUMMYFUNCTION("""COMPUTED_VALUE"""),1)</f>
        <v>1</v>
      </c>
      <c r="T587" s="5"/>
      <c r="U587" s="5" t="str">
        <f ca="1">IFERROR(__xludf.DUMMYFUNCTION("""COMPUTED_VALUE"""),"Gordillo Victoria Luis Miguel")</f>
        <v>Gordillo Victoria Luis Miguel</v>
      </c>
      <c r="V587" s="5"/>
      <c r="W587" s="5" t="str">
        <f ca="1">IFERROR(__xludf.DUMMYFUNCTION("""COMPUTED_VALUE"""),"cXePjOERtcI")</f>
        <v>cXePjOERtcI</v>
      </c>
      <c r="X587" s="5">
        <f ca="1">IFERROR(__xludf.DUMMYFUNCTION("""COMPUTED_VALUE"""),1)</f>
        <v>1</v>
      </c>
      <c r="Z587" s="3">
        <f ca="1">IFERROR(VLOOKUP(U587, 'Base de datos'!A:B, 2, FALSE), "")</f>
        <v>573023677706</v>
      </c>
      <c r="AA587" s="4" t="e">
        <f t="shared" ca="1" si="5"/>
        <v>#NAME?</v>
      </c>
    </row>
    <row r="588" spans="1:27" ht="15.75" customHeight="1">
      <c r="A588" s="5" t="str">
        <f ca="1">IFERROR(__xludf.DUMMYFUNCTION("""COMPUTED_VALUE"""),"POSTOBÓN YUMBO")</f>
        <v>POSTOBÓN YUMBO</v>
      </c>
      <c r="B588" s="5" t="str">
        <f ca="1">IFERROR(__xludf.DUMMYFUNCTION("""COMPUTED_VALUE"""),"0410-EQUIPOS AUXILIARES")</f>
        <v>0410-EQUIPOS AUXILIARES</v>
      </c>
      <c r="C588" s="5" t="str">
        <f ca="1">IFERROR(__xludf.DUMMYFUNCTION("""COMPUTED_VALUE"""),"EQUIPOS PARA SERVICIOS INDUSTRIALES")</f>
        <v>EQUIPOS PARA SERVICIOS INDUSTRIALES</v>
      </c>
      <c r="D588" s="5">
        <f ca="1">IFERROR(__xludf.DUMMYFUNCTION("""COMPUTED_VALUE"""),659371)</f>
        <v>659371</v>
      </c>
      <c r="E588" s="5" t="str">
        <f ca="1">IFERROR(__xludf.DUMMYFUNCTION("""COMPUTED_VALUE"""),"CALDERA DE 300 BHP")</f>
        <v>CALDERA DE 300 BHP</v>
      </c>
      <c r="F588" s="5">
        <f ca="1">IFERROR(__xludf.DUMMYFUNCTION("""COMPUTED_VALUE"""),21693)</f>
        <v>21693</v>
      </c>
      <c r="G588" s="5" t="str">
        <f ca="1">IFERROR(__xludf.DUMMYFUNCTION("""COMPUTED_VALUE"""),"PLAN DE MTTO ELE CALDERA C#3 A- 1341")</f>
        <v>PLAN DE MTTO ELE CALDERA C#3 A- 1341</v>
      </c>
      <c r="H588" s="5">
        <f ca="1">IFERROR(__xludf.DUMMYFUNCTION("""COMPUTED_VALUE"""),13247184)</f>
        <v>13247184</v>
      </c>
      <c r="I588" s="5" t="str">
        <f ca="1">IFERROR(__xludf.DUMMYFUNCTION("""COMPUTED_VALUE"""),"gabinete de control de la caldera")</f>
        <v>gabinete de control de la caldera</v>
      </c>
      <c r="J588" s="5" t="str">
        <f ca="1">IFERROR(__xludf.DUMMYFUNCTION("""COMPUTED_VALUE"""),"ALTO")</f>
        <v>ALTO</v>
      </c>
      <c r="K588" s="5" t="str">
        <f ca="1">IFERROR(__xludf.DUMMYFUNCTION("""COMPUTED_VALUE"""),"Preventivo")</f>
        <v>Preventivo</v>
      </c>
      <c r="L588" s="5" t="str">
        <f ca="1">IFERROR(__xludf.DUMMYFUNCTION("""COMPUTED_VALUE"""),"Maquinaria")</f>
        <v>Maquinaria</v>
      </c>
      <c r="M588" s="5" t="str">
        <f ca="1">IFERROR(__xludf.DUMMYFUNCTION("""COMPUTED_VALUE"""),"No")</f>
        <v>No</v>
      </c>
      <c r="N588" s="5"/>
      <c r="O588" s="5"/>
      <c r="P588" s="18">
        <f ca="1">IFERROR(__xludf.DUMMYFUNCTION("""COMPUTED_VALUE"""),45339)</f>
        <v>45339</v>
      </c>
      <c r="Q588" s="18">
        <f ca="1">IFERROR(__xludf.DUMMYFUNCTION("""COMPUTED_VALUE"""),45339)</f>
        <v>45339</v>
      </c>
      <c r="R588" s="18"/>
      <c r="S588" s="5">
        <f ca="1">IFERROR(__xludf.DUMMYFUNCTION("""COMPUTED_VALUE"""),3)</f>
        <v>3</v>
      </c>
      <c r="T588" s="5"/>
      <c r="U588" s="5" t="str">
        <f ca="1">IFERROR(__xludf.DUMMYFUNCTION("""COMPUTED_VALUE"""),"Valencia Hector")</f>
        <v>Valencia Hector</v>
      </c>
      <c r="V588" s="5"/>
      <c r="W588" s="5" t="str">
        <f ca="1">IFERROR(__xludf.DUMMYFUNCTION("""COMPUTED_VALUE"""),"31P69QbtIgk")</f>
        <v>31P69QbtIgk</v>
      </c>
      <c r="X588" s="5">
        <f ca="1">IFERROR(__xludf.DUMMYFUNCTION("""COMPUTED_VALUE"""),3)</f>
        <v>3</v>
      </c>
      <c r="Z588" s="3">
        <f ca="1">IFERROR(VLOOKUP(U588, 'Base de datos'!A:B, 2, FALSE), "")</f>
        <v>573108951371</v>
      </c>
      <c r="AA588" s="4" t="e">
        <f t="shared" ca="1" si="5"/>
        <v>#NAME?</v>
      </c>
    </row>
    <row r="589" spans="1:27" ht="15.75" customHeight="1">
      <c r="A589" s="5" t="str">
        <f ca="1">IFERROR(__xludf.DUMMYFUNCTION("""COMPUTED_VALUE"""),"POSTOBÓN YUMBO")</f>
        <v>POSTOBÓN YUMBO</v>
      </c>
      <c r="B589" s="5" t="str">
        <f ca="1">IFERROR(__xludf.DUMMYFUNCTION("""COMPUTED_VALUE"""),"0410-SALA DE JARABE TERMINADO")</f>
        <v>0410-SALA DE JARABE TERMINADO</v>
      </c>
      <c r="C589" s="5" t="str">
        <f ca="1">IFERROR(__xludf.DUMMYFUNCTION("""COMPUTED_VALUE"""),"EQUIPOS PARA PREPARACION DE JARABE")</f>
        <v>EQUIPOS PARA PREPARACION DE JARABE</v>
      </c>
      <c r="D589" s="5">
        <f ca="1">IFERROR(__xludf.DUMMYFUNCTION("""COMPUTED_VALUE"""),699636)</f>
        <v>699636</v>
      </c>
      <c r="E589" s="5" t="str">
        <f ca="1">IFERROR(__xludf.DUMMYFUNCTION("""COMPUTED_VALUE"""),"EQUIPO ELECTRONICO-SALA JARABE TERMINADO")</f>
        <v>EQUIPO ELECTRONICO-SALA JARABE TERMINADO</v>
      </c>
      <c r="F589" s="5">
        <f ca="1">IFERROR(__xludf.DUMMYFUNCTION("""COMPUTED_VALUE"""),17361)</f>
        <v>17361</v>
      </c>
      <c r="G589" s="5" t="str">
        <f ca="1">IFERROR(__xludf.DUMMYFUNCTION("""COMPUTED_VALUE"""),"MTTO ELEC EQUIPO ELECT JARABE TERMINADO")</f>
        <v>MTTO ELEC EQUIPO ELECT JARABE TERMINADO</v>
      </c>
      <c r="H589" s="5">
        <f ca="1">IFERROR(__xludf.DUMMYFUNCTION("""COMPUTED_VALUE"""),13247145)</f>
        <v>13247145</v>
      </c>
      <c r="I589" s="5" t="str">
        <f ca="1">IFERROR(__xludf.DUMMYFUNCTION("""COMPUTED_VALUE"""),"Tablero electrico: limpiar, ajustar born")</f>
        <v>Tablero electrico: limpiar, ajustar born</v>
      </c>
      <c r="J589" s="5" t="str">
        <f ca="1">IFERROR(__xludf.DUMMYFUNCTION("""COMPUTED_VALUE"""),"ALTO")</f>
        <v>ALTO</v>
      </c>
      <c r="K589" s="5" t="str">
        <f ca="1">IFERROR(__xludf.DUMMYFUNCTION("""COMPUTED_VALUE"""),"Preventivo")</f>
        <v>Preventivo</v>
      </c>
      <c r="L589" s="5" t="str">
        <f ca="1">IFERROR(__xludf.DUMMYFUNCTION("""COMPUTED_VALUE"""),"Maquinaria")</f>
        <v>Maquinaria</v>
      </c>
      <c r="M589" s="5" t="str">
        <f ca="1">IFERROR(__xludf.DUMMYFUNCTION("""COMPUTED_VALUE"""),"No")</f>
        <v>No</v>
      </c>
      <c r="N589" s="5"/>
      <c r="O589" s="5">
        <f ca="1">IFERROR(__xludf.DUMMYFUNCTION("""COMPUTED_VALUE"""),100)</f>
        <v>100</v>
      </c>
      <c r="P589" s="18">
        <f ca="1">IFERROR(__xludf.DUMMYFUNCTION("""COMPUTED_VALUE"""),45341)</f>
        <v>45341</v>
      </c>
      <c r="Q589" s="18">
        <f ca="1">IFERROR(__xludf.DUMMYFUNCTION("""COMPUTED_VALUE"""),45341)</f>
        <v>45341</v>
      </c>
      <c r="R589" s="18"/>
      <c r="S589" s="5">
        <f ca="1">IFERROR(__xludf.DUMMYFUNCTION("""COMPUTED_VALUE"""),3)</f>
        <v>3</v>
      </c>
      <c r="T589" s="5"/>
      <c r="U589" s="5" t="str">
        <f ca="1">IFERROR(__xludf.DUMMYFUNCTION("""COMPUTED_VALUE"""),"IMBACHI WILTON ANDRES")</f>
        <v>IMBACHI WILTON ANDRES</v>
      </c>
      <c r="V589" s="5"/>
      <c r="W589" s="5" t="str">
        <f ca="1">IFERROR(__xludf.DUMMYFUNCTION("""COMPUTED_VALUE"""),"ZXoIWNXvHNU")</f>
        <v>ZXoIWNXvHNU</v>
      </c>
      <c r="X589" s="5">
        <f ca="1">IFERROR(__xludf.DUMMYFUNCTION("""COMPUTED_VALUE"""),3)</f>
        <v>3</v>
      </c>
      <c r="Z589" s="3">
        <f ca="1">IFERROR(VLOOKUP(U589, 'Base de datos'!A:B, 2, FALSE), "")</f>
        <v>573158655205</v>
      </c>
      <c r="AA589" s="4" t="e">
        <f t="shared" ca="1" si="5"/>
        <v>#NAME?</v>
      </c>
    </row>
    <row r="590" spans="1:27" ht="15.75" customHeight="1">
      <c r="A590" s="5" t="str">
        <f ca="1">IFERROR(__xludf.DUMMYFUNCTION("""COMPUTED_VALUE"""),"POSTOBÓN YUMBO")</f>
        <v>POSTOBÓN YUMBO</v>
      </c>
      <c r="B590" s="5" t="str">
        <f ca="1">IFERROR(__xludf.DUMMYFUNCTION("""COMPUTED_VALUE"""),"0410-LINEA 2")</f>
        <v>0410-LINEA 2</v>
      </c>
      <c r="C590" s="5" t="str">
        <f ca="1">IFERROR(__xludf.DUMMYFUNCTION("""COMPUTED_VALUE"""),"LINEA DE ENVASADO FAMILIAR Y PRB")</f>
        <v>LINEA DE ENVASADO FAMILIAR Y PRB</v>
      </c>
      <c r="D590" s="5">
        <f ca="1">IFERROR(__xludf.DUMMYFUNCTION("""COMPUTED_VALUE"""),599559)</f>
        <v>599559</v>
      </c>
      <c r="E590" s="5" t="str">
        <f ca="1">IFERROR(__xludf.DUMMYFUNCTION("""COMPUTED_VALUE"""),"INSPECTOR ELECTRONICO")</f>
        <v>INSPECTOR ELECTRONICO</v>
      </c>
      <c r="F590" s="5">
        <f ca="1">IFERROR(__xludf.DUMMYFUNCTION("""COMPUTED_VALUE"""),17380)</f>
        <v>17380</v>
      </c>
      <c r="G590" s="5" t="str">
        <f ca="1">IFERROR(__xludf.DUMMYFUNCTION("""COMPUTED_VALUE"""),"MTTO ELEC INSPECTOR L2 599559")</f>
        <v>MTTO ELEC INSPECTOR L2 599559</v>
      </c>
      <c r="H590" s="5">
        <f ca="1">IFERROR(__xludf.DUMMYFUNCTION("""COMPUTED_VALUE"""),13221300)</f>
        <v>13221300</v>
      </c>
      <c r="I590" s="5" t="str">
        <f ca="1">IFERROR(__xludf.DUMMYFUNCTION("""COMPUTED_VALUE"""),"FLASHES: CAMBIAR LA LAMPARA DE FLASH O")</f>
        <v>FLASHES: CAMBIAR LA LAMPARA DE FLASH O</v>
      </c>
      <c r="J590" s="5" t="str">
        <f ca="1">IFERROR(__xludf.DUMMYFUNCTION("""COMPUTED_VALUE"""),"ALTO")</f>
        <v>ALTO</v>
      </c>
      <c r="K590" s="5" t="str">
        <f ca="1">IFERROR(__xludf.DUMMYFUNCTION("""COMPUTED_VALUE"""),"Preventivo")</f>
        <v>Preventivo</v>
      </c>
      <c r="L590" s="5" t="str">
        <f ca="1">IFERROR(__xludf.DUMMYFUNCTION("""COMPUTED_VALUE"""),"Maquinaria")</f>
        <v>Maquinaria</v>
      </c>
      <c r="M590" s="5" t="str">
        <f ca="1">IFERROR(__xludf.DUMMYFUNCTION("""COMPUTED_VALUE"""),"No")</f>
        <v>No</v>
      </c>
      <c r="N590" s="5"/>
      <c r="O590" s="5"/>
      <c r="P590" s="18">
        <f ca="1">IFERROR(__xludf.DUMMYFUNCTION("""COMPUTED_VALUE"""),45341)</f>
        <v>45341</v>
      </c>
      <c r="Q590" s="18">
        <f ca="1">IFERROR(__xludf.DUMMYFUNCTION("""COMPUTED_VALUE"""),45341)</f>
        <v>45341</v>
      </c>
      <c r="R590" s="18"/>
      <c r="S590" s="5">
        <f ca="1">IFERROR(__xludf.DUMMYFUNCTION("""COMPUTED_VALUE"""),3)</f>
        <v>3</v>
      </c>
      <c r="T590" s="5"/>
      <c r="U590" s="5" t="str">
        <f ca="1">IFERROR(__xludf.DUMMYFUNCTION("""COMPUTED_VALUE"""),"Alexander Echeverry Moreno")</f>
        <v>Alexander Echeverry Moreno</v>
      </c>
      <c r="V590" s="5"/>
      <c r="W590" s="5" t="str">
        <f ca="1">IFERROR(__xludf.DUMMYFUNCTION("""COMPUTED_VALUE"""),"kxWzkI4ypYI")</f>
        <v>kxWzkI4ypYI</v>
      </c>
      <c r="X590" s="5">
        <f ca="1">IFERROR(__xludf.DUMMYFUNCTION("""COMPUTED_VALUE"""),3)</f>
        <v>3</v>
      </c>
      <c r="Z590" s="3">
        <f ca="1">IFERROR(VLOOKUP(U590, 'Base de datos'!A:B, 2, FALSE), "")</f>
        <v>573173223149</v>
      </c>
      <c r="AA590" s="4" t="e">
        <f t="shared" ca="1" si="5"/>
        <v>#NAME?</v>
      </c>
    </row>
    <row r="591" spans="1:27" ht="15.75" customHeight="1">
      <c r="A591" s="5" t="str">
        <f ca="1">IFERROR(__xludf.DUMMYFUNCTION("""COMPUTED_VALUE"""),"POSTOBÓN YUMBO")</f>
        <v>POSTOBÓN YUMBO</v>
      </c>
      <c r="B591" s="5" t="str">
        <f ca="1">IFERROR(__xludf.DUMMYFUNCTION("""COMPUTED_VALUE"""),"0410-LINEA 2")</f>
        <v>0410-LINEA 2</v>
      </c>
      <c r="C591" s="5" t="str">
        <f ca="1">IFERROR(__xludf.DUMMYFUNCTION("""COMPUTED_VALUE"""),"LINEA DE ENVASADO FAMILIAR Y PRB")</f>
        <v>LINEA DE ENVASADO FAMILIAR Y PRB</v>
      </c>
      <c r="D591" s="5">
        <f ca="1">IFERROR(__xludf.DUMMYFUNCTION("""COMPUTED_VALUE"""),599559)</f>
        <v>599559</v>
      </c>
      <c r="E591" s="5" t="str">
        <f ca="1">IFERROR(__xludf.DUMMYFUNCTION("""COMPUTED_VALUE"""),"INSPECTOR ELECTRONICO")</f>
        <v>INSPECTOR ELECTRONICO</v>
      </c>
      <c r="F591" s="5">
        <f ca="1">IFERROR(__xludf.DUMMYFUNCTION("""COMPUTED_VALUE"""),17380)</f>
        <v>17380</v>
      </c>
      <c r="G591" s="5" t="str">
        <f ca="1">IFERROR(__xludf.DUMMYFUNCTION("""COMPUTED_VALUE"""),"MTTO MEC INSPECTOR L2 599559")</f>
        <v>MTTO MEC INSPECTOR L2 599559</v>
      </c>
      <c r="H591" s="5">
        <f ca="1">IFERROR(__xludf.DUMMYFUNCTION("""COMPUTED_VALUE"""),13221299)</f>
        <v>13221299</v>
      </c>
      <c r="I591" s="5" t="str">
        <f ca="1">IFERROR(__xludf.DUMMYFUNCTION("""COMPUTED_VALUE"""),"DISPOSITIVO DE AJUSTE VERTICAL(MODULO DE")</f>
        <v>DISPOSITIVO DE AJUSTE VERTICAL(MODULO DE</v>
      </c>
      <c r="J591" s="5" t="str">
        <f ca="1">IFERROR(__xludf.DUMMYFUNCTION("""COMPUTED_VALUE"""),"ALTO")</f>
        <v>ALTO</v>
      </c>
      <c r="K591" s="5" t="str">
        <f ca="1">IFERROR(__xludf.DUMMYFUNCTION("""COMPUTED_VALUE"""),"Preventivo")</f>
        <v>Preventivo</v>
      </c>
      <c r="L591" s="5" t="str">
        <f ca="1">IFERROR(__xludf.DUMMYFUNCTION("""COMPUTED_VALUE"""),"Maquinaria")</f>
        <v>Maquinaria</v>
      </c>
      <c r="M591" s="5" t="str">
        <f ca="1">IFERROR(__xludf.DUMMYFUNCTION("""COMPUTED_VALUE"""),"No")</f>
        <v>No</v>
      </c>
      <c r="N591" s="5"/>
      <c r="O591" s="5"/>
      <c r="P591" s="18">
        <f ca="1">IFERROR(__xludf.DUMMYFUNCTION("""COMPUTED_VALUE"""),45342)</f>
        <v>45342</v>
      </c>
      <c r="Q591" s="18">
        <f ca="1">IFERROR(__xludf.DUMMYFUNCTION("""COMPUTED_VALUE"""),45342)</f>
        <v>45342</v>
      </c>
      <c r="R591" s="18"/>
      <c r="S591" s="5">
        <f ca="1">IFERROR(__xludf.DUMMYFUNCTION("""COMPUTED_VALUE"""),1)</f>
        <v>1</v>
      </c>
      <c r="T591" s="5"/>
      <c r="U591" s="5" t="str">
        <f ca="1">IFERROR(__xludf.DUMMYFUNCTION("""COMPUTED_VALUE"""),"Alexander Echeverry Moreno")</f>
        <v>Alexander Echeverry Moreno</v>
      </c>
      <c r="V591" s="5"/>
      <c r="W591" s="5" t="str">
        <f ca="1">IFERROR(__xludf.DUMMYFUNCTION("""COMPUTED_VALUE"""),"PZJd6vAbqN4")</f>
        <v>PZJd6vAbqN4</v>
      </c>
      <c r="X591" s="5">
        <f ca="1">IFERROR(__xludf.DUMMYFUNCTION("""COMPUTED_VALUE"""),1)</f>
        <v>1</v>
      </c>
      <c r="Z591" s="3">
        <f ca="1">IFERROR(VLOOKUP(U591, 'Base de datos'!A:B, 2, FALSE), "")</f>
        <v>573173223149</v>
      </c>
      <c r="AA591" s="4" t="e">
        <f t="shared" ca="1" si="5"/>
        <v>#NAME?</v>
      </c>
    </row>
    <row r="592" spans="1:27" ht="15.75" customHeight="1">
      <c r="A592" s="5" t="str">
        <f ca="1">IFERROR(__xludf.DUMMYFUNCTION("""COMPUTED_VALUE"""),"POSTOBÓN YUMBO")</f>
        <v>POSTOBÓN YUMBO</v>
      </c>
      <c r="B592" s="5" t="str">
        <f ca="1">IFERROR(__xludf.DUMMYFUNCTION("""COMPUTED_VALUE"""),"0410-EQUIPOS AUXILIARES")</f>
        <v>0410-EQUIPOS AUXILIARES</v>
      </c>
      <c r="C592" s="5" t="str">
        <f ca="1">IFERROR(__xludf.DUMMYFUNCTION("""COMPUTED_VALUE"""),"EQUIPOS PARA SERVICIOS INDUSTRIALES")</f>
        <v>EQUIPOS PARA SERVICIOS INDUSTRIALES</v>
      </c>
      <c r="D592" s="5">
        <f ca="1">IFERROR(__xludf.DUMMYFUNCTION("""COMPUTED_VALUE"""),630013)</f>
        <v>630013</v>
      </c>
      <c r="E592" s="5" t="str">
        <f ca="1">IFERROR(__xludf.DUMMYFUNCTION("""COMPUTED_VALUE"""),"CONDENSADOR EVAPORATIVO 1")</f>
        <v>CONDENSADOR EVAPORATIVO 1</v>
      </c>
      <c r="F592" s="5">
        <f ca="1">IFERROR(__xludf.DUMMYFUNCTION("""COMPUTED_VALUE"""),25394)</f>
        <v>25394</v>
      </c>
      <c r="G592" s="5" t="str">
        <f ca="1">IFERROR(__xludf.DUMMYFUNCTION("""COMPUTED_VALUE"""),"PLAN MTTO LUB COND EVAPORATIVO #1 L10")</f>
        <v>PLAN MTTO LUB COND EVAPORATIVO #1 L10</v>
      </c>
      <c r="H592" s="5">
        <f ca="1">IFERROR(__xludf.DUMMYFUNCTION("""COMPUTED_VALUE"""),13226530)</f>
        <v>13226530</v>
      </c>
      <c r="I592" s="5" t="str">
        <f ca="1">IFERROR(__xludf.DUMMYFUNCTION("""COMPUTED_VALUE"""),"Lubricación chumaceras, Lubricación de p")</f>
        <v>Lubricación chumaceras, Lubricación de p</v>
      </c>
      <c r="J592" s="5" t="str">
        <f ca="1">IFERROR(__xludf.DUMMYFUNCTION("""COMPUTED_VALUE"""),"MEDIO")</f>
        <v>MEDIO</v>
      </c>
      <c r="K592" s="5" t="str">
        <f ca="1">IFERROR(__xludf.DUMMYFUNCTION("""COMPUTED_VALUE"""),"Preventivo")</f>
        <v>Preventivo</v>
      </c>
      <c r="L592" s="5" t="str">
        <f ca="1">IFERROR(__xludf.DUMMYFUNCTION("""COMPUTED_VALUE"""),"Maquinaria")</f>
        <v>Maquinaria</v>
      </c>
      <c r="M592" s="5" t="str">
        <f ca="1">IFERROR(__xludf.DUMMYFUNCTION("""COMPUTED_VALUE"""),"No")</f>
        <v>No</v>
      </c>
      <c r="N592" s="5"/>
      <c r="O592" s="5"/>
      <c r="P592" s="18">
        <f ca="1">IFERROR(__xludf.DUMMYFUNCTION("""COMPUTED_VALUE"""),45340)</f>
        <v>45340</v>
      </c>
      <c r="Q592" s="18">
        <f ca="1">IFERROR(__xludf.DUMMYFUNCTION("""COMPUTED_VALUE"""),45340)</f>
        <v>45340</v>
      </c>
      <c r="R592" s="18"/>
      <c r="S592" s="5">
        <f ca="1">IFERROR(__xludf.DUMMYFUNCTION("""COMPUTED_VALUE"""),2)</f>
        <v>2</v>
      </c>
      <c r="T592" s="5"/>
      <c r="U592" s="5" t="str">
        <f ca="1">IFERROR(__xludf.DUMMYFUNCTION("""COMPUTED_VALUE"""),"CALDERON CORTES JULIAN DAVID")</f>
        <v>CALDERON CORTES JULIAN DAVID</v>
      </c>
      <c r="V592" s="5"/>
      <c r="W592" s="5" t="str">
        <f ca="1">IFERROR(__xludf.DUMMYFUNCTION("""COMPUTED_VALUE"""),"NeMXNIf3mZc")</f>
        <v>NeMXNIf3mZc</v>
      </c>
      <c r="X592" s="5">
        <f ca="1">IFERROR(__xludf.DUMMYFUNCTION("""COMPUTED_VALUE"""),2)</f>
        <v>2</v>
      </c>
      <c r="Z592" s="3">
        <f ca="1">IFERROR(VLOOKUP(U592, 'Base de datos'!A:B, 2, FALSE), "")</f>
        <v>573106062699</v>
      </c>
      <c r="AA592" s="4" t="e">
        <f t="shared" ca="1" si="5"/>
        <v>#NAME?</v>
      </c>
    </row>
    <row r="593" spans="1:27" ht="15.75" customHeight="1">
      <c r="A593" s="5" t="str">
        <f ca="1">IFERROR(__xludf.DUMMYFUNCTION("""COMPUTED_VALUE"""),"POSTOBÓN YUMBO")</f>
        <v>POSTOBÓN YUMBO</v>
      </c>
      <c r="B593" s="5" t="str">
        <f ca="1">IFERROR(__xludf.DUMMYFUNCTION("""COMPUTED_VALUE"""),"0410-PLANTA DE AGUA ENVASADO")</f>
        <v>0410-PLANTA DE AGUA ENVASADO</v>
      </c>
      <c r="C593" s="5" t="str">
        <f ca="1">IFERROR(__xludf.DUMMYFUNCTION("""COMPUTED_VALUE"""),"TRATAMIENTO DE AGUA PARA ENVASADO")</f>
        <v>TRATAMIENTO DE AGUA PARA ENVASADO</v>
      </c>
      <c r="D593" s="5">
        <f ca="1">IFERROR(__xludf.DUMMYFUNCTION("""COMPUTED_VALUE"""),70948940)</f>
        <v>70948940</v>
      </c>
      <c r="E593" s="5" t="str">
        <f ca="1">IFERROR(__xludf.DUMMYFUNCTION("""COMPUTED_VALUE"""),"GENERADOR OZONO AIR TREE")</f>
        <v>GENERADOR OZONO AIR TREE</v>
      </c>
      <c r="F593" s="5">
        <f ca="1">IFERROR(__xludf.DUMMYFUNCTION("""COMPUTED_VALUE"""),22743)</f>
        <v>22743</v>
      </c>
      <c r="G593" s="5" t="str">
        <f ca="1">IFERROR(__xludf.DUMMYFUNCTION("""COMPUTED_VALUE"""),"PLAN MTTO MEC GEN OZON TK NORTE 70948940")</f>
        <v>PLAN MTTO MEC GEN OZON TK NORTE 70948940</v>
      </c>
      <c r="H593" s="5">
        <f ca="1">IFERROR(__xludf.DUMMYFUNCTION("""COMPUTED_VALUE"""),13193573)</f>
        <v>13193573</v>
      </c>
      <c r="I593" s="5" t="str">
        <f ca="1">IFERROR(__xludf.DUMMYFUNCTION("""COMPUTED_VALUE"""),"REVISAR SISTEMA DOSIFICACION OZONO")</f>
        <v>REVISAR SISTEMA DOSIFICACION OZONO</v>
      </c>
      <c r="J593" s="5" t="str">
        <f ca="1">IFERROR(__xludf.DUMMYFUNCTION("""COMPUTED_VALUE"""),"ALTO")</f>
        <v>ALTO</v>
      </c>
      <c r="K593" s="5" t="str">
        <f ca="1">IFERROR(__xludf.DUMMYFUNCTION("""COMPUTED_VALUE"""),"Preventivo")</f>
        <v>Preventivo</v>
      </c>
      <c r="L593" s="5" t="str">
        <f ca="1">IFERROR(__xludf.DUMMYFUNCTION("""COMPUTED_VALUE"""),"Maquinaria")</f>
        <v>Maquinaria</v>
      </c>
      <c r="M593" s="5" t="str">
        <f ca="1">IFERROR(__xludf.DUMMYFUNCTION("""COMPUTED_VALUE"""),"No")</f>
        <v>No</v>
      </c>
      <c r="N593" s="5"/>
      <c r="O593" s="5"/>
      <c r="P593" s="18">
        <f ca="1">IFERROR(__xludf.DUMMYFUNCTION("""COMPUTED_VALUE"""),45330)</f>
        <v>45330</v>
      </c>
      <c r="Q593" s="18">
        <f ca="1">IFERROR(__xludf.DUMMYFUNCTION("""COMPUTED_VALUE"""),45330)</f>
        <v>45330</v>
      </c>
      <c r="R593" s="18"/>
      <c r="S593" s="5">
        <f ca="1">IFERROR(__xludf.DUMMYFUNCTION("""COMPUTED_VALUE"""),2)</f>
        <v>2</v>
      </c>
      <c r="T593" s="5"/>
      <c r="U593" s="5" t="str">
        <f ca="1">IFERROR(__xludf.DUMMYFUNCTION("""COMPUTED_VALUE"""),"PAPAMIJA GUIDO")</f>
        <v>PAPAMIJA GUIDO</v>
      </c>
      <c r="V593" s="5"/>
      <c r="W593" s="5" t="str">
        <f ca="1">IFERROR(__xludf.DUMMYFUNCTION("""COMPUTED_VALUE"""),"W8zt0cmSPqk")</f>
        <v>W8zt0cmSPqk</v>
      </c>
      <c r="X593" s="5">
        <f ca="1">IFERROR(__xludf.DUMMYFUNCTION("""COMPUTED_VALUE"""),2)</f>
        <v>2</v>
      </c>
      <c r="Z593" s="3">
        <f ca="1">IFERROR(VLOOKUP(U593, 'Base de datos'!A:B, 2, FALSE), "")</f>
        <v>573156712311</v>
      </c>
      <c r="AA593" s="4" t="e">
        <f t="shared" ca="1" si="5"/>
        <v>#NAME?</v>
      </c>
    </row>
    <row r="594" spans="1:27" ht="15.75" customHeight="1">
      <c r="A594" s="5" t="str">
        <f ca="1">IFERROR(__xludf.DUMMYFUNCTION("""COMPUTED_VALUE"""),"POSTOBÓN YUMBO")</f>
        <v>POSTOBÓN YUMBO</v>
      </c>
      <c r="B594" s="5" t="str">
        <f ca="1">IFERROR(__xludf.DUMMYFUNCTION("""COMPUTED_VALUE"""),"0410-LINEA PET CSD")</f>
        <v>0410-LINEA PET CSD</v>
      </c>
      <c r="C594" s="5" t="str">
        <f ca="1">IFERROR(__xludf.DUMMYFUNCTION("""COMPUTED_VALUE"""),"LINEA PET CSD - LINEA 10")</f>
        <v>LINEA PET CSD - LINEA 10</v>
      </c>
      <c r="D594" s="5">
        <f ca="1">IFERROR(__xludf.DUMMYFUNCTION("""COMPUTED_VALUE"""),519561)</f>
        <v>519561</v>
      </c>
      <c r="E594" s="5" t="str">
        <f ca="1">IFERROR(__xludf.DUMMYFUNCTION("""COMPUTED_VALUE"""),"LLENADORA DE BOTELLAS PET 162 VALVULAS")</f>
        <v>LLENADORA DE BOTELLAS PET 162 VALVULAS</v>
      </c>
      <c r="F594" s="5">
        <f ca="1">IFERROR(__xludf.DUMMYFUNCTION("""COMPUTED_VALUE"""),25366)</f>
        <v>25366</v>
      </c>
      <c r="G594" s="5" t="str">
        <f ca="1">IFERROR(__xludf.DUMMYFUNCTION("""COMPUTED_VALUE"""),"PLAN MTTO ELE LLENADORA CSD")</f>
        <v>PLAN MTTO ELE LLENADORA CSD</v>
      </c>
      <c r="H594" s="5">
        <f ca="1">IFERROR(__xludf.DUMMYFUNCTION("""COMPUTED_VALUE"""),13232383)</f>
        <v>13232383</v>
      </c>
      <c r="I594" s="5" t="str">
        <f ca="1">IFERROR(__xludf.DUMMYFUNCTION("""COMPUTED_VALUE"""),"Revisar conectores, Limpiar")</f>
        <v>Revisar conectores, Limpiar</v>
      </c>
      <c r="J594" s="5" t="str">
        <f ca="1">IFERROR(__xludf.DUMMYFUNCTION("""COMPUTED_VALUE"""),"ALTO")</f>
        <v>ALTO</v>
      </c>
      <c r="K594" s="5" t="str">
        <f ca="1">IFERROR(__xludf.DUMMYFUNCTION("""COMPUTED_VALUE"""),"Preventivo")</f>
        <v>Preventivo</v>
      </c>
      <c r="L594" s="5" t="str">
        <f ca="1">IFERROR(__xludf.DUMMYFUNCTION("""COMPUTED_VALUE"""),"Maquinaria")</f>
        <v>Maquinaria</v>
      </c>
      <c r="M594" s="5" t="str">
        <f ca="1">IFERROR(__xludf.DUMMYFUNCTION("""COMPUTED_VALUE"""),"No")</f>
        <v>No</v>
      </c>
      <c r="N594" s="5"/>
      <c r="O594" s="5">
        <f ca="1">IFERROR(__xludf.DUMMYFUNCTION("""COMPUTED_VALUE"""),100)</f>
        <v>100</v>
      </c>
      <c r="P594" s="18">
        <f ca="1">IFERROR(__xludf.DUMMYFUNCTION("""COMPUTED_VALUE"""),45328)</f>
        <v>45328</v>
      </c>
      <c r="Q594" s="18">
        <f ca="1">IFERROR(__xludf.DUMMYFUNCTION("""COMPUTED_VALUE"""),45328)</f>
        <v>45328</v>
      </c>
      <c r="R594" s="18"/>
      <c r="S594" s="5">
        <f ca="1">IFERROR(__xludf.DUMMYFUNCTION("""COMPUTED_VALUE"""),1)</f>
        <v>1</v>
      </c>
      <c r="T594" s="5"/>
      <c r="U594" s="5" t="str">
        <f ca="1">IFERROR(__xludf.DUMMYFUNCTION("""COMPUTED_VALUE"""),"Duran Sanchez Nelson Fernando")</f>
        <v>Duran Sanchez Nelson Fernando</v>
      </c>
      <c r="V594" s="5"/>
      <c r="W594" s="5" t="str">
        <f ca="1">IFERROR(__xludf.DUMMYFUNCTION("""COMPUTED_VALUE"""),"6dxeFnPSo-o")</f>
        <v>6dxeFnPSo-o</v>
      </c>
      <c r="X594" s="5">
        <f ca="1">IFERROR(__xludf.DUMMYFUNCTION("""COMPUTED_VALUE"""),1)</f>
        <v>1</v>
      </c>
      <c r="Z594" s="3">
        <f ca="1">IFERROR(VLOOKUP(U594, 'Base de datos'!A:B, 2, FALSE), "")</f>
        <v>573187183243</v>
      </c>
      <c r="AA594" s="4" t="e">
        <f t="shared" ca="1" si="5"/>
        <v>#NAME?</v>
      </c>
    </row>
    <row r="595" spans="1:27" ht="15.75" customHeight="1">
      <c r="A595" s="5" t="str">
        <f ca="1">IFERROR(__xludf.DUMMYFUNCTION("""COMPUTED_VALUE"""),"POSTOBÓN YUMBO")</f>
        <v>POSTOBÓN YUMBO</v>
      </c>
      <c r="B595" s="5" t="str">
        <f ca="1">IFERROR(__xludf.DUMMYFUNCTION("""COMPUTED_VALUE"""),"0410-PLANTA DE AGUA ENVASADO")</f>
        <v>0410-PLANTA DE AGUA ENVASADO</v>
      </c>
      <c r="C595" s="5" t="str">
        <f ca="1">IFERROR(__xludf.DUMMYFUNCTION("""COMPUTED_VALUE"""),"TRATAMIENTO DE AGUA PARA ENVASADO")</f>
        <v>TRATAMIENTO DE AGUA PARA ENVASADO</v>
      </c>
      <c r="D595" s="5">
        <f ca="1">IFERROR(__xludf.DUMMYFUNCTION("""COMPUTED_VALUE"""),709627)</f>
        <v>709627</v>
      </c>
      <c r="E595" s="5" t="str">
        <f ca="1">IFERROR(__xludf.DUMMYFUNCTION("""COMPUTED_VALUE"""),"POZO 1 RIO CAUCA")</f>
        <v>POZO 1 RIO CAUCA</v>
      </c>
      <c r="F595" s="5">
        <f ca="1">IFERROR(__xludf.DUMMYFUNCTION("""COMPUTED_VALUE"""),21759)</f>
        <v>21759</v>
      </c>
      <c r="G595" s="5" t="str">
        <f ca="1">IFERROR(__xludf.DUMMYFUNCTION("""COMPUTED_VALUE"""),"PLAN MTTO ELE POZO 1 RIO CAUCA")</f>
        <v>PLAN MTTO ELE POZO 1 RIO CAUCA</v>
      </c>
      <c r="H595" s="5">
        <f ca="1">IFERROR(__xludf.DUMMYFUNCTION("""COMPUTED_VALUE"""),13185954)</f>
        <v>13185954</v>
      </c>
      <c r="I595" s="5" t="str">
        <f ca="1">IFERROR(__xludf.DUMMYFUNCTION("""COMPUTED_VALUE"""),"CONTROL MOTOBOMBA: REVISAR")</f>
        <v>CONTROL MOTOBOMBA: REVISAR</v>
      </c>
      <c r="J595" s="5" t="str">
        <f ca="1">IFERROR(__xludf.DUMMYFUNCTION("""COMPUTED_VALUE"""),"ALTO")</f>
        <v>ALTO</v>
      </c>
      <c r="K595" s="5" t="str">
        <f ca="1">IFERROR(__xludf.DUMMYFUNCTION("""COMPUTED_VALUE"""),"Preventivo")</f>
        <v>Preventivo</v>
      </c>
      <c r="L595" s="5" t="str">
        <f ca="1">IFERROR(__xludf.DUMMYFUNCTION("""COMPUTED_VALUE"""),"Maquinaria")</f>
        <v>Maquinaria</v>
      </c>
      <c r="M595" s="5" t="str">
        <f ca="1">IFERROR(__xludf.DUMMYFUNCTION("""COMPUTED_VALUE"""),"No")</f>
        <v>No</v>
      </c>
      <c r="N595" s="5"/>
      <c r="O595" s="5"/>
      <c r="P595" s="18">
        <f ca="1">IFERROR(__xludf.DUMMYFUNCTION("""COMPUTED_VALUE"""),45329)</f>
        <v>45329</v>
      </c>
      <c r="Q595" s="18">
        <f ca="1">IFERROR(__xludf.DUMMYFUNCTION("""COMPUTED_VALUE"""),45329)</f>
        <v>45329</v>
      </c>
      <c r="R595" s="18"/>
      <c r="S595" s="5">
        <f ca="1">IFERROR(__xludf.DUMMYFUNCTION("""COMPUTED_VALUE"""),1)</f>
        <v>1</v>
      </c>
      <c r="T595" s="5"/>
      <c r="U595" s="5" t="str">
        <f ca="1">IFERROR(__xludf.DUMMYFUNCTION("""COMPUTED_VALUE"""),"Guzman Palechor Miguel Angel")</f>
        <v>Guzman Palechor Miguel Angel</v>
      </c>
      <c r="V595" s="5"/>
      <c r="W595" s="5" t="str">
        <f ca="1">IFERROR(__xludf.DUMMYFUNCTION("""COMPUTED_VALUE"""),"tY8XVTCxWro")</f>
        <v>tY8XVTCxWro</v>
      </c>
      <c r="X595" s="5">
        <f ca="1">IFERROR(__xludf.DUMMYFUNCTION("""COMPUTED_VALUE"""),1)</f>
        <v>1</v>
      </c>
      <c r="Z595" s="3">
        <f ca="1">IFERROR(VLOOKUP(U595, 'Base de datos'!A:B, 2, FALSE), "")</f>
        <v>573112422176</v>
      </c>
      <c r="AA595" s="4" t="e">
        <f t="shared" ca="1" si="5"/>
        <v>#NAME?</v>
      </c>
    </row>
    <row r="596" spans="1:27" ht="15.75" customHeight="1">
      <c r="A596" s="5" t="str">
        <f ca="1">IFERROR(__xludf.DUMMYFUNCTION("""COMPUTED_VALUE"""),"POSTOBÓN YUMBO")</f>
        <v>POSTOBÓN YUMBO</v>
      </c>
      <c r="B596" s="5" t="str">
        <f ca="1">IFERROR(__xludf.DUMMYFUNCTION("""COMPUTED_VALUE"""),"0410-SALA DE JARABE TERMINADO")</f>
        <v>0410-SALA DE JARABE TERMINADO</v>
      </c>
      <c r="C596" s="5" t="str">
        <f ca="1">IFERROR(__xludf.DUMMYFUNCTION("""COMPUTED_VALUE"""),"EQUIPOS PARA PREPARACION DE JARABE")</f>
        <v>EQUIPOS PARA PREPARACION DE JARABE</v>
      </c>
      <c r="D596" s="5">
        <f ca="1">IFERROR(__xludf.DUMMYFUNCTION("""COMPUTED_VALUE"""),69963415)</f>
        <v>69963415</v>
      </c>
      <c r="E596" s="5" t="str">
        <f ca="1">IFERROR(__xludf.DUMMYFUNCTION("""COMPUTED_VALUE"""),"TANQUE ALMAC.JARABE SIMPLE")</f>
        <v>TANQUE ALMAC.JARABE SIMPLE</v>
      </c>
      <c r="F596" s="5">
        <f ca="1">IFERROR(__xludf.DUMMYFUNCTION("""COMPUTED_VALUE"""),17361)</f>
        <v>17361</v>
      </c>
      <c r="G596" s="5" t="str">
        <f ca="1">IFERROR(__xludf.DUMMYFUNCTION("""COMPUTED_VALUE"""),"MTTO MEC TK JARABE SIMPL JARABE TERMIN")</f>
        <v>MTTO MEC TK JARABE SIMPL JARABE TERMIN</v>
      </c>
      <c r="H596" s="5">
        <f ca="1">IFERROR(__xludf.DUMMYFUNCTION("""COMPUTED_VALUE"""),13247148)</f>
        <v>13247148</v>
      </c>
      <c r="I596" s="5" t="str">
        <f ca="1">IFERROR(__xludf.DUMMYFUNCTION("""COMPUTED_VALUE"""),"BOMBAS (5):")</f>
        <v>BOMBAS (5):</v>
      </c>
      <c r="J596" s="5" t="str">
        <f ca="1">IFERROR(__xludf.DUMMYFUNCTION("""COMPUTED_VALUE"""),"ALTO")</f>
        <v>ALTO</v>
      </c>
      <c r="K596" s="5" t="str">
        <f ca="1">IFERROR(__xludf.DUMMYFUNCTION("""COMPUTED_VALUE"""),"Preventivo")</f>
        <v>Preventivo</v>
      </c>
      <c r="L596" s="5" t="str">
        <f ca="1">IFERROR(__xludf.DUMMYFUNCTION("""COMPUTED_VALUE"""),"Maquinaria")</f>
        <v>Maquinaria</v>
      </c>
      <c r="M596" s="5" t="str">
        <f ca="1">IFERROR(__xludf.DUMMYFUNCTION("""COMPUTED_VALUE"""),"No")</f>
        <v>No</v>
      </c>
      <c r="N596" s="5"/>
      <c r="O596" s="5">
        <f ca="1">IFERROR(__xludf.DUMMYFUNCTION("""COMPUTED_VALUE"""),100)</f>
        <v>100</v>
      </c>
      <c r="P596" s="18">
        <f ca="1">IFERROR(__xludf.DUMMYFUNCTION("""COMPUTED_VALUE"""),45341)</f>
        <v>45341</v>
      </c>
      <c r="Q596" s="18">
        <f ca="1">IFERROR(__xludf.DUMMYFUNCTION("""COMPUTED_VALUE"""),45341)</f>
        <v>45341</v>
      </c>
      <c r="R596" s="18"/>
      <c r="S596" s="5">
        <f ca="1">IFERROR(__xludf.DUMMYFUNCTION("""COMPUTED_VALUE"""),8)</f>
        <v>8</v>
      </c>
      <c r="T596" s="5"/>
      <c r="U596" s="5" t="str">
        <f ca="1">IFERROR(__xludf.DUMMYFUNCTION("""COMPUTED_VALUE"""),"Rivas Mena Carlos Danny")</f>
        <v>Rivas Mena Carlos Danny</v>
      </c>
      <c r="V596" s="5"/>
      <c r="W596" s="5" t="str">
        <f ca="1">IFERROR(__xludf.DUMMYFUNCTION("""COMPUTED_VALUE"""),"IPgcRIATu9I")</f>
        <v>IPgcRIATu9I</v>
      </c>
      <c r="X596" s="5">
        <f ca="1">IFERROR(__xludf.DUMMYFUNCTION("""COMPUTED_VALUE"""),8)</f>
        <v>8</v>
      </c>
      <c r="Z596" s="3">
        <f ca="1">IFERROR(VLOOKUP(U596, 'Base de datos'!A:B, 2, FALSE), "")</f>
        <v>0</v>
      </c>
      <c r="AA596" s="4" t="e">
        <f t="shared" ca="1" si="5"/>
        <v>#NAME?</v>
      </c>
    </row>
    <row r="597" spans="1:27" ht="15.75" customHeight="1">
      <c r="A597" s="5" t="str">
        <f ca="1">IFERROR(__xludf.DUMMYFUNCTION("""COMPUTED_VALUE"""),"POSTOBÓN YUMBO")</f>
        <v>POSTOBÓN YUMBO</v>
      </c>
      <c r="B597" s="5" t="str">
        <f ca="1">IFERROR(__xludf.DUMMYFUNCTION("""COMPUTED_VALUE"""),"0410-LINEA BOTELLON 20 LTS")</f>
        <v>0410-LINEA BOTELLON 20 LTS</v>
      </c>
      <c r="C597" s="5" t="str">
        <f ca="1">IFERROR(__xludf.DUMMYFUNCTION("""COMPUTED_VALUE"""),"LINEA DE PRODUCCION DE BOTELLONES DE 20")</f>
        <v>LINEA DE PRODUCCION DE BOTELLONES DE 20</v>
      </c>
      <c r="D597" s="5">
        <f ca="1">IFERROR(__xludf.DUMMYFUNCTION("""COMPUTED_VALUE"""),71960605)</f>
        <v>71960605</v>
      </c>
      <c r="E597" s="5" t="str">
        <f ca="1">IFERROR(__xludf.DUMMYFUNCTION("""COMPUTED_VALUE"""),"GENERADOR DE OXIGENO PARA BOTELLON.")</f>
        <v>GENERADOR DE OXIGENO PARA BOTELLON.</v>
      </c>
      <c r="F597" s="5">
        <f ca="1">IFERROR(__xludf.DUMMYFUNCTION("""COMPUTED_VALUE"""),17373)</f>
        <v>17373</v>
      </c>
      <c r="G597" s="5" t="str">
        <f ca="1">IFERROR(__xludf.DUMMYFUNCTION("""COMPUTED_VALUE"""),"MTTO ELEC-MEC GEN OXIG BOTELLON 71960605")</f>
        <v>MTTO ELEC-MEC GEN OXIG BOTELLON 71960605</v>
      </c>
      <c r="H597" s="5">
        <f ca="1">IFERROR(__xludf.DUMMYFUNCTION("""COMPUTED_VALUE"""),13207379)</f>
        <v>13207379</v>
      </c>
      <c r="I597" s="5" t="str">
        <f ca="1">IFERROR(__xludf.DUMMYFUNCTION("""COMPUTED_VALUE"""),"Cambiar kit de mtto Secador Modular")</f>
        <v>Cambiar kit de mtto Secador Modular</v>
      </c>
      <c r="J597" s="5" t="str">
        <f ca="1">IFERROR(__xludf.DUMMYFUNCTION("""COMPUTED_VALUE"""),"ALTO")</f>
        <v>ALTO</v>
      </c>
      <c r="K597" s="5" t="str">
        <f ca="1">IFERROR(__xludf.DUMMYFUNCTION("""COMPUTED_VALUE"""),"Preventivo")</f>
        <v>Preventivo</v>
      </c>
      <c r="L597" s="5" t="str">
        <f ca="1">IFERROR(__xludf.DUMMYFUNCTION("""COMPUTED_VALUE"""),"Maquinaria")</f>
        <v>Maquinaria</v>
      </c>
      <c r="M597" s="5" t="str">
        <f ca="1">IFERROR(__xludf.DUMMYFUNCTION("""COMPUTED_VALUE"""),"No")</f>
        <v>No</v>
      </c>
      <c r="N597" s="5"/>
      <c r="O597" s="5"/>
      <c r="P597" s="18">
        <f ca="1">IFERROR(__xludf.DUMMYFUNCTION("""COMPUTED_VALUE"""),45329)</f>
        <v>45329</v>
      </c>
      <c r="Q597" s="18">
        <f ca="1">IFERROR(__xludf.DUMMYFUNCTION("""COMPUTED_VALUE"""),45329)</f>
        <v>45329</v>
      </c>
      <c r="R597" s="18"/>
      <c r="S597" s="5">
        <f ca="1">IFERROR(__xludf.DUMMYFUNCTION("""COMPUTED_VALUE"""),3)</f>
        <v>3</v>
      </c>
      <c r="T597" s="5"/>
      <c r="U597" s="5" t="str">
        <f ca="1">IFERROR(__xludf.DUMMYFUNCTION("""COMPUTED_VALUE"""),"Christian Camilo Ramirez Rendón")</f>
        <v>Christian Camilo Ramirez Rendón</v>
      </c>
      <c r="V597" s="5"/>
      <c r="W597" s="5" t="str">
        <f ca="1">IFERROR(__xludf.DUMMYFUNCTION("""COMPUTED_VALUE"""),"jFzfXrI68S4")</f>
        <v>jFzfXrI68S4</v>
      </c>
      <c r="X597" s="5">
        <f ca="1">IFERROR(__xludf.DUMMYFUNCTION("""COMPUTED_VALUE"""),3)</f>
        <v>3</v>
      </c>
      <c r="Z597" s="3">
        <f ca="1">IFERROR(VLOOKUP(U597, 'Base de datos'!A:B, 2, FALSE), "")</f>
        <v>573117720757</v>
      </c>
      <c r="AA597" s="4" t="e">
        <f t="shared" ca="1" si="5"/>
        <v>#NAME?</v>
      </c>
    </row>
    <row r="598" spans="1:27" ht="15.75" customHeight="1">
      <c r="A598" s="5" t="str">
        <f ca="1">IFERROR(__xludf.DUMMYFUNCTION("""COMPUTED_VALUE"""),"POSTOBÓN YUMBO")</f>
        <v>POSTOBÓN YUMBO</v>
      </c>
      <c r="B598" s="5" t="str">
        <f ca="1">IFERROR(__xludf.DUMMYFUNCTION("""COMPUTED_VALUE"""),"0410-EQUIPOS AUXILIARES")</f>
        <v>0410-EQUIPOS AUXILIARES</v>
      </c>
      <c r="C598" s="5" t="str">
        <f ca="1">IFERROR(__xludf.DUMMYFUNCTION("""COMPUTED_VALUE"""),"EQUIPOS PARA SERVICIOS INDUSTRIALES")</f>
        <v>EQUIPOS PARA SERVICIOS INDUSTRIALES</v>
      </c>
      <c r="D598" s="5">
        <f ca="1">IFERROR(__xludf.DUMMYFUNCTION("""COMPUTED_VALUE"""),629054)</f>
        <v>629054</v>
      </c>
      <c r="E598" s="5" t="str">
        <f ca="1">IFERROR(__xludf.DUMMYFUNCTION("""COMPUTED_VALUE"""),"COMPRESOR REFRIGERACION RECIPROCANTE 4")</f>
        <v>COMPRESOR REFRIGERACION RECIPROCANTE 4</v>
      </c>
      <c r="F598" s="5">
        <f ca="1">IFERROR(__xludf.DUMMYFUNCTION("""COMPUTED_VALUE"""),21696)</f>
        <v>21696</v>
      </c>
      <c r="G598" s="5" t="str">
        <f ca="1">IFERROR(__xludf.DUMMYFUNCTION("""COMPUTED_VALUE"""),"PLAN DE MTTO MEC COMPRESOR REFRIG 4")</f>
        <v>PLAN DE MTTO MEC COMPRESOR REFRIG 4</v>
      </c>
      <c r="H598" s="5">
        <f ca="1">IFERROR(__xludf.DUMMYFUNCTION("""COMPUTED_VALUE"""),13193539)</f>
        <v>13193539</v>
      </c>
      <c r="I598" s="5" t="str">
        <f ca="1">IFERROR(__xludf.DUMMYFUNCTION("""COMPUTED_VALUE"""),"Revisar descargadores")</f>
        <v>Revisar descargadores</v>
      </c>
      <c r="J598" s="5" t="str">
        <f ca="1">IFERROR(__xludf.DUMMYFUNCTION("""COMPUTED_VALUE"""),"MEDIO")</f>
        <v>MEDIO</v>
      </c>
      <c r="K598" s="5" t="str">
        <f ca="1">IFERROR(__xludf.DUMMYFUNCTION("""COMPUTED_VALUE"""),"Preventivo")</f>
        <v>Preventivo</v>
      </c>
      <c r="L598" s="5" t="str">
        <f ca="1">IFERROR(__xludf.DUMMYFUNCTION("""COMPUTED_VALUE"""),"Maquinaria")</f>
        <v>Maquinaria</v>
      </c>
      <c r="M598" s="5" t="str">
        <f ca="1">IFERROR(__xludf.DUMMYFUNCTION("""COMPUTED_VALUE"""),"No")</f>
        <v>No</v>
      </c>
      <c r="N598" s="5"/>
      <c r="O598" s="5"/>
      <c r="P598" s="18">
        <f ca="1">IFERROR(__xludf.DUMMYFUNCTION("""COMPUTED_VALUE"""),45326)</f>
        <v>45326</v>
      </c>
      <c r="Q598" s="18">
        <f ca="1">IFERROR(__xludf.DUMMYFUNCTION("""COMPUTED_VALUE"""),45326)</f>
        <v>45326</v>
      </c>
      <c r="R598" s="18"/>
      <c r="S598" s="5">
        <f ca="1">IFERROR(__xludf.DUMMYFUNCTION("""COMPUTED_VALUE"""),1)</f>
        <v>1</v>
      </c>
      <c r="T598" s="5"/>
      <c r="U598" s="5" t="str">
        <f ca="1">IFERROR(__xludf.DUMMYFUNCTION("""COMPUTED_VALUE"""),"MUÑOZ VALENCIA JEFFERSON")</f>
        <v>MUÑOZ VALENCIA JEFFERSON</v>
      </c>
      <c r="V598" s="5"/>
      <c r="W598" s="5" t="str">
        <f ca="1">IFERROR(__xludf.DUMMYFUNCTION("""COMPUTED_VALUE"""),"BRwJMCmnYhI")</f>
        <v>BRwJMCmnYhI</v>
      </c>
      <c r="X598" s="5">
        <f ca="1">IFERROR(__xludf.DUMMYFUNCTION("""COMPUTED_VALUE"""),1)</f>
        <v>1</v>
      </c>
      <c r="Z598" s="3">
        <f ca="1">IFERROR(VLOOKUP(U598, 'Base de datos'!A:B, 2, FALSE), "")</f>
        <v>573122261803</v>
      </c>
      <c r="AA598" s="4" t="e">
        <f t="shared" ca="1" si="5"/>
        <v>#NAME?</v>
      </c>
    </row>
    <row r="599" spans="1:27" ht="15.75" customHeight="1">
      <c r="A599" s="5" t="str">
        <f ca="1">IFERROR(__xludf.DUMMYFUNCTION("""COMPUTED_VALUE"""),"POSTOBÓN YUMBO")</f>
        <v>POSTOBÓN YUMBO</v>
      </c>
      <c r="B599" s="5" t="str">
        <f ca="1">IFERROR(__xludf.DUMMYFUNCTION("""COMPUTED_VALUE"""),"0410-PLANTA DE AGUA ENVASADO")</f>
        <v>0410-PLANTA DE AGUA ENVASADO</v>
      </c>
      <c r="C599" s="5" t="str">
        <f ca="1">IFERROR(__xludf.DUMMYFUNCTION("""COMPUTED_VALUE"""),"TRATAMIENTO DE AGUA PARA ENVASADO")</f>
        <v>TRATAMIENTO DE AGUA PARA ENVASADO</v>
      </c>
      <c r="D599" s="5">
        <f ca="1">IFERROR(__xludf.DUMMYFUNCTION("""COMPUTED_VALUE"""),70948940)</f>
        <v>70948940</v>
      </c>
      <c r="E599" s="5" t="str">
        <f ca="1">IFERROR(__xludf.DUMMYFUNCTION("""COMPUTED_VALUE"""),"GENERADOR OZONO AIR TREE")</f>
        <v>GENERADOR OZONO AIR TREE</v>
      </c>
      <c r="F599" s="5">
        <f ca="1">IFERROR(__xludf.DUMMYFUNCTION("""COMPUTED_VALUE"""),22743)</f>
        <v>22743</v>
      </c>
      <c r="G599" s="5" t="str">
        <f ca="1">IFERROR(__xludf.DUMMYFUNCTION("""COMPUTED_VALUE"""),"PLAN MTTO ELE GEN OZON TK NORTE 70948940")</f>
        <v>PLAN MTTO ELE GEN OZON TK NORTE 70948940</v>
      </c>
      <c r="H599" s="5">
        <f ca="1">IFERROR(__xludf.DUMMYFUNCTION("""COMPUTED_VALUE"""),13193574)</f>
        <v>13193574</v>
      </c>
      <c r="I599" s="5" t="str">
        <f ca="1">IFERROR(__xludf.DUMMYFUNCTION("""COMPUTED_VALUE"""),"LIMPIAR/CAMBIAR FILTRO PARTE TRASERA")</f>
        <v>LIMPIAR/CAMBIAR FILTRO PARTE TRASERA</v>
      </c>
      <c r="J599" s="5" t="str">
        <f ca="1">IFERROR(__xludf.DUMMYFUNCTION("""COMPUTED_VALUE"""),"ALTO")</f>
        <v>ALTO</v>
      </c>
      <c r="K599" s="5" t="str">
        <f ca="1">IFERROR(__xludf.DUMMYFUNCTION("""COMPUTED_VALUE"""),"Preventivo")</f>
        <v>Preventivo</v>
      </c>
      <c r="L599" s="5" t="str">
        <f ca="1">IFERROR(__xludf.DUMMYFUNCTION("""COMPUTED_VALUE"""),"Maquinaria")</f>
        <v>Maquinaria</v>
      </c>
      <c r="M599" s="5" t="str">
        <f ca="1">IFERROR(__xludf.DUMMYFUNCTION("""COMPUTED_VALUE"""),"No")</f>
        <v>No</v>
      </c>
      <c r="N599" s="5"/>
      <c r="O599" s="5"/>
      <c r="P599" s="18">
        <f ca="1">IFERROR(__xludf.DUMMYFUNCTION("""COMPUTED_VALUE"""),45330)</f>
        <v>45330</v>
      </c>
      <c r="Q599" s="18">
        <f ca="1">IFERROR(__xludf.DUMMYFUNCTION("""COMPUTED_VALUE"""),45330)</f>
        <v>45330</v>
      </c>
      <c r="R599" s="18">
        <f ca="1">IFERROR(__xludf.DUMMYFUNCTION("""COMPUTED_VALUE"""),3)</f>
        <v>3</v>
      </c>
      <c r="S599" s="5">
        <f ca="1">IFERROR(__xludf.DUMMYFUNCTION("""COMPUTED_VALUE"""),2)</f>
        <v>2</v>
      </c>
      <c r="T599" s="5"/>
      <c r="U599" s="5" t="str">
        <f ca="1">IFERROR(__xludf.DUMMYFUNCTION("""COMPUTED_VALUE"""),"PAPAMIJA GUIDO")</f>
        <v>PAPAMIJA GUIDO</v>
      </c>
      <c r="V599" s="5"/>
      <c r="W599" s="5" t="str">
        <f ca="1">IFERROR(__xludf.DUMMYFUNCTION("""COMPUTED_VALUE"""),"3g_uKbPQ8U8")</f>
        <v>3g_uKbPQ8U8</v>
      </c>
      <c r="X599" s="5">
        <f ca="1">IFERROR(__xludf.DUMMYFUNCTION("""COMPUTED_VALUE"""),2)</f>
        <v>2</v>
      </c>
      <c r="Z599" s="3">
        <f ca="1">IFERROR(VLOOKUP(U599, 'Base de datos'!A:B, 2, FALSE), "")</f>
        <v>573156712311</v>
      </c>
      <c r="AA599" s="4" t="e">
        <f t="shared" ca="1" si="5"/>
        <v>#NAME?</v>
      </c>
    </row>
    <row r="600" spans="1:27" ht="15.75" customHeight="1">
      <c r="A600" s="5" t="str">
        <f ca="1">IFERROR(__xludf.DUMMYFUNCTION("""COMPUTED_VALUE"""),"POSTOBÓN YUMBO")</f>
        <v>POSTOBÓN YUMBO</v>
      </c>
      <c r="B600" s="5" t="str">
        <f ca="1">IFERROR(__xludf.DUMMYFUNCTION("""COMPUTED_VALUE"""),"0410-SALA DE JARABE TERMINADO")</f>
        <v>0410-SALA DE JARABE TERMINADO</v>
      </c>
      <c r="C600" s="5" t="str">
        <f ca="1">IFERROR(__xludf.DUMMYFUNCTION("""COMPUTED_VALUE"""),"EQUIPOS PARA PREPARACION DE JARABE")</f>
        <v>EQUIPOS PARA PREPARACION DE JARABE</v>
      </c>
      <c r="D600" s="5">
        <f ca="1">IFERROR(__xludf.DUMMYFUNCTION("""COMPUTED_VALUE"""),69963407)</f>
        <v>69963407</v>
      </c>
      <c r="E600" s="5" t="str">
        <f ca="1">IFERROR(__xludf.DUMMYFUNCTION("""COMPUTED_VALUE"""),"TANQUE DE JARABE")</f>
        <v>TANQUE DE JARABE</v>
      </c>
      <c r="F600" s="5">
        <f ca="1">IFERROR(__xludf.DUMMYFUNCTION("""COMPUTED_VALUE"""),17361)</f>
        <v>17361</v>
      </c>
      <c r="G600" s="5" t="str">
        <f ca="1">IFERROR(__xludf.DUMMYFUNCTION("""COMPUTED_VALUE"""),"MTTO MEC TK JARABE 4 JARABE TERMINADO")</f>
        <v>MTTO MEC TK JARABE 4 JARABE TERMINADO</v>
      </c>
      <c r="H600" s="5">
        <f ca="1">IFERROR(__xludf.DUMMYFUNCTION("""COMPUTED_VALUE"""),13247154)</f>
        <v>13247154</v>
      </c>
      <c r="I600" s="5" t="str">
        <f ca="1">IFERROR(__xludf.DUMMYFUNCTION("""COMPUTED_VALUE"""),"Sistema neumatico: revision fugas y esta")</f>
        <v>Sistema neumatico: revision fugas y esta</v>
      </c>
      <c r="J600" s="5" t="str">
        <f ca="1">IFERROR(__xludf.DUMMYFUNCTION("""COMPUTED_VALUE"""),"ALTO")</f>
        <v>ALTO</v>
      </c>
      <c r="K600" s="5" t="str">
        <f ca="1">IFERROR(__xludf.DUMMYFUNCTION("""COMPUTED_VALUE"""),"Preventivo")</f>
        <v>Preventivo</v>
      </c>
      <c r="L600" s="5" t="str">
        <f ca="1">IFERROR(__xludf.DUMMYFUNCTION("""COMPUTED_VALUE"""),"Maquinaria")</f>
        <v>Maquinaria</v>
      </c>
      <c r="M600" s="5" t="str">
        <f ca="1">IFERROR(__xludf.DUMMYFUNCTION("""COMPUTED_VALUE"""),"No")</f>
        <v>No</v>
      </c>
      <c r="N600" s="5"/>
      <c r="O600" s="5">
        <f ca="1">IFERROR(__xludf.DUMMYFUNCTION("""COMPUTED_VALUE"""),100)</f>
        <v>100</v>
      </c>
      <c r="P600" s="18">
        <f ca="1">IFERROR(__xludf.DUMMYFUNCTION("""COMPUTED_VALUE"""),45342)</f>
        <v>45342</v>
      </c>
      <c r="Q600" s="18">
        <f ca="1">IFERROR(__xludf.DUMMYFUNCTION("""COMPUTED_VALUE"""),45342)</f>
        <v>45342</v>
      </c>
      <c r="R600" s="18"/>
      <c r="S600" s="5">
        <f ca="1">IFERROR(__xludf.DUMMYFUNCTION("""COMPUTED_VALUE"""),1)</f>
        <v>1</v>
      </c>
      <c r="T600" s="5"/>
      <c r="U600" s="5" t="str">
        <f ca="1">IFERROR(__xludf.DUMMYFUNCTION("""COMPUTED_VALUE"""),"Moreno Pernia Bladimir")</f>
        <v>Moreno Pernia Bladimir</v>
      </c>
      <c r="V600" s="5"/>
      <c r="W600" s="5" t="str">
        <f ca="1">IFERROR(__xludf.DUMMYFUNCTION("""COMPUTED_VALUE"""),"0oLHJVuC8Ys")</f>
        <v>0oLHJVuC8Ys</v>
      </c>
      <c r="X600" s="5">
        <f ca="1">IFERROR(__xludf.DUMMYFUNCTION("""COMPUTED_VALUE"""),1)</f>
        <v>1</v>
      </c>
      <c r="Z600" s="3">
        <f ca="1">IFERROR(VLOOKUP(U600, 'Base de datos'!A:B, 2, FALSE), "")</f>
        <v>573148903137</v>
      </c>
      <c r="AA600" s="4" t="e">
        <f t="shared" ca="1" si="5"/>
        <v>#NAME?</v>
      </c>
    </row>
    <row r="601" spans="1:27" ht="15.75" customHeight="1">
      <c r="A601" s="5" t="str">
        <f ca="1">IFERROR(__xludf.DUMMYFUNCTION("""COMPUTED_VALUE"""),"POSTOBÓN YUMBO")</f>
        <v>POSTOBÓN YUMBO</v>
      </c>
      <c r="B601" s="5" t="str">
        <f ca="1">IFERROR(__xludf.DUMMYFUNCTION("""COMPUTED_VALUE"""),"0410-PLANTA DE AGUA ENVASADO")</f>
        <v>0410-PLANTA DE AGUA ENVASADO</v>
      </c>
      <c r="C601" s="5" t="str">
        <f ca="1">IFERROR(__xludf.DUMMYFUNCTION("""COMPUTED_VALUE"""),"TRATAMIENTO DE AGUA PARA ENVASADO")</f>
        <v>TRATAMIENTO DE AGUA PARA ENVASADO</v>
      </c>
      <c r="D601" s="5">
        <f ca="1">IFERROR(__xludf.DUMMYFUNCTION("""COMPUTED_VALUE"""),70948942)</f>
        <v>70948942</v>
      </c>
      <c r="E601" s="5" t="str">
        <f ca="1">IFERROR(__xludf.DUMMYFUNCTION("""COMPUTED_VALUE"""),"DESGASIFICADOR POZO CAUCA")</f>
        <v>DESGASIFICADOR POZO CAUCA</v>
      </c>
      <c r="F601" s="5">
        <f ca="1">IFERROR(__xludf.DUMMYFUNCTION("""COMPUTED_VALUE"""),22739)</f>
        <v>22739</v>
      </c>
      <c r="G601" s="5" t="str">
        <f ca="1">IFERROR(__xludf.DUMMYFUNCTION("""COMPUTED_VALUE"""),"PLAN MTTO ELE DESGA POZO CAUC 70948942")</f>
        <v>PLAN MTTO ELE DESGA POZO CAUC 70948942</v>
      </c>
      <c r="H601" s="5">
        <f ca="1">IFERROR(__xludf.DUMMYFUNCTION("""COMPUTED_VALUE"""),13141417)</f>
        <v>13141417</v>
      </c>
      <c r="I601" s="5" t="str">
        <f ca="1">IFERROR(__xludf.DUMMYFUNCTION("""COMPUTED_VALUE"""),"REVISION ELECTRODO PH")</f>
        <v>REVISION ELECTRODO PH</v>
      </c>
      <c r="J601" s="5" t="str">
        <f ca="1">IFERROR(__xludf.DUMMYFUNCTION("""COMPUTED_VALUE"""),"ALTO")</f>
        <v>ALTO</v>
      </c>
      <c r="K601" s="5" t="str">
        <f ca="1">IFERROR(__xludf.DUMMYFUNCTION("""COMPUTED_VALUE"""),"Preventivo")</f>
        <v>Preventivo</v>
      </c>
      <c r="L601" s="5" t="str">
        <f ca="1">IFERROR(__xludf.DUMMYFUNCTION("""COMPUTED_VALUE"""),"Maquinaria")</f>
        <v>Maquinaria</v>
      </c>
      <c r="M601" s="5" t="str">
        <f ca="1">IFERROR(__xludf.DUMMYFUNCTION("""COMPUTED_VALUE"""),"No")</f>
        <v>No</v>
      </c>
      <c r="N601" s="5"/>
      <c r="O601" s="5"/>
      <c r="P601" s="18">
        <f ca="1">IFERROR(__xludf.DUMMYFUNCTION("""COMPUTED_VALUE"""),45324)</f>
        <v>45324</v>
      </c>
      <c r="Q601" s="18">
        <f ca="1">IFERROR(__xludf.DUMMYFUNCTION("""COMPUTED_VALUE"""),45324)</f>
        <v>45324</v>
      </c>
      <c r="R601" s="18">
        <f ca="1">IFERROR(__xludf.DUMMYFUNCTION("""COMPUTED_VALUE"""),3)</f>
        <v>3</v>
      </c>
      <c r="S601" s="5">
        <f ca="1">IFERROR(__xludf.DUMMYFUNCTION("""COMPUTED_VALUE"""),2)</f>
        <v>2</v>
      </c>
      <c r="T601" s="5"/>
      <c r="U601" s="5" t="str">
        <f ca="1">IFERROR(__xludf.DUMMYFUNCTION("""COMPUTED_VALUE"""),"PAPAMIJA GUIDO")</f>
        <v>PAPAMIJA GUIDO</v>
      </c>
      <c r="V601" s="5"/>
      <c r="W601" s="5" t="str">
        <f ca="1">IFERROR(__xludf.DUMMYFUNCTION("""COMPUTED_VALUE"""),"Fbyubd7zs-0")</f>
        <v>Fbyubd7zs-0</v>
      </c>
      <c r="X601" s="5">
        <f ca="1">IFERROR(__xludf.DUMMYFUNCTION("""COMPUTED_VALUE"""),2)</f>
        <v>2</v>
      </c>
      <c r="Z601" s="3">
        <f ca="1">IFERROR(VLOOKUP(U601, 'Base de datos'!A:B, 2, FALSE), "")</f>
        <v>573156712311</v>
      </c>
      <c r="AA601" s="4" t="e">
        <f t="shared" ca="1" si="5"/>
        <v>#NAME?</v>
      </c>
    </row>
    <row r="602" spans="1:27" ht="15.75" customHeight="1">
      <c r="A602" s="5" t="str">
        <f ca="1">IFERROR(__xludf.DUMMYFUNCTION("""COMPUTED_VALUE"""),"POSTOBÓN YUMBO")</f>
        <v>POSTOBÓN YUMBO</v>
      </c>
      <c r="B602" s="5" t="str">
        <f ca="1">IFERROR(__xludf.DUMMYFUNCTION("""COMPUTED_VALUE"""),"0410-PLANTA DE AGUA ENVASADO")</f>
        <v>0410-PLANTA DE AGUA ENVASADO</v>
      </c>
      <c r="C602" s="5" t="str">
        <f ca="1">IFERROR(__xludf.DUMMYFUNCTION("""COMPUTED_VALUE"""),"TRATAMIENTO DE AGUA PARA ENVASADO")</f>
        <v>TRATAMIENTO DE AGUA PARA ENVASADO</v>
      </c>
      <c r="D602" s="5">
        <f ca="1">IFERROR(__xludf.DUMMYFUNCTION("""COMPUTED_VALUE"""),70948942)</f>
        <v>70948942</v>
      </c>
      <c r="E602" s="5" t="str">
        <f ca="1">IFERROR(__xludf.DUMMYFUNCTION("""COMPUTED_VALUE"""),"DESGASIFICADOR POZO CAUCA")</f>
        <v>DESGASIFICADOR POZO CAUCA</v>
      </c>
      <c r="F602" s="5">
        <f ca="1">IFERROR(__xludf.DUMMYFUNCTION("""COMPUTED_VALUE"""),22739)</f>
        <v>22739</v>
      </c>
      <c r="G602" s="5" t="str">
        <f ca="1">IFERROR(__xludf.DUMMYFUNCTION("""COMPUTED_VALUE"""),"PLAN MTTO MEC DESGA POZO CAUC 70948942")</f>
        <v>PLAN MTTO MEC DESGA POZO CAUC 70948942</v>
      </c>
      <c r="H602" s="5">
        <f ca="1">IFERROR(__xludf.DUMMYFUNCTION("""COMPUTED_VALUE"""),13141416)</f>
        <v>13141416</v>
      </c>
      <c r="I602" s="5" t="str">
        <f ca="1">IFERROR(__xludf.DUMMYFUNCTION("""COMPUTED_VALUE"""),"CAMBIO DE FILTROS AIRE")</f>
        <v>CAMBIO DE FILTROS AIRE</v>
      </c>
      <c r="J602" s="5" t="str">
        <f ca="1">IFERROR(__xludf.DUMMYFUNCTION("""COMPUTED_VALUE"""),"ALTO")</f>
        <v>ALTO</v>
      </c>
      <c r="K602" s="5" t="str">
        <f ca="1">IFERROR(__xludf.DUMMYFUNCTION("""COMPUTED_VALUE"""),"Preventivo")</f>
        <v>Preventivo</v>
      </c>
      <c r="L602" s="5" t="str">
        <f ca="1">IFERROR(__xludf.DUMMYFUNCTION("""COMPUTED_VALUE"""),"Maquinaria")</f>
        <v>Maquinaria</v>
      </c>
      <c r="M602" s="5" t="str">
        <f ca="1">IFERROR(__xludf.DUMMYFUNCTION("""COMPUTED_VALUE"""),"No")</f>
        <v>No</v>
      </c>
      <c r="N602" s="5"/>
      <c r="O602" s="5"/>
      <c r="P602" s="18">
        <f ca="1">IFERROR(__xludf.DUMMYFUNCTION("""COMPUTED_VALUE"""),45324)</f>
        <v>45324</v>
      </c>
      <c r="Q602" s="18">
        <f ca="1">IFERROR(__xludf.DUMMYFUNCTION("""COMPUTED_VALUE"""),45324)</f>
        <v>45324</v>
      </c>
      <c r="R602" s="18"/>
      <c r="S602" s="5">
        <f ca="1">IFERROR(__xludf.DUMMYFUNCTION("""COMPUTED_VALUE"""),2)</f>
        <v>2</v>
      </c>
      <c r="T602" s="5"/>
      <c r="U602" s="5" t="str">
        <f ca="1">IFERROR(__xludf.DUMMYFUNCTION("""COMPUTED_VALUE"""),"PAPAMIJA GUIDO")</f>
        <v>PAPAMIJA GUIDO</v>
      </c>
      <c r="V602" s="5"/>
      <c r="W602" s="5" t="str">
        <f ca="1">IFERROR(__xludf.DUMMYFUNCTION("""COMPUTED_VALUE"""),"0d6jVGukh8s")</f>
        <v>0d6jVGukh8s</v>
      </c>
      <c r="X602" s="5">
        <f ca="1">IFERROR(__xludf.DUMMYFUNCTION("""COMPUTED_VALUE"""),2)</f>
        <v>2</v>
      </c>
      <c r="Z602" s="3">
        <f ca="1">IFERROR(VLOOKUP(U602, 'Base de datos'!A:B, 2, FALSE), "")</f>
        <v>573156712311</v>
      </c>
      <c r="AA602" s="4" t="e">
        <f t="shared" ca="1" si="5"/>
        <v>#NAME?</v>
      </c>
    </row>
    <row r="603" spans="1:27" ht="15.75" customHeight="1">
      <c r="A603" s="5" t="str">
        <f ca="1">IFERROR(__xludf.DUMMYFUNCTION("""COMPUTED_VALUE"""),"POSTOBÓN YUMBO")</f>
        <v>POSTOBÓN YUMBO</v>
      </c>
      <c r="B603" s="5" t="str">
        <f ca="1">IFERROR(__xludf.DUMMYFUNCTION("""COMPUTED_VALUE"""),"0410-LINEA 2")</f>
        <v>0410-LINEA 2</v>
      </c>
      <c r="C603" s="5" t="str">
        <f ca="1">IFERROR(__xludf.DUMMYFUNCTION("""COMPUTED_VALUE"""),"LINEA DE ENVASADO FAMILIAR Y PRB")</f>
        <v>LINEA DE ENVASADO FAMILIAR Y PRB</v>
      </c>
      <c r="D603" s="5">
        <f ca="1">IFERROR(__xludf.DUMMYFUNCTION("""COMPUTED_VALUE"""),510001)</f>
        <v>510001</v>
      </c>
      <c r="E603" s="5" t="str">
        <f ca="1">IFERROR(__xludf.DUMMYFUNCTION("""COMPUTED_VALUE"""),"LLENADORA")</f>
        <v>LLENADORA</v>
      </c>
      <c r="F603" s="5">
        <f ca="1">IFERROR(__xludf.DUMMYFUNCTION("""COMPUTED_VALUE"""),13196)</f>
        <v>13196</v>
      </c>
      <c r="G603" s="5" t="str">
        <f ca="1">IFERROR(__xludf.DUMMYFUNCTION("""COMPUTED_VALUE"""),"Mantto lubr sist coronado Llenad.")</f>
        <v>Mantto lubr sist coronado Llenad.</v>
      </c>
      <c r="H603" s="5">
        <f ca="1">IFERROR(__xludf.DUMMYFUNCTION("""COMPUTED_VALUE"""),13247130)</f>
        <v>13247130</v>
      </c>
      <c r="I603" s="5" t="str">
        <f ca="1">IFERROR(__xludf.DUMMYFUNCTION("""COMPUTED_VALUE"""),"Lubrique torre coronador de acuerdo")</f>
        <v>Lubrique torre coronador de acuerdo</v>
      </c>
      <c r="J603" s="5" t="str">
        <f ca="1">IFERROR(__xludf.DUMMYFUNCTION("""COMPUTED_VALUE"""),"ALTO")</f>
        <v>ALTO</v>
      </c>
      <c r="K603" s="5" t="str">
        <f ca="1">IFERROR(__xludf.DUMMYFUNCTION("""COMPUTED_VALUE"""),"Preventivo")</f>
        <v>Preventivo</v>
      </c>
      <c r="L603" s="5" t="str">
        <f ca="1">IFERROR(__xludf.DUMMYFUNCTION("""COMPUTED_VALUE"""),"Maquinaria")</f>
        <v>Maquinaria</v>
      </c>
      <c r="M603" s="5" t="str">
        <f ca="1">IFERROR(__xludf.DUMMYFUNCTION("""COMPUTED_VALUE"""),"No")</f>
        <v>No</v>
      </c>
      <c r="N603" s="5"/>
      <c r="O603" s="5"/>
      <c r="P603" s="18">
        <f ca="1">IFERROR(__xludf.DUMMYFUNCTION("""COMPUTED_VALUE"""),45324)</f>
        <v>45324</v>
      </c>
      <c r="Q603" s="18">
        <f ca="1">IFERROR(__xludf.DUMMYFUNCTION("""COMPUTED_VALUE"""),45324)</f>
        <v>45324</v>
      </c>
      <c r="R603" s="18"/>
      <c r="S603" s="5">
        <f ca="1">IFERROR(__xludf.DUMMYFUNCTION("""COMPUTED_VALUE"""),0.7)</f>
        <v>0.7</v>
      </c>
      <c r="T603" s="5"/>
      <c r="U603" s="5" t="str">
        <f ca="1">IFERROR(__xludf.DUMMYFUNCTION("""COMPUTED_VALUE"""),"Poveda Jorge")</f>
        <v>Poveda Jorge</v>
      </c>
      <c r="V603" s="5"/>
      <c r="W603" s="5" t="str">
        <f ca="1">IFERROR(__xludf.DUMMYFUNCTION("""COMPUTED_VALUE"""),"Rxu1HidccXg")</f>
        <v>Rxu1HidccXg</v>
      </c>
      <c r="X603" s="5">
        <f ca="1">IFERROR(__xludf.DUMMYFUNCTION("""COMPUTED_VALUE"""),0.7)</f>
        <v>0.7</v>
      </c>
      <c r="Z603" s="3">
        <f ca="1">IFERROR(VLOOKUP(U603, 'Base de datos'!A:B, 2, FALSE), "")</f>
        <v>573212589618</v>
      </c>
      <c r="AA603" s="4" t="e">
        <f t="shared" ca="1" si="5"/>
        <v>#NAME?</v>
      </c>
    </row>
    <row r="604" spans="1:27" ht="15.75" customHeight="1">
      <c r="A604" s="5" t="str">
        <f ca="1">IFERROR(__xludf.DUMMYFUNCTION("""COMPUTED_VALUE"""),"POSTOBÓN YUMBO")</f>
        <v>POSTOBÓN YUMBO</v>
      </c>
      <c r="B604" s="5" t="str">
        <f ca="1">IFERROR(__xludf.DUMMYFUNCTION("""COMPUTED_VALUE"""),"0410-LINEA 1")</f>
        <v>0410-LINEA 1</v>
      </c>
      <c r="C604" s="5" t="str">
        <f ca="1">IFERROR(__xludf.DUMMYFUNCTION("""COMPUTED_VALUE"""),"LINEA DE ENVASADO PET NO RETORNABLE")</f>
        <v>LINEA DE ENVASADO PET NO RETORNABLE</v>
      </c>
      <c r="D604" s="5">
        <f ca="1">IFERROR(__xludf.DUMMYFUNCTION("""COMPUTED_VALUE"""),900233)</f>
        <v>900233</v>
      </c>
      <c r="E604" s="5" t="str">
        <f ca="1">IFERROR(__xludf.DUMMYFUNCTION("""COMPUTED_VALUE"""),"ENVOLVEDORA-ROBOPAC")</f>
        <v>ENVOLVEDORA-ROBOPAC</v>
      </c>
      <c r="F604" s="5">
        <f ca="1">IFERROR(__xludf.DUMMYFUNCTION("""COMPUTED_VALUE"""),37873)</f>
        <v>37873</v>
      </c>
      <c r="G604" s="5" t="str">
        <f ca="1">IFERROR(__xludf.DUMMYFUNCTION("""COMPUTED_VALUE"""),"INSPECCION SEMANAL ENVOLVEDORA-ROBOPAC")</f>
        <v>INSPECCION SEMANAL ENVOLVEDORA-ROBOPAC</v>
      </c>
      <c r="H604" s="5">
        <f ca="1">IFERROR(__xludf.DUMMYFUNCTION("""COMPUTED_VALUE"""),13164648)</f>
        <v>13164648</v>
      </c>
      <c r="I604" s="5" t="str">
        <f ca="1">IFERROR(__xludf.DUMMYFUNCTION("""COMPUTED_VALUE"""),"Cambio de fuente alimentación")</f>
        <v>Cambio de fuente alimentación</v>
      </c>
      <c r="J604" s="5" t="str">
        <f ca="1">IFERROR(__xludf.DUMMYFUNCTION("""COMPUTED_VALUE"""),"MEDIO")</f>
        <v>MEDIO</v>
      </c>
      <c r="K604" s="5" t="str">
        <f ca="1">IFERROR(__xludf.DUMMYFUNCTION("""COMPUTED_VALUE"""),"Preventivo")</f>
        <v>Preventivo</v>
      </c>
      <c r="L604" s="5" t="str">
        <f ca="1">IFERROR(__xludf.DUMMYFUNCTION("""COMPUTED_VALUE"""),"Maquinaria")</f>
        <v>Maquinaria</v>
      </c>
      <c r="M604" s="5" t="str">
        <f ca="1">IFERROR(__xludf.DUMMYFUNCTION("""COMPUTED_VALUE"""),"No")</f>
        <v>No</v>
      </c>
      <c r="N604" s="5"/>
      <c r="O604" s="5"/>
      <c r="P604" s="18">
        <f ca="1">IFERROR(__xludf.DUMMYFUNCTION("""COMPUTED_VALUE"""),45325)</f>
        <v>45325</v>
      </c>
      <c r="Q604" s="18">
        <f ca="1">IFERROR(__xludf.DUMMYFUNCTION("""COMPUTED_VALUE"""),45325)</f>
        <v>45325</v>
      </c>
      <c r="R604" s="18"/>
      <c r="S604" s="5">
        <f ca="1">IFERROR(__xludf.DUMMYFUNCTION("""COMPUTED_VALUE"""),1)</f>
        <v>1</v>
      </c>
      <c r="T604" s="5"/>
      <c r="U604" s="5" t="str">
        <f ca="1">IFERROR(__xludf.DUMMYFUNCTION("""COMPUTED_VALUE"""),"Héctor Toro")</f>
        <v>Héctor Toro</v>
      </c>
      <c r="V604" s="5"/>
      <c r="W604" s="5" t="str">
        <f ca="1">IFERROR(__xludf.DUMMYFUNCTION("""COMPUTED_VALUE"""),"_KWVW3rZh_U")</f>
        <v>_KWVW3rZh_U</v>
      </c>
      <c r="X604" s="5">
        <f ca="1">IFERROR(__xludf.DUMMYFUNCTION("""COMPUTED_VALUE"""),1)</f>
        <v>1</v>
      </c>
      <c r="Z604" s="3">
        <f ca="1">IFERROR(VLOOKUP(U604, 'Base de datos'!A:B, 2, FALSE), "")</f>
        <v>573015223410</v>
      </c>
      <c r="AA604" s="4" t="e">
        <f t="shared" ca="1" si="5"/>
        <v>#NAME?</v>
      </c>
    </row>
    <row r="605" spans="1:27" ht="15.75" customHeight="1">
      <c r="A605" s="5" t="str">
        <f ca="1">IFERROR(__xludf.DUMMYFUNCTION("""COMPUTED_VALUE"""),"POSTOBÓN YUMBO")</f>
        <v>POSTOBÓN YUMBO</v>
      </c>
      <c r="B605" s="5" t="str">
        <f ca="1">IFERROR(__xludf.DUMMYFUNCTION("""COMPUTED_VALUE"""),"0410-ENVASADO JUGOS PET HOT F")</f>
        <v>0410-ENVASADO JUGOS PET HOT F</v>
      </c>
      <c r="C605" s="5" t="str">
        <f ca="1">IFERROR(__xludf.DUMMYFUNCTION("""COMPUTED_VALUE"""),"LINEA DE ENVASADO JUGOS PET HOT FILL")</f>
        <v>LINEA DE ENVASADO JUGOS PET HOT FILL</v>
      </c>
      <c r="D605" s="5">
        <f ca="1">IFERROR(__xludf.DUMMYFUNCTION("""COMPUTED_VALUE"""),90030303)</f>
        <v>90030303</v>
      </c>
      <c r="E605" s="5" t="str">
        <f ca="1">IFERROR(__xludf.DUMMYFUNCTION("""COMPUTED_VALUE"""),"ENRUTADOR TAPA")</f>
        <v>ENRUTADOR TAPA</v>
      </c>
      <c r="F605" s="5">
        <f ca="1">IFERROR(__xludf.DUMMYFUNCTION("""COMPUTED_VALUE"""),22577)</f>
        <v>22577</v>
      </c>
      <c r="G605" s="5" t="str">
        <f ca="1">IFERROR(__xludf.DUMMYFUNCTION("""COMPUTED_VALUE"""),"PLAN MTTO MEC ENRUTADOR TAPA 90030303")</f>
        <v>PLAN MTTO MEC ENRUTADOR TAPA 90030303</v>
      </c>
      <c r="H605" s="5">
        <f ca="1">IFERROR(__xludf.DUMMYFUNCTION("""COMPUTED_VALUE"""),13174154)</f>
        <v>13174154</v>
      </c>
      <c r="I605" s="5" t="str">
        <f ca="1">IFERROR(__xludf.DUMMYFUNCTION("""COMPUTED_VALUE"""),"Cambio de correa")</f>
        <v>Cambio de correa</v>
      </c>
      <c r="J605" s="5" t="str">
        <f ca="1">IFERROR(__xludf.DUMMYFUNCTION("""COMPUTED_VALUE"""),"MEDIO")</f>
        <v>MEDIO</v>
      </c>
      <c r="K605" s="5" t="str">
        <f ca="1">IFERROR(__xludf.DUMMYFUNCTION("""COMPUTED_VALUE"""),"Preventivo")</f>
        <v>Preventivo</v>
      </c>
      <c r="L605" s="5" t="str">
        <f ca="1">IFERROR(__xludf.DUMMYFUNCTION("""COMPUTED_VALUE"""),"Maquinaria")</f>
        <v>Maquinaria</v>
      </c>
      <c r="M605" s="5" t="str">
        <f ca="1">IFERROR(__xludf.DUMMYFUNCTION("""COMPUTED_VALUE"""),"No")</f>
        <v>No</v>
      </c>
      <c r="N605" s="5"/>
      <c r="O605" s="5"/>
      <c r="P605" s="18">
        <f ca="1">IFERROR(__xludf.DUMMYFUNCTION("""COMPUTED_VALUE"""),45339)</f>
        <v>45339</v>
      </c>
      <c r="Q605" s="18">
        <f ca="1">IFERROR(__xludf.DUMMYFUNCTION("""COMPUTED_VALUE"""),45339)</f>
        <v>45339</v>
      </c>
      <c r="R605" s="18"/>
      <c r="S605" s="5">
        <f ca="1">IFERROR(__xludf.DUMMYFUNCTION("""COMPUTED_VALUE"""),1)</f>
        <v>1</v>
      </c>
      <c r="T605" s="5"/>
      <c r="U605" s="5" t="str">
        <f ca="1">IFERROR(__xludf.DUMMYFUNCTION("""COMPUTED_VALUE"""),"Vanegas Guependo Hermes")</f>
        <v>Vanegas Guependo Hermes</v>
      </c>
      <c r="V605" s="5"/>
      <c r="W605" s="5" t="str">
        <f ca="1">IFERROR(__xludf.DUMMYFUNCTION("""COMPUTED_VALUE"""),"0G9k19-E4PM")</f>
        <v>0G9k19-E4PM</v>
      </c>
      <c r="X605" s="5">
        <f ca="1">IFERROR(__xludf.DUMMYFUNCTION("""COMPUTED_VALUE"""),1)</f>
        <v>1</v>
      </c>
      <c r="Z605" s="3">
        <f ca="1">IFERROR(VLOOKUP(U605, 'Base de datos'!A:B, 2, FALSE), "")</f>
        <v>573136290785</v>
      </c>
      <c r="AA605" s="4" t="e">
        <f t="shared" ca="1" si="5"/>
        <v>#NAME?</v>
      </c>
    </row>
    <row r="606" spans="1:27" ht="15.75" customHeight="1">
      <c r="A606" s="5" t="str">
        <f ca="1">IFERROR(__xludf.DUMMYFUNCTION("""COMPUTED_VALUE"""),"POSTOBÓN YUMBO")</f>
        <v>POSTOBÓN YUMBO</v>
      </c>
      <c r="B606" s="5" t="str">
        <f ca="1">IFERROR(__xludf.DUMMYFUNCTION("""COMPUTED_VALUE"""),"0410-LINEA PET CSD")</f>
        <v>0410-LINEA PET CSD</v>
      </c>
      <c r="C606" s="5" t="str">
        <f ca="1">IFERROR(__xludf.DUMMYFUNCTION("""COMPUTED_VALUE"""),"LINEA PET CSD - LINEA 10")</f>
        <v>LINEA PET CSD - LINEA 10</v>
      </c>
      <c r="D606" s="5">
        <f ca="1">IFERROR(__xludf.DUMMYFUNCTION("""COMPUTED_VALUE"""),519561)</f>
        <v>519561</v>
      </c>
      <c r="E606" s="5" t="str">
        <f ca="1">IFERROR(__xludf.DUMMYFUNCTION("""COMPUTED_VALUE"""),"LLENADORA DE BOTELLAS PET 162 VALVULAS")</f>
        <v>LLENADORA DE BOTELLAS PET 162 VALVULAS</v>
      </c>
      <c r="F606" s="5">
        <f ca="1">IFERROR(__xludf.DUMMYFUNCTION("""COMPUTED_VALUE"""),25366)</f>
        <v>25366</v>
      </c>
      <c r="G606" s="5" t="str">
        <f ca="1">IFERROR(__xludf.DUMMYFUNCTION("""COMPUTED_VALUE"""),"PLAN MTTO LUB Taponadora CSD")</f>
        <v>PLAN MTTO LUB Taponadora CSD</v>
      </c>
      <c r="H606" s="5">
        <f ca="1">IFERROR(__xludf.DUMMYFUNCTION("""COMPUTED_VALUE"""),13232386)</f>
        <v>13232386</v>
      </c>
      <c r="I606" s="5" t="str">
        <f ca="1">IFERROR(__xludf.DUMMYFUNCTION("""COMPUTED_VALUE"""),"Entrega de tapones: lubricar")</f>
        <v>Entrega de tapones: lubricar</v>
      </c>
      <c r="J606" s="5" t="str">
        <f ca="1">IFERROR(__xludf.DUMMYFUNCTION("""COMPUTED_VALUE"""),"ALTO")</f>
        <v>ALTO</v>
      </c>
      <c r="K606" s="5" t="str">
        <f ca="1">IFERROR(__xludf.DUMMYFUNCTION("""COMPUTED_VALUE"""),"Preventivo")</f>
        <v>Preventivo</v>
      </c>
      <c r="L606" s="5" t="str">
        <f ca="1">IFERROR(__xludf.DUMMYFUNCTION("""COMPUTED_VALUE"""),"Maquinaria")</f>
        <v>Maquinaria</v>
      </c>
      <c r="M606" s="5" t="str">
        <f ca="1">IFERROR(__xludf.DUMMYFUNCTION("""COMPUTED_VALUE"""),"No")</f>
        <v>No</v>
      </c>
      <c r="N606" s="5"/>
      <c r="O606" s="5">
        <f ca="1">IFERROR(__xludf.DUMMYFUNCTION("""COMPUTED_VALUE"""),100)</f>
        <v>100</v>
      </c>
      <c r="P606" s="18">
        <f ca="1">IFERROR(__xludf.DUMMYFUNCTION("""COMPUTED_VALUE"""),45328)</f>
        <v>45328</v>
      </c>
      <c r="Q606" s="18">
        <f ca="1">IFERROR(__xludf.DUMMYFUNCTION("""COMPUTED_VALUE"""),45328)</f>
        <v>45328</v>
      </c>
      <c r="R606" s="18"/>
      <c r="S606" s="5">
        <f ca="1">IFERROR(__xludf.DUMMYFUNCTION("""COMPUTED_VALUE"""),2)</f>
        <v>2</v>
      </c>
      <c r="T606" s="5"/>
      <c r="U606" s="5" t="str">
        <f ca="1">IFERROR(__xludf.DUMMYFUNCTION("""COMPUTED_VALUE"""),"Duran Sanchez Nelson Fernando")</f>
        <v>Duran Sanchez Nelson Fernando</v>
      </c>
      <c r="V606" s="5"/>
      <c r="W606" s="5" t="str">
        <f ca="1">IFERROR(__xludf.DUMMYFUNCTION("""COMPUTED_VALUE"""),"7FH5x3mEjX0")</f>
        <v>7FH5x3mEjX0</v>
      </c>
      <c r="X606" s="5">
        <f ca="1">IFERROR(__xludf.DUMMYFUNCTION("""COMPUTED_VALUE"""),2)</f>
        <v>2</v>
      </c>
      <c r="Z606" s="3">
        <f ca="1">IFERROR(VLOOKUP(U606, 'Base de datos'!A:B, 2, FALSE), "")</f>
        <v>573187183243</v>
      </c>
      <c r="AA606" s="4" t="e">
        <f t="shared" ca="1" si="5"/>
        <v>#NAME?</v>
      </c>
    </row>
    <row r="607" spans="1:27" ht="15.75" customHeight="1">
      <c r="A607" s="5" t="str">
        <f ca="1">IFERROR(__xludf.DUMMYFUNCTION("""COMPUTED_VALUE"""),"POSTOBÓN YUMBO")</f>
        <v>POSTOBÓN YUMBO</v>
      </c>
      <c r="B607" s="5" t="str">
        <f ca="1">IFERROR(__xludf.DUMMYFUNCTION("""COMPUTED_VALUE"""),"0410-LINEA PET CSD")</f>
        <v>0410-LINEA PET CSD</v>
      </c>
      <c r="C607" s="5" t="str">
        <f ca="1">IFERROR(__xludf.DUMMYFUNCTION("""COMPUTED_VALUE"""),"LINEA PET CSD - LINEA 10")</f>
        <v>LINEA PET CSD - LINEA 10</v>
      </c>
      <c r="D607" s="5">
        <f ca="1">IFERROR(__xludf.DUMMYFUNCTION("""COMPUTED_VALUE"""),519561)</f>
        <v>519561</v>
      </c>
      <c r="E607" s="5" t="str">
        <f ca="1">IFERROR(__xludf.DUMMYFUNCTION("""COMPUTED_VALUE"""),"LLENADORA DE BOTELLAS PET 162 VALVULAS")</f>
        <v>LLENADORA DE BOTELLAS PET 162 VALVULAS</v>
      </c>
      <c r="F607" s="5">
        <f ca="1">IFERROR(__xludf.DUMMYFUNCTION("""COMPUTED_VALUE"""),25366)</f>
        <v>25366</v>
      </c>
      <c r="G607" s="5" t="str">
        <f ca="1">IFERROR(__xludf.DUMMYFUNCTION("""COMPUTED_VALUE"""),"PLAN MTTO LUB LLENADORA CSD")</f>
        <v>PLAN MTTO LUB LLENADORA CSD</v>
      </c>
      <c r="H607" s="5">
        <f ca="1">IFERROR(__xludf.DUMMYFUNCTION("""COMPUTED_VALUE"""),13232384)</f>
        <v>13232384</v>
      </c>
      <c r="I607" s="5" t="str">
        <f ca="1">IFERROR(__xludf.DUMMYFUNCTION("""COMPUTED_VALUE"""),"Revision aceite Servos")</f>
        <v>Revision aceite Servos</v>
      </c>
      <c r="J607" s="5" t="str">
        <f ca="1">IFERROR(__xludf.DUMMYFUNCTION("""COMPUTED_VALUE"""),"ALTO")</f>
        <v>ALTO</v>
      </c>
      <c r="K607" s="5" t="str">
        <f ca="1">IFERROR(__xludf.DUMMYFUNCTION("""COMPUTED_VALUE"""),"Preventivo")</f>
        <v>Preventivo</v>
      </c>
      <c r="L607" s="5" t="str">
        <f ca="1">IFERROR(__xludf.DUMMYFUNCTION("""COMPUTED_VALUE"""),"Maquinaria")</f>
        <v>Maquinaria</v>
      </c>
      <c r="M607" s="5" t="str">
        <f ca="1">IFERROR(__xludf.DUMMYFUNCTION("""COMPUTED_VALUE"""),"No")</f>
        <v>No</v>
      </c>
      <c r="N607" s="5"/>
      <c r="O607" s="5">
        <f ca="1">IFERROR(__xludf.DUMMYFUNCTION("""COMPUTED_VALUE"""),100)</f>
        <v>100</v>
      </c>
      <c r="P607" s="18">
        <f ca="1">IFERROR(__xludf.DUMMYFUNCTION("""COMPUTED_VALUE"""),45328)</f>
        <v>45328</v>
      </c>
      <c r="Q607" s="18">
        <f ca="1">IFERROR(__xludf.DUMMYFUNCTION("""COMPUTED_VALUE"""),45328)</f>
        <v>45328</v>
      </c>
      <c r="R607" s="18"/>
      <c r="S607" s="5">
        <f ca="1">IFERROR(__xludf.DUMMYFUNCTION("""COMPUTED_VALUE"""),2)</f>
        <v>2</v>
      </c>
      <c r="T607" s="5"/>
      <c r="U607" s="5" t="str">
        <f ca="1">IFERROR(__xludf.DUMMYFUNCTION("""COMPUTED_VALUE"""),"Duran Sanchez Nelson Fernando")</f>
        <v>Duran Sanchez Nelson Fernando</v>
      </c>
      <c r="V607" s="5"/>
      <c r="W607" s="5" t="str">
        <f ca="1">IFERROR(__xludf.DUMMYFUNCTION("""COMPUTED_VALUE"""),"aySnkEtyZ0E")</f>
        <v>aySnkEtyZ0E</v>
      </c>
      <c r="X607" s="5">
        <f ca="1">IFERROR(__xludf.DUMMYFUNCTION("""COMPUTED_VALUE"""),2)</f>
        <v>2</v>
      </c>
      <c r="Z607" s="3">
        <f ca="1">IFERROR(VLOOKUP(U607, 'Base de datos'!A:B, 2, FALSE), "")</f>
        <v>573187183243</v>
      </c>
      <c r="AA607" s="4" t="e">
        <f t="shared" ca="1" si="5"/>
        <v>#NAME?</v>
      </c>
    </row>
    <row r="608" spans="1:27" ht="15.75" customHeight="1">
      <c r="A608" s="5" t="str">
        <f ca="1">IFERROR(__xludf.DUMMYFUNCTION("""COMPUTED_VALUE"""),"POSTOBÓN YUMBO")</f>
        <v>POSTOBÓN YUMBO</v>
      </c>
      <c r="B608" s="5" t="str">
        <f ca="1">IFERROR(__xludf.DUMMYFUNCTION("""COMPUTED_VALUE"""),"0410-LINEA PET CSD")</f>
        <v>0410-LINEA PET CSD</v>
      </c>
      <c r="C608" s="5" t="str">
        <f ca="1">IFERROR(__xludf.DUMMYFUNCTION("""COMPUTED_VALUE"""),"LINEA PET CSD - LINEA 10")</f>
        <v>LINEA PET CSD - LINEA 10</v>
      </c>
      <c r="D608" s="5">
        <f ca="1">IFERROR(__xludf.DUMMYFUNCTION("""COMPUTED_VALUE"""),519561)</f>
        <v>519561</v>
      </c>
      <c r="E608" s="5" t="str">
        <f ca="1">IFERROR(__xludf.DUMMYFUNCTION("""COMPUTED_VALUE"""),"LLENADORA DE BOTELLAS PET 162 VALVULAS")</f>
        <v>LLENADORA DE BOTELLAS PET 162 VALVULAS</v>
      </c>
      <c r="F608" s="5">
        <f ca="1">IFERROR(__xludf.DUMMYFUNCTION("""COMPUTED_VALUE"""),25366)</f>
        <v>25366</v>
      </c>
      <c r="G608" s="5" t="str">
        <f ca="1">IFERROR(__xludf.DUMMYFUNCTION("""COMPUTED_VALUE"""),"PLAN MTTO MEC LLENADORA CSD")</f>
        <v>PLAN MTTO MEC LLENADORA CSD</v>
      </c>
      <c r="H608" s="5">
        <f ca="1">IFERROR(__xludf.DUMMYFUNCTION("""COMPUTED_VALUE"""),13232382)</f>
        <v>13232382</v>
      </c>
      <c r="I608" s="5" t="str">
        <f ca="1">IFERROR(__xludf.DUMMYFUNCTION("""COMPUTED_VALUE"""),"Valvulas:Revisar/")</f>
        <v>Valvulas:Revisar/</v>
      </c>
      <c r="J608" s="5" t="str">
        <f ca="1">IFERROR(__xludf.DUMMYFUNCTION("""COMPUTED_VALUE"""),"ALTO")</f>
        <v>ALTO</v>
      </c>
      <c r="K608" s="5" t="str">
        <f ca="1">IFERROR(__xludf.DUMMYFUNCTION("""COMPUTED_VALUE"""),"Preventivo")</f>
        <v>Preventivo</v>
      </c>
      <c r="L608" s="5" t="str">
        <f ca="1">IFERROR(__xludf.DUMMYFUNCTION("""COMPUTED_VALUE"""),"Maquinaria")</f>
        <v>Maquinaria</v>
      </c>
      <c r="M608" s="5" t="str">
        <f ca="1">IFERROR(__xludf.DUMMYFUNCTION("""COMPUTED_VALUE"""),"No")</f>
        <v>No</v>
      </c>
      <c r="N608" s="5"/>
      <c r="O608" s="5">
        <f ca="1">IFERROR(__xludf.DUMMYFUNCTION("""COMPUTED_VALUE"""),100)</f>
        <v>100</v>
      </c>
      <c r="P608" s="18">
        <f ca="1">IFERROR(__xludf.DUMMYFUNCTION("""COMPUTED_VALUE"""),45327)</f>
        <v>45327</v>
      </c>
      <c r="Q608" s="18">
        <f ca="1">IFERROR(__xludf.DUMMYFUNCTION("""COMPUTED_VALUE"""),45327)</f>
        <v>45327</v>
      </c>
      <c r="R608" s="18"/>
      <c r="S608" s="5">
        <f ca="1">IFERROR(__xludf.DUMMYFUNCTION("""COMPUTED_VALUE"""),2)</f>
        <v>2</v>
      </c>
      <c r="T608" s="5"/>
      <c r="U608" s="5" t="str">
        <f ca="1">IFERROR(__xludf.DUMMYFUNCTION("""COMPUTED_VALUE"""),"Duran Sanchez Nelson Fernando")</f>
        <v>Duran Sanchez Nelson Fernando</v>
      </c>
      <c r="V608" s="5"/>
      <c r="W608" s="5" t="str">
        <f ca="1">IFERROR(__xludf.DUMMYFUNCTION("""COMPUTED_VALUE"""),"mC-oIXOv0tE")</f>
        <v>mC-oIXOv0tE</v>
      </c>
      <c r="X608" s="5">
        <f ca="1">IFERROR(__xludf.DUMMYFUNCTION("""COMPUTED_VALUE"""),2)</f>
        <v>2</v>
      </c>
      <c r="Z608" s="3">
        <f ca="1">IFERROR(VLOOKUP(U608, 'Base de datos'!A:B, 2, FALSE), "")</f>
        <v>573187183243</v>
      </c>
      <c r="AA608" s="4" t="e">
        <f t="shared" ca="1" si="5"/>
        <v>#NAME?</v>
      </c>
    </row>
    <row r="609" spans="1:27" ht="15.75" customHeight="1">
      <c r="A609" s="5" t="str">
        <f ca="1">IFERROR(__xludf.DUMMYFUNCTION("""COMPUTED_VALUE"""),"POSTOBÓN YUMBO")</f>
        <v>POSTOBÓN YUMBO</v>
      </c>
      <c r="B609" s="5" t="str">
        <f ca="1">IFERROR(__xludf.DUMMYFUNCTION("""COMPUTED_VALUE"""),"0410-LINEA 2")</f>
        <v>0410-LINEA 2</v>
      </c>
      <c r="C609" s="5" t="str">
        <f ca="1">IFERROR(__xludf.DUMMYFUNCTION("""COMPUTED_VALUE"""),"LINEA DE ENVASADO FAMILIAR Y PRB")</f>
        <v>LINEA DE ENVASADO FAMILIAR Y PRB</v>
      </c>
      <c r="D609" s="5">
        <f ca="1">IFERROR(__xludf.DUMMYFUNCTION("""COMPUTED_VALUE"""),828006)</f>
        <v>828006</v>
      </c>
      <c r="E609" s="5" t="str">
        <f ca="1">IFERROR(__xludf.DUMMYFUNCTION("""COMPUTED_VALUE"""),"EMPACADORA")</f>
        <v>EMPACADORA</v>
      </c>
      <c r="F609" s="5">
        <f ca="1">IFERROR(__xludf.DUMMYFUNCTION("""COMPUTED_VALUE"""),22509)</f>
        <v>22509</v>
      </c>
      <c r="G609" s="5" t="str">
        <f ca="1">IFERROR(__xludf.DUMMYFUNCTION("""COMPUTED_VALUE"""),"PLAN MTTO LUB EMPACADORA 828006 L2")</f>
        <v>PLAN MTTO LUB EMPACADORA 828006 L2</v>
      </c>
      <c r="H609" s="5">
        <f ca="1">IFERROR(__xludf.DUMMYFUNCTION("""COMPUTED_VALUE"""),13232360)</f>
        <v>13232360</v>
      </c>
      <c r="I609" s="5" t="str">
        <f ca="1">IFERROR(__xludf.DUMMYFUNCTION("""COMPUTED_VALUE"""),"Lubricar Tablero Lubricacion Gral")</f>
        <v>Lubricar Tablero Lubricacion Gral</v>
      </c>
      <c r="J609" s="5" t="str">
        <f ca="1">IFERROR(__xludf.DUMMYFUNCTION("""COMPUTED_VALUE"""),"MEDIO")</f>
        <v>MEDIO</v>
      </c>
      <c r="K609" s="5" t="str">
        <f ca="1">IFERROR(__xludf.DUMMYFUNCTION("""COMPUTED_VALUE"""),"Preventivo")</f>
        <v>Preventivo</v>
      </c>
      <c r="L609" s="5" t="str">
        <f ca="1">IFERROR(__xludf.DUMMYFUNCTION("""COMPUTED_VALUE"""),"Maquinaria")</f>
        <v>Maquinaria</v>
      </c>
      <c r="M609" s="5" t="str">
        <f ca="1">IFERROR(__xludf.DUMMYFUNCTION("""COMPUTED_VALUE"""),"No")</f>
        <v>No</v>
      </c>
      <c r="N609" s="5"/>
      <c r="O609" s="5"/>
      <c r="P609" s="18">
        <f ca="1">IFERROR(__xludf.DUMMYFUNCTION("""COMPUTED_VALUE"""),45329)</f>
        <v>45329</v>
      </c>
      <c r="Q609" s="18">
        <f ca="1">IFERROR(__xludf.DUMMYFUNCTION("""COMPUTED_VALUE"""),45329)</f>
        <v>45329</v>
      </c>
      <c r="R609" s="18"/>
      <c r="S609" s="5">
        <f ca="1">IFERROR(__xludf.DUMMYFUNCTION("""COMPUTED_VALUE"""),2)</f>
        <v>2</v>
      </c>
      <c r="T609" s="5"/>
      <c r="U609" s="5" t="str">
        <f ca="1">IFERROR(__xludf.DUMMYFUNCTION("""COMPUTED_VALUE"""),"Andrés Felipe Pérez Polania")</f>
        <v>Andrés Felipe Pérez Polania</v>
      </c>
      <c r="V609" s="5"/>
      <c r="W609" s="5" t="str">
        <f ca="1">IFERROR(__xludf.DUMMYFUNCTION("""COMPUTED_VALUE"""),"OUYApLReMKw")</f>
        <v>OUYApLReMKw</v>
      </c>
      <c r="X609" s="5">
        <f ca="1">IFERROR(__xludf.DUMMYFUNCTION("""COMPUTED_VALUE"""),2)</f>
        <v>2</v>
      </c>
      <c r="Z609" s="3">
        <f ca="1">IFERROR(VLOOKUP(U609, 'Base de datos'!A:B, 2, FALSE), "")</f>
        <v>573186924079</v>
      </c>
      <c r="AA609" s="4" t="e">
        <f t="shared" ca="1" si="5"/>
        <v>#NAME?</v>
      </c>
    </row>
    <row r="610" spans="1:27" ht="15.75" customHeight="1">
      <c r="Z610" s="3" t="str">
        <f>IFERROR(VLOOKUP(U610, 'Base de datos'!A:B, 2, FALSE), "")</f>
        <v/>
      </c>
      <c r="AA610" s="4" t="e">
        <f t="shared" ca="1" si="5"/>
        <v>#NAME?</v>
      </c>
    </row>
    <row r="611" spans="1:27" ht="15.75" customHeight="1">
      <c r="Z611" s="3" t="str">
        <f>IFERROR(VLOOKUP(U611, 'Base de datos'!A:B, 2, FALSE), "")</f>
        <v/>
      </c>
      <c r="AA611" s="4" t="e">
        <f t="shared" ca="1" si="5"/>
        <v>#NAME?</v>
      </c>
    </row>
    <row r="612" spans="1:27" ht="15.75" customHeight="1">
      <c r="Z612" s="3" t="str">
        <f>IFERROR(VLOOKUP(U612, 'Base de datos'!A:B, 2, FALSE), "")</f>
        <v/>
      </c>
      <c r="AA612" s="4" t="e">
        <f t="shared" ca="1" si="5"/>
        <v>#NAME?</v>
      </c>
    </row>
    <row r="613" spans="1:27" ht="15.75" customHeight="1">
      <c r="Z613" s="3" t="str">
        <f>IFERROR(VLOOKUP(U613, 'Base de datos'!A:B, 2, FALSE), "")</f>
        <v/>
      </c>
      <c r="AA613" s="4" t="e">
        <f t="shared" ca="1" si="5"/>
        <v>#NAME?</v>
      </c>
    </row>
    <row r="614" spans="1:27" ht="15.75" customHeight="1">
      <c r="Z614" s="3" t="str">
        <f>IFERROR(VLOOKUP(U614, 'Base de datos'!A:B, 2, FALSE), "")</f>
        <v/>
      </c>
      <c r="AA614" s="4" t="e">
        <f t="shared" ca="1" si="5"/>
        <v>#NAME?</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M1000"/>
  <sheetViews>
    <sheetView workbookViewId="0"/>
  </sheetViews>
  <sheetFormatPr baseColWidth="10" defaultColWidth="12.6640625" defaultRowHeight="15.75" customHeight="1"/>
  <sheetData>
    <row r="1" spans="1:13" ht="15.75" customHeight="1">
      <c r="A1" s="19" t="s">
        <v>6</v>
      </c>
      <c r="B1" s="20" t="s">
        <v>7</v>
      </c>
      <c r="C1" s="20" t="s">
        <v>8</v>
      </c>
      <c r="D1" s="20" t="s">
        <v>9</v>
      </c>
      <c r="E1" s="20" t="s">
        <v>10</v>
      </c>
      <c r="F1" s="20" t="s">
        <v>11</v>
      </c>
      <c r="G1" s="20" t="s">
        <v>12</v>
      </c>
      <c r="H1" s="20" t="s">
        <v>43</v>
      </c>
      <c r="I1" s="20" t="s">
        <v>19</v>
      </c>
      <c r="J1" s="21" t="s">
        <v>37</v>
      </c>
      <c r="K1" s="5" t="s">
        <v>44</v>
      </c>
      <c r="M1" s="22"/>
    </row>
    <row r="2" spans="1:13" ht="15.75" customHeight="1">
      <c r="A2" s="23" t="s">
        <v>45</v>
      </c>
      <c r="B2" s="22" t="s">
        <v>46</v>
      </c>
      <c r="C2" s="24">
        <v>45356</v>
      </c>
      <c r="D2" s="22" t="s">
        <v>47</v>
      </c>
      <c r="E2" s="25">
        <v>3.62</v>
      </c>
      <c r="F2" s="22" t="s">
        <v>48</v>
      </c>
      <c r="G2" s="22" t="s">
        <v>49</v>
      </c>
      <c r="H2" s="22" t="s">
        <v>50</v>
      </c>
      <c r="I2" s="22" t="s">
        <v>51</v>
      </c>
      <c r="J2" s="13" t="str">
        <f t="array" ref="J2">IFERROR(INDEX(BasedatosM9!B:B, MATCH(A2, BasedatosM9!E:E, 0)), "")</f>
        <v/>
      </c>
      <c r="K2" s="5" t="str">
        <f t="shared" ref="K2:K256" si="0">IF(ISNUMBER(FIND("0410-ENVASADO JUGOS PET HOT F", H2)), "LINE 8", IF(ISNUMBER(FIND("0410-LINEA 1", H2)), "LINE 1",IF(ISNUMBER(FIND("0410-LINEA BOTELLON 20 LTS", H2)), "Agua cristal", IF(ISNUMBER(FIND("0410-LINEA DE BOLSAS", H2)), "Agua cristal", IF(ISNUMBER(FIND("0410-LINEA PET CSD", H2)), "LINE 10", "")))))</f>
        <v/>
      </c>
    </row>
    <row r="3" spans="1:13" ht="15.75" customHeight="1">
      <c r="A3" s="23" t="s">
        <v>52</v>
      </c>
      <c r="B3" s="22" t="s">
        <v>53</v>
      </c>
      <c r="C3" s="24">
        <v>45355</v>
      </c>
      <c r="D3" s="22" t="s">
        <v>54</v>
      </c>
      <c r="E3" s="25">
        <v>0.25</v>
      </c>
      <c r="F3" s="22" t="s">
        <v>55</v>
      </c>
      <c r="G3" s="22" t="s">
        <v>56</v>
      </c>
      <c r="H3" s="22" t="s">
        <v>57</v>
      </c>
      <c r="I3" s="22" t="s">
        <v>58</v>
      </c>
      <c r="J3" s="13" t="str">
        <f t="array" ref="J3">IFERROR(INDEX(BasedatosM9!B:B, MATCH(A3, BasedatosM9!E:E, 0)), "")</f>
        <v/>
      </c>
      <c r="K3" s="5" t="str">
        <f t="shared" si="0"/>
        <v/>
      </c>
    </row>
    <row r="4" spans="1:13" ht="15.75" customHeight="1">
      <c r="A4" s="23" t="s">
        <v>52</v>
      </c>
      <c r="B4" s="22" t="s">
        <v>59</v>
      </c>
      <c r="C4" s="24">
        <v>45355</v>
      </c>
      <c r="D4" s="22" t="s">
        <v>54</v>
      </c>
      <c r="E4" s="25">
        <v>0.33</v>
      </c>
      <c r="F4" s="22" t="s">
        <v>60</v>
      </c>
      <c r="G4" s="22" t="s">
        <v>61</v>
      </c>
      <c r="H4" s="22" t="s">
        <v>57</v>
      </c>
      <c r="I4" s="22" t="s">
        <v>58</v>
      </c>
      <c r="J4" s="13" t="str">
        <f t="array" ref="J4">IFERROR(INDEX(BasedatosM9!B:B, MATCH(A4, BasedatosM9!E:E, 0)), "")</f>
        <v/>
      </c>
      <c r="K4" s="5" t="str">
        <f t="shared" si="0"/>
        <v/>
      </c>
      <c r="L4" s="26"/>
    </row>
    <row r="5" spans="1:13" ht="15.75" customHeight="1">
      <c r="A5" s="23" t="s">
        <v>52</v>
      </c>
      <c r="B5" s="22" t="s">
        <v>62</v>
      </c>
      <c r="C5" s="24">
        <v>45355</v>
      </c>
      <c r="D5" s="22" t="s">
        <v>54</v>
      </c>
      <c r="E5" s="25">
        <v>0.68</v>
      </c>
      <c r="F5" s="22" t="s">
        <v>63</v>
      </c>
      <c r="G5" s="22" t="s">
        <v>64</v>
      </c>
      <c r="H5" s="22" t="s">
        <v>57</v>
      </c>
      <c r="I5" s="22" t="s">
        <v>58</v>
      </c>
      <c r="J5" s="13" t="str">
        <f t="array" ref="J5">IFERROR(INDEX(BasedatosM9!B:B, MATCH(A5, BasedatosM9!E:E, 0)), "")</f>
        <v/>
      </c>
      <c r="K5" s="5" t="str">
        <f t="shared" si="0"/>
        <v/>
      </c>
    </row>
    <row r="6" spans="1:13" ht="15.75" customHeight="1">
      <c r="A6" s="23" t="s">
        <v>65</v>
      </c>
      <c r="B6" s="22" t="s">
        <v>66</v>
      </c>
      <c r="C6" s="24">
        <v>45355</v>
      </c>
      <c r="D6" s="22" t="s">
        <v>67</v>
      </c>
      <c r="E6" s="25">
        <v>0.05</v>
      </c>
      <c r="F6" s="22" t="s">
        <v>68</v>
      </c>
      <c r="G6" s="22" t="s">
        <v>69</v>
      </c>
      <c r="H6" s="22" t="s">
        <v>70</v>
      </c>
      <c r="I6" s="22" t="s">
        <v>71</v>
      </c>
      <c r="J6" s="13" t="str">
        <f t="array" ref="J6">IFERROR(INDEX(BasedatosM9!B:B, MATCH(A6, BasedatosM9!E:E, 0)), "")</f>
        <v/>
      </c>
      <c r="K6" s="5" t="str">
        <f t="shared" si="0"/>
        <v/>
      </c>
    </row>
    <row r="7" spans="1:13" ht="15.75" customHeight="1">
      <c r="A7" s="23" t="s">
        <v>72</v>
      </c>
      <c r="B7" s="22" t="s">
        <v>73</v>
      </c>
      <c r="C7" s="24">
        <v>45353</v>
      </c>
      <c r="D7" s="22" t="s">
        <v>67</v>
      </c>
      <c r="E7" s="25">
        <v>0.22</v>
      </c>
      <c r="F7" s="22" t="s">
        <v>74</v>
      </c>
      <c r="G7" s="22" t="s">
        <v>75</v>
      </c>
      <c r="H7" s="22" t="s">
        <v>76</v>
      </c>
      <c r="I7" s="22" t="s">
        <v>71</v>
      </c>
      <c r="J7" s="13" t="str">
        <f t="array" ref="J7">IFERROR(INDEX(BasedatosM9!B:B, MATCH(A7, BasedatosM9!E:E, 0)), "")</f>
        <v/>
      </c>
      <c r="K7" s="5" t="str">
        <f t="shared" si="0"/>
        <v/>
      </c>
    </row>
    <row r="8" spans="1:13" ht="15.75" customHeight="1">
      <c r="A8" s="23" t="s">
        <v>77</v>
      </c>
      <c r="B8" s="22" t="s">
        <v>78</v>
      </c>
      <c r="C8" s="24">
        <v>45356</v>
      </c>
      <c r="D8" s="22" t="s">
        <v>79</v>
      </c>
      <c r="E8" s="25">
        <v>0.3</v>
      </c>
      <c r="F8" s="22" t="s">
        <v>80</v>
      </c>
      <c r="G8" s="22" t="s">
        <v>81</v>
      </c>
      <c r="H8" s="22" t="s">
        <v>82</v>
      </c>
      <c r="I8" s="22" t="s">
        <v>58</v>
      </c>
      <c r="J8" s="13" t="str">
        <f t="array" ref="J8">IFERROR(INDEX(BasedatosM9!B:B, MATCH(A8, BasedatosM9!E:E, 0)), "")</f>
        <v/>
      </c>
      <c r="K8" s="5" t="str">
        <f t="shared" si="0"/>
        <v/>
      </c>
    </row>
    <row r="9" spans="1:13" ht="15.75" customHeight="1">
      <c r="A9" s="23" t="s">
        <v>77</v>
      </c>
      <c r="B9" s="22" t="s">
        <v>83</v>
      </c>
      <c r="C9" s="24">
        <v>45356</v>
      </c>
      <c r="D9" s="22" t="s">
        <v>79</v>
      </c>
      <c r="E9" s="25">
        <v>0.38</v>
      </c>
      <c r="F9" s="22" t="s">
        <v>60</v>
      </c>
      <c r="G9" s="22" t="s">
        <v>84</v>
      </c>
      <c r="H9" s="22" t="s">
        <v>82</v>
      </c>
      <c r="I9" s="22" t="s">
        <v>58</v>
      </c>
      <c r="J9" s="13" t="str">
        <f t="array" ref="J9">IFERROR(INDEX(BasedatosM9!B:B, MATCH(A9, BasedatosM9!E:E, 0)), "")</f>
        <v/>
      </c>
      <c r="K9" s="5" t="str">
        <f t="shared" si="0"/>
        <v/>
      </c>
    </row>
    <row r="10" spans="1:13" ht="15.75" customHeight="1">
      <c r="A10" s="23" t="s">
        <v>52</v>
      </c>
      <c r="B10" s="22" t="s">
        <v>85</v>
      </c>
      <c r="C10" s="24">
        <v>45356</v>
      </c>
      <c r="D10" s="22" t="s">
        <v>86</v>
      </c>
      <c r="E10" s="25">
        <v>0.17</v>
      </c>
      <c r="F10" s="22" t="s">
        <v>87</v>
      </c>
      <c r="G10" s="22" t="s">
        <v>88</v>
      </c>
      <c r="H10" s="22" t="s">
        <v>57</v>
      </c>
      <c r="I10" s="22" t="s">
        <v>58</v>
      </c>
      <c r="J10" s="13" t="str">
        <f t="array" ref="J10">IFERROR(INDEX(BasedatosM9!B:B, MATCH(A10, BasedatosM9!E:E, 0)), "")</f>
        <v/>
      </c>
      <c r="K10" s="5" t="str">
        <f t="shared" si="0"/>
        <v/>
      </c>
    </row>
    <row r="11" spans="1:13" ht="15.75" customHeight="1">
      <c r="A11" s="23" t="s">
        <v>52</v>
      </c>
      <c r="B11" s="22" t="s">
        <v>89</v>
      </c>
      <c r="C11" s="24">
        <v>45356</v>
      </c>
      <c r="D11" s="22" t="s">
        <v>90</v>
      </c>
      <c r="E11" s="25">
        <v>0.22</v>
      </c>
      <c r="F11" s="22" t="s">
        <v>91</v>
      </c>
      <c r="G11" s="22" t="s">
        <v>92</v>
      </c>
      <c r="H11" s="22" t="s">
        <v>57</v>
      </c>
      <c r="I11" s="22" t="s">
        <v>58</v>
      </c>
      <c r="J11" s="13" t="str">
        <f t="array" ref="J11">IFERROR(INDEX(BasedatosM9!B:B, MATCH(A11, BasedatosM9!E:E, 0)), "")</f>
        <v/>
      </c>
      <c r="K11" s="5" t="str">
        <f t="shared" si="0"/>
        <v/>
      </c>
    </row>
    <row r="12" spans="1:13" ht="15.75" customHeight="1">
      <c r="A12" s="23" t="s">
        <v>77</v>
      </c>
      <c r="B12" s="22" t="s">
        <v>93</v>
      </c>
      <c r="C12" s="24">
        <v>45357</v>
      </c>
      <c r="D12" s="22" t="s">
        <v>79</v>
      </c>
      <c r="E12" s="25">
        <v>0.33</v>
      </c>
      <c r="F12" s="22" t="s">
        <v>80</v>
      </c>
      <c r="G12" s="22" t="s">
        <v>94</v>
      </c>
      <c r="H12" s="22" t="s">
        <v>82</v>
      </c>
      <c r="I12" s="22" t="s">
        <v>58</v>
      </c>
      <c r="J12" s="13" t="str">
        <f t="array" ref="J12">IFERROR(INDEX(BasedatosM9!B:B, MATCH(A12, BasedatosM9!E:E, 0)), "")</f>
        <v/>
      </c>
      <c r="K12" s="5" t="str">
        <f t="shared" si="0"/>
        <v/>
      </c>
    </row>
    <row r="13" spans="1:13" ht="15.75" customHeight="1">
      <c r="A13" s="23" t="s">
        <v>77</v>
      </c>
      <c r="B13" s="22" t="s">
        <v>95</v>
      </c>
      <c r="C13" s="24">
        <v>45357</v>
      </c>
      <c r="D13" s="22" t="s">
        <v>79</v>
      </c>
      <c r="E13" s="25">
        <v>0.25</v>
      </c>
      <c r="F13" s="22" t="s">
        <v>96</v>
      </c>
      <c r="G13" s="22" t="s">
        <v>97</v>
      </c>
      <c r="H13" s="22" t="s">
        <v>82</v>
      </c>
      <c r="I13" s="22" t="s">
        <v>58</v>
      </c>
      <c r="J13" s="13" t="str">
        <f t="array" ref="J13">IFERROR(INDEX(BasedatosM9!B:B, MATCH(A13, BasedatosM9!E:E, 0)), "")</f>
        <v/>
      </c>
      <c r="K13" s="5" t="str">
        <f t="shared" si="0"/>
        <v/>
      </c>
    </row>
    <row r="14" spans="1:13" ht="15.75" customHeight="1">
      <c r="A14" s="23" t="s">
        <v>52</v>
      </c>
      <c r="B14" s="22" t="s">
        <v>98</v>
      </c>
      <c r="C14" s="24">
        <v>45357</v>
      </c>
      <c r="D14" s="22" t="s">
        <v>86</v>
      </c>
      <c r="E14" s="25">
        <v>0.32</v>
      </c>
      <c r="F14" s="22" t="s">
        <v>99</v>
      </c>
      <c r="G14" s="22" t="s">
        <v>100</v>
      </c>
      <c r="H14" s="22" t="s">
        <v>57</v>
      </c>
      <c r="I14" s="22" t="s">
        <v>58</v>
      </c>
      <c r="J14" s="13" t="str">
        <f t="array" ref="J14">IFERROR(INDEX(BasedatosM9!B:B, MATCH(A14, BasedatosM9!E:E, 0)), "")</f>
        <v/>
      </c>
      <c r="K14" s="5" t="str">
        <f t="shared" si="0"/>
        <v/>
      </c>
    </row>
    <row r="15" spans="1:13" ht="14.4">
      <c r="A15" s="23" t="s">
        <v>52</v>
      </c>
      <c r="B15" s="22" t="s">
        <v>101</v>
      </c>
      <c r="C15" s="24">
        <v>45358</v>
      </c>
      <c r="D15" s="22" t="s">
        <v>54</v>
      </c>
      <c r="E15" s="25">
        <v>0.5</v>
      </c>
      <c r="F15" s="22" t="s">
        <v>102</v>
      </c>
      <c r="G15" s="22" t="s">
        <v>103</v>
      </c>
      <c r="H15" s="22" t="s">
        <v>57</v>
      </c>
      <c r="I15" s="22" t="s">
        <v>58</v>
      </c>
      <c r="J15" s="13" t="str">
        <f t="array" ref="J15">IFERROR(INDEX(BasedatosM9!B:B, MATCH(A15, BasedatosM9!E:E, 0)), "")</f>
        <v/>
      </c>
      <c r="K15" s="5" t="str">
        <f t="shared" si="0"/>
        <v/>
      </c>
    </row>
    <row r="16" spans="1:13" ht="14.4">
      <c r="A16" s="23" t="s">
        <v>52</v>
      </c>
      <c r="B16" s="22" t="s">
        <v>104</v>
      </c>
      <c r="C16" s="24">
        <v>45358</v>
      </c>
      <c r="D16" s="22" t="s">
        <v>86</v>
      </c>
      <c r="E16" s="25">
        <v>0.2</v>
      </c>
      <c r="F16" s="22" t="s">
        <v>60</v>
      </c>
      <c r="G16" s="22" t="s">
        <v>105</v>
      </c>
      <c r="H16" s="22" t="s">
        <v>57</v>
      </c>
      <c r="I16" s="22" t="s">
        <v>58</v>
      </c>
      <c r="J16" s="13" t="str">
        <f t="array" ref="J16">IFERROR(INDEX(BasedatosM9!B:B, MATCH(A16, BasedatosM9!E:E, 0)), "")</f>
        <v/>
      </c>
      <c r="K16" s="5" t="str">
        <f t="shared" si="0"/>
        <v/>
      </c>
    </row>
    <row r="17" spans="1:11" ht="14.4">
      <c r="A17" s="23" t="s">
        <v>52</v>
      </c>
      <c r="B17" s="22" t="s">
        <v>106</v>
      </c>
      <c r="C17" s="24">
        <v>45358</v>
      </c>
      <c r="D17" s="22" t="s">
        <v>107</v>
      </c>
      <c r="E17" s="25">
        <v>0.75</v>
      </c>
      <c r="F17" s="22" t="s">
        <v>88</v>
      </c>
      <c r="G17" s="22" t="s">
        <v>108</v>
      </c>
      <c r="H17" s="22" t="s">
        <v>57</v>
      </c>
      <c r="I17" s="22" t="s">
        <v>58</v>
      </c>
      <c r="J17" s="13" t="str">
        <f t="array" ref="J17">IFERROR(INDEX(BasedatosM9!B:B, MATCH(A17, BasedatosM9!E:E, 0)), "")</f>
        <v/>
      </c>
      <c r="K17" s="5" t="str">
        <f t="shared" si="0"/>
        <v/>
      </c>
    </row>
    <row r="18" spans="1:11" ht="14.4">
      <c r="A18" s="23" t="s">
        <v>109</v>
      </c>
      <c r="B18" s="22" t="s">
        <v>110</v>
      </c>
      <c r="C18" s="24">
        <v>45359</v>
      </c>
      <c r="D18" s="22" t="s">
        <v>79</v>
      </c>
      <c r="E18" s="25">
        <v>0.67</v>
      </c>
      <c r="F18" s="22" t="s">
        <v>111</v>
      </c>
      <c r="G18" s="22" t="s">
        <v>102</v>
      </c>
      <c r="H18" s="22" t="s">
        <v>112</v>
      </c>
      <c r="I18" s="22" t="s">
        <v>58</v>
      </c>
      <c r="J18" s="13" t="str">
        <f t="array" ref="J18">IFERROR(INDEX(BasedatosM9!B:B, MATCH(A18, BasedatosM9!E:E, 0)), "")</f>
        <v/>
      </c>
      <c r="K18" s="5" t="str">
        <f t="shared" si="0"/>
        <v/>
      </c>
    </row>
    <row r="19" spans="1:11" ht="14.4">
      <c r="A19" s="23" t="s">
        <v>72</v>
      </c>
      <c r="B19" s="22" t="s">
        <v>113</v>
      </c>
      <c r="C19" s="24">
        <v>45354</v>
      </c>
      <c r="D19" s="22" t="s">
        <v>67</v>
      </c>
      <c r="E19" s="25">
        <v>0.17</v>
      </c>
      <c r="F19" s="22" t="s">
        <v>114</v>
      </c>
      <c r="G19" s="22" t="s">
        <v>115</v>
      </c>
      <c r="H19" s="22" t="s">
        <v>76</v>
      </c>
      <c r="I19" s="22" t="s">
        <v>71</v>
      </c>
      <c r="J19" s="13" t="str">
        <f t="array" ref="J19">IFERROR(INDEX(BasedatosM9!B:B, MATCH(A19, BasedatosM9!E:E, 0)), "")</f>
        <v/>
      </c>
      <c r="K19" s="5" t="str">
        <f t="shared" si="0"/>
        <v/>
      </c>
    </row>
    <row r="20" spans="1:11" ht="14.4">
      <c r="A20" s="23" t="s">
        <v>72</v>
      </c>
      <c r="B20" s="22" t="s">
        <v>116</v>
      </c>
      <c r="C20" s="24">
        <v>45355</v>
      </c>
      <c r="D20" s="22" t="s">
        <v>117</v>
      </c>
      <c r="E20" s="25">
        <v>0.08</v>
      </c>
      <c r="F20" s="22" t="s">
        <v>118</v>
      </c>
      <c r="G20" s="22" t="s">
        <v>119</v>
      </c>
      <c r="H20" s="22" t="s">
        <v>76</v>
      </c>
      <c r="I20" s="22" t="s">
        <v>120</v>
      </c>
      <c r="J20" s="13" t="str">
        <f t="array" ref="J20">IFERROR(INDEX(BasedatosM9!B:B, MATCH(A20, BasedatosM9!E:E, 0)), "")</f>
        <v/>
      </c>
      <c r="K20" s="5" t="str">
        <f t="shared" si="0"/>
        <v/>
      </c>
    </row>
    <row r="21" spans="1:11" ht="14.4">
      <c r="A21" s="23" t="s">
        <v>72</v>
      </c>
      <c r="B21" s="22" t="s">
        <v>121</v>
      </c>
      <c r="C21" s="24">
        <v>45356</v>
      </c>
      <c r="D21" s="22" t="s">
        <v>117</v>
      </c>
      <c r="E21" s="25">
        <v>0.08</v>
      </c>
      <c r="F21" s="22" t="s">
        <v>122</v>
      </c>
      <c r="G21" s="22" t="s">
        <v>123</v>
      </c>
      <c r="H21" s="22" t="s">
        <v>76</v>
      </c>
      <c r="I21" s="22" t="s">
        <v>120</v>
      </c>
      <c r="J21" s="13" t="str">
        <f t="array" ref="J21">IFERROR(INDEX(BasedatosM9!B:B, MATCH(A21, BasedatosM9!E:E, 0)), "")</f>
        <v/>
      </c>
      <c r="K21" s="5" t="str">
        <f t="shared" si="0"/>
        <v/>
      </c>
    </row>
    <row r="22" spans="1:11" ht="14.4">
      <c r="A22" s="23"/>
      <c r="B22" s="22"/>
      <c r="C22" s="24"/>
      <c r="D22" s="22"/>
      <c r="E22" s="25"/>
      <c r="F22" s="22"/>
      <c r="G22" s="22"/>
      <c r="H22" s="22"/>
      <c r="I22" s="22"/>
      <c r="J22" s="13" t="str">
        <f t="array" ref="J22">IFERROR(INDEX(BasedatosM9!B:B, MATCH(A22, BasedatosM9!E:E, 0)), "")</f>
        <v/>
      </c>
      <c r="K22" s="5" t="str">
        <f t="shared" si="0"/>
        <v/>
      </c>
    </row>
    <row r="23" spans="1:11" ht="14.4">
      <c r="A23" s="23"/>
      <c r="B23" s="22"/>
      <c r="C23" s="24"/>
      <c r="D23" s="22"/>
      <c r="E23" s="25"/>
      <c r="F23" s="22"/>
      <c r="G23" s="22"/>
      <c r="H23" s="22"/>
      <c r="I23" s="22"/>
      <c r="J23" s="13" t="str">
        <f t="array" ref="J23">IFERROR(INDEX(BasedatosM9!B:B, MATCH(A23, BasedatosM9!E:E, 0)), "")</f>
        <v/>
      </c>
      <c r="K23" s="5" t="str">
        <f t="shared" si="0"/>
        <v/>
      </c>
    </row>
    <row r="24" spans="1:11" ht="14.4">
      <c r="A24" s="23"/>
      <c r="B24" s="22"/>
      <c r="C24" s="24"/>
      <c r="D24" s="22"/>
      <c r="E24" s="25"/>
      <c r="F24" s="22"/>
      <c r="G24" s="22"/>
      <c r="H24" s="22"/>
      <c r="I24" s="22"/>
      <c r="J24" s="13" t="str">
        <f t="array" ref="J24">IFERROR(INDEX(BasedatosM9!B:B, MATCH(A24, BasedatosM9!E:E, 0)), "")</f>
        <v/>
      </c>
      <c r="K24" s="5" t="str">
        <f t="shared" si="0"/>
        <v/>
      </c>
    </row>
    <row r="25" spans="1:11" ht="14.4">
      <c r="A25" s="23"/>
      <c r="B25" s="22"/>
      <c r="C25" s="24"/>
      <c r="D25" s="22"/>
      <c r="E25" s="25"/>
      <c r="F25" s="22"/>
      <c r="G25" s="22"/>
      <c r="H25" s="22"/>
      <c r="I25" s="22"/>
      <c r="J25" s="13" t="str">
        <f t="array" ref="J25">IFERROR(INDEX(BasedatosM9!B:B, MATCH(A25, BasedatosM9!E:E, 0)), "")</f>
        <v/>
      </c>
      <c r="K25" s="5" t="str">
        <f t="shared" si="0"/>
        <v/>
      </c>
    </row>
    <row r="26" spans="1:11" ht="14.4">
      <c r="A26" s="23"/>
      <c r="B26" s="22"/>
      <c r="C26" s="24"/>
      <c r="D26" s="22"/>
      <c r="E26" s="25"/>
      <c r="F26" s="22"/>
      <c r="G26" s="22"/>
      <c r="H26" s="22"/>
      <c r="I26" s="22"/>
      <c r="J26" s="13" t="str">
        <f t="array" ref="J26">IFERROR(INDEX(BasedatosM9!B:B, MATCH(A26, BasedatosM9!E:E, 0)), "")</f>
        <v/>
      </c>
      <c r="K26" s="5" t="str">
        <f t="shared" si="0"/>
        <v/>
      </c>
    </row>
    <row r="27" spans="1:11" ht="14.4">
      <c r="A27" s="23"/>
      <c r="B27" s="22"/>
      <c r="C27" s="24"/>
      <c r="D27" s="22"/>
      <c r="E27" s="25"/>
      <c r="F27" s="22"/>
      <c r="G27" s="22"/>
      <c r="H27" s="22"/>
      <c r="I27" s="22"/>
      <c r="J27" s="13" t="str">
        <f t="array" ref="J27">IFERROR(INDEX(BasedatosM9!B:B, MATCH(A27, BasedatosM9!E:E, 0)), "")</f>
        <v/>
      </c>
      <c r="K27" s="5" t="str">
        <f t="shared" si="0"/>
        <v/>
      </c>
    </row>
    <row r="28" spans="1:11" ht="14.4">
      <c r="A28" s="23"/>
      <c r="B28" s="22"/>
      <c r="C28" s="24"/>
      <c r="D28" s="22"/>
      <c r="E28" s="25"/>
      <c r="F28" s="22"/>
      <c r="G28" s="22"/>
      <c r="H28" s="22"/>
      <c r="I28" s="22"/>
      <c r="J28" s="13" t="str">
        <f t="array" ref="J28">IFERROR(INDEX(BasedatosM9!B:B, MATCH(A28, BasedatosM9!E:E, 0)), "")</f>
        <v/>
      </c>
      <c r="K28" s="5" t="str">
        <f t="shared" si="0"/>
        <v/>
      </c>
    </row>
    <row r="29" spans="1:11" ht="14.4">
      <c r="A29" s="23"/>
      <c r="B29" s="22"/>
      <c r="C29" s="24"/>
      <c r="D29" s="22"/>
      <c r="E29" s="25"/>
      <c r="F29" s="22"/>
      <c r="G29" s="22"/>
      <c r="H29" s="22"/>
      <c r="I29" s="22"/>
      <c r="J29" s="13" t="str">
        <f t="array" ref="J29">IFERROR(INDEX(BasedatosM9!B:B, MATCH(A29, BasedatosM9!E:E, 0)), "")</f>
        <v/>
      </c>
      <c r="K29" s="5" t="str">
        <f t="shared" si="0"/>
        <v/>
      </c>
    </row>
    <row r="30" spans="1:11" ht="14.4">
      <c r="A30" s="23"/>
      <c r="B30" s="22"/>
      <c r="C30" s="24"/>
      <c r="D30" s="22"/>
      <c r="E30" s="25"/>
      <c r="F30" s="22"/>
      <c r="G30" s="22"/>
      <c r="H30" s="22"/>
      <c r="I30" s="22"/>
      <c r="J30" s="13" t="str">
        <f t="array" ref="J30">IFERROR(INDEX(BasedatosM9!B:B, MATCH(A30, BasedatosM9!E:E, 0)), "")</f>
        <v/>
      </c>
      <c r="K30" s="5" t="str">
        <f t="shared" si="0"/>
        <v/>
      </c>
    </row>
    <row r="31" spans="1:11" ht="14.4">
      <c r="A31" s="23"/>
      <c r="B31" s="22"/>
      <c r="C31" s="24"/>
      <c r="D31" s="22"/>
      <c r="E31" s="25"/>
      <c r="F31" s="22"/>
      <c r="G31" s="22"/>
      <c r="H31" s="22"/>
      <c r="I31" s="22"/>
      <c r="J31" s="13" t="str">
        <f t="array" ref="J31">IFERROR(INDEX(BasedatosM9!B:B, MATCH(A31, BasedatosM9!E:E, 0)), "")</f>
        <v/>
      </c>
      <c r="K31" s="5" t="str">
        <f t="shared" si="0"/>
        <v/>
      </c>
    </row>
    <row r="32" spans="1:11" ht="14.4">
      <c r="A32" s="23"/>
      <c r="B32" s="22"/>
      <c r="C32" s="24"/>
      <c r="D32" s="22"/>
      <c r="E32" s="25"/>
      <c r="F32" s="22"/>
      <c r="G32" s="22"/>
      <c r="H32" s="22"/>
      <c r="I32" s="22"/>
      <c r="J32" s="13" t="str">
        <f t="array" ref="J32">IFERROR(INDEX(BasedatosM9!B:B, MATCH(A32, BasedatosM9!E:E, 0)), "")</f>
        <v/>
      </c>
      <c r="K32" s="5" t="str">
        <f t="shared" si="0"/>
        <v/>
      </c>
    </row>
    <row r="33" spans="1:11" ht="14.4">
      <c r="A33" s="23"/>
      <c r="B33" s="22"/>
      <c r="C33" s="24"/>
      <c r="D33" s="22"/>
      <c r="E33" s="25"/>
      <c r="F33" s="22"/>
      <c r="G33" s="22"/>
      <c r="H33" s="22"/>
      <c r="I33" s="22"/>
      <c r="J33" s="13" t="str">
        <f t="array" ref="J33">IFERROR(INDEX(BasedatosM9!B:B, MATCH(A33, BasedatosM9!E:E, 0)), "")</f>
        <v/>
      </c>
      <c r="K33" s="5" t="str">
        <f t="shared" si="0"/>
        <v/>
      </c>
    </row>
    <row r="34" spans="1:11" ht="14.4">
      <c r="A34" s="23"/>
      <c r="B34" s="22"/>
      <c r="C34" s="24"/>
      <c r="D34" s="22"/>
      <c r="E34" s="25"/>
      <c r="F34" s="22"/>
      <c r="G34" s="22"/>
      <c r="H34" s="22"/>
      <c r="I34" s="22"/>
      <c r="J34" s="13" t="str">
        <f t="array" ref="J34">IFERROR(INDEX(BasedatosM9!B:B, MATCH(A34, BasedatosM9!E:E, 0)), "")</f>
        <v/>
      </c>
      <c r="K34" s="5" t="str">
        <f t="shared" si="0"/>
        <v/>
      </c>
    </row>
    <row r="35" spans="1:11" ht="14.4">
      <c r="A35" s="23"/>
      <c r="B35" s="22"/>
      <c r="C35" s="24"/>
      <c r="D35" s="22"/>
      <c r="E35" s="25"/>
      <c r="F35" s="22"/>
      <c r="G35" s="22"/>
      <c r="H35" s="22"/>
      <c r="I35" s="22"/>
      <c r="J35" s="13" t="str">
        <f t="array" ref="J35">IFERROR(INDEX(BasedatosM9!B:B, MATCH(A35, BasedatosM9!E:E, 0)), "")</f>
        <v/>
      </c>
      <c r="K35" s="5" t="str">
        <f t="shared" si="0"/>
        <v/>
      </c>
    </row>
    <row r="36" spans="1:11" ht="14.4">
      <c r="A36" s="23"/>
      <c r="B36" s="22"/>
      <c r="C36" s="24"/>
      <c r="D36" s="22"/>
      <c r="E36" s="25"/>
      <c r="F36" s="22"/>
      <c r="G36" s="22"/>
      <c r="H36" s="22"/>
      <c r="I36" s="22"/>
      <c r="J36" s="13" t="str">
        <f t="array" ref="J36">IFERROR(INDEX(BasedatosM9!B:B, MATCH(A36, BasedatosM9!E:E, 0)), "")</f>
        <v/>
      </c>
      <c r="K36" s="5" t="str">
        <f t="shared" si="0"/>
        <v/>
      </c>
    </row>
    <row r="37" spans="1:11" ht="14.4">
      <c r="A37" s="23"/>
      <c r="B37" s="22"/>
      <c r="C37" s="24"/>
      <c r="D37" s="22"/>
      <c r="E37" s="25"/>
      <c r="F37" s="22"/>
      <c r="G37" s="22"/>
      <c r="H37" s="22"/>
      <c r="I37" s="22"/>
      <c r="J37" s="13" t="str">
        <f t="array" ref="J37">IFERROR(INDEX(BasedatosM9!B:B, MATCH(A37, BasedatosM9!E:E, 0)), "")</f>
        <v/>
      </c>
      <c r="K37" s="5" t="str">
        <f t="shared" si="0"/>
        <v/>
      </c>
    </row>
    <row r="38" spans="1:11" ht="14.4">
      <c r="A38" s="23"/>
      <c r="B38" s="22"/>
      <c r="C38" s="24"/>
      <c r="D38" s="22"/>
      <c r="E38" s="25"/>
      <c r="F38" s="22"/>
      <c r="G38" s="22"/>
      <c r="H38" s="22"/>
      <c r="I38" s="22"/>
      <c r="J38" s="13" t="str">
        <f t="array" ref="J38">IFERROR(INDEX(BasedatosM9!B:B, MATCH(A38, BasedatosM9!E:E, 0)), "")</f>
        <v/>
      </c>
      <c r="K38" s="5" t="str">
        <f t="shared" si="0"/>
        <v/>
      </c>
    </row>
    <row r="39" spans="1:11" ht="14.4">
      <c r="A39" s="23"/>
      <c r="B39" s="22"/>
      <c r="C39" s="24"/>
      <c r="D39" s="22"/>
      <c r="E39" s="25"/>
      <c r="F39" s="22"/>
      <c r="G39" s="22"/>
      <c r="H39" s="22"/>
      <c r="I39" s="22"/>
      <c r="J39" s="13" t="str">
        <f t="array" ref="J39">IFERROR(INDEX(BasedatosM9!B:B, MATCH(A39, BasedatosM9!E:E, 0)), "")</f>
        <v/>
      </c>
      <c r="K39" s="5" t="str">
        <f t="shared" si="0"/>
        <v/>
      </c>
    </row>
    <row r="40" spans="1:11" ht="14.4">
      <c r="A40" s="23"/>
      <c r="B40" s="22"/>
      <c r="C40" s="24"/>
      <c r="D40" s="22"/>
      <c r="E40" s="25"/>
      <c r="F40" s="22"/>
      <c r="G40" s="22"/>
      <c r="H40" s="22"/>
      <c r="I40" s="22"/>
      <c r="J40" s="13" t="str">
        <f t="array" ref="J40">IFERROR(INDEX(BasedatosM9!B:B, MATCH(A40, BasedatosM9!E:E, 0)), "")</f>
        <v/>
      </c>
      <c r="K40" s="5" t="str">
        <f t="shared" si="0"/>
        <v/>
      </c>
    </row>
    <row r="41" spans="1:11" ht="14.4">
      <c r="A41" s="23"/>
      <c r="B41" s="22"/>
      <c r="C41" s="24"/>
      <c r="D41" s="22"/>
      <c r="E41" s="25"/>
      <c r="F41" s="22"/>
      <c r="G41" s="22"/>
      <c r="H41" s="22"/>
      <c r="I41" s="22"/>
      <c r="J41" s="13" t="str">
        <f t="array" ref="J41">IFERROR(INDEX(BasedatosM9!B:B, MATCH(A41, BasedatosM9!E:E, 0)), "")</f>
        <v/>
      </c>
      <c r="K41" s="5" t="str">
        <f t="shared" si="0"/>
        <v/>
      </c>
    </row>
    <row r="42" spans="1:11" ht="14.4">
      <c r="A42" s="23"/>
      <c r="B42" s="22"/>
      <c r="C42" s="24"/>
      <c r="D42" s="22"/>
      <c r="E42" s="25"/>
      <c r="F42" s="22"/>
      <c r="G42" s="22"/>
      <c r="H42" s="22"/>
      <c r="I42" s="22"/>
      <c r="J42" s="13" t="str">
        <f t="array" ref="J42">IFERROR(INDEX(BasedatosM9!B:B, MATCH(A42, BasedatosM9!E:E, 0)), "")</f>
        <v/>
      </c>
      <c r="K42" s="5" t="str">
        <f t="shared" si="0"/>
        <v/>
      </c>
    </row>
    <row r="43" spans="1:11" ht="14.4">
      <c r="A43" s="23"/>
      <c r="B43" s="22"/>
      <c r="C43" s="24"/>
      <c r="D43" s="22"/>
      <c r="E43" s="25"/>
      <c r="F43" s="22"/>
      <c r="G43" s="22"/>
      <c r="H43" s="22"/>
      <c r="I43" s="22"/>
      <c r="J43" s="13" t="str">
        <f t="array" ref="J43">IFERROR(INDEX(BasedatosM9!B:B, MATCH(A43, BasedatosM9!E:E, 0)), "")</f>
        <v/>
      </c>
      <c r="K43" s="5" t="str">
        <f t="shared" si="0"/>
        <v/>
      </c>
    </row>
    <row r="44" spans="1:11" ht="14.4">
      <c r="A44" s="23"/>
      <c r="B44" s="22"/>
      <c r="C44" s="24"/>
      <c r="D44" s="22"/>
      <c r="E44" s="25"/>
      <c r="F44" s="22"/>
      <c r="G44" s="22"/>
      <c r="H44" s="22"/>
      <c r="I44" s="22"/>
      <c r="J44" s="13" t="str">
        <f t="array" ref="J44">IFERROR(INDEX(BasedatosM9!B:B, MATCH(A44, BasedatosM9!E:E, 0)), "")</f>
        <v/>
      </c>
      <c r="K44" s="5" t="str">
        <f t="shared" si="0"/>
        <v/>
      </c>
    </row>
    <row r="45" spans="1:11" ht="14.4">
      <c r="A45" s="23"/>
      <c r="B45" s="22"/>
      <c r="C45" s="24"/>
      <c r="D45" s="22"/>
      <c r="E45" s="25"/>
      <c r="F45" s="22"/>
      <c r="G45" s="22"/>
      <c r="H45" s="22"/>
      <c r="I45" s="22"/>
      <c r="J45" s="13" t="str">
        <f t="array" ref="J45">IFERROR(INDEX(BasedatosM9!B:B, MATCH(A45, BasedatosM9!E:E, 0)), "")</f>
        <v/>
      </c>
      <c r="K45" s="5" t="str">
        <f t="shared" si="0"/>
        <v/>
      </c>
    </row>
    <row r="46" spans="1:11" ht="14.4">
      <c r="A46" s="23"/>
      <c r="B46" s="22"/>
      <c r="C46" s="24"/>
      <c r="D46" s="22"/>
      <c r="E46" s="25"/>
      <c r="F46" s="22"/>
      <c r="G46" s="22"/>
      <c r="H46" s="22"/>
      <c r="I46" s="22"/>
      <c r="J46" s="13" t="str">
        <f t="array" ref="J46">IFERROR(INDEX(BasedatosM9!B:B, MATCH(A46, BasedatosM9!E:E, 0)), "")</f>
        <v/>
      </c>
      <c r="K46" s="5" t="str">
        <f t="shared" si="0"/>
        <v/>
      </c>
    </row>
    <row r="47" spans="1:11" ht="14.4">
      <c r="A47" s="23"/>
      <c r="B47" s="22"/>
      <c r="C47" s="24"/>
      <c r="D47" s="22"/>
      <c r="E47" s="25"/>
      <c r="F47" s="22"/>
      <c r="G47" s="22"/>
      <c r="H47" s="22"/>
      <c r="I47" s="22"/>
      <c r="J47" s="13" t="str">
        <f t="array" ref="J47">IFERROR(INDEX(BasedatosM9!B:B, MATCH(A47, BasedatosM9!E:E, 0)), "")</f>
        <v/>
      </c>
      <c r="K47" s="5" t="str">
        <f t="shared" si="0"/>
        <v/>
      </c>
    </row>
    <row r="48" spans="1:11" ht="14.4">
      <c r="A48" s="23"/>
      <c r="B48" s="22"/>
      <c r="C48" s="24"/>
      <c r="D48" s="22"/>
      <c r="E48" s="25"/>
      <c r="F48" s="22"/>
      <c r="G48" s="22"/>
      <c r="H48" s="22"/>
      <c r="I48" s="22"/>
      <c r="J48" s="13" t="str">
        <f t="array" ref="J48">IFERROR(INDEX(BasedatosM9!B:B, MATCH(A48, BasedatosM9!E:E, 0)), "")</f>
        <v/>
      </c>
      <c r="K48" s="5" t="str">
        <f t="shared" si="0"/>
        <v/>
      </c>
    </row>
    <row r="49" spans="1:11" ht="14.4">
      <c r="A49" s="23"/>
      <c r="B49" s="22"/>
      <c r="C49" s="24"/>
      <c r="D49" s="22"/>
      <c r="E49" s="25"/>
      <c r="F49" s="22"/>
      <c r="G49" s="22"/>
      <c r="H49" s="22"/>
      <c r="I49" s="22"/>
      <c r="J49" s="13" t="str">
        <f t="array" ref="J49">IFERROR(INDEX(BasedatosM9!B:B, MATCH(A49, BasedatosM9!E:E, 0)), "")</f>
        <v/>
      </c>
      <c r="K49" s="5" t="str">
        <f t="shared" si="0"/>
        <v/>
      </c>
    </row>
    <row r="50" spans="1:11" ht="14.4">
      <c r="A50" s="23"/>
      <c r="B50" s="22"/>
      <c r="C50" s="24"/>
      <c r="D50" s="22"/>
      <c r="E50" s="25"/>
      <c r="F50" s="22"/>
      <c r="G50" s="22"/>
      <c r="H50" s="22"/>
      <c r="I50" s="22"/>
      <c r="J50" s="13" t="str">
        <f t="array" ref="J50">IFERROR(INDEX(BasedatosM9!B:B, MATCH(A50, BasedatosM9!E:E, 0)), "")</f>
        <v/>
      </c>
      <c r="K50" s="5" t="str">
        <f t="shared" si="0"/>
        <v/>
      </c>
    </row>
    <row r="51" spans="1:11" ht="14.4">
      <c r="A51" s="23"/>
      <c r="B51" s="22"/>
      <c r="C51" s="24"/>
      <c r="D51" s="22"/>
      <c r="E51" s="25"/>
      <c r="F51" s="22"/>
      <c r="G51" s="22"/>
      <c r="H51" s="22"/>
      <c r="I51" s="22"/>
      <c r="J51" s="13" t="str">
        <f t="array" ref="J51">IFERROR(INDEX(BasedatosM9!B:B, MATCH(A51, BasedatosM9!E:E, 0)), "")</f>
        <v/>
      </c>
      <c r="K51" s="5" t="str">
        <f t="shared" si="0"/>
        <v/>
      </c>
    </row>
    <row r="52" spans="1:11" ht="14.4">
      <c r="A52" s="23"/>
      <c r="B52" s="22"/>
      <c r="C52" s="24"/>
      <c r="D52" s="22"/>
      <c r="E52" s="25"/>
      <c r="F52" s="22"/>
      <c r="G52" s="22"/>
      <c r="H52" s="22"/>
      <c r="I52" s="22"/>
      <c r="J52" s="13" t="str">
        <f t="array" ref="J52">IFERROR(INDEX(BasedatosM9!B:B, MATCH(A52, BasedatosM9!E:E, 0)), "")</f>
        <v/>
      </c>
      <c r="K52" s="5" t="str">
        <f t="shared" si="0"/>
        <v/>
      </c>
    </row>
    <row r="53" spans="1:11" ht="14.4">
      <c r="A53" s="23"/>
      <c r="B53" s="22"/>
      <c r="C53" s="24"/>
      <c r="D53" s="22"/>
      <c r="E53" s="25"/>
      <c r="F53" s="22"/>
      <c r="G53" s="22"/>
      <c r="H53" s="22"/>
      <c r="I53" s="22"/>
      <c r="J53" s="13" t="str">
        <f t="array" ref="J53">IFERROR(INDEX(BasedatosM9!B:B, MATCH(A53, BasedatosM9!E:E, 0)), "")</f>
        <v/>
      </c>
      <c r="K53" s="5" t="str">
        <f t="shared" si="0"/>
        <v/>
      </c>
    </row>
    <row r="54" spans="1:11" ht="14.4">
      <c r="A54" s="23"/>
      <c r="B54" s="22"/>
      <c r="C54" s="24"/>
      <c r="D54" s="22"/>
      <c r="E54" s="25"/>
      <c r="F54" s="22"/>
      <c r="G54" s="22"/>
      <c r="H54" s="22"/>
      <c r="I54" s="22"/>
      <c r="J54" s="13" t="str">
        <f t="array" ref="J54">IFERROR(INDEX(BasedatosM9!B:B, MATCH(A54, BasedatosM9!E:E, 0)), "")</f>
        <v/>
      </c>
      <c r="K54" s="5" t="str">
        <f t="shared" si="0"/>
        <v/>
      </c>
    </row>
    <row r="55" spans="1:11" ht="14.4">
      <c r="A55" s="23"/>
      <c r="B55" s="22"/>
      <c r="C55" s="24"/>
      <c r="D55" s="22"/>
      <c r="E55" s="25"/>
      <c r="F55" s="22"/>
      <c r="G55" s="22"/>
      <c r="H55" s="22"/>
      <c r="I55" s="22"/>
      <c r="J55" s="13" t="str">
        <f t="array" ref="J55">IFERROR(INDEX(BasedatosM9!B:B, MATCH(A55, BasedatosM9!E:E, 0)), "")</f>
        <v/>
      </c>
      <c r="K55" s="5" t="str">
        <f t="shared" si="0"/>
        <v/>
      </c>
    </row>
    <row r="56" spans="1:11" ht="14.4">
      <c r="A56" s="23"/>
      <c r="B56" s="22"/>
      <c r="C56" s="24"/>
      <c r="D56" s="22"/>
      <c r="E56" s="25"/>
      <c r="F56" s="22"/>
      <c r="G56" s="22"/>
      <c r="H56" s="22"/>
      <c r="I56" s="22"/>
      <c r="J56" s="13" t="str">
        <f t="array" ref="J56">IFERROR(INDEX(BasedatosM9!B:B, MATCH(A56, BasedatosM9!E:E, 0)), "")</f>
        <v/>
      </c>
      <c r="K56" s="5" t="str">
        <f t="shared" si="0"/>
        <v/>
      </c>
    </row>
    <row r="57" spans="1:11" ht="14.4">
      <c r="A57" s="23"/>
      <c r="B57" s="22"/>
      <c r="C57" s="24"/>
      <c r="D57" s="22"/>
      <c r="E57" s="25"/>
      <c r="F57" s="22"/>
      <c r="G57" s="22"/>
      <c r="H57" s="22"/>
      <c r="I57" s="22"/>
      <c r="J57" s="13" t="str">
        <f t="array" ref="J57">IFERROR(INDEX(BasedatosM9!B:B, MATCH(A57, BasedatosM9!E:E, 0)), "")</f>
        <v/>
      </c>
      <c r="K57" s="5" t="str">
        <f t="shared" si="0"/>
        <v/>
      </c>
    </row>
    <row r="58" spans="1:11" ht="14.4">
      <c r="A58" s="23"/>
      <c r="B58" s="22"/>
      <c r="C58" s="24"/>
      <c r="D58" s="22"/>
      <c r="E58" s="25"/>
      <c r="F58" s="22"/>
      <c r="G58" s="22"/>
      <c r="H58" s="22"/>
      <c r="I58" s="22"/>
      <c r="J58" s="13" t="str">
        <f t="array" ref="J58">IFERROR(INDEX(BasedatosM9!B:B, MATCH(A58, BasedatosM9!E:E, 0)), "")</f>
        <v/>
      </c>
      <c r="K58" s="5" t="str">
        <f t="shared" si="0"/>
        <v/>
      </c>
    </row>
    <row r="59" spans="1:11" ht="14.4">
      <c r="A59" s="23"/>
      <c r="B59" s="22"/>
      <c r="C59" s="24"/>
      <c r="D59" s="22"/>
      <c r="E59" s="25"/>
      <c r="F59" s="22"/>
      <c r="G59" s="22"/>
      <c r="H59" s="22"/>
      <c r="I59" s="22"/>
      <c r="J59" s="13" t="str">
        <f t="array" ref="J59">IFERROR(INDEX(BasedatosM9!B:B, MATCH(A59, BasedatosM9!E:E, 0)), "")</f>
        <v/>
      </c>
      <c r="K59" s="5" t="str">
        <f t="shared" si="0"/>
        <v/>
      </c>
    </row>
    <row r="60" spans="1:11" ht="14.4">
      <c r="A60" s="23"/>
      <c r="B60" s="22"/>
      <c r="C60" s="24"/>
      <c r="D60" s="22"/>
      <c r="E60" s="25"/>
      <c r="F60" s="22"/>
      <c r="G60" s="22"/>
      <c r="H60" s="22"/>
      <c r="I60" s="22"/>
      <c r="J60" s="13" t="str">
        <f t="array" ref="J60">IFERROR(INDEX(BasedatosM9!B:B, MATCH(A60, BasedatosM9!E:E, 0)), "")</f>
        <v/>
      </c>
      <c r="K60" s="5" t="str">
        <f t="shared" si="0"/>
        <v/>
      </c>
    </row>
    <row r="61" spans="1:11" ht="14.4">
      <c r="A61" s="23"/>
      <c r="B61" s="22"/>
      <c r="C61" s="24"/>
      <c r="D61" s="22"/>
      <c r="E61" s="25"/>
      <c r="F61" s="22"/>
      <c r="G61" s="22"/>
      <c r="H61" s="22"/>
      <c r="I61" s="22"/>
      <c r="J61" s="13" t="str">
        <f t="array" ref="J61">IFERROR(INDEX(BasedatosM9!B:B, MATCH(A61, BasedatosM9!E:E, 0)), "")</f>
        <v/>
      </c>
      <c r="K61" s="5" t="str">
        <f t="shared" si="0"/>
        <v/>
      </c>
    </row>
    <row r="62" spans="1:11" ht="14.4">
      <c r="A62" s="23"/>
      <c r="B62" s="22"/>
      <c r="C62" s="24"/>
      <c r="D62" s="22"/>
      <c r="E62" s="25"/>
      <c r="F62" s="22"/>
      <c r="G62" s="22"/>
      <c r="H62" s="22"/>
      <c r="I62" s="22"/>
      <c r="J62" s="13" t="str">
        <f t="array" ref="J62">IFERROR(INDEX(BasedatosM9!B:B, MATCH(A62, BasedatosM9!E:E, 0)), "")</f>
        <v/>
      </c>
      <c r="K62" s="5" t="str">
        <f t="shared" si="0"/>
        <v/>
      </c>
    </row>
    <row r="63" spans="1:11" ht="14.4">
      <c r="A63" s="23"/>
      <c r="B63" s="22"/>
      <c r="C63" s="24"/>
      <c r="D63" s="22"/>
      <c r="E63" s="25"/>
      <c r="F63" s="22"/>
      <c r="G63" s="22"/>
      <c r="H63" s="22"/>
      <c r="I63" s="22"/>
      <c r="J63" s="13" t="str">
        <f t="array" ref="J63">IFERROR(INDEX(BasedatosM9!B:B, MATCH(A63, BasedatosM9!E:E, 0)), "")</f>
        <v/>
      </c>
      <c r="K63" s="5" t="str">
        <f t="shared" si="0"/>
        <v/>
      </c>
    </row>
    <row r="64" spans="1:11" ht="14.4">
      <c r="A64" s="23"/>
      <c r="B64" s="22"/>
      <c r="C64" s="24"/>
      <c r="D64" s="22"/>
      <c r="E64" s="25"/>
      <c r="F64" s="22"/>
      <c r="G64" s="22"/>
      <c r="H64" s="22"/>
      <c r="I64" s="22"/>
      <c r="J64" s="13" t="str">
        <f t="array" ref="J64">IFERROR(INDEX(BasedatosM9!B:B, MATCH(A64, BasedatosM9!E:E, 0)), "")</f>
        <v/>
      </c>
      <c r="K64" s="5" t="str">
        <f t="shared" si="0"/>
        <v/>
      </c>
    </row>
    <row r="65" spans="1:11" ht="14.4">
      <c r="A65" s="23"/>
      <c r="B65" s="22"/>
      <c r="C65" s="24"/>
      <c r="D65" s="22"/>
      <c r="E65" s="25"/>
      <c r="F65" s="22"/>
      <c r="G65" s="22"/>
      <c r="H65" s="22"/>
      <c r="I65" s="22"/>
      <c r="J65" s="13" t="str">
        <f t="array" ref="J65">IFERROR(INDEX(BasedatosM9!B:B, MATCH(A65, BasedatosM9!E:E, 0)), "")</f>
        <v/>
      </c>
      <c r="K65" s="5" t="str">
        <f t="shared" si="0"/>
        <v/>
      </c>
    </row>
    <row r="66" spans="1:11" ht="14.4">
      <c r="A66" s="23"/>
      <c r="B66" s="22"/>
      <c r="C66" s="24"/>
      <c r="D66" s="22"/>
      <c r="E66" s="25"/>
      <c r="F66" s="22"/>
      <c r="G66" s="22"/>
      <c r="H66" s="22"/>
      <c r="I66" s="22"/>
      <c r="J66" s="13" t="str">
        <f t="array" ref="J66">IFERROR(INDEX(BasedatosM9!B:B, MATCH(A66, BasedatosM9!E:E, 0)), "")</f>
        <v/>
      </c>
      <c r="K66" s="5" t="str">
        <f t="shared" si="0"/>
        <v/>
      </c>
    </row>
    <row r="67" spans="1:11" ht="14.4">
      <c r="A67" s="23"/>
      <c r="B67" s="22"/>
      <c r="C67" s="24"/>
      <c r="D67" s="22"/>
      <c r="E67" s="25"/>
      <c r="F67" s="22"/>
      <c r="G67" s="22"/>
      <c r="H67" s="22"/>
      <c r="I67" s="22"/>
      <c r="J67" s="13" t="str">
        <f t="array" ref="J67">IFERROR(INDEX(BasedatosM9!B:B, MATCH(A67, BasedatosM9!E:E, 0)), "")</f>
        <v/>
      </c>
      <c r="K67" s="5" t="str">
        <f t="shared" si="0"/>
        <v/>
      </c>
    </row>
    <row r="68" spans="1:11" ht="14.4">
      <c r="A68" s="23"/>
      <c r="B68" s="22"/>
      <c r="C68" s="24"/>
      <c r="D68" s="22"/>
      <c r="E68" s="25"/>
      <c r="F68" s="22"/>
      <c r="G68" s="22"/>
      <c r="H68" s="22"/>
      <c r="I68" s="22"/>
      <c r="J68" s="13" t="str">
        <f t="array" ref="J68">IFERROR(INDEX(BasedatosM9!B:B, MATCH(A68, BasedatosM9!E:E, 0)), "")</f>
        <v/>
      </c>
      <c r="K68" s="5" t="str">
        <f t="shared" si="0"/>
        <v/>
      </c>
    </row>
    <row r="69" spans="1:11" ht="14.4">
      <c r="A69" s="23"/>
      <c r="B69" s="22"/>
      <c r="C69" s="24"/>
      <c r="D69" s="22"/>
      <c r="E69" s="25"/>
      <c r="F69" s="22"/>
      <c r="G69" s="22"/>
      <c r="H69" s="22"/>
      <c r="I69" s="22"/>
      <c r="J69" s="13" t="str">
        <f t="array" ref="J69">IFERROR(INDEX(BasedatosM9!B:B, MATCH(A69, BasedatosM9!E:E, 0)), "")</f>
        <v/>
      </c>
      <c r="K69" s="5" t="str">
        <f t="shared" si="0"/>
        <v/>
      </c>
    </row>
    <row r="70" spans="1:11" ht="14.4">
      <c r="A70" s="23"/>
      <c r="B70" s="22"/>
      <c r="C70" s="24"/>
      <c r="D70" s="22"/>
      <c r="E70" s="25"/>
      <c r="F70" s="22"/>
      <c r="G70" s="22"/>
      <c r="H70" s="22"/>
      <c r="I70" s="22"/>
      <c r="J70" s="13" t="str">
        <f t="array" ref="J70">IFERROR(INDEX(BasedatosM9!B:B, MATCH(A70, BasedatosM9!E:E, 0)), "")</f>
        <v/>
      </c>
      <c r="K70" s="5" t="str">
        <f t="shared" si="0"/>
        <v/>
      </c>
    </row>
    <row r="71" spans="1:11" ht="14.4">
      <c r="A71" s="23"/>
      <c r="B71" s="22"/>
      <c r="C71" s="24"/>
      <c r="D71" s="22"/>
      <c r="E71" s="25"/>
      <c r="F71" s="22"/>
      <c r="G71" s="22"/>
      <c r="H71" s="22"/>
      <c r="I71" s="22"/>
      <c r="J71" s="13" t="str">
        <f t="array" ref="J71">IFERROR(INDEX(BasedatosM9!B:B, MATCH(A71, BasedatosM9!E:E, 0)), "")</f>
        <v/>
      </c>
      <c r="K71" s="5" t="str">
        <f t="shared" si="0"/>
        <v/>
      </c>
    </row>
    <row r="72" spans="1:11" ht="14.4">
      <c r="A72" s="23"/>
      <c r="B72" s="22"/>
      <c r="C72" s="24"/>
      <c r="D72" s="22"/>
      <c r="E72" s="25"/>
      <c r="F72" s="22"/>
      <c r="G72" s="22"/>
      <c r="H72" s="22"/>
      <c r="I72" s="22"/>
      <c r="J72" s="13" t="str">
        <f t="array" ref="J72">IFERROR(INDEX(BasedatosM9!B:B, MATCH(A72, BasedatosM9!E:E, 0)), "")</f>
        <v/>
      </c>
      <c r="K72" s="5" t="str">
        <f t="shared" si="0"/>
        <v/>
      </c>
    </row>
    <row r="73" spans="1:11" ht="14.4">
      <c r="A73" s="23"/>
      <c r="B73" s="22"/>
      <c r="C73" s="24"/>
      <c r="D73" s="22"/>
      <c r="E73" s="25"/>
      <c r="F73" s="22"/>
      <c r="G73" s="22"/>
      <c r="H73" s="22"/>
      <c r="I73" s="22"/>
      <c r="J73" s="13" t="str">
        <f t="array" ref="J73">IFERROR(INDEX(BasedatosM9!B:B, MATCH(A73, BasedatosM9!E:E, 0)), "")</f>
        <v/>
      </c>
      <c r="K73" s="5" t="str">
        <f t="shared" si="0"/>
        <v/>
      </c>
    </row>
    <row r="74" spans="1:11" ht="14.4">
      <c r="A74" s="23"/>
      <c r="B74" s="22"/>
      <c r="C74" s="24"/>
      <c r="D74" s="22"/>
      <c r="E74" s="25"/>
      <c r="F74" s="22"/>
      <c r="G74" s="22"/>
      <c r="H74" s="22"/>
      <c r="I74" s="22"/>
      <c r="J74" s="13" t="str">
        <f t="array" ref="J74">IFERROR(INDEX(BasedatosM9!B:B, MATCH(A74, BasedatosM9!E:E, 0)), "")</f>
        <v/>
      </c>
      <c r="K74" s="5" t="str">
        <f t="shared" si="0"/>
        <v/>
      </c>
    </row>
    <row r="75" spans="1:11" ht="14.4">
      <c r="A75" s="23"/>
      <c r="B75" s="22"/>
      <c r="C75" s="24"/>
      <c r="D75" s="22"/>
      <c r="E75" s="25"/>
      <c r="F75" s="22"/>
      <c r="G75" s="22"/>
      <c r="H75" s="22"/>
      <c r="I75" s="22"/>
      <c r="J75" s="13" t="str">
        <f t="array" ref="J75">IFERROR(INDEX(BasedatosM9!B:B, MATCH(A75, BasedatosM9!E:E, 0)), "")</f>
        <v/>
      </c>
      <c r="K75" s="5" t="str">
        <f t="shared" si="0"/>
        <v/>
      </c>
    </row>
    <row r="76" spans="1:11" ht="14.4">
      <c r="A76" s="23"/>
      <c r="B76" s="22"/>
      <c r="C76" s="24"/>
      <c r="D76" s="22"/>
      <c r="E76" s="25"/>
      <c r="F76" s="22"/>
      <c r="G76" s="22"/>
      <c r="H76" s="22"/>
      <c r="I76" s="22"/>
      <c r="J76" s="13" t="str">
        <f t="array" ref="J76">IFERROR(INDEX(BasedatosM9!B:B, MATCH(A76, BasedatosM9!E:E, 0)), "")</f>
        <v/>
      </c>
      <c r="K76" s="5" t="str">
        <f t="shared" si="0"/>
        <v/>
      </c>
    </row>
    <row r="77" spans="1:11" ht="14.4">
      <c r="A77" s="23"/>
      <c r="B77" s="22"/>
      <c r="C77" s="24"/>
      <c r="D77" s="22"/>
      <c r="E77" s="25"/>
      <c r="F77" s="22"/>
      <c r="G77" s="22"/>
      <c r="H77" s="22"/>
      <c r="I77" s="22"/>
      <c r="J77" s="13" t="str">
        <f t="array" ref="J77">IFERROR(INDEX(BasedatosM9!B:B, MATCH(A77, BasedatosM9!E:E, 0)), "")</f>
        <v/>
      </c>
      <c r="K77" s="5" t="str">
        <f t="shared" si="0"/>
        <v/>
      </c>
    </row>
    <row r="78" spans="1:11" ht="14.4">
      <c r="A78" s="23"/>
      <c r="B78" s="22"/>
      <c r="C78" s="24"/>
      <c r="D78" s="22"/>
      <c r="E78" s="25"/>
      <c r="F78" s="22"/>
      <c r="G78" s="22"/>
      <c r="H78" s="22"/>
      <c r="I78" s="22"/>
      <c r="J78" s="13" t="str">
        <f t="array" ref="J78">IFERROR(INDEX(BasedatosM9!B:B, MATCH(A78, BasedatosM9!E:E, 0)), "")</f>
        <v/>
      </c>
      <c r="K78" s="5" t="str">
        <f t="shared" si="0"/>
        <v/>
      </c>
    </row>
    <row r="79" spans="1:11" ht="14.4">
      <c r="A79" s="23"/>
      <c r="B79" s="22"/>
      <c r="C79" s="24"/>
      <c r="D79" s="22"/>
      <c r="E79" s="25"/>
      <c r="F79" s="22"/>
      <c r="G79" s="22"/>
      <c r="H79" s="22"/>
      <c r="I79" s="22"/>
      <c r="J79" s="13" t="str">
        <f t="array" ref="J79">IFERROR(INDEX(BasedatosM9!B:B, MATCH(A79, BasedatosM9!E:E, 0)), "")</f>
        <v/>
      </c>
      <c r="K79" s="5" t="str">
        <f t="shared" si="0"/>
        <v/>
      </c>
    </row>
    <row r="80" spans="1:11" ht="14.4">
      <c r="A80" s="23"/>
      <c r="B80" s="22"/>
      <c r="C80" s="24"/>
      <c r="D80" s="22"/>
      <c r="E80" s="25"/>
      <c r="F80" s="22"/>
      <c r="G80" s="22"/>
      <c r="H80" s="22"/>
      <c r="I80" s="22"/>
      <c r="J80" s="13" t="str">
        <f t="array" ref="J80">IFERROR(INDEX(BasedatosM9!B:B, MATCH(A80, BasedatosM9!E:E, 0)), "")</f>
        <v/>
      </c>
      <c r="K80" s="5" t="str">
        <f t="shared" si="0"/>
        <v/>
      </c>
    </row>
    <row r="81" spans="1:11" ht="14.4">
      <c r="A81" s="23"/>
      <c r="B81" s="22"/>
      <c r="C81" s="24"/>
      <c r="D81" s="22"/>
      <c r="E81" s="25"/>
      <c r="F81" s="22"/>
      <c r="G81" s="22"/>
      <c r="H81" s="22"/>
      <c r="I81" s="22"/>
      <c r="J81" s="13" t="str">
        <f t="array" ref="J81">IFERROR(INDEX(BasedatosM9!B:B, MATCH(A81, BasedatosM9!E:E, 0)), "")</f>
        <v/>
      </c>
      <c r="K81" s="5" t="str">
        <f t="shared" si="0"/>
        <v/>
      </c>
    </row>
    <row r="82" spans="1:11" ht="14.4">
      <c r="A82" s="23"/>
      <c r="B82" s="22"/>
      <c r="C82" s="24"/>
      <c r="D82" s="22"/>
      <c r="E82" s="25"/>
      <c r="F82" s="22"/>
      <c r="G82" s="22"/>
      <c r="H82" s="22"/>
      <c r="I82" s="22"/>
      <c r="J82" s="13" t="str">
        <f t="array" ref="J82">IFERROR(INDEX(BasedatosM9!B:B, MATCH(A82, BasedatosM9!E:E, 0)), "")</f>
        <v/>
      </c>
      <c r="K82" s="5" t="str">
        <f t="shared" si="0"/>
        <v/>
      </c>
    </row>
    <row r="83" spans="1:11" ht="14.4">
      <c r="A83" s="23"/>
      <c r="B83" s="22"/>
      <c r="C83" s="24"/>
      <c r="D83" s="22"/>
      <c r="E83" s="25"/>
      <c r="F83" s="22"/>
      <c r="G83" s="22"/>
      <c r="H83" s="22"/>
      <c r="I83" s="22"/>
      <c r="J83" s="13" t="str">
        <f t="array" ref="J83">IFERROR(INDEX(BasedatosM9!B:B, MATCH(A83, BasedatosM9!E:E, 0)), "")</f>
        <v/>
      </c>
      <c r="K83" s="5" t="str">
        <f t="shared" si="0"/>
        <v/>
      </c>
    </row>
    <row r="84" spans="1:11" ht="14.4">
      <c r="A84" s="23"/>
      <c r="B84" s="22"/>
      <c r="C84" s="24"/>
      <c r="D84" s="22"/>
      <c r="E84" s="25"/>
      <c r="F84" s="22"/>
      <c r="G84" s="22"/>
      <c r="H84" s="22"/>
      <c r="I84" s="22"/>
      <c r="J84" s="13" t="str">
        <f t="array" ref="J84">IFERROR(INDEX(BasedatosM9!B:B, MATCH(A84, BasedatosM9!E:E, 0)), "")</f>
        <v/>
      </c>
      <c r="K84" s="5" t="str">
        <f t="shared" si="0"/>
        <v/>
      </c>
    </row>
    <row r="85" spans="1:11" ht="14.4">
      <c r="A85" s="23"/>
      <c r="B85" s="22"/>
      <c r="C85" s="24"/>
      <c r="D85" s="22"/>
      <c r="E85" s="25"/>
      <c r="F85" s="22"/>
      <c r="G85" s="22"/>
      <c r="H85" s="22"/>
      <c r="I85" s="22"/>
      <c r="J85" s="13" t="str">
        <f t="array" ref="J85">IFERROR(INDEX(BasedatosM9!B:B, MATCH(A85, BasedatosM9!E:E, 0)), "")</f>
        <v/>
      </c>
      <c r="K85" s="5" t="str">
        <f t="shared" si="0"/>
        <v/>
      </c>
    </row>
    <row r="86" spans="1:11" ht="14.4">
      <c r="A86" s="23"/>
      <c r="B86" s="22"/>
      <c r="C86" s="24"/>
      <c r="D86" s="22"/>
      <c r="E86" s="25"/>
      <c r="F86" s="22"/>
      <c r="G86" s="22"/>
      <c r="H86" s="22"/>
      <c r="I86" s="22"/>
      <c r="J86" s="13" t="str">
        <f t="array" ref="J86">IFERROR(INDEX(BasedatosM9!B:B, MATCH(A86, BasedatosM9!E:E, 0)), "")</f>
        <v/>
      </c>
      <c r="K86" s="5" t="str">
        <f t="shared" si="0"/>
        <v/>
      </c>
    </row>
    <row r="87" spans="1:11" ht="14.4">
      <c r="A87" s="23"/>
      <c r="B87" s="22"/>
      <c r="C87" s="24"/>
      <c r="D87" s="22"/>
      <c r="E87" s="25"/>
      <c r="F87" s="22"/>
      <c r="G87" s="22"/>
      <c r="H87" s="22"/>
      <c r="I87" s="22"/>
      <c r="J87" s="13" t="str">
        <f t="array" ref="J87">IFERROR(INDEX(BasedatosM9!B:B, MATCH(A87, BasedatosM9!E:E, 0)), "")</f>
        <v/>
      </c>
      <c r="K87" s="5" t="str">
        <f t="shared" si="0"/>
        <v/>
      </c>
    </row>
    <row r="88" spans="1:11" ht="14.4">
      <c r="A88" s="23"/>
      <c r="B88" s="22"/>
      <c r="C88" s="24"/>
      <c r="D88" s="22"/>
      <c r="E88" s="25"/>
      <c r="F88" s="22"/>
      <c r="G88" s="22"/>
      <c r="H88" s="22"/>
      <c r="I88" s="22"/>
      <c r="J88" s="13" t="str">
        <f t="array" ref="J88">IFERROR(INDEX(BasedatosM9!B:B, MATCH(A88, BasedatosM9!E:E, 0)), "")</f>
        <v/>
      </c>
      <c r="K88" s="5" t="str">
        <f t="shared" si="0"/>
        <v/>
      </c>
    </row>
    <row r="89" spans="1:11" ht="14.4">
      <c r="A89" s="23"/>
      <c r="B89" s="22"/>
      <c r="C89" s="24"/>
      <c r="D89" s="22"/>
      <c r="E89" s="25"/>
      <c r="F89" s="22"/>
      <c r="G89" s="22"/>
      <c r="H89" s="22"/>
      <c r="I89" s="22"/>
      <c r="J89" s="13" t="str">
        <f t="array" ref="J89">IFERROR(INDEX(BasedatosM9!B:B, MATCH(A89, BasedatosM9!E:E, 0)), "")</f>
        <v/>
      </c>
      <c r="K89" s="5" t="str">
        <f t="shared" si="0"/>
        <v/>
      </c>
    </row>
    <row r="90" spans="1:11" ht="14.4">
      <c r="A90" s="23"/>
      <c r="B90" s="22"/>
      <c r="C90" s="24"/>
      <c r="D90" s="22"/>
      <c r="E90" s="25"/>
      <c r="F90" s="22"/>
      <c r="G90" s="22"/>
      <c r="H90" s="22"/>
      <c r="I90" s="22"/>
      <c r="J90" s="13" t="str">
        <f t="array" ref="J90">IFERROR(INDEX(BasedatosM9!B:B, MATCH(A90, BasedatosM9!E:E, 0)), "")</f>
        <v/>
      </c>
      <c r="K90" s="5" t="str">
        <f t="shared" si="0"/>
        <v/>
      </c>
    </row>
    <row r="91" spans="1:11" ht="14.4">
      <c r="A91" s="23"/>
      <c r="B91" s="22"/>
      <c r="C91" s="24"/>
      <c r="D91" s="22"/>
      <c r="E91" s="25"/>
      <c r="F91" s="22"/>
      <c r="G91" s="22"/>
      <c r="H91" s="22"/>
      <c r="I91" s="22"/>
      <c r="J91" s="13" t="str">
        <f t="array" ref="J91">IFERROR(INDEX(BasedatosM9!B:B, MATCH(A91, BasedatosM9!E:E, 0)), "")</f>
        <v/>
      </c>
      <c r="K91" s="5" t="str">
        <f t="shared" si="0"/>
        <v/>
      </c>
    </row>
    <row r="92" spans="1:11" ht="14.4">
      <c r="A92" s="23"/>
      <c r="B92" s="22"/>
      <c r="C92" s="24"/>
      <c r="D92" s="22"/>
      <c r="E92" s="25"/>
      <c r="F92" s="22"/>
      <c r="G92" s="22"/>
      <c r="H92" s="22"/>
      <c r="I92" s="22"/>
      <c r="J92" s="13" t="str">
        <f t="array" ref="J92">IFERROR(INDEX(BasedatosM9!B:B, MATCH(A92, BasedatosM9!E:E, 0)), "")</f>
        <v/>
      </c>
      <c r="K92" s="5" t="str">
        <f t="shared" si="0"/>
        <v/>
      </c>
    </row>
    <row r="93" spans="1:11" ht="14.4">
      <c r="A93" s="23"/>
      <c r="B93" s="22"/>
      <c r="C93" s="24"/>
      <c r="D93" s="22"/>
      <c r="E93" s="25"/>
      <c r="F93" s="22"/>
      <c r="G93" s="22"/>
      <c r="H93" s="22"/>
      <c r="I93" s="22"/>
      <c r="J93" s="13" t="str">
        <f t="array" ref="J93">IFERROR(INDEX(BasedatosM9!B:B, MATCH(A93, BasedatosM9!E:E, 0)), "")</f>
        <v/>
      </c>
      <c r="K93" s="5" t="str">
        <f t="shared" si="0"/>
        <v/>
      </c>
    </row>
    <row r="94" spans="1:11" ht="14.4">
      <c r="A94" s="23"/>
      <c r="B94" s="22"/>
      <c r="C94" s="24"/>
      <c r="D94" s="22"/>
      <c r="E94" s="25"/>
      <c r="F94" s="22"/>
      <c r="G94" s="22"/>
      <c r="H94" s="22"/>
      <c r="I94" s="22"/>
      <c r="J94" s="13" t="str">
        <f t="array" ref="J94">IFERROR(INDEX(BasedatosM9!B:B, MATCH(A94, BasedatosM9!E:E, 0)), "")</f>
        <v/>
      </c>
      <c r="K94" s="5" t="str">
        <f t="shared" si="0"/>
        <v/>
      </c>
    </row>
    <row r="95" spans="1:11" ht="14.4">
      <c r="A95" s="23"/>
      <c r="B95" s="22"/>
      <c r="C95" s="24"/>
      <c r="D95" s="22"/>
      <c r="E95" s="25"/>
      <c r="F95" s="22"/>
      <c r="G95" s="22"/>
      <c r="H95" s="22"/>
      <c r="I95" s="22"/>
      <c r="J95" s="13" t="str">
        <f t="array" ref="J95">IFERROR(INDEX(BasedatosM9!B:B, MATCH(A95, BasedatosM9!E:E, 0)), "")</f>
        <v/>
      </c>
      <c r="K95" s="5" t="str">
        <f t="shared" si="0"/>
        <v/>
      </c>
    </row>
    <row r="96" spans="1:11" ht="14.4">
      <c r="A96" s="23"/>
      <c r="B96" s="22"/>
      <c r="C96" s="24"/>
      <c r="D96" s="22"/>
      <c r="E96" s="25"/>
      <c r="F96" s="22"/>
      <c r="G96" s="22"/>
      <c r="H96" s="22"/>
      <c r="I96" s="22"/>
      <c r="J96" s="13" t="str">
        <f t="array" ref="J96">IFERROR(INDEX(BasedatosM9!B:B, MATCH(A96, BasedatosM9!E:E, 0)), "")</f>
        <v/>
      </c>
      <c r="K96" s="5" t="str">
        <f t="shared" si="0"/>
        <v/>
      </c>
    </row>
    <row r="97" spans="1:11" ht="14.4">
      <c r="A97" s="23"/>
      <c r="B97" s="22"/>
      <c r="C97" s="24"/>
      <c r="D97" s="22"/>
      <c r="E97" s="25"/>
      <c r="F97" s="22"/>
      <c r="G97" s="22"/>
      <c r="H97" s="22"/>
      <c r="I97" s="22"/>
      <c r="J97" s="13" t="str">
        <f t="array" ref="J97">IFERROR(INDEX(BasedatosM9!B:B, MATCH(A97, BasedatosM9!E:E, 0)), "")</f>
        <v/>
      </c>
      <c r="K97" s="5" t="str">
        <f t="shared" si="0"/>
        <v/>
      </c>
    </row>
    <row r="98" spans="1:11" ht="14.4">
      <c r="A98" s="23"/>
      <c r="B98" s="22"/>
      <c r="C98" s="24"/>
      <c r="D98" s="22"/>
      <c r="E98" s="25"/>
      <c r="F98" s="22"/>
      <c r="G98" s="22"/>
      <c r="H98" s="22"/>
      <c r="I98" s="22"/>
      <c r="J98" s="13" t="str">
        <f t="array" ref="J98">IFERROR(INDEX(BasedatosM9!B:B, MATCH(A98, BasedatosM9!E:E, 0)), "")</f>
        <v/>
      </c>
      <c r="K98" s="5" t="str">
        <f t="shared" si="0"/>
        <v/>
      </c>
    </row>
    <row r="99" spans="1:11" ht="14.4">
      <c r="A99" s="23"/>
      <c r="B99" s="22"/>
      <c r="C99" s="24"/>
      <c r="D99" s="22"/>
      <c r="E99" s="25"/>
      <c r="F99" s="22"/>
      <c r="G99" s="22"/>
      <c r="H99" s="22"/>
      <c r="I99" s="22"/>
      <c r="J99" s="13" t="str">
        <f t="array" ref="J99">IFERROR(INDEX(BasedatosM9!B:B, MATCH(A99, BasedatosM9!E:E, 0)), "")</f>
        <v/>
      </c>
      <c r="K99" s="5" t="str">
        <f t="shared" si="0"/>
        <v/>
      </c>
    </row>
    <row r="100" spans="1:11" ht="14.4">
      <c r="A100" s="23"/>
      <c r="B100" s="22"/>
      <c r="C100" s="24"/>
      <c r="D100" s="22"/>
      <c r="E100" s="25"/>
      <c r="F100" s="22"/>
      <c r="G100" s="22"/>
      <c r="H100" s="22"/>
      <c r="I100" s="22"/>
      <c r="J100" s="13" t="str">
        <f t="array" ref="J100">IFERROR(INDEX(BasedatosM9!B:B, MATCH(A100, BasedatosM9!E:E, 0)), "")</f>
        <v/>
      </c>
      <c r="K100" s="5" t="str">
        <f t="shared" si="0"/>
        <v/>
      </c>
    </row>
    <row r="101" spans="1:11" ht="14.4">
      <c r="A101" s="23"/>
      <c r="B101" s="22"/>
      <c r="C101" s="24"/>
      <c r="D101" s="22"/>
      <c r="E101" s="25"/>
      <c r="F101" s="22"/>
      <c r="G101" s="22"/>
      <c r="H101" s="22"/>
      <c r="I101" s="22"/>
      <c r="J101" s="13" t="str">
        <f t="array" ref="J101">IFERROR(INDEX(BasedatosM9!B:B, MATCH(A101, BasedatosM9!E:E, 0)), "")</f>
        <v/>
      </c>
      <c r="K101" s="5" t="str">
        <f t="shared" si="0"/>
        <v/>
      </c>
    </row>
    <row r="102" spans="1:11" ht="14.4">
      <c r="A102" s="23"/>
      <c r="B102" s="22"/>
      <c r="C102" s="24"/>
      <c r="D102" s="22"/>
      <c r="E102" s="25"/>
      <c r="F102" s="22"/>
      <c r="G102" s="22"/>
      <c r="H102" s="22"/>
      <c r="I102" s="22"/>
      <c r="J102" s="13" t="str">
        <f t="array" ref="J102">IFERROR(INDEX(BasedatosM9!B:B, MATCH(A102, BasedatosM9!E:E, 0)), "")</f>
        <v/>
      </c>
      <c r="K102" s="5" t="str">
        <f t="shared" si="0"/>
        <v/>
      </c>
    </row>
    <row r="103" spans="1:11" ht="14.4">
      <c r="A103" s="23"/>
      <c r="B103" s="22"/>
      <c r="C103" s="24"/>
      <c r="D103" s="22"/>
      <c r="E103" s="25"/>
      <c r="F103" s="22"/>
      <c r="G103" s="22"/>
      <c r="H103" s="22"/>
      <c r="I103" s="22"/>
      <c r="J103" s="13" t="str">
        <f t="array" ref="J103">IFERROR(INDEX(BasedatosM9!B:B, MATCH(A103, BasedatosM9!E:E, 0)), "")</f>
        <v/>
      </c>
      <c r="K103" s="5" t="str">
        <f t="shared" si="0"/>
        <v/>
      </c>
    </row>
    <row r="104" spans="1:11" ht="14.4">
      <c r="A104" s="23"/>
      <c r="B104" s="22"/>
      <c r="C104" s="24"/>
      <c r="D104" s="22"/>
      <c r="E104" s="25"/>
      <c r="F104" s="22"/>
      <c r="G104" s="22"/>
      <c r="H104" s="22"/>
      <c r="I104" s="22"/>
      <c r="J104" s="13" t="str">
        <f t="array" ref="J104">IFERROR(INDEX(BasedatosM9!B:B, MATCH(A104, BasedatosM9!E:E, 0)), "")</f>
        <v/>
      </c>
      <c r="K104" s="5" t="str">
        <f t="shared" si="0"/>
        <v/>
      </c>
    </row>
    <row r="105" spans="1:11" ht="14.4">
      <c r="A105" s="23"/>
      <c r="B105" s="22"/>
      <c r="C105" s="24"/>
      <c r="D105" s="22"/>
      <c r="E105" s="25"/>
      <c r="F105" s="22"/>
      <c r="G105" s="22"/>
      <c r="H105" s="22"/>
      <c r="I105" s="22"/>
      <c r="J105" s="13" t="str">
        <f t="array" ref="J105">IFERROR(INDEX(BasedatosM9!B:B, MATCH(A105, BasedatosM9!E:E, 0)), "")</f>
        <v/>
      </c>
      <c r="K105" s="5" t="str">
        <f t="shared" si="0"/>
        <v/>
      </c>
    </row>
    <row r="106" spans="1:11" ht="14.4">
      <c r="A106" s="23"/>
      <c r="B106" s="22"/>
      <c r="C106" s="24"/>
      <c r="D106" s="22"/>
      <c r="E106" s="25"/>
      <c r="F106" s="22"/>
      <c r="G106" s="22"/>
      <c r="H106" s="22"/>
      <c r="I106" s="22"/>
      <c r="J106" s="13" t="str">
        <f t="array" ref="J106">IFERROR(INDEX(BasedatosM9!B:B, MATCH(A106, BasedatosM9!E:E, 0)), "")</f>
        <v/>
      </c>
      <c r="K106" s="5" t="str">
        <f t="shared" si="0"/>
        <v/>
      </c>
    </row>
    <row r="107" spans="1:11" ht="14.4">
      <c r="A107" s="23"/>
      <c r="B107" s="22"/>
      <c r="C107" s="24"/>
      <c r="D107" s="22"/>
      <c r="E107" s="25"/>
      <c r="F107" s="22"/>
      <c r="G107" s="22"/>
      <c r="H107" s="22"/>
      <c r="I107" s="22"/>
      <c r="J107" s="13" t="str">
        <f t="array" ref="J107">IFERROR(INDEX(BasedatosM9!B:B, MATCH(A107, BasedatosM9!E:E, 0)), "")</f>
        <v/>
      </c>
      <c r="K107" s="5" t="str">
        <f t="shared" si="0"/>
        <v/>
      </c>
    </row>
    <row r="108" spans="1:11" ht="14.4">
      <c r="A108" s="23"/>
      <c r="B108" s="22"/>
      <c r="C108" s="24"/>
      <c r="D108" s="22"/>
      <c r="E108" s="25"/>
      <c r="F108" s="22"/>
      <c r="G108" s="22"/>
      <c r="H108" s="22"/>
      <c r="I108" s="22"/>
      <c r="J108" s="13" t="str">
        <f t="array" ref="J108">IFERROR(INDEX(BasedatosM9!B:B, MATCH(A108, BasedatosM9!E:E, 0)), "")</f>
        <v/>
      </c>
      <c r="K108" s="5" t="str">
        <f t="shared" si="0"/>
        <v/>
      </c>
    </row>
    <row r="109" spans="1:11" ht="14.4">
      <c r="A109" s="23"/>
      <c r="B109" s="22"/>
      <c r="C109" s="24"/>
      <c r="D109" s="22"/>
      <c r="E109" s="25"/>
      <c r="F109" s="22"/>
      <c r="G109" s="22"/>
      <c r="H109" s="22"/>
      <c r="I109" s="22"/>
      <c r="J109" s="13" t="str">
        <f t="array" ref="J109">IFERROR(INDEX(BasedatosM9!B:B, MATCH(A109, BasedatosM9!E:E, 0)), "")</f>
        <v/>
      </c>
      <c r="K109" s="5" t="str">
        <f t="shared" si="0"/>
        <v/>
      </c>
    </row>
    <row r="110" spans="1:11" ht="14.4">
      <c r="A110" s="23"/>
      <c r="B110" s="22"/>
      <c r="C110" s="24"/>
      <c r="D110" s="22"/>
      <c r="E110" s="25"/>
      <c r="F110" s="22"/>
      <c r="G110" s="22"/>
      <c r="H110" s="22"/>
      <c r="I110" s="22"/>
      <c r="J110" s="13" t="str">
        <f t="array" ref="J110">IFERROR(INDEX(BasedatosM9!B:B, MATCH(A110, BasedatosM9!E:E, 0)), "")</f>
        <v/>
      </c>
      <c r="K110" s="5" t="str">
        <f t="shared" si="0"/>
        <v/>
      </c>
    </row>
    <row r="111" spans="1:11" ht="14.4">
      <c r="A111" s="23"/>
      <c r="B111" s="22"/>
      <c r="C111" s="24"/>
      <c r="D111" s="22"/>
      <c r="E111" s="25"/>
      <c r="F111" s="22"/>
      <c r="G111" s="22"/>
      <c r="H111" s="22"/>
      <c r="I111" s="22"/>
      <c r="J111" s="13" t="str">
        <f t="array" ref="J111">IFERROR(INDEX(BasedatosM9!B:B, MATCH(A111, BasedatosM9!E:E, 0)), "")</f>
        <v/>
      </c>
      <c r="K111" s="5" t="str">
        <f t="shared" si="0"/>
        <v/>
      </c>
    </row>
    <row r="112" spans="1:11" ht="14.4">
      <c r="A112" s="23"/>
      <c r="B112" s="22"/>
      <c r="C112" s="24"/>
      <c r="D112" s="22"/>
      <c r="E112" s="25"/>
      <c r="F112" s="22"/>
      <c r="G112" s="22"/>
      <c r="H112" s="22"/>
      <c r="I112" s="22"/>
      <c r="J112" s="13" t="str">
        <f t="array" ref="J112">IFERROR(INDEX(BasedatosM9!B:B, MATCH(A112, BasedatosM9!E:E, 0)), "")</f>
        <v/>
      </c>
      <c r="K112" s="5" t="str">
        <f t="shared" si="0"/>
        <v/>
      </c>
    </row>
    <row r="113" spans="1:11" ht="14.4">
      <c r="A113" s="23"/>
      <c r="B113" s="22"/>
      <c r="C113" s="24"/>
      <c r="D113" s="22"/>
      <c r="E113" s="25"/>
      <c r="F113" s="22"/>
      <c r="G113" s="22"/>
      <c r="H113" s="22"/>
      <c r="I113" s="22"/>
      <c r="J113" s="13" t="str">
        <f t="array" ref="J113">IFERROR(INDEX(BasedatosM9!B:B, MATCH(A113, BasedatosM9!E:E, 0)), "")</f>
        <v/>
      </c>
      <c r="K113" s="5" t="str">
        <f t="shared" si="0"/>
        <v/>
      </c>
    </row>
    <row r="114" spans="1:11" ht="14.4">
      <c r="A114" s="23"/>
      <c r="B114" s="22"/>
      <c r="C114" s="24"/>
      <c r="D114" s="22"/>
      <c r="E114" s="25"/>
      <c r="F114" s="22"/>
      <c r="G114" s="22"/>
      <c r="H114" s="22"/>
      <c r="I114" s="22"/>
      <c r="J114" s="13" t="str">
        <f t="array" ref="J114">IFERROR(INDEX(BasedatosM9!B:B, MATCH(A114, BasedatosM9!E:E, 0)), "")</f>
        <v/>
      </c>
      <c r="K114" s="5" t="str">
        <f t="shared" si="0"/>
        <v/>
      </c>
    </row>
    <row r="115" spans="1:11" ht="14.4">
      <c r="A115" s="23"/>
      <c r="B115" s="22"/>
      <c r="C115" s="24"/>
      <c r="D115" s="22"/>
      <c r="E115" s="25"/>
      <c r="F115" s="22"/>
      <c r="G115" s="22"/>
      <c r="H115" s="22"/>
      <c r="I115" s="22"/>
      <c r="J115" s="13" t="str">
        <f t="array" ref="J115">IFERROR(INDEX(BasedatosM9!B:B, MATCH(A115, BasedatosM9!E:E, 0)), "")</f>
        <v/>
      </c>
      <c r="K115" s="5" t="str">
        <f t="shared" si="0"/>
        <v/>
      </c>
    </row>
    <row r="116" spans="1:11" ht="14.4">
      <c r="A116" s="23"/>
      <c r="B116" s="22"/>
      <c r="C116" s="24"/>
      <c r="D116" s="22"/>
      <c r="E116" s="25"/>
      <c r="F116" s="22"/>
      <c r="G116" s="22"/>
      <c r="H116" s="22"/>
      <c r="I116" s="22"/>
      <c r="J116" s="13" t="str">
        <f t="array" ref="J116">IFERROR(INDEX(BasedatosM9!B:B, MATCH(A116, BasedatosM9!E:E, 0)), "")</f>
        <v/>
      </c>
      <c r="K116" s="5" t="str">
        <f t="shared" si="0"/>
        <v/>
      </c>
    </row>
    <row r="117" spans="1:11" ht="14.4">
      <c r="A117" s="23"/>
      <c r="B117" s="22"/>
      <c r="C117" s="24"/>
      <c r="D117" s="22"/>
      <c r="E117" s="25"/>
      <c r="F117" s="22"/>
      <c r="G117" s="22"/>
      <c r="H117" s="22"/>
      <c r="I117" s="22"/>
      <c r="J117" s="13" t="str">
        <f t="array" ref="J117">IFERROR(INDEX(BasedatosM9!B:B, MATCH(A117, BasedatosM9!E:E, 0)), "")</f>
        <v/>
      </c>
      <c r="K117" s="5" t="str">
        <f t="shared" si="0"/>
        <v/>
      </c>
    </row>
    <row r="118" spans="1:11" ht="14.4">
      <c r="A118" s="23"/>
      <c r="B118" s="22"/>
      <c r="C118" s="24"/>
      <c r="D118" s="22"/>
      <c r="E118" s="25"/>
      <c r="F118" s="22"/>
      <c r="G118" s="22"/>
      <c r="H118" s="22"/>
      <c r="I118" s="22"/>
      <c r="J118" s="13" t="str">
        <f t="array" ref="J118">IFERROR(INDEX(BasedatosM9!B:B, MATCH(A118, BasedatosM9!E:E, 0)), "")</f>
        <v/>
      </c>
      <c r="K118" s="5" t="str">
        <f t="shared" si="0"/>
        <v/>
      </c>
    </row>
    <row r="119" spans="1:11" ht="14.4">
      <c r="A119" s="23"/>
      <c r="B119" s="22"/>
      <c r="C119" s="24"/>
      <c r="D119" s="22"/>
      <c r="E119" s="25"/>
      <c r="F119" s="22"/>
      <c r="G119" s="22"/>
      <c r="H119" s="22"/>
      <c r="I119" s="22"/>
      <c r="J119" s="13" t="str">
        <f t="array" ref="J119">IFERROR(INDEX(BasedatosM9!B:B, MATCH(A119, BasedatosM9!E:E, 0)), "")</f>
        <v/>
      </c>
      <c r="K119" s="5" t="str">
        <f t="shared" si="0"/>
        <v/>
      </c>
    </row>
    <row r="120" spans="1:11" ht="14.4">
      <c r="A120" s="23"/>
      <c r="B120" s="22"/>
      <c r="C120" s="24"/>
      <c r="D120" s="22"/>
      <c r="E120" s="25"/>
      <c r="F120" s="22"/>
      <c r="G120" s="22"/>
      <c r="H120" s="22"/>
      <c r="I120" s="22"/>
      <c r="J120" s="13" t="str">
        <f t="array" ref="J120">IFERROR(INDEX(BasedatosM9!B:B, MATCH(A120, BasedatosM9!E:E, 0)), "")</f>
        <v/>
      </c>
      <c r="K120" s="5" t="str">
        <f t="shared" si="0"/>
        <v/>
      </c>
    </row>
    <row r="121" spans="1:11" ht="14.4">
      <c r="A121" s="23"/>
      <c r="B121" s="22"/>
      <c r="C121" s="24"/>
      <c r="D121" s="22"/>
      <c r="E121" s="25"/>
      <c r="F121" s="22"/>
      <c r="G121" s="22"/>
      <c r="H121" s="22"/>
      <c r="I121" s="22"/>
      <c r="J121" s="13" t="str">
        <f t="array" ref="J121">IFERROR(INDEX(BasedatosM9!B:B, MATCH(A121, BasedatosM9!E:E, 0)), "")</f>
        <v/>
      </c>
      <c r="K121" s="5" t="str">
        <f t="shared" si="0"/>
        <v/>
      </c>
    </row>
    <row r="122" spans="1:11" ht="14.4">
      <c r="A122" s="23"/>
      <c r="B122" s="22"/>
      <c r="C122" s="24"/>
      <c r="D122" s="22"/>
      <c r="E122" s="25"/>
      <c r="F122" s="22"/>
      <c r="G122" s="22"/>
      <c r="H122" s="22"/>
      <c r="I122" s="22"/>
      <c r="J122" s="13" t="str">
        <f t="array" ref="J122">IFERROR(INDEX(BasedatosM9!B:B, MATCH(A122, BasedatosM9!E:E, 0)), "")</f>
        <v/>
      </c>
      <c r="K122" s="5" t="str">
        <f t="shared" si="0"/>
        <v/>
      </c>
    </row>
    <row r="123" spans="1:11" ht="14.4">
      <c r="A123" s="23"/>
      <c r="B123" s="22"/>
      <c r="C123" s="24"/>
      <c r="D123" s="22"/>
      <c r="E123" s="25"/>
      <c r="F123" s="22"/>
      <c r="G123" s="22"/>
      <c r="H123" s="22"/>
      <c r="I123" s="22"/>
      <c r="J123" s="13" t="str">
        <f t="array" ref="J123">IFERROR(INDEX(BasedatosM9!B:B, MATCH(A123, BasedatosM9!E:E, 0)), "")</f>
        <v/>
      </c>
      <c r="K123" s="5" t="str">
        <f t="shared" si="0"/>
        <v/>
      </c>
    </row>
    <row r="124" spans="1:11" ht="14.4">
      <c r="A124" s="23"/>
      <c r="B124" s="22"/>
      <c r="C124" s="24"/>
      <c r="D124" s="22"/>
      <c r="E124" s="25"/>
      <c r="F124" s="22"/>
      <c r="G124" s="22"/>
      <c r="H124" s="22"/>
      <c r="I124" s="22"/>
      <c r="J124" s="13" t="str">
        <f t="array" ref="J124">IFERROR(INDEX(BasedatosM9!B:B, MATCH(A124, BasedatosM9!E:E, 0)), "")</f>
        <v/>
      </c>
      <c r="K124" s="5" t="str">
        <f t="shared" si="0"/>
        <v/>
      </c>
    </row>
    <row r="125" spans="1:11" ht="14.4">
      <c r="A125" s="23"/>
      <c r="B125" s="22"/>
      <c r="C125" s="24"/>
      <c r="D125" s="22"/>
      <c r="E125" s="25"/>
      <c r="F125" s="22"/>
      <c r="G125" s="22"/>
      <c r="H125" s="22"/>
      <c r="I125" s="22"/>
      <c r="J125" s="13" t="str">
        <f t="array" ref="J125">IFERROR(INDEX(BasedatosM9!B:B, MATCH(A125, BasedatosM9!E:E, 0)), "")</f>
        <v/>
      </c>
      <c r="K125" s="5" t="str">
        <f t="shared" si="0"/>
        <v/>
      </c>
    </row>
    <row r="126" spans="1:11" ht="14.4">
      <c r="A126" s="23"/>
      <c r="B126" s="22"/>
      <c r="C126" s="24"/>
      <c r="D126" s="22"/>
      <c r="E126" s="25"/>
      <c r="F126" s="22"/>
      <c r="G126" s="22"/>
      <c r="H126" s="22"/>
      <c r="I126" s="22"/>
      <c r="J126" s="13" t="str">
        <f t="array" ref="J126">IFERROR(INDEX(BasedatosM9!B:B, MATCH(A126, BasedatosM9!E:E, 0)), "")</f>
        <v/>
      </c>
      <c r="K126" s="5" t="str">
        <f t="shared" si="0"/>
        <v/>
      </c>
    </row>
    <row r="127" spans="1:11" ht="14.4">
      <c r="A127" s="23"/>
      <c r="B127" s="22"/>
      <c r="C127" s="24"/>
      <c r="D127" s="22"/>
      <c r="E127" s="25"/>
      <c r="F127" s="22"/>
      <c r="G127" s="22"/>
      <c r="H127" s="22"/>
      <c r="I127" s="22"/>
      <c r="J127" s="13" t="str">
        <f t="array" ref="J127">IFERROR(INDEX(BasedatosM9!B:B, MATCH(A127, BasedatosM9!E:E, 0)), "")</f>
        <v/>
      </c>
      <c r="K127" s="5" t="str">
        <f t="shared" si="0"/>
        <v/>
      </c>
    </row>
    <row r="128" spans="1:11" ht="14.4">
      <c r="A128" s="23"/>
      <c r="B128" s="22"/>
      <c r="C128" s="24"/>
      <c r="D128" s="22"/>
      <c r="E128" s="25"/>
      <c r="F128" s="22"/>
      <c r="G128" s="22"/>
      <c r="H128" s="22"/>
      <c r="I128" s="22"/>
      <c r="J128" s="13" t="str">
        <f t="array" ref="J128">IFERROR(INDEX(BasedatosM9!B:B, MATCH(A128, BasedatosM9!E:E, 0)), "")</f>
        <v/>
      </c>
      <c r="K128" s="5" t="str">
        <f t="shared" si="0"/>
        <v/>
      </c>
    </row>
    <row r="129" spans="1:11" ht="14.4">
      <c r="A129" s="23"/>
      <c r="B129" s="22"/>
      <c r="C129" s="24"/>
      <c r="D129" s="22"/>
      <c r="E129" s="25"/>
      <c r="F129" s="22"/>
      <c r="G129" s="22"/>
      <c r="H129" s="22"/>
      <c r="I129" s="22"/>
      <c r="J129" s="13" t="str">
        <f t="array" ref="J129">IFERROR(INDEX(BasedatosM9!B:B, MATCH(A129, BasedatosM9!E:E, 0)), "")</f>
        <v/>
      </c>
      <c r="K129" s="5" t="str">
        <f t="shared" si="0"/>
        <v/>
      </c>
    </row>
    <row r="130" spans="1:11" ht="14.4">
      <c r="A130" s="23"/>
      <c r="B130" s="22"/>
      <c r="C130" s="24"/>
      <c r="D130" s="22"/>
      <c r="E130" s="25"/>
      <c r="F130" s="22"/>
      <c r="G130" s="22"/>
      <c r="H130" s="22"/>
      <c r="I130" s="22"/>
      <c r="J130" s="13" t="str">
        <f t="array" ref="J130">IFERROR(INDEX(BasedatosM9!B:B, MATCH(A130, BasedatosM9!E:E, 0)), "")</f>
        <v/>
      </c>
      <c r="K130" s="5" t="str">
        <f t="shared" si="0"/>
        <v/>
      </c>
    </row>
    <row r="131" spans="1:11" ht="14.4">
      <c r="A131" s="23"/>
      <c r="B131" s="22"/>
      <c r="C131" s="24"/>
      <c r="D131" s="22"/>
      <c r="E131" s="25"/>
      <c r="F131" s="22"/>
      <c r="G131" s="22"/>
      <c r="H131" s="22"/>
      <c r="I131" s="22"/>
      <c r="J131" s="13" t="str">
        <f t="array" ref="J131">IFERROR(INDEX(BasedatosM9!B:B, MATCH(A131, BasedatosM9!E:E, 0)), "")</f>
        <v/>
      </c>
      <c r="K131" s="5" t="str">
        <f t="shared" si="0"/>
        <v/>
      </c>
    </row>
    <row r="132" spans="1:11" ht="14.4">
      <c r="A132" s="23"/>
      <c r="B132" s="22"/>
      <c r="C132" s="24"/>
      <c r="D132" s="22"/>
      <c r="E132" s="25"/>
      <c r="F132" s="22"/>
      <c r="G132" s="22"/>
      <c r="H132" s="22"/>
      <c r="I132" s="22"/>
      <c r="J132" s="13" t="str">
        <f t="array" ref="J132">IFERROR(INDEX(BasedatosM9!B:B, MATCH(A132, BasedatosM9!E:E, 0)), "")</f>
        <v/>
      </c>
      <c r="K132" s="5" t="str">
        <f t="shared" si="0"/>
        <v/>
      </c>
    </row>
    <row r="133" spans="1:11" ht="14.4">
      <c r="A133" s="23"/>
      <c r="B133" s="22"/>
      <c r="C133" s="24"/>
      <c r="D133" s="22"/>
      <c r="E133" s="25"/>
      <c r="F133" s="22"/>
      <c r="G133" s="22"/>
      <c r="H133" s="22"/>
      <c r="I133" s="22"/>
      <c r="J133" s="13" t="str">
        <f t="array" ref="J133">IFERROR(INDEX(BasedatosM9!B:B, MATCH(A133, BasedatosM9!E:E, 0)), "")</f>
        <v/>
      </c>
      <c r="K133" s="5" t="str">
        <f t="shared" si="0"/>
        <v/>
      </c>
    </row>
    <row r="134" spans="1:11" ht="14.4">
      <c r="A134" s="23"/>
      <c r="B134" s="22"/>
      <c r="C134" s="24"/>
      <c r="D134" s="22"/>
      <c r="E134" s="25"/>
      <c r="F134" s="22"/>
      <c r="G134" s="22"/>
      <c r="H134" s="22"/>
      <c r="I134" s="22"/>
      <c r="J134" s="13" t="str">
        <f t="array" ref="J134">IFERROR(INDEX(BasedatosM9!B:B, MATCH(A134, BasedatosM9!E:E, 0)), "")</f>
        <v/>
      </c>
      <c r="K134" s="5" t="str">
        <f t="shared" si="0"/>
        <v/>
      </c>
    </row>
    <row r="135" spans="1:11" ht="14.4">
      <c r="A135" s="23"/>
      <c r="B135" s="22"/>
      <c r="C135" s="24"/>
      <c r="D135" s="22"/>
      <c r="E135" s="25"/>
      <c r="F135" s="22"/>
      <c r="G135" s="22"/>
      <c r="H135" s="22"/>
      <c r="I135" s="22"/>
      <c r="J135" s="13" t="str">
        <f t="array" ref="J135">IFERROR(INDEX(BasedatosM9!B:B, MATCH(A135, BasedatosM9!E:E, 0)), "")</f>
        <v/>
      </c>
      <c r="K135" s="5" t="str">
        <f t="shared" si="0"/>
        <v/>
      </c>
    </row>
    <row r="136" spans="1:11" ht="14.4">
      <c r="A136" s="23"/>
      <c r="B136" s="22"/>
      <c r="C136" s="24"/>
      <c r="D136" s="22"/>
      <c r="E136" s="25"/>
      <c r="F136" s="22"/>
      <c r="G136" s="22"/>
      <c r="H136" s="22"/>
      <c r="I136" s="22"/>
      <c r="J136" s="13" t="str">
        <f t="array" ref="J136">IFERROR(INDEX(BasedatosM9!B:B, MATCH(A136, BasedatosM9!E:E, 0)), "")</f>
        <v/>
      </c>
      <c r="K136" s="5" t="str">
        <f t="shared" si="0"/>
        <v/>
      </c>
    </row>
    <row r="137" spans="1:11" ht="14.4">
      <c r="A137" s="23"/>
      <c r="B137" s="22"/>
      <c r="C137" s="24"/>
      <c r="D137" s="22"/>
      <c r="E137" s="25"/>
      <c r="F137" s="22"/>
      <c r="G137" s="22"/>
      <c r="H137" s="22"/>
      <c r="I137" s="22"/>
      <c r="J137" s="13" t="str">
        <f t="array" ref="J137">IFERROR(INDEX(BasedatosM9!B:B, MATCH(A137, BasedatosM9!E:E, 0)), "")</f>
        <v/>
      </c>
      <c r="K137" s="5" t="str">
        <f t="shared" si="0"/>
        <v/>
      </c>
    </row>
    <row r="138" spans="1:11" ht="14.4">
      <c r="A138" s="23"/>
      <c r="B138" s="22"/>
      <c r="C138" s="24"/>
      <c r="D138" s="22"/>
      <c r="E138" s="25"/>
      <c r="F138" s="22"/>
      <c r="G138" s="22"/>
      <c r="H138" s="22"/>
      <c r="I138" s="22"/>
      <c r="J138" s="13" t="str">
        <f t="array" ref="J138">IFERROR(INDEX(BasedatosM9!B:B, MATCH(A138, BasedatosM9!E:E, 0)), "")</f>
        <v/>
      </c>
      <c r="K138" s="5" t="str">
        <f t="shared" si="0"/>
        <v/>
      </c>
    </row>
    <row r="139" spans="1:11" ht="14.4">
      <c r="A139" s="23"/>
      <c r="B139" s="22"/>
      <c r="C139" s="24"/>
      <c r="D139" s="22"/>
      <c r="E139" s="25"/>
      <c r="F139" s="22"/>
      <c r="G139" s="22"/>
      <c r="H139" s="22"/>
      <c r="I139" s="22"/>
      <c r="J139" s="13" t="str">
        <f t="array" ref="J139">IFERROR(INDEX(BasedatosM9!B:B, MATCH(A139, BasedatosM9!E:E, 0)), "")</f>
        <v/>
      </c>
      <c r="K139" s="5" t="str">
        <f t="shared" si="0"/>
        <v/>
      </c>
    </row>
    <row r="140" spans="1:11" ht="14.4">
      <c r="A140" s="23"/>
      <c r="B140" s="22"/>
      <c r="C140" s="24"/>
      <c r="D140" s="22"/>
      <c r="E140" s="25"/>
      <c r="F140" s="22"/>
      <c r="G140" s="22"/>
      <c r="H140" s="22"/>
      <c r="I140" s="22"/>
      <c r="J140" s="13" t="str">
        <f t="array" ref="J140">IFERROR(INDEX(BasedatosM9!B:B, MATCH(A140, BasedatosM9!E:E, 0)), "")</f>
        <v/>
      </c>
      <c r="K140" s="5" t="str">
        <f t="shared" si="0"/>
        <v/>
      </c>
    </row>
    <row r="141" spans="1:11" ht="14.4">
      <c r="A141" s="23"/>
      <c r="B141" s="22"/>
      <c r="C141" s="24"/>
      <c r="D141" s="22"/>
      <c r="E141" s="25"/>
      <c r="F141" s="22"/>
      <c r="G141" s="22"/>
      <c r="H141" s="22"/>
      <c r="I141" s="22"/>
      <c r="J141" s="13" t="str">
        <f t="array" ref="J141">IFERROR(INDEX(BasedatosM9!B:B, MATCH(A141, BasedatosM9!E:E, 0)), "")</f>
        <v/>
      </c>
      <c r="K141" s="5" t="str">
        <f t="shared" si="0"/>
        <v/>
      </c>
    </row>
    <row r="142" spans="1:11" ht="14.4">
      <c r="A142" s="23"/>
      <c r="B142" s="22"/>
      <c r="C142" s="24"/>
      <c r="D142" s="22"/>
      <c r="E142" s="25"/>
      <c r="F142" s="22"/>
      <c r="G142" s="22"/>
      <c r="H142" s="22"/>
      <c r="I142" s="22"/>
      <c r="J142" s="13" t="str">
        <f t="array" ref="J142">IFERROR(INDEX(BasedatosM9!B:B, MATCH(A142, BasedatosM9!E:E, 0)), "")</f>
        <v/>
      </c>
      <c r="K142" s="5" t="str">
        <f t="shared" si="0"/>
        <v/>
      </c>
    </row>
    <row r="143" spans="1:11" ht="14.4">
      <c r="A143" s="23"/>
      <c r="B143" s="22"/>
      <c r="C143" s="24"/>
      <c r="D143" s="22"/>
      <c r="E143" s="25"/>
      <c r="F143" s="22"/>
      <c r="G143" s="22"/>
      <c r="H143" s="22"/>
      <c r="I143" s="22"/>
      <c r="J143" s="13" t="str">
        <f t="array" ref="J143">IFERROR(INDEX(BasedatosM9!B:B, MATCH(A143, BasedatosM9!E:E, 0)), "")</f>
        <v/>
      </c>
      <c r="K143" s="5" t="str">
        <f t="shared" si="0"/>
        <v/>
      </c>
    </row>
    <row r="144" spans="1:11" ht="14.4">
      <c r="A144" s="23"/>
      <c r="B144" s="22"/>
      <c r="C144" s="24"/>
      <c r="D144" s="22"/>
      <c r="E144" s="25"/>
      <c r="F144" s="22"/>
      <c r="G144" s="22"/>
      <c r="H144" s="22"/>
      <c r="I144" s="22"/>
      <c r="J144" s="13" t="str">
        <f t="array" ref="J144">IFERROR(INDEX(BasedatosM9!B:B, MATCH(A144, BasedatosM9!E:E, 0)), "")</f>
        <v/>
      </c>
      <c r="K144" s="5" t="str">
        <f t="shared" si="0"/>
        <v/>
      </c>
    </row>
    <row r="145" spans="1:11" ht="14.4">
      <c r="A145" s="23"/>
      <c r="B145" s="22"/>
      <c r="C145" s="24"/>
      <c r="D145" s="22"/>
      <c r="E145" s="25"/>
      <c r="F145" s="22"/>
      <c r="G145" s="22"/>
      <c r="H145" s="22"/>
      <c r="I145" s="22"/>
      <c r="J145" s="13" t="str">
        <f t="array" ref="J145">IFERROR(INDEX(BasedatosM9!B:B, MATCH(A145, BasedatosM9!E:E, 0)), "")</f>
        <v/>
      </c>
      <c r="K145" s="5" t="str">
        <f t="shared" si="0"/>
        <v/>
      </c>
    </row>
    <row r="146" spans="1:11" ht="14.4">
      <c r="A146" s="23"/>
      <c r="B146" s="22"/>
      <c r="C146" s="24"/>
      <c r="D146" s="22"/>
      <c r="E146" s="25"/>
      <c r="F146" s="22"/>
      <c r="G146" s="22"/>
      <c r="H146" s="22"/>
      <c r="I146" s="22"/>
      <c r="J146" s="13" t="str">
        <f t="array" ref="J146">IFERROR(INDEX(BasedatosM9!B:B, MATCH(A146, BasedatosM9!E:E, 0)), "")</f>
        <v/>
      </c>
      <c r="K146" s="5" t="str">
        <f t="shared" si="0"/>
        <v/>
      </c>
    </row>
    <row r="147" spans="1:11" ht="14.4">
      <c r="A147" s="23"/>
      <c r="B147" s="22"/>
      <c r="C147" s="24"/>
      <c r="D147" s="22"/>
      <c r="E147" s="25"/>
      <c r="F147" s="22"/>
      <c r="G147" s="22"/>
      <c r="H147" s="22"/>
      <c r="I147" s="22"/>
      <c r="J147" s="13" t="str">
        <f t="array" ref="J147">IFERROR(INDEX(BasedatosM9!B:B, MATCH(A147, BasedatosM9!E:E, 0)), "")</f>
        <v/>
      </c>
      <c r="K147" s="5" t="str">
        <f t="shared" si="0"/>
        <v/>
      </c>
    </row>
    <row r="148" spans="1:11" ht="14.4">
      <c r="A148" s="23"/>
      <c r="B148" s="22"/>
      <c r="C148" s="24"/>
      <c r="D148" s="22"/>
      <c r="E148" s="25"/>
      <c r="F148" s="22"/>
      <c r="G148" s="22"/>
      <c r="H148" s="22"/>
      <c r="I148" s="22"/>
      <c r="J148" s="13" t="str">
        <f t="array" ref="J148">IFERROR(INDEX(BasedatosM9!B:B, MATCH(A148, BasedatosM9!E:E, 0)), "")</f>
        <v/>
      </c>
      <c r="K148" s="5" t="str">
        <f t="shared" si="0"/>
        <v/>
      </c>
    </row>
    <row r="149" spans="1:11" ht="14.4">
      <c r="A149" s="23"/>
      <c r="B149" s="22"/>
      <c r="C149" s="24"/>
      <c r="D149" s="22"/>
      <c r="E149" s="25"/>
      <c r="F149" s="22"/>
      <c r="G149" s="22"/>
      <c r="H149" s="22"/>
      <c r="I149" s="22"/>
      <c r="J149" s="13" t="str">
        <f t="array" ref="J149">IFERROR(INDEX(BasedatosM9!B:B, MATCH(A149, BasedatosM9!E:E, 0)), "")</f>
        <v/>
      </c>
      <c r="K149" s="5" t="str">
        <f t="shared" si="0"/>
        <v/>
      </c>
    </row>
    <row r="150" spans="1:11" ht="14.4">
      <c r="A150" s="23"/>
      <c r="B150" s="22"/>
      <c r="C150" s="24"/>
      <c r="D150" s="22"/>
      <c r="E150" s="25"/>
      <c r="F150" s="22"/>
      <c r="G150" s="22"/>
      <c r="H150" s="22"/>
      <c r="I150" s="22"/>
      <c r="J150" s="13" t="str">
        <f t="array" ref="J150">IFERROR(INDEX(BasedatosM9!B:B, MATCH(A150, BasedatosM9!E:E, 0)), "")</f>
        <v/>
      </c>
      <c r="K150" s="5" t="str">
        <f t="shared" si="0"/>
        <v/>
      </c>
    </row>
    <row r="151" spans="1:11" ht="14.4">
      <c r="A151" s="23"/>
      <c r="B151" s="22"/>
      <c r="C151" s="24"/>
      <c r="D151" s="22"/>
      <c r="E151" s="25"/>
      <c r="F151" s="22"/>
      <c r="G151" s="22"/>
      <c r="H151" s="22"/>
      <c r="I151" s="22"/>
      <c r="J151" s="13" t="str">
        <f t="array" ref="J151">IFERROR(INDEX(BasedatosM9!B:B, MATCH(A151, BasedatosM9!E:E, 0)), "")</f>
        <v/>
      </c>
      <c r="K151" s="5" t="str">
        <f t="shared" si="0"/>
        <v/>
      </c>
    </row>
    <row r="152" spans="1:11" ht="14.4">
      <c r="A152" s="23"/>
      <c r="B152" s="22"/>
      <c r="C152" s="24"/>
      <c r="D152" s="22"/>
      <c r="E152" s="25"/>
      <c r="F152" s="22"/>
      <c r="G152" s="22"/>
      <c r="H152" s="22"/>
      <c r="I152" s="22"/>
      <c r="J152" s="13" t="str">
        <f t="array" ref="J152">IFERROR(INDEX(BasedatosM9!B:B, MATCH(A152, BasedatosM9!E:E, 0)), "")</f>
        <v/>
      </c>
      <c r="K152" s="5" t="str">
        <f t="shared" si="0"/>
        <v/>
      </c>
    </row>
    <row r="153" spans="1:11" ht="14.4">
      <c r="A153" s="23"/>
      <c r="B153" s="22"/>
      <c r="C153" s="24"/>
      <c r="D153" s="22"/>
      <c r="E153" s="25"/>
      <c r="F153" s="22"/>
      <c r="G153" s="22"/>
      <c r="H153" s="22"/>
      <c r="I153" s="22"/>
      <c r="J153" s="13" t="str">
        <f t="array" ref="J153">IFERROR(INDEX(BasedatosM9!B:B, MATCH(A153, BasedatosM9!E:E, 0)), "")</f>
        <v/>
      </c>
      <c r="K153" s="5" t="str">
        <f t="shared" si="0"/>
        <v/>
      </c>
    </row>
    <row r="154" spans="1:11" ht="14.4">
      <c r="A154" s="23"/>
      <c r="B154" s="22"/>
      <c r="C154" s="24"/>
      <c r="D154" s="22"/>
      <c r="E154" s="25"/>
      <c r="F154" s="22"/>
      <c r="G154" s="22"/>
      <c r="H154" s="22"/>
      <c r="I154" s="22"/>
      <c r="J154" s="13" t="str">
        <f t="array" ref="J154">IFERROR(INDEX(BasedatosM9!B:B, MATCH(A154, BasedatosM9!E:E, 0)), "")</f>
        <v/>
      </c>
      <c r="K154" s="5" t="str">
        <f t="shared" si="0"/>
        <v/>
      </c>
    </row>
    <row r="155" spans="1:11" ht="14.4">
      <c r="A155" s="23"/>
      <c r="B155" s="22"/>
      <c r="C155" s="24"/>
      <c r="D155" s="22"/>
      <c r="E155" s="25"/>
      <c r="F155" s="22"/>
      <c r="G155" s="22"/>
      <c r="H155" s="22"/>
      <c r="I155" s="22"/>
      <c r="J155" s="13" t="str">
        <f t="array" ref="J155">IFERROR(INDEX(BasedatosM9!B:B, MATCH(A155, BasedatosM9!E:E, 0)), "")</f>
        <v/>
      </c>
      <c r="K155" s="5" t="str">
        <f t="shared" si="0"/>
        <v/>
      </c>
    </row>
    <row r="156" spans="1:11" ht="14.4">
      <c r="A156" s="23"/>
      <c r="B156" s="22"/>
      <c r="C156" s="24"/>
      <c r="D156" s="22"/>
      <c r="E156" s="25"/>
      <c r="F156" s="22"/>
      <c r="G156" s="22"/>
      <c r="H156" s="22"/>
      <c r="I156" s="22"/>
      <c r="J156" s="13" t="str">
        <f t="array" ref="J156">IFERROR(INDEX(BasedatosM9!B:B, MATCH(A156, BasedatosM9!E:E, 0)), "")</f>
        <v/>
      </c>
      <c r="K156" s="5" t="str">
        <f t="shared" si="0"/>
        <v/>
      </c>
    </row>
    <row r="157" spans="1:11" ht="14.4">
      <c r="A157" s="23"/>
      <c r="B157" s="22"/>
      <c r="C157" s="24"/>
      <c r="D157" s="22"/>
      <c r="E157" s="25"/>
      <c r="F157" s="22"/>
      <c r="G157" s="22"/>
      <c r="H157" s="22"/>
      <c r="I157" s="22"/>
      <c r="J157" s="13" t="str">
        <f t="array" ref="J157">IFERROR(INDEX(BasedatosM9!B:B, MATCH(A157, BasedatosM9!E:E, 0)), "")</f>
        <v/>
      </c>
      <c r="K157" s="5" t="str">
        <f t="shared" si="0"/>
        <v/>
      </c>
    </row>
    <row r="158" spans="1:11" ht="14.4">
      <c r="A158" s="23"/>
      <c r="B158" s="22"/>
      <c r="C158" s="24"/>
      <c r="D158" s="22"/>
      <c r="E158" s="25"/>
      <c r="F158" s="22"/>
      <c r="G158" s="22"/>
      <c r="H158" s="22"/>
      <c r="I158" s="22"/>
      <c r="J158" s="13" t="str">
        <f t="array" ref="J158">IFERROR(INDEX(BasedatosM9!B:B, MATCH(A158, BasedatosM9!E:E, 0)), "")</f>
        <v/>
      </c>
      <c r="K158" s="5" t="str">
        <f t="shared" si="0"/>
        <v/>
      </c>
    </row>
    <row r="159" spans="1:11" ht="14.4">
      <c r="A159" s="23"/>
      <c r="B159" s="22"/>
      <c r="C159" s="24"/>
      <c r="D159" s="22"/>
      <c r="E159" s="25"/>
      <c r="F159" s="22"/>
      <c r="G159" s="22"/>
      <c r="H159" s="22"/>
      <c r="I159" s="22"/>
      <c r="J159" s="13" t="str">
        <f t="array" ref="J159">IFERROR(INDEX(BasedatosM9!B:B, MATCH(A159, BasedatosM9!E:E, 0)), "")</f>
        <v/>
      </c>
      <c r="K159" s="5" t="str">
        <f t="shared" si="0"/>
        <v/>
      </c>
    </row>
    <row r="160" spans="1:11" ht="14.4">
      <c r="A160" s="23"/>
      <c r="B160" s="22"/>
      <c r="C160" s="24"/>
      <c r="D160" s="22"/>
      <c r="E160" s="25"/>
      <c r="F160" s="22"/>
      <c r="G160" s="22"/>
      <c r="H160" s="22"/>
      <c r="I160" s="22"/>
      <c r="J160" s="13" t="str">
        <f t="array" ref="J160">IFERROR(INDEX(BasedatosM9!B:B, MATCH(A160, BasedatosM9!E:E, 0)), "")</f>
        <v/>
      </c>
      <c r="K160" s="5" t="str">
        <f t="shared" si="0"/>
        <v/>
      </c>
    </row>
    <row r="161" spans="1:11" ht="14.4">
      <c r="A161" s="23"/>
      <c r="B161" s="22"/>
      <c r="C161" s="24"/>
      <c r="D161" s="22"/>
      <c r="E161" s="25"/>
      <c r="F161" s="22"/>
      <c r="G161" s="22"/>
      <c r="H161" s="22"/>
      <c r="I161" s="22"/>
      <c r="J161" s="13" t="str">
        <f t="array" ref="J161">IFERROR(INDEX(BasedatosM9!B:B, MATCH(A161, BasedatosM9!E:E, 0)), "")</f>
        <v/>
      </c>
      <c r="K161" s="5" t="str">
        <f t="shared" si="0"/>
        <v/>
      </c>
    </row>
    <row r="162" spans="1:11" ht="14.4">
      <c r="A162" s="23"/>
      <c r="B162" s="22"/>
      <c r="C162" s="24"/>
      <c r="D162" s="22"/>
      <c r="E162" s="25"/>
      <c r="F162" s="22"/>
      <c r="G162" s="22"/>
      <c r="H162" s="22"/>
      <c r="I162" s="22"/>
      <c r="J162" s="13" t="str">
        <f t="array" ref="J162">IFERROR(INDEX(BasedatosM9!B:B, MATCH(A162, BasedatosM9!E:E, 0)), "")</f>
        <v/>
      </c>
      <c r="K162" s="5" t="str">
        <f t="shared" si="0"/>
        <v/>
      </c>
    </row>
    <row r="163" spans="1:11" ht="14.4">
      <c r="A163" s="23"/>
      <c r="B163" s="22"/>
      <c r="C163" s="24"/>
      <c r="D163" s="22"/>
      <c r="E163" s="25"/>
      <c r="F163" s="22"/>
      <c r="G163" s="22"/>
      <c r="H163" s="22"/>
      <c r="I163" s="22"/>
      <c r="J163" s="13" t="str">
        <f t="array" ref="J163">IFERROR(INDEX(BasedatosM9!B:B, MATCH(A163, BasedatosM9!E:E, 0)), "")</f>
        <v/>
      </c>
      <c r="K163" s="5" t="str">
        <f t="shared" si="0"/>
        <v/>
      </c>
    </row>
    <row r="164" spans="1:11" ht="14.4">
      <c r="A164" s="23"/>
      <c r="B164" s="22"/>
      <c r="C164" s="24"/>
      <c r="D164" s="22"/>
      <c r="E164" s="25"/>
      <c r="F164" s="22"/>
      <c r="G164" s="22"/>
      <c r="H164" s="22"/>
      <c r="I164" s="22"/>
      <c r="J164" s="13" t="str">
        <f t="array" ref="J164">IFERROR(INDEX(BasedatosM9!B:B, MATCH(A164, BasedatosM9!E:E, 0)), "")</f>
        <v/>
      </c>
      <c r="K164" s="5" t="str">
        <f t="shared" si="0"/>
        <v/>
      </c>
    </row>
    <row r="165" spans="1:11" ht="14.4">
      <c r="A165" s="23"/>
      <c r="B165" s="22"/>
      <c r="C165" s="24"/>
      <c r="D165" s="22"/>
      <c r="E165" s="25"/>
      <c r="F165" s="22"/>
      <c r="G165" s="22"/>
      <c r="H165" s="22"/>
      <c r="I165" s="22"/>
      <c r="J165" s="13" t="str">
        <f t="array" ref="J165">IFERROR(INDEX(BasedatosM9!B:B, MATCH(A165, BasedatosM9!E:E, 0)), "")</f>
        <v/>
      </c>
      <c r="K165" s="5" t="str">
        <f t="shared" si="0"/>
        <v/>
      </c>
    </row>
    <row r="166" spans="1:11" ht="14.4">
      <c r="A166" s="23"/>
      <c r="B166" s="22"/>
      <c r="C166" s="24"/>
      <c r="D166" s="22"/>
      <c r="E166" s="25"/>
      <c r="F166" s="22"/>
      <c r="G166" s="22"/>
      <c r="H166" s="22"/>
      <c r="I166" s="22"/>
      <c r="J166" s="13" t="str">
        <f t="array" ref="J166">IFERROR(INDEX(BasedatosM9!B:B, MATCH(A166, BasedatosM9!E:E, 0)), "")</f>
        <v/>
      </c>
      <c r="K166" s="5" t="str">
        <f t="shared" si="0"/>
        <v/>
      </c>
    </row>
    <row r="167" spans="1:11" ht="14.4">
      <c r="A167" s="23"/>
      <c r="B167" s="22"/>
      <c r="C167" s="24"/>
      <c r="D167" s="22"/>
      <c r="E167" s="25"/>
      <c r="F167" s="22"/>
      <c r="G167" s="22"/>
      <c r="H167" s="22"/>
      <c r="I167" s="22"/>
      <c r="J167" s="13" t="str">
        <f t="array" ref="J167">IFERROR(INDEX(BasedatosM9!B:B, MATCH(A167, BasedatosM9!E:E, 0)), "")</f>
        <v/>
      </c>
      <c r="K167" s="5" t="str">
        <f t="shared" si="0"/>
        <v/>
      </c>
    </row>
    <row r="168" spans="1:11" ht="14.4">
      <c r="A168" s="23"/>
      <c r="B168" s="22"/>
      <c r="C168" s="24"/>
      <c r="D168" s="22"/>
      <c r="E168" s="25"/>
      <c r="F168" s="22"/>
      <c r="G168" s="22"/>
      <c r="H168" s="22"/>
      <c r="I168" s="22"/>
      <c r="J168" s="13" t="str">
        <f t="array" ref="J168">IFERROR(INDEX(BasedatosM9!B:B, MATCH(A168, BasedatosM9!E:E, 0)), "")</f>
        <v/>
      </c>
      <c r="K168" s="5" t="str">
        <f t="shared" si="0"/>
        <v/>
      </c>
    </row>
    <row r="169" spans="1:11" ht="14.4">
      <c r="A169" s="23"/>
      <c r="B169" s="22"/>
      <c r="C169" s="24"/>
      <c r="D169" s="22"/>
      <c r="E169" s="25"/>
      <c r="F169" s="22"/>
      <c r="G169" s="22"/>
      <c r="H169" s="22"/>
      <c r="I169" s="22"/>
      <c r="J169" s="13" t="str">
        <f t="array" ref="J169">IFERROR(INDEX(BasedatosM9!B:B, MATCH(A169, BasedatosM9!E:E, 0)), "")</f>
        <v/>
      </c>
      <c r="K169" s="5" t="str">
        <f t="shared" si="0"/>
        <v/>
      </c>
    </row>
    <row r="170" spans="1:11" ht="14.4">
      <c r="A170" s="23"/>
      <c r="B170" s="22"/>
      <c r="C170" s="24"/>
      <c r="D170" s="22"/>
      <c r="E170" s="25"/>
      <c r="F170" s="22"/>
      <c r="G170" s="22"/>
      <c r="H170" s="22"/>
      <c r="I170" s="22"/>
      <c r="J170" s="13" t="str">
        <f t="array" ref="J170">IFERROR(INDEX(BasedatosM9!B:B, MATCH(A170, BasedatosM9!E:E, 0)), "")</f>
        <v/>
      </c>
      <c r="K170" s="5" t="str">
        <f t="shared" si="0"/>
        <v/>
      </c>
    </row>
    <row r="171" spans="1:11" ht="14.4">
      <c r="A171" s="23"/>
      <c r="B171" s="22"/>
      <c r="C171" s="24"/>
      <c r="D171" s="22"/>
      <c r="E171" s="25"/>
      <c r="F171" s="22"/>
      <c r="G171" s="22"/>
      <c r="H171" s="22"/>
      <c r="I171" s="22"/>
      <c r="J171" s="13" t="str">
        <f t="array" ref="J171">IFERROR(INDEX(BasedatosM9!B:B, MATCH(A171, BasedatosM9!E:E, 0)), "")</f>
        <v/>
      </c>
      <c r="K171" s="5" t="str">
        <f t="shared" si="0"/>
        <v/>
      </c>
    </row>
    <row r="172" spans="1:11" ht="14.4">
      <c r="A172" s="23"/>
      <c r="B172" s="22"/>
      <c r="C172" s="24"/>
      <c r="D172" s="22"/>
      <c r="E172" s="25"/>
      <c r="F172" s="22"/>
      <c r="G172" s="22"/>
      <c r="H172" s="22"/>
      <c r="I172" s="22"/>
      <c r="J172" s="13" t="str">
        <f t="array" ref="J172">IFERROR(INDEX(BasedatosM9!B:B, MATCH(A172, BasedatosM9!E:E, 0)), "")</f>
        <v/>
      </c>
      <c r="K172" s="5" t="str">
        <f t="shared" si="0"/>
        <v/>
      </c>
    </row>
    <row r="173" spans="1:11" ht="14.4">
      <c r="A173" s="23"/>
      <c r="B173" s="22"/>
      <c r="C173" s="24"/>
      <c r="D173" s="22"/>
      <c r="E173" s="25"/>
      <c r="F173" s="22"/>
      <c r="G173" s="22"/>
      <c r="H173" s="22"/>
      <c r="I173" s="22"/>
      <c r="J173" s="13" t="str">
        <f t="array" ref="J173">IFERROR(INDEX(BasedatosM9!B:B, MATCH(A173, BasedatosM9!E:E, 0)), "")</f>
        <v/>
      </c>
      <c r="K173" s="5" t="str">
        <f t="shared" si="0"/>
        <v/>
      </c>
    </row>
    <row r="174" spans="1:11" ht="14.4">
      <c r="A174" s="23"/>
      <c r="B174" s="22"/>
      <c r="C174" s="24"/>
      <c r="D174" s="22"/>
      <c r="E174" s="25"/>
      <c r="F174" s="22"/>
      <c r="G174" s="22"/>
      <c r="H174" s="22"/>
      <c r="I174" s="22"/>
      <c r="J174" s="13" t="str">
        <f t="array" ref="J174">IFERROR(INDEX(BasedatosM9!B:B, MATCH(A174, BasedatosM9!E:E, 0)), "")</f>
        <v/>
      </c>
      <c r="K174" s="5" t="str">
        <f t="shared" si="0"/>
        <v/>
      </c>
    </row>
    <row r="175" spans="1:11" ht="14.4">
      <c r="A175" s="23"/>
      <c r="B175" s="22"/>
      <c r="C175" s="24"/>
      <c r="D175" s="22"/>
      <c r="E175" s="25"/>
      <c r="F175" s="22"/>
      <c r="G175" s="22"/>
      <c r="H175" s="22"/>
      <c r="I175" s="22"/>
      <c r="J175" s="13" t="str">
        <f t="array" ref="J175">IFERROR(INDEX(BasedatosM9!B:B, MATCH(A175, BasedatosM9!E:E, 0)), "")</f>
        <v/>
      </c>
      <c r="K175" s="5" t="str">
        <f t="shared" si="0"/>
        <v/>
      </c>
    </row>
    <row r="176" spans="1:11" ht="14.4">
      <c r="A176" s="23"/>
      <c r="B176" s="22"/>
      <c r="C176" s="24"/>
      <c r="D176" s="22"/>
      <c r="E176" s="25"/>
      <c r="F176" s="22"/>
      <c r="G176" s="22"/>
      <c r="H176" s="22"/>
      <c r="I176" s="22"/>
      <c r="J176" s="13" t="str">
        <f t="array" ref="J176">IFERROR(INDEX(BasedatosM9!B:B, MATCH(A176, BasedatosM9!E:E, 0)), "")</f>
        <v/>
      </c>
      <c r="K176" s="5" t="str">
        <f t="shared" si="0"/>
        <v/>
      </c>
    </row>
    <row r="177" spans="1:11" ht="14.4">
      <c r="A177" s="23"/>
      <c r="B177" s="22"/>
      <c r="C177" s="24"/>
      <c r="D177" s="22"/>
      <c r="E177" s="25"/>
      <c r="F177" s="22"/>
      <c r="G177" s="22"/>
      <c r="H177" s="22"/>
      <c r="I177" s="22"/>
      <c r="J177" s="13" t="str">
        <f t="array" ref="J177">IFERROR(INDEX(BasedatosM9!B:B, MATCH(A177, BasedatosM9!E:E, 0)), "")</f>
        <v/>
      </c>
      <c r="K177" s="5" t="str">
        <f t="shared" si="0"/>
        <v/>
      </c>
    </row>
    <row r="178" spans="1:11" ht="14.4">
      <c r="A178" s="23"/>
      <c r="B178" s="22"/>
      <c r="C178" s="24"/>
      <c r="D178" s="22"/>
      <c r="E178" s="25"/>
      <c r="F178" s="22"/>
      <c r="G178" s="22"/>
      <c r="H178" s="22"/>
      <c r="I178" s="22"/>
      <c r="J178" s="13" t="str">
        <f t="array" ref="J178">IFERROR(INDEX(BasedatosM9!B:B, MATCH(A178, BasedatosM9!E:E, 0)), "")</f>
        <v/>
      </c>
      <c r="K178" s="5" t="str">
        <f t="shared" si="0"/>
        <v/>
      </c>
    </row>
    <row r="179" spans="1:11" ht="14.4">
      <c r="A179" s="23"/>
      <c r="B179" s="22"/>
      <c r="C179" s="24"/>
      <c r="D179" s="22"/>
      <c r="E179" s="25"/>
      <c r="F179" s="22"/>
      <c r="G179" s="22"/>
      <c r="H179" s="22"/>
      <c r="I179" s="22"/>
      <c r="J179" s="13" t="str">
        <f t="array" ref="J179">IFERROR(INDEX(BasedatosM9!B:B, MATCH(A179, BasedatosM9!E:E, 0)), "")</f>
        <v/>
      </c>
      <c r="K179" s="5" t="str">
        <f t="shared" si="0"/>
        <v/>
      </c>
    </row>
    <row r="180" spans="1:11" ht="14.4">
      <c r="A180" s="23"/>
      <c r="B180" s="22"/>
      <c r="C180" s="24"/>
      <c r="D180" s="22"/>
      <c r="E180" s="25"/>
      <c r="F180" s="22"/>
      <c r="G180" s="22"/>
      <c r="H180" s="22"/>
      <c r="I180" s="22"/>
      <c r="J180" s="13" t="str">
        <f t="array" ref="J180">IFERROR(INDEX(BasedatosM9!B:B, MATCH(A180, BasedatosM9!E:E, 0)), "")</f>
        <v/>
      </c>
      <c r="K180" s="5" t="str">
        <f t="shared" si="0"/>
        <v/>
      </c>
    </row>
    <row r="181" spans="1:11" ht="14.4">
      <c r="A181" s="23"/>
      <c r="B181" s="22"/>
      <c r="C181" s="24"/>
      <c r="D181" s="22"/>
      <c r="E181" s="25"/>
      <c r="F181" s="22"/>
      <c r="G181" s="22"/>
      <c r="H181" s="22"/>
      <c r="I181" s="22"/>
      <c r="J181" s="13" t="str">
        <f t="array" ref="J181">IFERROR(INDEX(BasedatosM9!B:B, MATCH(A181, BasedatosM9!E:E, 0)), "")</f>
        <v/>
      </c>
      <c r="K181" s="5" t="str">
        <f t="shared" si="0"/>
        <v/>
      </c>
    </row>
    <row r="182" spans="1:11" ht="14.4">
      <c r="A182" s="23"/>
      <c r="B182" s="22"/>
      <c r="C182" s="24"/>
      <c r="D182" s="22"/>
      <c r="E182" s="25"/>
      <c r="F182" s="22"/>
      <c r="G182" s="22"/>
      <c r="H182" s="22"/>
      <c r="I182" s="22"/>
      <c r="J182" s="13" t="str">
        <f t="array" ref="J182">IFERROR(INDEX(BasedatosM9!B:B, MATCH(A182, BasedatosM9!E:E, 0)), "")</f>
        <v/>
      </c>
      <c r="K182" s="5" t="str">
        <f t="shared" si="0"/>
        <v/>
      </c>
    </row>
    <row r="183" spans="1:11" ht="14.4">
      <c r="A183" s="23"/>
      <c r="B183" s="22"/>
      <c r="C183" s="24"/>
      <c r="D183" s="22"/>
      <c r="E183" s="25"/>
      <c r="F183" s="22"/>
      <c r="G183" s="22"/>
      <c r="H183" s="22"/>
      <c r="I183" s="22"/>
      <c r="J183" s="13" t="str">
        <f t="array" ref="J183">IFERROR(INDEX(BasedatosM9!B:B, MATCH(A183, BasedatosM9!E:E, 0)), "")</f>
        <v/>
      </c>
      <c r="K183" s="5" t="str">
        <f t="shared" si="0"/>
        <v/>
      </c>
    </row>
    <row r="184" spans="1:11" ht="14.4">
      <c r="A184" s="23"/>
      <c r="B184" s="22"/>
      <c r="C184" s="24"/>
      <c r="D184" s="22"/>
      <c r="E184" s="25"/>
      <c r="F184" s="22"/>
      <c r="G184" s="22"/>
      <c r="H184" s="22"/>
      <c r="I184" s="22"/>
      <c r="J184" s="13" t="str">
        <f t="array" ref="J184">IFERROR(INDEX(BasedatosM9!B:B, MATCH(A184, BasedatosM9!E:E, 0)), "")</f>
        <v/>
      </c>
      <c r="K184" s="5" t="str">
        <f t="shared" si="0"/>
        <v/>
      </c>
    </row>
    <row r="185" spans="1:11" ht="14.4">
      <c r="A185" s="23"/>
      <c r="B185" s="22"/>
      <c r="C185" s="24"/>
      <c r="D185" s="22"/>
      <c r="E185" s="25"/>
      <c r="F185" s="22"/>
      <c r="G185" s="22"/>
      <c r="H185" s="22"/>
      <c r="I185" s="22"/>
      <c r="J185" s="13" t="str">
        <f t="array" ref="J185">IFERROR(INDEX(BasedatosM9!B:B, MATCH(A185, BasedatosM9!E:E, 0)), "")</f>
        <v/>
      </c>
      <c r="K185" s="5" t="str">
        <f t="shared" si="0"/>
        <v/>
      </c>
    </row>
    <row r="186" spans="1:11" ht="14.4">
      <c r="A186" s="23"/>
      <c r="B186" s="22"/>
      <c r="C186" s="24"/>
      <c r="D186" s="22"/>
      <c r="E186" s="25"/>
      <c r="F186" s="22"/>
      <c r="G186" s="22"/>
      <c r="H186" s="22"/>
      <c r="I186" s="22"/>
      <c r="J186" s="13" t="str">
        <f t="array" ref="J186">IFERROR(INDEX(BasedatosM9!B:B, MATCH(A186, BasedatosM9!E:E, 0)), "")</f>
        <v/>
      </c>
      <c r="K186" s="5" t="str">
        <f t="shared" si="0"/>
        <v/>
      </c>
    </row>
    <row r="187" spans="1:11" ht="14.4">
      <c r="A187" s="23"/>
      <c r="B187" s="22"/>
      <c r="C187" s="24"/>
      <c r="D187" s="22"/>
      <c r="E187" s="25"/>
      <c r="F187" s="22"/>
      <c r="G187" s="22"/>
      <c r="H187" s="22"/>
      <c r="I187" s="22"/>
      <c r="J187" s="13" t="str">
        <f t="array" ref="J187">IFERROR(INDEX(BasedatosM9!B:B, MATCH(A187, BasedatosM9!E:E, 0)), "")</f>
        <v/>
      </c>
      <c r="K187" s="5" t="str">
        <f t="shared" si="0"/>
        <v/>
      </c>
    </row>
    <row r="188" spans="1:11" ht="14.4">
      <c r="A188" s="23"/>
      <c r="B188" s="22"/>
      <c r="C188" s="24"/>
      <c r="D188" s="22"/>
      <c r="E188" s="25"/>
      <c r="F188" s="22"/>
      <c r="G188" s="22"/>
      <c r="H188" s="22"/>
      <c r="I188" s="22"/>
      <c r="J188" s="13" t="str">
        <f t="array" ref="J188">IFERROR(INDEX(BasedatosM9!B:B, MATCH(A188, BasedatosM9!E:E, 0)), "")</f>
        <v/>
      </c>
      <c r="K188" s="5" t="str">
        <f t="shared" si="0"/>
        <v/>
      </c>
    </row>
    <row r="189" spans="1:11" ht="14.4">
      <c r="A189" s="23"/>
      <c r="B189" s="22"/>
      <c r="C189" s="24"/>
      <c r="D189" s="22"/>
      <c r="E189" s="25"/>
      <c r="F189" s="22"/>
      <c r="G189" s="22"/>
      <c r="H189" s="22"/>
      <c r="I189" s="22"/>
      <c r="J189" s="13" t="str">
        <f t="array" ref="J189">IFERROR(INDEX(BasedatosM9!B:B, MATCH(A189, BasedatosM9!E:E, 0)), "")</f>
        <v/>
      </c>
      <c r="K189" s="5" t="str">
        <f t="shared" si="0"/>
        <v/>
      </c>
    </row>
    <row r="190" spans="1:11" ht="14.4">
      <c r="A190" s="23"/>
      <c r="B190" s="22"/>
      <c r="C190" s="24"/>
      <c r="D190" s="22"/>
      <c r="E190" s="25"/>
      <c r="F190" s="22"/>
      <c r="G190" s="22"/>
      <c r="H190" s="22"/>
      <c r="I190" s="22"/>
      <c r="J190" s="13" t="str">
        <f t="array" ref="J190">IFERROR(INDEX(BasedatosM9!B:B, MATCH(A190, BasedatosM9!E:E, 0)), "")</f>
        <v/>
      </c>
      <c r="K190" s="5" t="str">
        <f t="shared" si="0"/>
        <v/>
      </c>
    </row>
    <row r="191" spans="1:11" ht="14.4">
      <c r="A191" s="23"/>
      <c r="B191" s="22"/>
      <c r="C191" s="24"/>
      <c r="D191" s="22"/>
      <c r="E191" s="25"/>
      <c r="F191" s="22"/>
      <c r="G191" s="22"/>
      <c r="H191" s="22"/>
      <c r="I191" s="22"/>
      <c r="J191" s="13" t="str">
        <f t="array" ref="J191">IFERROR(INDEX(BasedatosM9!B:B, MATCH(A191, BasedatosM9!E:E, 0)), "")</f>
        <v/>
      </c>
      <c r="K191" s="5" t="str">
        <f t="shared" si="0"/>
        <v/>
      </c>
    </row>
    <row r="192" spans="1:11" ht="14.4">
      <c r="A192" s="23"/>
      <c r="B192" s="22"/>
      <c r="C192" s="24"/>
      <c r="D192" s="22"/>
      <c r="E192" s="25"/>
      <c r="F192" s="22"/>
      <c r="G192" s="22"/>
      <c r="H192" s="22"/>
      <c r="I192" s="22"/>
      <c r="J192" s="13" t="str">
        <f t="array" ref="J192">IFERROR(INDEX(BasedatosM9!B:B, MATCH(A192, BasedatosM9!E:E, 0)), "")</f>
        <v/>
      </c>
      <c r="K192" s="5" t="str">
        <f t="shared" si="0"/>
        <v/>
      </c>
    </row>
    <row r="193" spans="1:11" ht="14.4">
      <c r="A193" s="23"/>
      <c r="B193" s="22"/>
      <c r="C193" s="24"/>
      <c r="D193" s="22"/>
      <c r="E193" s="25"/>
      <c r="F193" s="22"/>
      <c r="G193" s="22"/>
      <c r="H193" s="22"/>
      <c r="I193" s="22"/>
      <c r="J193" s="13" t="str">
        <f t="array" ref="J193">IFERROR(INDEX(BasedatosM9!B:B, MATCH(A193, BasedatosM9!E:E, 0)), "")</f>
        <v/>
      </c>
      <c r="K193" s="5" t="str">
        <f t="shared" si="0"/>
        <v/>
      </c>
    </row>
    <row r="194" spans="1:11" ht="14.4">
      <c r="A194" s="23"/>
      <c r="B194" s="22"/>
      <c r="C194" s="24"/>
      <c r="D194" s="22"/>
      <c r="E194" s="25"/>
      <c r="F194" s="22"/>
      <c r="G194" s="22"/>
      <c r="H194" s="22"/>
      <c r="I194" s="22"/>
      <c r="J194" s="13" t="str">
        <f t="array" ref="J194">IFERROR(INDEX(BasedatosM9!B:B, MATCH(A194, BasedatosM9!E:E, 0)), "")</f>
        <v/>
      </c>
      <c r="K194" s="5" t="str">
        <f t="shared" si="0"/>
        <v/>
      </c>
    </row>
    <row r="195" spans="1:11" ht="14.4">
      <c r="A195" s="23"/>
      <c r="B195" s="22"/>
      <c r="C195" s="24"/>
      <c r="D195" s="22"/>
      <c r="E195" s="25"/>
      <c r="F195" s="22"/>
      <c r="G195" s="22"/>
      <c r="H195" s="22"/>
      <c r="I195" s="22"/>
      <c r="J195" s="13" t="str">
        <f t="array" ref="J195">IFERROR(INDEX(BasedatosM9!B:B, MATCH(A195, BasedatosM9!E:E, 0)), "")</f>
        <v/>
      </c>
      <c r="K195" s="5" t="str">
        <f t="shared" si="0"/>
        <v/>
      </c>
    </row>
    <row r="196" spans="1:11" ht="14.4">
      <c r="A196" s="23"/>
      <c r="B196" s="22"/>
      <c r="C196" s="24"/>
      <c r="D196" s="22"/>
      <c r="E196" s="25"/>
      <c r="F196" s="22"/>
      <c r="G196" s="22"/>
      <c r="H196" s="22"/>
      <c r="I196" s="22"/>
      <c r="J196" s="13" t="str">
        <f t="array" ref="J196">IFERROR(INDEX(BasedatosM9!B:B, MATCH(A196, BasedatosM9!E:E, 0)), "")</f>
        <v/>
      </c>
      <c r="K196" s="5" t="str">
        <f t="shared" si="0"/>
        <v/>
      </c>
    </row>
    <row r="197" spans="1:11" ht="14.4">
      <c r="A197" s="23"/>
      <c r="B197" s="22"/>
      <c r="C197" s="24"/>
      <c r="D197" s="22"/>
      <c r="E197" s="25"/>
      <c r="F197" s="22"/>
      <c r="G197" s="22"/>
      <c r="H197" s="22"/>
      <c r="I197" s="22"/>
      <c r="J197" s="13" t="str">
        <f t="array" ref="J197">IFERROR(INDEX(BasedatosM9!B:B, MATCH(A197, BasedatosM9!E:E, 0)), "")</f>
        <v/>
      </c>
      <c r="K197" s="5" t="str">
        <f t="shared" si="0"/>
        <v/>
      </c>
    </row>
    <row r="198" spans="1:11" ht="14.4">
      <c r="A198" s="23"/>
      <c r="B198" s="22"/>
      <c r="C198" s="24"/>
      <c r="D198" s="22"/>
      <c r="E198" s="25"/>
      <c r="F198" s="22"/>
      <c r="G198" s="22"/>
      <c r="H198" s="22"/>
      <c r="I198" s="22"/>
      <c r="J198" s="13" t="str">
        <f t="array" ref="J198">IFERROR(INDEX(BasedatosM9!B:B, MATCH(A198, BasedatosM9!E:E, 0)), "")</f>
        <v/>
      </c>
      <c r="K198" s="5" t="str">
        <f t="shared" si="0"/>
        <v/>
      </c>
    </row>
    <row r="199" spans="1:11" ht="14.4">
      <c r="A199" s="23"/>
      <c r="B199" s="22"/>
      <c r="C199" s="24"/>
      <c r="D199" s="22"/>
      <c r="E199" s="25"/>
      <c r="F199" s="22"/>
      <c r="G199" s="22"/>
      <c r="H199" s="22"/>
      <c r="I199" s="22"/>
      <c r="J199" s="13" t="str">
        <f t="array" ref="J199">IFERROR(INDEX(BasedatosM9!B:B, MATCH(A199, BasedatosM9!E:E, 0)), "")</f>
        <v/>
      </c>
      <c r="K199" s="5" t="str">
        <f t="shared" si="0"/>
        <v/>
      </c>
    </row>
    <row r="200" spans="1:11" ht="14.4">
      <c r="A200" s="23"/>
      <c r="B200" s="22"/>
      <c r="C200" s="24"/>
      <c r="D200" s="22"/>
      <c r="E200" s="25"/>
      <c r="F200" s="22"/>
      <c r="G200" s="22"/>
      <c r="H200" s="22"/>
      <c r="I200" s="22"/>
      <c r="J200" s="13" t="str">
        <f t="array" ref="J200">IFERROR(INDEX(BasedatosM9!B:B, MATCH(A200, BasedatosM9!E:E, 0)), "")</f>
        <v/>
      </c>
      <c r="K200" s="5" t="str">
        <f t="shared" si="0"/>
        <v/>
      </c>
    </row>
    <row r="201" spans="1:11" ht="14.4">
      <c r="A201" s="23"/>
      <c r="B201" s="22"/>
      <c r="C201" s="24"/>
      <c r="D201" s="22"/>
      <c r="E201" s="25"/>
      <c r="F201" s="22"/>
      <c r="G201" s="22"/>
      <c r="H201" s="22"/>
      <c r="I201" s="22"/>
      <c r="J201" s="13" t="str">
        <f t="array" ref="J201">IFERROR(INDEX(BasedatosM9!B:B, MATCH(A201, BasedatosM9!E:E, 0)), "")</f>
        <v/>
      </c>
      <c r="K201" s="5" t="str">
        <f t="shared" si="0"/>
        <v/>
      </c>
    </row>
    <row r="202" spans="1:11" ht="14.4">
      <c r="A202" s="23"/>
      <c r="B202" s="22"/>
      <c r="C202" s="24"/>
      <c r="D202" s="22"/>
      <c r="E202" s="25"/>
      <c r="F202" s="22"/>
      <c r="G202" s="22"/>
      <c r="H202" s="22"/>
      <c r="I202" s="22"/>
      <c r="J202" s="13" t="str">
        <f t="array" ref="J202">IFERROR(INDEX(BasedatosM9!B:B, MATCH(A202, BasedatosM9!E:E, 0)), "")</f>
        <v/>
      </c>
      <c r="K202" s="5" t="str">
        <f t="shared" si="0"/>
        <v/>
      </c>
    </row>
    <row r="203" spans="1:11" ht="14.4">
      <c r="A203" s="23"/>
      <c r="B203" s="22"/>
      <c r="C203" s="24"/>
      <c r="D203" s="22"/>
      <c r="E203" s="25"/>
      <c r="F203" s="22"/>
      <c r="G203" s="22"/>
      <c r="H203" s="22"/>
      <c r="I203" s="22"/>
      <c r="J203" s="13" t="str">
        <f t="array" ref="J203">IFERROR(INDEX(BasedatosM9!B:B, MATCH(A203, BasedatosM9!E:E, 0)), "")</f>
        <v/>
      </c>
      <c r="K203" s="5" t="str">
        <f t="shared" si="0"/>
        <v/>
      </c>
    </row>
    <row r="204" spans="1:11" ht="14.4">
      <c r="A204" s="23"/>
      <c r="B204" s="22"/>
      <c r="C204" s="24"/>
      <c r="D204" s="22"/>
      <c r="E204" s="25"/>
      <c r="F204" s="22"/>
      <c r="G204" s="22"/>
      <c r="H204" s="22"/>
      <c r="I204" s="22"/>
      <c r="J204" s="13" t="str">
        <f t="array" ref="J204">IFERROR(INDEX(BasedatosM9!B:B, MATCH(A204, BasedatosM9!E:E, 0)), "")</f>
        <v/>
      </c>
      <c r="K204" s="5" t="str">
        <f t="shared" si="0"/>
        <v/>
      </c>
    </row>
    <row r="205" spans="1:11" ht="14.4">
      <c r="A205" s="23"/>
      <c r="B205" s="22"/>
      <c r="C205" s="24"/>
      <c r="D205" s="22"/>
      <c r="E205" s="25"/>
      <c r="F205" s="22"/>
      <c r="G205" s="22"/>
      <c r="H205" s="22"/>
      <c r="I205" s="22"/>
      <c r="J205" s="13" t="str">
        <f t="array" ref="J205">IFERROR(INDEX(BasedatosM9!B:B, MATCH(A205, BasedatosM9!E:E, 0)), "")</f>
        <v/>
      </c>
      <c r="K205" s="5" t="str">
        <f t="shared" si="0"/>
        <v/>
      </c>
    </row>
    <row r="206" spans="1:11" ht="14.4">
      <c r="A206" s="23"/>
      <c r="B206" s="22"/>
      <c r="C206" s="24"/>
      <c r="D206" s="22"/>
      <c r="E206" s="25"/>
      <c r="F206" s="22"/>
      <c r="G206" s="22"/>
      <c r="H206" s="22"/>
      <c r="I206" s="22"/>
      <c r="J206" s="13" t="str">
        <f t="array" ref="J206">IFERROR(INDEX(BasedatosM9!B:B, MATCH(A206, BasedatosM9!E:E, 0)), "")</f>
        <v/>
      </c>
      <c r="K206" s="5" t="str">
        <f t="shared" si="0"/>
        <v/>
      </c>
    </row>
    <row r="207" spans="1:11" ht="14.4">
      <c r="A207" s="23"/>
      <c r="B207" s="22"/>
      <c r="C207" s="24"/>
      <c r="D207" s="22"/>
      <c r="E207" s="25"/>
      <c r="F207" s="22"/>
      <c r="G207" s="22"/>
      <c r="H207" s="22"/>
      <c r="I207" s="22"/>
      <c r="J207" s="13" t="str">
        <f t="array" ref="J207">IFERROR(INDEX(BasedatosM9!B:B, MATCH(A207, BasedatosM9!E:E, 0)), "")</f>
        <v/>
      </c>
      <c r="K207" s="5" t="str">
        <f t="shared" si="0"/>
        <v/>
      </c>
    </row>
    <row r="208" spans="1:11" ht="14.4">
      <c r="A208" s="23"/>
      <c r="B208" s="22"/>
      <c r="C208" s="24"/>
      <c r="D208" s="22"/>
      <c r="E208" s="25"/>
      <c r="F208" s="22"/>
      <c r="G208" s="22"/>
      <c r="H208" s="22"/>
      <c r="I208" s="22"/>
      <c r="J208" s="13" t="str">
        <f t="array" ref="J208">IFERROR(INDEX(BasedatosM9!B:B, MATCH(A208, BasedatosM9!E:E, 0)), "")</f>
        <v/>
      </c>
      <c r="K208" s="5" t="str">
        <f t="shared" si="0"/>
        <v/>
      </c>
    </row>
    <row r="209" spans="1:13" ht="14.4">
      <c r="A209" s="23"/>
      <c r="B209" s="22"/>
      <c r="C209" s="24"/>
      <c r="D209" s="22"/>
      <c r="E209" s="25"/>
      <c r="F209" s="22"/>
      <c r="G209" s="22"/>
      <c r="H209" s="22"/>
      <c r="I209" s="22"/>
      <c r="J209" s="13" t="str">
        <f t="array" ref="J209">IFERROR(INDEX(BasedatosM9!B:B, MATCH(A209, BasedatosM9!E:E, 0)), "")</f>
        <v/>
      </c>
      <c r="K209" s="5" t="str">
        <f t="shared" si="0"/>
        <v/>
      </c>
    </row>
    <row r="210" spans="1:13" ht="14.4">
      <c r="A210" s="23"/>
      <c r="B210" s="22"/>
      <c r="C210" s="24"/>
      <c r="D210" s="22"/>
      <c r="E210" s="25"/>
      <c r="F210" s="22"/>
      <c r="G210" s="22"/>
      <c r="H210" s="22"/>
      <c r="I210" s="22"/>
      <c r="J210" s="13" t="str">
        <f t="array" ref="J210">IFERROR(INDEX(BasedatosM9!B:B, MATCH(A210, BasedatosM9!E:E, 0)), "")</f>
        <v/>
      </c>
      <c r="K210" s="5" t="str">
        <f t="shared" si="0"/>
        <v/>
      </c>
    </row>
    <row r="211" spans="1:13" ht="14.4">
      <c r="A211" s="23"/>
      <c r="B211" s="22"/>
      <c r="C211" s="24"/>
      <c r="D211" s="22"/>
      <c r="E211" s="25"/>
      <c r="F211" s="22"/>
      <c r="G211" s="22"/>
      <c r="H211" s="22"/>
      <c r="I211" s="22"/>
      <c r="J211" s="13" t="str">
        <f t="array" ref="J211">IFERROR(INDEX(BasedatosM9!B:B, MATCH(A211, BasedatosM9!E:E, 0)), "")</f>
        <v/>
      </c>
      <c r="K211" s="5" t="str">
        <f t="shared" si="0"/>
        <v/>
      </c>
    </row>
    <row r="212" spans="1:13" ht="14.4">
      <c r="A212" s="23"/>
      <c r="B212" s="22"/>
      <c r="C212" s="24"/>
      <c r="D212" s="22"/>
      <c r="E212" s="25"/>
      <c r="F212" s="22"/>
      <c r="G212" s="22"/>
      <c r="H212" s="22"/>
      <c r="I212" s="22"/>
      <c r="J212" s="13" t="str">
        <f t="array" ref="J212">IFERROR(INDEX(BasedatosM9!B:B, MATCH(A212, BasedatosM9!E:E, 0)), "")</f>
        <v/>
      </c>
      <c r="K212" s="5" t="str">
        <f t="shared" si="0"/>
        <v/>
      </c>
    </row>
    <row r="213" spans="1:13" ht="14.4">
      <c r="A213" s="23"/>
      <c r="B213" s="22"/>
      <c r="C213" s="24"/>
      <c r="D213" s="22"/>
      <c r="E213" s="25"/>
      <c r="F213" s="22"/>
      <c r="G213" s="22"/>
      <c r="H213" s="22"/>
      <c r="I213" s="22"/>
      <c r="J213" s="13" t="str">
        <f t="array" ref="J213">IFERROR(INDEX(BasedatosM9!B:B, MATCH(A213, BasedatosM9!E:E, 0)), "")</f>
        <v/>
      </c>
      <c r="K213" s="5" t="str">
        <f t="shared" si="0"/>
        <v/>
      </c>
    </row>
    <row r="214" spans="1:13" ht="14.4">
      <c r="A214" s="23"/>
      <c r="B214" s="22"/>
      <c r="C214" s="24"/>
      <c r="D214" s="22"/>
      <c r="E214" s="25"/>
      <c r="F214" s="22"/>
      <c r="G214" s="22"/>
      <c r="H214" s="22"/>
      <c r="I214" s="22"/>
      <c r="J214" s="13" t="str">
        <f t="array" ref="J214">IFERROR(INDEX(BasedatosM9!B:B, MATCH(A214, BasedatosM9!E:E, 0)), "")</f>
        <v/>
      </c>
      <c r="K214" s="5" t="str">
        <f t="shared" si="0"/>
        <v/>
      </c>
    </row>
    <row r="215" spans="1:13" ht="14.4">
      <c r="A215" s="23"/>
      <c r="B215" s="22"/>
      <c r="C215" s="24"/>
      <c r="D215" s="22"/>
      <c r="E215" s="25"/>
      <c r="F215" s="22"/>
      <c r="G215" s="22"/>
      <c r="H215" s="22"/>
      <c r="I215" s="22"/>
      <c r="J215" s="13" t="str">
        <f t="array" ref="J215">IFERROR(INDEX(BasedatosM9!B:B, MATCH(A215, BasedatosM9!E:E, 0)), "")</f>
        <v/>
      </c>
      <c r="K215" s="5" t="str">
        <f t="shared" si="0"/>
        <v/>
      </c>
    </row>
    <row r="216" spans="1:13" ht="14.4">
      <c r="A216" s="23"/>
      <c r="B216" s="22"/>
      <c r="C216" s="24"/>
      <c r="D216" s="22"/>
      <c r="E216" s="25"/>
      <c r="F216" s="22"/>
      <c r="G216" s="22"/>
      <c r="H216" s="22"/>
      <c r="I216" s="22"/>
      <c r="J216" s="13" t="str">
        <f t="array" ref="J216">IFERROR(INDEX(BasedatosM9!B:B, MATCH(A216, BasedatosM9!E:E, 0)), "")</f>
        <v/>
      </c>
      <c r="K216" s="5" t="str">
        <f t="shared" si="0"/>
        <v/>
      </c>
    </row>
    <row r="217" spans="1:13" ht="14.4">
      <c r="A217" s="23"/>
      <c r="B217" s="22"/>
      <c r="C217" s="24"/>
      <c r="D217" s="22"/>
      <c r="E217" s="25"/>
      <c r="F217" s="22"/>
      <c r="G217" s="22"/>
      <c r="H217" s="22"/>
      <c r="I217" s="22"/>
      <c r="J217" s="13" t="str">
        <f t="array" ref="J217">IFERROR(INDEX(BasedatosM9!B:B, MATCH(A217, BasedatosM9!E:E, 0)), "")</f>
        <v/>
      </c>
      <c r="K217" s="5" t="str">
        <f t="shared" si="0"/>
        <v/>
      </c>
    </row>
    <row r="218" spans="1:13" ht="14.4">
      <c r="A218" s="23"/>
      <c r="B218" s="22"/>
      <c r="C218" s="24"/>
      <c r="D218" s="22"/>
      <c r="E218" s="25"/>
      <c r="F218" s="22"/>
      <c r="G218" s="22"/>
      <c r="H218" s="22"/>
      <c r="I218" s="22"/>
      <c r="J218" s="13" t="str">
        <f t="array" ref="J218">IFERROR(INDEX(BasedatosM9!B:B, MATCH(A218, BasedatosM9!E:E, 0)), "")</f>
        <v/>
      </c>
      <c r="K218" s="5" t="str">
        <f t="shared" si="0"/>
        <v/>
      </c>
    </row>
    <row r="219" spans="1:13" ht="14.4">
      <c r="A219" s="23"/>
      <c r="B219" s="22"/>
      <c r="C219" s="24"/>
      <c r="D219" s="22"/>
      <c r="E219" s="25"/>
      <c r="F219" s="22"/>
      <c r="G219" s="22"/>
      <c r="H219" s="22"/>
      <c r="I219" s="22"/>
      <c r="J219" s="13" t="str">
        <f t="array" ref="J219">IFERROR(INDEX(BasedatosM9!B:B, MATCH(A219, BasedatosM9!E:E, 0)), "")</f>
        <v/>
      </c>
      <c r="K219" s="5" t="str">
        <f t="shared" si="0"/>
        <v/>
      </c>
    </row>
    <row r="220" spans="1:13" ht="14.4">
      <c r="A220" s="23"/>
      <c r="B220" s="22"/>
      <c r="C220" s="24"/>
      <c r="D220" s="22"/>
      <c r="E220" s="25"/>
      <c r="F220" s="22"/>
      <c r="G220" s="22"/>
      <c r="H220" s="22"/>
      <c r="I220" s="22"/>
      <c r="J220" s="13" t="str">
        <f t="array" ref="J220">IFERROR(INDEX(BasedatosM9!B:B, MATCH(A220, BasedatosM9!E:E, 0)), "")</f>
        <v/>
      </c>
      <c r="K220" s="5" t="str">
        <f t="shared" si="0"/>
        <v/>
      </c>
    </row>
    <row r="221" spans="1:13" ht="14.4">
      <c r="A221" s="23"/>
      <c r="B221" s="22"/>
      <c r="C221" s="24"/>
      <c r="D221" s="22"/>
      <c r="E221" s="25"/>
      <c r="F221" s="22"/>
      <c r="G221" s="22"/>
      <c r="H221" s="22"/>
      <c r="I221" s="22"/>
      <c r="J221" s="13" t="str">
        <f t="array" ref="J221">IFERROR(INDEX(BasedatosM9!B:B, MATCH(A221, BasedatosM9!E:E, 0)), "")</f>
        <v/>
      </c>
      <c r="K221" s="5" t="str">
        <f t="shared" si="0"/>
        <v/>
      </c>
    </row>
    <row r="222" spans="1:13" ht="14.4">
      <c r="A222" s="23"/>
      <c r="B222" s="22"/>
      <c r="C222" s="24"/>
      <c r="D222" s="22"/>
      <c r="E222" s="25"/>
      <c r="F222" s="22"/>
      <c r="G222" s="22"/>
      <c r="H222" s="22"/>
      <c r="I222" s="22"/>
      <c r="J222" s="13" t="str">
        <f t="array" ref="J222">IFERROR(INDEX(BasedatosM9!B:B, MATCH(A222, BasedatosM9!E:E, 0)), "")</f>
        <v/>
      </c>
      <c r="K222" s="5" t="str">
        <f t="shared" si="0"/>
        <v/>
      </c>
      <c r="M222" s="22"/>
    </row>
    <row r="223" spans="1:13" ht="14.4">
      <c r="A223" s="23"/>
      <c r="B223" s="22"/>
      <c r="C223" s="24"/>
      <c r="D223" s="22"/>
      <c r="E223" s="25"/>
      <c r="F223" s="22"/>
      <c r="G223" s="22"/>
      <c r="H223" s="22"/>
      <c r="I223" s="22"/>
      <c r="J223" s="13" t="str">
        <f t="array" ref="J223">IFERROR(INDEX(BasedatosM9!B:B, MATCH(A223, BasedatosM9!E:E, 0)), "")</f>
        <v/>
      </c>
      <c r="K223" s="5" t="str">
        <f t="shared" si="0"/>
        <v/>
      </c>
      <c r="M223" s="22"/>
    </row>
    <row r="224" spans="1:13" ht="14.4">
      <c r="A224" s="23"/>
      <c r="B224" s="22"/>
      <c r="C224" s="24"/>
      <c r="D224" s="22"/>
      <c r="E224" s="25"/>
      <c r="F224" s="22"/>
      <c r="G224" s="22"/>
      <c r="H224" s="22"/>
      <c r="I224" s="22"/>
      <c r="J224" s="13" t="str">
        <f t="array" ref="J224">IFERROR(INDEX(BasedatosM9!B:B, MATCH(A224, BasedatosM9!E:E, 0)), "")</f>
        <v/>
      </c>
      <c r="K224" s="5" t="str">
        <f t="shared" si="0"/>
        <v/>
      </c>
      <c r="M224" s="22"/>
    </row>
    <row r="225" spans="1:11" ht="14.4">
      <c r="A225" s="23"/>
      <c r="B225" s="22"/>
      <c r="C225" s="24"/>
      <c r="D225" s="22"/>
      <c r="E225" s="25"/>
      <c r="F225" s="22"/>
      <c r="G225" s="22"/>
      <c r="H225" s="22"/>
      <c r="I225" s="22"/>
      <c r="J225" s="13" t="str">
        <f t="array" ref="J225">IFERROR(INDEX(BasedatosM9!B:B, MATCH(A225, BasedatosM9!E:E, 0)), "")</f>
        <v/>
      </c>
      <c r="K225" s="5" t="str">
        <f t="shared" si="0"/>
        <v/>
      </c>
    </row>
    <row r="226" spans="1:11" ht="14.4">
      <c r="A226" s="23"/>
      <c r="B226" s="22"/>
      <c r="C226" s="24"/>
      <c r="D226" s="22"/>
      <c r="E226" s="25"/>
      <c r="F226" s="22"/>
      <c r="G226" s="22"/>
      <c r="H226" s="22"/>
      <c r="I226" s="22"/>
      <c r="J226" s="13" t="str">
        <f t="array" ref="J226">IFERROR(INDEX(BasedatosM9!B:B, MATCH(A226, BasedatosM9!E:E, 0)), "")</f>
        <v/>
      </c>
      <c r="K226" s="5" t="str">
        <f t="shared" si="0"/>
        <v/>
      </c>
    </row>
    <row r="227" spans="1:11" ht="14.4">
      <c r="A227" s="23"/>
      <c r="B227" s="22"/>
      <c r="C227" s="24"/>
      <c r="D227" s="22"/>
      <c r="E227" s="25"/>
      <c r="F227" s="22"/>
      <c r="G227" s="22"/>
      <c r="H227" s="22"/>
      <c r="I227" s="22"/>
      <c r="J227" s="13" t="str">
        <f t="array" ref="J227">IFERROR(INDEX(BasedatosM9!B:B, MATCH(A227, BasedatosM9!E:E, 0)), "")</f>
        <v/>
      </c>
      <c r="K227" s="5" t="str">
        <f t="shared" si="0"/>
        <v/>
      </c>
    </row>
    <row r="228" spans="1:11" ht="14.4">
      <c r="A228" s="23"/>
      <c r="B228" s="22"/>
      <c r="C228" s="24"/>
      <c r="D228" s="22"/>
      <c r="E228" s="25"/>
      <c r="F228" s="22"/>
      <c r="G228" s="22"/>
      <c r="H228" s="22"/>
      <c r="I228" s="22"/>
      <c r="J228" s="13" t="str">
        <f t="array" ref="J228">IFERROR(INDEX(BasedatosM9!B:B, MATCH(A228, BasedatosM9!E:E, 0)), "")</f>
        <v/>
      </c>
      <c r="K228" s="5" t="str">
        <f t="shared" si="0"/>
        <v/>
      </c>
    </row>
    <row r="229" spans="1:11" ht="14.4">
      <c r="A229" s="23"/>
      <c r="B229" s="22"/>
      <c r="C229" s="24"/>
      <c r="D229" s="22"/>
      <c r="E229" s="25"/>
      <c r="F229" s="22"/>
      <c r="G229" s="22"/>
      <c r="H229" s="22"/>
      <c r="I229" s="22"/>
      <c r="J229" s="13" t="str">
        <f t="array" ref="J229">IFERROR(INDEX(BasedatosM9!B:B, MATCH(A229, BasedatosM9!E:E, 0)), "")</f>
        <v/>
      </c>
      <c r="K229" s="5" t="str">
        <f t="shared" si="0"/>
        <v/>
      </c>
    </row>
    <row r="230" spans="1:11" ht="14.4">
      <c r="A230" s="23"/>
      <c r="B230" s="22"/>
      <c r="C230" s="24"/>
      <c r="D230" s="22"/>
      <c r="E230" s="25"/>
      <c r="F230" s="22"/>
      <c r="G230" s="22"/>
      <c r="H230" s="22"/>
      <c r="I230" s="22"/>
      <c r="J230" s="13" t="str">
        <f t="array" ref="J230">IFERROR(INDEX(BasedatosM9!B:B, MATCH(A230, BasedatosM9!E:E, 0)), "")</f>
        <v/>
      </c>
      <c r="K230" s="5" t="str">
        <f t="shared" si="0"/>
        <v/>
      </c>
    </row>
    <row r="231" spans="1:11" ht="14.4">
      <c r="A231" s="23"/>
      <c r="B231" s="22"/>
      <c r="C231" s="24"/>
      <c r="D231" s="22"/>
      <c r="E231" s="25"/>
      <c r="F231" s="22"/>
      <c r="G231" s="22"/>
      <c r="H231" s="22"/>
      <c r="I231" s="22"/>
      <c r="J231" s="13" t="str">
        <f t="array" ref="J231">IFERROR(INDEX(BasedatosM9!B:B, MATCH(A231, BasedatosM9!E:E, 0)), "")</f>
        <v/>
      </c>
      <c r="K231" s="5" t="str">
        <f t="shared" si="0"/>
        <v/>
      </c>
    </row>
    <row r="232" spans="1:11" ht="14.4">
      <c r="A232" s="23"/>
      <c r="B232" s="22"/>
      <c r="C232" s="24"/>
      <c r="D232" s="22"/>
      <c r="E232" s="25"/>
      <c r="F232" s="22"/>
      <c r="G232" s="22"/>
      <c r="H232" s="22"/>
      <c r="I232" s="22"/>
      <c r="J232" s="13" t="str">
        <f t="array" ref="J232">IFERROR(INDEX(BasedatosM9!B:B, MATCH(A232, BasedatosM9!E:E, 0)), "")</f>
        <v/>
      </c>
      <c r="K232" s="5" t="str">
        <f t="shared" si="0"/>
        <v/>
      </c>
    </row>
    <row r="233" spans="1:11" ht="14.4">
      <c r="A233" s="23"/>
      <c r="B233" s="22"/>
      <c r="C233" s="24"/>
      <c r="D233" s="22"/>
      <c r="E233" s="25"/>
      <c r="F233" s="22"/>
      <c r="G233" s="22"/>
      <c r="H233" s="22"/>
      <c r="I233" s="22"/>
      <c r="J233" s="13" t="str">
        <f t="array" ref="J233">IFERROR(INDEX(BasedatosM9!B:B, MATCH(A233, BasedatosM9!E:E, 0)), "")</f>
        <v/>
      </c>
      <c r="K233" s="5" t="str">
        <f t="shared" si="0"/>
        <v/>
      </c>
    </row>
    <row r="234" spans="1:11" ht="14.4">
      <c r="A234" s="23"/>
      <c r="B234" s="22"/>
      <c r="C234" s="24"/>
      <c r="D234" s="22"/>
      <c r="E234" s="25"/>
      <c r="F234" s="22"/>
      <c r="G234" s="22"/>
      <c r="H234" s="22"/>
      <c r="I234" s="22"/>
      <c r="J234" s="13" t="str">
        <f t="array" ref="J234">IFERROR(INDEX(BasedatosM9!B:B, MATCH(A234, BasedatosM9!E:E, 0)), "")</f>
        <v/>
      </c>
      <c r="K234" s="5" t="str">
        <f t="shared" si="0"/>
        <v/>
      </c>
    </row>
    <row r="235" spans="1:11" ht="14.4">
      <c r="A235" s="23"/>
      <c r="B235" s="22"/>
      <c r="C235" s="24"/>
      <c r="D235" s="22"/>
      <c r="E235" s="25"/>
      <c r="F235" s="22"/>
      <c r="G235" s="22"/>
      <c r="H235" s="22"/>
      <c r="I235" s="22"/>
      <c r="J235" s="13" t="str">
        <f t="array" ref="J235">IFERROR(INDEX(BasedatosM9!B:B, MATCH(A235, BasedatosM9!E:E, 0)), "")</f>
        <v/>
      </c>
      <c r="K235" s="5" t="str">
        <f t="shared" si="0"/>
        <v/>
      </c>
    </row>
    <row r="236" spans="1:11" ht="14.4">
      <c r="A236" s="23"/>
      <c r="B236" s="22"/>
      <c r="C236" s="24"/>
      <c r="D236" s="22"/>
      <c r="E236" s="25"/>
      <c r="F236" s="22"/>
      <c r="G236" s="22"/>
      <c r="H236" s="22"/>
      <c r="I236" s="22"/>
      <c r="J236" s="13" t="str">
        <f t="array" ref="J236">IFERROR(INDEX(BasedatosM9!B:B, MATCH(A236, BasedatosM9!E:E, 0)), "")</f>
        <v/>
      </c>
      <c r="K236" s="5" t="str">
        <f t="shared" si="0"/>
        <v/>
      </c>
    </row>
    <row r="237" spans="1:11" ht="14.4">
      <c r="A237" s="23"/>
      <c r="B237" s="22"/>
      <c r="C237" s="24"/>
      <c r="D237" s="22"/>
      <c r="E237" s="25"/>
      <c r="F237" s="22"/>
      <c r="G237" s="22"/>
      <c r="H237" s="22"/>
      <c r="I237" s="22"/>
      <c r="J237" s="13" t="str">
        <f t="array" ref="J237">IFERROR(INDEX(BasedatosM9!B:B, MATCH(A237, BasedatosM9!E:E, 0)), "")</f>
        <v/>
      </c>
      <c r="K237" s="5" t="str">
        <f t="shared" si="0"/>
        <v/>
      </c>
    </row>
    <row r="238" spans="1:11" ht="14.4">
      <c r="A238" s="23"/>
      <c r="B238" s="22"/>
      <c r="C238" s="24"/>
      <c r="D238" s="22"/>
      <c r="E238" s="25"/>
      <c r="F238" s="22"/>
      <c r="G238" s="22"/>
      <c r="H238" s="22"/>
      <c r="I238" s="22"/>
      <c r="J238" s="13" t="str">
        <f t="array" ref="J238">IFERROR(INDEX(BasedatosM9!B:B, MATCH(A238, BasedatosM9!E:E, 0)), "")</f>
        <v/>
      </c>
      <c r="K238" s="5" t="str">
        <f t="shared" si="0"/>
        <v/>
      </c>
    </row>
    <row r="239" spans="1:11" ht="14.4">
      <c r="A239" s="23"/>
      <c r="B239" s="22"/>
      <c r="C239" s="24"/>
      <c r="D239" s="22"/>
      <c r="E239" s="25"/>
      <c r="F239" s="22"/>
      <c r="G239" s="22"/>
      <c r="H239" s="22"/>
      <c r="I239" s="22"/>
      <c r="J239" s="13" t="str">
        <f t="array" ref="J239">IFERROR(INDEX(BasedatosM9!B:B, MATCH(A239, BasedatosM9!E:E, 0)), "")</f>
        <v/>
      </c>
      <c r="K239" s="5" t="str">
        <f t="shared" si="0"/>
        <v/>
      </c>
    </row>
    <row r="240" spans="1:11" ht="14.4">
      <c r="A240" s="23"/>
      <c r="B240" s="22"/>
      <c r="C240" s="24"/>
      <c r="D240" s="22"/>
      <c r="E240" s="25"/>
      <c r="F240" s="22"/>
      <c r="G240" s="22"/>
      <c r="H240" s="22"/>
      <c r="I240" s="22"/>
      <c r="J240" s="13" t="str">
        <f t="array" ref="J240">IFERROR(INDEX(BasedatosM9!B:B, MATCH(A240, BasedatosM9!E:E, 0)), "")</f>
        <v/>
      </c>
      <c r="K240" s="5" t="str">
        <f t="shared" si="0"/>
        <v/>
      </c>
    </row>
    <row r="241" spans="1:11" ht="14.4">
      <c r="A241" s="23"/>
      <c r="B241" s="22"/>
      <c r="C241" s="24"/>
      <c r="D241" s="22"/>
      <c r="E241" s="25"/>
      <c r="F241" s="22"/>
      <c r="G241" s="22"/>
      <c r="H241" s="22"/>
      <c r="I241" s="22"/>
      <c r="J241" s="13" t="str">
        <f t="array" ref="J241">IFERROR(INDEX(BasedatosM9!B:B, MATCH(A241, BasedatosM9!E:E, 0)), "")</f>
        <v/>
      </c>
      <c r="K241" s="5" t="str">
        <f t="shared" si="0"/>
        <v/>
      </c>
    </row>
    <row r="242" spans="1:11" ht="14.4">
      <c r="A242" s="23"/>
      <c r="B242" s="22"/>
      <c r="C242" s="24"/>
      <c r="D242" s="22"/>
      <c r="E242" s="25"/>
      <c r="F242" s="22"/>
      <c r="G242" s="22"/>
      <c r="H242" s="22"/>
      <c r="I242" s="22"/>
      <c r="J242" s="13" t="str">
        <f t="array" ref="J242">IFERROR(INDEX(BasedatosM9!B:B, MATCH(A242, BasedatosM9!E:E, 0)), "")</f>
        <v/>
      </c>
      <c r="K242" s="5" t="str">
        <f t="shared" si="0"/>
        <v/>
      </c>
    </row>
    <row r="243" spans="1:11" ht="14.4">
      <c r="A243" s="23"/>
      <c r="B243" s="22"/>
      <c r="C243" s="24"/>
      <c r="D243" s="22"/>
      <c r="E243" s="25"/>
      <c r="F243" s="22"/>
      <c r="G243" s="22"/>
      <c r="H243" s="22"/>
      <c r="I243" s="22"/>
      <c r="J243" s="13" t="str">
        <f t="array" ref="J243">IFERROR(INDEX(BasedatosM9!B:B, MATCH(A243, BasedatosM9!E:E, 0)), "")</f>
        <v/>
      </c>
      <c r="K243" s="5" t="str">
        <f t="shared" si="0"/>
        <v/>
      </c>
    </row>
    <row r="244" spans="1:11" ht="14.4">
      <c r="A244" s="23"/>
      <c r="B244" s="22"/>
      <c r="C244" s="24"/>
      <c r="D244" s="22"/>
      <c r="E244" s="25"/>
      <c r="F244" s="22"/>
      <c r="G244" s="22"/>
      <c r="H244" s="22"/>
      <c r="I244" s="22"/>
      <c r="J244" s="13" t="str">
        <f t="array" ref="J244">IFERROR(INDEX(BasedatosM9!B:B, MATCH(A244, BasedatosM9!E:E, 0)), "")</f>
        <v/>
      </c>
      <c r="K244" s="5" t="str">
        <f t="shared" si="0"/>
        <v/>
      </c>
    </row>
    <row r="245" spans="1:11" ht="14.4">
      <c r="A245" s="23"/>
      <c r="B245" s="22"/>
      <c r="C245" s="24"/>
      <c r="D245" s="22"/>
      <c r="E245" s="25"/>
      <c r="F245" s="22"/>
      <c r="G245" s="22"/>
      <c r="H245" s="22"/>
      <c r="I245" s="22"/>
      <c r="J245" s="13" t="str">
        <f t="array" ref="J245">IFERROR(INDEX(BasedatosM9!B:B, MATCH(A245, BasedatosM9!E:E, 0)), "")</f>
        <v/>
      </c>
      <c r="K245" s="5" t="str">
        <f t="shared" si="0"/>
        <v/>
      </c>
    </row>
    <row r="246" spans="1:11" ht="14.4">
      <c r="A246" s="23"/>
      <c r="B246" s="22"/>
      <c r="C246" s="24"/>
      <c r="D246" s="22"/>
      <c r="E246" s="25"/>
      <c r="F246" s="22"/>
      <c r="G246" s="22"/>
      <c r="H246" s="22"/>
      <c r="I246" s="22"/>
      <c r="J246" s="13" t="str">
        <f t="array" ref="J246">IFERROR(INDEX(BasedatosM9!B:B, MATCH(A246, BasedatosM9!E:E, 0)), "")</f>
        <v/>
      </c>
      <c r="K246" s="5" t="str">
        <f t="shared" si="0"/>
        <v/>
      </c>
    </row>
    <row r="247" spans="1:11" ht="14.4">
      <c r="A247" s="23"/>
      <c r="B247" s="22"/>
      <c r="C247" s="24"/>
      <c r="D247" s="22"/>
      <c r="E247" s="25"/>
      <c r="F247" s="22"/>
      <c r="G247" s="22"/>
      <c r="H247" s="22"/>
      <c r="I247" s="22"/>
      <c r="J247" s="13" t="str">
        <f t="array" ref="J247">IFERROR(INDEX(BasedatosM9!B:B, MATCH(A247, BasedatosM9!E:E, 0)), "")</f>
        <v/>
      </c>
      <c r="K247" s="5" t="str">
        <f t="shared" si="0"/>
        <v/>
      </c>
    </row>
    <row r="248" spans="1:11" ht="14.4">
      <c r="A248" s="23"/>
      <c r="B248" s="22"/>
      <c r="C248" s="24"/>
      <c r="D248" s="22"/>
      <c r="E248" s="25"/>
      <c r="F248" s="22"/>
      <c r="G248" s="22"/>
      <c r="H248" s="22"/>
      <c r="I248" s="22"/>
      <c r="J248" s="13" t="str">
        <f t="array" ref="J248">IFERROR(INDEX(BasedatosM9!B:B, MATCH(A248, BasedatosM9!E:E, 0)), "")</f>
        <v/>
      </c>
      <c r="K248" s="5" t="str">
        <f t="shared" si="0"/>
        <v/>
      </c>
    </row>
    <row r="249" spans="1:11" ht="14.4">
      <c r="A249" s="23"/>
      <c r="B249" s="22"/>
      <c r="C249" s="24"/>
      <c r="D249" s="22"/>
      <c r="E249" s="25"/>
      <c r="F249" s="22"/>
      <c r="G249" s="22"/>
      <c r="H249" s="22"/>
      <c r="I249" s="22"/>
      <c r="J249" s="13" t="str">
        <f t="array" ref="J249">IFERROR(INDEX(BasedatosM9!B:B, MATCH(A249, BasedatosM9!E:E, 0)), "")</f>
        <v/>
      </c>
      <c r="K249" s="5" t="str">
        <f t="shared" si="0"/>
        <v/>
      </c>
    </row>
    <row r="250" spans="1:11" ht="14.4">
      <c r="A250" s="23"/>
      <c r="B250" s="22"/>
      <c r="C250" s="24"/>
      <c r="D250" s="22"/>
      <c r="E250" s="25"/>
      <c r="F250" s="22"/>
      <c r="G250" s="22"/>
      <c r="H250" s="22"/>
      <c r="I250" s="22"/>
      <c r="J250" s="13" t="str">
        <f t="array" ref="J250">IFERROR(INDEX(BasedatosM9!B:B, MATCH(A250, BasedatosM9!E:E, 0)), "")</f>
        <v/>
      </c>
      <c r="K250" s="5" t="str">
        <f t="shared" si="0"/>
        <v/>
      </c>
    </row>
    <row r="251" spans="1:11" ht="14.4">
      <c r="A251" s="23"/>
      <c r="B251" s="22"/>
      <c r="C251" s="24"/>
      <c r="D251" s="22"/>
      <c r="E251" s="25"/>
      <c r="F251" s="22"/>
      <c r="G251" s="22"/>
      <c r="H251" s="22"/>
      <c r="I251" s="22"/>
      <c r="J251" s="13" t="str">
        <f t="array" ref="J251">IFERROR(INDEX(BasedatosM9!B:B, MATCH(A251, BasedatosM9!E:E, 0)), "")</f>
        <v/>
      </c>
      <c r="K251" s="5" t="str">
        <f t="shared" si="0"/>
        <v/>
      </c>
    </row>
    <row r="252" spans="1:11" ht="14.4">
      <c r="A252" s="23"/>
      <c r="B252" s="22"/>
      <c r="C252" s="24"/>
      <c r="D252" s="22"/>
      <c r="E252" s="25"/>
      <c r="F252" s="22"/>
      <c r="G252" s="22"/>
      <c r="H252" s="22"/>
      <c r="I252" s="22"/>
      <c r="J252" s="13" t="str">
        <f t="array" ref="J252">IFERROR(INDEX(BasedatosM9!B:B, MATCH(A252, BasedatosM9!E:E, 0)), "")</f>
        <v/>
      </c>
      <c r="K252" s="5" t="str">
        <f t="shared" si="0"/>
        <v/>
      </c>
    </row>
    <row r="253" spans="1:11" ht="14.4">
      <c r="A253" s="23"/>
      <c r="B253" s="22"/>
      <c r="C253" s="24"/>
      <c r="D253" s="22"/>
      <c r="E253" s="25"/>
      <c r="F253" s="22"/>
      <c r="G253" s="22"/>
      <c r="H253" s="22"/>
      <c r="I253" s="22"/>
      <c r="J253" s="13" t="str">
        <f t="array" ref="J253">IFERROR(INDEX(BasedatosM9!B:B, MATCH(A253, BasedatosM9!E:E, 0)), "")</f>
        <v/>
      </c>
      <c r="K253" s="5" t="str">
        <f t="shared" si="0"/>
        <v/>
      </c>
    </row>
    <row r="254" spans="1:11" ht="14.4">
      <c r="A254" s="23"/>
      <c r="B254" s="22"/>
      <c r="C254" s="24"/>
      <c r="D254" s="22"/>
      <c r="E254" s="25"/>
      <c r="F254" s="22"/>
      <c r="G254" s="22"/>
      <c r="H254" s="22"/>
      <c r="I254" s="22"/>
      <c r="J254" s="13" t="str">
        <f t="array" ref="J254">IFERROR(INDEX(BasedatosM9!B:B, MATCH(A254, BasedatosM9!E:E, 0)), "")</f>
        <v/>
      </c>
      <c r="K254" s="5" t="str">
        <f t="shared" si="0"/>
        <v/>
      </c>
    </row>
    <row r="255" spans="1:11" ht="14.4">
      <c r="A255" s="23"/>
      <c r="B255" s="22"/>
      <c r="C255" s="24"/>
      <c r="D255" s="22"/>
      <c r="E255" s="25"/>
      <c r="F255" s="22"/>
      <c r="G255" s="22"/>
      <c r="H255" s="22"/>
      <c r="I255" s="22"/>
      <c r="J255" s="13" t="str">
        <f t="array" ref="J255">IFERROR(INDEX(BasedatosM9!B:B, MATCH(A255, BasedatosM9!E:E, 0)), "")</f>
        <v/>
      </c>
      <c r="K255" s="5" t="str">
        <f t="shared" si="0"/>
        <v/>
      </c>
    </row>
    <row r="256" spans="1:11" ht="14.4">
      <c r="A256" s="23"/>
      <c r="B256" s="22"/>
      <c r="C256" s="24"/>
      <c r="D256" s="22"/>
      <c r="E256" s="25"/>
      <c r="F256" s="22"/>
      <c r="G256" s="22"/>
      <c r="H256" s="22"/>
      <c r="I256" s="22"/>
      <c r="J256" s="13" t="str">
        <f t="array" ref="J256">IFERROR(INDEX(BasedatosM9!B:B, MATCH(A256, BasedatosM9!E:E, 0)), "")</f>
        <v/>
      </c>
      <c r="K256" s="5" t="str">
        <f t="shared" si="0"/>
        <v/>
      </c>
    </row>
    <row r="257" spans="1:11" ht="14.4">
      <c r="A257" s="23"/>
      <c r="B257" s="22"/>
      <c r="C257" s="24"/>
      <c r="D257" s="22"/>
      <c r="E257" s="25"/>
      <c r="F257" s="22"/>
      <c r="G257" s="22"/>
      <c r="H257" s="22"/>
      <c r="I257" s="22"/>
      <c r="J257" s="13" t="str">
        <f t="array" ref="J257">IFERROR(INDEX(BasedatosM9!B:B, MATCH(A257, BasedatosM9!E:E, 0)), "")</f>
        <v/>
      </c>
      <c r="K257" s="5" t="str">
        <f t="shared" ref="K257:K511" si="1">IF(ISNUMBER(FIND("0410-ENVASADO JUGOS PET HOT F", H257)), "LINE 8", IF(ISNUMBER(FIND("0410-LINEA 1", H257)), "LINE 1",IF(ISNUMBER(FIND("0410-LINEA BOTELLON 20 LTS", H257)), "Agua cristal", IF(ISNUMBER(FIND("0410-LINEA DE BOLSAS", H257)), "Agua cristal", IF(ISNUMBER(FIND("0410-LINEA PET CSD", H257)), "LINE 10", "")))))</f>
        <v/>
      </c>
    </row>
    <row r="258" spans="1:11" ht="14.4">
      <c r="A258" s="23"/>
      <c r="B258" s="22"/>
      <c r="C258" s="24"/>
      <c r="D258" s="22"/>
      <c r="E258" s="25"/>
      <c r="F258" s="22"/>
      <c r="G258" s="22"/>
      <c r="H258" s="22"/>
      <c r="I258" s="22"/>
      <c r="J258" s="13" t="str">
        <f t="array" ref="J258">IFERROR(INDEX(BasedatosM9!B:B, MATCH(A258, BasedatosM9!E:E, 0)), "")</f>
        <v/>
      </c>
      <c r="K258" s="5" t="str">
        <f t="shared" si="1"/>
        <v/>
      </c>
    </row>
    <row r="259" spans="1:11" ht="14.4">
      <c r="A259" s="23"/>
      <c r="B259" s="22"/>
      <c r="C259" s="24"/>
      <c r="D259" s="22"/>
      <c r="E259" s="25"/>
      <c r="F259" s="22"/>
      <c r="G259" s="22"/>
      <c r="H259" s="22"/>
      <c r="I259" s="22"/>
      <c r="J259" s="13" t="str">
        <f t="array" ref="J259">IFERROR(INDEX(BasedatosM9!B:B, MATCH(A259, BasedatosM9!E:E, 0)), "")</f>
        <v/>
      </c>
      <c r="K259" s="5" t="str">
        <f t="shared" si="1"/>
        <v/>
      </c>
    </row>
    <row r="260" spans="1:11" ht="14.4">
      <c r="A260" s="23"/>
      <c r="B260" s="22"/>
      <c r="C260" s="24"/>
      <c r="D260" s="22"/>
      <c r="E260" s="25"/>
      <c r="F260" s="22"/>
      <c r="G260" s="22"/>
      <c r="H260" s="22"/>
      <c r="I260" s="22"/>
      <c r="J260" s="13" t="str">
        <f t="array" ref="J260">IFERROR(INDEX(BasedatosM9!B:B, MATCH(A260, BasedatosM9!E:E, 0)), "")</f>
        <v/>
      </c>
      <c r="K260" s="5" t="str">
        <f t="shared" si="1"/>
        <v/>
      </c>
    </row>
    <row r="261" spans="1:11" ht="14.4">
      <c r="A261" s="23"/>
      <c r="B261" s="22"/>
      <c r="C261" s="24"/>
      <c r="D261" s="22"/>
      <c r="E261" s="25"/>
      <c r="F261" s="22"/>
      <c r="G261" s="22"/>
      <c r="H261" s="22"/>
      <c r="I261" s="22"/>
      <c r="J261" s="13" t="str">
        <f t="array" ref="J261">IFERROR(INDEX(BasedatosM9!B:B, MATCH(A261, BasedatosM9!E:E, 0)), "")</f>
        <v/>
      </c>
      <c r="K261" s="5" t="str">
        <f t="shared" si="1"/>
        <v/>
      </c>
    </row>
    <row r="262" spans="1:11" ht="14.4">
      <c r="A262" s="23"/>
      <c r="B262" s="22"/>
      <c r="C262" s="24"/>
      <c r="D262" s="22"/>
      <c r="E262" s="25"/>
      <c r="F262" s="22"/>
      <c r="G262" s="22"/>
      <c r="H262" s="22"/>
      <c r="I262" s="22"/>
      <c r="J262" s="13" t="str">
        <f t="array" ref="J262">IFERROR(INDEX(BasedatosM9!B:B, MATCH(A262, BasedatosM9!E:E, 0)), "")</f>
        <v/>
      </c>
      <c r="K262" s="5" t="str">
        <f t="shared" si="1"/>
        <v/>
      </c>
    </row>
    <row r="263" spans="1:11" ht="14.4">
      <c r="A263" s="23"/>
      <c r="B263" s="22"/>
      <c r="C263" s="24"/>
      <c r="D263" s="22"/>
      <c r="E263" s="25"/>
      <c r="F263" s="22"/>
      <c r="G263" s="22"/>
      <c r="H263" s="22"/>
      <c r="I263" s="22"/>
      <c r="J263" s="13" t="str">
        <f t="array" ref="J263">IFERROR(INDEX(BasedatosM9!B:B, MATCH(A263, BasedatosM9!E:E, 0)), "")</f>
        <v/>
      </c>
      <c r="K263" s="5" t="str">
        <f t="shared" si="1"/>
        <v/>
      </c>
    </row>
    <row r="264" spans="1:11" ht="14.4">
      <c r="A264" s="23"/>
      <c r="B264" s="22"/>
      <c r="C264" s="24"/>
      <c r="D264" s="22"/>
      <c r="E264" s="25"/>
      <c r="F264" s="22"/>
      <c r="G264" s="22"/>
      <c r="H264" s="22"/>
      <c r="I264" s="22"/>
      <c r="J264" s="13" t="str">
        <f t="array" ref="J264">IFERROR(INDEX(BasedatosM9!B:B, MATCH(A264, BasedatosM9!E:E, 0)), "")</f>
        <v/>
      </c>
      <c r="K264" s="5" t="str">
        <f t="shared" si="1"/>
        <v/>
      </c>
    </row>
    <row r="265" spans="1:11" ht="14.4">
      <c r="A265" s="23"/>
      <c r="B265" s="22"/>
      <c r="C265" s="24"/>
      <c r="D265" s="22"/>
      <c r="E265" s="25"/>
      <c r="F265" s="22"/>
      <c r="G265" s="22"/>
      <c r="H265" s="22"/>
      <c r="I265" s="22"/>
      <c r="J265" s="13" t="str">
        <f t="array" ref="J265">IFERROR(INDEX(BasedatosM9!B:B, MATCH(A265, BasedatosM9!E:E, 0)), "")</f>
        <v/>
      </c>
      <c r="K265" s="5" t="str">
        <f t="shared" si="1"/>
        <v/>
      </c>
    </row>
    <row r="266" spans="1:11" ht="14.4">
      <c r="A266" s="23"/>
      <c r="B266" s="22"/>
      <c r="C266" s="24"/>
      <c r="D266" s="22"/>
      <c r="E266" s="25"/>
      <c r="F266" s="22"/>
      <c r="G266" s="22"/>
      <c r="H266" s="22"/>
      <c r="I266" s="22"/>
      <c r="J266" s="13" t="str">
        <f t="array" ref="J266">IFERROR(INDEX(BasedatosM9!B:B, MATCH(A266, BasedatosM9!E:E, 0)), "")</f>
        <v/>
      </c>
      <c r="K266" s="5" t="str">
        <f t="shared" si="1"/>
        <v/>
      </c>
    </row>
    <row r="267" spans="1:11" ht="14.4">
      <c r="A267" s="23"/>
      <c r="B267" s="22"/>
      <c r="C267" s="24"/>
      <c r="D267" s="22"/>
      <c r="E267" s="25"/>
      <c r="F267" s="22"/>
      <c r="G267" s="22"/>
      <c r="H267" s="22"/>
      <c r="I267" s="22"/>
      <c r="J267" s="13" t="str">
        <f t="array" ref="J267">IFERROR(INDEX(BasedatosM9!B:B, MATCH(A267, BasedatosM9!E:E, 0)), "")</f>
        <v/>
      </c>
      <c r="K267" s="5" t="str">
        <f t="shared" si="1"/>
        <v/>
      </c>
    </row>
    <row r="268" spans="1:11" ht="14.4">
      <c r="A268" s="23"/>
      <c r="B268" s="22"/>
      <c r="C268" s="24"/>
      <c r="D268" s="22"/>
      <c r="E268" s="25"/>
      <c r="F268" s="22"/>
      <c r="G268" s="22"/>
      <c r="H268" s="22"/>
      <c r="I268" s="22"/>
      <c r="J268" s="13" t="str">
        <f t="array" ref="J268">IFERROR(INDEX(BasedatosM9!B:B, MATCH(A268, BasedatosM9!E:E, 0)), "")</f>
        <v/>
      </c>
      <c r="K268" s="5" t="str">
        <f t="shared" si="1"/>
        <v/>
      </c>
    </row>
    <row r="269" spans="1:11" ht="14.4">
      <c r="A269" s="23"/>
      <c r="B269" s="22"/>
      <c r="C269" s="24"/>
      <c r="D269" s="22"/>
      <c r="E269" s="25"/>
      <c r="F269" s="22"/>
      <c r="G269" s="22"/>
      <c r="H269" s="22"/>
      <c r="I269" s="22"/>
      <c r="J269" s="13" t="str">
        <f t="array" ref="J269">IFERROR(INDEX(BasedatosM9!B:B, MATCH(A269, BasedatosM9!E:E, 0)), "")</f>
        <v/>
      </c>
      <c r="K269" s="5" t="str">
        <f t="shared" si="1"/>
        <v/>
      </c>
    </row>
    <row r="270" spans="1:11" ht="14.4">
      <c r="A270" s="23"/>
      <c r="B270" s="22"/>
      <c r="C270" s="24"/>
      <c r="D270" s="22"/>
      <c r="E270" s="25"/>
      <c r="F270" s="22"/>
      <c r="G270" s="22"/>
      <c r="H270" s="22"/>
      <c r="I270" s="22"/>
      <c r="J270" s="13" t="str">
        <f t="array" ref="J270">IFERROR(INDEX(BasedatosM9!B:B, MATCH(A270, BasedatosM9!E:E, 0)), "")</f>
        <v/>
      </c>
      <c r="K270" s="5" t="str">
        <f t="shared" si="1"/>
        <v/>
      </c>
    </row>
    <row r="271" spans="1:11" ht="14.4">
      <c r="A271" s="23"/>
      <c r="B271" s="22"/>
      <c r="C271" s="24"/>
      <c r="D271" s="22"/>
      <c r="E271" s="25"/>
      <c r="F271" s="22"/>
      <c r="G271" s="22"/>
      <c r="H271" s="22"/>
      <c r="I271" s="22"/>
      <c r="J271" s="13" t="str">
        <f t="array" ref="J271">IFERROR(INDEX(BasedatosM9!B:B, MATCH(A271, BasedatosM9!E:E, 0)), "")</f>
        <v/>
      </c>
      <c r="K271" s="5" t="str">
        <f t="shared" si="1"/>
        <v/>
      </c>
    </row>
    <row r="272" spans="1:11" ht="14.4">
      <c r="A272" s="23"/>
      <c r="B272" s="22"/>
      <c r="C272" s="24"/>
      <c r="D272" s="22"/>
      <c r="E272" s="25"/>
      <c r="F272" s="22"/>
      <c r="G272" s="22"/>
      <c r="H272" s="22"/>
      <c r="I272" s="22"/>
      <c r="J272" s="13" t="str">
        <f t="array" ref="J272">IFERROR(INDEX(BasedatosM9!B:B, MATCH(A272, BasedatosM9!E:E, 0)), "")</f>
        <v/>
      </c>
      <c r="K272" s="5" t="str">
        <f t="shared" si="1"/>
        <v/>
      </c>
    </row>
    <row r="273" spans="1:11" ht="14.4">
      <c r="A273" s="23"/>
      <c r="B273" s="22"/>
      <c r="C273" s="24"/>
      <c r="D273" s="22"/>
      <c r="E273" s="25"/>
      <c r="F273" s="22"/>
      <c r="G273" s="22"/>
      <c r="H273" s="22"/>
      <c r="I273" s="22"/>
      <c r="J273" s="13" t="str">
        <f t="array" ref="J273">IFERROR(INDEX(BasedatosM9!B:B, MATCH(A273, BasedatosM9!E:E, 0)), "")</f>
        <v/>
      </c>
      <c r="K273" s="5" t="str">
        <f t="shared" si="1"/>
        <v/>
      </c>
    </row>
    <row r="274" spans="1:11" ht="14.4">
      <c r="A274" s="23"/>
      <c r="B274" s="22"/>
      <c r="C274" s="24"/>
      <c r="D274" s="22"/>
      <c r="E274" s="25"/>
      <c r="F274" s="22"/>
      <c r="G274" s="22"/>
      <c r="H274" s="22"/>
      <c r="I274" s="22"/>
      <c r="J274" s="13" t="str">
        <f t="array" ref="J274">IFERROR(INDEX(BasedatosM9!B:B, MATCH(A274, BasedatosM9!E:E, 0)), "")</f>
        <v/>
      </c>
      <c r="K274" s="5" t="str">
        <f t="shared" si="1"/>
        <v/>
      </c>
    </row>
    <row r="275" spans="1:11" ht="14.4">
      <c r="A275" s="23"/>
      <c r="B275" s="22"/>
      <c r="C275" s="24"/>
      <c r="D275" s="22"/>
      <c r="E275" s="25"/>
      <c r="F275" s="22"/>
      <c r="G275" s="22"/>
      <c r="H275" s="22"/>
      <c r="I275" s="22"/>
      <c r="J275" s="13" t="str">
        <f t="array" ref="J275">IFERROR(INDEX(BasedatosM9!B:B, MATCH(A275, BasedatosM9!E:E, 0)), "")</f>
        <v/>
      </c>
      <c r="K275" s="5" t="str">
        <f t="shared" si="1"/>
        <v/>
      </c>
    </row>
    <row r="276" spans="1:11" ht="14.4">
      <c r="A276" s="23"/>
      <c r="B276" s="22"/>
      <c r="C276" s="24"/>
      <c r="D276" s="22"/>
      <c r="E276" s="25"/>
      <c r="F276" s="22"/>
      <c r="G276" s="22"/>
      <c r="H276" s="22"/>
      <c r="I276" s="22"/>
      <c r="J276" s="13" t="str">
        <f t="array" ref="J276">IFERROR(INDEX(BasedatosM9!B:B, MATCH(A276, BasedatosM9!E:E, 0)), "")</f>
        <v/>
      </c>
      <c r="K276" s="5" t="str">
        <f t="shared" si="1"/>
        <v/>
      </c>
    </row>
    <row r="277" spans="1:11" ht="14.4">
      <c r="A277" s="23"/>
      <c r="B277" s="22"/>
      <c r="C277" s="24"/>
      <c r="D277" s="22"/>
      <c r="E277" s="25"/>
      <c r="F277" s="22"/>
      <c r="G277" s="22"/>
      <c r="H277" s="22"/>
      <c r="I277" s="22"/>
      <c r="J277" s="13" t="str">
        <f t="array" ref="J277">IFERROR(INDEX(BasedatosM9!B:B, MATCH(A277, BasedatosM9!E:E, 0)), "")</f>
        <v/>
      </c>
      <c r="K277" s="5" t="str">
        <f t="shared" si="1"/>
        <v/>
      </c>
    </row>
    <row r="278" spans="1:11" ht="14.4">
      <c r="A278" s="23"/>
      <c r="B278" s="22"/>
      <c r="C278" s="24"/>
      <c r="D278" s="22"/>
      <c r="E278" s="25"/>
      <c r="F278" s="22"/>
      <c r="G278" s="22"/>
      <c r="H278" s="22"/>
      <c r="I278" s="22"/>
      <c r="J278" s="13" t="str">
        <f t="array" ref="J278">IFERROR(INDEX(BasedatosM9!B:B, MATCH(A278, BasedatosM9!E:E, 0)), "")</f>
        <v/>
      </c>
      <c r="K278" s="5" t="str">
        <f t="shared" si="1"/>
        <v/>
      </c>
    </row>
    <row r="279" spans="1:11" ht="14.4">
      <c r="A279" s="23"/>
      <c r="B279" s="22"/>
      <c r="C279" s="24"/>
      <c r="D279" s="22"/>
      <c r="E279" s="25"/>
      <c r="F279" s="22"/>
      <c r="G279" s="22"/>
      <c r="H279" s="22"/>
      <c r="I279" s="22"/>
      <c r="J279" s="13" t="str">
        <f t="array" ref="J279">IFERROR(INDEX(BasedatosM9!B:B, MATCH(A279, BasedatosM9!E:E, 0)), "")</f>
        <v/>
      </c>
      <c r="K279" s="5" t="str">
        <f t="shared" si="1"/>
        <v/>
      </c>
    </row>
    <row r="280" spans="1:11" ht="14.4">
      <c r="A280" s="23"/>
      <c r="B280" s="22"/>
      <c r="C280" s="24"/>
      <c r="D280" s="22"/>
      <c r="E280" s="25"/>
      <c r="F280" s="22"/>
      <c r="G280" s="22"/>
      <c r="H280" s="22"/>
      <c r="I280" s="22"/>
      <c r="J280" s="13" t="str">
        <f t="array" ref="J280">IFERROR(INDEX(BasedatosM9!B:B, MATCH(A280, BasedatosM9!E:E, 0)), "")</f>
        <v/>
      </c>
      <c r="K280" s="5" t="str">
        <f t="shared" si="1"/>
        <v/>
      </c>
    </row>
    <row r="281" spans="1:11" ht="14.4">
      <c r="A281" s="23"/>
      <c r="B281" s="22"/>
      <c r="C281" s="24"/>
      <c r="D281" s="22"/>
      <c r="E281" s="25"/>
      <c r="F281" s="22"/>
      <c r="G281" s="22"/>
      <c r="H281" s="22"/>
      <c r="I281" s="22"/>
      <c r="J281" s="13" t="str">
        <f t="array" ref="J281">IFERROR(INDEX(BasedatosM9!B:B, MATCH(A281, BasedatosM9!E:E, 0)), "")</f>
        <v/>
      </c>
      <c r="K281" s="5" t="str">
        <f t="shared" si="1"/>
        <v/>
      </c>
    </row>
    <row r="282" spans="1:11" ht="14.4">
      <c r="A282" s="23"/>
      <c r="B282" s="22"/>
      <c r="C282" s="24"/>
      <c r="D282" s="22"/>
      <c r="E282" s="25"/>
      <c r="F282" s="22"/>
      <c r="G282" s="22"/>
      <c r="H282" s="22"/>
      <c r="I282" s="22"/>
      <c r="J282" s="13" t="str">
        <f t="array" ref="J282">IFERROR(INDEX(BasedatosM9!B:B, MATCH(A282, BasedatosM9!E:E, 0)), "")</f>
        <v/>
      </c>
      <c r="K282" s="5" t="str">
        <f t="shared" si="1"/>
        <v/>
      </c>
    </row>
    <row r="283" spans="1:11" ht="14.4">
      <c r="A283" s="23"/>
      <c r="B283" s="22"/>
      <c r="C283" s="24"/>
      <c r="D283" s="22"/>
      <c r="E283" s="25"/>
      <c r="F283" s="22"/>
      <c r="G283" s="22"/>
      <c r="H283" s="22"/>
      <c r="I283" s="22"/>
      <c r="J283" s="13" t="str">
        <f t="array" ref="J283">IFERROR(INDEX(BasedatosM9!B:B, MATCH(A283, BasedatosM9!E:E, 0)), "")</f>
        <v/>
      </c>
      <c r="K283" s="5" t="str">
        <f t="shared" si="1"/>
        <v/>
      </c>
    </row>
    <row r="284" spans="1:11" ht="14.4">
      <c r="A284" s="23"/>
      <c r="B284" s="22"/>
      <c r="C284" s="24"/>
      <c r="D284" s="22"/>
      <c r="E284" s="25"/>
      <c r="F284" s="22"/>
      <c r="G284" s="22"/>
      <c r="H284" s="22"/>
      <c r="I284" s="22"/>
      <c r="J284" s="13" t="str">
        <f t="array" ref="J284">IFERROR(INDEX(BasedatosM9!B:B, MATCH(A284, BasedatosM9!E:E, 0)), "")</f>
        <v/>
      </c>
      <c r="K284" s="5" t="str">
        <f t="shared" si="1"/>
        <v/>
      </c>
    </row>
    <row r="285" spans="1:11" ht="14.4">
      <c r="A285" s="23"/>
      <c r="B285" s="22"/>
      <c r="C285" s="24"/>
      <c r="D285" s="22"/>
      <c r="E285" s="25"/>
      <c r="F285" s="22"/>
      <c r="G285" s="22"/>
      <c r="H285" s="22"/>
      <c r="I285" s="22"/>
      <c r="J285" s="13" t="str">
        <f t="array" ref="J285">IFERROR(INDEX(BasedatosM9!B:B, MATCH(A285, BasedatosM9!E:E, 0)), "")</f>
        <v/>
      </c>
      <c r="K285" s="5" t="str">
        <f t="shared" si="1"/>
        <v/>
      </c>
    </row>
    <row r="286" spans="1:11" ht="14.4">
      <c r="A286" s="23"/>
      <c r="B286" s="22"/>
      <c r="C286" s="24"/>
      <c r="D286" s="22"/>
      <c r="E286" s="25"/>
      <c r="F286" s="22"/>
      <c r="G286" s="22"/>
      <c r="H286" s="22"/>
      <c r="I286" s="22"/>
      <c r="J286" s="13" t="str">
        <f t="array" ref="J286">IFERROR(INDEX(BasedatosM9!B:B, MATCH(A286, BasedatosM9!E:E, 0)), "")</f>
        <v/>
      </c>
      <c r="K286" s="5" t="str">
        <f t="shared" si="1"/>
        <v/>
      </c>
    </row>
    <row r="287" spans="1:11" ht="14.4">
      <c r="A287" s="23"/>
      <c r="B287" s="22"/>
      <c r="C287" s="24"/>
      <c r="D287" s="22"/>
      <c r="E287" s="25"/>
      <c r="F287" s="22"/>
      <c r="G287" s="22"/>
      <c r="H287" s="22"/>
      <c r="I287" s="22"/>
      <c r="J287" s="13" t="str">
        <f t="array" ref="J287">IFERROR(INDEX(BasedatosM9!B:B, MATCH(A287, BasedatosM9!E:E, 0)), "")</f>
        <v/>
      </c>
      <c r="K287" s="5" t="str">
        <f t="shared" si="1"/>
        <v/>
      </c>
    </row>
    <row r="288" spans="1:11" ht="14.4">
      <c r="A288" s="23"/>
      <c r="B288" s="22"/>
      <c r="C288" s="24"/>
      <c r="D288" s="22"/>
      <c r="E288" s="25"/>
      <c r="F288" s="22"/>
      <c r="G288" s="22"/>
      <c r="H288" s="22"/>
      <c r="I288" s="22"/>
      <c r="J288" s="13" t="str">
        <f t="array" ref="J288">IFERROR(INDEX(BasedatosM9!B:B, MATCH(A288, BasedatosM9!E:E, 0)), "")</f>
        <v/>
      </c>
      <c r="K288" s="5" t="str">
        <f t="shared" si="1"/>
        <v/>
      </c>
    </row>
    <row r="289" spans="1:11" ht="14.4">
      <c r="A289" s="23"/>
      <c r="B289" s="22"/>
      <c r="C289" s="24"/>
      <c r="D289" s="22"/>
      <c r="E289" s="25"/>
      <c r="F289" s="22"/>
      <c r="G289" s="22"/>
      <c r="H289" s="22"/>
      <c r="I289" s="22"/>
      <c r="J289" s="13" t="str">
        <f t="array" ref="J289">IFERROR(INDEX(BasedatosM9!B:B, MATCH(A289, BasedatosM9!E:E, 0)), "")</f>
        <v/>
      </c>
      <c r="K289" s="5" t="str">
        <f t="shared" si="1"/>
        <v/>
      </c>
    </row>
    <row r="290" spans="1:11" ht="14.4">
      <c r="A290" s="23"/>
      <c r="B290" s="22"/>
      <c r="C290" s="24"/>
      <c r="D290" s="22"/>
      <c r="E290" s="25"/>
      <c r="F290" s="22"/>
      <c r="G290" s="22"/>
      <c r="H290" s="22"/>
      <c r="I290" s="22"/>
      <c r="J290" s="13" t="str">
        <f t="array" ref="J290">IFERROR(INDEX(BasedatosM9!B:B, MATCH(A290, BasedatosM9!E:E, 0)), "")</f>
        <v/>
      </c>
      <c r="K290" s="5" t="str">
        <f t="shared" si="1"/>
        <v/>
      </c>
    </row>
    <row r="291" spans="1:11" ht="14.4">
      <c r="A291" s="23"/>
      <c r="B291" s="22"/>
      <c r="C291" s="24"/>
      <c r="D291" s="22"/>
      <c r="E291" s="25"/>
      <c r="F291" s="22"/>
      <c r="G291" s="22"/>
      <c r="H291" s="22"/>
      <c r="I291" s="22"/>
      <c r="J291" s="13" t="str">
        <f t="array" ref="J291">IFERROR(INDEX(BasedatosM9!B:B, MATCH(A291, BasedatosM9!E:E, 0)), "")</f>
        <v/>
      </c>
      <c r="K291" s="5" t="str">
        <f t="shared" si="1"/>
        <v/>
      </c>
    </row>
    <row r="292" spans="1:11" ht="14.4">
      <c r="A292" s="23"/>
      <c r="B292" s="22"/>
      <c r="C292" s="24"/>
      <c r="D292" s="22"/>
      <c r="E292" s="25"/>
      <c r="F292" s="22"/>
      <c r="G292" s="22"/>
      <c r="H292" s="22"/>
      <c r="I292" s="22"/>
      <c r="J292" s="13" t="str">
        <f t="array" ref="J292">IFERROR(INDEX(BasedatosM9!B:B, MATCH(A292, BasedatosM9!E:E, 0)), "")</f>
        <v/>
      </c>
      <c r="K292" s="5" t="str">
        <f t="shared" si="1"/>
        <v/>
      </c>
    </row>
    <row r="293" spans="1:11" ht="14.4">
      <c r="A293" s="23"/>
      <c r="B293" s="22"/>
      <c r="C293" s="24"/>
      <c r="D293" s="22"/>
      <c r="E293" s="25"/>
      <c r="F293" s="22"/>
      <c r="G293" s="22"/>
      <c r="H293" s="22"/>
      <c r="I293" s="22"/>
      <c r="J293" s="13" t="str">
        <f t="array" ref="J293">IFERROR(INDEX(BasedatosM9!B:B, MATCH(A293, BasedatosM9!E:E, 0)), "")</f>
        <v/>
      </c>
      <c r="K293" s="5" t="str">
        <f t="shared" si="1"/>
        <v/>
      </c>
    </row>
    <row r="294" spans="1:11" ht="14.4">
      <c r="A294" s="23"/>
      <c r="B294" s="22"/>
      <c r="C294" s="24"/>
      <c r="D294" s="22"/>
      <c r="E294" s="25"/>
      <c r="F294" s="22"/>
      <c r="G294" s="22"/>
      <c r="H294" s="22"/>
      <c r="I294" s="22"/>
      <c r="J294" s="13" t="str">
        <f t="array" ref="J294">IFERROR(INDEX(BasedatosM9!B:B, MATCH(A294, BasedatosM9!E:E, 0)), "")</f>
        <v/>
      </c>
      <c r="K294" s="5" t="str">
        <f t="shared" si="1"/>
        <v/>
      </c>
    </row>
    <row r="295" spans="1:11" ht="14.4">
      <c r="A295" s="23"/>
      <c r="B295" s="22"/>
      <c r="C295" s="24"/>
      <c r="D295" s="22"/>
      <c r="E295" s="25"/>
      <c r="F295" s="22"/>
      <c r="G295" s="22"/>
      <c r="H295" s="22"/>
      <c r="I295" s="22"/>
      <c r="J295" s="13" t="str">
        <f t="array" ref="J295">IFERROR(INDEX(BasedatosM9!B:B, MATCH(A295, BasedatosM9!E:E, 0)), "")</f>
        <v/>
      </c>
      <c r="K295" s="5" t="str">
        <f t="shared" si="1"/>
        <v/>
      </c>
    </row>
    <row r="296" spans="1:11" ht="14.4">
      <c r="A296" s="23"/>
      <c r="B296" s="22"/>
      <c r="C296" s="24"/>
      <c r="D296" s="22"/>
      <c r="E296" s="25"/>
      <c r="F296" s="22"/>
      <c r="G296" s="22"/>
      <c r="H296" s="22"/>
      <c r="I296" s="22"/>
      <c r="J296" s="13" t="str">
        <f t="array" ref="J296">IFERROR(INDEX(BasedatosM9!B:B, MATCH(A296, BasedatosM9!E:E, 0)), "")</f>
        <v/>
      </c>
      <c r="K296" s="5" t="str">
        <f t="shared" si="1"/>
        <v/>
      </c>
    </row>
    <row r="297" spans="1:11" ht="14.4">
      <c r="A297" s="23"/>
      <c r="B297" s="22"/>
      <c r="C297" s="24"/>
      <c r="D297" s="22"/>
      <c r="E297" s="25"/>
      <c r="F297" s="22"/>
      <c r="G297" s="22"/>
      <c r="H297" s="22"/>
      <c r="I297" s="22"/>
      <c r="J297" s="13" t="str">
        <f t="array" ref="J297">IFERROR(INDEX(BasedatosM9!B:B, MATCH(A297, BasedatosM9!E:E, 0)), "")</f>
        <v/>
      </c>
      <c r="K297" s="5" t="str">
        <f t="shared" si="1"/>
        <v/>
      </c>
    </row>
    <row r="298" spans="1:11" ht="14.4">
      <c r="A298" s="23"/>
      <c r="B298" s="22"/>
      <c r="C298" s="24"/>
      <c r="D298" s="22"/>
      <c r="E298" s="25"/>
      <c r="F298" s="22"/>
      <c r="G298" s="22"/>
      <c r="H298" s="22"/>
      <c r="I298" s="22"/>
      <c r="J298" s="13" t="str">
        <f t="array" ref="J298">IFERROR(INDEX(BasedatosM9!B:B, MATCH(A298, BasedatosM9!E:E, 0)), "")</f>
        <v/>
      </c>
      <c r="K298" s="5" t="str">
        <f t="shared" si="1"/>
        <v/>
      </c>
    </row>
    <row r="299" spans="1:11" ht="14.4">
      <c r="A299" s="23"/>
      <c r="B299" s="22"/>
      <c r="C299" s="24"/>
      <c r="D299" s="22"/>
      <c r="E299" s="25"/>
      <c r="F299" s="22"/>
      <c r="G299" s="22"/>
      <c r="H299" s="22"/>
      <c r="I299" s="22"/>
      <c r="J299" s="13" t="str">
        <f t="array" ref="J299">IFERROR(INDEX(BasedatosM9!B:B, MATCH(A299, BasedatosM9!E:E, 0)), "")</f>
        <v/>
      </c>
      <c r="K299" s="5" t="str">
        <f t="shared" si="1"/>
        <v/>
      </c>
    </row>
    <row r="300" spans="1:11" ht="14.4">
      <c r="A300" s="23"/>
      <c r="B300" s="22"/>
      <c r="C300" s="24"/>
      <c r="D300" s="22"/>
      <c r="E300" s="25"/>
      <c r="F300" s="22"/>
      <c r="G300" s="22"/>
      <c r="H300" s="22"/>
      <c r="I300" s="22"/>
      <c r="J300" s="13" t="str">
        <f t="array" ref="J300">IFERROR(INDEX(BasedatosM9!B:B, MATCH(A300, BasedatosM9!E:E, 0)), "")</f>
        <v/>
      </c>
      <c r="K300" s="5" t="str">
        <f t="shared" si="1"/>
        <v/>
      </c>
    </row>
    <row r="301" spans="1:11" ht="14.4">
      <c r="A301" s="23"/>
      <c r="B301" s="22"/>
      <c r="C301" s="24"/>
      <c r="D301" s="22"/>
      <c r="E301" s="25"/>
      <c r="F301" s="22"/>
      <c r="G301" s="22"/>
      <c r="H301" s="22"/>
      <c r="I301" s="22"/>
      <c r="J301" s="13" t="str">
        <f t="array" ref="J301">IFERROR(INDEX(BasedatosM9!B:B, MATCH(A301, BasedatosM9!E:E, 0)), "")</f>
        <v/>
      </c>
      <c r="K301" s="5" t="str">
        <f t="shared" si="1"/>
        <v/>
      </c>
    </row>
    <row r="302" spans="1:11" ht="14.4">
      <c r="A302" s="23"/>
      <c r="B302" s="22"/>
      <c r="C302" s="24"/>
      <c r="D302" s="22"/>
      <c r="E302" s="25"/>
      <c r="F302" s="22"/>
      <c r="G302" s="22"/>
      <c r="H302" s="22"/>
      <c r="I302" s="22"/>
      <c r="J302" s="13" t="str">
        <f t="array" ref="J302">IFERROR(INDEX(BasedatosM9!B:B, MATCH(A302, BasedatosM9!E:E, 0)), "")</f>
        <v/>
      </c>
      <c r="K302" s="5" t="str">
        <f t="shared" si="1"/>
        <v/>
      </c>
    </row>
    <row r="303" spans="1:11" ht="14.4">
      <c r="A303" s="23"/>
      <c r="B303" s="22"/>
      <c r="C303" s="24"/>
      <c r="D303" s="22"/>
      <c r="E303" s="25"/>
      <c r="F303" s="22"/>
      <c r="G303" s="22"/>
      <c r="H303" s="22"/>
      <c r="I303" s="22"/>
      <c r="J303" s="13" t="str">
        <f t="array" ref="J303">IFERROR(INDEX(BasedatosM9!B:B, MATCH(A303, BasedatosM9!E:E, 0)), "")</f>
        <v/>
      </c>
      <c r="K303" s="5" t="str">
        <f t="shared" si="1"/>
        <v/>
      </c>
    </row>
    <row r="304" spans="1:11" ht="14.4">
      <c r="A304" s="23"/>
      <c r="B304" s="22"/>
      <c r="C304" s="24"/>
      <c r="D304" s="22"/>
      <c r="E304" s="25"/>
      <c r="F304" s="22"/>
      <c r="G304" s="22"/>
      <c r="H304" s="22"/>
      <c r="I304" s="22"/>
      <c r="J304" s="13" t="str">
        <f t="array" ref="J304">IFERROR(INDEX(BasedatosM9!B:B, MATCH(A304, BasedatosM9!E:E, 0)), "")</f>
        <v/>
      </c>
      <c r="K304" s="5" t="str">
        <f t="shared" si="1"/>
        <v/>
      </c>
    </row>
    <row r="305" spans="1:11" ht="14.4">
      <c r="A305" s="23"/>
      <c r="B305" s="22"/>
      <c r="C305" s="24"/>
      <c r="D305" s="22"/>
      <c r="E305" s="25"/>
      <c r="F305" s="22"/>
      <c r="G305" s="22"/>
      <c r="H305" s="22"/>
      <c r="I305" s="22"/>
      <c r="J305" s="13" t="str">
        <f t="array" ref="J305">IFERROR(INDEX(BasedatosM9!B:B, MATCH(A305, BasedatosM9!E:E, 0)), "")</f>
        <v/>
      </c>
      <c r="K305" s="5" t="str">
        <f t="shared" si="1"/>
        <v/>
      </c>
    </row>
    <row r="306" spans="1:11" ht="14.4">
      <c r="A306" s="23"/>
      <c r="B306" s="22"/>
      <c r="C306" s="24"/>
      <c r="D306" s="22"/>
      <c r="E306" s="25"/>
      <c r="F306" s="22"/>
      <c r="G306" s="22"/>
      <c r="H306" s="22"/>
      <c r="I306" s="22"/>
      <c r="J306" s="13" t="str">
        <f t="array" ref="J306">IFERROR(INDEX(BasedatosM9!B:B, MATCH(A306, BasedatosM9!E:E, 0)), "")</f>
        <v/>
      </c>
      <c r="K306" s="5" t="str">
        <f t="shared" si="1"/>
        <v/>
      </c>
    </row>
    <row r="307" spans="1:11" ht="14.4">
      <c r="A307" s="23"/>
      <c r="B307" s="22"/>
      <c r="C307" s="24"/>
      <c r="D307" s="22"/>
      <c r="E307" s="25"/>
      <c r="F307" s="22"/>
      <c r="G307" s="22"/>
      <c r="H307" s="22"/>
      <c r="I307" s="22"/>
      <c r="J307" s="13" t="str">
        <f t="array" ref="J307">IFERROR(INDEX(BasedatosM9!B:B, MATCH(A307, BasedatosM9!E:E, 0)), "")</f>
        <v/>
      </c>
      <c r="K307" s="5" t="str">
        <f t="shared" si="1"/>
        <v/>
      </c>
    </row>
    <row r="308" spans="1:11" ht="14.4">
      <c r="A308" s="23"/>
      <c r="B308" s="22"/>
      <c r="C308" s="24"/>
      <c r="D308" s="22"/>
      <c r="E308" s="25"/>
      <c r="F308" s="22"/>
      <c r="G308" s="22"/>
      <c r="H308" s="22"/>
      <c r="I308" s="22"/>
      <c r="J308" s="13" t="str">
        <f t="array" ref="J308">IFERROR(INDEX(BasedatosM9!B:B, MATCH(A308, BasedatosM9!E:E, 0)), "")</f>
        <v/>
      </c>
      <c r="K308" s="5" t="str">
        <f t="shared" si="1"/>
        <v/>
      </c>
    </row>
    <row r="309" spans="1:11" ht="14.4">
      <c r="A309" s="23"/>
      <c r="B309" s="22"/>
      <c r="C309" s="24"/>
      <c r="D309" s="22"/>
      <c r="E309" s="25"/>
      <c r="F309" s="22"/>
      <c r="G309" s="22"/>
      <c r="H309" s="22"/>
      <c r="I309" s="22"/>
      <c r="J309" s="13" t="str">
        <f t="array" ref="J309">IFERROR(INDEX(BasedatosM9!B:B, MATCH(A309, BasedatosM9!E:E, 0)), "")</f>
        <v/>
      </c>
      <c r="K309" s="5" t="str">
        <f t="shared" si="1"/>
        <v/>
      </c>
    </row>
    <row r="310" spans="1:11" ht="14.4">
      <c r="A310" s="23"/>
      <c r="B310" s="22"/>
      <c r="C310" s="24"/>
      <c r="D310" s="22"/>
      <c r="E310" s="25"/>
      <c r="F310" s="22"/>
      <c r="G310" s="22"/>
      <c r="H310" s="22"/>
      <c r="I310" s="22"/>
      <c r="J310" s="13" t="str">
        <f t="array" ref="J310">IFERROR(INDEX(BasedatosM9!B:B, MATCH(A310, BasedatosM9!E:E, 0)), "")</f>
        <v/>
      </c>
      <c r="K310" s="5" t="str">
        <f t="shared" si="1"/>
        <v/>
      </c>
    </row>
    <row r="311" spans="1:11" ht="14.4">
      <c r="A311" s="23"/>
      <c r="B311" s="22"/>
      <c r="C311" s="24"/>
      <c r="D311" s="22"/>
      <c r="E311" s="25"/>
      <c r="F311" s="22"/>
      <c r="G311" s="22"/>
      <c r="H311" s="22"/>
      <c r="I311" s="22"/>
      <c r="J311" s="13" t="str">
        <f t="array" ref="J311">IFERROR(INDEX(BasedatosM9!B:B, MATCH(A311, BasedatosM9!E:E, 0)), "")</f>
        <v/>
      </c>
      <c r="K311" s="5" t="str">
        <f t="shared" si="1"/>
        <v/>
      </c>
    </row>
    <row r="312" spans="1:11" ht="14.4">
      <c r="A312" s="23"/>
      <c r="B312" s="22"/>
      <c r="C312" s="24"/>
      <c r="D312" s="22"/>
      <c r="E312" s="25"/>
      <c r="F312" s="22"/>
      <c r="G312" s="22"/>
      <c r="H312" s="22"/>
      <c r="I312" s="22"/>
      <c r="J312" s="13" t="str">
        <f t="array" ref="J312">IFERROR(INDEX(BasedatosM9!B:B, MATCH(A312, BasedatosM9!E:E, 0)), "")</f>
        <v/>
      </c>
      <c r="K312" s="5" t="str">
        <f t="shared" si="1"/>
        <v/>
      </c>
    </row>
    <row r="313" spans="1:11" ht="14.4">
      <c r="A313" s="23"/>
      <c r="B313" s="22"/>
      <c r="C313" s="24"/>
      <c r="D313" s="22"/>
      <c r="E313" s="25"/>
      <c r="F313" s="22"/>
      <c r="G313" s="22"/>
      <c r="H313" s="22"/>
      <c r="I313" s="22"/>
      <c r="J313" s="13" t="str">
        <f t="array" ref="J313">IFERROR(INDEX(BasedatosM9!B:B, MATCH(A313, BasedatosM9!E:E, 0)), "")</f>
        <v/>
      </c>
      <c r="K313" s="5" t="str">
        <f t="shared" si="1"/>
        <v/>
      </c>
    </row>
    <row r="314" spans="1:11" ht="14.4">
      <c r="A314" s="23"/>
      <c r="B314" s="22"/>
      <c r="C314" s="24"/>
      <c r="D314" s="22"/>
      <c r="E314" s="25"/>
      <c r="F314" s="22"/>
      <c r="G314" s="22"/>
      <c r="H314" s="22"/>
      <c r="I314" s="22"/>
      <c r="J314" s="13" t="str">
        <f t="array" ref="J314">IFERROR(INDEX(BasedatosM9!B:B, MATCH(A314, BasedatosM9!E:E, 0)), "")</f>
        <v/>
      </c>
      <c r="K314" s="5" t="str">
        <f t="shared" si="1"/>
        <v/>
      </c>
    </row>
    <row r="315" spans="1:11" ht="14.4">
      <c r="A315" s="23"/>
      <c r="B315" s="22"/>
      <c r="C315" s="24"/>
      <c r="D315" s="22"/>
      <c r="E315" s="25"/>
      <c r="F315" s="22"/>
      <c r="G315" s="22"/>
      <c r="H315" s="22"/>
      <c r="I315" s="22"/>
      <c r="J315" s="13" t="str">
        <f t="array" ref="J315">IFERROR(INDEX(BasedatosM9!B:B, MATCH(A315, BasedatosM9!E:E, 0)), "")</f>
        <v/>
      </c>
      <c r="K315" s="5" t="str">
        <f t="shared" si="1"/>
        <v/>
      </c>
    </row>
    <row r="316" spans="1:11" ht="14.4">
      <c r="A316" s="23"/>
      <c r="B316" s="22"/>
      <c r="C316" s="24"/>
      <c r="D316" s="22"/>
      <c r="E316" s="25"/>
      <c r="F316" s="22"/>
      <c r="G316" s="22"/>
      <c r="H316" s="22"/>
      <c r="I316" s="22"/>
      <c r="J316" s="13" t="str">
        <f t="array" ref="J316">IFERROR(INDEX(BasedatosM9!B:B, MATCH(A316, BasedatosM9!E:E, 0)), "")</f>
        <v/>
      </c>
      <c r="K316" s="5" t="str">
        <f t="shared" si="1"/>
        <v/>
      </c>
    </row>
    <row r="317" spans="1:11" ht="14.4">
      <c r="A317" s="23"/>
      <c r="B317" s="22"/>
      <c r="C317" s="24"/>
      <c r="D317" s="22"/>
      <c r="E317" s="25"/>
      <c r="F317" s="22"/>
      <c r="G317" s="22"/>
      <c r="H317" s="22"/>
      <c r="I317" s="22"/>
      <c r="J317" s="13" t="str">
        <f t="array" ref="J317">IFERROR(INDEX(BasedatosM9!B:B, MATCH(A317, BasedatosM9!E:E, 0)), "")</f>
        <v/>
      </c>
      <c r="K317" s="5" t="str">
        <f t="shared" si="1"/>
        <v/>
      </c>
    </row>
    <row r="318" spans="1:11" ht="14.4">
      <c r="A318" s="23"/>
      <c r="B318" s="22"/>
      <c r="C318" s="24"/>
      <c r="D318" s="22"/>
      <c r="E318" s="25"/>
      <c r="F318" s="22"/>
      <c r="G318" s="22"/>
      <c r="H318" s="22"/>
      <c r="I318" s="22"/>
      <c r="J318" s="13" t="str">
        <f t="array" ref="J318">IFERROR(INDEX(BasedatosM9!B:B, MATCH(A318, BasedatosM9!E:E, 0)), "")</f>
        <v/>
      </c>
      <c r="K318" s="5" t="str">
        <f t="shared" si="1"/>
        <v/>
      </c>
    </row>
    <row r="319" spans="1:11" ht="14.4">
      <c r="A319" s="23"/>
      <c r="B319" s="22"/>
      <c r="C319" s="24"/>
      <c r="D319" s="22"/>
      <c r="E319" s="25"/>
      <c r="F319" s="22"/>
      <c r="G319" s="22"/>
      <c r="H319" s="22"/>
      <c r="I319" s="22"/>
      <c r="J319" s="13" t="str">
        <f t="array" ref="J319">IFERROR(INDEX(BasedatosM9!B:B, MATCH(A319, BasedatosM9!E:E, 0)), "")</f>
        <v/>
      </c>
      <c r="K319" s="5" t="str">
        <f t="shared" si="1"/>
        <v/>
      </c>
    </row>
    <row r="320" spans="1:11" ht="14.4">
      <c r="A320" s="23"/>
      <c r="B320" s="22"/>
      <c r="C320" s="24"/>
      <c r="D320" s="22"/>
      <c r="E320" s="25"/>
      <c r="F320" s="22"/>
      <c r="G320" s="22"/>
      <c r="H320" s="22"/>
      <c r="I320" s="22"/>
      <c r="J320" s="13" t="str">
        <f t="array" ref="J320">IFERROR(INDEX(BasedatosM9!B:B, MATCH(A320, BasedatosM9!E:E, 0)), "")</f>
        <v/>
      </c>
      <c r="K320" s="5" t="str">
        <f t="shared" si="1"/>
        <v/>
      </c>
    </row>
    <row r="321" spans="1:11" ht="14.4">
      <c r="A321" s="23"/>
      <c r="B321" s="22"/>
      <c r="C321" s="24"/>
      <c r="D321" s="22"/>
      <c r="E321" s="25"/>
      <c r="F321" s="22"/>
      <c r="G321" s="22"/>
      <c r="H321" s="22"/>
      <c r="I321" s="22"/>
      <c r="J321" s="13" t="str">
        <f t="array" ref="J321">IFERROR(INDEX(BasedatosM9!B:B, MATCH(A321, BasedatosM9!E:E, 0)), "")</f>
        <v/>
      </c>
      <c r="K321" s="5" t="str">
        <f t="shared" si="1"/>
        <v/>
      </c>
    </row>
    <row r="322" spans="1:11" ht="14.4">
      <c r="A322" s="23"/>
      <c r="B322" s="22"/>
      <c r="C322" s="24"/>
      <c r="D322" s="22"/>
      <c r="E322" s="25"/>
      <c r="F322" s="22"/>
      <c r="G322" s="22"/>
      <c r="H322" s="22"/>
      <c r="I322" s="22"/>
      <c r="J322" s="13" t="str">
        <f t="array" ref="J322">IFERROR(INDEX(BasedatosM9!B:B, MATCH(A322, BasedatosM9!E:E, 0)), "")</f>
        <v/>
      </c>
      <c r="K322" s="5" t="str">
        <f t="shared" si="1"/>
        <v/>
      </c>
    </row>
    <row r="323" spans="1:11" ht="14.4">
      <c r="A323" s="23"/>
      <c r="B323" s="22"/>
      <c r="C323" s="24"/>
      <c r="D323" s="22"/>
      <c r="E323" s="25"/>
      <c r="F323" s="22"/>
      <c r="G323" s="22"/>
      <c r="H323" s="22"/>
      <c r="I323" s="22"/>
      <c r="J323" s="13" t="str">
        <f t="array" ref="J323">IFERROR(INDEX(BasedatosM9!B:B, MATCH(A323, BasedatosM9!E:E, 0)), "")</f>
        <v/>
      </c>
      <c r="K323" s="5" t="str">
        <f t="shared" si="1"/>
        <v/>
      </c>
    </row>
    <row r="324" spans="1:11" ht="14.4">
      <c r="A324" s="23"/>
      <c r="B324" s="22"/>
      <c r="C324" s="24"/>
      <c r="D324" s="22"/>
      <c r="E324" s="25"/>
      <c r="F324" s="22"/>
      <c r="G324" s="22"/>
      <c r="H324" s="22"/>
      <c r="I324" s="22"/>
      <c r="J324" s="13" t="str">
        <f t="array" ref="J324">IFERROR(INDEX(BasedatosM9!B:B, MATCH(A324, BasedatosM9!E:E, 0)), "")</f>
        <v/>
      </c>
      <c r="K324" s="5" t="str">
        <f t="shared" si="1"/>
        <v/>
      </c>
    </row>
    <row r="325" spans="1:11" ht="14.4">
      <c r="A325" s="23"/>
      <c r="B325" s="22"/>
      <c r="C325" s="24"/>
      <c r="D325" s="22"/>
      <c r="E325" s="25"/>
      <c r="F325" s="22"/>
      <c r="G325" s="22"/>
      <c r="H325" s="22"/>
      <c r="I325" s="22"/>
      <c r="J325" s="13" t="str">
        <f t="array" ref="J325">IFERROR(INDEX(BasedatosM9!B:B, MATCH(A325, BasedatosM9!E:E, 0)), "")</f>
        <v/>
      </c>
      <c r="K325" s="5" t="str">
        <f t="shared" si="1"/>
        <v/>
      </c>
    </row>
    <row r="326" spans="1:11" ht="14.4">
      <c r="A326" s="23"/>
      <c r="B326" s="22"/>
      <c r="C326" s="24"/>
      <c r="D326" s="22"/>
      <c r="E326" s="25"/>
      <c r="F326" s="22"/>
      <c r="G326" s="22"/>
      <c r="H326" s="22"/>
      <c r="I326" s="22"/>
      <c r="J326" s="13" t="str">
        <f t="array" ref="J326">IFERROR(INDEX(BasedatosM9!B:B, MATCH(A326, BasedatosM9!E:E, 0)), "")</f>
        <v/>
      </c>
      <c r="K326" s="5" t="str">
        <f t="shared" si="1"/>
        <v/>
      </c>
    </row>
    <row r="327" spans="1:11" ht="14.4">
      <c r="A327" s="23"/>
      <c r="B327" s="22"/>
      <c r="C327" s="24"/>
      <c r="D327" s="22"/>
      <c r="E327" s="25"/>
      <c r="F327" s="22"/>
      <c r="G327" s="22"/>
      <c r="H327" s="22"/>
      <c r="I327" s="22"/>
      <c r="J327" s="13" t="str">
        <f t="array" ref="J327">IFERROR(INDEX(BasedatosM9!B:B, MATCH(A327, BasedatosM9!E:E, 0)), "")</f>
        <v/>
      </c>
      <c r="K327" s="5" t="str">
        <f t="shared" si="1"/>
        <v/>
      </c>
    </row>
    <row r="328" spans="1:11" ht="14.4">
      <c r="A328" s="23"/>
      <c r="B328" s="22"/>
      <c r="C328" s="24"/>
      <c r="D328" s="22"/>
      <c r="E328" s="25"/>
      <c r="F328" s="22"/>
      <c r="G328" s="22"/>
      <c r="H328" s="22"/>
      <c r="I328" s="22"/>
      <c r="J328" s="13" t="str">
        <f t="array" ref="J328">IFERROR(INDEX(BasedatosM9!B:B, MATCH(A328, BasedatosM9!E:E, 0)), "")</f>
        <v/>
      </c>
      <c r="K328" s="5" t="str">
        <f t="shared" si="1"/>
        <v/>
      </c>
    </row>
    <row r="329" spans="1:11" ht="14.4">
      <c r="A329" s="23"/>
      <c r="B329" s="22"/>
      <c r="C329" s="24"/>
      <c r="D329" s="22"/>
      <c r="E329" s="25"/>
      <c r="F329" s="22"/>
      <c r="G329" s="22"/>
      <c r="H329" s="22"/>
      <c r="I329" s="22"/>
      <c r="J329" s="13" t="str">
        <f t="array" ref="J329">IFERROR(INDEX(BasedatosM9!B:B, MATCH(A329, BasedatosM9!E:E, 0)), "")</f>
        <v/>
      </c>
      <c r="K329" s="5" t="str">
        <f t="shared" si="1"/>
        <v/>
      </c>
    </row>
    <row r="330" spans="1:11" ht="14.4">
      <c r="A330" s="23"/>
      <c r="B330" s="22"/>
      <c r="C330" s="24"/>
      <c r="D330" s="22"/>
      <c r="E330" s="25"/>
      <c r="F330" s="22"/>
      <c r="G330" s="22"/>
      <c r="H330" s="22"/>
      <c r="I330" s="22"/>
      <c r="J330" s="13" t="str">
        <f t="array" ref="J330">IFERROR(INDEX(BasedatosM9!B:B, MATCH(A330, BasedatosM9!E:E, 0)), "")</f>
        <v/>
      </c>
      <c r="K330" s="5" t="str">
        <f t="shared" si="1"/>
        <v/>
      </c>
    </row>
    <row r="331" spans="1:11" ht="14.4">
      <c r="A331" s="23"/>
      <c r="B331" s="22"/>
      <c r="C331" s="24"/>
      <c r="D331" s="22"/>
      <c r="E331" s="25"/>
      <c r="F331" s="22"/>
      <c r="G331" s="22"/>
      <c r="H331" s="22"/>
      <c r="I331" s="22"/>
      <c r="J331" s="13" t="str">
        <f t="array" ref="J331">IFERROR(INDEX(BasedatosM9!B:B, MATCH(A331, BasedatosM9!E:E, 0)), "")</f>
        <v/>
      </c>
      <c r="K331" s="5" t="str">
        <f t="shared" si="1"/>
        <v/>
      </c>
    </row>
    <row r="332" spans="1:11" ht="14.4">
      <c r="A332" s="23"/>
      <c r="B332" s="22"/>
      <c r="C332" s="24"/>
      <c r="D332" s="22"/>
      <c r="E332" s="25"/>
      <c r="F332" s="22"/>
      <c r="G332" s="22"/>
      <c r="H332" s="22"/>
      <c r="I332" s="22"/>
      <c r="J332" s="13" t="str">
        <f t="array" ref="J332">IFERROR(INDEX(BasedatosM9!B:B, MATCH(A332, BasedatosM9!E:E, 0)), "")</f>
        <v/>
      </c>
      <c r="K332" s="5" t="str">
        <f t="shared" si="1"/>
        <v/>
      </c>
    </row>
    <row r="333" spans="1:11" ht="14.4">
      <c r="A333" s="23"/>
      <c r="B333" s="22"/>
      <c r="C333" s="24"/>
      <c r="D333" s="22"/>
      <c r="E333" s="25"/>
      <c r="F333" s="22"/>
      <c r="G333" s="22"/>
      <c r="H333" s="22"/>
      <c r="I333" s="22"/>
      <c r="J333" s="13" t="str">
        <f t="array" ref="J333">IFERROR(INDEX(BasedatosM9!B:B, MATCH(A333, BasedatosM9!E:E, 0)), "")</f>
        <v/>
      </c>
      <c r="K333" s="5" t="str">
        <f t="shared" si="1"/>
        <v/>
      </c>
    </row>
    <row r="334" spans="1:11" ht="14.4">
      <c r="A334" s="23"/>
      <c r="B334" s="22"/>
      <c r="C334" s="24"/>
      <c r="D334" s="22"/>
      <c r="E334" s="25"/>
      <c r="F334" s="22"/>
      <c r="G334" s="22"/>
      <c r="H334" s="22"/>
      <c r="I334" s="22"/>
      <c r="J334" s="13" t="str">
        <f t="array" ref="J334">IFERROR(INDEX(BasedatosM9!B:B, MATCH(A334, BasedatosM9!E:E, 0)), "")</f>
        <v/>
      </c>
      <c r="K334" s="5" t="str">
        <f t="shared" si="1"/>
        <v/>
      </c>
    </row>
    <row r="335" spans="1:11" ht="14.4">
      <c r="A335" s="23"/>
      <c r="B335" s="22"/>
      <c r="C335" s="24"/>
      <c r="D335" s="22"/>
      <c r="E335" s="25"/>
      <c r="F335" s="22"/>
      <c r="G335" s="22"/>
      <c r="H335" s="22"/>
      <c r="I335" s="22"/>
      <c r="J335" s="13" t="str">
        <f t="array" ref="J335">IFERROR(INDEX(BasedatosM9!B:B, MATCH(A335, BasedatosM9!E:E, 0)), "")</f>
        <v/>
      </c>
      <c r="K335" s="5" t="str">
        <f t="shared" si="1"/>
        <v/>
      </c>
    </row>
    <row r="336" spans="1:11" ht="14.4">
      <c r="A336" s="23"/>
      <c r="B336" s="22"/>
      <c r="C336" s="24"/>
      <c r="D336" s="22"/>
      <c r="E336" s="25"/>
      <c r="F336" s="22"/>
      <c r="G336" s="22"/>
      <c r="H336" s="22"/>
      <c r="I336" s="22"/>
      <c r="J336" s="13" t="str">
        <f t="array" ref="J336">IFERROR(INDEX(BasedatosM9!B:B, MATCH(A336, BasedatosM9!E:E, 0)), "")</f>
        <v/>
      </c>
      <c r="K336" s="5" t="str">
        <f t="shared" si="1"/>
        <v/>
      </c>
    </row>
    <row r="337" spans="1:11" ht="14.4">
      <c r="A337" s="23"/>
      <c r="B337" s="22"/>
      <c r="C337" s="24"/>
      <c r="D337" s="22"/>
      <c r="E337" s="25"/>
      <c r="F337" s="22"/>
      <c r="G337" s="22"/>
      <c r="H337" s="22"/>
      <c r="I337" s="22"/>
      <c r="J337" s="13" t="str">
        <f t="array" ref="J337">IFERROR(INDEX(BasedatosM9!B:B, MATCH(A337, BasedatosM9!E:E, 0)), "")</f>
        <v/>
      </c>
      <c r="K337" s="5" t="str">
        <f t="shared" si="1"/>
        <v/>
      </c>
    </row>
    <row r="338" spans="1:11" ht="14.4">
      <c r="A338" s="23"/>
      <c r="B338" s="22"/>
      <c r="C338" s="24"/>
      <c r="D338" s="22"/>
      <c r="E338" s="25"/>
      <c r="F338" s="22"/>
      <c r="G338" s="22"/>
      <c r="H338" s="22"/>
      <c r="I338" s="22"/>
      <c r="J338" s="13" t="str">
        <f t="array" ref="J338">IFERROR(INDEX(BasedatosM9!B:B, MATCH(A338, BasedatosM9!E:E, 0)), "")</f>
        <v/>
      </c>
      <c r="K338" s="5" t="str">
        <f t="shared" si="1"/>
        <v/>
      </c>
    </row>
    <row r="339" spans="1:11" ht="14.4">
      <c r="A339" s="23"/>
      <c r="B339" s="22"/>
      <c r="C339" s="24"/>
      <c r="D339" s="22"/>
      <c r="E339" s="25"/>
      <c r="F339" s="22"/>
      <c r="G339" s="22"/>
      <c r="H339" s="22"/>
      <c r="I339" s="22"/>
      <c r="J339" s="13" t="str">
        <f t="array" ref="J339">IFERROR(INDEX(BasedatosM9!B:B, MATCH(A339, BasedatosM9!E:E, 0)), "")</f>
        <v/>
      </c>
      <c r="K339" s="5" t="str">
        <f t="shared" si="1"/>
        <v/>
      </c>
    </row>
    <row r="340" spans="1:11" ht="14.4">
      <c r="A340" s="23"/>
      <c r="B340" s="22"/>
      <c r="C340" s="24"/>
      <c r="D340" s="22"/>
      <c r="E340" s="25"/>
      <c r="F340" s="22"/>
      <c r="G340" s="22"/>
      <c r="H340" s="22"/>
      <c r="I340" s="22"/>
      <c r="J340" s="13" t="str">
        <f t="array" ref="J340">IFERROR(INDEX(BasedatosM9!B:B, MATCH(A340, BasedatosM9!E:E, 0)), "")</f>
        <v/>
      </c>
      <c r="K340" s="5" t="str">
        <f t="shared" si="1"/>
        <v/>
      </c>
    </row>
    <row r="341" spans="1:11" ht="14.4">
      <c r="A341" s="23"/>
      <c r="B341" s="22"/>
      <c r="C341" s="24"/>
      <c r="D341" s="22"/>
      <c r="E341" s="25"/>
      <c r="F341" s="22"/>
      <c r="G341" s="22"/>
      <c r="H341" s="22"/>
      <c r="I341" s="22"/>
      <c r="J341" s="13" t="str">
        <f t="array" ref="J341">IFERROR(INDEX(BasedatosM9!B:B, MATCH(A341, BasedatosM9!E:E, 0)), "")</f>
        <v/>
      </c>
      <c r="K341" s="5" t="str">
        <f t="shared" si="1"/>
        <v/>
      </c>
    </row>
    <row r="342" spans="1:11" ht="14.4">
      <c r="A342" s="23"/>
      <c r="B342" s="22"/>
      <c r="C342" s="24"/>
      <c r="D342" s="22"/>
      <c r="E342" s="25"/>
      <c r="F342" s="22"/>
      <c r="G342" s="22"/>
      <c r="H342" s="22"/>
      <c r="I342" s="22"/>
      <c r="J342" s="13" t="str">
        <f t="array" ref="J342">IFERROR(INDEX(BasedatosM9!B:B, MATCH(A342, BasedatosM9!E:E, 0)), "")</f>
        <v/>
      </c>
      <c r="K342" s="5" t="str">
        <f t="shared" si="1"/>
        <v/>
      </c>
    </row>
    <row r="343" spans="1:11" ht="14.4">
      <c r="A343" s="23"/>
      <c r="B343" s="22"/>
      <c r="C343" s="24"/>
      <c r="D343" s="22"/>
      <c r="E343" s="25"/>
      <c r="F343" s="22"/>
      <c r="G343" s="22"/>
      <c r="H343" s="22"/>
      <c r="I343" s="22"/>
      <c r="J343" s="13" t="str">
        <f t="array" ref="J343">IFERROR(INDEX(BasedatosM9!B:B, MATCH(A343, BasedatosM9!E:E, 0)), "")</f>
        <v/>
      </c>
      <c r="K343" s="5" t="str">
        <f t="shared" si="1"/>
        <v/>
      </c>
    </row>
    <row r="344" spans="1:11" ht="14.4">
      <c r="A344" s="23"/>
      <c r="B344" s="22"/>
      <c r="C344" s="24"/>
      <c r="D344" s="22"/>
      <c r="E344" s="25"/>
      <c r="F344" s="22"/>
      <c r="G344" s="22"/>
      <c r="H344" s="22"/>
      <c r="I344" s="22"/>
      <c r="J344" s="13" t="str">
        <f t="array" ref="J344">IFERROR(INDEX(BasedatosM9!B:B, MATCH(A344, BasedatosM9!E:E, 0)), "")</f>
        <v/>
      </c>
      <c r="K344" s="5" t="str">
        <f t="shared" si="1"/>
        <v/>
      </c>
    </row>
    <row r="345" spans="1:11" ht="14.4">
      <c r="A345" s="23"/>
      <c r="B345" s="22"/>
      <c r="C345" s="24"/>
      <c r="D345" s="22"/>
      <c r="E345" s="25"/>
      <c r="F345" s="22"/>
      <c r="G345" s="22"/>
      <c r="H345" s="22"/>
      <c r="I345" s="22"/>
      <c r="J345" s="13" t="str">
        <f t="array" ref="J345">IFERROR(INDEX(BasedatosM9!B:B, MATCH(A345, BasedatosM9!E:E, 0)), "")</f>
        <v/>
      </c>
      <c r="K345" s="5" t="str">
        <f t="shared" si="1"/>
        <v/>
      </c>
    </row>
    <row r="346" spans="1:11" ht="14.4">
      <c r="A346" s="23"/>
      <c r="B346" s="22"/>
      <c r="C346" s="24"/>
      <c r="D346" s="22"/>
      <c r="E346" s="25"/>
      <c r="F346" s="22"/>
      <c r="G346" s="22"/>
      <c r="H346" s="22"/>
      <c r="I346" s="22"/>
      <c r="J346" s="13" t="str">
        <f t="array" ref="J346">IFERROR(INDEX(BasedatosM9!B:B, MATCH(A346, BasedatosM9!E:E, 0)), "")</f>
        <v/>
      </c>
      <c r="K346" s="5" t="str">
        <f t="shared" si="1"/>
        <v/>
      </c>
    </row>
    <row r="347" spans="1:11" ht="14.4">
      <c r="A347" s="23"/>
      <c r="B347" s="22"/>
      <c r="C347" s="24"/>
      <c r="D347" s="22"/>
      <c r="E347" s="25"/>
      <c r="F347" s="22"/>
      <c r="G347" s="22"/>
      <c r="H347" s="22"/>
      <c r="I347" s="22"/>
      <c r="J347" s="13" t="str">
        <f t="array" ref="J347">IFERROR(INDEX(BasedatosM9!B:B, MATCH(A347, BasedatosM9!E:E, 0)), "")</f>
        <v/>
      </c>
      <c r="K347" s="5" t="str">
        <f t="shared" si="1"/>
        <v/>
      </c>
    </row>
    <row r="348" spans="1:11" ht="14.4">
      <c r="A348" s="23"/>
      <c r="B348" s="22"/>
      <c r="C348" s="24"/>
      <c r="D348" s="22"/>
      <c r="E348" s="25"/>
      <c r="F348" s="22"/>
      <c r="G348" s="22"/>
      <c r="H348" s="22"/>
      <c r="I348" s="22"/>
      <c r="J348" s="13" t="str">
        <f t="array" ref="J348">IFERROR(INDEX(BasedatosM9!B:B, MATCH(A348, BasedatosM9!E:E, 0)), "")</f>
        <v/>
      </c>
      <c r="K348" s="5" t="str">
        <f t="shared" si="1"/>
        <v/>
      </c>
    </row>
    <row r="349" spans="1:11" ht="14.4">
      <c r="A349" s="23"/>
      <c r="B349" s="22"/>
      <c r="C349" s="24"/>
      <c r="D349" s="22"/>
      <c r="E349" s="25"/>
      <c r="F349" s="22"/>
      <c r="G349" s="22"/>
      <c r="H349" s="22"/>
      <c r="I349" s="22"/>
      <c r="J349" s="13" t="str">
        <f t="array" ref="J349">IFERROR(INDEX(BasedatosM9!B:B, MATCH(A349, BasedatosM9!E:E, 0)), "")</f>
        <v/>
      </c>
      <c r="K349" s="5" t="str">
        <f t="shared" si="1"/>
        <v/>
      </c>
    </row>
    <row r="350" spans="1:11" ht="14.4">
      <c r="A350" s="23"/>
      <c r="B350" s="22"/>
      <c r="C350" s="24"/>
      <c r="D350" s="22"/>
      <c r="E350" s="25"/>
      <c r="F350" s="22"/>
      <c r="G350" s="22"/>
      <c r="H350" s="22"/>
      <c r="I350" s="22"/>
      <c r="J350" s="13" t="str">
        <f t="array" ref="J350">IFERROR(INDEX(BasedatosM9!B:B, MATCH(A350, BasedatosM9!E:E, 0)), "")</f>
        <v/>
      </c>
      <c r="K350" s="5" t="str">
        <f t="shared" si="1"/>
        <v/>
      </c>
    </row>
    <row r="351" spans="1:11" ht="14.4">
      <c r="A351" s="23"/>
      <c r="B351" s="22"/>
      <c r="C351" s="24"/>
      <c r="D351" s="22"/>
      <c r="E351" s="25"/>
      <c r="F351" s="22"/>
      <c r="G351" s="22"/>
      <c r="H351" s="22"/>
      <c r="I351" s="22"/>
      <c r="J351" s="13" t="str">
        <f t="array" ref="J351">IFERROR(INDEX(BasedatosM9!B:B, MATCH(A351, BasedatosM9!E:E, 0)), "")</f>
        <v/>
      </c>
      <c r="K351" s="5" t="str">
        <f t="shared" si="1"/>
        <v/>
      </c>
    </row>
    <row r="352" spans="1:11" ht="14.4">
      <c r="A352" s="23"/>
      <c r="B352" s="22"/>
      <c r="C352" s="24"/>
      <c r="D352" s="22"/>
      <c r="E352" s="25"/>
      <c r="F352" s="22"/>
      <c r="G352" s="22"/>
      <c r="H352" s="22"/>
      <c r="I352" s="22"/>
      <c r="J352" s="13" t="str">
        <f t="array" ref="J352">IFERROR(INDEX(BasedatosM9!B:B, MATCH(A352, BasedatosM9!E:E, 0)), "")</f>
        <v/>
      </c>
      <c r="K352" s="5" t="str">
        <f t="shared" si="1"/>
        <v/>
      </c>
    </row>
    <row r="353" spans="1:11" ht="14.4">
      <c r="A353" s="23"/>
      <c r="B353" s="22"/>
      <c r="C353" s="24"/>
      <c r="D353" s="22"/>
      <c r="E353" s="25"/>
      <c r="F353" s="22"/>
      <c r="G353" s="22"/>
      <c r="H353" s="22"/>
      <c r="I353" s="22"/>
      <c r="J353" s="13" t="str">
        <f t="array" ref="J353">IFERROR(INDEX(BasedatosM9!B:B, MATCH(A353, BasedatosM9!E:E, 0)), "")</f>
        <v/>
      </c>
      <c r="K353" s="5" t="str">
        <f t="shared" si="1"/>
        <v/>
      </c>
    </row>
    <row r="354" spans="1:11" ht="14.4">
      <c r="A354" s="23"/>
      <c r="B354" s="22"/>
      <c r="C354" s="24"/>
      <c r="D354" s="22"/>
      <c r="E354" s="25"/>
      <c r="F354" s="22"/>
      <c r="G354" s="22"/>
      <c r="H354" s="22"/>
      <c r="I354" s="22"/>
      <c r="J354" s="13" t="str">
        <f t="array" ref="J354">IFERROR(INDEX(BasedatosM9!B:B, MATCH(A354, BasedatosM9!E:E, 0)), "")</f>
        <v/>
      </c>
      <c r="K354" s="5" t="str">
        <f t="shared" si="1"/>
        <v/>
      </c>
    </row>
    <row r="355" spans="1:11" ht="14.4">
      <c r="A355" s="23"/>
      <c r="B355" s="22"/>
      <c r="C355" s="24"/>
      <c r="D355" s="22"/>
      <c r="E355" s="25"/>
      <c r="F355" s="22"/>
      <c r="G355" s="22"/>
      <c r="H355" s="22"/>
      <c r="I355" s="22"/>
      <c r="J355" s="13" t="str">
        <f t="array" ref="J355">IFERROR(INDEX(BasedatosM9!B:B, MATCH(A355, BasedatosM9!E:E, 0)), "")</f>
        <v/>
      </c>
      <c r="K355" s="5" t="str">
        <f t="shared" si="1"/>
        <v/>
      </c>
    </row>
    <row r="356" spans="1:11" ht="14.4">
      <c r="A356" s="23"/>
      <c r="B356" s="22"/>
      <c r="C356" s="24"/>
      <c r="D356" s="22"/>
      <c r="E356" s="25"/>
      <c r="F356" s="22"/>
      <c r="G356" s="22"/>
      <c r="H356" s="22"/>
      <c r="I356" s="22"/>
      <c r="J356" s="13" t="str">
        <f t="array" ref="J356">IFERROR(INDEX(BasedatosM9!B:B, MATCH(A356, BasedatosM9!E:E, 0)), "")</f>
        <v/>
      </c>
      <c r="K356" s="5" t="str">
        <f t="shared" si="1"/>
        <v/>
      </c>
    </row>
    <row r="357" spans="1:11" ht="14.4">
      <c r="A357" s="23"/>
      <c r="B357" s="22"/>
      <c r="C357" s="24"/>
      <c r="D357" s="22"/>
      <c r="E357" s="25"/>
      <c r="F357" s="22"/>
      <c r="G357" s="22"/>
      <c r="H357" s="22"/>
      <c r="I357" s="22"/>
      <c r="J357" s="13" t="str">
        <f t="array" ref="J357">IFERROR(INDEX(BasedatosM9!B:B, MATCH(A357, BasedatosM9!E:E, 0)), "")</f>
        <v/>
      </c>
      <c r="K357" s="5" t="str">
        <f t="shared" si="1"/>
        <v/>
      </c>
    </row>
    <row r="358" spans="1:11" ht="14.4">
      <c r="A358" s="23"/>
      <c r="B358" s="22"/>
      <c r="C358" s="24"/>
      <c r="D358" s="22"/>
      <c r="E358" s="25"/>
      <c r="F358" s="22"/>
      <c r="G358" s="22"/>
      <c r="H358" s="22"/>
      <c r="I358" s="22"/>
      <c r="J358" s="13" t="str">
        <f t="array" ref="J358">IFERROR(INDEX(BasedatosM9!B:B, MATCH(A358, BasedatosM9!E:E, 0)), "")</f>
        <v/>
      </c>
      <c r="K358" s="5" t="str">
        <f t="shared" si="1"/>
        <v/>
      </c>
    </row>
    <row r="359" spans="1:11" ht="14.4">
      <c r="A359" s="23"/>
      <c r="B359" s="22"/>
      <c r="C359" s="24"/>
      <c r="D359" s="22"/>
      <c r="E359" s="25"/>
      <c r="F359" s="22"/>
      <c r="G359" s="22"/>
      <c r="H359" s="22"/>
      <c r="I359" s="22"/>
      <c r="J359" s="13" t="str">
        <f t="array" ref="J359">IFERROR(INDEX(BasedatosM9!B:B, MATCH(A359, BasedatosM9!E:E, 0)), "")</f>
        <v/>
      </c>
      <c r="K359" s="5" t="str">
        <f t="shared" si="1"/>
        <v/>
      </c>
    </row>
    <row r="360" spans="1:11" ht="14.4">
      <c r="A360" s="23"/>
      <c r="B360" s="22"/>
      <c r="C360" s="24"/>
      <c r="D360" s="22"/>
      <c r="E360" s="25"/>
      <c r="F360" s="22"/>
      <c r="G360" s="22"/>
      <c r="H360" s="22"/>
      <c r="I360" s="22"/>
      <c r="J360" s="13" t="str">
        <f t="array" ref="J360">IFERROR(INDEX(BasedatosM9!B:B, MATCH(A360, BasedatosM9!E:E, 0)), "")</f>
        <v/>
      </c>
      <c r="K360" s="5" t="str">
        <f t="shared" si="1"/>
        <v/>
      </c>
    </row>
    <row r="361" spans="1:11" ht="14.4">
      <c r="A361" s="23"/>
      <c r="B361" s="22"/>
      <c r="C361" s="24"/>
      <c r="D361" s="22"/>
      <c r="E361" s="25"/>
      <c r="F361" s="22"/>
      <c r="G361" s="22"/>
      <c r="H361" s="22"/>
      <c r="I361" s="22"/>
      <c r="J361" s="13" t="str">
        <f t="array" ref="J361">IFERROR(INDEX(BasedatosM9!B:B, MATCH(A361, BasedatosM9!E:E, 0)), "")</f>
        <v/>
      </c>
      <c r="K361" s="5" t="str">
        <f t="shared" si="1"/>
        <v/>
      </c>
    </row>
    <row r="362" spans="1:11" ht="14.4">
      <c r="A362" s="23"/>
      <c r="B362" s="22"/>
      <c r="C362" s="24"/>
      <c r="D362" s="22"/>
      <c r="E362" s="25"/>
      <c r="F362" s="22"/>
      <c r="G362" s="22"/>
      <c r="H362" s="22"/>
      <c r="I362" s="22"/>
      <c r="J362" s="13" t="str">
        <f t="array" ref="J362">IFERROR(INDEX(BasedatosM9!B:B, MATCH(A362, BasedatosM9!E:E, 0)), "")</f>
        <v/>
      </c>
      <c r="K362" s="5" t="str">
        <f t="shared" si="1"/>
        <v/>
      </c>
    </row>
    <row r="363" spans="1:11" ht="14.4">
      <c r="A363" s="23"/>
      <c r="B363" s="22"/>
      <c r="C363" s="24"/>
      <c r="D363" s="22"/>
      <c r="E363" s="25"/>
      <c r="F363" s="22"/>
      <c r="G363" s="22"/>
      <c r="H363" s="22"/>
      <c r="I363" s="22"/>
      <c r="J363" s="13" t="str">
        <f t="array" ref="J363">IFERROR(INDEX(BasedatosM9!B:B, MATCH(A363, BasedatosM9!E:E, 0)), "")</f>
        <v/>
      </c>
      <c r="K363" s="5" t="str">
        <f t="shared" si="1"/>
        <v/>
      </c>
    </row>
    <row r="364" spans="1:11" ht="14.4">
      <c r="A364" s="23"/>
      <c r="B364" s="22"/>
      <c r="C364" s="24"/>
      <c r="D364" s="22"/>
      <c r="E364" s="25"/>
      <c r="F364" s="22"/>
      <c r="G364" s="22"/>
      <c r="H364" s="22"/>
      <c r="I364" s="22"/>
      <c r="J364" s="13" t="str">
        <f t="array" ref="J364">IFERROR(INDEX(BasedatosM9!B:B, MATCH(A364, BasedatosM9!E:E, 0)), "")</f>
        <v/>
      </c>
      <c r="K364" s="5" t="str">
        <f t="shared" si="1"/>
        <v/>
      </c>
    </row>
    <row r="365" spans="1:11" ht="14.4">
      <c r="A365" s="23"/>
      <c r="B365" s="22"/>
      <c r="C365" s="24"/>
      <c r="D365" s="22"/>
      <c r="E365" s="25"/>
      <c r="F365" s="22"/>
      <c r="G365" s="22"/>
      <c r="H365" s="22"/>
      <c r="I365" s="22"/>
      <c r="J365" s="13" t="str">
        <f t="array" ref="J365">IFERROR(INDEX(BasedatosM9!B:B, MATCH(A365, BasedatosM9!E:E, 0)), "")</f>
        <v/>
      </c>
      <c r="K365" s="5" t="str">
        <f t="shared" si="1"/>
        <v/>
      </c>
    </row>
    <row r="366" spans="1:11" ht="14.4">
      <c r="A366" s="23"/>
      <c r="B366" s="22"/>
      <c r="C366" s="24"/>
      <c r="D366" s="22"/>
      <c r="E366" s="25"/>
      <c r="F366" s="22"/>
      <c r="G366" s="22"/>
      <c r="H366" s="22"/>
      <c r="I366" s="22"/>
      <c r="J366" s="13" t="str">
        <f t="array" ref="J366">IFERROR(INDEX(BasedatosM9!B:B, MATCH(A366, BasedatosM9!E:E, 0)), "")</f>
        <v/>
      </c>
      <c r="K366" s="5" t="str">
        <f t="shared" si="1"/>
        <v/>
      </c>
    </row>
    <row r="367" spans="1:11" ht="14.4">
      <c r="A367" s="23"/>
      <c r="B367" s="22"/>
      <c r="C367" s="24"/>
      <c r="D367" s="22"/>
      <c r="E367" s="25"/>
      <c r="F367" s="22"/>
      <c r="G367" s="22"/>
      <c r="H367" s="22"/>
      <c r="I367" s="22"/>
      <c r="J367" s="13" t="str">
        <f t="array" ref="J367">IFERROR(INDEX(BasedatosM9!B:B, MATCH(A367, BasedatosM9!E:E, 0)), "")</f>
        <v/>
      </c>
      <c r="K367" s="5" t="str">
        <f t="shared" si="1"/>
        <v/>
      </c>
    </row>
    <row r="368" spans="1:11" ht="14.4">
      <c r="A368" s="23"/>
      <c r="B368" s="22"/>
      <c r="C368" s="24"/>
      <c r="D368" s="22"/>
      <c r="E368" s="25"/>
      <c r="F368" s="22"/>
      <c r="G368" s="22"/>
      <c r="H368" s="22"/>
      <c r="I368" s="22"/>
      <c r="J368" s="13" t="str">
        <f t="array" ref="J368">IFERROR(INDEX(BasedatosM9!B:B, MATCH(A368, BasedatosM9!E:E, 0)), "")</f>
        <v/>
      </c>
      <c r="K368" s="5" t="str">
        <f t="shared" si="1"/>
        <v/>
      </c>
    </row>
    <row r="369" spans="1:11" ht="14.4">
      <c r="A369" s="23"/>
      <c r="B369" s="22"/>
      <c r="C369" s="24"/>
      <c r="D369" s="22"/>
      <c r="E369" s="25"/>
      <c r="F369" s="22"/>
      <c r="G369" s="22"/>
      <c r="H369" s="22"/>
      <c r="I369" s="22"/>
      <c r="J369" s="13" t="str">
        <f t="array" ref="J369">IFERROR(INDEX(BasedatosM9!B:B, MATCH(A369, BasedatosM9!E:E, 0)), "")</f>
        <v/>
      </c>
      <c r="K369" s="5" t="str">
        <f t="shared" si="1"/>
        <v/>
      </c>
    </row>
    <row r="370" spans="1:11" ht="14.4">
      <c r="A370" s="23"/>
      <c r="B370" s="22"/>
      <c r="C370" s="24"/>
      <c r="D370" s="22"/>
      <c r="E370" s="25"/>
      <c r="F370" s="22"/>
      <c r="G370" s="22"/>
      <c r="H370" s="22"/>
      <c r="I370" s="22"/>
      <c r="J370" s="13" t="str">
        <f t="array" ref="J370">IFERROR(INDEX(BasedatosM9!B:B, MATCH(A370, BasedatosM9!E:E, 0)), "")</f>
        <v/>
      </c>
      <c r="K370" s="5" t="str">
        <f t="shared" si="1"/>
        <v/>
      </c>
    </row>
    <row r="371" spans="1:11" ht="14.4">
      <c r="A371" s="23"/>
      <c r="B371" s="22"/>
      <c r="C371" s="24"/>
      <c r="D371" s="22"/>
      <c r="E371" s="25"/>
      <c r="F371" s="22"/>
      <c r="G371" s="22"/>
      <c r="H371" s="22"/>
      <c r="I371" s="22"/>
      <c r="J371" s="13" t="str">
        <f t="array" ref="J371">IFERROR(INDEX(BasedatosM9!B:B, MATCH(A371, BasedatosM9!E:E, 0)), "")</f>
        <v/>
      </c>
      <c r="K371" s="5" t="str">
        <f t="shared" si="1"/>
        <v/>
      </c>
    </row>
    <row r="372" spans="1:11" ht="14.4">
      <c r="A372" s="23"/>
      <c r="B372" s="22"/>
      <c r="C372" s="24"/>
      <c r="D372" s="22"/>
      <c r="E372" s="25"/>
      <c r="F372" s="22"/>
      <c r="G372" s="22"/>
      <c r="H372" s="22"/>
      <c r="I372" s="22"/>
      <c r="J372" s="13" t="str">
        <f t="array" ref="J372">IFERROR(INDEX(BasedatosM9!B:B, MATCH(A372, BasedatosM9!E:E, 0)), "")</f>
        <v/>
      </c>
      <c r="K372" s="5" t="str">
        <f t="shared" si="1"/>
        <v/>
      </c>
    </row>
    <row r="373" spans="1:11" ht="14.4">
      <c r="A373" s="23"/>
      <c r="B373" s="22"/>
      <c r="C373" s="24"/>
      <c r="D373" s="22"/>
      <c r="E373" s="25"/>
      <c r="F373" s="22"/>
      <c r="G373" s="22"/>
      <c r="H373" s="22"/>
      <c r="I373" s="22"/>
      <c r="J373" s="13" t="str">
        <f t="array" ref="J373">IFERROR(INDEX(BasedatosM9!B:B, MATCH(A373, BasedatosM9!E:E, 0)), "")</f>
        <v/>
      </c>
      <c r="K373" s="5" t="str">
        <f t="shared" si="1"/>
        <v/>
      </c>
    </row>
    <row r="374" spans="1:11" ht="14.4">
      <c r="A374" s="23"/>
      <c r="B374" s="22"/>
      <c r="C374" s="24"/>
      <c r="D374" s="22"/>
      <c r="E374" s="25"/>
      <c r="F374" s="22"/>
      <c r="G374" s="22"/>
      <c r="H374" s="22"/>
      <c r="I374" s="22"/>
      <c r="J374" s="13" t="str">
        <f t="array" ref="J374">IFERROR(INDEX(BasedatosM9!B:B, MATCH(A374, BasedatosM9!E:E, 0)), "")</f>
        <v/>
      </c>
      <c r="K374" s="5" t="str">
        <f t="shared" si="1"/>
        <v/>
      </c>
    </row>
    <row r="375" spans="1:11" ht="14.4">
      <c r="A375" s="23"/>
      <c r="B375" s="22"/>
      <c r="C375" s="24"/>
      <c r="D375" s="22"/>
      <c r="E375" s="25"/>
      <c r="F375" s="22"/>
      <c r="G375" s="22"/>
      <c r="H375" s="22"/>
      <c r="I375" s="22"/>
      <c r="J375" s="13" t="str">
        <f t="array" ref="J375">IFERROR(INDEX(BasedatosM9!B:B, MATCH(A375, BasedatosM9!E:E, 0)), "")</f>
        <v/>
      </c>
      <c r="K375" s="5" t="str">
        <f t="shared" si="1"/>
        <v/>
      </c>
    </row>
    <row r="376" spans="1:11" ht="14.4">
      <c r="A376" s="23"/>
      <c r="B376" s="22"/>
      <c r="C376" s="24"/>
      <c r="D376" s="22"/>
      <c r="E376" s="25"/>
      <c r="F376" s="22"/>
      <c r="G376" s="22"/>
      <c r="H376" s="22"/>
      <c r="I376" s="22"/>
      <c r="J376" s="13" t="str">
        <f t="array" ref="J376">IFERROR(INDEX(BasedatosM9!B:B, MATCH(A376, BasedatosM9!E:E, 0)), "")</f>
        <v/>
      </c>
      <c r="K376" s="5" t="str">
        <f t="shared" si="1"/>
        <v/>
      </c>
    </row>
    <row r="377" spans="1:11" ht="14.4">
      <c r="A377" s="23"/>
      <c r="B377" s="22"/>
      <c r="C377" s="24"/>
      <c r="D377" s="22"/>
      <c r="E377" s="25"/>
      <c r="F377" s="22"/>
      <c r="G377" s="22"/>
      <c r="H377" s="22"/>
      <c r="I377" s="22"/>
      <c r="J377" s="13" t="str">
        <f t="array" ref="J377">IFERROR(INDEX(BasedatosM9!B:B, MATCH(A377, BasedatosM9!E:E, 0)), "")</f>
        <v/>
      </c>
      <c r="K377" s="5" t="str">
        <f t="shared" si="1"/>
        <v/>
      </c>
    </row>
    <row r="378" spans="1:11" ht="14.4">
      <c r="A378" s="23"/>
      <c r="B378" s="22"/>
      <c r="C378" s="24"/>
      <c r="D378" s="22"/>
      <c r="E378" s="25"/>
      <c r="F378" s="22"/>
      <c r="G378" s="22"/>
      <c r="H378" s="22"/>
      <c r="I378" s="22"/>
      <c r="J378" s="13" t="str">
        <f t="array" ref="J378">IFERROR(INDEX(BasedatosM9!B:B, MATCH(A378, BasedatosM9!E:E, 0)), "")</f>
        <v/>
      </c>
      <c r="K378" s="5" t="str">
        <f t="shared" si="1"/>
        <v/>
      </c>
    </row>
    <row r="379" spans="1:11" ht="14.4">
      <c r="A379" s="23"/>
      <c r="B379" s="22"/>
      <c r="C379" s="24"/>
      <c r="D379" s="22"/>
      <c r="E379" s="25"/>
      <c r="F379" s="22"/>
      <c r="G379" s="22"/>
      <c r="H379" s="22"/>
      <c r="I379" s="22"/>
      <c r="J379" s="13" t="str">
        <f t="array" ref="J379">IFERROR(INDEX(BasedatosM9!B:B, MATCH(A379, BasedatosM9!E:E, 0)), "")</f>
        <v/>
      </c>
      <c r="K379" s="5" t="str">
        <f t="shared" si="1"/>
        <v/>
      </c>
    </row>
    <row r="380" spans="1:11" ht="14.4">
      <c r="A380" s="23"/>
      <c r="B380" s="22"/>
      <c r="C380" s="24"/>
      <c r="D380" s="22"/>
      <c r="E380" s="25"/>
      <c r="F380" s="22"/>
      <c r="G380" s="22"/>
      <c r="H380" s="22"/>
      <c r="I380" s="22"/>
      <c r="J380" s="13" t="str">
        <f t="array" ref="J380">IFERROR(INDEX(BasedatosM9!B:B, MATCH(A380, BasedatosM9!E:E, 0)), "")</f>
        <v/>
      </c>
      <c r="K380" s="5" t="str">
        <f t="shared" si="1"/>
        <v/>
      </c>
    </row>
    <row r="381" spans="1:11" ht="14.4">
      <c r="A381" s="23"/>
      <c r="B381" s="22"/>
      <c r="C381" s="24"/>
      <c r="D381" s="22"/>
      <c r="E381" s="25"/>
      <c r="F381" s="22"/>
      <c r="G381" s="22"/>
      <c r="H381" s="22"/>
      <c r="I381" s="22"/>
      <c r="J381" s="13" t="str">
        <f t="array" ref="J381">IFERROR(INDEX(BasedatosM9!B:B, MATCH(A381, BasedatosM9!E:E, 0)), "")</f>
        <v/>
      </c>
      <c r="K381" s="5" t="str">
        <f t="shared" si="1"/>
        <v/>
      </c>
    </row>
    <row r="382" spans="1:11" ht="14.4">
      <c r="A382" s="23"/>
      <c r="B382" s="22"/>
      <c r="C382" s="24"/>
      <c r="D382" s="22"/>
      <c r="E382" s="25"/>
      <c r="F382" s="22"/>
      <c r="G382" s="22"/>
      <c r="H382" s="22"/>
      <c r="I382" s="22"/>
      <c r="J382" s="13" t="str">
        <f t="array" ref="J382">IFERROR(INDEX(BasedatosM9!B:B, MATCH(A382, BasedatosM9!E:E, 0)), "")</f>
        <v/>
      </c>
      <c r="K382" s="5" t="str">
        <f t="shared" si="1"/>
        <v/>
      </c>
    </row>
    <row r="383" spans="1:11" ht="14.4">
      <c r="A383" s="23"/>
      <c r="B383" s="22"/>
      <c r="C383" s="24"/>
      <c r="D383" s="22"/>
      <c r="E383" s="25"/>
      <c r="F383" s="22"/>
      <c r="G383" s="22"/>
      <c r="H383" s="22"/>
      <c r="I383" s="22"/>
      <c r="J383" s="13" t="str">
        <f t="array" ref="J383">IFERROR(INDEX(BasedatosM9!B:B, MATCH(A383, BasedatosM9!E:E, 0)), "")</f>
        <v/>
      </c>
      <c r="K383" s="5" t="str">
        <f t="shared" si="1"/>
        <v/>
      </c>
    </row>
    <row r="384" spans="1:11" ht="14.4">
      <c r="A384" s="23"/>
      <c r="B384" s="22"/>
      <c r="C384" s="24"/>
      <c r="D384" s="22"/>
      <c r="E384" s="25"/>
      <c r="F384" s="22"/>
      <c r="G384" s="22"/>
      <c r="H384" s="22"/>
      <c r="I384" s="22"/>
      <c r="J384" s="13" t="str">
        <f t="array" ref="J384">IFERROR(INDEX(BasedatosM9!B:B, MATCH(A384, BasedatosM9!E:E, 0)), "")</f>
        <v/>
      </c>
      <c r="K384" s="5" t="str">
        <f t="shared" si="1"/>
        <v/>
      </c>
    </row>
    <row r="385" spans="1:11" ht="14.4">
      <c r="A385" s="23"/>
      <c r="B385" s="22"/>
      <c r="C385" s="24"/>
      <c r="D385" s="22"/>
      <c r="E385" s="25"/>
      <c r="F385" s="22"/>
      <c r="G385" s="22"/>
      <c r="H385" s="22"/>
      <c r="I385" s="22"/>
      <c r="J385" s="13" t="str">
        <f t="array" ref="J385">IFERROR(INDEX(BasedatosM9!B:B, MATCH(A385, BasedatosM9!E:E, 0)), "")</f>
        <v/>
      </c>
      <c r="K385" s="5" t="str">
        <f t="shared" si="1"/>
        <v/>
      </c>
    </row>
    <row r="386" spans="1:11" ht="14.4">
      <c r="A386" s="23"/>
      <c r="B386" s="22"/>
      <c r="C386" s="24"/>
      <c r="D386" s="22"/>
      <c r="E386" s="25"/>
      <c r="F386" s="22"/>
      <c r="G386" s="22"/>
      <c r="H386" s="22"/>
      <c r="I386" s="22"/>
      <c r="J386" s="13" t="str">
        <f t="array" ref="J386">IFERROR(INDEX(BasedatosM9!B:B, MATCH(A386, BasedatosM9!E:E, 0)), "")</f>
        <v/>
      </c>
      <c r="K386" s="5" t="str">
        <f t="shared" si="1"/>
        <v/>
      </c>
    </row>
    <row r="387" spans="1:11" ht="14.4">
      <c r="A387" s="23"/>
      <c r="B387" s="22"/>
      <c r="C387" s="24"/>
      <c r="D387" s="22"/>
      <c r="E387" s="25"/>
      <c r="F387" s="22"/>
      <c r="G387" s="22"/>
      <c r="H387" s="22"/>
      <c r="I387" s="22"/>
      <c r="J387" s="13" t="str">
        <f t="array" ref="J387">IFERROR(INDEX(BasedatosM9!B:B, MATCH(A387, BasedatosM9!E:E, 0)), "")</f>
        <v/>
      </c>
      <c r="K387" s="5" t="str">
        <f t="shared" si="1"/>
        <v/>
      </c>
    </row>
    <row r="388" spans="1:11" ht="14.4">
      <c r="A388" s="23"/>
      <c r="B388" s="22"/>
      <c r="C388" s="24"/>
      <c r="D388" s="22"/>
      <c r="E388" s="25"/>
      <c r="F388" s="22"/>
      <c r="G388" s="22"/>
      <c r="H388" s="22"/>
      <c r="I388" s="22"/>
      <c r="J388" s="13" t="str">
        <f t="array" ref="J388">IFERROR(INDEX(BasedatosM9!B:B, MATCH(A388, BasedatosM9!E:E, 0)), "")</f>
        <v/>
      </c>
      <c r="K388" s="5" t="str">
        <f t="shared" si="1"/>
        <v/>
      </c>
    </row>
    <row r="389" spans="1:11" ht="14.4">
      <c r="A389" s="23"/>
      <c r="B389" s="22"/>
      <c r="C389" s="24"/>
      <c r="D389" s="22"/>
      <c r="E389" s="25"/>
      <c r="F389" s="22"/>
      <c r="G389" s="22"/>
      <c r="H389" s="22"/>
      <c r="I389" s="22"/>
      <c r="J389" s="13" t="str">
        <f t="array" ref="J389">IFERROR(INDEX(BasedatosM9!B:B, MATCH(A389, BasedatosM9!E:E, 0)), "")</f>
        <v/>
      </c>
      <c r="K389" s="5" t="str">
        <f t="shared" si="1"/>
        <v/>
      </c>
    </row>
    <row r="390" spans="1:11" ht="14.4">
      <c r="A390" s="23"/>
      <c r="B390" s="22"/>
      <c r="C390" s="24"/>
      <c r="D390" s="22"/>
      <c r="E390" s="25"/>
      <c r="F390" s="22"/>
      <c r="G390" s="22"/>
      <c r="H390" s="22"/>
      <c r="I390" s="22"/>
      <c r="J390" s="13" t="str">
        <f t="array" ref="J390">IFERROR(INDEX(BasedatosM9!B:B, MATCH(A390, BasedatosM9!E:E, 0)), "")</f>
        <v/>
      </c>
      <c r="K390" s="5" t="str">
        <f t="shared" si="1"/>
        <v/>
      </c>
    </row>
    <row r="391" spans="1:11" ht="14.4">
      <c r="A391" s="23"/>
      <c r="B391" s="22"/>
      <c r="C391" s="24"/>
      <c r="D391" s="22"/>
      <c r="E391" s="25"/>
      <c r="F391" s="22"/>
      <c r="G391" s="22"/>
      <c r="H391" s="22"/>
      <c r="I391" s="22"/>
      <c r="J391" s="13" t="str">
        <f t="array" ref="J391">IFERROR(INDEX(BasedatosM9!B:B, MATCH(A391, BasedatosM9!E:E, 0)), "")</f>
        <v/>
      </c>
      <c r="K391" s="5" t="str">
        <f t="shared" si="1"/>
        <v/>
      </c>
    </row>
    <row r="392" spans="1:11" ht="14.4">
      <c r="A392" s="23"/>
      <c r="B392" s="22"/>
      <c r="C392" s="24"/>
      <c r="D392" s="22"/>
      <c r="E392" s="25"/>
      <c r="F392" s="22"/>
      <c r="G392" s="22"/>
      <c r="H392" s="22"/>
      <c r="I392" s="22"/>
      <c r="J392" s="13" t="str">
        <f t="array" ref="J392">IFERROR(INDEX(BasedatosM9!B:B, MATCH(A392, BasedatosM9!E:E, 0)), "")</f>
        <v/>
      </c>
      <c r="K392" s="5" t="str">
        <f t="shared" si="1"/>
        <v/>
      </c>
    </row>
    <row r="393" spans="1:11" ht="14.4">
      <c r="A393" s="23"/>
      <c r="B393" s="22"/>
      <c r="C393" s="24"/>
      <c r="D393" s="22"/>
      <c r="E393" s="25"/>
      <c r="F393" s="22"/>
      <c r="G393" s="22"/>
      <c r="H393" s="22"/>
      <c r="I393" s="22"/>
      <c r="J393" s="13" t="str">
        <f t="array" ref="J393">IFERROR(INDEX(BasedatosM9!B:B, MATCH(A393, BasedatosM9!E:E, 0)), "")</f>
        <v/>
      </c>
      <c r="K393" s="5" t="str">
        <f t="shared" si="1"/>
        <v/>
      </c>
    </row>
    <row r="394" spans="1:11" ht="14.4">
      <c r="A394" s="23"/>
      <c r="B394" s="22"/>
      <c r="C394" s="24"/>
      <c r="D394" s="22"/>
      <c r="E394" s="25"/>
      <c r="F394" s="22"/>
      <c r="G394" s="22"/>
      <c r="H394" s="22"/>
      <c r="I394" s="22"/>
      <c r="J394" s="13" t="str">
        <f t="array" ref="J394">IFERROR(INDEX(BasedatosM9!B:B, MATCH(A394, BasedatosM9!E:E, 0)), "")</f>
        <v/>
      </c>
      <c r="K394" s="5" t="str">
        <f t="shared" si="1"/>
        <v/>
      </c>
    </row>
    <row r="395" spans="1:11" ht="14.4">
      <c r="A395" s="23"/>
      <c r="B395" s="22"/>
      <c r="C395" s="24"/>
      <c r="D395" s="22"/>
      <c r="E395" s="25"/>
      <c r="F395" s="22"/>
      <c r="G395" s="22"/>
      <c r="H395" s="22"/>
      <c r="I395" s="22"/>
      <c r="J395" s="13" t="str">
        <f t="array" ref="J395">IFERROR(INDEX(BasedatosM9!B:B, MATCH(A395, BasedatosM9!E:E, 0)), "")</f>
        <v/>
      </c>
      <c r="K395" s="5" t="str">
        <f t="shared" si="1"/>
        <v/>
      </c>
    </row>
    <row r="396" spans="1:11" ht="14.4">
      <c r="A396" s="23"/>
      <c r="B396" s="22"/>
      <c r="C396" s="24"/>
      <c r="D396" s="22"/>
      <c r="E396" s="25"/>
      <c r="F396" s="22"/>
      <c r="G396" s="22"/>
      <c r="H396" s="22"/>
      <c r="I396" s="22"/>
      <c r="J396" s="13" t="str">
        <f t="array" ref="J396">IFERROR(INDEX(BasedatosM9!B:B, MATCH(A396, BasedatosM9!E:E, 0)), "")</f>
        <v/>
      </c>
      <c r="K396" s="5" t="str">
        <f t="shared" si="1"/>
        <v/>
      </c>
    </row>
    <row r="397" spans="1:11" ht="14.4">
      <c r="A397" s="23"/>
      <c r="B397" s="22"/>
      <c r="C397" s="24"/>
      <c r="D397" s="22"/>
      <c r="E397" s="25"/>
      <c r="F397" s="22"/>
      <c r="G397" s="22"/>
      <c r="H397" s="22"/>
      <c r="I397" s="22"/>
      <c r="J397" s="13" t="str">
        <f t="array" ref="J397">IFERROR(INDEX(BasedatosM9!B:B, MATCH(A397, BasedatosM9!E:E, 0)), "")</f>
        <v/>
      </c>
      <c r="K397" s="5" t="str">
        <f t="shared" si="1"/>
        <v/>
      </c>
    </row>
    <row r="398" spans="1:11" ht="14.4">
      <c r="A398" s="23"/>
      <c r="B398" s="22"/>
      <c r="C398" s="24"/>
      <c r="D398" s="22"/>
      <c r="E398" s="25"/>
      <c r="F398" s="22"/>
      <c r="G398" s="22"/>
      <c r="H398" s="22"/>
      <c r="I398" s="22"/>
      <c r="J398" s="13" t="str">
        <f t="array" ref="J398">IFERROR(INDEX(BasedatosM9!B:B, MATCH(A398, BasedatosM9!E:E, 0)), "")</f>
        <v/>
      </c>
      <c r="K398" s="5" t="str">
        <f t="shared" si="1"/>
        <v/>
      </c>
    </row>
    <row r="399" spans="1:11" ht="14.4">
      <c r="A399" s="23"/>
      <c r="B399" s="22"/>
      <c r="C399" s="24"/>
      <c r="D399" s="22"/>
      <c r="E399" s="25"/>
      <c r="F399" s="22"/>
      <c r="G399" s="22"/>
      <c r="H399" s="22"/>
      <c r="I399" s="22"/>
      <c r="J399" s="13" t="str">
        <f t="array" ref="J399">IFERROR(INDEX(BasedatosM9!B:B, MATCH(A399, BasedatosM9!E:E, 0)), "")</f>
        <v/>
      </c>
      <c r="K399" s="5" t="str">
        <f t="shared" si="1"/>
        <v/>
      </c>
    </row>
    <row r="400" spans="1:11" ht="14.4">
      <c r="A400" s="23"/>
      <c r="B400" s="22"/>
      <c r="C400" s="24"/>
      <c r="D400" s="22"/>
      <c r="E400" s="25"/>
      <c r="F400" s="22"/>
      <c r="G400" s="22"/>
      <c r="H400" s="22"/>
      <c r="I400" s="22"/>
      <c r="J400" s="13" t="str">
        <f t="array" ref="J400">IFERROR(INDEX(BasedatosM9!B:B, MATCH(A400, BasedatosM9!E:E, 0)), "")</f>
        <v/>
      </c>
      <c r="K400" s="5" t="str">
        <f t="shared" si="1"/>
        <v/>
      </c>
    </row>
    <row r="401" spans="1:11" ht="14.4">
      <c r="A401" s="23"/>
      <c r="B401" s="22"/>
      <c r="C401" s="24"/>
      <c r="D401" s="22"/>
      <c r="E401" s="25"/>
      <c r="F401" s="22"/>
      <c r="G401" s="22"/>
      <c r="H401" s="22"/>
      <c r="I401" s="22"/>
      <c r="J401" s="13" t="str">
        <f t="array" ref="J401">IFERROR(INDEX(BasedatosM9!B:B, MATCH(A401, BasedatosM9!E:E, 0)), "")</f>
        <v/>
      </c>
      <c r="K401" s="5" t="str">
        <f t="shared" si="1"/>
        <v/>
      </c>
    </row>
    <row r="402" spans="1:11" ht="14.4">
      <c r="A402" s="23"/>
      <c r="B402" s="22"/>
      <c r="C402" s="24"/>
      <c r="D402" s="22"/>
      <c r="E402" s="25"/>
      <c r="F402" s="22"/>
      <c r="G402" s="22"/>
      <c r="H402" s="22"/>
      <c r="I402" s="22"/>
      <c r="J402" s="13" t="str">
        <f t="array" ref="J402">IFERROR(INDEX(BasedatosM9!B:B, MATCH(A402, BasedatosM9!E:E, 0)), "")</f>
        <v/>
      </c>
      <c r="K402" s="5" t="str">
        <f t="shared" si="1"/>
        <v/>
      </c>
    </row>
    <row r="403" spans="1:11" ht="14.4">
      <c r="A403" s="23"/>
      <c r="B403" s="22"/>
      <c r="C403" s="24"/>
      <c r="D403" s="22"/>
      <c r="E403" s="25"/>
      <c r="F403" s="22"/>
      <c r="G403" s="22"/>
      <c r="H403" s="22"/>
      <c r="I403" s="22"/>
      <c r="J403" s="13" t="str">
        <f t="array" ref="J403">IFERROR(INDEX(BasedatosM9!B:B, MATCH(A403, BasedatosM9!E:E, 0)), "")</f>
        <v/>
      </c>
      <c r="K403" s="5" t="str">
        <f t="shared" si="1"/>
        <v/>
      </c>
    </row>
    <row r="404" spans="1:11" ht="14.4">
      <c r="A404" s="23"/>
      <c r="B404" s="22"/>
      <c r="C404" s="24"/>
      <c r="D404" s="22"/>
      <c r="E404" s="25"/>
      <c r="F404" s="22"/>
      <c r="G404" s="22"/>
      <c r="H404" s="22"/>
      <c r="I404" s="22"/>
      <c r="J404" s="13" t="str">
        <f t="array" ref="J404">IFERROR(INDEX(BasedatosM9!B:B, MATCH(A404, BasedatosM9!E:E, 0)), "")</f>
        <v/>
      </c>
      <c r="K404" s="5" t="str">
        <f t="shared" si="1"/>
        <v/>
      </c>
    </row>
    <row r="405" spans="1:11" ht="14.4">
      <c r="A405" s="23"/>
      <c r="B405" s="22"/>
      <c r="C405" s="24"/>
      <c r="D405" s="22"/>
      <c r="E405" s="25"/>
      <c r="F405" s="22"/>
      <c r="G405" s="22"/>
      <c r="H405" s="22"/>
      <c r="I405" s="22"/>
      <c r="J405" s="13" t="str">
        <f t="array" ref="J405">IFERROR(INDEX(BasedatosM9!B:B, MATCH(A405, BasedatosM9!E:E, 0)), "")</f>
        <v/>
      </c>
      <c r="K405" s="5" t="str">
        <f t="shared" si="1"/>
        <v/>
      </c>
    </row>
    <row r="406" spans="1:11" ht="14.4">
      <c r="A406" s="23"/>
      <c r="B406" s="22"/>
      <c r="C406" s="24"/>
      <c r="D406" s="22"/>
      <c r="E406" s="25"/>
      <c r="F406" s="22"/>
      <c r="G406" s="22"/>
      <c r="H406" s="22"/>
      <c r="I406" s="22"/>
      <c r="J406" s="13" t="str">
        <f t="array" ref="J406">IFERROR(INDEX(BasedatosM9!B:B, MATCH(A406, BasedatosM9!E:E, 0)), "")</f>
        <v/>
      </c>
      <c r="K406" s="5" t="str">
        <f t="shared" si="1"/>
        <v/>
      </c>
    </row>
    <row r="407" spans="1:11" ht="14.4">
      <c r="A407" s="23"/>
      <c r="B407" s="22"/>
      <c r="C407" s="24"/>
      <c r="D407" s="22"/>
      <c r="E407" s="25"/>
      <c r="F407" s="22"/>
      <c r="G407" s="22"/>
      <c r="H407" s="22"/>
      <c r="I407" s="22"/>
      <c r="J407" s="13" t="str">
        <f t="array" ref="J407">IFERROR(INDEX(BasedatosM9!B:B, MATCH(A407, BasedatosM9!E:E, 0)), "")</f>
        <v/>
      </c>
      <c r="K407" s="5" t="str">
        <f t="shared" si="1"/>
        <v/>
      </c>
    </row>
    <row r="408" spans="1:11" ht="14.4">
      <c r="A408" s="23"/>
      <c r="B408" s="22"/>
      <c r="C408" s="24"/>
      <c r="D408" s="22"/>
      <c r="E408" s="25"/>
      <c r="F408" s="22"/>
      <c r="G408" s="22"/>
      <c r="H408" s="22"/>
      <c r="I408" s="22"/>
      <c r="J408" s="13" t="str">
        <f t="array" ref="J408">IFERROR(INDEX(BasedatosM9!B:B, MATCH(A408, BasedatosM9!E:E, 0)), "")</f>
        <v/>
      </c>
      <c r="K408" s="5" t="str">
        <f t="shared" si="1"/>
        <v/>
      </c>
    </row>
    <row r="409" spans="1:11" ht="14.4">
      <c r="A409" s="23"/>
      <c r="B409" s="22"/>
      <c r="C409" s="24"/>
      <c r="D409" s="22"/>
      <c r="E409" s="25"/>
      <c r="F409" s="22"/>
      <c r="G409" s="22"/>
      <c r="H409" s="22"/>
      <c r="I409" s="22"/>
      <c r="J409" s="13" t="str">
        <f t="array" ref="J409">IFERROR(INDEX(BasedatosM9!B:B, MATCH(A409, BasedatosM9!E:E, 0)), "")</f>
        <v/>
      </c>
      <c r="K409" s="5" t="str">
        <f t="shared" si="1"/>
        <v/>
      </c>
    </row>
    <row r="410" spans="1:11" ht="14.4">
      <c r="A410" s="23"/>
      <c r="B410" s="22"/>
      <c r="C410" s="24"/>
      <c r="D410" s="22"/>
      <c r="E410" s="25"/>
      <c r="F410" s="22"/>
      <c r="G410" s="22"/>
      <c r="H410" s="22"/>
      <c r="I410" s="22"/>
      <c r="J410" s="13" t="str">
        <f t="array" ref="J410">IFERROR(INDEX(BasedatosM9!B:B, MATCH(A410, BasedatosM9!E:E, 0)), "")</f>
        <v/>
      </c>
      <c r="K410" s="5" t="str">
        <f t="shared" si="1"/>
        <v/>
      </c>
    </row>
    <row r="411" spans="1:11" ht="14.4">
      <c r="A411" s="23"/>
      <c r="B411" s="22"/>
      <c r="C411" s="24"/>
      <c r="D411" s="22"/>
      <c r="E411" s="25"/>
      <c r="F411" s="22"/>
      <c r="G411" s="22"/>
      <c r="H411" s="22"/>
      <c r="I411" s="22"/>
      <c r="J411" s="13" t="str">
        <f t="array" ref="J411">IFERROR(INDEX(BasedatosM9!B:B, MATCH(A411, BasedatosM9!E:E, 0)), "")</f>
        <v/>
      </c>
      <c r="K411" s="5" t="str">
        <f t="shared" si="1"/>
        <v/>
      </c>
    </row>
    <row r="412" spans="1:11" ht="14.4">
      <c r="A412" s="23"/>
      <c r="B412" s="22"/>
      <c r="C412" s="24"/>
      <c r="D412" s="22"/>
      <c r="E412" s="25"/>
      <c r="F412" s="22"/>
      <c r="G412" s="22"/>
      <c r="H412" s="22"/>
      <c r="I412" s="22"/>
      <c r="J412" s="13" t="str">
        <f t="array" ref="J412">IFERROR(INDEX(BasedatosM9!B:B, MATCH(A412, BasedatosM9!E:E, 0)), "")</f>
        <v/>
      </c>
      <c r="K412" s="5" t="str">
        <f t="shared" si="1"/>
        <v/>
      </c>
    </row>
    <row r="413" spans="1:11" ht="14.4">
      <c r="A413" s="23"/>
      <c r="B413" s="22"/>
      <c r="C413" s="24"/>
      <c r="D413" s="22"/>
      <c r="E413" s="25"/>
      <c r="F413" s="22"/>
      <c r="G413" s="22"/>
      <c r="H413" s="22"/>
      <c r="I413" s="22"/>
      <c r="J413" s="13" t="str">
        <f t="array" ref="J413">IFERROR(INDEX(BasedatosM9!B:B, MATCH(A413, BasedatosM9!E:E, 0)), "")</f>
        <v/>
      </c>
      <c r="K413" s="5" t="str">
        <f t="shared" si="1"/>
        <v/>
      </c>
    </row>
    <row r="414" spans="1:11" ht="14.4">
      <c r="A414" s="23"/>
      <c r="B414" s="22"/>
      <c r="C414" s="24"/>
      <c r="D414" s="22"/>
      <c r="E414" s="25"/>
      <c r="F414" s="22"/>
      <c r="G414" s="22"/>
      <c r="H414" s="22"/>
      <c r="I414" s="22"/>
      <c r="J414" s="13" t="str">
        <f t="array" ref="J414">IFERROR(INDEX(BasedatosM9!B:B, MATCH(A414, BasedatosM9!E:E, 0)), "")</f>
        <v/>
      </c>
      <c r="K414" s="5" t="str">
        <f t="shared" si="1"/>
        <v/>
      </c>
    </row>
    <row r="415" spans="1:11" ht="14.4">
      <c r="A415" s="23"/>
      <c r="B415" s="22"/>
      <c r="C415" s="24"/>
      <c r="D415" s="22"/>
      <c r="E415" s="25"/>
      <c r="F415" s="22"/>
      <c r="G415" s="22"/>
      <c r="H415" s="22"/>
      <c r="I415" s="22"/>
      <c r="J415" s="13" t="str">
        <f t="array" ref="J415">IFERROR(INDEX(BasedatosM9!B:B, MATCH(A415, BasedatosM9!E:E, 0)), "")</f>
        <v/>
      </c>
      <c r="K415" s="5" t="str">
        <f t="shared" si="1"/>
        <v/>
      </c>
    </row>
    <row r="416" spans="1:11" ht="14.4">
      <c r="A416" s="23"/>
      <c r="B416" s="22"/>
      <c r="C416" s="24"/>
      <c r="D416" s="22"/>
      <c r="E416" s="25"/>
      <c r="F416" s="22"/>
      <c r="G416" s="22"/>
      <c r="H416" s="22"/>
      <c r="I416" s="22"/>
      <c r="J416" s="13" t="str">
        <f t="array" ref="J416">IFERROR(INDEX(BasedatosM9!B:B, MATCH(A416, BasedatosM9!E:E, 0)), "")</f>
        <v/>
      </c>
      <c r="K416" s="5" t="str">
        <f t="shared" si="1"/>
        <v/>
      </c>
    </row>
    <row r="417" spans="1:11" ht="14.4">
      <c r="A417" s="23"/>
      <c r="B417" s="22"/>
      <c r="C417" s="24"/>
      <c r="D417" s="22"/>
      <c r="E417" s="25"/>
      <c r="F417" s="22"/>
      <c r="G417" s="22"/>
      <c r="H417" s="22"/>
      <c r="I417" s="22"/>
      <c r="J417" s="13" t="str">
        <f t="array" ref="J417">IFERROR(INDEX(BasedatosM9!B:B, MATCH(A417, BasedatosM9!E:E, 0)), "")</f>
        <v/>
      </c>
      <c r="K417" s="5" t="str">
        <f t="shared" si="1"/>
        <v/>
      </c>
    </row>
    <row r="418" spans="1:11" ht="14.4">
      <c r="A418" s="23"/>
      <c r="B418" s="22"/>
      <c r="C418" s="24"/>
      <c r="D418" s="22"/>
      <c r="E418" s="25"/>
      <c r="F418" s="22"/>
      <c r="G418" s="22"/>
      <c r="H418" s="22"/>
      <c r="I418" s="22"/>
      <c r="J418" s="13" t="str">
        <f t="array" ref="J418">IFERROR(INDEX(BasedatosM9!B:B, MATCH(A418, BasedatosM9!E:E, 0)), "")</f>
        <v/>
      </c>
      <c r="K418" s="5" t="str">
        <f t="shared" si="1"/>
        <v/>
      </c>
    </row>
    <row r="419" spans="1:11" ht="14.4">
      <c r="A419" s="23"/>
      <c r="B419" s="22"/>
      <c r="C419" s="24"/>
      <c r="D419" s="22"/>
      <c r="E419" s="25"/>
      <c r="F419" s="22"/>
      <c r="G419" s="22"/>
      <c r="H419" s="22"/>
      <c r="I419" s="22"/>
      <c r="J419" s="13" t="str">
        <f t="array" ref="J419">IFERROR(INDEX(BasedatosM9!B:B, MATCH(A419, BasedatosM9!E:E, 0)), "")</f>
        <v/>
      </c>
      <c r="K419" s="5" t="str">
        <f t="shared" si="1"/>
        <v/>
      </c>
    </row>
    <row r="420" spans="1:11" ht="14.4">
      <c r="A420" s="23"/>
      <c r="B420" s="22"/>
      <c r="C420" s="24"/>
      <c r="D420" s="22"/>
      <c r="E420" s="25"/>
      <c r="F420" s="22"/>
      <c r="G420" s="22"/>
      <c r="H420" s="22"/>
      <c r="I420" s="22"/>
      <c r="J420" s="13" t="str">
        <f t="array" ref="J420">IFERROR(INDEX(BasedatosM9!B:B, MATCH(A420, BasedatosM9!E:E, 0)), "")</f>
        <v/>
      </c>
      <c r="K420" s="5" t="str">
        <f t="shared" si="1"/>
        <v/>
      </c>
    </row>
    <row r="421" spans="1:11" ht="14.4">
      <c r="A421" s="23"/>
      <c r="B421" s="22"/>
      <c r="C421" s="24"/>
      <c r="D421" s="22"/>
      <c r="E421" s="25"/>
      <c r="F421" s="22"/>
      <c r="G421" s="22"/>
      <c r="H421" s="22"/>
      <c r="I421" s="22"/>
      <c r="J421" s="13" t="str">
        <f t="array" ref="J421">IFERROR(INDEX(BasedatosM9!B:B, MATCH(A421, BasedatosM9!E:E, 0)), "")</f>
        <v/>
      </c>
      <c r="K421" s="5" t="str">
        <f t="shared" si="1"/>
        <v/>
      </c>
    </row>
    <row r="422" spans="1:11" ht="14.4">
      <c r="A422" s="23"/>
      <c r="B422" s="22"/>
      <c r="C422" s="24"/>
      <c r="D422" s="22"/>
      <c r="E422" s="25"/>
      <c r="F422" s="22"/>
      <c r="G422" s="22"/>
      <c r="H422" s="22"/>
      <c r="I422" s="22"/>
      <c r="J422" s="13" t="str">
        <f t="array" ref="J422">IFERROR(INDEX(BasedatosM9!B:B, MATCH(A422, BasedatosM9!E:E, 0)), "")</f>
        <v/>
      </c>
      <c r="K422" s="5" t="str">
        <f t="shared" si="1"/>
        <v/>
      </c>
    </row>
    <row r="423" spans="1:11" ht="14.4">
      <c r="A423" s="23"/>
      <c r="B423" s="22"/>
      <c r="C423" s="24"/>
      <c r="D423" s="22"/>
      <c r="E423" s="25"/>
      <c r="F423" s="22"/>
      <c r="G423" s="22"/>
      <c r="H423" s="22"/>
      <c r="I423" s="22"/>
      <c r="J423" s="13" t="str">
        <f t="array" ref="J423">IFERROR(INDEX(BasedatosM9!B:B, MATCH(A423, BasedatosM9!E:E, 0)), "")</f>
        <v/>
      </c>
      <c r="K423" s="5" t="str">
        <f t="shared" si="1"/>
        <v/>
      </c>
    </row>
    <row r="424" spans="1:11" ht="14.4">
      <c r="A424" s="23"/>
      <c r="B424" s="22"/>
      <c r="C424" s="24"/>
      <c r="D424" s="22"/>
      <c r="E424" s="25"/>
      <c r="F424" s="22"/>
      <c r="G424" s="22"/>
      <c r="H424" s="22"/>
      <c r="I424" s="22"/>
      <c r="J424" s="13" t="str">
        <f t="array" ref="J424">IFERROR(INDEX(BasedatosM9!B:B, MATCH(A424, BasedatosM9!E:E, 0)), "")</f>
        <v/>
      </c>
      <c r="K424" s="5" t="str">
        <f t="shared" si="1"/>
        <v/>
      </c>
    </row>
    <row r="425" spans="1:11" ht="14.4">
      <c r="A425" s="23"/>
      <c r="B425" s="22"/>
      <c r="C425" s="24"/>
      <c r="D425" s="22"/>
      <c r="E425" s="25"/>
      <c r="F425" s="22"/>
      <c r="G425" s="22"/>
      <c r="H425" s="22"/>
      <c r="I425" s="22"/>
      <c r="J425" s="13" t="str">
        <f t="array" ref="J425">IFERROR(INDEX(BasedatosM9!B:B, MATCH(A425, BasedatosM9!E:E, 0)), "")</f>
        <v/>
      </c>
      <c r="K425" s="5" t="str">
        <f t="shared" si="1"/>
        <v/>
      </c>
    </row>
    <row r="426" spans="1:11" ht="14.4">
      <c r="A426" s="23"/>
      <c r="B426" s="22"/>
      <c r="C426" s="24"/>
      <c r="D426" s="22"/>
      <c r="E426" s="25"/>
      <c r="F426" s="22"/>
      <c r="G426" s="22"/>
      <c r="H426" s="22"/>
      <c r="I426" s="22"/>
      <c r="J426" s="13" t="str">
        <f t="array" ref="J426">IFERROR(INDEX(BasedatosM9!B:B, MATCH(A426, BasedatosM9!E:E, 0)), "")</f>
        <v/>
      </c>
      <c r="K426" s="5" t="str">
        <f t="shared" si="1"/>
        <v/>
      </c>
    </row>
    <row r="427" spans="1:11" ht="14.4">
      <c r="A427" s="23"/>
      <c r="B427" s="22"/>
      <c r="C427" s="24"/>
      <c r="D427" s="22"/>
      <c r="E427" s="25"/>
      <c r="F427" s="22"/>
      <c r="G427" s="22"/>
      <c r="H427" s="22"/>
      <c r="I427" s="22"/>
      <c r="J427" s="13" t="str">
        <f t="array" ref="J427">IFERROR(INDEX(BasedatosM9!B:B, MATCH(A427, BasedatosM9!E:E, 0)), "")</f>
        <v/>
      </c>
      <c r="K427" s="5" t="str">
        <f t="shared" si="1"/>
        <v/>
      </c>
    </row>
    <row r="428" spans="1:11" ht="14.4">
      <c r="A428" s="23"/>
      <c r="B428" s="22"/>
      <c r="C428" s="24"/>
      <c r="D428" s="22"/>
      <c r="E428" s="25"/>
      <c r="F428" s="22"/>
      <c r="G428" s="22"/>
      <c r="H428" s="22"/>
      <c r="I428" s="22"/>
      <c r="J428" s="13" t="str">
        <f t="array" ref="J428">IFERROR(INDEX(BasedatosM9!B:B, MATCH(A428, BasedatosM9!E:E, 0)), "")</f>
        <v/>
      </c>
      <c r="K428" s="5" t="str">
        <f t="shared" si="1"/>
        <v/>
      </c>
    </row>
    <row r="429" spans="1:11" ht="14.4">
      <c r="A429" s="23"/>
      <c r="B429" s="22"/>
      <c r="C429" s="24"/>
      <c r="D429" s="22"/>
      <c r="E429" s="25"/>
      <c r="F429" s="22"/>
      <c r="G429" s="22"/>
      <c r="H429" s="22"/>
      <c r="I429" s="22"/>
      <c r="J429" s="13" t="str">
        <f t="array" ref="J429">IFERROR(INDEX(BasedatosM9!B:B, MATCH(A429, BasedatosM9!E:E, 0)), "")</f>
        <v/>
      </c>
      <c r="K429" s="5" t="str">
        <f t="shared" si="1"/>
        <v/>
      </c>
    </row>
    <row r="430" spans="1:11" ht="14.4">
      <c r="A430" s="23"/>
      <c r="B430" s="22"/>
      <c r="C430" s="24"/>
      <c r="D430" s="22"/>
      <c r="E430" s="25"/>
      <c r="F430" s="22"/>
      <c r="G430" s="22"/>
      <c r="H430" s="22"/>
      <c r="I430" s="22"/>
      <c r="J430" s="13" t="str">
        <f t="array" ref="J430">IFERROR(INDEX(BasedatosM9!B:B, MATCH(A430, BasedatosM9!E:E, 0)), "")</f>
        <v/>
      </c>
      <c r="K430" s="5" t="str">
        <f t="shared" si="1"/>
        <v/>
      </c>
    </row>
    <row r="431" spans="1:11" ht="14.4">
      <c r="A431" s="23"/>
      <c r="B431" s="22"/>
      <c r="C431" s="24"/>
      <c r="D431" s="22"/>
      <c r="E431" s="25"/>
      <c r="F431" s="22"/>
      <c r="G431" s="22"/>
      <c r="H431" s="22"/>
      <c r="I431" s="22"/>
      <c r="J431" s="13" t="str">
        <f t="array" ref="J431">IFERROR(INDEX(BasedatosM9!B:B, MATCH(A431, BasedatosM9!E:E, 0)), "")</f>
        <v/>
      </c>
      <c r="K431" s="5" t="str">
        <f t="shared" si="1"/>
        <v/>
      </c>
    </row>
    <row r="432" spans="1:11" ht="14.4">
      <c r="A432" s="23"/>
      <c r="B432" s="22"/>
      <c r="C432" s="24"/>
      <c r="D432" s="22"/>
      <c r="E432" s="25"/>
      <c r="F432" s="22"/>
      <c r="G432" s="22"/>
      <c r="H432" s="22"/>
      <c r="I432" s="22"/>
      <c r="J432" s="13" t="str">
        <f t="array" ref="J432">IFERROR(INDEX(BasedatosM9!B:B, MATCH(A432, BasedatosM9!E:E, 0)), "")</f>
        <v/>
      </c>
      <c r="K432" s="5" t="str">
        <f t="shared" si="1"/>
        <v/>
      </c>
    </row>
    <row r="433" spans="1:11" ht="14.4">
      <c r="A433" s="23"/>
      <c r="B433" s="22"/>
      <c r="C433" s="24"/>
      <c r="D433" s="22"/>
      <c r="E433" s="25"/>
      <c r="F433" s="22"/>
      <c r="G433" s="22"/>
      <c r="H433" s="22"/>
      <c r="I433" s="22"/>
      <c r="J433" s="13" t="str">
        <f t="array" ref="J433">IFERROR(INDEX(BasedatosM9!B:B, MATCH(A433, BasedatosM9!E:E, 0)), "")</f>
        <v/>
      </c>
      <c r="K433" s="5" t="str">
        <f t="shared" si="1"/>
        <v/>
      </c>
    </row>
    <row r="434" spans="1:11" ht="14.4">
      <c r="A434" s="23"/>
      <c r="B434" s="22"/>
      <c r="C434" s="24"/>
      <c r="D434" s="22"/>
      <c r="E434" s="25"/>
      <c r="F434" s="22"/>
      <c r="G434" s="22"/>
      <c r="H434" s="22"/>
      <c r="I434" s="22"/>
      <c r="J434" s="13" t="str">
        <f t="array" ref="J434">IFERROR(INDEX(BasedatosM9!B:B, MATCH(A434, BasedatosM9!E:E, 0)), "")</f>
        <v/>
      </c>
      <c r="K434" s="5" t="str">
        <f t="shared" si="1"/>
        <v/>
      </c>
    </row>
    <row r="435" spans="1:11" ht="14.4">
      <c r="A435" s="23"/>
      <c r="B435" s="22"/>
      <c r="C435" s="24"/>
      <c r="D435" s="22"/>
      <c r="E435" s="25"/>
      <c r="F435" s="22"/>
      <c r="G435" s="22"/>
      <c r="H435" s="22"/>
      <c r="I435" s="22"/>
      <c r="J435" s="13" t="str">
        <f t="array" ref="J435">IFERROR(INDEX(BasedatosM9!B:B, MATCH(A435, BasedatosM9!E:E, 0)), "")</f>
        <v/>
      </c>
      <c r="K435" s="5" t="str">
        <f t="shared" si="1"/>
        <v/>
      </c>
    </row>
    <row r="436" spans="1:11" ht="14.4">
      <c r="A436" s="23"/>
      <c r="B436" s="22"/>
      <c r="C436" s="24"/>
      <c r="D436" s="22"/>
      <c r="E436" s="25"/>
      <c r="F436" s="22"/>
      <c r="G436" s="22"/>
      <c r="H436" s="22"/>
      <c r="I436" s="22"/>
      <c r="J436" s="13" t="str">
        <f t="array" ref="J436">IFERROR(INDEX(BasedatosM9!B:B, MATCH(A436, BasedatosM9!E:E, 0)), "")</f>
        <v/>
      </c>
      <c r="K436" s="5" t="str">
        <f t="shared" si="1"/>
        <v/>
      </c>
    </row>
    <row r="437" spans="1:11" ht="14.4">
      <c r="A437" s="23"/>
      <c r="B437" s="22"/>
      <c r="C437" s="24"/>
      <c r="D437" s="22"/>
      <c r="E437" s="25"/>
      <c r="F437" s="22"/>
      <c r="G437" s="22"/>
      <c r="H437" s="22"/>
      <c r="I437" s="22"/>
      <c r="J437" s="13" t="str">
        <f t="array" ref="J437">IFERROR(INDEX(BasedatosM9!B:B, MATCH(A437, BasedatosM9!E:E, 0)), "")</f>
        <v/>
      </c>
      <c r="K437" s="5" t="str">
        <f t="shared" si="1"/>
        <v/>
      </c>
    </row>
    <row r="438" spans="1:11" ht="14.4">
      <c r="A438" s="23"/>
      <c r="B438" s="22"/>
      <c r="C438" s="24"/>
      <c r="D438" s="22"/>
      <c r="E438" s="25"/>
      <c r="F438" s="22"/>
      <c r="G438" s="22"/>
      <c r="H438" s="22"/>
      <c r="I438" s="22"/>
      <c r="J438" s="13" t="str">
        <f t="array" ref="J438">IFERROR(INDEX(BasedatosM9!B:B, MATCH(A438, BasedatosM9!E:E, 0)), "")</f>
        <v/>
      </c>
      <c r="K438" s="5" t="str">
        <f t="shared" si="1"/>
        <v/>
      </c>
    </row>
    <row r="439" spans="1:11" ht="14.4">
      <c r="A439" s="23"/>
      <c r="B439" s="22"/>
      <c r="C439" s="24"/>
      <c r="D439" s="22"/>
      <c r="E439" s="25"/>
      <c r="F439" s="22"/>
      <c r="G439" s="22"/>
      <c r="H439" s="22"/>
      <c r="I439" s="22"/>
      <c r="J439" s="13" t="str">
        <f t="array" ref="J439">IFERROR(INDEX(BasedatosM9!B:B, MATCH(A439, BasedatosM9!E:E, 0)), "")</f>
        <v/>
      </c>
      <c r="K439" s="5" t="str">
        <f t="shared" si="1"/>
        <v/>
      </c>
    </row>
    <row r="440" spans="1:11" ht="14.4">
      <c r="A440" s="23"/>
      <c r="B440" s="22"/>
      <c r="C440" s="24"/>
      <c r="D440" s="22"/>
      <c r="E440" s="25"/>
      <c r="F440" s="22"/>
      <c r="G440" s="22"/>
      <c r="H440" s="22"/>
      <c r="I440" s="22"/>
      <c r="J440" s="13" t="str">
        <f t="array" ref="J440">IFERROR(INDEX(BasedatosM9!B:B, MATCH(A440, BasedatosM9!E:E, 0)), "")</f>
        <v/>
      </c>
      <c r="K440" s="5" t="str">
        <f t="shared" si="1"/>
        <v/>
      </c>
    </row>
    <row r="441" spans="1:11" ht="14.4">
      <c r="A441" s="23"/>
      <c r="B441" s="22"/>
      <c r="C441" s="24"/>
      <c r="D441" s="22"/>
      <c r="E441" s="25"/>
      <c r="F441" s="22"/>
      <c r="G441" s="22"/>
      <c r="H441" s="22"/>
      <c r="I441" s="22"/>
      <c r="J441" s="13" t="str">
        <f t="array" ref="J441">IFERROR(INDEX(BasedatosM9!B:B, MATCH(A441, BasedatosM9!E:E, 0)), "")</f>
        <v/>
      </c>
      <c r="K441" s="5" t="str">
        <f t="shared" si="1"/>
        <v/>
      </c>
    </row>
    <row r="442" spans="1:11" ht="14.4">
      <c r="A442" s="23"/>
      <c r="B442" s="22"/>
      <c r="C442" s="24"/>
      <c r="D442" s="22"/>
      <c r="E442" s="25"/>
      <c r="F442" s="22"/>
      <c r="G442" s="22"/>
      <c r="H442" s="22"/>
      <c r="I442" s="22"/>
      <c r="J442" s="13" t="str">
        <f t="array" ref="J442">IFERROR(INDEX(BasedatosM9!B:B, MATCH(A442, BasedatosM9!E:E, 0)), "")</f>
        <v/>
      </c>
      <c r="K442" s="5" t="str">
        <f t="shared" si="1"/>
        <v/>
      </c>
    </row>
    <row r="443" spans="1:11" ht="14.4">
      <c r="A443" s="23"/>
      <c r="B443" s="22"/>
      <c r="C443" s="24"/>
      <c r="D443" s="22"/>
      <c r="E443" s="25"/>
      <c r="F443" s="22"/>
      <c r="G443" s="22"/>
      <c r="H443" s="22"/>
      <c r="I443" s="22"/>
      <c r="J443" s="13" t="str">
        <f t="array" ref="J443">IFERROR(INDEX(BasedatosM9!B:B, MATCH(A443, BasedatosM9!E:E, 0)), "")</f>
        <v/>
      </c>
      <c r="K443" s="5" t="str">
        <f t="shared" si="1"/>
        <v/>
      </c>
    </row>
    <row r="444" spans="1:11" ht="14.4">
      <c r="A444" s="23"/>
      <c r="B444" s="22"/>
      <c r="C444" s="24"/>
      <c r="D444" s="22"/>
      <c r="E444" s="25"/>
      <c r="F444" s="22"/>
      <c r="G444" s="22"/>
      <c r="H444" s="22"/>
      <c r="I444" s="22"/>
      <c r="J444" s="13" t="str">
        <f t="array" ref="J444">IFERROR(INDEX(BasedatosM9!B:B, MATCH(A444, BasedatosM9!E:E, 0)), "")</f>
        <v/>
      </c>
      <c r="K444" s="5" t="str">
        <f t="shared" si="1"/>
        <v/>
      </c>
    </row>
    <row r="445" spans="1:11" ht="14.4">
      <c r="A445" s="23"/>
      <c r="B445" s="22"/>
      <c r="C445" s="24"/>
      <c r="D445" s="22"/>
      <c r="E445" s="25"/>
      <c r="F445" s="22"/>
      <c r="G445" s="22"/>
      <c r="H445" s="22"/>
      <c r="I445" s="22"/>
      <c r="J445" s="13" t="str">
        <f t="array" ref="J445">IFERROR(INDEX(BasedatosM9!B:B, MATCH(A445, BasedatosM9!E:E, 0)), "")</f>
        <v/>
      </c>
      <c r="K445" s="5" t="str">
        <f t="shared" si="1"/>
        <v/>
      </c>
    </row>
    <row r="446" spans="1:11" ht="14.4">
      <c r="A446" s="23"/>
      <c r="B446" s="22"/>
      <c r="C446" s="24"/>
      <c r="D446" s="22"/>
      <c r="E446" s="25"/>
      <c r="F446" s="22"/>
      <c r="G446" s="22"/>
      <c r="H446" s="22"/>
      <c r="I446" s="22"/>
      <c r="J446" s="13" t="str">
        <f t="array" ref="J446">IFERROR(INDEX(BasedatosM9!B:B, MATCH(A446, BasedatosM9!E:E, 0)), "")</f>
        <v/>
      </c>
      <c r="K446" s="5" t="str">
        <f t="shared" si="1"/>
        <v/>
      </c>
    </row>
    <row r="447" spans="1:11" ht="14.4">
      <c r="A447" s="23"/>
      <c r="B447" s="22"/>
      <c r="C447" s="24"/>
      <c r="D447" s="22"/>
      <c r="E447" s="25"/>
      <c r="F447" s="22"/>
      <c r="G447" s="22"/>
      <c r="H447" s="22"/>
      <c r="I447" s="22"/>
      <c r="J447" s="13" t="str">
        <f t="array" ref="J447">IFERROR(INDEX(BasedatosM9!B:B, MATCH(A447, BasedatosM9!E:E, 0)), "")</f>
        <v/>
      </c>
      <c r="K447" s="5" t="str">
        <f t="shared" si="1"/>
        <v/>
      </c>
    </row>
    <row r="448" spans="1:11" ht="14.4">
      <c r="A448" s="23"/>
      <c r="B448" s="22"/>
      <c r="C448" s="24"/>
      <c r="D448" s="22"/>
      <c r="E448" s="25"/>
      <c r="F448" s="22"/>
      <c r="G448" s="22"/>
      <c r="H448" s="22"/>
      <c r="I448" s="22"/>
      <c r="J448" s="13" t="str">
        <f t="array" ref="J448">IFERROR(INDEX(BasedatosM9!B:B, MATCH(A448, BasedatosM9!E:E, 0)), "")</f>
        <v/>
      </c>
      <c r="K448" s="5" t="str">
        <f t="shared" si="1"/>
        <v/>
      </c>
    </row>
    <row r="449" spans="1:11" ht="14.4">
      <c r="A449" s="23"/>
      <c r="B449" s="22"/>
      <c r="C449" s="24"/>
      <c r="D449" s="22"/>
      <c r="E449" s="25"/>
      <c r="F449" s="22"/>
      <c r="G449" s="22"/>
      <c r="H449" s="22"/>
      <c r="I449" s="22"/>
      <c r="J449" s="13" t="str">
        <f t="array" ref="J449">IFERROR(INDEX(BasedatosM9!B:B, MATCH(A449, BasedatosM9!E:E, 0)), "")</f>
        <v/>
      </c>
      <c r="K449" s="5" t="str">
        <f t="shared" si="1"/>
        <v/>
      </c>
    </row>
    <row r="450" spans="1:11" ht="14.4">
      <c r="A450" s="23"/>
      <c r="B450" s="22"/>
      <c r="C450" s="24"/>
      <c r="D450" s="22"/>
      <c r="E450" s="25"/>
      <c r="F450" s="22"/>
      <c r="G450" s="22"/>
      <c r="H450" s="22"/>
      <c r="I450" s="22"/>
      <c r="J450" s="13" t="str">
        <f t="array" ref="J450">IFERROR(INDEX(BasedatosM9!B:B, MATCH(A450, BasedatosM9!E:E, 0)), "")</f>
        <v/>
      </c>
      <c r="K450" s="5" t="str">
        <f t="shared" si="1"/>
        <v/>
      </c>
    </row>
    <row r="451" spans="1:11" ht="14.4">
      <c r="A451" s="23"/>
      <c r="B451" s="22"/>
      <c r="C451" s="24"/>
      <c r="D451" s="22"/>
      <c r="E451" s="25"/>
      <c r="F451" s="22"/>
      <c r="G451" s="22"/>
      <c r="H451" s="22"/>
      <c r="I451" s="22"/>
      <c r="J451" s="13" t="str">
        <f t="array" ref="J451">IFERROR(INDEX(BasedatosM9!B:B, MATCH(A451, BasedatosM9!E:E, 0)), "")</f>
        <v/>
      </c>
      <c r="K451" s="5" t="str">
        <f t="shared" si="1"/>
        <v/>
      </c>
    </row>
    <row r="452" spans="1:11" ht="14.4">
      <c r="A452" s="23"/>
      <c r="B452" s="22"/>
      <c r="C452" s="24"/>
      <c r="D452" s="22"/>
      <c r="E452" s="25"/>
      <c r="F452" s="22"/>
      <c r="G452" s="22"/>
      <c r="H452" s="22"/>
      <c r="I452" s="22"/>
      <c r="J452" s="13" t="str">
        <f t="array" ref="J452">IFERROR(INDEX(BasedatosM9!B:B, MATCH(A452, BasedatosM9!E:E, 0)), "")</f>
        <v/>
      </c>
      <c r="K452" s="5" t="str">
        <f t="shared" si="1"/>
        <v/>
      </c>
    </row>
    <row r="453" spans="1:11" ht="14.4">
      <c r="A453" s="23"/>
      <c r="B453" s="22"/>
      <c r="C453" s="24"/>
      <c r="D453" s="22"/>
      <c r="E453" s="25"/>
      <c r="F453" s="22"/>
      <c r="G453" s="22"/>
      <c r="H453" s="22"/>
      <c r="I453" s="22"/>
      <c r="J453" s="13" t="str">
        <f t="array" ref="J453">IFERROR(INDEX(BasedatosM9!B:B, MATCH(A453, BasedatosM9!E:E, 0)), "")</f>
        <v/>
      </c>
      <c r="K453" s="5" t="str">
        <f t="shared" si="1"/>
        <v/>
      </c>
    </row>
    <row r="454" spans="1:11" ht="14.4">
      <c r="A454" s="23"/>
      <c r="B454" s="22"/>
      <c r="C454" s="24"/>
      <c r="D454" s="22"/>
      <c r="E454" s="25"/>
      <c r="F454" s="22"/>
      <c r="G454" s="22"/>
      <c r="H454" s="22"/>
      <c r="I454" s="22"/>
      <c r="J454" s="13" t="str">
        <f t="array" ref="J454">IFERROR(INDEX(BasedatosM9!B:B, MATCH(A454, BasedatosM9!E:E, 0)), "")</f>
        <v/>
      </c>
      <c r="K454" s="5" t="str">
        <f t="shared" si="1"/>
        <v/>
      </c>
    </row>
    <row r="455" spans="1:11" ht="14.4">
      <c r="A455" s="23"/>
      <c r="B455" s="22"/>
      <c r="C455" s="24"/>
      <c r="D455" s="22"/>
      <c r="E455" s="25"/>
      <c r="F455" s="22"/>
      <c r="G455" s="22"/>
      <c r="H455" s="22"/>
      <c r="I455" s="22"/>
      <c r="J455" s="13" t="str">
        <f t="array" ref="J455">IFERROR(INDEX(BasedatosM9!B:B, MATCH(A455, BasedatosM9!E:E, 0)), "")</f>
        <v/>
      </c>
      <c r="K455" s="5" t="str">
        <f t="shared" si="1"/>
        <v/>
      </c>
    </row>
    <row r="456" spans="1:11" ht="14.4">
      <c r="A456" s="23"/>
      <c r="B456" s="22"/>
      <c r="C456" s="24"/>
      <c r="D456" s="22"/>
      <c r="E456" s="25"/>
      <c r="F456" s="22"/>
      <c r="G456" s="22"/>
      <c r="H456" s="22"/>
      <c r="I456" s="22"/>
      <c r="J456" s="13" t="str">
        <f t="array" ref="J456">IFERROR(INDEX(BasedatosM9!B:B, MATCH(A456, BasedatosM9!E:E, 0)), "")</f>
        <v/>
      </c>
      <c r="K456" s="5" t="str">
        <f t="shared" si="1"/>
        <v/>
      </c>
    </row>
    <row r="457" spans="1:11" ht="14.4">
      <c r="A457" s="23"/>
      <c r="B457" s="22"/>
      <c r="C457" s="24"/>
      <c r="D457" s="22"/>
      <c r="E457" s="25"/>
      <c r="F457" s="22"/>
      <c r="G457" s="22"/>
      <c r="H457" s="22"/>
      <c r="I457" s="22"/>
      <c r="J457" s="13" t="str">
        <f t="array" ref="J457">IFERROR(INDEX(BasedatosM9!B:B, MATCH(A457, BasedatosM9!E:E, 0)), "")</f>
        <v/>
      </c>
      <c r="K457" s="5" t="str">
        <f t="shared" si="1"/>
        <v/>
      </c>
    </row>
    <row r="458" spans="1:11" ht="14.4">
      <c r="A458" s="23"/>
      <c r="B458" s="22"/>
      <c r="C458" s="24"/>
      <c r="D458" s="22"/>
      <c r="E458" s="25"/>
      <c r="F458" s="22"/>
      <c r="G458" s="22"/>
      <c r="H458" s="22"/>
      <c r="I458" s="22"/>
      <c r="J458" s="13" t="str">
        <f t="array" ref="J458">IFERROR(INDEX(BasedatosM9!B:B, MATCH(A458, BasedatosM9!E:E, 0)), "")</f>
        <v/>
      </c>
      <c r="K458" s="5" t="str">
        <f t="shared" si="1"/>
        <v/>
      </c>
    </row>
    <row r="459" spans="1:11" ht="14.4">
      <c r="A459" s="23"/>
      <c r="B459" s="22"/>
      <c r="C459" s="24"/>
      <c r="D459" s="22"/>
      <c r="E459" s="25"/>
      <c r="F459" s="22"/>
      <c r="G459" s="22"/>
      <c r="H459" s="22"/>
      <c r="I459" s="22"/>
      <c r="J459" s="13" t="str">
        <f t="array" ref="J459">IFERROR(INDEX(BasedatosM9!B:B, MATCH(A459, BasedatosM9!E:E, 0)), "")</f>
        <v/>
      </c>
      <c r="K459" s="5" t="str">
        <f t="shared" si="1"/>
        <v/>
      </c>
    </row>
    <row r="460" spans="1:11" ht="14.4">
      <c r="A460" s="23"/>
      <c r="B460" s="22"/>
      <c r="C460" s="24"/>
      <c r="D460" s="22"/>
      <c r="E460" s="25"/>
      <c r="F460" s="22"/>
      <c r="G460" s="22"/>
      <c r="H460" s="22"/>
      <c r="I460" s="22"/>
      <c r="J460" s="13" t="str">
        <f t="array" ref="J460">IFERROR(INDEX(BasedatosM9!B:B, MATCH(A460, BasedatosM9!E:E, 0)), "")</f>
        <v/>
      </c>
      <c r="K460" s="5" t="str">
        <f t="shared" si="1"/>
        <v/>
      </c>
    </row>
    <row r="461" spans="1:11" ht="14.4">
      <c r="A461" s="23"/>
      <c r="B461" s="22"/>
      <c r="C461" s="24"/>
      <c r="D461" s="22"/>
      <c r="E461" s="25"/>
      <c r="F461" s="22"/>
      <c r="G461" s="22"/>
      <c r="H461" s="22"/>
      <c r="I461" s="22"/>
      <c r="J461" s="13" t="str">
        <f t="array" ref="J461">IFERROR(INDEX(BasedatosM9!B:B, MATCH(A461, BasedatosM9!E:E, 0)), "")</f>
        <v/>
      </c>
      <c r="K461" s="5" t="str">
        <f t="shared" si="1"/>
        <v/>
      </c>
    </row>
    <row r="462" spans="1:11" ht="14.4">
      <c r="A462" s="23"/>
      <c r="B462" s="22"/>
      <c r="C462" s="24"/>
      <c r="D462" s="22"/>
      <c r="E462" s="25"/>
      <c r="F462" s="22"/>
      <c r="G462" s="22"/>
      <c r="H462" s="22"/>
      <c r="I462" s="22"/>
      <c r="J462" s="13" t="str">
        <f t="array" ref="J462">IFERROR(INDEX(BasedatosM9!B:B, MATCH(A462, BasedatosM9!E:E, 0)), "")</f>
        <v/>
      </c>
      <c r="K462" s="5" t="str">
        <f t="shared" si="1"/>
        <v/>
      </c>
    </row>
    <row r="463" spans="1:11" ht="14.4">
      <c r="A463" s="23"/>
      <c r="B463" s="22"/>
      <c r="C463" s="24"/>
      <c r="D463" s="22"/>
      <c r="E463" s="25"/>
      <c r="F463" s="22"/>
      <c r="G463" s="22"/>
      <c r="H463" s="22"/>
      <c r="I463" s="22"/>
      <c r="J463" s="13" t="str">
        <f t="array" ref="J463">IFERROR(INDEX(BasedatosM9!B:B, MATCH(A463, BasedatosM9!E:E, 0)), "")</f>
        <v/>
      </c>
      <c r="K463" s="5" t="str">
        <f t="shared" si="1"/>
        <v/>
      </c>
    </row>
    <row r="464" spans="1:11" ht="14.4">
      <c r="A464" s="23"/>
      <c r="B464" s="22"/>
      <c r="C464" s="24"/>
      <c r="D464" s="22"/>
      <c r="E464" s="25"/>
      <c r="F464" s="22"/>
      <c r="G464" s="22"/>
      <c r="H464" s="22"/>
      <c r="I464" s="22"/>
      <c r="J464" s="13" t="str">
        <f t="array" ref="J464">IFERROR(INDEX(BasedatosM9!B:B, MATCH(A464, BasedatosM9!E:E, 0)), "")</f>
        <v/>
      </c>
      <c r="K464" s="5" t="str">
        <f t="shared" si="1"/>
        <v/>
      </c>
    </row>
    <row r="465" spans="1:11" ht="14.4">
      <c r="A465" s="23"/>
      <c r="B465" s="22"/>
      <c r="C465" s="24"/>
      <c r="D465" s="22"/>
      <c r="E465" s="25"/>
      <c r="F465" s="22"/>
      <c r="G465" s="22"/>
      <c r="H465" s="22"/>
      <c r="I465" s="22"/>
      <c r="J465" s="13" t="str">
        <f t="array" ref="J465">IFERROR(INDEX(BasedatosM9!B:B, MATCH(A465, BasedatosM9!E:E, 0)), "")</f>
        <v/>
      </c>
      <c r="K465" s="5" t="str">
        <f t="shared" si="1"/>
        <v/>
      </c>
    </row>
    <row r="466" spans="1:11" ht="14.4">
      <c r="A466" s="23"/>
      <c r="B466" s="22"/>
      <c r="C466" s="24"/>
      <c r="D466" s="22"/>
      <c r="E466" s="25"/>
      <c r="F466" s="22"/>
      <c r="G466" s="22"/>
      <c r="H466" s="22"/>
      <c r="I466" s="22"/>
      <c r="J466" s="13" t="str">
        <f t="array" ref="J466">IFERROR(INDEX(BasedatosM9!B:B, MATCH(A466, BasedatosM9!E:E, 0)), "")</f>
        <v/>
      </c>
      <c r="K466" s="5" t="str">
        <f t="shared" si="1"/>
        <v/>
      </c>
    </row>
    <row r="467" spans="1:11" ht="14.4">
      <c r="A467" s="23"/>
      <c r="B467" s="22"/>
      <c r="C467" s="24"/>
      <c r="D467" s="22"/>
      <c r="E467" s="25"/>
      <c r="F467" s="22"/>
      <c r="G467" s="22"/>
      <c r="H467" s="22"/>
      <c r="I467" s="22"/>
      <c r="J467" s="13" t="str">
        <f t="array" ref="J467">IFERROR(INDEX(BasedatosM9!B:B, MATCH(A467, BasedatosM9!E:E, 0)), "")</f>
        <v/>
      </c>
      <c r="K467" s="5" t="str">
        <f t="shared" si="1"/>
        <v/>
      </c>
    </row>
    <row r="468" spans="1:11" ht="14.4">
      <c r="A468" s="23"/>
      <c r="B468" s="22"/>
      <c r="C468" s="24"/>
      <c r="D468" s="22"/>
      <c r="E468" s="25"/>
      <c r="F468" s="22"/>
      <c r="G468" s="22"/>
      <c r="H468" s="22"/>
      <c r="I468" s="22"/>
      <c r="J468" s="13" t="str">
        <f t="array" ref="J468">IFERROR(INDEX(BasedatosM9!B:B, MATCH(A468, BasedatosM9!E:E, 0)), "")</f>
        <v/>
      </c>
      <c r="K468" s="5" t="str">
        <f t="shared" si="1"/>
        <v/>
      </c>
    </row>
    <row r="469" spans="1:11" ht="14.4">
      <c r="A469" s="23"/>
      <c r="B469" s="22"/>
      <c r="C469" s="24"/>
      <c r="D469" s="22"/>
      <c r="E469" s="25"/>
      <c r="F469" s="22"/>
      <c r="G469" s="22"/>
      <c r="H469" s="22"/>
      <c r="I469" s="22"/>
      <c r="J469" s="13" t="str">
        <f t="array" ref="J469">IFERROR(INDEX(BasedatosM9!B:B, MATCH(A469, BasedatosM9!E:E, 0)), "")</f>
        <v/>
      </c>
      <c r="K469" s="5" t="str">
        <f t="shared" si="1"/>
        <v/>
      </c>
    </row>
    <row r="470" spans="1:11" ht="14.4">
      <c r="A470" s="23"/>
      <c r="B470" s="22"/>
      <c r="C470" s="24"/>
      <c r="D470" s="22"/>
      <c r="E470" s="25"/>
      <c r="F470" s="22"/>
      <c r="G470" s="22"/>
      <c r="H470" s="22"/>
      <c r="I470" s="22"/>
      <c r="J470" s="13" t="str">
        <f t="array" ref="J470">IFERROR(INDEX(BasedatosM9!B:B, MATCH(A470, BasedatosM9!E:E, 0)), "")</f>
        <v/>
      </c>
      <c r="K470" s="5" t="str">
        <f t="shared" si="1"/>
        <v/>
      </c>
    </row>
    <row r="471" spans="1:11" ht="14.4">
      <c r="A471" s="23"/>
      <c r="B471" s="22"/>
      <c r="C471" s="24"/>
      <c r="D471" s="22"/>
      <c r="E471" s="25"/>
      <c r="F471" s="22"/>
      <c r="G471" s="22"/>
      <c r="H471" s="22"/>
      <c r="I471" s="22"/>
      <c r="J471" s="13" t="str">
        <f t="array" ref="J471">IFERROR(INDEX(BasedatosM9!B:B, MATCH(A471, BasedatosM9!E:E, 0)), "")</f>
        <v/>
      </c>
      <c r="K471" s="5" t="str">
        <f t="shared" si="1"/>
        <v/>
      </c>
    </row>
    <row r="472" spans="1:11" ht="14.4">
      <c r="A472" s="23"/>
      <c r="B472" s="22"/>
      <c r="C472" s="24"/>
      <c r="D472" s="22"/>
      <c r="E472" s="25"/>
      <c r="F472" s="22"/>
      <c r="G472" s="22"/>
      <c r="H472" s="22"/>
      <c r="I472" s="22"/>
      <c r="J472" s="13" t="str">
        <f t="array" ref="J472">IFERROR(INDEX(BasedatosM9!B:B, MATCH(A472, BasedatosM9!E:E, 0)), "")</f>
        <v/>
      </c>
      <c r="K472" s="5" t="str">
        <f t="shared" si="1"/>
        <v/>
      </c>
    </row>
    <row r="473" spans="1:11" ht="14.4">
      <c r="A473" s="23"/>
      <c r="B473" s="22"/>
      <c r="C473" s="24"/>
      <c r="D473" s="22"/>
      <c r="E473" s="25"/>
      <c r="F473" s="22"/>
      <c r="G473" s="22"/>
      <c r="H473" s="22"/>
      <c r="I473" s="22"/>
      <c r="J473" s="13" t="str">
        <f t="array" ref="J473">IFERROR(INDEX(BasedatosM9!B:B, MATCH(A473, BasedatosM9!E:E, 0)), "")</f>
        <v/>
      </c>
      <c r="K473" s="5" t="str">
        <f t="shared" si="1"/>
        <v/>
      </c>
    </row>
    <row r="474" spans="1:11" ht="14.4">
      <c r="A474" s="23"/>
      <c r="B474" s="22"/>
      <c r="C474" s="24"/>
      <c r="D474" s="22"/>
      <c r="E474" s="25"/>
      <c r="F474" s="22"/>
      <c r="G474" s="22"/>
      <c r="H474" s="22"/>
      <c r="I474" s="22"/>
      <c r="J474" s="13" t="str">
        <f t="array" ref="J474">IFERROR(INDEX(BasedatosM9!B:B, MATCH(A474, BasedatosM9!E:E, 0)), "")</f>
        <v/>
      </c>
      <c r="K474" s="5" t="str">
        <f t="shared" si="1"/>
        <v/>
      </c>
    </row>
    <row r="475" spans="1:11" ht="14.4">
      <c r="A475" s="23"/>
      <c r="B475" s="22"/>
      <c r="C475" s="24"/>
      <c r="D475" s="22"/>
      <c r="E475" s="25"/>
      <c r="F475" s="22"/>
      <c r="G475" s="22"/>
      <c r="H475" s="22"/>
      <c r="I475" s="22"/>
      <c r="J475" s="13" t="str">
        <f t="array" ref="J475">IFERROR(INDEX(BasedatosM9!B:B, MATCH(A475, BasedatosM9!E:E, 0)), "")</f>
        <v/>
      </c>
      <c r="K475" s="5" t="str">
        <f t="shared" si="1"/>
        <v/>
      </c>
    </row>
    <row r="476" spans="1:11" ht="14.4">
      <c r="A476" s="23"/>
      <c r="B476" s="22"/>
      <c r="C476" s="24"/>
      <c r="D476" s="22"/>
      <c r="E476" s="25"/>
      <c r="F476" s="22"/>
      <c r="G476" s="22"/>
      <c r="H476" s="22"/>
      <c r="I476" s="22"/>
      <c r="J476" s="13" t="str">
        <f t="array" ref="J476">IFERROR(INDEX(BasedatosM9!B:B, MATCH(A476, BasedatosM9!E:E, 0)), "")</f>
        <v/>
      </c>
      <c r="K476" s="5" t="str">
        <f t="shared" si="1"/>
        <v/>
      </c>
    </row>
    <row r="477" spans="1:11" ht="14.4">
      <c r="A477" s="23"/>
      <c r="B477" s="22"/>
      <c r="C477" s="24"/>
      <c r="D477" s="22"/>
      <c r="E477" s="25"/>
      <c r="F477" s="22"/>
      <c r="G477" s="22"/>
      <c r="H477" s="22"/>
      <c r="I477" s="22"/>
      <c r="J477" s="13" t="str">
        <f t="array" ref="J477">IFERROR(INDEX(BasedatosM9!B:B, MATCH(A477, BasedatosM9!E:E, 0)), "")</f>
        <v/>
      </c>
      <c r="K477" s="5" t="str">
        <f t="shared" si="1"/>
        <v/>
      </c>
    </row>
    <row r="478" spans="1:11" ht="14.4">
      <c r="A478" s="23"/>
      <c r="B478" s="22"/>
      <c r="C478" s="24"/>
      <c r="D478" s="22"/>
      <c r="E478" s="25"/>
      <c r="F478" s="22"/>
      <c r="G478" s="22"/>
      <c r="H478" s="22"/>
      <c r="I478" s="22"/>
      <c r="J478" s="13" t="str">
        <f t="array" ref="J478">IFERROR(INDEX(BasedatosM9!B:B, MATCH(A478, BasedatosM9!E:E, 0)), "")</f>
        <v/>
      </c>
      <c r="K478" s="5" t="str">
        <f t="shared" si="1"/>
        <v/>
      </c>
    </row>
    <row r="479" spans="1:11" ht="14.4">
      <c r="A479" s="23"/>
      <c r="B479" s="22"/>
      <c r="C479" s="24"/>
      <c r="D479" s="22"/>
      <c r="E479" s="25"/>
      <c r="F479" s="22"/>
      <c r="G479" s="22"/>
      <c r="H479" s="22"/>
      <c r="I479" s="22"/>
      <c r="J479" s="13" t="str">
        <f t="array" ref="J479">IFERROR(INDEX(BasedatosM9!B:B, MATCH(A479, BasedatosM9!E:E, 0)), "")</f>
        <v/>
      </c>
      <c r="K479" s="5" t="str">
        <f t="shared" si="1"/>
        <v/>
      </c>
    </row>
    <row r="480" spans="1:11" ht="14.4">
      <c r="A480" s="23"/>
      <c r="B480" s="22"/>
      <c r="C480" s="24"/>
      <c r="D480" s="22"/>
      <c r="E480" s="25"/>
      <c r="F480" s="22"/>
      <c r="G480" s="22"/>
      <c r="H480" s="22"/>
      <c r="I480" s="22"/>
      <c r="J480" s="13" t="str">
        <f t="array" ref="J480">IFERROR(INDEX(BasedatosM9!B:B, MATCH(A480, BasedatosM9!E:E, 0)), "")</f>
        <v/>
      </c>
      <c r="K480" s="5" t="str">
        <f t="shared" si="1"/>
        <v/>
      </c>
    </row>
    <row r="481" spans="1:11" ht="14.4">
      <c r="A481" s="23"/>
      <c r="B481" s="22"/>
      <c r="C481" s="24"/>
      <c r="D481" s="22"/>
      <c r="E481" s="25"/>
      <c r="F481" s="22"/>
      <c r="G481" s="22"/>
      <c r="H481" s="22"/>
      <c r="I481" s="22"/>
      <c r="J481" s="13" t="str">
        <f t="array" ref="J481">IFERROR(INDEX(BasedatosM9!B:B, MATCH(A481, BasedatosM9!E:E, 0)), "")</f>
        <v/>
      </c>
      <c r="K481" s="5" t="str">
        <f t="shared" si="1"/>
        <v/>
      </c>
    </row>
    <row r="482" spans="1:11" ht="14.4">
      <c r="A482" s="23"/>
      <c r="B482" s="22"/>
      <c r="C482" s="24"/>
      <c r="D482" s="22"/>
      <c r="E482" s="25"/>
      <c r="F482" s="22"/>
      <c r="G482" s="22"/>
      <c r="H482" s="22"/>
      <c r="I482" s="22"/>
      <c r="J482" s="13" t="str">
        <f t="array" ref="J482">IFERROR(INDEX(BasedatosM9!B:B, MATCH(A482, BasedatosM9!E:E, 0)), "")</f>
        <v/>
      </c>
      <c r="K482" s="5" t="str">
        <f t="shared" si="1"/>
        <v/>
      </c>
    </row>
    <row r="483" spans="1:11" ht="14.4">
      <c r="A483" s="23"/>
      <c r="B483" s="22"/>
      <c r="C483" s="24"/>
      <c r="D483" s="22"/>
      <c r="E483" s="25"/>
      <c r="F483" s="22"/>
      <c r="G483" s="22"/>
      <c r="H483" s="22"/>
      <c r="I483" s="22"/>
      <c r="J483" s="13" t="str">
        <f t="array" ref="J483">IFERROR(INDEX(BasedatosM9!B:B, MATCH(A483, BasedatosM9!E:E, 0)), "")</f>
        <v/>
      </c>
      <c r="K483" s="5" t="str">
        <f t="shared" si="1"/>
        <v/>
      </c>
    </row>
    <row r="484" spans="1:11" ht="14.4">
      <c r="A484" s="23"/>
      <c r="B484" s="22"/>
      <c r="C484" s="24"/>
      <c r="D484" s="22"/>
      <c r="E484" s="25"/>
      <c r="F484" s="22"/>
      <c r="G484" s="22"/>
      <c r="H484" s="22"/>
      <c r="I484" s="22"/>
      <c r="J484" s="13" t="str">
        <f t="array" ref="J484">IFERROR(INDEX(BasedatosM9!B:B, MATCH(A484, BasedatosM9!E:E, 0)), "")</f>
        <v/>
      </c>
      <c r="K484" s="5" t="str">
        <f t="shared" si="1"/>
        <v/>
      </c>
    </row>
    <row r="485" spans="1:11" ht="14.4">
      <c r="A485" s="23"/>
      <c r="B485" s="22"/>
      <c r="C485" s="24"/>
      <c r="D485" s="22"/>
      <c r="E485" s="25"/>
      <c r="F485" s="22"/>
      <c r="G485" s="22"/>
      <c r="H485" s="22"/>
      <c r="I485" s="22"/>
      <c r="J485" s="13" t="str">
        <f t="array" ref="J485">IFERROR(INDEX(BasedatosM9!B:B, MATCH(A485, BasedatosM9!E:E, 0)), "")</f>
        <v/>
      </c>
      <c r="K485" s="5" t="str">
        <f t="shared" si="1"/>
        <v/>
      </c>
    </row>
    <row r="486" spans="1:11" ht="14.4">
      <c r="A486" s="23"/>
      <c r="B486" s="22"/>
      <c r="C486" s="24"/>
      <c r="D486" s="22"/>
      <c r="E486" s="25"/>
      <c r="F486" s="22"/>
      <c r="G486" s="22"/>
      <c r="H486" s="22"/>
      <c r="I486" s="22"/>
      <c r="J486" s="13" t="str">
        <f t="array" ref="J486">IFERROR(INDEX(BasedatosM9!B:B, MATCH(A486, BasedatosM9!E:E, 0)), "")</f>
        <v/>
      </c>
      <c r="K486" s="5" t="str">
        <f t="shared" si="1"/>
        <v/>
      </c>
    </row>
    <row r="487" spans="1:11" ht="14.4">
      <c r="A487" s="23"/>
      <c r="B487" s="22"/>
      <c r="C487" s="24"/>
      <c r="D487" s="22"/>
      <c r="E487" s="25"/>
      <c r="F487" s="22"/>
      <c r="G487" s="22"/>
      <c r="H487" s="22"/>
      <c r="I487" s="22"/>
      <c r="J487" s="13" t="str">
        <f t="array" ref="J487">IFERROR(INDEX(BasedatosM9!B:B, MATCH(A487, BasedatosM9!E:E, 0)), "")</f>
        <v/>
      </c>
      <c r="K487" s="5" t="str">
        <f t="shared" si="1"/>
        <v/>
      </c>
    </row>
    <row r="488" spans="1:11" ht="14.4">
      <c r="A488" s="23"/>
      <c r="B488" s="22"/>
      <c r="C488" s="24"/>
      <c r="D488" s="22"/>
      <c r="E488" s="25"/>
      <c r="F488" s="22"/>
      <c r="G488" s="22"/>
      <c r="H488" s="22"/>
      <c r="I488" s="22"/>
      <c r="J488" s="13" t="str">
        <f t="array" ref="J488">IFERROR(INDEX(BasedatosM9!B:B, MATCH(A488, BasedatosM9!E:E, 0)), "")</f>
        <v/>
      </c>
      <c r="K488" s="5" t="str">
        <f t="shared" si="1"/>
        <v/>
      </c>
    </row>
    <row r="489" spans="1:11" ht="14.4">
      <c r="A489" s="23"/>
      <c r="B489" s="22"/>
      <c r="C489" s="24"/>
      <c r="D489" s="22"/>
      <c r="E489" s="25"/>
      <c r="F489" s="22"/>
      <c r="G489" s="22"/>
      <c r="H489" s="22"/>
      <c r="I489" s="22"/>
      <c r="J489" s="13" t="str">
        <f t="array" ref="J489">IFERROR(INDEX(BasedatosM9!B:B, MATCH(A489, BasedatosM9!E:E, 0)), "")</f>
        <v/>
      </c>
      <c r="K489" s="5" t="str">
        <f t="shared" si="1"/>
        <v/>
      </c>
    </row>
    <row r="490" spans="1:11" ht="14.4">
      <c r="A490" s="23"/>
      <c r="B490" s="22"/>
      <c r="C490" s="24"/>
      <c r="D490" s="22"/>
      <c r="E490" s="25"/>
      <c r="F490" s="22"/>
      <c r="G490" s="22"/>
      <c r="H490" s="22"/>
      <c r="I490" s="22"/>
      <c r="J490" s="13" t="str">
        <f t="array" ref="J490">IFERROR(INDEX(BasedatosM9!B:B, MATCH(A490, BasedatosM9!E:E, 0)), "")</f>
        <v/>
      </c>
      <c r="K490" s="5" t="str">
        <f t="shared" si="1"/>
        <v/>
      </c>
    </row>
    <row r="491" spans="1:11" ht="14.4">
      <c r="A491" s="23"/>
      <c r="B491" s="22"/>
      <c r="C491" s="24"/>
      <c r="D491" s="22"/>
      <c r="E491" s="25"/>
      <c r="F491" s="22"/>
      <c r="G491" s="22"/>
      <c r="H491" s="22"/>
      <c r="I491" s="22"/>
      <c r="J491" s="13" t="str">
        <f t="array" ref="J491">IFERROR(INDEX(BasedatosM9!B:B, MATCH(A491, BasedatosM9!E:E, 0)), "")</f>
        <v/>
      </c>
      <c r="K491" s="5" t="str">
        <f t="shared" si="1"/>
        <v/>
      </c>
    </row>
    <row r="492" spans="1:11" ht="14.4">
      <c r="A492" s="23"/>
      <c r="B492" s="22"/>
      <c r="C492" s="24"/>
      <c r="D492" s="22"/>
      <c r="E492" s="25"/>
      <c r="F492" s="22"/>
      <c r="G492" s="22"/>
      <c r="H492" s="22"/>
      <c r="I492" s="22"/>
      <c r="J492" s="13" t="str">
        <f t="array" ref="J492">IFERROR(INDEX(BasedatosM9!B:B, MATCH(A492, BasedatosM9!E:E, 0)), "")</f>
        <v/>
      </c>
      <c r="K492" s="5" t="str">
        <f t="shared" si="1"/>
        <v/>
      </c>
    </row>
    <row r="493" spans="1:11" ht="14.4">
      <c r="A493" s="23"/>
      <c r="B493" s="22"/>
      <c r="C493" s="24"/>
      <c r="D493" s="22"/>
      <c r="E493" s="25"/>
      <c r="F493" s="22"/>
      <c r="G493" s="22"/>
      <c r="H493" s="22"/>
      <c r="I493" s="22"/>
      <c r="J493" s="13" t="str">
        <f t="array" ref="J493">IFERROR(INDEX(BasedatosM9!B:B, MATCH(A493, BasedatosM9!E:E, 0)), "")</f>
        <v/>
      </c>
      <c r="K493" s="5" t="str">
        <f t="shared" si="1"/>
        <v/>
      </c>
    </row>
    <row r="494" spans="1:11" ht="14.4">
      <c r="A494" s="23"/>
      <c r="B494" s="22"/>
      <c r="C494" s="24"/>
      <c r="D494" s="22"/>
      <c r="E494" s="25"/>
      <c r="F494" s="22"/>
      <c r="G494" s="22"/>
      <c r="H494" s="22"/>
      <c r="I494" s="22"/>
      <c r="J494" s="13" t="str">
        <f t="array" ref="J494">IFERROR(INDEX(BasedatosM9!B:B, MATCH(A494, BasedatosM9!E:E, 0)), "")</f>
        <v/>
      </c>
      <c r="K494" s="5" t="str">
        <f t="shared" si="1"/>
        <v/>
      </c>
    </row>
    <row r="495" spans="1:11" ht="14.4">
      <c r="A495" s="23"/>
      <c r="B495" s="22"/>
      <c r="C495" s="24"/>
      <c r="D495" s="22"/>
      <c r="E495" s="25"/>
      <c r="F495" s="22"/>
      <c r="G495" s="22"/>
      <c r="H495" s="22"/>
      <c r="I495" s="22"/>
      <c r="J495" s="13" t="str">
        <f t="array" ref="J495">IFERROR(INDEX(BasedatosM9!B:B, MATCH(A495, BasedatosM9!E:E, 0)), "")</f>
        <v/>
      </c>
      <c r="K495" s="5" t="str">
        <f t="shared" si="1"/>
        <v/>
      </c>
    </row>
    <row r="496" spans="1:11" ht="14.4">
      <c r="A496" s="23"/>
      <c r="B496" s="22"/>
      <c r="C496" s="24"/>
      <c r="D496" s="22"/>
      <c r="E496" s="25"/>
      <c r="F496" s="22"/>
      <c r="G496" s="22"/>
      <c r="H496" s="22"/>
      <c r="I496" s="22"/>
      <c r="J496" s="13" t="str">
        <f t="array" ref="J496">IFERROR(INDEX(BasedatosM9!B:B, MATCH(A496, BasedatosM9!E:E, 0)), "")</f>
        <v/>
      </c>
      <c r="K496" s="5" t="str">
        <f t="shared" si="1"/>
        <v/>
      </c>
    </row>
    <row r="497" spans="1:11" ht="14.4">
      <c r="A497" s="23"/>
      <c r="B497" s="22"/>
      <c r="C497" s="24"/>
      <c r="D497" s="22"/>
      <c r="E497" s="25"/>
      <c r="F497" s="22"/>
      <c r="G497" s="22"/>
      <c r="H497" s="22"/>
      <c r="I497" s="22"/>
      <c r="J497" s="13" t="str">
        <f t="array" ref="J497">IFERROR(INDEX(BasedatosM9!B:B, MATCH(A497, BasedatosM9!E:E, 0)), "")</f>
        <v/>
      </c>
      <c r="K497" s="5" t="str">
        <f t="shared" si="1"/>
        <v/>
      </c>
    </row>
    <row r="498" spans="1:11" ht="14.4">
      <c r="A498" s="23"/>
      <c r="B498" s="22"/>
      <c r="C498" s="24"/>
      <c r="D498" s="22"/>
      <c r="E498" s="25"/>
      <c r="F498" s="22"/>
      <c r="G498" s="22"/>
      <c r="H498" s="22"/>
      <c r="I498" s="22"/>
      <c r="J498" s="13" t="str">
        <f t="array" ref="J498">IFERROR(INDEX(BasedatosM9!B:B, MATCH(A498, BasedatosM9!E:E, 0)), "")</f>
        <v/>
      </c>
      <c r="K498" s="5" t="str">
        <f t="shared" si="1"/>
        <v/>
      </c>
    </row>
    <row r="499" spans="1:11" ht="14.4">
      <c r="A499" s="23"/>
      <c r="B499" s="22"/>
      <c r="C499" s="24"/>
      <c r="D499" s="22"/>
      <c r="E499" s="25"/>
      <c r="F499" s="22"/>
      <c r="G499" s="22"/>
      <c r="H499" s="22"/>
      <c r="I499" s="22"/>
      <c r="J499" s="13" t="str">
        <f t="array" ref="J499">IFERROR(INDEX(BasedatosM9!B:B, MATCH(A499, BasedatosM9!E:E, 0)), "")</f>
        <v/>
      </c>
      <c r="K499" s="5" t="str">
        <f t="shared" si="1"/>
        <v/>
      </c>
    </row>
    <row r="500" spans="1:11" ht="14.4">
      <c r="A500" s="23"/>
      <c r="B500" s="22"/>
      <c r="C500" s="24"/>
      <c r="D500" s="22"/>
      <c r="E500" s="25"/>
      <c r="F500" s="22"/>
      <c r="G500" s="22"/>
      <c r="H500" s="22"/>
      <c r="I500" s="22"/>
      <c r="J500" s="13" t="str">
        <f t="array" ref="J500">IFERROR(INDEX(BasedatosM9!B:B, MATCH(A500, BasedatosM9!E:E, 0)), "")</f>
        <v/>
      </c>
      <c r="K500" s="5" t="str">
        <f t="shared" si="1"/>
        <v/>
      </c>
    </row>
    <row r="501" spans="1:11" ht="14.4">
      <c r="A501" s="23"/>
      <c r="B501" s="22"/>
      <c r="C501" s="24"/>
      <c r="D501" s="22"/>
      <c r="E501" s="25"/>
      <c r="F501" s="22"/>
      <c r="G501" s="22"/>
      <c r="H501" s="22"/>
      <c r="I501" s="22"/>
      <c r="J501" s="13" t="str">
        <f t="array" ref="J501">IFERROR(INDEX(BasedatosM9!B:B, MATCH(A501, BasedatosM9!E:E, 0)), "")</f>
        <v/>
      </c>
      <c r="K501" s="5" t="str">
        <f t="shared" si="1"/>
        <v/>
      </c>
    </row>
    <row r="502" spans="1:11" ht="14.4">
      <c r="A502" s="23"/>
      <c r="B502" s="22"/>
      <c r="C502" s="24"/>
      <c r="D502" s="22"/>
      <c r="E502" s="25"/>
      <c r="F502" s="22"/>
      <c r="G502" s="22"/>
      <c r="H502" s="22"/>
      <c r="I502" s="22"/>
      <c r="J502" s="13" t="str">
        <f t="array" ref="J502">IFERROR(INDEX(BasedatosM9!B:B, MATCH(A502, BasedatosM9!E:E, 0)), "")</f>
        <v/>
      </c>
      <c r="K502" s="5" t="str">
        <f t="shared" si="1"/>
        <v/>
      </c>
    </row>
    <row r="503" spans="1:11" ht="14.4">
      <c r="A503" s="23"/>
      <c r="B503" s="22"/>
      <c r="C503" s="24"/>
      <c r="D503" s="22"/>
      <c r="E503" s="25"/>
      <c r="F503" s="22"/>
      <c r="G503" s="22"/>
      <c r="H503" s="22"/>
      <c r="I503" s="22"/>
      <c r="J503" s="13" t="str">
        <f t="array" ref="J503">IFERROR(INDEX(BasedatosM9!B:B, MATCH(A503, BasedatosM9!E:E, 0)), "")</f>
        <v/>
      </c>
      <c r="K503" s="5" t="str">
        <f t="shared" si="1"/>
        <v/>
      </c>
    </row>
    <row r="504" spans="1:11" ht="14.4">
      <c r="A504" s="23"/>
      <c r="B504" s="22"/>
      <c r="C504" s="24"/>
      <c r="D504" s="22"/>
      <c r="E504" s="25"/>
      <c r="F504" s="22"/>
      <c r="G504" s="22"/>
      <c r="H504" s="22"/>
      <c r="I504" s="22"/>
      <c r="J504" s="13" t="str">
        <f t="array" ref="J504">IFERROR(INDEX(BasedatosM9!B:B, MATCH(A504, BasedatosM9!E:E, 0)), "")</f>
        <v/>
      </c>
      <c r="K504" s="5" t="str">
        <f t="shared" si="1"/>
        <v/>
      </c>
    </row>
    <row r="505" spans="1:11" ht="14.4">
      <c r="A505" s="23"/>
      <c r="B505" s="22"/>
      <c r="C505" s="24"/>
      <c r="D505" s="22"/>
      <c r="E505" s="25"/>
      <c r="F505" s="22"/>
      <c r="G505" s="22"/>
      <c r="H505" s="22"/>
      <c r="I505" s="22"/>
      <c r="J505" s="13" t="str">
        <f t="array" ref="J505">IFERROR(INDEX(BasedatosM9!B:B, MATCH(A505, BasedatosM9!E:E, 0)), "")</f>
        <v/>
      </c>
      <c r="K505" s="5" t="str">
        <f t="shared" si="1"/>
        <v/>
      </c>
    </row>
    <row r="506" spans="1:11" ht="14.4">
      <c r="A506" s="23"/>
      <c r="B506" s="22"/>
      <c r="C506" s="24"/>
      <c r="D506" s="22"/>
      <c r="E506" s="25"/>
      <c r="F506" s="22"/>
      <c r="G506" s="22"/>
      <c r="H506" s="22"/>
      <c r="I506" s="22"/>
      <c r="J506" s="13" t="str">
        <f t="array" ref="J506">IFERROR(INDEX(BasedatosM9!B:B, MATCH(A506, BasedatosM9!E:E, 0)), "")</f>
        <v/>
      </c>
      <c r="K506" s="5" t="str">
        <f t="shared" si="1"/>
        <v/>
      </c>
    </row>
    <row r="507" spans="1:11" ht="14.4">
      <c r="A507" s="23"/>
      <c r="B507" s="22"/>
      <c r="C507" s="24"/>
      <c r="D507" s="22"/>
      <c r="E507" s="25"/>
      <c r="F507" s="22"/>
      <c r="G507" s="22"/>
      <c r="H507" s="22"/>
      <c r="I507" s="22"/>
      <c r="J507" s="13" t="str">
        <f t="array" ref="J507">IFERROR(INDEX(BasedatosM9!B:B, MATCH(A507, BasedatosM9!E:E, 0)), "")</f>
        <v/>
      </c>
      <c r="K507" s="5" t="str">
        <f t="shared" si="1"/>
        <v/>
      </c>
    </row>
    <row r="508" spans="1:11" ht="14.4">
      <c r="A508" s="23"/>
      <c r="B508" s="22"/>
      <c r="C508" s="24"/>
      <c r="D508" s="22"/>
      <c r="E508" s="25"/>
      <c r="F508" s="22"/>
      <c r="G508" s="22"/>
      <c r="H508" s="22"/>
      <c r="I508" s="22"/>
      <c r="J508" s="13" t="str">
        <f t="array" ref="J508">IFERROR(INDEX(BasedatosM9!B:B, MATCH(A508, BasedatosM9!E:E, 0)), "")</f>
        <v/>
      </c>
      <c r="K508" s="5" t="str">
        <f t="shared" si="1"/>
        <v/>
      </c>
    </row>
    <row r="509" spans="1:11" ht="14.4">
      <c r="A509" s="23"/>
      <c r="B509" s="22"/>
      <c r="C509" s="24"/>
      <c r="D509" s="22"/>
      <c r="E509" s="25"/>
      <c r="F509" s="22"/>
      <c r="G509" s="22"/>
      <c r="H509" s="22"/>
      <c r="I509" s="22"/>
      <c r="J509" s="13" t="str">
        <f t="array" ref="J509">IFERROR(INDEX(BasedatosM9!B:B, MATCH(A509, BasedatosM9!E:E, 0)), "")</f>
        <v/>
      </c>
      <c r="K509" s="5" t="str">
        <f t="shared" si="1"/>
        <v/>
      </c>
    </row>
    <row r="510" spans="1:11" ht="14.4">
      <c r="A510" s="23"/>
      <c r="B510" s="22"/>
      <c r="C510" s="24"/>
      <c r="D510" s="22"/>
      <c r="E510" s="25"/>
      <c r="F510" s="22"/>
      <c r="G510" s="22"/>
      <c r="H510" s="22"/>
      <c r="I510" s="22"/>
      <c r="J510" s="13" t="str">
        <f t="array" ref="J510">IFERROR(INDEX(BasedatosM9!B:B, MATCH(A510, BasedatosM9!E:E, 0)), "")</f>
        <v/>
      </c>
      <c r="K510" s="5" t="str">
        <f t="shared" si="1"/>
        <v/>
      </c>
    </row>
    <row r="511" spans="1:11" ht="14.4">
      <c r="A511" s="23"/>
      <c r="B511" s="22"/>
      <c r="C511" s="24"/>
      <c r="D511" s="22"/>
      <c r="E511" s="25"/>
      <c r="F511" s="22"/>
      <c r="G511" s="22"/>
      <c r="H511" s="22"/>
      <c r="I511" s="22"/>
      <c r="J511" s="13" t="str">
        <f t="array" ref="J511">IFERROR(INDEX(BasedatosM9!B:B, MATCH(A511, BasedatosM9!E:E, 0)), "")</f>
        <v/>
      </c>
      <c r="K511" s="5" t="str">
        <f t="shared" si="1"/>
        <v/>
      </c>
    </row>
    <row r="512" spans="1:11" ht="14.4">
      <c r="A512" s="23"/>
      <c r="B512" s="22"/>
      <c r="C512" s="24"/>
      <c r="D512" s="22"/>
      <c r="E512" s="25"/>
      <c r="F512" s="22"/>
      <c r="G512" s="22"/>
      <c r="H512" s="22"/>
      <c r="I512" s="22"/>
      <c r="J512" s="13" t="str">
        <f t="array" ref="J512">IFERROR(INDEX(BasedatosM9!B:B, MATCH(A512, BasedatosM9!E:E, 0)), "")</f>
        <v/>
      </c>
      <c r="K512" s="5" t="str">
        <f t="shared" ref="K512:K766" si="2">IF(ISNUMBER(FIND("0410-ENVASADO JUGOS PET HOT F", H512)), "LINE 8", IF(ISNUMBER(FIND("0410-LINEA 1", H512)), "LINE 1",IF(ISNUMBER(FIND("0410-LINEA BOTELLON 20 LTS", H512)), "Agua cristal", IF(ISNUMBER(FIND("0410-LINEA DE BOLSAS", H512)), "Agua cristal", IF(ISNUMBER(FIND("0410-LINEA PET CSD", H512)), "LINE 10", "")))))</f>
        <v/>
      </c>
    </row>
    <row r="513" spans="1:11" ht="14.4">
      <c r="A513" s="23"/>
      <c r="B513" s="22"/>
      <c r="C513" s="24"/>
      <c r="D513" s="22"/>
      <c r="E513" s="25"/>
      <c r="F513" s="22"/>
      <c r="G513" s="22"/>
      <c r="H513" s="22"/>
      <c r="I513" s="22"/>
      <c r="J513" s="13" t="str">
        <f t="array" ref="J513">IFERROR(INDEX(BasedatosM9!B:B, MATCH(A513, BasedatosM9!E:E, 0)), "")</f>
        <v/>
      </c>
      <c r="K513" s="5" t="str">
        <f t="shared" si="2"/>
        <v/>
      </c>
    </row>
    <row r="514" spans="1:11" ht="14.4">
      <c r="A514" s="23"/>
      <c r="B514" s="22"/>
      <c r="C514" s="24"/>
      <c r="D514" s="22"/>
      <c r="E514" s="25"/>
      <c r="F514" s="22"/>
      <c r="G514" s="22"/>
      <c r="H514" s="22"/>
      <c r="I514" s="22"/>
      <c r="J514" s="13" t="str">
        <f t="array" ref="J514">IFERROR(INDEX(BasedatosM9!B:B, MATCH(A514, BasedatosM9!E:E, 0)), "")</f>
        <v/>
      </c>
      <c r="K514" s="5" t="str">
        <f t="shared" si="2"/>
        <v/>
      </c>
    </row>
    <row r="515" spans="1:11" ht="14.4">
      <c r="A515" s="23"/>
      <c r="B515" s="22"/>
      <c r="C515" s="24"/>
      <c r="D515" s="22"/>
      <c r="E515" s="25"/>
      <c r="F515" s="22"/>
      <c r="G515" s="22"/>
      <c r="H515" s="22"/>
      <c r="I515" s="22"/>
      <c r="J515" s="13" t="str">
        <f t="array" ref="J515">IFERROR(INDEX(BasedatosM9!B:B, MATCH(A515, BasedatosM9!E:E, 0)), "")</f>
        <v/>
      </c>
      <c r="K515" s="5" t="str">
        <f t="shared" si="2"/>
        <v/>
      </c>
    </row>
    <row r="516" spans="1:11" ht="14.4">
      <c r="A516" s="23"/>
      <c r="B516" s="22"/>
      <c r="C516" s="24"/>
      <c r="D516" s="22"/>
      <c r="E516" s="25"/>
      <c r="F516" s="22"/>
      <c r="G516" s="22"/>
      <c r="H516" s="22"/>
      <c r="I516" s="22"/>
      <c r="J516" s="13" t="str">
        <f t="array" ref="J516">IFERROR(INDEX(BasedatosM9!B:B, MATCH(A516, BasedatosM9!E:E, 0)), "")</f>
        <v/>
      </c>
      <c r="K516" s="5" t="str">
        <f t="shared" si="2"/>
        <v/>
      </c>
    </row>
    <row r="517" spans="1:11" ht="14.4">
      <c r="A517" s="23"/>
      <c r="B517" s="22"/>
      <c r="C517" s="24"/>
      <c r="D517" s="22"/>
      <c r="E517" s="25"/>
      <c r="F517" s="22"/>
      <c r="G517" s="22"/>
      <c r="H517" s="22"/>
      <c r="I517" s="22"/>
      <c r="J517" s="13" t="str">
        <f t="array" ref="J517">IFERROR(INDEX(BasedatosM9!B:B, MATCH(A517, BasedatosM9!E:E, 0)), "")</f>
        <v/>
      </c>
      <c r="K517" s="5" t="str">
        <f t="shared" si="2"/>
        <v/>
      </c>
    </row>
    <row r="518" spans="1:11" ht="14.4">
      <c r="A518" s="23"/>
      <c r="B518" s="22"/>
      <c r="C518" s="24"/>
      <c r="D518" s="22"/>
      <c r="E518" s="25"/>
      <c r="F518" s="22"/>
      <c r="G518" s="22"/>
      <c r="H518" s="22"/>
      <c r="I518" s="22"/>
      <c r="J518" s="13" t="str">
        <f t="array" ref="J518">IFERROR(INDEX(BasedatosM9!B:B, MATCH(A518, BasedatosM9!E:E, 0)), "")</f>
        <v/>
      </c>
      <c r="K518" s="5" t="str">
        <f t="shared" si="2"/>
        <v/>
      </c>
    </row>
    <row r="519" spans="1:11" ht="14.4">
      <c r="A519" s="23"/>
      <c r="B519" s="22"/>
      <c r="C519" s="24"/>
      <c r="D519" s="22"/>
      <c r="E519" s="25"/>
      <c r="F519" s="22"/>
      <c r="G519" s="22"/>
      <c r="H519" s="22"/>
      <c r="I519" s="22"/>
      <c r="J519" s="13" t="str">
        <f t="array" ref="J519">IFERROR(INDEX(BasedatosM9!B:B, MATCH(A519, BasedatosM9!E:E, 0)), "")</f>
        <v/>
      </c>
      <c r="K519" s="5" t="str">
        <f t="shared" si="2"/>
        <v/>
      </c>
    </row>
    <row r="520" spans="1:11" ht="14.4">
      <c r="A520" s="23"/>
      <c r="B520" s="22"/>
      <c r="C520" s="24"/>
      <c r="D520" s="22"/>
      <c r="E520" s="25"/>
      <c r="F520" s="22"/>
      <c r="G520" s="22"/>
      <c r="H520" s="22"/>
      <c r="I520" s="22"/>
      <c r="J520" s="13" t="str">
        <f t="array" ref="J520">IFERROR(INDEX(BasedatosM9!B:B, MATCH(A520, BasedatosM9!E:E, 0)), "")</f>
        <v/>
      </c>
      <c r="K520" s="5" t="str">
        <f t="shared" si="2"/>
        <v/>
      </c>
    </row>
    <row r="521" spans="1:11" ht="14.4">
      <c r="A521" s="23"/>
      <c r="B521" s="22"/>
      <c r="C521" s="24"/>
      <c r="D521" s="22"/>
      <c r="E521" s="25"/>
      <c r="F521" s="22"/>
      <c r="G521" s="22"/>
      <c r="H521" s="22"/>
      <c r="I521" s="22"/>
      <c r="J521" s="13" t="str">
        <f t="array" ref="J521">IFERROR(INDEX(BasedatosM9!B:B, MATCH(A521, BasedatosM9!E:E, 0)), "")</f>
        <v/>
      </c>
      <c r="K521" s="5" t="str">
        <f t="shared" si="2"/>
        <v/>
      </c>
    </row>
    <row r="522" spans="1:11" ht="14.4">
      <c r="A522" s="23"/>
      <c r="B522" s="22"/>
      <c r="C522" s="24"/>
      <c r="D522" s="22"/>
      <c r="E522" s="25"/>
      <c r="F522" s="22"/>
      <c r="G522" s="22"/>
      <c r="H522" s="22"/>
      <c r="I522" s="22"/>
      <c r="J522" s="13" t="str">
        <f t="array" ref="J522">IFERROR(INDEX(BasedatosM9!B:B, MATCH(A522, BasedatosM9!E:E, 0)), "")</f>
        <v/>
      </c>
      <c r="K522" s="5" t="str">
        <f t="shared" si="2"/>
        <v/>
      </c>
    </row>
    <row r="523" spans="1:11" ht="14.4">
      <c r="A523" s="23"/>
      <c r="B523" s="22"/>
      <c r="C523" s="24"/>
      <c r="D523" s="22"/>
      <c r="E523" s="25"/>
      <c r="F523" s="22"/>
      <c r="G523" s="22"/>
      <c r="H523" s="22"/>
      <c r="I523" s="22"/>
      <c r="J523" s="13" t="str">
        <f t="array" ref="J523">IFERROR(INDEX(BasedatosM9!B:B, MATCH(A523, BasedatosM9!E:E, 0)), "")</f>
        <v/>
      </c>
      <c r="K523" s="5" t="str">
        <f t="shared" si="2"/>
        <v/>
      </c>
    </row>
    <row r="524" spans="1:11" ht="14.4">
      <c r="A524" s="23"/>
      <c r="B524" s="22"/>
      <c r="C524" s="24"/>
      <c r="D524" s="22"/>
      <c r="E524" s="25"/>
      <c r="F524" s="22"/>
      <c r="G524" s="22"/>
      <c r="H524" s="22"/>
      <c r="I524" s="22"/>
      <c r="J524" s="13" t="str">
        <f t="array" ref="J524">IFERROR(INDEX(BasedatosM9!B:B, MATCH(A524, BasedatosM9!E:E, 0)), "")</f>
        <v/>
      </c>
      <c r="K524" s="5" t="str">
        <f t="shared" si="2"/>
        <v/>
      </c>
    </row>
    <row r="525" spans="1:11" ht="14.4">
      <c r="A525" s="23"/>
      <c r="B525" s="22"/>
      <c r="C525" s="24"/>
      <c r="D525" s="22"/>
      <c r="E525" s="25"/>
      <c r="F525" s="22"/>
      <c r="G525" s="22"/>
      <c r="H525" s="22"/>
      <c r="I525" s="22"/>
      <c r="J525" s="13" t="str">
        <f t="array" ref="J525">IFERROR(INDEX(BasedatosM9!B:B, MATCH(A525, BasedatosM9!E:E, 0)), "")</f>
        <v/>
      </c>
      <c r="K525" s="5" t="str">
        <f t="shared" si="2"/>
        <v/>
      </c>
    </row>
    <row r="526" spans="1:11" ht="14.4">
      <c r="A526" s="23"/>
      <c r="B526" s="22"/>
      <c r="C526" s="24"/>
      <c r="D526" s="22"/>
      <c r="E526" s="25"/>
      <c r="F526" s="22"/>
      <c r="G526" s="22"/>
      <c r="H526" s="22"/>
      <c r="I526" s="22"/>
      <c r="J526" s="13" t="str">
        <f t="array" ref="J526">IFERROR(INDEX(BasedatosM9!B:B, MATCH(A526, BasedatosM9!E:E, 0)), "")</f>
        <v/>
      </c>
      <c r="K526" s="5" t="str">
        <f t="shared" si="2"/>
        <v/>
      </c>
    </row>
    <row r="527" spans="1:11" ht="14.4">
      <c r="A527" s="23"/>
      <c r="B527" s="22"/>
      <c r="C527" s="24"/>
      <c r="D527" s="22"/>
      <c r="E527" s="25"/>
      <c r="F527" s="22"/>
      <c r="G527" s="22"/>
      <c r="H527" s="22"/>
      <c r="I527" s="22"/>
      <c r="J527" s="13" t="str">
        <f t="array" ref="J527">IFERROR(INDEX(BasedatosM9!B:B, MATCH(A527, BasedatosM9!E:E, 0)), "")</f>
        <v/>
      </c>
      <c r="K527" s="5" t="str">
        <f t="shared" si="2"/>
        <v/>
      </c>
    </row>
    <row r="528" spans="1:11" ht="14.4">
      <c r="A528" s="23"/>
      <c r="B528" s="22"/>
      <c r="C528" s="24"/>
      <c r="D528" s="22"/>
      <c r="E528" s="25"/>
      <c r="F528" s="22"/>
      <c r="G528" s="22"/>
      <c r="H528" s="22"/>
      <c r="I528" s="22"/>
      <c r="J528" s="13" t="str">
        <f t="array" ref="J528">IFERROR(INDEX(BasedatosM9!B:B, MATCH(A528, BasedatosM9!E:E, 0)), "")</f>
        <v/>
      </c>
      <c r="K528" s="5" t="str">
        <f t="shared" si="2"/>
        <v/>
      </c>
    </row>
    <row r="529" spans="1:11" ht="14.4">
      <c r="A529" s="23"/>
      <c r="B529" s="22"/>
      <c r="C529" s="24"/>
      <c r="D529" s="22"/>
      <c r="E529" s="25"/>
      <c r="F529" s="22"/>
      <c r="G529" s="22"/>
      <c r="H529" s="22"/>
      <c r="I529" s="22"/>
      <c r="J529" s="13" t="str">
        <f t="array" ref="J529">IFERROR(INDEX(BasedatosM9!B:B, MATCH(A529, BasedatosM9!E:E, 0)), "")</f>
        <v/>
      </c>
      <c r="K529" s="5" t="str">
        <f t="shared" si="2"/>
        <v/>
      </c>
    </row>
    <row r="530" spans="1:11" ht="14.4">
      <c r="A530" s="23"/>
      <c r="B530" s="22"/>
      <c r="C530" s="24"/>
      <c r="D530" s="22"/>
      <c r="E530" s="25"/>
      <c r="F530" s="22"/>
      <c r="G530" s="22"/>
      <c r="H530" s="22"/>
      <c r="I530" s="22"/>
      <c r="J530" s="13" t="str">
        <f t="array" ref="J530">IFERROR(INDEX(BasedatosM9!B:B, MATCH(A530, BasedatosM9!E:E, 0)), "")</f>
        <v/>
      </c>
      <c r="K530" s="5" t="str">
        <f t="shared" si="2"/>
        <v/>
      </c>
    </row>
    <row r="531" spans="1:11" ht="14.4">
      <c r="A531" s="23"/>
      <c r="B531" s="22"/>
      <c r="C531" s="24"/>
      <c r="D531" s="22"/>
      <c r="E531" s="25"/>
      <c r="F531" s="22"/>
      <c r="G531" s="22"/>
      <c r="H531" s="22"/>
      <c r="I531" s="22"/>
      <c r="J531" s="13" t="str">
        <f t="array" ref="J531">IFERROR(INDEX(BasedatosM9!B:B, MATCH(A531, BasedatosM9!E:E, 0)), "")</f>
        <v/>
      </c>
      <c r="K531" s="5" t="str">
        <f t="shared" si="2"/>
        <v/>
      </c>
    </row>
    <row r="532" spans="1:11" ht="14.4">
      <c r="A532" s="23"/>
      <c r="B532" s="22"/>
      <c r="C532" s="24"/>
      <c r="D532" s="22"/>
      <c r="E532" s="25"/>
      <c r="F532" s="22"/>
      <c r="G532" s="22"/>
      <c r="H532" s="22"/>
      <c r="I532" s="22"/>
      <c r="J532" s="13" t="str">
        <f t="array" ref="J532">IFERROR(INDEX(BasedatosM9!B:B, MATCH(A532, BasedatosM9!E:E, 0)), "")</f>
        <v/>
      </c>
      <c r="K532" s="5" t="str">
        <f t="shared" si="2"/>
        <v/>
      </c>
    </row>
    <row r="533" spans="1:11" ht="14.4">
      <c r="A533" s="23"/>
      <c r="B533" s="22"/>
      <c r="C533" s="24"/>
      <c r="D533" s="22"/>
      <c r="E533" s="25"/>
      <c r="F533" s="22"/>
      <c r="G533" s="22"/>
      <c r="H533" s="22"/>
      <c r="I533" s="22"/>
      <c r="J533" s="13" t="str">
        <f t="array" ref="J533">IFERROR(INDEX(BasedatosM9!B:B, MATCH(A533, BasedatosM9!E:E, 0)), "")</f>
        <v/>
      </c>
      <c r="K533" s="5" t="str">
        <f t="shared" si="2"/>
        <v/>
      </c>
    </row>
    <row r="534" spans="1:11" ht="14.4">
      <c r="A534" s="23"/>
      <c r="B534" s="22"/>
      <c r="C534" s="24"/>
      <c r="D534" s="22"/>
      <c r="E534" s="25"/>
      <c r="F534" s="22"/>
      <c r="G534" s="22"/>
      <c r="H534" s="22"/>
      <c r="I534" s="22"/>
      <c r="J534" s="13" t="str">
        <f t="array" ref="J534">IFERROR(INDEX(BasedatosM9!B:B, MATCH(A534, BasedatosM9!E:E, 0)), "")</f>
        <v/>
      </c>
      <c r="K534" s="5" t="str">
        <f t="shared" si="2"/>
        <v/>
      </c>
    </row>
    <row r="535" spans="1:11" ht="14.4">
      <c r="A535" s="23"/>
      <c r="B535" s="22"/>
      <c r="C535" s="24"/>
      <c r="D535" s="22"/>
      <c r="E535" s="25"/>
      <c r="F535" s="22"/>
      <c r="G535" s="22"/>
      <c r="H535" s="22"/>
      <c r="I535" s="22"/>
      <c r="J535" s="13" t="str">
        <f t="array" ref="J535">IFERROR(INDEX(BasedatosM9!B:B, MATCH(A535, BasedatosM9!E:E, 0)), "")</f>
        <v/>
      </c>
      <c r="K535" s="5" t="str">
        <f t="shared" si="2"/>
        <v/>
      </c>
    </row>
    <row r="536" spans="1:11" ht="14.4">
      <c r="A536" s="23"/>
      <c r="B536" s="22"/>
      <c r="C536" s="24"/>
      <c r="D536" s="22"/>
      <c r="E536" s="25"/>
      <c r="F536" s="22"/>
      <c r="G536" s="22"/>
      <c r="H536" s="22"/>
      <c r="I536" s="22"/>
      <c r="J536" s="13" t="str">
        <f t="array" ref="J536">IFERROR(INDEX(BasedatosM9!B:B, MATCH(A536, BasedatosM9!E:E, 0)), "")</f>
        <v/>
      </c>
      <c r="K536" s="5" t="str">
        <f t="shared" si="2"/>
        <v/>
      </c>
    </row>
    <row r="537" spans="1:11" ht="14.4">
      <c r="A537" s="23"/>
      <c r="B537" s="22"/>
      <c r="C537" s="24"/>
      <c r="D537" s="22"/>
      <c r="E537" s="25"/>
      <c r="F537" s="22"/>
      <c r="G537" s="22"/>
      <c r="H537" s="22"/>
      <c r="I537" s="22"/>
      <c r="J537" s="13" t="str">
        <f t="array" ref="J537">IFERROR(INDEX(BasedatosM9!B:B, MATCH(A537, BasedatosM9!E:E, 0)), "")</f>
        <v/>
      </c>
      <c r="K537" s="5" t="str">
        <f t="shared" si="2"/>
        <v/>
      </c>
    </row>
    <row r="538" spans="1:11" ht="14.4">
      <c r="A538" s="23"/>
      <c r="B538" s="22"/>
      <c r="C538" s="24"/>
      <c r="D538" s="22"/>
      <c r="E538" s="25"/>
      <c r="F538" s="22"/>
      <c r="G538" s="22"/>
      <c r="H538" s="22"/>
      <c r="I538" s="22"/>
      <c r="J538" s="13" t="str">
        <f t="array" ref="J538">IFERROR(INDEX(BasedatosM9!B:B, MATCH(A538, BasedatosM9!E:E, 0)), "")</f>
        <v/>
      </c>
      <c r="K538" s="5" t="str">
        <f t="shared" si="2"/>
        <v/>
      </c>
    </row>
    <row r="539" spans="1:11" ht="14.4">
      <c r="A539" s="23"/>
      <c r="B539" s="22"/>
      <c r="C539" s="24"/>
      <c r="D539" s="22"/>
      <c r="E539" s="25"/>
      <c r="F539" s="22"/>
      <c r="G539" s="22"/>
      <c r="H539" s="22"/>
      <c r="I539" s="22"/>
      <c r="J539" s="13" t="str">
        <f t="array" ref="J539">IFERROR(INDEX(BasedatosM9!B:B, MATCH(A539, BasedatosM9!E:E, 0)), "")</f>
        <v/>
      </c>
      <c r="K539" s="5" t="str">
        <f t="shared" si="2"/>
        <v/>
      </c>
    </row>
    <row r="540" spans="1:11" ht="14.4">
      <c r="A540" s="23"/>
      <c r="B540" s="22"/>
      <c r="C540" s="24"/>
      <c r="D540" s="22"/>
      <c r="E540" s="25"/>
      <c r="F540" s="22"/>
      <c r="G540" s="22"/>
      <c r="H540" s="22"/>
      <c r="I540" s="22"/>
      <c r="J540" s="13" t="str">
        <f t="array" ref="J540">IFERROR(INDEX(BasedatosM9!B:B, MATCH(A540, BasedatosM9!E:E, 0)), "")</f>
        <v/>
      </c>
      <c r="K540" s="5" t="str">
        <f t="shared" si="2"/>
        <v/>
      </c>
    </row>
    <row r="541" spans="1:11" ht="14.4">
      <c r="A541" s="23"/>
      <c r="B541" s="22"/>
      <c r="C541" s="24"/>
      <c r="D541" s="22"/>
      <c r="E541" s="25"/>
      <c r="F541" s="22"/>
      <c r="G541" s="22"/>
      <c r="H541" s="22"/>
      <c r="I541" s="22"/>
      <c r="J541" s="13" t="str">
        <f t="array" ref="J541">IFERROR(INDEX(BasedatosM9!B:B, MATCH(A541, BasedatosM9!E:E, 0)), "")</f>
        <v/>
      </c>
      <c r="K541" s="5" t="str">
        <f t="shared" si="2"/>
        <v/>
      </c>
    </row>
    <row r="542" spans="1:11" ht="14.4">
      <c r="A542" s="23"/>
      <c r="B542" s="22"/>
      <c r="C542" s="24"/>
      <c r="D542" s="22"/>
      <c r="E542" s="25"/>
      <c r="F542" s="22"/>
      <c r="G542" s="22"/>
      <c r="H542" s="22"/>
      <c r="I542" s="22"/>
      <c r="J542" s="13" t="str">
        <f t="array" ref="J542">IFERROR(INDEX(BasedatosM9!B:B, MATCH(A542, BasedatosM9!E:E, 0)), "")</f>
        <v/>
      </c>
      <c r="K542" s="5" t="str">
        <f t="shared" si="2"/>
        <v/>
      </c>
    </row>
    <row r="543" spans="1:11" ht="14.4">
      <c r="A543" s="23"/>
      <c r="B543" s="22"/>
      <c r="C543" s="24"/>
      <c r="D543" s="22"/>
      <c r="E543" s="25"/>
      <c r="F543" s="22"/>
      <c r="G543" s="22"/>
      <c r="H543" s="22"/>
      <c r="I543" s="22"/>
      <c r="J543" s="13" t="str">
        <f t="array" ref="J543">IFERROR(INDEX(BasedatosM9!B:B, MATCH(A543, BasedatosM9!E:E, 0)), "")</f>
        <v/>
      </c>
      <c r="K543" s="5" t="str">
        <f t="shared" si="2"/>
        <v/>
      </c>
    </row>
    <row r="544" spans="1:11" ht="14.4">
      <c r="A544" s="23"/>
      <c r="B544" s="22"/>
      <c r="C544" s="24"/>
      <c r="D544" s="22"/>
      <c r="E544" s="25"/>
      <c r="F544" s="22"/>
      <c r="G544" s="22"/>
      <c r="H544" s="22"/>
      <c r="I544" s="22"/>
      <c r="J544" s="13" t="str">
        <f t="array" ref="J544">IFERROR(INDEX(BasedatosM9!B:B, MATCH(A544, BasedatosM9!E:E, 0)), "")</f>
        <v/>
      </c>
      <c r="K544" s="5" t="str">
        <f t="shared" si="2"/>
        <v/>
      </c>
    </row>
    <row r="545" spans="1:11" ht="14.4">
      <c r="A545" s="23"/>
      <c r="B545" s="22"/>
      <c r="C545" s="24"/>
      <c r="D545" s="22"/>
      <c r="E545" s="25"/>
      <c r="F545" s="22"/>
      <c r="G545" s="22"/>
      <c r="H545" s="22"/>
      <c r="I545" s="22"/>
      <c r="J545" s="13" t="str">
        <f t="array" ref="J545">IFERROR(INDEX(BasedatosM9!B:B, MATCH(A545, BasedatosM9!E:E, 0)), "")</f>
        <v/>
      </c>
      <c r="K545" s="5" t="str">
        <f t="shared" si="2"/>
        <v/>
      </c>
    </row>
    <row r="546" spans="1:11" ht="14.4">
      <c r="A546" s="23"/>
      <c r="B546" s="22"/>
      <c r="C546" s="24"/>
      <c r="D546" s="22"/>
      <c r="E546" s="25"/>
      <c r="F546" s="22"/>
      <c r="G546" s="22"/>
      <c r="H546" s="22"/>
      <c r="I546" s="22"/>
      <c r="J546" s="13" t="str">
        <f t="array" ref="J546">IFERROR(INDEX(BasedatosM9!B:B, MATCH(A546, BasedatosM9!E:E, 0)), "")</f>
        <v/>
      </c>
      <c r="K546" s="5" t="str">
        <f t="shared" si="2"/>
        <v/>
      </c>
    </row>
    <row r="547" spans="1:11" ht="14.4">
      <c r="A547" s="23"/>
      <c r="B547" s="22"/>
      <c r="C547" s="24"/>
      <c r="D547" s="22"/>
      <c r="E547" s="25"/>
      <c r="F547" s="22"/>
      <c r="G547" s="22"/>
      <c r="H547" s="22"/>
      <c r="I547" s="22"/>
      <c r="J547" s="13" t="str">
        <f t="array" ref="J547">IFERROR(INDEX(BasedatosM9!B:B, MATCH(A547, BasedatosM9!E:E, 0)), "")</f>
        <v/>
      </c>
      <c r="K547" s="5" t="str">
        <f t="shared" si="2"/>
        <v/>
      </c>
    </row>
    <row r="548" spans="1:11" ht="14.4">
      <c r="A548" s="23"/>
      <c r="B548" s="22"/>
      <c r="C548" s="24"/>
      <c r="D548" s="22"/>
      <c r="E548" s="25"/>
      <c r="F548" s="22"/>
      <c r="G548" s="22"/>
      <c r="H548" s="22"/>
      <c r="I548" s="22"/>
      <c r="J548" s="13" t="str">
        <f t="array" ref="J548">IFERROR(INDEX(BasedatosM9!B:B, MATCH(A548, BasedatosM9!E:E, 0)), "")</f>
        <v/>
      </c>
      <c r="K548" s="5" t="str">
        <f t="shared" si="2"/>
        <v/>
      </c>
    </row>
    <row r="549" spans="1:11" ht="14.4">
      <c r="A549" s="23"/>
      <c r="B549" s="22"/>
      <c r="C549" s="24"/>
      <c r="D549" s="22"/>
      <c r="E549" s="25"/>
      <c r="F549" s="22"/>
      <c r="G549" s="22"/>
      <c r="H549" s="22"/>
      <c r="I549" s="22"/>
      <c r="J549" s="13" t="str">
        <f t="array" ref="J549">IFERROR(INDEX(BasedatosM9!B:B, MATCH(A549, BasedatosM9!E:E, 0)), "")</f>
        <v/>
      </c>
      <c r="K549" s="5" t="str">
        <f t="shared" si="2"/>
        <v/>
      </c>
    </row>
    <row r="550" spans="1:11" ht="14.4">
      <c r="A550" s="23"/>
      <c r="B550" s="22"/>
      <c r="C550" s="24"/>
      <c r="D550" s="22"/>
      <c r="E550" s="25"/>
      <c r="F550" s="22"/>
      <c r="G550" s="22"/>
      <c r="H550" s="22"/>
      <c r="I550" s="22"/>
      <c r="J550" s="13" t="str">
        <f t="array" ref="J550">IFERROR(INDEX(BasedatosM9!B:B, MATCH(A550, BasedatosM9!E:E, 0)), "")</f>
        <v/>
      </c>
      <c r="K550" s="5" t="str">
        <f t="shared" si="2"/>
        <v/>
      </c>
    </row>
    <row r="551" spans="1:11" ht="14.4">
      <c r="A551" s="23"/>
      <c r="B551" s="22"/>
      <c r="C551" s="24"/>
      <c r="D551" s="22"/>
      <c r="E551" s="25"/>
      <c r="F551" s="22"/>
      <c r="G551" s="22"/>
      <c r="H551" s="22"/>
      <c r="I551" s="22"/>
      <c r="J551" s="13" t="str">
        <f t="array" ref="J551">IFERROR(INDEX(BasedatosM9!B:B, MATCH(A551, BasedatosM9!E:E, 0)), "")</f>
        <v/>
      </c>
      <c r="K551" s="5" t="str">
        <f t="shared" si="2"/>
        <v/>
      </c>
    </row>
    <row r="552" spans="1:11" ht="14.4">
      <c r="A552" s="23"/>
      <c r="B552" s="22"/>
      <c r="C552" s="24"/>
      <c r="D552" s="22"/>
      <c r="E552" s="25"/>
      <c r="F552" s="22"/>
      <c r="G552" s="22"/>
      <c r="H552" s="22"/>
      <c r="I552" s="22"/>
      <c r="J552" s="13" t="str">
        <f t="array" ref="J552">IFERROR(INDEX(BasedatosM9!B:B, MATCH(A552, BasedatosM9!E:E, 0)), "")</f>
        <v/>
      </c>
      <c r="K552" s="5" t="str">
        <f t="shared" si="2"/>
        <v/>
      </c>
    </row>
    <row r="553" spans="1:11" ht="14.4">
      <c r="A553" s="23"/>
      <c r="B553" s="22"/>
      <c r="C553" s="24"/>
      <c r="D553" s="22"/>
      <c r="E553" s="25"/>
      <c r="F553" s="22"/>
      <c r="G553" s="22"/>
      <c r="H553" s="22"/>
      <c r="I553" s="22"/>
      <c r="J553" s="13" t="str">
        <f t="array" ref="J553">IFERROR(INDEX(BasedatosM9!B:B, MATCH(A553, BasedatosM9!E:E, 0)), "")</f>
        <v/>
      </c>
      <c r="K553" s="5" t="str">
        <f t="shared" si="2"/>
        <v/>
      </c>
    </row>
    <row r="554" spans="1:11" ht="14.4">
      <c r="A554" s="23"/>
      <c r="B554" s="22"/>
      <c r="C554" s="24"/>
      <c r="D554" s="22"/>
      <c r="E554" s="25"/>
      <c r="F554" s="22"/>
      <c r="G554" s="22"/>
      <c r="H554" s="22"/>
      <c r="I554" s="22"/>
      <c r="J554" s="13" t="str">
        <f t="array" ref="J554">IFERROR(INDEX(BasedatosM9!B:B, MATCH(A554, BasedatosM9!E:E, 0)), "")</f>
        <v/>
      </c>
      <c r="K554" s="5" t="str">
        <f t="shared" si="2"/>
        <v/>
      </c>
    </row>
    <row r="555" spans="1:11" ht="14.4">
      <c r="A555" s="23"/>
      <c r="B555" s="22"/>
      <c r="C555" s="24"/>
      <c r="D555" s="22"/>
      <c r="E555" s="25"/>
      <c r="F555" s="22"/>
      <c r="G555" s="22"/>
      <c r="H555" s="22"/>
      <c r="I555" s="22"/>
      <c r="J555" s="13" t="str">
        <f t="array" ref="J555">IFERROR(INDEX(BasedatosM9!B:B, MATCH(A555, BasedatosM9!E:E, 0)), "")</f>
        <v/>
      </c>
      <c r="K555" s="5" t="str">
        <f t="shared" si="2"/>
        <v/>
      </c>
    </row>
    <row r="556" spans="1:11" ht="14.4">
      <c r="A556" s="23"/>
      <c r="B556" s="22"/>
      <c r="C556" s="24"/>
      <c r="D556" s="22"/>
      <c r="E556" s="25"/>
      <c r="F556" s="22"/>
      <c r="G556" s="22"/>
      <c r="H556" s="22"/>
      <c r="I556" s="22"/>
      <c r="J556" s="13" t="str">
        <f t="array" ref="J556">IFERROR(INDEX(BasedatosM9!B:B, MATCH(A556, BasedatosM9!E:E, 0)), "")</f>
        <v/>
      </c>
      <c r="K556" s="5" t="str">
        <f t="shared" si="2"/>
        <v/>
      </c>
    </row>
    <row r="557" spans="1:11" ht="14.4">
      <c r="A557" s="23"/>
      <c r="B557" s="22"/>
      <c r="C557" s="24"/>
      <c r="D557" s="22"/>
      <c r="E557" s="25"/>
      <c r="F557" s="22"/>
      <c r="G557" s="22"/>
      <c r="H557" s="22"/>
      <c r="I557" s="22"/>
      <c r="J557" s="13" t="str">
        <f t="array" ref="J557">IFERROR(INDEX(BasedatosM9!B:B, MATCH(A557, BasedatosM9!E:E, 0)), "")</f>
        <v/>
      </c>
      <c r="K557" s="5" t="str">
        <f t="shared" si="2"/>
        <v/>
      </c>
    </row>
    <row r="558" spans="1:11" ht="14.4">
      <c r="A558" s="23"/>
      <c r="B558" s="22"/>
      <c r="C558" s="24"/>
      <c r="D558" s="22"/>
      <c r="E558" s="25"/>
      <c r="F558" s="22"/>
      <c r="G558" s="22"/>
      <c r="H558" s="22"/>
      <c r="I558" s="22"/>
      <c r="J558" s="13" t="str">
        <f t="array" ref="J558">IFERROR(INDEX(BasedatosM9!B:B, MATCH(A558, BasedatosM9!E:E, 0)), "")</f>
        <v/>
      </c>
      <c r="K558" s="5" t="str">
        <f t="shared" si="2"/>
        <v/>
      </c>
    </row>
    <row r="559" spans="1:11" ht="14.4">
      <c r="A559" s="23"/>
      <c r="B559" s="22"/>
      <c r="C559" s="24"/>
      <c r="D559" s="22"/>
      <c r="E559" s="25"/>
      <c r="F559" s="22"/>
      <c r="G559" s="22"/>
      <c r="H559" s="22"/>
      <c r="I559" s="22"/>
      <c r="J559" s="13" t="str">
        <f t="array" ref="J559">IFERROR(INDEX(BasedatosM9!B:B, MATCH(A559, BasedatosM9!E:E, 0)), "")</f>
        <v/>
      </c>
      <c r="K559" s="5" t="str">
        <f t="shared" si="2"/>
        <v/>
      </c>
    </row>
    <row r="560" spans="1:11" ht="14.4">
      <c r="A560" s="23"/>
      <c r="B560" s="22"/>
      <c r="C560" s="24"/>
      <c r="D560" s="22"/>
      <c r="E560" s="25"/>
      <c r="F560" s="22"/>
      <c r="G560" s="22"/>
      <c r="H560" s="22"/>
      <c r="I560" s="22"/>
      <c r="J560" s="13" t="str">
        <f t="array" ref="J560">IFERROR(INDEX(BasedatosM9!B:B, MATCH(A560, BasedatosM9!E:E, 0)), "")</f>
        <v/>
      </c>
      <c r="K560" s="5" t="str">
        <f t="shared" si="2"/>
        <v/>
      </c>
    </row>
    <row r="561" spans="1:11" ht="14.4">
      <c r="A561" s="23"/>
      <c r="B561" s="22"/>
      <c r="C561" s="24"/>
      <c r="D561" s="22"/>
      <c r="E561" s="25"/>
      <c r="F561" s="22"/>
      <c r="G561" s="22"/>
      <c r="H561" s="22"/>
      <c r="I561" s="22"/>
      <c r="J561" s="13" t="str">
        <f t="array" ref="J561">IFERROR(INDEX(BasedatosM9!B:B, MATCH(A561, BasedatosM9!E:E, 0)), "")</f>
        <v/>
      </c>
      <c r="K561" s="5" t="str">
        <f t="shared" si="2"/>
        <v/>
      </c>
    </row>
    <row r="562" spans="1:11" ht="14.4">
      <c r="A562" s="23"/>
      <c r="B562" s="22"/>
      <c r="C562" s="24"/>
      <c r="D562" s="22"/>
      <c r="E562" s="25"/>
      <c r="F562" s="22"/>
      <c r="G562" s="22"/>
      <c r="H562" s="22"/>
      <c r="I562" s="22"/>
      <c r="J562" s="13" t="str">
        <f t="array" ref="J562">IFERROR(INDEX(BasedatosM9!B:B, MATCH(A562, BasedatosM9!E:E, 0)), "")</f>
        <v/>
      </c>
      <c r="K562" s="5" t="str">
        <f t="shared" si="2"/>
        <v/>
      </c>
    </row>
    <row r="563" spans="1:11" ht="14.4">
      <c r="A563" s="23"/>
      <c r="B563" s="22"/>
      <c r="C563" s="24"/>
      <c r="D563" s="22"/>
      <c r="E563" s="25"/>
      <c r="F563" s="22"/>
      <c r="G563" s="22"/>
      <c r="H563" s="22"/>
      <c r="I563" s="22"/>
      <c r="J563" s="13" t="str">
        <f t="array" ref="J563">IFERROR(INDEX(BasedatosM9!B:B, MATCH(A563, BasedatosM9!E:E, 0)), "")</f>
        <v/>
      </c>
      <c r="K563" s="5" t="str">
        <f t="shared" si="2"/>
        <v/>
      </c>
    </row>
    <row r="564" spans="1:11" ht="14.4">
      <c r="A564" s="23"/>
      <c r="B564" s="22"/>
      <c r="C564" s="24"/>
      <c r="D564" s="22"/>
      <c r="E564" s="25"/>
      <c r="F564" s="22"/>
      <c r="G564" s="22"/>
      <c r="H564" s="22"/>
      <c r="I564" s="22"/>
      <c r="J564" s="13" t="str">
        <f t="array" ref="J564">IFERROR(INDEX(BasedatosM9!B:B, MATCH(A564, BasedatosM9!E:E, 0)), "")</f>
        <v/>
      </c>
      <c r="K564" s="5" t="str">
        <f t="shared" si="2"/>
        <v/>
      </c>
    </row>
    <row r="565" spans="1:11" ht="14.4">
      <c r="A565" s="23"/>
      <c r="B565" s="22"/>
      <c r="C565" s="24"/>
      <c r="D565" s="22"/>
      <c r="E565" s="25"/>
      <c r="F565" s="22"/>
      <c r="G565" s="22"/>
      <c r="H565" s="22"/>
      <c r="I565" s="22"/>
      <c r="J565" s="13" t="str">
        <f t="array" ref="J565">IFERROR(INDEX(BasedatosM9!B:B, MATCH(A565, BasedatosM9!E:E, 0)), "")</f>
        <v/>
      </c>
      <c r="K565" s="5" t="str">
        <f t="shared" si="2"/>
        <v/>
      </c>
    </row>
    <row r="566" spans="1:11" ht="14.4">
      <c r="A566" s="23"/>
      <c r="B566" s="22"/>
      <c r="C566" s="24"/>
      <c r="D566" s="22"/>
      <c r="E566" s="25"/>
      <c r="F566" s="22"/>
      <c r="G566" s="22"/>
      <c r="H566" s="22"/>
      <c r="I566" s="22"/>
      <c r="J566" s="13" t="str">
        <f t="array" ref="J566">IFERROR(INDEX(BasedatosM9!B:B, MATCH(A566, BasedatosM9!E:E, 0)), "")</f>
        <v/>
      </c>
      <c r="K566" s="5" t="str">
        <f t="shared" si="2"/>
        <v/>
      </c>
    </row>
    <row r="567" spans="1:11" ht="14.4">
      <c r="A567" s="23"/>
      <c r="B567" s="22"/>
      <c r="C567" s="24"/>
      <c r="D567" s="22"/>
      <c r="E567" s="25"/>
      <c r="F567" s="22"/>
      <c r="G567" s="22"/>
      <c r="H567" s="22"/>
      <c r="I567" s="22"/>
      <c r="J567" s="13" t="str">
        <f t="array" ref="J567">IFERROR(INDEX(BasedatosM9!B:B, MATCH(A567, BasedatosM9!E:E, 0)), "")</f>
        <v/>
      </c>
      <c r="K567" s="5" t="str">
        <f t="shared" si="2"/>
        <v/>
      </c>
    </row>
    <row r="568" spans="1:11" ht="14.4">
      <c r="A568" s="23"/>
      <c r="B568" s="22"/>
      <c r="C568" s="24"/>
      <c r="D568" s="22"/>
      <c r="E568" s="25"/>
      <c r="F568" s="22"/>
      <c r="G568" s="22"/>
      <c r="H568" s="22"/>
      <c r="I568" s="22"/>
      <c r="J568" s="13" t="str">
        <f t="array" ref="J568">IFERROR(INDEX(BasedatosM9!B:B, MATCH(A568, BasedatosM9!E:E, 0)), "")</f>
        <v/>
      </c>
      <c r="K568" s="5" t="str">
        <f t="shared" si="2"/>
        <v/>
      </c>
    </row>
    <row r="569" spans="1:11" ht="14.4">
      <c r="A569" s="23"/>
      <c r="B569" s="22"/>
      <c r="C569" s="24"/>
      <c r="D569" s="22"/>
      <c r="E569" s="25"/>
      <c r="F569" s="22"/>
      <c r="G569" s="22"/>
      <c r="H569" s="22"/>
      <c r="I569" s="22"/>
      <c r="J569" s="13" t="str">
        <f t="array" ref="J569">IFERROR(INDEX(BasedatosM9!B:B, MATCH(A569, BasedatosM9!E:E, 0)), "")</f>
        <v/>
      </c>
      <c r="K569" s="5" t="str">
        <f t="shared" si="2"/>
        <v/>
      </c>
    </row>
    <row r="570" spans="1:11" ht="14.4">
      <c r="A570" s="23"/>
      <c r="B570" s="22"/>
      <c r="C570" s="24"/>
      <c r="D570" s="22"/>
      <c r="E570" s="25"/>
      <c r="F570" s="22"/>
      <c r="G570" s="22"/>
      <c r="H570" s="22"/>
      <c r="I570" s="22"/>
      <c r="J570" s="13" t="str">
        <f t="array" ref="J570">IFERROR(INDEX(BasedatosM9!B:B, MATCH(A570, BasedatosM9!E:E, 0)), "")</f>
        <v/>
      </c>
      <c r="K570" s="5" t="str">
        <f t="shared" si="2"/>
        <v/>
      </c>
    </row>
    <row r="571" spans="1:11" ht="14.4">
      <c r="A571" s="23"/>
      <c r="B571" s="22"/>
      <c r="C571" s="24"/>
      <c r="D571" s="22"/>
      <c r="E571" s="25"/>
      <c r="F571" s="22"/>
      <c r="G571" s="22"/>
      <c r="H571" s="22"/>
      <c r="I571" s="22"/>
      <c r="J571" s="13" t="str">
        <f t="array" ref="J571">IFERROR(INDEX(BasedatosM9!B:B, MATCH(A571, BasedatosM9!E:E, 0)), "")</f>
        <v/>
      </c>
      <c r="K571" s="5" t="str">
        <f t="shared" si="2"/>
        <v/>
      </c>
    </row>
    <row r="572" spans="1:11" ht="14.4">
      <c r="A572" s="23"/>
      <c r="B572" s="22"/>
      <c r="C572" s="24"/>
      <c r="D572" s="22"/>
      <c r="E572" s="25"/>
      <c r="F572" s="22"/>
      <c r="G572" s="22"/>
      <c r="H572" s="22"/>
      <c r="I572" s="22"/>
      <c r="J572" s="13" t="str">
        <f t="array" ref="J572">IFERROR(INDEX(BasedatosM9!B:B, MATCH(A572, BasedatosM9!E:E, 0)), "")</f>
        <v/>
      </c>
      <c r="K572" s="5" t="str">
        <f t="shared" si="2"/>
        <v/>
      </c>
    </row>
    <row r="573" spans="1:11" ht="14.4">
      <c r="A573" s="23"/>
      <c r="B573" s="22"/>
      <c r="C573" s="24"/>
      <c r="D573" s="22"/>
      <c r="E573" s="25"/>
      <c r="F573" s="22"/>
      <c r="G573" s="22"/>
      <c r="H573" s="22"/>
      <c r="I573" s="22"/>
      <c r="J573" s="13" t="str">
        <f t="array" ref="J573">IFERROR(INDEX(BasedatosM9!B:B, MATCH(A573, BasedatosM9!E:E, 0)), "")</f>
        <v/>
      </c>
      <c r="K573" s="5" t="str">
        <f t="shared" si="2"/>
        <v/>
      </c>
    </row>
    <row r="574" spans="1:11" ht="14.4">
      <c r="A574" s="23"/>
      <c r="B574" s="22"/>
      <c r="C574" s="24"/>
      <c r="D574" s="22"/>
      <c r="E574" s="25"/>
      <c r="F574" s="22"/>
      <c r="G574" s="22"/>
      <c r="H574" s="22"/>
      <c r="I574" s="22"/>
      <c r="J574" s="13" t="str">
        <f t="array" ref="J574">IFERROR(INDEX(BasedatosM9!B:B, MATCH(A574, BasedatosM9!E:E, 0)), "")</f>
        <v/>
      </c>
      <c r="K574" s="5" t="str">
        <f t="shared" si="2"/>
        <v/>
      </c>
    </row>
    <row r="575" spans="1:11" ht="14.4">
      <c r="A575" s="23"/>
      <c r="B575" s="22"/>
      <c r="C575" s="24"/>
      <c r="D575" s="22"/>
      <c r="E575" s="25"/>
      <c r="F575" s="22"/>
      <c r="G575" s="22"/>
      <c r="H575" s="22"/>
      <c r="I575" s="22"/>
      <c r="J575" s="13" t="str">
        <f t="array" ref="J575">IFERROR(INDEX(BasedatosM9!B:B, MATCH(A575, BasedatosM9!E:E, 0)), "")</f>
        <v/>
      </c>
      <c r="K575" s="5" t="str">
        <f t="shared" si="2"/>
        <v/>
      </c>
    </row>
    <row r="576" spans="1:11" ht="14.4">
      <c r="A576" s="23"/>
      <c r="B576" s="22"/>
      <c r="C576" s="24"/>
      <c r="D576" s="22"/>
      <c r="E576" s="25"/>
      <c r="F576" s="22"/>
      <c r="G576" s="22"/>
      <c r="H576" s="22"/>
      <c r="I576" s="22"/>
      <c r="J576" s="13" t="str">
        <f t="array" ref="J576">IFERROR(INDEX(BasedatosM9!B:B, MATCH(A576, BasedatosM9!E:E, 0)), "")</f>
        <v/>
      </c>
      <c r="K576" s="5" t="str">
        <f t="shared" si="2"/>
        <v/>
      </c>
    </row>
    <row r="577" spans="1:11" ht="14.4">
      <c r="A577" s="23"/>
      <c r="B577" s="22"/>
      <c r="C577" s="24"/>
      <c r="D577" s="22"/>
      <c r="E577" s="25"/>
      <c r="F577" s="22"/>
      <c r="G577" s="22"/>
      <c r="H577" s="22"/>
      <c r="I577" s="22"/>
      <c r="J577" s="13" t="str">
        <f t="array" ref="J577">IFERROR(INDEX(BasedatosM9!B:B, MATCH(A577, BasedatosM9!E:E, 0)), "")</f>
        <v/>
      </c>
      <c r="K577" s="5" t="str">
        <f t="shared" si="2"/>
        <v/>
      </c>
    </row>
    <row r="578" spans="1:11" ht="14.4">
      <c r="A578" s="23"/>
      <c r="B578" s="22"/>
      <c r="C578" s="24"/>
      <c r="D578" s="22"/>
      <c r="E578" s="25"/>
      <c r="F578" s="22"/>
      <c r="G578" s="22"/>
      <c r="H578" s="22"/>
      <c r="I578" s="22"/>
      <c r="J578" s="13" t="str">
        <f t="array" ref="J578">IFERROR(INDEX(BasedatosM9!B:B, MATCH(A578, BasedatosM9!E:E, 0)), "")</f>
        <v/>
      </c>
      <c r="K578" s="5" t="str">
        <f t="shared" si="2"/>
        <v/>
      </c>
    </row>
    <row r="579" spans="1:11" ht="14.4">
      <c r="A579" s="23"/>
      <c r="B579" s="22"/>
      <c r="C579" s="24"/>
      <c r="D579" s="22"/>
      <c r="E579" s="25"/>
      <c r="F579" s="22"/>
      <c r="G579" s="22"/>
      <c r="H579" s="22"/>
      <c r="I579" s="22"/>
      <c r="J579" s="13" t="str">
        <f t="array" ref="J579">IFERROR(INDEX(BasedatosM9!B:B, MATCH(A579, BasedatosM9!E:E, 0)), "")</f>
        <v/>
      </c>
      <c r="K579" s="5" t="str">
        <f t="shared" si="2"/>
        <v/>
      </c>
    </row>
    <row r="580" spans="1:11" ht="14.4">
      <c r="A580" s="23"/>
      <c r="B580" s="22"/>
      <c r="C580" s="24"/>
      <c r="D580" s="22"/>
      <c r="E580" s="25"/>
      <c r="F580" s="22"/>
      <c r="G580" s="22"/>
      <c r="H580" s="22"/>
      <c r="I580" s="22"/>
      <c r="J580" s="13" t="str">
        <f t="array" ref="J580">IFERROR(INDEX(BasedatosM9!B:B, MATCH(A580, BasedatosM9!E:E, 0)), "")</f>
        <v/>
      </c>
      <c r="K580" s="5" t="str">
        <f t="shared" si="2"/>
        <v/>
      </c>
    </row>
    <row r="581" spans="1:11" ht="14.4">
      <c r="A581" s="23"/>
      <c r="B581" s="22"/>
      <c r="C581" s="24"/>
      <c r="D581" s="22"/>
      <c r="E581" s="25"/>
      <c r="F581" s="22"/>
      <c r="G581" s="22"/>
      <c r="H581" s="22"/>
      <c r="I581" s="22"/>
      <c r="J581" s="13" t="str">
        <f t="array" ref="J581">IFERROR(INDEX(BasedatosM9!B:B, MATCH(A581, BasedatosM9!E:E, 0)), "")</f>
        <v/>
      </c>
      <c r="K581" s="5" t="str">
        <f t="shared" si="2"/>
        <v/>
      </c>
    </row>
    <row r="582" spans="1:11" ht="14.4">
      <c r="A582" s="23"/>
      <c r="B582" s="22"/>
      <c r="C582" s="24"/>
      <c r="D582" s="22"/>
      <c r="E582" s="25"/>
      <c r="F582" s="22"/>
      <c r="G582" s="22"/>
      <c r="H582" s="22"/>
      <c r="I582" s="22"/>
      <c r="J582" s="13" t="str">
        <f t="array" ref="J582">IFERROR(INDEX(BasedatosM9!B:B, MATCH(A582, BasedatosM9!E:E, 0)), "")</f>
        <v/>
      </c>
      <c r="K582" s="5" t="str">
        <f t="shared" si="2"/>
        <v/>
      </c>
    </row>
    <row r="583" spans="1:11" ht="14.4">
      <c r="A583" s="23"/>
      <c r="B583" s="22"/>
      <c r="C583" s="24"/>
      <c r="D583" s="22"/>
      <c r="E583" s="25"/>
      <c r="F583" s="22"/>
      <c r="G583" s="22"/>
      <c r="H583" s="22"/>
      <c r="I583" s="22"/>
      <c r="J583" s="13" t="str">
        <f t="array" ref="J583">IFERROR(INDEX(BasedatosM9!B:B, MATCH(A583, BasedatosM9!E:E, 0)), "")</f>
        <v/>
      </c>
      <c r="K583" s="5" t="str">
        <f t="shared" si="2"/>
        <v/>
      </c>
    </row>
    <row r="584" spans="1:11" ht="14.4">
      <c r="A584" s="23"/>
      <c r="B584" s="22"/>
      <c r="C584" s="24"/>
      <c r="D584" s="22"/>
      <c r="E584" s="25"/>
      <c r="F584" s="22"/>
      <c r="G584" s="22"/>
      <c r="H584" s="22"/>
      <c r="I584" s="22"/>
      <c r="J584" s="13" t="str">
        <f t="array" ref="J584">IFERROR(INDEX(BasedatosM9!B:B, MATCH(A584, BasedatosM9!E:E, 0)), "")</f>
        <v/>
      </c>
      <c r="K584" s="5" t="str">
        <f t="shared" si="2"/>
        <v/>
      </c>
    </row>
    <row r="585" spans="1:11" ht="14.4">
      <c r="A585" s="23"/>
      <c r="B585" s="22"/>
      <c r="C585" s="24"/>
      <c r="D585" s="22"/>
      <c r="E585" s="25"/>
      <c r="F585" s="22"/>
      <c r="G585" s="22"/>
      <c r="H585" s="22"/>
      <c r="I585" s="22"/>
      <c r="J585" s="13" t="str">
        <f t="array" ref="J585">IFERROR(INDEX(BasedatosM9!B:B, MATCH(A585, BasedatosM9!E:E, 0)), "")</f>
        <v/>
      </c>
      <c r="K585" s="5" t="str">
        <f t="shared" si="2"/>
        <v/>
      </c>
    </row>
    <row r="586" spans="1:11" ht="14.4">
      <c r="A586" s="23"/>
      <c r="B586" s="22"/>
      <c r="C586" s="24"/>
      <c r="D586" s="22"/>
      <c r="E586" s="25"/>
      <c r="F586" s="22"/>
      <c r="G586" s="22"/>
      <c r="H586" s="22"/>
      <c r="I586" s="22"/>
      <c r="J586" s="13" t="str">
        <f t="array" ref="J586">IFERROR(INDEX(BasedatosM9!B:B, MATCH(A586, BasedatosM9!E:E, 0)), "")</f>
        <v/>
      </c>
      <c r="K586" s="5" t="str">
        <f t="shared" si="2"/>
        <v/>
      </c>
    </row>
    <row r="587" spans="1:11" ht="14.4">
      <c r="A587" s="23"/>
      <c r="B587" s="22"/>
      <c r="C587" s="24"/>
      <c r="D587" s="22"/>
      <c r="E587" s="25"/>
      <c r="F587" s="22"/>
      <c r="G587" s="22"/>
      <c r="H587" s="22"/>
      <c r="I587" s="22"/>
      <c r="J587" s="13" t="str">
        <f t="array" ref="J587">IFERROR(INDEX(BasedatosM9!B:B, MATCH(A587, BasedatosM9!E:E, 0)), "")</f>
        <v/>
      </c>
      <c r="K587" s="5" t="str">
        <f t="shared" si="2"/>
        <v/>
      </c>
    </row>
    <row r="588" spans="1:11" ht="14.4">
      <c r="A588" s="23"/>
      <c r="B588" s="22"/>
      <c r="C588" s="24"/>
      <c r="D588" s="22"/>
      <c r="E588" s="25"/>
      <c r="F588" s="22"/>
      <c r="G588" s="22"/>
      <c r="H588" s="22"/>
      <c r="I588" s="22"/>
      <c r="J588" s="13" t="str">
        <f t="array" ref="J588">IFERROR(INDEX(BasedatosM9!B:B, MATCH(A588, BasedatosM9!E:E, 0)), "")</f>
        <v/>
      </c>
      <c r="K588" s="5" t="str">
        <f t="shared" si="2"/>
        <v/>
      </c>
    </row>
    <row r="589" spans="1:11" ht="14.4">
      <c r="A589" s="23"/>
      <c r="B589" s="22"/>
      <c r="C589" s="24"/>
      <c r="D589" s="22"/>
      <c r="E589" s="25"/>
      <c r="F589" s="22"/>
      <c r="G589" s="22"/>
      <c r="H589" s="22"/>
      <c r="I589" s="22"/>
      <c r="J589" s="13" t="str">
        <f t="array" ref="J589">IFERROR(INDEX(BasedatosM9!B:B, MATCH(A589, BasedatosM9!E:E, 0)), "")</f>
        <v/>
      </c>
      <c r="K589" s="5" t="str">
        <f t="shared" si="2"/>
        <v/>
      </c>
    </row>
    <row r="590" spans="1:11" ht="14.4">
      <c r="A590" s="23"/>
      <c r="B590" s="22"/>
      <c r="C590" s="24"/>
      <c r="D590" s="22"/>
      <c r="E590" s="25"/>
      <c r="F590" s="22"/>
      <c r="G590" s="22"/>
      <c r="H590" s="22"/>
      <c r="I590" s="22"/>
      <c r="J590" s="13" t="str">
        <f t="array" ref="J590">IFERROR(INDEX(BasedatosM9!B:B, MATCH(A590, BasedatosM9!E:E, 0)), "")</f>
        <v/>
      </c>
      <c r="K590" s="5" t="str">
        <f t="shared" si="2"/>
        <v/>
      </c>
    </row>
    <row r="591" spans="1:11" ht="14.4">
      <c r="A591" s="23"/>
      <c r="B591" s="22"/>
      <c r="C591" s="24"/>
      <c r="D591" s="22"/>
      <c r="E591" s="25"/>
      <c r="F591" s="22"/>
      <c r="G591" s="22"/>
      <c r="H591" s="22"/>
      <c r="I591" s="22"/>
      <c r="J591" s="13" t="str">
        <f t="array" ref="J591">IFERROR(INDEX(BasedatosM9!B:B, MATCH(A591, BasedatosM9!E:E, 0)), "")</f>
        <v/>
      </c>
      <c r="K591" s="5" t="str">
        <f t="shared" si="2"/>
        <v/>
      </c>
    </row>
    <row r="592" spans="1:11" ht="14.4">
      <c r="A592" s="23"/>
      <c r="B592" s="22"/>
      <c r="C592" s="24"/>
      <c r="D592" s="22"/>
      <c r="E592" s="25"/>
      <c r="F592" s="22"/>
      <c r="G592" s="22"/>
      <c r="H592" s="22"/>
      <c r="I592" s="22"/>
      <c r="J592" s="13" t="str">
        <f t="array" ref="J592">IFERROR(INDEX(BasedatosM9!B:B, MATCH(A592, BasedatosM9!E:E, 0)), "")</f>
        <v/>
      </c>
      <c r="K592" s="5" t="str">
        <f t="shared" si="2"/>
        <v/>
      </c>
    </row>
    <row r="593" spans="1:11" ht="14.4">
      <c r="A593" s="23"/>
      <c r="B593" s="22"/>
      <c r="C593" s="24"/>
      <c r="D593" s="22"/>
      <c r="E593" s="25"/>
      <c r="F593" s="22"/>
      <c r="G593" s="22"/>
      <c r="H593" s="22"/>
      <c r="I593" s="22"/>
      <c r="J593" s="13" t="str">
        <f t="array" ref="J593">IFERROR(INDEX(BasedatosM9!B:B, MATCH(A593, BasedatosM9!E:E, 0)), "")</f>
        <v/>
      </c>
      <c r="K593" s="5" t="str">
        <f t="shared" si="2"/>
        <v/>
      </c>
    </row>
    <row r="594" spans="1:11" ht="14.4">
      <c r="A594" s="23"/>
      <c r="B594" s="22"/>
      <c r="C594" s="24"/>
      <c r="D594" s="22"/>
      <c r="E594" s="25"/>
      <c r="F594" s="22"/>
      <c r="G594" s="22"/>
      <c r="H594" s="22"/>
      <c r="I594" s="22"/>
      <c r="J594" s="13" t="str">
        <f t="array" ref="J594">IFERROR(INDEX(BasedatosM9!B:B, MATCH(A594, BasedatosM9!E:E, 0)), "")</f>
        <v/>
      </c>
      <c r="K594" s="5" t="str">
        <f t="shared" si="2"/>
        <v/>
      </c>
    </row>
    <row r="595" spans="1:11" ht="14.4">
      <c r="A595" s="23"/>
      <c r="B595" s="22"/>
      <c r="C595" s="24"/>
      <c r="D595" s="22"/>
      <c r="E595" s="25"/>
      <c r="F595" s="22"/>
      <c r="G595" s="22"/>
      <c r="H595" s="22"/>
      <c r="I595" s="22"/>
      <c r="J595" s="13" t="str">
        <f t="array" ref="J595">IFERROR(INDEX(BasedatosM9!B:B, MATCH(A595, BasedatosM9!E:E, 0)), "")</f>
        <v/>
      </c>
      <c r="K595" s="5" t="str">
        <f t="shared" si="2"/>
        <v/>
      </c>
    </row>
    <row r="596" spans="1:11" ht="14.4">
      <c r="A596" s="23"/>
      <c r="B596" s="22"/>
      <c r="C596" s="24"/>
      <c r="D596" s="22"/>
      <c r="E596" s="25"/>
      <c r="F596" s="22"/>
      <c r="G596" s="22"/>
      <c r="H596" s="22"/>
      <c r="I596" s="22"/>
      <c r="J596" s="13" t="str">
        <f t="array" ref="J596">IFERROR(INDEX(BasedatosM9!B:B, MATCH(A596, BasedatosM9!E:E, 0)), "")</f>
        <v/>
      </c>
      <c r="K596" s="5" t="str">
        <f t="shared" si="2"/>
        <v/>
      </c>
    </row>
    <row r="597" spans="1:11" ht="14.4">
      <c r="A597" s="23"/>
      <c r="B597" s="22"/>
      <c r="C597" s="24"/>
      <c r="D597" s="22"/>
      <c r="E597" s="25"/>
      <c r="F597" s="22"/>
      <c r="G597" s="22"/>
      <c r="H597" s="22"/>
      <c r="I597" s="22"/>
      <c r="J597" s="13" t="str">
        <f t="array" ref="J597">IFERROR(INDEX(BasedatosM9!B:B, MATCH(A597, BasedatosM9!E:E, 0)), "")</f>
        <v/>
      </c>
      <c r="K597" s="5" t="str">
        <f t="shared" si="2"/>
        <v/>
      </c>
    </row>
    <row r="598" spans="1:11" ht="14.4">
      <c r="A598" s="23"/>
      <c r="B598" s="22"/>
      <c r="C598" s="24"/>
      <c r="D598" s="22"/>
      <c r="E598" s="25"/>
      <c r="F598" s="22"/>
      <c r="G598" s="22"/>
      <c r="H598" s="22"/>
      <c r="I598" s="22"/>
      <c r="J598" s="13" t="str">
        <f t="array" ref="J598">IFERROR(INDEX(BasedatosM9!B:B, MATCH(A598, BasedatosM9!E:E, 0)), "")</f>
        <v/>
      </c>
      <c r="K598" s="5" t="str">
        <f t="shared" si="2"/>
        <v/>
      </c>
    </row>
    <row r="599" spans="1:11" ht="14.4">
      <c r="A599" s="23"/>
      <c r="B599" s="22"/>
      <c r="C599" s="24"/>
      <c r="D599" s="22"/>
      <c r="E599" s="25"/>
      <c r="F599" s="22"/>
      <c r="G599" s="22"/>
      <c r="H599" s="22"/>
      <c r="I599" s="22"/>
      <c r="J599" s="13" t="str">
        <f t="array" ref="J599">IFERROR(INDEX(BasedatosM9!B:B, MATCH(A599, BasedatosM9!E:E, 0)), "")</f>
        <v/>
      </c>
      <c r="K599" s="5" t="str">
        <f t="shared" si="2"/>
        <v/>
      </c>
    </row>
    <row r="600" spans="1:11" ht="14.4">
      <c r="A600" s="23"/>
      <c r="B600" s="22"/>
      <c r="C600" s="24"/>
      <c r="D600" s="22"/>
      <c r="E600" s="25"/>
      <c r="F600" s="22"/>
      <c r="G600" s="22"/>
      <c r="H600" s="22"/>
      <c r="I600" s="22"/>
      <c r="J600" s="13" t="str">
        <f t="array" ref="J600">IFERROR(INDEX(BasedatosM9!B:B, MATCH(A600, BasedatosM9!E:E, 0)), "")</f>
        <v/>
      </c>
      <c r="K600" s="5" t="str">
        <f t="shared" si="2"/>
        <v/>
      </c>
    </row>
    <row r="601" spans="1:11" ht="14.4">
      <c r="A601" s="23"/>
      <c r="B601" s="22"/>
      <c r="C601" s="24"/>
      <c r="D601" s="22"/>
      <c r="E601" s="25"/>
      <c r="F601" s="22"/>
      <c r="G601" s="22"/>
      <c r="H601" s="22"/>
      <c r="I601" s="22"/>
      <c r="J601" s="13" t="str">
        <f t="array" ref="J601">IFERROR(INDEX(BasedatosM9!B:B, MATCH(A601, BasedatosM9!E:E, 0)), "")</f>
        <v/>
      </c>
      <c r="K601" s="5" t="str">
        <f t="shared" si="2"/>
        <v/>
      </c>
    </row>
    <row r="602" spans="1:11" ht="14.4">
      <c r="A602" s="23"/>
      <c r="B602" s="22"/>
      <c r="C602" s="24"/>
      <c r="D602" s="22"/>
      <c r="E602" s="25"/>
      <c r="F602" s="22"/>
      <c r="G602" s="22"/>
      <c r="H602" s="22"/>
      <c r="I602" s="22"/>
      <c r="J602" s="13" t="str">
        <f t="array" ref="J602">IFERROR(INDEX(BasedatosM9!B:B, MATCH(A602, BasedatosM9!E:E, 0)), "")</f>
        <v/>
      </c>
      <c r="K602" s="5" t="str">
        <f t="shared" si="2"/>
        <v/>
      </c>
    </row>
    <row r="603" spans="1:11" ht="14.4">
      <c r="A603" s="23"/>
      <c r="B603" s="22"/>
      <c r="C603" s="24"/>
      <c r="D603" s="22"/>
      <c r="E603" s="25"/>
      <c r="F603" s="22"/>
      <c r="G603" s="22"/>
      <c r="H603" s="22"/>
      <c r="I603" s="22"/>
      <c r="J603" s="13" t="str">
        <f t="array" ref="J603">IFERROR(INDEX(BasedatosM9!B:B, MATCH(A603, BasedatosM9!E:E, 0)), "")</f>
        <v/>
      </c>
      <c r="K603" s="5" t="str">
        <f t="shared" si="2"/>
        <v/>
      </c>
    </row>
    <row r="604" spans="1:11" ht="14.4">
      <c r="A604" s="23"/>
      <c r="B604" s="22"/>
      <c r="C604" s="24"/>
      <c r="D604" s="22"/>
      <c r="E604" s="25"/>
      <c r="F604" s="22"/>
      <c r="G604" s="22"/>
      <c r="H604" s="22"/>
      <c r="I604" s="22"/>
      <c r="J604" s="13" t="str">
        <f t="array" ref="J604">IFERROR(INDEX(BasedatosM9!B:B, MATCH(A604, BasedatosM9!E:E, 0)), "")</f>
        <v/>
      </c>
      <c r="K604" s="5" t="str">
        <f t="shared" si="2"/>
        <v/>
      </c>
    </row>
    <row r="605" spans="1:11" ht="14.4">
      <c r="A605" s="23"/>
      <c r="B605" s="22"/>
      <c r="C605" s="24"/>
      <c r="D605" s="22"/>
      <c r="E605" s="25"/>
      <c r="F605" s="22"/>
      <c r="G605" s="22"/>
      <c r="H605" s="22"/>
      <c r="I605" s="22"/>
      <c r="J605" s="13" t="str">
        <f t="array" ref="J605">IFERROR(INDEX(BasedatosM9!B:B, MATCH(A605, BasedatosM9!E:E, 0)), "")</f>
        <v/>
      </c>
      <c r="K605" s="5" t="str">
        <f t="shared" si="2"/>
        <v/>
      </c>
    </row>
    <row r="606" spans="1:11" ht="14.4">
      <c r="A606" s="23"/>
      <c r="B606" s="22"/>
      <c r="C606" s="24"/>
      <c r="D606" s="22"/>
      <c r="E606" s="25"/>
      <c r="F606" s="22"/>
      <c r="G606" s="22"/>
      <c r="H606" s="22"/>
      <c r="I606" s="22"/>
      <c r="J606" s="13" t="str">
        <f t="array" ref="J606">IFERROR(INDEX(BasedatosM9!B:B, MATCH(A606, BasedatosM9!E:E, 0)), "")</f>
        <v/>
      </c>
      <c r="K606" s="5" t="str">
        <f t="shared" si="2"/>
        <v/>
      </c>
    </row>
    <row r="607" spans="1:11" ht="14.4">
      <c r="A607" s="23"/>
      <c r="B607" s="22"/>
      <c r="C607" s="24"/>
      <c r="D607" s="22"/>
      <c r="E607" s="25"/>
      <c r="F607" s="22"/>
      <c r="G607" s="22"/>
      <c r="H607" s="22"/>
      <c r="I607" s="22"/>
      <c r="J607" s="13" t="str">
        <f t="array" ref="J607">IFERROR(INDEX(BasedatosM9!B:B, MATCH(A607, BasedatosM9!E:E, 0)), "")</f>
        <v/>
      </c>
      <c r="K607" s="5" t="str">
        <f t="shared" si="2"/>
        <v/>
      </c>
    </row>
    <row r="608" spans="1:11" ht="14.4">
      <c r="A608" s="23"/>
      <c r="B608" s="22"/>
      <c r="C608" s="24"/>
      <c r="D608" s="22"/>
      <c r="E608" s="25"/>
      <c r="F608" s="22"/>
      <c r="G608" s="22"/>
      <c r="H608" s="22"/>
      <c r="I608" s="22"/>
      <c r="J608" s="13" t="str">
        <f t="array" ref="J608">IFERROR(INDEX(BasedatosM9!B:B, MATCH(A608, BasedatosM9!E:E, 0)), "")</f>
        <v/>
      </c>
      <c r="K608" s="5" t="str">
        <f t="shared" si="2"/>
        <v/>
      </c>
    </row>
    <row r="609" spans="1:11" ht="14.4">
      <c r="A609" s="23"/>
      <c r="B609" s="22"/>
      <c r="C609" s="24"/>
      <c r="D609" s="22"/>
      <c r="E609" s="25"/>
      <c r="F609" s="22"/>
      <c r="G609" s="22"/>
      <c r="H609" s="22"/>
      <c r="I609" s="22"/>
      <c r="J609" s="13" t="str">
        <f t="array" ref="J609">IFERROR(INDEX(BasedatosM9!B:B, MATCH(A609, BasedatosM9!E:E, 0)), "")</f>
        <v/>
      </c>
      <c r="K609" s="5" t="str">
        <f t="shared" si="2"/>
        <v/>
      </c>
    </row>
    <row r="610" spans="1:11" ht="14.4">
      <c r="A610" s="23"/>
      <c r="B610" s="22"/>
      <c r="C610" s="24"/>
      <c r="D610" s="22"/>
      <c r="E610" s="25"/>
      <c r="F610" s="22"/>
      <c r="G610" s="22"/>
      <c r="H610" s="22"/>
      <c r="I610" s="22"/>
      <c r="J610" s="13" t="str">
        <f t="array" ref="J610">IFERROR(INDEX(BasedatosM9!B:B, MATCH(A610, BasedatosM9!E:E, 0)), "")</f>
        <v/>
      </c>
      <c r="K610" s="5" t="str">
        <f t="shared" si="2"/>
        <v/>
      </c>
    </row>
    <row r="611" spans="1:11" ht="14.4">
      <c r="A611" s="23"/>
      <c r="B611" s="22"/>
      <c r="C611" s="24"/>
      <c r="D611" s="22"/>
      <c r="E611" s="25"/>
      <c r="F611" s="22"/>
      <c r="G611" s="22"/>
      <c r="H611" s="22"/>
      <c r="I611" s="22"/>
      <c r="J611" s="13" t="str">
        <f t="array" ref="J611">IFERROR(INDEX(BasedatosM9!B:B, MATCH(A611, BasedatosM9!E:E, 0)), "")</f>
        <v/>
      </c>
      <c r="K611" s="5" t="str">
        <f t="shared" si="2"/>
        <v/>
      </c>
    </row>
    <row r="612" spans="1:11" ht="14.4">
      <c r="A612" s="23"/>
      <c r="B612" s="22"/>
      <c r="C612" s="24"/>
      <c r="D612" s="22"/>
      <c r="E612" s="25"/>
      <c r="F612" s="22"/>
      <c r="G612" s="22"/>
      <c r="H612" s="22"/>
      <c r="I612" s="22"/>
      <c r="J612" s="13" t="str">
        <f t="array" ref="J612">IFERROR(INDEX(BasedatosM9!B:B, MATCH(A612, BasedatosM9!E:E, 0)), "")</f>
        <v/>
      </c>
      <c r="K612" s="5" t="str">
        <f t="shared" si="2"/>
        <v/>
      </c>
    </row>
    <row r="613" spans="1:11" ht="14.4">
      <c r="A613" s="23"/>
      <c r="B613" s="22"/>
      <c r="C613" s="24"/>
      <c r="D613" s="22"/>
      <c r="E613" s="25"/>
      <c r="F613" s="22"/>
      <c r="G613" s="22"/>
      <c r="H613" s="22"/>
      <c r="I613" s="22"/>
      <c r="J613" s="13" t="str">
        <f t="array" ref="J613">IFERROR(INDEX(BasedatosM9!B:B, MATCH(A613, BasedatosM9!E:E, 0)), "")</f>
        <v/>
      </c>
      <c r="K613" s="5" t="str">
        <f t="shared" si="2"/>
        <v/>
      </c>
    </row>
    <row r="614" spans="1:11" ht="14.4">
      <c r="A614" s="23"/>
      <c r="B614" s="22"/>
      <c r="C614" s="24"/>
      <c r="D614" s="22"/>
      <c r="E614" s="25"/>
      <c r="F614" s="22"/>
      <c r="G614" s="22"/>
      <c r="H614" s="22"/>
      <c r="I614" s="22"/>
      <c r="J614" s="13" t="str">
        <f t="array" ref="J614">IFERROR(INDEX(BasedatosM9!B:B, MATCH(A614, BasedatosM9!E:E, 0)), "")</f>
        <v/>
      </c>
      <c r="K614" s="5" t="str">
        <f t="shared" si="2"/>
        <v/>
      </c>
    </row>
    <row r="615" spans="1:11" ht="14.4">
      <c r="A615" s="23"/>
      <c r="B615" s="22"/>
      <c r="C615" s="24"/>
      <c r="D615" s="22"/>
      <c r="E615" s="25"/>
      <c r="F615" s="22"/>
      <c r="G615" s="22"/>
      <c r="H615" s="22"/>
      <c r="I615" s="22"/>
      <c r="J615" s="13" t="str">
        <f t="array" ref="J615">IFERROR(INDEX(BasedatosM9!B:B, MATCH(A615, BasedatosM9!E:E, 0)), "")</f>
        <v/>
      </c>
      <c r="K615" s="5" t="str">
        <f t="shared" si="2"/>
        <v/>
      </c>
    </row>
    <row r="616" spans="1:11" ht="14.4">
      <c r="A616" s="23"/>
      <c r="B616" s="22"/>
      <c r="C616" s="24"/>
      <c r="D616" s="22"/>
      <c r="E616" s="25"/>
      <c r="F616" s="22"/>
      <c r="G616" s="22"/>
      <c r="H616" s="22"/>
      <c r="I616" s="22"/>
      <c r="J616" s="13" t="str">
        <f t="array" ref="J616">IFERROR(INDEX(BasedatosM9!B:B, MATCH(A616, BasedatosM9!E:E, 0)), "")</f>
        <v/>
      </c>
      <c r="K616" s="5" t="str">
        <f t="shared" si="2"/>
        <v/>
      </c>
    </row>
    <row r="617" spans="1:11" ht="14.4">
      <c r="A617" s="23"/>
      <c r="B617" s="22"/>
      <c r="C617" s="24"/>
      <c r="D617" s="22"/>
      <c r="E617" s="25"/>
      <c r="F617" s="22"/>
      <c r="G617" s="22"/>
      <c r="H617" s="22"/>
      <c r="I617" s="22"/>
      <c r="J617" s="13" t="str">
        <f t="array" ref="J617">IFERROR(INDEX(BasedatosM9!B:B, MATCH(A617, BasedatosM9!E:E, 0)), "")</f>
        <v/>
      </c>
      <c r="K617" s="5" t="str">
        <f t="shared" si="2"/>
        <v/>
      </c>
    </row>
    <row r="618" spans="1:11" ht="14.4">
      <c r="A618" s="23"/>
      <c r="B618" s="22"/>
      <c r="C618" s="24"/>
      <c r="D618" s="22"/>
      <c r="E618" s="25"/>
      <c r="F618" s="22"/>
      <c r="G618" s="22"/>
      <c r="H618" s="22"/>
      <c r="I618" s="22"/>
      <c r="J618" s="13" t="str">
        <f t="array" ref="J618">IFERROR(INDEX(BasedatosM9!B:B, MATCH(A618, BasedatosM9!E:E, 0)), "")</f>
        <v/>
      </c>
      <c r="K618" s="5" t="str">
        <f t="shared" si="2"/>
        <v/>
      </c>
    </row>
    <row r="619" spans="1:11" ht="14.4">
      <c r="A619" s="23"/>
      <c r="B619" s="22"/>
      <c r="C619" s="24"/>
      <c r="D619" s="22"/>
      <c r="E619" s="25"/>
      <c r="F619" s="22"/>
      <c r="G619" s="22"/>
      <c r="H619" s="22"/>
      <c r="I619" s="22"/>
      <c r="J619" s="13" t="str">
        <f t="array" ref="J619">IFERROR(INDEX(BasedatosM9!B:B, MATCH(A619, BasedatosM9!E:E, 0)), "")</f>
        <v/>
      </c>
      <c r="K619" s="5" t="str">
        <f t="shared" si="2"/>
        <v/>
      </c>
    </row>
    <row r="620" spans="1:11" ht="14.4">
      <c r="A620" s="23"/>
      <c r="B620" s="22"/>
      <c r="C620" s="24"/>
      <c r="D620" s="22"/>
      <c r="E620" s="25"/>
      <c r="F620" s="22"/>
      <c r="G620" s="22"/>
      <c r="H620" s="22"/>
      <c r="I620" s="22"/>
      <c r="J620" s="13" t="str">
        <f t="array" ref="J620">IFERROR(INDEX(BasedatosM9!B:B, MATCH(A620, BasedatosM9!E:E, 0)), "")</f>
        <v/>
      </c>
      <c r="K620" s="5" t="str">
        <f t="shared" si="2"/>
        <v/>
      </c>
    </row>
    <row r="621" spans="1:11" ht="14.4">
      <c r="A621" s="23"/>
      <c r="B621" s="22"/>
      <c r="C621" s="24"/>
      <c r="D621" s="22"/>
      <c r="E621" s="25"/>
      <c r="F621" s="22"/>
      <c r="G621" s="22"/>
      <c r="H621" s="22"/>
      <c r="I621" s="22"/>
      <c r="J621" s="13" t="str">
        <f t="array" ref="J621">IFERROR(INDEX(BasedatosM9!B:B, MATCH(A621, BasedatosM9!E:E, 0)), "")</f>
        <v/>
      </c>
      <c r="K621" s="5" t="str">
        <f t="shared" si="2"/>
        <v/>
      </c>
    </row>
    <row r="622" spans="1:11" ht="14.4">
      <c r="A622" s="23"/>
      <c r="B622" s="22"/>
      <c r="C622" s="24"/>
      <c r="D622" s="22"/>
      <c r="E622" s="25"/>
      <c r="F622" s="22"/>
      <c r="G622" s="22"/>
      <c r="H622" s="22"/>
      <c r="I622" s="22"/>
      <c r="J622" s="13" t="str">
        <f t="array" ref="J622">IFERROR(INDEX(BasedatosM9!B:B, MATCH(A622, BasedatosM9!E:E, 0)), "")</f>
        <v/>
      </c>
      <c r="K622" s="5" t="str">
        <f t="shared" si="2"/>
        <v/>
      </c>
    </row>
    <row r="623" spans="1:11" ht="14.4">
      <c r="A623" s="23"/>
      <c r="B623" s="22"/>
      <c r="C623" s="24"/>
      <c r="D623" s="22"/>
      <c r="E623" s="25"/>
      <c r="F623" s="22"/>
      <c r="G623" s="22"/>
      <c r="H623" s="22"/>
      <c r="I623" s="22"/>
      <c r="J623" s="13" t="str">
        <f t="array" ref="J623">IFERROR(INDEX(BasedatosM9!B:B, MATCH(A623, BasedatosM9!E:E, 0)), "")</f>
        <v/>
      </c>
      <c r="K623" s="5" t="str">
        <f t="shared" si="2"/>
        <v/>
      </c>
    </row>
    <row r="624" spans="1:11" ht="14.4">
      <c r="A624" s="23"/>
      <c r="B624" s="22"/>
      <c r="C624" s="24"/>
      <c r="D624" s="22"/>
      <c r="E624" s="25"/>
      <c r="F624" s="22"/>
      <c r="G624" s="22"/>
      <c r="H624" s="22"/>
      <c r="I624" s="22"/>
      <c r="J624" s="13" t="str">
        <f t="array" ref="J624">IFERROR(INDEX(BasedatosM9!B:B, MATCH(A624, BasedatosM9!E:E, 0)), "")</f>
        <v/>
      </c>
      <c r="K624" s="5" t="str">
        <f t="shared" si="2"/>
        <v/>
      </c>
    </row>
    <row r="625" spans="1:11" ht="14.4">
      <c r="A625" s="23"/>
      <c r="B625" s="22"/>
      <c r="C625" s="24"/>
      <c r="D625" s="22"/>
      <c r="E625" s="25"/>
      <c r="F625" s="22"/>
      <c r="G625" s="22"/>
      <c r="H625" s="22"/>
      <c r="I625" s="22"/>
      <c r="J625" s="13" t="str">
        <f t="array" ref="J625">IFERROR(INDEX(BasedatosM9!B:B, MATCH(A625, BasedatosM9!E:E, 0)), "")</f>
        <v/>
      </c>
      <c r="K625" s="5" t="str">
        <f t="shared" si="2"/>
        <v/>
      </c>
    </row>
    <row r="626" spans="1:11" ht="14.4">
      <c r="A626" s="23"/>
      <c r="B626" s="22"/>
      <c r="C626" s="24"/>
      <c r="D626" s="22"/>
      <c r="E626" s="25"/>
      <c r="F626" s="22"/>
      <c r="G626" s="22"/>
      <c r="H626" s="22"/>
      <c r="I626" s="22"/>
      <c r="J626" s="13" t="str">
        <f t="array" ref="J626">IFERROR(INDEX(BasedatosM9!B:B, MATCH(A626, BasedatosM9!E:E, 0)), "")</f>
        <v/>
      </c>
      <c r="K626" s="5" t="str">
        <f t="shared" si="2"/>
        <v/>
      </c>
    </row>
    <row r="627" spans="1:11" ht="14.4">
      <c r="A627" s="23"/>
      <c r="B627" s="22"/>
      <c r="C627" s="24"/>
      <c r="D627" s="22"/>
      <c r="E627" s="25"/>
      <c r="F627" s="22"/>
      <c r="G627" s="22"/>
      <c r="H627" s="22"/>
      <c r="I627" s="22"/>
      <c r="J627" s="13" t="str">
        <f t="array" ref="J627">IFERROR(INDEX(BasedatosM9!B:B, MATCH(A627, BasedatosM9!E:E, 0)), "")</f>
        <v/>
      </c>
      <c r="K627" s="5" t="str">
        <f t="shared" si="2"/>
        <v/>
      </c>
    </row>
    <row r="628" spans="1:11" ht="14.4">
      <c r="A628" s="23"/>
      <c r="B628" s="22"/>
      <c r="C628" s="24"/>
      <c r="D628" s="22"/>
      <c r="E628" s="25"/>
      <c r="F628" s="22"/>
      <c r="G628" s="22"/>
      <c r="H628" s="22"/>
      <c r="I628" s="22"/>
      <c r="J628" s="13" t="str">
        <f t="array" ref="J628">IFERROR(INDEX(BasedatosM9!B:B, MATCH(A628, BasedatosM9!E:E, 0)), "")</f>
        <v/>
      </c>
      <c r="K628" s="5" t="str">
        <f t="shared" si="2"/>
        <v/>
      </c>
    </row>
    <row r="629" spans="1:11" ht="14.4">
      <c r="A629" s="23"/>
      <c r="B629" s="22"/>
      <c r="C629" s="24"/>
      <c r="D629" s="22"/>
      <c r="E629" s="25"/>
      <c r="F629" s="22"/>
      <c r="G629" s="22"/>
      <c r="H629" s="22"/>
      <c r="I629" s="22"/>
      <c r="J629" s="13" t="str">
        <f t="array" ref="J629">IFERROR(INDEX(BasedatosM9!B:B, MATCH(A629, BasedatosM9!E:E, 0)), "")</f>
        <v/>
      </c>
      <c r="K629" s="5" t="str">
        <f t="shared" si="2"/>
        <v/>
      </c>
    </row>
    <row r="630" spans="1:11" ht="14.4">
      <c r="A630" s="23"/>
      <c r="B630" s="22"/>
      <c r="C630" s="24"/>
      <c r="D630" s="22"/>
      <c r="E630" s="25"/>
      <c r="F630" s="22"/>
      <c r="G630" s="22"/>
      <c r="H630" s="22"/>
      <c r="I630" s="22"/>
      <c r="J630" s="13" t="str">
        <f t="array" ref="J630">IFERROR(INDEX(BasedatosM9!B:B, MATCH(A630, BasedatosM9!E:E, 0)), "")</f>
        <v/>
      </c>
      <c r="K630" s="5" t="str">
        <f t="shared" si="2"/>
        <v/>
      </c>
    </row>
    <row r="631" spans="1:11" ht="14.4">
      <c r="A631" s="23"/>
      <c r="B631" s="22"/>
      <c r="C631" s="24"/>
      <c r="D631" s="22"/>
      <c r="E631" s="25"/>
      <c r="F631" s="22"/>
      <c r="G631" s="22"/>
      <c r="H631" s="22"/>
      <c r="I631" s="22"/>
      <c r="J631" s="13" t="str">
        <f t="array" ref="J631">IFERROR(INDEX(BasedatosM9!B:B, MATCH(A631, BasedatosM9!E:E, 0)), "")</f>
        <v/>
      </c>
      <c r="K631" s="5" t="str">
        <f t="shared" si="2"/>
        <v/>
      </c>
    </row>
    <row r="632" spans="1:11" ht="14.4">
      <c r="A632" s="23"/>
      <c r="B632" s="22"/>
      <c r="C632" s="24"/>
      <c r="D632" s="22"/>
      <c r="E632" s="25"/>
      <c r="F632" s="22"/>
      <c r="G632" s="22"/>
      <c r="H632" s="22"/>
      <c r="I632" s="22"/>
      <c r="J632" s="13" t="str">
        <f t="array" ref="J632">IFERROR(INDEX(BasedatosM9!B:B, MATCH(A632, BasedatosM9!E:E, 0)), "")</f>
        <v/>
      </c>
      <c r="K632" s="5" t="str">
        <f t="shared" si="2"/>
        <v/>
      </c>
    </row>
    <row r="633" spans="1:11" ht="14.4">
      <c r="A633" s="23"/>
      <c r="B633" s="22"/>
      <c r="C633" s="24"/>
      <c r="D633" s="22"/>
      <c r="E633" s="25"/>
      <c r="F633" s="22"/>
      <c r="G633" s="22"/>
      <c r="H633" s="22"/>
      <c r="I633" s="22"/>
      <c r="J633" s="13" t="str">
        <f t="array" ref="J633">IFERROR(INDEX(BasedatosM9!B:B, MATCH(A633, BasedatosM9!E:E, 0)), "")</f>
        <v/>
      </c>
      <c r="K633" s="5" t="str">
        <f t="shared" si="2"/>
        <v/>
      </c>
    </row>
    <row r="634" spans="1:11" ht="14.4">
      <c r="A634" s="23"/>
      <c r="B634" s="22"/>
      <c r="C634" s="24"/>
      <c r="D634" s="22"/>
      <c r="E634" s="25"/>
      <c r="F634" s="22"/>
      <c r="G634" s="22"/>
      <c r="H634" s="22"/>
      <c r="I634" s="22"/>
      <c r="J634" s="13" t="str">
        <f t="array" ref="J634">IFERROR(INDEX(BasedatosM9!B:B, MATCH(A634, BasedatosM9!E:E, 0)), "")</f>
        <v/>
      </c>
      <c r="K634" s="5" t="str">
        <f t="shared" si="2"/>
        <v/>
      </c>
    </row>
    <row r="635" spans="1:11" ht="14.4">
      <c r="A635" s="23"/>
      <c r="B635" s="22"/>
      <c r="C635" s="24"/>
      <c r="D635" s="22"/>
      <c r="E635" s="25"/>
      <c r="F635" s="22"/>
      <c r="G635" s="22"/>
      <c r="H635" s="22"/>
      <c r="I635" s="22"/>
      <c r="J635" s="13" t="str">
        <f t="array" ref="J635">IFERROR(INDEX(BasedatosM9!B:B, MATCH(A635, BasedatosM9!E:E, 0)), "")</f>
        <v/>
      </c>
      <c r="K635" s="5" t="str">
        <f t="shared" si="2"/>
        <v/>
      </c>
    </row>
    <row r="636" spans="1:11" ht="14.4">
      <c r="A636" s="23"/>
      <c r="B636" s="22"/>
      <c r="C636" s="24"/>
      <c r="D636" s="22"/>
      <c r="E636" s="25"/>
      <c r="F636" s="22"/>
      <c r="G636" s="22"/>
      <c r="H636" s="22"/>
      <c r="I636" s="22"/>
      <c r="J636" s="13" t="str">
        <f t="array" ref="J636">IFERROR(INDEX(BasedatosM9!B:B, MATCH(A636, BasedatosM9!E:E, 0)), "")</f>
        <v/>
      </c>
      <c r="K636" s="5" t="str">
        <f t="shared" si="2"/>
        <v/>
      </c>
    </row>
    <row r="637" spans="1:11" ht="14.4">
      <c r="A637" s="23"/>
      <c r="B637" s="22"/>
      <c r="C637" s="24"/>
      <c r="D637" s="22"/>
      <c r="E637" s="25"/>
      <c r="F637" s="22"/>
      <c r="G637" s="22"/>
      <c r="H637" s="22"/>
      <c r="I637" s="22"/>
      <c r="J637" s="13" t="str">
        <f t="array" ref="J637">IFERROR(INDEX(BasedatosM9!B:B, MATCH(A637, BasedatosM9!E:E, 0)), "")</f>
        <v/>
      </c>
      <c r="K637" s="5" t="str">
        <f t="shared" si="2"/>
        <v/>
      </c>
    </row>
    <row r="638" spans="1:11" ht="14.4">
      <c r="A638" s="23"/>
      <c r="B638" s="22"/>
      <c r="C638" s="24"/>
      <c r="D638" s="22"/>
      <c r="E638" s="25"/>
      <c r="F638" s="22"/>
      <c r="G638" s="22"/>
      <c r="H638" s="22"/>
      <c r="I638" s="22"/>
      <c r="J638" s="13" t="str">
        <f t="array" ref="J638">IFERROR(INDEX(BasedatosM9!B:B, MATCH(A638, BasedatosM9!E:E, 0)), "")</f>
        <v/>
      </c>
      <c r="K638" s="5" t="str">
        <f t="shared" si="2"/>
        <v/>
      </c>
    </row>
    <row r="639" spans="1:11" ht="14.4">
      <c r="A639" s="23"/>
      <c r="B639" s="22"/>
      <c r="C639" s="24"/>
      <c r="D639" s="22"/>
      <c r="E639" s="25"/>
      <c r="F639" s="22"/>
      <c r="G639" s="22"/>
      <c r="H639" s="22"/>
      <c r="I639" s="22"/>
      <c r="J639" s="13" t="str">
        <f t="array" ref="J639">IFERROR(INDEX(BasedatosM9!B:B, MATCH(A639, BasedatosM9!E:E, 0)), "")</f>
        <v/>
      </c>
      <c r="K639" s="5" t="str">
        <f t="shared" si="2"/>
        <v/>
      </c>
    </row>
    <row r="640" spans="1:11" ht="14.4">
      <c r="A640" s="23"/>
      <c r="B640" s="22"/>
      <c r="C640" s="24"/>
      <c r="D640" s="22"/>
      <c r="E640" s="25"/>
      <c r="F640" s="22"/>
      <c r="G640" s="22"/>
      <c r="H640" s="22"/>
      <c r="I640" s="22"/>
      <c r="J640" s="13" t="str">
        <f t="array" ref="J640">IFERROR(INDEX(BasedatosM9!B:B, MATCH(A640, BasedatosM9!E:E, 0)), "")</f>
        <v/>
      </c>
      <c r="K640" s="5" t="str">
        <f t="shared" si="2"/>
        <v/>
      </c>
    </row>
    <row r="641" spans="1:11" ht="14.4">
      <c r="A641" s="23"/>
      <c r="B641" s="22"/>
      <c r="C641" s="24"/>
      <c r="D641" s="22"/>
      <c r="E641" s="25"/>
      <c r="F641" s="22"/>
      <c r="G641" s="22"/>
      <c r="H641" s="22"/>
      <c r="I641" s="22"/>
      <c r="J641" s="13" t="str">
        <f t="array" ref="J641">IFERROR(INDEX(BasedatosM9!B:B, MATCH(A641, BasedatosM9!E:E, 0)), "")</f>
        <v/>
      </c>
      <c r="K641" s="5" t="str">
        <f t="shared" si="2"/>
        <v/>
      </c>
    </row>
    <row r="642" spans="1:11" ht="14.4">
      <c r="A642" s="23"/>
      <c r="B642" s="22"/>
      <c r="C642" s="24"/>
      <c r="D642" s="22"/>
      <c r="E642" s="25"/>
      <c r="F642" s="22"/>
      <c r="G642" s="22"/>
      <c r="H642" s="22"/>
      <c r="I642" s="22"/>
      <c r="J642" s="13" t="str">
        <f t="array" ref="J642">IFERROR(INDEX(BasedatosM9!B:B, MATCH(A642, BasedatosM9!E:E, 0)), "")</f>
        <v/>
      </c>
      <c r="K642" s="5" t="str">
        <f t="shared" si="2"/>
        <v/>
      </c>
    </row>
    <row r="643" spans="1:11" ht="14.4">
      <c r="A643" s="23"/>
      <c r="B643" s="22"/>
      <c r="C643" s="24"/>
      <c r="D643" s="22"/>
      <c r="E643" s="25"/>
      <c r="F643" s="22"/>
      <c r="G643" s="22"/>
      <c r="H643" s="22"/>
      <c r="I643" s="22"/>
      <c r="J643" s="13" t="str">
        <f t="array" ref="J643">IFERROR(INDEX(BasedatosM9!B:B, MATCH(A643, BasedatosM9!E:E, 0)), "")</f>
        <v/>
      </c>
      <c r="K643" s="5" t="str">
        <f t="shared" si="2"/>
        <v/>
      </c>
    </row>
    <row r="644" spans="1:11" ht="14.4">
      <c r="A644" s="23"/>
      <c r="B644" s="22"/>
      <c r="C644" s="24"/>
      <c r="D644" s="22"/>
      <c r="E644" s="25"/>
      <c r="F644" s="22"/>
      <c r="G644" s="22"/>
      <c r="H644" s="22"/>
      <c r="I644" s="22"/>
      <c r="J644" s="13" t="str">
        <f t="array" ref="J644">IFERROR(INDEX(BasedatosM9!B:B, MATCH(A644, BasedatosM9!E:E, 0)), "")</f>
        <v/>
      </c>
      <c r="K644" s="5" t="str">
        <f t="shared" si="2"/>
        <v/>
      </c>
    </row>
    <row r="645" spans="1:11" ht="14.4">
      <c r="A645" s="23"/>
      <c r="B645" s="22"/>
      <c r="C645" s="24"/>
      <c r="D645" s="22"/>
      <c r="E645" s="25"/>
      <c r="F645" s="22"/>
      <c r="G645" s="22"/>
      <c r="H645" s="22"/>
      <c r="I645" s="22"/>
      <c r="J645" s="13" t="str">
        <f t="array" ref="J645">IFERROR(INDEX(BasedatosM9!B:B, MATCH(A645, BasedatosM9!E:E, 0)), "")</f>
        <v/>
      </c>
      <c r="K645" s="5" t="str">
        <f t="shared" si="2"/>
        <v/>
      </c>
    </row>
    <row r="646" spans="1:11" ht="14.4">
      <c r="A646" s="23"/>
      <c r="B646" s="22"/>
      <c r="C646" s="24"/>
      <c r="D646" s="22"/>
      <c r="E646" s="25"/>
      <c r="F646" s="22"/>
      <c r="G646" s="22"/>
      <c r="H646" s="22"/>
      <c r="I646" s="22"/>
      <c r="J646" s="13" t="str">
        <f t="array" ref="J646">IFERROR(INDEX(BasedatosM9!B:B, MATCH(A646, BasedatosM9!E:E, 0)), "")</f>
        <v/>
      </c>
      <c r="K646" s="5" t="str">
        <f t="shared" si="2"/>
        <v/>
      </c>
    </row>
    <row r="647" spans="1:11" ht="14.4">
      <c r="A647" s="23"/>
      <c r="B647" s="22"/>
      <c r="C647" s="24"/>
      <c r="D647" s="22"/>
      <c r="E647" s="25"/>
      <c r="F647" s="22"/>
      <c r="G647" s="22"/>
      <c r="H647" s="22"/>
      <c r="I647" s="22"/>
      <c r="J647" s="13" t="str">
        <f t="array" ref="J647">IFERROR(INDEX(BasedatosM9!B:B, MATCH(A647, BasedatosM9!E:E, 0)), "")</f>
        <v/>
      </c>
      <c r="K647" s="5" t="str">
        <f t="shared" si="2"/>
        <v/>
      </c>
    </row>
    <row r="648" spans="1:11" ht="14.4">
      <c r="A648" s="23"/>
      <c r="B648" s="22"/>
      <c r="C648" s="24"/>
      <c r="D648" s="22"/>
      <c r="E648" s="25"/>
      <c r="F648" s="22"/>
      <c r="G648" s="22"/>
      <c r="H648" s="22"/>
      <c r="I648" s="22"/>
      <c r="J648" s="13" t="str">
        <f t="array" ref="J648">IFERROR(INDEX(BasedatosM9!B:B, MATCH(A648, BasedatosM9!E:E, 0)), "")</f>
        <v/>
      </c>
      <c r="K648" s="5" t="str">
        <f t="shared" si="2"/>
        <v/>
      </c>
    </row>
    <row r="649" spans="1:11" ht="14.4">
      <c r="A649" s="23"/>
      <c r="B649" s="22"/>
      <c r="C649" s="24"/>
      <c r="D649" s="22"/>
      <c r="E649" s="25"/>
      <c r="F649" s="22"/>
      <c r="G649" s="22"/>
      <c r="H649" s="22"/>
      <c r="I649" s="22"/>
      <c r="J649" s="13" t="str">
        <f t="array" ref="J649">IFERROR(INDEX(BasedatosM9!B:B, MATCH(A649, BasedatosM9!E:E, 0)), "")</f>
        <v/>
      </c>
      <c r="K649" s="5" t="str">
        <f t="shared" si="2"/>
        <v/>
      </c>
    </row>
    <row r="650" spans="1:11" ht="14.4">
      <c r="A650" s="23"/>
      <c r="B650" s="22"/>
      <c r="C650" s="24"/>
      <c r="D650" s="22"/>
      <c r="E650" s="25"/>
      <c r="F650" s="22"/>
      <c r="G650" s="22"/>
      <c r="H650" s="22"/>
      <c r="I650" s="22"/>
      <c r="J650" s="13" t="str">
        <f t="array" ref="J650">IFERROR(INDEX(BasedatosM9!B:B, MATCH(A650, BasedatosM9!E:E, 0)), "")</f>
        <v/>
      </c>
      <c r="K650" s="5" t="str">
        <f t="shared" si="2"/>
        <v/>
      </c>
    </row>
    <row r="651" spans="1:11" ht="14.4">
      <c r="A651" s="23"/>
      <c r="B651" s="22"/>
      <c r="C651" s="24"/>
      <c r="D651" s="22"/>
      <c r="E651" s="25"/>
      <c r="F651" s="22"/>
      <c r="G651" s="22"/>
      <c r="H651" s="22"/>
      <c r="I651" s="22"/>
      <c r="J651" s="13" t="str">
        <f t="array" ref="J651">IFERROR(INDEX(BasedatosM9!B:B, MATCH(A651, BasedatosM9!E:E, 0)), "")</f>
        <v/>
      </c>
      <c r="K651" s="5" t="str">
        <f t="shared" si="2"/>
        <v/>
      </c>
    </row>
    <row r="652" spans="1:11" ht="14.4">
      <c r="A652" s="23"/>
      <c r="B652" s="22"/>
      <c r="C652" s="24"/>
      <c r="D652" s="22"/>
      <c r="E652" s="25"/>
      <c r="F652" s="22"/>
      <c r="G652" s="22"/>
      <c r="H652" s="22"/>
      <c r="I652" s="22"/>
      <c r="J652" s="13" t="str">
        <f t="array" ref="J652">IFERROR(INDEX(BasedatosM9!B:B, MATCH(A652, BasedatosM9!E:E, 0)), "")</f>
        <v/>
      </c>
      <c r="K652" s="5" t="str">
        <f t="shared" si="2"/>
        <v/>
      </c>
    </row>
    <row r="653" spans="1:11" ht="14.4">
      <c r="A653" s="23"/>
      <c r="B653" s="22"/>
      <c r="C653" s="24"/>
      <c r="D653" s="22"/>
      <c r="E653" s="25"/>
      <c r="F653" s="22"/>
      <c r="G653" s="22"/>
      <c r="H653" s="22"/>
      <c r="I653" s="22"/>
      <c r="J653" s="13" t="str">
        <f t="array" ref="J653">IFERROR(INDEX(BasedatosM9!B:B, MATCH(A653, BasedatosM9!E:E, 0)), "")</f>
        <v/>
      </c>
      <c r="K653" s="5" t="str">
        <f t="shared" si="2"/>
        <v/>
      </c>
    </row>
    <row r="654" spans="1:11" ht="14.4">
      <c r="A654" s="23"/>
      <c r="B654" s="22"/>
      <c r="C654" s="24"/>
      <c r="D654" s="22"/>
      <c r="E654" s="25"/>
      <c r="F654" s="22"/>
      <c r="G654" s="22"/>
      <c r="H654" s="22"/>
      <c r="I654" s="22"/>
      <c r="J654" s="13" t="str">
        <f t="array" ref="J654">IFERROR(INDEX(BasedatosM9!B:B, MATCH(A654, BasedatosM9!E:E, 0)), "")</f>
        <v/>
      </c>
      <c r="K654" s="5" t="str">
        <f t="shared" si="2"/>
        <v/>
      </c>
    </row>
    <row r="655" spans="1:11" ht="14.4">
      <c r="A655" s="23"/>
      <c r="B655" s="22"/>
      <c r="C655" s="24"/>
      <c r="D655" s="22"/>
      <c r="E655" s="25"/>
      <c r="F655" s="22"/>
      <c r="G655" s="22"/>
      <c r="H655" s="22"/>
      <c r="I655" s="22"/>
      <c r="J655" s="13" t="str">
        <f t="array" ref="J655">IFERROR(INDEX(BasedatosM9!B:B, MATCH(A655, BasedatosM9!E:E, 0)), "")</f>
        <v/>
      </c>
      <c r="K655" s="5" t="str">
        <f t="shared" si="2"/>
        <v/>
      </c>
    </row>
    <row r="656" spans="1:11" ht="14.4">
      <c r="A656" s="23"/>
      <c r="B656" s="22"/>
      <c r="C656" s="24"/>
      <c r="D656" s="22"/>
      <c r="E656" s="25"/>
      <c r="F656" s="22"/>
      <c r="G656" s="22"/>
      <c r="H656" s="22"/>
      <c r="I656" s="22"/>
      <c r="J656" s="13" t="str">
        <f t="array" ref="J656">IFERROR(INDEX(BasedatosM9!B:B, MATCH(A656, BasedatosM9!E:E, 0)), "")</f>
        <v/>
      </c>
      <c r="K656" s="5" t="str">
        <f t="shared" si="2"/>
        <v/>
      </c>
    </row>
    <row r="657" spans="1:11" ht="14.4">
      <c r="A657" s="23"/>
      <c r="B657" s="22"/>
      <c r="C657" s="24"/>
      <c r="D657" s="22"/>
      <c r="E657" s="25"/>
      <c r="F657" s="22"/>
      <c r="G657" s="22"/>
      <c r="H657" s="22"/>
      <c r="I657" s="22"/>
      <c r="J657" s="13" t="str">
        <f t="array" ref="J657">IFERROR(INDEX(BasedatosM9!B:B, MATCH(A657, BasedatosM9!E:E, 0)), "")</f>
        <v/>
      </c>
      <c r="K657" s="5" t="str">
        <f t="shared" si="2"/>
        <v/>
      </c>
    </row>
    <row r="658" spans="1:11" ht="14.4">
      <c r="A658" s="23"/>
      <c r="B658" s="22"/>
      <c r="C658" s="24"/>
      <c r="D658" s="22"/>
      <c r="E658" s="25"/>
      <c r="F658" s="22"/>
      <c r="G658" s="22"/>
      <c r="H658" s="22"/>
      <c r="I658" s="22"/>
      <c r="J658" s="13" t="str">
        <f t="array" ref="J658">IFERROR(INDEX(BasedatosM9!B:B, MATCH(A658, BasedatosM9!E:E, 0)), "")</f>
        <v/>
      </c>
      <c r="K658" s="5" t="str">
        <f t="shared" si="2"/>
        <v/>
      </c>
    </row>
    <row r="659" spans="1:11" ht="14.4">
      <c r="A659" s="23"/>
      <c r="B659" s="22"/>
      <c r="C659" s="24"/>
      <c r="D659" s="22"/>
      <c r="E659" s="25"/>
      <c r="F659" s="22"/>
      <c r="G659" s="22"/>
      <c r="H659" s="22"/>
      <c r="I659" s="22"/>
      <c r="J659" s="13" t="str">
        <f t="array" ref="J659">IFERROR(INDEX(BasedatosM9!B:B, MATCH(A659, BasedatosM9!E:E, 0)), "")</f>
        <v/>
      </c>
      <c r="K659" s="5" t="str">
        <f t="shared" si="2"/>
        <v/>
      </c>
    </row>
    <row r="660" spans="1:11" ht="14.4">
      <c r="A660" s="23"/>
      <c r="B660" s="22"/>
      <c r="C660" s="24"/>
      <c r="D660" s="22"/>
      <c r="E660" s="25"/>
      <c r="F660" s="22"/>
      <c r="G660" s="22"/>
      <c r="H660" s="22"/>
      <c r="I660" s="22"/>
      <c r="J660" s="13" t="str">
        <f t="array" ref="J660">IFERROR(INDEX(BasedatosM9!B:B, MATCH(A660, BasedatosM9!E:E, 0)), "")</f>
        <v/>
      </c>
      <c r="K660" s="5" t="str">
        <f t="shared" si="2"/>
        <v/>
      </c>
    </row>
    <row r="661" spans="1:11" ht="14.4">
      <c r="A661" s="23"/>
      <c r="B661" s="22"/>
      <c r="C661" s="24"/>
      <c r="D661" s="22"/>
      <c r="E661" s="25"/>
      <c r="F661" s="22"/>
      <c r="G661" s="22"/>
      <c r="H661" s="22"/>
      <c r="I661" s="22"/>
      <c r="J661" s="13" t="str">
        <f t="array" ref="J661">IFERROR(INDEX(BasedatosM9!B:B, MATCH(A661, BasedatosM9!E:E, 0)), "")</f>
        <v/>
      </c>
      <c r="K661" s="5" t="str">
        <f t="shared" si="2"/>
        <v/>
      </c>
    </row>
    <row r="662" spans="1:11" ht="14.4">
      <c r="A662" s="23"/>
      <c r="B662" s="22"/>
      <c r="C662" s="24"/>
      <c r="D662" s="22"/>
      <c r="E662" s="25"/>
      <c r="F662" s="22"/>
      <c r="G662" s="22"/>
      <c r="H662" s="22"/>
      <c r="I662" s="22"/>
      <c r="J662" s="13" t="str">
        <f t="array" ref="J662">IFERROR(INDEX(BasedatosM9!B:B, MATCH(A662, BasedatosM9!E:E, 0)), "")</f>
        <v/>
      </c>
      <c r="K662" s="5" t="str">
        <f t="shared" si="2"/>
        <v/>
      </c>
    </row>
    <row r="663" spans="1:11" ht="14.4">
      <c r="A663" s="23"/>
      <c r="B663" s="22"/>
      <c r="C663" s="24"/>
      <c r="D663" s="22"/>
      <c r="E663" s="25"/>
      <c r="F663" s="22"/>
      <c r="G663" s="22"/>
      <c r="H663" s="22"/>
      <c r="I663" s="22"/>
      <c r="J663" s="13" t="str">
        <f t="array" ref="J663">IFERROR(INDEX(BasedatosM9!B:B, MATCH(A663, BasedatosM9!E:E, 0)), "")</f>
        <v/>
      </c>
      <c r="K663" s="5" t="str">
        <f t="shared" si="2"/>
        <v/>
      </c>
    </row>
    <row r="664" spans="1:11" ht="14.4">
      <c r="A664" s="23"/>
      <c r="B664" s="22"/>
      <c r="C664" s="24"/>
      <c r="D664" s="22"/>
      <c r="E664" s="25"/>
      <c r="F664" s="22"/>
      <c r="G664" s="22"/>
      <c r="H664" s="22"/>
      <c r="I664" s="22"/>
      <c r="J664" s="13" t="str">
        <f t="array" ref="J664">IFERROR(INDEX(BasedatosM9!B:B, MATCH(A664, BasedatosM9!E:E, 0)), "")</f>
        <v/>
      </c>
      <c r="K664" s="5" t="str">
        <f t="shared" si="2"/>
        <v/>
      </c>
    </row>
    <row r="665" spans="1:11" ht="14.4">
      <c r="A665" s="23"/>
      <c r="B665" s="22"/>
      <c r="C665" s="24"/>
      <c r="D665" s="22"/>
      <c r="E665" s="25"/>
      <c r="F665" s="22"/>
      <c r="G665" s="22"/>
      <c r="H665" s="22"/>
      <c r="I665" s="22"/>
      <c r="J665" s="13" t="str">
        <f t="array" ref="J665">IFERROR(INDEX(BasedatosM9!B:B, MATCH(A665, BasedatosM9!E:E, 0)), "")</f>
        <v/>
      </c>
      <c r="K665" s="5" t="str">
        <f t="shared" si="2"/>
        <v/>
      </c>
    </row>
    <row r="666" spans="1:11" ht="14.4">
      <c r="A666" s="23"/>
      <c r="B666" s="22"/>
      <c r="C666" s="24"/>
      <c r="D666" s="22"/>
      <c r="E666" s="25"/>
      <c r="F666" s="22"/>
      <c r="G666" s="22"/>
      <c r="H666" s="22"/>
      <c r="I666" s="22"/>
      <c r="J666" s="13" t="str">
        <f t="array" ref="J666">IFERROR(INDEX(BasedatosM9!B:B, MATCH(A666, BasedatosM9!E:E, 0)), "")</f>
        <v/>
      </c>
      <c r="K666" s="5" t="str">
        <f t="shared" si="2"/>
        <v/>
      </c>
    </row>
    <row r="667" spans="1:11" ht="14.4">
      <c r="A667" s="23"/>
      <c r="B667" s="22"/>
      <c r="C667" s="24"/>
      <c r="D667" s="22"/>
      <c r="E667" s="25"/>
      <c r="F667" s="22"/>
      <c r="G667" s="22"/>
      <c r="H667" s="22"/>
      <c r="I667" s="22"/>
      <c r="J667" s="13" t="str">
        <f t="array" ref="J667">IFERROR(INDEX(BasedatosM9!B:B, MATCH(A667, BasedatosM9!E:E, 0)), "")</f>
        <v/>
      </c>
      <c r="K667" s="5" t="str">
        <f t="shared" si="2"/>
        <v/>
      </c>
    </row>
    <row r="668" spans="1:11" ht="14.4">
      <c r="A668" s="23"/>
      <c r="B668" s="22"/>
      <c r="C668" s="24"/>
      <c r="D668" s="22"/>
      <c r="E668" s="25"/>
      <c r="F668" s="22"/>
      <c r="G668" s="22"/>
      <c r="H668" s="22"/>
      <c r="I668" s="22"/>
      <c r="J668" s="13" t="str">
        <f t="array" ref="J668">IFERROR(INDEX(BasedatosM9!B:B, MATCH(A668, BasedatosM9!E:E, 0)), "")</f>
        <v/>
      </c>
      <c r="K668" s="5" t="str">
        <f t="shared" si="2"/>
        <v/>
      </c>
    </row>
    <row r="669" spans="1:11" ht="14.4">
      <c r="A669" s="23"/>
      <c r="B669" s="22"/>
      <c r="C669" s="24"/>
      <c r="D669" s="22"/>
      <c r="E669" s="25"/>
      <c r="F669" s="22"/>
      <c r="G669" s="22"/>
      <c r="H669" s="22"/>
      <c r="I669" s="22"/>
      <c r="J669" s="13" t="str">
        <f t="array" ref="J669">IFERROR(INDEX(BasedatosM9!B:B, MATCH(A669, BasedatosM9!E:E, 0)), "")</f>
        <v/>
      </c>
      <c r="K669" s="5" t="str">
        <f t="shared" si="2"/>
        <v/>
      </c>
    </row>
    <row r="670" spans="1:11" ht="14.4">
      <c r="A670" s="23"/>
      <c r="B670" s="22"/>
      <c r="C670" s="24"/>
      <c r="D670" s="22"/>
      <c r="E670" s="25"/>
      <c r="F670" s="22"/>
      <c r="G670" s="22"/>
      <c r="H670" s="22"/>
      <c r="I670" s="22"/>
      <c r="J670" s="13" t="str">
        <f t="array" ref="J670">IFERROR(INDEX(BasedatosM9!B:B, MATCH(A670, BasedatosM9!E:E, 0)), "")</f>
        <v/>
      </c>
      <c r="K670" s="5" t="str">
        <f t="shared" si="2"/>
        <v/>
      </c>
    </row>
    <row r="671" spans="1:11" ht="14.4">
      <c r="A671" s="23"/>
      <c r="B671" s="22"/>
      <c r="C671" s="24"/>
      <c r="D671" s="22"/>
      <c r="E671" s="25"/>
      <c r="F671" s="22"/>
      <c r="G671" s="22"/>
      <c r="H671" s="22"/>
      <c r="I671" s="22"/>
      <c r="J671" s="13" t="str">
        <f t="array" ref="J671">IFERROR(INDEX(BasedatosM9!B:B, MATCH(A671, BasedatosM9!E:E, 0)), "")</f>
        <v/>
      </c>
      <c r="K671" s="5" t="str">
        <f t="shared" si="2"/>
        <v/>
      </c>
    </row>
    <row r="672" spans="1:11" ht="14.4">
      <c r="A672" s="23"/>
      <c r="B672" s="22"/>
      <c r="C672" s="24"/>
      <c r="D672" s="22"/>
      <c r="E672" s="25"/>
      <c r="F672" s="22"/>
      <c r="G672" s="22"/>
      <c r="H672" s="22"/>
      <c r="I672" s="22"/>
      <c r="J672" s="13" t="str">
        <f t="array" ref="J672">IFERROR(INDEX(BasedatosM9!B:B, MATCH(A672, BasedatosM9!E:E, 0)), "")</f>
        <v/>
      </c>
      <c r="K672" s="5" t="str">
        <f t="shared" si="2"/>
        <v/>
      </c>
    </row>
    <row r="673" spans="1:11" ht="14.4">
      <c r="A673" s="23"/>
      <c r="B673" s="22"/>
      <c r="C673" s="24"/>
      <c r="D673" s="22"/>
      <c r="E673" s="25"/>
      <c r="F673" s="22"/>
      <c r="G673" s="22"/>
      <c r="H673" s="22"/>
      <c r="I673" s="22"/>
      <c r="J673" s="13" t="str">
        <f t="array" ref="J673">IFERROR(INDEX(BasedatosM9!B:B, MATCH(A673, BasedatosM9!E:E, 0)), "")</f>
        <v/>
      </c>
      <c r="K673" s="5" t="str">
        <f t="shared" si="2"/>
        <v/>
      </c>
    </row>
    <row r="674" spans="1:11" ht="14.4">
      <c r="A674" s="23"/>
      <c r="B674" s="22"/>
      <c r="C674" s="24"/>
      <c r="D674" s="22"/>
      <c r="E674" s="25"/>
      <c r="F674" s="22"/>
      <c r="G674" s="22"/>
      <c r="H674" s="22"/>
      <c r="I674" s="22"/>
      <c r="J674" s="13" t="str">
        <f t="array" ref="J674">IFERROR(INDEX(BasedatosM9!B:B, MATCH(A674, BasedatosM9!E:E, 0)), "")</f>
        <v/>
      </c>
      <c r="K674" s="5" t="str">
        <f t="shared" si="2"/>
        <v/>
      </c>
    </row>
    <row r="675" spans="1:11" ht="14.4">
      <c r="A675" s="23"/>
      <c r="B675" s="22"/>
      <c r="C675" s="24"/>
      <c r="D675" s="22"/>
      <c r="E675" s="25"/>
      <c r="F675" s="22"/>
      <c r="G675" s="22"/>
      <c r="H675" s="22"/>
      <c r="I675" s="22"/>
      <c r="J675" s="13" t="str">
        <f t="array" ref="J675">IFERROR(INDEX(BasedatosM9!B:B, MATCH(A675, BasedatosM9!E:E, 0)), "")</f>
        <v/>
      </c>
      <c r="K675" s="5" t="str">
        <f t="shared" si="2"/>
        <v/>
      </c>
    </row>
    <row r="676" spans="1:11" ht="14.4">
      <c r="A676" s="23"/>
      <c r="B676" s="22"/>
      <c r="C676" s="24"/>
      <c r="D676" s="22"/>
      <c r="E676" s="25"/>
      <c r="F676" s="22"/>
      <c r="G676" s="22"/>
      <c r="H676" s="22"/>
      <c r="I676" s="22"/>
      <c r="J676" s="13" t="str">
        <f t="array" ref="J676">IFERROR(INDEX(BasedatosM9!B:B, MATCH(A676, BasedatosM9!E:E, 0)), "")</f>
        <v/>
      </c>
      <c r="K676" s="5" t="str">
        <f t="shared" si="2"/>
        <v/>
      </c>
    </row>
    <row r="677" spans="1:11" ht="14.4">
      <c r="A677" s="23"/>
      <c r="B677" s="22"/>
      <c r="C677" s="24"/>
      <c r="D677" s="22"/>
      <c r="E677" s="25"/>
      <c r="F677" s="22"/>
      <c r="G677" s="22"/>
      <c r="H677" s="22"/>
      <c r="I677" s="22"/>
      <c r="J677" s="13" t="str">
        <f t="array" ref="J677">IFERROR(INDEX(BasedatosM9!B:B, MATCH(A677, BasedatosM9!E:E, 0)), "")</f>
        <v/>
      </c>
      <c r="K677" s="5" t="str">
        <f t="shared" si="2"/>
        <v/>
      </c>
    </row>
    <row r="678" spans="1:11" ht="14.4">
      <c r="A678" s="23"/>
      <c r="B678" s="22"/>
      <c r="C678" s="24"/>
      <c r="D678" s="22"/>
      <c r="E678" s="25"/>
      <c r="F678" s="22"/>
      <c r="G678" s="22"/>
      <c r="H678" s="22"/>
      <c r="I678" s="22"/>
      <c r="J678" s="13" t="str">
        <f t="array" ref="J678">IFERROR(INDEX(BasedatosM9!B:B, MATCH(A678, BasedatosM9!E:E, 0)), "")</f>
        <v/>
      </c>
      <c r="K678" s="5" t="str">
        <f t="shared" si="2"/>
        <v/>
      </c>
    </row>
    <row r="679" spans="1:11" ht="14.4">
      <c r="A679" s="23"/>
      <c r="B679" s="22"/>
      <c r="C679" s="24"/>
      <c r="D679" s="22"/>
      <c r="E679" s="25"/>
      <c r="F679" s="22"/>
      <c r="G679" s="22"/>
      <c r="H679" s="22"/>
      <c r="I679" s="22"/>
      <c r="J679" s="13" t="str">
        <f t="array" ref="J679">IFERROR(INDEX(BasedatosM9!B:B, MATCH(A679, BasedatosM9!E:E, 0)), "")</f>
        <v/>
      </c>
      <c r="K679" s="5" t="str">
        <f t="shared" si="2"/>
        <v/>
      </c>
    </row>
    <row r="680" spans="1:11" ht="14.4">
      <c r="A680" s="23"/>
      <c r="B680" s="22"/>
      <c r="C680" s="24"/>
      <c r="D680" s="22"/>
      <c r="E680" s="25"/>
      <c r="F680" s="22"/>
      <c r="G680" s="22"/>
      <c r="H680" s="22"/>
      <c r="I680" s="22"/>
      <c r="J680" s="13" t="str">
        <f t="array" ref="J680">IFERROR(INDEX(BasedatosM9!B:B, MATCH(A680, BasedatosM9!E:E, 0)), "")</f>
        <v/>
      </c>
      <c r="K680" s="5" t="str">
        <f t="shared" si="2"/>
        <v/>
      </c>
    </row>
    <row r="681" spans="1:11" ht="14.4">
      <c r="A681" s="23"/>
      <c r="B681" s="22"/>
      <c r="C681" s="24"/>
      <c r="D681" s="22"/>
      <c r="E681" s="25"/>
      <c r="F681" s="22"/>
      <c r="G681" s="22"/>
      <c r="H681" s="22"/>
      <c r="I681" s="22"/>
      <c r="J681" s="13" t="str">
        <f t="array" ref="J681">IFERROR(INDEX(BasedatosM9!B:B, MATCH(A681, BasedatosM9!E:E, 0)), "")</f>
        <v/>
      </c>
      <c r="K681" s="5" t="str">
        <f t="shared" si="2"/>
        <v/>
      </c>
    </row>
    <row r="682" spans="1:11" ht="14.4">
      <c r="A682" s="23"/>
      <c r="B682" s="22"/>
      <c r="C682" s="24"/>
      <c r="D682" s="22"/>
      <c r="E682" s="25"/>
      <c r="F682" s="22"/>
      <c r="G682" s="22"/>
      <c r="H682" s="22"/>
      <c r="I682" s="22"/>
      <c r="J682" s="13" t="str">
        <f t="array" ref="J682">IFERROR(INDEX(BasedatosM9!B:B, MATCH(A682, BasedatosM9!E:E, 0)), "")</f>
        <v/>
      </c>
      <c r="K682" s="5" t="str">
        <f t="shared" si="2"/>
        <v/>
      </c>
    </row>
    <row r="683" spans="1:11" ht="14.4">
      <c r="A683" s="23"/>
      <c r="B683" s="22"/>
      <c r="C683" s="24"/>
      <c r="D683" s="22"/>
      <c r="E683" s="25"/>
      <c r="F683" s="22"/>
      <c r="G683" s="22"/>
      <c r="H683" s="22"/>
      <c r="I683" s="22"/>
      <c r="J683" s="13" t="str">
        <f t="array" ref="J683">IFERROR(INDEX(BasedatosM9!B:B, MATCH(A683, BasedatosM9!E:E, 0)), "")</f>
        <v/>
      </c>
      <c r="K683" s="5" t="str">
        <f t="shared" si="2"/>
        <v/>
      </c>
    </row>
    <row r="684" spans="1:11" ht="14.4">
      <c r="A684" s="23"/>
      <c r="B684" s="22"/>
      <c r="C684" s="24"/>
      <c r="D684" s="22"/>
      <c r="E684" s="25"/>
      <c r="F684" s="22"/>
      <c r="G684" s="22"/>
      <c r="H684" s="22"/>
      <c r="I684" s="22"/>
      <c r="J684" s="13" t="str">
        <f t="array" ref="J684">IFERROR(INDEX(BasedatosM9!B:B, MATCH(A684, BasedatosM9!E:E, 0)), "")</f>
        <v/>
      </c>
      <c r="K684" s="5" t="str">
        <f t="shared" si="2"/>
        <v/>
      </c>
    </row>
    <row r="685" spans="1:11" ht="14.4">
      <c r="A685" s="23"/>
      <c r="B685" s="22"/>
      <c r="C685" s="24"/>
      <c r="D685" s="22"/>
      <c r="E685" s="25"/>
      <c r="F685" s="22"/>
      <c r="G685" s="22"/>
      <c r="H685" s="22"/>
      <c r="I685" s="22"/>
      <c r="J685" s="13" t="str">
        <f t="array" ref="J685">IFERROR(INDEX(BasedatosM9!B:B, MATCH(A685, BasedatosM9!E:E, 0)), "")</f>
        <v/>
      </c>
      <c r="K685" s="5" t="str">
        <f t="shared" si="2"/>
        <v/>
      </c>
    </row>
    <row r="686" spans="1:11" ht="14.4">
      <c r="A686" s="23"/>
      <c r="B686" s="22"/>
      <c r="C686" s="24"/>
      <c r="D686" s="22"/>
      <c r="E686" s="25"/>
      <c r="F686" s="22"/>
      <c r="G686" s="22"/>
      <c r="H686" s="22"/>
      <c r="I686" s="22"/>
      <c r="J686" s="13" t="str">
        <f t="array" ref="J686">IFERROR(INDEX(BasedatosM9!B:B, MATCH(A686, BasedatosM9!E:E, 0)), "")</f>
        <v/>
      </c>
      <c r="K686" s="5" t="str">
        <f t="shared" si="2"/>
        <v/>
      </c>
    </row>
    <row r="687" spans="1:11" ht="14.4">
      <c r="A687" s="23"/>
      <c r="B687" s="22"/>
      <c r="C687" s="24"/>
      <c r="D687" s="22"/>
      <c r="E687" s="25"/>
      <c r="F687" s="22"/>
      <c r="G687" s="22"/>
      <c r="H687" s="22"/>
      <c r="I687" s="22"/>
      <c r="J687" s="13" t="str">
        <f t="array" ref="J687">IFERROR(INDEX(BasedatosM9!B:B, MATCH(A687, BasedatosM9!E:E, 0)), "")</f>
        <v/>
      </c>
      <c r="K687" s="5" t="str">
        <f t="shared" si="2"/>
        <v/>
      </c>
    </row>
    <row r="688" spans="1:11" ht="14.4">
      <c r="A688" s="23"/>
      <c r="B688" s="22"/>
      <c r="C688" s="24"/>
      <c r="D688" s="22"/>
      <c r="E688" s="25"/>
      <c r="F688" s="22"/>
      <c r="G688" s="22"/>
      <c r="H688" s="22"/>
      <c r="I688" s="22"/>
      <c r="J688" s="13" t="str">
        <f t="array" ref="J688">IFERROR(INDEX(BasedatosM9!B:B, MATCH(A688, BasedatosM9!E:E, 0)), "")</f>
        <v/>
      </c>
      <c r="K688" s="5" t="str">
        <f t="shared" si="2"/>
        <v/>
      </c>
    </row>
    <row r="689" spans="1:11" ht="14.4">
      <c r="A689" s="23"/>
      <c r="B689" s="22"/>
      <c r="C689" s="24"/>
      <c r="D689" s="22"/>
      <c r="E689" s="25"/>
      <c r="F689" s="22"/>
      <c r="G689" s="22"/>
      <c r="H689" s="22"/>
      <c r="I689" s="22"/>
      <c r="J689" s="13" t="str">
        <f t="array" ref="J689">IFERROR(INDEX(BasedatosM9!B:B, MATCH(A689, BasedatosM9!E:E, 0)), "")</f>
        <v/>
      </c>
      <c r="K689" s="5" t="str">
        <f t="shared" si="2"/>
        <v/>
      </c>
    </row>
    <row r="690" spans="1:11" ht="14.4">
      <c r="A690" s="23"/>
      <c r="B690" s="22"/>
      <c r="C690" s="24"/>
      <c r="D690" s="22"/>
      <c r="E690" s="25"/>
      <c r="F690" s="22"/>
      <c r="G690" s="22"/>
      <c r="H690" s="22"/>
      <c r="I690" s="22"/>
      <c r="J690" s="13" t="str">
        <f t="array" ref="J690">IFERROR(INDEX(BasedatosM9!B:B, MATCH(A690, BasedatosM9!E:E, 0)), "")</f>
        <v/>
      </c>
      <c r="K690" s="5" t="str">
        <f t="shared" si="2"/>
        <v/>
      </c>
    </row>
    <row r="691" spans="1:11" ht="14.4">
      <c r="A691" s="23"/>
      <c r="B691" s="22"/>
      <c r="C691" s="24"/>
      <c r="D691" s="22"/>
      <c r="E691" s="25"/>
      <c r="F691" s="22"/>
      <c r="G691" s="22"/>
      <c r="H691" s="22"/>
      <c r="I691" s="22"/>
      <c r="J691" s="13" t="str">
        <f t="array" ref="J691">IFERROR(INDEX(BasedatosM9!B:B, MATCH(A691, BasedatosM9!E:E, 0)), "")</f>
        <v/>
      </c>
      <c r="K691" s="5" t="str">
        <f t="shared" si="2"/>
        <v/>
      </c>
    </row>
    <row r="692" spans="1:11" ht="14.4">
      <c r="A692" s="23"/>
      <c r="B692" s="22"/>
      <c r="C692" s="24"/>
      <c r="D692" s="22"/>
      <c r="E692" s="25"/>
      <c r="F692" s="22"/>
      <c r="G692" s="22"/>
      <c r="H692" s="22"/>
      <c r="I692" s="22"/>
      <c r="J692" s="13" t="str">
        <f t="array" ref="J692">IFERROR(INDEX(BasedatosM9!B:B, MATCH(A692, BasedatosM9!E:E, 0)), "")</f>
        <v/>
      </c>
      <c r="K692" s="5" t="str">
        <f t="shared" si="2"/>
        <v/>
      </c>
    </row>
    <row r="693" spans="1:11" ht="14.4">
      <c r="A693" s="23"/>
      <c r="B693" s="22"/>
      <c r="C693" s="24"/>
      <c r="D693" s="22"/>
      <c r="E693" s="25"/>
      <c r="F693" s="22"/>
      <c r="G693" s="22"/>
      <c r="H693" s="22"/>
      <c r="I693" s="22"/>
      <c r="J693" s="13" t="str">
        <f t="array" ref="J693">IFERROR(INDEX(BasedatosM9!B:B, MATCH(A693, BasedatosM9!E:E, 0)), "")</f>
        <v/>
      </c>
      <c r="K693" s="5" t="str">
        <f t="shared" si="2"/>
        <v/>
      </c>
    </row>
    <row r="694" spans="1:11" ht="14.4">
      <c r="A694" s="23"/>
      <c r="B694" s="22"/>
      <c r="C694" s="24"/>
      <c r="D694" s="22"/>
      <c r="E694" s="25"/>
      <c r="F694" s="22"/>
      <c r="G694" s="22"/>
      <c r="H694" s="22"/>
      <c r="I694" s="22"/>
      <c r="J694" s="13" t="str">
        <f t="array" ref="J694">IFERROR(INDEX(BasedatosM9!B:B, MATCH(A694, BasedatosM9!E:E, 0)), "")</f>
        <v/>
      </c>
      <c r="K694" s="5" t="str">
        <f t="shared" si="2"/>
        <v/>
      </c>
    </row>
    <row r="695" spans="1:11" ht="14.4">
      <c r="A695" s="23"/>
      <c r="B695" s="22"/>
      <c r="C695" s="24"/>
      <c r="D695" s="22"/>
      <c r="E695" s="25"/>
      <c r="F695" s="22"/>
      <c r="G695" s="22"/>
      <c r="H695" s="22"/>
      <c r="I695" s="22"/>
      <c r="J695" s="13" t="str">
        <f t="array" ref="J695">IFERROR(INDEX(BasedatosM9!B:B, MATCH(A695, BasedatosM9!E:E, 0)), "")</f>
        <v/>
      </c>
      <c r="K695" s="5" t="str">
        <f t="shared" si="2"/>
        <v/>
      </c>
    </row>
    <row r="696" spans="1:11" ht="14.4">
      <c r="A696" s="23"/>
      <c r="B696" s="22"/>
      <c r="C696" s="24"/>
      <c r="D696" s="22"/>
      <c r="E696" s="25"/>
      <c r="F696" s="22"/>
      <c r="G696" s="22"/>
      <c r="H696" s="22"/>
      <c r="I696" s="22"/>
      <c r="J696" s="13" t="str">
        <f t="array" ref="J696">IFERROR(INDEX(BasedatosM9!B:B, MATCH(A696, BasedatosM9!E:E, 0)), "")</f>
        <v/>
      </c>
      <c r="K696" s="5" t="str">
        <f t="shared" si="2"/>
        <v/>
      </c>
    </row>
    <row r="697" spans="1:11" ht="14.4">
      <c r="A697" s="23"/>
      <c r="B697" s="22"/>
      <c r="C697" s="24"/>
      <c r="D697" s="22"/>
      <c r="E697" s="25"/>
      <c r="F697" s="22"/>
      <c r="G697" s="22"/>
      <c r="H697" s="22"/>
      <c r="I697" s="22"/>
      <c r="J697" s="13" t="str">
        <f t="array" ref="J697">IFERROR(INDEX(BasedatosM9!B:B, MATCH(A697, BasedatosM9!E:E, 0)), "")</f>
        <v/>
      </c>
      <c r="K697" s="5" t="str">
        <f t="shared" si="2"/>
        <v/>
      </c>
    </row>
    <row r="698" spans="1:11" ht="14.4">
      <c r="A698" s="23"/>
      <c r="B698" s="22"/>
      <c r="C698" s="24"/>
      <c r="D698" s="22"/>
      <c r="E698" s="25"/>
      <c r="F698" s="22"/>
      <c r="G698" s="22"/>
      <c r="H698" s="22"/>
      <c r="I698" s="22"/>
      <c r="J698" s="13" t="str">
        <f t="array" ref="J698">IFERROR(INDEX(BasedatosM9!B:B, MATCH(A698, BasedatosM9!E:E, 0)), "")</f>
        <v/>
      </c>
      <c r="K698" s="5" t="str">
        <f t="shared" si="2"/>
        <v/>
      </c>
    </row>
    <row r="699" spans="1:11" ht="14.4">
      <c r="A699" s="23"/>
      <c r="B699" s="22"/>
      <c r="C699" s="24"/>
      <c r="D699" s="22"/>
      <c r="E699" s="25"/>
      <c r="F699" s="22"/>
      <c r="G699" s="22"/>
      <c r="H699" s="22"/>
      <c r="I699" s="22"/>
      <c r="J699" s="13" t="str">
        <f t="array" ref="J699">IFERROR(INDEX(BasedatosM9!B:B, MATCH(A699, BasedatosM9!E:E, 0)), "")</f>
        <v/>
      </c>
      <c r="K699" s="5" t="str">
        <f t="shared" si="2"/>
        <v/>
      </c>
    </row>
    <row r="700" spans="1:11" ht="14.4">
      <c r="A700" s="23"/>
      <c r="B700" s="22"/>
      <c r="C700" s="24"/>
      <c r="D700" s="22"/>
      <c r="E700" s="25"/>
      <c r="F700" s="22"/>
      <c r="G700" s="22"/>
      <c r="H700" s="22"/>
      <c r="I700" s="22"/>
      <c r="J700" s="13" t="str">
        <f t="array" ref="J700">IFERROR(INDEX(BasedatosM9!B:B, MATCH(A700, BasedatosM9!E:E, 0)), "")</f>
        <v/>
      </c>
      <c r="K700" s="5" t="str">
        <f t="shared" si="2"/>
        <v/>
      </c>
    </row>
    <row r="701" spans="1:11" ht="14.4">
      <c r="A701" s="23"/>
      <c r="B701" s="22"/>
      <c r="C701" s="24"/>
      <c r="D701" s="22"/>
      <c r="E701" s="25"/>
      <c r="F701" s="22"/>
      <c r="G701" s="22"/>
      <c r="H701" s="22"/>
      <c r="I701" s="22"/>
      <c r="J701" s="13" t="str">
        <f t="array" ref="J701">IFERROR(INDEX(BasedatosM9!B:B, MATCH(A701, BasedatosM9!E:E, 0)), "")</f>
        <v/>
      </c>
      <c r="K701" s="5" t="str">
        <f t="shared" si="2"/>
        <v/>
      </c>
    </row>
    <row r="702" spans="1:11" ht="14.4">
      <c r="A702" s="23"/>
      <c r="B702" s="22"/>
      <c r="C702" s="24"/>
      <c r="D702" s="22"/>
      <c r="E702" s="25"/>
      <c r="F702" s="22"/>
      <c r="G702" s="22"/>
      <c r="H702" s="22"/>
      <c r="I702" s="22"/>
      <c r="J702" s="13" t="str">
        <f t="array" ref="J702">IFERROR(INDEX(BasedatosM9!B:B, MATCH(A702, BasedatosM9!E:E, 0)), "")</f>
        <v/>
      </c>
      <c r="K702" s="5" t="str">
        <f t="shared" si="2"/>
        <v/>
      </c>
    </row>
    <row r="703" spans="1:11" ht="14.4">
      <c r="A703" s="23"/>
      <c r="B703" s="22"/>
      <c r="C703" s="24"/>
      <c r="D703" s="22"/>
      <c r="E703" s="25"/>
      <c r="F703" s="22"/>
      <c r="G703" s="22"/>
      <c r="H703" s="22"/>
      <c r="I703" s="22"/>
      <c r="J703" s="13" t="str">
        <f t="array" ref="J703">IFERROR(INDEX(BasedatosM9!B:B, MATCH(A703, BasedatosM9!E:E, 0)), "")</f>
        <v/>
      </c>
      <c r="K703" s="5" t="str">
        <f t="shared" si="2"/>
        <v/>
      </c>
    </row>
    <row r="704" spans="1:11" ht="14.4">
      <c r="A704" s="23"/>
      <c r="B704" s="22"/>
      <c r="C704" s="24"/>
      <c r="D704" s="22"/>
      <c r="E704" s="25"/>
      <c r="F704" s="22"/>
      <c r="G704" s="22"/>
      <c r="H704" s="22"/>
      <c r="I704" s="22"/>
      <c r="J704" s="13" t="str">
        <f t="array" ref="J704">IFERROR(INDEX(BasedatosM9!B:B, MATCH(A704, BasedatosM9!E:E, 0)), "")</f>
        <v/>
      </c>
      <c r="K704" s="5" t="str">
        <f t="shared" si="2"/>
        <v/>
      </c>
    </row>
    <row r="705" spans="1:11" ht="14.4">
      <c r="A705" s="23"/>
      <c r="B705" s="22"/>
      <c r="C705" s="24"/>
      <c r="D705" s="22"/>
      <c r="E705" s="25"/>
      <c r="F705" s="22"/>
      <c r="G705" s="22"/>
      <c r="H705" s="22"/>
      <c r="I705" s="22"/>
      <c r="J705" s="13" t="str">
        <f t="array" ref="J705">IFERROR(INDEX(BasedatosM9!B:B, MATCH(A705, BasedatosM9!E:E, 0)), "")</f>
        <v/>
      </c>
      <c r="K705" s="5" t="str">
        <f t="shared" si="2"/>
        <v/>
      </c>
    </row>
    <row r="706" spans="1:11" ht="14.4">
      <c r="A706" s="23"/>
      <c r="B706" s="22"/>
      <c r="C706" s="24"/>
      <c r="D706" s="22"/>
      <c r="E706" s="25"/>
      <c r="F706" s="22"/>
      <c r="G706" s="22"/>
      <c r="H706" s="22"/>
      <c r="I706" s="22"/>
      <c r="J706" s="13" t="str">
        <f t="array" ref="J706">IFERROR(INDEX(BasedatosM9!B:B, MATCH(A706, BasedatosM9!E:E, 0)), "")</f>
        <v/>
      </c>
      <c r="K706" s="5" t="str">
        <f t="shared" si="2"/>
        <v/>
      </c>
    </row>
    <row r="707" spans="1:11" ht="14.4">
      <c r="A707" s="23"/>
      <c r="B707" s="22"/>
      <c r="C707" s="24"/>
      <c r="D707" s="22"/>
      <c r="E707" s="25"/>
      <c r="F707" s="22"/>
      <c r="G707" s="22"/>
      <c r="H707" s="22"/>
      <c r="I707" s="22"/>
      <c r="J707" s="13" t="str">
        <f t="array" ref="J707">IFERROR(INDEX(BasedatosM9!B:B, MATCH(A707, BasedatosM9!E:E, 0)), "")</f>
        <v/>
      </c>
      <c r="K707" s="5" t="str">
        <f t="shared" si="2"/>
        <v/>
      </c>
    </row>
    <row r="708" spans="1:11" ht="14.4">
      <c r="A708" s="23"/>
      <c r="B708" s="22"/>
      <c r="C708" s="24"/>
      <c r="D708" s="22"/>
      <c r="E708" s="25"/>
      <c r="F708" s="22"/>
      <c r="G708" s="22"/>
      <c r="H708" s="22"/>
      <c r="I708" s="22"/>
      <c r="J708" s="13" t="str">
        <f t="array" ref="J708">IFERROR(INDEX(BasedatosM9!B:B, MATCH(A708, BasedatosM9!E:E, 0)), "")</f>
        <v/>
      </c>
      <c r="K708" s="5" t="str">
        <f t="shared" si="2"/>
        <v/>
      </c>
    </row>
    <row r="709" spans="1:11" ht="14.4">
      <c r="A709" s="23"/>
      <c r="B709" s="22"/>
      <c r="C709" s="24"/>
      <c r="D709" s="22"/>
      <c r="E709" s="25"/>
      <c r="F709" s="22"/>
      <c r="G709" s="22"/>
      <c r="H709" s="22"/>
      <c r="I709" s="22"/>
      <c r="J709" s="13" t="str">
        <f t="array" ref="J709">IFERROR(INDEX(BasedatosM9!B:B, MATCH(A709, BasedatosM9!E:E, 0)), "")</f>
        <v/>
      </c>
      <c r="K709" s="5" t="str">
        <f t="shared" si="2"/>
        <v/>
      </c>
    </row>
    <row r="710" spans="1:11" ht="14.4">
      <c r="A710" s="23"/>
      <c r="B710" s="22"/>
      <c r="C710" s="24"/>
      <c r="D710" s="22"/>
      <c r="E710" s="25"/>
      <c r="F710" s="22"/>
      <c r="G710" s="22"/>
      <c r="H710" s="22"/>
      <c r="I710" s="22"/>
      <c r="J710" s="13" t="str">
        <f t="array" ref="J710">IFERROR(INDEX(BasedatosM9!B:B, MATCH(A710, BasedatosM9!E:E, 0)), "")</f>
        <v/>
      </c>
      <c r="K710" s="5" t="str">
        <f t="shared" si="2"/>
        <v/>
      </c>
    </row>
    <row r="711" spans="1:11" ht="14.4">
      <c r="A711" s="23"/>
      <c r="B711" s="22"/>
      <c r="C711" s="24"/>
      <c r="D711" s="22"/>
      <c r="E711" s="25"/>
      <c r="F711" s="22"/>
      <c r="G711" s="22"/>
      <c r="H711" s="22"/>
      <c r="I711" s="22"/>
      <c r="J711" s="13" t="str">
        <f t="array" ref="J711">IFERROR(INDEX(BasedatosM9!B:B, MATCH(A711, BasedatosM9!E:E, 0)), "")</f>
        <v/>
      </c>
      <c r="K711" s="5" t="str">
        <f t="shared" si="2"/>
        <v/>
      </c>
    </row>
    <row r="712" spans="1:11" ht="14.4">
      <c r="A712" s="23"/>
      <c r="B712" s="22"/>
      <c r="C712" s="24"/>
      <c r="D712" s="22"/>
      <c r="E712" s="25"/>
      <c r="F712" s="22"/>
      <c r="G712" s="22"/>
      <c r="H712" s="22"/>
      <c r="I712" s="22"/>
      <c r="J712" s="13" t="str">
        <f t="array" ref="J712">IFERROR(INDEX(BasedatosM9!B:B, MATCH(A712, BasedatosM9!E:E, 0)), "")</f>
        <v/>
      </c>
      <c r="K712" s="5" t="str">
        <f t="shared" si="2"/>
        <v/>
      </c>
    </row>
    <row r="713" spans="1:11" ht="14.4">
      <c r="A713" s="23"/>
      <c r="B713" s="22"/>
      <c r="C713" s="24"/>
      <c r="D713" s="22"/>
      <c r="E713" s="25"/>
      <c r="F713" s="22"/>
      <c r="G713" s="22"/>
      <c r="H713" s="22"/>
      <c r="I713" s="22"/>
      <c r="J713" s="13" t="str">
        <f t="array" ref="J713">IFERROR(INDEX(BasedatosM9!B:B, MATCH(A713, BasedatosM9!E:E, 0)), "")</f>
        <v/>
      </c>
      <c r="K713" s="5" t="str">
        <f t="shared" si="2"/>
        <v/>
      </c>
    </row>
    <row r="714" spans="1:11" ht="14.4">
      <c r="A714" s="23"/>
      <c r="B714" s="22"/>
      <c r="C714" s="24"/>
      <c r="D714" s="22"/>
      <c r="E714" s="25"/>
      <c r="F714" s="22"/>
      <c r="G714" s="22"/>
      <c r="H714" s="22"/>
      <c r="I714" s="22"/>
      <c r="J714" s="13" t="str">
        <f t="array" ref="J714">IFERROR(INDEX(BasedatosM9!B:B, MATCH(A714, BasedatosM9!E:E, 0)), "")</f>
        <v/>
      </c>
      <c r="K714" s="5" t="str">
        <f t="shared" si="2"/>
        <v/>
      </c>
    </row>
    <row r="715" spans="1:11" ht="14.4">
      <c r="A715" s="23"/>
      <c r="B715" s="22"/>
      <c r="C715" s="24"/>
      <c r="D715" s="22"/>
      <c r="E715" s="25"/>
      <c r="F715" s="22"/>
      <c r="G715" s="22"/>
      <c r="H715" s="22"/>
      <c r="I715" s="22"/>
      <c r="J715" s="13" t="str">
        <f t="array" ref="J715">IFERROR(INDEX(BasedatosM9!B:B, MATCH(A715, BasedatosM9!E:E, 0)), "")</f>
        <v/>
      </c>
      <c r="K715" s="5" t="str">
        <f t="shared" si="2"/>
        <v/>
      </c>
    </row>
    <row r="716" spans="1:11" ht="14.4">
      <c r="A716" s="23"/>
      <c r="B716" s="22"/>
      <c r="C716" s="24"/>
      <c r="D716" s="22"/>
      <c r="E716" s="25"/>
      <c r="F716" s="22"/>
      <c r="G716" s="22"/>
      <c r="H716" s="22"/>
      <c r="I716" s="22"/>
      <c r="J716" s="13" t="str">
        <f t="array" ref="J716">IFERROR(INDEX(BasedatosM9!B:B, MATCH(A716, BasedatosM9!E:E, 0)), "")</f>
        <v/>
      </c>
      <c r="K716" s="5" t="str">
        <f t="shared" si="2"/>
        <v/>
      </c>
    </row>
    <row r="717" spans="1:11" ht="14.4">
      <c r="A717" s="23"/>
      <c r="B717" s="22"/>
      <c r="C717" s="24"/>
      <c r="D717" s="22"/>
      <c r="E717" s="25"/>
      <c r="F717" s="22"/>
      <c r="G717" s="22"/>
      <c r="H717" s="22"/>
      <c r="I717" s="22"/>
      <c r="J717" s="13" t="str">
        <f t="array" ref="J717">IFERROR(INDEX(BasedatosM9!B:B, MATCH(A717, BasedatosM9!E:E, 0)), "")</f>
        <v/>
      </c>
      <c r="K717" s="5" t="str">
        <f t="shared" si="2"/>
        <v/>
      </c>
    </row>
    <row r="718" spans="1:11" ht="14.4">
      <c r="A718" s="23"/>
      <c r="B718" s="22"/>
      <c r="C718" s="24"/>
      <c r="D718" s="22"/>
      <c r="E718" s="25"/>
      <c r="F718" s="22"/>
      <c r="G718" s="22"/>
      <c r="H718" s="22"/>
      <c r="I718" s="22"/>
      <c r="J718" s="13" t="str">
        <f t="array" ref="J718">IFERROR(INDEX(BasedatosM9!B:B, MATCH(A718, BasedatosM9!E:E, 0)), "")</f>
        <v/>
      </c>
      <c r="K718" s="5" t="str">
        <f t="shared" si="2"/>
        <v/>
      </c>
    </row>
    <row r="719" spans="1:11" ht="14.4">
      <c r="A719" s="23"/>
      <c r="B719" s="22"/>
      <c r="C719" s="24"/>
      <c r="D719" s="22"/>
      <c r="E719" s="25"/>
      <c r="F719" s="22"/>
      <c r="G719" s="22"/>
      <c r="H719" s="22"/>
      <c r="I719" s="22"/>
      <c r="J719" s="13" t="str">
        <f t="array" ref="J719">IFERROR(INDEX(BasedatosM9!B:B, MATCH(A719, BasedatosM9!E:E, 0)), "")</f>
        <v/>
      </c>
      <c r="K719" s="5" t="str">
        <f t="shared" si="2"/>
        <v/>
      </c>
    </row>
    <row r="720" spans="1:11" ht="14.4">
      <c r="A720" s="23"/>
      <c r="B720" s="22"/>
      <c r="C720" s="24"/>
      <c r="D720" s="22"/>
      <c r="E720" s="25"/>
      <c r="F720" s="22"/>
      <c r="G720" s="22"/>
      <c r="H720" s="22"/>
      <c r="I720" s="22"/>
      <c r="J720" s="13" t="str">
        <f t="array" ref="J720">IFERROR(INDEX(BasedatosM9!B:B, MATCH(A720, BasedatosM9!E:E, 0)), "")</f>
        <v/>
      </c>
      <c r="K720" s="5" t="str">
        <f t="shared" si="2"/>
        <v/>
      </c>
    </row>
    <row r="721" spans="1:11" ht="14.4">
      <c r="A721" s="23"/>
      <c r="B721" s="22"/>
      <c r="C721" s="24"/>
      <c r="D721" s="22"/>
      <c r="E721" s="25"/>
      <c r="F721" s="22"/>
      <c r="G721" s="22"/>
      <c r="H721" s="22"/>
      <c r="I721" s="22"/>
      <c r="J721" s="13" t="str">
        <f t="array" ref="J721">IFERROR(INDEX(BasedatosM9!B:B, MATCH(A721, BasedatosM9!E:E, 0)), "")</f>
        <v/>
      </c>
      <c r="K721" s="5" t="str">
        <f t="shared" si="2"/>
        <v/>
      </c>
    </row>
    <row r="722" spans="1:11" ht="14.4">
      <c r="A722" s="23"/>
      <c r="B722" s="22"/>
      <c r="C722" s="24"/>
      <c r="D722" s="22"/>
      <c r="E722" s="25"/>
      <c r="F722" s="22"/>
      <c r="G722" s="22"/>
      <c r="H722" s="22"/>
      <c r="I722" s="22"/>
      <c r="J722" s="13" t="str">
        <f t="array" ref="J722">IFERROR(INDEX(BasedatosM9!B:B, MATCH(A722, BasedatosM9!E:E, 0)), "")</f>
        <v/>
      </c>
      <c r="K722" s="5" t="str">
        <f t="shared" si="2"/>
        <v/>
      </c>
    </row>
    <row r="723" spans="1:11" ht="14.4">
      <c r="A723" s="23"/>
      <c r="B723" s="22"/>
      <c r="C723" s="24"/>
      <c r="D723" s="22"/>
      <c r="E723" s="25"/>
      <c r="F723" s="22"/>
      <c r="G723" s="22"/>
      <c r="H723" s="22"/>
      <c r="I723" s="22"/>
      <c r="J723" s="13" t="str">
        <f t="array" ref="J723">IFERROR(INDEX(BasedatosM9!B:B, MATCH(A723, BasedatosM9!E:E, 0)), "")</f>
        <v/>
      </c>
      <c r="K723" s="5" t="str">
        <f t="shared" si="2"/>
        <v/>
      </c>
    </row>
    <row r="724" spans="1:11" ht="14.4">
      <c r="A724" s="23"/>
      <c r="B724" s="22"/>
      <c r="C724" s="24"/>
      <c r="D724" s="22"/>
      <c r="E724" s="25"/>
      <c r="F724" s="22"/>
      <c r="G724" s="22"/>
      <c r="H724" s="22"/>
      <c r="I724" s="22"/>
      <c r="J724" s="13" t="str">
        <f t="array" ref="J724">IFERROR(INDEX(BasedatosM9!B:B, MATCH(A724, BasedatosM9!E:E, 0)), "")</f>
        <v/>
      </c>
      <c r="K724" s="5" t="str">
        <f t="shared" si="2"/>
        <v/>
      </c>
    </row>
    <row r="725" spans="1:11" ht="14.4">
      <c r="A725" s="23"/>
      <c r="B725" s="22"/>
      <c r="C725" s="24"/>
      <c r="D725" s="22"/>
      <c r="E725" s="25"/>
      <c r="F725" s="22"/>
      <c r="G725" s="22"/>
      <c r="H725" s="22"/>
      <c r="I725" s="22"/>
      <c r="J725" s="13" t="str">
        <f t="array" ref="J725">IFERROR(INDEX(BasedatosM9!B:B, MATCH(A725, BasedatosM9!E:E, 0)), "")</f>
        <v/>
      </c>
      <c r="K725" s="5" t="str">
        <f t="shared" si="2"/>
        <v/>
      </c>
    </row>
    <row r="726" spans="1:11" ht="14.4">
      <c r="A726" s="23"/>
      <c r="B726" s="22"/>
      <c r="C726" s="24"/>
      <c r="D726" s="22"/>
      <c r="E726" s="25"/>
      <c r="F726" s="22"/>
      <c r="G726" s="22"/>
      <c r="H726" s="22"/>
      <c r="I726" s="22"/>
      <c r="J726" s="13" t="str">
        <f t="array" ref="J726">IFERROR(INDEX(BasedatosM9!B:B, MATCH(A726, BasedatosM9!E:E, 0)), "")</f>
        <v/>
      </c>
      <c r="K726" s="5" t="str">
        <f t="shared" si="2"/>
        <v/>
      </c>
    </row>
    <row r="727" spans="1:11" ht="14.4">
      <c r="A727" s="23"/>
      <c r="B727" s="22"/>
      <c r="C727" s="24"/>
      <c r="D727" s="22"/>
      <c r="E727" s="25"/>
      <c r="F727" s="22"/>
      <c r="G727" s="22"/>
      <c r="H727" s="22"/>
      <c r="I727" s="22"/>
      <c r="J727" s="13" t="str">
        <f t="array" ref="J727">IFERROR(INDEX(BasedatosM9!B:B, MATCH(A727, BasedatosM9!E:E, 0)), "")</f>
        <v/>
      </c>
      <c r="K727" s="5" t="str">
        <f t="shared" si="2"/>
        <v/>
      </c>
    </row>
    <row r="728" spans="1:11" ht="14.4">
      <c r="A728" s="23"/>
      <c r="B728" s="22"/>
      <c r="C728" s="24"/>
      <c r="D728" s="22"/>
      <c r="E728" s="25"/>
      <c r="F728" s="22"/>
      <c r="G728" s="22"/>
      <c r="H728" s="22"/>
      <c r="I728" s="22"/>
      <c r="J728" s="13" t="str">
        <f t="array" ref="J728">IFERROR(INDEX(BasedatosM9!B:B, MATCH(A728, BasedatosM9!E:E, 0)), "")</f>
        <v/>
      </c>
      <c r="K728" s="5" t="str">
        <f t="shared" si="2"/>
        <v/>
      </c>
    </row>
    <row r="729" spans="1:11" ht="14.4">
      <c r="A729" s="23"/>
      <c r="B729" s="22"/>
      <c r="C729" s="24"/>
      <c r="D729" s="22"/>
      <c r="E729" s="25"/>
      <c r="F729" s="22"/>
      <c r="G729" s="22"/>
      <c r="H729" s="22"/>
      <c r="I729" s="22"/>
      <c r="J729" s="13" t="str">
        <f t="array" ref="J729">IFERROR(INDEX(BasedatosM9!B:B, MATCH(A729, BasedatosM9!E:E, 0)), "")</f>
        <v/>
      </c>
      <c r="K729" s="5" t="str">
        <f t="shared" si="2"/>
        <v/>
      </c>
    </row>
    <row r="730" spans="1:11" ht="14.4">
      <c r="A730" s="23"/>
      <c r="B730" s="22"/>
      <c r="C730" s="24"/>
      <c r="D730" s="22"/>
      <c r="E730" s="25"/>
      <c r="F730" s="22"/>
      <c r="G730" s="22"/>
      <c r="H730" s="22"/>
      <c r="I730" s="22"/>
      <c r="J730" s="13" t="str">
        <f t="array" ref="J730">IFERROR(INDEX(BasedatosM9!B:B, MATCH(A730, BasedatosM9!E:E, 0)), "")</f>
        <v/>
      </c>
      <c r="K730" s="5" t="str">
        <f t="shared" si="2"/>
        <v/>
      </c>
    </row>
    <row r="731" spans="1:11" ht="14.4">
      <c r="A731" s="23"/>
      <c r="B731" s="22"/>
      <c r="C731" s="24"/>
      <c r="D731" s="22"/>
      <c r="E731" s="25"/>
      <c r="F731" s="22"/>
      <c r="G731" s="22"/>
      <c r="H731" s="22"/>
      <c r="I731" s="22"/>
      <c r="J731" s="13" t="str">
        <f t="array" ref="J731">IFERROR(INDEX(BasedatosM9!B:B, MATCH(A731, BasedatosM9!E:E, 0)), "")</f>
        <v/>
      </c>
      <c r="K731" s="5" t="str">
        <f t="shared" si="2"/>
        <v/>
      </c>
    </row>
    <row r="732" spans="1:11" ht="14.4">
      <c r="A732" s="23"/>
      <c r="B732" s="22"/>
      <c r="C732" s="24"/>
      <c r="D732" s="22"/>
      <c r="E732" s="25"/>
      <c r="F732" s="22"/>
      <c r="G732" s="22"/>
      <c r="H732" s="22"/>
      <c r="I732" s="22"/>
      <c r="J732" s="13" t="str">
        <f t="array" ref="J732">IFERROR(INDEX(BasedatosM9!B:B, MATCH(A732, BasedatosM9!E:E, 0)), "")</f>
        <v/>
      </c>
      <c r="K732" s="5" t="str">
        <f t="shared" si="2"/>
        <v/>
      </c>
    </row>
    <row r="733" spans="1:11" ht="14.4">
      <c r="A733" s="23"/>
      <c r="B733" s="22"/>
      <c r="C733" s="24"/>
      <c r="D733" s="22"/>
      <c r="E733" s="25"/>
      <c r="F733" s="22"/>
      <c r="G733" s="22"/>
      <c r="H733" s="22"/>
      <c r="I733" s="22"/>
      <c r="J733" s="13" t="str">
        <f t="array" ref="J733">IFERROR(INDEX(BasedatosM9!B:B, MATCH(A733, BasedatosM9!E:E, 0)), "")</f>
        <v/>
      </c>
      <c r="K733" s="5" t="str">
        <f t="shared" si="2"/>
        <v/>
      </c>
    </row>
    <row r="734" spans="1:11" ht="14.4">
      <c r="A734" s="23"/>
      <c r="B734" s="22"/>
      <c r="C734" s="24"/>
      <c r="D734" s="22"/>
      <c r="E734" s="25"/>
      <c r="F734" s="22"/>
      <c r="G734" s="22"/>
      <c r="H734" s="22"/>
      <c r="I734" s="22"/>
      <c r="J734" s="13" t="str">
        <f t="array" ref="J734">IFERROR(INDEX(BasedatosM9!B:B, MATCH(A734, BasedatosM9!E:E, 0)), "")</f>
        <v/>
      </c>
      <c r="K734" s="5" t="str">
        <f t="shared" si="2"/>
        <v/>
      </c>
    </row>
    <row r="735" spans="1:11" ht="14.4">
      <c r="A735" s="23"/>
      <c r="B735" s="22"/>
      <c r="C735" s="24"/>
      <c r="D735" s="22"/>
      <c r="E735" s="25"/>
      <c r="F735" s="22"/>
      <c r="G735" s="22"/>
      <c r="H735" s="22"/>
      <c r="I735" s="22"/>
      <c r="J735" s="13" t="str">
        <f t="array" ref="J735">IFERROR(INDEX(BasedatosM9!B:B, MATCH(A735, BasedatosM9!E:E, 0)), "")</f>
        <v/>
      </c>
      <c r="K735" s="5" t="str">
        <f t="shared" si="2"/>
        <v/>
      </c>
    </row>
    <row r="736" spans="1:11" ht="14.4">
      <c r="A736" s="23"/>
      <c r="B736" s="22"/>
      <c r="C736" s="24"/>
      <c r="D736" s="22"/>
      <c r="E736" s="25"/>
      <c r="F736" s="22"/>
      <c r="G736" s="22"/>
      <c r="H736" s="22"/>
      <c r="I736" s="22"/>
      <c r="J736" s="13" t="str">
        <f t="array" ref="J736">IFERROR(INDEX(BasedatosM9!B:B, MATCH(A736, BasedatosM9!E:E, 0)), "")</f>
        <v/>
      </c>
      <c r="K736" s="5" t="str">
        <f t="shared" si="2"/>
        <v/>
      </c>
    </row>
    <row r="737" spans="1:11" ht="14.4">
      <c r="A737" s="23"/>
      <c r="B737" s="22"/>
      <c r="C737" s="24"/>
      <c r="D737" s="22"/>
      <c r="E737" s="25"/>
      <c r="F737" s="22"/>
      <c r="G737" s="22"/>
      <c r="H737" s="22"/>
      <c r="I737" s="22"/>
      <c r="J737" s="13" t="str">
        <f t="array" ref="J737">IFERROR(INDEX(BasedatosM9!B:B, MATCH(A737, BasedatosM9!E:E, 0)), "")</f>
        <v/>
      </c>
      <c r="K737" s="5" t="str">
        <f t="shared" si="2"/>
        <v/>
      </c>
    </row>
    <row r="738" spans="1:11" ht="14.4">
      <c r="A738" s="23"/>
      <c r="B738" s="22"/>
      <c r="C738" s="24"/>
      <c r="D738" s="22"/>
      <c r="E738" s="25"/>
      <c r="F738" s="22"/>
      <c r="G738" s="22"/>
      <c r="H738" s="22"/>
      <c r="I738" s="22"/>
      <c r="J738" s="13" t="str">
        <f t="array" ref="J738">IFERROR(INDEX(BasedatosM9!B:B, MATCH(A738, BasedatosM9!E:E, 0)), "")</f>
        <v/>
      </c>
      <c r="K738" s="5" t="str">
        <f t="shared" si="2"/>
        <v/>
      </c>
    </row>
    <row r="739" spans="1:11" ht="14.4">
      <c r="A739" s="23"/>
      <c r="B739" s="22"/>
      <c r="C739" s="24"/>
      <c r="D739" s="22"/>
      <c r="E739" s="25"/>
      <c r="F739" s="22"/>
      <c r="G739" s="22"/>
      <c r="H739" s="22"/>
      <c r="I739" s="22"/>
      <c r="J739" s="13" t="str">
        <f t="array" ref="J739">IFERROR(INDEX(BasedatosM9!B:B, MATCH(A739, BasedatosM9!E:E, 0)), "")</f>
        <v/>
      </c>
      <c r="K739" s="5" t="str">
        <f t="shared" si="2"/>
        <v/>
      </c>
    </row>
    <row r="740" spans="1:11" ht="14.4">
      <c r="A740" s="23"/>
      <c r="B740" s="22"/>
      <c r="C740" s="24"/>
      <c r="D740" s="22"/>
      <c r="E740" s="25"/>
      <c r="F740" s="22"/>
      <c r="G740" s="22"/>
      <c r="H740" s="22"/>
      <c r="I740" s="22"/>
      <c r="J740" s="13" t="str">
        <f t="array" ref="J740">IFERROR(INDEX(BasedatosM9!B:B, MATCH(A740, BasedatosM9!E:E, 0)), "")</f>
        <v/>
      </c>
      <c r="K740" s="5" t="str">
        <f t="shared" si="2"/>
        <v/>
      </c>
    </row>
    <row r="741" spans="1:11" ht="14.4">
      <c r="A741" s="23"/>
      <c r="B741" s="22"/>
      <c r="C741" s="24"/>
      <c r="D741" s="22"/>
      <c r="E741" s="25"/>
      <c r="F741" s="22"/>
      <c r="G741" s="22"/>
      <c r="H741" s="22"/>
      <c r="I741" s="22"/>
      <c r="J741" s="13" t="str">
        <f t="array" ref="J741">IFERROR(INDEX(BasedatosM9!B:B, MATCH(A741, BasedatosM9!E:E, 0)), "")</f>
        <v/>
      </c>
      <c r="K741" s="5" t="str">
        <f t="shared" si="2"/>
        <v/>
      </c>
    </row>
    <row r="742" spans="1:11" ht="14.4">
      <c r="A742" s="23"/>
      <c r="B742" s="22"/>
      <c r="C742" s="24"/>
      <c r="D742" s="22"/>
      <c r="E742" s="25"/>
      <c r="F742" s="22"/>
      <c r="G742" s="22"/>
      <c r="H742" s="22"/>
      <c r="I742" s="22"/>
      <c r="J742" s="13" t="str">
        <f t="array" ref="J742">IFERROR(INDEX(BasedatosM9!B:B, MATCH(A742, BasedatosM9!E:E, 0)), "")</f>
        <v/>
      </c>
      <c r="K742" s="5" t="str">
        <f t="shared" si="2"/>
        <v/>
      </c>
    </row>
    <row r="743" spans="1:11" ht="14.4">
      <c r="A743" s="23"/>
      <c r="B743" s="22"/>
      <c r="C743" s="24"/>
      <c r="D743" s="22"/>
      <c r="E743" s="25"/>
      <c r="F743" s="22"/>
      <c r="G743" s="22"/>
      <c r="H743" s="22"/>
      <c r="I743" s="22"/>
      <c r="J743" s="13" t="str">
        <f t="array" ref="J743">IFERROR(INDEX(BasedatosM9!B:B, MATCH(A743, BasedatosM9!E:E, 0)), "")</f>
        <v/>
      </c>
      <c r="K743" s="5" t="str">
        <f t="shared" si="2"/>
        <v/>
      </c>
    </row>
    <row r="744" spans="1:11" ht="14.4">
      <c r="A744" s="23"/>
      <c r="B744" s="22"/>
      <c r="C744" s="24"/>
      <c r="D744" s="22"/>
      <c r="E744" s="25"/>
      <c r="F744" s="22"/>
      <c r="G744" s="22"/>
      <c r="H744" s="22"/>
      <c r="I744" s="22"/>
      <c r="J744" s="13" t="str">
        <f t="array" ref="J744">IFERROR(INDEX(BasedatosM9!B:B, MATCH(A744, BasedatosM9!E:E, 0)), "")</f>
        <v/>
      </c>
      <c r="K744" s="5" t="str">
        <f t="shared" si="2"/>
        <v/>
      </c>
    </row>
    <row r="745" spans="1:11" ht="14.4">
      <c r="A745" s="23"/>
      <c r="B745" s="22"/>
      <c r="C745" s="24"/>
      <c r="D745" s="22"/>
      <c r="E745" s="25"/>
      <c r="F745" s="22"/>
      <c r="G745" s="22"/>
      <c r="H745" s="22"/>
      <c r="I745" s="22"/>
      <c r="J745" s="13" t="str">
        <f t="array" ref="J745">IFERROR(INDEX(BasedatosM9!B:B, MATCH(A745, BasedatosM9!E:E, 0)), "")</f>
        <v/>
      </c>
      <c r="K745" s="5" t="str">
        <f t="shared" si="2"/>
        <v/>
      </c>
    </row>
    <row r="746" spans="1:11" ht="14.4">
      <c r="A746" s="23"/>
      <c r="B746" s="22"/>
      <c r="C746" s="24"/>
      <c r="D746" s="22"/>
      <c r="E746" s="25"/>
      <c r="F746" s="22"/>
      <c r="G746" s="22"/>
      <c r="H746" s="22"/>
      <c r="I746" s="22"/>
      <c r="J746" s="13" t="str">
        <f t="array" ref="J746">IFERROR(INDEX(BasedatosM9!B:B, MATCH(A746, BasedatosM9!E:E, 0)), "")</f>
        <v/>
      </c>
      <c r="K746" s="5" t="str">
        <f t="shared" si="2"/>
        <v/>
      </c>
    </row>
    <row r="747" spans="1:11" ht="14.4">
      <c r="A747" s="23"/>
      <c r="B747" s="22"/>
      <c r="C747" s="24"/>
      <c r="D747" s="22"/>
      <c r="E747" s="25"/>
      <c r="F747" s="22"/>
      <c r="G747" s="22"/>
      <c r="H747" s="22"/>
      <c r="I747" s="22"/>
      <c r="J747" s="13" t="str">
        <f t="array" ref="J747">IFERROR(INDEX(BasedatosM9!B:B, MATCH(A747, BasedatosM9!E:E, 0)), "")</f>
        <v/>
      </c>
      <c r="K747" s="5" t="str">
        <f t="shared" si="2"/>
        <v/>
      </c>
    </row>
    <row r="748" spans="1:11" ht="14.4">
      <c r="A748" s="23"/>
      <c r="B748" s="22"/>
      <c r="C748" s="24"/>
      <c r="D748" s="22"/>
      <c r="E748" s="25"/>
      <c r="F748" s="22"/>
      <c r="G748" s="22"/>
      <c r="H748" s="22"/>
      <c r="I748" s="22"/>
      <c r="J748" s="13" t="str">
        <f t="array" ref="J748">IFERROR(INDEX(BasedatosM9!B:B, MATCH(A748, BasedatosM9!E:E, 0)), "")</f>
        <v/>
      </c>
      <c r="K748" s="5" t="str">
        <f t="shared" si="2"/>
        <v/>
      </c>
    </row>
    <row r="749" spans="1:11" ht="14.4">
      <c r="A749" s="23"/>
      <c r="B749" s="22"/>
      <c r="C749" s="24"/>
      <c r="D749" s="22"/>
      <c r="E749" s="25"/>
      <c r="F749" s="22"/>
      <c r="G749" s="22"/>
      <c r="H749" s="22"/>
      <c r="I749" s="22"/>
      <c r="J749" s="13" t="str">
        <f t="array" ref="J749">IFERROR(INDEX(BasedatosM9!B:B, MATCH(A749, BasedatosM9!E:E, 0)), "")</f>
        <v/>
      </c>
      <c r="K749" s="5" t="str">
        <f t="shared" si="2"/>
        <v/>
      </c>
    </row>
    <row r="750" spans="1:11" ht="14.4">
      <c r="A750" s="23"/>
      <c r="B750" s="22"/>
      <c r="C750" s="24"/>
      <c r="D750" s="22"/>
      <c r="E750" s="25"/>
      <c r="F750" s="22"/>
      <c r="G750" s="22"/>
      <c r="H750" s="22"/>
      <c r="I750" s="22"/>
      <c r="J750" s="13" t="str">
        <f t="array" ref="J750">IFERROR(INDEX(BasedatosM9!B:B, MATCH(A750, BasedatosM9!E:E, 0)), "")</f>
        <v/>
      </c>
      <c r="K750" s="5" t="str">
        <f t="shared" si="2"/>
        <v/>
      </c>
    </row>
    <row r="751" spans="1:11" ht="14.4">
      <c r="A751" s="23"/>
      <c r="B751" s="22"/>
      <c r="C751" s="24"/>
      <c r="D751" s="22"/>
      <c r="E751" s="25"/>
      <c r="F751" s="22"/>
      <c r="G751" s="22"/>
      <c r="H751" s="22"/>
      <c r="I751" s="22"/>
      <c r="J751" s="13" t="str">
        <f t="array" ref="J751">IFERROR(INDEX(BasedatosM9!B:B, MATCH(A751, BasedatosM9!E:E, 0)), "")</f>
        <v/>
      </c>
      <c r="K751" s="5" t="str">
        <f t="shared" si="2"/>
        <v/>
      </c>
    </row>
    <row r="752" spans="1:11" ht="14.4">
      <c r="A752" s="23"/>
      <c r="B752" s="22"/>
      <c r="C752" s="24"/>
      <c r="D752" s="22"/>
      <c r="E752" s="25"/>
      <c r="F752" s="22"/>
      <c r="G752" s="22"/>
      <c r="H752" s="22"/>
      <c r="I752" s="22"/>
      <c r="J752" s="13" t="str">
        <f t="array" ref="J752">IFERROR(INDEX(BasedatosM9!B:B, MATCH(A752, BasedatosM9!E:E, 0)), "")</f>
        <v/>
      </c>
      <c r="K752" s="5" t="str">
        <f t="shared" si="2"/>
        <v/>
      </c>
    </row>
    <row r="753" spans="1:11" ht="14.4">
      <c r="A753" s="23"/>
      <c r="B753" s="22"/>
      <c r="C753" s="24"/>
      <c r="D753" s="22"/>
      <c r="E753" s="25"/>
      <c r="F753" s="22"/>
      <c r="G753" s="22"/>
      <c r="H753" s="22"/>
      <c r="I753" s="22"/>
      <c r="J753" s="13" t="str">
        <f t="array" ref="J753">IFERROR(INDEX(BasedatosM9!B:B, MATCH(A753, BasedatosM9!E:E, 0)), "")</f>
        <v/>
      </c>
      <c r="K753" s="5" t="str">
        <f t="shared" si="2"/>
        <v/>
      </c>
    </row>
    <row r="754" spans="1:11" ht="14.4">
      <c r="A754" s="23"/>
      <c r="B754" s="22"/>
      <c r="C754" s="24"/>
      <c r="D754" s="22"/>
      <c r="E754" s="25"/>
      <c r="F754" s="22"/>
      <c r="G754" s="22"/>
      <c r="H754" s="22"/>
      <c r="I754" s="22"/>
      <c r="J754" s="13" t="str">
        <f t="array" ref="J754">IFERROR(INDEX(BasedatosM9!B:B, MATCH(A754, BasedatosM9!E:E, 0)), "")</f>
        <v/>
      </c>
      <c r="K754" s="5" t="str">
        <f t="shared" si="2"/>
        <v/>
      </c>
    </row>
    <row r="755" spans="1:11" ht="14.4">
      <c r="A755" s="23"/>
      <c r="B755" s="22"/>
      <c r="C755" s="24"/>
      <c r="D755" s="22"/>
      <c r="E755" s="25"/>
      <c r="F755" s="22"/>
      <c r="G755" s="22"/>
      <c r="H755" s="22"/>
      <c r="I755" s="22"/>
      <c r="J755" s="13" t="str">
        <f t="array" ref="J755">IFERROR(INDEX(BasedatosM9!B:B, MATCH(A755, BasedatosM9!E:E, 0)), "")</f>
        <v/>
      </c>
      <c r="K755" s="5" t="str">
        <f t="shared" si="2"/>
        <v/>
      </c>
    </row>
    <row r="756" spans="1:11" ht="14.4">
      <c r="A756" s="23"/>
      <c r="B756" s="22"/>
      <c r="C756" s="24"/>
      <c r="D756" s="22"/>
      <c r="E756" s="25"/>
      <c r="F756" s="22"/>
      <c r="G756" s="22"/>
      <c r="H756" s="22"/>
      <c r="I756" s="22"/>
      <c r="J756" s="13" t="str">
        <f t="array" ref="J756">IFERROR(INDEX(BasedatosM9!B:B, MATCH(A756, BasedatosM9!E:E, 0)), "")</f>
        <v/>
      </c>
      <c r="K756" s="5" t="str">
        <f t="shared" si="2"/>
        <v/>
      </c>
    </row>
    <row r="757" spans="1:11" ht="14.4">
      <c r="A757" s="23"/>
      <c r="B757" s="22"/>
      <c r="C757" s="24"/>
      <c r="D757" s="22"/>
      <c r="E757" s="25"/>
      <c r="F757" s="22"/>
      <c r="G757" s="22"/>
      <c r="H757" s="22"/>
      <c r="I757" s="22"/>
      <c r="J757" s="13" t="str">
        <f t="array" ref="J757">IFERROR(INDEX(BasedatosM9!B:B, MATCH(A757, BasedatosM9!E:E, 0)), "")</f>
        <v/>
      </c>
      <c r="K757" s="5" t="str">
        <f t="shared" si="2"/>
        <v/>
      </c>
    </row>
    <row r="758" spans="1:11" ht="14.4">
      <c r="A758" s="23"/>
      <c r="B758" s="22"/>
      <c r="C758" s="24"/>
      <c r="D758" s="22"/>
      <c r="E758" s="25"/>
      <c r="F758" s="22"/>
      <c r="G758" s="22"/>
      <c r="H758" s="22"/>
      <c r="I758" s="22"/>
      <c r="J758" s="13" t="str">
        <f t="array" ref="J758">IFERROR(INDEX(BasedatosM9!B:B, MATCH(A758, BasedatosM9!E:E, 0)), "")</f>
        <v/>
      </c>
      <c r="K758" s="5" t="str">
        <f t="shared" si="2"/>
        <v/>
      </c>
    </row>
    <row r="759" spans="1:11" ht="14.4">
      <c r="A759" s="23"/>
      <c r="B759" s="22"/>
      <c r="C759" s="24"/>
      <c r="D759" s="22"/>
      <c r="E759" s="25"/>
      <c r="F759" s="22"/>
      <c r="G759" s="22"/>
      <c r="H759" s="22"/>
      <c r="I759" s="22"/>
      <c r="J759" s="13" t="str">
        <f t="array" ref="J759">IFERROR(INDEX(BasedatosM9!B:B, MATCH(A759, BasedatosM9!E:E, 0)), "")</f>
        <v/>
      </c>
      <c r="K759" s="5" t="str">
        <f t="shared" si="2"/>
        <v/>
      </c>
    </row>
    <row r="760" spans="1:11" ht="14.4">
      <c r="A760" s="23"/>
      <c r="B760" s="22"/>
      <c r="C760" s="24"/>
      <c r="D760" s="22"/>
      <c r="E760" s="25"/>
      <c r="F760" s="22"/>
      <c r="G760" s="22"/>
      <c r="H760" s="22"/>
      <c r="I760" s="22"/>
      <c r="J760" s="13" t="str">
        <f t="array" ref="J760">IFERROR(INDEX(BasedatosM9!B:B, MATCH(A760, BasedatosM9!E:E, 0)), "")</f>
        <v/>
      </c>
      <c r="K760" s="5" t="str">
        <f t="shared" si="2"/>
        <v/>
      </c>
    </row>
    <row r="761" spans="1:11" ht="14.4">
      <c r="A761" s="23"/>
      <c r="B761" s="22"/>
      <c r="C761" s="24"/>
      <c r="D761" s="22"/>
      <c r="E761" s="25"/>
      <c r="F761" s="22"/>
      <c r="G761" s="22"/>
      <c r="H761" s="22"/>
      <c r="I761" s="22"/>
      <c r="J761" s="13" t="str">
        <f t="array" ref="J761">IFERROR(INDEX(BasedatosM9!B:B, MATCH(A761, BasedatosM9!E:E, 0)), "")</f>
        <v/>
      </c>
      <c r="K761" s="5" t="str">
        <f t="shared" si="2"/>
        <v/>
      </c>
    </row>
    <row r="762" spans="1:11" ht="14.4">
      <c r="A762" s="23"/>
      <c r="B762" s="22"/>
      <c r="C762" s="24"/>
      <c r="D762" s="22"/>
      <c r="E762" s="25"/>
      <c r="F762" s="22"/>
      <c r="G762" s="22"/>
      <c r="H762" s="22"/>
      <c r="I762" s="22"/>
      <c r="J762" s="13" t="str">
        <f t="array" ref="J762">IFERROR(INDEX(BasedatosM9!B:B, MATCH(A762, BasedatosM9!E:E, 0)), "")</f>
        <v/>
      </c>
      <c r="K762" s="5" t="str">
        <f t="shared" si="2"/>
        <v/>
      </c>
    </row>
    <row r="763" spans="1:11" ht="14.4">
      <c r="A763" s="23"/>
      <c r="B763" s="22"/>
      <c r="C763" s="24"/>
      <c r="D763" s="22"/>
      <c r="E763" s="25"/>
      <c r="F763" s="22"/>
      <c r="G763" s="22"/>
      <c r="H763" s="22"/>
      <c r="I763" s="22"/>
      <c r="J763" s="13" t="str">
        <f t="array" ref="J763">IFERROR(INDEX(BasedatosM9!B:B, MATCH(A763, BasedatosM9!E:E, 0)), "")</f>
        <v/>
      </c>
      <c r="K763" s="5" t="str">
        <f t="shared" si="2"/>
        <v/>
      </c>
    </row>
    <row r="764" spans="1:11" ht="14.4">
      <c r="A764" s="23"/>
      <c r="B764" s="22"/>
      <c r="C764" s="24"/>
      <c r="D764" s="22"/>
      <c r="E764" s="25"/>
      <c r="F764" s="22"/>
      <c r="G764" s="22"/>
      <c r="H764" s="22"/>
      <c r="I764" s="22"/>
      <c r="J764" s="13" t="str">
        <f t="array" ref="J764">IFERROR(INDEX(BasedatosM9!B:B, MATCH(A764, BasedatosM9!E:E, 0)), "")</f>
        <v/>
      </c>
      <c r="K764" s="5" t="str">
        <f t="shared" si="2"/>
        <v/>
      </c>
    </row>
    <row r="765" spans="1:11" ht="14.4">
      <c r="A765" s="23"/>
      <c r="B765" s="22"/>
      <c r="C765" s="24"/>
      <c r="D765" s="22"/>
      <c r="E765" s="25"/>
      <c r="F765" s="22"/>
      <c r="G765" s="22"/>
      <c r="H765" s="22"/>
      <c r="I765" s="22"/>
      <c r="J765" s="13" t="str">
        <f t="array" ref="J765">IFERROR(INDEX(BasedatosM9!B:B, MATCH(A765, BasedatosM9!E:E, 0)), "")</f>
        <v/>
      </c>
      <c r="K765" s="5" t="str">
        <f t="shared" si="2"/>
        <v/>
      </c>
    </row>
    <row r="766" spans="1:11" ht="14.4">
      <c r="A766" s="23"/>
      <c r="B766" s="22"/>
      <c r="C766" s="24"/>
      <c r="D766" s="22"/>
      <c r="E766" s="25"/>
      <c r="F766" s="22"/>
      <c r="G766" s="22"/>
      <c r="H766" s="22"/>
      <c r="I766" s="22"/>
      <c r="J766" s="13" t="str">
        <f t="array" ref="J766">IFERROR(INDEX(BasedatosM9!B:B, MATCH(A766, BasedatosM9!E:E, 0)), "")</f>
        <v/>
      </c>
      <c r="K766" s="5" t="str">
        <f t="shared" si="2"/>
        <v/>
      </c>
    </row>
    <row r="767" spans="1:11" ht="14.4">
      <c r="A767" s="23"/>
      <c r="B767" s="22"/>
      <c r="C767" s="24"/>
      <c r="D767" s="22"/>
      <c r="E767" s="25"/>
      <c r="F767" s="22"/>
      <c r="G767" s="22"/>
      <c r="H767" s="22"/>
      <c r="I767" s="22"/>
      <c r="J767" s="13" t="str">
        <f t="array" ref="J767">IFERROR(INDEX(BasedatosM9!B:B, MATCH(A767, BasedatosM9!E:E, 0)), "")</f>
        <v/>
      </c>
      <c r="K767" s="5" t="str">
        <f t="shared" ref="K767:K1000" si="3">IF(ISNUMBER(FIND("0410-ENVASADO JUGOS PET HOT F", H767)), "LINE 8", IF(ISNUMBER(FIND("0410-LINEA 1", H767)), "LINE 1",IF(ISNUMBER(FIND("0410-LINEA BOTELLON 20 LTS", H767)), "Agua cristal", IF(ISNUMBER(FIND("0410-LINEA DE BOLSAS", H767)), "Agua cristal", IF(ISNUMBER(FIND("0410-LINEA PET CSD", H767)), "LINE 10", "")))))</f>
        <v/>
      </c>
    </row>
    <row r="768" spans="1:11" ht="14.4">
      <c r="A768" s="23"/>
      <c r="B768" s="22"/>
      <c r="C768" s="24"/>
      <c r="D768" s="22"/>
      <c r="E768" s="25"/>
      <c r="F768" s="22"/>
      <c r="G768" s="22"/>
      <c r="H768" s="22"/>
      <c r="I768" s="22"/>
      <c r="J768" s="13" t="str">
        <f t="array" ref="J768">IFERROR(INDEX(BasedatosM9!B:B, MATCH(A768, BasedatosM9!E:E, 0)), "")</f>
        <v/>
      </c>
      <c r="K768" s="5" t="str">
        <f t="shared" si="3"/>
        <v/>
      </c>
    </row>
    <row r="769" spans="1:11" ht="14.4">
      <c r="A769" s="23"/>
      <c r="B769" s="22"/>
      <c r="C769" s="24"/>
      <c r="D769" s="22"/>
      <c r="E769" s="25"/>
      <c r="F769" s="22"/>
      <c r="G769" s="22"/>
      <c r="H769" s="22"/>
      <c r="I769" s="22"/>
      <c r="J769" s="13" t="str">
        <f t="array" ref="J769">IFERROR(INDEX(BasedatosM9!B:B, MATCH(A769, BasedatosM9!E:E, 0)), "")</f>
        <v/>
      </c>
      <c r="K769" s="5" t="str">
        <f t="shared" si="3"/>
        <v/>
      </c>
    </row>
    <row r="770" spans="1:11" ht="14.4">
      <c r="A770" s="23"/>
      <c r="B770" s="22"/>
      <c r="C770" s="24"/>
      <c r="D770" s="22"/>
      <c r="E770" s="25"/>
      <c r="F770" s="22"/>
      <c r="G770" s="22"/>
      <c r="H770" s="22"/>
      <c r="I770" s="22"/>
      <c r="J770" s="13" t="str">
        <f t="array" ref="J770">IFERROR(INDEX(BasedatosM9!B:B, MATCH(A770, BasedatosM9!E:E, 0)), "")</f>
        <v/>
      </c>
      <c r="K770" s="5" t="str">
        <f t="shared" si="3"/>
        <v/>
      </c>
    </row>
    <row r="771" spans="1:11" ht="14.4">
      <c r="A771" s="23"/>
      <c r="B771" s="22"/>
      <c r="C771" s="24"/>
      <c r="D771" s="22"/>
      <c r="E771" s="25"/>
      <c r="F771" s="22"/>
      <c r="G771" s="22"/>
      <c r="H771" s="22"/>
      <c r="I771" s="22"/>
      <c r="J771" s="13" t="str">
        <f t="array" ref="J771">IFERROR(INDEX(BasedatosM9!B:B, MATCH(A771, BasedatosM9!E:E, 0)), "")</f>
        <v/>
      </c>
      <c r="K771" s="5" t="str">
        <f t="shared" si="3"/>
        <v/>
      </c>
    </row>
    <row r="772" spans="1:11" ht="14.4">
      <c r="A772" s="23"/>
      <c r="B772" s="22"/>
      <c r="C772" s="24"/>
      <c r="D772" s="22"/>
      <c r="E772" s="25"/>
      <c r="F772" s="22"/>
      <c r="G772" s="22"/>
      <c r="H772" s="22"/>
      <c r="I772" s="22"/>
      <c r="J772" s="13" t="str">
        <f t="array" ref="J772">IFERROR(INDEX(BasedatosM9!B:B, MATCH(A772, BasedatosM9!E:E, 0)), "")</f>
        <v/>
      </c>
      <c r="K772" s="5" t="str">
        <f t="shared" si="3"/>
        <v/>
      </c>
    </row>
    <row r="773" spans="1:11" ht="14.4">
      <c r="A773" s="23"/>
      <c r="B773" s="22"/>
      <c r="C773" s="24"/>
      <c r="D773" s="22"/>
      <c r="E773" s="25"/>
      <c r="F773" s="22"/>
      <c r="G773" s="22"/>
      <c r="H773" s="22"/>
      <c r="I773" s="22"/>
      <c r="J773" s="13" t="str">
        <f t="array" ref="J773">IFERROR(INDEX(BasedatosM9!B:B, MATCH(A773, BasedatosM9!E:E, 0)), "")</f>
        <v/>
      </c>
      <c r="K773" s="5" t="str">
        <f t="shared" si="3"/>
        <v/>
      </c>
    </row>
    <row r="774" spans="1:11" ht="14.4">
      <c r="A774" s="23"/>
      <c r="B774" s="22"/>
      <c r="C774" s="24"/>
      <c r="D774" s="22"/>
      <c r="E774" s="25"/>
      <c r="F774" s="22"/>
      <c r="G774" s="22"/>
      <c r="H774" s="22"/>
      <c r="I774" s="22"/>
      <c r="J774" s="13" t="str">
        <f t="array" ref="J774">IFERROR(INDEX(BasedatosM9!B:B, MATCH(A774, BasedatosM9!E:E, 0)), "")</f>
        <v/>
      </c>
      <c r="K774" s="5" t="str">
        <f t="shared" si="3"/>
        <v/>
      </c>
    </row>
    <row r="775" spans="1:11" ht="14.4">
      <c r="A775" s="23"/>
      <c r="B775" s="22"/>
      <c r="C775" s="24"/>
      <c r="D775" s="22"/>
      <c r="E775" s="25"/>
      <c r="F775" s="22"/>
      <c r="G775" s="22"/>
      <c r="H775" s="22"/>
      <c r="I775" s="22"/>
      <c r="J775" s="13" t="str">
        <f t="array" ref="J775">IFERROR(INDEX(BasedatosM9!B:B, MATCH(A775, BasedatosM9!E:E, 0)), "")</f>
        <v/>
      </c>
      <c r="K775" s="5" t="str">
        <f t="shared" si="3"/>
        <v/>
      </c>
    </row>
    <row r="776" spans="1:11" ht="13.2">
      <c r="J776" s="13" t="str">
        <f t="array" ref="J776">IFERROR(INDEX(BasedatosM9!B:B, MATCH(A776, BasedatosM9!E:E, 0)), "")</f>
        <v/>
      </c>
      <c r="K776" s="5" t="str">
        <f t="shared" si="3"/>
        <v/>
      </c>
    </row>
    <row r="777" spans="1:11" ht="13.2">
      <c r="J777" s="13" t="str">
        <f t="array" ref="J777">IFERROR(INDEX(BasedatosM9!B:B, MATCH(A777, BasedatosM9!E:E, 0)), "")</f>
        <v/>
      </c>
      <c r="K777" s="5" t="str">
        <f t="shared" si="3"/>
        <v/>
      </c>
    </row>
    <row r="778" spans="1:11" ht="13.2">
      <c r="J778" s="13" t="str">
        <f t="array" ref="J778">IFERROR(INDEX(BasedatosM9!B:B, MATCH(A778, BasedatosM9!E:E, 0)), "")</f>
        <v/>
      </c>
      <c r="K778" s="5" t="str">
        <f t="shared" si="3"/>
        <v/>
      </c>
    </row>
    <row r="779" spans="1:11" ht="13.2">
      <c r="J779" s="13" t="str">
        <f t="array" ref="J779">IFERROR(INDEX(BasedatosM9!B:B, MATCH(A779, BasedatosM9!E:E, 0)), "")</f>
        <v/>
      </c>
      <c r="K779" s="5" t="str">
        <f t="shared" si="3"/>
        <v/>
      </c>
    </row>
    <row r="780" spans="1:11" ht="13.2">
      <c r="J780" s="13" t="str">
        <f t="array" ref="J780">IFERROR(INDEX(BasedatosM9!B:B, MATCH(A780, BasedatosM9!E:E, 0)), "")</f>
        <v/>
      </c>
      <c r="K780" s="5" t="str">
        <f t="shared" si="3"/>
        <v/>
      </c>
    </row>
    <row r="781" spans="1:11" ht="13.2">
      <c r="J781" s="13" t="str">
        <f t="array" ref="J781">IFERROR(INDEX(BasedatosM9!B:B, MATCH(A781, BasedatosM9!E:E, 0)), "")</f>
        <v/>
      </c>
      <c r="K781" s="5" t="str">
        <f t="shared" si="3"/>
        <v/>
      </c>
    </row>
    <row r="782" spans="1:11" ht="13.2">
      <c r="J782" s="13" t="str">
        <f t="array" ref="J782">IFERROR(INDEX(BasedatosM9!B:B, MATCH(A782, BasedatosM9!E:E, 0)), "")</f>
        <v/>
      </c>
      <c r="K782" s="5" t="str">
        <f t="shared" si="3"/>
        <v/>
      </c>
    </row>
    <row r="783" spans="1:11" ht="13.2">
      <c r="J783" s="13" t="str">
        <f t="array" ref="J783">IFERROR(INDEX(BasedatosM9!B:B, MATCH(A783, BasedatosM9!E:E, 0)), "")</f>
        <v/>
      </c>
      <c r="K783" s="5" t="str">
        <f t="shared" si="3"/>
        <v/>
      </c>
    </row>
    <row r="784" spans="1:11" ht="13.2">
      <c r="J784" s="13" t="str">
        <f t="array" ref="J784">IFERROR(INDEX(BasedatosM9!B:B, MATCH(A784, BasedatosM9!E:E, 0)), "")</f>
        <v/>
      </c>
      <c r="K784" s="5" t="str">
        <f t="shared" si="3"/>
        <v/>
      </c>
    </row>
    <row r="785" spans="10:11" ht="13.2">
      <c r="J785" s="13" t="str">
        <f t="array" ref="J785">IFERROR(INDEX(BasedatosM9!B:B, MATCH(A785, BasedatosM9!E:E, 0)), "")</f>
        <v/>
      </c>
      <c r="K785" s="5" t="str">
        <f t="shared" si="3"/>
        <v/>
      </c>
    </row>
    <row r="786" spans="10:11" ht="13.2">
      <c r="J786" s="13" t="str">
        <f t="array" ref="J786">IFERROR(INDEX(BasedatosM9!B:B, MATCH(A786, BasedatosM9!E:E, 0)), "")</f>
        <v/>
      </c>
      <c r="K786" s="5" t="str">
        <f t="shared" si="3"/>
        <v/>
      </c>
    </row>
    <row r="787" spans="10:11" ht="13.2">
      <c r="J787" s="13" t="str">
        <f t="array" ref="J787">IFERROR(INDEX(BasedatosM9!B:B, MATCH(A787, BasedatosM9!E:E, 0)), "")</f>
        <v/>
      </c>
      <c r="K787" s="5" t="str">
        <f t="shared" si="3"/>
        <v/>
      </c>
    </row>
    <row r="788" spans="10:11" ht="13.2">
      <c r="J788" s="13" t="str">
        <f t="array" ref="J788">IFERROR(INDEX(BasedatosM9!B:B, MATCH(A788, BasedatosM9!E:E, 0)), "")</f>
        <v/>
      </c>
      <c r="K788" s="5" t="str">
        <f t="shared" si="3"/>
        <v/>
      </c>
    </row>
    <row r="789" spans="10:11" ht="13.2">
      <c r="J789" s="13" t="str">
        <f t="array" ref="J789">IFERROR(INDEX(BasedatosM9!B:B, MATCH(A789, BasedatosM9!E:E, 0)), "")</f>
        <v/>
      </c>
      <c r="K789" s="5" t="str">
        <f t="shared" si="3"/>
        <v/>
      </c>
    </row>
    <row r="790" spans="10:11" ht="13.2">
      <c r="J790" s="13" t="str">
        <f t="array" ref="J790">IFERROR(INDEX(BasedatosM9!B:B, MATCH(A790, BasedatosM9!E:E, 0)), "")</f>
        <v/>
      </c>
      <c r="K790" s="5" t="str">
        <f t="shared" si="3"/>
        <v/>
      </c>
    </row>
    <row r="791" spans="10:11" ht="13.2">
      <c r="J791" s="13" t="str">
        <f t="array" ref="J791">IFERROR(INDEX(BasedatosM9!B:B, MATCH(A791, BasedatosM9!E:E, 0)), "")</f>
        <v/>
      </c>
      <c r="K791" s="5" t="str">
        <f t="shared" si="3"/>
        <v/>
      </c>
    </row>
    <row r="792" spans="10:11" ht="13.2">
      <c r="J792" s="13" t="str">
        <f t="array" ref="J792">IFERROR(INDEX(BasedatosM9!B:B, MATCH(A792, BasedatosM9!E:E, 0)), "")</f>
        <v/>
      </c>
      <c r="K792" s="5" t="str">
        <f t="shared" si="3"/>
        <v/>
      </c>
    </row>
    <row r="793" spans="10:11" ht="13.2">
      <c r="J793" s="13" t="str">
        <f t="array" ref="J793">IFERROR(INDEX(BasedatosM9!B:B, MATCH(A793, BasedatosM9!E:E, 0)), "")</f>
        <v/>
      </c>
      <c r="K793" s="5" t="str">
        <f t="shared" si="3"/>
        <v/>
      </c>
    </row>
    <row r="794" spans="10:11" ht="13.2">
      <c r="J794" s="13" t="str">
        <f t="array" ref="J794">IFERROR(INDEX(BasedatosM9!B:B, MATCH(A794, BasedatosM9!E:E, 0)), "")</f>
        <v/>
      </c>
      <c r="K794" s="5" t="str">
        <f t="shared" si="3"/>
        <v/>
      </c>
    </row>
    <row r="795" spans="10:11" ht="13.2">
      <c r="J795" s="13" t="str">
        <f t="array" ref="J795">IFERROR(INDEX(BasedatosM9!B:B, MATCH(A795, BasedatosM9!E:E, 0)), "")</f>
        <v/>
      </c>
      <c r="K795" s="5" t="str">
        <f t="shared" si="3"/>
        <v/>
      </c>
    </row>
    <row r="796" spans="10:11" ht="13.2">
      <c r="J796" s="13" t="str">
        <f t="array" ref="J796">IFERROR(INDEX(BasedatosM9!B:B, MATCH(A796, BasedatosM9!E:E, 0)), "")</f>
        <v/>
      </c>
      <c r="K796" s="5" t="str">
        <f t="shared" si="3"/>
        <v/>
      </c>
    </row>
    <row r="797" spans="10:11" ht="13.2">
      <c r="J797" s="13" t="str">
        <f t="array" ref="J797">IFERROR(INDEX(BasedatosM9!B:B, MATCH(A797, BasedatosM9!E:E, 0)), "")</f>
        <v/>
      </c>
      <c r="K797" s="5" t="str">
        <f t="shared" si="3"/>
        <v/>
      </c>
    </row>
    <row r="798" spans="10:11" ht="13.2">
      <c r="J798" s="13" t="str">
        <f t="array" ref="J798">IFERROR(INDEX(BasedatosM9!B:B, MATCH(A798, BasedatosM9!E:E, 0)), "")</f>
        <v/>
      </c>
      <c r="K798" s="5" t="str">
        <f t="shared" si="3"/>
        <v/>
      </c>
    </row>
    <row r="799" spans="10:11" ht="13.2">
      <c r="J799" s="13" t="str">
        <f t="array" ref="J799">IFERROR(INDEX(BasedatosM9!B:B, MATCH(A799, BasedatosM9!E:E, 0)), "")</f>
        <v/>
      </c>
      <c r="K799" s="5" t="str">
        <f t="shared" si="3"/>
        <v/>
      </c>
    </row>
    <row r="800" spans="10:11" ht="13.2">
      <c r="J800" s="13" t="str">
        <f t="array" ref="J800">IFERROR(INDEX(BasedatosM9!B:B, MATCH(A800, BasedatosM9!E:E, 0)), "")</f>
        <v/>
      </c>
      <c r="K800" s="5" t="str">
        <f t="shared" si="3"/>
        <v/>
      </c>
    </row>
    <row r="801" spans="10:11" ht="13.2">
      <c r="J801" s="13" t="str">
        <f t="array" ref="J801">IFERROR(INDEX(BasedatosM9!B:B, MATCH(A801, BasedatosM9!E:E, 0)), "")</f>
        <v/>
      </c>
      <c r="K801" s="5" t="str">
        <f t="shared" si="3"/>
        <v/>
      </c>
    </row>
    <row r="802" spans="10:11" ht="13.2">
      <c r="J802" s="13" t="str">
        <f t="array" ref="J802">IFERROR(INDEX(BasedatosM9!B:B, MATCH(A802, BasedatosM9!E:E, 0)), "")</f>
        <v/>
      </c>
      <c r="K802" s="5" t="str">
        <f t="shared" si="3"/>
        <v/>
      </c>
    </row>
    <row r="803" spans="10:11" ht="13.2">
      <c r="J803" s="13" t="str">
        <f t="array" ref="J803">IFERROR(INDEX(BasedatosM9!B:B, MATCH(A803, BasedatosM9!E:E, 0)), "")</f>
        <v/>
      </c>
      <c r="K803" s="5" t="str">
        <f t="shared" si="3"/>
        <v/>
      </c>
    </row>
    <row r="804" spans="10:11" ht="13.2">
      <c r="J804" s="13" t="str">
        <f t="array" ref="J804">IFERROR(INDEX(BasedatosM9!B:B, MATCH(A804, BasedatosM9!E:E, 0)), "")</f>
        <v/>
      </c>
      <c r="K804" s="5" t="str">
        <f t="shared" si="3"/>
        <v/>
      </c>
    </row>
    <row r="805" spans="10:11" ht="13.2">
      <c r="J805" s="13" t="str">
        <f t="array" ref="J805">IFERROR(INDEX(BasedatosM9!B:B, MATCH(A805, BasedatosM9!E:E, 0)), "")</f>
        <v/>
      </c>
      <c r="K805" s="5" t="str">
        <f t="shared" si="3"/>
        <v/>
      </c>
    </row>
    <row r="806" spans="10:11" ht="13.2">
      <c r="J806" s="13" t="str">
        <f t="array" ref="J806">IFERROR(INDEX(BasedatosM9!B:B, MATCH(A806, BasedatosM9!E:E, 0)), "")</f>
        <v/>
      </c>
      <c r="K806" s="5" t="str">
        <f t="shared" si="3"/>
        <v/>
      </c>
    </row>
    <row r="807" spans="10:11" ht="13.2">
      <c r="J807" s="13" t="str">
        <f t="array" ref="J807">IFERROR(INDEX(BasedatosM9!B:B, MATCH(A807, BasedatosM9!E:E, 0)), "")</f>
        <v/>
      </c>
      <c r="K807" s="5" t="str">
        <f t="shared" si="3"/>
        <v/>
      </c>
    </row>
    <row r="808" spans="10:11" ht="13.2">
      <c r="J808" s="13" t="str">
        <f t="array" ref="J808">IFERROR(INDEX(BasedatosM9!B:B, MATCH(A808, BasedatosM9!E:E, 0)), "")</f>
        <v/>
      </c>
      <c r="K808" s="5" t="str">
        <f t="shared" si="3"/>
        <v/>
      </c>
    </row>
    <row r="809" spans="10:11" ht="13.2">
      <c r="J809" s="13" t="str">
        <f t="array" ref="J809">IFERROR(INDEX(BasedatosM9!B:B, MATCH(A809, BasedatosM9!E:E, 0)), "")</f>
        <v/>
      </c>
      <c r="K809" s="5" t="str">
        <f t="shared" si="3"/>
        <v/>
      </c>
    </row>
    <row r="810" spans="10:11" ht="13.2">
      <c r="J810" s="13" t="str">
        <f t="array" ref="J810">IFERROR(INDEX(BasedatosM9!B:B, MATCH(A810, BasedatosM9!E:E, 0)), "")</f>
        <v/>
      </c>
      <c r="K810" s="5" t="str">
        <f t="shared" si="3"/>
        <v/>
      </c>
    </row>
    <row r="811" spans="10:11" ht="13.2">
      <c r="J811" s="13" t="str">
        <f t="array" ref="J811">IFERROR(INDEX(BasedatosM9!B:B, MATCH(A811, BasedatosM9!E:E, 0)), "")</f>
        <v/>
      </c>
      <c r="K811" s="5" t="str">
        <f t="shared" si="3"/>
        <v/>
      </c>
    </row>
    <row r="812" spans="10:11" ht="13.2">
      <c r="J812" s="13" t="str">
        <f t="array" ref="J812">IFERROR(INDEX(BasedatosM9!B:B, MATCH(A812, BasedatosM9!E:E, 0)), "")</f>
        <v/>
      </c>
      <c r="K812" s="5" t="str">
        <f t="shared" si="3"/>
        <v/>
      </c>
    </row>
    <row r="813" spans="10:11" ht="13.2">
      <c r="J813" s="13" t="str">
        <f t="array" ref="J813">IFERROR(INDEX(BasedatosM9!B:B, MATCH(A813, BasedatosM9!E:E, 0)), "")</f>
        <v/>
      </c>
      <c r="K813" s="5" t="str">
        <f t="shared" si="3"/>
        <v/>
      </c>
    </row>
    <row r="814" spans="10:11" ht="13.2">
      <c r="J814" s="13" t="str">
        <f t="array" ref="J814">IFERROR(INDEX(BasedatosM9!B:B, MATCH(A814, BasedatosM9!E:E, 0)), "")</f>
        <v/>
      </c>
      <c r="K814" s="5" t="str">
        <f t="shared" si="3"/>
        <v/>
      </c>
    </row>
    <row r="815" spans="10:11" ht="13.2">
      <c r="J815" s="13" t="str">
        <f t="array" ref="J815">IFERROR(INDEX(BasedatosM9!B:B, MATCH(A815, BasedatosM9!E:E, 0)), "")</f>
        <v/>
      </c>
      <c r="K815" s="5" t="str">
        <f t="shared" si="3"/>
        <v/>
      </c>
    </row>
    <row r="816" spans="10:11" ht="13.2">
      <c r="J816" s="13" t="str">
        <f t="array" ref="J816">IFERROR(INDEX(BasedatosM9!B:B, MATCH(A816, BasedatosM9!E:E, 0)), "")</f>
        <v/>
      </c>
      <c r="K816" s="5" t="str">
        <f t="shared" si="3"/>
        <v/>
      </c>
    </row>
    <row r="817" spans="10:11" ht="13.2">
      <c r="J817" s="13" t="str">
        <f t="array" ref="J817">IFERROR(INDEX(BasedatosM9!B:B, MATCH(A817, BasedatosM9!E:E, 0)), "")</f>
        <v/>
      </c>
      <c r="K817" s="5" t="str">
        <f t="shared" si="3"/>
        <v/>
      </c>
    </row>
    <row r="818" spans="10:11" ht="13.2">
      <c r="J818" s="13" t="str">
        <f t="array" ref="J818">IFERROR(INDEX(BasedatosM9!B:B, MATCH(A818, BasedatosM9!E:E, 0)), "")</f>
        <v/>
      </c>
      <c r="K818" s="5" t="str">
        <f t="shared" si="3"/>
        <v/>
      </c>
    </row>
    <row r="819" spans="10:11" ht="13.2">
      <c r="J819" s="13" t="str">
        <f t="array" ref="J819">IFERROR(INDEX(BasedatosM9!B:B, MATCH(A819, BasedatosM9!E:E, 0)), "")</f>
        <v/>
      </c>
      <c r="K819" s="5" t="str">
        <f t="shared" si="3"/>
        <v/>
      </c>
    </row>
    <row r="820" spans="10:11" ht="13.2">
      <c r="J820" s="13" t="str">
        <f t="array" ref="J820">IFERROR(INDEX(BasedatosM9!B:B, MATCH(A820, BasedatosM9!E:E, 0)), "")</f>
        <v/>
      </c>
      <c r="K820" s="5" t="str">
        <f t="shared" si="3"/>
        <v/>
      </c>
    </row>
    <row r="821" spans="10:11" ht="13.2">
      <c r="J821" s="13" t="str">
        <f t="array" ref="J821">IFERROR(INDEX(BasedatosM9!B:B, MATCH(A821, BasedatosM9!E:E, 0)), "")</f>
        <v/>
      </c>
      <c r="K821" s="5" t="str">
        <f t="shared" si="3"/>
        <v/>
      </c>
    </row>
    <row r="822" spans="10:11" ht="13.2">
      <c r="J822" s="13" t="str">
        <f t="array" ref="J822">IFERROR(INDEX(BasedatosM9!B:B, MATCH(A822, BasedatosM9!E:E, 0)), "")</f>
        <v/>
      </c>
      <c r="K822" s="5" t="str">
        <f t="shared" si="3"/>
        <v/>
      </c>
    </row>
    <row r="823" spans="10:11" ht="13.2">
      <c r="J823" s="13" t="str">
        <f t="array" ref="J823">IFERROR(INDEX(BasedatosM9!B:B, MATCH(A823, BasedatosM9!E:E, 0)), "")</f>
        <v/>
      </c>
      <c r="K823" s="5" t="str">
        <f t="shared" si="3"/>
        <v/>
      </c>
    </row>
    <row r="824" spans="10:11" ht="13.2">
      <c r="J824" s="13" t="str">
        <f t="array" ref="J824">IFERROR(INDEX(BasedatosM9!B:B, MATCH(A824, BasedatosM9!E:E, 0)), "")</f>
        <v/>
      </c>
      <c r="K824" s="5" t="str">
        <f t="shared" si="3"/>
        <v/>
      </c>
    </row>
    <row r="825" spans="10:11" ht="13.2">
      <c r="J825" s="13" t="str">
        <f t="array" ref="J825">IFERROR(INDEX(BasedatosM9!B:B, MATCH(A825, BasedatosM9!E:E, 0)), "")</f>
        <v/>
      </c>
      <c r="K825" s="5" t="str">
        <f t="shared" si="3"/>
        <v/>
      </c>
    </row>
    <row r="826" spans="10:11" ht="13.2">
      <c r="J826" s="13" t="str">
        <f t="array" ref="J826">IFERROR(INDEX(BasedatosM9!B:B, MATCH(A826, BasedatosM9!E:E, 0)), "")</f>
        <v/>
      </c>
      <c r="K826" s="5" t="str">
        <f t="shared" si="3"/>
        <v/>
      </c>
    </row>
    <row r="827" spans="10:11" ht="13.2">
      <c r="J827" s="13" t="str">
        <f t="array" ref="J827">IFERROR(INDEX(BasedatosM9!B:B, MATCH(A827, BasedatosM9!E:E, 0)), "")</f>
        <v/>
      </c>
      <c r="K827" s="5" t="str">
        <f t="shared" si="3"/>
        <v/>
      </c>
    </row>
    <row r="828" spans="10:11" ht="13.2">
      <c r="J828" s="13" t="str">
        <f t="array" ref="J828">IFERROR(INDEX(BasedatosM9!B:B, MATCH(A828, BasedatosM9!E:E, 0)), "")</f>
        <v/>
      </c>
      <c r="K828" s="5" t="str">
        <f t="shared" si="3"/>
        <v/>
      </c>
    </row>
    <row r="829" spans="10:11" ht="13.2">
      <c r="J829" s="13" t="str">
        <f t="array" ref="J829">IFERROR(INDEX(BasedatosM9!B:B, MATCH(A829, BasedatosM9!E:E, 0)), "")</f>
        <v/>
      </c>
      <c r="K829" s="5" t="str">
        <f t="shared" si="3"/>
        <v/>
      </c>
    </row>
    <row r="830" spans="10:11" ht="13.2">
      <c r="J830" s="13" t="str">
        <f t="array" ref="J830">IFERROR(INDEX(BasedatosM9!B:B, MATCH(A830, BasedatosM9!E:E, 0)), "")</f>
        <v/>
      </c>
      <c r="K830" s="5" t="str">
        <f t="shared" si="3"/>
        <v/>
      </c>
    </row>
    <row r="831" spans="10:11" ht="13.2">
      <c r="J831" s="13" t="str">
        <f t="array" ref="J831">IFERROR(INDEX(BasedatosM9!B:B, MATCH(A831, BasedatosM9!E:E, 0)), "")</f>
        <v/>
      </c>
      <c r="K831" s="5" t="str">
        <f t="shared" si="3"/>
        <v/>
      </c>
    </row>
    <row r="832" spans="10:11" ht="13.2">
      <c r="J832" s="13" t="str">
        <f t="array" ref="J832">IFERROR(INDEX(BasedatosM9!B:B, MATCH(A832, BasedatosM9!E:E, 0)), "")</f>
        <v/>
      </c>
      <c r="K832" s="5" t="str">
        <f t="shared" si="3"/>
        <v/>
      </c>
    </row>
    <row r="833" spans="10:11" ht="13.2">
      <c r="J833" s="13" t="str">
        <f t="array" ref="J833">IFERROR(INDEX(BasedatosM9!B:B, MATCH(A833, BasedatosM9!E:E, 0)), "")</f>
        <v/>
      </c>
      <c r="K833" s="5" t="str">
        <f t="shared" si="3"/>
        <v/>
      </c>
    </row>
    <row r="834" spans="10:11" ht="13.2">
      <c r="J834" s="13" t="str">
        <f t="array" ref="J834">IFERROR(INDEX(BasedatosM9!B:B, MATCH(A834, BasedatosM9!E:E, 0)), "")</f>
        <v/>
      </c>
      <c r="K834" s="5" t="str">
        <f t="shared" si="3"/>
        <v/>
      </c>
    </row>
    <row r="835" spans="10:11" ht="13.2">
      <c r="J835" s="13" t="str">
        <f t="array" ref="J835">IFERROR(INDEX(BasedatosM9!B:B, MATCH(A835, BasedatosM9!E:E, 0)), "")</f>
        <v/>
      </c>
      <c r="K835" s="5" t="str">
        <f t="shared" si="3"/>
        <v/>
      </c>
    </row>
    <row r="836" spans="10:11" ht="13.2">
      <c r="J836" s="13" t="str">
        <f t="array" ref="J836">IFERROR(INDEX(BasedatosM9!B:B, MATCH(A836, BasedatosM9!E:E, 0)), "")</f>
        <v/>
      </c>
      <c r="K836" s="5" t="str">
        <f t="shared" si="3"/>
        <v/>
      </c>
    </row>
    <row r="837" spans="10:11" ht="13.2">
      <c r="J837" s="13" t="str">
        <f t="array" ref="J837">IFERROR(INDEX(BasedatosM9!B:B, MATCH(A837, BasedatosM9!E:E, 0)), "")</f>
        <v/>
      </c>
      <c r="K837" s="5" t="str">
        <f t="shared" si="3"/>
        <v/>
      </c>
    </row>
    <row r="838" spans="10:11" ht="13.2">
      <c r="J838" s="13" t="str">
        <f t="array" ref="J838">IFERROR(INDEX(BasedatosM9!B:B, MATCH(A838, BasedatosM9!E:E, 0)), "")</f>
        <v/>
      </c>
      <c r="K838" s="5" t="str">
        <f t="shared" si="3"/>
        <v/>
      </c>
    </row>
    <row r="839" spans="10:11" ht="13.2">
      <c r="J839" s="13" t="str">
        <f t="array" ref="J839">IFERROR(INDEX(BasedatosM9!B:B, MATCH(A839, BasedatosM9!E:E, 0)), "")</f>
        <v/>
      </c>
      <c r="K839" s="5" t="str">
        <f t="shared" si="3"/>
        <v/>
      </c>
    </row>
    <row r="840" spans="10:11" ht="13.2">
      <c r="J840" s="13" t="str">
        <f t="array" ref="J840">IFERROR(INDEX(BasedatosM9!B:B, MATCH(A840, BasedatosM9!E:E, 0)), "")</f>
        <v/>
      </c>
      <c r="K840" s="5" t="str">
        <f t="shared" si="3"/>
        <v/>
      </c>
    </row>
    <row r="841" spans="10:11" ht="13.2">
      <c r="J841" s="13" t="str">
        <f t="array" ref="J841">IFERROR(INDEX(BasedatosM9!B:B, MATCH(A841, BasedatosM9!E:E, 0)), "")</f>
        <v/>
      </c>
      <c r="K841" s="5" t="str">
        <f t="shared" si="3"/>
        <v/>
      </c>
    </row>
    <row r="842" spans="10:11" ht="13.2">
      <c r="J842" s="13" t="str">
        <f t="array" ref="J842">IFERROR(INDEX(BasedatosM9!B:B, MATCH(A842, BasedatosM9!E:E, 0)), "")</f>
        <v/>
      </c>
      <c r="K842" s="5" t="str">
        <f t="shared" si="3"/>
        <v/>
      </c>
    </row>
    <row r="843" spans="10:11" ht="13.2">
      <c r="J843" s="13" t="str">
        <f t="array" ref="J843">IFERROR(INDEX(BasedatosM9!B:B, MATCH(A843, BasedatosM9!E:E, 0)), "")</f>
        <v/>
      </c>
      <c r="K843" s="5" t="str">
        <f t="shared" si="3"/>
        <v/>
      </c>
    </row>
    <row r="844" spans="10:11" ht="13.2">
      <c r="J844" s="13" t="str">
        <f t="array" ref="J844">IFERROR(INDEX(BasedatosM9!B:B, MATCH(A844, BasedatosM9!E:E, 0)), "")</f>
        <v/>
      </c>
      <c r="K844" s="5" t="str">
        <f t="shared" si="3"/>
        <v/>
      </c>
    </row>
    <row r="845" spans="10:11" ht="13.2">
      <c r="J845" s="13" t="str">
        <f t="array" ref="J845">IFERROR(INDEX(BasedatosM9!B:B, MATCH(A845, BasedatosM9!E:E, 0)), "")</f>
        <v/>
      </c>
      <c r="K845" s="5" t="str">
        <f t="shared" si="3"/>
        <v/>
      </c>
    </row>
    <row r="846" spans="10:11" ht="13.2">
      <c r="J846" s="13" t="str">
        <f t="array" ref="J846">IFERROR(INDEX(BasedatosM9!B:B, MATCH(A846, BasedatosM9!E:E, 0)), "")</f>
        <v/>
      </c>
      <c r="K846" s="5" t="str">
        <f t="shared" si="3"/>
        <v/>
      </c>
    </row>
    <row r="847" spans="10:11" ht="13.2">
      <c r="J847" s="13" t="str">
        <f t="array" ref="J847">IFERROR(INDEX(BasedatosM9!B:B, MATCH(A847, BasedatosM9!E:E, 0)), "")</f>
        <v/>
      </c>
      <c r="K847" s="5" t="str">
        <f t="shared" si="3"/>
        <v/>
      </c>
    </row>
    <row r="848" spans="10:11" ht="13.2">
      <c r="J848" s="13" t="str">
        <f t="array" ref="J848">IFERROR(INDEX(BasedatosM9!B:B, MATCH(A848, BasedatosM9!E:E, 0)), "")</f>
        <v/>
      </c>
      <c r="K848" s="5" t="str">
        <f t="shared" si="3"/>
        <v/>
      </c>
    </row>
    <row r="849" spans="10:11" ht="13.2">
      <c r="J849" s="13" t="str">
        <f t="array" ref="J849">IFERROR(INDEX(BasedatosM9!B:B, MATCH(A849, BasedatosM9!E:E, 0)), "")</f>
        <v/>
      </c>
      <c r="K849" s="5" t="str">
        <f t="shared" si="3"/>
        <v/>
      </c>
    </row>
    <row r="850" spans="10:11" ht="13.2">
      <c r="J850" s="13" t="str">
        <f t="array" ref="J850">IFERROR(INDEX(BasedatosM9!B:B, MATCH(A850, BasedatosM9!E:E, 0)), "")</f>
        <v/>
      </c>
      <c r="K850" s="5" t="str">
        <f t="shared" si="3"/>
        <v/>
      </c>
    </row>
    <row r="851" spans="10:11" ht="13.2">
      <c r="J851" s="13" t="str">
        <f t="array" ref="J851">IFERROR(INDEX(BasedatosM9!B:B, MATCH(A851, BasedatosM9!E:E, 0)), "")</f>
        <v/>
      </c>
      <c r="K851" s="5" t="str">
        <f t="shared" si="3"/>
        <v/>
      </c>
    </row>
    <row r="852" spans="10:11" ht="13.2">
      <c r="J852" s="13" t="str">
        <f t="array" ref="J852">IFERROR(INDEX(BasedatosM9!B:B, MATCH(A852, BasedatosM9!E:E, 0)), "")</f>
        <v/>
      </c>
      <c r="K852" s="5" t="str">
        <f t="shared" si="3"/>
        <v/>
      </c>
    </row>
    <row r="853" spans="10:11" ht="13.2">
      <c r="J853" s="13" t="str">
        <f t="array" ref="J853">IFERROR(INDEX(BasedatosM9!B:B, MATCH(A853, BasedatosM9!E:E, 0)), "")</f>
        <v/>
      </c>
      <c r="K853" s="5" t="str">
        <f t="shared" si="3"/>
        <v/>
      </c>
    </row>
    <row r="854" spans="10:11" ht="13.2">
      <c r="J854" s="13" t="str">
        <f t="array" ref="J854">IFERROR(INDEX(BasedatosM9!B:B, MATCH(A854, BasedatosM9!E:E, 0)), "")</f>
        <v/>
      </c>
      <c r="K854" s="5" t="str">
        <f t="shared" si="3"/>
        <v/>
      </c>
    </row>
    <row r="855" spans="10:11" ht="13.2">
      <c r="J855" s="13" t="str">
        <f t="array" ref="J855">IFERROR(INDEX(BasedatosM9!B:B, MATCH(A855, BasedatosM9!E:E, 0)), "")</f>
        <v/>
      </c>
      <c r="K855" s="5" t="str">
        <f t="shared" si="3"/>
        <v/>
      </c>
    </row>
    <row r="856" spans="10:11" ht="13.2">
      <c r="J856" s="13" t="str">
        <f t="array" ref="J856">IFERROR(INDEX(BasedatosM9!B:B, MATCH(A856, BasedatosM9!E:E, 0)), "")</f>
        <v/>
      </c>
      <c r="K856" s="5" t="str">
        <f t="shared" si="3"/>
        <v/>
      </c>
    </row>
    <row r="857" spans="10:11" ht="13.2">
      <c r="J857" s="13" t="str">
        <f t="array" ref="J857">IFERROR(INDEX(BasedatosM9!B:B, MATCH(A857, BasedatosM9!E:E, 0)), "")</f>
        <v/>
      </c>
      <c r="K857" s="5" t="str">
        <f t="shared" si="3"/>
        <v/>
      </c>
    </row>
    <row r="858" spans="10:11" ht="13.2">
      <c r="J858" s="13" t="str">
        <f t="array" ref="J858">IFERROR(INDEX(BasedatosM9!B:B, MATCH(A858, BasedatosM9!E:E, 0)), "")</f>
        <v/>
      </c>
      <c r="K858" s="5" t="str">
        <f t="shared" si="3"/>
        <v/>
      </c>
    </row>
    <row r="859" spans="10:11" ht="13.2">
      <c r="J859" s="13" t="str">
        <f t="array" ref="J859">IFERROR(INDEX(BasedatosM9!B:B, MATCH(A859, BasedatosM9!E:E, 0)), "")</f>
        <v/>
      </c>
      <c r="K859" s="5" t="str">
        <f t="shared" si="3"/>
        <v/>
      </c>
    </row>
    <row r="860" spans="10:11" ht="13.2">
      <c r="J860" s="13" t="str">
        <f t="array" ref="J860">IFERROR(INDEX(BasedatosM9!B:B, MATCH(A860, BasedatosM9!E:E, 0)), "")</f>
        <v/>
      </c>
      <c r="K860" s="5" t="str">
        <f t="shared" si="3"/>
        <v/>
      </c>
    </row>
    <row r="861" spans="10:11" ht="13.2">
      <c r="J861" s="13" t="str">
        <f t="array" ref="J861">IFERROR(INDEX(BasedatosM9!B:B, MATCH(A861, BasedatosM9!E:E, 0)), "")</f>
        <v/>
      </c>
      <c r="K861" s="5" t="str">
        <f t="shared" si="3"/>
        <v/>
      </c>
    </row>
    <row r="862" spans="10:11" ht="13.2">
      <c r="J862" s="13" t="str">
        <f t="array" ref="J862">IFERROR(INDEX(BasedatosM9!B:B, MATCH(A862, BasedatosM9!E:E, 0)), "")</f>
        <v/>
      </c>
      <c r="K862" s="5" t="str">
        <f t="shared" si="3"/>
        <v/>
      </c>
    </row>
    <row r="863" spans="10:11" ht="13.2">
      <c r="J863" s="13" t="str">
        <f t="array" ref="J863">IFERROR(INDEX(BasedatosM9!B:B, MATCH(A863, BasedatosM9!E:E, 0)), "")</f>
        <v/>
      </c>
      <c r="K863" s="5" t="str">
        <f t="shared" si="3"/>
        <v/>
      </c>
    </row>
    <row r="864" spans="10:11" ht="13.2">
      <c r="J864" s="13" t="str">
        <f t="array" ref="J864">IFERROR(INDEX(BasedatosM9!B:B, MATCH(A864, BasedatosM9!E:E, 0)), "")</f>
        <v/>
      </c>
      <c r="K864" s="5" t="str">
        <f t="shared" si="3"/>
        <v/>
      </c>
    </row>
    <row r="865" spans="10:11" ht="13.2">
      <c r="J865" s="13" t="str">
        <f t="array" ref="J865">IFERROR(INDEX(BasedatosM9!B:B, MATCH(A865, BasedatosM9!E:E, 0)), "")</f>
        <v/>
      </c>
      <c r="K865" s="5" t="str">
        <f t="shared" si="3"/>
        <v/>
      </c>
    </row>
    <row r="866" spans="10:11" ht="13.2">
      <c r="J866" s="13" t="str">
        <f t="array" ref="J866">IFERROR(INDEX(BasedatosM9!B:B, MATCH(A866, BasedatosM9!E:E, 0)), "")</f>
        <v/>
      </c>
      <c r="K866" s="5" t="str">
        <f t="shared" si="3"/>
        <v/>
      </c>
    </row>
    <row r="867" spans="10:11" ht="13.2">
      <c r="J867" s="13" t="str">
        <f t="array" ref="J867">IFERROR(INDEX(BasedatosM9!B:B, MATCH(A867, BasedatosM9!E:E, 0)), "")</f>
        <v/>
      </c>
      <c r="K867" s="5" t="str">
        <f t="shared" si="3"/>
        <v/>
      </c>
    </row>
    <row r="868" spans="10:11" ht="13.2">
      <c r="J868" s="13" t="str">
        <f t="array" ref="J868">IFERROR(INDEX(BasedatosM9!B:B, MATCH(A868, BasedatosM9!E:E, 0)), "")</f>
        <v/>
      </c>
      <c r="K868" s="5" t="str">
        <f t="shared" si="3"/>
        <v/>
      </c>
    </row>
    <row r="869" spans="10:11" ht="13.2">
      <c r="J869" s="13" t="str">
        <f t="array" ref="J869">IFERROR(INDEX(BasedatosM9!B:B, MATCH(A869, BasedatosM9!E:E, 0)), "")</f>
        <v/>
      </c>
      <c r="K869" s="5" t="str">
        <f t="shared" si="3"/>
        <v/>
      </c>
    </row>
    <row r="870" spans="10:11" ht="13.2">
      <c r="J870" s="13" t="str">
        <f t="array" ref="J870">IFERROR(INDEX(BasedatosM9!B:B, MATCH(A870, BasedatosM9!E:E, 0)), "")</f>
        <v/>
      </c>
      <c r="K870" s="5" t="str">
        <f t="shared" si="3"/>
        <v/>
      </c>
    </row>
    <row r="871" spans="10:11" ht="13.2">
      <c r="J871" s="13" t="str">
        <f t="array" ref="J871">IFERROR(INDEX(BasedatosM9!B:B, MATCH(A871, BasedatosM9!E:E, 0)), "")</f>
        <v/>
      </c>
      <c r="K871" s="5" t="str">
        <f t="shared" si="3"/>
        <v/>
      </c>
    </row>
    <row r="872" spans="10:11" ht="13.2">
      <c r="J872" s="13" t="str">
        <f t="array" ref="J872">IFERROR(INDEX(BasedatosM9!B:B, MATCH(A872, BasedatosM9!E:E, 0)), "")</f>
        <v/>
      </c>
      <c r="K872" s="5" t="str">
        <f t="shared" si="3"/>
        <v/>
      </c>
    </row>
    <row r="873" spans="10:11" ht="13.2">
      <c r="J873" s="13" t="str">
        <f t="array" ref="J873">IFERROR(INDEX(BasedatosM9!B:B, MATCH(A873, BasedatosM9!E:E, 0)), "")</f>
        <v/>
      </c>
      <c r="K873" s="5" t="str">
        <f t="shared" si="3"/>
        <v/>
      </c>
    </row>
    <row r="874" spans="10:11" ht="13.2">
      <c r="J874" s="13" t="str">
        <f t="array" ref="J874">IFERROR(INDEX(BasedatosM9!B:B, MATCH(A874, BasedatosM9!E:E, 0)), "")</f>
        <v/>
      </c>
      <c r="K874" s="5" t="str">
        <f t="shared" si="3"/>
        <v/>
      </c>
    </row>
    <row r="875" spans="10:11" ht="13.2">
      <c r="J875" s="13" t="str">
        <f t="array" ref="J875">IFERROR(INDEX(BasedatosM9!B:B, MATCH(A875, BasedatosM9!E:E, 0)), "")</f>
        <v/>
      </c>
      <c r="K875" s="5" t="str">
        <f t="shared" si="3"/>
        <v/>
      </c>
    </row>
    <row r="876" spans="10:11" ht="13.2">
      <c r="J876" s="13" t="str">
        <f t="array" ref="J876">IFERROR(INDEX(BasedatosM9!B:B, MATCH(A876, BasedatosM9!E:E, 0)), "")</f>
        <v/>
      </c>
      <c r="K876" s="5" t="str">
        <f t="shared" si="3"/>
        <v/>
      </c>
    </row>
    <row r="877" spans="10:11" ht="13.2">
      <c r="J877" s="13" t="str">
        <f t="array" ref="J877">IFERROR(INDEX(BasedatosM9!B:B, MATCH(A877, BasedatosM9!E:E, 0)), "")</f>
        <v/>
      </c>
      <c r="K877" s="5" t="str">
        <f t="shared" si="3"/>
        <v/>
      </c>
    </row>
    <row r="878" spans="10:11" ht="13.2">
      <c r="J878" s="13" t="str">
        <f t="array" ref="J878">IFERROR(INDEX(BasedatosM9!B:B, MATCH(A878, BasedatosM9!E:E, 0)), "")</f>
        <v/>
      </c>
      <c r="K878" s="5" t="str">
        <f t="shared" si="3"/>
        <v/>
      </c>
    </row>
    <row r="879" spans="10:11" ht="13.2">
      <c r="J879" s="13" t="str">
        <f t="array" ref="J879">IFERROR(INDEX(BasedatosM9!B:B, MATCH(A879, BasedatosM9!E:E, 0)), "")</f>
        <v/>
      </c>
      <c r="K879" s="5" t="str">
        <f t="shared" si="3"/>
        <v/>
      </c>
    </row>
    <row r="880" spans="10:11" ht="13.2">
      <c r="J880" s="13" t="str">
        <f t="array" ref="J880">IFERROR(INDEX(BasedatosM9!B:B, MATCH(A880, BasedatosM9!E:E, 0)), "")</f>
        <v/>
      </c>
      <c r="K880" s="5" t="str">
        <f t="shared" si="3"/>
        <v/>
      </c>
    </row>
    <row r="881" spans="10:11" ht="13.2">
      <c r="J881" s="13" t="str">
        <f t="array" ref="J881">IFERROR(INDEX(BasedatosM9!B:B, MATCH(A881, BasedatosM9!E:E, 0)), "")</f>
        <v/>
      </c>
      <c r="K881" s="5" t="str">
        <f t="shared" si="3"/>
        <v/>
      </c>
    </row>
    <row r="882" spans="10:11" ht="13.2">
      <c r="J882" s="13" t="str">
        <f t="array" ref="J882">IFERROR(INDEX(BasedatosM9!B:B, MATCH(A882, BasedatosM9!E:E, 0)), "")</f>
        <v/>
      </c>
      <c r="K882" s="5" t="str">
        <f t="shared" si="3"/>
        <v/>
      </c>
    </row>
    <row r="883" spans="10:11" ht="13.2">
      <c r="J883" s="13" t="str">
        <f t="array" ref="J883">IFERROR(INDEX(BasedatosM9!B:B, MATCH(A883, BasedatosM9!E:E, 0)), "")</f>
        <v/>
      </c>
      <c r="K883" s="5" t="str">
        <f t="shared" si="3"/>
        <v/>
      </c>
    </row>
    <row r="884" spans="10:11" ht="13.2">
      <c r="J884" s="13" t="str">
        <f t="array" ref="J884">IFERROR(INDEX(BasedatosM9!B:B, MATCH(A884, BasedatosM9!E:E, 0)), "")</f>
        <v/>
      </c>
      <c r="K884" s="5" t="str">
        <f t="shared" si="3"/>
        <v/>
      </c>
    </row>
    <row r="885" spans="10:11" ht="13.2">
      <c r="J885" s="13" t="str">
        <f t="array" ref="J885">IFERROR(INDEX(BasedatosM9!B:B, MATCH(A885, BasedatosM9!E:E, 0)), "")</f>
        <v/>
      </c>
      <c r="K885" s="5" t="str">
        <f t="shared" si="3"/>
        <v/>
      </c>
    </row>
    <row r="886" spans="10:11" ht="13.2">
      <c r="J886" s="13" t="str">
        <f t="array" ref="J886">IFERROR(INDEX(BasedatosM9!B:B, MATCH(A886, BasedatosM9!E:E, 0)), "")</f>
        <v/>
      </c>
      <c r="K886" s="5" t="str">
        <f t="shared" si="3"/>
        <v/>
      </c>
    </row>
    <row r="887" spans="10:11" ht="13.2">
      <c r="J887" s="13" t="str">
        <f t="array" ref="J887">IFERROR(INDEX(BasedatosM9!B:B, MATCH(A887, BasedatosM9!E:E, 0)), "")</f>
        <v/>
      </c>
      <c r="K887" s="5" t="str">
        <f t="shared" si="3"/>
        <v/>
      </c>
    </row>
    <row r="888" spans="10:11" ht="13.2">
      <c r="J888" s="13" t="str">
        <f t="array" ref="J888">IFERROR(INDEX(BasedatosM9!B:B, MATCH(A888, BasedatosM9!E:E, 0)), "")</f>
        <v/>
      </c>
      <c r="K888" s="5" t="str">
        <f t="shared" si="3"/>
        <v/>
      </c>
    </row>
    <row r="889" spans="10:11" ht="13.2">
      <c r="J889" s="13" t="str">
        <f t="array" ref="J889">IFERROR(INDEX(BasedatosM9!B:B, MATCH(A889, BasedatosM9!E:E, 0)), "")</f>
        <v/>
      </c>
      <c r="K889" s="5" t="str">
        <f t="shared" si="3"/>
        <v/>
      </c>
    </row>
    <row r="890" spans="10:11" ht="13.2">
      <c r="J890" s="13" t="str">
        <f t="array" ref="J890">IFERROR(INDEX(BasedatosM9!B:B, MATCH(A890, BasedatosM9!E:E, 0)), "")</f>
        <v/>
      </c>
      <c r="K890" s="5" t="str">
        <f t="shared" si="3"/>
        <v/>
      </c>
    </row>
    <row r="891" spans="10:11" ht="13.2">
      <c r="J891" s="13" t="str">
        <f t="array" ref="J891">IFERROR(INDEX(BasedatosM9!B:B, MATCH(A891, BasedatosM9!E:E, 0)), "")</f>
        <v/>
      </c>
      <c r="K891" s="5" t="str">
        <f t="shared" si="3"/>
        <v/>
      </c>
    </row>
    <row r="892" spans="10:11" ht="13.2">
      <c r="J892" s="13" t="str">
        <f t="array" ref="J892">IFERROR(INDEX(BasedatosM9!B:B, MATCH(A892, BasedatosM9!E:E, 0)), "")</f>
        <v/>
      </c>
      <c r="K892" s="5" t="str">
        <f t="shared" si="3"/>
        <v/>
      </c>
    </row>
    <row r="893" spans="10:11" ht="13.2">
      <c r="J893" s="13" t="str">
        <f t="array" ref="J893">IFERROR(INDEX(BasedatosM9!B:B, MATCH(A893, BasedatosM9!E:E, 0)), "")</f>
        <v/>
      </c>
      <c r="K893" s="5" t="str">
        <f t="shared" si="3"/>
        <v/>
      </c>
    </row>
    <row r="894" spans="10:11" ht="13.2">
      <c r="J894" s="13" t="str">
        <f t="array" ref="J894">IFERROR(INDEX(BasedatosM9!B:B, MATCH(A894, BasedatosM9!E:E, 0)), "")</f>
        <v/>
      </c>
      <c r="K894" s="5" t="str">
        <f t="shared" si="3"/>
        <v/>
      </c>
    </row>
    <row r="895" spans="10:11" ht="13.2">
      <c r="J895" s="13" t="str">
        <f t="array" ref="J895">IFERROR(INDEX(BasedatosM9!B:B, MATCH(A895, BasedatosM9!E:E, 0)), "")</f>
        <v/>
      </c>
      <c r="K895" s="5" t="str">
        <f t="shared" si="3"/>
        <v/>
      </c>
    </row>
    <row r="896" spans="10:11" ht="13.2">
      <c r="J896" s="13" t="str">
        <f t="array" ref="J896">IFERROR(INDEX(BasedatosM9!B:B, MATCH(A896, BasedatosM9!E:E, 0)), "")</f>
        <v/>
      </c>
      <c r="K896" s="5" t="str">
        <f t="shared" si="3"/>
        <v/>
      </c>
    </row>
    <row r="897" spans="10:11" ht="13.2">
      <c r="J897" s="13" t="str">
        <f t="array" ref="J897">IFERROR(INDEX(BasedatosM9!B:B, MATCH(A897, BasedatosM9!E:E, 0)), "")</f>
        <v/>
      </c>
      <c r="K897" s="5" t="str">
        <f t="shared" si="3"/>
        <v/>
      </c>
    </row>
    <row r="898" spans="10:11" ht="13.2">
      <c r="J898" s="13" t="str">
        <f t="array" ref="J898">IFERROR(INDEX(BasedatosM9!B:B, MATCH(A898, BasedatosM9!E:E, 0)), "")</f>
        <v/>
      </c>
      <c r="K898" s="5" t="str">
        <f t="shared" si="3"/>
        <v/>
      </c>
    </row>
    <row r="899" spans="10:11" ht="13.2">
      <c r="J899" s="13" t="str">
        <f t="array" ref="J899">IFERROR(INDEX(BasedatosM9!B:B, MATCH(A899, BasedatosM9!E:E, 0)), "")</f>
        <v/>
      </c>
      <c r="K899" s="5" t="str">
        <f t="shared" si="3"/>
        <v/>
      </c>
    </row>
    <row r="900" spans="10:11" ht="13.2">
      <c r="J900" s="13" t="str">
        <f t="array" ref="J900">IFERROR(INDEX(BasedatosM9!B:B, MATCH(A900, BasedatosM9!E:E, 0)), "")</f>
        <v/>
      </c>
      <c r="K900" s="5" t="str">
        <f t="shared" si="3"/>
        <v/>
      </c>
    </row>
    <row r="901" spans="10:11" ht="13.2">
      <c r="J901" s="13" t="str">
        <f t="array" ref="J901">IFERROR(INDEX(BasedatosM9!B:B, MATCH(A901, BasedatosM9!E:E, 0)), "")</f>
        <v/>
      </c>
      <c r="K901" s="5" t="str">
        <f t="shared" si="3"/>
        <v/>
      </c>
    </row>
    <row r="902" spans="10:11" ht="13.2">
      <c r="J902" s="13" t="str">
        <f t="array" ref="J902">IFERROR(INDEX(BasedatosM9!B:B, MATCH(A902, BasedatosM9!E:E, 0)), "")</f>
        <v/>
      </c>
      <c r="K902" s="5" t="str">
        <f t="shared" si="3"/>
        <v/>
      </c>
    </row>
    <row r="903" spans="10:11" ht="13.2">
      <c r="J903" s="13" t="str">
        <f t="array" ref="J903">IFERROR(INDEX(BasedatosM9!B:B, MATCH(A903, BasedatosM9!E:E, 0)), "")</f>
        <v/>
      </c>
      <c r="K903" s="5" t="str">
        <f t="shared" si="3"/>
        <v/>
      </c>
    </row>
    <row r="904" spans="10:11" ht="13.2">
      <c r="J904" s="13" t="str">
        <f t="array" ref="J904">IFERROR(INDEX(BasedatosM9!B:B, MATCH(A904, BasedatosM9!E:E, 0)), "")</f>
        <v/>
      </c>
      <c r="K904" s="5" t="str">
        <f t="shared" si="3"/>
        <v/>
      </c>
    </row>
    <row r="905" spans="10:11" ht="13.2">
      <c r="J905" s="13" t="str">
        <f t="array" ref="J905">IFERROR(INDEX(BasedatosM9!B:B, MATCH(A905, BasedatosM9!E:E, 0)), "")</f>
        <v/>
      </c>
      <c r="K905" s="5" t="str">
        <f t="shared" si="3"/>
        <v/>
      </c>
    </row>
    <row r="906" spans="10:11" ht="13.2">
      <c r="J906" s="13" t="str">
        <f t="array" ref="J906">IFERROR(INDEX(BasedatosM9!B:B, MATCH(A906, BasedatosM9!E:E, 0)), "")</f>
        <v/>
      </c>
      <c r="K906" s="5" t="str">
        <f t="shared" si="3"/>
        <v/>
      </c>
    </row>
    <row r="907" spans="10:11" ht="13.2">
      <c r="J907" s="13" t="str">
        <f t="array" ref="J907">IFERROR(INDEX(BasedatosM9!B:B, MATCH(A907, BasedatosM9!E:E, 0)), "")</f>
        <v/>
      </c>
      <c r="K907" s="5" t="str">
        <f t="shared" si="3"/>
        <v/>
      </c>
    </row>
    <row r="908" spans="10:11" ht="13.2">
      <c r="J908" s="13" t="str">
        <f t="array" ref="J908">IFERROR(INDEX(BasedatosM9!B:B, MATCH(A908, BasedatosM9!E:E, 0)), "")</f>
        <v/>
      </c>
      <c r="K908" s="5" t="str">
        <f t="shared" si="3"/>
        <v/>
      </c>
    </row>
    <row r="909" spans="10:11" ht="13.2">
      <c r="J909" s="13" t="str">
        <f t="array" ref="J909">IFERROR(INDEX(BasedatosM9!B:B, MATCH(A909, BasedatosM9!E:E, 0)), "")</f>
        <v/>
      </c>
      <c r="K909" s="5" t="str">
        <f t="shared" si="3"/>
        <v/>
      </c>
    </row>
    <row r="910" spans="10:11" ht="13.2">
      <c r="J910" s="13" t="str">
        <f t="array" ref="J910">IFERROR(INDEX(BasedatosM9!B:B, MATCH(A910, BasedatosM9!E:E, 0)), "")</f>
        <v/>
      </c>
      <c r="K910" s="5" t="str">
        <f t="shared" si="3"/>
        <v/>
      </c>
    </row>
    <row r="911" spans="10:11" ht="13.2">
      <c r="J911" s="13" t="str">
        <f t="array" ref="J911">IFERROR(INDEX(BasedatosM9!B:B, MATCH(A911, BasedatosM9!E:E, 0)), "")</f>
        <v/>
      </c>
      <c r="K911" s="5" t="str">
        <f t="shared" si="3"/>
        <v/>
      </c>
    </row>
    <row r="912" spans="10:11" ht="13.2">
      <c r="J912" s="13" t="str">
        <f t="array" ref="J912">IFERROR(INDEX(BasedatosM9!B:B, MATCH(A912, BasedatosM9!E:E, 0)), "")</f>
        <v/>
      </c>
      <c r="K912" s="5" t="str">
        <f t="shared" si="3"/>
        <v/>
      </c>
    </row>
    <row r="913" spans="10:11" ht="13.2">
      <c r="J913" s="13" t="str">
        <f t="array" ref="J913">IFERROR(INDEX(BasedatosM9!B:B, MATCH(A913, BasedatosM9!E:E, 0)), "")</f>
        <v/>
      </c>
      <c r="K913" s="5" t="str">
        <f t="shared" si="3"/>
        <v/>
      </c>
    </row>
    <row r="914" spans="10:11" ht="13.2">
      <c r="J914" s="13" t="str">
        <f t="array" ref="J914">IFERROR(INDEX(BasedatosM9!B:B, MATCH(A914, BasedatosM9!E:E, 0)), "")</f>
        <v/>
      </c>
      <c r="K914" s="5" t="str">
        <f t="shared" si="3"/>
        <v/>
      </c>
    </row>
    <row r="915" spans="10:11" ht="13.2">
      <c r="J915" s="13" t="str">
        <f t="array" ref="J915">IFERROR(INDEX(BasedatosM9!B:B, MATCH(A915, BasedatosM9!E:E, 0)), "")</f>
        <v/>
      </c>
      <c r="K915" s="5" t="str">
        <f t="shared" si="3"/>
        <v/>
      </c>
    </row>
    <row r="916" spans="10:11" ht="13.2">
      <c r="J916" s="13" t="str">
        <f t="array" ref="J916">IFERROR(INDEX(BasedatosM9!B:B, MATCH(A916, BasedatosM9!E:E, 0)), "")</f>
        <v/>
      </c>
      <c r="K916" s="5" t="str">
        <f t="shared" si="3"/>
        <v/>
      </c>
    </row>
    <row r="917" spans="10:11" ht="13.2">
      <c r="J917" s="13" t="str">
        <f t="array" ref="J917">IFERROR(INDEX(BasedatosM9!B:B, MATCH(A917, BasedatosM9!E:E, 0)), "")</f>
        <v/>
      </c>
      <c r="K917" s="5" t="str">
        <f t="shared" si="3"/>
        <v/>
      </c>
    </row>
    <row r="918" spans="10:11" ht="13.2">
      <c r="J918" s="13" t="str">
        <f t="array" ref="J918">IFERROR(INDEX(BasedatosM9!B:B, MATCH(A918, BasedatosM9!E:E, 0)), "")</f>
        <v/>
      </c>
      <c r="K918" s="5" t="str">
        <f t="shared" si="3"/>
        <v/>
      </c>
    </row>
    <row r="919" spans="10:11" ht="13.2">
      <c r="J919" s="13" t="str">
        <f t="array" ref="J919">IFERROR(INDEX(BasedatosM9!B:B, MATCH(A919, BasedatosM9!E:E, 0)), "")</f>
        <v/>
      </c>
      <c r="K919" s="5" t="str">
        <f t="shared" si="3"/>
        <v/>
      </c>
    </row>
    <row r="920" spans="10:11" ht="13.2">
      <c r="J920" s="13" t="str">
        <f t="array" ref="J920">IFERROR(INDEX(BasedatosM9!B:B, MATCH(A920, BasedatosM9!E:E, 0)), "")</f>
        <v/>
      </c>
      <c r="K920" s="5" t="str">
        <f t="shared" si="3"/>
        <v/>
      </c>
    </row>
    <row r="921" spans="10:11" ht="13.2">
      <c r="J921" s="13" t="str">
        <f t="array" ref="J921">IFERROR(INDEX(BasedatosM9!B:B, MATCH(A921, BasedatosM9!E:E, 0)), "")</f>
        <v/>
      </c>
      <c r="K921" s="5" t="str">
        <f t="shared" si="3"/>
        <v/>
      </c>
    </row>
    <row r="922" spans="10:11" ht="13.2">
      <c r="J922" s="13" t="str">
        <f t="array" ref="J922">IFERROR(INDEX(BasedatosM9!B:B, MATCH(A922, BasedatosM9!E:E, 0)), "")</f>
        <v/>
      </c>
      <c r="K922" s="5" t="str">
        <f t="shared" si="3"/>
        <v/>
      </c>
    </row>
    <row r="923" spans="10:11" ht="13.2">
      <c r="J923" s="13" t="str">
        <f t="array" ref="J923">IFERROR(INDEX(BasedatosM9!B:B, MATCH(A923, BasedatosM9!E:E, 0)), "")</f>
        <v/>
      </c>
      <c r="K923" s="5" t="str">
        <f t="shared" si="3"/>
        <v/>
      </c>
    </row>
    <row r="924" spans="10:11" ht="13.2">
      <c r="J924" s="13" t="str">
        <f t="array" ref="J924">IFERROR(INDEX(BasedatosM9!B:B, MATCH(A924, BasedatosM9!E:E, 0)), "")</f>
        <v/>
      </c>
      <c r="K924" s="5" t="str">
        <f t="shared" si="3"/>
        <v/>
      </c>
    </row>
    <row r="925" spans="10:11" ht="13.2">
      <c r="J925" s="13" t="str">
        <f t="array" ref="J925">IFERROR(INDEX(BasedatosM9!B:B, MATCH(A925, BasedatosM9!E:E, 0)), "")</f>
        <v/>
      </c>
      <c r="K925" s="5" t="str">
        <f t="shared" si="3"/>
        <v/>
      </c>
    </row>
    <row r="926" spans="10:11" ht="13.2">
      <c r="J926" s="13" t="str">
        <f t="array" ref="J926">IFERROR(INDEX(BasedatosM9!B:B, MATCH(A926, BasedatosM9!E:E, 0)), "")</f>
        <v/>
      </c>
      <c r="K926" s="5" t="str">
        <f t="shared" si="3"/>
        <v/>
      </c>
    </row>
    <row r="927" spans="10:11" ht="13.2">
      <c r="J927" s="13" t="str">
        <f t="array" ref="J927">IFERROR(INDEX(BasedatosM9!B:B, MATCH(A927, BasedatosM9!E:E, 0)), "")</f>
        <v/>
      </c>
      <c r="K927" s="5" t="str">
        <f t="shared" si="3"/>
        <v/>
      </c>
    </row>
    <row r="928" spans="10:11" ht="13.2">
      <c r="J928" s="13" t="str">
        <f t="array" ref="J928">IFERROR(INDEX(BasedatosM9!B:B, MATCH(A928, BasedatosM9!E:E, 0)), "")</f>
        <v/>
      </c>
      <c r="K928" s="5" t="str">
        <f t="shared" si="3"/>
        <v/>
      </c>
    </row>
    <row r="929" spans="10:11" ht="13.2">
      <c r="J929" s="13" t="str">
        <f t="array" ref="J929">IFERROR(INDEX(BasedatosM9!B:B, MATCH(A929, BasedatosM9!E:E, 0)), "")</f>
        <v/>
      </c>
      <c r="K929" s="5" t="str">
        <f t="shared" si="3"/>
        <v/>
      </c>
    </row>
    <row r="930" spans="10:11" ht="13.2">
      <c r="J930" s="13" t="str">
        <f t="array" ref="J930">IFERROR(INDEX(BasedatosM9!B:B, MATCH(A930, BasedatosM9!E:E, 0)), "")</f>
        <v/>
      </c>
      <c r="K930" s="5" t="str">
        <f t="shared" si="3"/>
        <v/>
      </c>
    </row>
    <row r="931" spans="10:11" ht="13.2">
      <c r="J931" s="13" t="str">
        <f t="array" ref="J931">IFERROR(INDEX(BasedatosM9!B:B, MATCH(A931, BasedatosM9!E:E, 0)), "")</f>
        <v/>
      </c>
      <c r="K931" s="5" t="str">
        <f t="shared" si="3"/>
        <v/>
      </c>
    </row>
    <row r="932" spans="10:11" ht="13.2">
      <c r="J932" s="13" t="str">
        <f t="array" ref="J932">IFERROR(INDEX(BasedatosM9!B:B, MATCH(A932, BasedatosM9!E:E, 0)), "")</f>
        <v/>
      </c>
      <c r="K932" s="5" t="str">
        <f t="shared" si="3"/>
        <v/>
      </c>
    </row>
    <row r="933" spans="10:11" ht="13.2">
      <c r="J933" s="13" t="str">
        <f t="array" ref="J933">IFERROR(INDEX(BasedatosM9!B:B, MATCH(A933, BasedatosM9!E:E, 0)), "")</f>
        <v/>
      </c>
      <c r="K933" s="5" t="str">
        <f t="shared" si="3"/>
        <v/>
      </c>
    </row>
    <row r="934" spans="10:11" ht="13.2">
      <c r="J934" s="13" t="str">
        <f t="array" ref="J934">IFERROR(INDEX(BasedatosM9!B:B, MATCH(A934, BasedatosM9!E:E, 0)), "")</f>
        <v/>
      </c>
      <c r="K934" s="5" t="str">
        <f t="shared" si="3"/>
        <v/>
      </c>
    </row>
    <row r="935" spans="10:11" ht="13.2">
      <c r="J935" s="13" t="str">
        <f t="array" ref="J935">IFERROR(INDEX(BasedatosM9!B:B, MATCH(A935, BasedatosM9!E:E, 0)), "")</f>
        <v/>
      </c>
      <c r="K935" s="5" t="str">
        <f t="shared" si="3"/>
        <v/>
      </c>
    </row>
    <row r="936" spans="10:11" ht="13.2">
      <c r="J936" s="13" t="str">
        <f t="array" ref="J936">IFERROR(INDEX(BasedatosM9!B:B, MATCH(A936, BasedatosM9!E:E, 0)), "")</f>
        <v/>
      </c>
      <c r="K936" s="5" t="str">
        <f t="shared" si="3"/>
        <v/>
      </c>
    </row>
    <row r="937" spans="10:11" ht="13.2">
      <c r="J937" s="13" t="str">
        <f t="array" ref="J937">IFERROR(INDEX(BasedatosM9!B:B, MATCH(A937, BasedatosM9!E:E, 0)), "")</f>
        <v/>
      </c>
      <c r="K937" s="5" t="str">
        <f t="shared" si="3"/>
        <v/>
      </c>
    </row>
    <row r="938" spans="10:11" ht="13.2">
      <c r="J938" s="13" t="str">
        <f t="array" ref="J938">IFERROR(INDEX(BasedatosM9!B:B, MATCH(A938, BasedatosM9!E:E, 0)), "")</f>
        <v/>
      </c>
      <c r="K938" s="5" t="str">
        <f t="shared" si="3"/>
        <v/>
      </c>
    </row>
    <row r="939" spans="10:11" ht="13.2">
      <c r="J939" s="13" t="str">
        <f t="array" ref="J939">IFERROR(INDEX(BasedatosM9!B:B, MATCH(A939, BasedatosM9!E:E, 0)), "")</f>
        <v/>
      </c>
      <c r="K939" s="5" t="str">
        <f t="shared" si="3"/>
        <v/>
      </c>
    </row>
    <row r="940" spans="10:11" ht="13.2">
      <c r="J940" s="13" t="str">
        <f t="array" ref="J940">IFERROR(INDEX(BasedatosM9!B:B, MATCH(A940, BasedatosM9!E:E, 0)), "")</f>
        <v/>
      </c>
      <c r="K940" s="5" t="str">
        <f t="shared" si="3"/>
        <v/>
      </c>
    </row>
    <row r="941" spans="10:11" ht="13.2">
      <c r="J941" s="13" t="str">
        <f t="array" ref="J941">IFERROR(INDEX(BasedatosM9!B:B, MATCH(A941, BasedatosM9!E:E, 0)), "")</f>
        <v/>
      </c>
      <c r="K941" s="5" t="str">
        <f t="shared" si="3"/>
        <v/>
      </c>
    </row>
    <row r="942" spans="10:11" ht="13.2">
      <c r="J942" s="13" t="str">
        <f t="array" ref="J942">IFERROR(INDEX(BasedatosM9!B:B, MATCH(A942, BasedatosM9!E:E, 0)), "")</f>
        <v/>
      </c>
      <c r="K942" s="5" t="str">
        <f t="shared" si="3"/>
        <v/>
      </c>
    </row>
    <row r="943" spans="10:11" ht="13.2">
      <c r="J943" s="13" t="str">
        <f t="array" ref="J943">IFERROR(INDEX(BasedatosM9!B:B, MATCH(A943, BasedatosM9!E:E, 0)), "")</f>
        <v/>
      </c>
      <c r="K943" s="5" t="str">
        <f t="shared" si="3"/>
        <v/>
      </c>
    </row>
    <row r="944" spans="10:11" ht="13.2">
      <c r="J944" s="13" t="str">
        <f t="array" ref="J944">IFERROR(INDEX(BasedatosM9!B:B, MATCH(A944, BasedatosM9!E:E, 0)), "")</f>
        <v/>
      </c>
      <c r="K944" s="5" t="str">
        <f t="shared" si="3"/>
        <v/>
      </c>
    </row>
    <row r="945" spans="10:11" ht="13.2">
      <c r="J945" s="13" t="str">
        <f t="array" ref="J945">IFERROR(INDEX(BasedatosM9!B:B, MATCH(A945, BasedatosM9!E:E, 0)), "")</f>
        <v/>
      </c>
      <c r="K945" s="5" t="str">
        <f t="shared" si="3"/>
        <v/>
      </c>
    </row>
    <row r="946" spans="10:11" ht="13.2">
      <c r="J946" s="13" t="str">
        <f t="array" ref="J946">IFERROR(INDEX(BasedatosM9!B:B, MATCH(A946, BasedatosM9!E:E, 0)), "")</f>
        <v/>
      </c>
      <c r="K946" s="5" t="str">
        <f t="shared" si="3"/>
        <v/>
      </c>
    </row>
    <row r="947" spans="10:11" ht="13.2">
      <c r="J947" s="13" t="str">
        <f t="array" ref="J947">IFERROR(INDEX(BasedatosM9!B:B, MATCH(A947, BasedatosM9!E:E, 0)), "")</f>
        <v/>
      </c>
      <c r="K947" s="5" t="str">
        <f t="shared" si="3"/>
        <v/>
      </c>
    </row>
    <row r="948" spans="10:11" ht="13.2">
      <c r="J948" s="13" t="str">
        <f t="array" ref="J948">IFERROR(INDEX(BasedatosM9!B:B, MATCH(A948, BasedatosM9!E:E, 0)), "")</f>
        <v/>
      </c>
      <c r="K948" s="5" t="str">
        <f t="shared" si="3"/>
        <v/>
      </c>
    </row>
    <row r="949" spans="10:11" ht="13.2">
      <c r="J949" s="13" t="str">
        <f t="array" ref="J949">IFERROR(INDEX(BasedatosM9!B:B, MATCH(A949, BasedatosM9!E:E, 0)), "")</f>
        <v/>
      </c>
      <c r="K949" s="5" t="str">
        <f t="shared" si="3"/>
        <v/>
      </c>
    </row>
    <row r="950" spans="10:11" ht="13.2">
      <c r="J950" s="13" t="str">
        <f t="array" ref="J950">IFERROR(INDEX(BasedatosM9!B:B, MATCH(A950, BasedatosM9!E:E, 0)), "")</f>
        <v/>
      </c>
      <c r="K950" s="5" t="str">
        <f t="shared" si="3"/>
        <v/>
      </c>
    </row>
    <row r="951" spans="10:11" ht="13.2">
      <c r="J951" s="13" t="str">
        <f t="array" ref="J951">IFERROR(INDEX(BasedatosM9!B:B, MATCH(A951, BasedatosM9!E:E, 0)), "")</f>
        <v/>
      </c>
      <c r="K951" s="5" t="str">
        <f t="shared" si="3"/>
        <v/>
      </c>
    </row>
    <row r="952" spans="10:11" ht="13.2">
      <c r="J952" s="13" t="str">
        <f t="array" ref="J952">IFERROR(INDEX(BasedatosM9!B:B, MATCH(A952, BasedatosM9!E:E, 0)), "")</f>
        <v/>
      </c>
      <c r="K952" s="5" t="str">
        <f t="shared" si="3"/>
        <v/>
      </c>
    </row>
    <row r="953" spans="10:11" ht="13.2">
      <c r="J953" s="13" t="str">
        <f t="array" ref="J953">IFERROR(INDEX(BasedatosM9!B:B, MATCH(A953, BasedatosM9!E:E, 0)), "")</f>
        <v/>
      </c>
      <c r="K953" s="5" t="str">
        <f t="shared" si="3"/>
        <v/>
      </c>
    </row>
    <row r="954" spans="10:11" ht="13.2">
      <c r="J954" s="13" t="str">
        <f t="array" ref="J954">IFERROR(INDEX(BasedatosM9!B:B, MATCH(A954, BasedatosM9!E:E, 0)), "")</f>
        <v/>
      </c>
      <c r="K954" s="5" t="str">
        <f t="shared" si="3"/>
        <v/>
      </c>
    </row>
    <row r="955" spans="10:11" ht="13.2">
      <c r="J955" s="13" t="str">
        <f t="array" ref="J955">IFERROR(INDEX(BasedatosM9!B:B, MATCH(A955, BasedatosM9!E:E, 0)), "")</f>
        <v/>
      </c>
      <c r="K955" s="5" t="str">
        <f t="shared" si="3"/>
        <v/>
      </c>
    </row>
    <row r="956" spans="10:11" ht="13.2">
      <c r="J956" s="13" t="str">
        <f t="array" ref="J956">IFERROR(INDEX(BasedatosM9!B:B, MATCH(A956, BasedatosM9!E:E, 0)), "")</f>
        <v/>
      </c>
      <c r="K956" s="5" t="str">
        <f t="shared" si="3"/>
        <v/>
      </c>
    </row>
    <row r="957" spans="10:11" ht="13.2">
      <c r="J957" s="13" t="str">
        <f t="array" ref="J957">IFERROR(INDEX(BasedatosM9!B:B, MATCH(A957, BasedatosM9!E:E, 0)), "")</f>
        <v/>
      </c>
      <c r="K957" s="5" t="str">
        <f t="shared" si="3"/>
        <v/>
      </c>
    </row>
    <row r="958" spans="10:11" ht="13.2">
      <c r="J958" s="13" t="str">
        <f t="array" ref="J958">IFERROR(INDEX(BasedatosM9!B:B, MATCH(A958, BasedatosM9!E:E, 0)), "")</f>
        <v/>
      </c>
      <c r="K958" s="5" t="str">
        <f t="shared" si="3"/>
        <v/>
      </c>
    </row>
    <row r="959" spans="10:11" ht="13.2">
      <c r="J959" s="13" t="str">
        <f t="array" ref="J959">IFERROR(INDEX(BasedatosM9!B:B, MATCH(A959, BasedatosM9!E:E, 0)), "")</f>
        <v/>
      </c>
      <c r="K959" s="5" t="str">
        <f t="shared" si="3"/>
        <v/>
      </c>
    </row>
    <row r="960" spans="10:11" ht="13.2">
      <c r="J960" s="13" t="str">
        <f t="array" ref="J960">IFERROR(INDEX(BasedatosM9!B:B, MATCH(A960, BasedatosM9!E:E, 0)), "")</f>
        <v/>
      </c>
      <c r="K960" s="5" t="str">
        <f t="shared" si="3"/>
        <v/>
      </c>
    </row>
    <row r="961" spans="10:11" ht="13.2">
      <c r="J961" s="13" t="str">
        <f t="array" ref="J961">IFERROR(INDEX(BasedatosM9!B:B, MATCH(A961, BasedatosM9!E:E, 0)), "")</f>
        <v/>
      </c>
      <c r="K961" s="5" t="str">
        <f t="shared" si="3"/>
        <v/>
      </c>
    </row>
    <row r="962" spans="10:11" ht="13.2">
      <c r="J962" s="13" t="str">
        <f t="array" ref="J962">IFERROR(INDEX(BasedatosM9!B:B, MATCH(A962, BasedatosM9!E:E, 0)), "")</f>
        <v/>
      </c>
      <c r="K962" s="5" t="str">
        <f t="shared" si="3"/>
        <v/>
      </c>
    </row>
    <row r="963" spans="10:11" ht="13.2">
      <c r="J963" s="13" t="str">
        <f t="array" ref="J963">IFERROR(INDEX(BasedatosM9!B:B, MATCH(A963, BasedatosM9!E:E, 0)), "")</f>
        <v/>
      </c>
      <c r="K963" s="5" t="str">
        <f t="shared" si="3"/>
        <v/>
      </c>
    </row>
    <row r="964" spans="10:11" ht="13.2">
      <c r="J964" s="13" t="str">
        <f t="array" ref="J964">IFERROR(INDEX(BasedatosM9!B:B, MATCH(A964, BasedatosM9!E:E, 0)), "")</f>
        <v/>
      </c>
      <c r="K964" s="5" t="str">
        <f t="shared" si="3"/>
        <v/>
      </c>
    </row>
    <row r="965" spans="10:11" ht="13.2">
      <c r="J965" s="13" t="str">
        <f t="array" ref="J965">IFERROR(INDEX(BasedatosM9!B:B, MATCH(A965, BasedatosM9!E:E, 0)), "")</f>
        <v/>
      </c>
      <c r="K965" s="5" t="str">
        <f t="shared" si="3"/>
        <v/>
      </c>
    </row>
    <row r="966" spans="10:11" ht="13.2">
      <c r="J966" s="13" t="str">
        <f t="array" ref="J966">IFERROR(INDEX(BasedatosM9!B:B, MATCH(A966, BasedatosM9!E:E, 0)), "")</f>
        <v/>
      </c>
      <c r="K966" s="5" t="str">
        <f t="shared" si="3"/>
        <v/>
      </c>
    </row>
    <row r="967" spans="10:11" ht="13.2">
      <c r="J967" s="13" t="str">
        <f t="array" ref="J967">IFERROR(INDEX(BasedatosM9!B:B, MATCH(A967, BasedatosM9!E:E, 0)), "")</f>
        <v/>
      </c>
      <c r="K967" s="5" t="str">
        <f t="shared" si="3"/>
        <v/>
      </c>
    </row>
    <row r="968" spans="10:11" ht="13.2">
      <c r="J968" s="13" t="str">
        <f t="array" ref="J968">IFERROR(INDEX(BasedatosM9!B:B, MATCH(A968, BasedatosM9!E:E, 0)), "")</f>
        <v/>
      </c>
      <c r="K968" s="5" t="str">
        <f t="shared" si="3"/>
        <v/>
      </c>
    </row>
    <row r="969" spans="10:11" ht="13.2">
      <c r="J969" s="13" t="str">
        <f t="array" ref="J969">IFERROR(INDEX(BasedatosM9!B:B, MATCH(A969, BasedatosM9!E:E, 0)), "")</f>
        <v/>
      </c>
      <c r="K969" s="5" t="str">
        <f t="shared" si="3"/>
        <v/>
      </c>
    </row>
    <row r="970" spans="10:11" ht="13.2">
      <c r="J970" s="13" t="str">
        <f t="array" ref="J970">IFERROR(INDEX(BasedatosM9!B:B, MATCH(A970, BasedatosM9!E:E, 0)), "")</f>
        <v/>
      </c>
      <c r="K970" s="5" t="str">
        <f t="shared" si="3"/>
        <v/>
      </c>
    </row>
    <row r="971" spans="10:11" ht="13.2">
      <c r="J971" s="13" t="str">
        <f t="array" ref="J971">IFERROR(INDEX(BasedatosM9!B:B, MATCH(A971, BasedatosM9!E:E, 0)), "")</f>
        <v/>
      </c>
      <c r="K971" s="5" t="str">
        <f t="shared" si="3"/>
        <v/>
      </c>
    </row>
    <row r="972" spans="10:11" ht="13.2">
      <c r="J972" s="13" t="str">
        <f t="array" ref="J972">IFERROR(INDEX(BasedatosM9!B:B, MATCH(A972, BasedatosM9!E:E, 0)), "")</f>
        <v/>
      </c>
      <c r="K972" s="5" t="str">
        <f t="shared" si="3"/>
        <v/>
      </c>
    </row>
    <row r="973" spans="10:11" ht="13.2">
      <c r="J973" s="13" t="str">
        <f t="array" ref="J973">IFERROR(INDEX(BasedatosM9!B:B, MATCH(A973, BasedatosM9!E:E, 0)), "")</f>
        <v/>
      </c>
      <c r="K973" s="5" t="str">
        <f t="shared" si="3"/>
        <v/>
      </c>
    </row>
    <row r="974" spans="10:11" ht="13.2">
      <c r="J974" s="13" t="str">
        <f t="array" ref="J974">IFERROR(INDEX(BasedatosM9!B:B, MATCH(A974, BasedatosM9!E:E, 0)), "")</f>
        <v/>
      </c>
      <c r="K974" s="5" t="str">
        <f t="shared" si="3"/>
        <v/>
      </c>
    </row>
    <row r="975" spans="10:11" ht="13.2">
      <c r="J975" s="13" t="str">
        <f t="array" ref="J975">IFERROR(INDEX(BasedatosM9!B:B, MATCH(A975, BasedatosM9!E:E, 0)), "")</f>
        <v/>
      </c>
      <c r="K975" s="5" t="str">
        <f t="shared" si="3"/>
        <v/>
      </c>
    </row>
    <row r="976" spans="10:11" ht="13.2">
      <c r="J976" s="13" t="str">
        <f t="array" ref="J976">IFERROR(INDEX(BasedatosM9!B:B, MATCH(A976, BasedatosM9!E:E, 0)), "")</f>
        <v/>
      </c>
      <c r="K976" s="5" t="str">
        <f t="shared" si="3"/>
        <v/>
      </c>
    </row>
    <row r="977" spans="10:11" ht="13.2">
      <c r="J977" s="13" t="str">
        <f t="array" ref="J977">IFERROR(INDEX(BasedatosM9!B:B, MATCH(A977, BasedatosM9!E:E, 0)), "")</f>
        <v/>
      </c>
      <c r="K977" s="5" t="str">
        <f t="shared" si="3"/>
        <v/>
      </c>
    </row>
    <row r="978" spans="10:11" ht="13.2">
      <c r="J978" s="13" t="str">
        <f t="array" ref="J978">IFERROR(INDEX(BasedatosM9!B:B, MATCH(A978, BasedatosM9!E:E, 0)), "")</f>
        <v/>
      </c>
      <c r="K978" s="5" t="str">
        <f t="shared" si="3"/>
        <v/>
      </c>
    </row>
    <row r="979" spans="10:11" ht="13.2">
      <c r="J979" s="13" t="str">
        <f t="array" ref="J979">IFERROR(INDEX(BasedatosM9!B:B, MATCH(A979, BasedatosM9!E:E, 0)), "")</f>
        <v/>
      </c>
      <c r="K979" s="5" t="str">
        <f t="shared" si="3"/>
        <v/>
      </c>
    </row>
    <row r="980" spans="10:11" ht="13.2">
      <c r="J980" s="13" t="str">
        <f t="array" ref="J980">IFERROR(INDEX(BasedatosM9!B:B, MATCH(A980, BasedatosM9!E:E, 0)), "")</f>
        <v/>
      </c>
      <c r="K980" s="5" t="str">
        <f t="shared" si="3"/>
        <v/>
      </c>
    </row>
    <row r="981" spans="10:11" ht="13.2">
      <c r="J981" s="13" t="str">
        <f t="array" ref="J981">IFERROR(INDEX(BasedatosM9!B:B, MATCH(A981, BasedatosM9!E:E, 0)), "")</f>
        <v/>
      </c>
      <c r="K981" s="5" t="str">
        <f t="shared" si="3"/>
        <v/>
      </c>
    </row>
    <row r="982" spans="10:11" ht="13.2">
      <c r="J982" s="13" t="str">
        <f t="array" ref="J982">IFERROR(INDEX(BasedatosM9!B:B, MATCH(A982, BasedatosM9!E:E, 0)), "")</f>
        <v/>
      </c>
      <c r="K982" s="5" t="str">
        <f t="shared" si="3"/>
        <v/>
      </c>
    </row>
    <row r="983" spans="10:11" ht="13.2">
      <c r="J983" s="13" t="str">
        <f t="array" ref="J983">IFERROR(INDEX(BasedatosM9!B:B, MATCH(A983, BasedatosM9!E:E, 0)), "")</f>
        <v/>
      </c>
      <c r="K983" s="5" t="str">
        <f t="shared" si="3"/>
        <v/>
      </c>
    </row>
    <row r="984" spans="10:11" ht="13.2">
      <c r="J984" s="13" t="str">
        <f t="array" ref="J984">IFERROR(INDEX(BasedatosM9!B:B, MATCH(A984, BasedatosM9!E:E, 0)), "")</f>
        <v/>
      </c>
      <c r="K984" s="5" t="str">
        <f t="shared" si="3"/>
        <v/>
      </c>
    </row>
    <row r="985" spans="10:11" ht="13.2">
      <c r="J985" s="13" t="str">
        <f t="array" ref="J985">IFERROR(INDEX(BasedatosM9!B:B, MATCH(A985, BasedatosM9!E:E, 0)), "")</f>
        <v/>
      </c>
      <c r="K985" s="5" t="str">
        <f t="shared" si="3"/>
        <v/>
      </c>
    </row>
    <row r="986" spans="10:11" ht="13.2">
      <c r="J986" s="13" t="str">
        <f t="array" ref="J986">IFERROR(INDEX(BasedatosM9!B:B, MATCH(A986, BasedatosM9!E:E, 0)), "")</f>
        <v/>
      </c>
      <c r="K986" s="5" t="str">
        <f t="shared" si="3"/>
        <v/>
      </c>
    </row>
    <row r="987" spans="10:11" ht="13.2">
      <c r="J987" s="13" t="str">
        <f t="array" ref="J987">IFERROR(INDEX(BasedatosM9!B:B, MATCH(A987, BasedatosM9!E:E, 0)), "")</f>
        <v/>
      </c>
      <c r="K987" s="5" t="str">
        <f t="shared" si="3"/>
        <v/>
      </c>
    </row>
    <row r="988" spans="10:11" ht="13.2">
      <c r="J988" s="13" t="str">
        <f t="array" ref="J988">IFERROR(INDEX(BasedatosM9!B:B, MATCH(A988, BasedatosM9!E:E, 0)), "")</f>
        <v/>
      </c>
      <c r="K988" s="5" t="str">
        <f t="shared" si="3"/>
        <v/>
      </c>
    </row>
    <row r="989" spans="10:11" ht="13.2">
      <c r="J989" s="13" t="str">
        <f t="array" ref="J989">IFERROR(INDEX(BasedatosM9!B:B, MATCH(A989, BasedatosM9!E:E, 0)), "")</f>
        <v/>
      </c>
      <c r="K989" s="5" t="str">
        <f t="shared" si="3"/>
        <v/>
      </c>
    </row>
    <row r="990" spans="10:11" ht="13.2">
      <c r="J990" s="13" t="str">
        <f t="array" ref="J990">IFERROR(INDEX(BasedatosM9!B:B, MATCH(A990, BasedatosM9!E:E, 0)), "")</f>
        <v/>
      </c>
      <c r="K990" s="5" t="str">
        <f t="shared" si="3"/>
        <v/>
      </c>
    </row>
    <row r="991" spans="10:11" ht="13.2">
      <c r="J991" s="13" t="str">
        <f t="array" ref="J991">IFERROR(INDEX(BasedatosM9!B:B, MATCH(A991, BasedatosM9!E:E, 0)), "")</f>
        <v/>
      </c>
      <c r="K991" s="5" t="str">
        <f t="shared" si="3"/>
        <v/>
      </c>
    </row>
    <row r="992" spans="10:11" ht="13.2">
      <c r="J992" s="13" t="str">
        <f t="array" ref="J992">IFERROR(INDEX(BasedatosM9!B:B, MATCH(A992, BasedatosM9!E:E, 0)), "")</f>
        <v/>
      </c>
      <c r="K992" s="5" t="str">
        <f t="shared" si="3"/>
        <v/>
      </c>
    </row>
    <row r="993" spans="10:11" ht="13.2">
      <c r="J993" s="13" t="str">
        <f t="array" ref="J993">IFERROR(INDEX(BasedatosM9!B:B, MATCH(A993, BasedatosM9!E:E, 0)), "")</f>
        <v/>
      </c>
      <c r="K993" s="5" t="str">
        <f t="shared" si="3"/>
        <v/>
      </c>
    </row>
    <row r="994" spans="10:11" ht="13.2">
      <c r="J994" s="13" t="str">
        <f t="array" ref="J994">IFERROR(INDEX(BasedatosM9!B:B, MATCH(A994, BasedatosM9!E:E, 0)), "")</f>
        <v/>
      </c>
      <c r="K994" s="5" t="str">
        <f t="shared" si="3"/>
        <v/>
      </c>
    </row>
    <row r="995" spans="10:11" ht="13.2">
      <c r="J995" s="13" t="str">
        <f t="array" ref="J995">IFERROR(INDEX(BasedatosM9!B:B, MATCH(A995, BasedatosM9!E:E, 0)), "")</f>
        <v/>
      </c>
      <c r="K995" s="5" t="str">
        <f t="shared" si="3"/>
        <v/>
      </c>
    </row>
    <row r="996" spans="10:11" ht="13.2">
      <c r="J996" s="13" t="str">
        <f t="array" ref="J996">IFERROR(INDEX(BasedatosM9!B:B, MATCH(A996, BasedatosM9!E:E, 0)), "")</f>
        <v/>
      </c>
      <c r="K996" s="5" t="str">
        <f t="shared" si="3"/>
        <v/>
      </c>
    </row>
    <row r="997" spans="10:11" ht="13.2">
      <c r="J997" s="13" t="str">
        <f t="array" ref="J997">IFERROR(INDEX(BasedatosM9!B:B, MATCH(A997, BasedatosM9!E:E, 0)), "")</f>
        <v/>
      </c>
      <c r="K997" s="5" t="str">
        <f t="shared" si="3"/>
        <v/>
      </c>
    </row>
    <row r="998" spans="10:11" ht="13.2">
      <c r="J998" s="13" t="str">
        <f t="array" ref="J998">IFERROR(INDEX(BasedatosM9!B:B, MATCH(A998, BasedatosM9!E:E, 0)), "")</f>
        <v/>
      </c>
      <c r="K998" s="5" t="str">
        <f t="shared" si="3"/>
        <v/>
      </c>
    </row>
    <row r="999" spans="10:11" ht="13.2">
      <c r="J999" s="13" t="str">
        <f t="array" ref="J999">IFERROR(INDEX(BasedatosM9!B:B, MATCH(A999, BasedatosM9!E:E, 0)), "")</f>
        <v/>
      </c>
      <c r="K999" s="5" t="str">
        <f t="shared" si="3"/>
        <v/>
      </c>
    </row>
    <row r="1000" spans="10:11" ht="13.2">
      <c r="J1000" s="13" t="str">
        <f t="array" ref="J1000">IFERROR(INDEX(BasedatosM9!B:B, MATCH(A1000, BasedatosM9!E:E, 0)), "")</f>
        <v/>
      </c>
      <c r="K1000" s="5" t="str">
        <f t="shared" si="3"/>
        <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20"/>
  <sheetViews>
    <sheetView workbookViewId="0"/>
  </sheetViews>
  <sheetFormatPr baseColWidth="10" defaultColWidth="12.6640625" defaultRowHeight="15.75" customHeight="1"/>
  <sheetData>
    <row r="1" spans="1:4" ht="15.75" customHeight="1">
      <c r="A1" s="5" t="s">
        <v>124</v>
      </c>
      <c r="B1" s="5" t="s">
        <v>41</v>
      </c>
      <c r="D1" s="5" t="s">
        <v>125</v>
      </c>
    </row>
    <row r="2" spans="1:4" ht="15.75" customHeight="1">
      <c r="A2" s="13" t="str">
        <f ca="1">IFERROR(__xludf.DUMMYFUNCTION("SORT(UNIQUE(FILTER(ARRAYFORMULA(Limpieza!G2:G1000), Limpieza!G2:G1000&lt;&gt;"""")))"),"CARLOS A MARTINEZ")</f>
        <v>CARLOS A MARTINEZ</v>
      </c>
      <c r="B2" s="13" t="str">
        <f ca="1">IF(
    COUNTIFS(Limpieza!$G$2:$G$600, A2, Limpieza!$F$2:$F$600, FALSE) &gt; 0,
    COUNTIFS(Limpieza!$G$2:$G$600, A2, Limpieza!$F$2:$F$600, FALSE),
    "COMPLETADAS"
)</f>
        <v>COMPLETADAS</v>
      </c>
      <c r="C2" s="13">
        <f ca="1">IFERROR(VLOOKUP(A2, 'Base de datos'!A:B, 2, FALSE), "")</f>
        <v>573113563903</v>
      </c>
      <c r="D2" s="4" t="e">
        <f t="shared" ref="D2:D18" ca="1" si="0">HYPERLINK("https://api.whatsapp.com/send?phone="&amp;_xludf.ENCODEURL(C2)&amp;"&amp;text="&amp;_xludf.ENCODEURL("Buen dia, recuerda realizar la limpieza de herramientas")
)</f>
        <v>#NAME?</v>
      </c>
    </row>
    <row r="3" spans="1:4" ht="15.75" customHeight="1">
      <c r="A3" s="5" t="str">
        <f ca="1">IFERROR(__xludf.DUMMYFUNCTION("""COMPUTED_VALUE"""),"Christian Camilo Ramírez")</f>
        <v>Christian Camilo Ramírez</v>
      </c>
      <c r="B3" s="13" t="str">
        <f ca="1">IF(
    COUNTIFS(Limpieza!$G$2:$G$600, A3, Limpieza!$F$2:$F$600, FALSE) &gt; 0,
    COUNTIFS(Limpieza!$G$2:$G$600, A3, Limpieza!$F$2:$F$600, FALSE),
    "COMPLETADAS"
)</f>
        <v>COMPLETADAS</v>
      </c>
      <c r="C3" s="13">
        <f ca="1">IFERROR(VLOOKUP(A3, 'Base de datos'!A:B, 2, FALSE), "")</f>
        <v>573117720757</v>
      </c>
      <c r="D3" s="4" t="e">
        <f t="shared" ca="1" si="0"/>
        <v>#NAME?</v>
      </c>
    </row>
    <row r="4" spans="1:4" ht="15.75" customHeight="1">
      <c r="A4" s="5" t="str">
        <f ca="1">IFERROR(__xludf.DUMMYFUNCTION("""COMPUTED_VALUE"""),"ESTEBAN POTOSI ")</f>
        <v xml:space="preserve">ESTEBAN POTOSI </v>
      </c>
      <c r="B4" s="13" t="str">
        <f ca="1">IF(
    COUNTIFS(Limpieza!$G$2:$G$600, A4, Limpieza!$F$2:$F$600, FALSE) &gt; 0,
    COUNTIFS(Limpieza!$G$2:$G$600, A4, Limpieza!$F$2:$F$600, FALSE),
    "COMPLETADAS"
)</f>
        <v>COMPLETADAS</v>
      </c>
      <c r="C4" s="13">
        <f ca="1">IFERROR(VLOOKUP(A4, 'Base de datos'!A:B, 2, FALSE), "")</f>
        <v>573128543241</v>
      </c>
      <c r="D4" s="4" t="e">
        <f t="shared" ca="1" si="0"/>
        <v>#NAME?</v>
      </c>
    </row>
    <row r="5" spans="1:4" ht="15.75" customHeight="1">
      <c r="A5" s="5" t="str">
        <f ca="1">IFERROR(__xludf.DUMMYFUNCTION("""COMPUTED_VALUE"""),"GUIDO PAPAMIJA")</f>
        <v>GUIDO PAPAMIJA</v>
      </c>
      <c r="B5" s="13" t="str">
        <f ca="1">IF(
    COUNTIFS(Limpieza!$G$2:$G$600, A5, Limpieza!$F$2:$F$600, FALSE) &gt; 0,
    COUNTIFS(Limpieza!$G$2:$G$600, A5, Limpieza!$F$2:$F$600, FALSE),
    "COMPLETADAS"
)</f>
        <v>COMPLETADAS</v>
      </c>
      <c r="C5" s="13">
        <f ca="1">IFERROR(VLOOKUP(A5, 'Base de datos'!A:B, 2, FALSE), "")</f>
        <v>573156712311</v>
      </c>
      <c r="D5" s="4" t="e">
        <f t="shared" ca="1" si="0"/>
        <v>#NAME?</v>
      </c>
    </row>
    <row r="6" spans="1:4" ht="15.75" customHeight="1">
      <c r="A6" s="5" t="str">
        <f ca="1">IFERROR(__xludf.DUMMYFUNCTION("""COMPUTED_VALUE"""),"HECTOR F VALENCIA")</f>
        <v>HECTOR F VALENCIA</v>
      </c>
      <c r="B6" s="13" t="str">
        <f ca="1">IF(
    COUNTIFS(Limpieza!$G$2:$G$600, A6, Limpieza!$F$2:$F$600, FALSE) &gt; 0,
    COUNTIFS(Limpieza!$G$2:$G$600, A6, Limpieza!$F$2:$F$600, FALSE),
    "COMPLETADAS"
)</f>
        <v>COMPLETADAS</v>
      </c>
      <c r="C6" s="13">
        <f ca="1">IFERROR(VLOOKUP(A6, 'Base de datos'!A:B, 2, FALSE), "")</f>
        <v>573108951371</v>
      </c>
      <c r="D6" s="4" t="e">
        <f t="shared" ca="1" si="0"/>
        <v>#NAME?</v>
      </c>
    </row>
    <row r="7" spans="1:4" ht="15.75" customHeight="1">
      <c r="A7" s="5" t="str">
        <f ca="1">IFERROR(__xludf.DUMMYFUNCTION("""COMPUTED_VALUE"""),"JEFERSON MUÑOZ")</f>
        <v>JEFERSON MUÑOZ</v>
      </c>
      <c r="B7" s="13" t="str">
        <f ca="1">IF(
    COUNTIFS(Limpieza!$G$2:$G$600, A7, Limpieza!$F$2:$F$600, FALSE) &gt; 0,
    COUNTIFS(Limpieza!$G$2:$G$600, A7, Limpieza!$F$2:$F$600, FALSE),
    "COMPLETADAS"
)</f>
        <v>COMPLETADAS</v>
      </c>
      <c r="C7" s="13">
        <f ca="1">IFERROR(VLOOKUP(A7, 'Base de datos'!A:B, 2, FALSE), "")</f>
        <v>573122261803</v>
      </c>
      <c r="D7" s="4" t="e">
        <f t="shared" ca="1" si="0"/>
        <v>#NAME?</v>
      </c>
    </row>
    <row r="8" spans="1:4" ht="15.75" customHeight="1">
      <c r="A8" s="5" t="str">
        <f ca="1">IFERROR(__xludf.DUMMYFUNCTION("""COMPUTED_VALUE"""),"JEFFERSON BRAVO")</f>
        <v>JEFFERSON BRAVO</v>
      </c>
      <c r="B8" s="13" t="str">
        <f ca="1">IF(
    COUNTIFS(Limpieza!$G$2:$G$600, A8, Limpieza!$F$2:$F$600, FALSE) &gt; 0,
    COUNTIFS(Limpieza!$G$2:$G$600, A8, Limpieza!$F$2:$F$600, FALSE),
    "COMPLETADAS"
)</f>
        <v>COMPLETADAS</v>
      </c>
      <c r="C8" s="13">
        <f ca="1">IFERROR(VLOOKUP(A8, 'Base de datos'!A:B, 2, FALSE), "")</f>
        <v>573043623277</v>
      </c>
      <c r="D8" s="4" t="e">
        <f t="shared" ca="1" si="0"/>
        <v>#NAME?</v>
      </c>
    </row>
    <row r="9" spans="1:4" ht="15.75" customHeight="1">
      <c r="A9" s="5" t="str">
        <f ca="1">IFERROR(__xludf.DUMMYFUNCTION("""COMPUTED_VALUE"""),"JHON F JIMENEZ")</f>
        <v>JHON F JIMENEZ</v>
      </c>
      <c r="B9" s="13" t="str">
        <f ca="1">IF(
    COUNTIFS(Limpieza!$G$2:$G$600, A9, Limpieza!$F$2:$F$600, FALSE) &gt; 0,
    COUNTIFS(Limpieza!$G$2:$G$600, A9, Limpieza!$F$2:$F$600, FALSE),
    "COMPLETADAS"
)</f>
        <v>COMPLETADAS</v>
      </c>
      <c r="C9" s="13">
        <f ca="1">IFERROR(VLOOKUP(A9, 'Base de datos'!A:B, 2, FALSE), "")</f>
        <v>573147637946</v>
      </c>
      <c r="D9" s="4" t="e">
        <f t="shared" ca="1" si="0"/>
        <v>#NAME?</v>
      </c>
    </row>
    <row r="10" spans="1:4" ht="15.75" customHeight="1">
      <c r="A10" s="5" t="str">
        <f ca="1">IFERROR(__xludf.DUMMYFUNCTION("""COMPUTED_VALUE"""),"JOHN EDIER GOMEZ ZUÑIGA ")</f>
        <v xml:space="preserve">JOHN EDIER GOMEZ ZUÑIGA </v>
      </c>
      <c r="B10" s="13" t="str">
        <f ca="1">IF(
    COUNTIFS(Limpieza!$G$2:$G$600, A10, Limpieza!$F$2:$F$600, FALSE) &gt; 0,
    COUNTIFS(Limpieza!$G$2:$G$600, A10, Limpieza!$F$2:$F$600, FALSE),
    "COMPLETADAS"
)</f>
        <v>COMPLETADAS</v>
      </c>
      <c r="C10" s="13">
        <v>573003678745</v>
      </c>
      <c r="D10" s="4" t="e">
        <f t="shared" ca="1" si="0"/>
        <v>#NAME?</v>
      </c>
    </row>
    <row r="11" spans="1:4" ht="15.75" customHeight="1">
      <c r="A11" s="5" t="str">
        <f ca="1">IFERROR(__xludf.DUMMYFUNCTION("""COMPUTED_VALUE"""),"Jorge Eliécer Poveda Pardo ")</f>
        <v xml:space="preserve">Jorge Eliécer Poveda Pardo </v>
      </c>
      <c r="B11" s="13" t="str">
        <f ca="1">IF(
    COUNTIFS(Limpieza!$G$2:$G$600, A11, Limpieza!$F$2:$F$600, FALSE) &gt; 0,
    COUNTIFS(Limpieza!$G$2:$G$600, A11, Limpieza!$F$2:$F$600, FALSE),
    "COMPLETADAS"
)</f>
        <v>COMPLETADAS</v>
      </c>
      <c r="C11" s="13">
        <f ca="1">IFERROR(VLOOKUP(A11, 'Base de datos'!A:B, 2, FALSE), "")</f>
        <v>573212589618</v>
      </c>
      <c r="D11" s="4" t="e">
        <f t="shared" ca="1" si="0"/>
        <v>#NAME?</v>
      </c>
    </row>
    <row r="12" spans="1:4" ht="15.75" customHeight="1">
      <c r="A12" s="5" t="str">
        <f ca="1">IFERROR(__xludf.DUMMYFUNCTION("""COMPUTED_VALUE"""),"JULIAN CALDERON")</f>
        <v>JULIAN CALDERON</v>
      </c>
      <c r="B12" s="13" t="str">
        <f ca="1">IF(
    COUNTIFS(Limpieza!$G$2:$G$600, A12, Limpieza!$F$2:$F$600, FALSE) &gt; 0,
    COUNTIFS(Limpieza!$G$2:$G$600, A12, Limpieza!$F$2:$F$600, FALSE),
    "COMPLETADAS"
)</f>
        <v>COMPLETADAS</v>
      </c>
      <c r="C12" s="13">
        <f ca="1">IFERROR(VLOOKUP(A12, 'Base de datos'!A:B, 2, FALSE), "")</f>
        <v>573106062699</v>
      </c>
      <c r="D12" s="4" t="e">
        <f t="shared" ca="1" si="0"/>
        <v>#NAME?</v>
      </c>
    </row>
    <row r="13" spans="1:4" ht="15.75" customHeight="1">
      <c r="A13" s="5" t="str">
        <f ca="1">IFERROR(__xludf.DUMMYFUNCTION("""COMPUTED_VALUE"""),"MARIO ALBERTO MARTINEZ")</f>
        <v>MARIO ALBERTO MARTINEZ</v>
      </c>
      <c r="B13" s="13" t="str">
        <f ca="1">IF(
    COUNTIFS(Limpieza!$G$2:$G$600, A13, Limpieza!$F$2:$F$600, FALSE) &gt; 0,
    COUNTIFS(Limpieza!$G$2:$G$600, A13, Limpieza!$F$2:$F$600, FALSE),
    "COMPLETADAS"
)</f>
        <v>COMPLETADAS</v>
      </c>
      <c r="C13" s="13">
        <f ca="1">IFERROR(VLOOKUP(A13, 'Base de datos'!A:B, 2, FALSE), "")</f>
        <v>573116493969</v>
      </c>
      <c r="D13" s="4" t="e">
        <f t="shared" ca="1" si="0"/>
        <v>#NAME?</v>
      </c>
    </row>
    <row r="14" spans="1:4" ht="15.75" customHeight="1">
      <c r="A14" s="5" t="str">
        <f ca="1">IFERROR(__xludf.DUMMYFUNCTION("""COMPUTED_VALUE"""),"MIGUEL GUZMÁN")</f>
        <v>MIGUEL GUZMÁN</v>
      </c>
      <c r="B14" s="13" t="str">
        <f ca="1">IF(
    COUNTIFS(Limpieza!$G$2:$G$600, A14, Limpieza!$F$2:$F$600, FALSE) &gt; 0,
    COUNTIFS(Limpieza!$G$2:$G$600, A14, Limpieza!$F$2:$F$600, FALSE),
    "COMPLETADAS"
)</f>
        <v>COMPLETADAS</v>
      </c>
      <c r="C14" s="13">
        <f ca="1">IFERROR(VLOOKUP(A14, 'Base de datos'!A:B, 2, FALSE), "")</f>
        <v>573112422176</v>
      </c>
      <c r="D14" s="4" t="e">
        <f t="shared" ca="1" si="0"/>
        <v>#NAME?</v>
      </c>
    </row>
    <row r="15" spans="1:4" ht="15.75" customHeight="1">
      <c r="A15" s="5" t="str">
        <f ca="1">IFERROR(__xludf.DUMMYFUNCTION("""COMPUTED_VALUE"""),"RAUL LOPEZ")</f>
        <v>RAUL LOPEZ</v>
      </c>
      <c r="B15" s="13" t="str">
        <f ca="1">IF(
    COUNTIFS(Limpieza!$G$2:$G$600, A15, Limpieza!$F$2:$F$600, FALSE) &gt; 0,
    COUNTIFS(Limpieza!$G$2:$G$600, A15, Limpieza!$F$2:$F$600, FALSE),
    "COMPLETADAS"
)</f>
        <v>COMPLETADAS</v>
      </c>
      <c r="C15" s="13">
        <f ca="1">IFERROR(VLOOKUP(A15, 'Base de datos'!A:B, 2, FALSE), "")</f>
        <v>573122172129</v>
      </c>
      <c r="D15" s="4" t="e">
        <f t="shared" ca="1" si="0"/>
        <v>#NAME?</v>
      </c>
    </row>
    <row r="16" spans="1:4" ht="15.75" customHeight="1">
      <c r="A16" s="5" t="str">
        <f ca="1">IFERROR(__xludf.DUMMYFUNCTION("""COMPUTED_VALUE"""),"Victor David burbano gomez")</f>
        <v>Victor David burbano gomez</v>
      </c>
      <c r="B16" s="13" t="str">
        <f ca="1">IF(
    COUNTIFS(Limpieza!$G$2:$G$600, A16, Limpieza!$F$2:$F$600, FALSE) &gt; 0,
    COUNTIFS(Limpieza!$G$2:$G$600, A16, Limpieza!$F$2:$F$600, FALSE),
    "COMPLETADAS"
)</f>
        <v>COMPLETADAS</v>
      </c>
      <c r="C16" s="13">
        <f ca="1">IFERROR(VLOOKUP(A16, 'Base de datos'!A:B, 2, FALSE), "")</f>
        <v>573023403586</v>
      </c>
      <c r="D16" s="4" t="e">
        <f t="shared" ca="1" si="0"/>
        <v>#NAME?</v>
      </c>
    </row>
    <row r="17" spans="1:4" ht="15.75" customHeight="1">
      <c r="A17" s="5" t="str">
        <f ca="1">IFERROR(__xludf.DUMMYFUNCTION("""COMPUTED_VALUE"""),"WILLIAM HENAO")</f>
        <v>WILLIAM HENAO</v>
      </c>
      <c r="B17" s="13" t="str">
        <f ca="1">IF(
    COUNTIFS(Limpieza!$G$2:$G$600, A17, Limpieza!$F$2:$F$600, FALSE) &gt; 0,
    COUNTIFS(Limpieza!$G$2:$G$600, A17, Limpieza!$F$2:$F$600, FALSE),
    "COMPLETADAS"
)</f>
        <v>COMPLETADAS</v>
      </c>
      <c r="C17" s="13">
        <f ca="1">IFERROR(VLOOKUP(A17, 'Base de datos'!A:B, 2, FALSE), "")</f>
        <v>573222217492</v>
      </c>
      <c r="D17" s="4" t="e">
        <f t="shared" ca="1" si="0"/>
        <v>#NAME?</v>
      </c>
    </row>
    <row r="18" spans="1:4" ht="15.75" customHeight="1">
      <c r="A18" s="5" t="str">
        <f ca="1">IFERROR(__xludf.DUMMYFUNCTION("""COMPUTED_VALUE"""),"WILMER GUTIERREZ")</f>
        <v>WILMER GUTIERREZ</v>
      </c>
      <c r="B18" s="13">
        <f ca="1">IF(
    COUNTIFS(Limpieza!$G$2:$G$600, A18, Limpieza!$F$2:$F$600, FALSE) &gt; 0,
    COUNTIFS(Limpieza!$G$2:$G$600, A18, Limpieza!$F$2:$F$600, FALSE),
    "COMPLETADAS"
)</f>
        <v>18</v>
      </c>
      <c r="C18" s="13">
        <f ca="1">IFERROR(VLOOKUP(A18, 'Base de datos'!A:B, 2, FALSE), "")</f>
        <v>573164814393</v>
      </c>
      <c r="D18" s="4" t="e">
        <f t="shared" ca="1" si="0"/>
        <v>#NAME?</v>
      </c>
    </row>
    <row r="19" spans="1:4" ht="15.75" customHeight="1">
      <c r="B19" s="13"/>
    </row>
    <row r="20" spans="1:4" ht="15.75" customHeight="1">
      <c r="B20" s="1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K2"/>
  <sheetViews>
    <sheetView workbookViewId="0"/>
  </sheetViews>
  <sheetFormatPr baseColWidth="10" defaultColWidth="12.6640625" defaultRowHeight="15.75" customHeight="1"/>
  <sheetData>
    <row r="1" spans="1:11" ht="15.75" customHeight="1">
      <c r="A1" s="19" t="s">
        <v>6</v>
      </c>
      <c r="B1" s="20" t="s">
        <v>7</v>
      </c>
      <c r="C1" s="20" t="s">
        <v>8</v>
      </c>
      <c r="D1" s="20" t="s">
        <v>9</v>
      </c>
      <c r="E1" s="20" t="s">
        <v>10</v>
      </c>
      <c r="F1" s="20" t="s">
        <v>11</v>
      </c>
      <c r="G1" s="20" t="s">
        <v>12</v>
      </c>
      <c r="H1" s="20" t="s">
        <v>43</v>
      </c>
      <c r="I1" s="20" t="s">
        <v>19</v>
      </c>
      <c r="J1" s="21" t="s">
        <v>37</v>
      </c>
      <c r="K1" s="5" t="s">
        <v>44</v>
      </c>
    </row>
    <row r="2" spans="1:11" ht="13.2">
      <c r="A2" s="5" t="str">
        <f ca="1">IFERROR(__xludf.DUMMYFUNCTION("FILTER('M2'!A2:K1000, 'M2'!K2:K1000=""LINE 1"", 'M2'!J2:J1000&lt;&gt;"""")
"),"#N/A")</f>
        <v>#N/A</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outlinePr summaryBelow="0" summaryRight="0"/>
  </sheetPr>
  <dimension ref="A1:K19"/>
  <sheetViews>
    <sheetView workbookViewId="0"/>
  </sheetViews>
  <sheetFormatPr baseColWidth="10" defaultColWidth="12.6640625" defaultRowHeight="15.75" customHeight="1"/>
  <sheetData>
    <row r="1" spans="1:11" ht="14.4">
      <c r="A1" s="19" t="s">
        <v>6</v>
      </c>
      <c r="B1" s="20" t="s">
        <v>7</v>
      </c>
      <c r="C1" s="20" t="s">
        <v>8</v>
      </c>
      <c r="D1" s="20" t="s">
        <v>9</v>
      </c>
      <c r="E1" s="20" t="s">
        <v>10</v>
      </c>
      <c r="F1" s="20" t="s">
        <v>11</v>
      </c>
      <c r="G1" s="20" t="s">
        <v>12</v>
      </c>
      <c r="H1" s="20" t="s">
        <v>43</v>
      </c>
      <c r="I1" s="20" t="s">
        <v>19</v>
      </c>
      <c r="J1" s="21" t="s">
        <v>37</v>
      </c>
      <c r="K1" s="5" t="s">
        <v>44</v>
      </c>
    </row>
    <row r="2" spans="1:11" ht="13.2" hidden="1">
      <c r="A2" s="13" t="str">
        <f ca="1">IFERROR(__xludf.DUMMYFUNCTION("FILTER('M2'!A2:K1000, 'M2'!K2:K1000=""Agua cristal"", 'M2'!J2:J1000&lt;&gt;"""")"),"#N/A")</f>
        <v>#N/A</v>
      </c>
    </row>
    <row r="8" spans="1:11" ht="13.2" hidden="1"/>
    <row r="13" spans="1:11" ht="13.2" hidden="1"/>
    <row r="14" spans="1:11" ht="13.2" hidden="1"/>
    <row r="15" spans="1:11" ht="13.2" hidden="1"/>
    <row r="16" spans="1:11" ht="13.2" hidden="1"/>
    <row r="19" ht="13.2" hidden="1"/>
  </sheetData>
  <autoFilter ref="A1:K28" xr:uid="{00000000-0009-0000-0000-000006000000}">
    <filterColumn colId="9">
      <filters blank="1"/>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E220"/>
  <sheetViews>
    <sheetView workbookViewId="0"/>
  </sheetViews>
  <sheetFormatPr baseColWidth="10" defaultColWidth="12.6640625" defaultRowHeight="15.75" customHeight="1"/>
  <sheetData>
    <row r="1" spans="1:5">
      <c r="A1" s="27" t="str">
        <f ca="1">IFERROR(__xludf.DUMMYFUNCTION("QUERY(IMPORTRANGE(""https://docs.google.com/spreadsheets/d/1yIQawtPURpAfKN2c7pbvj8vebBir9_EGgVwIDePlv5w/edit?pli=1#gid=1101008617"", ""registro de asistencia!A1:E10000""), ""SELECT * WHERE Col1 IS NOT NULL"", 0)"),"Tipo de capacitacion")</f>
        <v>Tipo de capacitacion</v>
      </c>
      <c r="B1" s="5"/>
      <c r="C1" s="5" t="str">
        <f ca="1">IFERROR(__xludf.DUMMYFUNCTION("""COMPUTED_VALUE"""),"NOMBRES Y APELLIDOS COMPLETOS")</f>
        <v>NOMBRES Y APELLIDOS COMPLETOS</v>
      </c>
      <c r="D1" s="5" t="str">
        <f ca="1">IFERROR(__xludf.DUMMYFUNCTION("""COMPUTED_VALUE"""),"CARGO")</f>
        <v>CARGO</v>
      </c>
      <c r="E1" s="5" t="str">
        <f ca="1">IFERROR(__xludf.DUMMYFUNCTION("""COMPUTED_VALUE"""),"DEPENDENCIA")</f>
        <v>DEPENDENCIA</v>
      </c>
    </row>
    <row r="2" spans="1:5">
      <c r="A2" s="5" t="str">
        <f ca="1">IFERROR(__xludf.DUMMYFUNCTION("""COMPUTED_VALUE"""),"CAPACITACIONES.CIRCULARES")</f>
        <v>CAPACITACIONES.CIRCULARES</v>
      </c>
      <c r="B2" s="5">
        <f ca="1">IFERROR(__xludf.DUMMYFUNCTION("""COMPUTED_VALUE"""),1061535068)</f>
        <v>1061535068</v>
      </c>
      <c r="C2" s="5" t="str">
        <f ca="1">IFERROR(__xludf.DUMMYFUNCTION("""COMPUTED_VALUE"""),"JEFERSON MUÑOZ")</f>
        <v>JEFERSON MUÑOZ</v>
      </c>
      <c r="D2" s="5" t="str">
        <f ca="1">IFERROR(__xludf.DUMMYFUNCTION("""COMPUTED_VALUE"""),"Técnico 3")</f>
        <v>Técnico 3</v>
      </c>
      <c r="E2" s="5" t="str">
        <f ca="1">IFERROR(__xludf.DUMMYFUNCTION("""COMPUTED_VALUE"""),"Mantenimiento ")</f>
        <v xml:space="preserve">Mantenimiento </v>
      </c>
    </row>
    <row r="3" spans="1:5">
      <c r="A3" s="5" t="str">
        <f ca="1">IFERROR(__xludf.DUMMYFUNCTION("""COMPUTED_VALUE"""),"CAPACITACIONES.INOCUIDAD")</f>
        <v>CAPACITACIONES.INOCUIDAD</v>
      </c>
      <c r="B3" s="5">
        <f ca="1">IFERROR(__xludf.DUMMYFUNCTION("""COMPUTED_VALUE"""),79493644)</f>
        <v>79493644</v>
      </c>
      <c r="C3" s="5" t="str">
        <f ca="1">IFERROR(__xludf.DUMMYFUNCTION("""COMPUTED_VALUE"""),"CARLOS A MARTINEZ")</f>
        <v>CARLOS A MARTINEZ</v>
      </c>
      <c r="D3" s="5" t="str">
        <f ca="1">IFERROR(__xludf.DUMMYFUNCTION("""COMPUTED_VALUE"""),"tecnico 3")</f>
        <v>tecnico 3</v>
      </c>
      <c r="E3" s="5" t="str">
        <f ca="1">IFERROR(__xludf.DUMMYFUNCTION("""COMPUTED_VALUE"""),"mantenimiento")</f>
        <v>mantenimiento</v>
      </c>
    </row>
    <row r="4" spans="1:5">
      <c r="A4" s="5" t="str">
        <f ca="1">IFERROR(__xludf.DUMMYFUNCTION("""COMPUTED_VALUE"""),"CAPACITACIONES AUDITORIA")</f>
        <v>CAPACITACIONES AUDITORIA</v>
      </c>
      <c r="B4" s="5">
        <f ca="1">IFERROR(__xludf.DUMMYFUNCTION("""COMPUTED_VALUE"""),79493644)</f>
        <v>79493644</v>
      </c>
      <c r="C4" s="5" t="str">
        <f ca="1">IFERROR(__xludf.DUMMYFUNCTION("""COMPUTED_VALUE"""),"CARLOS A MARTINEZ")</f>
        <v>CARLOS A MARTINEZ</v>
      </c>
      <c r="D4" s="5" t="str">
        <f ca="1">IFERROR(__xludf.DUMMYFUNCTION("""COMPUTED_VALUE"""),"técnico 3")</f>
        <v>técnico 3</v>
      </c>
      <c r="E4" s="5" t="str">
        <f ca="1">IFERROR(__xludf.DUMMYFUNCTION("""COMPUTED_VALUE"""),"mantenimiento")</f>
        <v>mantenimiento</v>
      </c>
    </row>
    <row r="5" spans="1:5">
      <c r="A5" s="5" t="str">
        <f ca="1">IFERROR(__xludf.DUMMYFUNCTION("""COMPUTED_VALUE"""),"CAPACITACIONES.CIRCULARES")</f>
        <v>CAPACITACIONES.CIRCULARES</v>
      </c>
      <c r="B5" s="5">
        <f ca="1">IFERROR(__xludf.DUMMYFUNCTION("""COMPUTED_VALUE"""),1130620555)</f>
        <v>1130620555</v>
      </c>
      <c r="C5" s="5" t="str">
        <f ca="1">IFERROR(__xludf.DUMMYFUNCTION("""COMPUTED_VALUE"""),"Victor David burbano gomez")</f>
        <v>Victor David burbano gomez</v>
      </c>
      <c r="D5" s="5" t="str">
        <f ca="1">IFERROR(__xludf.DUMMYFUNCTION("""COMPUTED_VALUE"""),"tecnico 3")</f>
        <v>tecnico 3</v>
      </c>
      <c r="E5" s="5" t="str">
        <f ca="1">IFERROR(__xludf.DUMMYFUNCTION("""COMPUTED_VALUE"""),"mantenimiento ")</f>
        <v xml:space="preserve">mantenimiento </v>
      </c>
    </row>
    <row r="6" spans="1:5">
      <c r="A6" s="5" t="str">
        <f ca="1">IFERROR(__xludf.DUMMYFUNCTION("""COMPUTED_VALUE"""),"CAPACITACIONES.CIRCULARES")</f>
        <v>CAPACITACIONES.CIRCULARES</v>
      </c>
      <c r="B6" s="5">
        <f ca="1">IFERROR(__xludf.DUMMYFUNCTION("""COMPUTED_VALUE"""),94063517)</f>
        <v>94063517</v>
      </c>
      <c r="C6" s="5" t="str">
        <f ca="1">IFERROR(__xludf.DUMMYFUNCTION("""COMPUTED_VALUE"""),"GUIDO PAPAMIJA")</f>
        <v>GUIDO PAPAMIJA</v>
      </c>
      <c r="D6" s="5" t="str">
        <f ca="1">IFERROR(__xludf.DUMMYFUNCTION("""COMPUTED_VALUE"""),"Técnico 3")</f>
        <v>Técnico 3</v>
      </c>
      <c r="E6" s="5" t="str">
        <f ca="1">IFERROR(__xludf.DUMMYFUNCTION("""COMPUTED_VALUE"""),"Mantenimiento
")</f>
        <v xml:space="preserve">Mantenimiento
</v>
      </c>
    </row>
    <row r="7" spans="1:5">
      <c r="A7" s="5" t="str">
        <f ca="1">IFERROR(__xludf.DUMMYFUNCTION("""COMPUTED_VALUE"""),"CAPACITACIONES.INOCUIDAD")</f>
        <v>CAPACITACIONES.INOCUIDAD</v>
      </c>
      <c r="B7" s="5">
        <f ca="1">IFERROR(__xludf.DUMMYFUNCTION("""COMPUTED_VALUE"""),94063517)</f>
        <v>94063517</v>
      </c>
      <c r="C7" s="5" t="str">
        <f ca="1">IFERROR(__xludf.DUMMYFUNCTION("""COMPUTED_VALUE"""),"GUIDO PAPAMIJA")</f>
        <v>GUIDO PAPAMIJA</v>
      </c>
      <c r="D7" s="5" t="str">
        <f ca="1">IFERROR(__xludf.DUMMYFUNCTION("""COMPUTED_VALUE"""),"Técnico 3 ")</f>
        <v xml:space="preserve">Técnico 3 </v>
      </c>
      <c r="E7" s="5" t="str">
        <f ca="1">IFERROR(__xludf.DUMMYFUNCTION("""COMPUTED_VALUE"""),"Mantenimiento")</f>
        <v>Mantenimiento</v>
      </c>
    </row>
    <row r="8" spans="1:5">
      <c r="A8" s="5" t="str">
        <f ca="1">IFERROR(__xludf.DUMMYFUNCTION("""COMPUTED_VALUE"""),"CAPACITACIONES.INOCUIDAD")</f>
        <v>CAPACITACIONES.INOCUIDAD</v>
      </c>
      <c r="B8" s="5">
        <f ca="1">IFERROR(__xludf.DUMMYFUNCTION("""COMPUTED_VALUE"""),1061535068)</f>
        <v>1061535068</v>
      </c>
      <c r="C8" s="5" t="str">
        <f ca="1">IFERROR(__xludf.DUMMYFUNCTION("""COMPUTED_VALUE"""),"JEFERSON MUÑOZ")</f>
        <v>JEFERSON MUÑOZ</v>
      </c>
      <c r="D8" s="5" t="str">
        <f ca="1">IFERROR(__xludf.DUMMYFUNCTION("""COMPUTED_VALUE"""),"Técnico 3 ")</f>
        <v xml:space="preserve">Técnico 3 </v>
      </c>
      <c r="E8" s="5" t="str">
        <f ca="1">IFERROR(__xludf.DUMMYFUNCTION("""COMPUTED_VALUE"""),"Mtto")</f>
        <v>Mtto</v>
      </c>
    </row>
    <row r="9" spans="1:5">
      <c r="A9" s="5" t="str">
        <f ca="1">IFERROR(__xludf.DUMMYFUNCTION("""COMPUTED_VALUE"""),"CAPACITACIONES AUDITORIA")</f>
        <v>CAPACITACIONES AUDITORIA</v>
      </c>
      <c r="B9" s="5">
        <f ca="1">IFERROR(__xludf.DUMMYFUNCTION("""COMPUTED_VALUE"""),1061535068)</f>
        <v>1061535068</v>
      </c>
      <c r="C9" s="5" t="str">
        <f ca="1">IFERROR(__xludf.DUMMYFUNCTION("""COMPUTED_VALUE"""),"JEFERSON MUÑOZ")</f>
        <v>JEFERSON MUÑOZ</v>
      </c>
      <c r="D9" s="5" t="str">
        <f ca="1">IFERROR(__xludf.DUMMYFUNCTION("""COMPUTED_VALUE"""),"Técnico 3 ")</f>
        <v xml:space="preserve">Técnico 3 </v>
      </c>
      <c r="E9" s="5" t="str">
        <f ca="1">IFERROR(__xludf.DUMMYFUNCTION("""COMPUTED_VALUE"""),"Mtto ")</f>
        <v xml:space="preserve">Mtto </v>
      </c>
    </row>
    <row r="10" spans="1:5">
      <c r="A10" s="5" t="str">
        <f ca="1">IFERROR(__xludf.DUMMYFUNCTION("""COMPUTED_VALUE"""),"CIRCULAR 180-0008-2023")</f>
        <v>CIRCULAR 180-0008-2023</v>
      </c>
      <c r="B10" s="5">
        <f ca="1">IFERROR(__xludf.DUMMYFUNCTION("""COMPUTED_VALUE"""),1010136690)</f>
        <v>1010136690</v>
      </c>
      <c r="C10" s="5" t="str">
        <f ca="1">IFERROR(__xludf.DUMMYFUNCTION("""COMPUTED_VALUE"""),"Aura María Correa Rendón ")</f>
        <v xml:space="preserve">Aura María Correa Rendón </v>
      </c>
      <c r="D10" s="5" t="str">
        <f ca="1">IFERROR(__xludf.DUMMYFUNCTION("""COMPUTED_VALUE"""),"Aprendiz ")</f>
        <v xml:space="preserve">Aprendiz </v>
      </c>
      <c r="E10" s="5" t="str">
        <f ca="1">IFERROR(__xludf.DUMMYFUNCTION("""COMPUTED_VALUE"""),"MTTO")</f>
        <v>MTTO</v>
      </c>
    </row>
    <row r="11" spans="1:5">
      <c r="A11" s="5" t="str">
        <f ca="1">IFERROR(__xludf.DUMMYFUNCTION("""COMPUTED_VALUE"""),"CIRCULAR 180-0008-2023")</f>
        <v>CIRCULAR 180-0008-2023</v>
      </c>
      <c r="B11" s="5">
        <f ca="1">IFERROR(__xludf.DUMMYFUNCTION("""COMPUTED_VALUE"""),94044185)</f>
        <v>94044185</v>
      </c>
      <c r="C11" s="5" t="str">
        <f ca="1">IFERROR(__xludf.DUMMYFUNCTION("""COMPUTED_VALUE"""),"VICTOR FERNANDEZ")</f>
        <v>VICTOR FERNANDEZ</v>
      </c>
      <c r="D11" s="5" t="str">
        <f ca="1">IFERROR(__xludf.DUMMYFUNCTION("""COMPUTED_VALUE"""),"SUPERVISOR")</f>
        <v>SUPERVISOR</v>
      </c>
      <c r="E11" s="5" t="str">
        <f ca="1">IFERROR(__xludf.DUMMYFUNCTION("""COMPUTED_VALUE"""),"MANTENIMIENTO")</f>
        <v>MANTENIMIENTO</v>
      </c>
    </row>
    <row r="12" spans="1:5">
      <c r="A12" s="5" t="str">
        <f ca="1">IFERROR(__xludf.DUMMYFUNCTION("""COMPUTED_VALUE"""),"CAPACITACION BPM")</f>
        <v>CAPACITACION BPM</v>
      </c>
      <c r="B12" s="5">
        <f ca="1">IFERROR(__xludf.DUMMYFUNCTION("""COMPUTED_VALUE"""),94542837)</f>
        <v>94542837</v>
      </c>
      <c r="C12" s="5" t="str">
        <f ca="1">IFERROR(__xludf.DUMMYFUNCTION("""COMPUTED_VALUE"""),"MARIO ALBERTO MARTINEZ")</f>
        <v>MARIO ALBERTO MARTINEZ</v>
      </c>
      <c r="D12" s="5" t="str">
        <f ca="1">IFERROR(__xludf.DUMMYFUNCTION("""COMPUTED_VALUE"""),"Técnico III ")</f>
        <v xml:space="preserve">Técnico III </v>
      </c>
      <c r="E12" s="5" t="str">
        <f ca="1">IFERROR(__xludf.DUMMYFUNCTION("""COMPUTED_VALUE"""),"Mtto")</f>
        <v>Mtto</v>
      </c>
    </row>
    <row r="13" spans="1:5">
      <c r="A13" s="5" t="str">
        <f ca="1">IFERROR(__xludf.DUMMYFUNCTION("""COMPUTED_VALUE"""),"CIRCULAR 180-0008-2023")</f>
        <v>CIRCULAR 180-0008-2023</v>
      </c>
      <c r="B13" s="5">
        <f ca="1">IFERROR(__xludf.DUMMYFUNCTION("""COMPUTED_VALUE"""),1151940372)</f>
        <v>1151940372</v>
      </c>
      <c r="C13" s="5" t="str">
        <f ca="1">IFERROR(__xludf.DUMMYFUNCTION("""COMPUTED_VALUE"""),"HELMER QUISCUALTUD")</f>
        <v>HELMER QUISCUALTUD</v>
      </c>
      <c r="D13" s="5" t="str">
        <f ca="1">IFERROR(__xludf.DUMMYFUNCTION("""COMPUTED_VALUE"""),"Supervisor ")</f>
        <v xml:space="preserve">Supervisor </v>
      </c>
      <c r="E13" s="5" t="str">
        <f ca="1">IFERROR(__xludf.DUMMYFUNCTION("""COMPUTED_VALUE"""),"Mantenimiento maquinaria ")</f>
        <v xml:space="preserve">Mantenimiento maquinaria </v>
      </c>
    </row>
    <row r="14" spans="1:5">
      <c r="A14" s="5" t="str">
        <f ca="1">IFERROR(__xludf.DUMMYFUNCTION("""COMPUTED_VALUE"""),"CIRCULAR 180-0008-2023")</f>
        <v>CIRCULAR 180-0008-2023</v>
      </c>
      <c r="B14" s="5">
        <f ca="1">IFERROR(__xludf.DUMMYFUNCTION("""COMPUTED_VALUE"""),1151940372)</f>
        <v>1151940372</v>
      </c>
      <c r="C14" s="5" t="str">
        <f ca="1">IFERROR(__xludf.DUMMYFUNCTION("""COMPUTED_VALUE"""),"HELMER QUISCUALTUD")</f>
        <v>HELMER QUISCUALTUD</v>
      </c>
      <c r="D14" s="5" t="str">
        <f ca="1">IFERROR(__xludf.DUMMYFUNCTION("""COMPUTED_VALUE"""),"Supervisor ")</f>
        <v xml:space="preserve">Supervisor </v>
      </c>
      <c r="E14" s="5" t="str">
        <f ca="1">IFERROR(__xludf.DUMMYFUNCTION("""COMPUTED_VALUE"""),"Mantenimiento maquinaria ")</f>
        <v xml:space="preserve">Mantenimiento maquinaria </v>
      </c>
    </row>
    <row r="15" spans="1:5">
      <c r="A15" s="5" t="str">
        <f ca="1">IFERROR(__xludf.DUMMYFUNCTION("""COMPUTED_VALUE"""),"CAPACITACION BPM")</f>
        <v>CAPACITACION BPM</v>
      </c>
      <c r="B15" s="5">
        <f ca="1">IFERROR(__xludf.DUMMYFUNCTION("""COMPUTED_VALUE"""),1151940372)</f>
        <v>1151940372</v>
      </c>
      <c r="C15" s="5" t="str">
        <f ca="1">IFERROR(__xludf.DUMMYFUNCTION("""COMPUTED_VALUE"""),"HELMER QUISCUALTUD")</f>
        <v>HELMER QUISCUALTUD</v>
      </c>
      <c r="D15" s="5" t="str">
        <f ca="1">IFERROR(__xludf.DUMMYFUNCTION("""COMPUTED_VALUE"""),"Supervisor ")</f>
        <v xml:space="preserve">Supervisor </v>
      </c>
      <c r="E15" s="5" t="str">
        <f ca="1">IFERROR(__xludf.DUMMYFUNCTION("""COMPUTED_VALUE"""),"Mantenimiento maquinaria ")</f>
        <v xml:space="preserve">Mantenimiento maquinaria </v>
      </c>
    </row>
    <row r="16" spans="1:5">
      <c r="A16" s="5" t="str">
        <f ca="1">IFERROR(__xludf.DUMMYFUNCTION("""COMPUTED_VALUE"""),"CIRCULAR 180-0008-2023")</f>
        <v>CIRCULAR 180-0008-2023</v>
      </c>
      <c r="B16" s="5">
        <f ca="1">IFERROR(__xludf.DUMMYFUNCTION("""COMPUTED_VALUE"""),14622253)</f>
        <v>14622253</v>
      </c>
      <c r="C16" s="5" t="str">
        <f ca="1">IFERROR(__xludf.DUMMYFUNCTION("""COMPUTED_VALUE"""),"EDWAR ZAPATA")</f>
        <v>EDWAR ZAPATA</v>
      </c>
      <c r="D16" s="5" t="str">
        <f ca="1">IFERROR(__xludf.DUMMYFUNCTION("""COMPUTED_VALUE"""),"INGENIERO DE PLANTA")</f>
        <v>INGENIERO DE PLANTA</v>
      </c>
      <c r="E16" s="5" t="str">
        <f ca="1">IFERROR(__xludf.DUMMYFUNCTION("""COMPUTED_VALUE"""),"MAQUINARIA")</f>
        <v>MAQUINARIA</v>
      </c>
    </row>
    <row r="17" spans="1:5">
      <c r="A17" s="5" t="str">
        <f ca="1">IFERROR(__xludf.DUMMYFUNCTION("""COMPUTED_VALUE"""),"CAPACITACIONES AUDITORIA")</f>
        <v>CAPACITACIONES AUDITORIA</v>
      </c>
      <c r="B17" s="5">
        <f ca="1">IFERROR(__xludf.DUMMYFUNCTION("""COMPUTED_VALUE"""),94453351)</f>
        <v>94453351</v>
      </c>
      <c r="C17" s="5" t="str">
        <f ca="1">IFERROR(__xludf.DUMMYFUNCTION("""COMPUTED_VALUE"""),"RAUL LOPEZ")</f>
        <v>RAUL LOPEZ</v>
      </c>
      <c r="D17" s="5" t="str">
        <f ca="1">IFERROR(__xludf.DUMMYFUNCTION("""COMPUTED_VALUE"""),"Tecino 3 de mtto")</f>
        <v>Tecino 3 de mtto</v>
      </c>
      <c r="E17" s="5" t="str">
        <f ca="1">IFERROR(__xludf.DUMMYFUNCTION("""COMPUTED_VALUE"""),"Maquinaria ")</f>
        <v xml:space="preserve">Maquinaria </v>
      </c>
    </row>
    <row r="18" spans="1:5">
      <c r="A18" s="5" t="str">
        <f ca="1">IFERROR(__xludf.DUMMYFUNCTION("""COMPUTED_VALUE"""),"Capacitación Red AS-i")</f>
        <v>Capacitación Red AS-i</v>
      </c>
      <c r="B18" s="5">
        <f ca="1">IFERROR(__xludf.DUMMYFUNCTION("""COMPUTED_VALUE"""),1030538251)</f>
        <v>1030538251</v>
      </c>
      <c r="C18" s="5" t="str">
        <f ca="1">IFERROR(__xludf.DUMMYFUNCTION("""COMPUTED_VALUE"""),"Juan Javier Rodriguez Urrego")</f>
        <v>Juan Javier Rodriguez Urrego</v>
      </c>
      <c r="D18" s="5" t="str">
        <f ca="1">IFERROR(__xludf.DUMMYFUNCTION("""COMPUTED_VALUE"""),"Analista de producción")</f>
        <v>Analista de producción</v>
      </c>
      <c r="E18" s="5" t="str">
        <f ca="1">IFERROR(__xludf.DUMMYFUNCTION("""COMPUTED_VALUE"""),"Producción")</f>
        <v>Producción</v>
      </c>
    </row>
    <row r="19" spans="1:5">
      <c r="A19" s="5" t="str">
        <f ca="1">IFERROR(__xludf.DUMMYFUNCTION("""COMPUTED_VALUE"""),"CAPACITACIONES AUDITORIA")</f>
        <v>CAPACITACIONES AUDITORIA</v>
      </c>
      <c r="B19" s="5">
        <f ca="1">IFERROR(__xludf.DUMMYFUNCTION("""COMPUTED_VALUE"""),94482460)</f>
        <v>94482460</v>
      </c>
      <c r="C19" s="5" t="str">
        <f ca="1">IFERROR(__xludf.DUMMYFUNCTION("""COMPUTED_VALUE"""),"MIGUEL GUZMÁN")</f>
        <v>MIGUEL GUZMÁN</v>
      </c>
      <c r="D19" s="5" t="str">
        <f ca="1">IFERROR(__xludf.DUMMYFUNCTION("""COMPUTED_VALUE"""),"Técnico III ")</f>
        <v xml:space="preserve">Técnico III </v>
      </c>
      <c r="E19" s="5" t="str">
        <f ca="1">IFERROR(__xludf.DUMMYFUNCTION("""COMPUTED_VALUE"""),"Mantenimiento ")</f>
        <v xml:space="preserve">Mantenimiento </v>
      </c>
    </row>
    <row r="20" spans="1:5">
      <c r="A20" s="5" t="str">
        <f ca="1">IFERROR(__xludf.DUMMYFUNCTION("""COMPUTED_VALUE"""),"CIRCULAR 180-0008-2023")</f>
        <v>CIRCULAR 180-0008-2023</v>
      </c>
      <c r="B20" s="5">
        <f ca="1">IFERROR(__xludf.DUMMYFUNCTION("""COMPUTED_VALUE"""),1151940372)</f>
        <v>1151940372</v>
      </c>
      <c r="C20" s="5" t="str">
        <f ca="1">IFERROR(__xludf.DUMMYFUNCTION("""COMPUTED_VALUE"""),"HELMER QUISCUALTUD")</f>
        <v>HELMER QUISCUALTUD</v>
      </c>
      <c r="D20" s="5" t="str">
        <f ca="1">IFERROR(__xludf.DUMMYFUNCTION("""COMPUTED_VALUE"""),"Supervisor ")</f>
        <v xml:space="preserve">Supervisor </v>
      </c>
      <c r="E20" s="5" t="str">
        <f ca="1">IFERROR(__xludf.DUMMYFUNCTION("""COMPUTED_VALUE"""),"Mantenimiento maquinaria ")</f>
        <v xml:space="preserve">Mantenimiento maquinaria </v>
      </c>
    </row>
    <row r="21" spans="1:5">
      <c r="A21" s="5" t="str">
        <f ca="1">IFERROR(__xludf.DUMMYFUNCTION("""COMPUTED_VALUE"""),"CAPACITACIONES AUDITORIA")</f>
        <v>CAPACITACIONES AUDITORIA</v>
      </c>
      <c r="B21" s="5">
        <f ca="1">IFERROR(__xludf.DUMMYFUNCTION("""COMPUTED_VALUE"""),1010136690)</f>
        <v>1010136690</v>
      </c>
      <c r="C21" s="5" t="str">
        <f ca="1">IFERROR(__xludf.DUMMYFUNCTION("""COMPUTED_VALUE"""),"Aura María Correa Rendón ")</f>
        <v xml:space="preserve">Aura María Correa Rendón </v>
      </c>
      <c r="D21" s="5" t="str">
        <f ca="1">IFERROR(__xludf.DUMMYFUNCTION("""COMPUTED_VALUE"""),"Aprendiz ")</f>
        <v xml:space="preserve">Aprendiz </v>
      </c>
      <c r="E21" s="5" t="str">
        <f ca="1">IFERROR(__xludf.DUMMYFUNCTION("""COMPUTED_VALUE"""),"Mtto")</f>
        <v>Mtto</v>
      </c>
    </row>
    <row r="22" spans="1:5">
      <c r="A22" s="5" t="str">
        <f ca="1">IFERROR(__xludf.DUMMYFUNCTION("""COMPUTED_VALUE"""),"CAPACITACION BPM")</f>
        <v>CAPACITACION BPM</v>
      </c>
      <c r="B22" s="5">
        <f ca="1">IFERROR(__xludf.DUMMYFUNCTION("""COMPUTED_VALUE"""),16459044)</f>
        <v>16459044</v>
      </c>
      <c r="C22" s="5" t="str">
        <f ca="1">IFERROR(__xludf.DUMMYFUNCTION("""COMPUTED_VALUE"""),"JHON F JIMENEZ")</f>
        <v>JHON F JIMENEZ</v>
      </c>
      <c r="D22" s="5" t="str">
        <f ca="1">IFERROR(__xludf.DUMMYFUNCTION("""COMPUTED_VALUE"""),"T3")</f>
        <v>T3</v>
      </c>
      <c r="E22" s="5" t="str">
        <f ca="1">IFERROR(__xludf.DUMMYFUNCTION("""COMPUTED_VALUE"""),"Mtto")</f>
        <v>Mtto</v>
      </c>
    </row>
    <row r="23" spans="1:5">
      <c r="A23" s="5" t="str">
        <f ca="1">IFERROR(__xludf.DUMMYFUNCTION("""COMPUTED_VALUE"""),"CIRCULAR 180-0008-2023")</f>
        <v>CIRCULAR 180-0008-2023</v>
      </c>
      <c r="B23" s="5">
        <f ca="1">IFERROR(__xludf.DUMMYFUNCTION("""COMPUTED_VALUE"""),16459044)</f>
        <v>16459044</v>
      </c>
      <c r="C23" s="5" t="str">
        <f ca="1">IFERROR(__xludf.DUMMYFUNCTION("""COMPUTED_VALUE"""),"JHON F JIMENEZ")</f>
        <v>JHON F JIMENEZ</v>
      </c>
      <c r="D23" s="5" t="str">
        <f ca="1">IFERROR(__xludf.DUMMYFUNCTION("""COMPUTED_VALUE"""),"T3")</f>
        <v>T3</v>
      </c>
      <c r="E23" s="5" t="str">
        <f ca="1">IFERROR(__xludf.DUMMYFUNCTION("""COMPUTED_VALUE"""),"Mtto ")</f>
        <v xml:space="preserve">Mtto </v>
      </c>
    </row>
    <row r="24" spans="1:5">
      <c r="A24" s="5" t="str">
        <f ca="1">IFERROR(__xludf.DUMMYFUNCTION("""COMPUTED_VALUE"""),"CIRCULAR 180-0008-2023")</f>
        <v>CIRCULAR 180-0008-2023</v>
      </c>
      <c r="B24" s="5">
        <f ca="1">IFERROR(__xludf.DUMMYFUNCTION("""COMPUTED_VALUE"""),94044185)</f>
        <v>94044185</v>
      </c>
      <c r="C24" s="5" t="str">
        <f ca="1">IFERROR(__xludf.DUMMYFUNCTION("""COMPUTED_VALUE"""),"VICTOR FERNANDEZ")</f>
        <v>VICTOR FERNANDEZ</v>
      </c>
      <c r="D24" s="5" t="str">
        <f ca="1">IFERROR(__xludf.DUMMYFUNCTION("""COMPUTED_VALUE"""),"SUPERVISOR")</f>
        <v>SUPERVISOR</v>
      </c>
      <c r="E24" s="5" t="str">
        <f ca="1">IFERROR(__xludf.DUMMYFUNCTION("""COMPUTED_VALUE"""),"MANTENIMIENTO")</f>
        <v>MANTENIMIENTO</v>
      </c>
    </row>
    <row r="25" spans="1:5">
      <c r="A25" s="5" t="str">
        <f ca="1">IFERROR(__xludf.DUMMYFUNCTION("""COMPUTED_VALUE"""),"CIRCULAR 180-0008-2023")</f>
        <v>CIRCULAR 180-0008-2023</v>
      </c>
      <c r="B25" s="5">
        <f ca="1">IFERROR(__xludf.DUMMYFUNCTION("""COMPUTED_VALUE"""),16640850)</f>
        <v>16640850</v>
      </c>
      <c r="C25" s="5" t="str">
        <f ca="1">IFERROR(__xludf.DUMMYFUNCTION("""COMPUTED_VALUE"""),"URIEL LEON")</f>
        <v>URIEL LEON</v>
      </c>
      <c r="D25" s="5" t="str">
        <f ca="1">IFERROR(__xludf.DUMMYFUNCTION("""COMPUTED_VALUE"""),"SUPERVISOR MANTENIMIENTO")</f>
        <v>SUPERVISOR MANTENIMIENTO</v>
      </c>
      <c r="E25" s="5" t="str">
        <f ca="1">IFERROR(__xludf.DUMMYFUNCTION("""COMPUTED_VALUE"""),"MAQUINARIA")</f>
        <v>MAQUINARIA</v>
      </c>
    </row>
    <row r="26" spans="1:5">
      <c r="A26" s="5" t="str">
        <f ca="1">IFERROR(__xludf.DUMMYFUNCTION("""COMPUTED_VALUE"""),"CAPACITACION BPM")</f>
        <v>CAPACITACION BPM</v>
      </c>
      <c r="B26" s="5">
        <f ca="1">IFERROR(__xludf.DUMMYFUNCTION("""COMPUTED_VALUE"""),16640850)</f>
        <v>16640850</v>
      </c>
      <c r="C26" s="5" t="str">
        <f ca="1">IFERROR(__xludf.DUMMYFUNCTION("""COMPUTED_VALUE"""),"URIEL LEON")</f>
        <v>URIEL LEON</v>
      </c>
      <c r="D26" s="5" t="str">
        <f ca="1">IFERROR(__xludf.DUMMYFUNCTION("""COMPUTED_VALUE"""),"SUPERVISOR")</f>
        <v>SUPERVISOR</v>
      </c>
      <c r="E26" s="5" t="str">
        <f ca="1">IFERROR(__xludf.DUMMYFUNCTION("""COMPUTED_VALUE"""),"MAQUINARIA")</f>
        <v>MAQUINARIA</v>
      </c>
    </row>
    <row r="27" spans="1:5">
      <c r="A27" s="5" t="str">
        <f ca="1">IFERROR(__xludf.DUMMYFUNCTION("""COMPUTED_VALUE"""),"CAPACITACION BPM")</f>
        <v>CAPACITACION BPM</v>
      </c>
      <c r="B27" s="5">
        <f ca="1">IFERROR(__xludf.DUMMYFUNCTION("""COMPUTED_VALUE"""),94063517)</f>
        <v>94063517</v>
      </c>
      <c r="C27" s="5" t="str">
        <f ca="1">IFERROR(__xludf.DUMMYFUNCTION("""COMPUTED_VALUE"""),"GUIDO PAPAMIJA")</f>
        <v>GUIDO PAPAMIJA</v>
      </c>
      <c r="D27" s="5" t="str">
        <f ca="1">IFERROR(__xludf.DUMMYFUNCTION("""COMPUTED_VALUE"""),"Técnico 3 ")</f>
        <v xml:space="preserve">Técnico 3 </v>
      </c>
      <c r="E27" s="5" t="str">
        <f ca="1">IFERROR(__xludf.DUMMYFUNCTION("""COMPUTED_VALUE"""),"Mantenimiento ")</f>
        <v xml:space="preserve">Mantenimiento </v>
      </c>
    </row>
    <row r="28" spans="1:5">
      <c r="A28" s="5" t="str">
        <f ca="1">IFERROR(__xludf.DUMMYFUNCTION("""COMPUTED_VALUE"""),"CIRCULAR 180-0008-2023")</f>
        <v>CIRCULAR 180-0008-2023</v>
      </c>
      <c r="B28" s="5">
        <f ca="1">IFERROR(__xludf.DUMMYFUNCTION("""COMPUTED_VALUE"""),16459044)</f>
        <v>16459044</v>
      </c>
      <c r="C28" s="5" t="str">
        <f ca="1">IFERROR(__xludf.DUMMYFUNCTION("""COMPUTED_VALUE"""),"JHON F JIMENEZ")</f>
        <v>JHON F JIMENEZ</v>
      </c>
      <c r="D28" s="5" t="str">
        <f ca="1">IFERROR(__xludf.DUMMYFUNCTION("""COMPUTED_VALUE"""),"Técnico 3 ")</f>
        <v xml:space="preserve">Técnico 3 </v>
      </c>
      <c r="E28" s="5" t="str">
        <f ca="1">IFERROR(__xludf.DUMMYFUNCTION("""COMPUTED_VALUE"""),"Mtto ")</f>
        <v xml:space="preserve">Mtto </v>
      </c>
    </row>
    <row r="29" spans="1:5">
      <c r="A29" s="5" t="str">
        <f ca="1">IFERROR(__xludf.DUMMYFUNCTION("""COMPUTED_VALUE"""),"CAPACITACIONES AUDITORIA")</f>
        <v>CAPACITACIONES AUDITORIA</v>
      </c>
      <c r="B29" s="5">
        <f ca="1">IFERROR(__xludf.DUMMYFUNCTION("""COMPUTED_VALUE"""),16459044)</f>
        <v>16459044</v>
      </c>
      <c r="C29" s="5" t="str">
        <f ca="1">IFERROR(__xludf.DUMMYFUNCTION("""COMPUTED_VALUE"""),"JHON F JIMENEZ")</f>
        <v>JHON F JIMENEZ</v>
      </c>
      <c r="D29" s="5" t="str">
        <f ca="1">IFERROR(__xludf.DUMMYFUNCTION("""COMPUTED_VALUE"""),"Técnico 3 ")</f>
        <v xml:space="preserve">Técnico 3 </v>
      </c>
      <c r="E29" s="5" t="str">
        <f ca="1">IFERROR(__xludf.DUMMYFUNCTION("""COMPUTED_VALUE"""),"Mtto ")</f>
        <v xml:space="preserve">Mtto </v>
      </c>
    </row>
    <row r="30" spans="1:5">
      <c r="A30" s="5" t="str">
        <f ca="1">IFERROR(__xludf.DUMMYFUNCTION("""COMPUTED_VALUE"""),"Capacitación Red AS-i")</f>
        <v>Capacitación Red AS-i</v>
      </c>
      <c r="B30" s="5">
        <f ca="1">IFERROR(__xludf.DUMMYFUNCTION("""COMPUTED_VALUE"""),94063517)</f>
        <v>94063517</v>
      </c>
      <c r="C30" s="5" t="str">
        <f ca="1">IFERROR(__xludf.DUMMYFUNCTION("""COMPUTED_VALUE"""),"GUIDO PAPAMIJA")</f>
        <v>GUIDO PAPAMIJA</v>
      </c>
      <c r="D30" s="5" t="str">
        <f ca="1">IFERROR(__xludf.DUMMYFUNCTION("""COMPUTED_VALUE"""),"Técnico 3 ")</f>
        <v xml:space="preserve">Técnico 3 </v>
      </c>
      <c r="E30" s="5" t="str">
        <f ca="1">IFERROR(__xludf.DUMMYFUNCTION("""COMPUTED_VALUE"""),"Mantenimiento ")</f>
        <v xml:space="preserve">Mantenimiento </v>
      </c>
    </row>
    <row r="31" spans="1:5">
      <c r="A31" s="5" t="str">
        <f ca="1">IFERROR(__xludf.DUMMYFUNCTION("""COMPUTED_VALUE"""),"CAPACITACIONES AUDITORIA")</f>
        <v>CAPACITACIONES AUDITORIA</v>
      </c>
      <c r="B31" s="5">
        <f ca="1">IFERROR(__xludf.DUMMYFUNCTION("""COMPUTED_VALUE"""),94063517)</f>
        <v>94063517</v>
      </c>
      <c r="C31" s="5" t="str">
        <f ca="1">IFERROR(__xludf.DUMMYFUNCTION("""COMPUTED_VALUE"""),"GUIDO PAPAMIJA")</f>
        <v>GUIDO PAPAMIJA</v>
      </c>
      <c r="D31" s="5" t="str">
        <f ca="1">IFERROR(__xludf.DUMMYFUNCTION("""COMPUTED_VALUE"""),"Técnico 3 ")</f>
        <v xml:space="preserve">Técnico 3 </v>
      </c>
      <c r="E31" s="5" t="str">
        <f ca="1">IFERROR(__xludf.DUMMYFUNCTION("""COMPUTED_VALUE"""),"Mantenimiento ")</f>
        <v xml:space="preserve">Mantenimiento </v>
      </c>
    </row>
    <row r="32" spans="1:5">
      <c r="A32" s="5" t="str">
        <f ca="1">IFERROR(__xludf.DUMMYFUNCTION("""COMPUTED_VALUE"""),"CIRCULAR 180-0008-2023")</f>
        <v>CIRCULAR 180-0008-2023</v>
      </c>
      <c r="B32" s="5">
        <f ca="1">IFERROR(__xludf.DUMMYFUNCTION("""COMPUTED_VALUE"""),94063517)</f>
        <v>94063517</v>
      </c>
      <c r="C32" s="5" t="str">
        <f ca="1">IFERROR(__xludf.DUMMYFUNCTION("""COMPUTED_VALUE"""),"GUIDO PAPAMIJA")</f>
        <v>GUIDO PAPAMIJA</v>
      </c>
      <c r="D32" s="5" t="str">
        <f ca="1">IFERROR(__xludf.DUMMYFUNCTION("""COMPUTED_VALUE"""),"Técnico 3 ")</f>
        <v xml:space="preserve">Técnico 3 </v>
      </c>
      <c r="E32" s="5"/>
    </row>
    <row r="33" spans="1:5">
      <c r="A33" s="5" t="str">
        <f ca="1">IFERROR(__xludf.DUMMYFUNCTION("""COMPUTED_VALUE"""),"CAPACITACIONES AUDITORIA")</f>
        <v>CAPACITACIONES AUDITORIA</v>
      </c>
      <c r="B33" s="5">
        <f ca="1">IFERROR(__xludf.DUMMYFUNCTION("""COMPUTED_VALUE"""),94453351)</f>
        <v>94453351</v>
      </c>
      <c r="C33" s="5" t="str">
        <f ca="1">IFERROR(__xludf.DUMMYFUNCTION("""COMPUTED_VALUE"""),"RAUL LOPEZ")</f>
        <v>RAUL LOPEZ</v>
      </c>
      <c r="D33" s="5" t="str">
        <f ca="1">IFERROR(__xludf.DUMMYFUNCTION("""COMPUTED_VALUE"""),"Técnico 3 ")</f>
        <v xml:space="preserve">Técnico 3 </v>
      </c>
      <c r="E33" s="5" t="str">
        <f ca="1">IFERROR(__xludf.DUMMYFUNCTION("""COMPUTED_VALUE"""),"Mantenimiento maquinaria ")</f>
        <v xml:space="preserve">Mantenimiento maquinaria </v>
      </c>
    </row>
    <row r="34" spans="1:5">
      <c r="A34" s="5" t="str">
        <f ca="1">IFERROR(__xludf.DUMMYFUNCTION("""COMPUTED_VALUE"""),"CIRCULAR 180-0008-2023")</f>
        <v>CIRCULAR 180-0008-2023</v>
      </c>
      <c r="B34" s="5">
        <f ca="1">IFERROR(__xludf.DUMMYFUNCTION("""COMPUTED_VALUE"""),16267528)</f>
        <v>16267528</v>
      </c>
      <c r="C34" s="5" t="str">
        <f ca="1">IFERROR(__xludf.DUMMYFUNCTION("""COMPUTED_VALUE"""),"JULIAN BOTERO")</f>
        <v>JULIAN BOTERO</v>
      </c>
      <c r="D34" s="5" t="str">
        <f ca="1">IFERROR(__xludf.DUMMYFUNCTION("""COMPUTED_VALUE"""),"Supervisor Mantenimiento")</f>
        <v>Supervisor Mantenimiento</v>
      </c>
      <c r="E34" s="5" t="str">
        <f ca="1">IFERROR(__xludf.DUMMYFUNCTION("""COMPUTED_VALUE"""),"Maquinaria")</f>
        <v>Maquinaria</v>
      </c>
    </row>
    <row r="35" spans="1:5">
      <c r="A35" s="5" t="str">
        <f ca="1">IFERROR(__xludf.DUMMYFUNCTION("""COMPUTED_VALUE"""),"CIRCULAR 180-0008-2023")</f>
        <v>CIRCULAR 180-0008-2023</v>
      </c>
      <c r="B35" s="5">
        <f ca="1">IFERROR(__xludf.DUMMYFUNCTION("""COMPUTED_VALUE"""),94453351)</f>
        <v>94453351</v>
      </c>
      <c r="C35" s="5" t="str">
        <f ca="1">IFERROR(__xludf.DUMMYFUNCTION("""COMPUTED_VALUE"""),"RAUL LOPEZ")</f>
        <v>RAUL LOPEZ</v>
      </c>
      <c r="D35" s="5" t="str">
        <f ca="1">IFERROR(__xludf.DUMMYFUNCTION("""COMPUTED_VALUE"""),"Técnico 3 de mtto")</f>
        <v>Técnico 3 de mtto</v>
      </c>
      <c r="E35" s="5" t="str">
        <f ca="1">IFERROR(__xludf.DUMMYFUNCTION("""COMPUTED_VALUE"""),"Mtto maquinaria ")</f>
        <v xml:space="preserve">Mtto maquinaria </v>
      </c>
    </row>
    <row r="36" spans="1:5">
      <c r="A36" s="5" t="str">
        <f ca="1">IFERROR(__xludf.DUMMYFUNCTION("""COMPUTED_VALUE"""),"CAPACITACIONES AUDITORIA")</f>
        <v>CAPACITACIONES AUDITORIA</v>
      </c>
      <c r="B36" s="5">
        <f ca="1">IFERROR(__xludf.DUMMYFUNCTION("""COMPUTED_VALUE"""),94453351)</f>
        <v>94453351</v>
      </c>
      <c r="C36" s="5" t="str">
        <f ca="1">IFERROR(__xludf.DUMMYFUNCTION("""COMPUTED_VALUE"""),"RAUL LOPEZ")</f>
        <v>RAUL LOPEZ</v>
      </c>
      <c r="D36" s="5" t="str">
        <f ca="1">IFERROR(__xludf.DUMMYFUNCTION("""COMPUTED_VALUE"""),"Técnico 3 mtto ")</f>
        <v xml:space="preserve">Técnico 3 mtto </v>
      </c>
      <c r="E36" s="5" t="str">
        <f ca="1">IFERROR(__xludf.DUMMYFUNCTION("""COMPUTED_VALUE"""),"Mtto maquinaria ")</f>
        <v xml:space="preserve">Mtto maquinaria </v>
      </c>
    </row>
    <row r="37" spans="1:5">
      <c r="A37" s="5" t="str">
        <f ca="1">IFERROR(__xludf.DUMMYFUNCTION("""COMPUTED_VALUE"""),"USO DEL APLICATIVO MTTO")</f>
        <v>USO DEL APLICATIVO MTTO</v>
      </c>
      <c r="B37" s="5">
        <f ca="1">IFERROR(__xludf.DUMMYFUNCTION("""COMPUTED_VALUE"""),666)</f>
        <v>666</v>
      </c>
      <c r="C37" s="5" t="str">
        <f ca="1">IFERROR(__xludf.DUMMYFUNCTION("""COMPUTED_VALUE"""),"ADMIN")</f>
        <v>ADMIN</v>
      </c>
      <c r="D37" s="5" t="str">
        <f ca="1">IFERROR(__xludf.DUMMYFUNCTION("""COMPUTED_VALUE"""),"PORGRAMADOR")</f>
        <v>PORGRAMADOR</v>
      </c>
      <c r="E37" s="5" t="str">
        <f ca="1">IFERROR(__xludf.DUMMYFUNCTION("""COMPUTED_VALUE"""),"MANTENIMIENTO MAQUINAREA")</f>
        <v>MANTENIMIENTO MAQUINAREA</v>
      </c>
    </row>
    <row r="38" spans="1:5">
      <c r="A38" s="5" t="str">
        <f ca="1">IFERROR(__xludf.DUMMYFUNCTION("""COMPUTED_VALUE"""),"USO DEL APLICATIVO MTTO")</f>
        <v>USO DEL APLICATIVO MTTO</v>
      </c>
      <c r="B38" s="5">
        <f ca="1">IFERROR(__xludf.DUMMYFUNCTION("""COMPUTED_VALUE"""),1010136690)</f>
        <v>1010136690</v>
      </c>
      <c r="C38" s="5" t="str">
        <f ca="1">IFERROR(__xludf.DUMMYFUNCTION("""COMPUTED_VALUE"""),"Aura María Correa Rendón ")</f>
        <v xml:space="preserve">Aura María Correa Rendón </v>
      </c>
      <c r="D38" s="5" t="str">
        <f ca="1">IFERROR(__xludf.DUMMYFUNCTION("""COMPUTED_VALUE"""),"Aprendiz ")</f>
        <v xml:space="preserve">Aprendiz </v>
      </c>
      <c r="E38" s="5" t="str">
        <f ca="1">IFERROR(__xludf.DUMMYFUNCTION("""COMPUTED_VALUE"""),"MANTENIMIENTO MAQUINAREA")</f>
        <v>MANTENIMIENTO MAQUINAREA</v>
      </c>
    </row>
    <row r="39" spans="1:5">
      <c r="A39" s="5" t="str">
        <f ca="1">IFERROR(__xludf.DUMMYFUNCTION("""COMPUTED_VALUE"""),"ACTUALIZACIÓN 
FORMATO 
PRESIÓN POSITIVA")</f>
        <v>ACTUALIZACIÓN 
FORMATO 
PRESIÓN POSITIVA</v>
      </c>
      <c r="B39" s="5">
        <f ca="1">IFERROR(__xludf.DUMMYFUNCTION("""COMPUTED_VALUE"""),1118292495)</f>
        <v>1118292495</v>
      </c>
      <c r="C39" s="5" t="str">
        <f ca="1">IFERROR(__xludf.DUMMYFUNCTION("""COMPUTED_VALUE"""),"FRANCO CASTILLO BRAYAN STEVEN")</f>
        <v>FRANCO CASTILLO BRAYAN STEVEN</v>
      </c>
      <c r="D39" s="5" t="str">
        <f ca="1">IFERROR(__xludf.DUMMYFUNCTION("""COMPUTED_VALUE"""),"TECNICO III")</f>
        <v>TECNICO III</v>
      </c>
      <c r="E39" s="5" t="str">
        <f ca="1">IFERROR(__xludf.DUMMYFUNCTION("""COMPUTED_VALUE"""),"PRODUCCIÓN")</f>
        <v>PRODUCCIÓN</v>
      </c>
    </row>
    <row r="40" spans="1:5">
      <c r="A40" s="5" t="str">
        <f ca="1">IFERROR(__xludf.DUMMYFUNCTION("""COMPUTED_VALUE"""),"USO DEL APLICATIVO MTTO")</f>
        <v>USO DEL APLICATIVO MTTO</v>
      </c>
      <c r="B40" s="5">
        <f ca="1">IFERROR(__xludf.DUMMYFUNCTION("""COMPUTED_VALUE"""),1118296221)</f>
        <v>1118296221</v>
      </c>
      <c r="C40" s="5" t="str">
        <f ca="1">IFERROR(__xludf.DUMMYFUNCTION("""COMPUTED_VALUE"""),"Wilton andres I’m nacho samboni")</f>
        <v>Wilton andres I’m nacho samboni</v>
      </c>
      <c r="D40" s="5" t="str">
        <f ca="1">IFERROR(__xludf.DUMMYFUNCTION("""COMPUTED_VALUE"""),"Técnico 3")</f>
        <v>Técnico 3</v>
      </c>
      <c r="E40" s="5" t="str">
        <f ca="1">IFERROR(__xludf.DUMMYFUNCTION("""COMPUTED_VALUE"""),"PRODUCCION")</f>
        <v>PRODUCCION</v>
      </c>
    </row>
    <row r="41" spans="1:5">
      <c r="A41" s="5" t="str">
        <f ca="1">IFERROR(__xludf.DUMMYFUNCTION("""COMPUTED_VALUE"""),"ACTUALIZACIÓN 
FORMATO 
PRESIÓN POSITIVA")</f>
        <v>ACTUALIZACIÓN 
FORMATO 
PRESIÓN POSITIVA</v>
      </c>
      <c r="B41" s="5">
        <f ca="1">IFERROR(__xludf.DUMMYFUNCTION("""COMPUTED_VALUE"""),16460017)</f>
        <v>16460017</v>
      </c>
      <c r="C41" s="5" t="str">
        <f ca="1">IFERROR(__xludf.DUMMYFUNCTION("""COMPUTED_VALUE"""),"DURAN SANCHEZ NELSON FERNANDO")</f>
        <v>DURAN SANCHEZ NELSON FERNANDO</v>
      </c>
      <c r="D41" s="5" t="str">
        <f ca="1">IFERROR(__xludf.DUMMYFUNCTION("""COMPUTED_VALUE"""),"Técnico 3")</f>
        <v>Técnico 3</v>
      </c>
      <c r="E41" s="5" t="str">
        <f ca="1">IFERROR(__xludf.DUMMYFUNCTION("""COMPUTED_VALUE"""),"PRODUCCION")</f>
        <v>PRODUCCION</v>
      </c>
    </row>
    <row r="42" spans="1:5">
      <c r="A42" s="5" t="str">
        <f ca="1">IFERROR(__xludf.DUMMYFUNCTION("""COMPUTED_VALUE"""),"USO DEL APLICATIVO MTTO")</f>
        <v>USO DEL APLICATIVO MTTO</v>
      </c>
      <c r="B42" s="5">
        <f ca="1">IFERROR(__xludf.DUMMYFUNCTION("""COMPUTED_VALUE"""),1144199425)</f>
        <v>1144199425</v>
      </c>
      <c r="C42" s="5" t="str">
        <f ca="1">IFERROR(__xludf.DUMMYFUNCTION("""COMPUTED_VALUE"""),"Roberto Sebastián certuche Mejía ")</f>
        <v xml:space="preserve">Roberto Sebastián certuche Mejía </v>
      </c>
      <c r="D42" s="5" t="str">
        <f ca="1">IFERROR(__xludf.DUMMYFUNCTION("""COMPUTED_VALUE"""),"Analista de producción ")</f>
        <v xml:space="preserve">Analista de producción </v>
      </c>
      <c r="E42" s="5" t="str">
        <f ca="1">IFERROR(__xludf.DUMMYFUNCTION("""COMPUTED_VALUE"""),"PRODUCCION")</f>
        <v>PRODUCCION</v>
      </c>
    </row>
    <row r="43" spans="1:5">
      <c r="A43" s="5" t="str">
        <f ca="1">IFERROR(__xludf.DUMMYFUNCTION("""COMPUTED_VALUE"""),"ACTUALIZACIÓN 
FORMATO 
PRESIÓN POSITIVA")</f>
        <v>ACTUALIZACIÓN 
FORMATO 
PRESIÓN POSITIVA</v>
      </c>
      <c r="B43" s="5">
        <f ca="1">IFERROR(__xludf.DUMMYFUNCTION("""COMPUTED_VALUE"""),1144199425)</f>
        <v>1144199425</v>
      </c>
      <c r="C43" s="5" t="str">
        <f ca="1">IFERROR(__xludf.DUMMYFUNCTION("""COMPUTED_VALUE"""),"Roberto Sebastián certuche Mejía ")</f>
        <v xml:space="preserve">Roberto Sebastián certuche Mejía </v>
      </c>
      <c r="D43" s="5" t="str">
        <f ca="1">IFERROR(__xludf.DUMMYFUNCTION("""COMPUTED_VALUE"""),"Analista de producción ")</f>
        <v xml:space="preserve">Analista de producción </v>
      </c>
      <c r="E43" s="5" t="str">
        <f ca="1">IFERROR(__xludf.DUMMYFUNCTION("""COMPUTED_VALUE"""),"PRODUCCION")</f>
        <v>PRODUCCION</v>
      </c>
    </row>
    <row r="44" spans="1:5">
      <c r="A44" s="5" t="str">
        <f ca="1">IFERROR(__xludf.DUMMYFUNCTION("""COMPUTED_VALUE"""),"CAPACITACION BPM")</f>
        <v>CAPACITACION BPM</v>
      </c>
      <c r="B44" s="5">
        <f ca="1">IFERROR(__xludf.DUMMYFUNCTION("""COMPUTED_VALUE"""),14622253)</f>
        <v>14622253</v>
      </c>
      <c r="C44" s="5" t="str">
        <f ca="1">IFERROR(__xludf.DUMMYFUNCTION("""COMPUTED_VALUE"""),"EDWAR ZAPATA")</f>
        <v>EDWAR ZAPATA</v>
      </c>
      <c r="D44" s="5" t="str">
        <f ca="1">IFERROR(__xludf.DUMMYFUNCTION("""COMPUTED_VALUE"""),"Ingeniero de mantenimiento ")</f>
        <v xml:space="preserve">Ingeniero de mantenimiento </v>
      </c>
      <c r="E44" s="5" t="str">
        <f ca="1">IFERROR(__xludf.DUMMYFUNCTION("""COMPUTED_VALUE"""),"MANTENIMIENTO MAQUINAREA")</f>
        <v>MANTENIMIENTO MAQUINAREA</v>
      </c>
    </row>
    <row r="45" spans="1:5">
      <c r="A45" s="5" t="str">
        <f ca="1">IFERROR(__xludf.DUMMYFUNCTION("""COMPUTED_VALUE"""),"CAPACITACIONES AUDITORIA")</f>
        <v>CAPACITACIONES AUDITORIA</v>
      </c>
      <c r="B45" s="5">
        <f ca="1">IFERROR(__xludf.DUMMYFUNCTION("""COMPUTED_VALUE"""),14622253)</f>
        <v>14622253</v>
      </c>
      <c r="C45" s="5" t="str">
        <f ca="1">IFERROR(__xludf.DUMMYFUNCTION("""COMPUTED_VALUE"""),"EDWAR ZAPATA")</f>
        <v>EDWAR ZAPATA</v>
      </c>
      <c r="D45" s="5" t="str">
        <f ca="1">IFERROR(__xludf.DUMMYFUNCTION("""COMPUTED_VALUE"""),"Ingeniero de mantenimiento ")</f>
        <v xml:space="preserve">Ingeniero de mantenimiento </v>
      </c>
      <c r="E45" s="5" t="str">
        <f ca="1">IFERROR(__xludf.DUMMYFUNCTION("""COMPUTED_VALUE"""),"MANTENIMIENTO MAQUINAREA")</f>
        <v>MANTENIMIENTO MAQUINAREA</v>
      </c>
    </row>
    <row r="46" spans="1:5">
      <c r="A46" s="5" t="str">
        <f ca="1">IFERROR(__xludf.DUMMYFUNCTION("""COMPUTED_VALUE"""),"USO DEL APLICATIVO MTTO")</f>
        <v>USO DEL APLICATIVO MTTO</v>
      </c>
      <c r="B46" s="5">
        <f ca="1">IFERROR(__xludf.DUMMYFUNCTION("""COMPUTED_VALUE"""),1144191128)</f>
        <v>1144191128</v>
      </c>
      <c r="C46" s="5" t="str">
        <f ca="1">IFERROR(__xludf.DUMMYFUNCTION("""COMPUTED_VALUE"""),"Esteban potosi isaza")</f>
        <v>Esteban potosi isaza</v>
      </c>
      <c r="D46" s="5" t="str">
        <f ca="1">IFERROR(__xludf.DUMMYFUNCTION("""COMPUTED_VALUE"""),"Tecnico 3")</f>
        <v>Tecnico 3</v>
      </c>
      <c r="E46" s="5" t="str">
        <f ca="1">IFERROR(__xludf.DUMMYFUNCTION("""COMPUTED_VALUE"""),"MANTENIMIENTO MAQUINAREA")</f>
        <v>MANTENIMIENTO MAQUINAREA</v>
      </c>
    </row>
    <row r="47" spans="1:5">
      <c r="A47" s="5" t="str">
        <f ca="1">IFERROR(__xludf.DUMMYFUNCTION("""COMPUTED_VALUE"""),"ACTUALIZACIÓN 
FORMATO 
PRESIÓN POSITIVA")</f>
        <v>ACTUALIZACIÓN 
FORMATO 
PRESIÓN POSITIVA</v>
      </c>
      <c r="B47" s="5">
        <f ca="1">IFERROR(__xludf.DUMMYFUNCTION("""COMPUTED_VALUE"""),94482460)</f>
        <v>94482460</v>
      </c>
      <c r="C47" s="5" t="str">
        <f ca="1">IFERROR(__xludf.DUMMYFUNCTION("""COMPUTED_VALUE"""),"MIGUEL GUZMÁN")</f>
        <v>MIGUEL GUZMÁN</v>
      </c>
      <c r="D47" s="5" t="str">
        <f ca="1">IFERROR(__xludf.DUMMYFUNCTION("""COMPUTED_VALUE"""),"Técnico III ")</f>
        <v xml:space="preserve">Técnico III </v>
      </c>
      <c r="E47" s="5" t="str">
        <f ca="1">IFERROR(__xludf.DUMMYFUNCTION("""COMPUTED_VALUE"""),"MANTENIMIENTO MAQUINAREA")</f>
        <v>MANTENIMIENTO MAQUINAREA</v>
      </c>
    </row>
    <row r="48" spans="1:5">
      <c r="A48" s="5" t="str">
        <f ca="1">IFERROR(__xludf.DUMMYFUNCTION("""COMPUTED_VALUE"""),"USO DEL APLICATIVO MTTO")</f>
        <v>USO DEL APLICATIVO MTTO</v>
      </c>
      <c r="B48" s="5">
        <f ca="1">IFERROR(__xludf.DUMMYFUNCTION("""COMPUTED_VALUE"""),94482460)</f>
        <v>94482460</v>
      </c>
      <c r="C48" s="5" t="str">
        <f ca="1">IFERROR(__xludf.DUMMYFUNCTION("""COMPUTED_VALUE"""),"MIGUEL GUZMÁN")</f>
        <v>MIGUEL GUZMÁN</v>
      </c>
      <c r="D48" s="5" t="str">
        <f ca="1">IFERROR(__xludf.DUMMYFUNCTION("""COMPUTED_VALUE"""),"Técnico III ")</f>
        <v xml:space="preserve">Técnico III </v>
      </c>
      <c r="E48" s="5" t="str">
        <f ca="1">IFERROR(__xludf.DUMMYFUNCTION("""COMPUTED_VALUE"""),"MANTENIMIENTO MAQUINAREA")</f>
        <v>MANTENIMIENTO MAQUINAREA</v>
      </c>
    </row>
    <row r="49" spans="1:5">
      <c r="A49" s="5" t="str">
        <f ca="1">IFERROR(__xludf.DUMMYFUNCTION("""COMPUTED_VALUE"""),"CIRCULAR 180-0008-2023")</f>
        <v>CIRCULAR 180-0008-2023</v>
      </c>
      <c r="B49" s="5">
        <f ca="1">IFERROR(__xludf.DUMMYFUNCTION("""COMPUTED_VALUE"""),94482460)</f>
        <v>94482460</v>
      </c>
      <c r="C49" s="5" t="str">
        <f ca="1">IFERROR(__xludf.DUMMYFUNCTION("""COMPUTED_VALUE"""),"MIGUEL GUZMÁN")</f>
        <v>MIGUEL GUZMÁN</v>
      </c>
      <c r="D49" s="5" t="str">
        <f ca="1">IFERROR(__xludf.DUMMYFUNCTION("""COMPUTED_VALUE"""),"Técnico III ")</f>
        <v xml:space="preserve">Técnico III </v>
      </c>
      <c r="E49" s="5" t="str">
        <f ca="1">IFERROR(__xludf.DUMMYFUNCTION("""COMPUTED_VALUE"""),"MANTENIMIENTO MAQUINAREA")</f>
        <v>MANTENIMIENTO MAQUINAREA</v>
      </c>
    </row>
    <row r="50" spans="1:5">
      <c r="A50" s="5" t="str">
        <f ca="1">IFERROR(__xludf.DUMMYFUNCTION("""COMPUTED_VALUE"""),"Capacitación Red AS-i")</f>
        <v>Capacitación Red AS-i</v>
      </c>
      <c r="B50" s="5">
        <f ca="1">IFERROR(__xludf.DUMMYFUNCTION("""COMPUTED_VALUE"""),94482460)</f>
        <v>94482460</v>
      </c>
      <c r="C50" s="5" t="str">
        <f ca="1">IFERROR(__xludf.DUMMYFUNCTION("""COMPUTED_VALUE"""),"MIGUEL GUZMÁN")</f>
        <v>MIGUEL GUZMÁN</v>
      </c>
      <c r="D50" s="5" t="str">
        <f ca="1">IFERROR(__xludf.DUMMYFUNCTION("""COMPUTED_VALUE"""),"Técnico III ")</f>
        <v xml:space="preserve">Técnico III </v>
      </c>
      <c r="E50" s="5" t="str">
        <f ca="1">IFERROR(__xludf.DUMMYFUNCTION("""COMPUTED_VALUE"""),"MANTENIMIENTO MAQUINAREA")</f>
        <v>MANTENIMIENTO MAQUINAREA</v>
      </c>
    </row>
    <row r="51" spans="1:5">
      <c r="A51" s="5" t="str">
        <f ca="1">IFERROR(__xludf.DUMMYFUNCTION("""COMPUTED_VALUE"""),"Capacitación Red AS-i")</f>
        <v>Capacitación Red AS-i</v>
      </c>
      <c r="B51" s="5">
        <f ca="1">IFERROR(__xludf.DUMMYFUNCTION("""COMPUTED_VALUE"""),94482460)</f>
        <v>94482460</v>
      </c>
      <c r="C51" s="5" t="str">
        <f ca="1">IFERROR(__xludf.DUMMYFUNCTION("""COMPUTED_VALUE"""),"MIGUEL GUZMÁN")</f>
        <v>MIGUEL GUZMÁN</v>
      </c>
      <c r="D51" s="5" t="str">
        <f ca="1">IFERROR(__xludf.DUMMYFUNCTION("""COMPUTED_VALUE"""),"Técnico III ")</f>
        <v xml:space="preserve">Técnico III </v>
      </c>
      <c r="E51" s="5" t="str">
        <f ca="1">IFERROR(__xludf.DUMMYFUNCTION("""COMPUTED_VALUE"""),"MANTENIMIENTO MAQUINAREA")</f>
        <v>MANTENIMIENTO MAQUINAREA</v>
      </c>
    </row>
    <row r="52" spans="1:5">
      <c r="A52" s="5" t="str">
        <f ca="1">IFERROR(__xludf.DUMMYFUNCTION("""COMPUTED_VALUE"""),"CAPACITACION BPM")</f>
        <v>CAPACITACION BPM</v>
      </c>
      <c r="B52" s="5">
        <f ca="1">IFERROR(__xludf.DUMMYFUNCTION("""COMPUTED_VALUE"""),94482460)</f>
        <v>94482460</v>
      </c>
      <c r="C52" s="5" t="str">
        <f ca="1">IFERROR(__xludf.DUMMYFUNCTION("""COMPUTED_VALUE"""),"MIGUEL GUZMÁN")</f>
        <v>MIGUEL GUZMÁN</v>
      </c>
      <c r="D52" s="5" t="str">
        <f ca="1">IFERROR(__xludf.DUMMYFUNCTION("""COMPUTED_VALUE"""),"Técnico III ")</f>
        <v xml:space="preserve">Técnico III </v>
      </c>
      <c r="E52" s="5" t="str">
        <f ca="1">IFERROR(__xludf.DUMMYFUNCTION("""COMPUTED_VALUE"""),"MANTENIMIENTO MAQUINAREA")</f>
        <v>MANTENIMIENTO MAQUINAREA</v>
      </c>
    </row>
    <row r="53" spans="1:5">
      <c r="A53" s="5" t="str">
        <f ca="1">IFERROR(__xludf.DUMMYFUNCTION("""COMPUTED_VALUE"""),"ACTUALIZACIÓN 
FORMATO 
PRESIÓN POSITIVA")</f>
        <v>ACTUALIZACIÓN 
FORMATO 
PRESIÓN POSITIVA</v>
      </c>
      <c r="B53" s="5">
        <f ca="1">IFERROR(__xludf.DUMMYFUNCTION("""COMPUTED_VALUE"""),94539966)</f>
        <v>94539966</v>
      </c>
      <c r="C53" s="5" t="str">
        <f ca="1">IFERROR(__xludf.DUMMYFUNCTION("""COMPUTED_VALUE"""),"JOHN EDIER GOMEZ ZUÑIGA ")</f>
        <v xml:space="preserve">JOHN EDIER GOMEZ ZUÑIGA </v>
      </c>
      <c r="D53" s="5" t="str">
        <f ca="1">IFERROR(__xludf.DUMMYFUNCTION("""COMPUTED_VALUE"""),"Tecnico III")</f>
        <v>Tecnico III</v>
      </c>
      <c r="E53" s="5" t="str">
        <f ca="1">IFERROR(__xludf.DUMMYFUNCTION("""COMPUTED_VALUE"""),"MANTENIMIENTO MAQUINAREA")</f>
        <v>MANTENIMIENTO MAQUINAREA</v>
      </c>
    </row>
    <row r="54" spans="1:5">
      <c r="A54" s="5" t="str">
        <f ca="1">IFERROR(__xludf.DUMMYFUNCTION("""COMPUTED_VALUE"""),"ACTUALIZACIÓN 
FORMATO 
PRESIÓN POSITIVA")</f>
        <v>ACTUALIZACIÓN 
FORMATO 
PRESIÓN POSITIVA</v>
      </c>
      <c r="B54" s="5">
        <f ca="1">IFERROR(__xludf.DUMMYFUNCTION("""COMPUTED_VALUE"""),94453351)</f>
        <v>94453351</v>
      </c>
      <c r="C54" s="5" t="str">
        <f ca="1">IFERROR(__xludf.DUMMYFUNCTION("""COMPUTED_VALUE"""),"RAUL LOPEZ")</f>
        <v>RAUL LOPEZ</v>
      </c>
      <c r="D54" s="5" t="str">
        <f ca="1">IFERROR(__xludf.DUMMYFUNCTION("""COMPUTED_VALUE"""),"Técnico 3 ")</f>
        <v xml:space="preserve">Técnico 3 </v>
      </c>
      <c r="E54" s="5" t="str">
        <f ca="1">IFERROR(__xludf.DUMMYFUNCTION("""COMPUTED_VALUE"""),"MANTENIMIENTO MAQUINAREA")</f>
        <v>MANTENIMIENTO MAQUINAREA</v>
      </c>
    </row>
    <row r="55" spans="1:5">
      <c r="A55" s="5" t="str">
        <f ca="1">IFERROR(__xludf.DUMMYFUNCTION("""COMPUTED_VALUE"""),"USO DEL APLICATIVO MTTO")</f>
        <v>USO DEL APLICATIVO MTTO</v>
      </c>
      <c r="B55" s="5">
        <f ca="1">IFERROR(__xludf.DUMMYFUNCTION("""COMPUTED_VALUE"""),94453351)</f>
        <v>94453351</v>
      </c>
      <c r="C55" s="5" t="str">
        <f ca="1">IFERROR(__xludf.DUMMYFUNCTION("""COMPUTED_VALUE"""),"RAUL LOPEZ")</f>
        <v>RAUL LOPEZ</v>
      </c>
      <c r="D55" s="5" t="str">
        <f ca="1">IFERROR(__xludf.DUMMYFUNCTION("""COMPUTED_VALUE"""),"Técnico 3 ")</f>
        <v xml:space="preserve">Técnico 3 </v>
      </c>
      <c r="E55" s="5" t="str">
        <f ca="1">IFERROR(__xludf.DUMMYFUNCTION("""COMPUTED_VALUE"""),"MANTENIMIENTO MAQUINAREA")</f>
        <v>MANTENIMIENTO MAQUINAREA</v>
      </c>
    </row>
    <row r="56" spans="1:5">
      <c r="A56" s="5" t="str">
        <f ca="1">IFERROR(__xludf.DUMMYFUNCTION("""COMPUTED_VALUE"""),"CIRCULAR 180-0008-2023")</f>
        <v>CIRCULAR 180-0008-2023</v>
      </c>
      <c r="B56" s="5">
        <f ca="1">IFERROR(__xludf.DUMMYFUNCTION("""COMPUTED_VALUE"""),94453351)</f>
        <v>94453351</v>
      </c>
      <c r="C56" s="5" t="str">
        <f ca="1">IFERROR(__xludf.DUMMYFUNCTION("""COMPUTED_VALUE"""),"RAUL LOPEZ")</f>
        <v>RAUL LOPEZ</v>
      </c>
      <c r="D56" s="5" t="str">
        <f ca="1">IFERROR(__xludf.DUMMYFUNCTION("""COMPUTED_VALUE"""),"Técnico 3 ")</f>
        <v xml:space="preserve">Técnico 3 </v>
      </c>
      <c r="E56" s="5" t="str">
        <f ca="1">IFERROR(__xludf.DUMMYFUNCTION("""COMPUTED_VALUE"""),"MANTENIMIENTO MAQUINAREA")</f>
        <v>MANTENIMIENTO MAQUINAREA</v>
      </c>
    </row>
    <row r="57" spans="1:5">
      <c r="A57" s="5" t="str">
        <f ca="1">IFERROR(__xludf.DUMMYFUNCTION("""COMPUTED_VALUE"""),"CAPACITACION BPM")</f>
        <v>CAPACITACION BPM</v>
      </c>
      <c r="B57" s="5">
        <f ca="1">IFERROR(__xludf.DUMMYFUNCTION("""COMPUTED_VALUE"""),94453351)</f>
        <v>94453351</v>
      </c>
      <c r="C57" s="5" t="str">
        <f ca="1">IFERROR(__xludf.DUMMYFUNCTION("""COMPUTED_VALUE"""),"RAUL LOPEZ")</f>
        <v>RAUL LOPEZ</v>
      </c>
      <c r="D57" s="5" t="str">
        <f ca="1">IFERROR(__xludf.DUMMYFUNCTION("""COMPUTED_VALUE"""),"Técnico 3 ")</f>
        <v xml:space="preserve">Técnico 3 </v>
      </c>
      <c r="E57" s="5" t="str">
        <f ca="1">IFERROR(__xludf.DUMMYFUNCTION("""COMPUTED_VALUE"""),"MANTENIMIENTO MAQUINAREA")</f>
        <v>MANTENIMIENTO MAQUINAREA</v>
      </c>
    </row>
    <row r="58" spans="1:5">
      <c r="A58" s="5" t="str">
        <f ca="1">IFERROR(__xludf.DUMMYFUNCTION("""COMPUTED_VALUE"""),"Capacitación Red AS-i")</f>
        <v>Capacitación Red AS-i</v>
      </c>
      <c r="B58" s="5">
        <f ca="1">IFERROR(__xludf.DUMMYFUNCTION("""COMPUTED_VALUE"""),94453351)</f>
        <v>94453351</v>
      </c>
      <c r="C58" s="5" t="str">
        <f ca="1">IFERROR(__xludf.DUMMYFUNCTION("""COMPUTED_VALUE"""),"RAUL LOPEZ")</f>
        <v>RAUL LOPEZ</v>
      </c>
      <c r="D58" s="5" t="str">
        <f ca="1">IFERROR(__xludf.DUMMYFUNCTION("""COMPUTED_VALUE"""),"Técnico 3")</f>
        <v>Técnico 3</v>
      </c>
      <c r="E58" s="5" t="str">
        <f ca="1">IFERROR(__xludf.DUMMYFUNCTION("""COMPUTED_VALUE"""),"MANTENIMIENTO MAQUINAREA")</f>
        <v>MANTENIMIENTO MAQUINAREA</v>
      </c>
    </row>
    <row r="59" spans="1:5">
      <c r="A59" s="5" t="str">
        <f ca="1">IFERROR(__xludf.DUMMYFUNCTION("""COMPUTED_VALUE"""),"Capacitación Red AS-i")</f>
        <v>Capacitación Red AS-i</v>
      </c>
      <c r="B59" s="5">
        <f ca="1">IFERROR(__xludf.DUMMYFUNCTION("""COMPUTED_VALUE"""),1061535068)</f>
        <v>1061535068</v>
      </c>
      <c r="C59" s="5" t="str">
        <f ca="1">IFERROR(__xludf.DUMMYFUNCTION("""COMPUTED_VALUE"""),"JEFERSON MUÑOZ")</f>
        <v>JEFERSON MUÑOZ</v>
      </c>
      <c r="D59" s="5" t="str">
        <f ca="1">IFERROR(__xludf.DUMMYFUNCTION("""COMPUTED_VALUE"""),"tecnico 3")</f>
        <v>tecnico 3</v>
      </c>
      <c r="E59" s="5" t="str">
        <f ca="1">IFERROR(__xludf.DUMMYFUNCTION("""COMPUTED_VALUE"""),"MANTENIMIENTO MAQUINAREA")</f>
        <v>MANTENIMIENTO MAQUINAREA</v>
      </c>
    </row>
    <row r="60" spans="1:5">
      <c r="A60" s="5" t="str">
        <f ca="1">IFERROR(__xludf.DUMMYFUNCTION("""COMPUTED_VALUE"""),"ACTUALIZACIÓN DE M2 CAM")</f>
        <v>ACTUALIZACIÓN DE M2 CAM</v>
      </c>
      <c r="B60" s="5">
        <f ca="1">IFERROR(__xludf.DUMMYFUNCTION("""COMPUTED_VALUE"""),1144146799)</f>
        <v>1144146799</v>
      </c>
      <c r="C60" s="5" t="str">
        <f ca="1">IFERROR(__xludf.DUMMYFUNCTION("""COMPUTED_VALUE"""),"Christian Camilo Ramírez Rendón ")</f>
        <v xml:space="preserve">Christian Camilo Ramírez Rendón </v>
      </c>
      <c r="D60" s="5" t="str">
        <f ca="1">IFERROR(__xludf.DUMMYFUNCTION("""COMPUTED_VALUE"""),"Mantenimiento")</f>
        <v>Mantenimiento</v>
      </c>
      <c r="E60" s="5" t="str">
        <f ca="1">IFERROR(__xludf.DUMMYFUNCTION("""COMPUTED_VALUE"""),"MANTENIMIENTO MAQUINAREA")</f>
        <v>MANTENIMIENTO MAQUINAREA</v>
      </c>
    </row>
    <row r="61" spans="1:5">
      <c r="A61" s="5" t="str">
        <f ca="1">IFERROR(__xludf.DUMMYFUNCTION("""COMPUTED_VALUE"""),"ACTUALIZACIÓN DE M2 CAM")</f>
        <v>ACTUALIZACIÓN DE M2 CAM</v>
      </c>
      <c r="B61" s="5">
        <f ca="1">IFERROR(__xludf.DUMMYFUNCTION("""COMPUTED_VALUE"""),1130624327)</f>
        <v>1130624327</v>
      </c>
      <c r="C61" s="5" t="str">
        <f ca="1">IFERROR(__xludf.DUMMYFUNCTION("""COMPUTED_VALUE"""),"Julián Calderón ")</f>
        <v xml:space="preserve">Julián Calderón </v>
      </c>
      <c r="D61" s="5" t="str">
        <f ca="1">IFERROR(__xludf.DUMMYFUNCTION("""COMPUTED_VALUE"""),"Técnico iii")</f>
        <v>Técnico iii</v>
      </c>
      <c r="E61" s="5" t="str">
        <f ca="1">IFERROR(__xludf.DUMMYFUNCTION("""COMPUTED_VALUE"""),"MANTENIMIENTO MAQUINAREA")</f>
        <v>MANTENIMIENTO MAQUINAREA</v>
      </c>
    </row>
    <row r="62" spans="1:5">
      <c r="A62" s="5" t="str">
        <f ca="1">IFERROR(__xludf.DUMMYFUNCTION("""COMPUTED_VALUE"""),"CIRCULAR 180-0021-2023")</f>
        <v>CIRCULAR 180-0021-2023</v>
      </c>
      <c r="B62" s="5">
        <f ca="1">IFERROR(__xludf.DUMMYFUNCTION("""COMPUTED_VALUE"""),1151940372)</f>
        <v>1151940372</v>
      </c>
      <c r="C62" s="5" t="str">
        <f ca="1">IFERROR(__xludf.DUMMYFUNCTION("""COMPUTED_VALUE"""),"HELMER QUISCUALTUD")</f>
        <v>HELMER QUISCUALTUD</v>
      </c>
      <c r="D62" s="5" t="str">
        <f ca="1">IFERROR(__xludf.DUMMYFUNCTION("""COMPUTED_VALUE"""),"supervisor")</f>
        <v>supervisor</v>
      </c>
      <c r="E62" s="5" t="str">
        <f ca="1">IFERROR(__xludf.DUMMYFUNCTION("""COMPUTED_VALUE"""),"MANTENIMIENTO MAQUINAREA")</f>
        <v>MANTENIMIENTO MAQUINAREA</v>
      </c>
    </row>
    <row r="63" spans="1:5">
      <c r="A63" s="5" t="str">
        <f ca="1">IFERROR(__xludf.DUMMYFUNCTION("""COMPUTED_VALUE"""),"USO DEL APLICATIVO MTTO")</f>
        <v>USO DEL APLICATIVO MTTO</v>
      </c>
      <c r="B63" s="5">
        <f ca="1">IFERROR(__xludf.DUMMYFUNCTION("""COMPUTED_VALUE"""),1151940372)</f>
        <v>1151940372</v>
      </c>
      <c r="C63" s="5" t="str">
        <f ca="1">IFERROR(__xludf.DUMMYFUNCTION("""COMPUTED_VALUE"""),"HELMER QUISCUALTUD")</f>
        <v>HELMER QUISCUALTUD</v>
      </c>
      <c r="D63" s="5" t="str">
        <f ca="1">IFERROR(__xludf.DUMMYFUNCTION("""COMPUTED_VALUE"""),"supervisor")</f>
        <v>supervisor</v>
      </c>
      <c r="E63" s="5" t="str">
        <f ca="1">IFERROR(__xludf.DUMMYFUNCTION("""COMPUTED_VALUE"""),"MANTENIMIENTO MAQUINAREA")</f>
        <v>MANTENIMIENTO MAQUINAREA</v>
      </c>
    </row>
    <row r="64" spans="1:5">
      <c r="A64" s="5" t="str">
        <f ca="1">IFERROR(__xludf.DUMMYFUNCTION("""COMPUTED_VALUE"""),"ACTUALIZACIÓN DE M2 CAM")</f>
        <v>ACTUALIZACIÓN DE M2 CAM</v>
      </c>
      <c r="B64" s="5">
        <f ca="1">IFERROR(__xludf.DUMMYFUNCTION("""COMPUTED_VALUE"""),1144161531)</f>
        <v>1144161531</v>
      </c>
      <c r="C64" s="5" t="str">
        <f ca="1">IFERROR(__xludf.DUMMYFUNCTION("""COMPUTED_VALUE"""),"Jonathan Rodríguez flor ")</f>
        <v xml:space="preserve">Jonathan Rodríguez flor </v>
      </c>
      <c r="D64" s="5" t="str">
        <f ca="1">IFERROR(__xludf.DUMMYFUNCTION("""COMPUTED_VALUE"""),"Técnico 3")</f>
        <v>Técnico 3</v>
      </c>
      <c r="E64" s="5" t="str">
        <f ca="1">IFERROR(__xludf.DUMMYFUNCTION("""COMPUTED_VALUE"""),"PRODUCCION")</f>
        <v>PRODUCCION</v>
      </c>
    </row>
    <row r="65" spans="1:5">
      <c r="A65" s="5" t="str">
        <f ca="1">IFERROR(__xludf.DUMMYFUNCTION("""COMPUTED_VALUE"""),"ACTUALIZACIÓN 
FORMATO 
PRESIÓN POSITIVA")</f>
        <v>ACTUALIZACIÓN 
FORMATO 
PRESIÓN POSITIVA</v>
      </c>
      <c r="B65" s="5">
        <f ca="1">IFERROR(__xludf.DUMMYFUNCTION("""COMPUTED_VALUE"""),1144161531)</f>
        <v>1144161531</v>
      </c>
      <c r="C65" s="5" t="str">
        <f ca="1">IFERROR(__xludf.DUMMYFUNCTION("""COMPUTED_VALUE"""),"Jonathan Rodríguez flor ")</f>
        <v xml:space="preserve">Jonathan Rodríguez flor </v>
      </c>
      <c r="D65" s="5" t="str">
        <f ca="1">IFERROR(__xludf.DUMMYFUNCTION("""COMPUTED_VALUE"""),"Tecnico3")</f>
        <v>Tecnico3</v>
      </c>
      <c r="E65" s="5" t="str">
        <f ca="1">IFERROR(__xludf.DUMMYFUNCTION("""COMPUTED_VALUE"""),"PRODUCCION")</f>
        <v>PRODUCCION</v>
      </c>
    </row>
    <row r="66" spans="1:5">
      <c r="A66" s="5" t="str">
        <f ca="1">IFERROR(__xludf.DUMMYFUNCTION("""COMPUTED_VALUE"""),"USO DEL APLICATIVO MTTO")</f>
        <v>USO DEL APLICATIVO MTTO</v>
      </c>
      <c r="B66" s="5">
        <f ca="1">IFERROR(__xludf.DUMMYFUNCTION("""COMPUTED_VALUE"""),1144161531)</f>
        <v>1144161531</v>
      </c>
      <c r="C66" s="5" t="str">
        <f ca="1">IFERROR(__xludf.DUMMYFUNCTION("""COMPUTED_VALUE"""),"Jonathan Rodríguez flor ")</f>
        <v xml:space="preserve">Jonathan Rodríguez flor </v>
      </c>
      <c r="D66" s="5" t="str">
        <f ca="1">IFERROR(__xludf.DUMMYFUNCTION("""COMPUTED_VALUE"""),"Técnico 3")</f>
        <v>Técnico 3</v>
      </c>
      <c r="E66" s="5" t="str">
        <f ca="1">IFERROR(__xludf.DUMMYFUNCTION("""COMPUTED_VALUE"""),"PRODUCCION")</f>
        <v>PRODUCCION</v>
      </c>
    </row>
    <row r="67" spans="1:5">
      <c r="A67" s="5" t="str">
        <f ca="1">IFERROR(__xludf.DUMMYFUNCTION("""COMPUTED_VALUE"""),"ACTUALIZACIÓN DE M2 CAM")</f>
        <v>ACTUALIZACIÓN DE M2 CAM</v>
      </c>
      <c r="B67" s="5">
        <f ca="1">IFERROR(__xludf.DUMMYFUNCTION("""COMPUTED_VALUE"""),1305933135)</f>
        <v>1305933135</v>
      </c>
      <c r="C67" s="5" t="str">
        <f ca="1">IFERROR(__xludf.DUMMYFUNCTION("""COMPUTED_VALUE"""),"Jefferson Bravo ")</f>
        <v xml:space="preserve">Jefferson Bravo </v>
      </c>
      <c r="D67" s="5" t="str">
        <f ca="1">IFERROR(__xludf.DUMMYFUNCTION("""COMPUTED_VALUE"""),"Técnico 3")</f>
        <v>Técnico 3</v>
      </c>
      <c r="E67" s="5" t="str">
        <f ca="1">IFERROR(__xludf.DUMMYFUNCTION("""COMPUTED_VALUE"""),"MANTENIMIENTO MAQUINAREA")</f>
        <v>MANTENIMIENTO MAQUINAREA</v>
      </c>
    </row>
    <row r="68" spans="1:5">
      <c r="A68" s="5" t="str">
        <f ca="1">IFERROR(__xludf.DUMMYFUNCTION("""COMPUTED_VALUE"""),"ACTUALIZACIÓN DE M2 CAM")</f>
        <v>ACTUALIZACIÓN DE M2 CAM</v>
      </c>
      <c r="B68" s="5">
        <f ca="1">IFERROR(__xludf.DUMMYFUNCTION("""COMPUTED_VALUE"""),1144191128)</f>
        <v>1144191128</v>
      </c>
      <c r="C68" s="5" t="str">
        <f ca="1">IFERROR(__xludf.DUMMYFUNCTION("""COMPUTED_VALUE"""),"ESTEBAN POTOSI ")</f>
        <v xml:space="preserve">ESTEBAN POTOSI </v>
      </c>
      <c r="D68" s="5" t="str">
        <f ca="1">IFERROR(__xludf.DUMMYFUNCTION("""COMPUTED_VALUE"""),"Tecnico 3")</f>
        <v>Tecnico 3</v>
      </c>
      <c r="E68" s="5" t="str">
        <f ca="1">IFERROR(__xludf.DUMMYFUNCTION("""COMPUTED_VALUE"""),"MANTENIMIENTO MAQUINAREA")</f>
        <v>MANTENIMIENTO MAQUINAREA</v>
      </c>
    </row>
    <row r="69" spans="1:5">
      <c r="A69" s="5" t="str">
        <f ca="1">IFERROR(__xludf.DUMMYFUNCTION("""COMPUTED_VALUE"""),"ACTUALIZACIÓN DE M2 CAM")</f>
        <v>ACTUALIZACIÓN DE M2 CAM</v>
      </c>
      <c r="B69" s="5">
        <f ca="1">IFERROR(__xludf.DUMMYFUNCTION("""COMPUTED_VALUE"""),94542837)</f>
        <v>94542837</v>
      </c>
      <c r="C69" s="5" t="str">
        <f ca="1">IFERROR(__xludf.DUMMYFUNCTION("""COMPUTED_VALUE"""),"MARIO ALBERTO MARTINEZ")</f>
        <v>MARIO ALBERTO MARTINEZ</v>
      </c>
      <c r="D69" s="5" t="str">
        <f ca="1">IFERROR(__xludf.DUMMYFUNCTION("""COMPUTED_VALUE"""),"Técnico III ")</f>
        <v xml:space="preserve">Técnico III </v>
      </c>
      <c r="E69" s="5" t="str">
        <f ca="1">IFERROR(__xludf.DUMMYFUNCTION("""COMPUTED_VALUE"""),"MANTENIMIENTO MAQUINAREA")</f>
        <v>MANTENIMIENTO MAQUINAREA</v>
      </c>
    </row>
    <row r="70" spans="1:5">
      <c r="A70" s="5" t="str">
        <f ca="1">IFERROR(__xludf.DUMMYFUNCTION("""COMPUTED_VALUE"""),"ACTUALIZACIÓN DE M2 CAM")</f>
        <v>ACTUALIZACIÓN DE M2 CAM</v>
      </c>
      <c r="B70" s="5">
        <f ca="1">IFERROR(__xludf.DUMMYFUNCTION("""COMPUTED_VALUE"""),79883186)</f>
        <v>79883186</v>
      </c>
      <c r="C70" s="5" t="str">
        <f ca="1">IFERROR(__xludf.DUMMYFUNCTION("""COMPUTED_VALUE"""),"JHON F VARGAS")</f>
        <v>JHON F VARGAS</v>
      </c>
      <c r="D70" s="5" t="str">
        <f ca="1">IFERROR(__xludf.DUMMYFUNCTION("""COMPUTED_VALUE"""),"Técnico ")</f>
        <v xml:space="preserve">Técnico </v>
      </c>
      <c r="E70" s="5" t="str">
        <f ca="1">IFERROR(__xludf.DUMMYFUNCTION("""COMPUTED_VALUE"""),"MANTENIMIENTO MAQUINAREA")</f>
        <v>MANTENIMIENTO MAQUINAREA</v>
      </c>
    </row>
    <row r="71" spans="1:5">
      <c r="A71" s="5" t="str">
        <f ca="1">IFERROR(__xludf.DUMMYFUNCTION("""COMPUTED_VALUE"""),"ACTUALIZACIÓN DE M2 CAM")</f>
        <v>ACTUALIZACIÓN DE M2 CAM</v>
      </c>
      <c r="B71" s="5">
        <f ca="1">IFERROR(__xludf.DUMMYFUNCTION("""COMPUTED_VALUE"""),16459044)</f>
        <v>16459044</v>
      </c>
      <c r="C71" s="5" t="str">
        <f ca="1">IFERROR(__xludf.DUMMYFUNCTION("""COMPUTED_VALUE"""),"JHON F JIMENEZ")</f>
        <v>JHON F JIMENEZ</v>
      </c>
      <c r="D71" s="5" t="str">
        <f ca="1">IFERROR(__xludf.DUMMYFUNCTION("""COMPUTED_VALUE"""),"Técnico 3 ")</f>
        <v xml:space="preserve">Técnico 3 </v>
      </c>
      <c r="E71" s="5" t="str">
        <f ca="1">IFERROR(__xludf.DUMMYFUNCTION("""COMPUTED_VALUE"""),"MANTENIMIENTO MAQUINAREA")</f>
        <v>MANTENIMIENTO MAQUINAREA</v>
      </c>
    </row>
    <row r="72" spans="1:5">
      <c r="A72" s="5" t="str">
        <f ca="1">IFERROR(__xludf.DUMMYFUNCTION("""COMPUTED_VALUE"""),"ACTUALIZACIÓN DE M2 CAM")</f>
        <v>ACTUALIZACIÓN DE M2 CAM</v>
      </c>
      <c r="B72" s="5">
        <f ca="1">IFERROR(__xludf.DUMMYFUNCTION("""COMPUTED_VALUE"""),1061535068)</f>
        <v>1061535068</v>
      </c>
      <c r="C72" s="5" t="str">
        <f ca="1">IFERROR(__xludf.DUMMYFUNCTION("""COMPUTED_VALUE"""),"Jefferson Muñoz ")</f>
        <v xml:space="preserve">Jefferson Muñoz </v>
      </c>
      <c r="D72" s="5" t="str">
        <f ca="1">IFERROR(__xludf.DUMMYFUNCTION("""COMPUTED_VALUE"""),"Técnico 3")</f>
        <v>Técnico 3</v>
      </c>
      <c r="E72" s="5" t="str">
        <f ca="1">IFERROR(__xludf.DUMMYFUNCTION("""COMPUTED_VALUE"""),"MANTENIMIENTO MAQUINAREA")</f>
        <v>MANTENIMIENTO MAQUINAREA</v>
      </c>
    </row>
    <row r="73" spans="1:5">
      <c r="A73" s="5" t="str">
        <f ca="1">IFERROR(__xludf.DUMMYFUNCTION("""COMPUTED_VALUE"""),"ACTUALIZACIÓN DE M2 CAM")</f>
        <v>ACTUALIZACIÓN DE M2 CAM</v>
      </c>
      <c r="B73" s="5">
        <f ca="1">IFERROR(__xludf.DUMMYFUNCTION("""COMPUTED_VALUE"""),1130620555)</f>
        <v>1130620555</v>
      </c>
      <c r="C73" s="5" t="str">
        <f ca="1">IFERROR(__xludf.DUMMYFUNCTION("""COMPUTED_VALUE"""),"Víctor David Burbano gomez")</f>
        <v>Víctor David Burbano gomez</v>
      </c>
      <c r="D73" s="5" t="str">
        <f ca="1">IFERROR(__xludf.DUMMYFUNCTION("""COMPUTED_VALUE"""),"Técnico 3 ")</f>
        <v xml:space="preserve">Técnico 3 </v>
      </c>
      <c r="E73" s="5" t="str">
        <f ca="1">IFERROR(__xludf.DUMMYFUNCTION("""COMPUTED_VALUE"""),"MANTENIMIENTO MAQUINAREA")</f>
        <v>MANTENIMIENTO MAQUINAREA</v>
      </c>
    </row>
    <row r="74" spans="1:5">
      <c r="A74" s="5" t="str">
        <f ca="1">IFERROR(__xludf.DUMMYFUNCTION("""COMPUTED_VALUE"""),"ACTUALIZACIÓN DE M2 CAM")</f>
        <v>ACTUALIZACIÓN DE M2 CAM</v>
      </c>
      <c r="B74" s="5">
        <f ca="1">IFERROR(__xludf.DUMMYFUNCTION("""COMPUTED_VALUE"""),94539966)</f>
        <v>94539966</v>
      </c>
      <c r="C74" s="5" t="str">
        <f ca="1">IFERROR(__xludf.DUMMYFUNCTION("""COMPUTED_VALUE"""),"JOHN EDIER GOMEZ ZUÑIGA ")</f>
        <v xml:space="preserve">JOHN EDIER GOMEZ ZUÑIGA </v>
      </c>
      <c r="D74" s="5" t="str">
        <f ca="1">IFERROR(__xludf.DUMMYFUNCTION("""COMPUTED_VALUE"""),"Tecnico III")</f>
        <v>Tecnico III</v>
      </c>
      <c r="E74" s="5" t="str">
        <f ca="1">IFERROR(__xludf.DUMMYFUNCTION("""COMPUTED_VALUE"""),"MANTENIMIENTO MAQUINAREA")</f>
        <v>MANTENIMIENTO MAQUINAREA</v>
      </c>
    </row>
    <row r="75" spans="1:5">
      <c r="A75" s="5" t="str">
        <f ca="1">IFERROR(__xludf.DUMMYFUNCTION("""COMPUTED_VALUE"""),"CIRCULAR 180-0008-2023")</f>
        <v>CIRCULAR 180-0008-2023</v>
      </c>
      <c r="B75" s="5">
        <f ca="1">IFERROR(__xludf.DUMMYFUNCTION("""COMPUTED_VALUE"""),94539966)</f>
        <v>94539966</v>
      </c>
      <c r="C75" s="5" t="str">
        <f ca="1">IFERROR(__xludf.DUMMYFUNCTION("""COMPUTED_VALUE"""),"JOHN EDIER GOMEZ ZUÑIGA ")</f>
        <v xml:space="preserve">JOHN EDIER GOMEZ ZUÑIGA </v>
      </c>
      <c r="D75" s="5" t="str">
        <f ca="1">IFERROR(__xludf.DUMMYFUNCTION("""COMPUTED_VALUE"""),"Tecnico III")</f>
        <v>Tecnico III</v>
      </c>
      <c r="E75" s="5" t="str">
        <f ca="1">IFERROR(__xludf.DUMMYFUNCTION("""COMPUTED_VALUE"""),"MANTENIMIENTO MAQUINAREA")</f>
        <v>MANTENIMIENTO MAQUINAREA</v>
      </c>
    </row>
    <row r="76" spans="1:5">
      <c r="A76" s="5" t="str">
        <f ca="1">IFERROR(__xludf.DUMMYFUNCTION("""COMPUTED_VALUE"""),"ACTUALIZACIÓN DE M2 CAM")</f>
        <v>ACTUALIZACIÓN DE M2 CAM</v>
      </c>
      <c r="B76" s="5">
        <f ca="1">IFERROR(__xludf.DUMMYFUNCTION("""COMPUTED_VALUE"""),94482460)</f>
        <v>94482460</v>
      </c>
      <c r="C76" s="5" t="str">
        <f ca="1">IFERROR(__xludf.DUMMYFUNCTION("""COMPUTED_VALUE"""),"MIGUEL GUZMÁN")</f>
        <v>MIGUEL GUZMÁN</v>
      </c>
      <c r="D76" s="5" t="str">
        <f ca="1">IFERROR(__xludf.DUMMYFUNCTION("""COMPUTED_VALUE"""),"Técnico III ")</f>
        <v xml:space="preserve">Técnico III </v>
      </c>
      <c r="E76" s="5" t="str">
        <f ca="1">IFERROR(__xludf.DUMMYFUNCTION("""COMPUTED_VALUE"""),"MANTENIMIENTO MAQUINAREA")</f>
        <v>MANTENIMIENTO MAQUINAREA</v>
      </c>
    </row>
    <row r="77" spans="1:5">
      <c r="A77" s="5" t="str">
        <f ca="1">IFERROR(__xludf.DUMMYFUNCTION("""COMPUTED_VALUE"""),"CIRCULAR 180-0021-2023")</f>
        <v>CIRCULAR 180-0021-2023</v>
      </c>
      <c r="B77" s="5">
        <f ca="1">IFERROR(__xludf.DUMMYFUNCTION("""COMPUTED_VALUE"""),94482460)</f>
        <v>94482460</v>
      </c>
      <c r="C77" s="5" t="str">
        <f ca="1">IFERROR(__xludf.DUMMYFUNCTION("""COMPUTED_VALUE"""),"MIGUEL GUZMÁN")</f>
        <v>MIGUEL GUZMÁN</v>
      </c>
      <c r="D77" s="5" t="str">
        <f ca="1">IFERROR(__xludf.DUMMYFUNCTION("""COMPUTED_VALUE"""),"Técnico III ")</f>
        <v xml:space="preserve">Técnico III </v>
      </c>
      <c r="E77" s="5" t="str">
        <f ca="1">IFERROR(__xludf.DUMMYFUNCTION("""COMPUTED_VALUE"""),"MANTENIMIENTO MAQUINAREA")</f>
        <v>MANTENIMIENTO MAQUINAREA</v>
      </c>
    </row>
    <row r="78" spans="1:5">
      <c r="A78" s="5" t="str">
        <f ca="1">IFERROR(__xludf.DUMMYFUNCTION("""COMPUTED_VALUE"""),"ACTUALIZACIÓN 
FORMATO 
PRESIÓN POSITIVA")</f>
        <v>ACTUALIZACIÓN 
FORMATO 
PRESIÓN POSITIVA</v>
      </c>
      <c r="B78" s="5">
        <f ca="1">IFERROR(__xludf.DUMMYFUNCTION("""COMPUTED_VALUE"""),94482460)</f>
        <v>94482460</v>
      </c>
      <c r="C78" s="5" t="str">
        <f ca="1">IFERROR(__xludf.DUMMYFUNCTION("""COMPUTED_VALUE"""),"MIGUEL GUZMÁN")</f>
        <v>MIGUEL GUZMÁN</v>
      </c>
      <c r="D78" s="5" t="str">
        <f ca="1">IFERROR(__xludf.DUMMYFUNCTION("""COMPUTED_VALUE"""),"Técnico III ")</f>
        <v xml:space="preserve">Técnico III </v>
      </c>
      <c r="E78" s="5" t="str">
        <f ca="1">IFERROR(__xludf.DUMMYFUNCTION("""COMPUTED_VALUE"""),"MANTENIMIENTO MAQUINAREA")</f>
        <v>MANTENIMIENTO MAQUINAREA</v>
      </c>
    </row>
    <row r="79" spans="1:5">
      <c r="A79" s="5" t="str">
        <f ca="1">IFERROR(__xludf.DUMMYFUNCTION("""COMPUTED_VALUE"""),"CIRCULAR 180-0021-2023")</f>
        <v>CIRCULAR 180-0021-2023</v>
      </c>
      <c r="B79" s="5">
        <f ca="1">IFERROR(__xludf.DUMMYFUNCTION("""COMPUTED_VALUE"""),79883186)</f>
        <v>79883186</v>
      </c>
      <c r="C79" s="5" t="str">
        <f ca="1">IFERROR(__xludf.DUMMYFUNCTION("""COMPUTED_VALUE"""),"JHON F VARGAS")</f>
        <v>JHON F VARGAS</v>
      </c>
      <c r="D79" s="5" t="str">
        <f ca="1">IFERROR(__xludf.DUMMYFUNCTION("""COMPUTED_VALUE"""),"Técnico III mantenimiento ")</f>
        <v xml:space="preserve">Técnico III mantenimiento </v>
      </c>
      <c r="E79" s="5" t="str">
        <f ca="1">IFERROR(__xludf.DUMMYFUNCTION("""COMPUTED_VALUE"""),"MANTENIMIENTO MAQUINAREA")</f>
        <v>MANTENIMIENTO MAQUINAREA</v>
      </c>
    </row>
    <row r="80" spans="1:5">
      <c r="A80" s="5" t="str">
        <f ca="1">IFERROR(__xludf.DUMMYFUNCTION("""COMPUTED_VALUE"""),"USO DEL APLICATIVO MTTO")</f>
        <v>USO DEL APLICATIVO MTTO</v>
      </c>
      <c r="B80" s="5">
        <f ca="1">IFERROR(__xludf.DUMMYFUNCTION("""COMPUTED_VALUE"""),79883186)</f>
        <v>79883186</v>
      </c>
      <c r="C80" s="5" t="str">
        <f ca="1">IFERROR(__xludf.DUMMYFUNCTION("""COMPUTED_VALUE"""),"JHON F VARGAS")</f>
        <v>JHON F VARGAS</v>
      </c>
      <c r="D80" s="5" t="str">
        <f ca="1">IFERROR(__xludf.DUMMYFUNCTION("""COMPUTED_VALUE"""),"Técnico III mantenimiento ")</f>
        <v xml:space="preserve">Técnico III mantenimiento </v>
      </c>
      <c r="E80" s="5" t="str">
        <f ca="1">IFERROR(__xludf.DUMMYFUNCTION("""COMPUTED_VALUE"""),"MANTENIMIENTO MAQUINAREA")</f>
        <v>MANTENIMIENTO MAQUINAREA</v>
      </c>
    </row>
    <row r="81" spans="1:5">
      <c r="A81" s="5" t="str">
        <f ca="1">IFERROR(__xludf.DUMMYFUNCTION("""COMPUTED_VALUE"""),"ACTUALIZACIÓN DE M2 CAM")</f>
        <v>ACTUALIZACIÓN DE M2 CAM</v>
      </c>
      <c r="B81" s="5">
        <f ca="1">IFERROR(__xludf.DUMMYFUNCTION("""COMPUTED_VALUE"""),1113692667)</f>
        <v>1113692667</v>
      </c>
      <c r="C81" s="5" t="str">
        <f ca="1">IFERROR(__xludf.DUMMYFUNCTION("""COMPUTED_VALUE"""),"Stiven Ferney Quintero Diaz ")</f>
        <v xml:space="preserve">Stiven Ferney Quintero Diaz </v>
      </c>
      <c r="D81" s="5" t="str">
        <f ca="1">IFERROR(__xludf.DUMMYFUNCTION("""COMPUTED_VALUE"""),"Aprendiz")</f>
        <v>Aprendiz</v>
      </c>
      <c r="E81" s="5" t="str">
        <f ca="1">IFERROR(__xludf.DUMMYFUNCTION("""COMPUTED_VALUE"""),"MANTENIMIENTO MAQUINAREA")</f>
        <v>MANTENIMIENTO MAQUINAREA</v>
      </c>
    </row>
    <row r="82" spans="1:5">
      <c r="A82" s="5" t="str">
        <f ca="1">IFERROR(__xludf.DUMMYFUNCTION("""COMPUTED_VALUE"""),"ACTUALIZACIÓN DE M2 CAM")</f>
        <v>ACTUALIZACIÓN DE M2 CAM</v>
      </c>
      <c r="B82" s="5">
        <f ca="1">IFERROR(__xludf.DUMMYFUNCTION("""COMPUTED_VALUE"""),1113692667)</f>
        <v>1113692667</v>
      </c>
      <c r="C82" s="5" t="str">
        <f ca="1">IFERROR(__xludf.DUMMYFUNCTION("""COMPUTED_VALUE"""),"Stiven Ferney Quintero Diaz ")</f>
        <v xml:space="preserve">Stiven Ferney Quintero Diaz </v>
      </c>
      <c r="D82" s="5" t="str">
        <f ca="1">IFERROR(__xludf.DUMMYFUNCTION("""COMPUTED_VALUE"""),"Aprendiz ")</f>
        <v xml:space="preserve">Aprendiz </v>
      </c>
      <c r="E82" s="5" t="str">
        <f ca="1">IFERROR(__xludf.DUMMYFUNCTION("""COMPUTED_VALUE"""),"MANTENIMIENTO MAQUINAREA")</f>
        <v>MANTENIMIENTO MAQUINAREA</v>
      </c>
    </row>
    <row r="83" spans="1:5">
      <c r="A83" s="5" t="str">
        <f ca="1">IFERROR(__xludf.DUMMYFUNCTION("""COMPUTED_VALUE"""),"ACTUALIZACIÓN DE M2 CAM")</f>
        <v>ACTUALIZACIÓN DE M2 CAM</v>
      </c>
      <c r="B83" s="5">
        <f ca="1">IFERROR(__xludf.DUMMYFUNCTION("""COMPUTED_VALUE"""),94063517)</f>
        <v>94063517</v>
      </c>
      <c r="C83" s="5" t="str">
        <f ca="1">IFERROR(__xludf.DUMMYFUNCTION("""COMPUTED_VALUE"""),"GUIDO PAPAMIJA")</f>
        <v>GUIDO PAPAMIJA</v>
      </c>
      <c r="D83" s="5" t="str">
        <f ca="1">IFERROR(__xludf.DUMMYFUNCTION("""COMPUTED_VALUE"""),"Técnico 3")</f>
        <v>Técnico 3</v>
      </c>
      <c r="E83" s="5" t="str">
        <f ca="1">IFERROR(__xludf.DUMMYFUNCTION("""COMPUTED_VALUE"""),"MANTENIMIENTO MAQUINAREA")</f>
        <v>MANTENIMIENTO MAQUINAREA</v>
      </c>
    </row>
    <row r="84" spans="1:5">
      <c r="A84" s="5" t="str">
        <f ca="1">IFERROR(__xludf.DUMMYFUNCTION("""COMPUTED_VALUE"""),"ACTUALIZACIÓN DE M2 CAM")</f>
        <v>ACTUALIZACIÓN DE M2 CAM</v>
      </c>
      <c r="B84" s="5">
        <f ca="1">IFERROR(__xludf.DUMMYFUNCTION("""COMPUTED_VALUE"""),94481158)</f>
        <v>94481158</v>
      </c>
      <c r="C84" s="5" t="str">
        <f ca="1">IFERROR(__xludf.DUMMYFUNCTION("""COMPUTED_VALUE"""),"WILLIAM HENAO")</f>
        <v>WILLIAM HENAO</v>
      </c>
      <c r="D84" s="5" t="str">
        <f ca="1">IFERROR(__xludf.DUMMYFUNCTION("""COMPUTED_VALUE"""),"Técnico 3 ")</f>
        <v xml:space="preserve">Técnico 3 </v>
      </c>
      <c r="E84" s="5" t="str">
        <f ca="1">IFERROR(__xludf.DUMMYFUNCTION("""COMPUTED_VALUE"""),"MANTENIMIENTO MAQUINAREA")</f>
        <v>MANTENIMIENTO MAQUINAREA</v>
      </c>
    </row>
    <row r="85" spans="1:5">
      <c r="A85" s="5" t="str">
        <f ca="1">IFERROR(__xludf.DUMMYFUNCTION("""COMPUTED_VALUE"""),"ACTUALIZACIÓN DE M2 CAM")</f>
        <v>ACTUALIZACIÓN DE M2 CAM</v>
      </c>
      <c r="B85" s="5">
        <f ca="1">IFERROR(__xludf.DUMMYFUNCTION("""COMPUTED_VALUE"""),1151949021)</f>
        <v>1151949021</v>
      </c>
      <c r="C85" s="5" t="str">
        <f ca="1">IFERROR(__xludf.DUMMYFUNCTION("""COMPUTED_VALUE"""),"BOLAÑOS CAMACHO LUIS MIGUEL")</f>
        <v>BOLAÑOS CAMACHO LUIS MIGUEL</v>
      </c>
      <c r="D85" s="5" t="str">
        <f ca="1">IFERROR(__xludf.DUMMYFUNCTION("""COMPUTED_VALUE"""),"Técnico III")</f>
        <v>Técnico III</v>
      </c>
      <c r="E85" s="5" t="str">
        <f ca="1">IFERROR(__xludf.DUMMYFUNCTION("""COMPUTED_VALUE"""),"PRODUCCION")</f>
        <v>PRODUCCION</v>
      </c>
    </row>
    <row r="86" spans="1:5">
      <c r="A86" s="5" t="str">
        <f ca="1">IFERROR(__xludf.DUMMYFUNCTION("""COMPUTED_VALUE"""),"ACTUALIZACIÓN DE M2 CAM")</f>
        <v>ACTUALIZACIÓN DE M2 CAM</v>
      </c>
      <c r="B86" s="5">
        <f ca="1">IFERROR(__xludf.DUMMYFUNCTION("""COMPUTED_VALUE"""),1114120297)</f>
        <v>1114120297</v>
      </c>
      <c r="C86" s="5" t="str">
        <f ca="1">IFERROR(__xludf.DUMMYFUNCTION("""COMPUTED_VALUE"""),"Luis Miguel Gordillo ")</f>
        <v xml:space="preserve">Luis Miguel Gordillo </v>
      </c>
      <c r="D86" s="5" t="str">
        <f ca="1">IFERROR(__xludf.DUMMYFUNCTION("""COMPUTED_VALUE"""),"Técnico 3")</f>
        <v>Técnico 3</v>
      </c>
      <c r="E86" s="5" t="str">
        <f ca="1">IFERROR(__xludf.DUMMYFUNCTION("""COMPUTED_VALUE"""),"PRODUCCION")</f>
        <v>PRODUCCION</v>
      </c>
    </row>
    <row r="87" spans="1:5">
      <c r="A87" s="5" t="str">
        <f ca="1">IFERROR(__xludf.DUMMYFUNCTION("""COMPUTED_VALUE"""),"ACTUALIZACIÓN DE M2 CAM")</f>
        <v>ACTUALIZACIÓN DE M2 CAM</v>
      </c>
      <c r="B87" s="5">
        <f ca="1">IFERROR(__xludf.DUMMYFUNCTION("""COMPUTED_VALUE"""),94543434)</f>
        <v>94543434</v>
      </c>
      <c r="C87" s="5" t="str">
        <f ca="1">IFERROR(__xludf.DUMMYFUNCTION("""COMPUTED_VALUE"""),"PARRA VELANDIA JOHN JAIRO")</f>
        <v>PARRA VELANDIA JOHN JAIRO</v>
      </c>
      <c r="D87" s="5" t="str">
        <f ca="1">IFERROR(__xludf.DUMMYFUNCTION("""COMPUTED_VALUE"""),"Técnico 3")</f>
        <v>Técnico 3</v>
      </c>
      <c r="E87" s="5" t="str">
        <f ca="1">IFERROR(__xludf.DUMMYFUNCTION("""COMPUTED_VALUE"""),"PRODUCCION")</f>
        <v>PRODUCCION</v>
      </c>
    </row>
    <row r="88" spans="1:5">
      <c r="A88" s="5" t="str">
        <f ca="1">IFERROR(__xludf.DUMMYFUNCTION("""COMPUTED_VALUE"""),"CIRCULAR 180-0021-2023")</f>
        <v>CIRCULAR 180-0021-2023</v>
      </c>
      <c r="B88" s="5">
        <f ca="1">IFERROR(__xludf.DUMMYFUNCTION("""COMPUTED_VALUE"""),94453351)</f>
        <v>94453351</v>
      </c>
      <c r="C88" s="5" t="str">
        <f ca="1">IFERROR(__xludf.DUMMYFUNCTION("""COMPUTED_VALUE"""),"RAUL LOPEZ")</f>
        <v>RAUL LOPEZ</v>
      </c>
      <c r="D88" s="5" t="str">
        <f ca="1">IFERROR(__xludf.DUMMYFUNCTION("""COMPUTED_VALUE"""),"Técnico 3 de mtto ")</f>
        <v xml:space="preserve">Técnico 3 de mtto </v>
      </c>
      <c r="E88" s="5" t="str">
        <f ca="1">IFERROR(__xludf.DUMMYFUNCTION("""COMPUTED_VALUE"""),"MANTENIMIENTO MAQUINAREA")</f>
        <v>MANTENIMIENTO MAQUINAREA</v>
      </c>
    </row>
    <row r="89" spans="1:5">
      <c r="A89" s="5" t="str">
        <f ca="1">IFERROR(__xludf.DUMMYFUNCTION("""COMPUTED_VALUE"""),"CAPACITACIONES AUDITORIA")</f>
        <v>CAPACITACIONES AUDITORIA</v>
      </c>
      <c r="B89" s="5">
        <f ca="1">IFERROR(__xludf.DUMMYFUNCTION("""COMPUTED_VALUE"""),1130624327)</f>
        <v>1130624327</v>
      </c>
      <c r="C89" s="5" t="str">
        <f ca="1">IFERROR(__xludf.DUMMYFUNCTION("""COMPUTED_VALUE"""),"JULIAN CALDERON")</f>
        <v>JULIAN CALDERON</v>
      </c>
      <c r="D89" s="5" t="str">
        <f ca="1">IFERROR(__xludf.DUMMYFUNCTION("""COMPUTED_VALUE"""),"Técnico 3")</f>
        <v>Técnico 3</v>
      </c>
      <c r="E89" s="5" t="str">
        <f ca="1">IFERROR(__xludf.DUMMYFUNCTION("""COMPUTED_VALUE"""),"MANTENIMIENTO MAQUINAREA")</f>
        <v>MANTENIMIENTO MAQUINAREA</v>
      </c>
    </row>
    <row r="90" spans="1:5">
      <c r="A90" s="5" t="str">
        <f ca="1">IFERROR(__xludf.DUMMYFUNCTION("""COMPUTED_VALUE"""),"CAPACITACION BPM")</f>
        <v>CAPACITACION BPM</v>
      </c>
      <c r="B90" s="5">
        <f ca="1">IFERROR(__xludf.DUMMYFUNCTION("""COMPUTED_VALUE"""),1130624327)</f>
        <v>1130624327</v>
      </c>
      <c r="C90" s="5" t="str">
        <f ca="1">IFERROR(__xludf.DUMMYFUNCTION("""COMPUTED_VALUE"""),"JULIAN CALDERON")</f>
        <v>JULIAN CALDERON</v>
      </c>
      <c r="D90" s="5" t="str">
        <f ca="1">IFERROR(__xludf.DUMMYFUNCTION("""COMPUTED_VALUE"""),"Técnico 3")</f>
        <v>Técnico 3</v>
      </c>
      <c r="E90" s="5" t="str">
        <f ca="1">IFERROR(__xludf.DUMMYFUNCTION("""COMPUTED_VALUE"""),"MANTENIMIENTO MAQUINAREA")</f>
        <v>MANTENIMIENTO MAQUINAREA</v>
      </c>
    </row>
    <row r="91" spans="1:5">
      <c r="A91" s="5" t="str">
        <f ca="1">IFERROR(__xludf.DUMMYFUNCTION("""COMPUTED_VALUE"""),"CIRCULAR 180-0021-2023")</f>
        <v>CIRCULAR 180-0021-2023</v>
      </c>
      <c r="B91" s="5">
        <f ca="1">IFERROR(__xludf.DUMMYFUNCTION("""COMPUTED_VALUE"""),79493644)</f>
        <v>79493644</v>
      </c>
      <c r="C91" s="5" t="str">
        <f ca="1">IFERROR(__xludf.DUMMYFUNCTION("""COMPUTED_VALUE"""),"CARLOS A MARTINEZ")</f>
        <v>CARLOS A MARTINEZ</v>
      </c>
      <c r="D91" s="5" t="str">
        <f ca="1">IFERROR(__xludf.DUMMYFUNCTION("""COMPUTED_VALUE"""),"tecnico3")</f>
        <v>tecnico3</v>
      </c>
      <c r="E91" s="5" t="str">
        <f ca="1">IFERROR(__xludf.DUMMYFUNCTION("""COMPUTED_VALUE"""),"MANTENIMIENTO MAQUINAREA")</f>
        <v>MANTENIMIENTO MAQUINAREA</v>
      </c>
    </row>
    <row r="92" spans="1:5">
      <c r="A92" s="5" t="str">
        <f ca="1">IFERROR(__xludf.DUMMYFUNCTION("""COMPUTED_VALUE"""),"CAPACITACIÓN LECTURA DE PLANOS KRONES")</f>
        <v>CAPACITACIÓN LECTURA DE PLANOS KRONES</v>
      </c>
      <c r="B92" s="5">
        <f ca="1">IFERROR(__xludf.DUMMYFUNCTION("""COMPUTED_VALUE"""),1151940372)</f>
        <v>1151940372</v>
      </c>
      <c r="C92" s="5" t="str">
        <f ca="1">IFERROR(__xludf.DUMMYFUNCTION("""COMPUTED_VALUE"""),"HELMER QUISCUALTUD")</f>
        <v>HELMER QUISCUALTUD</v>
      </c>
      <c r="D92" s="5" t="str">
        <f ca="1">IFERROR(__xludf.DUMMYFUNCTION("""COMPUTED_VALUE"""),"supervisor")</f>
        <v>supervisor</v>
      </c>
      <c r="E92" s="5" t="str">
        <f ca="1">IFERROR(__xludf.DUMMYFUNCTION("""COMPUTED_VALUE"""),"MANTENIMIENTO MAQUINAREA")</f>
        <v>MANTENIMIENTO MAQUINAREA</v>
      </c>
    </row>
    <row r="93" spans="1:5">
      <c r="A93" s="5" t="str">
        <f ca="1">IFERROR(__xludf.DUMMYFUNCTION("""COMPUTED_VALUE"""),"CAPACITACIÓN LECTURA DE PLANOS KRONES")</f>
        <v>CAPACITACIÓN LECTURA DE PLANOS KRONES</v>
      </c>
      <c r="B93" s="5">
        <f ca="1">IFERROR(__xludf.DUMMYFUNCTION("""COMPUTED_VALUE"""),1144161531)</f>
        <v>1144161531</v>
      </c>
      <c r="C93" s="5" t="str">
        <f ca="1">IFERROR(__xludf.DUMMYFUNCTION("""COMPUTED_VALUE"""),"Jonathan Rodríguez flor ")</f>
        <v xml:space="preserve">Jonathan Rodríguez flor </v>
      </c>
      <c r="D93" s="5" t="str">
        <f ca="1">IFERROR(__xludf.DUMMYFUNCTION("""COMPUTED_VALUE"""),"Técnico 3")</f>
        <v>Técnico 3</v>
      </c>
      <c r="E93" s="5" t="str">
        <f ca="1">IFERROR(__xludf.DUMMYFUNCTION("""COMPUTED_VALUE"""),"PRODUCCION")</f>
        <v>PRODUCCION</v>
      </c>
    </row>
    <row r="94" spans="1:5">
      <c r="A94" s="5" t="str">
        <f ca="1">IFERROR(__xludf.DUMMYFUNCTION("""COMPUTED_VALUE"""),"CAPACITACIÓN LECTURA DE PLANOS KRONES")</f>
        <v>CAPACITACIÓN LECTURA DE PLANOS KRONES</v>
      </c>
      <c r="B94" s="5">
        <f ca="1">IFERROR(__xludf.DUMMYFUNCTION("""COMPUTED_VALUE"""),94482460)</f>
        <v>94482460</v>
      </c>
      <c r="C94" s="5" t="str">
        <f ca="1">IFERROR(__xludf.DUMMYFUNCTION("""COMPUTED_VALUE"""),"MIGUEL GUZMÁN")</f>
        <v>MIGUEL GUZMÁN</v>
      </c>
      <c r="D94" s="5" t="str">
        <f ca="1">IFERROR(__xludf.DUMMYFUNCTION("""COMPUTED_VALUE"""),"TecnicoIII")</f>
        <v>TecnicoIII</v>
      </c>
      <c r="E94" s="5" t="str">
        <f ca="1">IFERROR(__xludf.DUMMYFUNCTION("""COMPUTED_VALUE"""),"MANTENIMIENTO MAQUINAREA")</f>
        <v>MANTENIMIENTO MAQUINAREA</v>
      </c>
    </row>
    <row r="95" spans="1:5">
      <c r="A95" s="5" t="str">
        <f ca="1">IFERROR(__xludf.DUMMYFUNCTION("""COMPUTED_VALUE"""),"USO DEL APLICATIVO MTTO")</f>
        <v>USO DEL APLICATIVO MTTO</v>
      </c>
      <c r="B95" s="5">
        <f ca="1">IFERROR(__xludf.DUMMYFUNCTION("""COMPUTED_VALUE"""),16928059)</f>
        <v>16928059</v>
      </c>
      <c r="C95" s="5" t="str">
        <f ca="1">IFERROR(__xludf.DUMMYFUNCTION("""COMPUTED_VALUE"""),"Julián Fernando Arce Hurtado ")</f>
        <v xml:space="preserve">Julián Fernando Arce Hurtado </v>
      </c>
      <c r="D95" s="5" t="str">
        <f ca="1">IFERROR(__xludf.DUMMYFUNCTION("""COMPUTED_VALUE"""),"Técnico III ")</f>
        <v xml:space="preserve">Técnico III </v>
      </c>
      <c r="E95" s="5" t="str">
        <f ca="1">IFERROR(__xludf.DUMMYFUNCTION("""COMPUTED_VALUE"""),"PRODUCCION")</f>
        <v>PRODUCCION</v>
      </c>
    </row>
    <row r="96" spans="1:5">
      <c r="A96" s="5" t="str">
        <f ca="1">IFERROR(__xludf.DUMMYFUNCTION("""COMPUTED_VALUE"""),"ACTUALIZACIÓN DE M2 CAM")</f>
        <v>ACTUALIZACIÓN DE M2 CAM</v>
      </c>
      <c r="B96" s="5">
        <f ca="1">IFERROR(__xludf.DUMMYFUNCTION("""COMPUTED_VALUE"""),1107084842)</f>
        <v>1107084842</v>
      </c>
      <c r="C96" s="5" t="str">
        <f ca="1">IFERROR(__xludf.DUMMYFUNCTION("""COMPUTED_VALUE"""),"Ferney Orlando Ramos Aullon")</f>
        <v>Ferney Orlando Ramos Aullon</v>
      </c>
      <c r="D96" s="5" t="str">
        <f ca="1">IFERROR(__xludf.DUMMYFUNCTION("""COMPUTED_VALUE"""),"Técnico 3")</f>
        <v>Técnico 3</v>
      </c>
      <c r="E96" s="5" t="str">
        <f ca="1">IFERROR(__xludf.DUMMYFUNCTION("""COMPUTED_VALUE"""),"PRODUCCION")</f>
        <v>PRODUCCION</v>
      </c>
    </row>
    <row r="97" spans="1:5">
      <c r="A97" s="5" t="str">
        <f ca="1">IFERROR(__xludf.DUMMYFUNCTION("""COMPUTED_VALUE"""),"USO DEL APLICATIVO MTTO")</f>
        <v>USO DEL APLICATIVO MTTO</v>
      </c>
      <c r="B97" s="5">
        <f ca="1">IFERROR(__xludf.DUMMYFUNCTION("""COMPUTED_VALUE"""),1107084842)</f>
        <v>1107084842</v>
      </c>
      <c r="C97" s="5" t="str">
        <f ca="1">IFERROR(__xludf.DUMMYFUNCTION("""COMPUTED_VALUE"""),"Ferney Orlando Ramos Aullon")</f>
        <v>Ferney Orlando Ramos Aullon</v>
      </c>
      <c r="D97" s="5" t="str">
        <f ca="1">IFERROR(__xludf.DUMMYFUNCTION("""COMPUTED_VALUE"""),"Técnico 3")</f>
        <v>Técnico 3</v>
      </c>
      <c r="E97" s="5" t="str">
        <f ca="1">IFERROR(__xludf.DUMMYFUNCTION("""COMPUTED_VALUE"""),"PRODUCCION")</f>
        <v>PRODUCCION</v>
      </c>
    </row>
    <row r="98" spans="1:5">
      <c r="A98" s="5" t="str">
        <f ca="1">IFERROR(__xludf.DUMMYFUNCTION("""COMPUTED_VALUE"""),"Portafolio de Beneficios")</f>
        <v>Portafolio de Beneficios</v>
      </c>
      <c r="B98" s="5">
        <f ca="1">IFERROR(__xludf.DUMMYFUNCTION("""COMPUTED_VALUE"""),94453351)</f>
        <v>94453351</v>
      </c>
      <c r="C98" s="5" t="str">
        <f ca="1">IFERROR(__xludf.DUMMYFUNCTION("""COMPUTED_VALUE"""),"RAUL LOPEZ")</f>
        <v>RAUL LOPEZ</v>
      </c>
      <c r="D98" s="5" t="str">
        <f ca="1">IFERROR(__xludf.DUMMYFUNCTION("""COMPUTED_VALUE"""),"Tec 3 de mtto ")</f>
        <v xml:space="preserve">Tec 3 de mtto </v>
      </c>
      <c r="E98" s="5" t="str">
        <f ca="1">IFERROR(__xludf.DUMMYFUNCTION("""COMPUTED_VALUE"""),"MANTENIMIENTO MAQUINAREA")</f>
        <v>MANTENIMIENTO MAQUINAREA</v>
      </c>
    </row>
    <row r="99" spans="1:5">
      <c r="A99" s="5" t="str">
        <f ca="1">IFERROR(__xludf.DUMMYFUNCTION("""COMPUTED_VALUE"""),"CAPACITACIÓN LECTURA DE PLANOS KRONES")</f>
        <v>CAPACITACIÓN LECTURA DE PLANOS KRONES</v>
      </c>
      <c r="B99" s="5">
        <f ca="1">IFERROR(__xludf.DUMMYFUNCTION("""COMPUTED_VALUE"""),94453351)</f>
        <v>94453351</v>
      </c>
      <c r="C99" s="5" t="str">
        <f ca="1">IFERROR(__xludf.DUMMYFUNCTION("""COMPUTED_VALUE"""),"RAUL LOPEZ")</f>
        <v>RAUL LOPEZ</v>
      </c>
      <c r="D99" s="5" t="str">
        <f ca="1">IFERROR(__xludf.DUMMYFUNCTION("""COMPUTED_VALUE"""),"Tec 3 mtto")</f>
        <v>Tec 3 mtto</v>
      </c>
      <c r="E99" s="5" t="str">
        <f ca="1">IFERROR(__xludf.DUMMYFUNCTION("""COMPUTED_VALUE"""),"MANTENIMIENTO MAQUINAREA")</f>
        <v>MANTENIMIENTO MAQUINAREA</v>
      </c>
    </row>
    <row r="100" spans="1:5">
      <c r="A100" s="5" t="str">
        <f ca="1">IFERROR(__xludf.DUMMYFUNCTION("""COMPUTED_VALUE"""),"ACTUALIZACIÓN DE M2 CAM")</f>
        <v>ACTUALIZACIÓN DE M2 CAM</v>
      </c>
      <c r="B100" s="5">
        <f ca="1">IFERROR(__xludf.DUMMYFUNCTION("""COMPUTED_VALUE"""),94453351)</f>
        <v>94453351</v>
      </c>
      <c r="C100" s="5" t="str">
        <f ca="1">IFERROR(__xludf.DUMMYFUNCTION("""COMPUTED_VALUE"""),"RAUL LOPEZ")</f>
        <v>RAUL LOPEZ</v>
      </c>
      <c r="D100" s="5" t="str">
        <f ca="1">IFERROR(__xludf.DUMMYFUNCTION("""COMPUTED_VALUE"""),"Tec 3 mtto ")</f>
        <v xml:space="preserve">Tec 3 mtto </v>
      </c>
      <c r="E100" s="5" t="str">
        <f ca="1">IFERROR(__xludf.DUMMYFUNCTION("""COMPUTED_VALUE"""),"MANTENIMIENTO MAQUINAREA")</f>
        <v>MANTENIMIENTO MAQUINAREA</v>
      </c>
    </row>
    <row r="101" spans="1:5">
      <c r="A101" s="5" t="str">
        <f ca="1">IFERROR(__xludf.DUMMYFUNCTION("""COMPUTED_VALUE"""),"Portafolio de Beneficios")</f>
        <v>Portafolio de Beneficios</v>
      </c>
      <c r="B101" s="5">
        <f ca="1">IFERROR(__xludf.DUMMYFUNCTION("""COMPUTED_VALUE"""),94063517)</f>
        <v>94063517</v>
      </c>
      <c r="C101" s="5" t="str">
        <f ca="1">IFERROR(__xludf.DUMMYFUNCTION("""COMPUTED_VALUE"""),"GUIDO PAPAMIJA")</f>
        <v>GUIDO PAPAMIJA</v>
      </c>
      <c r="D101" s="5" t="str">
        <f ca="1">IFERROR(__xludf.DUMMYFUNCTION("""COMPUTED_VALUE"""),"Técnico 3 ")</f>
        <v xml:space="preserve">Técnico 3 </v>
      </c>
      <c r="E101" s="5" t="str">
        <f ca="1">IFERROR(__xludf.DUMMYFUNCTION("""COMPUTED_VALUE"""),"MANTENIMIENTO MAQUINAREA")</f>
        <v>MANTENIMIENTO MAQUINAREA</v>
      </c>
    </row>
    <row r="102" spans="1:5">
      <c r="A102" s="5" t="str">
        <f ca="1">IFERROR(__xludf.DUMMYFUNCTION("""COMPUTED_VALUE"""),"CAPACITACIÓN LECTURA DE PLANOS KRONES")</f>
        <v>CAPACITACIÓN LECTURA DE PLANOS KRONES</v>
      </c>
      <c r="B102" s="5">
        <f ca="1">IFERROR(__xludf.DUMMYFUNCTION("""COMPUTED_VALUE"""),94063517)</f>
        <v>94063517</v>
      </c>
      <c r="C102" s="5" t="str">
        <f ca="1">IFERROR(__xludf.DUMMYFUNCTION("""COMPUTED_VALUE"""),"GUIDO PAPAMIJA")</f>
        <v>GUIDO PAPAMIJA</v>
      </c>
      <c r="D102" s="5" t="str">
        <f ca="1">IFERROR(__xludf.DUMMYFUNCTION("""COMPUTED_VALUE"""),"Técnico 3 ")</f>
        <v xml:space="preserve">Técnico 3 </v>
      </c>
      <c r="E102" s="5" t="str">
        <f ca="1">IFERROR(__xludf.DUMMYFUNCTION("""COMPUTED_VALUE"""),"MANTENIMIENTO MAQUINAREA")</f>
        <v>MANTENIMIENTO MAQUINAREA</v>
      </c>
    </row>
    <row r="103" spans="1:5">
      <c r="A103" s="5" t="str">
        <f ca="1">IFERROR(__xludf.DUMMYFUNCTION("""COMPUTED_VALUE"""),"CIRCULAR 180-0021-2023")</f>
        <v>CIRCULAR 180-0021-2023</v>
      </c>
      <c r="B103" s="5">
        <f ca="1">IFERROR(__xludf.DUMMYFUNCTION("""COMPUTED_VALUE"""),94063517)</f>
        <v>94063517</v>
      </c>
      <c r="C103" s="5" t="str">
        <f ca="1">IFERROR(__xludf.DUMMYFUNCTION("""COMPUTED_VALUE"""),"GUIDO PAPAMIJA")</f>
        <v>GUIDO PAPAMIJA</v>
      </c>
      <c r="D103" s="5" t="str">
        <f ca="1">IFERROR(__xludf.DUMMYFUNCTION("""COMPUTED_VALUE"""),"Técnico 3 ")</f>
        <v xml:space="preserve">Técnico 3 </v>
      </c>
      <c r="E103" s="5" t="str">
        <f ca="1">IFERROR(__xludf.DUMMYFUNCTION("""COMPUTED_VALUE"""),"MANTENIMIENTO MAQUINAREA")</f>
        <v>MANTENIMIENTO MAQUINAREA</v>
      </c>
    </row>
    <row r="104" spans="1:5">
      <c r="A104" s="5" t="str">
        <f ca="1">IFERROR(__xludf.DUMMYFUNCTION("""COMPUTED_VALUE"""),"ACTUALIZACIÓN 
FORMATO 
PRESIÓN POSITIVA")</f>
        <v>ACTUALIZACIÓN 
FORMATO 
PRESIÓN POSITIVA</v>
      </c>
      <c r="B104" s="5">
        <f ca="1">IFERROR(__xludf.DUMMYFUNCTION("""COMPUTED_VALUE"""),94063517)</f>
        <v>94063517</v>
      </c>
      <c r="C104" s="5" t="str">
        <f ca="1">IFERROR(__xludf.DUMMYFUNCTION("""COMPUTED_VALUE"""),"GUIDO PAPAMIJA")</f>
        <v>GUIDO PAPAMIJA</v>
      </c>
      <c r="D104" s="5" t="str">
        <f ca="1">IFERROR(__xludf.DUMMYFUNCTION("""COMPUTED_VALUE"""),"Técnico 3 ")</f>
        <v xml:space="preserve">Técnico 3 </v>
      </c>
      <c r="E104" s="5" t="str">
        <f ca="1">IFERROR(__xludf.DUMMYFUNCTION("""COMPUTED_VALUE"""),"MANTENIMIENTO MAQUINAREA")</f>
        <v>MANTENIMIENTO MAQUINAREA</v>
      </c>
    </row>
    <row r="105" spans="1:5">
      <c r="A105" s="5" t="str">
        <f ca="1">IFERROR(__xludf.DUMMYFUNCTION("""COMPUTED_VALUE"""),"USO DEL APLICATIVO MTTO")</f>
        <v>USO DEL APLICATIVO MTTO</v>
      </c>
      <c r="B105" s="5">
        <f ca="1">IFERROR(__xludf.DUMMYFUNCTION("""COMPUTED_VALUE"""),94063517)</f>
        <v>94063517</v>
      </c>
      <c r="C105" s="5" t="str">
        <f ca="1">IFERROR(__xludf.DUMMYFUNCTION("""COMPUTED_VALUE"""),"GUIDO PAPAMIJA")</f>
        <v>GUIDO PAPAMIJA</v>
      </c>
      <c r="D105" s="5" t="str">
        <f ca="1">IFERROR(__xludf.DUMMYFUNCTION("""COMPUTED_VALUE"""),"Técnico 3 ")</f>
        <v xml:space="preserve">Técnico 3 </v>
      </c>
      <c r="E105" s="5" t="str">
        <f ca="1">IFERROR(__xludf.DUMMYFUNCTION("""COMPUTED_VALUE"""),"MANTENIMIENTO MAQUINAREA")</f>
        <v>MANTENIMIENTO MAQUINAREA</v>
      </c>
    </row>
    <row r="106" spans="1:5">
      <c r="A106" s="5" t="str">
        <f ca="1">IFERROR(__xludf.DUMMYFUNCTION("""COMPUTED_VALUE"""),"CIRCULAR 180-0008-2023")</f>
        <v>CIRCULAR 180-0008-2023</v>
      </c>
      <c r="B106" s="5">
        <f ca="1">IFERROR(__xludf.DUMMYFUNCTION("""COMPUTED_VALUE"""),94063517)</f>
        <v>94063517</v>
      </c>
      <c r="C106" s="5" t="str">
        <f ca="1">IFERROR(__xludf.DUMMYFUNCTION("""COMPUTED_VALUE"""),"GUIDO PAPAMIJA")</f>
        <v>GUIDO PAPAMIJA</v>
      </c>
      <c r="D106" s="5" t="str">
        <f ca="1">IFERROR(__xludf.DUMMYFUNCTION("""COMPUTED_VALUE"""),"Técnico 3 ")</f>
        <v xml:space="preserve">Técnico 3 </v>
      </c>
      <c r="E106" s="5" t="str">
        <f ca="1">IFERROR(__xludf.DUMMYFUNCTION("""COMPUTED_VALUE"""),"MANTENIMIENTO MAQUINAREA")</f>
        <v>MANTENIMIENTO MAQUINAREA</v>
      </c>
    </row>
    <row r="107" spans="1:5">
      <c r="A107" s="5" t="str">
        <f ca="1">IFERROR(__xludf.DUMMYFUNCTION("""COMPUTED_VALUE"""),"CAPACITACION BPM")</f>
        <v>CAPACITACION BPM</v>
      </c>
      <c r="B107" s="5">
        <f ca="1">IFERROR(__xludf.DUMMYFUNCTION("""COMPUTED_VALUE"""),94063517)</f>
        <v>94063517</v>
      </c>
      <c r="C107" s="5" t="str">
        <f ca="1">IFERROR(__xludf.DUMMYFUNCTION("""COMPUTED_VALUE"""),"GUIDO PAPAMIJA")</f>
        <v>GUIDO PAPAMIJA</v>
      </c>
      <c r="D107" s="5" t="str">
        <f ca="1">IFERROR(__xludf.DUMMYFUNCTION("""COMPUTED_VALUE"""),"Técnico 3 ")</f>
        <v xml:space="preserve">Técnico 3 </v>
      </c>
      <c r="E107" s="5" t="str">
        <f ca="1">IFERROR(__xludf.DUMMYFUNCTION("""COMPUTED_VALUE"""),"MANTENIMIENTO MAQUINAREA")</f>
        <v>MANTENIMIENTO MAQUINAREA</v>
      </c>
    </row>
    <row r="108" spans="1:5">
      <c r="A108" s="5" t="str">
        <f ca="1">IFERROR(__xludf.DUMMYFUNCTION("""COMPUTED_VALUE"""),"Capacitación Red AS-i")</f>
        <v>Capacitación Red AS-i</v>
      </c>
      <c r="B108" s="5">
        <f ca="1">IFERROR(__xludf.DUMMYFUNCTION("""COMPUTED_VALUE"""),94063517)</f>
        <v>94063517</v>
      </c>
      <c r="C108" s="5" t="str">
        <f ca="1">IFERROR(__xludf.DUMMYFUNCTION("""COMPUTED_VALUE"""),"GUIDO PAPAMIJA")</f>
        <v>GUIDO PAPAMIJA</v>
      </c>
      <c r="D108" s="5" t="str">
        <f ca="1">IFERROR(__xludf.DUMMYFUNCTION("""COMPUTED_VALUE"""),"Técnico 3 ")</f>
        <v xml:space="preserve">Técnico 3 </v>
      </c>
      <c r="E108" s="5" t="str">
        <f ca="1">IFERROR(__xludf.DUMMYFUNCTION("""COMPUTED_VALUE"""),"MANTENIMIENTO MAQUINAREA")</f>
        <v>MANTENIMIENTO MAQUINAREA</v>
      </c>
    </row>
    <row r="109" spans="1:5">
      <c r="A109" s="5" t="str">
        <f ca="1">IFERROR(__xludf.DUMMYFUNCTION("""COMPUTED_VALUE"""),"Portafolio de Beneficios")</f>
        <v>Portafolio de Beneficios</v>
      </c>
      <c r="B109" s="5">
        <f ca="1">IFERROR(__xludf.DUMMYFUNCTION("""COMPUTED_VALUE"""),1061535068)</f>
        <v>1061535068</v>
      </c>
      <c r="C109" s="5" t="str">
        <f ca="1">IFERROR(__xludf.DUMMYFUNCTION("""COMPUTED_VALUE"""),"JEFERSON MUÑOZ")</f>
        <v>JEFERSON MUÑOZ</v>
      </c>
      <c r="D109" s="5" t="str">
        <f ca="1">IFERROR(__xludf.DUMMYFUNCTION("""COMPUTED_VALUE"""),"tecnico 3")</f>
        <v>tecnico 3</v>
      </c>
      <c r="E109" s="5" t="str">
        <f ca="1">IFERROR(__xludf.DUMMYFUNCTION("""COMPUTED_VALUE"""),"MANTENIMIENTO MAQUINAREA")</f>
        <v>MANTENIMIENTO MAQUINAREA</v>
      </c>
    </row>
    <row r="110" spans="1:5">
      <c r="A110" s="5" t="str">
        <f ca="1">IFERROR(__xludf.DUMMYFUNCTION("""COMPUTED_VALUE"""),"Habilitación de terminal para m2 línea 1")</f>
        <v>Habilitación de terminal para m2 línea 1</v>
      </c>
      <c r="B110" s="5">
        <f ca="1">IFERROR(__xludf.DUMMYFUNCTION("""COMPUTED_VALUE"""),1113692667)</f>
        <v>1113692667</v>
      </c>
      <c r="C110" s="5" t="str">
        <f ca="1">IFERROR(__xludf.DUMMYFUNCTION("""COMPUTED_VALUE"""),"Stiven Ferney Quintero Diaz ")</f>
        <v xml:space="preserve">Stiven Ferney Quintero Diaz </v>
      </c>
      <c r="D110" s="5" t="str">
        <f ca="1">IFERROR(__xludf.DUMMYFUNCTION("""COMPUTED_VALUE"""),"Aprendiz ")</f>
        <v xml:space="preserve">Aprendiz </v>
      </c>
      <c r="E110" s="5" t="str">
        <f ca="1">IFERROR(__xludf.DUMMYFUNCTION("""COMPUTED_VALUE"""),"MANTENIMIENTO MAQUINAREA")</f>
        <v>MANTENIMIENTO MAQUINAREA</v>
      </c>
    </row>
    <row r="111" spans="1:5">
      <c r="A111" s="5" t="str">
        <f ca="1">IFERROR(__xludf.DUMMYFUNCTION("""COMPUTED_VALUE"""),"Habilitación de terminal para m2 línea 1")</f>
        <v>Habilitación de terminal para m2 línea 1</v>
      </c>
      <c r="B111" s="5">
        <f ca="1">IFERROR(__xludf.DUMMYFUNCTION("""COMPUTED_VALUE"""),1010136690)</f>
        <v>1010136690</v>
      </c>
      <c r="C111" s="5" t="str">
        <f ca="1">IFERROR(__xludf.DUMMYFUNCTION("""COMPUTED_VALUE"""),"Aura María Correa Rendón ")</f>
        <v xml:space="preserve">Aura María Correa Rendón </v>
      </c>
      <c r="D111" s="5" t="str">
        <f ca="1">IFERROR(__xludf.DUMMYFUNCTION("""COMPUTED_VALUE"""),"Practicante ")</f>
        <v xml:space="preserve">Practicante </v>
      </c>
      <c r="E111" s="5" t="str">
        <f ca="1">IFERROR(__xludf.DUMMYFUNCTION("""COMPUTED_VALUE"""),"MANTENIMIENTO MAQUINAREA")</f>
        <v>MANTENIMIENTO MAQUINAREA</v>
      </c>
    </row>
    <row r="112" spans="1:5">
      <c r="A112" s="5" t="str">
        <f ca="1">IFERROR(__xludf.DUMMYFUNCTION("""COMPUTED_VALUE"""),"Habilitación de terminal para m2 línea 1")</f>
        <v>Habilitación de terminal para m2 línea 1</v>
      </c>
      <c r="B112" s="5">
        <f ca="1">IFERROR(__xludf.DUMMYFUNCTION("""COMPUTED_VALUE"""),1130683738)</f>
        <v>1130683738</v>
      </c>
      <c r="C112" s="5" t="str">
        <f ca="1">IFERROR(__xludf.DUMMYFUNCTION("""COMPUTED_VALUE"""),"LEON NARVAEZ ANDRES FELIPE")</f>
        <v>LEON NARVAEZ ANDRES FELIPE</v>
      </c>
      <c r="D112" s="5" t="str">
        <f ca="1">IFERROR(__xludf.DUMMYFUNCTION("""COMPUTED_VALUE"""),"Técnico 3")</f>
        <v>Técnico 3</v>
      </c>
      <c r="E112" s="5" t="str">
        <f ca="1">IFERROR(__xludf.DUMMYFUNCTION("""COMPUTED_VALUE"""),"PRODUCCION")</f>
        <v>PRODUCCION</v>
      </c>
    </row>
    <row r="113" spans="1:5">
      <c r="A113" s="5" t="str">
        <f ca="1">IFERROR(__xludf.DUMMYFUNCTION("""COMPUTED_VALUE"""),"ACTUALIZACIÓN DE M2 CAM")</f>
        <v>ACTUALIZACIÓN DE M2 CAM</v>
      </c>
      <c r="B113" s="5">
        <f ca="1">IFERROR(__xludf.DUMMYFUNCTION("""COMPUTED_VALUE"""),1107084842)</f>
        <v>1107084842</v>
      </c>
      <c r="C113" s="5" t="str">
        <f ca="1">IFERROR(__xludf.DUMMYFUNCTION("""COMPUTED_VALUE"""),"Ferney Orlando Ramos Aullon")</f>
        <v>Ferney Orlando Ramos Aullon</v>
      </c>
      <c r="D113" s="5" t="str">
        <f ca="1">IFERROR(__xludf.DUMMYFUNCTION("""COMPUTED_VALUE"""),"Técnico 3")</f>
        <v>Técnico 3</v>
      </c>
      <c r="E113" s="5" t="str">
        <f ca="1">IFERROR(__xludf.DUMMYFUNCTION("""COMPUTED_VALUE"""),"PRODUCCION")</f>
        <v>PRODUCCION</v>
      </c>
    </row>
    <row r="114" spans="1:5">
      <c r="A114" s="5" t="str">
        <f ca="1">IFERROR(__xludf.DUMMYFUNCTION("""COMPUTED_VALUE"""),"CIRCULAR 180-0021-2023")</f>
        <v>CIRCULAR 180-0021-2023</v>
      </c>
      <c r="B114" s="5">
        <f ca="1">IFERROR(__xludf.DUMMYFUNCTION("""COMPUTED_VALUE"""),16459044)</f>
        <v>16459044</v>
      </c>
      <c r="C114" s="5" t="str">
        <f ca="1">IFERROR(__xludf.DUMMYFUNCTION("""COMPUTED_VALUE"""),"JHON F JIMENEZ")</f>
        <v>JHON F JIMENEZ</v>
      </c>
      <c r="D114" s="5" t="str">
        <f ca="1">IFERROR(__xludf.DUMMYFUNCTION("""COMPUTED_VALUE"""),"Técnico 3 ")</f>
        <v xml:space="preserve">Técnico 3 </v>
      </c>
      <c r="E114" s="5" t="str">
        <f ca="1">IFERROR(__xludf.DUMMYFUNCTION("""COMPUTED_VALUE"""),"MANTENIMIENTO MAQUINAREA")</f>
        <v>MANTENIMIENTO MAQUINAREA</v>
      </c>
    </row>
    <row r="115" spans="1:5">
      <c r="A115" s="5" t="str">
        <f ca="1">IFERROR(__xludf.DUMMYFUNCTION("""COMPUTED_VALUE"""),"CAPACITACION BPM")</f>
        <v>CAPACITACION BPM</v>
      </c>
      <c r="B115" s="5">
        <f ca="1">IFERROR(__xludf.DUMMYFUNCTION("""COMPUTED_VALUE"""),16459044)</f>
        <v>16459044</v>
      </c>
      <c r="C115" s="5" t="str">
        <f ca="1">IFERROR(__xludf.DUMMYFUNCTION("""COMPUTED_VALUE"""),"JHON F JIMENEZ")</f>
        <v>JHON F JIMENEZ</v>
      </c>
      <c r="D115" s="5" t="str">
        <f ca="1">IFERROR(__xludf.DUMMYFUNCTION("""COMPUTED_VALUE"""),"Técnico 3")</f>
        <v>Técnico 3</v>
      </c>
      <c r="E115" s="5" t="str">
        <f ca="1">IFERROR(__xludf.DUMMYFUNCTION("""COMPUTED_VALUE"""),"MANTENIMIENTO MAQUINAREA")</f>
        <v>MANTENIMIENTO MAQUINAREA</v>
      </c>
    </row>
    <row r="116" spans="1:5">
      <c r="A116" s="5" t="str">
        <f ca="1">IFERROR(__xludf.DUMMYFUNCTION("""COMPUTED_VALUE"""),"USO DEL APLICATIVO MTTO")</f>
        <v>USO DEL APLICATIVO MTTO</v>
      </c>
      <c r="B116" s="5">
        <f ca="1">IFERROR(__xludf.DUMMYFUNCTION("""COMPUTED_VALUE"""),16459044)</f>
        <v>16459044</v>
      </c>
      <c r="C116" s="5" t="str">
        <f ca="1">IFERROR(__xludf.DUMMYFUNCTION("""COMPUTED_VALUE"""),"JHON F JIMENEZ")</f>
        <v>JHON F JIMENEZ</v>
      </c>
      <c r="D116" s="5" t="str">
        <f ca="1">IFERROR(__xludf.DUMMYFUNCTION("""COMPUTED_VALUE"""),"Técnico 3")</f>
        <v>Técnico 3</v>
      </c>
      <c r="E116" s="5" t="str">
        <f ca="1">IFERROR(__xludf.DUMMYFUNCTION("""COMPUTED_VALUE"""),"MANTENIMIENTO MAQUINAREA")</f>
        <v>MANTENIMIENTO MAQUINAREA</v>
      </c>
    </row>
    <row r="117" spans="1:5">
      <c r="A117" s="5" t="str">
        <f ca="1">IFERROR(__xludf.DUMMYFUNCTION("""COMPUTED_VALUE"""),"Portafolio de Beneficios")</f>
        <v>Portafolio de Beneficios</v>
      </c>
      <c r="B117" s="5">
        <f ca="1">IFERROR(__xludf.DUMMYFUNCTION("""COMPUTED_VALUE"""),16459044)</f>
        <v>16459044</v>
      </c>
      <c r="C117" s="5" t="str">
        <f ca="1">IFERROR(__xludf.DUMMYFUNCTION("""COMPUTED_VALUE"""),"JHON F JIMENEZ")</f>
        <v>JHON F JIMENEZ</v>
      </c>
      <c r="D117" s="5" t="str">
        <f ca="1">IFERROR(__xludf.DUMMYFUNCTION("""COMPUTED_VALUE"""),"Técnico 3")</f>
        <v>Técnico 3</v>
      </c>
      <c r="E117" s="5" t="str">
        <f ca="1">IFERROR(__xludf.DUMMYFUNCTION("""COMPUTED_VALUE"""),"MANTENIMIENTO MAQUINAREA")</f>
        <v>MANTENIMIENTO MAQUINAREA</v>
      </c>
    </row>
    <row r="118" spans="1:5">
      <c r="A118" s="5" t="str">
        <f ca="1">IFERROR(__xludf.DUMMYFUNCTION("""COMPUTED_VALUE"""),"Habilitación de terminal para m2 línea 1")</f>
        <v>Habilitación de terminal para m2 línea 1</v>
      </c>
      <c r="B118" s="5">
        <f ca="1">IFERROR(__xludf.DUMMYFUNCTION("""COMPUTED_VALUE"""),1061535068)</f>
        <v>1061535068</v>
      </c>
      <c r="C118" s="5" t="str">
        <f ca="1">IFERROR(__xludf.DUMMYFUNCTION("""COMPUTED_VALUE"""),"JEFERSON MUÑOZ")</f>
        <v>JEFERSON MUÑOZ</v>
      </c>
      <c r="D118" s="5" t="str">
        <f ca="1">IFERROR(__xludf.DUMMYFUNCTION("""COMPUTED_VALUE"""),"tecnico 3")</f>
        <v>tecnico 3</v>
      </c>
      <c r="E118" s="5" t="str">
        <f ca="1">IFERROR(__xludf.DUMMYFUNCTION("""COMPUTED_VALUE"""),"MANTENIMIENTO MAQUINAREA")</f>
        <v>MANTENIMIENTO MAQUINAREA</v>
      </c>
    </row>
    <row r="119" spans="1:5">
      <c r="A119" s="5" t="str">
        <f ca="1">IFERROR(__xludf.DUMMYFUNCTION("""COMPUTED_VALUE"""),"CAPACITACIÓN LECTURA DE PLANOS KRONES")</f>
        <v>CAPACITACIÓN LECTURA DE PLANOS KRONES</v>
      </c>
      <c r="B119" s="5">
        <f ca="1">IFERROR(__xludf.DUMMYFUNCTION("""COMPUTED_VALUE"""),1061535068)</f>
        <v>1061535068</v>
      </c>
      <c r="C119" s="5" t="str">
        <f ca="1">IFERROR(__xludf.DUMMYFUNCTION("""COMPUTED_VALUE"""),"JEFERSON MUÑOZ")</f>
        <v>JEFERSON MUÑOZ</v>
      </c>
      <c r="D119" s="5" t="str">
        <f ca="1">IFERROR(__xludf.DUMMYFUNCTION("""COMPUTED_VALUE"""),"tecnico 3")</f>
        <v>tecnico 3</v>
      </c>
      <c r="E119" s="5" t="str">
        <f ca="1">IFERROR(__xludf.DUMMYFUNCTION("""COMPUTED_VALUE"""),"MANTENIMIENTO MAQUINAREA")</f>
        <v>MANTENIMIENTO MAQUINAREA</v>
      </c>
    </row>
    <row r="120" spans="1:5">
      <c r="A120" s="5" t="str">
        <f ca="1">IFERROR(__xludf.DUMMYFUNCTION("""COMPUTED_VALUE"""),"CIRCULAR 180-0021-2023")</f>
        <v>CIRCULAR 180-0021-2023</v>
      </c>
      <c r="B120" s="5">
        <f ca="1">IFERROR(__xludf.DUMMYFUNCTION("""COMPUTED_VALUE"""),1061535068)</f>
        <v>1061535068</v>
      </c>
      <c r="C120" s="5" t="str">
        <f ca="1">IFERROR(__xludf.DUMMYFUNCTION("""COMPUTED_VALUE"""),"JEFERSON MUÑOZ")</f>
        <v>JEFERSON MUÑOZ</v>
      </c>
      <c r="D120" s="5" t="str">
        <f ca="1">IFERROR(__xludf.DUMMYFUNCTION("""COMPUTED_VALUE"""),"tecnico 3")</f>
        <v>tecnico 3</v>
      </c>
      <c r="E120" s="5" t="str">
        <f ca="1">IFERROR(__xludf.DUMMYFUNCTION("""COMPUTED_VALUE"""),"MANTENIMIENTO MAQUINAREA")</f>
        <v>MANTENIMIENTO MAQUINAREA</v>
      </c>
    </row>
    <row r="121" spans="1:5">
      <c r="A121" s="5" t="str">
        <f ca="1">IFERROR(__xludf.DUMMYFUNCTION("""COMPUTED_VALUE"""),"USO DEL APLICATIVO MTTO")</f>
        <v>USO DEL APLICATIVO MTTO</v>
      </c>
      <c r="B121" s="5">
        <f ca="1">IFERROR(__xludf.DUMMYFUNCTION("""COMPUTED_VALUE"""),1061535068)</f>
        <v>1061535068</v>
      </c>
      <c r="C121" s="5" t="str">
        <f ca="1">IFERROR(__xludf.DUMMYFUNCTION("""COMPUTED_VALUE"""),"JEFERSON MUÑOZ")</f>
        <v>JEFERSON MUÑOZ</v>
      </c>
      <c r="D121" s="5" t="str">
        <f ca="1">IFERROR(__xludf.DUMMYFUNCTION("""COMPUTED_VALUE"""),"tecnico 3")</f>
        <v>tecnico 3</v>
      </c>
      <c r="E121" s="5" t="str">
        <f ca="1">IFERROR(__xludf.DUMMYFUNCTION("""COMPUTED_VALUE"""),"MANTENIMIENTO MAQUINAREA")</f>
        <v>MANTENIMIENTO MAQUINAREA</v>
      </c>
    </row>
    <row r="122" spans="1:5">
      <c r="A122" s="5" t="str">
        <f ca="1">IFERROR(__xludf.DUMMYFUNCTION("""COMPUTED_VALUE"""),"ACTUALIZACIÓN 
FORMATO 
PRESIÓN POSITIVA")</f>
        <v>ACTUALIZACIÓN 
FORMATO 
PRESIÓN POSITIVA</v>
      </c>
      <c r="B122" s="5">
        <f ca="1">IFERROR(__xludf.DUMMYFUNCTION("""COMPUTED_VALUE"""),1061535068)</f>
        <v>1061535068</v>
      </c>
      <c r="C122" s="5" t="str">
        <f ca="1">IFERROR(__xludf.DUMMYFUNCTION("""COMPUTED_VALUE"""),"JEFERSON MUÑOZ")</f>
        <v>JEFERSON MUÑOZ</v>
      </c>
      <c r="D122" s="5" t="str">
        <f ca="1">IFERROR(__xludf.DUMMYFUNCTION("""COMPUTED_VALUE"""),"tecnico 3")</f>
        <v>tecnico 3</v>
      </c>
      <c r="E122" s="5" t="str">
        <f ca="1">IFERROR(__xludf.DUMMYFUNCTION("""COMPUTED_VALUE"""),"MANTENIMIENTO MAQUINAREA")</f>
        <v>MANTENIMIENTO MAQUINAREA</v>
      </c>
    </row>
    <row r="123" spans="1:5">
      <c r="A123" s="5" t="str">
        <f ca="1">IFERROR(__xludf.DUMMYFUNCTION("""COMPUTED_VALUE"""),"CIRCULAR 180-0008-2023")</f>
        <v>CIRCULAR 180-0008-2023</v>
      </c>
      <c r="B123" s="5">
        <f ca="1">IFERROR(__xludf.DUMMYFUNCTION("""COMPUTED_VALUE"""),1061535068)</f>
        <v>1061535068</v>
      </c>
      <c r="C123" s="5" t="str">
        <f ca="1">IFERROR(__xludf.DUMMYFUNCTION("""COMPUTED_VALUE"""),"JEFERSON MUÑOZ")</f>
        <v>JEFERSON MUÑOZ</v>
      </c>
      <c r="D123" s="5" t="str">
        <f ca="1">IFERROR(__xludf.DUMMYFUNCTION("""COMPUTED_VALUE"""),"tecnico 3")</f>
        <v>tecnico 3</v>
      </c>
      <c r="E123" s="5" t="str">
        <f ca="1">IFERROR(__xludf.DUMMYFUNCTION("""COMPUTED_VALUE"""),"MANTENIMIENTO MAQUINAREA")</f>
        <v>MANTENIMIENTO MAQUINAREA</v>
      </c>
    </row>
    <row r="124" spans="1:5">
      <c r="A124" s="5" t="str">
        <f ca="1">IFERROR(__xludf.DUMMYFUNCTION("""COMPUTED_VALUE"""),"CAPACITACION BPM")</f>
        <v>CAPACITACION BPM</v>
      </c>
      <c r="B124" s="5">
        <f ca="1">IFERROR(__xludf.DUMMYFUNCTION("""COMPUTED_VALUE"""),1061535068)</f>
        <v>1061535068</v>
      </c>
      <c r="C124" s="5" t="str">
        <f ca="1">IFERROR(__xludf.DUMMYFUNCTION("""COMPUTED_VALUE"""),"JEFERSON MUÑOZ")</f>
        <v>JEFERSON MUÑOZ</v>
      </c>
      <c r="D124" s="5" t="str">
        <f ca="1">IFERROR(__xludf.DUMMYFUNCTION("""COMPUTED_VALUE"""),"tecnic o 3")</f>
        <v>tecnic o 3</v>
      </c>
      <c r="E124" s="5" t="str">
        <f ca="1">IFERROR(__xludf.DUMMYFUNCTION("""COMPUTED_VALUE"""),"MANTENIMIENTO MAQUINAREA")</f>
        <v>MANTENIMIENTO MAQUINAREA</v>
      </c>
    </row>
    <row r="125" spans="1:5">
      <c r="A125" s="5" t="str">
        <f ca="1">IFERROR(__xludf.DUMMYFUNCTION("""COMPUTED_VALUE"""),"Habilitación de terminal para m2 línea 1")</f>
        <v>Habilitación de terminal para m2 línea 1</v>
      </c>
      <c r="B125" s="5">
        <f ca="1">IFERROR(__xludf.DUMMYFUNCTION("""COMPUTED_VALUE"""),94063517)</f>
        <v>94063517</v>
      </c>
      <c r="C125" s="5" t="str">
        <f ca="1">IFERROR(__xludf.DUMMYFUNCTION("""COMPUTED_VALUE"""),"GUIDO PAPAMIJA")</f>
        <v>GUIDO PAPAMIJA</v>
      </c>
      <c r="D125" s="5" t="str">
        <f ca="1">IFERROR(__xludf.DUMMYFUNCTION("""COMPUTED_VALUE"""),"Técnico 3 ")</f>
        <v xml:space="preserve">Técnico 3 </v>
      </c>
      <c r="E125" s="5" t="str">
        <f ca="1">IFERROR(__xludf.DUMMYFUNCTION("""COMPUTED_VALUE"""),"MANTENIMIENTO MAQUINAREA")</f>
        <v>MANTENIMIENTO MAQUINAREA</v>
      </c>
    </row>
    <row r="126" spans="1:5">
      <c r="A126" s="5" t="str">
        <f ca="1">IFERROR(__xludf.DUMMYFUNCTION("""COMPUTED_VALUE"""),"Portafolio de Beneficios")</f>
        <v>Portafolio de Beneficios</v>
      </c>
      <c r="B126" s="5">
        <f ca="1">IFERROR(__xludf.DUMMYFUNCTION("""COMPUTED_VALUE"""),94544767)</f>
        <v>94544767</v>
      </c>
      <c r="C126" s="5" t="str">
        <f ca="1">IFERROR(__xludf.DUMMYFUNCTION("""COMPUTED_VALUE"""),"WILMER GUTIERREZ")</f>
        <v>WILMER GUTIERREZ</v>
      </c>
      <c r="D126" s="5" t="str">
        <f ca="1">IFERROR(__xludf.DUMMYFUNCTION("""COMPUTED_VALUE"""),"Técnico 3")</f>
        <v>Técnico 3</v>
      </c>
      <c r="E126" s="5" t="str">
        <f ca="1">IFERROR(__xludf.DUMMYFUNCTION("""COMPUTED_VALUE"""),"MANTENIMIENTO MAQUINAREA")</f>
        <v>MANTENIMIENTO MAQUINAREA</v>
      </c>
    </row>
    <row r="127" spans="1:5">
      <c r="A127" s="5" t="str">
        <f ca="1">IFERROR(__xludf.DUMMYFUNCTION("""COMPUTED_VALUE"""),"CAPACITACIÓN LECTURA DE PLANOS KRONES")</f>
        <v>CAPACITACIÓN LECTURA DE PLANOS KRONES</v>
      </c>
      <c r="B127" s="5">
        <f ca="1">IFERROR(__xludf.DUMMYFUNCTION("""COMPUTED_VALUE"""),94544767)</f>
        <v>94544767</v>
      </c>
      <c r="C127" s="5" t="str">
        <f ca="1">IFERROR(__xludf.DUMMYFUNCTION("""COMPUTED_VALUE"""),"WILMER GUTIERREZ")</f>
        <v>WILMER GUTIERREZ</v>
      </c>
      <c r="D127" s="5" t="str">
        <f ca="1">IFERROR(__xludf.DUMMYFUNCTION("""COMPUTED_VALUE"""),"Técnico 3")</f>
        <v>Técnico 3</v>
      </c>
      <c r="E127" s="5" t="str">
        <f ca="1">IFERROR(__xludf.DUMMYFUNCTION("""COMPUTED_VALUE"""),"MANTENIMIENTO MAQUINAREA")</f>
        <v>MANTENIMIENTO MAQUINAREA</v>
      </c>
    </row>
    <row r="128" spans="1:5">
      <c r="A128" s="5" t="str">
        <f ca="1">IFERROR(__xludf.DUMMYFUNCTION("""COMPUTED_VALUE"""),"ACTUALIZACIÓN DE M2 CAM")</f>
        <v>ACTUALIZACIÓN DE M2 CAM</v>
      </c>
      <c r="B128" s="5">
        <f ca="1">IFERROR(__xludf.DUMMYFUNCTION("""COMPUTED_VALUE"""),94544767)</f>
        <v>94544767</v>
      </c>
      <c r="C128" s="5" t="str">
        <f ca="1">IFERROR(__xludf.DUMMYFUNCTION("""COMPUTED_VALUE"""),"WILMER GUTIERREZ")</f>
        <v>WILMER GUTIERREZ</v>
      </c>
      <c r="D128" s="5" t="str">
        <f ca="1">IFERROR(__xludf.DUMMYFUNCTION("""COMPUTED_VALUE"""),"Técnico 3")</f>
        <v>Técnico 3</v>
      </c>
      <c r="E128" s="5" t="str">
        <f ca="1">IFERROR(__xludf.DUMMYFUNCTION("""COMPUTED_VALUE"""),"MANTENIMIENTO MAQUINAREA")</f>
        <v>MANTENIMIENTO MAQUINAREA</v>
      </c>
    </row>
    <row r="129" spans="1:5">
      <c r="A129" s="5" t="str">
        <f ca="1">IFERROR(__xludf.DUMMYFUNCTION("""COMPUTED_VALUE"""),"CIRCULAR 180-0021-2023")</f>
        <v>CIRCULAR 180-0021-2023</v>
      </c>
      <c r="B129" s="5">
        <f ca="1">IFERROR(__xludf.DUMMYFUNCTION("""COMPUTED_VALUE"""),94544767)</f>
        <v>94544767</v>
      </c>
      <c r="C129" s="5" t="str">
        <f ca="1">IFERROR(__xludf.DUMMYFUNCTION("""COMPUTED_VALUE"""),"WILMER GUTIERREZ")</f>
        <v>WILMER GUTIERREZ</v>
      </c>
      <c r="D129" s="5" t="str">
        <f ca="1">IFERROR(__xludf.DUMMYFUNCTION("""COMPUTED_VALUE"""),"Técnico 3")</f>
        <v>Técnico 3</v>
      </c>
      <c r="E129" s="5" t="str">
        <f ca="1">IFERROR(__xludf.DUMMYFUNCTION("""COMPUTED_VALUE"""),"MANTENIMIENTO MAQUINAREA")</f>
        <v>MANTENIMIENTO MAQUINAREA</v>
      </c>
    </row>
    <row r="130" spans="1:5">
      <c r="A130" s="5" t="str">
        <f ca="1">IFERROR(__xludf.DUMMYFUNCTION("""COMPUTED_VALUE"""),"ACTUALIZACIÓN 
FORMATO 
PRESIÓN POSITIVA")</f>
        <v>ACTUALIZACIÓN 
FORMATO 
PRESIÓN POSITIVA</v>
      </c>
      <c r="B130" s="5">
        <f ca="1">IFERROR(__xludf.DUMMYFUNCTION("""COMPUTED_VALUE"""),94544767)</f>
        <v>94544767</v>
      </c>
      <c r="C130" s="5" t="str">
        <f ca="1">IFERROR(__xludf.DUMMYFUNCTION("""COMPUTED_VALUE"""),"WILMER GUTIERREZ")</f>
        <v>WILMER GUTIERREZ</v>
      </c>
      <c r="D130" s="5" t="str">
        <f ca="1">IFERROR(__xludf.DUMMYFUNCTION("""COMPUTED_VALUE"""),"Técnico 3")</f>
        <v>Técnico 3</v>
      </c>
      <c r="E130" s="5" t="str">
        <f ca="1">IFERROR(__xludf.DUMMYFUNCTION("""COMPUTED_VALUE"""),"MANTENIMIENTO MAQUINAREA")</f>
        <v>MANTENIMIENTO MAQUINAREA</v>
      </c>
    </row>
    <row r="131" spans="1:5">
      <c r="A131" s="5" t="str">
        <f ca="1">IFERROR(__xludf.DUMMYFUNCTION("""COMPUTED_VALUE"""),"CIRCULAR 180-0008-2023")</f>
        <v>CIRCULAR 180-0008-2023</v>
      </c>
      <c r="B131" s="5">
        <f ca="1">IFERROR(__xludf.DUMMYFUNCTION("""COMPUTED_VALUE"""),94544767)</f>
        <v>94544767</v>
      </c>
      <c r="C131" s="5" t="str">
        <f ca="1">IFERROR(__xludf.DUMMYFUNCTION("""COMPUTED_VALUE"""),"WILMER GUTIERREZ")</f>
        <v>WILMER GUTIERREZ</v>
      </c>
      <c r="D131" s="5" t="str">
        <f ca="1">IFERROR(__xludf.DUMMYFUNCTION("""COMPUTED_VALUE"""),"Técnico ")</f>
        <v xml:space="preserve">Técnico </v>
      </c>
      <c r="E131" s="5" t="str">
        <f ca="1">IFERROR(__xludf.DUMMYFUNCTION("""COMPUTED_VALUE"""),"MANTENIMIENTO MAQUINAREA")</f>
        <v>MANTENIMIENTO MAQUINAREA</v>
      </c>
    </row>
    <row r="132" spans="1:5">
      <c r="A132" s="5" t="str">
        <f ca="1">IFERROR(__xludf.DUMMYFUNCTION("""COMPUTED_VALUE"""),"USO DEL APLICATIVO MTTO")</f>
        <v>USO DEL APLICATIVO MTTO</v>
      </c>
      <c r="B132" s="5">
        <f ca="1">IFERROR(__xludf.DUMMYFUNCTION("""COMPUTED_VALUE"""),80069090)</f>
        <v>80069090</v>
      </c>
      <c r="C132" s="5" t="str">
        <f ca="1">IFERROR(__xludf.DUMMYFUNCTION("""COMPUTED_VALUE"""),"Jorge Eliécer Poveda Pardo ")</f>
        <v xml:space="preserve">Jorge Eliécer Poveda Pardo </v>
      </c>
      <c r="D132" s="5" t="str">
        <f ca="1">IFERROR(__xludf.DUMMYFUNCTION("""COMPUTED_VALUE"""),"Técnico III")</f>
        <v>Técnico III</v>
      </c>
      <c r="E132" s="5" t="str">
        <f ca="1">IFERROR(__xludf.DUMMYFUNCTION("""COMPUTED_VALUE"""),"MANTENIMIENTO MAQUINAREA")</f>
        <v>MANTENIMIENTO MAQUINAREA</v>
      </c>
    </row>
    <row r="133" spans="1:5">
      <c r="A133" s="5" t="str">
        <f ca="1">IFERROR(__xludf.DUMMYFUNCTION("""COMPUTED_VALUE"""),"CAPACITACIÓN LECTURA DE PLANOS KRONES")</f>
        <v>CAPACITACIÓN LECTURA DE PLANOS KRONES</v>
      </c>
      <c r="B133" s="5">
        <f ca="1">IFERROR(__xludf.DUMMYFUNCTION("""COMPUTED_VALUE"""),80069090)</f>
        <v>80069090</v>
      </c>
      <c r="C133" s="5" t="str">
        <f ca="1">IFERROR(__xludf.DUMMYFUNCTION("""COMPUTED_VALUE"""),"Jorge Eliécer Poveda Pardo ")</f>
        <v xml:space="preserve">Jorge Eliécer Poveda Pardo </v>
      </c>
      <c r="D133" s="5" t="str">
        <f ca="1">IFERROR(__xludf.DUMMYFUNCTION("""COMPUTED_VALUE"""),"Técnico III")</f>
        <v>Técnico III</v>
      </c>
      <c r="E133" s="5" t="str">
        <f ca="1">IFERROR(__xludf.DUMMYFUNCTION("""COMPUTED_VALUE"""),"MANTENIMIENTO MAQUINAREA")</f>
        <v>MANTENIMIENTO MAQUINAREA</v>
      </c>
    </row>
    <row r="134" spans="1:5">
      <c r="A134" s="5" t="str">
        <f ca="1">IFERROR(__xludf.DUMMYFUNCTION("""COMPUTED_VALUE"""),"Portafolio de Beneficios")</f>
        <v>Portafolio de Beneficios</v>
      </c>
      <c r="B134" s="5">
        <f ca="1">IFERROR(__xludf.DUMMYFUNCTION("""COMPUTED_VALUE"""),80069090)</f>
        <v>80069090</v>
      </c>
      <c r="C134" s="5" t="str">
        <f ca="1">IFERROR(__xludf.DUMMYFUNCTION("""COMPUTED_VALUE"""),"Jorge Eliécer Poveda Pardo ")</f>
        <v xml:space="preserve">Jorge Eliécer Poveda Pardo </v>
      </c>
      <c r="D134" s="5" t="str">
        <f ca="1">IFERROR(__xludf.DUMMYFUNCTION("""COMPUTED_VALUE"""),"Técnico III")</f>
        <v>Técnico III</v>
      </c>
      <c r="E134" s="5" t="str">
        <f ca="1">IFERROR(__xludf.DUMMYFUNCTION("""COMPUTED_VALUE"""),"MANTENIMIENTO MAQUINAREA")</f>
        <v>MANTENIMIENTO MAQUINAREA</v>
      </c>
    </row>
    <row r="135" spans="1:5">
      <c r="A135" s="5" t="str">
        <f ca="1">IFERROR(__xludf.DUMMYFUNCTION("""COMPUTED_VALUE"""),"ACTUALIZACIÓN DE M2 CAM")</f>
        <v>ACTUALIZACIÓN DE M2 CAM</v>
      </c>
      <c r="B135" s="5">
        <f ca="1">IFERROR(__xludf.DUMMYFUNCTION("""COMPUTED_VALUE"""),94063517)</f>
        <v>94063517</v>
      </c>
      <c r="C135" s="5" t="str">
        <f ca="1">IFERROR(__xludf.DUMMYFUNCTION("""COMPUTED_VALUE"""),"GUIDO PAPAMIJA")</f>
        <v>GUIDO PAPAMIJA</v>
      </c>
      <c r="D135" s="5" t="str">
        <f ca="1">IFERROR(__xludf.DUMMYFUNCTION("""COMPUTED_VALUE"""),"Técnico 3 ")</f>
        <v xml:space="preserve">Técnico 3 </v>
      </c>
      <c r="E135" s="5" t="str">
        <f ca="1">IFERROR(__xludf.DUMMYFUNCTION("""COMPUTED_VALUE"""),"MANTENIMIENTO MAQUINAREA")</f>
        <v>MANTENIMIENTO MAQUINAREA</v>
      </c>
    </row>
    <row r="136" spans="1:5">
      <c r="A136" s="5" t="str">
        <f ca="1">IFERROR(__xludf.DUMMYFUNCTION("""COMPUTED_VALUE"""),"Portafolio de Beneficios")</f>
        <v>Portafolio de Beneficios</v>
      </c>
      <c r="B136" s="5">
        <f ca="1">IFERROR(__xludf.DUMMYFUNCTION("""COMPUTED_VALUE"""),1130620555)</f>
        <v>1130620555</v>
      </c>
      <c r="C136" s="5" t="str">
        <f ca="1">IFERROR(__xludf.DUMMYFUNCTION("""COMPUTED_VALUE"""),"Victor David burbano gomez")</f>
        <v>Victor David burbano gomez</v>
      </c>
      <c r="D136" s="5" t="str">
        <f ca="1">IFERROR(__xludf.DUMMYFUNCTION("""COMPUTED_VALUE"""),"Técnico 3")</f>
        <v>Técnico 3</v>
      </c>
      <c r="E136" s="5" t="str">
        <f ca="1">IFERROR(__xludf.DUMMYFUNCTION("""COMPUTED_VALUE"""),"MANTENIMIENTO MAQUINAREA")</f>
        <v>MANTENIMIENTO MAQUINAREA</v>
      </c>
    </row>
    <row r="137" spans="1:5">
      <c r="A137" s="5" t="str">
        <f ca="1">IFERROR(__xludf.DUMMYFUNCTION("""COMPUTED_VALUE"""),"CIRCULAR 180-0021-2023")</f>
        <v>CIRCULAR 180-0021-2023</v>
      </c>
      <c r="B137" s="5">
        <f ca="1">IFERROR(__xludf.DUMMYFUNCTION("""COMPUTED_VALUE"""),94044185)</f>
        <v>94044185</v>
      </c>
      <c r="C137" s="5" t="str">
        <f ca="1">IFERROR(__xludf.DUMMYFUNCTION("""COMPUTED_VALUE"""),"VICTOR FERNANDEZ")</f>
        <v>VICTOR FERNANDEZ</v>
      </c>
      <c r="D137" s="5" t="str">
        <f ca="1">IFERROR(__xludf.DUMMYFUNCTION("""COMPUTED_VALUE"""),"Supervisor")</f>
        <v>Supervisor</v>
      </c>
      <c r="E137" s="5" t="str">
        <f ca="1">IFERROR(__xludf.DUMMYFUNCTION("""COMPUTED_VALUE"""),"MANTENIMIENTO MAQUINAREA")</f>
        <v>MANTENIMIENTO MAQUINAREA</v>
      </c>
    </row>
    <row r="138" spans="1:5">
      <c r="A138" s="5" t="str">
        <f ca="1">IFERROR(__xludf.DUMMYFUNCTION("""COMPUTED_VALUE"""),"Habilitación de terminal para m2 línea 1")</f>
        <v>Habilitación de terminal para m2 línea 1</v>
      </c>
      <c r="B138" s="5">
        <f ca="1">IFERROR(__xludf.DUMMYFUNCTION("""COMPUTED_VALUE"""),16861602)</f>
        <v>16861602</v>
      </c>
      <c r="C138" s="5" t="str">
        <f ca="1">IFERROR(__xludf.DUMMYFUNCTION("""COMPUTED_VALUE"""),"HECTOR F VALENCIA")</f>
        <v>HECTOR F VALENCIA</v>
      </c>
      <c r="D138" s="5" t="str">
        <f ca="1">IFERROR(__xludf.DUMMYFUNCTION("""COMPUTED_VALUE"""),"Tenico 3")</f>
        <v>Tenico 3</v>
      </c>
      <c r="E138" s="5" t="str">
        <f ca="1">IFERROR(__xludf.DUMMYFUNCTION("""COMPUTED_VALUE"""),"MANTENIMIENTO MAQUINAREA")</f>
        <v>MANTENIMIENTO MAQUINAREA</v>
      </c>
    </row>
    <row r="139" spans="1:5">
      <c r="A139" s="5" t="str">
        <f ca="1">IFERROR(__xludf.DUMMYFUNCTION("""COMPUTED_VALUE"""),"CIRCULAR 180-0037-2023")</f>
        <v>CIRCULAR 180-0037-2023</v>
      </c>
      <c r="B139" s="5">
        <f ca="1">IFERROR(__xludf.DUMMYFUNCTION("""COMPUTED_VALUE"""),16861602)</f>
        <v>16861602</v>
      </c>
      <c r="C139" s="5" t="str">
        <f ca="1">IFERROR(__xludf.DUMMYFUNCTION("""COMPUTED_VALUE"""),"HECTOR F VALENCIA")</f>
        <v>HECTOR F VALENCIA</v>
      </c>
      <c r="D139" s="5" t="str">
        <f ca="1">IFERROR(__xludf.DUMMYFUNCTION("""COMPUTED_VALUE"""),"Técnico 3")</f>
        <v>Técnico 3</v>
      </c>
      <c r="E139" s="5" t="str">
        <f ca="1">IFERROR(__xludf.DUMMYFUNCTION("""COMPUTED_VALUE"""),"MANTENIMIENTO MAQUINAREA")</f>
        <v>MANTENIMIENTO MAQUINAREA</v>
      </c>
    </row>
    <row r="140" spans="1:5">
      <c r="A140" s="5" t="str">
        <f ca="1">IFERROR(__xludf.DUMMYFUNCTION("""COMPUTED_VALUE"""),"CIRCULAR 180-0037-2023")</f>
        <v>CIRCULAR 180-0037-2023</v>
      </c>
      <c r="B140" s="5">
        <f ca="1">IFERROR(__xludf.DUMMYFUNCTION("""COMPUTED_VALUE"""),94044185)</f>
        <v>94044185</v>
      </c>
      <c r="C140" s="5" t="str">
        <f ca="1">IFERROR(__xludf.DUMMYFUNCTION("""COMPUTED_VALUE"""),"VICTOR FERNANDEZ")</f>
        <v>VICTOR FERNANDEZ</v>
      </c>
      <c r="D140" s="5" t="str">
        <f ca="1">IFERROR(__xludf.DUMMYFUNCTION("""COMPUTED_VALUE"""),"Supervisor")</f>
        <v>Supervisor</v>
      </c>
      <c r="E140" s="5" t="str">
        <f ca="1">IFERROR(__xludf.DUMMYFUNCTION("""COMPUTED_VALUE"""),"MANTENIMIENTO MAQUINAREA")</f>
        <v>MANTENIMIENTO MAQUINAREA</v>
      </c>
    </row>
    <row r="141" spans="1:5">
      <c r="A141" s="5" t="str">
        <f ca="1">IFERROR(__xludf.DUMMYFUNCTION("""COMPUTED_VALUE"""),"CIRCULAR 180-0037-2023")</f>
        <v>CIRCULAR 180-0037-2023</v>
      </c>
      <c r="B141" s="5">
        <f ca="1">IFERROR(__xludf.DUMMYFUNCTION("""COMPUTED_VALUE"""),94542837)</f>
        <v>94542837</v>
      </c>
      <c r="C141" s="5" t="str">
        <f ca="1">IFERROR(__xludf.DUMMYFUNCTION("""COMPUTED_VALUE"""),"MARIO ALBERTO MARTINEZ")</f>
        <v>MARIO ALBERTO MARTINEZ</v>
      </c>
      <c r="D141" s="5" t="str">
        <f ca="1">IFERROR(__xludf.DUMMYFUNCTION("""COMPUTED_VALUE"""),"Técnico III ")</f>
        <v xml:space="preserve">Técnico III </v>
      </c>
      <c r="E141" s="5" t="str">
        <f ca="1">IFERROR(__xludf.DUMMYFUNCTION("""COMPUTED_VALUE"""),"MANTENIMIENTO MAQUINAREA")</f>
        <v>MANTENIMIENTO MAQUINAREA</v>
      </c>
    </row>
    <row r="142" spans="1:5">
      <c r="A142" s="5" t="str">
        <f ca="1">IFERROR(__xludf.DUMMYFUNCTION("""COMPUTED_VALUE"""),"CIRCULAR 180-0037-2023")</f>
        <v>CIRCULAR 180-0037-2023</v>
      </c>
      <c r="B142" s="5">
        <f ca="1">IFERROR(__xludf.DUMMYFUNCTION("""COMPUTED_VALUE"""),1113692667)</f>
        <v>1113692667</v>
      </c>
      <c r="C142" s="5" t="str">
        <f ca="1">IFERROR(__xludf.DUMMYFUNCTION("""COMPUTED_VALUE"""),"Stiven Ferney Quintero Diaz ")</f>
        <v xml:space="preserve">Stiven Ferney Quintero Diaz </v>
      </c>
      <c r="D142" s="5" t="str">
        <f ca="1">IFERROR(__xludf.DUMMYFUNCTION("""COMPUTED_VALUE"""),"Aprendiz")</f>
        <v>Aprendiz</v>
      </c>
      <c r="E142" s="5" t="str">
        <f ca="1">IFERROR(__xludf.DUMMYFUNCTION("""COMPUTED_VALUE"""),"MANTENIMIENTO MAQUINAREA")</f>
        <v>MANTENIMIENTO MAQUINAREA</v>
      </c>
    </row>
    <row r="143" spans="1:5">
      <c r="A143" s="5" t="str">
        <f ca="1">IFERROR(__xludf.DUMMYFUNCTION("""COMPUTED_VALUE"""),"CIRCULAR 180-0037-2023")</f>
        <v>CIRCULAR 180-0037-2023</v>
      </c>
      <c r="B143" s="5">
        <f ca="1">IFERROR(__xludf.DUMMYFUNCTION("""COMPUTED_VALUE"""),1010136690)</f>
        <v>1010136690</v>
      </c>
      <c r="C143" s="5" t="str">
        <f ca="1">IFERROR(__xludf.DUMMYFUNCTION("""COMPUTED_VALUE"""),"Aura María Correa Rendón ")</f>
        <v xml:space="preserve">Aura María Correa Rendón </v>
      </c>
      <c r="D143" s="5" t="str">
        <f ca="1">IFERROR(__xludf.DUMMYFUNCTION("""COMPUTED_VALUE"""),"Aprendiz")</f>
        <v>Aprendiz</v>
      </c>
      <c r="E143" s="5" t="str">
        <f ca="1">IFERROR(__xludf.DUMMYFUNCTION("""COMPUTED_VALUE"""),"MANTENIMIENTO MAQUINAREA")</f>
        <v>MANTENIMIENTO MAQUINAREA</v>
      </c>
    </row>
    <row r="144" spans="1:5">
      <c r="A144" s="5" t="str">
        <f ca="1">IFERROR(__xludf.DUMMYFUNCTION("""COMPUTED_VALUE"""),"CIRCULAR 180-0037-2023")</f>
        <v>CIRCULAR 180-0037-2023</v>
      </c>
      <c r="B144" s="5">
        <f ca="1">IFERROR(__xludf.DUMMYFUNCTION("""COMPUTED_VALUE"""),1151940372)</f>
        <v>1151940372</v>
      </c>
      <c r="C144" s="5" t="str">
        <f ca="1">IFERROR(__xludf.DUMMYFUNCTION("""COMPUTED_VALUE"""),"HELMER QUISCUALTUD")</f>
        <v>HELMER QUISCUALTUD</v>
      </c>
      <c r="D144" s="5" t="str">
        <f ca="1">IFERROR(__xludf.DUMMYFUNCTION("""COMPUTED_VALUE"""),"supervisor")</f>
        <v>supervisor</v>
      </c>
      <c r="E144" s="5" t="str">
        <f ca="1">IFERROR(__xludf.DUMMYFUNCTION("""COMPUTED_VALUE"""),"MANTENIMIENTO MAQUINAREA")</f>
        <v>MANTENIMIENTO MAQUINAREA</v>
      </c>
    </row>
    <row r="145" spans="1:5">
      <c r="A145" s="5" t="str">
        <f ca="1">IFERROR(__xludf.DUMMYFUNCTION("""COMPUTED_VALUE"""),"CIRCULAR 180-0037-2023")</f>
        <v>CIRCULAR 180-0037-2023</v>
      </c>
      <c r="B145" s="5">
        <f ca="1">IFERROR(__xludf.DUMMYFUNCTION("""COMPUTED_VALUE"""),94539966)</f>
        <v>94539966</v>
      </c>
      <c r="C145" s="5" t="str">
        <f ca="1">IFERROR(__xludf.DUMMYFUNCTION("""COMPUTED_VALUE"""),"JOHN EDIER GOMEZ ZUÑIGA ")</f>
        <v xml:space="preserve">JOHN EDIER GOMEZ ZUÑIGA </v>
      </c>
      <c r="D145" s="5" t="str">
        <f ca="1">IFERROR(__xludf.DUMMYFUNCTION("""COMPUTED_VALUE"""),"Tecnico III")</f>
        <v>Tecnico III</v>
      </c>
      <c r="E145" s="5" t="str">
        <f ca="1">IFERROR(__xludf.DUMMYFUNCTION("""COMPUTED_VALUE"""),"MANTENIMIENTO MAQUINAREA")</f>
        <v>MANTENIMIENTO MAQUINAREA</v>
      </c>
    </row>
    <row r="146" spans="1:5">
      <c r="A146" s="5" t="str">
        <f ca="1">IFERROR(__xludf.DUMMYFUNCTION("""COMPUTED_VALUE"""),"Habilitación de terminal para m2 línea 1")</f>
        <v>Habilitación de terminal para m2 línea 1</v>
      </c>
      <c r="B146" s="5">
        <f ca="1">IFERROR(__xludf.DUMMYFUNCTION("""COMPUTED_VALUE"""),94539966)</f>
        <v>94539966</v>
      </c>
      <c r="C146" s="5" t="str">
        <f ca="1">IFERROR(__xludf.DUMMYFUNCTION("""COMPUTED_VALUE"""),"JOHN EDIER GOMEZ ZUÑIGA ")</f>
        <v xml:space="preserve">JOHN EDIER GOMEZ ZUÑIGA </v>
      </c>
      <c r="D146" s="5" t="str">
        <f ca="1">IFERROR(__xludf.DUMMYFUNCTION("""COMPUTED_VALUE"""),"Tecnico III")</f>
        <v>Tecnico III</v>
      </c>
      <c r="E146" s="5" t="str">
        <f ca="1">IFERROR(__xludf.DUMMYFUNCTION("""COMPUTED_VALUE"""),"MANTENIMIENTO MAQUINAREA")</f>
        <v>MANTENIMIENTO MAQUINAREA</v>
      </c>
    </row>
    <row r="147" spans="1:5">
      <c r="A147" s="5" t="str">
        <f ca="1">IFERROR(__xludf.DUMMYFUNCTION("""COMPUTED_VALUE"""),"Portafolio de Beneficios")</f>
        <v>Portafolio de Beneficios</v>
      </c>
      <c r="B147" s="5">
        <f ca="1">IFERROR(__xludf.DUMMYFUNCTION("""COMPUTED_VALUE"""),94539966)</f>
        <v>94539966</v>
      </c>
      <c r="C147" s="5" t="str">
        <f ca="1">IFERROR(__xludf.DUMMYFUNCTION("""COMPUTED_VALUE"""),"JOHN EDIER GOMEZ ZUÑIGA ")</f>
        <v xml:space="preserve">JOHN EDIER GOMEZ ZUÑIGA </v>
      </c>
      <c r="D147" s="5" t="str">
        <f ca="1">IFERROR(__xludf.DUMMYFUNCTION("""COMPUTED_VALUE"""),"Tecnico III")</f>
        <v>Tecnico III</v>
      </c>
      <c r="E147" s="5" t="str">
        <f ca="1">IFERROR(__xludf.DUMMYFUNCTION("""COMPUTED_VALUE"""),"MANTENIMIENTO MAQUINAREA")</f>
        <v>MANTENIMIENTO MAQUINAREA</v>
      </c>
    </row>
    <row r="148" spans="1:5">
      <c r="A148" s="5" t="str">
        <f ca="1">IFERROR(__xludf.DUMMYFUNCTION("""COMPUTED_VALUE"""),"CIRCULAR 180-0021-2023")</f>
        <v>CIRCULAR 180-0021-2023</v>
      </c>
      <c r="B148" s="5">
        <f ca="1">IFERROR(__xludf.DUMMYFUNCTION("""COMPUTED_VALUE"""),94539966)</f>
        <v>94539966</v>
      </c>
      <c r="C148" s="5" t="str">
        <f ca="1">IFERROR(__xludf.DUMMYFUNCTION("""COMPUTED_VALUE"""),"JOHN EDIER GOMEZ ZUÑIGA ")</f>
        <v xml:space="preserve">JOHN EDIER GOMEZ ZUÑIGA </v>
      </c>
      <c r="D148" s="5" t="str">
        <f ca="1">IFERROR(__xludf.DUMMYFUNCTION("""COMPUTED_VALUE"""),"Tecnico III")</f>
        <v>Tecnico III</v>
      </c>
      <c r="E148" s="5" t="str">
        <f ca="1">IFERROR(__xludf.DUMMYFUNCTION("""COMPUTED_VALUE"""),"MANTENIMIENTO MAQUINAREA")</f>
        <v>MANTENIMIENTO MAQUINAREA</v>
      </c>
    </row>
    <row r="149" spans="1:5">
      <c r="A149" s="5" t="str">
        <f ca="1">IFERROR(__xludf.DUMMYFUNCTION("""COMPUTED_VALUE"""),"USO DEL APLICATIVO MTTO")</f>
        <v>USO DEL APLICATIVO MTTO</v>
      </c>
      <c r="B149" s="5">
        <f ca="1">IFERROR(__xludf.DUMMYFUNCTION("""COMPUTED_VALUE"""),94539966)</f>
        <v>94539966</v>
      </c>
      <c r="C149" s="5" t="str">
        <f ca="1">IFERROR(__xludf.DUMMYFUNCTION("""COMPUTED_VALUE"""),"JOHN EDIER GOMEZ ZUÑIGA ")</f>
        <v xml:space="preserve">JOHN EDIER GOMEZ ZUÑIGA </v>
      </c>
      <c r="D149" s="5" t="str">
        <f ca="1">IFERROR(__xludf.DUMMYFUNCTION("""COMPUTED_VALUE"""),"Tecnico III")</f>
        <v>Tecnico III</v>
      </c>
      <c r="E149" s="5" t="str">
        <f ca="1">IFERROR(__xludf.DUMMYFUNCTION("""COMPUTED_VALUE"""),"MANTENIMIENTO MAQUINAREA")</f>
        <v>MANTENIMIENTO MAQUINAREA</v>
      </c>
    </row>
    <row r="150" spans="1:5">
      <c r="A150" s="5" t="str">
        <f ca="1">IFERROR(__xludf.DUMMYFUNCTION("""COMPUTED_VALUE"""),"ACTUALIZACIÓN DE M2 CAM")</f>
        <v>ACTUALIZACIÓN DE M2 CAM</v>
      </c>
      <c r="B150" s="5">
        <f ca="1">IFERROR(__xludf.DUMMYFUNCTION("""COMPUTED_VALUE"""),1144191128)</f>
        <v>1144191128</v>
      </c>
      <c r="C150" s="5" t="str">
        <f ca="1">IFERROR(__xludf.DUMMYFUNCTION("""COMPUTED_VALUE"""),"ESTEBAN POTOSI ")</f>
        <v xml:space="preserve">ESTEBAN POTOSI </v>
      </c>
      <c r="D150" s="5" t="str">
        <f ca="1">IFERROR(__xludf.DUMMYFUNCTION("""COMPUTED_VALUE"""),"Tecnico 3")</f>
        <v>Tecnico 3</v>
      </c>
      <c r="E150" s="5" t="str">
        <f ca="1">IFERROR(__xludf.DUMMYFUNCTION("""COMPUTED_VALUE"""),"MANTENIMIENTO MAQUINAREA")</f>
        <v>MANTENIMIENTO MAQUINAREA</v>
      </c>
    </row>
    <row r="151" spans="1:5">
      <c r="A151" s="5" t="str">
        <f ca="1">IFERROR(__xludf.DUMMYFUNCTION("""COMPUTED_VALUE"""),"CIRCULAR 180-0037-2023")</f>
        <v>CIRCULAR 180-0037-2023</v>
      </c>
      <c r="B151" s="5">
        <f ca="1">IFERROR(__xludf.DUMMYFUNCTION("""COMPUTED_VALUE"""),1144191128)</f>
        <v>1144191128</v>
      </c>
      <c r="C151" s="5" t="str">
        <f ca="1">IFERROR(__xludf.DUMMYFUNCTION("""COMPUTED_VALUE"""),"ESTEBAN POTOSI ")</f>
        <v xml:space="preserve">ESTEBAN POTOSI </v>
      </c>
      <c r="D151" s="5" t="str">
        <f ca="1">IFERROR(__xludf.DUMMYFUNCTION("""COMPUTED_VALUE"""),"Tecnico 3")</f>
        <v>Tecnico 3</v>
      </c>
      <c r="E151" s="5" t="str">
        <f ca="1">IFERROR(__xludf.DUMMYFUNCTION("""COMPUTED_VALUE"""),"MANTENIMIENTO MAQUINAREA")</f>
        <v>MANTENIMIENTO MAQUINAREA</v>
      </c>
    </row>
    <row r="152" spans="1:5">
      <c r="A152" s="5" t="str">
        <f ca="1">IFERROR(__xludf.DUMMYFUNCTION("""COMPUTED_VALUE"""),"USO DEL APLICATIVO MTTO")</f>
        <v>USO DEL APLICATIVO MTTO</v>
      </c>
      <c r="B152" s="5">
        <f ca="1">IFERROR(__xludf.DUMMYFUNCTION("""COMPUTED_VALUE"""),1113676743)</f>
        <v>1113676743</v>
      </c>
      <c r="C152" s="5" t="str">
        <f ca="1">IFERROR(__xludf.DUMMYFUNCTION("""COMPUTED_VALUE"""),"Alvaro Celeita Muñoz")</f>
        <v>Alvaro Celeita Muñoz</v>
      </c>
      <c r="D152" s="5" t="str">
        <f ca="1">IFERROR(__xludf.DUMMYFUNCTION("""COMPUTED_VALUE"""),"Técnico |||")</f>
        <v>Técnico |||</v>
      </c>
      <c r="E152" s="5" t="str">
        <f ca="1">IFERROR(__xludf.DUMMYFUNCTION("""COMPUTED_VALUE"""),"PRODUCCION")</f>
        <v>PRODUCCION</v>
      </c>
    </row>
    <row r="153" spans="1:5">
      <c r="A153" s="5" t="str">
        <f ca="1">IFERROR(__xludf.DUMMYFUNCTION("""COMPUTED_VALUE"""),"CIRCULAR 180-0037-2023")</f>
        <v>CIRCULAR 180-0037-2023</v>
      </c>
      <c r="B153" s="5">
        <f ca="1">IFERROR(__xludf.DUMMYFUNCTION("""COMPUTED_VALUE"""),94453351)</f>
        <v>94453351</v>
      </c>
      <c r="C153" s="5" t="str">
        <f ca="1">IFERROR(__xludf.DUMMYFUNCTION("""COMPUTED_VALUE"""),"RAUL LOPEZ")</f>
        <v>RAUL LOPEZ</v>
      </c>
      <c r="D153" s="5" t="str">
        <f ca="1">IFERROR(__xludf.DUMMYFUNCTION("""COMPUTED_VALUE"""),"Técnico 3 de mtto")</f>
        <v>Técnico 3 de mtto</v>
      </c>
      <c r="E153" s="5" t="str">
        <f ca="1">IFERROR(__xludf.DUMMYFUNCTION("""COMPUTED_VALUE"""),"MANTENIMIENTO MAQUINAREA")</f>
        <v>MANTENIMIENTO MAQUINAREA</v>
      </c>
    </row>
    <row r="154" spans="1:5">
      <c r="A154" s="5" t="str">
        <f ca="1">IFERROR(__xludf.DUMMYFUNCTION("""COMPUTED_VALUE"""),"Habilitación de terminal para m2 línea 1")</f>
        <v>Habilitación de terminal para m2 línea 1</v>
      </c>
      <c r="B154" s="5">
        <f ca="1">IFERROR(__xludf.DUMMYFUNCTION("""COMPUTED_VALUE"""),94453351)</f>
        <v>94453351</v>
      </c>
      <c r="C154" s="5" t="str">
        <f ca="1">IFERROR(__xludf.DUMMYFUNCTION("""COMPUTED_VALUE"""),"RAUL LOPEZ")</f>
        <v>RAUL LOPEZ</v>
      </c>
      <c r="D154" s="5" t="str">
        <f ca="1">IFERROR(__xludf.DUMMYFUNCTION("""COMPUTED_VALUE"""),"Técnico 3 de mtto ")</f>
        <v xml:space="preserve">Técnico 3 de mtto </v>
      </c>
      <c r="E154" s="5" t="str">
        <f ca="1">IFERROR(__xludf.DUMMYFUNCTION("""COMPUTED_VALUE"""),"MANTENIMIENTO MAQUINAREA")</f>
        <v>MANTENIMIENTO MAQUINAREA</v>
      </c>
    </row>
    <row r="155" spans="1:5">
      <c r="A155" s="5" t="str">
        <f ca="1">IFERROR(__xludf.DUMMYFUNCTION("""COMPUTED_VALUE"""),"USO DEL APLICATIVO MTTO")</f>
        <v>USO DEL APLICATIVO MTTO</v>
      </c>
      <c r="B155" s="5">
        <f ca="1">IFERROR(__xludf.DUMMYFUNCTION("""COMPUTED_VALUE"""),11182986989)</f>
        <v>11182986989</v>
      </c>
      <c r="C155" s="5" t="str">
        <f ca="1">IFERROR(__xludf.DUMMYFUNCTION("""COMPUTED_VALUE"""),"Jhon Edwar Echeverry Reina ")</f>
        <v xml:space="preserve">Jhon Edwar Echeverry Reina </v>
      </c>
      <c r="D155" s="5" t="str">
        <f ca="1">IFERROR(__xludf.DUMMYFUNCTION("""COMPUTED_VALUE"""),"Técnico 3 ")</f>
        <v xml:space="preserve">Técnico 3 </v>
      </c>
      <c r="E155" s="5" t="str">
        <f ca="1">IFERROR(__xludf.DUMMYFUNCTION("""COMPUTED_VALUE"""),"PRODUCCION")</f>
        <v>PRODUCCION</v>
      </c>
    </row>
    <row r="156" spans="1:5">
      <c r="A156" s="5" t="str">
        <f ca="1">IFERROR(__xludf.DUMMYFUNCTION("""COMPUTED_VALUE"""),"USO DEL APLICATIVO MTTO")</f>
        <v>USO DEL APLICATIVO MTTO</v>
      </c>
      <c r="B156" s="5">
        <f ca="1">IFERROR(__xludf.DUMMYFUNCTION("""COMPUTED_VALUE"""),1113531269)</f>
        <v>1113531269</v>
      </c>
      <c r="C156" s="5" t="str">
        <f ca="1">IFERROR(__xludf.DUMMYFUNCTION("""COMPUTED_VALUE"""),"Jhonnys arturo fernandez suarez")</f>
        <v>Jhonnys arturo fernandez suarez</v>
      </c>
      <c r="D156" s="5" t="str">
        <f ca="1">IFERROR(__xludf.DUMMYFUNCTION("""COMPUTED_VALUE"""),"Tecnico 3")</f>
        <v>Tecnico 3</v>
      </c>
      <c r="E156" s="5" t="str">
        <f ca="1">IFERROR(__xludf.DUMMYFUNCTION("""COMPUTED_VALUE"""),"PRODUCCION")</f>
        <v>PRODUCCION</v>
      </c>
    </row>
    <row r="157" spans="1:5">
      <c r="A157" s="5" t="str">
        <f ca="1">IFERROR(__xludf.DUMMYFUNCTION("""COMPUTED_VALUE"""),"CIRCULAR 180-0037-2023")</f>
        <v>CIRCULAR 180-0037-2023</v>
      </c>
      <c r="B157" s="5">
        <f ca="1">IFERROR(__xludf.DUMMYFUNCTION("""COMPUTED_VALUE"""),1061535068)</f>
        <v>1061535068</v>
      </c>
      <c r="C157" s="5" t="str">
        <f ca="1">IFERROR(__xludf.DUMMYFUNCTION("""COMPUTED_VALUE"""),"JEFERSON MUÑOZ")</f>
        <v>JEFERSON MUÑOZ</v>
      </c>
      <c r="D157" s="5" t="str">
        <f ca="1">IFERROR(__xludf.DUMMYFUNCTION("""COMPUTED_VALUE"""),"tecnico 3")</f>
        <v>tecnico 3</v>
      </c>
      <c r="E157" s="5" t="str">
        <f ca="1">IFERROR(__xludf.DUMMYFUNCTION("""COMPUTED_VALUE"""),"MANTENIMIENTO MAQUINAREA")</f>
        <v>MANTENIMIENTO MAQUINAREA</v>
      </c>
    </row>
    <row r="158" spans="1:5">
      <c r="A158" s="5" t="str">
        <f ca="1">IFERROR(__xludf.DUMMYFUNCTION("""COMPUTED_VALUE"""),"CIRCULAR 180-0037-2023")</f>
        <v>CIRCULAR 180-0037-2023</v>
      </c>
      <c r="B158" s="5">
        <f ca="1">IFERROR(__xludf.DUMMYFUNCTION("""COMPUTED_VALUE"""),80069090)</f>
        <v>80069090</v>
      </c>
      <c r="C158" s="5" t="str">
        <f ca="1">IFERROR(__xludf.DUMMYFUNCTION("""COMPUTED_VALUE"""),"Jorge Eliécer Poveda Pardo ")</f>
        <v xml:space="preserve">Jorge Eliécer Poveda Pardo </v>
      </c>
      <c r="D158" s="5" t="str">
        <f ca="1">IFERROR(__xludf.DUMMYFUNCTION("""COMPUTED_VALUE"""),"Técnico III")</f>
        <v>Técnico III</v>
      </c>
      <c r="E158" s="5" t="str">
        <f ca="1">IFERROR(__xludf.DUMMYFUNCTION("""COMPUTED_VALUE"""),"MANTENIMIENTO MAQUINAREA")</f>
        <v>MANTENIMIENTO MAQUINAREA</v>
      </c>
    </row>
    <row r="159" spans="1:5">
      <c r="A159" s="5" t="str">
        <f ca="1">IFERROR(__xludf.DUMMYFUNCTION("""COMPUTED_VALUE"""),"CAPACITACIÓN LECTURA DE PLANOS KRONES")</f>
        <v>CAPACITACIÓN LECTURA DE PLANOS KRONES</v>
      </c>
      <c r="B159" s="5">
        <f ca="1">IFERROR(__xludf.DUMMYFUNCTION("""COMPUTED_VALUE"""),1107084842)</f>
        <v>1107084842</v>
      </c>
      <c r="C159" s="5" t="str">
        <f ca="1">IFERROR(__xludf.DUMMYFUNCTION("""COMPUTED_VALUE"""),"Ferney Orlando Ramos Aullon")</f>
        <v>Ferney Orlando Ramos Aullon</v>
      </c>
      <c r="D159" s="5" t="str">
        <f ca="1">IFERROR(__xludf.DUMMYFUNCTION("""COMPUTED_VALUE"""),"Técnico 3")</f>
        <v>Técnico 3</v>
      </c>
      <c r="E159" s="5" t="str">
        <f ca="1">IFERROR(__xludf.DUMMYFUNCTION("""COMPUTED_VALUE"""),"PRODUCCION")</f>
        <v>PRODUCCION</v>
      </c>
    </row>
    <row r="160" spans="1:5">
      <c r="A160" s="5" t="str">
        <f ca="1">IFERROR(__xludf.DUMMYFUNCTION("""COMPUTED_VALUE"""),"CIRCULAR 180-0037-2023")</f>
        <v>CIRCULAR 180-0037-2023</v>
      </c>
      <c r="B160" s="5">
        <f ca="1">IFERROR(__xludf.DUMMYFUNCTION("""COMPUTED_VALUE"""),94063517)</f>
        <v>94063517</v>
      </c>
      <c r="C160" s="5" t="str">
        <f ca="1">IFERROR(__xludf.DUMMYFUNCTION("""COMPUTED_VALUE"""),"GUIDO PAPAMIJA")</f>
        <v>GUIDO PAPAMIJA</v>
      </c>
      <c r="D160" s="5" t="str">
        <f ca="1">IFERROR(__xludf.DUMMYFUNCTION("""COMPUTED_VALUE"""),"Técnico ")</f>
        <v xml:space="preserve">Técnico </v>
      </c>
      <c r="E160" s="5" t="str">
        <f ca="1">IFERROR(__xludf.DUMMYFUNCTION("""COMPUTED_VALUE"""),"MANTENIMIENTO MAQUINAREA")</f>
        <v>MANTENIMIENTO MAQUINAREA</v>
      </c>
    </row>
    <row r="161" spans="1:5">
      <c r="A161" s="5" t="str">
        <f ca="1">IFERROR(__xludf.DUMMYFUNCTION("""COMPUTED_VALUE"""),"Habilitación de terminal para m2 línea 1")</f>
        <v>Habilitación de terminal para m2 línea 1</v>
      </c>
      <c r="B161" s="5">
        <f ca="1">IFERROR(__xludf.DUMMYFUNCTION("""COMPUTED_VALUE"""),94063517)</f>
        <v>94063517</v>
      </c>
      <c r="C161" s="5" t="str">
        <f ca="1">IFERROR(__xludf.DUMMYFUNCTION("""COMPUTED_VALUE"""),"GUIDO PAPAMIJA")</f>
        <v>GUIDO PAPAMIJA</v>
      </c>
      <c r="D161" s="5" t="str">
        <f ca="1">IFERROR(__xludf.DUMMYFUNCTION("""COMPUTED_VALUE"""),"Técnico 3 ")</f>
        <v xml:space="preserve">Técnico 3 </v>
      </c>
      <c r="E161" s="5" t="str">
        <f ca="1">IFERROR(__xludf.DUMMYFUNCTION("""COMPUTED_VALUE"""),"MANTENIMIENTO MAQUINAREA")</f>
        <v>MANTENIMIENTO MAQUINAREA</v>
      </c>
    </row>
    <row r="162" spans="1:5">
      <c r="A162" s="5" t="str">
        <f ca="1">IFERROR(__xludf.DUMMYFUNCTION("""COMPUTED_VALUE"""),"CAPACITACIÓN LECTURA DE PLANOS KRONES")</f>
        <v>CAPACITACIÓN LECTURA DE PLANOS KRONES</v>
      </c>
      <c r="B162" s="5">
        <f ca="1">IFERROR(__xludf.DUMMYFUNCTION("""COMPUTED_VALUE"""),94063517)</f>
        <v>94063517</v>
      </c>
      <c r="C162" s="5" t="str">
        <f ca="1">IFERROR(__xludf.DUMMYFUNCTION("""COMPUTED_VALUE"""),"GUIDO PAPAMIJA")</f>
        <v>GUIDO PAPAMIJA</v>
      </c>
      <c r="D162" s="5" t="str">
        <f ca="1">IFERROR(__xludf.DUMMYFUNCTION("""COMPUTED_VALUE"""),"Técnico 3 ")</f>
        <v xml:space="preserve">Técnico 3 </v>
      </c>
      <c r="E162" s="5" t="str">
        <f ca="1">IFERROR(__xludf.DUMMYFUNCTION("""COMPUTED_VALUE"""),"MANTENIMIENTO MAQUINAREA")</f>
        <v>MANTENIMIENTO MAQUINAREA</v>
      </c>
    </row>
    <row r="163" spans="1:5">
      <c r="A163" s="5" t="str">
        <f ca="1">IFERROR(__xludf.DUMMYFUNCTION("""COMPUTED_VALUE"""),"CIRCULAR 180-0037-2023")</f>
        <v>CIRCULAR 180-0037-2023</v>
      </c>
      <c r="B163" s="5">
        <f ca="1">IFERROR(__xludf.DUMMYFUNCTION("""COMPUTED_VALUE"""),16267528)</f>
        <v>16267528</v>
      </c>
      <c r="C163" s="5" t="str">
        <f ca="1">IFERROR(__xludf.DUMMYFUNCTION("""COMPUTED_VALUE"""),"JULIAN BOTERO")</f>
        <v>JULIAN BOTERO</v>
      </c>
      <c r="D163" s="5" t="str">
        <f ca="1">IFERROR(__xludf.DUMMYFUNCTION("""COMPUTED_VALUE"""),"Supervisor Mantenimiento ")</f>
        <v xml:space="preserve">Supervisor Mantenimiento </v>
      </c>
      <c r="E163" s="5" t="str">
        <f ca="1">IFERROR(__xludf.DUMMYFUNCTION("""COMPUTED_VALUE"""),"MANTENIMIENTO MAQUINAREA")</f>
        <v>MANTENIMIENTO MAQUINAREA</v>
      </c>
    </row>
    <row r="164" spans="1:5">
      <c r="A164" s="5" t="str">
        <f ca="1">IFERROR(__xludf.DUMMYFUNCTION("""COMPUTED_VALUE"""),"CIRCULAR 180-0037-2023")</f>
        <v>CIRCULAR 180-0037-2023</v>
      </c>
      <c r="B164" s="5">
        <f ca="1">IFERROR(__xludf.DUMMYFUNCTION("""COMPUTED_VALUE"""),16267528)</f>
        <v>16267528</v>
      </c>
      <c r="C164" s="5" t="str">
        <f ca="1">IFERROR(__xludf.DUMMYFUNCTION("""COMPUTED_VALUE"""),"JULIAN BOTERO")</f>
        <v>JULIAN BOTERO</v>
      </c>
      <c r="D164" s="5" t="str">
        <f ca="1">IFERROR(__xludf.DUMMYFUNCTION("""COMPUTED_VALUE"""),"Supervisor Mantenimiento ")</f>
        <v xml:space="preserve">Supervisor Mantenimiento </v>
      </c>
      <c r="E164" s="5" t="str">
        <f ca="1">IFERROR(__xludf.DUMMYFUNCTION("""COMPUTED_VALUE"""),"MANTENIMIENTO MAQUINAREA")</f>
        <v>MANTENIMIENTO MAQUINAREA</v>
      </c>
    </row>
    <row r="165" spans="1:5">
      <c r="A165" s="5" t="str">
        <f ca="1">IFERROR(__xludf.DUMMYFUNCTION("""COMPUTED_VALUE"""),"CIRCULAR 180-0037-2023")</f>
        <v>CIRCULAR 180-0037-2023</v>
      </c>
      <c r="B165" s="5">
        <f ca="1">IFERROR(__xludf.DUMMYFUNCTION("""COMPUTED_VALUE"""),94539966)</f>
        <v>94539966</v>
      </c>
      <c r="C165" s="5" t="str">
        <f ca="1">IFERROR(__xludf.DUMMYFUNCTION("""COMPUTED_VALUE"""),"JOHN EDIER GOMEZ ZUÑIGA ")</f>
        <v xml:space="preserve">JOHN EDIER GOMEZ ZUÑIGA </v>
      </c>
      <c r="D165" s="5" t="str">
        <f ca="1">IFERROR(__xludf.DUMMYFUNCTION("""COMPUTED_VALUE"""),"Tecnico III")</f>
        <v>Tecnico III</v>
      </c>
      <c r="E165" s="5" t="str">
        <f ca="1">IFERROR(__xludf.DUMMYFUNCTION("""COMPUTED_VALUE"""),"MANTENIMIENTO MAQUINAREA")</f>
        <v>MANTENIMIENTO MAQUINAREA</v>
      </c>
    </row>
    <row r="166" spans="1:5">
      <c r="A166" s="5" t="str">
        <f ca="1">IFERROR(__xludf.DUMMYFUNCTION("""COMPUTED_VALUE"""),"Habilitación de terminal para m2 línea 1")</f>
        <v>Habilitación de terminal para m2 línea 1</v>
      </c>
      <c r="B166" s="5">
        <f ca="1">IFERROR(__xludf.DUMMYFUNCTION("""COMPUTED_VALUE"""),1144191128)</f>
        <v>1144191128</v>
      </c>
      <c r="C166" s="5" t="str">
        <f ca="1">IFERROR(__xludf.DUMMYFUNCTION("""COMPUTED_VALUE"""),"ESTEBAN POTOSI ")</f>
        <v xml:space="preserve">ESTEBAN POTOSI </v>
      </c>
      <c r="D166" s="5" t="str">
        <f ca="1">IFERROR(__xludf.DUMMYFUNCTION("""COMPUTED_VALUE"""),"Tecnico 3")</f>
        <v>Tecnico 3</v>
      </c>
      <c r="E166" s="5" t="str">
        <f ca="1">IFERROR(__xludf.DUMMYFUNCTION("""COMPUTED_VALUE"""),"MANTENIMIENTO MAQUINAREA")</f>
        <v>MANTENIMIENTO MAQUINAREA</v>
      </c>
    </row>
    <row r="167" spans="1:5">
      <c r="A167" s="5" t="str">
        <f ca="1">IFERROR(__xludf.DUMMYFUNCTION("""COMPUTED_VALUE"""),"ACTUALIZACIÓN 
FORMATO 
PRESIÓN POSITIVA")</f>
        <v>ACTUALIZACIÓN 
FORMATO 
PRESIÓN POSITIVA</v>
      </c>
      <c r="B167" s="5">
        <f ca="1">IFERROR(__xludf.DUMMYFUNCTION("""COMPUTED_VALUE"""),80069090)</f>
        <v>80069090</v>
      </c>
      <c r="C167" s="5" t="str">
        <f ca="1">IFERROR(__xludf.DUMMYFUNCTION("""COMPUTED_VALUE"""),"Jorge Eliécer Poveda Pardo ")</f>
        <v xml:space="preserve">Jorge Eliécer Poveda Pardo </v>
      </c>
      <c r="D167" s="5" t="str">
        <f ca="1">IFERROR(__xludf.DUMMYFUNCTION("""COMPUTED_VALUE"""),"Técnico III")</f>
        <v>Técnico III</v>
      </c>
      <c r="E167" s="5" t="str">
        <f ca="1">IFERROR(__xludf.DUMMYFUNCTION("""COMPUTED_VALUE"""),"MANTENIMIENTO MAQUINAREA")</f>
        <v>MANTENIMIENTO MAQUINAREA</v>
      </c>
    </row>
    <row r="168" spans="1:5">
      <c r="A168" s="5" t="str">
        <f ca="1">IFERROR(__xludf.DUMMYFUNCTION("""COMPUTED_VALUE"""),"CAPACITACIÓN LECTURA DE PLANOS KRONES")</f>
        <v>CAPACITACIÓN LECTURA DE PLANOS KRONES</v>
      </c>
      <c r="B168" s="5">
        <f ca="1">IFERROR(__xludf.DUMMYFUNCTION("""COMPUTED_VALUE"""),1144191128)</f>
        <v>1144191128</v>
      </c>
      <c r="C168" s="5" t="str">
        <f ca="1">IFERROR(__xludf.DUMMYFUNCTION("""COMPUTED_VALUE"""),"ESTEBAN POTOSI ")</f>
        <v xml:space="preserve">ESTEBAN POTOSI </v>
      </c>
      <c r="D168" s="5" t="str">
        <f ca="1">IFERROR(__xludf.DUMMYFUNCTION("""COMPUTED_VALUE"""),"Tecnico 3")</f>
        <v>Tecnico 3</v>
      </c>
      <c r="E168" s="5" t="str">
        <f ca="1">IFERROR(__xludf.DUMMYFUNCTION("""COMPUTED_VALUE"""),"MANTENIMIENTO MAQUINAREA")</f>
        <v>MANTENIMIENTO MAQUINAREA</v>
      </c>
    </row>
    <row r="169" spans="1:5">
      <c r="A169" s="5" t="str">
        <f ca="1">IFERROR(__xludf.DUMMYFUNCTION("""COMPUTED_VALUE"""),"ACTUALIZACIÓN DE M2 CAM")</f>
        <v>ACTUALIZACIÓN DE M2 CAM</v>
      </c>
      <c r="B169" s="5">
        <f ca="1">IFERROR(__xludf.DUMMYFUNCTION("""COMPUTED_VALUE"""),1144191128)</f>
        <v>1144191128</v>
      </c>
      <c r="C169" s="5" t="str">
        <f ca="1">IFERROR(__xludf.DUMMYFUNCTION("""COMPUTED_VALUE"""),"ESTEBAN POTOSI ")</f>
        <v xml:space="preserve">ESTEBAN POTOSI </v>
      </c>
      <c r="D169" s="5" t="str">
        <f ca="1">IFERROR(__xludf.DUMMYFUNCTION("""COMPUTED_VALUE"""),"Tecnico 3")</f>
        <v>Tecnico 3</v>
      </c>
      <c r="E169" s="5" t="str">
        <f ca="1">IFERROR(__xludf.DUMMYFUNCTION("""COMPUTED_VALUE"""),"MANTENIMIENTO MAQUINAREA")</f>
        <v>MANTENIMIENTO MAQUINAREA</v>
      </c>
    </row>
    <row r="170" spans="1:5">
      <c r="A170" s="5" t="str">
        <f ca="1">IFERROR(__xludf.DUMMYFUNCTION("""COMPUTED_VALUE"""),"CIRCULAR 180-0021-2023")</f>
        <v>CIRCULAR 180-0021-2023</v>
      </c>
      <c r="B170" s="5">
        <f ca="1">IFERROR(__xludf.DUMMYFUNCTION("""COMPUTED_VALUE"""),1144191128)</f>
        <v>1144191128</v>
      </c>
      <c r="C170" s="5" t="str">
        <f ca="1">IFERROR(__xludf.DUMMYFUNCTION("""COMPUTED_VALUE"""),"ESTEBAN POTOSI ")</f>
        <v xml:space="preserve">ESTEBAN POTOSI </v>
      </c>
      <c r="D170" s="5" t="str">
        <f ca="1">IFERROR(__xludf.DUMMYFUNCTION("""COMPUTED_VALUE"""),"Tecnico 3")</f>
        <v>Tecnico 3</v>
      </c>
      <c r="E170" s="5" t="str">
        <f ca="1">IFERROR(__xludf.DUMMYFUNCTION("""COMPUTED_VALUE"""),"MANTENIMIENTO MAQUINAREA")</f>
        <v>MANTENIMIENTO MAQUINAREA</v>
      </c>
    </row>
    <row r="171" spans="1:5">
      <c r="A171" s="5" t="str">
        <f ca="1">IFERROR(__xludf.DUMMYFUNCTION("""COMPUTED_VALUE"""),"ACTUALIZACIÓN DE M2 CAM")</f>
        <v>ACTUALIZACIÓN DE M2 CAM</v>
      </c>
      <c r="B171" s="5">
        <f ca="1">IFERROR(__xludf.DUMMYFUNCTION("""COMPUTED_VALUE"""),94063517)</f>
        <v>94063517</v>
      </c>
      <c r="C171" s="5" t="str">
        <f ca="1">IFERROR(__xludf.DUMMYFUNCTION("""COMPUTED_VALUE"""),"GUIDO PAPAMIJA")</f>
        <v>GUIDO PAPAMIJA</v>
      </c>
      <c r="D171" s="5" t="str">
        <f ca="1">IFERROR(__xludf.DUMMYFUNCTION("""COMPUTED_VALUE"""),"Técnico 3")</f>
        <v>Técnico 3</v>
      </c>
      <c r="E171" s="5" t="str">
        <f ca="1">IFERROR(__xludf.DUMMYFUNCTION("""COMPUTED_VALUE"""),"MANTENIMIENTO MAQUINAREA")</f>
        <v>MANTENIMIENTO MAQUINAREA</v>
      </c>
    </row>
    <row r="172" spans="1:5">
      <c r="A172" s="5" t="str">
        <f ca="1">IFERROR(__xludf.DUMMYFUNCTION("""COMPUTED_VALUE"""),"ACTUALIZACIÓN DE M2 CAM")</f>
        <v>ACTUALIZACIÓN DE M2 CAM</v>
      </c>
      <c r="B172" s="5">
        <f ca="1">IFERROR(__xludf.DUMMYFUNCTION("""COMPUTED_VALUE"""),94063517)</f>
        <v>94063517</v>
      </c>
      <c r="C172" s="5" t="str">
        <f ca="1">IFERROR(__xludf.DUMMYFUNCTION("""COMPUTED_VALUE"""),"GUIDO PAPAMIJA")</f>
        <v>GUIDO PAPAMIJA</v>
      </c>
      <c r="D172" s="5" t="str">
        <f ca="1">IFERROR(__xludf.DUMMYFUNCTION("""COMPUTED_VALUE"""),"Técnico 3 ")</f>
        <v xml:space="preserve">Técnico 3 </v>
      </c>
      <c r="E172" s="5" t="str">
        <f ca="1">IFERROR(__xludf.DUMMYFUNCTION("""COMPUTED_VALUE"""),"MANTENIMIENTO MAQUINAREA")</f>
        <v>MANTENIMIENTO MAQUINAREA</v>
      </c>
    </row>
    <row r="173" spans="1:5">
      <c r="A173" s="5" t="str">
        <f ca="1">IFERROR(__xludf.DUMMYFUNCTION("""COMPUTED_VALUE"""),"ACTUALIZACIÓN 
FORMATO 
PRESIÓN POSITIVA")</f>
        <v>ACTUALIZACIÓN 
FORMATO 
PRESIÓN POSITIVA</v>
      </c>
      <c r="B173" s="5">
        <f ca="1">IFERROR(__xludf.DUMMYFUNCTION("""COMPUTED_VALUE"""),94063517)</f>
        <v>94063517</v>
      </c>
      <c r="C173" s="5" t="str">
        <f ca="1">IFERROR(__xludf.DUMMYFUNCTION("""COMPUTED_VALUE"""),"GUIDO PAPAMIJA")</f>
        <v>GUIDO PAPAMIJA</v>
      </c>
      <c r="D173" s="5" t="str">
        <f ca="1">IFERROR(__xludf.DUMMYFUNCTION("""COMPUTED_VALUE"""),"Técnico 3 ")</f>
        <v xml:space="preserve">Técnico 3 </v>
      </c>
      <c r="E173" s="5" t="str">
        <f ca="1">IFERROR(__xludf.DUMMYFUNCTION("""COMPUTED_VALUE"""),"MANTENIMIENTO MAQUINAREA")</f>
        <v>MANTENIMIENTO MAQUINAREA</v>
      </c>
    </row>
    <row r="174" spans="1:5">
      <c r="A174" s="5" t="str">
        <f ca="1">IFERROR(__xludf.DUMMYFUNCTION("""COMPUTED_VALUE"""),"USO DEL APLICATIVO MTTO")</f>
        <v>USO DEL APLICATIVO MTTO</v>
      </c>
      <c r="B174" s="5">
        <f ca="1">IFERROR(__xludf.DUMMYFUNCTION("""COMPUTED_VALUE"""),94063517)</f>
        <v>94063517</v>
      </c>
      <c r="C174" s="5" t="str">
        <f ca="1">IFERROR(__xludf.DUMMYFUNCTION("""COMPUTED_VALUE"""),"GUIDO PAPAMIJA")</f>
        <v>GUIDO PAPAMIJA</v>
      </c>
      <c r="D174" s="5" t="str">
        <f ca="1">IFERROR(__xludf.DUMMYFUNCTION("""COMPUTED_VALUE"""),"Técnico 3 ")</f>
        <v xml:space="preserve">Técnico 3 </v>
      </c>
      <c r="E174" s="5" t="str">
        <f ca="1">IFERROR(__xludf.DUMMYFUNCTION("""COMPUTED_VALUE"""),"MANTENIMIENTO MAQUINAREA")</f>
        <v>MANTENIMIENTO MAQUINAREA</v>
      </c>
    </row>
    <row r="175" spans="1:5">
      <c r="A175" s="5" t="str">
        <f ca="1">IFERROR(__xludf.DUMMYFUNCTION("""COMPUTED_VALUE"""),"CIRCULAR 180-0008-2023")</f>
        <v>CIRCULAR 180-0008-2023</v>
      </c>
      <c r="B175" s="5">
        <f ca="1">IFERROR(__xludf.DUMMYFUNCTION("""COMPUTED_VALUE"""),94063517)</f>
        <v>94063517</v>
      </c>
      <c r="C175" s="5" t="str">
        <f ca="1">IFERROR(__xludf.DUMMYFUNCTION("""COMPUTED_VALUE"""),"GUIDO PAPAMIJA")</f>
        <v>GUIDO PAPAMIJA</v>
      </c>
      <c r="D175" s="5" t="str">
        <f ca="1">IFERROR(__xludf.DUMMYFUNCTION("""COMPUTED_VALUE"""),"Técnico 3 ")</f>
        <v xml:space="preserve">Técnico 3 </v>
      </c>
      <c r="E175" s="5" t="str">
        <f ca="1">IFERROR(__xludf.DUMMYFUNCTION("""COMPUTED_VALUE"""),"MANTENIMIENTO MAQUINAREA")</f>
        <v>MANTENIMIENTO MAQUINAREA</v>
      </c>
    </row>
    <row r="176" spans="1:5">
      <c r="A176" s="5" t="str">
        <f ca="1">IFERROR(__xludf.DUMMYFUNCTION("""COMPUTED_VALUE"""),"CIRCULAR 180-0037-2023")</f>
        <v>CIRCULAR 180-0037-2023</v>
      </c>
      <c r="B176" s="5">
        <f ca="1">IFERROR(__xludf.DUMMYFUNCTION("""COMPUTED_VALUE"""),1083879828)</f>
        <v>1083879828</v>
      </c>
      <c r="C176" s="5" t="str">
        <f ca="1">IFERROR(__xludf.DUMMYFUNCTION("""COMPUTED_VALUE"""),"FRAIBER ZAMBRANO")</f>
        <v>FRAIBER ZAMBRANO</v>
      </c>
      <c r="D176" s="5" t="str">
        <f ca="1">IFERROR(__xludf.DUMMYFUNCTION("""COMPUTED_VALUE"""),"SUPERVISOR ")</f>
        <v xml:space="preserve">SUPERVISOR </v>
      </c>
      <c r="E176" s="5" t="str">
        <f ca="1">IFERROR(__xludf.DUMMYFUNCTION("""COMPUTED_VALUE"""),"MANTENIMIENTO MAQUINAREA")</f>
        <v>MANTENIMIENTO MAQUINAREA</v>
      </c>
    </row>
    <row r="177" spans="1:5">
      <c r="A177" s="5" t="str">
        <f ca="1">IFERROR(__xludf.DUMMYFUNCTION("""COMPUTED_VALUE"""),"CAPACITACIÓN LECTURA DE PLANOS KRONES")</f>
        <v>CAPACITACIÓN LECTURA DE PLANOS KRONES</v>
      </c>
      <c r="B177" s="5">
        <f ca="1">IFERROR(__xludf.DUMMYFUNCTION("""COMPUTED_VALUE"""),1083879828)</f>
        <v>1083879828</v>
      </c>
      <c r="C177" s="5" t="str">
        <f ca="1">IFERROR(__xludf.DUMMYFUNCTION("""COMPUTED_VALUE"""),"FRAIBER ZAMBRANO")</f>
        <v>FRAIBER ZAMBRANO</v>
      </c>
      <c r="D177" s="5" t="str">
        <f ca="1">IFERROR(__xludf.DUMMYFUNCTION("""COMPUTED_VALUE"""),"SUPERVISOR ")</f>
        <v xml:space="preserve">SUPERVISOR </v>
      </c>
      <c r="E177" s="5" t="str">
        <f ca="1">IFERROR(__xludf.DUMMYFUNCTION("""COMPUTED_VALUE"""),"MANTENIMIENTO MAQUINAREA")</f>
        <v>MANTENIMIENTO MAQUINAREA</v>
      </c>
    </row>
    <row r="178" spans="1:5">
      <c r="A178" s="5" t="str">
        <f ca="1">IFERROR(__xludf.DUMMYFUNCTION("""COMPUTED_VALUE"""),"CIRCULAR 180-0008-2023")</f>
        <v>CIRCULAR 180-0008-2023</v>
      </c>
      <c r="B178" s="5">
        <f ca="1">IFERROR(__xludf.DUMMYFUNCTION("""COMPUTED_VALUE"""),1083879828)</f>
        <v>1083879828</v>
      </c>
      <c r="C178" s="5" t="str">
        <f ca="1">IFERROR(__xludf.DUMMYFUNCTION("""COMPUTED_VALUE"""),"FRAIBER ZAMBRANO")</f>
        <v>FRAIBER ZAMBRANO</v>
      </c>
      <c r="D178" s="5" t="str">
        <f ca="1">IFERROR(__xludf.DUMMYFUNCTION("""COMPUTED_VALUE"""),"SUPERVISOR ")</f>
        <v xml:space="preserve">SUPERVISOR </v>
      </c>
      <c r="E178" s="5" t="str">
        <f ca="1">IFERROR(__xludf.DUMMYFUNCTION("""COMPUTED_VALUE"""),"MANTENIMIENTO MAQUINAREA")</f>
        <v>MANTENIMIENTO MAQUINAREA</v>
      </c>
    </row>
    <row r="179" spans="1:5">
      <c r="A179" s="5" t="str">
        <f ca="1">IFERROR(__xludf.DUMMYFUNCTION("""COMPUTED_VALUE"""),"USO DEL APLICATIVO MTTO")</f>
        <v>USO DEL APLICATIVO MTTO</v>
      </c>
      <c r="B179" s="5">
        <f ca="1">IFERROR(__xludf.DUMMYFUNCTION("""COMPUTED_VALUE"""),1083879828)</f>
        <v>1083879828</v>
      </c>
      <c r="C179" s="5" t="str">
        <f ca="1">IFERROR(__xludf.DUMMYFUNCTION("""COMPUTED_VALUE"""),"FRAIBER ZAMBRANO")</f>
        <v>FRAIBER ZAMBRANO</v>
      </c>
      <c r="D179" s="5" t="str">
        <f ca="1">IFERROR(__xludf.DUMMYFUNCTION("""COMPUTED_VALUE"""),"SUPERVISOR ")</f>
        <v xml:space="preserve">SUPERVISOR </v>
      </c>
      <c r="E179" s="5" t="str">
        <f ca="1">IFERROR(__xludf.DUMMYFUNCTION("""COMPUTED_VALUE"""),"MANTENIMIENTO MAQUINAREA")</f>
        <v>MANTENIMIENTO MAQUINAREA</v>
      </c>
    </row>
    <row r="180" spans="1:5">
      <c r="A180" s="5" t="str">
        <f ca="1">IFERROR(__xludf.DUMMYFUNCTION("""COMPUTED_VALUE"""),"ACTUALIZACIÓN 
FORMATO 
PRESIÓN POSITIVA")</f>
        <v>ACTUALIZACIÓN 
FORMATO 
PRESIÓN POSITIVA</v>
      </c>
      <c r="B180" s="5">
        <f ca="1">IFERROR(__xludf.DUMMYFUNCTION("""COMPUTED_VALUE"""),1083879828)</f>
        <v>1083879828</v>
      </c>
      <c r="C180" s="5" t="str">
        <f ca="1">IFERROR(__xludf.DUMMYFUNCTION("""COMPUTED_VALUE"""),"FRAIBER ZAMBRANO")</f>
        <v>FRAIBER ZAMBRANO</v>
      </c>
      <c r="D180" s="5" t="str">
        <f ca="1">IFERROR(__xludf.DUMMYFUNCTION("""COMPUTED_VALUE"""),"SUPERVISOR ")</f>
        <v xml:space="preserve">SUPERVISOR </v>
      </c>
      <c r="E180" s="5" t="str">
        <f ca="1">IFERROR(__xludf.DUMMYFUNCTION("""COMPUTED_VALUE"""),"MANTENIMIENTO MAQUINAREA")</f>
        <v>MANTENIMIENTO MAQUINAREA</v>
      </c>
    </row>
    <row r="181" spans="1:5">
      <c r="A181" s="5" t="str">
        <f ca="1">IFERROR(__xludf.DUMMYFUNCTION("""COMPUTED_VALUE"""),"CIRCULAR 180-0021-2023")</f>
        <v>CIRCULAR 180-0021-2023</v>
      </c>
      <c r="B181" s="5">
        <f ca="1">IFERROR(__xludf.DUMMYFUNCTION("""COMPUTED_VALUE"""),1083879828)</f>
        <v>1083879828</v>
      </c>
      <c r="C181" s="5" t="str">
        <f ca="1">IFERROR(__xludf.DUMMYFUNCTION("""COMPUTED_VALUE"""),"FRAIBER ZAMBRANO")</f>
        <v>FRAIBER ZAMBRANO</v>
      </c>
      <c r="D181" s="5" t="str">
        <f ca="1">IFERROR(__xludf.DUMMYFUNCTION("""COMPUTED_VALUE"""),"SUPERVISOR ")</f>
        <v xml:space="preserve">SUPERVISOR </v>
      </c>
      <c r="E181" s="5" t="str">
        <f ca="1">IFERROR(__xludf.DUMMYFUNCTION("""COMPUTED_VALUE"""),"MANTENIMIENTO MAQUINAREA")</f>
        <v>MANTENIMIENTO MAQUINAREA</v>
      </c>
    </row>
    <row r="182" spans="1:5">
      <c r="A182" s="5" t="str">
        <f ca="1">IFERROR(__xludf.DUMMYFUNCTION("""COMPUTED_VALUE"""),"Habilitación de terminal para m2 línea 1")</f>
        <v>Habilitación de terminal para m2 línea 1</v>
      </c>
      <c r="B182" s="5">
        <f ca="1">IFERROR(__xludf.DUMMYFUNCTION("""COMPUTED_VALUE"""),1083879828)</f>
        <v>1083879828</v>
      </c>
      <c r="C182" s="5" t="str">
        <f ca="1">IFERROR(__xludf.DUMMYFUNCTION("""COMPUTED_VALUE"""),"FRAIBER ZAMBRANO")</f>
        <v>FRAIBER ZAMBRANO</v>
      </c>
      <c r="D182" s="5" t="str">
        <f ca="1">IFERROR(__xludf.DUMMYFUNCTION("""COMPUTED_VALUE"""),"SUPERVISOR ")</f>
        <v xml:space="preserve">SUPERVISOR </v>
      </c>
      <c r="E182" s="5" t="str">
        <f ca="1">IFERROR(__xludf.DUMMYFUNCTION("""COMPUTED_VALUE"""),"MANTENIMIENTO MAQUINAREA")</f>
        <v>MANTENIMIENTO MAQUINAREA</v>
      </c>
    </row>
    <row r="183" spans="1:5">
      <c r="A183" s="5" t="str">
        <f ca="1">IFERROR(__xludf.DUMMYFUNCTION("""COMPUTED_VALUE"""),"CIRCULAR 180-0037-2023")</f>
        <v>CIRCULAR 180-0037-2023</v>
      </c>
      <c r="B183" s="5">
        <f ca="1">IFERROR(__xludf.DUMMYFUNCTION("""COMPUTED_VALUE"""),1061535068)</f>
        <v>1061535068</v>
      </c>
      <c r="C183" s="5" t="str">
        <f ca="1">IFERROR(__xludf.DUMMYFUNCTION("""COMPUTED_VALUE"""),"JEFERSON MUÑOZ")</f>
        <v>JEFERSON MUÑOZ</v>
      </c>
      <c r="D183" s="5" t="str">
        <f ca="1">IFERROR(__xludf.DUMMYFUNCTION("""COMPUTED_VALUE"""),"tecnicvo 3")</f>
        <v>tecnicvo 3</v>
      </c>
      <c r="E183" s="5" t="str">
        <f ca="1">IFERROR(__xludf.DUMMYFUNCTION("""COMPUTED_VALUE"""),"MANTENIMIENTO MAQUINAREA")</f>
        <v>MANTENIMIENTO MAQUINAREA</v>
      </c>
    </row>
    <row r="184" spans="1:5">
      <c r="A184" s="5" t="str">
        <f ca="1">IFERROR(__xludf.DUMMYFUNCTION("""COMPUTED_VALUE"""),"Habilitación de terminal para m2 línea 1")</f>
        <v>Habilitación de terminal para m2 línea 1</v>
      </c>
      <c r="B184" s="5">
        <f ca="1">IFERROR(__xludf.DUMMYFUNCTION("""COMPUTED_VALUE"""),94063517)</f>
        <v>94063517</v>
      </c>
      <c r="C184" s="5" t="str">
        <f ca="1">IFERROR(__xludf.DUMMYFUNCTION("""COMPUTED_VALUE"""),"GUIDO PAPAMIJA")</f>
        <v>GUIDO PAPAMIJA</v>
      </c>
      <c r="D184" s="5" t="str">
        <f ca="1">IFERROR(__xludf.DUMMYFUNCTION("""COMPUTED_VALUE"""),"Técnico 3 ")</f>
        <v xml:space="preserve">Técnico 3 </v>
      </c>
      <c r="E184" s="5" t="str">
        <f ca="1">IFERROR(__xludf.DUMMYFUNCTION("""COMPUTED_VALUE"""),"MANTENIMIENTO MAQUINAREA")</f>
        <v>MANTENIMIENTO MAQUINAREA</v>
      </c>
    </row>
    <row r="185" spans="1:5">
      <c r="A185" s="5" t="str">
        <f ca="1">IFERROR(__xludf.DUMMYFUNCTION("""COMPUTED_VALUE"""),"CIRCULAR 180-0037-2023")</f>
        <v>CIRCULAR 180-0037-2023</v>
      </c>
      <c r="B185" s="5">
        <f ca="1">IFERROR(__xludf.DUMMYFUNCTION("""COMPUTED_VALUE"""),94063517)</f>
        <v>94063517</v>
      </c>
      <c r="C185" s="5" t="str">
        <f ca="1">IFERROR(__xludf.DUMMYFUNCTION("""COMPUTED_VALUE"""),"GUIDO PAPAMIJA")</f>
        <v>GUIDO PAPAMIJA</v>
      </c>
      <c r="D185" s="5" t="str">
        <f ca="1">IFERROR(__xludf.DUMMYFUNCTION("""COMPUTED_VALUE"""),"Técnico 3 ")</f>
        <v xml:space="preserve">Técnico 3 </v>
      </c>
      <c r="E185" s="5" t="str">
        <f ca="1">IFERROR(__xludf.DUMMYFUNCTION("""COMPUTED_VALUE"""),"MANTENIMIENTO MAQUINAREA")</f>
        <v>MANTENIMIENTO MAQUINAREA</v>
      </c>
    </row>
    <row r="186" spans="1:5">
      <c r="A186" s="5" t="str">
        <f ca="1">IFERROR(__xludf.DUMMYFUNCTION("""COMPUTED_VALUE"""),"CAPACITACIÓN LECTURA DE PLANOS KRONES")</f>
        <v>CAPACITACIÓN LECTURA DE PLANOS KRONES</v>
      </c>
      <c r="B186" s="5">
        <f ca="1">IFERROR(__xludf.DUMMYFUNCTION("""COMPUTED_VALUE"""),94063517)</f>
        <v>94063517</v>
      </c>
      <c r="C186" s="5" t="str">
        <f ca="1">IFERROR(__xludf.DUMMYFUNCTION("""COMPUTED_VALUE"""),"GUIDO PAPAMIJA")</f>
        <v>GUIDO PAPAMIJA</v>
      </c>
      <c r="D186" s="5" t="str">
        <f ca="1">IFERROR(__xludf.DUMMYFUNCTION("""COMPUTED_VALUE"""),"Técnico 3 ")</f>
        <v xml:space="preserve">Técnico 3 </v>
      </c>
      <c r="E186" s="5" t="str">
        <f ca="1">IFERROR(__xludf.DUMMYFUNCTION("""COMPUTED_VALUE"""),"MANTENIMIENTO MAQUINAREA")</f>
        <v>MANTENIMIENTO MAQUINAREA</v>
      </c>
    </row>
    <row r="187" spans="1:5">
      <c r="A187" s="5" t="str">
        <f ca="1">IFERROR(__xludf.DUMMYFUNCTION("""COMPUTED_VALUE"""),"ACTUALIZACIÓN DE M2 CAM")</f>
        <v>ACTUALIZACIÓN DE M2 CAM</v>
      </c>
      <c r="B187" s="5">
        <f ca="1">IFERROR(__xludf.DUMMYFUNCTION("""COMPUTED_VALUE"""),94063517)</f>
        <v>94063517</v>
      </c>
      <c r="C187" s="5" t="str">
        <f ca="1">IFERROR(__xludf.DUMMYFUNCTION("""COMPUTED_VALUE"""),"GUIDO PAPAMIJA")</f>
        <v>GUIDO PAPAMIJA</v>
      </c>
      <c r="D187" s="5" t="str">
        <f ca="1">IFERROR(__xludf.DUMMYFUNCTION("""COMPUTED_VALUE"""),"Técnico 3 ")</f>
        <v xml:space="preserve">Técnico 3 </v>
      </c>
      <c r="E187" s="5" t="str">
        <f ca="1">IFERROR(__xludf.DUMMYFUNCTION("""COMPUTED_VALUE"""),"MANTENIMIENTO MAQUINAREA")</f>
        <v>MANTENIMIENTO MAQUINAREA</v>
      </c>
    </row>
    <row r="188" spans="1:5">
      <c r="A188" s="5" t="str">
        <f ca="1">IFERROR(__xludf.DUMMYFUNCTION("""COMPUTED_VALUE"""),"CIRCULAR 180-0037-2023")</f>
        <v>CIRCULAR 180-0037-2023</v>
      </c>
      <c r="B188" s="5">
        <f ca="1">IFERROR(__xludf.DUMMYFUNCTION("""COMPUTED_VALUE"""),94482460)</f>
        <v>94482460</v>
      </c>
      <c r="C188" s="5" t="str">
        <f ca="1">IFERROR(__xludf.DUMMYFUNCTION("""COMPUTED_VALUE"""),"MIGUEL GUZMÁN")</f>
        <v>MIGUEL GUZMÁN</v>
      </c>
      <c r="D188" s="5" t="str">
        <f ca="1">IFERROR(__xludf.DUMMYFUNCTION("""COMPUTED_VALUE"""),"Técnico III")</f>
        <v>Técnico III</v>
      </c>
      <c r="E188" s="5" t="str">
        <f ca="1">IFERROR(__xludf.DUMMYFUNCTION("""COMPUTED_VALUE"""),"MANTENIMIENTO MAQUINAREA")</f>
        <v>MANTENIMIENTO MAQUINAREA</v>
      </c>
    </row>
    <row r="189" spans="1:5">
      <c r="A189" s="5" t="str">
        <f ca="1">IFERROR(__xludf.DUMMYFUNCTION("""COMPUTED_VALUE"""),"Habilitación de terminal para m2 línea 1")</f>
        <v>Habilitación de terminal para m2 línea 1</v>
      </c>
      <c r="B189" s="5">
        <f ca="1">IFERROR(__xludf.DUMMYFUNCTION("""COMPUTED_VALUE"""),94482460)</f>
        <v>94482460</v>
      </c>
      <c r="C189" s="5" t="str">
        <f ca="1">IFERROR(__xludf.DUMMYFUNCTION("""COMPUTED_VALUE"""),"MIGUEL GUZMÁN")</f>
        <v>MIGUEL GUZMÁN</v>
      </c>
      <c r="D189" s="5" t="str">
        <f ca="1">IFERROR(__xludf.DUMMYFUNCTION("""COMPUTED_VALUE"""),"Técnico III")</f>
        <v>Técnico III</v>
      </c>
      <c r="E189" s="5" t="str">
        <f ca="1">IFERROR(__xludf.DUMMYFUNCTION("""COMPUTED_VALUE"""),"MANTENIMIENTO MAQUINAREA")</f>
        <v>MANTENIMIENTO MAQUINAREA</v>
      </c>
    </row>
    <row r="190" spans="1:5">
      <c r="A190" s="5" t="str">
        <f ca="1">IFERROR(__xludf.DUMMYFUNCTION("""COMPUTED_VALUE"""),"CAPACITACIÓN LECTURA DE PLANOS KRONES")</f>
        <v>CAPACITACIÓN LECTURA DE PLANOS KRONES</v>
      </c>
      <c r="B190" s="5">
        <f ca="1">IFERROR(__xludf.DUMMYFUNCTION("""COMPUTED_VALUE"""),94482460)</f>
        <v>94482460</v>
      </c>
      <c r="C190" s="5" t="str">
        <f ca="1">IFERROR(__xludf.DUMMYFUNCTION("""COMPUTED_VALUE"""),"MIGUEL GUZMÁN")</f>
        <v>MIGUEL GUZMÁN</v>
      </c>
      <c r="D190" s="5" t="str">
        <f ca="1">IFERROR(__xludf.DUMMYFUNCTION("""COMPUTED_VALUE"""),"Técnico III ")</f>
        <v xml:space="preserve">Técnico III </v>
      </c>
      <c r="E190" s="5" t="str">
        <f ca="1">IFERROR(__xludf.DUMMYFUNCTION("""COMPUTED_VALUE"""),"MANTENIMIENTO MAQUINAREA")</f>
        <v>MANTENIMIENTO MAQUINAREA</v>
      </c>
    </row>
    <row r="191" spans="1:5">
      <c r="A191" s="5" t="str">
        <f ca="1">IFERROR(__xludf.DUMMYFUNCTION("""COMPUTED_VALUE"""),"CIRCULAR 180-0037-2023")</f>
        <v>CIRCULAR 180-0037-2023</v>
      </c>
      <c r="B191" s="5">
        <f ca="1">IFERROR(__xludf.DUMMYFUNCTION("""COMPUTED_VALUE"""),79493644)</f>
        <v>79493644</v>
      </c>
      <c r="C191" s="5" t="str">
        <f ca="1">IFERROR(__xludf.DUMMYFUNCTION("""COMPUTED_VALUE"""),"CARLOS A MARTINEZ")</f>
        <v>CARLOS A MARTINEZ</v>
      </c>
      <c r="D191" s="5" t="str">
        <f ca="1">IFERROR(__xludf.DUMMYFUNCTION("""COMPUTED_VALUE"""),"tecnico 3")</f>
        <v>tecnico 3</v>
      </c>
      <c r="E191" s="5" t="str">
        <f ca="1">IFERROR(__xludf.DUMMYFUNCTION("""COMPUTED_VALUE"""),"MANTENIMIENTO MAQUINAREA")</f>
        <v>MANTENIMIENTO MAQUINAREA</v>
      </c>
    </row>
    <row r="192" spans="1:5">
      <c r="A192" s="5" t="str">
        <f ca="1">IFERROR(__xludf.DUMMYFUNCTION("""COMPUTED_VALUE"""),"CIRCULAR 180-0037-2023")</f>
        <v>CIRCULAR 180-0037-2023</v>
      </c>
      <c r="B192" s="5">
        <f ca="1">IFERROR(__xludf.DUMMYFUNCTION("""COMPUTED_VALUE"""),1130620555)</f>
        <v>1130620555</v>
      </c>
      <c r="C192" s="5" t="str">
        <f ca="1">IFERROR(__xludf.DUMMYFUNCTION("""COMPUTED_VALUE"""),"Victor David burbano gomez")</f>
        <v>Victor David burbano gomez</v>
      </c>
      <c r="D192" s="5" t="str">
        <f ca="1">IFERROR(__xludf.DUMMYFUNCTION("""COMPUTED_VALUE"""),"Técnico 3")</f>
        <v>Técnico 3</v>
      </c>
      <c r="E192" s="5" t="str">
        <f ca="1">IFERROR(__xludf.DUMMYFUNCTION("""COMPUTED_VALUE"""),"MANTENIMIENTO MAQUINAREA")</f>
        <v>MANTENIMIENTO MAQUINAREA</v>
      </c>
    </row>
    <row r="193" spans="1:5">
      <c r="A193" s="5" t="str">
        <f ca="1">IFERROR(__xludf.DUMMYFUNCTION("""COMPUTED_VALUE"""),"Habilitación de terminal para m2 línea 1")</f>
        <v>Habilitación de terminal para m2 línea 1</v>
      </c>
      <c r="B193" s="5">
        <f ca="1">IFERROR(__xludf.DUMMYFUNCTION("""COMPUTED_VALUE"""),1130620555)</f>
        <v>1130620555</v>
      </c>
      <c r="C193" s="5" t="str">
        <f ca="1">IFERROR(__xludf.DUMMYFUNCTION("""COMPUTED_VALUE"""),"Victor David burbano gomez")</f>
        <v>Victor David burbano gomez</v>
      </c>
      <c r="D193" s="5" t="str">
        <f ca="1">IFERROR(__xludf.DUMMYFUNCTION("""COMPUTED_VALUE"""),"Técnico 3 ")</f>
        <v xml:space="preserve">Técnico 3 </v>
      </c>
      <c r="E193" s="5" t="str">
        <f ca="1">IFERROR(__xludf.DUMMYFUNCTION("""COMPUTED_VALUE"""),"MANTENIMIENTO MAQUINAREA")</f>
        <v>MANTENIMIENTO MAQUINAREA</v>
      </c>
    </row>
    <row r="194" spans="1:5">
      <c r="A194" s="5" t="str">
        <f ca="1">IFERROR(__xludf.DUMMYFUNCTION("""COMPUTED_VALUE"""),"CIRCULAR 180-0037-2023")</f>
        <v>CIRCULAR 180-0037-2023</v>
      </c>
      <c r="B194" s="5">
        <f ca="1">IFERROR(__xludf.DUMMYFUNCTION("""COMPUTED_VALUE"""),1130624327)</f>
        <v>1130624327</v>
      </c>
      <c r="C194" s="5" t="str">
        <f ca="1">IFERROR(__xludf.DUMMYFUNCTION("""COMPUTED_VALUE"""),"JULIAN CALDERON")</f>
        <v>JULIAN CALDERON</v>
      </c>
      <c r="D194" s="5" t="str">
        <f ca="1">IFERROR(__xludf.DUMMYFUNCTION("""COMPUTED_VALUE"""),"Técnico 3")</f>
        <v>Técnico 3</v>
      </c>
      <c r="E194" s="5" t="str">
        <f ca="1">IFERROR(__xludf.DUMMYFUNCTION("""COMPUTED_VALUE"""),"MANTENIMIENTO MAQUINAREA")</f>
        <v>MANTENIMIENTO MAQUINAREA</v>
      </c>
    </row>
    <row r="195" spans="1:5">
      <c r="A195" s="5" t="str">
        <f ca="1">IFERROR(__xludf.DUMMYFUNCTION("""COMPUTED_VALUE"""),"USO DEL APLICATIVO MTTO")</f>
        <v>USO DEL APLICATIVO MTTO</v>
      </c>
      <c r="B195" s="5">
        <f ca="1">IFERROR(__xludf.DUMMYFUNCTION("""COMPUTED_VALUE"""),1130624327)</f>
        <v>1130624327</v>
      </c>
      <c r="C195" s="5" t="str">
        <f ca="1">IFERROR(__xludf.DUMMYFUNCTION("""COMPUTED_VALUE"""),"JULIAN CALDERON")</f>
        <v>JULIAN CALDERON</v>
      </c>
      <c r="D195" s="5" t="str">
        <f ca="1">IFERROR(__xludf.DUMMYFUNCTION("""COMPUTED_VALUE"""),"Técnico 3")</f>
        <v>Técnico 3</v>
      </c>
      <c r="E195" s="5" t="str">
        <f ca="1">IFERROR(__xludf.DUMMYFUNCTION("""COMPUTED_VALUE"""),"PRODUCCION")</f>
        <v>PRODUCCION</v>
      </c>
    </row>
    <row r="196" spans="1:5">
      <c r="A196" s="5" t="str">
        <f ca="1">IFERROR(__xludf.DUMMYFUNCTION("""COMPUTED_VALUE"""),"SEGURIDAD Y SALUD")</f>
        <v>SEGURIDAD Y SALUD</v>
      </c>
      <c r="B196" s="5">
        <f ca="1">IFERROR(__xludf.DUMMYFUNCTION("""COMPUTED_VALUE"""),1192778877)</f>
        <v>1192778877</v>
      </c>
      <c r="C196" s="5" t="str">
        <f ca="1">IFERROR(__xludf.DUMMYFUNCTION("""COMPUTED_VALUE"""),"Valeria Jimenez")</f>
        <v>Valeria Jimenez</v>
      </c>
      <c r="D196" s="5" t="str">
        <f ca="1">IFERROR(__xludf.DUMMYFUNCTION("""COMPUTED_VALUE"""),"Aprendiz")</f>
        <v>Aprendiz</v>
      </c>
      <c r="E196" s="5" t="str">
        <f ca="1">IFERROR(__xludf.DUMMYFUNCTION("""COMPUTED_VALUE"""),"MTTO")</f>
        <v>MTTO</v>
      </c>
    </row>
    <row r="197" spans="1:5">
      <c r="A197" s="5" t="str">
        <f ca="1">IFERROR(__xludf.DUMMYFUNCTION("""COMPUTED_VALUE"""),"SEGURIDAD Y SALUD")</f>
        <v>SEGURIDAD Y SALUD</v>
      </c>
      <c r="B197" s="5">
        <f ca="1">IFERROR(__xludf.DUMMYFUNCTION("""COMPUTED_VALUE"""),94044185)</f>
        <v>94044185</v>
      </c>
      <c r="C197" s="5" t="str">
        <f ca="1">IFERROR(__xludf.DUMMYFUNCTION("""COMPUTED_VALUE"""),"VICTOR FERNANDEZ")</f>
        <v>VICTOR FERNANDEZ</v>
      </c>
      <c r="D197" s="5" t="str">
        <f ca="1">IFERROR(__xludf.DUMMYFUNCTION("""COMPUTED_VALUE"""),"Supervisor")</f>
        <v>Supervisor</v>
      </c>
      <c r="E197" s="5" t="str">
        <f ca="1">IFERROR(__xludf.DUMMYFUNCTION("""COMPUTED_VALUE"""),"MTTO")</f>
        <v>MTTO</v>
      </c>
    </row>
    <row r="198" spans="1:5">
      <c r="A198" s="5" t="str">
        <f ca="1">IFERROR(__xludf.DUMMYFUNCTION("""COMPUTED_VALUE"""),"SEGURIDAD Y SALUD")</f>
        <v>SEGURIDAD Y SALUD</v>
      </c>
      <c r="B198" s="5">
        <f ca="1">IFERROR(__xludf.DUMMYFUNCTION("""COMPUTED_VALUE"""),1113692667)</f>
        <v>1113692667</v>
      </c>
      <c r="C198" s="5" t="str">
        <f ca="1">IFERROR(__xludf.DUMMYFUNCTION("""COMPUTED_VALUE"""),"Stiven Ferney Quintero Diaz ")</f>
        <v xml:space="preserve">Stiven Ferney Quintero Diaz </v>
      </c>
      <c r="D198" s="5" t="str">
        <f ca="1">IFERROR(__xludf.DUMMYFUNCTION("""COMPUTED_VALUE"""),"Tecnico III")</f>
        <v>Tecnico III</v>
      </c>
      <c r="E198" s="5" t="str">
        <f ca="1">IFERROR(__xludf.DUMMYFUNCTION("""COMPUTED_VALUE"""),"MTTO")</f>
        <v>MTTO</v>
      </c>
    </row>
    <row r="199" spans="1:5">
      <c r="A199" s="5" t="str">
        <f ca="1">IFERROR(__xludf.DUMMYFUNCTION("""COMPUTED_VALUE"""),"SEGURIDAD Y SALUD")</f>
        <v>SEGURIDAD Y SALUD</v>
      </c>
      <c r="B199" s="5">
        <f ca="1">IFERROR(__xludf.DUMMYFUNCTION("""COMPUTED_VALUE"""),1130624327)</f>
        <v>1130624327</v>
      </c>
      <c r="C199" s="5" t="str">
        <f ca="1">IFERROR(__xludf.DUMMYFUNCTION("""COMPUTED_VALUE"""),"JULIAN CALDERON")</f>
        <v>JULIAN CALDERON</v>
      </c>
      <c r="D199" s="5" t="str">
        <f ca="1">IFERROR(__xludf.DUMMYFUNCTION("""COMPUTED_VALUE"""),"Técnico 3 ")</f>
        <v xml:space="preserve">Técnico 3 </v>
      </c>
      <c r="E199" s="5" t="str">
        <f ca="1">IFERROR(__xludf.DUMMYFUNCTION("""COMPUTED_VALUE"""),"MTTO")</f>
        <v>MTTO</v>
      </c>
    </row>
    <row r="200" spans="1:5">
      <c r="A200" s="5" t="str">
        <f ca="1">IFERROR(__xludf.DUMMYFUNCTION("""COMPUTED_VALUE"""),"SEGURIDAD Y SALUD")</f>
        <v>SEGURIDAD Y SALUD</v>
      </c>
      <c r="B200" s="5">
        <f ca="1">IFERROR(__xludf.DUMMYFUNCTION("""COMPUTED_VALUE"""),79493644)</f>
        <v>79493644</v>
      </c>
      <c r="C200" s="5" t="str">
        <f ca="1">IFERROR(__xludf.DUMMYFUNCTION("""COMPUTED_VALUE"""),"CARLOS A MARTINEZ")</f>
        <v>CARLOS A MARTINEZ</v>
      </c>
      <c r="D200" s="5" t="str">
        <f ca="1">IFERROR(__xludf.DUMMYFUNCTION("""COMPUTED_VALUE"""),"técnico III")</f>
        <v>técnico III</v>
      </c>
      <c r="E200" s="5" t="str">
        <f ca="1">IFERROR(__xludf.DUMMYFUNCTION("""COMPUTED_VALUE"""),"MTTO")</f>
        <v>MTTO</v>
      </c>
    </row>
    <row r="201" spans="1:5">
      <c r="A201" s="5" t="str">
        <f ca="1">IFERROR(__xludf.DUMMYFUNCTION("""COMPUTED_VALUE"""),"SEGURIDAD Y SALUD")</f>
        <v>SEGURIDAD Y SALUD</v>
      </c>
      <c r="B201" s="5">
        <f ca="1">IFERROR(__xludf.DUMMYFUNCTION("""COMPUTED_VALUE"""),1144191128)</f>
        <v>1144191128</v>
      </c>
      <c r="C201" s="5" t="str">
        <f ca="1">IFERROR(__xludf.DUMMYFUNCTION("""COMPUTED_VALUE"""),"ESTEBAN POTOSI ")</f>
        <v xml:space="preserve">ESTEBAN POTOSI </v>
      </c>
      <c r="D201" s="5" t="str">
        <f ca="1">IFERROR(__xludf.DUMMYFUNCTION("""COMPUTED_VALUE"""),"Tecnico 3")</f>
        <v>Tecnico 3</v>
      </c>
      <c r="E201" s="5" t="str">
        <f ca="1">IFERROR(__xludf.DUMMYFUNCTION("""COMPUTED_VALUE"""),"MTTO")</f>
        <v>MTTO</v>
      </c>
    </row>
    <row r="202" spans="1:5">
      <c r="A202" s="5" t="str">
        <f ca="1">IFERROR(__xludf.DUMMYFUNCTION("""COMPUTED_VALUE"""),"SEGURIDAD Y SALUD")</f>
        <v>SEGURIDAD Y SALUD</v>
      </c>
      <c r="B202" s="5">
        <f ca="1">IFERROR(__xludf.DUMMYFUNCTION("""COMPUTED_VALUE"""),16640850)</f>
        <v>16640850</v>
      </c>
      <c r="C202" s="5" t="str">
        <f ca="1">IFERROR(__xludf.DUMMYFUNCTION("""COMPUTED_VALUE"""),"URIEL LEON")</f>
        <v>URIEL LEON</v>
      </c>
      <c r="D202" s="5" t="str">
        <f ca="1">IFERROR(__xludf.DUMMYFUNCTION("""COMPUTED_VALUE"""),"SUPERVISOR MANTENIMIENTO")</f>
        <v>SUPERVISOR MANTENIMIENTO</v>
      </c>
      <c r="E202" s="5" t="str">
        <f ca="1">IFERROR(__xludf.DUMMYFUNCTION("""COMPUTED_VALUE"""),"MTTO")</f>
        <v>MTTO</v>
      </c>
    </row>
    <row r="203" spans="1:5">
      <c r="A203" s="5" t="str">
        <f ca="1">IFERROR(__xludf.DUMMYFUNCTION("""COMPUTED_VALUE"""),"SEGURIDAD Y SALUD")</f>
        <v>SEGURIDAD Y SALUD</v>
      </c>
      <c r="B203" s="5">
        <f ca="1">IFERROR(__xludf.DUMMYFUNCTION("""COMPUTED_VALUE"""),94542837)</f>
        <v>94542837</v>
      </c>
      <c r="C203" s="5" t="str">
        <f ca="1">IFERROR(__xludf.DUMMYFUNCTION("""COMPUTED_VALUE"""),"MARIO ALBERTO MARTINEZ")</f>
        <v>MARIO ALBERTO MARTINEZ</v>
      </c>
      <c r="D203" s="5" t="str">
        <f ca="1">IFERROR(__xludf.DUMMYFUNCTION("""COMPUTED_VALUE"""),"Técnico III ")</f>
        <v xml:space="preserve">Técnico III </v>
      </c>
      <c r="E203" s="5" t="str">
        <f ca="1">IFERROR(__xludf.DUMMYFUNCTION("""COMPUTED_VALUE"""),"MTTO")</f>
        <v>MTTO</v>
      </c>
    </row>
    <row r="204" spans="1:5">
      <c r="A204" s="5" t="str">
        <f ca="1">IFERROR(__xludf.DUMMYFUNCTION("""COMPUTED_VALUE"""),"SEGURIDAD Y SALUD")</f>
        <v>SEGURIDAD Y SALUD</v>
      </c>
      <c r="B204" s="5">
        <f ca="1">IFERROR(__xludf.DUMMYFUNCTION("""COMPUTED_VALUE"""),16459044)</f>
        <v>16459044</v>
      </c>
      <c r="C204" s="5" t="str">
        <f ca="1">IFERROR(__xludf.DUMMYFUNCTION("""COMPUTED_VALUE"""),"JHON F JIMENEZ")</f>
        <v>JHON F JIMENEZ</v>
      </c>
      <c r="D204" s="5" t="str">
        <f ca="1">IFERROR(__xludf.DUMMYFUNCTION("""COMPUTED_VALUE"""),"Técnico 3
")</f>
        <v xml:space="preserve">Técnico 3
</v>
      </c>
      <c r="E204" s="5" t="str">
        <f ca="1">IFERROR(__xludf.DUMMYFUNCTION("""COMPUTED_VALUE"""),"MTTO")</f>
        <v>MTTO</v>
      </c>
    </row>
    <row r="205" spans="1:5">
      <c r="A205" s="5" t="str">
        <f ca="1">IFERROR(__xludf.DUMMYFUNCTION("""COMPUTED_VALUE"""),"SEGURIDAD Y SALUD")</f>
        <v>SEGURIDAD Y SALUD</v>
      </c>
      <c r="B205" s="5">
        <f ca="1">IFERROR(__xludf.DUMMYFUNCTION("""COMPUTED_VALUE"""),16917004)</f>
        <v>16917004</v>
      </c>
      <c r="C205" s="5" t="str">
        <f ca="1">IFERROR(__xludf.DUMMYFUNCTION("""COMPUTED_VALUE"""),"WALTER MORA")</f>
        <v>WALTER MORA</v>
      </c>
      <c r="D205" s="5" t="str">
        <f ca="1">IFERROR(__xludf.DUMMYFUNCTION("""COMPUTED_VALUE"""),"Planeador")</f>
        <v>Planeador</v>
      </c>
      <c r="E205" s="5" t="str">
        <f ca="1">IFERROR(__xludf.DUMMYFUNCTION("""COMPUTED_VALUE"""),"MTTO")</f>
        <v>MTTO</v>
      </c>
    </row>
    <row r="206" spans="1:5">
      <c r="A206" s="5" t="str">
        <f ca="1">IFERROR(__xludf.DUMMYFUNCTION("""COMPUTED_VALUE"""),"SEGURIDAD Y SALUD")</f>
        <v>SEGURIDAD Y SALUD</v>
      </c>
      <c r="B206" s="5">
        <f ca="1">IFERROR(__xludf.DUMMYFUNCTION("""COMPUTED_VALUE"""),1061535068)</f>
        <v>1061535068</v>
      </c>
      <c r="C206" s="5" t="str">
        <f ca="1">IFERROR(__xludf.DUMMYFUNCTION("""COMPUTED_VALUE"""),"JEFERSON MUÑOZ")</f>
        <v>JEFERSON MUÑOZ</v>
      </c>
      <c r="D206" s="5" t="str">
        <f ca="1">IFERROR(__xludf.DUMMYFUNCTION("""COMPUTED_VALUE"""),"Técnico 3")</f>
        <v>Técnico 3</v>
      </c>
      <c r="E206" s="5" t="str">
        <f ca="1">IFERROR(__xludf.DUMMYFUNCTION("""COMPUTED_VALUE"""),"MTTO")</f>
        <v>MTTO</v>
      </c>
    </row>
    <row r="207" spans="1:5">
      <c r="A207" s="5" t="str">
        <f ca="1">IFERROR(__xludf.DUMMYFUNCTION("""COMPUTED_VALUE"""),"CIRCULAR 180-0037-2023")</f>
        <v>CIRCULAR 180-0037-2023</v>
      </c>
      <c r="B207" s="5">
        <f ca="1">IFERROR(__xludf.DUMMYFUNCTION("""COMPUTED_VALUE"""),1083879828)</f>
        <v>1083879828</v>
      </c>
      <c r="C207" s="5" t="str">
        <f ca="1">IFERROR(__xludf.DUMMYFUNCTION("""COMPUTED_VALUE"""),"FRAIBER ZAMBRANO")</f>
        <v>FRAIBER ZAMBRANO</v>
      </c>
      <c r="D207" s="5" t="str">
        <f ca="1">IFERROR(__xludf.DUMMYFUNCTION("""COMPUTED_VALUE"""),"SUPERVISOR")</f>
        <v>SUPERVISOR</v>
      </c>
      <c r="E207" s="5" t="str">
        <f ca="1">IFERROR(__xludf.DUMMYFUNCTION("""COMPUTED_VALUE"""),"MANTENIMIENTO MAQUINAREA")</f>
        <v>MANTENIMIENTO MAQUINAREA</v>
      </c>
    </row>
    <row r="208" spans="1:5">
      <c r="A208" s="5" t="str">
        <f ca="1">IFERROR(__xludf.DUMMYFUNCTION("""COMPUTED_VALUE"""),"SEGURIDAD Y SALUD")</f>
        <v>SEGURIDAD Y SALUD</v>
      </c>
      <c r="B208" s="5">
        <f ca="1">IFERROR(__xludf.DUMMYFUNCTION("""COMPUTED_VALUE"""),14622253)</f>
        <v>14622253</v>
      </c>
      <c r="C208" s="5" t="str">
        <f ca="1">IFERROR(__xludf.DUMMYFUNCTION("""COMPUTED_VALUE"""),"EDWAR ZAPATA")</f>
        <v>EDWAR ZAPATA</v>
      </c>
      <c r="D208" s="5" t="str">
        <f ca="1">IFERROR(__xludf.DUMMYFUNCTION("""COMPUTED_VALUE"""),"Jefe Mantenimiento")</f>
        <v>Jefe Mantenimiento</v>
      </c>
      <c r="E208" s="5" t="str">
        <f ca="1">IFERROR(__xludf.DUMMYFUNCTION("""COMPUTED_VALUE"""),"MTTO")</f>
        <v>MTTO</v>
      </c>
    </row>
    <row r="209" spans="1:5">
      <c r="A209" s="5" t="str">
        <f ca="1">IFERROR(__xludf.DUMMYFUNCTION("""COMPUTED_VALUE"""),"SEGURIDAD Y SALUD")</f>
        <v>SEGURIDAD Y SALUD</v>
      </c>
      <c r="B209" s="5">
        <f ca="1">IFERROR(__xludf.DUMMYFUNCTION("""COMPUTED_VALUE"""),1151940372)</f>
        <v>1151940372</v>
      </c>
      <c r="C209" s="5" t="str">
        <f ca="1">IFERROR(__xludf.DUMMYFUNCTION("""COMPUTED_VALUE"""),"HELMER QUISCUALTUD")</f>
        <v>HELMER QUISCUALTUD</v>
      </c>
      <c r="D209" s="5" t="str">
        <f ca="1">IFERROR(__xludf.DUMMYFUNCTION("""COMPUTED_VALUE"""),"Supervisor ")</f>
        <v xml:space="preserve">Supervisor </v>
      </c>
      <c r="E209" s="5" t="str">
        <f ca="1">IFERROR(__xludf.DUMMYFUNCTION("""COMPUTED_VALUE"""),"MTTO")</f>
        <v>MTTO</v>
      </c>
    </row>
    <row r="210" spans="1:5">
      <c r="A210" s="5" t="str">
        <f ca="1">IFERROR(__xludf.DUMMYFUNCTION("""COMPUTED_VALUE"""),"SEGURIDAD Y SALUD")</f>
        <v>SEGURIDAD Y SALUD</v>
      </c>
      <c r="B210" s="5">
        <f ca="1">IFERROR(__xludf.DUMMYFUNCTION("""COMPUTED_VALUE"""),1130620555)</f>
        <v>1130620555</v>
      </c>
      <c r="C210" s="5" t="str">
        <f ca="1">IFERROR(__xludf.DUMMYFUNCTION("""COMPUTED_VALUE"""),"Victor David burbano gomez")</f>
        <v>Victor David burbano gomez</v>
      </c>
      <c r="D210" s="5" t="str">
        <f ca="1">IFERROR(__xludf.DUMMYFUNCTION("""COMPUTED_VALUE"""),"Técnico 3")</f>
        <v>Técnico 3</v>
      </c>
      <c r="E210" s="5" t="str">
        <f ca="1">IFERROR(__xludf.DUMMYFUNCTION("""COMPUTED_VALUE"""),"MTTO")</f>
        <v>MTTO</v>
      </c>
    </row>
    <row r="211" spans="1:5">
      <c r="A211" s="5" t="str">
        <f ca="1">IFERROR(__xludf.DUMMYFUNCTION("""COMPUTED_VALUE"""),"SEGURIDAD Y SALUD")</f>
        <v>SEGURIDAD Y SALUD</v>
      </c>
      <c r="B211" s="5">
        <f ca="1">IFERROR(__xludf.DUMMYFUNCTION("""COMPUTED_VALUE"""),14608803)</f>
        <v>14608803</v>
      </c>
      <c r="C211" s="5" t="str">
        <f ca="1">IFERROR(__xludf.DUMMYFUNCTION("""COMPUTED_VALUE"""),"WILLIAM MAZORRA")</f>
        <v>WILLIAM MAZORRA</v>
      </c>
      <c r="D211" s="5" t="str">
        <f ca="1">IFERROR(__xludf.DUMMYFUNCTION("""COMPUTED_VALUE"""),"ING mantenimiento ")</f>
        <v xml:space="preserve">ING mantenimiento </v>
      </c>
      <c r="E211" s="5" t="str">
        <f ca="1">IFERROR(__xludf.DUMMYFUNCTION("""COMPUTED_VALUE"""),"MTTO")</f>
        <v>MTTO</v>
      </c>
    </row>
    <row r="212" spans="1:5">
      <c r="A212" s="5" t="str">
        <f ca="1">IFERROR(__xludf.DUMMYFUNCTION("""COMPUTED_VALUE"""),"SEGURIDAD Y SALUD")</f>
        <v>SEGURIDAD Y SALUD</v>
      </c>
      <c r="B212" s="5">
        <f ca="1">IFERROR(__xludf.DUMMYFUNCTION("""COMPUTED_VALUE"""),1083879828)</f>
        <v>1083879828</v>
      </c>
      <c r="C212" s="5" t="str">
        <f ca="1">IFERROR(__xludf.DUMMYFUNCTION("""COMPUTED_VALUE"""),"FRAIBER ZAMBRANO")</f>
        <v>FRAIBER ZAMBRANO</v>
      </c>
      <c r="D212" s="5" t="str">
        <f ca="1">IFERROR(__xludf.DUMMYFUNCTION("""COMPUTED_VALUE"""),"SUPERVISOR")</f>
        <v>SUPERVISOR</v>
      </c>
      <c r="E212" s="5" t="str">
        <f ca="1">IFERROR(__xludf.DUMMYFUNCTION("""COMPUTED_VALUE"""),"MTTO")</f>
        <v>MTTO</v>
      </c>
    </row>
    <row r="213" spans="1:5">
      <c r="A213" s="5" t="str">
        <f ca="1">IFERROR(__xludf.DUMMYFUNCTION("""COMPUTED_VALUE"""),"SEGURIDAD Y SALUD")</f>
        <v>SEGURIDAD Y SALUD</v>
      </c>
      <c r="B213" s="5">
        <f ca="1">IFERROR(__xludf.DUMMYFUNCTION("""COMPUTED_VALUE"""),940441152)</f>
        <v>940441152</v>
      </c>
      <c r="C213" s="5" t="str">
        <f ca="1">IFERROR(__xludf.DUMMYFUNCTION("""COMPUTED_VALUE"""),"WILLIAM GUERRA")</f>
        <v>WILLIAM GUERRA</v>
      </c>
      <c r="D213" s="5" t="str">
        <f ca="1">IFERROR(__xludf.DUMMYFUNCTION("""COMPUTED_VALUE"""),"Ingeniero Mantenimiento 
")</f>
        <v xml:space="preserve">Ingeniero Mantenimiento 
</v>
      </c>
      <c r="E213" s="5" t="str">
        <f ca="1">IFERROR(__xludf.DUMMYFUNCTION("""COMPUTED_VALUE"""),"MTTO")</f>
        <v>MTTO</v>
      </c>
    </row>
    <row r="214" spans="1:5">
      <c r="A214" s="5" t="str">
        <f ca="1">IFERROR(__xludf.DUMMYFUNCTION("""COMPUTED_VALUE"""),"SEGURIDAD Y SALUD")</f>
        <v>SEGURIDAD Y SALUD</v>
      </c>
      <c r="B214" s="5">
        <f ca="1">IFERROR(__xludf.DUMMYFUNCTION("""COMPUTED_VALUE"""),16861602)</f>
        <v>16861602</v>
      </c>
      <c r="C214" s="5" t="str">
        <f ca="1">IFERROR(__xludf.DUMMYFUNCTION("""COMPUTED_VALUE"""),"HECTOR F VALENCIA")</f>
        <v>HECTOR F VALENCIA</v>
      </c>
      <c r="D214" s="5" t="str">
        <f ca="1">IFERROR(__xludf.DUMMYFUNCTION("""COMPUTED_VALUE"""),"Técnico 3 ")</f>
        <v xml:space="preserve">Técnico 3 </v>
      </c>
      <c r="E214" s="5" t="str">
        <f ca="1">IFERROR(__xludf.DUMMYFUNCTION("""COMPUTED_VALUE"""),"MTTO")</f>
        <v>MTTO</v>
      </c>
    </row>
    <row r="215" spans="1:5">
      <c r="A215" s="5" t="str">
        <f ca="1">IFERROR(__xludf.DUMMYFUNCTION("""COMPUTED_VALUE"""),"SEGURIDAD Y SALUD")</f>
        <v>SEGURIDAD Y SALUD</v>
      </c>
      <c r="B215" s="5">
        <f ca="1">IFERROR(__xludf.DUMMYFUNCTION("""COMPUTED_VALUE"""),94073061)</f>
        <v>94073061</v>
      </c>
      <c r="C215" s="5" t="str">
        <f ca="1">IFERROR(__xludf.DUMMYFUNCTION("""COMPUTED_VALUE"""),"ALEXANDER CHAVEZ")</f>
        <v>ALEXANDER CHAVEZ</v>
      </c>
      <c r="D215" s="5" t="str">
        <f ca="1">IFERROR(__xludf.DUMMYFUNCTION("""COMPUTED_VALUE"""),"Ingeniero ")</f>
        <v xml:space="preserve">Ingeniero </v>
      </c>
      <c r="E215" s="5" t="str">
        <f ca="1">IFERROR(__xludf.DUMMYFUNCTION("""COMPUTED_VALUE"""),"MTTO")</f>
        <v>MTTO</v>
      </c>
    </row>
    <row r="216" spans="1:5">
      <c r="A216" s="5" t="str">
        <f ca="1">IFERROR(__xludf.DUMMYFUNCTION("""COMPUTED_VALUE"""),"SEGURIDAD Y SALUD")</f>
        <v>SEGURIDAD Y SALUD</v>
      </c>
      <c r="B216" s="5">
        <f ca="1">IFERROR(__xludf.DUMMYFUNCTION("""COMPUTED_VALUE"""),16736097)</f>
        <v>16736097</v>
      </c>
      <c r="C216" s="5" t="str">
        <f ca="1">IFERROR(__xludf.DUMMYFUNCTION("""COMPUTED_VALUE"""),"BORIS NOMELIN")</f>
        <v>BORIS NOMELIN</v>
      </c>
      <c r="D216" s="5" t="str">
        <f ca="1">IFERROR(__xludf.DUMMYFUNCTION("""COMPUTED_VALUE"""),"SUPERVISOR")</f>
        <v>SUPERVISOR</v>
      </c>
      <c r="E216" s="5" t="str">
        <f ca="1">IFERROR(__xludf.DUMMYFUNCTION("""COMPUTED_VALUE"""),"MTTO")</f>
        <v>MTTO</v>
      </c>
    </row>
    <row r="217" spans="1:5">
      <c r="A217" s="5" t="str">
        <f ca="1">IFERROR(__xludf.DUMMYFUNCTION("""COMPUTED_VALUE"""),"SEGURIDAD Y SALUD")</f>
        <v>SEGURIDAD Y SALUD</v>
      </c>
      <c r="B217" s="5">
        <f ca="1">IFERROR(__xludf.DUMMYFUNCTION("""COMPUTED_VALUE"""),1130593135)</f>
        <v>1130593135</v>
      </c>
      <c r="C217" s="5" t="str">
        <f ca="1">IFERROR(__xludf.DUMMYFUNCTION("""COMPUTED_VALUE"""),"JEFFERSON BRAVO")</f>
        <v>JEFFERSON BRAVO</v>
      </c>
      <c r="D217" s="5" t="str">
        <f ca="1">IFERROR(__xludf.DUMMYFUNCTION("""COMPUTED_VALUE"""),"técnico III")</f>
        <v>técnico III</v>
      </c>
      <c r="E217" s="5" t="str">
        <f ca="1">IFERROR(__xludf.DUMMYFUNCTION("""COMPUTED_VALUE"""),"MTTO")</f>
        <v>MTTO</v>
      </c>
    </row>
    <row r="218" spans="1:5">
      <c r="A218" s="5" t="str">
        <f ca="1">IFERROR(__xludf.DUMMYFUNCTION("""COMPUTED_VALUE"""),"SEGURIDAD Y SALUD")</f>
        <v>SEGURIDAD Y SALUD</v>
      </c>
      <c r="B218" s="5">
        <f ca="1">IFERROR(__xludf.DUMMYFUNCTION("""COMPUTED_VALUE"""),94542837)</f>
        <v>94542837</v>
      </c>
      <c r="C218" s="5" t="str">
        <f ca="1">IFERROR(__xludf.DUMMYFUNCTION("""COMPUTED_VALUE"""),"MARIO ALBERTO MARTINEZ")</f>
        <v>MARIO ALBERTO MARTINEZ</v>
      </c>
      <c r="D218" s="5" t="str">
        <f ca="1">IFERROR(__xludf.DUMMYFUNCTION("""COMPUTED_VALUE"""),"Técnico III ")</f>
        <v xml:space="preserve">Técnico III </v>
      </c>
      <c r="E218" s="5" t="str">
        <f ca="1">IFERROR(__xludf.DUMMYFUNCTION("""COMPUTED_VALUE"""),"MTTO")</f>
        <v>MTTO</v>
      </c>
    </row>
    <row r="219" spans="1:5">
      <c r="A219" s="5" t="str">
        <f ca="1">IFERROR(__xludf.DUMMYFUNCTION("""COMPUTED_VALUE"""),"SEGURIDAD Y SALUD")</f>
        <v>SEGURIDAD Y SALUD</v>
      </c>
      <c r="B219" s="5">
        <f ca="1">IFERROR(__xludf.DUMMYFUNCTION("""COMPUTED_VALUE"""),79493643)</f>
        <v>79493643</v>
      </c>
      <c r="C219" s="5" t="str">
        <f ca="1">IFERROR(__xludf.DUMMYFUNCTION("""COMPUTED_VALUE"""),"CARLOS A MARTINEZ")</f>
        <v>CARLOS A MARTINEZ</v>
      </c>
      <c r="D219" s="5" t="str">
        <f ca="1">IFERROR(__xludf.DUMMYFUNCTION("""COMPUTED_VALUE"""),"técnico lll")</f>
        <v>técnico lll</v>
      </c>
      <c r="E219" s="5" t="str">
        <f ca="1">IFERROR(__xludf.DUMMYFUNCTION("""COMPUTED_VALUE"""),"MTTO")</f>
        <v>MTTO</v>
      </c>
    </row>
    <row r="220" spans="1:5">
      <c r="A220" s="5" t="str">
        <f ca="1">IFERROR(__xludf.DUMMYFUNCTION("""COMPUTED_VALUE"""),"SEGURIDAD Y SALUD")</f>
        <v>SEGURIDAD Y SALUD</v>
      </c>
      <c r="B220" s="5">
        <f ca="1">IFERROR(__xludf.DUMMYFUNCTION("""COMPUTED_VALUE"""),94073061)</f>
        <v>94073061</v>
      </c>
      <c r="C220" s="5" t="str">
        <f ca="1">IFERROR(__xludf.DUMMYFUNCTION("""COMPUTED_VALUE"""),"ALEXANDER CHAVEZ")</f>
        <v>ALEXANDER CHAVEZ</v>
      </c>
      <c r="D220" s="5" t="str">
        <f ca="1">IFERROR(__xludf.DUMMYFUNCTION("""COMPUTED_VALUE"""),"INGENIERO PLATA")</f>
        <v>INGENIERO PLATA</v>
      </c>
      <c r="E220" s="5" t="str">
        <f ca="1">IFERROR(__xludf.DUMMYFUNCTION("""COMPUTED_VALUE"""),"MTTO")</f>
        <v>MTTO</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I32"/>
  <sheetViews>
    <sheetView workbookViewId="0"/>
  </sheetViews>
  <sheetFormatPr baseColWidth="10" defaultColWidth="12.6640625" defaultRowHeight="15.75" customHeight="1"/>
  <sheetData>
    <row r="1" spans="1:9" ht="13.2">
      <c r="A1" s="5" t="s">
        <v>126</v>
      </c>
      <c r="B1" s="5" t="s">
        <v>127</v>
      </c>
      <c r="C1" s="5" t="s">
        <v>128</v>
      </c>
      <c r="D1" s="5" t="s">
        <v>129</v>
      </c>
      <c r="E1" s="5" t="s">
        <v>130</v>
      </c>
      <c r="F1" s="5" t="s">
        <v>131</v>
      </c>
      <c r="G1" s="5" t="s">
        <v>41</v>
      </c>
      <c r="H1" s="5" t="s">
        <v>132</v>
      </c>
      <c r="I1" s="5" t="s">
        <v>133</v>
      </c>
    </row>
    <row r="2" spans="1:9" ht="15.75" customHeight="1">
      <c r="A2" s="13" t="str">
        <f ca="1">IFERROR(__xludf.DUMMYFUNCTION("FILTER('Charlas de seguridad'!A2:E1000, 'Charlas de seguridad'!A2:A1000=""SEGURIDAD Y SALUD"", 'Charlas de seguridad'!A2:A1000&lt;&gt;"""")"),"SEGURIDAD Y SALUD")</f>
        <v>SEGURIDAD Y SALUD</v>
      </c>
      <c r="B2" s="5">
        <f ca="1">IFERROR(__xludf.DUMMYFUNCTION("""COMPUTED_VALUE"""),1192778877)</f>
        <v>1192778877</v>
      </c>
      <c r="C2" s="5" t="str">
        <f ca="1">IFERROR(__xludf.DUMMYFUNCTION("""COMPUTED_VALUE"""),"Valeria Jimenez")</f>
        <v>Valeria Jimenez</v>
      </c>
      <c r="D2" s="5" t="str">
        <f ca="1">IFERROR(__xludf.DUMMYFUNCTION("""COMPUTED_VALUE"""),"Aprendiz")</f>
        <v>Aprendiz</v>
      </c>
      <c r="E2" s="5" t="str">
        <f ca="1">IFERROR(__xludf.DUMMYFUNCTION("""COMPUTED_VALUE"""),"MTTO")</f>
        <v>MTTO</v>
      </c>
      <c r="F2" s="28" t="s">
        <v>134</v>
      </c>
      <c r="G2" s="5" t="str">
        <f t="shared" ref="G2:G32" ca="1" si="0">IFERROR(IF(MATCH(F2, C:C, 0) &gt; 0, "Realizadas", "No realizada"), "No realizada")</f>
        <v>Realizadas</v>
      </c>
      <c r="H2" s="13">
        <f>IFERROR(VLOOKUP(F2, 'Base de datos'!A:B, 2, FALSE), "")</f>
        <v>573188053330</v>
      </c>
      <c r="I2" s="29" t="e">
        <f t="shared" ref="I2:I32" ca="1" si="1">HYPERLINK("https://api.whatsapp.com/send?phone="&amp;_xludf.ENCODEURL(H2)&amp;"&amp;text="&amp;_xludf.ENCODEURL("Buen dia, recuerda realizar las charlas de seguridad en el app de Mtto"))</f>
        <v>#NAME?</v>
      </c>
    </row>
    <row r="3" spans="1:9" ht="15.75" customHeight="1">
      <c r="A3" s="5" t="str">
        <f ca="1">IFERROR(__xludf.DUMMYFUNCTION("""COMPUTED_VALUE"""),"SEGURIDAD Y SALUD")</f>
        <v>SEGURIDAD Y SALUD</v>
      </c>
      <c r="B3" s="5">
        <f ca="1">IFERROR(__xludf.DUMMYFUNCTION("""COMPUTED_VALUE"""),94044185)</f>
        <v>94044185</v>
      </c>
      <c r="C3" s="5" t="str">
        <f ca="1">IFERROR(__xludf.DUMMYFUNCTION("""COMPUTED_VALUE"""),"VICTOR FERNANDEZ")</f>
        <v>VICTOR FERNANDEZ</v>
      </c>
      <c r="D3" s="5" t="str">
        <f ca="1">IFERROR(__xludf.DUMMYFUNCTION("""COMPUTED_VALUE"""),"Supervisor")</f>
        <v>Supervisor</v>
      </c>
      <c r="E3" s="5" t="str">
        <f ca="1">IFERROR(__xludf.DUMMYFUNCTION("""COMPUTED_VALUE"""),"MTTO")</f>
        <v>MTTO</v>
      </c>
      <c r="F3" s="30" t="s">
        <v>135</v>
      </c>
      <c r="G3" s="5" t="str">
        <f t="shared" ca="1" si="0"/>
        <v>Realizadas</v>
      </c>
      <c r="H3" s="13">
        <f>IFERROR(VLOOKUP(F3, 'Base de datos'!A:B, 2, FALSE), "")</f>
        <v>573116376584</v>
      </c>
      <c r="I3" s="29" t="e">
        <f t="shared" ca="1" si="1"/>
        <v>#NAME?</v>
      </c>
    </row>
    <row r="4" spans="1:9" ht="15.75" customHeight="1">
      <c r="A4" s="5" t="str">
        <f ca="1">IFERROR(__xludf.DUMMYFUNCTION("""COMPUTED_VALUE"""),"SEGURIDAD Y SALUD")</f>
        <v>SEGURIDAD Y SALUD</v>
      </c>
      <c r="B4" s="5">
        <f ca="1">IFERROR(__xludf.DUMMYFUNCTION("""COMPUTED_VALUE"""),1113692667)</f>
        <v>1113692667</v>
      </c>
      <c r="C4" s="5" t="str">
        <f ca="1">IFERROR(__xludf.DUMMYFUNCTION("""COMPUTED_VALUE"""),"Stiven Ferney Quintero Diaz ")</f>
        <v xml:space="preserve">Stiven Ferney Quintero Diaz </v>
      </c>
      <c r="D4" s="5" t="str">
        <f ca="1">IFERROR(__xludf.DUMMYFUNCTION("""COMPUTED_VALUE"""),"Tecnico III")</f>
        <v>Tecnico III</v>
      </c>
      <c r="E4" s="5" t="str">
        <f ca="1">IFERROR(__xludf.DUMMYFUNCTION("""COMPUTED_VALUE"""),"MTTO")</f>
        <v>MTTO</v>
      </c>
      <c r="F4" s="31" t="s">
        <v>136</v>
      </c>
      <c r="G4" s="5" t="str">
        <f t="shared" ca="1" si="0"/>
        <v>Realizadas</v>
      </c>
      <c r="H4" s="13">
        <f>IFERROR(VLOOKUP(F4, 'Base de datos'!A:B, 2, FALSE), "")</f>
        <v>573116319565</v>
      </c>
      <c r="I4" s="29" t="e">
        <f t="shared" ca="1" si="1"/>
        <v>#NAME?</v>
      </c>
    </row>
    <row r="5" spans="1:9" ht="15.75" customHeight="1">
      <c r="A5" s="5" t="str">
        <f ca="1">IFERROR(__xludf.DUMMYFUNCTION("""COMPUTED_VALUE"""),"SEGURIDAD Y SALUD")</f>
        <v>SEGURIDAD Y SALUD</v>
      </c>
      <c r="B5" s="5">
        <f ca="1">IFERROR(__xludf.DUMMYFUNCTION("""COMPUTED_VALUE"""),1130624327)</f>
        <v>1130624327</v>
      </c>
      <c r="C5" s="5" t="str">
        <f ca="1">IFERROR(__xludf.DUMMYFUNCTION("""COMPUTED_VALUE"""),"JULIAN CALDERON")</f>
        <v>JULIAN CALDERON</v>
      </c>
      <c r="D5" s="5" t="str">
        <f ca="1">IFERROR(__xludf.DUMMYFUNCTION("""COMPUTED_VALUE"""),"Técnico 3 ")</f>
        <v xml:space="preserve">Técnico 3 </v>
      </c>
      <c r="E5" s="5" t="str">
        <f ca="1">IFERROR(__xludf.DUMMYFUNCTION("""COMPUTED_VALUE"""),"MTTO")</f>
        <v>MTTO</v>
      </c>
      <c r="F5" s="31" t="s">
        <v>137</v>
      </c>
      <c r="G5" s="5" t="str">
        <f t="shared" ca="1" si="0"/>
        <v>Realizadas</v>
      </c>
      <c r="H5" s="13">
        <f>IFERROR(VLOOKUP(F5, 'Base de datos'!A:B, 2, FALSE), "")</f>
        <v>573116139561</v>
      </c>
      <c r="I5" s="29" t="e">
        <f t="shared" ca="1" si="1"/>
        <v>#NAME?</v>
      </c>
    </row>
    <row r="6" spans="1:9" ht="15.75" customHeight="1">
      <c r="A6" s="5" t="str">
        <f ca="1">IFERROR(__xludf.DUMMYFUNCTION("""COMPUTED_VALUE"""),"SEGURIDAD Y SALUD")</f>
        <v>SEGURIDAD Y SALUD</v>
      </c>
      <c r="B6" s="5">
        <f ca="1">IFERROR(__xludf.DUMMYFUNCTION("""COMPUTED_VALUE"""),79493644)</f>
        <v>79493644</v>
      </c>
      <c r="C6" s="5" t="str">
        <f ca="1">IFERROR(__xludf.DUMMYFUNCTION("""COMPUTED_VALUE"""),"CARLOS A MARTINEZ")</f>
        <v>CARLOS A MARTINEZ</v>
      </c>
      <c r="D6" s="5" t="str">
        <f ca="1">IFERROR(__xludf.DUMMYFUNCTION("""COMPUTED_VALUE"""),"técnico III")</f>
        <v>técnico III</v>
      </c>
      <c r="E6" s="5" t="str">
        <f ca="1">IFERROR(__xludf.DUMMYFUNCTION("""COMPUTED_VALUE"""),"MTTO")</f>
        <v>MTTO</v>
      </c>
      <c r="F6" s="30" t="s">
        <v>138</v>
      </c>
      <c r="G6" s="5" t="str">
        <f t="shared" ca="1" si="0"/>
        <v>Realizadas</v>
      </c>
      <c r="H6" s="13">
        <f>IFERROR(VLOOKUP(F6, 'Base de datos'!A:B, 2, FALSE), "")</f>
        <v>573117368201</v>
      </c>
      <c r="I6" s="29" t="e">
        <f t="shared" ca="1" si="1"/>
        <v>#NAME?</v>
      </c>
    </row>
    <row r="7" spans="1:9" ht="15.75" customHeight="1">
      <c r="A7" s="5" t="str">
        <f ca="1">IFERROR(__xludf.DUMMYFUNCTION("""COMPUTED_VALUE"""),"SEGURIDAD Y SALUD")</f>
        <v>SEGURIDAD Y SALUD</v>
      </c>
      <c r="B7" s="5">
        <f ca="1">IFERROR(__xludf.DUMMYFUNCTION("""COMPUTED_VALUE"""),1144191128)</f>
        <v>1144191128</v>
      </c>
      <c r="C7" s="5" t="str">
        <f ca="1">IFERROR(__xludf.DUMMYFUNCTION("""COMPUTED_VALUE"""),"ESTEBAN POTOSI ")</f>
        <v xml:space="preserve">ESTEBAN POTOSI </v>
      </c>
      <c r="D7" s="5" t="str">
        <f ca="1">IFERROR(__xludf.DUMMYFUNCTION("""COMPUTED_VALUE"""),"Tecnico 3")</f>
        <v>Tecnico 3</v>
      </c>
      <c r="E7" s="5" t="str">
        <f ca="1">IFERROR(__xludf.DUMMYFUNCTION("""COMPUTED_VALUE"""),"MTTO")</f>
        <v>MTTO</v>
      </c>
      <c r="F7" s="30" t="s">
        <v>139</v>
      </c>
      <c r="G7" s="5" t="str">
        <f t="shared" ca="1" si="0"/>
        <v>Realizadas</v>
      </c>
      <c r="H7" s="13">
        <f>IFERROR(VLOOKUP(F7, 'Base de datos'!A:B, 2, FALSE), "")</f>
        <v>573104812161</v>
      </c>
      <c r="I7" s="29" t="e">
        <f t="shared" ca="1" si="1"/>
        <v>#NAME?</v>
      </c>
    </row>
    <row r="8" spans="1:9" ht="15.75" customHeight="1">
      <c r="A8" s="5" t="str">
        <f ca="1">IFERROR(__xludf.DUMMYFUNCTION("""COMPUTED_VALUE"""),"SEGURIDAD Y SALUD")</f>
        <v>SEGURIDAD Y SALUD</v>
      </c>
      <c r="B8" s="5">
        <f ca="1">IFERROR(__xludf.DUMMYFUNCTION("""COMPUTED_VALUE"""),16640850)</f>
        <v>16640850</v>
      </c>
      <c r="C8" s="5" t="str">
        <f ca="1">IFERROR(__xludf.DUMMYFUNCTION("""COMPUTED_VALUE"""),"URIEL LEON")</f>
        <v>URIEL LEON</v>
      </c>
      <c r="D8" s="5" t="str">
        <f ca="1">IFERROR(__xludf.DUMMYFUNCTION("""COMPUTED_VALUE"""),"SUPERVISOR MANTENIMIENTO")</f>
        <v>SUPERVISOR MANTENIMIENTO</v>
      </c>
      <c r="E8" s="5" t="str">
        <f ca="1">IFERROR(__xludf.DUMMYFUNCTION("""COMPUTED_VALUE"""),"MTTO")</f>
        <v>MTTO</v>
      </c>
      <c r="F8" s="30" t="s">
        <v>140</v>
      </c>
      <c r="G8" s="5" t="str">
        <f t="shared" ca="1" si="0"/>
        <v>Realizadas</v>
      </c>
      <c r="H8" s="13">
        <f>IFERROR(VLOOKUP(F8, 'Base de datos'!A:B, 2, FALSE), "")</f>
        <v>573006617364</v>
      </c>
      <c r="I8" s="29" t="e">
        <f t="shared" ca="1" si="1"/>
        <v>#NAME?</v>
      </c>
    </row>
    <row r="9" spans="1:9" ht="15.75" customHeight="1">
      <c r="A9" s="5" t="str">
        <f ca="1">IFERROR(__xludf.DUMMYFUNCTION("""COMPUTED_VALUE"""),"SEGURIDAD Y SALUD")</f>
        <v>SEGURIDAD Y SALUD</v>
      </c>
      <c r="B9" s="5">
        <f ca="1">IFERROR(__xludf.DUMMYFUNCTION("""COMPUTED_VALUE"""),94542837)</f>
        <v>94542837</v>
      </c>
      <c r="C9" s="5" t="str">
        <f ca="1">IFERROR(__xludf.DUMMYFUNCTION("""COMPUTED_VALUE"""),"MARIO ALBERTO MARTINEZ")</f>
        <v>MARIO ALBERTO MARTINEZ</v>
      </c>
      <c r="D9" s="5" t="str">
        <f ca="1">IFERROR(__xludf.DUMMYFUNCTION("""COMPUTED_VALUE"""),"Técnico III ")</f>
        <v xml:space="preserve">Técnico III </v>
      </c>
      <c r="E9" s="5" t="str">
        <f ca="1">IFERROR(__xludf.DUMMYFUNCTION("""COMPUTED_VALUE"""),"MTTO")</f>
        <v>MTTO</v>
      </c>
      <c r="F9" s="30" t="s">
        <v>141</v>
      </c>
      <c r="G9" s="5" t="str">
        <f t="shared" ca="1" si="0"/>
        <v>Realizadas</v>
      </c>
      <c r="H9" s="13">
        <f>IFERROR(VLOOKUP(F9, 'Base de datos'!A:B, 2, FALSE), "")</f>
        <v>573113563903</v>
      </c>
      <c r="I9" s="29" t="e">
        <f t="shared" ca="1" si="1"/>
        <v>#NAME?</v>
      </c>
    </row>
    <row r="10" spans="1:9" ht="15.75" customHeight="1">
      <c r="A10" s="5" t="str">
        <f ca="1">IFERROR(__xludf.DUMMYFUNCTION("""COMPUTED_VALUE"""),"SEGURIDAD Y SALUD")</f>
        <v>SEGURIDAD Y SALUD</v>
      </c>
      <c r="B10" s="5">
        <f ca="1">IFERROR(__xludf.DUMMYFUNCTION("""COMPUTED_VALUE"""),16459044)</f>
        <v>16459044</v>
      </c>
      <c r="C10" s="5" t="str">
        <f ca="1">IFERROR(__xludf.DUMMYFUNCTION("""COMPUTED_VALUE"""),"JHON F JIMENEZ")</f>
        <v>JHON F JIMENEZ</v>
      </c>
      <c r="D10" s="5" t="str">
        <f ca="1">IFERROR(__xludf.DUMMYFUNCTION("""COMPUTED_VALUE"""),"Técnico 3
")</f>
        <v xml:space="preserve">Técnico 3
</v>
      </c>
      <c r="E10" s="5" t="str">
        <f ca="1">IFERROR(__xludf.DUMMYFUNCTION("""COMPUTED_VALUE"""),"MTTO")</f>
        <v>MTTO</v>
      </c>
      <c r="F10" s="30" t="s">
        <v>142</v>
      </c>
      <c r="G10" s="5" t="str">
        <f t="shared" ca="1" si="0"/>
        <v>No realizada</v>
      </c>
      <c r="H10" s="13">
        <f>IFERROR(VLOOKUP(F10, 'Base de datos'!A:B, 2, FALSE), "")</f>
        <v>573164814393</v>
      </c>
      <c r="I10" s="29" t="e">
        <f t="shared" ca="1" si="1"/>
        <v>#NAME?</v>
      </c>
    </row>
    <row r="11" spans="1:9" ht="15.75" customHeight="1">
      <c r="A11" s="5" t="str">
        <f ca="1">IFERROR(__xludf.DUMMYFUNCTION("""COMPUTED_VALUE"""),"SEGURIDAD Y SALUD")</f>
        <v>SEGURIDAD Y SALUD</v>
      </c>
      <c r="B11" s="5">
        <f ca="1">IFERROR(__xludf.DUMMYFUNCTION("""COMPUTED_VALUE"""),16917004)</f>
        <v>16917004</v>
      </c>
      <c r="C11" s="5" t="str">
        <f ca="1">IFERROR(__xludf.DUMMYFUNCTION("""COMPUTED_VALUE"""),"WALTER MORA")</f>
        <v>WALTER MORA</v>
      </c>
      <c r="D11" s="5" t="str">
        <f ca="1">IFERROR(__xludf.DUMMYFUNCTION("""COMPUTED_VALUE"""),"Planeador")</f>
        <v>Planeador</v>
      </c>
      <c r="E11" s="5" t="str">
        <f ca="1">IFERROR(__xludf.DUMMYFUNCTION("""COMPUTED_VALUE"""),"MTTO")</f>
        <v>MTTO</v>
      </c>
      <c r="F11" s="30" t="s">
        <v>143</v>
      </c>
      <c r="G11" s="5" t="str">
        <f t="shared" ca="1" si="0"/>
        <v>No realizada</v>
      </c>
      <c r="H11" s="13">
        <f>IFERROR(VLOOKUP(F11, 'Base de datos'!A:B, 2, FALSE), "")</f>
        <v>573156712311</v>
      </c>
      <c r="I11" s="29" t="e">
        <f t="shared" ca="1" si="1"/>
        <v>#NAME?</v>
      </c>
    </row>
    <row r="12" spans="1:9" ht="15.75" customHeight="1">
      <c r="A12" s="5" t="str">
        <f ca="1">IFERROR(__xludf.DUMMYFUNCTION("""COMPUTED_VALUE"""),"SEGURIDAD Y SALUD")</f>
        <v>SEGURIDAD Y SALUD</v>
      </c>
      <c r="B12" s="5">
        <f ca="1">IFERROR(__xludf.DUMMYFUNCTION("""COMPUTED_VALUE"""),1061535068)</f>
        <v>1061535068</v>
      </c>
      <c r="C12" s="5" t="str">
        <f ca="1">IFERROR(__xludf.DUMMYFUNCTION("""COMPUTED_VALUE"""),"JEFERSON MUÑOZ")</f>
        <v>JEFERSON MUÑOZ</v>
      </c>
      <c r="D12" s="5" t="str">
        <f ca="1">IFERROR(__xludf.DUMMYFUNCTION("""COMPUTED_VALUE"""),"Técnico 3")</f>
        <v>Técnico 3</v>
      </c>
      <c r="E12" s="5" t="str">
        <f ca="1">IFERROR(__xludf.DUMMYFUNCTION("""COMPUTED_VALUE"""),"MTTO")</f>
        <v>MTTO</v>
      </c>
      <c r="F12" s="30" t="s">
        <v>144</v>
      </c>
      <c r="G12" s="5" t="str">
        <f t="shared" ca="1" si="0"/>
        <v>Realizadas</v>
      </c>
      <c r="H12" s="13">
        <f>IFERROR(VLOOKUP(F12, 'Base de datos'!A:B, 2, FALSE), "")</f>
        <v>573106062699</v>
      </c>
      <c r="I12" s="29" t="e">
        <f t="shared" ca="1" si="1"/>
        <v>#NAME?</v>
      </c>
    </row>
    <row r="13" spans="1:9" ht="15.75" customHeight="1">
      <c r="A13" s="5" t="str">
        <f ca="1">IFERROR(__xludf.DUMMYFUNCTION("""COMPUTED_VALUE"""),"SEGURIDAD Y SALUD")</f>
        <v>SEGURIDAD Y SALUD</v>
      </c>
      <c r="B13" s="5">
        <f ca="1">IFERROR(__xludf.DUMMYFUNCTION("""COMPUTED_VALUE"""),14622253)</f>
        <v>14622253</v>
      </c>
      <c r="C13" s="5" t="str">
        <f ca="1">IFERROR(__xludf.DUMMYFUNCTION("""COMPUTED_VALUE"""),"EDWAR ZAPATA")</f>
        <v>EDWAR ZAPATA</v>
      </c>
      <c r="D13" s="5" t="str">
        <f ca="1">IFERROR(__xludf.DUMMYFUNCTION("""COMPUTED_VALUE"""),"Jefe Mantenimiento")</f>
        <v>Jefe Mantenimiento</v>
      </c>
      <c r="E13" s="5" t="str">
        <f ca="1">IFERROR(__xludf.DUMMYFUNCTION("""COMPUTED_VALUE"""),"MTTO")</f>
        <v>MTTO</v>
      </c>
      <c r="F13" s="32" t="s">
        <v>145</v>
      </c>
      <c r="G13" s="5" t="str">
        <f t="shared" ca="1" si="0"/>
        <v>No realizada</v>
      </c>
      <c r="H13" s="13">
        <f>IFERROR(VLOOKUP(F13, 'Base de datos'!A:B, 2, FALSE), "")</f>
        <v>573117720757</v>
      </c>
      <c r="I13" s="29" t="e">
        <f t="shared" ca="1" si="1"/>
        <v>#NAME?</v>
      </c>
    </row>
    <row r="14" spans="1:9" ht="15.75" customHeight="1">
      <c r="A14" s="5" t="str">
        <f ca="1">IFERROR(__xludf.DUMMYFUNCTION("""COMPUTED_VALUE"""),"SEGURIDAD Y SALUD")</f>
        <v>SEGURIDAD Y SALUD</v>
      </c>
      <c r="B14" s="5">
        <f ca="1">IFERROR(__xludf.DUMMYFUNCTION("""COMPUTED_VALUE"""),1151940372)</f>
        <v>1151940372</v>
      </c>
      <c r="C14" s="5" t="str">
        <f ca="1">IFERROR(__xludf.DUMMYFUNCTION("""COMPUTED_VALUE"""),"HELMER QUISCUALTUD")</f>
        <v>HELMER QUISCUALTUD</v>
      </c>
      <c r="D14" s="5" t="str">
        <f ca="1">IFERROR(__xludf.DUMMYFUNCTION("""COMPUTED_VALUE"""),"Supervisor ")</f>
        <v xml:space="preserve">Supervisor </v>
      </c>
      <c r="E14" s="5" t="str">
        <f ca="1">IFERROR(__xludf.DUMMYFUNCTION("""COMPUTED_VALUE"""),"MTTO")</f>
        <v>MTTO</v>
      </c>
      <c r="F14" s="30" t="s">
        <v>146</v>
      </c>
      <c r="G14" s="5" t="str">
        <f t="shared" ca="1" si="0"/>
        <v>Realizadas</v>
      </c>
      <c r="H14" s="13">
        <f>IFERROR(VLOOKUP(F14, 'Base de datos'!A:B, 2, FALSE), "")</f>
        <v>573194602264</v>
      </c>
      <c r="I14" s="29" t="e">
        <f t="shared" ca="1" si="1"/>
        <v>#NAME?</v>
      </c>
    </row>
    <row r="15" spans="1:9" ht="15.75" customHeight="1">
      <c r="A15" s="5" t="str">
        <f ca="1">IFERROR(__xludf.DUMMYFUNCTION("""COMPUTED_VALUE"""),"SEGURIDAD Y SALUD")</f>
        <v>SEGURIDAD Y SALUD</v>
      </c>
      <c r="B15" s="5">
        <f ca="1">IFERROR(__xludf.DUMMYFUNCTION("""COMPUTED_VALUE"""),1130620555)</f>
        <v>1130620555</v>
      </c>
      <c r="C15" s="5" t="str">
        <f ca="1">IFERROR(__xludf.DUMMYFUNCTION("""COMPUTED_VALUE"""),"Victor David burbano gomez")</f>
        <v>Victor David burbano gomez</v>
      </c>
      <c r="D15" s="5" t="str">
        <f ca="1">IFERROR(__xludf.DUMMYFUNCTION("""COMPUTED_VALUE"""),"Técnico 3")</f>
        <v>Técnico 3</v>
      </c>
      <c r="E15" s="5" t="str">
        <f ca="1">IFERROR(__xludf.DUMMYFUNCTION("""COMPUTED_VALUE"""),"MTTO")</f>
        <v>MTTO</v>
      </c>
      <c r="F15" s="30" t="s">
        <v>147</v>
      </c>
      <c r="G15" s="5" t="str">
        <f t="shared" ca="1" si="0"/>
        <v>Realizadas</v>
      </c>
      <c r="H15" s="13">
        <f>IFERROR(VLOOKUP(F15, 'Base de datos'!A:B, 2, FALSE), "")</f>
        <v>573103958489</v>
      </c>
      <c r="I15" s="29" t="e">
        <f t="shared" ca="1" si="1"/>
        <v>#NAME?</v>
      </c>
    </row>
    <row r="16" spans="1:9" ht="15.75" customHeight="1">
      <c r="A16" s="5" t="str">
        <f ca="1">IFERROR(__xludf.DUMMYFUNCTION("""COMPUTED_VALUE"""),"SEGURIDAD Y SALUD")</f>
        <v>SEGURIDAD Y SALUD</v>
      </c>
      <c r="B16" s="5">
        <f ca="1">IFERROR(__xludf.DUMMYFUNCTION("""COMPUTED_VALUE"""),14608803)</f>
        <v>14608803</v>
      </c>
      <c r="C16" s="5" t="str">
        <f ca="1">IFERROR(__xludf.DUMMYFUNCTION("""COMPUTED_VALUE"""),"WILLIAM MAZORRA")</f>
        <v>WILLIAM MAZORRA</v>
      </c>
      <c r="D16" s="5" t="str">
        <f ca="1">IFERROR(__xludf.DUMMYFUNCTION("""COMPUTED_VALUE"""),"ING mantenimiento ")</f>
        <v xml:space="preserve">ING mantenimiento </v>
      </c>
      <c r="E16" s="5" t="str">
        <f ca="1">IFERROR(__xludf.DUMMYFUNCTION("""COMPUTED_VALUE"""),"MTTO")</f>
        <v>MTTO</v>
      </c>
      <c r="F16" s="30" t="s">
        <v>148</v>
      </c>
      <c r="G16" s="5" t="str">
        <f t="shared" ca="1" si="0"/>
        <v>Realizadas</v>
      </c>
      <c r="H16" s="13">
        <f>IFERROR(VLOOKUP(F16, 'Base de datos'!A:B, 2, FALSE), "")</f>
        <v>573108951371</v>
      </c>
      <c r="I16" s="29" t="e">
        <f t="shared" ca="1" si="1"/>
        <v>#NAME?</v>
      </c>
    </row>
    <row r="17" spans="1:9" ht="15.75" customHeight="1">
      <c r="A17" s="5" t="str">
        <f ca="1">IFERROR(__xludf.DUMMYFUNCTION("""COMPUTED_VALUE"""),"SEGURIDAD Y SALUD")</f>
        <v>SEGURIDAD Y SALUD</v>
      </c>
      <c r="B17" s="5">
        <f ca="1">IFERROR(__xludf.DUMMYFUNCTION("""COMPUTED_VALUE"""),1083879828)</f>
        <v>1083879828</v>
      </c>
      <c r="C17" s="5" t="str">
        <f ca="1">IFERROR(__xludf.DUMMYFUNCTION("""COMPUTED_VALUE"""),"FRAIBER ZAMBRANO")</f>
        <v>FRAIBER ZAMBRANO</v>
      </c>
      <c r="D17" s="5" t="str">
        <f ca="1">IFERROR(__xludf.DUMMYFUNCTION("""COMPUTED_VALUE"""),"SUPERVISOR")</f>
        <v>SUPERVISOR</v>
      </c>
      <c r="E17" s="5" t="str">
        <f ca="1">IFERROR(__xludf.DUMMYFUNCTION("""COMPUTED_VALUE"""),"MTTO")</f>
        <v>MTTO</v>
      </c>
      <c r="F17" s="30" t="s">
        <v>149</v>
      </c>
      <c r="G17" s="5" t="str">
        <f t="shared" ca="1" si="0"/>
        <v>Realizadas</v>
      </c>
      <c r="H17" s="13">
        <f>IFERROR(VLOOKUP(F17, 'Base de datos'!A:B, 2, FALSE), "")</f>
        <v>573147637946</v>
      </c>
      <c r="I17" s="29" t="e">
        <f t="shared" ca="1" si="1"/>
        <v>#NAME?</v>
      </c>
    </row>
    <row r="18" spans="1:9" ht="15.75" customHeight="1">
      <c r="A18" s="5" t="str">
        <f ca="1">IFERROR(__xludf.DUMMYFUNCTION("""COMPUTED_VALUE"""),"SEGURIDAD Y SALUD")</f>
        <v>SEGURIDAD Y SALUD</v>
      </c>
      <c r="B18" s="5">
        <f ca="1">IFERROR(__xludf.DUMMYFUNCTION("""COMPUTED_VALUE"""),940441152)</f>
        <v>940441152</v>
      </c>
      <c r="C18" s="5" t="str">
        <f ca="1">IFERROR(__xludf.DUMMYFUNCTION("""COMPUTED_VALUE"""),"WILLIAM GUERRA")</f>
        <v>WILLIAM GUERRA</v>
      </c>
      <c r="D18" s="5" t="str">
        <f ca="1">IFERROR(__xludf.DUMMYFUNCTION("""COMPUTED_VALUE"""),"Ingeniero Mantenimiento 
")</f>
        <v xml:space="preserve">Ingeniero Mantenimiento 
</v>
      </c>
      <c r="E18" s="5" t="str">
        <f ca="1">IFERROR(__xludf.DUMMYFUNCTION("""COMPUTED_VALUE"""),"MTTO")</f>
        <v>MTTO</v>
      </c>
      <c r="F18" s="30" t="s">
        <v>150</v>
      </c>
      <c r="G18" s="5" t="str">
        <f t="shared" ca="1" si="0"/>
        <v>Realizadas</v>
      </c>
      <c r="H18" s="13">
        <f>IFERROR(VLOOKUP(F18, 'Base de datos'!A:B, 2, FALSE), "")</f>
        <v>573116493969</v>
      </c>
      <c r="I18" s="29" t="e">
        <f t="shared" ca="1" si="1"/>
        <v>#NAME?</v>
      </c>
    </row>
    <row r="19" spans="1:9" ht="15.75" customHeight="1">
      <c r="A19" s="5" t="str">
        <f ca="1">IFERROR(__xludf.DUMMYFUNCTION("""COMPUTED_VALUE"""),"SEGURIDAD Y SALUD")</f>
        <v>SEGURIDAD Y SALUD</v>
      </c>
      <c r="B19" s="5">
        <f ca="1">IFERROR(__xludf.DUMMYFUNCTION("""COMPUTED_VALUE"""),16861602)</f>
        <v>16861602</v>
      </c>
      <c r="C19" s="5" t="str">
        <f ca="1">IFERROR(__xludf.DUMMYFUNCTION("""COMPUTED_VALUE"""),"HECTOR F VALENCIA")</f>
        <v>HECTOR F VALENCIA</v>
      </c>
      <c r="D19" s="5" t="str">
        <f ca="1">IFERROR(__xludf.DUMMYFUNCTION("""COMPUTED_VALUE"""),"Técnico 3 ")</f>
        <v xml:space="preserve">Técnico 3 </v>
      </c>
      <c r="E19" s="5" t="str">
        <f ca="1">IFERROR(__xludf.DUMMYFUNCTION("""COMPUTED_VALUE"""),"MTTO")</f>
        <v>MTTO</v>
      </c>
      <c r="F19" s="30" t="s">
        <v>151</v>
      </c>
      <c r="G19" s="5" t="str">
        <f t="shared" ca="1" si="0"/>
        <v>Realizadas</v>
      </c>
      <c r="H19" s="13">
        <f>IFERROR(VLOOKUP(F19, 'Base de datos'!A:B, 2, FALSE), "")</f>
        <v>573023403586</v>
      </c>
      <c r="I19" s="29" t="e">
        <f t="shared" ca="1" si="1"/>
        <v>#NAME?</v>
      </c>
    </row>
    <row r="20" spans="1:9" ht="15.75" customHeight="1">
      <c r="A20" s="5" t="str">
        <f ca="1">IFERROR(__xludf.DUMMYFUNCTION("""COMPUTED_VALUE"""),"SEGURIDAD Y SALUD")</f>
        <v>SEGURIDAD Y SALUD</v>
      </c>
      <c r="B20" s="5">
        <f ca="1">IFERROR(__xludf.DUMMYFUNCTION("""COMPUTED_VALUE"""),94073061)</f>
        <v>94073061</v>
      </c>
      <c r="C20" s="5" t="str">
        <f ca="1">IFERROR(__xludf.DUMMYFUNCTION("""COMPUTED_VALUE"""),"ALEXANDER CHAVEZ")</f>
        <v>ALEXANDER CHAVEZ</v>
      </c>
      <c r="D20" s="5" t="str">
        <f ca="1">IFERROR(__xludf.DUMMYFUNCTION("""COMPUTED_VALUE"""),"Ingeniero ")</f>
        <v xml:space="preserve">Ingeniero </v>
      </c>
      <c r="E20" s="5" t="str">
        <f ca="1">IFERROR(__xludf.DUMMYFUNCTION("""COMPUTED_VALUE"""),"MTTO")</f>
        <v>MTTO</v>
      </c>
      <c r="F20" s="30" t="s">
        <v>152</v>
      </c>
      <c r="G20" s="5" t="str">
        <f t="shared" ca="1" si="0"/>
        <v>Realizadas</v>
      </c>
      <c r="H20" s="13">
        <f>IFERROR(VLOOKUP(F20, 'Base de datos'!A:B, 2, FALSE), "")</f>
        <v>573122261803</v>
      </c>
      <c r="I20" s="29" t="e">
        <f t="shared" ca="1" si="1"/>
        <v>#NAME?</v>
      </c>
    </row>
    <row r="21" spans="1:9" ht="15.75" customHeight="1">
      <c r="A21" s="5" t="str">
        <f ca="1">IFERROR(__xludf.DUMMYFUNCTION("""COMPUTED_VALUE"""),"SEGURIDAD Y SALUD")</f>
        <v>SEGURIDAD Y SALUD</v>
      </c>
      <c r="B21" s="5">
        <f ca="1">IFERROR(__xludf.DUMMYFUNCTION("""COMPUTED_VALUE"""),16736097)</f>
        <v>16736097</v>
      </c>
      <c r="C21" s="5" t="str">
        <f ca="1">IFERROR(__xludf.DUMMYFUNCTION("""COMPUTED_VALUE"""),"BORIS NOMELIN")</f>
        <v>BORIS NOMELIN</v>
      </c>
      <c r="D21" s="5" t="str">
        <f ca="1">IFERROR(__xludf.DUMMYFUNCTION("""COMPUTED_VALUE"""),"SUPERVISOR")</f>
        <v>SUPERVISOR</v>
      </c>
      <c r="E21" s="5" t="str">
        <f ca="1">IFERROR(__xludf.DUMMYFUNCTION("""COMPUTED_VALUE"""),"MTTO")</f>
        <v>MTTO</v>
      </c>
      <c r="F21" s="30" t="s">
        <v>153</v>
      </c>
      <c r="G21" s="5" t="str">
        <f t="shared" ca="1" si="0"/>
        <v>Realizadas</v>
      </c>
      <c r="H21" s="13">
        <f>IFERROR(VLOOKUP(F21, 'Base de datos'!A:B, 2, FALSE), "")</f>
        <v>573014761159</v>
      </c>
      <c r="I21" s="29" t="e">
        <f t="shared" ca="1" si="1"/>
        <v>#NAME?</v>
      </c>
    </row>
    <row r="22" spans="1:9" ht="15.75" customHeight="1">
      <c r="A22" s="5" t="str">
        <f ca="1">IFERROR(__xludf.DUMMYFUNCTION("""COMPUTED_VALUE"""),"SEGURIDAD Y SALUD")</f>
        <v>SEGURIDAD Y SALUD</v>
      </c>
      <c r="B22" s="5">
        <f ca="1">IFERROR(__xludf.DUMMYFUNCTION("""COMPUTED_VALUE"""),1130593135)</f>
        <v>1130593135</v>
      </c>
      <c r="C22" s="5" t="str">
        <f ca="1">IFERROR(__xludf.DUMMYFUNCTION("""COMPUTED_VALUE"""),"JEFFERSON BRAVO")</f>
        <v>JEFFERSON BRAVO</v>
      </c>
      <c r="D22" s="5" t="str">
        <f ca="1">IFERROR(__xludf.DUMMYFUNCTION("""COMPUTED_VALUE"""),"técnico III")</f>
        <v>técnico III</v>
      </c>
      <c r="E22" s="5" t="str">
        <f ca="1">IFERROR(__xludf.DUMMYFUNCTION("""COMPUTED_VALUE"""),"MTTO")</f>
        <v>MTTO</v>
      </c>
      <c r="F22" s="30" t="s">
        <v>154</v>
      </c>
      <c r="G22" s="5" t="str">
        <f t="shared" ca="1" si="0"/>
        <v>No realizada</v>
      </c>
      <c r="H22" s="13">
        <f>IFERROR(VLOOKUP(F22, 'Base de datos'!A:B, 2, FALSE), "")</f>
        <v>0</v>
      </c>
      <c r="I22" s="29" t="e">
        <f t="shared" ca="1" si="1"/>
        <v>#NAME?</v>
      </c>
    </row>
    <row r="23" spans="1:9" ht="15.75" customHeight="1">
      <c r="A23" s="5" t="str">
        <f ca="1">IFERROR(__xludf.DUMMYFUNCTION("""COMPUTED_VALUE"""),"SEGURIDAD Y SALUD")</f>
        <v>SEGURIDAD Y SALUD</v>
      </c>
      <c r="B23" s="5">
        <f ca="1">IFERROR(__xludf.DUMMYFUNCTION("""COMPUTED_VALUE"""),94542837)</f>
        <v>94542837</v>
      </c>
      <c r="C23" s="5" t="str">
        <f ca="1">IFERROR(__xludf.DUMMYFUNCTION("""COMPUTED_VALUE"""),"MARIO ALBERTO MARTINEZ")</f>
        <v>MARIO ALBERTO MARTINEZ</v>
      </c>
      <c r="D23" s="5" t="str">
        <f ca="1">IFERROR(__xludf.DUMMYFUNCTION("""COMPUTED_VALUE"""),"Técnico III ")</f>
        <v xml:space="preserve">Técnico III </v>
      </c>
      <c r="E23" s="5" t="str">
        <f ca="1">IFERROR(__xludf.DUMMYFUNCTION("""COMPUTED_VALUE"""),"MTTO")</f>
        <v>MTTO</v>
      </c>
      <c r="F23" s="30" t="s">
        <v>155</v>
      </c>
      <c r="G23" s="5" t="str">
        <f t="shared" ca="1" si="0"/>
        <v>No realizada</v>
      </c>
      <c r="H23" s="13">
        <f>IFERROR(VLOOKUP(F23, 'Base de datos'!A:B, 2, FALSE), "")</f>
        <v>573122172129</v>
      </c>
      <c r="I23" s="29" t="e">
        <f t="shared" ca="1" si="1"/>
        <v>#NAME?</v>
      </c>
    </row>
    <row r="24" spans="1:9" ht="15.75" customHeight="1">
      <c r="A24" s="5" t="str">
        <f ca="1">IFERROR(__xludf.DUMMYFUNCTION("""COMPUTED_VALUE"""),"SEGURIDAD Y SALUD")</f>
        <v>SEGURIDAD Y SALUD</v>
      </c>
      <c r="B24" s="5">
        <f ca="1">IFERROR(__xludf.DUMMYFUNCTION("""COMPUTED_VALUE"""),79493643)</f>
        <v>79493643</v>
      </c>
      <c r="C24" s="5" t="str">
        <f ca="1">IFERROR(__xludf.DUMMYFUNCTION("""COMPUTED_VALUE"""),"CARLOS A MARTINEZ")</f>
        <v>CARLOS A MARTINEZ</v>
      </c>
      <c r="D24" s="5" t="str">
        <f ca="1">IFERROR(__xludf.DUMMYFUNCTION("""COMPUTED_VALUE"""),"técnico lll")</f>
        <v>técnico lll</v>
      </c>
      <c r="E24" s="5" t="str">
        <f ca="1">IFERROR(__xludf.DUMMYFUNCTION("""COMPUTED_VALUE"""),"MTTO")</f>
        <v>MTTO</v>
      </c>
      <c r="F24" s="30" t="s">
        <v>156</v>
      </c>
      <c r="G24" s="5" t="str">
        <f t="shared" ca="1" si="0"/>
        <v>Realizadas</v>
      </c>
      <c r="H24" s="13">
        <f>IFERROR(VLOOKUP(F24, 'Base de datos'!A:B, 2, FALSE), "")</f>
        <v>573043623277</v>
      </c>
      <c r="I24" s="29" t="e">
        <f t="shared" ca="1" si="1"/>
        <v>#NAME?</v>
      </c>
    </row>
    <row r="25" spans="1:9" ht="15.75" customHeight="1">
      <c r="A25" s="5" t="str">
        <f ca="1">IFERROR(__xludf.DUMMYFUNCTION("""COMPUTED_VALUE"""),"SEGURIDAD Y SALUD")</f>
        <v>SEGURIDAD Y SALUD</v>
      </c>
      <c r="B25" s="5">
        <f ca="1">IFERROR(__xludf.DUMMYFUNCTION("""COMPUTED_VALUE"""),94073061)</f>
        <v>94073061</v>
      </c>
      <c r="C25" s="5" t="str">
        <f ca="1">IFERROR(__xludf.DUMMYFUNCTION("""COMPUTED_VALUE"""),"ALEXANDER CHAVEZ")</f>
        <v>ALEXANDER CHAVEZ</v>
      </c>
      <c r="D25" s="5" t="str">
        <f ca="1">IFERROR(__xludf.DUMMYFUNCTION("""COMPUTED_VALUE"""),"INGENIERO PLATA")</f>
        <v>INGENIERO PLATA</v>
      </c>
      <c r="E25" s="5" t="str">
        <f ca="1">IFERROR(__xludf.DUMMYFUNCTION("""COMPUTED_VALUE"""),"MTTO")</f>
        <v>MTTO</v>
      </c>
      <c r="F25" s="30" t="s">
        <v>157</v>
      </c>
      <c r="G25" s="5" t="str">
        <f t="shared" ca="1" si="0"/>
        <v>No realizada</v>
      </c>
      <c r="H25" s="13">
        <f>IFERROR(VLOOKUP(F25, 'Base de datos'!A:B, 2, FALSE), "")</f>
        <v>573112422176</v>
      </c>
      <c r="I25" s="29" t="e">
        <f t="shared" ca="1" si="1"/>
        <v>#NAME?</v>
      </c>
    </row>
    <row r="26" spans="1:9" ht="15.75" customHeight="1">
      <c r="F26" s="33" t="s">
        <v>158</v>
      </c>
      <c r="G26" s="5" t="str">
        <f t="shared" ca="1" si="0"/>
        <v>No realizada</v>
      </c>
      <c r="H26" s="13">
        <f>IFERROR(VLOOKUP(F26, 'Base de datos'!A:B, 2, FALSE), "")</f>
        <v>573003678745</v>
      </c>
      <c r="I26" s="29" t="e">
        <f t="shared" ca="1" si="1"/>
        <v>#NAME?</v>
      </c>
    </row>
    <row r="27" spans="1:9" ht="15.75" customHeight="1">
      <c r="F27" s="30" t="s">
        <v>159</v>
      </c>
      <c r="G27" s="5" t="str">
        <f t="shared" ca="1" si="0"/>
        <v>No realizada</v>
      </c>
      <c r="H27" s="13">
        <f>IFERROR(VLOOKUP(F27, 'Base de datos'!A:B, 2, FALSE), "")</f>
        <v>573222217492</v>
      </c>
      <c r="I27" s="29" t="e">
        <f t="shared" ca="1" si="1"/>
        <v>#NAME?</v>
      </c>
    </row>
    <row r="28" spans="1:9" ht="15.75" customHeight="1">
      <c r="F28" s="34" t="s">
        <v>160</v>
      </c>
      <c r="G28" s="5" t="str">
        <f t="shared" ca="1" si="0"/>
        <v>No realizada</v>
      </c>
      <c r="H28" s="13">
        <f>IFERROR(VLOOKUP(F28, 'Base de datos'!A:B, 2, FALSE), "")</f>
        <v>573212589618</v>
      </c>
      <c r="I28" s="29" t="e">
        <f t="shared" ca="1" si="1"/>
        <v>#NAME?</v>
      </c>
    </row>
    <row r="29" spans="1:9" ht="15.75" customHeight="1">
      <c r="F29" s="5" t="s">
        <v>161</v>
      </c>
      <c r="G29" s="5" t="str">
        <f t="shared" ca="1" si="0"/>
        <v>No realizada</v>
      </c>
      <c r="H29" s="13">
        <f>IFERROR(VLOOKUP(F29, 'Base de datos'!A:B, 2, FALSE), "")</f>
        <v>573153184873</v>
      </c>
      <c r="I29" s="29" t="e">
        <f t="shared" ca="1" si="1"/>
        <v>#NAME?</v>
      </c>
    </row>
    <row r="30" spans="1:9" ht="15.75" customHeight="1">
      <c r="F30" s="5" t="s">
        <v>162</v>
      </c>
      <c r="G30" s="5" t="str">
        <f t="shared" ca="1" si="0"/>
        <v>Realizadas</v>
      </c>
      <c r="H30" s="13">
        <f>IFERROR(VLOOKUP(F30, 'Base de datos'!A:B, 2, FALSE), "")</f>
        <v>573116519396</v>
      </c>
      <c r="I30" s="29" t="e">
        <f t="shared" ca="1" si="1"/>
        <v>#NAME?</v>
      </c>
    </row>
    <row r="31" spans="1:9" ht="15.75" customHeight="1">
      <c r="F31" s="35" t="s">
        <v>163</v>
      </c>
      <c r="G31" s="5" t="str">
        <f t="shared" ca="1" si="0"/>
        <v>Realizadas</v>
      </c>
      <c r="H31" s="13">
        <f>IFERROR(VLOOKUP(F31, 'Base de datos'!A:B, 2, FALSE), "")</f>
        <v>573128543241</v>
      </c>
      <c r="I31" s="29" t="e">
        <f t="shared" ca="1" si="1"/>
        <v>#NAME?</v>
      </c>
    </row>
    <row r="32" spans="1:9" ht="15.75" customHeight="1">
      <c r="F32" s="33" t="s">
        <v>164</v>
      </c>
      <c r="G32" s="5" t="str">
        <f t="shared" ca="1" si="0"/>
        <v>No realizada</v>
      </c>
      <c r="H32" s="13">
        <f>IFERROR(VLOOKUP(F32, 'Base de datos'!A:B, 2, FALSE), "")</f>
        <v>573173813097</v>
      </c>
      <c r="I32" s="29" t="e">
        <f t="shared" ca="1" si="1"/>
        <v>#NAME?</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K2"/>
  <sheetViews>
    <sheetView workbookViewId="0"/>
  </sheetViews>
  <sheetFormatPr baseColWidth="10" defaultColWidth="12.6640625" defaultRowHeight="15.75" customHeight="1"/>
  <sheetData>
    <row r="1" spans="1:11" ht="15.75" customHeight="1">
      <c r="A1" s="19" t="s">
        <v>6</v>
      </c>
      <c r="B1" s="20" t="s">
        <v>7</v>
      </c>
      <c r="C1" s="20" t="s">
        <v>8</v>
      </c>
      <c r="D1" s="20" t="s">
        <v>9</v>
      </c>
      <c r="E1" s="20" t="s">
        <v>10</v>
      </c>
      <c r="F1" s="20" t="s">
        <v>11</v>
      </c>
      <c r="G1" s="20" t="s">
        <v>12</v>
      </c>
      <c r="H1" s="20" t="s">
        <v>43</v>
      </c>
      <c r="I1" s="20" t="s">
        <v>19</v>
      </c>
      <c r="J1" s="21" t="s">
        <v>37</v>
      </c>
      <c r="K1" s="5" t="s">
        <v>44</v>
      </c>
    </row>
    <row r="2" spans="1:11" ht="13.2">
      <c r="A2" s="5" t="str">
        <f ca="1">IFERROR(__xludf.DUMMYFUNCTION("FILTER('M2'!A2:K1000, 'M2'!K2:K1000=""LINE 8"", 'M2'!J2:J1000&lt;&gt;"""")
"),"#N/A")</f>
        <v>#N/A</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K2"/>
  <sheetViews>
    <sheetView workbookViewId="0"/>
  </sheetViews>
  <sheetFormatPr baseColWidth="10" defaultColWidth="12.6640625" defaultRowHeight="15.75" customHeight="1"/>
  <sheetData>
    <row r="1" spans="1:11" ht="15.75" customHeight="1">
      <c r="A1" s="19" t="s">
        <v>6</v>
      </c>
      <c r="B1" s="20" t="s">
        <v>7</v>
      </c>
      <c r="C1" s="20" t="s">
        <v>8</v>
      </c>
      <c r="D1" s="20" t="s">
        <v>9</v>
      </c>
      <c r="E1" s="20" t="s">
        <v>10</v>
      </c>
      <c r="F1" s="20" t="s">
        <v>11</v>
      </c>
      <c r="G1" s="20" t="s">
        <v>12</v>
      </c>
      <c r="H1" s="20" t="s">
        <v>43</v>
      </c>
      <c r="I1" s="20" t="s">
        <v>19</v>
      </c>
      <c r="J1" s="21" t="s">
        <v>37</v>
      </c>
      <c r="K1" s="5" t="s">
        <v>44</v>
      </c>
    </row>
    <row r="2" spans="1:11" ht="13.2">
      <c r="A2" s="5" t="str">
        <f ca="1">IFERROR(__xludf.DUMMYFUNCTION("FILTER('M2'!A2:K1000, 'M2'!K2:K1000=""LINE 10"", 'M2'!J2:J1000&lt;&gt;"""")
"),"#N/A")</f>
        <v>#N/A</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J1552"/>
  <sheetViews>
    <sheetView workbookViewId="0"/>
  </sheetViews>
  <sheetFormatPr baseColWidth="10" defaultColWidth="12.6640625" defaultRowHeight="15.75" customHeight="1"/>
  <sheetData>
    <row r="1" spans="1:36" ht="15.75" customHeight="1">
      <c r="A1" s="36" t="s">
        <v>165</v>
      </c>
      <c r="B1" s="36" t="s">
        <v>166</v>
      </c>
      <c r="C1" s="36" t="s">
        <v>167</v>
      </c>
      <c r="D1" s="36" t="s">
        <v>24</v>
      </c>
      <c r="E1" s="36" t="s">
        <v>168</v>
      </c>
      <c r="F1" s="36" t="s">
        <v>9</v>
      </c>
      <c r="G1" s="36" t="s">
        <v>169</v>
      </c>
      <c r="H1" s="36" t="s">
        <v>170</v>
      </c>
      <c r="I1" s="36" t="s">
        <v>30</v>
      </c>
      <c r="J1" s="36" t="s">
        <v>171</v>
      </c>
      <c r="K1" s="36" t="s">
        <v>172</v>
      </c>
      <c r="L1" s="36" t="s">
        <v>173</v>
      </c>
      <c r="M1" s="36" t="s">
        <v>174</v>
      </c>
      <c r="N1" s="36" t="s">
        <v>37</v>
      </c>
      <c r="O1" s="36" t="s">
        <v>35</v>
      </c>
      <c r="P1" s="36" t="s">
        <v>38</v>
      </c>
      <c r="Q1" s="36" t="s">
        <v>39</v>
      </c>
      <c r="R1" s="37" t="s">
        <v>175</v>
      </c>
      <c r="S1" s="37" t="s">
        <v>40</v>
      </c>
      <c r="T1" s="38" t="s">
        <v>176</v>
      </c>
      <c r="U1" s="38" t="s">
        <v>177</v>
      </c>
      <c r="V1" s="38" t="s">
        <v>178</v>
      </c>
      <c r="W1" s="38" t="s">
        <v>179</v>
      </c>
      <c r="X1" s="38" t="s">
        <v>180</v>
      </c>
      <c r="Y1" s="39" t="s">
        <v>181</v>
      </c>
      <c r="Z1" s="38" t="s">
        <v>182</v>
      </c>
      <c r="AA1" s="38" t="s">
        <v>183</v>
      </c>
      <c r="AB1" s="38" t="s">
        <v>184</v>
      </c>
      <c r="AC1" s="38" t="s">
        <v>185</v>
      </c>
      <c r="AD1" s="38" t="s">
        <v>186</v>
      </c>
      <c r="AE1" s="40" t="s">
        <v>187</v>
      </c>
      <c r="AF1" s="38" t="s">
        <v>188</v>
      </c>
      <c r="AG1" s="38" t="s">
        <v>189</v>
      </c>
      <c r="AH1" s="41" t="s">
        <v>190</v>
      </c>
      <c r="AI1" s="41"/>
      <c r="AJ1" s="41"/>
    </row>
    <row r="2" spans="1:36" ht="15.75" customHeight="1">
      <c r="A2" s="42" t="s">
        <v>191</v>
      </c>
      <c r="B2" s="42">
        <v>599557</v>
      </c>
      <c r="C2" s="42" t="s">
        <v>192</v>
      </c>
      <c r="D2" s="42">
        <v>13207719</v>
      </c>
      <c r="E2" s="43" t="s">
        <v>193</v>
      </c>
      <c r="F2" s="42" t="s">
        <v>194</v>
      </c>
      <c r="G2" s="42" t="s">
        <v>195</v>
      </c>
      <c r="H2" s="42"/>
      <c r="I2" s="42"/>
      <c r="J2" s="42">
        <v>13207719</v>
      </c>
      <c r="K2" s="42"/>
      <c r="L2" s="44">
        <v>45293</v>
      </c>
      <c r="M2" s="44">
        <v>45293</v>
      </c>
      <c r="N2" s="42" t="s">
        <v>196</v>
      </c>
      <c r="O2" s="42">
        <v>0</v>
      </c>
      <c r="P2" s="42">
        <v>20010079</v>
      </c>
      <c r="Q2" s="42" t="s">
        <v>197</v>
      </c>
      <c r="R2" s="45">
        <v>410</v>
      </c>
      <c r="S2" s="46">
        <v>0.01</v>
      </c>
      <c r="T2" s="47" t="s">
        <v>198</v>
      </c>
      <c r="U2" s="48" t="s">
        <v>199</v>
      </c>
      <c r="V2" s="38"/>
      <c r="W2" s="48" t="s">
        <v>195</v>
      </c>
      <c r="X2" s="38" t="s">
        <v>200</v>
      </c>
      <c r="Y2" s="49" t="s">
        <v>201</v>
      </c>
      <c r="Z2" s="50" t="s">
        <v>202</v>
      </c>
      <c r="AA2" s="38"/>
      <c r="AB2" s="38"/>
      <c r="AC2" s="38"/>
      <c r="AD2" s="51">
        <v>16</v>
      </c>
      <c r="AE2" s="51">
        <v>16</v>
      </c>
      <c r="AF2" s="48" t="s">
        <v>203</v>
      </c>
      <c r="AG2" s="38" t="s">
        <v>204</v>
      </c>
      <c r="AH2" s="52"/>
      <c r="AI2" s="38"/>
      <c r="AJ2" s="38"/>
    </row>
    <row r="3" spans="1:36" ht="15.75" customHeight="1">
      <c r="A3" s="53" t="s">
        <v>191</v>
      </c>
      <c r="B3" s="53">
        <v>599557</v>
      </c>
      <c r="C3" s="53" t="s">
        <v>192</v>
      </c>
      <c r="D3" s="53">
        <v>13207719</v>
      </c>
      <c r="E3" s="54" t="s">
        <v>193</v>
      </c>
      <c r="F3" s="53" t="s">
        <v>205</v>
      </c>
      <c r="G3" s="53" t="s">
        <v>195</v>
      </c>
      <c r="H3" s="53"/>
      <c r="I3" s="53"/>
      <c r="J3" s="53">
        <v>13207719</v>
      </c>
      <c r="K3" s="53"/>
      <c r="L3" s="55">
        <v>45293</v>
      </c>
      <c r="M3" s="55">
        <v>45293</v>
      </c>
      <c r="N3" s="53" t="s">
        <v>196</v>
      </c>
      <c r="O3" s="53">
        <v>0</v>
      </c>
      <c r="P3" s="53">
        <v>20010079</v>
      </c>
      <c r="Q3" s="53" t="s">
        <v>206</v>
      </c>
      <c r="R3" s="45">
        <v>410</v>
      </c>
      <c r="S3" s="56">
        <v>0.01</v>
      </c>
      <c r="T3" s="47" t="s">
        <v>198</v>
      </c>
      <c r="U3" s="48" t="s">
        <v>199</v>
      </c>
      <c r="V3" s="38"/>
      <c r="W3" s="48" t="s">
        <v>195</v>
      </c>
      <c r="X3" s="38" t="s">
        <v>200</v>
      </c>
      <c r="Y3" s="49" t="s">
        <v>201</v>
      </c>
      <c r="Z3" s="50" t="s">
        <v>207</v>
      </c>
      <c r="AA3" s="38"/>
      <c r="AB3" s="38"/>
      <c r="AC3" s="38"/>
      <c r="AD3" s="51">
        <v>16</v>
      </c>
      <c r="AE3" s="51">
        <v>16</v>
      </c>
      <c r="AF3" s="48" t="s">
        <v>203</v>
      </c>
      <c r="AG3" s="38" t="s">
        <v>204</v>
      </c>
      <c r="AH3" s="52"/>
      <c r="AI3" s="38"/>
      <c r="AJ3" s="38"/>
    </row>
    <row r="4" spans="1:36" ht="15.75" customHeight="1">
      <c r="A4" s="42" t="s">
        <v>191</v>
      </c>
      <c r="B4" s="42">
        <v>599557</v>
      </c>
      <c r="C4" s="42" t="s">
        <v>192</v>
      </c>
      <c r="D4" s="42">
        <v>13207719</v>
      </c>
      <c r="E4" s="43" t="s">
        <v>193</v>
      </c>
      <c r="F4" s="42" t="s">
        <v>208</v>
      </c>
      <c r="G4" s="42" t="s">
        <v>195</v>
      </c>
      <c r="H4" s="42"/>
      <c r="I4" s="42"/>
      <c r="J4" s="42">
        <v>13207719</v>
      </c>
      <c r="K4" s="42"/>
      <c r="L4" s="44">
        <v>45293</v>
      </c>
      <c r="M4" s="44">
        <v>45293</v>
      </c>
      <c r="N4" s="42" t="s">
        <v>196</v>
      </c>
      <c r="O4" s="42">
        <v>0</v>
      </c>
      <c r="P4" s="42">
        <v>20010079</v>
      </c>
      <c r="Q4" s="42" t="s">
        <v>209</v>
      </c>
      <c r="R4" s="45">
        <v>410</v>
      </c>
      <c r="S4" s="46">
        <v>0.01</v>
      </c>
      <c r="T4" s="47" t="s">
        <v>198</v>
      </c>
      <c r="U4" s="48" t="s">
        <v>199</v>
      </c>
      <c r="V4" s="38"/>
      <c r="W4" s="48" t="s">
        <v>195</v>
      </c>
      <c r="X4" s="38" t="s">
        <v>200</v>
      </c>
      <c r="Y4" s="49" t="s">
        <v>201</v>
      </c>
      <c r="Z4" s="50" t="s">
        <v>210</v>
      </c>
      <c r="AA4" s="38"/>
      <c r="AB4" s="38"/>
      <c r="AC4" s="38"/>
      <c r="AD4" s="51">
        <v>16</v>
      </c>
      <c r="AE4" s="51">
        <v>16</v>
      </c>
      <c r="AF4" s="48" t="s">
        <v>203</v>
      </c>
      <c r="AG4" s="38" t="s">
        <v>204</v>
      </c>
      <c r="AH4" s="52"/>
      <c r="AI4" s="38"/>
      <c r="AJ4" s="38"/>
    </row>
    <row r="5" spans="1:36" ht="15.75" customHeight="1">
      <c r="A5" s="53" t="s">
        <v>191</v>
      </c>
      <c r="B5" s="53">
        <v>599557</v>
      </c>
      <c r="C5" s="53" t="s">
        <v>192</v>
      </c>
      <c r="D5" s="53">
        <v>13207719</v>
      </c>
      <c r="E5" s="54" t="s">
        <v>193</v>
      </c>
      <c r="F5" s="53" t="s">
        <v>211</v>
      </c>
      <c r="G5" s="53" t="s">
        <v>195</v>
      </c>
      <c r="H5" s="53"/>
      <c r="I5" s="53"/>
      <c r="J5" s="53">
        <v>13207719</v>
      </c>
      <c r="K5" s="53"/>
      <c r="L5" s="55">
        <v>45293</v>
      </c>
      <c r="M5" s="55">
        <v>45293</v>
      </c>
      <c r="N5" s="53" t="s">
        <v>196</v>
      </c>
      <c r="O5" s="53">
        <v>0</v>
      </c>
      <c r="P5" s="53">
        <v>20010079</v>
      </c>
      <c r="Q5" s="53" t="s">
        <v>212</v>
      </c>
      <c r="R5" s="45">
        <v>410</v>
      </c>
      <c r="S5" s="56">
        <v>0.01</v>
      </c>
      <c r="T5" s="47" t="s">
        <v>198</v>
      </c>
      <c r="U5" s="48" t="s">
        <v>199</v>
      </c>
      <c r="V5" s="38"/>
      <c r="W5" s="48" t="s">
        <v>195</v>
      </c>
      <c r="X5" s="38" t="s">
        <v>200</v>
      </c>
      <c r="Y5" s="49" t="s">
        <v>201</v>
      </c>
      <c r="Z5" s="50" t="s">
        <v>213</v>
      </c>
      <c r="AA5" s="38"/>
      <c r="AB5" s="38"/>
      <c r="AC5" s="38"/>
      <c r="AD5" s="51">
        <v>16</v>
      </c>
      <c r="AE5" s="51">
        <v>16</v>
      </c>
      <c r="AF5" s="48" t="s">
        <v>203</v>
      </c>
      <c r="AG5" s="38" t="s">
        <v>204</v>
      </c>
      <c r="AH5" s="52"/>
      <c r="AI5" s="38"/>
      <c r="AJ5" s="38"/>
    </row>
    <row r="6" spans="1:36" ht="15.75" customHeight="1">
      <c r="A6" s="42" t="s">
        <v>191</v>
      </c>
      <c r="B6" s="42">
        <v>599557</v>
      </c>
      <c r="C6" s="42" t="s">
        <v>192</v>
      </c>
      <c r="D6" s="42">
        <v>13207719</v>
      </c>
      <c r="E6" s="43" t="s">
        <v>193</v>
      </c>
      <c r="F6" s="42" t="s">
        <v>214</v>
      </c>
      <c r="G6" s="42" t="s">
        <v>195</v>
      </c>
      <c r="H6" s="42" t="s">
        <v>215</v>
      </c>
      <c r="I6" s="42"/>
      <c r="J6" s="42">
        <v>13207719</v>
      </c>
      <c r="K6" s="42"/>
      <c r="L6" s="44">
        <v>45293</v>
      </c>
      <c r="M6" s="44">
        <v>45293</v>
      </c>
      <c r="N6" s="42" t="s">
        <v>196</v>
      </c>
      <c r="O6" s="42">
        <v>0</v>
      </c>
      <c r="P6" s="42">
        <v>20010079</v>
      </c>
      <c r="Q6" s="42" t="s">
        <v>216</v>
      </c>
      <c r="R6" s="45">
        <v>410</v>
      </c>
      <c r="S6" s="46">
        <v>0.01</v>
      </c>
      <c r="T6" s="47" t="s">
        <v>198</v>
      </c>
      <c r="U6" s="48" t="s">
        <v>199</v>
      </c>
      <c r="V6" s="38"/>
      <c r="W6" s="48" t="s">
        <v>195</v>
      </c>
      <c r="X6" s="38" t="s">
        <v>200</v>
      </c>
      <c r="Y6" s="49" t="s">
        <v>201</v>
      </c>
      <c r="Z6" s="50" t="s">
        <v>217</v>
      </c>
      <c r="AA6" s="47" t="s">
        <v>218</v>
      </c>
      <c r="AB6" s="38"/>
      <c r="AC6" s="38"/>
      <c r="AD6" s="51">
        <v>16</v>
      </c>
      <c r="AE6" s="51">
        <v>16</v>
      </c>
      <c r="AF6" s="48" t="s">
        <v>203</v>
      </c>
      <c r="AG6" s="38" t="s">
        <v>204</v>
      </c>
      <c r="AH6" s="52"/>
      <c r="AI6" s="38"/>
      <c r="AJ6" s="38"/>
    </row>
    <row r="7" spans="1:36" ht="15.75" customHeight="1">
      <c r="A7" s="53" t="s">
        <v>191</v>
      </c>
      <c r="B7" s="53">
        <v>599557</v>
      </c>
      <c r="C7" s="53" t="s">
        <v>192</v>
      </c>
      <c r="D7" s="53">
        <v>13207719</v>
      </c>
      <c r="E7" s="54" t="s">
        <v>193</v>
      </c>
      <c r="F7" s="53" t="s">
        <v>219</v>
      </c>
      <c r="G7" s="53" t="s">
        <v>195</v>
      </c>
      <c r="H7" s="53" t="s">
        <v>220</v>
      </c>
      <c r="I7" s="53"/>
      <c r="J7" s="53">
        <v>13207719</v>
      </c>
      <c r="K7" s="53"/>
      <c r="L7" s="55">
        <v>45293</v>
      </c>
      <c r="M7" s="55">
        <v>45293</v>
      </c>
      <c r="N7" s="53" t="s">
        <v>196</v>
      </c>
      <c r="O7" s="53">
        <v>0</v>
      </c>
      <c r="P7" s="53">
        <v>20010079</v>
      </c>
      <c r="Q7" s="53" t="s">
        <v>221</v>
      </c>
      <c r="R7" s="45">
        <v>410</v>
      </c>
      <c r="S7" s="56">
        <v>0.01</v>
      </c>
      <c r="T7" s="47" t="s">
        <v>198</v>
      </c>
      <c r="U7" s="48" t="s">
        <v>199</v>
      </c>
      <c r="V7" s="38"/>
      <c r="W7" s="48" t="s">
        <v>195</v>
      </c>
      <c r="X7" s="38" t="s">
        <v>200</v>
      </c>
      <c r="Y7" s="49" t="s">
        <v>201</v>
      </c>
      <c r="Z7" s="50" t="s">
        <v>222</v>
      </c>
      <c r="AA7" s="47" t="s">
        <v>223</v>
      </c>
      <c r="AB7" s="38"/>
      <c r="AC7" s="38"/>
      <c r="AD7" s="51">
        <v>16</v>
      </c>
      <c r="AE7" s="51">
        <v>16</v>
      </c>
      <c r="AF7" s="48" t="s">
        <v>203</v>
      </c>
      <c r="AG7" s="38" t="s">
        <v>204</v>
      </c>
      <c r="AH7" s="52"/>
      <c r="AI7" s="38"/>
      <c r="AJ7" s="38"/>
    </row>
    <row r="8" spans="1:36" ht="15.75" customHeight="1">
      <c r="A8" s="42" t="s">
        <v>191</v>
      </c>
      <c r="B8" s="42">
        <v>599557</v>
      </c>
      <c r="C8" s="42" t="s">
        <v>192</v>
      </c>
      <c r="D8" s="42">
        <v>13207719</v>
      </c>
      <c r="E8" s="43" t="s">
        <v>193</v>
      </c>
      <c r="F8" s="42" t="s">
        <v>224</v>
      </c>
      <c r="G8" s="42" t="s">
        <v>195</v>
      </c>
      <c r="H8" s="42"/>
      <c r="I8" s="42"/>
      <c r="J8" s="42">
        <v>13207719</v>
      </c>
      <c r="K8" s="42"/>
      <c r="L8" s="44">
        <v>45293</v>
      </c>
      <c r="M8" s="44">
        <v>45293</v>
      </c>
      <c r="N8" s="42" t="s">
        <v>196</v>
      </c>
      <c r="O8" s="42">
        <v>0</v>
      </c>
      <c r="P8" s="42">
        <v>20010079</v>
      </c>
      <c r="Q8" s="42" t="s">
        <v>225</v>
      </c>
      <c r="R8" s="45">
        <v>410</v>
      </c>
      <c r="S8" s="46">
        <v>0.01</v>
      </c>
      <c r="T8" s="47" t="s">
        <v>198</v>
      </c>
      <c r="U8" s="48" t="s">
        <v>199</v>
      </c>
      <c r="V8" s="38"/>
      <c r="W8" s="48" t="s">
        <v>195</v>
      </c>
      <c r="X8" s="38" t="s">
        <v>200</v>
      </c>
      <c r="Y8" s="49" t="s">
        <v>201</v>
      </c>
      <c r="Z8" s="50" t="s">
        <v>226</v>
      </c>
      <c r="AA8" s="38"/>
      <c r="AB8" s="38"/>
      <c r="AC8" s="38"/>
      <c r="AD8" s="51">
        <v>16</v>
      </c>
      <c r="AE8" s="51">
        <v>16</v>
      </c>
      <c r="AF8" s="48" t="s">
        <v>203</v>
      </c>
      <c r="AG8" s="38" t="s">
        <v>204</v>
      </c>
      <c r="AH8" s="52"/>
      <c r="AI8" s="38"/>
      <c r="AJ8" s="38"/>
    </row>
    <row r="9" spans="1:36" ht="15.75" customHeight="1">
      <c r="A9" s="53" t="s">
        <v>191</v>
      </c>
      <c r="B9" s="53">
        <v>599557</v>
      </c>
      <c r="C9" s="53" t="s">
        <v>192</v>
      </c>
      <c r="D9" s="53">
        <v>13207719</v>
      </c>
      <c r="E9" s="54" t="s">
        <v>193</v>
      </c>
      <c r="F9" s="53" t="s">
        <v>227</v>
      </c>
      <c r="G9" s="53" t="s">
        <v>195</v>
      </c>
      <c r="H9" s="53"/>
      <c r="I9" s="53"/>
      <c r="J9" s="53">
        <v>13207719</v>
      </c>
      <c r="K9" s="53"/>
      <c r="L9" s="55">
        <v>45293</v>
      </c>
      <c r="M9" s="55">
        <v>45293</v>
      </c>
      <c r="N9" s="53" t="s">
        <v>196</v>
      </c>
      <c r="O9" s="53">
        <v>0</v>
      </c>
      <c r="P9" s="53">
        <v>20010079</v>
      </c>
      <c r="Q9" s="53" t="s">
        <v>228</v>
      </c>
      <c r="R9" s="45">
        <v>410</v>
      </c>
      <c r="S9" s="56">
        <v>0.01</v>
      </c>
      <c r="T9" s="47" t="s">
        <v>198</v>
      </c>
      <c r="U9" s="48" t="s">
        <v>199</v>
      </c>
      <c r="V9" s="38"/>
      <c r="W9" s="48" t="s">
        <v>195</v>
      </c>
      <c r="X9" s="38" t="s">
        <v>200</v>
      </c>
      <c r="Y9" s="49" t="s">
        <v>201</v>
      </c>
      <c r="Z9" s="50" t="s">
        <v>229</v>
      </c>
      <c r="AA9" s="38"/>
      <c r="AB9" s="38"/>
      <c r="AC9" s="38"/>
      <c r="AD9" s="51">
        <v>16</v>
      </c>
      <c r="AE9" s="51">
        <v>16</v>
      </c>
      <c r="AF9" s="48" t="s">
        <v>203</v>
      </c>
      <c r="AG9" s="38" t="s">
        <v>204</v>
      </c>
      <c r="AH9" s="52"/>
      <c r="AI9" s="38"/>
      <c r="AJ9" s="38"/>
    </row>
    <row r="10" spans="1:36" ht="15.75" customHeight="1">
      <c r="A10" s="42" t="s">
        <v>191</v>
      </c>
      <c r="B10" s="42">
        <v>599557</v>
      </c>
      <c r="C10" s="42" t="s">
        <v>192</v>
      </c>
      <c r="D10" s="42">
        <v>13207719</v>
      </c>
      <c r="E10" s="43" t="s">
        <v>193</v>
      </c>
      <c r="F10" s="42" t="s">
        <v>230</v>
      </c>
      <c r="G10" s="42" t="s">
        <v>195</v>
      </c>
      <c r="H10" s="42" t="s">
        <v>231</v>
      </c>
      <c r="I10" s="42"/>
      <c r="J10" s="42">
        <v>13207719</v>
      </c>
      <c r="K10" s="42"/>
      <c r="L10" s="44">
        <v>45293</v>
      </c>
      <c r="M10" s="44">
        <v>45293</v>
      </c>
      <c r="N10" s="42" t="s">
        <v>196</v>
      </c>
      <c r="O10" s="42">
        <v>0</v>
      </c>
      <c r="P10" s="42">
        <v>20010079</v>
      </c>
      <c r="Q10" s="42" t="s">
        <v>232</v>
      </c>
      <c r="R10" s="45">
        <v>410</v>
      </c>
      <c r="S10" s="46">
        <v>0.01</v>
      </c>
      <c r="T10" s="47" t="s">
        <v>198</v>
      </c>
      <c r="U10" s="48" t="s">
        <v>199</v>
      </c>
      <c r="V10" s="38"/>
      <c r="W10" s="48" t="s">
        <v>195</v>
      </c>
      <c r="X10" s="38" t="s">
        <v>200</v>
      </c>
      <c r="Y10" s="49" t="s">
        <v>201</v>
      </c>
      <c r="Z10" s="50" t="s">
        <v>233</v>
      </c>
      <c r="AA10" s="47" t="s">
        <v>234</v>
      </c>
      <c r="AB10" s="38"/>
      <c r="AC10" s="38"/>
      <c r="AD10" s="51">
        <v>16</v>
      </c>
      <c r="AE10" s="51">
        <v>16</v>
      </c>
      <c r="AF10" s="48" t="s">
        <v>203</v>
      </c>
      <c r="AG10" s="38" t="s">
        <v>204</v>
      </c>
      <c r="AH10" s="52"/>
      <c r="AI10" s="38"/>
      <c r="AJ10" s="38"/>
    </row>
    <row r="11" spans="1:36" ht="15.75" customHeight="1">
      <c r="A11" s="53" t="s">
        <v>191</v>
      </c>
      <c r="B11" s="53">
        <v>599557</v>
      </c>
      <c r="C11" s="53" t="s">
        <v>192</v>
      </c>
      <c r="D11" s="53">
        <v>13207719</v>
      </c>
      <c r="E11" s="54" t="s">
        <v>193</v>
      </c>
      <c r="F11" s="53" t="s">
        <v>235</v>
      </c>
      <c r="G11" s="53" t="s">
        <v>195</v>
      </c>
      <c r="H11" s="53"/>
      <c r="I11" s="53"/>
      <c r="J11" s="53">
        <v>13207719</v>
      </c>
      <c r="K11" s="53"/>
      <c r="L11" s="55">
        <v>45293</v>
      </c>
      <c r="M11" s="55">
        <v>45293</v>
      </c>
      <c r="N11" s="53" t="s">
        <v>196</v>
      </c>
      <c r="O11" s="53">
        <v>0</v>
      </c>
      <c r="P11" s="53">
        <v>20010079</v>
      </c>
      <c r="Q11" s="53" t="s">
        <v>236</v>
      </c>
      <c r="R11" s="45">
        <v>410</v>
      </c>
      <c r="S11" s="56">
        <v>0.01</v>
      </c>
      <c r="T11" s="47" t="s">
        <v>198</v>
      </c>
      <c r="U11" s="48" t="s">
        <v>199</v>
      </c>
      <c r="V11" s="38"/>
      <c r="W11" s="48" t="s">
        <v>195</v>
      </c>
      <c r="X11" s="38" t="s">
        <v>200</v>
      </c>
      <c r="Y11" s="49" t="s">
        <v>201</v>
      </c>
      <c r="Z11" s="50" t="s">
        <v>237</v>
      </c>
      <c r="AA11" s="38"/>
      <c r="AB11" s="38"/>
      <c r="AC11" s="38"/>
      <c r="AD11" s="51">
        <v>16</v>
      </c>
      <c r="AE11" s="51">
        <v>16</v>
      </c>
      <c r="AF11" s="48" t="s">
        <v>203</v>
      </c>
      <c r="AG11" s="38" t="s">
        <v>204</v>
      </c>
      <c r="AH11" s="52"/>
      <c r="AI11" s="38"/>
      <c r="AJ11" s="38"/>
    </row>
    <row r="12" spans="1:36" ht="15.75" customHeight="1">
      <c r="A12" s="42" t="s">
        <v>238</v>
      </c>
      <c r="B12" s="42">
        <v>599558</v>
      </c>
      <c r="C12" s="42" t="s">
        <v>239</v>
      </c>
      <c r="D12" s="42">
        <v>13207647</v>
      </c>
      <c r="E12" s="43" t="s">
        <v>240</v>
      </c>
      <c r="F12" s="42" t="s">
        <v>241</v>
      </c>
      <c r="G12" s="42" t="s">
        <v>195</v>
      </c>
      <c r="H12" s="42"/>
      <c r="I12" s="42"/>
      <c r="J12" s="42">
        <v>13207647</v>
      </c>
      <c r="K12" s="42"/>
      <c r="L12" s="44">
        <v>45293</v>
      </c>
      <c r="M12" s="44">
        <v>45293</v>
      </c>
      <c r="N12" s="42" t="s">
        <v>242</v>
      </c>
      <c r="O12" s="42">
        <v>0</v>
      </c>
      <c r="P12" s="42">
        <v>20068360</v>
      </c>
      <c r="Q12" s="42" t="s">
        <v>243</v>
      </c>
      <c r="R12" s="45">
        <v>410</v>
      </c>
      <c r="S12" s="46">
        <v>0.01</v>
      </c>
      <c r="T12" s="47" t="s">
        <v>198</v>
      </c>
      <c r="U12" s="48" t="s">
        <v>199</v>
      </c>
      <c r="V12" s="38"/>
      <c r="W12" s="48" t="s">
        <v>195</v>
      </c>
      <c r="X12" s="38" t="s">
        <v>200</v>
      </c>
      <c r="Y12" s="49" t="s">
        <v>201</v>
      </c>
      <c r="Z12" s="50" t="s">
        <v>244</v>
      </c>
      <c r="AA12" s="38"/>
      <c r="AB12" s="38"/>
      <c r="AC12" s="38"/>
      <c r="AD12" s="51">
        <v>20</v>
      </c>
      <c r="AE12" s="51">
        <v>20</v>
      </c>
      <c r="AF12" s="48" t="s">
        <v>203</v>
      </c>
      <c r="AG12" s="38" t="s">
        <v>204</v>
      </c>
      <c r="AH12" s="52"/>
      <c r="AI12" s="38"/>
      <c r="AJ12" s="38"/>
    </row>
    <row r="13" spans="1:36" ht="15.75" customHeight="1">
      <c r="A13" s="53" t="s">
        <v>238</v>
      </c>
      <c r="B13" s="53">
        <v>599558</v>
      </c>
      <c r="C13" s="53" t="s">
        <v>239</v>
      </c>
      <c r="D13" s="53">
        <v>13207647</v>
      </c>
      <c r="E13" s="54" t="s">
        <v>240</v>
      </c>
      <c r="F13" s="53" t="s">
        <v>245</v>
      </c>
      <c r="G13" s="53" t="s">
        <v>195</v>
      </c>
      <c r="H13" s="53"/>
      <c r="I13" s="53"/>
      <c r="J13" s="53">
        <v>13207647</v>
      </c>
      <c r="K13" s="53"/>
      <c r="L13" s="55">
        <v>45293</v>
      </c>
      <c r="M13" s="55">
        <v>45293</v>
      </c>
      <c r="N13" s="53" t="s">
        <v>242</v>
      </c>
      <c r="O13" s="53">
        <v>0</v>
      </c>
      <c r="P13" s="53">
        <v>20068360</v>
      </c>
      <c r="Q13" s="53" t="s">
        <v>246</v>
      </c>
      <c r="R13" s="45">
        <v>410</v>
      </c>
      <c r="S13" s="53">
        <v>0</v>
      </c>
      <c r="T13" s="47" t="s">
        <v>198</v>
      </c>
      <c r="U13" s="48" t="s">
        <v>199</v>
      </c>
      <c r="V13" s="38"/>
      <c r="W13" s="48" t="s">
        <v>195</v>
      </c>
      <c r="X13" s="38" t="s">
        <v>200</v>
      </c>
      <c r="Y13" s="49" t="s">
        <v>201</v>
      </c>
      <c r="Z13" s="50" t="s">
        <v>247</v>
      </c>
      <c r="AA13" s="38"/>
      <c r="AB13" s="38"/>
      <c r="AC13" s="38"/>
      <c r="AD13" s="51">
        <v>20</v>
      </c>
      <c r="AE13" s="51">
        <v>20</v>
      </c>
      <c r="AF13" s="48" t="s">
        <v>203</v>
      </c>
      <c r="AG13" s="38" t="s">
        <v>204</v>
      </c>
      <c r="AH13" s="52"/>
      <c r="AI13" s="38"/>
      <c r="AJ13" s="38"/>
    </row>
    <row r="14" spans="1:36" ht="15.75" customHeight="1">
      <c r="A14" s="42" t="s">
        <v>238</v>
      </c>
      <c r="B14" s="42">
        <v>599558</v>
      </c>
      <c r="C14" s="42" t="s">
        <v>239</v>
      </c>
      <c r="D14" s="42">
        <v>13207647</v>
      </c>
      <c r="E14" s="43" t="s">
        <v>240</v>
      </c>
      <c r="F14" s="42" t="s">
        <v>248</v>
      </c>
      <c r="G14" s="42" t="s">
        <v>195</v>
      </c>
      <c r="H14" s="42"/>
      <c r="I14" s="42"/>
      <c r="J14" s="42">
        <v>13207647</v>
      </c>
      <c r="K14" s="42"/>
      <c r="L14" s="44">
        <v>45293</v>
      </c>
      <c r="M14" s="44">
        <v>45293</v>
      </c>
      <c r="N14" s="42" t="s">
        <v>242</v>
      </c>
      <c r="O14" s="42">
        <v>0</v>
      </c>
      <c r="P14" s="42">
        <v>20068360</v>
      </c>
      <c r="Q14" s="42" t="s">
        <v>249</v>
      </c>
      <c r="R14" s="45">
        <v>410</v>
      </c>
      <c r="S14" s="46">
        <v>0</v>
      </c>
      <c r="T14" s="47" t="s">
        <v>198</v>
      </c>
      <c r="U14" s="48" t="s">
        <v>199</v>
      </c>
      <c r="V14" s="38"/>
      <c r="W14" s="48" t="s">
        <v>195</v>
      </c>
      <c r="X14" s="38" t="s">
        <v>200</v>
      </c>
      <c r="Y14" s="49" t="s">
        <v>201</v>
      </c>
      <c r="Z14" s="50" t="s">
        <v>250</v>
      </c>
      <c r="AA14" s="38"/>
      <c r="AB14" s="38"/>
      <c r="AC14" s="38"/>
      <c r="AD14" s="51">
        <v>20</v>
      </c>
      <c r="AE14" s="51">
        <v>20</v>
      </c>
      <c r="AF14" s="48" t="s">
        <v>203</v>
      </c>
      <c r="AG14" s="38" t="s">
        <v>204</v>
      </c>
      <c r="AH14" s="52"/>
      <c r="AI14" s="38"/>
      <c r="AJ14" s="38"/>
    </row>
    <row r="15" spans="1:36" ht="16.2">
      <c r="A15" s="53" t="s">
        <v>238</v>
      </c>
      <c r="B15" s="53">
        <v>599558</v>
      </c>
      <c r="C15" s="53" t="s">
        <v>239</v>
      </c>
      <c r="D15" s="53">
        <v>13207647</v>
      </c>
      <c r="E15" s="54" t="s">
        <v>240</v>
      </c>
      <c r="F15" s="53" t="s">
        <v>251</v>
      </c>
      <c r="G15" s="53" t="s">
        <v>195</v>
      </c>
      <c r="H15" s="53"/>
      <c r="I15" s="53"/>
      <c r="J15" s="53">
        <v>13207647</v>
      </c>
      <c r="K15" s="53"/>
      <c r="L15" s="55">
        <v>45293</v>
      </c>
      <c r="M15" s="55">
        <v>45293</v>
      </c>
      <c r="N15" s="53" t="s">
        <v>242</v>
      </c>
      <c r="O15" s="53">
        <v>0</v>
      </c>
      <c r="P15" s="53">
        <v>20068360</v>
      </c>
      <c r="Q15" s="53" t="s">
        <v>252</v>
      </c>
      <c r="R15" s="45">
        <v>410</v>
      </c>
      <c r="S15" s="56">
        <v>0.01</v>
      </c>
      <c r="T15" s="47" t="s">
        <v>198</v>
      </c>
      <c r="U15" s="48" t="s">
        <v>199</v>
      </c>
      <c r="V15" s="38"/>
      <c r="W15" s="48" t="s">
        <v>195</v>
      </c>
      <c r="X15" s="38" t="s">
        <v>200</v>
      </c>
      <c r="Y15" s="49" t="s">
        <v>201</v>
      </c>
      <c r="Z15" s="50" t="s">
        <v>253</v>
      </c>
      <c r="AA15" s="38"/>
      <c r="AB15" s="38"/>
      <c r="AC15" s="38"/>
      <c r="AD15" s="51">
        <v>20</v>
      </c>
      <c r="AE15" s="51">
        <v>20</v>
      </c>
      <c r="AF15" s="48" t="s">
        <v>203</v>
      </c>
      <c r="AG15" s="38" t="s">
        <v>204</v>
      </c>
      <c r="AH15" s="52"/>
      <c r="AI15" s="38"/>
      <c r="AJ15" s="38"/>
    </row>
    <row r="16" spans="1:36" ht="16.2">
      <c r="A16" s="42" t="s">
        <v>238</v>
      </c>
      <c r="B16" s="42">
        <v>599558</v>
      </c>
      <c r="C16" s="42" t="s">
        <v>239</v>
      </c>
      <c r="D16" s="42">
        <v>13207647</v>
      </c>
      <c r="E16" s="43" t="s">
        <v>240</v>
      </c>
      <c r="F16" s="42" t="s">
        <v>254</v>
      </c>
      <c r="G16" s="42" t="s">
        <v>195</v>
      </c>
      <c r="H16" s="42"/>
      <c r="I16" s="42"/>
      <c r="J16" s="42">
        <v>13207647</v>
      </c>
      <c r="K16" s="42"/>
      <c r="L16" s="44">
        <v>45293</v>
      </c>
      <c r="M16" s="44">
        <v>45293</v>
      </c>
      <c r="N16" s="42" t="s">
        <v>242</v>
      </c>
      <c r="O16" s="42">
        <v>0</v>
      </c>
      <c r="P16" s="42">
        <v>20068360</v>
      </c>
      <c r="Q16" s="42" t="s">
        <v>255</v>
      </c>
      <c r="R16" s="45">
        <v>410</v>
      </c>
      <c r="S16" s="46">
        <v>0.01</v>
      </c>
      <c r="T16" s="47" t="s">
        <v>198</v>
      </c>
      <c r="U16" s="48" t="s">
        <v>199</v>
      </c>
      <c r="V16" s="38"/>
      <c r="W16" s="48" t="s">
        <v>195</v>
      </c>
      <c r="X16" s="38" t="s">
        <v>200</v>
      </c>
      <c r="Y16" s="49" t="s">
        <v>201</v>
      </c>
      <c r="Z16" s="50" t="s">
        <v>256</v>
      </c>
      <c r="AA16" s="38"/>
      <c r="AB16" s="38"/>
      <c r="AC16" s="38"/>
      <c r="AD16" s="51">
        <v>20</v>
      </c>
      <c r="AE16" s="51">
        <v>20</v>
      </c>
      <c r="AF16" s="48" t="s">
        <v>203</v>
      </c>
      <c r="AG16" s="38" t="s">
        <v>204</v>
      </c>
      <c r="AH16" s="52"/>
      <c r="AI16" s="38"/>
      <c r="AJ16" s="38"/>
    </row>
    <row r="17" spans="1:36" ht="16.2">
      <c r="A17" s="53" t="s">
        <v>238</v>
      </c>
      <c r="B17" s="53">
        <v>599558</v>
      </c>
      <c r="C17" s="53" t="s">
        <v>239</v>
      </c>
      <c r="D17" s="53">
        <v>13207647</v>
      </c>
      <c r="E17" s="54" t="s">
        <v>240</v>
      </c>
      <c r="F17" s="53" t="s">
        <v>257</v>
      </c>
      <c r="G17" s="53" t="s">
        <v>195</v>
      </c>
      <c r="H17" s="53"/>
      <c r="I17" s="53"/>
      <c r="J17" s="53">
        <v>13207647</v>
      </c>
      <c r="K17" s="53"/>
      <c r="L17" s="55">
        <v>45293</v>
      </c>
      <c r="M17" s="55">
        <v>45293</v>
      </c>
      <c r="N17" s="53" t="s">
        <v>242</v>
      </c>
      <c r="O17" s="53">
        <v>0</v>
      </c>
      <c r="P17" s="53">
        <v>20068360</v>
      </c>
      <c r="Q17" s="53" t="s">
        <v>258</v>
      </c>
      <c r="R17" s="45">
        <v>410</v>
      </c>
      <c r="S17" s="56">
        <v>0.01</v>
      </c>
      <c r="T17" s="47" t="s">
        <v>198</v>
      </c>
      <c r="U17" s="48" t="s">
        <v>199</v>
      </c>
      <c r="V17" s="38"/>
      <c r="W17" s="48" t="s">
        <v>195</v>
      </c>
      <c r="X17" s="38" t="s">
        <v>200</v>
      </c>
      <c r="Y17" s="49" t="s">
        <v>201</v>
      </c>
      <c r="Z17" s="50" t="s">
        <v>259</v>
      </c>
      <c r="AA17" s="38"/>
      <c r="AB17" s="38"/>
      <c r="AC17" s="38"/>
      <c r="AD17" s="51">
        <v>20</v>
      </c>
      <c r="AE17" s="51">
        <v>20</v>
      </c>
      <c r="AF17" s="48" t="s">
        <v>203</v>
      </c>
      <c r="AG17" s="38" t="s">
        <v>204</v>
      </c>
      <c r="AH17" s="52"/>
      <c r="AI17" s="38"/>
      <c r="AJ17" s="38"/>
    </row>
    <row r="18" spans="1:36" ht="16.2">
      <c r="A18" s="42" t="s">
        <v>238</v>
      </c>
      <c r="B18" s="42">
        <v>599558</v>
      </c>
      <c r="C18" s="42" t="s">
        <v>239</v>
      </c>
      <c r="D18" s="42">
        <v>13207647</v>
      </c>
      <c r="E18" s="43" t="s">
        <v>240</v>
      </c>
      <c r="F18" s="42" t="s">
        <v>260</v>
      </c>
      <c r="G18" s="42" t="s">
        <v>195</v>
      </c>
      <c r="H18" s="42"/>
      <c r="I18" s="42"/>
      <c r="J18" s="42">
        <v>13207647</v>
      </c>
      <c r="K18" s="42"/>
      <c r="L18" s="44">
        <v>45293</v>
      </c>
      <c r="M18" s="44">
        <v>45293</v>
      </c>
      <c r="N18" s="42" t="s">
        <v>242</v>
      </c>
      <c r="O18" s="42">
        <v>0</v>
      </c>
      <c r="P18" s="42">
        <v>20068360</v>
      </c>
      <c r="Q18" s="42" t="s">
        <v>261</v>
      </c>
      <c r="R18" s="45">
        <v>410</v>
      </c>
      <c r="S18" s="46">
        <v>0.01</v>
      </c>
      <c r="T18" s="47" t="s">
        <v>198</v>
      </c>
      <c r="U18" s="48" t="s">
        <v>199</v>
      </c>
      <c r="V18" s="38"/>
      <c r="W18" s="48" t="s">
        <v>195</v>
      </c>
      <c r="X18" s="38" t="s">
        <v>200</v>
      </c>
      <c r="Y18" s="49" t="s">
        <v>201</v>
      </c>
      <c r="Z18" s="50" t="s">
        <v>262</v>
      </c>
      <c r="AA18" s="38"/>
      <c r="AB18" s="38"/>
      <c r="AC18" s="38"/>
      <c r="AD18" s="51">
        <v>20</v>
      </c>
      <c r="AE18" s="51">
        <v>20</v>
      </c>
      <c r="AF18" s="48" t="s">
        <v>203</v>
      </c>
      <c r="AG18" s="38" t="s">
        <v>204</v>
      </c>
      <c r="AH18" s="52"/>
      <c r="AI18" s="38"/>
      <c r="AJ18" s="38"/>
    </row>
    <row r="19" spans="1:36" ht="16.2">
      <c r="A19" s="53" t="s">
        <v>238</v>
      </c>
      <c r="B19" s="53">
        <v>599558</v>
      </c>
      <c r="C19" s="53" t="s">
        <v>239</v>
      </c>
      <c r="D19" s="53">
        <v>13207647</v>
      </c>
      <c r="E19" s="54" t="s">
        <v>240</v>
      </c>
      <c r="F19" s="53" t="s">
        <v>263</v>
      </c>
      <c r="G19" s="53" t="s">
        <v>195</v>
      </c>
      <c r="H19" s="53"/>
      <c r="I19" s="53"/>
      <c r="J19" s="53">
        <v>13207647</v>
      </c>
      <c r="K19" s="53"/>
      <c r="L19" s="55">
        <v>45293</v>
      </c>
      <c r="M19" s="55">
        <v>45293</v>
      </c>
      <c r="N19" s="53" t="s">
        <v>242</v>
      </c>
      <c r="O19" s="53">
        <v>0</v>
      </c>
      <c r="P19" s="53">
        <v>20068360</v>
      </c>
      <c r="Q19" s="53" t="s">
        <v>264</v>
      </c>
      <c r="R19" s="45">
        <v>410</v>
      </c>
      <c r="S19" s="56">
        <v>0.01</v>
      </c>
      <c r="T19" s="47" t="s">
        <v>198</v>
      </c>
      <c r="U19" s="48" t="s">
        <v>199</v>
      </c>
      <c r="V19" s="38"/>
      <c r="W19" s="48" t="s">
        <v>195</v>
      </c>
      <c r="X19" s="38" t="s">
        <v>200</v>
      </c>
      <c r="Y19" s="49" t="s">
        <v>201</v>
      </c>
      <c r="Z19" s="50" t="s">
        <v>265</v>
      </c>
      <c r="AA19" s="38"/>
      <c r="AB19" s="38"/>
      <c r="AC19" s="38"/>
      <c r="AD19" s="51">
        <v>20</v>
      </c>
      <c r="AE19" s="51">
        <v>20</v>
      </c>
      <c r="AF19" s="48" t="s">
        <v>203</v>
      </c>
      <c r="AG19" s="38" t="s">
        <v>204</v>
      </c>
      <c r="AH19" s="52"/>
      <c r="AI19" s="38"/>
      <c r="AJ19" s="38"/>
    </row>
    <row r="20" spans="1:36" ht="16.2">
      <c r="A20" s="42" t="s">
        <v>238</v>
      </c>
      <c r="B20" s="42">
        <v>599558</v>
      </c>
      <c r="C20" s="42" t="s">
        <v>239</v>
      </c>
      <c r="D20" s="42">
        <v>13207647</v>
      </c>
      <c r="E20" s="43" t="s">
        <v>240</v>
      </c>
      <c r="F20" s="42" t="s">
        <v>266</v>
      </c>
      <c r="G20" s="42" t="s">
        <v>195</v>
      </c>
      <c r="H20" s="42"/>
      <c r="I20" s="42"/>
      <c r="J20" s="42">
        <v>13207647</v>
      </c>
      <c r="K20" s="42"/>
      <c r="L20" s="44">
        <v>45293</v>
      </c>
      <c r="M20" s="44">
        <v>45293</v>
      </c>
      <c r="N20" s="42" t="s">
        <v>242</v>
      </c>
      <c r="O20" s="42">
        <v>0</v>
      </c>
      <c r="P20" s="42">
        <v>20068360</v>
      </c>
      <c r="Q20" s="42" t="s">
        <v>267</v>
      </c>
      <c r="R20" s="45">
        <v>410</v>
      </c>
      <c r="S20" s="46">
        <v>0.01</v>
      </c>
      <c r="T20" s="47" t="s">
        <v>198</v>
      </c>
      <c r="U20" s="48" t="s">
        <v>199</v>
      </c>
      <c r="V20" s="38"/>
      <c r="W20" s="48" t="s">
        <v>195</v>
      </c>
      <c r="X20" s="38" t="s">
        <v>200</v>
      </c>
      <c r="Y20" s="49" t="s">
        <v>201</v>
      </c>
      <c r="Z20" s="50" t="s">
        <v>268</v>
      </c>
      <c r="AA20" s="38"/>
      <c r="AB20" s="38"/>
      <c r="AC20" s="38"/>
      <c r="AD20" s="51">
        <v>20</v>
      </c>
      <c r="AE20" s="51">
        <v>20</v>
      </c>
      <c r="AF20" s="48" t="s">
        <v>203</v>
      </c>
      <c r="AG20" s="38" t="s">
        <v>204</v>
      </c>
      <c r="AH20" s="52"/>
      <c r="AI20" s="38"/>
      <c r="AJ20" s="38"/>
    </row>
    <row r="21" spans="1:36" ht="16.2">
      <c r="A21" s="53" t="s">
        <v>238</v>
      </c>
      <c r="B21" s="53">
        <v>599558</v>
      </c>
      <c r="C21" s="53" t="s">
        <v>239</v>
      </c>
      <c r="D21" s="53">
        <v>13207647</v>
      </c>
      <c r="E21" s="54" t="s">
        <v>240</v>
      </c>
      <c r="F21" s="53" t="s">
        <v>269</v>
      </c>
      <c r="G21" s="53" t="s">
        <v>195</v>
      </c>
      <c r="H21" s="53"/>
      <c r="I21" s="53"/>
      <c r="J21" s="53">
        <v>13207647</v>
      </c>
      <c r="K21" s="53"/>
      <c r="L21" s="55">
        <v>45293</v>
      </c>
      <c r="M21" s="55">
        <v>45293</v>
      </c>
      <c r="N21" s="53" t="s">
        <v>242</v>
      </c>
      <c r="O21" s="53">
        <v>0</v>
      </c>
      <c r="P21" s="53">
        <v>20068360</v>
      </c>
      <c r="Q21" s="53" t="s">
        <v>270</v>
      </c>
      <c r="R21" s="45">
        <v>410</v>
      </c>
      <c r="S21" s="56">
        <v>0.01</v>
      </c>
      <c r="T21" s="47" t="s">
        <v>198</v>
      </c>
      <c r="U21" s="48" t="s">
        <v>199</v>
      </c>
      <c r="V21" s="38"/>
      <c r="W21" s="48" t="s">
        <v>195</v>
      </c>
      <c r="X21" s="38" t="s">
        <v>200</v>
      </c>
      <c r="Y21" s="49" t="s">
        <v>201</v>
      </c>
      <c r="Z21" s="50" t="s">
        <v>271</v>
      </c>
      <c r="AA21" s="38"/>
      <c r="AB21" s="38"/>
      <c r="AC21" s="38"/>
      <c r="AD21" s="51">
        <v>20</v>
      </c>
      <c r="AE21" s="51">
        <v>20</v>
      </c>
      <c r="AF21" s="48" t="s">
        <v>203</v>
      </c>
      <c r="AG21" s="38" t="s">
        <v>204</v>
      </c>
      <c r="AH21" s="52"/>
      <c r="AI21" s="38"/>
      <c r="AJ21" s="38"/>
    </row>
    <row r="22" spans="1:36" ht="16.2">
      <c r="A22" s="42" t="s">
        <v>238</v>
      </c>
      <c r="B22" s="42">
        <v>599558</v>
      </c>
      <c r="C22" s="42" t="s">
        <v>239</v>
      </c>
      <c r="D22" s="42">
        <v>13207647</v>
      </c>
      <c r="E22" s="43" t="s">
        <v>240</v>
      </c>
      <c r="F22" s="42" t="s">
        <v>272</v>
      </c>
      <c r="G22" s="42" t="s">
        <v>195</v>
      </c>
      <c r="H22" s="42"/>
      <c r="I22" s="42"/>
      <c r="J22" s="42">
        <v>13207647</v>
      </c>
      <c r="K22" s="42"/>
      <c r="L22" s="44">
        <v>45293</v>
      </c>
      <c r="M22" s="44">
        <v>45293</v>
      </c>
      <c r="N22" s="42" t="s">
        <v>242</v>
      </c>
      <c r="O22" s="42">
        <v>0</v>
      </c>
      <c r="P22" s="42">
        <v>20068360</v>
      </c>
      <c r="Q22" s="42" t="s">
        <v>273</v>
      </c>
      <c r="R22" s="45">
        <v>410</v>
      </c>
      <c r="S22" s="46">
        <v>0.01</v>
      </c>
      <c r="T22" s="47" t="s">
        <v>198</v>
      </c>
      <c r="U22" s="48" t="s">
        <v>199</v>
      </c>
      <c r="V22" s="38"/>
      <c r="W22" s="48" t="s">
        <v>195</v>
      </c>
      <c r="X22" s="38" t="s">
        <v>200</v>
      </c>
      <c r="Y22" s="49" t="s">
        <v>201</v>
      </c>
      <c r="Z22" s="50" t="s">
        <v>274</v>
      </c>
      <c r="AA22" s="38"/>
      <c r="AB22" s="38"/>
      <c r="AC22" s="38"/>
      <c r="AD22" s="51">
        <v>20</v>
      </c>
      <c r="AE22" s="51">
        <v>20</v>
      </c>
      <c r="AF22" s="48" t="s">
        <v>203</v>
      </c>
      <c r="AG22" s="38" t="s">
        <v>204</v>
      </c>
      <c r="AH22" s="52"/>
      <c r="AI22" s="38"/>
      <c r="AJ22" s="38"/>
    </row>
    <row r="23" spans="1:36" ht="16.2">
      <c r="A23" s="53" t="s">
        <v>238</v>
      </c>
      <c r="B23" s="53">
        <v>599558</v>
      </c>
      <c r="C23" s="53" t="s">
        <v>239</v>
      </c>
      <c r="D23" s="53">
        <v>13207647</v>
      </c>
      <c r="E23" s="54" t="s">
        <v>240</v>
      </c>
      <c r="F23" s="53" t="s">
        <v>275</v>
      </c>
      <c r="G23" s="53" t="s">
        <v>195</v>
      </c>
      <c r="H23" s="53"/>
      <c r="I23" s="53"/>
      <c r="J23" s="53">
        <v>13207647</v>
      </c>
      <c r="K23" s="53"/>
      <c r="L23" s="55">
        <v>45293</v>
      </c>
      <c r="M23" s="55">
        <v>45293</v>
      </c>
      <c r="N23" s="53" t="s">
        <v>242</v>
      </c>
      <c r="O23" s="53">
        <v>0</v>
      </c>
      <c r="P23" s="53">
        <v>20068360</v>
      </c>
      <c r="Q23" s="53" t="s">
        <v>276</v>
      </c>
      <c r="R23" s="45">
        <v>410</v>
      </c>
      <c r="S23" s="56">
        <v>0.01</v>
      </c>
      <c r="T23" s="47" t="s">
        <v>198</v>
      </c>
      <c r="U23" s="48" t="s">
        <v>199</v>
      </c>
      <c r="V23" s="38"/>
      <c r="W23" s="48" t="s">
        <v>195</v>
      </c>
      <c r="X23" s="38" t="s">
        <v>200</v>
      </c>
      <c r="Y23" s="49" t="s">
        <v>201</v>
      </c>
      <c r="Z23" s="50" t="s">
        <v>277</v>
      </c>
      <c r="AA23" s="38"/>
      <c r="AB23" s="38"/>
      <c r="AC23" s="38"/>
      <c r="AD23" s="51">
        <v>20</v>
      </c>
      <c r="AE23" s="51">
        <v>20</v>
      </c>
      <c r="AF23" s="48" t="s">
        <v>203</v>
      </c>
      <c r="AG23" s="38" t="s">
        <v>204</v>
      </c>
      <c r="AH23" s="52"/>
      <c r="AI23" s="38"/>
      <c r="AJ23" s="38"/>
    </row>
    <row r="24" spans="1:36" ht="16.2">
      <c r="A24" s="42" t="s">
        <v>238</v>
      </c>
      <c r="B24" s="42">
        <v>599558</v>
      </c>
      <c r="C24" s="42" t="s">
        <v>239</v>
      </c>
      <c r="D24" s="42">
        <v>13207647</v>
      </c>
      <c r="E24" s="43" t="s">
        <v>240</v>
      </c>
      <c r="F24" s="42" t="s">
        <v>278</v>
      </c>
      <c r="G24" s="42" t="s">
        <v>195</v>
      </c>
      <c r="H24" s="42"/>
      <c r="I24" s="42"/>
      <c r="J24" s="42">
        <v>13207647</v>
      </c>
      <c r="K24" s="42"/>
      <c r="L24" s="44">
        <v>45293</v>
      </c>
      <c r="M24" s="44">
        <v>45293</v>
      </c>
      <c r="N24" s="42" t="s">
        <v>242</v>
      </c>
      <c r="O24" s="42">
        <v>0</v>
      </c>
      <c r="P24" s="42">
        <v>20068360</v>
      </c>
      <c r="Q24" s="42" t="s">
        <v>279</v>
      </c>
      <c r="R24" s="45">
        <v>410</v>
      </c>
      <c r="S24" s="42">
        <v>0</v>
      </c>
      <c r="T24" s="47" t="s">
        <v>198</v>
      </c>
      <c r="U24" s="48" t="s">
        <v>199</v>
      </c>
      <c r="V24" s="38"/>
      <c r="W24" s="48" t="s">
        <v>195</v>
      </c>
      <c r="X24" s="38" t="s">
        <v>200</v>
      </c>
      <c r="Y24" s="49" t="s">
        <v>201</v>
      </c>
      <c r="Z24" s="50" t="s">
        <v>280</v>
      </c>
      <c r="AA24" s="38"/>
      <c r="AB24" s="38"/>
      <c r="AC24" s="38"/>
      <c r="AD24" s="51">
        <v>20</v>
      </c>
      <c r="AE24" s="51">
        <v>20</v>
      </c>
      <c r="AF24" s="48" t="s">
        <v>203</v>
      </c>
      <c r="AG24" s="38" t="s">
        <v>204</v>
      </c>
      <c r="AH24" s="52"/>
      <c r="AI24" s="38"/>
      <c r="AJ24" s="38"/>
    </row>
    <row r="25" spans="1:36" ht="16.2">
      <c r="A25" s="53" t="s">
        <v>238</v>
      </c>
      <c r="B25" s="53">
        <v>599558</v>
      </c>
      <c r="C25" s="53" t="s">
        <v>239</v>
      </c>
      <c r="D25" s="53">
        <v>13207647</v>
      </c>
      <c r="E25" s="54" t="s">
        <v>240</v>
      </c>
      <c r="F25" s="53" t="s">
        <v>281</v>
      </c>
      <c r="G25" s="53" t="s">
        <v>195</v>
      </c>
      <c r="H25" s="53"/>
      <c r="I25" s="53"/>
      <c r="J25" s="53">
        <v>13207647</v>
      </c>
      <c r="K25" s="53"/>
      <c r="L25" s="55">
        <v>45293</v>
      </c>
      <c r="M25" s="55">
        <v>45293</v>
      </c>
      <c r="N25" s="53" t="s">
        <v>242</v>
      </c>
      <c r="O25" s="53">
        <v>0</v>
      </c>
      <c r="P25" s="53">
        <v>20068360</v>
      </c>
      <c r="Q25" s="53" t="s">
        <v>282</v>
      </c>
      <c r="R25" s="45">
        <v>410</v>
      </c>
      <c r="S25" s="53">
        <v>0</v>
      </c>
      <c r="T25" s="47" t="s">
        <v>198</v>
      </c>
      <c r="U25" s="48" t="s">
        <v>199</v>
      </c>
      <c r="V25" s="38"/>
      <c r="W25" s="48" t="s">
        <v>195</v>
      </c>
      <c r="X25" s="38" t="s">
        <v>200</v>
      </c>
      <c r="Y25" s="49" t="s">
        <v>201</v>
      </c>
      <c r="Z25" s="50" t="s">
        <v>283</v>
      </c>
      <c r="AA25" s="38"/>
      <c r="AB25" s="38"/>
      <c r="AC25" s="38"/>
      <c r="AD25" s="51">
        <v>20</v>
      </c>
      <c r="AE25" s="51">
        <v>20</v>
      </c>
      <c r="AF25" s="48" t="s">
        <v>203</v>
      </c>
      <c r="AG25" s="38" t="s">
        <v>204</v>
      </c>
      <c r="AH25" s="52"/>
      <c r="AI25" s="38"/>
      <c r="AJ25" s="38"/>
    </row>
    <row r="26" spans="1:36" ht="16.2">
      <c r="A26" s="42" t="s">
        <v>238</v>
      </c>
      <c r="B26" s="42">
        <v>599558</v>
      </c>
      <c r="C26" s="42" t="s">
        <v>239</v>
      </c>
      <c r="D26" s="42">
        <v>13207647</v>
      </c>
      <c r="E26" s="43" t="s">
        <v>240</v>
      </c>
      <c r="F26" s="42" t="s">
        <v>284</v>
      </c>
      <c r="G26" s="42" t="s">
        <v>195</v>
      </c>
      <c r="H26" s="42"/>
      <c r="I26" s="42"/>
      <c r="J26" s="42">
        <v>13207647</v>
      </c>
      <c r="K26" s="42"/>
      <c r="L26" s="44">
        <v>45293</v>
      </c>
      <c r="M26" s="44">
        <v>45293</v>
      </c>
      <c r="N26" s="42" t="s">
        <v>242</v>
      </c>
      <c r="O26" s="46">
        <v>0</v>
      </c>
      <c r="P26" s="42">
        <v>20068360</v>
      </c>
      <c r="Q26" s="42" t="s">
        <v>285</v>
      </c>
      <c r="R26" s="45">
        <v>410</v>
      </c>
      <c r="S26" s="46">
        <v>0</v>
      </c>
      <c r="T26" s="47" t="s">
        <v>198</v>
      </c>
      <c r="U26" s="48" t="s">
        <v>199</v>
      </c>
      <c r="V26" s="38"/>
      <c r="W26" s="48" t="s">
        <v>195</v>
      </c>
      <c r="X26" s="38" t="s">
        <v>200</v>
      </c>
      <c r="Y26" s="49" t="s">
        <v>201</v>
      </c>
      <c r="Z26" s="50" t="s">
        <v>286</v>
      </c>
      <c r="AA26" s="38"/>
      <c r="AB26" s="38"/>
      <c r="AC26" s="38"/>
      <c r="AD26" s="51">
        <v>20</v>
      </c>
      <c r="AE26" s="51">
        <v>20</v>
      </c>
      <c r="AF26" s="48" t="s">
        <v>203</v>
      </c>
      <c r="AG26" s="38" t="s">
        <v>204</v>
      </c>
      <c r="AH26" s="52"/>
      <c r="AI26" s="38"/>
      <c r="AJ26" s="38"/>
    </row>
    <row r="27" spans="1:36" ht="16.2">
      <c r="A27" s="53" t="s">
        <v>238</v>
      </c>
      <c r="B27" s="53">
        <v>599558</v>
      </c>
      <c r="C27" s="53" t="s">
        <v>239</v>
      </c>
      <c r="D27" s="53">
        <v>13207647</v>
      </c>
      <c r="E27" s="54" t="s">
        <v>240</v>
      </c>
      <c r="F27" s="53" t="s">
        <v>287</v>
      </c>
      <c r="G27" s="53" t="s">
        <v>195</v>
      </c>
      <c r="H27" s="53"/>
      <c r="I27" s="53"/>
      <c r="J27" s="53">
        <v>13207647</v>
      </c>
      <c r="K27" s="53"/>
      <c r="L27" s="55">
        <v>45293</v>
      </c>
      <c r="M27" s="55">
        <v>45293</v>
      </c>
      <c r="N27" s="53" t="s">
        <v>242</v>
      </c>
      <c r="O27" s="56">
        <v>0.01</v>
      </c>
      <c r="P27" s="53">
        <v>20068360</v>
      </c>
      <c r="Q27" s="53" t="s">
        <v>288</v>
      </c>
      <c r="R27" s="45">
        <v>410</v>
      </c>
      <c r="S27" s="56">
        <v>0.01</v>
      </c>
      <c r="T27" s="47" t="s">
        <v>198</v>
      </c>
      <c r="U27" s="48" t="s">
        <v>199</v>
      </c>
      <c r="V27" s="38"/>
      <c r="W27" s="48" t="s">
        <v>195</v>
      </c>
      <c r="X27" s="38" t="s">
        <v>200</v>
      </c>
      <c r="Y27" s="49" t="s">
        <v>201</v>
      </c>
      <c r="Z27" s="50" t="s">
        <v>289</v>
      </c>
      <c r="AA27" s="38"/>
      <c r="AB27" s="38"/>
      <c r="AC27" s="38"/>
      <c r="AD27" s="51">
        <v>20</v>
      </c>
      <c r="AE27" s="51">
        <v>20</v>
      </c>
      <c r="AF27" s="48" t="s">
        <v>203</v>
      </c>
      <c r="AG27" s="38" t="s">
        <v>204</v>
      </c>
      <c r="AH27" s="52"/>
      <c r="AI27" s="38"/>
      <c r="AJ27" s="38"/>
    </row>
    <row r="28" spans="1:36" ht="16.2">
      <c r="A28" s="42" t="s">
        <v>238</v>
      </c>
      <c r="B28" s="42">
        <v>599558</v>
      </c>
      <c r="C28" s="42" t="s">
        <v>239</v>
      </c>
      <c r="D28" s="42">
        <v>13207647</v>
      </c>
      <c r="E28" s="43" t="s">
        <v>240</v>
      </c>
      <c r="F28" s="42" t="s">
        <v>290</v>
      </c>
      <c r="G28" s="42" t="s">
        <v>195</v>
      </c>
      <c r="H28" s="42"/>
      <c r="I28" s="42"/>
      <c r="J28" s="42">
        <v>13207647</v>
      </c>
      <c r="K28" s="42"/>
      <c r="L28" s="44">
        <v>45293</v>
      </c>
      <c r="M28" s="44">
        <v>45293</v>
      </c>
      <c r="N28" s="42" t="s">
        <v>242</v>
      </c>
      <c r="O28" s="46">
        <v>0.01</v>
      </c>
      <c r="P28" s="42">
        <v>20068360</v>
      </c>
      <c r="Q28" s="42" t="s">
        <v>291</v>
      </c>
      <c r="R28" s="45">
        <v>410</v>
      </c>
      <c r="S28" s="46">
        <v>0.01</v>
      </c>
      <c r="T28" s="47" t="s">
        <v>198</v>
      </c>
      <c r="U28" s="48" t="s">
        <v>199</v>
      </c>
      <c r="V28" s="38"/>
      <c r="W28" s="48" t="s">
        <v>195</v>
      </c>
      <c r="X28" s="38" t="s">
        <v>200</v>
      </c>
      <c r="Y28" s="49" t="s">
        <v>201</v>
      </c>
      <c r="Z28" s="50" t="s">
        <v>292</v>
      </c>
      <c r="AA28" s="38"/>
      <c r="AB28" s="38"/>
      <c r="AC28" s="38"/>
      <c r="AD28" s="51">
        <v>20</v>
      </c>
      <c r="AE28" s="51">
        <v>20</v>
      </c>
      <c r="AF28" s="48" t="s">
        <v>203</v>
      </c>
      <c r="AG28" s="38" t="s">
        <v>204</v>
      </c>
      <c r="AH28" s="52"/>
      <c r="AI28" s="38"/>
      <c r="AJ28" s="38"/>
    </row>
    <row r="29" spans="1:36" ht="16.2">
      <c r="A29" s="53" t="s">
        <v>238</v>
      </c>
      <c r="B29" s="53">
        <v>599558</v>
      </c>
      <c r="C29" s="53" t="s">
        <v>239</v>
      </c>
      <c r="D29" s="53">
        <v>13207647</v>
      </c>
      <c r="E29" s="54" t="s">
        <v>240</v>
      </c>
      <c r="F29" s="53" t="s">
        <v>293</v>
      </c>
      <c r="G29" s="53" t="s">
        <v>195</v>
      </c>
      <c r="H29" s="53"/>
      <c r="I29" s="53"/>
      <c r="J29" s="53">
        <v>13207647</v>
      </c>
      <c r="K29" s="53"/>
      <c r="L29" s="55">
        <v>45293</v>
      </c>
      <c r="M29" s="55">
        <v>45293</v>
      </c>
      <c r="N29" s="53" t="s">
        <v>242</v>
      </c>
      <c r="O29" s="56">
        <v>0.01</v>
      </c>
      <c r="P29" s="53">
        <v>20068360</v>
      </c>
      <c r="Q29" s="53" t="s">
        <v>294</v>
      </c>
      <c r="R29" s="45">
        <v>410</v>
      </c>
      <c r="S29" s="56">
        <v>0.01</v>
      </c>
      <c r="T29" s="47" t="s">
        <v>198</v>
      </c>
      <c r="U29" s="48" t="s">
        <v>199</v>
      </c>
      <c r="V29" s="38"/>
      <c r="W29" s="48" t="s">
        <v>195</v>
      </c>
      <c r="X29" s="38" t="s">
        <v>200</v>
      </c>
      <c r="Y29" s="49" t="s">
        <v>201</v>
      </c>
      <c r="Z29" s="50" t="s">
        <v>295</v>
      </c>
      <c r="AA29" s="38"/>
      <c r="AB29" s="38"/>
      <c r="AC29" s="38"/>
      <c r="AD29" s="51">
        <v>20</v>
      </c>
      <c r="AE29" s="51">
        <v>20</v>
      </c>
      <c r="AF29" s="48" t="s">
        <v>203</v>
      </c>
      <c r="AG29" s="38" t="s">
        <v>204</v>
      </c>
      <c r="AH29" s="52"/>
      <c r="AI29" s="38"/>
      <c r="AJ29" s="38"/>
    </row>
    <row r="30" spans="1:36" ht="16.2">
      <c r="A30" s="42" t="s">
        <v>238</v>
      </c>
      <c r="B30" s="42">
        <v>599558</v>
      </c>
      <c r="C30" s="42" t="s">
        <v>239</v>
      </c>
      <c r="D30" s="42">
        <v>13207647</v>
      </c>
      <c r="E30" s="43" t="s">
        <v>240</v>
      </c>
      <c r="F30" s="42" t="s">
        <v>296</v>
      </c>
      <c r="G30" s="42" t="s">
        <v>195</v>
      </c>
      <c r="H30" s="42"/>
      <c r="I30" s="42"/>
      <c r="J30" s="42">
        <v>13207647</v>
      </c>
      <c r="K30" s="42"/>
      <c r="L30" s="44">
        <v>45293</v>
      </c>
      <c r="M30" s="44">
        <v>45293</v>
      </c>
      <c r="N30" s="42" t="s">
        <v>242</v>
      </c>
      <c r="O30" s="46">
        <v>0.01</v>
      </c>
      <c r="P30" s="42">
        <v>20068360</v>
      </c>
      <c r="Q30" s="42" t="s">
        <v>297</v>
      </c>
      <c r="R30" s="45">
        <v>410</v>
      </c>
      <c r="S30" s="46">
        <v>0.01</v>
      </c>
      <c r="T30" s="47" t="s">
        <v>198</v>
      </c>
      <c r="U30" s="48" t="s">
        <v>199</v>
      </c>
      <c r="V30" s="38"/>
      <c r="W30" s="48" t="s">
        <v>195</v>
      </c>
      <c r="X30" s="38" t="s">
        <v>200</v>
      </c>
      <c r="Y30" s="49" t="s">
        <v>201</v>
      </c>
      <c r="Z30" s="50" t="s">
        <v>298</v>
      </c>
      <c r="AA30" s="38"/>
      <c r="AB30" s="38"/>
      <c r="AC30" s="38"/>
      <c r="AD30" s="51">
        <v>20</v>
      </c>
      <c r="AE30" s="51">
        <v>20</v>
      </c>
      <c r="AF30" s="48" t="s">
        <v>203</v>
      </c>
      <c r="AG30" s="38" t="s">
        <v>204</v>
      </c>
      <c r="AH30" s="52"/>
      <c r="AI30" s="38"/>
      <c r="AJ30" s="38"/>
    </row>
    <row r="31" spans="1:36" ht="16.2">
      <c r="A31" s="53" t="s">
        <v>238</v>
      </c>
      <c r="B31" s="53">
        <v>599558</v>
      </c>
      <c r="C31" s="53" t="s">
        <v>239</v>
      </c>
      <c r="D31" s="53">
        <v>13207647</v>
      </c>
      <c r="E31" s="54" t="s">
        <v>240</v>
      </c>
      <c r="F31" s="53" t="s">
        <v>299</v>
      </c>
      <c r="G31" s="53" t="s">
        <v>195</v>
      </c>
      <c r="H31" s="53"/>
      <c r="I31" s="53"/>
      <c r="J31" s="53">
        <v>13207647</v>
      </c>
      <c r="K31" s="53"/>
      <c r="L31" s="55">
        <v>45293</v>
      </c>
      <c r="M31" s="55">
        <v>45293</v>
      </c>
      <c r="N31" s="53" t="s">
        <v>242</v>
      </c>
      <c r="O31" s="56">
        <v>0.01</v>
      </c>
      <c r="P31" s="53">
        <v>20068360</v>
      </c>
      <c r="Q31" s="53" t="s">
        <v>300</v>
      </c>
      <c r="R31" s="45">
        <v>410</v>
      </c>
      <c r="S31" s="56">
        <v>0.01</v>
      </c>
      <c r="T31" s="47" t="s">
        <v>198</v>
      </c>
      <c r="U31" s="48" t="s">
        <v>199</v>
      </c>
      <c r="V31" s="38"/>
      <c r="W31" s="48" t="s">
        <v>195</v>
      </c>
      <c r="X31" s="38" t="s">
        <v>200</v>
      </c>
      <c r="Y31" s="49" t="s">
        <v>201</v>
      </c>
      <c r="Z31" s="50" t="s">
        <v>301</v>
      </c>
      <c r="AA31" s="38"/>
      <c r="AB31" s="38"/>
      <c r="AC31" s="38"/>
      <c r="AD31" s="51">
        <v>20</v>
      </c>
      <c r="AE31" s="51">
        <v>20</v>
      </c>
      <c r="AF31" s="48" t="s">
        <v>203</v>
      </c>
      <c r="AG31" s="38" t="s">
        <v>204</v>
      </c>
      <c r="AH31" s="52"/>
      <c r="AI31" s="38"/>
      <c r="AJ31" s="38"/>
    </row>
    <row r="32" spans="1:36" ht="16.2">
      <c r="A32" s="42" t="s">
        <v>302</v>
      </c>
      <c r="B32" s="42">
        <v>698412</v>
      </c>
      <c r="C32" s="42" t="s">
        <v>303</v>
      </c>
      <c r="D32" s="42">
        <v>13207597</v>
      </c>
      <c r="E32" s="43" t="s">
        <v>304</v>
      </c>
      <c r="F32" s="42" t="s">
        <v>305</v>
      </c>
      <c r="G32" s="42" t="s">
        <v>195</v>
      </c>
      <c r="H32" s="42"/>
      <c r="I32" s="42"/>
      <c r="J32" s="42">
        <v>13207597</v>
      </c>
      <c r="K32" s="42"/>
      <c r="L32" s="44">
        <v>45293</v>
      </c>
      <c r="M32" s="44">
        <v>45293</v>
      </c>
      <c r="N32" s="42" t="s">
        <v>306</v>
      </c>
      <c r="O32" s="46">
        <v>0.01</v>
      </c>
      <c r="P32" s="42">
        <v>20009855</v>
      </c>
      <c r="Q32" s="42" t="s">
        <v>307</v>
      </c>
      <c r="R32" s="45">
        <v>410</v>
      </c>
      <c r="S32" s="46">
        <v>0.01</v>
      </c>
      <c r="T32" s="47" t="s">
        <v>198</v>
      </c>
      <c r="U32" s="48" t="s">
        <v>199</v>
      </c>
      <c r="V32" s="38"/>
      <c r="W32" s="48" t="s">
        <v>195</v>
      </c>
      <c r="X32" s="38" t="s">
        <v>308</v>
      </c>
      <c r="Y32" s="49" t="s">
        <v>309</v>
      </c>
      <c r="Z32" s="50" t="s">
        <v>310</v>
      </c>
      <c r="AA32" s="38"/>
      <c r="AB32" s="38"/>
      <c r="AC32" s="38"/>
      <c r="AD32" s="51">
        <v>146</v>
      </c>
      <c r="AE32" s="51">
        <v>146</v>
      </c>
      <c r="AF32" s="48" t="s">
        <v>203</v>
      </c>
      <c r="AG32" s="38" t="s">
        <v>204</v>
      </c>
      <c r="AH32" s="52"/>
      <c r="AI32" s="38"/>
      <c r="AJ32" s="38"/>
    </row>
    <row r="33" spans="1:36" ht="16.2">
      <c r="A33" s="53" t="s">
        <v>311</v>
      </c>
      <c r="B33" s="53">
        <v>698413</v>
      </c>
      <c r="C33" s="53" t="s">
        <v>312</v>
      </c>
      <c r="D33" s="53">
        <v>13207620</v>
      </c>
      <c r="E33" s="54" t="s">
        <v>313</v>
      </c>
      <c r="F33" s="53" t="s">
        <v>314</v>
      </c>
      <c r="G33" s="53" t="s">
        <v>195</v>
      </c>
      <c r="H33" s="53"/>
      <c r="I33" s="53"/>
      <c r="J33" s="53">
        <v>13207620</v>
      </c>
      <c r="K33" s="53"/>
      <c r="L33" s="55">
        <v>45293</v>
      </c>
      <c r="M33" s="55">
        <v>45293</v>
      </c>
      <c r="N33" s="53" t="s">
        <v>315</v>
      </c>
      <c r="O33" s="56">
        <v>0.01</v>
      </c>
      <c r="P33" s="53">
        <v>20009908</v>
      </c>
      <c r="Q33" s="53" t="s">
        <v>316</v>
      </c>
      <c r="R33" s="45">
        <v>410</v>
      </c>
      <c r="S33" s="56">
        <v>0.01</v>
      </c>
      <c r="T33" s="47" t="s">
        <v>198</v>
      </c>
      <c r="U33" s="48" t="s">
        <v>199</v>
      </c>
      <c r="V33" s="38"/>
      <c r="W33" s="48" t="s">
        <v>195</v>
      </c>
      <c r="X33" s="38" t="s">
        <v>308</v>
      </c>
      <c r="Y33" s="49" t="s">
        <v>309</v>
      </c>
      <c r="Z33" s="50" t="s">
        <v>317</v>
      </c>
      <c r="AA33" s="38"/>
      <c r="AB33" s="38"/>
      <c r="AC33" s="38"/>
      <c r="AD33" s="51">
        <v>57</v>
      </c>
      <c r="AE33" s="51">
        <v>57</v>
      </c>
      <c r="AF33" s="48" t="s">
        <v>203</v>
      </c>
      <c r="AG33" s="38" t="s">
        <v>204</v>
      </c>
      <c r="AH33" s="52"/>
      <c r="AI33" s="38"/>
      <c r="AJ33" s="38"/>
    </row>
    <row r="34" spans="1:36" ht="16.2">
      <c r="A34" s="42" t="s">
        <v>302</v>
      </c>
      <c r="B34" s="42">
        <v>698433</v>
      </c>
      <c r="C34" s="42" t="s">
        <v>318</v>
      </c>
      <c r="D34" s="42">
        <v>13207477</v>
      </c>
      <c r="E34" s="43" t="s">
        <v>319</v>
      </c>
      <c r="F34" s="42" t="s">
        <v>320</v>
      </c>
      <c r="G34" s="42" t="s">
        <v>195</v>
      </c>
      <c r="H34" s="42"/>
      <c r="I34" s="42"/>
      <c r="J34" s="42">
        <v>13207477</v>
      </c>
      <c r="K34" s="42"/>
      <c r="L34" s="44">
        <v>45293</v>
      </c>
      <c r="M34" s="44">
        <v>45293</v>
      </c>
      <c r="N34" s="42" t="s">
        <v>321</v>
      </c>
      <c r="O34" s="46">
        <v>0.01</v>
      </c>
      <c r="P34" s="42">
        <v>20065035</v>
      </c>
      <c r="Q34" s="42" t="s">
        <v>322</v>
      </c>
      <c r="R34" s="45">
        <v>410</v>
      </c>
      <c r="S34" s="46">
        <v>0.01</v>
      </c>
      <c r="T34" s="47" t="s">
        <v>198</v>
      </c>
      <c r="U34" s="48" t="s">
        <v>199</v>
      </c>
      <c r="V34" s="38"/>
      <c r="W34" s="48" t="s">
        <v>195</v>
      </c>
      <c r="X34" s="38" t="s">
        <v>308</v>
      </c>
      <c r="Y34" s="49" t="s">
        <v>309</v>
      </c>
      <c r="Z34" s="50" t="s">
        <v>323</v>
      </c>
      <c r="AA34" s="38"/>
      <c r="AB34" s="38"/>
      <c r="AC34" s="38"/>
      <c r="AD34" s="51">
        <v>1</v>
      </c>
      <c r="AE34" s="51">
        <v>1</v>
      </c>
      <c r="AF34" s="48" t="s">
        <v>203</v>
      </c>
      <c r="AG34" s="38" t="s">
        <v>204</v>
      </c>
      <c r="AH34" s="52"/>
      <c r="AI34" s="38"/>
      <c r="AJ34" s="38"/>
    </row>
    <row r="35" spans="1:36" ht="16.2">
      <c r="A35" s="53" t="s">
        <v>324</v>
      </c>
      <c r="B35" s="53">
        <v>70948900</v>
      </c>
      <c r="C35" s="53" t="s">
        <v>325</v>
      </c>
      <c r="D35" s="53">
        <v>13207548</v>
      </c>
      <c r="E35" s="54" t="s">
        <v>326</v>
      </c>
      <c r="F35" s="53" t="s">
        <v>327</v>
      </c>
      <c r="G35" s="53" t="s">
        <v>195</v>
      </c>
      <c r="H35" s="53"/>
      <c r="I35" s="53"/>
      <c r="J35" s="53">
        <v>13207548</v>
      </c>
      <c r="K35" s="53"/>
      <c r="L35" s="55">
        <v>45293</v>
      </c>
      <c r="M35" s="55">
        <v>45293</v>
      </c>
      <c r="N35" s="53" t="s">
        <v>328</v>
      </c>
      <c r="O35" s="56">
        <v>0.01</v>
      </c>
      <c r="P35" s="53">
        <v>94539966</v>
      </c>
      <c r="Q35" s="53" t="s">
        <v>329</v>
      </c>
      <c r="R35" s="45">
        <v>410</v>
      </c>
      <c r="S35" s="56">
        <v>0.01</v>
      </c>
      <c r="T35" s="47" t="s">
        <v>198</v>
      </c>
      <c r="U35" s="48" t="s">
        <v>199</v>
      </c>
      <c r="V35" s="38"/>
      <c r="W35" s="48" t="s">
        <v>195</v>
      </c>
      <c r="X35" s="38" t="s">
        <v>308</v>
      </c>
      <c r="Y35" s="49" t="s">
        <v>309</v>
      </c>
      <c r="Z35" s="50" t="s">
        <v>330</v>
      </c>
      <c r="AA35" s="38"/>
      <c r="AB35" s="38"/>
      <c r="AC35" s="38"/>
      <c r="AD35" s="51">
        <v>19</v>
      </c>
      <c r="AE35" s="51">
        <v>19</v>
      </c>
      <c r="AF35" s="48" t="s">
        <v>203</v>
      </c>
      <c r="AG35" s="38" t="s">
        <v>204</v>
      </c>
      <c r="AH35" s="52"/>
      <c r="AI35" s="38"/>
      <c r="AJ35" s="38"/>
    </row>
    <row r="36" spans="1:36" ht="16.2">
      <c r="A36" s="42" t="s">
        <v>324</v>
      </c>
      <c r="B36" s="42">
        <v>70948901</v>
      </c>
      <c r="C36" s="42" t="s">
        <v>325</v>
      </c>
      <c r="D36" s="42">
        <v>13207549</v>
      </c>
      <c r="E36" s="43" t="s">
        <v>326</v>
      </c>
      <c r="F36" s="42" t="s">
        <v>331</v>
      </c>
      <c r="G36" s="42" t="s">
        <v>195</v>
      </c>
      <c r="H36" s="42" t="s">
        <v>332</v>
      </c>
      <c r="I36" s="42"/>
      <c r="J36" s="42">
        <v>13207549</v>
      </c>
      <c r="K36" s="42"/>
      <c r="L36" s="44">
        <v>45293</v>
      </c>
      <c r="M36" s="44">
        <v>45293</v>
      </c>
      <c r="N36" s="42" t="s">
        <v>328</v>
      </c>
      <c r="O36" s="46">
        <v>0.01</v>
      </c>
      <c r="P36" s="42">
        <v>94539966</v>
      </c>
      <c r="Q36" s="42" t="s">
        <v>333</v>
      </c>
      <c r="R36" s="45">
        <v>410</v>
      </c>
      <c r="S36" s="46">
        <v>0.01</v>
      </c>
      <c r="T36" s="47" t="s">
        <v>198</v>
      </c>
      <c r="U36" s="48" t="s">
        <v>199</v>
      </c>
      <c r="V36" s="38"/>
      <c r="W36" s="48" t="s">
        <v>195</v>
      </c>
      <c r="X36" s="38" t="s">
        <v>308</v>
      </c>
      <c r="Y36" s="49" t="s">
        <v>309</v>
      </c>
      <c r="Z36" s="50" t="s">
        <v>334</v>
      </c>
      <c r="AA36" s="47" t="s">
        <v>335</v>
      </c>
      <c r="AB36" s="47" t="s">
        <v>336</v>
      </c>
      <c r="AC36" s="38"/>
      <c r="AD36" s="51">
        <v>19</v>
      </c>
      <c r="AE36" s="51">
        <v>19</v>
      </c>
      <c r="AF36" s="48" t="s">
        <v>203</v>
      </c>
      <c r="AG36" s="38" t="s">
        <v>204</v>
      </c>
      <c r="AH36" s="52"/>
      <c r="AI36" s="38"/>
      <c r="AJ36" s="38"/>
    </row>
    <row r="37" spans="1:36" ht="16.2">
      <c r="A37" s="53" t="s">
        <v>324</v>
      </c>
      <c r="B37" s="53">
        <v>70948902</v>
      </c>
      <c r="C37" s="53" t="s">
        <v>325</v>
      </c>
      <c r="D37" s="53">
        <v>13207550</v>
      </c>
      <c r="E37" s="54" t="s">
        <v>326</v>
      </c>
      <c r="F37" s="53" t="s">
        <v>337</v>
      </c>
      <c r="G37" s="53" t="s">
        <v>195</v>
      </c>
      <c r="H37" s="53"/>
      <c r="I37" s="53"/>
      <c r="J37" s="53">
        <v>13207550</v>
      </c>
      <c r="K37" s="53"/>
      <c r="L37" s="55">
        <v>45293</v>
      </c>
      <c r="M37" s="55">
        <v>45293</v>
      </c>
      <c r="N37" s="53" t="s">
        <v>328</v>
      </c>
      <c r="O37" s="56">
        <v>0.01</v>
      </c>
      <c r="P37" s="53">
        <v>94539966</v>
      </c>
      <c r="Q37" s="53" t="s">
        <v>338</v>
      </c>
      <c r="R37" s="45">
        <v>410</v>
      </c>
      <c r="S37" s="56">
        <v>0.01</v>
      </c>
      <c r="T37" s="47" t="s">
        <v>198</v>
      </c>
      <c r="U37" s="48" t="s">
        <v>199</v>
      </c>
      <c r="V37" s="38"/>
      <c r="W37" s="48" t="s">
        <v>195</v>
      </c>
      <c r="X37" s="38" t="s">
        <v>308</v>
      </c>
      <c r="Y37" s="49" t="s">
        <v>309</v>
      </c>
      <c r="Z37" s="50" t="s">
        <v>339</v>
      </c>
      <c r="AA37" s="38"/>
      <c r="AB37" s="38"/>
      <c r="AC37" s="38"/>
      <c r="AD37" s="51">
        <v>19</v>
      </c>
      <c r="AE37" s="51">
        <v>19</v>
      </c>
      <c r="AF37" s="48" t="s">
        <v>203</v>
      </c>
      <c r="AG37" s="38" t="s">
        <v>204</v>
      </c>
      <c r="AH37" s="52"/>
      <c r="AI37" s="38"/>
      <c r="AJ37" s="38"/>
    </row>
    <row r="38" spans="1:36" ht="16.2">
      <c r="A38" s="42" t="s">
        <v>340</v>
      </c>
      <c r="B38" s="42">
        <v>829703</v>
      </c>
      <c r="C38" s="42" t="s">
        <v>86</v>
      </c>
      <c r="D38" s="42">
        <v>13207633</v>
      </c>
      <c r="E38" s="43" t="s">
        <v>341</v>
      </c>
      <c r="F38" s="42" t="s">
        <v>342</v>
      </c>
      <c r="G38" s="42" t="s">
        <v>195</v>
      </c>
      <c r="H38" s="42"/>
      <c r="I38" s="42"/>
      <c r="J38" s="42">
        <v>13207633</v>
      </c>
      <c r="K38" s="42"/>
      <c r="L38" s="44">
        <v>45293</v>
      </c>
      <c r="M38" s="44">
        <v>45293</v>
      </c>
      <c r="N38" s="42" t="s">
        <v>343</v>
      </c>
      <c r="O38" s="46">
        <v>0.01</v>
      </c>
      <c r="P38" s="42">
        <v>20009992</v>
      </c>
      <c r="Q38" s="42" t="s">
        <v>344</v>
      </c>
      <c r="R38" s="45">
        <v>410</v>
      </c>
      <c r="S38" s="46">
        <v>0.01</v>
      </c>
      <c r="T38" s="47" t="s">
        <v>198</v>
      </c>
      <c r="U38" s="48" t="s">
        <v>199</v>
      </c>
      <c r="V38" s="38"/>
      <c r="W38" s="48" t="s">
        <v>195</v>
      </c>
      <c r="X38" s="38" t="s">
        <v>308</v>
      </c>
      <c r="Y38" s="49" t="s">
        <v>309</v>
      </c>
      <c r="Z38" s="50" t="s">
        <v>345</v>
      </c>
      <c r="AA38" s="38"/>
      <c r="AB38" s="38"/>
      <c r="AC38" s="38"/>
      <c r="AD38" s="51">
        <v>40</v>
      </c>
      <c r="AE38" s="51">
        <v>40</v>
      </c>
      <c r="AF38" s="48" t="s">
        <v>203</v>
      </c>
      <c r="AG38" s="38" t="s">
        <v>204</v>
      </c>
      <c r="AH38" s="52"/>
      <c r="AI38" s="38"/>
      <c r="AJ38" s="38"/>
    </row>
    <row r="39" spans="1:36" ht="16.2">
      <c r="A39" s="53" t="s">
        <v>340</v>
      </c>
      <c r="B39" s="53">
        <v>829703</v>
      </c>
      <c r="C39" s="53" t="s">
        <v>86</v>
      </c>
      <c r="D39" s="53">
        <v>13207633</v>
      </c>
      <c r="E39" s="54" t="s">
        <v>341</v>
      </c>
      <c r="F39" s="53" t="s">
        <v>346</v>
      </c>
      <c r="G39" s="53" t="s">
        <v>195</v>
      </c>
      <c r="H39" s="53"/>
      <c r="I39" s="53"/>
      <c r="J39" s="53">
        <v>13207633</v>
      </c>
      <c r="K39" s="53"/>
      <c r="L39" s="55">
        <v>45293</v>
      </c>
      <c r="M39" s="55">
        <v>45293</v>
      </c>
      <c r="N39" s="53" t="s">
        <v>343</v>
      </c>
      <c r="O39" s="56">
        <v>0.01</v>
      </c>
      <c r="P39" s="53">
        <v>20009992</v>
      </c>
      <c r="Q39" s="53" t="s">
        <v>347</v>
      </c>
      <c r="R39" s="45">
        <v>410</v>
      </c>
      <c r="S39" s="56">
        <v>0.01</v>
      </c>
      <c r="T39" s="47" t="s">
        <v>198</v>
      </c>
      <c r="U39" s="48" t="s">
        <v>199</v>
      </c>
      <c r="V39" s="38"/>
      <c r="W39" s="48" t="s">
        <v>195</v>
      </c>
      <c r="X39" s="38" t="s">
        <v>308</v>
      </c>
      <c r="Y39" s="49" t="s">
        <v>309</v>
      </c>
      <c r="Z39" s="50" t="s">
        <v>348</v>
      </c>
      <c r="AA39" s="38"/>
      <c r="AB39" s="38"/>
      <c r="AC39" s="38"/>
      <c r="AD39" s="51">
        <v>40</v>
      </c>
      <c r="AE39" s="51">
        <v>40</v>
      </c>
      <c r="AF39" s="48" t="s">
        <v>203</v>
      </c>
      <c r="AG39" s="38" t="s">
        <v>204</v>
      </c>
      <c r="AH39" s="52"/>
      <c r="AI39" s="38"/>
      <c r="AJ39" s="38"/>
    </row>
    <row r="40" spans="1:36" ht="16.2">
      <c r="A40" s="42" t="s">
        <v>340</v>
      </c>
      <c r="B40" s="42">
        <v>829703</v>
      </c>
      <c r="C40" s="42" t="s">
        <v>86</v>
      </c>
      <c r="D40" s="42">
        <v>13207633</v>
      </c>
      <c r="E40" s="43" t="s">
        <v>341</v>
      </c>
      <c r="F40" s="42" t="s">
        <v>349</v>
      </c>
      <c r="G40" s="42" t="s">
        <v>195</v>
      </c>
      <c r="H40" s="42"/>
      <c r="I40" s="42"/>
      <c r="J40" s="42">
        <v>13207633</v>
      </c>
      <c r="K40" s="42"/>
      <c r="L40" s="44">
        <v>45293</v>
      </c>
      <c r="M40" s="44">
        <v>45293</v>
      </c>
      <c r="N40" s="42" t="s">
        <v>343</v>
      </c>
      <c r="O40" s="46">
        <v>0.01</v>
      </c>
      <c r="P40" s="42">
        <v>20009992</v>
      </c>
      <c r="Q40" s="42" t="s">
        <v>350</v>
      </c>
      <c r="R40" s="45">
        <v>410</v>
      </c>
      <c r="S40" s="46">
        <v>0.01</v>
      </c>
      <c r="T40" s="47" t="s">
        <v>198</v>
      </c>
      <c r="U40" s="48" t="s">
        <v>199</v>
      </c>
      <c r="V40" s="38"/>
      <c r="W40" s="48" t="s">
        <v>195</v>
      </c>
      <c r="X40" s="38" t="s">
        <v>308</v>
      </c>
      <c r="Y40" s="49" t="s">
        <v>309</v>
      </c>
      <c r="Z40" s="50" t="s">
        <v>351</v>
      </c>
      <c r="AA40" s="38"/>
      <c r="AB40" s="38"/>
      <c r="AC40" s="38"/>
      <c r="AD40" s="51">
        <v>40</v>
      </c>
      <c r="AE40" s="51">
        <v>40</v>
      </c>
      <c r="AF40" s="48" t="s">
        <v>203</v>
      </c>
      <c r="AG40" s="38" t="s">
        <v>204</v>
      </c>
      <c r="AH40" s="52"/>
      <c r="AI40" s="38"/>
      <c r="AJ40" s="38"/>
    </row>
    <row r="41" spans="1:36" ht="16.2">
      <c r="A41" s="53" t="s">
        <v>340</v>
      </c>
      <c r="B41" s="53">
        <v>829703</v>
      </c>
      <c r="C41" s="53" t="s">
        <v>86</v>
      </c>
      <c r="D41" s="53">
        <v>13207633</v>
      </c>
      <c r="E41" s="54" t="s">
        <v>341</v>
      </c>
      <c r="F41" s="53" t="s">
        <v>352</v>
      </c>
      <c r="G41" s="53" t="s">
        <v>195</v>
      </c>
      <c r="H41" s="53"/>
      <c r="I41" s="53"/>
      <c r="J41" s="53">
        <v>13207633</v>
      </c>
      <c r="K41" s="53"/>
      <c r="L41" s="55">
        <v>45293</v>
      </c>
      <c r="M41" s="55">
        <v>45293</v>
      </c>
      <c r="N41" s="53" t="s">
        <v>343</v>
      </c>
      <c r="O41" s="56">
        <v>0.01</v>
      </c>
      <c r="P41" s="53">
        <v>20009992</v>
      </c>
      <c r="Q41" s="53" t="s">
        <v>353</v>
      </c>
      <c r="R41" s="45">
        <v>410</v>
      </c>
      <c r="S41" s="56">
        <v>0.01</v>
      </c>
      <c r="T41" s="47" t="s">
        <v>198</v>
      </c>
      <c r="U41" s="48" t="s">
        <v>199</v>
      </c>
      <c r="V41" s="38"/>
      <c r="W41" s="48" t="s">
        <v>195</v>
      </c>
      <c r="X41" s="38" t="s">
        <v>308</v>
      </c>
      <c r="Y41" s="49" t="s">
        <v>309</v>
      </c>
      <c r="Z41" s="50" t="s">
        <v>354</v>
      </c>
      <c r="AA41" s="38"/>
      <c r="AB41" s="38"/>
      <c r="AC41" s="38"/>
      <c r="AD41" s="51">
        <v>40</v>
      </c>
      <c r="AE41" s="51">
        <v>40</v>
      </c>
      <c r="AF41" s="48" t="s">
        <v>203</v>
      </c>
      <c r="AG41" s="38" t="s">
        <v>204</v>
      </c>
      <c r="AH41" s="52"/>
      <c r="AI41" s="38"/>
      <c r="AJ41" s="38"/>
    </row>
    <row r="42" spans="1:36" ht="16.2">
      <c r="A42" s="42" t="s">
        <v>340</v>
      </c>
      <c r="B42" s="42">
        <v>829703</v>
      </c>
      <c r="C42" s="42" t="s">
        <v>86</v>
      </c>
      <c r="D42" s="42">
        <v>13207633</v>
      </c>
      <c r="E42" s="43" t="s">
        <v>341</v>
      </c>
      <c r="F42" s="42" t="s">
        <v>355</v>
      </c>
      <c r="G42" s="42" t="s">
        <v>195</v>
      </c>
      <c r="H42" s="42"/>
      <c r="I42" s="42"/>
      <c r="J42" s="42">
        <v>13207633</v>
      </c>
      <c r="K42" s="42"/>
      <c r="L42" s="44">
        <v>45293</v>
      </c>
      <c r="M42" s="44">
        <v>45293</v>
      </c>
      <c r="N42" s="42" t="s">
        <v>343</v>
      </c>
      <c r="O42" s="46">
        <v>0.01</v>
      </c>
      <c r="P42" s="42">
        <v>20009992</v>
      </c>
      <c r="Q42" s="42" t="s">
        <v>356</v>
      </c>
      <c r="R42" s="45">
        <v>410</v>
      </c>
      <c r="S42" s="46">
        <v>0.01</v>
      </c>
      <c r="T42" s="47" t="s">
        <v>198</v>
      </c>
      <c r="U42" s="48" t="s">
        <v>199</v>
      </c>
      <c r="V42" s="38"/>
      <c r="W42" s="48" t="s">
        <v>195</v>
      </c>
      <c r="X42" s="38" t="s">
        <v>308</v>
      </c>
      <c r="Y42" s="49" t="s">
        <v>309</v>
      </c>
      <c r="Z42" s="50" t="s">
        <v>357</v>
      </c>
      <c r="AA42" s="38"/>
      <c r="AB42" s="38"/>
      <c r="AC42" s="38"/>
      <c r="AD42" s="51">
        <v>40</v>
      </c>
      <c r="AE42" s="51">
        <v>40</v>
      </c>
      <c r="AF42" s="48" t="s">
        <v>203</v>
      </c>
      <c r="AG42" s="38" t="s">
        <v>204</v>
      </c>
      <c r="AH42" s="52"/>
      <c r="AI42" s="38"/>
      <c r="AJ42" s="38"/>
    </row>
    <row r="43" spans="1:36" ht="16.2">
      <c r="A43" s="53" t="s">
        <v>340</v>
      </c>
      <c r="B43" s="53">
        <v>829703</v>
      </c>
      <c r="C43" s="53" t="s">
        <v>86</v>
      </c>
      <c r="D43" s="53">
        <v>13207633</v>
      </c>
      <c r="E43" s="54" t="s">
        <v>341</v>
      </c>
      <c r="F43" s="53" t="s">
        <v>358</v>
      </c>
      <c r="G43" s="53" t="s">
        <v>195</v>
      </c>
      <c r="H43" s="53"/>
      <c r="I43" s="53"/>
      <c r="J43" s="53">
        <v>13207633</v>
      </c>
      <c r="K43" s="53"/>
      <c r="L43" s="55">
        <v>45293</v>
      </c>
      <c r="M43" s="55">
        <v>45293</v>
      </c>
      <c r="N43" s="53" t="s">
        <v>343</v>
      </c>
      <c r="O43" s="56">
        <v>0.01</v>
      </c>
      <c r="P43" s="53">
        <v>20009992</v>
      </c>
      <c r="Q43" s="53" t="s">
        <v>359</v>
      </c>
      <c r="R43" s="45">
        <v>410</v>
      </c>
      <c r="S43" s="56">
        <v>0.01</v>
      </c>
      <c r="T43" s="47" t="s">
        <v>198</v>
      </c>
      <c r="U43" s="48" t="s">
        <v>199</v>
      </c>
      <c r="V43" s="38"/>
      <c r="W43" s="48" t="s">
        <v>195</v>
      </c>
      <c r="X43" s="38" t="s">
        <v>308</v>
      </c>
      <c r="Y43" s="49" t="s">
        <v>309</v>
      </c>
      <c r="Z43" s="50" t="s">
        <v>360</v>
      </c>
      <c r="AA43" s="38"/>
      <c r="AB43" s="38"/>
      <c r="AC43" s="38"/>
      <c r="AD43" s="51">
        <v>40</v>
      </c>
      <c r="AE43" s="51">
        <v>40</v>
      </c>
      <c r="AF43" s="48" t="s">
        <v>203</v>
      </c>
      <c r="AG43" s="38" t="s">
        <v>204</v>
      </c>
      <c r="AH43" s="52"/>
      <c r="AI43" s="38"/>
      <c r="AJ43" s="38"/>
    </row>
    <row r="44" spans="1:36" ht="16.2">
      <c r="A44" s="42" t="s">
        <v>191</v>
      </c>
      <c r="B44" s="42">
        <v>900231</v>
      </c>
      <c r="C44" s="42" t="s">
        <v>361</v>
      </c>
      <c r="D44" s="42">
        <v>13207710</v>
      </c>
      <c r="E44" s="43" t="s">
        <v>362</v>
      </c>
      <c r="F44" s="42" t="s">
        <v>363</v>
      </c>
      <c r="G44" s="42" t="s">
        <v>195</v>
      </c>
      <c r="H44" s="42"/>
      <c r="I44" s="42"/>
      <c r="J44" s="42">
        <v>13207710</v>
      </c>
      <c r="K44" s="42"/>
      <c r="L44" s="44">
        <v>45293</v>
      </c>
      <c r="M44" s="44">
        <v>45293</v>
      </c>
      <c r="N44" s="42" t="s">
        <v>364</v>
      </c>
      <c r="O44" s="46">
        <v>0.01</v>
      </c>
      <c r="P44" s="42">
        <v>20062740</v>
      </c>
      <c r="Q44" s="42" t="s">
        <v>365</v>
      </c>
      <c r="R44" s="45">
        <v>410</v>
      </c>
      <c r="S44" s="46">
        <v>0.01</v>
      </c>
      <c r="T44" s="47" t="s">
        <v>198</v>
      </c>
      <c r="U44" s="48" t="s">
        <v>199</v>
      </c>
      <c r="V44" s="38"/>
      <c r="W44" s="48" t="s">
        <v>195</v>
      </c>
      <c r="X44" s="38" t="s">
        <v>200</v>
      </c>
      <c r="Y44" s="49" t="s">
        <v>201</v>
      </c>
      <c r="Z44" s="50" t="s">
        <v>366</v>
      </c>
      <c r="AA44" s="38"/>
      <c r="AB44" s="38"/>
      <c r="AC44" s="38"/>
      <c r="AD44" s="51">
        <v>12</v>
      </c>
      <c r="AE44" s="51">
        <v>12</v>
      </c>
      <c r="AF44" s="48" t="s">
        <v>203</v>
      </c>
      <c r="AG44" s="38" t="s">
        <v>204</v>
      </c>
      <c r="AH44" s="52"/>
      <c r="AI44" s="38"/>
      <c r="AJ44" s="38"/>
    </row>
    <row r="45" spans="1:36" ht="16.2">
      <c r="A45" s="53" t="s">
        <v>191</v>
      </c>
      <c r="B45" s="53">
        <v>900231</v>
      </c>
      <c r="C45" s="53" t="s">
        <v>361</v>
      </c>
      <c r="D45" s="53">
        <v>13207710</v>
      </c>
      <c r="E45" s="54" t="s">
        <v>362</v>
      </c>
      <c r="F45" s="53" t="s">
        <v>367</v>
      </c>
      <c r="G45" s="53" t="s">
        <v>195</v>
      </c>
      <c r="H45" s="53"/>
      <c r="I45" s="53"/>
      <c r="J45" s="53">
        <v>13207710</v>
      </c>
      <c r="K45" s="53"/>
      <c r="L45" s="55">
        <v>45293</v>
      </c>
      <c r="M45" s="55">
        <v>45293</v>
      </c>
      <c r="N45" s="53" t="s">
        <v>364</v>
      </c>
      <c r="O45" s="56">
        <v>0.01</v>
      </c>
      <c r="P45" s="53">
        <v>20062740</v>
      </c>
      <c r="Q45" s="53" t="s">
        <v>368</v>
      </c>
      <c r="R45" s="45">
        <v>410</v>
      </c>
      <c r="S45" s="56">
        <v>0.01</v>
      </c>
      <c r="T45" s="47" t="s">
        <v>198</v>
      </c>
      <c r="U45" s="48" t="s">
        <v>199</v>
      </c>
      <c r="V45" s="38"/>
      <c r="W45" s="48" t="s">
        <v>195</v>
      </c>
      <c r="X45" s="38" t="s">
        <v>200</v>
      </c>
      <c r="Y45" s="49" t="s">
        <v>201</v>
      </c>
      <c r="Z45" s="50" t="s">
        <v>369</v>
      </c>
      <c r="AA45" s="38"/>
      <c r="AB45" s="38"/>
      <c r="AC45" s="38"/>
      <c r="AD45" s="51">
        <v>12</v>
      </c>
      <c r="AE45" s="51">
        <v>12</v>
      </c>
      <c r="AF45" s="48" t="s">
        <v>203</v>
      </c>
      <c r="AG45" s="38" t="s">
        <v>204</v>
      </c>
      <c r="AH45" s="52"/>
      <c r="AI45" s="38"/>
      <c r="AJ45" s="38"/>
    </row>
    <row r="46" spans="1:36" ht="16.2">
      <c r="A46" s="42" t="s">
        <v>191</v>
      </c>
      <c r="B46" s="42">
        <v>900231</v>
      </c>
      <c r="C46" s="42" t="s">
        <v>361</v>
      </c>
      <c r="D46" s="42">
        <v>13207710</v>
      </c>
      <c r="E46" s="43" t="s">
        <v>362</v>
      </c>
      <c r="F46" s="42" t="s">
        <v>370</v>
      </c>
      <c r="G46" s="42" t="s">
        <v>195</v>
      </c>
      <c r="H46" s="42"/>
      <c r="I46" s="42"/>
      <c r="J46" s="42">
        <v>13207710</v>
      </c>
      <c r="K46" s="42"/>
      <c r="L46" s="44">
        <v>45293</v>
      </c>
      <c r="M46" s="44">
        <v>45293</v>
      </c>
      <c r="N46" s="42" t="s">
        <v>364</v>
      </c>
      <c r="O46" s="46">
        <v>0.01</v>
      </c>
      <c r="P46" s="42">
        <v>20062740</v>
      </c>
      <c r="Q46" s="42" t="s">
        <v>371</v>
      </c>
      <c r="R46" s="45">
        <v>410</v>
      </c>
      <c r="S46" s="46">
        <v>0.01</v>
      </c>
      <c r="T46" s="47" t="s">
        <v>198</v>
      </c>
      <c r="U46" s="48" t="s">
        <v>199</v>
      </c>
      <c r="V46" s="38"/>
      <c r="W46" s="48" t="s">
        <v>195</v>
      </c>
      <c r="X46" s="38" t="s">
        <v>200</v>
      </c>
      <c r="Y46" s="49" t="s">
        <v>201</v>
      </c>
      <c r="Z46" s="50" t="s">
        <v>372</v>
      </c>
      <c r="AA46" s="38"/>
      <c r="AB46" s="38"/>
      <c r="AC46" s="38"/>
      <c r="AD46" s="51">
        <v>12</v>
      </c>
      <c r="AE46" s="51">
        <v>12</v>
      </c>
      <c r="AF46" s="48" t="s">
        <v>203</v>
      </c>
      <c r="AG46" s="38" t="s">
        <v>204</v>
      </c>
      <c r="AH46" s="52"/>
      <c r="AI46" s="38"/>
      <c r="AJ46" s="38"/>
    </row>
    <row r="47" spans="1:36" ht="16.2">
      <c r="A47" s="53" t="s">
        <v>191</v>
      </c>
      <c r="B47" s="53">
        <v>900231</v>
      </c>
      <c r="C47" s="53" t="s">
        <v>361</v>
      </c>
      <c r="D47" s="53">
        <v>13207710</v>
      </c>
      <c r="E47" s="54" t="s">
        <v>362</v>
      </c>
      <c r="F47" s="53" t="s">
        <v>373</v>
      </c>
      <c r="G47" s="53" t="s">
        <v>195</v>
      </c>
      <c r="H47" s="53"/>
      <c r="I47" s="53"/>
      <c r="J47" s="53">
        <v>13207710</v>
      </c>
      <c r="K47" s="53"/>
      <c r="L47" s="55">
        <v>45293</v>
      </c>
      <c r="M47" s="55">
        <v>45293</v>
      </c>
      <c r="N47" s="53" t="s">
        <v>364</v>
      </c>
      <c r="O47" s="56">
        <v>0.01</v>
      </c>
      <c r="P47" s="53">
        <v>20062740</v>
      </c>
      <c r="Q47" s="53" t="s">
        <v>374</v>
      </c>
      <c r="R47" s="45">
        <v>410</v>
      </c>
      <c r="S47" s="56">
        <v>0.01</v>
      </c>
      <c r="T47" s="47" t="s">
        <v>198</v>
      </c>
      <c r="U47" s="48" t="s">
        <v>199</v>
      </c>
      <c r="V47" s="38"/>
      <c r="W47" s="48" t="s">
        <v>195</v>
      </c>
      <c r="X47" s="38" t="s">
        <v>200</v>
      </c>
      <c r="Y47" s="49" t="s">
        <v>201</v>
      </c>
      <c r="Z47" s="50" t="s">
        <v>375</v>
      </c>
      <c r="AA47" s="38"/>
      <c r="AB47" s="38"/>
      <c r="AC47" s="38"/>
      <c r="AD47" s="51">
        <v>12</v>
      </c>
      <c r="AE47" s="51">
        <v>12</v>
      </c>
      <c r="AF47" s="48" t="s">
        <v>203</v>
      </c>
      <c r="AG47" s="38" t="s">
        <v>204</v>
      </c>
      <c r="AH47" s="52"/>
      <c r="AI47" s="38"/>
      <c r="AJ47" s="38"/>
    </row>
    <row r="48" spans="1:36" ht="16.2">
      <c r="A48" s="42" t="s">
        <v>191</v>
      </c>
      <c r="B48" s="42">
        <v>900231</v>
      </c>
      <c r="C48" s="42" t="s">
        <v>361</v>
      </c>
      <c r="D48" s="42">
        <v>13207710</v>
      </c>
      <c r="E48" s="43" t="s">
        <v>362</v>
      </c>
      <c r="F48" s="42" t="s">
        <v>376</v>
      </c>
      <c r="G48" s="42" t="s">
        <v>195</v>
      </c>
      <c r="H48" s="42"/>
      <c r="I48" s="42"/>
      <c r="J48" s="42">
        <v>13207710</v>
      </c>
      <c r="K48" s="42"/>
      <c r="L48" s="44">
        <v>45293</v>
      </c>
      <c r="M48" s="44">
        <v>45293</v>
      </c>
      <c r="N48" s="42" t="s">
        <v>364</v>
      </c>
      <c r="O48" s="46">
        <v>0.01</v>
      </c>
      <c r="P48" s="42">
        <v>20062740</v>
      </c>
      <c r="Q48" s="42" t="s">
        <v>377</v>
      </c>
      <c r="R48" s="45">
        <v>410</v>
      </c>
      <c r="S48" s="46">
        <v>0.01</v>
      </c>
      <c r="T48" s="47" t="s">
        <v>198</v>
      </c>
      <c r="U48" s="48" t="s">
        <v>199</v>
      </c>
      <c r="V48" s="38"/>
      <c r="W48" s="48" t="s">
        <v>195</v>
      </c>
      <c r="X48" s="38" t="s">
        <v>200</v>
      </c>
      <c r="Y48" s="49" t="s">
        <v>201</v>
      </c>
      <c r="Z48" s="50" t="s">
        <v>378</v>
      </c>
      <c r="AA48" s="38"/>
      <c r="AB48" s="38"/>
      <c r="AC48" s="38"/>
      <c r="AD48" s="51">
        <v>12</v>
      </c>
      <c r="AE48" s="51">
        <v>12</v>
      </c>
      <c r="AF48" s="48" t="s">
        <v>203</v>
      </c>
      <c r="AG48" s="38" t="s">
        <v>204</v>
      </c>
      <c r="AH48" s="52"/>
      <c r="AI48" s="38"/>
      <c r="AJ48" s="38"/>
    </row>
    <row r="49" spans="1:36" ht="16.2">
      <c r="A49" s="53" t="s">
        <v>191</v>
      </c>
      <c r="B49" s="53">
        <v>900231</v>
      </c>
      <c r="C49" s="53" t="s">
        <v>361</v>
      </c>
      <c r="D49" s="53">
        <v>13207710</v>
      </c>
      <c r="E49" s="54" t="s">
        <v>362</v>
      </c>
      <c r="F49" s="53" t="s">
        <v>211</v>
      </c>
      <c r="G49" s="53" t="s">
        <v>195</v>
      </c>
      <c r="H49" s="53"/>
      <c r="I49" s="53"/>
      <c r="J49" s="53">
        <v>13207710</v>
      </c>
      <c r="K49" s="53"/>
      <c r="L49" s="55">
        <v>45293</v>
      </c>
      <c r="M49" s="55">
        <v>45293</v>
      </c>
      <c r="N49" s="53" t="s">
        <v>364</v>
      </c>
      <c r="O49" s="56">
        <v>0.01</v>
      </c>
      <c r="P49" s="53">
        <v>20062740</v>
      </c>
      <c r="Q49" s="53" t="s">
        <v>379</v>
      </c>
      <c r="R49" s="45">
        <v>410</v>
      </c>
      <c r="S49" s="56">
        <v>0.01</v>
      </c>
      <c r="T49" s="47" t="s">
        <v>198</v>
      </c>
      <c r="U49" s="48" t="s">
        <v>199</v>
      </c>
      <c r="V49" s="38"/>
      <c r="W49" s="48" t="s">
        <v>195</v>
      </c>
      <c r="X49" s="38" t="s">
        <v>200</v>
      </c>
      <c r="Y49" s="49" t="s">
        <v>201</v>
      </c>
      <c r="Z49" s="50" t="s">
        <v>380</v>
      </c>
      <c r="AA49" s="38"/>
      <c r="AB49" s="38"/>
      <c r="AC49" s="38"/>
      <c r="AD49" s="51">
        <v>12</v>
      </c>
      <c r="AE49" s="51">
        <v>12</v>
      </c>
      <c r="AF49" s="48" t="s">
        <v>203</v>
      </c>
      <c r="AG49" s="38" t="s">
        <v>204</v>
      </c>
      <c r="AH49" s="52"/>
      <c r="AI49" s="38"/>
      <c r="AJ49" s="38"/>
    </row>
    <row r="50" spans="1:36" ht="16.2">
      <c r="A50" s="42" t="s">
        <v>191</v>
      </c>
      <c r="B50" s="42">
        <v>900231</v>
      </c>
      <c r="C50" s="42" t="s">
        <v>361</v>
      </c>
      <c r="D50" s="42">
        <v>13207710</v>
      </c>
      <c r="E50" s="43" t="s">
        <v>362</v>
      </c>
      <c r="F50" s="42" t="s">
        <v>381</v>
      </c>
      <c r="G50" s="42" t="s">
        <v>195</v>
      </c>
      <c r="H50" s="42"/>
      <c r="I50" s="42"/>
      <c r="J50" s="42">
        <v>13207710</v>
      </c>
      <c r="K50" s="42"/>
      <c r="L50" s="44">
        <v>45293</v>
      </c>
      <c r="M50" s="44">
        <v>45293</v>
      </c>
      <c r="N50" s="42" t="s">
        <v>364</v>
      </c>
      <c r="O50" s="46">
        <v>0.01</v>
      </c>
      <c r="P50" s="42">
        <v>20062740</v>
      </c>
      <c r="Q50" s="42" t="s">
        <v>382</v>
      </c>
      <c r="R50" s="45">
        <v>410</v>
      </c>
      <c r="S50" s="46">
        <v>0.01</v>
      </c>
      <c r="T50" s="47" t="s">
        <v>198</v>
      </c>
      <c r="U50" s="48" t="s">
        <v>199</v>
      </c>
      <c r="V50" s="38"/>
      <c r="W50" s="48" t="s">
        <v>195</v>
      </c>
      <c r="X50" s="38" t="s">
        <v>200</v>
      </c>
      <c r="Y50" s="49" t="s">
        <v>201</v>
      </c>
      <c r="Z50" s="50" t="s">
        <v>383</v>
      </c>
      <c r="AA50" s="38"/>
      <c r="AB50" s="38"/>
      <c r="AC50" s="38"/>
      <c r="AD50" s="51">
        <v>12</v>
      </c>
      <c r="AE50" s="51">
        <v>12</v>
      </c>
      <c r="AF50" s="48" t="s">
        <v>203</v>
      </c>
      <c r="AG50" s="38" t="s">
        <v>204</v>
      </c>
      <c r="AH50" s="52"/>
      <c r="AI50" s="38"/>
      <c r="AJ50" s="38"/>
    </row>
    <row r="51" spans="1:36" ht="16.2">
      <c r="A51" s="53" t="s">
        <v>191</v>
      </c>
      <c r="B51" s="53">
        <v>900231</v>
      </c>
      <c r="C51" s="53" t="s">
        <v>361</v>
      </c>
      <c r="D51" s="53">
        <v>13207710</v>
      </c>
      <c r="E51" s="54" t="s">
        <v>362</v>
      </c>
      <c r="F51" s="53" t="s">
        <v>384</v>
      </c>
      <c r="G51" s="53" t="s">
        <v>195</v>
      </c>
      <c r="H51" s="53"/>
      <c r="I51" s="53"/>
      <c r="J51" s="53">
        <v>13207710</v>
      </c>
      <c r="K51" s="53"/>
      <c r="L51" s="55">
        <v>45293</v>
      </c>
      <c r="M51" s="55">
        <v>45293</v>
      </c>
      <c r="N51" s="53" t="s">
        <v>364</v>
      </c>
      <c r="O51" s="56">
        <v>0.01</v>
      </c>
      <c r="P51" s="53">
        <v>20062740</v>
      </c>
      <c r="Q51" s="53" t="s">
        <v>385</v>
      </c>
      <c r="R51" s="45">
        <v>410</v>
      </c>
      <c r="S51" s="56">
        <v>0.01</v>
      </c>
      <c r="T51" s="47" t="s">
        <v>198</v>
      </c>
      <c r="U51" s="48" t="s">
        <v>199</v>
      </c>
      <c r="V51" s="38"/>
      <c r="W51" s="48" t="s">
        <v>195</v>
      </c>
      <c r="X51" s="38" t="s">
        <v>200</v>
      </c>
      <c r="Y51" s="49" t="s">
        <v>201</v>
      </c>
      <c r="Z51" s="50" t="s">
        <v>386</v>
      </c>
      <c r="AA51" s="38"/>
      <c r="AB51" s="38"/>
      <c r="AC51" s="38"/>
      <c r="AD51" s="51">
        <v>12</v>
      </c>
      <c r="AE51" s="51">
        <v>12</v>
      </c>
      <c r="AF51" s="48" t="s">
        <v>203</v>
      </c>
      <c r="AG51" s="38" t="s">
        <v>204</v>
      </c>
      <c r="AH51" s="52"/>
      <c r="AI51" s="38"/>
      <c r="AJ51" s="38"/>
    </row>
    <row r="52" spans="1:36" ht="16.2">
      <c r="A52" s="42" t="s">
        <v>191</v>
      </c>
      <c r="B52" s="42">
        <v>900231</v>
      </c>
      <c r="C52" s="42" t="s">
        <v>361</v>
      </c>
      <c r="D52" s="42">
        <v>13207710</v>
      </c>
      <c r="E52" s="43" t="s">
        <v>362</v>
      </c>
      <c r="F52" s="42" t="s">
        <v>387</v>
      </c>
      <c r="G52" s="42" t="s">
        <v>195</v>
      </c>
      <c r="H52" s="42"/>
      <c r="I52" s="42"/>
      <c r="J52" s="42">
        <v>13207710</v>
      </c>
      <c r="K52" s="42"/>
      <c r="L52" s="44">
        <v>45293</v>
      </c>
      <c r="M52" s="44">
        <v>45293</v>
      </c>
      <c r="N52" s="42" t="s">
        <v>364</v>
      </c>
      <c r="O52" s="46">
        <v>0.01</v>
      </c>
      <c r="P52" s="42">
        <v>20062740</v>
      </c>
      <c r="Q52" s="42" t="s">
        <v>388</v>
      </c>
      <c r="R52" s="45">
        <v>410</v>
      </c>
      <c r="S52" s="46">
        <v>0.01</v>
      </c>
      <c r="T52" s="47" t="s">
        <v>198</v>
      </c>
      <c r="U52" s="48" t="s">
        <v>199</v>
      </c>
      <c r="V52" s="38"/>
      <c r="W52" s="48" t="s">
        <v>195</v>
      </c>
      <c r="X52" s="38" t="s">
        <v>200</v>
      </c>
      <c r="Y52" s="49" t="s">
        <v>201</v>
      </c>
      <c r="Z52" s="50" t="s">
        <v>389</v>
      </c>
      <c r="AA52" s="38"/>
      <c r="AB52" s="38"/>
      <c r="AC52" s="38"/>
      <c r="AD52" s="51">
        <v>12</v>
      </c>
      <c r="AE52" s="51">
        <v>12</v>
      </c>
      <c r="AF52" s="48" t="s">
        <v>203</v>
      </c>
      <c r="AG52" s="38" t="s">
        <v>204</v>
      </c>
      <c r="AH52" s="52"/>
      <c r="AI52" s="38"/>
      <c r="AJ52" s="38"/>
    </row>
    <row r="53" spans="1:36" ht="16.2">
      <c r="A53" s="53" t="s">
        <v>191</v>
      </c>
      <c r="B53" s="53">
        <v>900231</v>
      </c>
      <c r="C53" s="53" t="s">
        <v>361</v>
      </c>
      <c r="D53" s="53">
        <v>13207710</v>
      </c>
      <c r="E53" s="54" t="s">
        <v>362</v>
      </c>
      <c r="F53" s="53" t="s">
        <v>390</v>
      </c>
      <c r="G53" s="53" t="s">
        <v>195</v>
      </c>
      <c r="H53" s="53"/>
      <c r="I53" s="53"/>
      <c r="J53" s="53">
        <v>13207710</v>
      </c>
      <c r="K53" s="53"/>
      <c r="L53" s="55">
        <v>45293</v>
      </c>
      <c r="M53" s="55">
        <v>45293</v>
      </c>
      <c r="N53" s="53" t="s">
        <v>364</v>
      </c>
      <c r="O53" s="56">
        <v>0.01</v>
      </c>
      <c r="P53" s="53">
        <v>20062740</v>
      </c>
      <c r="Q53" s="53" t="s">
        <v>391</v>
      </c>
      <c r="R53" s="45">
        <v>410</v>
      </c>
      <c r="S53" s="56">
        <v>0.01</v>
      </c>
      <c r="T53" s="47" t="s">
        <v>198</v>
      </c>
      <c r="U53" s="48" t="s">
        <v>199</v>
      </c>
      <c r="V53" s="38"/>
      <c r="W53" s="48" t="s">
        <v>195</v>
      </c>
      <c r="X53" s="38" t="s">
        <v>200</v>
      </c>
      <c r="Y53" s="49" t="s">
        <v>201</v>
      </c>
      <c r="Z53" s="50" t="s">
        <v>392</v>
      </c>
      <c r="AA53" s="38"/>
      <c r="AB53" s="38"/>
      <c r="AC53" s="38"/>
      <c r="AD53" s="51">
        <v>12</v>
      </c>
      <c r="AE53" s="51">
        <v>12</v>
      </c>
      <c r="AF53" s="48" t="s">
        <v>203</v>
      </c>
      <c r="AG53" s="38" t="s">
        <v>204</v>
      </c>
      <c r="AH53" s="52"/>
      <c r="AI53" s="38"/>
      <c r="AJ53" s="38"/>
    </row>
    <row r="54" spans="1:36" ht="16.2">
      <c r="A54" s="42" t="s">
        <v>191</v>
      </c>
      <c r="B54" s="42">
        <v>900231</v>
      </c>
      <c r="C54" s="42" t="s">
        <v>361</v>
      </c>
      <c r="D54" s="42">
        <v>13207710</v>
      </c>
      <c r="E54" s="43" t="s">
        <v>362</v>
      </c>
      <c r="F54" s="42" t="s">
        <v>393</v>
      </c>
      <c r="G54" s="42" t="s">
        <v>195</v>
      </c>
      <c r="H54" s="42"/>
      <c r="I54" s="42"/>
      <c r="J54" s="42">
        <v>13207710</v>
      </c>
      <c r="K54" s="42"/>
      <c r="L54" s="44">
        <v>45293</v>
      </c>
      <c r="M54" s="44">
        <v>45293</v>
      </c>
      <c r="N54" s="42" t="s">
        <v>364</v>
      </c>
      <c r="O54" s="46">
        <v>0.01</v>
      </c>
      <c r="P54" s="42">
        <v>20062740</v>
      </c>
      <c r="Q54" s="42" t="s">
        <v>394</v>
      </c>
      <c r="R54" s="45">
        <v>410</v>
      </c>
      <c r="S54" s="46">
        <v>0.01</v>
      </c>
      <c r="T54" s="47" t="s">
        <v>198</v>
      </c>
      <c r="U54" s="48" t="s">
        <v>199</v>
      </c>
      <c r="V54" s="38"/>
      <c r="W54" s="48" t="s">
        <v>195</v>
      </c>
      <c r="X54" s="38" t="s">
        <v>200</v>
      </c>
      <c r="Y54" s="49" t="s">
        <v>201</v>
      </c>
      <c r="Z54" s="50" t="s">
        <v>395</v>
      </c>
      <c r="AA54" s="38"/>
      <c r="AB54" s="38"/>
      <c r="AC54" s="38"/>
      <c r="AD54" s="51">
        <v>12</v>
      </c>
      <c r="AE54" s="51">
        <v>12</v>
      </c>
      <c r="AF54" s="48" t="s">
        <v>203</v>
      </c>
      <c r="AG54" s="38" t="s">
        <v>204</v>
      </c>
      <c r="AH54" s="52"/>
      <c r="AI54" s="38"/>
      <c r="AJ54" s="38"/>
    </row>
    <row r="55" spans="1:36" ht="16.2">
      <c r="A55" s="53" t="s">
        <v>191</v>
      </c>
      <c r="B55" s="53">
        <v>71031602</v>
      </c>
      <c r="C55" s="53" t="s">
        <v>396</v>
      </c>
      <c r="D55" s="53">
        <v>13207437</v>
      </c>
      <c r="E55" s="54" t="s">
        <v>397</v>
      </c>
      <c r="F55" s="53" t="s">
        <v>398</v>
      </c>
      <c r="G55" s="53"/>
      <c r="H55" s="53"/>
      <c r="I55" s="53"/>
      <c r="J55" s="53"/>
      <c r="K55" s="53"/>
      <c r="L55" s="55">
        <v>45293</v>
      </c>
      <c r="M55" s="55">
        <v>45293</v>
      </c>
      <c r="N55" s="53" t="s">
        <v>399</v>
      </c>
      <c r="O55" s="56">
        <v>0.01</v>
      </c>
      <c r="P55" s="53"/>
      <c r="Q55" s="53" t="s">
        <v>400</v>
      </c>
      <c r="R55" s="45">
        <v>410</v>
      </c>
      <c r="S55" s="56">
        <v>0.01</v>
      </c>
      <c r="T55" s="47" t="s">
        <v>401</v>
      </c>
      <c r="U55" s="48" t="s">
        <v>199</v>
      </c>
      <c r="V55" s="38"/>
      <c r="W55" s="38"/>
      <c r="X55" s="38" t="s">
        <v>200</v>
      </c>
      <c r="Y55" s="49" t="s">
        <v>201</v>
      </c>
      <c r="Z55" s="50" t="s">
        <v>402</v>
      </c>
      <c r="AA55" s="38"/>
      <c r="AB55" s="38"/>
      <c r="AC55" s="38"/>
      <c r="AD55" s="51">
        <v>10</v>
      </c>
      <c r="AE55" s="51">
        <v>0</v>
      </c>
      <c r="AF55" s="48" t="s">
        <v>195</v>
      </c>
      <c r="AG55" s="38" t="s">
        <v>403</v>
      </c>
      <c r="AH55" s="52"/>
      <c r="AI55" s="38"/>
      <c r="AJ55" s="38"/>
    </row>
    <row r="56" spans="1:36" ht="16.2">
      <c r="A56" s="42" t="s">
        <v>404</v>
      </c>
      <c r="B56" s="42">
        <v>71017402</v>
      </c>
      <c r="C56" s="42" t="s">
        <v>405</v>
      </c>
      <c r="D56" s="42">
        <v>13207706</v>
      </c>
      <c r="E56" s="43" t="s">
        <v>406</v>
      </c>
      <c r="F56" s="42" t="s">
        <v>407</v>
      </c>
      <c r="G56" s="42" t="s">
        <v>195</v>
      </c>
      <c r="H56" s="42"/>
      <c r="I56" s="42"/>
      <c r="J56" s="42">
        <v>13207706</v>
      </c>
      <c r="K56" s="42"/>
      <c r="L56" s="44">
        <v>45293</v>
      </c>
      <c r="M56" s="44">
        <v>45293</v>
      </c>
      <c r="N56" s="42" t="s">
        <v>408</v>
      </c>
      <c r="O56" s="46">
        <v>0.01</v>
      </c>
      <c r="P56" s="42">
        <v>94542837</v>
      </c>
      <c r="Q56" s="42" t="s">
        <v>409</v>
      </c>
      <c r="R56" s="45">
        <v>410</v>
      </c>
      <c r="S56" s="46">
        <v>0.01</v>
      </c>
      <c r="T56" s="47" t="s">
        <v>198</v>
      </c>
      <c r="U56" s="48" t="s">
        <v>199</v>
      </c>
      <c r="V56" s="38"/>
      <c r="W56" s="48" t="s">
        <v>195</v>
      </c>
      <c r="X56" s="38" t="s">
        <v>200</v>
      </c>
      <c r="Y56" s="49" t="s">
        <v>201</v>
      </c>
      <c r="Z56" s="50" t="s">
        <v>410</v>
      </c>
      <c r="AA56" s="38"/>
      <c r="AB56" s="38"/>
      <c r="AC56" s="38"/>
      <c r="AD56" s="51">
        <v>65</v>
      </c>
      <c r="AE56" s="51">
        <v>65</v>
      </c>
      <c r="AF56" s="48" t="s">
        <v>203</v>
      </c>
      <c r="AG56" s="38" t="s">
        <v>204</v>
      </c>
      <c r="AH56" s="52"/>
      <c r="AI56" s="38"/>
      <c r="AJ56" s="38"/>
    </row>
    <row r="57" spans="1:36" ht="16.2">
      <c r="A57" s="53" t="s">
        <v>404</v>
      </c>
      <c r="B57" s="53">
        <v>71017402</v>
      </c>
      <c r="C57" s="53" t="s">
        <v>405</v>
      </c>
      <c r="D57" s="53">
        <v>13207706</v>
      </c>
      <c r="E57" s="54" t="s">
        <v>406</v>
      </c>
      <c r="F57" s="53" t="s">
        <v>411</v>
      </c>
      <c r="G57" s="53" t="s">
        <v>195</v>
      </c>
      <c r="H57" s="53"/>
      <c r="I57" s="53"/>
      <c r="J57" s="53">
        <v>13207706</v>
      </c>
      <c r="K57" s="53"/>
      <c r="L57" s="55">
        <v>45293</v>
      </c>
      <c r="M57" s="55">
        <v>45293</v>
      </c>
      <c r="N57" s="53" t="s">
        <v>408</v>
      </c>
      <c r="O57" s="56">
        <v>0.01</v>
      </c>
      <c r="P57" s="53">
        <v>94542837</v>
      </c>
      <c r="Q57" s="53" t="s">
        <v>412</v>
      </c>
      <c r="R57" s="45">
        <v>410</v>
      </c>
      <c r="S57" s="56">
        <v>0.01</v>
      </c>
      <c r="T57" s="47" t="s">
        <v>198</v>
      </c>
      <c r="U57" s="48" t="s">
        <v>199</v>
      </c>
      <c r="V57" s="38"/>
      <c r="W57" s="48" t="s">
        <v>195</v>
      </c>
      <c r="X57" s="38" t="s">
        <v>200</v>
      </c>
      <c r="Y57" s="49" t="s">
        <v>201</v>
      </c>
      <c r="Z57" s="50" t="s">
        <v>413</v>
      </c>
      <c r="AA57" s="38"/>
      <c r="AB57" s="38"/>
      <c r="AC57" s="38"/>
      <c r="AD57" s="51">
        <v>65</v>
      </c>
      <c r="AE57" s="51">
        <v>65</v>
      </c>
      <c r="AF57" s="48" t="s">
        <v>203</v>
      </c>
      <c r="AG57" s="38" t="s">
        <v>204</v>
      </c>
      <c r="AH57" s="52"/>
      <c r="AI57" s="38"/>
      <c r="AJ57" s="38"/>
    </row>
    <row r="58" spans="1:36" ht="16.2">
      <c r="A58" s="42" t="s">
        <v>404</v>
      </c>
      <c r="B58" s="42">
        <v>71017402</v>
      </c>
      <c r="C58" s="42" t="s">
        <v>405</v>
      </c>
      <c r="D58" s="42">
        <v>13207706</v>
      </c>
      <c r="E58" s="43" t="s">
        <v>406</v>
      </c>
      <c r="F58" s="42" t="s">
        <v>414</v>
      </c>
      <c r="G58" s="42" t="s">
        <v>195</v>
      </c>
      <c r="H58" s="42"/>
      <c r="I58" s="42"/>
      <c r="J58" s="42">
        <v>13207706</v>
      </c>
      <c r="K58" s="42"/>
      <c r="L58" s="44">
        <v>45293</v>
      </c>
      <c r="M58" s="44">
        <v>45293</v>
      </c>
      <c r="N58" s="42" t="s">
        <v>408</v>
      </c>
      <c r="O58" s="46">
        <v>0.01</v>
      </c>
      <c r="P58" s="42">
        <v>94542837</v>
      </c>
      <c r="Q58" s="42" t="s">
        <v>415</v>
      </c>
      <c r="R58" s="45">
        <v>410</v>
      </c>
      <c r="S58" s="46">
        <v>0.01</v>
      </c>
      <c r="T58" s="47" t="s">
        <v>198</v>
      </c>
      <c r="U58" s="48" t="s">
        <v>199</v>
      </c>
      <c r="V58" s="38"/>
      <c r="W58" s="48" t="s">
        <v>195</v>
      </c>
      <c r="X58" s="38" t="s">
        <v>200</v>
      </c>
      <c r="Y58" s="49" t="s">
        <v>201</v>
      </c>
      <c r="Z58" s="50" t="s">
        <v>416</v>
      </c>
      <c r="AA58" s="38"/>
      <c r="AB58" s="38"/>
      <c r="AC58" s="38"/>
      <c r="AD58" s="51">
        <v>65</v>
      </c>
      <c r="AE58" s="51">
        <v>65</v>
      </c>
      <c r="AF58" s="48" t="s">
        <v>203</v>
      </c>
      <c r="AG58" s="38" t="s">
        <v>204</v>
      </c>
      <c r="AH58" s="52"/>
      <c r="AI58" s="38"/>
      <c r="AJ58" s="38"/>
    </row>
    <row r="59" spans="1:36" ht="16.2">
      <c r="A59" s="53" t="s">
        <v>404</v>
      </c>
      <c r="B59" s="53">
        <v>71017402</v>
      </c>
      <c r="C59" s="53" t="s">
        <v>405</v>
      </c>
      <c r="D59" s="53">
        <v>13207706</v>
      </c>
      <c r="E59" s="54" t="s">
        <v>406</v>
      </c>
      <c r="F59" s="53" t="s">
        <v>417</v>
      </c>
      <c r="G59" s="53" t="s">
        <v>195</v>
      </c>
      <c r="H59" s="53"/>
      <c r="I59" s="53"/>
      <c r="J59" s="53">
        <v>13207706</v>
      </c>
      <c r="K59" s="53"/>
      <c r="L59" s="55">
        <v>45293</v>
      </c>
      <c r="M59" s="55">
        <v>45293</v>
      </c>
      <c r="N59" s="53" t="s">
        <v>408</v>
      </c>
      <c r="O59" s="56">
        <v>0.01</v>
      </c>
      <c r="P59" s="53">
        <v>94542837</v>
      </c>
      <c r="Q59" s="53" t="s">
        <v>418</v>
      </c>
      <c r="R59" s="45">
        <v>410</v>
      </c>
      <c r="S59" s="56">
        <v>0.01</v>
      </c>
      <c r="T59" s="47" t="s">
        <v>198</v>
      </c>
      <c r="U59" s="48" t="s">
        <v>199</v>
      </c>
      <c r="V59" s="38"/>
      <c r="W59" s="48" t="s">
        <v>195</v>
      </c>
      <c r="X59" s="38" t="s">
        <v>200</v>
      </c>
      <c r="Y59" s="49" t="s">
        <v>201</v>
      </c>
      <c r="Z59" s="50" t="s">
        <v>419</v>
      </c>
      <c r="AA59" s="38"/>
      <c r="AB59" s="38"/>
      <c r="AC59" s="38"/>
      <c r="AD59" s="51">
        <v>65</v>
      </c>
      <c r="AE59" s="51">
        <v>65</v>
      </c>
      <c r="AF59" s="48" t="s">
        <v>203</v>
      </c>
      <c r="AG59" s="38" t="s">
        <v>204</v>
      </c>
      <c r="AH59" s="52"/>
      <c r="AI59" s="38"/>
      <c r="AJ59" s="38"/>
    </row>
    <row r="60" spans="1:36" ht="16.2">
      <c r="A60" s="42" t="s">
        <v>420</v>
      </c>
      <c r="B60" s="42">
        <v>589619</v>
      </c>
      <c r="C60" s="42" t="s">
        <v>421</v>
      </c>
      <c r="D60" s="42">
        <v>13207672</v>
      </c>
      <c r="E60" s="43" t="s">
        <v>422</v>
      </c>
      <c r="F60" s="42" t="s">
        <v>423</v>
      </c>
      <c r="G60" s="42" t="s">
        <v>195</v>
      </c>
      <c r="H60" s="42"/>
      <c r="I60" s="42"/>
      <c r="J60" s="42">
        <v>13207672</v>
      </c>
      <c r="K60" s="42"/>
      <c r="L60" s="44">
        <v>45293</v>
      </c>
      <c r="M60" s="44">
        <v>45293</v>
      </c>
      <c r="N60" s="42" t="s">
        <v>424</v>
      </c>
      <c r="O60" s="46">
        <v>0.01</v>
      </c>
      <c r="P60" s="42">
        <v>20076884</v>
      </c>
      <c r="Q60" s="42" t="s">
        <v>425</v>
      </c>
      <c r="R60" s="45">
        <v>410</v>
      </c>
      <c r="S60" s="46">
        <v>0.01</v>
      </c>
      <c r="T60" s="47" t="s">
        <v>198</v>
      </c>
      <c r="U60" s="48" t="s">
        <v>199</v>
      </c>
      <c r="V60" s="38"/>
      <c r="W60" s="48" t="s">
        <v>195</v>
      </c>
      <c r="X60" s="38" t="s">
        <v>426</v>
      </c>
      <c r="Y60" s="49" t="s">
        <v>427</v>
      </c>
      <c r="Z60" s="50" t="s">
        <v>428</v>
      </c>
      <c r="AA60" s="38"/>
      <c r="AB60" s="38"/>
      <c r="AC60" s="38"/>
      <c r="AD60" s="51">
        <v>70</v>
      </c>
      <c r="AE60" s="51">
        <v>70</v>
      </c>
      <c r="AF60" s="48" t="s">
        <v>203</v>
      </c>
      <c r="AG60" s="38" t="s">
        <v>204</v>
      </c>
      <c r="AH60" s="52"/>
      <c r="AI60" s="38"/>
      <c r="AJ60" s="38"/>
    </row>
    <row r="61" spans="1:36" ht="16.2">
      <c r="A61" s="53" t="s">
        <v>420</v>
      </c>
      <c r="B61" s="53">
        <v>589619</v>
      </c>
      <c r="C61" s="53" t="s">
        <v>421</v>
      </c>
      <c r="D61" s="53">
        <v>13207672</v>
      </c>
      <c r="E61" s="54" t="s">
        <v>422</v>
      </c>
      <c r="F61" s="53" t="s">
        <v>429</v>
      </c>
      <c r="G61" s="53" t="s">
        <v>195</v>
      </c>
      <c r="H61" s="53"/>
      <c r="I61" s="53"/>
      <c r="J61" s="53">
        <v>13207672</v>
      </c>
      <c r="K61" s="53"/>
      <c r="L61" s="55">
        <v>45293</v>
      </c>
      <c r="M61" s="55">
        <v>45293</v>
      </c>
      <c r="N61" s="53" t="s">
        <v>424</v>
      </c>
      <c r="O61" s="56">
        <v>0.01</v>
      </c>
      <c r="P61" s="53">
        <v>20076884</v>
      </c>
      <c r="Q61" s="53" t="s">
        <v>430</v>
      </c>
      <c r="R61" s="45">
        <v>410</v>
      </c>
      <c r="S61" s="56">
        <v>0.01</v>
      </c>
      <c r="T61" s="47" t="s">
        <v>198</v>
      </c>
      <c r="U61" s="48" t="s">
        <v>199</v>
      </c>
      <c r="V61" s="38"/>
      <c r="W61" s="48" t="s">
        <v>195</v>
      </c>
      <c r="X61" s="38" t="s">
        <v>426</v>
      </c>
      <c r="Y61" s="49" t="s">
        <v>427</v>
      </c>
      <c r="Z61" s="50" t="s">
        <v>431</v>
      </c>
      <c r="AA61" s="38"/>
      <c r="AB61" s="38"/>
      <c r="AC61" s="38"/>
      <c r="AD61" s="51">
        <v>70</v>
      </c>
      <c r="AE61" s="51">
        <v>70</v>
      </c>
      <c r="AF61" s="48" t="s">
        <v>203</v>
      </c>
      <c r="AG61" s="38" t="s">
        <v>204</v>
      </c>
      <c r="AH61" s="52"/>
      <c r="AI61" s="38"/>
      <c r="AJ61" s="38"/>
    </row>
    <row r="62" spans="1:36" ht="16.2">
      <c r="A62" s="42" t="s">
        <v>420</v>
      </c>
      <c r="B62" s="42">
        <v>589619</v>
      </c>
      <c r="C62" s="42" t="s">
        <v>421</v>
      </c>
      <c r="D62" s="42">
        <v>13207672</v>
      </c>
      <c r="E62" s="43" t="s">
        <v>422</v>
      </c>
      <c r="F62" s="42" t="s">
        <v>432</v>
      </c>
      <c r="G62" s="42" t="s">
        <v>195</v>
      </c>
      <c r="H62" s="42"/>
      <c r="I62" s="42"/>
      <c r="J62" s="42">
        <v>13207672</v>
      </c>
      <c r="K62" s="42"/>
      <c r="L62" s="44">
        <v>45293</v>
      </c>
      <c r="M62" s="44">
        <v>45293</v>
      </c>
      <c r="N62" s="42" t="s">
        <v>424</v>
      </c>
      <c r="O62" s="46">
        <v>0.01</v>
      </c>
      <c r="P62" s="42">
        <v>20076884</v>
      </c>
      <c r="Q62" s="42" t="s">
        <v>433</v>
      </c>
      <c r="R62" s="45">
        <v>410</v>
      </c>
      <c r="S62" s="46">
        <v>0.01</v>
      </c>
      <c r="T62" s="47" t="s">
        <v>198</v>
      </c>
      <c r="U62" s="48" t="s">
        <v>199</v>
      </c>
      <c r="V62" s="38"/>
      <c r="W62" s="48" t="s">
        <v>195</v>
      </c>
      <c r="X62" s="38" t="s">
        <v>426</v>
      </c>
      <c r="Y62" s="49" t="s">
        <v>427</v>
      </c>
      <c r="Z62" s="50" t="s">
        <v>434</v>
      </c>
      <c r="AA62" s="38"/>
      <c r="AB62" s="38"/>
      <c r="AC62" s="38"/>
      <c r="AD62" s="51">
        <v>70</v>
      </c>
      <c r="AE62" s="51">
        <v>70</v>
      </c>
      <c r="AF62" s="48" t="s">
        <v>203</v>
      </c>
      <c r="AG62" s="38" t="s">
        <v>204</v>
      </c>
      <c r="AH62" s="52"/>
      <c r="AI62" s="38"/>
      <c r="AJ62" s="38"/>
    </row>
    <row r="63" spans="1:36" ht="16.2">
      <c r="A63" s="53" t="s">
        <v>420</v>
      </c>
      <c r="B63" s="53">
        <v>710200</v>
      </c>
      <c r="C63" s="53" t="s">
        <v>435</v>
      </c>
      <c r="D63" s="53">
        <v>13207676</v>
      </c>
      <c r="E63" s="54" t="s">
        <v>436</v>
      </c>
      <c r="F63" s="53" t="s">
        <v>437</v>
      </c>
      <c r="G63" s="53" t="s">
        <v>195</v>
      </c>
      <c r="H63" s="53"/>
      <c r="I63" s="53"/>
      <c r="J63" s="53">
        <v>13207676</v>
      </c>
      <c r="K63" s="53"/>
      <c r="L63" s="55">
        <v>45293</v>
      </c>
      <c r="M63" s="55">
        <v>45293</v>
      </c>
      <c r="N63" s="53" t="s">
        <v>424</v>
      </c>
      <c r="O63" s="53">
        <v>0</v>
      </c>
      <c r="P63" s="53">
        <v>20076884</v>
      </c>
      <c r="Q63" s="53" t="s">
        <v>438</v>
      </c>
      <c r="R63" s="45">
        <v>410</v>
      </c>
      <c r="S63" s="56">
        <v>0.01</v>
      </c>
      <c r="T63" s="47" t="s">
        <v>198</v>
      </c>
      <c r="U63" s="48" t="s">
        <v>199</v>
      </c>
      <c r="V63" s="38"/>
      <c r="W63" s="48" t="s">
        <v>195</v>
      </c>
      <c r="X63" s="38" t="s">
        <v>426</v>
      </c>
      <c r="Y63" s="49" t="s">
        <v>427</v>
      </c>
      <c r="Z63" s="50" t="s">
        <v>439</v>
      </c>
      <c r="AA63" s="38"/>
      <c r="AB63" s="38"/>
      <c r="AC63" s="38"/>
      <c r="AD63" s="51">
        <v>70</v>
      </c>
      <c r="AE63" s="51">
        <v>70</v>
      </c>
      <c r="AF63" s="48" t="s">
        <v>203</v>
      </c>
      <c r="AG63" s="38" t="s">
        <v>204</v>
      </c>
      <c r="AH63" s="52"/>
      <c r="AI63" s="38"/>
      <c r="AJ63" s="38"/>
    </row>
    <row r="64" spans="1:36" ht="16.2">
      <c r="A64" s="42" t="s">
        <v>420</v>
      </c>
      <c r="B64" s="42">
        <v>710200</v>
      </c>
      <c r="C64" s="42" t="s">
        <v>435</v>
      </c>
      <c r="D64" s="42">
        <v>13207676</v>
      </c>
      <c r="E64" s="43" t="s">
        <v>436</v>
      </c>
      <c r="F64" s="42" t="s">
        <v>440</v>
      </c>
      <c r="G64" s="42" t="s">
        <v>195</v>
      </c>
      <c r="H64" s="42"/>
      <c r="I64" s="42"/>
      <c r="J64" s="42">
        <v>13207676</v>
      </c>
      <c r="K64" s="42"/>
      <c r="L64" s="44">
        <v>45293</v>
      </c>
      <c r="M64" s="44">
        <v>45293</v>
      </c>
      <c r="N64" s="42" t="s">
        <v>424</v>
      </c>
      <c r="O64" s="42">
        <v>0</v>
      </c>
      <c r="P64" s="42">
        <v>20076884</v>
      </c>
      <c r="Q64" s="42" t="s">
        <v>441</v>
      </c>
      <c r="R64" s="45">
        <v>410</v>
      </c>
      <c r="S64" s="46">
        <v>0.01</v>
      </c>
      <c r="T64" s="47" t="s">
        <v>198</v>
      </c>
      <c r="U64" s="48" t="s">
        <v>199</v>
      </c>
      <c r="V64" s="38"/>
      <c r="W64" s="48" t="s">
        <v>195</v>
      </c>
      <c r="X64" s="38" t="s">
        <v>426</v>
      </c>
      <c r="Y64" s="49" t="s">
        <v>427</v>
      </c>
      <c r="Z64" s="50" t="s">
        <v>442</v>
      </c>
      <c r="AA64" s="38"/>
      <c r="AB64" s="38"/>
      <c r="AC64" s="38"/>
      <c r="AD64" s="51">
        <v>70</v>
      </c>
      <c r="AE64" s="51">
        <v>70</v>
      </c>
      <c r="AF64" s="48" t="s">
        <v>203</v>
      </c>
      <c r="AG64" s="38" t="s">
        <v>204</v>
      </c>
      <c r="AH64" s="52"/>
      <c r="AI64" s="38"/>
      <c r="AJ64" s="38"/>
    </row>
    <row r="65" spans="1:36" ht="16.2">
      <c r="A65" s="53" t="s">
        <v>420</v>
      </c>
      <c r="B65" s="53">
        <v>710200</v>
      </c>
      <c r="C65" s="53" t="s">
        <v>435</v>
      </c>
      <c r="D65" s="53">
        <v>13207676</v>
      </c>
      <c r="E65" s="54" t="s">
        <v>436</v>
      </c>
      <c r="F65" s="53" t="s">
        <v>443</v>
      </c>
      <c r="G65" s="53" t="s">
        <v>195</v>
      </c>
      <c r="H65" s="53"/>
      <c r="I65" s="53"/>
      <c r="J65" s="53">
        <v>13207676</v>
      </c>
      <c r="K65" s="53"/>
      <c r="L65" s="55">
        <v>45293</v>
      </c>
      <c r="M65" s="55">
        <v>45293</v>
      </c>
      <c r="N65" s="53" t="s">
        <v>424</v>
      </c>
      <c r="O65" s="53">
        <v>0</v>
      </c>
      <c r="P65" s="53">
        <v>20076884</v>
      </c>
      <c r="Q65" s="53" t="s">
        <v>444</v>
      </c>
      <c r="R65" s="45">
        <v>410</v>
      </c>
      <c r="S65" s="56">
        <v>0.01</v>
      </c>
      <c r="T65" s="47" t="s">
        <v>198</v>
      </c>
      <c r="U65" s="48" t="s">
        <v>199</v>
      </c>
      <c r="V65" s="38"/>
      <c r="W65" s="48" t="s">
        <v>195</v>
      </c>
      <c r="X65" s="38" t="s">
        <v>426</v>
      </c>
      <c r="Y65" s="49" t="s">
        <v>427</v>
      </c>
      <c r="Z65" s="50" t="s">
        <v>445</v>
      </c>
      <c r="AA65" s="38"/>
      <c r="AB65" s="38"/>
      <c r="AC65" s="38"/>
      <c r="AD65" s="51">
        <v>70</v>
      </c>
      <c r="AE65" s="51">
        <v>70</v>
      </c>
      <c r="AF65" s="48" t="s">
        <v>203</v>
      </c>
      <c r="AG65" s="38" t="s">
        <v>204</v>
      </c>
      <c r="AH65" s="52"/>
      <c r="AI65" s="38"/>
      <c r="AJ65" s="38"/>
    </row>
    <row r="66" spans="1:36" ht="16.2">
      <c r="A66" s="42" t="s">
        <v>420</v>
      </c>
      <c r="B66" s="42">
        <v>710200</v>
      </c>
      <c r="C66" s="42" t="s">
        <v>435</v>
      </c>
      <c r="D66" s="42">
        <v>13207676</v>
      </c>
      <c r="E66" s="43" t="s">
        <v>436</v>
      </c>
      <c r="F66" s="42" t="s">
        <v>446</v>
      </c>
      <c r="G66" s="42" t="s">
        <v>195</v>
      </c>
      <c r="H66" s="42"/>
      <c r="I66" s="42"/>
      <c r="J66" s="42">
        <v>13207676</v>
      </c>
      <c r="K66" s="42"/>
      <c r="L66" s="44">
        <v>45293</v>
      </c>
      <c r="M66" s="44">
        <v>45293</v>
      </c>
      <c r="N66" s="42" t="s">
        <v>424</v>
      </c>
      <c r="O66" s="42">
        <v>0</v>
      </c>
      <c r="P66" s="42">
        <v>20076884</v>
      </c>
      <c r="Q66" s="42" t="s">
        <v>447</v>
      </c>
      <c r="R66" s="45">
        <v>410</v>
      </c>
      <c r="S66" s="46">
        <v>0.01</v>
      </c>
      <c r="T66" s="47" t="s">
        <v>198</v>
      </c>
      <c r="U66" s="48" t="s">
        <v>199</v>
      </c>
      <c r="V66" s="38"/>
      <c r="W66" s="48" t="s">
        <v>195</v>
      </c>
      <c r="X66" s="38" t="s">
        <v>426</v>
      </c>
      <c r="Y66" s="49" t="s">
        <v>427</v>
      </c>
      <c r="Z66" s="50" t="s">
        <v>448</v>
      </c>
      <c r="AA66" s="38"/>
      <c r="AB66" s="38"/>
      <c r="AC66" s="38"/>
      <c r="AD66" s="51">
        <v>70</v>
      </c>
      <c r="AE66" s="51">
        <v>70</v>
      </c>
      <c r="AF66" s="48" t="s">
        <v>203</v>
      </c>
      <c r="AG66" s="38" t="s">
        <v>204</v>
      </c>
      <c r="AH66" s="52"/>
      <c r="AI66" s="38"/>
      <c r="AJ66" s="38"/>
    </row>
    <row r="67" spans="1:36" ht="16.2">
      <c r="A67" s="53" t="s">
        <v>420</v>
      </c>
      <c r="B67" s="53">
        <v>710200</v>
      </c>
      <c r="C67" s="53" t="s">
        <v>435</v>
      </c>
      <c r="D67" s="53">
        <v>13207676</v>
      </c>
      <c r="E67" s="54" t="s">
        <v>436</v>
      </c>
      <c r="F67" s="53" t="s">
        <v>449</v>
      </c>
      <c r="G67" s="53" t="s">
        <v>195</v>
      </c>
      <c r="H67" s="53"/>
      <c r="I67" s="53"/>
      <c r="J67" s="53">
        <v>13207676</v>
      </c>
      <c r="K67" s="53"/>
      <c r="L67" s="55">
        <v>45293</v>
      </c>
      <c r="M67" s="55">
        <v>45293</v>
      </c>
      <c r="N67" s="53" t="s">
        <v>424</v>
      </c>
      <c r="O67" s="53">
        <v>0</v>
      </c>
      <c r="P67" s="53">
        <v>20076884</v>
      </c>
      <c r="Q67" s="53" t="s">
        <v>450</v>
      </c>
      <c r="R67" s="45">
        <v>410</v>
      </c>
      <c r="S67" s="56">
        <v>0.01</v>
      </c>
      <c r="T67" s="47" t="s">
        <v>198</v>
      </c>
      <c r="U67" s="48" t="s">
        <v>199</v>
      </c>
      <c r="V67" s="38"/>
      <c r="W67" s="48" t="s">
        <v>195</v>
      </c>
      <c r="X67" s="38" t="s">
        <v>426</v>
      </c>
      <c r="Y67" s="49" t="s">
        <v>427</v>
      </c>
      <c r="Z67" s="50" t="s">
        <v>451</v>
      </c>
      <c r="AA67" s="38"/>
      <c r="AB67" s="38"/>
      <c r="AC67" s="38"/>
      <c r="AD67" s="51">
        <v>70</v>
      </c>
      <c r="AE67" s="51">
        <v>70</v>
      </c>
      <c r="AF67" s="48" t="s">
        <v>203</v>
      </c>
      <c r="AG67" s="38" t="s">
        <v>204</v>
      </c>
      <c r="AH67" s="52"/>
      <c r="AI67" s="38"/>
      <c r="AJ67" s="38"/>
    </row>
    <row r="68" spans="1:36" ht="16.2">
      <c r="A68" s="42" t="s">
        <v>420</v>
      </c>
      <c r="B68" s="42">
        <v>710200</v>
      </c>
      <c r="C68" s="42" t="s">
        <v>435</v>
      </c>
      <c r="D68" s="42">
        <v>13207676</v>
      </c>
      <c r="E68" s="43" t="s">
        <v>436</v>
      </c>
      <c r="F68" s="42" t="s">
        <v>452</v>
      </c>
      <c r="G68" s="42" t="s">
        <v>195</v>
      </c>
      <c r="H68" s="42"/>
      <c r="I68" s="42"/>
      <c r="J68" s="42">
        <v>13207676</v>
      </c>
      <c r="K68" s="42"/>
      <c r="L68" s="44">
        <v>45293</v>
      </c>
      <c r="M68" s="44">
        <v>45293</v>
      </c>
      <c r="N68" s="42" t="s">
        <v>424</v>
      </c>
      <c r="O68" s="42">
        <v>0</v>
      </c>
      <c r="P68" s="42">
        <v>20076884</v>
      </c>
      <c r="Q68" s="42" t="s">
        <v>453</v>
      </c>
      <c r="R68" s="45">
        <v>410</v>
      </c>
      <c r="S68" s="46">
        <v>0.01</v>
      </c>
      <c r="T68" s="47" t="s">
        <v>198</v>
      </c>
      <c r="U68" s="48" t="s">
        <v>199</v>
      </c>
      <c r="V68" s="38"/>
      <c r="W68" s="48" t="s">
        <v>195</v>
      </c>
      <c r="X68" s="38" t="s">
        <v>426</v>
      </c>
      <c r="Y68" s="49" t="s">
        <v>427</v>
      </c>
      <c r="Z68" s="50" t="s">
        <v>454</v>
      </c>
      <c r="AA68" s="38"/>
      <c r="AB68" s="38"/>
      <c r="AC68" s="38"/>
      <c r="AD68" s="51">
        <v>70</v>
      </c>
      <c r="AE68" s="51">
        <v>70</v>
      </c>
      <c r="AF68" s="48" t="s">
        <v>203</v>
      </c>
      <c r="AG68" s="38" t="s">
        <v>204</v>
      </c>
      <c r="AH68" s="52"/>
      <c r="AI68" s="38"/>
      <c r="AJ68" s="38"/>
    </row>
    <row r="69" spans="1:36" ht="16.2">
      <c r="A69" s="53" t="s">
        <v>420</v>
      </c>
      <c r="B69" s="53">
        <v>710200</v>
      </c>
      <c r="C69" s="53" t="s">
        <v>435</v>
      </c>
      <c r="D69" s="53">
        <v>13207676</v>
      </c>
      <c r="E69" s="54" t="s">
        <v>436</v>
      </c>
      <c r="F69" s="53" t="s">
        <v>455</v>
      </c>
      <c r="G69" s="53" t="s">
        <v>195</v>
      </c>
      <c r="H69" s="53"/>
      <c r="I69" s="53"/>
      <c r="J69" s="53">
        <v>13207676</v>
      </c>
      <c r="K69" s="53"/>
      <c r="L69" s="55">
        <v>45293</v>
      </c>
      <c r="M69" s="55">
        <v>45293</v>
      </c>
      <c r="N69" s="53" t="s">
        <v>424</v>
      </c>
      <c r="O69" s="53">
        <v>0</v>
      </c>
      <c r="P69" s="53">
        <v>20076884</v>
      </c>
      <c r="Q69" s="53" t="s">
        <v>456</v>
      </c>
      <c r="R69" s="45">
        <v>410</v>
      </c>
      <c r="S69" s="56">
        <v>0.01</v>
      </c>
      <c r="T69" s="47" t="s">
        <v>198</v>
      </c>
      <c r="U69" s="48" t="s">
        <v>199</v>
      </c>
      <c r="V69" s="38"/>
      <c r="W69" s="48" t="s">
        <v>195</v>
      </c>
      <c r="X69" s="38" t="s">
        <v>426</v>
      </c>
      <c r="Y69" s="49" t="s">
        <v>427</v>
      </c>
      <c r="Z69" s="50" t="s">
        <v>457</v>
      </c>
      <c r="AA69" s="38"/>
      <c r="AB69" s="38"/>
      <c r="AC69" s="38"/>
      <c r="AD69" s="51">
        <v>70</v>
      </c>
      <c r="AE69" s="51">
        <v>70</v>
      </c>
      <c r="AF69" s="48" t="s">
        <v>203</v>
      </c>
      <c r="AG69" s="38" t="s">
        <v>204</v>
      </c>
      <c r="AH69" s="52"/>
      <c r="AI69" s="38"/>
      <c r="AJ69" s="38"/>
    </row>
    <row r="70" spans="1:36" ht="16.2">
      <c r="A70" s="42" t="s">
        <v>420</v>
      </c>
      <c r="B70" s="42">
        <v>710200</v>
      </c>
      <c r="C70" s="42" t="s">
        <v>435</v>
      </c>
      <c r="D70" s="42">
        <v>13207676</v>
      </c>
      <c r="E70" s="43" t="s">
        <v>436</v>
      </c>
      <c r="F70" s="42" t="s">
        <v>458</v>
      </c>
      <c r="G70" s="42" t="s">
        <v>195</v>
      </c>
      <c r="H70" s="42"/>
      <c r="I70" s="42"/>
      <c r="J70" s="42">
        <v>13207676</v>
      </c>
      <c r="K70" s="42"/>
      <c r="L70" s="44">
        <v>45293</v>
      </c>
      <c r="M70" s="44">
        <v>45293</v>
      </c>
      <c r="N70" s="42" t="s">
        <v>424</v>
      </c>
      <c r="O70" s="42">
        <v>0</v>
      </c>
      <c r="P70" s="42">
        <v>20076884</v>
      </c>
      <c r="Q70" s="42" t="s">
        <v>459</v>
      </c>
      <c r="R70" s="45">
        <v>410</v>
      </c>
      <c r="S70" s="46">
        <v>0.01</v>
      </c>
      <c r="T70" s="47" t="s">
        <v>198</v>
      </c>
      <c r="U70" s="48" t="s">
        <v>199</v>
      </c>
      <c r="V70" s="38"/>
      <c r="W70" s="48" t="s">
        <v>195</v>
      </c>
      <c r="X70" s="38" t="s">
        <v>426</v>
      </c>
      <c r="Y70" s="49" t="s">
        <v>427</v>
      </c>
      <c r="Z70" s="50" t="s">
        <v>460</v>
      </c>
      <c r="AA70" s="38"/>
      <c r="AB70" s="38"/>
      <c r="AC70" s="38"/>
      <c r="AD70" s="51">
        <v>70</v>
      </c>
      <c r="AE70" s="51">
        <v>70</v>
      </c>
      <c r="AF70" s="48" t="s">
        <v>203</v>
      </c>
      <c r="AG70" s="38" t="s">
        <v>204</v>
      </c>
      <c r="AH70" s="52"/>
      <c r="AI70" s="38"/>
      <c r="AJ70" s="38"/>
    </row>
    <row r="71" spans="1:36" ht="16.2">
      <c r="A71" s="53" t="s">
        <v>420</v>
      </c>
      <c r="B71" s="53">
        <v>710200</v>
      </c>
      <c r="C71" s="53" t="s">
        <v>435</v>
      </c>
      <c r="D71" s="53">
        <v>13207676</v>
      </c>
      <c r="E71" s="54" t="s">
        <v>436</v>
      </c>
      <c r="F71" s="53" t="s">
        <v>461</v>
      </c>
      <c r="G71" s="53" t="s">
        <v>195</v>
      </c>
      <c r="H71" s="53"/>
      <c r="I71" s="53"/>
      <c r="J71" s="53">
        <v>13207676</v>
      </c>
      <c r="K71" s="53"/>
      <c r="L71" s="55">
        <v>45293</v>
      </c>
      <c r="M71" s="55">
        <v>45293</v>
      </c>
      <c r="N71" s="53" t="s">
        <v>424</v>
      </c>
      <c r="O71" s="53">
        <v>0</v>
      </c>
      <c r="P71" s="53">
        <v>20076884</v>
      </c>
      <c r="Q71" s="53" t="s">
        <v>462</v>
      </c>
      <c r="R71" s="45">
        <v>410</v>
      </c>
      <c r="S71" s="56">
        <v>0.01</v>
      </c>
      <c r="T71" s="47" t="s">
        <v>198</v>
      </c>
      <c r="U71" s="48" t="s">
        <v>199</v>
      </c>
      <c r="V71" s="38"/>
      <c r="W71" s="48" t="s">
        <v>195</v>
      </c>
      <c r="X71" s="38" t="s">
        <v>426</v>
      </c>
      <c r="Y71" s="49" t="s">
        <v>427</v>
      </c>
      <c r="Z71" s="50" t="s">
        <v>463</v>
      </c>
      <c r="AA71" s="38"/>
      <c r="AB71" s="38"/>
      <c r="AC71" s="38"/>
      <c r="AD71" s="51">
        <v>70</v>
      </c>
      <c r="AE71" s="51">
        <v>70</v>
      </c>
      <c r="AF71" s="48" t="s">
        <v>203</v>
      </c>
      <c r="AG71" s="38" t="s">
        <v>204</v>
      </c>
      <c r="AH71" s="52"/>
      <c r="AI71" s="38"/>
      <c r="AJ71" s="38"/>
    </row>
    <row r="72" spans="1:36" ht="16.2">
      <c r="A72" s="42" t="s">
        <v>420</v>
      </c>
      <c r="B72" s="42">
        <v>710200</v>
      </c>
      <c r="C72" s="42" t="s">
        <v>435</v>
      </c>
      <c r="D72" s="42">
        <v>13207676</v>
      </c>
      <c r="E72" s="43" t="s">
        <v>436</v>
      </c>
      <c r="F72" s="42" t="s">
        <v>464</v>
      </c>
      <c r="G72" s="42" t="s">
        <v>195</v>
      </c>
      <c r="H72" s="42"/>
      <c r="I72" s="42"/>
      <c r="J72" s="42">
        <v>13207676</v>
      </c>
      <c r="K72" s="42"/>
      <c r="L72" s="44">
        <v>45293</v>
      </c>
      <c r="M72" s="44">
        <v>45293</v>
      </c>
      <c r="N72" s="42" t="s">
        <v>424</v>
      </c>
      <c r="O72" s="42">
        <v>0</v>
      </c>
      <c r="P72" s="42">
        <v>20076884</v>
      </c>
      <c r="Q72" s="42" t="s">
        <v>465</v>
      </c>
      <c r="R72" s="45">
        <v>410</v>
      </c>
      <c r="S72" s="46">
        <v>0.01</v>
      </c>
      <c r="T72" s="47" t="s">
        <v>198</v>
      </c>
      <c r="U72" s="48" t="s">
        <v>199</v>
      </c>
      <c r="V72" s="38"/>
      <c r="W72" s="48" t="s">
        <v>195</v>
      </c>
      <c r="X72" s="38" t="s">
        <v>426</v>
      </c>
      <c r="Y72" s="49" t="s">
        <v>427</v>
      </c>
      <c r="Z72" s="50" t="s">
        <v>466</v>
      </c>
      <c r="AA72" s="38"/>
      <c r="AB72" s="38"/>
      <c r="AC72" s="38"/>
      <c r="AD72" s="51">
        <v>70</v>
      </c>
      <c r="AE72" s="51">
        <v>70</v>
      </c>
      <c r="AF72" s="48" t="s">
        <v>203</v>
      </c>
      <c r="AG72" s="38" t="s">
        <v>204</v>
      </c>
      <c r="AH72" s="52"/>
      <c r="AI72" s="38"/>
      <c r="AJ72" s="38"/>
    </row>
    <row r="73" spans="1:36" ht="16.2">
      <c r="A73" s="53" t="s">
        <v>420</v>
      </c>
      <c r="B73" s="53">
        <v>710200</v>
      </c>
      <c r="C73" s="53" t="s">
        <v>435</v>
      </c>
      <c r="D73" s="53">
        <v>13207676</v>
      </c>
      <c r="E73" s="54" t="s">
        <v>436</v>
      </c>
      <c r="F73" s="53" t="s">
        <v>467</v>
      </c>
      <c r="G73" s="53" t="s">
        <v>195</v>
      </c>
      <c r="H73" s="53"/>
      <c r="I73" s="53"/>
      <c r="J73" s="53">
        <v>13207676</v>
      </c>
      <c r="K73" s="53"/>
      <c r="L73" s="55">
        <v>45293</v>
      </c>
      <c r="M73" s="55">
        <v>45293</v>
      </c>
      <c r="N73" s="53" t="s">
        <v>424</v>
      </c>
      <c r="O73" s="53">
        <v>0</v>
      </c>
      <c r="P73" s="53">
        <v>20076884</v>
      </c>
      <c r="Q73" s="53" t="s">
        <v>468</v>
      </c>
      <c r="R73" s="45">
        <v>410</v>
      </c>
      <c r="S73" s="56">
        <v>0.01</v>
      </c>
      <c r="T73" s="47" t="s">
        <v>198</v>
      </c>
      <c r="U73" s="48" t="s">
        <v>199</v>
      </c>
      <c r="V73" s="38"/>
      <c r="W73" s="48" t="s">
        <v>195</v>
      </c>
      <c r="X73" s="38" t="s">
        <v>426</v>
      </c>
      <c r="Y73" s="49" t="s">
        <v>427</v>
      </c>
      <c r="Z73" s="50" t="s">
        <v>469</v>
      </c>
      <c r="AA73" s="38"/>
      <c r="AB73" s="38"/>
      <c r="AC73" s="38"/>
      <c r="AD73" s="51">
        <v>70</v>
      </c>
      <c r="AE73" s="51">
        <v>70</v>
      </c>
      <c r="AF73" s="48" t="s">
        <v>203</v>
      </c>
      <c r="AG73" s="38" t="s">
        <v>204</v>
      </c>
      <c r="AH73" s="52"/>
      <c r="AI73" s="38"/>
      <c r="AJ73" s="38"/>
    </row>
    <row r="74" spans="1:36" ht="16.2">
      <c r="A74" s="42" t="s">
        <v>420</v>
      </c>
      <c r="B74" s="42">
        <v>710200</v>
      </c>
      <c r="C74" s="42" t="s">
        <v>435</v>
      </c>
      <c r="D74" s="42">
        <v>13207676</v>
      </c>
      <c r="E74" s="43" t="s">
        <v>436</v>
      </c>
      <c r="F74" s="42" t="s">
        <v>470</v>
      </c>
      <c r="G74" s="42" t="s">
        <v>195</v>
      </c>
      <c r="H74" s="42"/>
      <c r="I74" s="42"/>
      <c r="J74" s="42">
        <v>13207676</v>
      </c>
      <c r="K74" s="42"/>
      <c r="L74" s="44">
        <v>45293</v>
      </c>
      <c r="M74" s="44">
        <v>45293</v>
      </c>
      <c r="N74" s="42" t="s">
        <v>424</v>
      </c>
      <c r="O74" s="42">
        <v>0</v>
      </c>
      <c r="P74" s="42">
        <v>20076884</v>
      </c>
      <c r="Q74" s="42" t="s">
        <v>471</v>
      </c>
      <c r="R74" s="45">
        <v>410</v>
      </c>
      <c r="S74" s="46">
        <v>0.01</v>
      </c>
      <c r="T74" s="47" t="s">
        <v>198</v>
      </c>
      <c r="U74" s="48" t="s">
        <v>199</v>
      </c>
      <c r="V74" s="38"/>
      <c r="W74" s="48" t="s">
        <v>195</v>
      </c>
      <c r="X74" s="38" t="s">
        <v>426</v>
      </c>
      <c r="Y74" s="49" t="s">
        <v>427</v>
      </c>
      <c r="Z74" s="50" t="s">
        <v>472</v>
      </c>
      <c r="AA74" s="38"/>
      <c r="AB74" s="38"/>
      <c r="AC74" s="38"/>
      <c r="AD74" s="51">
        <v>70</v>
      </c>
      <c r="AE74" s="51">
        <v>70</v>
      </c>
      <c r="AF74" s="48" t="s">
        <v>203</v>
      </c>
      <c r="AG74" s="38" t="s">
        <v>204</v>
      </c>
      <c r="AH74" s="52"/>
      <c r="AI74" s="38"/>
      <c r="AJ74" s="38"/>
    </row>
    <row r="75" spans="1:36" ht="16.2">
      <c r="A75" s="53" t="s">
        <v>420</v>
      </c>
      <c r="B75" s="53">
        <v>710200</v>
      </c>
      <c r="C75" s="53" t="s">
        <v>435</v>
      </c>
      <c r="D75" s="53">
        <v>13207676</v>
      </c>
      <c r="E75" s="54" t="s">
        <v>436</v>
      </c>
      <c r="F75" s="53" t="s">
        <v>473</v>
      </c>
      <c r="G75" s="53" t="s">
        <v>195</v>
      </c>
      <c r="H75" s="53"/>
      <c r="I75" s="53"/>
      <c r="J75" s="53">
        <v>13207676</v>
      </c>
      <c r="K75" s="53"/>
      <c r="L75" s="55">
        <v>45293</v>
      </c>
      <c r="M75" s="55">
        <v>45293</v>
      </c>
      <c r="N75" s="53" t="s">
        <v>424</v>
      </c>
      <c r="O75" s="53">
        <v>0</v>
      </c>
      <c r="P75" s="53">
        <v>20076884</v>
      </c>
      <c r="Q75" s="53" t="s">
        <v>474</v>
      </c>
      <c r="R75" s="45">
        <v>410</v>
      </c>
      <c r="S75" s="56">
        <v>0.01</v>
      </c>
      <c r="T75" s="47" t="s">
        <v>198</v>
      </c>
      <c r="U75" s="48" t="s">
        <v>199</v>
      </c>
      <c r="V75" s="38"/>
      <c r="W75" s="48" t="s">
        <v>195</v>
      </c>
      <c r="X75" s="38" t="s">
        <v>426</v>
      </c>
      <c r="Y75" s="49" t="s">
        <v>427</v>
      </c>
      <c r="Z75" s="50" t="s">
        <v>475</v>
      </c>
      <c r="AA75" s="38"/>
      <c r="AB75" s="38"/>
      <c r="AC75" s="38"/>
      <c r="AD75" s="51">
        <v>70</v>
      </c>
      <c r="AE75" s="51">
        <v>70</v>
      </c>
      <c r="AF75" s="48" t="s">
        <v>203</v>
      </c>
      <c r="AG75" s="38" t="s">
        <v>204</v>
      </c>
      <c r="AH75" s="52"/>
      <c r="AI75" s="38"/>
      <c r="AJ75" s="38"/>
    </row>
    <row r="76" spans="1:36" ht="16.2">
      <c r="A76" s="42" t="s">
        <v>420</v>
      </c>
      <c r="B76" s="42">
        <v>710200</v>
      </c>
      <c r="C76" s="42" t="s">
        <v>435</v>
      </c>
      <c r="D76" s="42">
        <v>13207676</v>
      </c>
      <c r="E76" s="43" t="s">
        <v>436</v>
      </c>
      <c r="F76" s="42" t="s">
        <v>476</v>
      </c>
      <c r="G76" s="42" t="s">
        <v>195</v>
      </c>
      <c r="H76" s="42"/>
      <c r="I76" s="42"/>
      <c r="J76" s="42">
        <v>13207676</v>
      </c>
      <c r="K76" s="42"/>
      <c r="L76" s="44">
        <v>45293</v>
      </c>
      <c r="M76" s="44">
        <v>45293</v>
      </c>
      <c r="N76" s="42" t="s">
        <v>424</v>
      </c>
      <c r="O76" s="42">
        <v>0</v>
      </c>
      <c r="P76" s="42">
        <v>20076884</v>
      </c>
      <c r="Q76" s="42" t="s">
        <v>477</v>
      </c>
      <c r="R76" s="45">
        <v>410</v>
      </c>
      <c r="S76" s="46">
        <v>0.01</v>
      </c>
      <c r="T76" s="47" t="s">
        <v>198</v>
      </c>
      <c r="U76" s="48" t="s">
        <v>199</v>
      </c>
      <c r="V76" s="38"/>
      <c r="W76" s="48" t="s">
        <v>195</v>
      </c>
      <c r="X76" s="38" t="s">
        <v>426</v>
      </c>
      <c r="Y76" s="49" t="s">
        <v>427</v>
      </c>
      <c r="Z76" s="50" t="s">
        <v>478</v>
      </c>
      <c r="AA76" s="38"/>
      <c r="AB76" s="38"/>
      <c r="AC76" s="38"/>
      <c r="AD76" s="51">
        <v>70</v>
      </c>
      <c r="AE76" s="51">
        <v>70</v>
      </c>
      <c r="AF76" s="48" t="s">
        <v>203</v>
      </c>
      <c r="AG76" s="38" t="s">
        <v>204</v>
      </c>
      <c r="AH76" s="52"/>
      <c r="AI76" s="38"/>
      <c r="AJ76" s="38"/>
    </row>
    <row r="77" spans="1:36" ht="16.2">
      <c r="A77" s="53" t="s">
        <v>420</v>
      </c>
      <c r="B77" s="53">
        <v>710200</v>
      </c>
      <c r="C77" s="53" t="s">
        <v>435</v>
      </c>
      <c r="D77" s="53">
        <v>13207676</v>
      </c>
      <c r="E77" s="54" t="s">
        <v>436</v>
      </c>
      <c r="F77" s="53" t="s">
        <v>479</v>
      </c>
      <c r="G77" s="53" t="s">
        <v>195</v>
      </c>
      <c r="H77" s="53"/>
      <c r="I77" s="53"/>
      <c r="J77" s="53">
        <v>13207676</v>
      </c>
      <c r="K77" s="53"/>
      <c r="L77" s="55">
        <v>45293</v>
      </c>
      <c r="M77" s="55">
        <v>45293</v>
      </c>
      <c r="N77" s="53" t="s">
        <v>424</v>
      </c>
      <c r="O77" s="53">
        <v>0</v>
      </c>
      <c r="P77" s="53">
        <v>20076884</v>
      </c>
      <c r="Q77" s="53" t="s">
        <v>480</v>
      </c>
      <c r="R77" s="45">
        <v>410</v>
      </c>
      <c r="S77" s="56">
        <v>0.01</v>
      </c>
      <c r="T77" s="47" t="s">
        <v>198</v>
      </c>
      <c r="U77" s="48" t="s">
        <v>199</v>
      </c>
      <c r="V77" s="38"/>
      <c r="W77" s="48" t="s">
        <v>195</v>
      </c>
      <c r="X77" s="38" t="s">
        <v>426</v>
      </c>
      <c r="Y77" s="49" t="s">
        <v>427</v>
      </c>
      <c r="Z77" s="50" t="s">
        <v>481</v>
      </c>
      <c r="AA77" s="38"/>
      <c r="AB77" s="38"/>
      <c r="AC77" s="38"/>
      <c r="AD77" s="51">
        <v>70</v>
      </c>
      <c r="AE77" s="51">
        <v>70</v>
      </c>
      <c r="AF77" s="48" t="s">
        <v>203</v>
      </c>
      <c r="AG77" s="38" t="s">
        <v>204</v>
      </c>
      <c r="AH77" s="52"/>
      <c r="AI77" s="38"/>
      <c r="AJ77" s="38"/>
    </row>
    <row r="78" spans="1:36" ht="16.2">
      <c r="A78" s="42" t="s">
        <v>420</v>
      </c>
      <c r="B78" s="42">
        <v>710200</v>
      </c>
      <c r="C78" s="42" t="s">
        <v>435</v>
      </c>
      <c r="D78" s="42">
        <v>13207676</v>
      </c>
      <c r="E78" s="43" t="s">
        <v>436</v>
      </c>
      <c r="F78" s="42" t="s">
        <v>482</v>
      </c>
      <c r="G78" s="42" t="s">
        <v>195</v>
      </c>
      <c r="H78" s="42"/>
      <c r="I78" s="42"/>
      <c r="J78" s="42">
        <v>13207676</v>
      </c>
      <c r="K78" s="42"/>
      <c r="L78" s="44">
        <v>45293</v>
      </c>
      <c r="M78" s="44">
        <v>45293</v>
      </c>
      <c r="N78" s="42" t="s">
        <v>424</v>
      </c>
      <c r="O78" s="42">
        <v>0</v>
      </c>
      <c r="P78" s="42">
        <v>20076884</v>
      </c>
      <c r="Q78" s="42" t="s">
        <v>483</v>
      </c>
      <c r="R78" s="45">
        <v>410</v>
      </c>
      <c r="S78" s="46">
        <v>0.01</v>
      </c>
      <c r="T78" s="47" t="s">
        <v>198</v>
      </c>
      <c r="U78" s="48" t="s">
        <v>199</v>
      </c>
      <c r="V78" s="38"/>
      <c r="W78" s="48" t="s">
        <v>195</v>
      </c>
      <c r="X78" s="38" t="s">
        <v>426</v>
      </c>
      <c r="Y78" s="49" t="s">
        <v>427</v>
      </c>
      <c r="Z78" s="50" t="s">
        <v>484</v>
      </c>
      <c r="AA78" s="38"/>
      <c r="AB78" s="38"/>
      <c r="AC78" s="38"/>
      <c r="AD78" s="51">
        <v>70</v>
      </c>
      <c r="AE78" s="51">
        <v>70</v>
      </c>
      <c r="AF78" s="48" t="s">
        <v>203</v>
      </c>
      <c r="AG78" s="38" t="s">
        <v>204</v>
      </c>
      <c r="AH78" s="52"/>
      <c r="AI78" s="38"/>
      <c r="AJ78" s="38"/>
    </row>
    <row r="79" spans="1:36" ht="16.2">
      <c r="A79" s="53" t="s">
        <v>420</v>
      </c>
      <c r="B79" s="53">
        <v>710200</v>
      </c>
      <c r="C79" s="53" t="s">
        <v>435</v>
      </c>
      <c r="D79" s="53">
        <v>13207676</v>
      </c>
      <c r="E79" s="54" t="s">
        <v>436</v>
      </c>
      <c r="F79" s="53" t="s">
        <v>485</v>
      </c>
      <c r="G79" s="53" t="s">
        <v>195</v>
      </c>
      <c r="H79" s="53"/>
      <c r="I79" s="53"/>
      <c r="J79" s="53">
        <v>13207676</v>
      </c>
      <c r="K79" s="53"/>
      <c r="L79" s="55">
        <v>45293</v>
      </c>
      <c r="M79" s="55">
        <v>45293</v>
      </c>
      <c r="N79" s="53" t="s">
        <v>424</v>
      </c>
      <c r="O79" s="53">
        <v>0</v>
      </c>
      <c r="P79" s="53">
        <v>20076884</v>
      </c>
      <c r="Q79" s="53" t="s">
        <v>486</v>
      </c>
      <c r="R79" s="45">
        <v>410</v>
      </c>
      <c r="S79" s="56">
        <v>0.01</v>
      </c>
      <c r="T79" s="47" t="s">
        <v>198</v>
      </c>
      <c r="U79" s="48" t="s">
        <v>199</v>
      </c>
      <c r="V79" s="38"/>
      <c r="W79" s="48" t="s">
        <v>195</v>
      </c>
      <c r="X79" s="38" t="s">
        <v>426</v>
      </c>
      <c r="Y79" s="49" t="s">
        <v>427</v>
      </c>
      <c r="Z79" s="50" t="s">
        <v>487</v>
      </c>
      <c r="AA79" s="38"/>
      <c r="AB79" s="38"/>
      <c r="AC79" s="38"/>
      <c r="AD79" s="51">
        <v>70</v>
      </c>
      <c r="AE79" s="51">
        <v>70</v>
      </c>
      <c r="AF79" s="48" t="s">
        <v>203</v>
      </c>
      <c r="AG79" s="38" t="s">
        <v>204</v>
      </c>
      <c r="AH79" s="52"/>
      <c r="AI79" s="38"/>
      <c r="AJ79" s="38"/>
    </row>
    <row r="80" spans="1:36" ht="16.2">
      <c r="A80" s="42" t="s">
        <v>420</v>
      </c>
      <c r="B80" s="42">
        <v>710200</v>
      </c>
      <c r="C80" s="42" t="s">
        <v>435</v>
      </c>
      <c r="D80" s="42">
        <v>13207676</v>
      </c>
      <c r="E80" s="43" t="s">
        <v>436</v>
      </c>
      <c r="F80" s="42" t="s">
        <v>488</v>
      </c>
      <c r="G80" s="42" t="s">
        <v>195</v>
      </c>
      <c r="H80" s="42"/>
      <c r="I80" s="42"/>
      <c r="J80" s="42">
        <v>13207676</v>
      </c>
      <c r="K80" s="42"/>
      <c r="L80" s="44">
        <v>45293</v>
      </c>
      <c r="M80" s="44">
        <v>45293</v>
      </c>
      <c r="N80" s="42" t="s">
        <v>424</v>
      </c>
      <c r="O80" s="42">
        <v>0</v>
      </c>
      <c r="P80" s="42">
        <v>20076884</v>
      </c>
      <c r="Q80" s="42" t="s">
        <v>489</v>
      </c>
      <c r="R80" s="45">
        <v>410</v>
      </c>
      <c r="S80" s="46">
        <v>0.01</v>
      </c>
      <c r="T80" s="47" t="s">
        <v>198</v>
      </c>
      <c r="U80" s="48" t="s">
        <v>199</v>
      </c>
      <c r="V80" s="38"/>
      <c r="W80" s="48" t="s">
        <v>195</v>
      </c>
      <c r="X80" s="38" t="s">
        <v>426</v>
      </c>
      <c r="Y80" s="49" t="s">
        <v>427</v>
      </c>
      <c r="Z80" s="50" t="s">
        <v>490</v>
      </c>
      <c r="AA80" s="38"/>
      <c r="AB80" s="38"/>
      <c r="AC80" s="38"/>
      <c r="AD80" s="51">
        <v>70</v>
      </c>
      <c r="AE80" s="51">
        <v>70</v>
      </c>
      <c r="AF80" s="48" t="s">
        <v>203</v>
      </c>
      <c r="AG80" s="38" t="s">
        <v>204</v>
      </c>
      <c r="AH80" s="52"/>
      <c r="AI80" s="38"/>
      <c r="AJ80" s="38"/>
    </row>
    <row r="81" spans="1:36" ht="16.2">
      <c r="A81" s="53" t="s">
        <v>420</v>
      </c>
      <c r="B81" s="53">
        <v>710199</v>
      </c>
      <c r="C81" s="53" t="s">
        <v>117</v>
      </c>
      <c r="D81" s="53">
        <v>13207677</v>
      </c>
      <c r="E81" s="54" t="s">
        <v>491</v>
      </c>
      <c r="F81" s="53" t="s">
        <v>437</v>
      </c>
      <c r="G81" s="53" t="s">
        <v>195</v>
      </c>
      <c r="H81" s="53"/>
      <c r="I81" s="53"/>
      <c r="J81" s="53">
        <v>13207677</v>
      </c>
      <c r="K81" s="53"/>
      <c r="L81" s="55">
        <v>45293</v>
      </c>
      <c r="M81" s="55">
        <v>45293</v>
      </c>
      <c r="N81" s="53" t="s">
        <v>424</v>
      </c>
      <c r="O81" s="53">
        <v>0</v>
      </c>
      <c r="P81" s="53">
        <v>20076884</v>
      </c>
      <c r="Q81" s="53" t="s">
        <v>492</v>
      </c>
      <c r="R81" s="45">
        <v>410</v>
      </c>
      <c r="S81" s="56">
        <v>0.01</v>
      </c>
      <c r="T81" s="47" t="s">
        <v>198</v>
      </c>
      <c r="U81" s="48" t="s">
        <v>199</v>
      </c>
      <c r="V81" s="38"/>
      <c r="W81" s="48" t="s">
        <v>195</v>
      </c>
      <c r="X81" s="38" t="s">
        <v>426</v>
      </c>
      <c r="Y81" s="49" t="s">
        <v>427</v>
      </c>
      <c r="Z81" s="50" t="s">
        <v>493</v>
      </c>
      <c r="AA81" s="38"/>
      <c r="AB81" s="38"/>
      <c r="AC81" s="38"/>
      <c r="AD81" s="51">
        <v>70</v>
      </c>
      <c r="AE81" s="51">
        <v>70</v>
      </c>
      <c r="AF81" s="48" t="s">
        <v>203</v>
      </c>
      <c r="AG81" s="38" t="s">
        <v>204</v>
      </c>
      <c r="AH81" s="52"/>
      <c r="AI81" s="38"/>
      <c r="AJ81" s="38"/>
    </row>
    <row r="82" spans="1:36" ht="16.2">
      <c r="A82" s="42" t="s">
        <v>420</v>
      </c>
      <c r="B82" s="42">
        <v>710199</v>
      </c>
      <c r="C82" s="42" t="s">
        <v>117</v>
      </c>
      <c r="D82" s="42">
        <v>13207677</v>
      </c>
      <c r="E82" s="43" t="s">
        <v>491</v>
      </c>
      <c r="F82" s="42" t="s">
        <v>440</v>
      </c>
      <c r="G82" s="42" t="s">
        <v>195</v>
      </c>
      <c r="H82" s="42"/>
      <c r="I82" s="42"/>
      <c r="J82" s="42">
        <v>13207677</v>
      </c>
      <c r="K82" s="42"/>
      <c r="L82" s="44">
        <v>45293</v>
      </c>
      <c r="M82" s="44">
        <v>45293</v>
      </c>
      <c r="N82" s="42" t="s">
        <v>424</v>
      </c>
      <c r="O82" s="42">
        <v>0</v>
      </c>
      <c r="P82" s="42">
        <v>20076884</v>
      </c>
      <c r="Q82" s="42" t="s">
        <v>494</v>
      </c>
      <c r="R82" s="45">
        <v>410</v>
      </c>
      <c r="S82" s="46">
        <v>0.01</v>
      </c>
      <c r="T82" s="47" t="s">
        <v>198</v>
      </c>
      <c r="U82" s="48" t="s">
        <v>199</v>
      </c>
      <c r="V82" s="38"/>
      <c r="W82" s="48" t="s">
        <v>195</v>
      </c>
      <c r="X82" s="38" t="s">
        <v>426</v>
      </c>
      <c r="Y82" s="49" t="s">
        <v>427</v>
      </c>
      <c r="Z82" s="50" t="s">
        <v>495</v>
      </c>
      <c r="AA82" s="38"/>
      <c r="AB82" s="38"/>
      <c r="AC82" s="38"/>
      <c r="AD82" s="51">
        <v>70</v>
      </c>
      <c r="AE82" s="51">
        <v>70</v>
      </c>
      <c r="AF82" s="48" t="s">
        <v>203</v>
      </c>
      <c r="AG82" s="38" t="s">
        <v>204</v>
      </c>
      <c r="AH82" s="52"/>
      <c r="AI82" s="38"/>
      <c r="AJ82" s="38"/>
    </row>
    <row r="83" spans="1:36" ht="16.2">
      <c r="A83" s="53" t="s">
        <v>420</v>
      </c>
      <c r="B83" s="53">
        <v>710199</v>
      </c>
      <c r="C83" s="53" t="s">
        <v>117</v>
      </c>
      <c r="D83" s="53">
        <v>13207677</v>
      </c>
      <c r="E83" s="54" t="s">
        <v>491</v>
      </c>
      <c r="F83" s="53" t="s">
        <v>443</v>
      </c>
      <c r="G83" s="53" t="s">
        <v>195</v>
      </c>
      <c r="H83" s="53"/>
      <c r="I83" s="53"/>
      <c r="J83" s="53">
        <v>13207677</v>
      </c>
      <c r="K83" s="53"/>
      <c r="L83" s="55">
        <v>45293</v>
      </c>
      <c r="M83" s="55">
        <v>45293</v>
      </c>
      <c r="N83" s="53" t="s">
        <v>424</v>
      </c>
      <c r="O83" s="53">
        <v>0</v>
      </c>
      <c r="P83" s="53">
        <v>20076884</v>
      </c>
      <c r="Q83" s="53" t="s">
        <v>496</v>
      </c>
      <c r="R83" s="45">
        <v>410</v>
      </c>
      <c r="S83" s="56">
        <v>0.01</v>
      </c>
      <c r="T83" s="47" t="s">
        <v>198</v>
      </c>
      <c r="U83" s="48" t="s">
        <v>199</v>
      </c>
      <c r="V83" s="38"/>
      <c r="W83" s="48" t="s">
        <v>195</v>
      </c>
      <c r="X83" s="38" t="s">
        <v>426</v>
      </c>
      <c r="Y83" s="49" t="s">
        <v>427</v>
      </c>
      <c r="Z83" s="50" t="s">
        <v>497</v>
      </c>
      <c r="AA83" s="38"/>
      <c r="AB83" s="38"/>
      <c r="AC83" s="38"/>
      <c r="AD83" s="51">
        <v>70</v>
      </c>
      <c r="AE83" s="51">
        <v>70</v>
      </c>
      <c r="AF83" s="48" t="s">
        <v>203</v>
      </c>
      <c r="AG83" s="38" t="s">
        <v>204</v>
      </c>
      <c r="AH83" s="52"/>
      <c r="AI83" s="38"/>
      <c r="AJ83" s="38"/>
    </row>
    <row r="84" spans="1:36" ht="16.2">
      <c r="A84" s="42" t="s">
        <v>420</v>
      </c>
      <c r="B84" s="42">
        <v>710199</v>
      </c>
      <c r="C84" s="42" t="s">
        <v>117</v>
      </c>
      <c r="D84" s="42">
        <v>13207677</v>
      </c>
      <c r="E84" s="43" t="s">
        <v>491</v>
      </c>
      <c r="F84" s="42" t="s">
        <v>446</v>
      </c>
      <c r="G84" s="42" t="s">
        <v>195</v>
      </c>
      <c r="H84" s="42"/>
      <c r="I84" s="42"/>
      <c r="J84" s="42">
        <v>13207677</v>
      </c>
      <c r="K84" s="42"/>
      <c r="L84" s="44">
        <v>45293</v>
      </c>
      <c r="M84" s="44">
        <v>45293</v>
      </c>
      <c r="N84" s="42" t="s">
        <v>424</v>
      </c>
      <c r="O84" s="42">
        <v>0</v>
      </c>
      <c r="P84" s="42">
        <v>20076884</v>
      </c>
      <c r="Q84" s="42" t="s">
        <v>498</v>
      </c>
      <c r="R84" s="45">
        <v>410</v>
      </c>
      <c r="S84" s="46">
        <v>0.01</v>
      </c>
      <c r="T84" s="47" t="s">
        <v>198</v>
      </c>
      <c r="U84" s="48" t="s">
        <v>199</v>
      </c>
      <c r="V84" s="38"/>
      <c r="W84" s="48" t="s">
        <v>195</v>
      </c>
      <c r="X84" s="38" t="s">
        <v>426</v>
      </c>
      <c r="Y84" s="49" t="s">
        <v>427</v>
      </c>
      <c r="Z84" s="50" t="s">
        <v>499</v>
      </c>
      <c r="AA84" s="38"/>
      <c r="AB84" s="38"/>
      <c r="AC84" s="38"/>
      <c r="AD84" s="51">
        <v>70</v>
      </c>
      <c r="AE84" s="51">
        <v>70</v>
      </c>
      <c r="AF84" s="48" t="s">
        <v>203</v>
      </c>
      <c r="AG84" s="38" t="s">
        <v>204</v>
      </c>
      <c r="AH84" s="52"/>
      <c r="AI84" s="38"/>
      <c r="AJ84" s="38"/>
    </row>
    <row r="85" spans="1:36" ht="16.2">
      <c r="A85" s="53" t="s">
        <v>420</v>
      </c>
      <c r="B85" s="53">
        <v>710199</v>
      </c>
      <c r="C85" s="53" t="s">
        <v>117</v>
      </c>
      <c r="D85" s="53">
        <v>13207677</v>
      </c>
      <c r="E85" s="54" t="s">
        <v>491</v>
      </c>
      <c r="F85" s="53" t="s">
        <v>449</v>
      </c>
      <c r="G85" s="53" t="s">
        <v>195</v>
      </c>
      <c r="H85" s="53"/>
      <c r="I85" s="53"/>
      <c r="J85" s="53">
        <v>13207677</v>
      </c>
      <c r="K85" s="53"/>
      <c r="L85" s="55">
        <v>45293</v>
      </c>
      <c r="M85" s="55">
        <v>45293</v>
      </c>
      <c r="N85" s="53" t="s">
        <v>424</v>
      </c>
      <c r="O85" s="53">
        <v>0</v>
      </c>
      <c r="P85" s="53">
        <v>20076884</v>
      </c>
      <c r="Q85" s="53" t="s">
        <v>500</v>
      </c>
      <c r="R85" s="45">
        <v>410</v>
      </c>
      <c r="S85" s="56">
        <v>0.01</v>
      </c>
      <c r="T85" s="47" t="s">
        <v>198</v>
      </c>
      <c r="U85" s="48" t="s">
        <v>199</v>
      </c>
      <c r="V85" s="38"/>
      <c r="W85" s="48" t="s">
        <v>195</v>
      </c>
      <c r="X85" s="38" t="s">
        <v>426</v>
      </c>
      <c r="Y85" s="49" t="s">
        <v>427</v>
      </c>
      <c r="Z85" s="50" t="s">
        <v>501</v>
      </c>
      <c r="AA85" s="38"/>
      <c r="AB85" s="38"/>
      <c r="AC85" s="38"/>
      <c r="AD85" s="51">
        <v>70</v>
      </c>
      <c r="AE85" s="51">
        <v>70</v>
      </c>
      <c r="AF85" s="48" t="s">
        <v>203</v>
      </c>
      <c r="AG85" s="38" t="s">
        <v>204</v>
      </c>
      <c r="AH85" s="52"/>
      <c r="AI85" s="38"/>
      <c r="AJ85" s="38"/>
    </row>
    <row r="86" spans="1:36" ht="16.2">
      <c r="A86" s="42" t="s">
        <v>420</v>
      </c>
      <c r="B86" s="42">
        <v>710199</v>
      </c>
      <c r="C86" s="42" t="s">
        <v>117</v>
      </c>
      <c r="D86" s="42">
        <v>13207677</v>
      </c>
      <c r="E86" s="43" t="s">
        <v>491</v>
      </c>
      <c r="F86" s="42" t="s">
        <v>452</v>
      </c>
      <c r="G86" s="42" t="s">
        <v>195</v>
      </c>
      <c r="H86" s="42"/>
      <c r="I86" s="42"/>
      <c r="J86" s="42">
        <v>13207677</v>
      </c>
      <c r="K86" s="42"/>
      <c r="L86" s="44">
        <v>45293</v>
      </c>
      <c r="M86" s="44">
        <v>45293</v>
      </c>
      <c r="N86" s="42" t="s">
        <v>424</v>
      </c>
      <c r="O86" s="42">
        <v>0</v>
      </c>
      <c r="P86" s="42">
        <v>20076884</v>
      </c>
      <c r="Q86" s="42" t="s">
        <v>502</v>
      </c>
      <c r="R86" s="45">
        <v>410</v>
      </c>
      <c r="S86" s="46">
        <v>0.01</v>
      </c>
      <c r="T86" s="47" t="s">
        <v>198</v>
      </c>
      <c r="U86" s="48" t="s">
        <v>199</v>
      </c>
      <c r="V86" s="38"/>
      <c r="W86" s="48" t="s">
        <v>195</v>
      </c>
      <c r="X86" s="38" t="s">
        <v>426</v>
      </c>
      <c r="Y86" s="49" t="s">
        <v>427</v>
      </c>
      <c r="Z86" s="50" t="s">
        <v>503</v>
      </c>
      <c r="AA86" s="38"/>
      <c r="AB86" s="38"/>
      <c r="AC86" s="38"/>
      <c r="AD86" s="51">
        <v>70</v>
      </c>
      <c r="AE86" s="51">
        <v>70</v>
      </c>
      <c r="AF86" s="48" t="s">
        <v>203</v>
      </c>
      <c r="AG86" s="38" t="s">
        <v>204</v>
      </c>
      <c r="AH86" s="52"/>
      <c r="AI86" s="38"/>
      <c r="AJ86" s="38"/>
    </row>
    <row r="87" spans="1:36" ht="16.2">
      <c r="A87" s="53" t="s">
        <v>420</v>
      </c>
      <c r="B87" s="53">
        <v>710199</v>
      </c>
      <c r="C87" s="53" t="s">
        <v>117</v>
      </c>
      <c r="D87" s="53">
        <v>13207677</v>
      </c>
      <c r="E87" s="54" t="s">
        <v>491</v>
      </c>
      <c r="F87" s="53" t="s">
        <v>455</v>
      </c>
      <c r="G87" s="53" t="s">
        <v>195</v>
      </c>
      <c r="H87" s="53"/>
      <c r="I87" s="53"/>
      <c r="J87" s="53">
        <v>13207677</v>
      </c>
      <c r="K87" s="53"/>
      <c r="L87" s="55">
        <v>45293</v>
      </c>
      <c r="M87" s="55">
        <v>45293</v>
      </c>
      <c r="N87" s="53" t="s">
        <v>424</v>
      </c>
      <c r="O87" s="53">
        <v>0</v>
      </c>
      <c r="P87" s="53">
        <v>20076884</v>
      </c>
      <c r="Q87" s="53" t="s">
        <v>504</v>
      </c>
      <c r="R87" s="45">
        <v>410</v>
      </c>
      <c r="S87" s="56">
        <v>0.01</v>
      </c>
      <c r="T87" s="47" t="s">
        <v>198</v>
      </c>
      <c r="U87" s="48" t="s">
        <v>199</v>
      </c>
      <c r="V87" s="38"/>
      <c r="W87" s="48" t="s">
        <v>195</v>
      </c>
      <c r="X87" s="38" t="s">
        <v>426</v>
      </c>
      <c r="Y87" s="49" t="s">
        <v>427</v>
      </c>
      <c r="Z87" s="50" t="s">
        <v>505</v>
      </c>
      <c r="AA87" s="38"/>
      <c r="AB87" s="38"/>
      <c r="AC87" s="38"/>
      <c r="AD87" s="51">
        <v>70</v>
      </c>
      <c r="AE87" s="51">
        <v>70</v>
      </c>
      <c r="AF87" s="48" t="s">
        <v>203</v>
      </c>
      <c r="AG87" s="38" t="s">
        <v>204</v>
      </c>
      <c r="AH87" s="52"/>
      <c r="AI87" s="38"/>
      <c r="AJ87" s="38"/>
    </row>
    <row r="88" spans="1:36" ht="16.2">
      <c r="A88" s="42" t="s">
        <v>420</v>
      </c>
      <c r="B88" s="42">
        <v>710199</v>
      </c>
      <c r="C88" s="42" t="s">
        <v>117</v>
      </c>
      <c r="D88" s="42">
        <v>13207677</v>
      </c>
      <c r="E88" s="43" t="s">
        <v>491</v>
      </c>
      <c r="F88" s="42" t="s">
        <v>458</v>
      </c>
      <c r="G88" s="42" t="s">
        <v>195</v>
      </c>
      <c r="H88" s="42"/>
      <c r="I88" s="42"/>
      <c r="J88" s="42">
        <v>13207677</v>
      </c>
      <c r="K88" s="42"/>
      <c r="L88" s="44">
        <v>45293</v>
      </c>
      <c r="M88" s="44">
        <v>45293</v>
      </c>
      <c r="N88" s="42" t="s">
        <v>424</v>
      </c>
      <c r="O88" s="42">
        <v>0</v>
      </c>
      <c r="P88" s="42">
        <v>20076884</v>
      </c>
      <c r="Q88" s="42" t="s">
        <v>506</v>
      </c>
      <c r="R88" s="45">
        <v>410</v>
      </c>
      <c r="S88" s="46">
        <v>0</v>
      </c>
      <c r="T88" s="47" t="s">
        <v>198</v>
      </c>
      <c r="U88" s="48" t="s">
        <v>199</v>
      </c>
      <c r="V88" s="38"/>
      <c r="W88" s="48" t="s">
        <v>195</v>
      </c>
      <c r="X88" s="38" t="s">
        <v>426</v>
      </c>
      <c r="Y88" s="49" t="s">
        <v>427</v>
      </c>
      <c r="Z88" s="50" t="s">
        <v>507</v>
      </c>
      <c r="AA88" s="38"/>
      <c r="AB88" s="38"/>
      <c r="AC88" s="38"/>
      <c r="AD88" s="51">
        <v>70</v>
      </c>
      <c r="AE88" s="51">
        <v>70</v>
      </c>
      <c r="AF88" s="48" t="s">
        <v>203</v>
      </c>
      <c r="AG88" s="38" t="s">
        <v>204</v>
      </c>
      <c r="AH88" s="52"/>
      <c r="AI88" s="38"/>
      <c r="AJ88" s="38"/>
    </row>
    <row r="89" spans="1:36" ht="16.2">
      <c r="A89" s="53" t="s">
        <v>420</v>
      </c>
      <c r="B89" s="53">
        <v>710199</v>
      </c>
      <c r="C89" s="53" t="s">
        <v>117</v>
      </c>
      <c r="D89" s="53">
        <v>13207677</v>
      </c>
      <c r="E89" s="54" t="s">
        <v>491</v>
      </c>
      <c r="F89" s="53" t="s">
        <v>461</v>
      </c>
      <c r="G89" s="53" t="s">
        <v>195</v>
      </c>
      <c r="H89" s="53"/>
      <c r="I89" s="53"/>
      <c r="J89" s="53">
        <v>13207677</v>
      </c>
      <c r="K89" s="53"/>
      <c r="L89" s="55">
        <v>45293</v>
      </c>
      <c r="M89" s="55">
        <v>45293</v>
      </c>
      <c r="N89" s="53" t="s">
        <v>424</v>
      </c>
      <c r="O89" s="53">
        <v>0</v>
      </c>
      <c r="P89" s="53">
        <v>20076884</v>
      </c>
      <c r="Q89" s="53" t="s">
        <v>508</v>
      </c>
      <c r="R89" s="45">
        <v>410</v>
      </c>
      <c r="S89" s="56">
        <v>0.01</v>
      </c>
      <c r="T89" s="47" t="s">
        <v>198</v>
      </c>
      <c r="U89" s="48" t="s">
        <v>199</v>
      </c>
      <c r="V89" s="38"/>
      <c r="W89" s="48" t="s">
        <v>195</v>
      </c>
      <c r="X89" s="38" t="s">
        <v>426</v>
      </c>
      <c r="Y89" s="49" t="s">
        <v>427</v>
      </c>
      <c r="Z89" s="50" t="s">
        <v>509</v>
      </c>
      <c r="AA89" s="38"/>
      <c r="AB89" s="38"/>
      <c r="AC89" s="38"/>
      <c r="AD89" s="51">
        <v>70</v>
      </c>
      <c r="AE89" s="51">
        <v>70</v>
      </c>
      <c r="AF89" s="48" t="s">
        <v>203</v>
      </c>
      <c r="AG89" s="38" t="s">
        <v>204</v>
      </c>
      <c r="AH89" s="52"/>
      <c r="AI89" s="38"/>
      <c r="AJ89" s="38"/>
    </row>
    <row r="90" spans="1:36" ht="16.2">
      <c r="A90" s="42" t="s">
        <v>420</v>
      </c>
      <c r="B90" s="42">
        <v>710199</v>
      </c>
      <c r="C90" s="42" t="s">
        <v>117</v>
      </c>
      <c r="D90" s="42">
        <v>13207677</v>
      </c>
      <c r="E90" s="43" t="s">
        <v>491</v>
      </c>
      <c r="F90" s="42" t="s">
        <v>464</v>
      </c>
      <c r="G90" s="42" t="s">
        <v>195</v>
      </c>
      <c r="H90" s="42"/>
      <c r="I90" s="42"/>
      <c r="J90" s="42">
        <v>13207677</v>
      </c>
      <c r="K90" s="42"/>
      <c r="L90" s="44">
        <v>45293</v>
      </c>
      <c r="M90" s="44">
        <v>45293</v>
      </c>
      <c r="N90" s="42" t="s">
        <v>424</v>
      </c>
      <c r="O90" s="42">
        <v>0</v>
      </c>
      <c r="P90" s="42">
        <v>20076884</v>
      </c>
      <c r="Q90" s="42" t="s">
        <v>510</v>
      </c>
      <c r="R90" s="45">
        <v>410</v>
      </c>
      <c r="S90" s="46">
        <v>0.01</v>
      </c>
      <c r="T90" s="47" t="s">
        <v>198</v>
      </c>
      <c r="U90" s="48" t="s">
        <v>199</v>
      </c>
      <c r="V90" s="38"/>
      <c r="W90" s="48" t="s">
        <v>195</v>
      </c>
      <c r="X90" s="38" t="s">
        <v>426</v>
      </c>
      <c r="Y90" s="49" t="s">
        <v>427</v>
      </c>
      <c r="Z90" s="50" t="s">
        <v>511</v>
      </c>
      <c r="AA90" s="38"/>
      <c r="AB90" s="38"/>
      <c r="AC90" s="38"/>
      <c r="AD90" s="51">
        <v>70</v>
      </c>
      <c r="AE90" s="51">
        <v>70</v>
      </c>
      <c r="AF90" s="48" t="s">
        <v>203</v>
      </c>
      <c r="AG90" s="38" t="s">
        <v>204</v>
      </c>
      <c r="AH90" s="52"/>
      <c r="AI90" s="38"/>
      <c r="AJ90" s="38"/>
    </row>
    <row r="91" spans="1:36" ht="16.2">
      <c r="A91" s="53" t="s">
        <v>420</v>
      </c>
      <c r="B91" s="53">
        <v>710199</v>
      </c>
      <c r="C91" s="53" t="s">
        <v>117</v>
      </c>
      <c r="D91" s="53">
        <v>13207677</v>
      </c>
      <c r="E91" s="54" t="s">
        <v>491</v>
      </c>
      <c r="F91" s="53" t="s">
        <v>467</v>
      </c>
      <c r="G91" s="53" t="s">
        <v>195</v>
      </c>
      <c r="H91" s="53"/>
      <c r="I91" s="53"/>
      <c r="J91" s="53">
        <v>13207677</v>
      </c>
      <c r="K91" s="53"/>
      <c r="L91" s="55">
        <v>45293</v>
      </c>
      <c r="M91" s="55">
        <v>45293</v>
      </c>
      <c r="N91" s="53" t="s">
        <v>424</v>
      </c>
      <c r="O91" s="53">
        <v>0</v>
      </c>
      <c r="P91" s="53">
        <v>20076884</v>
      </c>
      <c r="Q91" s="53" t="s">
        <v>512</v>
      </c>
      <c r="R91" s="45">
        <v>410</v>
      </c>
      <c r="S91" s="56">
        <v>0.01</v>
      </c>
      <c r="T91" s="47" t="s">
        <v>198</v>
      </c>
      <c r="U91" s="48" t="s">
        <v>199</v>
      </c>
      <c r="V91" s="38"/>
      <c r="W91" s="48" t="s">
        <v>195</v>
      </c>
      <c r="X91" s="38" t="s">
        <v>426</v>
      </c>
      <c r="Y91" s="49" t="s">
        <v>427</v>
      </c>
      <c r="Z91" s="50" t="s">
        <v>513</v>
      </c>
      <c r="AA91" s="38"/>
      <c r="AB91" s="38"/>
      <c r="AC91" s="38"/>
      <c r="AD91" s="51">
        <v>70</v>
      </c>
      <c r="AE91" s="51">
        <v>70</v>
      </c>
      <c r="AF91" s="48" t="s">
        <v>203</v>
      </c>
      <c r="AG91" s="38" t="s">
        <v>204</v>
      </c>
      <c r="AH91" s="52"/>
      <c r="AI91" s="38"/>
      <c r="AJ91" s="38"/>
    </row>
    <row r="92" spans="1:36" ht="16.2">
      <c r="A92" s="42" t="s">
        <v>420</v>
      </c>
      <c r="B92" s="42">
        <v>710199</v>
      </c>
      <c r="C92" s="42" t="s">
        <v>117</v>
      </c>
      <c r="D92" s="42">
        <v>13207677</v>
      </c>
      <c r="E92" s="43" t="s">
        <v>491</v>
      </c>
      <c r="F92" s="42" t="s">
        <v>470</v>
      </c>
      <c r="G92" s="42" t="s">
        <v>195</v>
      </c>
      <c r="H92" s="42"/>
      <c r="I92" s="42"/>
      <c r="J92" s="42">
        <v>13207677</v>
      </c>
      <c r="K92" s="42"/>
      <c r="L92" s="44">
        <v>45293</v>
      </c>
      <c r="M92" s="44">
        <v>45293</v>
      </c>
      <c r="N92" s="42" t="s">
        <v>424</v>
      </c>
      <c r="O92" s="42">
        <v>0</v>
      </c>
      <c r="P92" s="42">
        <v>20076884</v>
      </c>
      <c r="Q92" s="42" t="s">
        <v>514</v>
      </c>
      <c r="R92" s="45">
        <v>410</v>
      </c>
      <c r="S92" s="46">
        <v>0.01</v>
      </c>
      <c r="T92" s="47" t="s">
        <v>198</v>
      </c>
      <c r="U92" s="48" t="s">
        <v>199</v>
      </c>
      <c r="V92" s="38"/>
      <c r="W92" s="48" t="s">
        <v>195</v>
      </c>
      <c r="X92" s="38" t="s">
        <v>426</v>
      </c>
      <c r="Y92" s="49" t="s">
        <v>427</v>
      </c>
      <c r="Z92" s="50" t="s">
        <v>515</v>
      </c>
      <c r="AA92" s="38"/>
      <c r="AB92" s="38"/>
      <c r="AC92" s="38"/>
      <c r="AD92" s="51">
        <v>70</v>
      </c>
      <c r="AE92" s="51">
        <v>70</v>
      </c>
      <c r="AF92" s="48" t="s">
        <v>203</v>
      </c>
      <c r="AG92" s="38" t="s">
        <v>204</v>
      </c>
      <c r="AH92" s="52"/>
      <c r="AI92" s="38"/>
      <c r="AJ92" s="38"/>
    </row>
    <row r="93" spans="1:36" ht="16.2">
      <c r="A93" s="53" t="s">
        <v>420</v>
      </c>
      <c r="B93" s="53">
        <v>710199</v>
      </c>
      <c r="C93" s="53" t="s">
        <v>117</v>
      </c>
      <c r="D93" s="53">
        <v>13207677</v>
      </c>
      <c r="E93" s="54" t="s">
        <v>491</v>
      </c>
      <c r="F93" s="53" t="s">
        <v>516</v>
      </c>
      <c r="G93" s="53" t="s">
        <v>195</v>
      </c>
      <c r="H93" s="53"/>
      <c r="I93" s="53"/>
      <c r="J93" s="53">
        <v>13207677</v>
      </c>
      <c r="K93" s="53"/>
      <c r="L93" s="55">
        <v>45293</v>
      </c>
      <c r="M93" s="55">
        <v>45293</v>
      </c>
      <c r="N93" s="53" t="s">
        <v>424</v>
      </c>
      <c r="O93" s="53">
        <v>0</v>
      </c>
      <c r="P93" s="53">
        <v>20076884</v>
      </c>
      <c r="Q93" s="53" t="s">
        <v>517</v>
      </c>
      <c r="R93" s="45">
        <v>410</v>
      </c>
      <c r="S93" s="56">
        <v>0.01</v>
      </c>
      <c r="T93" s="47" t="s">
        <v>198</v>
      </c>
      <c r="U93" s="48" t="s">
        <v>199</v>
      </c>
      <c r="V93" s="38"/>
      <c r="W93" s="48" t="s">
        <v>195</v>
      </c>
      <c r="X93" s="38" t="s">
        <v>426</v>
      </c>
      <c r="Y93" s="49" t="s">
        <v>427</v>
      </c>
      <c r="Z93" s="50" t="s">
        <v>518</v>
      </c>
      <c r="AA93" s="38"/>
      <c r="AB93" s="38"/>
      <c r="AC93" s="38"/>
      <c r="AD93" s="51">
        <v>70</v>
      </c>
      <c r="AE93" s="51">
        <v>70</v>
      </c>
      <c r="AF93" s="48" t="s">
        <v>203</v>
      </c>
      <c r="AG93" s="38" t="s">
        <v>204</v>
      </c>
      <c r="AH93" s="52"/>
      <c r="AI93" s="38"/>
      <c r="AJ93" s="38"/>
    </row>
    <row r="94" spans="1:36" ht="16.2">
      <c r="A94" s="42" t="s">
        <v>420</v>
      </c>
      <c r="B94" s="42">
        <v>710199</v>
      </c>
      <c r="C94" s="42" t="s">
        <v>117</v>
      </c>
      <c r="D94" s="42">
        <v>13207677</v>
      </c>
      <c r="E94" s="43" t="s">
        <v>491</v>
      </c>
      <c r="F94" s="42" t="s">
        <v>476</v>
      </c>
      <c r="G94" s="42" t="s">
        <v>195</v>
      </c>
      <c r="H94" s="42"/>
      <c r="I94" s="42"/>
      <c r="J94" s="42">
        <v>13207677</v>
      </c>
      <c r="K94" s="42"/>
      <c r="L94" s="44">
        <v>45293</v>
      </c>
      <c r="M94" s="44">
        <v>45293</v>
      </c>
      <c r="N94" s="42" t="s">
        <v>424</v>
      </c>
      <c r="O94" s="42">
        <v>0</v>
      </c>
      <c r="P94" s="42">
        <v>20076884</v>
      </c>
      <c r="Q94" s="42" t="s">
        <v>519</v>
      </c>
      <c r="R94" s="45">
        <v>410</v>
      </c>
      <c r="S94" s="46">
        <v>0.01</v>
      </c>
      <c r="T94" s="47" t="s">
        <v>198</v>
      </c>
      <c r="U94" s="48" t="s">
        <v>199</v>
      </c>
      <c r="V94" s="38"/>
      <c r="W94" s="48" t="s">
        <v>195</v>
      </c>
      <c r="X94" s="38" t="s">
        <v>426</v>
      </c>
      <c r="Y94" s="49" t="s">
        <v>427</v>
      </c>
      <c r="Z94" s="50" t="s">
        <v>520</v>
      </c>
      <c r="AA94" s="38"/>
      <c r="AB94" s="38"/>
      <c r="AC94" s="38"/>
      <c r="AD94" s="51">
        <v>70</v>
      </c>
      <c r="AE94" s="51">
        <v>70</v>
      </c>
      <c r="AF94" s="48" t="s">
        <v>203</v>
      </c>
      <c r="AG94" s="38" t="s">
        <v>204</v>
      </c>
      <c r="AH94" s="52"/>
      <c r="AI94" s="38"/>
      <c r="AJ94" s="38"/>
    </row>
    <row r="95" spans="1:36" ht="16.2">
      <c r="A95" s="53" t="s">
        <v>420</v>
      </c>
      <c r="B95" s="53">
        <v>710199</v>
      </c>
      <c r="C95" s="53" t="s">
        <v>117</v>
      </c>
      <c r="D95" s="53">
        <v>13207677</v>
      </c>
      <c r="E95" s="54" t="s">
        <v>491</v>
      </c>
      <c r="F95" s="53" t="s">
        <v>479</v>
      </c>
      <c r="G95" s="53" t="s">
        <v>195</v>
      </c>
      <c r="H95" s="53"/>
      <c r="I95" s="53"/>
      <c r="J95" s="53">
        <v>13207677</v>
      </c>
      <c r="K95" s="53"/>
      <c r="L95" s="55">
        <v>45293</v>
      </c>
      <c r="M95" s="55">
        <v>45293</v>
      </c>
      <c r="N95" s="53" t="s">
        <v>424</v>
      </c>
      <c r="O95" s="53">
        <v>0</v>
      </c>
      <c r="P95" s="53">
        <v>20076884</v>
      </c>
      <c r="Q95" s="53" t="s">
        <v>521</v>
      </c>
      <c r="R95" s="45">
        <v>410</v>
      </c>
      <c r="S95" s="56">
        <v>0.01</v>
      </c>
      <c r="T95" s="47" t="s">
        <v>198</v>
      </c>
      <c r="U95" s="48" t="s">
        <v>199</v>
      </c>
      <c r="V95" s="38"/>
      <c r="W95" s="48" t="s">
        <v>195</v>
      </c>
      <c r="X95" s="38" t="s">
        <v>426</v>
      </c>
      <c r="Y95" s="49" t="s">
        <v>427</v>
      </c>
      <c r="Z95" s="50" t="s">
        <v>522</v>
      </c>
      <c r="AA95" s="38"/>
      <c r="AB95" s="38"/>
      <c r="AC95" s="38"/>
      <c r="AD95" s="51">
        <v>70</v>
      </c>
      <c r="AE95" s="51">
        <v>70</v>
      </c>
      <c r="AF95" s="48" t="s">
        <v>203</v>
      </c>
      <c r="AG95" s="38" t="s">
        <v>204</v>
      </c>
      <c r="AH95" s="52"/>
      <c r="AI95" s="38"/>
      <c r="AJ95" s="38"/>
    </row>
    <row r="96" spans="1:36" ht="16.2">
      <c r="A96" s="42" t="s">
        <v>420</v>
      </c>
      <c r="B96" s="42">
        <v>710199</v>
      </c>
      <c r="C96" s="42" t="s">
        <v>117</v>
      </c>
      <c r="D96" s="42">
        <v>13207677</v>
      </c>
      <c r="E96" s="43" t="s">
        <v>491</v>
      </c>
      <c r="F96" s="42" t="s">
        <v>482</v>
      </c>
      <c r="G96" s="42" t="s">
        <v>195</v>
      </c>
      <c r="H96" s="42"/>
      <c r="I96" s="42"/>
      <c r="J96" s="42">
        <v>13207677</v>
      </c>
      <c r="K96" s="42"/>
      <c r="L96" s="44">
        <v>45293</v>
      </c>
      <c r="M96" s="44">
        <v>45293</v>
      </c>
      <c r="N96" s="42" t="s">
        <v>424</v>
      </c>
      <c r="O96" s="42">
        <v>0</v>
      </c>
      <c r="P96" s="42">
        <v>20076884</v>
      </c>
      <c r="Q96" s="42" t="s">
        <v>523</v>
      </c>
      <c r="R96" s="45">
        <v>410</v>
      </c>
      <c r="S96" s="46">
        <v>0.01</v>
      </c>
      <c r="T96" s="47" t="s">
        <v>198</v>
      </c>
      <c r="U96" s="48" t="s">
        <v>199</v>
      </c>
      <c r="V96" s="38"/>
      <c r="W96" s="48" t="s">
        <v>195</v>
      </c>
      <c r="X96" s="38" t="s">
        <v>426</v>
      </c>
      <c r="Y96" s="49" t="s">
        <v>427</v>
      </c>
      <c r="Z96" s="50" t="s">
        <v>524</v>
      </c>
      <c r="AA96" s="38"/>
      <c r="AB96" s="38"/>
      <c r="AC96" s="38"/>
      <c r="AD96" s="51">
        <v>70</v>
      </c>
      <c r="AE96" s="51">
        <v>70</v>
      </c>
      <c r="AF96" s="48" t="s">
        <v>203</v>
      </c>
      <c r="AG96" s="38" t="s">
        <v>204</v>
      </c>
      <c r="AH96" s="52"/>
      <c r="AI96" s="38"/>
      <c r="AJ96" s="38"/>
    </row>
    <row r="97" spans="1:36" ht="16.2">
      <c r="A97" s="53" t="s">
        <v>420</v>
      </c>
      <c r="B97" s="53">
        <v>710199</v>
      </c>
      <c r="C97" s="53" t="s">
        <v>117</v>
      </c>
      <c r="D97" s="53">
        <v>13207677</v>
      </c>
      <c r="E97" s="54" t="s">
        <v>491</v>
      </c>
      <c r="F97" s="53" t="s">
        <v>525</v>
      </c>
      <c r="G97" s="53" t="s">
        <v>195</v>
      </c>
      <c r="H97" s="53"/>
      <c r="I97" s="53"/>
      <c r="J97" s="53">
        <v>13207677</v>
      </c>
      <c r="K97" s="53"/>
      <c r="L97" s="55">
        <v>45293</v>
      </c>
      <c r="M97" s="55">
        <v>45293</v>
      </c>
      <c r="N97" s="53" t="s">
        <v>424</v>
      </c>
      <c r="O97" s="53">
        <v>0</v>
      </c>
      <c r="P97" s="53">
        <v>20076884</v>
      </c>
      <c r="Q97" s="53" t="s">
        <v>526</v>
      </c>
      <c r="R97" s="45">
        <v>410</v>
      </c>
      <c r="S97" s="56">
        <v>0.01</v>
      </c>
      <c r="T97" s="47" t="s">
        <v>198</v>
      </c>
      <c r="U97" s="48" t="s">
        <v>199</v>
      </c>
      <c r="V97" s="38"/>
      <c r="W97" s="48" t="s">
        <v>195</v>
      </c>
      <c r="X97" s="38" t="s">
        <v>426</v>
      </c>
      <c r="Y97" s="49" t="s">
        <v>427</v>
      </c>
      <c r="Z97" s="50" t="s">
        <v>527</v>
      </c>
      <c r="AA97" s="38"/>
      <c r="AB97" s="38"/>
      <c r="AC97" s="38"/>
      <c r="AD97" s="51">
        <v>70</v>
      </c>
      <c r="AE97" s="51">
        <v>70</v>
      </c>
      <c r="AF97" s="48" t="s">
        <v>203</v>
      </c>
      <c r="AG97" s="38" t="s">
        <v>204</v>
      </c>
      <c r="AH97" s="52"/>
      <c r="AI97" s="38"/>
      <c r="AJ97" s="38"/>
    </row>
    <row r="98" spans="1:36" ht="16.2">
      <c r="A98" s="42" t="s">
        <v>420</v>
      </c>
      <c r="B98" s="42">
        <v>710199</v>
      </c>
      <c r="C98" s="42" t="s">
        <v>117</v>
      </c>
      <c r="D98" s="42">
        <v>13207677</v>
      </c>
      <c r="E98" s="43" t="s">
        <v>491</v>
      </c>
      <c r="F98" s="42" t="s">
        <v>485</v>
      </c>
      <c r="G98" s="42" t="s">
        <v>195</v>
      </c>
      <c r="H98" s="42"/>
      <c r="I98" s="42"/>
      <c r="J98" s="42">
        <v>13207677</v>
      </c>
      <c r="K98" s="42"/>
      <c r="L98" s="44">
        <v>45293</v>
      </c>
      <c r="M98" s="44">
        <v>45293</v>
      </c>
      <c r="N98" s="42" t="s">
        <v>424</v>
      </c>
      <c r="O98" s="46">
        <v>0</v>
      </c>
      <c r="P98" s="42">
        <v>20076884</v>
      </c>
      <c r="Q98" s="42" t="s">
        <v>528</v>
      </c>
      <c r="R98" s="45">
        <v>410</v>
      </c>
      <c r="S98" s="46">
        <v>0</v>
      </c>
      <c r="T98" s="47" t="s">
        <v>198</v>
      </c>
      <c r="U98" s="48" t="s">
        <v>199</v>
      </c>
      <c r="V98" s="38"/>
      <c r="W98" s="48" t="s">
        <v>195</v>
      </c>
      <c r="X98" s="38" t="s">
        <v>426</v>
      </c>
      <c r="Y98" s="49" t="s">
        <v>427</v>
      </c>
      <c r="Z98" s="50" t="s">
        <v>529</v>
      </c>
      <c r="AA98" s="38"/>
      <c r="AB98" s="38"/>
      <c r="AC98" s="38"/>
      <c r="AD98" s="51">
        <v>70</v>
      </c>
      <c r="AE98" s="51">
        <v>70</v>
      </c>
      <c r="AF98" s="48" t="s">
        <v>203</v>
      </c>
      <c r="AG98" s="38" t="s">
        <v>204</v>
      </c>
      <c r="AH98" s="52"/>
      <c r="AI98" s="38"/>
      <c r="AJ98" s="38"/>
    </row>
    <row r="99" spans="1:36" ht="16.2">
      <c r="A99" s="53" t="s">
        <v>420</v>
      </c>
      <c r="B99" s="53">
        <v>710199</v>
      </c>
      <c r="C99" s="53" t="s">
        <v>117</v>
      </c>
      <c r="D99" s="53">
        <v>13207677</v>
      </c>
      <c r="E99" s="54" t="s">
        <v>491</v>
      </c>
      <c r="F99" s="53" t="s">
        <v>488</v>
      </c>
      <c r="G99" s="53" t="s">
        <v>195</v>
      </c>
      <c r="H99" s="53"/>
      <c r="I99" s="53"/>
      <c r="J99" s="53">
        <v>13207677</v>
      </c>
      <c r="K99" s="53"/>
      <c r="L99" s="55">
        <v>45293</v>
      </c>
      <c r="M99" s="55">
        <v>45293</v>
      </c>
      <c r="N99" s="53" t="s">
        <v>424</v>
      </c>
      <c r="O99" s="56">
        <v>0.01</v>
      </c>
      <c r="P99" s="53">
        <v>20076884</v>
      </c>
      <c r="Q99" s="53" t="s">
        <v>530</v>
      </c>
      <c r="R99" s="45">
        <v>410</v>
      </c>
      <c r="S99" s="56">
        <v>0.01</v>
      </c>
      <c r="T99" s="47" t="s">
        <v>198</v>
      </c>
      <c r="U99" s="48" t="s">
        <v>199</v>
      </c>
      <c r="V99" s="38"/>
      <c r="W99" s="48" t="s">
        <v>195</v>
      </c>
      <c r="X99" s="38" t="s">
        <v>426</v>
      </c>
      <c r="Y99" s="49" t="s">
        <v>427</v>
      </c>
      <c r="Z99" s="50" t="s">
        <v>531</v>
      </c>
      <c r="AA99" s="38"/>
      <c r="AB99" s="38"/>
      <c r="AC99" s="38"/>
      <c r="AD99" s="51">
        <v>70</v>
      </c>
      <c r="AE99" s="51">
        <v>70</v>
      </c>
      <c r="AF99" s="48" t="s">
        <v>203</v>
      </c>
      <c r="AG99" s="38" t="s">
        <v>204</v>
      </c>
      <c r="AH99" s="52"/>
      <c r="AI99" s="38"/>
      <c r="AJ99" s="38"/>
    </row>
    <row r="100" spans="1:36" ht="16.2">
      <c r="A100" s="42" t="s">
        <v>324</v>
      </c>
      <c r="B100" s="42">
        <v>70948903</v>
      </c>
      <c r="C100" s="42" t="s">
        <v>532</v>
      </c>
      <c r="D100" s="42">
        <v>13207535</v>
      </c>
      <c r="E100" s="43" t="s">
        <v>533</v>
      </c>
      <c r="F100" s="42" t="s">
        <v>534</v>
      </c>
      <c r="G100" s="42" t="s">
        <v>195</v>
      </c>
      <c r="H100" s="42" t="s">
        <v>535</v>
      </c>
      <c r="I100" s="42"/>
      <c r="J100" s="42">
        <v>13207535</v>
      </c>
      <c r="K100" s="42"/>
      <c r="L100" s="44">
        <v>45293</v>
      </c>
      <c r="M100" s="44">
        <v>45293</v>
      </c>
      <c r="N100" s="42" t="s">
        <v>328</v>
      </c>
      <c r="O100" s="46">
        <v>0.01</v>
      </c>
      <c r="P100" s="42">
        <v>94539966</v>
      </c>
      <c r="Q100" s="42" t="s">
        <v>536</v>
      </c>
      <c r="R100" s="45">
        <v>410</v>
      </c>
      <c r="S100" s="46">
        <v>0.01</v>
      </c>
      <c r="T100" s="47" t="s">
        <v>198</v>
      </c>
      <c r="U100" s="48" t="s">
        <v>199</v>
      </c>
      <c r="V100" s="38"/>
      <c r="W100" s="48" t="s">
        <v>195</v>
      </c>
      <c r="X100" s="38" t="s">
        <v>308</v>
      </c>
      <c r="Y100" s="49" t="s">
        <v>309</v>
      </c>
      <c r="Z100" s="50" t="s">
        <v>537</v>
      </c>
      <c r="AA100" s="47" t="s">
        <v>538</v>
      </c>
      <c r="AB100" s="47" t="s">
        <v>539</v>
      </c>
      <c r="AC100" s="38"/>
      <c r="AD100" s="51">
        <v>19</v>
      </c>
      <c r="AE100" s="51">
        <v>19</v>
      </c>
      <c r="AF100" s="48" t="s">
        <v>203</v>
      </c>
      <c r="AG100" s="38" t="s">
        <v>204</v>
      </c>
      <c r="AH100" s="52"/>
      <c r="AI100" s="38"/>
      <c r="AJ100" s="38"/>
    </row>
    <row r="101" spans="1:36" ht="16.2">
      <c r="A101" s="53" t="s">
        <v>324</v>
      </c>
      <c r="B101" s="53">
        <v>70948904</v>
      </c>
      <c r="C101" s="53" t="s">
        <v>532</v>
      </c>
      <c r="D101" s="53">
        <v>13207536</v>
      </c>
      <c r="E101" s="54" t="s">
        <v>533</v>
      </c>
      <c r="F101" s="53" t="s">
        <v>540</v>
      </c>
      <c r="G101" s="53" t="s">
        <v>195</v>
      </c>
      <c r="H101" s="53" t="s">
        <v>541</v>
      </c>
      <c r="I101" s="53"/>
      <c r="J101" s="53">
        <v>13207536</v>
      </c>
      <c r="K101" s="53"/>
      <c r="L101" s="55">
        <v>45293</v>
      </c>
      <c r="M101" s="55">
        <v>45293</v>
      </c>
      <c r="N101" s="53" t="s">
        <v>328</v>
      </c>
      <c r="O101" s="53">
        <v>0</v>
      </c>
      <c r="P101" s="53">
        <v>94539966</v>
      </c>
      <c r="Q101" s="53" t="s">
        <v>542</v>
      </c>
      <c r="R101" s="45">
        <v>410</v>
      </c>
      <c r="S101" s="56">
        <v>0.01</v>
      </c>
      <c r="T101" s="47" t="s">
        <v>198</v>
      </c>
      <c r="U101" s="48" t="s">
        <v>199</v>
      </c>
      <c r="V101" s="38"/>
      <c r="W101" s="48" t="s">
        <v>195</v>
      </c>
      <c r="X101" s="38" t="s">
        <v>308</v>
      </c>
      <c r="Y101" s="49" t="s">
        <v>309</v>
      </c>
      <c r="Z101" s="50" t="s">
        <v>543</v>
      </c>
      <c r="AA101" s="47" t="s">
        <v>544</v>
      </c>
      <c r="AB101" s="47" t="s">
        <v>545</v>
      </c>
      <c r="AC101" s="38"/>
      <c r="AD101" s="51">
        <v>19</v>
      </c>
      <c r="AE101" s="51">
        <v>19</v>
      </c>
      <c r="AF101" s="48" t="s">
        <v>203</v>
      </c>
      <c r="AG101" s="38" t="s">
        <v>204</v>
      </c>
      <c r="AH101" s="52"/>
      <c r="AI101" s="38"/>
      <c r="AJ101" s="38"/>
    </row>
    <row r="102" spans="1:36" ht="16.2">
      <c r="A102" s="42" t="s">
        <v>324</v>
      </c>
      <c r="B102" s="42">
        <v>70948907</v>
      </c>
      <c r="C102" s="42" t="s">
        <v>546</v>
      </c>
      <c r="D102" s="42">
        <v>13207539</v>
      </c>
      <c r="E102" s="43" t="s">
        <v>547</v>
      </c>
      <c r="F102" s="42" t="s">
        <v>548</v>
      </c>
      <c r="G102" s="42" t="s">
        <v>195</v>
      </c>
      <c r="H102" s="42" t="s">
        <v>549</v>
      </c>
      <c r="I102" s="42"/>
      <c r="J102" s="42">
        <v>13207539</v>
      </c>
      <c r="K102" s="42"/>
      <c r="L102" s="44">
        <v>45293</v>
      </c>
      <c r="M102" s="44">
        <v>45293</v>
      </c>
      <c r="N102" s="42" t="s">
        <v>328</v>
      </c>
      <c r="O102" s="42">
        <v>0</v>
      </c>
      <c r="P102" s="42">
        <v>94539966</v>
      </c>
      <c r="Q102" s="42" t="s">
        <v>550</v>
      </c>
      <c r="R102" s="45">
        <v>410</v>
      </c>
      <c r="S102" s="46">
        <v>0.01</v>
      </c>
      <c r="T102" s="47" t="s">
        <v>198</v>
      </c>
      <c r="U102" s="48" t="s">
        <v>199</v>
      </c>
      <c r="V102" s="38"/>
      <c r="W102" s="48" t="s">
        <v>195</v>
      </c>
      <c r="X102" s="38" t="s">
        <v>308</v>
      </c>
      <c r="Y102" s="49" t="s">
        <v>309</v>
      </c>
      <c r="Z102" s="50" t="s">
        <v>551</v>
      </c>
      <c r="AA102" s="47" t="s">
        <v>552</v>
      </c>
      <c r="AB102" s="47" t="s">
        <v>553</v>
      </c>
      <c r="AC102" s="38"/>
      <c r="AD102" s="51">
        <v>19</v>
      </c>
      <c r="AE102" s="51">
        <v>19</v>
      </c>
      <c r="AF102" s="48" t="s">
        <v>203</v>
      </c>
      <c r="AG102" s="38" t="s">
        <v>204</v>
      </c>
      <c r="AH102" s="52"/>
      <c r="AI102" s="38"/>
      <c r="AJ102" s="38"/>
    </row>
    <row r="103" spans="1:36" ht="16.2">
      <c r="A103" s="53" t="s">
        <v>324</v>
      </c>
      <c r="B103" s="53">
        <v>70948905</v>
      </c>
      <c r="C103" s="53" t="s">
        <v>546</v>
      </c>
      <c r="D103" s="53">
        <v>13207537</v>
      </c>
      <c r="E103" s="54" t="s">
        <v>547</v>
      </c>
      <c r="F103" s="53" t="s">
        <v>554</v>
      </c>
      <c r="G103" s="53" t="s">
        <v>195</v>
      </c>
      <c r="H103" s="53"/>
      <c r="I103" s="53"/>
      <c r="J103" s="53">
        <v>13207537</v>
      </c>
      <c r="K103" s="53"/>
      <c r="L103" s="55">
        <v>45293</v>
      </c>
      <c r="M103" s="55">
        <v>45293</v>
      </c>
      <c r="N103" s="53" t="s">
        <v>328</v>
      </c>
      <c r="O103" s="53">
        <v>0</v>
      </c>
      <c r="P103" s="53">
        <v>94539966</v>
      </c>
      <c r="Q103" s="53" t="s">
        <v>555</v>
      </c>
      <c r="R103" s="45">
        <v>410</v>
      </c>
      <c r="S103" s="56">
        <v>0.01</v>
      </c>
      <c r="T103" s="47" t="s">
        <v>198</v>
      </c>
      <c r="U103" s="48" t="s">
        <v>199</v>
      </c>
      <c r="V103" s="38"/>
      <c r="W103" s="48" t="s">
        <v>195</v>
      </c>
      <c r="X103" s="38" t="s">
        <v>308</v>
      </c>
      <c r="Y103" s="49" t="s">
        <v>309</v>
      </c>
      <c r="Z103" s="50" t="s">
        <v>556</v>
      </c>
      <c r="AA103" s="38"/>
      <c r="AB103" s="38"/>
      <c r="AC103" s="38"/>
      <c r="AD103" s="51">
        <v>19</v>
      </c>
      <c r="AE103" s="51">
        <v>19</v>
      </c>
      <c r="AF103" s="48" t="s">
        <v>203</v>
      </c>
      <c r="AG103" s="38" t="s">
        <v>204</v>
      </c>
      <c r="AH103" s="52"/>
      <c r="AI103" s="38"/>
      <c r="AJ103" s="38"/>
    </row>
    <row r="104" spans="1:36" ht="16.2">
      <c r="A104" s="42" t="s">
        <v>324</v>
      </c>
      <c r="B104" s="42">
        <v>70948906</v>
      </c>
      <c r="C104" s="42" t="s">
        <v>546</v>
      </c>
      <c r="D104" s="42">
        <v>13207538</v>
      </c>
      <c r="E104" s="43" t="s">
        <v>547</v>
      </c>
      <c r="F104" s="42" t="s">
        <v>557</v>
      </c>
      <c r="G104" s="42" t="s">
        <v>195</v>
      </c>
      <c r="H104" s="42"/>
      <c r="I104" s="42"/>
      <c r="J104" s="42">
        <v>13207538</v>
      </c>
      <c r="K104" s="42"/>
      <c r="L104" s="44">
        <v>45293</v>
      </c>
      <c r="M104" s="44">
        <v>45293</v>
      </c>
      <c r="N104" s="42" t="s">
        <v>328</v>
      </c>
      <c r="O104" s="42">
        <v>0</v>
      </c>
      <c r="P104" s="42">
        <v>94539966</v>
      </c>
      <c r="Q104" s="42" t="s">
        <v>558</v>
      </c>
      <c r="R104" s="45">
        <v>410</v>
      </c>
      <c r="S104" s="46">
        <v>0.01</v>
      </c>
      <c r="T104" s="47" t="s">
        <v>198</v>
      </c>
      <c r="U104" s="48" t="s">
        <v>199</v>
      </c>
      <c r="V104" s="38"/>
      <c r="W104" s="48" t="s">
        <v>195</v>
      </c>
      <c r="X104" s="38" t="s">
        <v>308</v>
      </c>
      <c r="Y104" s="49" t="s">
        <v>309</v>
      </c>
      <c r="Z104" s="50" t="s">
        <v>559</v>
      </c>
      <c r="AA104" s="38"/>
      <c r="AB104" s="38"/>
      <c r="AC104" s="38"/>
      <c r="AD104" s="51">
        <v>19</v>
      </c>
      <c r="AE104" s="51">
        <v>19</v>
      </c>
      <c r="AF104" s="48" t="s">
        <v>203</v>
      </c>
      <c r="AG104" s="38" t="s">
        <v>204</v>
      </c>
      <c r="AH104" s="52"/>
      <c r="AI104" s="38"/>
      <c r="AJ104" s="38"/>
    </row>
    <row r="105" spans="1:36" ht="16.2">
      <c r="A105" s="53" t="s">
        <v>324</v>
      </c>
      <c r="B105" s="53">
        <v>70948908</v>
      </c>
      <c r="C105" s="53" t="s">
        <v>546</v>
      </c>
      <c r="D105" s="53">
        <v>13207540</v>
      </c>
      <c r="E105" s="54" t="s">
        <v>547</v>
      </c>
      <c r="F105" s="53" t="s">
        <v>560</v>
      </c>
      <c r="G105" s="53" t="s">
        <v>195</v>
      </c>
      <c r="H105" s="53"/>
      <c r="I105" s="53"/>
      <c r="J105" s="53">
        <v>13207540</v>
      </c>
      <c r="K105" s="53"/>
      <c r="L105" s="55">
        <v>45293</v>
      </c>
      <c r="M105" s="55">
        <v>45293</v>
      </c>
      <c r="N105" s="53" t="s">
        <v>328</v>
      </c>
      <c r="O105" s="53">
        <v>0</v>
      </c>
      <c r="P105" s="53">
        <v>94539966</v>
      </c>
      <c r="Q105" s="53" t="s">
        <v>561</v>
      </c>
      <c r="R105" s="45">
        <v>410</v>
      </c>
      <c r="S105" s="56">
        <v>0.01</v>
      </c>
      <c r="T105" s="47" t="s">
        <v>198</v>
      </c>
      <c r="U105" s="48" t="s">
        <v>199</v>
      </c>
      <c r="V105" s="38"/>
      <c r="W105" s="48" t="s">
        <v>195</v>
      </c>
      <c r="X105" s="38" t="s">
        <v>308</v>
      </c>
      <c r="Y105" s="49" t="s">
        <v>309</v>
      </c>
      <c r="Z105" s="50" t="s">
        <v>562</v>
      </c>
      <c r="AA105" s="38"/>
      <c r="AB105" s="38"/>
      <c r="AC105" s="38"/>
      <c r="AD105" s="51">
        <v>19</v>
      </c>
      <c r="AE105" s="51">
        <v>19</v>
      </c>
      <c r="AF105" s="48" t="s">
        <v>203</v>
      </c>
      <c r="AG105" s="38" t="s">
        <v>204</v>
      </c>
      <c r="AH105" s="52"/>
      <c r="AI105" s="38"/>
      <c r="AJ105" s="38"/>
    </row>
    <row r="106" spans="1:36" ht="16.2">
      <c r="A106" s="42" t="s">
        <v>324</v>
      </c>
      <c r="B106" s="42">
        <v>70948913</v>
      </c>
      <c r="C106" s="42" t="s">
        <v>563</v>
      </c>
      <c r="D106" s="42">
        <v>13207543</v>
      </c>
      <c r="E106" s="43" t="s">
        <v>564</v>
      </c>
      <c r="F106" s="42" t="s">
        <v>565</v>
      </c>
      <c r="G106" s="42" t="s">
        <v>195</v>
      </c>
      <c r="H106" s="42"/>
      <c r="I106" s="42"/>
      <c r="J106" s="42">
        <v>13207543</v>
      </c>
      <c r="K106" s="42"/>
      <c r="L106" s="44">
        <v>45293</v>
      </c>
      <c r="M106" s="44">
        <v>45293</v>
      </c>
      <c r="N106" s="42" t="s">
        <v>328</v>
      </c>
      <c r="O106" s="42">
        <v>0</v>
      </c>
      <c r="P106" s="42">
        <v>94539966</v>
      </c>
      <c r="Q106" s="42" t="s">
        <v>566</v>
      </c>
      <c r="R106" s="45">
        <v>410</v>
      </c>
      <c r="S106" s="46">
        <v>0.01</v>
      </c>
      <c r="T106" s="47" t="s">
        <v>198</v>
      </c>
      <c r="U106" s="48" t="s">
        <v>199</v>
      </c>
      <c r="V106" s="38"/>
      <c r="W106" s="48" t="s">
        <v>195</v>
      </c>
      <c r="X106" s="38" t="s">
        <v>308</v>
      </c>
      <c r="Y106" s="49" t="s">
        <v>309</v>
      </c>
      <c r="Z106" s="50" t="s">
        <v>567</v>
      </c>
      <c r="AA106" s="38"/>
      <c r="AB106" s="38"/>
      <c r="AC106" s="38"/>
      <c r="AD106" s="51">
        <v>19</v>
      </c>
      <c r="AE106" s="51">
        <v>19</v>
      </c>
      <c r="AF106" s="48" t="s">
        <v>203</v>
      </c>
      <c r="AG106" s="38" t="s">
        <v>204</v>
      </c>
      <c r="AH106" s="52"/>
      <c r="AI106" s="38"/>
      <c r="AJ106" s="38"/>
    </row>
    <row r="107" spans="1:36" ht="16.2">
      <c r="A107" s="53" t="s">
        <v>324</v>
      </c>
      <c r="B107" s="53">
        <v>70948914</v>
      </c>
      <c r="C107" s="53" t="s">
        <v>563</v>
      </c>
      <c r="D107" s="53">
        <v>13207544</v>
      </c>
      <c r="E107" s="54" t="s">
        <v>564</v>
      </c>
      <c r="F107" s="53" t="s">
        <v>568</v>
      </c>
      <c r="G107" s="53" t="s">
        <v>195</v>
      </c>
      <c r="H107" s="53"/>
      <c r="I107" s="53"/>
      <c r="J107" s="53">
        <v>13207544</v>
      </c>
      <c r="K107" s="53"/>
      <c r="L107" s="55">
        <v>45293</v>
      </c>
      <c r="M107" s="55">
        <v>45293</v>
      </c>
      <c r="N107" s="53" t="s">
        <v>328</v>
      </c>
      <c r="O107" s="56">
        <v>0</v>
      </c>
      <c r="P107" s="53">
        <v>94539966</v>
      </c>
      <c r="Q107" s="53" t="s">
        <v>569</v>
      </c>
      <c r="R107" s="45">
        <v>410</v>
      </c>
      <c r="S107" s="56">
        <v>0.01</v>
      </c>
      <c r="T107" s="47" t="s">
        <v>198</v>
      </c>
      <c r="U107" s="48" t="s">
        <v>199</v>
      </c>
      <c r="V107" s="38"/>
      <c r="W107" s="48" t="s">
        <v>195</v>
      </c>
      <c r="X107" s="38" t="s">
        <v>308</v>
      </c>
      <c r="Y107" s="49" t="s">
        <v>309</v>
      </c>
      <c r="Z107" s="50" t="s">
        <v>570</v>
      </c>
      <c r="AA107" s="38"/>
      <c r="AB107" s="38"/>
      <c r="AC107" s="38"/>
      <c r="AD107" s="51">
        <v>19</v>
      </c>
      <c r="AE107" s="51">
        <v>19</v>
      </c>
      <c r="AF107" s="48" t="s">
        <v>203</v>
      </c>
      <c r="AG107" s="38" t="s">
        <v>204</v>
      </c>
      <c r="AH107" s="52"/>
      <c r="AI107" s="38"/>
      <c r="AJ107" s="38"/>
    </row>
    <row r="108" spans="1:36" ht="16.2">
      <c r="A108" s="42" t="s">
        <v>571</v>
      </c>
      <c r="B108" s="42">
        <v>70948930</v>
      </c>
      <c r="C108" s="42" t="s">
        <v>572</v>
      </c>
      <c r="D108" s="42">
        <v>13207541</v>
      </c>
      <c r="E108" s="43" t="s">
        <v>573</v>
      </c>
      <c r="F108" s="42" t="s">
        <v>574</v>
      </c>
      <c r="G108" s="42" t="s">
        <v>195</v>
      </c>
      <c r="H108" s="42"/>
      <c r="I108" s="42"/>
      <c r="J108" s="42">
        <v>13207541</v>
      </c>
      <c r="K108" s="42"/>
      <c r="L108" s="44">
        <v>45293</v>
      </c>
      <c r="M108" s="44">
        <v>45293</v>
      </c>
      <c r="N108" s="42" t="s">
        <v>328</v>
      </c>
      <c r="O108" s="46">
        <v>0.01</v>
      </c>
      <c r="P108" s="42">
        <v>94539966</v>
      </c>
      <c r="Q108" s="42" t="s">
        <v>575</v>
      </c>
      <c r="R108" s="45">
        <v>410</v>
      </c>
      <c r="S108" s="46">
        <v>0.01</v>
      </c>
      <c r="T108" s="47" t="s">
        <v>198</v>
      </c>
      <c r="U108" s="48" t="s">
        <v>199</v>
      </c>
      <c r="V108" s="38"/>
      <c r="W108" s="48" t="s">
        <v>195</v>
      </c>
      <c r="X108" s="38" t="s">
        <v>308</v>
      </c>
      <c r="Y108" s="49" t="s">
        <v>309</v>
      </c>
      <c r="Z108" s="50" t="s">
        <v>576</v>
      </c>
      <c r="AA108" s="38"/>
      <c r="AB108" s="38"/>
      <c r="AC108" s="38"/>
      <c r="AD108" s="51">
        <v>19</v>
      </c>
      <c r="AE108" s="51">
        <v>19</v>
      </c>
      <c r="AF108" s="48" t="s">
        <v>203</v>
      </c>
      <c r="AG108" s="38" t="s">
        <v>204</v>
      </c>
      <c r="AH108" s="52"/>
      <c r="AI108" s="38"/>
      <c r="AJ108" s="38"/>
    </row>
    <row r="109" spans="1:36" ht="16.2">
      <c r="A109" s="53" t="s">
        <v>577</v>
      </c>
      <c r="B109" s="53">
        <v>69963405</v>
      </c>
      <c r="C109" s="53" t="s">
        <v>578</v>
      </c>
      <c r="D109" s="53">
        <v>13207572</v>
      </c>
      <c r="E109" s="54" t="s">
        <v>579</v>
      </c>
      <c r="F109" s="53" t="s">
        <v>580</v>
      </c>
      <c r="G109" s="53" t="s">
        <v>195</v>
      </c>
      <c r="H109" s="53"/>
      <c r="I109" s="53"/>
      <c r="J109" s="53">
        <v>13207572</v>
      </c>
      <c r="K109" s="53"/>
      <c r="L109" s="55">
        <v>45293</v>
      </c>
      <c r="M109" s="55">
        <v>45293</v>
      </c>
      <c r="N109" s="53" t="s">
        <v>581</v>
      </c>
      <c r="O109" s="56">
        <v>0.01</v>
      </c>
      <c r="P109" s="53">
        <v>20010003</v>
      </c>
      <c r="Q109" s="53" t="s">
        <v>582</v>
      </c>
      <c r="R109" s="45">
        <v>410</v>
      </c>
      <c r="S109" s="56">
        <v>0.01</v>
      </c>
      <c r="T109" s="47" t="s">
        <v>198</v>
      </c>
      <c r="U109" s="48" t="s">
        <v>199</v>
      </c>
      <c r="V109" s="38"/>
      <c r="W109" s="48" t="s">
        <v>195</v>
      </c>
      <c r="X109" s="38" t="s">
        <v>583</v>
      </c>
      <c r="Y109" s="49" t="s">
        <v>584</v>
      </c>
      <c r="Z109" s="50" t="s">
        <v>585</v>
      </c>
      <c r="AA109" s="38"/>
      <c r="AB109" s="38"/>
      <c r="AC109" s="38"/>
      <c r="AD109" s="51">
        <v>35</v>
      </c>
      <c r="AE109" s="51">
        <v>35</v>
      </c>
      <c r="AF109" s="48" t="s">
        <v>203</v>
      </c>
      <c r="AG109" s="38" t="s">
        <v>204</v>
      </c>
      <c r="AH109" s="52"/>
      <c r="AI109" s="38"/>
      <c r="AJ109" s="38"/>
    </row>
    <row r="110" spans="1:36" ht="16.2">
      <c r="A110" s="42" t="s">
        <v>577</v>
      </c>
      <c r="B110" s="42">
        <v>69963405</v>
      </c>
      <c r="C110" s="42" t="s">
        <v>578</v>
      </c>
      <c r="D110" s="42">
        <v>13207572</v>
      </c>
      <c r="E110" s="43" t="s">
        <v>579</v>
      </c>
      <c r="F110" s="42" t="s">
        <v>586</v>
      </c>
      <c r="G110" s="42" t="s">
        <v>195</v>
      </c>
      <c r="H110" s="42"/>
      <c r="I110" s="42"/>
      <c r="J110" s="42">
        <v>13207572</v>
      </c>
      <c r="K110" s="42"/>
      <c r="L110" s="44">
        <v>45293</v>
      </c>
      <c r="M110" s="44">
        <v>45293</v>
      </c>
      <c r="N110" s="42" t="s">
        <v>581</v>
      </c>
      <c r="O110" s="42">
        <v>0</v>
      </c>
      <c r="P110" s="42">
        <v>20010003</v>
      </c>
      <c r="Q110" s="42" t="s">
        <v>587</v>
      </c>
      <c r="R110" s="45">
        <v>410</v>
      </c>
      <c r="S110" s="46">
        <v>0.01</v>
      </c>
      <c r="T110" s="47" t="s">
        <v>198</v>
      </c>
      <c r="U110" s="48" t="s">
        <v>199</v>
      </c>
      <c r="V110" s="38"/>
      <c r="W110" s="48" t="s">
        <v>195</v>
      </c>
      <c r="X110" s="38" t="s">
        <v>583</v>
      </c>
      <c r="Y110" s="49" t="s">
        <v>584</v>
      </c>
      <c r="Z110" s="50" t="s">
        <v>588</v>
      </c>
      <c r="AA110" s="38"/>
      <c r="AB110" s="38"/>
      <c r="AC110" s="38"/>
      <c r="AD110" s="51">
        <v>35</v>
      </c>
      <c r="AE110" s="51">
        <v>35</v>
      </c>
      <c r="AF110" s="48" t="s">
        <v>203</v>
      </c>
      <c r="AG110" s="38" t="s">
        <v>204</v>
      </c>
      <c r="AH110" s="52"/>
      <c r="AI110" s="38"/>
      <c r="AJ110" s="38"/>
    </row>
    <row r="111" spans="1:36" ht="16.2">
      <c r="A111" s="53" t="s">
        <v>577</v>
      </c>
      <c r="B111" s="53">
        <v>69963405</v>
      </c>
      <c r="C111" s="53" t="s">
        <v>578</v>
      </c>
      <c r="D111" s="53">
        <v>13207572</v>
      </c>
      <c r="E111" s="54" t="s">
        <v>579</v>
      </c>
      <c r="F111" s="53" t="s">
        <v>589</v>
      </c>
      <c r="G111" s="53" t="s">
        <v>195</v>
      </c>
      <c r="H111" s="53"/>
      <c r="I111" s="53"/>
      <c r="J111" s="53">
        <v>13207572</v>
      </c>
      <c r="K111" s="53"/>
      <c r="L111" s="55">
        <v>45293</v>
      </c>
      <c r="M111" s="55">
        <v>45293</v>
      </c>
      <c r="N111" s="53" t="s">
        <v>581</v>
      </c>
      <c r="O111" s="53">
        <v>0</v>
      </c>
      <c r="P111" s="53">
        <v>20010003</v>
      </c>
      <c r="Q111" s="53" t="s">
        <v>590</v>
      </c>
      <c r="R111" s="45">
        <v>410</v>
      </c>
      <c r="S111" s="56">
        <v>0.01</v>
      </c>
      <c r="T111" s="47" t="s">
        <v>198</v>
      </c>
      <c r="U111" s="48" t="s">
        <v>199</v>
      </c>
      <c r="V111" s="38"/>
      <c r="W111" s="48" t="s">
        <v>195</v>
      </c>
      <c r="X111" s="38" t="s">
        <v>583</v>
      </c>
      <c r="Y111" s="49" t="s">
        <v>584</v>
      </c>
      <c r="Z111" s="50" t="s">
        <v>591</v>
      </c>
      <c r="AA111" s="38"/>
      <c r="AB111" s="38"/>
      <c r="AC111" s="38"/>
      <c r="AD111" s="51">
        <v>35</v>
      </c>
      <c r="AE111" s="51">
        <v>35</v>
      </c>
      <c r="AF111" s="48" t="s">
        <v>203</v>
      </c>
      <c r="AG111" s="38" t="s">
        <v>204</v>
      </c>
      <c r="AH111" s="52"/>
      <c r="AI111" s="38"/>
      <c r="AJ111" s="38"/>
    </row>
    <row r="112" spans="1:36" ht="16.2">
      <c r="A112" s="42" t="s">
        <v>577</v>
      </c>
      <c r="B112" s="42">
        <v>69963405</v>
      </c>
      <c r="C112" s="42" t="s">
        <v>578</v>
      </c>
      <c r="D112" s="42">
        <v>13207572</v>
      </c>
      <c r="E112" s="43" t="s">
        <v>579</v>
      </c>
      <c r="F112" s="42" t="s">
        <v>592</v>
      </c>
      <c r="G112" s="42" t="s">
        <v>195</v>
      </c>
      <c r="H112" s="42"/>
      <c r="I112" s="42"/>
      <c r="J112" s="42">
        <v>13207572</v>
      </c>
      <c r="K112" s="42"/>
      <c r="L112" s="44">
        <v>45293</v>
      </c>
      <c r="M112" s="44">
        <v>45293</v>
      </c>
      <c r="N112" s="42" t="s">
        <v>581</v>
      </c>
      <c r="O112" s="42">
        <v>0</v>
      </c>
      <c r="P112" s="42">
        <v>20010003</v>
      </c>
      <c r="Q112" s="42" t="s">
        <v>593</v>
      </c>
      <c r="R112" s="45">
        <v>410</v>
      </c>
      <c r="S112" s="46">
        <v>0.01</v>
      </c>
      <c r="T112" s="47" t="s">
        <v>198</v>
      </c>
      <c r="U112" s="48" t="s">
        <v>199</v>
      </c>
      <c r="V112" s="38"/>
      <c r="W112" s="48" t="s">
        <v>195</v>
      </c>
      <c r="X112" s="38" t="s">
        <v>583</v>
      </c>
      <c r="Y112" s="49" t="s">
        <v>584</v>
      </c>
      <c r="Z112" s="50" t="s">
        <v>594</v>
      </c>
      <c r="AA112" s="38"/>
      <c r="AB112" s="38"/>
      <c r="AC112" s="38"/>
      <c r="AD112" s="51">
        <v>35</v>
      </c>
      <c r="AE112" s="51">
        <v>35</v>
      </c>
      <c r="AF112" s="48" t="s">
        <v>203</v>
      </c>
      <c r="AG112" s="38" t="s">
        <v>204</v>
      </c>
      <c r="AH112" s="52"/>
      <c r="AI112" s="38"/>
      <c r="AJ112" s="38"/>
    </row>
    <row r="113" spans="1:36" ht="16.2">
      <c r="A113" s="53" t="s">
        <v>577</v>
      </c>
      <c r="B113" s="53">
        <v>69963405</v>
      </c>
      <c r="C113" s="53" t="s">
        <v>578</v>
      </c>
      <c r="D113" s="53">
        <v>13207572</v>
      </c>
      <c r="E113" s="54" t="s">
        <v>579</v>
      </c>
      <c r="F113" s="53" t="s">
        <v>595</v>
      </c>
      <c r="G113" s="53" t="s">
        <v>195</v>
      </c>
      <c r="H113" s="53"/>
      <c r="I113" s="53"/>
      <c r="J113" s="53">
        <v>13207572</v>
      </c>
      <c r="K113" s="53"/>
      <c r="L113" s="55">
        <v>45293</v>
      </c>
      <c r="M113" s="55">
        <v>45293</v>
      </c>
      <c r="N113" s="53" t="s">
        <v>581</v>
      </c>
      <c r="O113" s="53">
        <v>0</v>
      </c>
      <c r="P113" s="53">
        <v>20010003</v>
      </c>
      <c r="Q113" s="53" t="s">
        <v>596</v>
      </c>
      <c r="R113" s="45">
        <v>410</v>
      </c>
      <c r="S113" s="56">
        <v>0.01</v>
      </c>
      <c r="T113" s="47" t="s">
        <v>198</v>
      </c>
      <c r="U113" s="48" t="s">
        <v>199</v>
      </c>
      <c r="V113" s="38"/>
      <c r="W113" s="48" t="s">
        <v>195</v>
      </c>
      <c r="X113" s="38" t="s">
        <v>583</v>
      </c>
      <c r="Y113" s="49" t="s">
        <v>584</v>
      </c>
      <c r="Z113" s="50" t="s">
        <v>597</v>
      </c>
      <c r="AA113" s="38"/>
      <c r="AB113" s="38"/>
      <c r="AC113" s="38"/>
      <c r="AD113" s="51">
        <v>35</v>
      </c>
      <c r="AE113" s="51">
        <v>35</v>
      </c>
      <c r="AF113" s="48" t="s">
        <v>203</v>
      </c>
      <c r="AG113" s="38" t="s">
        <v>204</v>
      </c>
      <c r="AH113" s="52"/>
      <c r="AI113" s="38"/>
      <c r="AJ113" s="38"/>
    </row>
    <row r="114" spans="1:36" ht="16.2">
      <c r="A114" s="42" t="s">
        <v>302</v>
      </c>
      <c r="B114" s="42">
        <v>69841202</v>
      </c>
      <c r="C114" s="42" t="s">
        <v>598</v>
      </c>
      <c r="D114" s="42">
        <v>13207583</v>
      </c>
      <c r="E114" s="43" t="s">
        <v>599</v>
      </c>
      <c r="F114" s="42" t="s">
        <v>600</v>
      </c>
      <c r="G114" s="42" t="s">
        <v>195</v>
      </c>
      <c r="H114" s="42"/>
      <c r="I114" s="42"/>
      <c r="J114" s="42">
        <v>13207583</v>
      </c>
      <c r="K114" s="42"/>
      <c r="L114" s="44">
        <v>45293</v>
      </c>
      <c r="M114" s="44">
        <v>45293</v>
      </c>
      <c r="N114" s="42" t="s">
        <v>601</v>
      </c>
      <c r="O114" s="42">
        <v>0</v>
      </c>
      <c r="P114" s="42">
        <v>20009822</v>
      </c>
      <c r="Q114" s="42" t="s">
        <v>602</v>
      </c>
      <c r="R114" s="45">
        <v>410</v>
      </c>
      <c r="S114" s="46">
        <v>0.01</v>
      </c>
      <c r="T114" s="47" t="s">
        <v>198</v>
      </c>
      <c r="U114" s="48" t="s">
        <v>199</v>
      </c>
      <c r="V114" s="38"/>
      <c r="W114" s="48" t="s">
        <v>195</v>
      </c>
      <c r="X114" s="38" t="s">
        <v>308</v>
      </c>
      <c r="Y114" s="49" t="s">
        <v>309</v>
      </c>
      <c r="Z114" s="50" t="s">
        <v>603</v>
      </c>
      <c r="AA114" s="38"/>
      <c r="AB114" s="38"/>
      <c r="AC114" s="38"/>
      <c r="AD114" s="51">
        <v>33</v>
      </c>
      <c r="AE114" s="51">
        <v>33</v>
      </c>
      <c r="AF114" s="48" t="s">
        <v>203</v>
      </c>
      <c r="AG114" s="38" t="s">
        <v>204</v>
      </c>
      <c r="AH114" s="52"/>
      <c r="AI114" s="38"/>
      <c r="AJ114" s="38"/>
    </row>
    <row r="115" spans="1:36" ht="16.2">
      <c r="A115" s="53" t="s">
        <v>302</v>
      </c>
      <c r="B115" s="53">
        <v>69841203</v>
      </c>
      <c r="C115" s="53" t="s">
        <v>604</v>
      </c>
      <c r="D115" s="53">
        <v>13207584</v>
      </c>
      <c r="E115" s="54" t="s">
        <v>605</v>
      </c>
      <c r="F115" s="53" t="s">
        <v>606</v>
      </c>
      <c r="G115" s="53" t="s">
        <v>195</v>
      </c>
      <c r="H115" s="53"/>
      <c r="I115" s="53"/>
      <c r="J115" s="53">
        <v>13207584</v>
      </c>
      <c r="K115" s="53"/>
      <c r="L115" s="55">
        <v>45293</v>
      </c>
      <c r="M115" s="55">
        <v>45293</v>
      </c>
      <c r="N115" s="53" t="s">
        <v>601</v>
      </c>
      <c r="O115" s="53">
        <v>0</v>
      </c>
      <c r="P115" s="53">
        <v>20009822</v>
      </c>
      <c r="Q115" s="53" t="s">
        <v>607</v>
      </c>
      <c r="R115" s="45">
        <v>410</v>
      </c>
      <c r="S115" s="56">
        <v>0.01</v>
      </c>
      <c r="T115" s="47" t="s">
        <v>198</v>
      </c>
      <c r="U115" s="48" t="s">
        <v>199</v>
      </c>
      <c r="V115" s="38"/>
      <c r="W115" s="48" t="s">
        <v>195</v>
      </c>
      <c r="X115" s="38" t="s">
        <v>308</v>
      </c>
      <c r="Y115" s="49" t="s">
        <v>309</v>
      </c>
      <c r="Z115" s="50" t="s">
        <v>608</v>
      </c>
      <c r="AA115" s="38"/>
      <c r="AB115" s="38"/>
      <c r="AC115" s="38"/>
      <c r="AD115" s="51">
        <v>33</v>
      </c>
      <c r="AE115" s="51">
        <v>33</v>
      </c>
      <c r="AF115" s="48" t="s">
        <v>203</v>
      </c>
      <c r="AG115" s="38" t="s">
        <v>204</v>
      </c>
      <c r="AH115" s="52"/>
      <c r="AI115" s="38"/>
      <c r="AJ115" s="38"/>
    </row>
    <row r="116" spans="1:36" ht="16.2">
      <c r="A116" s="42" t="s">
        <v>577</v>
      </c>
      <c r="B116" s="42">
        <v>69963490</v>
      </c>
      <c r="C116" s="42" t="s">
        <v>609</v>
      </c>
      <c r="D116" s="42">
        <v>13207570</v>
      </c>
      <c r="E116" s="43" t="s">
        <v>610</v>
      </c>
      <c r="F116" s="42" t="s">
        <v>611</v>
      </c>
      <c r="G116" s="42"/>
      <c r="H116" s="42"/>
      <c r="I116" s="42"/>
      <c r="J116" s="42"/>
      <c r="K116" s="42"/>
      <c r="L116" s="44">
        <v>45293</v>
      </c>
      <c r="M116" s="44">
        <v>45293</v>
      </c>
      <c r="N116" s="42" t="s">
        <v>612</v>
      </c>
      <c r="O116" s="42">
        <v>0</v>
      </c>
      <c r="P116" s="42"/>
      <c r="Q116" s="42" t="s">
        <v>613</v>
      </c>
      <c r="R116" s="45">
        <v>410</v>
      </c>
      <c r="S116" s="46">
        <v>0.01</v>
      </c>
      <c r="T116" s="47" t="s">
        <v>401</v>
      </c>
      <c r="U116" s="48" t="s">
        <v>199</v>
      </c>
      <c r="V116" s="38"/>
      <c r="W116" s="38"/>
      <c r="X116" s="38" t="s">
        <v>583</v>
      </c>
      <c r="Y116" s="49" t="s">
        <v>584</v>
      </c>
      <c r="Z116" s="50" t="s">
        <v>614</v>
      </c>
      <c r="AA116" s="38"/>
      <c r="AB116" s="38"/>
      <c r="AC116" s="38"/>
      <c r="AD116" s="51">
        <v>24</v>
      </c>
      <c r="AE116" s="51">
        <v>0</v>
      </c>
      <c r="AF116" s="48" t="s">
        <v>195</v>
      </c>
      <c r="AG116" s="38" t="s">
        <v>403</v>
      </c>
      <c r="AH116" s="52"/>
      <c r="AI116" s="38"/>
      <c r="AJ116" s="38"/>
    </row>
    <row r="117" spans="1:36" ht="16.2">
      <c r="A117" s="53" t="s">
        <v>577</v>
      </c>
      <c r="B117" s="53">
        <v>69963490</v>
      </c>
      <c r="C117" s="53" t="s">
        <v>609</v>
      </c>
      <c r="D117" s="53">
        <v>13207570</v>
      </c>
      <c r="E117" s="54" t="s">
        <v>610</v>
      </c>
      <c r="F117" s="53" t="s">
        <v>615</v>
      </c>
      <c r="G117" s="53"/>
      <c r="H117" s="53"/>
      <c r="I117" s="53"/>
      <c r="J117" s="53"/>
      <c r="K117" s="53"/>
      <c r="L117" s="55">
        <v>45293</v>
      </c>
      <c r="M117" s="55">
        <v>45293</v>
      </c>
      <c r="N117" s="53" t="s">
        <v>612</v>
      </c>
      <c r="O117" s="53">
        <v>0</v>
      </c>
      <c r="P117" s="53"/>
      <c r="Q117" s="53" t="s">
        <v>616</v>
      </c>
      <c r="R117" s="45">
        <v>410</v>
      </c>
      <c r="S117" s="56">
        <v>0.01</v>
      </c>
      <c r="T117" s="47" t="s">
        <v>401</v>
      </c>
      <c r="U117" s="48" t="s">
        <v>199</v>
      </c>
      <c r="V117" s="38"/>
      <c r="W117" s="38"/>
      <c r="X117" s="38" t="s">
        <v>583</v>
      </c>
      <c r="Y117" s="49" t="s">
        <v>584</v>
      </c>
      <c r="Z117" s="50" t="s">
        <v>617</v>
      </c>
      <c r="AA117" s="38"/>
      <c r="AB117" s="38"/>
      <c r="AC117" s="38"/>
      <c r="AD117" s="51">
        <v>24</v>
      </c>
      <c r="AE117" s="51">
        <v>0</v>
      </c>
      <c r="AF117" s="48" t="s">
        <v>195</v>
      </c>
      <c r="AG117" s="38" t="s">
        <v>403</v>
      </c>
      <c r="AH117" s="52"/>
      <c r="AI117" s="38"/>
      <c r="AJ117" s="38"/>
    </row>
    <row r="118" spans="1:36" ht="16.2">
      <c r="A118" s="42" t="s">
        <v>577</v>
      </c>
      <c r="B118" s="42">
        <v>69963490</v>
      </c>
      <c r="C118" s="42" t="s">
        <v>609</v>
      </c>
      <c r="D118" s="42">
        <v>13207570</v>
      </c>
      <c r="E118" s="43" t="s">
        <v>610</v>
      </c>
      <c r="F118" s="42" t="s">
        <v>592</v>
      </c>
      <c r="G118" s="42"/>
      <c r="H118" s="42"/>
      <c r="I118" s="42"/>
      <c r="J118" s="42"/>
      <c r="K118" s="42"/>
      <c r="L118" s="44">
        <v>45293</v>
      </c>
      <c r="M118" s="44">
        <v>45293</v>
      </c>
      <c r="N118" s="42" t="s">
        <v>612</v>
      </c>
      <c r="O118" s="42">
        <v>0</v>
      </c>
      <c r="P118" s="42"/>
      <c r="Q118" s="42" t="s">
        <v>618</v>
      </c>
      <c r="R118" s="45">
        <v>410</v>
      </c>
      <c r="S118" s="46">
        <v>0.01</v>
      </c>
      <c r="T118" s="47" t="s">
        <v>401</v>
      </c>
      <c r="U118" s="48" t="s">
        <v>199</v>
      </c>
      <c r="V118" s="38"/>
      <c r="W118" s="38"/>
      <c r="X118" s="38" t="s">
        <v>583</v>
      </c>
      <c r="Y118" s="49" t="s">
        <v>584</v>
      </c>
      <c r="Z118" s="50" t="s">
        <v>619</v>
      </c>
      <c r="AA118" s="38"/>
      <c r="AB118" s="38"/>
      <c r="AC118" s="38"/>
      <c r="AD118" s="51">
        <v>24</v>
      </c>
      <c r="AE118" s="51">
        <v>0</v>
      </c>
      <c r="AF118" s="48" t="s">
        <v>195</v>
      </c>
      <c r="AG118" s="38" t="s">
        <v>403</v>
      </c>
      <c r="AH118" s="52"/>
      <c r="AI118" s="38"/>
      <c r="AJ118" s="38"/>
    </row>
    <row r="119" spans="1:36" ht="16.2">
      <c r="A119" s="53" t="s">
        <v>577</v>
      </c>
      <c r="B119" s="53">
        <v>69963490</v>
      </c>
      <c r="C119" s="53" t="s">
        <v>609</v>
      </c>
      <c r="D119" s="53">
        <v>13207570</v>
      </c>
      <c r="E119" s="54" t="s">
        <v>610</v>
      </c>
      <c r="F119" s="53" t="s">
        <v>620</v>
      </c>
      <c r="G119" s="53"/>
      <c r="H119" s="53"/>
      <c r="I119" s="53"/>
      <c r="J119" s="53"/>
      <c r="K119" s="53"/>
      <c r="L119" s="55">
        <v>45293</v>
      </c>
      <c r="M119" s="55">
        <v>45293</v>
      </c>
      <c r="N119" s="53" t="s">
        <v>612</v>
      </c>
      <c r="O119" s="53">
        <v>0</v>
      </c>
      <c r="P119" s="53"/>
      <c r="Q119" s="53" t="s">
        <v>621</v>
      </c>
      <c r="R119" s="45">
        <v>410</v>
      </c>
      <c r="S119" s="56">
        <v>0.01</v>
      </c>
      <c r="T119" s="47" t="s">
        <v>401</v>
      </c>
      <c r="U119" s="48" t="s">
        <v>199</v>
      </c>
      <c r="V119" s="38"/>
      <c r="W119" s="38"/>
      <c r="X119" s="38" t="s">
        <v>583</v>
      </c>
      <c r="Y119" s="49" t="s">
        <v>584</v>
      </c>
      <c r="Z119" s="50" t="s">
        <v>622</v>
      </c>
      <c r="AA119" s="38"/>
      <c r="AB119" s="38"/>
      <c r="AC119" s="38"/>
      <c r="AD119" s="51">
        <v>24</v>
      </c>
      <c r="AE119" s="51">
        <v>0</v>
      </c>
      <c r="AF119" s="48" t="s">
        <v>195</v>
      </c>
      <c r="AG119" s="38" t="s">
        <v>403</v>
      </c>
      <c r="AH119" s="52"/>
      <c r="AI119" s="38"/>
      <c r="AJ119" s="38"/>
    </row>
    <row r="120" spans="1:36" ht="16.2">
      <c r="A120" s="42" t="s">
        <v>420</v>
      </c>
      <c r="B120" s="42">
        <v>560026</v>
      </c>
      <c r="C120" s="42" t="s">
        <v>623</v>
      </c>
      <c r="D120" s="42">
        <v>13207675</v>
      </c>
      <c r="E120" s="43" t="s">
        <v>624</v>
      </c>
      <c r="F120" s="42" t="s">
        <v>625</v>
      </c>
      <c r="G120" s="42" t="s">
        <v>195</v>
      </c>
      <c r="H120" s="42"/>
      <c r="I120" s="42"/>
      <c r="J120" s="42">
        <v>13207675</v>
      </c>
      <c r="K120" s="42"/>
      <c r="L120" s="44">
        <v>45293</v>
      </c>
      <c r="M120" s="44">
        <v>45293</v>
      </c>
      <c r="N120" s="42" t="s">
        <v>424</v>
      </c>
      <c r="O120" s="42">
        <v>0</v>
      </c>
      <c r="P120" s="42">
        <v>20076884</v>
      </c>
      <c r="Q120" s="42" t="s">
        <v>626</v>
      </c>
      <c r="R120" s="45">
        <v>410</v>
      </c>
      <c r="S120" s="46">
        <v>0.01</v>
      </c>
      <c r="T120" s="47" t="s">
        <v>198</v>
      </c>
      <c r="U120" s="48" t="s">
        <v>199</v>
      </c>
      <c r="V120" s="38"/>
      <c r="W120" s="48" t="s">
        <v>195</v>
      </c>
      <c r="X120" s="38" t="s">
        <v>426</v>
      </c>
      <c r="Y120" s="49" t="s">
        <v>427</v>
      </c>
      <c r="Z120" s="50" t="s">
        <v>627</v>
      </c>
      <c r="AA120" s="38"/>
      <c r="AB120" s="38"/>
      <c r="AC120" s="38"/>
      <c r="AD120" s="51">
        <v>70</v>
      </c>
      <c r="AE120" s="51">
        <v>70</v>
      </c>
      <c r="AF120" s="48" t="s">
        <v>203</v>
      </c>
      <c r="AG120" s="38" t="s">
        <v>204</v>
      </c>
      <c r="AH120" s="52"/>
      <c r="AI120" s="38"/>
      <c r="AJ120" s="38"/>
    </row>
    <row r="121" spans="1:36" ht="16.2">
      <c r="A121" s="53" t="s">
        <v>420</v>
      </c>
      <c r="B121" s="53">
        <v>560026</v>
      </c>
      <c r="C121" s="53" t="s">
        <v>623</v>
      </c>
      <c r="D121" s="53">
        <v>13207675</v>
      </c>
      <c r="E121" s="54" t="s">
        <v>624</v>
      </c>
      <c r="F121" s="53" t="s">
        <v>628</v>
      </c>
      <c r="G121" s="53" t="s">
        <v>195</v>
      </c>
      <c r="H121" s="53"/>
      <c r="I121" s="53"/>
      <c r="J121" s="53">
        <v>13207675</v>
      </c>
      <c r="K121" s="53"/>
      <c r="L121" s="55">
        <v>45293</v>
      </c>
      <c r="M121" s="55">
        <v>45293</v>
      </c>
      <c r="N121" s="53" t="s">
        <v>424</v>
      </c>
      <c r="O121" s="53">
        <v>0</v>
      </c>
      <c r="P121" s="53">
        <v>20076884</v>
      </c>
      <c r="Q121" s="53" t="s">
        <v>629</v>
      </c>
      <c r="R121" s="45">
        <v>410</v>
      </c>
      <c r="S121" s="56">
        <v>0.01</v>
      </c>
      <c r="T121" s="47" t="s">
        <v>198</v>
      </c>
      <c r="U121" s="48" t="s">
        <v>199</v>
      </c>
      <c r="V121" s="38"/>
      <c r="W121" s="48" t="s">
        <v>195</v>
      </c>
      <c r="X121" s="38" t="s">
        <v>426</v>
      </c>
      <c r="Y121" s="49" t="s">
        <v>427</v>
      </c>
      <c r="Z121" s="50" t="s">
        <v>630</v>
      </c>
      <c r="AA121" s="38"/>
      <c r="AB121" s="38"/>
      <c r="AC121" s="38"/>
      <c r="AD121" s="51">
        <v>70</v>
      </c>
      <c r="AE121" s="51">
        <v>70</v>
      </c>
      <c r="AF121" s="48" t="s">
        <v>203</v>
      </c>
      <c r="AG121" s="38" t="s">
        <v>204</v>
      </c>
      <c r="AH121" s="52"/>
      <c r="AI121" s="38"/>
      <c r="AJ121" s="38"/>
    </row>
    <row r="122" spans="1:36" ht="16.2">
      <c r="A122" s="42" t="s">
        <v>420</v>
      </c>
      <c r="B122" s="42">
        <v>560026</v>
      </c>
      <c r="C122" s="42" t="s">
        <v>623</v>
      </c>
      <c r="D122" s="42">
        <v>13207675</v>
      </c>
      <c r="E122" s="43" t="s">
        <v>624</v>
      </c>
      <c r="F122" s="42" t="s">
        <v>631</v>
      </c>
      <c r="G122" s="42" t="s">
        <v>195</v>
      </c>
      <c r="H122" s="42"/>
      <c r="I122" s="42"/>
      <c r="J122" s="42">
        <v>13207675</v>
      </c>
      <c r="K122" s="42"/>
      <c r="L122" s="44">
        <v>45293</v>
      </c>
      <c r="M122" s="44">
        <v>45293</v>
      </c>
      <c r="N122" s="42" t="s">
        <v>424</v>
      </c>
      <c r="O122" s="42">
        <v>0</v>
      </c>
      <c r="P122" s="42">
        <v>20076884</v>
      </c>
      <c r="Q122" s="42" t="s">
        <v>632</v>
      </c>
      <c r="R122" s="45">
        <v>410</v>
      </c>
      <c r="S122" s="46">
        <v>0.01</v>
      </c>
      <c r="T122" s="47" t="s">
        <v>198</v>
      </c>
      <c r="U122" s="48" t="s">
        <v>199</v>
      </c>
      <c r="V122" s="38"/>
      <c r="W122" s="48" t="s">
        <v>195</v>
      </c>
      <c r="X122" s="38" t="s">
        <v>426</v>
      </c>
      <c r="Y122" s="49" t="s">
        <v>427</v>
      </c>
      <c r="Z122" s="50" t="s">
        <v>633</v>
      </c>
      <c r="AA122" s="38"/>
      <c r="AB122" s="38"/>
      <c r="AC122" s="47" t="s">
        <v>634</v>
      </c>
      <c r="AD122" s="51">
        <v>70</v>
      </c>
      <c r="AE122" s="51">
        <v>70</v>
      </c>
      <c r="AF122" s="48" t="s">
        <v>203</v>
      </c>
      <c r="AG122" s="38" t="s">
        <v>204</v>
      </c>
      <c r="AH122" s="52"/>
      <c r="AI122" s="38"/>
      <c r="AJ122" s="38"/>
    </row>
    <row r="123" spans="1:36" ht="16.2">
      <c r="A123" s="53" t="s">
        <v>420</v>
      </c>
      <c r="B123" s="53">
        <v>560026</v>
      </c>
      <c r="C123" s="53" t="s">
        <v>623</v>
      </c>
      <c r="D123" s="53">
        <v>13207675</v>
      </c>
      <c r="E123" s="54" t="s">
        <v>624</v>
      </c>
      <c r="F123" s="53" t="s">
        <v>635</v>
      </c>
      <c r="G123" s="53" t="s">
        <v>195</v>
      </c>
      <c r="H123" s="53"/>
      <c r="I123" s="53"/>
      <c r="J123" s="53">
        <v>13207675</v>
      </c>
      <c r="K123" s="53"/>
      <c r="L123" s="55">
        <v>45293</v>
      </c>
      <c r="M123" s="55">
        <v>45293</v>
      </c>
      <c r="N123" s="53" t="s">
        <v>424</v>
      </c>
      <c r="O123" s="53">
        <v>0</v>
      </c>
      <c r="P123" s="53">
        <v>20076884</v>
      </c>
      <c r="Q123" s="53" t="s">
        <v>636</v>
      </c>
      <c r="R123" s="45">
        <v>410</v>
      </c>
      <c r="S123" s="56">
        <v>0.01</v>
      </c>
      <c r="T123" s="47" t="s">
        <v>198</v>
      </c>
      <c r="U123" s="48" t="s">
        <v>199</v>
      </c>
      <c r="V123" s="38"/>
      <c r="W123" s="48" t="s">
        <v>195</v>
      </c>
      <c r="X123" s="38" t="s">
        <v>426</v>
      </c>
      <c r="Y123" s="49" t="s">
        <v>427</v>
      </c>
      <c r="Z123" s="50" t="s">
        <v>637</v>
      </c>
      <c r="AA123" s="38"/>
      <c r="AB123" s="38"/>
      <c r="AC123" s="38"/>
      <c r="AD123" s="51">
        <v>70</v>
      </c>
      <c r="AE123" s="51">
        <v>70</v>
      </c>
      <c r="AF123" s="48" t="s">
        <v>203</v>
      </c>
      <c r="AG123" s="38" t="s">
        <v>204</v>
      </c>
      <c r="AH123" s="52"/>
      <c r="AI123" s="38"/>
      <c r="AJ123" s="38"/>
    </row>
    <row r="124" spans="1:36" ht="16.2">
      <c r="A124" s="42" t="s">
        <v>420</v>
      </c>
      <c r="B124" s="42">
        <v>560026</v>
      </c>
      <c r="C124" s="42" t="s">
        <v>623</v>
      </c>
      <c r="D124" s="42">
        <v>13207675</v>
      </c>
      <c r="E124" s="43" t="s">
        <v>624</v>
      </c>
      <c r="F124" s="42" t="s">
        <v>638</v>
      </c>
      <c r="G124" s="42" t="s">
        <v>195</v>
      </c>
      <c r="H124" s="42"/>
      <c r="I124" s="42"/>
      <c r="J124" s="42">
        <v>13207675</v>
      </c>
      <c r="K124" s="42"/>
      <c r="L124" s="57">
        <v>45293</v>
      </c>
      <c r="M124" s="57">
        <v>45293</v>
      </c>
      <c r="N124" s="42" t="s">
        <v>424</v>
      </c>
      <c r="O124" s="42">
        <v>0</v>
      </c>
      <c r="P124" s="42">
        <v>20076884</v>
      </c>
      <c r="Q124" s="42" t="s">
        <v>639</v>
      </c>
      <c r="R124" s="45">
        <v>410</v>
      </c>
      <c r="S124" s="46">
        <v>0.01</v>
      </c>
      <c r="T124" s="47" t="s">
        <v>198</v>
      </c>
      <c r="U124" s="48" t="s">
        <v>199</v>
      </c>
      <c r="V124" s="38"/>
      <c r="W124" s="48" t="s">
        <v>195</v>
      </c>
      <c r="X124" s="38" t="s">
        <v>426</v>
      </c>
      <c r="Y124" s="49" t="s">
        <v>427</v>
      </c>
      <c r="Z124" s="50" t="s">
        <v>640</v>
      </c>
      <c r="AA124" s="38"/>
      <c r="AB124" s="38"/>
      <c r="AC124" s="38"/>
      <c r="AD124" s="51">
        <v>70</v>
      </c>
      <c r="AE124" s="51">
        <v>70</v>
      </c>
      <c r="AF124" s="48" t="s">
        <v>203</v>
      </c>
      <c r="AG124" s="38" t="s">
        <v>204</v>
      </c>
      <c r="AH124" s="52"/>
      <c r="AI124" s="38"/>
      <c r="AJ124" s="38"/>
    </row>
    <row r="125" spans="1:36" ht="16.2">
      <c r="A125" s="53" t="s">
        <v>420</v>
      </c>
      <c r="B125" s="53">
        <v>560026</v>
      </c>
      <c r="C125" s="53" t="s">
        <v>623</v>
      </c>
      <c r="D125" s="53">
        <v>13207675</v>
      </c>
      <c r="E125" s="54" t="s">
        <v>624</v>
      </c>
      <c r="F125" s="53" t="s">
        <v>641</v>
      </c>
      <c r="G125" s="53" t="s">
        <v>195</v>
      </c>
      <c r="H125" s="53"/>
      <c r="I125" s="53"/>
      <c r="J125" s="53">
        <v>13207675</v>
      </c>
      <c r="K125" s="53"/>
      <c r="L125" s="58">
        <v>45293</v>
      </c>
      <c r="M125" s="58">
        <v>45293</v>
      </c>
      <c r="N125" s="53" t="s">
        <v>424</v>
      </c>
      <c r="O125" s="53">
        <v>0</v>
      </c>
      <c r="P125" s="53">
        <v>20076884</v>
      </c>
      <c r="Q125" s="53" t="s">
        <v>642</v>
      </c>
      <c r="R125" s="45">
        <v>410</v>
      </c>
      <c r="S125" s="56">
        <v>0.01</v>
      </c>
      <c r="T125" s="47" t="s">
        <v>198</v>
      </c>
      <c r="U125" s="48" t="s">
        <v>199</v>
      </c>
      <c r="V125" s="38"/>
      <c r="W125" s="48" t="s">
        <v>195</v>
      </c>
      <c r="X125" s="38" t="s">
        <v>426</v>
      </c>
      <c r="Y125" s="49" t="s">
        <v>427</v>
      </c>
      <c r="Z125" s="50" t="s">
        <v>643</v>
      </c>
      <c r="AA125" s="38"/>
      <c r="AB125" s="38"/>
      <c r="AC125" s="38"/>
      <c r="AD125" s="51">
        <v>70</v>
      </c>
      <c r="AE125" s="51">
        <v>70</v>
      </c>
      <c r="AF125" s="48" t="s">
        <v>203</v>
      </c>
      <c r="AG125" s="38" t="s">
        <v>204</v>
      </c>
      <c r="AH125" s="52"/>
      <c r="AI125" s="38"/>
      <c r="AJ125" s="38"/>
    </row>
    <row r="126" spans="1:36" ht="16.2">
      <c r="A126" s="42" t="s">
        <v>420</v>
      </c>
      <c r="B126" s="42">
        <v>560026</v>
      </c>
      <c r="C126" s="42" t="s">
        <v>623</v>
      </c>
      <c r="D126" s="42">
        <v>13207675</v>
      </c>
      <c r="E126" s="43" t="s">
        <v>624</v>
      </c>
      <c r="F126" s="42" t="s">
        <v>644</v>
      </c>
      <c r="G126" s="42" t="s">
        <v>195</v>
      </c>
      <c r="H126" s="42"/>
      <c r="I126" s="42"/>
      <c r="J126" s="42">
        <v>13207675</v>
      </c>
      <c r="K126" s="42"/>
      <c r="L126" s="57">
        <v>45293</v>
      </c>
      <c r="M126" s="57">
        <v>45293</v>
      </c>
      <c r="N126" s="42" t="s">
        <v>424</v>
      </c>
      <c r="O126" s="42">
        <v>0</v>
      </c>
      <c r="P126" s="42">
        <v>20076884</v>
      </c>
      <c r="Q126" s="42" t="s">
        <v>645</v>
      </c>
      <c r="R126" s="45">
        <v>410</v>
      </c>
      <c r="S126" s="46">
        <v>0.01</v>
      </c>
      <c r="T126" s="47" t="s">
        <v>198</v>
      </c>
      <c r="U126" s="48" t="s">
        <v>199</v>
      </c>
      <c r="V126" s="38"/>
      <c r="W126" s="48" t="s">
        <v>195</v>
      </c>
      <c r="X126" s="38" t="s">
        <v>426</v>
      </c>
      <c r="Y126" s="49" t="s">
        <v>427</v>
      </c>
      <c r="Z126" s="50" t="s">
        <v>646</v>
      </c>
      <c r="AA126" s="38"/>
      <c r="AB126" s="38"/>
      <c r="AC126" s="38"/>
      <c r="AD126" s="51">
        <v>70</v>
      </c>
      <c r="AE126" s="51">
        <v>70</v>
      </c>
      <c r="AF126" s="48" t="s">
        <v>203</v>
      </c>
      <c r="AG126" s="38" t="s">
        <v>204</v>
      </c>
      <c r="AH126" s="52"/>
      <c r="AI126" s="38"/>
      <c r="AJ126" s="38"/>
    </row>
    <row r="127" spans="1:36" ht="16.2">
      <c r="A127" s="53" t="s">
        <v>420</v>
      </c>
      <c r="B127" s="53">
        <v>560026</v>
      </c>
      <c r="C127" s="53" t="s">
        <v>623</v>
      </c>
      <c r="D127" s="53">
        <v>13207675</v>
      </c>
      <c r="E127" s="54" t="s">
        <v>624</v>
      </c>
      <c r="F127" s="53" t="s">
        <v>647</v>
      </c>
      <c r="G127" s="53" t="s">
        <v>195</v>
      </c>
      <c r="H127" s="53"/>
      <c r="I127" s="53"/>
      <c r="J127" s="53">
        <v>13207675</v>
      </c>
      <c r="K127" s="53"/>
      <c r="L127" s="58">
        <v>45293</v>
      </c>
      <c r="M127" s="58">
        <v>45293</v>
      </c>
      <c r="N127" s="53" t="s">
        <v>424</v>
      </c>
      <c r="O127" s="53">
        <v>0</v>
      </c>
      <c r="P127" s="53">
        <v>20076884</v>
      </c>
      <c r="Q127" s="53" t="s">
        <v>648</v>
      </c>
      <c r="R127" s="45">
        <v>410</v>
      </c>
      <c r="S127" s="56">
        <v>0.01</v>
      </c>
      <c r="T127" s="47" t="s">
        <v>198</v>
      </c>
      <c r="U127" s="48" t="s">
        <v>199</v>
      </c>
      <c r="V127" s="38"/>
      <c r="W127" s="48" t="s">
        <v>195</v>
      </c>
      <c r="X127" s="38" t="s">
        <v>426</v>
      </c>
      <c r="Y127" s="49" t="s">
        <v>427</v>
      </c>
      <c r="Z127" s="50" t="s">
        <v>649</v>
      </c>
      <c r="AA127" s="38"/>
      <c r="AB127" s="38"/>
      <c r="AC127" s="38"/>
      <c r="AD127" s="51">
        <v>70</v>
      </c>
      <c r="AE127" s="51">
        <v>70</v>
      </c>
      <c r="AF127" s="48" t="s">
        <v>203</v>
      </c>
      <c r="AG127" s="38" t="s">
        <v>204</v>
      </c>
      <c r="AH127" s="52"/>
      <c r="AI127" s="38"/>
      <c r="AJ127" s="38"/>
    </row>
    <row r="128" spans="1:36" ht="16.2">
      <c r="A128" s="42" t="s">
        <v>420</v>
      </c>
      <c r="B128" s="42">
        <v>560026</v>
      </c>
      <c r="C128" s="42" t="s">
        <v>623</v>
      </c>
      <c r="D128" s="42">
        <v>13207675</v>
      </c>
      <c r="E128" s="43" t="s">
        <v>624</v>
      </c>
      <c r="F128" s="42" t="s">
        <v>650</v>
      </c>
      <c r="G128" s="42" t="s">
        <v>195</v>
      </c>
      <c r="H128" s="42"/>
      <c r="I128" s="42"/>
      <c r="J128" s="42">
        <v>13207675</v>
      </c>
      <c r="K128" s="42"/>
      <c r="L128" s="57">
        <v>45293</v>
      </c>
      <c r="M128" s="57">
        <v>45293</v>
      </c>
      <c r="N128" s="42" t="s">
        <v>424</v>
      </c>
      <c r="O128" s="42">
        <v>0</v>
      </c>
      <c r="P128" s="42">
        <v>20076884</v>
      </c>
      <c r="Q128" s="42" t="s">
        <v>651</v>
      </c>
      <c r="R128" s="45">
        <v>410</v>
      </c>
      <c r="S128" s="42">
        <v>0</v>
      </c>
      <c r="T128" s="47" t="s">
        <v>198</v>
      </c>
      <c r="U128" s="48" t="s">
        <v>199</v>
      </c>
      <c r="V128" s="38"/>
      <c r="W128" s="48" t="s">
        <v>195</v>
      </c>
      <c r="X128" s="38" t="s">
        <v>426</v>
      </c>
      <c r="Y128" s="49" t="s">
        <v>427</v>
      </c>
      <c r="Z128" s="50" t="s">
        <v>652</v>
      </c>
      <c r="AA128" s="38"/>
      <c r="AB128" s="38"/>
      <c r="AC128" s="38"/>
      <c r="AD128" s="51">
        <v>70</v>
      </c>
      <c r="AE128" s="51">
        <v>70</v>
      </c>
      <c r="AF128" s="48" t="s">
        <v>203</v>
      </c>
      <c r="AG128" s="38" t="s">
        <v>204</v>
      </c>
      <c r="AH128" s="52"/>
      <c r="AI128" s="38"/>
      <c r="AJ128" s="38"/>
    </row>
    <row r="129" spans="1:36" ht="16.2">
      <c r="A129" s="53" t="s">
        <v>302</v>
      </c>
      <c r="B129" s="53">
        <v>659354</v>
      </c>
      <c r="C129" s="53" t="s">
        <v>653</v>
      </c>
      <c r="D129" s="53">
        <v>13207393</v>
      </c>
      <c r="E129" s="54" t="s">
        <v>654</v>
      </c>
      <c r="F129" s="53" t="s">
        <v>655</v>
      </c>
      <c r="G129" s="53" t="s">
        <v>195</v>
      </c>
      <c r="H129" s="53"/>
      <c r="I129" s="53"/>
      <c r="J129" s="53">
        <v>13207393</v>
      </c>
      <c r="K129" s="53"/>
      <c r="L129" s="58">
        <v>45293</v>
      </c>
      <c r="M129" s="58">
        <v>45293</v>
      </c>
      <c r="N129" s="53" t="s">
        <v>656</v>
      </c>
      <c r="O129" s="53">
        <v>0</v>
      </c>
      <c r="P129" s="53">
        <v>20015139</v>
      </c>
      <c r="Q129" s="53" t="s">
        <v>657</v>
      </c>
      <c r="R129" s="45">
        <v>410</v>
      </c>
      <c r="S129" s="53">
        <v>0</v>
      </c>
      <c r="T129" s="47" t="s">
        <v>198</v>
      </c>
      <c r="U129" s="48" t="s">
        <v>199</v>
      </c>
      <c r="V129" s="38"/>
      <c r="W129" s="48" t="s">
        <v>195</v>
      </c>
      <c r="X129" s="38" t="s">
        <v>308</v>
      </c>
      <c r="Y129" s="49" t="s">
        <v>309</v>
      </c>
      <c r="Z129" s="50" t="s">
        <v>658</v>
      </c>
      <c r="AA129" s="38"/>
      <c r="AB129" s="38"/>
      <c r="AC129" s="38"/>
      <c r="AD129" s="51">
        <v>64</v>
      </c>
      <c r="AE129" s="51">
        <v>64</v>
      </c>
      <c r="AF129" s="48" t="s">
        <v>203</v>
      </c>
      <c r="AG129" s="38" t="s">
        <v>204</v>
      </c>
      <c r="AH129" s="52"/>
      <c r="AI129" s="38"/>
      <c r="AJ129" s="38"/>
    </row>
    <row r="130" spans="1:36" ht="16.2">
      <c r="A130" s="42" t="s">
        <v>302</v>
      </c>
      <c r="B130" s="42">
        <v>659354</v>
      </c>
      <c r="C130" s="42" t="s">
        <v>653</v>
      </c>
      <c r="D130" s="42">
        <v>13207393</v>
      </c>
      <c r="E130" s="43" t="s">
        <v>654</v>
      </c>
      <c r="F130" s="42" t="s">
        <v>659</v>
      </c>
      <c r="G130" s="42" t="s">
        <v>195</v>
      </c>
      <c r="H130" s="42"/>
      <c r="I130" s="42"/>
      <c r="J130" s="42">
        <v>13207393</v>
      </c>
      <c r="K130" s="42"/>
      <c r="L130" s="57">
        <v>45293</v>
      </c>
      <c r="M130" s="57">
        <v>45293</v>
      </c>
      <c r="N130" s="42" t="s">
        <v>656</v>
      </c>
      <c r="O130" s="42">
        <v>0</v>
      </c>
      <c r="P130" s="42">
        <v>20015139</v>
      </c>
      <c r="Q130" s="42" t="s">
        <v>660</v>
      </c>
      <c r="R130" s="45">
        <v>410</v>
      </c>
      <c r="S130" s="42">
        <v>0</v>
      </c>
      <c r="T130" s="47" t="s">
        <v>198</v>
      </c>
      <c r="U130" s="48" t="s">
        <v>199</v>
      </c>
      <c r="V130" s="38"/>
      <c r="W130" s="48" t="s">
        <v>195</v>
      </c>
      <c r="X130" s="38" t="s">
        <v>308</v>
      </c>
      <c r="Y130" s="49" t="s">
        <v>309</v>
      </c>
      <c r="Z130" s="50" t="s">
        <v>661</v>
      </c>
      <c r="AA130" s="38"/>
      <c r="AB130" s="38"/>
      <c r="AC130" s="38"/>
      <c r="AD130" s="51">
        <v>64</v>
      </c>
      <c r="AE130" s="51">
        <v>64</v>
      </c>
      <c r="AF130" s="48" t="s">
        <v>203</v>
      </c>
      <c r="AG130" s="38" t="s">
        <v>204</v>
      </c>
      <c r="AH130" s="52"/>
      <c r="AI130" s="38"/>
      <c r="AJ130" s="38"/>
    </row>
    <row r="131" spans="1:36" ht="16.2">
      <c r="A131" s="53" t="s">
        <v>302</v>
      </c>
      <c r="B131" s="53">
        <v>659354</v>
      </c>
      <c r="C131" s="53" t="s">
        <v>653</v>
      </c>
      <c r="D131" s="53">
        <v>13207393</v>
      </c>
      <c r="E131" s="54" t="s">
        <v>654</v>
      </c>
      <c r="F131" s="53" t="s">
        <v>662</v>
      </c>
      <c r="G131" s="53" t="s">
        <v>195</v>
      </c>
      <c r="H131" s="53"/>
      <c r="I131" s="53"/>
      <c r="J131" s="53">
        <v>13207393</v>
      </c>
      <c r="K131" s="53"/>
      <c r="L131" s="58">
        <v>45293</v>
      </c>
      <c r="M131" s="58">
        <v>45293</v>
      </c>
      <c r="N131" s="53" t="s">
        <v>656</v>
      </c>
      <c r="O131" s="53">
        <v>0</v>
      </c>
      <c r="P131" s="53">
        <v>20015139</v>
      </c>
      <c r="Q131" s="53" t="s">
        <v>663</v>
      </c>
      <c r="R131" s="45">
        <v>410</v>
      </c>
      <c r="S131" s="53">
        <v>0</v>
      </c>
      <c r="T131" s="47" t="s">
        <v>198</v>
      </c>
      <c r="U131" s="48" t="s">
        <v>199</v>
      </c>
      <c r="V131" s="38"/>
      <c r="W131" s="48" t="s">
        <v>195</v>
      </c>
      <c r="X131" s="38" t="s">
        <v>308</v>
      </c>
      <c r="Y131" s="49" t="s">
        <v>309</v>
      </c>
      <c r="Z131" s="50" t="s">
        <v>664</v>
      </c>
      <c r="AA131" s="38"/>
      <c r="AB131" s="38"/>
      <c r="AC131" s="38"/>
      <c r="AD131" s="51">
        <v>64</v>
      </c>
      <c r="AE131" s="51">
        <v>64</v>
      </c>
      <c r="AF131" s="48" t="s">
        <v>203</v>
      </c>
      <c r="AG131" s="38" t="s">
        <v>204</v>
      </c>
      <c r="AH131" s="52"/>
      <c r="AI131" s="38"/>
      <c r="AJ131" s="38"/>
    </row>
    <row r="132" spans="1:36" ht="16.2">
      <c r="A132" s="42" t="s">
        <v>302</v>
      </c>
      <c r="B132" s="42">
        <v>659354</v>
      </c>
      <c r="C132" s="42" t="s">
        <v>653</v>
      </c>
      <c r="D132" s="42">
        <v>13207393</v>
      </c>
      <c r="E132" s="43" t="s">
        <v>654</v>
      </c>
      <c r="F132" s="42" t="s">
        <v>665</v>
      </c>
      <c r="G132" s="42" t="s">
        <v>195</v>
      </c>
      <c r="H132" s="42"/>
      <c r="I132" s="42"/>
      <c r="J132" s="42">
        <v>13207393</v>
      </c>
      <c r="K132" s="42"/>
      <c r="L132" s="57">
        <v>45293</v>
      </c>
      <c r="M132" s="57">
        <v>45293</v>
      </c>
      <c r="N132" s="42" t="s">
        <v>656</v>
      </c>
      <c r="O132" s="42">
        <v>0</v>
      </c>
      <c r="P132" s="42">
        <v>20015139</v>
      </c>
      <c r="Q132" s="42" t="s">
        <v>666</v>
      </c>
      <c r="R132" s="45">
        <v>410</v>
      </c>
      <c r="S132" s="42">
        <v>0</v>
      </c>
      <c r="T132" s="47" t="s">
        <v>198</v>
      </c>
      <c r="U132" s="48" t="s">
        <v>199</v>
      </c>
      <c r="V132" s="38"/>
      <c r="W132" s="48" t="s">
        <v>195</v>
      </c>
      <c r="X132" s="38" t="s">
        <v>308</v>
      </c>
      <c r="Y132" s="49" t="s">
        <v>309</v>
      </c>
      <c r="Z132" s="50" t="s">
        <v>667</v>
      </c>
      <c r="AA132" s="38"/>
      <c r="AB132" s="38"/>
      <c r="AC132" s="38"/>
      <c r="AD132" s="51">
        <v>64</v>
      </c>
      <c r="AE132" s="51">
        <v>64</v>
      </c>
      <c r="AF132" s="48" t="s">
        <v>203</v>
      </c>
      <c r="AG132" s="38" t="s">
        <v>204</v>
      </c>
      <c r="AH132" s="52"/>
      <c r="AI132" s="38"/>
      <c r="AJ132" s="38"/>
    </row>
    <row r="133" spans="1:36" ht="16.2">
      <c r="A133" s="53" t="s">
        <v>302</v>
      </c>
      <c r="B133" s="53">
        <v>659354</v>
      </c>
      <c r="C133" s="53" t="s">
        <v>653</v>
      </c>
      <c r="D133" s="53">
        <v>13207393</v>
      </c>
      <c r="E133" s="54" t="s">
        <v>654</v>
      </c>
      <c r="F133" s="53" t="s">
        <v>668</v>
      </c>
      <c r="G133" s="53" t="s">
        <v>195</v>
      </c>
      <c r="H133" s="53"/>
      <c r="I133" s="53"/>
      <c r="J133" s="53">
        <v>13207393</v>
      </c>
      <c r="K133" s="53"/>
      <c r="L133" s="58">
        <v>45293</v>
      </c>
      <c r="M133" s="58">
        <v>45293</v>
      </c>
      <c r="N133" s="53" t="s">
        <v>656</v>
      </c>
      <c r="O133" s="53">
        <v>0</v>
      </c>
      <c r="P133" s="53">
        <v>20015139</v>
      </c>
      <c r="Q133" s="53" t="s">
        <v>669</v>
      </c>
      <c r="R133" s="45">
        <v>410</v>
      </c>
      <c r="S133" s="53">
        <v>0</v>
      </c>
      <c r="T133" s="47" t="s">
        <v>198</v>
      </c>
      <c r="U133" s="48" t="s">
        <v>199</v>
      </c>
      <c r="V133" s="38"/>
      <c r="W133" s="48" t="s">
        <v>195</v>
      </c>
      <c r="X133" s="38" t="s">
        <v>308</v>
      </c>
      <c r="Y133" s="49" t="s">
        <v>309</v>
      </c>
      <c r="Z133" s="50" t="s">
        <v>670</v>
      </c>
      <c r="AA133" s="38"/>
      <c r="AB133" s="38"/>
      <c r="AC133" s="38"/>
      <c r="AD133" s="51">
        <v>64</v>
      </c>
      <c r="AE133" s="51">
        <v>64</v>
      </c>
      <c r="AF133" s="48" t="s">
        <v>203</v>
      </c>
      <c r="AG133" s="38" t="s">
        <v>204</v>
      </c>
      <c r="AH133" s="52"/>
      <c r="AI133" s="38"/>
      <c r="AJ133" s="38"/>
    </row>
    <row r="134" spans="1:36" ht="16.2">
      <c r="A134" s="42" t="s">
        <v>302</v>
      </c>
      <c r="B134" s="42">
        <v>659354</v>
      </c>
      <c r="C134" s="42" t="s">
        <v>653</v>
      </c>
      <c r="D134" s="42">
        <v>13207393</v>
      </c>
      <c r="E134" s="43" t="s">
        <v>654</v>
      </c>
      <c r="F134" s="42" t="s">
        <v>671</v>
      </c>
      <c r="G134" s="42" t="s">
        <v>195</v>
      </c>
      <c r="H134" s="42"/>
      <c r="I134" s="42"/>
      <c r="J134" s="42">
        <v>13207393</v>
      </c>
      <c r="K134" s="42"/>
      <c r="L134" s="57">
        <v>45293</v>
      </c>
      <c r="M134" s="57">
        <v>45293</v>
      </c>
      <c r="N134" s="42" t="s">
        <v>656</v>
      </c>
      <c r="O134" s="42">
        <v>0</v>
      </c>
      <c r="P134" s="42">
        <v>20015139</v>
      </c>
      <c r="Q134" s="42" t="s">
        <v>672</v>
      </c>
      <c r="R134" s="45">
        <v>410</v>
      </c>
      <c r="S134" s="42">
        <v>0</v>
      </c>
      <c r="T134" s="47" t="s">
        <v>198</v>
      </c>
      <c r="U134" s="48" t="s">
        <v>199</v>
      </c>
      <c r="V134" s="38"/>
      <c r="W134" s="48" t="s">
        <v>195</v>
      </c>
      <c r="X134" s="38" t="s">
        <v>308</v>
      </c>
      <c r="Y134" s="49" t="s">
        <v>309</v>
      </c>
      <c r="Z134" s="50" t="s">
        <v>673</v>
      </c>
      <c r="AA134" s="38"/>
      <c r="AB134" s="38"/>
      <c r="AC134" s="38"/>
      <c r="AD134" s="51">
        <v>64</v>
      </c>
      <c r="AE134" s="51">
        <v>64</v>
      </c>
      <c r="AF134" s="48" t="s">
        <v>203</v>
      </c>
      <c r="AG134" s="38" t="s">
        <v>204</v>
      </c>
      <c r="AH134" s="52"/>
      <c r="AI134" s="38"/>
      <c r="AJ134" s="38"/>
    </row>
    <row r="135" spans="1:36" ht="16.2">
      <c r="A135" s="53" t="s">
        <v>302</v>
      </c>
      <c r="B135" s="53">
        <v>659354</v>
      </c>
      <c r="C135" s="53" t="s">
        <v>653</v>
      </c>
      <c r="D135" s="53">
        <v>13207393</v>
      </c>
      <c r="E135" s="54" t="s">
        <v>654</v>
      </c>
      <c r="F135" s="53" t="s">
        <v>674</v>
      </c>
      <c r="G135" s="53" t="s">
        <v>195</v>
      </c>
      <c r="H135" s="53"/>
      <c r="I135" s="53"/>
      <c r="J135" s="53">
        <v>13207393</v>
      </c>
      <c r="K135" s="53"/>
      <c r="L135" s="58">
        <v>45293</v>
      </c>
      <c r="M135" s="58">
        <v>45293</v>
      </c>
      <c r="N135" s="53" t="s">
        <v>656</v>
      </c>
      <c r="O135" s="53">
        <v>0</v>
      </c>
      <c r="P135" s="53">
        <v>20015139</v>
      </c>
      <c r="Q135" s="53" t="s">
        <v>675</v>
      </c>
      <c r="R135" s="45">
        <v>410</v>
      </c>
      <c r="S135" s="53">
        <v>0</v>
      </c>
      <c r="T135" s="47" t="s">
        <v>198</v>
      </c>
      <c r="U135" s="48" t="s">
        <v>199</v>
      </c>
      <c r="V135" s="38"/>
      <c r="W135" s="48" t="s">
        <v>195</v>
      </c>
      <c r="X135" s="38" t="s">
        <v>308</v>
      </c>
      <c r="Y135" s="49" t="s">
        <v>309</v>
      </c>
      <c r="Z135" s="50" t="s">
        <v>676</v>
      </c>
      <c r="AA135" s="38"/>
      <c r="AB135" s="38"/>
      <c r="AC135" s="38"/>
      <c r="AD135" s="51">
        <v>64</v>
      </c>
      <c r="AE135" s="51">
        <v>64</v>
      </c>
      <c r="AF135" s="48" t="s">
        <v>203</v>
      </c>
      <c r="AG135" s="38" t="s">
        <v>204</v>
      </c>
      <c r="AH135" s="52"/>
      <c r="AI135" s="38"/>
      <c r="AJ135" s="38"/>
    </row>
    <row r="136" spans="1:36" ht="16.2">
      <c r="A136" s="42" t="s">
        <v>302</v>
      </c>
      <c r="B136" s="42">
        <v>659354</v>
      </c>
      <c r="C136" s="42" t="s">
        <v>653</v>
      </c>
      <c r="D136" s="42">
        <v>13207393</v>
      </c>
      <c r="E136" s="43" t="s">
        <v>654</v>
      </c>
      <c r="F136" s="42" t="s">
        <v>677</v>
      </c>
      <c r="G136" s="42" t="s">
        <v>195</v>
      </c>
      <c r="H136" s="42"/>
      <c r="I136" s="42"/>
      <c r="J136" s="42">
        <v>13207393</v>
      </c>
      <c r="K136" s="42"/>
      <c r="L136" s="57">
        <v>45293</v>
      </c>
      <c r="M136" s="57">
        <v>45293</v>
      </c>
      <c r="N136" s="42" t="s">
        <v>656</v>
      </c>
      <c r="O136" s="42">
        <v>0</v>
      </c>
      <c r="P136" s="42">
        <v>20015139</v>
      </c>
      <c r="Q136" s="42" t="s">
        <v>678</v>
      </c>
      <c r="R136" s="45">
        <v>410</v>
      </c>
      <c r="S136" s="42">
        <v>0</v>
      </c>
      <c r="T136" s="47" t="s">
        <v>198</v>
      </c>
      <c r="U136" s="48" t="s">
        <v>199</v>
      </c>
      <c r="V136" s="38"/>
      <c r="W136" s="48" t="s">
        <v>195</v>
      </c>
      <c r="X136" s="38" t="s">
        <v>308</v>
      </c>
      <c r="Y136" s="49" t="s">
        <v>309</v>
      </c>
      <c r="Z136" s="50" t="s">
        <v>679</v>
      </c>
      <c r="AA136" s="38"/>
      <c r="AB136" s="38"/>
      <c r="AC136" s="38"/>
      <c r="AD136" s="51">
        <v>64</v>
      </c>
      <c r="AE136" s="51">
        <v>64</v>
      </c>
      <c r="AF136" s="48" t="s">
        <v>203</v>
      </c>
      <c r="AG136" s="38" t="s">
        <v>204</v>
      </c>
      <c r="AH136" s="52"/>
      <c r="AI136" s="38"/>
      <c r="AJ136" s="38"/>
    </row>
    <row r="137" spans="1:36" ht="16.2">
      <c r="A137" s="53" t="s">
        <v>302</v>
      </c>
      <c r="B137" s="53">
        <v>659354</v>
      </c>
      <c r="C137" s="53" t="s">
        <v>653</v>
      </c>
      <c r="D137" s="53">
        <v>13207393</v>
      </c>
      <c r="E137" s="54" t="s">
        <v>654</v>
      </c>
      <c r="F137" s="53" t="s">
        <v>680</v>
      </c>
      <c r="G137" s="53" t="s">
        <v>195</v>
      </c>
      <c r="H137" s="53"/>
      <c r="I137" s="53"/>
      <c r="J137" s="53">
        <v>13207393</v>
      </c>
      <c r="K137" s="53"/>
      <c r="L137" s="58">
        <v>45293</v>
      </c>
      <c r="M137" s="58">
        <v>45293</v>
      </c>
      <c r="N137" s="53" t="s">
        <v>656</v>
      </c>
      <c r="O137" s="53">
        <v>0</v>
      </c>
      <c r="P137" s="53">
        <v>20015139</v>
      </c>
      <c r="Q137" s="53" t="s">
        <v>681</v>
      </c>
      <c r="R137" s="45">
        <v>410</v>
      </c>
      <c r="S137" s="53">
        <v>0</v>
      </c>
      <c r="T137" s="47" t="s">
        <v>198</v>
      </c>
      <c r="U137" s="48" t="s">
        <v>199</v>
      </c>
      <c r="V137" s="38"/>
      <c r="W137" s="48" t="s">
        <v>195</v>
      </c>
      <c r="X137" s="38" t="s">
        <v>308</v>
      </c>
      <c r="Y137" s="49" t="s">
        <v>309</v>
      </c>
      <c r="Z137" s="50" t="s">
        <v>682</v>
      </c>
      <c r="AA137" s="38"/>
      <c r="AB137" s="38"/>
      <c r="AC137" s="38"/>
      <c r="AD137" s="51">
        <v>64</v>
      </c>
      <c r="AE137" s="51">
        <v>64</v>
      </c>
      <c r="AF137" s="48" t="s">
        <v>203</v>
      </c>
      <c r="AG137" s="38" t="s">
        <v>204</v>
      </c>
      <c r="AH137" s="52"/>
      <c r="AI137" s="38"/>
      <c r="AJ137" s="38"/>
    </row>
    <row r="138" spans="1:36" ht="16.2">
      <c r="A138" s="42" t="s">
        <v>302</v>
      </c>
      <c r="B138" s="42">
        <v>659354</v>
      </c>
      <c r="C138" s="42" t="s">
        <v>653</v>
      </c>
      <c r="D138" s="42">
        <v>13207393</v>
      </c>
      <c r="E138" s="43" t="s">
        <v>654</v>
      </c>
      <c r="F138" s="42" t="s">
        <v>683</v>
      </c>
      <c r="G138" s="42" t="s">
        <v>195</v>
      </c>
      <c r="H138" s="42"/>
      <c r="I138" s="42"/>
      <c r="J138" s="42">
        <v>13207393</v>
      </c>
      <c r="K138" s="42"/>
      <c r="L138" s="44">
        <v>45293</v>
      </c>
      <c r="M138" s="44">
        <v>45293</v>
      </c>
      <c r="N138" s="42" t="s">
        <v>656</v>
      </c>
      <c r="O138" s="42">
        <v>0</v>
      </c>
      <c r="P138" s="42">
        <v>20015139</v>
      </c>
      <c r="Q138" s="42" t="s">
        <v>684</v>
      </c>
      <c r="R138" s="45">
        <v>410</v>
      </c>
      <c r="S138" s="42">
        <v>0</v>
      </c>
      <c r="T138" s="47" t="s">
        <v>198</v>
      </c>
      <c r="U138" s="48" t="s">
        <v>199</v>
      </c>
      <c r="V138" s="38"/>
      <c r="W138" s="48" t="s">
        <v>195</v>
      </c>
      <c r="X138" s="38" t="s">
        <v>308</v>
      </c>
      <c r="Y138" s="49" t="s">
        <v>309</v>
      </c>
      <c r="Z138" s="50" t="s">
        <v>685</v>
      </c>
      <c r="AA138" s="38"/>
      <c r="AB138" s="38"/>
      <c r="AC138" s="38"/>
      <c r="AD138" s="51">
        <v>64</v>
      </c>
      <c r="AE138" s="51">
        <v>64</v>
      </c>
      <c r="AF138" s="48" t="s">
        <v>203</v>
      </c>
      <c r="AG138" s="38" t="s">
        <v>204</v>
      </c>
      <c r="AH138" s="52"/>
      <c r="AI138" s="38"/>
      <c r="AJ138" s="38"/>
    </row>
    <row r="139" spans="1:36" ht="16.2">
      <c r="A139" s="53" t="s">
        <v>302</v>
      </c>
      <c r="B139" s="53">
        <v>659354</v>
      </c>
      <c r="C139" s="53" t="s">
        <v>653</v>
      </c>
      <c r="D139" s="53">
        <v>13207393</v>
      </c>
      <c r="E139" s="54" t="s">
        <v>654</v>
      </c>
      <c r="F139" s="53" t="s">
        <v>686</v>
      </c>
      <c r="G139" s="53" t="s">
        <v>195</v>
      </c>
      <c r="H139" s="53"/>
      <c r="I139" s="53"/>
      <c r="J139" s="53">
        <v>13207393</v>
      </c>
      <c r="K139" s="53"/>
      <c r="L139" s="55">
        <v>45293</v>
      </c>
      <c r="M139" s="55">
        <v>45293</v>
      </c>
      <c r="N139" s="53" t="s">
        <v>656</v>
      </c>
      <c r="O139" s="53">
        <v>0</v>
      </c>
      <c r="P139" s="53">
        <v>20015139</v>
      </c>
      <c r="Q139" s="53" t="s">
        <v>687</v>
      </c>
      <c r="R139" s="45">
        <v>410</v>
      </c>
      <c r="S139" s="53">
        <v>0</v>
      </c>
      <c r="T139" s="47" t="s">
        <v>198</v>
      </c>
      <c r="U139" s="48" t="s">
        <v>199</v>
      </c>
      <c r="V139" s="38"/>
      <c r="W139" s="48" t="s">
        <v>195</v>
      </c>
      <c r="X139" s="38" t="s">
        <v>308</v>
      </c>
      <c r="Y139" s="49" t="s">
        <v>309</v>
      </c>
      <c r="Z139" s="50" t="s">
        <v>688</v>
      </c>
      <c r="AA139" s="38"/>
      <c r="AB139" s="38"/>
      <c r="AC139" s="38"/>
      <c r="AD139" s="51">
        <v>64</v>
      </c>
      <c r="AE139" s="51">
        <v>64</v>
      </c>
      <c r="AF139" s="48" t="s">
        <v>203</v>
      </c>
      <c r="AG139" s="38" t="s">
        <v>204</v>
      </c>
      <c r="AH139" s="52"/>
      <c r="AI139" s="38"/>
      <c r="AJ139" s="38"/>
    </row>
    <row r="140" spans="1:36" ht="16.2">
      <c r="A140" s="42" t="s">
        <v>302</v>
      </c>
      <c r="B140" s="42">
        <v>659354</v>
      </c>
      <c r="C140" s="42" t="s">
        <v>653</v>
      </c>
      <c r="D140" s="42">
        <v>13207393</v>
      </c>
      <c r="E140" s="43" t="s">
        <v>654</v>
      </c>
      <c r="F140" s="42" t="s">
        <v>689</v>
      </c>
      <c r="G140" s="42" t="s">
        <v>195</v>
      </c>
      <c r="H140" s="42"/>
      <c r="I140" s="42"/>
      <c r="J140" s="42">
        <v>13207393</v>
      </c>
      <c r="K140" s="42"/>
      <c r="L140" s="44">
        <v>45293</v>
      </c>
      <c r="M140" s="44">
        <v>45293</v>
      </c>
      <c r="N140" s="42" t="s">
        <v>656</v>
      </c>
      <c r="O140" s="42">
        <v>0</v>
      </c>
      <c r="P140" s="42">
        <v>20015139</v>
      </c>
      <c r="Q140" s="42" t="s">
        <v>690</v>
      </c>
      <c r="R140" s="45">
        <v>410</v>
      </c>
      <c r="S140" s="42">
        <v>0</v>
      </c>
      <c r="T140" s="47" t="s">
        <v>198</v>
      </c>
      <c r="U140" s="48" t="s">
        <v>199</v>
      </c>
      <c r="V140" s="38"/>
      <c r="W140" s="48" t="s">
        <v>195</v>
      </c>
      <c r="X140" s="38" t="s">
        <v>308</v>
      </c>
      <c r="Y140" s="49" t="s">
        <v>309</v>
      </c>
      <c r="Z140" s="50" t="s">
        <v>691</v>
      </c>
      <c r="AA140" s="38"/>
      <c r="AB140" s="38"/>
      <c r="AC140" s="38"/>
      <c r="AD140" s="51">
        <v>64</v>
      </c>
      <c r="AE140" s="51">
        <v>64</v>
      </c>
      <c r="AF140" s="48" t="s">
        <v>203</v>
      </c>
      <c r="AG140" s="38" t="s">
        <v>204</v>
      </c>
      <c r="AH140" s="52"/>
      <c r="AI140" s="38"/>
      <c r="AJ140" s="38"/>
    </row>
    <row r="141" spans="1:36" ht="16.2">
      <c r="A141" s="53" t="s">
        <v>302</v>
      </c>
      <c r="B141" s="53">
        <v>659354</v>
      </c>
      <c r="C141" s="53" t="s">
        <v>653</v>
      </c>
      <c r="D141" s="53">
        <v>13207393</v>
      </c>
      <c r="E141" s="54" t="s">
        <v>654</v>
      </c>
      <c r="F141" s="53" t="s">
        <v>692</v>
      </c>
      <c r="G141" s="53" t="s">
        <v>195</v>
      </c>
      <c r="H141" s="53"/>
      <c r="I141" s="53"/>
      <c r="J141" s="53">
        <v>13207393</v>
      </c>
      <c r="K141" s="53"/>
      <c r="L141" s="55">
        <v>45293</v>
      </c>
      <c r="M141" s="55">
        <v>45293</v>
      </c>
      <c r="N141" s="53" t="s">
        <v>656</v>
      </c>
      <c r="O141" s="53">
        <v>0</v>
      </c>
      <c r="P141" s="53">
        <v>20015139</v>
      </c>
      <c r="Q141" s="53" t="s">
        <v>693</v>
      </c>
      <c r="R141" s="45">
        <v>410</v>
      </c>
      <c r="S141" s="53">
        <v>0</v>
      </c>
      <c r="T141" s="47" t="s">
        <v>198</v>
      </c>
      <c r="U141" s="48" t="s">
        <v>199</v>
      </c>
      <c r="V141" s="38"/>
      <c r="W141" s="48" t="s">
        <v>195</v>
      </c>
      <c r="X141" s="38" t="s">
        <v>308</v>
      </c>
      <c r="Y141" s="49" t="s">
        <v>309</v>
      </c>
      <c r="Z141" s="50" t="s">
        <v>694</v>
      </c>
      <c r="AA141" s="38"/>
      <c r="AB141" s="38"/>
      <c r="AC141" s="38"/>
      <c r="AD141" s="51">
        <v>64</v>
      </c>
      <c r="AE141" s="51">
        <v>64</v>
      </c>
      <c r="AF141" s="48" t="s">
        <v>203</v>
      </c>
      <c r="AG141" s="38" t="s">
        <v>204</v>
      </c>
      <c r="AH141" s="52"/>
      <c r="AI141" s="38"/>
      <c r="AJ141" s="38"/>
    </row>
    <row r="142" spans="1:36" ht="16.2">
      <c r="A142" s="42" t="s">
        <v>302</v>
      </c>
      <c r="B142" s="42">
        <v>659354</v>
      </c>
      <c r="C142" s="42" t="s">
        <v>653</v>
      </c>
      <c r="D142" s="42">
        <v>13207393</v>
      </c>
      <c r="E142" s="43" t="s">
        <v>654</v>
      </c>
      <c r="F142" s="42" t="s">
        <v>695</v>
      </c>
      <c r="G142" s="42" t="s">
        <v>195</v>
      </c>
      <c r="H142" s="42"/>
      <c r="I142" s="42"/>
      <c r="J142" s="42">
        <v>13207393</v>
      </c>
      <c r="K142" s="42"/>
      <c r="L142" s="44">
        <v>45293</v>
      </c>
      <c r="M142" s="44">
        <v>45293</v>
      </c>
      <c r="N142" s="42" t="s">
        <v>656</v>
      </c>
      <c r="O142" s="42">
        <v>0</v>
      </c>
      <c r="P142" s="42">
        <v>20015139</v>
      </c>
      <c r="Q142" s="42" t="s">
        <v>696</v>
      </c>
      <c r="R142" s="45">
        <v>410</v>
      </c>
      <c r="S142" s="46">
        <v>0</v>
      </c>
      <c r="T142" s="47" t="s">
        <v>198</v>
      </c>
      <c r="U142" s="48" t="s">
        <v>199</v>
      </c>
      <c r="V142" s="38"/>
      <c r="W142" s="48" t="s">
        <v>195</v>
      </c>
      <c r="X142" s="38" t="s">
        <v>308</v>
      </c>
      <c r="Y142" s="49" t="s">
        <v>309</v>
      </c>
      <c r="Z142" s="50" t="s">
        <v>697</v>
      </c>
      <c r="AA142" s="38"/>
      <c r="AB142" s="38"/>
      <c r="AC142" s="38"/>
      <c r="AD142" s="51">
        <v>64</v>
      </c>
      <c r="AE142" s="51">
        <v>64</v>
      </c>
      <c r="AF142" s="48" t="s">
        <v>203</v>
      </c>
      <c r="AG142" s="38" t="s">
        <v>204</v>
      </c>
      <c r="AH142" s="52"/>
      <c r="AI142" s="38"/>
      <c r="AJ142" s="38"/>
    </row>
    <row r="143" spans="1:36" ht="16.2">
      <c r="A143" s="53" t="s">
        <v>302</v>
      </c>
      <c r="B143" s="53">
        <v>659370</v>
      </c>
      <c r="C143" s="53" t="s">
        <v>653</v>
      </c>
      <c r="D143" s="53">
        <v>13207586</v>
      </c>
      <c r="E143" s="54" t="s">
        <v>654</v>
      </c>
      <c r="F143" s="53" t="s">
        <v>655</v>
      </c>
      <c r="G143" s="53" t="s">
        <v>195</v>
      </c>
      <c r="H143" s="53"/>
      <c r="I143" s="53"/>
      <c r="J143" s="53">
        <v>13207586</v>
      </c>
      <c r="K143" s="53"/>
      <c r="L143" s="55">
        <v>45293</v>
      </c>
      <c r="M143" s="55">
        <v>45293</v>
      </c>
      <c r="N143" s="53" t="s">
        <v>656</v>
      </c>
      <c r="O143" s="53">
        <v>0</v>
      </c>
      <c r="P143" s="53">
        <v>20015139</v>
      </c>
      <c r="Q143" s="53" t="s">
        <v>698</v>
      </c>
      <c r="R143" s="45">
        <v>410</v>
      </c>
      <c r="S143" s="56">
        <v>0.01</v>
      </c>
      <c r="T143" s="47" t="s">
        <v>198</v>
      </c>
      <c r="U143" s="48" t="s">
        <v>199</v>
      </c>
      <c r="V143" s="38"/>
      <c r="W143" s="48" t="s">
        <v>195</v>
      </c>
      <c r="X143" s="38" t="s">
        <v>308</v>
      </c>
      <c r="Y143" s="49" t="s">
        <v>309</v>
      </c>
      <c r="Z143" s="50" t="s">
        <v>699</v>
      </c>
      <c r="AA143" s="38"/>
      <c r="AB143" s="38"/>
      <c r="AC143" s="38"/>
      <c r="AD143" s="51">
        <v>64</v>
      </c>
      <c r="AE143" s="51">
        <v>64</v>
      </c>
      <c r="AF143" s="48" t="s">
        <v>203</v>
      </c>
      <c r="AG143" s="38" t="s">
        <v>204</v>
      </c>
      <c r="AH143" s="52"/>
      <c r="AI143" s="38"/>
      <c r="AJ143" s="38"/>
    </row>
    <row r="144" spans="1:36" ht="16.2">
      <c r="A144" s="42" t="s">
        <v>302</v>
      </c>
      <c r="B144" s="42">
        <v>659370</v>
      </c>
      <c r="C144" s="42" t="s">
        <v>653</v>
      </c>
      <c r="D144" s="42">
        <v>13207586</v>
      </c>
      <c r="E144" s="43" t="s">
        <v>654</v>
      </c>
      <c r="F144" s="42" t="s">
        <v>659</v>
      </c>
      <c r="G144" s="42" t="s">
        <v>195</v>
      </c>
      <c r="H144" s="42"/>
      <c r="I144" s="42"/>
      <c r="J144" s="42">
        <v>13207586</v>
      </c>
      <c r="K144" s="42"/>
      <c r="L144" s="44">
        <v>45293</v>
      </c>
      <c r="M144" s="44">
        <v>45293</v>
      </c>
      <c r="N144" s="42" t="s">
        <v>656</v>
      </c>
      <c r="O144" s="42">
        <v>0</v>
      </c>
      <c r="P144" s="42">
        <v>20015139</v>
      </c>
      <c r="Q144" s="42" t="s">
        <v>700</v>
      </c>
      <c r="R144" s="45">
        <v>410</v>
      </c>
      <c r="S144" s="46">
        <v>0.01</v>
      </c>
      <c r="T144" s="47" t="s">
        <v>198</v>
      </c>
      <c r="U144" s="48" t="s">
        <v>199</v>
      </c>
      <c r="V144" s="38"/>
      <c r="W144" s="48" t="s">
        <v>195</v>
      </c>
      <c r="X144" s="38" t="s">
        <v>308</v>
      </c>
      <c r="Y144" s="49" t="s">
        <v>309</v>
      </c>
      <c r="Z144" s="50" t="s">
        <v>701</v>
      </c>
      <c r="AA144" s="38"/>
      <c r="AB144" s="38"/>
      <c r="AC144" s="38"/>
      <c r="AD144" s="51">
        <v>64</v>
      </c>
      <c r="AE144" s="51">
        <v>64</v>
      </c>
      <c r="AF144" s="48" t="s">
        <v>203</v>
      </c>
      <c r="AG144" s="38" t="s">
        <v>204</v>
      </c>
      <c r="AH144" s="52"/>
      <c r="AI144" s="38"/>
      <c r="AJ144" s="38"/>
    </row>
    <row r="145" spans="1:36" ht="16.2">
      <c r="A145" s="53" t="s">
        <v>302</v>
      </c>
      <c r="B145" s="53">
        <v>659370</v>
      </c>
      <c r="C145" s="53" t="s">
        <v>653</v>
      </c>
      <c r="D145" s="53">
        <v>13207586</v>
      </c>
      <c r="E145" s="54" t="s">
        <v>654</v>
      </c>
      <c r="F145" s="53" t="s">
        <v>662</v>
      </c>
      <c r="G145" s="53" t="s">
        <v>195</v>
      </c>
      <c r="H145" s="53"/>
      <c r="I145" s="53"/>
      <c r="J145" s="53">
        <v>13207586</v>
      </c>
      <c r="K145" s="53"/>
      <c r="L145" s="55">
        <v>45293</v>
      </c>
      <c r="M145" s="55">
        <v>45293</v>
      </c>
      <c r="N145" s="53" t="s">
        <v>656</v>
      </c>
      <c r="O145" s="53">
        <v>0</v>
      </c>
      <c r="P145" s="53">
        <v>20015139</v>
      </c>
      <c r="Q145" s="53" t="s">
        <v>702</v>
      </c>
      <c r="R145" s="45">
        <v>410</v>
      </c>
      <c r="S145" s="56">
        <v>0.01</v>
      </c>
      <c r="T145" s="47" t="s">
        <v>198</v>
      </c>
      <c r="U145" s="48" t="s">
        <v>199</v>
      </c>
      <c r="V145" s="38"/>
      <c r="W145" s="48" t="s">
        <v>195</v>
      </c>
      <c r="X145" s="38" t="s">
        <v>308</v>
      </c>
      <c r="Y145" s="49" t="s">
        <v>309</v>
      </c>
      <c r="Z145" s="50" t="s">
        <v>703</v>
      </c>
      <c r="AA145" s="38"/>
      <c r="AB145" s="38"/>
      <c r="AC145" s="38"/>
      <c r="AD145" s="51">
        <v>64</v>
      </c>
      <c r="AE145" s="51">
        <v>64</v>
      </c>
      <c r="AF145" s="48" t="s">
        <v>203</v>
      </c>
      <c r="AG145" s="38" t="s">
        <v>204</v>
      </c>
      <c r="AH145" s="52"/>
      <c r="AI145" s="38"/>
      <c r="AJ145" s="38"/>
    </row>
    <row r="146" spans="1:36" ht="16.2">
      <c r="A146" s="42" t="s">
        <v>302</v>
      </c>
      <c r="B146" s="42">
        <v>659370</v>
      </c>
      <c r="C146" s="42" t="s">
        <v>653</v>
      </c>
      <c r="D146" s="42">
        <v>13207586</v>
      </c>
      <c r="E146" s="43" t="s">
        <v>654</v>
      </c>
      <c r="F146" s="42" t="s">
        <v>665</v>
      </c>
      <c r="G146" s="42" t="s">
        <v>195</v>
      </c>
      <c r="H146" s="42"/>
      <c r="I146" s="42"/>
      <c r="J146" s="42">
        <v>13207586</v>
      </c>
      <c r="K146" s="42"/>
      <c r="L146" s="44">
        <v>45293</v>
      </c>
      <c r="M146" s="44">
        <v>45293</v>
      </c>
      <c r="N146" s="42" t="s">
        <v>656</v>
      </c>
      <c r="O146" s="42">
        <v>0</v>
      </c>
      <c r="P146" s="42">
        <v>20015139</v>
      </c>
      <c r="Q146" s="42" t="s">
        <v>704</v>
      </c>
      <c r="R146" s="45">
        <v>410</v>
      </c>
      <c r="S146" s="46">
        <v>0.01</v>
      </c>
      <c r="T146" s="47" t="s">
        <v>198</v>
      </c>
      <c r="U146" s="48" t="s">
        <v>199</v>
      </c>
      <c r="V146" s="38"/>
      <c r="W146" s="48" t="s">
        <v>195</v>
      </c>
      <c r="X146" s="38" t="s">
        <v>308</v>
      </c>
      <c r="Y146" s="49" t="s">
        <v>309</v>
      </c>
      <c r="Z146" s="50" t="s">
        <v>705</v>
      </c>
      <c r="AA146" s="38"/>
      <c r="AB146" s="38"/>
      <c r="AC146" s="38"/>
      <c r="AD146" s="51">
        <v>64</v>
      </c>
      <c r="AE146" s="51">
        <v>64</v>
      </c>
      <c r="AF146" s="48" t="s">
        <v>203</v>
      </c>
      <c r="AG146" s="38" t="s">
        <v>204</v>
      </c>
      <c r="AH146" s="52"/>
      <c r="AI146" s="38"/>
      <c r="AJ146" s="38"/>
    </row>
    <row r="147" spans="1:36" ht="16.2">
      <c r="A147" s="53" t="s">
        <v>302</v>
      </c>
      <c r="B147" s="53">
        <v>659370</v>
      </c>
      <c r="C147" s="53" t="s">
        <v>653</v>
      </c>
      <c r="D147" s="53">
        <v>13207586</v>
      </c>
      <c r="E147" s="54" t="s">
        <v>654</v>
      </c>
      <c r="F147" s="53" t="s">
        <v>668</v>
      </c>
      <c r="G147" s="53" t="s">
        <v>195</v>
      </c>
      <c r="H147" s="53"/>
      <c r="I147" s="53"/>
      <c r="J147" s="53">
        <v>13207586</v>
      </c>
      <c r="K147" s="53"/>
      <c r="L147" s="55">
        <v>45293</v>
      </c>
      <c r="M147" s="55">
        <v>45293</v>
      </c>
      <c r="N147" s="53" t="s">
        <v>656</v>
      </c>
      <c r="O147" s="53">
        <v>0</v>
      </c>
      <c r="P147" s="53">
        <v>20015139</v>
      </c>
      <c r="Q147" s="53" t="s">
        <v>706</v>
      </c>
      <c r="R147" s="45">
        <v>410</v>
      </c>
      <c r="S147" s="56">
        <v>0.01</v>
      </c>
      <c r="T147" s="47" t="s">
        <v>198</v>
      </c>
      <c r="U147" s="48" t="s">
        <v>199</v>
      </c>
      <c r="V147" s="38"/>
      <c r="W147" s="48" t="s">
        <v>195</v>
      </c>
      <c r="X147" s="38" t="s">
        <v>308</v>
      </c>
      <c r="Y147" s="49" t="s">
        <v>309</v>
      </c>
      <c r="Z147" s="50" t="s">
        <v>707</v>
      </c>
      <c r="AA147" s="38"/>
      <c r="AB147" s="38"/>
      <c r="AC147" s="38"/>
      <c r="AD147" s="51">
        <v>64</v>
      </c>
      <c r="AE147" s="51">
        <v>64</v>
      </c>
      <c r="AF147" s="48" t="s">
        <v>203</v>
      </c>
      <c r="AG147" s="38" t="s">
        <v>204</v>
      </c>
      <c r="AH147" s="52"/>
      <c r="AI147" s="38"/>
      <c r="AJ147" s="38"/>
    </row>
    <row r="148" spans="1:36" ht="16.2">
      <c r="A148" s="42" t="s">
        <v>302</v>
      </c>
      <c r="B148" s="42">
        <v>659370</v>
      </c>
      <c r="C148" s="42" t="s">
        <v>653</v>
      </c>
      <c r="D148" s="42">
        <v>13207586</v>
      </c>
      <c r="E148" s="43" t="s">
        <v>654</v>
      </c>
      <c r="F148" s="42" t="s">
        <v>671</v>
      </c>
      <c r="G148" s="42" t="s">
        <v>195</v>
      </c>
      <c r="H148" s="42"/>
      <c r="I148" s="42"/>
      <c r="J148" s="42">
        <v>13207586</v>
      </c>
      <c r="K148" s="42"/>
      <c r="L148" s="44">
        <v>45293</v>
      </c>
      <c r="M148" s="44">
        <v>45293</v>
      </c>
      <c r="N148" s="42" t="s">
        <v>656</v>
      </c>
      <c r="O148" s="42">
        <v>0</v>
      </c>
      <c r="P148" s="42">
        <v>20015139</v>
      </c>
      <c r="Q148" s="42" t="s">
        <v>708</v>
      </c>
      <c r="R148" s="45">
        <v>410</v>
      </c>
      <c r="S148" s="46">
        <v>0.01</v>
      </c>
      <c r="T148" s="47" t="s">
        <v>198</v>
      </c>
      <c r="U148" s="48" t="s">
        <v>199</v>
      </c>
      <c r="V148" s="38"/>
      <c r="W148" s="48" t="s">
        <v>195</v>
      </c>
      <c r="X148" s="38" t="s">
        <v>308</v>
      </c>
      <c r="Y148" s="49" t="s">
        <v>309</v>
      </c>
      <c r="Z148" s="50" t="s">
        <v>709</v>
      </c>
      <c r="AA148" s="38"/>
      <c r="AB148" s="38"/>
      <c r="AC148" s="38"/>
      <c r="AD148" s="51">
        <v>64</v>
      </c>
      <c r="AE148" s="51">
        <v>64</v>
      </c>
      <c r="AF148" s="48" t="s">
        <v>203</v>
      </c>
      <c r="AG148" s="38" t="s">
        <v>204</v>
      </c>
      <c r="AH148" s="52"/>
      <c r="AI148" s="38"/>
      <c r="AJ148" s="38"/>
    </row>
    <row r="149" spans="1:36" ht="16.2">
      <c r="A149" s="53" t="s">
        <v>302</v>
      </c>
      <c r="B149" s="53">
        <v>659370</v>
      </c>
      <c r="C149" s="53" t="s">
        <v>653</v>
      </c>
      <c r="D149" s="53">
        <v>13207586</v>
      </c>
      <c r="E149" s="54" t="s">
        <v>654</v>
      </c>
      <c r="F149" s="53" t="s">
        <v>674</v>
      </c>
      <c r="G149" s="53" t="s">
        <v>195</v>
      </c>
      <c r="H149" s="53"/>
      <c r="I149" s="53"/>
      <c r="J149" s="53">
        <v>13207586</v>
      </c>
      <c r="K149" s="53"/>
      <c r="L149" s="55">
        <v>45293</v>
      </c>
      <c r="M149" s="55">
        <v>45293</v>
      </c>
      <c r="N149" s="53" t="s">
        <v>656</v>
      </c>
      <c r="O149" s="53">
        <v>0</v>
      </c>
      <c r="P149" s="53">
        <v>20015139</v>
      </c>
      <c r="Q149" s="53" t="s">
        <v>710</v>
      </c>
      <c r="R149" s="45">
        <v>410</v>
      </c>
      <c r="S149" s="56">
        <v>0.01</v>
      </c>
      <c r="T149" s="47" t="s">
        <v>198</v>
      </c>
      <c r="U149" s="48" t="s">
        <v>199</v>
      </c>
      <c r="V149" s="38"/>
      <c r="W149" s="48" t="s">
        <v>195</v>
      </c>
      <c r="X149" s="38" t="s">
        <v>308</v>
      </c>
      <c r="Y149" s="49" t="s">
        <v>309</v>
      </c>
      <c r="Z149" s="50" t="s">
        <v>711</v>
      </c>
      <c r="AA149" s="38"/>
      <c r="AB149" s="38"/>
      <c r="AC149" s="38"/>
      <c r="AD149" s="51">
        <v>64</v>
      </c>
      <c r="AE149" s="51">
        <v>64</v>
      </c>
      <c r="AF149" s="48" t="s">
        <v>203</v>
      </c>
      <c r="AG149" s="38" t="s">
        <v>204</v>
      </c>
      <c r="AH149" s="52"/>
      <c r="AI149" s="38"/>
      <c r="AJ149" s="38"/>
    </row>
    <row r="150" spans="1:36" ht="16.2">
      <c r="A150" s="42" t="s">
        <v>302</v>
      </c>
      <c r="B150" s="42">
        <v>659370</v>
      </c>
      <c r="C150" s="42" t="s">
        <v>653</v>
      </c>
      <c r="D150" s="42">
        <v>13207586</v>
      </c>
      <c r="E150" s="43" t="s">
        <v>654</v>
      </c>
      <c r="F150" s="42" t="s">
        <v>677</v>
      </c>
      <c r="G150" s="42" t="s">
        <v>195</v>
      </c>
      <c r="H150" s="42"/>
      <c r="I150" s="42"/>
      <c r="J150" s="42">
        <v>13207586</v>
      </c>
      <c r="K150" s="42"/>
      <c r="L150" s="44">
        <v>45293</v>
      </c>
      <c r="M150" s="44">
        <v>45293</v>
      </c>
      <c r="N150" s="42" t="s">
        <v>656</v>
      </c>
      <c r="O150" s="42">
        <v>0</v>
      </c>
      <c r="P150" s="42">
        <v>20015139</v>
      </c>
      <c r="Q150" s="42" t="s">
        <v>712</v>
      </c>
      <c r="R150" s="45">
        <v>410</v>
      </c>
      <c r="S150" s="46">
        <v>0.01</v>
      </c>
      <c r="T150" s="47" t="s">
        <v>198</v>
      </c>
      <c r="U150" s="48" t="s">
        <v>199</v>
      </c>
      <c r="V150" s="38"/>
      <c r="W150" s="48" t="s">
        <v>195</v>
      </c>
      <c r="X150" s="38" t="s">
        <v>308</v>
      </c>
      <c r="Y150" s="49" t="s">
        <v>309</v>
      </c>
      <c r="Z150" s="50" t="s">
        <v>713</v>
      </c>
      <c r="AA150" s="38"/>
      <c r="AB150" s="38"/>
      <c r="AC150" s="38"/>
      <c r="AD150" s="51">
        <v>64</v>
      </c>
      <c r="AE150" s="51">
        <v>64</v>
      </c>
      <c r="AF150" s="48" t="s">
        <v>203</v>
      </c>
      <c r="AG150" s="38" t="s">
        <v>204</v>
      </c>
      <c r="AH150" s="52"/>
      <c r="AI150" s="38"/>
      <c r="AJ150" s="38"/>
    </row>
    <row r="151" spans="1:36" ht="16.2">
      <c r="A151" s="53" t="s">
        <v>302</v>
      </c>
      <c r="B151" s="53">
        <v>659370</v>
      </c>
      <c r="C151" s="53" t="s">
        <v>653</v>
      </c>
      <c r="D151" s="53">
        <v>13207586</v>
      </c>
      <c r="E151" s="54" t="s">
        <v>654</v>
      </c>
      <c r="F151" s="53" t="s">
        <v>680</v>
      </c>
      <c r="G151" s="53" t="s">
        <v>195</v>
      </c>
      <c r="H151" s="53"/>
      <c r="I151" s="53"/>
      <c r="J151" s="53">
        <v>13207586</v>
      </c>
      <c r="K151" s="53"/>
      <c r="L151" s="55">
        <v>45293</v>
      </c>
      <c r="M151" s="55">
        <v>45293</v>
      </c>
      <c r="N151" s="53" t="s">
        <v>656</v>
      </c>
      <c r="O151" s="53">
        <v>0</v>
      </c>
      <c r="P151" s="53">
        <v>20015139</v>
      </c>
      <c r="Q151" s="53" t="s">
        <v>714</v>
      </c>
      <c r="R151" s="45">
        <v>410</v>
      </c>
      <c r="S151" s="56">
        <v>0.01</v>
      </c>
      <c r="T151" s="47" t="s">
        <v>198</v>
      </c>
      <c r="U151" s="48" t="s">
        <v>199</v>
      </c>
      <c r="V151" s="38"/>
      <c r="W151" s="48" t="s">
        <v>195</v>
      </c>
      <c r="X151" s="38" t="s">
        <v>308</v>
      </c>
      <c r="Y151" s="49" t="s">
        <v>309</v>
      </c>
      <c r="Z151" s="50" t="s">
        <v>715</v>
      </c>
      <c r="AA151" s="38"/>
      <c r="AB151" s="38"/>
      <c r="AC151" s="38"/>
      <c r="AD151" s="51">
        <v>64</v>
      </c>
      <c r="AE151" s="51">
        <v>64</v>
      </c>
      <c r="AF151" s="48" t="s">
        <v>203</v>
      </c>
      <c r="AG151" s="38" t="s">
        <v>204</v>
      </c>
      <c r="AH151" s="52"/>
      <c r="AI151" s="38"/>
      <c r="AJ151" s="38"/>
    </row>
    <row r="152" spans="1:36" ht="16.2">
      <c r="A152" s="42" t="s">
        <v>302</v>
      </c>
      <c r="B152" s="42">
        <v>659370</v>
      </c>
      <c r="C152" s="42" t="s">
        <v>653</v>
      </c>
      <c r="D152" s="42">
        <v>13207586</v>
      </c>
      <c r="E152" s="43" t="s">
        <v>654</v>
      </c>
      <c r="F152" s="42" t="s">
        <v>683</v>
      </c>
      <c r="G152" s="42" t="s">
        <v>195</v>
      </c>
      <c r="H152" s="42"/>
      <c r="I152" s="42"/>
      <c r="J152" s="42">
        <v>13207586</v>
      </c>
      <c r="K152" s="42"/>
      <c r="L152" s="44">
        <v>45293</v>
      </c>
      <c r="M152" s="44">
        <v>45293</v>
      </c>
      <c r="N152" s="42" t="s">
        <v>656</v>
      </c>
      <c r="O152" s="42">
        <v>0</v>
      </c>
      <c r="P152" s="42">
        <v>20015139</v>
      </c>
      <c r="Q152" s="42" t="s">
        <v>716</v>
      </c>
      <c r="R152" s="45">
        <v>410</v>
      </c>
      <c r="S152" s="42">
        <v>0</v>
      </c>
      <c r="T152" s="47" t="s">
        <v>198</v>
      </c>
      <c r="U152" s="48" t="s">
        <v>199</v>
      </c>
      <c r="V152" s="38"/>
      <c r="W152" s="48" t="s">
        <v>195</v>
      </c>
      <c r="X152" s="38" t="s">
        <v>308</v>
      </c>
      <c r="Y152" s="49" t="s">
        <v>309</v>
      </c>
      <c r="Z152" s="50" t="s">
        <v>717</v>
      </c>
      <c r="AA152" s="38"/>
      <c r="AB152" s="38"/>
      <c r="AC152" s="38"/>
      <c r="AD152" s="51">
        <v>64</v>
      </c>
      <c r="AE152" s="51">
        <v>64</v>
      </c>
      <c r="AF152" s="48" t="s">
        <v>203</v>
      </c>
      <c r="AG152" s="38" t="s">
        <v>204</v>
      </c>
      <c r="AH152" s="52"/>
      <c r="AI152" s="38"/>
      <c r="AJ152" s="38"/>
    </row>
    <row r="153" spans="1:36" ht="16.2">
      <c r="A153" s="53" t="s">
        <v>302</v>
      </c>
      <c r="B153" s="53">
        <v>659370</v>
      </c>
      <c r="C153" s="53" t="s">
        <v>653</v>
      </c>
      <c r="D153" s="53">
        <v>13207586</v>
      </c>
      <c r="E153" s="54" t="s">
        <v>654</v>
      </c>
      <c r="F153" s="53" t="s">
        <v>686</v>
      </c>
      <c r="G153" s="53" t="s">
        <v>195</v>
      </c>
      <c r="H153" s="53"/>
      <c r="I153" s="53"/>
      <c r="J153" s="53">
        <v>13207586</v>
      </c>
      <c r="K153" s="53"/>
      <c r="L153" s="55">
        <v>45293</v>
      </c>
      <c r="M153" s="55">
        <v>45293</v>
      </c>
      <c r="N153" s="53" t="s">
        <v>656</v>
      </c>
      <c r="O153" s="53">
        <v>0</v>
      </c>
      <c r="P153" s="53">
        <v>20015139</v>
      </c>
      <c r="Q153" s="53" t="s">
        <v>718</v>
      </c>
      <c r="R153" s="45">
        <v>410</v>
      </c>
      <c r="S153" s="53">
        <v>0</v>
      </c>
      <c r="T153" s="47" t="s">
        <v>198</v>
      </c>
      <c r="U153" s="48" t="s">
        <v>199</v>
      </c>
      <c r="V153" s="38"/>
      <c r="W153" s="48" t="s">
        <v>195</v>
      </c>
      <c r="X153" s="38" t="s">
        <v>308</v>
      </c>
      <c r="Y153" s="49" t="s">
        <v>309</v>
      </c>
      <c r="Z153" s="50" t="s">
        <v>719</v>
      </c>
      <c r="AA153" s="38"/>
      <c r="AB153" s="38"/>
      <c r="AC153" s="38"/>
      <c r="AD153" s="51">
        <v>64</v>
      </c>
      <c r="AE153" s="51">
        <v>64</v>
      </c>
      <c r="AF153" s="48" t="s">
        <v>203</v>
      </c>
      <c r="AG153" s="38" t="s">
        <v>204</v>
      </c>
      <c r="AH153" s="52"/>
      <c r="AI153" s="38"/>
      <c r="AJ153" s="38"/>
    </row>
    <row r="154" spans="1:36" ht="16.2">
      <c r="A154" s="42" t="s">
        <v>302</v>
      </c>
      <c r="B154" s="42">
        <v>659370</v>
      </c>
      <c r="C154" s="42" t="s">
        <v>653</v>
      </c>
      <c r="D154" s="42">
        <v>13207586</v>
      </c>
      <c r="E154" s="43" t="s">
        <v>654</v>
      </c>
      <c r="F154" s="42" t="s">
        <v>689</v>
      </c>
      <c r="G154" s="42" t="s">
        <v>195</v>
      </c>
      <c r="H154" s="42"/>
      <c r="I154" s="42"/>
      <c r="J154" s="42">
        <v>13207586</v>
      </c>
      <c r="K154" s="42"/>
      <c r="L154" s="44">
        <v>45293</v>
      </c>
      <c r="M154" s="44">
        <v>45293</v>
      </c>
      <c r="N154" s="42" t="s">
        <v>656</v>
      </c>
      <c r="O154" s="42">
        <v>0</v>
      </c>
      <c r="P154" s="42">
        <v>20015139</v>
      </c>
      <c r="Q154" s="42" t="s">
        <v>720</v>
      </c>
      <c r="R154" s="45">
        <v>410</v>
      </c>
      <c r="S154" s="42">
        <v>0</v>
      </c>
      <c r="T154" s="47" t="s">
        <v>198</v>
      </c>
      <c r="U154" s="48" t="s">
        <v>199</v>
      </c>
      <c r="V154" s="38"/>
      <c r="W154" s="48" t="s">
        <v>195</v>
      </c>
      <c r="X154" s="38" t="s">
        <v>308</v>
      </c>
      <c r="Y154" s="49" t="s">
        <v>309</v>
      </c>
      <c r="Z154" s="50" t="s">
        <v>721</v>
      </c>
      <c r="AA154" s="38"/>
      <c r="AB154" s="38"/>
      <c r="AC154" s="38"/>
      <c r="AD154" s="51">
        <v>64</v>
      </c>
      <c r="AE154" s="51">
        <v>64</v>
      </c>
      <c r="AF154" s="48" t="s">
        <v>203</v>
      </c>
      <c r="AG154" s="38" t="s">
        <v>204</v>
      </c>
      <c r="AH154" s="52"/>
      <c r="AI154" s="38"/>
      <c r="AJ154" s="38"/>
    </row>
    <row r="155" spans="1:36" ht="16.2">
      <c r="A155" s="53" t="s">
        <v>302</v>
      </c>
      <c r="B155" s="53">
        <v>659370</v>
      </c>
      <c r="C155" s="53" t="s">
        <v>653</v>
      </c>
      <c r="D155" s="53">
        <v>13207586</v>
      </c>
      <c r="E155" s="54" t="s">
        <v>654</v>
      </c>
      <c r="F155" s="53" t="s">
        <v>692</v>
      </c>
      <c r="G155" s="53" t="s">
        <v>195</v>
      </c>
      <c r="H155" s="53"/>
      <c r="I155" s="53"/>
      <c r="J155" s="53">
        <v>13207586</v>
      </c>
      <c r="K155" s="53"/>
      <c r="L155" s="55">
        <v>45293</v>
      </c>
      <c r="M155" s="55">
        <v>45293</v>
      </c>
      <c r="N155" s="53" t="s">
        <v>656</v>
      </c>
      <c r="O155" s="53">
        <v>0</v>
      </c>
      <c r="P155" s="53">
        <v>20015139</v>
      </c>
      <c r="Q155" s="53" t="s">
        <v>722</v>
      </c>
      <c r="R155" s="45">
        <v>410</v>
      </c>
      <c r="S155" s="53">
        <v>0</v>
      </c>
      <c r="T155" s="47" t="s">
        <v>198</v>
      </c>
      <c r="U155" s="48" t="s">
        <v>199</v>
      </c>
      <c r="V155" s="38"/>
      <c r="W155" s="48" t="s">
        <v>195</v>
      </c>
      <c r="X155" s="38" t="s">
        <v>308</v>
      </c>
      <c r="Y155" s="49" t="s">
        <v>309</v>
      </c>
      <c r="Z155" s="59" t="s">
        <v>723</v>
      </c>
      <c r="AA155" s="38"/>
      <c r="AB155" s="38"/>
      <c r="AC155" s="38"/>
      <c r="AD155" s="51">
        <v>64</v>
      </c>
      <c r="AE155" s="51">
        <v>64</v>
      </c>
      <c r="AF155" s="48" t="s">
        <v>203</v>
      </c>
      <c r="AG155" s="38" t="s">
        <v>204</v>
      </c>
      <c r="AH155" s="52"/>
      <c r="AI155" s="38"/>
      <c r="AJ155" s="38"/>
    </row>
    <row r="156" spans="1:36" ht="16.2">
      <c r="A156" s="42" t="s">
        <v>302</v>
      </c>
      <c r="B156" s="42">
        <v>659370</v>
      </c>
      <c r="C156" s="42" t="s">
        <v>653</v>
      </c>
      <c r="D156" s="42">
        <v>13207586</v>
      </c>
      <c r="E156" s="43" t="s">
        <v>654</v>
      </c>
      <c r="F156" s="42" t="s">
        <v>695</v>
      </c>
      <c r="G156" s="42" t="s">
        <v>195</v>
      </c>
      <c r="H156" s="42"/>
      <c r="I156" s="42"/>
      <c r="J156" s="42">
        <v>13207586</v>
      </c>
      <c r="K156" s="42"/>
      <c r="L156" s="44">
        <v>45293</v>
      </c>
      <c r="M156" s="44">
        <v>45293</v>
      </c>
      <c r="N156" s="42" t="s">
        <v>656</v>
      </c>
      <c r="O156" s="42">
        <v>0</v>
      </c>
      <c r="P156" s="42">
        <v>20015139</v>
      </c>
      <c r="Q156" s="42" t="s">
        <v>724</v>
      </c>
      <c r="R156" s="45">
        <v>410</v>
      </c>
      <c r="S156" s="42">
        <v>0</v>
      </c>
      <c r="T156" s="47" t="s">
        <v>198</v>
      </c>
      <c r="U156" s="48" t="s">
        <v>199</v>
      </c>
      <c r="V156" s="38"/>
      <c r="W156" s="48" t="s">
        <v>195</v>
      </c>
      <c r="X156" s="38" t="s">
        <v>308</v>
      </c>
      <c r="Y156" s="49" t="s">
        <v>309</v>
      </c>
      <c r="Z156" s="50" t="s">
        <v>725</v>
      </c>
      <c r="AA156" s="38"/>
      <c r="AB156" s="38"/>
      <c r="AC156" s="38"/>
      <c r="AD156" s="51">
        <v>64</v>
      </c>
      <c r="AE156" s="51">
        <v>64</v>
      </c>
      <c r="AF156" s="48" t="s">
        <v>203</v>
      </c>
      <c r="AG156" s="38" t="s">
        <v>204</v>
      </c>
      <c r="AH156" s="52"/>
      <c r="AI156" s="38"/>
      <c r="AJ156" s="38"/>
    </row>
    <row r="157" spans="1:36" ht="16.2">
      <c r="A157" s="53" t="s">
        <v>340</v>
      </c>
      <c r="B157" s="53">
        <v>829011</v>
      </c>
      <c r="C157" s="53" t="s">
        <v>726</v>
      </c>
      <c r="D157" s="53">
        <v>13207637</v>
      </c>
      <c r="E157" s="54" t="s">
        <v>727</v>
      </c>
      <c r="F157" s="53" t="s">
        <v>728</v>
      </c>
      <c r="G157" s="53" t="s">
        <v>195</v>
      </c>
      <c r="H157" s="53" t="s">
        <v>729</v>
      </c>
      <c r="I157" s="53">
        <v>23803128</v>
      </c>
      <c r="J157" s="53">
        <v>13207637</v>
      </c>
      <c r="K157" s="53"/>
      <c r="L157" s="55">
        <v>45293</v>
      </c>
      <c r="M157" s="55">
        <v>45293</v>
      </c>
      <c r="N157" s="53" t="s">
        <v>730</v>
      </c>
      <c r="O157" s="53">
        <v>0</v>
      </c>
      <c r="P157" s="53">
        <v>20022138</v>
      </c>
      <c r="Q157" s="53" t="s">
        <v>731</v>
      </c>
      <c r="R157" s="45">
        <v>410</v>
      </c>
      <c r="S157" s="53">
        <v>0</v>
      </c>
      <c r="T157" s="47" t="s">
        <v>198</v>
      </c>
      <c r="U157" s="48" t="s">
        <v>199</v>
      </c>
      <c r="V157" s="38"/>
      <c r="W157" s="48" t="s">
        <v>195</v>
      </c>
      <c r="X157" s="38" t="s">
        <v>308</v>
      </c>
      <c r="Y157" s="49" t="s">
        <v>309</v>
      </c>
      <c r="Z157" s="50" t="s">
        <v>732</v>
      </c>
      <c r="AA157" s="47" t="s">
        <v>733</v>
      </c>
      <c r="AB157" s="47" t="s">
        <v>734</v>
      </c>
      <c r="AC157" s="47" t="s">
        <v>735</v>
      </c>
      <c r="AD157" s="51">
        <v>9</v>
      </c>
      <c r="AE157" s="51">
        <v>9</v>
      </c>
      <c r="AF157" s="48" t="s">
        <v>203</v>
      </c>
      <c r="AG157" s="38" t="s">
        <v>204</v>
      </c>
      <c r="AH157" s="52"/>
      <c r="AI157" s="38"/>
      <c r="AJ157" s="38"/>
    </row>
    <row r="158" spans="1:36" ht="16.2">
      <c r="A158" s="42" t="s">
        <v>340</v>
      </c>
      <c r="B158" s="42">
        <v>829011</v>
      </c>
      <c r="C158" s="42" t="s">
        <v>726</v>
      </c>
      <c r="D158" s="42">
        <v>13207637</v>
      </c>
      <c r="E158" s="43" t="s">
        <v>727</v>
      </c>
      <c r="F158" s="42" t="s">
        <v>736</v>
      </c>
      <c r="G158" s="42" t="s">
        <v>195</v>
      </c>
      <c r="H158" s="42"/>
      <c r="I158" s="42"/>
      <c r="J158" s="42">
        <v>13207637</v>
      </c>
      <c r="K158" s="42"/>
      <c r="L158" s="44">
        <v>45293</v>
      </c>
      <c r="M158" s="44">
        <v>45293</v>
      </c>
      <c r="N158" s="42" t="s">
        <v>730</v>
      </c>
      <c r="O158" s="42">
        <v>0</v>
      </c>
      <c r="P158" s="42">
        <v>20022138</v>
      </c>
      <c r="Q158" s="42" t="s">
        <v>737</v>
      </c>
      <c r="R158" s="45">
        <v>410</v>
      </c>
      <c r="S158" s="42">
        <v>0</v>
      </c>
      <c r="T158" s="47" t="s">
        <v>198</v>
      </c>
      <c r="U158" s="48" t="s">
        <v>199</v>
      </c>
      <c r="V158" s="38"/>
      <c r="W158" s="48" t="s">
        <v>195</v>
      </c>
      <c r="X158" s="38" t="s">
        <v>308</v>
      </c>
      <c r="Y158" s="49" t="s">
        <v>309</v>
      </c>
      <c r="Z158" s="50" t="s">
        <v>738</v>
      </c>
      <c r="AA158" s="38"/>
      <c r="AB158" s="38"/>
      <c r="AC158" s="38"/>
      <c r="AD158" s="51">
        <v>9</v>
      </c>
      <c r="AE158" s="51">
        <v>9</v>
      </c>
      <c r="AF158" s="48" t="s">
        <v>203</v>
      </c>
      <c r="AG158" s="38" t="s">
        <v>204</v>
      </c>
      <c r="AH158" s="52"/>
      <c r="AI158" s="38"/>
      <c r="AJ158" s="38"/>
    </row>
    <row r="159" spans="1:36" ht="16.2">
      <c r="A159" s="53" t="s">
        <v>340</v>
      </c>
      <c r="B159" s="53">
        <v>829011</v>
      </c>
      <c r="C159" s="53" t="s">
        <v>726</v>
      </c>
      <c r="D159" s="53">
        <v>13207637</v>
      </c>
      <c r="E159" s="54" t="s">
        <v>727</v>
      </c>
      <c r="F159" s="53" t="s">
        <v>739</v>
      </c>
      <c r="G159" s="53" t="s">
        <v>195</v>
      </c>
      <c r="H159" s="53"/>
      <c r="I159" s="53"/>
      <c r="J159" s="53">
        <v>13207637</v>
      </c>
      <c r="K159" s="53"/>
      <c r="L159" s="55">
        <v>45293</v>
      </c>
      <c r="M159" s="55">
        <v>45293</v>
      </c>
      <c r="N159" s="53" t="s">
        <v>730</v>
      </c>
      <c r="O159" s="53">
        <v>0</v>
      </c>
      <c r="P159" s="53">
        <v>20022138</v>
      </c>
      <c r="Q159" s="53" t="s">
        <v>740</v>
      </c>
      <c r="R159" s="45">
        <v>410</v>
      </c>
      <c r="S159" s="53">
        <v>0</v>
      </c>
      <c r="T159" s="47" t="s">
        <v>198</v>
      </c>
      <c r="U159" s="48" t="s">
        <v>199</v>
      </c>
      <c r="V159" s="38"/>
      <c r="W159" s="48" t="s">
        <v>195</v>
      </c>
      <c r="X159" s="38" t="s">
        <v>308</v>
      </c>
      <c r="Y159" s="49" t="s">
        <v>309</v>
      </c>
      <c r="Z159" s="50" t="s">
        <v>741</v>
      </c>
      <c r="AA159" s="38"/>
      <c r="AB159" s="38"/>
      <c r="AC159" s="38"/>
      <c r="AD159" s="51">
        <v>9</v>
      </c>
      <c r="AE159" s="51">
        <v>9</v>
      </c>
      <c r="AF159" s="48" t="s">
        <v>203</v>
      </c>
      <c r="AG159" s="38" t="s">
        <v>204</v>
      </c>
      <c r="AH159" s="52"/>
      <c r="AI159" s="38"/>
      <c r="AJ159" s="38"/>
    </row>
    <row r="160" spans="1:36" ht="16.2">
      <c r="A160" s="42" t="s">
        <v>340</v>
      </c>
      <c r="B160" s="42">
        <v>829011</v>
      </c>
      <c r="C160" s="42" t="s">
        <v>726</v>
      </c>
      <c r="D160" s="42">
        <v>13207637</v>
      </c>
      <c r="E160" s="43" t="s">
        <v>727</v>
      </c>
      <c r="F160" s="42" t="s">
        <v>742</v>
      </c>
      <c r="G160" s="42" t="s">
        <v>195</v>
      </c>
      <c r="H160" s="42"/>
      <c r="I160" s="42"/>
      <c r="J160" s="42">
        <v>13207637</v>
      </c>
      <c r="K160" s="42"/>
      <c r="L160" s="44">
        <v>45293</v>
      </c>
      <c r="M160" s="44">
        <v>45293</v>
      </c>
      <c r="N160" s="42" t="s">
        <v>730</v>
      </c>
      <c r="O160" s="42">
        <v>0</v>
      </c>
      <c r="P160" s="42">
        <v>20022138</v>
      </c>
      <c r="Q160" s="42" t="s">
        <v>743</v>
      </c>
      <c r="R160" s="45">
        <v>410</v>
      </c>
      <c r="S160" s="42">
        <v>0</v>
      </c>
      <c r="T160" s="47" t="s">
        <v>198</v>
      </c>
      <c r="U160" s="48" t="s">
        <v>199</v>
      </c>
      <c r="V160" s="38"/>
      <c r="W160" s="48" t="s">
        <v>195</v>
      </c>
      <c r="X160" s="38" t="s">
        <v>308</v>
      </c>
      <c r="Y160" s="49" t="s">
        <v>309</v>
      </c>
      <c r="Z160" s="50" t="s">
        <v>744</v>
      </c>
      <c r="AA160" s="38"/>
      <c r="AB160" s="38"/>
      <c r="AC160" s="38"/>
      <c r="AD160" s="51">
        <v>9</v>
      </c>
      <c r="AE160" s="51">
        <v>9</v>
      </c>
      <c r="AF160" s="48" t="s">
        <v>203</v>
      </c>
      <c r="AG160" s="38" t="s">
        <v>204</v>
      </c>
      <c r="AH160" s="52"/>
      <c r="AI160" s="38"/>
      <c r="AJ160" s="38"/>
    </row>
    <row r="161" spans="1:36" ht="16.2">
      <c r="A161" s="53" t="s">
        <v>340</v>
      </c>
      <c r="B161" s="53">
        <v>829011</v>
      </c>
      <c r="C161" s="53" t="s">
        <v>726</v>
      </c>
      <c r="D161" s="53">
        <v>13207637</v>
      </c>
      <c r="E161" s="54" t="s">
        <v>727</v>
      </c>
      <c r="F161" s="53" t="s">
        <v>745</v>
      </c>
      <c r="G161" s="53" t="s">
        <v>195</v>
      </c>
      <c r="H161" s="53"/>
      <c r="I161" s="53"/>
      <c r="J161" s="53">
        <v>13207637</v>
      </c>
      <c r="K161" s="53"/>
      <c r="L161" s="55">
        <v>45293</v>
      </c>
      <c r="M161" s="55">
        <v>45293</v>
      </c>
      <c r="N161" s="53" t="s">
        <v>730</v>
      </c>
      <c r="O161" s="53">
        <v>0</v>
      </c>
      <c r="P161" s="53">
        <v>20022138</v>
      </c>
      <c r="Q161" s="53" t="s">
        <v>746</v>
      </c>
      <c r="R161" s="45">
        <v>410</v>
      </c>
      <c r="S161" s="53">
        <v>0</v>
      </c>
      <c r="T161" s="47" t="s">
        <v>198</v>
      </c>
      <c r="U161" s="48" t="s">
        <v>199</v>
      </c>
      <c r="V161" s="38"/>
      <c r="W161" s="48" t="s">
        <v>195</v>
      </c>
      <c r="X161" s="38" t="s">
        <v>308</v>
      </c>
      <c r="Y161" s="49" t="s">
        <v>309</v>
      </c>
      <c r="Z161" s="50" t="s">
        <v>747</v>
      </c>
      <c r="AA161" s="38"/>
      <c r="AB161" s="38"/>
      <c r="AC161" s="38"/>
      <c r="AD161" s="51">
        <v>9</v>
      </c>
      <c r="AE161" s="51">
        <v>9</v>
      </c>
      <c r="AF161" s="48" t="s">
        <v>203</v>
      </c>
      <c r="AG161" s="38" t="s">
        <v>204</v>
      </c>
      <c r="AH161" s="52"/>
      <c r="AI161" s="38"/>
      <c r="AJ161" s="38"/>
    </row>
    <row r="162" spans="1:36" ht="16.2">
      <c r="A162" s="42" t="s">
        <v>340</v>
      </c>
      <c r="B162" s="42">
        <v>829011</v>
      </c>
      <c r="C162" s="42" t="s">
        <v>726</v>
      </c>
      <c r="D162" s="42">
        <v>13207637</v>
      </c>
      <c r="E162" s="43" t="s">
        <v>727</v>
      </c>
      <c r="F162" s="42" t="s">
        <v>211</v>
      </c>
      <c r="G162" s="42" t="s">
        <v>195</v>
      </c>
      <c r="H162" s="42"/>
      <c r="I162" s="42"/>
      <c r="J162" s="42">
        <v>13207637</v>
      </c>
      <c r="K162" s="42"/>
      <c r="L162" s="44">
        <v>45293</v>
      </c>
      <c r="M162" s="44">
        <v>45293</v>
      </c>
      <c r="N162" s="42" t="s">
        <v>730</v>
      </c>
      <c r="O162" s="42">
        <v>0</v>
      </c>
      <c r="P162" s="42">
        <v>20022138</v>
      </c>
      <c r="Q162" s="42" t="s">
        <v>748</v>
      </c>
      <c r="R162" s="45">
        <v>410</v>
      </c>
      <c r="S162" s="42">
        <v>0</v>
      </c>
      <c r="T162" s="47" t="s">
        <v>198</v>
      </c>
      <c r="U162" s="48" t="s">
        <v>199</v>
      </c>
      <c r="V162" s="38"/>
      <c r="W162" s="48" t="s">
        <v>195</v>
      </c>
      <c r="X162" s="38" t="s">
        <v>308</v>
      </c>
      <c r="Y162" s="49" t="s">
        <v>309</v>
      </c>
      <c r="Z162" s="50" t="s">
        <v>749</v>
      </c>
      <c r="AA162" s="38"/>
      <c r="AB162" s="38"/>
      <c r="AC162" s="38"/>
      <c r="AD162" s="51">
        <v>9</v>
      </c>
      <c r="AE162" s="51">
        <v>9</v>
      </c>
      <c r="AF162" s="48" t="s">
        <v>203</v>
      </c>
      <c r="AG162" s="38" t="s">
        <v>204</v>
      </c>
      <c r="AH162" s="52"/>
      <c r="AI162" s="38"/>
      <c r="AJ162" s="38"/>
    </row>
    <row r="163" spans="1:36" ht="16.2">
      <c r="A163" s="53" t="s">
        <v>340</v>
      </c>
      <c r="B163" s="53">
        <v>829011</v>
      </c>
      <c r="C163" s="53" t="s">
        <v>726</v>
      </c>
      <c r="D163" s="53">
        <v>13207637</v>
      </c>
      <c r="E163" s="54" t="s">
        <v>727</v>
      </c>
      <c r="F163" s="53" t="s">
        <v>750</v>
      </c>
      <c r="G163" s="53" t="s">
        <v>195</v>
      </c>
      <c r="H163" s="53"/>
      <c r="I163" s="53"/>
      <c r="J163" s="53">
        <v>13207637</v>
      </c>
      <c r="K163" s="53"/>
      <c r="L163" s="55">
        <v>45293</v>
      </c>
      <c r="M163" s="55">
        <v>45293</v>
      </c>
      <c r="N163" s="53" t="s">
        <v>730</v>
      </c>
      <c r="O163" s="56">
        <v>0</v>
      </c>
      <c r="P163" s="53">
        <v>20022138</v>
      </c>
      <c r="Q163" s="53" t="s">
        <v>751</v>
      </c>
      <c r="R163" s="45">
        <v>410</v>
      </c>
      <c r="S163" s="56">
        <v>0</v>
      </c>
      <c r="T163" s="47" t="s">
        <v>198</v>
      </c>
      <c r="U163" s="48" t="s">
        <v>199</v>
      </c>
      <c r="V163" s="38"/>
      <c r="W163" s="48" t="s">
        <v>195</v>
      </c>
      <c r="X163" s="38" t="s">
        <v>308</v>
      </c>
      <c r="Y163" s="49" t="s">
        <v>309</v>
      </c>
      <c r="Z163" s="50" t="s">
        <v>752</v>
      </c>
      <c r="AA163" s="38"/>
      <c r="AB163" s="38"/>
      <c r="AC163" s="38"/>
      <c r="AD163" s="51">
        <v>9</v>
      </c>
      <c r="AE163" s="51">
        <v>9</v>
      </c>
      <c r="AF163" s="48" t="s">
        <v>203</v>
      </c>
      <c r="AG163" s="38" t="s">
        <v>204</v>
      </c>
      <c r="AH163" s="52"/>
      <c r="AI163" s="38"/>
      <c r="AJ163" s="38"/>
    </row>
    <row r="164" spans="1:36" ht="16.2">
      <c r="A164" s="42" t="s">
        <v>340</v>
      </c>
      <c r="B164" s="42">
        <v>829011</v>
      </c>
      <c r="C164" s="42" t="s">
        <v>726</v>
      </c>
      <c r="D164" s="42">
        <v>13207637</v>
      </c>
      <c r="E164" s="43" t="s">
        <v>727</v>
      </c>
      <c r="F164" s="42" t="s">
        <v>753</v>
      </c>
      <c r="G164" s="42" t="s">
        <v>195</v>
      </c>
      <c r="H164" s="42"/>
      <c r="I164" s="42"/>
      <c r="J164" s="42">
        <v>13207637</v>
      </c>
      <c r="K164" s="42"/>
      <c r="L164" s="44">
        <v>45293</v>
      </c>
      <c r="M164" s="44">
        <v>45293</v>
      </c>
      <c r="N164" s="42" t="s">
        <v>730</v>
      </c>
      <c r="O164" s="46">
        <v>0.01</v>
      </c>
      <c r="P164" s="42">
        <v>20022138</v>
      </c>
      <c r="Q164" s="42" t="s">
        <v>754</v>
      </c>
      <c r="R164" s="45">
        <v>410</v>
      </c>
      <c r="S164" s="46">
        <v>0.01</v>
      </c>
      <c r="T164" s="47" t="s">
        <v>198</v>
      </c>
      <c r="U164" s="48" t="s">
        <v>199</v>
      </c>
      <c r="V164" s="38"/>
      <c r="W164" s="48" t="s">
        <v>195</v>
      </c>
      <c r="X164" s="38" t="s">
        <v>308</v>
      </c>
      <c r="Y164" s="49" t="s">
        <v>309</v>
      </c>
      <c r="Z164" s="50" t="s">
        <v>755</v>
      </c>
      <c r="AA164" s="38"/>
      <c r="AB164" s="38"/>
      <c r="AC164" s="38"/>
      <c r="AD164" s="51">
        <v>9</v>
      </c>
      <c r="AE164" s="51">
        <v>9</v>
      </c>
      <c r="AF164" s="48" t="s">
        <v>203</v>
      </c>
      <c r="AG164" s="38" t="s">
        <v>204</v>
      </c>
      <c r="AH164" s="52"/>
      <c r="AI164" s="38"/>
      <c r="AJ164" s="38"/>
    </row>
    <row r="165" spans="1:36" ht="16.2">
      <c r="A165" s="53" t="s">
        <v>340</v>
      </c>
      <c r="B165" s="53">
        <v>829011</v>
      </c>
      <c r="C165" s="53" t="s">
        <v>726</v>
      </c>
      <c r="D165" s="53">
        <v>13207637</v>
      </c>
      <c r="E165" s="54" t="s">
        <v>727</v>
      </c>
      <c r="F165" s="53" t="s">
        <v>756</v>
      </c>
      <c r="G165" s="53" t="s">
        <v>195</v>
      </c>
      <c r="H165" s="53"/>
      <c r="I165" s="53"/>
      <c r="J165" s="53">
        <v>13207637</v>
      </c>
      <c r="K165" s="53"/>
      <c r="L165" s="55">
        <v>45293</v>
      </c>
      <c r="M165" s="55">
        <v>45293</v>
      </c>
      <c r="N165" s="53" t="s">
        <v>730</v>
      </c>
      <c r="O165" s="56">
        <v>0.01</v>
      </c>
      <c r="P165" s="53">
        <v>20022138</v>
      </c>
      <c r="Q165" s="53" t="s">
        <v>757</v>
      </c>
      <c r="R165" s="45">
        <v>410</v>
      </c>
      <c r="S165" s="56">
        <v>0.01</v>
      </c>
      <c r="T165" s="47" t="s">
        <v>198</v>
      </c>
      <c r="U165" s="48" t="s">
        <v>199</v>
      </c>
      <c r="V165" s="38"/>
      <c r="W165" s="48" t="s">
        <v>195</v>
      </c>
      <c r="X165" s="38" t="s">
        <v>308</v>
      </c>
      <c r="Y165" s="49" t="s">
        <v>309</v>
      </c>
      <c r="Z165" s="50" t="s">
        <v>758</v>
      </c>
      <c r="AA165" s="38"/>
      <c r="AB165" s="38"/>
      <c r="AC165" s="38"/>
      <c r="AD165" s="51">
        <v>9</v>
      </c>
      <c r="AE165" s="51">
        <v>9</v>
      </c>
      <c r="AF165" s="48" t="s">
        <v>203</v>
      </c>
      <c r="AG165" s="38" t="s">
        <v>204</v>
      </c>
      <c r="AH165" s="52"/>
      <c r="AI165" s="38"/>
      <c r="AJ165" s="38"/>
    </row>
    <row r="166" spans="1:36" ht="16.2">
      <c r="A166" s="42" t="s">
        <v>759</v>
      </c>
      <c r="B166" s="42">
        <v>74928605</v>
      </c>
      <c r="C166" s="42" t="s">
        <v>760</v>
      </c>
      <c r="D166" s="42">
        <v>13207552</v>
      </c>
      <c r="E166" s="43" t="s">
        <v>761</v>
      </c>
      <c r="F166" s="42" t="s">
        <v>762</v>
      </c>
      <c r="G166" s="42" t="s">
        <v>195</v>
      </c>
      <c r="H166" s="42"/>
      <c r="I166" s="42"/>
      <c r="J166" s="42">
        <v>13207552</v>
      </c>
      <c r="K166" s="42"/>
      <c r="L166" s="44">
        <v>45293</v>
      </c>
      <c r="M166" s="44">
        <v>45293</v>
      </c>
      <c r="N166" s="42" t="s">
        <v>763</v>
      </c>
      <c r="O166" s="46">
        <v>0.01</v>
      </c>
      <c r="P166" s="42">
        <v>20062055</v>
      </c>
      <c r="Q166" s="42" t="s">
        <v>764</v>
      </c>
      <c r="R166" s="45">
        <v>410</v>
      </c>
      <c r="S166" s="46">
        <v>0.01</v>
      </c>
      <c r="T166" s="47" t="s">
        <v>198</v>
      </c>
      <c r="U166" s="48" t="s">
        <v>199</v>
      </c>
      <c r="V166" s="38"/>
      <c r="W166" s="48" t="s">
        <v>195</v>
      </c>
      <c r="X166" s="38" t="s">
        <v>308</v>
      </c>
      <c r="Y166" s="49" t="s">
        <v>309</v>
      </c>
      <c r="Z166" s="50" t="s">
        <v>765</v>
      </c>
      <c r="AA166" s="38"/>
      <c r="AB166" s="38"/>
      <c r="AC166" s="38"/>
      <c r="AD166" s="51">
        <v>58</v>
      </c>
      <c r="AE166" s="51">
        <v>58</v>
      </c>
      <c r="AF166" s="48" t="s">
        <v>203</v>
      </c>
      <c r="AG166" s="38" t="s">
        <v>204</v>
      </c>
      <c r="AH166" s="52"/>
      <c r="AI166" s="38"/>
      <c r="AJ166" s="38"/>
    </row>
    <row r="167" spans="1:36" ht="16.2">
      <c r="A167" s="53" t="s">
        <v>759</v>
      </c>
      <c r="B167" s="53">
        <v>74928606</v>
      </c>
      <c r="C167" s="53" t="s">
        <v>766</v>
      </c>
      <c r="D167" s="53">
        <v>13207553</v>
      </c>
      <c r="E167" s="54" t="s">
        <v>767</v>
      </c>
      <c r="F167" s="53" t="s">
        <v>768</v>
      </c>
      <c r="G167" s="53" t="s">
        <v>195</v>
      </c>
      <c r="H167" s="53"/>
      <c r="I167" s="53"/>
      <c r="J167" s="53">
        <v>13207553</v>
      </c>
      <c r="K167" s="53"/>
      <c r="L167" s="55">
        <v>45293</v>
      </c>
      <c r="M167" s="55">
        <v>45293</v>
      </c>
      <c r="N167" s="53" t="s">
        <v>763</v>
      </c>
      <c r="O167" s="56">
        <v>0.01</v>
      </c>
      <c r="P167" s="53">
        <v>20062055</v>
      </c>
      <c r="Q167" s="53" t="s">
        <v>769</v>
      </c>
      <c r="R167" s="45">
        <v>410</v>
      </c>
      <c r="S167" s="56">
        <v>0.01</v>
      </c>
      <c r="T167" s="47" t="s">
        <v>198</v>
      </c>
      <c r="U167" s="48" t="s">
        <v>199</v>
      </c>
      <c r="V167" s="38"/>
      <c r="W167" s="48" t="s">
        <v>195</v>
      </c>
      <c r="X167" s="38" t="s">
        <v>308</v>
      </c>
      <c r="Y167" s="49" t="s">
        <v>309</v>
      </c>
      <c r="Z167" s="50" t="s">
        <v>770</v>
      </c>
      <c r="AA167" s="38"/>
      <c r="AB167" s="38"/>
      <c r="AC167" s="38"/>
      <c r="AD167" s="51">
        <v>58</v>
      </c>
      <c r="AE167" s="51">
        <v>58</v>
      </c>
      <c r="AF167" s="48" t="s">
        <v>203</v>
      </c>
      <c r="AG167" s="38" t="s">
        <v>204</v>
      </c>
      <c r="AH167" s="52"/>
      <c r="AI167" s="38"/>
      <c r="AJ167" s="38"/>
    </row>
    <row r="168" spans="1:36" ht="16.2">
      <c r="A168" s="42" t="s">
        <v>759</v>
      </c>
      <c r="B168" s="42">
        <v>74928607</v>
      </c>
      <c r="C168" s="42" t="s">
        <v>771</v>
      </c>
      <c r="D168" s="42">
        <v>13207554</v>
      </c>
      <c r="E168" s="43" t="s">
        <v>772</v>
      </c>
      <c r="F168" s="42" t="s">
        <v>773</v>
      </c>
      <c r="G168" s="42" t="s">
        <v>195</v>
      </c>
      <c r="H168" s="42"/>
      <c r="I168" s="42"/>
      <c r="J168" s="42">
        <v>13207554</v>
      </c>
      <c r="K168" s="42"/>
      <c r="L168" s="44">
        <v>45293</v>
      </c>
      <c r="M168" s="44">
        <v>45293</v>
      </c>
      <c r="N168" s="42" t="s">
        <v>763</v>
      </c>
      <c r="O168" s="46">
        <v>0.01</v>
      </c>
      <c r="P168" s="42">
        <v>20062055</v>
      </c>
      <c r="Q168" s="42" t="s">
        <v>774</v>
      </c>
      <c r="R168" s="45">
        <v>410</v>
      </c>
      <c r="S168" s="46">
        <v>0.01</v>
      </c>
      <c r="T168" s="47" t="s">
        <v>198</v>
      </c>
      <c r="U168" s="48" t="s">
        <v>199</v>
      </c>
      <c r="V168" s="38"/>
      <c r="W168" s="48" t="s">
        <v>195</v>
      </c>
      <c r="X168" s="38" t="s">
        <v>308</v>
      </c>
      <c r="Y168" s="49" t="s">
        <v>309</v>
      </c>
      <c r="Z168" s="50" t="s">
        <v>775</v>
      </c>
      <c r="AA168" s="38"/>
      <c r="AB168" s="38"/>
      <c r="AC168" s="38"/>
      <c r="AD168" s="51">
        <v>58</v>
      </c>
      <c r="AE168" s="51">
        <v>58</v>
      </c>
      <c r="AF168" s="48" t="s">
        <v>203</v>
      </c>
      <c r="AG168" s="38" t="s">
        <v>204</v>
      </c>
      <c r="AH168" s="52"/>
      <c r="AI168" s="38"/>
      <c r="AJ168" s="38"/>
    </row>
    <row r="169" spans="1:36" ht="16.2">
      <c r="A169" s="53" t="s">
        <v>759</v>
      </c>
      <c r="B169" s="53">
        <v>74928608</v>
      </c>
      <c r="C169" s="53" t="s">
        <v>776</v>
      </c>
      <c r="D169" s="53">
        <v>13207555</v>
      </c>
      <c r="E169" s="54" t="s">
        <v>777</v>
      </c>
      <c r="F169" s="53" t="s">
        <v>778</v>
      </c>
      <c r="G169" s="53" t="s">
        <v>195</v>
      </c>
      <c r="H169" s="53"/>
      <c r="I169" s="53"/>
      <c r="J169" s="53">
        <v>13207555</v>
      </c>
      <c r="K169" s="53"/>
      <c r="L169" s="55">
        <v>45293</v>
      </c>
      <c r="M169" s="55">
        <v>45293</v>
      </c>
      <c r="N169" s="53" t="s">
        <v>763</v>
      </c>
      <c r="O169" s="56">
        <v>0.01</v>
      </c>
      <c r="P169" s="53">
        <v>20062055</v>
      </c>
      <c r="Q169" s="53" t="s">
        <v>779</v>
      </c>
      <c r="R169" s="45">
        <v>410</v>
      </c>
      <c r="S169" s="56">
        <v>0.01</v>
      </c>
      <c r="T169" s="47" t="s">
        <v>198</v>
      </c>
      <c r="U169" s="48" t="s">
        <v>199</v>
      </c>
      <c r="V169" s="38"/>
      <c r="W169" s="48" t="s">
        <v>195</v>
      </c>
      <c r="X169" s="38" t="s">
        <v>308</v>
      </c>
      <c r="Y169" s="49" t="s">
        <v>309</v>
      </c>
      <c r="Z169" s="50" t="s">
        <v>780</v>
      </c>
      <c r="AA169" s="38"/>
      <c r="AB169" s="38"/>
      <c r="AC169" s="38"/>
      <c r="AD169" s="51">
        <v>58</v>
      </c>
      <c r="AE169" s="51">
        <v>58</v>
      </c>
      <c r="AF169" s="48" t="s">
        <v>203</v>
      </c>
      <c r="AG169" s="38" t="s">
        <v>204</v>
      </c>
      <c r="AH169" s="52"/>
      <c r="AI169" s="38"/>
      <c r="AJ169" s="38"/>
    </row>
    <row r="170" spans="1:36" ht="16.2">
      <c r="A170" s="42" t="s">
        <v>759</v>
      </c>
      <c r="B170" s="42">
        <v>74928609</v>
      </c>
      <c r="C170" s="42" t="s">
        <v>781</v>
      </c>
      <c r="D170" s="42">
        <v>13207556</v>
      </c>
      <c r="E170" s="43" t="s">
        <v>782</v>
      </c>
      <c r="F170" s="42" t="s">
        <v>783</v>
      </c>
      <c r="G170" s="42" t="s">
        <v>195</v>
      </c>
      <c r="H170" s="42"/>
      <c r="I170" s="42"/>
      <c r="J170" s="42">
        <v>13207556</v>
      </c>
      <c r="K170" s="42"/>
      <c r="L170" s="44">
        <v>45293</v>
      </c>
      <c r="M170" s="44">
        <v>45293</v>
      </c>
      <c r="N170" s="42" t="s">
        <v>763</v>
      </c>
      <c r="O170" s="46">
        <v>0.01</v>
      </c>
      <c r="P170" s="42">
        <v>20062055</v>
      </c>
      <c r="Q170" s="42" t="s">
        <v>784</v>
      </c>
      <c r="R170" s="45">
        <v>410</v>
      </c>
      <c r="S170" s="46">
        <v>0.01</v>
      </c>
      <c r="T170" s="47" t="s">
        <v>198</v>
      </c>
      <c r="U170" s="48" t="s">
        <v>199</v>
      </c>
      <c r="V170" s="38"/>
      <c r="W170" s="48" t="s">
        <v>195</v>
      </c>
      <c r="X170" s="38" t="s">
        <v>308</v>
      </c>
      <c r="Y170" s="49" t="s">
        <v>309</v>
      </c>
      <c r="Z170" s="50" t="s">
        <v>785</v>
      </c>
      <c r="AA170" s="38"/>
      <c r="AB170" s="38"/>
      <c r="AC170" s="38"/>
      <c r="AD170" s="51">
        <v>58</v>
      </c>
      <c r="AE170" s="51">
        <v>58</v>
      </c>
      <c r="AF170" s="48" t="s">
        <v>203</v>
      </c>
      <c r="AG170" s="38" t="s">
        <v>204</v>
      </c>
      <c r="AH170" s="52"/>
      <c r="AI170" s="38"/>
      <c r="AJ170" s="38"/>
    </row>
    <row r="171" spans="1:36" ht="16.2">
      <c r="A171" s="53" t="s">
        <v>759</v>
      </c>
      <c r="B171" s="53">
        <v>74928610</v>
      </c>
      <c r="C171" s="53" t="s">
        <v>786</v>
      </c>
      <c r="D171" s="53">
        <v>13207557</v>
      </c>
      <c r="E171" s="54" t="s">
        <v>787</v>
      </c>
      <c r="F171" s="53" t="s">
        <v>788</v>
      </c>
      <c r="G171" s="53" t="s">
        <v>195</v>
      </c>
      <c r="H171" s="53"/>
      <c r="I171" s="53"/>
      <c r="J171" s="53">
        <v>13207557</v>
      </c>
      <c r="K171" s="53"/>
      <c r="L171" s="55">
        <v>45293</v>
      </c>
      <c r="M171" s="55">
        <v>45293</v>
      </c>
      <c r="N171" s="53" t="s">
        <v>763</v>
      </c>
      <c r="O171" s="56">
        <v>0.01</v>
      </c>
      <c r="P171" s="53">
        <v>20062055</v>
      </c>
      <c r="Q171" s="53" t="s">
        <v>789</v>
      </c>
      <c r="R171" s="45">
        <v>410</v>
      </c>
      <c r="S171" s="56">
        <v>0.01</v>
      </c>
      <c r="T171" s="47" t="s">
        <v>198</v>
      </c>
      <c r="U171" s="48" t="s">
        <v>199</v>
      </c>
      <c r="V171" s="38"/>
      <c r="W171" s="48" t="s">
        <v>195</v>
      </c>
      <c r="X171" s="38" t="s">
        <v>308</v>
      </c>
      <c r="Y171" s="49" t="s">
        <v>309</v>
      </c>
      <c r="Z171" s="50" t="s">
        <v>790</v>
      </c>
      <c r="AA171" s="38"/>
      <c r="AB171" s="38"/>
      <c r="AC171" s="38"/>
      <c r="AD171" s="51">
        <v>58</v>
      </c>
      <c r="AE171" s="51">
        <v>58</v>
      </c>
      <c r="AF171" s="48" t="s">
        <v>203</v>
      </c>
      <c r="AG171" s="38" t="s">
        <v>204</v>
      </c>
      <c r="AH171" s="52"/>
      <c r="AI171" s="38"/>
      <c r="AJ171" s="38"/>
    </row>
    <row r="172" spans="1:36" ht="16.2">
      <c r="A172" s="42" t="s">
        <v>759</v>
      </c>
      <c r="B172" s="42">
        <v>74928611</v>
      </c>
      <c r="C172" s="42" t="s">
        <v>791</v>
      </c>
      <c r="D172" s="42">
        <v>13207558</v>
      </c>
      <c r="E172" s="43" t="s">
        <v>792</v>
      </c>
      <c r="F172" s="42" t="s">
        <v>793</v>
      </c>
      <c r="G172" s="42" t="s">
        <v>195</v>
      </c>
      <c r="H172" s="42"/>
      <c r="I172" s="42"/>
      <c r="J172" s="42">
        <v>13207558</v>
      </c>
      <c r="K172" s="42"/>
      <c r="L172" s="44">
        <v>45293</v>
      </c>
      <c r="M172" s="44">
        <v>45293</v>
      </c>
      <c r="N172" s="42" t="s">
        <v>763</v>
      </c>
      <c r="O172" s="46">
        <v>0.01</v>
      </c>
      <c r="P172" s="42">
        <v>20062055</v>
      </c>
      <c r="Q172" s="42" t="s">
        <v>794</v>
      </c>
      <c r="R172" s="45">
        <v>410</v>
      </c>
      <c r="S172" s="46">
        <v>0.01</v>
      </c>
      <c r="T172" s="47" t="s">
        <v>198</v>
      </c>
      <c r="U172" s="48" t="s">
        <v>199</v>
      </c>
      <c r="V172" s="38"/>
      <c r="W172" s="48" t="s">
        <v>195</v>
      </c>
      <c r="X172" s="38" t="s">
        <v>308</v>
      </c>
      <c r="Y172" s="49" t="s">
        <v>309</v>
      </c>
      <c r="Z172" s="50" t="s">
        <v>795</v>
      </c>
      <c r="AA172" s="38"/>
      <c r="AB172" s="38"/>
      <c r="AC172" s="38"/>
      <c r="AD172" s="51">
        <v>58</v>
      </c>
      <c r="AE172" s="51">
        <v>58</v>
      </c>
      <c r="AF172" s="48" t="s">
        <v>203</v>
      </c>
      <c r="AG172" s="38" t="s">
        <v>204</v>
      </c>
      <c r="AH172" s="52"/>
      <c r="AI172" s="38"/>
      <c r="AJ172" s="38"/>
    </row>
    <row r="173" spans="1:36" ht="16.2">
      <c r="A173" s="53" t="s">
        <v>759</v>
      </c>
      <c r="B173" s="53">
        <v>74928612</v>
      </c>
      <c r="C173" s="53" t="s">
        <v>796</v>
      </c>
      <c r="D173" s="53">
        <v>13207559</v>
      </c>
      <c r="E173" s="54" t="s">
        <v>797</v>
      </c>
      <c r="F173" s="53" t="s">
        <v>798</v>
      </c>
      <c r="G173" s="53" t="s">
        <v>195</v>
      </c>
      <c r="H173" s="53"/>
      <c r="I173" s="53"/>
      <c r="J173" s="53">
        <v>13207559</v>
      </c>
      <c r="K173" s="53"/>
      <c r="L173" s="55">
        <v>45293</v>
      </c>
      <c r="M173" s="55">
        <v>45293</v>
      </c>
      <c r="N173" s="53" t="s">
        <v>763</v>
      </c>
      <c r="O173" s="56">
        <v>0</v>
      </c>
      <c r="P173" s="53">
        <v>20062055</v>
      </c>
      <c r="Q173" s="53" t="s">
        <v>799</v>
      </c>
      <c r="R173" s="45">
        <v>410</v>
      </c>
      <c r="S173" s="56">
        <v>0</v>
      </c>
      <c r="T173" s="47" t="s">
        <v>198</v>
      </c>
      <c r="U173" s="48" t="s">
        <v>199</v>
      </c>
      <c r="V173" s="38"/>
      <c r="W173" s="48" t="s">
        <v>195</v>
      </c>
      <c r="X173" s="38" t="s">
        <v>308</v>
      </c>
      <c r="Y173" s="49" t="s">
        <v>309</v>
      </c>
      <c r="Z173" s="50" t="s">
        <v>800</v>
      </c>
      <c r="AA173" s="38"/>
      <c r="AB173" s="38"/>
      <c r="AC173" s="38"/>
      <c r="AD173" s="51">
        <v>58</v>
      </c>
      <c r="AE173" s="51">
        <v>58</v>
      </c>
      <c r="AF173" s="48" t="s">
        <v>203</v>
      </c>
      <c r="AG173" s="38" t="s">
        <v>204</v>
      </c>
      <c r="AH173" s="52"/>
      <c r="AI173" s="38"/>
      <c r="AJ173" s="38"/>
    </row>
    <row r="174" spans="1:36" ht="16.2">
      <c r="A174" s="42" t="s">
        <v>759</v>
      </c>
      <c r="B174" s="42">
        <v>74928617</v>
      </c>
      <c r="C174" s="42" t="s">
        <v>801</v>
      </c>
      <c r="D174" s="42">
        <v>13207560</v>
      </c>
      <c r="E174" s="43" t="s">
        <v>802</v>
      </c>
      <c r="F174" s="42" t="s">
        <v>803</v>
      </c>
      <c r="G174" s="42" t="s">
        <v>195</v>
      </c>
      <c r="H174" s="42"/>
      <c r="I174" s="42"/>
      <c r="J174" s="42">
        <v>13207560</v>
      </c>
      <c r="K174" s="42"/>
      <c r="L174" s="44">
        <v>45293</v>
      </c>
      <c r="M174" s="44">
        <v>45293</v>
      </c>
      <c r="N174" s="42" t="s">
        <v>763</v>
      </c>
      <c r="O174" s="46">
        <v>0.01</v>
      </c>
      <c r="P174" s="42">
        <v>20062055</v>
      </c>
      <c r="Q174" s="42" t="s">
        <v>804</v>
      </c>
      <c r="R174" s="45">
        <v>410</v>
      </c>
      <c r="S174" s="46">
        <v>0.01</v>
      </c>
      <c r="T174" s="47" t="s">
        <v>198</v>
      </c>
      <c r="U174" s="48" t="s">
        <v>199</v>
      </c>
      <c r="V174" s="38"/>
      <c r="W174" s="48" t="s">
        <v>195</v>
      </c>
      <c r="X174" s="38" t="s">
        <v>308</v>
      </c>
      <c r="Y174" s="49" t="s">
        <v>309</v>
      </c>
      <c r="Z174" s="50" t="s">
        <v>805</v>
      </c>
      <c r="AA174" s="38"/>
      <c r="AB174" s="38"/>
      <c r="AC174" s="38"/>
      <c r="AD174" s="51">
        <v>58</v>
      </c>
      <c r="AE174" s="51">
        <v>58</v>
      </c>
      <c r="AF174" s="48" t="s">
        <v>203</v>
      </c>
      <c r="AG174" s="38" t="s">
        <v>204</v>
      </c>
      <c r="AH174" s="52"/>
      <c r="AI174" s="38"/>
      <c r="AJ174" s="38"/>
    </row>
    <row r="175" spans="1:36" ht="16.2">
      <c r="A175" s="53" t="s">
        <v>759</v>
      </c>
      <c r="B175" s="53">
        <v>74928614</v>
      </c>
      <c r="C175" s="53" t="s">
        <v>806</v>
      </c>
      <c r="D175" s="53">
        <v>13207562</v>
      </c>
      <c r="E175" s="54" t="s">
        <v>807</v>
      </c>
      <c r="F175" s="53" t="s">
        <v>808</v>
      </c>
      <c r="G175" s="53" t="s">
        <v>195</v>
      </c>
      <c r="H175" s="53"/>
      <c r="I175" s="53"/>
      <c r="J175" s="53">
        <v>13207562</v>
      </c>
      <c r="K175" s="53"/>
      <c r="L175" s="55">
        <v>45293</v>
      </c>
      <c r="M175" s="55">
        <v>45293</v>
      </c>
      <c r="N175" s="53" t="s">
        <v>763</v>
      </c>
      <c r="O175" s="56">
        <v>0.01</v>
      </c>
      <c r="P175" s="53">
        <v>20062055</v>
      </c>
      <c r="Q175" s="53" t="s">
        <v>809</v>
      </c>
      <c r="R175" s="45">
        <v>410</v>
      </c>
      <c r="S175" s="56">
        <v>0.01</v>
      </c>
      <c r="T175" s="47" t="s">
        <v>198</v>
      </c>
      <c r="U175" s="48" t="s">
        <v>199</v>
      </c>
      <c r="V175" s="38"/>
      <c r="W175" s="48" t="s">
        <v>195</v>
      </c>
      <c r="X175" s="38" t="s">
        <v>308</v>
      </c>
      <c r="Y175" s="49" t="s">
        <v>309</v>
      </c>
      <c r="Z175" s="50" t="s">
        <v>810</v>
      </c>
      <c r="AA175" s="38"/>
      <c r="AB175" s="38"/>
      <c r="AC175" s="38"/>
      <c r="AD175" s="51">
        <v>58</v>
      </c>
      <c r="AE175" s="51">
        <v>58</v>
      </c>
      <c r="AF175" s="48" t="s">
        <v>203</v>
      </c>
      <c r="AG175" s="38" t="s">
        <v>204</v>
      </c>
      <c r="AH175" s="52"/>
      <c r="AI175" s="38"/>
      <c r="AJ175" s="38"/>
    </row>
    <row r="176" spans="1:36" ht="16.2">
      <c r="A176" s="42" t="s">
        <v>759</v>
      </c>
      <c r="B176" s="42">
        <v>74928615</v>
      </c>
      <c r="C176" s="42" t="s">
        <v>811</v>
      </c>
      <c r="D176" s="42">
        <v>13207563</v>
      </c>
      <c r="E176" s="43" t="s">
        <v>807</v>
      </c>
      <c r="F176" s="42" t="s">
        <v>812</v>
      </c>
      <c r="G176" s="42" t="s">
        <v>195</v>
      </c>
      <c r="H176" s="42"/>
      <c r="I176" s="42"/>
      <c r="J176" s="42">
        <v>13207563</v>
      </c>
      <c r="K176" s="42"/>
      <c r="L176" s="44">
        <v>45293</v>
      </c>
      <c r="M176" s="44">
        <v>45293</v>
      </c>
      <c r="N176" s="42" t="s">
        <v>763</v>
      </c>
      <c r="O176" s="46">
        <v>0.01</v>
      </c>
      <c r="P176" s="42">
        <v>20062055</v>
      </c>
      <c r="Q176" s="42" t="s">
        <v>813</v>
      </c>
      <c r="R176" s="45">
        <v>410</v>
      </c>
      <c r="S176" s="46">
        <v>0.01</v>
      </c>
      <c r="T176" s="47" t="s">
        <v>198</v>
      </c>
      <c r="U176" s="48" t="s">
        <v>199</v>
      </c>
      <c r="V176" s="38"/>
      <c r="W176" s="48" t="s">
        <v>195</v>
      </c>
      <c r="X176" s="38" t="s">
        <v>308</v>
      </c>
      <c r="Y176" s="49" t="s">
        <v>309</v>
      </c>
      <c r="Z176" s="50" t="s">
        <v>814</v>
      </c>
      <c r="AA176" s="38"/>
      <c r="AB176" s="38"/>
      <c r="AC176" s="38"/>
      <c r="AD176" s="51">
        <v>58</v>
      </c>
      <c r="AE176" s="51">
        <v>58</v>
      </c>
      <c r="AF176" s="48" t="s">
        <v>203</v>
      </c>
      <c r="AG176" s="38" t="s">
        <v>204</v>
      </c>
      <c r="AH176" s="52"/>
      <c r="AI176" s="38"/>
      <c r="AJ176" s="38"/>
    </row>
    <row r="177" spans="1:36" ht="16.2">
      <c r="A177" s="53" t="s">
        <v>759</v>
      </c>
      <c r="B177" s="53">
        <v>74928613</v>
      </c>
      <c r="C177" s="53" t="s">
        <v>815</v>
      </c>
      <c r="D177" s="53">
        <v>13207561</v>
      </c>
      <c r="E177" s="54" t="s">
        <v>807</v>
      </c>
      <c r="F177" s="53" t="s">
        <v>816</v>
      </c>
      <c r="G177" s="53" t="s">
        <v>195</v>
      </c>
      <c r="H177" s="53"/>
      <c r="I177" s="53"/>
      <c r="J177" s="53">
        <v>13207561</v>
      </c>
      <c r="K177" s="53"/>
      <c r="L177" s="55">
        <v>45293</v>
      </c>
      <c r="M177" s="55">
        <v>45293</v>
      </c>
      <c r="N177" s="53" t="s">
        <v>763</v>
      </c>
      <c r="O177" s="56">
        <v>0.01</v>
      </c>
      <c r="P177" s="53">
        <v>20062055</v>
      </c>
      <c r="Q177" s="53" t="s">
        <v>817</v>
      </c>
      <c r="R177" s="45">
        <v>410</v>
      </c>
      <c r="S177" s="56">
        <v>0.01</v>
      </c>
      <c r="T177" s="47" t="s">
        <v>198</v>
      </c>
      <c r="U177" s="48" t="s">
        <v>199</v>
      </c>
      <c r="V177" s="38"/>
      <c r="W177" s="48" t="s">
        <v>195</v>
      </c>
      <c r="X177" s="38" t="s">
        <v>308</v>
      </c>
      <c r="Y177" s="49" t="s">
        <v>309</v>
      </c>
      <c r="Z177" s="50" t="s">
        <v>818</v>
      </c>
      <c r="AA177" s="38"/>
      <c r="AB177" s="38"/>
      <c r="AC177" s="38"/>
      <c r="AD177" s="51">
        <v>58</v>
      </c>
      <c r="AE177" s="51">
        <v>58</v>
      </c>
      <c r="AF177" s="48" t="s">
        <v>203</v>
      </c>
      <c r="AG177" s="38" t="s">
        <v>204</v>
      </c>
      <c r="AH177" s="52"/>
      <c r="AI177" s="38"/>
      <c r="AJ177" s="38"/>
    </row>
    <row r="178" spans="1:36" ht="16.2">
      <c r="A178" s="42" t="s">
        <v>819</v>
      </c>
      <c r="B178" s="42">
        <v>71951102</v>
      </c>
      <c r="C178" s="42" t="s">
        <v>820</v>
      </c>
      <c r="D178" s="42">
        <v>13207681</v>
      </c>
      <c r="E178" s="43" t="s">
        <v>821</v>
      </c>
      <c r="F178" s="42" t="s">
        <v>822</v>
      </c>
      <c r="G178" s="42" t="s">
        <v>195</v>
      </c>
      <c r="H178" s="42"/>
      <c r="I178" s="42"/>
      <c r="J178" s="42">
        <v>13207681</v>
      </c>
      <c r="K178" s="42"/>
      <c r="L178" s="44">
        <v>45293</v>
      </c>
      <c r="M178" s="44">
        <v>45293</v>
      </c>
      <c r="N178" s="42" t="s">
        <v>823</v>
      </c>
      <c r="O178" s="46">
        <v>0.01</v>
      </c>
      <c r="P178" s="42">
        <v>20065447</v>
      </c>
      <c r="Q178" s="42" t="s">
        <v>824</v>
      </c>
      <c r="R178" s="45">
        <v>410</v>
      </c>
      <c r="S178" s="46">
        <v>0.01</v>
      </c>
      <c r="T178" s="47" t="s">
        <v>198</v>
      </c>
      <c r="U178" s="48" t="s">
        <v>199</v>
      </c>
      <c r="V178" s="38"/>
      <c r="W178" s="48" t="s">
        <v>195</v>
      </c>
      <c r="X178" s="38" t="s">
        <v>426</v>
      </c>
      <c r="Y178" s="49" t="s">
        <v>427</v>
      </c>
      <c r="Z178" s="50" t="s">
        <v>825</v>
      </c>
      <c r="AA178" s="38"/>
      <c r="AB178" s="38"/>
      <c r="AC178" s="38"/>
      <c r="AD178" s="51">
        <v>62</v>
      </c>
      <c r="AE178" s="51">
        <v>62</v>
      </c>
      <c r="AF178" s="48" t="s">
        <v>203</v>
      </c>
      <c r="AG178" s="38" t="s">
        <v>204</v>
      </c>
      <c r="AH178" s="52"/>
      <c r="AI178" s="38"/>
      <c r="AJ178" s="38"/>
    </row>
    <row r="179" spans="1:36" ht="16.2">
      <c r="A179" s="53" t="s">
        <v>404</v>
      </c>
      <c r="B179" s="53">
        <v>589648</v>
      </c>
      <c r="C179" s="53" t="s">
        <v>820</v>
      </c>
      <c r="D179" s="53">
        <v>13207709</v>
      </c>
      <c r="E179" s="54" t="s">
        <v>821</v>
      </c>
      <c r="F179" s="53" t="s">
        <v>826</v>
      </c>
      <c r="G179" s="53" t="s">
        <v>195</v>
      </c>
      <c r="H179" s="53"/>
      <c r="I179" s="53"/>
      <c r="J179" s="53">
        <v>13207709</v>
      </c>
      <c r="K179" s="53"/>
      <c r="L179" s="55">
        <v>45293</v>
      </c>
      <c r="M179" s="55">
        <v>45293</v>
      </c>
      <c r="N179" s="53" t="s">
        <v>408</v>
      </c>
      <c r="O179" s="56">
        <v>0.01</v>
      </c>
      <c r="P179" s="53">
        <v>94542837</v>
      </c>
      <c r="Q179" s="53" t="s">
        <v>827</v>
      </c>
      <c r="R179" s="45">
        <v>410</v>
      </c>
      <c r="S179" s="56">
        <v>0.01</v>
      </c>
      <c r="T179" s="47" t="s">
        <v>198</v>
      </c>
      <c r="U179" s="48" t="s">
        <v>199</v>
      </c>
      <c r="V179" s="38"/>
      <c r="W179" s="48" t="s">
        <v>195</v>
      </c>
      <c r="X179" s="38" t="s">
        <v>200</v>
      </c>
      <c r="Y179" s="49" t="s">
        <v>201</v>
      </c>
      <c r="Z179" s="50" t="s">
        <v>828</v>
      </c>
      <c r="AA179" s="38"/>
      <c r="AB179" s="38"/>
      <c r="AC179" s="38"/>
      <c r="AD179" s="51">
        <v>65</v>
      </c>
      <c r="AE179" s="51">
        <v>65</v>
      </c>
      <c r="AF179" s="48" t="s">
        <v>203</v>
      </c>
      <c r="AG179" s="38" t="s">
        <v>204</v>
      </c>
      <c r="AH179" s="52"/>
      <c r="AI179" s="38"/>
      <c r="AJ179" s="38"/>
    </row>
    <row r="180" spans="1:36" ht="16.2">
      <c r="A180" s="42" t="s">
        <v>404</v>
      </c>
      <c r="B180" s="42">
        <v>71012801</v>
      </c>
      <c r="C180" s="42" t="s">
        <v>820</v>
      </c>
      <c r="D180" s="42">
        <v>13207707</v>
      </c>
      <c r="E180" s="43" t="s">
        <v>829</v>
      </c>
      <c r="F180" s="42" t="s">
        <v>830</v>
      </c>
      <c r="G180" s="42" t="s">
        <v>195</v>
      </c>
      <c r="H180" s="42"/>
      <c r="I180" s="42"/>
      <c r="J180" s="42">
        <v>13207707</v>
      </c>
      <c r="K180" s="42"/>
      <c r="L180" s="44">
        <v>45293</v>
      </c>
      <c r="M180" s="44">
        <v>45293</v>
      </c>
      <c r="N180" s="42" t="s">
        <v>408</v>
      </c>
      <c r="O180" s="46">
        <v>0.01</v>
      </c>
      <c r="P180" s="42">
        <v>94542837</v>
      </c>
      <c r="Q180" s="42" t="s">
        <v>831</v>
      </c>
      <c r="R180" s="45">
        <v>410</v>
      </c>
      <c r="S180" s="46">
        <v>0.01</v>
      </c>
      <c r="T180" s="47" t="s">
        <v>198</v>
      </c>
      <c r="U180" s="48" t="s">
        <v>199</v>
      </c>
      <c r="V180" s="38"/>
      <c r="W180" s="48" t="s">
        <v>195</v>
      </c>
      <c r="X180" s="38" t="s">
        <v>200</v>
      </c>
      <c r="Y180" s="49" t="s">
        <v>201</v>
      </c>
      <c r="Z180" s="50" t="s">
        <v>832</v>
      </c>
      <c r="AA180" s="38"/>
      <c r="AB180" s="38"/>
      <c r="AC180" s="38"/>
      <c r="AD180" s="51">
        <v>65</v>
      </c>
      <c r="AE180" s="51">
        <v>65</v>
      </c>
      <c r="AF180" s="48" t="s">
        <v>203</v>
      </c>
      <c r="AG180" s="38" t="s">
        <v>204</v>
      </c>
      <c r="AH180" s="52"/>
      <c r="AI180" s="38"/>
      <c r="AJ180" s="38"/>
    </row>
    <row r="181" spans="1:36" ht="16.2">
      <c r="A181" s="53" t="s">
        <v>404</v>
      </c>
      <c r="B181" s="53">
        <v>71012801</v>
      </c>
      <c r="C181" s="53" t="s">
        <v>820</v>
      </c>
      <c r="D181" s="53">
        <v>13207707</v>
      </c>
      <c r="E181" s="54" t="s">
        <v>829</v>
      </c>
      <c r="F181" s="53" t="s">
        <v>833</v>
      </c>
      <c r="G181" s="53" t="s">
        <v>195</v>
      </c>
      <c r="H181" s="53"/>
      <c r="I181" s="53"/>
      <c r="J181" s="53">
        <v>13207707</v>
      </c>
      <c r="K181" s="53"/>
      <c r="L181" s="55">
        <v>45293</v>
      </c>
      <c r="M181" s="55">
        <v>45293</v>
      </c>
      <c r="N181" s="53" t="s">
        <v>408</v>
      </c>
      <c r="O181" s="56">
        <v>0.01</v>
      </c>
      <c r="P181" s="53">
        <v>94542837</v>
      </c>
      <c r="Q181" s="53" t="s">
        <v>834</v>
      </c>
      <c r="R181" s="45">
        <v>410</v>
      </c>
      <c r="S181" s="56">
        <v>0.01</v>
      </c>
      <c r="T181" s="47" t="s">
        <v>198</v>
      </c>
      <c r="U181" s="48" t="s">
        <v>199</v>
      </c>
      <c r="V181" s="38"/>
      <c r="W181" s="48" t="s">
        <v>195</v>
      </c>
      <c r="X181" s="38" t="s">
        <v>200</v>
      </c>
      <c r="Y181" s="49" t="s">
        <v>201</v>
      </c>
      <c r="Z181" s="50" t="s">
        <v>835</v>
      </c>
      <c r="AA181" s="38"/>
      <c r="AB181" s="38"/>
      <c r="AC181" s="38"/>
      <c r="AD181" s="51">
        <v>65</v>
      </c>
      <c r="AE181" s="51">
        <v>65</v>
      </c>
      <c r="AF181" s="48" t="s">
        <v>203</v>
      </c>
      <c r="AG181" s="38" t="s">
        <v>204</v>
      </c>
      <c r="AH181" s="52"/>
      <c r="AI181" s="38"/>
      <c r="AJ181" s="38"/>
    </row>
    <row r="182" spans="1:36" ht="16.2">
      <c r="A182" s="42" t="s">
        <v>836</v>
      </c>
      <c r="B182" s="42">
        <v>82964402</v>
      </c>
      <c r="C182" s="42" t="s">
        <v>837</v>
      </c>
      <c r="D182" s="42">
        <v>13207525</v>
      </c>
      <c r="E182" s="43" t="s">
        <v>821</v>
      </c>
      <c r="F182" s="42" t="s">
        <v>838</v>
      </c>
      <c r="G182" s="42" t="s">
        <v>195</v>
      </c>
      <c r="H182" s="42"/>
      <c r="I182" s="42"/>
      <c r="J182" s="42">
        <v>13207525</v>
      </c>
      <c r="K182" s="42"/>
      <c r="L182" s="44">
        <v>45293</v>
      </c>
      <c r="M182" s="44">
        <v>45293</v>
      </c>
      <c r="N182" s="42" t="s">
        <v>839</v>
      </c>
      <c r="O182" s="46">
        <v>0.01</v>
      </c>
      <c r="P182" s="42">
        <v>1919044</v>
      </c>
      <c r="Q182" s="42" t="s">
        <v>840</v>
      </c>
      <c r="R182" s="45">
        <v>410</v>
      </c>
      <c r="S182" s="46">
        <v>0.01</v>
      </c>
      <c r="T182" s="47" t="s">
        <v>198</v>
      </c>
      <c r="U182" s="48" t="s">
        <v>199</v>
      </c>
      <c r="V182" s="38"/>
      <c r="W182" s="48" t="s">
        <v>195</v>
      </c>
      <c r="X182" s="38" t="s">
        <v>200</v>
      </c>
      <c r="Y182" s="49" t="s">
        <v>201</v>
      </c>
      <c r="Z182" s="50" t="s">
        <v>841</v>
      </c>
      <c r="AA182" s="38"/>
      <c r="AB182" s="38"/>
      <c r="AC182" s="38"/>
      <c r="AD182" s="51">
        <v>63</v>
      </c>
      <c r="AE182" s="51">
        <v>63</v>
      </c>
      <c r="AF182" s="48" t="s">
        <v>203</v>
      </c>
      <c r="AG182" s="38" t="s">
        <v>204</v>
      </c>
      <c r="AH182" s="52"/>
      <c r="AI182" s="38"/>
      <c r="AJ182" s="38"/>
    </row>
    <row r="183" spans="1:36" ht="16.2">
      <c r="A183" s="53" t="s">
        <v>420</v>
      </c>
      <c r="B183" s="53">
        <v>589617</v>
      </c>
      <c r="C183" s="53" t="s">
        <v>842</v>
      </c>
      <c r="D183" s="53">
        <v>13207670</v>
      </c>
      <c r="E183" s="54" t="s">
        <v>843</v>
      </c>
      <c r="F183" s="53" t="s">
        <v>423</v>
      </c>
      <c r="G183" s="53" t="s">
        <v>195</v>
      </c>
      <c r="H183" s="53"/>
      <c r="I183" s="53"/>
      <c r="J183" s="53">
        <v>13207670</v>
      </c>
      <c r="K183" s="53"/>
      <c r="L183" s="55">
        <v>45293</v>
      </c>
      <c r="M183" s="55">
        <v>45293</v>
      </c>
      <c r="N183" s="53" t="s">
        <v>424</v>
      </c>
      <c r="O183" s="53">
        <v>0</v>
      </c>
      <c r="P183" s="53">
        <v>20076884</v>
      </c>
      <c r="Q183" s="53" t="s">
        <v>844</v>
      </c>
      <c r="R183" s="45">
        <v>410</v>
      </c>
      <c r="S183" s="56">
        <v>0.01</v>
      </c>
      <c r="T183" s="47" t="s">
        <v>198</v>
      </c>
      <c r="U183" s="48" t="s">
        <v>199</v>
      </c>
      <c r="V183" s="38"/>
      <c r="W183" s="48" t="s">
        <v>195</v>
      </c>
      <c r="X183" s="38" t="s">
        <v>426</v>
      </c>
      <c r="Y183" s="49" t="s">
        <v>427</v>
      </c>
      <c r="Z183" s="50" t="s">
        <v>845</v>
      </c>
      <c r="AA183" s="38"/>
      <c r="AB183" s="38"/>
      <c r="AC183" s="38"/>
      <c r="AD183" s="51">
        <v>70</v>
      </c>
      <c r="AE183" s="51">
        <v>70</v>
      </c>
      <c r="AF183" s="48" t="s">
        <v>203</v>
      </c>
      <c r="AG183" s="38" t="s">
        <v>204</v>
      </c>
      <c r="AH183" s="52"/>
      <c r="AI183" s="38"/>
      <c r="AJ183" s="38"/>
    </row>
    <row r="184" spans="1:36" ht="16.2">
      <c r="A184" s="42" t="s">
        <v>420</v>
      </c>
      <c r="B184" s="42">
        <v>589617</v>
      </c>
      <c r="C184" s="42" t="s">
        <v>842</v>
      </c>
      <c r="D184" s="42">
        <v>13207670</v>
      </c>
      <c r="E184" s="43" t="s">
        <v>843</v>
      </c>
      <c r="F184" s="42" t="s">
        <v>429</v>
      </c>
      <c r="G184" s="42" t="s">
        <v>195</v>
      </c>
      <c r="H184" s="42"/>
      <c r="I184" s="42"/>
      <c r="J184" s="42">
        <v>13207670</v>
      </c>
      <c r="K184" s="42"/>
      <c r="L184" s="44">
        <v>45293</v>
      </c>
      <c r="M184" s="44">
        <v>45293</v>
      </c>
      <c r="N184" s="42" t="s">
        <v>424</v>
      </c>
      <c r="O184" s="42">
        <v>0</v>
      </c>
      <c r="P184" s="42">
        <v>20076884</v>
      </c>
      <c r="Q184" s="42" t="s">
        <v>846</v>
      </c>
      <c r="R184" s="45">
        <v>410</v>
      </c>
      <c r="S184" s="46">
        <v>0</v>
      </c>
      <c r="T184" s="47" t="s">
        <v>198</v>
      </c>
      <c r="U184" s="48" t="s">
        <v>199</v>
      </c>
      <c r="V184" s="38"/>
      <c r="W184" s="48" t="s">
        <v>195</v>
      </c>
      <c r="X184" s="38" t="s">
        <v>426</v>
      </c>
      <c r="Y184" s="49" t="s">
        <v>427</v>
      </c>
      <c r="Z184" s="50" t="s">
        <v>847</v>
      </c>
      <c r="AA184" s="38"/>
      <c r="AB184" s="38"/>
      <c r="AC184" s="38"/>
      <c r="AD184" s="51">
        <v>70</v>
      </c>
      <c r="AE184" s="51">
        <v>70</v>
      </c>
      <c r="AF184" s="48" t="s">
        <v>203</v>
      </c>
      <c r="AG184" s="38" t="s">
        <v>204</v>
      </c>
      <c r="AH184" s="52"/>
      <c r="AI184" s="38"/>
      <c r="AJ184" s="38"/>
    </row>
    <row r="185" spans="1:36" ht="16.2">
      <c r="A185" s="53" t="s">
        <v>420</v>
      </c>
      <c r="B185" s="53">
        <v>589617</v>
      </c>
      <c r="C185" s="53" t="s">
        <v>842</v>
      </c>
      <c r="D185" s="53">
        <v>13207670</v>
      </c>
      <c r="E185" s="54" t="s">
        <v>843</v>
      </c>
      <c r="F185" s="53" t="s">
        <v>432</v>
      </c>
      <c r="G185" s="53" t="s">
        <v>195</v>
      </c>
      <c r="H185" s="53"/>
      <c r="I185" s="53"/>
      <c r="J185" s="53">
        <v>13207670</v>
      </c>
      <c r="K185" s="53"/>
      <c r="L185" s="55">
        <v>45293</v>
      </c>
      <c r="M185" s="55">
        <v>45293</v>
      </c>
      <c r="N185" s="53" t="s">
        <v>424</v>
      </c>
      <c r="O185" s="53">
        <v>0</v>
      </c>
      <c r="P185" s="53">
        <v>20076884</v>
      </c>
      <c r="Q185" s="53" t="s">
        <v>848</v>
      </c>
      <c r="R185" s="45">
        <v>410</v>
      </c>
      <c r="S185" s="56">
        <v>0.01</v>
      </c>
      <c r="T185" s="47" t="s">
        <v>198</v>
      </c>
      <c r="U185" s="48" t="s">
        <v>199</v>
      </c>
      <c r="V185" s="38"/>
      <c r="W185" s="48" t="s">
        <v>195</v>
      </c>
      <c r="X185" s="38" t="s">
        <v>426</v>
      </c>
      <c r="Y185" s="49" t="s">
        <v>427</v>
      </c>
      <c r="Z185" s="50" t="s">
        <v>849</v>
      </c>
      <c r="AA185" s="38"/>
      <c r="AB185" s="38"/>
      <c r="AC185" s="38"/>
      <c r="AD185" s="51">
        <v>70</v>
      </c>
      <c r="AE185" s="51">
        <v>70</v>
      </c>
      <c r="AF185" s="48" t="s">
        <v>203</v>
      </c>
      <c r="AG185" s="38" t="s">
        <v>204</v>
      </c>
      <c r="AH185" s="52"/>
      <c r="AI185" s="38"/>
      <c r="AJ185" s="38"/>
    </row>
    <row r="186" spans="1:36" ht="16.2">
      <c r="A186" s="42" t="s">
        <v>420</v>
      </c>
      <c r="B186" s="42">
        <v>589618</v>
      </c>
      <c r="C186" s="42" t="s">
        <v>842</v>
      </c>
      <c r="D186" s="42">
        <v>13207671</v>
      </c>
      <c r="E186" s="43" t="s">
        <v>850</v>
      </c>
      <c r="F186" s="42" t="s">
        <v>423</v>
      </c>
      <c r="G186" s="42" t="s">
        <v>195</v>
      </c>
      <c r="H186" s="42"/>
      <c r="I186" s="42"/>
      <c r="J186" s="42">
        <v>13207671</v>
      </c>
      <c r="K186" s="42"/>
      <c r="L186" s="44">
        <v>45293</v>
      </c>
      <c r="M186" s="44">
        <v>45293</v>
      </c>
      <c r="N186" s="42" t="s">
        <v>424</v>
      </c>
      <c r="O186" s="42">
        <v>0</v>
      </c>
      <c r="P186" s="42">
        <v>20076884</v>
      </c>
      <c r="Q186" s="42" t="s">
        <v>851</v>
      </c>
      <c r="R186" s="45">
        <v>410</v>
      </c>
      <c r="S186" s="46">
        <v>0.01</v>
      </c>
      <c r="T186" s="47" t="s">
        <v>198</v>
      </c>
      <c r="U186" s="48" t="s">
        <v>199</v>
      </c>
      <c r="V186" s="38"/>
      <c r="W186" s="48" t="s">
        <v>195</v>
      </c>
      <c r="X186" s="38" t="s">
        <v>426</v>
      </c>
      <c r="Y186" s="49" t="s">
        <v>427</v>
      </c>
      <c r="Z186" s="50" t="s">
        <v>852</v>
      </c>
      <c r="AA186" s="38"/>
      <c r="AB186" s="38"/>
      <c r="AC186" s="38"/>
      <c r="AD186" s="51">
        <v>70</v>
      </c>
      <c r="AE186" s="51">
        <v>70</v>
      </c>
      <c r="AF186" s="48" t="s">
        <v>203</v>
      </c>
      <c r="AG186" s="38" t="s">
        <v>204</v>
      </c>
      <c r="AH186" s="52"/>
      <c r="AI186" s="38"/>
      <c r="AJ186" s="38"/>
    </row>
    <row r="187" spans="1:36" ht="16.2">
      <c r="A187" s="53" t="s">
        <v>420</v>
      </c>
      <c r="B187" s="53">
        <v>589618</v>
      </c>
      <c r="C187" s="53" t="s">
        <v>842</v>
      </c>
      <c r="D187" s="53">
        <v>13207671</v>
      </c>
      <c r="E187" s="54" t="s">
        <v>850</v>
      </c>
      <c r="F187" s="53" t="s">
        <v>429</v>
      </c>
      <c r="G187" s="53" t="s">
        <v>195</v>
      </c>
      <c r="H187" s="53"/>
      <c r="I187" s="53"/>
      <c r="J187" s="53">
        <v>13207671</v>
      </c>
      <c r="K187" s="53"/>
      <c r="L187" s="55">
        <v>45293</v>
      </c>
      <c r="M187" s="55">
        <v>45293</v>
      </c>
      <c r="N187" s="53" t="s">
        <v>424</v>
      </c>
      <c r="O187" s="53">
        <v>0</v>
      </c>
      <c r="P187" s="53">
        <v>20076884</v>
      </c>
      <c r="Q187" s="53" t="s">
        <v>853</v>
      </c>
      <c r="R187" s="45">
        <v>410</v>
      </c>
      <c r="S187" s="56">
        <v>0.01</v>
      </c>
      <c r="T187" s="47" t="s">
        <v>198</v>
      </c>
      <c r="U187" s="48" t="s">
        <v>199</v>
      </c>
      <c r="V187" s="38"/>
      <c r="W187" s="48" t="s">
        <v>195</v>
      </c>
      <c r="X187" s="38" t="s">
        <v>426</v>
      </c>
      <c r="Y187" s="49" t="s">
        <v>427</v>
      </c>
      <c r="Z187" s="50" t="s">
        <v>854</v>
      </c>
      <c r="AA187" s="38"/>
      <c r="AB187" s="38"/>
      <c r="AC187" s="38"/>
      <c r="AD187" s="51">
        <v>70</v>
      </c>
      <c r="AE187" s="51">
        <v>70</v>
      </c>
      <c r="AF187" s="48" t="s">
        <v>203</v>
      </c>
      <c r="AG187" s="38" t="s">
        <v>204</v>
      </c>
      <c r="AH187" s="52"/>
      <c r="AI187" s="38"/>
      <c r="AJ187" s="38"/>
    </row>
    <row r="188" spans="1:36" ht="16.2">
      <c r="A188" s="42" t="s">
        <v>420</v>
      </c>
      <c r="B188" s="42">
        <v>589618</v>
      </c>
      <c r="C188" s="42" t="s">
        <v>842</v>
      </c>
      <c r="D188" s="42">
        <v>13207671</v>
      </c>
      <c r="E188" s="43" t="s">
        <v>850</v>
      </c>
      <c r="F188" s="42" t="s">
        <v>432</v>
      </c>
      <c r="G188" s="42" t="s">
        <v>195</v>
      </c>
      <c r="H188" s="42"/>
      <c r="I188" s="42"/>
      <c r="J188" s="42">
        <v>13207671</v>
      </c>
      <c r="K188" s="42"/>
      <c r="L188" s="44">
        <v>45293</v>
      </c>
      <c r="M188" s="44">
        <v>45293</v>
      </c>
      <c r="N188" s="42" t="s">
        <v>424</v>
      </c>
      <c r="O188" s="42">
        <v>0</v>
      </c>
      <c r="P188" s="42">
        <v>20076884</v>
      </c>
      <c r="Q188" s="42" t="s">
        <v>855</v>
      </c>
      <c r="R188" s="45">
        <v>410</v>
      </c>
      <c r="S188" s="46">
        <v>0.01</v>
      </c>
      <c r="T188" s="47" t="s">
        <v>198</v>
      </c>
      <c r="U188" s="48" t="s">
        <v>199</v>
      </c>
      <c r="V188" s="38"/>
      <c r="W188" s="48" t="s">
        <v>195</v>
      </c>
      <c r="X188" s="38" t="s">
        <v>426</v>
      </c>
      <c r="Y188" s="49" t="s">
        <v>427</v>
      </c>
      <c r="Z188" s="50" t="s">
        <v>856</v>
      </c>
      <c r="AA188" s="38"/>
      <c r="AB188" s="38"/>
      <c r="AC188" s="38"/>
      <c r="AD188" s="51">
        <v>70</v>
      </c>
      <c r="AE188" s="51">
        <v>70</v>
      </c>
      <c r="AF188" s="48" t="s">
        <v>203</v>
      </c>
      <c r="AG188" s="38" t="s">
        <v>204</v>
      </c>
      <c r="AH188" s="52"/>
      <c r="AI188" s="38"/>
      <c r="AJ188" s="38"/>
    </row>
    <row r="189" spans="1:36" ht="16.2">
      <c r="A189" s="53" t="s">
        <v>857</v>
      </c>
      <c r="B189" s="53">
        <v>82965901</v>
      </c>
      <c r="C189" s="53" t="s">
        <v>858</v>
      </c>
      <c r="D189" s="53">
        <v>13207686</v>
      </c>
      <c r="E189" s="54" t="s">
        <v>859</v>
      </c>
      <c r="F189" s="53" t="s">
        <v>860</v>
      </c>
      <c r="G189" s="53" t="s">
        <v>195</v>
      </c>
      <c r="H189" s="53"/>
      <c r="I189" s="53"/>
      <c r="J189" s="53">
        <v>13207686</v>
      </c>
      <c r="K189" s="53"/>
      <c r="L189" s="55">
        <v>45293</v>
      </c>
      <c r="M189" s="55">
        <v>45293</v>
      </c>
      <c r="N189" s="53" t="s">
        <v>861</v>
      </c>
      <c r="O189" s="53">
        <v>0</v>
      </c>
      <c r="P189" s="53">
        <v>1113676743</v>
      </c>
      <c r="Q189" s="53" t="s">
        <v>862</v>
      </c>
      <c r="R189" s="45">
        <v>410</v>
      </c>
      <c r="S189" s="56">
        <v>0.01</v>
      </c>
      <c r="T189" s="47" t="s">
        <v>198</v>
      </c>
      <c r="U189" s="48" t="s">
        <v>199</v>
      </c>
      <c r="V189" s="38"/>
      <c r="W189" s="48" t="s">
        <v>195</v>
      </c>
      <c r="X189" s="38" t="s">
        <v>426</v>
      </c>
      <c r="Y189" s="49" t="s">
        <v>427</v>
      </c>
      <c r="Z189" s="50" t="s">
        <v>863</v>
      </c>
      <c r="AA189" s="38"/>
      <c r="AB189" s="38"/>
      <c r="AC189" s="38"/>
      <c r="AD189" s="51">
        <v>14</v>
      </c>
      <c r="AE189" s="51">
        <v>14</v>
      </c>
      <c r="AF189" s="48" t="s">
        <v>203</v>
      </c>
      <c r="AG189" s="38" t="s">
        <v>204</v>
      </c>
      <c r="AH189" s="52"/>
      <c r="AI189" s="38"/>
      <c r="AJ189" s="38"/>
    </row>
    <row r="190" spans="1:36" ht="16.2">
      <c r="A190" s="42" t="s">
        <v>857</v>
      </c>
      <c r="B190" s="42">
        <v>82965901</v>
      </c>
      <c r="C190" s="42" t="s">
        <v>858</v>
      </c>
      <c r="D190" s="42">
        <v>13207686</v>
      </c>
      <c r="E190" s="43" t="s">
        <v>859</v>
      </c>
      <c r="F190" s="42" t="s">
        <v>864</v>
      </c>
      <c r="G190" s="42" t="s">
        <v>195</v>
      </c>
      <c r="H190" s="42"/>
      <c r="I190" s="42"/>
      <c r="J190" s="42">
        <v>13207686</v>
      </c>
      <c r="K190" s="42"/>
      <c r="L190" s="44">
        <v>45293</v>
      </c>
      <c r="M190" s="44">
        <v>45293</v>
      </c>
      <c r="N190" s="42" t="s">
        <v>861</v>
      </c>
      <c r="O190" s="42">
        <v>0</v>
      </c>
      <c r="P190" s="42">
        <v>1113676743</v>
      </c>
      <c r="Q190" s="42" t="s">
        <v>865</v>
      </c>
      <c r="R190" s="45">
        <v>410</v>
      </c>
      <c r="S190" s="46">
        <v>0.01</v>
      </c>
      <c r="T190" s="47" t="s">
        <v>198</v>
      </c>
      <c r="U190" s="48" t="s">
        <v>199</v>
      </c>
      <c r="V190" s="38"/>
      <c r="W190" s="48" t="s">
        <v>195</v>
      </c>
      <c r="X190" s="38" t="s">
        <v>426</v>
      </c>
      <c r="Y190" s="49" t="s">
        <v>427</v>
      </c>
      <c r="Z190" s="50" t="s">
        <v>866</v>
      </c>
      <c r="AA190" s="38"/>
      <c r="AB190" s="38"/>
      <c r="AC190" s="38"/>
      <c r="AD190" s="51">
        <v>14</v>
      </c>
      <c r="AE190" s="51">
        <v>14</v>
      </c>
      <c r="AF190" s="48" t="s">
        <v>203</v>
      </c>
      <c r="AG190" s="38" t="s">
        <v>204</v>
      </c>
      <c r="AH190" s="52"/>
      <c r="AI190" s="38"/>
      <c r="AJ190" s="38"/>
    </row>
    <row r="191" spans="1:36" ht="16.2">
      <c r="A191" s="53" t="s">
        <v>857</v>
      </c>
      <c r="B191" s="53">
        <v>82965901</v>
      </c>
      <c r="C191" s="53" t="s">
        <v>858</v>
      </c>
      <c r="D191" s="53">
        <v>13207686</v>
      </c>
      <c r="E191" s="54" t="s">
        <v>859</v>
      </c>
      <c r="F191" s="53" t="s">
        <v>867</v>
      </c>
      <c r="G191" s="53" t="s">
        <v>195</v>
      </c>
      <c r="H191" s="53"/>
      <c r="I191" s="53"/>
      <c r="J191" s="53">
        <v>13207686</v>
      </c>
      <c r="K191" s="53"/>
      <c r="L191" s="55">
        <v>45293</v>
      </c>
      <c r="M191" s="55">
        <v>45293</v>
      </c>
      <c r="N191" s="53" t="s">
        <v>861</v>
      </c>
      <c r="O191" s="53">
        <v>0</v>
      </c>
      <c r="P191" s="53">
        <v>1113676743</v>
      </c>
      <c r="Q191" s="53" t="s">
        <v>868</v>
      </c>
      <c r="R191" s="45">
        <v>410</v>
      </c>
      <c r="S191" s="56">
        <v>0.01</v>
      </c>
      <c r="T191" s="47" t="s">
        <v>198</v>
      </c>
      <c r="U191" s="48" t="s">
        <v>199</v>
      </c>
      <c r="V191" s="38"/>
      <c r="W191" s="48" t="s">
        <v>195</v>
      </c>
      <c r="X191" s="38" t="s">
        <v>426</v>
      </c>
      <c r="Y191" s="49" t="s">
        <v>427</v>
      </c>
      <c r="Z191" s="50" t="s">
        <v>869</v>
      </c>
      <c r="AA191" s="38"/>
      <c r="AB191" s="38"/>
      <c r="AC191" s="38"/>
      <c r="AD191" s="51">
        <v>14</v>
      </c>
      <c r="AE191" s="51">
        <v>14</v>
      </c>
      <c r="AF191" s="48" t="s">
        <v>203</v>
      </c>
      <c r="AG191" s="38" t="s">
        <v>204</v>
      </c>
      <c r="AH191" s="52"/>
      <c r="AI191" s="38"/>
      <c r="AJ191" s="38"/>
    </row>
    <row r="192" spans="1:36" ht="16.2">
      <c r="A192" s="42" t="s">
        <v>857</v>
      </c>
      <c r="B192" s="42">
        <v>82965901</v>
      </c>
      <c r="C192" s="42" t="s">
        <v>858</v>
      </c>
      <c r="D192" s="42">
        <v>13207686</v>
      </c>
      <c r="E192" s="43" t="s">
        <v>859</v>
      </c>
      <c r="F192" s="42" t="s">
        <v>870</v>
      </c>
      <c r="G192" s="42" t="s">
        <v>195</v>
      </c>
      <c r="H192" s="42"/>
      <c r="I192" s="42"/>
      <c r="J192" s="42">
        <v>13207686</v>
      </c>
      <c r="K192" s="42"/>
      <c r="L192" s="44">
        <v>45293</v>
      </c>
      <c r="M192" s="44">
        <v>45293</v>
      </c>
      <c r="N192" s="42" t="s">
        <v>861</v>
      </c>
      <c r="O192" s="42">
        <v>0</v>
      </c>
      <c r="P192" s="42">
        <v>1113676743</v>
      </c>
      <c r="Q192" s="42" t="s">
        <v>871</v>
      </c>
      <c r="R192" s="45">
        <v>410</v>
      </c>
      <c r="S192" s="46">
        <v>0.01</v>
      </c>
      <c r="T192" s="47" t="s">
        <v>198</v>
      </c>
      <c r="U192" s="48" t="s">
        <v>199</v>
      </c>
      <c r="V192" s="38"/>
      <c r="W192" s="48" t="s">
        <v>195</v>
      </c>
      <c r="X192" s="38" t="s">
        <v>426</v>
      </c>
      <c r="Y192" s="49" t="s">
        <v>427</v>
      </c>
      <c r="Z192" s="50" t="s">
        <v>872</v>
      </c>
      <c r="AA192" s="38"/>
      <c r="AB192" s="38"/>
      <c r="AC192" s="38"/>
      <c r="AD192" s="51">
        <v>14</v>
      </c>
      <c r="AE192" s="51">
        <v>14</v>
      </c>
      <c r="AF192" s="48" t="s">
        <v>203</v>
      </c>
      <c r="AG192" s="38" t="s">
        <v>204</v>
      </c>
      <c r="AH192" s="52"/>
      <c r="AI192" s="38"/>
      <c r="AJ192" s="38"/>
    </row>
    <row r="193" spans="1:36" ht="16.2">
      <c r="A193" s="53" t="s">
        <v>857</v>
      </c>
      <c r="B193" s="53">
        <v>82965901</v>
      </c>
      <c r="C193" s="53" t="s">
        <v>858</v>
      </c>
      <c r="D193" s="53">
        <v>13207686</v>
      </c>
      <c r="E193" s="54" t="s">
        <v>859</v>
      </c>
      <c r="F193" s="53" t="s">
        <v>873</v>
      </c>
      <c r="G193" s="53" t="s">
        <v>195</v>
      </c>
      <c r="H193" s="53"/>
      <c r="I193" s="53"/>
      <c r="J193" s="53">
        <v>13207686</v>
      </c>
      <c r="K193" s="53"/>
      <c r="L193" s="55">
        <v>45293</v>
      </c>
      <c r="M193" s="55">
        <v>45293</v>
      </c>
      <c r="N193" s="53" t="s">
        <v>861</v>
      </c>
      <c r="O193" s="53">
        <v>0</v>
      </c>
      <c r="P193" s="53">
        <v>1113676743</v>
      </c>
      <c r="Q193" s="53" t="s">
        <v>874</v>
      </c>
      <c r="R193" s="45">
        <v>410</v>
      </c>
      <c r="S193" s="56">
        <v>0.01</v>
      </c>
      <c r="T193" s="47" t="s">
        <v>198</v>
      </c>
      <c r="U193" s="48" t="s">
        <v>199</v>
      </c>
      <c r="V193" s="38"/>
      <c r="W193" s="48" t="s">
        <v>195</v>
      </c>
      <c r="X193" s="38" t="s">
        <v>426</v>
      </c>
      <c r="Y193" s="49" t="s">
        <v>427</v>
      </c>
      <c r="Z193" s="50" t="s">
        <v>875</v>
      </c>
      <c r="AA193" s="38"/>
      <c r="AB193" s="38"/>
      <c r="AC193" s="38"/>
      <c r="AD193" s="51">
        <v>14</v>
      </c>
      <c r="AE193" s="51">
        <v>14</v>
      </c>
      <c r="AF193" s="48" t="s">
        <v>203</v>
      </c>
      <c r="AG193" s="38" t="s">
        <v>204</v>
      </c>
      <c r="AH193" s="52"/>
      <c r="AI193" s="38"/>
      <c r="AJ193" s="38"/>
    </row>
    <row r="194" spans="1:36" ht="16.2">
      <c r="A194" s="42" t="s">
        <v>857</v>
      </c>
      <c r="B194" s="42">
        <v>82965901</v>
      </c>
      <c r="C194" s="42" t="s">
        <v>858</v>
      </c>
      <c r="D194" s="42">
        <v>13207686</v>
      </c>
      <c r="E194" s="43" t="s">
        <v>859</v>
      </c>
      <c r="F194" s="42" t="s">
        <v>876</v>
      </c>
      <c r="G194" s="42" t="s">
        <v>195</v>
      </c>
      <c r="H194" s="42"/>
      <c r="I194" s="42"/>
      <c r="J194" s="42">
        <v>13207686</v>
      </c>
      <c r="K194" s="42"/>
      <c r="L194" s="44">
        <v>45293</v>
      </c>
      <c r="M194" s="44">
        <v>45293</v>
      </c>
      <c r="N194" s="42" t="s">
        <v>861</v>
      </c>
      <c r="O194" s="42">
        <v>0</v>
      </c>
      <c r="P194" s="42">
        <v>1113676743</v>
      </c>
      <c r="Q194" s="42" t="s">
        <v>877</v>
      </c>
      <c r="R194" s="45">
        <v>410</v>
      </c>
      <c r="S194" s="46">
        <v>0.01</v>
      </c>
      <c r="T194" s="47" t="s">
        <v>198</v>
      </c>
      <c r="U194" s="48" t="s">
        <v>199</v>
      </c>
      <c r="V194" s="38"/>
      <c r="W194" s="48" t="s">
        <v>195</v>
      </c>
      <c r="X194" s="38" t="s">
        <v>426</v>
      </c>
      <c r="Y194" s="49" t="s">
        <v>427</v>
      </c>
      <c r="Z194" s="50" t="s">
        <v>878</v>
      </c>
      <c r="AA194" s="38"/>
      <c r="AB194" s="38"/>
      <c r="AC194" s="38"/>
      <c r="AD194" s="51">
        <v>14</v>
      </c>
      <c r="AE194" s="51">
        <v>14</v>
      </c>
      <c r="AF194" s="48" t="s">
        <v>203</v>
      </c>
      <c r="AG194" s="38" t="s">
        <v>204</v>
      </c>
      <c r="AH194" s="52"/>
      <c r="AI194" s="38"/>
      <c r="AJ194" s="38"/>
    </row>
    <row r="195" spans="1:36" ht="16.2">
      <c r="A195" s="53" t="s">
        <v>857</v>
      </c>
      <c r="B195" s="53">
        <v>82965901</v>
      </c>
      <c r="C195" s="53" t="s">
        <v>858</v>
      </c>
      <c r="D195" s="53">
        <v>13207686</v>
      </c>
      <c r="E195" s="54" t="s">
        <v>859</v>
      </c>
      <c r="F195" s="53" t="s">
        <v>879</v>
      </c>
      <c r="G195" s="53" t="s">
        <v>195</v>
      </c>
      <c r="H195" s="53"/>
      <c r="I195" s="53"/>
      <c r="J195" s="53">
        <v>13207686</v>
      </c>
      <c r="K195" s="53"/>
      <c r="L195" s="55">
        <v>45293</v>
      </c>
      <c r="M195" s="55">
        <v>45293</v>
      </c>
      <c r="N195" s="53" t="s">
        <v>861</v>
      </c>
      <c r="O195" s="53">
        <v>0</v>
      </c>
      <c r="P195" s="53">
        <v>1113676743</v>
      </c>
      <c r="Q195" s="53" t="s">
        <v>880</v>
      </c>
      <c r="R195" s="45">
        <v>410</v>
      </c>
      <c r="S195" s="56">
        <v>0.01</v>
      </c>
      <c r="T195" s="47" t="s">
        <v>198</v>
      </c>
      <c r="U195" s="48" t="s">
        <v>199</v>
      </c>
      <c r="V195" s="38"/>
      <c r="W195" s="48" t="s">
        <v>195</v>
      </c>
      <c r="X195" s="38" t="s">
        <v>426</v>
      </c>
      <c r="Y195" s="49" t="s">
        <v>427</v>
      </c>
      <c r="Z195" s="50" t="s">
        <v>881</v>
      </c>
      <c r="AA195" s="38"/>
      <c r="AB195" s="38"/>
      <c r="AC195" s="38"/>
      <c r="AD195" s="51">
        <v>14</v>
      </c>
      <c r="AE195" s="51">
        <v>14</v>
      </c>
      <c r="AF195" s="48" t="s">
        <v>203</v>
      </c>
      <c r="AG195" s="38" t="s">
        <v>204</v>
      </c>
      <c r="AH195" s="52"/>
      <c r="AI195" s="38"/>
      <c r="AJ195" s="38"/>
    </row>
    <row r="196" spans="1:36" ht="16.2">
      <c r="A196" s="42" t="s">
        <v>857</v>
      </c>
      <c r="B196" s="42">
        <v>82964103</v>
      </c>
      <c r="C196" s="42" t="s">
        <v>882</v>
      </c>
      <c r="D196" s="42">
        <v>13207687</v>
      </c>
      <c r="E196" s="43" t="s">
        <v>883</v>
      </c>
      <c r="F196" s="42" t="s">
        <v>860</v>
      </c>
      <c r="G196" s="42" t="s">
        <v>195</v>
      </c>
      <c r="H196" s="42"/>
      <c r="I196" s="42"/>
      <c r="J196" s="42">
        <v>13207687</v>
      </c>
      <c r="K196" s="42"/>
      <c r="L196" s="44">
        <v>45293</v>
      </c>
      <c r="M196" s="44">
        <v>45293</v>
      </c>
      <c r="N196" s="42" t="s">
        <v>861</v>
      </c>
      <c r="O196" s="42">
        <v>0</v>
      </c>
      <c r="P196" s="42">
        <v>1113676743</v>
      </c>
      <c r="Q196" s="42" t="s">
        <v>884</v>
      </c>
      <c r="R196" s="45">
        <v>410</v>
      </c>
      <c r="S196" s="46">
        <v>0.01</v>
      </c>
      <c r="T196" s="47" t="s">
        <v>198</v>
      </c>
      <c r="U196" s="48" t="s">
        <v>199</v>
      </c>
      <c r="V196" s="38"/>
      <c r="W196" s="48" t="s">
        <v>195</v>
      </c>
      <c r="X196" s="38" t="s">
        <v>426</v>
      </c>
      <c r="Y196" s="49" t="s">
        <v>427</v>
      </c>
      <c r="Z196" s="50" t="s">
        <v>885</v>
      </c>
      <c r="AA196" s="38"/>
      <c r="AB196" s="38"/>
      <c r="AC196" s="38"/>
      <c r="AD196" s="51">
        <v>14</v>
      </c>
      <c r="AE196" s="51">
        <v>14</v>
      </c>
      <c r="AF196" s="48" t="s">
        <v>203</v>
      </c>
      <c r="AG196" s="38" t="s">
        <v>204</v>
      </c>
      <c r="AH196" s="52"/>
      <c r="AI196" s="38"/>
      <c r="AJ196" s="38"/>
    </row>
    <row r="197" spans="1:36" ht="16.2">
      <c r="A197" s="53" t="s">
        <v>857</v>
      </c>
      <c r="B197" s="53">
        <v>82964103</v>
      </c>
      <c r="C197" s="53" t="s">
        <v>882</v>
      </c>
      <c r="D197" s="53">
        <v>13207687</v>
      </c>
      <c r="E197" s="54" t="s">
        <v>883</v>
      </c>
      <c r="F197" s="53" t="s">
        <v>864</v>
      </c>
      <c r="G197" s="53" t="s">
        <v>195</v>
      </c>
      <c r="H197" s="53"/>
      <c r="I197" s="53"/>
      <c r="J197" s="53">
        <v>13207687</v>
      </c>
      <c r="K197" s="53"/>
      <c r="L197" s="55">
        <v>45293</v>
      </c>
      <c r="M197" s="55">
        <v>45293</v>
      </c>
      <c r="N197" s="53" t="s">
        <v>861</v>
      </c>
      <c r="O197" s="53">
        <v>0</v>
      </c>
      <c r="P197" s="53">
        <v>1113676743</v>
      </c>
      <c r="Q197" s="53" t="s">
        <v>886</v>
      </c>
      <c r="R197" s="45">
        <v>410</v>
      </c>
      <c r="S197" s="56">
        <v>0</v>
      </c>
      <c r="T197" s="47" t="s">
        <v>198</v>
      </c>
      <c r="U197" s="48" t="s">
        <v>199</v>
      </c>
      <c r="V197" s="38"/>
      <c r="W197" s="48" t="s">
        <v>195</v>
      </c>
      <c r="X197" s="38" t="s">
        <v>426</v>
      </c>
      <c r="Y197" s="49" t="s">
        <v>427</v>
      </c>
      <c r="Z197" s="50" t="s">
        <v>887</v>
      </c>
      <c r="AA197" s="38"/>
      <c r="AB197" s="38"/>
      <c r="AC197" s="38"/>
      <c r="AD197" s="51">
        <v>14</v>
      </c>
      <c r="AE197" s="51">
        <v>14</v>
      </c>
      <c r="AF197" s="48" t="s">
        <v>203</v>
      </c>
      <c r="AG197" s="38" t="s">
        <v>204</v>
      </c>
      <c r="AH197" s="52"/>
      <c r="AI197" s="38"/>
      <c r="AJ197" s="38"/>
    </row>
    <row r="198" spans="1:36" ht="16.2">
      <c r="A198" s="42" t="s">
        <v>857</v>
      </c>
      <c r="B198" s="42">
        <v>82964103</v>
      </c>
      <c r="C198" s="42" t="s">
        <v>882</v>
      </c>
      <c r="D198" s="42">
        <v>13207687</v>
      </c>
      <c r="E198" s="43" t="s">
        <v>883</v>
      </c>
      <c r="F198" s="42" t="s">
        <v>867</v>
      </c>
      <c r="G198" s="42" t="s">
        <v>195</v>
      </c>
      <c r="H198" s="42"/>
      <c r="I198" s="42"/>
      <c r="J198" s="42">
        <v>13207687</v>
      </c>
      <c r="K198" s="42"/>
      <c r="L198" s="44">
        <v>45293</v>
      </c>
      <c r="M198" s="44">
        <v>45293</v>
      </c>
      <c r="N198" s="42" t="s">
        <v>861</v>
      </c>
      <c r="O198" s="42">
        <v>0</v>
      </c>
      <c r="P198" s="42">
        <v>1113676743</v>
      </c>
      <c r="Q198" s="42" t="s">
        <v>888</v>
      </c>
      <c r="R198" s="45">
        <v>410</v>
      </c>
      <c r="S198" s="46">
        <v>0.01</v>
      </c>
      <c r="T198" s="47" t="s">
        <v>198</v>
      </c>
      <c r="U198" s="48" t="s">
        <v>199</v>
      </c>
      <c r="V198" s="38"/>
      <c r="W198" s="48" t="s">
        <v>195</v>
      </c>
      <c r="X198" s="38" t="s">
        <v>426</v>
      </c>
      <c r="Y198" s="49" t="s">
        <v>427</v>
      </c>
      <c r="Z198" s="50" t="s">
        <v>889</v>
      </c>
      <c r="AA198" s="38"/>
      <c r="AB198" s="38"/>
      <c r="AC198" s="38"/>
      <c r="AD198" s="51">
        <v>14</v>
      </c>
      <c r="AE198" s="51">
        <v>14</v>
      </c>
      <c r="AF198" s="48" t="s">
        <v>203</v>
      </c>
      <c r="AG198" s="38" t="s">
        <v>204</v>
      </c>
      <c r="AH198" s="52"/>
      <c r="AI198" s="38"/>
      <c r="AJ198" s="38"/>
    </row>
    <row r="199" spans="1:36" ht="16.2">
      <c r="A199" s="53" t="s">
        <v>857</v>
      </c>
      <c r="B199" s="53">
        <v>82964103</v>
      </c>
      <c r="C199" s="53" t="s">
        <v>882</v>
      </c>
      <c r="D199" s="53">
        <v>13207687</v>
      </c>
      <c r="E199" s="54" t="s">
        <v>883</v>
      </c>
      <c r="F199" s="53" t="s">
        <v>870</v>
      </c>
      <c r="G199" s="53" t="s">
        <v>195</v>
      </c>
      <c r="H199" s="53"/>
      <c r="I199" s="53"/>
      <c r="J199" s="53">
        <v>13207687</v>
      </c>
      <c r="K199" s="53"/>
      <c r="L199" s="55">
        <v>45293</v>
      </c>
      <c r="M199" s="55">
        <v>45293</v>
      </c>
      <c r="N199" s="53" t="s">
        <v>861</v>
      </c>
      <c r="O199" s="53">
        <v>0</v>
      </c>
      <c r="P199" s="53">
        <v>1113676743</v>
      </c>
      <c r="Q199" s="53" t="s">
        <v>890</v>
      </c>
      <c r="R199" s="45">
        <v>410</v>
      </c>
      <c r="S199" s="53">
        <v>0</v>
      </c>
      <c r="T199" s="47" t="s">
        <v>198</v>
      </c>
      <c r="U199" s="48" t="s">
        <v>199</v>
      </c>
      <c r="V199" s="38"/>
      <c r="W199" s="48" t="s">
        <v>195</v>
      </c>
      <c r="X199" s="38" t="s">
        <v>426</v>
      </c>
      <c r="Y199" s="49" t="s">
        <v>427</v>
      </c>
      <c r="Z199" s="50" t="s">
        <v>891</v>
      </c>
      <c r="AA199" s="38"/>
      <c r="AB199" s="38"/>
      <c r="AC199" s="38"/>
      <c r="AD199" s="51">
        <v>14</v>
      </c>
      <c r="AE199" s="51">
        <v>14</v>
      </c>
      <c r="AF199" s="48" t="s">
        <v>203</v>
      </c>
      <c r="AG199" s="38" t="s">
        <v>204</v>
      </c>
      <c r="AH199" s="52"/>
      <c r="AI199" s="38"/>
      <c r="AJ199" s="38"/>
    </row>
    <row r="200" spans="1:36" ht="16.2">
      <c r="A200" s="42" t="s">
        <v>857</v>
      </c>
      <c r="B200" s="42">
        <v>82964103</v>
      </c>
      <c r="C200" s="42" t="s">
        <v>882</v>
      </c>
      <c r="D200" s="42">
        <v>13207687</v>
      </c>
      <c r="E200" s="43" t="s">
        <v>883</v>
      </c>
      <c r="F200" s="42" t="s">
        <v>873</v>
      </c>
      <c r="G200" s="42" t="s">
        <v>195</v>
      </c>
      <c r="H200" s="42"/>
      <c r="I200" s="42"/>
      <c r="J200" s="42">
        <v>13207687</v>
      </c>
      <c r="K200" s="42"/>
      <c r="L200" s="44">
        <v>45293</v>
      </c>
      <c r="M200" s="44">
        <v>45293</v>
      </c>
      <c r="N200" s="42" t="s">
        <v>861</v>
      </c>
      <c r="O200" s="42">
        <v>0</v>
      </c>
      <c r="P200" s="42">
        <v>1113676743</v>
      </c>
      <c r="Q200" s="42" t="s">
        <v>892</v>
      </c>
      <c r="R200" s="45">
        <v>410</v>
      </c>
      <c r="S200" s="46">
        <v>0</v>
      </c>
      <c r="T200" s="47" t="s">
        <v>198</v>
      </c>
      <c r="U200" s="48" t="s">
        <v>199</v>
      </c>
      <c r="V200" s="38"/>
      <c r="W200" s="48" t="s">
        <v>195</v>
      </c>
      <c r="X200" s="38" t="s">
        <v>426</v>
      </c>
      <c r="Y200" s="49" t="s">
        <v>427</v>
      </c>
      <c r="Z200" s="50" t="s">
        <v>893</v>
      </c>
      <c r="AA200" s="38"/>
      <c r="AB200" s="38"/>
      <c r="AC200" s="38"/>
      <c r="AD200" s="51">
        <v>14</v>
      </c>
      <c r="AE200" s="51">
        <v>14</v>
      </c>
      <c r="AF200" s="48" t="s">
        <v>203</v>
      </c>
      <c r="AG200" s="38" t="s">
        <v>204</v>
      </c>
      <c r="AH200" s="52"/>
      <c r="AI200" s="38"/>
      <c r="AJ200" s="38"/>
    </row>
    <row r="201" spans="1:36" ht="16.2">
      <c r="A201" s="53" t="s">
        <v>857</v>
      </c>
      <c r="B201" s="53">
        <v>82964103</v>
      </c>
      <c r="C201" s="53" t="s">
        <v>882</v>
      </c>
      <c r="D201" s="53">
        <v>13207687</v>
      </c>
      <c r="E201" s="54" t="s">
        <v>883</v>
      </c>
      <c r="F201" s="53" t="s">
        <v>876</v>
      </c>
      <c r="G201" s="53" t="s">
        <v>195</v>
      </c>
      <c r="H201" s="53"/>
      <c r="I201" s="53"/>
      <c r="J201" s="53">
        <v>13207687</v>
      </c>
      <c r="K201" s="53"/>
      <c r="L201" s="55">
        <v>45293</v>
      </c>
      <c r="M201" s="55">
        <v>45293</v>
      </c>
      <c r="N201" s="53" t="s">
        <v>861</v>
      </c>
      <c r="O201" s="53">
        <v>0</v>
      </c>
      <c r="P201" s="53">
        <v>1113676743</v>
      </c>
      <c r="Q201" s="53" t="s">
        <v>894</v>
      </c>
      <c r="R201" s="45">
        <v>410</v>
      </c>
      <c r="S201" s="56">
        <v>0.01</v>
      </c>
      <c r="T201" s="47" t="s">
        <v>198</v>
      </c>
      <c r="U201" s="48" t="s">
        <v>199</v>
      </c>
      <c r="V201" s="38"/>
      <c r="W201" s="48" t="s">
        <v>195</v>
      </c>
      <c r="X201" s="38" t="s">
        <v>426</v>
      </c>
      <c r="Y201" s="49" t="s">
        <v>427</v>
      </c>
      <c r="Z201" s="50" t="s">
        <v>895</v>
      </c>
      <c r="AA201" s="38"/>
      <c r="AB201" s="38"/>
      <c r="AC201" s="38"/>
      <c r="AD201" s="51">
        <v>14</v>
      </c>
      <c r="AE201" s="51">
        <v>14</v>
      </c>
      <c r="AF201" s="48" t="s">
        <v>203</v>
      </c>
      <c r="AG201" s="38" t="s">
        <v>204</v>
      </c>
      <c r="AH201" s="52"/>
      <c r="AI201" s="38"/>
      <c r="AJ201" s="38"/>
    </row>
    <row r="202" spans="1:36" ht="16.2">
      <c r="A202" s="42" t="s">
        <v>857</v>
      </c>
      <c r="B202" s="42">
        <v>82964103</v>
      </c>
      <c r="C202" s="42" t="s">
        <v>882</v>
      </c>
      <c r="D202" s="42">
        <v>13207687</v>
      </c>
      <c r="E202" s="43" t="s">
        <v>883</v>
      </c>
      <c r="F202" s="42" t="s">
        <v>879</v>
      </c>
      <c r="G202" s="42" t="s">
        <v>195</v>
      </c>
      <c r="H202" s="42"/>
      <c r="I202" s="42"/>
      <c r="J202" s="42">
        <v>13207687</v>
      </c>
      <c r="K202" s="42"/>
      <c r="L202" s="44">
        <v>45293</v>
      </c>
      <c r="M202" s="44">
        <v>45293</v>
      </c>
      <c r="N202" s="42" t="s">
        <v>861</v>
      </c>
      <c r="O202" s="42">
        <v>0</v>
      </c>
      <c r="P202" s="42">
        <v>1113676743</v>
      </c>
      <c r="Q202" s="42" t="s">
        <v>896</v>
      </c>
      <c r="R202" s="45">
        <v>410</v>
      </c>
      <c r="S202" s="46">
        <v>0.01</v>
      </c>
      <c r="T202" s="47" t="s">
        <v>198</v>
      </c>
      <c r="U202" s="48" t="s">
        <v>199</v>
      </c>
      <c r="V202" s="38"/>
      <c r="W202" s="48" t="s">
        <v>195</v>
      </c>
      <c r="X202" s="38" t="s">
        <v>426</v>
      </c>
      <c r="Y202" s="49" t="s">
        <v>427</v>
      </c>
      <c r="Z202" s="50" t="s">
        <v>897</v>
      </c>
      <c r="AA202" s="38"/>
      <c r="AB202" s="38"/>
      <c r="AC202" s="38"/>
      <c r="AD202" s="51">
        <v>14</v>
      </c>
      <c r="AE202" s="51">
        <v>14</v>
      </c>
      <c r="AF202" s="48" t="s">
        <v>203</v>
      </c>
      <c r="AG202" s="38" t="s">
        <v>204</v>
      </c>
      <c r="AH202" s="52"/>
      <c r="AI202" s="38"/>
      <c r="AJ202" s="38"/>
    </row>
    <row r="203" spans="1:36" ht="16.2">
      <c r="A203" s="53" t="s">
        <v>191</v>
      </c>
      <c r="B203" s="53">
        <v>82964102</v>
      </c>
      <c r="C203" s="53" t="s">
        <v>882</v>
      </c>
      <c r="D203" s="53">
        <v>13207712</v>
      </c>
      <c r="E203" s="54" t="s">
        <v>898</v>
      </c>
      <c r="F203" s="53" t="s">
        <v>873</v>
      </c>
      <c r="G203" s="53" t="s">
        <v>195</v>
      </c>
      <c r="H203" s="53" t="s">
        <v>899</v>
      </c>
      <c r="I203" s="53"/>
      <c r="J203" s="53">
        <v>13207712</v>
      </c>
      <c r="K203" s="53"/>
      <c r="L203" s="55">
        <v>45293</v>
      </c>
      <c r="M203" s="55">
        <v>45293</v>
      </c>
      <c r="N203" s="53" t="s">
        <v>196</v>
      </c>
      <c r="O203" s="53">
        <v>0</v>
      </c>
      <c r="P203" s="53">
        <v>20010079</v>
      </c>
      <c r="Q203" s="53" t="s">
        <v>900</v>
      </c>
      <c r="R203" s="45">
        <v>410</v>
      </c>
      <c r="S203" s="56">
        <v>0.01</v>
      </c>
      <c r="T203" s="47" t="s">
        <v>198</v>
      </c>
      <c r="U203" s="48" t="s">
        <v>199</v>
      </c>
      <c r="V203" s="38"/>
      <c r="W203" s="48" t="s">
        <v>195</v>
      </c>
      <c r="X203" s="38" t="s">
        <v>200</v>
      </c>
      <c r="Y203" s="49" t="s">
        <v>201</v>
      </c>
      <c r="Z203" s="50" t="s">
        <v>901</v>
      </c>
      <c r="AA203" s="47" t="s">
        <v>902</v>
      </c>
      <c r="AB203" s="38"/>
      <c r="AC203" s="38"/>
      <c r="AD203" s="51">
        <v>16</v>
      </c>
      <c r="AE203" s="51">
        <v>16</v>
      </c>
      <c r="AF203" s="48" t="s">
        <v>203</v>
      </c>
      <c r="AG203" s="38" t="s">
        <v>204</v>
      </c>
      <c r="AH203" s="52"/>
      <c r="AI203" s="38"/>
      <c r="AJ203" s="38"/>
    </row>
    <row r="204" spans="1:36" ht="16.2">
      <c r="A204" s="42" t="s">
        <v>191</v>
      </c>
      <c r="B204" s="42">
        <v>82964102</v>
      </c>
      <c r="C204" s="42" t="s">
        <v>882</v>
      </c>
      <c r="D204" s="42">
        <v>13207712</v>
      </c>
      <c r="E204" s="43" t="s">
        <v>898</v>
      </c>
      <c r="F204" s="42" t="s">
        <v>876</v>
      </c>
      <c r="G204" s="42" t="s">
        <v>195</v>
      </c>
      <c r="H204" s="42"/>
      <c r="I204" s="42"/>
      <c r="J204" s="42">
        <v>13207712</v>
      </c>
      <c r="K204" s="42"/>
      <c r="L204" s="44">
        <v>45293</v>
      </c>
      <c r="M204" s="44">
        <v>45293</v>
      </c>
      <c r="N204" s="42" t="s">
        <v>196</v>
      </c>
      <c r="O204" s="42">
        <v>0</v>
      </c>
      <c r="P204" s="42">
        <v>20010079</v>
      </c>
      <c r="Q204" s="42" t="s">
        <v>903</v>
      </c>
      <c r="R204" s="45">
        <v>410</v>
      </c>
      <c r="S204" s="46">
        <v>0.01</v>
      </c>
      <c r="T204" s="47" t="s">
        <v>198</v>
      </c>
      <c r="U204" s="48" t="s">
        <v>199</v>
      </c>
      <c r="V204" s="38"/>
      <c r="W204" s="48" t="s">
        <v>195</v>
      </c>
      <c r="X204" s="38" t="s">
        <v>200</v>
      </c>
      <c r="Y204" s="49" t="s">
        <v>201</v>
      </c>
      <c r="Z204" s="50" t="s">
        <v>904</v>
      </c>
      <c r="AA204" s="38"/>
      <c r="AB204" s="38"/>
      <c r="AC204" s="38"/>
      <c r="AD204" s="51">
        <v>16</v>
      </c>
      <c r="AE204" s="51">
        <v>16</v>
      </c>
      <c r="AF204" s="48" t="s">
        <v>203</v>
      </c>
      <c r="AG204" s="38" t="s">
        <v>204</v>
      </c>
      <c r="AH204" s="52"/>
      <c r="AI204" s="38"/>
      <c r="AJ204" s="38"/>
    </row>
    <row r="205" spans="1:36" ht="16.2">
      <c r="A205" s="53" t="s">
        <v>191</v>
      </c>
      <c r="B205" s="53">
        <v>82964102</v>
      </c>
      <c r="C205" s="53" t="s">
        <v>882</v>
      </c>
      <c r="D205" s="53">
        <v>13207712</v>
      </c>
      <c r="E205" s="54" t="s">
        <v>898</v>
      </c>
      <c r="F205" s="53" t="s">
        <v>879</v>
      </c>
      <c r="G205" s="53" t="s">
        <v>195</v>
      </c>
      <c r="H205" s="53"/>
      <c r="I205" s="53"/>
      <c r="J205" s="53">
        <v>13207712</v>
      </c>
      <c r="K205" s="53"/>
      <c r="L205" s="55">
        <v>45293</v>
      </c>
      <c r="M205" s="55">
        <v>45293</v>
      </c>
      <c r="N205" s="53" t="s">
        <v>196</v>
      </c>
      <c r="O205" s="53">
        <v>0</v>
      </c>
      <c r="P205" s="53">
        <v>20010079</v>
      </c>
      <c r="Q205" s="53" t="s">
        <v>905</v>
      </c>
      <c r="R205" s="45">
        <v>410</v>
      </c>
      <c r="S205" s="56">
        <v>0.01</v>
      </c>
      <c r="T205" s="47" t="s">
        <v>198</v>
      </c>
      <c r="U205" s="48" t="s">
        <v>199</v>
      </c>
      <c r="V205" s="38"/>
      <c r="W205" s="48" t="s">
        <v>195</v>
      </c>
      <c r="X205" s="38" t="s">
        <v>200</v>
      </c>
      <c r="Y205" s="49" t="s">
        <v>201</v>
      </c>
      <c r="Z205" s="50" t="s">
        <v>906</v>
      </c>
      <c r="AA205" s="38"/>
      <c r="AB205" s="38"/>
      <c r="AC205" s="38"/>
      <c r="AD205" s="51">
        <v>16</v>
      </c>
      <c r="AE205" s="51">
        <v>16</v>
      </c>
      <c r="AF205" s="48" t="s">
        <v>203</v>
      </c>
      <c r="AG205" s="38" t="s">
        <v>204</v>
      </c>
      <c r="AH205" s="52"/>
      <c r="AI205" s="38"/>
      <c r="AJ205" s="38"/>
    </row>
    <row r="206" spans="1:36" ht="16.2">
      <c r="A206" s="42" t="s">
        <v>340</v>
      </c>
      <c r="B206" s="42">
        <v>589658</v>
      </c>
      <c r="C206" s="42" t="s">
        <v>907</v>
      </c>
      <c r="D206" s="42">
        <v>13207638</v>
      </c>
      <c r="E206" s="43" t="s">
        <v>908</v>
      </c>
      <c r="F206" s="42" t="s">
        <v>873</v>
      </c>
      <c r="G206" s="42" t="s">
        <v>195</v>
      </c>
      <c r="H206" s="42"/>
      <c r="I206" s="42"/>
      <c r="J206" s="42">
        <v>13207638</v>
      </c>
      <c r="K206" s="42"/>
      <c r="L206" s="44">
        <v>45293</v>
      </c>
      <c r="M206" s="44">
        <v>45293</v>
      </c>
      <c r="N206" s="42" t="s">
        <v>343</v>
      </c>
      <c r="O206" s="42">
        <v>0</v>
      </c>
      <c r="P206" s="42">
        <v>20009992</v>
      </c>
      <c r="Q206" s="42" t="s">
        <v>909</v>
      </c>
      <c r="R206" s="45">
        <v>410</v>
      </c>
      <c r="S206" s="46">
        <v>0.01</v>
      </c>
      <c r="T206" s="47" t="s">
        <v>198</v>
      </c>
      <c r="U206" s="48" t="s">
        <v>199</v>
      </c>
      <c r="V206" s="38"/>
      <c r="W206" s="48" t="s">
        <v>195</v>
      </c>
      <c r="X206" s="38" t="s">
        <v>308</v>
      </c>
      <c r="Y206" s="49" t="s">
        <v>309</v>
      </c>
      <c r="Z206" s="50" t="s">
        <v>910</v>
      </c>
      <c r="AA206" s="38"/>
      <c r="AB206" s="38"/>
      <c r="AC206" s="38"/>
      <c r="AD206" s="51">
        <v>40</v>
      </c>
      <c r="AE206" s="51">
        <v>40</v>
      </c>
      <c r="AF206" s="48" t="s">
        <v>203</v>
      </c>
      <c r="AG206" s="38" t="s">
        <v>204</v>
      </c>
      <c r="AH206" s="52"/>
      <c r="AI206" s="38"/>
      <c r="AJ206" s="38"/>
    </row>
    <row r="207" spans="1:36" ht="16.2">
      <c r="A207" s="53" t="s">
        <v>340</v>
      </c>
      <c r="B207" s="53">
        <v>589658</v>
      </c>
      <c r="C207" s="53" t="s">
        <v>907</v>
      </c>
      <c r="D207" s="53">
        <v>13207638</v>
      </c>
      <c r="E207" s="54" t="s">
        <v>908</v>
      </c>
      <c r="F207" s="53" t="s">
        <v>876</v>
      </c>
      <c r="G207" s="53" t="s">
        <v>195</v>
      </c>
      <c r="H207" s="53"/>
      <c r="I207" s="53"/>
      <c r="J207" s="53">
        <v>13207638</v>
      </c>
      <c r="K207" s="53"/>
      <c r="L207" s="55">
        <v>45293</v>
      </c>
      <c r="M207" s="55">
        <v>45293</v>
      </c>
      <c r="N207" s="53" t="s">
        <v>343</v>
      </c>
      <c r="O207" s="53">
        <v>0</v>
      </c>
      <c r="P207" s="53">
        <v>20009992</v>
      </c>
      <c r="Q207" s="53" t="s">
        <v>911</v>
      </c>
      <c r="R207" s="45">
        <v>410</v>
      </c>
      <c r="S207" s="56">
        <v>0.01</v>
      </c>
      <c r="T207" s="47" t="s">
        <v>198</v>
      </c>
      <c r="U207" s="48" t="s">
        <v>199</v>
      </c>
      <c r="V207" s="38"/>
      <c r="W207" s="48" t="s">
        <v>195</v>
      </c>
      <c r="X207" s="38" t="s">
        <v>308</v>
      </c>
      <c r="Y207" s="49" t="s">
        <v>309</v>
      </c>
      <c r="Z207" s="50" t="s">
        <v>912</v>
      </c>
      <c r="AA207" s="38"/>
      <c r="AB207" s="38"/>
      <c r="AC207" s="38"/>
      <c r="AD207" s="51">
        <v>40</v>
      </c>
      <c r="AE207" s="51">
        <v>40</v>
      </c>
      <c r="AF207" s="48" t="s">
        <v>203</v>
      </c>
      <c r="AG207" s="38" t="s">
        <v>204</v>
      </c>
      <c r="AH207" s="52"/>
      <c r="AI207" s="38"/>
      <c r="AJ207" s="38"/>
    </row>
    <row r="208" spans="1:36" ht="16.2">
      <c r="A208" s="42" t="s">
        <v>340</v>
      </c>
      <c r="B208" s="42">
        <v>589658</v>
      </c>
      <c r="C208" s="42" t="s">
        <v>907</v>
      </c>
      <c r="D208" s="42">
        <v>13207638</v>
      </c>
      <c r="E208" s="43" t="s">
        <v>908</v>
      </c>
      <c r="F208" s="42" t="s">
        <v>879</v>
      </c>
      <c r="G208" s="42" t="s">
        <v>195</v>
      </c>
      <c r="H208" s="42"/>
      <c r="I208" s="42"/>
      <c r="J208" s="42">
        <v>13207638</v>
      </c>
      <c r="K208" s="42"/>
      <c r="L208" s="44">
        <v>45293</v>
      </c>
      <c r="M208" s="44">
        <v>45293</v>
      </c>
      <c r="N208" s="42" t="s">
        <v>343</v>
      </c>
      <c r="O208" s="42">
        <v>0</v>
      </c>
      <c r="P208" s="42">
        <v>20009992</v>
      </c>
      <c r="Q208" s="42" t="s">
        <v>913</v>
      </c>
      <c r="R208" s="45">
        <v>410</v>
      </c>
      <c r="S208" s="46">
        <v>0.01</v>
      </c>
      <c r="T208" s="47" t="s">
        <v>198</v>
      </c>
      <c r="U208" s="48" t="s">
        <v>199</v>
      </c>
      <c r="V208" s="38"/>
      <c r="W208" s="48" t="s">
        <v>195</v>
      </c>
      <c r="X208" s="38" t="s">
        <v>308</v>
      </c>
      <c r="Y208" s="49" t="s">
        <v>309</v>
      </c>
      <c r="Z208" s="50" t="s">
        <v>914</v>
      </c>
      <c r="AA208" s="38"/>
      <c r="AB208" s="38"/>
      <c r="AC208" s="38"/>
      <c r="AD208" s="51">
        <v>40</v>
      </c>
      <c r="AE208" s="51">
        <v>40</v>
      </c>
      <c r="AF208" s="48" t="s">
        <v>203</v>
      </c>
      <c r="AG208" s="38" t="s">
        <v>204</v>
      </c>
      <c r="AH208" s="52"/>
      <c r="AI208" s="38"/>
      <c r="AJ208" s="38"/>
    </row>
    <row r="209" spans="1:36" ht="16.2">
      <c r="A209" s="53" t="s">
        <v>302</v>
      </c>
      <c r="B209" s="53">
        <v>649544</v>
      </c>
      <c r="C209" s="53" t="s">
        <v>915</v>
      </c>
      <c r="D209" s="53">
        <v>13207589</v>
      </c>
      <c r="E209" s="54" t="s">
        <v>916</v>
      </c>
      <c r="F209" s="53" t="s">
        <v>917</v>
      </c>
      <c r="G209" s="53" t="s">
        <v>195</v>
      </c>
      <c r="H209" s="53"/>
      <c r="I209" s="53"/>
      <c r="J209" s="53">
        <v>13207589</v>
      </c>
      <c r="K209" s="53"/>
      <c r="L209" s="55">
        <v>45293</v>
      </c>
      <c r="M209" s="55">
        <v>45293</v>
      </c>
      <c r="N209" s="53" t="s">
        <v>408</v>
      </c>
      <c r="O209" s="53">
        <v>0</v>
      </c>
      <c r="P209" s="53">
        <v>94542837</v>
      </c>
      <c r="Q209" s="53" t="s">
        <v>918</v>
      </c>
      <c r="R209" s="45">
        <v>410</v>
      </c>
      <c r="S209" s="56">
        <v>0.01</v>
      </c>
      <c r="T209" s="47" t="s">
        <v>198</v>
      </c>
      <c r="U209" s="48" t="s">
        <v>199</v>
      </c>
      <c r="V209" s="38"/>
      <c r="W209" s="48" t="s">
        <v>195</v>
      </c>
      <c r="X209" s="38" t="s">
        <v>308</v>
      </c>
      <c r="Y209" s="49" t="s">
        <v>309</v>
      </c>
      <c r="Z209" s="50" t="s">
        <v>919</v>
      </c>
      <c r="AA209" s="38"/>
      <c r="AB209" s="38"/>
      <c r="AC209" s="38"/>
      <c r="AD209" s="51">
        <v>65</v>
      </c>
      <c r="AE209" s="51">
        <v>65</v>
      </c>
      <c r="AF209" s="48" t="s">
        <v>203</v>
      </c>
      <c r="AG209" s="38" t="s">
        <v>204</v>
      </c>
      <c r="AH209" s="52"/>
      <c r="AI209" s="38"/>
      <c r="AJ209" s="38"/>
    </row>
    <row r="210" spans="1:36" ht="16.2">
      <c r="A210" s="42" t="s">
        <v>302</v>
      </c>
      <c r="B210" s="42">
        <v>649544</v>
      </c>
      <c r="C210" s="42" t="s">
        <v>915</v>
      </c>
      <c r="D210" s="42">
        <v>13207589</v>
      </c>
      <c r="E210" s="43" t="s">
        <v>916</v>
      </c>
      <c r="F210" s="42" t="s">
        <v>920</v>
      </c>
      <c r="G210" s="42" t="s">
        <v>195</v>
      </c>
      <c r="H210" s="42"/>
      <c r="I210" s="42"/>
      <c r="J210" s="42">
        <v>13207589</v>
      </c>
      <c r="K210" s="42"/>
      <c r="L210" s="44">
        <v>45293</v>
      </c>
      <c r="M210" s="44">
        <v>45293</v>
      </c>
      <c r="N210" s="42" t="s">
        <v>408</v>
      </c>
      <c r="O210" s="42">
        <v>0</v>
      </c>
      <c r="P210" s="42">
        <v>94542837</v>
      </c>
      <c r="Q210" s="42" t="s">
        <v>921</v>
      </c>
      <c r="R210" s="45">
        <v>410</v>
      </c>
      <c r="S210" s="46">
        <v>0.01</v>
      </c>
      <c r="T210" s="47" t="s">
        <v>198</v>
      </c>
      <c r="U210" s="48" t="s">
        <v>199</v>
      </c>
      <c r="V210" s="38"/>
      <c r="W210" s="48" t="s">
        <v>195</v>
      </c>
      <c r="X210" s="38" t="s">
        <v>308</v>
      </c>
      <c r="Y210" s="49" t="s">
        <v>309</v>
      </c>
      <c r="Z210" s="50" t="s">
        <v>922</v>
      </c>
      <c r="AA210" s="38"/>
      <c r="AB210" s="38"/>
      <c r="AC210" s="38"/>
      <c r="AD210" s="51">
        <v>65</v>
      </c>
      <c r="AE210" s="51">
        <v>65</v>
      </c>
      <c r="AF210" s="48" t="s">
        <v>203</v>
      </c>
      <c r="AG210" s="38" t="s">
        <v>204</v>
      </c>
      <c r="AH210" s="52"/>
      <c r="AI210" s="38"/>
      <c r="AJ210" s="38"/>
    </row>
    <row r="211" spans="1:36" ht="16.2">
      <c r="A211" s="53" t="s">
        <v>302</v>
      </c>
      <c r="B211" s="53">
        <v>649544</v>
      </c>
      <c r="C211" s="53" t="s">
        <v>915</v>
      </c>
      <c r="D211" s="53">
        <v>13207589</v>
      </c>
      <c r="E211" s="54" t="s">
        <v>916</v>
      </c>
      <c r="F211" s="53" t="s">
        <v>923</v>
      </c>
      <c r="G211" s="53" t="s">
        <v>195</v>
      </c>
      <c r="H211" s="53"/>
      <c r="I211" s="53"/>
      <c r="J211" s="53">
        <v>13207589</v>
      </c>
      <c r="K211" s="53"/>
      <c r="L211" s="55">
        <v>45293</v>
      </c>
      <c r="M211" s="55">
        <v>45293</v>
      </c>
      <c r="N211" s="53" t="s">
        <v>408</v>
      </c>
      <c r="O211" s="53">
        <v>0</v>
      </c>
      <c r="P211" s="53">
        <v>94542837</v>
      </c>
      <c r="Q211" s="53" t="s">
        <v>924</v>
      </c>
      <c r="R211" s="45">
        <v>410</v>
      </c>
      <c r="S211" s="56">
        <v>0.01</v>
      </c>
      <c r="T211" s="47" t="s">
        <v>198</v>
      </c>
      <c r="U211" s="48" t="s">
        <v>199</v>
      </c>
      <c r="V211" s="38"/>
      <c r="W211" s="48" t="s">
        <v>195</v>
      </c>
      <c r="X211" s="38" t="s">
        <v>308</v>
      </c>
      <c r="Y211" s="49" t="s">
        <v>309</v>
      </c>
      <c r="Z211" s="50" t="s">
        <v>925</v>
      </c>
      <c r="AA211" s="38"/>
      <c r="AB211" s="38"/>
      <c r="AC211" s="38"/>
      <c r="AD211" s="51">
        <v>65</v>
      </c>
      <c r="AE211" s="51">
        <v>65</v>
      </c>
      <c r="AF211" s="48" t="s">
        <v>203</v>
      </c>
      <c r="AG211" s="38" t="s">
        <v>204</v>
      </c>
      <c r="AH211" s="52"/>
      <c r="AI211" s="38"/>
      <c r="AJ211" s="38"/>
    </row>
    <row r="212" spans="1:36" ht="16.2">
      <c r="A212" s="42" t="s">
        <v>302</v>
      </c>
      <c r="B212" s="42">
        <v>649544</v>
      </c>
      <c r="C212" s="42" t="s">
        <v>915</v>
      </c>
      <c r="D212" s="42">
        <v>13207589</v>
      </c>
      <c r="E212" s="43" t="s">
        <v>916</v>
      </c>
      <c r="F212" s="42" t="s">
        <v>926</v>
      </c>
      <c r="G212" s="42" t="s">
        <v>195</v>
      </c>
      <c r="H212" s="42"/>
      <c r="I212" s="42"/>
      <c r="J212" s="42">
        <v>13207589</v>
      </c>
      <c r="K212" s="42"/>
      <c r="L212" s="44">
        <v>45293</v>
      </c>
      <c r="M212" s="44">
        <v>45293</v>
      </c>
      <c r="N212" s="42" t="s">
        <v>408</v>
      </c>
      <c r="O212" s="42">
        <v>0</v>
      </c>
      <c r="P212" s="42">
        <v>94542837</v>
      </c>
      <c r="Q212" s="42" t="s">
        <v>927</v>
      </c>
      <c r="R212" s="45">
        <v>410</v>
      </c>
      <c r="S212" s="46">
        <v>0.01</v>
      </c>
      <c r="T212" s="47" t="s">
        <v>198</v>
      </c>
      <c r="U212" s="48" t="s">
        <v>199</v>
      </c>
      <c r="V212" s="38"/>
      <c r="W212" s="48" t="s">
        <v>195</v>
      </c>
      <c r="X212" s="38" t="s">
        <v>308</v>
      </c>
      <c r="Y212" s="49" t="s">
        <v>309</v>
      </c>
      <c r="Z212" s="50" t="s">
        <v>928</v>
      </c>
      <c r="AA212" s="38"/>
      <c r="AB212" s="38"/>
      <c r="AC212" s="38"/>
      <c r="AD212" s="51">
        <v>65</v>
      </c>
      <c r="AE212" s="51">
        <v>65</v>
      </c>
      <c r="AF212" s="48" t="s">
        <v>203</v>
      </c>
      <c r="AG212" s="38" t="s">
        <v>204</v>
      </c>
      <c r="AH212" s="52"/>
      <c r="AI212" s="38"/>
      <c r="AJ212" s="38"/>
    </row>
    <row r="213" spans="1:36" ht="16.2">
      <c r="A213" s="53" t="s">
        <v>302</v>
      </c>
      <c r="B213" s="53">
        <v>649544</v>
      </c>
      <c r="C213" s="53" t="s">
        <v>915</v>
      </c>
      <c r="D213" s="53">
        <v>13207589</v>
      </c>
      <c r="E213" s="54" t="s">
        <v>916</v>
      </c>
      <c r="F213" s="53" t="s">
        <v>929</v>
      </c>
      <c r="G213" s="53" t="s">
        <v>195</v>
      </c>
      <c r="H213" s="53"/>
      <c r="I213" s="53"/>
      <c r="J213" s="53">
        <v>13207589</v>
      </c>
      <c r="K213" s="53"/>
      <c r="L213" s="55">
        <v>45293</v>
      </c>
      <c r="M213" s="55">
        <v>45293</v>
      </c>
      <c r="N213" s="53" t="s">
        <v>408</v>
      </c>
      <c r="O213" s="53">
        <v>0</v>
      </c>
      <c r="P213" s="53">
        <v>94542837</v>
      </c>
      <c r="Q213" s="53" t="s">
        <v>930</v>
      </c>
      <c r="R213" s="45">
        <v>410</v>
      </c>
      <c r="S213" s="56">
        <v>0.01</v>
      </c>
      <c r="T213" s="47" t="s">
        <v>198</v>
      </c>
      <c r="U213" s="48" t="s">
        <v>199</v>
      </c>
      <c r="V213" s="38"/>
      <c r="W213" s="48" t="s">
        <v>195</v>
      </c>
      <c r="X213" s="38" t="s">
        <v>308</v>
      </c>
      <c r="Y213" s="49" t="s">
        <v>309</v>
      </c>
      <c r="Z213" s="50" t="s">
        <v>931</v>
      </c>
      <c r="AA213" s="38"/>
      <c r="AB213" s="38"/>
      <c r="AC213" s="38"/>
      <c r="AD213" s="51">
        <v>65</v>
      </c>
      <c r="AE213" s="51">
        <v>65</v>
      </c>
      <c r="AF213" s="48" t="s">
        <v>203</v>
      </c>
      <c r="AG213" s="38" t="s">
        <v>204</v>
      </c>
      <c r="AH213" s="52"/>
      <c r="AI213" s="38"/>
      <c r="AJ213" s="38"/>
    </row>
    <row r="214" spans="1:36" ht="16.2">
      <c r="A214" s="42" t="s">
        <v>302</v>
      </c>
      <c r="B214" s="42">
        <v>649544</v>
      </c>
      <c r="C214" s="42" t="s">
        <v>915</v>
      </c>
      <c r="D214" s="42">
        <v>13207589</v>
      </c>
      <c r="E214" s="43" t="s">
        <v>916</v>
      </c>
      <c r="F214" s="42" t="s">
        <v>932</v>
      </c>
      <c r="G214" s="42" t="s">
        <v>195</v>
      </c>
      <c r="H214" s="42"/>
      <c r="I214" s="42"/>
      <c r="J214" s="42">
        <v>13207589</v>
      </c>
      <c r="K214" s="42"/>
      <c r="L214" s="44">
        <v>45293</v>
      </c>
      <c r="M214" s="44">
        <v>45293</v>
      </c>
      <c r="N214" s="42" t="s">
        <v>408</v>
      </c>
      <c r="O214" s="42">
        <v>0</v>
      </c>
      <c r="P214" s="42">
        <v>94542837</v>
      </c>
      <c r="Q214" s="42" t="s">
        <v>933</v>
      </c>
      <c r="R214" s="45">
        <v>410</v>
      </c>
      <c r="S214" s="46">
        <v>0.01</v>
      </c>
      <c r="T214" s="47" t="s">
        <v>198</v>
      </c>
      <c r="U214" s="48" t="s">
        <v>199</v>
      </c>
      <c r="V214" s="38"/>
      <c r="W214" s="48" t="s">
        <v>195</v>
      </c>
      <c r="X214" s="38" t="s">
        <v>308</v>
      </c>
      <c r="Y214" s="49" t="s">
        <v>309</v>
      </c>
      <c r="Z214" s="50" t="s">
        <v>934</v>
      </c>
      <c r="AA214" s="38"/>
      <c r="AB214" s="38"/>
      <c r="AC214" s="38"/>
      <c r="AD214" s="51">
        <v>65</v>
      </c>
      <c r="AE214" s="51">
        <v>65</v>
      </c>
      <c r="AF214" s="48" t="s">
        <v>203</v>
      </c>
      <c r="AG214" s="38" t="s">
        <v>204</v>
      </c>
      <c r="AH214" s="52"/>
      <c r="AI214" s="38"/>
      <c r="AJ214" s="38"/>
    </row>
    <row r="215" spans="1:36" ht="16.2">
      <c r="A215" s="53" t="s">
        <v>302</v>
      </c>
      <c r="B215" s="53">
        <v>649544</v>
      </c>
      <c r="C215" s="53" t="s">
        <v>915</v>
      </c>
      <c r="D215" s="53">
        <v>13207589</v>
      </c>
      <c r="E215" s="54" t="s">
        <v>916</v>
      </c>
      <c r="F215" s="53" t="s">
        <v>935</v>
      </c>
      <c r="G215" s="53" t="s">
        <v>195</v>
      </c>
      <c r="H215" s="53"/>
      <c r="I215" s="53"/>
      <c r="J215" s="53">
        <v>13207589</v>
      </c>
      <c r="K215" s="53"/>
      <c r="L215" s="55">
        <v>45293</v>
      </c>
      <c r="M215" s="55">
        <v>45293</v>
      </c>
      <c r="N215" s="53" t="s">
        <v>408</v>
      </c>
      <c r="O215" s="53">
        <v>0</v>
      </c>
      <c r="P215" s="53">
        <v>94542837</v>
      </c>
      <c r="Q215" s="53" t="s">
        <v>936</v>
      </c>
      <c r="R215" s="45">
        <v>410</v>
      </c>
      <c r="S215" s="56">
        <v>0.01</v>
      </c>
      <c r="T215" s="47" t="s">
        <v>198</v>
      </c>
      <c r="U215" s="48" t="s">
        <v>199</v>
      </c>
      <c r="V215" s="38"/>
      <c r="W215" s="48" t="s">
        <v>195</v>
      </c>
      <c r="X215" s="38" t="s">
        <v>308</v>
      </c>
      <c r="Y215" s="49" t="s">
        <v>309</v>
      </c>
      <c r="Z215" s="50" t="s">
        <v>937</v>
      </c>
      <c r="AA215" s="38"/>
      <c r="AB215" s="38"/>
      <c r="AC215" s="38"/>
      <c r="AD215" s="51">
        <v>65</v>
      </c>
      <c r="AE215" s="51">
        <v>65</v>
      </c>
      <c r="AF215" s="48" t="s">
        <v>203</v>
      </c>
      <c r="AG215" s="38" t="s">
        <v>204</v>
      </c>
      <c r="AH215" s="52"/>
      <c r="AI215" s="38"/>
      <c r="AJ215" s="38"/>
    </row>
    <row r="216" spans="1:36" ht="16.2">
      <c r="A216" s="42" t="s">
        <v>302</v>
      </c>
      <c r="B216" s="42">
        <v>649544</v>
      </c>
      <c r="C216" s="42" t="s">
        <v>915</v>
      </c>
      <c r="D216" s="42">
        <v>13207589</v>
      </c>
      <c r="E216" s="43" t="s">
        <v>916</v>
      </c>
      <c r="F216" s="42" t="s">
        <v>938</v>
      </c>
      <c r="G216" s="42" t="s">
        <v>195</v>
      </c>
      <c r="H216" s="42"/>
      <c r="I216" s="42"/>
      <c r="J216" s="42">
        <v>13207589</v>
      </c>
      <c r="K216" s="42"/>
      <c r="L216" s="44">
        <v>45293</v>
      </c>
      <c r="M216" s="44">
        <v>45293</v>
      </c>
      <c r="N216" s="42" t="s">
        <v>408</v>
      </c>
      <c r="O216" s="42">
        <v>0</v>
      </c>
      <c r="P216" s="42">
        <v>94542837</v>
      </c>
      <c r="Q216" s="42" t="s">
        <v>939</v>
      </c>
      <c r="R216" s="45">
        <v>410</v>
      </c>
      <c r="S216" s="42">
        <v>0</v>
      </c>
      <c r="T216" s="47" t="s">
        <v>198</v>
      </c>
      <c r="U216" s="48" t="s">
        <v>199</v>
      </c>
      <c r="V216" s="38"/>
      <c r="W216" s="48" t="s">
        <v>195</v>
      </c>
      <c r="X216" s="38" t="s">
        <v>308</v>
      </c>
      <c r="Y216" s="49" t="s">
        <v>309</v>
      </c>
      <c r="Z216" s="50" t="s">
        <v>940</v>
      </c>
      <c r="AA216" s="38"/>
      <c r="AB216" s="38"/>
      <c r="AC216" s="38"/>
      <c r="AD216" s="51">
        <v>65</v>
      </c>
      <c r="AE216" s="51">
        <v>65</v>
      </c>
      <c r="AF216" s="48" t="s">
        <v>203</v>
      </c>
      <c r="AG216" s="38" t="s">
        <v>204</v>
      </c>
      <c r="AH216" s="52"/>
      <c r="AI216" s="38"/>
      <c r="AJ216" s="38"/>
    </row>
    <row r="217" spans="1:36" ht="16.2">
      <c r="A217" s="53" t="s">
        <v>302</v>
      </c>
      <c r="B217" s="53">
        <v>649544</v>
      </c>
      <c r="C217" s="53" t="s">
        <v>915</v>
      </c>
      <c r="D217" s="53">
        <v>13207589</v>
      </c>
      <c r="E217" s="54" t="s">
        <v>916</v>
      </c>
      <c r="F217" s="53" t="s">
        <v>941</v>
      </c>
      <c r="G217" s="53" t="s">
        <v>195</v>
      </c>
      <c r="H217" s="53"/>
      <c r="I217" s="53"/>
      <c r="J217" s="53">
        <v>13207589</v>
      </c>
      <c r="K217" s="53"/>
      <c r="L217" s="55">
        <v>45293</v>
      </c>
      <c r="M217" s="55">
        <v>45293</v>
      </c>
      <c r="N217" s="53" t="s">
        <v>408</v>
      </c>
      <c r="O217" s="53">
        <v>0</v>
      </c>
      <c r="P217" s="53">
        <v>94542837</v>
      </c>
      <c r="Q217" s="53" t="s">
        <v>942</v>
      </c>
      <c r="R217" s="45">
        <v>410</v>
      </c>
      <c r="S217" s="53">
        <v>0</v>
      </c>
      <c r="T217" s="47" t="s">
        <v>198</v>
      </c>
      <c r="U217" s="48" t="s">
        <v>199</v>
      </c>
      <c r="V217" s="38"/>
      <c r="W217" s="48" t="s">
        <v>195</v>
      </c>
      <c r="X217" s="38" t="s">
        <v>308</v>
      </c>
      <c r="Y217" s="49" t="s">
        <v>309</v>
      </c>
      <c r="Z217" s="50" t="s">
        <v>943</v>
      </c>
      <c r="AA217" s="38"/>
      <c r="AB217" s="38"/>
      <c r="AC217" s="38"/>
      <c r="AD217" s="51">
        <v>65</v>
      </c>
      <c r="AE217" s="51">
        <v>65</v>
      </c>
      <c r="AF217" s="48" t="s">
        <v>203</v>
      </c>
      <c r="AG217" s="38" t="s">
        <v>204</v>
      </c>
      <c r="AH217" s="52"/>
      <c r="AI217" s="38"/>
      <c r="AJ217" s="38"/>
    </row>
    <row r="218" spans="1:36" ht="16.2">
      <c r="A218" s="42" t="s">
        <v>302</v>
      </c>
      <c r="B218" s="42">
        <v>649544</v>
      </c>
      <c r="C218" s="42" t="s">
        <v>915</v>
      </c>
      <c r="D218" s="42">
        <v>13207589</v>
      </c>
      <c r="E218" s="43" t="s">
        <v>916</v>
      </c>
      <c r="F218" s="42" t="s">
        <v>944</v>
      </c>
      <c r="G218" s="42" t="s">
        <v>195</v>
      </c>
      <c r="H218" s="42"/>
      <c r="I218" s="42"/>
      <c r="J218" s="42">
        <v>13207589</v>
      </c>
      <c r="K218" s="42"/>
      <c r="L218" s="44">
        <v>45293</v>
      </c>
      <c r="M218" s="44">
        <v>45293</v>
      </c>
      <c r="N218" s="42" t="s">
        <v>408</v>
      </c>
      <c r="O218" s="42">
        <v>0</v>
      </c>
      <c r="P218" s="42">
        <v>94542837</v>
      </c>
      <c r="Q218" s="42" t="s">
        <v>945</v>
      </c>
      <c r="R218" s="45">
        <v>410</v>
      </c>
      <c r="S218" s="42">
        <v>0</v>
      </c>
      <c r="T218" s="47" t="s">
        <v>198</v>
      </c>
      <c r="U218" s="48" t="s">
        <v>199</v>
      </c>
      <c r="V218" s="38"/>
      <c r="W218" s="48" t="s">
        <v>195</v>
      </c>
      <c r="X218" s="38" t="s">
        <v>308</v>
      </c>
      <c r="Y218" s="49" t="s">
        <v>309</v>
      </c>
      <c r="Z218" s="50" t="s">
        <v>946</v>
      </c>
      <c r="AA218" s="38"/>
      <c r="AB218" s="38"/>
      <c r="AC218" s="38"/>
      <c r="AD218" s="51">
        <v>65</v>
      </c>
      <c r="AE218" s="51">
        <v>65</v>
      </c>
      <c r="AF218" s="48" t="s">
        <v>203</v>
      </c>
      <c r="AG218" s="38" t="s">
        <v>204</v>
      </c>
      <c r="AH218" s="52"/>
      <c r="AI218" s="38"/>
      <c r="AJ218" s="38"/>
    </row>
    <row r="219" spans="1:36" ht="16.2">
      <c r="A219" s="53" t="s">
        <v>302</v>
      </c>
      <c r="B219" s="53">
        <v>649544</v>
      </c>
      <c r="C219" s="53" t="s">
        <v>915</v>
      </c>
      <c r="D219" s="53">
        <v>13207589</v>
      </c>
      <c r="E219" s="54" t="s">
        <v>916</v>
      </c>
      <c r="F219" s="53" t="s">
        <v>235</v>
      </c>
      <c r="G219" s="53" t="s">
        <v>195</v>
      </c>
      <c r="H219" s="53"/>
      <c r="I219" s="53"/>
      <c r="J219" s="53">
        <v>13207589</v>
      </c>
      <c r="K219" s="53"/>
      <c r="L219" s="55">
        <v>45293</v>
      </c>
      <c r="M219" s="55">
        <v>45293</v>
      </c>
      <c r="N219" s="53" t="s">
        <v>408</v>
      </c>
      <c r="O219" s="53">
        <v>0</v>
      </c>
      <c r="P219" s="53">
        <v>94542837</v>
      </c>
      <c r="Q219" s="53" t="s">
        <v>947</v>
      </c>
      <c r="R219" s="45">
        <v>410</v>
      </c>
      <c r="S219" s="53">
        <v>0</v>
      </c>
      <c r="T219" s="47" t="s">
        <v>198</v>
      </c>
      <c r="U219" s="48" t="s">
        <v>199</v>
      </c>
      <c r="V219" s="38"/>
      <c r="W219" s="48" t="s">
        <v>195</v>
      </c>
      <c r="X219" s="38" t="s">
        <v>308</v>
      </c>
      <c r="Y219" s="49" t="s">
        <v>309</v>
      </c>
      <c r="Z219" s="50" t="s">
        <v>948</v>
      </c>
      <c r="AA219" s="38"/>
      <c r="AB219" s="38"/>
      <c r="AC219" s="38"/>
      <c r="AD219" s="51">
        <v>65</v>
      </c>
      <c r="AE219" s="51">
        <v>65</v>
      </c>
      <c r="AF219" s="48" t="s">
        <v>203</v>
      </c>
      <c r="AG219" s="38" t="s">
        <v>204</v>
      </c>
      <c r="AH219" s="52"/>
      <c r="AI219" s="38"/>
      <c r="AJ219" s="38"/>
    </row>
    <row r="220" spans="1:36" ht="16.2">
      <c r="A220" s="42" t="s">
        <v>302</v>
      </c>
      <c r="B220" s="42">
        <v>649544</v>
      </c>
      <c r="C220" s="42" t="s">
        <v>915</v>
      </c>
      <c r="D220" s="42">
        <v>13207589</v>
      </c>
      <c r="E220" s="43" t="s">
        <v>916</v>
      </c>
      <c r="F220" s="42" t="s">
        <v>949</v>
      </c>
      <c r="G220" s="42" t="s">
        <v>195</v>
      </c>
      <c r="H220" s="42"/>
      <c r="I220" s="42"/>
      <c r="J220" s="42">
        <v>13207589</v>
      </c>
      <c r="K220" s="42"/>
      <c r="L220" s="44">
        <v>45293</v>
      </c>
      <c r="M220" s="44">
        <v>45293</v>
      </c>
      <c r="N220" s="42" t="s">
        <v>408</v>
      </c>
      <c r="O220" s="42">
        <v>0</v>
      </c>
      <c r="P220" s="42">
        <v>94542837</v>
      </c>
      <c r="Q220" s="42" t="s">
        <v>950</v>
      </c>
      <c r="R220" s="45">
        <v>410</v>
      </c>
      <c r="S220" s="42">
        <v>0</v>
      </c>
      <c r="T220" s="47" t="s">
        <v>198</v>
      </c>
      <c r="U220" s="48" t="s">
        <v>199</v>
      </c>
      <c r="V220" s="38"/>
      <c r="W220" s="48" t="s">
        <v>195</v>
      </c>
      <c r="X220" s="38" t="s">
        <v>308</v>
      </c>
      <c r="Y220" s="49" t="s">
        <v>309</v>
      </c>
      <c r="Z220" s="50" t="s">
        <v>951</v>
      </c>
      <c r="AA220" s="38"/>
      <c r="AB220" s="38"/>
      <c r="AC220" s="38"/>
      <c r="AD220" s="51">
        <v>65</v>
      </c>
      <c r="AE220" s="51">
        <v>65</v>
      </c>
      <c r="AF220" s="48" t="s">
        <v>203</v>
      </c>
      <c r="AG220" s="38" t="s">
        <v>204</v>
      </c>
      <c r="AH220" s="52"/>
      <c r="AI220" s="38"/>
      <c r="AJ220" s="38"/>
    </row>
    <row r="221" spans="1:36" ht="16.2">
      <c r="A221" s="53" t="s">
        <v>302</v>
      </c>
      <c r="B221" s="53">
        <v>649543</v>
      </c>
      <c r="C221" s="53" t="s">
        <v>952</v>
      </c>
      <c r="D221" s="53">
        <v>13207588</v>
      </c>
      <c r="E221" s="54" t="s">
        <v>953</v>
      </c>
      <c r="F221" s="53" t="s">
        <v>917</v>
      </c>
      <c r="G221" s="53" t="s">
        <v>195</v>
      </c>
      <c r="H221" s="53"/>
      <c r="I221" s="53"/>
      <c r="J221" s="53">
        <v>13207588</v>
      </c>
      <c r="K221" s="53"/>
      <c r="L221" s="55">
        <v>45293</v>
      </c>
      <c r="M221" s="55">
        <v>45293</v>
      </c>
      <c r="N221" s="53" t="s">
        <v>408</v>
      </c>
      <c r="O221" s="53">
        <v>0</v>
      </c>
      <c r="P221" s="53">
        <v>94542837</v>
      </c>
      <c r="Q221" s="53" t="s">
        <v>954</v>
      </c>
      <c r="R221" s="45">
        <v>410</v>
      </c>
      <c r="S221" s="53">
        <v>0</v>
      </c>
      <c r="T221" s="47" t="s">
        <v>198</v>
      </c>
      <c r="U221" s="48" t="s">
        <v>199</v>
      </c>
      <c r="V221" s="38"/>
      <c r="W221" s="48" t="s">
        <v>195</v>
      </c>
      <c r="X221" s="38" t="s">
        <v>308</v>
      </c>
      <c r="Y221" s="49" t="s">
        <v>309</v>
      </c>
      <c r="Z221" s="50" t="s">
        <v>955</v>
      </c>
      <c r="AA221" s="38"/>
      <c r="AB221" s="38"/>
      <c r="AC221" s="38"/>
      <c r="AD221" s="51">
        <v>65</v>
      </c>
      <c r="AE221" s="51">
        <v>65</v>
      </c>
      <c r="AF221" s="48" t="s">
        <v>203</v>
      </c>
      <c r="AG221" s="38" t="s">
        <v>204</v>
      </c>
      <c r="AH221" s="52"/>
      <c r="AI221" s="38"/>
      <c r="AJ221" s="38"/>
    </row>
    <row r="222" spans="1:36" ht="16.2">
      <c r="A222" s="42" t="s">
        <v>302</v>
      </c>
      <c r="B222" s="42">
        <v>649543</v>
      </c>
      <c r="C222" s="42" t="s">
        <v>952</v>
      </c>
      <c r="D222" s="42">
        <v>13207588</v>
      </c>
      <c r="E222" s="43" t="s">
        <v>953</v>
      </c>
      <c r="F222" s="42" t="s">
        <v>920</v>
      </c>
      <c r="G222" s="42" t="s">
        <v>195</v>
      </c>
      <c r="H222" s="42"/>
      <c r="I222" s="42"/>
      <c r="J222" s="42">
        <v>13207588</v>
      </c>
      <c r="K222" s="42"/>
      <c r="L222" s="44">
        <v>45293</v>
      </c>
      <c r="M222" s="44">
        <v>45293</v>
      </c>
      <c r="N222" s="42" t="s">
        <v>408</v>
      </c>
      <c r="O222" s="42">
        <v>0</v>
      </c>
      <c r="P222" s="42">
        <v>94542837</v>
      </c>
      <c r="Q222" s="42" t="s">
        <v>956</v>
      </c>
      <c r="R222" s="45">
        <v>410</v>
      </c>
      <c r="S222" s="42">
        <v>0</v>
      </c>
      <c r="T222" s="47" t="s">
        <v>198</v>
      </c>
      <c r="U222" s="48" t="s">
        <v>199</v>
      </c>
      <c r="V222" s="38"/>
      <c r="W222" s="48" t="s">
        <v>195</v>
      </c>
      <c r="X222" s="38" t="s">
        <v>308</v>
      </c>
      <c r="Y222" s="49" t="s">
        <v>309</v>
      </c>
      <c r="Z222" s="50" t="s">
        <v>957</v>
      </c>
      <c r="AA222" s="38"/>
      <c r="AB222" s="38"/>
      <c r="AC222" s="38"/>
      <c r="AD222" s="51">
        <v>65</v>
      </c>
      <c r="AE222" s="51">
        <v>65</v>
      </c>
      <c r="AF222" s="48" t="s">
        <v>203</v>
      </c>
      <c r="AG222" s="38" t="s">
        <v>204</v>
      </c>
      <c r="AH222" s="52"/>
      <c r="AI222" s="38"/>
      <c r="AJ222" s="38"/>
    </row>
    <row r="223" spans="1:36" ht="16.2">
      <c r="A223" s="53" t="s">
        <v>302</v>
      </c>
      <c r="B223" s="53">
        <v>649543</v>
      </c>
      <c r="C223" s="53" t="s">
        <v>952</v>
      </c>
      <c r="D223" s="53">
        <v>13207588</v>
      </c>
      <c r="E223" s="54" t="s">
        <v>953</v>
      </c>
      <c r="F223" s="53" t="s">
        <v>923</v>
      </c>
      <c r="G223" s="53" t="s">
        <v>195</v>
      </c>
      <c r="H223" s="53"/>
      <c r="I223" s="53"/>
      <c r="J223" s="53">
        <v>13207588</v>
      </c>
      <c r="K223" s="53"/>
      <c r="L223" s="55">
        <v>45293</v>
      </c>
      <c r="M223" s="55">
        <v>45293</v>
      </c>
      <c r="N223" s="53" t="s">
        <v>408</v>
      </c>
      <c r="O223" s="53">
        <v>0</v>
      </c>
      <c r="P223" s="53">
        <v>94542837</v>
      </c>
      <c r="Q223" s="53" t="s">
        <v>958</v>
      </c>
      <c r="R223" s="45">
        <v>410</v>
      </c>
      <c r="S223" s="53">
        <v>0</v>
      </c>
      <c r="T223" s="47" t="s">
        <v>198</v>
      </c>
      <c r="U223" s="48" t="s">
        <v>199</v>
      </c>
      <c r="V223" s="38"/>
      <c r="W223" s="48" t="s">
        <v>195</v>
      </c>
      <c r="X223" s="38" t="s">
        <v>308</v>
      </c>
      <c r="Y223" s="49" t="s">
        <v>309</v>
      </c>
      <c r="Z223" s="50" t="s">
        <v>959</v>
      </c>
      <c r="AA223" s="38"/>
      <c r="AB223" s="38"/>
      <c r="AC223" s="38"/>
      <c r="AD223" s="51">
        <v>65</v>
      </c>
      <c r="AE223" s="51">
        <v>65</v>
      </c>
      <c r="AF223" s="48" t="s">
        <v>203</v>
      </c>
      <c r="AG223" s="38" t="s">
        <v>204</v>
      </c>
      <c r="AH223" s="52"/>
      <c r="AI223" s="38"/>
      <c r="AJ223" s="38"/>
    </row>
    <row r="224" spans="1:36" ht="16.2">
      <c r="A224" s="42" t="s">
        <v>302</v>
      </c>
      <c r="B224" s="42">
        <v>649543</v>
      </c>
      <c r="C224" s="42" t="s">
        <v>952</v>
      </c>
      <c r="D224" s="42">
        <v>13207588</v>
      </c>
      <c r="E224" s="43" t="s">
        <v>953</v>
      </c>
      <c r="F224" s="42" t="s">
        <v>926</v>
      </c>
      <c r="G224" s="42" t="s">
        <v>195</v>
      </c>
      <c r="H224" s="42"/>
      <c r="I224" s="42"/>
      <c r="J224" s="42">
        <v>13207588</v>
      </c>
      <c r="K224" s="42"/>
      <c r="L224" s="44">
        <v>45293</v>
      </c>
      <c r="M224" s="44">
        <v>45293</v>
      </c>
      <c r="N224" s="42" t="s">
        <v>408</v>
      </c>
      <c r="O224" s="42">
        <v>0</v>
      </c>
      <c r="P224" s="42">
        <v>94542837</v>
      </c>
      <c r="Q224" s="42" t="s">
        <v>960</v>
      </c>
      <c r="R224" s="45">
        <v>410</v>
      </c>
      <c r="S224" s="42">
        <v>0</v>
      </c>
      <c r="T224" s="47" t="s">
        <v>198</v>
      </c>
      <c r="U224" s="48" t="s">
        <v>199</v>
      </c>
      <c r="V224" s="38"/>
      <c r="W224" s="48" t="s">
        <v>195</v>
      </c>
      <c r="X224" s="38" t="s">
        <v>308</v>
      </c>
      <c r="Y224" s="49" t="s">
        <v>309</v>
      </c>
      <c r="Z224" s="50" t="s">
        <v>961</v>
      </c>
      <c r="AA224" s="38"/>
      <c r="AB224" s="38"/>
      <c r="AC224" s="38"/>
      <c r="AD224" s="51">
        <v>65</v>
      </c>
      <c r="AE224" s="51">
        <v>65</v>
      </c>
      <c r="AF224" s="48" t="s">
        <v>203</v>
      </c>
      <c r="AG224" s="38" t="s">
        <v>204</v>
      </c>
      <c r="AH224" s="52"/>
      <c r="AI224" s="38"/>
      <c r="AJ224" s="38"/>
    </row>
    <row r="225" spans="1:36" ht="16.2">
      <c r="A225" s="53" t="s">
        <v>302</v>
      </c>
      <c r="B225" s="53">
        <v>649543</v>
      </c>
      <c r="C225" s="53" t="s">
        <v>952</v>
      </c>
      <c r="D225" s="53">
        <v>13207588</v>
      </c>
      <c r="E225" s="54" t="s">
        <v>953</v>
      </c>
      <c r="F225" s="53" t="s">
        <v>929</v>
      </c>
      <c r="G225" s="53" t="s">
        <v>195</v>
      </c>
      <c r="H225" s="53"/>
      <c r="I225" s="53"/>
      <c r="J225" s="53">
        <v>13207588</v>
      </c>
      <c r="K225" s="53"/>
      <c r="L225" s="55">
        <v>45293</v>
      </c>
      <c r="M225" s="55">
        <v>45293</v>
      </c>
      <c r="N225" s="53" t="s">
        <v>408</v>
      </c>
      <c r="O225" s="53">
        <v>0</v>
      </c>
      <c r="P225" s="53">
        <v>94542837</v>
      </c>
      <c r="Q225" s="53" t="s">
        <v>962</v>
      </c>
      <c r="R225" s="45">
        <v>410</v>
      </c>
      <c r="S225" s="53">
        <v>0</v>
      </c>
      <c r="T225" s="47" t="s">
        <v>198</v>
      </c>
      <c r="U225" s="48" t="s">
        <v>199</v>
      </c>
      <c r="V225" s="38"/>
      <c r="W225" s="48" t="s">
        <v>195</v>
      </c>
      <c r="X225" s="38" t="s">
        <v>308</v>
      </c>
      <c r="Y225" s="49" t="s">
        <v>309</v>
      </c>
      <c r="Z225" s="50" t="s">
        <v>963</v>
      </c>
      <c r="AA225" s="38"/>
      <c r="AB225" s="38"/>
      <c r="AC225" s="38"/>
      <c r="AD225" s="51">
        <v>65</v>
      </c>
      <c r="AE225" s="51">
        <v>65</v>
      </c>
      <c r="AF225" s="48" t="s">
        <v>203</v>
      </c>
      <c r="AG225" s="38" t="s">
        <v>204</v>
      </c>
      <c r="AH225" s="52"/>
      <c r="AI225" s="38"/>
      <c r="AJ225" s="38"/>
    </row>
    <row r="226" spans="1:36" ht="16.2">
      <c r="A226" s="42" t="s">
        <v>302</v>
      </c>
      <c r="B226" s="42">
        <v>649543</v>
      </c>
      <c r="C226" s="42" t="s">
        <v>952</v>
      </c>
      <c r="D226" s="42">
        <v>13207588</v>
      </c>
      <c r="E226" s="43" t="s">
        <v>953</v>
      </c>
      <c r="F226" s="42" t="s">
        <v>932</v>
      </c>
      <c r="G226" s="42" t="s">
        <v>195</v>
      </c>
      <c r="H226" s="42"/>
      <c r="I226" s="42"/>
      <c r="J226" s="42">
        <v>13207588</v>
      </c>
      <c r="K226" s="42"/>
      <c r="L226" s="44">
        <v>45293</v>
      </c>
      <c r="M226" s="44">
        <v>45293</v>
      </c>
      <c r="N226" s="42" t="s">
        <v>408</v>
      </c>
      <c r="O226" s="42">
        <v>0</v>
      </c>
      <c r="P226" s="42">
        <v>94542837</v>
      </c>
      <c r="Q226" s="42" t="s">
        <v>964</v>
      </c>
      <c r="R226" s="45">
        <v>410</v>
      </c>
      <c r="S226" s="42">
        <v>0</v>
      </c>
      <c r="T226" s="47" t="s">
        <v>198</v>
      </c>
      <c r="U226" s="48" t="s">
        <v>199</v>
      </c>
      <c r="V226" s="38"/>
      <c r="W226" s="48" t="s">
        <v>195</v>
      </c>
      <c r="X226" s="38" t="s">
        <v>308</v>
      </c>
      <c r="Y226" s="49" t="s">
        <v>309</v>
      </c>
      <c r="Z226" s="50" t="s">
        <v>965</v>
      </c>
      <c r="AA226" s="38"/>
      <c r="AB226" s="38"/>
      <c r="AC226" s="38"/>
      <c r="AD226" s="51">
        <v>65</v>
      </c>
      <c r="AE226" s="51">
        <v>65</v>
      </c>
      <c r="AF226" s="48" t="s">
        <v>203</v>
      </c>
      <c r="AG226" s="38" t="s">
        <v>204</v>
      </c>
      <c r="AH226" s="52"/>
      <c r="AI226" s="38"/>
      <c r="AJ226" s="38"/>
    </row>
    <row r="227" spans="1:36" ht="16.2">
      <c r="A227" s="53" t="s">
        <v>302</v>
      </c>
      <c r="B227" s="53">
        <v>649543</v>
      </c>
      <c r="C227" s="53" t="s">
        <v>952</v>
      </c>
      <c r="D227" s="53">
        <v>13207588</v>
      </c>
      <c r="E227" s="54" t="s">
        <v>953</v>
      </c>
      <c r="F227" s="53" t="s">
        <v>935</v>
      </c>
      <c r="G227" s="53" t="s">
        <v>195</v>
      </c>
      <c r="H227" s="53"/>
      <c r="I227" s="53"/>
      <c r="J227" s="53">
        <v>13207588</v>
      </c>
      <c r="K227" s="53"/>
      <c r="L227" s="55">
        <v>45293</v>
      </c>
      <c r="M227" s="55">
        <v>45293</v>
      </c>
      <c r="N227" s="53" t="s">
        <v>408</v>
      </c>
      <c r="O227" s="53">
        <v>0</v>
      </c>
      <c r="P227" s="53">
        <v>94542837</v>
      </c>
      <c r="Q227" s="53" t="s">
        <v>966</v>
      </c>
      <c r="R227" s="45">
        <v>410</v>
      </c>
      <c r="S227" s="53">
        <v>0</v>
      </c>
      <c r="T227" s="47" t="s">
        <v>198</v>
      </c>
      <c r="U227" s="48" t="s">
        <v>199</v>
      </c>
      <c r="V227" s="38"/>
      <c r="W227" s="48" t="s">
        <v>195</v>
      </c>
      <c r="X227" s="38" t="s">
        <v>308</v>
      </c>
      <c r="Y227" s="49" t="s">
        <v>309</v>
      </c>
      <c r="Z227" s="50" t="s">
        <v>967</v>
      </c>
      <c r="AA227" s="38"/>
      <c r="AB227" s="38"/>
      <c r="AC227" s="38"/>
      <c r="AD227" s="51">
        <v>65</v>
      </c>
      <c r="AE227" s="51">
        <v>65</v>
      </c>
      <c r="AF227" s="48" t="s">
        <v>203</v>
      </c>
      <c r="AG227" s="38" t="s">
        <v>204</v>
      </c>
      <c r="AH227" s="52"/>
      <c r="AI227" s="38"/>
      <c r="AJ227" s="38"/>
    </row>
    <row r="228" spans="1:36" ht="16.2">
      <c r="A228" s="42" t="s">
        <v>302</v>
      </c>
      <c r="B228" s="42">
        <v>649543</v>
      </c>
      <c r="C228" s="42" t="s">
        <v>952</v>
      </c>
      <c r="D228" s="42">
        <v>13207588</v>
      </c>
      <c r="E228" s="43" t="s">
        <v>953</v>
      </c>
      <c r="F228" s="42" t="s">
        <v>938</v>
      </c>
      <c r="G228" s="42" t="s">
        <v>195</v>
      </c>
      <c r="H228" s="42"/>
      <c r="I228" s="42"/>
      <c r="J228" s="42">
        <v>13207588</v>
      </c>
      <c r="K228" s="42"/>
      <c r="L228" s="44">
        <v>45293</v>
      </c>
      <c r="M228" s="44">
        <v>45293</v>
      </c>
      <c r="N228" s="42" t="s">
        <v>408</v>
      </c>
      <c r="O228" s="42">
        <v>0</v>
      </c>
      <c r="P228" s="42">
        <v>94542837</v>
      </c>
      <c r="Q228" s="42" t="s">
        <v>968</v>
      </c>
      <c r="R228" s="45">
        <v>410</v>
      </c>
      <c r="S228" s="42">
        <v>0</v>
      </c>
      <c r="T228" s="47" t="s">
        <v>198</v>
      </c>
      <c r="U228" s="48" t="s">
        <v>199</v>
      </c>
      <c r="V228" s="38"/>
      <c r="W228" s="48" t="s">
        <v>195</v>
      </c>
      <c r="X228" s="38" t="s">
        <v>308</v>
      </c>
      <c r="Y228" s="49" t="s">
        <v>309</v>
      </c>
      <c r="Z228" s="50" t="s">
        <v>969</v>
      </c>
      <c r="AA228" s="38"/>
      <c r="AB228" s="38"/>
      <c r="AC228" s="38"/>
      <c r="AD228" s="51">
        <v>65</v>
      </c>
      <c r="AE228" s="51">
        <v>65</v>
      </c>
      <c r="AF228" s="48" t="s">
        <v>203</v>
      </c>
      <c r="AG228" s="38" t="s">
        <v>204</v>
      </c>
      <c r="AH228" s="52"/>
      <c r="AI228" s="38"/>
      <c r="AJ228" s="38"/>
    </row>
    <row r="229" spans="1:36" ht="16.2">
      <c r="A229" s="53" t="s">
        <v>302</v>
      </c>
      <c r="B229" s="53">
        <v>649543</v>
      </c>
      <c r="C229" s="53" t="s">
        <v>952</v>
      </c>
      <c r="D229" s="53">
        <v>13207588</v>
      </c>
      <c r="E229" s="54" t="s">
        <v>953</v>
      </c>
      <c r="F229" s="53" t="s">
        <v>941</v>
      </c>
      <c r="G229" s="53" t="s">
        <v>195</v>
      </c>
      <c r="H229" s="53"/>
      <c r="I229" s="53"/>
      <c r="J229" s="53">
        <v>13207588</v>
      </c>
      <c r="K229" s="53"/>
      <c r="L229" s="55">
        <v>45293</v>
      </c>
      <c r="M229" s="55">
        <v>45293</v>
      </c>
      <c r="N229" s="53" t="s">
        <v>408</v>
      </c>
      <c r="O229" s="53">
        <v>0</v>
      </c>
      <c r="P229" s="53">
        <v>94542837</v>
      </c>
      <c r="Q229" s="53" t="s">
        <v>970</v>
      </c>
      <c r="R229" s="45">
        <v>410</v>
      </c>
      <c r="S229" s="56">
        <v>0</v>
      </c>
      <c r="T229" s="47" t="s">
        <v>198</v>
      </c>
      <c r="U229" s="48" t="s">
        <v>199</v>
      </c>
      <c r="V229" s="38"/>
      <c r="W229" s="48" t="s">
        <v>195</v>
      </c>
      <c r="X229" s="38" t="s">
        <v>308</v>
      </c>
      <c r="Y229" s="49" t="s">
        <v>309</v>
      </c>
      <c r="Z229" s="50" t="s">
        <v>971</v>
      </c>
      <c r="AA229" s="38"/>
      <c r="AB229" s="38"/>
      <c r="AC229" s="38"/>
      <c r="AD229" s="51">
        <v>65</v>
      </c>
      <c r="AE229" s="51">
        <v>65</v>
      </c>
      <c r="AF229" s="48" t="s">
        <v>203</v>
      </c>
      <c r="AG229" s="38" t="s">
        <v>204</v>
      </c>
      <c r="AH229" s="52"/>
      <c r="AI229" s="38"/>
      <c r="AJ229" s="38"/>
    </row>
    <row r="230" spans="1:36" ht="16.2">
      <c r="A230" s="42" t="s">
        <v>302</v>
      </c>
      <c r="B230" s="42">
        <v>649543</v>
      </c>
      <c r="C230" s="42" t="s">
        <v>952</v>
      </c>
      <c r="D230" s="42">
        <v>13207588</v>
      </c>
      <c r="E230" s="43" t="s">
        <v>953</v>
      </c>
      <c r="F230" s="42" t="s">
        <v>944</v>
      </c>
      <c r="G230" s="42" t="s">
        <v>195</v>
      </c>
      <c r="H230" s="42"/>
      <c r="I230" s="42"/>
      <c r="J230" s="42">
        <v>13207588</v>
      </c>
      <c r="K230" s="42"/>
      <c r="L230" s="44">
        <v>45293</v>
      </c>
      <c r="M230" s="44">
        <v>45293</v>
      </c>
      <c r="N230" s="42" t="s">
        <v>408</v>
      </c>
      <c r="O230" s="42">
        <v>0</v>
      </c>
      <c r="P230" s="42">
        <v>94542837</v>
      </c>
      <c r="Q230" s="42" t="s">
        <v>972</v>
      </c>
      <c r="R230" s="45">
        <v>410</v>
      </c>
      <c r="S230" s="46">
        <v>0.01</v>
      </c>
      <c r="T230" s="47" t="s">
        <v>198</v>
      </c>
      <c r="U230" s="48" t="s">
        <v>199</v>
      </c>
      <c r="V230" s="38"/>
      <c r="W230" s="48" t="s">
        <v>195</v>
      </c>
      <c r="X230" s="38" t="s">
        <v>308</v>
      </c>
      <c r="Y230" s="49" t="s">
        <v>309</v>
      </c>
      <c r="Z230" s="50" t="s">
        <v>973</v>
      </c>
      <c r="AA230" s="38"/>
      <c r="AB230" s="38"/>
      <c r="AC230" s="38"/>
      <c r="AD230" s="51">
        <v>65</v>
      </c>
      <c r="AE230" s="51">
        <v>65</v>
      </c>
      <c r="AF230" s="48" t="s">
        <v>203</v>
      </c>
      <c r="AG230" s="38" t="s">
        <v>204</v>
      </c>
      <c r="AH230" s="52"/>
      <c r="AI230" s="38"/>
      <c r="AJ230" s="38"/>
    </row>
    <row r="231" spans="1:36" ht="16.2">
      <c r="A231" s="53" t="s">
        <v>302</v>
      </c>
      <c r="B231" s="53">
        <v>649543</v>
      </c>
      <c r="C231" s="53" t="s">
        <v>952</v>
      </c>
      <c r="D231" s="53">
        <v>13207588</v>
      </c>
      <c r="E231" s="54" t="s">
        <v>953</v>
      </c>
      <c r="F231" s="53" t="s">
        <v>235</v>
      </c>
      <c r="G231" s="53" t="s">
        <v>195</v>
      </c>
      <c r="H231" s="53"/>
      <c r="I231" s="53"/>
      <c r="J231" s="53">
        <v>13207588</v>
      </c>
      <c r="K231" s="53"/>
      <c r="L231" s="55">
        <v>45293</v>
      </c>
      <c r="M231" s="55">
        <v>45293</v>
      </c>
      <c r="N231" s="53" t="s">
        <v>408</v>
      </c>
      <c r="O231" s="53">
        <v>0</v>
      </c>
      <c r="P231" s="53">
        <v>94542837</v>
      </c>
      <c r="Q231" s="53" t="s">
        <v>974</v>
      </c>
      <c r="R231" s="45">
        <v>410</v>
      </c>
      <c r="S231" s="56">
        <v>0.01</v>
      </c>
      <c r="T231" s="47" t="s">
        <v>198</v>
      </c>
      <c r="U231" s="48" t="s">
        <v>199</v>
      </c>
      <c r="V231" s="38"/>
      <c r="W231" s="48" t="s">
        <v>195</v>
      </c>
      <c r="X231" s="38" t="s">
        <v>308</v>
      </c>
      <c r="Y231" s="49" t="s">
        <v>309</v>
      </c>
      <c r="Z231" s="50" t="s">
        <v>975</v>
      </c>
      <c r="AA231" s="38"/>
      <c r="AB231" s="38"/>
      <c r="AC231" s="38"/>
      <c r="AD231" s="51">
        <v>65</v>
      </c>
      <c r="AE231" s="51">
        <v>65</v>
      </c>
      <c r="AF231" s="48" t="s">
        <v>203</v>
      </c>
      <c r="AG231" s="38" t="s">
        <v>204</v>
      </c>
      <c r="AH231" s="52"/>
      <c r="AI231" s="38"/>
      <c r="AJ231" s="38"/>
    </row>
    <row r="232" spans="1:36" ht="16.2">
      <c r="A232" s="42" t="s">
        <v>302</v>
      </c>
      <c r="B232" s="42">
        <v>649543</v>
      </c>
      <c r="C232" s="42" t="s">
        <v>952</v>
      </c>
      <c r="D232" s="42">
        <v>13207588</v>
      </c>
      <c r="E232" s="43" t="s">
        <v>953</v>
      </c>
      <c r="F232" s="42" t="s">
        <v>949</v>
      </c>
      <c r="G232" s="42" t="s">
        <v>195</v>
      </c>
      <c r="H232" s="42"/>
      <c r="I232" s="42"/>
      <c r="J232" s="42">
        <v>13207588</v>
      </c>
      <c r="K232" s="42"/>
      <c r="L232" s="44">
        <v>45293</v>
      </c>
      <c r="M232" s="44">
        <v>45293</v>
      </c>
      <c r="N232" s="42" t="s">
        <v>408</v>
      </c>
      <c r="O232" s="42">
        <v>0</v>
      </c>
      <c r="P232" s="42">
        <v>94542837</v>
      </c>
      <c r="Q232" s="42" t="s">
        <v>976</v>
      </c>
      <c r="R232" s="45">
        <v>410</v>
      </c>
      <c r="S232" s="46">
        <v>0.01</v>
      </c>
      <c r="T232" s="47" t="s">
        <v>198</v>
      </c>
      <c r="U232" s="48" t="s">
        <v>199</v>
      </c>
      <c r="V232" s="38"/>
      <c r="W232" s="48" t="s">
        <v>195</v>
      </c>
      <c r="X232" s="38" t="s">
        <v>308</v>
      </c>
      <c r="Y232" s="49" t="s">
        <v>309</v>
      </c>
      <c r="Z232" s="50" t="s">
        <v>977</v>
      </c>
      <c r="AA232" s="38"/>
      <c r="AB232" s="38"/>
      <c r="AC232" s="38"/>
      <c r="AD232" s="51">
        <v>65</v>
      </c>
      <c r="AE232" s="51">
        <v>65</v>
      </c>
      <c r="AF232" s="48" t="s">
        <v>203</v>
      </c>
      <c r="AG232" s="38" t="s">
        <v>204</v>
      </c>
      <c r="AH232" s="52"/>
      <c r="AI232" s="38"/>
      <c r="AJ232" s="38"/>
    </row>
    <row r="233" spans="1:36" ht="16.2">
      <c r="A233" s="53" t="s">
        <v>311</v>
      </c>
      <c r="B233" s="53">
        <v>829059</v>
      </c>
      <c r="C233" s="53" t="s">
        <v>978</v>
      </c>
      <c r="D233" s="53">
        <v>13207617</v>
      </c>
      <c r="E233" s="54" t="s">
        <v>979</v>
      </c>
      <c r="F233" s="53" t="s">
        <v>980</v>
      </c>
      <c r="G233" s="53" t="s">
        <v>195</v>
      </c>
      <c r="H233" s="53"/>
      <c r="I233" s="53"/>
      <c r="J233" s="53">
        <v>13207617</v>
      </c>
      <c r="K233" s="53"/>
      <c r="L233" s="55">
        <v>45293</v>
      </c>
      <c r="M233" s="55">
        <v>45293</v>
      </c>
      <c r="N233" s="53" t="s">
        <v>315</v>
      </c>
      <c r="O233" s="53">
        <v>0</v>
      </c>
      <c r="P233" s="53">
        <v>20009908</v>
      </c>
      <c r="Q233" s="53" t="s">
        <v>981</v>
      </c>
      <c r="R233" s="45">
        <v>410</v>
      </c>
      <c r="S233" s="56">
        <v>0.01</v>
      </c>
      <c r="T233" s="47" t="s">
        <v>198</v>
      </c>
      <c r="U233" s="48" t="s">
        <v>199</v>
      </c>
      <c r="V233" s="38"/>
      <c r="W233" s="48" t="s">
        <v>195</v>
      </c>
      <c r="X233" s="38" t="s">
        <v>308</v>
      </c>
      <c r="Y233" s="49" t="s">
        <v>309</v>
      </c>
      <c r="Z233" s="50" t="s">
        <v>982</v>
      </c>
      <c r="AA233" s="38"/>
      <c r="AB233" s="38"/>
      <c r="AC233" s="38"/>
      <c r="AD233" s="51">
        <v>57</v>
      </c>
      <c r="AE233" s="51">
        <v>57</v>
      </c>
      <c r="AF233" s="48" t="s">
        <v>203</v>
      </c>
      <c r="AG233" s="38" t="s">
        <v>204</v>
      </c>
      <c r="AH233" s="52"/>
      <c r="AI233" s="38"/>
      <c r="AJ233" s="38"/>
    </row>
    <row r="234" spans="1:36" ht="16.2">
      <c r="A234" s="42" t="s">
        <v>311</v>
      </c>
      <c r="B234" s="42">
        <v>829058</v>
      </c>
      <c r="C234" s="42" t="s">
        <v>983</v>
      </c>
      <c r="D234" s="42">
        <v>13207616</v>
      </c>
      <c r="E234" s="43" t="s">
        <v>979</v>
      </c>
      <c r="F234" s="42" t="s">
        <v>984</v>
      </c>
      <c r="G234" s="42" t="s">
        <v>195</v>
      </c>
      <c r="H234" s="42"/>
      <c r="I234" s="42"/>
      <c r="J234" s="42">
        <v>13207616</v>
      </c>
      <c r="K234" s="42"/>
      <c r="L234" s="44">
        <v>45293</v>
      </c>
      <c r="M234" s="44">
        <v>45293</v>
      </c>
      <c r="N234" s="42" t="s">
        <v>315</v>
      </c>
      <c r="O234" s="42">
        <v>0</v>
      </c>
      <c r="P234" s="42">
        <v>20009908</v>
      </c>
      <c r="Q234" s="42" t="s">
        <v>985</v>
      </c>
      <c r="R234" s="45">
        <v>410</v>
      </c>
      <c r="S234" s="46">
        <v>0.01</v>
      </c>
      <c r="T234" s="47" t="s">
        <v>198</v>
      </c>
      <c r="U234" s="48" t="s">
        <v>199</v>
      </c>
      <c r="V234" s="38"/>
      <c r="W234" s="48" t="s">
        <v>195</v>
      </c>
      <c r="X234" s="38" t="s">
        <v>308</v>
      </c>
      <c r="Y234" s="49" t="s">
        <v>309</v>
      </c>
      <c r="Z234" s="50" t="s">
        <v>986</v>
      </c>
      <c r="AA234" s="38"/>
      <c r="AB234" s="38"/>
      <c r="AC234" s="38"/>
      <c r="AD234" s="51">
        <v>57</v>
      </c>
      <c r="AE234" s="51">
        <v>57</v>
      </c>
      <c r="AF234" s="48" t="s">
        <v>203</v>
      </c>
      <c r="AG234" s="38" t="s">
        <v>204</v>
      </c>
      <c r="AH234" s="52"/>
      <c r="AI234" s="38"/>
      <c r="AJ234" s="38"/>
    </row>
    <row r="235" spans="1:36" ht="16.2">
      <c r="A235" s="53" t="s">
        <v>311</v>
      </c>
      <c r="B235" s="53">
        <v>829058</v>
      </c>
      <c r="C235" s="53" t="s">
        <v>983</v>
      </c>
      <c r="D235" s="53">
        <v>13207616</v>
      </c>
      <c r="E235" s="54" t="s">
        <v>979</v>
      </c>
      <c r="F235" s="53" t="s">
        <v>987</v>
      </c>
      <c r="G235" s="53" t="s">
        <v>195</v>
      </c>
      <c r="H235" s="53"/>
      <c r="I235" s="53"/>
      <c r="J235" s="53">
        <v>13207616</v>
      </c>
      <c r="K235" s="53"/>
      <c r="L235" s="55">
        <v>45293</v>
      </c>
      <c r="M235" s="55">
        <v>45293</v>
      </c>
      <c r="N235" s="53" t="s">
        <v>315</v>
      </c>
      <c r="O235" s="53">
        <v>0</v>
      </c>
      <c r="P235" s="53">
        <v>20009908</v>
      </c>
      <c r="Q235" s="53" t="s">
        <v>988</v>
      </c>
      <c r="R235" s="45">
        <v>410</v>
      </c>
      <c r="S235" s="56">
        <v>0.01</v>
      </c>
      <c r="T235" s="47" t="s">
        <v>198</v>
      </c>
      <c r="U235" s="48" t="s">
        <v>199</v>
      </c>
      <c r="V235" s="38"/>
      <c r="W235" s="48" t="s">
        <v>195</v>
      </c>
      <c r="X235" s="38" t="s">
        <v>308</v>
      </c>
      <c r="Y235" s="49" t="s">
        <v>309</v>
      </c>
      <c r="Z235" s="50" t="s">
        <v>989</v>
      </c>
      <c r="AA235" s="38"/>
      <c r="AB235" s="38"/>
      <c r="AC235" s="38"/>
      <c r="AD235" s="51">
        <v>57</v>
      </c>
      <c r="AE235" s="51">
        <v>57</v>
      </c>
      <c r="AF235" s="48" t="s">
        <v>203</v>
      </c>
      <c r="AG235" s="38" t="s">
        <v>204</v>
      </c>
      <c r="AH235" s="52"/>
      <c r="AI235" s="38"/>
      <c r="AJ235" s="38"/>
    </row>
    <row r="236" spans="1:36" ht="16.2">
      <c r="A236" s="42" t="s">
        <v>311</v>
      </c>
      <c r="B236" s="42">
        <v>829058</v>
      </c>
      <c r="C236" s="42" t="s">
        <v>983</v>
      </c>
      <c r="D236" s="42">
        <v>13207616</v>
      </c>
      <c r="E236" s="43" t="s">
        <v>979</v>
      </c>
      <c r="F236" s="42" t="s">
        <v>990</v>
      </c>
      <c r="G236" s="42" t="s">
        <v>195</v>
      </c>
      <c r="H236" s="42"/>
      <c r="I236" s="42"/>
      <c r="J236" s="42">
        <v>13207616</v>
      </c>
      <c r="K236" s="42"/>
      <c r="L236" s="44">
        <v>45293</v>
      </c>
      <c r="M236" s="44">
        <v>45293</v>
      </c>
      <c r="N236" s="42" t="s">
        <v>315</v>
      </c>
      <c r="O236" s="42">
        <v>0</v>
      </c>
      <c r="P236" s="42">
        <v>20009908</v>
      </c>
      <c r="Q236" s="42" t="s">
        <v>991</v>
      </c>
      <c r="R236" s="45">
        <v>410</v>
      </c>
      <c r="S236" s="46">
        <v>0.01</v>
      </c>
      <c r="T236" s="47" t="s">
        <v>198</v>
      </c>
      <c r="U236" s="48" t="s">
        <v>199</v>
      </c>
      <c r="V236" s="38"/>
      <c r="W236" s="48" t="s">
        <v>195</v>
      </c>
      <c r="X236" s="38" t="s">
        <v>308</v>
      </c>
      <c r="Y236" s="49" t="s">
        <v>309</v>
      </c>
      <c r="Z236" s="50" t="s">
        <v>992</v>
      </c>
      <c r="AA236" s="38"/>
      <c r="AB236" s="38"/>
      <c r="AC236" s="38"/>
      <c r="AD236" s="51">
        <v>57</v>
      </c>
      <c r="AE236" s="51">
        <v>57</v>
      </c>
      <c r="AF236" s="48" t="s">
        <v>203</v>
      </c>
      <c r="AG236" s="38" t="s">
        <v>204</v>
      </c>
      <c r="AH236" s="52"/>
      <c r="AI236" s="38"/>
      <c r="AJ236" s="38"/>
    </row>
    <row r="237" spans="1:36" ht="16.2">
      <c r="A237" s="53" t="s">
        <v>311</v>
      </c>
      <c r="B237" s="53">
        <v>829058</v>
      </c>
      <c r="C237" s="53" t="s">
        <v>983</v>
      </c>
      <c r="D237" s="53">
        <v>13207616</v>
      </c>
      <c r="E237" s="54" t="s">
        <v>979</v>
      </c>
      <c r="F237" s="53" t="s">
        <v>993</v>
      </c>
      <c r="G237" s="53" t="s">
        <v>195</v>
      </c>
      <c r="H237" s="53"/>
      <c r="I237" s="53"/>
      <c r="J237" s="53">
        <v>13207616</v>
      </c>
      <c r="K237" s="53"/>
      <c r="L237" s="55">
        <v>45293</v>
      </c>
      <c r="M237" s="55">
        <v>45293</v>
      </c>
      <c r="N237" s="53" t="s">
        <v>315</v>
      </c>
      <c r="O237" s="53">
        <v>0</v>
      </c>
      <c r="P237" s="53">
        <v>20009908</v>
      </c>
      <c r="Q237" s="53" t="s">
        <v>994</v>
      </c>
      <c r="R237" s="45">
        <v>410</v>
      </c>
      <c r="S237" s="56">
        <v>0</v>
      </c>
      <c r="T237" s="47" t="s">
        <v>198</v>
      </c>
      <c r="U237" s="48" t="s">
        <v>199</v>
      </c>
      <c r="V237" s="38"/>
      <c r="W237" s="48" t="s">
        <v>195</v>
      </c>
      <c r="X237" s="38" t="s">
        <v>308</v>
      </c>
      <c r="Y237" s="49" t="s">
        <v>309</v>
      </c>
      <c r="Z237" s="50" t="s">
        <v>995</v>
      </c>
      <c r="AA237" s="38"/>
      <c r="AB237" s="38"/>
      <c r="AC237" s="38"/>
      <c r="AD237" s="51">
        <v>57</v>
      </c>
      <c r="AE237" s="51">
        <v>57</v>
      </c>
      <c r="AF237" s="48" t="s">
        <v>203</v>
      </c>
      <c r="AG237" s="38" t="s">
        <v>204</v>
      </c>
      <c r="AH237" s="52"/>
      <c r="AI237" s="38"/>
      <c r="AJ237" s="38"/>
    </row>
    <row r="238" spans="1:36" ht="16.2">
      <c r="A238" s="42" t="s">
        <v>311</v>
      </c>
      <c r="B238" s="42">
        <v>829058</v>
      </c>
      <c r="C238" s="42" t="s">
        <v>983</v>
      </c>
      <c r="D238" s="42">
        <v>13207616</v>
      </c>
      <c r="E238" s="43" t="s">
        <v>979</v>
      </c>
      <c r="F238" s="42" t="s">
        <v>996</v>
      </c>
      <c r="G238" s="42" t="s">
        <v>195</v>
      </c>
      <c r="H238" s="42"/>
      <c r="I238" s="42"/>
      <c r="J238" s="42">
        <v>13207616</v>
      </c>
      <c r="K238" s="42"/>
      <c r="L238" s="44">
        <v>45293</v>
      </c>
      <c r="M238" s="44">
        <v>45293</v>
      </c>
      <c r="N238" s="42" t="s">
        <v>315</v>
      </c>
      <c r="O238" s="42">
        <v>0</v>
      </c>
      <c r="P238" s="42">
        <v>20009908</v>
      </c>
      <c r="Q238" s="42" t="s">
        <v>997</v>
      </c>
      <c r="R238" s="45">
        <v>410</v>
      </c>
      <c r="S238" s="46">
        <v>0.01</v>
      </c>
      <c r="T238" s="47" t="s">
        <v>198</v>
      </c>
      <c r="U238" s="48" t="s">
        <v>199</v>
      </c>
      <c r="V238" s="38"/>
      <c r="W238" s="48" t="s">
        <v>195</v>
      </c>
      <c r="X238" s="38" t="s">
        <v>308</v>
      </c>
      <c r="Y238" s="49" t="s">
        <v>309</v>
      </c>
      <c r="Z238" s="50" t="s">
        <v>998</v>
      </c>
      <c r="AA238" s="38"/>
      <c r="AB238" s="38"/>
      <c r="AC238" s="38"/>
      <c r="AD238" s="51">
        <v>57</v>
      </c>
      <c r="AE238" s="51">
        <v>57</v>
      </c>
      <c r="AF238" s="48" t="s">
        <v>203</v>
      </c>
      <c r="AG238" s="38" t="s">
        <v>204</v>
      </c>
      <c r="AH238" s="52"/>
      <c r="AI238" s="38"/>
      <c r="AJ238" s="38"/>
    </row>
    <row r="239" spans="1:36" ht="16.2">
      <c r="A239" s="53" t="s">
        <v>311</v>
      </c>
      <c r="B239" s="53">
        <v>829058</v>
      </c>
      <c r="C239" s="53" t="s">
        <v>983</v>
      </c>
      <c r="D239" s="53">
        <v>13207616</v>
      </c>
      <c r="E239" s="54" t="s">
        <v>979</v>
      </c>
      <c r="F239" s="53" t="s">
        <v>999</v>
      </c>
      <c r="G239" s="53" t="s">
        <v>195</v>
      </c>
      <c r="H239" s="53"/>
      <c r="I239" s="53"/>
      <c r="J239" s="53">
        <v>13207616</v>
      </c>
      <c r="K239" s="53"/>
      <c r="L239" s="55">
        <v>45293</v>
      </c>
      <c r="M239" s="55">
        <v>45293</v>
      </c>
      <c r="N239" s="53" t="s">
        <v>315</v>
      </c>
      <c r="O239" s="53">
        <v>0</v>
      </c>
      <c r="P239" s="53">
        <v>20009908</v>
      </c>
      <c r="Q239" s="53" t="s">
        <v>1000</v>
      </c>
      <c r="R239" s="45">
        <v>410</v>
      </c>
      <c r="S239" s="56">
        <v>0.01</v>
      </c>
      <c r="T239" s="47" t="s">
        <v>198</v>
      </c>
      <c r="U239" s="48" t="s">
        <v>199</v>
      </c>
      <c r="V239" s="38"/>
      <c r="W239" s="48" t="s">
        <v>195</v>
      </c>
      <c r="X239" s="38" t="s">
        <v>308</v>
      </c>
      <c r="Y239" s="49" t="s">
        <v>309</v>
      </c>
      <c r="Z239" s="50" t="s">
        <v>1001</v>
      </c>
      <c r="AA239" s="38"/>
      <c r="AB239" s="38"/>
      <c r="AC239" s="38"/>
      <c r="AD239" s="51">
        <v>57</v>
      </c>
      <c r="AE239" s="51">
        <v>57</v>
      </c>
      <c r="AF239" s="48" t="s">
        <v>203</v>
      </c>
      <c r="AG239" s="38" t="s">
        <v>204</v>
      </c>
      <c r="AH239" s="52"/>
      <c r="AI239" s="38"/>
      <c r="AJ239" s="38"/>
    </row>
    <row r="240" spans="1:36" ht="16.2">
      <c r="A240" s="42" t="s">
        <v>311</v>
      </c>
      <c r="B240" s="42">
        <v>829058</v>
      </c>
      <c r="C240" s="42" t="s">
        <v>983</v>
      </c>
      <c r="D240" s="42">
        <v>13207616</v>
      </c>
      <c r="E240" s="43" t="s">
        <v>979</v>
      </c>
      <c r="F240" s="42" t="s">
        <v>1002</v>
      </c>
      <c r="G240" s="42" t="s">
        <v>195</v>
      </c>
      <c r="H240" s="42"/>
      <c r="I240" s="42"/>
      <c r="J240" s="42">
        <v>13207616</v>
      </c>
      <c r="K240" s="42"/>
      <c r="L240" s="44">
        <v>45293</v>
      </c>
      <c r="M240" s="44">
        <v>45293</v>
      </c>
      <c r="N240" s="42" t="s">
        <v>315</v>
      </c>
      <c r="O240" s="42">
        <v>0</v>
      </c>
      <c r="P240" s="42">
        <v>20009908</v>
      </c>
      <c r="Q240" s="42" t="s">
        <v>1003</v>
      </c>
      <c r="R240" s="45">
        <v>410</v>
      </c>
      <c r="S240" s="46">
        <v>0.01</v>
      </c>
      <c r="T240" s="47" t="s">
        <v>198</v>
      </c>
      <c r="U240" s="48" t="s">
        <v>199</v>
      </c>
      <c r="V240" s="38"/>
      <c r="W240" s="48" t="s">
        <v>195</v>
      </c>
      <c r="X240" s="38" t="s">
        <v>308</v>
      </c>
      <c r="Y240" s="49" t="s">
        <v>309</v>
      </c>
      <c r="Z240" s="50" t="s">
        <v>1004</v>
      </c>
      <c r="AA240" s="38"/>
      <c r="AB240" s="38"/>
      <c r="AC240" s="38"/>
      <c r="AD240" s="51">
        <v>57</v>
      </c>
      <c r="AE240" s="51">
        <v>57</v>
      </c>
      <c r="AF240" s="48" t="s">
        <v>203</v>
      </c>
      <c r="AG240" s="38" t="s">
        <v>204</v>
      </c>
      <c r="AH240" s="52"/>
      <c r="AI240" s="38"/>
      <c r="AJ240" s="38"/>
    </row>
    <row r="241" spans="1:36" ht="16.2">
      <c r="A241" s="53" t="s">
        <v>311</v>
      </c>
      <c r="B241" s="53">
        <v>829058</v>
      </c>
      <c r="C241" s="53" t="s">
        <v>983</v>
      </c>
      <c r="D241" s="53">
        <v>13207616</v>
      </c>
      <c r="E241" s="54" t="s">
        <v>979</v>
      </c>
      <c r="F241" s="53" t="s">
        <v>1005</v>
      </c>
      <c r="G241" s="53" t="s">
        <v>195</v>
      </c>
      <c r="H241" s="53"/>
      <c r="I241" s="53"/>
      <c r="J241" s="53">
        <v>13207616</v>
      </c>
      <c r="K241" s="53"/>
      <c r="L241" s="55">
        <v>45293</v>
      </c>
      <c r="M241" s="55">
        <v>45293</v>
      </c>
      <c r="N241" s="53" t="s">
        <v>315</v>
      </c>
      <c r="O241" s="53">
        <v>0</v>
      </c>
      <c r="P241" s="53">
        <v>20009908</v>
      </c>
      <c r="Q241" s="53" t="s">
        <v>1006</v>
      </c>
      <c r="R241" s="45">
        <v>410</v>
      </c>
      <c r="S241" s="56">
        <v>0.01</v>
      </c>
      <c r="T241" s="47" t="s">
        <v>198</v>
      </c>
      <c r="U241" s="48" t="s">
        <v>199</v>
      </c>
      <c r="V241" s="38"/>
      <c r="W241" s="48" t="s">
        <v>195</v>
      </c>
      <c r="X241" s="38" t="s">
        <v>308</v>
      </c>
      <c r="Y241" s="49" t="s">
        <v>309</v>
      </c>
      <c r="Z241" s="50" t="s">
        <v>1007</v>
      </c>
      <c r="AA241" s="38"/>
      <c r="AB241" s="38"/>
      <c r="AC241" s="38"/>
      <c r="AD241" s="51">
        <v>57</v>
      </c>
      <c r="AE241" s="51">
        <v>57</v>
      </c>
      <c r="AF241" s="48" t="s">
        <v>203</v>
      </c>
      <c r="AG241" s="38" t="s">
        <v>204</v>
      </c>
      <c r="AH241" s="52"/>
      <c r="AI241" s="38"/>
      <c r="AJ241" s="38"/>
    </row>
    <row r="242" spans="1:36" ht="16.2">
      <c r="A242" s="42" t="s">
        <v>311</v>
      </c>
      <c r="B242" s="42">
        <v>829058</v>
      </c>
      <c r="C242" s="42" t="s">
        <v>983</v>
      </c>
      <c r="D242" s="42">
        <v>13207616</v>
      </c>
      <c r="E242" s="43" t="s">
        <v>979</v>
      </c>
      <c r="F242" s="42" t="s">
        <v>1008</v>
      </c>
      <c r="G242" s="42" t="s">
        <v>195</v>
      </c>
      <c r="H242" s="42"/>
      <c r="I242" s="42"/>
      <c r="J242" s="42">
        <v>13207616</v>
      </c>
      <c r="K242" s="42"/>
      <c r="L242" s="44">
        <v>45293</v>
      </c>
      <c r="M242" s="44">
        <v>45293</v>
      </c>
      <c r="N242" s="42" t="s">
        <v>315</v>
      </c>
      <c r="O242" s="42">
        <v>0</v>
      </c>
      <c r="P242" s="42">
        <v>20009908</v>
      </c>
      <c r="Q242" s="42" t="s">
        <v>1009</v>
      </c>
      <c r="R242" s="45">
        <v>410</v>
      </c>
      <c r="S242" s="46">
        <v>0.01</v>
      </c>
      <c r="T242" s="47" t="s">
        <v>198</v>
      </c>
      <c r="U242" s="48" t="s">
        <v>199</v>
      </c>
      <c r="V242" s="38"/>
      <c r="W242" s="48" t="s">
        <v>195</v>
      </c>
      <c r="X242" s="38" t="s">
        <v>308</v>
      </c>
      <c r="Y242" s="49" t="s">
        <v>309</v>
      </c>
      <c r="Z242" s="50" t="s">
        <v>1010</v>
      </c>
      <c r="AA242" s="38"/>
      <c r="AB242" s="38"/>
      <c r="AC242" s="38"/>
      <c r="AD242" s="51">
        <v>57</v>
      </c>
      <c r="AE242" s="51">
        <v>57</v>
      </c>
      <c r="AF242" s="48" t="s">
        <v>203</v>
      </c>
      <c r="AG242" s="38" t="s">
        <v>204</v>
      </c>
      <c r="AH242" s="52"/>
      <c r="AI242" s="38"/>
      <c r="AJ242" s="38"/>
    </row>
    <row r="243" spans="1:36" ht="16.2">
      <c r="A243" s="53" t="s">
        <v>311</v>
      </c>
      <c r="B243" s="53">
        <v>829058</v>
      </c>
      <c r="C243" s="53" t="s">
        <v>983</v>
      </c>
      <c r="D243" s="53">
        <v>13207616</v>
      </c>
      <c r="E243" s="54" t="s">
        <v>979</v>
      </c>
      <c r="F243" s="53" t="s">
        <v>1011</v>
      </c>
      <c r="G243" s="53" t="s">
        <v>195</v>
      </c>
      <c r="H243" s="53"/>
      <c r="I243" s="53"/>
      <c r="J243" s="53">
        <v>13207616</v>
      </c>
      <c r="K243" s="53"/>
      <c r="L243" s="55">
        <v>45293</v>
      </c>
      <c r="M243" s="55">
        <v>45293</v>
      </c>
      <c r="N243" s="53" t="s">
        <v>315</v>
      </c>
      <c r="O243" s="53">
        <v>0</v>
      </c>
      <c r="P243" s="53">
        <v>20009908</v>
      </c>
      <c r="Q243" s="53" t="s">
        <v>1012</v>
      </c>
      <c r="R243" s="45">
        <v>410</v>
      </c>
      <c r="S243" s="56">
        <v>0.01</v>
      </c>
      <c r="T243" s="47" t="s">
        <v>198</v>
      </c>
      <c r="U243" s="48" t="s">
        <v>199</v>
      </c>
      <c r="V243" s="38"/>
      <c r="W243" s="48" t="s">
        <v>195</v>
      </c>
      <c r="X243" s="38" t="s">
        <v>308</v>
      </c>
      <c r="Y243" s="49" t="s">
        <v>309</v>
      </c>
      <c r="Z243" s="50" t="s">
        <v>1013</v>
      </c>
      <c r="AA243" s="38"/>
      <c r="AB243" s="38"/>
      <c r="AC243" s="38"/>
      <c r="AD243" s="51">
        <v>57</v>
      </c>
      <c r="AE243" s="51">
        <v>57</v>
      </c>
      <c r="AF243" s="48" t="s">
        <v>203</v>
      </c>
      <c r="AG243" s="38" t="s">
        <v>204</v>
      </c>
      <c r="AH243" s="52"/>
      <c r="AI243" s="38"/>
      <c r="AJ243" s="38"/>
    </row>
    <row r="244" spans="1:36" ht="16.2">
      <c r="A244" s="42" t="s">
        <v>311</v>
      </c>
      <c r="B244" s="42">
        <v>829058</v>
      </c>
      <c r="C244" s="42" t="s">
        <v>983</v>
      </c>
      <c r="D244" s="42">
        <v>13207616</v>
      </c>
      <c r="E244" s="43" t="s">
        <v>979</v>
      </c>
      <c r="F244" s="42" t="s">
        <v>1014</v>
      </c>
      <c r="G244" s="42" t="s">
        <v>195</v>
      </c>
      <c r="H244" s="42"/>
      <c r="I244" s="42"/>
      <c r="J244" s="42">
        <v>13207616</v>
      </c>
      <c r="K244" s="42"/>
      <c r="L244" s="44">
        <v>45293</v>
      </c>
      <c r="M244" s="44">
        <v>45293</v>
      </c>
      <c r="N244" s="42" t="s">
        <v>315</v>
      </c>
      <c r="O244" s="42">
        <v>0</v>
      </c>
      <c r="P244" s="42">
        <v>20009908</v>
      </c>
      <c r="Q244" s="42" t="s">
        <v>1015</v>
      </c>
      <c r="R244" s="45">
        <v>410</v>
      </c>
      <c r="S244" s="46">
        <v>0.01</v>
      </c>
      <c r="T244" s="47" t="s">
        <v>198</v>
      </c>
      <c r="U244" s="48" t="s">
        <v>199</v>
      </c>
      <c r="V244" s="38"/>
      <c r="W244" s="48" t="s">
        <v>195</v>
      </c>
      <c r="X244" s="38" t="s">
        <v>308</v>
      </c>
      <c r="Y244" s="49" t="s">
        <v>309</v>
      </c>
      <c r="Z244" s="50" t="s">
        <v>1016</v>
      </c>
      <c r="AA244" s="38"/>
      <c r="AB244" s="38"/>
      <c r="AC244" s="38"/>
      <c r="AD244" s="51">
        <v>57</v>
      </c>
      <c r="AE244" s="51">
        <v>57</v>
      </c>
      <c r="AF244" s="48" t="s">
        <v>203</v>
      </c>
      <c r="AG244" s="38" t="s">
        <v>204</v>
      </c>
      <c r="AH244" s="52"/>
      <c r="AI244" s="38"/>
      <c r="AJ244" s="38"/>
    </row>
    <row r="245" spans="1:36" ht="16.2">
      <c r="A245" s="53" t="s">
        <v>311</v>
      </c>
      <c r="B245" s="53">
        <v>829058</v>
      </c>
      <c r="C245" s="53" t="s">
        <v>983</v>
      </c>
      <c r="D245" s="53">
        <v>13207616</v>
      </c>
      <c r="E245" s="54" t="s">
        <v>979</v>
      </c>
      <c r="F245" s="53" t="s">
        <v>1017</v>
      </c>
      <c r="G245" s="53" t="s">
        <v>195</v>
      </c>
      <c r="H245" s="53"/>
      <c r="I245" s="53"/>
      <c r="J245" s="53">
        <v>13207616</v>
      </c>
      <c r="K245" s="53"/>
      <c r="L245" s="55">
        <v>45293</v>
      </c>
      <c r="M245" s="55">
        <v>45293</v>
      </c>
      <c r="N245" s="53" t="s">
        <v>315</v>
      </c>
      <c r="O245" s="53">
        <v>0</v>
      </c>
      <c r="P245" s="53">
        <v>20009908</v>
      </c>
      <c r="Q245" s="53" t="s">
        <v>1018</v>
      </c>
      <c r="R245" s="45">
        <v>410</v>
      </c>
      <c r="S245" s="56">
        <v>0.01</v>
      </c>
      <c r="T245" s="47" t="s">
        <v>198</v>
      </c>
      <c r="U245" s="48" t="s">
        <v>199</v>
      </c>
      <c r="V245" s="38"/>
      <c r="W245" s="48" t="s">
        <v>195</v>
      </c>
      <c r="X245" s="38" t="s">
        <v>308</v>
      </c>
      <c r="Y245" s="49" t="s">
        <v>309</v>
      </c>
      <c r="Z245" s="50" t="s">
        <v>1019</v>
      </c>
      <c r="AA245" s="38"/>
      <c r="AB245" s="38"/>
      <c r="AC245" s="38"/>
      <c r="AD245" s="51">
        <v>57</v>
      </c>
      <c r="AE245" s="51">
        <v>57</v>
      </c>
      <c r="AF245" s="48" t="s">
        <v>203</v>
      </c>
      <c r="AG245" s="38" t="s">
        <v>204</v>
      </c>
      <c r="AH245" s="52"/>
      <c r="AI245" s="38"/>
      <c r="AJ245" s="38"/>
    </row>
    <row r="246" spans="1:36" ht="16.2">
      <c r="A246" s="42" t="s">
        <v>311</v>
      </c>
      <c r="B246" s="42">
        <v>829058</v>
      </c>
      <c r="C246" s="42" t="s">
        <v>983</v>
      </c>
      <c r="D246" s="42">
        <v>13207616</v>
      </c>
      <c r="E246" s="43" t="s">
        <v>979</v>
      </c>
      <c r="F246" s="42" t="s">
        <v>1020</v>
      </c>
      <c r="G246" s="42" t="s">
        <v>195</v>
      </c>
      <c r="H246" s="42"/>
      <c r="I246" s="42"/>
      <c r="J246" s="42">
        <v>13207616</v>
      </c>
      <c r="K246" s="42"/>
      <c r="L246" s="44">
        <v>45293</v>
      </c>
      <c r="M246" s="44">
        <v>45293</v>
      </c>
      <c r="N246" s="42" t="s">
        <v>315</v>
      </c>
      <c r="O246" s="46">
        <v>0</v>
      </c>
      <c r="P246" s="42">
        <v>20009908</v>
      </c>
      <c r="Q246" s="42" t="s">
        <v>1021</v>
      </c>
      <c r="R246" s="45">
        <v>410</v>
      </c>
      <c r="S246" s="46">
        <v>0.01</v>
      </c>
      <c r="T246" s="47" t="s">
        <v>198</v>
      </c>
      <c r="U246" s="48" t="s">
        <v>199</v>
      </c>
      <c r="V246" s="38"/>
      <c r="W246" s="48" t="s">
        <v>195</v>
      </c>
      <c r="X246" s="38" t="s">
        <v>308</v>
      </c>
      <c r="Y246" s="49" t="s">
        <v>309</v>
      </c>
      <c r="Z246" s="50" t="s">
        <v>1022</v>
      </c>
      <c r="AA246" s="38"/>
      <c r="AB246" s="38"/>
      <c r="AC246" s="38"/>
      <c r="AD246" s="51">
        <v>57</v>
      </c>
      <c r="AE246" s="51">
        <v>57</v>
      </c>
      <c r="AF246" s="48" t="s">
        <v>203</v>
      </c>
      <c r="AG246" s="38" t="s">
        <v>204</v>
      </c>
      <c r="AH246" s="52"/>
      <c r="AI246" s="38"/>
      <c r="AJ246" s="38"/>
    </row>
    <row r="247" spans="1:36" ht="16.2">
      <c r="A247" s="53" t="s">
        <v>311</v>
      </c>
      <c r="B247" s="53">
        <v>829058</v>
      </c>
      <c r="C247" s="53" t="s">
        <v>983</v>
      </c>
      <c r="D247" s="53">
        <v>13207616</v>
      </c>
      <c r="E247" s="54" t="s">
        <v>979</v>
      </c>
      <c r="F247" s="53" t="s">
        <v>235</v>
      </c>
      <c r="G247" s="53" t="s">
        <v>195</v>
      </c>
      <c r="H247" s="53"/>
      <c r="I247" s="53"/>
      <c r="J247" s="53">
        <v>13207616</v>
      </c>
      <c r="K247" s="53"/>
      <c r="L247" s="55">
        <v>45293</v>
      </c>
      <c r="M247" s="55">
        <v>45293</v>
      </c>
      <c r="N247" s="53" t="s">
        <v>315</v>
      </c>
      <c r="O247" s="56">
        <v>0.01</v>
      </c>
      <c r="P247" s="53">
        <v>20009908</v>
      </c>
      <c r="Q247" s="53" t="s">
        <v>1023</v>
      </c>
      <c r="R247" s="45">
        <v>410</v>
      </c>
      <c r="S247" s="56">
        <v>0.01</v>
      </c>
      <c r="T247" s="47" t="s">
        <v>198</v>
      </c>
      <c r="U247" s="48" t="s">
        <v>199</v>
      </c>
      <c r="V247" s="38"/>
      <c r="W247" s="48" t="s">
        <v>195</v>
      </c>
      <c r="X247" s="38" t="s">
        <v>308</v>
      </c>
      <c r="Y247" s="49" t="s">
        <v>309</v>
      </c>
      <c r="Z247" s="50" t="s">
        <v>1024</v>
      </c>
      <c r="AA247" s="38"/>
      <c r="AB247" s="38"/>
      <c r="AC247" s="38"/>
      <c r="AD247" s="51">
        <v>57</v>
      </c>
      <c r="AE247" s="51">
        <v>57</v>
      </c>
      <c r="AF247" s="48" t="s">
        <v>203</v>
      </c>
      <c r="AG247" s="38" t="s">
        <v>204</v>
      </c>
      <c r="AH247" s="52"/>
      <c r="AI247" s="38"/>
      <c r="AJ247" s="38"/>
    </row>
    <row r="248" spans="1:36" ht="16.2">
      <c r="A248" s="42" t="s">
        <v>311</v>
      </c>
      <c r="B248" s="42">
        <v>829060</v>
      </c>
      <c r="C248" s="42" t="s">
        <v>1025</v>
      </c>
      <c r="D248" s="42">
        <v>13207618</v>
      </c>
      <c r="E248" s="43" t="s">
        <v>979</v>
      </c>
      <c r="F248" s="42" t="s">
        <v>1026</v>
      </c>
      <c r="G248" s="42" t="s">
        <v>195</v>
      </c>
      <c r="H248" s="42"/>
      <c r="I248" s="42"/>
      <c r="J248" s="42">
        <v>13207618</v>
      </c>
      <c r="K248" s="42"/>
      <c r="L248" s="44">
        <v>45293</v>
      </c>
      <c r="M248" s="44">
        <v>45293</v>
      </c>
      <c r="N248" s="42" t="s">
        <v>315</v>
      </c>
      <c r="O248" s="46">
        <v>0.01</v>
      </c>
      <c r="P248" s="42">
        <v>20009908</v>
      </c>
      <c r="Q248" s="42" t="s">
        <v>1027</v>
      </c>
      <c r="R248" s="45">
        <v>410</v>
      </c>
      <c r="S248" s="46">
        <v>0.01</v>
      </c>
      <c r="T248" s="47" t="s">
        <v>198</v>
      </c>
      <c r="U248" s="48" t="s">
        <v>199</v>
      </c>
      <c r="V248" s="38"/>
      <c r="W248" s="48" t="s">
        <v>195</v>
      </c>
      <c r="X248" s="38" t="s">
        <v>308</v>
      </c>
      <c r="Y248" s="49" t="s">
        <v>309</v>
      </c>
      <c r="Z248" s="50" t="s">
        <v>1028</v>
      </c>
      <c r="AA248" s="38"/>
      <c r="AB248" s="38"/>
      <c r="AC248" s="38"/>
      <c r="AD248" s="51">
        <v>57</v>
      </c>
      <c r="AE248" s="51">
        <v>57</v>
      </c>
      <c r="AF248" s="48" t="s">
        <v>203</v>
      </c>
      <c r="AG248" s="38" t="s">
        <v>204</v>
      </c>
      <c r="AH248" s="52"/>
      <c r="AI248" s="38"/>
      <c r="AJ248" s="38"/>
    </row>
    <row r="249" spans="1:36" ht="16.2">
      <c r="A249" s="53" t="s">
        <v>302</v>
      </c>
      <c r="B249" s="53">
        <v>629054</v>
      </c>
      <c r="C249" s="53" t="s">
        <v>1029</v>
      </c>
      <c r="D249" s="53">
        <v>13207592</v>
      </c>
      <c r="E249" s="54" t="s">
        <v>1030</v>
      </c>
      <c r="F249" s="53" t="s">
        <v>1031</v>
      </c>
      <c r="G249" s="53" t="s">
        <v>195</v>
      </c>
      <c r="H249" s="53"/>
      <c r="I249" s="53"/>
      <c r="J249" s="53">
        <v>13207592</v>
      </c>
      <c r="K249" s="53"/>
      <c r="L249" s="55">
        <v>45293</v>
      </c>
      <c r="M249" s="55">
        <v>45293</v>
      </c>
      <c r="N249" s="53" t="s">
        <v>763</v>
      </c>
      <c r="O249" s="56">
        <v>0.01</v>
      </c>
      <c r="P249" s="53">
        <v>20062055</v>
      </c>
      <c r="Q249" s="53" t="s">
        <v>1032</v>
      </c>
      <c r="R249" s="45">
        <v>410</v>
      </c>
      <c r="S249" s="56">
        <v>0.01</v>
      </c>
      <c r="T249" s="47" t="s">
        <v>198</v>
      </c>
      <c r="U249" s="48" t="s">
        <v>199</v>
      </c>
      <c r="V249" s="38"/>
      <c r="W249" s="48" t="s">
        <v>195</v>
      </c>
      <c r="X249" s="38" t="s">
        <v>308</v>
      </c>
      <c r="Y249" s="49" t="s">
        <v>309</v>
      </c>
      <c r="Z249" s="50" t="s">
        <v>1033</v>
      </c>
      <c r="AA249" s="38"/>
      <c r="AB249" s="38"/>
      <c r="AC249" s="38"/>
      <c r="AD249" s="51">
        <v>58</v>
      </c>
      <c r="AE249" s="51">
        <v>58</v>
      </c>
      <c r="AF249" s="48" t="s">
        <v>203</v>
      </c>
      <c r="AG249" s="38" t="s">
        <v>204</v>
      </c>
      <c r="AH249" s="52"/>
      <c r="AI249" s="38"/>
      <c r="AJ249" s="38"/>
    </row>
    <row r="250" spans="1:36" ht="16.2">
      <c r="A250" s="42" t="s">
        <v>302</v>
      </c>
      <c r="B250" s="42">
        <v>629054</v>
      </c>
      <c r="C250" s="42" t="s">
        <v>1029</v>
      </c>
      <c r="D250" s="42">
        <v>13207592</v>
      </c>
      <c r="E250" s="43" t="s">
        <v>1030</v>
      </c>
      <c r="F250" s="42" t="s">
        <v>1034</v>
      </c>
      <c r="G250" s="42" t="s">
        <v>195</v>
      </c>
      <c r="H250" s="42"/>
      <c r="I250" s="42"/>
      <c r="J250" s="42">
        <v>13207592</v>
      </c>
      <c r="K250" s="42"/>
      <c r="L250" s="44">
        <v>45293</v>
      </c>
      <c r="M250" s="44">
        <v>45293</v>
      </c>
      <c r="N250" s="42" t="s">
        <v>763</v>
      </c>
      <c r="O250" s="46">
        <v>0.01</v>
      </c>
      <c r="P250" s="42">
        <v>20062055</v>
      </c>
      <c r="Q250" s="42" t="s">
        <v>1035</v>
      </c>
      <c r="R250" s="45">
        <v>410</v>
      </c>
      <c r="S250" s="46">
        <v>0.01</v>
      </c>
      <c r="T250" s="47" t="s">
        <v>198</v>
      </c>
      <c r="U250" s="48" t="s">
        <v>199</v>
      </c>
      <c r="V250" s="38"/>
      <c r="W250" s="48" t="s">
        <v>195</v>
      </c>
      <c r="X250" s="38" t="s">
        <v>308</v>
      </c>
      <c r="Y250" s="49" t="s">
        <v>309</v>
      </c>
      <c r="Z250" s="50" t="s">
        <v>1036</v>
      </c>
      <c r="AA250" s="38"/>
      <c r="AB250" s="38"/>
      <c r="AC250" s="38"/>
      <c r="AD250" s="51">
        <v>58</v>
      </c>
      <c r="AE250" s="51">
        <v>58</v>
      </c>
      <c r="AF250" s="48" t="s">
        <v>203</v>
      </c>
      <c r="AG250" s="38" t="s">
        <v>204</v>
      </c>
      <c r="AH250" s="52"/>
      <c r="AI250" s="38"/>
      <c r="AJ250" s="38"/>
    </row>
    <row r="251" spans="1:36" ht="16.2">
      <c r="A251" s="53" t="s">
        <v>302</v>
      </c>
      <c r="B251" s="53">
        <v>629054</v>
      </c>
      <c r="C251" s="53" t="s">
        <v>1029</v>
      </c>
      <c r="D251" s="53">
        <v>13207592</v>
      </c>
      <c r="E251" s="54" t="s">
        <v>1030</v>
      </c>
      <c r="F251" s="53" t="s">
        <v>1037</v>
      </c>
      <c r="G251" s="53" t="s">
        <v>195</v>
      </c>
      <c r="H251" s="53"/>
      <c r="I251" s="53"/>
      <c r="J251" s="53">
        <v>13207592</v>
      </c>
      <c r="K251" s="53"/>
      <c r="L251" s="55">
        <v>45293</v>
      </c>
      <c r="M251" s="55">
        <v>45293</v>
      </c>
      <c r="N251" s="53" t="s">
        <v>763</v>
      </c>
      <c r="O251" s="56">
        <v>0.01</v>
      </c>
      <c r="P251" s="53">
        <v>20062055</v>
      </c>
      <c r="Q251" s="53" t="s">
        <v>1038</v>
      </c>
      <c r="R251" s="45">
        <v>410</v>
      </c>
      <c r="S251" s="56">
        <v>0.01</v>
      </c>
      <c r="T251" s="47" t="s">
        <v>198</v>
      </c>
      <c r="U251" s="48" t="s">
        <v>199</v>
      </c>
      <c r="V251" s="38"/>
      <c r="W251" s="48" t="s">
        <v>195</v>
      </c>
      <c r="X251" s="38" t="s">
        <v>308</v>
      </c>
      <c r="Y251" s="49" t="s">
        <v>309</v>
      </c>
      <c r="Z251" s="50" t="s">
        <v>1039</v>
      </c>
      <c r="AA251" s="38"/>
      <c r="AB251" s="38"/>
      <c r="AC251" s="38"/>
      <c r="AD251" s="51">
        <v>58</v>
      </c>
      <c r="AE251" s="51">
        <v>58</v>
      </c>
      <c r="AF251" s="48" t="s">
        <v>203</v>
      </c>
      <c r="AG251" s="38" t="s">
        <v>204</v>
      </c>
      <c r="AH251" s="52"/>
      <c r="AI251" s="38"/>
      <c r="AJ251" s="38"/>
    </row>
    <row r="252" spans="1:36" ht="16.2">
      <c r="A252" s="42" t="s">
        <v>302</v>
      </c>
      <c r="B252" s="42">
        <v>629054</v>
      </c>
      <c r="C252" s="42" t="s">
        <v>1029</v>
      </c>
      <c r="D252" s="42">
        <v>13207592</v>
      </c>
      <c r="E252" s="43" t="s">
        <v>1030</v>
      </c>
      <c r="F252" s="42" t="s">
        <v>1040</v>
      </c>
      <c r="G252" s="42" t="s">
        <v>195</v>
      </c>
      <c r="H252" s="42"/>
      <c r="I252" s="42"/>
      <c r="J252" s="42">
        <v>13207592</v>
      </c>
      <c r="K252" s="42"/>
      <c r="L252" s="44">
        <v>45293</v>
      </c>
      <c r="M252" s="44">
        <v>45293</v>
      </c>
      <c r="N252" s="42" t="s">
        <v>763</v>
      </c>
      <c r="O252" s="46">
        <v>0.01</v>
      </c>
      <c r="P252" s="42">
        <v>20062055</v>
      </c>
      <c r="Q252" s="42" t="s">
        <v>1041</v>
      </c>
      <c r="R252" s="45">
        <v>410</v>
      </c>
      <c r="S252" s="46">
        <v>0.01</v>
      </c>
      <c r="T252" s="47" t="s">
        <v>198</v>
      </c>
      <c r="U252" s="48" t="s">
        <v>199</v>
      </c>
      <c r="V252" s="38"/>
      <c r="W252" s="48" t="s">
        <v>195</v>
      </c>
      <c r="X252" s="38" t="s">
        <v>308</v>
      </c>
      <c r="Y252" s="49" t="s">
        <v>309</v>
      </c>
      <c r="Z252" s="50" t="s">
        <v>1042</v>
      </c>
      <c r="AA252" s="38"/>
      <c r="AB252" s="38"/>
      <c r="AC252" s="38"/>
      <c r="AD252" s="51">
        <v>58</v>
      </c>
      <c r="AE252" s="51">
        <v>58</v>
      </c>
      <c r="AF252" s="48" t="s">
        <v>203</v>
      </c>
      <c r="AG252" s="38" t="s">
        <v>204</v>
      </c>
      <c r="AH252" s="52"/>
      <c r="AI252" s="38"/>
      <c r="AJ252" s="38"/>
    </row>
    <row r="253" spans="1:36" ht="16.2">
      <c r="A253" s="53" t="s">
        <v>302</v>
      </c>
      <c r="B253" s="53">
        <v>629054</v>
      </c>
      <c r="C253" s="53" t="s">
        <v>1029</v>
      </c>
      <c r="D253" s="53">
        <v>13207592</v>
      </c>
      <c r="E253" s="54" t="s">
        <v>1030</v>
      </c>
      <c r="F253" s="53" t="s">
        <v>1043</v>
      </c>
      <c r="G253" s="53" t="s">
        <v>195</v>
      </c>
      <c r="H253" s="53"/>
      <c r="I253" s="53"/>
      <c r="J253" s="53">
        <v>13207592</v>
      </c>
      <c r="K253" s="53"/>
      <c r="L253" s="55">
        <v>45293</v>
      </c>
      <c r="M253" s="55">
        <v>45293</v>
      </c>
      <c r="N253" s="53" t="s">
        <v>763</v>
      </c>
      <c r="O253" s="56">
        <v>0.01</v>
      </c>
      <c r="P253" s="53">
        <v>20062055</v>
      </c>
      <c r="Q253" s="53" t="s">
        <v>1044</v>
      </c>
      <c r="R253" s="45">
        <v>410</v>
      </c>
      <c r="S253" s="56">
        <v>0.01</v>
      </c>
      <c r="T253" s="47" t="s">
        <v>198</v>
      </c>
      <c r="U253" s="48" t="s">
        <v>199</v>
      </c>
      <c r="V253" s="38"/>
      <c r="W253" s="48" t="s">
        <v>195</v>
      </c>
      <c r="X253" s="38" t="s">
        <v>308</v>
      </c>
      <c r="Y253" s="49" t="s">
        <v>309</v>
      </c>
      <c r="Z253" s="50" t="s">
        <v>1045</v>
      </c>
      <c r="AA253" s="38"/>
      <c r="AB253" s="38"/>
      <c r="AC253" s="38"/>
      <c r="AD253" s="51">
        <v>58</v>
      </c>
      <c r="AE253" s="51">
        <v>58</v>
      </c>
      <c r="AF253" s="48" t="s">
        <v>203</v>
      </c>
      <c r="AG253" s="38" t="s">
        <v>204</v>
      </c>
      <c r="AH253" s="52"/>
      <c r="AI253" s="38"/>
      <c r="AJ253" s="38"/>
    </row>
    <row r="254" spans="1:36" ht="16.2">
      <c r="A254" s="42" t="s">
        <v>302</v>
      </c>
      <c r="B254" s="42">
        <v>629054</v>
      </c>
      <c r="C254" s="42" t="s">
        <v>1029</v>
      </c>
      <c r="D254" s="42">
        <v>13207592</v>
      </c>
      <c r="E254" s="43" t="s">
        <v>1030</v>
      </c>
      <c r="F254" s="42" t="s">
        <v>1046</v>
      </c>
      <c r="G254" s="42" t="s">
        <v>195</v>
      </c>
      <c r="H254" s="42"/>
      <c r="I254" s="42"/>
      <c r="J254" s="42">
        <v>13207592</v>
      </c>
      <c r="K254" s="42"/>
      <c r="L254" s="44">
        <v>45293</v>
      </c>
      <c r="M254" s="44">
        <v>45293</v>
      </c>
      <c r="N254" s="42" t="s">
        <v>763</v>
      </c>
      <c r="O254" s="46">
        <v>0.01</v>
      </c>
      <c r="P254" s="42">
        <v>20062055</v>
      </c>
      <c r="Q254" s="42" t="s">
        <v>1047</v>
      </c>
      <c r="R254" s="45">
        <v>410</v>
      </c>
      <c r="S254" s="46">
        <v>0.01</v>
      </c>
      <c r="T254" s="47" t="s">
        <v>198</v>
      </c>
      <c r="U254" s="48" t="s">
        <v>199</v>
      </c>
      <c r="V254" s="38"/>
      <c r="W254" s="48" t="s">
        <v>195</v>
      </c>
      <c r="X254" s="38" t="s">
        <v>308</v>
      </c>
      <c r="Y254" s="49" t="s">
        <v>309</v>
      </c>
      <c r="Z254" s="50" t="s">
        <v>1048</v>
      </c>
      <c r="AA254" s="38"/>
      <c r="AB254" s="38"/>
      <c r="AC254" s="38"/>
      <c r="AD254" s="51">
        <v>58</v>
      </c>
      <c r="AE254" s="51">
        <v>58</v>
      </c>
      <c r="AF254" s="48" t="s">
        <v>203</v>
      </c>
      <c r="AG254" s="38" t="s">
        <v>204</v>
      </c>
      <c r="AH254" s="52"/>
      <c r="AI254" s="38"/>
      <c r="AJ254" s="38"/>
    </row>
    <row r="255" spans="1:36" ht="16.2">
      <c r="A255" s="53" t="s">
        <v>302</v>
      </c>
      <c r="B255" s="53">
        <v>629054</v>
      </c>
      <c r="C255" s="53" t="s">
        <v>1029</v>
      </c>
      <c r="D255" s="53">
        <v>13207592</v>
      </c>
      <c r="E255" s="54" t="s">
        <v>1030</v>
      </c>
      <c r="F255" s="53" t="s">
        <v>1049</v>
      </c>
      <c r="G255" s="53" t="s">
        <v>195</v>
      </c>
      <c r="H255" s="53"/>
      <c r="I255" s="53"/>
      <c r="J255" s="53">
        <v>13207592</v>
      </c>
      <c r="K255" s="53"/>
      <c r="L255" s="55">
        <v>45293</v>
      </c>
      <c r="M255" s="55">
        <v>45293</v>
      </c>
      <c r="N255" s="53" t="s">
        <v>763</v>
      </c>
      <c r="O255" s="56">
        <v>0.01</v>
      </c>
      <c r="P255" s="53">
        <v>20062055</v>
      </c>
      <c r="Q255" s="53" t="s">
        <v>1050</v>
      </c>
      <c r="R255" s="45">
        <v>410</v>
      </c>
      <c r="S255" s="56">
        <v>0.01</v>
      </c>
      <c r="T255" s="47" t="s">
        <v>198</v>
      </c>
      <c r="U255" s="48" t="s">
        <v>199</v>
      </c>
      <c r="V255" s="38"/>
      <c r="W255" s="48" t="s">
        <v>195</v>
      </c>
      <c r="X255" s="38" t="s">
        <v>308</v>
      </c>
      <c r="Y255" s="49" t="s">
        <v>309</v>
      </c>
      <c r="Z255" s="50" t="s">
        <v>1051</v>
      </c>
      <c r="AA255" s="38"/>
      <c r="AB255" s="38"/>
      <c r="AC255" s="38"/>
      <c r="AD255" s="51">
        <v>58</v>
      </c>
      <c r="AE255" s="51">
        <v>58</v>
      </c>
      <c r="AF255" s="48" t="s">
        <v>203</v>
      </c>
      <c r="AG255" s="38" t="s">
        <v>204</v>
      </c>
      <c r="AH255" s="52"/>
      <c r="AI255" s="38"/>
      <c r="AJ255" s="38"/>
    </row>
    <row r="256" spans="1:36" ht="16.2">
      <c r="A256" s="42" t="s">
        <v>302</v>
      </c>
      <c r="B256" s="42">
        <v>629054</v>
      </c>
      <c r="C256" s="42" t="s">
        <v>1029</v>
      </c>
      <c r="D256" s="42">
        <v>13207592</v>
      </c>
      <c r="E256" s="43" t="s">
        <v>1030</v>
      </c>
      <c r="F256" s="42" t="s">
        <v>1052</v>
      </c>
      <c r="G256" s="42" t="s">
        <v>195</v>
      </c>
      <c r="H256" s="42"/>
      <c r="I256" s="42"/>
      <c r="J256" s="42">
        <v>13207592</v>
      </c>
      <c r="K256" s="42"/>
      <c r="L256" s="44">
        <v>45293</v>
      </c>
      <c r="M256" s="44">
        <v>45293</v>
      </c>
      <c r="N256" s="42" t="s">
        <v>763</v>
      </c>
      <c r="O256" s="46">
        <v>0.01</v>
      </c>
      <c r="P256" s="42">
        <v>20062055</v>
      </c>
      <c r="Q256" s="42" t="s">
        <v>1053</v>
      </c>
      <c r="R256" s="45">
        <v>410</v>
      </c>
      <c r="S256" s="46">
        <v>0.01</v>
      </c>
      <c r="T256" s="47" t="s">
        <v>198</v>
      </c>
      <c r="U256" s="48" t="s">
        <v>199</v>
      </c>
      <c r="V256" s="38"/>
      <c r="W256" s="48" t="s">
        <v>195</v>
      </c>
      <c r="X256" s="38" t="s">
        <v>308</v>
      </c>
      <c r="Y256" s="49" t="s">
        <v>309</v>
      </c>
      <c r="Z256" s="50" t="s">
        <v>1054</v>
      </c>
      <c r="AA256" s="38"/>
      <c r="AB256" s="38"/>
      <c r="AC256" s="38"/>
      <c r="AD256" s="51">
        <v>58</v>
      </c>
      <c r="AE256" s="51">
        <v>58</v>
      </c>
      <c r="AF256" s="48" t="s">
        <v>203</v>
      </c>
      <c r="AG256" s="38" t="s">
        <v>204</v>
      </c>
      <c r="AH256" s="52"/>
      <c r="AI256" s="38"/>
      <c r="AJ256" s="38"/>
    </row>
    <row r="257" spans="1:36" ht="16.2">
      <c r="A257" s="53" t="s">
        <v>302</v>
      </c>
      <c r="B257" s="53">
        <v>629054</v>
      </c>
      <c r="C257" s="53" t="s">
        <v>1029</v>
      </c>
      <c r="D257" s="53">
        <v>13207592</v>
      </c>
      <c r="E257" s="54" t="s">
        <v>1030</v>
      </c>
      <c r="F257" s="53" t="s">
        <v>1055</v>
      </c>
      <c r="G257" s="53" t="s">
        <v>195</v>
      </c>
      <c r="H257" s="53"/>
      <c r="I257" s="53"/>
      <c r="J257" s="53">
        <v>13207592</v>
      </c>
      <c r="K257" s="53"/>
      <c r="L257" s="55">
        <v>45293</v>
      </c>
      <c r="M257" s="55">
        <v>45293</v>
      </c>
      <c r="N257" s="53" t="s">
        <v>763</v>
      </c>
      <c r="O257" s="56">
        <v>0.01</v>
      </c>
      <c r="P257" s="53">
        <v>20062055</v>
      </c>
      <c r="Q257" s="53" t="s">
        <v>1056</v>
      </c>
      <c r="R257" s="45">
        <v>410</v>
      </c>
      <c r="S257" s="56">
        <v>0.01</v>
      </c>
      <c r="T257" s="47" t="s">
        <v>198</v>
      </c>
      <c r="U257" s="48" t="s">
        <v>199</v>
      </c>
      <c r="V257" s="38"/>
      <c r="W257" s="48" t="s">
        <v>195</v>
      </c>
      <c r="X257" s="38" t="s">
        <v>308</v>
      </c>
      <c r="Y257" s="49" t="s">
        <v>309</v>
      </c>
      <c r="Z257" s="50" t="s">
        <v>1057</v>
      </c>
      <c r="AA257" s="38"/>
      <c r="AB257" s="38"/>
      <c r="AC257" s="38"/>
      <c r="AD257" s="51">
        <v>58</v>
      </c>
      <c r="AE257" s="51">
        <v>58</v>
      </c>
      <c r="AF257" s="48" t="s">
        <v>203</v>
      </c>
      <c r="AG257" s="38" t="s">
        <v>204</v>
      </c>
      <c r="AH257" s="52"/>
      <c r="AI257" s="38"/>
      <c r="AJ257" s="38"/>
    </row>
    <row r="258" spans="1:36" ht="16.2">
      <c r="A258" s="42" t="s">
        <v>302</v>
      </c>
      <c r="B258" s="42">
        <v>629054</v>
      </c>
      <c r="C258" s="42" t="s">
        <v>1029</v>
      </c>
      <c r="D258" s="42">
        <v>13207592</v>
      </c>
      <c r="E258" s="43" t="s">
        <v>1030</v>
      </c>
      <c r="F258" s="42" t="s">
        <v>1058</v>
      </c>
      <c r="G258" s="42" t="s">
        <v>195</v>
      </c>
      <c r="H258" s="42"/>
      <c r="I258" s="42"/>
      <c r="J258" s="42">
        <v>13207592</v>
      </c>
      <c r="K258" s="42"/>
      <c r="L258" s="44">
        <v>45293</v>
      </c>
      <c r="M258" s="44">
        <v>45293</v>
      </c>
      <c r="N258" s="42" t="s">
        <v>763</v>
      </c>
      <c r="O258" s="46">
        <v>0.01</v>
      </c>
      <c r="P258" s="42">
        <v>20062055</v>
      </c>
      <c r="Q258" s="42" t="s">
        <v>1059</v>
      </c>
      <c r="R258" s="45">
        <v>410</v>
      </c>
      <c r="S258" s="46">
        <v>0.01</v>
      </c>
      <c r="T258" s="47" t="s">
        <v>198</v>
      </c>
      <c r="U258" s="48" t="s">
        <v>199</v>
      </c>
      <c r="V258" s="38"/>
      <c r="W258" s="48" t="s">
        <v>195</v>
      </c>
      <c r="X258" s="38" t="s">
        <v>308</v>
      </c>
      <c r="Y258" s="49" t="s">
        <v>309</v>
      </c>
      <c r="Z258" s="50" t="s">
        <v>1060</v>
      </c>
      <c r="AA258" s="38"/>
      <c r="AB258" s="38"/>
      <c r="AC258" s="38"/>
      <c r="AD258" s="51">
        <v>58</v>
      </c>
      <c r="AE258" s="51">
        <v>58</v>
      </c>
      <c r="AF258" s="48" t="s">
        <v>203</v>
      </c>
      <c r="AG258" s="38" t="s">
        <v>204</v>
      </c>
      <c r="AH258" s="52"/>
      <c r="AI258" s="38"/>
      <c r="AJ258" s="38"/>
    </row>
    <row r="259" spans="1:36" ht="16.2">
      <c r="A259" s="53" t="s">
        <v>302</v>
      </c>
      <c r="B259" s="53">
        <v>629054</v>
      </c>
      <c r="C259" s="53" t="s">
        <v>1029</v>
      </c>
      <c r="D259" s="53">
        <v>13207592</v>
      </c>
      <c r="E259" s="54" t="s">
        <v>1030</v>
      </c>
      <c r="F259" s="53" t="s">
        <v>1061</v>
      </c>
      <c r="G259" s="53" t="s">
        <v>195</v>
      </c>
      <c r="H259" s="53"/>
      <c r="I259" s="53"/>
      <c r="J259" s="53">
        <v>13207592</v>
      </c>
      <c r="K259" s="53"/>
      <c r="L259" s="55">
        <v>45293</v>
      </c>
      <c r="M259" s="55">
        <v>45293</v>
      </c>
      <c r="N259" s="53" t="s">
        <v>763</v>
      </c>
      <c r="O259" s="56">
        <v>0.01</v>
      </c>
      <c r="P259" s="53">
        <v>20062055</v>
      </c>
      <c r="Q259" s="53" t="s">
        <v>1062</v>
      </c>
      <c r="R259" s="45">
        <v>410</v>
      </c>
      <c r="S259" s="56">
        <v>0.01</v>
      </c>
      <c r="T259" s="47" t="s">
        <v>198</v>
      </c>
      <c r="U259" s="48" t="s">
        <v>199</v>
      </c>
      <c r="V259" s="38"/>
      <c r="W259" s="48" t="s">
        <v>195</v>
      </c>
      <c r="X259" s="38" t="s">
        <v>308</v>
      </c>
      <c r="Y259" s="49" t="s">
        <v>309</v>
      </c>
      <c r="Z259" s="50" t="s">
        <v>1063</v>
      </c>
      <c r="AA259" s="38"/>
      <c r="AB259" s="38"/>
      <c r="AC259" s="38"/>
      <c r="AD259" s="51">
        <v>58</v>
      </c>
      <c r="AE259" s="51">
        <v>58</v>
      </c>
      <c r="AF259" s="48" t="s">
        <v>203</v>
      </c>
      <c r="AG259" s="38" t="s">
        <v>204</v>
      </c>
      <c r="AH259" s="52"/>
      <c r="AI259" s="38"/>
      <c r="AJ259" s="38"/>
    </row>
    <row r="260" spans="1:36" ht="16.2">
      <c r="A260" s="42" t="s">
        <v>302</v>
      </c>
      <c r="B260" s="42">
        <v>629054</v>
      </c>
      <c r="C260" s="42" t="s">
        <v>1029</v>
      </c>
      <c r="D260" s="42">
        <v>13207592</v>
      </c>
      <c r="E260" s="43" t="s">
        <v>1030</v>
      </c>
      <c r="F260" s="42" t="s">
        <v>1064</v>
      </c>
      <c r="G260" s="42" t="s">
        <v>195</v>
      </c>
      <c r="H260" s="42"/>
      <c r="I260" s="42"/>
      <c r="J260" s="42">
        <v>13207592</v>
      </c>
      <c r="K260" s="42"/>
      <c r="L260" s="44">
        <v>45293</v>
      </c>
      <c r="M260" s="44">
        <v>45293</v>
      </c>
      <c r="N260" s="42" t="s">
        <v>763</v>
      </c>
      <c r="O260" s="46">
        <v>0.01</v>
      </c>
      <c r="P260" s="42">
        <v>20062055</v>
      </c>
      <c r="Q260" s="42" t="s">
        <v>1065</v>
      </c>
      <c r="R260" s="45">
        <v>410</v>
      </c>
      <c r="S260" s="46">
        <v>0.01</v>
      </c>
      <c r="T260" s="47" t="s">
        <v>198</v>
      </c>
      <c r="U260" s="48" t="s">
        <v>199</v>
      </c>
      <c r="V260" s="38"/>
      <c r="W260" s="48" t="s">
        <v>195</v>
      </c>
      <c r="X260" s="38" t="s">
        <v>308</v>
      </c>
      <c r="Y260" s="49" t="s">
        <v>309</v>
      </c>
      <c r="Z260" s="50" t="s">
        <v>1066</v>
      </c>
      <c r="AA260" s="38"/>
      <c r="AB260" s="38"/>
      <c r="AC260" s="38"/>
      <c r="AD260" s="51">
        <v>58</v>
      </c>
      <c r="AE260" s="51">
        <v>58</v>
      </c>
      <c r="AF260" s="48" t="s">
        <v>203</v>
      </c>
      <c r="AG260" s="38" t="s">
        <v>204</v>
      </c>
      <c r="AH260" s="52"/>
      <c r="AI260" s="38"/>
      <c r="AJ260" s="38"/>
    </row>
    <row r="261" spans="1:36" ht="16.2">
      <c r="A261" s="53" t="s">
        <v>302</v>
      </c>
      <c r="B261" s="53">
        <v>629054</v>
      </c>
      <c r="C261" s="53" t="s">
        <v>1029</v>
      </c>
      <c r="D261" s="53">
        <v>13207592</v>
      </c>
      <c r="E261" s="54" t="s">
        <v>1030</v>
      </c>
      <c r="F261" s="53" t="s">
        <v>944</v>
      </c>
      <c r="G261" s="53" t="s">
        <v>195</v>
      </c>
      <c r="H261" s="53"/>
      <c r="I261" s="53"/>
      <c r="J261" s="53">
        <v>13207592</v>
      </c>
      <c r="K261" s="53"/>
      <c r="L261" s="55">
        <v>45293</v>
      </c>
      <c r="M261" s="55">
        <v>45293</v>
      </c>
      <c r="N261" s="53" t="s">
        <v>763</v>
      </c>
      <c r="O261" s="53">
        <v>0</v>
      </c>
      <c r="P261" s="53">
        <v>20062055</v>
      </c>
      <c r="Q261" s="53" t="s">
        <v>1067</v>
      </c>
      <c r="R261" s="45">
        <v>410</v>
      </c>
      <c r="S261" s="56">
        <v>0.01</v>
      </c>
      <c r="T261" s="47" t="s">
        <v>198</v>
      </c>
      <c r="U261" s="48" t="s">
        <v>199</v>
      </c>
      <c r="V261" s="38"/>
      <c r="W261" s="48" t="s">
        <v>195</v>
      </c>
      <c r="X261" s="38" t="s">
        <v>308</v>
      </c>
      <c r="Y261" s="49" t="s">
        <v>309</v>
      </c>
      <c r="Z261" s="50" t="s">
        <v>1068</v>
      </c>
      <c r="AA261" s="38"/>
      <c r="AB261" s="38"/>
      <c r="AC261" s="38"/>
      <c r="AD261" s="51">
        <v>58</v>
      </c>
      <c r="AE261" s="51">
        <v>58</v>
      </c>
      <c r="AF261" s="48" t="s">
        <v>203</v>
      </c>
      <c r="AG261" s="38" t="s">
        <v>204</v>
      </c>
      <c r="AH261" s="52"/>
      <c r="AI261" s="38"/>
      <c r="AJ261" s="38"/>
    </row>
    <row r="262" spans="1:36" ht="16.2">
      <c r="A262" s="42" t="s">
        <v>302</v>
      </c>
      <c r="B262" s="42">
        <v>629054</v>
      </c>
      <c r="C262" s="42" t="s">
        <v>1029</v>
      </c>
      <c r="D262" s="42">
        <v>13207592</v>
      </c>
      <c r="E262" s="43" t="s">
        <v>1030</v>
      </c>
      <c r="F262" s="42" t="s">
        <v>235</v>
      </c>
      <c r="G262" s="42" t="s">
        <v>195</v>
      </c>
      <c r="H262" s="42"/>
      <c r="I262" s="42"/>
      <c r="J262" s="42">
        <v>13207592</v>
      </c>
      <c r="K262" s="42"/>
      <c r="L262" s="44">
        <v>45293</v>
      </c>
      <c r="M262" s="44">
        <v>45293</v>
      </c>
      <c r="N262" s="42" t="s">
        <v>763</v>
      </c>
      <c r="O262" s="42">
        <v>0</v>
      </c>
      <c r="P262" s="42">
        <v>20062055</v>
      </c>
      <c r="Q262" s="42" t="s">
        <v>1069</v>
      </c>
      <c r="R262" s="45">
        <v>410</v>
      </c>
      <c r="S262" s="46">
        <v>0.01</v>
      </c>
      <c r="T262" s="47" t="s">
        <v>198</v>
      </c>
      <c r="U262" s="48" t="s">
        <v>199</v>
      </c>
      <c r="V262" s="38"/>
      <c r="W262" s="48" t="s">
        <v>195</v>
      </c>
      <c r="X262" s="38" t="s">
        <v>308</v>
      </c>
      <c r="Y262" s="49" t="s">
        <v>309</v>
      </c>
      <c r="Z262" s="50" t="s">
        <v>1070</v>
      </c>
      <c r="AA262" s="38"/>
      <c r="AB262" s="38"/>
      <c r="AC262" s="38"/>
      <c r="AD262" s="51">
        <v>58</v>
      </c>
      <c r="AE262" s="51">
        <v>58</v>
      </c>
      <c r="AF262" s="48" t="s">
        <v>203</v>
      </c>
      <c r="AG262" s="38" t="s">
        <v>204</v>
      </c>
      <c r="AH262" s="52"/>
      <c r="AI262" s="38"/>
      <c r="AJ262" s="38"/>
    </row>
    <row r="263" spans="1:36" ht="16.2">
      <c r="A263" s="53" t="s">
        <v>302</v>
      </c>
      <c r="B263" s="53">
        <v>628831</v>
      </c>
      <c r="C263" s="53" t="s">
        <v>1071</v>
      </c>
      <c r="D263" s="53">
        <v>13207590</v>
      </c>
      <c r="E263" s="54" t="s">
        <v>1030</v>
      </c>
      <c r="F263" s="53" t="s">
        <v>1031</v>
      </c>
      <c r="G263" s="53" t="s">
        <v>195</v>
      </c>
      <c r="H263" s="53"/>
      <c r="I263" s="53"/>
      <c r="J263" s="53">
        <v>13207590</v>
      </c>
      <c r="K263" s="53"/>
      <c r="L263" s="55">
        <v>45293</v>
      </c>
      <c r="M263" s="55">
        <v>45293</v>
      </c>
      <c r="N263" s="53" t="s">
        <v>763</v>
      </c>
      <c r="O263" s="53">
        <v>0</v>
      </c>
      <c r="P263" s="53">
        <v>20062055</v>
      </c>
      <c r="Q263" s="53" t="s">
        <v>1072</v>
      </c>
      <c r="R263" s="45">
        <v>410</v>
      </c>
      <c r="S263" s="56">
        <v>0.01</v>
      </c>
      <c r="T263" s="47" t="s">
        <v>198</v>
      </c>
      <c r="U263" s="48" t="s">
        <v>199</v>
      </c>
      <c r="V263" s="38"/>
      <c r="W263" s="48" t="s">
        <v>195</v>
      </c>
      <c r="X263" s="38" t="s">
        <v>308</v>
      </c>
      <c r="Y263" s="49" t="s">
        <v>309</v>
      </c>
      <c r="Z263" s="50" t="s">
        <v>1073</v>
      </c>
      <c r="AA263" s="38"/>
      <c r="AB263" s="38"/>
      <c r="AC263" s="38"/>
      <c r="AD263" s="51">
        <v>58</v>
      </c>
      <c r="AE263" s="51">
        <v>58</v>
      </c>
      <c r="AF263" s="48" t="s">
        <v>203</v>
      </c>
      <c r="AG263" s="38" t="s">
        <v>204</v>
      </c>
      <c r="AH263" s="52"/>
      <c r="AI263" s="38"/>
      <c r="AJ263" s="38"/>
    </row>
    <row r="264" spans="1:36" ht="16.2">
      <c r="A264" s="42" t="s">
        <v>302</v>
      </c>
      <c r="B264" s="42">
        <v>628831</v>
      </c>
      <c r="C264" s="42" t="s">
        <v>1071</v>
      </c>
      <c r="D264" s="42">
        <v>13207590</v>
      </c>
      <c r="E264" s="43" t="s">
        <v>1030</v>
      </c>
      <c r="F264" s="42" t="s">
        <v>1034</v>
      </c>
      <c r="G264" s="42" t="s">
        <v>195</v>
      </c>
      <c r="H264" s="42"/>
      <c r="I264" s="42"/>
      <c r="J264" s="42">
        <v>13207590</v>
      </c>
      <c r="K264" s="42"/>
      <c r="L264" s="44">
        <v>45293</v>
      </c>
      <c r="M264" s="44">
        <v>45293</v>
      </c>
      <c r="N264" s="42" t="s">
        <v>763</v>
      </c>
      <c r="O264" s="42">
        <v>0</v>
      </c>
      <c r="P264" s="42">
        <v>20062055</v>
      </c>
      <c r="Q264" s="42" t="s">
        <v>1074</v>
      </c>
      <c r="R264" s="45">
        <v>410</v>
      </c>
      <c r="S264" s="46">
        <v>0.01</v>
      </c>
      <c r="T264" s="47" t="s">
        <v>198</v>
      </c>
      <c r="U264" s="48" t="s">
        <v>199</v>
      </c>
      <c r="V264" s="38"/>
      <c r="W264" s="48" t="s">
        <v>195</v>
      </c>
      <c r="X264" s="38" t="s">
        <v>308</v>
      </c>
      <c r="Y264" s="49" t="s">
        <v>309</v>
      </c>
      <c r="Z264" s="50" t="s">
        <v>1075</v>
      </c>
      <c r="AA264" s="38"/>
      <c r="AB264" s="38"/>
      <c r="AC264" s="38"/>
      <c r="AD264" s="51">
        <v>58</v>
      </c>
      <c r="AE264" s="51">
        <v>58</v>
      </c>
      <c r="AF264" s="48" t="s">
        <v>203</v>
      </c>
      <c r="AG264" s="38" t="s">
        <v>204</v>
      </c>
      <c r="AH264" s="52"/>
      <c r="AI264" s="38"/>
      <c r="AJ264" s="38"/>
    </row>
    <row r="265" spans="1:36" ht="16.2">
      <c r="A265" s="53" t="s">
        <v>302</v>
      </c>
      <c r="B265" s="53">
        <v>628831</v>
      </c>
      <c r="C265" s="53" t="s">
        <v>1071</v>
      </c>
      <c r="D265" s="53">
        <v>13207590</v>
      </c>
      <c r="E265" s="54" t="s">
        <v>1030</v>
      </c>
      <c r="F265" s="53" t="s">
        <v>1037</v>
      </c>
      <c r="G265" s="53" t="s">
        <v>195</v>
      </c>
      <c r="H265" s="53"/>
      <c r="I265" s="53"/>
      <c r="J265" s="53">
        <v>13207590</v>
      </c>
      <c r="K265" s="53"/>
      <c r="L265" s="55">
        <v>45293</v>
      </c>
      <c r="M265" s="55">
        <v>45293</v>
      </c>
      <c r="N265" s="53" t="s">
        <v>763</v>
      </c>
      <c r="O265" s="53">
        <v>0</v>
      </c>
      <c r="P265" s="53">
        <v>20062055</v>
      </c>
      <c r="Q265" s="53" t="s">
        <v>1076</v>
      </c>
      <c r="R265" s="45">
        <v>410</v>
      </c>
      <c r="S265" s="56">
        <v>0.01</v>
      </c>
      <c r="T265" s="47" t="s">
        <v>198</v>
      </c>
      <c r="U265" s="48" t="s">
        <v>199</v>
      </c>
      <c r="V265" s="38"/>
      <c r="W265" s="48" t="s">
        <v>195</v>
      </c>
      <c r="X265" s="38" t="s">
        <v>308</v>
      </c>
      <c r="Y265" s="49" t="s">
        <v>309</v>
      </c>
      <c r="Z265" s="50" t="s">
        <v>1077</v>
      </c>
      <c r="AA265" s="38"/>
      <c r="AB265" s="38"/>
      <c r="AC265" s="38"/>
      <c r="AD265" s="51">
        <v>58</v>
      </c>
      <c r="AE265" s="51">
        <v>58</v>
      </c>
      <c r="AF265" s="48" t="s">
        <v>203</v>
      </c>
      <c r="AG265" s="38" t="s">
        <v>204</v>
      </c>
      <c r="AH265" s="52"/>
      <c r="AI265" s="38"/>
      <c r="AJ265" s="38"/>
    </row>
    <row r="266" spans="1:36" ht="16.2">
      <c r="A266" s="42" t="s">
        <v>302</v>
      </c>
      <c r="B266" s="42">
        <v>628831</v>
      </c>
      <c r="C266" s="42" t="s">
        <v>1071</v>
      </c>
      <c r="D266" s="42">
        <v>13207590</v>
      </c>
      <c r="E266" s="43" t="s">
        <v>1030</v>
      </c>
      <c r="F266" s="42" t="s">
        <v>1040</v>
      </c>
      <c r="G266" s="42" t="s">
        <v>195</v>
      </c>
      <c r="H266" s="42"/>
      <c r="I266" s="42"/>
      <c r="J266" s="42">
        <v>13207590</v>
      </c>
      <c r="K266" s="42"/>
      <c r="L266" s="44">
        <v>45293</v>
      </c>
      <c r="M266" s="44">
        <v>45293</v>
      </c>
      <c r="N266" s="42" t="s">
        <v>763</v>
      </c>
      <c r="O266" s="42">
        <v>0</v>
      </c>
      <c r="P266" s="42">
        <v>20062055</v>
      </c>
      <c r="Q266" s="42" t="s">
        <v>1078</v>
      </c>
      <c r="R266" s="45">
        <v>410</v>
      </c>
      <c r="S266" s="46">
        <v>0.01</v>
      </c>
      <c r="T266" s="47" t="s">
        <v>198</v>
      </c>
      <c r="U266" s="48" t="s">
        <v>199</v>
      </c>
      <c r="V266" s="38"/>
      <c r="W266" s="48" t="s">
        <v>195</v>
      </c>
      <c r="X266" s="38" t="s">
        <v>308</v>
      </c>
      <c r="Y266" s="49" t="s">
        <v>309</v>
      </c>
      <c r="Z266" s="50" t="s">
        <v>1079</v>
      </c>
      <c r="AA266" s="38"/>
      <c r="AB266" s="38"/>
      <c r="AC266" s="38"/>
      <c r="AD266" s="51">
        <v>58</v>
      </c>
      <c r="AE266" s="51">
        <v>58</v>
      </c>
      <c r="AF266" s="48" t="s">
        <v>203</v>
      </c>
      <c r="AG266" s="38" t="s">
        <v>204</v>
      </c>
      <c r="AH266" s="52"/>
      <c r="AI266" s="38"/>
      <c r="AJ266" s="38"/>
    </row>
    <row r="267" spans="1:36" ht="16.2">
      <c r="A267" s="53" t="s">
        <v>302</v>
      </c>
      <c r="B267" s="53">
        <v>628831</v>
      </c>
      <c r="C267" s="53" t="s">
        <v>1071</v>
      </c>
      <c r="D267" s="53">
        <v>13207590</v>
      </c>
      <c r="E267" s="54" t="s">
        <v>1030</v>
      </c>
      <c r="F267" s="53" t="s">
        <v>1043</v>
      </c>
      <c r="G267" s="53" t="s">
        <v>195</v>
      </c>
      <c r="H267" s="53"/>
      <c r="I267" s="53"/>
      <c r="J267" s="53">
        <v>13207590</v>
      </c>
      <c r="K267" s="53"/>
      <c r="L267" s="55">
        <v>45293</v>
      </c>
      <c r="M267" s="55">
        <v>45293</v>
      </c>
      <c r="N267" s="53" t="s">
        <v>763</v>
      </c>
      <c r="O267" s="53">
        <v>0</v>
      </c>
      <c r="P267" s="53">
        <v>20062055</v>
      </c>
      <c r="Q267" s="53" t="s">
        <v>1080</v>
      </c>
      <c r="R267" s="45">
        <v>410</v>
      </c>
      <c r="S267" s="56">
        <v>0.01</v>
      </c>
      <c r="T267" s="47" t="s">
        <v>198</v>
      </c>
      <c r="U267" s="48" t="s">
        <v>199</v>
      </c>
      <c r="V267" s="38"/>
      <c r="W267" s="48" t="s">
        <v>195</v>
      </c>
      <c r="X267" s="38" t="s">
        <v>308</v>
      </c>
      <c r="Y267" s="49" t="s">
        <v>309</v>
      </c>
      <c r="Z267" s="50" t="s">
        <v>1081</v>
      </c>
      <c r="AA267" s="38"/>
      <c r="AB267" s="38"/>
      <c r="AC267" s="38"/>
      <c r="AD267" s="51">
        <v>58</v>
      </c>
      <c r="AE267" s="51">
        <v>58</v>
      </c>
      <c r="AF267" s="48" t="s">
        <v>203</v>
      </c>
      <c r="AG267" s="38" t="s">
        <v>204</v>
      </c>
      <c r="AH267" s="52"/>
      <c r="AI267" s="38"/>
      <c r="AJ267" s="38"/>
    </row>
    <row r="268" spans="1:36" ht="16.2">
      <c r="A268" s="42" t="s">
        <v>302</v>
      </c>
      <c r="B268" s="42">
        <v>628831</v>
      </c>
      <c r="C268" s="42" t="s">
        <v>1071</v>
      </c>
      <c r="D268" s="42">
        <v>13207590</v>
      </c>
      <c r="E268" s="43" t="s">
        <v>1030</v>
      </c>
      <c r="F268" s="42" t="s">
        <v>1046</v>
      </c>
      <c r="G268" s="42" t="s">
        <v>195</v>
      </c>
      <c r="H268" s="42"/>
      <c r="I268" s="42"/>
      <c r="J268" s="42">
        <v>13207590</v>
      </c>
      <c r="K268" s="42"/>
      <c r="L268" s="44">
        <v>45293</v>
      </c>
      <c r="M268" s="44">
        <v>45293</v>
      </c>
      <c r="N268" s="42" t="s">
        <v>763</v>
      </c>
      <c r="O268" s="42">
        <v>0</v>
      </c>
      <c r="P268" s="42">
        <v>20062055</v>
      </c>
      <c r="Q268" s="42" t="s">
        <v>1082</v>
      </c>
      <c r="R268" s="45">
        <v>410</v>
      </c>
      <c r="S268" s="46">
        <v>0.01</v>
      </c>
      <c r="T268" s="47" t="s">
        <v>198</v>
      </c>
      <c r="U268" s="48" t="s">
        <v>199</v>
      </c>
      <c r="V268" s="38"/>
      <c r="W268" s="48" t="s">
        <v>195</v>
      </c>
      <c r="X268" s="38" t="s">
        <v>308</v>
      </c>
      <c r="Y268" s="49" t="s">
        <v>309</v>
      </c>
      <c r="Z268" s="50" t="s">
        <v>1083</v>
      </c>
      <c r="AA268" s="38"/>
      <c r="AB268" s="38"/>
      <c r="AC268" s="38"/>
      <c r="AD268" s="51">
        <v>58</v>
      </c>
      <c r="AE268" s="51">
        <v>58</v>
      </c>
      <c r="AF268" s="48" t="s">
        <v>203</v>
      </c>
      <c r="AG268" s="38" t="s">
        <v>204</v>
      </c>
      <c r="AH268" s="52"/>
      <c r="AI268" s="38"/>
      <c r="AJ268" s="38"/>
    </row>
    <row r="269" spans="1:36" ht="16.2">
      <c r="A269" s="53" t="s">
        <v>302</v>
      </c>
      <c r="B269" s="53">
        <v>628831</v>
      </c>
      <c r="C269" s="53" t="s">
        <v>1071</v>
      </c>
      <c r="D269" s="53">
        <v>13207590</v>
      </c>
      <c r="E269" s="54" t="s">
        <v>1030</v>
      </c>
      <c r="F269" s="53" t="s">
        <v>1049</v>
      </c>
      <c r="G269" s="53" t="s">
        <v>195</v>
      </c>
      <c r="H269" s="53"/>
      <c r="I269" s="53"/>
      <c r="J269" s="53">
        <v>13207590</v>
      </c>
      <c r="K269" s="53"/>
      <c r="L269" s="55">
        <v>45293</v>
      </c>
      <c r="M269" s="55">
        <v>45293</v>
      </c>
      <c r="N269" s="53" t="s">
        <v>763</v>
      </c>
      <c r="O269" s="53">
        <v>0</v>
      </c>
      <c r="P269" s="53">
        <v>20062055</v>
      </c>
      <c r="Q269" s="53" t="s">
        <v>1084</v>
      </c>
      <c r="R269" s="45">
        <v>410</v>
      </c>
      <c r="S269" s="56">
        <v>0.01</v>
      </c>
      <c r="T269" s="47" t="s">
        <v>198</v>
      </c>
      <c r="U269" s="48" t="s">
        <v>199</v>
      </c>
      <c r="V269" s="38"/>
      <c r="W269" s="48" t="s">
        <v>195</v>
      </c>
      <c r="X269" s="38" t="s">
        <v>308</v>
      </c>
      <c r="Y269" s="49" t="s">
        <v>309</v>
      </c>
      <c r="Z269" s="50" t="s">
        <v>1085</v>
      </c>
      <c r="AA269" s="38"/>
      <c r="AB269" s="38"/>
      <c r="AC269" s="38"/>
      <c r="AD269" s="51">
        <v>58</v>
      </c>
      <c r="AE269" s="51">
        <v>58</v>
      </c>
      <c r="AF269" s="48" t="s">
        <v>203</v>
      </c>
      <c r="AG269" s="38" t="s">
        <v>204</v>
      </c>
      <c r="AH269" s="52"/>
      <c r="AI269" s="38"/>
      <c r="AJ269" s="38"/>
    </row>
    <row r="270" spans="1:36" ht="16.2">
      <c r="A270" s="42" t="s">
        <v>302</v>
      </c>
      <c r="B270" s="42">
        <v>628831</v>
      </c>
      <c r="C270" s="42" t="s">
        <v>1071</v>
      </c>
      <c r="D270" s="42">
        <v>13207590</v>
      </c>
      <c r="E270" s="43" t="s">
        <v>1030</v>
      </c>
      <c r="F270" s="42" t="s">
        <v>1052</v>
      </c>
      <c r="G270" s="42" t="s">
        <v>195</v>
      </c>
      <c r="H270" s="42"/>
      <c r="I270" s="42"/>
      <c r="J270" s="42">
        <v>13207590</v>
      </c>
      <c r="K270" s="42"/>
      <c r="L270" s="44">
        <v>45293</v>
      </c>
      <c r="M270" s="44">
        <v>45293</v>
      </c>
      <c r="N270" s="42" t="s">
        <v>763</v>
      </c>
      <c r="O270" s="42">
        <v>0</v>
      </c>
      <c r="P270" s="42">
        <v>20062055</v>
      </c>
      <c r="Q270" s="42" t="s">
        <v>1086</v>
      </c>
      <c r="R270" s="45">
        <v>410</v>
      </c>
      <c r="S270" s="46">
        <v>0.01</v>
      </c>
      <c r="T270" s="47" t="s">
        <v>198</v>
      </c>
      <c r="U270" s="48" t="s">
        <v>199</v>
      </c>
      <c r="V270" s="38"/>
      <c r="W270" s="48" t="s">
        <v>195</v>
      </c>
      <c r="X270" s="38" t="s">
        <v>308</v>
      </c>
      <c r="Y270" s="49" t="s">
        <v>309</v>
      </c>
      <c r="Z270" s="50" t="s">
        <v>1087</v>
      </c>
      <c r="AA270" s="38"/>
      <c r="AB270" s="38"/>
      <c r="AC270" s="38"/>
      <c r="AD270" s="51">
        <v>58</v>
      </c>
      <c r="AE270" s="51">
        <v>58</v>
      </c>
      <c r="AF270" s="48" t="s">
        <v>203</v>
      </c>
      <c r="AG270" s="38" t="s">
        <v>204</v>
      </c>
      <c r="AH270" s="52"/>
      <c r="AI270" s="38"/>
      <c r="AJ270" s="38"/>
    </row>
    <row r="271" spans="1:36" ht="16.2">
      <c r="A271" s="53" t="s">
        <v>302</v>
      </c>
      <c r="B271" s="53">
        <v>628831</v>
      </c>
      <c r="C271" s="53" t="s">
        <v>1071</v>
      </c>
      <c r="D271" s="53">
        <v>13207590</v>
      </c>
      <c r="E271" s="54" t="s">
        <v>1030</v>
      </c>
      <c r="F271" s="53" t="s">
        <v>1055</v>
      </c>
      <c r="G271" s="53" t="s">
        <v>195</v>
      </c>
      <c r="H271" s="53"/>
      <c r="I271" s="53"/>
      <c r="J271" s="53">
        <v>13207590</v>
      </c>
      <c r="K271" s="53"/>
      <c r="L271" s="55">
        <v>45293</v>
      </c>
      <c r="M271" s="55">
        <v>45293</v>
      </c>
      <c r="N271" s="53" t="s">
        <v>763</v>
      </c>
      <c r="O271" s="53">
        <v>0</v>
      </c>
      <c r="P271" s="53">
        <v>20062055</v>
      </c>
      <c r="Q271" s="53" t="s">
        <v>1088</v>
      </c>
      <c r="R271" s="45">
        <v>410</v>
      </c>
      <c r="S271" s="56">
        <v>0.01</v>
      </c>
      <c r="T271" s="47" t="s">
        <v>198</v>
      </c>
      <c r="U271" s="48" t="s">
        <v>199</v>
      </c>
      <c r="V271" s="38"/>
      <c r="W271" s="48" t="s">
        <v>195</v>
      </c>
      <c r="X271" s="38" t="s">
        <v>308</v>
      </c>
      <c r="Y271" s="49" t="s">
        <v>309</v>
      </c>
      <c r="Z271" s="50" t="s">
        <v>1089</v>
      </c>
      <c r="AA271" s="38"/>
      <c r="AB271" s="38"/>
      <c r="AC271" s="38"/>
      <c r="AD271" s="51">
        <v>58</v>
      </c>
      <c r="AE271" s="51">
        <v>58</v>
      </c>
      <c r="AF271" s="48" t="s">
        <v>203</v>
      </c>
      <c r="AG271" s="38" t="s">
        <v>204</v>
      </c>
      <c r="AH271" s="52"/>
      <c r="AI271" s="38"/>
      <c r="AJ271" s="38"/>
    </row>
    <row r="272" spans="1:36" ht="16.2">
      <c r="A272" s="42" t="s">
        <v>302</v>
      </c>
      <c r="B272" s="42">
        <v>628831</v>
      </c>
      <c r="C272" s="42" t="s">
        <v>1071</v>
      </c>
      <c r="D272" s="42">
        <v>13207590</v>
      </c>
      <c r="E272" s="43" t="s">
        <v>1030</v>
      </c>
      <c r="F272" s="42" t="s">
        <v>1058</v>
      </c>
      <c r="G272" s="42" t="s">
        <v>195</v>
      </c>
      <c r="H272" s="42"/>
      <c r="I272" s="42"/>
      <c r="J272" s="42">
        <v>13207590</v>
      </c>
      <c r="K272" s="42"/>
      <c r="L272" s="44">
        <v>45293</v>
      </c>
      <c r="M272" s="44">
        <v>45293</v>
      </c>
      <c r="N272" s="42" t="s">
        <v>763</v>
      </c>
      <c r="O272" s="42">
        <v>0</v>
      </c>
      <c r="P272" s="42">
        <v>20062055</v>
      </c>
      <c r="Q272" s="42" t="s">
        <v>1090</v>
      </c>
      <c r="R272" s="45">
        <v>410</v>
      </c>
      <c r="S272" s="46">
        <v>0.01</v>
      </c>
      <c r="T272" s="47" t="s">
        <v>198</v>
      </c>
      <c r="U272" s="48" t="s">
        <v>199</v>
      </c>
      <c r="V272" s="38"/>
      <c r="W272" s="48" t="s">
        <v>195</v>
      </c>
      <c r="X272" s="38" t="s">
        <v>308</v>
      </c>
      <c r="Y272" s="49" t="s">
        <v>309</v>
      </c>
      <c r="Z272" s="50" t="s">
        <v>1091</v>
      </c>
      <c r="AA272" s="38"/>
      <c r="AB272" s="38"/>
      <c r="AC272" s="38"/>
      <c r="AD272" s="51">
        <v>58</v>
      </c>
      <c r="AE272" s="51">
        <v>58</v>
      </c>
      <c r="AF272" s="48" t="s">
        <v>203</v>
      </c>
      <c r="AG272" s="38" t="s">
        <v>204</v>
      </c>
      <c r="AH272" s="52"/>
      <c r="AI272" s="38"/>
      <c r="AJ272" s="38"/>
    </row>
    <row r="273" spans="1:36" ht="16.2">
      <c r="A273" s="53" t="s">
        <v>302</v>
      </c>
      <c r="B273" s="53">
        <v>628831</v>
      </c>
      <c r="C273" s="53" t="s">
        <v>1071</v>
      </c>
      <c r="D273" s="53">
        <v>13207590</v>
      </c>
      <c r="E273" s="54" t="s">
        <v>1030</v>
      </c>
      <c r="F273" s="53" t="s">
        <v>1061</v>
      </c>
      <c r="G273" s="53" t="s">
        <v>195</v>
      </c>
      <c r="H273" s="53"/>
      <c r="I273" s="53"/>
      <c r="J273" s="53">
        <v>13207590</v>
      </c>
      <c r="K273" s="53"/>
      <c r="L273" s="55">
        <v>45293</v>
      </c>
      <c r="M273" s="55">
        <v>45293</v>
      </c>
      <c r="N273" s="53" t="s">
        <v>763</v>
      </c>
      <c r="O273" s="53">
        <v>0</v>
      </c>
      <c r="P273" s="53">
        <v>20062055</v>
      </c>
      <c r="Q273" s="53" t="s">
        <v>1092</v>
      </c>
      <c r="R273" s="45">
        <v>410</v>
      </c>
      <c r="S273" s="56">
        <v>0.01</v>
      </c>
      <c r="T273" s="47" t="s">
        <v>198</v>
      </c>
      <c r="U273" s="48" t="s">
        <v>199</v>
      </c>
      <c r="V273" s="38"/>
      <c r="W273" s="48" t="s">
        <v>195</v>
      </c>
      <c r="X273" s="38" t="s">
        <v>308</v>
      </c>
      <c r="Y273" s="49" t="s">
        <v>309</v>
      </c>
      <c r="Z273" s="50" t="s">
        <v>1093</v>
      </c>
      <c r="AA273" s="38"/>
      <c r="AB273" s="38"/>
      <c r="AC273" s="38"/>
      <c r="AD273" s="51">
        <v>58</v>
      </c>
      <c r="AE273" s="51">
        <v>58</v>
      </c>
      <c r="AF273" s="48" t="s">
        <v>203</v>
      </c>
      <c r="AG273" s="38" t="s">
        <v>204</v>
      </c>
      <c r="AH273" s="52"/>
      <c r="AI273" s="38"/>
      <c r="AJ273" s="38"/>
    </row>
    <row r="274" spans="1:36" ht="16.2">
      <c r="A274" s="42" t="s">
        <v>302</v>
      </c>
      <c r="B274" s="42">
        <v>628831</v>
      </c>
      <c r="C274" s="42" t="s">
        <v>1071</v>
      </c>
      <c r="D274" s="42">
        <v>13207590</v>
      </c>
      <c r="E274" s="43" t="s">
        <v>1030</v>
      </c>
      <c r="F274" s="42" t="s">
        <v>1064</v>
      </c>
      <c r="G274" s="42" t="s">
        <v>195</v>
      </c>
      <c r="H274" s="42"/>
      <c r="I274" s="42"/>
      <c r="J274" s="42">
        <v>13207590</v>
      </c>
      <c r="K274" s="42"/>
      <c r="L274" s="44">
        <v>45293</v>
      </c>
      <c r="M274" s="44">
        <v>45293</v>
      </c>
      <c r="N274" s="42" t="s">
        <v>763</v>
      </c>
      <c r="O274" s="42">
        <v>0</v>
      </c>
      <c r="P274" s="42">
        <v>20062055</v>
      </c>
      <c r="Q274" s="42" t="s">
        <v>1094</v>
      </c>
      <c r="R274" s="45">
        <v>410</v>
      </c>
      <c r="S274" s="46">
        <v>0.01</v>
      </c>
      <c r="T274" s="47" t="s">
        <v>198</v>
      </c>
      <c r="U274" s="48" t="s">
        <v>199</v>
      </c>
      <c r="V274" s="38"/>
      <c r="W274" s="48" t="s">
        <v>195</v>
      </c>
      <c r="X274" s="38" t="s">
        <v>308</v>
      </c>
      <c r="Y274" s="49" t="s">
        <v>309</v>
      </c>
      <c r="Z274" s="50" t="s">
        <v>1095</v>
      </c>
      <c r="AA274" s="38"/>
      <c r="AB274" s="38"/>
      <c r="AC274" s="38"/>
      <c r="AD274" s="51">
        <v>58</v>
      </c>
      <c r="AE274" s="51">
        <v>58</v>
      </c>
      <c r="AF274" s="48" t="s">
        <v>203</v>
      </c>
      <c r="AG274" s="38" t="s">
        <v>204</v>
      </c>
      <c r="AH274" s="52"/>
      <c r="AI274" s="38"/>
      <c r="AJ274" s="38"/>
    </row>
    <row r="275" spans="1:36" ht="16.2">
      <c r="A275" s="53" t="s">
        <v>302</v>
      </c>
      <c r="B275" s="53">
        <v>628831</v>
      </c>
      <c r="C275" s="53" t="s">
        <v>1071</v>
      </c>
      <c r="D275" s="53">
        <v>13207590</v>
      </c>
      <c r="E275" s="54" t="s">
        <v>1030</v>
      </c>
      <c r="F275" s="53" t="s">
        <v>944</v>
      </c>
      <c r="G275" s="53" t="s">
        <v>195</v>
      </c>
      <c r="H275" s="53"/>
      <c r="I275" s="53"/>
      <c r="J275" s="53">
        <v>13207590</v>
      </c>
      <c r="K275" s="53"/>
      <c r="L275" s="55">
        <v>45293</v>
      </c>
      <c r="M275" s="55">
        <v>45293</v>
      </c>
      <c r="N275" s="53" t="s">
        <v>763</v>
      </c>
      <c r="O275" s="53">
        <v>0</v>
      </c>
      <c r="P275" s="53">
        <v>20062055</v>
      </c>
      <c r="Q275" s="53" t="s">
        <v>1096</v>
      </c>
      <c r="R275" s="45">
        <v>410</v>
      </c>
      <c r="S275" s="56">
        <v>0.01</v>
      </c>
      <c r="T275" s="47" t="s">
        <v>198</v>
      </c>
      <c r="U275" s="48" t="s">
        <v>199</v>
      </c>
      <c r="V275" s="38"/>
      <c r="W275" s="48" t="s">
        <v>195</v>
      </c>
      <c r="X275" s="38" t="s">
        <v>308</v>
      </c>
      <c r="Y275" s="49" t="s">
        <v>309</v>
      </c>
      <c r="Z275" s="50" t="s">
        <v>1097</v>
      </c>
      <c r="AA275" s="38"/>
      <c r="AB275" s="38"/>
      <c r="AC275" s="38"/>
      <c r="AD275" s="51">
        <v>58</v>
      </c>
      <c r="AE275" s="51">
        <v>58</v>
      </c>
      <c r="AF275" s="48" t="s">
        <v>203</v>
      </c>
      <c r="AG275" s="38" t="s">
        <v>204</v>
      </c>
      <c r="AH275" s="52"/>
      <c r="AI275" s="38"/>
      <c r="AJ275" s="38"/>
    </row>
    <row r="276" spans="1:36" ht="16.2">
      <c r="A276" s="42" t="s">
        <v>302</v>
      </c>
      <c r="B276" s="42">
        <v>628831</v>
      </c>
      <c r="C276" s="42" t="s">
        <v>1071</v>
      </c>
      <c r="D276" s="42">
        <v>13207590</v>
      </c>
      <c r="E276" s="43" t="s">
        <v>1030</v>
      </c>
      <c r="F276" s="42" t="s">
        <v>235</v>
      </c>
      <c r="G276" s="42" t="s">
        <v>195</v>
      </c>
      <c r="H276" s="42"/>
      <c r="I276" s="42"/>
      <c r="J276" s="42">
        <v>13207590</v>
      </c>
      <c r="K276" s="42"/>
      <c r="L276" s="44">
        <v>45293</v>
      </c>
      <c r="M276" s="44">
        <v>45293</v>
      </c>
      <c r="N276" s="42" t="s">
        <v>763</v>
      </c>
      <c r="O276" s="42">
        <v>0</v>
      </c>
      <c r="P276" s="42">
        <v>20062055</v>
      </c>
      <c r="Q276" s="42" t="s">
        <v>1098</v>
      </c>
      <c r="R276" s="45">
        <v>410</v>
      </c>
      <c r="S276" s="46">
        <v>0.01</v>
      </c>
      <c r="T276" s="47" t="s">
        <v>198</v>
      </c>
      <c r="U276" s="48" t="s">
        <v>199</v>
      </c>
      <c r="V276" s="38"/>
      <c r="W276" s="48" t="s">
        <v>195</v>
      </c>
      <c r="X276" s="38" t="s">
        <v>308</v>
      </c>
      <c r="Y276" s="49" t="s">
        <v>309</v>
      </c>
      <c r="Z276" s="50" t="s">
        <v>1099</v>
      </c>
      <c r="AA276" s="38"/>
      <c r="AB276" s="38"/>
      <c r="AC276" s="38"/>
      <c r="AD276" s="51">
        <v>58</v>
      </c>
      <c r="AE276" s="51">
        <v>58</v>
      </c>
      <c r="AF276" s="48" t="s">
        <v>203</v>
      </c>
      <c r="AG276" s="38" t="s">
        <v>204</v>
      </c>
      <c r="AH276" s="52"/>
      <c r="AI276" s="38"/>
      <c r="AJ276" s="38"/>
    </row>
    <row r="277" spans="1:36" ht="16.2">
      <c r="A277" s="53" t="s">
        <v>302</v>
      </c>
      <c r="B277" s="53">
        <v>628832</v>
      </c>
      <c r="C277" s="53" t="s">
        <v>1100</v>
      </c>
      <c r="D277" s="53">
        <v>13207591</v>
      </c>
      <c r="E277" s="54" t="s">
        <v>1030</v>
      </c>
      <c r="F277" s="53" t="s">
        <v>1101</v>
      </c>
      <c r="G277" s="53" t="s">
        <v>195</v>
      </c>
      <c r="H277" s="53"/>
      <c r="I277" s="53"/>
      <c r="J277" s="53">
        <v>13207591</v>
      </c>
      <c r="K277" s="53"/>
      <c r="L277" s="55">
        <v>45293</v>
      </c>
      <c r="M277" s="55">
        <v>45293</v>
      </c>
      <c r="N277" s="53" t="s">
        <v>763</v>
      </c>
      <c r="O277" s="53">
        <v>0</v>
      </c>
      <c r="P277" s="53">
        <v>20062055</v>
      </c>
      <c r="Q277" s="53" t="s">
        <v>1102</v>
      </c>
      <c r="R277" s="45">
        <v>410</v>
      </c>
      <c r="S277" s="56">
        <v>0.01</v>
      </c>
      <c r="T277" s="47" t="s">
        <v>198</v>
      </c>
      <c r="U277" s="48" t="s">
        <v>199</v>
      </c>
      <c r="V277" s="38"/>
      <c r="W277" s="48" t="s">
        <v>195</v>
      </c>
      <c r="X277" s="38" t="s">
        <v>308</v>
      </c>
      <c r="Y277" s="49" t="s">
        <v>309</v>
      </c>
      <c r="Z277" s="50" t="s">
        <v>1103</v>
      </c>
      <c r="AA277" s="38"/>
      <c r="AB277" s="38"/>
      <c r="AC277" s="38"/>
      <c r="AD277" s="51">
        <v>58</v>
      </c>
      <c r="AE277" s="51">
        <v>58</v>
      </c>
      <c r="AF277" s="48" t="s">
        <v>203</v>
      </c>
      <c r="AG277" s="38" t="s">
        <v>204</v>
      </c>
      <c r="AH277" s="52"/>
      <c r="AI277" s="38"/>
      <c r="AJ277" s="38"/>
    </row>
    <row r="278" spans="1:36" ht="16.2">
      <c r="A278" s="42" t="s">
        <v>302</v>
      </c>
      <c r="B278" s="42">
        <v>638554</v>
      </c>
      <c r="C278" s="42" t="s">
        <v>1104</v>
      </c>
      <c r="D278" s="42">
        <v>13207593</v>
      </c>
      <c r="E278" s="43" t="s">
        <v>1105</v>
      </c>
      <c r="F278" s="42" t="s">
        <v>1106</v>
      </c>
      <c r="G278" s="42" t="s">
        <v>195</v>
      </c>
      <c r="H278" s="42"/>
      <c r="I278" s="42"/>
      <c r="J278" s="42">
        <v>13207593</v>
      </c>
      <c r="K278" s="42"/>
      <c r="L278" s="44">
        <v>45293</v>
      </c>
      <c r="M278" s="44">
        <v>45293</v>
      </c>
      <c r="N278" s="42" t="s">
        <v>306</v>
      </c>
      <c r="O278" s="42">
        <v>0</v>
      </c>
      <c r="P278" s="42">
        <v>20009855</v>
      </c>
      <c r="Q278" s="42" t="s">
        <v>1107</v>
      </c>
      <c r="R278" s="45">
        <v>410</v>
      </c>
      <c r="S278" s="46">
        <v>0.01</v>
      </c>
      <c r="T278" s="47" t="s">
        <v>198</v>
      </c>
      <c r="U278" s="48" t="s">
        <v>199</v>
      </c>
      <c r="V278" s="38"/>
      <c r="W278" s="48" t="s">
        <v>195</v>
      </c>
      <c r="X278" s="38" t="s">
        <v>308</v>
      </c>
      <c r="Y278" s="49" t="s">
        <v>309</v>
      </c>
      <c r="Z278" s="50" t="s">
        <v>1108</v>
      </c>
      <c r="AA278" s="38"/>
      <c r="AB278" s="38"/>
      <c r="AC278" s="38"/>
      <c r="AD278" s="51">
        <v>146</v>
      </c>
      <c r="AE278" s="51">
        <v>146</v>
      </c>
      <c r="AF278" s="48" t="s">
        <v>203</v>
      </c>
      <c r="AG278" s="38" t="s">
        <v>204</v>
      </c>
      <c r="AH278" s="52"/>
      <c r="AI278" s="38"/>
      <c r="AJ278" s="38"/>
    </row>
    <row r="279" spans="1:36" ht="16.2">
      <c r="A279" s="53" t="s">
        <v>311</v>
      </c>
      <c r="B279" s="53">
        <v>638563</v>
      </c>
      <c r="C279" s="53" t="s">
        <v>1109</v>
      </c>
      <c r="D279" s="53">
        <v>13207619</v>
      </c>
      <c r="E279" s="54" t="s">
        <v>1105</v>
      </c>
      <c r="F279" s="53" t="s">
        <v>1110</v>
      </c>
      <c r="G279" s="53" t="s">
        <v>195</v>
      </c>
      <c r="H279" s="53"/>
      <c r="I279" s="53"/>
      <c r="J279" s="53">
        <v>13207619</v>
      </c>
      <c r="K279" s="53"/>
      <c r="L279" s="55">
        <v>45293</v>
      </c>
      <c r="M279" s="55">
        <v>45293</v>
      </c>
      <c r="N279" s="53" t="s">
        <v>315</v>
      </c>
      <c r="O279" s="53">
        <v>0</v>
      </c>
      <c r="P279" s="53">
        <v>20009908</v>
      </c>
      <c r="Q279" s="53" t="s">
        <v>1111</v>
      </c>
      <c r="R279" s="45">
        <v>410</v>
      </c>
      <c r="S279" s="56">
        <v>0.01</v>
      </c>
      <c r="T279" s="47" t="s">
        <v>198</v>
      </c>
      <c r="U279" s="48" t="s">
        <v>199</v>
      </c>
      <c r="V279" s="38"/>
      <c r="W279" s="48" t="s">
        <v>195</v>
      </c>
      <c r="X279" s="38" t="s">
        <v>308</v>
      </c>
      <c r="Y279" s="49" t="s">
        <v>309</v>
      </c>
      <c r="Z279" s="50" t="s">
        <v>1112</v>
      </c>
      <c r="AA279" s="38"/>
      <c r="AB279" s="38"/>
      <c r="AC279" s="38"/>
      <c r="AD279" s="51">
        <v>57</v>
      </c>
      <c r="AE279" s="51">
        <v>57</v>
      </c>
      <c r="AF279" s="48" t="s">
        <v>203</v>
      </c>
      <c r="AG279" s="38" t="s">
        <v>204</v>
      </c>
      <c r="AH279" s="52"/>
      <c r="AI279" s="38"/>
      <c r="AJ279" s="38"/>
    </row>
    <row r="280" spans="1:36" ht="16.2">
      <c r="A280" s="42" t="s">
        <v>311</v>
      </c>
      <c r="B280" s="42">
        <v>638563</v>
      </c>
      <c r="C280" s="42" t="s">
        <v>1109</v>
      </c>
      <c r="D280" s="42">
        <v>13207619</v>
      </c>
      <c r="E280" s="43" t="s">
        <v>1105</v>
      </c>
      <c r="F280" s="42" t="s">
        <v>1113</v>
      </c>
      <c r="G280" s="42" t="s">
        <v>195</v>
      </c>
      <c r="H280" s="42"/>
      <c r="I280" s="42"/>
      <c r="J280" s="42">
        <v>13207619</v>
      </c>
      <c r="K280" s="42"/>
      <c r="L280" s="44">
        <v>45293</v>
      </c>
      <c r="M280" s="44">
        <v>45293</v>
      </c>
      <c r="N280" s="42" t="s">
        <v>315</v>
      </c>
      <c r="O280" s="42">
        <v>0</v>
      </c>
      <c r="P280" s="42">
        <v>20009908</v>
      </c>
      <c r="Q280" s="42" t="s">
        <v>1114</v>
      </c>
      <c r="R280" s="45">
        <v>410</v>
      </c>
      <c r="S280" s="46">
        <v>0.01</v>
      </c>
      <c r="T280" s="47" t="s">
        <v>198</v>
      </c>
      <c r="U280" s="48" t="s">
        <v>199</v>
      </c>
      <c r="V280" s="38"/>
      <c r="W280" s="48" t="s">
        <v>195</v>
      </c>
      <c r="X280" s="38" t="s">
        <v>308</v>
      </c>
      <c r="Y280" s="49" t="s">
        <v>309</v>
      </c>
      <c r="Z280" s="50" t="s">
        <v>1115</v>
      </c>
      <c r="AA280" s="38"/>
      <c r="AB280" s="38"/>
      <c r="AC280" s="38"/>
      <c r="AD280" s="51">
        <v>57</v>
      </c>
      <c r="AE280" s="51">
        <v>57</v>
      </c>
      <c r="AF280" s="48" t="s">
        <v>203</v>
      </c>
      <c r="AG280" s="38" t="s">
        <v>204</v>
      </c>
      <c r="AH280" s="52"/>
      <c r="AI280" s="38"/>
      <c r="AJ280" s="38"/>
    </row>
    <row r="281" spans="1:36" ht="16.2">
      <c r="A281" s="53" t="s">
        <v>311</v>
      </c>
      <c r="B281" s="53">
        <v>638563</v>
      </c>
      <c r="C281" s="53" t="s">
        <v>1109</v>
      </c>
      <c r="D281" s="53">
        <v>13207619</v>
      </c>
      <c r="E281" s="54" t="s">
        <v>1105</v>
      </c>
      <c r="F281" s="53" t="s">
        <v>1116</v>
      </c>
      <c r="G281" s="53" t="s">
        <v>195</v>
      </c>
      <c r="H281" s="53"/>
      <c r="I281" s="53"/>
      <c r="J281" s="53">
        <v>13207619</v>
      </c>
      <c r="K281" s="53"/>
      <c r="L281" s="55">
        <v>45293</v>
      </c>
      <c r="M281" s="55">
        <v>45293</v>
      </c>
      <c r="N281" s="53" t="s">
        <v>315</v>
      </c>
      <c r="O281" s="53">
        <v>0</v>
      </c>
      <c r="P281" s="53">
        <v>20009908</v>
      </c>
      <c r="Q281" s="53" t="s">
        <v>1117</v>
      </c>
      <c r="R281" s="45">
        <v>410</v>
      </c>
      <c r="S281" s="56">
        <v>0.01</v>
      </c>
      <c r="T281" s="47" t="s">
        <v>198</v>
      </c>
      <c r="U281" s="48" t="s">
        <v>199</v>
      </c>
      <c r="V281" s="38"/>
      <c r="W281" s="48" t="s">
        <v>195</v>
      </c>
      <c r="X281" s="38" t="s">
        <v>308</v>
      </c>
      <c r="Y281" s="49" t="s">
        <v>309</v>
      </c>
      <c r="Z281" s="50" t="s">
        <v>1118</v>
      </c>
      <c r="AA281" s="38"/>
      <c r="AB281" s="38"/>
      <c r="AC281" s="38"/>
      <c r="AD281" s="51">
        <v>57</v>
      </c>
      <c r="AE281" s="51">
        <v>57</v>
      </c>
      <c r="AF281" s="48" t="s">
        <v>203</v>
      </c>
      <c r="AG281" s="38" t="s">
        <v>204</v>
      </c>
      <c r="AH281" s="52"/>
      <c r="AI281" s="38"/>
      <c r="AJ281" s="38"/>
    </row>
    <row r="282" spans="1:36" ht="16.2">
      <c r="A282" s="42" t="s">
        <v>311</v>
      </c>
      <c r="B282" s="42">
        <v>638563</v>
      </c>
      <c r="C282" s="42" t="s">
        <v>1109</v>
      </c>
      <c r="D282" s="42">
        <v>13207619</v>
      </c>
      <c r="E282" s="43" t="s">
        <v>1105</v>
      </c>
      <c r="F282" s="42" t="s">
        <v>1119</v>
      </c>
      <c r="G282" s="42" t="s">
        <v>195</v>
      </c>
      <c r="H282" s="42"/>
      <c r="I282" s="42"/>
      <c r="J282" s="42">
        <v>13207619</v>
      </c>
      <c r="K282" s="42"/>
      <c r="L282" s="44">
        <v>45293</v>
      </c>
      <c r="M282" s="44">
        <v>45293</v>
      </c>
      <c r="N282" s="42" t="s">
        <v>315</v>
      </c>
      <c r="O282" s="42">
        <v>0</v>
      </c>
      <c r="P282" s="42">
        <v>20009908</v>
      </c>
      <c r="Q282" s="42" t="s">
        <v>1120</v>
      </c>
      <c r="R282" s="45">
        <v>410</v>
      </c>
      <c r="S282" s="46">
        <v>0.01</v>
      </c>
      <c r="T282" s="47" t="s">
        <v>198</v>
      </c>
      <c r="U282" s="48" t="s">
        <v>199</v>
      </c>
      <c r="V282" s="38"/>
      <c r="W282" s="48" t="s">
        <v>195</v>
      </c>
      <c r="X282" s="38" t="s">
        <v>308</v>
      </c>
      <c r="Y282" s="49" t="s">
        <v>309</v>
      </c>
      <c r="Z282" s="50" t="s">
        <v>1121</v>
      </c>
      <c r="AA282" s="38"/>
      <c r="AB282" s="38"/>
      <c r="AC282" s="38"/>
      <c r="AD282" s="51">
        <v>57</v>
      </c>
      <c r="AE282" s="51">
        <v>57</v>
      </c>
      <c r="AF282" s="48" t="s">
        <v>203</v>
      </c>
      <c r="AG282" s="38" t="s">
        <v>204</v>
      </c>
      <c r="AH282" s="52"/>
      <c r="AI282" s="38"/>
      <c r="AJ282" s="38"/>
    </row>
    <row r="283" spans="1:36" ht="16.2">
      <c r="A283" s="53" t="s">
        <v>311</v>
      </c>
      <c r="B283" s="53">
        <v>638563</v>
      </c>
      <c r="C283" s="53" t="s">
        <v>1109</v>
      </c>
      <c r="D283" s="53">
        <v>13207619</v>
      </c>
      <c r="E283" s="54" t="s">
        <v>1105</v>
      </c>
      <c r="F283" s="53" t="s">
        <v>1064</v>
      </c>
      <c r="G283" s="53" t="s">
        <v>195</v>
      </c>
      <c r="H283" s="53"/>
      <c r="I283" s="53"/>
      <c r="J283" s="53">
        <v>13207619</v>
      </c>
      <c r="K283" s="53"/>
      <c r="L283" s="55">
        <v>45293</v>
      </c>
      <c r="M283" s="55">
        <v>45293</v>
      </c>
      <c r="N283" s="53" t="s">
        <v>315</v>
      </c>
      <c r="O283" s="53">
        <v>0</v>
      </c>
      <c r="P283" s="53">
        <v>20009908</v>
      </c>
      <c r="Q283" s="53" t="s">
        <v>1122</v>
      </c>
      <c r="R283" s="45">
        <v>410</v>
      </c>
      <c r="S283" s="56">
        <v>0.01</v>
      </c>
      <c r="T283" s="47" t="s">
        <v>198</v>
      </c>
      <c r="U283" s="48" t="s">
        <v>199</v>
      </c>
      <c r="V283" s="38"/>
      <c r="W283" s="48" t="s">
        <v>195</v>
      </c>
      <c r="X283" s="38" t="s">
        <v>308</v>
      </c>
      <c r="Y283" s="49" t="s">
        <v>309</v>
      </c>
      <c r="Z283" s="50" t="s">
        <v>1123</v>
      </c>
      <c r="AA283" s="38"/>
      <c r="AB283" s="38"/>
      <c r="AC283" s="38"/>
      <c r="AD283" s="51">
        <v>57</v>
      </c>
      <c r="AE283" s="51">
        <v>57</v>
      </c>
      <c r="AF283" s="48" t="s">
        <v>203</v>
      </c>
      <c r="AG283" s="38" t="s">
        <v>204</v>
      </c>
      <c r="AH283" s="52"/>
      <c r="AI283" s="38"/>
      <c r="AJ283" s="38"/>
    </row>
    <row r="284" spans="1:36" ht="16.2">
      <c r="A284" s="42" t="s">
        <v>311</v>
      </c>
      <c r="B284" s="42">
        <v>638563</v>
      </c>
      <c r="C284" s="42" t="s">
        <v>1109</v>
      </c>
      <c r="D284" s="42">
        <v>13207619</v>
      </c>
      <c r="E284" s="43" t="s">
        <v>1105</v>
      </c>
      <c r="F284" s="42" t="s">
        <v>1124</v>
      </c>
      <c r="G284" s="42" t="s">
        <v>195</v>
      </c>
      <c r="H284" s="42"/>
      <c r="I284" s="42"/>
      <c r="J284" s="42">
        <v>13207619</v>
      </c>
      <c r="K284" s="42"/>
      <c r="L284" s="44">
        <v>45293</v>
      </c>
      <c r="M284" s="44">
        <v>45293</v>
      </c>
      <c r="N284" s="42" t="s">
        <v>315</v>
      </c>
      <c r="O284" s="42">
        <v>0</v>
      </c>
      <c r="P284" s="42">
        <v>20009908</v>
      </c>
      <c r="Q284" s="42" t="s">
        <v>1125</v>
      </c>
      <c r="R284" s="45">
        <v>410</v>
      </c>
      <c r="S284" s="46">
        <v>0.01</v>
      </c>
      <c r="T284" s="47" t="s">
        <v>198</v>
      </c>
      <c r="U284" s="48" t="s">
        <v>199</v>
      </c>
      <c r="V284" s="38"/>
      <c r="W284" s="48" t="s">
        <v>195</v>
      </c>
      <c r="X284" s="38" t="s">
        <v>308</v>
      </c>
      <c r="Y284" s="49" t="s">
        <v>309</v>
      </c>
      <c r="Z284" s="50" t="s">
        <v>1126</v>
      </c>
      <c r="AA284" s="38"/>
      <c r="AB284" s="38"/>
      <c r="AC284" s="38"/>
      <c r="AD284" s="51">
        <v>57</v>
      </c>
      <c r="AE284" s="51">
        <v>57</v>
      </c>
      <c r="AF284" s="48" t="s">
        <v>203</v>
      </c>
      <c r="AG284" s="38" t="s">
        <v>204</v>
      </c>
      <c r="AH284" s="52"/>
      <c r="AI284" s="38"/>
      <c r="AJ284" s="38"/>
    </row>
    <row r="285" spans="1:36" ht="16.2">
      <c r="A285" s="53" t="s">
        <v>311</v>
      </c>
      <c r="B285" s="53">
        <v>638563</v>
      </c>
      <c r="C285" s="53" t="s">
        <v>1109</v>
      </c>
      <c r="D285" s="53">
        <v>13207619</v>
      </c>
      <c r="E285" s="54" t="s">
        <v>1105</v>
      </c>
      <c r="F285" s="53" t="s">
        <v>1127</v>
      </c>
      <c r="G285" s="53" t="s">
        <v>195</v>
      </c>
      <c r="H285" s="53"/>
      <c r="I285" s="53"/>
      <c r="J285" s="53">
        <v>13207619</v>
      </c>
      <c r="K285" s="53"/>
      <c r="L285" s="55">
        <v>45293</v>
      </c>
      <c r="M285" s="55">
        <v>45293</v>
      </c>
      <c r="N285" s="53" t="s">
        <v>315</v>
      </c>
      <c r="O285" s="53">
        <v>0</v>
      </c>
      <c r="P285" s="53">
        <v>20009908</v>
      </c>
      <c r="Q285" s="53" t="s">
        <v>1128</v>
      </c>
      <c r="R285" s="45">
        <v>410</v>
      </c>
      <c r="S285" s="56">
        <v>0.01</v>
      </c>
      <c r="T285" s="47" t="s">
        <v>198</v>
      </c>
      <c r="U285" s="48" t="s">
        <v>199</v>
      </c>
      <c r="V285" s="38"/>
      <c r="W285" s="48" t="s">
        <v>195</v>
      </c>
      <c r="X285" s="38" t="s">
        <v>308</v>
      </c>
      <c r="Y285" s="49" t="s">
        <v>309</v>
      </c>
      <c r="Z285" s="50" t="s">
        <v>1129</v>
      </c>
      <c r="AA285" s="38"/>
      <c r="AB285" s="38"/>
      <c r="AC285" s="38"/>
      <c r="AD285" s="51">
        <v>57</v>
      </c>
      <c r="AE285" s="51">
        <v>57</v>
      </c>
      <c r="AF285" s="48" t="s">
        <v>203</v>
      </c>
      <c r="AG285" s="38" t="s">
        <v>204</v>
      </c>
      <c r="AH285" s="52"/>
      <c r="AI285" s="38"/>
      <c r="AJ285" s="38"/>
    </row>
    <row r="286" spans="1:36" ht="16.2">
      <c r="A286" s="42" t="s">
        <v>311</v>
      </c>
      <c r="B286" s="42">
        <v>638563</v>
      </c>
      <c r="C286" s="42" t="s">
        <v>1109</v>
      </c>
      <c r="D286" s="42">
        <v>13207619</v>
      </c>
      <c r="E286" s="43" t="s">
        <v>1105</v>
      </c>
      <c r="F286" s="42" t="s">
        <v>677</v>
      </c>
      <c r="G286" s="42" t="s">
        <v>195</v>
      </c>
      <c r="H286" s="42"/>
      <c r="I286" s="42"/>
      <c r="J286" s="42">
        <v>13207619</v>
      </c>
      <c r="K286" s="42"/>
      <c r="L286" s="44">
        <v>45293</v>
      </c>
      <c r="M286" s="44">
        <v>45293</v>
      </c>
      <c r="N286" s="42" t="s">
        <v>315</v>
      </c>
      <c r="O286" s="42">
        <v>0</v>
      </c>
      <c r="P286" s="42">
        <v>20009908</v>
      </c>
      <c r="Q286" s="42" t="s">
        <v>1130</v>
      </c>
      <c r="R286" s="45">
        <v>410</v>
      </c>
      <c r="S286" s="46">
        <v>0.01</v>
      </c>
      <c r="T286" s="47" t="s">
        <v>198</v>
      </c>
      <c r="U286" s="48" t="s">
        <v>199</v>
      </c>
      <c r="V286" s="38"/>
      <c r="W286" s="48" t="s">
        <v>195</v>
      </c>
      <c r="X286" s="38" t="s">
        <v>308</v>
      </c>
      <c r="Y286" s="49" t="s">
        <v>309</v>
      </c>
      <c r="Z286" s="50" t="s">
        <v>1131</v>
      </c>
      <c r="AA286" s="38"/>
      <c r="AB286" s="38"/>
      <c r="AC286" s="38"/>
      <c r="AD286" s="51">
        <v>57</v>
      </c>
      <c r="AE286" s="51">
        <v>57</v>
      </c>
      <c r="AF286" s="48" t="s">
        <v>203</v>
      </c>
      <c r="AG286" s="38" t="s">
        <v>204</v>
      </c>
      <c r="AH286" s="52"/>
      <c r="AI286" s="38"/>
      <c r="AJ286" s="38"/>
    </row>
    <row r="287" spans="1:36" ht="16.2">
      <c r="A287" s="53" t="s">
        <v>311</v>
      </c>
      <c r="B287" s="53">
        <v>638563</v>
      </c>
      <c r="C287" s="53" t="s">
        <v>1109</v>
      </c>
      <c r="D287" s="53">
        <v>13207619</v>
      </c>
      <c r="E287" s="54" t="s">
        <v>1105</v>
      </c>
      <c r="F287" s="53" t="s">
        <v>1132</v>
      </c>
      <c r="G287" s="53" t="s">
        <v>195</v>
      </c>
      <c r="H287" s="53"/>
      <c r="I287" s="53"/>
      <c r="J287" s="53">
        <v>13207619</v>
      </c>
      <c r="K287" s="53"/>
      <c r="L287" s="55">
        <v>45293</v>
      </c>
      <c r="M287" s="55">
        <v>45293</v>
      </c>
      <c r="N287" s="53" t="s">
        <v>315</v>
      </c>
      <c r="O287" s="53">
        <v>0</v>
      </c>
      <c r="P287" s="53">
        <v>20009908</v>
      </c>
      <c r="Q287" s="53" t="s">
        <v>1133</v>
      </c>
      <c r="R287" s="45">
        <v>410</v>
      </c>
      <c r="S287" s="56">
        <v>0.01</v>
      </c>
      <c r="T287" s="47" t="s">
        <v>198</v>
      </c>
      <c r="U287" s="48" t="s">
        <v>199</v>
      </c>
      <c r="V287" s="38"/>
      <c r="W287" s="48" t="s">
        <v>195</v>
      </c>
      <c r="X287" s="38" t="s">
        <v>308</v>
      </c>
      <c r="Y287" s="49" t="s">
        <v>309</v>
      </c>
      <c r="Z287" s="50" t="s">
        <v>1134</v>
      </c>
      <c r="AA287" s="38"/>
      <c r="AB287" s="38"/>
      <c r="AC287" s="38"/>
      <c r="AD287" s="51">
        <v>57</v>
      </c>
      <c r="AE287" s="51">
        <v>57</v>
      </c>
      <c r="AF287" s="48" t="s">
        <v>203</v>
      </c>
      <c r="AG287" s="38" t="s">
        <v>204</v>
      </c>
      <c r="AH287" s="52"/>
      <c r="AI287" s="38"/>
      <c r="AJ287" s="38"/>
    </row>
    <row r="288" spans="1:36" ht="16.2">
      <c r="A288" s="42" t="s">
        <v>311</v>
      </c>
      <c r="B288" s="42">
        <v>638563</v>
      </c>
      <c r="C288" s="42" t="s">
        <v>1109</v>
      </c>
      <c r="D288" s="42">
        <v>13207619</v>
      </c>
      <c r="E288" s="43" t="s">
        <v>1105</v>
      </c>
      <c r="F288" s="42" t="s">
        <v>1135</v>
      </c>
      <c r="G288" s="42" t="s">
        <v>195</v>
      </c>
      <c r="H288" s="42"/>
      <c r="I288" s="42"/>
      <c r="J288" s="42">
        <v>13207619</v>
      </c>
      <c r="K288" s="42"/>
      <c r="L288" s="44">
        <v>45293</v>
      </c>
      <c r="M288" s="44">
        <v>45293</v>
      </c>
      <c r="N288" s="42" t="s">
        <v>315</v>
      </c>
      <c r="O288" s="42">
        <v>0</v>
      </c>
      <c r="P288" s="42">
        <v>20009908</v>
      </c>
      <c r="Q288" s="42" t="s">
        <v>1136</v>
      </c>
      <c r="R288" s="45">
        <v>410</v>
      </c>
      <c r="S288" s="42">
        <v>0</v>
      </c>
      <c r="T288" s="47" t="s">
        <v>198</v>
      </c>
      <c r="U288" s="48" t="s">
        <v>199</v>
      </c>
      <c r="V288" s="38"/>
      <c r="W288" s="48" t="s">
        <v>195</v>
      </c>
      <c r="X288" s="38" t="s">
        <v>308</v>
      </c>
      <c r="Y288" s="49" t="s">
        <v>309</v>
      </c>
      <c r="Z288" s="50" t="s">
        <v>1137</v>
      </c>
      <c r="AA288" s="38"/>
      <c r="AB288" s="38"/>
      <c r="AC288" s="38"/>
      <c r="AD288" s="51">
        <v>57</v>
      </c>
      <c r="AE288" s="51">
        <v>57</v>
      </c>
      <c r="AF288" s="48" t="s">
        <v>203</v>
      </c>
      <c r="AG288" s="38" t="s">
        <v>204</v>
      </c>
      <c r="AH288" s="52"/>
      <c r="AI288" s="38"/>
      <c r="AJ288" s="38"/>
    </row>
    <row r="289" spans="1:36" ht="16.2">
      <c r="A289" s="53" t="s">
        <v>311</v>
      </c>
      <c r="B289" s="53">
        <v>638563</v>
      </c>
      <c r="C289" s="53" t="s">
        <v>1109</v>
      </c>
      <c r="D289" s="53">
        <v>13207619</v>
      </c>
      <c r="E289" s="54" t="s">
        <v>1105</v>
      </c>
      <c r="F289" s="53" t="s">
        <v>1138</v>
      </c>
      <c r="G289" s="53" t="s">
        <v>195</v>
      </c>
      <c r="H289" s="53"/>
      <c r="I289" s="53"/>
      <c r="J289" s="53">
        <v>13207619</v>
      </c>
      <c r="K289" s="53"/>
      <c r="L289" s="55">
        <v>45293</v>
      </c>
      <c r="M289" s="55">
        <v>45293</v>
      </c>
      <c r="N289" s="53" t="s">
        <v>315</v>
      </c>
      <c r="O289" s="53">
        <v>0</v>
      </c>
      <c r="P289" s="53">
        <v>20009908</v>
      </c>
      <c r="Q289" s="53" t="s">
        <v>1139</v>
      </c>
      <c r="R289" s="45">
        <v>410</v>
      </c>
      <c r="S289" s="53">
        <v>0</v>
      </c>
      <c r="T289" s="47" t="s">
        <v>198</v>
      </c>
      <c r="U289" s="48" t="s">
        <v>199</v>
      </c>
      <c r="V289" s="38"/>
      <c r="W289" s="48" t="s">
        <v>195</v>
      </c>
      <c r="X289" s="38" t="s">
        <v>308</v>
      </c>
      <c r="Y289" s="49" t="s">
        <v>309</v>
      </c>
      <c r="Z289" s="50" t="s">
        <v>1140</v>
      </c>
      <c r="AA289" s="38"/>
      <c r="AB289" s="38"/>
      <c r="AC289" s="38"/>
      <c r="AD289" s="51">
        <v>57</v>
      </c>
      <c r="AE289" s="51">
        <v>57</v>
      </c>
      <c r="AF289" s="48" t="s">
        <v>203</v>
      </c>
      <c r="AG289" s="38" t="s">
        <v>204</v>
      </c>
      <c r="AH289" s="52"/>
      <c r="AI289" s="38"/>
      <c r="AJ289" s="38"/>
    </row>
    <row r="290" spans="1:36" ht="16.2">
      <c r="A290" s="42" t="s">
        <v>311</v>
      </c>
      <c r="B290" s="42">
        <v>638563</v>
      </c>
      <c r="C290" s="42" t="s">
        <v>1109</v>
      </c>
      <c r="D290" s="42">
        <v>13207619</v>
      </c>
      <c r="E290" s="43" t="s">
        <v>1105</v>
      </c>
      <c r="F290" s="42" t="s">
        <v>756</v>
      </c>
      <c r="G290" s="42" t="s">
        <v>195</v>
      </c>
      <c r="H290" s="42"/>
      <c r="I290" s="42"/>
      <c r="J290" s="42">
        <v>13207619</v>
      </c>
      <c r="K290" s="42"/>
      <c r="L290" s="44">
        <v>45293</v>
      </c>
      <c r="M290" s="44">
        <v>45293</v>
      </c>
      <c r="N290" s="42" t="s">
        <v>315</v>
      </c>
      <c r="O290" s="42">
        <v>0</v>
      </c>
      <c r="P290" s="42">
        <v>20009908</v>
      </c>
      <c r="Q290" s="42" t="s">
        <v>1141</v>
      </c>
      <c r="R290" s="45">
        <v>410</v>
      </c>
      <c r="S290" s="42">
        <v>0</v>
      </c>
      <c r="T290" s="47" t="s">
        <v>198</v>
      </c>
      <c r="U290" s="48" t="s">
        <v>199</v>
      </c>
      <c r="V290" s="38"/>
      <c r="W290" s="48" t="s">
        <v>195</v>
      </c>
      <c r="X290" s="38" t="s">
        <v>308</v>
      </c>
      <c r="Y290" s="49" t="s">
        <v>309</v>
      </c>
      <c r="Z290" s="50" t="s">
        <v>1142</v>
      </c>
      <c r="AA290" s="38"/>
      <c r="AB290" s="38"/>
      <c r="AC290" s="38"/>
      <c r="AD290" s="51">
        <v>57</v>
      </c>
      <c r="AE290" s="51">
        <v>57</v>
      </c>
      <c r="AF290" s="48" t="s">
        <v>203</v>
      </c>
      <c r="AG290" s="38" t="s">
        <v>204</v>
      </c>
      <c r="AH290" s="52"/>
      <c r="AI290" s="38"/>
      <c r="AJ290" s="38"/>
    </row>
    <row r="291" spans="1:36" ht="16.2">
      <c r="A291" s="53" t="s">
        <v>311</v>
      </c>
      <c r="B291" s="53">
        <v>638563</v>
      </c>
      <c r="C291" s="53" t="s">
        <v>1109</v>
      </c>
      <c r="D291" s="53">
        <v>13207619</v>
      </c>
      <c r="E291" s="54" t="s">
        <v>1105</v>
      </c>
      <c r="F291" s="53" t="s">
        <v>1143</v>
      </c>
      <c r="G291" s="53" t="s">
        <v>195</v>
      </c>
      <c r="H291" s="53"/>
      <c r="I291" s="53"/>
      <c r="J291" s="53">
        <v>13207619</v>
      </c>
      <c r="K291" s="53"/>
      <c r="L291" s="55">
        <v>45293</v>
      </c>
      <c r="M291" s="55">
        <v>45293</v>
      </c>
      <c r="N291" s="53" t="s">
        <v>315</v>
      </c>
      <c r="O291" s="53">
        <v>0</v>
      </c>
      <c r="P291" s="53">
        <v>20009908</v>
      </c>
      <c r="Q291" s="53" t="s">
        <v>1144</v>
      </c>
      <c r="R291" s="45">
        <v>410</v>
      </c>
      <c r="S291" s="53">
        <v>0</v>
      </c>
      <c r="T291" s="47" t="s">
        <v>198</v>
      </c>
      <c r="U291" s="48" t="s">
        <v>199</v>
      </c>
      <c r="V291" s="38"/>
      <c r="W291" s="48" t="s">
        <v>195</v>
      </c>
      <c r="X291" s="38" t="s">
        <v>308</v>
      </c>
      <c r="Y291" s="49" t="s">
        <v>309</v>
      </c>
      <c r="Z291" s="50" t="s">
        <v>1145</v>
      </c>
      <c r="AA291" s="38"/>
      <c r="AB291" s="38"/>
      <c r="AC291" s="38"/>
      <c r="AD291" s="51">
        <v>57</v>
      </c>
      <c r="AE291" s="51">
        <v>57</v>
      </c>
      <c r="AF291" s="48" t="s">
        <v>203</v>
      </c>
      <c r="AG291" s="38" t="s">
        <v>204</v>
      </c>
      <c r="AH291" s="52"/>
      <c r="AI291" s="38"/>
      <c r="AJ291" s="38"/>
    </row>
    <row r="292" spans="1:36" ht="16.2">
      <c r="A292" s="42" t="s">
        <v>311</v>
      </c>
      <c r="B292" s="42">
        <v>638563</v>
      </c>
      <c r="C292" s="42" t="s">
        <v>1109</v>
      </c>
      <c r="D292" s="42">
        <v>13207619</v>
      </c>
      <c r="E292" s="43" t="s">
        <v>1105</v>
      </c>
      <c r="F292" s="42" t="s">
        <v>1146</v>
      </c>
      <c r="G292" s="42" t="s">
        <v>195</v>
      </c>
      <c r="H292" s="42"/>
      <c r="I292" s="42"/>
      <c r="J292" s="42">
        <v>13207619</v>
      </c>
      <c r="K292" s="42"/>
      <c r="L292" s="44">
        <v>45293</v>
      </c>
      <c r="M292" s="44">
        <v>45293</v>
      </c>
      <c r="N292" s="42" t="s">
        <v>315</v>
      </c>
      <c r="O292" s="42">
        <v>0</v>
      </c>
      <c r="P292" s="42">
        <v>20009908</v>
      </c>
      <c r="Q292" s="42" t="s">
        <v>1147</v>
      </c>
      <c r="R292" s="45">
        <v>410</v>
      </c>
      <c r="S292" s="42">
        <v>0</v>
      </c>
      <c r="T292" s="47" t="s">
        <v>198</v>
      </c>
      <c r="U292" s="48" t="s">
        <v>199</v>
      </c>
      <c r="V292" s="38"/>
      <c r="W292" s="48" t="s">
        <v>195</v>
      </c>
      <c r="X292" s="38" t="s">
        <v>308</v>
      </c>
      <c r="Y292" s="49" t="s">
        <v>309</v>
      </c>
      <c r="Z292" s="50" t="s">
        <v>1148</v>
      </c>
      <c r="AA292" s="38"/>
      <c r="AB292" s="38"/>
      <c r="AC292" s="38"/>
      <c r="AD292" s="51">
        <v>57</v>
      </c>
      <c r="AE292" s="51">
        <v>57</v>
      </c>
      <c r="AF292" s="48" t="s">
        <v>203</v>
      </c>
      <c r="AG292" s="38" t="s">
        <v>204</v>
      </c>
      <c r="AH292" s="52"/>
      <c r="AI292" s="38"/>
      <c r="AJ292" s="38"/>
    </row>
    <row r="293" spans="1:36" ht="16.2">
      <c r="A293" s="53" t="s">
        <v>857</v>
      </c>
      <c r="B293" s="53">
        <v>669450</v>
      </c>
      <c r="C293" s="53" t="s">
        <v>1149</v>
      </c>
      <c r="D293" s="53">
        <v>13207689</v>
      </c>
      <c r="E293" s="54" t="s">
        <v>1150</v>
      </c>
      <c r="F293" s="53" t="s">
        <v>1151</v>
      </c>
      <c r="G293" s="53" t="s">
        <v>195</v>
      </c>
      <c r="H293" s="53"/>
      <c r="I293" s="53"/>
      <c r="J293" s="53">
        <v>13207689</v>
      </c>
      <c r="K293" s="53"/>
      <c r="L293" s="55">
        <v>45293</v>
      </c>
      <c r="M293" s="55">
        <v>45293</v>
      </c>
      <c r="N293" s="53" t="s">
        <v>1152</v>
      </c>
      <c r="O293" s="53">
        <v>0</v>
      </c>
      <c r="P293" s="53">
        <v>20010206</v>
      </c>
      <c r="Q293" s="53" t="s">
        <v>1153</v>
      </c>
      <c r="R293" s="45">
        <v>410</v>
      </c>
      <c r="S293" s="53">
        <v>0</v>
      </c>
      <c r="T293" s="47" t="s">
        <v>198</v>
      </c>
      <c r="U293" s="48" t="s">
        <v>199</v>
      </c>
      <c r="V293" s="38"/>
      <c r="W293" s="48" t="s">
        <v>195</v>
      </c>
      <c r="X293" s="38" t="s">
        <v>426</v>
      </c>
      <c r="Y293" s="49" t="s">
        <v>427</v>
      </c>
      <c r="Z293" s="50" t="s">
        <v>1154</v>
      </c>
      <c r="AA293" s="38"/>
      <c r="AB293" s="38"/>
      <c r="AC293" s="38"/>
      <c r="AD293" s="51">
        <v>38</v>
      </c>
      <c r="AE293" s="51">
        <v>38</v>
      </c>
      <c r="AF293" s="48" t="s">
        <v>203</v>
      </c>
      <c r="AG293" s="38" t="s">
        <v>204</v>
      </c>
      <c r="AH293" s="52"/>
      <c r="AI293" s="38"/>
      <c r="AJ293" s="38"/>
    </row>
    <row r="294" spans="1:36" ht="16.2">
      <c r="A294" s="42" t="s">
        <v>857</v>
      </c>
      <c r="B294" s="42">
        <v>669450</v>
      </c>
      <c r="C294" s="42" t="s">
        <v>1149</v>
      </c>
      <c r="D294" s="42">
        <v>13207689</v>
      </c>
      <c r="E294" s="43" t="s">
        <v>1150</v>
      </c>
      <c r="F294" s="42" t="s">
        <v>1155</v>
      </c>
      <c r="G294" s="42" t="s">
        <v>195</v>
      </c>
      <c r="H294" s="42"/>
      <c r="I294" s="42"/>
      <c r="J294" s="42">
        <v>13207689</v>
      </c>
      <c r="K294" s="42"/>
      <c r="L294" s="44">
        <v>45293</v>
      </c>
      <c r="M294" s="44">
        <v>45293</v>
      </c>
      <c r="N294" s="42" t="s">
        <v>1152</v>
      </c>
      <c r="O294" s="42">
        <v>0</v>
      </c>
      <c r="P294" s="42">
        <v>20010206</v>
      </c>
      <c r="Q294" s="42" t="s">
        <v>1156</v>
      </c>
      <c r="R294" s="45">
        <v>410</v>
      </c>
      <c r="S294" s="42">
        <v>0</v>
      </c>
      <c r="T294" s="47" t="s">
        <v>198</v>
      </c>
      <c r="U294" s="48" t="s">
        <v>199</v>
      </c>
      <c r="V294" s="38"/>
      <c r="W294" s="48" t="s">
        <v>195</v>
      </c>
      <c r="X294" s="38" t="s">
        <v>426</v>
      </c>
      <c r="Y294" s="49" t="s">
        <v>427</v>
      </c>
      <c r="Z294" s="50" t="s">
        <v>1157</v>
      </c>
      <c r="AA294" s="38"/>
      <c r="AB294" s="38"/>
      <c r="AC294" s="38"/>
      <c r="AD294" s="51">
        <v>38</v>
      </c>
      <c r="AE294" s="51">
        <v>38</v>
      </c>
      <c r="AF294" s="48" t="s">
        <v>203</v>
      </c>
      <c r="AG294" s="38" t="s">
        <v>204</v>
      </c>
      <c r="AH294" s="52"/>
      <c r="AI294" s="38"/>
      <c r="AJ294" s="38"/>
    </row>
    <row r="295" spans="1:36" ht="16.2">
      <c r="A295" s="53" t="s">
        <v>857</v>
      </c>
      <c r="B295" s="53">
        <v>669450</v>
      </c>
      <c r="C295" s="53" t="s">
        <v>1149</v>
      </c>
      <c r="D295" s="53">
        <v>13207689</v>
      </c>
      <c r="E295" s="54" t="s">
        <v>1150</v>
      </c>
      <c r="F295" s="53" t="s">
        <v>1158</v>
      </c>
      <c r="G295" s="53" t="s">
        <v>195</v>
      </c>
      <c r="H295" s="53"/>
      <c r="I295" s="53"/>
      <c r="J295" s="53">
        <v>13207689</v>
      </c>
      <c r="K295" s="53"/>
      <c r="L295" s="55">
        <v>45293</v>
      </c>
      <c r="M295" s="55">
        <v>45293</v>
      </c>
      <c r="N295" s="53" t="s">
        <v>1152</v>
      </c>
      <c r="O295" s="53">
        <v>0</v>
      </c>
      <c r="P295" s="53">
        <v>20010206</v>
      </c>
      <c r="Q295" s="53" t="s">
        <v>1159</v>
      </c>
      <c r="R295" s="45">
        <v>410</v>
      </c>
      <c r="S295" s="53">
        <v>0</v>
      </c>
      <c r="T295" s="47" t="s">
        <v>198</v>
      </c>
      <c r="U295" s="48" t="s">
        <v>199</v>
      </c>
      <c r="V295" s="38"/>
      <c r="W295" s="48" t="s">
        <v>195</v>
      </c>
      <c r="X295" s="38" t="s">
        <v>426</v>
      </c>
      <c r="Y295" s="49" t="s">
        <v>427</v>
      </c>
      <c r="Z295" s="50" t="s">
        <v>1160</v>
      </c>
      <c r="AA295" s="38"/>
      <c r="AB295" s="38"/>
      <c r="AC295" s="38"/>
      <c r="AD295" s="51">
        <v>38</v>
      </c>
      <c r="AE295" s="51">
        <v>38</v>
      </c>
      <c r="AF295" s="48" t="s">
        <v>203</v>
      </c>
      <c r="AG295" s="38" t="s">
        <v>204</v>
      </c>
      <c r="AH295" s="52"/>
      <c r="AI295" s="38"/>
      <c r="AJ295" s="38"/>
    </row>
    <row r="296" spans="1:36" ht="16.2">
      <c r="A296" s="42" t="s">
        <v>857</v>
      </c>
      <c r="B296" s="42">
        <v>669450</v>
      </c>
      <c r="C296" s="42" t="s">
        <v>1149</v>
      </c>
      <c r="D296" s="42">
        <v>13207689</v>
      </c>
      <c r="E296" s="43" t="s">
        <v>1150</v>
      </c>
      <c r="F296" s="42" t="s">
        <v>1161</v>
      </c>
      <c r="G296" s="42" t="s">
        <v>195</v>
      </c>
      <c r="H296" s="42"/>
      <c r="I296" s="42"/>
      <c r="J296" s="42">
        <v>13207689</v>
      </c>
      <c r="K296" s="42"/>
      <c r="L296" s="44">
        <v>45293</v>
      </c>
      <c r="M296" s="44">
        <v>45293</v>
      </c>
      <c r="N296" s="42" t="s">
        <v>1152</v>
      </c>
      <c r="O296" s="42">
        <v>0</v>
      </c>
      <c r="P296" s="42">
        <v>20010206</v>
      </c>
      <c r="Q296" s="42" t="s">
        <v>1162</v>
      </c>
      <c r="R296" s="45">
        <v>410</v>
      </c>
      <c r="S296" s="42">
        <v>0</v>
      </c>
      <c r="T296" s="47" t="s">
        <v>198</v>
      </c>
      <c r="U296" s="48" t="s">
        <v>199</v>
      </c>
      <c r="V296" s="38"/>
      <c r="W296" s="48" t="s">
        <v>195</v>
      </c>
      <c r="X296" s="38" t="s">
        <v>426</v>
      </c>
      <c r="Y296" s="49" t="s">
        <v>427</v>
      </c>
      <c r="Z296" s="50" t="s">
        <v>1163</v>
      </c>
      <c r="AA296" s="38"/>
      <c r="AB296" s="38"/>
      <c r="AC296" s="38"/>
      <c r="AD296" s="51">
        <v>38</v>
      </c>
      <c r="AE296" s="51">
        <v>38</v>
      </c>
      <c r="AF296" s="48" t="s">
        <v>203</v>
      </c>
      <c r="AG296" s="38" t="s">
        <v>204</v>
      </c>
      <c r="AH296" s="52"/>
      <c r="AI296" s="38"/>
      <c r="AJ296" s="38"/>
    </row>
    <row r="297" spans="1:36" ht="16.2">
      <c r="A297" s="53" t="s">
        <v>857</v>
      </c>
      <c r="B297" s="53">
        <v>669450</v>
      </c>
      <c r="C297" s="53" t="s">
        <v>1149</v>
      </c>
      <c r="D297" s="53">
        <v>13207689</v>
      </c>
      <c r="E297" s="54" t="s">
        <v>1150</v>
      </c>
      <c r="F297" s="53" t="s">
        <v>1164</v>
      </c>
      <c r="G297" s="53" t="s">
        <v>195</v>
      </c>
      <c r="H297" s="53"/>
      <c r="I297" s="53"/>
      <c r="J297" s="53">
        <v>13207689</v>
      </c>
      <c r="K297" s="53"/>
      <c r="L297" s="55">
        <v>45293</v>
      </c>
      <c r="M297" s="55">
        <v>45293</v>
      </c>
      <c r="N297" s="53" t="s">
        <v>1152</v>
      </c>
      <c r="O297" s="53">
        <v>0</v>
      </c>
      <c r="P297" s="53">
        <v>20010206</v>
      </c>
      <c r="Q297" s="53" t="s">
        <v>1165</v>
      </c>
      <c r="R297" s="45">
        <v>410</v>
      </c>
      <c r="S297" s="53">
        <v>0</v>
      </c>
      <c r="T297" s="47" t="s">
        <v>198</v>
      </c>
      <c r="U297" s="48" t="s">
        <v>199</v>
      </c>
      <c r="V297" s="38"/>
      <c r="W297" s="48" t="s">
        <v>195</v>
      </c>
      <c r="X297" s="38" t="s">
        <v>426</v>
      </c>
      <c r="Y297" s="49" t="s">
        <v>427</v>
      </c>
      <c r="Z297" s="50" t="s">
        <v>1166</v>
      </c>
      <c r="AA297" s="38"/>
      <c r="AB297" s="38"/>
      <c r="AC297" s="38"/>
      <c r="AD297" s="51">
        <v>38</v>
      </c>
      <c r="AE297" s="51">
        <v>38</v>
      </c>
      <c r="AF297" s="48" t="s">
        <v>203</v>
      </c>
      <c r="AG297" s="38" t="s">
        <v>204</v>
      </c>
      <c r="AH297" s="52"/>
      <c r="AI297" s="38"/>
      <c r="AJ297" s="38"/>
    </row>
    <row r="298" spans="1:36" ht="16.2">
      <c r="A298" s="42" t="s">
        <v>857</v>
      </c>
      <c r="B298" s="42">
        <v>669450</v>
      </c>
      <c r="C298" s="42" t="s">
        <v>1149</v>
      </c>
      <c r="D298" s="42">
        <v>13207689</v>
      </c>
      <c r="E298" s="43" t="s">
        <v>1150</v>
      </c>
      <c r="F298" s="42" t="s">
        <v>1167</v>
      </c>
      <c r="G298" s="42" t="s">
        <v>195</v>
      </c>
      <c r="H298" s="42"/>
      <c r="I298" s="42"/>
      <c r="J298" s="42">
        <v>13207689</v>
      </c>
      <c r="K298" s="42"/>
      <c r="L298" s="44">
        <v>45293</v>
      </c>
      <c r="M298" s="44">
        <v>45293</v>
      </c>
      <c r="N298" s="42" t="s">
        <v>1152</v>
      </c>
      <c r="O298" s="42">
        <v>0</v>
      </c>
      <c r="P298" s="42">
        <v>20010206</v>
      </c>
      <c r="Q298" s="42" t="s">
        <v>1168</v>
      </c>
      <c r="R298" s="45">
        <v>410</v>
      </c>
      <c r="S298" s="42">
        <v>0</v>
      </c>
      <c r="T298" s="47" t="s">
        <v>198</v>
      </c>
      <c r="U298" s="48" t="s">
        <v>199</v>
      </c>
      <c r="V298" s="38"/>
      <c r="W298" s="48" t="s">
        <v>195</v>
      </c>
      <c r="X298" s="38" t="s">
        <v>426</v>
      </c>
      <c r="Y298" s="49" t="s">
        <v>427</v>
      </c>
      <c r="Z298" s="50" t="s">
        <v>1169</v>
      </c>
      <c r="AA298" s="38"/>
      <c r="AB298" s="38"/>
      <c r="AC298" s="38"/>
      <c r="AD298" s="51">
        <v>38</v>
      </c>
      <c r="AE298" s="51">
        <v>38</v>
      </c>
      <c r="AF298" s="48" t="s">
        <v>203</v>
      </c>
      <c r="AG298" s="38" t="s">
        <v>204</v>
      </c>
      <c r="AH298" s="52"/>
      <c r="AI298" s="38"/>
      <c r="AJ298" s="38"/>
    </row>
    <row r="299" spans="1:36" ht="16.2">
      <c r="A299" s="53" t="s">
        <v>857</v>
      </c>
      <c r="B299" s="53">
        <v>669450</v>
      </c>
      <c r="C299" s="53" t="s">
        <v>1149</v>
      </c>
      <c r="D299" s="53">
        <v>13207689</v>
      </c>
      <c r="E299" s="54" t="s">
        <v>1150</v>
      </c>
      <c r="F299" s="53" t="s">
        <v>1170</v>
      </c>
      <c r="G299" s="53" t="s">
        <v>195</v>
      </c>
      <c r="H299" s="53"/>
      <c r="I299" s="53"/>
      <c r="J299" s="53">
        <v>13207689</v>
      </c>
      <c r="K299" s="53"/>
      <c r="L299" s="55">
        <v>45293</v>
      </c>
      <c r="M299" s="55">
        <v>45293</v>
      </c>
      <c r="N299" s="53" t="s">
        <v>1152</v>
      </c>
      <c r="O299" s="53">
        <v>0</v>
      </c>
      <c r="P299" s="53">
        <v>20010206</v>
      </c>
      <c r="Q299" s="53" t="s">
        <v>1171</v>
      </c>
      <c r="R299" s="45">
        <v>410</v>
      </c>
      <c r="S299" s="53">
        <v>0</v>
      </c>
      <c r="T299" s="47" t="s">
        <v>198</v>
      </c>
      <c r="U299" s="48" t="s">
        <v>199</v>
      </c>
      <c r="V299" s="38"/>
      <c r="W299" s="48" t="s">
        <v>195</v>
      </c>
      <c r="X299" s="38" t="s">
        <v>426</v>
      </c>
      <c r="Y299" s="49" t="s">
        <v>427</v>
      </c>
      <c r="Z299" s="50" t="s">
        <v>1172</v>
      </c>
      <c r="AA299" s="38"/>
      <c r="AB299" s="38"/>
      <c r="AC299" s="38"/>
      <c r="AD299" s="51">
        <v>38</v>
      </c>
      <c r="AE299" s="51">
        <v>38</v>
      </c>
      <c r="AF299" s="48" t="s">
        <v>203</v>
      </c>
      <c r="AG299" s="38" t="s">
        <v>204</v>
      </c>
      <c r="AH299" s="52"/>
      <c r="AI299" s="38"/>
      <c r="AJ299" s="38"/>
    </row>
    <row r="300" spans="1:36" ht="16.2">
      <c r="A300" s="42" t="s">
        <v>857</v>
      </c>
      <c r="B300" s="42">
        <v>669450</v>
      </c>
      <c r="C300" s="42" t="s">
        <v>1149</v>
      </c>
      <c r="D300" s="42">
        <v>13207689</v>
      </c>
      <c r="E300" s="43" t="s">
        <v>1150</v>
      </c>
      <c r="F300" s="42" t="s">
        <v>1173</v>
      </c>
      <c r="G300" s="42" t="s">
        <v>195</v>
      </c>
      <c r="H300" s="42"/>
      <c r="I300" s="42"/>
      <c r="J300" s="42">
        <v>13207689</v>
      </c>
      <c r="K300" s="42"/>
      <c r="L300" s="44">
        <v>45293</v>
      </c>
      <c r="M300" s="44">
        <v>45293</v>
      </c>
      <c r="N300" s="42" t="s">
        <v>1152</v>
      </c>
      <c r="O300" s="42">
        <v>0</v>
      </c>
      <c r="P300" s="42">
        <v>20010206</v>
      </c>
      <c r="Q300" s="42" t="s">
        <v>1174</v>
      </c>
      <c r="R300" s="45">
        <v>410</v>
      </c>
      <c r="S300" s="42">
        <v>0</v>
      </c>
      <c r="T300" s="47" t="s">
        <v>198</v>
      </c>
      <c r="U300" s="48" t="s">
        <v>199</v>
      </c>
      <c r="V300" s="38"/>
      <c r="W300" s="48" t="s">
        <v>195</v>
      </c>
      <c r="X300" s="38" t="s">
        <v>426</v>
      </c>
      <c r="Y300" s="49" t="s">
        <v>427</v>
      </c>
      <c r="Z300" s="50" t="s">
        <v>1175</v>
      </c>
      <c r="AA300" s="38"/>
      <c r="AB300" s="38"/>
      <c r="AC300" s="38"/>
      <c r="AD300" s="51">
        <v>38</v>
      </c>
      <c r="AE300" s="51">
        <v>38</v>
      </c>
      <c r="AF300" s="48" t="s">
        <v>203</v>
      </c>
      <c r="AG300" s="38" t="s">
        <v>204</v>
      </c>
      <c r="AH300" s="52"/>
      <c r="AI300" s="38"/>
      <c r="AJ300" s="38"/>
    </row>
    <row r="301" spans="1:36" ht="16.2">
      <c r="A301" s="53" t="s">
        <v>857</v>
      </c>
      <c r="B301" s="53">
        <v>669450</v>
      </c>
      <c r="C301" s="53" t="s">
        <v>1149</v>
      </c>
      <c r="D301" s="53">
        <v>13207689</v>
      </c>
      <c r="E301" s="54" t="s">
        <v>1150</v>
      </c>
      <c r="F301" s="53" t="s">
        <v>235</v>
      </c>
      <c r="G301" s="53" t="s">
        <v>195</v>
      </c>
      <c r="H301" s="53"/>
      <c r="I301" s="53"/>
      <c r="J301" s="53">
        <v>13207689</v>
      </c>
      <c r="K301" s="53"/>
      <c r="L301" s="55">
        <v>45293</v>
      </c>
      <c r="M301" s="55">
        <v>45293</v>
      </c>
      <c r="N301" s="53" t="s">
        <v>1152</v>
      </c>
      <c r="O301" s="53">
        <v>0</v>
      </c>
      <c r="P301" s="53">
        <v>20010206</v>
      </c>
      <c r="Q301" s="53" t="s">
        <v>1176</v>
      </c>
      <c r="R301" s="45">
        <v>410</v>
      </c>
      <c r="S301" s="53">
        <v>0</v>
      </c>
      <c r="T301" s="47" t="s">
        <v>198</v>
      </c>
      <c r="U301" s="48" t="s">
        <v>199</v>
      </c>
      <c r="V301" s="38"/>
      <c r="W301" s="48" t="s">
        <v>195</v>
      </c>
      <c r="X301" s="38" t="s">
        <v>426</v>
      </c>
      <c r="Y301" s="49" t="s">
        <v>427</v>
      </c>
      <c r="Z301" s="50" t="s">
        <v>1177</v>
      </c>
      <c r="AA301" s="38"/>
      <c r="AB301" s="38"/>
      <c r="AC301" s="38"/>
      <c r="AD301" s="51">
        <v>38</v>
      </c>
      <c r="AE301" s="51">
        <v>38</v>
      </c>
      <c r="AF301" s="48" t="s">
        <v>203</v>
      </c>
      <c r="AG301" s="38" t="s">
        <v>204</v>
      </c>
      <c r="AH301" s="52"/>
      <c r="AI301" s="38"/>
      <c r="AJ301" s="38"/>
    </row>
    <row r="302" spans="1:36" ht="16.2">
      <c r="A302" s="42" t="s">
        <v>857</v>
      </c>
      <c r="B302" s="42">
        <v>669450</v>
      </c>
      <c r="C302" s="42" t="s">
        <v>1149</v>
      </c>
      <c r="D302" s="42">
        <v>13207689</v>
      </c>
      <c r="E302" s="43" t="s">
        <v>1150</v>
      </c>
      <c r="F302" s="42" t="s">
        <v>1178</v>
      </c>
      <c r="G302" s="42" t="s">
        <v>195</v>
      </c>
      <c r="H302" s="42"/>
      <c r="I302" s="42"/>
      <c r="J302" s="42">
        <v>13207689</v>
      </c>
      <c r="K302" s="42"/>
      <c r="L302" s="44">
        <v>45293</v>
      </c>
      <c r="M302" s="44">
        <v>45293</v>
      </c>
      <c r="N302" s="42" t="s">
        <v>1152</v>
      </c>
      <c r="O302" s="42">
        <v>0</v>
      </c>
      <c r="P302" s="42">
        <v>20010206</v>
      </c>
      <c r="Q302" s="42" t="s">
        <v>1179</v>
      </c>
      <c r="R302" s="45">
        <v>410</v>
      </c>
      <c r="S302" s="42">
        <v>0</v>
      </c>
      <c r="T302" s="47" t="s">
        <v>198</v>
      </c>
      <c r="U302" s="48" t="s">
        <v>199</v>
      </c>
      <c r="V302" s="38"/>
      <c r="W302" s="48" t="s">
        <v>195</v>
      </c>
      <c r="X302" s="38" t="s">
        <v>426</v>
      </c>
      <c r="Y302" s="49" t="s">
        <v>427</v>
      </c>
      <c r="Z302" s="50" t="s">
        <v>1180</v>
      </c>
      <c r="AA302" s="38"/>
      <c r="AB302" s="38"/>
      <c r="AC302" s="38"/>
      <c r="AD302" s="51">
        <v>38</v>
      </c>
      <c r="AE302" s="51">
        <v>38</v>
      </c>
      <c r="AF302" s="48" t="s">
        <v>203</v>
      </c>
      <c r="AG302" s="38" t="s">
        <v>204</v>
      </c>
      <c r="AH302" s="52"/>
      <c r="AI302" s="38"/>
      <c r="AJ302" s="38"/>
    </row>
    <row r="303" spans="1:36" ht="16.2">
      <c r="A303" s="53" t="s">
        <v>857</v>
      </c>
      <c r="B303" s="53">
        <v>669450</v>
      </c>
      <c r="C303" s="53" t="s">
        <v>1149</v>
      </c>
      <c r="D303" s="53">
        <v>13207689</v>
      </c>
      <c r="E303" s="54" t="s">
        <v>1150</v>
      </c>
      <c r="F303" s="53" t="s">
        <v>1181</v>
      </c>
      <c r="G303" s="53" t="s">
        <v>195</v>
      </c>
      <c r="H303" s="53"/>
      <c r="I303" s="53"/>
      <c r="J303" s="53">
        <v>13207689</v>
      </c>
      <c r="K303" s="53"/>
      <c r="L303" s="55">
        <v>45293</v>
      </c>
      <c r="M303" s="55">
        <v>45293</v>
      </c>
      <c r="N303" s="53" t="s">
        <v>1152</v>
      </c>
      <c r="O303" s="53">
        <v>0</v>
      </c>
      <c r="P303" s="53">
        <v>20010206</v>
      </c>
      <c r="Q303" s="53" t="s">
        <v>1182</v>
      </c>
      <c r="R303" s="45">
        <v>410</v>
      </c>
      <c r="S303" s="53">
        <v>0</v>
      </c>
      <c r="T303" s="47" t="s">
        <v>198</v>
      </c>
      <c r="U303" s="48" t="s">
        <v>199</v>
      </c>
      <c r="V303" s="38"/>
      <c r="W303" s="48" t="s">
        <v>195</v>
      </c>
      <c r="X303" s="38" t="s">
        <v>426</v>
      </c>
      <c r="Y303" s="49" t="s">
        <v>427</v>
      </c>
      <c r="Z303" s="50" t="s">
        <v>1183</v>
      </c>
      <c r="AA303" s="38"/>
      <c r="AB303" s="38"/>
      <c r="AC303" s="38"/>
      <c r="AD303" s="51">
        <v>38</v>
      </c>
      <c r="AE303" s="51">
        <v>38</v>
      </c>
      <c r="AF303" s="48" t="s">
        <v>203</v>
      </c>
      <c r="AG303" s="38" t="s">
        <v>204</v>
      </c>
      <c r="AH303" s="52"/>
      <c r="AI303" s="38"/>
      <c r="AJ303" s="38"/>
    </row>
    <row r="304" spans="1:36" ht="16.2">
      <c r="A304" s="42" t="s">
        <v>857</v>
      </c>
      <c r="B304" s="42">
        <v>669450</v>
      </c>
      <c r="C304" s="42" t="s">
        <v>1149</v>
      </c>
      <c r="D304" s="42">
        <v>13207689</v>
      </c>
      <c r="E304" s="43" t="s">
        <v>1150</v>
      </c>
      <c r="F304" s="42" t="s">
        <v>1184</v>
      </c>
      <c r="G304" s="42" t="s">
        <v>195</v>
      </c>
      <c r="H304" s="42"/>
      <c r="I304" s="42"/>
      <c r="J304" s="42">
        <v>13207689</v>
      </c>
      <c r="K304" s="42"/>
      <c r="L304" s="44">
        <v>45293</v>
      </c>
      <c r="M304" s="44">
        <v>45293</v>
      </c>
      <c r="N304" s="42" t="s">
        <v>1152</v>
      </c>
      <c r="O304" s="42">
        <v>0</v>
      </c>
      <c r="P304" s="42">
        <v>20010206</v>
      </c>
      <c r="Q304" s="42" t="s">
        <v>1185</v>
      </c>
      <c r="R304" s="45">
        <v>410</v>
      </c>
      <c r="S304" s="42">
        <v>0</v>
      </c>
      <c r="T304" s="47" t="s">
        <v>198</v>
      </c>
      <c r="U304" s="48" t="s">
        <v>199</v>
      </c>
      <c r="V304" s="38"/>
      <c r="W304" s="48" t="s">
        <v>195</v>
      </c>
      <c r="X304" s="38" t="s">
        <v>426</v>
      </c>
      <c r="Y304" s="49" t="s">
        <v>427</v>
      </c>
      <c r="Z304" s="50" t="s">
        <v>1186</v>
      </c>
      <c r="AA304" s="38"/>
      <c r="AB304" s="38"/>
      <c r="AC304" s="38"/>
      <c r="AD304" s="51">
        <v>38</v>
      </c>
      <c r="AE304" s="51">
        <v>38</v>
      </c>
      <c r="AF304" s="48" t="s">
        <v>203</v>
      </c>
      <c r="AG304" s="38" t="s">
        <v>204</v>
      </c>
      <c r="AH304" s="52"/>
      <c r="AI304" s="38"/>
      <c r="AJ304" s="38"/>
    </row>
    <row r="305" spans="1:36" ht="16.2">
      <c r="A305" s="53" t="s">
        <v>836</v>
      </c>
      <c r="B305" s="53">
        <v>828083</v>
      </c>
      <c r="C305" s="53" t="s">
        <v>1187</v>
      </c>
      <c r="D305" s="53">
        <v>13207515</v>
      </c>
      <c r="E305" s="54" t="s">
        <v>1188</v>
      </c>
      <c r="F305" s="53" t="s">
        <v>1189</v>
      </c>
      <c r="G305" s="53" t="s">
        <v>195</v>
      </c>
      <c r="H305" s="53"/>
      <c r="I305" s="53"/>
      <c r="J305" s="53">
        <v>13207515</v>
      </c>
      <c r="K305" s="53"/>
      <c r="L305" s="55">
        <v>45293</v>
      </c>
      <c r="M305" s="55">
        <v>45293</v>
      </c>
      <c r="N305" s="53" t="s">
        <v>1190</v>
      </c>
      <c r="O305" s="53">
        <v>0</v>
      </c>
      <c r="P305" s="53">
        <v>20031102</v>
      </c>
      <c r="Q305" s="53" t="s">
        <v>1191</v>
      </c>
      <c r="R305" s="45">
        <v>410</v>
      </c>
      <c r="S305" s="53">
        <v>0</v>
      </c>
      <c r="T305" s="47" t="s">
        <v>198</v>
      </c>
      <c r="U305" s="48" t="s">
        <v>199</v>
      </c>
      <c r="V305" s="38"/>
      <c r="W305" s="48" t="s">
        <v>195</v>
      </c>
      <c r="X305" s="38" t="s">
        <v>200</v>
      </c>
      <c r="Y305" s="49" t="s">
        <v>201</v>
      </c>
      <c r="Z305" s="50" t="s">
        <v>1192</v>
      </c>
      <c r="AA305" s="38"/>
      <c r="AB305" s="38"/>
      <c r="AC305" s="38"/>
      <c r="AD305" s="51">
        <v>62</v>
      </c>
      <c r="AE305" s="51">
        <v>62</v>
      </c>
      <c r="AF305" s="48" t="s">
        <v>203</v>
      </c>
      <c r="AG305" s="38" t="s">
        <v>204</v>
      </c>
      <c r="AH305" s="52"/>
      <c r="AI305" s="38"/>
      <c r="AJ305" s="38"/>
    </row>
    <row r="306" spans="1:36" ht="16.2">
      <c r="A306" s="42" t="s">
        <v>836</v>
      </c>
      <c r="B306" s="42">
        <v>828083</v>
      </c>
      <c r="C306" s="42" t="s">
        <v>1187</v>
      </c>
      <c r="D306" s="42">
        <v>13207515</v>
      </c>
      <c r="E306" s="43" t="s">
        <v>1188</v>
      </c>
      <c r="F306" s="42" t="s">
        <v>263</v>
      </c>
      <c r="G306" s="42" t="s">
        <v>195</v>
      </c>
      <c r="H306" s="42"/>
      <c r="I306" s="42"/>
      <c r="J306" s="42">
        <v>13207515</v>
      </c>
      <c r="K306" s="42"/>
      <c r="L306" s="44">
        <v>45293</v>
      </c>
      <c r="M306" s="44">
        <v>45293</v>
      </c>
      <c r="N306" s="42" t="s">
        <v>1190</v>
      </c>
      <c r="O306" s="42">
        <v>0</v>
      </c>
      <c r="P306" s="42">
        <v>20031102</v>
      </c>
      <c r="Q306" s="42" t="s">
        <v>1193</v>
      </c>
      <c r="R306" s="45">
        <v>410</v>
      </c>
      <c r="S306" s="42">
        <v>0</v>
      </c>
      <c r="T306" s="47" t="s">
        <v>198</v>
      </c>
      <c r="U306" s="48" t="s">
        <v>199</v>
      </c>
      <c r="V306" s="38"/>
      <c r="W306" s="48" t="s">
        <v>195</v>
      </c>
      <c r="X306" s="38" t="s">
        <v>200</v>
      </c>
      <c r="Y306" s="49" t="s">
        <v>201</v>
      </c>
      <c r="Z306" s="50" t="s">
        <v>1194</v>
      </c>
      <c r="AA306" s="38"/>
      <c r="AB306" s="38"/>
      <c r="AC306" s="38"/>
      <c r="AD306" s="51">
        <v>62</v>
      </c>
      <c r="AE306" s="51">
        <v>62</v>
      </c>
      <c r="AF306" s="48" t="s">
        <v>203</v>
      </c>
      <c r="AG306" s="38" t="s">
        <v>204</v>
      </c>
      <c r="AH306" s="52"/>
      <c r="AI306" s="38"/>
      <c r="AJ306" s="38"/>
    </row>
    <row r="307" spans="1:36" ht="16.2">
      <c r="A307" s="53" t="s">
        <v>836</v>
      </c>
      <c r="B307" s="53">
        <v>828083</v>
      </c>
      <c r="C307" s="53" t="s">
        <v>1187</v>
      </c>
      <c r="D307" s="53">
        <v>13207515</v>
      </c>
      <c r="E307" s="54" t="s">
        <v>1188</v>
      </c>
      <c r="F307" s="53" t="s">
        <v>1195</v>
      </c>
      <c r="G307" s="53" t="s">
        <v>195</v>
      </c>
      <c r="H307" s="53"/>
      <c r="I307" s="53"/>
      <c r="J307" s="53">
        <v>13207515</v>
      </c>
      <c r="K307" s="53"/>
      <c r="L307" s="55">
        <v>45293</v>
      </c>
      <c r="M307" s="55">
        <v>45293</v>
      </c>
      <c r="N307" s="53" t="s">
        <v>1190</v>
      </c>
      <c r="O307" s="53">
        <v>0</v>
      </c>
      <c r="P307" s="53">
        <v>20031102</v>
      </c>
      <c r="Q307" s="53" t="s">
        <v>1196</v>
      </c>
      <c r="R307" s="45">
        <v>410</v>
      </c>
      <c r="S307" s="53">
        <v>0</v>
      </c>
      <c r="T307" s="47" t="s">
        <v>198</v>
      </c>
      <c r="U307" s="48" t="s">
        <v>199</v>
      </c>
      <c r="V307" s="38"/>
      <c r="W307" s="48" t="s">
        <v>195</v>
      </c>
      <c r="X307" s="38" t="s">
        <v>200</v>
      </c>
      <c r="Y307" s="49" t="s">
        <v>201</v>
      </c>
      <c r="Z307" s="50" t="s">
        <v>1197</v>
      </c>
      <c r="AA307" s="38"/>
      <c r="AB307" s="38"/>
      <c r="AC307" s="38"/>
      <c r="AD307" s="51">
        <v>62</v>
      </c>
      <c r="AE307" s="51">
        <v>62</v>
      </c>
      <c r="AF307" s="48" t="s">
        <v>203</v>
      </c>
      <c r="AG307" s="38" t="s">
        <v>204</v>
      </c>
      <c r="AH307" s="52"/>
      <c r="AI307" s="38"/>
      <c r="AJ307" s="38"/>
    </row>
    <row r="308" spans="1:36" ht="16.2">
      <c r="A308" s="42" t="s">
        <v>836</v>
      </c>
      <c r="B308" s="42">
        <v>828083</v>
      </c>
      <c r="C308" s="42" t="s">
        <v>1187</v>
      </c>
      <c r="D308" s="42">
        <v>13207515</v>
      </c>
      <c r="E308" s="43" t="s">
        <v>1188</v>
      </c>
      <c r="F308" s="42" t="s">
        <v>1198</v>
      </c>
      <c r="G308" s="42" t="s">
        <v>195</v>
      </c>
      <c r="H308" s="42"/>
      <c r="I308" s="42"/>
      <c r="J308" s="42">
        <v>13207515</v>
      </c>
      <c r="K308" s="42"/>
      <c r="L308" s="44">
        <v>45293</v>
      </c>
      <c r="M308" s="44">
        <v>45293</v>
      </c>
      <c r="N308" s="42" t="s">
        <v>1190</v>
      </c>
      <c r="O308" s="42">
        <v>0</v>
      </c>
      <c r="P308" s="42">
        <v>20031102</v>
      </c>
      <c r="Q308" s="42" t="s">
        <v>1199</v>
      </c>
      <c r="R308" s="45">
        <v>410</v>
      </c>
      <c r="S308" s="46">
        <v>0.01</v>
      </c>
      <c r="T308" s="47" t="s">
        <v>198</v>
      </c>
      <c r="U308" s="48" t="s">
        <v>199</v>
      </c>
      <c r="V308" s="38"/>
      <c r="W308" s="48" t="s">
        <v>195</v>
      </c>
      <c r="X308" s="38" t="s">
        <v>200</v>
      </c>
      <c r="Y308" s="49" t="s">
        <v>201</v>
      </c>
      <c r="Z308" s="50" t="s">
        <v>1200</v>
      </c>
      <c r="AA308" s="38"/>
      <c r="AB308" s="38"/>
      <c r="AC308" s="38"/>
      <c r="AD308" s="51">
        <v>62</v>
      </c>
      <c r="AE308" s="51">
        <v>62</v>
      </c>
      <c r="AF308" s="48" t="s">
        <v>203</v>
      </c>
      <c r="AG308" s="38" t="s">
        <v>204</v>
      </c>
      <c r="AH308" s="52"/>
      <c r="AI308" s="38"/>
      <c r="AJ308" s="38"/>
    </row>
    <row r="309" spans="1:36" ht="16.2">
      <c r="A309" s="53" t="s">
        <v>836</v>
      </c>
      <c r="B309" s="53">
        <v>828083</v>
      </c>
      <c r="C309" s="53" t="s">
        <v>1187</v>
      </c>
      <c r="D309" s="53">
        <v>13207515</v>
      </c>
      <c r="E309" s="54" t="s">
        <v>1188</v>
      </c>
      <c r="F309" s="53" t="s">
        <v>1201</v>
      </c>
      <c r="G309" s="53" t="s">
        <v>195</v>
      </c>
      <c r="H309" s="53"/>
      <c r="I309" s="53"/>
      <c r="J309" s="53">
        <v>13207515</v>
      </c>
      <c r="K309" s="53"/>
      <c r="L309" s="55">
        <v>45293</v>
      </c>
      <c r="M309" s="55">
        <v>45293</v>
      </c>
      <c r="N309" s="53" t="s">
        <v>1190</v>
      </c>
      <c r="O309" s="53">
        <v>0</v>
      </c>
      <c r="P309" s="53">
        <v>20031102</v>
      </c>
      <c r="Q309" s="53" t="s">
        <v>1202</v>
      </c>
      <c r="R309" s="45">
        <v>410</v>
      </c>
      <c r="S309" s="56">
        <v>0.01</v>
      </c>
      <c r="T309" s="47" t="s">
        <v>198</v>
      </c>
      <c r="U309" s="48" t="s">
        <v>199</v>
      </c>
      <c r="V309" s="38"/>
      <c r="W309" s="48" t="s">
        <v>195</v>
      </c>
      <c r="X309" s="38" t="s">
        <v>200</v>
      </c>
      <c r="Y309" s="49" t="s">
        <v>201</v>
      </c>
      <c r="Z309" s="50" t="s">
        <v>1203</v>
      </c>
      <c r="AA309" s="38"/>
      <c r="AB309" s="38"/>
      <c r="AC309" s="38"/>
      <c r="AD309" s="51">
        <v>62</v>
      </c>
      <c r="AE309" s="51">
        <v>62</v>
      </c>
      <c r="AF309" s="48" t="s">
        <v>203</v>
      </c>
      <c r="AG309" s="38" t="s">
        <v>204</v>
      </c>
      <c r="AH309" s="52"/>
      <c r="AI309" s="38"/>
      <c r="AJ309" s="38"/>
    </row>
    <row r="310" spans="1:36" ht="16.2">
      <c r="A310" s="42" t="s">
        <v>836</v>
      </c>
      <c r="B310" s="42">
        <v>828083</v>
      </c>
      <c r="C310" s="42" t="s">
        <v>1187</v>
      </c>
      <c r="D310" s="42">
        <v>13207515</v>
      </c>
      <c r="E310" s="43" t="s">
        <v>1188</v>
      </c>
      <c r="F310" s="42" t="s">
        <v>1204</v>
      </c>
      <c r="G310" s="42" t="s">
        <v>195</v>
      </c>
      <c r="H310" s="42"/>
      <c r="I310" s="42"/>
      <c r="J310" s="42">
        <v>13207515</v>
      </c>
      <c r="K310" s="42"/>
      <c r="L310" s="44">
        <v>45293</v>
      </c>
      <c r="M310" s="44">
        <v>45293</v>
      </c>
      <c r="N310" s="42" t="s">
        <v>1190</v>
      </c>
      <c r="O310" s="42">
        <v>0</v>
      </c>
      <c r="P310" s="42">
        <v>20031102</v>
      </c>
      <c r="Q310" s="42" t="s">
        <v>1205</v>
      </c>
      <c r="R310" s="45">
        <v>410</v>
      </c>
      <c r="S310" s="46">
        <v>0.01</v>
      </c>
      <c r="T310" s="47" t="s">
        <v>198</v>
      </c>
      <c r="U310" s="48" t="s">
        <v>199</v>
      </c>
      <c r="V310" s="38"/>
      <c r="W310" s="48" t="s">
        <v>195</v>
      </c>
      <c r="X310" s="38" t="s">
        <v>200</v>
      </c>
      <c r="Y310" s="49" t="s">
        <v>201</v>
      </c>
      <c r="Z310" s="50" t="s">
        <v>1206</v>
      </c>
      <c r="AA310" s="38"/>
      <c r="AB310" s="38"/>
      <c r="AC310" s="38"/>
      <c r="AD310" s="51">
        <v>62</v>
      </c>
      <c r="AE310" s="51">
        <v>62</v>
      </c>
      <c r="AF310" s="48" t="s">
        <v>203</v>
      </c>
      <c r="AG310" s="38" t="s">
        <v>204</v>
      </c>
      <c r="AH310" s="52"/>
      <c r="AI310" s="38"/>
      <c r="AJ310" s="38"/>
    </row>
    <row r="311" spans="1:36" ht="16.2">
      <c r="A311" s="53" t="s">
        <v>836</v>
      </c>
      <c r="B311" s="53">
        <v>828083</v>
      </c>
      <c r="C311" s="53" t="s">
        <v>1187</v>
      </c>
      <c r="D311" s="53">
        <v>13207515</v>
      </c>
      <c r="E311" s="54" t="s">
        <v>1188</v>
      </c>
      <c r="F311" s="53" t="s">
        <v>1207</v>
      </c>
      <c r="G311" s="53" t="s">
        <v>195</v>
      </c>
      <c r="H311" s="53"/>
      <c r="I311" s="53"/>
      <c r="J311" s="53">
        <v>13207515</v>
      </c>
      <c r="K311" s="53"/>
      <c r="L311" s="55">
        <v>45293</v>
      </c>
      <c r="M311" s="55">
        <v>45293</v>
      </c>
      <c r="N311" s="53" t="s">
        <v>1190</v>
      </c>
      <c r="O311" s="53">
        <v>0</v>
      </c>
      <c r="P311" s="53">
        <v>20031102</v>
      </c>
      <c r="Q311" s="53" t="s">
        <v>1208</v>
      </c>
      <c r="R311" s="45">
        <v>410</v>
      </c>
      <c r="S311" s="56">
        <v>0.01</v>
      </c>
      <c r="T311" s="47" t="s">
        <v>198</v>
      </c>
      <c r="U311" s="48" t="s">
        <v>199</v>
      </c>
      <c r="V311" s="38"/>
      <c r="W311" s="48" t="s">
        <v>195</v>
      </c>
      <c r="X311" s="38" t="s">
        <v>200</v>
      </c>
      <c r="Y311" s="49" t="s">
        <v>201</v>
      </c>
      <c r="Z311" s="50" t="s">
        <v>1209</v>
      </c>
      <c r="AA311" s="38"/>
      <c r="AB311" s="38"/>
      <c r="AC311" s="38"/>
      <c r="AD311" s="51">
        <v>62</v>
      </c>
      <c r="AE311" s="51">
        <v>62</v>
      </c>
      <c r="AF311" s="48" t="s">
        <v>203</v>
      </c>
      <c r="AG311" s="38" t="s">
        <v>204</v>
      </c>
      <c r="AH311" s="52"/>
      <c r="AI311" s="38"/>
      <c r="AJ311" s="38"/>
    </row>
    <row r="312" spans="1:36" ht="16.2">
      <c r="A312" s="42" t="s">
        <v>836</v>
      </c>
      <c r="B312" s="42">
        <v>828083</v>
      </c>
      <c r="C312" s="42" t="s">
        <v>1187</v>
      </c>
      <c r="D312" s="42">
        <v>13207515</v>
      </c>
      <c r="E312" s="43" t="s">
        <v>1188</v>
      </c>
      <c r="F312" s="42" t="s">
        <v>1210</v>
      </c>
      <c r="G312" s="42" t="s">
        <v>195</v>
      </c>
      <c r="H312" s="42"/>
      <c r="I312" s="42"/>
      <c r="J312" s="42">
        <v>13207515</v>
      </c>
      <c r="K312" s="42"/>
      <c r="L312" s="44">
        <v>45293</v>
      </c>
      <c r="M312" s="44">
        <v>45293</v>
      </c>
      <c r="N312" s="42" t="s">
        <v>1190</v>
      </c>
      <c r="O312" s="42">
        <v>0</v>
      </c>
      <c r="P312" s="42">
        <v>20031102</v>
      </c>
      <c r="Q312" s="42" t="s">
        <v>1211</v>
      </c>
      <c r="R312" s="45">
        <v>410</v>
      </c>
      <c r="S312" s="46">
        <v>0.01</v>
      </c>
      <c r="T312" s="47" t="s">
        <v>198</v>
      </c>
      <c r="U312" s="48" t="s">
        <v>199</v>
      </c>
      <c r="V312" s="38"/>
      <c r="W312" s="48" t="s">
        <v>195</v>
      </c>
      <c r="X312" s="38" t="s">
        <v>200</v>
      </c>
      <c r="Y312" s="49" t="s">
        <v>201</v>
      </c>
      <c r="Z312" s="50" t="s">
        <v>1212</v>
      </c>
      <c r="AA312" s="38"/>
      <c r="AB312" s="38"/>
      <c r="AC312" s="38"/>
      <c r="AD312" s="51">
        <v>62</v>
      </c>
      <c r="AE312" s="51">
        <v>62</v>
      </c>
      <c r="AF312" s="48" t="s">
        <v>203</v>
      </c>
      <c r="AG312" s="38" t="s">
        <v>204</v>
      </c>
      <c r="AH312" s="52"/>
      <c r="AI312" s="38"/>
      <c r="AJ312" s="38"/>
    </row>
    <row r="313" spans="1:36" ht="16.2">
      <c r="A313" s="53" t="s">
        <v>836</v>
      </c>
      <c r="B313" s="53">
        <v>828083</v>
      </c>
      <c r="C313" s="53" t="s">
        <v>1187</v>
      </c>
      <c r="D313" s="53">
        <v>13207515</v>
      </c>
      <c r="E313" s="54" t="s">
        <v>1188</v>
      </c>
      <c r="F313" s="53" t="s">
        <v>1213</v>
      </c>
      <c r="G313" s="53" t="s">
        <v>195</v>
      </c>
      <c r="H313" s="53"/>
      <c r="I313" s="53"/>
      <c r="J313" s="53">
        <v>13207515</v>
      </c>
      <c r="K313" s="53"/>
      <c r="L313" s="55">
        <v>45293</v>
      </c>
      <c r="M313" s="55">
        <v>45293</v>
      </c>
      <c r="N313" s="53" t="s">
        <v>1190</v>
      </c>
      <c r="O313" s="53">
        <v>0</v>
      </c>
      <c r="P313" s="53">
        <v>20031102</v>
      </c>
      <c r="Q313" s="53" t="s">
        <v>1214</v>
      </c>
      <c r="R313" s="45">
        <v>410</v>
      </c>
      <c r="S313" s="56">
        <v>0.01</v>
      </c>
      <c r="T313" s="47" t="s">
        <v>198</v>
      </c>
      <c r="U313" s="48" t="s">
        <v>199</v>
      </c>
      <c r="V313" s="38"/>
      <c r="W313" s="48" t="s">
        <v>195</v>
      </c>
      <c r="X313" s="38" t="s">
        <v>200</v>
      </c>
      <c r="Y313" s="49" t="s">
        <v>201</v>
      </c>
      <c r="Z313" s="50" t="s">
        <v>1215</v>
      </c>
      <c r="AA313" s="38"/>
      <c r="AB313" s="38"/>
      <c r="AC313" s="38"/>
      <c r="AD313" s="51">
        <v>62</v>
      </c>
      <c r="AE313" s="51">
        <v>62</v>
      </c>
      <c r="AF313" s="48" t="s">
        <v>203</v>
      </c>
      <c r="AG313" s="38" t="s">
        <v>204</v>
      </c>
      <c r="AH313" s="52"/>
      <c r="AI313" s="38"/>
      <c r="AJ313" s="38"/>
    </row>
    <row r="314" spans="1:36" ht="16.2">
      <c r="A314" s="42" t="s">
        <v>836</v>
      </c>
      <c r="B314" s="42">
        <v>828083</v>
      </c>
      <c r="C314" s="42" t="s">
        <v>1187</v>
      </c>
      <c r="D314" s="42">
        <v>13207515</v>
      </c>
      <c r="E314" s="43" t="s">
        <v>1188</v>
      </c>
      <c r="F314" s="42" t="s">
        <v>1216</v>
      </c>
      <c r="G314" s="42" t="s">
        <v>195</v>
      </c>
      <c r="H314" s="42"/>
      <c r="I314" s="42"/>
      <c r="J314" s="42">
        <v>13207515</v>
      </c>
      <c r="K314" s="42"/>
      <c r="L314" s="44">
        <v>45293</v>
      </c>
      <c r="M314" s="44">
        <v>45293</v>
      </c>
      <c r="N314" s="42" t="s">
        <v>1190</v>
      </c>
      <c r="O314" s="42">
        <v>0</v>
      </c>
      <c r="P314" s="42">
        <v>20031102</v>
      </c>
      <c r="Q314" s="42" t="s">
        <v>1217</v>
      </c>
      <c r="R314" s="45">
        <v>410</v>
      </c>
      <c r="S314" s="46">
        <v>0.01</v>
      </c>
      <c r="T314" s="47" t="s">
        <v>198</v>
      </c>
      <c r="U314" s="48" t="s">
        <v>199</v>
      </c>
      <c r="V314" s="38"/>
      <c r="W314" s="48" t="s">
        <v>195</v>
      </c>
      <c r="X314" s="38" t="s">
        <v>200</v>
      </c>
      <c r="Y314" s="49" t="s">
        <v>201</v>
      </c>
      <c r="Z314" s="50" t="s">
        <v>1218</v>
      </c>
      <c r="AA314" s="38"/>
      <c r="AB314" s="38"/>
      <c r="AC314" s="38"/>
      <c r="AD314" s="51">
        <v>62</v>
      </c>
      <c r="AE314" s="51">
        <v>62</v>
      </c>
      <c r="AF314" s="48" t="s">
        <v>203</v>
      </c>
      <c r="AG314" s="38" t="s">
        <v>204</v>
      </c>
      <c r="AH314" s="52"/>
      <c r="AI314" s="38"/>
      <c r="AJ314" s="38"/>
    </row>
    <row r="315" spans="1:36" ht="16.2">
      <c r="A315" s="53" t="s">
        <v>836</v>
      </c>
      <c r="B315" s="53">
        <v>828083</v>
      </c>
      <c r="C315" s="53" t="s">
        <v>1187</v>
      </c>
      <c r="D315" s="53">
        <v>13207515</v>
      </c>
      <c r="E315" s="54" t="s">
        <v>1188</v>
      </c>
      <c r="F315" s="53" t="s">
        <v>293</v>
      </c>
      <c r="G315" s="53" t="s">
        <v>195</v>
      </c>
      <c r="H315" s="53"/>
      <c r="I315" s="53"/>
      <c r="J315" s="53">
        <v>13207515</v>
      </c>
      <c r="K315" s="53"/>
      <c r="L315" s="55">
        <v>45293</v>
      </c>
      <c r="M315" s="55">
        <v>45293</v>
      </c>
      <c r="N315" s="53" t="s">
        <v>1190</v>
      </c>
      <c r="O315" s="53">
        <v>0</v>
      </c>
      <c r="P315" s="53">
        <v>20031102</v>
      </c>
      <c r="Q315" s="53" t="s">
        <v>1219</v>
      </c>
      <c r="R315" s="45">
        <v>410</v>
      </c>
      <c r="S315" s="56">
        <v>0.01</v>
      </c>
      <c r="T315" s="47" t="s">
        <v>198</v>
      </c>
      <c r="U315" s="48" t="s">
        <v>199</v>
      </c>
      <c r="V315" s="38"/>
      <c r="W315" s="48" t="s">
        <v>195</v>
      </c>
      <c r="X315" s="38" t="s">
        <v>200</v>
      </c>
      <c r="Y315" s="49" t="s">
        <v>201</v>
      </c>
      <c r="Z315" s="50" t="s">
        <v>1220</v>
      </c>
      <c r="AA315" s="38"/>
      <c r="AB315" s="38"/>
      <c r="AC315" s="38"/>
      <c r="AD315" s="51">
        <v>62</v>
      </c>
      <c r="AE315" s="51">
        <v>62</v>
      </c>
      <c r="AF315" s="48" t="s">
        <v>203</v>
      </c>
      <c r="AG315" s="38" t="s">
        <v>204</v>
      </c>
      <c r="AH315" s="52"/>
      <c r="AI315" s="38"/>
      <c r="AJ315" s="38"/>
    </row>
    <row r="316" spans="1:36" ht="16.2">
      <c r="A316" s="42" t="s">
        <v>836</v>
      </c>
      <c r="B316" s="42">
        <v>828083</v>
      </c>
      <c r="C316" s="42" t="s">
        <v>1187</v>
      </c>
      <c r="D316" s="42">
        <v>13207515</v>
      </c>
      <c r="E316" s="43" t="s">
        <v>1188</v>
      </c>
      <c r="F316" s="42" t="s">
        <v>1221</v>
      </c>
      <c r="G316" s="42" t="s">
        <v>195</v>
      </c>
      <c r="H316" s="42"/>
      <c r="I316" s="42"/>
      <c r="J316" s="42">
        <v>13207515</v>
      </c>
      <c r="K316" s="42"/>
      <c r="L316" s="44">
        <v>45293</v>
      </c>
      <c r="M316" s="44">
        <v>45293</v>
      </c>
      <c r="N316" s="42" t="s">
        <v>1190</v>
      </c>
      <c r="O316" s="42">
        <v>0</v>
      </c>
      <c r="P316" s="42">
        <v>20031102</v>
      </c>
      <c r="Q316" s="42" t="s">
        <v>1222</v>
      </c>
      <c r="R316" s="45">
        <v>410</v>
      </c>
      <c r="S316" s="46">
        <v>0.01</v>
      </c>
      <c r="T316" s="47" t="s">
        <v>198</v>
      </c>
      <c r="U316" s="48" t="s">
        <v>199</v>
      </c>
      <c r="V316" s="38"/>
      <c r="W316" s="48" t="s">
        <v>195</v>
      </c>
      <c r="X316" s="38" t="s">
        <v>200</v>
      </c>
      <c r="Y316" s="49" t="s">
        <v>201</v>
      </c>
      <c r="Z316" s="50" t="s">
        <v>1223</v>
      </c>
      <c r="AA316" s="38"/>
      <c r="AB316" s="38"/>
      <c r="AC316" s="38"/>
      <c r="AD316" s="51">
        <v>62</v>
      </c>
      <c r="AE316" s="51">
        <v>62</v>
      </c>
      <c r="AF316" s="48" t="s">
        <v>203</v>
      </c>
      <c r="AG316" s="38" t="s">
        <v>204</v>
      </c>
      <c r="AH316" s="52"/>
      <c r="AI316" s="38"/>
      <c r="AJ316" s="38"/>
    </row>
    <row r="317" spans="1:36" ht="16.2">
      <c r="A317" s="53" t="s">
        <v>836</v>
      </c>
      <c r="B317" s="53">
        <v>828083</v>
      </c>
      <c r="C317" s="53" t="s">
        <v>1187</v>
      </c>
      <c r="D317" s="53">
        <v>13207515</v>
      </c>
      <c r="E317" s="54" t="s">
        <v>1188</v>
      </c>
      <c r="F317" s="53" t="s">
        <v>1224</v>
      </c>
      <c r="G317" s="53" t="s">
        <v>195</v>
      </c>
      <c r="H317" s="53"/>
      <c r="I317" s="53"/>
      <c r="J317" s="53">
        <v>13207515</v>
      </c>
      <c r="K317" s="53"/>
      <c r="L317" s="55">
        <v>45293</v>
      </c>
      <c r="M317" s="55">
        <v>45293</v>
      </c>
      <c r="N317" s="53" t="s">
        <v>1190</v>
      </c>
      <c r="O317" s="53">
        <v>0</v>
      </c>
      <c r="P317" s="53">
        <v>20031102</v>
      </c>
      <c r="Q317" s="53" t="s">
        <v>1225</v>
      </c>
      <c r="R317" s="45">
        <v>410</v>
      </c>
      <c r="S317" s="56">
        <v>0.01</v>
      </c>
      <c r="T317" s="47" t="s">
        <v>198</v>
      </c>
      <c r="U317" s="48" t="s">
        <v>199</v>
      </c>
      <c r="V317" s="38"/>
      <c r="W317" s="48" t="s">
        <v>195</v>
      </c>
      <c r="X317" s="38" t="s">
        <v>200</v>
      </c>
      <c r="Y317" s="49" t="s">
        <v>201</v>
      </c>
      <c r="Z317" s="50" t="s">
        <v>1226</v>
      </c>
      <c r="AA317" s="38"/>
      <c r="AB317" s="38"/>
      <c r="AC317" s="38"/>
      <c r="AD317" s="51">
        <v>62</v>
      </c>
      <c r="AE317" s="51">
        <v>62</v>
      </c>
      <c r="AF317" s="48" t="s">
        <v>203</v>
      </c>
      <c r="AG317" s="38" t="s">
        <v>204</v>
      </c>
      <c r="AH317" s="52"/>
      <c r="AI317" s="38"/>
      <c r="AJ317" s="38"/>
    </row>
    <row r="318" spans="1:36" ht="16.2">
      <c r="A318" s="42" t="s">
        <v>836</v>
      </c>
      <c r="B318" s="42">
        <v>828083</v>
      </c>
      <c r="C318" s="42" t="s">
        <v>1187</v>
      </c>
      <c r="D318" s="42">
        <v>13207515</v>
      </c>
      <c r="E318" s="43" t="s">
        <v>1188</v>
      </c>
      <c r="F318" s="42" t="s">
        <v>1227</v>
      </c>
      <c r="G318" s="42" t="s">
        <v>195</v>
      </c>
      <c r="H318" s="42"/>
      <c r="I318" s="42"/>
      <c r="J318" s="42">
        <v>13207515</v>
      </c>
      <c r="K318" s="42"/>
      <c r="L318" s="44">
        <v>45293</v>
      </c>
      <c r="M318" s="44">
        <v>45293</v>
      </c>
      <c r="N318" s="42" t="s">
        <v>1190</v>
      </c>
      <c r="O318" s="42">
        <v>0</v>
      </c>
      <c r="P318" s="42">
        <v>20031102</v>
      </c>
      <c r="Q318" s="42" t="s">
        <v>1228</v>
      </c>
      <c r="R318" s="45">
        <v>410</v>
      </c>
      <c r="S318" s="46">
        <v>0.01</v>
      </c>
      <c r="T318" s="47" t="s">
        <v>198</v>
      </c>
      <c r="U318" s="48" t="s">
        <v>199</v>
      </c>
      <c r="V318" s="38"/>
      <c r="W318" s="48" t="s">
        <v>195</v>
      </c>
      <c r="X318" s="38" t="s">
        <v>200</v>
      </c>
      <c r="Y318" s="49" t="s">
        <v>201</v>
      </c>
      <c r="Z318" s="50" t="s">
        <v>1229</v>
      </c>
      <c r="AA318" s="38"/>
      <c r="AB318" s="38"/>
      <c r="AC318" s="38"/>
      <c r="AD318" s="51">
        <v>62</v>
      </c>
      <c r="AE318" s="51">
        <v>62</v>
      </c>
      <c r="AF318" s="48" t="s">
        <v>203</v>
      </c>
      <c r="AG318" s="38" t="s">
        <v>204</v>
      </c>
      <c r="AH318" s="52"/>
      <c r="AI318" s="38"/>
      <c r="AJ318" s="38"/>
    </row>
    <row r="319" spans="1:36" ht="16.2">
      <c r="A319" s="53" t="s">
        <v>836</v>
      </c>
      <c r="B319" s="53">
        <v>828083</v>
      </c>
      <c r="C319" s="53" t="s">
        <v>1187</v>
      </c>
      <c r="D319" s="53">
        <v>13207515</v>
      </c>
      <c r="E319" s="54" t="s">
        <v>1188</v>
      </c>
      <c r="F319" s="53" t="s">
        <v>1230</v>
      </c>
      <c r="G319" s="53" t="s">
        <v>195</v>
      </c>
      <c r="H319" s="53"/>
      <c r="I319" s="53"/>
      <c r="J319" s="53">
        <v>13207515</v>
      </c>
      <c r="K319" s="53"/>
      <c r="L319" s="55">
        <v>45293</v>
      </c>
      <c r="M319" s="55">
        <v>45293</v>
      </c>
      <c r="N319" s="53" t="s">
        <v>1190</v>
      </c>
      <c r="O319" s="53">
        <v>0</v>
      </c>
      <c r="P319" s="53">
        <v>20031102</v>
      </c>
      <c r="Q319" s="53" t="s">
        <v>1231</v>
      </c>
      <c r="R319" s="45">
        <v>410</v>
      </c>
      <c r="S319" s="53">
        <v>0</v>
      </c>
      <c r="T319" s="47" t="s">
        <v>198</v>
      </c>
      <c r="U319" s="48" t="s">
        <v>199</v>
      </c>
      <c r="V319" s="38"/>
      <c r="W319" s="53" t="s">
        <v>195</v>
      </c>
      <c r="X319" s="38" t="s">
        <v>200</v>
      </c>
      <c r="Y319" s="49" t="s">
        <v>201</v>
      </c>
      <c r="Z319" s="50" t="s">
        <v>1232</v>
      </c>
      <c r="AA319" s="38"/>
      <c r="AB319" s="38"/>
      <c r="AC319" s="38"/>
      <c r="AD319" s="51">
        <v>62</v>
      </c>
      <c r="AE319" s="51">
        <v>62</v>
      </c>
      <c r="AF319" s="48" t="s">
        <v>203</v>
      </c>
      <c r="AG319" s="38" t="s">
        <v>204</v>
      </c>
      <c r="AH319" s="52"/>
      <c r="AI319" s="38"/>
      <c r="AJ319" s="38"/>
    </row>
    <row r="320" spans="1:36" ht="16.2">
      <c r="A320" s="42" t="s">
        <v>836</v>
      </c>
      <c r="B320" s="42">
        <v>828083</v>
      </c>
      <c r="C320" s="42" t="s">
        <v>1187</v>
      </c>
      <c r="D320" s="42">
        <v>13207515</v>
      </c>
      <c r="E320" s="43" t="s">
        <v>1188</v>
      </c>
      <c r="F320" s="42" t="s">
        <v>1233</v>
      </c>
      <c r="G320" s="42" t="s">
        <v>195</v>
      </c>
      <c r="H320" s="42"/>
      <c r="I320" s="42"/>
      <c r="J320" s="42">
        <v>13207515</v>
      </c>
      <c r="K320" s="42"/>
      <c r="L320" s="44">
        <v>45293</v>
      </c>
      <c r="M320" s="44">
        <v>45293</v>
      </c>
      <c r="N320" s="42" t="s">
        <v>1190</v>
      </c>
      <c r="O320" s="42">
        <v>0</v>
      </c>
      <c r="P320" s="42">
        <v>20031102</v>
      </c>
      <c r="Q320" s="42" t="s">
        <v>1234</v>
      </c>
      <c r="R320" s="45">
        <v>410</v>
      </c>
      <c r="S320" s="42">
        <v>0</v>
      </c>
      <c r="T320" s="47" t="s">
        <v>198</v>
      </c>
      <c r="U320" s="48" t="s">
        <v>199</v>
      </c>
      <c r="V320" s="38"/>
      <c r="W320" s="48" t="s">
        <v>195</v>
      </c>
      <c r="X320" s="38" t="s">
        <v>200</v>
      </c>
      <c r="Y320" s="49" t="s">
        <v>201</v>
      </c>
      <c r="Z320" s="50" t="s">
        <v>1235</v>
      </c>
      <c r="AA320" s="38"/>
      <c r="AB320" s="38"/>
      <c r="AC320" s="38"/>
      <c r="AD320" s="51">
        <v>62</v>
      </c>
      <c r="AE320" s="51">
        <v>62</v>
      </c>
      <c r="AF320" s="48" t="s">
        <v>203</v>
      </c>
      <c r="AG320" s="38" t="s">
        <v>204</v>
      </c>
      <c r="AH320" s="52"/>
      <c r="AI320" s="38"/>
      <c r="AJ320" s="38"/>
    </row>
    <row r="321" spans="1:36" ht="16.2">
      <c r="A321" s="53" t="s">
        <v>836</v>
      </c>
      <c r="B321" s="53">
        <v>828083</v>
      </c>
      <c r="C321" s="53" t="s">
        <v>1187</v>
      </c>
      <c r="D321" s="53">
        <v>13207515</v>
      </c>
      <c r="E321" s="54" t="s">
        <v>1188</v>
      </c>
      <c r="F321" s="53" t="s">
        <v>260</v>
      </c>
      <c r="G321" s="53" t="s">
        <v>195</v>
      </c>
      <c r="H321" s="53"/>
      <c r="I321" s="53"/>
      <c r="J321" s="53">
        <v>13207515</v>
      </c>
      <c r="K321" s="53"/>
      <c r="L321" s="55">
        <v>45293</v>
      </c>
      <c r="M321" s="55">
        <v>45293</v>
      </c>
      <c r="N321" s="53" t="s">
        <v>1190</v>
      </c>
      <c r="O321" s="53">
        <v>0</v>
      </c>
      <c r="P321" s="53">
        <v>20031102</v>
      </c>
      <c r="Q321" s="53" t="s">
        <v>1236</v>
      </c>
      <c r="R321" s="45">
        <v>410</v>
      </c>
      <c r="S321" s="53">
        <v>0</v>
      </c>
      <c r="T321" s="47" t="s">
        <v>198</v>
      </c>
      <c r="U321" s="48" t="s">
        <v>199</v>
      </c>
      <c r="V321" s="38"/>
      <c r="W321" s="48" t="s">
        <v>195</v>
      </c>
      <c r="X321" s="38" t="s">
        <v>200</v>
      </c>
      <c r="Y321" s="49" t="s">
        <v>201</v>
      </c>
      <c r="Z321" s="50" t="s">
        <v>1237</v>
      </c>
      <c r="AA321" s="38"/>
      <c r="AB321" s="38"/>
      <c r="AC321" s="38"/>
      <c r="AD321" s="51">
        <v>62</v>
      </c>
      <c r="AE321" s="51">
        <v>62</v>
      </c>
      <c r="AF321" s="48" t="s">
        <v>203</v>
      </c>
      <c r="AG321" s="38" t="s">
        <v>204</v>
      </c>
      <c r="AH321" s="52"/>
      <c r="AI321" s="38"/>
      <c r="AJ321" s="38"/>
    </row>
    <row r="322" spans="1:36" ht="16.2">
      <c r="A322" s="42" t="s">
        <v>836</v>
      </c>
      <c r="B322" s="42">
        <v>828083</v>
      </c>
      <c r="C322" s="42" t="s">
        <v>1187</v>
      </c>
      <c r="D322" s="42">
        <v>13207515</v>
      </c>
      <c r="E322" s="43" t="s">
        <v>1188</v>
      </c>
      <c r="F322" s="42" t="s">
        <v>1238</v>
      </c>
      <c r="G322" s="42" t="s">
        <v>195</v>
      </c>
      <c r="H322" s="42"/>
      <c r="I322" s="42"/>
      <c r="J322" s="42">
        <v>13207515</v>
      </c>
      <c r="K322" s="42"/>
      <c r="L322" s="44">
        <v>45293</v>
      </c>
      <c r="M322" s="44">
        <v>45293</v>
      </c>
      <c r="N322" s="42" t="s">
        <v>1190</v>
      </c>
      <c r="O322" s="42">
        <v>0</v>
      </c>
      <c r="P322" s="42">
        <v>20031102</v>
      </c>
      <c r="Q322" s="42" t="s">
        <v>1239</v>
      </c>
      <c r="R322" s="45">
        <v>410</v>
      </c>
      <c r="S322" s="42">
        <v>0</v>
      </c>
      <c r="T322" s="47" t="s">
        <v>198</v>
      </c>
      <c r="U322" s="48" t="s">
        <v>199</v>
      </c>
      <c r="V322" s="38"/>
      <c r="W322" s="48" t="s">
        <v>195</v>
      </c>
      <c r="X322" s="38" t="s">
        <v>200</v>
      </c>
      <c r="Y322" s="49" t="s">
        <v>201</v>
      </c>
      <c r="Z322" s="50" t="s">
        <v>1240</v>
      </c>
      <c r="AA322" s="38"/>
      <c r="AB322" s="38"/>
      <c r="AC322" s="38"/>
      <c r="AD322" s="51">
        <v>62</v>
      </c>
      <c r="AE322" s="51">
        <v>62</v>
      </c>
      <c r="AF322" s="48" t="s">
        <v>203</v>
      </c>
      <c r="AG322" s="38" t="s">
        <v>204</v>
      </c>
      <c r="AH322" s="52"/>
      <c r="AI322" s="38"/>
      <c r="AJ322" s="38"/>
    </row>
    <row r="323" spans="1:36" ht="16.2">
      <c r="A323" s="53" t="s">
        <v>238</v>
      </c>
      <c r="B323" s="53">
        <v>558034</v>
      </c>
      <c r="C323" s="53" t="s">
        <v>1241</v>
      </c>
      <c r="D323" s="53">
        <v>13207644</v>
      </c>
      <c r="E323" s="54" t="s">
        <v>1242</v>
      </c>
      <c r="F323" s="53" t="s">
        <v>1189</v>
      </c>
      <c r="G323" s="53" t="s">
        <v>195</v>
      </c>
      <c r="H323" s="53"/>
      <c r="I323" s="53"/>
      <c r="J323" s="53">
        <v>13207644</v>
      </c>
      <c r="K323" s="53"/>
      <c r="L323" s="55">
        <v>45293</v>
      </c>
      <c r="M323" s="55">
        <v>45293</v>
      </c>
      <c r="N323" s="53" t="s">
        <v>839</v>
      </c>
      <c r="O323" s="53">
        <v>0</v>
      </c>
      <c r="P323" s="53">
        <v>1919044</v>
      </c>
      <c r="Q323" s="53" t="s">
        <v>1243</v>
      </c>
      <c r="R323" s="45">
        <v>410</v>
      </c>
      <c r="S323" s="56">
        <v>0.01</v>
      </c>
      <c r="T323" s="47" t="s">
        <v>198</v>
      </c>
      <c r="U323" s="48" t="s">
        <v>199</v>
      </c>
      <c r="V323" s="38"/>
      <c r="W323" s="48" t="s">
        <v>195</v>
      </c>
      <c r="X323" s="38" t="s">
        <v>200</v>
      </c>
      <c r="Y323" s="49" t="s">
        <v>201</v>
      </c>
      <c r="Z323" s="50" t="s">
        <v>1244</v>
      </c>
      <c r="AA323" s="38"/>
      <c r="AB323" s="38"/>
      <c r="AC323" s="38"/>
      <c r="AD323" s="51">
        <v>63</v>
      </c>
      <c r="AE323" s="51">
        <v>63</v>
      </c>
      <c r="AF323" s="48" t="s">
        <v>203</v>
      </c>
      <c r="AG323" s="38" t="s">
        <v>204</v>
      </c>
      <c r="AH323" s="52"/>
      <c r="AI323" s="38"/>
      <c r="AJ323" s="38"/>
    </row>
    <row r="324" spans="1:36" ht="16.2">
      <c r="A324" s="42" t="s">
        <v>238</v>
      </c>
      <c r="B324" s="42">
        <v>558034</v>
      </c>
      <c r="C324" s="42" t="s">
        <v>1241</v>
      </c>
      <c r="D324" s="42">
        <v>13207644</v>
      </c>
      <c r="E324" s="43" t="s">
        <v>1242</v>
      </c>
      <c r="F324" s="42" t="s">
        <v>1195</v>
      </c>
      <c r="G324" s="42" t="s">
        <v>195</v>
      </c>
      <c r="H324" s="42"/>
      <c r="I324" s="42"/>
      <c r="J324" s="42">
        <v>13207644</v>
      </c>
      <c r="K324" s="42"/>
      <c r="L324" s="44">
        <v>45293</v>
      </c>
      <c r="M324" s="44">
        <v>45293</v>
      </c>
      <c r="N324" s="42" t="s">
        <v>839</v>
      </c>
      <c r="O324" s="42">
        <v>0</v>
      </c>
      <c r="P324" s="42">
        <v>1919044</v>
      </c>
      <c r="Q324" s="42" t="s">
        <v>1245</v>
      </c>
      <c r="R324" s="45">
        <v>410</v>
      </c>
      <c r="S324" s="46">
        <v>0.01</v>
      </c>
      <c r="T324" s="47" t="s">
        <v>198</v>
      </c>
      <c r="U324" s="48" t="s">
        <v>199</v>
      </c>
      <c r="V324" s="38"/>
      <c r="W324" s="48" t="s">
        <v>195</v>
      </c>
      <c r="X324" s="38" t="s">
        <v>200</v>
      </c>
      <c r="Y324" s="49" t="s">
        <v>201</v>
      </c>
      <c r="Z324" s="50" t="s">
        <v>1246</v>
      </c>
      <c r="AA324" s="38"/>
      <c r="AB324" s="38"/>
      <c r="AC324" s="38"/>
      <c r="AD324" s="51">
        <v>63</v>
      </c>
      <c r="AE324" s="51">
        <v>63</v>
      </c>
      <c r="AF324" s="48" t="s">
        <v>203</v>
      </c>
      <c r="AG324" s="38" t="s">
        <v>204</v>
      </c>
      <c r="AH324" s="52"/>
      <c r="AI324" s="38"/>
      <c r="AJ324" s="38"/>
    </row>
    <row r="325" spans="1:36" ht="16.2">
      <c r="A325" s="53" t="s">
        <v>238</v>
      </c>
      <c r="B325" s="53">
        <v>558034</v>
      </c>
      <c r="C325" s="53" t="s">
        <v>1241</v>
      </c>
      <c r="D325" s="53">
        <v>13207644</v>
      </c>
      <c r="E325" s="54" t="s">
        <v>1242</v>
      </c>
      <c r="F325" s="53" t="s">
        <v>1247</v>
      </c>
      <c r="G325" s="53" t="s">
        <v>195</v>
      </c>
      <c r="H325" s="53"/>
      <c r="I325" s="53"/>
      <c r="J325" s="53">
        <v>13207644</v>
      </c>
      <c r="K325" s="53"/>
      <c r="L325" s="55">
        <v>45293</v>
      </c>
      <c r="M325" s="55">
        <v>45293</v>
      </c>
      <c r="N325" s="53" t="s">
        <v>839</v>
      </c>
      <c r="O325" s="53">
        <v>0</v>
      </c>
      <c r="P325" s="53">
        <v>1919044</v>
      </c>
      <c r="Q325" s="53" t="s">
        <v>1248</v>
      </c>
      <c r="R325" s="45">
        <v>410</v>
      </c>
      <c r="S325" s="53">
        <v>0</v>
      </c>
      <c r="T325" s="47" t="s">
        <v>198</v>
      </c>
      <c r="U325" s="48" t="s">
        <v>199</v>
      </c>
      <c r="V325" s="38"/>
      <c r="W325" s="48" t="s">
        <v>195</v>
      </c>
      <c r="X325" s="38" t="s">
        <v>200</v>
      </c>
      <c r="Y325" s="49" t="s">
        <v>201</v>
      </c>
      <c r="Z325" s="50" t="s">
        <v>1249</v>
      </c>
      <c r="AA325" s="38"/>
      <c r="AB325" s="38"/>
      <c r="AC325" s="38"/>
      <c r="AD325" s="51">
        <v>63</v>
      </c>
      <c r="AE325" s="51">
        <v>63</v>
      </c>
      <c r="AF325" s="48" t="s">
        <v>203</v>
      </c>
      <c r="AG325" s="38" t="s">
        <v>204</v>
      </c>
      <c r="AH325" s="52"/>
      <c r="AI325" s="38"/>
      <c r="AJ325" s="38"/>
    </row>
    <row r="326" spans="1:36" ht="16.2">
      <c r="A326" s="42" t="s">
        <v>238</v>
      </c>
      <c r="B326" s="42">
        <v>558034</v>
      </c>
      <c r="C326" s="42" t="s">
        <v>1241</v>
      </c>
      <c r="D326" s="42">
        <v>13207644</v>
      </c>
      <c r="E326" s="43" t="s">
        <v>1242</v>
      </c>
      <c r="F326" s="42" t="s">
        <v>293</v>
      </c>
      <c r="G326" s="42" t="s">
        <v>195</v>
      </c>
      <c r="H326" s="42"/>
      <c r="I326" s="42"/>
      <c r="J326" s="42">
        <v>13207644</v>
      </c>
      <c r="K326" s="42"/>
      <c r="L326" s="44">
        <v>45293</v>
      </c>
      <c r="M326" s="44">
        <v>45293</v>
      </c>
      <c r="N326" s="42" t="s">
        <v>839</v>
      </c>
      <c r="O326" s="42">
        <v>0</v>
      </c>
      <c r="P326" s="42">
        <v>1919044</v>
      </c>
      <c r="Q326" s="42" t="s">
        <v>1250</v>
      </c>
      <c r="R326" s="45">
        <v>410</v>
      </c>
      <c r="S326" s="42">
        <v>0</v>
      </c>
      <c r="T326" s="47" t="s">
        <v>198</v>
      </c>
      <c r="U326" s="48" t="s">
        <v>199</v>
      </c>
      <c r="V326" s="38"/>
      <c r="W326" s="48" t="s">
        <v>195</v>
      </c>
      <c r="X326" s="38" t="s">
        <v>200</v>
      </c>
      <c r="Y326" s="49" t="s">
        <v>201</v>
      </c>
      <c r="Z326" s="50" t="s">
        <v>1251</v>
      </c>
      <c r="AA326" s="38"/>
      <c r="AB326" s="38"/>
      <c r="AC326" s="38"/>
      <c r="AD326" s="51">
        <v>63</v>
      </c>
      <c r="AE326" s="51">
        <v>63</v>
      </c>
      <c r="AF326" s="48" t="s">
        <v>203</v>
      </c>
      <c r="AG326" s="38" t="s">
        <v>204</v>
      </c>
      <c r="AH326" s="52"/>
      <c r="AI326" s="38"/>
      <c r="AJ326" s="38"/>
    </row>
    <row r="327" spans="1:36" ht="16.2">
      <c r="A327" s="53" t="s">
        <v>238</v>
      </c>
      <c r="B327" s="53">
        <v>558034</v>
      </c>
      <c r="C327" s="53" t="s">
        <v>1241</v>
      </c>
      <c r="D327" s="53">
        <v>13207644</v>
      </c>
      <c r="E327" s="54" t="s">
        <v>1242</v>
      </c>
      <c r="F327" s="53" t="s">
        <v>1252</v>
      </c>
      <c r="G327" s="53" t="s">
        <v>195</v>
      </c>
      <c r="H327" s="53"/>
      <c r="I327" s="53"/>
      <c r="J327" s="53">
        <v>13207644</v>
      </c>
      <c r="K327" s="53"/>
      <c r="L327" s="55">
        <v>45293</v>
      </c>
      <c r="M327" s="55">
        <v>45293</v>
      </c>
      <c r="N327" s="53" t="s">
        <v>839</v>
      </c>
      <c r="O327" s="53">
        <v>0</v>
      </c>
      <c r="P327" s="53">
        <v>1919044</v>
      </c>
      <c r="Q327" s="53" t="s">
        <v>1253</v>
      </c>
      <c r="R327" s="45">
        <v>410</v>
      </c>
      <c r="S327" s="53">
        <v>0</v>
      </c>
      <c r="T327" s="47" t="s">
        <v>198</v>
      </c>
      <c r="U327" s="48" t="s">
        <v>199</v>
      </c>
      <c r="V327" s="38"/>
      <c r="W327" s="48" t="s">
        <v>195</v>
      </c>
      <c r="X327" s="38" t="s">
        <v>200</v>
      </c>
      <c r="Y327" s="49" t="s">
        <v>201</v>
      </c>
      <c r="Z327" s="50" t="s">
        <v>1254</v>
      </c>
      <c r="AA327" s="38"/>
      <c r="AB327" s="38"/>
      <c r="AC327" s="38"/>
      <c r="AD327" s="51">
        <v>63</v>
      </c>
      <c r="AE327" s="51">
        <v>63</v>
      </c>
      <c r="AF327" s="48" t="s">
        <v>203</v>
      </c>
      <c r="AG327" s="38" t="s">
        <v>204</v>
      </c>
      <c r="AH327" s="52"/>
      <c r="AI327" s="38"/>
      <c r="AJ327" s="38"/>
    </row>
    <row r="328" spans="1:36" ht="16.2">
      <c r="A328" s="42" t="s">
        <v>238</v>
      </c>
      <c r="B328" s="42">
        <v>558034</v>
      </c>
      <c r="C328" s="42" t="s">
        <v>1241</v>
      </c>
      <c r="D328" s="42">
        <v>13207644</v>
      </c>
      <c r="E328" s="43" t="s">
        <v>1242</v>
      </c>
      <c r="F328" s="42" t="s">
        <v>1255</v>
      </c>
      <c r="G328" s="42" t="s">
        <v>195</v>
      </c>
      <c r="H328" s="42"/>
      <c r="I328" s="42"/>
      <c r="J328" s="42">
        <v>13207644</v>
      </c>
      <c r="K328" s="42"/>
      <c r="L328" s="44">
        <v>45293</v>
      </c>
      <c r="M328" s="44">
        <v>45293</v>
      </c>
      <c r="N328" s="42" t="s">
        <v>839</v>
      </c>
      <c r="O328" s="42">
        <v>0</v>
      </c>
      <c r="P328" s="42">
        <v>1919044</v>
      </c>
      <c r="Q328" s="42" t="s">
        <v>1256</v>
      </c>
      <c r="R328" s="45">
        <v>410</v>
      </c>
      <c r="S328" s="46">
        <v>0.01</v>
      </c>
      <c r="T328" s="47" t="s">
        <v>198</v>
      </c>
      <c r="U328" s="48" t="s">
        <v>199</v>
      </c>
      <c r="V328" s="38"/>
      <c r="W328" s="48" t="s">
        <v>195</v>
      </c>
      <c r="X328" s="38" t="s">
        <v>200</v>
      </c>
      <c r="Y328" s="49" t="s">
        <v>201</v>
      </c>
      <c r="Z328" s="50" t="s">
        <v>1257</v>
      </c>
      <c r="AA328" s="38"/>
      <c r="AB328" s="38"/>
      <c r="AC328" s="38"/>
      <c r="AD328" s="51">
        <v>63</v>
      </c>
      <c r="AE328" s="51">
        <v>63</v>
      </c>
      <c r="AF328" s="48" t="s">
        <v>203</v>
      </c>
      <c r="AG328" s="38" t="s">
        <v>204</v>
      </c>
      <c r="AH328" s="52"/>
      <c r="AI328" s="38"/>
      <c r="AJ328" s="38"/>
    </row>
    <row r="329" spans="1:36" ht="16.2">
      <c r="A329" s="53" t="s">
        <v>238</v>
      </c>
      <c r="B329" s="53">
        <v>558034</v>
      </c>
      <c r="C329" s="53" t="s">
        <v>1241</v>
      </c>
      <c r="D329" s="53">
        <v>13207644</v>
      </c>
      <c r="E329" s="54" t="s">
        <v>1242</v>
      </c>
      <c r="F329" s="53" t="s">
        <v>1258</v>
      </c>
      <c r="G329" s="53" t="s">
        <v>195</v>
      </c>
      <c r="H329" s="53"/>
      <c r="I329" s="53"/>
      <c r="J329" s="53">
        <v>13207644</v>
      </c>
      <c r="K329" s="53"/>
      <c r="L329" s="55">
        <v>45293</v>
      </c>
      <c r="M329" s="55">
        <v>45293</v>
      </c>
      <c r="N329" s="53" t="s">
        <v>839</v>
      </c>
      <c r="O329" s="53">
        <v>0</v>
      </c>
      <c r="P329" s="53">
        <v>1919044</v>
      </c>
      <c r="Q329" s="53" t="s">
        <v>1259</v>
      </c>
      <c r="R329" s="45">
        <v>410</v>
      </c>
      <c r="S329" s="56">
        <v>0.01</v>
      </c>
      <c r="T329" s="47" t="s">
        <v>198</v>
      </c>
      <c r="U329" s="48" t="s">
        <v>199</v>
      </c>
      <c r="V329" s="38"/>
      <c r="W329" s="48" t="s">
        <v>195</v>
      </c>
      <c r="X329" s="38" t="s">
        <v>200</v>
      </c>
      <c r="Y329" s="49" t="s">
        <v>201</v>
      </c>
      <c r="Z329" s="50" t="s">
        <v>1260</v>
      </c>
      <c r="AA329" s="38"/>
      <c r="AB329" s="38"/>
      <c r="AC329" s="38"/>
      <c r="AD329" s="51">
        <v>63</v>
      </c>
      <c r="AE329" s="51">
        <v>63</v>
      </c>
      <c r="AF329" s="48" t="s">
        <v>203</v>
      </c>
      <c r="AG329" s="38" t="s">
        <v>204</v>
      </c>
      <c r="AH329" s="52"/>
      <c r="AI329" s="38"/>
      <c r="AJ329" s="38"/>
    </row>
    <row r="330" spans="1:36" ht="16.2">
      <c r="A330" s="42" t="s">
        <v>238</v>
      </c>
      <c r="B330" s="42">
        <v>558034</v>
      </c>
      <c r="C330" s="42" t="s">
        <v>1241</v>
      </c>
      <c r="D330" s="42">
        <v>13207644</v>
      </c>
      <c r="E330" s="43" t="s">
        <v>1242</v>
      </c>
      <c r="F330" s="42" t="s">
        <v>1216</v>
      </c>
      <c r="G330" s="42" t="s">
        <v>195</v>
      </c>
      <c r="H330" s="42"/>
      <c r="I330" s="42"/>
      <c r="J330" s="42">
        <v>13207644</v>
      </c>
      <c r="K330" s="42"/>
      <c r="L330" s="44">
        <v>45293</v>
      </c>
      <c r="M330" s="44">
        <v>45293</v>
      </c>
      <c r="N330" s="42" t="s">
        <v>839</v>
      </c>
      <c r="O330" s="42">
        <v>0</v>
      </c>
      <c r="P330" s="42">
        <v>1919044</v>
      </c>
      <c r="Q330" s="42" t="s">
        <v>1261</v>
      </c>
      <c r="R330" s="45">
        <v>410</v>
      </c>
      <c r="S330" s="46">
        <v>0.01</v>
      </c>
      <c r="T330" s="47" t="s">
        <v>198</v>
      </c>
      <c r="U330" s="48" t="s">
        <v>199</v>
      </c>
      <c r="V330" s="38"/>
      <c r="W330" s="48" t="s">
        <v>195</v>
      </c>
      <c r="X330" s="38" t="s">
        <v>200</v>
      </c>
      <c r="Y330" s="49" t="s">
        <v>201</v>
      </c>
      <c r="Z330" s="50" t="s">
        <v>1262</v>
      </c>
      <c r="AA330" s="38"/>
      <c r="AB330" s="38"/>
      <c r="AC330" s="38"/>
      <c r="AD330" s="51">
        <v>63</v>
      </c>
      <c r="AE330" s="51">
        <v>63</v>
      </c>
      <c r="AF330" s="48" t="s">
        <v>203</v>
      </c>
      <c r="AG330" s="38" t="s">
        <v>204</v>
      </c>
      <c r="AH330" s="52"/>
      <c r="AI330" s="38"/>
      <c r="AJ330" s="38"/>
    </row>
    <row r="331" spans="1:36" ht="16.2">
      <c r="A331" s="53" t="s">
        <v>238</v>
      </c>
      <c r="B331" s="53">
        <v>558034</v>
      </c>
      <c r="C331" s="53" t="s">
        <v>1241</v>
      </c>
      <c r="D331" s="53">
        <v>13207644</v>
      </c>
      <c r="E331" s="54" t="s">
        <v>1242</v>
      </c>
      <c r="F331" s="53" t="s">
        <v>1198</v>
      </c>
      <c r="G331" s="53" t="s">
        <v>195</v>
      </c>
      <c r="H331" s="53"/>
      <c r="I331" s="53"/>
      <c r="J331" s="53">
        <v>13207644</v>
      </c>
      <c r="K331" s="53"/>
      <c r="L331" s="55">
        <v>45293</v>
      </c>
      <c r="M331" s="55">
        <v>45293</v>
      </c>
      <c r="N331" s="53" t="s">
        <v>839</v>
      </c>
      <c r="O331" s="53">
        <v>0</v>
      </c>
      <c r="P331" s="53">
        <v>1919044</v>
      </c>
      <c r="Q331" s="53" t="s">
        <v>1263</v>
      </c>
      <c r="R331" s="45">
        <v>410</v>
      </c>
      <c r="S331" s="56">
        <v>0.01</v>
      </c>
      <c r="T331" s="47" t="s">
        <v>198</v>
      </c>
      <c r="U331" s="48" t="s">
        <v>199</v>
      </c>
      <c r="V331" s="38"/>
      <c r="W331" s="48" t="s">
        <v>195</v>
      </c>
      <c r="X331" s="38" t="s">
        <v>200</v>
      </c>
      <c r="Y331" s="49" t="s">
        <v>201</v>
      </c>
      <c r="Z331" s="50" t="s">
        <v>1264</v>
      </c>
      <c r="AA331" s="38"/>
      <c r="AB331" s="38"/>
      <c r="AC331" s="38"/>
      <c r="AD331" s="51">
        <v>63</v>
      </c>
      <c r="AE331" s="51">
        <v>63</v>
      </c>
      <c r="AF331" s="48" t="s">
        <v>203</v>
      </c>
      <c r="AG331" s="38" t="s">
        <v>204</v>
      </c>
      <c r="AH331" s="52"/>
      <c r="AI331" s="38"/>
      <c r="AJ331" s="38"/>
    </row>
    <row r="332" spans="1:36" ht="16.2">
      <c r="A332" s="42" t="s">
        <v>238</v>
      </c>
      <c r="B332" s="42">
        <v>558034</v>
      </c>
      <c r="C332" s="42" t="s">
        <v>1241</v>
      </c>
      <c r="D332" s="42">
        <v>13207644</v>
      </c>
      <c r="E332" s="43" t="s">
        <v>1242</v>
      </c>
      <c r="F332" s="42" t="s">
        <v>1265</v>
      </c>
      <c r="G332" s="42" t="s">
        <v>195</v>
      </c>
      <c r="H332" s="42"/>
      <c r="I332" s="42"/>
      <c r="J332" s="42">
        <v>13207644</v>
      </c>
      <c r="K332" s="42"/>
      <c r="L332" s="44">
        <v>45293</v>
      </c>
      <c r="M332" s="44">
        <v>45293</v>
      </c>
      <c r="N332" s="42" t="s">
        <v>839</v>
      </c>
      <c r="O332" s="42">
        <v>0</v>
      </c>
      <c r="P332" s="42">
        <v>1919044</v>
      </c>
      <c r="Q332" s="42" t="s">
        <v>1266</v>
      </c>
      <c r="R332" s="45">
        <v>410</v>
      </c>
      <c r="S332" s="46">
        <v>0.01</v>
      </c>
      <c r="T332" s="47" t="s">
        <v>198</v>
      </c>
      <c r="U332" s="48" t="s">
        <v>199</v>
      </c>
      <c r="V332" s="38"/>
      <c r="W332" s="48" t="s">
        <v>195</v>
      </c>
      <c r="X332" s="38" t="s">
        <v>200</v>
      </c>
      <c r="Y332" s="49" t="s">
        <v>201</v>
      </c>
      <c r="Z332" s="50" t="s">
        <v>1267</v>
      </c>
      <c r="AA332" s="38"/>
      <c r="AB332" s="38"/>
      <c r="AC332" s="38"/>
      <c r="AD332" s="51">
        <v>63</v>
      </c>
      <c r="AE332" s="51">
        <v>63</v>
      </c>
      <c r="AF332" s="48" t="s">
        <v>203</v>
      </c>
      <c r="AG332" s="38" t="s">
        <v>204</v>
      </c>
      <c r="AH332" s="52"/>
      <c r="AI332" s="38"/>
      <c r="AJ332" s="38"/>
    </row>
    <row r="333" spans="1:36" ht="16.2">
      <c r="A333" s="53" t="s">
        <v>238</v>
      </c>
      <c r="B333" s="53">
        <v>558034</v>
      </c>
      <c r="C333" s="53" t="s">
        <v>1241</v>
      </c>
      <c r="D333" s="53">
        <v>13207644</v>
      </c>
      <c r="E333" s="54" t="s">
        <v>1242</v>
      </c>
      <c r="F333" s="53" t="s">
        <v>260</v>
      </c>
      <c r="G333" s="53" t="s">
        <v>195</v>
      </c>
      <c r="H333" s="53"/>
      <c r="I333" s="53"/>
      <c r="J333" s="53">
        <v>13207644</v>
      </c>
      <c r="K333" s="53"/>
      <c r="L333" s="55">
        <v>45293</v>
      </c>
      <c r="M333" s="55">
        <v>45293</v>
      </c>
      <c r="N333" s="53" t="s">
        <v>839</v>
      </c>
      <c r="O333" s="53">
        <v>0</v>
      </c>
      <c r="P333" s="53">
        <v>1919044</v>
      </c>
      <c r="Q333" s="53" t="s">
        <v>1268</v>
      </c>
      <c r="R333" s="45">
        <v>410</v>
      </c>
      <c r="S333" s="56">
        <v>0.01</v>
      </c>
      <c r="T333" s="47" t="s">
        <v>198</v>
      </c>
      <c r="U333" s="48" t="s">
        <v>199</v>
      </c>
      <c r="V333" s="38"/>
      <c r="W333" s="48" t="s">
        <v>195</v>
      </c>
      <c r="X333" s="38" t="s">
        <v>200</v>
      </c>
      <c r="Y333" s="49" t="s">
        <v>201</v>
      </c>
      <c r="Z333" s="50" t="s">
        <v>1269</v>
      </c>
      <c r="AA333" s="38"/>
      <c r="AB333" s="38"/>
      <c r="AC333" s="38"/>
      <c r="AD333" s="51">
        <v>63</v>
      </c>
      <c r="AE333" s="51">
        <v>63</v>
      </c>
      <c r="AF333" s="48" t="s">
        <v>203</v>
      </c>
      <c r="AG333" s="38" t="s">
        <v>204</v>
      </c>
      <c r="AH333" s="52"/>
      <c r="AI333" s="38"/>
      <c r="AJ333" s="38"/>
    </row>
    <row r="334" spans="1:36" ht="16.2">
      <c r="A334" s="42" t="s">
        <v>238</v>
      </c>
      <c r="B334" s="42">
        <v>558034</v>
      </c>
      <c r="C334" s="42" t="s">
        <v>1241</v>
      </c>
      <c r="D334" s="42">
        <v>13207644</v>
      </c>
      <c r="E334" s="43" t="s">
        <v>1242</v>
      </c>
      <c r="F334" s="42" t="s">
        <v>1270</v>
      </c>
      <c r="G334" s="42" t="s">
        <v>195</v>
      </c>
      <c r="H334" s="42"/>
      <c r="I334" s="42"/>
      <c r="J334" s="42">
        <v>13207644</v>
      </c>
      <c r="K334" s="42"/>
      <c r="L334" s="44">
        <v>45293</v>
      </c>
      <c r="M334" s="44">
        <v>45293</v>
      </c>
      <c r="N334" s="42" t="s">
        <v>839</v>
      </c>
      <c r="O334" s="42">
        <v>0</v>
      </c>
      <c r="P334" s="42">
        <v>1919044</v>
      </c>
      <c r="Q334" s="42" t="s">
        <v>1271</v>
      </c>
      <c r="R334" s="45">
        <v>410</v>
      </c>
      <c r="S334" s="46">
        <v>0.01</v>
      </c>
      <c r="T334" s="47" t="s">
        <v>198</v>
      </c>
      <c r="U334" s="48" t="s">
        <v>199</v>
      </c>
      <c r="V334" s="38"/>
      <c r="W334" s="48" t="s">
        <v>195</v>
      </c>
      <c r="X334" s="38" t="s">
        <v>200</v>
      </c>
      <c r="Y334" s="49" t="s">
        <v>201</v>
      </c>
      <c r="Z334" s="50" t="s">
        <v>1272</v>
      </c>
      <c r="AA334" s="38"/>
      <c r="AB334" s="38"/>
      <c r="AC334" s="38"/>
      <c r="AD334" s="51">
        <v>63</v>
      </c>
      <c r="AE334" s="51">
        <v>63</v>
      </c>
      <c r="AF334" s="48" t="s">
        <v>203</v>
      </c>
      <c r="AG334" s="38" t="s">
        <v>204</v>
      </c>
      <c r="AH334" s="52"/>
      <c r="AI334" s="38"/>
      <c r="AJ334" s="38"/>
    </row>
    <row r="335" spans="1:36" ht="16.2">
      <c r="A335" s="53" t="s">
        <v>238</v>
      </c>
      <c r="B335" s="53">
        <v>558034</v>
      </c>
      <c r="C335" s="53" t="s">
        <v>1241</v>
      </c>
      <c r="D335" s="53">
        <v>13207644</v>
      </c>
      <c r="E335" s="54" t="s">
        <v>1242</v>
      </c>
      <c r="F335" s="53" t="s">
        <v>1273</v>
      </c>
      <c r="G335" s="53" t="s">
        <v>195</v>
      </c>
      <c r="H335" s="53"/>
      <c r="I335" s="53"/>
      <c r="J335" s="53">
        <v>13207644</v>
      </c>
      <c r="K335" s="53"/>
      <c r="L335" s="55">
        <v>45293</v>
      </c>
      <c r="M335" s="55">
        <v>45293</v>
      </c>
      <c r="N335" s="53" t="s">
        <v>839</v>
      </c>
      <c r="O335" s="53">
        <v>0</v>
      </c>
      <c r="P335" s="53">
        <v>1919044</v>
      </c>
      <c r="Q335" s="53" t="s">
        <v>1274</v>
      </c>
      <c r="R335" s="45">
        <v>410</v>
      </c>
      <c r="S335" s="56">
        <v>0.01</v>
      </c>
      <c r="T335" s="47" t="s">
        <v>198</v>
      </c>
      <c r="U335" s="48" t="s">
        <v>199</v>
      </c>
      <c r="V335" s="38"/>
      <c r="W335" s="48" t="s">
        <v>195</v>
      </c>
      <c r="X335" s="38" t="s">
        <v>200</v>
      </c>
      <c r="Y335" s="49" t="s">
        <v>201</v>
      </c>
      <c r="Z335" s="50" t="s">
        <v>1275</v>
      </c>
      <c r="AA335" s="38"/>
      <c r="AB335" s="38"/>
      <c r="AC335" s="38"/>
      <c r="AD335" s="51">
        <v>63</v>
      </c>
      <c r="AE335" s="51">
        <v>63</v>
      </c>
      <c r="AF335" s="48" t="s">
        <v>203</v>
      </c>
      <c r="AG335" s="38" t="s">
        <v>204</v>
      </c>
      <c r="AH335" s="52"/>
      <c r="AI335" s="38"/>
      <c r="AJ335" s="38"/>
    </row>
    <row r="336" spans="1:36" ht="16.2">
      <c r="A336" s="42" t="s">
        <v>238</v>
      </c>
      <c r="B336" s="42">
        <v>558034</v>
      </c>
      <c r="C336" s="42" t="s">
        <v>1241</v>
      </c>
      <c r="D336" s="42">
        <v>13207644</v>
      </c>
      <c r="E336" s="43" t="s">
        <v>1242</v>
      </c>
      <c r="F336" s="42" t="s">
        <v>1276</v>
      </c>
      <c r="G336" s="42" t="s">
        <v>195</v>
      </c>
      <c r="H336" s="42"/>
      <c r="I336" s="42"/>
      <c r="J336" s="42">
        <v>13207644</v>
      </c>
      <c r="K336" s="42"/>
      <c r="L336" s="44">
        <v>45293</v>
      </c>
      <c r="M336" s="44">
        <v>45293</v>
      </c>
      <c r="N336" s="42" t="s">
        <v>839</v>
      </c>
      <c r="O336" s="42">
        <v>0</v>
      </c>
      <c r="P336" s="42">
        <v>1919044</v>
      </c>
      <c r="Q336" s="42" t="s">
        <v>1277</v>
      </c>
      <c r="R336" s="45">
        <v>410</v>
      </c>
      <c r="S336" s="46">
        <v>0.01</v>
      </c>
      <c r="T336" s="47" t="s">
        <v>198</v>
      </c>
      <c r="U336" s="48" t="s">
        <v>199</v>
      </c>
      <c r="V336" s="38"/>
      <c r="W336" s="48" t="s">
        <v>195</v>
      </c>
      <c r="X336" s="38" t="s">
        <v>200</v>
      </c>
      <c r="Y336" s="49" t="s">
        <v>201</v>
      </c>
      <c r="Z336" s="50" t="s">
        <v>1278</v>
      </c>
      <c r="AA336" s="38"/>
      <c r="AB336" s="38"/>
      <c r="AC336" s="38"/>
      <c r="AD336" s="51">
        <v>63</v>
      </c>
      <c r="AE336" s="51">
        <v>63</v>
      </c>
      <c r="AF336" s="48" t="s">
        <v>203</v>
      </c>
      <c r="AG336" s="38" t="s">
        <v>204</v>
      </c>
      <c r="AH336" s="52"/>
      <c r="AI336" s="38"/>
      <c r="AJ336" s="38"/>
    </row>
    <row r="337" spans="1:36" ht="16.2">
      <c r="A337" s="53" t="s">
        <v>238</v>
      </c>
      <c r="B337" s="53">
        <v>558034</v>
      </c>
      <c r="C337" s="53" t="s">
        <v>1241</v>
      </c>
      <c r="D337" s="53">
        <v>13207644</v>
      </c>
      <c r="E337" s="54" t="s">
        <v>1242</v>
      </c>
      <c r="F337" s="53" t="s">
        <v>1279</v>
      </c>
      <c r="G337" s="53" t="s">
        <v>195</v>
      </c>
      <c r="H337" s="53"/>
      <c r="I337" s="53"/>
      <c r="J337" s="53">
        <v>13207644</v>
      </c>
      <c r="K337" s="53"/>
      <c r="L337" s="55">
        <v>45293</v>
      </c>
      <c r="M337" s="55">
        <v>45293</v>
      </c>
      <c r="N337" s="53" t="s">
        <v>839</v>
      </c>
      <c r="O337" s="53">
        <v>0</v>
      </c>
      <c r="P337" s="53">
        <v>1919044</v>
      </c>
      <c r="Q337" s="53" t="s">
        <v>1280</v>
      </c>
      <c r="R337" s="45">
        <v>410</v>
      </c>
      <c r="S337" s="56">
        <v>0.01</v>
      </c>
      <c r="T337" s="47" t="s">
        <v>198</v>
      </c>
      <c r="U337" s="48" t="s">
        <v>199</v>
      </c>
      <c r="V337" s="38"/>
      <c r="W337" s="48" t="s">
        <v>195</v>
      </c>
      <c r="X337" s="38" t="s">
        <v>200</v>
      </c>
      <c r="Y337" s="49" t="s">
        <v>201</v>
      </c>
      <c r="Z337" s="50" t="s">
        <v>1281</v>
      </c>
      <c r="AA337" s="38"/>
      <c r="AB337" s="38"/>
      <c r="AC337" s="38"/>
      <c r="AD337" s="51">
        <v>63</v>
      </c>
      <c r="AE337" s="51">
        <v>63</v>
      </c>
      <c r="AF337" s="48" t="s">
        <v>203</v>
      </c>
      <c r="AG337" s="38" t="s">
        <v>204</v>
      </c>
      <c r="AH337" s="52"/>
      <c r="AI337" s="38"/>
      <c r="AJ337" s="38"/>
    </row>
    <row r="338" spans="1:36" ht="16.2">
      <c r="A338" s="42" t="s">
        <v>238</v>
      </c>
      <c r="B338" s="42">
        <v>558034</v>
      </c>
      <c r="C338" s="42" t="s">
        <v>1241</v>
      </c>
      <c r="D338" s="42">
        <v>13207644</v>
      </c>
      <c r="E338" s="43" t="s">
        <v>1242</v>
      </c>
      <c r="F338" s="42" t="s">
        <v>263</v>
      </c>
      <c r="G338" s="42" t="s">
        <v>195</v>
      </c>
      <c r="H338" s="42"/>
      <c r="I338" s="42"/>
      <c r="J338" s="42">
        <v>13207644</v>
      </c>
      <c r="K338" s="42"/>
      <c r="L338" s="44">
        <v>45293</v>
      </c>
      <c r="M338" s="44">
        <v>45293</v>
      </c>
      <c r="N338" s="42" t="s">
        <v>839</v>
      </c>
      <c r="O338" s="42">
        <v>0</v>
      </c>
      <c r="P338" s="42">
        <v>1919044</v>
      </c>
      <c r="Q338" s="42" t="s">
        <v>1282</v>
      </c>
      <c r="R338" s="45">
        <v>410</v>
      </c>
      <c r="S338" s="46">
        <v>0.01</v>
      </c>
      <c r="T338" s="47" t="s">
        <v>198</v>
      </c>
      <c r="U338" s="48" t="s">
        <v>199</v>
      </c>
      <c r="V338" s="38"/>
      <c r="W338" s="48" t="s">
        <v>195</v>
      </c>
      <c r="X338" s="38" t="s">
        <v>200</v>
      </c>
      <c r="Y338" s="49" t="s">
        <v>201</v>
      </c>
      <c r="Z338" s="50" t="s">
        <v>1283</v>
      </c>
      <c r="AA338" s="38"/>
      <c r="AB338" s="38"/>
      <c r="AC338" s="38"/>
      <c r="AD338" s="51">
        <v>63</v>
      </c>
      <c r="AE338" s="51">
        <v>63</v>
      </c>
      <c r="AF338" s="48" t="s">
        <v>203</v>
      </c>
      <c r="AG338" s="38" t="s">
        <v>204</v>
      </c>
      <c r="AH338" s="52"/>
      <c r="AI338" s="38"/>
      <c r="AJ338" s="38"/>
    </row>
    <row r="339" spans="1:36" ht="16.2">
      <c r="A339" s="53" t="s">
        <v>238</v>
      </c>
      <c r="B339" s="53">
        <v>558034</v>
      </c>
      <c r="C339" s="53" t="s">
        <v>1241</v>
      </c>
      <c r="D339" s="53">
        <v>13207644</v>
      </c>
      <c r="E339" s="54" t="s">
        <v>1242</v>
      </c>
      <c r="F339" s="53" t="s">
        <v>1213</v>
      </c>
      <c r="G339" s="53" t="s">
        <v>195</v>
      </c>
      <c r="H339" s="53"/>
      <c r="I339" s="53"/>
      <c r="J339" s="53">
        <v>13207644</v>
      </c>
      <c r="K339" s="53"/>
      <c r="L339" s="55">
        <v>45293</v>
      </c>
      <c r="M339" s="55">
        <v>45293</v>
      </c>
      <c r="N339" s="53" t="s">
        <v>839</v>
      </c>
      <c r="O339" s="53">
        <v>0</v>
      </c>
      <c r="P339" s="53">
        <v>1919044</v>
      </c>
      <c r="Q339" s="53" t="s">
        <v>1284</v>
      </c>
      <c r="R339" s="45">
        <v>410</v>
      </c>
      <c r="S339" s="56">
        <v>0.01</v>
      </c>
      <c r="T339" s="47" t="s">
        <v>198</v>
      </c>
      <c r="U339" s="48" t="s">
        <v>199</v>
      </c>
      <c r="V339" s="38"/>
      <c r="W339" s="48" t="s">
        <v>195</v>
      </c>
      <c r="X339" s="38" t="s">
        <v>200</v>
      </c>
      <c r="Y339" s="49" t="s">
        <v>201</v>
      </c>
      <c r="Z339" s="50" t="s">
        <v>1285</v>
      </c>
      <c r="AA339" s="38"/>
      <c r="AB339" s="38"/>
      <c r="AC339" s="38"/>
      <c r="AD339" s="51">
        <v>63</v>
      </c>
      <c r="AE339" s="51">
        <v>63</v>
      </c>
      <c r="AF339" s="48" t="s">
        <v>203</v>
      </c>
      <c r="AG339" s="38" t="s">
        <v>204</v>
      </c>
      <c r="AH339" s="52"/>
      <c r="AI339" s="38"/>
      <c r="AJ339" s="38"/>
    </row>
    <row r="340" spans="1:36" ht="16.2">
      <c r="A340" s="42" t="s">
        <v>238</v>
      </c>
      <c r="B340" s="42">
        <v>558034</v>
      </c>
      <c r="C340" s="42" t="s">
        <v>1241</v>
      </c>
      <c r="D340" s="42">
        <v>13207644</v>
      </c>
      <c r="E340" s="43" t="s">
        <v>1242</v>
      </c>
      <c r="F340" s="42" t="s">
        <v>1238</v>
      </c>
      <c r="G340" s="42" t="s">
        <v>195</v>
      </c>
      <c r="H340" s="42"/>
      <c r="I340" s="42"/>
      <c r="J340" s="42">
        <v>13207644</v>
      </c>
      <c r="K340" s="42"/>
      <c r="L340" s="44">
        <v>45293</v>
      </c>
      <c r="M340" s="44">
        <v>45293</v>
      </c>
      <c r="N340" s="42" t="s">
        <v>839</v>
      </c>
      <c r="O340" s="42">
        <v>0</v>
      </c>
      <c r="P340" s="42">
        <v>1919044</v>
      </c>
      <c r="Q340" s="42" t="s">
        <v>1286</v>
      </c>
      <c r="R340" s="45">
        <v>410</v>
      </c>
      <c r="S340" s="46">
        <v>0.01</v>
      </c>
      <c r="T340" s="47" t="s">
        <v>198</v>
      </c>
      <c r="U340" s="48" t="s">
        <v>199</v>
      </c>
      <c r="V340" s="38"/>
      <c r="W340" s="48" t="s">
        <v>195</v>
      </c>
      <c r="X340" s="38" t="s">
        <v>200</v>
      </c>
      <c r="Y340" s="49" t="s">
        <v>201</v>
      </c>
      <c r="Z340" s="50" t="s">
        <v>1287</v>
      </c>
      <c r="AA340" s="38"/>
      <c r="AB340" s="38"/>
      <c r="AC340" s="38"/>
      <c r="AD340" s="51">
        <v>63</v>
      </c>
      <c r="AE340" s="51">
        <v>63</v>
      </c>
      <c r="AF340" s="48" t="s">
        <v>203</v>
      </c>
      <c r="AG340" s="38" t="s">
        <v>204</v>
      </c>
      <c r="AH340" s="52"/>
      <c r="AI340" s="38"/>
      <c r="AJ340" s="38"/>
    </row>
    <row r="341" spans="1:36" ht="16.2">
      <c r="A341" s="53" t="s">
        <v>836</v>
      </c>
      <c r="B341" s="53">
        <v>548732</v>
      </c>
      <c r="C341" s="53" t="s">
        <v>1241</v>
      </c>
      <c r="D341" s="53">
        <v>13207516</v>
      </c>
      <c r="E341" s="54" t="s">
        <v>1242</v>
      </c>
      <c r="F341" s="53" t="s">
        <v>1189</v>
      </c>
      <c r="G341" s="53" t="s">
        <v>195</v>
      </c>
      <c r="H341" s="53"/>
      <c r="I341" s="53"/>
      <c r="J341" s="53">
        <v>13207516</v>
      </c>
      <c r="K341" s="53"/>
      <c r="L341" s="55">
        <v>45293</v>
      </c>
      <c r="M341" s="55">
        <v>45293</v>
      </c>
      <c r="N341" s="53" t="s">
        <v>1288</v>
      </c>
      <c r="O341" s="53">
        <v>0</v>
      </c>
      <c r="P341" s="53">
        <v>6549827</v>
      </c>
      <c r="Q341" s="53" t="s">
        <v>1289</v>
      </c>
      <c r="R341" s="45">
        <v>410</v>
      </c>
      <c r="S341" s="56">
        <v>0.01</v>
      </c>
      <c r="T341" s="47" t="s">
        <v>198</v>
      </c>
      <c r="U341" s="48" t="s">
        <v>199</v>
      </c>
      <c r="V341" s="38"/>
      <c r="W341" s="48" t="s">
        <v>195</v>
      </c>
      <c r="X341" s="38" t="s">
        <v>200</v>
      </c>
      <c r="Y341" s="49" t="s">
        <v>201</v>
      </c>
      <c r="Z341" s="50" t="s">
        <v>1290</v>
      </c>
      <c r="AA341" s="38"/>
      <c r="AB341" s="38"/>
      <c r="AC341" s="38"/>
      <c r="AD341" s="51">
        <v>38</v>
      </c>
      <c r="AE341" s="51">
        <v>38</v>
      </c>
      <c r="AF341" s="48" t="s">
        <v>203</v>
      </c>
      <c r="AG341" s="38" t="s">
        <v>204</v>
      </c>
      <c r="AH341" s="52"/>
      <c r="AI341" s="38"/>
      <c r="AJ341" s="38"/>
    </row>
    <row r="342" spans="1:36" ht="16.2">
      <c r="A342" s="42" t="s">
        <v>836</v>
      </c>
      <c r="B342" s="42">
        <v>548732</v>
      </c>
      <c r="C342" s="42" t="s">
        <v>1241</v>
      </c>
      <c r="D342" s="42">
        <v>13207516</v>
      </c>
      <c r="E342" s="43" t="s">
        <v>1242</v>
      </c>
      <c r="F342" s="42" t="s">
        <v>1195</v>
      </c>
      <c r="G342" s="42" t="s">
        <v>195</v>
      </c>
      <c r="H342" s="42"/>
      <c r="I342" s="42"/>
      <c r="J342" s="42">
        <v>13207516</v>
      </c>
      <c r="K342" s="42"/>
      <c r="L342" s="44">
        <v>45293</v>
      </c>
      <c r="M342" s="44">
        <v>45293</v>
      </c>
      <c r="N342" s="42" t="s">
        <v>1288</v>
      </c>
      <c r="O342" s="42">
        <v>0</v>
      </c>
      <c r="P342" s="42">
        <v>6549827</v>
      </c>
      <c r="Q342" s="42" t="s">
        <v>1291</v>
      </c>
      <c r="R342" s="45">
        <v>410</v>
      </c>
      <c r="S342" s="46">
        <v>0.01</v>
      </c>
      <c r="T342" s="47" t="s">
        <v>198</v>
      </c>
      <c r="U342" s="48" t="s">
        <v>199</v>
      </c>
      <c r="V342" s="38"/>
      <c r="W342" s="48" t="s">
        <v>195</v>
      </c>
      <c r="X342" s="38" t="s">
        <v>200</v>
      </c>
      <c r="Y342" s="49" t="s">
        <v>201</v>
      </c>
      <c r="Z342" s="50" t="s">
        <v>1292</v>
      </c>
      <c r="AA342" s="38"/>
      <c r="AB342" s="38"/>
      <c r="AC342" s="38"/>
      <c r="AD342" s="51">
        <v>38</v>
      </c>
      <c r="AE342" s="51">
        <v>38</v>
      </c>
      <c r="AF342" s="48" t="s">
        <v>203</v>
      </c>
      <c r="AG342" s="38" t="s">
        <v>204</v>
      </c>
      <c r="AH342" s="52"/>
      <c r="AI342" s="38"/>
      <c r="AJ342" s="38"/>
    </row>
    <row r="343" spans="1:36" ht="16.2">
      <c r="A343" s="53" t="s">
        <v>836</v>
      </c>
      <c r="B343" s="53">
        <v>548732</v>
      </c>
      <c r="C343" s="53" t="s">
        <v>1241</v>
      </c>
      <c r="D343" s="53">
        <v>13207516</v>
      </c>
      <c r="E343" s="54" t="s">
        <v>1242</v>
      </c>
      <c r="F343" s="53" t="s">
        <v>1247</v>
      </c>
      <c r="G343" s="53" t="s">
        <v>195</v>
      </c>
      <c r="H343" s="53"/>
      <c r="I343" s="53"/>
      <c r="J343" s="53">
        <v>13207516</v>
      </c>
      <c r="K343" s="53"/>
      <c r="L343" s="55">
        <v>45293</v>
      </c>
      <c r="M343" s="55">
        <v>45293</v>
      </c>
      <c r="N343" s="53" t="s">
        <v>1288</v>
      </c>
      <c r="O343" s="53">
        <v>0</v>
      </c>
      <c r="P343" s="53">
        <v>6549827</v>
      </c>
      <c r="Q343" s="53" t="s">
        <v>1293</v>
      </c>
      <c r="R343" s="45">
        <v>410</v>
      </c>
      <c r="S343" s="56">
        <v>0.01</v>
      </c>
      <c r="T343" s="47" t="s">
        <v>198</v>
      </c>
      <c r="U343" s="48" t="s">
        <v>199</v>
      </c>
      <c r="V343" s="38"/>
      <c r="W343" s="48" t="s">
        <v>195</v>
      </c>
      <c r="X343" s="38" t="s">
        <v>200</v>
      </c>
      <c r="Y343" s="49" t="s">
        <v>201</v>
      </c>
      <c r="Z343" s="50" t="s">
        <v>1294</v>
      </c>
      <c r="AA343" s="38"/>
      <c r="AB343" s="38"/>
      <c r="AC343" s="38"/>
      <c r="AD343" s="51">
        <v>38</v>
      </c>
      <c r="AE343" s="51">
        <v>38</v>
      </c>
      <c r="AF343" s="48" t="s">
        <v>203</v>
      </c>
      <c r="AG343" s="38" t="s">
        <v>204</v>
      </c>
      <c r="AH343" s="52"/>
      <c r="AI343" s="38"/>
      <c r="AJ343" s="38"/>
    </row>
    <row r="344" spans="1:36" ht="16.2">
      <c r="A344" s="42" t="s">
        <v>836</v>
      </c>
      <c r="B344" s="42">
        <v>548732</v>
      </c>
      <c r="C344" s="42" t="s">
        <v>1241</v>
      </c>
      <c r="D344" s="42">
        <v>13207516</v>
      </c>
      <c r="E344" s="43" t="s">
        <v>1242</v>
      </c>
      <c r="F344" s="42" t="s">
        <v>293</v>
      </c>
      <c r="G344" s="42" t="s">
        <v>195</v>
      </c>
      <c r="H344" s="42"/>
      <c r="I344" s="42"/>
      <c r="J344" s="42">
        <v>13207516</v>
      </c>
      <c r="K344" s="42"/>
      <c r="L344" s="44">
        <v>45293</v>
      </c>
      <c r="M344" s="44">
        <v>45293</v>
      </c>
      <c r="N344" s="42" t="s">
        <v>1288</v>
      </c>
      <c r="O344" s="42">
        <v>0</v>
      </c>
      <c r="P344" s="42">
        <v>6549827</v>
      </c>
      <c r="Q344" s="42" t="s">
        <v>1295</v>
      </c>
      <c r="R344" s="45">
        <v>410</v>
      </c>
      <c r="S344" s="46">
        <v>0.01</v>
      </c>
      <c r="T344" s="47" t="s">
        <v>198</v>
      </c>
      <c r="U344" s="48" t="s">
        <v>199</v>
      </c>
      <c r="V344" s="38"/>
      <c r="W344" s="48" t="s">
        <v>195</v>
      </c>
      <c r="X344" s="38" t="s">
        <v>200</v>
      </c>
      <c r="Y344" s="49" t="s">
        <v>201</v>
      </c>
      <c r="Z344" s="50" t="s">
        <v>1296</v>
      </c>
      <c r="AA344" s="38"/>
      <c r="AB344" s="38"/>
      <c r="AC344" s="38"/>
      <c r="AD344" s="51">
        <v>38</v>
      </c>
      <c r="AE344" s="51">
        <v>38</v>
      </c>
      <c r="AF344" s="48" t="s">
        <v>203</v>
      </c>
      <c r="AG344" s="38" t="s">
        <v>204</v>
      </c>
      <c r="AH344" s="52"/>
      <c r="AI344" s="38"/>
      <c r="AJ344" s="38"/>
    </row>
    <row r="345" spans="1:36" ht="16.2">
      <c r="A345" s="53" t="s">
        <v>836</v>
      </c>
      <c r="B345" s="53">
        <v>548732</v>
      </c>
      <c r="C345" s="53" t="s">
        <v>1241</v>
      </c>
      <c r="D345" s="53">
        <v>13207516</v>
      </c>
      <c r="E345" s="54" t="s">
        <v>1242</v>
      </c>
      <c r="F345" s="53" t="s">
        <v>1252</v>
      </c>
      <c r="G345" s="53" t="s">
        <v>195</v>
      </c>
      <c r="H345" s="53"/>
      <c r="I345" s="53"/>
      <c r="J345" s="53">
        <v>13207516</v>
      </c>
      <c r="K345" s="53"/>
      <c r="L345" s="55">
        <v>45293</v>
      </c>
      <c r="M345" s="55">
        <v>45293</v>
      </c>
      <c r="N345" s="53" t="s">
        <v>1288</v>
      </c>
      <c r="O345" s="53">
        <v>0</v>
      </c>
      <c r="P345" s="53">
        <v>6549827</v>
      </c>
      <c r="Q345" s="53" t="s">
        <v>1297</v>
      </c>
      <c r="R345" s="45">
        <v>410</v>
      </c>
      <c r="S345" s="56">
        <v>0.01</v>
      </c>
      <c r="T345" s="47" t="s">
        <v>198</v>
      </c>
      <c r="U345" s="48" t="s">
        <v>199</v>
      </c>
      <c r="V345" s="38"/>
      <c r="W345" s="48" t="s">
        <v>195</v>
      </c>
      <c r="X345" s="38" t="s">
        <v>200</v>
      </c>
      <c r="Y345" s="49" t="s">
        <v>201</v>
      </c>
      <c r="Z345" s="50" t="s">
        <v>1298</v>
      </c>
      <c r="AA345" s="38"/>
      <c r="AB345" s="38"/>
      <c r="AC345" s="38"/>
      <c r="AD345" s="51">
        <v>38</v>
      </c>
      <c r="AE345" s="51">
        <v>38</v>
      </c>
      <c r="AF345" s="48" t="s">
        <v>203</v>
      </c>
      <c r="AG345" s="38" t="s">
        <v>204</v>
      </c>
      <c r="AH345" s="52"/>
      <c r="AI345" s="38"/>
      <c r="AJ345" s="38"/>
    </row>
    <row r="346" spans="1:36" ht="16.2">
      <c r="A346" s="42" t="s">
        <v>836</v>
      </c>
      <c r="B346" s="42">
        <v>548732</v>
      </c>
      <c r="C346" s="42" t="s">
        <v>1241</v>
      </c>
      <c r="D346" s="42">
        <v>13207516</v>
      </c>
      <c r="E346" s="43" t="s">
        <v>1242</v>
      </c>
      <c r="F346" s="42" t="s">
        <v>1255</v>
      </c>
      <c r="G346" s="42" t="s">
        <v>195</v>
      </c>
      <c r="H346" s="42"/>
      <c r="I346" s="42"/>
      <c r="J346" s="42">
        <v>13207516</v>
      </c>
      <c r="K346" s="42"/>
      <c r="L346" s="44">
        <v>45293</v>
      </c>
      <c r="M346" s="44">
        <v>45293</v>
      </c>
      <c r="N346" s="42" t="s">
        <v>1288</v>
      </c>
      <c r="O346" s="42">
        <v>0</v>
      </c>
      <c r="P346" s="42">
        <v>6549827</v>
      </c>
      <c r="Q346" s="42" t="s">
        <v>1299</v>
      </c>
      <c r="R346" s="45">
        <v>410</v>
      </c>
      <c r="S346" s="42">
        <v>0</v>
      </c>
      <c r="T346" s="47" t="s">
        <v>198</v>
      </c>
      <c r="U346" s="48" t="s">
        <v>199</v>
      </c>
      <c r="V346" s="38"/>
      <c r="W346" s="48" t="s">
        <v>195</v>
      </c>
      <c r="X346" s="38" t="s">
        <v>200</v>
      </c>
      <c r="Y346" s="49" t="s">
        <v>201</v>
      </c>
      <c r="Z346" s="50" t="s">
        <v>1300</v>
      </c>
      <c r="AA346" s="38"/>
      <c r="AB346" s="38"/>
      <c r="AC346" s="38"/>
      <c r="AD346" s="51">
        <v>38</v>
      </c>
      <c r="AE346" s="51">
        <v>38</v>
      </c>
      <c r="AF346" s="48" t="s">
        <v>203</v>
      </c>
      <c r="AG346" s="38" t="s">
        <v>204</v>
      </c>
      <c r="AH346" s="52"/>
      <c r="AI346" s="38"/>
      <c r="AJ346" s="38"/>
    </row>
    <row r="347" spans="1:36" ht="16.2">
      <c r="A347" s="53" t="s">
        <v>836</v>
      </c>
      <c r="B347" s="53">
        <v>548732</v>
      </c>
      <c r="C347" s="53" t="s">
        <v>1241</v>
      </c>
      <c r="D347" s="53">
        <v>13207516</v>
      </c>
      <c r="E347" s="54" t="s">
        <v>1242</v>
      </c>
      <c r="F347" s="53" t="s">
        <v>1301</v>
      </c>
      <c r="G347" s="53" t="s">
        <v>195</v>
      </c>
      <c r="H347" s="53"/>
      <c r="I347" s="53"/>
      <c r="J347" s="53">
        <v>13207516</v>
      </c>
      <c r="K347" s="53"/>
      <c r="L347" s="55">
        <v>45293</v>
      </c>
      <c r="M347" s="55">
        <v>45293</v>
      </c>
      <c r="N347" s="53" t="s">
        <v>1288</v>
      </c>
      <c r="O347" s="53">
        <v>0</v>
      </c>
      <c r="P347" s="53">
        <v>6549827</v>
      </c>
      <c r="Q347" s="53" t="s">
        <v>1302</v>
      </c>
      <c r="R347" s="45">
        <v>410</v>
      </c>
      <c r="S347" s="53">
        <v>0</v>
      </c>
      <c r="T347" s="47" t="s">
        <v>198</v>
      </c>
      <c r="U347" s="48" t="s">
        <v>199</v>
      </c>
      <c r="V347" s="38"/>
      <c r="W347" s="48" t="s">
        <v>195</v>
      </c>
      <c r="X347" s="38" t="s">
        <v>200</v>
      </c>
      <c r="Y347" s="49" t="s">
        <v>201</v>
      </c>
      <c r="Z347" s="50" t="s">
        <v>1303</v>
      </c>
      <c r="AA347" s="38"/>
      <c r="AB347" s="38"/>
      <c r="AC347" s="38"/>
      <c r="AD347" s="51">
        <v>38</v>
      </c>
      <c r="AE347" s="51">
        <v>38</v>
      </c>
      <c r="AF347" s="48" t="s">
        <v>203</v>
      </c>
      <c r="AG347" s="38" t="s">
        <v>204</v>
      </c>
      <c r="AH347" s="52"/>
      <c r="AI347" s="38"/>
      <c r="AJ347" s="38"/>
    </row>
    <row r="348" spans="1:36" ht="16.2">
      <c r="A348" s="42" t="s">
        <v>836</v>
      </c>
      <c r="B348" s="42">
        <v>548732</v>
      </c>
      <c r="C348" s="42" t="s">
        <v>1241</v>
      </c>
      <c r="D348" s="42">
        <v>13207516</v>
      </c>
      <c r="E348" s="43" t="s">
        <v>1242</v>
      </c>
      <c r="F348" s="42" t="s">
        <v>1216</v>
      </c>
      <c r="G348" s="42" t="s">
        <v>195</v>
      </c>
      <c r="H348" s="42"/>
      <c r="I348" s="42"/>
      <c r="J348" s="42">
        <v>13207516</v>
      </c>
      <c r="K348" s="42"/>
      <c r="L348" s="44">
        <v>45293</v>
      </c>
      <c r="M348" s="44">
        <v>45293</v>
      </c>
      <c r="N348" s="42" t="s">
        <v>1288</v>
      </c>
      <c r="O348" s="42">
        <v>0</v>
      </c>
      <c r="P348" s="42">
        <v>6549827</v>
      </c>
      <c r="Q348" s="42" t="s">
        <v>1304</v>
      </c>
      <c r="R348" s="45">
        <v>410</v>
      </c>
      <c r="S348" s="42">
        <v>0</v>
      </c>
      <c r="T348" s="47" t="s">
        <v>198</v>
      </c>
      <c r="U348" s="48" t="s">
        <v>199</v>
      </c>
      <c r="V348" s="38"/>
      <c r="W348" s="48" t="s">
        <v>195</v>
      </c>
      <c r="X348" s="38" t="s">
        <v>200</v>
      </c>
      <c r="Y348" s="49" t="s">
        <v>201</v>
      </c>
      <c r="Z348" s="50" t="s">
        <v>1305</v>
      </c>
      <c r="AA348" s="38"/>
      <c r="AB348" s="38"/>
      <c r="AC348" s="38"/>
      <c r="AD348" s="51">
        <v>38</v>
      </c>
      <c r="AE348" s="51">
        <v>38</v>
      </c>
      <c r="AF348" s="48" t="s">
        <v>203</v>
      </c>
      <c r="AG348" s="38" t="s">
        <v>204</v>
      </c>
      <c r="AH348" s="52"/>
      <c r="AI348" s="38"/>
      <c r="AJ348" s="38"/>
    </row>
    <row r="349" spans="1:36" ht="16.2">
      <c r="A349" s="53" t="s">
        <v>836</v>
      </c>
      <c r="B349" s="53">
        <v>548732</v>
      </c>
      <c r="C349" s="53" t="s">
        <v>1241</v>
      </c>
      <c r="D349" s="53">
        <v>13207516</v>
      </c>
      <c r="E349" s="54" t="s">
        <v>1242</v>
      </c>
      <c r="F349" s="53" t="s">
        <v>1198</v>
      </c>
      <c r="G349" s="53" t="s">
        <v>195</v>
      </c>
      <c r="H349" s="53"/>
      <c r="I349" s="53"/>
      <c r="J349" s="53">
        <v>13207516</v>
      </c>
      <c r="K349" s="53"/>
      <c r="L349" s="55">
        <v>45293</v>
      </c>
      <c r="M349" s="55">
        <v>45293</v>
      </c>
      <c r="N349" s="53" t="s">
        <v>1288</v>
      </c>
      <c r="O349" s="53">
        <v>0</v>
      </c>
      <c r="P349" s="53">
        <v>6549827</v>
      </c>
      <c r="Q349" s="53" t="s">
        <v>1306</v>
      </c>
      <c r="R349" s="45">
        <v>410</v>
      </c>
      <c r="S349" s="53">
        <v>0</v>
      </c>
      <c r="T349" s="47" t="s">
        <v>198</v>
      </c>
      <c r="U349" s="48" t="s">
        <v>199</v>
      </c>
      <c r="V349" s="38"/>
      <c r="W349" s="48" t="s">
        <v>195</v>
      </c>
      <c r="X349" s="38" t="s">
        <v>200</v>
      </c>
      <c r="Y349" s="49" t="s">
        <v>201</v>
      </c>
      <c r="Z349" s="50" t="s">
        <v>1307</v>
      </c>
      <c r="AA349" s="38"/>
      <c r="AB349" s="38"/>
      <c r="AC349" s="38"/>
      <c r="AD349" s="51">
        <v>38</v>
      </c>
      <c r="AE349" s="51">
        <v>38</v>
      </c>
      <c r="AF349" s="48" t="s">
        <v>203</v>
      </c>
      <c r="AG349" s="38" t="s">
        <v>204</v>
      </c>
      <c r="AH349" s="52"/>
      <c r="AI349" s="38"/>
      <c r="AJ349" s="38"/>
    </row>
    <row r="350" spans="1:36" ht="16.2">
      <c r="A350" s="42" t="s">
        <v>836</v>
      </c>
      <c r="B350" s="42">
        <v>548732</v>
      </c>
      <c r="C350" s="42" t="s">
        <v>1241</v>
      </c>
      <c r="D350" s="42">
        <v>13207516</v>
      </c>
      <c r="E350" s="43" t="s">
        <v>1242</v>
      </c>
      <c r="F350" s="42" t="s">
        <v>1265</v>
      </c>
      <c r="G350" s="42" t="s">
        <v>195</v>
      </c>
      <c r="H350" s="42"/>
      <c r="I350" s="42"/>
      <c r="J350" s="42">
        <v>13207516</v>
      </c>
      <c r="K350" s="42"/>
      <c r="L350" s="44">
        <v>45293</v>
      </c>
      <c r="M350" s="44">
        <v>45293</v>
      </c>
      <c r="N350" s="42" t="s">
        <v>1288</v>
      </c>
      <c r="O350" s="42">
        <v>0</v>
      </c>
      <c r="P350" s="42">
        <v>6549827</v>
      </c>
      <c r="Q350" s="42" t="s">
        <v>1308</v>
      </c>
      <c r="R350" s="45">
        <v>410</v>
      </c>
      <c r="S350" s="46">
        <v>0.01</v>
      </c>
      <c r="T350" s="47" t="s">
        <v>198</v>
      </c>
      <c r="U350" s="48" t="s">
        <v>199</v>
      </c>
      <c r="V350" s="38"/>
      <c r="W350" s="48" t="s">
        <v>195</v>
      </c>
      <c r="X350" s="38" t="s">
        <v>200</v>
      </c>
      <c r="Y350" s="49" t="s">
        <v>201</v>
      </c>
      <c r="Z350" s="50" t="s">
        <v>1309</v>
      </c>
      <c r="AA350" s="38"/>
      <c r="AB350" s="38"/>
      <c r="AC350" s="38"/>
      <c r="AD350" s="51">
        <v>38</v>
      </c>
      <c r="AE350" s="51">
        <v>38</v>
      </c>
      <c r="AF350" s="48" t="s">
        <v>203</v>
      </c>
      <c r="AG350" s="38" t="s">
        <v>204</v>
      </c>
      <c r="AH350" s="52"/>
      <c r="AI350" s="38"/>
      <c r="AJ350" s="38"/>
    </row>
    <row r="351" spans="1:36" ht="16.2">
      <c r="A351" s="53" t="s">
        <v>836</v>
      </c>
      <c r="B351" s="53">
        <v>548732</v>
      </c>
      <c r="C351" s="53" t="s">
        <v>1241</v>
      </c>
      <c r="D351" s="53">
        <v>13207516</v>
      </c>
      <c r="E351" s="54" t="s">
        <v>1242</v>
      </c>
      <c r="F351" s="53" t="s">
        <v>260</v>
      </c>
      <c r="G351" s="53" t="s">
        <v>195</v>
      </c>
      <c r="H351" s="53"/>
      <c r="I351" s="53"/>
      <c r="J351" s="53">
        <v>13207516</v>
      </c>
      <c r="K351" s="53"/>
      <c r="L351" s="55">
        <v>45293</v>
      </c>
      <c r="M351" s="55">
        <v>45293</v>
      </c>
      <c r="N351" s="53" t="s">
        <v>1288</v>
      </c>
      <c r="O351" s="53">
        <v>0</v>
      </c>
      <c r="P351" s="53">
        <v>6549827</v>
      </c>
      <c r="Q351" s="53" t="s">
        <v>1310</v>
      </c>
      <c r="R351" s="45">
        <v>410</v>
      </c>
      <c r="S351" s="56">
        <v>0.01</v>
      </c>
      <c r="T351" s="47" t="s">
        <v>198</v>
      </c>
      <c r="U351" s="48" t="s">
        <v>199</v>
      </c>
      <c r="V351" s="38"/>
      <c r="W351" s="48" t="s">
        <v>195</v>
      </c>
      <c r="X351" s="38" t="s">
        <v>200</v>
      </c>
      <c r="Y351" s="49" t="s">
        <v>201</v>
      </c>
      <c r="Z351" s="50" t="s">
        <v>1311</v>
      </c>
      <c r="AA351" s="38"/>
      <c r="AB351" s="38"/>
      <c r="AC351" s="38"/>
      <c r="AD351" s="51">
        <v>38</v>
      </c>
      <c r="AE351" s="51">
        <v>38</v>
      </c>
      <c r="AF351" s="48" t="s">
        <v>203</v>
      </c>
      <c r="AG351" s="38" t="s">
        <v>204</v>
      </c>
      <c r="AH351" s="52"/>
      <c r="AI351" s="38"/>
      <c r="AJ351" s="38"/>
    </row>
    <row r="352" spans="1:36" ht="16.2">
      <c r="A352" s="42" t="s">
        <v>836</v>
      </c>
      <c r="B352" s="42">
        <v>548732</v>
      </c>
      <c r="C352" s="42" t="s">
        <v>1241</v>
      </c>
      <c r="D352" s="42">
        <v>13207516</v>
      </c>
      <c r="E352" s="43" t="s">
        <v>1242</v>
      </c>
      <c r="F352" s="42" t="s">
        <v>1270</v>
      </c>
      <c r="G352" s="42" t="s">
        <v>195</v>
      </c>
      <c r="H352" s="42"/>
      <c r="I352" s="42"/>
      <c r="J352" s="42">
        <v>13207516</v>
      </c>
      <c r="K352" s="42"/>
      <c r="L352" s="44">
        <v>45293</v>
      </c>
      <c r="M352" s="44">
        <v>45293</v>
      </c>
      <c r="N352" s="42" t="s">
        <v>1288</v>
      </c>
      <c r="O352" s="42">
        <v>0</v>
      </c>
      <c r="P352" s="42">
        <v>6549827</v>
      </c>
      <c r="Q352" s="42" t="s">
        <v>1312</v>
      </c>
      <c r="R352" s="45">
        <v>410</v>
      </c>
      <c r="S352" s="46">
        <v>0.01</v>
      </c>
      <c r="T352" s="47" t="s">
        <v>198</v>
      </c>
      <c r="U352" s="48" t="s">
        <v>199</v>
      </c>
      <c r="V352" s="38"/>
      <c r="W352" s="48" t="s">
        <v>195</v>
      </c>
      <c r="X352" s="38" t="s">
        <v>200</v>
      </c>
      <c r="Y352" s="49" t="s">
        <v>201</v>
      </c>
      <c r="Z352" s="50" t="s">
        <v>1313</v>
      </c>
      <c r="AA352" s="38"/>
      <c r="AB352" s="38"/>
      <c r="AC352" s="38"/>
      <c r="AD352" s="51">
        <v>38</v>
      </c>
      <c r="AE352" s="51">
        <v>38</v>
      </c>
      <c r="AF352" s="48" t="s">
        <v>203</v>
      </c>
      <c r="AG352" s="38" t="s">
        <v>204</v>
      </c>
      <c r="AH352" s="52"/>
      <c r="AI352" s="38"/>
      <c r="AJ352" s="38"/>
    </row>
    <row r="353" spans="1:36" ht="16.2">
      <c r="A353" s="53" t="s">
        <v>836</v>
      </c>
      <c r="B353" s="53">
        <v>548732</v>
      </c>
      <c r="C353" s="53" t="s">
        <v>1241</v>
      </c>
      <c r="D353" s="53">
        <v>13207516</v>
      </c>
      <c r="E353" s="54" t="s">
        <v>1242</v>
      </c>
      <c r="F353" s="53" t="s">
        <v>1273</v>
      </c>
      <c r="G353" s="53" t="s">
        <v>195</v>
      </c>
      <c r="H353" s="53"/>
      <c r="I353" s="53"/>
      <c r="J353" s="53">
        <v>13207516</v>
      </c>
      <c r="K353" s="53"/>
      <c r="L353" s="55">
        <v>45293</v>
      </c>
      <c r="M353" s="55">
        <v>45293</v>
      </c>
      <c r="N353" s="53" t="s">
        <v>1288</v>
      </c>
      <c r="O353" s="53">
        <v>0</v>
      </c>
      <c r="P353" s="53">
        <v>6549827</v>
      </c>
      <c r="Q353" s="53" t="s">
        <v>1314</v>
      </c>
      <c r="R353" s="45">
        <v>410</v>
      </c>
      <c r="S353" s="56">
        <v>0.01</v>
      </c>
      <c r="T353" s="47" t="s">
        <v>198</v>
      </c>
      <c r="U353" s="48" t="s">
        <v>199</v>
      </c>
      <c r="V353" s="38"/>
      <c r="W353" s="48" t="s">
        <v>195</v>
      </c>
      <c r="X353" s="38" t="s">
        <v>200</v>
      </c>
      <c r="Y353" s="49" t="s">
        <v>201</v>
      </c>
      <c r="Z353" s="50" t="s">
        <v>1315</v>
      </c>
      <c r="AA353" s="38"/>
      <c r="AB353" s="38"/>
      <c r="AC353" s="38"/>
      <c r="AD353" s="51">
        <v>38</v>
      </c>
      <c r="AE353" s="51">
        <v>38</v>
      </c>
      <c r="AF353" s="48" t="s">
        <v>203</v>
      </c>
      <c r="AG353" s="38" t="s">
        <v>204</v>
      </c>
      <c r="AH353" s="52"/>
      <c r="AI353" s="38"/>
      <c r="AJ353" s="38"/>
    </row>
    <row r="354" spans="1:36" ht="16.2">
      <c r="A354" s="42" t="s">
        <v>836</v>
      </c>
      <c r="B354" s="42">
        <v>548732</v>
      </c>
      <c r="C354" s="42" t="s">
        <v>1241</v>
      </c>
      <c r="D354" s="42">
        <v>13207516</v>
      </c>
      <c r="E354" s="43" t="s">
        <v>1242</v>
      </c>
      <c r="F354" s="42" t="s">
        <v>1276</v>
      </c>
      <c r="G354" s="42" t="s">
        <v>195</v>
      </c>
      <c r="H354" s="42"/>
      <c r="I354" s="42"/>
      <c r="J354" s="42">
        <v>13207516</v>
      </c>
      <c r="K354" s="42"/>
      <c r="L354" s="44">
        <v>45293</v>
      </c>
      <c r="M354" s="44">
        <v>45293</v>
      </c>
      <c r="N354" s="42" t="s">
        <v>1288</v>
      </c>
      <c r="O354" s="42">
        <v>0</v>
      </c>
      <c r="P354" s="42">
        <v>6549827</v>
      </c>
      <c r="Q354" s="42" t="s">
        <v>1316</v>
      </c>
      <c r="R354" s="45">
        <v>410</v>
      </c>
      <c r="S354" s="46">
        <v>0.01</v>
      </c>
      <c r="T354" s="47" t="s">
        <v>198</v>
      </c>
      <c r="U354" s="48" t="s">
        <v>199</v>
      </c>
      <c r="V354" s="38"/>
      <c r="W354" s="48" t="s">
        <v>195</v>
      </c>
      <c r="X354" s="38" t="s">
        <v>200</v>
      </c>
      <c r="Y354" s="49" t="s">
        <v>201</v>
      </c>
      <c r="Z354" s="50" t="s">
        <v>1317</v>
      </c>
      <c r="AA354" s="38"/>
      <c r="AB354" s="38"/>
      <c r="AC354" s="38"/>
      <c r="AD354" s="51">
        <v>38</v>
      </c>
      <c r="AE354" s="51">
        <v>38</v>
      </c>
      <c r="AF354" s="48" t="s">
        <v>203</v>
      </c>
      <c r="AG354" s="38" t="s">
        <v>204</v>
      </c>
      <c r="AH354" s="52"/>
      <c r="AI354" s="38"/>
      <c r="AJ354" s="38"/>
    </row>
    <row r="355" spans="1:36" ht="16.2">
      <c r="A355" s="53" t="s">
        <v>836</v>
      </c>
      <c r="B355" s="53">
        <v>548732</v>
      </c>
      <c r="C355" s="53" t="s">
        <v>1241</v>
      </c>
      <c r="D355" s="53">
        <v>13207516</v>
      </c>
      <c r="E355" s="54" t="s">
        <v>1242</v>
      </c>
      <c r="F355" s="53" t="s">
        <v>1279</v>
      </c>
      <c r="G355" s="53" t="s">
        <v>195</v>
      </c>
      <c r="H355" s="53"/>
      <c r="I355" s="53"/>
      <c r="J355" s="53">
        <v>13207516</v>
      </c>
      <c r="K355" s="53"/>
      <c r="L355" s="55">
        <v>45293</v>
      </c>
      <c r="M355" s="55">
        <v>45293</v>
      </c>
      <c r="N355" s="53" t="s">
        <v>1288</v>
      </c>
      <c r="O355" s="53">
        <v>0</v>
      </c>
      <c r="P355" s="53">
        <v>6549827</v>
      </c>
      <c r="Q355" s="53" t="s">
        <v>1318</v>
      </c>
      <c r="R355" s="45">
        <v>410</v>
      </c>
      <c r="S355" s="56">
        <v>0.01</v>
      </c>
      <c r="T355" s="47" t="s">
        <v>198</v>
      </c>
      <c r="U355" s="48" t="s">
        <v>199</v>
      </c>
      <c r="V355" s="38"/>
      <c r="W355" s="48" t="s">
        <v>195</v>
      </c>
      <c r="X355" s="38" t="s">
        <v>200</v>
      </c>
      <c r="Y355" s="49" t="s">
        <v>201</v>
      </c>
      <c r="Z355" s="50" t="s">
        <v>1319</v>
      </c>
      <c r="AA355" s="38"/>
      <c r="AB355" s="38"/>
      <c r="AC355" s="38"/>
      <c r="AD355" s="51">
        <v>38</v>
      </c>
      <c r="AE355" s="51">
        <v>38</v>
      </c>
      <c r="AF355" s="48" t="s">
        <v>203</v>
      </c>
      <c r="AG355" s="38" t="s">
        <v>204</v>
      </c>
      <c r="AH355" s="52"/>
      <c r="AI355" s="38"/>
      <c r="AJ355" s="38"/>
    </row>
    <row r="356" spans="1:36" ht="16.2">
      <c r="A356" s="42" t="s">
        <v>836</v>
      </c>
      <c r="B356" s="42">
        <v>548732</v>
      </c>
      <c r="C356" s="42" t="s">
        <v>1241</v>
      </c>
      <c r="D356" s="42">
        <v>13207516</v>
      </c>
      <c r="E356" s="43" t="s">
        <v>1242</v>
      </c>
      <c r="F356" s="42" t="s">
        <v>263</v>
      </c>
      <c r="G356" s="42" t="s">
        <v>195</v>
      </c>
      <c r="H356" s="42"/>
      <c r="I356" s="42"/>
      <c r="J356" s="42">
        <v>13207516</v>
      </c>
      <c r="K356" s="42"/>
      <c r="L356" s="44">
        <v>45293</v>
      </c>
      <c r="M356" s="44">
        <v>45293</v>
      </c>
      <c r="N356" s="42" t="s">
        <v>1288</v>
      </c>
      <c r="O356" s="42">
        <v>0</v>
      </c>
      <c r="P356" s="42">
        <v>6549827</v>
      </c>
      <c r="Q356" s="42" t="s">
        <v>1320</v>
      </c>
      <c r="R356" s="45">
        <v>410</v>
      </c>
      <c r="S356" s="46">
        <v>0.01</v>
      </c>
      <c r="T356" s="47" t="s">
        <v>198</v>
      </c>
      <c r="U356" s="48" t="s">
        <v>199</v>
      </c>
      <c r="V356" s="38"/>
      <c r="W356" s="48" t="s">
        <v>195</v>
      </c>
      <c r="X356" s="38" t="s">
        <v>200</v>
      </c>
      <c r="Y356" s="49" t="s">
        <v>201</v>
      </c>
      <c r="Z356" s="50" t="s">
        <v>1321</v>
      </c>
      <c r="AA356" s="38"/>
      <c r="AB356" s="38"/>
      <c r="AC356" s="38"/>
      <c r="AD356" s="51">
        <v>38</v>
      </c>
      <c r="AE356" s="51">
        <v>38</v>
      </c>
      <c r="AF356" s="48" t="s">
        <v>203</v>
      </c>
      <c r="AG356" s="38" t="s">
        <v>204</v>
      </c>
      <c r="AH356" s="52"/>
      <c r="AI356" s="38"/>
      <c r="AJ356" s="38"/>
    </row>
    <row r="357" spans="1:36" ht="16.2">
      <c r="A357" s="53" t="s">
        <v>836</v>
      </c>
      <c r="B357" s="53">
        <v>548732</v>
      </c>
      <c r="C357" s="53" t="s">
        <v>1241</v>
      </c>
      <c r="D357" s="53">
        <v>13207516</v>
      </c>
      <c r="E357" s="54" t="s">
        <v>1242</v>
      </c>
      <c r="F357" s="53" t="s">
        <v>1213</v>
      </c>
      <c r="G357" s="53" t="s">
        <v>195</v>
      </c>
      <c r="H357" s="53"/>
      <c r="I357" s="53"/>
      <c r="J357" s="53">
        <v>13207516</v>
      </c>
      <c r="K357" s="53"/>
      <c r="L357" s="55">
        <v>45293</v>
      </c>
      <c r="M357" s="55">
        <v>45293</v>
      </c>
      <c r="N357" s="53" t="s">
        <v>1288</v>
      </c>
      <c r="O357" s="53">
        <v>0</v>
      </c>
      <c r="P357" s="53">
        <v>6549827</v>
      </c>
      <c r="Q357" s="53" t="s">
        <v>1322</v>
      </c>
      <c r="R357" s="45">
        <v>410</v>
      </c>
      <c r="S357" s="56">
        <v>0.01</v>
      </c>
      <c r="T357" s="47" t="s">
        <v>198</v>
      </c>
      <c r="U357" s="48" t="s">
        <v>199</v>
      </c>
      <c r="V357" s="38"/>
      <c r="W357" s="48" t="s">
        <v>195</v>
      </c>
      <c r="X357" s="38" t="s">
        <v>200</v>
      </c>
      <c r="Y357" s="49" t="s">
        <v>201</v>
      </c>
      <c r="Z357" s="50" t="s">
        <v>1323</v>
      </c>
      <c r="AA357" s="38"/>
      <c r="AB357" s="38"/>
      <c r="AC357" s="38"/>
      <c r="AD357" s="51">
        <v>38</v>
      </c>
      <c r="AE357" s="51">
        <v>38</v>
      </c>
      <c r="AF357" s="48" t="s">
        <v>203</v>
      </c>
      <c r="AG357" s="38" t="s">
        <v>204</v>
      </c>
      <c r="AH357" s="52"/>
      <c r="AI357" s="38"/>
      <c r="AJ357" s="38"/>
    </row>
    <row r="358" spans="1:36" ht="16.2">
      <c r="A358" s="42" t="s">
        <v>836</v>
      </c>
      <c r="B358" s="42">
        <v>548732</v>
      </c>
      <c r="C358" s="42" t="s">
        <v>1241</v>
      </c>
      <c r="D358" s="42">
        <v>13207516</v>
      </c>
      <c r="E358" s="43" t="s">
        <v>1242</v>
      </c>
      <c r="F358" s="42" t="s">
        <v>299</v>
      </c>
      <c r="G358" s="42" t="s">
        <v>195</v>
      </c>
      <c r="H358" s="42"/>
      <c r="I358" s="42"/>
      <c r="J358" s="42">
        <v>13207516</v>
      </c>
      <c r="K358" s="42"/>
      <c r="L358" s="44">
        <v>45293</v>
      </c>
      <c r="M358" s="44">
        <v>45293</v>
      </c>
      <c r="N358" s="42" t="s">
        <v>1288</v>
      </c>
      <c r="O358" s="42">
        <v>0</v>
      </c>
      <c r="P358" s="42">
        <v>6549827</v>
      </c>
      <c r="Q358" s="42" t="s">
        <v>1324</v>
      </c>
      <c r="R358" s="45">
        <v>410</v>
      </c>
      <c r="S358" s="46">
        <v>0.01</v>
      </c>
      <c r="T358" s="47" t="s">
        <v>198</v>
      </c>
      <c r="U358" s="48" t="s">
        <v>199</v>
      </c>
      <c r="V358" s="38"/>
      <c r="W358" s="48" t="s">
        <v>195</v>
      </c>
      <c r="X358" s="38" t="s">
        <v>200</v>
      </c>
      <c r="Y358" s="49" t="s">
        <v>201</v>
      </c>
      <c r="Z358" s="50" t="s">
        <v>1325</v>
      </c>
      <c r="AA358" s="38"/>
      <c r="AB358" s="38"/>
      <c r="AC358" s="38"/>
      <c r="AD358" s="51">
        <v>38</v>
      </c>
      <c r="AE358" s="51">
        <v>38</v>
      </c>
      <c r="AF358" s="48" t="s">
        <v>203</v>
      </c>
      <c r="AG358" s="38" t="s">
        <v>204</v>
      </c>
      <c r="AH358" s="52"/>
      <c r="AI358" s="38"/>
      <c r="AJ358" s="38"/>
    </row>
    <row r="359" spans="1:36" ht="16.2">
      <c r="A359" s="53" t="s">
        <v>238</v>
      </c>
      <c r="B359" s="53">
        <v>82965401</v>
      </c>
      <c r="C359" s="53" t="s">
        <v>1326</v>
      </c>
      <c r="D359" s="53">
        <v>13207645</v>
      </c>
      <c r="E359" s="54" t="s">
        <v>1327</v>
      </c>
      <c r="F359" s="53" t="s">
        <v>293</v>
      </c>
      <c r="G359" s="53" t="s">
        <v>195</v>
      </c>
      <c r="H359" s="53"/>
      <c r="I359" s="53"/>
      <c r="J359" s="53">
        <v>13207645</v>
      </c>
      <c r="K359" s="53"/>
      <c r="L359" s="55">
        <v>45293</v>
      </c>
      <c r="M359" s="55">
        <v>45293</v>
      </c>
      <c r="N359" s="53" t="s">
        <v>1328</v>
      </c>
      <c r="O359" s="53">
        <v>0</v>
      </c>
      <c r="P359" s="53">
        <v>20036419</v>
      </c>
      <c r="Q359" s="53" t="s">
        <v>1329</v>
      </c>
      <c r="R359" s="45">
        <v>410</v>
      </c>
      <c r="S359" s="56">
        <v>0.01</v>
      </c>
      <c r="T359" s="47" t="s">
        <v>198</v>
      </c>
      <c r="U359" s="48" t="s">
        <v>199</v>
      </c>
      <c r="V359" s="38"/>
      <c r="W359" s="48" t="s">
        <v>195</v>
      </c>
      <c r="X359" s="38" t="s">
        <v>200</v>
      </c>
      <c r="Y359" s="49" t="s">
        <v>201</v>
      </c>
      <c r="Z359" s="50" t="s">
        <v>1330</v>
      </c>
      <c r="AA359" s="38"/>
      <c r="AB359" s="38"/>
      <c r="AC359" s="38"/>
      <c r="AD359" s="51">
        <v>43</v>
      </c>
      <c r="AE359" s="51">
        <v>43</v>
      </c>
      <c r="AF359" s="48" t="s">
        <v>203</v>
      </c>
      <c r="AG359" s="38" t="s">
        <v>204</v>
      </c>
      <c r="AH359" s="52"/>
      <c r="AI359" s="38"/>
      <c r="AJ359" s="38"/>
    </row>
    <row r="360" spans="1:36" ht="16.2">
      <c r="A360" s="42" t="s">
        <v>238</v>
      </c>
      <c r="B360" s="42">
        <v>82965401</v>
      </c>
      <c r="C360" s="42" t="s">
        <v>1326</v>
      </c>
      <c r="D360" s="42">
        <v>13207645</v>
      </c>
      <c r="E360" s="43" t="s">
        <v>1327</v>
      </c>
      <c r="F360" s="42" t="s">
        <v>1331</v>
      </c>
      <c r="G360" s="42" t="s">
        <v>195</v>
      </c>
      <c r="H360" s="42"/>
      <c r="I360" s="42"/>
      <c r="J360" s="42">
        <v>13207645</v>
      </c>
      <c r="K360" s="42"/>
      <c r="L360" s="44">
        <v>45293</v>
      </c>
      <c r="M360" s="44">
        <v>45293</v>
      </c>
      <c r="N360" s="42" t="s">
        <v>1328</v>
      </c>
      <c r="O360" s="42">
        <v>0</v>
      </c>
      <c r="P360" s="42">
        <v>20036419</v>
      </c>
      <c r="Q360" s="42" t="s">
        <v>1332</v>
      </c>
      <c r="R360" s="45">
        <v>410</v>
      </c>
      <c r="S360" s="46">
        <v>0.01</v>
      </c>
      <c r="T360" s="47" t="s">
        <v>198</v>
      </c>
      <c r="U360" s="48" t="s">
        <v>199</v>
      </c>
      <c r="V360" s="38"/>
      <c r="W360" s="48" t="s">
        <v>195</v>
      </c>
      <c r="X360" s="38" t="s">
        <v>200</v>
      </c>
      <c r="Y360" s="49" t="s">
        <v>201</v>
      </c>
      <c r="Z360" s="50" t="s">
        <v>1333</v>
      </c>
      <c r="AA360" s="38"/>
      <c r="AB360" s="38"/>
      <c r="AC360" s="38"/>
      <c r="AD360" s="51">
        <v>43</v>
      </c>
      <c r="AE360" s="51">
        <v>43</v>
      </c>
      <c r="AF360" s="48" t="s">
        <v>203</v>
      </c>
      <c r="AG360" s="38" t="s">
        <v>204</v>
      </c>
      <c r="AH360" s="52"/>
      <c r="AI360" s="38"/>
      <c r="AJ360" s="38"/>
    </row>
    <row r="361" spans="1:36" ht="16.2">
      <c r="A361" s="53" t="s">
        <v>238</v>
      </c>
      <c r="B361" s="53">
        <v>82965401</v>
      </c>
      <c r="C361" s="53" t="s">
        <v>1326</v>
      </c>
      <c r="D361" s="53">
        <v>13207645</v>
      </c>
      <c r="E361" s="54" t="s">
        <v>1327</v>
      </c>
      <c r="F361" s="53" t="s">
        <v>1334</v>
      </c>
      <c r="G361" s="53" t="s">
        <v>195</v>
      </c>
      <c r="H361" s="53"/>
      <c r="I361" s="53"/>
      <c r="J361" s="53">
        <v>13207645</v>
      </c>
      <c r="K361" s="53"/>
      <c r="L361" s="55">
        <v>45293</v>
      </c>
      <c r="M361" s="55">
        <v>45293</v>
      </c>
      <c r="N361" s="53" t="s">
        <v>1328</v>
      </c>
      <c r="O361" s="53">
        <v>0</v>
      </c>
      <c r="P361" s="53">
        <v>20036419</v>
      </c>
      <c r="Q361" s="53" t="s">
        <v>1335</v>
      </c>
      <c r="R361" s="45">
        <v>410</v>
      </c>
      <c r="S361" s="56">
        <v>0.01</v>
      </c>
      <c r="T361" s="47" t="s">
        <v>198</v>
      </c>
      <c r="U361" s="48" t="s">
        <v>199</v>
      </c>
      <c r="V361" s="38"/>
      <c r="W361" s="48" t="s">
        <v>195</v>
      </c>
      <c r="X361" s="38" t="s">
        <v>200</v>
      </c>
      <c r="Y361" s="49" t="s">
        <v>201</v>
      </c>
      <c r="Z361" s="50" t="s">
        <v>1336</v>
      </c>
      <c r="AA361" s="38"/>
      <c r="AB361" s="38"/>
      <c r="AC361" s="38"/>
      <c r="AD361" s="51">
        <v>43</v>
      </c>
      <c r="AE361" s="51">
        <v>43</v>
      </c>
      <c r="AF361" s="48" t="s">
        <v>203</v>
      </c>
      <c r="AG361" s="38" t="s">
        <v>204</v>
      </c>
      <c r="AH361" s="52"/>
      <c r="AI361" s="38"/>
      <c r="AJ361" s="38"/>
    </row>
    <row r="362" spans="1:36" ht="16.2">
      <c r="A362" s="42" t="s">
        <v>238</v>
      </c>
      <c r="B362" s="42">
        <v>82965401</v>
      </c>
      <c r="C362" s="42" t="s">
        <v>1326</v>
      </c>
      <c r="D362" s="42">
        <v>13207645</v>
      </c>
      <c r="E362" s="43" t="s">
        <v>1327</v>
      </c>
      <c r="F362" s="42" t="s">
        <v>1337</v>
      </c>
      <c r="G362" s="42" t="s">
        <v>195</v>
      </c>
      <c r="H362" s="42"/>
      <c r="I362" s="42"/>
      <c r="J362" s="42">
        <v>13207645</v>
      </c>
      <c r="K362" s="42"/>
      <c r="L362" s="44">
        <v>45293</v>
      </c>
      <c r="M362" s="44">
        <v>45293</v>
      </c>
      <c r="N362" s="42" t="s">
        <v>1328</v>
      </c>
      <c r="O362" s="42">
        <v>0</v>
      </c>
      <c r="P362" s="42">
        <v>20036419</v>
      </c>
      <c r="Q362" s="42" t="s">
        <v>1338</v>
      </c>
      <c r="R362" s="45">
        <v>410</v>
      </c>
      <c r="S362" s="46">
        <v>0.01</v>
      </c>
      <c r="T362" s="47" t="s">
        <v>198</v>
      </c>
      <c r="U362" s="48" t="s">
        <v>199</v>
      </c>
      <c r="V362" s="38"/>
      <c r="W362" s="48" t="s">
        <v>195</v>
      </c>
      <c r="X362" s="38" t="s">
        <v>200</v>
      </c>
      <c r="Y362" s="49" t="s">
        <v>201</v>
      </c>
      <c r="Z362" s="50" t="s">
        <v>1339</v>
      </c>
      <c r="AA362" s="38"/>
      <c r="AB362" s="38"/>
      <c r="AC362" s="38"/>
      <c r="AD362" s="51">
        <v>43</v>
      </c>
      <c r="AE362" s="51">
        <v>43</v>
      </c>
      <c r="AF362" s="48" t="s">
        <v>203</v>
      </c>
      <c r="AG362" s="38" t="s">
        <v>204</v>
      </c>
      <c r="AH362" s="52"/>
      <c r="AI362" s="38"/>
      <c r="AJ362" s="38"/>
    </row>
    <row r="363" spans="1:36" ht="16.2">
      <c r="A363" s="53" t="s">
        <v>238</v>
      </c>
      <c r="B363" s="53">
        <v>82965401</v>
      </c>
      <c r="C363" s="53" t="s">
        <v>1326</v>
      </c>
      <c r="D363" s="53">
        <v>13207645</v>
      </c>
      <c r="E363" s="54" t="s">
        <v>1327</v>
      </c>
      <c r="F363" s="53" t="s">
        <v>1340</v>
      </c>
      <c r="G363" s="53" t="s">
        <v>195</v>
      </c>
      <c r="H363" s="53"/>
      <c r="I363" s="53"/>
      <c r="J363" s="53">
        <v>13207645</v>
      </c>
      <c r="K363" s="53"/>
      <c r="L363" s="55">
        <v>45293</v>
      </c>
      <c r="M363" s="55">
        <v>45293</v>
      </c>
      <c r="N363" s="53" t="s">
        <v>1328</v>
      </c>
      <c r="O363" s="53">
        <v>0</v>
      </c>
      <c r="P363" s="53">
        <v>20036419</v>
      </c>
      <c r="Q363" s="53" t="s">
        <v>1341</v>
      </c>
      <c r="R363" s="45">
        <v>410</v>
      </c>
      <c r="S363" s="56">
        <v>0.01</v>
      </c>
      <c r="T363" s="47" t="s">
        <v>198</v>
      </c>
      <c r="U363" s="48" t="s">
        <v>199</v>
      </c>
      <c r="V363" s="38"/>
      <c r="W363" s="48" t="s">
        <v>195</v>
      </c>
      <c r="X363" s="38" t="s">
        <v>200</v>
      </c>
      <c r="Y363" s="49" t="s">
        <v>201</v>
      </c>
      <c r="Z363" s="50" t="s">
        <v>1342</v>
      </c>
      <c r="AA363" s="38"/>
      <c r="AB363" s="38"/>
      <c r="AC363" s="38"/>
      <c r="AD363" s="51">
        <v>43</v>
      </c>
      <c r="AE363" s="51">
        <v>43</v>
      </c>
      <c r="AF363" s="48" t="s">
        <v>203</v>
      </c>
      <c r="AG363" s="38" t="s">
        <v>204</v>
      </c>
      <c r="AH363" s="52"/>
      <c r="AI363" s="38"/>
      <c r="AJ363" s="38"/>
    </row>
    <row r="364" spans="1:36" ht="16.2">
      <c r="A364" s="42" t="s">
        <v>191</v>
      </c>
      <c r="B364" s="42">
        <v>51863504</v>
      </c>
      <c r="C364" s="42" t="s">
        <v>1343</v>
      </c>
      <c r="D364" s="42">
        <v>13207723</v>
      </c>
      <c r="E364" s="43" t="s">
        <v>1344</v>
      </c>
      <c r="F364" s="42" t="s">
        <v>1345</v>
      </c>
      <c r="G364" s="42" t="s">
        <v>195</v>
      </c>
      <c r="H364" s="42"/>
      <c r="I364" s="42"/>
      <c r="J364" s="42">
        <v>13207723</v>
      </c>
      <c r="K364" s="42"/>
      <c r="L364" s="44">
        <v>45293</v>
      </c>
      <c r="M364" s="44">
        <v>45293</v>
      </c>
      <c r="N364" s="42" t="s">
        <v>196</v>
      </c>
      <c r="O364" s="42">
        <v>0</v>
      </c>
      <c r="P364" s="42">
        <v>20010079</v>
      </c>
      <c r="Q364" s="42" t="s">
        <v>1346</v>
      </c>
      <c r="R364" s="45">
        <v>410</v>
      </c>
      <c r="S364" s="46">
        <v>0.01</v>
      </c>
      <c r="T364" s="47" t="s">
        <v>198</v>
      </c>
      <c r="U364" s="48" t="s">
        <v>199</v>
      </c>
      <c r="V364" s="38"/>
      <c r="W364" s="48" t="s">
        <v>195</v>
      </c>
      <c r="X364" s="38" t="s">
        <v>200</v>
      </c>
      <c r="Y364" s="49" t="s">
        <v>201</v>
      </c>
      <c r="Z364" s="50" t="s">
        <v>1347</v>
      </c>
      <c r="AA364" s="38"/>
      <c r="AB364" s="38"/>
      <c r="AC364" s="38"/>
      <c r="AD364" s="51">
        <v>16</v>
      </c>
      <c r="AE364" s="51">
        <v>16</v>
      </c>
      <c r="AF364" s="48" t="s">
        <v>203</v>
      </c>
      <c r="AG364" s="38" t="s">
        <v>204</v>
      </c>
      <c r="AH364" s="52"/>
      <c r="AI364" s="38"/>
      <c r="AJ364" s="38"/>
    </row>
    <row r="365" spans="1:36" ht="16.2">
      <c r="A365" s="53" t="s">
        <v>191</v>
      </c>
      <c r="B365" s="53">
        <v>51863502</v>
      </c>
      <c r="C365" s="53" t="s">
        <v>1348</v>
      </c>
      <c r="D365" s="53">
        <v>13207713</v>
      </c>
      <c r="E365" s="54" t="s">
        <v>1349</v>
      </c>
      <c r="F365" s="53" t="s">
        <v>1350</v>
      </c>
      <c r="G365" s="53" t="s">
        <v>195</v>
      </c>
      <c r="H365" s="53"/>
      <c r="I365" s="53"/>
      <c r="J365" s="53">
        <v>13207713</v>
      </c>
      <c r="K365" s="53"/>
      <c r="L365" s="55">
        <v>45293</v>
      </c>
      <c r="M365" s="55">
        <v>45293</v>
      </c>
      <c r="N365" s="53" t="s">
        <v>196</v>
      </c>
      <c r="O365" s="53">
        <v>0</v>
      </c>
      <c r="P365" s="53">
        <v>20010079</v>
      </c>
      <c r="Q365" s="53" t="s">
        <v>1351</v>
      </c>
      <c r="R365" s="45">
        <v>410</v>
      </c>
      <c r="S365" s="56">
        <v>0.01</v>
      </c>
      <c r="T365" s="47" t="s">
        <v>198</v>
      </c>
      <c r="U365" s="48" t="s">
        <v>199</v>
      </c>
      <c r="V365" s="38"/>
      <c r="W365" s="48" t="s">
        <v>195</v>
      </c>
      <c r="X365" s="38" t="s">
        <v>200</v>
      </c>
      <c r="Y365" s="49" t="s">
        <v>201</v>
      </c>
      <c r="Z365" s="50" t="s">
        <v>1352</v>
      </c>
      <c r="AA365" s="38"/>
      <c r="AB365" s="38"/>
      <c r="AC365" s="38"/>
      <c r="AD365" s="51">
        <v>16</v>
      </c>
      <c r="AE365" s="51">
        <v>16</v>
      </c>
      <c r="AF365" s="48" t="s">
        <v>203</v>
      </c>
      <c r="AG365" s="38" t="s">
        <v>204</v>
      </c>
      <c r="AH365" s="52"/>
      <c r="AI365" s="38"/>
      <c r="AJ365" s="38"/>
    </row>
    <row r="366" spans="1:36" ht="16.2">
      <c r="A366" s="42" t="s">
        <v>191</v>
      </c>
      <c r="B366" s="42">
        <v>710316</v>
      </c>
      <c r="C366" s="42" t="s">
        <v>47</v>
      </c>
      <c r="D366" s="42">
        <v>13207714</v>
      </c>
      <c r="E366" s="43" t="s">
        <v>1353</v>
      </c>
      <c r="F366" s="42" t="s">
        <v>1354</v>
      </c>
      <c r="G366" s="42" t="s">
        <v>195</v>
      </c>
      <c r="H366" s="42"/>
      <c r="I366" s="42"/>
      <c r="J366" s="42">
        <v>13207714</v>
      </c>
      <c r="K366" s="42"/>
      <c r="L366" s="44">
        <v>45293</v>
      </c>
      <c r="M366" s="44">
        <v>45293</v>
      </c>
      <c r="N366" s="42" t="s">
        <v>1355</v>
      </c>
      <c r="O366" s="42">
        <v>0</v>
      </c>
      <c r="P366" s="42">
        <v>20009879</v>
      </c>
      <c r="Q366" s="42" t="s">
        <v>1356</v>
      </c>
      <c r="R366" s="45">
        <v>410</v>
      </c>
      <c r="S366" s="46">
        <v>0.01</v>
      </c>
      <c r="T366" s="47" t="s">
        <v>198</v>
      </c>
      <c r="U366" s="48" t="s">
        <v>199</v>
      </c>
      <c r="V366" s="38"/>
      <c r="W366" s="48" t="s">
        <v>195</v>
      </c>
      <c r="X366" s="38" t="s">
        <v>200</v>
      </c>
      <c r="Y366" s="49" t="s">
        <v>201</v>
      </c>
      <c r="Z366" s="50" t="s">
        <v>1357</v>
      </c>
      <c r="AA366" s="38"/>
      <c r="AB366" s="38"/>
      <c r="AC366" s="38"/>
      <c r="AD366" s="51">
        <v>25</v>
      </c>
      <c r="AE366" s="51">
        <v>25</v>
      </c>
      <c r="AF366" s="48" t="s">
        <v>203</v>
      </c>
      <c r="AG366" s="38" t="s">
        <v>204</v>
      </c>
      <c r="AH366" s="52"/>
      <c r="AI366" s="38"/>
      <c r="AJ366" s="38"/>
    </row>
    <row r="367" spans="1:36" ht="16.2">
      <c r="A367" s="53" t="s">
        <v>191</v>
      </c>
      <c r="B367" s="53">
        <v>710316</v>
      </c>
      <c r="C367" s="53" t="s">
        <v>47</v>
      </c>
      <c r="D367" s="53">
        <v>13207714</v>
      </c>
      <c r="E367" s="54" t="s">
        <v>1353</v>
      </c>
      <c r="F367" s="53" t="s">
        <v>1358</v>
      </c>
      <c r="G367" s="53" t="s">
        <v>195</v>
      </c>
      <c r="H367" s="53"/>
      <c r="I367" s="53"/>
      <c r="J367" s="53">
        <v>13207714</v>
      </c>
      <c r="K367" s="53"/>
      <c r="L367" s="55">
        <v>45293</v>
      </c>
      <c r="M367" s="55">
        <v>45293</v>
      </c>
      <c r="N367" s="53" t="s">
        <v>1355</v>
      </c>
      <c r="O367" s="53">
        <v>0</v>
      </c>
      <c r="P367" s="53">
        <v>20009879</v>
      </c>
      <c r="Q367" s="53" t="s">
        <v>1359</v>
      </c>
      <c r="R367" s="45">
        <v>410</v>
      </c>
      <c r="S367" s="56">
        <v>0.01</v>
      </c>
      <c r="T367" s="47" t="s">
        <v>198</v>
      </c>
      <c r="U367" s="48" t="s">
        <v>199</v>
      </c>
      <c r="V367" s="38"/>
      <c r="W367" s="48" t="s">
        <v>195</v>
      </c>
      <c r="X367" s="38" t="s">
        <v>200</v>
      </c>
      <c r="Y367" s="49" t="s">
        <v>201</v>
      </c>
      <c r="Z367" s="50" t="s">
        <v>1360</v>
      </c>
      <c r="AA367" s="38"/>
      <c r="AB367" s="38"/>
      <c r="AC367" s="38"/>
      <c r="AD367" s="51">
        <v>25</v>
      </c>
      <c r="AE367" s="51">
        <v>25</v>
      </c>
      <c r="AF367" s="48" t="s">
        <v>203</v>
      </c>
      <c r="AG367" s="38" t="s">
        <v>204</v>
      </c>
      <c r="AH367" s="52"/>
      <c r="AI367" s="38"/>
      <c r="AJ367" s="38"/>
    </row>
    <row r="368" spans="1:36" ht="16.2">
      <c r="A368" s="42" t="s">
        <v>191</v>
      </c>
      <c r="B368" s="42">
        <v>710316</v>
      </c>
      <c r="C368" s="42" t="s">
        <v>47</v>
      </c>
      <c r="D368" s="42">
        <v>13207714</v>
      </c>
      <c r="E368" s="43" t="s">
        <v>1353</v>
      </c>
      <c r="F368" s="42" t="s">
        <v>1361</v>
      </c>
      <c r="G368" s="42" t="s">
        <v>195</v>
      </c>
      <c r="H368" s="42"/>
      <c r="I368" s="42"/>
      <c r="J368" s="42">
        <v>13207714</v>
      </c>
      <c r="K368" s="42"/>
      <c r="L368" s="44">
        <v>45293</v>
      </c>
      <c r="M368" s="44">
        <v>45293</v>
      </c>
      <c r="N368" s="42" t="s">
        <v>1355</v>
      </c>
      <c r="O368" s="42">
        <v>0</v>
      </c>
      <c r="P368" s="42">
        <v>20009879</v>
      </c>
      <c r="Q368" s="42" t="s">
        <v>1362</v>
      </c>
      <c r="R368" s="45">
        <v>410</v>
      </c>
      <c r="S368" s="46">
        <v>0.01</v>
      </c>
      <c r="T368" s="47" t="s">
        <v>198</v>
      </c>
      <c r="U368" s="48" t="s">
        <v>199</v>
      </c>
      <c r="V368" s="38"/>
      <c r="W368" s="48" t="s">
        <v>195</v>
      </c>
      <c r="X368" s="38" t="s">
        <v>200</v>
      </c>
      <c r="Y368" s="49" t="s">
        <v>201</v>
      </c>
      <c r="Z368" s="50" t="s">
        <v>1363</v>
      </c>
      <c r="AA368" s="38"/>
      <c r="AB368" s="38"/>
      <c r="AC368" s="38"/>
      <c r="AD368" s="51">
        <v>25</v>
      </c>
      <c r="AE368" s="51">
        <v>25</v>
      </c>
      <c r="AF368" s="48" t="s">
        <v>203</v>
      </c>
      <c r="AG368" s="38" t="s">
        <v>204</v>
      </c>
      <c r="AH368" s="52"/>
      <c r="AI368" s="38"/>
      <c r="AJ368" s="38"/>
    </row>
    <row r="369" spans="1:36" ht="16.2">
      <c r="A369" s="53" t="s">
        <v>191</v>
      </c>
      <c r="B369" s="53">
        <v>710316</v>
      </c>
      <c r="C369" s="53" t="s">
        <v>47</v>
      </c>
      <c r="D369" s="53">
        <v>13207714</v>
      </c>
      <c r="E369" s="54" t="s">
        <v>1353</v>
      </c>
      <c r="F369" s="53" t="s">
        <v>1364</v>
      </c>
      <c r="G369" s="53" t="s">
        <v>195</v>
      </c>
      <c r="H369" s="53"/>
      <c r="I369" s="53"/>
      <c r="J369" s="53">
        <v>13207714</v>
      </c>
      <c r="K369" s="53"/>
      <c r="L369" s="55">
        <v>45293</v>
      </c>
      <c r="M369" s="55">
        <v>45293</v>
      </c>
      <c r="N369" s="53" t="s">
        <v>1355</v>
      </c>
      <c r="O369" s="53">
        <v>0</v>
      </c>
      <c r="P369" s="53">
        <v>20009879</v>
      </c>
      <c r="Q369" s="53" t="s">
        <v>1365</v>
      </c>
      <c r="R369" s="45">
        <v>410</v>
      </c>
      <c r="S369" s="56">
        <v>0.01</v>
      </c>
      <c r="T369" s="47" t="s">
        <v>198</v>
      </c>
      <c r="U369" s="48" t="s">
        <v>199</v>
      </c>
      <c r="V369" s="38"/>
      <c r="W369" s="48" t="s">
        <v>195</v>
      </c>
      <c r="X369" s="38" t="s">
        <v>200</v>
      </c>
      <c r="Y369" s="49" t="s">
        <v>201</v>
      </c>
      <c r="Z369" s="50" t="s">
        <v>1366</v>
      </c>
      <c r="AA369" s="38"/>
      <c r="AB369" s="38"/>
      <c r="AC369" s="38"/>
      <c r="AD369" s="51">
        <v>25</v>
      </c>
      <c r="AE369" s="51">
        <v>25</v>
      </c>
      <c r="AF369" s="48" t="s">
        <v>203</v>
      </c>
      <c r="AG369" s="38" t="s">
        <v>204</v>
      </c>
      <c r="AH369" s="52"/>
      <c r="AI369" s="38"/>
      <c r="AJ369" s="38"/>
    </row>
    <row r="370" spans="1:36" ht="16.2">
      <c r="A370" s="42" t="s">
        <v>191</v>
      </c>
      <c r="B370" s="42">
        <v>710316</v>
      </c>
      <c r="C370" s="42" t="s">
        <v>47</v>
      </c>
      <c r="D370" s="42">
        <v>13207714</v>
      </c>
      <c r="E370" s="43" t="s">
        <v>1353</v>
      </c>
      <c r="F370" s="42" t="s">
        <v>1367</v>
      </c>
      <c r="G370" s="42" t="s">
        <v>195</v>
      </c>
      <c r="H370" s="42"/>
      <c r="I370" s="42"/>
      <c r="J370" s="42">
        <v>13207714</v>
      </c>
      <c r="K370" s="42"/>
      <c r="L370" s="44">
        <v>45293</v>
      </c>
      <c r="M370" s="44">
        <v>45293</v>
      </c>
      <c r="N370" s="42" t="s">
        <v>1355</v>
      </c>
      <c r="O370" s="42">
        <v>0</v>
      </c>
      <c r="P370" s="42">
        <v>20009879</v>
      </c>
      <c r="Q370" s="42" t="s">
        <v>1368</v>
      </c>
      <c r="R370" s="45">
        <v>410</v>
      </c>
      <c r="S370" s="46">
        <v>0.01</v>
      </c>
      <c r="T370" s="47" t="s">
        <v>198</v>
      </c>
      <c r="U370" s="48" t="s">
        <v>199</v>
      </c>
      <c r="V370" s="38"/>
      <c r="W370" s="48" t="s">
        <v>195</v>
      </c>
      <c r="X370" s="38" t="s">
        <v>200</v>
      </c>
      <c r="Y370" s="49" t="s">
        <v>201</v>
      </c>
      <c r="Z370" s="50" t="s">
        <v>1369</v>
      </c>
      <c r="AA370" s="38"/>
      <c r="AB370" s="38"/>
      <c r="AC370" s="38"/>
      <c r="AD370" s="51">
        <v>25</v>
      </c>
      <c r="AE370" s="51">
        <v>25</v>
      </c>
      <c r="AF370" s="48" t="s">
        <v>203</v>
      </c>
      <c r="AG370" s="38" t="s">
        <v>204</v>
      </c>
      <c r="AH370" s="52"/>
      <c r="AI370" s="38"/>
      <c r="AJ370" s="38"/>
    </row>
    <row r="371" spans="1:36" ht="16.2">
      <c r="A371" s="53" t="s">
        <v>191</v>
      </c>
      <c r="B371" s="53">
        <v>710316</v>
      </c>
      <c r="C371" s="53" t="s">
        <v>47</v>
      </c>
      <c r="D371" s="53">
        <v>13207714</v>
      </c>
      <c r="E371" s="54" t="s">
        <v>1353</v>
      </c>
      <c r="F371" s="53" t="s">
        <v>211</v>
      </c>
      <c r="G371" s="53" t="s">
        <v>195</v>
      </c>
      <c r="H371" s="53"/>
      <c r="I371" s="53"/>
      <c r="J371" s="53">
        <v>13207714</v>
      </c>
      <c r="K371" s="53"/>
      <c r="L371" s="55">
        <v>45293</v>
      </c>
      <c r="M371" s="55">
        <v>45293</v>
      </c>
      <c r="N371" s="53" t="s">
        <v>1355</v>
      </c>
      <c r="O371" s="53">
        <v>0</v>
      </c>
      <c r="P371" s="53">
        <v>20009879</v>
      </c>
      <c r="Q371" s="53" t="s">
        <v>1370</v>
      </c>
      <c r="R371" s="45">
        <v>410</v>
      </c>
      <c r="S371" s="56">
        <v>0.01</v>
      </c>
      <c r="T371" s="47" t="s">
        <v>198</v>
      </c>
      <c r="U371" s="48" t="s">
        <v>199</v>
      </c>
      <c r="V371" s="38"/>
      <c r="W371" s="48" t="s">
        <v>195</v>
      </c>
      <c r="X371" s="38" t="s">
        <v>200</v>
      </c>
      <c r="Y371" s="49" t="s">
        <v>201</v>
      </c>
      <c r="Z371" s="50" t="s">
        <v>1371</v>
      </c>
      <c r="AA371" s="38"/>
      <c r="AB371" s="38"/>
      <c r="AC371" s="38"/>
      <c r="AD371" s="51">
        <v>25</v>
      </c>
      <c r="AE371" s="51">
        <v>25</v>
      </c>
      <c r="AF371" s="48" t="s">
        <v>203</v>
      </c>
      <c r="AG371" s="38" t="s">
        <v>204</v>
      </c>
      <c r="AH371" s="52"/>
      <c r="AI371" s="38"/>
      <c r="AJ371" s="38"/>
    </row>
    <row r="372" spans="1:36" ht="16.2">
      <c r="A372" s="42" t="s">
        <v>191</v>
      </c>
      <c r="B372" s="42">
        <v>710316</v>
      </c>
      <c r="C372" s="42" t="s">
        <v>47</v>
      </c>
      <c r="D372" s="42">
        <v>13207714</v>
      </c>
      <c r="E372" s="43" t="s">
        <v>1353</v>
      </c>
      <c r="F372" s="42" t="s">
        <v>1372</v>
      </c>
      <c r="G372" s="42" t="s">
        <v>195</v>
      </c>
      <c r="H372" s="42"/>
      <c r="I372" s="42"/>
      <c r="J372" s="42">
        <v>13207714</v>
      </c>
      <c r="K372" s="42"/>
      <c r="L372" s="44">
        <v>45293</v>
      </c>
      <c r="M372" s="44">
        <v>45293</v>
      </c>
      <c r="N372" s="42" t="s">
        <v>1355</v>
      </c>
      <c r="O372" s="42">
        <v>0</v>
      </c>
      <c r="P372" s="42">
        <v>20009879</v>
      </c>
      <c r="Q372" s="42" t="s">
        <v>1373</v>
      </c>
      <c r="R372" s="45">
        <v>410</v>
      </c>
      <c r="S372" s="46">
        <v>0.01</v>
      </c>
      <c r="T372" s="47" t="s">
        <v>198</v>
      </c>
      <c r="U372" s="48" t="s">
        <v>199</v>
      </c>
      <c r="V372" s="38"/>
      <c r="W372" s="48" t="s">
        <v>195</v>
      </c>
      <c r="X372" s="38" t="s">
        <v>200</v>
      </c>
      <c r="Y372" s="49" t="s">
        <v>201</v>
      </c>
      <c r="Z372" s="50" t="s">
        <v>1374</v>
      </c>
      <c r="AA372" s="38"/>
      <c r="AB372" s="38"/>
      <c r="AC372" s="38"/>
      <c r="AD372" s="51">
        <v>25</v>
      </c>
      <c r="AE372" s="51">
        <v>25</v>
      </c>
      <c r="AF372" s="48" t="s">
        <v>203</v>
      </c>
      <c r="AG372" s="38" t="s">
        <v>204</v>
      </c>
      <c r="AH372" s="52"/>
      <c r="AI372" s="38"/>
      <c r="AJ372" s="38"/>
    </row>
    <row r="373" spans="1:36" ht="16.2">
      <c r="A373" s="53" t="s">
        <v>191</v>
      </c>
      <c r="B373" s="53">
        <v>710316</v>
      </c>
      <c r="C373" s="53" t="s">
        <v>47</v>
      </c>
      <c r="D373" s="53">
        <v>13207714</v>
      </c>
      <c r="E373" s="54" t="s">
        <v>1353</v>
      </c>
      <c r="F373" s="53" t="s">
        <v>1375</v>
      </c>
      <c r="G373" s="53" t="s">
        <v>195</v>
      </c>
      <c r="H373" s="53"/>
      <c r="I373" s="53"/>
      <c r="J373" s="53">
        <v>13207714</v>
      </c>
      <c r="K373" s="53"/>
      <c r="L373" s="55">
        <v>45293</v>
      </c>
      <c r="M373" s="55">
        <v>45293</v>
      </c>
      <c r="N373" s="53" t="s">
        <v>1355</v>
      </c>
      <c r="O373" s="53">
        <v>0</v>
      </c>
      <c r="P373" s="53">
        <v>20009879</v>
      </c>
      <c r="Q373" s="53" t="s">
        <v>1376</v>
      </c>
      <c r="R373" s="45">
        <v>410</v>
      </c>
      <c r="S373" s="56">
        <v>0.01</v>
      </c>
      <c r="T373" s="47" t="s">
        <v>198</v>
      </c>
      <c r="U373" s="48" t="s">
        <v>199</v>
      </c>
      <c r="V373" s="38"/>
      <c r="W373" s="48" t="s">
        <v>195</v>
      </c>
      <c r="X373" s="38" t="s">
        <v>200</v>
      </c>
      <c r="Y373" s="49" t="s">
        <v>201</v>
      </c>
      <c r="Z373" s="50" t="s">
        <v>1377</v>
      </c>
      <c r="AA373" s="38"/>
      <c r="AB373" s="38"/>
      <c r="AC373" s="38"/>
      <c r="AD373" s="51">
        <v>25</v>
      </c>
      <c r="AE373" s="51">
        <v>25</v>
      </c>
      <c r="AF373" s="48" t="s">
        <v>203</v>
      </c>
      <c r="AG373" s="38" t="s">
        <v>204</v>
      </c>
      <c r="AH373" s="52"/>
      <c r="AI373" s="38"/>
      <c r="AJ373" s="38"/>
    </row>
    <row r="374" spans="1:36" ht="16.2">
      <c r="A374" s="42" t="s">
        <v>191</v>
      </c>
      <c r="B374" s="42">
        <v>710316</v>
      </c>
      <c r="C374" s="42" t="s">
        <v>47</v>
      </c>
      <c r="D374" s="42">
        <v>13207714</v>
      </c>
      <c r="E374" s="43" t="s">
        <v>1353</v>
      </c>
      <c r="F374" s="42" t="s">
        <v>1378</v>
      </c>
      <c r="G374" s="42" t="s">
        <v>195</v>
      </c>
      <c r="H374" s="42"/>
      <c r="I374" s="42"/>
      <c r="J374" s="42">
        <v>13207714</v>
      </c>
      <c r="K374" s="42"/>
      <c r="L374" s="44">
        <v>45293</v>
      </c>
      <c r="M374" s="44">
        <v>45293</v>
      </c>
      <c r="N374" s="42" t="s">
        <v>1355</v>
      </c>
      <c r="O374" s="42">
        <v>0</v>
      </c>
      <c r="P374" s="42">
        <v>20009879</v>
      </c>
      <c r="Q374" s="42" t="s">
        <v>1379</v>
      </c>
      <c r="R374" s="45">
        <v>410</v>
      </c>
      <c r="S374" s="46">
        <v>0.01</v>
      </c>
      <c r="T374" s="47" t="s">
        <v>198</v>
      </c>
      <c r="U374" s="48" t="s">
        <v>199</v>
      </c>
      <c r="V374" s="38"/>
      <c r="W374" s="48" t="s">
        <v>195</v>
      </c>
      <c r="X374" s="38" t="s">
        <v>200</v>
      </c>
      <c r="Y374" s="49" t="s">
        <v>201</v>
      </c>
      <c r="Z374" s="50" t="s">
        <v>1380</v>
      </c>
      <c r="AA374" s="38"/>
      <c r="AB374" s="38"/>
      <c r="AC374" s="38"/>
      <c r="AD374" s="51">
        <v>25</v>
      </c>
      <c r="AE374" s="51">
        <v>25</v>
      </c>
      <c r="AF374" s="48" t="s">
        <v>203</v>
      </c>
      <c r="AG374" s="38" t="s">
        <v>204</v>
      </c>
      <c r="AH374" s="52"/>
      <c r="AI374" s="38"/>
      <c r="AJ374" s="38"/>
    </row>
    <row r="375" spans="1:36" ht="16.2">
      <c r="A375" s="53" t="s">
        <v>191</v>
      </c>
      <c r="B375" s="53">
        <v>710316</v>
      </c>
      <c r="C375" s="53" t="s">
        <v>47</v>
      </c>
      <c r="D375" s="53">
        <v>13207714</v>
      </c>
      <c r="E375" s="54" t="s">
        <v>1353</v>
      </c>
      <c r="F375" s="53" t="s">
        <v>644</v>
      </c>
      <c r="G375" s="53" t="s">
        <v>195</v>
      </c>
      <c r="H375" s="53"/>
      <c r="I375" s="53"/>
      <c r="J375" s="53">
        <v>13207714</v>
      </c>
      <c r="K375" s="53"/>
      <c r="L375" s="55">
        <v>45293</v>
      </c>
      <c r="M375" s="55">
        <v>45293</v>
      </c>
      <c r="N375" s="53" t="s">
        <v>1355</v>
      </c>
      <c r="O375" s="53">
        <v>0</v>
      </c>
      <c r="P375" s="53">
        <v>20009879</v>
      </c>
      <c r="Q375" s="53" t="s">
        <v>1381</v>
      </c>
      <c r="R375" s="45">
        <v>410</v>
      </c>
      <c r="S375" s="56">
        <v>0.01</v>
      </c>
      <c r="T375" s="47" t="s">
        <v>198</v>
      </c>
      <c r="U375" s="48" t="s">
        <v>199</v>
      </c>
      <c r="V375" s="38"/>
      <c r="W375" s="48" t="s">
        <v>195</v>
      </c>
      <c r="X375" s="38" t="s">
        <v>200</v>
      </c>
      <c r="Y375" s="49" t="s">
        <v>201</v>
      </c>
      <c r="Z375" s="50" t="s">
        <v>1382</v>
      </c>
      <c r="AA375" s="38"/>
      <c r="AB375" s="38"/>
      <c r="AC375" s="38"/>
      <c r="AD375" s="51">
        <v>25</v>
      </c>
      <c r="AE375" s="51">
        <v>25</v>
      </c>
      <c r="AF375" s="48" t="s">
        <v>203</v>
      </c>
      <c r="AG375" s="38" t="s">
        <v>204</v>
      </c>
      <c r="AH375" s="52"/>
      <c r="AI375" s="38"/>
      <c r="AJ375" s="38"/>
    </row>
    <row r="376" spans="1:36" ht="16.2">
      <c r="A376" s="42" t="s">
        <v>191</v>
      </c>
      <c r="B376" s="42">
        <v>710316</v>
      </c>
      <c r="C376" s="42" t="s">
        <v>47</v>
      </c>
      <c r="D376" s="42">
        <v>13207714</v>
      </c>
      <c r="E376" s="43" t="s">
        <v>1353</v>
      </c>
      <c r="F376" s="42" t="s">
        <v>1383</v>
      </c>
      <c r="G376" s="42" t="s">
        <v>195</v>
      </c>
      <c r="H376" s="42"/>
      <c r="I376" s="42"/>
      <c r="J376" s="42">
        <v>13207714</v>
      </c>
      <c r="K376" s="42"/>
      <c r="L376" s="44">
        <v>45293</v>
      </c>
      <c r="M376" s="44">
        <v>45293</v>
      </c>
      <c r="N376" s="42" t="s">
        <v>1355</v>
      </c>
      <c r="O376" s="42">
        <v>0</v>
      </c>
      <c r="P376" s="42">
        <v>20009879</v>
      </c>
      <c r="Q376" s="42" t="s">
        <v>1384</v>
      </c>
      <c r="R376" s="45">
        <v>410</v>
      </c>
      <c r="S376" s="46">
        <v>0.01</v>
      </c>
      <c r="T376" s="47" t="s">
        <v>198</v>
      </c>
      <c r="U376" s="48" t="s">
        <v>199</v>
      </c>
      <c r="V376" s="38"/>
      <c r="W376" s="48" t="s">
        <v>195</v>
      </c>
      <c r="X376" s="38" t="s">
        <v>200</v>
      </c>
      <c r="Y376" s="49" t="s">
        <v>201</v>
      </c>
      <c r="Z376" s="50" t="s">
        <v>1385</v>
      </c>
      <c r="AA376" s="38"/>
      <c r="AB376" s="38"/>
      <c r="AC376" s="38"/>
      <c r="AD376" s="51">
        <v>25</v>
      </c>
      <c r="AE376" s="51">
        <v>25</v>
      </c>
      <c r="AF376" s="48" t="s">
        <v>203</v>
      </c>
      <c r="AG376" s="38" t="s">
        <v>204</v>
      </c>
      <c r="AH376" s="52"/>
      <c r="AI376" s="38"/>
      <c r="AJ376" s="38"/>
    </row>
    <row r="377" spans="1:36" ht="16.2">
      <c r="A377" s="53" t="s">
        <v>191</v>
      </c>
      <c r="B377" s="53">
        <v>710316</v>
      </c>
      <c r="C377" s="53" t="s">
        <v>47</v>
      </c>
      <c r="D377" s="53">
        <v>13207714</v>
      </c>
      <c r="E377" s="54" t="s">
        <v>1353</v>
      </c>
      <c r="F377" s="53" t="s">
        <v>1386</v>
      </c>
      <c r="G377" s="53" t="s">
        <v>195</v>
      </c>
      <c r="H377" s="53"/>
      <c r="I377" s="53"/>
      <c r="J377" s="53">
        <v>13207714</v>
      </c>
      <c r="K377" s="53"/>
      <c r="L377" s="55">
        <v>45293</v>
      </c>
      <c r="M377" s="55">
        <v>45293</v>
      </c>
      <c r="N377" s="53" t="s">
        <v>1355</v>
      </c>
      <c r="O377" s="53">
        <v>0</v>
      </c>
      <c r="P377" s="53">
        <v>20009879</v>
      </c>
      <c r="Q377" s="53" t="s">
        <v>1387</v>
      </c>
      <c r="R377" s="45">
        <v>410</v>
      </c>
      <c r="S377" s="56">
        <v>0.01</v>
      </c>
      <c r="T377" s="47" t="s">
        <v>198</v>
      </c>
      <c r="U377" s="48" t="s">
        <v>199</v>
      </c>
      <c r="V377" s="38"/>
      <c r="W377" s="48" t="s">
        <v>195</v>
      </c>
      <c r="X377" s="38" t="s">
        <v>200</v>
      </c>
      <c r="Y377" s="49" t="s">
        <v>201</v>
      </c>
      <c r="Z377" s="50" t="s">
        <v>1388</v>
      </c>
      <c r="AA377" s="38"/>
      <c r="AB377" s="38"/>
      <c r="AC377" s="38"/>
      <c r="AD377" s="51">
        <v>25</v>
      </c>
      <c r="AE377" s="51">
        <v>25</v>
      </c>
      <c r="AF377" s="48" t="s">
        <v>203</v>
      </c>
      <c r="AG377" s="38" t="s">
        <v>204</v>
      </c>
      <c r="AH377" s="52"/>
      <c r="AI377" s="38"/>
      <c r="AJ377" s="38"/>
    </row>
    <row r="378" spans="1:36" ht="16.2">
      <c r="A378" s="42" t="s">
        <v>191</v>
      </c>
      <c r="B378" s="42">
        <v>710316</v>
      </c>
      <c r="C378" s="42" t="s">
        <v>47</v>
      </c>
      <c r="D378" s="42">
        <v>13207714</v>
      </c>
      <c r="E378" s="43" t="s">
        <v>1353</v>
      </c>
      <c r="F378" s="42" t="s">
        <v>1389</v>
      </c>
      <c r="G378" s="42" t="s">
        <v>195</v>
      </c>
      <c r="H378" s="42"/>
      <c r="I378" s="42"/>
      <c r="J378" s="42">
        <v>13207714</v>
      </c>
      <c r="K378" s="42"/>
      <c r="L378" s="44">
        <v>45293</v>
      </c>
      <c r="M378" s="44">
        <v>45293</v>
      </c>
      <c r="N378" s="42" t="s">
        <v>1355</v>
      </c>
      <c r="O378" s="42">
        <v>0</v>
      </c>
      <c r="P378" s="42">
        <v>20009879</v>
      </c>
      <c r="Q378" s="42" t="s">
        <v>1390</v>
      </c>
      <c r="R378" s="45">
        <v>410</v>
      </c>
      <c r="S378" s="46">
        <v>0.01</v>
      </c>
      <c r="T378" s="47" t="s">
        <v>198</v>
      </c>
      <c r="U378" s="48" t="s">
        <v>199</v>
      </c>
      <c r="V378" s="38"/>
      <c r="W378" s="48" t="s">
        <v>195</v>
      </c>
      <c r="X378" s="38" t="s">
        <v>200</v>
      </c>
      <c r="Y378" s="49" t="s">
        <v>201</v>
      </c>
      <c r="Z378" s="50" t="s">
        <v>1391</v>
      </c>
      <c r="AA378" s="38"/>
      <c r="AB378" s="38"/>
      <c r="AC378" s="38"/>
      <c r="AD378" s="51">
        <v>25</v>
      </c>
      <c r="AE378" s="51">
        <v>25</v>
      </c>
      <c r="AF378" s="48" t="s">
        <v>203</v>
      </c>
      <c r="AG378" s="38" t="s">
        <v>204</v>
      </c>
      <c r="AH378" s="52"/>
      <c r="AI378" s="38"/>
      <c r="AJ378" s="38"/>
    </row>
    <row r="379" spans="1:36" ht="16.2">
      <c r="A379" s="53" t="s">
        <v>191</v>
      </c>
      <c r="B379" s="53">
        <v>710316</v>
      </c>
      <c r="C379" s="53" t="s">
        <v>47</v>
      </c>
      <c r="D379" s="53">
        <v>13207714</v>
      </c>
      <c r="E379" s="54" t="s">
        <v>1353</v>
      </c>
      <c r="F379" s="53" t="s">
        <v>1392</v>
      </c>
      <c r="G379" s="53" t="s">
        <v>195</v>
      </c>
      <c r="H379" s="53"/>
      <c r="I379" s="53"/>
      <c r="J379" s="53">
        <v>13207714</v>
      </c>
      <c r="K379" s="53"/>
      <c r="L379" s="55">
        <v>45293</v>
      </c>
      <c r="M379" s="55">
        <v>45293</v>
      </c>
      <c r="N379" s="53" t="s">
        <v>1355</v>
      </c>
      <c r="O379" s="53">
        <v>0</v>
      </c>
      <c r="P379" s="53">
        <v>20009879</v>
      </c>
      <c r="Q379" s="53" t="s">
        <v>1393</v>
      </c>
      <c r="R379" s="45">
        <v>410</v>
      </c>
      <c r="S379" s="56">
        <v>0.01</v>
      </c>
      <c r="T379" s="47" t="s">
        <v>198</v>
      </c>
      <c r="U379" s="48" t="s">
        <v>199</v>
      </c>
      <c r="V379" s="38"/>
      <c r="W379" s="48" t="s">
        <v>195</v>
      </c>
      <c r="X379" s="38" t="s">
        <v>200</v>
      </c>
      <c r="Y379" s="49" t="s">
        <v>201</v>
      </c>
      <c r="Z379" s="50" t="s">
        <v>1394</v>
      </c>
      <c r="AA379" s="38"/>
      <c r="AB379" s="38"/>
      <c r="AC379" s="38"/>
      <c r="AD379" s="51">
        <v>25</v>
      </c>
      <c r="AE379" s="51">
        <v>25</v>
      </c>
      <c r="AF379" s="48" t="s">
        <v>203</v>
      </c>
      <c r="AG379" s="38" t="s">
        <v>204</v>
      </c>
      <c r="AH379" s="52"/>
      <c r="AI379" s="38"/>
      <c r="AJ379" s="38"/>
    </row>
    <row r="380" spans="1:36" ht="16.2">
      <c r="A380" s="42" t="s">
        <v>191</v>
      </c>
      <c r="B380" s="42">
        <v>710316</v>
      </c>
      <c r="C380" s="42" t="s">
        <v>47</v>
      </c>
      <c r="D380" s="42">
        <v>13207714</v>
      </c>
      <c r="E380" s="43" t="s">
        <v>1353</v>
      </c>
      <c r="F380" s="42" t="s">
        <v>381</v>
      </c>
      <c r="G380" s="42" t="s">
        <v>195</v>
      </c>
      <c r="H380" s="42"/>
      <c r="I380" s="42"/>
      <c r="J380" s="42">
        <v>13207714</v>
      </c>
      <c r="K380" s="42"/>
      <c r="L380" s="44">
        <v>45293</v>
      </c>
      <c r="M380" s="44">
        <v>45293</v>
      </c>
      <c r="N380" s="42" t="s">
        <v>1355</v>
      </c>
      <c r="O380" s="42">
        <v>0</v>
      </c>
      <c r="P380" s="42">
        <v>20009879</v>
      </c>
      <c r="Q380" s="42" t="s">
        <v>1395</v>
      </c>
      <c r="R380" s="45">
        <v>410</v>
      </c>
      <c r="S380" s="46">
        <v>0.01</v>
      </c>
      <c r="T380" s="47" t="s">
        <v>198</v>
      </c>
      <c r="U380" s="48" t="s">
        <v>199</v>
      </c>
      <c r="V380" s="38"/>
      <c r="W380" s="48" t="s">
        <v>195</v>
      </c>
      <c r="X380" s="38" t="s">
        <v>200</v>
      </c>
      <c r="Y380" s="49" t="s">
        <v>201</v>
      </c>
      <c r="Z380" s="50" t="s">
        <v>1396</v>
      </c>
      <c r="AA380" s="38"/>
      <c r="AB380" s="38"/>
      <c r="AC380" s="38"/>
      <c r="AD380" s="51">
        <v>25</v>
      </c>
      <c r="AE380" s="51">
        <v>25</v>
      </c>
      <c r="AF380" s="48" t="s">
        <v>203</v>
      </c>
      <c r="AG380" s="38" t="s">
        <v>204</v>
      </c>
      <c r="AH380" s="52"/>
      <c r="AI380" s="38"/>
      <c r="AJ380" s="38"/>
    </row>
    <row r="381" spans="1:36" ht="16.2">
      <c r="A381" s="53" t="s">
        <v>238</v>
      </c>
      <c r="B381" s="53">
        <v>558020</v>
      </c>
      <c r="C381" s="53" t="s">
        <v>1397</v>
      </c>
      <c r="D381" s="53">
        <v>13207646</v>
      </c>
      <c r="E381" s="54" t="s">
        <v>1398</v>
      </c>
      <c r="F381" s="53" t="s">
        <v>1189</v>
      </c>
      <c r="G381" s="53" t="s">
        <v>195</v>
      </c>
      <c r="H381" s="53"/>
      <c r="I381" s="53"/>
      <c r="J381" s="53">
        <v>13207646</v>
      </c>
      <c r="K381" s="53"/>
      <c r="L381" s="55">
        <v>45293</v>
      </c>
      <c r="M381" s="55">
        <v>45293</v>
      </c>
      <c r="N381" s="53" t="s">
        <v>306</v>
      </c>
      <c r="O381" s="53">
        <v>0</v>
      </c>
      <c r="P381" s="53">
        <v>20009855</v>
      </c>
      <c r="Q381" s="53" t="s">
        <v>1399</v>
      </c>
      <c r="R381" s="45">
        <v>410</v>
      </c>
      <c r="S381" s="56">
        <v>0.01</v>
      </c>
      <c r="T381" s="47" t="s">
        <v>198</v>
      </c>
      <c r="U381" s="48" t="s">
        <v>199</v>
      </c>
      <c r="V381" s="38"/>
      <c r="W381" s="48" t="s">
        <v>195</v>
      </c>
      <c r="X381" s="38" t="s">
        <v>200</v>
      </c>
      <c r="Y381" s="49" t="s">
        <v>201</v>
      </c>
      <c r="Z381" s="50" t="s">
        <v>1400</v>
      </c>
      <c r="AA381" s="38"/>
      <c r="AB381" s="38"/>
      <c r="AC381" s="38"/>
      <c r="AD381" s="51">
        <v>146</v>
      </c>
      <c r="AE381" s="51">
        <v>146</v>
      </c>
      <c r="AF381" s="48" t="s">
        <v>203</v>
      </c>
      <c r="AG381" s="38" t="s">
        <v>204</v>
      </c>
      <c r="AH381" s="52"/>
      <c r="AI381" s="38"/>
      <c r="AJ381" s="38"/>
    </row>
    <row r="382" spans="1:36" ht="16.2">
      <c r="A382" s="42" t="s">
        <v>238</v>
      </c>
      <c r="B382" s="42">
        <v>558020</v>
      </c>
      <c r="C382" s="42" t="s">
        <v>1397</v>
      </c>
      <c r="D382" s="42">
        <v>13207646</v>
      </c>
      <c r="E382" s="43" t="s">
        <v>1398</v>
      </c>
      <c r="F382" s="42" t="s">
        <v>1195</v>
      </c>
      <c r="G382" s="42" t="s">
        <v>195</v>
      </c>
      <c r="H382" s="42"/>
      <c r="I382" s="42"/>
      <c r="J382" s="42">
        <v>13207646</v>
      </c>
      <c r="K382" s="42"/>
      <c r="L382" s="44">
        <v>45293</v>
      </c>
      <c r="M382" s="44">
        <v>45293</v>
      </c>
      <c r="N382" s="42" t="s">
        <v>306</v>
      </c>
      <c r="O382" s="42">
        <v>0</v>
      </c>
      <c r="P382" s="42">
        <v>20009855</v>
      </c>
      <c r="Q382" s="42" t="s">
        <v>1401</v>
      </c>
      <c r="R382" s="45">
        <v>410</v>
      </c>
      <c r="S382" s="46">
        <v>0.01</v>
      </c>
      <c r="T382" s="47" t="s">
        <v>198</v>
      </c>
      <c r="U382" s="48" t="s">
        <v>199</v>
      </c>
      <c r="V382" s="38"/>
      <c r="W382" s="48" t="s">
        <v>195</v>
      </c>
      <c r="X382" s="38" t="s">
        <v>200</v>
      </c>
      <c r="Y382" s="49" t="s">
        <v>201</v>
      </c>
      <c r="Z382" s="50" t="s">
        <v>1402</v>
      </c>
      <c r="AA382" s="38"/>
      <c r="AB382" s="38"/>
      <c r="AC382" s="38"/>
      <c r="AD382" s="51">
        <v>146</v>
      </c>
      <c r="AE382" s="51">
        <v>146</v>
      </c>
      <c r="AF382" s="48" t="s">
        <v>203</v>
      </c>
      <c r="AG382" s="38" t="s">
        <v>204</v>
      </c>
      <c r="AH382" s="52"/>
      <c r="AI382" s="38"/>
      <c r="AJ382" s="38"/>
    </row>
    <row r="383" spans="1:36" ht="16.2">
      <c r="A383" s="53" t="s">
        <v>238</v>
      </c>
      <c r="B383" s="53">
        <v>558020</v>
      </c>
      <c r="C383" s="53" t="s">
        <v>1397</v>
      </c>
      <c r="D383" s="53">
        <v>13207646</v>
      </c>
      <c r="E383" s="54" t="s">
        <v>1398</v>
      </c>
      <c r="F383" s="53" t="s">
        <v>1247</v>
      </c>
      <c r="G383" s="53" t="s">
        <v>195</v>
      </c>
      <c r="H383" s="53"/>
      <c r="I383" s="53"/>
      <c r="J383" s="53">
        <v>13207646</v>
      </c>
      <c r="K383" s="53"/>
      <c r="L383" s="55">
        <v>45293</v>
      </c>
      <c r="M383" s="55">
        <v>45293</v>
      </c>
      <c r="N383" s="53" t="s">
        <v>306</v>
      </c>
      <c r="O383" s="53">
        <v>0</v>
      </c>
      <c r="P383" s="53">
        <v>20009855</v>
      </c>
      <c r="Q383" s="53" t="s">
        <v>1403</v>
      </c>
      <c r="R383" s="45">
        <v>410</v>
      </c>
      <c r="S383" s="56">
        <v>0.01</v>
      </c>
      <c r="T383" s="47" t="s">
        <v>198</v>
      </c>
      <c r="U383" s="48" t="s">
        <v>199</v>
      </c>
      <c r="V383" s="38"/>
      <c r="W383" s="48" t="s">
        <v>195</v>
      </c>
      <c r="X383" s="38" t="s">
        <v>200</v>
      </c>
      <c r="Y383" s="49" t="s">
        <v>201</v>
      </c>
      <c r="Z383" s="50" t="s">
        <v>1404</v>
      </c>
      <c r="AA383" s="38"/>
      <c r="AB383" s="38"/>
      <c r="AC383" s="38"/>
      <c r="AD383" s="51">
        <v>146</v>
      </c>
      <c r="AE383" s="51">
        <v>146</v>
      </c>
      <c r="AF383" s="48" t="s">
        <v>203</v>
      </c>
      <c r="AG383" s="38" t="s">
        <v>204</v>
      </c>
      <c r="AH383" s="52"/>
      <c r="AI383" s="38"/>
      <c r="AJ383" s="38"/>
    </row>
    <row r="384" spans="1:36" ht="16.2">
      <c r="A384" s="42" t="s">
        <v>238</v>
      </c>
      <c r="B384" s="42">
        <v>558020</v>
      </c>
      <c r="C384" s="42" t="s">
        <v>1397</v>
      </c>
      <c r="D384" s="42">
        <v>13207646</v>
      </c>
      <c r="E384" s="43" t="s">
        <v>1398</v>
      </c>
      <c r="F384" s="42" t="s">
        <v>293</v>
      </c>
      <c r="G384" s="42" t="s">
        <v>195</v>
      </c>
      <c r="H384" s="42"/>
      <c r="I384" s="42"/>
      <c r="J384" s="42">
        <v>13207646</v>
      </c>
      <c r="K384" s="42"/>
      <c r="L384" s="44">
        <v>45293</v>
      </c>
      <c r="M384" s="44">
        <v>45293</v>
      </c>
      <c r="N384" s="42" t="s">
        <v>306</v>
      </c>
      <c r="O384" s="42">
        <v>0</v>
      </c>
      <c r="P384" s="42">
        <v>20009855</v>
      </c>
      <c r="Q384" s="42" t="s">
        <v>1405</v>
      </c>
      <c r="R384" s="45">
        <v>410</v>
      </c>
      <c r="S384" s="46">
        <v>0.01</v>
      </c>
      <c r="T384" s="47" t="s">
        <v>198</v>
      </c>
      <c r="U384" s="48" t="s">
        <v>199</v>
      </c>
      <c r="V384" s="38"/>
      <c r="W384" s="48" t="s">
        <v>195</v>
      </c>
      <c r="X384" s="38" t="s">
        <v>200</v>
      </c>
      <c r="Y384" s="49" t="s">
        <v>201</v>
      </c>
      <c r="Z384" s="50" t="s">
        <v>1406</v>
      </c>
      <c r="AA384" s="38"/>
      <c r="AB384" s="38"/>
      <c r="AC384" s="38"/>
      <c r="AD384" s="51">
        <v>146</v>
      </c>
      <c r="AE384" s="51">
        <v>146</v>
      </c>
      <c r="AF384" s="48" t="s">
        <v>203</v>
      </c>
      <c r="AG384" s="38" t="s">
        <v>204</v>
      </c>
      <c r="AH384" s="52"/>
      <c r="AI384" s="38"/>
      <c r="AJ384" s="38"/>
    </row>
    <row r="385" spans="1:36" ht="16.2">
      <c r="A385" s="53" t="s">
        <v>238</v>
      </c>
      <c r="B385" s="53">
        <v>558020</v>
      </c>
      <c r="C385" s="53" t="s">
        <v>1397</v>
      </c>
      <c r="D385" s="53">
        <v>13207646</v>
      </c>
      <c r="E385" s="54" t="s">
        <v>1398</v>
      </c>
      <c r="F385" s="53" t="s">
        <v>1252</v>
      </c>
      <c r="G385" s="53" t="s">
        <v>195</v>
      </c>
      <c r="H385" s="53"/>
      <c r="I385" s="53"/>
      <c r="J385" s="53">
        <v>13207646</v>
      </c>
      <c r="K385" s="53"/>
      <c r="L385" s="55">
        <v>45293</v>
      </c>
      <c r="M385" s="55">
        <v>45293</v>
      </c>
      <c r="N385" s="53" t="s">
        <v>306</v>
      </c>
      <c r="O385" s="53">
        <v>0</v>
      </c>
      <c r="P385" s="53">
        <v>20009855</v>
      </c>
      <c r="Q385" s="53" t="s">
        <v>1407</v>
      </c>
      <c r="R385" s="45">
        <v>410</v>
      </c>
      <c r="S385" s="56">
        <v>0.01</v>
      </c>
      <c r="T385" s="47" t="s">
        <v>198</v>
      </c>
      <c r="U385" s="48" t="s">
        <v>199</v>
      </c>
      <c r="V385" s="38"/>
      <c r="W385" s="48" t="s">
        <v>195</v>
      </c>
      <c r="X385" s="38" t="s">
        <v>200</v>
      </c>
      <c r="Y385" s="49" t="s">
        <v>201</v>
      </c>
      <c r="Z385" s="50" t="s">
        <v>1408</v>
      </c>
      <c r="AA385" s="38"/>
      <c r="AB385" s="38"/>
      <c r="AC385" s="38"/>
      <c r="AD385" s="51">
        <v>146</v>
      </c>
      <c r="AE385" s="51">
        <v>146</v>
      </c>
      <c r="AF385" s="48" t="s">
        <v>203</v>
      </c>
      <c r="AG385" s="38" t="s">
        <v>204</v>
      </c>
      <c r="AH385" s="52"/>
      <c r="AI385" s="38"/>
      <c r="AJ385" s="38"/>
    </row>
    <row r="386" spans="1:36" ht="16.2">
      <c r="A386" s="42" t="s">
        <v>238</v>
      </c>
      <c r="B386" s="42">
        <v>558020</v>
      </c>
      <c r="C386" s="42" t="s">
        <v>1397</v>
      </c>
      <c r="D386" s="42">
        <v>13207646</v>
      </c>
      <c r="E386" s="43" t="s">
        <v>1398</v>
      </c>
      <c r="F386" s="42" t="s">
        <v>1255</v>
      </c>
      <c r="G386" s="42" t="s">
        <v>195</v>
      </c>
      <c r="H386" s="42"/>
      <c r="I386" s="42"/>
      <c r="J386" s="42">
        <v>13207646</v>
      </c>
      <c r="K386" s="42"/>
      <c r="L386" s="44">
        <v>45293</v>
      </c>
      <c r="M386" s="44">
        <v>45293</v>
      </c>
      <c r="N386" s="42" t="s">
        <v>306</v>
      </c>
      <c r="O386" s="42">
        <v>0</v>
      </c>
      <c r="P386" s="42">
        <v>20009855</v>
      </c>
      <c r="Q386" s="42" t="s">
        <v>1409</v>
      </c>
      <c r="R386" s="45">
        <v>410</v>
      </c>
      <c r="S386" s="46">
        <v>0.01</v>
      </c>
      <c r="T386" s="47" t="s">
        <v>198</v>
      </c>
      <c r="U386" s="48" t="s">
        <v>199</v>
      </c>
      <c r="V386" s="38"/>
      <c r="W386" s="48" t="s">
        <v>195</v>
      </c>
      <c r="X386" s="38" t="s">
        <v>200</v>
      </c>
      <c r="Y386" s="49" t="s">
        <v>201</v>
      </c>
      <c r="Z386" s="50" t="s">
        <v>1410</v>
      </c>
      <c r="AA386" s="38"/>
      <c r="AB386" s="38"/>
      <c r="AC386" s="38"/>
      <c r="AD386" s="51">
        <v>146</v>
      </c>
      <c r="AE386" s="51">
        <v>146</v>
      </c>
      <c r="AF386" s="48" t="s">
        <v>203</v>
      </c>
      <c r="AG386" s="38" t="s">
        <v>204</v>
      </c>
      <c r="AH386" s="52"/>
      <c r="AI386" s="38"/>
      <c r="AJ386" s="38"/>
    </row>
    <row r="387" spans="1:36" ht="16.2">
      <c r="A387" s="53" t="s">
        <v>238</v>
      </c>
      <c r="B387" s="53">
        <v>558020</v>
      </c>
      <c r="C387" s="53" t="s">
        <v>1397</v>
      </c>
      <c r="D387" s="53">
        <v>13207646</v>
      </c>
      <c r="E387" s="54" t="s">
        <v>1398</v>
      </c>
      <c r="F387" s="53" t="s">
        <v>1258</v>
      </c>
      <c r="G387" s="53" t="s">
        <v>195</v>
      </c>
      <c r="H387" s="53"/>
      <c r="I387" s="53"/>
      <c r="J387" s="53">
        <v>13207646</v>
      </c>
      <c r="K387" s="53"/>
      <c r="L387" s="55">
        <v>45293</v>
      </c>
      <c r="M387" s="55">
        <v>45293</v>
      </c>
      <c r="N387" s="53" t="s">
        <v>306</v>
      </c>
      <c r="O387" s="53">
        <v>0</v>
      </c>
      <c r="P387" s="53">
        <v>20009855</v>
      </c>
      <c r="Q387" s="53" t="s">
        <v>1411</v>
      </c>
      <c r="R387" s="45">
        <v>410</v>
      </c>
      <c r="S387" s="56">
        <v>0.01</v>
      </c>
      <c r="T387" s="47" t="s">
        <v>198</v>
      </c>
      <c r="U387" s="48" t="s">
        <v>199</v>
      </c>
      <c r="V387" s="38"/>
      <c r="W387" s="48" t="s">
        <v>195</v>
      </c>
      <c r="X387" s="38" t="s">
        <v>200</v>
      </c>
      <c r="Y387" s="49" t="s">
        <v>201</v>
      </c>
      <c r="Z387" s="50" t="s">
        <v>1412</v>
      </c>
      <c r="AA387" s="38"/>
      <c r="AB387" s="38"/>
      <c r="AC387" s="38"/>
      <c r="AD387" s="51">
        <v>146</v>
      </c>
      <c r="AE387" s="51">
        <v>146</v>
      </c>
      <c r="AF387" s="48" t="s">
        <v>203</v>
      </c>
      <c r="AG387" s="38" t="s">
        <v>204</v>
      </c>
      <c r="AH387" s="52"/>
      <c r="AI387" s="38"/>
      <c r="AJ387" s="38"/>
    </row>
    <row r="388" spans="1:36" ht="16.2">
      <c r="A388" s="42" t="s">
        <v>238</v>
      </c>
      <c r="B388" s="42">
        <v>558020</v>
      </c>
      <c r="C388" s="42" t="s">
        <v>1397</v>
      </c>
      <c r="D388" s="42">
        <v>13207646</v>
      </c>
      <c r="E388" s="43" t="s">
        <v>1398</v>
      </c>
      <c r="F388" s="42" t="s">
        <v>1216</v>
      </c>
      <c r="G388" s="42" t="s">
        <v>195</v>
      </c>
      <c r="H388" s="42"/>
      <c r="I388" s="42"/>
      <c r="J388" s="42">
        <v>13207646</v>
      </c>
      <c r="K388" s="42"/>
      <c r="L388" s="44">
        <v>45293</v>
      </c>
      <c r="M388" s="44">
        <v>45293</v>
      </c>
      <c r="N388" s="42" t="s">
        <v>306</v>
      </c>
      <c r="O388" s="42">
        <v>0</v>
      </c>
      <c r="P388" s="42">
        <v>20009855</v>
      </c>
      <c r="Q388" s="42" t="s">
        <v>1413</v>
      </c>
      <c r="R388" s="45">
        <v>410</v>
      </c>
      <c r="S388" s="46">
        <v>0.01</v>
      </c>
      <c r="T388" s="47" t="s">
        <v>198</v>
      </c>
      <c r="U388" s="48" t="s">
        <v>199</v>
      </c>
      <c r="V388" s="38"/>
      <c r="W388" s="48" t="s">
        <v>195</v>
      </c>
      <c r="X388" s="38" t="s">
        <v>200</v>
      </c>
      <c r="Y388" s="49" t="s">
        <v>201</v>
      </c>
      <c r="Z388" s="50" t="s">
        <v>1414</v>
      </c>
      <c r="AA388" s="38"/>
      <c r="AB388" s="38"/>
      <c r="AC388" s="38"/>
      <c r="AD388" s="51">
        <v>146</v>
      </c>
      <c r="AE388" s="51">
        <v>146</v>
      </c>
      <c r="AF388" s="48" t="s">
        <v>203</v>
      </c>
      <c r="AG388" s="38" t="s">
        <v>204</v>
      </c>
      <c r="AH388" s="52"/>
      <c r="AI388" s="38"/>
      <c r="AJ388" s="38"/>
    </row>
    <row r="389" spans="1:36" ht="16.2">
      <c r="A389" s="53" t="s">
        <v>238</v>
      </c>
      <c r="B389" s="53">
        <v>558020</v>
      </c>
      <c r="C389" s="53" t="s">
        <v>1397</v>
      </c>
      <c r="D389" s="53">
        <v>13207646</v>
      </c>
      <c r="E389" s="54" t="s">
        <v>1398</v>
      </c>
      <c r="F389" s="53" t="s">
        <v>1198</v>
      </c>
      <c r="G389" s="53" t="s">
        <v>195</v>
      </c>
      <c r="H389" s="53"/>
      <c r="I389" s="53"/>
      <c r="J389" s="53">
        <v>13207646</v>
      </c>
      <c r="K389" s="53"/>
      <c r="L389" s="55">
        <v>45293</v>
      </c>
      <c r="M389" s="55">
        <v>45293</v>
      </c>
      <c r="N389" s="53" t="s">
        <v>306</v>
      </c>
      <c r="O389" s="53">
        <v>0</v>
      </c>
      <c r="P389" s="53">
        <v>20009855</v>
      </c>
      <c r="Q389" s="53" t="s">
        <v>1415</v>
      </c>
      <c r="R389" s="45">
        <v>410</v>
      </c>
      <c r="S389" s="56">
        <v>0.01</v>
      </c>
      <c r="T389" s="47" t="s">
        <v>198</v>
      </c>
      <c r="U389" s="48" t="s">
        <v>199</v>
      </c>
      <c r="V389" s="38"/>
      <c r="W389" s="48" t="s">
        <v>195</v>
      </c>
      <c r="X389" s="38" t="s">
        <v>200</v>
      </c>
      <c r="Y389" s="49" t="s">
        <v>201</v>
      </c>
      <c r="Z389" s="50" t="s">
        <v>1416</v>
      </c>
      <c r="AA389" s="38"/>
      <c r="AB389" s="38"/>
      <c r="AC389" s="38"/>
      <c r="AD389" s="51">
        <v>146</v>
      </c>
      <c r="AE389" s="51">
        <v>146</v>
      </c>
      <c r="AF389" s="48" t="s">
        <v>203</v>
      </c>
      <c r="AG389" s="38" t="s">
        <v>204</v>
      </c>
      <c r="AH389" s="52"/>
      <c r="AI389" s="38"/>
      <c r="AJ389" s="38"/>
    </row>
    <row r="390" spans="1:36" ht="16.2">
      <c r="A390" s="42" t="s">
        <v>238</v>
      </c>
      <c r="B390" s="42">
        <v>558020</v>
      </c>
      <c r="C390" s="42" t="s">
        <v>1397</v>
      </c>
      <c r="D390" s="42">
        <v>13207646</v>
      </c>
      <c r="E390" s="43" t="s">
        <v>1398</v>
      </c>
      <c r="F390" s="42" t="s">
        <v>1265</v>
      </c>
      <c r="G390" s="42" t="s">
        <v>195</v>
      </c>
      <c r="H390" s="42"/>
      <c r="I390" s="42"/>
      <c r="J390" s="42">
        <v>13207646</v>
      </c>
      <c r="K390" s="42"/>
      <c r="L390" s="44">
        <v>45293</v>
      </c>
      <c r="M390" s="44">
        <v>45293</v>
      </c>
      <c r="N390" s="42" t="s">
        <v>306</v>
      </c>
      <c r="O390" s="42">
        <v>0</v>
      </c>
      <c r="P390" s="42">
        <v>20009855</v>
      </c>
      <c r="Q390" s="42" t="s">
        <v>1417</v>
      </c>
      <c r="R390" s="45">
        <v>410</v>
      </c>
      <c r="S390" s="46">
        <v>0.01</v>
      </c>
      <c r="T390" s="47" t="s">
        <v>198</v>
      </c>
      <c r="U390" s="48" t="s">
        <v>199</v>
      </c>
      <c r="V390" s="38"/>
      <c r="W390" s="48" t="s">
        <v>195</v>
      </c>
      <c r="X390" s="38" t="s">
        <v>200</v>
      </c>
      <c r="Y390" s="49" t="s">
        <v>201</v>
      </c>
      <c r="Z390" s="50" t="s">
        <v>1418</v>
      </c>
      <c r="AA390" s="38"/>
      <c r="AB390" s="38"/>
      <c r="AC390" s="38"/>
      <c r="AD390" s="51">
        <v>146</v>
      </c>
      <c r="AE390" s="51">
        <v>146</v>
      </c>
      <c r="AF390" s="48" t="s">
        <v>203</v>
      </c>
      <c r="AG390" s="38" t="s">
        <v>204</v>
      </c>
      <c r="AH390" s="52"/>
      <c r="AI390" s="38"/>
      <c r="AJ390" s="38"/>
    </row>
    <row r="391" spans="1:36" ht="16.2">
      <c r="A391" s="53" t="s">
        <v>238</v>
      </c>
      <c r="B391" s="53">
        <v>558020</v>
      </c>
      <c r="C391" s="53" t="s">
        <v>1397</v>
      </c>
      <c r="D391" s="53">
        <v>13207646</v>
      </c>
      <c r="E391" s="54" t="s">
        <v>1398</v>
      </c>
      <c r="F391" s="53" t="s">
        <v>260</v>
      </c>
      <c r="G391" s="53" t="s">
        <v>195</v>
      </c>
      <c r="H391" s="53"/>
      <c r="I391" s="53"/>
      <c r="J391" s="53">
        <v>13207646</v>
      </c>
      <c r="K391" s="53"/>
      <c r="L391" s="55">
        <v>45293</v>
      </c>
      <c r="M391" s="55">
        <v>45293</v>
      </c>
      <c r="N391" s="53" t="s">
        <v>306</v>
      </c>
      <c r="O391" s="53">
        <v>0</v>
      </c>
      <c r="P391" s="53">
        <v>20009855</v>
      </c>
      <c r="Q391" s="53" t="s">
        <v>1419</v>
      </c>
      <c r="R391" s="45">
        <v>410</v>
      </c>
      <c r="S391" s="56">
        <v>0.01</v>
      </c>
      <c r="T391" s="47" t="s">
        <v>198</v>
      </c>
      <c r="U391" s="48" t="s">
        <v>199</v>
      </c>
      <c r="V391" s="38"/>
      <c r="W391" s="48" t="s">
        <v>195</v>
      </c>
      <c r="X391" s="38" t="s">
        <v>200</v>
      </c>
      <c r="Y391" s="49" t="s">
        <v>201</v>
      </c>
      <c r="Z391" s="50" t="s">
        <v>1420</v>
      </c>
      <c r="AA391" s="38"/>
      <c r="AB391" s="38"/>
      <c r="AC391" s="38"/>
      <c r="AD391" s="51">
        <v>146</v>
      </c>
      <c r="AE391" s="51">
        <v>146</v>
      </c>
      <c r="AF391" s="48" t="s">
        <v>203</v>
      </c>
      <c r="AG391" s="38" t="s">
        <v>204</v>
      </c>
      <c r="AH391" s="52"/>
      <c r="AI391" s="38"/>
      <c r="AJ391" s="38"/>
    </row>
    <row r="392" spans="1:36" ht="16.2">
      <c r="A392" s="42" t="s">
        <v>238</v>
      </c>
      <c r="B392" s="42">
        <v>558020</v>
      </c>
      <c r="C392" s="42" t="s">
        <v>1397</v>
      </c>
      <c r="D392" s="42">
        <v>13207646</v>
      </c>
      <c r="E392" s="43" t="s">
        <v>1398</v>
      </c>
      <c r="F392" s="42" t="s">
        <v>1270</v>
      </c>
      <c r="G392" s="42" t="s">
        <v>195</v>
      </c>
      <c r="H392" s="42"/>
      <c r="I392" s="42"/>
      <c r="J392" s="42">
        <v>13207646</v>
      </c>
      <c r="K392" s="42"/>
      <c r="L392" s="44">
        <v>45293</v>
      </c>
      <c r="M392" s="44">
        <v>45293</v>
      </c>
      <c r="N392" s="42" t="s">
        <v>306</v>
      </c>
      <c r="O392" s="42">
        <v>0</v>
      </c>
      <c r="P392" s="42">
        <v>20009855</v>
      </c>
      <c r="Q392" s="42" t="s">
        <v>1421</v>
      </c>
      <c r="R392" s="45">
        <v>410</v>
      </c>
      <c r="S392" s="46">
        <v>0.01</v>
      </c>
      <c r="T392" s="47" t="s">
        <v>198</v>
      </c>
      <c r="U392" s="48" t="s">
        <v>199</v>
      </c>
      <c r="V392" s="38"/>
      <c r="W392" s="48" t="s">
        <v>195</v>
      </c>
      <c r="X392" s="38" t="s">
        <v>200</v>
      </c>
      <c r="Y392" s="49" t="s">
        <v>201</v>
      </c>
      <c r="Z392" s="50" t="s">
        <v>1422</v>
      </c>
      <c r="AA392" s="38"/>
      <c r="AB392" s="38"/>
      <c r="AC392" s="38"/>
      <c r="AD392" s="51">
        <v>146</v>
      </c>
      <c r="AE392" s="51">
        <v>146</v>
      </c>
      <c r="AF392" s="48" t="s">
        <v>203</v>
      </c>
      <c r="AG392" s="38" t="s">
        <v>204</v>
      </c>
      <c r="AH392" s="52"/>
      <c r="AI392" s="38"/>
      <c r="AJ392" s="38"/>
    </row>
    <row r="393" spans="1:36" ht="16.2">
      <c r="A393" s="53" t="s">
        <v>238</v>
      </c>
      <c r="B393" s="53">
        <v>558020</v>
      </c>
      <c r="C393" s="53" t="s">
        <v>1397</v>
      </c>
      <c r="D393" s="53">
        <v>13207646</v>
      </c>
      <c r="E393" s="54" t="s">
        <v>1398</v>
      </c>
      <c r="F393" s="53" t="s">
        <v>1273</v>
      </c>
      <c r="G393" s="53" t="s">
        <v>195</v>
      </c>
      <c r="H393" s="53"/>
      <c r="I393" s="53"/>
      <c r="J393" s="53">
        <v>13207646</v>
      </c>
      <c r="K393" s="53"/>
      <c r="L393" s="55">
        <v>45293</v>
      </c>
      <c r="M393" s="55">
        <v>45293</v>
      </c>
      <c r="N393" s="53" t="s">
        <v>306</v>
      </c>
      <c r="O393" s="53">
        <v>0</v>
      </c>
      <c r="P393" s="53">
        <v>20009855</v>
      </c>
      <c r="Q393" s="53" t="s">
        <v>1423</v>
      </c>
      <c r="R393" s="45">
        <v>410</v>
      </c>
      <c r="S393" s="56">
        <v>0.01</v>
      </c>
      <c r="T393" s="47" t="s">
        <v>198</v>
      </c>
      <c r="U393" s="48" t="s">
        <v>199</v>
      </c>
      <c r="V393" s="38"/>
      <c r="W393" s="48" t="s">
        <v>195</v>
      </c>
      <c r="X393" s="38" t="s">
        <v>200</v>
      </c>
      <c r="Y393" s="49" t="s">
        <v>201</v>
      </c>
      <c r="Z393" s="50" t="s">
        <v>1424</v>
      </c>
      <c r="AA393" s="38"/>
      <c r="AB393" s="38"/>
      <c r="AC393" s="38"/>
      <c r="AD393" s="51">
        <v>146</v>
      </c>
      <c r="AE393" s="51">
        <v>146</v>
      </c>
      <c r="AF393" s="48" t="s">
        <v>203</v>
      </c>
      <c r="AG393" s="38" t="s">
        <v>204</v>
      </c>
      <c r="AH393" s="52"/>
      <c r="AI393" s="38"/>
      <c r="AJ393" s="38"/>
    </row>
    <row r="394" spans="1:36" ht="16.2">
      <c r="A394" s="42" t="s">
        <v>238</v>
      </c>
      <c r="B394" s="42">
        <v>558020</v>
      </c>
      <c r="C394" s="42" t="s">
        <v>1397</v>
      </c>
      <c r="D394" s="42">
        <v>13207646</v>
      </c>
      <c r="E394" s="43" t="s">
        <v>1398</v>
      </c>
      <c r="F394" s="42" t="s">
        <v>1276</v>
      </c>
      <c r="G394" s="42" t="s">
        <v>195</v>
      </c>
      <c r="H394" s="42"/>
      <c r="I394" s="42"/>
      <c r="J394" s="42">
        <v>13207646</v>
      </c>
      <c r="K394" s="42"/>
      <c r="L394" s="44">
        <v>45293</v>
      </c>
      <c r="M394" s="44">
        <v>45293</v>
      </c>
      <c r="N394" s="42" t="s">
        <v>306</v>
      </c>
      <c r="O394" s="42">
        <v>0</v>
      </c>
      <c r="P394" s="42">
        <v>20009855</v>
      </c>
      <c r="Q394" s="42" t="s">
        <v>1425</v>
      </c>
      <c r="R394" s="45">
        <v>410</v>
      </c>
      <c r="S394" s="46">
        <v>0.01</v>
      </c>
      <c r="T394" s="47" t="s">
        <v>198</v>
      </c>
      <c r="U394" s="48" t="s">
        <v>199</v>
      </c>
      <c r="V394" s="38"/>
      <c r="W394" s="48" t="s">
        <v>195</v>
      </c>
      <c r="X394" s="38" t="s">
        <v>200</v>
      </c>
      <c r="Y394" s="49" t="s">
        <v>201</v>
      </c>
      <c r="Z394" s="50" t="s">
        <v>1426</v>
      </c>
      <c r="AA394" s="38"/>
      <c r="AB394" s="38"/>
      <c r="AC394" s="38"/>
      <c r="AD394" s="51">
        <v>146</v>
      </c>
      <c r="AE394" s="51">
        <v>146</v>
      </c>
      <c r="AF394" s="48" t="s">
        <v>203</v>
      </c>
      <c r="AG394" s="38" t="s">
        <v>204</v>
      </c>
      <c r="AH394" s="52"/>
      <c r="AI394" s="38"/>
      <c r="AJ394" s="38"/>
    </row>
    <row r="395" spans="1:36" ht="16.2">
      <c r="A395" s="53" t="s">
        <v>238</v>
      </c>
      <c r="B395" s="53">
        <v>558020</v>
      </c>
      <c r="C395" s="53" t="s">
        <v>1397</v>
      </c>
      <c r="D395" s="53">
        <v>13207646</v>
      </c>
      <c r="E395" s="54" t="s">
        <v>1398</v>
      </c>
      <c r="F395" s="53" t="s">
        <v>1279</v>
      </c>
      <c r="G395" s="53" t="s">
        <v>195</v>
      </c>
      <c r="H395" s="53"/>
      <c r="I395" s="53"/>
      <c r="J395" s="53">
        <v>13207646</v>
      </c>
      <c r="K395" s="53"/>
      <c r="L395" s="55">
        <v>45293</v>
      </c>
      <c r="M395" s="55">
        <v>45293</v>
      </c>
      <c r="N395" s="53" t="s">
        <v>306</v>
      </c>
      <c r="O395" s="53">
        <v>0</v>
      </c>
      <c r="P395" s="53">
        <v>20009855</v>
      </c>
      <c r="Q395" s="53" t="s">
        <v>1427</v>
      </c>
      <c r="R395" s="45">
        <v>410</v>
      </c>
      <c r="S395" s="56">
        <v>0.01</v>
      </c>
      <c r="T395" s="47" t="s">
        <v>198</v>
      </c>
      <c r="U395" s="48" t="s">
        <v>199</v>
      </c>
      <c r="V395" s="38"/>
      <c r="W395" s="48" t="s">
        <v>195</v>
      </c>
      <c r="X395" s="38" t="s">
        <v>200</v>
      </c>
      <c r="Y395" s="49" t="s">
        <v>201</v>
      </c>
      <c r="Z395" s="50" t="s">
        <v>1428</v>
      </c>
      <c r="AA395" s="38"/>
      <c r="AB395" s="38"/>
      <c r="AC395" s="38"/>
      <c r="AD395" s="51">
        <v>146</v>
      </c>
      <c r="AE395" s="51">
        <v>146</v>
      </c>
      <c r="AF395" s="48" t="s">
        <v>203</v>
      </c>
      <c r="AG395" s="38" t="s">
        <v>204</v>
      </c>
      <c r="AH395" s="52"/>
      <c r="AI395" s="38"/>
      <c r="AJ395" s="38"/>
    </row>
    <row r="396" spans="1:36" ht="16.2">
      <c r="A396" s="42" t="s">
        <v>238</v>
      </c>
      <c r="B396" s="42">
        <v>558020</v>
      </c>
      <c r="C396" s="42" t="s">
        <v>1397</v>
      </c>
      <c r="D396" s="42">
        <v>13207646</v>
      </c>
      <c r="E396" s="43" t="s">
        <v>1398</v>
      </c>
      <c r="F396" s="42" t="s">
        <v>263</v>
      </c>
      <c r="G396" s="42" t="s">
        <v>195</v>
      </c>
      <c r="H396" s="42"/>
      <c r="I396" s="42"/>
      <c r="J396" s="42">
        <v>13207646</v>
      </c>
      <c r="K396" s="42"/>
      <c r="L396" s="44">
        <v>45293</v>
      </c>
      <c r="M396" s="44">
        <v>45293</v>
      </c>
      <c r="N396" s="42" t="s">
        <v>306</v>
      </c>
      <c r="O396" s="42">
        <v>0</v>
      </c>
      <c r="P396" s="42">
        <v>20009855</v>
      </c>
      <c r="Q396" s="42" t="s">
        <v>1429</v>
      </c>
      <c r="R396" s="45">
        <v>410</v>
      </c>
      <c r="S396" s="46">
        <v>0.01</v>
      </c>
      <c r="T396" s="47" t="s">
        <v>198</v>
      </c>
      <c r="U396" s="48" t="s">
        <v>199</v>
      </c>
      <c r="V396" s="38"/>
      <c r="W396" s="48" t="s">
        <v>195</v>
      </c>
      <c r="X396" s="38" t="s">
        <v>200</v>
      </c>
      <c r="Y396" s="49" t="s">
        <v>201</v>
      </c>
      <c r="Z396" s="50" t="s">
        <v>1430</v>
      </c>
      <c r="AA396" s="38"/>
      <c r="AB396" s="38"/>
      <c r="AC396" s="38"/>
      <c r="AD396" s="51">
        <v>146</v>
      </c>
      <c r="AE396" s="51">
        <v>146</v>
      </c>
      <c r="AF396" s="48" t="s">
        <v>203</v>
      </c>
      <c r="AG396" s="38" t="s">
        <v>204</v>
      </c>
      <c r="AH396" s="52"/>
      <c r="AI396" s="38"/>
      <c r="AJ396" s="38"/>
    </row>
    <row r="397" spans="1:36" ht="16.2">
      <c r="A397" s="53" t="s">
        <v>238</v>
      </c>
      <c r="B397" s="53">
        <v>558020</v>
      </c>
      <c r="C397" s="53" t="s">
        <v>1397</v>
      </c>
      <c r="D397" s="53">
        <v>13207646</v>
      </c>
      <c r="E397" s="54" t="s">
        <v>1398</v>
      </c>
      <c r="F397" s="53" t="s">
        <v>1213</v>
      </c>
      <c r="G397" s="53" t="s">
        <v>195</v>
      </c>
      <c r="H397" s="53"/>
      <c r="I397" s="53"/>
      <c r="J397" s="53">
        <v>13207646</v>
      </c>
      <c r="K397" s="53"/>
      <c r="L397" s="58">
        <v>45293</v>
      </c>
      <c r="M397" s="58">
        <v>45293</v>
      </c>
      <c r="N397" s="53" t="s">
        <v>306</v>
      </c>
      <c r="O397" s="53">
        <v>0</v>
      </c>
      <c r="P397" s="53">
        <v>20009855</v>
      </c>
      <c r="Q397" s="53" t="s">
        <v>1431</v>
      </c>
      <c r="R397" s="45">
        <v>410</v>
      </c>
      <c r="S397" s="56">
        <v>0.01</v>
      </c>
      <c r="T397" s="47" t="s">
        <v>198</v>
      </c>
      <c r="U397" s="48" t="s">
        <v>199</v>
      </c>
      <c r="V397" s="38"/>
      <c r="W397" s="48" t="s">
        <v>195</v>
      </c>
      <c r="X397" s="38" t="s">
        <v>200</v>
      </c>
      <c r="Y397" s="49" t="s">
        <v>201</v>
      </c>
      <c r="Z397" s="50" t="s">
        <v>1432</v>
      </c>
      <c r="AA397" s="38"/>
      <c r="AB397" s="38"/>
      <c r="AC397" s="38"/>
      <c r="AD397" s="51">
        <v>146</v>
      </c>
      <c r="AE397" s="51">
        <v>146</v>
      </c>
      <c r="AF397" s="48" t="s">
        <v>203</v>
      </c>
      <c r="AG397" s="38" t="s">
        <v>204</v>
      </c>
      <c r="AH397" s="52"/>
      <c r="AI397" s="38"/>
      <c r="AJ397" s="38"/>
    </row>
    <row r="398" spans="1:36" ht="16.2">
      <c r="A398" s="42" t="s">
        <v>238</v>
      </c>
      <c r="B398" s="42">
        <v>558020</v>
      </c>
      <c r="C398" s="42" t="s">
        <v>1397</v>
      </c>
      <c r="D398" s="42">
        <v>13207646</v>
      </c>
      <c r="E398" s="43" t="s">
        <v>1398</v>
      </c>
      <c r="F398" s="42" t="s">
        <v>1238</v>
      </c>
      <c r="G398" s="42" t="s">
        <v>195</v>
      </c>
      <c r="H398" s="42"/>
      <c r="I398" s="42"/>
      <c r="J398" s="42">
        <v>13207646</v>
      </c>
      <c r="K398" s="42"/>
      <c r="L398" s="57">
        <v>45293</v>
      </c>
      <c r="M398" s="57">
        <v>45293</v>
      </c>
      <c r="N398" s="42" t="s">
        <v>306</v>
      </c>
      <c r="O398" s="42">
        <v>0</v>
      </c>
      <c r="P398" s="42">
        <v>20009855</v>
      </c>
      <c r="Q398" s="42" t="s">
        <v>1433</v>
      </c>
      <c r="R398" s="45">
        <v>410</v>
      </c>
      <c r="S398" s="46">
        <v>0.01</v>
      </c>
      <c r="T398" s="47" t="s">
        <v>198</v>
      </c>
      <c r="U398" s="48" t="s">
        <v>199</v>
      </c>
      <c r="V398" s="38"/>
      <c r="W398" s="48" t="s">
        <v>195</v>
      </c>
      <c r="X398" s="38" t="s">
        <v>200</v>
      </c>
      <c r="Y398" s="49" t="s">
        <v>201</v>
      </c>
      <c r="Z398" s="50" t="s">
        <v>1434</v>
      </c>
      <c r="AA398" s="38"/>
      <c r="AB398" s="38"/>
      <c r="AC398" s="38"/>
      <c r="AD398" s="51">
        <v>146</v>
      </c>
      <c r="AE398" s="51">
        <v>146</v>
      </c>
      <c r="AF398" s="48" t="s">
        <v>203</v>
      </c>
      <c r="AG398" s="38" t="s">
        <v>204</v>
      </c>
      <c r="AH398" s="52"/>
      <c r="AI398" s="38"/>
      <c r="AJ398" s="38"/>
    </row>
    <row r="399" spans="1:36" ht="16.2">
      <c r="A399" s="53" t="s">
        <v>836</v>
      </c>
      <c r="B399" s="53">
        <v>828006</v>
      </c>
      <c r="C399" s="53" t="s">
        <v>1397</v>
      </c>
      <c r="D399" s="53">
        <v>13207517</v>
      </c>
      <c r="E399" s="54" t="s">
        <v>1398</v>
      </c>
      <c r="F399" s="53" t="s">
        <v>1189</v>
      </c>
      <c r="G399" s="53" t="s">
        <v>195</v>
      </c>
      <c r="H399" s="53"/>
      <c r="I399" s="53"/>
      <c r="J399" s="53">
        <v>13207517</v>
      </c>
      <c r="K399" s="53"/>
      <c r="L399" s="58">
        <v>45293</v>
      </c>
      <c r="M399" s="58">
        <v>45293</v>
      </c>
      <c r="N399" s="53" t="s">
        <v>839</v>
      </c>
      <c r="O399" s="53">
        <v>0</v>
      </c>
      <c r="P399" s="53">
        <v>1919044</v>
      </c>
      <c r="Q399" s="53" t="s">
        <v>1435</v>
      </c>
      <c r="R399" s="45">
        <v>410</v>
      </c>
      <c r="S399" s="56">
        <v>0.01</v>
      </c>
      <c r="T399" s="47" t="s">
        <v>198</v>
      </c>
      <c r="U399" s="48" t="s">
        <v>199</v>
      </c>
      <c r="V399" s="38"/>
      <c r="W399" s="48" t="s">
        <v>195</v>
      </c>
      <c r="X399" s="38" t="s">
        <v>200</v>
      </c>
      <c r="Y399" s="49" t="s">
        <v>201</v>
      </c>
      <c r="Z399" s="50" t="s">
        <v>1436</v>
      </c>
      <c r="AA399" s="38"/>
      <c r="AB399" s="38"/>
      <c r="AC399" s="38"/>
      <c r="AD399" s="51">
        <v>63</v>
      </c>
      <c r="AE399" s="51">
        <v>63</v>
      </c>
      <c r="AF399" s="48" t="s">
        <v>203</v>
      </c>
      <c r="AG399" s="38" t="s">
        <v>204</v>
      </c>
      <c r="AH399" s="52"/>
      <c r="AI399" s="38"/>
      <c r="AJ399" s="38"/>
    </row>
    <row r="400" spans="1:36" ht="16.2">
      <c r="A400" s="42" t="s">
        <v>836</v>
      </c>
      <c r="B400" s="42">
        <v>828006</v>
      </c>
      <c r="C400" s="42" t="s">
        <v>1397</v>
      </c>
      <c r="D400" s="42">
        <v>13207517</v>
      </c>
      <c r="E400" s="43" t="s">
        <v>1398</v>
      </c>
      <c r="F400" s="42" t="s">
        <v>1195</v>
      </c>
      <c r="G400" s="42" t="s">
        <v>195</v>
      </c>
      <c r="H400" s="42"/>
      <c r="I400" s="42"/>
      <c r="J400" s="42">
        <v>13207517</v>
      </c>
      <c r="K400" s="42"/>
      <c r="L400" s="57">
        <v>45293</v>
      </c>
      <c r="M400" s="57">
        <v>45293</v>
      </c>
      <c r="N400" s="42" t="s">
        <v>839</v>
      </c>
      <c r="O400" s="42">
        <v>0</v>
      </c>
      <c r="P400" s="42">
        <v>1919044</v>
      </c>
      <c r="Q400" s="42" t="s">
        <v>1437</v>
      </c>
      <c r="R400" s="45">
        <v>410</v>
      </c>
      <c r="S400" s="46">
        <v>0.01</v>
      </c>
      <c r="T400" s="47" t="s">
        <v>198</v>
      </c>
      <c r="U400" s="48" t="s">
        <v>199</v>
      </c>
      <c r="V400" s="38"/>
      <c r="W400" s="48" t="s">
        <v>195</v>
      </c>
      <c r="X400" s="38" t="s">
        <v>200</v>
      </c>
      <c r="Y400" s="49" t="s">
        <v>201</v>
      </c>
      <c r="Z400" s="50" t="s">
        <v>1438</v>
      </c>
      <c r="AA400" s="38"/>
      <c r="AB400" s="38"/>
      <c r="AC400" s="38"/>
      <c r="AD400" s="51">
        <v>63</v>
      </c>
      <c r="AE400" s="51">
        <v>63</v>
      </c>
      <c r="AF400" s="48" t="s">
        <v>203</v>
      </c>
      <c r="AG400" s="38" t="s">
        <v>204</v>
      </c>
      <c r="AH400" s="52"/>
      <c r="AI400" s="38"/>
      <c r="AJ400" s="38"/>
    </row>
    <row r="401" spans="1:36" ht="16.2">
      <c r="A401" s="53" t="s">
        <v>836</v>
      </c>
      <c r="B401" s="53">
        <v>828006</v>
      </c>
      <c r="C401" s="53" t="s">
        <v>1397</v>
      </c>
      <c r="D401" s="53">
        <v>13207517</v>
      </c>
      <c r="E401" s="54" t="s">
        <v>1398</v>
      </c>
      <c r="F401" s="53" t="s">
        <v>1247</v>
      </c>
      <c r="G401" s="53" t="s">
        <v>195</v>
      </c>
      <c r="H401" s="53"/>
      <c r="I401" s="53"/>
      <c r="J401" s="53">
        <v>13207517</v>
      </c>
      <c r="K401" s="53"/>
      <c r="L401" s="58">
        <v>45293</v>
      </c>
      <c r="M401" s="58">
        <v>45293</v>
      </c>
      <c r="N401" s="53" t="s">
        <v>839</v>
      </c>
      <c r="O401" s="53">
        <v>0</v>
      </c>
      <c r="P401" s="53">
        <v>1919044</v>
      </c>
      <c r="Q401" s="53" t="s">
        <v>1439</v>
      </c>
      <c r="R401" s="45">
        <v>410</v>
      </c>
      <c r="S401" s="56">
        <v>0.01</v>
      </c>
      <c r="T401" s="47" t="s">
        <v>198</v>
      </c>
      <c r="U401" s="48" t="s">
        <v>199</v>
      </c>
      <c r="V401" s="38"/>
      <c r="W401" s="48" t="s">
        <v>195</v>
      </c>
      <c r="X401" s="38" t="s">
        <v>200</v>
      </c>
      <c r="Y401" s="49" t="s">
        <v>201</v>
      </c>
      <c r="Z401" s="50" t="s">
        <v>1440</v>
      </c>
      <c r="AA401" s="38"/>
      <c r="AB401" s="38"/>
      <c r="AC401" s="38"/>
      <c r="AD401" s="51">
        <v>63</v>
      </c>
      <c r="AE401" s="51">
        <v>63</v>
      </c>
      <c r="AF401" s="48" t="s">
        <v>203</v>
      </c>
      <c r="AG401" s="38" t="s">
        <v>204</v>
      </c>
      <c r="AH401" s="52"/>
      <c r="AI401" s="38"/>
      <c r="AJ401" s="38"/>
    </row>
    <row r="402" spans="1:36" ht="16.2">
      <c r="A402" s="42" t="s">
        <v>836</v>
      </c>
      <c r="B402" s="42">
        <v>828006</v>
      </c>
      <c r="C402" s="42" t="s">
        <v>1397</v>
      </c>
      <c r="D402" s="42">
        <v>13207517</v>
      </c>
      <c r="E402" s="43" t="s">
        <v>1398</v>
      </c>
      <c r="F402" s="42" t="s">
        <v>293</v>
      </c>
      <c r="G402" s="42" t="s">
        <v>195</v>
      </c>
      <c r="H402" s="42"/>
      <c r="I402" s="42"/>
      <c r="J402" s="42">
        <v>13207517</v>
      </c>
      <c r="K402" s="42"/>
      <c r="L402" s="57">
        <v>45293</v>
      </c>
      <c r="M402" s="57">
        <v>45293</v>
      </c>
      <c r="N402" s="42" t="s">
        <v>839</v>
      </c>
      <c r="O402" s="42">
        <v>0</v>
      </c>
      <c r="P402" s="42">
        <v>1919044</v>
      </c>
      <c r="Q402" s="42" t="s">
        <v>1441</v>
      </c>
      <c r="R402" s="45">
        <v>410</v>
      </c>
      <c r="S402" s="46">
        <v>0.01</v>
      </c>
      <c r="T402" s="47" t="s">
        <v>198</v>
      </c>
      <c r="U402" s="48" t="s">
        <v>199</v>
      </c>
      <c r="V402" s="38"/>
      <c r="W402" s="48" t="s">
        <v>195</v>
      </c>
      <c r="X402" s="38" t="s">
        <v>200</v>
      </c>
      <c r="Y402" s="49" t="s">
        <v>201</v>
      </c>
      <c r="Z402" s="50" t="s">
        <v>1442</v>
      </c>
      <c r="AA402" s="38"/>
      <c r="AB402" s="38"/>
      <c r="AC402" s="38"/>
      <c r="AD402" s="51">
        <v>63</v>
      </c>
      <c r="AE402" s="51">
        <v>63</v>
      </c>
      <c r="AF402" s="48" t="s">
        <v>203</v>
      </c>
      <c r="AG402" s="38" t="s">
        <v>204</v>
      </c>
      <c r="AH402" s="52"/>
      <c r="AI402" s="38"/>
      <c r="AJ402" s="38"/>
    </row>
    <row r="403" spans="1:36" ht="16.2">
      <c r="A403" s="53" t="s">
        <v>836</v>
      </c>
      <c r="B403" s="53">
        <v>828006</v>
      </c>
      <c r="C403" s="53" t="s">
        <v>1397</v>
      </c>
      <c r="D403" s="53">
        <v>13207517</v>
      </c>
      <c r="E403" s="54" t="s">
        <v>1398</v>
      </c>
      <c r="F403" s="53" t="s">
        <v>1252</v>
      </c>
      <c r="G403" s="53" t="s">
        <v>195</v>
      </c>
      <c r="H403" s="53"/>
      <c r="I403" s="53"/>
      <c r="J403" s="53">
        <v>13207517</v>
      </c>
      <c r="K403" s="53"/>
      <c r="L403" s="58">
        <v>45293</v>
      </c>
      <c r="M403" s="58">
        <v>45293</v>
      </c>
      <c r="N403" s="53" t="s">
        <v>839</v>
      </c>
      <c r="O403" s="53">
        <v>0</v>
      </c>
      <c r="P403" s="53">
        <v>1919044</v>
      </c>
      <c r="Q403" s="53" t="s">
        <v>1443</v>
      </c>
      <c r="R403" s="45">
        <v>410</v>
      </c>
      <c r="S403" s="56">
        <v>0.01</v>
      </c>
      <c r="T403" s="47" t="s">
        <v>198</v>
      </c>
      <c r="U403" s="48" t="s">
        <v>199</v>
      </c>
      <c r="V403" s="38"/>
      <c r="W403" s="48" t="s">
        <v>195</v>
      </c>
      <c r="X403" s="38" t="s">
        <v>200</v>
      </c>
      <c r="Y403" s="49" t="s">
        <v>201</v>
      </c>
      <c r="Z403" s="50" t="s">
        <v>1444</v>
      </c>
      <c r="AA403" s="38"/>
      <c r="AB403" s="38"/>
      <c r="AC403" s="38"/>
      <c r="AD403" s="51">
        <v>63</v>
      </c>
      <c r="AE403" s="51">
        <v>63</v>
      </c>
      <c r="AF403" s="48" t="s">
        <v>203</v>
      </c>
      <c r="AG403" s="38" t="s">
        <v>204</v>
      </c>
      <c r="AH403" s="52"/>
      <c r="AI403" s="38"/>
      <c r="AJ403" s="38"/>
    </row>
    <row r="404" spans="1:36" ht="16.2">
      <c r="A404" s="42" t="s">
        <v>836</v>
      </c>
      <c r="B404" s="42">
        <v>828006</v>
      </c>
      <c r="C404" s="42" t="s">
        <v>1397</v>
      </c>
      <c r="D404" s="42">
        <v>13207517</v>
      </c>
      <c r="E404" s="43" t="s">
        <v>1398</v>
      </c>
      <c r="F404" s="42" t="s">
        <v>1255</v>
      </c>
      <c r="G404" s="42" t="s">
        <v>195</v>
      </c>
      <c r="H404" s="42"/>
      <c r="I404" s="42"/>
      <c r="J404" s="42">
        <v>13207517</v>
      </c>
      <c r="K404" s="42"/>
      <c r="L404" s="57">
        <v>45293</v>
      </c>
      <c r="M404" s="57">
        <v>45293</v>
      </c>
      <c r="N404" s="42" t="s">
        <v>839</v>
      </c>
      <c r="O404" s="42">
        <v>0</v>
      </c>
      <c r="P404" s="42">
        <v>1919044</v>
      </c>
      <c r="Q404" s="42" t="s">
        <v>1445</v>
      </c>
      <c r="R404" s="45">
        <v>410</v>
      </c>
      <c r="S404" s="46">
        <v>0.01</v>
      </c>
      <c r="T404" s="47" t="s">
        <v>198</v>
      </c>
      <c r="U404" s="48" t="s">
        <v>199</v>
      </c>
      <c r="V404" s="38"/>
      <c r="W404" s="48" t="s">
        <v>195</v>
      </c>
      <c r="X404" s="38" t="s">
        <v>200</v>
      </c>
      <c r="Y404" s="49" t="s">
        <v>201</v>
      </c>
      <c r="Z404" s="50" t="s">
        <v>1446</v>
      </c>
      <c r="AA404" s="38"/>
      <c r="AB404" s="38"/>
      <c r="AC404" s="38"/>
      <c r="AD404" s="51">
        <v>63</v>
      </c>
      <c r="AE404" s="51">
        <v>63</v>
      </c>
      <c r="AF404" s="48" t="s">
        <v>203</v>
      </c>
      <c r="AG404" s="38" t="s">
        <v>204</v>
      </c>
      <c r="AH404" s="52"/>
      <c r="AI404" s="38"/>
      <c r="AJ404" s="38"/>
    </row>
    <row r="405" spans="1:36" ht="16.2">
      <c r="A405" s="53" t="s">
        <v>836</v>
      </c>
      <c r="B405" s="53">
        <v>828006</v>
      </c>
      <c r="C405" s="53" t="s">
        <v>1397</v>
      </c>
      <c r="D405" s="53">
        <v>13207517</v>
      </c>
      <c r="E405" s="54" t="s">
        <v>1398</v>
      </c>
      <c r="F405" s="53" t="s">
        <v>1258</v>
      </c>
      <c r="G405" s="53" t="s">
        <v>195</v>
      </c>
      <c r="H405" s="53"/>
      <c r="I405" s="53"/>
      <c r="J405" s="53">
        <v>13207517</v>
      </c>
      <c r="K405" s="53"/>
      <c r="L405" s="58">
        <v>45293</v>
      </c>
      <c r="M405" s="58">
        <v>45293</v>
      </c>
      <c r="N405" s="53" t="s">
        <v>839</v>
      </c>
      <c r="O405" s="53">
        <v>0</v>
      </c>
      <c r="P405" s="53">
        <v>1919044</v>
      </c>
      <c r="Q405" s="53" t="s">
        <v>1447</v>
      </c>
      <c r="R405" s="45">
        <v>410</v>
      </c>
      <c r="S405" s="56">
        <v>0.01</v>
      </c>
      <c r="T405" s="47" t="s">
        <v>198</v>
      </c>
      <c r="U405" s="48" t="s">
        <v>199</v>
      </c>
      <c r="V405" s="38"/>
      <c r="W405" s="48" t="s">
        <v>195</v>
      </c>
      <c r="X405" s="38" t="s">
        <v>200</v>
      </c>
      <c r="Y405" s="49" t="s">
        <v>201</v>
      </c>
      <c r="Z405" s="50" t="s">
        <v>1448</v>
      </c>
      <c r="AA405" s="38"/>
      <c r="AB405" s="38"/>
      <c r="AC405" s="38"/>
      <c r="AD405" s="51">
        <v>63</v>
      </c>
      <c r="AE405" s="51">
        <v>63</v>
      </c>
      <c r="AF405" s="48" t="s">
        <v>203</v>
      </c>
      <c r="AG405" s="38" t="s">
        <v>204</v>
      </c>
      <c r="AH405" s="52"/>
      <c r="AI405" s="38"/>
      <c r="AJ405" s="38"/>
    </row>
    <row r="406" spans="1:36" ht="16.2">
      <c r="A406" s="42" t="s">
        <v>836</v>
      </c>
      <c r="B406" s="42">
        <v>828006</v>
      </c>
      <c r="C406" s="42" t="s">
        <v>1397</v>
      </c>
      <c r="D406" s="42">
        <v>13207517</v>
      </c>
      <c r="E406" s="43" t="s">
        <v>1398</v>
      </c>
      <c r="F406" s="42" t="s">
        <v>1216</v>
      </c>
      <c r="G406" s="42" t="s">
        <v>195</v>
      </c>
      <c r="H406" s="42"/>
      <c r="I406" s="42"/>
      <c r="J406" s="42">
        <v>13207517</v>
      </c>
      <c r="K406" s="42"/>
      <c r="L406" s="57">
        <v>45293</v>
      </c>
      <c r="M406" s="57">
        <v>45293</v>
      </c>
      <c r="N406" s="42" t="s">
        <v>839</v>
      </c>
      <c r="O406" s="42">
        <v>0</v>
      </c>
      <c r="P406" s="42">
        <v>1919044</v>
      </c>
      <c r="Q406" s="42" t="s">
        <v>1449</v>
      </c>
      <c r="R406" s="45">
        <v>410</v>
      </c>
      <c r="S406" s="46">
        <v>0.01</v>
      </c>
      <c r="T406" s="47" t="s">
        <v>198</v>
      </c>
      <c r="U406" s="48" t="s">
        <v>199</v>
      </c>
      <c r="V406" s="38"/>
      <c r="W406" s="48" t="s">
        <v>195</v>
      </c>
      <c r="X406" s="38" t="s">
        <v>200</v>
      </c>
      <c r="Y406" s="49" t="s">
        <v>201</v>
      </c>
      <c r="Z406" s="50" t="s">
        <v>1450</v>
      </c>
      <c r="AA406" s="38"/>
      <c r="AB406" s="38"/>
      <c r="AC406" s="38"/>
      <c r="AD406" s="51">
        <v>63</v>
      </c>
      <c r="AE406" s="51">
        <v>63</v>
      </c>
      <c r="AF406" s="48" t="s">
        <v>203</v>
      </c>
      <c r="AG406" s="38" t="s">
        <v>204</v>
      </c>
      <c r="AH406" s="52"/>
      <c r="AI406" s="38"/>
      <c r="AJ406" s="38"/>
    </row>
    <row r="407" spans="1:36" ht="16.2">
      <c r="A407" s="53" t="s">
        <v>836</v>
      </c>
      <c r="B407" s="53">
        <v>828006</v>
      </c>
      <c r="C407" s="53" t="s">
        <v>1397</v>
      </c>
      <c r="D407" s="53">
        <v>13207517</v>
      </c>
      <c r="E407" s="54" t="s">
        <v>1398</v>
      </c>
      <c r="F407" s="53" t="s">
        <v>1198</v>
      </c>
      <c r="G407" s="53" t="s">
        <v>195</v>
      </c>
      <c r="H407" s="53"/>
      <c r="I407" s="53"/>
      <c r="J407" s="53">
        <v>13207517</v>
      </c>
      <c r="K407" s="53"/>
      <c r="L407" s="58">
        <v>45293</v>
      </c>
      <c r="M407" s="58">
        <v>45293</v>
      </c>
      <c r="N407" s="53" t="s">
        <v>839</v>
      </c>
      <c r="O407" s="53">
        <v>0</v>
      </c>
      <c r="P407" s="53">
        <v>1919044</v>
      </c>
      <c r="Q407" s="53" t="s">
        <v>1451</v>
      </c>
      <c r="R407" s="45">
        <v>410</v>
      </c>
      <c r="S407" s="56">
        <v>0.01</v>
      </c>
      <c r="T407" s="47" t="s">
        <v>198</v>
      </c>
      <c r="U407" s="48" t="s">
        <v>199</v>
      </c>
      <c r="V407" s="38"/>
      <c r="W407" s="48" t="s">
        <v>195</v>
      </c>
      <c r="X407" s="38" t="s">
        <v>200</v>
      </c>
      <c r="Y407" s="49" t="s">
        <v>201</v>
      </c>
      <c r="Z407" s="50" t="s">
        <v>1452</v>
      </c>
      <c r="AA407" s="38"/>
      <c r="AB407" s="38"/>
      <c r="AC407" s="38"/>
      <c r="AD407" s="51">
        <v>63</v>
      </c>
      <c r="AE407" s="51">
        <v>63</v>
      </c>
      <c r="AF407" s="48" t="s">
        <v>203</v>
      </c>
      <c r="AG407" s="38" t="s">
        <v>204</v>
      </c>
      <c r="AH407" s="52"/>
      <c r="AI407" s="38"/>
      <c r="AJ407" s="38"/>
    </row>
    <row r="408" spans="1:36" ht="16.2">
      <c r="A408" s="42" t="s">
        <v>836</v>
      </c>
      <c r="B408" s="42">
        <v>828006</v>
      </c>
      <c r="C408" s="42" t="s">
        <v>1397</v>
      </c>
      <c r="D408" s="42">
        <v>13207517</v>
      </c>
      <c r="E408" s="43" t="s">
        <v>1398</v>
      </c>
      <c r="F408" s="42" t="s">
        <v>1265</v>
      </c>
      <c r="G408" s="42" t="s">
        <v>195</v>
      </c>
      <c r="H408" s="42"/>
      <c r="I408" s="42"/>
      <c r="J408" s="42">
        <v>13207517</v>
      </c>
      <c r="K408" s="42"/>
      <c r="L408" s="57">
        <v>45293</v>
      </c>
      <c r="M408" s="57">
        <v>45293</v>
      </c>
      <c r="N408" s="42" t="s">
        <v>839</v>
      </c>
      <c r="O408" s="42">
        <v>0</v>
      </c>
      <c r="P408" s="42">
        <v>1919044</v>
      </c>
      <c r="Q408" s="42" t="s">
        <v>1453</v>
      </c>
      <c r="R408" s="45">
        <v>410</v>
      </c>
      <c r="S408" s="46">
        <v>0.01</v>
      </c>
      <c r="T408" s="47" t="s">
        <v>198</v>
      </c>
      <c r="U408" s="48" t="s">
        <v>199</v>
      </c>
      <c r="V408" s="38"/>
      <c r="W408" s="48" t="s">
        <v>195</v>
      </c>
      <c r="X408" s="38" t="s">
        <v>200</v>
      </c>
      <c r="Y408" s="49" t="s">
        <v>201</v>
      </c>
      <c r="Z408" s="50" t="s">
        <v>1454</v>
      </c>
      <c r="AA408" s="38"/>
      <c r="AB408" s="38"/>
      <c r="AC408" s="38"/>
      <c r="AD408" s="51">
        <v>63</v>
      </c>
      <c r="AE408" s="51">
        <v>63</v>
      </c>
      <c r="AF408" s="48" t="s">
        <v>203</v>
      </c>
      <c r="AG408" s="38" t="s">
        <v>204</v>
      </c>
      <c r="AH408" s="52"/>
      <c r="AI408" s="38"/>
      <c r="AJ408" s="38"/>
    </row>
    <row r="409" spans="1:36" ht="16.2">
      <c r="A409" s="53" t="s">
        <v>836</v>
      </c>
      <c r="B409" s="53">
        <v>828006</v>
      </c>
      <c r="C409" s="53" t="s">
        <v>1397</v>
      </c>
      <c r="D409" s="53">
        <v>13207517</v>
      </c>
      <c r="E409" s="54" t="s">
        <v>1398</v>
      </c>
      <c r="F409" s="53" t="s">
        <v>260</v>
      </c>
      <c r="G409" s="53" t="s">
        <v>195</v>
      </c>
      <c r="H409" s="53"/>
      <c r="I409" s="53"/>
      <c r="J409" s="53">
        <v>13207517</v>
      </c>
      <c r="K409" s="53"/>
      <c r="L409" s="58">
        <v>45293</v>
      </c>
      <c r="M409" s="58">
        <v>45293</v>
      </c>
      <c r="N409" s="53" t="s">
        <v>839</v>
      </c>
      <c r="O409" s="53">
        <v>0</v>
      </c>
      <c r="P409" s="53">
        <v>1919044</v>
      </c>
      <c r="Q409" s="53" t="s">
        <v>1455</v>
      </c>
      <c r="R409" s="45">
        <v>410</v>
      </c>
      <c r="S409" s="56">
        <v>0.01</v>
      </c>
      <c r="T409" s="47" t="s">
        <v>198</v>
      </c>
      <c r="U409" s="48" t="s">
        <v>199</v>
      </c>
      <c r="V409" s="38"/>
      <c r="W409" s="48" t="s">
        <v>195</v>
      </c>
      <c r="X409" s="38" t="s">
        <v>200</v>
      </c>
      <c r="Y409" s="49" t="s">
        <v>201</v>
      </c>
      <c r="Z409" s="50" t="s">
        <v>1456</v>
      </c>
      <c r="AA409" s="38"/>
      <c r="AB409" s="38"/>
      <c r="AC409" s="38"/>
      <c r="AD409" s="51">
        <v>63</v>
      </c>
      <c r="AE409" s="51">
        <v>63</v>
      </c>
      <c r="AF409" s="48" t="s">
        <v>203</v>
      </c>
      <c r="AG409" s="38" t="s">
        <v>204</v>
      </c>
      <c r="AH409" s="52"/>
      <c r="AI409" s="38"/>
      <c r="AJ409" s="38"/>
    </row>
    <row r="410" spans="1:36" ht="16.2">
      <c r="A410" s="42" t="s">
        <v>836</v>
      </c>
      <c r="B410" s="42">
        <v>828006</v>
      </c>
      <c r="C410" s="42" t="s">
        <v>1397</v>
      </c>
      <c r="D410" s="42">
        <v>13207517</v>
      </c>
      <c r="E410" s="43" t="s">
        <v>1398</v>
      </c>
      <c r="F410" s="42" t="s">
        <v>1270</v>
      </c>
      <c r="G410" s="42" t="s">
        <v>195</v>
      </c>
      <c r="H410" s="42"/>
      <c r="I410" s="42"/>
      <c r="J410" s="42">
        <v>13207517</v>
      </c>
      <c r="K410" s="42"/>
      <c r="L410" s="57">
        <v>45293</v>
      </c>
      <c r="M410" s="57">
        <v>45293</v>
      </c>
      <c r="N410" s="42" t="s">
        <v>839</v>
      </c>
      <c r="O410" s="42">
        <v>0</v>
      </c>
      <c r="P410" s="42">
        <v>1919044</v>
      </c>
      <c r="Q410" s="42" t="s">
        <v>1457</v>
      </c>
      <c r="R410" s="45">
        <v>410</v>
      </c>
      <c r="S410" s="46">
        <v>0.01</v>
      </c>
      <c r="T410" s="47" t="s">
        <v>198</v>
      </c>
      <c r="U410" s="48" t="s">
        <v>199</v>
      </c>
      <c r="V410" s="38"/>
      <c r="W410" s="48" t="s">
        <v>195</v>
      </c>
      <c r="X410" s="38" t="s">
        <v>200</v>
      </c>
      <c r="Y410" s="49" t="s">
        <v>201</v>
      </c>
      <c r="Z410" s="50" t="s">
        <v>1458</v>
      </c>
      <c r="AA410" s="38"/>
      <c r="AB410" s="38"/>
      <c r="AC410" s="38"/>
      <c r="AD410" s="51">
        <v>63</v>
      </c>
      <c r="AE410" s="51">
        <v>63</v>
      </c>
      <c r="AF410" s="48" t="s">
        <v>203</v>
      </c>
      <c r="AG410" s="38" t="s">
        <v>204</v>
      </c>
      <c r="AH410" s="52"/>
      <c r="AI410" s="38"/>
      <c r="AJ410" s="38"/>
    </row>
    <row r="411" spans="1:36" ht="16.2">
      <c r="A411" s="53" t="s">
        <v>836</v>
      </c>
      <c r="B411" s="53">
        <v>828006</v>
      </c>
      <c r="C411" s="53" t="s">
        <v>1397</v>
      </c>
      <c r="D411" s="53">
        <v>13207517</v>
      </c>
      <c r="E411" s="54" t="s">
        <v>1398</v>
      </c>
      <c r="F411" s="53" t="s">
        <v>1273</v>
      </c>
      <c r="G411" s="53" t="s">
        <v>195</v>
      </c>
      <c r="H411" s="53"/>
      <c r="I411" s="53"/>
      <c r="J411" s="53">
        <v>13207517</v>
      </c>
      <c r="K411" s="53"/>
      <c r="L411" s="58">
        <v>45293</v>
      </c>
      <c r="M411" s="58">
        <v>45293</v>
      </c>
      <c r="N411" s="53" t="s">
        <v>839</v>
      </c>
      <c r="O411" s="53">
        <v>0</v>
      </c>
      <c r="P411" s="53">
        <v>1919044</v>
      </c>
      <c r="Q411" s="53" t="s">
        <v>1459</v>
      </c>
      <c r="R411" s="45">
        <v>410</v>
      </c>
      <c r="S411" s="56">
        <v>0.01</v>
      </c>
      <c r="T411" s="47" t="s">
        <v>198</v>
      </c>
      <c r="U411" s="48" t="s">
        <v>199</v>
      </c>
      <c r="V411" s="38"/>
      <c r="W411" s="48" t="s">
        <v>195</v>
      </c>
      <c r="X411" s="38" t="s">
        <v>200</v>
      </c>
      <c r="Y411" s="49" t="s">
        <v>201</v>
      </c>
      <c r="Z411" s="50" t="s">
        <v>1460</v>
      </c>
      <c r="AA411" s="38"/>
      <c r="AB411" s="38"/>
      <c r="AC411" s="38"/>
      <c r="AD411" s="51">
        <v>63</v>
      </c>
      <c r="AE411" s="51">
        <v>63</v>
      </c>
      <c r="AF411" s="48" t="s">
        <v>203</v>
      </c>
      <c r="AG411" s="38" t="s">
        <v>204</v>
      </c>
      <c r="AH411" s="52"/>
      <c r="AI411" s="38"/>
      <c r="AJ411" s="38"/>
    </row>
    <row r="412" spans="1:36" ht="16.2">
      <c r="A412" s="42" t="s">
        <v>836</v>
      </c>
      <c r="B412" s="42">
        <v>828006</v>
      </c>
      <c r="C412" s="42" t="s">
        <v>1397</v>
      </c>
      <c r="D412" s="42">
        <v>13207517</v>
      </c>
      <c r="E412" s="43" t="s">
        <v>1398</v>
      </c>
      <c r="F412" s="42" t="s">
        <v>1276</v>
      </c>
      <c r="G412" s="42" t="s">
        <v>195</v>
      </c>
      <c r="H412" s="42"/>
      <c r="I412" s="42"/>
      <c r="J412" s="42">
        <v>13207517</v>
      </c>
      <c r="K412" s="42"/>
      <c r="L412" s="57">
        <v>45293</v>
      </c>
      <c r="M412" s="57">
        <v>45293</v>
      </c>
      <c r="N412" s="42" t="s">
        <v>839</v>
      </c>
      <c r="O412" s="42">
        <v>0</v>
      </c>
      <c r="P412" s="42">
        <v>1919044</v>
      </c>
      <c r="Q412" s="42" t="s">
        <v>1461</v>
      </c>
      <c r="R412" s="45">
        <v>410</v>
      </c>
      <c r="S412" s="46">
        <v>0.01</v>
      </c>
      <c r="T412" s="47" t="s">
        <v>198</v>
      </c>
      <c r="U412" s="48" t="s">
        <v>199</v>
      </c>
      <c r="V412" s="38"/>
      <c r="W412" s="48" t="s">
        <v>195</v>
      </c>
      <c r="X412" s="38" t="s">
        <v>200</v>
      </c>
      <c r="Y412" s="49" t="s">
        <v>201</v>
      </c>
      <c r="Z412" s="50" t="s">
        <v>1462</v>
      </c>
      <c r="AA412" s="38"/>
      <c r="AB412" s="38"/>
      <c r="AC412" s="38"/>
      <c r="AD412" s="51">
        <v>63</v>
      </c>
      <c r="AE412" s="51">
        <v>63</v>
      </c>
      <c r="AF412" s="48" t="s">
        <v>203</v>
      </c>
      <c r="AG412" s="38" t="s">
        <v>204</v>
      </c>
      <c r="AH412" s="52"/>
      <c r="AI412" s="38"/>
      <c r="AJ412" s="38"/>
    </row>
    <row r="413" spans="1:36" ht="16.2">
      <c r="A413" s="53" t="s">
        <v>836</v>
      </c>
      <c r="B413" s="53">
        <v>828006</v>
      </c>
      <c r="C413" s="53" t="s">
        <v>1397</v>
      </c>
      <c r="D413" s="53">
        <v>13207517</v>
      </c>
      <c r="E413" s="54" t="s">
        <v>1398</v>
      </c>
      <c r="F413" s="53" t="s">
        <v>1279</v>
      </c>
      <c r="G413" s="53" t="s">
        <v>195</v>
      </c>
      <c r="H413" s="53"/>
      <c r="I413" s="53"/>
      <c r="J413" s="53">
        <v>13207517</v>
      </c>
      <c r="K413" s="53"/>
      <c r="L413" s="58">
        <v>45293</v>
      </c>
      <c r="M413" s="58">
        <v>45293</v>
      </c>
      <c r="N413" s="53" t="s">
        <v>839</v>
      </c>
      <c r="O413" s="53">
        <v>0</v>
      </c>
      <c r="P413" s="53">
        <v>1919044</v>
      </c>
      <c r="Q413" s="53" t="s">
        <v>1463</v>
      </c>
      <c r="R413" s="45">
        <v>410</v>
      </c>
      <c r="S413" s="56">
        <v>0.01</v>
      </c>
      <c r="T413" s="47" t="s">
        <v>198</v>
      </c>
      <c r="U413" s="48" t="s">
        <v>199</v>
      </c>
      <c r="V413" s="38"/>
      <c r="W413" s="48" t="s">
        <v>195</v>
      </c>
      <c r="X413" s="38" t="s">
        <v>200</v>
      </c>
      <c r="Y413" s="49" t="s">
        <v>201</v>
      </c>
      <c r="Z413" s="50" t="s">
        <v>1464</v>
      </c>
      <c r="AA413" s="38"/>
      <c r="AB413" s="38"/>
      <c r="AC413" s="38"/>
      <c r="AD413" s="51">
        <v>63</v>
      </c>
      <c r="AE413" s="51">
        <v>63</v>
      </c>
      <c r="AF413" s="48" t="s">
        <v>203</v>
      </c>
      <c r="AG413" s="38" t="s">
        <v>204</v>
      </c>
      <c r="AH413" s="52"/>
      <c r="AI413" s="38"/>
      <c r="AJ413" s="38"/>
    </row>
    <row r="414" spans="1:36" ht="16.2">
      <c r="A414" s="42" t="s">
        <v>836</v>
      </c>
      <c r="B414" s="42">
        <v>828006</v>
      </c>
      <c r="C414" s="42" t="s">
        <v>1397</v>
      </c>
      <c r="D414" s="42">
        <v>13207517</v>
      </c>
      <c r="E414" s="43" t="s">
        <v>1398</v>
      </c>
      <c r="F414" s="42" t="s">
        <v>263</v>
      </c>
      <c r="G414" s="42" t="s">
        <v>195</v>
      </c>
      <c r="H414" s="42"/>
      <c r="I414" s="42"/>
      <c r="J414" s="42">
        <v>13207517</v>
      </c>
      <c r="K414" s="42"/>
      <c r="L414" s="57">
        <v>45293</v>
      </c>
      <c r="M414" s="57">
        <v>45293</v>
      </c>
      <c r="N414" s="42" t="s">
        <v>839</v>
      </c>
      <c r="O414" s="42">
        <v>0</v>
      </c>
      <c r="P414" s="42">
        <v>1919044</v>
      </c>
      <c r="Q414" s="42" t="s">
        <v>1465</v>
      </c>
      <c r="R414" s="45">
        <v>410</v>
      </c>
      <c r="S414" s="46">
        <v>0.01</v>
      </c>
      <c r="T414" s="47" t="s">
        <v>198</v>
      </c>
      <c r="U414" s="48" t="s">
        <v>199</v>
      </c>
      <c r="V414" s="38"/>
      <c r="W414" s="48" t="s">
        <v>195</v>
      </c>
      <c r="X414" s="38" t="s">
        <v>200</v>
      </c>
      <c r="Y414" s="49" t="s">
        <v>201</v>
      </c>
      <c r="Z414" s="50" t="s">
        <v>1466</v>
      </c>
      <c r="AA414" s="38"/>
      <c r="AB414" s="38"/>
      <c r="AC414" s="38"/>
      <c r="AD414" s="51">
        <v>63</v>
      </c>
      <c r="AE414" s="51">
        <v>63</v>
      </c>
      <c r="AF414" s="48" t="s">
        <v>203</v>
      </c>
      <c r="AG414" s="38" t="s">
        <v>204</v>
      </c>
      <c r="AH414" s="52"/>
      <c r="AI414" s="38"/>
      <c r="AJ414" s="38"/>
    </row>
    <row r="415" spans="1:36" ht="16.2">
      <c r="A415" s="53" t="s">
        <v>836</v>
      </c>
      <c r="B415" s="53">
        <v>828006</v>
      </c>
      <c r="C415" s="53" t="s">
        <v>1397</v>
      </c>
      <c r="D415" s="53">
        <v>13207517</v>
      </c>
      <c r="E415" s="54" t="s">
        <v>1398</v>
      </c>
      <c r="F415" s="53" t="s">
        <v>1213</v>
      </c>
      <c r="G415" s="53" t="s">
        <v>195</v>
      </c>
      <c r="H415" s="53"/>
      <c r="I415" s="53"/>
      <c r="J415" s="53">
        <v>13207517</v>
      </c>
      <c r="K415" s="53"/>
      <c r="L415" s="58">
        <v>45293</v>
      </c>
      <c r="M415" s="58">
        <v>45293</v>
      </c>
      <c r="N415" s="53" t="s">
        <v>839</v>
      </c>
      <c r="O415" s="53">
        <v>0</v>
      </c>
      <c r="P415" s="53">
        <v>1919044</v>
      </c>
      <c r="Q415" s="53" t="s">
        <v>1467</v>
      </c>
      <c r="R415" s="45">
        <v>410</v>
      </c>
      <c r="S415" s="56">
        <v>0.01</v>
      </c>
      <c r="T415" s="47" t="s">
        <v>198</v>
      </c>
      <c r="U415" s="48" t="s">
        <v>199</v>
      </c>
      <c r="V415" s="38"/>
      <c r="W415" s="48" t="s">
        <v>195</v>
      </c>
      <c r="X415" s="38" t="s">
        <v>200</v>
      </c>
      <c r="Y415" s="49" t="s">
        <v>201</v>
      </c>
      <c r="Z415" s="50" t="s">
        <v>1468</v>
      </c>
      <c r="AA415" s="38"/>
      <c r="AB415" s="38"/>
      <c r="AC415" s="38"/>
      <c r="AD415" s="51">
        <v>63</v>
      </c>
      <c r="AE415" s="51">
        <v>63</v>
      </c>
      <c r="AF415" s="48" t="s">
        <v>203</v>
      </c>
      <c r="AG415" s="38" t="s">
        <v>204</v>
      </c>
      <c r="AH415" s="52"/>
      <c r="AI415" s="38"/>
      <c r="AJ415" s="38"/>
    </row>
    <row r="416" spans="1:36" ht="16.2">
      <c r="A416" s="42" t="s">
        <v>836</v>
      </c>
      <c r="B416" s="42">
        <v>828006</v>
      </c>
      <c r="C416" s="42" t="s">
        <v>1397</v>
      </c>
      <c r="D416" s="42">
        <v>13207517</v>
      </c>
      <c r="E416" s="43" t="s">
        <v>1398</v>
      </c>
      <c r="F416" s="42" t="s">
        <v>1238</v>
      </c>
      <c r="G416" s="42" t="s">
        <v>195</v>
      </c>
      <c r="H416" s="42"/>
      <c r="I416" s="42"/>
      <c r="J416" s="42">
        <v>13207517</v>
      </c>
      <c r="K416" s="42"/>
      <c r="L416" s="57">
        <v>45293</v>
      </c>
      <c r="M416" s="57">
        <v>45293</v>
      </c>
      <c r="N416" s="42" t="s">
        <v>839</v>
      </c>
      <c r="O416" s="42">
        <v>0</v>
      </c>
      <c r="P416" s="42">
        <v>1919044</v>
      </c>
      <c r="Q416" s="42" t="s">
        <v>1469</v>
      </c>
      <c r="R416" s="45">
        <v>410</v>
      </c>
      <c r="S416" s="46">
        <v>0.01</v>
      </c>
      <c r="T416" s="47" t="s">
        <v>198</v>
      </c>
      <c r="U416" s="48" t="s">
        <v>199</v>
      </c>
      <c r="V416" s="38"/>
      <c r="W416" s="48" t="s">
        <v>195</v>
      </c>
      <c r="X416" s="38" t="s">
        <v>200</v>
      </c>
      <c r="Y416" s="49" t="s">
        <v>201</v>
      </c>
      <c r="Z416" s="50" t="s">
        <v>1470</v>
      </c>
      <c r="AA416" s="38"/>
      <c r="AB416" s="38"/>
      <c r="AC416" s="38"/>
      <c r="AD416" s="51">
        <v>63</v>
      </c>
      <c r="AE416" s="51">
        <v>63</v>
      </c>
      <c r="AF416" s="48" t="s">
        <v>203</v>
      </c>
      <c r="AG416" s="38" t="s">
        <v>204</v>
      </c>
      <c r="AH416" s="52"/>
      <c r="AI416" s="38"/>
      <c r="AJ416" s="38"/>
    </row>
    <row r="417" spans="1:36" ht="16.2">
      <c r="A417" s="53" t="s">
        <v>340</v>
      </c>
      <c r="B417" s="53">
        <v>710324</v>
      </c>
      <c r="C417" s="53" t="s">
        <v>1471</v>
      </c>
      <c r="D417" s="53">
        <v>13207634</v>
      </c>
      <c r="E417" s="54" t="s">
        <v>1472</v>
      </c>
      <c r="F417" s="53" t="s">
        <v>1354</v>
      </c>
      <c r="G417" s="53" t="s">
        <v>195</v>
      </c>
      <c r="H417" s="53" t="s">
        <v>1473</v>
      </c>
      <c r="I417" s="53">
        <v>23671351</v>
      </c>
      <c r="J417" s="53">
        <v>13207634</v>
      </c>
      <c r="K417" s="53"/>
      <c r="L417" s="55">
        <v>45293</v>
      </c>
      <c r="M417" s="55">
        <v>45293</v>
      </c>
      <c r="N417" s="53" t="s">
        <v>1474</v>
      </c>
      <c r="O417" s="53">
        <v>0</v>
      </c>
      <c r="P417" s="53">
        <v>20009996</v>
      </c>
      <c r="Q417" s="53" t="s">
        <v>1475</v>
      </c>
      <c r="R417" s="45">
        <v>410</v>
      </c>
      <c r="S417" s="56">
        <v>0.01</v>
      </c>
      <c r="T417" s="47" t="s">
        <v>198</v>
      </c>
      <c r="U417" s="48" t="s">
        <v>199</v>
      </c>
      <c r="V417" s="38"/>
      <c r="W417" s="48" t="s">
        <v>195</v>
      </c>
      <c r="X417" s="38" t="s">
        <v>308</v>
      </c>
      <c r="Y417" s="49" t="s">
        <v>309</v>
      </c>
      <c r="Z417" s="50" t="s">
        <v>1476</v>
      </c>
      <c r="AA417" s="47" t="s">
        <v>1477</v>
      </c>
      <c r="AB417" s="38"/>
      <c r="AC417" s="38"/>
      <c r="AD417" s="51">
        <v>20</v>
      </c>
      <c r="AE417" s="51">
        <v>20</v>
      </c>
      <c r="AF417" s="48" t="s">
        <v>203</v>
      </c>
      <c r="AG417" s="38" t="s">
        <v>204</v>
      </c>
      <c r="AH417" s="52"/>
      <c r="AI417" s="38"/>
      <c r="AJ417" s="38"/>
    </row>
    <row r="418" spans="1:36" ht="16.2">
      <c r="A418" s="42" t="s">
        <v>340</v>
      </c>
      <c r="B418" s="42">
        <v>710324</v>
      </c>
      <c r="C418" s="42" t="s">
        <v>1471</v>
      </c>
      <c r="D418" s="42">
        <v>13207634</v>
      </c>
      <c r="E418" s="43" t="s">
        <v>1472</v>
      </c>
      <c r="F418" s="42" t="s">
        <v>1358</v>
      </c>
      <c r="G418" s="42" t="s">
        <v>195</v>
      </c>
      <c r="H418" s="42"/>
      <c r="I418" s="42"/>
      <c r="J418" s="42">
        <v>13207634</v>
      </c>
      <c r="K418" s="42"/>
      <c r="L418" s="44">
        <v>45293</v>
      </c>
      <c r="M418" s="44">
        <v>45293</v>
      </c>
      <c r="N418" s="42" t="s">
        <v>1474</v>
      </c>
      <c r="O418" s="42">
        <v>0</v>
      </c>
      <c r="P418" s="42">
        <v>20009996</v>
      </c>
      <c r="Q418" s="42" t="s">
        <v>1478</v>
      </c>
      <c r="R418" s="45">
        <v>410</v>
      </c>
      <c r="S418" s="46">
        <v>0.01</v>
      </c>
      <c r="T418" s="47" t="s">
        <v>198</v>
      </c>
      <c r="U418" s="48" t="s">
        <v>199</v>
      </c>
      <c r="V418" s="38"/>
      <c r="W418" s="48" t="s">
        <v>195</v>
      </c>
      <c r="X418" s="38" t="s">
        <v>308</v>
      </c>
      <c r="Y418" s="49" t="s">
        <v>309</v>
      </c>
      <c r="Z418" s="50" t="s">
        <v>1479</v>
      </c>
      <c r="AA418" s="38"/>
      <c r="AB418" s="38"/>
      <c r="AC418" s="38"/>
      <c r="AD418" s="51">
        <v>20</v>
      </c>
      <c r="AE418" s="51">
        <v>20</v>
      </c>
      <c r="AF418" s="48" t="s">
        <v>203</v>
      </c>
      <c r="AG418" s="38" t="s">
        <v>204</v>
      </c>
      <c r="AH418" s="52"/>
      <c r="AI418" s="38"/>
      <c r="AJ418" s="38"/>
    </row>
    <row r="419" spans="1:36" ht="16.2">
      <c r="A419" s="53" t="s">
        <v>340</v>
      </c>
      <c r="B419" s="53">
        <v>710324</v>
      </c>
      <c r="C419" s="53" t="s">
        <v>1471</v>
      </c>
      <c r="D419" s="53">
        <v>13207634</v>
      </c>
      <c r="E419" s="54" t="s">
        <v>1472</v>
      </c>
      <c r="F419" s="53" t="s">
        <v>1361</v>
      </c>
      <c r="G419" s="53" t="s">
        <v>195</v>
      </c>
      <c r="H419" s="53"/>
      <c r="I419" s="53"/>
      <c r="J419" s="53">
        <v>13207634</v>
      </c>
      <c r="K419" s="53"/>
      <c r="L419" s="55">
        <v>45293</v>
      </c>
      <c r="M419" s="55">
        <v>45293</v>
      </c>
      <c r="N419" s="53" t="s">
        <v>1474</v>
      </c>
      <c r="O419" s="53">
        <v>0</v>
      </c>
      <c r="P419" s="53">
        <v>20009996</v>
      </c>
      <c r="Q419" s="53" t="s">
        <v>1480</v>
      </c>
      <c r="R419" s="45">
        <v>410</v>
      </c>
      <c r="S419" s="56">
        <v>0.01</v>
      </c>
      <c r="T419" s="47" t="s">
        <v>198</v>
      </c>
      <c r="U419" s="48" t="s">
        <v>199</v>
      </c>
      <c r="V419" s="38"/>
      <c r="W419" s="48" t="s">
        <v>195</v>
      </c>
      <c r="X419" s="38" t="s">
        <v>308</v>
      </c>
      <c r="Y419" s="49" t="s">
        <v>309</v>
      </c>
      <c r="Z419" s="50" t="s">
        <v>1481</v>
      </c>
      <c r="AA419" s="38"/>
      <c r="AB419" s="38"/>
      <c r="AC419" s="38"/>
      <c r="AD419" s="51">
        <v>20</v>
      </c>
      <c r="AE419" s="51">
        <v>20</v>
      </c>
      <c r="AF419" s="48" t="s">
        <v>203</v>
      </c>
      <c r="AG419" s="38" t="s">
        <v>204</v>
      </c>
      <c r="AH419" s="52"/>
      <c r="AI419" s="38"/>
      <c r="AJ419" s="38"/>
    </row>
    <row r="420" spans="1:36" ht="16.2">
      <c r="A420" s="42" t="s">
        <v>340</v>
      </c>
      <c r="B420" s="42">
        <v>710324</v>
      </c>
      <c r="C420" s="42" t="s">
        <v>1471</v>
      </c>
      <c r="D420" s="42">
        <v>13207634</v>
      </c>
      <c r="E420" s="43" t="s">
        <v>1472</v>
      </c>
      <c r="F420" s="42" t="s">
        <v>1364</v>
      </c>
      <c r="G420" s="42" t="s">
        <v>195</v>
      </c>
      <c r="H420" s="42"/>
      <c r="I420" s="42"/>
      <c r="J420" s="42">
        <v>13207634</v>
      </c>
      <c r="K420" s="42"/>
      <c r="L420" s="44">
        <v>45293</v>
      </c>
      <c r="M420" s="44">
        <v>45293</v>
      </c>
      <c r="N420" s="42" t="s">
        <v>1474</v>
      </c>
      <c r="O420" s="42">
        <v>0</v>
      </c>
      <c r="P420" s="42">
        <v>20009996</v>
      </c>
      <c r="Q420" s="42" t="s">
        <v>1482</v>
      </c>
      <c r="R420" s="45">
        <v>410</v>
      </c>
      <c r="S420" s="46">
        <v>0.01</v>
      </c>
      <c r="T420" s="47" t="s">
        <v>198</v>
      </c>
      <c r="U420" s="48" t="s">
        <v>199</v>
      </c>
      <c r="V420" s="38"/>
      <c r="W420" s="48" t="s">
        <v>195</v>
      </c>
      <c r="X420" s="38" t="s">
        <v>308</v>
      </c>
      <c r="Y420" s="49" t="s">
        <v>309</v>
      </c>
      <c r="Z420" s="50" t="s">
        <v>1483</v>
      </c>
      <c r="AA420" s="38"/>
      <c r="AB420" s="38"/>
      <c r="AC420" s="38"/>
      <c r="AD420" s="51">
        <v>20</v>
      </c>
      <c r="AE420" s="51">
        <v>20</v>
      </c>
      <c r="AF420" s="48" t="s">
        <v>203</v>
      </c>
      <c r="AG420" s="38" t="s">
        <v>204</v>
      </c>
      <c r="AH420" s="52"/>
      <c r="AI420" s="38"/>
      <c r="AJ420" s="38"/>
    </row>
    <row r="421" spans="1:36" ht="16.2">
      <c r="A421" s="53" t="s">
        <v>340</v>
      </c>
      <c r="B421" s="53">
        <v>710324</v>
      </c>
      <c r="C421" s="53" t="s">
        <v>1471</v>
      </c>
      <c r="D421" s="53">
        <v>13207634</v>
      </c>
      <c r="E421" s="54" t="s">
        <v>1472</v>
      </c>
      <c r="F421" s="53" t="s">
        <v>1367</v>
      </c>
      <c r="G421" s="53" t="s">
        <v>195</v>
      </c>
      <c r="H421" s="53"/>
      <c r="I421" s="53"/>
      <c r="J421" s="53">
        <v>13207634</v>
      </c>
      <c r="K421" s="53"/>
      <c r="L421" s="55">
        <v>45293</v>
      </c>
      <c r="M421" s="55">
        <v>45293</v>
      </c>
      <c r="N421" s="53" t="s">
        <v>1474</v>
      </c>
      <c r="O421" s="53">
        <v>0</v>
      </c>
      <c r="P421" s="53">
        <v>20009996</v>
      </c>
      <c r="Q421" s="53" t="s">
        <v>1484</v>
      </c>
      <c r="R421" s="45">
        <v>410</v>
      </c>
      <c r="S421" s="56">
        <v>0.01</v>
      </c>
      <c r="T421" s="47" t="s">
        <v>198</v>
      </c>
      <c r="U421" s="48" t="s">
        <v>199</v>
      </c>
      <c r="V421" s="38"/>
      <c r="W421" s="48" t="s">
        <v>195</v>
      </c>
      <c r="X421" s="38" t="s">
        <v>308</v>
      </c>
      <c r="Y421" s="49" t="s">
        <v>309</v>
      </c>
      <c r="Z421" s="50" t="s">
        <v>1485</v>
      </c>
      <c r="AA421" s="38"/>
      <c r="AB421" s="38"/>
      <c r="AC421" s="38"/>
      <c r="AD421" s="51">
        <v>20</v>
      </c>
      <c r="AE421" s="51">
        <v>20</v>
      </c>
      <c r="AF421" s="48" t="s">
        <v>203</v>
      </c>
      <c r="AG421" s="38" t="s">
        <v>204</v>
      </c>
      <c r="AH421" s="52"/>
      <c r="AI421" s="38"/>
      <c r="AJ421" s="38"/>
    </row>
    <row r="422" spans="1:36" ht="16.2">
      <c r="A422" s="42" t="s">
        <v>340</v>
      </c>
      <c r="B422" s="42">
        <v>710324</v>
      </c>
      <c r="C422" s="42" t="s">
        <v>1471</v>
      </c>
      <c r="D422" s="42">
        <v>13207634</v>
      </c>
      <c r="E422" s="43" t="s">
        <v>1472</v>
      </c>
      <c r="F422" s="42" t="s">
        <v>211</v>
      </c>
      <c r="G422" s="42" t="s">
        <v>195</v>
      </c>
      <c r="H422" s="42"/>
      <c r="I422" s="42"/>
      <c r="J422" s="42">
        <v>13207634</v>
      </c>
      <c r="K422" s="42"/>
      <c r="L422" s="44">
        <v>45293</v>
      </c>
      <c r="M422" s="44">
        <v>45293</v>
      </c>
      <c r="N422" s="42" t="s">
        <v>1474</v>
      </c>
      <c r="O422" s="42">
        <v>0</v>
      </c>
      <c r="P422" s="42">
        <v>20009996</v>
      </c>
      <c r="Q422" s="42" t="s">
        <v>1486</v>
      </c>
      <c r="R422" s="45">
        <v>410</v>
      </c>
      <c r="S422" s="46">
        <v>0.01</v>
      </c>
      <c r="T422" s="47" t="s">
        <v>198</v>
      </c>
      <c r="U422" s="48" t="s">
        <v>199</v>
      </c>
      <c r="V422" s="38"/>
      <c r="W422" s="48" t="s">
        <v>195</v>
      </c>
      <c r="X422" s="38" t="s">
        <v>308</v>
      </c>
      <c r="Y422" s="49" t="s">
        <v>309</v>
      </c>
      <c r="Z422" s="50" t="s">
        <v>1487</v>
      </c>
      <c r="AA422" s="38"/>
      <c r="AB422" s="38"/>
      <c r="AC422" s="38"/>
      <c r="AD422" s="51">
        <v>20</v>
      </c>
      <c r="AE422" s="51">
        <v>20</v>
      </c>
      <c r="AF422" s="48" t="s">
        <v>203</v>
      </c>
      <c r="AG422" s="38" t="s">
        <v>204</v>
      </c>
      <c r="AH422" s="52"/>
      <c r="AI422" s="38"/>
      <c r="AJ422" s="38"/>
    </row>
    <row r="423" spans="1:36" ht="16.2">
      <c r="A423" s="53" t="s">
        <v>340</v>
      </c>
      <c r="B423" s="53">
        <v>710324</v>
      </c>
      <c r="C423" s="53" t="s">
        <v>1471</v>
      </c>
      <c r="D423" s="53">
        <v>13207634</v>
      </c>
      <c r="E423" s="54" t="s">
        <v>1472</v>
      </c>
      <c r="F423" s="53" t="s">
        <v>1372</v>
      </c>
      <c r="G423" s="53" t="s">
        <v>195</v>
      </c>
      <c r="H423" s="53"/>
      <c r="I423" s="53"/>
      <c r="J423" s="53">
        <v>13207634</v>
      </c>
      <c r="K423" s="53"/>
      <c r="L423" s="55">
        <v>45293</v>
      </c>
      <c r="M423" s="55">
        <v>45293</v>
      </c>
      <c r="N423" s="53" t="s">
        <v>1474</v>
      </c>
      <c r="O423" s="53">
        <v>0</v>
      </c>
      <c r="P423" s="53">
        <v>20009996</v>
      </c>
      <c r="Q423" s="53" t="s">
        <v>1488</v>
      </c>
      <c r="R423" s="45">
        <v>410</v>
      </c>
      <c r="S423" s="56">
        <v>0.01</v>
      </c>
      <c r="T423" s="47" t="s">
        <v>198</v>
      </c>
      <c r="U423" s="48" t="s">
        <v>199</v>
      </c>
      <c r="V423" s="38"/>
      <c r="W423" s="48" t="s">
        <v>195</v>
      </c>
      <c r="X423" s="38" t="s">
        <v>308</v>
      </c>
      <c r="Y423" s="49" t="s">
        <v>309</v>
      </c>
      <c r="Z423" s="50" t="s">
        <v>1489</v>
      </c>
      <c r="AA423" s="38"/>
      <c r="AB423" s="38"/>
      <c r="AC423" s="38"/>
      <c r="AD423" s="51">
        <v>20</v>
      </c>
      <c r="AE423" s="51">
        <v>20</v>
      </c>
      <c r="AF423" s="48" t="s">
        <v>203</v>
      </c>
      <c r="AG423" s="38" t="s">
        <v>204</v>
      </c>
      <c r="AH423" s="52"/>
      <c r="AI423" s="38"/>
      <c r="AJ423" s="38"/>
    </row>
    <row r="424" spans="1:36" ht="16.2">
      <c r="A424" s="42" t="s">
        <v>340</v>
      </c>
      <c r="B424" s="42">
        <v>710324</v>
      </c>
      <c r="C424" s="42" t="s">
        <v>1471</v>
      </c>
      <c r="D424" s="42">
        <v>13207634</v>
      </c>
      <c r="E424" s="43" t="s">
        <v>1472</v>
      </c>
      <c r="F424" s="42" t="s">
        <v>1375</v>
      </c>
      <c r="G424" s="42" t="s">
        <v>195</v>
      </c>
      <c r="H424" s="42"/>
      <c r="I424" s="42"/>
      <c r="J424" s="42">
        <v>13207634</v>
      </c>
      <c r="K424" s="42"/>
      <c r="L424" s="44">
        <v>45293</v>
      </c>
      <c r="M424" s="44">
        <v>45293</v>
      </c>
      <c r="N424" s="42" t="s">
        <v>1474</v>
      </c>
      <c r="O424" s="42">
        <v>0</v>
      </c>
      <c r="P424" s="42">
        <v>20009996</v>
      </c>
      <c r="Q424" s="42" t="s">
        <v>1490</v>
      </c>
      <c r="R424" s="45">
        <v>410</v>
      </c>
      <c r="S424" s="46">
        <v>0.01</v>
      </c>
      <c r="T424" s="47" t="s">
        <v>198</v>
      </c>
      <c r="U424" s="48" t="s">
        <v>199</v>
      </c>
      <c r="V424" s="38"/>
      <c r="W424" s="48" t="s">
        <v>195</v>
      </c>
      <c r="X424" s="38" t="s">
        <v>308</v>
      </c>
      <c r="Y424" s="49" t="s">
        <v>309</v>
      </c>
      <c r="Z424" s="50" t="s">
        <v>1491</v>
      </c>
      <c r="AA424" s="38"/>
      <c r="AB424" s="38"/>
      <c r="AC424" s="38"/>
      <c r="AD424" s="51">
        <v>20</v>
      </c>
      <c r="AE424" s="51">
        <v>20</v>
      </c>
      <c r="AF424" s="48" t="s">
        <v>203</v>
      </c>
      <c r="AG424" s="38" t="s">
        <v>204</v>
      </c>
      <c r="AH424" s="52"/>
      <c r="AI424" s="38"/>
      <c r="AJ424" s="38"/>
    </row>
    <row r="425" spans="1:36" ht="16.2">
      <c r="A425" s="53" t="s">
        <v>340</v>
      </c>
      <c r="B425" s="53">
        <v>710324</v>
      </c>
      <c r="C425" s="53" t="s">
        <v>1471</v>
      </c>
      <c r="D425" s="53">
        <v>13207634</v>
      </c>
      <c r="E425" s="54" t="s">
        <v>1472</v>
      </c>
      <c r="F425" s="53" t="s">
        <v>1378</v>
      </c>
      <c r="G425" s="53" t="s">
        <v>195</v>
      </c>
      <c r="H425" s="53"/>
      <c r="I425" s="53"/>
      <c r="J425" s="53">
        <v>13207634</v>
      </c>
      <c r="K425" s="53"/>
      <c r="L425" s="55">
        <v>45293</v>
      </c>
      <c r="M425" s="55">
        <v>45293</v>
      </c>
      <c r="N425" s="53" t="s">
        <v>1474</v>
      </c>
      <c r="O425" s="56">
        <v>0.01</v>
      </c>
      <c r="P425" s="53">
        <v>20009996</v>
      </c>
      <c r="Q425" s="53" t="s">
        <v>1492</v>
      </c>
      <c r="R425" s="45">
        <v>410</v>
      </c>
      <c r="S425" s="56">
        <v>0.01</v>
      </c>
      <c r="T425" s="47" t="s">
        <v>198</v>
      </c>
      <c r="U425" s="48" t="s">
        <v>199</v>
      </c>
      <c r="V425" s="38"/>
      <c r="W425" s="48" t="s">
        <v>195</v>
      </c>
      <c r="X425" s="38" t="s">
        <v>308</v>
      </c>
      <c r="Y425" s="49" t="s">
        <v>309</v>
      </c>
      <c r="Z425" s="50" t="s">
        <v>1493</v>
      </c>
      <c r="AA425" s="38"/>
      <c r="AB425" s="38"/>
      <c r="AC425" s="38"/>
      <c r="AD425" s="51">
        <v>20</v>
      </c>
      <c r="AE425" s="51">
        <v>20</v>
      </c>
      <c r="AF425" s="48" t="s">
        <v>203</v>
      </c>
      <c r="AG425" s="38" t="s">
        <v>204</v>
      </c>
      <c r="AH425" s="52"/>
      <c r="AI425" s="38"/>
      <c r="AJ425" s="38"/>
    </row>
    <row r="426" spans="1:36" ht="16.2">
      <c r="A426" s="42" t="s">
        <v>340</v>
      </c>
      <c r="B426" s="42">
        <v>710324</v>
      </c>
      <c r="C426" s="42" t="s">
        <v>1471</v>
      </c>
      <c r="D426" s="42">
        <v>13207634</v>
      </c>
      <c r="E426" s="43" t="s">
        <v>1472</v>
      </c>
      <c r="F426" s="42" t="s">
        <v>644</v>
      </c>
      <c r="G426" s="42" t="s">
        <v>195</v>
      </c>
      <c r="H426" s="42"/>
      <c r="I426" s="42"/>
      <c r="J426" s="42">
        <v>13207634</v>
      </c>
      <c r="K426" s="42"/>
      <c r="L426" s="44">
        <v>45293</v>
      </c>
      <c r="M426" s="44">
        <v>45293</v>
      </c>
      <c r="N426" s="42" t="s">
        <v>1474</v>
      </c>
      <c r="O426" s="46">
        <v>0.01</v>
      </c>
      <c r="P426" s="42">
        <v>20009996</v>
      </c>
      <c r="Q426" s="42" t="s">
        <v>1494</v>
      </c>
      <c r="R426" s="45">
        <v>410</v>
      </c>
      <c r="S426" s="46">
        <v>0.01</v>
      </c>
      <c r="T426" s="47" t="s">
        <v>198</v>
      </c>
      <c r="U426" s="48" t="s">
        <v>199</v>
      </c>
      <c r="V426" s="38"/>
      <c r="W426" s="48" t="s">
        <v>195</v>
      </c>
      <c r="X426" s="38" t="s">
        <v>308</v>
      </c>
      <c r="Y426" s="49" t="s">
        <v>309</v>
      </c>
      <c r="Z426" s="50" t="s">
        <v>1495</v>
      </c>
      <c r="AA426" s="38"/>
      <c r="AB426" s="38"/>
      <c r="AC426" s="38"/>
      <c r="AD426" s="51">
        <v>20</v>
      </c>
      <c r="AE426" s="51">
        <v>20</v>
      </c>
      <c r="AF426" s="48" t="s">
        <v>203</v>
      </c>
      <c r="AG426" s="38" t="s">
        <v>204</v>
      </c>
      <c r="AH426" s="52"/>
      <c r="AI426" s="38"/>
      <c r="AJ426" s="38"/>
    </row>
    <row r="427" spans="1:36" ht="16.2">
      <c r="A427" s="53" t="s">
        <v>340</v>
      </c>
      <c r="B427" s="53">
        <v>710324</v>
      </c>
      <c r="C427" s="53" t="s">
        <v>1471</v>
      </c>
      <c r="D427" s="53">
        <v>13207634</v>
      </c>
      <c r="E427" s="54" t="s">
        <v>1472</v>
      </c>
      <c r="F427" s="53" t="s">
        <v>1383</v>
      </c>
      <c r="G427" s="53" t="s">
        <v>195</v>
      </c>
      <c r="H427" s="53"/>
      <c r="I427" s="53"/>
      <c r="J427" s="53">
        <v>13207634</v>
      </c>
      <c r="K427" s="53"/>
      <c r="L427" s="55">
        <v>45293</v>
      </c>
      <c r="M427" s="55">
        <v>45293</v>
      </c>
      <c r="N427" s="53" t="s">
        <v>1474</v>
      </c>
      <c r="O427" s="56">
        <v>0.01</v>
      </c>
      <c r="P427" s="53">
        <v>20009996</v>
      </c>
      <c r="Q427" s="53" t="s">
        <v>1496</v>
      </c>
      <c r="R427" s="45">
        <v>410</v>
      </c>
      <c r="S427" s="56">
        <v>0.01</v>
      </c>
      <c r="T427" s="47" t="s">
        <v>198</v>
      </c>
      <c r="U427" s="48" t="s">
        <v>199</v>
      </c>
      <c r="V427" s="38"/>
      <c r="W427" s="48" t="s">
        <v>195</v>
      </c>
      <c r="X427" s="38" t="s">
        <v>308</v>
      </c>
      <c r="Y427" s="49" t="s">
        <v>309</v>
      </c>
      <c r="Z427" s="50" t="s">
        <v>1497</v>
      </c>
      <c r="AA427" s="38"/>
      <c r="AB427" s="38"/>
      <c r="AC427" s="38"/>
      <c r="AD427" s="51">
        <v>20</v>
      </c>
      <c r="AE427" s="51">
        <v>20</v>
      </c>
      <c r="AF427" s="48" t="s">
        <v>203</v>
      </c>
      <c r="AG427" s="38" t="s">
        <v>204</v>
      </c>
      <c r="AH427" s="52"/>
      <c r="AI427" s="38"/>
      <c r="AJ427" s="38"/>
    </row>
    <row r="428" spans="1:36" ht="16.2">
      <c r="A428" s="42" t="s">
        <v>340</v>
      </c>
      <c r="B428" s="42">
        <v>710324</v>
      </c>
      <c r="C428" s="42" t="s">
        <v>1471</v>
      </c>
      <c r="D428" s="42">
        <v>13207634</v>
      </c>
      <c r="E428" s="43" t="s">
        <v>1472</v>
      </c>
      <c r="F428" s="42" t="s">
        <v>1386</v>
      </c>
      <c r="G428" s="42" t="s">
        <v>195</v>
      </c>
      <c r="H428" s="42"/>
      <c r="I428" s="42"/>
      <c r="J428" s="42">
        <v>13207634</v>
      </c>
      <c r="K428" s="42"/>
      <c r="L428" s="44">
        <v>45293</v>
      </c>
      <c r="M428" s="44">
        <v>45293</v>
      </c>
      <c r="N428" s="42" t="s">
        <v>1474</v>
      </c>
      <c r="O428" s="46">
        <v>0.01</v>
      </c>
      <c r="P428" s="42">
        <v>20009996</v>
      </c>
      <c r="Q428" s="42" t="s">
        <v>1498</v>
      </c>
      <c r="R428" s="45">
        <v>410</v>
      </c>
      <c r="S428" s="46">
        <v>0.01</v>
      </c>
      <c r="T428" s="47" t="s">
        <v>198</v>
      </c>
      <c r="U428" s="48" t="s">
        <v>199</v>
      </c>
      <c r="V428" s="38"/>
      <c r="W428" s="48" t="s">
        <v>195</v>
      </c>
      <c r="X428" s="38" t="s">
        <v>308</v>
      </c>
      <c r="Y428" s="49" t="s">
        <v>309</v>
      </c>
      <c r="Z428" s="50" t="s">
        <v>1499</v>
      </c>
      <c r="AA428" s="38"/>
      <c r="AB428" s="38"/>
      <c r="AC428" s="38"/>
      <c r="AD428" s="51">
        <v>20</v>
      </c>
      <c r="AE428" s="51">
        <v>20</v>
      </c>
      <c r="AF428" s="48" t="s">
        <v>203</v>
      </c>
      <c r="AG428" s="38" t="s">
        <v>204</v>
      </c>
      <c r="AH428" s="52"/>
      <c r="AI428" s="38"/>
      <c r="AJ428" s="38"/>
    </row>
    <row r="429" spans="1:36" ht="16.2">
      <c r="A429" s="53" t="s">
        <v>340</v>
      </c>
      <c r="B429" s="53">
        <v>710324</v>
      </c>
      <c r="C429" s="53" t="s">
        <v>1471</v>
      </c>
      <c r="D429" s="53">
        <v>13207634</v>
      </c>
      <c r="E429" s="54" t="s">
        <v>1472</v>
      </c>
      <c r="F429" s="53" t="s">
        <v>1389</v>
      </c>
      <c r="G429" s="53" t="s">
        <v>195</v>
      </c>
      <c r="H429" s="53"/>
      <c r="I429" s="53"/>
      <c r="J429" s="53">
        <v>13207634</v>
      </c>
      <c r="K429" s="53"/>
      <c r="L429" s="55">
        <v>45293</v>
      </c>
      <c r="M429" s="55">
        <v>45293</v>
      </c>
      <c r="N429" s="53" t="s">
        <v>1474</v>
      </c>
      <c r="O429" s="56">
        <v>0.01</v>
      </c>
      <c r="P429" s="53">
        <v>20009996</v>
      </c>
      <c r="Q429" s="53" t="s">
        <v>1500</v>
      </c>
      <c r="R429" s="45">
        <v>410</v>
      </c>
      <c r="S429" s="56">
        <v>0.01</v>
      </c>
      <c r="T429" s="47" t="s">
        <v>198</v>
      </c>
      <c r="U429" s="48" t="s">
        <v>199</v>
      </c>
      <c r="V429" s="38"/>
      <c r="W429" s="48" t="s">
        <v>195</v>
      </c>
      <c r="X429" s="38" t="s">
        <v>308</v>
      </c>
      <c r="Y429" s="49" t="s">
        <v>309</v>
      </c>
      <c r="Z429" s="50" t="s">
        <v>1501</v>
      </c>
      <c r="AA429" s="38"/>
      <c r="AB429" s="38"/>
      <c r="AC429" s="38"/>
      <c r="AD429" s="51">
        <v>20</v>
      </c>
      <c r="AE429" s="51">
        <v>20</v>
      </c>
      <c r="AF429" s="48" t="s">
        <v>203</v>
      </c>
      <c r="AG429" s="38" t="s">
        <v>204</v>
      </c>
      <c r="AH429" s="52"/>
      <c r="AI429" s="38"/>
      <c r="AJ429" s="38"/>
    </row>
    <row r="430" spans="1:36" ht="16.2">
      <c r="A430" s="42" t="s">
        <v>340</v>
      </c>
      <c r="B430" s="42">
        <v>710324</v>
      </c>
      <c r="C430" s="42" t="s">
        <v>1471</v>
      </c>
      <c r="D430" s="42">
        <v>13207634</v>
      </c>
      <c r="E430" s="43" t="s">
        <v>1472</v>
      </c>
      <c r="F430" s="42" t="s">
        <v>1392</v>
      </c>
      <c r="G430" s="42" t="s">
        <v>195</v>
      </c>
      <c r="H430" s="42" t="s">
        <v>1502</v>
      </c>
      <c r="I430" s="42">
        <v>23631085</v>
      </c>
      <c r="J430" s="42">
        <v>13207634</v>
      </c>
      <c r="K430" s="42"/>
      <c r="L430" s="44">
        <v>45293</v>
      </c>
      <c r="M430" s="44">
        <v>45293</v>
      </c>
      <c r="N430" s="42" t="s">
        <v>1474</v>
      </c>
      <c r="O430" s="46">
        <v>0.01</v>
      </c>
      <c r="P430" s="42">
        <v>20009996</v>
      </c>
      <c r="Q430" s="42" t="s">
        <v>1503</v>
      </c>
      <c r="R430" s="45">
        <v>410</v>
      </c>
      <c r="S430" s="46">
        <v>0.01</v>
      </c>
      <c r="T430" s="47" t="s">
        <v>198</v>
      </c>
      <c r="U430" s="48" t="s">
        <v>199</v>
      </c>
      <c r="V430" s="38"/>
      <c r="W430" s="48" t="s">
        <v>195</v>
      </c>
      <c r="X430" s="38" t="s">
        <v>308</v>
      </c>
      <c r="Y430" s="49" t="s">
        <v>309</v>
      </c>
      <c r="Z430" s="59" t="s">
        <v>1504</v>
      </c>
      <c r="AA430" s="47" t="s">
        <v>1505</v>
      </c>
      <c r="AB430" s="38"/>
      <c r="AC430" s="38"/>
      <c r="AD430" s="51">
        <v>20</v>
      </c>
      <c r="AE430" s="51">
        <v>20</v>
      </c>
      <c r="AF430" s="48" t="s">
        <v>203</v>
      </c>
      <c r="AG430" s="38" t="s">
        <v>204</v>
      </c>
      <c r="AH430" s="52"/>
      <c r="AI430" s="38"/>
      <c r="AJ430" s="38"/>
    </row>
    <row r="431" spans="1:36" ht="16.2">
      <c r="A431" s="53" t="s">
        <v>340</v>
      </c>
      <c r="B431" s="53">
        <v>710324</v>
      </c>
      <c r="C431" s="53" t="s">
        <v>1471</v>
      </c>
      <c r="D431" s="53">
        <v>13207634</v>
      </c>
      <c r="E431" s="54" t="s">
        <v>1472</v>
      </c>
      <c r="F431" s="53" t="s">
        <v>381</v>
      </c>
      <c r="G431" s="53" t="s">
        <v>195</v>
      </c>
      <c r="H431" s="53" t="s">
        <v>1506</v>
      </c>
      <c r="I431" s="53">
        <v>23631085</v>
      </c>
      <c r="J431" s="53">
        <v>13207634</v>
      </c>
      <c r="K431" s="53"/>
      <c r="L431" s="55">
        <v>45293</v>
      </c>
      <c r="M431" s="55">
        <v>45293</v>
      </c>
      <c r="N431" s="53" t="s">
        <v>1474</v>
      </c>
      <c r="O431" s="56">
        <v>0.01</v>
      </c>
      <c r="P431" s="53">
        <v>20009996</v>
      </c>
      <c r="Q431" s="53" t="s">
        <v>1507</v>
      </c>
      <c r="R431" s="45">
        <v>410</v>
      </c>
      <c r="S431" s="56">
        <v>0.01</v>
      </c>
      <c r="T431" s="47" t="s">
        <v>198</v>
      </c>
      <c r="U431" s="48" t="s">
        <v>199</v>
      </c>
      <c r="V431" s="38"/>
      <c r="W431" s="48" t="s">
        <v>195</v>
      </c>
      <c r="X431" s="38" t="s">
        <v>308</v>
      </c>
      <c r="Y431" s="49" t="s">
        <v>309</v>
      </c>
      <c r="Z431" s="50" t="s">
        <v>1508</v>
      </c>
      <c r="AA431" s="47" t="s">
        <v>1509</v>
      </c>
      <c r="AB431" s="47" t="s">
        <v>1510</v>
      </c>
      <c r="AC431" s="38"/>
      <c r="AD431" s="51">
        <v>20</v>
      </c>
      <c r="AE431" s="51">
        <v>20</v>
      </c>
      <c r="AF431" s="48" t="s">
        <v>203</v>
      </c>
      <c r="AG431" s="38" t="s">
        <v>204</v>
      </c>
      <c r="AH431" s="52"/>
      <c r="AI431" s="38"/>
      <c r="AJ431" s="38"/>
    </row>
    <row r="432" spans="1:36" ht="16.2">
      <c r="A432" s="42" t="s">
        <v>340</v>
      </c>
      <c r="B432" s="42">
        <v>710324</v>
      </c>
      <c r="C432" s="42" t="s">
        <v>1471</v>
      </c>
      <c r="D432" s="42">
        <v>13207634</v>
      </c>
      <c r="E432" s="43" t="s">
        <v>1472</v>
      </c>
      <c r="F432" s="42" t="s">
        <v>1511</v>
      </c>
      <c r="G432" s="42" t="s">
        <v>195</v>
      </c>
      <c r="H432" s="42"/>
      <c r="I432" s="42"/>
      <c r="J432" s="42">
        <v>13207634</v>
      </c>
      <c r="K432" s="42"/>
      <c r="L432" s="44">
        <v>45293</v>
      </c>
      <c r="M432" s="44">
        <v>45293</v>
      </c>
      <c r="N432" s="42" t="s">
        <v>1474</v>
      </c>
      <c r="O432" s="46">
        <v>0.01</v>
      </c>
      <c r="P432" s="42">
        <v>20009996</v>
      </c>
      <c r="Q432" s="42" t="s">
        <v>1512</v>
      </c>
      <c r="R432" s="45">
        <v>410</v>
      </c>
      <c r="S432" s="46">
        <v>0.01</v>
      </c>
      <c r="T432" s="47" t="s">
        <v>198</v>
      </c>
      <c r="U432" s="48" t="s">
        <v>199</v>
      </c>
      <c r="V432" s="38"/>
      <c r="W432" s="48" t="s">
        <v>195</v>
      </c>
      <c r="X432" s="38" t="s">
        <v>308</v>
      </c>
      <c r="Y432" s="49" t="s">
        <v>309</v>
      </c>
      <c r="Z432" s="50" t="s">
        <v>1513</v>
      </c>
      <c r="AA432" s="38"/>
      <c r="AB432" s="38"/>
      <c r="AC432" s="38"/>
      <c r="AD432" s="51">
        <v>20</v>
      </c>
      <c r="AE432" s="51">
        <v>20</v>
      </c>
      <c r="AF432" s="48" t="s">
        <v>203</v>
      </c>
      <c r="AG432" s="38" t="s">
        <v>204</v>
      </c>
      <c r="AH432" s="52"/>
      <c r="AI432" s="38"/>
      <c r="AJ432" s="38"/>
    </row>
    <row r="433" spans="1:36" ht="16.2">
      <c r="A433" s="53" t="s">
        <v>340</v>
      </c>
      <c r="B433" s="53">
        <v>710324</v>
      </c>
      <c r="C433" s="53" t="s">
        <v>1471</v>
      </c>
      <c r="D433" s="53">
        <v>13207634</v>
      </c>
      <c r="E433" s="54" t="s">
        <v>1472</v>
      </c>
      <c r="F433" s="53" t="s">
        <v>1514</v>
      </c>
      <c r="G433" s="53" t="s">
        <v>195</v>
      </c>
      <c r="H433" s="53" t="s">
        <v>1515</v>
      </c>
      <c r="I433" s="53">
        <v>23631085</v>
      </c>
      <c r="J433" s="53">
        <v>13207634</v>
      </c>
      <c r="K433" s="53"/>
      <c r="L433" s="55">
        <v>45293</v>
      </c>
      <c r="M433" s="55">
        <v>45293</v>
      </c>
      <c r="N433" s="53" t="s">
        <v>1474</v>
      </c>
      <c r="O433" s="56">
        <v>0.01</v>
      </c>
      <c r="P433" s="53">
        <v>20009996</v>
      </c>
      <c r="Q433" s="53" t="s">
        <v>1516</v>
      </c>
      <c r="R433" s="45">
        <v>410</v>
      </c>
      <c r="S433" s="56">
        <v>0.01</v>
      </c>
      <c r="T433" s="47" t="s">
        <v>198</v>
      </c>
      <c r="U433" s="48" t="s">
        <v>199</v>
      </c>
      <c r="V433" s="38"/>
      <c r="W433" s="48" t="s">
        <v>195</v>
      </c>
      <c r="X433" s="38" t="s">
        <v>308</v>
      </c>
      <c r="Y433" s="49" t="s">
        <v>309</v>
      </c>
      <c r="Z433" s="50" t="s">
        <v>1517</v>
      </c>
      <c r="AA433" s="47" t="s">
        <v>1518</v>
      </c>
      <c r="AB433" s="38"/>
      <c r="AC433" s="38"/>
      <c r="AD433" s="51">
        <v>20</v>
      </c>
      <c r="AE433" s="51">
        <v>20</v>
      </c>
      <c r="AF433" s="48" t="s">
        <v>203</v>
      </c>
      <c r="AG433" s="38" t="s">
        <v>204</v>
      </c>
      <c r="AH433" s="52"/>
      <c r="AI433" s="38"/>
      <c r="AJ433" s="38"/>
    </row>
    <row r="434" spans="1:36" ht="16.2">
      <c r="A434" s="42" t="s">
        <v>340</v>
      </c>
      <c r="B434" s="42">
        <v>710324</v>
      </c>
      <c r="C434" s="42" t="s">
        <v>1471</v>
      </c>
      <c r="D434" s="42">
        <v>13207634</v>
      </c>
      <c r="E434" s="43" t="s">
        <v>1472</v>
      </c>
      <c r="F434" s="42" t="s">
        <v>1519</v>
      </c>
      <c r="G434" s="42" t="s">
        <v>195</v>
      </c>
      <c r="H434" s="42"/>
      <c r="I434" s="42"/>
      <c r="J434" s="42">
        <v>13207634</v>
      </c>
      <c r="K434" s="42"/>
      <c r="L434" s="44">
        <v>45293</v>
      </c>
      <c r="M434" s="44">
        <v>45293</v>
      </c>
      <c r="N434" s="42" t="s">
        <v>1474</v>
      </c>
      <c r="O434" s="42">
        <v>0</v>
      </c>
      <c r="P434" s="42">
        <v>20009996</v>
      </c>
      <c r="Q434" s="42" t="s">
        <v>1520</v>
      </c>
      <c r="R434" s="45">
        <v>410</v>
      </c>
      <c r="S434" s="42">
        <v>0</v>
      </c>
      <c r="T434" s="47" t="s">
        <v>198</v>
      </c>
      <c r="U434" s="48" t="s">
        <v>199</v>
      </c>
      <c r="V434" s="38"/>
      <c r="W434" s="48" t="s">
        <v>195</v>
      </c>
      <c r="X434" s="38" t="s">
        <v>308</v>
      </c>
      <c r="Y434" s="49" t="s">
        <v>309</v>
      </c>
      <c r="Z434" s="50" t="s">
        <v>1521</v>
      </c>
      <c r="AA434" s="38"/>
      <c r="AB434" s="38"/>
      <c r="AC434" s="38"/>
      <c r="AD434" s="51">
        <v>20</v>
      </c>
      <c r="AE434" s="51">
        <v>20</v>
      </c>
      <c r="AF434" s="48" t="s">
        <v>203</v>
      </c>
      <c r="AG434" s="38" t="s">
        <v>204</v>
      </c>
      <c r="AH434" s="52"/>
      <c r="AI434" s="38"/>
      <c r="AJ434" s="38"/>
    </row>
    <row r="435" spans="1:36" ht="16.2">
      <c r="A435" s="53" t="s">
        <v>340</v>
      </c>
      <c r="B435" s="53">
        <v>710324</v>
      </c>
      <c r="C435" s="53" t="s">
        <v>1471</v>
      </c>
      <c r="D435" s="53">
        <v>13207634</v>
      </c>
      <c r="E435" s="54" t="s">
        <v>1472</v>
      </c>
      <c r="F435" s="53" t="s">
        <v>1522</v>
      </c>
      <c r="G435" s="53" t="s">
        <v>195</v>
      </c>
      <c r="H435" s="53"/>
      <c r="I435" s="53"/>
      <c r="J435" s="53">
        <v>13207634</v>
      </c>
      <c r="K435" s="53"/>
      <c r="L435" s="55">
        <v>45293</v>
      </c>
      <c r="M435" s="55">
        <v>45293</v>
      </c>
      <c r="N435" s="53" t="s">
        <v>1474</v>
      </c>
      <c r="O435" s="53">
        <v>0</v>
      </c>
      <c r="P435" s="53">
        <v>20009996</v>
      </c>
      <c r="Q435" s="53" t="s">
        <v>1523</v>
      </c>
      <c r="R435" s="45">
        <v>410</v>
      </c>
      <c r="S435" s="56">
        <v>0.01</v>
      </c>
      <c r="T435" s="47" t="s">
        <v>198</v>
      </c>
      <c r="U435" s="48" t="s">
        <v>199</v>
      </c>
      <c r="V435" s="38"/>
      <c r="W435" s="48" t="s">
        <v>195</v>
      </c>
      <c r="X435" s="38" t="s">
        <v>308</v>
      </c>
      <c r="Y435" s="49" t="s">
        <v>309</v>
      </c>
      <c r="Z435" s="50" t="s">
        <v>1524</v>
      </c>
      <c r="AA435" s="38"/>
      <c r="AB435" s="38"/>
      <c r="AC435" s="38"/>
      <c r="AD435" s="51">
        <v>20</v>
      </c>
      <c r="AE435" s="51">
        <v>20</v>
      </c>
      <c r="AF435" s="48" t="s">
        <v>203</v>
      </c>
      <c r="AG435" s="38" t="s">
        <v>204</v>
      </c>
      <c r="AH435" s="52"/>
      <c r="AI435" s="38"/>
      <c r="AJ435" s="38"/>
    </row>
    <row r="436" spans="1:36" ht="16.2">
      <c r="A436" s="42" t="s">
        <v>340</v>
      </c>
      <c r="B436" s="42">
        <v>710324</v>
      </c>
      <c r="C436" s="42" t="s">
        <v>1471</v>
      </c>
      <c r="D436" s="42">
        <v>13207634</v>
      </c>
      <c r="E436" s="43" t="s">
        <v>1472</v>
      </c>
      <c r="F436" s="42" t="s">
        <v>1525</v>
      </c>
      <c r="G436" s="42" t="s">
        <v>195</v>
      </c>
      <c r="H436" s="42"/>
      <c r="I436" s="42"/>
      <c r="J436" s="42">
        <v>13207634</v>
      </c>
      <c r="K436" s="42"/>
      <c r="L436" s="44">
        <v>45293</v>
      </c>
      <c r="M436" s="44">
        <v>45293</v>
      </c>
      <c r="N436" s="42" t="s">
        <v>1474</v>
      </c>
      <c r="O436" s="42">
        <v>0</v>
      </c>
      <c r="P436" s="42">
        <v>20009996</v>
      </c>
      <c r="Q436" s="42" t="s">
        <v>1526</v>
      </c>
      <c r="R436" s="45">
        <v>410</v>
      </c>
      <c r="S436" s="46">
        <v>0.01</v>
      </c>
      <c r="T436" s="47" t="s">
        <v>198</v>
      </c>
      <c r="U436" s="48" t="s">
        <v>199</v>
      </c>
      <c r="V436" s="38"/>
      <c r="W436" s="48" t="s">
        <v>195</v>
      </c>
      <c r="X436" s="38" t="s">
        <v>308</v>
      </c>
      <c r="Y436" s="49" t="s">
        <v>309</v>
      </c>
      <c r="Z436" s="50" t="s">
        <v>1527</v>
      </c>
      <c r="AA436" s="38"/>
      <c r="AB436" s="38"/>
      <c r="AC436" s="38"/>
      <c r="AD436" s="51">
        <v>20</v>
      </c>
      <c r="AE436" s="51">
        <v>20</v>
      </c>
      <c r="AF436" s="48" t="s">
        <v>203</v>
      </c>
      <c r="AG436" s="38" t="s">
        <v>204</v>
      </c>
      <c r="AH436" s="52"/>
      <c r="AI436" s="38"/>
      <c r="AJ436" s="38"/>
    </row>
    <row r="437" spans="1:36" ht="16.2">
      <c r="A437" s="53" t="s">
        <v>857</v>
      </c>
      <c r="B437" s="53">
        <v>710319</v>
      </c>
      <c r="C437" s="53" t="s">
        <v>1471</v>
      </c>
      <c r="D437" s="53">
        <v>13207688</v>
      </c>
      <c r="E437" s="54" t="s">
        <v>1472</v>
      </c>
      <c r="F437" s="53" t="s">
        <v>1528</v>
      </c>
      <c r="G437" s="53" t="s">
        <v>195</v>
      </c>
      <c r="H437" s="53"/>
      <c r="I437" s="53"/>
      <c r="J437" s="53">
        <v>13207688</v>
      </c>
      <c r="K437" s="53"/>
      <c r="L437" s="55">
        <v>45293</v>
      </c>
      <c r="M437" s="55">
        <v>45293</v>
      </c>
      <c r="N437" s="53" t="s">
        <v>1529</v>
      </c>
      <c r="O437" s="53">
        <v>0</v>
      </c>
      <c r="P437" s="53">
        <v>20031098</v>
      </c>
      <c r="Q437" s="53" t="s">
        <v>1530</v>
      </c>
      <c r="R437" s="45">
        <v>410</v>
      </c>
      <c r="S437" s="56">
        <v>0.01</v>
      </c>
      <c r="T437" s="47" t="s">
        <v>198</v>
      </c>
      <c r="U437" s="48" t="s">
        <v>199</v>
      </c>
      <c r="V437" s="38"/>
      <c r="W437" s="48" t="s">
        <v>195</v>
      </c>
      <c r="X437" s="38" t="s">
        <v>426</v>
      </c>
      <c r="Y437" s="49" t="s">
        <v>427</v>
      </c>
      <c r="Z437" s="50" t="s">
        <v>1531</v>
      </c>
      <c r="AA437" s="38"/>
      <c r="AB437" s="38"/>
      <c r="AC437" s="38"/>
      <c r="AD437" s="51">
        <v>26</v>
      </c>
      <c r="AE437" s="51">
        <v>26</v>
      </c>
      <c r="AF437" s="48" t="s">
        <v>203</v>
      </c>
      <c r="AG437" s="38" t="s">
        <v>204</v>
      </c>
      <c r="AH437" s="52"/>
      <c r="AI437" s="38"/>
      <c r="AJ437" s="38"/>
    </row>
    <row r="438" spans="1:36" ht="16.2">
      <c r="A438" s="42" t="s">
        <v>857</v>
      </c>
      <c r="B438" s="42">
        <v>710319</v>
      </c>
      <c r="C438" s="42" t="s">
        <v>1471</v>
      </c>
      <c r="D438" s="42">
        <v>13207688</v>
      </c>
      <c r="E438" s="43" t="s">
        <v>1472</v>
      </c>
      <c r="F438" s="42" t="s">
        <v>1532</v>
      </c>
      <c r="G438" s="42" t="s">
        <v>195</v>
      </c>
      <c r="H438" s="42"/>
      <c r="I438" s="42"/>
      <c r="J438" s="42">
        <v>13207688</v>
      </c>
      <c r="K438" s="42"/>
      <c r="L438" s="44">
        <v>45293</v>
      </c>
      <c r="M438" s="44">
        <v>45293</v>
      </c>
      <c r="N438" s="42" t="s">
        <v>1529</v>
      </c>
      <c r="O438" s="42">
        <v>0</v>
      </c>
      <c r="P438" s="42">
        <v>20031098</v>
      </c>
      <c r="Q438" s="42" t="s">
        <v>1533</v>
      </c>
      <c r="R438" s="45">
        <v>410</v>
      </c>
      <c r="S438" s="46">
        <v>0.01</v>
      </c>
      <c r="T438" s="47" t="s">
        <v>198</v>
      </c>
      <c r="U438" s="48" t="s">
        <v>199</v>
      </c>
      <c r="V438" s="38"/>
      <c r="W438" s="48" t="s">
        <v>195</v>
      </c>
      <c r="X438" s="38" t="s">
        <v>426</v>
      </c>
      <c r="Y438" s="49" t="s">
        <v>427</v>
      </c>
      <c r="Z438" s="50" t="s">
        <v>1534</v>
      </c>
      <c r="AA438" s="38"/>
      <c r="AB438" s="38"/>
      <c r="AC438" s="38"/>
      <c r="AD438" s="51">
        <v>26</v>
      </c>
      <c r="AE438" s="51">
        <v>26</v>
      </c>
      <c r="AF438" s="48" t="s">
        <v>203</v>
      </c>
      <c r="AG438" s="38" t="s">
        <v>204</v>
      </c>
      <c r="AH438" s="52"/>
      <c r="AI438" s="38"/>
      <c r="AJ438" s="38"/>
    </row>
    <row r="439" spans="1:36" ht="16.2">
      <c r="A439" s="53" t="s">
        <v>857</v>
      </c>
      <c r="B439" s="53">
        <v>710319</v>
      </c>
      <c r="C439" s="53" t="s">
        <v>1471</v>
      </c>
      <c r="D439" s="53">
        <v>13207688</v>
      </c>
      <c r="E439" s="54" t="s">
        <v>1472</v>
      </c>
      <c r="F439" s="53" t="s">
        <v>1535</v>
      </c>
      <c r="G439" s="53" t="s">
        <v>195</v>
      </c>
      <c r="H439" s="53"/>
      <c r="I439" s="53"/>
      <c r="J439" s="53">
        <v>13207688</v>
      </c>
      <c r="K439" s="53"/>
      <c r="L439" s="55">
        <v>45293</v>
      </c>
      <c r="M439" s="55">
        <v>45293</v>
      </c>
      <c r="N439" s="53" t="s">
        <v>1529</v>
      </c>
      <c r="O439" s="53">
        <v>0</v>
      </c>
      <c r="P439" s="53">
        <v>20031098</v>
      </c>
      <c r="Q439" s="53" t="s">
        <v>1536</v>
      </c>
      <c r="R439" s="45">
        <v>410</v>
      </c>
      <c r="S439" s="56">
        <v>0.01</v>
      </c>
      <c r="T439" s="47" t="s">
        <v>198</v>
      </c>
      <c r="U439" s="48" t="s">
        <v>199</v>
      </c>
      <c r="V439" s="38"/>
      <c r="W439" s="48" t="s">
        <v>195</v>
      </c>
      <c r="X439" s="38" t="s">
        <v>426</v>
      </c>
      <c r="Y439" s="49" t="s">
        <v>427</v>
      </c>
      <c r="Z439" s="50" t="s">
        <v>1537</v>
      </c>
      <c r="AA439" s="38"/>
      <c r="AB439" s="38"/>
      <c r="AC439" s="38"/>
      <c r="AD439" s="51">
        <v>26</v>
      </c>
      <c r="AE439" s="51">
        <v>26</v>
      </c>
      <c r="AF439" s="48" t="s">
        <v>203</v>
      </c>
      <c r="AG439" s="38" t="s">
        <v>204</v>
      </c>
      <c r="AH439" s="52"/>
      <c r="AI439" s="38"/>
      <c r="AJ439" s="38"/>
    </row>
    <row r="440" spans="1:36" ht="16.2">
      <c r="A440" s="42" t="s">
        <v>857</v>
      </c>
      <c r="B440" s="42">
        <v>710319</v>
      </c>
      <c r="C440" s="42" t="s">
        <v>1471</v>
      </c>
      <c r="D440" s="42">
        <v>13207688</v>
      </c>
      <c r="E440" s="43" t="s">
        <v>1472</v>
      </c>
      <c r="F440" s="42" t="s">
        <v>1538</v>
      </c>
      <c r="G440" s="42" t="s">
        <v>195</v>
      </c>
      <c r="H440" s="42"/>
      <c r="I440" s="42"/>
      <c r="J440" s="42">
        <v>13207688</v>
      </c>
      <c r="K440" s="42"/>
      <c r="L440" s="44">
        <v>45293</v>
      </c>
      <c r="M440" s="44">
        <v>45293</v>
      </c>
      <c r="N440" s="42" t="s">
        <v>1529</v>
      </c>
      <c r="O440" s="42">
        <v>0</v>
      </c>
      <c r="P440" s="42">
        <v>20031098</v>
      </c>
      <c r="Q440" s="42" t="s">
        <v>1539</v>
      </c>
      <c r="R440" s="45">
        <v>410</v>
      </c>
      <c r="S440" s="46">
        <v>0.01</v>
      </c>
      <c r="T440" s="47" t="s">
        <v>198</v>
      </c>
      <c r="U440" s="48" t="s">
        <v>199</v>
      </c>
      <c r="V440" s="38"/>
      <c r="W440" s="48" t="s">
        <v>195</v>
      </c>
      <c r="X440" s="38" t="s">
        <v>426</v>
      </c>
      <c r="Y440" s="49" t="s">
        <v>427</v>
      </c>
      <c r="Z440" s="50" t="s">
        <v>1540</v>
      </c>
      <c r="AA440" s="38"/>
      <c r="AB440" s="38"/>
      <c r="AC440" s="38"/>
      <c r="AD440" s="51">
        <v>26</v>
      </c>
      <c r="AE440" s="51">
        <v>26</v>
      </c>
      <c r="AF440" s="48" t="s">
        <v>203</v>
      </c>
      <c r="AG440" s="38" t="s">
        <v>204</v>
      </c>
      <c r="AH440" s="52"/>
      <c r="AI440" s="38"/>
      <c r="AJ440" s="38"/>
    </row>
    <row r="441" spans="1:36" ht="16.2">
      <c r="A441" s="53" t="s">
        <v>857</v>
      </c>
      <c r="B441" s="53">
        <v>710319</v>
      </c>
      <c r="C441" s="53" t="s">
        <v>1471</v>
      </c>
      <c r="D441" s="53">
        <v>13207688</v>
      </c>
      <c r="E441" s="54" t="s">
        <v>1472</v>
      </c>
      <c r="F441" s="53" t="s">
        <v>1541</v>
      </c>
      <c r="G441" s="53" t="s">
        <v>195</v>
      </c>
      <c r="H441" s="53"/>
      <c r="I441" s="53"/>
      <c r="J441" s="53">
        <v>13207688</v>
      </c>
      <c r="K441" s="53"/>
      <c r="L441" s="55">
        <v>45293</v>
      </c>
      <c r="M441" s="55">
        <v>45293</v>
      </c>
      <c r="N441" s="53" t="s">
        <v>1529</v>
      </c>
      <c r="O441" s="53">
        <v>0</v>
      </c>
      <c r="P441" s="53">
        <v>20031098</v>
      </c>
      <c r="Q441" s="53" t="s">
        <v>1542</v>
      </c>
      <c r="R441" s="45">
        <v>410</v>
      </c>
      <c r="S441" s="56">
        <v>0.01</v>
      </c>
      <c r="T441" s="47" t="s">
        <v>198</v>
      </c>
      <c r="U441" s="48" t="s">
        <v>199</v>
      </c>
      <c r="V441" s="38"/>
      <c r="W441" s="48" t="s">
        <v>195</v>
      </c>
      <c r="X441" s="38" t="s">
        <v>426</v>
      </c>
      <c r="Y441" s="49" t="s">
        <v>427</v>
      </c>
      <c r="Z441" s="50" t="s">
        <v>1543</v>
      </c>
      <c r="AA441" s="38"/>
      <c r="AB441" s="38"/>
      <c r="AC441" s="38"/>
      <c r="AD441" s="51">
        <v>26</v>
      </c>
      <c r="AE441" s="51">
        <v>26</v>
      </c>
      <c r="AF441" s="48" t="s">
        <v>203</v>
      </c>
      <c r="AG441" s="38" t="s">
        <v>204</v>
      </c>
      <c r="AH441" s="52"/>
      <c r="AI441" s="38"/>
      <c r="AJ441" s="38"/>
    </row>
    <row r="442" spans="1:36" ht="16.2">
      <c r="A442" s="42" t="s">
        <v>857</v>
      </c>
      <c r="B442" s="42">
        <v>710319</v>
      </c>
      <c r="C442" s="42" t="s">
        <v>1471</v>
      </c>
      <c r="D442" s="42">
        <v>13207688</v>
      </c>
      <c r="E442" s="43" t="s">
        <v>1472</v>
      </c>
      <c r="F442" s="42" t="s">
        <v>1544</v>
      </c>
      <c r="G442" s="42" t="s">
        <v>195</v>
      </c>
      <c r="H442" s="42"/>
      <c r="I442" s="42"/>
      <c r="J442" s="42">
        <v>13207688</v>
      </c>
      <c r="K442" s="42"/>
      <c r="L442" s="44">
        <v>45293</v>
      </c>
      <c r="M442" s="44">
        <v>45293</v>
      </c>
      <c r="N442" s="42" t="s">
        <v>1529</v>
      </c>
      <c r="O442" s="42">
        <v>0</v>
      </c>
      <c r="P442" s="42">
        <v>20031098</v>
      </c>
      <c r="Q442" s="42" t="s">
        <v>1545</v>
      </c>
      <c r="R442" s="45">
        <v>410</v>
      </c>
      <c r="S442" s="46">
        <v>0.01</v>
      </c>
      <c r="T442" s="47" t="s">
        <v>198</v>
      </c>
      <c r="U442" s="48" t="s">
        <v>199</v>
      </c>
      <c r="V442" s="38"/>
      <c r="W442" s="48" t="s">
        <v>195</v>
      </c>
      <c r="X442" s="38" t="s">
        <v>426</v>
      </c>
      <c r="Y442" s="49" t="s">
        <v>427</v>
      </c>
      <c r="Z442" s="50" t="s">
        <v>1546</v>
      </c>
      <c r="AA442" s="38"/>
      <c r="AB442" s="38"/>
      <c r="AC442" s="38"/>
      <c r="AD442" s="51">
        <v>26</v>
      </c>
      <c r="AE442" s="51">
        <v>26</v>
      </c>
      <c r="AF442" s="48" t="s">
        <v>203</v>
      </c>
      <c r="AG442" s="38" t="s">
        <v>204</v>
      </c>
      <c r="AH442" s="52"/>
      <c r="AI442" s="38"/>
      <c r="AJ442" s="38"/>
    </row>
    <row r="443" spans="1:36" ht="16.2">
      <c r="A443" s="53" t="s">
        <v>857</v>
      </c>
      <c r="B443" s="53">
        <v>710319</v>
      </c>
      <c r="C443" s="53" t="s">
        <v>1471</v>
      </c>
      <c r="D443" s="53">
        <v>13207688</v>
      </c>
      <c r="E443" s="54" t="s">
        <v>1472</v>
      </c>
      <c r="F443" s="53" t="s">
        <v>1547</v>
      </c>
      <c r="G443" s="53" t="s">
        <v>195</v>
      </c>
      <c r="H443" s="53"/>
      <c r="I443" s="53"/>
      <c r="J443" s="53">
        <v>13207688</v>
      </c>
      <c r="K443" s="53"/>
      <c r="L443" s="55">
        <v>45293</v>
      </c>
      <c r="M443" s="55">
        <v>45293</v>
      </c>
      <c r="N443" s="53" t="s">
        <v>1529</v>
      </c>
      <c r="O443" s="53">
        <v>0</v>
      </c>
      <c r="P443" s="53">
        <v>20031098</v>
      </c>
      <c r="Q443" s="53" t="s">
        <v>1548</v>
      </c>
      <c r="R443" s="45">
        <v>410</v>
      </c>
      <c r="S443" s="56">
        <v>0.01</v>
      </c>
      <c r="T443" s="47" t="s">
        <v>198</v>
      </c>
      <c r="U443" s="48" t="s">
        <v>199</v>
      </c>
      <c r="V443" s="38"/>
      <c r="W443" s="48" t="s">
        <v>195</v>
      </c>
      <c r="X443" s="38" t="s">
        <v>426</v>
      </c>
      <c r="Y443" s="49" t="s">
        <v>427</v>
      </c>
      <c r="Z443" s="50" t="s">
        <v>1549</v>
      </c>
      <c r="AA443" s="38"/>
      <c r="AB443" s="38"/>
      <c r="AC443" s="38"/>
      <c r="AD443" s="51">
        <v>26</v>
      </c>
      <c r="AE443" s="51">
        <v>26</v>
      </c>
      <c r="AF443" s="48" t="s">
        <v>203</v>
      </c>
      <c r="AG443" s="38" t="s">
        <v>204</v>
      </c>
      <c r="AH443" s="52"/>
      <c r="AI443" s="38"/>
      <c r="AJ443" s="38"/>
    </row>
    <row r="444" spans="1:36" ht="16.2">
      <c r="A444" s="42" t="s">
        <v>857</v>
      </c>
      <c r="B444" s="42">
        <v>710319</v>
      </c>
      <c r="C444" s="42" t="s">
        <v>1471</v>
      </c>
      <c r="D444" s="42">
        <v>13207688</v>
      </c>
      <c r="E444" s="43" t="s">
        <v>1472</v>
      </c>
      <c r="F444" s="42" t="s">
        <v>1550</v>
      </c>
      <c r="G444" s="42" t="s">
        <v>195</v>
      </c>
      <c r="H444" s="42"/>
      <c r="I444" s="42"/>
      <c r="J444" s="42">
        <v>13207688</v>
      </c>
      <c r="K444" s="42"/>
      <c r="L444" s="44">
        <v>45293</v>
      </c>
      <c r="M444" s="44">
        <v>45293</v>
      </c>
      <c r="N444" s="42" t="s">
        <v>1529</v>
      </c>
      <c r="O444" s="42">
        <v>0</v>
      </c>
      <c r="P444" s="42">
        <v>20031098</v>
      </c>
      <c r="Q444" s="42" t="s">
        <v>1551</v>
      </c>
      <c r="R444" s="45">
        <v>410</v>
      </c>
      <c r="S444" s="46">
        <v>0.01</v>
      </c>
      <c r="T444" s="47" t="s">
        <v>198</v>
      </c>
      <c r="U444" s="48" t="s">
        <v>199</v>
      </c>
      <c r="V444" s="38"/>
      <c r="W444" s="48" t="s">
        <v>195</v>
      </c>
      <c r="X444" s="38" t="s">
        <v>426</v>
      </c>
      <c r="Y444" s="49" t="s">
        <v>427</v>
      </c>
      <c r="Z444" s="50" t="s">
        <v>1552</v>
      </c>
      <c r="AA444" s="38"/>
      <c r="AB444" s="38"/>
      <c r="AC444" s="38"/>
      <c r="AD444" s="51">
        <v>26</v>
      </c>
      <c r="AE444" s="51">
        <v>26</v>
      </c>
      <c r="AF444" s="48" t="s">
        <v>203</v>
      </c>
      <c r="AG444" s="38" t="s">
        <v>204</v>
      </c>
      <c r="AH444" s="52"/>
      <c r="AI444" s="38"/>
      <c r="AJ444" s="38"/>
    </row>
    <row r="445" spans="1:36" ht="16.2">
      <c r="A445" s="53" t="s">
        <v>857</v>
      </c>
      <c r="B445" s="53">
        <v>710319</v>
      </c>
      <c r="C445" s="53" t="s">
        <v>1471</v>
      </c>
      <c r="D445" s="53">
        <v>13207688</v>
      </c>
      <c r="E445" s="54" t="s">
        <v>1472</v>
      </c>
      <c r="F445" s="53" t="s">
        <v>1553</v>
      </c>
      <c r="G445" s="53" t="s">
        <v>195</v>
      </c>
      <c r="H445" s="53"/>
      <c r="I445" s="53"/>
      <c r="J445" s="53">
        <v>13207688</v>
      </c>
      <c r="K445" s="53"/>
      <c r="L445" s="55">
        <v>45293</v>
      </c>
      <c r="M445" s="55">
        <v>45293</v>
      </c>
      <c r="N445" s="53" t="s">
        <v>1529</v>
      </c>
      <c r="O445" s="53">
        <v>0</v>
      </c>
      <c r="P445" s="53">
        <v>20031098</v>
      </c>
      <c r="Q445" s="53" t="s">
        <v>1554</v>
      </c>
      <c r="R445" s="45">
        <v>410</v>
      </c>
      <c r="S445" s="56">
        <v>0.01</v>
      </c>
      <c r="T445" s="47" t="s">
        <v>198</v>
      </c>
      <c r="U445" s="48" t="s">
        <v>199</v>
      </c>
      <c r="V445" s="38"/>
      <c r="W445" s="48" t="s">
        <v>195</v>
      </c>
      <c r="X445" s="38" t="s">
        <v>426</v>
      </c>
      <c r="Y445" s="49" t="s">
        <v>427</v>
      </c>
      <c r="Z445" s="50" t="s">
        <v>1555</v>
      </c>
      <c r="AA445" s="38"/>
      <c r="AB445" s="38"/>
      <c r="AC445" s="38"/>
      <c r="AD445" s="51">
        <v>26</v>
      </c>
      <c r="AE445" s="51">
        <v>26</v>
      </c>
      <c r="AF445" s="48" t="s">
        <v>203</v>
      </c>
      <c r="AG445" s="38" t="s">
        <v>204</v>
      </c>
      <c r="AH445" s="52"/>
      <c r="AI445" s="38"/>
      <c r="AJ445" s="38"/>
    </row>
    <row r="446" spans="1:36" ht="16.2">
      <c r="A446" s="42" t="s">
        <v>857</v>
      </c>
      <c r="B446" s="42">
        <v>710319</v>
      </c>
      <c r="C446" s="42" t="s">
        <v>1471</v>
      </c>
      <c r="D446" s="42">
        <v>13207688</v>
      </c>
      <c r="E446" s="43" t="s">
        <v>1472</v>
      </c>
      <c r="F446" s="42" t="s">
        <v>352</v>
      </c>
      <c r="G446" s="42" t="s">
        <v>195</v>
      </c>
      <c r="H446" s="42"/>
      <c r="I446" s="42"/>
      <c r="J446" s="42">
        <v>13207688</v>
      </c>
      <c r="K446" s="42"/>
      <c r="L446" s="44">
        <v>45293</v>
      </c>
      <c r="M446" s="44">
        <v>45293</v>
      </c>
      <c r="N446" s="42" t="s">
        <v>1529</v>
      </c>
      <c r="O446" s="42">
        <v>0</v>
      </c>
      <c r="P446" s="42">
        <v>20031098</v>
      </c>
      <c r="Q446" s="42" t="s">
        <v>1556</v>
      </c>
      <c r="R446" s="45">
        <v>410</v>
      </c>
      <c r="S446" s="46">
        <v>0.01</v>
      </c>
      <c r="T446" s="47" t="s">
        <v>198</v>
      </c>
      <c r="U446" s="48" t="s">
        <v>199</v>
      </c>
      <c r="V446" s="38"/>
      <c r="W446" s="48" t="s">
        <v>195</v>
      </c>
      <c r="X446" s="38" t="s">
        <v>426</v>
      </c>
      <c r="Y446" s="49" t="s">
        <v>427</v>
      </c>
      <c r="Z446" s="50" t="s">
        <v>1557</v>
      </c>
      <c r="AA446" s="38"/>
      <c r="AB446" s="38"/>
      <c r="AC446" s="38"/>
      <c r="AD446" s="51">
        <v>26</v>
      </c>
      <c r="AE446" s="51">
        <v>26</v>
      </c>
      <c r="AF446" s="48" t="s">
        <v>203</v>
      </c>
      <c r="AG446" s="38" t="s">
        <v>204</v>
      </c>
      <c r="AH446" s="52"/>
      <c r="AI446" s="38"/>
      <c r="AJ446" s="38"/>
    </row>
    <row r="447" spans="1:36" ht="16.2">
      <c r="A447" s="53" t="s">
        <v>857</v>
      </c>
      <c r="B447" s="53">
        <v>710319</v>
      </c>
      <c r="C447" s="53" t="s">
        <v>1471</v>
      </c>
      <c r="D447" s="53">
        <v>13207688</v>
      </c>
      <c r="E447" s="54" t="s">
        <v>1472</v>
      </c>
      <c r="F447" s="53" t="s">
        <v>1558</v>
      </c>
      <c r="G447" s="53" t="s">
        <v>195</v>
      </c>
      <c r="H447" s="53"/>
      <c r="I447" s="53"/>
      <c r="J447" s="53">
        <v>13207688</v>
      </c>
      <c r="K447" s="53"/>
      <c r="L447" s="55">
        <v>45293</v>
      </c>
      <c r="M447" s="55">
        <v>45293</v>
      </c>
      <c r="N447" s="53" t="s">
        <v>1529</v>
      </c>
      <c r="O447" s="53">
        <v>0</v>
      </c>
      <c r="P447" s="53">
        <v>20031098</v>
      </c>
      <c r="Q447" s="53" t="s">
        <v>1559</v>
      </c>
      <c r="R447" s="45">
        <v>410</v>
      </c>
      <c r="S447" s="56">
        <v>0.01</v>
      </c>
      <c r="T447" s="47" t="s">
        <v>198</v>
      </c>
      <c r="U447" s="48" t="s">
        <v>199</v>
      </c>
      <c r="V447" s="38"/>
      <c r="W447" s="48" t="s">
        <v>195</v>
      </c>
      <c r="X447" s="38" t="s">
        <v>426</v>
      </c>
      <c r="Y447" s="49" t="s">
        <v>427</v>
      </c>
      <c r="Z447" s="50" t="s">
        <v>1560</v>
      </c>
      <c r="AA447" s="38"/>
      <c r="AB447" s="38"/>
      <c r="AC447" s="38"/>
      <c r="AD447" s="51">
        <v>26</v>
      </c>
      <c r="AE447" s="51">
        <v>26</v>
      </c>
      <c r="AF447" s="48" t="s">
        <v>203</v>
      </c>
      <c r="AG447" s="38" t="s">
        <v>204</v>
      </c>
      <c r="AH447" s="52"/>
      <c r="AI447" s="38"/>
      <c r="AJ447" s="38"/>
    </row>
    <row r="448" spans="1:36" ht="16.2">
      <c r="A448" s="42" t="s">
        <v>857</v>
      </c>
      <c r="B448" s="42">
        <v>710319</v>
      </c>
      <c r="C448" s="42" t="s">
        <v>1471</v>
      </c>
      <c r="D448" s="42">
        <v>13207688</v>
      </c>
      <c r="E448" s="43" t="s">
        <v>1472</v>
      </c>
      <c r="F448" s="42" t="s">
        <v>1561</v>
      </c>
      <c r="G448" s="42" t="s">
        <v>195</v>
      </c>
      <c r="H448" s="42"/>
      <c r="I448" s="42"/>
      <c r="J448" s="42">
        <v>13207688</v>
      </c>
      <c r="K448" s="42"/>
      <c r="L448" s="44">
        <v>45293</v>
      </c>
      <c r="M448" s="44">
        <v>45293</v>
      </c>
      <c r="N448" s="42" t="s">
        <v>1529</v>
      </c>
      <c r="O448" s="42">
        <v>0</v>
      </c>
      <c r="P448" s="42">
        <v>20031098</v>
      </c>
      <c r="Q448" s="42" t="s">
        <v>1562</v>
      </c>
      <c r="R448" s="45">
        <v>410</v>
      </c>
      <c r="S448" s="46">
        <v>0.01</v>
      </c>
      <c r="T448" s="47" t="s">
        <v>198</v>
      </c>
      <c r="U448" s="48" t="s">
        <v>199</v>
      </c>
      <c r="V448" s="38"/>
      <c r="W448" s="48" t="s">
        <v>195</v>
      </c>
      <c r="X448" s="38" t="s">
        <v>426</v>
      </c>
      <c r="Y448" s="49" t="s">
        <v>427</v>
      </c>
      <c r="Z448" s="50" t="s">
        <v>1563</v>
      </c>
      <c r="AA448" s="38"/>
      <c r="AB448" s="38"/>
      <c r="AC448" s="38"/>
      <c r="AD448" s="51">
        <v>26</v>
      </c>
      <c r="AE448" s="51">
        <v>26</v>
      </c>
      <c r="AF448" s="48" t="s">
        <v>203</v>
      </c>
      <c r="AG448" s="38" t="s">
        <v>204</v>
      </c>
      <c r="AH448" s="52"/>
      <c r="AI448" s="38"/>
      <c r="AJ448" s="38"/>
    </row>
    <row r="449" spans="1:36" ht="16.2">
      <c r="A449" s="53" t="s">
        <v>857</v>
      </c>
      <c r="B449" s="53">
        <v>710319</v>
      </c>
      <c r="C449" s="53" t="s">
        <v>1471</v>
      </c>
      <c r="D449" s="53">
        <v>13207688</v>
      </c>
      <c r="E449" s="54" t="s">
        <v>1472</v>
      </c>
      <c r="F449" s="53" t="s">
        <v>1564</v>
      </c>
      <c r="G449" s="53" t="s">
        <v>195</v>
      </c>
      <c r="H449" s="53"/>
      <c r="I449" s="53"/>
      <c r="J449" s="53">
        <v>13207688</v>
      </c>
      <c r="K449" s="53"/>
      <c r="L449" s="55">
        <v>45293</v>
      </c>
      <c r="M449" s="55">
        <v>45293</v>
      </c>
      <c r="N449" s="53" t="s">
        <v>1529</v>
      </c>
      <c r="O449" s="53">
        <v>0</v>
      </c>
      <c r="P449" s="53">
        <v>20031098</v>
      </c>
      <c r="Q449" s="53" t="s">
        <v>1565</v>
      </c>
      <c r="R449" s="45">
        <v>410</v>
      </c>
      <c r="S449" s="56">
        <v>0.01</v>
      </c>
      <c r="T449" s="47" t="s">
        <v>198</v>
      </c>
      <c r="U449" s="48" t="s">
        <v>199</v>
      </c>
      <c r="V449" s="38"/>
      <c r="W449" s="48" t="s">
        <v>195</v>
      </c>
      <c r="X449" s="38" t="s">
        <v>426</v>
      </c>
      <c r="Y449" s="49" t="s">
        <v>427</v>
      </c>
      <c r="Z449" s="50" t="s">
        <v>1566</v>
      </c>
      <c r="AA449" s="38"/>
      <c r="AB449" s="38"/>
      <c r="AC449" s="38"/>
      <c r="AD449" s="51">
        <v>26</v>
      </c>
      <c r="AE449" s="51">
        <v>26</v>
      </c>
      <c r="AF449" s="48" t="s">
        <v>203</v>
      </c>
      <c r="AG449" s="38" t="s">
        <v>204</v>
      </c>
      <c r="AH449" s="52"/>
      <c r="AI449" s="38"/>
      <c r="AJ449" s="38"/>
    </row>
    <row r="450" spans="1:36" ht="16.2">
      <c r="A450" s="42" t="s">
        <v>857</v>
      </c>
      <c r="B450" s="42">
        <v>710319</v>
      </c>
      <c r="C450" s="42" t="s">
        <v>1471</v>
      </c>
      <c r="D450" s="42">
        <v>13207688</v>
      </c>
      <c r="E450" s="43" t="s">
        <v>1472</v>
      </c>
      <c r="F450" s="42" t="s">
        <v>1567</v>
      </c>
      <c r="G450" s="42" t="s">
        <v>195</v>
      </c>
      <c r="H450" s="42"/>
      <c r="I450" s="42"/>
      <c r="J450" s="42">
        <v>13207688</v>
      </c>
      <c r="K450" s="42"/>
      <c r="L450" s="44">
        <v>45293</v>
      </c>
      <c r="M450" s="44">
        <v>45293</v>
      </c>
      <c r="N450" s="42" t="s">
        <v>1529</v>
      </c>
      <c r="O450" s="42">
        <v>0</v>
      </c>
      <c r="P450" s="42">
        <v>20031098</v>
      </c>
      <c r="Q450" s="42" t="s">
        <v>1568</v>
      </c>
      <c r="R450" s="45">
        <v>410</v>
      </c>
      <c r="S450" s="46">
        <v>0.01</v>
      </c>
      <c r="T450" s="47" t="s">
        <v>198</v>
      </c>
      <c r="U450" s="48" t="s">
        <v>199</v>
      </c>
      <c r="V450" s="38"/>
      <c r="W450" s="48" t="s">
        <v>195</v>
      </c>
      <c r="X450" s="38" t="s">
        <v>426</v>
      </c>
      <c r="Y450" s="49" t="s">
        <v>427</v>
      </c>
      <c r="Z450" s="50" t="s">
        <v>1569</v>
      </c>
      <c r="AA450" s="38"/>
      <c r="AB450" s="38"/>
      <c r="AC450" s="38"/>
      <c r="AD450" s="51">
        <v>26</v>
      </c>
      <c r="AE450" s="51">
        <v>26</v>
      </c>
      <c r="AF450" s="48" t="s">
        <v>203</v>
      </c>
      <c r="AG450" s="38" t="s">
        <v>204</v>
      </c>
      <c r="AH450" s="52"/>
      <c r="AI450" s="38"/>
      <c r="AJ450" s="38"/>
    </row>
    <row r="451" spans="1:36" ht="16.2">
      <c r="A451" s="53" t="s">
        <v>857</v>
      </c>
      <c r="B451" s="53">
        <v>710319</v>
      </c>
      <c r="C451" s="53" t="s">
        <v>1471</v>
      </c>
      <c r="D451" s="53">
        <v>13207688</v>
      </c>
      <c r="E451" s="54" t="s">
        <v>1472</v>
      </c>
      <c r="F451" s="53" t="s">
        <v>1570</v>
      </c>
      <c r="G451" s="53" t="s">
        <v>195</v>
      </c>
      <c r="H451" s="53"/>
      <c r="I451" s="53"/>
      <c r="J451" s="53">
        <v>13207688</v>
      </c>
      <c r="K451" s="53"/>
      <c r="L451" s="55">
        <v>45293</v>
      </c>
      <c r="M451" s="55">
        <v>45293</v>
      </c>
      <c r="N451" s="53" t="s">
        <v>1529</v>
      </c>
      <c r="O451" s="53">
        <v>0</v>
      </c>
      <c r="P451" s="53">
        <v>20031098</v>
      </c>
      <c r="Q451" s="53" t="s">
        <v>1571</v>
      </c>
      <c r="R451" s="45">
        <v>410</v>
      </c>
      <c r="S451" s="56">
        <v>0.01</v>
      </c>
      <c r="T451" s="47" t="s">
        <v>198</v>
      </c>
      <c r="U451" s="48" t="s">
        <v>199</v>
      </c>
      <c r="V451" s="38"/>
      <c r="W451" s="48" t="s">
        <v>195</v>
      </c>
      <c r="X451" s="38" t="s">
        <v>426</v>
      </c>
      <c r="Y451" s="49" t="s">
        <v>427</v>
      </c>
      <c r="Z451" s="50" t="s">
        <v>1572</v>
      </c>
      <c r="AA451" s="38"/>
      <c r="AB451" s="38"/>
      <c r="AC451" s="38"/>
      <c r="AD451" s="51">
        <v>26</v>
      </c>
      <c r="AE451" s="51">
        <v>26</v>
      </c>
      <c r="AF451" s="48" t="s">
        <v>203</v>
      </c>
      <c r="AG451" s="38" t="s">
        <v>204</v>
      </c>
      <c r="AH451" s="52"/>
      <c r="AI451" s="38"/>
      <c r="AJ451" s="38"/>
    </row>
    <row r="452" spans="1:36" ht="16.2">
      <c r="A452" s="42" t="s">
        <v>857</v>
      </c>
      <c r="B452" s="42">
        <v>710319</v>
      </c>
      <c r="C452" s="42" t="s">
        <v>1471</v>
      </c>
      <c r="D452" s="42">
        <v>13207688</v>
      </c>
      <c r="E452" s="43" t="s">
        <v>1472</v>
      </c>
      <c r="F452" s="42" t="s">
        <v>1573</v>
      </c>
      <c r="G452" s="42" t="s">
        <v>195</v>
      </c>
      <c r="H452" s="42" t="s">
        <v>1574</v>
      </c>
      <c r="I452" s="42"/>
      <c r="J452" s="42">
        <v>13207688</v>
      </c>
      <c r="K452" s="42"/>
      <c r="L452" s="44">
        <v>45293</v>
      </c>
      <c r="M452" s="44">
        <v>45293</v>
      </c>
      <c r="N452" s="42" t="s">
        <v>1529</v>
      </c>
      <c r="O452" s="42">
        <v>0</v>
      </c>
      <c r="P452" s="42">
        <v>20031098</v>
      </c>
      <c r="Q452" s="42" t="s">
        <v>1575</v>
      </c>
      <c r="R452" s="45">
        <v>410</v>
      </c>
      <c r="S452" s="46">
        <v>0.01</v>
      </c>
      <c r="T452" s="47" t="s">
        <v>198</v>
      </c>
      <c r="U452" s="48" t="s">
        <v>199</v>
      </c>
      <c r="V452" s="38"/>
      <c r="W452" s="48" t="s">
        <v>195</v>
      </c>
      <c r="X452" s="38" t="s">
        <v>426</v>
      </c>
      <c r="Y452" s="49" t="s">
        <v>427</v>
      </c>
      <c r="Z452" s="50" t="s">
        <v>1576</v>
      </c>
      <c r="AA452" s="47" t="s">
        <v>1577</v>
      </c>
      <c r="AB452" s="47" t="s">
        <v>1578</v>
      </c>
      <c r="AC452" s="38"/>
      <c r="AD452" s="51">
        <v>26</v>
      </c>
      <c r="AE452" s="51">
        <v>26</v>
      </c>
      <c r="AF452" s="48" t="s">
        <v>203</v>
      </c>
      <c r="AG452" s="38" t="s">
        <v>204</v>
      </c>
      <c r="AH452" s="52"/>
      <c r="AI452" s="38"/>
      <c r="AJ452" s="38"/>
    </row>
    <row r="453" spans="1:36" ht="16.2">
      <c r="A453" s="53" t="s">
        <v>857</v>
      </c>
      <c r="B453" s="53">
        <v>710319</v>
      </c>
      <c r="C453" s="53" t="s">
        <v>1471</v>
      </c>
      <c r="D453" s="53">
        <v>13207688</v>
      </c>
      <c r="E453" s="54" t="s">
        <v>1472</v>
      </c>
      <c r="F453" s="53" t="s">
        <v>1579</v>
      </c>
      <c r="G453" s="53" t="s">
        <v>195</v>
      </c>
      <c r="H453" s="53"/>
      <c r="I453" s="53"/>
      <c r="J453" s="53">
        <v>13207688</v>
      </c>
      <c r="K453" s="53"/>
      <c r="L453" s="55">
        <v>45293</v>
      </c>
      <c r="M453" s="55">
        <v>45293</v>
      </c>
      <c r="N453" s="53" t="s">
        <v>1529</v>
      </c>
      <c r="O453" s="53">
        <v>0</v>
      </c>
      <c r="P453" s="53">
        <v>20031098</v>
      </c>
      <c r="Q453" s="53" t="s">
        <v>1580</v>
      </c>
      <c r="R453" s="45">
        <v>410</v>
      </c>
      <c r="S453" s="56">
        <v>0.01</v>
      </c>
      <c r="T453" s="47" t="s">
        <v>198</v>
      </c>
      <c r="U453" s="48" t="s">
        <v>199</v>
      </c>
      <c r="V453" s="38"/>
      <c r="W453" s="48" t="s">
        <v>195</v>
      </c>
      <c r="X453" s="38" t="s">
        <v>426</v>
      </c>
      <c r="Y453" s="49" t="s">
        <v>427</v>
      </c>
      <c r="Z453" s="50" t="s">
        <v>1581</v>
      </c>
      <c r="AA453" s="38"/>
      <c r="AB453" s="38"/>
      <c r="AC453" s="38"/>
      <c r="AD453" s="51">
        <v>26</v>
      </c>
      <c r="AE453" s="51">
        <v>26</v>
      </c>
      <c r="AF453" s="48" t="s">
        <v>203</v>
      </c>
      <c r="AG453" s="38" t="s">
        <v>204</v>
      </c>
      <c r="AH453" s="52"/>
      <c r="AI453" s="38"/>
      <c r="AJ453" s="38"/>
    </row>
    <row r="454" spans="1:36" ht="16.2">
      <c r="A454" s="42" t="s">
        <v>191</v>
      </c>
      <c r="B454" s="42">
        <v>710315</v>
      </c>
      <c r="C454" s="42" t="s">
        <v>1582</v>
      </c>
      <c r="D454" s="42">
        <v>13207715</v>
      </c>
      <c r="E454" s="43" t="s">
        <v>1583</v>
      </c>
      <c r="F454" s="42" t="s">
        <v>1584</v>
      </c>
      <c r="G454" s="42" t="s">
        <v>195</v>
      </c>
      <c r="H454" s="42"/>
      <c r="I454" s="42"/>
      <c r="J454" s="42">
        <v>13207715</v>
      </c>
      <c r="K454" s="42"/>
      <c r="L454" s="44">
        <v>45293</v>
      </c>
      <c r="M454" s="44">
        <v>45293</v>
      </c>
      <c r="N454" s="42" t="s">
        <v>1585</v>
      </c>
      <c r="O454" s="42">
        <v>0</v>
      </c>
      <c r="P454" s="42">
        <v>20069604</v>
      </c>
      <c r="Q454" s="42" t="s">
        <v>1586</v>
      </c>
      <c r="R454" s="45">
        <v>410</v>
      </c>
      <c r="S454" s="46">
        <v>0.01</v>
      </c>
      <c r="T454" s="47" t="s">
        <v>198</v>
      </c>
      <c r="U454" s="48" t="s">
        <v>199</v>
      </c>
      <c r="V454" s="38"/>
      <c r="W454" s="48" t="s">
        <v>195</v>
      </c>
      <c r="X454" s="38" t="s">
        <v>200</v>
      </c>
      <c r="Y454" s="49" t="s">
        <v>201</v>
      </c>
      <c r="Z454" s="50" t="s">
        <v>1587</v>
      </c>
      <c r="AA454" s="38"/>
      <c r="AB454" s="38"/>
      <c r="AC454" s="38"/>
      <c r="AD454" s="51">
        <v>15</v>
      </c>
      <c r="AE454" s="51">
        <v>15</v>
      </c>
      <c r="AF454" s="48" t="s">
        <v>203</v>
      </c>
      <c r="AG454" s="38" t="s">
        <v>204</v>
      </c>
      <c r="AH454" s="52"/>
      <c r="AI454" s="38"/>
      <c r="AJ454" s="38"/>
    </row>
    <row r="455" spans="1:36" ht="16.2">
      <c r="A455" s="53" t="s">
        <v>191</v>
      </c>
      <c r="B455" s="53">
        <v>710315</v>
      </c>
      <c r="C455" s="53" t="s">
        <v>1582</v>
      </c>
      <c r="D455" s="53">
        <v>13207715</v>
      </c>
      <c r="E455" s="54" t="s">
        <v>1583</v>
      </c>
      <c r="F455" s="53" t="s">
        <v>1588</v>
      </c>
      <c r="G455" s="53" t="s">
        <v>195</v>
      </c>
      <c r="H455" s="53"/>
      <c r="I455" s="53"/>
      <c r="J455" s="53">
        <v>13207715</v>
      </c>
      <c r="K455" s="53"/>
      <c r="L455" s="55">
        <v>45293</v>
      </c>
      <c r="M455" s="55">
        <v>45293</v>
      </c>
      <c r="N455" s="53" t="s">
        <v>1585</v>
      </c>
      <c r="O455" s="53">
        <v>0</v>
      </c>
      <c r="P455" s="53">
        <v>20069604</v>
      </c>
      <c r="Q455" s="53" t="s">
        <v>1589</v>
      </c>
      <c r="R455" s="45">
        <v>410</v>
      </c>
      <c r="S455" s="56">
        <v>0.01</v>
      </c>
      <c r="T455" s="47" t="s">
        <v>198</v>
      </c>
      <c r="U455" s="48" t="s">
        <v>199</v>
      </c>
      <c r="V455" s="38"/>
      <c r="W455" s="48" t="s">
        <v>195</v>
      </c>
      <c r="X455" s="38" t="s">
        <v>200</v>
      </c>
      <c r="Y455" s="49" t="s">
        <v>201</v>
      </c>
      <c r="Z455" s="50" t="s">
        <v>1590</v>
      </c>
      <c r="AA455" s="38"/>
      <c r="AB455" s="38"/>
      <c r="AC455" s="38"/>
      <c r="AD455" s="51">
        <v>15</v>
      </c>
      <c r="AE455" s="51">
        <v>15</v>
      </c>
      <c r="AF455" s="48" t="s">
        <v>203</v>
      </c>
      <c r="AG455" s="38" t="s">
        <v>204</v>
      </c>
      <c r="AH455" s="52"/>
      <c r="AI455" s="38"/>
      <c r="AJ455" s="38"/>
    </row>
    <row r="456" spans="1:36" ht="16.2">
      <c r="A456" s="42" t="s">
        <v>191</v>
      </c>
      <c r="B456" s="42">
        <v>710315</v>
      </c>
      <c r="C456" s="42" t="s">
        <v>1582</v>
      </c>
      <c r="D456" s="42">
        <v>13207715</v>
      </c>
      <c r="E456" s="43" t="s">
        <v>1583</v>
      </c>
      <c r="F456" s="42" t="s">
        <v>1591</v>
      </c>
      <c r="G456" s="42" t="s">
        <v>195</v>
      </c>
      <c r="H456" s="42"/>
      <c r="I456" s="42"/>
      <c r="J456" s="42">
        <v>13207715</v>
      </c>
      <c r="K456" s="42"/>
      <c r="L456" s="44">
        <v>45293</v>
      </c>
      <c r="M456" s="44">
        <v>45293</v>
      </c>
      <c r="N456" s="42" t="s">
        <v>1585</v>
      </c>
      <c r="O456" s="42">
        <v>0</v>
      </c>
      <c r="P456" s="42">
        <v>20069604</v>
      </c>
      <c r="Q456" s="42" t="s">
        <v>1592</v>
      </c>
      <c r="R456" s="45">
        <v>410</v>
      </c>
      <c r="S456" s="46">
        <v>0.01</v>
      </c>
      <c r="T456" s="47" t="s">
        <v>198</v>
      </c>
      <c r="U456" s="48" t="s">
        <v>199</v>
      </c>
      <c r="V456" s="38"/>
      <c r="W456" s="48" t="s">
        <v>195</v>
      </c>
      <c r="X456" s="38" t="s">
        <v>200</v>
      </c>
      <c r="Y456" s="49" t="s">
        <v>201</v>
      </c>
      <c r="Z456" s="50" t="s">
        <v>1593</v>
      </c>
      <c r="AA456" s="38"/>
      <c r="AB456" s="38"/>
      <c r="AC456" s="38"/>
      <c r="AD456" s="51">
        <v>15</v>
      </c>
      <c r="AE456" s="51">
        <v>15</v>
      </c>
      <c r="AF456" s="48" t="s">
        <v>203</v>
      </c>
      <c r="AG456" s="38" t="s">
        <v>204</v>
      </c>
      <c r="AH456" s="52"/>
      <c r="AI456" s="38"/>
      <c r="AJ456" s="38"/>
    </row>
    <row r="457" spans="1:36" ht="16.2">
      <c r="A457" s="53" t="s">
        <v>191</v>
      </c>
      <c r="B457" s="53">
        <v>710315</v>
      </c>
      <c r="C457" s="53" t="s">
        <v>1582</v>
      </c>
      <c r="D457" s="53">
        <v>13207715</v>
      </c>
      <c r="E457" s="54" t="s">
        <v>1583</v>
      </c>
      <c r="F457" s="53" t="s">
        <v>1594</v>
      </c>
      <c r="G457" s="53" t="s">
        <v>195</v>
      </c>
      <c r="H457" s="53"/>
      <c r="I457" s="53"/>
      <c r="J457" s="53">
        <v>13207715</v>
      </c>
      <c r="K457" s="53"/>
      <c r="L457" s="55">
        <v>45293</v>
      </c>
      <c r="M457" s="55">
        <v>45293</v>
      </c>
      <c r="N457" s="53" t="s">
        <v>1585</v>
      </c>
      <c r="O457" s="53">
        <v>0</v>
      </c>
      <c r="P457" s="53">
        <v>20069604</v>
      </c>
      <c r="Q457" s="53" t="s">
        <v>1595</v>
      </c>
      <c r="R457" s="45">
        <v>410</v>
      </c>
      <c r="S457" s="56">
        <v>0.01</v>
      </c>
      <c r="T457" s="47" t="s">
        <v>198</v>
      </c>
      <c r="U457" s="48" t="s">
        <v>199</v>
      </c>
      <c r="V457" s="38"/>
      <c r="W457" s="48" t="s">
        <v>195</v>
      </c>
      <c r="X457" s="38" t="s">
        <v>200</v>
      </c>
      <c r="Y457" s="49" t="s">
        <v>201</v>
      </c>
      <c r="Z457" s="50" t="s">
        <v>1596</v>
      </c>
      <c r="AA457" s="38"/>
      <c r="AB457" s="38"/>
      <c r="AC457" s="38"/>
      <c r="AD457" s="51">
        <v>15</v>
      </c>
      <c r="AE457" s="51">
        <v>15</v>
      </c>
      <c r="AF457" s="48" t="s">
        <v>203</v>
      </c>
      <c r="AG457" s="38" t="s">
        <v>204</v>
      </c>
      <c r="AH457" s="52"/>
      <c r="AI457" s="38"/>
      <c r="AJ457" s="38"/>
    </row>
    <row r="458" spans="1:36" ht="16.2">
      <c r="A458" s="42" t="s">
        <v>191</v>
      </c>
      <c r="B458" s="42">
        <v>710315</v>
      </c>
      <c r="C458" s="42" t="s">
        <v>1582</v>
      </c>
      <c r="D458" s="42">
        <v>13207715</v>
      </c>
      <c r="E458" s="43" t="s">
        <v>1583</v>
      </c>
      <c r="F458" s="42" t="s">
        <v>1597</v>
      </c>
      <c r="G458" s="42" t="s">
        <v>195</v>
      </c>
      <c r="H458" s="42"/>
      <c r="I458" s="42"/>
      <c r="J458" s="42">
        <v>13207715</v>
      </c>
      <c r="K458" s="42"/>
      <c r="L458" s="44">
        <v>45293</v>
      </c>
      <c r="M458" s="44">
        <v>45293</v>
      </c>
      <c r="N458" s="42" t="s">
        <v>1585</v>
      </c>
      <c r="O458" s="42">
        <v>0</v>
      </c>
      <c r="P458" s="42">
        <v>20069604</v>
      </c>
      <c r="Q458" s="42" t="s">
        <v>1598</v>
      </c>
      <c r="R458" s="45">
        <v>410</v>
      </c>
      <c r="S458" s="46">
        <v>0.01</v>
      </c>
      <c r="T458" s="47" t="s">
        <v>198</v>
      </c>
      <c r="U458" s="48" t="s">
        <v>199</v>
      </c>
      <c r="V458" s="38"/>
      <c r="W458" s="48" t="s">
        <v>195</v>
      </c>
      <c r="X458" s="38" t="s">
        <v>200</v>
      </c>
      <c r="Y458" s="49" t="s">
        <v>201</v>
      </c>
      <c r="Z458" s="50" t="s">
        <v>1599</v>
      </c>
      <c r="AA458" s="38"/>
      <c r="AB458" s="38"/>
      <c r="AC458" s="38"/>
      <c r="AD458" s="51">
        <v>15</v>
      </c>
      <c r="AE458" s="51">
        <v>15</v>
      </c>
      <c r="AF458" s="48" t="s">
        <v>203</v>
      </c>
      <c r="AG458" s="38" t="s">
        <v>204</v>
      </c>
      <c r="AH458" s="52"/>
      <c r="AI458" s="38"/>
      <c r="AJ458" s="38"/>
    </row>
    <row r="459" spans="1:36" ht="16.2">
      <c r="A459" s="53" t="s">
        <v>191</v>
      </c>
      <c r="B459" s="53">
        <v>710315</v>
      </c>
      <c r="C459" s="53" t="s">
        <v>1582</v>
      </c>
      <c r="D459" s="53">
        <v>13207715</v>
      </c>
      <c r="E459" s="54" t="s">
        <v>1583</v>
      </c>
      <c r="F459" s="53" t="s">
        <v>211</v>
      </c>
      <c r="G459" s="53" t="s">
        <v>195</v>
      </c>
      <c r="H459" s="53"/>
      <c r="I459" s="53"/>
      <c r="J459" s="53">
        <v>13207715</v>
      </c>
      <c r="K459" s="53"/>
      <c r="L459" s="55">
        <v>45293</v>
      </c>
      <c r="M459" s="55">
        <v>45293</v>
      </c>
      <c r="N459" s="53" t="s">
        <v>1585</v>
      </c>
      <c r="O459" s="53">
        <v>0</v>
      </c>
      <c r="P459" s="53">
        <v>20069604</v>
      </c>
      <c r="Q459" s="53" t="s">
        <v>1600</v>
      </c>
      <c r="R459" s="45">
        <v>410</v>
      </c>
      <c r="S459" s="56">
        <v>0.01</v>
      </c>
      <c r="T459" s="47" t="s">
        <v>198</v>
      </c>
      <c r="U459" s="48" t="s">
        <v>199</v>
      </c>
      <c r="V459" s="38"/>
      <c r="W459" s="48" t="s">
        <v>195</v>
      </c>
      <c r="X459" s="38" t="s">
        <v>200</v>
      </c>
      <c r="Y459" s="49" t="s">
        <v>201</v>
      </c>
      <c r="Z459" s="50" t="s">
        <v>1601</v>
      </c>
      <c r="AA459" s="38"/>
      <c r="AB459" s="38"/>
      <c r="AC459" s="38"/>
      <c r="AD459" s="51">
        <v>15</v>
      </c>
      <c r="AE459" s="51">
        <v>15</v>
      </c>
      <c r="AF459" s="48" t="s">
        <v>203</v>
      </c>
      <c r="AG459" s="38" t="s">
        <v>204</v>
      </c>
      <c r="AH459" s="52"/>
      <c r="AI459" s="38"/>
      <c r="AJ459" s="38"/>
    </row>
    <row r="460" spans="1:36" ht="16.2">
      <c r="A460" s="42" t="s">
        <v>191</v>
      </c>
      <c r="B460" s="42">
        <v>710315</v>
      </c>
      <c r="C460" s="42" t="s">
        <v>1582</v>
      </c>
      <c r="D460" s="42">
        <v>13207715</v>
      </c>
      <c r="E460" s="43" t="s">
        <v>1583</v>
      </c>
      <c r="F460" s="42" t="s">
        <v>1602</v>
      </c>
      <c r="G460" s="42" t="s">
        <v>195</v>
      </c>
      <c r="H460" s="42"/>
      <c r="I460" s="42"/>
      <c r="J460" s="42">
        <v>13207715</v>
      </c>
      <c r="K460" s="42"/>
      <c r="L460" s="44">
        <v>45293</v>
      </c>
      <c r="M460" s="44">
        <v>45293</v>
      </c>
      <c r="N460" s="42" t="s">
        <v>1585</v>
      </c>
      <c r="O460" s="42">
        <v>0</v>
      </c>
      <c r="P460" s="42">
        <v>20069604</v>
      </c>
      <c r="Q460" s="42" t="s">
        <v>1603</v>
      </c>
      <c r="R460" s="45">
        <v>410</v>
      </c>
      <c r="S460" s="46">
        <v>0.01</v>
      </c>
      <c r="T460" s="47" t="s">
        <v>198</v>
      </c>
      <c r="U460" s="48" t="s">
        <v>199</v>
      </c>
      <c r="V460" s="38"/>
      <c r="W460" s="48" t="s">
        <v>195</v>
      </c>
      <c r="X460" s="38" t="s">
        <v>200</v>
      </c>
      <c r="Y460" s="49" t="s">
        <v>201</v>
      </c>
      <c r="Z460" s="50" t="s">
        <v>1604</v>
      </c>
      <c r="AA460" s="38"/>
      <c r="AB460" s="38"/>
      <c r="AC460" s="38"/>
      <c r="AD460" s="51">
        <v>15</v>
      </c>
      <c r="AE460" s="51">
        <v>15</v>
      </c>
      <c r="AF460" s="48" t="s">
        <v>203</v>
      </c>
      <c r="AG460" s="38" t="s">
        <v>204</v>
      </c>
      <c r="AH460" s="52"/>
      <c r="AI460" s="38"/>
      <c r="AJ460" s="38"/>
    </row>
    <row r="461" spans="1:36" ht="16.2">
      <c r="A461" s="53" t="s">
        <v>191</v>
      </c>
      <c r="B461" s="53">
        <v>710315</v>
      </c>
      <c r="C461" s="53" t="s">
        <v>1582</v>
      </c>
      <c r="D461" s="53">
        <v>13207715</v>
      </c>
      <c r="E461" s="54" t="s">
        <v>1583</v>
      </c>
      <c r="F461" s="53" t="s">
        <v>1605</v>
      </c>
      <c r="G461" s="53" t="s">
        <v>195</v>
      </c>
      <c r="H461" s="53"/>
      <c r="I461" s="53"/>
      <c r="J461" s="53">
        <v>13207715</v>
      </c>
      <c r="K461" s="53"/>
      <c r="L461" s="55">
        <v>45293</v>
      </c>
      <c r="M461" s="55">
        <v>45293</v>
      </c>
      <c r="N461" s="53" t="s">
        <v>1585</v>
      </c>
      <c r="O461" s="53">
        <v>0</v>
      </c>
      <c r="P461" s="53">
        <v>20069604</v>
      </c>
      <c r="Q461" s="53" t="s">
        <v>1606</v>
      </c>
      <c r="R461" s="45">
        <v>410</v>
      </c>
      <c r="S461" s="56">
        <v>0.01</v>
      </c>
      <c r="T461" s="47" t="s">
        <v>198</v>
      </c>
      <c r="U461" s="48" t="s">
        <v>199</v>
      </c>
      <c r="V461" s="38"/>
      <c r="W461" s="48" t="s">
        <v>195</v>
      </c>
      <c r="X461" s="38" t="s">
        <v>200</v>
      </c>
      <c r="Y461" s="49" t="s">
        <v>201</v>
      </c>
      <c r="Z461" s="50" t="s">
        <v>1607</v>
      </c>
      <c r="AA461" s="38"/>
      <c r="AB461" s="38"/>
      <c r="AC461" s="38"/>
      <c r="AD461" s="51">
        <v>15</v>
      </c>
      <c r="AE461" s="51">
        <v>15</v>
      </c>
      <c r="AF461" s="48" t="s">
        <v>203</v>
      </c>
      <c r="AG461" s="38" t="s">
        <v>204</v>
      </c>
      <c r="AH461" s="52"/>
      <c r="AI461" s="38"/>
      <c r="AJ461" s="38"/>
    </row>
    <row r="462" spans="1:36" ht="16.2">
      <c r="A462" s="42" t="s">
        <v>191</v>
      </c>
      <c r="B462" s="42">
        <v>710315</v>
      </c>
      <c r="C462" s="42" t="s">
        <v>1582</v>
      </c>
      <c r="D462" s="42">
        <v>13207715</v>
      </c>
      <c r="E462" s="43" t="s">
        <v>1583</v>
      </c>
      <c r="F462" s="42" t="s">
        <v>1608</v>
      </c>
      <c r="G462" s="42" t="s">
        <v>195</v>
      </c>
      <c r="H462" s="42"/>
      <c r="I462" s="42"/>
      <c r="J462" s="42">
        <v>13207715</v>
      </c>
      <c r="K462" s="42"/>
      <c r="L462" s="44">
        <v>45293</v>
      </c>
      <c r="M462" s="44">
        <v>45293</v>
      </c>
      <c r="N462" s="42" t="s">
        <v>1585</v>
      </c>
      <c r="O462" s="42">
        <v>0</v>
      </c>
      <c r="P462" s="42">
        <v>20069604</v>
      </c>
      <c r="Q462" s="42" t="s">
        <v>1609</v>
      </c>
      <c r="R462" s="45">
        <v>410</v>
      </c>
      <c r="S462" s="46">
        <v>0.01</v>
      </c>
      <c r="T462" s="47" t="s">
        <v>198</v>
      </c>
      <c r="U462" s="48" t="s">
        <v>199</v>
      </c>
      <c r="V462" s="38"/>
      <c r="W462" s="48" t="s">
        <v>195</v>
      </c>
      <c r="X462" s="38" t="s">
        <v>200</v>
      </c>
      <c r="Y462" s="49" t="s">
        <v>201</v>
      </c>
      <c r="Z462" s="50" t="s">
        <v>1610</v>
      </c>
      <c r="AA462" s="38"/>
      <c r="AB462" s="38"/>
      <c r="AC462" s="38"/>
      <c r="AD462" s="51">
        <v>15</v>
      </c>
      <c r="AE462" s="51">
        <v>15</v>
      </c>
      <c r="AF462" s="48" t="s">
        <v>203</v>
      </c>
      <c r="AG462" s="38" t="s">
        <v>204</v>
      </c>
      <c r="AH462" s="52"/>
      <c r="AI462" s="38"/>
      <c r="AJ462" s="38"/>
    </row>
    <row r="463" spans="1:36" ht="16.2">
      <c r="A463" s="53" t="s">
        <v>191</v>
      </c>
      <c r="B463" s="53">
        <v>710315</v>
      </c>
      <c r="C463" s="53" t="s">
        <v>1582</v>
      </c>
      <c r="D463" s="53">
        <v>13207715</v>
      </c>
      <c r="E463" s="54" t="s">
        <v>1583</v>
      </c>
      <c r="F463" s="53" t="s">
        <v>1611</v>
      </c>
      <c r="G463" s="53" t="s">
        <v>195</v>
      </c>
      <c r="H463" s="53"/>
      <c r="I463" s="53"/>
      <c r="J463" s="53">
        <v>13207715</v>
      </c>
      <c r="K463" s="53"/>
      <c r="L463" s="55">
        <v>45293</v>
      </c>
      <c r="M463" s="55">
        <v>45293</v>
      </c>
      <c r="N463" s="53" t="s">
        <v>1585</v>
      </c>
      <c r="O463" s="53">
        <v>0</v>
      </c>
      <c r="P463" s="53">
        <v>20069604</v>
      </c>
      <c r="Q463" s="53" t="s">
        <v>1612</v>
      </c>
      <c r="R463" s="45">
        <v>410</v>
      </c>
      <c r="S463" s="56">
        <v>0.01</v>
      </c>
      <c r="T463" s="47" t="s">
        <v>198</v>
      </c>
      <c r="U463" s="48" t="s">
        <v>199</v>
      </c>
      <c r="V463" s="38"/>
      <c r="W463" s="48" t="s">
        <v>195</v>
      </c>
      <c r="X463" s="38" t="s">
        <v>200</v>
      </c>
      <c r="Y463" s="49" t="s">
        <v>201</v>
      </c>
      <c r="Z463" s="50" t="s">
        <v>1613</v>
      </c>
      <c r="AA463" s="38"/>
      <c r="AB463" s="38"/>
      <c r="AC463" s="38"/>
      <c r="AD463" s="51">
        <v>15</v>
      </c>
      <c r="AE463" s="51">
        <v>15</v>
      </c>
      <c r="AF463" s="48" t="s">
        <v>203</v>
      </c>
      <c r="AG463" s="38" t="s">
        <v>204</v>
      </c>
      <c r="AH463" s="52"/>
      <c r="AI463" s="38"/>
      <c r="AJ463" s="38"/>
    </row>
    <row r="464" spans="1:36" ht="16.2">
      <c r="A464" s="42" t="s">
        <v>191</v>
      </c>
      <c r="B464" s="42">
        <v>710315</v>
      </c>
      <c r="C464" s="42" t="s">
        <v>1582</v>
      </c>
      <c r="D464" s="42">
        <v>13207715</v>
      </c>
      <c r="E464" s="43" t="s">
        <v>1583</v>
      </c>
      <c r="F464" s="42" t="s">
        <v>1614</v>
      </c>
      <c r="G464" s="42" t="s">
        <v>195</v>
      </c>
      <c r="H464" s="42"/>
      <c r="I464" s="42"/>
      <c r="J464" s="42">
        <v>13207715</v>
      </c>
      <c r="K464" s="42"/>
      <c r="L464" s="44">
        <v>45293</v>
      </c>
      <c r="M464" s="44">
        <v>45293</v>
      </c>
      <c r="N464" s="42" t="s">
        <v>1585</v>
      </c>
      <c r="O464" s="42">
        <v>0</v>
      </c>
      <c r="P464" s="42">
        <v>20069604</v>
      </c>
      <c r="Q464" s="42" t="s">
        <v>1615</v>
      </c>
      <c r="R464" s="45">
        <v>410</v>
      </c>
      <c r="S464" s="46">
        <v>0.01</v>
      </c>
      <c r="T464" s="47" t="s">
        <v>198</v>
      </c>
      <c r="U464" s="48" t="s">
        <v>199</v>
      </c>
      <c r="V464" s="38"/>
      <c r="W464" s="48" t="s">
        <v>195</v>
      </c>
      <c r="X464" s="38" t="s">
        <v>200</v>
      </c>
      <c r="Y464" s="49" t="s">
        <v>201</v>
      </c>
      <c r="Z464" s="50" t="s">
        <v>1616</v>
      </c>
      <c r="AA464" s="38"/>
      <c r="AB464" s="38"/>
      <c r="AC464" s="38"/>
      <c r="AD464" s="51">
        <v>15</v>
      </c>
      <c r="AE464" s="51">
        <v>15</v>
      </c>
      <c r="AF464" s="48" t="s">
        <v>203</v>
      </c>
      <c r="AG464" s="38" t="s">
        <v>204</v>
      </c>
      <c r="AH464" s="52"/>
      <c r="AI464" s="38"/>
      <c r="AJ464" s="38"/>
    </row>
    <row r="465" spans="1:36" ht="16.2">
      <c r="A465" s="53" t="s">
        <v>191</v>
      </c>
      <c r="B465" s="53">
        <v>710315</v>
      </c>
      <c r="C465" s="53" t="s">
        <v>1582</v>
      </c>
      <c r="D465" s="53">
        <v>13207715</v>
      </c>
      <c r="E465" s="54" t="s">
        <v>1583</v>
      </c>
      <c r="F465" s="53" t="s">
        <v>1617</v>
      </c>
      <c r="G465" s="53" t="s">
        <v>195</v>
      </c>
      <c r="H465" s="53"/>
      <c r="I465" s="53"/>
      <c r="J465" s="53">
        <v>13207715</v>
      </c>
      <c r="K465" s="53"/>
      <c r="L465" s="55">
        <v>45293</v>
      </c>
      <c r="M465" s="55">
        <v>45293</v>
      </c>
      <c r="N465" s="53" t="s">
        <v>1585</v>
      </c>
      <c r="O465" s="53">
        <v>0</v>
      </c>
      <c r="P465" s="53">
        <v>20069604</v>
      </c>
      <c r="Q465" s="53" t="s">
        <v>1618</v>
      </c>
      <c r="R465" s="45">
        <v>410</v>
      </c>
      <c r="S465" s="56">
        <v>0.01</v>
      </c>
      <c r="T465" s="47" t="s">
        <v>198</v>
      </c>
      <c r="U465" s="48" t="s">
        <v>199</v>
      </c>
      <c r="V465" s="38"/>
      <c r="W465" s="48" t="s">
        <v>195</v>
      </c>
      <c r="X465" s="38" t="s">
        <v>200</v>
      </c>
      <c r="Y465" s="49" t="s">
        <v>201</v>
      </c>
      <c r="Z465" s="50" t="s">
        <v>1619</v>
      </c>
      <c r="AA465" s="38"/>
      <c r="AB465" s="38"/>
      <c r="AC465" s="38"/>
      <c r="AD465" s="51">
        <v>15</v>
      </c>
      <c r="AE465" s="51">
        <v>15</v>
      </c>
      <c r="AF465" s="48" t="s">
        <v>203</v>
      </c>
      <c r="AG465" s="38" t="s">
        <v>204</v>
      </c>
      <c r="AH465" s="52"/>
      <c r="AI465" s="38"/>
      <c r="AJ465" s="38"/>
    </row>
    <row r="466" spans="1:36" ht="16.2">
      <c r="A466" s="42" t="s">
        <v>191</v>
      </c>
      <c r="B466" s="42">
        <v>710315</v>
      </c>
      <c r="C466" s="42" t="s">
        <v>1582</v>
      </c>
      <c r="D466" s="42">
        <v>13207715</v>
      </c>
      <c r="E466" s="43" t="s">
        <v>1583</v>
      </c>
      <c r="F466" s="42" t="s">
        <v>479</v>
      </c>
      <c r="G466" s="42" t="s">
        <v>195</v>
      </c>
      <c r="H466" s="42"/>
      <c r="I466" s="42"/>
      <c r="J466" s="42">
        <v>13207715</v>
      </c>
      <c r="K466" s="42"/>
      <c r="L466" s="44">
        <v>45293</v>
      </c>
      <c r="M466" s="44">
        <v>45293</v>
      </c>
      <c r="N466" s="42" t="s">
        <v>1585</v>
      </c>
      <c r="O466" s="42">
        <v>0</v>
      </c>
      <c r="P466" s="42">
        <v>20069604</v>
      </c>
      <c r="Q466" s="42" t="s">
        <v>1620</v>
      </c>
      <c r="R466" s="45">
        <v>410</v>
      </c>
      <c r="S466" s="46">
        <v>0.01</v>
      </c>
      <c r="T466" s="47" t="s">
        <v>198</v>
      </c>
      <c r="U466" s="48" t="s">
        <v>199</v>
      </c>
      <c r="V466" s="38"/>
      <c r="W466" s="48" t="s">
        <v>195</v>
      </c>
      <c r="X466" s="38" t="s">
        <v>200</v>
      </c>
      <c r="Y466" s="49" t="s">
        <v>201</v>
      </c>
      <c r="Z466" s="50" t="s">
        <v>1621</v>
      </c>
      <c r="AA466" s="38"/>
      <c r="AB466" s="38"/>
      <c r="AC466" s="38"/>
      <c r="AD466" s="51">
        <v>15</v>
      </c>
      <c r="AE466" s="51">
        <v>15</v>
      </c>
      <c r="AF466" s="48" t="s">
        <v>203</v>
      </c>
      <c r="AG466" s="38" t="s">
        <v>204</v>
      </c>
      <c r="AH466" s="52"/>
      <c r="AI466" s="38"/>
      <c r="AJ466" s="38"/>
    </row>
    <row r="467" spans="1:36" ht="16.2">
      <c r="A467" s="53" t="s">
        <v>191</v>
      </c>
      <c r="B467" s="53">
        <v>710315</v>
      </c>
      <c r="C467" s="53" t="s">
        <v>1582</v>
      </c>
      <c r="D467" s="53">
        <v>13207715</v>
      </c>
      <c r="E467" s="54" t="s">
        <v>1583</v>
      </c>
      <c r="F467" s="53" t="s">
        <v>1622</v>
      </c>
      <c r="G467" s="53" t="s">
        <v>195</v>
      </c>
      <c r="H467" s="53"/>
      <c r="I467" s="53"/>
      <c r="J467" s="53">
        <v>13207715</v>
      </c>
      <c r="K467" s="53"/>
      <c r="L467" s="55">
        <v>45293</v>
      </c>
      <c r="M467" s="55">
        <v>45293</v>
      </c>
      <c r="N467" s="53" t="s">
        <v>1585</v>
      </c>
      <c r="O467" s="53">
        <v>0</v>
      </c>
      <c r="P467" s="53">
        <v>20069604</v>
      </c>
      <c r="Q467" s="53" t="s">
        <v>1623</v>
      </c>
      <c r="R467" s="45">
        <v>410</v>
      </c>
      <c r="S467" s="56">
        <v>0.01</v>
      </c>
      <c r="T467" s="47" t="s">
        <v>198</v>
      </c>
      <c r="U467" s="48" t="s">
        <v>199</v>
      </c>
      <c r="V467" s="38"/>
      <c r="W467" s="48" t="s">
        <v>195</v>
      </c>
      <c r="X467" s="38" t="s">
        <v>200</v>
      </c>
      <c r="Y467" s="49" t="s">
        <v>201</v>
      </c>
      <c r="Z467" s="50" t="s">
        <v>1624</v>
      </c>
      <c r="AA467" s="38"/>
      <c r="AB467" s="38"/>
      <c r="AC467" s="38"/>
      <c r="AD467" s="51">
        <v>15</v>
      </c>
      <c r="AE467" s="51">
        <v>15</v>
      </c>
      <c r="AF467" s="48" t="s">
        <v>203</v>
      </c>
      <c r="AG467" s="38" t="s">
        <v>204</v>
      </c>
      <c r="AH467" s="52"/>
      <c r="AI467" s="38"/>
      <c r="AJ467" s="38"/>
    </row>
    <row r="468" spans="1:36" ht="16.2">
      <c r="A468" s="42" t="s">
        <v>191</v>
      </c>
      <c r="B468" s="42">
        <v>710315</v>
      </c>
      <c r="C468" s="42" t="s">
        <v>1582</v>
      </c>
      <c r="D468" s="42">
        <v>13207715</v>
      </c>
      <c r="E468" s="43" t="s">
        <v>1583</v>
      </c>
      <c r="F468" s="42" t="s">
        <v>381</v>
      </c>
      <c r="G468" s="42" t="s">
        <v>195</v>
      </c>
      <c r="H468" s="42"/>
      <c r="I468" s="42"/>
      <c r="J468" s="42">
        <v>13207715</v>
      </c>
      <c r="K468" s="42"/>
      <c r="L468" s="44">
        <v>45293</v>
      </c>
      <c r="M468" s="44">
        <v>45293</v>
      </c>
      <c r="N468" s="42" t="s">
        <v>1585</v>
      </c>
      <c r="O468" s="42">
        <v>0</v>
      </c>
      <c r="P468" s="42">
        <v>20069604</v>
      </c>
      <c r="Q468" s="42" t="s">
        <v>1625</v>
      </c>
      <c r="R468" s="45">
        <v>410</v>
      </c>
      <c r="S468" s="46">
        <v>0.01</v>
      </c>
      <c r="T468" s="47" t="s">
        <v>198</v>
      </c>
      <c r="U468" s="48" t="s">
        <v>199</v>
      </c>
      <c r="V468" s="38"/>
      <c r="W468" s="48" t="s">
        <v>195</v>
      </c>
      <c r="X468" s="38" t="s">
        <v>200</v>
      </c>
      <c r="Y468" s="49" t="s">
        <v>201</v>
      </c>
      <c r="Z468" s="50" t="s">
        <v>1626</v>
      </c>
      <c r="AA468" s="38"/>
      <c r="AB468" s="38"/>
      <c r="AC468" s="38"/>
      <c r="AD468" s="51">
        <v>15</v>
      </c>
      <c r="AE468" s="51">
        <v>15</v>
      </c>
      <c r="AF468" s="48" t="s">
        <v>203</v>
      </c>
      <c r="AG468" s="38" t="s">
        <v>204</v>
      </c>
      <c r="AH468" s="52"/>
      <c r="AI468" s="38"/>
      <c r="AJ468" s="38"/>
    </row>
    <row r="469" spans="1:36" ht="16.2">
      <c r="A469" s="53" t="s">
        <v>857</v>
      </c>
      <c r="B469" s="53">
        <v>90030303</v>
      </c>
      <c r="C469" s="53" t="s">
        <v>1627</v>
      </c>
      <c r="D469" s="53">
        <v>13207690</v>
      </c>
      <c r="E469" s="54" t="s">
        <v>1628</v>
      </c>
      <c r="F469" s="53" t="s">
        <v>235</v>
      </c>
      <c r="G469" s="53" t="s">
        <v>195</v>
      </c>
      <c r="H469" s="53"/>
      <c r="I469" s="53"/>
      <c r="J469" s="53">
        <v>13207690</v>
      </c>
      <c r="K469" s="53"/>
      <c r="L469" s="55">
        <v>45293</v>
      </c>
      <c r="M469" s="55">
        <v>45293</v>
      </c>
      <c r="N469" s="53" t="s">
        <v>1152</v>
      </c>
      <c r="O469" s="53">
        <v>0</v>
      </c>
      <c r="P469" s="53">
        <v>20010206</v>
      </c>
      <c r="Q469" s="53" t="s">
        <v>1629</v>
      </c>
      <c r="R469" s="45">
        <v>410</v>
      </c>
      <c r="S469" s="56">
        <v>0.01</v>
      </c>
      <c r="T469" s="47" t="s">
        <v>198</v>
      </c>
      <c r="U469" s="48" t="s">
        <v>199</v>
      </c>
      <c r="V469" s="38"/>
      <c r="W469" s="48" t="s">
        <v>195</v>
      </c>
      <c r="X469" s="38" t="s">
        <v>426</v>
      </c>
      <c r="Y469" s="49" t="s">
        <v>427</v>
      </c>
      <c r="Z469" s="50" t="s">
        <v>1630</v>
      </c>
      <c r="AA469" s="38"/>
      <c r="AB469" s="38"/>
      <c r="AC469" s="38"/>
      <c r="AD469" s="51">
        <v>38</v>
      </c>
      <c r="AE469" s="51">
        <v>38</v>
      </c>
      <c r="AF469" s="48" t="s">
        <v>203</v>
      </c>
      <c r="AG469" s="38" t="s">
        <v>204</v>
      </c>
      <c r="AH469" s="52"/>
      <c r="AI469" s="38"/>
      <c r="AJ469" s="38"/>
    </row>
    <row r="470" spans="1:36" ht="16.2">
      <c r="A470" s="42" t="s">
        <v>857</v>
      </c>
      <c r="B470" s="42">
        <v>90030303</v>
      </c>
      <c r="C470" s="42" t="s">
        <v>1627</v>
      </c>
      <c r="D470" s="42">
        <v>13207690</v>
      </c>
      <c r="E470" s="43" t="s">
        <v>1628</v>
      </c>
      <c r="F470" s="42" t="s">
        <v>1631</v>
      </c>
      <c r="G470" s="42" t="s">
        <v>195</v>
      </c>
      <c r="H470" s="42"/>
      <c r="I470" s="42"/>
      <c r="J470" s="42">
        <v>13207690</v>
      </c>
      <c r="K470" s="42"/>
      <c r="L470" s="44">
        <v>45293</v>
      </c>
      <c r="M470" s="44">
        <v>45293</v>
      </c>
      <c r="N470" s="42" t="s">
        <v>1152</v>
      </c>
      <c r="O470" s="42">
        <v>0</v>
      </c>
      <c r="P470" s="42">
        <v>20010206</v>
      </c>
      <c r="Q470" s="42" t="s">
        <v>1632</v>
      </c>
      <c r="R470" s="45">
        <v>410</v>
      </c>
      <c r="S470" s="46">
        <v>0.01</v>
      </c>
      <c r="T470" s="47" t="s">
        <v>198</v>
      </c>
      <c r="U470" s="48" t="s">
        <v>199</v>
      </c>
      <c r="V470" s="38"/>
      <c r="W470" s="48" t="s">
        <v>195</v>
      </c>
      <c r="X470" s="38" t="s">
        <v>426</v>
      </c>
      <c r="Y470" s="49" t="s">
        <v>427</v>
      </c>
      <c r="Z470" s="50" t="s">
        <v>1633</v>
      </c>
      <c r="AA470" s="38"/>
      <c r="AB470" s="38"/>
      <c r="AC470" s="38"/>
      <c r="AD470" s="51">
        <v>38</v>
      </c>
      <c r="AE470" s="51">
        <v>38</v>
      </c>
      <c r="AF470" s="48" t="s">
        <v>203</v>
      </c>
      <c r="AG470" s="38" t="s">
        <v>204</v>
      </c>
      <c r="AH470" s="52"/>
      <c r="AI470" s="38"/>
      <c r="AJ470" s="38"/>
    </row>
    <row r="471" spans="1:36" ht="16.2">
      <c r="A471" s="53" t="s">
        <v>857</v>
      </c>
      <c r="B471" s="53">
        <v>90030303</v>
      </c>
      <c r="C471" s="53" t="s">
        <v>1627</v>
      </c>
      <c r="D471" s="53">
        <v>13207690</v>
      </c>
      <c r="E471" s="54" t="s">
        <v>1628</v>
      </c>
      <c r="F471" s="53" t="s">
        <v>1155</v>
      </c>
      <c r="G471" s="53" t="s">
        <v>195</v>
      </c>
      <c r="H471" s="53"/>
      <c r="I471" s="53"/>
      <c r="J471" s="53">
        <v>13207690</v>
      </c>
      <c r="K471" s="53"/>
      <c r="L471" s="55">
        <v>45293</v>
      </c>
      <c r="M471" s="55">
        <v>45293</v>
      </c>
      <c r="N471" s="53" t="s">
        <v>1152</v>
      </c>
      <c r="O471" s="53">
        <v>0</v>
      </c>
      <c r="P471" s="53">
        <v>20010206</v>
      </c>
      <c r="Q471" s="53" t="s">
        <v>1634</v>
      </c>
      <c r="R471" s="45">
        <v>410</v>
      </c>
      <c r="S471" s="56">
        <v>0.01</v>
      </c>
      <c r="T471" s="47" t="s">
        <v>198</v>
      </c>
      <c r="U471" s="48" t="s">
        <v>199</v>
      </c>
      <c r="V471" s="38"/>
      <c r="W471" s="48" t="s">
        <v>195</v>
      </c>
      <c r="X471" s="38" t="s">
        <v>426</v>
      </c>
      <c r="Y471" s="49" t="s">
        <v>427</v>
      </c>
      <c r="Z471" s="50" t="s">
        <v>1635</v>
      </c>
      <c r="AA471" s="38"/>
      <c r="AB471" s="38"/>
      <c r="AC471" s="38"/>
      <c r="AD471" s="51">
        <v>38</v>
      </c>
      <c r="AE471" s="51">
        <v>38</v>
      </c>
      <c r="AF471" s="48" t="s">
        <v>203</v>
      </c>
      <c r="AG471" s="38" t="s">
        <v>204</v>
      </c>
      <c r="AH471" s="52"/>
      <c r="AI471" s="38"/>
      <c r="AJ471" s="38"/>
    </row>
    <row r="472" spans="1:36" ht="16.2">
      <c r="A472" s="42" t="s">
        <v>857</v>
      </c>
      <c r="B472" s="42">
        <v>90030303</v>
      </c>
      <c r="C472" s="42" t="s">
        <v>1627</v>
      </c>
      <c r="D472" s="42">
        <v>13207690</v>
      </c>
      <c r="E472" s="43" t="s">
        <v>1628</v>
      </c>
      <c r="F472" s="42" t="s">
        <v>1636</v>
      </c>
      <c r="G472" s="42" t="s">
        <v>195</v>
      </c>
      <c r="H472" s="42"/>
      <c r="I472" s="42"/>
      <c r="J472" s="42">
        <v>13207690</v>
      </c>
      <c r="K472" s="42"/>
      <c r="L472" s="44">
        <v>45293</v>
      </c>
      <c r="M472" s="44">
        <v>45293</v>
      </c>
      <c r="N472" s="42" t="s">
        <v>1152</v>
      </c>
      <c r="O472" s="42">
        <v>0</v>
      </c>
      <c r="P472" s="42">
        <v>20010206</v>
      </c>
      <c r="Q472" s="42" t="s">
        <v>1637</v>
      </c>
      <c r="R472" s="45">
        <v>410</v>
      </c>
      <c r="S472" s="46">
        <v>0.01</v>
      </c>
      <c r="T472" s="47" t="s">
        <v>198</v>
      </c>
      <c r="U472" s="48" t="s">
        <v>199</v>
      </c>
      <c r="V472" s="38"/>
      <c r="W472" s="48" t="s">
        <v>195</v>
      </c>
      <c r="X472" s="38" t="s">
        <v>426</v>
      </c>
      <c r="Y472" s="49" t="s">
        <v>427</v>
      </c>
      <c r="Z472" s="50" t="s">
        <v>1638</v>
      </c>
      <c r="AA472" s="38"/>
      <c r="AB472" s="38"/>
      <c r="AC472" s="38"/>
      <c r="AD472" s="51">
        <v>38</v>
      </c>
      <c r="AE472" s="51">
        <v>38</v>
      </c>
      <c r="AF472" s="48" t="s">
        <v>203</v>
      </c>
      <c r="AG472" s="38" t="s">
        <v>204</v>
      </c>
      <c r="AH472" s="52"/>
      <c r="AI472" s="38"/>
      <c r="AJ472" s="38"/>
    </row>
    <row r="473" spans="1:36" ht="16.2">
      <c r="A473" s="53" t="s">
        <v>857</v>
      </c>
      <c r="B473" s="53">
        <v>90030303</v>
      </c>
      <c r="C473" s="53" t="s">
        <v>1627</v>
      </c>
      <c r="D473" s="53">
        <v>13207690</v>
      </c>
      <c r="E473" s="54" t="s">
        <v>1628</v>
      </c>
      <c r="F473" s="53" t="s">
        <v>1639</v>
      </c>
      <c r="G473" s="53" t="s">
        <v>195</v>
      </c>
      <c r="H473" s="53"/>
      <c r="I473" s="53"/>
      <c r="J473" s="53">
        <v>13207690</v>
      </c>
      <c r="K473" s="53"/>
      <c r="L473" s="55">
        <v>45293</v>
      </c>
      <c r="M473" s="55">
        <v>45293</v>
      </c>
      <c r="N473" s="53" t="s">
        <v>1152</v>
      </c>
      <c r="O473" s="53">
        <v>0</v>
      </c>
      <c r="P473" s="53">
        <v>20010206</v>
      </c>
      <c r="Q473" s="53" t="s">
        <v>1640</v>
      </c>
      <c r="R473" s="45">
        <v>410</v>
      </c>
      <c r="S473" s="56">
        <v>0.01</v>
      </c>
      <c r="T473" s="47" t="s">
        <v>198</v>
      </c>
      <c r="U473" s="48" t="s">
        <v>199</v>
      </c>
      <c r="V473" s="38"/>
      <c r="W473" s="48" t="s">
        <v>195</v>
      </c>
      <c r="X473" s="38" t="s">
        <v>426</v>
      </c>
      <c r="Y473" s="49" t="s">
        <v>427</v>
      </c>
      <c r="Z473" s="50" t="s">
        <v>1641</v>
      </c>
      <c r="AA473" s="38"/>
      <c r="AB473" s="38"/>
      <c r="AC473" s="38"/>
      <c r="AD473" s="51">
        <v>38</v>
      </c>
      <c r="AE473" s="51">
        <v>38</v>
      </c>
      <c r="AF473" s="48" t="s">
        <v>203</v>
      </c>
      <c r="AG473" s="38" t="s">
        <v>204</v>
      </c>
      <c r="AH473" s="52"/>
      <c r="AI473" s="38"/>
      <c r="AJ473" s="38"/>
    </row>
    <row r="474" spans="1:36" ht="16.2">
      <c r="A474" s="42" t="s">
        <v>857</v>
      </c>
      <c r="B474" s="42">
        <v>90030303</v>
      </c>
      <c r="C474" s="42" t="s">
        <v>1627</v>
      </c>
      <c r="D474" s="42">
        <v>13207690</v>
      </c>
      <c r="E474" s="43" t="s">
        <v>1628</v>
      </c>
      <c r="F474" s="42" t="s">
        <v>1642</v>
      </c>
      <c r="G474" s="42" t="s">
        <v>195</v>
      </c>
      <c r="H474" s="42"/>
      <c r="I474" s="42"/>
      <c r="J474" s="42">
        <v>13207690</v>
      </c>
      <c r="K474" s="42"/>
      <c r="L474" s="44">
        <v>45293</v>
      </c>
      <c r="M474" s="44">
        <v>45293</v>
      </c>
      <c r="N474" s="42" t="s">
        <v>1152</v>
      </c>
      <c r="O474" s="42">
        <v>0</v>
      </c>
      <c r="P474" s="42">
        <v>20010206</v>
      </c>
      <c r="Q474" s="42" t="s">
        <v>1643</v>
      </c>
      <c r="R474" s="45">
        <v>410</v>
      </c>
      <c r="S474" s="46">
        <v>0.01</v>
      </c>
      <c r="T474" s="47" t="s">
        <v>198</v>
      </c>
      <c r="U474" s="48" t="s">
        <v>199</v>
      </c>
      <c r="V474" s="38"/>
      <c r="W474" s="48" t="s">
        <v>195</v>
      </c>
      <c r="X474" s="38" t="s">
        <v>426</v>
      </c>
      <c r="Y474" s="49" t="s">
        <v>427</v>
      </c>
      <c r="Z474" s="50" t="s">
        <v>1644</v>
      </c>
      <c r="AA474" s="38"/>
      <c r="AB474" s="38"/>
      <c r="AC474" s="38"/>
      <c r="AD474" s="51">
        <v>38</v>
      </c>
      <c r="AE474" s="51">
        <v>38</v>
      </c>
      <c r="AF474" s="48" t="s">
        <v>203</v>
      </c>
      <c r="AG474" s="38" t="s">
        <v>204</v>
      </c>
      <c r="AH474" s="52"/>
      <c r="AI474" s="38"/>
      <c r="AJ474" s="38"/>
    </row>
    <row r="475" spans="1:36" ht="16.2">
      <c r="A475" s="53" t="s">
        <v>857</v>
      </c>
      <c r="B475" s="53">
        <v>90030303</v>
      </c>
      <c r="C475" s="53" t="s">
        <v>1627</v>
      </c>
      <c r="D475" s="53">
        <v>13207690</v>
      </c>
      <c r="E475" s="54" t="s">
        <v>1628</v>
      </c>
      <c r="F475" s="53" t="s">
        <v>1645</v>
      </c>
      <c r="G475" s="53" t="s">
        <v>195</v>
      </c>
      <c r="H475" s="53"/>
      <c r="I475" s="53"/>
      <c r="J475" s="53">
        <v>13207690</v>
      </c>
      <c r="K475" s="53"/>
      <c r="L475" s="55">
        <v>45293</v>
      </c>
      <c r="M475" s="55">
        <v>45293</v>
      </c>
      <c r="N475" s="53" t="s">
        <v>1152</v>
      </c>
      <c r="O475" s="53">
        <v>0</v>
      </c>
      <c r="P475" s="53">
        <v>20010206</v>
      </c>
      <c r="Q475" s="53" t="s">
        <v>1646</v>
      </c>
      <c r="R475" s="45">
        <v>410</v>
      </c>
      <c r="S475" s="56">
        <v>0.01</v>
      </c>
      <c r="T475" s="47" t="s">
        <v>198</v>
      </c>
      <c r="U475" s="48" t="s">
        <v>199</v>
      </c>
      <c r="V475" s="38"/>
      <c r="W475" s="48" t="s">
        <v>195</v>
      </c>
      <c r="X475" s="38" t="s">
        <v>426</v>
      </c>
      <c r="Y475" s="49" t="s">
        <v>427</v>
      </c>
      <c r="Z475" s="50" t="s">
        <v>1647</v>
      </c>
      <c r="AA475" s="38"/>
      <c r="AB475" s="38"/>
      <c r="AC475" s="38"/>
      <c r="AD475" s="51">
        <v>38</v>
      </c>
      <c r="AE475" s="51">
        <v>38</v>
      </c>
      <c r="AF475" s="48" t="s">
        <v>203</v>
      </c>
      <c r="AG475" s="38" t="s">
        <v>204</v>
      </c>
      <c r="AH475" s="52"/>
      <c r="AI475" s="38"/>
      <c r="AJ475" s="38"/>
    </row>
    <row r="476" spans="1:36" ht="16.2">
      <c r="A476" s="42" t="s">
        <v>857</v>
      </c>
      <c r="B476" s="42">
        <v>90030303</v>
      </c>
      <c r="C476" s="42" t="s">
        <v>1627</v>
      </c>
      <c r="D476" s="42">
        <v>13207690</v>
      </c>
      <c r="E476" s="43" t="s">
        <v>1628</v>
      </c>
      <c r="F476" s="42" t="s">
        <v>1151</v>
      </c>
      <c r="G476" s="42" t="s">
        <v>195</v>
      </c>
      <c r="H476" s="42"/>
      <c r="I476" s="42"/>
      <c r="J476" s="42">
        <v>13207690</v>
      </c>
      <c r="K476" s="42"/>
      <c r="L476" s="44">
        <v>45293</v>
      </c>
      <c r="M476" s="44">
        <v>45293</v>
      </c>
      <c r="N476" s="42" t="s">
        <v>1152</v>
      </c>
      <c r="O476" s="42">
        <v>0</v>
      </c>
      <c r="P476" s="42">
        <v>20010206</v>
      </c>
      <c r="Q476" s="42" t="s">
        <v>1648</v>
      </c>
      <c r="R476" s="45">
        <v>410</v>
      </c>
      <c r="S476" s="46">
        <v>0.01</v>
      </c>
      <c r="T476" s="47" t="s">
        <v>198</v>
      </c>
      <c r="U476" s="48" t="s">
        <v>199</v>
      </c>
      <c r="V476" s="38"/>
      <c r="W476" s="48" t="s">
        <v>195</v>
      </c>
      <c r="X476" s="38" t="s">
        <v>426</v>
      </c>
      <c r="Y476" s="49" t="s">
        <v>427</v>
      </c>
      <c r="Z476" s="50" t="s">
        <v>1649</v>
      </c>
      <c r="AA476" s="38"/>
      <c r="AB476" s="38"/>
      <c r="AC476" s="38"/>
      <c r="AD476" s="51">
        <v>38</v>
      </c>
      <c r="AE476" s="51">
        <v>38</v>
      </c>
      <c r="AF476" s="48" t="s">
        <v>203</v>
      </c>
      <c r="AG476" s="38" t="s">
        <v>204</v>
      </c>
      <c r="AH476" s="52"/>
      <c r="AI476" s="38"/>
      <c r="AJ476" s="38"/>
    </row>
    <row r="477" spans="1:36" ht="16.2">
      <c r="A477" s="53" t="s">
        <v>857</v>
      </c>
      <c r="B477" s="53">
        <v>579064</v>
      </c>
      <c r="C477" s="53" t="s">
        <v>1650</v>
      </c>
      <c r="D477" s="53">
        <v>13207691</v>
      </c>
      <c r="E477" s="54" t="s">
        <v>1651</v>
      </c>
      <c r="F477" s="53" t="s">
        <v>1652</v>
      </c>
      <c r="G477" s="53" t="s">
        <v>195</v>
      </c>
      <c r="H477" s="53" t="s">
        <v>1653</v>
      </c>
      <c r="I477" s="53"/>
      <c r="J477" s="53">
        <v>13207691</v>
      </c>
      <c r="K477" s="53"/>
      <c r="L477" s="55">
        <v>45293</v>
      </c>
      <c r="M477" s="55">
        <v>45293</v>
      </c>
      <c r="N477" s="53" t="s">
        <v>1654</v>
      </c>
      <c r="O477" s="53">
        <v>0</v>
      </c>
      <c r="P477" s="53">
        <v>20009942</v>
      </c>
      <c r="Q477" s="53" t="s">
        <v>1655</v>
      </c>
      <c r="R477" s="45">
        <v>410</v>
      </c>
      <c r="S477" s="56">
        <v>0.01</v>
      </c>
      <c r="T477" s="47" t="s">
        <v>198</v>
      </c>
      <c r="U477" s="48" t="s">
        <v>199</v>
      </c>
      <c r="V477" s="38"/>
      <c r="W477" s="48" t="s">
        <v>195</v>
      </c>
      <c r="X477" s="38" t="s">
        <v>426</v>
      </c>
      <c r="Y477" s="49" t="s">
        <v>427</v>
      </c>
      <c r="Z477" s="50" t="s">
        <v>1656</v>
      </c>
      <c r="AA477" s="47" t="s">
        <v>1657</v>
      </c>
      <c r="AB477" s="38"/>
      <c r="AC477" s="38"/>
      <c r="AD477" s="51">
        <v>21</v>
      </c>
      <c r="AE477" s="51">
        <v>21</v>
      </c>
      <c r="AF477" s="48" t="s">
        <v>203</v>
      </c>
      <c r="AG477" s="38" t="s">
        <v>204</v>
      </c>
      <c r="AH477" s="52"/>
      <c r="AI477" s="38"/>
      <c r="AJ477" s="38"/>
    </row>
    <row r="478" spans="1:36" ht="16.2">
      <c r="A478" s="42" t="s">
        <v>340</v>
      </c>
      <c r="B478" s="42">
        <v>579079</v>
      </c>
      <c r="C478" s="42" t="s">
        <v>1658</v>
      </c>
      <c r="D478" s="42">
        <v>13207635</v>
      </c>
      <c r="E478" s="43" t="s">
        <v>1659</v>
      </c>
      <c r="F478" s="42" t="s">
        <v>1660</v>
      </c>
      <c r="G478" s="42" t="s">
        <v>195</v>
      </c>
      <c r="H478" s="42"/>
      <c r="I478" s="42"/>
      <c r="J478" s="42">
        <v>13207635</v>
      </c>
      <c r="K478" s="42"/>
      <c r="L478" s="44">
        <v>45293</v>
      </c>
      <c r="M478" s="44">
        <v>45293</v>
      </c>
      <c r="N478" s="42" t="s">
        <v>1661</v>
      </c>
      <c r="O478" s="42">
        <v>0</v>
      </c>
      <c r="P478" s="42">
        <v>20040863</v>
      </c>
      <c r="Q478" s="42" t="s">
        <v>1662</v>
      </c>
      <c r="R478" s="45">
        <v>410</v>
      </c>
      <c r="S478" s="46">
        <v>0.01</v>
      </c>
      <c r="T478" s="47" t="s">
        <v>198</v>
      </c>
      <c r="U478" s="48" t="s">
        <v>199</v>
      </c>
      <c r="V478" s="38"/>
      <c r="W478" s="48" t="s">
        <v>195</v>
      </c>
      <c r="X478" s="38" t="s">
        <v>308</v>
      </c>
      <c r="Y478" s="49" t="s">
        <v>309</v>
      </c>
      <c r="Z478" s="50" t="s">
        <v>1663</v>
      </c>
      <c r="AA478" s="38"/>
      <c r="AB478" s="38"/>
      <c r="AC478" s="38"/>
      <c r="AD478" s="51">
        <v>24</v>
      </c>
      <c r="AE478" s="51">
        <v>24</v>
      </c>
      <c r="AF478" s="48" t="s">
        <v>203</v>
      </c>
      <c r="AG478" s="38" t="s">
        <v>204</v>
      </c>
      <c r="AH478" s="52"/>
      <c r="AI478" s="38"/>
      <c r="AJ478" s="38"/>
    </row>
    <row r="479" spans="1:36" ht="16.2">
      <c r="A479" s="53" t="s">
        <v>191</v>
      </c>
      <c r="B479" s="53">
        <v>900233</v>
      </c>
      <c r="C479" s="53" t="s">
        <v>1664</v>
      </c>
      <c r="D479" s="53">
        <v>13207716</v>
      </c>
      <c r="E479" s="54" t="s">
        <v>1665</v>
      </c>
      <c r="F479" s="53" t="s">
        <v>1666</v>
      </c>
      <c r="G479" s="53" t="s">
        <v>195</v>
      </c>
      <c r="H479" s="53"/>
      <c r="I479" s="53"/>
      <c r="J479" s="53">
        <v>13207716</v>
      </c>
      <c r="K479" s="53"/>
      <c r="L479" s="55">
        <v>45293</v>
      </c>
      <c r="M479" s="55">
        <v>45293</v>
      </c>
      <c r="N479" s="53" t="s">
        <v>364</v>
      </c>
      <c r="O479" s="53">
        <v>0</v>
      </c>
      <c r="P479" s="53">
        <v>20062740</v>
      </c>
      <c r="Q479" s="53" t="s">
        <v>1667</v>
      </c>
      <c r="R479" s="45">
        <v>410</v>
      </c>
      <c r="S479" s="56">
        <v>0.01</v>
      </c>
      <c r="T479" s="47" t="s">
        <v>198</v>
      </c>
      <c r="U479" s="48" t="s">
        <v>199</v>
      </c>
      <c r="V479" s="38"/>
      <c r="W479" s="48" t="s">
        <v>195</v>
      </c>
      <c r="X479" s="38" t="s">
        <v>200</v>
      </c>
      <c r="Y479" s="49" t="s">
        <v>201</v>
      </c>
      <c r="Z479" s="50" t="s">
        <v>1668</v>
      </c>
      <c r="AA479" s="38"/>
      <c r="AB479" s="38"/>
      <c r="AC479" s="38"/>
      <c r="AD479" s="51">
        <v>12</v>
      </c>
      <c r="AE479" s="51">
        <v>12</v>
      </c>
      <c r="AF479" s="48" t="s">
        <v>203</v>
      </c>
      <c r="AG479" s="38" t="s">
        <v>204</v>
      </c>
      <c r="AH479" s="52"/>
      <c r="AI479" s="38"/>
      <c r="AJ479" s="38"/>
    </row>
    <row r="480" spans="1:36" ht="16.2">
      <c r="A480" s="42" t="s">
        <v>577</v>
      </c>
      <c r="B480" s="42">
        <v>699636</v>
      </c>
      <c r="C480" s="42" t="s">
        <v>1669</v>
      </c>
      <c r="D480" s="42">
        <v>13207569</v>
      </c>
      <c r="E480" s="43" t="s">
        <v>1670</v>
      </c>
      <c r="F480" s="42" t="s">
        <v>1671</v>
      </c>
      <c r="G480" s="42"/>
      <c r="H480" s="42"/>
      <c r="I480" s="42"/>
      <c r="J480" s="42"/>
      <c r="K480" s="42"/>
      <c r="L480" s="44">
        <v>45293</v>
      </c>
      <c r="M480" s="44">
        <v>45293</v>
      </c>
      <c r="N480" s="42" t="s">
        <v>1672</v>
      </c>
      <c r="O480" s="42">
        <v>0</v>
      </c>
      <c r="P480" s="42"/>
      <c r="Q480" s="42" t="s">
        <v>1673</v>
      </c>
      <c r="R480" s="45">
        <v>410</v>
      </c>
      <c r="S480" s="46">
        <v>0.01</v>
      </c>
      <c r="T480" s="47" t="s">
        <v>401</v>
      </c>
      <c r="U480" s="48" t="s">
        <v>199</v>
      </c>
      <c r="V480" s="38"/>
      <c r="W480" s="38"/>
      <c r="X480" s="38" t="s">
        <v>583</v>
      </c>
      <c r="Y480" s="49" t="s">
        <v>584</v>
      </c>
      <c r="Z480" s="50" t="s">
        <v>1674</v>
      </c>
      <c r="AA480" s="38"/>
      <c r="AB480" s="38"/>
      <c r="AC480" s="38"/>
      <c r="AD480" s="51">
        <v>1</v>
      </c>
      <c r="AE480" s="51">
        <v>0</v>
      </c>
      <c r="AF480" s="48" t="s">
        <v>195</v>
      </c>
      <c r="AG480" s="38" t="s">
        <v>403</v>
      </c>
      <c r="AH480" s="52"/>
      <c r="AI480" s="38"/>
      <c r="AJ480" s="38"/>
    </row>
    <row r="481" spans="1:36" ht="16.2">
      <c r="A481" s="53" t="s">
        <v>857</v>
      </c>
      <c r="B481" s="53">
        <v>690105</v>
      </c>
      <c r="C481" s="53" t="s">
        <v>1675</v>
      </c>
      <c r="D481" s="53">
        <v>13207697</v>
      </c>
      <c r="E481" s="54" t="s">
        <v>1676</v>
      </c>
      <c r="F481" s="53" t="s">
        <v>1155</v>
      </c>
      <c r="G481" s="53" t="s">
        <v>195</v>
      </c>
      <c r="H481" s="53"/>
      <c r="I481" s="53"/>
      <c r="J481" s="53">
        <v>13207697</v>
      </c>
      <c r="K481" s="53"/>
      <c r="L481" s="55">
        <v>45293</v>
      </c>
      <c r="M481" s="55">
        <v>45293</v>
      </c>
      <c r="N481" s="53" t="s">
        <v>1677</v>
      </c>
      <c r="O481" s="53">
        <v>0</v>
      </c>
      <c r="P481" s="53">
        <v>20019987</v>
      </c>
      <c r="Q481" s="53" t="s">
        <v>1678</v>
      </c>
      <c r="R481" s="45">
        <v>410</v>
      </c>
      <c r="S481" s="56">
        <v>0.01</v>
      </c>
      <c r="T481" s="47" t="s">
        <v>198</v>
      </c>
      <c r="U481" s="48" t="s">
        <v>199</v>
      </c>
      <c r="V481" s="38"/>
      <c r="W481" s="48" t="s">
        <v>195</v>
      </c>
      <c r="X481" s="38" t="s">
        <v>426</v>
      </c>
      <c r="Y481" s="49" t="s">
        <v>427</v>
      </c>
      <c r="Z481" s="50" t="s">
        <v>1679</v>
      </c>
      <c r="AA481" s="38"/>
      <c r="AB481" s="38"/>
      <c r="AC481" s="38"/>
      <c r="AD481" s="51">
        <v>22</v>
      </c>
      <c r="AE481" s="51">
        <v>22</v>
      </c>
      <c r="AF481" s="48" t="s">
        <v>203</v>
      </c>
      <c r="AG481" s="38" t="s">
        <v>204</v>
      </c>
      <c r="AH481" s="52"/>
      <c r="AI481" s="38"/>
      <c r="AJ481" s="38"/>
    </row>
    <row r="482" spans="1:36" ht="16.2">
      <c r="A482" s="42" t="s">
        <v>857</v>
      </c>
      <c r="B482" s="42">
        <v>690105</v>
      </c>
      <c r="C482" s="42" t="s">
        <v>1675</v>
      </c>
      <c r="D482" s="42">
        <v>13207697</v>
      </c>
      <c r="E482" s="43" t="s">
        <v>1676</v>
      </c>
      <c r="F482" s="42" t="s">
        <v>1680</v>
      </c>
      <c r="G482" s="42" t="s">
        <v>195</v>
      </c>
      <c r="H482" s="42"/>
      <c r="I482" s="42"/>
      <c r="J482" s="42">
        <v>13207697</v>
      </c>
      <c r="K482" s="42"/>
      <c r="L482" s="44">
        <v>45293</v>
      </c>
      <c r="M482" s="44">
        <v>45293</v>
      </c>
      <c r="N482" s="42" t="s">
        <v>1677</v>
      </c>
      <c r="O482" s="42">
        <v>0</v>
      </c>
      <c r="P482" s="42">
        <v>20019987</v>
      </c>
      <c r="Q482" s="42" t="s">
        <v>1681</v>
      </c>
      <c r="R482" s="45">
        <v>410</v>
      </c>
      <c r="S482" s="46">
        <v>0.01</v>
      </c>
      <c r="T482" s="47" t="s">
        <v>198</v>
      </c>
      <c r="U482" s="48" t="s">
        <v>199</v>
      </c>
      <c r="V482" s="38"/>
      <c r="W482" s="48" t="s">
        <v>195</v>
      </c>
      <c r="X482" s="38" t="s">
        <v>426</v>
      </c>
      <c r="Y482" s="49" t="s">
        <v>427</v>
      </c>
      <c r="Z482" s="50" t="s">
        <v>1682</v>
      </c>
      <c r="AA482" s="38"/>
      <c r="AB482" s="38"/>
      <c r="AC482" s="38"/>
      <c r="AD482" s="51">
        <v>22</v>
      </c>
      <c r="AE482" s="51">
        <v>22</v>
      </c>
      <c r="AF482" s="48" t="s">
        <v>203</v>
      </c>
      <c r="AG482" s="38" t="s">
        <v>204</v>
      </c>
      <c r="AH482" s="52"/>
      <c r="AI482" s="38"/>
      <c r="AJ482" s="38"/>
    </row>
    <row r="483" spans="1:36" ht="16.2">
      <c r="A483" s="53" t="s">
        <v>857</v>
      </c>
      <c r="B483" s="53">
        <v>690105</v>
      </c>
      <c r="C483" s="53" t="s">
        <v>1675</v>
      </c>
      <c r="D483" s="53">
        <v>13207697</v>
      </c>
      <c r="E483" s="54" t="s">
        <v>1676</v>
      </c>
      <c r="F483" s="53" t="s">
        <v>1151</v>
      </c>
      <c r="G483" s="53" t="s">
        <v>195</v>
      </c>
      <c r="H483" s="53"/>
      <c r="I483" s="53"/>
      <c r="J483" s="53">
        <v>13207697</v>
      </c>
      <c r="K483" s="53"/>
      <c r="L483" s="55">
        <v>45293</v>
      </c>
      <c r="M483" s="55">
        <v>45293</v>
      </c>
      <c r="N483" s="53" t="s">
        <v>1677</v>
      </c>
      <c r="O483" s="53">
        <v>0</v>
      </c>
      <c r="P483" s="53">
        <v>20019987</v>
      </c>
      <c r="Q483" s="53" t="s">
        <v>1683</v>
      </c>
      <c r="R483" s="45">
        <v>410</v>
      </c>
      <c r="S483" s="56">
        <v>0.01</v>
      </c>
      <c r="T483" s="47" t="s">
        <v>198</v>
      </c>
      <c r="U483" s="48" t="s">
        <v>199</v>
      </c>
      <c r="V483" s="38"/>
      <c r="W483" s="48" t="s">
        <v>195</v>
      </c>
      <c r="X483" s="38" t="s">
        <v>426</v>
      </c>
      <c r="Y483" s="49" t="s">
        <v>427</v>
      </c>
      <c r="Z483" s="50" t="s">
        <v>1684</v>
      </c>
      <c r="AA483" s="38"/>
      <c r="AB483" s="38"/>
      <c r="AC483" s="38"/>
      <c r="AD483" s="51">
        <v>22</v>
      </c>
      <c r="AE483" s="51">
        <v>22</v>
      </c>
      <c r="AF483" s="48" t="s">
        <v>203</v>
      </c>
      <c r="AG483" s="38" t="s">
        <v>204</v>
      </c>
      <c r="AH483" s="52"/>
      <c r="AI483" s="38"/>
      <c r="AJ483" s="38"/>
    </row>
    <row r="484" spans="1:36" ht="16.2">
      <c r="A484" s="42" t="s">
        <v>857</v>
      </c>
      <c r="B484" s="42">
        <v>690105</v>
      </c>
      <c r="C484" s="42" t="s">
        <v>1675</v>
      </c>
      <c r="D484" s="42">
        <v>13207697</v>
      </c>
      <c r="E484" s="43" t="s">
        <v>1676</v>
      </c>
      <c r="F484" s="42" t="s">
        <v>1685</v>
      </c>
      <c r="G484" s="42" t="s">
        <v>195</v>
      </c>
      <c r="H484" s="42"/>
      <c r="I484" s="42"/>
      <c r="J484" s="42">
        <v>13207697</v>
      </c>
      <c r="K484" s="42"/>
      <c r="L484" s="44">
        <v>45293</v>
      </c>
      <c r="M484" s="44">
        <v>45293</v>
      </c>
      <c r="N484" s="42" t="s">
        <v>1677</v>
      </c>
      <c r="O484" s="42">
        <v>0</v>
      </c>
      <c r="P484" s="42">
        <v>20019987</v>
      </c>
      <c r="Q484" s="42" t="s">
        <v>1686</v>
      </c>
      <c r="R484" s="45">
        <v>410</v>
      </c>
      <c r="S484" s="46">
        <v>0.01</v>
      </c>
      <c r="T484" s="47" t="s">
        <v>198</v>
      </c>
      <c r="U484" s="48" t="s">
        <v>199</v>
      </c>
      <c r="V484" s="38"/>
      <c r="W484" s="48" t="s">
        <v>195</v>
      </c>
      <c r="X484" s="38" t="s">
        <v>426</v>
      </c>
      <c r="Y484" s="49" t="s">
        <v>427</v>
      </c>
      <c r="Z484" s="50" t="s">
        <v>1687</v>
      </c>
      <c r="AA484" s="38"/>
      <c r="AB484" s="38"/>
      <c r="AC484" s="38"/>
      <c r="AD484" s="51">
        <v>22</v>
      </c>
      <c r="AE484" s="51">
        <v>22</v>
      </c>
      <c r="AF484" s="48" t="s">
        <v>203</v>
      </c>
      <c r="AG484" s="38" t="s">
        <v>204</v>
      </c>
      <c r="AH484" s="52"/>
      <c r="AI484" s="38"/>
      <c r="AJ484" s="38"/>
    </row>
    <row r="485" spans="1:36" ht="16.2">
      <c r="A485" s="53" t="s">
        <v>857</v>
      </c>
      <c r="B485" s="53">
        <v>690105</v>
      </c>
      <c r="C485" s="53" t="s">
        <v>1675</v>
      </c>
      <c r="D485" s="53">
        <v>13207697</v>
      </c>
      <c r="E485" s="54" t="s">
        <v>1676</v>
      </c>
      <c r="F485" s="53" t="s">
        <v>1688</v>
      </c>
      <c r="G485" s="53" t="s">
        <v>195</v>
      </c>
      <c r="H485" s="53"/>
      <c r="I485" s="53"/>
      <c r="J485" s="53">
        <v>13207697</v>
      </c>
      <c r="K485" s="53"/>
      <c r="L485" s="55">
        <v>45293</v>
      </c>
      <c r="M485" s="55">
        <v>45293</v>
      </c>
      <c r="N485" s="53" t="s">
        <v>1677</v>
      </c>
      <c r="O485" s="53">
        <v>0</v>
      </c>
      <c r="P485" s="53">
        <v>20019987</v>
      </c>
      <c r="Q485" s="53" t="s">
        <v>1689</v>
      </c>
      <c r="R485" s="45">
        <v>410</v>
      </c>
      <c r="S485" s="56">
        <v>0.01</v>
      </c>
      <c r="T485" s="47" t="s">
        <v>198</v>
      </c>
      <c r="U485" s="48" t="s">
        <v>199</v>
      </c>
      <c r="V485" s="38"/>
      <c r="W485" s="48" t="s">
        <v>195</v>
      </c>
      <c r="X485" s="38" t="s">
        <v>426</v>
      </c>
      <c r="Y485" s="49" t="s">
        <v>427</v>
      </c>
      <c r="Z485" s="50" t="s">
        <v>1690</v>
      </c>
      <c r="AA485" s="60"/>
      <c r="AB485" s="38"/>
      <c r="AC485" s="38"/>
      <c r="AD485" s="51">
        <v>22</v>
      </c>
      <c r="AE485" s="51">
        <v>22</v>
      </c>
      <c r="AF485" s="48" t="s">
        <v>203</v>
      </c>
      <c r="AG485" s="38" t="s">
        <v>204</v>
      </c>
      <c r="AH485" s="52"/>
      <c r="AI485" s="38"/>
      <c r="AJ485" s="38"/>
    </row>
    <row r="486" spans="1:36" ht="16.2">
      <c r="A486" s="42" t="s">
        <v>857</v>
      </c>
      <c r="B486" s="42">
        <v>690105</v>
      </c>
      <c r="C486" s="42" t="s">
        <v>1675</v>
      </c>
      <c r="D486" s="42">
        <v>13207697</v>
      </c>
      <c r="E486" s="43" t="s">
        <v>1676</v>
      </c>
      <c r="F486" s="42" t="s">
        <v>1691</v>
      </c>
      <c r="G486" s="42" t="s">
        <v>195</v>
      </c>
      <c r="H486" s="42"/>
      <c r="I486" s="42"/>
      <c r="J486" s="42">
        <v>13207697</v>
      </c>
      <c r="K486" s="42"/>
      <c r="L486" s="44">
        <v>45293</v>
      </c>
      <c r="M486" s="44">
        <v>45293</v>
      </c>
      <c r="N486" s="42" t="s">
        <v>1677</v>
      </c>
      <c r="O486" s="42">
        <v>0</v>
      </c>
      <c r="P486" s="42">
        <v>20019987</v>
      </c>
      <c r="Q486" s="42" t="s">
        <v>1692</v>
      </c>
      <c r="R486" s="45">
        <v>410</v>
      </c>
      <c r="S486" s="46">
        <v>0.01</v>
      </c>
      <c r="T486" s="47" t="s">
        <v>198</v>
      </c>
      <c r="U486" s="48" t="s">
        <v>199</v>
      </c>
      <c r="V486" s="38"/>
      <c r="W486" s="48" t="s">
        <v>195</v>
      </c>
      <c r="X486" s="38" t="s">
        <v>426</v>
      </c>
      <c r="Y486" s="49" t="s">
        <v>427</v>
      </c>
      <c r="Z486" s="50" t="s">
        <v>1693</v>
      </c>
      <c r="AA486" s="38"/>
      <c r="AB486" s="38"/>
      <c r="AC486" s="38"/>
      <c r="AD486" s="51">
        <v>22</v>
      </c>
      <c r="AE486" s="51">
        <v>22</v>
      </c>
      <c r="AF486" s="48" t="s">
        <v>203</v>
      </c>
      <c r="AG486" s="38" t="s">
        <v>204</v>
      </c>
      <c r="AH486" s="52"/>
      <c r="AI486" s="38"/>
      <c r="AJ486" s="38"/>
    </row>
    <row r="487" spans="1:36" ht="16.2">
      <c r="A487" s="53" t="s">
        <v>857</v>
      </c>
      <c r="B487" s="53">
        <v>690105</v>
      </c>
      <c r="C487" s="53" t="s">
        <v>1675</v>
      </c>
      <c r="D487" s="53">
        <v>13207697</v>
      </c>
      <c r="E487" s="54" t="s">
        <v>1676</v>
      </c>
      <c r="F487" s="53" t="s">
        <v>1694</v>
      </c>
      <c r="G487" s="53" t="s">
        <v>195</v>
      </c>
      <c r="H487" s="53"/>
      <c r="I487" s="53"/>
      <c r="J487" s="53">
        <v>13207697</v>
      </c>
      <c r="K487" s="53"/>
      <c r="L487" s="55">
        <v>45293</v>
      </c>
      <c r="M487" s="55">
        <v>45293</v>
      </c>
      <c r="N487" s="53" t="s">
        <v>1677</v>
      </c>
      <c r="O487" s="53">
        <v>0</v>
      </c>
      <c r="P487" s="53">
        <v>20019987</v>
      </c>
      <c r="Q487" s="53" t="s">
        <v>1695</v>
      </c>
      <c r="R487" s="45">
        <v>410</v>
      </c>
      <c r="S487" s="56">
        <v>0.01</v>
      </c>
      <c r="T487" s="47" t="s">
        <v>198</v>
      </c>
      <c r="U487" s="48" t="s">
        <v>199</v>
      </c>
      <c r="V487" s="38"/>
      <c r="W487" s="48" t="s">
        <v>195</v>
      </c>
      <c r="X487" s="38" t="s">
        <v>426</v>
      </c>
      <c r="Y487" s="49" t="s">
        <v>427</v>
      </c>
      <c r="Z487" s="50" t="s">
        <v>1696</v>
      </c>
      <c r="AA487" s="38"/>
      <c r="AB487" s="38"/>
      <c r="AC487" s="38"/>
      <c r="AD487" s="51">
        <v>22</v>
      </c>
      <c r="AE487" s="51">
        <v>22</v>
      </c>
      <c r="AF487" s="48" t="s">
        <v>203</v>
      </c>
      <c r="AG487" s="38" t="s">
        <v>204</v>
      </c>
      <c r="AH487" s="52"/>
      <c r="AI487" s="38"/>
      <c r="AJ487" s="38"/>
    </row>
    <row r="488" spans="1:36" ht="16.2">
      <c r="A488" s="42" t="s">
        <v>857</v>
      </c>
      <c r="B488" s="42">
        <v>690105</v>
      </c>
      <c r="C488" s="42" t="s">
        <v>1675</v>
      </c>
      <c r="D488" s="42">
        <v>13207697</v>
      </c>
      <c r="E488" s="43" t="s">
        <v>1676</v>
      </c>
      <c r="F488" s="42" t="s">
        <v>1697</v>
      </c>
      <c r="G488" s="42" t="s">
        <v>195</v>
      </c>
      <c r="H488" s="42"/>
      <c r="I488" s="42"/>
      <c r="J488" s="42">
        <v>13207697</v>
      </c>
      <c r="K488" s="42"/>
      <c r="L488" s="44">
        <v>45293</v>
      </c>
      <c r="M488" s="44">
        <v>45293</v>
      </c>
      <c r="N488" s="42" t="s">
        <v>1677</v>
      </c>
      <c r="O488" s="42">
        <v>0</v>
      </c>
      <c r="P488" s="42">
        <v>20019987</v>
      </c>
      <c r="Q488" s="42" t="s">
        <v>1698</v>
      </c>
      <c r="R488" s="45">
        <v>410</v>
      </c>
      <c r="S488" s="46">
        <v>0.01</v>
      </c>
      <c r="T488" s="47" t="s">
        <v>198</v>
      </c>
      <c r="U488" s="48" t="s">
        <v>199</v>
      </c>
      <c r="V488" s="38"/>
      <c r="W488" s="48" t="s">
        <v>195</v>
      </c>
      <c r="X488" s="38" t="s">
        <v>426</v>
      </c>
      <c r="Y488" s="49" t="s">
        <v>427</v>
      </c>
      <c r="Z488" s="50" t="s">
        <v>1699</v>
      </c>
      <c r="AA488" s="38"/>
      <c r="AB488" s="38"/>
      <c r="AC488" s="38"/>
      <c r="AD488" s="51">
        <v>22</v>
      </c>
      <c r="AE488" s="51">
        <v>22</v>
      </c>
      <c r="AF488" s="48" t="s">
        <v>203</v>
      </c>
      <c r="AG488" s="38" t="s">
        <v>204</v>
      </c>
      <c r="AH488" s="52"/>
      <c r="AI488" s="38"/>
      <c r="AJ488" s="38"/>
    </row>
    <row r="489" spans="1:36" ht="16.2">
      <c r="A489" s="53" t="s">
        <v>857</v>
      </c>
      <c r="B489" s="53">
        <v>690105</v>
      </c>
      <c r="C489" s="53" t="s">
        <v>1675</v>
      </c>
      <c r="D489" s="53">
        <v>13207697</v>
      </c>
      <c r="E489" s="54" t="s">
        <v>1676</v>
      </c>
      <c r="F489" s="53" t="s">
        <v>1700</v>
      </c>
      <c r="G489" s="53" t="s">
        <v>195</v>
      </c>
      <c r="H489" s="53"/>
      <c r="I489" s="53"/>
      <c r="J489" s="53">
        <v>13207697</v>
      </c>
      <c r="K489" s="53"/>
      <c r="L489" s="55">
        <v>45293</v>
      </c>
      <c r="M489" s="55">
        <v>45293</v>
      </c>
      <c r="N489" s="53" t="s">
        <v>1677</v>
      </c>
      <c r="O489" s="53">
        <v>0</v>
      </c>
      <c r="P489" s="53">
        <v>20019987</v>
      </c>
      <c r="Q489" s="53" t="s">
        <v>1701</v>
      </c>
      <c r="R489" s="45">
        <v>410</v>
      </c>
      <c r="S489" s="56">
        <v>0.01</v>
      </c>
      <c r="T489" s="47" t="s">
        <v>198</v>
      </c>
      <c r="U489" s="48" t="s">
        <v>199</v>
      </c>
      <c r="V489" s="38"/>
      <c r="W489" s="48" t="s">
        <v>195</v>
      </c>
      <c r="X489" s="38" t="s">
        <v>426</v>
      </c>
      <c r="Y489" s="49" t="s">
        <v>427</v>
      </c>
      <c r="Z489" s="50" t="s">
        <v>1702</v>
      </c>
      <c r="AA489" s="38"/>
      <c r="AB489" s="38"/>
      <c r="AC489" s="38"/>
      <c r="AD489" s="51">
        <v>22</v>
      </c>
      <c r="AE489" s="51">
        <v>22</v>
      </c>
      <c r="AF489" s="48" t="s">
        <v>203</v>
      </c>
      <c r="AG489" s="38" t="s">
        <v>204</v>
      </c>
      <c r="AH489" s="52"/>
      <c r="AI489" s="38"/>
      <c r="AJ489" s="38"/>
    </row>
    <row r="490" spans="1:36" ht="16.2">
      <c r="A490" s="42" t="s">
        <v>340</v>
      </c>
      <c r="B490" s="42">
        <v>820082</v>
      </c>
      <c r="C490" s="42" t="s">
        <v>79</v>
      </c>
      <c r="D490" s="42">
        <v>13207629</v>
      </c>
      <c r="E490" s="43" t="s">
        <v>1703</v>
      </c>
      <c r="F490" s="42" t="s">
        <v>1704</v>
      </c>
      <c r="G490" s="42" t="s">
        <v>195</v>
      </c>
      <c r="H490" s="42" t="s">
        <v>1705</v>
      </c>
      <c r="I490" s="42">
        <v>23631146</v>
      </c>
      <c r="J490" s="42">
        <v>13207629</v>
      </c>
      <c r="K490" s="42"/>
      <c r="L490" s="44">
        <v>45293</v>
      </c>
      <c r="M490" s="44">
        <v>45293</v>
      </c>
      <c r="N490" s="42" t="s">
        <v>1706</v>
      </c>
      <c r="O490" s="42">
        <v>0</v>
      </c>
      <c r="P490" s="42">
        <v>20031425</v>
      </c>
      <c r="Q490" s="42" t="s">
        <v>1707</v>
      </c>
      <c r="R490" s="45">
        <v>410</v>
      </c>
      <c r="S490" s="46">
        <v>0.01</v>
      </c>
      <c r="T490" s="47" t="s">
        <v>198</v>
      </c>
      <c r="U490" s="48" t="s">
        <v>199</v>
      </c>
      <c r="V490" s="38"/>
      <c r="W490" s="48" t="s">
        <v>195</v>
      </c>
      <c r="X490" s="38" t="s">
        <v>308</v>
      </c>
      <c r="Y490" s="49" t="s">
        <v>309</v>
      </c>
      <c r="Z490" s="50" t="s">
        <v>1708</v>
      </c>
      <c r="AA490" s="47" t="s">
        <v>1709</v>
      </c>
      <c r="AB490" s="38"/>
      <c r="AC490" s="38"/>
      <c r="AD490" s="51">
        <v>20</v>
      </c>
      <c r="AE490" s="51">
        <v>20</v>
      </c>
      <c r="AF490" s="48" t="s">
        <v>203</v>
      </c>
      <c r="AG490" s="38" t="s">
        <v>204</v>
      </c>
      <c r="AH490" s="52"/>
      <c r="AI490" s="38"/>
      <c r="AJ490" s="38"/>
    </row>
    <row r="491" spans="1:36" ht="16.2">
      <c r="A491" s="53" t="s">
        <v>340</v>
      </c>
      <c r="B491" s="53">
        <v>820082</v>
      </c>
      <c r="C491" s="53" t="s">
        <v>79</v>
      </c>
      <c r="D491" s="53">
        <v>13207629</v>
      </c>
      <c r="E491" s="54" t="s">
        <v>1703</v>
      </c>
      <c r="F491" s="53" t="s">
        <v>1710</v>
      </c>
      <c r="G491" s="53" t="s">
        <v>195</v>
      </c>
      <c r="H491" s="53" t="s">
        <v>1711</v>
      </c>
      <c r="I491" s="53">
        <v>23671372</v>
      </c>
      <c r="J491" s="53">
        <v>13207629</v>
      </c>
      <c r="K491" s="53"/>
      <c r="L491" s="55">
        <v>45293</v>
      </c>
      <c r="M491" s="55">
        <v>45293</v>
      </c>
      <c r="N491" s="53" t="s">
        <v>1706</v>
      </c>
      <c r="O491" s="53">
        <v>0</v>
      </c>
      <c r="P491" s="53">
        <v>20031425</v>
      </c>
      <c r="Q491" s="53" t="s">
        <v>1712</v>
      </c>
      <c r="R491" s="45">
        <v>410</v>
      </c>
      <c r="S491" s="56">
        <v>0.01</v>
      </c>
      <c r="T491" s="47" t="s">
        <v>198</v>
      </c>
      <c r="U491" s="48" t="s">
        <v>199</v>
      </c>
      <c r="V491" s="38"/>
      <c r="W491" s="48" t="s">
        <v>195</v>
      </c>
      <c r="X491" s="38" t="s">
        <v>308</v>
      </c>
      <c r="Y491" s="49" t="s">
        <v>309</v>
      </c>
      <c r="Z491" s="50" t="s">
        <v>1713</v>
      </c>
      <c r="AA491" s="47" t="s">
        <v>1714</v>
      </c>
      <c r="AB491" s="38"/>
      <c r="AC491" s="38"/>
      <c r="AD491" s="51">
        <v>20</v>
      </c>
      <c r="AE491" s="51">
        <v>20</v>
      </c>
      <c r="AF491" s="48" t="s">
        <v>203</v>
      </c>
      <c r="AG491" s="38" t="s">
        <v>204</v>
      </c>
      <c r="AH491" s="52"/>
      <c r="AI491" s="38"/>
      <c r="AJ491" s="38"/>
    </row>
    <row r="492" spans="1:36" ht="16.2">
      <c r="A492" s="42" t="s">
        <v>340</v>
      </c>
      <c r="B492" s="42">
        <v>820082</v>
      </c>
      <c r="C492" s="42" t="s">
        <v>79</v>
      </c>
      <c r="D492" s="42">
        <v>13207629</v>
      </c>
      <c r="E492" s="43" t="s">
        <v>1703</v>
      </c>
      <c r="F492" s="42" t="s">
        <v>1715</v>
      </c>
      <c r="G492" s="42" t="s">
        <v>195</v>
      </c>
      <c r="H492" s="42"/>
      <c r="I492" s="42"/>
      <c r="J492" s="42">
        <v>13207629</v>
      </c>
      <c r="K492" s="42"/>
      <c r="L492" s="44">
        <v>45293</v>
      </c>
      <c r="M492" s="44">
        <v>45293</v>
      </c>
      <c r="N492" s="42" t="s">
        <v>1706</v>
      </c>
      <c r="O492" s="42">
        <v>0</v>
      </c>
      <c r="P492" s="42">
        <v>20031425</v>
      </c>
      <c r="Q492" s="42" t="s">
        <v>1716</v>
      </c>
      <c r="R492" s="45">
        <v>410</v>
      </c>
      <c r="S492" s="46">
        <v>0.01</v>
      </c>
      <c r="T492" s="47" t="s">
        <v>198</v>
      </c>
      <c r="U492" s="48" t="s">
        <v>199</v>
      </c>
      <c r="V492" s="38"/>
      <c r="W492" s="48" t="s">
        <v>195</v>
      </c>
      <c r="X492" s="38" t="s">
        <v>308</v>
      </c>
      <c r="Y492" s="49" t="s">
        <v>309</v>
      </c>
      <c r="Z492" s="50" t="s">
        <v>1717</v>
      </c>
      <c r="AA492" s="38"/>
      <c r="AB492" s="38"/>
      <c r="AC492" s="38"/>
      <c r="AD492" s="51">
        <v>20</v>
      </c>
      <c r="AE492" s="51">
        <v>20</v>
      </c>
      <c r="AF492" s="48" t="s">
        <v>203</v>
      </c>
      <c r="AG492" s="38" t="s">
        <v>204</v>
      </c>
      <c r="AH492" s="52"/>
      <c r="AI492" s="38"/>
      <c r="AJ492" s="38"/>
    </row>
    <row r="493" spans="1:36" ht="16.2">
      <c r="A493" s="53" t="s">
        <v>340</v>
      </c>
      <c r="B493" s="53">
        <v>820082</v>
      </c>
      <c r="C493" s="53" t="s">
        <v>79</v>
      </c>
      <c r="D493" s="53">
        <v>13207629</v>
      </c>
      <c r="E493" s="54" t="s">
        <v>1703</v>
      </c>
      <c r="F493" s="53" t="s">
        <v>1718</v>
      </c>
      <c r="G493" s="53" t="s">
        <v>195</v>
      </c>
      <c r="H493" s="53"/>
      <c r="I493" s="53"/>
      <c r="J493" s="53">
        <v>13207629</v>
      </c>
      <c r="K493" s="53"/>
      <c r="L493" s="55">
        <v>45293</v>
      </c>
      <c r="M493" s="55">
        <v>45293</v>
      </c>
      <c r="N493" s="53" t="s">
        <v>1706</v>
      </c>
      <c r="O493" s="53">
        <v>0</v>
      </c>
      <c r="P493" s="53">
        <v>20031425</v>
      </c>
      <c r="Q493" s="53" t="s">
        <v>1719</v>
      </c>
      <c r="R493" s="45">
        <v>410</v>
      </c>
      <c r="S493" s="56">
        <v>0.01</v>
      </c>
      <c r="T493" s="47" t="s">
        <v>198</v>
      </c>
      <c r="U493" s="48" t="s">
        <v>199</v>
      </c>
      <c r="V493" s="38"/>
      <c r="W493" s="48" t="s">
        <v>195</v>
      </c>
      <c r="X493" s="38" t="s">
        <v>308</v>
      </c>
      <c r="Y493" s="49" t="s">
        <v>309</v>
      </c>
      <c r="Z493" s="50" t="s">
        <v>1720</v>
      </c>
      <c r="AA493" s="38"/>
      <c r="AB493" s="38"/>
      <c r="AC493" s="38"/>
      <c r="AD493" s="51">
        <v>20</v>
      </c>
      <c r="AE493" s="51">
        <v>20</v>
      </c>
      <c r="AF493" s="48" t="s">
        <v>203</v>
      </c>
      <c r="AG493" s="38" t="s">
        <v>204</v>
      </c>
      <c r="AH493" s="52"/>
      <c r="AI493" s="38"/>
      <c r="AJ493" s="38"/>
    </row>
    <row r="494" spans="1:36" ht="16.2">
      <c r="A494" s="42" t="s">
        <v>340</v>
      </c>
      <c r="B494" s="42">
        <v>820082</v>
      </c>
      <c r="C494" s="42" t="s">
        <v>79</v>
      </c>
      <c r="D494" s="42">
        <v>13207629</v>
      </c>
      <c r="E494" s="43" t="s">
        <v>1703</v>
      </c>
      <c r="F494" s="42" t="s">
        <v>1721</v>
      </c>
      <c r="G494" s="42" t="s">
        <v>195</v>
      </c>
      <c r="H494" s="42"/>
      <c r="I494" s="42"/>
      <c r="J494" s="42">
        <v>13207629</v>
      </c>
      <c r="K494" s="42"/>
      <c r="L494" s="44">
        <v>45293</v>
      </c>
      <c r="M494" s="44">
        <v>45293</v>
      </c>
      <c r="N494" s="42" t="s">
        <v>1706</v>
      </c>
      <c r="O494" s="42">
        <v>0</v>
      </c>
      <c r="P494" s="42">
        <v>20031425</v>
      </c>
      <c r="Q494" s="42" t="s">
        <v>1722</v>
      </c>
      <c r="R494" s="45">
        <v>410</v>
      </c>
      <c r="S494" s="46">
        <v>0.01</v>
      </c>
      <c r="T494" s="47" t="s">
        <v>198</v>
      </c>
      <c r="U494" s="48" t="s">
        <v>199</v>
      </c>
      <c r="V494" s="38"/>
      <c r="W494" s="48" t="s">
        <v>195</v>
      </c>
      <c r="X494" s="38" t="s">
        <v>308</v>
      </c>
      <c r="Y494" s="49" t="s">
        <v>309</v>
      </c>
      <c r="Z494" s="50" t="s">
        <v>1723</v>
      </c>
      <c r="AA494" s="38"/>
      <c r="AB494" s="38"/>
      <c r="AC494" s="38"/>
      <c r="AD494" s="51">
        <v>20</v>
      </c>
      <c r="AE494" s="51">
        <v>20</v>
      </c>
      <c r="AF494" s="48" t="s">
        <v>203</v>
      </c>
      <c r="AG494" s="38" t="s">
        <v>204</v>
      </c>
      <c r="AH494" s="52"/>
      <c r="AI494" s="38"/>
      <c r="AJ494" s="38"/>
    </row>
    <row r="495" spans="1:36" ht="16.2">
      <c r="A495" s="53" t="s">
        <v>340</v>
      </c>
      <c r="B495" s="53">
        <v>820082</v>
      </c>
      <c r="C495" s="53" t="s">
        <v>79</v>
      </c>
      <c r="D495" s="53">
        <v>13207629</v>
      </c>
      <c r="E495" s="54" t="s">
        <v>1703</v>
      </c>
      <c r="F495" s="53" t="s">
        <v>1724</v>
      </c>
      <c r="G495" s="53" t="s">
        <v>195</v>
      </c>
      <c r="H495" s="53" t="s">
        <v>1725</v>
      </c>
      <c r="I495" s="53">
        <v>23803137</v>
      </c>
      <c r="J495" s="53">
        <v>13207629</v>
      </c>
      <c r="K495" s="53"/>
      <c r="L495" s="55">
        <v>45293</v>
      </c>
      <c r="M495" s="55">
        <v>45293</v>
      </c>
      <c r="N495" s="53" t="s">
        <v>1706</v>
      </c>
      <c r="O495" s="53">
        <v>0</v>
      </c>
      <c r="P495" s="53">
        <v>20031426</v>
      </c>
      <c r="Q495" s="53" t="s">
        <v>1726</v>
      </c>
      <c r="R495" s="45">
        <v>410</v>
      </c>
      <c r="S495" s="56">
        <v>0.01</v>
      </c>
      <c r="T495" s="47" t="s">
        <v>198</v>
      </c>
      <c r="U495" s="48" t="s">
        <v>199</v>
      </c>
      <c r="V495" s="38"/>
      <c r="W495" s="48" t="s">
        <v>195</v>
      </c>
      <c r="X495" s="38" t="s">
        <v>308</v>
      </c>
      <c r="Y495" s="49" t="s">
        <v>309</v>
      </c>
      <c r="Z495" s="50" t="s">
        <v>1727</v>
      </c>
      <c r="AA495" s="47" t="s">
        <v>1728</v>
      </c>
      <c r="AB495" s="38"/>
      <c r="AC495" s="38"/>
      <c r="AD495" s="51">
        <v>20</v>
      </c>
      <c r="AE495" s="51">
        <v>20</v>
      </c>
      <c r="AF495" s="48" t="s">
        <v>203</v>
      </c>
      <c r="AG495" s="38" t="s">
        <v>204</v>
      </c>
      <c r="AH495" s="52"/>
      <c r="AI495" s="38"/>
      <c r="AJ495" s="38"/>
    </row>
    <row r="496" spans="1:36" ht="16.2">
      <c r="A496" s="42" t="s">
        <v>340</v>
      </c>
      <c r="B496" s="42">
        <v>820082</v>
      </c>
      <c r="C496" s="42" t="s">
        <v>79</v>
      </c>
      <c r="D496" s="42">
        <v>13207629</v>
      </c>
      <c r="E496" s="43" t="s">
        <v>1703</v>
      </c>
      <c r="F496" s="42" t="s">
        <v>1729</v>
      </c>
      <c r="G496" s="42" t="s">
        <v>195</v>
      </c>
      <c r="H496" s="42" t="s">
        <v>1730</v>
      </c>
      <c r="I496" s="42">
        <v>23631146</v>
      </c>
      <c r="J496" s="42">
        <v>13207629</v>
      </c>
      <c r="K496" s="42"/>
      <c r="L496" s="44">
        <v>45293</v>
      </c>
      <c r="M496" s="44">
        <v>45293</v>
      </c>
      <c r="N496" s="42" t="s">
        <v>1706</v>
      </c>
      <c r="O496" s="46">
        <v>0.01</v>
      </c>
      <c r="P496" s="42">
        <v>20031425</v>
      </c>
      <c r="Q496" s="42" t="s">
        <v>1731</v>
      </c>
      <c r="R496" s="45">
        <v>410</v>
      </c>
      <c r="S496" s="46">
        <v>0.01</v>
      </c>
      <c r="T496" s="47" t="s">
        <v>198</v>
      </c>
      <c r="U496" s="48" t="s">
        <v>199</v>
      </c>
      <c r="V496" s="38"/>
      <c r="W496" s="48" t="s">
        <v>195</v>
      </c>
      <c r="X496" s="38" t="s">
        <v>308</v>
      </c>
      <c r="Y496" s="49" t="s">
        <v>309</v>
      </c>
      <c r="Z496" s="50" t="s">
        <v>1732</v>
      </c>
      <c r="AA496" s="47" t="s">
        <v>1733</v>
      </c>
      <c r="AB496" s="47" t="s">
        <v>1734</v>
      </c>
      <c r="AC496" s="38"/>
      <c r="AD496" s="51">
        <v>20</v>
      </c>
      <c r="AE496" s="51">
        <v>20</v>
      </c>
      <c r="AF496" s="48" t="s">
        <v>203</v>
      </c>
      <c r="AG496" s="38" t="s">
        <v>204</v>
      </c>
      <c r="AH496" s="52"/>
      <c r="AI496" s="38"/>
      <c r="AJ496" s="38"/>
    </row>
    <row r="497" spans="1:36" ht="16.2">
      <c r="A497" s="53" t="s">
        <v>340</v>
      </c>
      <c r="B497" s="53">
        <v>820082</v>
      </c>
      <c r="C497" s="53" t="s">
        <v>79</v>
      </c>
      <c r="D497" s="53">
        <v>13207629</v>
      </c>
      <c r="E497" s="54" t="s">
        <v>1703</v>
      </c>
      <c r="F497" s="53" t="s">
        <v>1735</v>
      </c>
      <c r="G497" s="53" t="s">
        <v>195</v>
      </c>
      <c r="H497" s="53"/>
      <c r="I497" s="53"/>
      <c r="J497" s="53">
        <v>13207629</v>
      </c>
      <c r="K497" s="53"/>
      <c r="L497" s="55">
        <v>45293</v>
      </c>
      <c r="M497" s="55">
        <v>45293</v>
      </c>
      <c r="N497" s="53" t="s">
        <v>1706</v>
      </c>
      <c r="O497" s="53">
        <v>0</v>
      </c>
      <c r="P497" s="53">
        <v>20031425</v>
      </c>
      <c r="Q497" s="53" t="s">
        <v>1736</v>
      </c>
      <c r="R497" s="45">
        <v>410</v>
      </c>
      <c r="S497" s="53">
        <v>0</v>
      </c>
      <c r="T497" s="47" t="s">
        <v>198</v>
      </c>
      <c r="U497" s="48" t="s">
        <v>199</v>
      </c>
      <c r="V497" s="38"/>
      <c r="W497" s="48" t="s">
        <v>195</v>
      </c>
      <c r="X497" s="38" t="s">
        <v>308</v>
      </c>
      <c r="Y497" s="49" t="s">
        <v>309</v>
      </c>
      <c r="Z497" s="50" t="s">
        <v>1737</v>
      </c>
      <c r="AA497" s="38"/>
      <c r="AB497" s="38"/>
      <c r="AC497" s="38"/>
      <c r="AD497" s="51">
        <v>20</v>
      </c>
      <c r="AE497" s="51">
        <v>20</v>
      </c>
      <c r="AF497" s="48" t="s">
        <v>203</v>
      </c>
      <c r="AG497" s="38" t="s">
        <v>204</v>
      </c>
      <c r="AH497" s="52"/>
      <c r="AI497" s="38"/>
      <c r="AJ497" s="38"/>
    </row>
    <row r="498" spans="1:36" ht="16.2">
      <c r="A498" s="42" t="s">
        <v>340</v>
      </c>
      <c r="B498" s="42">
        <v>820082</v>
      </c>
      <c r="C498" s="42" t="s">
        <v>79</v>
      </c>
      <c r="D498" s="42">
        <v>13207629</v>
      </c>
      <c r="E498" s="43" t="s">
        <v>1703</v>
      </c>
      <c r="F498" s="42" t="s">
        <v>1738</v>
      </c>
      <c r="G498" s="42" t="s">
        <v>195</v>
      </c>
      <c r="H498" s="42" t="s">
        <v>1739</v>
      </c>
      <c r="I498" s="42">
        <v>23631146</v>
      </c>
      <c r="J498" s="42">
        <v>13207629</v>
      </c>
      <c r="K498" s="42"/>
      <c r="L498" s="44">
        <v>45293</v>
      </c>
      <c r="M498" s="44">
        <v>45293</v>
      </c>
      <c r="N498" s="42" t="s">
        <v>1706</v>
      </c>
      <c r="O498" s="42">
        <v>0</v>
      </c>
      <c r="P498" s="42">
        <v>20031425</v>
      </c>
      <c r="Q498" s="42" t="s">
        <v>1740</v>
      </c>
      <c r="R498" s="45">
        <v>410</v>
      </c>
      <c r="S498" s="42">
        <v>0</v>
      </c>
      <c r="T498" s="47" t="s">
        <v>198</v>
      </c>
      <c r="U498" s="48" t="s">
        <v>199</v>
      </c>
      <c r="V498" s="38"/>
      <c r="W498" s="48" t="s">
        <v>195</v>
      </c>
      <c r="X498" s="38" t="s">
        <v>308</v>
      </c>
      <c r="Y498" s="49" t="s">
        <v>309</v>
      </c>
      <c r="Z498" s="50" t="s">
        <v>1741</v>
      </c>
      <c r="AA498" s="47" t="s">
        <v>1742</v>
      </c>
      <c r="AB498" s="38"/>
      <c r="AC498" s="38"/>
      <c r="AD498" s="51">
        <v>20</v>
      </c>
      <c r="AE498" s="51">
        <v>20</v>
      </c>
      <c r="AF498" s="48" t="s">
        <v>203</v>
      </c>
      <c r="AG498" s="38" t="s">
        <v>204</v>
      </c>
      <c r="AH498" s="52"/>
      <c r="AI498" s="38"/>
      <c r="AJ498" s="38"/>
    </row>
    <row r="499" spans="1:36" ht="16.2">
      <c r="A499" s="53" t="s">
        <v>340</v>
      </c>
      <c r="B499" s="53">
        <v>820082</v>
      </c>
      <c r="C499" s="53" t="s">
        <v>79</v>
      </c>
      <c r="D499" s="53">
        <v>13207629</v>
      </c>
      <c r="E499" s="54" t="s">
        <v>1703</v>
      </c>
      <c r="F499" s="53" t="s">
        <v>1743</v>
      </c>
      <c r="G499" s="53" t="s">
        <v>195</v>
      </c>
      <c r="H499" s="53"/>
      <c r="I499" s="53"/>
      <c r="J499" s="53">
        <v>13207629</v>
      </c>
      <c r="K499" s="53"/>
      <c r="L499" s="55">
        <v>45293</v>
      </c>
      <c r="M499" s="55">
        <v>45293</v>
      </c>
      <c r="N499" s="53" t="s">
        <v>1706</v>
      </c>
      <c r="O499" s="53">
        <v>0</v>
      </c>
      <c r="P499" s="53">
        <v>20031425</v>
      </c>
      <c r="Q499" s="53" t="s">
        <v>1744</v>
      </c>
      <c r="R499" s="45">
        <v>410</v>
      </c>
      <c r="S499" s="53">
        <v>0</v>
      </c>
      <c r="T499" s="47" t="s">
        <v>198</v>
      </c>
      <c r="U499" s="48" t="s">
        <v>199</v>
      </c>
      <c r="V499" s="38"/>
      <c r="W499" s="48" t="s">
        <v>195</v>
      </c>
      <c r="X499" s="38" t="s">
        <v>308</v>
      </c>
      <c r="Y499" s="49" t="s">
        <v>309</v>
      </c>
      <c r="Z499" s="50" t="s">
        <v>1745</v>
      </c>
      <c r="AA499" s="38"/>
      <c r="AB499" s="38"/>
      <c r="AC499" s="38"/>
      <c r="AD499" s="51">
        <v>20</v>
      </c>
      <c r="AE499" s="51">
        <v>20</v>
      </c>
      <c r="AF499" s="48" t="s">
        <v>203</v>
      </c>
      <c r="AG499" s="38" t="s">
        <v>204</v>
      </c>
      <c r="AH499" s="52"/>
      <c r="AI499" s="38"/>
      <c r="AJ499" s="38"/>
    </row>
    <row r="500" spans="1:36" ht="16.2">
      <c r="A500" s="42" t="s">
        <v>340</v>
      </c>
      <c r="B500" s="42">
        <v>820082</v>
      </c>
      <c r="C500" s="42" t="s">
        <v>79</v>
      </c>
      <c r="D500" s="42">
        <v>13207629</v>
      </c>
      <c r="E500" s="43" t="s">
        <v>1703</v>
      </c>
      <c r="F500" s="42" t="s">
        <v>1743</v>
      </c>
      <c r="G500" s="42" t="s">
        <v>195</v>
      </c>
      <c r="H500" s="42"/>
      <c r="I500" s="42"/>
      <c r="J500" s="42">
        <v>13207629</v>
      </c>
      <c r="K500" s="42"/>
      <c r="L500" s="44">
        <v>45293</v>
      </c>
      <c r="M500" s="44">
        <v>45293</v>
      </c>
      <c r="N500" s="42" t="s">
        <v>1706</v>
      </c>
      <c r="O500" s="42">
        <v>0</v>
      </c>
      <c r="P500" s="42">
        <v>20031425</v>
      </c>
      <c r="Q500" s="42" t="s">
        <v>1746</v>
      </c>
      <c r="R500" s="45">
        <v>410</v>
      </c>
      <c r="S500" s="42">
        <v>0</v>
      </c>
      <c r="T500" s="47" t="s">
        <v>198</v>
      </c>
      <c r="U500" s="48" t="s">
        <v>199</v>
      </c>
      <c r="V500" s="38"/>
      <c r="W500" s="48" t="s">
        <v>195</v>
      </c>
      <c r="X500" s="38" t="s">
        <v>308</v>
      </c>
      <c r="Y500" s="49" t="s">
        <v>309</v>
      </c>
      <c r="Z500" s="50" t="s">
        <v>1747</v>
      </c>
      <c r="AA500" s="38"/>
      <c r="AB500" s="38"/>
      <c r="AC500" s="38"/>
      <c r="AD500" s="51">
        <v>20</v>
      </c>
      <c r="AE500" s="51">
        <v>20</v>
      </c>
      <c r="AF500" s="48" t="s">
        <v>203</v>
      </c>
      <c r="AG500" s="38" t="s">
        <v>204</v>
      </c>
      <c r="AH500" s="52"/>
      <c r="AI500" s="38"/>
      <c r="AJ500" s="38"/>
    </row>
    <row r="501" spans="1:36" ht="16.2">
      <c r="A501" s="53" t="s">
        <v>340</v>
      </c>
      <c r="B501" s="53">
        <v>820082</v>
      </c>
      <c r="C501" s="53" t="s">
        <v>79</v>
      </c>
      <c r="D501" s="53">
        <v>13207629</v>
      </c>
      <c r="E501" s="54" t="s">
        <v>1703</v>
      </c>
      <c r="F501" s="53" t="s">
        <v>1748</v>
      </c>
      <c r="G501" s="53" t="s">
        <v>195</v>
      </c>
      <c r="H501" s="53"/>
      <c r="I501" s="53"/>
      <c r="J501" s="53">
        <v>13207629</v>
      </c>
      <c r="K501" s="53"/>
      <c r="L501" s="55">
        <v>45293</v>
      </c>
      <c r="M501" s="55">
        <v>45293</v>
      </c>
      <c r="N501" s="53" t="s">
        <v>1706</v>
      </c>
      <c r="O501" s="53">
        <v>0</v>
      </c>
      <c r="P501" s="53">
        <v>20031425</v>
      </c>
      <c r="Q501" s="53" t="s">
        <v>1749</v>
      </c>
      <c r="R501" s="45">
        <v>410</v>
      </c>
      <c r="S501" s="53">
        <v>0</v>
      </c>
      <c r="T501" s="47" t="s">
        <v>198</v>
      </c>
      <c r="U501" s="48" t="s">
        <v>199</v>
      </c>
      <c r="V501" s="38"/>
      <c r="W501" s="48" t="s">
        <v>195</v>
      </c>
      <c r="X501" s="38" t="s">
        <v>308</v>
      </c>
      <c r="Y501" s="49" t="s">
        <v>309</v>
      </c>
      <c r="Z501" s="50" t="s">
        <v>1750</v>
      </c>
      <c r="AA501" s="38"/>
      <c r="AB501" s="38"/>
      <c r="AC501" s="38"/>
      <c r="AD501" s="51">
        <v>20</v>
      </c>
      <c r="AE501" s="51">
        <v>20</v>
      </c>
      <c r="AF501" s="48" t="s">
        <v>203</v>
      </c>
      <c r="AG501" s="38" t="s">
        <v>204</v>
      </c>
      <c r="AH501" s="52"/>
      <c r="AI501" s="38"/>
      <c r="AJ501" s="38"/>
    </row>
    <row r="502" spans="1:36" ht="16.2">
      <c r="A502" s="42" t="s">
        <v>340</v>
      </c>
      <c r="B502" s="42">
        <v>820082</v>
      </c>
      <c r="C502" s="42" t="s">
        <v>79</v>
      </c>
      <c r="D502" s="42">
        <v>13207629</v>
      </c>
      <c r="E502" s="43" t="s">
        <v>1703</v>
      </c>
      <c r="F502" s="42" t="s">
        <v>1751</v>
      </c>
      <c r="G502" s="42" t="s">
        <v>195</v>
      </c>
      <c r="H502" s="42"/>
      <c r="I502" s="42"/>
      <c r="J502" s="42">
        <v>13207629</v>
      </c>
      <c r="K502" s="42"/>
      <c r="L502" s="44">
        <v>45293</v>
      </c>
      <c r="M502" s="44">
        <v>45293</v>
      </c>
      <c r="N502" s="42" t="s">
        <v>1706</v>
      </c>
      <c r="O502" s="42">
        <v>0</v>
      </c>
      <c r="P502" s="42">
        <v>20031425</v>
      </c>
      <c r="Q502" s="42" t="s">
        <v>1752</v>
      </c>
      <c r="R502" s="45">
        <v>410</v>
      </c>
      <c r="S502" s="42">
        <v>0</v>
      </c>
      <c r="T502" s="47" t="s">
        <v>198</v>
      </c>
      <c r="U502" s="48" t="s">
        <v>199</v>
      </c>
      <c r="V502" s="38"/>
      <c r="W502" s="48" t="s">
        <v>195</v>
      </c>
      <c r="X502" s="38" t="s">
        <v>308</v>
      </c>
      <c r="Y502" s="49" t="s">
        <v>309</v>
      </c>
      <c r="Z502" s="50" t="s">
        <v>1753</v>
      </c>
      <c r="AA502" s="38"/>
      <c r="AB502" s="38"/>
      <c r="AC502" s="38"/>
      <c r="AD502" s="51">
        <v>20</v>
      </c>
      <c r="AE502" s="51">
        <v>20</v>
      </c>
      <c r="AF502" s="48" t="s">
        <v>203</v>
      </c>
      <c r="AG502" s="38" t="s">
        <v>204</v>
      </c>
      <c r="AH502" s="52"/>
      <c r="AI502" s="38"/>
      <c r="AJ502" s="38"/>
    </row>
    <row r="503" spans="1:36" ht="16.2">
      <c r="A503" s="53" t="s">
        <v>340</v>
      </c>
      <c r="B503" s="53">
        <v>820082</v>
      </c>
      <c r="C503" s="53" t="s">
        <v>79</v>
      </c>
      <c r="D503" s="53">
        <v>13207629</v>
      </c>
      <c r="E503" s="54" t="s">
        <v>1703</v>
      </c>
      <c r="F503" s="53" t="s">
        <v>1754</v>
      </c>
      <c r="G503" s="53" t="s">
        <v>195</v>
      </c>
      <c r="H503" s="53" t="s">
        <v>1755</v>
      </c>
      <c r="I503" s="53">
        <v>23748041</v>
      </c>
      <c r="J503" s="53">
        <v>13207629</v>
      </c>
      <c r="K503" s="53"/>
      <c r="L503" s="55">
        <v>45293</v>
      </c>
      <c r="M503" s="55">
        <v>45293</v>
      </c>
      <c r="N503" s="53" t="s">
        <v>1706</v>
      </c>
      <c r="O503" s="53">
        <v>0</v>
      </c>
      <c r="P503" s="53">
        <v>20031425</v>
      </c>
      <c r="Q503" s="53" t="s">
        <v>1756</v>
      </c>
      <c r="R503" s="45">
        <v>410</v>
      </c>
      <c r="S503" s="53">
        <v>0</v>
      </c>
      <c r="T503" s="47" t="s">
        <v>198</v>
      </c>
      <c r="U503" s="48" t="s">
        <v>199</v>
      </c>
      <c r="V503" s="38"/>
      <c r="W503" s="48" t="s">
        <v>195</v>
      </c>
      <c r="X503" s="38" t="s">
        <v>308</v>
      </c>
      <c r="Y503" s="49" t="s">
        <v>309</v>
      </c>
      <c r="Z503" s="50" t="s">
        <v>1757</v>
      </c>
      <c r="AA503" s="47" t="s">
        <v>1758</v>
      </c>
      <c r="AB503" s="38"/>
      <c r="AC503" s="38"/>
      <c r="AD503" s="51">
        <v>20</v>
      </c>
      <c r="AE503" s="51">
        <v>20</v>
      </c>
      <c r="AF503" s="48" t="s">
        <v>203</v>
      </c>
      <c r="AG503" s="38" t="s">
        <v>204</v>
      </c>
      <c r="AH503" s="52"/>
      <c r="AI503" s="38"/>
      <c r="AJ503" s="38"/>
    </row>
    <row r="504" spans="1:36" ht="16.2">
      <c r="A504" s="42" t="s">
        <v>340</v>
      </c>
      <c r="B504" s="42">
        <v>820082</v>
      </c>
      <c r="C504" s="42" t="s">
        <v>79</v>
      </c>
      <c r="D504" s="42">
        <v>13207629</v>
      </c>
      <c r="E504" s="43" t="s">
        <v>1703</v>
      </c>
      <c r="F504" s="42" t="s">
        <v>1386</v>
      </c>
      <c r="G504" s="42" t="s">
        <v>195</v>
      </c>
      <c r="H504" s="42"/>
      <c r="I504" s="42"/>
      <c r="J504" s="42">
        <v>13207629</v>
      </c>
      <c r="K504" s="42"/>
      <c r="L504" s="44">
        <v>45293</v>
      </c>
      <c r="M504" s="44">
        <v>45293</v>
      </c>
      <c r="N504" s="42" t="s">
        <v>1706</v>
      </c>
      <c r="O504" s="42">
        <v>0</v>
      </c>
      <c r="P504" s="42">
        <v>20031425</v>
      </c>
      <c r="Q504" s="42" t="s">
        <v>1759</v>
      </c>
      <c r="R504" s="45">
        <v>410</v>
      </c>
      <c r="S504" s="42">
        <v>0</v>
      </c>
      <c r="T504" s="47" t="s">
        <v>198</v>
      </c>
      <c r="U504" s="48" t="s">
        <v>199</v>
      </c>
      <c r="V504" s="38"/>
      <c r="W504" s="48" t="s">
        <v>195</v>
      </c>
      <c r="X504" s="38" t="s">
        <v>308</v>
      </c>
      <c r="Y504" s="49" t="s">
        <v>309</v>
      </c>
      <c r="Z504" s="50" t="s">
        <v>1760</v>
      </c>
      <c r="AA504" s="38"/>
      <c r="AB504" s="38"/>
      <c r="AC504" s="38"/>
      <c r="AD504" s="51">
        <v>20</v>
      </c>
      <c r="AE504" s="51">
        <v>20</v>
      </c>
      <c r="AF504" s="48" t="s">
        <v>203</v>
      </c>
      <c r="AG504" s="38" t="s">
        <v>204</v>
      </c>
      <c r="AH504" s="52"/>
      <c r="AI504" s="38"/>
      <c r="AJ504" s="38"/>
    </row>
    <row r="505" spans="1:36" ht="16.2">
      <c r="A505" s="53" t="s">
        <v>340</v>
      </c>
      <c r="B505" s="53">
        <v>820082</v>
      </c>
      <c r="C505" s="53" t="s">
        <v>79</v>
      </c>
      <c r="D505" s="53">
        <v>13207629</v>
      </c>
      <c r="E505" s="54" t="s">
        <v>1703</v>
      </c>
      <c r="F505" s="53" t="s">
        <v>1761</v>
      </c>
      <c r="G505" s="53" t="s">
        <v>195</v>
      </c>
      <c r="H505" s="53"/>
      <c r="I505" s="53"/>
      <c r="J505" s="53">
        <v>13207629</v>
      </c>
      <c r="K505" s="53"/>
      <c r="L505" s="55">
        <v>45293</v>
      </c>
      <c r="M505" s="55">
        <v>45293</v>
      </c>
      <c r="N505" s="53" t="s">
        <v>1706</v>
      </c>
      <c r="O505" s="53">
        <v>0</v>
      </c>
      <c r="P505" s="53">
        <v>20031425</v>
      </c>
      <c r="Q505" s="53" t="s">
        <v>1762</v>
      </c>
      <c r="R505" s="45">
        <v>410</v>
      </c>
      <c r="S505" s="53">
        <v>0</v>
      </c>
      <c r="T505" s="47" t="s">
        <v>198</v>
      </c>
      <c r="U505" s="48" t="s">
        <v>199</v>
      </c>
      <c r="V505" s="38"/>
      <c r="W505" s="48" t="s">
        <v>195</v>
      </c>
      <c r="X505" s="38" t="s">
        <v>308</v>
      </c>
      <c r="Y505" s="49" t="s">
        <v>309</v>
      </c>
      <c r="Z505" s="50" t="s">
        <v>1763</v>
      </c>
      <c r="AA505" s="38"/>
      <c r="AB505" s="38"/>
      <c r="AC505" s="38"/>
      <c r="AD505" s="51">
        <v>20</v>
      </c>
      <c r="AE505" s="51">
        <v>20</v>
      </c>
      <c r="AF505" s="48" t="s">
        <v>203</v>
      </c>
      <c r="AG505" s="38" t="s">
        <v>204</v>
      </c>
      <c r="AH505" s="52"/>
      <c r="AI505" s="38"/>
      <c r="AJ505" s="38"/>
    </row>
    <row r="506" spans="1:36" ht="16.2">
      <c r="A506" s="42" t="s">
        <v>340</v>
      </c>
      <c r="B506" s="42">
        <v>820082</v>
      </c>
      <c r="C506" s="42" t="s">
        <v>79</v>
      </c>
      <c r="D506" s="42">
        <v>13207629</v>
      </c>
      <c r="E506" s="43" t="s">
        <v>1703</v>
      </c>
      <c r="F506" s="42" t="s">
        <v>1764</v>
      </c>
      <c r="G506" s="42" t="s">
        <v>195</v>
      </c>
      <c r="H506" s="42"/>
      <c r="I506" s="42"/>
      <c r="J506" s="42">
        <v>13207629</v>
      </c>
      <c r="K506" s="42"/>
      <c r="L506" s="44">
        <v>45293</v>
      </c>
      <c r="M506" s="44">
        <v>45293</v>
      </c>
      <c r="N506" s="42" t="s">
        <v>1706</v>
      </c>
      <c r="O506" s="42">
        <v>0</v>
      </c>
      <c r="P506" s="42">
        <v>20031425</v>
      </c>
      <c r="Q506" s="42" t="s">
        <v>1765</v>
      </c>
      <c r="R506" s="45">
        <v>410</v>
      </c>
      <c r="S506" s="42">
        <v>0</v>
      </c>
      <c r="T506" s="47" t="s">
        <v>198</v>
      </c>
      <c r="U506" s="48" t="s">
        <v>199</v>
      </c>
      <c r="V506" s="38"/>
      <c r="W506" s="48" t="s">
        <v>195</v>
      </c>
      <c r="X506" s="38" t="s">
        <v>308</v>
      </c>
      <c r="Y506" s="49" t="s">
        <v>309</v>
      </c>
      <c r="Z506" s="50" t="s">
        <v>1766</v>
      </c>
      <c r="AA506" s="38"/>
      <c r="AB506" s="38"/>
      <c r="AC506" s="38"/>
      <c r="AD506" s="51">
        <v>20</v>
      </c>
      <c r="AE506" s="51">
        <v>20</v>
      </c>
      <c r="AF506" s="48" t="s">
        <v>203</v>
      </c>
      <c r="AG506" s="38" t="s">
        <v>204</v>
      </c>
      <c r="AH506" s="52"/>
      <c r="AI506" s="38"/>
      <c r="AJ506" s="38"/>
    </row>
    <row r="507" spans="1:36" ht="16.2">
      <c r="A507" s="53" t="s">
        <v>340</v>
      </c>
      <c r="B507" s="53">
        <v>820082</v>
      </c>
      <c r="C507" s="53" t="s">
        <v>79</v>
      </c>
      <c r="D507" s="53">
        <v>13207629</v>
      </c>
      <c r="E507" s="54" t="s">
        <v>1703</v>
      </c>
      <c r="F507" s="53" t="s">
        <v>1767</v>
      </c>
      <c r="G507" s="53" t="s">
        <v>195</v>
      </c>
      <c r="H507" s="53" t="s">
        <v>1768</v>
      </c>
      <c r="I507" s="53">
        <v>23631146</v>
      </c>
      <c r="J507" s="53">
        <v>13207629</v>
      </c>
      <c r="K507" s="53"/>
      <c r="L507" s="55">
        <v>45293</v>
      </c>
      <c r="M507" s="55">
        <v>45293</v>
      </c>
      <c r="N507" s="53" t="s">
        <v>1706</v>
      </c>
      <c r="O507" s="53">
        <v>0</v>
      </c>
      <c r="P507" s="53">
        <v>20031425</v>
      </c>
      <c r="Q507" s="53" t="s">
        <v>1769</v>
      </c>
      <c r="R507" s="45">
        <v>410</v>
      </c>
      <c r="S507" s="53">
        <v>0</v>
      </c>
      <c r="T507" s="47" t="s">
        <v>198</v>
      </c>
      <c r="U507" s="48" t="s">
        <v>199</v>
      </c>
      <c r="V507" s="38"/>
      <c r="W507" s="48" t="s">
        <v>195</v>
      </c>
      <c r="X507" s="38" t="s">
        <v>308</v>
      </c>
      <c r="Y507" s="49" t="s">
        <v>309</v>
      </c>
      <c r="Z507" s="50" t="s">
        <v>1770</v>
      </c>
      <c r="AA507" s="47" t="s">
        <v>1771</v>
      </c>
      <c r="AB507" s="38"/>
      <c r="AC507" s="38"/>
      <c r="AD507" s="51">
        <v>20</v>
      </c>
      <c r="AE507" s="51">
        <v>20</v>
      </c>
      <c r="AF507" s="48" t="s">
        <v>203</v>
      </c>
      <c r="AG507" s="38" t="s">
        <v>204</v>
      </c>
      <c r="AH507" s="52"/>
      <c r="AI507" s="38"/>
      <c r="AJ507" s="38"/>
    </row>
    <row r="508" spans="1:36" ht="16.2">
      <c r="A508" s="42" t="s">
        <v>340</v>
      </c>
      <c r="B508" s="42">
        <v>820082</v>
      </c>
      <c r="C508" s="42" t="s">
        <v>79</v>
      </c>
      <c r="D508" s="42">
        <v>13207629</v>
      </c>
      <c r="E508" s="43" t="s">
        <v>1703</v>
      </c>
      <c r="F508" s="42" t="s">
        <v>381</v>
      </c>
      <c r="G508" s="42" t="s">
        <v>195</v>
      </c>
      <c r="H508" s="42"/>
      <c r="I508" s="42"/>
      <c r="J508" s="42">
        <v>13207629</v>
      </c>
      <c r="K508" s="42"/>
      <c r="L508" s="44">
        <v>45293</v>
      </c>
      <c r="M508" s="44">
        <v>45293</v>
      </c>
      <c r="N508" s="42" t="s">
        <v>1706</v>
      </c>
      <c r="O508" s="42">
        <v>0</v>
      </c>
      <c r="P508" s="42">
        <v>20031425</v>
      </c>
      <c r="Q508" s="42" t="s">
        <v>1772</v>
      </c>
      <c r="R508" s="45">
        <v>410</v>
      </c>
      <c r="S508" s="42">
        <v>0</v>
      </c>
      <c r="T508" s="47" t="s">
        <v>198</v>
      </c>
      <c r="U508" s="48" t="s">
        <v>199</v>
      </c>
      <c r="V508" s="38"/>
      <c r="W508" s="48" t="s">
        <v>195</v>
      </c>
      <c r="X508" s="38" t="s">
        <v>308</v>
      </c>
      <c r="Y508" s="49" t="s">
        <v>309</v>
      </c>
      <c r="Z508" s="50" t="s">
        <v>1773</v>
      </c>
      <c r="AA508" s="38"/>
      <c r="AB508" s="38"/>
      <c r="AC508" s="38"/>
      <c r="AD508" s="51">
        <v>20</v>
      </c>
      <c r="AE508" s="51">
        <v>20</v>
      </c>
      <c r="AF508" s="48" t="s">
        <v>203</v>
      </c>
      <c r="AG508" s="38" t="s">
        <v>204</v>
      </c>
      <c r="AH508" s="52"/>
      <c r="AI508" s="38"/>
      <c r="AJ508" s="38"/>
    </row>
    <row r="509" spans="1:36" ht="16.2">
      <c r="A509" s="53" t="s">
        <v>340</v>
      </c>
      <c r="B509" s="53">
        <v>820082</v>
      </c>
      <c r="C509" s="53" t="s">
        <v>79</v>
      </c>
      <c r="D509" s="53">
        <v>13207629</v>
      </c>
      <c r="E509" s="54" t="s">
        <v>1703</v>
      </c>
      <c r="F509" s="53" t="s">
        <v>1774</v>
      </c>
      <c r="G509" s="53" t="s">
        <v>195</v>
      </c>
      <c r="H509" s="53" t="s">
        <v>1775</v>
      </c>
      <c r="I509" s="53">
        <v>23631146</v>
      </c>
      <c r="J509" s="53">
        <v>13207629</v>
      </c>
      <c r="K509" s="53"/>
      <c r="L509" s="55">
        <v>45293</v>
      </c>
      <c r="M509" s="55">
        <v>45293</v>
      </c>
      <c r="N509" s="53" t="s">
        <v>1706</v>
      </c>
      <c r="O509" s="53">
        <v>0</v>
      </c>
      <c r="P509" s="53">
        <v>20031425</v>
      </c>
      <c r="Q509" s="53" t="s">
        <v>1776</v>
      </c>
      <c r="R509" s="45">
        <v>410</v>
      </c>
      <c r="S509" s="53">
        <v>0</v>
      </c>
      <c r="T509" s="47" t="s">
        <v>198</v>
      </c>
      <c r="U509" s="48" t="s">
        <v>199</v>
      </c>
      <c r="V509" s="38"/>
      <c r="W509" s="48" t="s">
        <v>195</v>
      </c>
      <c r="X509" s="38" t="s">
        <v>308</v>
      </c>
      <c r="Y509" s="49" t="s">
        <v>309</v>
      </c>
      <c r="Z509" s="50" t="s">
        <v>1777</v>
      </c>
      <c r="AA509" s="47" t="s">
        <v>1778</v>
      </c>
      <c r="AB509" s="38"/>
      <c r="AC509" s="38"/>
      <c r="AD509" s="51">
        <v>20</v>
      </c>
      <c r="AE509" s="51">
        <v>20</v>
      </c>
      <c r="AF509" s="48" t="s">
        <v>203</v>
      </c>
      <c r="AG509" s="38" t="s">
        <v>204</v>
      </c>
      <c r="AH509" s="52"/>
      <c r="AI509" s="38"/>
      <c r="AJ509" s="38"/>
    </row>
    <row r="510" spans="1:36" ht="16.2">
      <c r="A510" s="42" t="s">
        <v>857</v>
      </c>
      <c r="B510" s="42">
        <v>900305</v>
      </c>
      <c r="C510" s="42" t="s">
        <v>1779</v>
      </c>
      <c r="D510" s="42">
        <v>13207692</v>
      </c>
      <c r="E510" s="43" t="s">
        <v>1703</v>
      </c>
      <c r="F510" s="42" t="s">
        <v>1780</v>
      </c>
      <c r="G510" s="42" t="s">
        <v>195</v>
      </c>
      <c r="H510" s="42"/>
      <c r="I510" s="42"/>
      <c r="J510" s="42">
        <v>13207692</v>
      </c>
      <c r="K510" s="42"/>
      <c r="L510" s="44">
        <v>45293</v>
      </c>
      <c r="M510" s="44">
        <v>45293</v>
      </c>
      <c r="N510" s="42" t="s">
        <v>1781</v>
      </c>
      <c r="O510" s="42">
        <v>0</v>
      </c>
      <c r="P510" s="42">
        <v>20009954</v>
      </c>
      <c r="Q510" s="42" t="s">
        <v>1782</v>
      </c>
      <c r="R510" s="45">
        <v>410</v>
      </c>
      <c r="S510" s="42">
        <v>0</v>
      </c>
      <c r="T510" s="47" t="s">
        <v>198</v>
      </c>
      <c r="U510" s="48" t="s">
        <v>199</v>
      </c>
      <c r="V510" s="38"/>
      <c r="W510" s="48" t="s">
        <v>195</v>
      </c>
      <c r="X510" s="38" t="s">
        <v>426</v>
      </c>
      <c r="Y510" s="49" t="s">
        <v>427</v>
      </c>
      <c r="Z510" s="50" t="s">
        <v>1783</v>
      </c>
      <c r="AA510" s="38"/>
      <c r="AB510" s="38"/>
      <c r="AC510" s="38"/>
      <c r="AD510" s="51">
        <v>21</v>
      </c>
      <c r="AE510" s="51">
        <v>21</v>
      </c>
      <c r="AF510" s="48" t="s">
        <v>203</v>
      </c>
      <c r="AG510" s="38" t="s">
        <v>204</v>
      </c>
      <c r="AH510" s="52"/>
      <c r="AI510" s="38"/>
      <c r="AJ510" s="38"/>
    </row>
    <row r="511" spans="1:36" ht="16.2">
      <c r="A511" s="53" t="s">
        <v>857</v>
      </c>
      <c r="B511" s="53">
        <v>900305</v>
      </c>
      <c r="C511" s="53" t="s">
        <v>1779</v>
      </c>
      <c r="D511" s="53">
        <v>13207692</v>
      </c>
      <c r="E511" s="54" t="s">
        <v>1703</v>
      </c>
      <c r="F511" s="53" t="s">
        <v>1784</v>
      </c>
      <c r="G511" s="53" t="s">
        <v>195</v>
      </c>
      <c r="H511" s="53"/>
      <c r="I511" s="53"/>
      <c r="J511" s="53">
        <v>13207692</v>
      </c>
      <c r="K511" s="53"/>
      <c r="L511" s="55">
        <v>45293</v>
      </c>
      <c r="M511" s="55">
        <v>45293</v>
      </c>
      <c r="N511" s="53" t="s">
        <v>1781</v>
      </c>
      <c r="O511" s="53">
        <v>0</v>
      </c>
      <c r="P511" s="53">
        <v>20009954</v>
      </c>
      <c r="Q511" s="53" t="s">
        <v>1785</v>
      </c>
      <c r="R511" s="45">
        <v>410</v>
      </c>
      <c r="S511" s="53">
        <v>0</v>
      </c>
      <c r="T511" s="47" t="s">
        <v>198</v>
      </c>
      <c r="U511" s="48" t="s">
        <v>199</v>
      </c>
      <c r="V511" s="38"/>
      <c r="W511" s="48" t="s">
        <v>195</v>
      </c>
      <c r="X511" s="38" t="s">
        <v>426</v>
      </c>
      <c r="Y511" s="49" t="s">
        <v>427</v>
      </c>
      <c r="Z511" s="50" t="s">
        <v>1786</v>
      </c>
      <c r="AA511" s="38"/>
      <c r="AB511" s="38"/>
      <c r="AC511" s="38"/>
      <c r="AD511" s="51">
        <v>21</v>
      </c>
      <c r="AE511" s="51">
        <v>21</v>
      </c>
      <c r="AF511" s="48" t="s">
        <v>203</v>
      </c>
      <c r="AG511" s="38" t="s">
        <v>204</v>
      </c>
      <c r="AH511" s="52"/>
      <c r="AI511" s="38"/>
      <c r="AJ511" s="38"/>
    </row>
    <row r="512" spans="1:36" ht="16.2">
      <c r="A512" s="42" t="s">
        <v>857</v>
      </c>
      <c r="B512" s="42">
        <v>900305</v>
      </c>
      <c r="C512" s="42" t="s">
        <v>1779</v>
      </c>
      <c r="D512" s="42">
        <v>13207692</v>
      </c>
      <c r="E512" s="43" t="s">
        <v>1703</v>
      </c>
      <c r="F512" s="42" t="s">
        <v>1787</v>
      </c>
      <c r="G512" s="42" t="s">
        <v>195</v>
      </c>
      <c r="H512" s="42"/>
      <c r="I512" s="42"/>
      <c r="J512" s="42">
        <v>13207692</v>
      </c>
      <c r="K512" s="42"/>
      <c r="L512" s="44">
        <v>45293</v>
      </c>
      <c r="M512" s="44">
        <v>45293</v>
      </c>
      <c r="N512" s="42" t="s">
        <v>1781</v>
      </c>
      <c r="O512" s="42">
        <v>0</v>
      </c>
      <c r="P512" s="42">
        <v>20009954</v>
      </c>
      <c r="Q512" s="42" t="s">
        <v>1788</v>
      </c>
      <c r="R512" s="45">
        <v>410</v>
      </c>
      <c r="S512" s="42">
        <v>0</v>
      </c>
      <c r="T512" s="47" t="s">
        <v>198</v>
      </c>
      <c r="U512" s="48" t="s">
        <v>199</v>
      </c>
      <c r="V512" s="38"/>
      <c r="W512" s="48" t="s">
        <v>195</v>
      </c>
      <c r="X512" s="38" t="s">
        <v>426</v>
      </c>
      <c r="Y512" s="49" t="s">
        <v>427</v>
      </c>
      <c r="Z512" s="50" t="s">
        <v>1789</v>
      </c>
      <c r="AA512" s="38"/>
      <c r="AB512" s="38"/>
      <c r="AC512" s="38"/>
      <c r="AD512" s="51">
        <v>21</v>
      </c>
      <c r="AE512" s="51">
        <v>21</v>
      </c>
      <c r="AF512" s="48" t="s">
        <v>203</v>
      </c>
      <c r="AG512" s="38" t="s">
        <v>204</v>
      </c>
      <c r="AH512" s="52"/>
      <c r="AI512" s="38"/>
      <c r="AJ512" s="38"/>
    </row>
    <row r="513" spans="1:36" ht="16.2">
      <c r="A513" s="53" t="s">
        <v>857</v>
      </c>
      <c r="B513" s="53">
        <v>900305</v>
      </c>
      <c r="C513" s="53" t="s">
        <v>1779</v>
      </c>
      <c r="D513" s="53">
        <v>13207692</v>
      </c>
      <c r="E513" s="54" t="s">
        <v>1703</v>
      </c>
      <c r="F513" s="53" t="s">
        <v>1790</v>
      </c>
      <c r="G513" s="53" t="s">
        <v>195</v>
      </c>
      <c r="H513" s="53"/>
      <c r="I513" s="53"/>
      <c r="J513" s="53"/>
      <c r="K513" s="53"/>
      <c r="L513" s="55">
        <v>45293</v>
      </c>
      <c r="M513" s="55">
        <v>45293</v>
      </c>
      <c r="N513" s="53" t="s">
        <v>1781</v>
      </c>
      <c r="O513" s="53">
        <v>0</v>
      </c>
      <c r="P513" s="53"/>
      <c r="Q513" s="53" t="s">
        <v>1791</v>
      </c>
      <c r="R513" s="45">
        <v>410</v>
      </c>
      <c r="S513" s="53">
        <v>0</v>
      </c>
      <c r="T513" s="47" t="s">
        <v>1792</v>
      </c>
      <c r="U513" s="48" t="s">
        <v>199</v>
      </c>
      <c r="V513" s="38"/>
      <c r="W513" s="38"/>
      <c r="X513" s="38" t="s">
        <v>426</v>
      </c>
      <c r="Y513" s="49" t="s">
        <v>427</v>
      </c>
      <c r="Z513" s="50" t="s">
        <v>1793</v>
      </c>
      <c r="AA513" s="38"/>
      <c r="AB513" s="38"/>
      <c r="AC513" s="38"/>
      <c r="AD513" s="51">
        <v>21</v>
      </c>
      <c r="AE513" s="51">
        <v>21</v>
      </c>
      <c r="AF513" s="48" t="s">
        <v>203</v>
      </c>
      <c r="AG513" s="38" t="s">
        <v>204</v>
      </c>
      <c r="AH513" s="52"/>
      <c r="AI513" s="38"/>
      <c r="AJ513" s="38"/>
    </row>
    <row r="514" spans="1:36" ht="16.2">
      <c r="A514" s="42" t="s">
        <v>857</v>
      </c>
      <c r="B514" s="42">
        <v>900305</v>
      </c>
      <c r="C514" s="42" t="s">
        <v>1779</v>
      </c>
      <c r="D514" s="42">
        <v>13207692</v>
      </c>
      <c r="E514" s="43" t="s">
        <v>1703</v>
      </c>
      <c r="F514" s="42" t="s">
        <v>1794</v>
      </c>
      <c r="G514" s="42" t="s">
        <v>195</v>
      </c>
      <c r="H514" s="42"/>
      <c r="I514" s="42"/>
      <c r="J514" s="42">
        <v>13207692</v>
      </c>
      <c r="K514" s="42"/>
      <c r="L514" s="44">
        <v>45293</v>
      </c>
      <c r="M514" s="44">
        <v>45293</v>
      </c>
      <c r="N514" s="42" t="s">
        <v>1781</v>
      </c>
      <c r="O514" s="42">
        <v>0</v>
      </c>
      <c r="P514" s="42">
        <v>20009954</v>
      </c>
      <c r="Q514" s="42" t="s">
        <v>1795</v>
      </c>
      <c r="R514" s="45">
        <v>410</v>
      </c>
      <c r="S514" s="42">
        <v>0</v>
      </c>
      <c r="T514" s="47" t="s">
        <v>198</v>
      </c>
      <c r="U514" s="48" t="s">
        <v>199</v>
      </c>
      <c r="V514" s="38"/>
      <c r="W514" s="48" t="s">
        <v>195</v>
      </c>
      <c r="X514" s="38" t="s">
        <v>426</v>
      </c>
      <c r="Y514" s="49" t="s">
        <v>427</v>
      </c>
      <c r="Z514" s="50" t="s">
        <v>1796</v>
      </c>
      <c r="AA514" s="38"/>
      <c r="AB514" s="38"/>
      <c r="AC514" s="38"/>
      <c r="AD514" s="51">
        <v>21</v>
      </c>
      <c r="AE514" s="51">
        <v>21</v>
      </c>
      <c r="AF514" s="48" t="s">
        <v>203</v>
      </c>
      <c r="AG514" s="38" t="s">
        <v>204</v>
      </c>
      <c r="AH514" s="52"/>
      <c r="AI514" s="38"/>
      <c r="AJ514" s="38"/>
    </row>
    <row r="515" spans="1:36" ht="16.2">
      <c r="A515" s="53" t="s">
        <v>857</v>
      </c>
      <c r="B515" s="53">
        <v>900305</v>
      </c>
      <c r="C515" s="53" t="s">
        <v>1779</v>
      </c>
      <c r="D515" s="53">
        <v>13207692</v>
      </c>
      <c r="E515" s="54" t="s">
        <v>1703</v>
      </c>
      <c r="F515" s="53" t="s">
        <v>1797</v>
      </c>
      <c r="G515" s="53" t="s">
        <v>195</v>
      </c>
      <c r="H515" s="53"/>
      <c r="I515" s="53"/>
      <c r="J515" s="53">
        <v>13207692</v>
      </c>
      <c r="K515" s="53"/>
      <c r="L515" s="55">
        <v>45293</v>
      </c>
      <c r="M515" s="55">
        <v>45293</v>
      </c>
      <c r="N515" s="53" t="s">
        <v>1781</v>
      </c>
      <c r="O515" s="53">
        <v>0</v>
      </c>
      <c r="P515" s="53">
        <v>20009954</v>
      </c>
      <c r="Q515" s="53" t="s">
        <v>1798</v>
      </c>
      <c r="R515" s="45">
        <v>410</v>
      </c>
      <c r="S515" s="53">
        <v>0</v>
      </c>
      <c r="T515" s="47" t="s">
        <v>198</v>
      </c>
      <c r="U515" s="48" t="s">
        <v>199</v>
      </c>
      <c r="V515" s="38"/>
      <c r="W515" s="48" t="s">
        <v>195</v>
      </c>
      <c r="X515" s="38" t="s">
        <v>426</v>
      </c>
      <c r="Y515" s="49" t="s">
        <v>427</v>
      </c>
      <c r="Z515" s="50" t="s">
        <v>1799</v>
      </c>
      <c r="AA515" s="38"/>
      <c r="AB515" s="38"/>
      <c r="AC515" s="38"/>
      <c r="AD515" s="51">
        <v>21</v>
      </c>
      <c r="AE515" s="51">
        <v>21</v>
      </c>
      <c r="AF515" s="48" t="s">
        <v>203</v>
      </c>
      <c r="AG515" s="38" t="s">
        <v>204</v>
      </c>
      <c r="AH515" s="52"/>
      <c r="AI515" s="38"/>
      <c r="AJ515" s="38"/>
    </row>
    <row r="516" spans="1:36" ht="16.2">
      <c r="A516" s="42" t="s">
        <v>857</v>
      </c>
      <c r="B516" s="42">
        <v>900305</v>
      </c>
      <c r="C516" s="42" t="s">
        <v>1779</v>
      </c>
      <c r="D516" s="42">
        <v>13207692</v>
      </c>
      <c r="E516" s="43" t="s">
        <v>1703</v>
      </c>
      <c r="F516" s="42" t="s">
        <v>1800</v>
      </c>
      <c r="G516" s="42" t="s">
        <v>195</v>
      </c>
      <c r="H516" s="42"/>
      <c r="I516" s="42"/>
      <c r="J516" s="42">
        <v>13207692</v>
      </c>
      <c r="K516" s="42"/>
      <c r="L516" s="44">
        <v>45293</v>
      </c>
      <c r="M516" s="44">
        <v>45293</v>
      </c>
      <c r="N516" s="42" t="s">
        <v>1781</v>
      </c>
      <c r="O516" s="42">
        <v>0</v>
      </c>
      <c r="P516" s="42">
        <v>20009954</v>
      </c>
      <c r="Q516" s="42" t="s">
        <v>1801</v>
      </c>
      <c r="R516" s="45">
        <v>410</v>
      </c>
      <c r="S516" s="42">
        <v>0</v>
      </c>
      <c r="T516" s="47" t="s">
        <v>198</v>
      </c>
      <c r="U516" s="48" t="s">
        <v>199</v>
      </c>
      <c r="V516" s="38"/>
      <c r="W516" s="48" t="s">
        <v>195</v>
      </c>
      <c r="X516" s="38" t="s">
        <v>426</v>
      </c>
      <c r="Y516" s="49" t="s">
        <v>427</v>
      </c>
      <c r="Z516" s="50" t="s">
        <v>1802</v>
      </c>
      <c r="AA516" s="38"/>
      <c r="AB516" s="38"/>
      <c r="AC516" s="38"/>
      <c r="AD516" s="51">
        <v>21</v>
      </c>
      <c r="AE516" s="51">
        <v>21</v>
      </c>
      <c r="AF516" s="48" t="s">
        <v>203</v>
      </c>
      <c r="AG516" s="38" t="s">
        <v>204</v>
      </c>
      <c r="AH516" s="52"/>
      <c r="AI516" s="38"/>
      <c r="AJ516" s="38"/>
    </row>
    <row r="517" spans="1:36" ht="16.2">
      <c r="A517" s="53" t="s">
        <v>857</v>
      </c>
      <c r="B517" s="53">
        <v>900305</v>
      </c>
      <c r="C517" s="53" t="s">
        <v>1779</v>
      </c>
      <c r="D517" s="53">
        <v>13207692</v>
      </c>
      <c r="E517" s="54" t="s">
        <v>1703</v>
      </c>
      <c r="F517" s="53" t="s">
        <v>1803</v>
      </c>
      <c r="G517" s="53" t="s">
        <v>195</v>
      </c>
      <c r="H517" s="53"/>
      <c r="I517" s="53"/>
      <c r="J517" s="53"/>
      <c r="K517" s="53"/>
      <c r="L517" s="55">
        <v>45293</v>
      </c>
      <c r="M517" s="55">
        <v>45293</v>
      </c>
      <c r="N517" s="53" t="s">
        <v>1781</v>
      </c>
      <c r="O517" s="53">
        <v>0</v>
      </c>
      <c r="P517" s="53"/>
      <c r="Q517" s="53" t="s">
        <v>1804</v>
      </c>
      <c r="R517" s="45">
        <v>410</v>
      </c>
      <c r="S517" s="53">
        <v>0</v>
      </c>
      <c r="T517" s="47" t="s">
        <v>1792</v>
      </c>
      <c r="U517" s="48" t="s">
        <v>199</v>
      </c>
      <c r="V517" s="38"/>
      <c r="W517" s="38"/>
      <c r="X517" s="38" t="s">
        <v>426</v>
      </c>
      <c r="Y517" s="49" t="s">
        <v>427</v>
      </c>
      <c r="Z517" s="50" t="s">
        <v>1805</v>
      </c>
      <c r="AA517" s="38"/>
      <c r="AB517" s="38"/>
      <c r="AC517" s="38"/>
      <c r="AD517" s="51">
        <v>21</v>
      </c>
      <c r="AE517" s="51">
        <v>21</v>
      </c>
      <c r="AF517" s="48" t="s">
        <v>203</v>
      </c>
      <c r="AG517" s="38" t="s">
        <v>204</v>
      </c>
      <c r="AH517" s="52"/>
      <c r="AI517" s="38"/>
      <c r="AJ517" s="38"/>
    </row>
    <row r="518" spans="1:36" ht="16.2">
      <c r="A518" s="42" t="s">
        <v>857</v>
      </c>
      <c r="B518" s="42">
        <v>900305</v>
      </c>
      <c r="C518" s="42" t="s">
        <v>1779</v>
      </c>
      <c r="D518" s="42">
        <v>13207692</v>
      </c>
      <c r="E518" s="43" t="s">
        <v>1703</v>
      </c>
      <c r="F518" s="42" t="s">
        <v>1754</v>
      </c>
      <c r="G518" s="42" t="s">
        <v>195</v>
      </c>
      <c r="H518" s="42"/>
      <c r="I518" s="42"/>
      <c r="J518" s="42">
        <v>13207692</v>
      </c>
      <c r="K518" s="42"/>
      <c r="L518" s="44">
        <v>45293</v>
      </c>
      <c r="M518" s="44">
        <v>45293</v>
      </c>
      <c r="N518" s="42" t="s">
        <v>1781</v>
      </c>
      <c r="O518" s="42">
        <v>0</v>
      </c>
      <c r="P518" s="42">
        <v>20009954</v>
      </c>
      <c r="Q518" s="42" t="s">
        <v>1806</v>
      </c>
      <c r="R518" s="45">
        <v>410</v>
      </c>
      <c r="S518" s="42">
        <v>0</v>
      </c>
      <c r="T518" s="47" t="s">
        <v>198</v>
      </c>
      <c r="U518" s="48" t="s">
        <v>199</v>
      </c>
      <c r="V518" s="38"/>
      <c r="W518" s="48" t="s">
        <v>195</v>
      </c>
      <c r="X518" s="38" t="s">
        <v>426</v>
      </c>
      <c r="Y518" s="49" t="s">
        <v>427</v>
      </c>
      <c r="Z518" s="50" t="s">
        <v>1807</v>
      </c>
      <c r="AA518" s="38"/>
      <c r="AB518" s="38"/>
      <c r="AC518" s="38"/>
      <c r="AD518" s="51">
        <v>21</v>
      </c>
      <c r="AE518" s="51">
        <v>21</v>
      </c>
      <c r="AF518" s="48" t="s">
        <v>203</v>
      </c>
      <c r="AG518" s="38" t="s">
        <v>204</v>
      </c>
      <c r="AH518" s="52"/>
      <c r="AI518" s="38"/>
      <c r="AJ518" s="38"/>
    </row>
    <row r="519" spans="1:36" ht="16.2">
      <c r="A519" s="53" t="s">
        <v>857</v>
      </c>
      <c r="B519" s="53">
        <v>900305</v>
      </c>
      <c r="C519" s="53" t="s">
        <v>1779</v>
      </c>
      <c r="D519" s="53">
        <v>13207692</v>
      </c>
      <c r="E519" s="54" t="s">
        <v>1703</v>
      </c>
      <c r="F519" s="53" t="s">
        <v>1808</v>
      </c>
      <c r="G519" s="53" t="s">
        <v>195</v>
      </c>
      <c r="H519" s="53"/>
      <c r="I519" s="53"/>
      <c r="J519" s="53">
        <v>13207692</v>
      </c>
      <c r="K519" s="53"/>
      <c r="L519" s="55">
        <v>45293</v>
      </c>
      <c r="M519" s="55">
        <v>45293</v>
      </c>
      <c r="N519" s="53" t="s">
        <v>1781</v>
      </c>
      <c r="O519" s="56">
        <v>0.01</v>
      </c>
      <c r="P519" s="53">
        <v>20009954</v>
      </c>
      <c r="Q519" s="53" t="s">
        <v>1809</v>
      </c>
      <c r="R519" s="45">
        <v>410</v>
      </c>
      <c r="S519" s="56">
        <v>0.01</v>
      </c>
      <c r="T519" s="47" t="s">
        <v>198</v>
      </c>
      <c r="U519" s="48" t="s">
        <v>199</v>
      </c>
      <c r="V519" s="38"/>
      <c r="W519" s="48" t="s">
        <v>195</v>
      </c>
      <c r="X519" s="38" t="s">
        <v>426</v>
      </c>
      <c r="Y519" s="49" t="s">
        <v>427</v>
      </c>
      <c r="Z519" s="50" t="s">
        <v>1810</v>
      </c>
      <c r="AA519" s="38"/>
      <c r="AB519" s="38"/>
      <c r="AC519" s="38"/>
      <c r="AD519" s="51">
        <v>21</v>
      </c>
      <c r="AE519" s="51">
        <v>21</v>
      </c>
      <c r="AF519" s="48" t="s">
        <v>203</v>
      </c>
      <c r="AG519" s="38" t="s">
        <v>204</v>
      </c>
      <c r="AH519" s="52"/>
      <c r="AI519" s="38"/>
      <c r="AJ519" s="38"/>
    </row>
    <row r="520" spans="1:36" ht="16.2">
      <c r="A520" s="42" t="s">
        <v>857</v>
      </c>
      <c r="B520" s="42">
        <v>900305</v>
      </c>
      <c r="C520" s="42" t="s">
        <v>1779</v>
      </c>
      <c r="D520" s="42">
        <v>13207692</v>
      </c>
      <c r="E520" s="43" t="s">
        <v>1703</v>
      </c>
      <c r="F520" s="42" t="s">
        <v>1811</v>
      </c>
      <c r="G520" s="42" t="s">
        <v>195</v>
      </c>
      <c r="H520" s="42"/>
      <c r="I520" s="42"/>
      <c r="J520" s="42">
        <v>13207692</v>
      </c>
      <c r="K520" s="42"/>
      <c r="L520" s="44">
        <v>45293</v>
      </c>
      <c r="M520" s="44">
        <v>45293</v>
      </c>
      <c r="N520" s="42" t="s">
        <v>1781</v>
      </c>
      <c r="O520" s="46">
        <v>0.01</v>
      </c>
      <c r="P520" s="42">
        <v>20009954</v>
      </c>
      <c r="Q520" s="42" t="s">
        <v>1812</v>
      </c>
      <c r="R520" s="45">
        <v>410</v>
      </c>
      <c r="S520" s="46">
        <v>0.01</v>
      </c>
      <c r="T520" s="47" t="s">
        <v>198</v>
      </c>
      <c r="U520" s="48" t="s">
        <v>199</v>
      </c>
      <c r="V520" s="38"/>
      <c r="W520" s="48" t="s">
        <v>195</v>
      </c>
      <c r="X520" s="38" t="s">
        <v>426</v>
      </c>
      <c r="Y520" s="49" t="s">
        <v>427</v>
      </c>
      <c r="Z520" s="50" t="s">
        <v>1813</v>
      </c>
      <c r="AA520" s="38"/>
      <c r="AB520" s="38"/>
      <c r="AC520" s="38"/>
      <c r="AD520" s="51">
        <v>21</v>
      </c>
      <c r="AE520" s="51">
        <v>21</v>
      </c>
      <c r="AF520" s="48" t="s">
        <v>203</v>
      </c>
      <c r="AG520" s="38" t="s">
        <v>204</v>
      </c>
      <c r="AH520" s="52"/>
      <c r="AI520" s="38"/>
      <c r="AJ520" s="38"/>
    </row>
    <row r="521" spans="1:36" ht="16.2">
      <c r="A521" s="53" t="s">
        <v>857</v>
      </c>
      <c r="B521" s="53">
        <v>900305</v>
      </c>
      <c r="C521" s="53" t="s">
        <v>1779</v>
      </c>
      <c r="D521" s="53">
        <v>13207692</v>
      </c>
      <c r="E521" s="54" t="s">
        <v>1703</v>
      </c>
      <c r="F521" s="53" t="s">
        <v>1814</v>
      </c>
      <c r="G521" s="53" t="s">
        <v>195</v>
      </c>
      <c r="H521" s="53"/>
      <c r="I521" s="53"/>
      <c r="J521" s="53">
        <v>13207692</v>
      </c>
      <c r="K521" s="53"/>
      <c r="L521" s="55">
        <v>45293</v>
      </c>
      <c r="M521" s="55">
        <v>45293</v>
      </c>
      <c r="N521" s="53" t="s">
        <v>1781</v>
      </c>
      <c r="O521" s="56">
        <v>0.01</v>
      </c>
      <c r="P521" s="53">
        <v>20009954</v>
      </c>
      <c r="Q521" s="53" t="s">
        <v>1815</v>
      </c>
      <c r="R521" s="45">
        <v>410</v>
      </c>
      <c r="S521" s="56">
        <v>0.01</v>
      </c>
      <c r="T521" s="47" t="s">
        <v>198</v>
      </c>
      <c r="U521" s="48" t="s">
        <v>199</v>
      </c>
      <c r="V521" s="38"/>
      <c r="W521" s="48" t="s">
        <v>195</v>
      </c>
      <c r="X521" s="38" t="s">
        <v>426</v>
      </c>
      <c r="Y521" s="49" t="s">
        <v>427</v>
      </c>
      <c r="Z521" s="50" t="s">
        <v>1816</v>
      </c>
      <c r="AA521" s="38"/>
      <c r="AB521" s="38"/>
      <c r="AC521" s="38"/>
      <c r="AD521" s="51">
        <v>21</v>
      </c>
      <c r="AE521" s="51">
        <v>21</v>
      </c>
      <c r="AF521" s="48" t="s">
        <v>203</v>
      </c>
      <c r="AG521" s="38" t="s">
        <v>204</v>
      </c>
      <c r="AH521" s="52"/>
      <c r="AI521" s="38"/>
      <c r="AJ521" s="38"/>
    </row>
    <row r="522" spans="1:36" ht="16.2">
      <c r="A522" s="42" t="s">
        <v>857</v>
      </c>
      <c r="B522" s="42">
        <v>900305</v>
      </c>
      <c r="C522" s="42" t="s">
        <v>1779</v>
      </c>
      <c r="D522" s="42">
        <v>13207692</v>
      </c>
      <c r="E522" s="43" t="s">
        <v>1703</v>
      </c>
      <c r="F522" s="42" t="s">
        <v>1817</v>
      </c>
      <c r="G522" s="42" t="s">
        <v>195</v>
      </c>
      <c r="H522" s="42"/>
      <c r="I522" s="42"/>
      <c r="J522" s="42">
        <v>13207692</v>
      </c>
      <c r="K522" s="42"/>
      <c r="L522" s="44">
        <v>45293</v>
      </c>
      <c r="M522" s="44">
        <v>45293</v>
      </c>
      <c r="N522" s="42" t="s">
        <v>1781</v>
      </c>
      <c r="O522" s="46">
        <v>0.01</v>
      </c>
      <c r="P522" s="42">
        <v>20009954</v>
      </c>
      <c r="Q522" s="42" t="s">
        <v>1818</v>
      </c>
      <c r="R522" s="45">
        <v>410</v>
      </c>
      <c r="S522" s="46">
        <v>0.01</v>
      </c>
      <c r="T522" s="47" t="s">
        <v>198</v>
      </c>
      <c r="U522" s="48" t="s">
        <v>199</v>
      </c>
      <c r="V522" s="38"/>
      <c r="W522" s="48" t="s">
        <v>195</v>
      </c>
      <c r="X522" s="38" t="s">
        <v>426</v>
      </c>
      <c r="Y522" s="49" t="s">
        <v>427</v>
      </c>
      <c r="Z522" s="50" t="s">
        <v>1819</v>
      </c>
      <c r="AA522" s="38"/>
      <c r="AB522" s="38"/>
      <c r="AC522" s="38"/>
      <c r="AD522" s="51">
        <v>21</v>
      </c>
      <c r="AE522" s="51">
        <v>21</v>
      </c>
      <c r="AF522" s="48" t="s">
        <v>203</v>
      </c>
      <c r="AG522" s="38" t="s">
        <v>204</v>
      </c>
      <c r="AH522" s="52"/>
      <c r="AI522" s="38"/>
      <c r="AJ522" s="38"/>
    </row>
    <row r="523" spans="1:36" ht="16.2">
      <c r="A523" s="53" t="s">
        <v>857</v>
      </c>
      <c r="B523" s="53">
        <v>900305</v>
      </c>
      <c r="C523" s="53" t="s">
        <v>1779</v>
      </c>
      <c r="D523" s="53">
        <v>13207692</v>
      </c>
      <c r="E523" s="54" t="s">
        <v>1703</v>
      </c>
      <c r="F523" s="53" t="s">
        <v>1820</v>
      </c>
      <c r="G523" s="53" t="s">
        <v>195</v>
      </c>
      <c r="H523" s="53"/>
      <c r="I523" s="53"/>
      <c r="J523" s="53">
        <v>13207692</v>
      </c>
      <c r="K523" s="53"/>
      <c r="L523" s="55">
        <v>45293</v>
      </c>
      <c r="M523" s="55">
        <v>45293</v>
      </c>
      <c r="N523" s="53" t="s">
        <v>1781</v>
      </c>
      <c r="O523" s="56">
        <v>0.01</v>
      </c>
      <c r="P523" s="53">
        <v>20009954</v>
      </c>
      <c r="Q523" s="53" t="s">
        <v>1821</v>
      </c>
      <c r="R523" s="45">
        <v>410</v>
      </c>
      <c r="S523" s="56">
        <v>0.01</v>
      </c>
      <c r="T523" s="47" t="s">
        <v>198</v>
      </c>
      <c r="U523" s="48" t="s">
        <v>199</v>
      </c>
      <c r="V523" s="38"/>
      <c r="W523" s="48" t="s">
        <v>195</v>
      </c>
      <c r="X523" s="38" t="s">
        <v>426</v>
      </c>
      <c r="Y523" s="49" t="s">
        <v>427</v>
      </c>
      <c r="Z523" s="50" t="s">
        <v>1822</v>
      </c>
      <c r="AA523" s="38"/>
      <c r="AB523" s="38"/>
      <c r="AC523" s="38"/>
      <c r="AD523" s="51">
        <v>21</v>
      </c>
      <c r="AE523" s="51">
        <v>21</v>
      </c>
      <c r="AF523" s="48" t="s">
        <v>203</v>
      </c>
      <c r="AG523" s="38" t="s">
        <v>204</v>
      </c>
      <c r="AH523" s="52"/>
      <c r="AI523" s="38"/>
      <c r="AJ523" s="38"/>
    </row>
    <row r="524" spans="1:36" ht="16.2">
      <c r="A524" s="42" t="s">
        <v>857</v>
      </c>
      <c r="B524" s="42">
        <v>900305</v>
      </c>
      <c r="C524" s="42" t="s">
        <v>1779</v>
      </c>
      <c r="D524" s="42">
        <v>13207692</v>
      </c>
      <c r="E524" s="43" t="s">
        <v>1703</v>
      </c>
      <c r="F524" s="42" t="s">
        <v>1767</v>
      </c>
      <c r="G524" s="42" t="s">
        <v>195</v>
      </c>
      <c r="H524" s="42"/>
      <c r="I524" s="42"/>
      <c r="J524" s="42">
        <v>13207692</v>
      </c>
      <c r="K524" s="42"/>
      <c r="L524" s="44">
        <v>45293</v>
      </c>
      <c r="M524" s="44">
        <v>45293</v>
      </c>
      <c r="N524" s="42" t="s">
        <v>1781</v>
      </c>
      <c r="O524" s="46">
        <v>0.01</v>
      </c>
      <c r="P524" s="42">
        <v>20009954</v>
      </c>
      <c r="Q524" s="42" t="s">
        <v>1823</v>
      </c>
      <c r="R524" s="45">
        <v>410</v>
      </c>
      <c r="S524" s="46">
        <v>0.01</v>
      </c>
      <c r="T524" s="47" t="s">
        <v>198</v>
      </c>
      <c r="U524" s="48" t="s">
        <v>199</v>
      </c>
      <c r="V524" s="38"/>
      <c r="W524" s="48" t="s">
        <v>195</v>
      </c>
      <c r="X524" s="38" t="s">
        <v>426</v>
      </c>
      <c r="Y524" s="49" t="s">
        <v>427</v>
      </c>
      <c r="Z524" s="50" t="s">
        <v>1824</v>
      </c>
      <c r="AA524" s="38"/>
      <c r="AB524" s="38"/>
      <c r="AC524" s="38"/>
      <c r="AD524" s="51">
        <v>21</v>
      </c>
      <c r="AE524" s="51">
        <v>21</v>
      </c>
      <c r="AF524" s="48" t="s">
        <v>203</v>
      </c>
      <c r="AG524" s="38" t="s">
        <v>204</v>
      </c>
      <c r="AH524" s="52"/>
      <c r="AI524" s="38"/>
      <c r="AJ524" s="38"/>
    </row>
    <row r="525" spans="1:36" ht="16.2">
      <c r="A525" s="53" t="s">
        <v>857</v>
      </c>
      <c r="B525" s="53">
        <v>900305</v>
      </c>
      <c r="C525" s="53" t="s">
        <v>1779</v>
      </c>
      <c r="D525" s="53">
        <v>13207692</v>
      </c>
      <c r="E525" s="54" t="s">
        <v>1703</v>
      </c>
      <c r="F525" s="53" t="s">
        <v>1825</v>
      </c>
      <c r="G525" s="53" t="s">
        <v>195</v>
      </c>
      <c r="H525" s="53"/>
      <c r="I525" s="53"/>
      <c r="J525" s="53">
        <v>13207692</v>
      </c>
      <c r="K525" s="53"/>
      <c r="L525" s="55">
        <v>45293</v>
      </c>
      <c r="M525" s="55">
        <v>45293</v>
      </c>
      <c r="N525" s="53" t="s">
        <v>1781</v>
      </c>
      <c r="O525" s="56">
        <v>0.01</v>
      </c>
      <c r="P525" s="53">
        <v>20009954</v>
      </c>
      <c r="Q525" s="53" t="s">
        <v>1826</v>
      </c>
      <c r="R525" s="45">
        <v>410</v>
      </c>
      <c r="S525" s="56">
        <v>0.01</v>
      </c>
      <c r="T525" s="47" t="s">
        <v>198</v>
      </c>
      <c r="U525" s="48" t="s">
        <v>199</v>
      </c>
      <c r="V525" s="38"/>
      <c r="W525" s="48" t="s">
        <v>195</v>
      </c>
      <c r="X525" s="38" t="s">
        <v>426</v>
      </c>
      <c r="Y525" s="49" t="s">
        <v>427</v>
      </c>
      <c r="Z525" s="50" t="s">
        <v>1827</v>
      </c>
      <c r="AA525" s="38"/>
      <c r="AB525" s="38"/>
      <c r="AC525" s="38"/>
      <c r="AD525" s="51">
        <v>21</v>
      </c>
      <c r="AE525" s="51">
        <v>21</v>
      </c>
      <c r="AF525" s="48" t="s">
        <v>203</v>
      </c>
      <c r="AG525" s="38" t="s">
        <v>204</v>
      </c>
      <c r="AH525" s="52"/>
      <c r="AI525" s="38"/>
      <c r="AJ525" s="38"/>
    </row>
    <row r="526" spans="1:36" ht="16.2">
      <c r="A526" s="42" t="s">
        <v>857</v>
      </c>
      <c r="B526" s="42">
        <v>900305</v>
      </c>
      <c r="C526" s="42" t="s">
        <v>1779</v>
      </c>
      <c r="D526" s="42">
        <v>13207692</v>
      </c>
      <c r="E526" s="43" t="s">
        <v>1703</v>
      </c>
      <c r="F526" s="42" t="s">
        <v>1828</v>
      </c>
      <c r="G526" s="42" t="s">
        <v>195</v>
      </c>
      <c r="H526" s="42"/>
      <c r="I526" s="42"/>
      <c r="J526" s="42">
        <v>13207692</v>
      </c>
      <c r="K526" s="42"/>
      <c r="L526" s="44">
        <v>45293</v>
      </c>
      <c r="M526" s="44">
        <v>45293</v>
      </c>
      <c r="N526" s="42" t="s">
        <v>1781</v>
      </c>
      <c r="O526" s="46">
        <v>0.01</v>
      </c>
      <c r="P526" s="42">
        <v>20009954</v>
      </c>
      <c r="Q526" s="42" t="s">
        <v>1829</v>
      </c>
      <c r="R526" s="45">
        <v>410</v>
      </c>
      <c r="S526" s="46">
        <v>0.01</v>
      </c>
      <c r="T526" s="47" t="s">
        <v>198</v>
      </c>
      <c r="U526" s="48" t="s">
        <v>199</v>
      </c>
      <c r="V526" s="38"/>
      <c r="W526" s="48" t="s">
        <v>195</v>
      </c>
      <c r="X526" s="38" t="s">
        <v>426</v>
      </c>
      <c r="Y526" s="49" t="s">
        <v>427</v>
      </c>
      <c r="Z526" s="50" t="s">
        <v>1830</v>
      </c>
      <c r="AA526" s="38"/>
      <c r="AB526" s="38"/>
      <c r="AC526" s="38"/>
      <c r="AD526" s="51">
        <v>21</v>
      </c>
      <c r="AE526" s="51">
        <v>21</v>
      </c>
      <c r="AF526" s="48" t="s">
        <v>203</v>
      </c>
      <c r="AG526" s="38" t="s">
        <v>204</v>
      </c>
      <c r="AH526" s="52"/>
      <c r="AI526" s="38"/>
      <c r="AJ526" s="38"/>
    </row>
    <row r="527" spans="1:36" ht="16.2">
      <c r="A527" s="53" t="s">
        <v>857</v>
      </c>
      <c r="B527" s="53">
        <v>900305</v>
      </c>
      <c r="C527" s="53" t="s">
        <v>1779</v>
      </c>
      <c r="D527" s="53">
        <v>13207692</v>
      </c>
      <c r="E527" s="54" t="s">
        <v>1703</v>
      </c>
      <c r="F527" s="53" t="s">
        <v>1831</v>
      </c>
      <c r="G527" s="53" t="s">
        <v>195</v>
      </c>
      <c r="H527" s="53" t="s">
        <v>1832</v>
      </c>
      <c r="I527" s="53"/>
      <c r="J527" s="53">
        <v>13207692</v>
      </c>
      <c r="K527" s="53"/>
      <c r="L527" s="55">
        <v>45293</v>
      </c>
      <c r="M527" s="55">
        <v>45293</v>
      </c>
      <c r="N527" s="53" t="s">
        <v>1781</v>
      </c>
      <c r="O527" s="56">
        <v>0.01</v>
      </c>
      <c r="P527" s="53">
        <v>20009954</v>
      </c>
      <c r="Q527" s="53" t="s">
        <v>1833</v>
      </c>
      <c r="R527" s="45">
        <v>410</v>
      </c>
      <c r="S527" s="56">
        <v>0.01</v>
      </c>
      <c r="T527" s="47" t="s">
        <v>198</v>
      </c>
      <c r="U527" s="48" t="s">
        <v>199</v>
      </c>
      <c r="V527" s="38"/>
      <c r="W527" s="48" t="s">
        <v>195</v>
      </c>
      <c r="X527" s="38" t="s">
        <v>426</v>
      </c>
      <c r="Y527" s="49" t="s">
        <v>427</v>
      </c>
      <c r="Z527" s="50" t="s">
        <v>1834</v>
      </c>
      <c r="AA527" s="47" t="s">
        <v>1835</v>
      </c>
      <c r="AB527" s="38"/>
      <c r="AC527" s="38"/>
      <c r="AD527" s="51">
        <v>21</v>
      </c>
      <c r="AE527" s="51">
        <v>21</v>
      </c>
      <c r="AF527" s="48" t="s">
        <v>203</v>
      </c>
      <c r="AG527" s="38" t="s">
        <v>204</v>
      </c>
      <c r="AH527" s="52"/>
      <c r="AI527" s="38"/>
      <c r="AJ527" s="38"/>
    </row>
    <row r="528" spans="1:36" ht="16.2">
      <c r="A528" s="42" t="s">
        <v>857</v>
      </c>
      <c r="B528" s="42">
        <v>900305</v>
      </c>
      <c r="C528" s="42" t="s">
        <v>1779</v>
      </c>
      <c r="D528" s="42">
        <v>13207692</v>
      </c>
      <c r="E528" s="43" t="s">
        <v>1703</v>
      </c>
      <c r="F528" s="42" t="s">
        <v>235</v>
      </c>
      <c r="G528" s="42" t="s">
        <v>195</v>
      </c>
      <c r="H528" s="42"/>
      <c r="I528" s="42"/>
      <c r="J528" s="42">
        <v>13207692</v>
      </c>
      <c r="K528" s="42"/>
      <c r="L528" s="44">
        <v>45293</v>
      </c>
      <c r="M528" s="44">
        <v>45293</v>
      </c>
      <c r="N528" s="42" t="s">
        <v>1781</v>
      </c>
      <c r="O528" s="46">
        <v>0.01</v>
      </c>
      <c r="P528" s="42">
        <v>20009954</v>
      </c>
      <c r="Q528" s="42" t="s">
        <v>1836</v>
      </c>
      <c r="R528" s="45">
        <v>410</v>
      </c>
      <c r="S528" s="46">
        <v>0.01</v>
      </c>
      <c r="T528" s="47" t="s">
        <v>198</v>
      </c>
      <c r="U528" s="48" t="s">
        <v>199</v>
      </c>
      <c r="V528" s="38"/>
      <c r="W528" s="48" t="s">
        <v>195</v>
      </c>
      <c r="X528" s="38" t="s">
        <v>426</v>
      </c>
      <c r="Y528" s="49" t="s">
        <v>427</v>
      </c>
      <c r="Z528" s="50" t="s">
        <v>1837</v>
      </c>
      <c r="AA528" s="38"/>
      <c r="AB528" s="38"/>
      <c r="AC528" s="38"/>
      <c r="AD528" s="51">
        <v>21</v>
      </c>
      <c r="AE528" s="51">
        <v>21</v>
      </c>
      <c r="AF528" s="48" t="s">
        <v>203</v>
      </c>
      <c r="AG528" s="38" t="s">
        <v>204</v>
      </c>
      <c r="AH528" s="52"/>
      <c r="AI528" s="38"/>
      <c r="AJ528" s="38"/>
    </row>
    <row r="529" spans="1:36" ht="16.2">
      <c r="A529" s="53" t="s">
        <v>857</v>
      </c>
      <c r="B529" s="53">
        <v>900305</v>
      </c>
      <c r="C529" s="53" t="s">
        <v>1779</v>
      </c>
      <c r="D529" s="53">
        <v>13207692</v>
      </c>
      <c r="E529" s="54" t="s">
        <v>1703</v>
      </c>
      <c r="F529" s="53" t="s">
        <v>1838</v>
      </c>
      <c r="G529" s="53" t="s">
        <v>195</v>
      </c>
      <c r="H529" s="53"/>
      <c r="I529" s="53"/>
      <c r="J529" s="53">
        <v>13207692</v>
      </c>
      <c r="K529" s="53"/>
      <c r="L529" s="55">
        <v>45293</v>
      </c>
      <c r="M529" s="55">
        <v>45293</v>
      </c>
      <c r="N529" s="53" t="s">
        <v>1781</v>
      </c>
      <c r="O529" s="56">
        <v>0.01</v>
      </c>
      <c r="P529" s="53">
        <v>20009954</v>
      </c>
      <c r="Q529" s="53" t="s">
        <v>1839</v>
      </c>
      <c r="R529" s="45">
        <v>410</v>
      </c>
      <c r="S529" s="56">
        <v>0.01</v>
      </c>
      <c r="T529" s="47" t="s">
        <v>198</v>
      </c>
      <c r="U529" s="48" t="s">
        <v>199</v>
      </c>
      <c r="V529" s="38"/>
      <c r="W529" s="48" t="s">
        <v>195</v>
      </c>
      <c r="X529" s="38" t="s">
        <v>426</v>
      </c>
      <c r="Y529" s="49" t="s">
        <v>427</v>
      </c>
      <c r="Z529" s="50" t="s">
        <v>1840</v>
      </c>
      <c r="AA529" s="38"/>
      <c r="AB529" s="38"/>
      <c r="AC529" s="38"/>
      <c r="AD529" s="51">
        <v>21</v>
      </c>
      <c r="AE529" s="51">
        <v>21</v>
      </c>
      <c r="AF529" s="48" t="s">
        <v>203</v>
      </c>
      <c r="AG529" s="38" t="s">
        <v>204</v>
      </c>
      <c r="AH529" s="52"/>
      <c r="AI529" s="38"/>
      <c r="AJ529" s="38"/>
    </row>
    <row r="530" spans="1:36" ht="16.2">
      <c r="A530" s="42" t="s">
        <v>191</v>
      </c>
      <c r="B530" s="42">
        <v>820071</v>
      </c>
      <c r="C530" s="42" t="s">
        <v>1779</v>
      </c>
      <c r="D530" s="42">
        <v>13207717</v>
      </c>
      <c r="E530" s="43" t="s">
        <v>1841</v>
      </c>
      <c r="F530" s="42" t="s">
        <v>1704</v>
      </c>
      <c r="G530" s="42" t="s">
        <v>195</v>
      </c>
      <c r="H530" s="42"/>
      <c r="I530" s="42"/>
      <c r="J530" s="42">
        <v>13207717</v>
      </c>
      <c r="K530" s="42"/>
      <c r="L530" s="44">
        <v>45293</v>
      </c>
      <c r="M530" s="44">
        <v>45293</v>
      </c>
      <c r="N530" s="42" t="s">
        <v>1842</v>
      </c>
      <c r="O530" s="46">
        <v>0.01</v>
      </c>
      <c r="P530" s="42">
        <v>20020754</v>
      </c>
      <c r="Q530" s="42" t="s">
        <v>1843</v>
      </c>
      <c r="R530" s="45">
        <v>410</v>
      </c>
      <c r="S530" s="46">
        <v>0.01</v>
      </c>
      <c r="T530" s="47" t="s">
        <v>198</v>
      </c>
      <c r="U530" s="48" t="s">
        <v>199</v>
      </c>
      <c r="V530" s="38"/>
      <c r="W530" s="48" t="s">
        <v>195</v>
      </c>
      <c r="X530" s="38" t="s">
        <v>200</v>
      </c>
      <c r="Y530" s="49" t="s">
        <v>201</v>
      </c>
      <c r="Z530" s="50" t="s">
        <v>1844</v>
      </c>
      <c r="AA530" s="38"/>
      <c r="AB530" s="38"/>
      <c r="AC530" s="38"/>
      <c r="AD530" s="51">
        <v>18</v>
      </c>
      <c r="AE530" s="51">
        <v>18</v>
      </c>
      <c r="AF530" s="48" t="s">
        <v>203</v>
      </c>
      <c r="AG530" s="38" t="s">
        <v>204</v>
      </c>
      <c r="AH530" s="52"/>
      <c r="AI530" s="38"/>
      <c r="AJ530" s="38"/>
    </row>
    <row r="531" spans="1:36" ht="16.2">
      <c r="A531" s="53" t="s">
        <v>191</v>
      </c>
      <c r="B531" s="53">
        <v>820071</v>
      </c>
      <c r="C531" s="53" t="s">
        <v>1779</v>
      </c>
      <c r="D531" s="53">
        <v>13207717</v>
      </c>
      <c r="E531" s="54" t="s">
        <v>1841</v>
      </c>
      <c r="F531" s="53" t="s">
        <v>1710</v>
      </c>
      <c r="G531" s="53" t="s">
        <v>195</v>
      </c>
      <c r="H531" s="53"/>
      <c r="I531" s="53"/>
      <c r="J531" s="53">
        <v>13207717</v>
      </c>
      <c r="K531" s="53"/>
      <c r="L531" s="55">
        <v>45293</v>
      </c>
      <c r="M531" s="55">
        <v>45293</v>
      </c>
      <c r="N531" s="53" t="s">
        <v>1842</v>
      </c>
      <c r="O531" s="56">
        <v>0.01</v>
      </c>
      <c r="P531" s="53">
        <v>20020754</v>
      </c>
      <c r="Q531" s="53" t="s">
        <v>1845</v>
      </c>
      <c r="R531" s="45">
        <v>410</v>
      </c>
      <c r="S531" s="56">
        <v>0.01</v>
      </c>
      <c r="T531" s="47" t="s">
        <v>198</v>
      </c>
      <c r="U531" s="48" t="s">
        <v>199</v>
      </c>
      <c r="V531" s="38"/>
      <c r="W531" s="48" t="s">
        <v>195</v>
      </c>
      <c r="X531" s="38" t="s">
        <v>200</v>
      </c>
      <c r="Y531" s="49" t="s">
        <v>201</v>
      </c>
      <c r="Z531" s="50" t="s">
        <v>1846</v>
      </c>
      <c r="AA531" s="38"/>
      <c r="AB531" s="38"/>
      <c r="AC531" s="38"/>
      <c r="AD531" s="51">
        <v>18</v>
      </c>
      <c r="AE531" s="51">
        <v>18</v>
      </c>
      <c r="AF531" s="48" t="s">
        <v>203</v>
      </c>
      <c r="AG531" s="38" t="s">
        <v>204</v>
      </c>
      <c r="AH531" s="52"/>
      <c r="AI531" s="38"/>
      <c r="AJ531" s="38"/>
    </row>
    <row r="532" spans="1:36" ht="16.2">
      <c r="A532" s="42" t="s">
        <v>191</v>
      </c>
      <c r="B532" s="42">
        <v>820071</v>
      </c>
      <c r="C532" s="42" t="s">
        <v>1779</v>
      </c>
      <c r="D532" s="42">
        <v>13207717</v>
      </c>
      <c r="E532" s="43" t="s">
        <v>1841</v>
      </c>
      <c r="F532" s="42" t="s">
        <v>1715</v>
      </c>
      <c r="G532" s="42" t="s">
        <v>195</v>
      </c>
      <c r="H532" s="42"/>
      <c r="I532" s="42"/>
      <c r="J532" s="42">
        <v>13207717</v>
      </c>
      <c r="K532" s="42"/>
      <c r="L532" s="44">
        <v>45293</v>
      </c>
      <c r="M532" s="44">
        <v>45293</v>
      </c>
      <c r="N532" s="42" t="s">
        <v>1842</v>
      </c>
      <c r="O532" s="46">
        <v>0.01</v>
      </c>
      <c r="P532" s="42">
        <v>20020754</v>
      </c>
      <c r="Q532" s="42" t="s">
        <v>1847</v>
      </c>
      <c r="R532" s="45">
        <v>410</v>
      </c>
      <c r="S532" s="46">
        <v>0.01</v>
      </c>
      <c r="T532" s="47" t="s">
        <v>198</v>
      </c>
      <c r="U532" s="48" t="s">
        <v>199</v>
      </c>
      <c r="V532" s="38"/>
      <c r="W532" s="48" t="s">
        <v>195</v>
      </c>
      <c r="X532" s="38" t="s">
        <v>200</v>
      </c>
      <c r="Y532" s="49" t="s">
        <v>201</v>
      </c>
      <c r="Z532" s="50" t="s">
        <v>1848</v>
      </c>
      <c r="AA532" s="38"/>
      <c r="AB532" s="38"/>
      <c r="AC532" s="38"/>
      <c r="AD532" s="51">
        <v>18</v>
      </c>
      <c r="AE532" s="51">
        <v>18</v>
      </c>
      <c r="AF532" s="48" t="s">
        <v>203</v>
      </c>
      <c r="AG532" s="38" t="s">
        <v>204</v>
      </c>
      <c r="AH532" s="52"/>
      <c r="AI532" s="38"/>
      <c r="AJ532" s="38"/>
    </row>
    <row r="533" spans="1:36" ht="16.2">
      <c r="A533" s="53" t="s">
        <v>191</v>
      </c>
      <c r="B533" s="53">
        <v>820071</v>
      </c>
      <c r="C533" s="53" t="s">
        <v>1779</v>
      </c>
      <c r="D533" s="53">
        <v>13207717</v>
      </c>
      <c r="E533" s="54" t="s">
        <v>1841</v>
      </c>
      <c r="F533" s="53" t="s">
        <v>1718</v>
      </c>
      <c r="G533" s="53" t="s">
        <v>195</v>
      </c>
      <c r="H533" s="53"/>
      <c r="I533" s="53"/>
      <c r="J533" s="53">
        <v>13207717</v>
      </c>
      <c r="K533" s="53"/>
      <c r="L533" s="55">
        <v>45293</v>
      </c>
      <c r="M533" s="55">
        <v>45293</v>
      </c>
      <c r="N533" s="53" t="s">
        <v>1842</v>
      </c>
      <c r="O533" s="56">
        <v>0.01</v>
      </c>
      <c r="P533" s="53">
        <v>20020754</v>
      </c>
      <c r="Q533" s="53" t="s">
        <v>1849</v>
      </c>
      <c r="R533" s="45">
        <v>410</v>
      </c>
      <c r="S533" s="56">
        <v>0.01</v>
      </c>
      <c r="T533" s="47" t="s">
        <v>198</v>
      </c>
      <c r="U533" s="48" t="s">
        <v>199</v>
      </c>
      <c r="V533" s="38"/>
      <c r="W533" s="48" t="s">
        <v>195</v>
      </c>
      <c r="X533" s="38" t="s">
        <v>200</v>
      </c>
      <c r="Y533" s="49" t="s">
        <v>201</v>
      </c>
      <c r="Z533" s="50" t="s">
        <v>1850</v>
      </c>
      <c r="AA533" s="38"/>
      <c r="AB533" s="38"/>
      <c r="AC533" s="38"/>
      <c r="AD533" s="51">
        <v>18</v>
      </c>
      <c r="AE533" s="51">
        <v>18</v>
      </c>
      <c r="AF533" s="48" t="s">
        <v>203</v>
      </c>
      <c r="AG533" s="38" t="s">
        <v>204</v>
      </c>
      <c r="AH533" s="52"/>
      <c r="AI533" s="38"/>
      <c r="AJ533" s="38"/>
    </row>
    <row r="534" spans="1:36" ht="16.2">
      <c r="A534" s="42" t="s">
        <v>191</v>
      </c>
      <c r="B534" s="42">
        <v>820071</v>
      </c>
      <c r="C534" s="42" t="s">
        <v>1779</v>
      </c>
      <c r="D534" s="42">
        <v>13207717</v>
      </c>
      <c r="E534" s="43" t="s">
        <v>1841</v>
      </c>
      <c r="F534" s="42" t="s">
        <v>1721</v>
      </c>
      <c r="G534" s="42" t="s">
        <v>195</v>
      </c>
      <c r="H534" s="42"/>
      <c r="I534" s="42"/>
      <c r="J534" s="42">
        <v>13207717</v>
      </c>
      <c r="K534" s="42"/>
      <c r="L534" s="44">
        <v>45293</v>
      </c>
      <c r="M534" s="44">
        <v>45293</v>
      </c>
      <c r="N534" s="42" t="s">
        <v>1842</v>
      </c>
      <c r="O534" s="46">
        <v>0.01</v>
      </c>
      <c r="P534" s="42">
        <v>20020754</v>
      </c>
      <c r="Q534" s="42" t="s">
        <v>1851</v>
      </c>
      <c r="R534" s="45">
        <v>410</v>
      </c>
      <c r="S534" s="46">
        <v>0.01</v>
      </c>
      <c r="T534" s="47" t="s">
        <v>198</v>
      </c>
      <c r="U534" s="48" t="s">
        <v>199</v>
      </c>
      <c r="V534" s="38"/>
      <c r="W534" s="48" t="s">
        <v>195</v>
      </c>
      <c r="X534" s="38" t="s">
        <v>200</v>
      </c>
      <c r="Y534" s="49" t="s">
        <v>201</v>
      </c>
      <c r="Z534" s="50" t="s">
        <v>1852</v>
      </c>
      <c r="AA534" s="38"/>
      <c r="AB534" s="38"/>
      <c r="AC534" s="38"/>
      <c r="AD534" s="51">
        <v>18</v>
      </c>
      <c r="AE534" s="51">
        <v>18</v>
      </c>
      <c r="AF534" s="48" t="s">
        <v>203</v>
      </c>
      <c r="AG534" s="38" t="s">
        <v>204</v>
      </c>
      <c r="AH534" s="52"/>
      <c r="AI534" s="38"/>
      <c r="AJ534" s="38"/>
    </row>
    <row r="535" spans="1:36" ht="16.2">
      <c r="A535" s="53" t="s">
        <v>191</v>
      </c>
      <c r="B535" s="53">
        <v>820071</v>
      </c>
      <c r="C535" s="53" t="s">
        <v>1779</v>
      </c>
      <c r="D535" s="53">
        <v>13207717</v>
      </c>
      <c r="E535" s="54" t="s">
        <v>1841</v>
      </c>
      <c r="F535" s="53" t="s">
        <v>1724</v>
      </c>
      <c r="G535" s="53" t="s">
        <v>195</v>
      </c>
      <c r="H535" s="53"/>
      <c r="I535" s="53"/>
      <c r="J535" s="53">
        <v>13207717</v>
      </c>
      <c r="K535" s="53"/>
      <c r="L535" s="55">
        <v>45293</v>
      </c>
      <c r="M535" s="55">
        <v>45293</v>
      </c>
      <c r="N535" s="53" t="s">
        <v>1842</v>
      </c>
      <c r="O535" s="56">
        <v>0.01</v>
      </c>
      <c r="P535" s="53">
        <v>20020754</v>
      </c>
      <c r="Q535" s="53" t="s">
        <v>1853</v>
      </c>
      <c r="R535" s="45">
        <v>410</v>
      </c>
      <c r="S535" s="56">
        <v>0.01</v>
      </c>
      <c r="T535" s="47" t="s">
        <v>198</v>
      </c>
      <c r="U535" s="48" t="s">
        <v>199</v>
      </c>
      <c r="V535" s="38"/>
      <c r="W535" s="48" t="s">
        <v>195</v>
      </c>
      <c r="X535" s="38" t="s">
        <v>200</v>
      </c>
      <c r="Y535" s="49" t="s">
        <v>201</v>
      </c>
      <c r="Z535" s="50" t="s">
        <v>1854</v>
      </c>
      <c r="AA535" s="38"/>
      <c r="AB535" s="38"/>
      <c r="AC535" s="38"/>
      <c r="AD535" s="51">
        <v>18</v>
      </c>
      <c r="AE535" s="51">
        <v>18</v>
      </c>
      <c r="AF535" s="48" t="s">
        <v>203</v>
      </c>
      <c r="AG535" s="38" t="s">
        <v>204</v>
      </c>
      <c r="AH535" s="52"/>
      <c r="AI535" s="38"/>
      <c r="AJ535" s="38"/>
    </row>
    <row r="536" spans="1:36" ht="16.2">
      <c r="A536" s="42" t="s">
        <v>191</v>
      </c>
      <c r="B536" s="42">
        <v>820071</v>
      </c>
      <c r="C536" s="42" t="s">
        <v>1779</v>
      </c>
      <c r="D536" s="42">
        <v>13207717</v>
      </c>
      <c r="E536" s="43" t="s">
        <v>1841</v>
      </c>
      <c r="F536" s="42" t="s">
        <v>1729</v>
      </c>
      <c r="G536" s="42" t="s">
        <v>195</v>
      </c>
      <c r="H536" s="42"/>
      <c r="I536" s="42"/>
      <c r="J536" s="42">
        <v>13207717</v>
      </c>
      <c r="K536" s="42"/>
      <c r="L536" s="44">
        <v>45293</v>
      </c>
      <c r="M536" s="44">
        <v>45293</v>
      </c>
      <c r="N536" s="42" t="s">
        <v>1842</v>
      </c>
      <c r="O536" s="42">
        <v>0</v>
      </c>
      <c r="P536" s="42">
        <v>20020754</v>
      </c>
      <c r="Q536" s="42" t="s">
        <v>1855</v>
      </c>
      <c r="R536" s="45">
        <v>410</v>
      </c>
      <c r="S536" s="46">
        <v>0.01</v>
      </c>
      <c r="T536" s="47" t="s">
        <v>198</v>
      </c>
      <c r="U536" s="48" t="s">
        <v>199</v>
      </c>
      <c r="V536" s="38"/>
      <c r="W536" s="48" t="s">
        <v>195</v>
      </c>
      <c r="X536" s="38" t="s">
        <v>200</v>
      </c>
      <c r="Y536" s="49" t="s">
        <v>201</v>
      </c>
      <c r="Z536" s="50" t="s">
        <v>1856</v>
      </c>
      <c r="AA536" s="38"/>
      <c r="AB536" s="38"/>
      <c r="AC536" s="38"/>
      <c r="AD536" s="51">
        <v>18</v>
      </c>
      <c r="AE536" s="51">
        <v>18</v>
      </c>
      <c r="AF536" s="48" t="s">
        <v>203</v>
      </c>
      <c r="AG536" s="38" t="s">
        <v>204</v>
      </c>
      <c r="AH536" s="52"/>
      <c r="AI536" s="38"/>
      <c r="AJ536" s="38"/>
    </row>
    <row r="537" spans="1:36" ht="16.2">
      <c r="A537" s="53" t="s">
        <v>191</v>
      </c>
      <c r="B537" s="53">
        <v>820071</v>
      </c>
      <c r="C537" s="53" t="s">
        <v>1779</v>
      </c>
      <c r="D537" s="53">
        <v>13207717</v>
      </c>
      <c r="E537" s="54" t="s">
        <v>1841</v>
      </c>
      <c r="F537" s="53" t="s">
        <v>1735</v>
      </c>
      <c r="G537" s="53" t="s">
        <v>195</v>
      </c>
      <c r="H537" s="53"/>
      <c r="I537" s="53"/>
      <c r="J537" s="53">
        <v>13207717</v>
      </c>
      <c r="K537" s="53"/>
      <c r="L537" s="55">
        <v>45293</v>
      </c>
      <c r="M537" s="55">
        <v>45293</v>
      </c>
      <c r="N537" s="53" t="s">
        <v>1842</v>
      </c>
      <c r="O537" s="53">
        <v>0</v>
      </c>
      <c r="P537" s="53">
        <v>20020754</v>
      </c>
      <c r="Q537" s="53" t="s">
        <v>1857</v>
      </c>
      <c r="R537" s="45">
        <v>410</v>
      </c>
      <c r="S537" s="56">
        <v>0.01</v>
      </c>
      <c r="T537" s="47" t="s">
        <v>198</v>
      </c>
      <c r="U537" s="48" t="s">
        <v>199</v>
      </c>
      <c r="V537" s="38"/>
      <c r="W537" s="48" t="s">
        <v>195</v>
      </c>
      <c r="X537" s="38" t="s">
        <v>200</v>
      </c>
      <c r="Y537" s="49" t="s">
        <v>201</v>
      </c>
      <c r="Z537" s="50" t="s">
        <v>1858</v>
      </c>
      <c r="AA537" s="38"/>
      <c r="AB537" s="38"/>
      <c r="AC537" s="38"/>
      <c r="AD537" s="51">
        <v>18</v>
      </c>
      <c r="AE537" s="51">
        <v>18</v>
      </c>
      <c r="AF537" s="48" t="s">
        <v>203</v>
      </c>
      <c r="AG537" s="38" t="s">
        <v>204</v>
      </c>
      <c r="AH537" s="52"/>
      <c r="AI537" s="38"/>
      <c r="AJ537" s="38"/>
    </row>
    <row r="538" spans="1:36" ht="16.2">
      <c r="A538" s="42" t="s">
        <v>191</v>
      </c>
      <c r="B538" s="42">
        <v>820071</v>
      </c>
      <c r="C538" s="42" t="s">
        <v>1779</v>
      </c>
      <c r="D538" s="42">
        <v>13207717</v>
      </c>
      <c r="E538" s="43" t="s">
        <v>1841</v>
      </c>
      <c r="F538" s="42" t="s">
        <v>1738</v>
      </c>
      <c r="G538" s="42" t="s">
        <v>195</v>
      </c>
      <c r="H538" s="42"/>
      <c r="I538" s="42"/>
      <c r="J538" s="42">
        <v>13207717</v>
      </c>
      <c r="K538" s="42"/>
      <c r="L538" s="44">
        <v>45293</v>
      </c>
      <c r="M538" s="44">
        <v>45293</v>
      </c>
      <c r="N538" s="42" t="s">
        <v>1842</v>
      </c>
      <c r="O538" s="42">
        <v>0</v>
      </c>
      <c r="P538" s="42">
        <v>20020754</v>
      </c>
      <c r="Q538" s="42" t="s">
        <v>1859</v>
      </c>
      <c r="R538" s="45">
        <v>410</v>
      </c>
      <c r="S538" s="46">
        <v>0.01</v>
      </c>
      <c r="T538" s="47" t="s">
        <v>198</v>
      </c>
      <c r="U538" s="48" t="s">
        <v>199</v>
      </c>
      <c r="V538" s="38"/>
      <c r="W538" s="48" t="s">
        <v>195</v>
      </c>
      <c r="X538" s="38" t="s">
        <v>200</v>
      </c>
      <c r="Y538" s="49" t="s">
        <v>201</v>
      </c>
      <c r="Z538" s="50" t="s">
        <v>1860</v>
      </c>
      <c r="AA538" s="38"/>
      <c r="AB538" s="38"/>
      <c r="AC538" s="38"/>
      <c r="AD538" s="51">
        <v>18</v>
      </c>
      <c r="AE538" s="51">
        <v>18</v>
      </c>
      <c r="AF538" s="48" t="s">
        <v>203</v>
      </c>
      <c r="AG538" s="38" t="s">
        <v>204</v>
      </c>
      <c r="AH538" s="52"/>
      <c r="AI538" s="38"/>
      <c r="AJ538" s="38"/>
    </row>
    <row r="539" spans="1:36" ht="16.2">
      <c r="A539" s="53" t="s">
        <v>191</v>
      </c>
      <c r="B539" s="53">
        <v>820071</v>
      </c>
      <c r="C539" s="53" t="s">
        <v>1779</v>
      </c>
      <c r="D539" s="53">
        <v>13207717</v>
      </c>
      <c r="E539" s="54" t="s">
        <v>1841</v>
      </c>
      <c r="F539" s="53" t="s">
        <v>1743</v>
      </c>
      <c r="G539" s="53" t="s">
        <v>195</v>
      </c>
      <c r="H539" s="53"/>
      <c r="I539" s="53"/>
      <c r="J539" s="53">
        <v>13207717</v>
      </c>
      <c r="K539" s="53"/>
      <c r="L539" s="55">
        <v>45293</v>
      </c>
      <c r="M539" s="55">
        <v>45293</v>
      </c>
      <c r="N539" s="53" t="s">
        <v>1842</v>
      </c>
      <c r="O539" s="53">
        <v>0</v>
      </c>
      <c r="P539" s="53">
        <v>20020754</v>
      </c>
      <c r="Q539" s="53" t="s">
        <v>1861</v>
      </c>
      <c r="R539" s="45">
        <v>410</v>
      </c>
      <c r="S539" s="56">
        <v>0.01</v>
      </c>
      <c r="T539" s="47" t="s">
        <v>198</v>
      </c>
      <c r="U539" s="48" t="s">
        <v>199</v>
      </c>
      <c r="V539" s="38"/>
      <c r="W539" s="48" t="s">
        <v>195</v>
      </c>
      <c r="X539" s="38" t="s">
        <v>200</v>
      </c>
      <c r="Y539" s="49" t="s">
        <v>201</v>
      </c>
      <c r="Z539" s="50" t="s">
        <v>1862</v>
      </c>
      <c r="AA539" s="38"/>
      <c r="AB539" s="38"/>
      <c r="AC539" s="38"/>
      <c r="AD539" s="51">
        <v>18</v>
      </c>
      <c r="AE539" s="51">
        <v>18</v>
      </c>
      <c r="AF539" s="48" t="s">
        <v>203</v>
      </c>
      <c r="AG539" s="38" t="s">
        <v>204</v>
      </c>
      <c r="AH539" s="52"/>
      <c r="AI539" s="38"/>
      <c r="AJ539" s="38"/>
    </row>
    <row r="540" spans="1:36" ht="16.2">
      <c r="A540" s="42" t="s">
        <v>191</v>
      </c>
      <c r="B540" s="42">
        <v>820071</v>
      </c>
      <c r="C540" s="42" t="s">
        <v>1779</v>
      </c>
      <c r="D540" s="42">
        <v>13207717</v>
      </c>
      <c r="E540" s="43" t="s">
        <v>1841</v>
      </c>
      <c r="F540" s="42" t="s">
        <v>1748</v>
      </c>
      <c r="G540" s="42" t="s">
        <v>195</v>
      </c>
      <c r="H540" s="42"/>
      <c r="I540" s="42"/>
      <c r="J540" s="42">
        <v>13207717</v>
      </c>
      <c r="K540" s="42"/>
      <c r="L540" s="44">
        <v>45293</v>
      </c>
      <c r="M540" s="44">
        <v>45293</v>
      </c>
      <c r="N540" s="42" t="s">
        <v>1842</v>
      </c>
      <c r="O540" s="42">
        <v>0</v>
      </c>
      <c r="P540" s="42">
        <v>20020754</v>
      </c>
      <c r="Q540" s="42" t="s">
        <v>1863</v>
      </c>
      <c r="R540" s="45">
        <v>410</v>
      </c>
      <c r="S540" s="46">
        <v>0.01</v>
      </c>
      <c r="T540" s="47" t="s">
        <v>198</v>
      </c>
      <c r="U540" s="48" t="s">
        <v>199</v>
      </c>
      <c r="V540" s="38"/>
      <c r="W540" s="48" t="s">
        <v>195</v>
      </c>
      <c r="X540" s="38" t="s">
        <v>200</v>
      </c>
      <c r="Y540" s="49" t="s">
        <v>201</v>
      </c>
      <c r="Z540" s="50" t="s">
        <v>1864</v>
      </c>
      <c r="AA540" s="38"/>
      <c r="AB540" s="38"/>
      <c r="AC540" s="38"/>
      <c r="AD540" s="51">
        <v>18</v>
      </c>
      <c r="AE540" s="51">
        <v>18</v>
      </c>
      <c r="AF540" s="48" t="s">
        <v>203</v>
      </c>
      <c r="AG540" s="38" t="s">
        <v>204</v>
      </c>
      <c r="AH540" s="52"/>
      <c r="AI540" s="38"/>
      <c r="AJ540" s="38"/>
    </row>
    <row r="541" spans="1:36" ht="16.2">
      <c r="A541" s="53" t="s">
        <v>191</v>
      </c>
      <c r="B541" s="53">
        <v>820071</v>
      </c>
      <c r="C541" s="53" t="s">
        <v>1779</v>
      </c>
      <c r="D541" s="53">
        <v>13207717</v>
      </c>
      <c r="E541" s="54" t="s">
        <v>1841</v>
      </c>
      <c r="F541" s="53" t="s">
        <v>1751</v>
      </c>
      <c r="G541" s="53" t="s">
        <v>195</v>
      </c>
      <c r="H541" s="53"/>
      <c r="I541" s="53"/>
      <c r="J541" s="53">
        <v>13207717</v>
      </c>
      <c r="K541" s="53"/>
      <c r="L541" s="55">
        <v>45293</v>
      </c>
      <c r="M541" s="55">
        <v>45293</v>
      </c>
      <c r="N541" s="53" t="s">
        <v>1842</v>
      </c>
      <c r="O541" s="53">
        <v>0</v>
      </c>
      <c r="P541" s="53">
        <v>20020754</v>
      </c>
      <c r="Q541" s="53" t="s">
        <v>1865</v>
      </c>
      <c r="R541" s="45">
        <v>410</v>
      </c>
      <c r="S541" s="56">
        <v>0.01</v>
      </c>
      <c r="T541" s="47" t="s">
        <v>198</v>
      </c>
      <c r="U541" s="48" t="s">
        <v>199</v>
      </c>
      <c r="V541" s="38"/>
      <c r="W541" s="48" t="s">
        <v>195</v>
      </c>
      <c r="X541" s="38" t="s">
        <v>200</v>
      </c>
      <c r="Y541" s="49" t="s">
        <v>201</v>
      </c>
      <c r="Z541" s="50" t="s">
        <v>1866</v>
      </c>
      <c r="AA541" s="38"/>
      <c r="AB541" s="38"/>
      <c r="AC541" s="38"/>
      <c r="AD541" s="51">
        <v>18</v>
      </c>
      <c r="AE541" s="51">
        <v>18</v>
      </c>
      <c r="AF541" s="48" t="s">
        <v>203</v>
      </c>
      <c r="AG541" s="38" t="s">
        <v>204</v>
      </c>
      <c r="AH541" s="52"/>
      <c r="AI541" s="38"/>
      <c r="AJ541" s="38"/>
    </row>
    <row r="542" spans="1:36" ht="16.2">
      <c r="A542" s="42" t="s">
        <v>191</v>
      </c>
      <c r="B542" s="42">
        <v>820071</v>
      </c>
      <c r="C542" s="42" t="s">
        <v>1779</v>
      </c>
      <c r="D542" s="42">
        <v>13207717</v>
      </c>
      <c r="E542" s="43" t="s">
        <v>1841</v>
      </c>
      <c r="F542" s="42" t="s">
        <v>1754</v>
      </c>
      <c r="G542" s="42" t="s">
        <v>195</v>
      </c>
      <c r="H542" s="42"/>
      <c r="I542" s="42"/>
      <c r="J542" s="42">
        <v>13207717</v>
      </c>
      <c r="K542" s="42"/>
      <c r="L542" s="44">
        <v>45293</v>
      </c>
      <c r="M542" s="44">
        <v>45293</v>
      </c>
      <c r="N542" s="42" t="s">
        <v>1842</v>
      </c>
      <c r="O542" s="42">
        <v>0</v>
      </c>
      <c r="P542" s="42">
        <v>20020754</v>
      </c>
      <c r="Q542" s="42" t="s">
        <v>1867</v>
      </c>
      <c r="R542" s="45">
        <v>410</v>
      </c>
      <c r="S542" s="46">
        <v>0.01</v>
      </c>
      <c r="T542" s="47" t="s">
        <v>198</v>
      </c>
      <c r="U542" s="48" t="s">
        <v>199</v>
      </c>
      <c r="V542" s="38"/>
      <c r="W542" s="48" t="s">
        <v>195</v>
      </c>
      <c r="X542" s="38" t="s">
        <v>200</v>
      </c>
      <c r="Y542" s="49" t="s">
        <v>201</v>
      </c>
      <c r="Z542" s="50" t="s">
        <v>1868</v>
      </c>
      <c r="AA542" s="38"/>
      <c r="AB542" s="38"/>
      <c r="AC542" s="38"/>
      <c r="AD542" s="51">
        <v>18</v>
      </c>
      <c r="AE542" s="51">
        <v>18</v>
      </c>
      <c r="AF542" s="48" t="s">
        <v>203</v>
      </c>
      <c r="AG542" s="38" t="s">
        <v>204</v>
      </c>
      <c r="AH542" s="52"/>
      <c r="AI542" s="38"/>
      <c r="AJ542" s="38"/>
    </row>
    <row r="543" spans="1:36" ht="16.2">
      <c r="A543" s="53" t="s">
        <v>191</v>
      </c>
      <c r="B543" s="53">
        <v>820071</v>
      </c>
      <c r="C543" s="53" t="s">
        <v>1779</v>
      </c>
      <c r="D543" s="53">
        <v>13207717</v>
      </c>
      <c r="E543" s="54" t="s">
        <v>1841</v>
      </c>
      <c r="F543" s="53" t="s">
        <v>1386</v>
      </c>
      <c r="G543" s="53" t="s">
        <v>195</v>
      </c>
      <c r="H543" s="53"/>
      <c r="I543" s="53"/>
      <c r="J543" s="53">
        <v>13207717</v>
      </c>
      <c r="K543" s="53"/>
      <c r="L543" s="55">
        <v>45293</v>
      </c>
      <c r="M543" s="55">
        <v>45293</v>
      </c>
      <c r="N543" s="53" t="s">
        <v>1842</v>
      </c>
      <c r="O543" s="53">
        <v>0</v>
      </c>
      <c r="P543" s="53">
        <v>20020754</v>
      </c>
      <c r="Q543" s="53" t="s">
        <v>1869</v>
      </c>
      <c r="R543" s="45">
        <v>410</v>
      </c>
      <c r="S543" s="56">
        <v>0.01</v>
      </c>
      <c r="T543" s="47" t="s">
        <v>198</v>
      </c>
      <c r="U543" s="48" t="s">
        <v>199</v>
      </c>
      <c r="V543" s="38"/>
      <c r="W543" s="48" t="s">
        <v>195</v>
      </c>
      <c r="X543" s="38" t="s">
        <v>200</v>
      </c>
      <c r="Y543" s="49" t="s">
        <v>201</v>
      </c>
      <c r="Z543" s="50" t="s">
        <v>1870</v>
      </c>
      <c r="AA543" s="38"/>
      <c r="AB543" s="38"/>
      <c r="AC543" s="38"/>
      <c r="AD543" s="51">
        <v>18</v>
      </c>
      <c r="AE543" s="51">
        <v>18</v>
      </c>
      <c r="AF543" s="48" t="s">
        <v>203</v>
      </c>
      <c r="AG543" s="38" t="s">
        <v>204</v>
      </c>
      <c r="AH543" s="52"/>
      <c r="AI543" s="38"/>
      <c r="AJ543" s="38"/>
    </row>
    <row r="544" spans="1:36" ht="16.2">
      <c r="A544" s="42" t="s">
        <v>191</v>
      </c>
      <c r="B544" s="42">
        <v>820071</v>
      </c>
      <c r="C544" s="42" t="s">
        <v>1779</v>
      </c>
      <c r="D544" s="42">
        <v>13207717</v>
      </c>
      <c r="E544" s="43" t="s">
        <v>1841</v>
      </c>
      <c r="F544" s="42" t="s">
        <v>1761</v>
      </c>
      <c r="G544" s="42" t="s">
        <v>195</v>
      </c>
      <c r="H544" s="42"/>
      <c r="I544" s="42"/>
      <c r="J544" s="42">
        <v>13207717</v>
      </c>
      <c r="K544" s="42"/>
      <c r="L544" s="44">
        <v>45293</v>
      </c>
      <c r="M544" s="44">
        <v>45293</v>
      </c>
      <c r="N544" s="42" t="s">
        <v>1842</v>
      </c>
      <c r="O544" s="42">
        <v>0</v>
      </c>
      <c r="P544" s="42">
        <v>20020754</v>
      </c>
      <c r="Q544" s="42" t="s">
        <v>1871</v>
      </c>
      <c r="R544" s="45">
        <v>410</v>
      </c>
      <c r="S544" s="46">
        <v>0.01</v>
      </c>
      <c r="T544" s="47" t="s">
        <v>198</v>
      </c>
      <c r="U544" s="48" t="s">
        <v>199</v>
      </c>
      <c r="V544" s="38"/>
      <c r="W544" s="48" t="s">
        <v>195</v>
      </c>
      <c r="X544" s="38" t="s">
        <v>200</v>
      </c>
      <c r="Y544" s="49" t="s">
        <v>201</v>
      </c>
      <c r="Z544" s="50" t="s">
        <v>1872</v>
      </c>
      <c r="AA544" s="38"/>
      <c r="AB544" s="38"/>
      <c r="AC544" s="38"/>
      <c r="AD544" s="51">
        <v>18</v>
      </c>
      <c r="AE544" s="51">
        <v>18</v>
      </c>
      <c r="AF544" s="48" t="s">
        <v>203</v>
      </c>
      <c r="AG544" s="38" t="s">
        <v>204</v>
      </c>
      <c r="AH544" s="52"/>
      <c r="AI544" s="38"/>
      <c r="AJ544" s="38"/>
    </row>
    <row r="545" spans="1:36" ht="16.2">
      <c r="A545" s="53" t="s">
        <v>191</v>
      </c>
      <c r="B545" s="53">
        <v>820071</v>
      </c>
      <c r="C545" s="53" t="s">
        <v>1779</v>
      </c>
      <c r="D545" s="53">
        <v>13207717</v>
      </c>
      <c r="E545" s="54" t="s">
        <v>1841</v>
      </c>
      <c r="F545" s="53" t="s">
        <v>1764</v>
      </c>
      <c r="G545" s="53" t="s">
        <v>195</v>
      </c>
      <c r="H545" s="53"/>
      <c r="I545" s="53"/>
      <c r="J545" s="53">
        <v>13207717</v>
      </c>
      <c r="K545" s="53"/>
      <c r="L545" s="55">
        <v>45293</v>
      </c>
      <c r="M545" s="55">
        <v>45293</v>
      </c>
      <c r="N545" s="53" t="s">
        <v>1842</v>
      </c>
      <c r="O545" s="53">
        <v>0</v>
      </c>
      <c r="P545" s="53">
        <v>20020754</v>
      </c>
      <c r="Q545" s="53" t="s">
        <v>1873</v>
      </c>
      <c r="R545" s="45">
        <v>410</v>
      </c>
      <c r="S545" s="56">
        <v>0.01</v>
      </c>
      <c r="T545" s="47" t="s">
        <v>198</v>
      </c>
      <c r="U545" s="48" t="s">
        <v>199</v>
      </c>
      <c r="V545" s="38"/>
      <c r="W545" s="48" t="s">
        <v>195</v>
      </c>
      <c r="X545" s="38" t="s">
        <v>200</v>
      </c>
      <c r="Y545" s="49" t="s">
        <v>201</v>
      </c>
      <c r="Z545" s="50" t="s">
        <v>1874</v>
      </c>
      <c r="AA545" s="38"/>
      <c r="AB545" s="38"/>
      <c r="AC545" s="38"/>
      <c r="AD545" s="51">
        <v>18</v>
      </c>
      <c r="AE545" s="51">
        <v>18</v>
      </c>
      <c r="AF545" s="48" t="s">
        <v>203</v>
      </c>
      <c r="AG545" s="38" t="s">
        <v>204</v>
      </c>
      <c r="AH545" s="52"/>
      <c r="AI545" s="38"/>
      <c r="AJ545" s="38"/>
    </row>
    <row r="546" spans="1:36" ht="16.2">
      <c r="A546" s="42" t="s">
        <v>191</v>
      </c>
      <c r="B546" s="42">
        <v>820071</v>
      </c>
      <c r="C546" s="42" t="s">
        <v>1779</v>
      </c>
      <c r="D546" s="42">
        <v>13207717</v>
      </c>
      <c r="E546" s="43" t="s">
        <v>1841</v>
      </c>
      <c r="F546" s="42" t="s">
        <v>1767</v>
      </c>
      <c r="G546" s="42" t="s">
        <v>195</v>
      </c>
      <c r="H546" s="42"/>
      <c r="I546" s="42"/>
      <c r="J546" s="42">
        <v>13207717</v>
      </c>
      <c r="K546" s="42"/>
      <c r="L546" s="44">
        <v>45293</v>
      </c>
      <c r="M546" s="44">
        <v>45293</v>
      </c>
      <c r="N546" s="42" t="s">
        <v>1842</v>
      </c>
      <c r="O546" s="42">
        <v>0</v>
      </c>
      <c r="P546" s="42">
        <v>20020754</v>
      </c>
      <c r="Q546" s="42" t="s">
        <v>1875</v>
      </c>
      <c r="R546" s="45">
        <v>410</v>
      </c>
      <c r="S546" s="46">
        <v>0.01</v>
      </c>
      <c r="T546" s="47" t="s">
        <v>198</v>
      </c>
      <c r="U546" s="48" t="s">
        <v>199</v>
      </c>
      <c r="V546" s="38"/>
      <c r="W546" s="48" t="s">
        <v>195</v>
      </c>
      <c r="X546" s="38" t="s">
        <v>200</v>
      </c>
      <c r="Y546" s="49" t="s">
        <v>201</v>
      </c>
      <c r="Z546" s="50" t="s">
        <v>1876</v>
      </c>
      <c r="AA546" s="38"/>
      <c r="AB546" s="38"/>
      <c r="AC546" s="38"/>
      <c r="AD546" s="51">
        <v>18</v>
      </c>
      <c r="AE546" s="51">
        <v>18</v>
      </c>
      <c r="AF546" s="48" t="s">
        <v>203</v>
      </c>
      <c r="AG546" s="38" t="s">
        <v>204</v>
      </c>
      <c r="AH546" s="52"/>
      <c r="AI546" s="38"/>
      <c r="AJ546" s="38"/>
    </row>
    <row r="547" spans="1:36" ht="16.2">
      <c r="A547" s="53" t="s">
        <v>191</v>
      </c>
      <c r="B547" s="53">
        <v>820071</v>
      </c>
      <c r="C547" s="53" t="s">
        <v>1779</v>
      </c>
      <c r="D547" s="53">
        <v>13207717</v>
      </c>
      <c r="E547" s="54" t="s">
        <v>1841</v>
      </c>
      <c r="F547" s="53" t="s">
        <v>381</v>
      </c>
      <c r="G547" s="53" t="s">
        <v>195</v>
      </c>
      <c r="H547" s="53" t="s">
        <v>1877</v>
      </c>
      <c r="I547" s="53">
        <v>5068868698</v>
      </c>
      <c r="J547" s="53">
        <v>13207717</v>
      </c>
      <c r="K547" s="53"/>
      <c r="L547" s="55">
        <v>45293</v>
      </c>
      <c r="M547" s="55">
        <v>45293</v>
      </c>
      <c r="N547" s="53" t="s">
        <v>1842</v>
      </c>
      <c r="O547" s="53">
        <v>0</v>
      </c>
      <c r="P547" s="53">
        <v>20020754</v>
      </c>
      <c r="Q547" s="53" t="s">
        <v>1878</v>
      </c>
      <c r="R547" s="45">
        <v>410</v>
      </c>
      <c r="S547" s="56">
        <v>0.01</v>
      </c>
      <c r="T547" s="47" t="s">
        <v>198</v>
      </c>
      <c r="U547" s="48" t="s">
        <v>199</v>
      </c>
      <c r="V547" s="38"/>
      <c r="W547" s="48" t="s">
        <v>195</v>
      </c>
      <c r="X547" s="38" t="s">
        <v>200</v>
      </c>
      <c r="Y547" s="49" t="s">
        <v>201</v>
      </c>
      <c r="Z547" s="50" t="s">
        <v>1879</v>
      </c>
      <c r="AA547" s="47" t="s">
        <v>1880</v>
      </c>
      <c r="AB547" s="38"/>
      <c r="AC547" s="38"/>
      <c r="AD547" s="51">
        <v>18</v>
      </c>
      <c r="AE547" s="51">
        <v>18</v>
      </c>
      <c r="AF547" s="48" t="s">
        <v>203</v>
      </c>
      <c r="AG547" s="38" t="s">
        <v>204</v>
      </c>
      <c r="AH547" s="52"/>
      <c r="AI547" s="38"/>
      <c r="AJ547" s="38"/>
    </row>
    <row r="548" spans="1:36" ht="16.2">
      <c r="A548" s="42" t="s">
        <v>857</v>
      </c>
      <c r="B548" s="42">
        <v>900304</v>
      </c>
      <c r="C548" s="42" t="s">
        <v>1881</v>
      </c>
      <c r="D548" s="42">
        <v>13207693</v>
      </c>
      <c r="E548" s="43" t="s">
        <v>1882</v>
      </c>
      <c r="F548" s="42" t="s">
        <v>1883</v>
      </c>
      <c r="G548" s="42" t="s">
        <v>195</v>
      </c>
      <c r="H548" s="42"/>
      <c r="I548" s="42"/>
      <c r="J548" s="42">
        <v>13207693</v>
      </c>
      <c r="K548" s="42"/>
      <c r="L548" s="44">
        <v>45293</v>
      </c>
      <c r="M548" s="44">
        <v>45293</v>
      </c>
      <c r="N548" s="42" t="s">
        <v>1529</v>
      </c>
      <c r="O548" s="42">
        <v>0</v>
      </c>
      <c r="P548" s="42">
        <v>20031098</v>
      </c>
      <c r="Q548" s="42" t="s">
        <v>1884</v>
      </c>
      <c r="R548" s="45">
        <v>410</v>
      </c>
      <c r="S548" s="46">
        <v>0.01</v>
      </c>
      <c r="T548" s="47" t="s">
        <v>198</v>
      </c>
      <c r="U548" s="48" t="s">
        <v>199</v>
      </c>
      <c r="V548" s="38"/>
      <c r="W548" s="48" t="s">
        <v>195</v>
      </c>
      <c r="X548" s="38" t="s">
        <v>426</v>
      </c>
      <c r="Y548" s="49" t="s">
        <v>427</v>
      </c>
      <c r="Z548" s="50" t="s">
        <v>1885</v>
      </c>
      <c r="AA548" s="38"/>
      <c r="AB548" s="38"/>
      <c r="AC548" s="38"/>
      <c r="AD548" s="51">
        <v>26</v>
      </c>
      <c r="AE548" s="51">
        <v>26</v>
      </c>
      <c r="AF548" s="48" t="s">
        <v>203</v>
      </c>
      <c r="AG548" s="38" t="s">
        <v>204</v>
      </c>
      <c r="AH548" s="52"/>
      <c r="AI548" s="38"/>
      <c r="AJ548" s="38"/>
    </row>
    <row r="549" spans="1:36" ht="16.2">
      <c r="A549" s="53" t="s">
        <v>302</v>
      </c>
      <c r="B549" s="53">
        <v>70993001</v>
      </c>
      <c r="C549" s="53" t="s">
        <v>1886</v>
      </c>
      <c r="D549" s="53">
        <v>13207596</v>
      </c>
      <c r="E549" s="54" t="s">
        <v>1887</v>
      </c>
      <c r="F549" s="53" t="s">
        <v>1888</v>
      </c>
      <c r="G549" s="53" t="s">
        <v>195</v>
      </c>
      <c r="H549" s="53"/>
      <c r="I549" s="53"/>
      <c r="J549" s="53">
        <v>13207596</v>
      </c>
      <c r="K549" s="53"/>
      <c r="L549" s="55">
        <v>45293</v>
      </c>
      <c r="M549" s="55">
        <v>45293</v>
      </c>
      <c r="N549" s="53" t="s">
        <v>306</v>
      </c>
      <c r="O549" s="53">
        <v>0</v>
      </c>
      <c r="P549" s="53">
        <v>20009855</v>
      </c>
      <c r="Q549" s="53" t="s">
        <v>1889</v>
      </c>
      <c r="R549" s="45">
        <v>410</v>
      </c>
      <c r="S549" s="56">
        <v>0.01</v>
      </c>
      <c r="T549" s="47" t="s">
        <v>198</v>
      </c>
      <c r="U549" s="48" t="s">
        <v>199</v>
      </c>
      <c r="V549" s="38"/>
      <c r="W549" s="48" t="s">
        <v>195</v>
      </c>
      <c r="X549" s="38" t="s">
        <v>308</v>
      </c>
      <c r="Y549" s="49" t="s">
        <v>309</v>
      </c>
      <c r="Z549" s="50" t="s">
        <v>1890</v>
      </c>
      <c r="AA549" s="38"/>
      <c r="AB549" s="38"/>
      <c r="AC549" s="38"/>
      <c r="AD549" s="51">
        <v>146</v>
      </c>
      <c r="AE549" s="51">
        <v>146</v>
      </c>
      <c r="AF549" s="48" t="s">
        <v>203</v>
      </c>
      <c r="AG549" s="38" t="s">
        <v>204</v>
      </c>
      <c r="AH549" s="52"/>
      <c r="AI549" s="38"/>
      <c r="AJ549" s="38"/>
    </row>
    <row r="550" spans="1:36" ht="16.2">
      <c r="A550" s="42" t="s">
        <v>420</v>
      </c>
      <c r="B550" s="42">
        <v>719607</v>
      </c>
      <c r="C550" s="42" t="s">
        <v>1891</v>
      </c>
      <c r="D550" s="42">
        <v>13207674</v>
      </c>
      <c r="E550" s="43" t="s">
        <v>1892</v>
      </c>
      <c r="F550" s="42" t="s">
        <v>1893</v>
      </c>
      <c r="G550" s="42" t="s">
        <v>195</v>
      </c>
      <c r="H550" s="42"/>
      <c r="I550" s="42"/>
      <c r="J550" s="42">
        <v>13207674</v>
      </c>
      <c r="K550" s="42"/>
      <c r="L550" s="44">
        <v>45293</v>
      </c>
      <c r="M550" s="44">
        <v>45293</v>
      </c>
      <c r="N550" s="42" t="s">
        <v>1894</v>
      </c>
      <c r="O550" s="42">
        <v>0</v>
      </c>
      <c r="P550" s="42">
        <v>20078418</v>
      </c>
      <c r="Q550" s="42" t="s">
        <v>1895</v>
      </c>
      <c r="R550" s="45">
        <v>410</v>
      </c>
      <c r="S550" s="46">
        <v>0.01</v>
      </c>
      <c r="T550" s="47" t="s">
        <v>198</v>
      </c>
      <c r="U550" s="48" t="s">
        <v>199</v>
      </c>
      <c r="V550" s="38"/>
      <c r="W550" s="48" t="s">
        <v>195</v>
      </c>
      <c r="X550" s="38" t="s">
        <v>426</v>
      </c>
      <c r="Y550" s="49" t="s">
        <v>427</v>
      </c>
      <c r="Z550" s="50" t="s">
        <v>1896</v>
      </c>
      <c r="AA550" s="38"/>
      <c r="AB550" s="38"/>
      <c r="AC550" s="38"/>
      <c r="AD550" s="51">
        <v>67</v>
      </c>
      <c r="AE550" s="51">
        <v>67</v>
      </c>
      <c r="AF550" s="48" t="s">
        <v>203</v>
      </c>
      <c r="AG550" s="38" t="s">
        <v>204</v>
      </c>
      <c r="AH550" s="52"/>
      <c r="AI550" s="38"/>
      <c r="AJ550" s="38"/>
    </row>
    <row r="551" spans="1:36" ht="16.2">
      <c r="A551" s="53" t="s">
        <v>420</v>
      </c>
      <c r="B551" s="53">
        <v>719607</v>
      </c>
      <c r="C551" s="53" t="s">
        <v>1891</v>
      </c>
      <c r="D551" s="53">
        <v>13207674</v>
      </c>
      <c r="E551" s="54" t="s">
        <v>1892</v>
      </c>
      <c r="F551" s="53" t="s">
        <v>628</v>
      </c>
      <c r="G551" s="53" t="s">
        <v>195</v>
      </c>
      <c r="H551" s="53"/>
      <c r="I551" s="53"/>
      <c r="J551" s="53">
        <v>13207674</v>
      </c>
      <c r="K551" s="53"/>
      <c r="L551" s="55">
        <v>45293</v>
      </c>
      <c r="M551" s="55">
        <v>45293</v>
      </c>
      <c r="N551" s="53" t="s">
        <v>1894</v>
      </c>
      <c r="O551" s="53">
        <v>0</v>
      </c>
      <c r="P551" s="53">
        <v>20078418</v>
      </c>
      <c r="Q551" s="53" t="s">
        <v>1897</v>
      </c>
      <c r="R551" s="45">
        <v>410</v>
      </c>
      <c r="S551" s="56">
        <v>0.01</v>
      </c>
      <c r="T551" s="47" t="s">
        <v>198</v>
      </c>
      <c r="U551" s="48" t="s">
        <v>199</v>
      </c>
      <c r="V551" s="38"/>
      <c r="W551" s="48" t="s">
        <v>195</v>
      </c>
      <c r="X551" s="38" t="s">
        <v>426</v>
      </c>
      <c r="Y551" s="49" t="s">
        <v>427</v>
      </c>
      <c r="Z551" s="50" t="s">
        <v>1898</v>
      </c>
      <c r="AA551" s="38"/>
      <c r="AB551" s="38"/>
      <c r="AC551" s="38"/>
      <c r="AD551" s="51">
        <v>67</v>
      </c>
      <c r="AE551" s="51">
        <v>67</v>
      </c>
      <c r="AF551" s="48" t="s">
        <v>203</v>
      </c>
      <c r="AG551" s="38" t="s">
        <v>204</v>
      </c>
      <c r="AH551" s="52"/>
      <c r="AI551" s="38"/>
      <c r="AJ551" s="38"/>
    </row>
    <row r="552" spans="1:36" ht="16.2">
      <c r="A552" s="42" t="s">
        <v>420</v>
      </c>
      <c r="B552" s="42">
        <v>719607</v>
      </c>
      <c r="C552" s="42" t="s">
        <v>1891</v>
      </c>
      <c r="D552" s="42">
        <v>13207674</v>
      </c>
      <c r="E552" s="43" t="s">
        <v>1892</v>
      </c>
      <c r="F552" s="42" t="s">
        <v>1899</v>
      </c>
      <c r="G552" s="42" t="s">
        <v>195</v>
      </c>
      <c r="H552" s="42"/>
      <c r="I552" s="42"/>
      <c r="J552" s="42">
        <v>13207674</v>
      </c>
      <c r="K552" s="42"/>
      <c r="L552" s="44">
        <v>45293</v>
      </c>
      <c r="M552" s="44">
        <v>45293</v>
      </c>
      <c r="N552" s="42" t="s">
        <v>1894</v>
      </c>
      <c r="O552" s="42">
        <v>0</v>
      </c>
      <c r="P552" s="42">
        <v>20078418</v>
      </c>
      <c r="Q552" s="42" t="s">
        <v>1900</v>
      </c>
      <c r="R552" s="45">
        <v>410</v>
      </c>
      <c r="S552" s="46">
        <v>0.01</v>
      </c>
      <c r="T552" s="47" t="s">
        <v>198</v>
      </c>
      <c r="U552" s="48" t="s">
        <v>199</v>
      </c>
      <c r="V552" s="38"/>
      <c r="W552" s="48" t="s">
        <v>195</v>
      </c>
      <c r="X552" s="38" t="s">
        <v>426</v>
      </c>
      <c r="Y552" s="49" t="s">
        <v>427</v>
      </c>
      <c r="Z552" s="50" t="s">
        <v>1901</v>
      </c>
      <c r="AA552" s="38"/>
      <c r="AB552" s="38"/>
      <c r="AC552" s="38"/>
      <c r="AD552" s="51">
        <v>67</v>
      </c>
      <c r="AE552" s="51">
        <v>67</v>
      </c>
      <c r="AF552" s="48" t="s">
        <v>203</v>
      </c>
      <c r="AG552" s="38" t="s">
        <v>204</v>
      </c>
      <c r="AH552" s="52"/>
      <c r="AI552" s="38"/>
      <c r="AJ552" s="38"/>
    </row>
    <row r="553" spans="1:36" ht="16.2">
      <c r="A553" s="53" t="s">
        <v>420</v>
      </c>
      <c r="B553" s="53">
        <v>719607</v>
      </c>
      <c r="C553" s="53" t="s">
        <v>1891</v>
      </c>
      <c r="D553" s="53">
        <v>13207674</v>
      </c>
      <c r="E553" s="54" t="s">
        <v>1892</v>
      </c>
      <c r="F553" s="53" t="s">
        <v>1902</v>
      </c>
      <c r="G553" s="53" t="s">
        <v>195</v>
      </c>
      <c r="H553" s="53"/>
      <c r="I553" s="53"/>
      <c r="J553" s="53">
        <v>13207674</v>
      </c>
      <c r="K553" s="53"/>
      <c r="L553" s="55">
        <v>45293</v>
      </c>
      <c r="M553" s="55">
        <v>45293</v>
      </c>
      <c r="N553" s="53" t="s">
        <v>1894</v>
      </c>
      <c r="O553" s="53">
        <v>0</v>
      </c>
      <c r="P553" s="53">
        <v>20078418</v>
      </c>
      <c r="Q553" s="53" t="s">
        <v>1903</v>
      </c>
      <c r="R553" s="45">
        <v>410</v>
      </c>
      <c r="S553" s="56">
        <v>0.01</v>
      </c>
      <c r="T553" s="47" t="s">
        <v>198</v>
      </c>
      <c r="U553" s="48" t="s">
        <v>199</v>
      </c>
      <c r="V553" s="38"/>
      <c r="W553" s="48" t="s">
        <v>195</v>
      </c>
      <c r="X553" s="38" t="s">
        <v>426</v>
      </c>
      <c r="Y553" s="49" t="s">
        <v>427</v>
      </c>
      <c r="Z553" s="50" t="s">
        <v>1904</v>
      </c>
      <c r="AA553" s="60"/>
      <c r="AB553" s="38"/>
      <c r="AC553" s="38"/>
      <c r="AD553" s="51">
        <v>67</v>
      </c>
      <c r="AE553" s="51">
        <v>67</v>
      </c>
      <c r="AF553" s="48" t="s">
        <v>203</v>
      </c>
      <c r="AG553" s="38" t="s">
        <v>204</v>
      </c>
      <c r="AH553" s="52"/>
      <c r="AI553" s="38"/>
      <c r="AJ553" s="38"/>
    </row>
    <row r="554" spans="1:36" ht="16.2">
      <c r="A554" s="42" t="s">
        <v>420</v>
      </c>
      <c r="B554" s="42">
        <v>719607</v>
      </c>
      <c r="C554" s="42" t="s">
        <v>1891</v>
      </c>
      <c r="D554" s="42">
        <v>13207674</v>
      </c>
      <c r="E554" s="43" t="s">
        <v>1892</v>
      </c>
      <c r="F554" s="42" t="s">
        <v>1905</v>
      </c>
      <c r="G554" s="42" t="s">
        <v>195</v>
      </c>
      <c r="H554" s="42"/>
      <c r="I554" s="42"/>
      <c r="J554" s="42">
        <v>13207674</v>
      </c>
      <c r="K554" s="42"/>
      <c r="L554" s="44">
        <v>45293</v>
      </c>
      <c r="M554" s="44">
        <v>45293</v>
      </c>
      <c r="N554" s="42" t="s">
        <v>1894</v>
      </c>
      <c r="O554" s="42">
        <v>0</v>
      </c>
      <c r="P554" s="42">
        <v>20078418</v>
      </c>
      <c r="Q554" s="42" t="s">
        <v>1906</v>
      </c>
      <c r="R554" s="45">
        <v>410</v>
      </c>
      <c r="S554" s="46">
        <v>0.01</v>
      </c>
      <c r="T554" s="47" t="s">
        <v>198</v>
      </c>
      <c r="U554" s="48" t="s">
        <v>199</v>
      </c>
      <c r="V554" s="38"/>
      <c r="W554" s="48" t="s">
        <v>195</v>
      </c>
      <c r="X554" s="38" t="s">
        <v>426</v>
      </c>
      <c r="Y554" s="49" t="s">
        <v>427</v>
      </c>
      <c r="Z554" s="50" t="s">
        <v>1907</v>
      </c>
      <c r="AA554" s="38"/>
      <c r="AB554" s="38"/>
      <c r="AC554" s="38"/>
      <c r="AD554" s="51">
        <v>67</v>
      </c>
      <c r="AE554" s="51">
        <v>67</v>
      </c>
      <c r="AF554" s="48" t="s">
        <v>203</v>
      </c>
      <c r="AG554" s="38" t="s">
        <v>204</v>
      </c>
      <c r="AH554" s="52"/>
      <c r="AI554" s="38"/>
      <c r="AJ554" s="38"/>
    </row>
    <row r="555" spans="1:36" ht="16.2">
      <c r="A555" s="53" t="s">
        <v>1908</v>
      </c>
      <c r="B555" s="53">
        <v>71960606</v>
      </c>
      <c r="C555" s="53" t="s">
        <v>1909</v>
      </c>
      <c r="D555" s="53">
        <v>13207655</v>
      </c>
      <c r="E555" s="54" t="s">
        <v>1910</v>
      </c>
      <c r="F555" s="53" t="s">
        <v>1911</v>
      </c>
      <c r="G555" s="53" t="s">
        <v>195</v>
      </c>
      <c r="H555" s="53"/>
      <c r="I555" s="53"/>
      <c r="J555" s="53">
        <v>13207655</v>
      </c>
      <c r="K555" s="53"/>
      <c r="L555" s="55">
        <v>45293</v>
      </c>
      <c r="M555" s="55">
        <v>45293</v>
      </c>
      <c r="N555" s="53" t="s">
        <v>1894</v>
      </c>
      <c r="O555" s="53">
        <v>0</v>
      </c>
      <c r="P555" s="53">
        <v>20078418</v>
      </c>
      <c r="Q555" s="53" t="s">
        <v>1912</v>
      </c>
      <c r="R555" s="45">
        <v>410</v>
      </c>
      <c r="S555" s="56">
        <v>0.01</v>
      </c>
      <c r="T555" s="47" t="s">
        <v>198</v>
      </c>
      <c r="U555" s="48" t="s">
        <v>199</v>
      </c>
      <c r="V555" s="38"/>
      <c r="W555" s="48" t="s">
        <v>195</v>
      </c>
      <c r="X555" s="38" t="s">
        <v>426</v>
      </c>
      <c r="Y555" s="49" t="s">
        <v>427</v>
      </c>
      <c r="Z555" s="50" t="s">
        <v>1913</v>
      </c>
      <c r="AA555" s="38"/>
      <c r="AB555" s="38"/>
      <c r="AC555" s="38"/>
      <c r="AD555" s="51">
        <v>67</v>
      </c>
      <c r="AE555" s="51">
        <v>67</v>
      </c>
      <c r="AF555" s="48" t="s">
        <v>203</v>
      </c>
      <c r="AG555" s="38" t="s">
        <v>204</v>
      </c>
      <c r="AH555" s="52"/>
      <c r="AI555" s="38"/>
      <c r="AJ555" s="38"/>
    </row>
    <row r="556" spans="1:36" ht="16.2">
      <c r="A556" s="42" t="s">
        <v>1908</v>
      </c>
      <c r="B556" s="42">
        <v>71960605</v>
      </c>
      <c r="C556" s="42" t="s">
        <v>1914</v>
      </c>
      <c r="D556" s="42">
        <v>13207657</v>
      </c>
      <c r="E556" s="43" t="s">
        <v>1915</v>
      </c>
      <c r="F556" s="42" t="s">
        <v>1916</v>
      </c>
      <c r="G556" s="42" t="s">
        <v>195</v>
      </c>
      <c r="H556" s="42"/>
      <c r="I556" s="42"/>
      <c r="J556" s="42">
        <v>13207657</v>
      </c>
      <c r="K556" s="42"/>
      <c r="L556" s="44">
        <v>45293</v>
      </c>
      <c r="M556" s="44">
        <v>45293</v>
      </c>
      <c r="N556" s="42" t="s">
        <v>1894</v>
      </c>
      <c r="O556" s="42">
        <v>0</v>
      </c>
      <c r="P556" s="42">
        <v>20078418</v>
      </c>
      <c r="Q556" s="42" t="s">
        <v>1917</v>
      </c>
      <c r="R556" s="45">
        <v>410</v>
      </c>
      <c r="S556" s="46">
        <v>0.01</v>
      </c>
      <c r="T556" s="47" t="s">
        <v>198</v>
      </c>
      <c r="U556" s="48" t="s">
        <v>199</v>
      </c>
      <c r="V556" s="38"/>
      <c r="W556" s="48" t="s">
        <v>195</v>
      </c>
      <c r="X556" s="38" t="s">
        <v>426</v>
      </c>
      <c r="Y556" s="49" t="s">
        <v>427</v>
      </c>
      <c r="Z556" s="50" t="s">
        <v>1918</v>
      </c>
      <c r="AA556" s="38"/>
      <c r="AB556" s="38"/>
      <c r="AC556" s="38"/>
      <c r="AD556" s="51">
        <v>67</v>
      </c>
      <c r="AE556" s="51">
        <v>67</v>
      </c>
      <c r="AF556" s="48" t="s">
        <v>203</v>
      </c>
      <c r="AG556" s="38" t="s">
        <v>204</v>
      </c>
      <c r="AH556" s="52"/>
      <c r="AI556" s="38"/>
      <c r="AJ556" s="38"/>
    </row>
    <row r="557" spans="1:36" ht="16.2">
      <c r="A557" s="53" t="s">
        <v>1908</v>
      </c>
      <c r="B557" s="53">
        <v>71960605</v>
      </c>
      <c r="C557" s="53" t="s">
        <v>1914</v>
      </c>
      <c r="D557" s="53">
        <v>13207657</v>
      </c>
      <c r="E557" s="54" t="s">
        <v>1915</v>
      </c>
      <c r="F557" s="53" t="s">
        <v>1919</v>
      </c>
      <c r="G557" s="53" t="s">
        <v>195</v>
      </c>
      <c r="H557" s="53"/>
      <c r="I557" s="53"/>
      <c r="J557" s="53">
        <v>13207657</v>
      </c>
      <c r="K557" s="53"/>
      <c r="L557" s="55">
        <v>45293</v>
      </c>
      <c r="M557" s="55">
        <v>45293</v>
      </c>
      <c r="N557" s="53" t="s">
        <v>1894</v>
      </c>
      <c r="O557" s="53">
        <v>0</v>
      </c>
      <c r="P557" s="53">
        <v>20078418</v>
      </c>
      <c r="Q557" s="53" t="s">
        <v>1920</v>
      </c>
      <c r="R557" s="45">
        <v>410</v>
      </c>
      <c r="S557" s="56">
        <v>0.01</v>
      </c>
      <c r="T557" s="47" t="s">
        <v>198</v>
      </c>
      <c r="U557" s="48" t="s">
        <v>199</v>
      </c>
      <c r="V557" s="38"/>
      <c r="W557" s="48" t="s">
        <v>195</v>
      </c>
      <c r="X557" s="38" t="s">
        <v>426</v>
      </c>
      <c r="Y557" s="49" t="s">
        <v>427</v>
      </c>
      <c r="Z557" s="50" t="s">
        <v>1921</v>
      </c>
      <c r="AA557" s="38"/>
      <c r="AB557" s="38"/>
      <c r="AC557" s="38"/>
      <c r="AD557" s="51">
        <v>67</v>
      </c>
      <c r="AE557" s="51">
        <v>67</v>
      </c>
      <c r="AF557" s="48" t="s">
        <v>203</v>
      </c>
      <c r="AG557" s="38" t="s">
        <v>204</v>
      </c>
      <c r="AH557" s="52"/>
      <c r="AI557" s="38"/>
      <c r="AJ557" s="38"/>
    </row>
    <row r="558" spans="1:36" ht="16.2">
      <c r="A558" s="42" t="s">
        <v>1908</v>
      </c>
      <c r="B558" s="42">
        <v>71960605</v>
      </c>
      <c r="C558" s="42" t="s">
        <v>1914</v>
      </c>
      <c r="D558" s="42">
        <v>13207657</v>
      </c>
      <c r="E558" s="43" t="s">
        <v>1915</v>
      </c>
      <c r="F558" s="42" t="s">
        <v>1922</v>
      </c>
      <c r="G558" s="42" t="s">
        <v>195</v>
      </c>
      <c r="H558" s="42"/>
      <c r="I558" s="42"/>
      <c r="J558" s="42">
        <v>13207657</v>
      </c>
      <c r="K558" s="42"/>
      <c r="L558" s="44">
        <v>45293</v>
      </c>
      <c r="M558" s="44">
        <v>45293</v>
      </c>
      <c r="N558" s="42" t="s">
        <v>1894</v>
      </c>
      <c r="O558" s="42">
        <v>0</v>
      </c>
      <c r="P558" s="42">
        <v>20078418</v>
      </c>
      <c r="Q558" s="42" t="s">
        <v>1923</v>
      </c>
      <c r="R558" s="45">
        <v>410</v>
      </c>
      <c r="S558" s="46">
        <v>0.01</v>
      </c>
      <c r="T558" s="47" t="s">
        <v>198</v>
      </c>
      <c r="U558" s="48" t="s">
        <v>199</v>
      </c>
      <c r="V558" s="38"/>
      <c r="W558" s="48" t="s">
        <v>195</v>
      </c>
      <c r="X558" s="38" t="s">
        <v>426</v>
      </c>
      <c r="Y558" s="49" t="s">
        <v>427</v>
      </c>
      <c r="Z558" s="50" t="s">
        <v>1924</v>
      </c>
      <c r="AA558" s="38"/>
      <c r="AB558" s="38"/>
      <c r="AC558" s="38"/>
      <c r="AD558" s="51">
        <v>67</v>
      </c>
      <c r="AE558" s="51">
        <v>67</v>
      </c>
      <c r="AF558" s="48" t="s">
        <v>203</v>
      </c>
      <c r="AG558" s="38" t="s">
        <v>204</v>
      </c>
      <c r="AH558" s="52"/>
      <c r="AI558" s="38"/>
      <c r="AJ558" s="38"/>
    </row>
    <row r="559" spans="1:36" ht="16.2">
      <c r="A559" s="53" t="s">
        <v>420</v>
      </c>
      <c r="B559" s="53">
        <v>71960702</v>
      </c>
      <c r="C559" s="53" t="s">
        <v>1925</v>
      </c>
      <c r="D559" s="53">
        <v>13207673</v>
      </c>
      <c r="E559" s="54" t="s">
        <v>1915</v>
      </c>
      <c r="F559" s="53" t="s">
        <v>1916</v>
      </c>
      <c r="G559" s="53" t="s">
        <v>195</v>
      </c>
      <c r="H559" s="53"/>
      <c r="I559" s="53"/>
      <c r="J559" s="53">
        <v>13207673</v>
      </c>
      <c r="K559" s="53"/>
      <c r="L559" s="55">
        <v>45293</v>
      </c>
      <c r="M559" s="55">
        <v>45293</v>
      </c>
      <c r="N559" s="53" t="s">
        <v>1894</v>
      </c>
      <c r="O559" s="53">
        <v>0</v>
      </c>
      <c r="P559" s="53">
        <v>20078418</v>
      </c>
      <c r="Q559" s="53" t="s">
        <v>1926</v>
      </c>
      <c r="R559" s="45">
        <v>410</v>
      </c>
      <c r="S559" s="56">
        <v>0.01</v>
      </c>
      <c r="T559" s="47" t="s">
        <v>198</v>
      </c>
      <c r="U559" s="48" t="s">
        <v>199</v>
      </c>
      <c r="V559" s="38"/>
      <c r="W559" s="48" t="s">
        <v>195</v>
      </c>
      <c r="X559" s="38" t="s">
        <v>426</v>
      </c>
      <c r="Y559" s="49" t="s">
        <v>427</v>
      </c>
      <c r="Z559" s="50" t="s">
        <v>1927</v>
      </c>
      <c r="AA559" s="38"/>
      <c r="AB559" s="38"/>
      <c r="AC559" s="38"/>
      <c r="AD559" s="51">
        <v>67</v>
      </c>
      <c r="AE559" s="51">
        <v>67</v>
      </c>
      <c r="AF559" s="48" t="s">
        <v>203</v>
      </c>
      <c r="AG559" s="38" t="s">
        <v>204</v>
      </c>
      <c r="AH559" s="52"/>
      <c r="AI559" s="38"/>
      <c r="AJ559" s="38"/>
    </row>
    <row r="560" spans="1:36" ht="16.2">
      <c r="A560" s="42" t="s">
        <v>420</v>
      </c>
      <c r="B560" s="42">
        <v>71960702</v>
      </c>
      <c r="C560" s="42" t="s">
        <v>1925</v>
      </c>
      <c r="D560" s="42">
        <v>13207673</v>
      </c>
      <c r="E560" s="43" t="s">
        <v>1915</v>
      </c>
      <c r="F560" s="42" t="s">
        <v>1919</v>
      </c>
      <c r="G560" s="42" t="s">
        <v>195</v>
      </c>
      <c r="H560" s="42"/>
      <c r="I560" s="42"/>
      <c r="J560" s="42">
        <v>13207673</v>
      </c>
      <c r="K560" s="42"/>
      <c r="L560" s="44">
        <v>45293</v>
      </c>
      <c r="M560" s="44">
        <v>45293</v>
      </c>
      <c r="N560" s="42" t="s">
        <v>1894</v>
      </c>
      <c r="O560" s="42">
        <v>0</v>
      </c>
      <c r="P560" s="42">
        <v>20078418</v>
      </c>
      <c r="Q560" s="42" t="s">
        <v>1928</v>
      </c>
      <c r="R560" s="45">
        <v>410</v>
      </c>
      <c r="S560" s="46">
        <v>0.01</v>
      </c>
      <c r="T560" s="47" t="s">
        <v>198</v>
      </c>
      <c r="U560" s="48" t="s">
        <v>199</v>
      </c>
      <c r="V560" s="38"/>
      <c r="W560" s="48" t="s">
        <v>195</v>
      </c>
      <c r="X560" s="38" t="s">
        <v>426</v>
      </c>
      <c r="Y560" s="49" t="s">
        <v>427</v>
      </c>
      <c r="Z560" s="50" t="s">
        <v>1929</v>
      </c>
      <c r="AA560" s="38"/>
      <c r="AB560" s="38"/>
      <c r="AC560" s="38"/>
      <c r="AD560" s="51">
        <v>67</v>
      </c>
      <c r="AE560" s="51">
        <v>67</v>
      </c>
      <c r="AF560" s="48" t="s">
        <v>203</v>
      </c>
      <c r="AG560" s="38" t="s">
        <v>204</v>
      </c>
      <c r="AH560" s="52"/>
      <c r="AI560" s="38"/>
      <c r="AJ560" s="38"/>
    </row>
    <row r="561" spans="1:36" ht="16.2">
      <c r="A561" s="53" t="s">
        <v>420</v>
      </c>
      <c r="B561" s="53">
        <v>71960702</v>
      </c>
      <c r="C561" s="53" t="s">
        <v>1925</v>
      </c>
      <c r="D561" s="53">
        <v>13207673</v>
      </c>
      <c r="E561" s="54" t="s">
        <v>1915</v>
      </c>
      <c r="F561" s="53" t="s">
        <v>1922</v>
      </c>
      <c r="G561" s="53" t="s">
        <v>195</v>
      </c>
      <c r="H561" s="53"/>
      <c r="I561" s="53"/>
      <c r="J561" s="53">
        <v>13207673</v>
      </c>
      <c r="K561" s="53"/>
      <c r="L561" s="55">
        <v>45293</v>
      </c>
      <c r="M561" s="55">
        <v>45293</v>
      </c>
      <c r="N561" s="53" t="s">
        <v>1894</v>
      </c>
      <c r="O561" s="53">
        <v>0</v>
      </c>
      <c r="P561" s="53">
        <v>20078418</v>
      </c>
      <c r="Q561" s="53" t="s">
        <v>1930</v>
      </c>
      <c r="R561" s="45">
        <v>410</v>
      </c>
      <c r="S561" s="56">
        <v>0.01</v>
      </c>
      <c r="T561" s="47" t="s">
        <v>198</v>
      </c>
      <c r="U561" s="48" t="s">
        <v>199</v>
      </c>
      <c r="V561" s="38"/>
      <c r="W561" s="48" t="s">
        <v>195</v>
      </c>
      <c r="X561" s="38" t="s">
        <v>426</v>
      </c>
      <c r="Y561" s="49" t="s">
        <v>427</v>
      </c>
      <c r="Z561" s="50" t="s">
        <v>1931</v>
      </c>
      <c r="AA561" s="38"/>
      <c r="AB561" s="38"/>
      <c r="AC561" s="38"/>
      <c r="AD561" s="51">
        <v>67</v>
      </c>
      <c r="AE561" s="51">
        <v>67</v>
      </c>
      <c r="AF561" s="48" t="s">
        <v>203</v>
      </c>
      <c r="AG561" s="38" t="s">
        <v>204</v>
      </c>
      <c r="AH561" s="52"/>
      <c r="AI561" s="38"/>
      <c r="AJ561" s="38"/>
    </row>
    <row r="562" spans="1:36" ht="16.2">
      <c r="A562" s="42" t="s">
        <v>1908</v>
      </c>
      <c r="B562" s="42">
        <v>719606</v>
      </c>
      <c r="C562" s="42" t="s">
        <v>1932</v>
      </c>
      <c r="D562" s="42">
        <v>13207656</v>
      </c>
      <c r="E562" s="43" t="s">
        <v>1933</v>
      </c>
      <c r="F562" s="42" t="s">
        <v>1893</v>
      </c>
      <c r="G562" s="42" t="s">
        <v>195</v>
      </c>
      <c r="H562" s="42"/>
      <c r="I562" s="42"/>
      <c r="J562" s="42">
        <v>13207656</v>
      </c>
      <c r="K562" s="42"/>
      <c r="L562" s="44">
        <v>45293</v>
      </c>
      <c r="M562" s="44">
        <v>45293</v>
      </c>
      <c r="N562" s="42" t="s">
        <v>1894</v>
      </c>
      <c r="O562" s="42">
        <v>0</v>
      </c>
      <c r="P562" s="42">
        <v>20078418</v>
      </c>
      <c r="Q562" s="42" t="s">
        <v>1934</v>
      </c>
      <c r="R562" s="45">
        <v>410</v>
      </c>
      <c r="S562" s="46">
        <v>0.01</v>
      </c>
      <c r="T562" s="47" t="s">
        <v>198</v>
      </c>
      <c r="U562" s="48" t="s">
        <v>199</v>
      </c>
      <c r="V562" s="38"/>
      <c r="W562" s="48" t="s">
        <v>195</v>
      </c>
      <c r="X562" s="38" t="s">
        <v>426</v>
      </c>
      <c r="Y562" s="49" t="s">
        <v>427</v>
      </c>
      <c r="Z562" s="50" t="s">
        <v>1935</v>
      </c>
      <c r="AA562" s="38"/>
      <c r="AB562" s="38"/>
      <c r="AC562" s="38"/>
      <c r="AD562" s="51">
        <v>67</v>
      </c>
      <c r="AE562" s="51">
        <v>67</v>
      </c>
      <c r="AF562" s="48" t="s">
        <v>203</v>
      </c>
      <c r="AG562" s="38" t="s">
        <v>204</v>
      </c>
      <c r="AH562" s="52"/>
      <c r="AI562" s="38"/>
      <c r="AJ562" s="38"/>
    </row>
    <row r="563" spans="1:36" ht="16.2">
      <c r="A563" s="53" t="s">
        <v>1908</v>
      </c>
      <c r="B563" s="53">
        <v>719606</v>
      </c>
      <c r="C563" s="53" t="s">
        <v>1932</v>
      </c>
      <c r="D563" s="53">
        <v>13207656</v>
      </c>
      <c r="E563" s="54" t="s">
        <v>1933</v>
      </c>
      <c r="F563" s="53" t="s">
        <v>628</v>
      </c>
      <c r="G563" s="53" t="s">
        <v>195</v>
      </c>
      <c r="H563" s="53"/>
      <c r="I563" s="53"/>
      <c r="J563" s="53">
        <v>13207656</v>
      </c>
      <c r="K563" s="53"/>
      <c r="L563" s="55">
        <v>45293</v>
      </c>
      <c r="M563" s="55">
        <v>45293</v>
      </c>
      <c r="N563" s="53" t="s">
        <v>1894</v>
      </c>
      <c r="O563" s="53">
        <v>0</v>
      </c>
      <c r="P563" s="53">
        <v>20078418</v>
      </c>
      <c r="Q563" s="53" t="s">
        <v>1936</v>
      </c>
      <c r="R563" s="45">
        <v>410</v>
      </c>
      <c r="S563" s="56">
        <v>0.01</v>
      </c>
      <c r="T563" s="47" t="s">
        <v>198</v>
      </c>
      <c r="U563" s="48" t="s">
        <v>199</v>
      </c>
      <c r="V563" s="38"/>
      <c r="W563" s="48" t="s">
        <v>195</v>
      </c>
      <c r="X563" s="38" t="s">
        <v>426</v>
      </c>
      <c r="Y563" s="49" t="s">
        <v>427</v>
      </c>
      <c r="Z563" s="50" t="s">
        <v>1937</v>
      </c>
      <c r="AA563" s="38"/>
      <c r="AB563" s="38"/>
      <c r="AC563" s="38"/>
      <c r="AD563" s="51">
        <v>67</v>
      </c>
      <c r="AE563" s="51">
        <v>67</v>
      </c>
      <c r="AF563" s="48" t="s">
        <v>203</v>
      </c>
      <c r="AG563" s="38" t="s">
        <v>204</v>
      </c>
      <c r="AH563" s="52"/>
      <c r="AI563" s="38"/>
      <c r="AJ563" s="38"/>
    </row>
    <row r="564" spans="1:36" ht="16.2">
      <c r="A564" s="42" t="s">
        <v>1908</v>
      </c>
      <c r="B564" s="42">
        <v>719606</v>
      </c>
      <c r="C564" s="42" t="s">
        <v>1932</v>
      </c>
      <c r="D564" s="42">
        <v>13207656</v>
      </c>
      <c r="E564" s="43" t="s">
        <v>1933</v>
      </c>
      <c r="F564" s="42" t="s">
        <v>1899</v>
      </c>
      <c r="G564" s="42" t="s">
        <v>195</v>
      </c>
      <c r="H564" s="42"/>
      <c r="I564" s="42"/>
      <c r="J564" s="42">
        <v>13207656</v>
      </c>
      <c r="K564" s="42"/>
      <c r="L564" s="44">
        <v>45293</v>
      </c>
      <c r="M564" s="44">
        <v>45293</v>
      </c>
      <c r="N564" s="42" t="s">
        <v>1894</v>
      </c>
      <c r="O564" s="42">
        <v>0</v>
      </c>
      <c r="P564" s="42">
        <v>20078418</v>
      </c>
      <c r="Q564" s="42" t="s">
        <v>1938</v>
      </c>
      <c r="R564" s="45">
        <v>410</v>
      </c>
      <c r="S564" s="46">
        <v>0.01</v>
      </c>
      <c r="T564" s="47" t="s">
        <v>198</v>
      </c>
      <c r="U564" s="48" t="s">
        <v>199</v>
      </c>
      <c r="V564" s="38"/>
      <c r="W564" s="48" t="s">
        <v>195</v>
      </c>
      <c r="X564" s="38" t="s">
        <v>426</v>
      </c>
      <c r="Y564" s="49" t="s">
        <v>427</v>
      </c>
      <c r="Z564" s="50" t="s">
        <v>1939</v>
      </c>
      <c r="AA564" s="38"/>
      <c r="AB564" s="38"/>
      <c r="AC564" s="38"/>
      <c r="AD564" s="51">
        <v>67</v>
      </c>
      <c r="AE564" s="51">
        <v>67</v>
      </c>
      <c r="AF564" s="48" t="s">
        <v>203</v>
      </c>
      <c r="AG564" s="38" t="s">
        <v>204</v>
      </c>
      <c r="AH564" s="52"/>
      <c r="AI564" s="38"/>
      <c r="AJ564" s="38"/>
    </row>
    <row r="565" spans="1:36" ht="16.2">
      <c r="A565" s="53" t="s">
        <v>1908</v>
      </c>
      <c r="B565" s="53">
        <v>719606</v>
      </c>
      <c r="C565" s="53" t="s">
        <v>1932</v>
      </c>
      <c r="D565" s="53">
        <v>13207656</v>
      </c>
      <c r="E565" s="54" t="s">
        <v>1933</v>
      </c>
      <c r="F565" s="53" t="s">
        <v>1902</v>
      </c>
      <c r="G565" s="53" t="s">
        <v>195</v>
      </c>
      <c r="H565" s="53"/>
      <c r="I565" s="53"/>
      <c r="J565" s="53">
        <v>13207656</v>
      </c>
      <c r="K565" s="53"/>
      <c r="L565" s="55">
        <v>45293</v>
      </c>
      <c r="M565" s="55">
        <v>45293</v>
      </c>
      <c r="N565" s="53" t="s">
        <v>1894</v>
      </c>
      <c r="O565" s="53">
        <v>0</v>
      </c>
      <c r="P565" s="53">
        <v>20078418</v>
      </c>
      <c r="Q565" s="53" t="s">
        <v>1940</v>
      </c>
      <c r="R565" s="45">
        <v>410</v>
      </c>
      <c r="S565" s="56">
        <v>0.01</v>
      </c>
      <c r="T565" s="47" t="s">
        <v>198</v>
      </c>
      <c r="U565" s="48" t="s">
        <v>199</v>
      </c>
      <c r="V565" s="38"/>
      <c r="W565" s="48" t="s">
        <v>195</v>
      </c>
      <c r="X565" s="38" t="s">
        <v>426</v>
      </c>
      <c r="Y565" s="49" t="s">
        <v>427</v>
      </c>
      <c r="Z565" s="50" t="s">
        <v>1941</v>
      </c>
      <c r="AA565" s="38"/>
      <c r="AB565" s="38"/>
      <c r="AC565" s="38"/>
      <c r="AD565" s="51">
        <v>67</v>
      </c>
      <c r="AE565" s="51">
        <v>67</v>
      </c>
      <c r="AF565" s="48" t="s">
        <v>203</v>
      </c>
      <c r="AG565" s="38" t="s">
        <v>204</v>
      </c>
      <c r="AH565" s="52"/>
      <c r="AI565" s="38"/>
      <c r="AJ565" s="38"/>
    </row>
    <row r="566" spans="1:36" ht="16.2">
      <c r="A566" s="42" t="s">
        <v>1908</v>
      </c>
      <c r="B566" s="42">
        <v>719606</v>
      </c>
      <c r="C566" s="42" t="s">
        <v>1932</v>
      </c>
      <c r="D566" s="42">
        <v>13207656</v>
      </c>
      <c r="E566" s="43" t="s">
        <v>1933</v>
      </c>
      <c r="F566" s="42" t="s">
        <v>1905</v>
      </c>
      <c r="G566" s="42" t="s">
        <v>195</v>
      </c>
      <c r="H566" s="42"/>
      <c r="I566" s="42"/>
      <c r="J566" s="42">
        <v>13207656</v>
      </c>
      <c r="K566" s="42"/>
      <c r="L566" s="44">
        <v>45293</v>
      </c>
      <c r="M566" s="44">
        <v>45293</v>
      </c>
      <c r="N566" s="42" t="s">
        <v>1894</v>
      </c>
      <c r="O566" s="42">
        <v>0</v>
      </c>
      <c r="P566" s="42">
        <v>20078418</v>
      </c>
      <c r="Q566" s="42" t="s">
        <v>1942</v>
      </c>
      <c r="R566" s="45">
        <v>410</v>
      </c>
      <c r="S566" s="46">
        <v>0.01</v>
      </c>
      <c r="T566" s="47" t="s">
        <v>198</v>
      </c>
      <c r="U566" s="48" t="s">
        <v>199</v>
      </c>
      <c r="V566" s="38"/>
      <c r="W566" s="48" t="s">
        <v>195</v>
      </c>
      <c r="X566" s="38" t="s">
        <v>426</v>
      </c>
      <c r="Y566" s="49" t="s">
        <v>427</v>
      </c>
      <c r="Z566" s="50" t="s">
        <v>1943</v>
      </c>
      <c r="AA566" s="38"/>
      <c r="AB566" s="38"/>
      <c r="AC566" s="38"/>
      <c r="AD566" s="51">
        <v>67</v>
      </c>
      <c r="AE566" s="51">
        <v>67</v>
      </c>
      <c r="AF566" s="48" t="s">
        <v>203</v>
      </c>
      <c r="AG566" s="38" t="s">
        <v>204</v>
      </c>
      <c r="AH566" s="52"/>
      <c r="AI566" s="38"/>
      <c r="AJ566" s="38"/>
    </row>
    <row r="567" spans="1:36" ht="16.2">
      <c r="A567" s="53" t="s">
        <v>1908</v>
      </c>
      <c r="B567" s="53">
        <v>71960602</v>
      </c>
      <c r="C567" s="53" t="s">
        <v>1944</v>
      </c>
      <c r="D567" s="53">
        <v>13207658</v>
      </c>
      <c r="E567" s="54" t="s">
        <v>1945</v>
      </c>
      <c r="F567" s="53" t="s">
        <v>1946</v>
      </c>
      <c r="G567" s="53" t="s">
        <v>195</v>
      </c>
      <c r="H567" s="53"/>
      <c r="I567" s="53"/>
      <c r="J567" s="53">
        <v>13207658</v>
      </c>
      <c r="K567" s="53"/>
      <c r="L567" s="55">
        <v>45293</v>
      </c>
      <c r="M567" s="55">
        <v>45293</v>
      </c>
      <c r="N567" s="53" t="s">
        <v>1894</v>
      </c>
      <c r="O567" s="53">
        <v>0</v>
      </c>
      <c r="P567" s="53">
        <v>20078418</v>
      </c>
      <c r="Q567" s="53" t="s">
        <v>1947</v>
      </c>
      <c r="R567" s="45">
        <v>410</v>
      </c>
      <c r="S567" s="56">
        <v>0.01</v>
      </c>
      <c r="T567" s="47" t="s">
        <v>198</v>
      </c>
      <c r="U567" s="48" t="s">
        <v>199</v>
      </c>
      <c r="V567" s="38"/>
      <c r="W567" s="48" t="s">
        <v>195</v>
      </c>
      <c r="X567" s="38" t="s">
        <v>426</v>
      </c>
      <c r="Y567" s="49" t="s">
        <v>427</v>
      </c>
      <c r="Z567" s="50" t="s">
        <v>1948</v>
      </c>
      <c r="AA567" s="38"/>
      <c r="AB567" s="38"/>
      <c r="AC567" s="38"/>
      <c r="AD567" s="51">
        <v>67</v>
      </c>
      <c r="AE567" s="51">
        <v>67</v>
      </c>
      <c r="AF567" s="48" t="s">
        <v>203</v>
      </c>
      <c r="AG567" s="38" t="s">
        <v>204</v>
      </c>
      <c r="AH567" s="52"/>
      <c r="AI567" s="38"/>
      <c r="AJ567" s="38"/>
    </row>
    <row r="568" spans="1:36" ht="16.2">
      <c r="A568" s="42" t="s">
        <v>191</v>
      </c>
      <c r="B568" s="42">
        <v>71031601</v>
      </c>
      <c r="C568" s="42" t="s">
        <v>1949</v>
      </c>
      <c r="D568" s="42">
        <v>13207718</v>
      </c>
      <c r="E568" s="43" t="s">
        <v>1950</v>
      </c>
      <c r="F568" s="42" t="s">
        <v>1951</v>
      </c>
      <c r="G568" s="42" t="s">
        <v>195</v>
      </c>
      <c r="H568" s="42"/>
      <c r="I568" s="42"/>
      <c r="J568" s="42">
        <v>13207718</v>
      </c>
      <c r="K568" s="42"/>
      <c r="L568" s="44">
        <v>45293</v>
      </c>
      <c r="M568" s="44">
        <v>45293</v>
      </c>
      <c r="N568" s="42" t="s">
        <v>1355</v>
      </c>
      <c r="O568" s="42">
        <v>0</v>
      </c>
      <c r="P568" s="42">
        <v>20009879</v>
      </c>
      <c r="Q568" s="42" t="s">
        <v>1952</v>
      </c>
      <c r="R568" s="45">
        <v>410</v>
      </c>
      <c r="S568" s="46">
        <v>0.01</v>
      </c>
      <c r="T568" s="47" t="s">
        <v>198</v>
      </c>
      <c r="U568" s="48" t="s">
        <v>199</v>
      </c>
      <c r="V568" s="38"/>
      <c r="W568" s="48" t="s">
        <v>195</v>
      </c>
      <c r="X568" s="38" t="s">
        <v>200</v>
      </c>
      <c r="Y568" s="49" t="s">
        <v>201</v>
      </c>
      <c r="Z568" s="50" t="s">
        <v>1953</v>
      </c>
      <c r="AA568" s="38"/>
      <c r="AB568" s="38"/>
      <c r="AC568" s="38"/>
      <c r="AD568" s="51">
        <v>25</v>
      </c>
      <c r="AE568" s="51">
        <v>25</v>
      </c>
      <c r="AF568" s="48" t="s">
        <v>203</v>
      </c>
      <c r="AG568" s="38" t="s">
        <v>204</v>
      </c>
      <c r="AH568" s="52"/>
      <c r="AI568" s="38"/>
      <c r="AJ568" s="38"/>
    </row>
    <row r="569" spans="1:36" ht="16.2">
      <c r="A569" s="53" t="s">
        <v>836</v>
      </c>
      <c r="B569" s="53">
        <v>599559</v>
      </c>
      <c r="C569" s="53" t="s">
        <v>239</v>
      </c>
      <c r="D569" s="53">
        <v>13207518</v>
      </c>
      <c r="E569" s="54" t="s">
        <v>1954</v>
      </c>
      <c r="F569" s="53" t="s">
        <v>241</v>
      </c>
      <c r="G569" s="53" t="s">
        <v>195</v>
      </c>
      <c r="H569" s="53"/>
      <c r="I569" s="53"/>
      <c r="J569" s="53">
        <v>13207518</v>
      </c>
      <c r="K569" s="53"/>
      <c r="L569" s="55">
        <v>45293</v>
      </c>
      <c r="M569" s="55">
        <v>45293</v>
      </c>
      <c r="N569" s="53" t="s">
        <v>1288</v>
      </c>
      <c r="O569" s="53">
        <v>0</v>
      </c>
      <c r="P569" s="53">
        <v>6549827</v>
      </c>
      <c r="Q569" s="53" t="s">
        <v>1955</v>
      </c>
      <c r="R569" s="45">
        <v>410</v>
      </c>
      <c r="S569" s="56">
        <v>0.01</v>
      </c>
      <c r="T569" s="47" t="s">
        <v>198</v>
      </c>
      <c r="U569" s="48" t="s">
        <v>199</v>
      </c>
      <c r="V569" s="38"/>
      <c r="W569" s="48" t="s">
        <v>195</v>
      </c>
      <c r="X569" s="38" t="s">
        <v>200</v>
      </c>
      <c r="Y569" s="49" t="s">
        <v>201</v>
      </c>
      <c r="Z569" s="50" t="s">
        <v>1956</v>
      </c>
      <c r="AA569" s="38"/>
      <c r="AB569" s="38"/>
      <c r="AC569" s="38"/>
      <c r="AD569" s="51">
        <v>38</v>
      </c>
      <c r="AE569" s="51">
        <v>38</v>
      </c>
      <c r="AF569" s="48" t="s">
        <v>203</v>
      </c>
      <c r="AG569" s="38" t="s">
        <v>204</v>
      </c>
      <c r="AH569" s="52"/>
      <c r="AI569" s="38"/>
      <c r="AJ569" s="38"/>
    </row>
    <row r="570" spans="1:36" ht="16.2">
      <c r="A570" s="42" t="s">
        <v>836</v>
      </c>
      <c r="B570" s="42">
        <v>599559</v>
      </c>
      <c r="C570" s="42" t="s">
        <v>239</v>
      </c>
      <c r="D570" s="42">
        <v>13207518</v>
      </c>
      <c r="E570" s="43" t="s">
        <v>1954</v>
      </c>
      <c r="F570" s="42" t="s">
        <v>245</v>
      </c>
      <c r="G570" s="42" t="s">
        <v>195</v>
      </c>
      <c r="H570" s="42"/>
      <c r="I570" s="42"/>
      <c r="J570" s="42">
        <v>13207518</v>
      </c>
      <c r="K570" s="42"/>
      <c r="L570" s="44">
        <v>45293</v>
      </c>
      <c r="M570" s="44">
        <v>45293</v>
      </c>
      <c r="N570" s="42" t="s">
        <v>1288</v>
      </c>
      <c r="O570" s="42">
        <v>0</v>
      </c>
      <c r="P570" s="42">
        <v>6549827</v>
      </c>
      <c r="Q570" s="42" t="s">
        <v>1957</v>
      </c>
      <c r="R570" s="45">
        <v>410</v>
      </c>
      <c r="S570" s="46">
        <v>0.01</v>
      </c>
      <c r="T570" s="47" t="s">
        <v>198</v>
      </c>
      <c r="U570" s="48" t="s">
        <v>199</v>
      </c>
      <c r="V570" s="38"/>
      <c r="W570" s="48" t="s">
        <v>195</v>
      </c>
      <c r="X570" s="38" t="s">
        <v>200</v>
      </c>
      <c r="Y570" s="49" t="s">
        <v>201</v>
      </c>
      <c r="Z570" s="50" t="s">
        <v>1958</v>
      </c>
      <c r="AA570" s="38"/>
      <c r="AB570" s="38"/>
      <c r="AC570" s="38"/>
      <c r="AD570" s="51">
        <v>38</v>
      </c>
      <c r="AE570" s="51">
        <v>38</v>
      </c>
      <c r="AF570" s="48" t="s">
        <v>203</v>
      </c>
      <c r="AG570" s="38" t="s">
        <v>204</v>
      </c>
      <c r="AH570" s="52"/>
      <c r="AI570" s="38"/>
      <c r="AJ570" s="38"/>
    </row>
    <row r="571" spans="1:36" ht="16.2">
      <c r="A571" s="53" t="s">
        <v>836</v>
      </c>
      <c r="B571" s="53">
        <v>599559</v>
      </c>
      <c r="C571" s="53" t="s">
        <v>239</v>
      </c>
      <c r="D571" s="53">
        <v>13207518</v>
      </c>
      <c r="E571" s="54" t="s">
        <v>1954</v>
      </c>
      <c r="F571" s="53" t="s">
        <v>248</v>
      </c>
      <c r="G571" s="53" t="s">
        <v>195</v>
      </c>
      <c r="H571" s="53"/>
      <c r="I571" s="53"/>
      <c r="J571" s="53">
        <v>13207518</v>
      </c>
      <c r="K571" s="53"/>
      <c r="L571" s="55">
        <v>45293</v>
      </c>
      <c r="M571" s="55">
        <v>45293</v>
      </c>
      <c r="N571" s="53" t="s">
        <v>1288</v>
      </c>
      <c r="O571" s="53">
        <v>0</v>
      </c>
      <c r="P571" s="53">
        <v>6549827</v>
      </c>
      <c r="Q571" s="53" t="s">
        <v>1959</v>
      </c>
      <c r="R571" s="45">
        <v>410</v>
      </c>
      <c r="S571" s="56">
        <v>0.01</v>
      </c>
      <c r="T571" s="47" t="s">
        <v>198</v>
      </c>
      <c r="U571" s="48" t="s">
        <v>199</v>
      </c>
      <c r="V571" s="38"/>
      <c r="W571" s="48" t="s">
        <v>195</v>
      </c>
      <c r="X571" s="38" t="s">
        <v>200</v>
      </c>
      <c r="Y571" s="49" t="s">
        <v>201</v>
      </c>
      <c r="Z571" s="50" t="s">
        <v>1960</v>
      </c>
      <c r="AA571" s="38"/>
      <c r="AB571" s="38"/>
      <c r="AC571" s="38"/>
      <c r="AD571" s="51">
        <v>38</v>
      </c>
      <c r="AE571" s="51">
        <v>38</v>
      </c>
      <c r="AF571" s="48" t="s">
        <v>203</v>
      </c>
      <c r="AG571" s="38" t="s">
        <v>204</v>
      </c>
      <c r="AH571" s="52"/>
      <c r="AI571" s="38"/>
      <c r="AJ571" s="38"/>
    </row>
    <row r="572" spans="1:36" ht="16.2">
      <c r="A572" s="42" t="s">
        <v>836</v>
      </c>
      <c r="B572" s="42">
        <v>599559</v>
      </c>
      <c r="C572" s="42" t="s">
        <v>239</v>
      </c>
      <c r="D572" s="42">
        <v>13207518</v>
      </c>
      <c r="E572" s="43" t="s">
        <v>1954</v>
      </c>
      <c r="F572" s="42" t="s">
        <v>251</v>
      </c>
      <c r="G572" s="42" t="s">
        <v>195</v>
      </c>
      <c r="H572" s="42"/>
      <c r="I572" s="42"/>
      <c r="J572" s="42">
        <v>13207518</v>
      </c>
      <c r="K572" s="42"/>
      <c r="L572" s="44">
        <v>45293</v>
      </c>
      <c r="M572" s="44">
        <v>45293</v>
      </c>
      <c r="N572" s="42" t="s">
        <v>1288</v>
      </c>
      <c r="O572" s="42">
        <v>0</v>
      </c>
      <c r="P572" s="42">
        <v>6549827</v>
      </c>
      <c r="Q572" s="42" t="s">
        <v>1961</v>
      </c>
      <c r="R572" s="45">
        <v>410</v>
      </c>
      <c r="S572" s="46">
        <v>0.01</v>
      </c>
      <c r="T572" s="47" t="s">
        <v>198</v>
      </c>
      <c r="U572" s="48" t="s">
        <v>199</v>
      </c>
      <c r="V572" s="38"/>
      <c r="W572" s="48" t="s">
        <v>195</v>
      </c>
      <c r="X572" s="38" t="s">
        <v>200</v>
      </c>
      <c r="Y572" s="49" t="s">
        <v>201</v>
      </c>
      <c r="Z572" s="50" t="s">
        <v>1962</v>
      </c>
      <c r="AA572" s="38"/>
      <c r="AB572" s="38"/>
      <c r="AC572" s="38"/>
      <c r="AD572" s="51">
        <v>38</v>
      </c>
      <c r="AE572" s="51">
        <v>38</v>
      </c>
      <c r="AF572" s="48" t="s">
        <v>203</v>
      </c>
      <c r="AG572" s="38" t="s">
        <v>204</v>
      </c>
      <c r="AH572" s="52"/>
      <c r="AI572" s="38"/>
      <c r="AJ572" s="38"/>
    </row>
    <row r="573" spans="1:36" ht="16.2">
      <c r="A573" s="53" t="s">
        <v>836</v>
      </c>
      <c r="B573" s="53">
        <v>599559</v>
      </c>
      <c r="C573" s="53" t="s">
        <v>239</v>
      </c>
      <c r="D573" s="53">
        <v>13207518</v>
      </c>
      <c r="E573" s="54" t="s">
        <v>1954</v>
      </c>
      <c r="F573" s="53" t="s">
        <v>254</v>
      </c>
      <c r="G573" s="53" t="s">
        <v>195</v>
      </c>
      <c r="H573" s="53"/>
      <c r="I573" s="53"/>
      <c r="J573" s="53">
        <v>13207518</v>
      </c>
      <c r="K573" s="53"/>
      <c r="L573" s="55">
        <v>45293</v>
      </c>
      <c r="M573" s="55">
        <v>45293</v>
      </c>
      <c r="N573" s="53" t="s">
        <v>1288</v>
      </c>
      <c r="O573" s="53">
        <v>0</v>
      </c>
      <c r="P573" s="53">
        <v>6549827</v>
      </c>
      <c r="Q573" s="53" t="s">
        <v>1963</v>
      </c>
      <c r="R573" s="45">
        <v>410</v>
      </c>
      <c r="S573" s="56">
        <v>0.01</v>
      </c>
      <c r="T573" s="47" t="s">
        <v>198</v>
      </c>
      <c r="U573" s="48" t="s">
        <v>199</v>
      </c>
      <c r="V573" s="38"/>
      <c r="W573" s="48" t="s">
        <v>195</v>
      </c>
      <c r="X573" s="38" t="s">
        <v>200</v>
      </c>
      <c r="Y573" s="49" t="s">
        <v>201</v>
      </c>
      <c r="Z573" s="50" t="s">
        <v>1964</v>
      </c>
      <c r="AA573" s="38"/>
      <c r="AB573" s="38"/>
      <c r="AC573" s="38"/>
      <c r="AD573" s="51">
        <v>38</v>
      </c>
      <c r="AE573" s="51">
        <v>38</v>
      </c>
      <c r="AF573" s="48" t="s">
        <v>203</v>
      </c>
      <c r="AG573" s="38" t="s">
        <v>204</v>
      </c>
      <c r="AH573" s="52"/>
      <c r="AI573" s="38"/>
      <c r="AJ573" s="38"/>
    </row>
    <row r="574" spans="1:36" ht="16.2">
      <c r="A574" s="42" t="s">
        <v>836</v>
      </c>
      <c r="B574" s="42">
        <v>599559</v>
      </c>
      <c r="C574" s="42" t="s">
        <v>239</v>
      </c>
      <c r="D574" s="42">
        <v>13207518</v>
      </c>
      <c r="E574" s="43" t="s">
        <v>1954</v>
      </c>
      <c r="F574" s="42" t="s">
        <v>257</v>
      </c>
      <c r="G574" s="42" t="s">
        <v>195</v>
      </c>
      <c r="H574" s="42"/>
      <c r="I574" s="42"/>
      <c r="J574" s="42">
        <v>13207518</v>
      </c>
      <c r="K574" s="42"/>
      <c r="L574" s="44">
        <v>45293</v>
      </c>
      <c r="M574" s="44">
        <v>45293</v>
      </c>
      <c r="N574" s="42" t="s">
        <v>1288</v>
      </c>
      <c r="O574" s="42">
        <v>0</v>
      </c>
      <c r="P574" s="42">
        <v>6549827</v>
      </c>
      <c r="Q574" s="42" t="s">
        <v>1965</v>
      </c>
      <c r="R574" s="45">
        <v>410</v>
      </c>
      <c r="S574" s="46">
        <v>0.01</v>
      </c>
      <c r="T574" s="47" t="s">
        <v>198</v>
      </c>
      <c r="U574" s="48" t="s">
        <v>199</v>
      </c>
      <c r="V574" s="38"/>
      <c r="W574" s="48" t="s">
        <v>195</v>
      </c>
      <c r="X574" s="38" t="s">
        <v>200</v>
      </c>
      <c r="Y574" s="49" t="s">
        <v>201</v>
      </c>
      <c r="Z574" s="50" t="s">
        <v>1966</v>
      </c>
      <c r="AA574" s="38"/>
      <c r="AB574" s="38"/>
      <c r="AC574" s="38"/>
      <c r="AD574" s="51">
        <v>38</v>
      </c>
      <c r="AE574" s="51">
        <v>38</v>
      </c>
      <c r="AF574" s="48" t="s">
        <v>203</v>
      </c>
      <c r="AG574" s="38" t="s">
        <v>204</v>
      </c>
      <c r="AH574" s="52"/>
      <c r="AI574" s="38"/>
      <c r="AJ574" s="38"/>
    </row>
    <row r="575" spans="1:36" ht="16.2">
      <c r="A575" s="53" t="s">
        <v>836</v>
      </c>
      <c r="B575" s="53">
        <v>599559</v>
      </c>
      <c r="C575" s="53" t="s">
        <v>239</v>
      </c>
      <c r="D575" s="53">
        <v>13207518</v>
      </c>
      <c r="E575" s="54" t="s">
        <v>1954</v>
      </c>
      <c r="F575" s="53" t="s">
        <v>260</v>
      </c>
      <c r="G575" s="53" t="s">
        <v>195</v>
      </c>
      <c r="H575" s="53"/>
      <c r="I575" s="53"/>
      <c r="J575" s="53">
        <v>13207518</v>
      </c>
      <c r="K575" s="53"/>
      <c r="L575" s="55">
        <v>45293</v>
      </c>
      <c r="M575" s="55">
        <v>45293</v>
      </c>
      <c r="N575" s="53" t="s">
        <v>1288</v>
      </c>
      <c r="O575" s="53">
        <v>0</v>
      </c>
      <c r="P575" s="53">
        <v>6549827</v>
      </c>
      <c r="Q575" s="53" t="s">
        <v>1967</v>
      </c>
      <c r="R575" s="45">
        <v>410</v>
      </c>
      <c r="S575" s="56">
        <v>0.01</v>
      </c>
      <c r="T575" s="47" t="s">
        <v>198</v>
      </c>
      <c r="U575" s="48" t="s">
        <v>199</v>
      </c>
      <c r="V575" s="38"/>
      <c r="W575" s="48" t="s">
        <v>195</v>
      </c>
      <c r="X575" s="38" t="s">
        <v>200</v>
      </c>
      <c r="Y575" s="49" t="s">
        <v>201</v>
      </c>
      <c r="Z575" s="50" t="s">
        <v>1968</v>
      </c>
      <c r="AA575" s="38"/>
      <c r="AB575" s="38"/>
      <c r="AC575" s="38"/>
      <c r="AD575" s="51">
        <v>38</v>
      </c>
      <c r="AE575" s="51">
        <v>38</v>
      </c>
      <c r="AF575" s="48" t="s">
        <v>203</v>
      </c>
      <c r="AG575" s="38" t="s">
        <v>204</v>
      </c>
      <c r="AH575" s="52"/>
      <c r="AI575" s="38"/>
      <c r="AJ575" s="38"/>
    </row>
    <row r="576" spans="1:36" ht="16.2">
      <c r="A576" s="42" t="s">
        <v>836</v>
      </c>
      <c r="B576" s="42">
        <v>599559</v>
      </c>
      <c r="C576" s="42" t="s">
        <v>239</v>
      </c>
      <c r="D576" s="42">
        <v>13207518</v>
      </c>
      <c r="E576" s="43" t="s">
        <v>1954</v>
      </c>
      <c r="F576" s="42" t="s">
        <v>263</v>
      </c>
      <c r="G576" s="42" t="s">
        <v>195</v>
      </c>
      <c r="H576" s="42"/>
      <c r="I576" s="42"/>
      <c r="J576" s="42">
        <v>13207518</v>
      </c>
      <c r="K576" s="42"/>
      <c r="L576" s="44">
        <v>45293</v>
      </c>
      <c r="M576" s="44">
        <v>45293</v>
      </c>
      <c r="N576" s="42" t="s">
        <v>1288</v>
      </c>
      <c r="O576" s="42">
        <v>0</v>
      </c>
      <c r="P576" s="42">
        <v>6549827</v>
      </c>
      <c r="Q576" s="42" t="s">
        <v>1969</v>
      </c>
      <c r="R576" s="45">
        <v>410</v>
      </c>
      <c r="S576" s="46">
        <v>0.01</v>
      </c>
      <c r="T576" s="47" t="s">
        <v>198</v>
      </c>
      <c r="U576" s="48" t="s">
        <v>199</v>
      </c>
      <c r="V576" s="38"/>
      <c r="W576" s="48" t="s">
        <v>195</v>
      </c>
      <c r="X576" s="38" t="s">
        <v>200</v>
      </c>
      <c r="Y576" s="49" t="s">
        <v>201</v>
      </c>
      <c r="Z576" s="50" t="s">
        <v>1970</v>
      </c>
      <c r="AA576" s="38"/>
      <c r="AB576" s="38"/>
      <c r="AC576" s="38"/>
      <c r="AD576" s="51">
        <v>38</v>
      </c>
      <c r="AE576" s="51">
        <v>38</v>
      </c>
      <c r="AF576" s="48" t="s">
        <v>203</v>
      </c>
      <c r="AG576" s="38" t="s">
        <v>204</v>
      </c>
      <c r="AH576" s="52"/>
      <c r="AI576" s="38"/>
      <c r="AJ576" s="38"/>
    </row>
    <row r="577" spans="1:36" ht="16.2">
      <c r="A577" s="53" t="s">
        <v>836</v>
      </c>
      <c r="B577" s="53">
        <v>599559</v>
      </c>
      <c r="C577" s="53" t="s">
        <v>239</v>
      </c>
      <c r="D577" s="53">
        <v>13207518</v>
      </c>
      <c r="E577" s="54" t="s">
        <v>1954</v>
      </c>
      <c r="F577" s="53" t="s">
        <v>266</v>
      </c>
      <c r="G577" s="53" t="s">
        <v>195</v>
      </c>
      <c r="H577" s="53"/>
      <c r="I577" s="53"/>
      <c r="J577" s="53">
        <v>13207518</v>
      </c>
      <c r="K577" s="53"/>
      <c r="L577" s="55">
        <v>45293</v>
      </c>
      <c r="M577" s="55">
        <v>45293</v>
      </c>
      <c r="N577" s="53" t="s">
        <v>1288</v>
      </c>
      <c r="O577" s="53">
        <v>0</v>
      </c>
      <c r="P577" s="53">
        <v>6549827</v>
      </c>
      <c r="Q577" s="53" t="s">
        <v>1971</v>
      </c>
      <c r="R577" s="45">
        <v>410</v>
      </c>
      <c r="S577" s="56">
        <v>0.01</v>
      </c>
      <c r="T577" s="47" t="s">
        <v>198</v>
      </c>
      <c r="U577" s="48" t="s">
        <v>199</v>
      </c>
      <c r="V577" s="38"/>
      <c r="W577" s="48" t="s">
        <v>195</v>
      </c>
      <c r="X577" s="38" t="s">
        <v>200</v>
      </c>
      <c r="Y577" s="49" t="s">
        <v>201</v>
      </c>
      <c r="Z577" s="50" t="s">
        <v>1972</v>
      </c>
      <c r="AA577" s="38"/>
      <c r="AB577" s="38"/>
      <c r="AC577" s="38"/>
      <c r="AD577" s="51">
        <v>38</v>
      </c>
      <c r="AE577" s="51">
        <v>38</v>
      </c>
      <c r="AF577" s="48" t="s">
        <v>203</v>
      </c>
      <c r="AG577" s="38" t="s">
        <v>204</v>
      </c>
      <c r="AH577" s="52"/>
      <c r="AI577" s="38"/>
      <c r="AJ577" s="38"/>
    </row>
    <row r="578" spans="1:36" ht="16.2">
      <c r="A578" s="42" t="s">
        <v>836</v>
      </c>
      <c r="B578" s="42">
        <v>599559</v>
      </c>
      <c r="C578" s="42" t="s">
        <v>239</v>
      </c>
      <c r="D578" s="42">
        <v>13207518</v>
      </c>
      <c r="E578" s="43" t="s">
        <v>1954</v>
      </c>
      <c r="F578" s="42" t="s">
        <v>269</v>
      </c>
      <c r="G578" s="42" t="s">
        <v>195</v>
      </c>
      <c r="H578" s="42"/>
      <c r="I578" s="42"/>
      <c r="J578" s="42">
        <v>13207518</v>
      </c>
      <c r="K578" s="42"/>
      <c r="L578" s="44">
        <v>45293</v>
      </c>
      <c r="M578" s="44">
        <v>45293</v>
      </c>
      <c r="N578" s="42" t="s">
        <v>1288</v>
      </c>
      <c r="O578" s="42">
        <v>0</v>
      </c>
      <c r="P578" s="42">
        <v>6549827</v>
      </c>
      <c r="Q578" s="42" t="s">
        <v>1973</v>
      </c>
      <c r="R578" s="45">
        <v>410</v>
      </c>
      <c r="S578" s="46">
        <v>0.01</v>
      </c>
      <c r="T578" s="47" t="s">
        <v>198</v>
      </c>
      <c r="U578" s="48" t="s">
        <v>199</v>
      </c>
      <c r="V578" s="38"/>
      <c r="W578" s="48" t="s">
        <v>195</v>
      </c>
      <c r="X578" s="38" t="s">
        <v>200</v>
      </c>
      <c r="Y578" s="49" t="s">
        <v>201</v>
      </c>
      <c r="Z578" s="50" t="s">
        <v>1974</v>
      </c>
      <c r="AA578" s="38"/>
      <c r="AB578" s="38"/>
      <c r="AC578" s="38"/>
      <c r="AD578" s="51">
        <v>38</v>
      </c>
      <c r="AE578" s="51">
        <v>38</v>
      </c>
      <c r="AF578" s="48" t="s">
        <v>203</v>
      </c>
      <c r="AG578" s="38" t="s">
        <v>204</v>
      </c>
      <c r="AH578" s="52"/>
      <c r="AI578" s="38"/>
      <c r="AJ578" s="38"/>
    </row>
    <row r="579" spans="1:36" ht="16.2">
      <c r="A579" s="53" t="s">
        <v>836</v>
      </c>
      <c r="B579" s="53">
        <v>599559</v>
      </c>
      <c r="C579" s="53" t="s">
        <v>239</v>
      </c>
      <c r="D579" s="53">
        <v>13207518</v>
      </c>
      <c r="E579" s="54" t="s">
        <v>1954</v>
      </c>
      <c r="F579" s="53" t="s">
        <v>272</v>
      </c>
      <c r="G579" s="53" t="s">
        <v>195</v>
      </c>
      <c r="H579" s="53"/>
      <c r="I579" s="53"/>
      <c r="J579" s="53">
        <v>13207518</v>
      </c>
      <c r="K579" s="53"/>
      <c r="L579" s="55">
        <v>45293</v>
      </c>
      <c r="M579" s="55">
        <v>45293</v>
      </c>
      <c r="N579" s="53" t="s">
        <v>1288</v>
      </c>
      <c r="O579" s="53">
        <v>0</v>
      </c>
      <c r="P579" s="53">
        <v>6549827</v>
      </c>
      <c r="Q579" s="53" t="s">
        <v>1975</v>
      </c>
      <c r="R579" s="45">
        <v>410</v>
      </c>
      <c r="S579" s="56">
        <v>0.01</v>
      </c>
      <c r="T579" s="47" t="s">
        <v>198</v>
      </c>
      <c r="U579" s="48" t="s">
        <v>199</v>
      </c>
      <c r="V579" s="38"/>
      <c r="W579" s="48" t="s">
        <v>195</v>
      </c>
      <c r="X579" s="38" t="s">
        <v>200</v>
      </c>
      <c r="Y579" s="49" t="s">
        <v>201</v>
      </c>
      <c r="Z579" s="50" t="s">
        <v>1976</v>
      </c>
      <c r="AA579" s="38"/>
      <c r="AB579" s="38"/>
      <c r="AC579" s="38"/>
      <c r="AD579" s="51">
        <v>38</v>
      </c>
      <c r="AE579" s="51">
        <v>38</v>
      </c>
      <c r="AF579" s="48" t="s">
        <v>203</v>
      </c>
      <c r="AG579" s="38" t="s">
        <v>204</v>
      </c>
      <c r="AH579" s="52"/>
      <c r="AI579" s="38"/>
      <c r="AJ579" s="38"/>
    </row>
    <row r="580" spans="1:36" ht="16.2">
      <c r="A580" s="42" t="s">
        <v>836</v>
      </c>
      <c r="B580" s="42">
        <v>599559</v>
      </c>
      <c r="C580" s="42" t="s">
        <v>239</v>
      </c>
      <c r="D580" s="42">
        <v>13207518</v>
      </c>
      <c r="E580" s="43" t="s">
        <v>1954</v>
      </c>
      <c r="F580" s="42" t="s">
        <v>275</v>
      </c>
      <c r="G580" s="42" t="s">
        <v>195</v>
      </c>
      <c r="H580" s="42"/>
      <c r="I580" s="42"/>
      <c r="J580" s="42">
        <v>13207518</v>
      </c>
      <c r="K580" s="42"/>
      <c r="L580" s="44">
        <v>45293</v>
      </c>
      <c r="M580" s="44">
        <v>45293</v>
      </c>
      <c r="N580" s="42" t="s">
        <v>1288</v>
      </c>
      <c r="O580" s="42">
        <v>0</v>
      </c>
      <c r="P580" s="42">
        <v>6549827</v>
      </c>
      <c r="Q580" s="42" t="s">
        <v>1977</v>
      </c>
      <c r="R580" s="45">
        <v>410</v>
      </c>
      <c r="S580" s="46">
        <v>0.01</v>
      </c>
      <c r="T580" s="47" t="s">
        <v>198</v>
      </c>
      <c r="U580" s="48" t="s">
        <v>199</v>
      </c>
      <c r="V580" s="38"/>
      <c r="W580" s="48" t="s">
        <v>195</v>
      </c>
      <c r="X580" s="38" t="s">
        <v>200</v>
      </c>
      <c r="Y580" s="49" t="s">
        <v>201</v>
      </c>
      <c r="Z580" s="50" t="s">
        <v>1978</v>
      </c>
      <c r="AA580" s="38"/>
      <c r="AB580" s="38"/>
      <c r="AC580" s="38"/>
      <c r="AD580" s="51">
        <v>38</v>
      </c>
      <c r="AE580" s="51">
        <v>38</v>
      </c>
      <c r="AF580" s="48" t="s">
        <v>203</v>
      </c>
      <c r="AG580" s="38" t="s">
        <v>204</v>
      </c>
      <c r="AH580" s="52"/>
      <c r="AI580" s="38"/>
      <c r="AJ580" s="38"/>
    </row>
    <row r="581" spans="1:36" ht="16.2">
      <c r="A581" s="53" t="s">
        <v>836</v>
      </c>
      <c r="B581" s="53">
        <v>599559</v>
      </c>
      <c r="C581" s="53" t="s">
        <v>239</v>
      </c>
      <c r="D581" s="53">
        <v>13207518</v>
      </c>
      <c r="E581" s="54" t="s">
        <v>1954</v>
      </c>
      <c r="F581" s="53" t="s">
        <v>278</v>
      </c>
      <c r="G581" s="53" t="s">
        <v>195</v>
      </c>
      <c r="H581" s="53"/>
      <c r="I581" s="53"/>
      <c r="J581" s="53">
        <v>13207518</v>
      </c>
      <c r="K581" s="53"/>
      <c r="L581" s="55">
        <v>45293</v>
      </c>
      <c r="M581" s="55">
        <v>45293</v>
      </c>
      <c r="N581" s="53" t="s">
        <v>1288</v>
      </c>
      <c r="O581" s="53">
        <v>0</v>
      </c>
      <c r="P581" s="53">
        <v>6549827</v>
      </c>
      <c r="Q581" s="53" t="s">
        <v>1979</v>
      </c>
      <c r="R581" s="45">
        <v>410</v>
      </c>
      <c r="S581" s="56">
        <v>0.01</v>
      </c>
      <c r="T581" s="47" t="s">
        <v>198</v>
      </c>
      <c r="U581" s="48" t="s">
        <v>199</v>
      </c>
      <c r="V581" s="38"/>
      <c r="W581" s="48" t="s">
        <v>195</v>
      </c>
      <c r="X581" s="38" t="s">
        <v>200</v>
      </c>
      <c r="Y581" s="49" t="s">
        <v>201</v>
      </c>
      <c r="Z581" s="50" t="s">
        <v>1980</v>
      </c>
      <c r="AA581" s="38"/>
      <c r="AB581" s="38"/>
      <c r="AC581" s="38"/>
      <c r="AD581" s="51">
        <v>38</v>
      </c>
      <c r="AE581" s="51">
        <v>38</v>
      </c>
      <c r="AF581" s="48" t="s">
        <v>203</v>
      </c>
      <c r="AG581" s="38" t="s">
        <v>204</v>
      </c>
      <c r="AH581" s="52"/>
      <c r="AI581" s="38"/>
      <c r="AJ581" s="38"/>
    </row>
    <row r="582" spans="1:36" ht="16.2">
      <c r="A582" s="42" t="s">
        <v>836</v>
      </c>
      <c r="B582" s="42">
        <v>599559</v>
      </c>
      <c r="C582" s="42" t="s">
        <v>239</v>
      </c>
      <c r="D582" s="42">
        <v>13207518</v>
      </c>
      <c r="E582" s="43" t="s">
        <v>1954</v>
      </c>
      <c r="F582" s="42" t="s">
        <v>281</v>
      </c>
      <c r="G582" s="42" t="s">
        <v>195</v>
      </c>
      <c r="H582" s="42"/>
      <c r="I582" s="42"/>
      <c r="J582" s="42">
        <v>13207518</v>
      </c>
      <c r="K582" s="42"/>
      <c r="L582" s="44">
        <v>45293</v>
      </c>
      <c r="M582" s="44">
        <v>45293</v>
      </c>
      <c r="N582" s="42" t="s">
        <v>1288</v>
      </c>
      <c r="O582" s="42">
        <v>0</v>
      </c>
      <c r="P582" s="42">
        <v>6549827</v>
      </c>
      <c r="Q582" s="42" t="s">
        <v>1981</v>
      </c>
      <c r="R582" s="45">
        <v>410</v>
      </c>
      <c r="S582" s="46">
        <v>0.01</v>
      </c>
      <c r="T582" s="47" t="s">
        <v>198</v>
      </c>
      <c r="U582" s="48" t="s">
        <v>199</v>
      </c>
      <c r="V582" s="38"/>
      <c r="W582" s="48" t="s">
        <v>195</v>
      </c>
      <c r="X582" s="38" t="s">
        <v>200</v>
      </c>
      <c r="Y582" s="49" t="s">
        <v>201</v>
      </c>
      <c r="Z582" s="50" t="s">
        <v>1982</v>
      </c>
      <c r="AA582" s="38"/>
      <c r="AB582" s="38"/>
      <c r="AC582" s="38"/>
      <c r="AD582" s="51">
        <v>38</v>
      </c>
      <c r="AE582" s="51">
        <v>38</v>
      </c>
      <c r="AF582" s="48" t="s">
        <v>203</v>
      </c>
      <c r="AG582" s="38" t="s">
        <v>204</v>
      </c>
      <c r="AH582" s="52"/>
      <c r="AI582" s="38"/>
      <c r="AJ582" s="38"/>
    </row>
    <row r="583" spans="1:36" ht="16.2">
      <c r="A583" s="53" t="s">
        <v>836</v>
      </c>
      <c r="B583" s="53">
        <v>599559</v>
      </c>
      <c r="C583" s="53" t="s">
        <v>239</v>
      </c>
      <c r="D583" s="53">
        <v>13207518</v>
      </c>
      <c r="E583" s="54" t="s">
        <v>1954</v>
      </c>
      <c r="F583" s="53" t="s">
        <v>284</v>
      </c>
      <c r="G583" s="53" t="s">
        <v>195</v>
      </c>
      <c r="H583" s="53"/>
      <c r="I583" s="53"/>
      <c r="J583" s="53">
        <v>13207518</v>
      </c>
      <c r="K583" s="53"/>
      <c r="L583" s="55">
        <v>45293</v>
      </c>
      <c r="M583" s="55">
        <v>45293</v>
      </c>
      <c r="N583" s="53" t="s">
        <v>1288</v>
      </c>
      <c r="O583" s="53">
        <v>0</v>
      </c>
      <c r="P583" s="53">
        <v>6549827</v>
      </c>
      <c r="Q583" s="53" t="s">
        <v>1983</v>
      </c>
      <c r="R583" s="45">
        <v>410</v>
      </c>
      <c r="S583" s="56">
        <v>0.01</v>
      </c>
      <c r="T583" s="47" t="s">
        <v>198</v>
      </c>
      <c r="U583" s="48" t="s">
        <v>199</v>
      </c>
      <c r="V583" s="38"/>
      <c r="W583" s="48" t="s">
        <v>195</v>
      </c>
      <c r="X583" s="38" t="s">
        <v>200</v>
      </c>
      <c r="Y583" s="49" t="s">
        <v>201</v>
      </c>
      <c r="Z583" s="50" t="s">
        <v>1984</v>
      </c>
      <c r="AA583" s="38"/>
      <c r="AB583" s="38"/>
      <c r="AC583" s="38"/>
      <c r="AD583" s="51">
        <v>38</v>
      </c>
      <c r="AE583" s="51">
        <v>38</v>
      </c>
      <c r="AF583" s="48" t="s">
        <v>203</v>
      </c>
      <c r="AG583" s="38" t="s">
        <v>204</v>
      </c>
      <c r="AH583" s="52"/>
      <c r="AI583" s="38"/>
      <c r="AJ583" s="38"/>
    </row>
    <row r="584" spans="1:36" ht="16.2">
      <c r="A584" s="42" t="s">
        <v>836</v>
      </c>
      <c r="B584" s="42">
        <v>599559</v>
      </c>
      <c r="C584" s="42" t="s">
        <v>239</v>
      </c>
      <c r="D584" s="42">
        <v>13207518</v>
      </c>
      <c r="E584" s="43" t="s">
        <v>1954</v>
      </c>
      <c r="F584" s="42" t="s">
        <v>287</v>
      </c>
      <c r="G584" s="42" t="s">
        <v>195</v>
      </c>
      <c r="H584" s="42"/>
      <c r="I584" s="42"/>
      <c r="J584" s="42">
        <v>13207518</v>
      </c>
      <c r="K584" s="42"/>
      <c r="L584" s="44">
        <v>45293</v>
      </c>
      <c r="M584" s="44">
        <v>45293</v>
      </c>
      <c r="N584" s="42" t="s">
        <v>1288</v>
      </c>
      <c r="O584" s="42">
        <v>0</v>
      </c>
      <c r="P584" s="42">
        <v>6549827</v>
      </c>
      <c r="Q584" s="42" t="s">
        <v>1985</v>
      </c>
      <c r="R584" s="45">
        <v>410</v>
      </c>
      <c r="S584" s="46">
        <v>0.01</v>
      </c>
      <c r="T584" s="47" t="s">
        <v>198</v>
      </c>
      <c r="U584" s="48" t="s">
        <v>199</v>
      </c>
      <c r="V584" s="38"/>
      <c r="W584" s="48" t="s">
        <v>195</v>
      </c>
      <c r="X584" s="38" t="s">
        <v>200</v>
      </c>
      <c r="Y584" s="49" t="s">
        <v>201</v>
      </c>
      <c r="Z584" s="50" t="s">
        <v>1986</v>
      </c>
      <c r="AA584" s="38"/>
      <c r="AB584" s="38"/>
      <c r="AC584" s="38"/>
      <c r="AD584" s="51">
        <v>38</v>
      </c>
      <c r="AE584" s="51">
        <v>38</v>
      </c>
      <c r="AF584" s="48" t="s">
        <v>203</v>
      </c>
      <c r="AG584" s="38" t="s">
        <v>204</v>
      </c>
      <c r="AH584" s="52"/>
      <c r="AI584" s="38"/>
      <c r="AJ584" s="38"/>
    </row>
    <row r="585" spans="1:36" ht="16.2">
      <c r="A585" s="53" t="s">
        <v>836</v>
      </c>
      <c r="B585" s="53">
        <v>599559</v>
      </c>
      <c r="C585" s="53" t="s">
        <v>239</v>
      </c>
      <c r="D585" s="53">
        <v>13207518</v>
      </c>
      <c r="E585" s="54" t="s">
        <v>1954</v>
      </c>
      <c r="F585" s="53" t="s">
        <v>290</v>
      </c>
      <c r="G585" s="53" t="s">
        <v>195</v>
      </c>
      <c r="H585" s="53"/>
      <c r="I585" s="53"/>
      <c r="J585" s="53">
        <v>13207518</v>
      </c>
      <c r="K585" s="53"/>
      <c r="L585" s="55">
        <v>45293</v>
      </c>
      <c r="M585" s="55">
        <v>45293</v>
      </c>
      <c r="N585" s="53" t="s">
        <v>1288</v>
      </c>
      <c r="O585" s="53">
        <v>0</v>
      </c>
      <c r="P585" s="53">
        <v>6549827</v>
      </c>
      <c r="Q585" s="53" t="s">
        <v>1987</v>
      </c>
      <c r="R585" s="45">
        <v>410</v>
      </c>
      <c r="S585" s="56">
        <v>0.01</v>
      </c>
      <c r="T585" s="47" t="s">
        <v>198</v>
      </c>
      <c r="U585" s="48" t="s">
        <v>199</v>
      </c>
      <c r="V585" s="38"/>
      <c r="W585" s="48" t="s">
        <v>195</v>
      </c>
      <c r="X585" s="38" t="s">
        <v>200</v>
      </c>
      <c r="Y585" s="49" t="s">
        <v>201</v>
      </c>
      <c r="Z585" s="50" t="s">
        <v>1988</v>
      </c>
      <c r="AA585" s="38"/>
      <c r="AB585" s="38"/>
      <c r="AC585" s="38"/>
      <c r="AD585" s="51">
        <v>38</v>
      </c>
      <c r="AE585" s="51">
        <v>38</v>
      </c>
      <c r="AF585" s="48" t="s">
        <v>203</v>
      </c>
      <c r="AG585" s="38" t="s">
        <v>204</v>
      </c>
      <c r="AH585" s="52"/>
      <c r="AI585" s="38"/>
      <c r="AJ585" s="38"/>
    </row>
    <row r="586" spans="1:36" ht="16.2">
      <c r="A586" s="42" t="s">
        <v>836</v>
      </c>
      <c r="B586" s="42">
        <v>599559</v>
      </c>
      <c r="C586" s="42" t="s">
        <v>239</v>
      </c>
      <c r="D586" s="42">
        <v>13207518</v>
      </c>
      <c r="E586" s="43" t="s">
        <v>1954</v>
      </c>
      <c r="F586" s="42" t="s">
        <v>293</v>
      </c>
      <c r="G586" s="42" t="s">
        <v>195</v>
      </c>
      <c r="H586" s="42"/>
      <c r="I586" s="42"/>
      <c r="J586" s="42">
        <v>13207518</v>
      </c>
      <c r="K586" s="42"/>
      <c r="L586" s="44">
        <v>45293</v>
      </c>
      <c r="M586" s="44">
        <v>45293</v>
      </c>
      <c r="N586" s="42" t="s">
        <v>1288</v>
      </c>
      <c r="O586" s="42">
        <v>0</v>
      </c>
      <c r="P586" s="42">
        <v>6549827</v>
      </c>
      <c r="Q586" s="42" t="s">
        <v>1989</v>
      </c>
      <c r="R586" s="45">
        <v>410</v>
      </c>
      <c r="S586" s="46">
        <v>0.01</v>
      </c>
      <c r="T586" s="47" t="s">
        <v>198</v>
      </c>
      <c r="U586" s="48" t="s">
        <v>199</v>
      </c>
      <c r="V586" s="38"/>
      <c r="W586" s="48" t="s">
        <v>195</v>
      </c>
      <c r="X586" s="38" t="s">
        <v>200</v>
      </c>
      <c r="Y586" s="49" t="s">
        <v>201</v>
      </c>
      <c r="Z586" s="50" t="s">
        <v>1990</v>
      </c>
      <c r="AA586" s="38"/>
      <c r="AB586" s="38"/>
      <c r="AC586" s="38"/>
      <c r="AD586" s="51">
        <v>38</v>
      </c>
      <c r="AE586" s="51">
        <v>38</v>
      </c>
      <c r="AF586" s="48" t="s">
        <v>203</v>
      </c>
      <c r="AG586" s="38" t="s">
        <v>204</v>
      </c>
      <c r="AH586" s="52"/>
      <c r="AI586" s="38"/>
      <c r="AJ586" s="38"/>
    </row>
    <row r="587" spans="1:36" ht="16.2">
      <c r="A587" s="53" t="s">
        <v>836</v>
      </c>
      <c r="B587" s="53">
        <v>599559</v>
      </c>
      <c r="C587" s="53" t="s">
        <v>239</v>
      </c>
      <c r="D587" s="53">
        <v>13207518</v>
      </c>
      <c r="E587" s="54" t="s">
        <v>1954</v>
      </c>
      <c r="F587" s="53" t="s">
        <v>296</v>
      </c>
      <c r="G587" s="53" t="s">
        <v>195</v>
      </c>
      <c r="H587" s="53"/>
      <c r="I587" s="53"/>
      <c r="J587" s="53">
        <v>13207518</v>
      </c>
      <c r="K587" s="53"/>
      <c r="L587" s="55">
        <v>45293</v>
      </c>
      <c r="M587" s="55">
        <v>45293</v>
      </c>
      <c r="N587" s="53" t="s">
        <v>1288</v>
      </c>
      <c r="O587" s="53">
        <v>0</v>
      </c>
      <c r="P587" s="53">
        <v>6549827</v>
      </c>
      <c r="Q587" s="53" t="s">
        <v>1991</v>
      </c>
      <c r="R587" s="45">
        <v>410</v>
      </c>
      <c r="S587" s="56">
        <v>0.01</v>
      </c>
      <c r="T587" s="47" t="s">
        <v>198</v>
      </c>
      <c r="U587" s="48" t="s">
        <v>199</v>
      </c>
      <c r="V587" s="38"/>
      <c r="W587" s="48" t="s">
        <v>195</v>
      </c>
      <c r="X587" s="38" t="s">
        <v>200</v>
      </c>
      <c r="Y587" s="49" t="s">
        <v>201</v>
      </c>
      <c r="Z587" s="50" t="s">
        <v>1992</v>
      </c>
      <c r="AA587" s="38"/>
      <c r="AB587" s="38"/>
      <c r="AC587" s="38"/>
      <c r="AD587" s="51">
        <v>38</v>
      </c>
      <c r="AE587" s="51">
        <v>38</v>
      </c>
      <c r="AF587" s="48" t="s">
        <v>203</v>
      </c>
      <c r="AG587" s="38" t="s">
        <v>204</v>
      </c>
      <c r="AH587" s="52"/>
      <c r="AI587" s="38"/>
      <c r="AJ587" s="38"/>
    </row>
    <row r="588" spans="1:36" ht="16.2">
      <c r="A588" s="42" t="s">
        <v>836</v>
      </c>
      <c r="B588" s="42">
        <v>599559</v>
      </c>
      <c r="C588" s="42" t="s">
        <v>239</v>
      </c>
      <c r="D588" s="42">
        <v>13207518</v>
      </c>
      <c r="E588" s="43" t="s">
        <v>1954</v>
      </c>
      <c r="F588" s="42" t="s">
        <v>299</v>
      </c>
      <c r="G588" s="42" t="s">
        <v>195</v>
      </c>
      <c r="H588" s="42"/>
      <c r="I588" s="42"/>
      <c r="J588" s="42">
        <v>13207518</v>
      </c>
      <c r="K588" s="42"/>
      <c r="L588" s="44">
        <v>45293</v>
      </c>
      <c r="M588" s="44">
        <v>45293</v>
      </c>
      <c r="N588" s="42" t="s">
        <v>1288</v>
      </c>
      <c r="O588" s="42">
        <v>0</v>
      </c>
      <c r="P588" s="42">
        <v>6549827</v>
      </c>
      <c r="Q588" s="42" t="s">
        <v>1993</v>
      </c>
      <c r="R588" s="45">
        <v>410</v>
      </c>
      <c r="S588" s="46">
        <v>0.01</v>
      </c>
      <c r="T588" s="47" t="s">
        <v>198</v>
      </c>
      <c r="U588" s="48" t="s">
        <v>199</v>
      </c>
      <c r="V588" s="38"/>
      <c r="W588" s="48" t="s">
        <v>195</v>
      </c>
      <c r="X588" s="38" t="s">
        <v>200</v>
      </c>
      <c r="Y588" s="49" t="s">
        <v>201</v>
      </c>
      <c r="Z588" s="50" t="s">
        <v>1994</v>
      </c>
      <c r="AA588" s="38"/>
      <c r="AB588" s="38"/>
      <c r="AC588" s="38"/>
      <c r="AD588" s="51">
        <v>38</v>
      </c>
      <c r="AE588" s="51">
        <v>38</v>
      </c>
      <c r="AF588" s="48" t="s">
        <v>203</v>
      </c>
      <c r="AG588" s="38" t="s">
        <v>204</v>
      </c>
      <c r="AH588" s="52"/>
      <c r="AI588" s="38"/>
      <c r="AJ588" s="38"/>
    </row>
    <row r="589" spans="1:36" ht="16.2">
      <c r="A589" s="53" t="s">
        <v>857</v>
      </c>
      <c r="B589" s="53">
        <v>599566</v>
      </c>
      <c r="C589" s="53" t="s">
        <v>192</v>
      </c>
      <c r="D589" s="53">
        <v>13207694</v>
      </c>
      <c r="E589" s="54" t="s">
        <v>193</v>
      </c>
      <c r="F589" s="53" t="s">
        <v>235</v>
      </c>
      <c r="G589" s="53" t="s">
        <v>195</v>
      </c>
      <c r="H589" s="53"/>
      <c r="I589" s="53"/>
      <c r="J589" s="53">
        <v>13207694</v>
      </c>
      <c r="K589" s="53"/>
      <c r="L589" s="55">
        <v>45293</v>
      </c>
      <c r="M589" s="55">
        <v>45293</v>
      </c>
      <c r="N589" s="53" t="s">
        <v>1152</v>
      </c>
      <c r="O589" s="53">
        <v>0</v>
      </c>
      <c r="P589" s="53">
        <v>20010206</v>
      </c>
      <c r="Q589" s="53" t="s">
        <v>1995</v>
      </c>
      <c r="R589" s="45">
        <v>410</v>
      </c>
      <c r="S589" s="56">
        <v>0.01</v>
      </c>
      <c r="T589" s="47" t="s">
        <v>198</v>
      </c>
      <c r="U589" s="48" t="s">
        <v>199</v>
      </c>
      <c r="V589" s="38"/>
      <c r="W589" s="48" t="s">
        <v>195</v>
      </c>
      <c r="X589" s="38" t="s">
        <v>426</v>
      </c>
      <c r="Y589" s="49" t="s">
        <v>427</v>
      </c>
      <c r="Z589" s="50" t="s">
        <v>1996</v>
      </c>
      <c r="AA589" s="38"/>
      <c r="AB589" s="38"/>
      <c r="AC589" s="38"/>
      <c r="AD589" s="51">
        <v>38</v>
      </c>
      <c r="AE589" s="51">
        <v>38</v>
      </c>
      <c r="AF589" s="48" t="s">
        <v>203</v>
      </c>
      <c r="AG589" s="38" t="s">
        <v>204</v>
      </c>
      <c r="AH589" s="52"/>
      <c r="AI589" s="38"/>
      <c r="AJ589" s="38"/>
    </row>
    <row r="590" spans="1:36" ht="16.2">
      <c r="A590" s="42" t="s">
        <v>857</v>
      </c>
      <c r="B590" s="42">
        <v>599566</v>
      </c>
      <c r="C590" s="42" t="s">
        <v>192</v>
      </c>
      <c r="D590" s="42">
        <v>13207694</v>
      </c>
      <c r="E590" s="43" t="s">
        <v>193</v>
      </c>
      <c r="F590" s="42" t="s">
        <v>1691</v>
      </c>
      <c r="G590" s="42" t="s">
        <v>195</v>
      </c>
      <c r="H590" s="42"/>
      <c r="I590" s="42"/>
      <c r="J590" s="42">
        <v>13207694</v>
      </c>
      <c r="K590" s="42"/>
      <c r="L590" s="44">
        <v>45293</v>
      </c>
      <c r="M590" s="44">
        <v>45293</v>
      </c>
      <c r="N590" s="42" t="s">
        <v>1152</v>
      </c>
      <c r="O590" s="42">
        <v>0</v>
      </c>
      <c r="P590" s="42">
        <v>20010206</v>
      </c>
      <c r="Q590" s="42" t="s">
        <v>1997</v>
      </c>
      <c r="R590" s="45">
        <v>410</v>
      </c>
      <c r="S590" s="46">
        <v>0.01</v>
      </c>
      <c r="T590" s="47" t="s">
        <v>198</v>
      </c>
      <c r="U590" s="48" t="s">
        <v>199</v>
      </c>
      <c r="V590" s="38"/>
      <c r="W590" s="48" t="s">
        <v>195</v>
      </c>
      <c r="X590" s="38" t="s">
        <v>426</v>
      </c>
      <c r="Y590" s="49" t="s">
        <v>427</v>
      </c>
      <c r="Z590" s="50" t="s">
        <v>1998</v>
      </c>
      <c r="AA590" s="38"/>
      <c r="AB590" s="38"/>
      <c r="AC590" s="38"/>
      <c r="AD590" s="51">
        <v>38</v>
      </c>
      <c r="AE590" s="51">
        <v>38</v>
      </c>
      <c r="AF590" s="48" t="s">
        <v>203</v>
      </c>
      <c r="AG590" s="38" t="s">
        <v>204</v>
      </c>
      <c r="AH590" s="52"/>
      <c r="AI590" s="38"/>
      <c r="AJ590" s="38"/>
    </row>
    <row r="591" spans="1:36" ht="16.2">
      <c r="A591" s="53" t="s">
        <v>857</v>
      </c>
      <c r="B591" s="53">
        <v>599566</v>
      </c>
      <c r="C591" s="53" t="s">
        <v>192</v>
      </c>
      <c r="D591" s="53">
        <v>13207694</v>
      </c>
      <c r="E591" s="54" t="s">
        <v>193</v>
      </c>
      <c r="F591" s="53" t="s">
        <v>1999</v>
      </c>
      <c r="G591" s="53" t="s">
        <v>195</v>
      </c>
      <c r="H591" s="53"/>
      <c r="I591" s="53"/>
      <c r="J591" s="53">
        <v>13207694</v>
      </c>
      <c r="K591" s="53"/>
      <c r="L591" s="55">
        <v>45293</v>
      </c>
      <c r="M591" s="55">
        <v>45293</v>
      </c>
      <c r="N591" s="53" t="s">
        <v>1152</v>
      </c>
      <c r="O591" s="53">
        <v>0</v>
      </c>
      <c r="P591" s="53">
        <v>20010206</v>
      </c>
      <c r="Q591" s="53" t="s">
        <v>2000</v>
      </c>
      <c r="R591" s="45">
        <v>410</v>
      </c>
      <c r="S591" s="56">
        <v>0.01</v>
      </c>
      <c r="T591" s="47" t="s">
        <v>198</v>
      </c>
      <c r="U591" s="48" t="s">
        <v>199</v>
      </c>
      <c r="V591" s="38"/>
      <c r="W591" s="48" t="s">
        <v>195</v>
      </c>
      <c r="X591" s="38" t="s">
        <v>426</v>
      </c>
      <c r="Y591" s="49" t="s">
        <v>427</v>
      </c>
      <c r="Z591" s="50" t="s">
        <v>2001</v>
      </c>
      <c r="AA591" s="38"/>
      <c r="AB591" s="38"/>
      <c r="AC591" s="38"/>
      <c r="AD591" s="51">
        <v>38</v>
      </c>
      <c r="AE591" s="51">
        <v>38</v>
      </c>
      <c r="AF591" s="48" t="s">
        <v>203</v>
      </c>
      <c r="AG591" s="38" t="s">
        <v>204</v>
      </c>
      <c r="AH591" s="52"/>
      <c r="AI591" s="38"/>
      <c r="AJ591" s="38"/>
    </row>
    <row r="592" spans="1:36" ht="16.2">
      <c r="A592" s="42" t="s">
        <v>857</v>
      </c>
      <c r="B592" s="42">
        <v>599566</v>
      </c>
      <c r="C592" s="42" t="s">
        <v>192</v>
      </c>
      <c r="D592" s="42">
        <v>13207694</v>
      </c>
      <c r="E592" s="43" t="s">
        <v>193</v>
      </c>
      <c r="F592" s="42" t="s">
        <v>2002</v>
      </c>
      <c r="G592" s="42" t="s">
        <v>195</v>
      </c>
      <c r="H592" s="42"/>
      <c r="I592" s="42"/>
      <c r="J592" s="42">
        <v>13207694</v>
      </c>
      <c r="K592" s="42"/>
      <c r="L592" s="44">
        <v>45293</v>
      </c>
      <c r="M592" s="44">
        <v>45293</v>
      </c>
      <c r="N592" s="42" t="s">
        <v>1152</v>
      </c>
      <c r="O592" s="42">
        <v>0</v>
      </c>
      <c r="P592" s="42">
        <v>20010206</v>
      </c>
      <c r="Q592" s="42" t="s">
        <v>2003</v>
      </c>
      <c r="R592" s="45">
        <v>410</v>
      </c>
      <c r="S592" s="46">
        <v>0.01</v>
      </c>
      <c r="T592" s="47" t="s">
        <v>198</v>
      </c>
      <c r="U592" s="48" t="s">
        <v>199</v>
      </c>
      <c r="V592" s="38"/>
      <c r="W592" s="48" t="s">
        <v>195</v>
      </c>
      <c r="X592" s="38" t="s">
        <v>426</v>
      </c>
      <c r="Y592" s="49" t="s">
        <v>427</v>
      </c>
      <c r="Z592" s="50" t="s">
        <v>2004</v>
      </c>
      <c r="AA592" s="38"/>
      <c r="AB592" s="38"/>
      <c r="AC592" s="38"/>
      <c r="AD592" s="51">
        <v>38</v>
      </c>
      <c r="AE592" s="51">
        <v>38</v>
      </c>
      <c r="AF592" s="48" t="s">
        <v>203</v>
      </c>
      <c r="AG592" s="38" t="s">
        <v>204</v>
      </c>
      <c r="AH592" s="52"/>
      <c r="AI592" s="38"/>
      <c r="AJ592" s="38"/>
    </row>
    <row r="593" spans="1:36" ht="16.2">
      <c r="A593" s="53" t="s">
        <v>857</v>
      </c>
      <c r="B593" s="53">
        <v>599566</v>
      </c>
      <c r="C593" s="53" t="s">
        <v>192</v>
      </c>
      <c r="D593" s="53">
        <v>13207694</v>
      </c>
      <c r="E593" s="54" t="s">
        <v>193</v>
      </c>
      <c r="F593" s="53" t="s">
        <v>1151</v>
      </c>
      <c r="G593" s="53" t="s">
        <v>195</v>
      </c>
      <c r="H593" s="53"/>
      <c r="I593" s="53"/>
      <c r="J593" s="53">
        <v>13207694</v>
      </c>
      <c r="K593" s="53"/>
      <c r="L593" s="55">
        <v>45293</v>
      </c>
      <c r="M593" s="55">
        <v>45293</v>
      </c>
      <c r="N593" s="53" t="s">
        <v>1152</v>
      </c>
      <c r="O593" s="53">
        <v>0</v>
      </c>
      <c r="P593" s="53">
        <v>20010206</v>
      </c>
      <c r="Q593" s="53" t="s">
        <v>2005</v>
      </c>
      <c r="R593" s="45">
        <v>410</v>
      </c>
      <c r="S593" s="56">
        <v>0.01</v>
      </c>
      <c r="T593" s="47" t="s">
        <v>198</v>
      </c>
      <c r="U593" s="48" t="s">
        <v>199</v>
      </c>
      <c r="V593" s="38"/>
      <c r="W593" s="48" t="s">
        <v>195</v>
      </c>
      <c r="X593" s="38" t="s">
        <v>426</v>
      </c>
      <c r="Y593" s="49" t="s">
        <v>427</v>
      </c>
      <c r="Z593" s="50" t="s">
        <v>2006</v>
      </c>
      <c r="AA593" s="38"/>
      <c r="AB593" s="38"/>
      <c r="AC593" s="38"/>
      <c r="AD593" s="51">
        <v>38</v>
      </c>
      <c r="AE593" s="51">
        <v>38</v>
      </c>
      <c r="AF593" s="48" t="s">
        <v>203</v>
      </c>
      <c r="AG593" s="38" t="s">
        <v>204</v>
      </c>
      <c r="AH593" s="52"/>
      <c r="AI593" s="38"/>
      <c r="AJ593" s="38"/>
    </row>
    <row r="594" spans="1:36" ht="16.2">
      <c r="A594" s="42" t="s">
        <v>857</v>
      </c>
      <c r="B594" s="42">
        <v>599566</v>
      </c>
      <c r="C594" s="42" t="s">
        <v>192</v>
      </c>
      <c r="D594" s="42">
        <v>13207694</v>
      </c>
      <c r="E594" s="43" t="s">
        <v>193</v>
      </c>
      <c r="F594" s="42" t="s">
        <v>2007</v>
      </c>
      <c r="G594" s="42" t="s">
        <v>195</v>
      </c>
      <c r="H594" s="42"/>
      <c r="I594" s="42"/>
      <c r="J594" s="42">
        <v>13207694</v>
      </c>
      <c r="K594" s="42"/>
      <c r="L594" s="44">
        <v>45293</v>
      </c>
      <c r="M594" s="44">
        <v>45293</v>
      </c>
      <c r="N594" s="42" t="s">
        <v>1152</v>
      </c>
      <c r="O594" s="42">
        <v>0</v>
      </c>
      <c r="P594" s="42">
        <v>20010206</v>
      </c>
      <c r="Q594" s="42" t="s">
        <v>2008</v>
      </c>
      <c r="R594" s="45">
        <v>410</v>
      </c>
      <c r="S594" s="46">
        <v>0.01</v>
      </c>
      <c r="T594" s="47" t="s">
        <v>198</v>
      </c>
      <c r="U594" s="48" t="s">
        <v>199</v>
      </c>
      <c r="V594" s="38"/>
      <c r="W594" s="48" t="s">
        <v>195</v>
      </c>
      <c r="X594" s="38" t="s">
        <v>426</v>
      </c>
      <c r="Y594" s="49" t="s">
        <v>427</v>
      </c>
      <c r="Z594" s="50" t="s">
        <v>2009</v>
      </c>
      <c r="AA594" s="38"/>
      <c r="AB594" s="38"/>
      <c r="AC594" s="38"/>
      <c r="AD594" s="51">
        <v>38</v>
      </c>
      <c r="AE594" s="51">
        <v>38</v>
      </c>
      <c r="AF594" s="48" t="s">
        <v>203</v>
      </c>
      <c r="AG594" s="38" t="s">
        <v>204</v>
      </c>
      <c r="AH594" s="52"/>
      <c r="AI594" s="38"/>
      <c r="AJ594" s="38"/>
    </row>
    <row r="595" spans="1:36" ht="16.2">
      <c r="A595" s="53" t="s">
        <v>857</v>
      </c>
      <c r="B595" s="53">
        <v>599566</v>
      </c>
      <c r="C595" s="53" t="s">
        <v>192</v>
      </c>
      <c r="D595" s="53">
        <v>13207694</v>
      </c>
      <c r="E595" s="54" t="s">
        <v>193</v>
      </c>
      <c r="F595" s="53" t="s">
        <v>2010</v>
      </c>
      <c r="G595" s="53" t="s">
        <v>195</v>
      </c>
      <c r="H595" s="53"/>
      <c r="I595" s="53"/>
      <c r="J595" s="53">
        <v>13207694</v>
      </c>
      <c r="K595" s="53"/>
      <c r="L595" s="55">
        <v>45293</v>
      </c>
      <c r="M595" s="55">
        <v>45293</v>
      </c>
      <c r="N595" s="53" t="s">
        <v>1152</v>
      </c>
      <c r="O595" s="53">
        <v>0</v>
      </c>
      <c r="P595" s="53">
        <v>20010206</v>
      </c>
      <c r="Q595" s="53" t="s">
        <v>2011</v>
      </c>
      <c r="R595" s="45">
        <v>410</v>
      </c>
      <c r="S595" s="56">
        <v>0.01</v>
      </c>
      <c r="T595" s="47" t="s">
        <v>198</v>
      </c>
      <c r="U595" s="48" t="s">
        <v>199</v>
      </c>
      <c r="V595" s="38"/>
      <c r="W595" s="48" t="s">
        <v>195</v>
      </c>
      <c r="X595" s="38" t="s">
        <v>426</v>
      </c>
      <c r="Y595" s="49" t="s">
        <v>427</v>
      </c>
      <c r="Z595" s="50" t="s">
        <v>2012</v>
      </c>
      <c r="AA595" s="38"/>
      <c r="AB595" s="38"/>
      <c r="AC595" s="38"/>
      <c r="AD595" s="51">
        <v>38</v>
      </c>
      <c r="AE595" s="51">
        <v>38</v>
      </c>
      <c r="AF595" s="48" t="s">
        <v>203</v>
      </c>
      <c r="AG595" s="38" t="s">
        <v>204</v>
      </c>
      <c r="AH595" s="52"/>
      <c r="AI595" s="38"/>
      <c r="AJ595" s="38"/>
    </row>
    <row r="596" spans="1:36" ht="16.2">
      <c r="A596" s="42" t="s">
        <v>857</v>
      </c>
      <c r="B596" s="42">
        <v>599566</v>
      </c>
      <c r="C596" s="42" t="s">
        <v>192</v>
      </c>
      <c r="D596" s="42">
        <v>13207694</v>
      </c>
      <c r="E596" s="43" t="s">
        <v>193</v>
      </c>
      <c r="F596" s="42" t="s">
        <v>2013</v>
      </c>
      <c r="G596" s="42" t="s">
        <v>195</v>
      </c>
      <c r="H596" s="42"/>
      <c r="I596" s="42"/>
      <c r="J596" s="42">
        <v>13207694</v>
      </c>
      <c r="K596" s="42"/>
      <c r="L596" s="44">
        <v>45293</v>
      </c>
      <c r="M596" s="44">
        <v>45293</v>
      </c>
      <c r="N596" s="42" t="s">
        <v>1152</v>
      </c>
      <c r="O596" s="42">
        <v>0</v>
      </c>
      <c r="P596" s="42">
        <v>20010206</v>
      </c>
      <c r="Q596" s="42" t="s">
        <v>2014</v>
      </c>
      <c r="R596" s="45">
        <v>410</v>
      </c>
      <c r="S596" s="46">
        <v>0.01</v>
      </c>
      <c r="T596" s="47" t="s">
        <v>198</v>
      </c>
      <c r="U596" s="48" t="s">
        <v>199</v>
      </c>
      <c r="V596" s="38"/>
      <c r="W596" s="48" t="s">
        <v>195</v>
      </c>
      <c r="X596" s="38" t="s">
        <v>426</v>
      </c>
      <c r="Y596" s="49" t="s">
        <v>427</v>
      </c>
      <c r="Z596" s="50" t="s">
        <v>2015</v>
      </c>
      <c r="AA596" s="38"/>
      <c r="AB596" s="38"/>
      <c r="AC596" s="38"/>
      <c r="AD596" s="51">
        <v>38</v>
      </c>
      <c r="AE596" s="51">
        <v>38</v>
      </c>
      <c r="AF596" s="48" t="s">
        <v>203</v>
      </c>
      <c r="AG596" s="38" t="s">
        <v>204</v>
      </c>
      <c r="AH596" s="52"/>
      <c r="AI596" s="38"/>
      <c r="AJ596" s="38"/>
    </row>
    <row r="597" spans="1:36" ht="16.2">
      <c r="A597" s="53" t="s">
        <v>857</v>
      </c>
      <c r="B597" s="53">
        <v>599566</v>
      </c>
      <c r="C597" s="53" t="s">
        <v>192</v>
      </c>
      <c r="D597" s="53">
        <v>13207694</v>
      </c>
      <c r="E597" s="54" t="s">
        <v>193</v>
      </c>
      <c r="F597" s="53" t="s">
        <v>2016</v>
      </c>
      <c r="G597" s="53" t="s">
        <v>195</v>
      </c>
      <c r="H597" s="53"/>
      <c r="I597" s="53"/>
      <c r="J597" s="53">
        <v>13207694</v>
      </c>
      <c r="K597" s="53"/>
      <c r="L597" s="55">
        <v>45293</v>
      </c>
      <c r="M597" s="55">
        <v>45293</v>
      </c>
      <c r="N597" s="53" t="s">
        <v>1152</v>
      </c>
      <c r="O597" s="53">
        <v>0</v>
      </c>
      <c r="P597" s="53">
        <v>20010206</v>
      </c>
      <c r="Q597" s="53" t="s">
        <v>2017</v>
      </c>
      <c r="R597" s="45">
        <v>410</v>
      </c>
      <c r="S597" s="56">
        <v>0.01</v>
      </c>
      <c r="T597" s="47" t="s">
        <v>198</v>
      </c>
      <c r="U597" s="48" t="s">
        <v>199</v>
      </c>
      <c r="V597" s="38"/>
      <c r="W597" s="48" t="s">
        <v>195</v>
      </c>
      <c r="X597" s="38" t="s">
        <v>426</v>
      </c>
      <c r="Y597" s="49" t="s">
        <v>427</v>
      </c>
      <c r="Z597" s="50" t="s">
        <v>2018</v>
      </c>
      <c r="AA597" s="38"/>
      <c r="AB597" s="38"/>
      <c r="AC597" s="38"/>
      <c r="AD597" s="51">
        <v>38</v>
      </c>
      <c r="AE597" s="51">
        <v>38</v>
      </c>
      <c r="AF597" s="48" t="s">
        <v>203</v>
      </c>
      <c r="AG597" s="38" t="s">
        <v>204</v>
      </c>
      <c r="AH597" s="52"/>
      <c r="AI597" s="38"/>
      <c r="AJ597" s="38"/>
    </row>
    <row r="598" spans="1:36" ht="16.2">
      <c r="A598" s="42" t="s">
        <v>340</v>
      </c>
      <c r="B598" s="42">
        <v>599605</v>
      </c>
      <c r="C598" s="42" t="s">
        <v>90</v>
      </c>
      <c r="D598" s="42">
        <v>13207632</v>
      </c>
      <c r="E598" s="43" t="s">
        <v>2019</v>
      </c>
      <c r="F598" s="42" t="s">
        <v>2020</v>
      </c>
      <c r="G598" s="42" t="s">
        <v>195</v>
      </c>
      <c r="H598" s="42"/>
      <c r="I598" s="42"/>
      <c r="J598" s="42">
        <v>13207632</v>
      </c>
      <c r="K598" s="42"/>
      <c r="L598" s="44">
        <v>45293</v>
      </c>
      <c r="M598" s="44">
        <v>45293</v>
      </c>
      <c r="N598" s="42" t="s">
        <v>2021</v>
      </c>
      <c r="O598" s="42">
        <v>0</v>
      </c>
      <c r="P598" s="42">
        <v>20058001</v>
      </c>
      <c r="Q598" s="42" t="s">
        <v>2022</v>
      </c>
      <c r="R598" s="45">
        <v>410</v>
      </c>
      <c r="S598" s="46">
        <v>0.01</v>
      </c>
      <c r="T598" s="47" t="s">
        <v>198</v>
      </c>
      <c r="U598" s="48" t="s">
        <v>199</v>
      </c>
      <c r="V598" s="38"/>
      <c r="W598" s="48" t="s">
        <v>195</v>
      </c>
      <c r="X598" s="38" t="s">
        <v>308</v>
      </c>
      <c r="Y598" s="49" t="s">
        <v>309</v>
      </c>
      <c r="Z598" s="50" t="s">
        <v>2023</v>
      </c>
      <c r="AA598" s="38"/>
      <c r="AB598" s="38"/>
      <c r="AC598" s="38"/>
      <c r="AD598" s="51">
        <v>11</v>
      </c>
      <c r="AE598" s="51">
        <v>11</v>
      </c>
      <c r="AF598" s="48" t="s">
        <v>203</v>
      </c>
      <c r="AG598" s="38" t="s">
        <v>204</v>
      </c>
      <c r="AH598" s="52"/>
      <c r="AI598" s="38"/>
      <c r="AJ598" s="38"/>
    </row>
    <row r="599" spans="1:36" ht="16.2">
      <c r="A599" s="53" t="s">
        <v>340</v>
      </c>
      <c r="B599" s="53">
        <v>599605</v>
      </c>
      <c r="C599" s="53" t="s">
        <v>90</v>
      </c>
      <c r="D599" s="53">
        <v>13207632</v>
      </c>
      <c r="E599" s="54" t="s">
        <v>2019</v>
      </c>
      <c r="F599" s="53" t="s">
        <v>2024</v>
      </c>
      <c r="G599" s="53" t="s">
        <v>195</v>
      </c>
      <c r="H599" s="53"/>
      <c r="I599" s="53"/>
      <c r="J599" s="53">
        <v>13207632</v>
      </c>
      <c r="K599" s="53"/>
      <c r="L599" s="55">
        <v>45293</v>
      </c>
      <c r="M599" s="55">
        <v>45293</v>
      </c>
      <c r="N599" s="53" t="s">
        <v>2021</v>
      </c>
      <c r="O599" s="53">
        <v>0</v>
      </c>
      <c r="P599" s="53">
        <v>20058001</v>
      </c>
      <c r="Q599" s="53" t="s">
        <v>2025</v>
      </c>
      <c r="R599" s="45">
        <v>410</v>
      </c>
      <c r="S599" s="56">
        <v>0.01</v>
      </c>
      <c r="T599" s="47" t="s">
        <v>198</v>
      </c>
      <c r="U599" s="48" t="s">
        <v>199</v>
      </c>
      <c r="V599" s="38"/>
      <c r="W599" s="48" t="s">
        <v>195</v>
      </c>
      <c r="X599" s="38" t="s">
        <v>308</v>
      </c>
      <c r="Y599" s="49" t="s">
        <v>309</v>
      </c>
      <c r="Z599" s="50" t="s">
        <v>2026</v>
      </c>
      <c r="AA599" s="38"/>
      <c r="AB599" s="38"/>
      <c r="AC599" s="38"/>
      <c r="AD599" s="51">
        <v>11</v>
      </c>
      <c r="AE599" s="51">
        <v>11</v>
      </c>
      <c r="AF599" s="48" t="s">
        <v>203</v>
      </c>
      <c r="AG599" s="38" t="s">
        <v>204</v>
      </c>
      <c r="AH599" s="52"/>
      <c r="AI599" s="38"/>
      <c r="AJ599" s="38"/>
    </row>
    <row r="600" spans="1:36" ht="16.2">
      <c r="A600" s="42" t="s">
        <v>340</v>
      </c>
      <c r="B600" s="42">
        <v>599605</v>
      </c>
      <c r="C600" s="42" t="s">
        <v>90</v>
      </c>
      <c r="D600" s="42">
        <v>13207632</v>
      </c>
      <c r="E600" s="43" t="s">
        <v>2019</v>
      </c>
      <c r="F600" s="42" t="s">
        <v>205</v>
      </c>
      <c r="G600" s="42" t="s">
        <v>195</v>
      </c>
      <c r="H600" s="42"/>
      <c r="I600" s="42"/>
      <c r="J600" s="42">
        <v>13207632</v>
      </c>
      <c r="K600" s="42"/>
      <c r="L600" s="44">
        <v>45293</v>
      </c>
      <c r="M600" s="44">
        <v>45293</v>
      </c>
      <c r="N600" s="42" t="s">
        <v>2021</v>
      </c>
      <c r="O600" s="42">
        <v>0</v>
      </c>
      <c r="P600" s="42">
        <v>20058001</v>
      </c>
      <c r="Q600" s="42" t="s">
        <v>2027</v>
      </c>
      <c r="R600" s="45">
        <v>410</v>
      </c>
      <c r="S600" s="46">
        <v>0.01</v>
      </c>
      <c r="T600" s="47" t="s">
        <v>198</v>
      </c>
      <c r="U600" s="48" t="s">
        <v>199</v>
      </c>
      <c r="V600" s="38"/>
      <c r="W600" s="48" t="s">
        <v>195</v>
      </c>
      <c r="X600" s="38" t="s">
        <v>308</v>
      </c>
      <c r="Y600" s="49" t="s">
        <v>309</v>
      </c>
      <c r="Z600" s="50" t="s">
        <v>2028</v>
      </c>
      <c r="AA600" s="38"/>
      <c r="AB600" s="38"/>
      <c r="AC600" s="38"/>
      <c r="AD600" s="51">
        <v>11</v>
      </c>
      <c r="AE600" s="51">
        <v>11</v>
      </c>
      <c r="AF600" s="48" t="s">
        <v>203</v>
      </c>
      <c r="AG600" s="38" t="s">
        <v>204</v>
      </c>
      <c r="AH600" s="52"/>
      <c r="AI600" s="38"/>
      <c r="AJ600" s="38"/>
    </row>
    <row r="601" spans="1:36" ht="16.2">
      <c r="A601" s="53" t="s">
        <v>340</v>
      </c>
      <c r="B601" s="53">
        <v>599605</v>
      </c>
      <c r="C601" s="53" t="s">
        <v>90</v>
      </c>
      <c r="D601" s="53">
        <v>13207632</v>
      </c>
      <c r="E601" s="54" t="s">
        <v>2019</v>
      </c>
      <c r="F601" s="53" t="s">
        <v>208</v>
      </c>
      <c r="G601" s="53" t="s">
        <v>195</v>
      </c>
      <c r="H601" s="53"/>
      <c r="I601" s="53"/>
      <c r="J601" s="53">
        <v>13207632</v>
      </c>
      <c r="K601" s="53"/>
      <c r="L601" s="55">
        <v>45293</v>
      </c>
      <c r="M601" s="55">
        <v>45293</v>
      </c>
      <c r="N601" s="53" t="s">
        <v>2021</v>
      </c>
      <c r="O601" s="53">
        <v>0</v>
      </c>
      <c r="P601" s="53">
        <v>20058001</v>
      </c>
      <c r="Q601" s="53" t="s">
        <v>2029</v>
      </c>
      <c r="R601" s="45">
        <v>410</v>
      </c>
      <c r="S601" s="56">
        <v>0.01</v>
      </c>
      <c r="T601" s="47" t="s">
        <v>198</v>
      </c>
      <c r="U601" s="48" t="s">
        <v>199</v>
      </c>
      <c r="V601" s="38"/>
      <c r="W601" s="48" t="s">
        <v>195</v>
      </c>
      <c r="X601" s="38" t="s">
        <v>308</v>
      </c>
      <c r="Y601" s="49" t="s">
        <v>309</v>
      </c>
      <c r="Z601" s="50" t="s">
        <v>2030</v>
      </c>
      <c r="AA601" s="38"/>
      <c r="AB601" s="38"/>
      <c r="AC601" s="38"/>
      <c r="AD601" s="51">
        <v>11</v>
      </c>
      <c r="AE601" s="51">
        <v>11</v>
      </c>
      <c r="AF601" s="48" t="s">
        <v>203</v>
      </c>
      <c r="AG601" s="38" t="s">
        <v>204</v>
      </c>
      <c r="AH601" s="52"/>
      <c r="AI601" s="38"/>
      <c r="AJ601" s="38"/>
    </row>
    <row r="602" spans="1:36" ht="16.2">
      <c r="A602" s="42" t="s">
        <v>340</v>
      </c>
      <c r="B602" s="42">
        <v>599605</v>
      </c>
      <c r="C602" s="42" t="s">
        <v>90</v>
      </c>
      <c r="D602" s="42">
        <v>13207632</v>
      </c>
      <c r="E602" s="43" t="s">
        <v>2019</v>
      </c>
      <c r="F602" s="42" t="s">
        <v>211</v>
      </c>
      <c r="G602" s="42" t="s">
        <v>195</v>
      </c>
      <c r="H602" s="42"/>
      <c r="I602" s="42"/>
      <c r="J602" s="42">
        <v>13207632</v>
      </c>
      <c r="K602" s="42"/>
      <c r="L602" s="44">
        <v>45293</v>
      </c>
      <c r="M602" s="44">
        <v>45293</v>
      </c>
      <c r="N602" s="42" t="s">
        <v>2021</v>
      </c>
      <c r="O602" s="42">
        <v>0</v>
      </c>
      <c r="P602" s="42">
        <v>20058001</v>
      </c>
      <c r="Q602" s="42" t="s">
        <v>2031</v>
      </c>
      <c r="R602" s="45">
        <v>410</v>
      </c>
      <c r="S602" s="46">
        <v>0.01</v>
      </c>
      <c r="T602" s="47" t="s">
        <v>198</v>
      </c>
      <c r="U602" s="48" t="s">
        <v>199</v>
      </c>
      <c r="V602" s="38"/>
      <c r="W602" s="48" t="s">
        <v>195</v>
      </c>
      <c r="X602" s="38" t="s">
        <v>308</v>
      </c>
      <c r="Y602" s="49" t="s">
        <v>309</v>
      </c>
      <c r="Z602" s="50" t="s">
        <v>2032</v>
      </c>
      <c r="AA602" s="38"/>
      <c r="AB602" s="38"/>
      <c r="AC602" s="38"/>
      <c r="AD602" s="51">
        <v>11</v>
      </c>
      <c r="AE602" s="51">
        <v>11</v>
      </c>
      <c r="AF602" s="48" t="s">
        <v>203</v>
      </c>
      <c r="AG602" s="38" t="s">
        <v>204</v>
      </c>
      <c r="AH602" s="52"/>
      <c r="AI602" s="38"/>
      <c r="AJ602" s="38"/>
    </row>
    <row r="603" spans="1:36" ht="16.2">
      <c r="A603" s="53" t="s">
        <v>340</v>
      </c>
      <c r="B603" s="53">
        <v>599605</v>
      </c>
      <c r="C603" s="53" t="s">
        <v>90</v>
      </c>
      <c r="D603" s="53">
        <v>13207632</v>
      </c>
      <c r="E603" s="54" t="s">
        <v>2019</v>
      </c>
      <c r="F603" s="53" t="s">
        <v>214</v>
      </c>
      <c r="G603" s="53" t="s">
        <v>195</v>
      </c>
      <c r="H603" s="53"/>
      <c r="I603" s="53"/>
      <c r="J603" s="53">
        <v>13207632</v>
      </c>
      <c r="K603" s="53"/>
      <c r="L603" s="55">
        <v>45293</v>
      </c>
      <c r="M603" s="55">
        <v>45293</v>
      </c>
      <c r="N603" s="53" t="s">
        <v>2021</v>
      </c>
      <c r="O603" s="53">
        <v>0</v>
      </c>
      <c r="P603" s="53">
        <v>20058001</v>
      </c>
      <c r="Q603" s="53" t="s">
        <v>2033</v>
      </c>
      <c r="R603" s="45">
        <v>410</v>
      </c>
      <c r="S603" s="56">
        <v>0.01</v>
      </c>
      <c r="T603" s="47" t="s">
        <v>198</v>
      </c>
      <c r="U603" s="48" t="s">
        <v>199</v>
      </c>
      <c r="V603" s="38"/>
      <c r="W603" s="48" t="s">
        <v>195</v>
      </c>
      <c r="X603" s="38" t="s">
        <v>308</v>
      </c>
      <c r="Y603" s="49" t="s">
        <v>309</v>
      </c>
      <c r="Z603" s="50" t="s">
        <v>2034</v>
      </c>
      <c r="AA603" s="38"/>
      <c r="AB603" s="38"/>
      <c r="AC603" s="38"/>
      <c r="AD603" s="51">
        <v>11</v>
      </c>
      <c r="AE603" s="51">
        <v>11</v>
      </c>
      <c r="AF603" s="48" t="s">
        <v>203</v>
      </c>
      <c r="AG603" s="38" t="s">
        <v>204</v>
      </c>
      <c r="AH603" s="52"/>
      <c r="AI603" s="38"/>
      <c r="AJ603" s="38"/>
    </row>
    <row r="604" spans="1:36" ht="16.2">
      <c r="A604" s="42" t="s">
        <v>340</v>
      </c>
      <c r="B604" s="42">
        <v>599605</v>
      </c>
      <c r="C604" s="42" t="s">
        <v>90</v>
      </c>
      <c r="D604" s="42">
        <v>13207632</v>
      </c>
      <c r="E604" s="43" t="s">
        <v>2019</v>
      </c>
      <c r="F604" s="42" t="s">
        <v>219</v>
      </c>
      <c r="G604" s="42" t="s">
        <v>195</v>
      </c>
      <c r="H604" s="42"/>
      <c r="I604" s="42"/>
      <c r="J604" s="42">
        <v>13207632</v>
      </c>
      <c r="K604" s="42"/>
      <c r="L604" s="44">
        <v>45293</v>
      </c>
      <c r="M604" s="44">
        <v>45293</v>
      </c>
      <c r="N604" s="42" t="s">
        <v>2021</v>
      </c>
      <c r="O604" s="42">
        <v>0</v>
      </c>
      <c r="P604" s="42">
        <v>20058001</v>
      </c>
      <c r="Q604" s="42" t="s">
        <v>2035</v>
      </c>
      <c r="R604" s="45">
        <v>410</v>
      </c>
      <c r="S604" s="46">
        <v>0.01</v>
      </c>
      <c r="T604" s="47" t="s">
        <v>198</v>
      </c>
      <c r="U604" s="48" t="s">
        <v>199</v>
      </c>
      <c r="V604" s="38"/>
      <c r="W604" s="48" t="s">
        <v>195</v>
      </c>
      <c r="X604" s="38" t="s">
        <v>308</v>
      </c>
      <c r="Y604" s="49" t="s">
        <v>309</v>
      </c>
      <c r="Z604" s="50" t="s">
        <v>2036</v>
      </c>
      <c r="AA604" s="38"/>
      <c r="AB604" s="38"/>
      <c r="AC604" s="38"/>
      <c r="AD604" s="51">
        <v>11</v>
      </c>
      <c r="AE604" s="51">
        <v>11</v>
      </c>
      <c r="AF604" s="48" t="s">
        <v>203</v>
      </c>
      <c r="AG604" s="38" t="s">
        <v>204</v>
      </c>
      <c r="AH604" s="52"/>
      <c r="AI604" s="38"/>
      <c r="AJ604" s="38"/>
    </row>
    <row r="605" spans="1:36" ht="16.2">
      <c r="A605" s="53" t="s">
        <v>340</v>
      </c>
      <c r="B605" s="53">
        <v>599605</v>
      </c>
      <c r="C605" s="53" t="s">
        <v>90</v>
      </c>
      <c r="D605" s="53">
        <v>13207632</v>
      </c>
      <c r="E605" s="54" t="s">
        <v>2019</v>
      </c>
      <c r="F605" s="53" t="s">
        <v>224</v>
      </c>
      <c r="G605" s="53" t="s">
        <v>195</v>
      </c>
      <c r="H605" s="53"/>
      <c r="I605" s="53"/>
      <c r="J605" s="53">
        <v>13207632</v>
      </c>
      <c r="K605" s="53"/>
      <c r="L605" s="55">
        <v>45293</v>
      </c>
      <c r="M605" s="55">
        <v>45293</v>
      </c>
      <c r="N605" s="53" t="s">
        <v>2021</v>
      </c>
      <c r="O605" s="53">
        <v>0</v>
      </c>
      <c r="P605" s="53">
        <v>20058001</v>
      </c>
      <c r="Q605" s="53" t="s">
        <v>2037</v>
      </c>
      <c r="R605" s="45">
        <v>410</v>
      </c>
      <c r="S605" s="56">
        <v>0.01</v>
      </c>
      <c r="T605" s="47" t="s">
        <v>198</v>
      </c>
      <c r="U605" s="48" t="s">
        <v>199</v>
      </c>
      <c r="V605" s="38"/>
      <c r="W605" s="48" t="s">
        <v>195</v>
      </c>
      <c r="X605" s="38" t="s">
        <v>308</v>
      </c>
      <c r="Y605" s="49" t="s">
        <v>309</v>
      </c>
      <c r="Z605" s="50" t="s">
        <v>2038</v>
      </c>
      <c r="AA605" s="38"/>
      <c r="AB605" s="38"/>
      <c r="AC605" s="38"/>
      <c r="AD605" s="51">
        <v>11</v>
      </c>
      <c r="AE605" s="51">
        <v>11</v>
      </c>
      <c r="AF605" s="48" t="s">
        <v>203</v>
      </c>
      <c r="AG605" s="38" t="s">
        <v>204</v>
      </c>
      <c r="AH605" s="52"/>
      <c r="AI605" s="38"/>
      <c r="AJ605" s="38"/>
    </row>
    <row r="606" spans="1:36" ht="16.2">
      <c r="A606" s="42" t="s">
        <v>340</v>
      </c>
      <c r="B606" s="42">
        <v>599605</v>
      </c>
      <c r="C606" s="42" t="s">
        <v>90</v>
      </c>
      <c r="D606" s="42">
        <v>13207632</v>
      </c>
      <c r="E606" s="43" t="s">
        <v>2019</v>
      </c>
      <c r="F606" s="42" t="s">
        <v>227</v>
      </c>
      <c r="G606" s="42" t="s">
        <v>195</v>
      </c>
      <c r="H606" s="42"/>
      <c r="I606" s="42"/>
      <c r="J606" s="42">
        <v>13207632</v>
      </c>
      <c r="K606" s="42"/>
      <c r="L606" s="44">
        <v>45293</v>
      </c>
      <c r="M606" s="44">
        <v>45293</v>
      </c>
      <c r="N606" s="42" t="s">
        <v>2021</v>
      </c>
      <c r="O606" s="42">
        <v>0</v>
      </c>
      <c r="P606" s="42">
        <v>20058001</v>
      </c>
      <c r="Q606" s="42" t="s">
        <v>2039</v>
      </c>
      <c r="R606" s="45">
        <v>410</v>
      </c>
      <c r="S606" s="42">
        <v>0</v>
      </c>
      <c r="T606" s="47" t="s">
        <v>198</v>
      </c>
      <c r="U606" s="48" t="s">
        <v>199</v>
      </c>
      <c r="V606" s="38"/>
      <c r="W606" s="48" t="s">
        <v>195</v>
      </c>
      <c r="X606" s="38" t="s">
        <v>308</v>
      </c>
      <c r="Y606" s="49" t="s">
        <v>309</v>
      </c>
      <c r="Z606" s="50" t="s">
        <v>2040</v>
      </c>
      <c r="AA606" s="38"/>
      <c r="AB606" s="38"/>
      <c r="AC606" s="38"/>
      <c r="AD606" s="51">
        <v>11</v>
      </c>
      <c r="AE606" s="51">
        <v>11</v>
      </c>
      <c r="AF606" s="48" t="s">
        <v>203</v>
      </c>
      <c r="AG606" s="38" t="s">
        <v>204</v>
      </c>
      <c r="AH606" s="52"/>
      <c r="AI606" s="38"/>
      <c r="AJ606" s="38"/>
    </row>
    <row r="607" spans="1:36" ht="16.2">
      <c r="A607" s="53" t="s">
        <v>340</v>
      </c>
      <c r="B607" s="53">
        <v>599605</v>
      </c>
      <c r="C607" s="53" t="s">
        <v>90</v>
      </c>
      <c r="D607" s="53">
        <v>13207632</v>
      </c>
      <c r="E607" s="54" t="s">
        <v>2019</v>
      </c>
      <c r="F607" s="53" t="s">
        <v>230</v>
      </c>
      <c r="G607" s="53" t="s">
        <v>195</v>
      </c>
      <c r="H607" s="53"/>
      <c r="I607" s="53"/>
      <c r="J607" s="53">
        <v>13207632</v>
      </c>
      <c r="K607" s="53"/>
      <c r="L607" s="55">
        <v>45293</v>
      </c>
      <c r="M607" s="55">
        <v>45293</v>
      </c>
      <c r="N607" s="53" t="s">
        <v>2021</v>
      </c>
      <c r="O607" s="53">
        <v>0</v>
      </c>
      <c r="P607" s="53">
        <v>20058001</v>
      </c>
      <c r="Q607" s="53" t="s">
        <v>2041</v>
      </c>
      <c r="R607" s="45">
        <v>410</v>
      </c>
      <c r="S607" s="53">
        <v>0</v>
      </c>
      <c r="T607" s="47" t="s">
        <v>198</v>
      </c>
      <c r="U607" s="48" t="s">
        <v>199</v>
      </c>
      <c r="V607" s="38"/>
      <c r="W607" s="48" t="s">
        <v>195</v>
      </c>
      <c r="X607" s="38" t="s">
        <v>308</v>
      </c>
      <c r="Y607" s="49" t="s">
        <v>309</v>
      </c>
      <c r="Z607" s="50" t="s">
        <v>2042</v>
      </c>
      <c r="AA607" s="38"/>
      <c r="AB607" s="38"/>
      <c r="AC607" s="38"/>
      <c r="AD607" s="51">
        <v>11</v>
      </c>
      <c r="AE607" s="51">
        <v>11</v>
      </c>
      <c r="AF607" s="48" t="s">
        <v>203</v>
      </c>
      <c r="AG607" s="38" t="s">
        <v>204</v>
      </c>
      <c r="AH607" s="52"/>
      <c r="AI607" s="38"/>
      <c r="AJ607" s="38"/>
    </row>
    <row r="608" spans="1:36" ht="16.2">
      <c r="A608" s="42" t="s">
        <v>340</v>
      </c>
      <c r="B608" s="42">
        <v>599605</v>
      </c>
      <c r="C608" s="42" t="s">
        <v>90</v>
      </c>
      <c r="D608" s="42">
        <v>13207632</v>
      </c>
      <c r="E608" s="43" t="s">
        <v>2019</v>
      </c>
      <c r="F608" s="42" t="s">
        <v>235</v>
      </c>
      <c r="G608" s="42" t="s">
        <v>195</v>
      </c>
      <c r="H608" s="42"/>
      <c r="I608" s="42"/>
      <c r="J608" s="42">
        <v>13207632</v>
      </c>
      <c r="K608" s="42"/>
      <c r="L608" s="44">
        <v>45293</v>
      </c>
      <c r="M608" s="44">
        <v>45293</v>
      </c>
      <c r="N608" s="42" t="s">
        <v>2021</v>
      </c>
      <c r="O608" s="42">
        <v>0</v>
      </c>
      <c r="P608" s="42">
        <v>20058001</v>
      </c>
      <c r="Q608" s="42" t="s">
        <v>2043</v>
      </c>
      <c r="R608" s="45">
        <v>410</v>
      </c>
      <c r="S608" s="42">
        <v>0</v>
      </c>
      <c r="T608" s="47" t="s">
        <v>198</v>
      </c>
      <c r="U608" s="48" t="s">
        <v>199</v>
      </c>
      <c r="V608" s="38"/>
      <c r="W608" s="48" t="s">
        <v>195</v>
      </c>
      <c r="X608" s="38" t="s">
        <v>308</v>
      </c>
      <c r="Y608" s="49" t="s">
        <v>309</v>
      </c>
      <c r="Z608" s="50" t="s">
        <v>2044</v>
      </c>
      <c r="AA608" s="38"/>
      <c r="AB608" s="38"/>
      <c r="AC608" s="38"/>
      <c r="AD608" s="51">
        <v>11</v>
      </c>
      <c r="AE608" s="51">
        <v>11</v>
      </c>
      <c r="AF608" s="48" t="s">
        <v>203</v>
      </c>
      <c r="AG608" s="38" t="s">
        <v>204</v>
      </c>
      <c r="AH608" s="52"/>
      <c r="AI608" s="38"/>
      <c r="AJ608" s="38"/>
    </row>
    <row r="609" spans="1:36" ht="16.2">
      <c r="A609" s="53" t="s">
        <v>238</v>
      </c>
      <c r="B609" s="53">
        <v>589679</v>
      </c>
      <c r="C609" s="53" t="s">
        <v>2045</v>
      </c>
      <c r="D609" s="53">
        <v>13207654</v>
      </c>
      <c r="E609" s="54" t="s">
        <v>2046</v>
      </c>
      <c r="F609" s="53" t="s">
        <v>2047</v>
      </c>
      <c r="G609" s="53" t="s">
        <v>195</v>
      </c>
      <c r="H609" s="53"/>
      <c r="I609" s="53"/>
      <c r="J609" s="53">
        <v>13207654</v>
      </c>
      <c r="K609" s="53"/>
      <c r="L609" s="55">
        <v>45293</v>
      </c>
      <c r="M609" s="55">
        <v>45293</v>
      </c>
      <c r="N609" s="53" t="s">
        <v>1328</v>
      </c>
      <c r="O609" s="53">
        <v>0</v>
      </c>
      <c r="P609" s="53">
        <v>20036419</v>
      </c>
      <c r="Q609" s="53" t="s">
        <v>2048</v>
      </c>
      <c r="R609" s="45">
        <v>410</v>
      </c>
      <c r="S609" s="53">
        <v>0</v>
      </c>
      <c r="T609" s="47" t="s">
        <v>198</v>
      </c>
      <c r="U609" s="48" t="s">
        <v>199</v>
      </c>
      <c r="V609" s="38"/>
      <c r="W609" s="48" t="s">
        <v>195</v>
      </c>
      <c r="X609" s="38" t="s">
        <v>200</v>
      </c>
      <c r="Y609" s="49" t="s">
        <v>201</v>
      </c>
      <c r="Z609" s="50" t="s">
        <v>2049</v>
      </c>
      <c r="AA609" s="38"/>
      <c r="AB609" s="38"/>
      <c r="AC609" s="38"/>
      <c r="AD609" s="51">
        <v>43</v>
      </c>
      <c r="AE609" s="51">
        <v>43</v>
      </c>
      <c r="AF609" s="48" t="s">
        <v>203</v>
      </c>
      <c r="AG609" s="38" t="s">
        <v>204</v>
      </c>
      <c r="AH609" s="52"/>
      <c r="AI609" s="38"/>
      <c r="AJ609" s="38"/>
    </row>
    <row r="610" spans="1:36" ht="16.2">
      <c r="A610" s="42" t="s">
        <v>238</v>
      </c>
      <c r="B610" s="42">
        <v>589679</v>
      </c>
      <c r="C610" s="42" t="s">
        <v>2045</v>
      </c>
      <c r="D610" s="42">
        <v>13207654</v>
      </c>
      <c r="E610" s="43" t="s">
        <v>2046</v>
      </c>
      <c r="F610" s="42" t="s">
        <v>2050</v>
      </c>
      <c r="G610" s="42" t="s">
        <v>195</v>
      </c>
      <c r="H610" s="42"/>
      <c r="I610" s="42"/>
      <c r="J610" s="42">
        <v>13207654</v>
      </c>
      <c r="K610" s="42"/>
      <c r="L610" s="44">
        <v>45293</v>
      </c>
      <c r="M610" s="44">
        <v>45293</v>
      </c>
      <c r="N610" s="42" t="s">
        <v>1328</v>
      </c>
      <c r="O610" s="42">
        <v>0</v>
      </c>
      <c r="P610" s="42">
        <v>20036419</v>
      </c>
      <c r="Q610" s="42" t="s">
        <v>2051</v>
      </c>
      <c r="R610" s="45">
        <v>410</v>
      </c>
      <c r="S610" s="42">
        <v>0</v>
      </c>
      <c r="T610" s="47" t="s">
        <v>198</v>
      </c>
      <c r="U610" s="48" t="s">
        <v>199</v>
      </c>
      <c r="V610" s="38"/>
      <c r="W610" s="48" t="s">
        <v>195</v>
      </c>
      <c r="X610" s="38" t="s">
        <v>200</v>
      </c>
      <c r="Y610" s="49" t="s">
        <v>201</v>
      </c>
      <c r="Z610" s="50" t="s">
        <v>2052</v>
      </c>
      <c r="AA610" s="38"/>
      <c r="AB610" s="38"/>
      <c r="AC610" s="38"/>
      <c r="AD610" s="51">
        <v>43</v>
      </c>
      <c r="AE610" s="51">
        <v>43</v>
      </c>
      <c r="AF610" s="48" t="s">
        <v>203</v>
      </c>
      <c r="AG610" s="38" t="s">
        <v>204</v>
      </c>
      <c r="AH610" s="52"/>
      <c r="AI610" s="38"/>
      <c r="AJ610" s="38"/>
    </row>
    <row r="611" spans="1:36" ht="16.2">
      <c r="A611" s="53" t="s">
        <v>238</v>
      </c>
      <c r="B611" s="53">
        <v>589679</v>
      </c>
      <c r="C611" s="53" t="s">
        <v>2045</v>
      </c>
      <c r="D611" s="53">
        <v>13207654</v>
      </c>
      <c r="E611" s="54" t="s">
        <v>2046</v>
      </c>
      <c r="F611" s="53" t="s">
        <v>2053</v>
      </c>
      <c r="G611" s="53" t="s">
        <v>195</v>
      </c>
      <c r="H611" s="53"/>
      <c r="I611" s="53"/>
      <c r="J611" s="53">
        <v>13207654</v>
      </c>
      <c r="K611" s="53"/>
      <c r="L611" s="55">
        <v>45293</v>
      </c>
      <c r="M611" s="55">
        <v>45293</v>
      </c>
      <c r="N611" s="53" t="s">
        <v>1328</v>
      </c>
      <c r="O611" s="53">
        <v>0</v>
      </c>
      <c r="P611" s="53">
        <v>20036419</v>
      </c>
      <c r="Q611" s="53" t="s">
        <v>2054</v>
      </c>
      <c r="R611" s="45">
        <v>410</v>
      </c>
      <c r="S611" s="53">
        <v>0</v>
      </c>
      <c r="T611" s="47" t="s">
        <v>198</v>
      </c>
      <c r="U611" s="48" t="s">
        <v>199</v>
      </c>
      <c r="V611" s="38"/>
      <c r="W611" s="48" t="s">
        <v>195</v>
      </c>
      <c r="X611" s="38" t="s">
        <v>200</v>
      </c>
      <c r="Y611" s="49" t="s">
        <v>201</v>
      </c>
      <c r="Z611" s="50" t="s">
        <v>2055</v>
      </c>
      <c r="AA611" s="38"/>
      <c r="AB611" s="38"/>
      <c r="AC611" s="38"/>
      <c r="AD611" s="51">
        <v>43</v>
      </c>
      <c r="AE611" s="51">
        <v>43</v>
      </c>
      <c r="AF611" s="48" t="s">
        <v>203</v>
      </c>
      <c r="AG611" s="38" t="s">
        <v>204</v>
      </c>
      <c r="AH611" s="52"/>
      <c r="AI611" s="38"/>
      <c r="AJ611" s="38"/>
    </row>
    <row r="612" spans="1:36" ht="16.2">
      <c r="A612" s="42" t="s">
        <v>238</v>
      </c>
      <c r="B612" s="42">
        <v>589679</v>
      </c>
      <c r="C612" s="42" t="s">
        <v>2045</v>
      </c>
      <c r="D612" s="42">
        <v>13207654</v>
      </c>
      <c r="E612" s="43" t="s">
        <v>2046</v>
      </c>
      <c r="F612" s="42" t="s">
        <v>2056</v>
      </c>
      <c r="G612" s="42" t="s">
        <v>195</v>
      </c>
      <c r="H612" s="42"/>
      <c r="I612" s="42"/>
      <c r="J612" s="42">
        <v>13207654</v>
      </c>
      <c r="K612" s="42"/>
      <c r="L612" s="44">
        <v>45293</v>
      </c>
      <c r="M612" s="44">
        <v>45293</v>
      </c>
      <c r="N612" s="42" t="s">
        <v>1328</v>
      </c>
      <c r="O612" s="42">
        <v>0</v>
      </c>
      <c r="P612" s="42">
        <v>20036419</v>
      </c>
      <c r="Q612" s="42" t="s">
        <v>2057</v>
      </c>
      <c r="R612" s="45">
        <v>410</v>
      </c>
      <c r="S612" s="42">
        <v>0</v>
      </c>
      <c r="T612" s="47" t="s">
        <v>198</v>
      </c>
      <c r="U612" s="48" t="s">
        <v>199</v>
      </c>
      <c r="V612" s="38"/>
      <c r="W612" s="48" t="s">
        <v>195</v>
      </c>
      <c r="X612" s="38" t="s">
        <v>200</v>
      </c>
      <c r="Y612" s="49" t="s">
        <v>201</v>
      </c>
      <c r="Z612" s="50" t="s">
        <v>2058</v>
      </c>
      <c r="AA612" s="38"/>
      <c r="AB612" s="38"/>
      <c r="AC612" s="38"/>
      <c r="AD612" s="51">
        <v>43</v>
      </c>
      <c r="AE612" s="51">
        <v>43</v>
      </c>
      <c r="AF612" s="48" t="s">
        <v>203</v>
      </c>
      <c r="AG612" s="38" t="s">
        <v>204</v>
      </c>
      <c r="AH612" s="52"/>
      <c r="AI612" s="38"/>
      <c r="AJ612" s="38"/>
    </row>
    <row r="613" spans="1:36" ht="16.2">
      <c r="A613" s="53" t="s">
        <v>238</v>
      </c>
      <c r="B613" s="53">
        <v>589679</v>
      </c>
      <c r="C613" s="53" t="s">
        <v>2045</v>
      </c>
      <c r="D613" s="53">
        <v>13207654</v>
      </c>
      <c r="E613" s="54" t="s">
        <v>2046</v>
      </c>
      <c r="F613" s="53" t="s">
        <v>2059</v>
      </c>
      <c r="G613" s="53" t="s">
        <v>195</v>
      </c>
      <c r="H613" s="53"/>
      <c r="I613" s="53"/>
      <c r="J613" s="53">
        <v>13207654</v>
      </c>
      <c r="K613" s="53"/>
      <c r="L613" s="55">
        <v>45293</v>
      </c>
      <c r="M613" s="55">
        <v>45293</v>
      </c>
      <c r="N613" s="53" t="s">
        <v>1328</v>
      </c>
      <c r="O613" s="53">
        <v>0</v>
      </c>
      <c r="P613" s="53">
        <v>20036419</v>
      </c>
      <c r="Q613" s="53" t="s">
        <v>2060</v>
      </c>
      <c r="R613" s="45">
        <v>410</v>
      </c>
      <c r="S613" s="53">
        <v>0</v>
      </c>
      <c r="T613" s="47" t="s">
        <v>198</v>
      </c>
      <c r="U613" s="48" t="s">
        <v>199</v>
      </c>
      <c r="V613" s="38"/>
      <c r="W613" s="48" t="s">
        <v>195</v>
      </c>
      <c r="X613" s="38" t="s">
        <v>200</v>
      </c>
      <c r="Y613" s="49" t="s">
        <v>201</v>
      </c>
      <c r="Z613" s="50" t="s">
        <v>2061</v>
      </c>
      <c r="AA613" s="38"/>
      <c r="AB613" s="38"/>
      <c r="AC613" s="38"/>
      <c r="AD613" s="51">
        <v>43</v>
      </c>
      <c r="AE613" s="51">
        <v>43</v>
      </c>
      <c r="AF613" s="48" t="s">
        <v>203</v>
      </c>
      <c r="AG613" s="38" t="s">
        <v>204</v>
      </c>
      <c r="AH613" s="52"/>
      <c r="AI613" s="38"/>
      <c r="AJ613" s="38"/>
    </row>
    <row r="614" spans="1:36" ht="16.2">
      <c r="A614" s="42" t="s">
        <v>238</v>
      </c>
      <c r="B614" s="42">
        <v>589679</v>
      </c>
      <c r="C614" s="42" t="s">
        <v>2045</v>
      </c>
      <c r="D614" s="42">
        <v>13207654</v>
      </c>
      <c r="E614" s="43" t="s">
        <v>2046</v>
      </c>
      <c r="F614" s="42" t="s">
        <v>2062</v>
      </c>
      <c r="G614" s="42" t="s">
        <v>195</v>
      </c>
      <c r="H614" s="42"/>
      <c r="I614" s="42"/>
      <c r="J614" s="42">
        <v>13207654</v>
      </c>
      <c r="K614" s="42"/>
      <c r="L614" s="44">
        <v>45293</v>
      </c>
      <c r="M614" s="44">
        <v>45293</v>
      </c>
      <c r="N614" s="42" t="s">
        <v>1328</v>
      </c>
      <c r="O614" s="42">
        <v>0</v>
      </c>
      <c r="P614" s="42">
        <v>20036419</v>
      </c>
      <c r="Q614" s="42" t="s">
        <v>2063</v>
      </c>
      <c r="R614" s="45">
        <v>410</v>
      </c>
      <c r="S614" s="42">
        <v>0</v>
      </c>
      <c r="T614" s="47" t="s">
        <v>198</v>
      </c>
      <c r="U614" s="48" t="s">
        <v>199</v>
      </c>
      <c r="V614" s="38"/>
      <c r="W614" s="48" t="s">
        <v>195</v>
      </c>
      <c r="X614" s="38" t="s">
        <v>200</v>
      </c>
      <c r="Y614" s="49" t="s">
        <v>201</v>
      </c>
      <c r="Z614" s="50" t="s">
        <v>2064</v>
      </c>
      <c r="AA614" s="38"/>
      <c r="AB614" s="38"/>
      <c r="AC614" s="38"/>
      <c r="AD614" s="51">
        <v>43</v>
      </c>
      <c r="AE614" s="51">
        <v>43</v>
      </c>
      <c r="AF614" s="48" t="s">
        <v>203</v>
      </c>
      <c r="AG614" s="38" t="s">
        <v>204</v>
      </c>
      <c r="AH614" s="52"/>
      <c r="AI614" s="38"/>
      <c r="AJ614" s="38"/>
    </row>
    <row r="615" spans="1:36" ht="16.2">
      <c r="A615" s="53" t="s">
        <v>238</v>
      </c>
      <c r="B615" s="53">
        <v>589679</v>
      </c>
      <c r="C615" s="53" t="s">
        <v>2045</v>
      </c>
      <c r="D615" s="53">
        <v>13207654</v>
      </c>
      <c r="E615" s="54" t="s">
        <v>2046</v>
      </c>
      <c r="F615" s="53" t="s">
        <v>2065</v>
      </c>
      <c r="G615" s="53" t="s">
        <v>195</v>
      </c>
      <c r="H615" s="53"/>
      <c r="I615" s="53"/>
      <c r="J615" s="53">
        <v>13207654</v>
      </c>
      <c r="K615" s="53"/>
      <c r="L615" s="55">
        <v>45293</v>
      </c>
      <c r="M615" s="55">
        <v>45293</v>
      </c>
      <c r="N615" s="53" t="s">
        <v>1328</v>
      </c>
      <c r="O615" s="53">
        <v>0</v>
      </c>
      <c r="P615" s="53">
        <v>20036419</v>
      </c>
      <c r="Q615" s="53" t="s">
        <v>2066</v>
      </c>
      <c r="R615" s="45">
        <v>410</v>
      </c>
      <c r="S615" s="53">
        <v>0</v>
      </c>
      <c r="T615" s="47" t="s">
        <v>198</v>
      </c>
      <c r="U615" s="48" t="s">
        <v>199</v>
      </c>
      <c r="V615" s="38"/>
      <c r="W615" s="48" t="s">
        <v>195</v>
      </c>
      <c r="X615" s="38" t="s">
        <v>200</v>
      </c>
      <c r="Y615" s="49" t="s">
        <v>201</v>
      </c>
      <c r="Z615" s="50" t="s">
        <v>2067</v>
      </c>
      <c r="AA615" s="38"/>
      <c r="AB615" s="38"/>
      <c r="AC615" s="38"/>
      <c r="AD615" s="51">
        <v>43</v>
      </c>
      <c r="AE615" s="51">
        <v>43</v>
      </c>
      <c r="AF615" s="48" t="s">
        <v>203</v>
      </c>
      <c r="AG615" s="38" t="s">
        <v>204</v>
      </c>
      <c r="AH615" s="52"/>
      <c r="AI615" s="38"/>
      <c r="AJ615" s="38"/>
    </row>
    <row r="616" spans="1:36" ht="16.2">
      <c r="A616" s="42" t="s">
        <v>238</v>
      </c>
      <c r="B616" s="42">
        <v>589679</v>
      </c>
      <c r="C616" s="42" t="s">
        <v>2045</v>
      </c>
      <c r="D616" s="42">
        <v>13207654</v>
      </c>
      <c r="E616" s="43" t="s">
        <v>2046</v>
      </c>
      <c r="F616" s="42" t="s">
        <v>2068</v>
      </c>
      <c r="G616" s="42" t="s">
        <v>195</v>
      </c>
      <c r="H616" s="42"/>
      <c r="I616" s="42"/>
      <c r="J616" s="42">
        <v>13207654</v>
      </c>
      <c r="K616" s="42"/>
      <c r="L616" s="44">
        <v>45293</v>
      </c>
      <c r="M616" s="44">
        <v>45293</v>
      </c>
      <c r="N616" s="42" t="s">
        <v>1328</v>
      </c>
      <c r="O616" s="42">
        <v>0</v>
      </c>
      <c r="P616" s="42">
        <v>20036419</v>
      </c>
      <c r="Q616" s="42" t="s">
        <v>2069</v>
      </c>
      <c r="R616" s="45">
        <v>410</v>
      </c>
      <c r="S616" s="42">
        <v>0</v>
      </c>
      <c r="T616" s="47" t="s">
        <v>198</v>
      </c>
      <c r="U616" s="48" t="s">
        <v>199</v>
      </c>
      <c r="V616" s="38"/>
      <c r="W616" s="48" t="s">
        <v>195</v>
      </c>
      <c r="X616" s="38" t="s">
        <v>200</v>
      </c>
      <c r="Y616" s="49" t="s">
        <v>201</v>
      </c>
      <c r="Z616" s="50" t="s">
        <v>2070</v>
      </c>
      <c r="AA616" s="38"/>
      <c r="AB616" s="38"/>
      <c r="AC616" s="38"/>
      <c r="AD616" s="51">
        <v>43</v>
      </c>
      <c r="AE616" s="51">
        <v>43</v>
      </c>
      <c r="AF616" s="48" t="s">
        <v>203</v>
      </c>
      <c r="AG616" s="38" t="s">
        <v>204</v>
      </c>
      <c r="AH616" s="52"/>
      <c r="AI616" s="38"/>
      <c r="AJ616" s="38"/>
    </row>
    <row r="617" spans="1:36" ht="16.2">
      <c r="A617" s="53" t="s">
        <v>238</v>
      </c>
      <c r="B617" s="53">
        <v>589679</v>
      </c>
      <c r="C617" s="53" t="s">
        <v>2045</v>
      </c>
      <c r="D617" s="53">
        <v>13207654</v>
      </c>
      <c r="E617" s="54" t="s">
        <v>2046</v>
      </c>
      <c r="F617" s="53" t="s">
        <v>2071</v>
      </c>
      <c r="G617" s="53" t="s">
        <v>195</v>
      </c>
      <c r="H617" s="53"/>
      <c r="I617" s="53"/>
      <c r="J617" s="53">
        <v>13207654</v>
      </c>
      <c r="K617" s="53"/>
      <c r="L617" s="55">
        <v>45293</v>
      </c>
      <c r="M617" s="55">
        <v>45293</v>
      </c>
      <c r="N617" s="53" t="s">
        <v>1328</v>
      </c>
      <c r="O617" s="53">
        <v>0</v>
      </c>
      <c r="P617" s="53">
        <v>20036419</v>
      </c>
      <c r="Q617" s="53" t="s">
        <v>2072</v>
      </c>
      <c r="R617" s="45">
        <v>410</v>
      </c>
      <c r="S617" s="53">
        <v>0</v>
      </c>
      <c r="T617" s="47" t="s">
        <v>198</v>
      </c>
      <c r="U617" s="48" t="s">
        <v>199</v>
      </c>
      <c r="V617" s="38"/>
      <c r="W617" s="48" t="s">
        <v>195</v>
      </c>
      <c r="X617" s="38" t="s">
        <v>200</v>
      </c>
      <c r="Y617" s="49" t="s">
        <v>201</v>
      </c>
      <c r="Z617" s="50" t="s">
        <v>2073</v>
      </c>
      <c r="AA617" s="38"/>
      <c r="AB617" s="38"/>
      <c r="AC617" s="38"/>
      <c r="AD617" s="51">
        <v>43</v>
      </c>
      <c r="AE617" s="51">
        <v>43</v>
      </c>
      <c r="AF617" s="48" t="s">
        <v>203</v>
      </c>
      <c r="AG617" s="38" t="s">
        <v>204</v>
      </c>
      <c r="AH617" s="52"/>
      <c r="AI617" s="38"/>
      <c r="AJ617" s="38"/>
    </row>
    <row r="618" spans="1:36" ht="16.2">
      <c r="A618" s="42" t="s">
        <v>238</v>
      </c>
      <c r="B618" s="42">
        <v>589679</v>
      </c>
      <c r="C618" s="42" t="s">
        <v>2045</v>
      </c>
      <c r="D618" s="42">
        <v>13207654</v>
      </c>
      <c r="E618" s="43" t="s">
        <v>2046</v>
      </c>
      <c r="F618" s="42" t="s">
        <v>2074</v>
      </c>
      <c r="G618" s="42" t="s">
        <v>195</v>
      </c>
      <c r="H618" s="42"/>
      <c r="I618" s="42"/>
      <c r="J618" s="42">
        <v>13207654</v>
      </c>
      <c r="K618" s="42"/>
      <c r="L618" s="44">
        <v>45293</v>
      </c>
      <c r="M618" s="44">
        <v>45293</v>
      </c>
      <c r="N618" s="42" t="s">
        <v>1328</v>
      </c>
      <c r="O618" s="42">
        <v>0</v>
      </c>
      <c r="P618" s="42">
        <v>20036419</v>
      </c>
      <c r="Q618" s="42" t="s">
        <v>2075</v>
      </c>
      <c r="R618" s="45">
        <v>410</v>
      </c>
      <c r="S618" s="42">
        <v>0</v>
      </c>
      <c r="T618" s="47" t="s">
        <v>198</v>
      </c>
      <c r="U618" s="48" t="s">
        <v>199</v>
      </c>
      <c r="V618" s="38"/>
      <c r="W618" s="48" t="s">
        <v>195</v>
      </c>
      <c r="X618" s="38" t="s">
        <v>200</v>
      </c>
      <c r="Y618" s="49" t="s">
        <v>201</v>
      </c>
      <c r="Z618" s="50" t="s">
        <v>2076</v>
      </c>
      <c r="AA618" s="38"/>
      <c r="AB618" s="38"/>
      <c r="AC618" s="38"/>
      <c r="AD618" s="51">
        <v>43</v>
      </c>
      <c r="AE618" s="51">
        <v>43</v>
      </c>
      <c r="AF618" s="48" t="s">
        <v>203</v>
      </c>
      <c r="AG618" s="38" t="s">
        <v>204</v>
      </c>
      <c r="AH618" s="52"/>
      <c r="AI618" s="38"/>
      <c r="AJ618" s="38"/>
    </row>
    <row r="619" spans="1:36" ht="16.2">
      <c r="A619" s="53" t="s">
        <v>238</v>
      </c>
      <c r="B619" s="53">
        <v>589679</v>
      </c>
      <c r="C619" s="53" t="s">
        <v>2045</v>
      </c>
      <c r="D619" s="53">
        <v>13207654</v>
      </c>
      <c r="E619" s="54" t="s">
        <v>2046</v>
      </c>
      <c r="F619" s="53" t="s">
        <v>2077</v>
      </c>
      <c r="G619" s="53" t="s">
        <v>195</v>
      </c>
      <c r="H619" s="53"/>
      <c r="I619" s="53"/>
      <c r="J619" s="53">
        <v>13207654</v>
      </c>
      <c r="K619" s="53"/>
      <c r="L619" s="55">
        <v>45293</v>
      </c>
      <c r="M619" s="55">
        <v>45293</v>
      </c>
      <c r="N619" s="53" t="s">
        <v>1328</v>
      </c>
      <c r="O619" s="53">
        <v>0</v>
      </c>
      <c r="P619" s="53">
        <v>20036419</v>
      </c>
      <c r="Q619" s="53" t="s">
        <v>2078</v>
      </c>
      <c r="R619" s="45">
        <v>410</v>
      </c>
      <c r="S619" s="53">
        <v>0</v>
      </c>
      <c r="T619" s="47" t="s">
        <v>198</v>
      </c>
      <c r="U619" s="48" t="s">
        <v>199</v>
      </c>
      <c r="V619" s="38"/>
      <c r="W619" s="48" t="s">
        <v>195</v>
      </c>
      <c r="X619" s="38" t="s">
        <v>200</v>
      </c>
      <c r="Y619" s="49" t="s">
        <v>201</v>
      </c>
      <c r="Z619" s="50" t="s">
        <v>2079</v>
      </c>
      <c r="AA619" s="38"/>
      <c r="AB619" s="38"/>
      <c r="AC619" s="38"/>
      <c r="AD619" s="51">
        <v>43</v>
      </c>
      <c r="AE619" s="51">
        <v>43</v>
      </c>
      <c r="AF619" s="48" t="s">
        <v>203</v>
      </c>
      <c r="AG619" s="38" t="s">
        <v>204</v>
      </c>
      <c r="AH619" s="52"/>
      <c r="AI619" s="38"/>
      <c r="AJ619" s="38"/>
    </row>
    <row r="620" spans="1:36" ht="16.2">
      <c r="A620" s="42" t="s">
        <v>238</v>
      </c>
      <c r="B620" s="42">
        <v>589679</v>
      </c>
      <c r="C620" s="42" t="s">
        <v>2045</v>
      </c>
      <c r="D620" s="42">
        <v>13207654</v>
      </c>
      <c r="E620" s="43" t="s">
        <v>2046</v>
      </c>
      <c r="F620" s="42" t="s">
        <v>299</v>
      </c>
      <c r="G620" s="42" t="s">
        <v>195</v>
      </c>
      <c r="H620" s="42"/>
      <c r="I620" s="42"/>
      <c r="J620" s="42">
        <v>13207654</v>
      </c>
      <c r="K620" s="42"/>
      <c r="L620" s="44">
        <v>45293</v>
      </c>
      <c r="M620" s="44">
        <v>45293</v>
      </c>
      <c r="N620" s="42" t="s">
        <v>1328</v>
      </c>
      <c r="O620" s="42">
        <v>0</v>
      </c>
      <c r="P620" s="42">
        <v>20036419</v>
      </c>
      <c r="Q620" s="42" t="s">
        <v>2080</v>
      </c>
      <c r="R620" s="45">
        <v>410</v>
      </c>
      <c r="S620" s="42">
        <v>0</v>
      </c>
      <c r="T620" s="47" t="s">
        <v>198</v>
      </c>
      <c r="U620" s="48" t="s">
        <v>199</v>
      </c>
      <c r="V620" s="38"/>
      <c r="W620" s="48" t="s">
        <v>195</v>
      </c>
      <c r="X620" s="38" t="s">
        <v>200</v>
      </c>
      <c r="Y620" s="49" t="s">
        <v>201</v>
      </c>
      <c r="Z620" s="50" t="s">
        <v>2081</v>
      </c>
      <c r="AA620" s="38"/>
      <c r="AB620" s="38"/>
      <c r="AC620" s="38"/>
      <c r="AD620" s="51">
        <v>43</v>
      </c>
      <c r="AE620" s="51">
        <v>43</v>
      </c>
      <c r="AF620" s="48" t="s">
        <v>203</v>
      </c>
      <c r="AG620" s="38" t="s">
        <v>204</v>
      </c>
      <c r="AH620" s="52"/>
      <c r="AI620" s="38"/>
      <c r="AJ620" s="38"/>
    </row>
    <row r="621" spans="1:36" ht="16.2">
      <c r="A621" s="53" t="s">
        <v>302</v>
      </c>
      <c r="B621" s="53">
        <v>690033</v>
      </c>
      <c r="C621" s="53" t="s">
        <v>2082</v>
      </c>
      <c r="D621" s="53">
        <v>13207598</v>
      </c>
      <c r="E621" s="54" t="s">
        <v>2083</v>
      </c>
      <c r="F621" s="53" t="s">
        <v>2084</v>
      </c>
      <c r="G621" s="53" t="s">
        <v>195</v>
      </c>
      <c r="H621" s="53"/>
      <c r="I621" s="53"/>
      <c r="J621" s="53">
        <v>13207598</v>
      </c>
      <c r="K621" s="53"/>
      <c r="L621" s="55">
        <v>45293</v>
      </c>
      <c r="M621" s="55">
        <v>45293</v>
      </c>
      <c r="N621" s="53" t="s">
        <v>306</v>
      </c>
      <c r="O621" s="53">
        <v>0</v>
      </c>
      <c r="P621" s="53">
        <v>20009855</v>
      </c>
      <c r="Q621" s="53" t="s">
        <v>2085</v>
      </c>
      <c r="R621" s="45">
        <v>410</v>
      </c>
      <c r="S621" s="53">
        <v>0</v>
      </c>
      <c r="T621" s="47" t="s">
        <v>198</v>
      </c>
      <c r="U621" s="48" t="s">
        <v>199</v>
      </c>
      <c r="V621" s="38"/>
      <c r="W621" s="48" t="s">
        <v>195</v>
      </c>
      <c r="X621" s="38" t="s">
        <v>308</v>
      </c>
      <c r="Y621" s="49" t="s">
        <v>309</v>
      </c>
      <c r="Z621" s="50" t="s">
        <v>2086</v>
      </c>
      <c r="AA621" s="38"/>
      <c r="AB621" s="38"/>
      <c r="AC621" s="38"/>
      <c r="AD621" s="51">
        <v>146</v>
      </c>
      <c r="AE621" s="51">
        <v>146</v>
      </c>
      <c r="AF621" s="48" t="s">
        <v>203</v>
      </c>
      <c r="AG621" s="38" t="s">
        <v>204</v>
      </c>
      <c r="AH621" s="52"/>
      <c r="AI621" s="38"/>
      <c r="AJ621" s="38"/>
    </row>
    <row r="622" spans="1:36" ht="16.2">
      <c r="A622" s="42" t="s">
        <v>311</v>
      </c>
      <c r="B622" s="42">
        <v>698414</v>
      </c>
      <c r="C622" s="42" t="s">
        <v>2087</v>
      </c>
      <c r="D622" s="42">
        <v>13207621</v>
      </c>
      <c r="E622" s="43" t="s">
        <v>2083</v>
      </c>
      <c r="F622" s="42" t="s">
        <v>2088</v>
      </c>
      <c r="G622" s="42" t="s">
        <v>195</v>
      </c>
      <c r="H622" s="42"/>
      <c r="I622" s="42"/>
      <c r="J622" s="42">
        <v>13207621</v>
      </c>
      <c r="K622" s="42"/>
      <c r="L622" s="44">
        <v>45293</v>
      </c>
      <c r="M622" s="44">
        <v>45293</v>
      </c>
      <c r="N622" s="42" t="s">
        <v>315</v>
      </c>
      <c r="O622" s="42">
        <v>0</v>
      </c>
      <c r="P622" s="42">
        <v>20009908</v>
      </c>
      <c r="Q622" s="42" t="s">
        <v>2089</v>
      </c>
      <c r="R622" s="45">
        <v>410</v>
      </c>
      <c r="S622" s="42">
        <v>0</v>
      </c>
      <c r="T622" s="47" t="s">
        <v>198</v>
      </c>
      <c r="U622" s="48" t="s">
        <v>199</v>
      </c>
      <c r="V622" s="38"/>
      <c r="W622" s="48" t="s">
        <v>195</v>
      </c>
      <c r="X622" s="38" t="s">
        <v>308</v>
      </c>
      <c r="Y622" s="49" t="s">
        <v>309</v>
      </c>
      <c r="Z622" s="50" t="s">
        <v>2090</v>
      </c>
      <c r="AA622" s="38"/>
      <c r="AB622" s="38"/>
      <c r="AC622" s="38"/>
      <c r="AD622" s="51">
        <v>57</v>
      </c>
      <c r="AE622" s="51">
        <v>57</v>
      </c>
      <c r="AF622" s="48" t="s">
        <v>203</v>
      </c>
      <c r="AG622" s="38" t="s">
        <v>204</v>
      </c>
      <c r="AH622" s="52"/>
      <c r="AI622" s="38"/>
      <c r="AJ622" s="38"/>
    </row>
    <row r="623" spans="1:36" ht="16.2">
      <c r="A623" s="53" t="s">
        <v>238</v>
      </c>
      <c r="B623" s="53">
        <v>508169</v>
      </c>
      <c r="C623" s="53" t="s">
        <v>2091</v>
      </c>
      <c r="D623" s="53">
        <v>13207648</v>
      </c>
      <c r="E623" s="54" t="s">
        <v>2092</v>
      </c>
      <c r="F623" s="53" t="s">
        <v>2093</v>
      </c>
      <c r="G623" s="53" t="s">
        <v>195</v>
      </c>
      <c r="H623" s="53"/>
      <c r="I623" s="53"/>
      <c r="J623" s="53">
        <v>13207648</v>
      </c>
      <c r="K623" s="53"/>
      <c r="L623" s="55">
        <v>45293</v>
      </c>
      <c r="M623" s="55">
        <v>45293</v>
      </c>
      <c r="N623" s="53" t="s">
        <v>306</v>
      </c>
      <c r="O623" s="53">
        <v>0</v>
      </c>
      <c r="P623" s="53">
        <v>20009855</v>
      </c>
      <c r="Q623" s="53" t="s">
        <v>2094</v>
      </c>
      <c r="R623" s="45">
        <v>410</v>
      </c>
      <c r="S623" s="53">
        <v>0</v>
      </c>
      <c r="T623" s="47" t="s">
        <v>198</v>
      </c>
      <c r="U623" s="48" t="s">
        <v>199</v>
      </c>
      <c r="V623" s="38"/>
      <c r="W623" s="48" t="s">
        <v>195</v>
      </c>
      <c r="X623" s="38" t="s">
        <v>200</v>
      </c>
      <c r="Y623" s="49" t="s">
        <v>201</v>
      </c>
      <c r="Z623" s="50" t="s">
        <v>2095</v>
      </c>
      <c r="AA623" s="38"/>
      <c r="AB623" s="38"/>
      <c r="AC623" s="38"/>
      <c r="AD623" s="51">
        <v>146</v>
      </c>
      <c r="AE623" s="51">
        <v>146</v>
      </c>
      <c r="AF623" s="48" t="s">
        <v>203</v>
      </c>
      <c r="AG623" s="38" t="s">
        <v>204</v>
      </c>
      <c r="AH623" s="52"/>
      <c r="AI623" s="38"/>
      <c r="AJ623" s="38"/>
    </row>
    <row r="624" spans="1:36" ht="16.2">
      <c r="A624" s="42" t="s">
        <v>238</v>
      </c>
      <c r="B624" s="42">
        <v>508169</v>
      </c>
      <c r="C624" s="42" t="s">
        <v>2091</v>
      </c>
      <c r="D624" s="42">
        <v>13207648</v>
      </c>
      <c r="E624" s="43" t="s">
        <v>2092</v>
      </c>
      <c r="F624" s="42" t="s">
        <v>2096</v>
      </c>
      <c r="G624" s="42" t="s">
        <v>195</v>
      </c>
      <c r="H624" s="42"/>
      <c r="I624" s="42"/>
      <c r="J624" s="42">
        <v>13207648</v>
      </c>
      <c r="K624" s="42"/>
      <c r="L624" s="44">
        <v>45293</v>
      </c>
      <c r="M624" s="44">
        <v>45293</v>
      </c>
      <c r="N624" s="42" t="s">
        <v>306</v>
      </c>
      <c r="O624" s="42">
        <v>0</v>
      </c>
      <c r="P624" s="42">
        <v>20009855</v>
      </c>
      <c r="Q624" s="42" t="s">
        <v>2097</v>
      </c>
      <c r="R624" s="45">
        <v>410</v>
      </c>
      <c r="S624" s="42">
        <v>0</v>
      </c>
      <c r="T624" s="47" t="s">
        <v>198</v>
      </c>
      <c r="U624" s="48" t="s">
        <v>199</v>
      </c>
      <c r="V624" s="38"/>
      <c r="W624" s="48" t="s">
        <v>195</v>
      </c>
      <c r="X624" s="38" t="s">
        <v>200</v>
      </c>
      <c r="Y624" s="49" t="s">
        <v>201</v>
      </c>
      <c r="Z624" s="50" t="s">
        <v>2098</v>
      </c>
      <c r="AA624" s="38"/>
      <c r="AB624" s="38"/>
      <c r="AC624" s="38"/>
      <c r="AD624" s="51">
        <v>146</v>
      </c>
      <c r="AE624" s="51">
        <v>146</v>
      </c>
      <c r="AF624" s="48" t="s">
        <v>203</v>
      </c>
      <c r="AG624" s="38" t="s">
        <v>204</v>
      </c>
      <c r="AH624" s="52"/>
      <c r="AI624" s="38"/>
      <c r="AJ624" s="38"/>
    </row>
    <row r="625" spans="1:36" ht="16.2">
      <c r="A625" s="53" t="s">
        <v>238</v>
      </c>
      <c r="B625" s="53">
        <v>508169</v>
      </c>
      <c r="C625" s="53" t="s">
        <v>2091</v>
      </c>
      <c r="D625" s="53">
        <v>13207648</v>
      </c>
      <c r="E625" s="54" t="s">
        <v>2092</v>
      </c>
      <c r="F625" s="53" t="s">
        <v>1273</v>
      </c>
      <c r="G625" s="53" t="s">
        <v>195</v>
      </c>
      <c r="H625" s="53"/>
      <c r="I625" s="53"/>
      <c r="J625" s="53">
        <v>13207648</v>
      </c>
      <c r="K625" s="53"/>
      <c r="L625" s="55">
        <v>45293</v>
      </c>
      <c r="M625" s="55">
        <v>45293</v>
      </c>
      <c r="N625" s="53" t="s">
        <v>306</v>
      </c>
      <c r="O625" s="53">
        <v>0</v>
      </c>
      <c r="P625" s="53">
        <v>20009855</v>
      </c>
      <c r="Q625" s="53" t="s">
        <v>2099</v>
      </c>
      <c r="R625" s="45">
        <v>410</v>
      </c>
      <c r="S625" s="53">
        <v>0</v>
      </c>
      <c r="T625" s="47" t="s">
        <v>198</v>
      </c>
      <c r="U625" s="48" t="s">
        <v>199</v>
      </c>
      <c r="V625" s="38"/>
      <c r="W625" s="48" t="s">
        <v>195</v>
      </c>
      <c r="X625" s="38" t="s">
        <v>200</v>
      </c>
      <c r="Y625" s="49" t="s">
        <v>201</v>
      </c>
      <c r="Z625" s="50" t="s">
        <v>2100</v>
      </c>
      <c r="AA625" s="38"/>
      <c r="AB625" s="38"/>
      <c r="AC625" s="38"/>
      <c r="AD625" s="51">
        <v>146</v>
      </c>
      <c r="AE625" s="51">
        <v>146</v>
      </c>
      <c r="AF625" s="48" t="s">
        <v>203</v>
      </c>
      <c r="AG625" s="38" t="s">
        <v>204</v>
      </c>
      <c r="AH625" s="52"/>
      <c r="AI625" s="38"/>
      <c r="AJ625" s="38"/>
    </row>
    <row r="626" spans="1:36" ht="16.2">
      <c r="A626" s="42" t="s">
        <v>238</v>
      </c>
      <c r="B626" s="42">
        <v>508169</v>
      </c>
      <c r="C626" s="42" t="s">
        <v>2091</v>
      </c>
      <c r="D626" s="42">
        <v>13207648</v>
      </c>
      <c r="E626" s="43" t="s">
        <v>2092</v>
      </c>
      <c r="F626" s="42" t="s">
        <v>2101</v>
      </c>
      <c r="G626" s="42" t="s">
        <v>195</v>
      </c>
      <c r="H626" s="42"/>
      <c r="I626" s="42"/>
      <c r="J626" s="42">
        <v>13207648</v>
      </c>
      <c r="K626" s="42"/>
      <c r="L626" s="44">
        <v>45293</v>
      </c>
      <c r="M626" s="44">
        <v>45293</v>
      </c>
      <c r="N626" s="42" t="s">
        <v>306</v>
      </c>
      <c r="O626" s="42">
        <v>0</v>
      </c>
      <c r="P626" s="42">
        <v>20009855</v>
      </c>
      <c r="Q626" s="42" t="s">
        <v>2102</v>
      </c>
      <c r="R626" s="45">
        <v>410</v>
      </c>
      <c r="S626" s="42">
        <v>0</v>
      </c>
      <c r="T626" s="47" t="s">
        <v>198</v>
      </c>
      <c r="U626" s="48" t="s">
        <v>199</v>
      </c>
      <c r="V626" s="38"/>
      <c r="W626" s="48" t="s">
        <v>195</v>
      </c>
      <c r="X626" s="38" t="s">
        <v>200</v>
      </c>
      <c r="Y626" s="49" t="s">
        <v>201</v>
      </c>
      <c r="Z626" s="50" t="s">
        <v>2103</v>
      </c>
      <c r="AA626" s="38"/>
      <c r="AB626" s="38"/>
      <c r="AC626" s="38"/>
      <c r="AD626" s="51">
        <v>146</v>
      </c>
      <c r="AE626" s="51">
        <v>146</v>
      </c>
      <c r="AF626" s="48" t="s">
        <v>203</v>
      </c>
      <c r="AG626" s="38" t="s">
        <v>204</v>
      </c>
      <c r="AH626" s="52"/>
      <c r="AI626" s="38"/>
      <c r="AJ626" s="38"/>
    </row>
    <row r="627" spans="1:36" ht="16.2">
      <c r="A627" s="53" t="s">
        <v>238</v>
      </c>
      <c r="B627" s="53">
        <v>508169</v>
      </c>
      <c r="C627" s="53" t="s">
        <v>2091</v>
      </c>
      <c r="D627" s="53">
        <v>13207648</v>
      </c>
      <c r="E627" s="54" t="s">
        <v>2092</v>
      </c>
      <c r="F627" s="53" t="s">
        <v>293</v>
      </c>
      <c r="G627" s="53" t="s">
        <v>195</v>
      </c>
      <c r="H627" s="53"/>
      <c r="I627" s="53"/>
      <c r="J627" s="53">
        <v>13207648</v>
      </c>
      <c r="K627" s="53"/>
      <c r="L627" s="55">
        <v>45293</v>
      </c>
      <c r="M627" s="55">
        <v>45293</v>
      </c>
      <c r="N627" s="53" t="s">
        <v>306</v>
      </c>
      <c r="O627" s="53">
        <v>0</v>
      </c>
      <c r="P627" s="53">
        <v>20009855</v>
      </c>
      <c r="Q627" s="53" t="s">
        <v>2104</v>
      </c>
      <c r="R627" s="45">
        <v>410</v>
      </c>
      <c r="S627" s="56">
        <v>0.01</v>
      </c>
      <c r="T627" s="47" t="s">
        <v>198</v>
      </c>
      <c r="U627" s="48" t="s">
        <v>199</v>
      </c>
      <c r="V627" s="38"/>
      <c r="W627" s="48" t="s">
        <v>195</v>
      </c>
      <c r="X627" s="38" t="s">
        <v>200</v>
      </c>
      <c r="Y627" s="49" t="s">
        <v>201</v>
      </c>
      <c r="Z627" s="50" t="s">
        <v>2105</v>
      </c>
      <c r="AA627" s="38"/>
      <c r="AB627" s="38"/>
      <c r="AC627" s="38"/>
      <c r="AD627" s="51">
        <v>146</v>
      </c>
      <c r="AE627" s="51">
        <v>146</v>
      </c>
      <c r="AF627" s="48" t="s">
        <v>203</v>
      </c>
      <c r="AG627" s="38" t="s">
        <v>204</v>
      </c>
      <c r="AH627" s="52"/>
      <c r="AI627" s="38"/>
      <c r="AJ627" s="38"/>
    </row>
    <row r="628" spans="1:36" ht="16.2">
      <c r="A628" s="42" t="s">
        <v>238</v>
      </c>
      <c r="B628" s="42">
        <v>508169</v>
      </c>
      <c r="C628" s="42" t="s">
        <v>2091</v>
      </c>
      <c r="D628" s="42">
        <v>13207648</v>
      </c>
      <c r="E628" s="43" t="s">
        <v>2092</v>
      </c>
      <c r="F628" s="42" t="s">
        <v>2106</v>
      </c>
      <c r="G628" s="42" t="s">
        <v>195</v>
      </c>
      <c r="H628" s="42"/>
      <c r="I628" s="42"/>
      <c r="J628" s="42">
        <v>13207648</v>
      </c>
      <c r="K628" s="42"/>
      <c r="L628" s="44">
        <v>45293</v>
      </c>
      <c r="M628" s="44">
        <v>45293</v>
      </c>
      <c r="N628" s="42" t="s">
        <v>306</v>
      </c>
      <c r="O628" s="42">
        <v>0</v>
      </c>
      <c r="P628" s="42">
        <v>20009855</v>
      </c>
      <c r="Q628" s="42" t="s">
        <v>2107</v>
      </c>
      <c r="R628" s="45">
        <v>410</v>
      </c>
      <c r="S628" s="46">
        <v>0.01</v>
      </c>
      <c r="T628" s="47" t="s">
        <v>198</v>
      </c>
      <c r="U628" s="48" t="s">
        <v>199</v>
      </c>
      <c r="V628" s="38"/>
      <c r="W628" s="48" t="s">
        <v>195</v>
      </c>
      <c r="X628" s="38" t="s">
        <v>200</v>
      </c>
      <c r="Y628" s="49" t="s">
        <v>201</v>
      </c>
      <c r="Z628" s="50" t="s">
        <v>2108</v>
      </c>
      <c r="AA628" s="38"/>
      <c r="AB628" s="38"/>
      <c r="AC628" s="38"/>
      <c r="AD628" s="51">
        <v>146</v>
      </c>
      <c r="AE628" s="51">
        <v>146</v>
      </c>
      <c r="AF628" s="48" t="s">
        <v>203</v>
      </c>
      <c r="AG628" s="38" t="s">
        <v>204</v>
      </c>
      <c r="AH628" s="52"/>
      <c r="AI628" s="38"/>
      <c r="AJ628" s="38"/>
    </row>
    <row r="629" spans="1:36" ht="16.2">
      <c r="A629" s="53" t="s">
        <v>238</v>
      </c>
      <c r="B629" s="53">
        <v>508169</v>
      </c>
      <c r="C629" s="53" t="s">
        <v>2091</v>
      </c>
      <c r="D629" s="53">
        <v>13207648</v>
      </c>
      <c r="E629" s="54" t="s">
        <v>2092</v>
      </c>
      <c r="F629" s="53" t="s">
        <v>2109</v>
      </c>
      <c r="G629" s="53" t="s">
        <v>195</v>
      </c>
      <c r="H629" s="53"/>
      <c r="I629" s="53"/>
      <c r="J629" s="53">
        <v>13207648</v>
      </c>
      <c r="K629" s="53"/>
      <c r="L629" s="55">
        <v>45293</v>
      </c>
      <c r="M629" s="55">
        <v>45293</v>
      </c>
      <c r="N629" s="53" t="s">
        <v>306</v>
      </c>
      <c r="O629" s="53">
        <v>0</v>
      </c>
      <c r="P629" s="53">
        <v>20009855</v>
      </c>
      <c r="Q629" s="53" t="s">
        <v>2110</v>
      </c>
      <c r="R629" s="45">
        <v>410</v>
      </c>
      <c r="S629" s="56">
        <v>0.01</v>
      </c>
      <c r="T629" s="47" t="s">
        <v>198</v>
      </c>
      <c r="U629" s="48" t="s">
        <v>199</v>
      </c>
      <c r="V629" s="38"/>
      <c r="W629" s="48" t="s">
        <v>195</v>
      </c>
      <c r="X629" s="38" t="s">
        <v>200</v>
      </c>
      <c r="Y629" s="49" t="s">
        <v>201</v>
      </c>
      <c r="Z629" s="50" t="s">
        <v>2111</v>
      </c>
      <c r="AA629" s="38"/>
      <c r="AB629" s="38"/>
      <c r="AC629" s="38"/>
      <c r="AD629" s="51">
        <v>146</v>
      </c>
      <c r="AE629" s="51">
        <v>146</v>
      </c>
      <c r="AF629" s="48" t="s">
        <v>203</v>
      </c>
      <c r="AG629" s="38" t="s">
        <v>204</v>
      </c>
      <c r="AH629" s="52"/>
      <c r="AI629" s="38"/>
      <c r="AJ629" s="38"/>
    </row>
    <row r="630" spans="1:36" ht="16.2">
      <c r="A630" s="42" t="s">
        <v>238</v>
      </c>
      <c r="B630" s="42">
        <v>508169</v>
      </c>
      <c r="C630" s="42" t="s">
        <v>2091</v>
      </c>
      <c r="D630" s="42">
        <v>13207648</v>
      </c>
      <c r="E630" s="43" t="s">
        <v>2092</v>
      </c>
      <c r="F630" s="42" t="s">
        <v>2112</v>
      </c>
      <c r="G630" s="42" t="s">
        <v>195</v>
      </c>
      <c r="H630" s="42"/>
      <c r="I630" s="42"/>
      <c r="J630" s="42">
        <v>13207648</v>
      </c>
      <c r="K630" s="42"/>
      <c r="L630" s="44">
        <v>45293</v>
      </c>
      <c r="M630" s="44">
        <v>45293</v>
      </c>
      <c r="N630" s="42" t="s">
        <v>306</v>
      </c>
      <c r="O630" s="42">
        <v>0</v>
      </c>
      <c r="P630" s="42">
        <v>20009855</v>
      </c>
      <c r="Q630" s="42" t="s">
        <v>2113</v>
      </c>
      <c r="R630" s="45">
        <v>410</v>
      </c>
      <c r="S630" s="46">
        <v>0.01</v>
      </c>
      <c r="T630" s="47" t="s">
        <v>198</v>
      </c>
      <c r="U630" s="48" t="s">
        <v>199</v>
      </c>
      <c r="V630" s="38"/>
      <c r="W630" s="48" t="s">
        <v>195</v>
      </c>
      <c r="X630" s="38" t="s">
        <v>200</v>
      </c>
      <c r="Y630" s="49" t="s">
        <v>201</v>
      </c>
      <c r="Z630" s="50" t="s">
        <v>2114</v>
      </c>
      <c r="AA630" s="38"/>
      <c r="AB630" s="38"/>
      <c r="AC630" s="38"/>
      <c r="AD630" s="51">
        <v>146</v>
      </c>
      <c r="AE630" s="51">
        <v>146</v>
      </c>
      <c r="AF630" s="48" t="s">
        <v>203</v>
      </c>
      <c r="AG630" s="38" t="s">
        <v>204</v>
      </c>
      <c r="AH630" s="52"/>
      <c r="AI630" s="38"/>
      <c r="AJ630" s="38"/>
    </row>
    <row r="631" spans="1:36" ht="16.2">
      <c r="A631" s="53" t="s">
        <v>238</v>
      </c>
      <c r="B631" s="53">
        <v>508169</v>
      </c>
      <c r="C631" s="53" t="s">
        <v>2091</v>
      </c>
      <c r="D631" s="53">
        <v>13207648</v>
      </c>
      <c r="E631" s="54" t="s">
        <v>2092</v>
      </c>
      <c r="F631" s="53" t="s">
        <v>2115</v>
      </c>
      <c r="G631" s="53" t="s">
        <v>195</v>
      </c>
      <c r="H631" s="53"/>
      <c r="I631" s="53"/>
      <c r="J631" s="53">
        <v>13207648</v>
      </c>
      <c r="K631" s="53"/>
      <c r="L631" s="55">
        <v>45293</v>
      </c>
      <c r="M631" s="55">
        <v>45293</v>
      </c>
      <c r="N631" s="53" t="s">
        <v>306</v>
      </c>
      <c r="O631" s="53">
        <v>0</v>
      </c>
      <c r="P631" s="53">
        <v>20009855</v>
      </c>
      <c r="Q631" s="53" t="s">
        <v>2116</v>
      </c>
      <c r="R631" s="45">
        <v>410</v>
      </c>
      <c r="S631" s="56">
        <v>0.01</v>
      </c>
      <c r="T631" s="47" t="s">
        <v>198</v>
      </c>
      <c r="U631" s="48" t="s">
        <v>199</v>
      </c>
      <c r="V631" s="38"/>
      <c r="W631" s="48" t="s">
        <v>195</v>
      </c>
      <c r="X631" s="38" t="s">
        <v>200</v>
      </c>
      <c r="Y631" s="49" t="s">
        <v>201</v>
      </c>
      <c r="Z631" s="50" t="s">
        <v>2117</v>
      </c>
      <c r="AA631" s="38"/>
      <c r="AB631" s="38"/>
      <c r="AC631" s="38"/>
      <c r="AD631" s="51">
        <v>146</v>
      </c>
      <c r="AE631" s="51">
        <v>146</v>
      </c>
      <c r="AF631" s="48" t="s">
        <v>203</v>
      </c>
      <c r="AG631" s="38" t="s">
        <v>204</v>
      </c>
      <c r="AH631" s="52"/>
      <c r="AI631" s="38"/>
      <c r="AJ631" s="38"/>
    </row>
    <row r="632" spans="1:36" ht="16.2">
      <c r="A632" s="42" t="s">
        <v>238</v>
      </c>
      <c r="B632" s="42">
        <v>508169</v>
      </c>
      <c r="C632" s="42" t="s">
        <v>2091</v>
      </c>
      <c r="D632" s="42">
        <v>13207648</v>
      </c>
      <c r="E632" s="43" t="s">
        <v>2092</v>
      </c>
      <c r="F632" s="42" t="s">
        <v>2118</v>
      </c>
      <c r="G632" s="42" t="s">
        <v>195</v>
      </c>
      <c r="H632" s="42"/>
      <c r="I632" s="42"/>
      <c r="J632" s="42">
        <v>13207648</v>
      </c>
      <c r="K632" s="42"/>
      <c r="L632" s="44">
        <v>45293</v>
      </c>
      <c r="M632" s="44">
        <v>45293</v>
      </c>
      <c r="N632" s="42" t="s">
        <v>306</v>
      </c>
      <c r="O632" s="42">
        <v>0</v>
      </c>
      <c r="P632" s="42">
        <v>20009855</v>
      </c>
      <c r="Q632" s="42" t="s">
        <v>2119</v>
      </c>
      <c r="R632" s="45">
        <v>410</v>
      </c>
      <c r="S632" s="46">
        <v>0.01</v>
      </c>
      <c r="T632" s="47" t="s">
        <v>198</v>
      </c>
      <c r="U632" s="48" t="s">
        <v>199</v>
      </c>
      <c r="V632" s="38"/>
      <c r="W632" s="48" t="s">
        <v>195</v>
      </c>
      <c r="X632" s="38" t="s">
        <v>200</v>
      </c>
      <c r="Y632" s="49" t="s">
        <v>201</v>
      </c>
      <c r="Z632" s="50" t="s">
        <v>2120</v>
      </c>
      <c r="AA632" s="38"/>
      <c r="AB632" s="38"/>
      <c r="AC632" s="38"/>
      <c r="AD632" s="51">
        <v>146</v>
      </c>
      <c r="AE632" s="51">
        <v>146</v>
      </c>
      <c r="AF632" s="48" t="s">
        <v>203</v>
      </c>
      <c r="AG632" s="38" t="s">
        <v>204</v>
      </c>
      <c r="AH632" s="52"/>
      <c r="AI632" s="38"/>
      <c r="AJ632" s="38"/>
    </row>
    <row r="633" spans="1:36" ht="16.2">
      <c r="A633" s="53" t="s">
        <v>238</v>
      </c>
      <c r="B633" s="53">
        <v>508169</v>
      </c>
      <c r="C633" s="53" t="s">
        <v>2091</v>
      </c>
      <c r="D633" s="53">
        <v>13207648</v>
      </c>
      <c r="E633" s="54" t="s">
        <v>2092</v>
      </c>
      <c r="F633" s="53" t="s">
        <v>2121</v>
      </c>
      <c r="G633" s="53" t="s">
        <v>195</v>
      </c>
      <c r="H633" s="53"/>
      <c r="I633" s="53"/>
      <c r="J633" s="53">
        <v>13207648</v>
      </c>
      <c r="K633" s="53"/>
      <c r="L633" s="55">
        <v>45293</v>
      </c>
      <c r="M633" s="55">
        <v>45293</v>
      </c>
      <c r="N633" s="53" t="s">
        <v>306</v>
      </c>
      <c r="O633" s="53">
        <v>0</v>
      </c>
      <c r="P633" s="53">
        <v>20009855</v>
      </c>
      <c r="Q633" s="53" t="s">
        <v>2122</v>
      </c>
      <c r="R633" s="45">
        <v>410</v>
      </c>
      <c r="S633" s="56">
        <v>0.01</v>
      </c>
      <c r="T633" s="47" t="s">
        <v>198</v>
      </c>
      <c r="U633" s="48" t="s">
        <v>199</v>
      </c>
      <c r="V633" s="38"/>
      <c r="W633" s="48" t="s">
        <v>195</v>
      </c>
      <c r="X633" s="38" t="s">
        <v>200</v>
      </c>
      <c r="Y633" s="49" t="s">
        <v>201</v>
      </c>
      <c r="Z633" s="50" t="s">
        <v>2123</v>
      </c>
      <c r="AA633" s="38"/>
      <c r="AB633" s="38"/>
      <c r="AC633" s="38"/>
      <c r="AD633" s="51">
        <v>146</v>
      </c>
      <c r="AE633" s="51">
        <v>146</v>
      </c>
      <c r="AF633" s="48" t="s">
        <v>203</v>
      </c>
      <c r="AG633" s="38" t="s">
        <v>204</v>
      </c>
      <c r="AH633" s="52"/>
      <c r="AI633" s="38"/>
      <c r="AJ633" s="38"/>
    </row>
    <row r="634" spans="1:36" ht="16.2">
      <c r="A634" s="42" t="s">
        <v>238</v>
      </c>
      <c r="B634" s="42">
        <v>508169</v>
      </c>
      <c r="C634" s="42" t="s">
        <v>2091</v>
      </c>
      <c r="D634" s="42">
        <v>13207648</v>
      </c>
      <c r="E634" s="43" t="s">
        <v>2092</v>
      </c>
      <c r="F634" s="42" t="s">
        <v>2124</v>
      </c>
      <c r="G634" s="42" t="s">
        <v>195</v>
      </c>
      <c r="H634" s="42"/>
      <c r="I634" s="42"/>
      <c r="J634" s="42">
        <v>13207648</v>
      </c>
      <c r="K634" s="42"/>
      <c r="L634" s="44">
        <v>45293</v>
      </c>
      <c r="M634" s="44">
        <v>45293</v>
      </c>
      <c r="N634" s="42" t="s">
        <v>306</v>
      </c>
      <c r="O634" s="42">
        <v>0</v>
      </c>
      <c r="P634" s="42">
        <v>20009855</v>
      </c>
      <c r="Q634" s="42" t="s">
        <v>2125</v>
      </c>
      <c r="R634" s="45">
        <v>410</v>
      </c>
      <c r="S634" s="46">
        <v>0.01</v>
      </c>
      <c r="T634" s="47" t="s">
        <v>198</v>
      </c>
      <c r="U634" s="48" t="s">
        <v>199</v>
      </c>
      <c r="V634" s="38"/>
      <c r="W634" s="48" t="s">
        <v>195</v>
      </c>
      <c r="X634" s="38" t="s">
        <v>200</v>
      </c>
      <c r="Y634" s="49" t="s">
        <v>201</v>
      </c>
      <c r="Z634" s="50" t="s">
        <v>2126</v>
      </c>
      <c r="AA634" s="38"/>
      <c r="AB634" s="38"/>
      <c r="AC634" s="38"/>
      <c r="AD634" s="51">
        <v>146</v>
      </c>
      <c r="AE634" s="51">
        <v>146</v>
      </c>
      <c r="AF634" s="48" t="s">
        <v>203</v>
      </c>
      <c r="AG634" s="38" t="s">
        <v>204</v>
      </c>
      <c r="AH634" s="52"/>
      <c r="AI634" s="38"/>
      <c r="AJ634" s="38"/>
    </row>
    <row r="635" spans="1:36" ht="16.2">
      <c r="A635" s="53" t="s">
        <v>238</v>
      </c>
      <c r="B635" s="53">
        <v>508169</v>
      </c>
      <c r="C635" s="53" t="s">
        <v>2091</v>
      </c>
      <c r="D635" s="53">
        <v>13207648</v>
      </c>
      <c r="E635" s="54" t="s">
        <v>2092</v>
      </c>
      <c r="F635" s="53" t="s">
        <v>2127</v>
      </c>
      <c r="G635" s="53" t="s">
        <v>195</v>
      </c>
      <c r="H635" s="53"/>
      <c r="I635" s="53"/>
      <c r="J635" s="53">
        <v>13207648</v>
      </c>
      <c r="K635" s="53"/>
      <c r="L635" s="55">
        <v>45293</v>
      </c>
      <c r="M635" s="55">
        <v>45293</v>
      </c>
      <c r="N635" s="53" t="s">
        <v>306</v>
      </c>
      <c r="O635" s="53">
        <v>0</v>
      </c>
      <c r="P635" s="53">
        <v>20009855</v>
      </c>
      <c r="Q635" s="53" t="s">
        <v>2128</v>
      </c>
      <c r="R635" s="45">
        <v>410</v>
      </c>
      <c r="S635" s="56">
        <v>0.01</v>
      </c>
      <c r="T635" s="47" t="s">
        <v>198</v>
      </c>
      <c r="U635" s="48" t="s">
        <v>199</v>
      </c>
      <c r="V635" s="38"/>
      <c r="W635" s="48" t="s">
        <v>195</v>
      </c>
      <c r="X635" s="38" t="s">
        <v>200</v>
      </c>
      <c r="Y635" s="49" t="s">
        <v>201</v>
      </c>
      <c r="Z635" s="50" t="s">
        <v>2129</v>
      </c>
      <c r="AA635" s="38"/>
      <c r="AB635" s="38"/>
      <c r="AC635" s="38"/>
      <c r="AD635" s="51">
        <v>146</v>
      </c>
      <c r="AE635" s="51">
        <v>146</v>
      </c>
      <c r="AF635" s="48" t="s">
        <v>203</v>
      </c>
      <c r="AG635" s="38" t="s">
        <v>204</v>
      </c>
      <c r="AH635" s="52"/>
      <c r="AI635" s="38"/>
      <c r="AJ635" s="38"/>
    </row>
    <row r="636" spans="1:36" ht="16.2">
      <c r="A636" s="42" t="s">
        <v>238</v>
      </c>
      <c r="B636" s="42">
        <v>508169</v>
      </c>
      <c r="C636" s="42" t="s">
        <v>2091</v>
      </c>
      <c r="D636" s="42">
        <v>13207648</v>
      </c>
      <c r="E636" s="43" t="s">
        <v>2092</v>
      </c>
      <c r="F636" s="42" t="s">
        <v>2130</v>
      </c>
      <c r="G636" s="42" t="s">
        <v>195</v>
      </c>
      <c r="H636" s="42"/>
      <c r="I636" s="42"/>
      <c r="J636" s="42">
        <v>13207648</v>
      </c>
      <c r="K636" s="42"/>
      <c r="L636" s="44">
        <v>45293</v>
      </c>
      <c r="M636" s="44">
        <v>45293</v>
      </c>
      <c r="N636" s="42" t="s">
        <v>306</v>
      </c>
      <c r="O636" s="42">
        <v>0</v>
      </c>
      <c r="P636" s="42">
        <v>20009855</v>
      </c>
      <c r="Q636" s="42" t="s">
        <v>2131</v>
      </c>
      <c r="R636" s="45">
        <v>410</v>
      </c>
      <c r="S636" s="46">
        <v>0.01</v>
      </c>
      <c r="T636" s="47" t="s">
        <v>198</v>
      </c>
      <c r="U636" s="48" t="s">
        <v>199</v>
      </c>
      <c r="V636" s="38"/>
      <c r="W636" s="48" t="s">
        <v>195</v>
      </c>
      <c r="X636" s="38" t="s">
        <v>200</v>
      </c>
      <c r="Y636" s="49" t="s">
        <v>201</v>
      </c>
      <c r="Z636" s="50" t="s">
        <v>2132</v>
      </c>
      <c r="AA636" s="38"/>
      <c r="AB636" s="38"/>
      <c r="AC636" s="38"/>
      <c r="AD636" s="51">
        <v>146</v>
      </c>
      <c r="AE636" s="51">
        <v>146</v>
      </c>
      <c r="AF636" s="48" t="s">
        <v>203</v>
      </c>
      <c r="AG636" s="38" t="s">
        <v>204</v>
      </c>
      <c r="AH636" s="52"/>
      <c r="AI636" s="38"/>
      <c r="AJ636" s="38"/>
    </row>
    <row r="637" spans="1:36" ht="16.2">
      <c r="A637" s="53" t="s">
        <v>238</v>
      </c>
      <c r="B637" s="53">
        <v>508169</v>
      </c>
      <c r="C637" s="53" t="s">
        <v>2091</v>
      </c>
      <c r="D637" s="53">
        <v>13207648</v>
      </c>
      <c r="E637" s="54" t="s">
        <v>2092</v>
      </c>
      <c r="F637" s="53" t="s">
        <v>2133</v>
      </c>
      <c r="G637" s="53" t="s">
        <v>195</v>
      </c>
      <c r="H637" s="53"/>
      <c r="I637" s="53"/>
      <c r="J637" s="53">
        <v>13207648</v>
      </c>
      <c r="K637" s="53"/>
      <c r="L637" s="55">
        <v>45293</v>
      </c>
      <c r="M637" s="55">
        <v>45293</v>
      </c>
      <c r="N637" s="53" t="s">
        <v>306</v>
      </c>
      <c r="O637" s="53">
        <v>0</v>
      </c>
      <c r="P637" s="53">
        <v>20009855</v>
      </c>
      <c r="Q637" s="53" t="s">
        <v>2134</v>
      </c>
      <c r="R637" s="45">
        <v>410</v>
      </c>
      <c r="S637" s="56">
        <v>0.01</v>
      </c>
      <c r="T637" s="47" t="s">
        <v>198</v>
      </c>
      <c r="U637" s="48" t="s">
        <v>199</v>
      </c>
      <c r="V637" s="38"/>
      <c r="W637" s="48" t="s">
        <v>195</v>
      </c>
      <c r="X637" s="38" t="s">
        <v>200</v>
      </c>
      <c r="Y637" s="49" t="s">
        <v>201</v>
      </c>
      <c r="Z637" s="50" t="s">
        <v>2135</v>
      </c>
      <c r="AA637" s="38"/>
      <c r="AB637" s="38"/>
      <c r="AC637" s="38"/>
      <c r="AD637" s="51">
        <v>146</v>
      </c>
      <c r="AE637" s="51">
        <v>146</v>
      </c>
      <c r="AF637" s="48" t="s">
        <v>203</v>
      </c>
      <c r="AG637" s="38" t="s">
        <v>204</v>
      </c>
      <c r="AH637" s="52"/>
      <c r="AI637" s="38"/>
      <c r="AJ637" s="38"/>
    </row>
    <row r="638" spans="1:36" ht="16.2">
      <c r="A638" s="42" t="s">
        <v>238</v>
      </c>
      <c r="B638" s="42">
        <v>508169</v>
      </c>
      <c r="C638" s="42" t="s">
        <v>2091</v>
      </c>
      <c r="D638" s="42">
        <v>13207648</v>
      </c>
      <c r="E638" s="43" t="s">
        <v>2092</v>
      </c>
      <c r="F638" s="42" t="s">
        <v>2136</v>
      </c>
      <c r="G638" s="42" t="s">
        <v>195</v>
      </c>
      <c r="H638" s="42"/>
      <c r="I638" s="42"/>
      <c r="J638" s="42">
        <v>13207648</v>
      </c>
      <c r="K638" s="42"/>
      <c r="L638" s="44">
        <v>45293</v>
      </c>
      <c r="M638" s="44">
        <v>45293</v>
      </c>
      <c r="N638" s="42" t="s">
        <v>306</v>
      </c>
      <c r="O638" s="42">
        <v>0</v>
      </c>
      <c r="P638" s="42">
        <v>20009855</v>
      </c>
      <c r="Q638" s="42" t="s">
        <v>2137</v>
      </c>
      <c r="R638" s="45">
        <v>410</v>
      </c>
      <c r="S638" s="46">
        <v>0.01</v>
      </c>
      <c r="T638" s="47" t="s">
        <v>198</v>
      </c>
      <c r="U638" s="48" t="s">
        <v>199</v>
      </c>
      <c r="V638" s="38"/>
      <c r="W638" s="48" t="s">
        <v>195</v>
      </c>
      <c r="X638" s="38" t="s">
        <v>200</v>
      </c>
      <c r="Y638" s="49" t="s">
        <v>201</v>
      </c>
      <c r="Z638" s="50" t="s">
        <v>2138</v>
      </c>
      <c r="AA638" s="38"/>
      <c r="AB638" s="38"/>
      <c r="AC638" s="38"/>
      <c r="AD638" s="51">
        <v>146</v>
      </c>
      <c r="AE638" s="51">
        <v>146</v>
      </c>
      <c r="AF638" s="48" t="s">
        <v>203</v>
      </c>
      <c r="AG638" s="38" t="s">
        <v>204</v>
      </c>
      <c r="AH638" s="52"/>
      <c r="AI638" s="38"/>
      <c r="AJ638" s="38"/>
    </row>
    <row r="639" spans="1:36" ht="16.2">
      <c r="A639" s="53" t="s">
        <v>238</v>
      </c>
      <c r="B639" s="53">
        <v>508169</v>
      </c>
      <c r="C639" s="53" t="s">
        <v>2091</v>
      </c>
      <c r="D639" s="53">
        <v>13207648</v>
      </c>
      <c r="E639" s="54" t="s">
        <v>2092</v>
      </c>
      <c r="F639" s="53" t="s">
        <v>2139</v>
      </c>
      <c r="G639" s="53" t="s">
        <v>195</v>
      </c>
      <c r="H639" s="53"/>
      <c r="I639" s="53"/>
      <c r="J639" s="53">
        <v>13207648</v>
      </c>
      <c r="K639" s="53"/>
      <c r="L639" s="55">
        <v>45293</v>
      </c>
      <c r="M639" s="55">
        <v>45293</v>
      </c>
      <c r="N639" s="53" t="s">
        <v>306</v>
      </c>
      <c r="O639" s="53">
        <v>0</v>
      </c>
      <c r="P639" s="53">
        <v>20009855</v>
      </c>
      <c r="Q639" s="53" t="s">
        <v>2140</v>
      </c>
      <c r="R639" s="45">
        <v>410</v>
      </c>
      <c r="S639" s="53">
        <v>0</v>
      </c>
      <c r="T639" s="47" t="s">
        <v>198</v>
      </c>
      <c r="U639" s="48" t="s">
        <v>199</v>
      </c>
      <c r="V639" s="38"/>
      <c r="W639" s="48" t="s">
        <v>195</v>
      </c>
      <c r="X639" s="38" t="s">
        <v>200</v>
      </c>
      <c r="Y639" s="49" t="s">
        <v>201</v>
      </c>
      <c r="Z639" s="50" t="s">
        <v>2141</v>
      </c>
      <c r="AA639" s="38"/>
      <c r="AB639" s="38"/>
      <c r="AC639" s="38"/>
      <c r="AD639" s="51">
        <v>146</v>
      </c>
      <c r="AE639" s="51">
        <v>146</v>
      </c>
      <c r="AF639" s="48" t="s">
        <v>203</v>
      </c>
      <c r="AG639" s="38" t="s">
        <v>204</v>
      </c>
      <c r="AH639" s="52"/>
      <c r="AI639" s="38"/>
      <c r="AJ639" s="38"/>
    </row>
    <row r="640" spans="1:36" ht="16.2">
      <c r="A640" s="42" t="s">
        <v>238</v>
      </c>
      <c r="B640" s="42">
        <v>508169</v>
      </c>
      <c r="C640" s="42" t="s">
        <v>2091</v>
      </c>
      <c r="D640" s="42">
        <v>13207648</v>
      </c>
      <c r="E640" s="43" t="s">
        <v>2092</v>
      </c>
      <c r="F640" s="42" t="s">
        <v>2142</v>
      </c>
      <c r="G640" s="42" t="s">
        <v>195</v>
      </c>
      <c r="H640" s="42"/>
      <c r="I640" s="42"/>
      <c r="J640" s="42">
        <v>13207648</v>
      </c>
      <c r="K640" s="42"/>
      <c r="L640" s="44">
        <v>45293</v>
      </c>
      <c r="M640" s="44">
        <v>45293</v>
      </c>
      <c r="N640" s="42" t="s">
        <v>306</v>
      </c>
      <c r="O640" s="42">
        <v>0</v>
      </c>
      <c r="P640" s="42">
        <v>20009855</v>
      </c>
      <c r="Q640" s="42" t="s">
        <v>2143</v>
      </c>
      <c r="R640" s="45">
        <v>410</v>
      </c>
      <c r="S640" s="42">
        <v>0</v>
      </c>
      <c r="T640" s="47" t="s">
        <v>198</v>
      </c>
      <c r="U640" s="48" t="s">
        <v>199</v>
      </c>
      <c r="V640" s="38"/>
      <c r="W640" s="48" t="s">
        <v>195</v>
      </c>
      <c r="X640" s="38" t="s">
        <v>200</v>
      </c>
      <c r="Y640" s="49" t="s">
        <v>201</v>
      </c>
      <c r="Z640" s="50" t="s">
        <v>2144</v>
      </c>
      <c r="AA640" s="38"/>
      <c r="AB640" s="38"/>
      <c r="AC640" s="38"/>
      <c r="AD640" s="51">
        <v>146</v>
      </c>
      <c r="AE640" s="51">
        <v>146</v>
      </c>
      <c r="AF640" s="48" t="s">
        <v>203</v>
      </c>
      <c r="AG640" s="38" t="s">
        <v>204</v>
      </c>
      <c r="AH640" s="52"/>
      <c r="AI640" s="38"/>
      <c r="AJ640" s="38"/>
    </row>
    <row r="641" spans="1:36" ht="16.2">
      <c r="A641" s="53" t="s">
        <v>238</v>
      </c>
      <c r="B641" s="53">
        <v>508169</v>
      </c>
      <c r="C641" s="53" t="s">
        <v>2091</v>
      </c>
      <c r="D641" s="53">
        <v>13207648</v>
      </c>
      <c r="E641" s="54" t="s">
        <v>2092</v>
      </c>
      <c r="F641" s="53" t="s">
        <v>2145</v>
      </c>
      <c r="G641" s="53" t="s">
        <v>195</v>
      </c>
      <c r="H641" s="53"/>
      <c r="I641" s="53"/>
      <c r="J641" s="53">
        <v>13207648</v>
      </c>
      <c r="K641" s="53"/>
      <c r="L641" s="55">
        <v>45293</v>
      </c>
      <c r="M641" s="55">
        <v>45293</v>
      </c>
      <c r="N641" s="53" t="s">
        <v>306</v>
      </c>
      <c r="O641" s="53">
        <v>0</v>
      </c>
      <c r="P641" s="53">
        <v>20009855</v>
      </c>
      <c r="Q641" s="53" t="s">
        <v>2146</v>
      </c>
      <c r="R641" s="45">
        <v>410</v>
      </c>
      <c r="S641" s="53">
        <v>0</v>
      </c>
      <c r="T641" s="47" t="s">
        <v>198</v>
      </c>
      <c r="U641" s="48" t="s">
        <v>199</v>
      </c>
      <c r="V641" s="38"/>
      <c r="W641" s="48" t="s">
        <v>195</v>
      </c>
      <c r="X641" s="38" t="s">
        <v>200</v>
      </c>
      <c r="Y641" s="49" t="s">
        <v>201</v>
      </c>
      <c r="Z641" s="50" t="s">
        <v>2147</v>
      </c>
      <c r="AA641" s="38"/>
      <c r="AB641" s="38"/>
      <c r="AC641" s="38"/>
      <c r="AD641" s="51">
        <v>146</v>
      </c>
      <c r="AE641" s="51">
        <v>146</v>
      </c>
      <c r="AF641" s="48" t="s">
        <v>203</v>
      </c>
      <c r="AG641" s="38" t="s">
        <v>204</v>
      </c>
      <c r="AH641" s="52"/>
      <c r="AI641" s="38"/>
      <c r="AJ641" s="38"/>
    </row>
    <row r="642" spans="1:36" ht="16.2">
      <c r="A642" s="42" t="s">
        <v>238</v>
      </c>
      <c r="B642" s="42">
        <v>508169</v>
      </c>
      <c r="C642" s="42" t="s">
        <v>2091</v>
      </c>
      <c r="D642" s="42">
        <v>13207648</v>
      </c>
      <c r="E642" s="43" t="s">
        <v>2092</v>
      </c>
      <c r="F642" s="42" t="s">
        <v>2148</v>
      </c>
      <c r="G642" s="42" t="s">
        <v>195</v>
      </c>
      <c r="H642" s="42"/>
      <c r="I642" s="42"/>
      <c r="J642" s="42">
        <v>13207648</v>
      </c>
      <c r="K642" s="42"/>
      <c r="L642" s="44">
        <v>45293</v>
      </c>
      <c r="M642" s="44">
        <v>45293</v>
      </c>
      <c r="N642" s="42" t="s">
        <v>306</v>
      </c>
      <c r="O642" s="42">
        <v>0</v>
      </c>
      <c r="P642" s="42">
        <v>20009855</v>
      </c>
      <c r="Q642" s="42" t="s">
        <v>2149</v>
      </c>
      <c r="R642" s="45">
        <v>410</v>
      </c>
      <c r="S642" s="42">
        <v>0</v>
      </c>
      <c r="T642" s="47" t="s">
        <v>198</v>
      </c>
      <c r="U642" s="48" t="s">
        <v>199</v>
      </c>
      <c r="V642" s="38"/>
      <c r="W642" s="48" t="s">
        <v>195</v>
      </c>
      <c r="X642" s="38" t="s">
        <v>200</v>
      </c>
      <c r="Y642" s="49" t="s">
        <v>201</v>
      </c>
      <c r="Z642" s="50" t="s">
        <v>2150</v>
      </c>
      <c r="AA642" s="38"/>
      <c r="AB642" s="38"/>
      <c r="AC642" s="38"/>
      <c r="AD642" s="51">
        <v>146</v>
      </c>
      <c r="AE642" s="51">
        <v>146</v>
      </c>
      <c r="AF642" s="48" t="s">
        <v>203</v>
      </c>
      <c r="AG642" s="38" t="s">
        <v>204</v>
      </c>
      <c r="AH642" s="52"/>
      <c r="AI642" s="38"/>
      <c r="AJ642" s="38"/>
    </row>
    <row r="643" spans="1:36" ht="16.2">
      <c r="A643" s="53" t="s">
        <v>238</v>
      </c>
      <c r="B643" s="53">
        <v>508169</v>
      </c>
      <c r="C643" s="53" t="s">
        <v>2091</v>
      </c>
      <c r="D643" s="53">
        <v>13207648</v>
      </c>
      <c r="E643" s="54" t="s">
        <v>2092</v>
      </c>
      <c r="F643" s="53" t="s">
        <v>2151</v>
      </c>
      <c r="G643" s="53" t="s">
        <v>195</v>
      </c>
      <c r="H643" s="53"/>
      <c r="I643" s="53"/>
      <c r="J643" s="53">
        <v>13207648</v>
      </c>
      <c r="K643" s="53"/>
      <c r="L643" s="55">
        <v>45293</v>
      </c>
      <c r="M643" s="55">
        <v>45293</v>
      </c>
      <c r="N643" s="53" t="s">
        <v>306</v>
      </c>
      <c r="O643" s="53">
        <v>0</v>
      </c>
      <c r="P643" s="53">
        <v>20009855</v>
      </c>
      <c r="Q643" s="53" t="s">
        <v>2152</v>
      </c>
      <c r="R643" s="45">
        <v>410</v>
      </c>
      <c r="S643" s="53">
        <v>0</v>
      </c>
      <c r="T643" s="47" t="s">
        <v>198</v>
      </c>
      <c r="U643" s="48" t="s">
        <v>199</v>
      </c>
      <c r="V643" s="38"/>
      <c r="W643" s="48" t="s">
        <v>195</v>
      </c>
      <c r="X643" s="38" t="s">
        <v>200</v>
      </c>
      <c r="Y643" s="49" t="s">
        <v>201</v>
      </c>
      <c r="Z643" s="50" t="s">
        <v>2153</v>
      </c>
      <c r="AA643" s="38"/>
      <c r="AB643" s="38"/>
      <c r="AC643" s="38"/>
      <c r="AD643" s="51">
        <v>146</v>
      </c>
      <c r="AE643" s="51">
        <v>146</v>
      </c>
      <c r="AF643" s="48" t="s">
        <v>203</v>
      </c>
      <c r="AG643" s="38" t="s">
        <v>204</v>
      </c>
      <c r="AH643" s="52"/>
      <c r="AI643" s="38"/>
      <c r="AJ643" s="38"/>
    </row>
    <row r="644" spans="1:36" ht="16.2">
      <c r="A644" s="42" t="s">
        <v>238</v>
      </c>
      <c r="B644" s="42">
        <v>508169</v>
      </c>
      <c r="C644" s="42" t="s">
        <v>2091</v>
      </c>
      <c r="D644" s="42">
        <v>13207648</v>
      </c>
      <c r="E644" s="43" t="s">
        <v>2092</v>
      </c>
      <c r="F644" s="42" t="s">
        <v>2154</v>
      </c>
      <c r="G644" s="42" t="s">
        <v>195</v>
      </c>
      <c r="H644" s="42"/>
      <c r="I644" s="42"/>
      <c r="J644" s="42">
        <v>13207648</v>
      </c>
      <c r="K644" s="42"/>
      <c r="L644" s="44">
        <v>45293</v>
      </c>
      <c r="M644" s="44">
        <v>45293</v>
      </c>
      <c r="N644" s="42" t="s">
        <v>306</v>
      </c>
      <c r="O644" s="42">
        <v>0</v>
      </c>
      <c r="P644" s="42">
        <v>20009855</v>
      </c>
      <c r="Q644" s="42" t="s">
        <v>2155</v>
      </c>
      <c r="R644" s="45">
        <v>410</v>
      </c>
      <c r="S644" s="42">
        <v>0</v>
      </c>
      <c r="T644" s="47" t="s">
        <v>198</v>
      </c>
      <c r="U644" s="48" t="s">
        <v>199</v>
      </c>
      <c r="V644" s="38"/>
      <c r="W644" s="48" t="s">
        <v>195</v>
      </c>
      <c r="X644" s="38" t="s">
        <v>200</v>
      </c>
      <c r="Y644" s="49" t="s">
        <v>201</v>
      </c>
      <c r="Z644" s="50" t="s">
        <v>2156</v>
      </c>
      <c r="AA644" s="38"/>
      <c r="AB644" s="38"/>
      <c r="AC644" s="38"/>
      <c r="AD644" s="51">
        <v>146</v>
      </c>
      <c r="AE644" s="51">
        <v>146</v>
      </c>
      <c r="AF644" s="48" t="s">
        <v>203</v>
      </c>
      <c r="AG644" s="38" t="s">
        <v>204</v>
      </c>
      <c r="AH644" s="52"/>
      <c r="AI644" s="38"/>
      <c r="AJ644" s="38"/>
    </row>
    <row r="645" spans="1:36" ht="16.2">
      <c r="A645" s="53" t="s">
        <v>238</v>
      </c>
      <c r="B645" s="53">
        <v>508169</v>
      </c>
      <c r="C645" s="53" t="s">
        <v>2091</v>
      </c>
      <c r="D645" s="53">
        <v>13207648</v>
      </c>
      <c r="E645" s="54" t="s">
        <v>2092</v>
      </c>
      <c r="F645" s="53" t="s">
        <v>2157</v>
      </c>
      <c r="G645" s="53" t="s">
        <v>195</v>
      </c>
      <c r="H645" s="53"/>
      <c r="I645" s="53"/>
      <c r="J645" s="53">
        <v>13207648</v>
      </c>
      <c r="K645" s="53"/>
      <c r="L645" s="55">
        <v>45293</v>
      </c>
      <c r="M645" s="55">
        <v>45293</v>
      </c>
      <c r="N645" s="53" t="s">
        <v>306</v>
      </c>
      <c r="O645" s="53">
        <v>0</v>
      </c>
      <c r="P645" s="53">
        <v>20009855</v>
      </c>
      <c r="Q645" s="53" t="s">
        <v>2158</v>
      </c>
      <c r="R645" s="45">
        <v>410</v>
      </c>
      <c r="S645" s="53">
        <v>0</v>
      </c>
      <c r="T645" s="47" t="s">
        <v>198</v>
      </c>
      <c r="U645" s="48" t="s">
        <v>199</v>
      </c>
      <c r="V645" s="38"/>
      <c r="W645" s="48" t="s">
        <v>195</v>
      </c>
      <c r="X645" s="38" t="s">
        <v>200</v>
      </c>
      <c r="Y645" s="49" t="s">
        <v>201</v>
      </c>
      <c r="Z645" s="50" t="s">
        <v>2159</v>
      </c>
      <c r="AA645" s="38"/>
      <c r="AB645" s="38"/>
      <c r="AC645" s="38"/>
      <c r="AD645" s="51">
        <v>146</v>
      </c>
      <c r="AE645" s="51">
        <v>146</v>
      </c>
      <c r="AF645" s="48" t="s">
        <v>203</v>
      </c>
      <c r="AG645" s="38" t="s">
        <v>204</v>
      </c>
      <c r="AH645" s="52"/>
      <c r="AI645" s="38"/>
      <c r="AJ645" s="38"/>
    </row>
    <row r="646" spans="1:36" ht="16.2">
      <c r="A646" s="42" t="s">
        <v>238</v>
      </c>
      <c r="B646" s="42">
        <v>508169</v>
      </c>
      <c r="C646" s="42" t="s">
        <v>2091</v>
      </c>
      <c r="D646" s="42">
        <v>13207648</v>
      </c>
      <c r="E646" s="43" t="s">
        <v>2092</v>
      </c>
      <c r="F646" s="42" t="s">
        <v>260</v>
      </c>
      <c r="G646" s="42" t="s">
        <v>195</v>
      </c>
      <c r="H646" s="42"/>
      <c r="I646" s="42"/>
      <c r="J646" s="42">
        <v>13207648</v>
      </c>
      <c r="K646" s="42"/>
      <c r="L646" s="44">
        <v>45293</v>
      </c>
      <c r="M646" s="44">
        <v>45293</v>
      </c>
      <c r="N646" s="42" t="s">
        <v>306</v>
      </c>
      <c r="O646" s="42">
        <v>0</v>
      </c>
      <c r="P646" s="42">
        <v>20009855</v>
      </c>
      <c r="Q646" s="42" t="s">
        <v>2160</v>
      </c>
      <c r="R646" s="45">
        <v>410</v>
      </c>
      <c r="S646" s="42">
        <v>0</v>
      </c>
      <c r="T646" s="47" t="s">
        <v>198</v>
      </c>
      <c r="U646" s="48" t="s">
        <v>199</v>
      </c>
      <c r="V646" s="38"/>
      <c r="W646" s="48" t="s">
        <v>195</v>
      </c>
      <c r="X646" s="38" t="s">
        <v>200</v>
      </c>
      <c r="Y646" s="49" t="s">
        <v>201</v>
      </c>
      <c r="Z646" s="50" t="s">
        <v>2161</v>
      </c>
      <c r="AA646" s="38"/>
      <c r="AB646" s="38"/>
      <c r="AC646" s="38"/>
      <c r="AD646" s="51">
        <v>146</v>
      </c>
      <c r="AE646" s="51">
        <v>146</v>
      </c>
      <c r="AF646" s="48" t="s">
        <v>203</v>
      </c>
      <c r="AG646" s="38" t="s">
        <v>204</v>
      </c>
      <c r="AH646" s="52"/>
      <c r="AI646" s="38"/>
      <c r="AJ646" s="38"/>
    </row>
    <row r="647" spans="1:36" ht="16.2">
      <c r="A647" s="53" t="s">
        <v>238</v>
      </c>
      <c r="B647" s="53">
        <v>508169</v>
      </c>
      <c r="C647" s="53" t="s">
        <v>2091</v>
      </c>
      <c r="D647" s="53">
        <v>13207648</v>
      </c>
      <c r="E647" s="54" t="s">
        <v>2092</v>
      </c>
      <c r="F647" s="53" t="s">
        <v>299</v>
      </c>
      <c r="G647" s="53" t="s">
        <v>195</v>
      </c>
      <c r="H647" s="53"/>
      <c r="I647" s="53"/>
      <c r="J647" s="53">
        <v>13207648</v>
      </c>
      <c r="K647" s="53"/>
      <c r="L647" s="55">
        <v>45293</v>
      </c>
      <c r="M647" s="55">
        <v>45293</v>
      </c>
      <c r="N647" s="53" t="s">
        <v>306</v>
      </c>
      <c r="O647" s="53">
        <v>0</v>
      </c>
      <c r="P647" s="53">
        <v>20009855</v>
      </c>
      <c r="Q647" s="53" t="s">
        <v>2162</v>
      </c>
      <c r="R647" s="45">
        <v>410</v>
      </c>
      <c r="S647" s="53">
        <v>0</v>
      </c>
      <c r="T647" s="47" t="s">
        <v>198</v>
      </c>
      <c r="U647" s="48" t="s">
        <v>199</v>
      </c>
      <c r="V647" s="38"/>
      <c r="W647" s="48" t="s">
        <v>195</v>
      </c>
      <c r="X647" s="38" t="s">
        <v>200</v>
      </c>
      <c r="Y647" s="49" t="s">
        <v>201</v>
      </c>
      <c r="Z647" s="50" t="s">
        <v>2163</v>
      </c>
      <c r="AA647" s="38"/>
      <c r="AB647" s="38"/>
      <c r="AC647" s="38"/>
      <c r="AD647" s="51">
        <v>146</v>
      </c>
      <c r="AE647" s="51">
        <v>146</v>
      </c>
      <c r="AF647" s="48" t="s">
        <v>203</v>
      </c>
      <c r="AG647" s="38" t="s">
        <v>204</v>
      </c>
      <c r="AH647" s="52"/>
      <c r="AI647" s="38"/>
      <c r="AJ647" s="38"/>
    </row>
    <row r="648" spans="1:36" ht="16.2">
      <c r="A648" s="42" t="s">
        <v>1908</v>
      </c>
      <c r="B648" s="42">
        <v>710129</v>
      </c>
      <c r="C648" s="42" t="s">
        <v>67</v>
      </c>
      <c r="D648" s="42">
        <v>13207659</v>
      </c>
      <c r="E648" s="43" t="s">
        <v>2164</v>
      </c>
      <c r="F648" s="42" t="s">
        <v>2165</v>
      </c>
      <c r="G648" s="42" t="s">
        <v>195</v>
      </c>
      <c r="H648" s="42"/>
      <c r="I648" s="42"/>
      <c r="J648" s="42">
        <v>13207659</v>
      </c>
      <c r="K648" s="42"/>
      <c r="L648" s="44">
        <v>45293</v>
      </c>
      <c r="M648" s="44">
        <v>45293</v>
      </c>
      <c r="N648" s="42" t="s">
        <v>1894</v>
      </c>
      <c r="O648" s="42">
        <v>0</v>
      </c>
      <c r="P648" s="42">
        <v>20078418</v>
      </c>
      <c r="Q648" s="42" t="s">
        <v>2166</v>
      </c>
      <c r="R648" s="45">
        <v>410</v>
      </c>
      <c r="S648" s="46">
        <v>0.01</v>
      </c>
      <c r="T648" s="47" t="s">
        <v>198</v>
      </c>
      <c r="U648" s="48" t="s">
        <v>199</v>
      </c>
      <c r="V648" s="38"/>
      <c r="W648" s="48" t="s">
        <v>195</v>
      </c>
      <c r="X648" s="38" t="s">
        <v>426</v>
      </c>
      <c r="Y648" s="49" t="s">
        <v>427</v>
      </c>
      <c r="Z648" s="50" t="s">
        <v>2167</v>
      </c>
      <c r="AA648" s="38"/>
      <c r="AB648" s="38"/>
      <c r="AC648" s="38"/>
      <c r="AD648" s="51">
        <v>67</v>
      </c>
      <c r="AE648" s="51">
        <v>67</v>
      </c>
      <c r="AF648" s="48" t="s">
        <v>203</v>
      </c>
      <c r="AG648" s="38" t="s">
        <v>204</v>
      </c>
      <c r="AH648" s="52"/>
      <c r="AI648" s="38"/>
      <c r="AJ648" s="38"/>
    </row>
    <row r="649" spans="1:36" ht="16.2">
      <c r="A649" s="53" t="s">
        <v>1908</v>
      </c>
      <c r="B649" s="53">
        <v>710129</v>
      </c>
      <c r="C649" s="53" t="s">
        <v>67</v>
      </c>
      <c r="D649" s="53">
        <v>13207659</v>
      </c>
      <c r="E649" s="54" t="s">
        <v>2164</v>
      </c>
      <c r="F649" s="53" t="s">
        <v>644</v>
      </c>
      <c r="G649" s="53" t="s">
        <v>195</v>
      </c>
      <c r="H649" s="53"/>
      <c r="I649" s="53"/>
      <c r="J649" s="53">
        <v>13207659</v>
      </c>
      <c r="K649" s="53"/>
      <c r="L649" s="55">
        <v>45293</v>
      </c>
      <c r="M649" s="55">
        <v>45293</v>
      </c>
      <c r="N649" s="53" t="s">
        <v>1894</v>
      </c>
      <c r="O649" s="53">
        <v>0</v>
      </c>
      <c r="P649" s="53">
        <v>20078418</v>
      </c>
      <c r="Q649" s="53" t="s">
        <v>2168</v>
      </c>
      <c r="R649" s="45">
        <v>410</v>
      </c>
      <c r="S649" s="56">
        <v>0.01</v>
      </c>
      <c r="T649" s="47" t="s">
        <v>198</v>
      </c>
      <c r="U649" s="48" t="s">
        <v>199</v>
      </c>
      <c r="V649" s="38"/>
      <c r="W649" s="48" t="s">
        <v>195</v>
      </c>
      <c r="X649" s="38" t="s">
        <v>426</v>
      </c>
      <c r="Y649" s="49" t="s">
        <v>427</v>
      </c>
      <c r="Z649" s="50" t="s">
        <v>2169</v>
      </c>
      <c r="AA649" s="38"/>
      <c r="AB649" s="38"/>
      <c r="AC649" s="38"/>
      <c r="AD649" s="51">
        <v>67</v>
      </c>
      <c r="AE649" s="51">
        <v>67</v>
      </c>
      <c r="AF649" s="48" t="s">
        <v>203</v>
      </c>
      <c r="AG649" s="38" t="s">
        <v>204</v>
      </c>
      <c r="AH649" s="52"/>
      <c r="AI649" s="38"/>
      <c r="AJ649" s="38"/>
    </row>
    <row r="650" spans="1:36" ht="16.2">
      <c r="A650" s="42" t="s">
        <v>1908</v>
      </c>
      <c r="B650" s="42">
        <v>710129</v>
      </c>
      <c r="C650" s="42" t="s">
        <v>67</v>
      </c>
      <c r="D650" s="42">
        <v>13207659</v>
      </c>
      <c r="E650" s="43" t="s">
        <v>2164</v>
      </c>
      <c r="F650" s="42" t="s">
        <v>2170</v>
      </c>
      <c r="G650" s="42" t="s">
        <v>195</v>
      </c>
      <c r="H650" s="42"/>
      <c r="I650" s="42"/>
      <c r="J650" s="42">
        <v>13207659</v>
      </c>
      <c r="K650" s="42"/>
      <c r="L650" s="44">
        <v>45293</v>
      </c>
      <c r="M650" s="44">
        <v>45293</v>
      </c>
      <c r="N650" s="42" t="s">
        <v>1894</v>
      </c>
      <c r="O650" s="42">
        <v>0</v>
      </c>
      <c r="P650" s="42">
        <v>20078418</v>
      </c>
      <c r="Q650" s="42" t="s">
        <v>2171</v>
      </c>
      <c r="R650" s="45">
        <v>410</v>
      </c>
      <c r="S650" s="46">
        <v>0.01</v>
      </c>
      <c r="T650" s="47" t="s">
        <v>198</v>
      </c>
      <c r="U650" s="48" t="s">
        <v>199</v>
      </c>
      <c r="V650" s="38"/>
      <c r="W650" s="48" t="s">
        <v>195</v>
      </c>
      <c r="X650" s="38" t="s">
        <v>426</v>
      </c>
      <c r="Y650" s="49" t="s">
        <v>427</v>
      </c>
      <c r="Z650" s="50" t="s">
        <v>2172</v>
      </c>
      <c r="AA650" s="38"/>
      <c r="AB650" s="38"/>
      <c r="AC650" s="38"/>
      <c r="AD650" s="51">
        <v>67</v>
      </c>
      <c r="AE650" s="51">
        <v>67</v>
      </c>
      <c r="AF650" s="48" t="s">
        <v>203</v>
      </c>
      <c r="AG650" s="38" t="s">
        <v>204</v>
      </c>
      <c r="AH650" s="52"/>
      <c r="AI650" s="38"/>
      <c r="AJ650" s="38"/>
    </row>
    <row r="651" spans="1:36" ht="16.2">
      <c r="A651" s="53" t="s">
        <v>1908</v>
      </c>
      <c r="B651" s="53">
        <v>710129</v>
      </c>
      <c r="C651" s="53" t="s">
        <v>67</v>
      </c>
      <c r="D651" s="53">
        <v>13207659</v>
      </c>
      <c r="E651" s="54" t="s">
        <v>2164</v>
      </c>
      <c r="F651" s="53" t="s">
        <v>2173</v>
      </c>
      <c r="G651" s="53" t="s">
        <v>195</v>
      </c>
      <c r="H651" s="53"/>
      <c r="I651" s="53"/>
      <c r="J651" s="53">
        <v>13207659</v>
      </c>
      <c r="K651" s="53"/>
      <c r="L651" s="55">
        <v>45293</v>
      </c>
      <c r="M651" s="55">
        <v>45293</v>
      </c>
      <c r="N651" s="53" t="s">
        <v>1894</v>
      </c>
      <c r="O651" s="53">
        <v>0</v>
      </c>
      <c r="P651" s="53">
        <v>20078418</v>
      </c>
      <c r="Q651" s="53" t="s">
        <v>2174</v>
      </c>
      <c r="R651" s="45">
        <v>410</v>
      </c>
      <c r="S651" s="56">
        <v>0.01</v>
      </c>
      <c r="T651" s="47" t="s">
        <v>198</v>
      </c>
      <c r="U651" s="48" t="s">
        <v>199</v>
      </c>
      <c r="V651" s="38"/>
      <c r="W651" s="48" t="s">
        <v>195</v>
      </c>
      <c r="X651" s="38" t="s">
        <v>426</v>
      </c>
      <c r="Y651" s="49" t="s">
        <v>427</v>
      </c>
      <c r="Z651" s="50" t="s">
        <v>2175</v>
      </c>
      <c r="AA651" s="38"/>
      <c r="AB651" s="38"/>
      <c r="AC651" s="38"/>
      <c r="AD651" s="51">
        <v>67</v>
      </c>
      <c r="AE651" s="51">
        <v>67</v>
      </c>
      <c r="AF651" s="48" t="s">
        <v>203</v>
      </c>
      <c r="AG651" s="38" t="s">
        <v>204</v>
      </c>
      <c r="AH651" s="52"/>
      <c r="AI651" s="38"/>
      <c r="AJ651" s="38"/>
    </row>
    <row r="652" spans="1:36" ht="16.2">
      <c r="A652" s="42" t="s">
        <v>1908</v>
      </c>
      <c r="B652" s="42">
        <v>710129</v>
      </c>
      <c r="C652" s="42" t="s">
        <v>67</v>
      </c>
      <c r="D652" s="42">
        <v>13207659</v>
      </c>
      <c r="E652" s="43" t="s">
        <v>2164</v>
      </c>
      <c r="F652" s="42" t="s">
        <v>2176</v>
      </c>
      <c r="G652" s="42" t="s">
        <v>195</v>
      </c>
      <c r="H652" s="42"/>
      <c r="I652" s="42"/>
      <c r="J652" s="42">
        <v>13207659</v>
      </c>
      <c r="K652" s="42"/>
      <c r="L652" s="44">
        <v>45293</v>
      </c>
      <c r="M652" s="44">
        <v>45293</v>
      </c>
      <c r="N652" s="42" t="s">
        <v>1894</v>
      </c>
      <c r="O652" s="42">
        <v>0</v>
      </c>
      <c r="P652" s="42">
        <v>20078418</v>
      </c>
      <c r="Q652" s="42" t="s">
        <v>2177</v>
      </c>
      <c r="R652" s="45">
        <v>410</v>
      </c>
      <c r="S652" s="46">
        <v>0.01</v>
      </c>
      <c r="T652" s="47" t="s">
        <v>198</v>
      </c>
      <c r="U652" s="48" t="s">
        <v>199</v>
      </c>
      <c r="V652" s="38"/>
      <c r="W652" s="48" t="s">
        <v>195</v>
      </c>
      <c r="X652" s="38" t="s">
        <v>426</v>
      </c>
      <c r="Y652" s="49" t="s">
        <v>427</v>
      </c>
      <c r="Z652" s="50" t="s">
        <v>2178</v>
      </c>
      <c r="AA652" s="38"/>
      <c r="AB652" s="38"/>
      <c r="AC652" s="38"/>
      <c r="AD652" s="51">
        <v>67</v>
      </c>
      <c r="AE652" s="51">
        <v>67</v>
      </c>
      <c r="AF652" s="48" t="s">
        <v>203</v>
      </c>
      <c r="AG652" s="38" t="s">
        <v>204</v>
      </c>
      <c r="AH652" s="52"/>
      <c r="AI652" s="38"/>
      <c r="AJ652" s="38"/>
    </row>
    <row r="653" spans="1:36" ht="16.2">
      <c r="A653" s="53" t="s">
        <v>1908</v>
      </c>
      <c r="B653" s="53">
        <v>710129</v>
      </c>
      <c r="C653" s="53" t="s">
        <v>67</v>
      </c>
      <c r="D653" s="53">
        <v>13207659</v>
      </c>
      <c r="E653" s="54" t="s">
        <v>2164</v>
      </c>
      <c r="F653" s="53" t="s">
        <v>2179</v>
      </c>
      <c r="G653" s="53" t="s">
        <v>195</v>
      </c>
      <c r="H653" s="53"/>
      <c r="I653" s="53"/>
      <c r="J653" s="53">
        <v>13207659</v>
      </c>
      <c r="K653" s="53"/>
      <c r="L653" s="55">
        <v>45293</v>
      </c>
      <c r="M653" s="55">
        <v>45293</v>
      </c>
      <c r="N653" s="53" t="s">
        <v>1894</v>
      </c>
      <c r="O653" s="53">
        <v>0</v>
      </c>
      <c r="P653" s="53">
        <v>20078418</v>
      </c>
      <c r="Q653" s="53" t="s">
        <v>2180</v>
      </c>
      <c r="R653" s="45">
        <v>410</v>
      </c>
      <c r="S653" s="56">
        <v>0.01</v>
      </c>
      <c r="T653" s="47" t="s">
        <v>198</v>
      </c>
      <c r="U653" s="48" t="s">
        <v>199</v>
      </c>
      <c r="V653" s="38"/>
      <c r="W653" s="48" t="s">
        <v>195</v>
      </c>
      <c r="X653" s="38" t="s">
        <v>426</v>
      </c>
      <c r="Y653" s="49" t="s">
        <v>427</v>
      </c>
      <c r="Z653" s="50" t="s">
        <v>2181</v>
      </c>
      <c r="AA653" s="38"/>
      <c r="AB653" s="38"/>
      <c r="AC653" s="38"/>
      <c r="AD653" s="51">
        <v>67</v>
      </c>
      <c r="AE653" s="51">
        <v>67</v>
      </c>
      <c r="AF653" s="48" t="s">
        <v>203</v>
      </c>
      <c r="AG653" s="38" t="s">
        <v>204</v>
      </c>
      <c r="AH653" s="52"/>
      <c r="AI653" s="38"/>
      <c r="AJ653" s="38"/>
    </row>
    <row r="654" spans="1:36" ht="16.2">
      <c r="A654" s="42" t="s">
        <v>1908</v>
      </c>
      <c r="B654" s="42">
        <v>710129</v>
      </c>
      <c r="C654" s="42" t="s">
        <v>67</v>
      </c>
      <c r="D654" s="42">
        <v>13207659</v>
      </c>
      <c r="E654" s="43" t="s">
        <v>2164</v>
      </c>
      <c r="F654" s="42" t="s">
        <v>2182</v>
      </c>
      <c r="G654" s="42" t="s">
        <v>195</v>
      </c>
      <c r="H654" s="42"/>
      <c r="I654" s="42"/>
      <c r="J654" s="42">
        <v>13207659</v>
      </c>
      <c r="K654" s="42"/>
      <c r="L654" s="44">
        <v>45293</v>
      </c>
      <c r="M654" s="44">
        <v>45293</v>
      </c>
      <c r="N654" s="42" t="s">
        <v>1894</v>
      </c>
      <c r="O654" s="42">
        <v>0</v>
      </c>
      <c r="P654" s="42">
        <v>20078418</v>
      </c>
      <c r="Q654" s="42" t="s">
        <v>2183</v>
      </c>
      <c r="R654" s="45">
        <v>410</v>
      </c>
      <c r="S654" s="46">
        <v>0.01</v>
      </c>
      <c r="T654" s="47" t="s">
        <v>198</v>
      </c>
      <c r="U654" s="48" t="s">
        <v>199</v>
      </c>
      <c r="V654" s="38"/>
      <c r="W654" s="48" t="s">
        <v>195</v>
      </c>
      <c r="X654" s="38" t="s">
        <v>426</v>
      </c>
      <c r="Y654" s="49" t="s">
        <v>427</v>
      </c>
      <c r="Z654" s="50" t="s">
        <v>2184</v>
      </c>
      <c r="AA654" s="38"/>
      <c r="AB654" s="38"/>
      <c r="AC654" s="38"/>
      <c r="AD654" s="51">
        <v>67</v>
      </c>
      <c r="AE654" s="51">
        <v>67</v>
      </c>
      <c r="AF654" s="48" t="s">
        <v>203</v>
      </c>
      <c r="AG654" s="38" t="s">
        <v>204</v>
      </c>
      <c r="AH654" s="52"/>
      <c r="AI654" s="38"/>
      <c r="AJ654" s="38"/>
    </row>
    <row r="655" spans="1:36" ht="16.2">
      <c r="A655" s="53" t="s">
        <v>1908</v>
      </c>
      <c r="B655" s="53">
        <v>710129</v>
      </c>
      <c r="C655" s="53" t="s">
        <v>67</v>
      </c>
      <c r="D655" s="53">
        <v>13207659</v>
      </c>
      <c r="E655" s="54" t="s">
        <v>2164</v>
      </c>
      <c r="F655" s="53" t="s">
        <v>2185</v>
      </c>
      <c r="G655" s="53" t="s">
        <v>195</v>
      </c>
      <c r="H655" s="53"/>
      <c r="I655" s="53"/>
      <c r="J655" s="53">
        <v>13207659</v>
      </c>
      <c r="K655" s="53"/>
      <c r="L655" s="55">
        <v>45293</v>
      </c>
      <c r="M655" s="55">
        <v>45293</v>
      </c>
      <c r="N655" s="53" t="s">
        <v>1894</v>
      </c>
      <c r="O655" s="53">
        <v>0</v>
      </c>
      <c r="P655" s="53">
        <v>20078418</v>
      </c>
      <c r="Q655" s="53" t="s">
        <v>2186</v>
      </c>
      <c r="R655" s="45">
        <v>410</v>
      </c>
      <c r="S655" s="56">
        <v>0.01</v>
      </c>
      <c r="T655" s="47" t="s">
        <v>198</v>
      </c>
      <c r="U655" s="48" t="s">
        <v>199</v>
      </c>
      <c r="V655" s="38"/>
      <c r="W655" s="48" t="s">
        <v>195</v>
      </c>
      <c r="X655" s="38" t="s">
        <v>426</v>
      </c>
      <c r="Y655" s="49" t="s">
        <v>427</v>
      </c>
      <c r="Z655" s="50" t="s">
        <v>2187</v>
      </c>
      <c r="AA655" s="38"/>
      <c r="AB655" s="38"/>
      <c r="AC655" s="38"/>
      <c r="AD655" s="51">
        <v>67</v>
      </c>
      <c r="AE655" s="51">
        <v>67</v>
      </c>
      <c r="AF655" s="48" t="s">
        <v>203</v>
      </c>
      <c r="AG655" s="38" t="s">
        <v>204</v>
      </c>
      <c r="AH655" s="52"/>
      <c r="AI655" s="38"/>
      <c r="AJ655" s="38"/>
    </row>
    <row r="656" spans="1:36" ht="16.2">
      <c r="A656" s="42" t="s">
        <v>1908</v>
      </c>
      <c r="B656" s="42">
        <v>710129</v>
      </c>
      <c r="C656" s="42" t="s">
        <v>67</v>
      </c>
      <c r="D656" s="42">
        <v>13207659</v>
      </c>
      <c r="E656" s="43" t="s">
        <v>2164</v>
      </c>
      <c r="F656" s="42" t="s">
        <v>2188</v>
      </c>
      <c r="G656" s="42" t="s">
        <v>195</v>
      </c>
      <c r="H656" s="42"/>
      <c r="I656" s="42"/>
      <c r="J656" s="42">
        <v>13207659</v>
      </c>
      <c r="K656" s="42"/>
      <c r="L656" s="44">
        <v>45293</v>
      </c>
      <c r="M656" s="44">
        <v>45293</v>
      </c>
      <c r="N656" s="42" t="s">
        <v>1894</v>
      </c>
      <c r="O656" s="42">
        <v>0</v>
      </c>
      <c r="P656" s="42">
        <v>20078418</v>
      </c>
      <c r="Q656" s="42" t="s">
        <v>2189</v>
      </c>
      <c r="R656" s="45">
        <v>410</v>
      </c>
      <c r="S656" s="46">
        <v>0.01</v>
      </c>
      <c r="T656" s="47" t="s">
        <v>198</v>
      </c>
      <c r="U656" s="48" t="s">
        <v>199</v>
      </c>
      <c r="V656" s="38"/>
      <c r="W656" s="48" t="s">
        <v>195</v>
      </c>
      <c r="X656" s="38" t="s">
        <v>426</v>
      </c>
      <c r="Y656" s="49" t="s">
        <v>427</v>
      </c>
      <c r="Z656" s="50" t="s">
        <v>2190</v>
      </c>
      <c r="AA656" s="38"/>
      <c r="AB656" s="38"/>
      <c r="AC656" s="38"/>
      <c r="AD656" s="51">
        <v>67</v>
      </c>
      <c r="AE656" s="51">
        <v>67</v>
      </c>
      <c r="AF656" s="48" t="s">
        <v>203</v>
      </c>
      <c r="AG656" s="38" t="s">
        <v>204</v>
      </c>
      <c r="AH656" s="52"/>
      <c r="AI656" s="38"/>
      <c r="AJ656" s="38"/>
    </row>
    <row r="657" spans="1:36" ht="16.2">
      <c r="A657" s="53" t="s">
        <v>1908</v>
      </c>
      <c r="B657" s="53">
        <v>710129</v>
      </c>
      <c r="C657" s="53" t="s">
        <v>67</v>
      </c>
      <c r="D657" s="53">
        <v>13207659</v>
      </c>
      <c r="E657" s="54" t="s">
        <v>2164</v>
      </c>
      <c r="F657" s="53" t="s">
        <v>470</v>
      </c>
      <c r="G657" s="53" t="s">
        <v>195</v>
      </c>
      <c r="H657" s="53"/>
      <c r="I657" s="53"/>
      <c r="J657" s="53">
        <v>13207659</v>
      </c>
      <c r="K657" s="53"/>
      <c r="L657" s="55">
        <v>45293</v>
      </c>
      <c r="M657" s="55">
        <v>45293</v>
      </c>
      <c r="N657" s="53" t="s">
        <v>1894</v>
      </c>
      <c r="O657" s="53">
        <v>0</v>
      </c>
      <c r="P657" s="53">
        <v>20078418</v>
      </c>
      <c r="Q657" s="53" t="s">
        <v>2191</v>
      </c>
      <c r="R657" s="45">
        <v>410</v>
      </c>
      <c r="S657" s="56">
        <v>0.01</v>
      </c>
      <c r="T657" s="47" t="s">
        <v>198</v>
      </c>
      <c r="U657" s="48" t="s">
        <v>199</v>
      </c>
      <c r="V657" s="38"/>
      <c r="W657" s="48" t="s">
        <v>195</v>
      </c>
      <c r="X657" s="38" t="s">
        <v>426</v>
      </c>
      <c r="Y657" s="49" t="s">
        <v>427</v>
      </c>
      <c r="Z657" s="50" t="s">
        <v>2192</v>
      </c>
      <c r="AA657" s="38"/>
      <c r="AB657" s="38"/>
      <c r="AC657" s="38"/>
      <c r="AD657" s="51">
        <v>67</v>
      </c>
      <c r="AE657" s="51">
        <v>67</v>
      </c>
      <c r="AF657" s="48" t="s">
        <v>203</v>
      </c>
      <c r="AG657" s="38" t="s">
        <v>204</v>
      </c>
      <c r="AH657" s="52"/>
      <c r="AI657" s="38"/>
      <c r="AJ657" s="38"/>
    </row>
    <row r="658" spans="1:36" ht="16.2">
      <c r="A658" s="42" t="s">
        <v>1908</v>
      </c>
      <c r="B658" s="42">
        <v>710129</v>
      </c>
      <c r="C658" s="42" t="s">
        <v>67</v>
      </c>
      <c r="D658" s="42">
        <v>13207659</v>
      </c>
      <c r="E658" s="43" t="s">
        <v>2164</v>
      </c>
      <c r="F658" s="42" t="s">
        <v>2193</v>
      </c>
      <c r="G658" s="42" t="s">
        <v>195</v>
      </c>
      <c r="H658" s="42"/>
      <c r="I658" s="42"/>
      <c r="J658" s="42">
        <v>13207659</v>
      </c>
      <c r="K658" s="42"/>
      <c r="L658" s="44">
        <v>45293</v>
      </c>
      <c r="M658" s="44">
        <v>45293</v>
      </c>
      <c r="N658" s="42" t="s">
        <v>1894</v>
      </c>
      <c r="O658" s="42">
        <v>0</v>
      </c>
      <c r="P658" s="42">
        <v>20078418</v>
      </c>
      <c r="Q658" s="42" t="s">
        <v>2194</v>
      </c>
      <c r="R658" s="45">
        <v>410</v>
      </c>
      <c r="S658" s="46">
        <v>0.01</v>
      </c>
      <c r="T658" s="47" t="s">
        <v>198</v>
      </c>
      <c r="U658" s="48" t="s">
        <v>199</v>
      </c>
      <c r="V658" s="38"/>
      <c r="W658" s="48" t="s">
        <v>195</v>
      </c>
      <c r="X658" s="38" t="s">
        <v>426</v>
      </c>
      <c r="Y658" s="49" t="s">
        <v>427</v>
      </c>
      <c r="Z658" s="50" t="s">
        <v>2195</v>
      </c>
      <c r="AA658" s="38"/>
      <c r="AB658" s="38"/>
      <c r="AC658" s="38"/>
      <c r="AD658" s="51">
        <v>67</v>
      </c>
      <c r="AE658" s="51">
        <v>67</v>
      </c>
      <c r="AF658" s="48" t="s">
        <v>203</v>
      </c>
      <c r="AG658" s="38" t="s">
        <v>204</v>
      </c>
      <c r="AH658" s="52"/>
      <c r="AI658" s="38"/>
      <c r="AJ658" s="38"/>
    </row>
    <row r="659" spans="1:36" ht="16.2">
      <c r="A659" s="53" t="s">
        <v>1908</v>
      </c>
      <c r="B659" s="53">
        <v>710129</v>
      </c>
      <c r="C659" s="53" t="s">
        <v>67</v>
      </c>
      <c r="D659" s="53">
        <v>13207659</v>
      </c>
      <c r="E659" s="54" t="s">
        <v>2164</v>
      </c>
      <c r="F659" s="53" t="s">
        <v>2196</v>
      </c>
      <c r="G659" s="53" t="s">
        <v>195</v>
      </c>
      <c r="H659" s="53"/>
      <c r="I659" s="53"/>
      <c r="J659" s="53">
        <v>13207659</v>
      </c>
      <c r="K659" s="53"/>
      <c r="L659" s="55">
        <v>45293</v>
      </c>
      <c r="M659" s="55">
        <v>45293</v>
      </c>
      <c r="N659" s="53" t="s">
        <v>1894</v>
      </c>
      <c r="O659" s="53">
        <v>0</v>
      </c>
      <c r="P659" s="53">
        <v>20078418</v>
      </c>
      <c r="Q659" s="53" t="s">
        <v>2197</v>
      </c>
      <c r="R659" s="45">
        <v>410</v>
      </c>
      <c r="S659" s="56">
        <v>0.01</v>
      </c>
      <c r="T659" s="47" t="s">
        <v>198</v>
      </c>
      <c r="U659" s="48" t="s">
        <v>199</v>
      </c>
      <c r="V659" s="38"/>
      <c r="W659" s="48" t="s">
        <v>195</v>
      </c>
      <c r="X659" s="38" t="s">
        <v>426</v>
      </c>
      <c r="Y659" s="49" t="s">
        <v>427</v>
      </c>
      <c r="Z659" s="50" t="s">
        <v>2198</v>
      </c>
      <c r="AA659" s="38"/>
      <c r="AB659" s="38"/>
      <c r="AC659" s="38"/>
      <c r="AD659" s="51">
        <v>67</v>
      </c>
      <c r="AE659" s="51">
        <v>67</v>
      </c>
      <c r="AF659" s="48" t="s">
        <v>203</v>
      </c>
      <c r="AG659" s="38" t="s">
        <v>204</v>
      </c>
      <c r="AH659" s="52"/>
      <c r="AI659" s="38"/>
      <c r="AJ659" s="38"/>
    </row>
    <row r="660" spans="1:36" ht="16.2">
      <c r="A660" s="42" t="s">
        <v>1908</v>
      </c>
      <c r="B660" s="42">
        <v>710129</v>
      </c>
      <c r="C660" s="42" t="s">
        <v>67</v>
      </c>
      <c r="D660" s="42">
        <v>13207659</v>
      </c>
      <c r="E660" s="43" t="s">
        <v>2164</v>
      </c>
      <c r="F660" s="42" t="s">
        <v>2199</v>
      </c>
      <c r="G660" s="42" t="s">
        <v>195</v>
      </c>
      <c r="H660" s="42"/>
      <c r="I660" s="42"/>
      <c r="J660" s="42">
        <v>13207659</v>
      </c>
      <c r="K660" s="42"/>
      <c r="L660" s="44">
        <v>45293</v>
      </c>
      <c r="M660" s="44">
        <v>45293</v>
      </c>
      <c r="N660" s="42" t="s">
        <v>1894</v>
      </c>
      <c r="O660" s="42">
        <v>0</v>
      </c>
      <c r="P660" s="42">
        <v>20078418</v>
      </c>
      <c r="Q660" s="42" t="s">
        <v>2200</v>
      </c>
      <c r="R660" s="45">
        <v>410</v>
      </c>
      <c r="S660" s="46">
        <v>0.01</v>
      </c>
      <c r="T660" s="47" t="s">
        <v>198</v>
      </c>
      <c r="U660" s="48" t="s">
        <v>199</v>
      </c>
      <c r="V660" s="38"/>
      <c r="W660" s="48" t="s">
        <v>195</v>
      </c>
      <c r="X660" s="38" t="s">
        <v>426</v>
      </c>
      <c r="Y660" s="49" t="s">
        <v>427</v>
      </c>
      <c r="Z660" s="50" t="s">
        <v>2201</v>
      </c>
      <c r="AA660" s="38"/>
      <c r="AB660" s="38"/>
      <c r="AC660" s="38"/>
      <c r="AD660" s="51">
        <v>67</v>
      </c>
      <c r="AE660" s="51">
        <v>67</v>
      </c>
      <c r="AF660" s="48" t="s">
        <v>203</v>
      </c>
      <c r="AG660" s="38" t="s">
        <v>204</v>
      </c>
      <c r="AH660" s="52"/>
      <c r="AI660" s="38"/>
      <c r="AJ660" s="38"/>
    </row>
    <row r="661" spans="1:36" ht="16.2">
      <c r="A661" s="53" t="s">
        <v>1908</v>
      </c>
      <c r="B661" s="53">
        <v>710129</v>
      </c>
      <c r="C661" s="53" t="s">
        <v>67</v>
      </c>
      <c r="D661" s="53">
        <v>13207659</v>
      </c>
      <c r="E661" s="54" t="s">
        <v>2164</v>
      </c>
      <c r="F661" s="53" t="s">
        <v>2202</v>
      </c>
      <c r="G661" s="53" t="s">
        <v>195</v>
      </c>
      <c r="H661" s="53"/>
      <c r="I661" s="53"/>
      <c r="J661" s="53">
        <v>13207659</v>
      </c>
      <c r="K661" s="53"/>
      <c r="L661" s="55">
        <v>45293</v>
      </c>
      <c r="M661" s="55">
        <v>45293</v>
      </c>
      <c r="N661" s="53" t="s">
        <v>1894</v>
      </c>
      <c r="O661" s="53">
        <v>0</v>
      </c>
      <c r="P661" s="53">
        <v>20078418</v>
      </c>
      <c r="Q661" s="53" t="s">
        <v>2203</v>
      </c>
      <c r="R661" s="45">
        <v>410</v>
      </c>
      <c r="S661" s="56">
        <v>0.01</v>
      </c>
      <c r="T661" s="47" t="s">
        <v>198</v>
      </c>
      <c r="U661" s="48" t="s">
        <v>199</v>
      </c>
      <c r="V661" s="38"/>
      <c r="W661" s="48" t="s">
        <v>195</v>
      </c>
      <c r="X661" s="38" t="s">
        <v>426</v>
      </c>
      <c r="Y661" s="49" t="s">
        <v>427</v>
      </c>
      <c r="Z661" s="50" t="s">
        <v>2204</v>
      </c>
      <c r="AA661" s="38"/>
      <c r="AB661" s="38"/>
      <c r="AC661" s="38"/>
      <c r="AD661" s="51">
        <v>67</v>
      </c>
      <c r="AE661" s="51">
        <v>67</v>
      </c>
      <c r="AF661" s="48" t="s">
        <v>203</v>
      </c>
      <c r="AG661" s="38" t="s">
        <v>204</v>
      </c>
      <c r="AH661" s="52"/>
      <c r="AI661" s="38"/>
      <c r="AJ661" s="38"/>
    </row>
    <row r="662" spans="1:36" ht="16.2">
      <c r="A662" s="42" t="s">
        <v>1908</v>
      </c>
      <c r="B662" s="42">
        <v>710129</v>
      </c>
      <c r="C662" s="42" t="s">
        <v>67</v>
      </c>
      <c r="D662" s="42">
        <v>13207659</v>
      </c>
      <c r="E662" s="43" t="s">
        <v>2164</v>
      </c>
      <c r="F662" s="42" t="s">
        <v>2205</v>
      </c>
      <c r="G662" s="42" t="s">
        <v>195</v>
      </c>
      <c r="H662" s="42"/>
      <c r="I662" s="42"/>
      <c r="J662" s="42">
        <v>13207659</v>
      </c>
      <c r="K662" s="42"/>
      <c r="L662" s="44">
        <v>45293</v>
      </c>
      <c r="M662" s="44">
        <v>45293</v>
      </c>
      <c r="N662" s="42" t="s">
        <v>1894</v>
      </c>
      <c r="O662" s="42">
        <v>0</v>
      </c>
      <c r="P662" s="42">
        <v>20078418</v>
      </c>
      <c r="Q662" s="42" t="s">
        <v>2206</v>
      </c>
      <c r="R662" s="45">
        <v>410</v>
      </c>
      <c r="S662" s="46">
        <v>0.01</v>
      </c>
      <c r="T662" s="47" t="s">
        <v>198</v>
      </c>
      <c r="U662" s="48" t="s">
        <v>199</v>
      </c>
      <c r="V662" s="38"/>
      <c r="W662" s="48" t="s">
        <v>195</v>
      </c>
      <c r="X662" s="38" t="s">
        <v>426</v>
      </c>
      <c r="Y662" s="49" t="s">
        <v>427</v>
      </c>
      <c r="Z662" s="50" t="s">
        <v>2207</v>
      </c>
      <c r="AA662" s="38"/>
      <c r="AB662" s="38"/>
      <c r="AC662" s="38"/>
      <c r="AD662" s="51">
        <v>67</v>
      </c>
      <c r="AE662" s="51">
        <v>67</v>
      </c>
      <c r="AF662" s="48" t="s">
        <v>203</v>
      </c>
      <c r="AG662" s="38" t="s">
        <v>204</v>
      </c>
      <c r="AH662" s="52"/>
      <c r="AI662" s="38"/>
      <c r="AJ662" s="38"/>
    </row>
    <row r="663" spans="1:36" ht="16.2">
      <c r="A663" s="53" t="s">
        <v>1908</v>
      </c>
      <c r="B663" s="53">
        <v>710129</v>
      </c>
      <c r="C663" s="53" t="s">
        <v>67</v>
      </c>
      <c r="D663" s="53">
        <v>13207659</v>
      </c>
      <c r="E663" s="54" t="s">
        <v>2164</v>
      </c>
      <c r="F663" s="53" t="s">
        <v>2208</v>
      </c>
      <c r="G663" s="53" t="s">
        <v>195</v>
      </c>
      <c r="H663" s="53"/>
      <c r="I663" s="53"/>
      <c r="J663" s="53">
        <v>13207659</v>
      </c>
      <c r="K663" s="53"/>
      <c r="L663" s="55">
        <v>45293</v>
      </c>
      <c r="M663" s="55">
        <v>45293</v>
      </c>
      <c r="N663" s="53" t="s">
        <v>1894</v>
      </c>
      <c r="O663" s="53">
        <v>0</v>
      </c>
      <c r="P663" s="53">
        <v>20078418</v>
      </c>
      <c r="Q663" s="53" t="s">
        <v>2209</v>
      </c>
      <c r="R663" s="45">
        <v>410</v>
      </c>
      <c r="S663" s="56">
        <v>0.01</v>
      </c>
      <c r="T663" s="47" t="s">
        <v>198</v>
      </c>
      <c r="U663" s="48" t="s">
        <v>199</v>
      </c>
      <c r="V663" s="38"/>
      <c r="W663" s="48" t="s">
        <v>195</v>
      </c>
      <c r="X663" s="38" t="s">
        <v>426</v>
      </c>
      <c r="Y663" s="49" t="s">
        <v>427</v>
      </c>
      <c r="Z663" s="50" t="s">
        <v>2210</v>
      </c>
      <c r="AA663" s="38"/>
      <c r="AB663" s="38"/>
      <c r="AC663" s="38"/>
      <c r="AD663" s="51">
        <v>67</v>
      </c>
      <c r="AE663" s="51">
        <v>67</v>
      </c>
      <c r="AF663" s="48" t="s">
        <v>203</v>
      </c>
      <c r="AG663" s="38" t="s">
        <v>204</v>
      </c>
      <c r="AH663" s="52"/>
      <c r="AI663" s="38"/>
      <c r="AJ663" s="38"/>
    </row>
    <row r="664" spans="1:36" ht="16.2">
      <c r="A664" s="42" t="s">
        <v>1908</v>
      </c>
      <c r="B664" s="42">
        <v>710129</v>
      </c>
      <c r="C664" s="42" t="s">
        <v>67</v>
      </c>
      <c r="D664" s="42">
        <v>13207659</v>
      </c>
      <c r="E664" s="43" t="s">
        <v>2164</v>
      </c>
      <c r="F664" s="42" t="s">
        <v>2211</v>
      </c>
      <c r="G664" s="42" t="s">
        <v>195</v>
      </c>
      <c r="H664" s="42"/>
      <c r="I664" s="42"/>
      <c r="J664" s="42">
        <v>13207659</v>
      </c>
      <c r="K664" s="42"/>
      <c r="L664" s="44">
        <v>45293</v>
      </c>
      <c r="M664" s="44">
        <v>45293</v>
      </c>
      <c r="N664" s="42" t="s">
        <v>1894</v>
      </c>
      <c r="O664" s="42">
        <v>0</v>
      </c>
      <c r="P664" s="42">
        <v>20078418</v>
      </c>
      <c r="Q664" s="42" t="s">
        <v>2212</v>
      </c>
      <c r="R664" s="45">
        <v>410</v>
      </c>
      <c r="S664" s="46">
        <v>0.01</v>
      </c>
      <c r="T664" s="47" t="s">
        <v>198</v>
      </c>
      <c r="U664" s="48" t="s">
        <v>199</v>
      </c>
      <c r="V664" s="38"/>
      <c r="W664" s="48" t="s">
        <v>195</v>
      </c>
      <c r="X664" s="38" t="s">
        <v>426</v>
      </c>
      <c r="Y664" s="49" t="s">
        <v>427</v>
      </c>
      <c r="Z664" s="50" t="s">
        <v>2213</v>
      </c>
      <c r="AA664" s="38"/>
      <c r="AB664" s="38"/>
      <c r="AC664" s="38"/>
      <c r="AD664" s="51">
        <v>67</v>
      </c>
      <c r="AE664" s="51">
        <v>67</v>
      </c>
      <c r="AF664" s="48" t="s">
        <v>203</v>
      </c>
      <c r="AG664" s="38" t="s">
        <v>204</v>
      </c>
      <c r="AH664" s="52"/>
      <c r="AI664" s="38"/>
      <c r="AJ664" s="38"/>
    </row>
    <row r="665" spans="1:36" ht="16.2">
      <c r="A665" s="53" t="s">
        <v>1908</v>
      </c>
      <c r="B665" s="53">
        <v>710129</v>
      </c>
      <c r="C665" s="53" t="s">
        <v>67</v>
      </c>
      <c r="D665" s="53">
        <v>13207659</v>
      </c>
      <c r="E665" s="54" t="s">
        <v>2164</v>
      </c>
      <c r="F665" s="53" t="s">
        <v>2214</v>
      </c>
      <c r="G665" s="53" t="s">
        <v>195</v>
      </c>
      <c r="H665" s="53"/>
      <c r="I665" s="53"/>
      <c r="J665" s="53">
        <v>13207659</v>
      </c>
      <c r="K665" s="53"/>
      <c r="L665" s="55">
        <v>45293</v>
      </c>
      <c r="M665" s="55">
        <v>45293</v>
      </c>
      <c r="N665" s="53" t="s">
        <v>1894</v>
      </c>
      <c r="O665" s="53">
        <v>0</v>
      </c>
      <c r="P665" s="53">
        <v>20078418</v>
      </c>
      <c r="Q665" s="53" t="s">
        <v>2215</v>
      </c>
      <c r="R665" s="45">
        <v>410</v>
      </c>
      <c r="S665" s="56">
        <v>0.01</v>
      </c>
      <c r="T665" s="47" t="s">
        <v>198</v>
      </c>
      <c r="U665" s="48" t="s">
        <v>199</v>
      </c>
      <c r="V665" s="38"/>
      <c r="W665" s="48" t="s">
        <v>195</v>
      </c>
      <c r="X665" s="38" t="s">
        <v>426</v>
      </c>
      <c r="Y665" s="49" t="s">
        <v>427</v>
      </c>
      <c r="Z665" s="50" t="s">
        <v>2216</v>
      </c>
      <c r="AA665" s="38"/>
      <c r="AB665" s="38"/>
      <c r="AC665" s="38"/>
      <c r="AD665" s="51">
        <v>67</v>
      </c>
      <c r="AE665" s="51">
        <v>67</v>
      </c>
      <c r="AF665" s="48" t="s">
        <v>203</v>
      </c>
      <c r="AG665" s="38" t="s">
        <v>204</v>
      </c>
      <c r="AH665" s="52"/>
      <c r="AI665" s="38"/>
      <c r="AJ665" s="38"/>
    </row>
    <row r="666" spans="1:36" ht="16.2">
      <c r="A666" s="42" t="s">
        <v>836</v>
      </c>
      <c r="B666" s="42">
        <v>560027</v>
      </c>
      <c r="C666" s="42" t="s">
        <v>2217</v>
      </c>
      <c r="D666" s="42">
        <v>13207520</v>
      </c>
      <c r="E666" s="43" t="s">
        <v>2218</v>
      </c>
      <c r="F666" s="42" t="s">
        <v>2219</v>
      </c>
      <c r="G666" s="42" t="s">
        <v>195</v>
      </c>
      <c r="H666" s="42"/>
      <c r="I666" s="42"/>
      <c r="J666" s="42">
        <v>13207520</v>
      </c>
      <c r="K666" s="42"/>
      <c r="L666" s="44">
        <v>45293</v>
      </c>
      <c r="M666" s="44">
        <v>45293</v>
      </c>
      <c r="N666" s="42" t="s">
        <v>1190</v>
      </c>
      <c r="O666" s="42">
        <v>0</v>
      </c>
      <c r="P666" s="42">
        <v>20031102</v>
      </c>
      <c r="Q666" s="42" t="s">
        <v>2220</v>
      </c>
      <c r="R666" s="45">
        <v>410</v>
      </c>
      <c r="S666" s="46">
        <v>0.01</v>
      </c>
      <c r="T666" s="47" t="s">
        <v>198</v>
      </c>
      <c r="U666" s="48" t="s">
        <v>199</v>
      </c>
      <c r="V666" s="38"/>
      <c r="W666" s="48" t="s">
        <v>195</v>
      </c>
      <c r="X666" s="38" t="s">
        <v>200</v>
      </c>
      <c r="Y666" s="49" t="s">
        <v>201</v>
      </c>
      <c r="Z666" s="50" t="s">
        <v>2221</v>
      </c>
      <c r="AA666" s="38"/>
      <c r="AB666" s="38"/>
      <c r="AC666" s="38"/>
      <c r="AD666" s="51">
        <v>62</v>
      </c>
      <c r="AE666" s="51">
        <v>62</v>
      </c>
      <c r="AF666" s="48" t="s">
        <v>203</v>
      </c>
      <c r="AG666" s="38" t="s">
        <v>204</v>
      </c>
      <c r="AH666" s="52"/>
      <c r="AI666" s="38"/>
      <c r="AJ666" s="38"/>
    </row>
    <row r="667" spans="1:36" ht="16.2">
      <c r="A667" s="53" t="s">
        <v>836</v>
      </c>
      <c r="B667" s="53">
        <v>560027</v>
      </c>
      <c r="C667" s="53" t="s">
        <v>2217</v>
      </c>
      <c r="D667" s="53">
        <v>13207520</v>
      </c>
      <c r="E667" s="54" t="s">
        <v>2218</v>
      </c>
      <c r="F667" s="53" t="s">
        <v>2222</v>
      </c>
      <c r="G667" s="53" t="s">
        <v>195</v>
      </c>
      <c r="H667" s="53"/>
      <c r="I667" s="53"/>
      <c r="J667" s="53">
        <v>13207520</v>
      </c>
      <c r="K667" s="53"/>
      <c r="L667" s="55">
        <v>45293</v>
      </c>
      <c r="M667" s="55">
        <v>45293</v>
      </c>
      <c r="N667" s="53" t="s">
        <v>1190</v>
      </c>
      <c r="O667" s="53">
        <v>0</v>
      </c>
      <c r="P667" s="53">
        <v>20031102</v>
      </c>
      <c r="Q667" s="53" t="s">
        <v>2223</v>
      </c>
      <c r="R667" s="45">
        <v>410</v>
      </c>
      <c r="S667" s="56">
        <v>0.01</v>
      </c>
      <c r="T667" s="47" t="s">
        <v>198</v>
      </c>
      <c r="U667" s="48" t="s">
        <v>199</v>
      </c>
      <c r="V667" s="38"/>
      <c r="W667" s="48" t="s">
        <v>195</v>
      </c>
      <c r="X667" s="38" t="s">
        <v>200</v>
      </c>
      <c r="Y667" s="49" t="s">
        <v>201</v>
      </c>
      <c r="Z667" s="50" t="s">
        <v>2224</v>
      </c>
      <c r="AA667" s="38"/>
      <c r="AB667" s="38"/>
      <c r="AC667" s="38"/>
      <c r="AD667" s="51">
        <v>62</v>
      </c>
      <c r="AE667" s="51">
        <v>62</v>
      </c>
      <c r="AF667" s="48" t="s">
        <v>203</v>
      </c>
      <c r="AG667" s="38" t="s">
        <v>204</v>
      </c>
      <c r="AH667" s="52"/>
      <c r="AI667" s="38"/>
      <c r="AJ667" s="38"/>
    </row>
    <row r="668" spans="1:36" ht="16.2">
      <c r="A668" s="42" t="s">
        <v>836</v>
      </c>
      <c r="B668" s="42">
        <v>560027</v>
      </c>
      <c r="C668" s="42" t="s">
        <v>2217</v>
      </c>
      <c r="D668" s="42">
        <v>13207520</v>
      </c>
      <c r="E668" s="43" t="s">
        <v>2218</v>
      </c>
      <c r="F668" s="42" t="s">
        <v>2225</v>
      </c>
      <c r="G668" s="42" t="s">
        <v>195</v>
      </c>
      <c r="H668" s="42"/>
      <c r="I668" s="42"/>
      <c r="J668" s="42">
        <v>13207520</v>
      </c>
      <c r="K668" s="42"/>
      <c r="L668" s="44">
        <v>45293</v>
      </c>
      <c r="M668" s="44">
        <v>45293</v>
      </c>
      <c r="N668" s="42" t="s">
        <v>1190</v>
      </c>
      <c r="O668" s="42">
        <v>0</v>
      </c>
      <c r="P668" s="42">
        <v>20031102</v>
      </c>
      <c r="Q668" s="42" t="s">
        <v>2226</v>
      </c>
      <c r="R668" s="45">
        <v>410</v>
      </c>
      <c r="S668" s="46">
        <v>0.01</v>
      </c>
      <c r="T668" s="47" t="s">
        <v>198</v>
      </c>
      <c r="U668" s="48" t="s">
        <v>199</v>
      </c>
      <c r="V668" s="38"/>
      <c r="W668" s="48" t="s">
        <v>195</v>
      </c>
      <c r="X668" s="38" t="s">
        <v>200</v>
      </c>
      <c r="Y668" s="49" t="s">
        <v>201</v>
      </c>
      <c r="Z668" s="50" t="s">
        <v>2227</v>
      </c>
      <c r="AA668" s="38"/>
      <c r="AB668" s="38"/>
      <c r="AC668" s="38"/>
      <c r="AD668" s="51">
        <v>62</v>
      </c>
      <c r="AE668" s="51">
        <v>62</v>
      </c>
      <c r="AF668" s="48" t="s">
        <v>203</v>
      </c>
      <c r="AG668" s="38" t="s">
        <v>204</v>
      </c>
      <c r="AH668" s="52"/>
      <c r="AI668" s="38"/>
      <c r="AJ668" s="38"/>
    </row>
    <row r="669" spans="1:36" ht="16.2">
      <c r="A669" s="53" t="s">
        <v>836</v>
      </c>
      <c r="B669" s="53">
        <v>560027</v>
      </c>
      <c r="C669" s="53" t="s">
        <v>2217</v>
      </c>
      <c r="D669" s="53">
        <v>13207520</v>
      </c>
      <c r="E669" s="54" t="s">
        <v>2218</v>
      </c>
      <c r="F669" s="53" t="s">
        <v>2228</v>
      </c>
      <c r="G669" s="53" t="s">
        <v>195</v>
      </c>
      <c r="H669" s="53"/>
      <c r="I669" s="53"/>
      <c r="J669" s="53">
        <v>13207520</v>
      </c>
      <c r="K669" s="53"/>
      <c r="L669" s="55">
        <v>45293</v>
      </c>
      <c r="M669" s="55">
        <v>45293</v>
      </c>
      <c r="N669" s="53" t="s">
        <v>1190</v>
      </c>
      <c r="O669" s="53">
        <v>0</v>
      </c>
      <c r="P669" s="53">
        <v>20031102</v>
      </c>
      <c r="Q669" s="53" t="s">
        <v>2229</v>
      </c>
      <c r="R669" s="45">
        <v>410</v>
      </c>
      <c r="S669" s="56">
        <v>0.01</v>
      </c>
      <c r="T669" s="47" t="s">
        <v>198</v>
      </c>
      <c r="U669" s="48" t="s">
        <v>199</v>
      </c>
      <c r="V669" s="38"/>
      <c r="W669" s="48" t="s">
        <v>195</v>
      </c>
      <c r="X669" s="38" t="s">
        <v>200</v>
      </c>
      <c r="Y669" s="49" t="s">
        <v>201</v>
      </c>
      <c r="Z669" s="50" t="s">
        <v>2230</v>
      </c>
      <c r="AA669" s="38"/>
      <c r="AB669" s="38"/>
      <c r="AC669" s="38"/>
      <c r="AD669" s="51">
        <v>62</v>
      </c>
      <c r="AE669" s="51">
        <v>62</v>
      </c>
      <c r="AF669" s="48" t="s">
        <v>203</v>
      </c>
      <c r="AG669" s="38" t="s">
        <v>204</v>
      </c>
      <c r="AH669" s="52"/>
      <c r="AI669" s="38"/>
      <c r="AJ669" s="38"/>
    </row>
    <row r="670" spans="1:36" ht="16.2">
      <c r="A670" s="42" t="s">
        <v>836</v>
      </c>
      <c r="B670" s="42">
        <v>560027</v>
      </c>
      <c r="C670" s="42" t="s">
        <v>2217</v>
      </c>
      <c r="D670" s="42">
        <v>13207520</v>
      </c>
      <c r="E670" s="43" t="s">
        <v>2218</v>
      </c>
      <c r="F670" s="42" t="s">
        <v>2118</v>
      </c>
      <c r="G670" s="42" t="s">
        <v>195</v>
      </c>
      <c r="H670" s="42"/>
      <c r="I670" s="42"/>
      <c r="J670" s="42">
        <v>13207520</v>
      </c>
      <c r="K670" s="42"/>
      <c r="L670" s="44">
        <v>45293</v>
      </c>
      <c r="M670" s="44">
        <v>45293</v>
      </c>
      <c r="N670" s="42" t="s">
        <v>1190</v>
      </c>
      <c r="O670" s="42">
        <v>0</v>
      </c>
      <c r="P670" s="42">
        <v>20031102</v>
      </c>
      <c r="Q670" s="42" t="s">
        <v>2231</v>
      </c>
      <c r="R670" s="45">
        <v>410</v>
      </c>
      <c r="S670" s="46">
        <v>0.01</v>
      </c>
      <c r="T670" s="47" t="s">
        <v>198</v>
      </c>
      <c r="U670" s="48" t="s">
        <v>199</v>
      </c>
      <c r="V670" s="38"/>
      <c r="W670" s="48" t="s">
        <v>195</v>
      </c>
      <c r="X670" s="38" t="s">
        <v>200</v>
      </c>
      <c r="Y670" s="49" t="s">
        <v>201</v>
      </c>
      <c r="Z670" s="50" t="s">
        <v>2232</v>
      </c>
      <c r="AA670" s="38"/>
      <c r="AB670" s="38"/>
      <c r="AC670" s="38"/>
      <c r="AD670" s="51">
        <v>62</v>
      </c>
      <c r="AE670" s="51">
        <v>62</v>
      </c>
      <c r="AF670" s="48" t="s">
        <v>203</v>
      </c>
      <c r="AG670" s="38" t="s">
        <v>204</v>
      </c>
      <c r="AH670" s="52"/>
      <c r="AI670" s="38"/>
      <c r="AJ670" s="38"/>
    </row>
    <row r="671" spans="1:36" ht="16.2">
      <c r="A671" s="53" t="s">
        <v>836</v>
      </c>
      <c r="B671" s="53">
        <v>560027</v>
      </c>
      <c r="C671" s="53" t="s">
        <v>2217</v>
      </c>
      <c r="D671" s="53">
        <v>13207520</v>
      </c>
      <c r="E671" s="54" t="s">
        <v>2218</v>
      </c>
      <c r="F671" s="53" t="s">
        <v>1265</v>
      </c>
      <c r="G671" s="53" t="s">
        <v>195</v>
      </c>
      <c r="H671" s="53"/>
      <c r="I671" s="53"/>
      <c r="J671" s="53">
        <v>13207520</v>
      </c>
      <c r="K671" s="53"/>
      <c r="L671" s="55">
        <v>45293</v>
      </c>
      <c r="M671" s="55">
        <v>45293</v>
      </c>
      <c r="N671" s="53" t="s">
        <v>1190</v>
      </c>
      <c r="O671" s="53">
        <v>0</v>
      </c>
      <c r="P671" s="53">
        <v>20031102</v>
      </c>
      <c r="Q671" s="53" t="s">
        <v>2233</v>
      </c>
      <c r="R671" s="45">
        <v>410</v>
      </c>
      <c r="S671" s="56">
        <v>0.01</v>
      </c>
      <c r="T671" s="47" t="s">
        <v>198</v>
      </c>
      <c r="U671" s="48" t="s">
        <v>199</v>
      </c>
      <c r="V671" s="38"/>
      <c r="W671" s="48" t="s">
        <v>195</v>
      </c>
      <c r="X671" s="38" t="s">
        <v>200</v>
      </c>
      <c r="Y671" s="49" t="s">
        <v>201</v>
      </c>
      <c r="Z671" s="50" t="s">
        <v>2234</v>
      </c>
      <c r="AA671" s="38"/>
      <c r="AB671" s="38"/>
      <c r="AC671" s="38"/>
      <c r="AD671" s="51">
        <v>62</v>
      </c>
      <c r="AE671" s="51">
        <v>62</v>
      </c>
      <c r="AF671" s="48" t="s">
        <v>203</v>
      </c>
      <c r="AG671" s="38" t="s">
        <v>204</v>
      </c>
      <c r="AH671" s="52"/>
      <c r="AI671" s="38"/>
      <c r="AJ671" s="38"/>
    </row>
    <row r="672" spans="1:36" ht="16.2">
      <c r="A672" s="42" t="s">
        <v>836</v>
      </c>
      <c r="B672" s="42">
        <v>560027</v>
      </c>
      <c r="C672" s="42" t="s">
        <v>2217</v>
      </c>
      <c r="D672" s="42">
        <v>13207520</v>
      </c>
      <c r="E672" s="43" t="s">
        <v>2218</v>
      </c>
      <c r="F672" s="42" t="s">
        <v>2235</v>
      </c>
      <c r="G672" s="42" t="s">
        <v>195</v>
      </c>
      <c r="H672" s="42"/>
      <c r="I672" s="42"/>
      <c r="J672" s="42">
        <v>13207520</v>
      </c>
      <c r="K672" s="42"/>
      <c r="L672" s="44">
        <v>45293</v>
      </c>
      <c r="M672" s="44">
        <v>45293</v>
      </c>
      <c r="N672" s="42" t="s">
        <v>1190</v>
      </c>
      <c r="O672" s="42">
        <v>0</v>
      </c>
      <c r="P672" s="42">
        <v>20031102</v>
      </c>
      <c r="Q672" s="42" t="s">
        <v>2236</v>
      </c>
      <c r="R672" s="45">
        <v>410</v>
      </c>
      <c r="S672" s="46">
        <v>0.01</v>
      </c>
      <c r="T672" s="47" t="s">
        <v>198</v>
      </c>
      <c r="U672" s="48" t="s">
        <v>199</v>
      </c>
      <c r="V672" s="38"/>
      <c r="W672" s="48" t="s">
        <v>195</v>
      </c>
      <c r="X672" s="38" t="s">
        <v>200</v>
      </c>
      <c r="Y672" s="49" t="s">
        <v>201</v>
      </c>
      <c r="Z672" s="50" t="s">
        <v>2237</v>
      </c>
      <c r="AA672" s="38"/>
      <c r="AB672" s="38"/>
      <c r="AC672" s="38"/>
      <c r="AD672" s="51">
        <v>62</v>
      </c>
      <c r="AE672" s="51">
        <v>62</v>
      </c>
      <c r="AF672" s="48" t="s">
        <v>203</v>
      </c>
      <c r="AG672" s="38" t="s">
        <v>204</v>
      </c>
      <c r="AH672" s="52"/>
      <c r="AI672" s="38"/>
      <c r="AJ672" s="38"/>
    </row>
    <row r="673" spans="1:36" ht="16.2">
      <c r="A673" s="53" t="s">
        <v>836</v>
      </c>
      <c r="B673" s="53">
        <v>560027</v>
      </c>
      <c r="C673" s="53" t="s">
        <v>2217</v>
      </c>
      <c r="D673" s="53">
        <v>13207520</v>
      </c>
      <c r="E673" s="54" t="s">
        <v>2218</v>
      </c>
      <c r="F673" s="53" t="s">
        <v>2238</v>
      </c>
      <c r="G673" s="53" t="s">
        <v>195</v>
      </c>
      <c r="H673" s="53"/>
      <c r="I673" s="53"/>
      <c r="J673" s="53">
        <v>13207520</v>
      </c>
      <c r="K673" s="53"/>
      <c r="L673" s="55">
        <v>45293</v>
      </c>
      <c r="M673" s="55">
        <v>45293</v>
      </c>
      <c r="N673" s="53" t="s">
        <v>1190</v>
      </c>
      <c r="O673" s="53">
        <v>0</v>
      </c>
      <c r="P673" s="53">
        <v>20031102</v>
      </c>
      <c r="Q673" s="53" t="s">
        <v>2239</v>
      </c>
      <c r="R673" s="45">
        <v>410</v>
      </c>
      <c r="S673" s="56">
        <v>0.01</v>
      </c>
      <c r="T673" s="47" t="s">
        <v>198</v>
      </c>
      <c r="U673" s="48" t="s">
        <v>199</v>
      </c>
      <c r="V673" s="38"/>
      <c r="W673" s="48" t="s">
        <v>195</v>
      </c>
      <c r="X673" s="38" t="s">
        <v>200</v>
      </c>
      <c r="Y673" s="49" t="s">
        <v>201</v>
      </c>
      <c r="Z673" s="50" t="s">
        <v>2240</v>
      </c>
      <c r="AA673" s="38"/>
      <c r="AB673" s="38"/>
      <c r="AC673" s="38"/>
      <c r="AD673" s="51">
        <v>62</v>
      </c>
      <c r="AE673" s="51">
        <v>62</v>
      </c>
      <c r="AF673" s="48" t="s">
        <v>203</v>
      </c>
      <c r="AG673" s="38" t="s">
        <v>204</v>
      </c>
      <c r="AH673" s="52"/>
      <c r="AI673" s="38"/>
      <c r="AJ673" s="38"/>
    </row>
    <row r="674" spans="1:36" ht="16.2">
      <c r="A674" s="42" t="s">
        <v>836</v>
      </c>
      <c r="B674" s="42">
        <v>560027</v>
      </c>
      <c r="C674" s="42" t="s">
        <v>2217</v>
      </c>
      <c r="D674" s="42">
        <v>13207520</v>
      </c>
      <c r="E674" s="43" t="s">
        <v>2218</v>
      </c>
      <c r="F674" s="42" t="s">
        <v>2241</v>
      </c>
      <c r="G674" s="42" t="s">
        <v>195</v>
      </c>
      <c r="H674" s="42"/>
      <c r="I674" s="42"/>
      <c r="J674" s="42">
        <v>13207520</v>
      </c>
      <c r="K674" s="42"/>
      <c r="L674" s="44">
        <v>45293</v>
      </c>
      <c r="M674" s="44">
        <v>45293</v>
      </c>
      <c r="N674" s="42" t="s">
        <v>1190</v>
      </c>
      <c r="O674" s="42">
        <v>0</v>
      </c>
      <c r="P674" s="42">
        <v>20031102</v>
      </c>
      <c r="Q674" s="42" t="s">
        <v>2242</v>
      </c>
      <c r="R674" s="45">
        <v>410</v>
      </c>
      <c r="S674" s="46">
        <v>0.01</v>
      </c>
      <c r="T674" s="47" t="s">
        <v>198</v>
      </c>
      <c r="U674" s="48" t="s">
        <v>199</v>
      </c>
      <c r="V674" s="38"/>
      <c r="W674" s="48" t="s">
        <v>195</v>
      </c>
      <c r="X674" s="38" t="s">
        <v>200</v>
      </c>
      <c r="Y674" s="49" t="s">
        <v>201</v>
      </c>
      <c r="Z674" s="50" t="s">
        <v>2243</v>
      </c>
      <c r="AA674" s="38"/>
      <c r="AB674" s="38"/>
      <c r="AC674" s="38"/>
      <c r="AD674" s="51">
        <v>62</v>
      </c>
      <c r="AE674" s="51">
        <v>62</v>
      </c>
      <c r="AF674" s="48" t="s">
        <v>203</v>
      </c>
      <c r="AG674" s="38" t="s">
        <v>204</v>
      </c>
      <c r="AH674" s="52"/>
      <c r="AI674" s="38"/>
      <c r="AJ674" s="38"/>
    </row>
    <row r="675" spans="1:36" ht="16.2">
      <c r="A675" s="53" t="s">
        <v>836</v>
      </c>
      <c r="B675" s="53">
        <v>560027</v>
      </c>
      <c r="C675" s="53" t="s">
        <v>2217</v>
      </c>
      <c r="D675" s="53">
        <v>13207520</v>
      </c>
      <c r="E675" s="54" t="s">
        <v>2218</v>
      </c>
      <c r="F675" s="53" t="s">
        <v>2244</v>
      </c>
      <c r="G675" s="53" t="s">
        <v>195</v>
      </c>
      <c r="H675" s="53"/>
      <c r="I675" s="53"/>
      <c r="J675" s="53">
        <v>13207520</v>
      </c>
      <c r="K675" s="53"/>
      <c r="L675" s="58">
        <v>45293</v>
      </c>
      <c r="M675" s="58">
        <v>45293</v>
      </c>
      <c r="N675" s="53" t="s">
        <v>1190</v>
      </c>
      <c r="O675" s="53">
        <v>0</v>
      </c>
      <c r="P675" s="53">
        <v>20031102</v>
      </c>
      <c r="Q675" s="53" t="s">
        <v>2245</v>
      </c>
      <c r="R675" s="45">
        <v>410</v>
      </c>
      <c r="S675" s="56">
        <v>0.01</v>
      </c>
      <c r="T675" s="47" t="s">
        <v>198</v>
      </c>
      <c r="U675" s="48" t="s">
        <v>199</v>
      </c>
      <c r="V675" s="38"/>
      <c r="W675" s="48" t="s">
        <v>195</v>
      </c>
      <c r="X675" s="38" t="s">
        <v>200</v>
      </c>
      <c r="Y675" s="49" t="s">
        <v>201</v>
      </c>
      <c r="Z675" s="50" t="s">
        <v>2246</v>
      </c>
      <c r="AA675" s="38"/>
      <c r="AB675" s="38"/>
      <c r="AC675" s="38"/>
      <c r="AD675" s="51">
        <v>62</v>
      </c>
      <c r="AE675" s="51">
        <v>62</v>
      </c>
      <c r="AF675" s="48" t="s">
        <v>203</v>
      </c>
      <c r="AG675" s="38" t="s">
        <v>204</v>
      </c>
      <c r="AH675" s="52"/>
      <c r="AI675" s="38"/>
      <c r="AJ675" s="38"/>
    </row>
    <row r="676" spans="1:36" ht="16.2">
      <c r="A676" s="42" t="s">
        <v>836</v>
      </c>
      <c r="B676" s="42">
        <v>560027</v>
      </c>
      <c r="C676" s="42" t="s">
        <v>2217</v>
      </c>
      <c r="D676" s="42">
        <v>13207520</v>
      </c>
      <c r="E676" s="43" t="s">
        <v>2218</v>
      </c>
      <c r="F676" s="42" t="s">
        <v>2247</v>
      </c>
      <c r="G676" s="42" t="s">
        <v>195</v>
      </c>
      <c r="H676" s="42"/>
      <c r="I676" s="42"/>
      <c r="J676" s="42">
        <v>13207520</v>
      </c>
      <c r="K676" s="42"/>
      <c r="L676" s="57">
        <v>45293</v>
      </c>
      <c r="M676" s="57">
        <v>45293</v>
      </c>
      <c r="N676" s="42" t="s">
        <v>1190</v>
      </c>
      <c r="O676" s="42">
        <v>0</v>
      </c>
      <c r="P676" s="42">
        <v>20031102</v>
      </c>
      <c r="Q676" s="42" t="s">
        <v>2248</v>
      </c>
      <c r="R676" s="45">
        <v>410</v>
      </c>
      <c r="S676" s="46">
        <v>0.01</v>
      </c>
      <c r="T676" s="47" t="s">
        <v>198</v>
      </c>
      <c r="U676" s="48" t="s">
        <v>199</v>
      </c>
      <c r="V676" s="38"/>
      <c r="W676" s="48" t="s">
        <v>195</v>
      </c>
      <c r="X676" s="38" t="s">
        <v>200</v>
      </c>
      <c r="Y676" s="49" t="s">
        <v>201</v>
      </c>
      <c r="Z676" s="50" t="s">
        <v>2249</v>
      </c>
      <c r="AA676" s="38"/>
      <c r="AB676" s="38"/>
      <c r="AC676" s="38"/>
      <c r="AD676" s="51">
        <v>62</v>
      </c>
      <c r="AE676" s="51">
        <v>62</v>
      </c>
      <c r="AF676" s="48" t="s">
        <v>203</v>
      </c>
      <c r="AG676" s="38" t="s">
        <v>204</v>
      </c>
      <c r="AH676" s="52"/>
      <c r="AI676" s="38"/>
      <c r="AJ676" s="38"/>
    </row>
    <row r="677" spans="1:36" ht="16.2">
      <c r="A677" s="53" t="s">
        <v>836</v>
      </c>
      <c r="B677" s="53">
        <v>560027</v>
      </c>
      <c r="C677" s="53" t="s">
        <v>2217</v>
      </c>
      <c r="D677" s="53">
        <v>13207520</v>
      </c>
      <c r="E677" s="54" t="s">
        <v>2218</v>
      </c>
      <c r="F677" s="53" t="s">
        <v>2139</v>
      </c>
      <c r="G677" s="53" t="s">
        <v>195</v>
      </c>
      <c r="H677" s="53"/>
      <c r="I677" s="53"/>
      <c r="J677" s="53">
        <v>13207520</v>
      </c>
      <c r="K677" s="53"/>
      <c r="L677" s="58">
        <v>45293</v>
      </c>
      <c r="M677" s="58">
        <v>45293</v>
      </c>
      <c r="N677" s="53" t="s">
        <v>1190</v>
      </c>
      <c r="O677" s="53">
        <v>0</v>
      </c>
      <c r="P677" s="53">
        <v>20031102</v>
      </c>
      <c r="Q677" s="53" t="s">
        <v>2250</v>
      </c>
      <c r="R677" s="45">
        <v>410</v>
      </c>
      <c r="S677" s="56">
        <v>0.01</v>
      </c>
      <c r="T677" s="47" t="s">
        <v>198</v>
      </c>
      <c r="U677" s="48" t="s">
        <v>199</v>
      </c>
      <c r="V677" s="38"/>
      <c r="W677" s="48" t="s">
        <v>195</v>
      </c>
      <c r="X677" s="38" t="s">
        <v>200</v>
      </c>
      <c r="Y677" s="49" t="s">
        <v>201</v>
      </c>
      <c r="Z677" s="50" t="s">
        <v>2251</v>
      </c>
      <c r="AA677" s="38"/>
      <c r="AB677" s="38"/>
      <c r="AC677" s="38"/>
      <c r="AD677" s="51">
        <v>62</v>
      </c>
      <c r="AE677" s="51">
        <v>62</v>
      </c>
      <c r="AF677" s="48" t="s">
        <v>203</v>
      </c>
      <c r="AG677" s="38" t="s">
        <v>204</v>
      </c>
      <c r="AH677" s="52"/>
      <c r="AI677" s="38"/>
      <c r="AJ677" s="38"/>
    </row>
    <row r="678" spans="1:36" ht="16.2">
      <c r="A678" s="42" t="s">
        <v>836</v>
      </c>
      <c r="B678" s="42">
        <v>560027</v>
      </c>
      <c r="C678" s="42" t="s">
        <v>2217</v>
      </c>
      <c r="D678" s="42">
        <v>13207520</v>
      </c>
      <c r="E678" s="43" t="s">
        <v>2218</v>
      </c>
      <c r="F678" s="42" t="s">
        <v>293</v>
      </c>
      <c r="G678" s="42" t="s">
        <v>195</v>
      </c>
      <c r="H678" s="42"/>
      <c r="I678" s="42"/>
      <c r="J678" s="42">
        <v>13207520</v>
      </c>
      <c r="K678" s="42"/>
      <c r="L678" s="57">
        <v>45293</v>
      </c>
      <c r="M678" s="57">
        <v>45293</v>
      </c>
      <c r="N678" s="42" t="s">
        <v>1190</v>
      </c>
      <c r="O678" s="42">
        <v>0</v>
      </c>
      <c r="P678" s="42">
        <v>20031102</v>
      </c>
      <c r="Q678" s="42" t="s">
        <v>2252</v>
      </c>
      <c r="R678" s="45">
        <v>410</v>
      </c>
      <c r="S678" s="46">
        <v>0.01</v>
      </c>
      <c r="T678" s="47" t="s">
        <v>198</v>
      </c>
      <c r="U678" s="48" t="s">
        <v>199</v>
      </c>
      <c r="V678" s="38"/>
      <c r="W678" s="48" t="s">
        <v>195</v>
      </c>
      <c r="X678" s="38" t="s">
        <v>200</v>
      </c>
      <c r="Y678" s="49" t="s">
        <v>201</v>
      </c>
      <c r="Z678" s="50" t="s">
        <v>2253</v>
      </c>
      <c r="AA678" s="38"/>
      <c r="AB678" s="38"/>
      <c r="AC678" s="38"/>
      <c r="AD678" s="51">
        <v>62</v>
      </c>
      <c r="AE678" s="51">
        <v>62</v>
      </c>
      <c r="AF678" s="48" t="s">
        <v>203</v>
      </c>
      <c r="AG678" s="38" t="s">
        <v>204</v>
      </c>
      <c r="AH678" s="52"/>
      <c r="AI678" s="38"/>
      <c r="AJ678" s="38"/>
    </row>
    <row r="679" spans="1:36" ht="16.2">
      <c r="A679" s="53" t="s">
        <v>836</v>
      </c>
      <c r="B679" s="53">
        <v>560027</v>
      </c>
      <c r="C679" s="53" t="s">
        <v>2217</v>
      </c>
      <c r="D679" s="53">
        <v>13207520</v>
      </c>
      <c r="E679" s="54" t="s">
        <v>2218</v>
      </c>
      <c r="F679" s="53" t="s">
        <v>2254</v>
      </c>
      <c r="G679" s="53" t="s">
        <v>195</v>
      </c>
      <c r="H679" s="53"/>
      <c r="I679" s="53"/>
      <c r="J679" s="53">
        <v>13207520</v>
      </c>
      <c r="K679" s="53"/>
      <c r="L679" s="58">
        <v>45293</v>
      </c>
      <c r="M679" s="58">
        <v>45293</v>
      </c>
      <c r="N679" s="53" t="s">
        <v>1190</v>
      </c>
      <c r="O679" s="53">
        <v>0</v>
      </c>
      <c r="P679" s="53">
        <v>20031102</v>
      </c>
      <c r="Q679" s="53" t="s">
        <v>2255</v>
      </c>
      <c r="R679" s="45">
        <v>410</v>
      </c>
      <c r="S679" s="56">
        <v>0.01</v>
      </c>
      <c r="T679" s="47" t="s">
        <v>198</v>
      </c>
      <c r="U679" s="48" t="s">
        <v>199</v>
      </c>
      <c r="V679" s="38"/>
      <c r="W679" s="48" t="s">
        <v>195</v>
      </c>
      <c r="X679" s="38" t="s">
        <v>200</v>
      </c>
      <c r="Y679" s="49" t="s">
        <v>201</v>
      </c>
      <c r="Z679" s="50" t="s">
        <v>2256</v>
      </c>
      <c r="AA679" s="38"/>
      <c r="AB679" s="38"/>
      <c r="AC679" s="38"/>
      <c r="AD679" s="51">
        <v>62</v>
      </c>
      <c r="AE679" s="51">
        <v>62</v>
      </c>
      <c r="AF679" s="48" t="s">
        <v>203</v>
      </c>
      <c r="AG679" s="38" t="s">
        <v>204</v>
      </c>
      <c r="AH679" s="52"/>
      <c r="AI679" s="38"/>
      <c r="AJ679" s="38"/>
    </row>
    <row r="680" spans="1:36" ht="16.2">
      <c r="A680" s="42" t="s">
        <v>836</v>
      </c>
      <c r="B680" s="42">
        <v>560027</v>
      </c>
      <c r="C680" s="42" t="s">
        <v>2217</v>
      </c>
      <c r="D680" s="42">
        <v>13207520</v>
      </c>
      <c r="E680" s="43" t="s">
        <v>2218</v>
      </c>
      <c r="F680" s="42" t="s">
        <v>260</v>
      </c>
      <c r="G680" s="42" t="s">
        <v>195</v>
      </c>
      <c r="H680" s="42"/>
      <c r="I680" s="42"/>
      <c r="J680" s="42">
        <v>13207520</v>
      </c>
      <c r="K680" s="42"/>
      <c r="L680" s="57">
        <v>45293</v>
      </c>
      <c r="M680" s="57">
        <v>45293</v>
      </c>
      <c r="N680" s="42" t="s">
        <v>1190</v>
      </c>
      <c r="O680" s="42">
        <v>0</v>
      </c>
      <c r="P680" s="42">
        <v>20031102</v>
      </c>
      <c r="Q680" s="42" t="s">
        <v>2257</v>
      </c>
      <c r="R680" s="45">
        <v>410</v>
      </c>
      <c r="S680" s="46">
        <v>0.01</v>
      </c>
      <c r="T680" s="47" t="s">
        <v>198</v>
      </c>
      <c r="U680" s="48" t="s">
        <v>199</v>
      </c>
      <c r="V680" s="38"/>
      <c r="W680" s="48" t="s">
        <v>195</v>
      </c>
      <c r="X680" s="38" t="s">
        <v>200</v>
      </c>
      <c r="Y680" s="49" t="s">
        <v>201</v>
      </c>
      <c r="Z680" s="50" t="s">
        <v>2258</v>
      </c>
      <c r="AA680" s="38"/>
      <c r="AB680" s="38"/>
      <c r="AC680" s="38"/>
      <c r="AD680" s="51">
        <v>62</v>
      </c>
      <c r="AE680" s="51">
        <v>62</v>
      </c>
      <c r="AF680" s="48" t="s">
        <v>203</v>
      </c>
      <c r="AG680" s="38" t="s">
        <v>204</v>
      </c>
      <c r="AH680" s="52"/>
      <c r="AI680" s="38"/>
      <c r="AJ680" s="38"/>
    </row>
    <row r="681" spans="1:36" ht="16.2">
      <c r="A681" s="53" t="s">
        <v>836</v>
      </c>
      <c r="B681" s="53">
        <v>560027</v>
      </c>
      <c r="C681" s="53" t="s">
        <v>2217</v>
      </c>
      <c r="D681" s="53">
        <v>13207520</v>
      </c>
      <c r="E681" s="54" t="s">
        <v>2218</v>
      </c>
      <c r="F681" s="53" t="s">
        <v>299</v>
      </c>
      <c r="G681" s="53" t="s">
        <v>195</v>
      </c>
      <c r="H681" s="53"/>
      <c r="I681" s="53"/>
      <c r="J681" s="53">
        <v>13207520</v>
      </c>
      <c r="K681" s="53"/>
      <c r="L681" s="58">
        <v>45293</v>
      </c>
      <c r="M681" s="58">
        <v>45293</v>
      </c>
      <c r="N681" s="53" t="s">
        <v>1190</v>
      </c>
      <c r="O681" s="53">
        <v>0</v>
      </c>
      <c r="P681" s="53">
        <v>20031102</v>
      </c>
      <c r="Q681" s="53" t="s">
        <v>2259</v>
      </c>
      <c r="R681" s="45">
        <v>410</v>
      </c>
      <c r="S681" s="56">
        <v>0.01</v>
      </c>
      <c r="T681" s="47" t="s">
        <v>198</v>
      </c>
      <c r="U681" s="48" t="s">
        <v>199</v>
      </c>
      <c r="V681" s="38"/>
      <c r="W681" s="48" t="s">
        <v>195</v>
      </c>
      <c r="X681" s="38" t="s">
        <v>200</v>
      </c>
      <c r="Y681" s="49" t="s">
        <v>201</v>
      </c>
      <c r="Z681" s="50" t="s">
        <v>2260</v>
      </c>
      <c r="AA681" s="38"/>
      <c r="AB681" s="38"/>
      <c r="AC681" s="38"/>
      <c r="AD681" s="51">
        <v>62</v>
      </c>
      <c r="AE681" s="51">
        <v>62</v>
      </c>
      <c r="AF681" s="48" t="s">
        <v>203</v>
      </c>
      <c r="AG681" s="38" t="s">
        <v>204</v>
      </c>
      <c r="AH681" s="52"/>
      <c r="AI681" s="38"/>
      <c r="AJ681" s="38"/>
    </row>
    <row r="682" spans="1:36" ht="16.2">
      <c r="A682" s="42" t="s">
        <v>238</v>
      </c>
      <c r="B682" s="42">
        <v>560025</v>
      </c>
      <c r="C682" s="42" t="s">
        <v>2217</v>
      </c>
      <c r="D682" s="42">
        <v>13207649</v>
      </c>
      <c r="E682" s="43" t="s">
        <v>2218</v>
      </c>
      <c r="F682" s="42" t="s">
        <v>2219</v>
      </c>
      <c r="G682" s="42" t="s">
        <v>195</v>
      </c>
      <c r="H682" s="42"/>
      <c r="I682" s="42"/>
      <c r="J682" s="42">
        <v>13207649</v>
      </c>
      <c r="K682" s="42"/>
      <c r="L682" s="57">
        <v>45293</v>
      </c>
      <c r="M682" s="57">
        <v>45293</v>
      </c>
      <c r="N682" s="42" t="s">
        <v>2261</v>
      </c>
      <c r="O682" s="42">
        <v>0</v>
      </c>
      <c r="P682" s="42">
        <v>20009951</v>
      </c>
      <c r="Q682" s="42" t="s">
        <v>2262</v>
      </c>
      <c r="R682" s="45">
        <v>410</v>
      </c>
      <c r="S682" s="46">
        <v>0.01</v>
      </c>
      <c r="T682" s="47" t="s">
        <v>198</v>
      </c>
      <c r="U682" s="48" t="s">
        <v>199</v>
      </c>
      <c r="V682" s="38"/>
      <c r="W682" s="48" t="s">
        <v>195</v>
      </c>
      <c r="X682" s="38" t="s">
        <v>200</v>
      </c>
      <c r="Y682" s="49" t="s">
        <v>201</v>
      </c>
      <c r="Z682" s="50" t="s">
        <v>2263</v>
      </c>
      <c r="AA682" s="38"/>
      <c r="AB682" s="38"/>
      <c r="AC682" s="38"/>
      <c r="AD682" s="51">
        <v>16</v>
      </c>
      <c r="AE682" s="51">
        <v>16</v>
      </c>
      <c r="AF682" s="48" t="s">
        <v>203</v>
      </c>
      <c r="AG682" s="38" t="s">
        <v>204</v>
      </c>
      <c r="AH682" s="52"/>
      <c r="AI682" s="38"/>
      <c r="AJ682" s="38"/>
    </row>
    <row r="683" spans="1:36" ht="16.2">
      <c r="A683" s="53" t="s">
        <v>238</v>
      </c>
      <c r="B683" s="53">
        <v>560025</v>
      </c>
      <c r="C683" s="53" t="s">
        <v>2217</v>
      </c>
      <c r="D683" s="53">
        <v>13207649</v>
      </c>
      <c r="E683" s="54" t="s">
        <v>2218</v>
      </c>
      <c r="F683" s="53" t="s">
        <v>2222</v>
      </c>
      <c r="G683" s="53" t="s">
        <v>195</v>
      </c>
      <c r="H683" s="53"/>
      <c r="I683" s="53"/>
      <c r="J683" s="53">
        <v>13207649</v>
      </c>
      <c r="K683" s="53"/>
      <c r="L683" s="58">
        <v>45293</v>
      </c>
      <c r="M683" s="58">
        <v>45293</v>
      </c>
      <c r="N683" s="53" t="s">
        <v>2261</v>
      </c>
      <c r="O683" s="53">
        <v>0</v>
      </c>
      <c r="P683" s="53">
        <v>20009951</v>
      </c>
      <c r="Q683" s="53" t="s">
        <v>2264</v>
      </c>
      <c r="R683" s="45">
        <v>410</v>
      </c>
      <c r="S683" s="56">
        <v>0.01</v>
      </c>
      <c r="T683" s="47" t="s">
        <v>198</v>
      </c>
      <c r="U683" s="48" t="s">
        <v>199</v>
      </c>
      <c r="V683" s="38"/>
      <c r="W683" s="48" t="s">
        <v>195</v>
      </c>
      <c r="X683" s="38" t="s">
        <v>200</v>
      </c>
      <c r="Y683" s="49" t="s">
        <v>201</v>
      </c>
      <c r="Z683" s="50" t="s">
        <v>2265</v>
      </c>
      <c r="AA683" s="38"/>
      <c r="AB683" s="38"/>
      <c r="AC683" s="38"/>
      <c r="AD683" s="51">
        <v>16</v>
      </c>
      <c r="AE683" s="51">
        <v>16</v>
      </c>
      <c r="AF683" s="48" t="s">
        <v>203</v>
      </c>
      <c r="AG683" s="38" t="s">
        <v>204</v>
      </c>
      <c r="AH683" s="52"/>
      <c r="AI683" s="38"/>
      <c r="AJ683" s="38"/>
    </row>
    <row r="684" spans="1:36" ht="16.2">
      <c r="A684" s="42" t="s">
        <v>238</v>
      </c>
      <c r="B684" s="42">
        <v>560025</v>
      </c>
      <c r="C684" s="42" t="s">
        <v>2217</v>
      </c>
      <c r="D684" s="42">
        <v>13207649</v>
      </c>
      <c r="E684" s="43" t="s">
        <v>2218</v>
      </c>
      <c r="F684" s="42" t="s">
        <v>2225</v>
      </c>
      <c r="G684" s="42" t="s">
        <v>195</v>
      </c>
      <c r="H684" s="42"/>
      <c r="I684" s="42"/>
      <c r="J684" s="42">
        <v>13207649</v>
      </c>
      <c r="K684" s="42"/>
      <c r="L684" s="57">
        <v>45293</v>
      </c>
      <c r="M684" s="57">
        <v>45293</v>
      </c>
      <c r="N684" s="42" t="s">
        <v>2261</v>
      </c>
      <c r="O684" s="42">
        <v>0</v>
      </c>
      <c r="P684" s="42">
        <v>20009951</v>
      </c>
      <c r="Q684" s="42" t="s">
        <v>2266</v>
      </c>
      <c r="R684" s="45">
        <v>410</v>
      </c>
      <c r="S684" s="46">
        <v>0.01</v>
      </c>
      <c r="T684" s="47" t="s">
        <v>198</v>
      </c>
      <c r="U684" s="48" t="s">
        <v>199</v>
      </c>
      <c r="V684" s="38"/>
      <c r="W684" s="48" t="s">
        <v>195</v>
      </c>
      <c r="X684" s="38" t="s">
        <v>200</v>
      </c>
      <c r="Y684" s="49" t="s">
        <v>201</v>
      </c>
      <c r="Z684" s="50" t="s">
        <v>2267</v>
      </c>
      <c r="AA684" s="38"/>
      <c r="AB684" s="38"/>
      <c r="AC684" s="38"/>
      <c r="AD684" s="51">
        <v>16</v>
      </c>
      <c r="AE684" s="51">
        <v>16</v>
      </c>
      <c r="AF684" s="48" t="s">
        <v>203</v>
      </c>
      <c r="AG684" s="38" t="s">
        <v>204</v>
      </c>
      <c r="AH684" s="52"/>
      <c r="AI684" s="38"/>
      <c r="AJ684" s="38"/>
    </row>
    <row r="685" spans="1:36" ht="16.2">
      <c r="A685" s="53" t="s">
        <v>238</v>
      </c>
      <c r="B685" s="53">
        <v>560025</v>
      </c>
      <c r="C685" s="53" t="s">
        <v>2217</v>
      </c>
      <c r="D685" s="53">
        <v>13207649</v>
      </c>
      <c r="E685" s="54" t="s">
        <v>2218</v>
      </c>
      <c r="F685" s="53" t="s">
        <v>2228</v>
      </c>
      <c r="G685" s="53" t="s">
        <v>195</v>
      </c>
      <c r="H685" s="53"/>
      <c r="I685" s="53"/>
      <c r="J685" s="53">
        <v>13207649</v>
      </c>
      <c r="K685" s="53"/>
      <c r="L685" s="58">
        <v>45293</v>
      </c>
      <c r="M685" s="58">
        <v>45293</v>
      </c>
      <c r="N685" s="53" t="s">
        <v>2261</v>
      </c>
      <c r="O685" s="53">
        <v>0</v>
      </c>
      <c r="P685" s="53">
        <v>20009951</v>
      </c>
      <c r="Q685" s="53" t="s">
        <v>2268</v>
      </c>
      <c r="R685" s="45">
        <v>410</v>
      </c>
      <c r="S685" s="56">
        <v>0.01</v>
      </c>
      <c r="T685" s="47" t="s">
        <v>198</v>
      </c>
      <c r="U685" s="48" t="s">
        <v>199</v>
      </c>
      <c r="V685" s="38"/>
      <c r="W685" s="48" t="s">
        <v>195</v>
      </c>
      <c r="X685" s="38" t="s">
        <v>200</v>
      </c>
      <c r="Y685" s="49" t="s">
        <v>201</v>
      </c>
      <c r="Z685" s="50" t="s">
        <v>2269</v>
      </c>
      <c r="AA685" s="38"/>
      <c r="AB685" s="38"/>
      <c r="AC685" s="38"/>
      <c r="AD685" s="51">
        <v>16</v>
      </c>
      <c r="AE685" s="51">
        <v>16</v>
      </c>
      <c r="AF685" s="48" t="s">
        <v>203</v>
      </c>
      <c r="AG685" s="38" t="s">
        <v>204</v>
      </c>
      <c r="AH685" s="52"/>
      <c r="AI685" s="38"/>
      <c r="AJ685" s="38"/>
    </row>
    <row r="686" spans="1:36" ht="16.2">
      <c r="A686" s="42" t="s">
        <v>238</v>
      </c>
      <c r="B686" s="42">
        <v>560025</v>
      </c>
      <c r="C686" s="42" t="s">
        <v>2217</v>
      </c>
      <c r="D686" s="42">
        <v>13207649</v>
      </c>
      <c r="E686" s="43" t="s">
        <v>2218</v>
      </c>
      <c r="F686" s="42" t="s">
        <v>2118</v>
      </c>
      <c r="G686" s="42" t="s">
        <v>195</v>
      </c>
      <c r="H686" s="42"/>
      <c r="I686" s="42"/>
      <c r="J686" s="42">
        <v>13207649</v>
      </c>
      <c r="K686" s="42"/>
      <c r="L686" s="57">
        <v>45293</v>
      </c>
      <c r="M686" s="57">
        <v>45293</v>
      </c>
      <c r="N686" s="42" t="s">
        <v>2261</v>
      </c>
      <c r="O686" s="42">
        <v>0</v>
      </c>
      <c r="P686" s="42">
        <v>20009951</v>
      </c>
      <c r="Q686" s="42" t="s">
        <v>2270</v>
      </c>
      <c r="R686" s="45">
        <v>410</v>
      </c>
      <c r="S686" s="46">
        <v>0.01</v>
      </c>
      <c r="T686" s="47" t="s">
        <v>198</v>
      </c>
      <c r="U686" s="48" t="s">
        <v>199</v>
      </c>
      <c r="V686" s="38"/>
      <c r="W686" s="48" t="s">
        <v>195</v>
      </c>
      <c r="X686" s="38" t="s">
        <v>200</v>
      </c>
      <c r="Y686" s="49" t="s">
        <v>201</v>
      </c>
      <c r="Z686" s="50" t="s">
        <v>2271</v>
      </c>
      <c r="AA686" s="38"/>
      <c r="AB686" s="38"/>
      <c r="AC686" s="38"/>
      <c r="AD686" s="51">
        <v>16</v>
      </c>
      <c r="AE686" s="51">
        <v>16</v>
      </c>
      <c r="AF686" s="48" t="s">
        <v>203</v>
      </c>
      <c r="AG686" s="38" t="s">
        <v>204</v>
      </c>
      <c r="AH686" s="52"/>
      <c r="AI686" s="38"/>
      <c r="AJ686" s="38"/>
    </row>
    <row r="687" spans="1:36" ht="16.2">
      <c r="A687" s="53" t="s">
        <v>238</v>
      </c>
      <c r="B687" s="53">
        <v>560025</v>
      </c>
      <c r="C687" s="53" t="s">
        <v>2217</v>
      </c>
      <c r="D687" s="53">
        <v>13207649</v>
      </c>
      <c r="E687" s="54" t="s">
        <v>2218</v>
      </c>
      <c r="F687" s="53" t="s">
        <v>1265</v>
      </c>
      <c r="G687" s="53" t="s">
        <v>195</v>
      </c>
      <c r="H687" s="53"/>
      <c r="I687" s="53"/>
      <c r="J687" s="53">
        <v>13207649</v>
      </c>
      <c r="K687" s="53"/>
      <c r="L687" s="58">
        <v>45293</v>
      </c>
      <c r="M687" s="58">
        <v>45293</v>
      </c>
      <c r="N687" s="53" t="s">
        <v>2261</v>
      </c>
      <c r="O687" s="53">
        <v>0</v>
      </c>
      <c r="P687" s="53">
        <v>20009951</v>
      </c>
      <c r="Q687" s="53" t="s">
        <v>2272</v>
      </c>
      <c r="R687" s="45">
        <v>410</v>
      </c>
      <c r="S687" s="56">
        <v>0.01</v>
      </c>
      <c r="T687" s="47" t="s">
        <v>198</v>
      </c>
      <c r="U687" s="48" t="s">
        <v>199</v>
      </c>
      <c r="V687" s="38"/>
      <c r="W687" s="48" t="s">
        <v>195</v>
      </c>
      <c r="X687" s="38" t="s">
        <v>200</v>
      </c>
      <c r="Y687" s="49" t="s">
        <v>201</v>
      </c>
      <c r="Z687" s="50" t="s">
        <v>2273</v>
      </c>
      <c r="AA687" s="38"/>
      <c r="AB687" s="38"/>
      <c r="AC687" s="38"/>
      <c r="AD687" s="51">
        <v>16</v>
      </c>
      <c r="AE687" s="51">
        <v>16</v>
      </c>
      <c r="AF687" s="48" t="s">
        <v>203</v>
      </c>
      <c r="AG687" s="38" t="s">
        <v>204</v>
      </c>
      <c r="AH687" s="52"/>
      <c r="AI687" s="38"/>
      <c r="AJ687" s="38"/>
    </row>
    <row r="688" spans="1:36" ht="16.2">
      <c r="A688" s="42" t="s">
        <v>238</v>
      </c>
      <c r="B688" s="42">
        <v>560025</v>
      </c>
      <c r="C688" s="42" t="s">
        <v>2217</v>
      </c>
      <c r="D688" s="42">
        <v>13207649</v>
      </c>
      <c r="E688" s="43" t="s">
        <v>2218</v>
      </c>
      <c r="F688" s="42" t="s">
        <v>2235</v>
      </c>
      <c r="G688" s="42" t="s">
        <v>195</v>
      </c>
      <c r="H688" s="42"/>
      <c r="I688" s="42"/>
      <c r="J688" s="42">
        <v>13207649</v>
      </c>
      <c r="K688" s="42"/>
      <c r="L688" s="57">
        <v>45293</v>
      </c>
      <c r="M688" s="57">
        <v>45293</v>
      </c>
      <c r="N688" s="42" t="s">
        <v>2261</v>
      </c>
      <c r="O688" s="42">
        <v>0</v>
      </c>
      <c r="P688" s="42">
        <v>20009951</v>
      </c>
      <c r="Q688" s="42" t="s">
        <v>2274</v>
      </c>
      <c r="R688" s="45">
        <v>410</v>
      </c>
      <c r="S688" s="46">
        <v>0.01</v>
      </c>
      <c r="T688" s="47" t="s">
        <v>198</v>
      </c>
      <c r="U688" s="48" t="s">
        <v>199</v>
      </c>
      <c r="V688" s="38"/>
      <c r="W688" s="48" t="s">
        <v>195</v>
      </c>
      <c r="X688" s="38" t="s">
        <v>200</v>
      </c>
      <c r="Y688" s="49" t="s">
        <v>201</v>
      </c>
      <c r="Z688" s="50" t="s">
        <v>2275</v>
      </c>
      <c r="AA688" s="38"/>
      <c r="AB688" s="38"/>
      <c r="AC688" s="38"/>
      <c r="AD688" s="51">
        <v>16</v>
      </c>
      <c r="AE688" s="51">
        <v>16</v>
      </c>
      <c r="AF688" s="48" t="s">
        <v>203</v>
      </c>
      <c r="AG688" s="38" t="s">
        <v>204</v>
      </c>
      <c r="AH688" s="52"/>
      <c r="AI688" s="38"/>
      <c r="AJ688" s="38"/>
    </row>
    <row r="689" spans="1:36" ht="16.2">
      <c r="A689" s="53" t="s">
        <v>238</v>
      </c>
      <c r="B689" s="53">
        <v>560025</v>
      </c>
      <c r="C689" s="53" t="s">
        <v>2217</v>
      </c>
      <c r="D689" s="53">
        <v>13207649</v>
      </c>
      <c r="E689" s="54" t="s">
        <v>2218</v>
      </c>
      <c r="F689" s="53" t="s">
        <v>2238</v>
      </c>
      <c r="G689" s="53" t="s">
        <v>195</v>
      </c>
      <c r="H689" s="53"/>
      <c r="I689" s="53"/>
      <c r="J689" s="53">
        <v>13207649</v>
      </c>
      <c r="K689" s="53"/>
      <c r="L689" s="58">
        <v>45293</v>
      </c>
      <c r="M689" s="58">
        <v>45293</v>
      </c>
      <c r="N689" s="53" t="s">
        <v>2261</v>
      </c>
      <c r="O689" s="53">
        <v>0</v>
      </c>
      <c r="P689" s="53">
        <v>20009951</v>
      </c>
      <c r="Q689" s="53" t="s">
        <v>2276</v>
      </c>
      <c r="R689" s="45">
        <v>410</v>
      </c>
      <c r="S689" s="56">
        <v>0.01</v>
      </c>
      <c r="T689" s="47" t="s">
        <v>198</v>
      </c>
      <c r="U689" s="48" t="s">
        <v>199</v>
      </c>
      <c r="V689" s="38"/>
      <c r="W689" s="48" t="s">
        <v>195</v>
      </c>
      <c r="X689" s="38" t="s">
        <v>200</v>
      </c>
      <c r="Y689" s="49" t="s">
        <v>201</v>
      </c>
      <c r="Z689" s="50" t="s">
        <v>2277</v>
      </c>
      <c r="AA689" s="38"/>
      <c r="AB689" s="38"/>
      <c r="AC689" s="38"/>
      <c r="AD689" s="51">
        <v>16</v>
      </c>
      <c r="AE689" s="51">
        <v>16</v>
      </c>
      <c r="AF689" s="48" t="s">
        <v>203</v>
      </c>
      <c r="AG689" s="38" t="s">
        <v>204</v>
      </c>
      <c r="AH689" s="52"/>
      <c r="AI689" s="38"/>
      <c r="AJ689" s="38"/>
    </row>
    <row r="690" spans="1:36" ht="16.2">
      <c r="A690" s="42" t="s">
        <v>238</v>
      </c>
      <c r="B690" s="42">
        <v>560025</v>
      </c>
      <c r="C690" s="42" t="s">
        <v>2217</v>
      </c>
      <c r="D690" s="42">
        <v>13207649</v>
      </c>
      <c r="E690" s="43" t="s">
        <v>2218</v>
      </c>
      <c r="F690" s="42" t="s">
        <v>2241</v>
      </c>
      <c r="G690" s="42" t="s">
        <v>195</v>
      </c>
      <c r="H690" s="42"/>
      <c r="I690" s="42"/>
      <c r="J690" s="42">
        <v>13207649</v>
      </c>
      <c r="K690" s="42"/>
      <c r="L690" s="57">
        <v>45293</v>
      </c>
      <c r="M690" s="57">
        <v>45293</v>
      </c>
      <c r="N690" s="42" t="s">
        <v>2261</v>
      </c>
      <c r="O690" s="42">
        <v>0</v>
      </c>
      <c r="P690" s="42">
        <v>20009951</v>
      </c>
      <c r="Q690" s="42" t="s">
        <v>2278</v>
      </c>
      <c r="R690" s="45">
        <v>410</v>
      </c>
      <c r="S690" s="46">
        <v>0.01</v>
      </c>
      <c r="T690" s="47" t="s">
        <v>198</v>
      </c>
      <c r="U690" s="48" t="s">
        <v>199</v>
      </c>
      <c r="V690" s="38"/>
      <c r="W690" s="48" t="s">
        <v>195</v>
      </c>
      <c r="X690" s="38" t="s">
        <v>200</v>
      </c>
      <c r="Y690" s="49" t="s">
        <v>201</v>
      </c>
      <c r="Z690" s="50" t="s">
        <v>2279</v>
      </c>
      <c r="AA690" s="38"/>
      <c r="AB690" s="38"/>
      <c r="AC690" s="38"/>
      <c r="AD690" s="51">
        <v>16</v>
      </c>
      <c r="AE690" s="51">
        <v>16</v>
      </c>
      <c r="AF690" s="48" t="s">
        <v>203</v>
      </c>
      <c r="AG690" s="38" t="s">
        <v>204</v>
      </c>
      <c r="AH690" s="52"/>
      <c r="AI690" s="38"/>
      <c r="AJ690" s="38"/>
    </row>
    <row r="691" spans="1:36" ht="16.2">
      <c r="A691" s="53" t="s">
        <v>238</v>
      </c>
      <c r="B691" s="53">
        <v>560025</v>
      </c>
      <c r="C691" s="53" t="s">
        <v>2217</v>
      </c>
      <c r="D691" s="53">
        <v>13207649</v>
      </c>
      <c r="E691" s="54" t="s">
        <v>2218</v>
      </c>
      <c r="F691" s="53" t="s">
        <v>2244</v>
      </c>
      <c r="G691" s="53" t="s">
        <v>195</v>
      </c>
      <c r="H691" s="53"/>
      <c r="I691" s="53"/>
      <c r="J691" s="53">
        <v>13207649</v>
      </c>
      <c r="K691" s="53"/>
      <c r="L691" s="58">
        <v>45293</v>
      </c>
      <c r="M691" s="58">
        <v>45293</v>
      </c>
      <c r="N691" s="53" t="s">
        <v>2261</v>
      </c>
      <c r="O691" s="53">
        <v>0</v>
      </c>
      <c r="P691" s="53">
        <v>20009951</v>
      </c>
      <c r="Q691" s="53" t="s">
        <v>2280</v>
      </c>
      <c r="R691" s="45">
        <v>410</v>
      </c>
      <c r="S691" s="56">
        <v>0.01</v>
      </c>
      <c r="T691" s="47" t="s">
        <v>198</v>
      </c>
      <c r="U691" s="48" t="s">
        <v>199</v>
      </c>
      <c r="V691" s="38"/>
      <c r="W691" s="48" t="s">
        <v>195</v>
      </c>
      <c r="X691" s="38" t="s">
        <v>200</v>
      </c>
      <c r="Y691" s="49" t="s">
        <v>201</v>
      </c>
      <c r="Z691" s="50" t="s">
        <v>2281</v>
      </c>
      <c r="AA691" s="38"/>
      <c r="AB691" s="38"/>
      <c r="AC691" s="38"/>
      <c r="AD691" s="51">
        <v>16</v>
      </c>
      <c r="AE691" s="51">
        <v>16</v>
      </c>
      <c r="AF691" s="48" t="s">
        <v>203</v>
      </c>
      <c r="AG691" s="38" t="s">
        <v>204</v>
      </c>
      <c r="AH691" s="52"/>
      <c r="AI691" s="38"/>
      <c r="AJ691" s="38"/>
    </row>
    <row r="692" spans="1:36" ht="16.2">
      <c r="A692" s="42" t="s">
        <v>238</v>
      </c>
      <c r="B692" s="42">
        <v>560025</v>
      </c>
      <c r="C692" s="42" t="s">
        <v>2217</v>
      </c>
      <c r="D692" s="42">
        <v>13207649</v>
      </c>
      <c r="E692" s="43" t="s">
        <v>2218</v>
      </c>
      <c r="F692" s="42" t="s">
        <v>2247</v>
      </c>
      <c r="G692" s="42" t="s">
        <v>195</v>
      </c>
      <c r="H692" s="42"/>
      <c r="I692" s="42"/>
      <c r="J692" s="42">
        <v>13207649</v>
      </c>
      <c r="K692" s="42"/>
      <c r="L692" s="57">
        <v>45293</v>
      </c>
      <c r="M692" s="57">
        <v>45293</v>
      </c>
      <c r="N692" s="42" t="s">
        <v>2261</v>
      </c>
      <c r="O692" s="42">
        <v>0</v>
      </c>
      <c r="P692" s="42">
        <v>20009951</v>
      </c>
      <c r="Q692" s="42" t="s">
        <v>2282</v>
      </c>
      <c r="R692" s="45">
        <v>410</v>
      </c>
      <c r="S692" s="46">
        <v>0.01</v>
      </c>
      <c r="T692" s="47" t="s">
        <v>198</v>
      </c>
      <c r="U692" s="48" t="s">
        <v>199</v>
      </c>
      <c r="V692" s="38"/>
      <c r="W692" s="48" t="s">
        <v>195</v>
      </c>
      <c r="X692" s="38" t="s">
        <v>200</v>
      </c>
      <c r="Y692" s="49" t="s">
        <v>201</v>
      </c>
      <c r="Z692" s="50" t="s">
        <v>2283</v>
      </c>
      <c r="AA692" s="38"/>
      <c r="AB692" s="38"/>
      <c r="AC692" s="38"/>
      <c r="AD692" s="51">
        <v>16</v>
      </c>
      <c r="AE692" s="51">
        <v>16</v>
      </c>
      <c r="AF692" s="48" t="s">
        <v>203</v>
      </c>
      <c r="AG692" s="38" t="s">
        <v>204</v>
      </c>
      <c r="AH692" s="52"/>
      <c r="AI692" s="38"/>
      <c r="AJ692" s="38"/>
    </row>
    <row r="693" spans="1:36" ht="16.2">
      <c r="A693" s="53" t="s">
        <v>238</v>
      </c>
      <c r="B693" s="53">
        <v>560025</v>
      </c>
      <c r="C693" s="53" t="s">
        <v>2217</v>
      </c>
      <c r="D693" s="53">
        <v>13207649</v>
      </c>
      <c r="E693" s="54" t="s">
        <v>2218</v>
      </c>
      <c r="F693" s="53" t="s">
        <v>2139</v>
      </c>
      <c r="G693" s="53" t="s">
        <v>195</v>
      </c>
      <c r="H693" s="53"/>
      <c r="I693" s="53"/>
      <c r="J693" s="53">
        <v>13207649</v>
      </c>
      <c r="K693" s="53"/>
      <c r="L693" s="58">
        <v>45293</v>
      </c>
      <c r="M693" s="58">
        <v>45293</v>
      </c>
      <c r="N693" s="53" t="s">
        <v>2261</v>
      </c>
      <c r="O693" s="53">
        <v>0</v>
      </c>
      <c r="P693" s="53">
        <v>20009951</v>
      </c>
      <c r="Q693" s="53" t="s">
        <v>2284</v>
      </c>
      <c r="R693" s="45">
        <v>410</v>
      </c>
      <c r="S693" s="56">
        <v>0.01</v>
      </c>
      <c r="T693" s="47" t="s">
        <v>198</v>
      </c>
      <c r="U693" s="48" t="s">
        <v>199</v>
      </c>
      <c r="V693" s="38"/>
      <c r="W693" s="48" t="s">
        <v>195</v>
      </c>
      <c r="X693" s="38" t="s">
        <v>200</v>
      </c>
      <c r="Y693" s="49" t="s">
        <v>201</v>
      </c>
      <c r="Z693" s="50" t="s">
        <v>2285</v>
      </c>
      <c r="AA693" s="38"/>
      <c r="AB693" s="38"/>
      <c r="AC693" s="38"/>
      <c r="AD693" s="51">
        <v>16</v>
      </c>
      <c r="AE693" s="51">
        <v>16</v>
      </c>
      <c r="AF693" s="48" t="s">
        <v>203</v>
      </c>
      <c r="AG693" s="38" t="s">
        <v>204</v>
      </c>
      <c r="AH693" s="52"/>
      <c r="AI693" s="38"/>
      <c r="AJ693" s="38"/>
    </row>
    <row r="694" spans="1:36" ht="16.2">
      <c r="A694" s="42" t="s">
        <v>238</v>
      </c>
      <c r="B694" s="42">
        <v>560025</v>
      </c>
      <c r="C694" s="42" t="s">
        <v>2217</v>
      </c>
      <c r="D694" s="42">
        <v>13207649</v>
      </c>
      <c r="E694" s="43" t="s">
        <v>2218</v>
      </c>
      <c r="F694" s="42" t="s">
        <v>293</v>
      </c>
      <c r="G694" s="42" t="s">
        <v>195</v>
      </c>
      <c r="H694" s="42"/>
      <c r="I694" s="42"/>
      <c r="J694" s="42">
        <v>13207649</v>
      </c>
      <c r="K694" s="42"/>
      <c r="L694" s="57">
        <v>45293</v>
      </c>
      <c r="M694" s="57">
        <v>45293</v>
      </c>
      <c r="N694" s="42" t="s">
        <v>2261</v>
      </c>
      <c r="O694" s="42">
        <v>0</v>
      </c>
      <c r="P694" s="42">
        <v>20009951</v>
      </c>
      <c r="Q694" s="42" t="s">
        <v>2286</v>
      </c>
      <c r="R694" s="45">
        <v>410</v>
      </c>
      <c r="S694" s="46">
        <v>0.01</v>
      </c>
      <c r="T694" s="47" t="s">
        <v>198</v>
      </c>
      <c r="U694" s="48" t="s">
        <v>199</v>
      </c>
      <c r="V694" s="38"/>
      <c r="W694" s="48" t="s">
        <v>195</v>
      </c>
      <c r="X694" s="38" t="s">
        <v>200</v>
      </c>
      <c r="Y694" s="49" t="s">
        <v>201</v>
      </c>
      <c r="Z694" s="50" t="s">
        <v>2287</v>
      </c>
      <c r="AA694" s="38"/>
      <c r="AB694" s="38"/>
      <c r="AC694" s="38"/>
      <c r="AD694" s="51">
        <v>16</v>
      </c>
      <c r="AE694" s="51">
        <v>16</v>
      </c>
      <c r="AF694" s="48" t="s">
        <v>203</v>
      </c>
      <c r="AG694" s="38" t="s">
        <v>204</v>
      </c>
      <c r="AH694" s="52"/>
      <c r="AI694" s="38"/>
      <c r="AJ694" s="38"/>
    </row>
    <row r="695" spans="1:36" ht="16.2">
      <c r="A695" s="53" t="s">
        <v>238</v>
      </c>
      <c r="B695" s="53">
        <v>560025</v>
      </c>
      <c r="C695" s="53" t="s">
        <v>2217</v>
      </c>
      <c r="D695" s="53">
        <v>13207649</v>
      </c>
      <c r="E695" s="54" t="s">
        <v>2218</v>
      </c>
      <c r="F695" s="53" t="s">
        <v>2254</v>
      </c>
      <c r="G695" s="53" t="s">
        <v>195</v>
      </c>
      <c r="H695" s="53"/>
      <c r="I695" s="53"/>
      <c r="J695" s="53">
        <v>13207649</v>
      </c>
      <c r="K695" s="53"/>
      <c r="L695" s="58">
        <v>45293</v>
      </c>
      <c r="M695" s="58">
        <v>45293</v>
      </c>
      <c r="N695" s="53" t="s">
        <v>2261</v>
      </c>
      <c r="O695" s="53">
        <v>0</v>
      </c>
      <c r="P695" s="53">
        <v>20009951</v>
      </c>
      <c r="Q695" s="53" t="s">
        <v>2288</v>
      </c>
      <c r="R695" s="45">
        <v>410</v>
      </c>
      <c r="S695" s="56">
        <v>0.01</v>
      </c>
      <c r="T695" s="47" t="s">
        <v>198</v>
      </c>
      <c r="U695" s="48" t="s">
        <v>199</v>
      </c>
      <c r="V695" s="38"/>
      <c r="W695" s="48" t="s">
        <v>195</v>
      </c>
      <c r="X695" s="38" t="s">
        <v>200</v>
      </c>
      <c r="Y695" s="49" t="s">
        <v>201</v>
      </c>
      <c r="Z695" s="50" t="s">
        <v>2289</v>
      </c>
      <c r="AA695" s="38"/>
      <c r="AB695" s="38"/>
      <c r="AC695" s="38"/>
      <c r="AD695" s="51">
        <v>16</v>
      </c>
      <c r="AE695" s="51">
        <v>16</v>
      </c>
      <c r="AF695" s="48" t="s">
        <v>203</v>
      </c>
      <c r="AG695" s="38" t="s">
        <v>204</v>
      </c>
      <c r="AH695" s="52"/>
      <c r="AI695" s="38"/>
      <c r="AJ695" s="38"/>
    </row>
    <row r="696" spans="1:36" ht="16.2">
      <c r="A696" s="42" t="s">
        <v>238</v>
      </c>
      <c r="B696" s="42">
        <v>560025</v>
      </c>
      <c r="C696" s="42" t="s">
        <v>2217</v>
      </c>
      <c r="D696" s="42">
        <v>13207649</v>
      </c>
      <c r="E696" s="43" t="s">
        <v>2218</v>
      </c>
      <c r="F696" s="42" t="s">
        <v>260</v>
      </c>
      <c r="G696" s="42" t="s">
        <v>195</v>
      </c>
      <c r="H696" s="42"/>
      <c r="I696" s="42"/>
      <c r="J696" s="42">
        <v>13207649</v>
      </c>
      <c r="K696" s="42"/>
      <c r="L696" s="57">
        <v>45293</v>
      </c>
      <c r="M696" s="57">
        <v>45293</v>
      </c>
      <c r="N696" s="42" t="s">
        <v>2261</v>
      </c>
      <c r="O696" s="42">
        <v>0</v>
      </c>
      <c r="P696" s="42">
        <v>20009951</v>
      </c>
      <c r="Q696" s="42" t="s">
        <v>2290</v>
      </c>
      <c r="R696" s="45">
        <v>410</v>
      </c>
      <c r="S696" s="46">
        <v>0.01</v>
      </c>
      <c r="T696" s="47" t="s">
        <v>198</v>
      </c>
      <c r="U696" s="48" t="s">
        <v>199</v>
      </c>
      <c r="V696" s="38"/>
      <c r="W696" s="48" t="s">
        <v>195</v>
      </c>
      <c r="X696" s="38" t="s">
        <v>200</v>
      </c>
      <c r="Y696" s="49" t="s">
        <v>201</v>
      </c>
      <c r="Z696" s="50" t="s">
        <v>2291</v>
      </c>
      <c r="AA696" s="38"/>
      <c r="AB696" s="38"/>
      <c r="AC696" s="38"/>
      <c r="AD696" s="51">
        <v>16</v>
      </c>
      <c r="AE696" s="51">
        <v>16</v>
      </c>
      <c r="AF696" s="48" t="s">
        <v>203</v>
      </c>
      <c r="AG696" s="38" t="s">
        <v>204</v>
      </c>
      <c r="AH696" s="52"/>
      <c r="AI696" s="38"/>
      <c r="AJ696" s="38"/>
    </row>
    <row r="697" spans="1:36" ht="16.2">
      <c r="A697" s="53" t="s">
        <v>238</v>
      </c>
      <c r="B697" s="53">
        <v>560025</v>
      </c>
      <c r="C697" s="53" t="s">
        <v>2217</v>
      </c>
      <c r="D697" s="53">
        <v>13207649</v>
      </c>
      <c r="E697" s="54" t="s">
        <v>2218</v>
      </c>
      <c r="F697" s="53" t="s">
        <v>299</v>
      </c>
      <c r="G697" s="53" t="s">
        <v>195</v>
      </c>
      <c r="H697" s="53"/>
      <c r="I697" s="53"/>
      <c r="J697" s="53">
        <v>13207649</v>
      </c>
      <c r="K697" s="53"/>
      <c r="L697" s="58">
        <v>45293</v>
      </c>
      <c r="M697" s="58">
        <v>45293</v>
      </c>
      <c r="N697" s="53" t="s">
        <v>2261</v>
      </c>
      <c r="O697" s="53">
        <v>0</v>
      </c>
      <c r="P697" s="53">
        <v>20009951</v>
      </c>
      <c r="Q697" s="53" t="s">
        <v>2292</v>
      </c>
      <c r="R697" s="45">
        <v>410</v>
      </c>
      <c r="S697" s="56">
        <v>0.01</v>
      </c>
      <c r="T697" s="47" t="s">
        <v>198</v>
      </c>
      <c r="U697" s="48" t="s">
        <v>199</v>
      </c>
      <c r="V697" s="38"/>
      <c r="W697" s="48" t="s">
        <v>195</v>
      </c>
      <c r="X697" s="38" t="s">
        <v>200</v>
      </c>
      <c r="Y697" s="49" t="s">
        <v>201</v>
      </c>
      <c r="Z697" s="50" t="s">
        <v>2293</v>
      </c>
      <c r="AA697" s="38"/>
      <c r="AB697" s="38"/>
      <c r="AC697" s="38"/>
      <c r="AD697" s="51">
        <v>16</v>
      </c>
      <c r="AE697" s="51">
        <v>16</v>
      </c>
      <c r="AF697" s="48" t="s">
        <v>203</v>
      </c>
      <c r="AG697" s="38" t="s">
        <v>204</v>
      </c>
      <c r="AH697" s="52"/>
      <c r="AI697" s="38"/>
      <c r="AJ697" s="38"/>
    </row>
    <row r="698" spans="1:36" ht="16.2">
      <c r="A698" s="42" t="s">
        <v>1908</v>
      </c>
      <c r="B698" s="42">
        <v>719519</v>
      </c>
      <c r="C698" s="42" t="s">
        <v>2294</v>
      </c>
      <c r="D698" s="42">
        <v>13207660</v>
      </c>
      <c r="E698" s="43" t="s">
        <v>2295</v>
      </c>
      <c r="F698" s="42" t="s">
        <v>625</v>
      </c>
      <c r="G698" s="42" t="s">
        <v>195</v>
      </c>
      <c r="H698" s="42"/>
      <c r="I698" s="42"/>
      <c r="J698" s="42">
        <v>13207660</v>
      </c>
      <c r="K698" s="42"/>
      <c r="L698" s="57">
        <v>45293</v>
      </c>
      <c r="M698" s="57">
        <v>45293</v>
      </c>
      <c r="N698" s="42" t="s">
        <v>823</v>
      </c>
      <c r="O698" s="42">
        <v>0</v>
      </c>
      <c r="P698" s="42">
        <v>20065447</v>
      </c>
      <c r="Q698" s="42" t="s">
        <v>2296</v>
      </c>
      <c r="R698" s="45">
        <v>410</v>
      </c>
      <c r="S698" s="46">
        <v>0.01</v>
      </c>
      <c r="T698" s="47" t="s">
        <v>198</v>
      </c>
      <c r="U698" s="48" t="s">
        <v>199</v>
      </c>
      <c r="V698" s="38"/>
      <c r="W698" s="48" t="s">
        <v>195</v>
      </c>
      <c r="X698" s="38" t="s">
        <v>426</v>
      </c>
      <c r="Y698" s="49" t="s">
        <v>427</v>
      </c>
      <c r="Z698" s="50" t="s">
        <v>2297</v>
      </c>
      <c r="AA698" s="38"/>
      <c r="AB698" s="38"/>
      <c r="AC698" s="38"/>
      <c r="AD698" s="51">
        <v>62</v>
      </c>
      <c r="AE698" s="51">
        <v>62</v>
      </c>
      <c r="AF698" s="48" t="s">
        <v>203</v>
      </c>
      <c r="AG698" s="38" t="s">
        <v>204</v>
      </c>
      <c r="AH698" s="52"/>
      <c r="AI698" s="38"/>
      <c r="AJ698" s="38"/>
    </row>
    <row r="699" spans="1:36" ht="16.2">
      <c r="A699" s="53" t="s">
        <v>1908</v>
      </c>
      <c r="B699" s="53">
        <v>719519</v>
      </c>
      <c r="C699" s="53" t="s">
        <v>2294</v>
      </c>
      <c r="D699" s="53">
        <v>13207660</v>
      </c>
      <c r="E699" s="54" t="s">
        <v>2295</v>
      </c>
      <c r="F699" s="53" t="s">
        <v>628</v>
      </c>
      <c r="G699" s="53" t="s">
        <v>195</v>
      </c>
      <c r="H699" s="53"/>
      <c r="I699" s="53"/>
      <c r="J699" s="53">
        <v>13207660</v>
      </c>
      <c r="K699" s="53"/>
      <c r="L699" s="58">
        <v>45293</v>
      </c>
      <c r="M699" s="58">
        <v>45293</v>
      </c>
      <c r="N699" s="53" t="s">
        <v>823</v>
      </c>
      <c r="O699" s="53">
        <v>0</v>
      </c>
      <c r="P699" s="53">
        <v>20065447</v>
      </c>
      <c r="Q699" s="53" t="s">
        <v>2298</v>
      </c>
      <c r="R699" s="45">
        <v>410</v>
      </c>
      <c r="S699" s="56">
        <v>0.01</v>
      </c>
      <c r="T699" s="47" t="s">
        <v>198</v>
      </c>
      <c r="U699" s="48" t="s">
        <v>199</v>
      </c>
      <c r="V699" s="38"/>
      <c r="W699" s="48" t="s">
        <v>195</v>
      </c>
      <c r="X699" s="38" t="s">
        <v>426</v>
      </c>
      <c r="Y699" s="49" t="s">
        <v>427</v>
      </c>
      <c r="Z699" s="50" t="s">
        <v>2299</v>
      </c>
      <c r="AA699" s="38"/>
      <c r="AB699" s="38"/>
      <c r="AC699" s="38"/>
      <c r="AD699" s="51">
        <v>62</v>
      </c>
      <c r="AE699" s="51">
        <v>62</v>
      </c>
      <c r="AF699" s="48" t="s">
        <v>203</v>
      </c>
      <c r="AG699" s="38" t="s">
        <v>204</v>
      </c>
      <c r="AH699" s="52"/>
      <c r="AI699" s="38"/>
      <c r="AJ699" s="38"/>
    </row>
    <row r="700" spans="1:36" ht="16.2">
      <c r="A700" s="42" t="s">
        <v>1908</v>
      </c>
      <c r="B700" s="42">
        <v>719519</v>
      </c>
      <c r="C700" s="42" t="s">
        <v>2294</v>
      </c>
      <c r="D700" s="42">
        <v>13207660</v>
      </c>
      <c r="E700" s="43" t="s">
        <v>2295</v>
      </c>
      <c r="F700" s="42" t="s">
        <v>631</v>
      </c>
      <c r="G700" s="42" t="s">
        <v>195</v>
      </c>
      <c r="H700" s="42"/>
      <c r="I700" s="42"/>
      <c r="J700" s="42">
        <v>13207660</v>
      </c>
      <c r="K700" s="42"/>
      <c r="L700" s="44">
        <v>45293</v>
      </c>
      <c r="M700" s="44">
        <v>45293</v>
      </c>
      <c r="N700" s="42" t="s">
        <v>823</v>
      </c>
      <c r="O700" s="42">
        <v>0</v>
      </c>
      <c r="P700" s="42">
        <v>20065447</v>
      </c>
      <c r="Q700" s="42" t="s">
        <v>2300</v>
      </c>
      <c r="R700" s="45">
        <v>410</v>
      </c>
      <c r="S700" s="46">
        <v>0.01</v>
      </c>
      <c r="T700" s="47" t="s">
        <v>198</v>
      </c>
      <c r="U700" s="48" t="s">
        <v>199</v>
      </c>
      <c r="V700" s="38"/>
      <c r="W700" s="48" t="s">
        <v>195</v>
      </c>
      <c r="X700" s="38" t="s">
        <v>426</v>
      </c>
      <c r="Y700" s="49" t="s">
        <v>427</v>
      </c>
      <c r="Z700" s="50" t="s">
        <v>2301</v>
      </c>
      <c r="AA700" s="38"/>
      <c r="AB700" s="38"/>
      <c r="AC700" s="38"/>
      <c r="AD700" s="51">
        <v>62</v>
      </c>
      <c r="AE700" s="51">
        <v>62</v>
      </c>
      <c r="AF700" s="48" t="s">
        <v>203</v>
      </c>
      <c r="AG700" s="38" t="s">
        <v>204</v>
      </c>
      <c r="AH700" s="52"/>
      <c r="AI700" s="38"/>
      <c r="AJ700" s="38"/>
    </row>
    <row r="701" spans="1:36" ht="16.2">
      <c r="A701" s="53" t="s">
        <v>1908</v>
      </c>
      <c r="B701" s="53">
        <v>719519</v>
      </c>
      <c r="C701" s="53" t="s">
        <v>2294</v>
      </c>
      <c r="D701" s="53">
        <v>13207660</v>
      </c>
      <c r="E701" s="54" t="s">
        <v>2295</v>
      </c>
      <c r="F701" s="53" t="s">
        <v>635</v>
      </c>
      <c r="G701" s="53" t="s">
        <v>195</v>
      </c>
      <c r="H701" s="53"/>
      <c r="I701" s="53"/>
      <c r="J701" s="53">
        <v>13207660</v>
      </c>
      <c r="K701" s="53"/>
      <c r="L701" s="55">
        <v>45293</v>
      </c>
      <c r="M701" s="55">
        <v>45293</v>
      </c>
      <c r="N701" s="53" t="s">
        <v>823</v>
      </c>
      <c r="O701" s="53">
        <v>0</v>
      </c>
      <c r="P701" s="53">
        <v>20065447</v>
      </c>
      <c r="Q701" s="53" t="s">
        <v>2302</v>
      </c>
      <c r="R701" s="45">
        <v>410</v>
      </c>
      <c r="S701" s="56">
        <v>0.01</v>
      </c>
      <c r="T701" s="47" t="s">
        <v>198</v>
      </c>
      <c r="U701" s="48" t="s">
        <v>199</v>
      </c>
      <c r="V701" s="38"/>
      <c r="W701" s="48" t="s">
        <v>195</v>
      </c>
      <c r="X701" s="38" t="s">
        <v>426</v>
      </c>
      <c r="Y701" s="49" t="s">
        <v>427</v>
      </c>
      <c r="Z701" s="50" t="s">
        <v>2303</v>
      </c>
      <c r="AA701" s="38"/>
      <c r="AB701" s="38"/>
      <c r="AC701" s="38"/>
      <c r="AD701" s="51">
        <v>62</v>
      </c>
      <c r="AE701" s="51">
        <v>62</v>
      </c>
      <c r="AF701" s="48" t="s">
        <v>203</v>
      </c>
      <c r="AG701" s="38" t="s">
        <v>204</v>
      </c>
      <c r="AH701" s="52"/>
      <c r="AI701" s="38"/>
      <c r="AJ701" s="38"/>
    </row>
    <row r="702" spans="1:36" ht="16.2">
      <c r="A702" s="42" t="s">
        <v>1908</v>
      </c>
      <c r="B702" s="42">
        <v>719519</v>
      </c>
      <c r="C702" s="42" t="s">
        <v>2294</v>
      </c>
      <c r="D702" s="42">
        <v>13207660</v>
      </c>
      <c r="E702" s="43" t="s">
        <v>2295</v>
      </c>
      <c r="F702" s="42" t="s">
        <v>638</v>
      </c>
      <c r="G702" s="42" t="s">
        <v>195</v>
      </c>
      <c r="H702" s="42"/>
      <c r="I702" s="42"/>
      <c r="J702" s="42">
        <v>13207660</v>
      </c>
      <c r="K702" s="42"/>
      <c r="L702" s="44">
        <v>45293</v>
      </c>
      <c r="M702" s="44">
        <v>45293</v>
      </c>
      <c r="N702" s="42" t="s">
        <v>823</v>
      </c>
      <c r="O702" s="42">
        <v>0</v>
      </c>
      <c r="P702" s="42">
        <v>20065447</v>
      </c>
      <c r="Q702" s="42" t="s">
        <v>2304</v>
      </c>
      <c r="R702" s="45">
        <v>410</v>
      </c>
      <c r="S702" s="46">
        <v>0.01</v>
      </c>
      <c r="T702" s="47" t="s">
        <v>198</v>
      </c>
      <c r="U702" s="48" t="s">
        <v>199</v>
      </c>
      <c r="V702" s="38"/>
      <c r="W702" s="48" t="s">
        <v>195</v>
      </c>
      <c r="X702" s="38" t="s">
        <v>426</v>
      </c>
      <c r="Y702" s="49" t="s">
        <v>427</v>
      </c>
      <c r="Z702" s="50" t="s">
        <v>2305</v>
      </c>
      <c r="AA702" s="38"/>
      <c r="AB702" s="38"/>
      <c r="AC702" s="38"/>
      <c r="AD702" s="51">
        <v>62</v>
      </c>
      <c r="AE702" s="51">
        <v>62</v>
      </c>
      <c r="AF702" s="48" t="s">
        <v>203</v>
      </c>
      <c r="AG702" s="38" t="s">
        <v>204</v>
      </c>
      <c r="AH702" s="52"/>
      <c r="AI702" s="38"/>
      <c r="AJ702" s="38"/>
    </row>
    <row r="703" spans="1:36" ht="16.2">
      <c r="A703" s="53" t="s">
        <v>1908</v>
      </c>
      <c r="B703" s="53">
        <v>719519</v>
      </c>
      <c r="C703" s="53" t="s">
        <v>2294</v>
      </c>
      <c r="D703" s="53">
        <v>13207660</v>
      </c>
      <c r="E703" s="54" t="s">
        <v>2295</v>
      </c>
      <c r="F703" s="53" t="s">
        <v>641</v>
      </c>
      <c r="G703" s="53" t="s">
        <v>195</v>
      </c>
      <c r="H703" s="53"/>
      <c r="I703" s="53"/>
      <c r="J703" s="53">
        <v>13207660</v>
      </c>
      <c r="K703" s="53"/>
      <c r="L703" s="55">
        <v>45293</v>
      </c>
      <c r="M703" s="55">
        <v>45293</v>
      </c>
      <c r="N703" s="53" t="s">
        <v>823</v>
      </c>
      <c r="O703" s="53">
        <v>0</v>
      </c>
      <c r="P703" s="53">
        <v>20065447</v>
      </c>
      <c r="Q703" s="53" t="s">
        <v>2306</v>
      </c>
      <c r="R703" s="45">
        <v>410</v>
      </c>
      <c r="S703" s="56">
        <v>0.01</v>
      </c>
      <c r="T703" s="47" t="s">
        <v>198</v>
      </c>
      <c r="U703" s="48" t="s">
        <v>199</v>
      </c>
      <c r="V703" s="38"/>
      <c r="W703" s="48" t="s">
        <v>195</v>
      </c>
      <c r="X703" s="38" t="s">
        <v>426</v>
      </c>
      <c r="Y703" s="49" t="s">
        <v>427</v>
      </c>
      <c r="Z703" s="50" t="s">
        <v>2307</v>
      </c>
      <c r="AA703" s="38"/>
      <c r="AB703" s="38"/>
      <c r="AC703" s="38"/>
      <c r="AD703" s="51">
        <v>62</v>
      </c>
      <c r="AE703" s="51">
        <v>62</v>
      </c>
      <c r="AF703" s="48" t="s">
        <v>203</v>
      </c>
      <c r="AG703" s="38" t="s">
        <v>204</v>
      </c>
      <c r="AH703" s="52"/>
      <c r="AI703" s="38"/>
      <c r="AJ703" s="38"/>
    </row>
    <row r="704" spans="1:36" ht="16.2">
      <c r="A704" s="42" t="s">
        <v>1908</v>
      </c>
      <c r="B704" s="42">
        <v>719519</v>
      </c>
      <c r="C704" s="42" t="s">
        <v>2294</v>
      </c>
      <c r="D704" s="42">
        <v>13207660</v>
      </c>
      <c r="E704" s="43" t="s">
        <v>2295</v>
      </c>
      <c r="F704" s="42" t="s">
        <v>644</v>
      </c>
      <c r="G704" s="42" t="s">
        <v>195</v>
      </c>
      <c r="H704" s="42"/>
      <c r="I704" s="42"/>
      <c r="J704" s="42">
        <v>13207660</v>
      </c>
      <c r="K704" s="42"/>
      <c r="L704" s="44">
        <v>45293</v>
      </c>
      <c r="M704" s="44">
        <v>45293</v>
      </c>
      <c r="N704" s="42" t="s">
        <v>823</v>
      </c>
      <c r="O704" s="42">
        <v>0</v>
      </c>
      <c r="P704" s="42">
        <v>20065447</v>
      </c>
      <c r="Q704" s="42" t="s">
        <v>2308</v>
      </c>
      <c r="R704" s="45">
        <v>410</v>
      </c>
      <c r="S704" s="46">
        <v>0.01</v>
      </c>
      <c r="T704" s="47" t="s">
        <v>198</v>
      </c>
      <c r="U704" s="48" t="s">
        <v>199</v>
      </c>
      <c r="V704" s="38"/>
      <c r="W704" s="48" t="s">
        <v>195</v>
      </c>
      <c r="X704" s="38" t="s">
        <v>426</v>
      </c>
      <c r="Y704" s="49" t="s">
        <v>427</v>
      </c>
      <c r="Z704" s="50" t="s">
        <v>2309</v>
      </c>
      <c r="AA704" s="38"/>
      <c r="AB704" s="38"/>
      <c r="AC704" s="38"/>
      <c r="AD704" s="51">
        <v>62</v>
      </c>
      <c r="AE704" s="51">
        <v>62</v>
      </c>
      <c r="AF704" s="48" t="s">
        <v>203</v>
      </c>
      <c r="AG704" s="38" t="s">
        <v>204</v>
      </c>
      <c r="AH704" s="52"/>
      <c r="AI704" s="38"/>
      <c r="AJ704" s="38"/>
    </row>
    <row r="705" spans="1:36" ht="16.2">
      <c r="A705" s="53" t="s">
        <v>1908</v>
      </c>
      <c r="B705" s="53">
        <v>719519</v>
      </c>
      <c r="C705" s="53" t="s">
        <v>2294</v>
      </c>
      <c r="D705" s="53">
        <v>13207660</v>
      </c>
      <c r="E705" s="54" t="s">
        <v>2295</v>
      </c>
      <c r="F705" s="53" t="s">
        <v>650</v>
      </c>
      <c r="G705" s="53" t="s">
        <v>195</v>
      </c>
      <c r="H705" s="53"/>
      <c r="I705" s="53"/>
      <c r="J705" s="53">
        <v>13207660</v>
      </c>
      <c r="K705" s="53"/>
      <c r="L705" s="55">
        <v>45293</v>
      </c>
      <c r="M705" s="55">
        <v>45293</v>
      </c>
      <c r="N705" s="53" t="s">
        <v>823</v>
      </c>
      <c r="O705" s="53">
        <v>0</v>
      </c>
      <c r="P705" s="53">
        <v>20065447</v>
      </c>
      <c r="Q705" s="53" t="s">
        <v>2310</v>
      </c>
      <c r="R705" s="45">
        <v>410</v>
      </c>
      <c r="S705" s="53">
        <v>0</v>
      </c>
      <c r="T705" s="47" t="s">
        <v>198</v>
      </c>
      <c r="U705" s="48" t="s">
        <v>199</v>
      </c>
      <c r="V705" s="38"/>
      <c r="W705" s="48" t="s">
        <v>195</v>
      </c>
      <c r="X705" s="38" t="s">
        <v>426</v>
      </c>
      <c r="Y705" s="49" t="s">
        <v>427</v>
      </c>
      <c r="Z705" s="50" t="s">
        <v>2311</v>
      </c>
      <c r="AA705" s="38"/>
      <c r="AB705" s="38"/>
      <c r="AC705" s="38"/>
      <c r="AD705" s="51">
        <v>62</v>
      </c>
      <c r="AE705" s="51">
        <v>62</v>
      </c>
      <c r="AF705" s="48" t="s">
        <v>203</v>
      </c>
      <c r="AG705" s="38" t="s">
        <v>204</v>
      </c>
      <c r="AH705" s="52"/>
      <c r="AI705" s="38"/>
      <c r="AJ705" s="38"/>
    </row>
    <row r="706" spans="1:36" ht="16.2">
      <c r="A706" s="42" t="s">
        <v>857</v>
      </c>
      <c r="B706" s="42">
        <v>900301</v>
      </c>
      <c r="C706" s="42" t="s">
        <v>2312</v>
      </c>
      <c r="D706" s="42">
        <v>13207695</v>
      </c>
      <c r="E706" s="43" t="s">
        <v>2313</v>
      </c>
      <c r="F706" s="42" t="s">
        <v>2314</v>
      </c>
      <c r="G706" s="42" t="s">
        <v>195</v>
      </c>
      <c r="H706" s="42"/>
      <c r="I706" s="42"/>
      <c r="J706" s="42">
        <v>13207695</v>
      </c>
      <c r="K706" s="42"/>
      <c r="L706" s="44">
        <v>45293</v>
      </c>
      <c r="M706" s="44">
        <v>45293</v>
      </c>
      <c r="N706" s="42" t="s">
        <v>1677</v>
      </c>
      <c r="O706" s="42">
        <v>0</v>
      </c>
      <c r="P706" s="42">
        <v>20019987</v>
      </c>
      <c r="Q706" s="42" t="s">
        <v>2315</v>
      </c>
      <c r="R706" s="45">
        <v>410</v>
      </c>
      <c r="S706" s="42">
        <v>0</v>
      </c>
      <c r="T706" s="47" t="s">
        <v>198</v>
      </c>
      <c r="U706" s="48" t="s">
        <v>199</v>
      </c>
      <c r="V706" s="38"/>
      <c r="W706" s="48" t="s">
        <v>195</v>
      </c>
      <c r="X706" s="38" t="s">
        <v>426</v>
      </c>
      <c r="Y706" s="49" t="s">
        <v>427</v>
      </c>
      <c r="Z706" s="50" t="s">
        <v>2316</v>
      </c>
      <c r="AA706" s="38"/>
      <c r="AB706" s="38"/>
      <c r="AC706" s="38"/>
      <c r="AD706" s="51">
        <v>22</v>
      </c>
      <c r="AE706" s="51">
        <v>22</v>
      </c>
      <c r="AF706" s="48" t="s">
        <v>203</v>
      </c>
      <c r="AG706" s="38" t="s">
        <v>204</v>
      </c>
      <c r="AH706" s="52"/>
      <c r="AI706" s="38"/>
      <c r="AJ706" s="38"/>
    </row>
    <row r="707" spans="1:36" ht="16.2">
      <c r="A707" s="53" t="s">
        <v>857</v>
      </c>
      <c r="B707" s="53">
        <v>900301</v>
      </c>
      <c r="C707" s="53" t="s">
        <v>2312</v>
      </c>
      <c r="D707" s="53">
        <v>13207695</v>
      </c>
      <c r="E707" s="54" t="s">
        <v>2313</v>
      </c>
      <c r="F707" s="53" t="s">
        <v>2317</v>
      </c>
      <c r="G707" s="53" t="s">
        <v>195</v>
      </c>
      <c r="H707" s="53"/>
      <c r="I707" s="53"/>
      <c r="J707" s="53">
        <v>13207695</v>
      </c>
      <c r="K707" s="53"/>
      <c r="L707" s="55">
        <v>45293</v>
      </c>
      <c r="M707" s="55">
        <v>45293</v>
      </c>
      <c r="N707" s="53" t="s">
        <v>1677</v>
      </c>
      <c r="O707" s="53">
        <v>0</v>
      </c>
      <c r="P707" s="53">
        <v>20019987</v>
      </c>
      <c r="Q707" s="53" t="s">
        <v>2318</v>
      </c>
      <c r="R707" s="45">
        <v>410</v>
      </c>
      <c r="S707" s="53">
        <v>0</v>
      </c>
      <c r="T707" s="47" t="s">
        <v>198</v>
      </c>
      <c r="U707" s="48" t="s">
        <v>199</v>
      </c>
      <c r="V707" s="38"/>
      <c r="W707" s="48" t="s">
        <v>195</v>
      </c>
      <c r="X707" s="38" t="s">
        <v>426</v>
      </c>
      <c r="Y707" s="49" t="s">
        <v>427</v>
      </c>
      <c r="Z707" s="50" t="s">
        <v>2319</v>
      </c>
      <c r="AA707" s="38"/>
      <c r="AB707" s="38"/>
      <c r="AC707" s="38"/>
      <c r="AD707" s="51">
        <v>22</v>
      </c>
      <c r="AE707" s="51">
        <v>22</v>
      </c>
      <c r="AF707" s="48" t="s">
        <v>203</v>
      </c>
      <c r="AG707" s="38" t="s">
        <v>204</v>
      </c>
      <c r="AH707" s="52"/>
      <c r="AI707" s="38"/>
      <c r="AJ707" s="38"/>
    </row>
    <row r="708" spans="1:36" ht="16.2">
      <c r="A708" s="42" t="s">
        <v>857</v>
      </c>
      <c r="B708" s="42">
        <v>900301</v>
      </c>
      <c r="C708" s="42" t="s">
        <v>2312</v>
      </c>
      <c r="D708" s="42">
        <v>13207695</v>
      </c>
      <c r="E708" s="43" t="s">
        <v>2313</v>
      </c>
      <c r="F708" s="42" t="s">
        <v>2320</v>
      </c>
      <c r="G708" s="42" t="s">
        <v>195</v>
      </c>
      <c r="H708" s="42"/>
      <c r="I708" s="42"/>
      <c r="J708" s="42">
        <v>13207695</v>
      </c>
      <c r="K708" s="42"/>
      <c r="L708" s="44">
        <v>45293</v>
      </c>
      <c r="M708" s="44">
        <v>45293</v>
      </c>
      <c r="N708" s="42" t="s">
        <v>1677</v>
      </c>
      <c r="O708" s="42">
        <v>0</v>
      </c>
      <c r="P708" s="42">
        <v>20019987</v>
      </c>
      <c r="Q708" s="42" t="s">
        <v>2321</v>
      </c>
      <c r="R708" s="45">
        <v>410</v>
      </c>
      <c r="S708" s="42">
        <v>0</v>
      </c>
      <c r="T708" s="47" t="s">
        <v>198</v>
      </c>
      <c r="U708" s="48" t="s">
        <v>199</v>
      </c>
      <c r="V708" s="38"/>
      <c r="W708" s="48" t="s">
        <v>195</v>
      </c>
      <c r="X708" s="38" t="s">
        <v>426</v>
      </c>
      <c r="Y708" s="49" t="s">
        <v>427</v>
      </c>
      <c r="Z708" s="50" t="s">
        <v>2322</v>
      </c>
      <c r="AA708" s="38"/>
      <c r="AB708" s="38"/>
      <c r="AC708" s="38"/>
      <c r="AD708" s="51">
        <v>22</v>
      </c>
      <c r="AE708" s="51">
        <v>22</v>
      </c>
      <c r="AF708" s="48" t="s">
        <v>203</v>
      </c>
      <c r="AG708" s="38" t="s">
        <v>204</v>
      </c>
      <c r="AH708" s="52"/>
      <c r="AI708" s="38"/>
      <c r="AJ708" s="38"/>
    </row>
    <row r="709" spans="1:36" ht="16.2">
      <c r="A709" s="53" t="s">
        <v>836</v>
      </c>
      <c r="B709" s="53">
        <v>510001</v>
      </c>
      <c r="C709" s="53" t="s">
        <v>2323</v>
      </c>
      <c r="D709" s="53">
        <v>13207521</v>
      </c>
      <c r="E709" s="54" t="s">
        <v>2324</v>
      </c>
      <c r="F709" s="53" t="s">
        <v>2325</v>
      </c>
      <c r="G709" s="53" t="s">
        <v>195</v>
      </c>
      <c r="H709" s="53"/>
      <c r="I709" s="53"/>
      <c r="J709" s="53">
        <v>13207521</v>
      </c>
      <c r="K709" s="53"/>
      <c r="L709" s="55">
        <v>45293</v>
      </c>
      <c r="M709" s="55">
        <v>45293</v>
      </c>
      <c r="N709" s="53" t="s">
        <v>2326</v>
      </c>
      <c r="O709" s="53">
        <v>0</v>
      </c>
      <c r="P709" s="53">
        <v>20038806</v>
      </c>
      <c r="Q709" s="53" t="s">
        <v>2327</v>
      </c>
      <c r="R709" s="45">
        <v>410</v>
      </c>
      <c r="S709" s="53">
        <v>0</v>
      </c>
      <c r="T709" s="47" t="s">
        <v>198</v>
      </c>
      <c r="U709" s="48" t="s">
        <v>199</v>
      </c>
      <c r="V709" s="38"/>
      <c r="W709" s="48" t="s">
        <v>195</v>
      </c>
      <c r="X709" s="38" t="s">
        <v>200</v>
      </c>
      <c r="Y709" s="49" t="s">
        <v>201</v>
      </c>
      <c r="Z709" s="50" t="s">
        <v>2328</v>
      </c>
      <c r="AA709" s="38"/>
      <c r="AB709" s="38"/>
      <c r="AC709" s="38"/>
      <c r="AD709" s="51">
        <v>42</v>
      </c>
      <c r="AE709" s="51">
        <v>42</v>
      </c>
      <c r="AF709" s="48" t="s">
        <v>203</v>
      </c>
      <c r="AG709" s="38" t="s">
        <v>204</v>
      </c>
      <c r="AH709" s="52"/>
      <c r="AI709" s="38"/>
      <c r="AJ709" s="38"/>
    </row>
    <row r="710" spans="1:36" ht="16.2">
      <c r="A710" s="42" t="s">
        <v>836</v>
      </c>
      <c r="B710" s="42">
        <v>510001</v>
      </c>
      <c r="C710" s="42" t="s">
        <v>2323</v>
      </c>
      <c r="D710" s="42">
        <v>13207521</v>
      </c>
      <c r="E710" s="43" t="s">
        <v>2324</v>
      </c>
      <c r="F710" s="42" t="s">
        <v>2329</v>
      </c>
      <c r="G710" s="42" t="s">
        <v>195</v>
      </c>
      <c r="H710" s="42"/>
      <c r="I710" s="42"/>
      <c r="J710" s="42">
        <v>13207521</v>
      </c>
      <c r="K710" s="42"/>
      <c r="L710" s="44">
        <v>45293</v>
      </c>
      <c r="M710" s="44">
        <v>45293</v>
      </c>
      <c r="N710" s="42" t="s">
        <v>2326</v>
      </c>
      <c r="O710" s="42">
        <v>0</v>
      </c>
      <c r="P710" s="42">
        <v>20038806</v>
      </c>
      <c r="Q710" s="42" t="s">
        <v>2330</v>
      </c>
      <c r="R710" s="45">
        <v>410</v>
      </c>
      <c r="S710" s="42">
        <v>0</v>
      </c>
      <c r="T710" s="47" t="s">
        <v>198</v>
      </c>
      <c r="U710" s="48" t="s">
        <v>199</v>
      </c>
      <c r="V710" s="38"/>
      <c r="W710" s="48" t="s">
        <v>195</v>
      </c>
      <c r="X710" s="38" t="s">
        <v>200</v>
      </c>
      <c r="Y710" s="49" t="s">
        <v>201</v>
      </c>
      <c r="Z710" s="50" t="s">
        <v>2331</v>
      </c>
      <c r="AA710" s="38"/>
      <c r="AB710" s="38"/>
      <c r="AC710" s="38"/>
      <c r="AD710" s="51">
        <v>42</v>
      </c>
      <c r="AE710" s="51">
        <v>42</v>
      </c>
      <c r="AF710" s="48" t="s">
        <v>203</v>
      </c>
      <c r="AG710" s="38" t="s">
        <v>204</v>
      </c>
      <c r="AH710" s="52"/>
      <c r="AI710" s="38"/>
      <c r="AJ710" s="38"/>
    </row>
    <row r="711" spans="1:36" ht="16.2">
      <c r="A711" s="53" t="s">
        <v>836</v>
      </c>
      <c r="B711" s="53">
        <v>510001</v>
      </c>
      <c r="C711" s="53" t="s">
        <v>2323</v>
      </c>
      <c r="D711" s="53">
        <v>13207521</v>
      </c>
      <c r="E711" s="54" t="s">
        <v>2324</v>
      </c>
      <c r="F711" s="53" t="s">
        <v>2332</v>
      </c>
      <c r="G711" s="53" t="s">
        <v>195</v>
      </c>
      <c r="H711" s="53"/>
      <c r="I711" s="53"/>
      <c r="J711" s="53">
        <v>13207521</v>
      </c>
      <c r="K711" s="53"/>
      <c r="L711" s="55">
        <v>45293</v>
      </c>
      <c r="M711" s="55">
        <v>45293</v>
      </c>
      <c r="N711" s="53" t="s">
        <v>2326</v>
      </c>
      <c r="O711" s="53">
        <v>0</v>
      </c>
      <c r="P711" s="53">
        <v>20038806</v>
      </c>
      <c r="Q711" s="53" t="s">
        <v>2333</v>
      </c>
      <c r="R711" s="45">
        <v>410</v>
      </c>
      <c r="S711" s="53">
        <v>0</v>
      </c>
      <c r="T711" s="47" t="s">
        <v>198</v>
      </c>
      <c r="U711" s="48" t="s">
        <v>199</v>
      </c>
      <c r="V711" s="38"/>
      <c r="W711" s="48" t="s">
        <v>195</v>
      </c>
      <c r="X711" s="38" t="s">
        <v>200</v>
      </c>
      <c r="Y711" s="49" t="s">
        <v>201</v>
      </c>
      <c r="Z711" s="50" t="s">
        <v>2334</v>
      </c>
      <c r="AA711" s="38"/>
      <c r="AB711" s="38"/>
      <c r="AC711" s="38"/>
      <c r="AD711" s="51">
        <v>42</v>
      </c>
      <c r="AE711" s="51">
        <v>42</v>
      </c>
      <c r="AF711" s="48" t="s">
        <v>203</v>
      </c>
      <c r="AG711" s="38" t="s">
        <v>204</v>
      </c>
      <c r="AH711" s="52"/>
      <c r="AI711" s="38"/>
      <c r="AJ711" s="38"/>
    </row>
    <row r="712" spans="1:36" ht="16.2">
      <c r="A712" s="42" t="s">
        <v>836</v>
      </c>
      <c r="B712" s="42">
        <v>510001</v>
      </c>
      <c r="C712" s="42" t="s">
        <v>2323</v>
      </c>
      <c r="D712" s="42">
        <v>13207521</v>
      </c>
      <c r="E712" s="43" t="s">
        <v>2324</v>
      </c>
      <c r="F712" s="42" t="s">
        <v>1198</v>
      </c>
      <c r="G712" s="42" t="s">
        <v>195</v>
      </c>
      <c r="H712" s="42"/>
      <c r="I712" s="42"/>
      <c r="J712" s="42">
        <v>13207521</v>
      </c>
      <c r="K712" s="42"/>
      <c r="L712" s="44">
        <v>45293</v>
      </c>
      <c r="M712" s="44">
        <v>45293</v>
      </c>
      <c r="N712" s="42" t="s">
        <v>2326</v>
      </c>
      <c r="O712" s="42">
        <v>0</v>
      </c>
      <c r="P712" s="42">
        <v>20038806</v>
      </c>
      <c r="Q712" s="42" t="s">
        <v>2335</v>
      </c>
      <c r="R712" s="45">
        <v>410</v>
      </c>
      <c r="S712" s="42">
        <v>0</v>
      </c>
      <c r="T712" s="47" t="s">
        <v>198</v>
      </c>
      <c r="U712" s="48" t="s">
        <v>199</v>
      </c>
      <c r="V712" s="38"/>
      <c r="W712" s="48" t="s">
        <v>195</v>
      </c>
      <c r="X712" s="38" t="s">
        <v>200</v>
      </c>
      <c r="Y712" s="49" t="s">
        <v>201</v>
      </c>
      <c r="Z712" s="50" t="s">
        <v>2336</v>
      </c>
      <c r="AA712" s="38"/>
      <c r="AB712" s="38"/>
      <c r="AC712" s="38"/>
      <c r="AD712" s="51">
        <v>42</v>
      </c>
      <c r="AE712" s="51">
        <v>42</v>
      </c>
      <c r="AF712" s="48" t="s">
        <v>203</v>
      </c>
      <c r="AG712" s="38" t="s">
        <v>204</v>
      </c>
      <c r="AH712" s="52"/>
      <c r="AI712" s="38"/>
      <c r="AJ712" s="38"/>
    </row>
    <row r="713" spans="1:36" ht="16.2">
      <c r="A713" s="53" t="s">
        <v>836</v>
      </c>
      <c r="B713" s="53">
        <v>510001</v>
      </c>
      <c r="C713" s="53" t="s">
        <v>2323</v>
      </c>
      <c r="D713" s="53">
        <v>13207521</v>
      </c>
      <c r="E713" s="54" t="s">
        <v>2324</v>
      </c>
      <c r="F713" s="53" t="s">
        <v>1265</v>
      </c>
      <c r="G713" s="53" t="s">
        <v>195</v>
      </c>
      <c r="H713" s="53"/>
      <c r="I713" s="53"/>
      <c r="J713" s="53">
        <v>13207521</v>
      </c>
      <c r="K713" s="53"/>
      <c r="L713" s="55">
        <v>45293</v>
      </c>
      <c r="M713" s="55">
        <v>45293</v>
      </c>
      <c r="N713" s="53" t="s">
        <v>2326</v>
      </c>
      <c r="O713" s="53">
        <v>0</v>
      </c>
      <c r="P713" s="53">
        <v>20038806</v>
      </c>
      <c r="Q713" s="53" t="s">
        <v>2337</v>
      </c>
      <c r="R713" s="45">
        <v>410</v>
      </c>
      <c r="S713" s="53">
        <v>0</v>
      </c>
      <c r="T713" s="47" t="s">
        <v>198</v>
      </c>
      <c r="U713" s="48" t="s">
        <v>199</v>
      </c>
      <c r="V713" s="38"/>
      <c r="W713" s="48" t="s">
        <v>195</v>
      </c>
      <c r="X713" s="38" t="s">
        <v>200</v>
      </c>
      <c r="Y713" s="49" t="s">
        <v>201</v>
      </c>
      <c r="Z713" s="50" t="s">
        <v>2338</v>
      </c>
      <c r="AA713" s="38"/>
      <c r="AB713" s="38"/>
      <c r="AC713" s="38"/>
      <c r="AD713" s="51">
        <v>42</v>
      </c>
      <c r="AE713" s="51">
        <v>42</v>
      </c>
      <c r="AF713" s="48" t="s">
        <v>203</v>
      </c>
      <c r="AG713" s="38" t="s">
        <v>204</v>
      </c>
      <c r="AH713" s="52"/>
      <c r="AI713" s="38"/>
      <c r="AJ713" s="38"/>
    </row>
    <row r="714" spans="1:36" ht="16.2">
      <c r="A714" s="42" t="s">
        <v>836</v>
      </c>
      <c r="B714" s="42">
        <v>510001</v>
      </c>
      <c r="C714" s="42" t="s">
        <v>2323</v>
      </c>
      <c r="D714" s="42">
        <v>13207521</v>
      </c>
      <c r="E714" s="43" t="s">
        <v>2324</v>
      </c>
      <c r="F714" s="42" t="s">
        <v>2339</v>
      </c>
      <c r="G714" s="42" t="s">
        <v>195</v>
      </c>
      <c r="H714" s="42"/>
      <c r="I714" s="42"/>
      <c r="J714" s="42">
        <v>13207521</v>
      </c>
      <c r="K714" s="42"/>
      <c r="L714" s="44">
        <v>45293</v>
      </c>
      <c r="M714" s="44">
        <v>45293</v>
      </c>
      <c r="N714" s="42" t="s">
        <v>2326</v>
      </c>
      <c r="O714" s="42">
        <v>0</v>
      </c>
      <c r="P714" s="42">
        <v>20038806</v>
      </c>
      <c r="Q714" s="42" t="s">
        <v>2340</v>
      </c>
      <c r="R714" s="45">
        <v>410</v>
      </c>
      <c r="S714" s="42">
        <v>0</v>
      </c>
      <c r="T714" s="47" t="s">
        <v>198</v>
      </c>
      <c r="U714" s="48" t="s">
        <v>199</v>
      </c>
      <c r="V714" s="38"/>
      <c r="W714" s="48" t="s">
        <v>195</v>
      </c>
      <c r="X714" s="38" t="s">
        <v>200</v>
      </c>
      <c r="Y714" s="49" t="s">
        <v>201</v>
      </c>
      <c r="Z714" s="50" t="s">
        <v>2341</v>
      </c>
      <c r="AA714" s="38"/>
      <c r="AB714" s="38"/>
      <c r="AC714" s="38"/>
      <c r="AD714" s="51">
        <v>42</v>
      </c>
      <c r="AE714" s="51">
        <v>42</v>
      </c>
      <c r="AF714" s="48" t="s">
        <v>203</v>
      </c>
      <c r="AG714" s="38" t="s">
        <v>204</v>
      </c>
      <c r="AH714" s="52"/>
      <c r="AI714" s="38"/>
      <c r="AJ714" s="38"/>
    </row>
    <row r="715" spans="1:36" ht="16.2">
      <c r="A715" s="53" t="s">
        <v>836</v>
      </c>
      <c r="B715" s="53">
        <v>510001</v>
      </c>
      <c r="C715" s="53" t="s">
        <v>2323</v>
      </c>
      <c r="D715" s="53">
        <v>13207521</v>
      </c>
      <c r="E715" s="54" t="s">
        <v>2324</v>
      </c>
      <c r="F715" s="53" t="s">
        <v>2342</v>
      </c>
      <c r="G715" s="53" t="s">
        <v>195</v>
      </c>
      <c r="H715" s="53"/>
      <c r="I715" s="53"/>
      <c r="J715" s="53">
        <v>13207521</v>
      </c>
      <c r="K715" s="53"/>
      <c r="L715" s="55">
        <v>45293</v>
      </c>
      <c r="M715" s="55">
        <v>45293</v>
      </c>
      <c r="N715" s="53" t="s">
        <v>2326</v>
      </c>
      <c r="O715" s="53">
        <v>0</v>
      </c>
      <c r="P715" s="53">
        <v>20038806</v>
      </c>
      <c r="Q715" s="53" t="s">
        <v>2343</v>
      </c>
      <c r="R715" s="45">
        <v>410</v>
      </c>
      <c r="S715" s="53">
        <v>0</v>
      </c>
      <c r="T715" s="47" t="s">
        <v>198</v>
      </c>
      <c r="U715" s="48" t="s">
        <v>199</v>
      </c>
      <c r="V715" s="38"/>
      <c r="W715" s="48" t="s">
        <v>195</v>
      </c>
      <c r="X715" s="38" t="s">
        <v>200</v>
      </c>
      <c r="Y715" s="49" t="s">
        <v>201</v>
      </c>
      <c r="Z715" s="50" t="s">
        <v>2344</v>
      </c>
      <c r="AA715" s="38"/>
      <c r="AB715" s="38"/>
      <c r="AC715" s="38"/>
      <c r="AD715" s="51">
        <v>42</v>
      </c>
      <c r="AE715" s="51">
        <v>42</v>
      </c>
      <c r="AF715" s="48" t="s">
        <v>203</v>
      </c>
      <c r="AG715" s="38" t="s">
        <v>204</v>
      </c>
      <c r="AH715" s="52"/>
      <c r="AI715" s="38"/>
      <c r="AJ715" s="38"/>
    </row>
    <row r="716" spans="1:36" ht="16.2">
      <c r="A716" s="42" t="s">
        <v>836</v>
      </c>
      <c r="B716" s="42">
        <v>510001</v>
      </c>
      <c r="C716" s="42" t="s">
        <v>2323</v>
      </c>
      <c r="D716" s="42">
        <v>13207521</v>
      </c>
      <c r="E716" s="43" t="s">
        <v>2324</v>
      </c>
      <c r="F716" s="42" t="s">
        <v>2345</v>
      </c>
      <c r="G716" s="42" t="s">
        <v>195</v>
      </c>
      <c r="H716" s="42"/>
      <c r="I716" s="42"/>
      <c r="J716" s="42">
        <v>13207521</v>
      </c>
      <c r="K716" s="42"/>
      <c r="L716" s="44">
        <v>45293</v>
      </c>
      <c r="M716" s="44">
        <v>45293</v>
      </c>
      <c r="N716" s="42" t="s">
        <v>2326</v>
      </c>
      <c r="O716" s="42">
        <v>0</v>
      </c>
      <c r="P716" s="42">
        <v>20038806</v>
      </c>
      <c r="Q716" s="42" t="s">
        <v>2346</v>
      </c>
      <c r="R716" s="45">
        <v>410</v>
      </c>
      <c r="S716" s="42">
        <v>0</v>
      </c>
      <c r="T716" s="47" t="s">
        <v>198</v>
      </c>
      <c r="U716" s="48" t="s">
        <v>199</v>
      </c>
      <c r="V716" s="38"/>
      <c r="W716" s="48" t="s">
        <v>195</v>
      </c>
      <c r="X716" s="38" t="s">
        <v>200</v>
      </c>
      <c r="Y716" s="49" t="s">
        <v>201</v>
      </c>
      <c r="Z716" s="50" t="s">
        <v>2347</v>
      </c>
      <c r="AA716" s="38"/>
      <c r="AB716" s="38"/>
      <c r="AC716" s="38"/>
      <c r="AD716" s="51">
        <v>42</v>
      </c>
      <c r="AE716" s="51">
        <v>42</v>
      </c>
      <c r="AF716" s="48" t="s">
        <v>203</v>
      </c>
      <c r="AG716" s="38" t="s">
        <v>204</v>
      </c>
      <c r="AH716" s="52"/>
      <c r="AI716" s="38"/>
      <c r="AJ716" s="38"/>
    </row>
    <row r="717" spans="1:36" ht="16.2">
      <c r="A717" s="53" t="s">
        <v>836</v>
      </c>
      <c r="B717" s="53">
        <v>510001</v>
      </c>
      <c r="C717" s="53" t="s">
        <v>2323</v>
      </c>
      <c r="D717" s="53">
        <v>13207521</v>
      </c>
      <c r="E717" s="54" t="s">
        <v>2324</v>
      </c>
      <c r="F717" s="53" t="s">
        <v>1270</v>
      </c>
      <c r="G717" s="53" t="s">
        <v>195</v>
      </c>
      <c r="H717" s="53"/>
      <c r="I717" s="53"/>
      <c r="J717" s="53">
        <v>13207521</v>
      </c>
      <c r="K717" s="53"/>
      <c r="L717" s="55">
        <v>45293</v>
      </c>
      <c r="M717" s="55">
        <v>45293</v>
      </c>
      <c r="N717" s="53" t="s">
        <v>2326</v>
      </c>
      <c r="O717" s="53">
        <v>0</v>
      </c>
      <c r="P717" s="53">
        <v>20038806</v>
      </c>
      <c r="Q717" s="53" t="s">
        <v>2348</v>
      </c>
      <c r="R717" s="45">
        <v>410</v>
      </c>
      <c r="S717" s="53">
        <v>0</v>
      </c>
      <c r="T717" s="47" t="s">
        <v>198</v>
      </c>
      <c r="U717" s="48" t="s">
        <v>199</v>
      </c>
      <c r="V717" s="38"/>
      <c r="W717" s="48" t="s">
        <v>195</v>
      </c>
      <c r="X717" s="38" t="s">
        <v>200</v>
      </c>
      <c r="Y717" s="49" t="s">
        <v>201</v>
      </c>
      <c r="Z717" s="50" t="s">
        <v>2349</v>
      </c>
      <c r="AA717" s="38"/>
      <c r="AB717" s="38"/>
      <c r="AC717" s="38"/>
      <c r="AD717" s="51">
        <v>42</v>
      </c>
      <c r="AE717" s="51">
        <v>42</v>
      </c>
      <c r="AF717" s="48" t="s">
        <v>203</v>
      </c>
      <c r="AG717" s="38" t="s">
        <v>204</v>
      </c>
      <c r="AH717" s="52"/>
      <c r="AI717" s="38"/>
      <c r="AJ717" s="38"/>
    </row>
    <row r="718" spans="1:36" ht="16.2">
      <c r="A718" s="42" t="s">
        <v>836</v>
      </c>
      <c r="B718" s="42">
        <v>510001</v>
      </c>
      <c r="C718" s="42" t="s">
        <v>2323</v>
      </c>
      <c r="D718" s="42">
        <v>13207521</v>
      </c>
      <c r="E718" s="43" t="s">
        <v>2324</v>
      </c>
      <c r="F718" s="42" t="s">
        <v>2350</v>
      </c>
      <c r="G718" s="42" t="s">
        <v>195</v>
      </c>
      <c r="H718" s="42"/>
      <c r="I718" s="42"/>
      <c r="J718" s="42">
        <v>13207521</v>
      </c>
      <c r="K718" s="42"/>
      <c r="L718" s="44">
        <v>45293</v>
      </c>
      <c r="M718" s="44">
        <v>45293</v>
      </c>
      <c r="N718" s="42" t="s">
        <v>2326</v>
      </c>
      <c r="O718" s="42">
        <v>0</v>
      </c>
      <c r="P718" s="42">
        <v>20038806</v>
      </c>
      <c r="Q718" s="42" t="s">
        <v>2351</v>
      </c>
      <c r="R718" s="45">
        <v>410</v>
      </c>
      <c r="S718" s="42">
        <v>0</v>
      </c>
      <c r="T718" s="47" t="s">
        <v>198</v>
      </c>
      <c r="U718" s="48" t="s">
        <v>199</v>
      </c>
      <c r="V718" s="38"/>
      <c r="W718" s="48" t="s">
        <v>195</v>
      </c>
      <c r="X718" s="38" t="s">
        <v>200</v>
      </c>
      <c r="Y718" s="49" t="s">
        <v>201</v>
      </c>
      <c r="Z718" s="50" t="s">
        <v>2352</v>
      </c>
      <c r="AA718" s="38"/>
      <c r="AB718" s="38"/>
      <c r="AC718" s="38"/>
      <c r="AD718" s="51">
        <v>42</v>
      </c>
      <c r="AE718" s="51">
        <v>42</v>
      </c>
      <c r="AF718" s="48" t="s">
        <v>203</v>
      </c>
      <c r="AG718" s="38" t="s">
        <v>204</v>
      </c>
      <c r="AH718" s="52"/>
      <c r="AI718" s="38"/>
      <c r="AJ718" s="38"/>
    </row>
    <row r="719" spans="1:36" ht="16.2">
      <c r="A719" s="53" t="s">
        <v>836</v>
      </c>
      <c r="B719" s="53">
        <v>510001</v>
      </c>
      <c r="C719" s="53" t="s">
        <v>2323</v>
      </c>
      <c r="D719" s="53">
        <v>13207521</v>
      </c>
      <c r="E719" s="54" t="s">
        <v>2324</v>
      </c>
      <c r="F719" s="53" t="s">
        <v>2353</v>
      </c>
      <c r="G719" s="53" t="s">
        <v>195</v>
      </c>
      <c r="H719" s="53"/>
      <c r="I719" s="53"/>
      <c r="J719" s="53">
        <v>13207521</v>
      </c>
      <c r="K719" s="53"/>
      <c r="L719" s="55">
        <v>45293</v>
      </c>
      <c r="M719" s="55">
        <v>45293</v>
      </c>
      <c r="N719" s="53" t="s">
        <v>2326</v>
      </c>
      <c r="O719" s="53">
        <v>0</v>
      </c>
      <c r="P719" s="53">
        <v>20038806</v>
      </c>
      <c r="Q719" s="53" t="s">
        <v>2354</v>
      </c>
      <c r="R719" s="45">
        <v>410</v>
      </c>
      <c r="S719" s="53">
        <v>0</v>
      </c>
      <c r="T719" s="47" t="s">
        <v>198</v>
      </c>
      <c r="U719" s="48" t="s">
        <v>199</v>
      </c>
      <c r="V719" s="38"/>
      <c r="W719" s="48" t="s">
        <v>195</v>
      </c>
      <c r="X719" s="38" t="s">
        <v>200</v>
      </c>
      <c r="Y719" s="49" t="s">
        <v>201</v>
      </c>
      <c r="Z719" s="50" t="s">
        <v>2355</v>
      </c>
      <c r="AA719" s="38"/>
      <c r="AB719" s="38"/>
      <c r="AC719" s="38"/>
      <c r="AD719" s="51">
        <v>42</v>
      </c>
      <c r="AE719" s="51">
        <v>42</v>
      </c>
      <c r="AF719" s="48" t="s">
        <v>203</v>
      </c>
      <c r="AG719" s="38" t="s">
        <v>204</v>
      </c>
      <c r="AH719" s="52"/>
      <c r="AI719" s="38"/>
      <c r="AJ719" s="38"/>
    </row>
    <row r="720" spans="1:36" ht="16.2">
      <c r="A720" s="42" t="s">
        <v>836</v>
      </c>
      <c r="B720" s="42">
        <v>510001</v>
      </c>
      <c r="C720" s="42" t="s">
        <v>2323</v>
      </c>
      <c r="D720" s="42">
        <v>13207521</v>
      </c>
      <c r="E720" s="43" t="s">
        <v>2324</v>
      </c>
      <c r="F720" s="42" t="s">
        <v>1216</v>
      </c>
      <c r="G720" s="42" t="s">
        <v>195</v>
      </c>
      <c r="H720" s="42"/>
      <c r="I720" s="42"/>
      <c r="J720" s="42">
        <v>13207521</v>
      </c>
      <c r="K720" s="42"/>
      <c r="L720" s="44">
        <v>45293</v>
      </c>
      <c r="M720" s="44">
        <v>45293</v>
      </c>
      <c r="N720" s="42" t="s">
        <v>2326</v>
      </c>
      <c r="O720" s="42">
        <v>0</v>
      </c>
      <c r="P720" s="42">
        <v>20038806</v>
      </c>
      <c r="Q720" s="42" t="s">
        <v>2356</v>
      </c>
      <c r="R720" s="45">
        <v>410</v>
      </c>
      <c r="S720" s="42">
        <v>0</v>
      </c>
      <c r="T720" s="47" t="s">
        <v>198</v>
      </c>
      <c r="U720" s="48" t="s">
        <v>199</v>
      </c>
      <c r="V720" s="38"/>
      <c r="W720" s="48" t="s">
        <v>195</v>
      </c>
      <c r="X720" s="38" t="s">
        <v>200</v>
      </c>
      <c r="Y720" s="49" t="s">
        <v>201</v>
      </c>
      <c r="Z720" s="50" t="s">
        <v>2357</v>
      </c>
      <c r="AA720" s="38"/>
      <c r="AB720" s="38"/>
      <c r="AC720" s="38"/>
      <c r="AD720" s="51">
        <v>42</v>
      </c>
      <c r="AE720" s="51">
        <v>42</v>
      </c>
      <c r="AF720" s="48" t="s">
        <v>203</v>
      </c>
      <c r="AG720" s="38" t="s">
        <v>204</v>
      </c>
      <c r="AH720" s="52"/>
      <c r="AI720" s="38"/>
      <c r="AJ720" s="38"/>
    </row>
    <row r="721" spans="1:36" ht="16.2">
      <c r="A721" s="53" t="s">
        <v>836</v>
      </c>
      <c r="B721" s="53">
        <v>510001</v>
      </c>
      <c r="C721" s="53" t="s">
        <v>2323</v>
      </c>
      <c r="D721" s="53">
        <v>13207521</v>
      </c>
      <c r="E721" s="54" t="s">
        <v>2324</v>
      </c>
      <c r="F721" s="53" t="s">
        <v>2358</v>
      </c>
      <c r="G721" s="53" t="s">
        <v>195</v>
      </c>
      <c r="H721" s="53"/>
      <c r="I721" s="53"/>
      <c r="J721" s="53">
        <v>13207521</v>
      </c>
      <c r="K721" s="53"/>
      <c r="L721" s="55">
        <v>45293</v>
      </c>
      <c r="M721" s="55">
        <v>45293</v>
      </c>
      <c r="N721" s="53" t="s">
        <v>2326</v>
      </c>
      <c r="O721" s="56">
        <v>0.01</v>
      </c>
      <c r="P721" s="53">
        <v>20038806</v>
      </c>
      <c r="Q721" s="53" t="s">
        <v>2359</v>
      </c>
      <c r="R721" s="45">
        <v>410</v>
      </c>
      <c r="S721" s="56">
        <v>0.01</v>
      </c>
      <c r="T721" s="47" t="s">
        <v>198</v>
      </c>
      <c r="U721" s="48" t="s">
        <v>199</v>
      </c>
      <c r="V721" s="38"/>
      <c r="W721" s="48" t="s">
        <v>195</v>
      </c>
      <c r="X721" s="38" t="s">
        <v>200</v>
      </c>
      <c r="Y721" s="49" t="s">
        <v>201</v>
      </c>
      <c r="Z721" s="50" t="s">
        <v>2360</v>
      </c>
      <c r="AA721" s="38"/>
      <c r="AB721" s="38"/>
      <c r="AC721" s="38"/>
      <c r="AD721" s="51">
        <v>42</v>
      </c>
      <c r="AE721" s="51">
        <v>42</v>
      </c>
      <c r="AF721" s="48" t="s">
        <v>203</v>
      </c>
      <c r="AG721" s="38" t="s">
        <v>204</v>
      </c>
      <c r="AH721" s="52"/>
      <c r="AI721" s="38"/>
      <c r="AJ721" s="38"/>
    </row>
    <row r="722" spans="1:36" ht="16.2">
      <c r="A722" s="42" t="s">
        <v>836</v>
      </c>
      <c r="B722" s="42">
        <v>510001</v>
      </c>
      <c r="C722" s="42" t="s">
        <v>2323</v>
      </c>
      <c r="D722" s="42">
        <v>13207521</v>
      </c>
      <c r="E722" s="43" t="s">
        <v>2324</v>
      </c>
      <c r="F722" s="42" t="s">
        <v>2361</v>
      </c>
      <c r="G722" s="42" t="s">
        <v>195</v>
      </c>
      <c r="H722" s="42"/>
      <c r="I722" s="42"/>
      <c r="J722" s="42">
        <v>13207521</v>
      </c>
      <c r="K722" s="42"/>
      <c r="L722" s="44">
        <v>45293</v>
      </c>
      <c r="M722" s="44">
        <v>45293</v>
      </c>
      <c r="N722" s="42" t="s">
        <v>2326</v>
      </c>
      <c r="O722" s="46">
        <v>0.01</v>
      </c>
      <c r="P722" s="42">
        <v>20038806</v>
      </c>
      <c r="Q722" s="42" t="s">
        <v>2362</v>
      </c>
      <c r="R722" s="45">
        <v>410</v>
      </c>
      <c r="S722" s="46">
        <v>0.01</v>
      </c>
      <c r="T722" s="47" t="s">
        <v>198</v>
      </c>
      <c r="U722" s="48" t="s">
        <v>199</v>
      </c>
      <c r="V722" s="38"/>
      <c r="W722" s="48" t="s">
        <v>195</v>
      </c>
      <c r="X722" s="38" t="s">
        <v>200</v>
      </c>
      <c r="Y722" s="49" t="s">
        <v>201</v>
      </c>
      <c r="Z722" s="50" t="s">
        <v>2363</v>
      </c>
      <c r="AA722" s="38"/>
      <c r="AB722" s="38"/>
      <c r="AC722" s="38"/>
      <c r="AD722" s="51">
        <v>42</v>
      </c>
      <c r="AE722" s="51">
        <v>42</v>
      </c>
      <c r="AF722" s="48" t="s">
        <v>203</v>
      </c>
      <c r="AG722" s="38" t="s">
        <v>204</v>
      </c>
      <c r="AH722" s="52"/>
      <c r="AI722" s="38"/>
      <c r="AJ722" s="38"/>
    </row>
    <row r="723" spans="1:36" ht="16.2">
      <c r="A723" s="53" t="s">
        <v>836</v>
      </c>
      <c r="B723" s="53">
        <v>510001</v>
      </c>
      <c r="C723" s="53" t="s">
        <v>2323</v>
      </c>
      <c r="D723" s="53">
        <v>13207521</v>
      </c>
      <c r="E723" s="54" t="s">
        <v>2324</v>
      </c>
      <c r="F723" s="53" t="s">
        <v>1207</v>
      </c>
      <c r="G723" s="53" t="s">
        <v>195</v>
      </c>
      <c r="H723" s="53"/>
      <c r="I723" s="53"/>
      <c r="J723" s="53">
        <v>13207521</v>
      </c>
      <c r="K723" s="53"/>
      <c r="L723" s="55">
        <v>45293</v>
      </c>
      <c r="M723" s="55">
        <v>45293</v>
      </c>
      <c r="N723" s="53" t="s">
        <v>2326</v>
      </c>
      <c r="O723" s="56">
        <v>0.01</v>
      </c>
      <c r="P723" s="53">
        <v>20038806</v>
      </c>
      <c r="Q723" s="53" t="s">
        <v>2364</v>
      </c>
      <c r="R723" s="45">
        <v>410</v>
      </c>
      <c r="S723" s="56">
        <v>0.01</v>
      </c>
      <c r="T723" s="47" t="s">
        <v>198</v>
      </c>
      <c r="U723" s="48" t="s">
        <v>199</v>
      </c>
      <c r="V723" s="38"/>
      <c r="W723" s="48" t="s">
        <v>195</v>
      </c>
      <c r="X723" s="38" t="s">
        <v>200</v>
      </c>
      <c r="Y723" s="49" t="s">
        <v>201</v>
      </c>
      <c r="Z723" s="50" t="s">
        <v>2365</v>
      </c>
      <c r="AA723" s="38"/>
      <c r="AB723" s="38"/>
      <c r="AC723" s="38"/>
      <c r="AD723" s="51">
        <v>42</v>
      </c>
      <c r="AE723" s="51">
        <v>42</v>
      </c>
      <c r="AF723" s="48" t="s">
        <v>203</v>
      </c>
      <c r="AG723" s="38" t="s">
        <v>204</v>
      </c>
      <c r="AH723" s="52"/>
      <c r="AI723" s="38"/>
      <c r="AJ723" s="38"/>
    </row>
    <row r="724" spans="1:36" ht="16.2">
      <c r="A724" s="42" t="s">
        <v>836</v>
      </c>
      <c r="B724" s="42">
        <v>510001</v>
      </c>
      <c r="C724" s="42" t="s">
        <v>2323</v>
      </c>
      <c r="D724" s="42">
        <v>13207521</v>
      </c>
      <c r="E724" s="43" t="s">
        <v>2324</v>
      </c>
      <c r="F724" s="42" t="s">
        <v>293</v>
      </c>
      <c r="G724" s="42" t="s">
        <v>195</v>
      </c>
      <c r="H724" s="42"/>
      <c r="I724" s="42"/>
      <c r="J724" s="42">
        <v>13207521</v>
      </c>
      <c r="K724" s="42"/>
      <c r="L724" s="44">
        <v>45293</v>
      </c>
      <c r="M724" s="44">
        <v>45293</v>
      </c>
      <c r="N724" s="42" t="s">
        <v>2326</v>
      </c>
      <c r="O724" s="46">
        <v>0.01</v>
      </c>
      <c r="P724" s="42">
        <v>20038806</v>
      </c>
      <c r="Q724" s="42" t="s">
        <v>2366</v>
      </c>
      <c r="R724" s="45">
        <v>410</v>
      </c>
      <c r="S724" s="46">
        <v>0.01</v>
      </c>
      <c r="T724" s="47" t="s">
        <v>198</v>
      </c>
      <c r="U724" s="48" t="s">
        <v>199</v>
      </c>
      <c r="V724" s="38"/>
      <c r="W724" s="48" t="s">
        <v>195</v>
      </c>
      <c r="X724" s="38" t="s">
        <v>200</v>
      </c>
      <c r="Y724" s="49" t="s">
        <v>201</v>
      </c>
      <c r="Z724" s="50" t="s">
        <v>2367</v>
      </c>
      <c r="AA724" s="38"/>
      <c r="AB724" s="38"/>
      <c r="AC724" s="38"/>
      <c r="AD724" s="51">
        <v>42</v>
      </c>
      <c r="AE724" s="51">
        <v>42</v>
      </c>
      <c r="AF724" s="48" t="s">
        <v>203</v>
      </c>
      <c r="AG724" s="38" t="s">
        <v>204</v>
      </c>
      <c r="AH724" s="52"/>
      <c r="AI724" s="38"/>
      <c r="AJ724" s="38"/>
    </row>
    <row r="725" spans="1:36" ht="16.2">
      <c r="A725" s="53" t="s">
        <v>836</v>
      </c>
      <c r="B725" s="53">
        <v>510001</v>
      </c>
      <c r="C725" s="53" t="s">
        <v>2323</v>
      </c>
      <c r="D725" s="53">
        <v>13207521</v>
      </c>
      <c r="E725" s="54" t="s">
        <v>2324</v>
      </c>
      <c r="F725" s="53" t="s">
        <v>2368</v>
      </c>
      <c r="G725" s="53" t="s">
        <v>195</v>
      </c>
      <c r="H725" s="53"/>
      <c r="I725" s="53"/>
      <c r="J725" s="53">
        <v>13207521</v>
      </c>
      <c r="K725" s="53"/>
      <c r="L725" s="55">
        <v>45293</v>
      </c>
      <c r="M725" s="55">
        <v>45293</v>
      </c>
      <c r="N725" s="53" t="s">
        <v>2326</v>
      </c>
      <c r="O725" s="56">
        <v>0.01</v>
      </c>
      <c r="P725" s="53">
        <v>20038806</v>
      </c>
      <c r="Q725" s="53" t="s">
        <v>2369</v>
      </c>
      <c r="R725" s="45">
        <v>410</v>
      </c>
      <c r="S725" s="56">
        <v>0.01</v>
      </c>
      <c r="T725" s="47" t="s">
        <v>198</v>
      </c>
      <c r="U725" s="48" t="s">
        <v>199</v>
      </c>
      <c r="V725" s="38"/>
      <c r="W725" s="48" t="s">
        <v>195</v>
      </c>
      <c r="X725" s="38" t="s">
        <v>200</v>
      </c>
      <c r="Y725" s="49" t="s">
        <v>201</v>
      </c>
      <c r="Z725" s="50" t="s">
        <v>2370</v>
      </c>
      <c r="AA725" s="38"/>
      <c r="AB725" s="38"/>
      <c r="AC725" s="38"/>
      <c r="AD725" s="51">
        <v>42</v>
      </c>
      <c r="AE725" s="51">
        <v>42</v>
      </c>
      <c r="AF725" s="48" t="s">
        <v>203</v>
      </c>
      <c r="AG725" s="38" t="s">
        <v>204</v>
      </c>
      <c r="AH725" s="52"/>
      <c r="AI725" s="38"/>
      <c r="AJ725" s="38"/>
    </row>
    <row r="726" spans="1:36" ht="16.2">
      <c r="A726" s="42" t="s">
        <v>836</v>
      </c>
      <c r="B726" s="42">
        <v>510001</v>
      </c>
      <c r="C726" s="42" t="s">
        <v>2323</v>
      </c>
      <c r="D726" s="42">
        <v>13207521</v>
      </c>
      <c r="E726" s="43" t="s">
        <v>2324</v>
      </c>
      <c r="F726" s="42" t="s">
        <v>2371</v>
      </c>
      <c r="G726" s="42" t="s">
        <v>195</v>
      </c>
      <c r="H726" s="42"/>
      <c r="I726" s="42"/>
      <c r="J726" s="42">
        <v>13207521</v>
      </c>
      <c r="K726" s="42"/>
      <c r="L726" s="44">
        <v>45293</v>
      </c>
      <c r="M726" s="44">
        <v>45293</v>
      </c>
      <c r="N726" s="42" t="s">
        <v>2326</v>
      </c>
      <c r="O726" s="46">
        <v>0.01</v>
      </c>
      <c r="P726" s="42">
        <v>20038806</v>
      </c>
      <c r="Q726" s="42" t="s">
        <v>2372</v>
      </c>
      <c r="R726" s="45">
        <v>410</v>
      </c>
      <c r="S726" s="46">
        <v>0.01</v>
      </c>
      <c r="T726" s="47" t="s">
        <v>198</v>
      </c>
      <c r="U726" s="48" t="s">
        <v>199</v>
      </c>
      <c r="V726" s="38"/>
      <c r="W726" s="48" t="s">
        <v>195</v>
      </c>
      <c r="X726" s="38" t="s">
        <v>200</v>
      </c>
      <c r="Y726" s="49" t="s">
        <v>201</v>
      </c>
      <c r="Z726" s="50" t="s">
        <v>2373</v>
      </c>
      <c r="AA726" s="38"/>
      <c r="AB726" s="38"/>
      <c r="AC726" s="38"/>
      <c r="AD726" s="51">
        <v>42</v>
      </c>
      <c r="AE726" s="51">
        <v>42</v>
      </c>
      <c r="AF726" s="48" t="s">
        <v>203</v>
      </c>
      <c r="AG726" s="38" t="s">
        <v>204</v>
      </c>
      <c r="AH726" s="52"/>
      <c r="AI726" s="38"/>
      <c r="AJ726" s="38"/>
    </row>
    <row r="727" spans="1:36" ht="16.2">
      <c r="A727" s="53" t="s">
        <v>836</v>
      </c>
      <c r="B727" s="53">
        <v>510001</v>
      </c>
      <c r="C727" s="53" t="s">
        <v>2323</v>
      </c>
      <c r="D727" s="53">
        <v>13207521</v>
      </c>
      <c r="E727" s="54" t="s">
        <v>2324</v>
      </c>
      <c r="F727" s="53" t="s">
        <v>2374</v>
      </c>
      <c r="G727" s="53" t="s">
        <v>195</v>
      </c>
      <c r="H727" s="53"/>
      <c r="I727" s="53"/>
      <c r="J727" s="53">
        <v>13207521</v>
      </c>
      <c r="K727" s="53"/>
      <c r="L727" s="55">
        <v>45293</v>
      </c>
      <c r="M727" s="55">
        <v>45293</v>
      </c>
      <c r="N727" s="53" t="s">
        <v>2326</v>
      </c>
      <c r="O727" s="56">
        <v>0.01</v>
      </c>
      <c r="P727" s="53">
        <v>20038806</v>
      </c>
      <c r="Q727" s="53" t="s">
        <v>2375</v>
      </c>
      <c r="R727" s="45">
        <v>410</v>
      </c>
      <c r="S727" s="56">
        <v>0.01</v>
      </c>
      <c r="T727" s="47" t="s">
        <v>198</v>
      </c>
      <c r="U727" s="48" t="s">
        <v>199</v>
      </c>
      <c r="V727" s="38"/>
      <c r="W727" s="48" t="s">
        <v>195</v>
      </c>
      <c r="X727" s="38" t="s">
        <v>200</v>
      </c>
      <c r="Y727" s="49" t="s">
        <v>201</v>
      </c>
      <c r="Z727" s="50" t="s">
        <v>2376</v>
      </c>
      <c r="AA727" s="38"/>
      <c r="AB727" s="38"/>
      <c r="AC727" s="38"/>
      <c r="AD727" s="51">
        <v>42</v>
      </c>
      <c r="AE727" s="51">
        <v>42</v>
      </c>
      <c r="AF727" s="48" t="s">
        <v>203</v>
      </c>
      <c r="AG727" s="38" t="s">
        <v>204</v>
      </c>
      <c r="AH727" s="52"/>
      <c r="AI727" s="38"/>
      <c r="AJ727" s="38"/>
    </row>
    <row r="728" spans="1:36" ht="16.2">
      <c r="A728" s="42" t="s">
        <v>836</v>
      </c>
      <c r="B728" s="42">
        <v>510001</v>
      </c>
      <c r="C728" s="42" t="s">
        <v>2323</v>
      </c>
      <c r="D728" s="42">
        <v>13207521</v>
      </c>
      <c r="E728" s="43" t="s">
        <v>2324</v>
      </c>
      <c r="F728" s="42" t="s">
        <v>2377</v>
      </c>
      <c r="G728" s="42" t="s">
        <v>195</v>
      </c>
      <c r="H728" s="42"/>
      <c r="I728" s="42"/>
      <c r="J728" s="42">
        <v>13207521</v>
      </c>
      <c r="K728" s="42"/>
      <c r="L728" s="44">
        <v>45293</v>
      </c>
      <c r="M728" s="44">
        <v>45293</v>
      </c>
      <c r="N728" s="42" t="s">
        <v>2326</v>
      </c>
      <c r="O728" s="46">
        <v>0.01</v>
      </c>
      <c r="P728" s="42">
        <v>20038806</v>
      </c>
      <c r="Q728" s="42" t="s">
        <v>2378</v>
      </c>
      <c r="R728" s="45">
        <v>410</v>
      </c>
      <c r="S728" s="46">
        <v>0.01</v>
      </c>
      <c r="T728" s="47" t="s">
        <v>198</v>
      </c>
      <c r="U728" s="48" t="s">
        <v>199</v>
      </c>
      <c r="V728" s="38"/>
      <c r="W728" s="48" t="s">
        <v>195</v>
      </c>
      <c r="X728" s="38" t="s">
        <v>200</v>
      </c>
      <c r="Y728" s="49" t="s">
        <v>201</v>
      </c>
      <c r="Z728" s="50" t="s">
        <v>2379</v>
      </c>
      <c r="AA728" s="38"/>
      <c r="AB728" s="38"/>
      <c r="AC728" s="38"/>
      <c r="AD728" s="51">
        <v>42</v>
      </c>
      <c r="AE728" s="51">
        <v>42</v>
      </c>
      <c r="AF728" s="48" t="s">
        <v>203</v>
      </c>
      <c r="AG728" s="38" t="s">
        <v>204</v>
      </c>
      <c r="AH728" s="52"/>
      <c r="AI728" s="38"/>
      <c r="AJ728" s="38"/>
    </row>
    <row r="729" spans="1:36" ht="16.2">
      <c r="A729" s="53" t="s">
        <v>836</v>
      </c>
      <c r="B729" s="53">
        <v>510001</v>
      </c>
      <c r="C729" s="53" t="s">
        <v>2323</v>
      </c>
      <c r="D729" s="53">
        <v>13207521</v>
      </c>
      <c r="E729" s="54" t="s">
        <v>2324</v>
      </c>
      <c r="F729" s="53" t="s">
        <v>2380</v>
      </c>
      <c r="G729" s="53" t="s">
        <v>195</v>
      </c>
      <c r="H729" s="53"/>
      <c r="I729" s="53"/>
      <c r="J729" s="53">
        <v>13207521</v>
      </c>
      <c r="K729" s="53"/>
      <c r="L729" s="55">
        <v>45293</v>
      </c>
      <c r="M729" s="55">
        <v>45293</v>
      </c>
      <c r="N729" s="53" t="s">
        <v>2326</v>
      </c>
      <c r="O729" s="56">
        <v>0.01</v>
      </c>
      <c r="P729" s="53">
        <v>20038806</v>
      </c>
      <c r="Q729" s="53" t="s">
        <v>2381</v>
      </c>
      <c r="R729" s="45">
        <v>410</v>
      </c>
      <c r="S729" s="56">
        <v>0.01</v>
      </c>
      <c r="T729" s="47" t="s">
        <v>198</v>
      </c>
      <c r="U729" s="48" t="s">
        <v>199</v>
      </c>
      <c r="V729" s="38"/>
      <c r="W729" s="48" t="s">
        <v>195</v>
      </c>
      <c r="X729" s="38" t="s">
        <v>200</v>
      </c>
      <c r="Y729" s="49" t="s">
        <v>201</v>
      </c>
      <c r="Z729" s="50" t="s">
        <v>2382</v>
      </c>
      <c r="AA729" s="38"/>
      <c r="AB729" s="38"/>
      <c r="AC729" s="38"/>
      <c r="AD729" s="51">
        <v>42</v>
      </c>
      <c r="AE729" s="51">
        <v>42</v>
      </c>
      <c r="AF729" s="48" t="s">
        <v>203</v>
      </c>
      <c r="AG729" s="38" t="s">
        <v>204</v>
      </c>
      <c r="AH729" s="52"/>
      <c r="AI729" s="38"/>
      <c r="AJ729" s="38"/>
    </row>
    <row r="730" spans="1:36" ht="16.2">
      <c r="A730" s="42" t="s">
        <v>836</v>
      </c>
      <c r="B730" s="42">
        <v>510001</v>
      </c>
      <c r="C730" s="42" t="s">
        <v>2323</v>
      </c>
      <c r="D730" s="42">
        <v>13207521</v>
      </c>
      <c r="E730" s="43" t="s">
        <v>2324</v>
      </c>
      <c r="F730" s="42" t="s">
        <v>2383</v>
      </c>
      <c r="G730" s="42" t="s">
        <v>195</v>
      </c>
      <c r="H730" s="42"/>
      <c r="I730" s="42"/>
      <c r="J730" s="42">
        <v>13207521</v>
      </c>
      <c r="K730" s="42"/>
      <c r="L730" s="44">
        <v>45293</v>
      </c>
      <c r="M730" s="44">
        <v>45293</v>
      </c>
      <c r="N730" s="42" t="s">
        <v>2326</v>
      </c>
      <c r="O730" s="46">
        <v>0.01</v>
      </c>
      <c r="P730" s="42">
        <v>20038806</v>
      </c>
      <c r="Q730" s="42" t="s">
        <v>2384</v>
      </c>
      <c r="R730" s="45">
        <v>410</v>
      </c>
      <c r="S730" s="46">
        <v>0.01</v>
      </c>
      <c r="T730" s="47" t="s">
        <v>198</v>
      </c>
      <c r="U730" s="48" t="s">
        <v>199</v>
      </c>
      <c r="V730" s="38"/>
      <c r="W730" s="48" t="s">
        <v>195</v>
      </c>
      <c r="X730" s="38" t="s">
        <v>200</v>
      </c>
      <c r="Y730" s="49" t="s">
        <v>201</v>
      </c>
      <c r="Z730" s="50" t="s">
        <v>2385</v>
      </c>
      <c r="AA730" s="38"/>
      <c r="AB730" s="38"/>
      <c r="AC730" s="38"/>
      <c r="AD730" s="51">
        <v>42</v>
      </c>
      <c r="AE730" s="51">
        <v>42</v>
      </c>
      <c r="AF730" s="48" t="s">
        <v>203</v>
      </c>
      <c r="AG730" s="38" t="s">
        <v>204</v>
      </c>
      <c r="AH730" s="52"/>
      <c r="AI730" s="38"/>
      <c r="AJ730" s="38"/>
    </row>
    <row r="731" spans="1:36" ht="16.2">
      <c r="A731" s="53" t="s">
        <v>836</v>
      </c>
      <c r="B731" s="53">
        <v>510001</v>
      </c>
      <c r="C731" s="53" t="s">
        <v>2323</v>
      </c>
      <c r="D731" s="53">
        <v>13207521</v>
      </c>
      <c r="E731" s="54" t="s">
        <v>2324</v>
      </c>
      <c r="F731" s="53" t="s">
        <v>1238</v>
      </c>
      <c r="G731" s="53" t="s">
        <v>195</v>
      </c>
      <c r="H731" s="53"/>
      <c r="I731" s="53"/>
      <c r="J731" s="53">
        <v>13207521</v>
      </c>
      <c r="K731" s="53"/>
      <c r="L731" s="55">
        <v>45293</v>
      </c>
      <c r="M731" s="55">
        <v>45293</v>
      </c>
      <c r="N731" s="53" t="s">
        <v>2326</v>
      </c>
      <c r="O731" s="56">
        <v>0.01</v>
      </c>
      <c r="P731" s="53">
        <v>20038806</v>
      </c>
      <c r="Q731" s="53" t="s">
        <v>2386</v>
      </c>
      <c r="R731" s="45">
        <v>410</v>
      </c>
      <c r="S731" s="56">
        <v>0.01</v>
      </c>
      <c r="T731" s="47" t="s">
        <v>198</v>
      </c>
      <c r="U731" s="48" t="s">
        <v>199</v>
      </c>
      <c r="V731" s="38"/>
      <c r="W731" s="48" t="s">
        <v>195</v>
      </c>
      <c r="X731" s="38" t="s">
        <v>200</v>
      </c>
      <c r="Y731" s="49" t="s">
        <v>201</v>
      </c>
      <c r="Z731" s="50" t="s">
        <v>2387</v>
      </c>
      <c r="AA731" s="38"/>
      <c r="AB731" s="38"/>
      <c r="AC731" s="38"/>
      <c r="AD731" s="51">
        <v>42</v>
      </c>
      <c r="AE731" s="51">
        <v>42</v>
      </c>
      <c r="AF731" s="48" t="s">
        <v>203</v>
      </c>
      <c r="AG731" s="38" t="s">
        <v>204</v>
      </c>
      <c r="AH731" s="52"/>
      <c r="AI731" s="38"/>
      <c r="AJ731" s="38"/>
    </row>
    <row r="732" spans="1:36" ht="16.2">
      <c r="A732" s="42" t="s">
        <v>238</v>
      </c>
      <c r="B732" s="42">
        <v>828592</v>
      </c>
      <c r="C732" s="42" t="s">
        <v>2323</v>
      </c>
      <c r="D732" s="42">
        <v>13207650</v>
      </c>
      <c r="E732" s="43" t="s">
        <v>2324</v>
      </c>
      <c r="F732" s="42" t="s">
        <v>2325</v>
      </c>
      <c r="G732" s="42" t="s">
        <v>195</v>
      </c>
      <c r="H732" s="42" t="s">
        <v>2388</v>
      </c>
      <c r="I732" s="42"/>
      <c r="J732" s="42">
        <v>13207650</v>
      </c>
      <c r="K732" s="42"/>
      <c r="L732" s="44">
        <v>45293</v>
      </c>
      <c r="M732" s="44">
        <v>45293</v>
      </c>
      <c r="N732" s="42" t="s">
        <v>306</v>
      </c>
      <c r="O732" s="46">
        <v>0.01</v>
      </c>
      <c r="P732" s="42">
        <v>20009855</v>
      </c>
      <c r="Q732" s="42" t="s">
        <v>2389</v>
      </c>
      <c r="R732" s="45">
        <v>410</v>
      </c>
      <c r="S732" s="46">
        <v>0.01</v>
      </c>
      <c r="T732" s="47" t="s">
        <v>198</v>
      </c>
      <c r="U732" s="48" t="s">
        <v>199</v>
      </c>
      <c r="V732" s="38"/>
      <c r="W732" s="48" t="s">
        <v>195</v>
      </c>
      <c r="X732" s="38" t="s">
        <v>200</v>
      </c>
      <c r="Y732" s="49" t="s">
        <v>201</v>
      </c>
      <c r="Z732" s="50" t="s">
        <v>2390</v>
      </c>
      <c r="AA732" s="47" t="s">
        <v>2391</v>
      </c>
      <c r="AB732" s="38"/>
      <c r="AC732" s="38"/>
      <c r="AD732" s="51">
        <v>146</v>
      </c>
      <c r="AE732" s="51">
        <v>146</v>
      </c>
      <c r="AF732" s="48" t="s">
        <v>203</v>
      </c>
      <c r="AG732" s="38" t="s">
        <v>204</v>
      </c>
      <c r="AH732" s="52"/>
      <c r="AI732" s="38"/>
      <c r="AJ732" s="38"/>
    </row>
    <row r="733" spans="1:36" ht="16.2">
      <c r="A733" s="53" t="s">
        <v>238</v>
      </c>
      <c r="B733" s="53">
        <v>828592</v>
      </c>
      <c r="C733" s="53" t="s">
        <v>2323</v>
      </c>
      <c r="D733" s="53">
        <v>13207650</v>
      </c>
      <c r="E733" s="54" t="s">
        <v>2324</v>
      </c>
      <c r="F733" s="53" t="s">
        <v>2329</v>
      </c>
      <c r="G733" s="53" t="s">
        <v>195</v>
      </c>
      <c r="H733" s="53"/>
      <c r="I733" s="53"/>
      <c r="J733" s="53">
        <v>13207650</v>
      </c>
      <c r="K733" s="53"/>
      <c r="L733" s="55">
        <v>45293</v>
      </c>
      <c r="M733" s="55">
        <v>45293</v>
      </c>
      <c r="N733" s="53" t="s">
        <v>306</v>
      </c>
      <c r="O733" s="56">
        <v>0.01</v>
      </c>
      <c r="P733" s="53">
        <v>20009855</v>
      </c>
      <c r="Q733" s="53" t="s">
        <v>2392</v>
      </c>
      <c r="R733" s="45">
        <v>410</v>
      </c>
      <c r="S733" s="56">
        <v>0.01</v>
      </c>
      <c r="T733" s="47" t="s">
        <v>198</v>
      </c>
      <c r="U733" s="48" t="s">
        <v>199</v>
      </c>
      <c r="V733" s="38"/>
      <c r="W733" s="48" t="s">
        <v>195</v>
      </c>
      <c r="X733" s="38" t="s">
        <v>200</v>
      </c>
      <c r="Y733" s="49" t="s">
        <v>201</v>
      </c>
      <c r="Z733" s="50" t="s">
        <v>2393</v>
      </c>
      <c r="AA733" s="38"/>
      <c r="AB733" s="38"/>
      <c r="AC733" s="38"/>
      <c r="AD733" s="51">
        <v>146</v>
      </c>
      <c r="AE733" s="51">
        <v>146</v>
      </c>
      <c r="AF733" s="48" t="s">
        <v>203</v>
      </c>
      <c r="AG733" s="38" t="s">
        <v>204</v>
      </c>
      <c r="AH733" s="52"/>
      <c r="AI733" s="38"/>
      <c r="AJ733" s="38"/>
    </row>
    <row r="734" spans="1:36" ht="16.2">
      <c r="A734" s="42" t="s">
        <v>238</v>
      </c>
      <c r="B734" s="42">
        <v>828592</v>
      </c>
      <c r="C734" s="42" t="s">
        <v>2323</v>
      </c>
      <c r="D734" s="42">
        <v>13207650</v>
      </c>
      <c r="E734" s="43" t="s">
        <v>2324</v>
      </c>
      <c r="F734" s="42" t="s">
        <v>2332</v>
      </c>
      <c r="G734" s="42" t="s">
        <v>195</v>
      </c>
      <c r="H734" s="42"/>
      <c r="I734" s="42"/>
      <c r="J734" s="42">
        <v>13207650</v>
      </c>
      <c r="K734" s="42"/>
      <c r="L734" s="44">
        <v>45293</v>
      </c>
      <c r="M734" s="44">
        <v>45293</v>
      </c>
      <c r="N734" s="42" t="s">
        <v>306</v>
      </c>
      <c r="O734" s="46">
        <v>0.01</v>
      </c>
      <c r="P734" s="42">
        <v>20009855</v>
      </c>
      <c r="Q734" s="42" t="s">
        <v>2394</v>
      </c>
      <c r="R734" s="45">
        <v>410</v>
      </c>
      <c r="S734" s="46">
        <v>0.01</v>
      </c>
      <c r="T734" s="47" t="s">
        <v>198</v>
      </c>
      <c r="U734" s="48" t="s">
        <v>199</v>
      </c>
      <c r="V734" s="38"/>
      <c r="W734" s="48" t="s">
        <v>195</v>
      </c>
      <c r="X734" s="38" t="s">
        <v>200</v>
      </c>
      <c r="Y734" s="49" t="s">
        <v>201</v>
      </c>
      <c r="Z734" s="50" t="s">
        <v>2395</v>
      </c>
      <c r="AA734" s="38"/>
      <c r="AB734" s="38"/>
      <c r="AC734" s="38"/>
      <c r="AD734" s="51">
        <v>146</v>
      </c>
      <c r="AE734" s="51">
        <v>146</v>
      </c>
      <c r="AF734" s="48" t="s">
        <v>203</v>
      </c>
      <c r="AG734" s="38" t="s">
        <v>204</v>
      </c>
      <c r="AH734" s="52"/>
      <c r="AI734" s="38"/>
      <c r="AJ734" s="38"/>
    </row>
    <row r="735" spans="1:36" ht="16.2">
      <c r="A735" s="53" t="s">
        <v>238</v>
      </c>
      <c r="B735" s="53">
        <v>828592</v>
      </c>
      <c r="C735" s="53" t="s">
        <v>2323</v>
      </c>
      <c r="D735" s="53">
        <v>13207650</v>
      </c>
      <c r="E735" s="54" t="s">
        <v>2324</v>
      </c>
      <c r="F735" s="53" t="s">
        <v>1198</v>
      </c>
      <c r="G735" s="53" t="s">
        <v>195</v>
      </c>
      <c r="H735" s="53"/>
      <c r="I735" s="53"/>
      <c r="J735" s="53">
        <v>13207650</v>
      </c>
      <c r="K735" s="53"/>
      <c r="L735" s="55">
        <v>45293</v>
      </c>
      <c r="M735" s="55">
        <v>45293</v>
      </c>
      <c r="N735" s="53" t="s">
        <v>306</v>
      </c>
      <c r="O735" s="56">
        <v>0.01</v>
      </c>
      <c r="P735" s="53">
        <v>20009855</v>
      </c>
      <c r="Q735" s="53" t="s">
        <v>2396</v>
      </c>
      <c r="R735" s="45">
        <v>410</v>
      </c>
      <c r="S735" s="56">
        <v>0.01</v>
      </c>
      <c r="T735" s="47" t="s">
        <v>198</v>
      </c>
      <c r="U735" s="48" t="s">
        <v>199</v>
      </c>
      <c r="V735" s="38"/>
      <c r="W735" s="48" t="s">
        <v>195</v>
      </c>
      <c r="X735" s="38" t="s">
        <v>200</v>
      </c>
      <c r="Y735" s="49" t="s">
        <v>201</v>
      </c>
      <c r="Z735" s="50" t="s">
        <v>2397</v>
      </c>
      <c r="AA735" s="38"/>
      <c r="AB735" s="38"/>
      <c r="AC735" s="38"/>
      <c r="AD735" s="51">
        <v>146</v>
      </c>
      <c r="AE735" s="51">
        <v>146</v>
      </c>
      <c r="AF735" s="48" t="s">
        <v>203</v>
      </c>
      <c r="AG735" s="38" t="s">
        <v>204</v>
      </c>
      <c r="AH735" s="52"/>
      <c r="AI735" s="38"/>
      <c r="AJ735" s="38"/>
    </row>
    <row r="736" spans="1:36" ht="16.2">
      <c r="A736" s="42" t="s">
        <v>238</v>
      </c>
      <c r="B736" s="42">
        <v>828592</v>
      </c>
      <c r="C736" s="42" t="s">
        <v>2323</v>
      </c>
      <c r="D736" s="42">
        <v>13207650</v>
      </c>
      <c r="E736" s="43" t="s">
        <v>2324</v>
      </c>
      <c r="F736" s="42" t="s">
        <v>1265</v>
      </c>
      <c r="G736" s="42" t="s">
        <v>195</v>
      </c>
      <c r="H736" s="42"/>
      <c r="I736" s="42"/>
      <c r="J736" s="42">
        <v>13207650</v>
      </c>
      <c r="K736" s="42"/>
      <c r="L736" s="44">
        <v>45293</v>
      </c>
      <c r="M736" s="44">
        <v>45293</v>
      </c>
      <c r="N736" s="42" t="s">
        <v>306</v>
      </c>
      <c r="O736" s="46">
        <v>0.01</v>
      </c>
      <c r="P736" s="42">
        <v>20009855</v>
      </c>
      <c r="Q736" s="42" t="s">
        <v>2398</v>
      </c>
      <c r="R736" s="45">
        <v>410</v>
      </c>
      <c r="S736" s="46">
        <v>0.01</v>
      </c>
      <c r="T736" s="47" t="s">
        <v>198</v>
      </c>
      <c r="U736" s="48" t="s">
        <v>199</v>
      </c>
      <c r="V736" s="38"/>
      <c r="W736" s="48" t="s">
        <v>195</v>
      </c>
      <c r="X736" s="38" t="s">
        <v>200</v>
      </c>
      <c r="Y736" s="49" t="s">
        <v>201</v>
      </c>
      <c r="Z736" s="50" t="s">
        <v>2399</v>
      </c>
      <c r="AA736" s="38"/>
      <c r="AB736" s="38"/>
      <c r="AC736" s="38"/>
      <c r="AD736" s="51">
        <v>146</v>
      </c>
      <c r="AE736" s="51">
        <v>146</v>
      </c>
      <c r="AF736" s="48" t="s">
        <v>203</v>
      </c>
      <c r="AG736" s="38" t="s">
        <v>204</v>
      </c>
      <c r="AH736" s="52"/>
      <c r="AI736" s="38"/>
      <c r="AJ736" s="38"/>
    </row>
    <row r="737" spans="1:36" ht="16.2">
      <c r="A737" s="53" t="s">
        <v>238</v>
      </c>
      <c r="B737" s="53">
        <v>828592</v>
      </c>
      <c r="C737" s="53" t="s">
        <v>2323</v>
      </c>
      <c r="D737" s="53">
        <v>13207650</v>
      </c>
      <c r="E737" s="54" t="s">
        <v>2324</v>
      </c>
      <c r="F737" s="53" t="s">
        <v>2339</v>
      </c>
      <c r="G737" s="53" t="s">
        <v>195</v>
      </c>
      <c r="H737" s="53"/>
      <c r="I737" s="53"/>
      <c r="J737" s="53">
        <v>13207650</v>
      </c>
      <c r="K737" s="53"/>
      <c r="L737" s="55">
        <v>45293</v>
      </c>
      <c r="M737" s="55">
        <v>45293</v>
      </c>
      <c r="N737" s="53" t="s">
        <v>306</v>
      </c>
      <c r="O737" s="56">
        <v>0.01</v>
      </c>
      <c r="P737" s="53">
        <v>20009855</v>
      </c>
      <c r="Q737" s="53" t="s">
        <v>2400</v>
      </c>
      <c r="R737" s="45">
        <v>410</v>
      </c>
      <c r="S737" s="56">
        <v>0.01</v>
      </c>
      <c r="T737" s="47" t="s">
        <v>198</v>
      </c>
      <c r="U737" s="48" t="s">
        <v>199</v>
      </c>
      <c r="V737" s="38"/>
      <c r="W737" s="48" t="s">
        <v>195</v>
      </c>
      <c r="X737" s="38" t="s">
        <v>200</v>
      </c>
      <c r="Y737" s="49" t="s">
        <v>201</v>
      </c>
      <c r="Z737" s="50" t="s">
        <v>2401</v>
      </c>
      <c r="AA737" s="38"/>
      <c r="AB737" s="38"/>
      <c r="AC737" s="38"/>
      <c r="AD737" s="51">
        <v>146</v>
      </c>
      <c r="AE737" s="51">
        <v>146</v>
      </c>
      <c r="AF737" s="48" t="s">
        <v>203</v>
      </c>
      <c r="AG737" s="38" t="s">
        <v>204</v>
      </c>
      <c r="AH737" s="52"/>
      <c r="AI737" s="38"/>
      <c r="AJ737" s="38"/>
    </row>
    <row r="738" spans="1:36" ht="16.2">
      <c r="A738" s="42" t="s">
        <v>238</v>
      </c>
      <c r="B738" s="42">
        <v>828592</v>
      </c>
      <c r="C738" s="42" t="s">
        <v>2323</v>
      </c>
      <c r="D738" s="42">
        <v>13207650</v>
      </c>
      <c r="E738" s="43" t="s">
        <v>2324</v>
      </c>
      <c r="F738" s="42" t="s">
        <v>2342</v>
      </c>
      <c r="G738" s="42" t="s">
        <v>195</v>
      </c>
      <c r="H738" s="42"/>
      <c r="I738" s="42"/>
      <c r="J738" s="42">
        <v>13207650</v>
      </c>
      <c r="K738" s="42"/>
      <c r="L738" s="44">
        <v>45293</v>
      </c>
      <c r="M738" s="44">
        <v>45293</v>
      </c>
      <c r="N738" s="42" t="s">
        <v>306</v>
      </c>
      <c r="O738" s="46">
        <v>0.01</v>
      </c>
      <c r="P738" s="42">
        <v>20009855</v>
      </c>
      <c r="Q738" s="42" t="s">
        <v>2402</v>
      </c>
      <c r="R738" s="45">
        <v>410</v>
      </c>
      <c r="S738" s="46">
        <v>0.01</v>
      </c>
      <c r="T738" s="47" t="s">
        <v>198</v>
      </c>
      <c r="U738" s="48" t="s">
        <v>199</v>
      </c>
      <c r="V738" s="38"/>
      <c r="W738" s="48" t="s">
        <v>195</v>
      </c>
      <c r="X738" s="38" t="s">
        <v>200</v>
      </c>
      <c r="Y738" s="49" t="s">
        <v>201</v>
      </c>
      <c r="Z738" s="50" t="s">
        <v>2403</v>
      </c>
      <c r="AA738" s="38"/>
      <c r="AB738" s="38"/>
      <c r="AC738" s="38"/>
      <c r="AD738" s="51">
        <v>146</v>
      </c>
      <c r="AE738" s="51">
        <v>146</v>
      </c>
      <c r="AF738" s="48" t="s">
        <v>203</v>
      </c>
      <c r="AG738" s="38" t="s">
        <v>204</v>
      </c>
      <c r="AH738" s="52"/>
      <c r="AI738" s="38"/>
      <c r="AJ738" s="38"/>
    </row>
    <row r="739" spans="1:36" ht="16.2">
      <c r="A739" s="53" t="s">
        <v>238</v>
      </c>
      <c r="B739" s="53">
        <v>828592</v>
      </c>
      <c r="C739" s="53" t="s">
        <v>2323</v>
      </c>
      <c r="D739" s="53">
        <v>13207650</v>
      </c>
      <c r="E739" s="54" t="s">
        <v>2324</v>
      </c>
      <c r="F739" s="53" t="s">
        <v>2345</v>
      </c>
      <c r="G739" s="53" t="s">
        <v>195</v>
      </c>
      <c r="H739" s="53"/>
      <c r="I739" s="53"/>
      <c r="J739" s="53">
        <v>13207650</v>
      </c>
      <c r="K739" s="53"/>
      <c r="L739" s="55">
        <v>45293</v>
      </c>
      <c r="M739" s="55">
        <v>45293</v>
      </c>
      <c r="N739" s="53" t="s">
        <v>306</v>
      </c>
      <c r="O739" s="56">
        <v>0.01</v>
      </c>
      <c r="P739" s="53">
        <v>20009855</v>
      </c>
      <c r="Q739" s="53" t="s">
        <v>2404</v>
      </c>
      <c r="R739" s="45">
        <v>410</v>
      </c>
      <c r="S739" s="56">
        <v>0.01</v>
      </c>
      <c r="T739" s="47" t="s">
        <v>198</v>
      </c>
      <c r="U739" s="48" t="s">
        <v>199</v>
      </c>
      <c r="V739" s="38"/>
      <c r="W739" s="48" t="s">
        <v>195</v>
      </c>
      <c r="X739" s="38" t="s">
        <v>200</v>
      </c>
      <c r="Y739" s="49" t="s">
        <v>201</v>
      </c>
      <c r="Z739" s="50" t="s">
        <v>2405</v>
      </c>
      <c r="AA739" s="38"/>
      <c r="AB739" s="38"/>
      <c r="AC739" s="38"/>
      <c r="AD739" s="51">
        <v>146</v>
      </c>
      <c r="AE739" s="51">
        <v>146</v>
      </c>
      <c r="AF739" s="48" t="s">
        <v>203</v>
      </c>
      <c r="AG739" s="38" t="s">
        <v>204</v>
      </c>
      <c r="AH739" s="52"/>
      <c r="AI739" s="38"/>
      <c r="AJ739" s="38"/>
    </row>
    <row r="740" spans="1:36" ht="16.2">
      <c r="A740" s="42" t="s">
        <v>238</v>
      </c>
      <c r="B740" s="42">
        <v>828592</v>
      </c>
      <c r="C740" s="42" t="s">
        <v>2323</v>
      </c>
      <c r="D740" s="42">
        <v>13207650</v>
      </c>
      <c r="E740" s="43" t="s">
        <v>2324</v>
      </c>
      <c r="F740" s="42" t="s">
        <v>1270</v>
      </c>
      <c r="G740" s="42" t="s">
        <v>195</v>
      </c>
      <c r="H740" s="42"/>
      <c r="I740" s="42"/>
      <c r="J740" s="42">
        <v>13207650</v>
      </c>
      <c r="K740" s="42"/>
      <c r="L740" s="44">
        <v>45293</v>
      </c>
      <c r="M740" s="44">
        <v>45293</v>
      </c>
      <c r="N740" s="42" t="s">
        <v>306</v>
      </c>
      <c r="O740" s="46">
        <v>0.01</v>
      </c>
      <c r="P740" s="42">
        <v>20009855</v>
      </c>
      <c r="Q740" s="42" t="s">
        <v>2406</v>
      </c>
      <c r="R740" s="45">
        <v>410</v>
      </c>
      <c r="S740" s="46">
        <v>0.01</v>
      </c>
      <c r="T740" s="47" t="s">
        <v>198</v>
      </c>
      <c r="U740" s="48" t="s">
        <v>199</v>
      </c>
      <c r="V740" s="38"/>
      <c r="W740" s="48" t="s">
        <v>195</v>
      </c>
      <c r="X740" s="38" t="s">
        <v>200</v>
      </c>
      <c r="Y740" s="49" t="s">
        <v>201</v>
      </c>
      <c r="Z740" s="50" t="s">
        <v>2407</v>
      </c>
      <c r="AA740" s="38"/>
      <c r="AB740" s="38"/>
      <c r="AC740" s="38"/>
      <c r="AD740" s="51">
        <v>146</v>
      </c>
      <c r="AE740" s="51">
        <v>146</v>
      </c>
      <c r="AF740" s="48" t="s">
        <v>203</v>
      </c>
      <c r="AG740" s="38" t="s">
        <v>204</v>
      </c>
      <c r="AH740" s="52"/>
      <c r="AI740" s="38"/>
      <c r="AJ740" s="38"/>
    </row>
    <row r="741" spans="1:36" ht="16.2">
      <c r="A741" s="53" t="s">
        <v>238</v>
      </c>
      <c r="B741" s="53">
        <v>828592</v>
      </c>
      <c r="C741" s="53" t="s">
        <v>2323</v>
      </c>
      <c r="D741" s="53">
        <v>13207650</v>
      </c>
      <c r="E741" s="54" t="s">
        <v>2324</v>
      </c>
      <c r="F741" s="53" t="s">
        <v>2350</v>
      </c>
      <c r="G741" s="53" t="s">
        <v>195</v>
      </c>
      <c r="H741" s="53"/>
      <c r="I741" s="53"/>
      <c r="J741" s="53">
        <v>13207650</v>
      </c>
      <c r="K741" s="53"/>
      <c r="L741" s="55">
        <v>45293</v>
      </c>
      <c r="M741" s="55">
        <v>45293</v>
      </c>
      <c r="N741" s="53" t="s">
        <v>306</v>
      </c>
      <c r="O741" s="56">
        <v>0.01</v>
      </c>
      <c r="P741" s="53">
        <v>20009855</v>
      </c>
      <c r="Q741" s="53" t="s">
        <v>2408</v>
      </c>
      <c r="R741" s="45">
        <v>410</v>
      </c>
      <c r="S741" s="56">
        <v>0.01</v>
      </c>
      <c r="T741" s="47" t="s">
        <v>198</v>
      </c>
      <c r="U741" s="48" t="s">
        <v>199</v>
      </c>
      <c r="V741" s="38"/>
      <c r="W741" s="48" t="s">
        <v>195</v>
      </c>
      <c r="X741" s="38" t="s">
        <v>200</v>
      </c>
      <c r="Y741" s="49" t="s">
        <v>201</v>
      </c>
      <c r="Z741" s="50" t="s">
        <v>2409</v>
      </c>
      <c r="AA741" s="38"/>
      <c r="AB741" s="38"/>
      <c r="AC741" s="38"/>
      <c r="AD741" s="51">
        <v>146</v>
      </c>
      <c r="AE741" s="51">
        <v>146</v>
      </c>
      <c r="AF741" s="48" t="s">
        <v>203</v>
      </c>
      <c r="AG741" s="38" t="s">
        <v>204</v>
      </c>
      <c r="AH741" s="52"/>
      <c r="AI741" s="38"/>
      <c r="AJ741" s="38"/>
    </row>
    <row r="742" spans="1:36" ht="16.2">
      <c r="A742" s="42" t="s">
        <v>238</v>
      </c>
      <c r="B742" s="42">
        <v>828592</v>
      </c>
      <c r="C742" s="42" t="s">
        <v>2323</v>
      </c>
      <c r="D742" s="42">
        <v>13207650</v>
      </c>
      <c r="E742" s="43" t="s">
        <v>2324</v>
      </c>
      <c r="F742" s="42" t="s">
        <v>2353</v>
      </c>
      <c r="G742" s="42" t="s">
        <v>195</v>
      </c>
      <c r="H742" s="42"/>
      <c r="I742" s="42"/>
      <c r="J742" s="42">
        <v>13207650</v>
      </c>
      <c r="K742" s="42"/>
      <c r="L742" s="44">
        <v>45293</v>
      </c>
      <c r="M742" s="44">
        <v>45293</v>
      </c>
      <c r="N742" s="42" t="s">
        <v>306</v>
      </c>
      <c r="O742" s="46">
        <v>0.01</v>
      </c>
      <c r="P742" s="42">
        <v>20009855</v>
      </c>
      <c r="Q742" s="42" t="s">
        <v>2410</v>
      </c>
      <c r="R742" s="45">
        <v>410</v>
      </c>
      <c r="S742" s="46">
        <v>0.01</v>
      </c>
      <c r="T742" s="47" t="s">
        <v>198</v>
      </c>
      <c r="U742" s="48" t="s">
        <v>199</v>
      </c>
      <c r="V742" s="38"/>
      <c r="W742" s="48" t="s">
        <v>195</v>
      </c>
      <c r="X742" s="38" t="s">
        <v>200</v>
      </c>
      <c r="Y742" s="49" t="s">
        <v>201</v>
      </c>
      <c r="Z742" s="50" t="s">
        <v>2411</v>
      </c>
      <c r="AA742" s="38"/>
      <c r="AB742" s="38"/>
      <c r="AC742" s="38"/>
      <c r="AD742" s="51">
        <v>146</v>
      </c>
      <c r="AE742" s="51">
        <v>146</v>
      </c>
      <c r="AF742" s="48" t="s">
        <v>203</v>
      </c>
      <c r="AG742" s="38" t="s">
        <v>204</v>
      </c>
      <c r="AH742" s="52"/>
      <c r="AI742" s="38"/>
      <c r="AJ742" s="38"/>
    </row>
    <row r="743" spans="1:36" ht="16.2">
      <c r="A743" s="53" t="s">
        <v>238</v>
      </c>
      <c r="B743" s="53">
        <v>828592</v>
      </c>
      <c r="C743" s="53" t="s">
        <v>2323</v>
      </c>
      <c r="D743" s="53">
        <v>13207650</v>
      </c>
      <c r="E743" s="54" t="s">
        <v>2324</v>
      </c>
      <c r="F743" s="53" t="s">
        <v>1216</v>
      </c>
      <c r="G743" s="53" t="s">
        <v>195</v>
      </c>
      <c r="H743" s="53"/>
      <c r="I743" s="53"/>
      <c r="J743" s="53">
        <v>13207650</v>
      </c>
      <c r="K743" s="53"/>
      <c r="L743" s="55">
        <v>45293</v>
      </c>
      <c r="M743" s="55">
        <v>45293</v>
      </c>
      <c r="N743" s="53" t="s">
        <v>306</v>
      </c>
      <c r="O743" s="56">
        <v>0.01</v>
      </c>
      <c r="P743" s="53">
        <v>20009855</v>
      </c>
      <c r="Q743" s="53" t="s">
        <v>2412</v>
      </c>
      <c r="R743" s="45">
        <v>410</v>
      </c>
      <c r="S743" s="56">
        <v>0.01</v>
      </c>
      <c r="T743" s="47" t="s">
        <v>198</v>
      </c>
      <c r="U743" s="48" t="s">
        <v>199</v>
      </c>
      <c r="V743" s="38"/>
      <c r="W743" s="48" t="s">
        <v>195</v>
      </c>
      <c r="X743" s="38" t="s">
        <v>200</v>
      </c>
      <c r="Y743" s="49" t="s">
        <v>201</v>
      </c>
      <c r="Z743" s="50" t="s">
        <v>2413</v>
      </c>
      <c r="AA743" s="38"/>
      <c r="AB743" s="38"/>
      <c r="AC743" s="38"/>
      <c r="AD743" s="51">
        <v>146</v>
      </c>
      <c r="AE743" s="51">
        <v>146</v>
      </c>
      <c r="AF743" s="48" t="s">
        <v>203</v>
      </c>
      <c r="AG743" s="38" t="s">
        <v>204</v>
      </c>
      <c r="AH743" s="52"/>
      <c r="AI743" s="38"/>
      <c r="AJ743" s="38"/>
    </row>
    <row r="744" spans="1:36" ht="16.2">
      <c r="A744" s="42" t="s">
        <v>238</v>
      </c>
      <c r="B744" s="42">
        <v>828592</v>
      </c>
      <c r="C744" s="42" t="s">
        <v>2323</v>
      </c>
      <c r="D744" s="42">
        <v>13207650</v>
      </c>
      <c r="E744" s="43" t="s">
        <v>2324</v>
      </c>
      <c r="F744" s="42" t="s">
        <v>2358</v>
      </c>
      <c r="G744" s="42" t="s">
        <v>195</v>
      </c>
      <c r="H744" s="42"/>
      <c r="I744" s="42"/>
      <c r="J744" s="42">
        <v>13207650</v>
      </c>
      <c r="K744" s="42"/>
      <c r="L744" s="44">
        <v>45293</v>
      </c>
      <c r="M744" s="44">
        <v>45293</v>
      </c>
      <c r="N744" s="42" t="s">
        <v>306</v>
      </c>
      <c r="O744" s="46">
        <v>0.01</v>
      </c>
      <c r="P744" s="42">
        <v>20009855</v>
      </c>
      <c r="Q744" s="42" t="s">
        <v>2414</v>
      </c>
      <c r="R744" s="45">
        <v>410</v>
      </c>
      <c r="S744" s="46">
        <v>0.01</v>
      </c>
      <c r="T744" s="47" t="s">
        <v>198</v>
      </c>
      <c r="U744" s="48" t="s">
        <v>199</v>
      </c>
      <c r="V744" s="38"/>
      <c r="W744" s="48" t="s">
        <v>195</v>
      </c>
      <c r="X744" s="38" t="s">
        <v>200</v>
      </c>
      <c r="Y744" s="49" t="s">
        <v>201</v>
      </c>
      <c r="Z744" s="50" t="s">
        <v>2415</v>
      </c>
      <c r="AA744" s="38"/>
      <c r="AB744" s="38"/>
      <c r="AC744" s="38"/>
      <c r="AD744" s="51">
        <v>146</v>
      </c>
      <c r="AE744" s="51">
        <v>146</v>
      </c>
      <c r="AF744" s="48" t="s">
        <v>203</v>
      </c>
      <c r="AG744" s="38" t="s">
        <v>204</v>
      </c>
      <c r="AH744" s="52"/>
      <c r="AI744" s="38"/>
      <c r="AJ744" s="38"/>
    </row>
    <row r="745" spans="1:36" ht="16.2">
      <c r="A745" s="53" t="s">
        <v>238</v>
      </c>
      <c r="B745" s="53">
        <v>828592</v>
      </c>
      <c r="C745" s="53" t="s">
        <v>2323</v>
      </c>
      <c r="D745" s="53">
        <v>13207650</v>
      </c>
      <c r="E745" s="54" t="s">
        <v>2324</v>
      </c>
      <c r="F745" s="53" t="s">
        <v>2361</v>
      </c>
      <c r="G745" s="53" t="s">
        <v>195</v>
      </c>
      <c r="H745" s="53"/>
      <c r="I745" s="53"/>
      <c r="J745" s="53">
        <v>13207650</v>
      </c>
      <c r="K745" s="53"/>
      <c r="L745" s="55">
        <v>45293</v>
      </c>
      <c r="M745" s="55">
        <v>45293</v>
      </c>
      <c r="N745" s="53" t="s">
        <v>306</v>
      </c>
      <c r="O745" s="56">
        <v>0.01</v>
      </c>
      <c r="P745" s="53">
        <v>20009855</v>
      </c>
      <c r="Q745" s="53" t="s">
        <v>2416</v>
      </c>
      <c r="R745" s="45">
        <v>410</v>
      </c>
      <c r="S745" s="56">
        <v>0.01</v>
      </c>
      <c r="T745" s="47" t="s">
        <v>198</v>
      </c>
      <c r="U745" s="48" t="s">
        <v>199</v>
      </c>
      <c r="V745" s="38"/>
      <c r="W745" s="48" t="s">
        <v>195</v>
      </c>
      <c r="X745" s="38" t="s">
        <v>200</v>
      </c>
      <c r="Y745" s="49" t="s">
        <v>201</v>
      </c>
      <c r="Z745" s="50" t="s">
        <v>2417</v>
      </c>
      <c r="AA745" s="38"/>
      <c r="AB745" s="38"/>
      <c r="AC745" s="38"/>
      <c r="AD745" s="51">
        <v>146</v>
      </c>
      <c r="AE745" s="51">
        <v>146</v>
      </c>
      <c r="AF745" s="48" t="s">
        <v>203</v>
      </c>
      <c r="AG745" s="38" t="s">
        <v>204</v>
      </c>
      <c r="AH745" s="52"/>
      <c r="AI745" s="38"/>
      <c r="AJ745" s="38"/>
    </row>
    <row r="746" spans="1:36" ht="16.2">
      <c r="A746" s="42" t="s">
        <v>238</v>
      </c>
      <c r="B746" s="42">
        <v>828592</v>
      </c>
      <c r="C746" s="42" t="s">
        <v>2323</v>
      </c>
      <c r="D746" s="42">
        <v>13207650</v>
      </c>
      <c r="E746" s="43" t="s">
        <v>2324</v>
      </c>
      <c r="F746" s="42" t="s">
        <v>1207</v>
      </c>
      <c r="G746" s="42" t="s">
        <v>195</v>
      </c>
      <c r="H746" s="42"/>
      <c r="I746" s="42"/>
      <c r="J746" s="42">
        <v>13207650</v>
      </c>
      <c r="K746" s="42"/>
      <c r="L746" s="44">
        <v>45293</v>
      </c>
      <c r="M746" s="44">
        <v>45293</v>
      </c>
      <c r="N746" s="42" t="s">
        <v>306</v>
      </c>
      <c r="O746" s="42">
        <v>0</v>
      </c>
      <c r="P746" s="42">
        <v>20009855</v>
      </c>
      <c r="Q746" s="42" t="s">
        <v>2418</v>
      </c>
      <c r="R746" s="45">
        <v>410</v>
      </c>
      <c r="S746" s="42">
        <v>0</v>
      </c>
      <c r="T746" s="47" t="s">
        <v>198</v>
      </c>
      <c r="U746" s="48" t="s">
        <v>199</v>
      </c>
      <c r="V746" s="38"/>
      <c r="W746" s="48" t="s">
        <v>195</v>
      </c>
      <c r="X746" s="38" t="s">
        <v>200</v>
      </c>
      <c r="Y746" s="49" t="s">
        <v>201</v>
      </c>
      <c r="Z746" s="50" t="s">
        <v>2419</v>
      </c>
      <c r="AA746" s="38"/>
      <c r="AB746" s="38"/>
      <c r="AC746" s="38"/>
      <c r="AD746" s="51">
        <v>146</v>
      </c>
      <c r="AE746" s="51">
        <v>146</v>
      </c>
      <c r="AF746" s="48" t="s">
        <v>203</v>
      </c>
      <c r="AG746" s="38" t="s">
        <v>204</v>
      </c>
      <c r="AH746" s="52"/>
      <c r="AI746" s="38"/>
      <c r="AJ746" s="38"/>
    </row>
    <row r="747" spans="1:36" ht="16.2">
      <c r="A747" s="53" t="s">
        <v>238</v>
      </c>
      <c r="B747" s="53">
        <v>828592</v>
      </c>
      <c r="C747" s="53" t="s">
        <v>2323</v>
      </c>
      <c r="D747" s="53">
        <v>13207650</v>
      </c>
      <c r="E747" s="54" t="s">
        <v>2324</v>
      </c>
      <c r="F747" s="53" t="s">
        <v>293</v>
      </c>
      <c r="G747" s="53" t="s">
        <v>195</v>
      </c>
      <c r="H747" s="53"/>
      <c r="I747" s="53"/>
      <c r="J747" s="53">
        <v>13207650</v>
      </c>
      <c r="K747" s="53"/>
      <c r="L747" s="55">
        <v>45293</v>
      </c>
      <c r="M747" s="55">
        <v>45293</v>
      </c>
      <c r="N747" s="53" t="s">
        <v>306</v>
      </c>
      <c r="O747" s="53">
        <v>0</v>
      </c>
      <c r="P747" s="53">
        <v>20009855</v>
      </c>
      <c r="Q747" s="53" t="s">
        <v>2420</v>
      </c>
      <c r="R747" s="45">
        <v>410</v>
      </c>
      <c r="S747" s="53">
        <v>0</v>
      </c>
      <c r="T747" s="47" t="s">
        <v>198</v>
      </c>
      <c r="U747" s="48" t="s">
        <v>199</v>
      </c>
      <c r="V747" s="38"/>
      <c r="W747" s="48" t="s">
        <v>195</v>
      </c>
      <c r="X747" s="38" t="s">
        <v>200</v>
      </c>
      <c r="Y747" s="49" t="s">
        <v>201</v>
      </c>
      <c r="Z747" s="50" t="s">
        <v>2421</v>
      </c>
      <c r="AA747" s="38"/>
      <c r="AB747" s="38"/>
      <c r="AC747" s="38"/>
      <c r="AD747" s="51">
        <v>146</v>
      </c>
      <c r="AE747" s="51">
        <v>146</v>
      </c>
      <c r="AF747" s="48" t="s">
        <v>203</v>
      </c>
      <c r="AG747" s="38" t="s">
        <v>204</v>
      </c>
      <c r="AH747" s="52"/>
      <c r="AI747" s="38"/>
      <c r="AJ747" s="38"/>
    </row>
    <row r="748" spans="1:36" ht="16.2">
      <c r="A748" s="42" t="s">
        <v>238</v>
      </c>
      <c r="B748" s="42">
        <v>828592</v>
      </c>
      <c r="C748" s="42" t="s">
        <v>2323</v>
      </c>
      <c r="D748" s="42">
        <v>13207650</v>
      </c>
      <c r="E748" s="43" t="s">
        <v>2324</v>
      </c>
      <c r="F748" s="42" t="s">
        <v>2368</v>
      </c>
      <c r="G748" s="42" t="s">
        <v>195</v>
      </c>
      <c r="H748" s="42"/>
      <c r="I748" s="42"/>
      <c r="J748" s="42">
        <v>13207650</v>
      </c>
      <c r="K748" s="42"/>
      <c r="L748" s="44">
        <v>45293</v>
      </c>
      <c r="M748" s="44">
        <v>45293</v>
      </c>
      <c r="N748" s="42" t="s">
        <v>306</v>
      </c>
      <c r="O748" s="42">
        <v>0</v>
      </c>
      <c r="P748" s="42">
        <v>20009855</v>
      </c>
      <c r="Q748" s="42" t="s">
        <v>2422</v>
      </c>
      <c r="R748" s="45">
        <v>410</v>
      </c>
      <c r="S748" s="42">
        <v>0</v>
      </c>
      <c r="T748" s="47" t="s">
        <v>198</v>
      </c>
      <c r="U748" s="48" t="s">
        <v>199</v>
      </c>
      <c r="V748" s="38"/>
      <c r="W748" s="48" t="s">
        <v>195</v>
      </c>
      <c r="X748" s="38" t="s">
        <v>200</v>
      </c>
      <c r="Y748" s="49" t="s">
        <v>201</v>
      </c>
      <c r="Z748" s="50" t="s">
        <v>2423</v>
      </c>
      <c r="AA748" s="38"/>
      <c r="AB748" s="38"/>
      <c r="AC748" s="38"/>
      <c r="AD748" s="51">
        <v>146</v>
      </c>
      <c r="AE748" s="51">
        <v>146</v>
      </c>
      <c r="AF748" s="48" t="s">
        <v>203</v>
      </c>
      <c r="AG748" s="38" t="s">
        <v>204</v>
      </c>
      <c r="AH748" s="52"/>
      <c r="AI748" s="38"/>
      <c r="AJ748" s="38"/>
    </row>
    <row r="749" spans="1:36" ht="16.2">
      <c r="A749" s="53" t="s">
        <v>238</v>
      </c>
      <c r="B749" s="53">
        <v>828592</v>
      </c>
      <c r="C749" s="53" t="s">
        <v>2323</v>
      </c>
      <c r="D749" s="53">
        <v>13207650</v>
      </c>
      <c r="E749" s="54" t="s">
        <v>2324</v>
      </c>
      <c r="F749" s="53" t="s">
        <v>2371</v>
      </c>
      <c r="G749" s="53" t="s">
        <v>195</v>
      </c>
      <c r="H749" s="53"/>
      <c r="I749" s="53"/>
      <c r="J749" s="53">
        <v>13207650</v>
      </c>
      <c r="K749" s="53"/>
      <c r="L749" s="55">
        <v>45293</v>
      </c>
      <c r="M749" s="55">
        <v>45293</v>
      </c>
      <c r="N749" s="53" t="s">
        <v>306</v>
      </c>
      <c r="O749" s="53">
        <v>0</v>
      </c>
      <c r="P749" s="53">
        <v>20009855</v>
      </c>
      <c r="Q749" s="53" t="s">
        <v>2424</v>
      </c>
      <c r="R749" s="45">
        <v>410</v>
      </c>
      <c r="S749" s="53">
        <v>0</v>
      </c>
      <c r="T749" s="47" t="s">
        <v>198</v>
      </c>
      <c r="U749" s="48" t="s">
        <v>199</v>
      </c>
      <c r="V749" s="38"/>
      <c r="W749" s="48" t="s">
        <v>195</v>
      </c>
      <c r="X749" s="38" t="s">
        <v>200</v>
      </c>
      <c r="Y749" s="49" t="s">
        <v>201</v>
      </c>
      <c r="Z749" s="50" t="s">
        <v>2425</v>
      </c>
      <c r="AA749" s="38"/>
      <c r="AB749" s="38"/>
      <c r="AC749" s="38"/>
      <c r="AD749" s="51">
        <v>146</v>
      </c>
      <c r="AE749" s="51">
        <v>146</v>
      </c>
      <c r="AF749" s="48" t="s">
        <v>203</v>
      </c>
      <c r="AG749" s="38" t="s">
        <v>204</v>
      </c>
      <c r="AH749" s="52"/>
      <c r="AI749" s="38"/>
      <c r="AJ749" s="38"/>
    </row>
    <row r="750" spans="1:36" ht="16.2">
      <c r="A750" s="42" t="s">
        <v>238</v>
      </c>
      <c r="B750" s="42">
        <v>828592</v>
      </c>
      <c r="C750" s="42" t="s">
        <v>2323</v>
      </c>
      <c r="D750" s="42">
        <v>13207650</v>
      </c>
      <c r="E750" s="43" t="s">
        <v>2324</v>
      </c>
      <c r="F750" s="42" t="s">
        <v>2374</v>
      </c>
      <c r="G750" s="42" t="s">
        <v>195</v>
      </c>
      <c r="H750" s="42"/>
      <c r="I750" s="42"/>
      <c r="J750" s="42">
        <v>13207650</v>
      </c>
      <c r="K750" s="42"/>
      <c r="L750" s="44">
        <v>45293</v>
      </c>
      <c r="M750" s="44">
        <v>45293</v>
      </c>
      <c r="N750" s="42" t="s">
        <v>306</v>
      </c>
      <c r="O750" s="42">
        <v>0</v>
      </c>
      <c r="P750" s="42">
        <v>20009855</v>
      </c>
      <c r="Q750" s="42" t="s">
        <v>2426</v>
      </c>
      <c r="R750" s="45">
        <v>410</v>
      </c>
      <c r="S750" s="42">
        <v>0</v>
      </c>
      <c r="T750" s="47" t="s">
        <v>198</v>
      </c>
      <c r="U750" s="48" t="s">
        <v>199</v>
      </c>
      <c r="V750" s="38"/>
      <c r="W750" s="48" t="s">
        <v>195</v>
      </c>
      <c r="X750" s="38" t="s">
        <v>200</v>
      </c>
      <c r="Y750" s="49" t="s">
        <v>201</v>
      </c>
      <c r="Z750" s="50" t="s">
        <v>2427</v>
      </c>
      <c r="AA750" s="38"/>
      <c r="AB750" s="38"/>
      <c r="AC750" s="38"/>
      <c r="AD750" s="51">
        <v>146</v>
      </c>
      <c r="AE750" s="51">
        <v>146</v>
      </c>
      <c r="AF750" s="48" t="s">
        <v>203</v>
      </c>
      <c r="AG750" s="38" t="s">
        <v>204</v>
      </c>
      <c r="AH750" s="52"/>
      <c r="AI750" s="38"/>
      <c r="AJ750" s="38"/>
    </row>
    <row r="751" spans="1:36" ht="16.2">
      <c r="A751" s="53" t="s">
        <v>238</v>
      </c>
      <c r="B751" s="53">
        <v>828592</v>
      </c>
      <c r="C751" s="53" t="s">
        <v>2323</v>
      </c>
      <c r="D751" s="53">
        <v>13207650</v>
      </c>
      <c r="E751" s="54" t="s">
        <v>2324</v>
      </c>
      <c r="F751" s="53" t="s">
        <v>2377</v>
      </c>
      <c r="G751" s="53" t="s">
        <v>195</v>
      </c>
      <c r="H751" s="53"/>
      <c r="I751" s="53"/>
      <c r="J751" s="53">
        <v>13207650</v>
      </c>
      <c r="K751" s="53"/>
      <c r="L751" s="55">
        <v>45293</v>
      </c>
      <c r="M751" s="55">
        <v>45293</v>
      </c>
      <c r="N751" s="53" t="s">
        <v>306</v>
      </c>
      <c r="O751" s="53">
        <v>0</v>
      </c>
      <c r="P751" s="53">
        <v>20009855</v>
      </c>
      <c r="Q751" s="53" t="s">
        <v>2428</v>
      </c>
      <c r="R751" s="45">
        <v>410</v>
      </c>
      <c r="S751" s="53">
        <v>0</v>
      </c>
      <c r="T751" s="47" t="s">
        <v>198</v>
      </c>
      <c r="U751" s="48" t="s">
        <v>199</v>
      </c>
      <c r="V751" s="38"/>
      <c r="W751" s="48" t="s">
        <v>195</v>
      </c>
      <c r="X751" s="38" t="s">
        <v>200</v>
      </c>
      <c r="Y751" s="49" t="s">
        <v>201</v>
      </c>
      <c r="Z751" s="50" t="s">
        <v>2429</v>
      </c>
      <c r="AA751" s="38"/>
      <c r="AB751" s="38"/>
      <c r="AC751" s="38"/>
      <c r="AD751" s="51">
        <v>146</v>
      </c>
      <c r="AE751" s="51">
        <v>146</v>
      </c>
      <c r="AF751" s="48" t="s">
        <v>203</v>
      </c>
      <c r="AG751" s="38" t="s">
        <v>204</v>
      </c>
      <c r="AH751" s="52"/>
      <c r="AI751" s="38"/>
      <c r="AJ751" s="38"/>
    </row>
    <row r="752" spans="1:36" ht="16.2">
      <c r="A752" s="42" t="s">
        <v>238</v>
      </c>
      <c r="B752" s="42">
        <v>828592</v>
      </c>
      <c r="C752" s="42" t="s">
        <v>2323</v>
      </c>
      <c r="D752" s="42">
        <v>13207650</v>
      </c>
      <c r="E752" s="43" t="s">
        <v>2324</v>
      </c>
      <c r="F752" s="42" t="s">
        <v>2380</v>
      </c>
      <c r="G752" s="42" t="s">
        <v>195</v>
      </c>
      <c r="H752" s="42"/>
      <c r="I752" s="42"/>
      <c r="J752" s="42">
        <v>13207650</v>
      </c>
      <c r="K752" s="42"/>
      <c r="L752" s="44">
        <v>45293</v>
      </c>
      <c r="M752" s="44">
        <v>45293</v>
      </c>
      <c r="N752" s="42" t="s">
        <v>306</v>
      </c>
      <c r="O752" s="42">
        <v>0</v>
      </c>
      <c r="P752" s="42">
        <v>20009855</v>
      </c>
      <c r="Q752" s="42" t="s">
        <v>2430</v>
      </c>
      <c r="R752" s="45">
        <v>410</v>
      </c>
      <c r="S752" s="42">
        <v>0</v>
      </c>
      <c r="T752" s="47" t="s">
        <v>198</v>
      </c>
      <c r="U752" s="48" t="s">
        <v>199</v>
      </c>
      <c r="V752" s="38"/>
      <c r="W752" s="48" t="s">
        <v>195</v>
      </c>
      <c r="X752" s="38" t="s">
        <v>200</v>
      </c>
      <c r="Y752" s="49" t="s">
        <v>201</v>
      </c>
      <c r="Z752" s="50" t="s">
        <v>2431</v>
      </c>
      <c r="AA752" s="38"/>
      <c r="AB752" s="38"/>
      <c r="AC752" s="38"/>
      <c r="AD752" s="51">
        <v>146</v>
      </c>
      <c r="AE752" s="51">
        <v>146</v>
      </c>
      <c r="AF752" s="48" t="s">
        <v>203</v>
      </c>
      <c r="AG752" s="38" t="s">
        <v>204</v>
      </c>
      <c r="AH752" s="52"/>
      <c r="AI752" s="38"/>
      <c r="AJ752" s="38"/>
    </row>
    <row r="753" spans="1:36" ht="16.2">
      <c r="A753" s="53" t="s">
        <v>238</v>
      </c>
      <c r="B753" s="53">
        <v>828592</v>
      </c>
      <c r="C753" s="53" t="s">
        <v>2323</v>
      </c>
      <c r="D753" s="53">
        <v>13207650</v>
      </c>
      <c r="E753" s="54" t="s">
        <v>2324</v>
      </c>
      <c r="F753" s="53" t="s">
        <v>2383</v>
      </c>
      <c r="G753" s="53" t="s">
        <v>195</v>
      </c>
      <c r="H753" s="53" t="s">
        <v>2432</v>
      </c>
      <c r="I753" s="53"/>
      <c r="J753" s="53">
        <v>13207650</v>
      </c>
      <c r="K753" s="53"/>
      <c r="L753" s="55">
        <v>45293</v>
      </c>
      <c r="M753" s="55">
        <v>45293</v>
      </c>
      <c r="N753" s="53" t="s">
        <v>306</v>
      </c>
      <c r="O753" s="53">
        <v>0</v>
      </c>
      <c r="P753" s="53">
        <v>20009855</v>
      </c>
      <c r="Q753" s="53" t="s">
        <v>2433</v>
      </c>
      <c r="R753" s="45">
        <v>410</v>
      </c>
      <c r="S753" s="53">
        <v>0</v>
      </c>
      <c r="T753" s="47" t="s">
        <v>198</v>
      </c>
      <c r="U753" s="48" t="s">
        <v>199</v>
      </c>
      <c r="V753" s="38"/>
      <c r="W753" s="48" t="s">
        <v>195</v>
      </c>
      <c r="X753" s="38" t="s">
        <v>200</v>
      </c>
      <c r="Y753" s="49" t="s">
        <v>201</v>
      </c>
      <c r="Z753" s="50" t="s">
        <v>2434</v>
      </c>
      <c r="AA753" s="47" t="s">
        <v>2435</v>
      </c>
      <c r="AB753" s="38"/>
      <c r="AC753" s="38"/>
      <c r="AD753" s="51">
        <v>146</v>
      </c>
      <c r="AE753" s="51">
        <v>146</v>
      </c>
      <c r="AF753" s="48" t="s">
        <v>203</v>
      </c>
      <c r="AG753" s="38" t="s">
        <v>204</v>
      </c>
      <c r="AH753" s="52"/>
      <c r="AI753" s="38"/>
      <c r="AJ753" s="38"/>
    </row>
    <row r="754" spans="1:36" ht="16.2">
      <c r="A754" s="42" t="s">
        <v>238</v>
      </c>
      <c r="B754" s="42">
        <v>828592</v>
      </c>
      <c r="C754" s="42" t="s">
        <v>2323</v>
      </c>
      <c r="D754" s="42">
        <v>13207650</v>
      </c>
      <c r="E754" s="43" t="s">
        <v>2324</v>
      </c>
      <c r="F754" s="42" t="s">
        <v>2436</v>
      </c>
      <c r="G754" s="42" t="s">
        <v>195</v>
      </c>
      <c r="H754" s="42"/>
      <c r="I754" s="42"/>
      <c r="J754" s="42">
        <v>13207650</v>
      </c>
      <c r="K754" s="42"/>
      <c r="L754" s="44">
        <v>45293</v>
      </c>
      <c r="M754" s="44">
        <v>45293</v>
      </c>
      <c r="N754" s="42" t="s">
        <v>306</v>
      </c>
      <c r="O754" s="42">
        <v>0</v>
      </c>
      <c r="P754" s="42">
        <v>20009855</v>
      </c>
      <c r="Q754" s="42" t="s">
        <v>2437</v>
      </c>
      <c r="R754" s="45">
        <v>410</v>
      </c>
      <c r="S754" s="42">
        <v>0</v>
      </c>
      <c r="T754" s="47" t="s">
        <v>198</v>
      </c>
      <c r="U754" s="48" t="s">
        <v>199</v>
      </c>
      <c r="V754" s="38"/>
      <c r="W754" s="48" t="s">
        <v>195</v>
      </c>
      <c r="X754" s="38" t="s">
        <v>200</v>
      </c>
      <c r="Y754" s="49" t="s">
        <v>201</v>
      </c>
      <c r="Z754" s="50" t="s">
        <v>2438</v>
      </c>
      <c r="AA754" s="38"/>
      <c r="AB754" s="38"/>
      <c r="AC754" s="38"/>
      <c r="AD754" s="51">
        <v>146</v>
      </c>
      <c r="AE754" s="51">
        <v>146</v>
      </c>
      <c r="AF754" s="48" t="s">
        <v>203</v>
      </c>
      <c r="AG754" s="38" t="s">
        <v>204</v>
      </c>
      <c r="AH754" s="52"/>
      <c r="AI754" s="38"/>
      <c r="AJ754" s="38"/>
    </row>
    <row r="755" spans="1:36" ht="16.2">
      <c r="A755" s="53" t="s">
        <v>238</v>
      </c>
      <c r="B755" s="53">
        <v>828592</v>
      </c>
      <c r="C755" s="53" t="s">
        <v>2323</v>
      </c>
      <c r="D755" s="53">
        <v>13207650</v>
      </c>
      <c r="E755" s="54" t="s">
        <v>2324</v>
      </c>
      <c r="F755" s="53" t="s">
        <v>2439</v>
      </c>
      <c r="G755" s="53" t="s">
        <v>195</v>
      </c>
      <c r="H755" s="53"/>
      <c r="I755" s="53"/>
      <c r="J755" s="53">
        <v>13207650</v>
      </c>
      <c r="K755" s="53"/>
      <c r="L755" s="55">
        <v>45293</v>
      </c>
      <c r="M755" s="55">
        <v>45293</v>
      </c>
      <c r="N755" s="53" t="s">
        <v>306</v>
      </c>
      <c r="O755" s="53">
        <v>0</v>
      </c>
      <c r="P755" s="53">
        <v>20009855</v>
      </c>
      <c r="Q755" s="53" t="s">
        <v>2440</v>
      </c>
      <c r="R755" s="45">
        <v>410</v>
      </c>
      <c r="S755" s="53">
        <v>0</v>
      </c>
      <c r="T755" s="47" t="s">
        <v>198</v>
      </c>
      <c r="U755" s="48" t="s">
        <v>199</v>
      </c>
      <c r="V755" s="38"/>
      <c r="W755" s="48" t="s">
        <v>195</v>
      </c>
      <c r="X755" s="38" t="s">
        <v>200</v>
      </c>
      <c r="Y755" s="49" t="s">
        <v>201</v>
      </c>
      <c r="Z755" s="50" t="s">
        <v>2441</v>
      </c>
      <c r="AA755" s="38"/>
      <c r="AB755" s="38"/>
      <c r="AC755" s="38"/>
      <c r="AD755" s="51">
        <v>146</v>
      </c>
      <c r="AE755" s="51">
        <v>146</v>
      </c>
      <c r="AF755" s="48" t="s">
        <v>203</v>
      </c>
      <c r="AG755" s="38" t="s">
        <v>204</v>
      </c>
      <c r="AH755" s="52"/>
      <c r="AI755" s="38"/>
      <c r="AJ755" s="38"/>
    </row>
    <row r="756" spans="1:36" ht="16.2">
      <c r="A756" s="42" t="s">
        <v>238</v>
      </c>
      <c r="B756" s="42">
        <v>828592</v>
      </c>
      <c r="C756" s="42" t="s">
        <v>2323</v>
      </c>
      <c r="D756" s="42">
        <v>13207650</v>
      </c>
      <c r="E756" s="43" t="s">
        <v>2324</v>
      </c>
      <c r="F756" s="42" t="s">
        <v>1238</v>
      </c>
      <c r="G756" s="42" t="s">
        <v>195</v>
      </c>
      <c r="H756" s="42"/>
      <c r="I756" s="42"/>
      <c r="J756" s="42">
        <v>13207650</v>
      </c>
      <c r="K756" s="42"/>
      <c r="L756" s="44">
        <v>45293</v>
      </c>
      <c r="M756" s="44">
        <v>45293</v>
      </c>
      <c r="N756" s="42" t="s">
        <v>306</v>
      </c>
      <c r="O756" s="42">
        <v>0</v>
      </c>
      <c r="P756" s="42">
        <v>20009855</v>
      </c>
      <c r="Q756" s="42" t="s">
        <v>2442</v>
      </c>
      <c r="R756" s="45">
        <v>410</v>
      </c>
      <c r="S756" s="42">
        <v>0</v>
      </c>
      <c r="T756" s="47" t="s">
        <v>198</v>
      </c>
      <c r="U756" s="48" t="s">
        <v>199</v>
      </c>
      <c r="V756" s="38"/>
      <c r="W756" s="48" t="s">
        <v>195</v>
      </c>
      <c r="X756" s="38" t="s">
        <v>200</v>
      </c>
      <c r="Y756" s="49" t="s">
        <v>201</v>
      </c>
      <c r="Z756" s="50" t="s">
        <v>2443</v>
      </c>
      <c r="AA756" s="38"/>
      <c r="AB756" s="38"/>
      <c r="AC756" s="38"/>
      <c r="AD756" s="51">
        <v>146</v>
      </c>
      <c r="AE756" s="51">
        <v>146</v>
      </c>
      <c r="AF756" s="48" t="s">
        <v>203</v>
      </c>
      <c r="AG756" s="38" t="s">
        <v>204</v>
      </c>
      <c r="AH756" s="52"/>
      <c r="AI756" s="38"/>
      <c r="AJ756" s="38"/>
    </row>
    <row r="757" spans="1:36" ht="16.2">
      <c r="A757" s="53" t="s">
        <v>191</v>
      </c>
      <c r="B757" s="53">
        <v>518635</v>
      </c>
      <c r="C757" s="53" t="s">
        <v>2323</v>
      </c>
      <c r="D757" s="53">
        <v>13207720</v>
      </c>
      <c r="E757" s="54" t="s">
        <v>2324</v>
      </c>
      <c r="F757" s="53" t="s">
        <v>2444</v>
      </c>
      <c r="G757" s="53" t="s">
        <v>195</v>
      </c>
      <c r="H757" s="53"/>
      <c r="I757" s="53"/>
      <c r="J757" s="53">
        <v>13207720</v>
      </c>
      <c r="K757" s="53"/>
      <c r="L757" s="55">
        <v>45293</v>
      </c>
      <c r="M757" s="55">
        <v>45293</v>
      </c>
      <c r="N757" s="53" t="s">
        <v>2445</v>
      </c>
      <c r="O757" s="53">
        <v>0</v>
      </c>
      <c r="P757" s="53">
        <v>20009743</v>
      </c>
      <c r="Q757" s="53" t="s">
        <v>2446</v>
      </c>
      <c r="R757" s="45">
        <v>410</v>
      </c>
      <c r="S757" s="53">
        <v>0</v>
      </c>
      <c r="T757" s="47" t="s">
        <v>198</v>
      </c>
      <c r="U757" s="48" t="s">
        <v>199</v>
      </c>
      <c r="V757" s="38"/>
      <c r="W757" s="48" t="s">
        <v>195</v>
      </c>
      <c r="X757" s="38" t="s">
        <v>200</v>
      </c>
      <c r="Y757" s="49" t="s">
        <v>201</v>
      </c>
      <c r="Z757" s="50" t="s">
        <v>2447</v>
      </c>
      <c r="AA757" s="38"/>
      <c r="AB757" s="38"/>
      <c r="AC757" s="38"/>
      <c r="AD757" s="51">
        <v>28</v>
      </c>
      <c r="AE757" s="51">
        <v>28</v>
      </c>
      <c r="AF757" s="48" t="s">
        <v>203</v>
      </c>
      <c r="AG757" s="38" t="s">
        <v>204</v>
      </c>
      <c r="AH757" s="52"/>
      <c r="AI757" s="38"/>
      <c r="AJ757" s="38"/>
    </row>
    <row r="758" spans="1:36" ht="16.2">
      <c r="A758" s="42" t="s">
        <v>191</v>
      </c>
      <c r="B758" s="42">
        <v>518635</v>
      </c>
      <c r="C758" s="42" t="s">
        <v>2323</v>
      </c>
      <c r="D758" s="42">
        <v>13207720</v>
      </c>
      <c r="E758" s="43" t="s">
        <v>2324</v>
      </c>
      <c r="F758" s="42" t="s">
        <v>2448</v>
      </c>
      <c r="G758" s="42" t="s">
        <v>195</v>
      </c>
      <c r="H758" s="42"/>
      <c r="I758" s="42"/>
      <c r="J758" s="42">
        <v>13207720</v>
      </c>
      <c r="K758" s="42"/>
      <c r="L758" s="44">
        <v>45293</v>
      </c>
      <c r="M758" s="44">
        <v>45293</v>
      </c>
      <c r="N758" s="42" t="s">
        <v>2445</v>
      </c>
      <c r="O758" s="42">
        <v>0</v>
      </c>
      <c r="P758" s="42">
        <v>20009743</v>
      </c>
      <c r="Q758" s="42" t="s">
        <v>2449</v>
      </c>
      <c r="R758" s="45">
        <v>410</v>
      </c>
      <c r="S758" s="42">
        <v>0</v>
      </c>
      <c r="T758" s="47" t="s">
        <v>198</v>
      </c>
      <c r="U758" s="48" t="s">
        <v>199</v>
      </c>
      <c r="V758" s="38"/>
      <c r="W758" s="48" t="s">
        <v>195</v>
      </c>
      <c r="X758" s="38" t="s">
        <v>200</v>
      </c>
      <c r="Y758" s="49" t="s">
        <v>201</v>
      </c>
      <c r="Z758" s="50" t="s">
        <v>2450</v>
      </c>
      <c r="AA758" s="38"/>
      <c r="AB758" s="38"/>
      <c r="AC758" s="38"/>
      <c r="AD758" s="51">
        <v>28</v>
      </c>
      <c r="AE758" s="51">
        <v>28</v>
      </c>
      <c r="AF758" s="48" t="s">
        <v>203</v>
      </c>
      <c r="AG758" s="38" t="s">
        <v>204</v>
      </c>
      <c r="AH758" s="52"/>
      <c r="AI758" s="38"/>
      <c r="AJ758" s="38"/>
    </row>
    <row r="759" spans="1:36" ht="16.2">
      <c r="A759" s="53" t="s">
        <v>191</v>
      </c>
      <c r="B759" s="53">
        <v>518635</v>
      </c>
      <c r="C759" s="53" t="s">
        <v>2323</v>
      </c>
      <c r="D759" s="53">
        <v>13207720</v>
      </c>
      <c r="E759" s="54" t="s">
        <v>2324</v>
      </c>
      <c r="F759" s="53" t="s">
        <v>2451</v>
      </c>
      <c r="G759" s="53" t="s">
        <v>195</v>
      </c>
      <c r="H759" s="53"/>
      <c r="I759" s="53"/>
      <c r="J759" s="53">
        <v>13207720</v>
      </c>
      <c r="K759" s="53"/>
      <c r="L759" s="55">
        <v>45293</v>
      </c>
      <c r="M759" s="55">
        <v>45293</v>
      </c>
      <c r="N759" s="53" t="s">
        <v>2445</v>
      </c>
      <c r="O759" s="53">
        <v>0</v>
      </c>
      <c r="P759" s="53">
        <v>20009743</v>
      </c>
      <c r="Q759" s="53" t="s">
        <v>2452</v>
      </c>
      <c r="R759" s="45">
        <v>410</v>
      </c>
      <c r="S759" s="53">
        <v>0</v>
      </c>
      <c r="T759" s="47" t="s">
        <v>198</v>
      </c>
      <c r="U759" s="48" t="s">
        <v>199</v>
      </c>
      <c r="V759" s="38"/>
      <c r="W759" s="48" t="s">
        <v>195</v>
      </c>
      <c r="X759" s="38" t="s">
        <v>200</v>
      </c>
      <c r="Y759" s="49" t="s">
        <v>201</v>
      </c>
      <c r="Z759" s="50" t="s">
        <v>2453</v>
      </c>
      <c r="AA759" s="38"/>
      <c r="AB759" s="38"/>
      <c r="AC759" s="38"/>
      <c r="AD759" s="51">
        <v>28</v>
      </c>
      <c r="AE759" s="51">
        <v>28</v>
      </c>
      <c r="AF759" s="48" t="s">
        <v>203</v>
      </c>
      <c r="AG759" s="38" t="s">
        <v>204</v>
      </c>
      <c r="AH759" s="52"/>
      <c r="AI759" s="38"/>
      <c r="AJ759" s="38"/>
    </row>
    <row r="760" spans="1:36" ht="16.2">
      <c r="A760" s="42" t="s">
        <v>191</v>
      </c>
      <c r="B760" s="42">
        <v>518635</v>
      </c>
      <c r="C760" s="42" t="s">
        <v>2323</v>
      </c>
      <c r="D760" s="42">
        <v>13207720</v>
      </c>
      <c r="E760" s="43" t="s">
        <v>2324</v>
      </c>
      <c r="F760" s="42" t="s">
        <v>2454</v>
      </c>
      <c r="G760" s="42" t="s">
        <v>195</v>
      </c>
      <c r="H760" s="42"/>
      <c r="I760" s="42"/>
      <c r="J760" s="42">
        <v>13207720</v>
      </c>
      <c r="K760" s="42"/>
      <c r="L760" s="44">
        <v>45293</v>
      </c>
      <c r="M760" s="44">
        <v>45293</v>
      </c>
      <c r="N760" s="42" t="s">
        <v>2445</v>
      </c>
      <c r="O760" s="42">
        <v>0</v>
      </c>
      <c r="P760" s="42">
        <v>20009743</v>
      </c>
      <c r="Q760" s="42" t="s">
        <v>2455</v>
      </c>
      <c r="R760" s="45">
        <v>410</v>
      </c>
      <c r="S760" s="42">
        <v>0</v>
      </c>
      <c r="T760" s="47" t="s">
        <v>198</v>
      </c>
      <c r="U760" s="48" t="s">
        <v>199</v>
      </c>
      <c r="V760" s="38"/>
      <c r="W760" s="48" t="s">
        <v>195</v>
      </c>
      <c r="X760" s="38" t="s">
        <v>200</v>
      </c>
      <c r="Y760" s="49" t="s">
        <v>201</v>
      </c>
      <c r="Z760" s="50" t="s">
        <v>2456</v>
      </c>
      <c r="AA760" s="38"/>
      <c r="AB760" s="38"/>
      <c r="AC760" s="38"/>
      <c r="AD760" s="51">
        <v>28</v>
      </c>
      <c r="AE760" s="51">
        <v>28</v>
      </c>
      <c r="AF760" s="48" t="s">
        <v>203</v>
      </c>
      <c r="AG760" s="38" t="s">
        <v>204</v>
      </c>
      <c r="AH760" s="52"/>
      <c r="AI760" s="38"/>
      <c r="AJ760" s="38"/>
    </row>
    <row r="761" spans="1:36" ht="16.2">
      <c r="A761" s="53" t="s">
        <v>191</v>
      </c>
      <c r="B761" s="53">
        <v>518635</v>
      </c>
      <c r="C761" s="53" t="s">
        <v>2323</v>
      </c>
      <c r="D761" s="53">
        <v>13207720</v>
      </c>
      <c r="E761" s="54" t="s">
        <v>2324</v>
      </c>
      <c r="F761" s="53" t="s">
        <v>1064</v>
      </c>
      <c r="G761" s="53" t="s">
        <v>195</v>
      </c>
      <c r="H761" s="53"/>
      <c r="I761" s="53"/>
      <c r="J761" s="53">
        <v>13207720</v>
      </c>
      <c r="K761" s="53"/>
      <c r="L761" s="55">
        <v>45293</v>
      </c>
      <c r="M761" s="55">
        <v>45293</v>
      </c>
      <c r="N761" s="53" t="s">
        <v>2445</v>
      </c>
      <c r="O761" s="53">
        <v>0</v>
      </c>
      <c r="P761" s="53">
        <v>20009743</v>
      </c>
      <c r="Q761" s="53" t="s">
        <v>2457</v>
      </c>
      <c r="R761" s="45">
        <v>410</v>
      </c>
      <c r="S761" s="53">
        <v>0</v>
      </c>
      <c r="T761" s="47" t="s">
        <v>198</v>
      </c>
      <c r="U761" s="48" t="s">
        <v>199</v>
      </c>
      <c r="V761" s="38"/>
      <c r="W761" s="48" t="s">
        <v>195</v>
      </c>
      <c r="X761" s="38" t="s">
        <v>200</v>
      </c>
      <c r="Y761" s="49" t="s">
        <v>201</v>
      </c>
      <c r="Z761" s="50" t="s">
        <v>2458</v>
      </c>
      <c r="AA761" s="38"/>
      <c r="AB761" s="38"/>
      <c r="AC761" s="38"/>
      <c r="AD761" s="51">
        <v>28</v>
      </c>
      <c r="AE761" s="51">
        <v>28</v>
      </c>
      <c r="AF761" s="48" t="s">
        <v>203</v>
      </c>
      <c r="AG761" s="38" t="s">
        <v>204</v>
      </c>
      <c r="AH761" s="52"/>
      <c r="AI761" s="38"/>
      <c r="AJ761" s="38"/>
    </row>
    <row r="762" spans="1:36" ht="16.2">
      <c r="A762" s="42" t="s">
        <v>191</v>
      </c>
      <c r="B762" s="42">
        <v>518635</v>
      </c>
      <c r="C762" s="42" t="s">
        <v>2323</v>
      </c>
      <c r="D762" s="42">
        <v>13207720</v>
      </c>
      <c r="E762" s="43" t="s">
        <v>2324</v>
      </c>
      <c r="F762" s="42" t="s">
        <v>211</v>
      </c>
      <c r="G762" s="42" t="s">
        <v>195</v>
      </c>
      <c r="H762" s="42"/>
      <c r="I762" s="42"/>
      <c r="J762" s="42">
        <v>13207720</v>
      </c>
      <c r="K762" s="42"/>
      <c r="L762" s="44">
        <v>45293</v>
      </c>
      <c r="M762" s="44">
        <v>45293</v>
      </c>
      <c r="N762" s="42" t="s">
        <v>2445</v>
      </c>
      <c r="O762" s="42">
        <v>0</v>
      </c>
      <c r="P762" s="42">
        <v>20009743</v>
      </c>
      <c r="Q762" s="42" t="s">
        <v>2459</v>
      </c>
      <c r="R762" s="45">
        <v>410</v>
      </c>
      <c r="S762" s="42">
        <v>0</v>
      </c>
      <c r="T762" s="47" t="s">
        <v>198</v>
      </c>
      <c r="U762" s="48" t="s">
        <v>199</v>
      </c>
      <c r="V762" s="38"/>
      <c r="W762" s="48" t="s">
        <v>195</v>
      </c>
      <c r="X762" s="38" t="s">
        <v>200</v>
      </c>
      <c r="Y762" s="49" t="s">
        <v>201</v>
      </c>
      <c r="Z762" s="50" t="s">
        <v>2460</v>
      </c>
      <c r="AA762" s="38"/>
      <c r="AB762" s="38"/>
      <c r="AC762" s="38"/>
      <c r="AD762" s="51">
        <v>28</v>
      </c>
      <c r="AE762" s="51">
        <v>28</v>
      </c>
      <c r="AF762" s="48" t="s">
        <v>203</v>
      </c>
      <c r="AG762" s="38" t="s">
        <v>204</v>
      </c>
      <c r="AH762" s="52"/>
      <c r="AI762" s="38"/>
      <c r="AJ762" s="38"/>
    </row>
    <row r="763" spans="1:36" ht="16.2">
      <c r="A763" s="53" t="s">
        <v>191</v>
      </c>
      <c r="B763" s="53">
        <v>518635</v>
      </c>
      <c r="C763" s="53" t="s">
        <v>2323</v>
      </c>
      <c r="D763" s="53">
        <v>13207720</v>
      </c>
      <c r="E763" s="54" t="s">
        <v>2324</v>
      </c>
      <c r="F763" s="53" t="s">
        <v>2461</v>
      </c>
      <c r="G763" s="53" t="s">
        <v>195</v>
      </c>
      <c r="H763" s="53"/>
      <c r="I763" s="53"/>
      <c r="J763" s="53">
        <v>13207720</v>
      </c>
      <c r="K763" s="53"/>
      <c r="L763" s="55">
        <v>45293</v>
      </c>
      <c r="M763" s="55">
        <v>45293</v>
      </c>
      <c r="N763" s="53" t="s">
        <v>2445</v>
      </c>
      <c r="O763" s="53">
        <v>0</v>
      </c>
      <c r="P763" s="53">
        <v>20009743</v>
      </c>
      <c r="Q763" s="53" t="s">
        <v>2462</v>
      </c>
      <c r="R763" s="45">
        <v>410</v>
      </c>
      <c r="S763" s="53">
        <v>0</v>
      </c>
      <c r="T763" s="47" t="s">
        <v>198</v>
      </c>
      <c r="U763" s="48" t="s">
        <v>199</v>
      </c>
      <c r="V763" s="38"/>
      <c r="W763" s="48" t="s">
        <v>195</v>
      </c>
      <c r="X763" s="38" t="s">
        <v>200</v>
      </c>
      <c r="Y763" s="49" t="s">
        <v>201</v>
      </c>
      <c r="Z763" s="50" t="s">
        <v>2463</v>
      </c>
      <c r="AA763" s="38"/>
      <c r="AB763" s="38"/>
      <c r="AC763" s="38"/>
      <c r="AD763" s="51">
        <v>28</v>
      </c>
      <c r="AE763" s="51">
        <v>28</v>
      </c>
      <c r="AF763" s="48" t="s">
        <v>203</v>
      </c>
      <c r="AG763" s="38" t="s">
        <v>204</v>
      </c>
      <c r="AH763" s="52"/>
      <c r="AI763" s="38"/>
      <c r="AJ763" s="38"/>
    </row>
    <row r="764" spans="1:36" ht="16.2">
      <c r="A764" s="42" t="s">
        <v>191</v>
      </c>
      <c r="B764" s="42">
        <v>518635</v>
      </c>
      <c r="C764" s="42" t="s">
        <v>2323</v>
      </c>
      <c r="D764" s="42">
        <v>13207720</v>
      </c>
      <c r="E764" s="43" t="s">
        <v>2324</v>
      </c>
      <c r="F764" s="42" t="s">
        <v>2464</v>
      </c>
      <c r="G764" s="42" t="s">
        <v>195</v>
      </c>
      <c r="H764" s="42"/>
      <c r="I764" s="42"/>
      <c r="J764" s="42">
        <v>13207720</v>
      </c>
      <c r="K764" s="42"/>
      <c r="L764" s="44">
        <v>45293</v>
      </c>
      <c r="M764" s="44">
        <v>45293</v>
      </c>
      <c r="N764" s="42" t="s">
        <v>2445</v>
      </c>
      <c r="O764" s="46">
        <v>0.01</v>
      </c>
      <c r="P764" s="42">
        <v>20009743</v>
      </c>
      <c r="Q764" s="42" t="s">
        <v>2465</v>
      </c>
      <c r="R764" s="45">
        <v>410</v>
      </c>
      <c r="S764" s="46">
        <v>0.01</v>
      </c>
      <c r="T764" s="47" t="s">
        <v>198</v>
      </c>
      <c r="U764" s="48" t="s">
        <v>199</v>
      </c>
      <c r="V764" s="38"/>
      <c r="W764" s="48" t="s">
        <v>195</v>
      </c>
      <c r="X764" s="38" t="s">
        <v>200</v>
      </c>
      <c r="Y764" s="49" t="s">
        <v>201</v>
      </c>
      <c r="Z764" s="50" t="s">
        <v>2466</v>
      </c>
      <c r="AA764" s="38"/>
      <c r="AB764" s="38"/>
      <c r="AC764" s="38"/>
      <c r="AD764" s="51">
        <v>28</v>
      </c>
      <c r="AE764" s="51">
        <v>28</v>
      </c>
      <c r="AF764" s="48" t="s">
        <v>203</v>
      </c>
      <c r="AG764" s="38" t="s">
        <v>204</v>
      </c>
      <c r="AH764" s="52"/>
      <c r="AI764" s="38"/>
      <c r="AJ764" s="38"/>
    </row>
    <row r="765" spans="1:36" ht="16.2">
      <c r="A765" s="53" t="s">
        <v>191</v>
      </c>
      <c r="B765" s="53">
        <v>518635</v>
      </c>
      <c r="C765" s="53" t="s">
        <v>2323</v>
      </c>
      <c r="D765" s="53">
        <v>13207720</v>
      </c>
      <c r="E765" s="54" t="s">
        <v>2324</v>
      </c>
      <c r="F765" s="53" t="s">
        <v>2467</v>
      </c>
      <c r="G765" s="53" t="s">
        <v>195</v>
      </c>
      <c r="H765" s="53"/>
      <c r="I765" s="53"/>
      <c r="J765" s="53">
        <v>13207720</v>
      </c>
      <c r="K765" s="53"/>
      <c r="L765" s="55">
        <v>45293</v>
      </c>
      <c r="M765" s="55">
        <v>45293</v>
      </c>
      <c r="N765" s="53" t="s">
        <v>2445</v>
      </c>
      <c r="O765" s="56">
        <v>0.01</v>
      </c>
      <c r="P765" s="53">
        <v>20009743</v>
      </c>
      <c r="Q765" s="53" t="s">
        <v>2468</v>
      </c>
      <c r="R765" s="45">
        <v>410</v>
      </c>
      <c r="S765" s="56">
        <v>0.01</v>
      </c>
      <c r="T765" s="47" t="s">
        <v>198</v>
      </c>
      <c r="U765" s="48" t="s">
        <v>199</v>
      </c>
      <c r="V765" s="38"/>
      <c r="W765" s="48" t="s">
        <v>195</v>
      </c>
      <c r="X765" s="38" t="s">
        <v>200</v>
      </c>
      <c r="Y765" s="49" t="s">
        <v>201</v>
      </c>
      <c r="Z765" s="50" t="s">
        <v>2469</v>
      </c>
      <c r="AA765" s="38"/>
      <c r="AB765" s="38"/>
      <c r="AC765" s="38"/>
      <c r="AD765" s="51">
        <v>28</v>
      </c>
      <c r="AE765" s="51">
        <v>28</v>
      </c>
      <c r="AF765" s="48" t="s">
        <v>203</v>
      </c>
      <c r="AG765" s="38" t="s">
        <v>204</v>
      </c>
      <c r="AH765" s="52"/>
      <c r="AI765" s="38"/>
      <c r="AJ765" s="38"/>
    </row>
    <row r="766" spans="1:36" ht="16.2">
      <c r="A766" s="42" t="s">
        <v>191</v>
      </c>
      <c r="B766" s="42">
        <v>518635</v>
      </c>
      <c r="C766" s="42" t="s">
        <v>2323</v>
      </c>
      <c r="D766" s="42">
        <v>13207720</v>
      </c>
      <c r="E766" s="43" t="s">
        <v>2324</v>
      </c>
      <c r="F766" s="42" t="s">
        <v>2470</v>
      </c>
      <c r="G766" s="42" t="s">
        <v>195</v>
      </c>
      <c r="H766" s="42"/>
      <c r="I766" s="42"/>
      <c r="J766" s="42">
        <v>13207720</v>
      </c>
      <c r="K766" s="42"/>
      <c r="L766" s="44">
        <v>45293</v>
      </c>
      <c r="M766" s="44">
        <v>45293</v>
      </c>
      <c r="N766" s="42" t="s">
        <v>2445</v>
      </c>
      <c r="O766" s="46">
        <v>0.01</v>
      </c>
      <c r="P766" s="42">
        <v>20009743</v>
      </c>
      <c r="Q766" s="42" t="s">
        <v>2471</v>
      </c>
      <c r="R766" s="45">
        <v>410</v>
      </c>
      <c r="S766" s="46">
        <v>0.01</v>
      </c>
      <c r="T766" s="47" t="s">
        <v>198</v>
      </c>
      <c r="U766" s="48" t="s">
        <v>199</v>
      </c>
      <c r="V766" s="38"/>
      <c r="W766" s="48" t="s">
        <v>195</v>
      </c>
      <c r="X766" s="38" t="s">
        <v>200</v>
      </c>
      <c r="Y766" s="49" t="s">
        <v>201</v>
      </c>
      <c r="Z766" s="50" t="s">
        <v>2472</v>
      </c>
      <c r="AA766" s="38"/>
      <c r="AB766" s="38"/>
      <c r="AC766" s="38"/>
      <c r="AD766" s="51">
        <v>28</v>
      </c>
      <c r="AE766" s="51">
        <v>28</v>
      </c>
      <c r="AF766" s="48" t="s">
        <v>203</v>
      </c>
      <c r="AG766" s="38" t="s">
        <v>204</v>
      </c>
      <c r="AH766" s="52"/>
      <c r="AI766" s="38"/>
      <c r="AJ766" s="38"/>
    </row>
    <row r="767" spans="1:36" ht="16.2">
      <c r="A767" s="53" t="s">
        <v>191</v>
      </c>
      <c r="B767" s="53">
        <v>518635</v>
      </c>
      <c r="C767" s="53" t="s">
        <v>2323</v>
      </c>
      <c r="D767" s="53">
        <v>13207720</v>
      </c>
      <c r="E767" s="54" t="s">
        <v>2324</v>
      </c>
      <c r="F767" s="53" t="s">
        <v>2473</v>
      </c>
      <c r="G767" s="53" t="s">
        <v>195</v>
      </c>
      <c r="H767" s="53"/>
      <c r="I767" s="53"/>
      <c r="J767" s="53">
        <v>13207720</v>
      </c>
      <c r="K767" s="53"/>
      <c r="L767" s="55">
        <v>45293</v>
      </c>
      <c r="M767" s="55">
        <v>45293</v>
      </c>
      <c r="N767" s="53" t="s">
        <v>2445</v>
      </c>
      <c r="O767" s="56">
        <v>0.01</v>
      </c>
      <c r="P767" s="53">
        <v>20009743</v>
      </c>
      <c r="Q767" s="53" t="s">
        <v>2474</v>
      </c>
      <c r="R767" s="45">
        <v>410</v>
      </c>
      <c r="S767" s="56">
        <v>0.01</v>
      </c>
      <c r="T767" s="47" t="s">
        <v>198</v>
      </c>
      <c r="U767" s="48" t="s">
        <v>199</v>
      </c>
      <c r="V767" s="38"/>
      <c r="W767" s="48" t="s">
        <v>195</v>
      </c>
      <c r="X767" s="38" t="s">
        <v>200</v>
      </c>
      <c r="Y767" s="49" t="s">
        <v>201</v>
      </c>
      <c r="Z767" s="50" t="s">
        <v>2475</v>
      </c>
      <c r="AA767" s="38"/>
      <c r="AB767" s="38"/>
      <c r="AC767" s="38"/>
      <c r="AD767" s="51">
        <v>28</v>
      </c>
      <c r="AE767" s="51">
        <v>28</v>
      </c>
      <c r="AF767" s="48" t="s">
        <v>203</v>
      </c>
      <c r="AG767" s="38" t="s">
        <v>204</v>
      </c>
      <c r="AH767" s="52"/>
      <c r="AI767" s="38"/>
      <c r="AJ767" s="38"/>
    </row>
    <row r="768" spans="1:36" ht="16.2">
      <c r="A768" s="42" t="s">
        <v>191</v>
      </c>
      <c r="B768" s="42">
        <v>518635</v>
      </c>
      <c r="C768" s="42" t="s">
        <v>2323</v>
      </c>
      <c r="D768" s="42">
        <v>13207720</v>
      </c>
      <c r="E768" s="43" t="s">
        <v>2324</v>
      </c>
      <c r="F768" s="42" t="s">
        <v>1588</v>
      </c>
      <c r="G768" s="42" t="s">
        <v>195</v>
      </c>
      <c r="H768" s="42"/>
      <c r="I768" s="42"/>
      <c r="J768" s="42">
        <v>13207720</v>
      </c>
      <c r="K768" s="42"/>
      <c r="L768" s="44">
        <v>45293</v>
      </c>
      <c r="M768" s="44">
        <v>45293</v>
      </c>
      <c r="N768" s="42" t="s">
        <v>2445</v>
      </c>
      <c r="O768" s="46">
        <v>0.01</v>
      </c>
      <c r="P768" s="42">
        <v>20009743</v>
      </c>
      <c r="Q768" s="42" t="s">
        <v>2476</v>
      </c>
      <c r="R768" s="45">
        <v>410</v>
      </c>
      <c r="S768" s="46">
        <v>0.01</v>
      </c>
      <c r="T768" s="47" t="s">
        <v>198</v>
      </c>
      <c r="U768" s="48" t="s">
        <v>199</v>
      </c>
      <c r="V768" s="38"/>
      <c r="W768" s="48" t="s">
        <v>195</v>
      </c>
      <c r="X768" s="38" t="s">
        <v>200</v>
      </c>
      <c r="Y768" s="49" t="s">
        <v>201</v>
      </c>
      <c r="Z768" s="50" t="s">
        <v>2477</v>
      </c>
      <c r="AA768" s="38"/>
      <c r="AB768" s="38"/>
      <c r="AC768" s="38"/>
      <c r="AD768" s="51">
        <v>28</v>
      </c>
      <c r="AE768" s="51">
        <v>28</v>
      </c>
      <c r="AF768" s="48" t="s">
        <v>203</v>
      </c>
      <c r="AG768" s="38" t="s">
        <v>204</v>
      </c>
      <c r="AH768" s="52"/>
      <c r="AI768" s="38"/>
      <c r="AJ768" s="38"/>
    </row>
    <row r="769" spans="1:36" ht="16.2">
      <c r="A769" s="53" t="s">
        <v>191</v>
      </c>
      <c r="B769" s="53">
        <v>518635</v>
      </c>
      <c r="C769" s="53" t="s">
        <v>2323</v>
      </c>
      <c r="D769" s="53">
        <v>13207720</v>
      </c>
      <c r="E769" s="54" t="s">
        <v>2324</v>
      </c>
      <c r="F769" s="53" t="s">
        <v>2478</v>
      </c>
      <c r="G769" s="53" t="s">
        <v>195</v>
      </c>
      <c r="H769" s="53"/>
      <c r="I769" s="53"/>
      <c r="J769" s="53">
        <v>13207720</v>
      </c>
      <c r="K769" s="53"/>
      <c r="L769" s="55">
        <v>45293</v>
      </c>
      <c r="M769" s="55">
        <v>45293</v>
      </c>
      <c r="N769" s="53" t="s">
        <v>2445</v>
      </c>
      <c r="O769" s="56">
        <v>0.01</v>
      </c>
      <c r="P769" s="53">
        <v>20009743</v>
      </c>
      <c r="Q769" s="53" t="s">
        <v>2479</v>
      </c>
      <c r="R769" s="45">
        <v>410</v>
      </c>
      <c r="S769" s="56">
        <v>0.01</v>
      </c>
      <c r="T769" s="47" t="s">
        <v>198</v>
      </c>
      <c r="U769" s="48" t="s">
        <v>199</v>
      </c>
      <c r="V769" s="38"/>
      <c r="W769" s="48" t="s">
        <v>195</v>
      </c>
      <c r="X769" s="38" t="s">
        <v>200</v>
      </c>
      <c r="Y769" s="49" t="s">
        <v>201</v>
      </c>
      <c r="Z769" s="50" t="s">
        <v>2480</v>
      </c>
      <c r="AA769" s="38"/>
      <c r="AB769" s="38"/>
      <c r="AC769" s="38"/>
      <c r="AD769" s="51">
        <v>28</v>
      </c>
      <c r="AE769" s="51">
        <v>28</v>
      </c>
      <c r="AF769" s="48" t="s">
        <v>203</v>
      </c>
      <c r="AG769" s="38" t="s">
        <v>204</v>
      </c>
      <c r="AH769" s="52"/>
      <c r="AI769" s="38"/>
      <c r="AJ769" s="38"/>
    </row>
    <row r="770" spans="1:36" ht="16.2">
      <c r="A770" s="42" t="s">
        <v>191</v>
      </c>
      <c r="B770" s="42">
        <v>518635</v>
      </c>
      <c r="C770" s="42" t="s">
        <v>2323</v>
      </c>
      <c r="D770" s="42">
        <v>13207720</v>
      </c>
      <c r="E770" s="43" t="s">
        <v>2324</v>
      </c>
      <c r="F770" s="42" t="s">
        <v>2481</v>
      </c>
      <c r="G770" s="42" t="s">
        <v>195</v>
      </c>
      <c r="H770" s="42"/>
      <c r="I770" s="42"/>
      <c r="J770" s="42">
        <v>13207720</v>
      </c>
      <c r="K770" s="42"/>
      <c r="L770" s="44">
        <v>45293</v>
      </c>
      <c r="M770" s="44">
        <v>45293</v>
      </c>
      <c r="N770" s="42" t="s">
        <v>2445</v>
      </c>
      <c r="O770" s="46">
        <v>0.01</v>
      </c>
      <c r="P770" s="42">
        <v>20009743</v>
      </c>
      <c r="Q770" s="42" t="s">
        <v>2482</v>
      </c>
      <c r="R770" s="45">
        <v>410</v>
      </c>
      <c r="S770" s="46">
        <v>0.01</v>
      </c>
      <c r="T770" s="47" t="s">
        <v>198</v>
      </c>
      <c r="U770" s="48" t="s">
        <v>199</v>
      </c>
      <c r="V770" s="38"/>
      <c r="W770" s="48" t="s">
        <v>195</v>
      </c>
      <c r="X770" s="38" t="s">
        <v>200</v>
      </c>
      <c r="Y770" s="49" t="s">
        <v>201</v>
      </c>
      <c r="Z770" s="50" t="s">
        <v>2483</v>
      </c>
      <c r="AA770" s="38"/>
      <c r="AB770" s="38"/>
      <c r="AC770" s="38"/>
      <c r="AD770" s="51">
        <v>28</v>
      </c>
      <c r="AE770" s="51">
        <v>28</v>
      </c>
      <c r="AF770" s="48" t="s">
        <v>203</v>
      </c>
      <c r="AG770" s="38" t="s">
        <v>204</v>
      </c>
      <c r="AH770" s="52"/>
      <c r="AI770" s="38"/>
      <c r="AJ770" s="38"/>
    </row>
    <row r="771" spans="1:36" ht="16.2">
      <c r="A771" s="53" t="s">
        <v>191</v>
      </c>
      <c r="B771" s="53">
        <v>518635</v>
      </c>
      <c r="C771" s="53" t="s">
        <v>2323</v>
      </c>
      <c r="D771" s="53">
        <v>13207720</v>
      </c>
      <c r="E771" s="54" t="s">
        <v>2324</v>
      </c>
      <c r="F771" s="53" t="s">
        <v>2484</v>
      </c>
      <c r="G771" s="53" t="s">
        <v>195</v>
      </c>
      <c r="H771" s="53"/>
      <c r="I771" s="53"/>
      <c r="J771" s="53">
        <v>13207720</v>
      </c>
      <c r="K771" s="53"/>
      <c r="L771" s="55">
        <v>45293</v>
      </c>
      <c r="M771" s="55">
        <v>45293</v>
      </c>
      <c r="N771" s="53" t="s">
        <v>2445</v>
      </c>
      <c r="O771" s="56">
        <v>0.01</v>
      </c>
      <c r="P771" s="53">
        <v>20009743</v>
      </c>
      <c r="Q771" s="53" t="s">
        <v>2485</v>
      </c>
      <c r="R771" s="45">
        <v>410</v>
      </c>
      <c r="S771" s="56">
        <v>0.01</v>
      </c>
      <c r="T771" s="47" t="s">
        <v>198</v>
      </c>
      <c r="U771" s="48" t="s">
        <v>199</v>
      </c>
      <c r="V771" s="38"/>
      <c r="W771" s="48" t="s">
        <v>195</v>
      </c>
      <c r="X771" s="38" t="s">
        <v>200</v>
      </c>
      <c r="Y771" s="49" t="s">
        <v>201</v>
      </c>
      <c r="Z771" s="50" t="s">
        <v>2486</v>
      </c>
      <c r="AA771" s="38"/>
      <c r="AB771" s="38"/>
      <c r="AC771" s="38"/>
      <c r="AD771" s="51">
        <v>28</v>
      </c>
      <c r="AE771" s="51">
        <v>28</v>
      </c>
      <c r="AF771" s="48" t="s">
        <v>203</v>
      </c>
      <c r="AG771" s="38" t="s">
        <v>204</v>
      </c>
      <c r="AH771" s="52"/>
      <c r="AI771" s="38"/>
      <c r="AJ771" s="38"/>
    </row>
    <row r="772" spans="1:36" ht="16.2">
      <c r="A772" s="42" t="s">
        <v>191</v>
      </c>
      <c r="B772" s="42">
        <v>518635</v>
      </c>
      <c r="C772" s="42" t="s">
        <v>2323</v>
      </c>
      <c r="D772" s="42">
        <v>13207720</v>
      </c>
      <c r="E772" s="43" t="s">
        <v>2324</v>
      </c>
      <c r="F772" s="42" t="s">
        <v>2487</v>
      </c>
      <c r="G772" s="42" t="s">
        <v>195</v>
      </c>
      <c r="H772" s="42"/>
      <c r="I772" s="42"/>
      <c r="J772" s="42">
        <v>13207720</v>
      </c>
      <c r="K772" s="42"/>
      <c r="L772" s="44">
        <v>45293</v>
      </c>
      <c r="M772" s="44">
        <v>45293</v>
      </c>
      <c r="N772" s="42" t="s">
        <v>2445</v>
      </c>
      <c r="O772" s="46">
        <v>0.01</v>
      </c>
      <c r="P772" s="42">
        <v>20009743</v>
      </c>
      <c r="Q772" s="42" t="s">
        <v>2488</v>
      </c>
      <c r="R772" s="45">
        <v>410</v>
      </c>
      <c r="S772" s="46">
        <v>0.01</v>
      </c>
      <c r="T772" s="47" t="s">
        <v>198</v>
      </c>
      <c r="U772" s="48" t="s">
        <v>199</v>
      </c>
      <c r="V772" s="38"/>
      <c r="W772" s="48" t="s">
        <v>195</v>
      </c>
      <c r="X772" s="38" t="s">
        <v>200</v>
      </c>
      <c r="Y772" s="49" t="s">
        <v>201</v>
      </c>
      <c r="Z772" s="50" t="s">
        <v>2489</v>
      </c>
      <c r="AA772" s="38"/>
      <c r="AB772" s="38"/>
      <c r="AC772" s="38"/>
      <c r="AD772" s="51">
        <v>28</v>
      </c>
      <c r="AE772" s="51">
        <v>28</v>
      </c>
      <c r="AF772" s="48" t="s">
        <v>203</v>
      </c>
      <c r="AG772" s="38" t="s">
        <v>204</v>
      </c>
      <c r="AH772" s="52"/>
      <c r="AI772" s="38"/>
      <c r="AJ772" s="38"/>
    </row>
    <row r="773" spans="1:36" ht="16.2">
      <c r="A773" s="53" t="s">
        <v>191</v>
      </c>
      <c r="B773" s="53">
        <v>518635</v>
      </c>
      <c r="C773" s="53" t="s">
        <v>2323</v>
      </c>
      <c r="D773" s="53">
        <v>13207720</v>
      </c>
      <c r="E773" s="54" t="s">
        <v>2324</v>
      </c>
      <c r="F773" s="53" t="s">
        <v>2490</v>
      </c>
      <c r="G773" s="53" t="s">
        <v>195</v>
      </c>
      <c r="H773" s="53"/>
      <c r="I773" s="53"/>
      <c r="J773" s="53">
        <v>13207720</v>
      </c>
      <c r="K773" s="53"/>
      <c r="L773" s="55">
        <v>45293</v>
      </c>
      <c r="M773" s="55">
        <v>45293</v>
      </c>
      <c r="N773" s="53" t="s">
        <v>2445</v>
      </c>
      <c r="O773" s="56">
        <v>0.01</v>
      </c>
      <c r="P773" s="53">
        <v>20009743</v>
      </c>
      <c r="Q773" s="53" t="s">
        <v>2491</v>
      </c>
      <c r="R773" s="45">
        <v>410</v>
      </c>
      <c r="S773" s="56">
        <v>0.01</v>
      </c>
      <c r="T773" s="47" t="s">
        <v>198</v>
      </c>
      <c r="U773" s="48" t="s">
        <v>199</v>
      </c>
      <c r="V773" s="38"/>
      <c r="W773" s="48" t="s">
        <v>195</v>
      </c>
      <c r="X773" s="38" t="s">
        <v>200</v>
      </c>
      <c r="Y773" s="49" t="s">
        <v>201</v>
      </c>
      <c r="Z773" s="50" t="s">
        <v>2492</v>
      </c>
      <c r="AA773" s="38"/>
      <c r="AB773" s="38"/>
      <c r="AC773" s="38"/>
      <c r="AD773" s="51">
        <v>28</v>
      </c>
      <c r="AE773" s="51">
        <v>28</v>
      </c>
      <c r="AF773" s="48" t="s">
        <v>203</v>
      </c>
      <c r="AG773" s="38" t="s">
        <v>204</v>
      </c>
      <c r="AH773" s="52"/>
      <c r="AI773" s="38"/>
      <c r="AJ773" s="38"/>
    </row>
    <row r="774" spans="1:36" ht="16.2">
      <c r="A774" s="42" t="s">
        <v>191</v>
      </c>
      <c r="B774" s="42">
        <v>518635</v>
      </c>
      <c r="C774" s="42" t="s">
        <v>2323</v>
      </c>
      <c r="D774" s="42">
        <v>13207720</v>
      </c>
      <c r="E774" s="43" t="s">
        <v>2324</v>
      </c>
      <c r="F774" s="42" t="s">
        <v>2493</v>
      </c>
      <c r="G774" s="42" t="s">
        <v>195</v>
      </c>
      <c r="H774" s="42"/>
      <c r="I774" s="42"/>
      <c r="J774" s="42">
        <v>13207720</v>
      </c>
      <c r="K774" s="42"/>
      <c r="L774" s="44">
        <v>45293</v>
      </c>
      <c r="M774" s="44">
        <v>45293</v>
      </c>
      <c r="N774" s="42" t="s">
        <v>2445</v>
      </c>
      <c r="O774" s="46">
        <v>0.01</v>
      </c>
      <c r="P774" s="42">
        <v>20009743</v>
      </c>
      <c r="Q774" s="42" t="s">
        <v>2494</v>
      </c>
      <c r="R774" s="45">
        <v>410</v>
      </c>
      <c r="S774" s="46">
        <v>0.01</v>
      </c>
      <c r="T774" s="47" t="s">
        <v>198</v>
      </c>
      <c r="U774" s="48" t="s">
        <v>199</v>
      </c>
      <c r="V774" s="38"/>
      <c r="W774" s="48" t="s">
        <v>195</v>
      </c>
      <c r="X774" s="38" t="s">
        <v>200</v>
      </c>
      <c r="Y774" s="49" t="s">
        <v>201</v>
      </c>
      <c r="Z774" s="50" t="s">
        <v>2495</v>
      </c>
      <c r="AA774" s="38"/>
      <c r="AB774" s="38"/>
      <c r="AC774" s="38"/>
      <c r="AD774" s="51">
        <v>28</v>
      </c>
      <c r="AE774" s="51">
        <v>28</v>
      </c>
      <c r="AF774" s="48" t="s">
        <v>203</v>
      </c>
      <c r="AG774" s="38" t="s">
        <v>204</v>
      </c>
      <c r="AH774" s="52"/>
      <c r="AI774" s="38"/>
      <c r="AJ774" s="38"/>
    </row>
    <row r="775" spans="1:36" ht="16.2">
      <c r="A775" s="53" t="s">
        <v>191</v>
      </c>
      <c r="B775" s="53">
        <v>518635</v>
      </c>
      <c r="C775" s="53" t="s">
        <v>2323</v>
      </c>
      <c r="D775" s="53">
        <v>13207720</v>
      </c>
      <c r="E775" s="54" t="s">
        <v>2324</v>
      </c>
      <c r="F775" s="53" t="s">
        <v>235</v>
      </c>
      <c r="G775" s="53" t="s">
        <v>195</v>
      </c>
      <c r="H775" s="53"/>
      <c r="I775" s="53"/>
      <c r="J775" s="53">
        <v>13207720</v>
      </c>
      <c r="K775" s="53"/>
      <c r="L775" s="55">
        <v>45293</v>
      </c>
      <c r="M775" s="55">
        <v>45293</v>
      </c>
      <c r="N775" s="53" t="s">
        <v>2445</v>
      </c>
      <c r="O775" s="56">
        <v>0.01</v>
      </c>
      <c r="P775" s="53">
        <v>20009743</v>
      </c>
      <c r="Q775" s="53" t="s">
        <v>2496</v>
      </c>
      <c r="R775" s="45">
        <v>410</v>
      </c>
      <c r="S775" s="56">
        <v>0.01</v>
      </c>
      <c r="T775" s="47" t="s">
        <v>198</v>
      </c>
      <c r="U775" s="48" t="s">
        <v>199</v>
      </c>
      <c r="V775" s="38"/>
      <c r="W775" s="48" t="s">
        <v>195</v>
      </c>
      <c r="X775" s="38" t="s">
        <v>200</v>
      </c>
      <c r="Y775" s="49" t="s">
        <v>201</v>
      </c>
      <c r="Z775" s="50" t="s">
        <v>2497</v>
      </c>
      <c r="AA775" s="38"/>
      <c r="AB775" s="38"/>
      <c r="AC775" s="38"/>
      <c r="AD775" s="51">
        <v>28</v>
      </c>
      <c r="AE775" s="51">
        <v>28</v>
      </c>
      <c r="AF775" s="48" t="s">
        <v>203</v>
      </c>
      <c r="AG775" s="38" t="s">
        <v>204</v>
      </c>
      <c r="AH775" s="52"/>
      <c r="AI775" s="38"/>
      <c r="AJ775" s="38"/>
    </row>
    <row r="776" spans="1:36" ht="16.2">
      <c r="A776" s="42" t="s">
        <v>191</v>
      </c>
      <c r="B776" s="42">
        <v>518635</v>
      </c>
      <c r="C776" s="42" t="s">
        <v>2323</v>
      </c>
      <c r="D776" s="42">
        <v>13207720</v>
      </c>
      <c r="E776" s="43" t="s">
        <v>2324</v>
      </c>
      <c r="F776" s="42" t="s">
        <v>2498</v>
      </c>
      <c r="G776" s="42" t="s">
        <v>195</v>
      </c>
      <c r="H776" s="42"/>
      <c r="I776" s="42"/>
      <c r="J776" s="42">
        <v>13207720</v>
      </c>
      <c r="K776" s="42"/>
      <c r="L776" s="44">
        <v>45293</v>
      </c>
      <c r="M776" s="44">
        <v>45293</v>
      </c>
      <c r="N776" s="42" t="s">
        <v>2445</v>
      </c>
      <c r="O776" s="46">
        <v>0.01</v>
      </c>
      <c r="P776" s="42">
        <v>20009743</v>
      </c>
      <c r="Q776" s="42" t="s">
        <v>2499</v>
      </c>
      <c r="R776" s="45">
        <v>410</v>
      </c>
      <c r="S776" s="46">
        <v>0.01</v>
      </c>
      <c r="T776" s="47" t="s">
        <v>198</v>
      </c>
      <c r="U776" s="48" t="s">
        <v>199</v>
      </c>
      <c r="V776" s="38"/>
      <c r="W776" s="48" t="s">
        <v>195</v>
      </c>
      <c r="X776" s="38" t="s">
        <v>200</v>
      </c>
      <c r="Y776" s="49" t="s">
        <v>201</v>
      </c>
      <c r="Z776" s="50" t="s">
        <v>2500</v>
      </c>
      <c r="AA776" s="38"/>
      <c r="AB776" s="38"/>
      <c r="AC776" s="38"/>
      <c r="AD776" s="51">
        <v>28</v>
      </c>
      <c r="AE776" s="51">
        <v>28</v>
      </c>
      <c r="AF776" s="48" t="s">
        <v>203</v>
      </c>
      <c r="AG776" s="38" t="s">
        <v>204</v>
      </c>
      <c r="AH776" s="52"/>
      <c r="AI776" s="38"/>
      <c r="AJ776" s="38"/>
    </row>
    <row r="777" spans="1:36" ht="16.2">
      <c r="A777" s="53" t="s">
        <v>191</v>
      </c>
      <c r="B777" s="53">
        <v>518635</v>
      </c>
      <c r="C777" s="53" t="s">
        <v>2323</v>
      </c>
      <c r="D777" s="53">
        <v>13207720</v>
      </c>
      <c r="E777" s="54" t="s">
        <v>2324</v>
      </c>
      <c r="F777" s="53" t="s">
        <v>2501</v>
      </c>
      <c r="G777" s="53" t="s">
        <v>195</v>
      </c>
      <c r="H777" s="53"/>
      <c r="I777" s="53"/>
      <c r="J777" s="53">
        <v>13207720</v>
      </c>
      <c r="K777" s="53"/>
      <c r="L777" s="55">
        <v>45293</v>
      </c>
      <c r="M777" s="55">
        <v>45293</v>
      </c>
      <c r="N777" s="53" t="s">
        <v>2445</v>
      </c>
      <c r="O777" s="56">
        <v>0.01</v>
      </c>
      <c r="P777" s="53">
        <v>20009743</v>
      </c>
      <c r="Q777" s="53" t="s">
        <v>2502</v>
      </c>
      <c r="R777" s="45">
        <v>410</v>
      </c>
      <c r="S777" s="56">
        <v>0.01</v>
      </c>
      <c r="T777" s="47" t="s">
        <v>198</v>
      </c>
      <c r="U777" s="48" t="s">
        <v>199</v>
      </c>
      <c r="V777" s="38"/>
      <c r="W777" s="48" t="s">
        <v>195</v>
      </c>
      <c r="X777" s="38" t="s">
        <v>200</v>
      </c>
      <c r="Y777" s="49" t="s">
        <v>201</v>
      </c>
      <c r="Z777" s="50" t="s">
        <v>2503</v>
      </c>
      <c r="AA777" s="38"/>
      <c r="AB777" s="38"/>
      <c r="AC777" s="38"/>
      <c r="AD777" s="51">
        <v>28</v>
      </c>
      <c r="AE777" s="51">
        <v>28</v>
      </c>
      <c r="AF777" s="48" t="s">
        <v>203</v>
      </c>
      <c r="AG777" s="38" t="s">
        <v>204</v>
      </c>
      <c r="AH777" s="52"/>
      <c r="AI777" s="38"/>
      <c r="AJ777" s="38"/>
    </row>
    <row r="778" spans="1:36" ht="16.2">
      <c r="A778" s="42" t="s">
        <v>191</v>
      </c>
      <c r="B778" s="42">
        <v>518635</v>
      </c>
      <c r="C778" s="42" t="s">
        <v>2323</v>
      </c>
      <c r="D778" s="42">
        <v>13207720</v>
      </c>
      <c r="E778" s="43" t="s">
        <v>2324</v>
      </c>
      <c r="F778" s="42" t="s">
        <v>2504</v>
      </c>
      <c r="G778" s="42" t="s">
        <v>195</v>
      </c>
      <c r="H778" s="42"/>
      <c r="I778" s="42"/>
      <c r="J778" s="42">
        <v>13207720</v>
      </c>
      <c r="K778" s="42"/>
      <c r="L778" s="44">
        <v>45293</v>
      </c>
      <c r="M778" s="44">
        <v>45293</v>
      </c>
      <c r="N778" s="42" t="s">
        <v>2445</v>
      </c>
      <c r="O778" s="46">
        <v>0.01</v>
      </c>
      <c r="P778" s="42">
        <v>20009743</v>
      </c>
      <c r="Q778" s="42" t="s">
        <v>2505</v>
      </c>
      <c r="R778" s="45">
        <v>410</v>
      </c>
      <c r="S778" s="46">
        <v>0.01</v>
      </c>
      <c r="T778" s="47" t="s">
        <v>198</v>
      </c>
      <c r="U778" s="48" t="s">
        <v>199</v>
      </c>
      <c r="V778" s="38"/>
      <c r="W778" s="48" t="s">
        <v>195</v>
      </c>
      <c r="X778" s="38" t="s">
        <v>200</v>
      </c>
      <c r="Y778" s="49" t="s">
        <v>201</v>
      </c>
      <c r="Z778" s="50" t="s">
        <v>2506</v>
      </c>
      <c r="AA778" s="38"/>
      <c r="AB778" s="38"/>
      <c r="AC778" s="38"/>
      <c r="AD778" s="51">
        <v>28</v>
      </c>
      <c r="AE778" s="51">
        <v>28</v>
      </c>
      <c r="AF778" s="48" t="s">
        <v>203</v>
      </c>
      <c r="AG778" s="38" t="s">
        <v>204</v>
      </c>
      <c r="AH778" s="52"/>
      <c r="AI778" s="38"/>
      <c r="AJ778" s="38"/>
    </row>
    <row r="779" spans="1:36" ht="16.2">
      <c r="A779" s="53" t="s">
        <v>191</v>
      </c>
      <c r="B779" s="53">
        <v>518635</v>
      </c>
      <c r="C779" s="53" t="s">
        <v>2323</v>
      </c>
      <c r="D779" s="53">
        <v>13207720</v>
      </c>
      <c r="E779" s="54" t="s">
        <v>2324</v>
      </c>
      <c r="F779" s="53" t="s">
        <v>2507</v>
      </c>
      <c r="G779" s="53" t="s">
        <v>195</v>
      </c>
      <c r="H779" s="53"/>
      <c r="I779" s="53"/>
      <c r="J779" s="53">
        <v>13207720</v>
      </c>
      <c r="K779" s="53"/>
      <c r="L779" s="55">
        <v>45293</v>
      </c>
      <c r="M779" s="55">
        <v>45293</v>
      </c>
      <c r="N779" s="53" t="s">
        <v>2445</v>
      </c>
      <c r="O779" s="56">
        <v>0.01</v>
      </c>
      <c r="P779" s="53">
        <v>20009743</v>
      </c>
      <c r="Q779" s="53" t="s">
        <v>2508</v>
      </c>
      <c r="R779" s="45">
        <v>410</v>
      </c>
      <c r="S779" s="56">
        <v>0.01</v>
      </c>
      <c r="T779" s="47" t="s">
        <v>198</v>
      </c>
      <c r="U779" s="48" t="s">
        <v>199</v>
      </c>
      <c r="V779" s="38"/>
      <c r="W779" s="48" t="s">
        <v>195</v>
      </c>
      <c r="X779" s="38" t="s">
        <v>200</v>
      </c>
      <c r="Y779" s="49" t="s">
        <v>201</v>
      </c>
      <c r="Z779" s="50" t="s">
        <v>2509</v>
      </c>
      <c r="AA779" s="38"/>
      <c r="AB779" s="38"/>
      <c r="AC779" s="38"/>
      <c r="AD779" s="51">
        <v>28</v>
      </c>
      <c r="AE779" s="51">
        <v>28</v>
      </c>
      <c r="AF779" s="48" t="s">
        <v>203</v>
      </c>
      <c r="AG779" s="38" t="s">
        <v>204</v>
      </c>
      <c r="AH779" s="52"/>
      <c r="AI779" s="38"/>
      <c r="AJ779" s="38"/>
    </row>
    <row r="780" spans="1:36" ht="16.2">
      <c r="A780" s="42" t="s">
        <v>191</v>
      </c>
      <c r="B780" s="42">
        <v>518635</v>
      </c>
      <c r="C780" s="42" t="s">
        <v>2323</v>
      </c>
      <c r="D780" s="42">
        <v>13207720</v>
      </c>
      <c r="E780" s="43" t="s">
        <v>2324</v>
      </c>
      <c r="F780" s="42" t="s">
        <v>2510</v>
      </c>
      <c r="G780" s="42" t="s">
        <v>195</v>
      </c>
      <c r="H780" s="42"/>
      <c r="I780" s="42"/>
      <c r="J780" s="42">
        <v>13207720</v>
      </c>
      <c r="K780" s="42"/>
      <c r="L780" s="44">
        <v>45293</v>
      </c>
      <c r="M780" s="44">
        <v>45293</v>
      </c>
      <c r="N780" s="42" t="s">
        <v>2445</v>
      </c>
      <c r="O780" s="46">
        <v>0.01</v>
      </c>
      <c r="P780" s="42">
        <v>20009743</v>
      </c>
      <c r="Q780" s="42" t="s">
        <v>2511</v>
      </c>
      <c r="R780" s="45">
        <v>410</v>
      </c>
      <c r="S780" s="46">
        <v>0.01</v>
      </c>
      <c r="T780" s="47" t="s">
        <v>198</v>
      </c>
      <c r="U780" s="48" t="s">
        <v>199</v>
      </c>
      <c r="V780" s="38"/>
      <c r="W780" s="48" t="s">
        <v>195</v>
      </c>
      <c r="X780" s="38" t="s">
        <v>200</v>
      </c>
      <c r="Y780" s="49" t="s">
        <v>201</v>
      </c>
      <c r="Z780" s="50" t="s">
        <v>2512</v>
      </c>
      <c r="AA780" s="38"/>
      <c r="AB780" s="38"/>
      <c r="AC780" s="38"/>
      <c r="AD780" s="51">
        <v>28</v>
      </c>
      <c r="AE780" s="51">
        <v>28</v>
      </c>
      <c r="AF780" s="48" t="s">
        <v>203</v>
      </c>
      <c r="AG780" s="38" t="s">
        <v>204</v>
      </c>
      <c r="AH780" s="52"/>
      <c r="AI780" s="38"/>
      <c r="AJ780" s="38"/>
    </row>
    <row r="781" spans="1:36" ht="16.2">
      <c r="A781" s="53" t="s">
        <v>191</v>
      </c>
      <c r="B781" s="53">
        <v>518635</v>
      </c>
      <c r="C781" s="53" t="s">
        <v>2323</v>
      </c>
      <c r="D781" s="53">
        <v>13207720</v>
      </c>
      <c r="E781" s="54" t="s">
        <v>2324</v>
      </c>
      <c r="F781" s="53" t="s">
        <v>2513</v>
      </c>
      <c r="G781" s="53" t="s">
        <v>195</v>
      </c>
      <c r="H781" s="53"/>
      <c r="I781" s="53"/>
      <c r="J781" s="53">
        <v>13207720</v>
      </c>
      <c r="K781" s="53"/>
      <c r="L781" s="55">
        <v>45293</v>
      </c>
      <c r="M781" s="55">
        <v>45293</v>
      </c>
      <c r="N781" s="53" t="s">
        <v>2445</v>
      </c>
      <c r="O781" s="56">
        <v>0.01</v>
      </c>
      <c r="P781" s="53">
        <v>20009743</v>
      </c>
      <c r="Q781" s="53" t="s">
        <v>2514</v>
      </c>
      <c r="R781" s="45">
        <v>410</v>
      </c>
      <c r="S781" s="56">
        <v>0.01</v>
      </c>
      <c r="T781" s="47" t="s">
        <v>198</v>
      </c>
      <c r="U781" s="48" t="s">
        <v>199</v>
      </c>
      <c r="V781" s="38"/>
      <c r="W781" s="48" t="s">
        <v>195</v>
      </c>
      <c r="X781" s="38" t="s">
        <v>200</v>
      </c>
      <c r="Y781" s="49" t="s">
        <v>201</v>
      </c>
      <c r="Z781" s="50" t="s">
        <v>2515</v>
      </c>
      <c r="AA781" s="38"/>
      <c r="AB781" s="38"/>
      <c r="AC781" s="38"/>
      <c r="AD781" s="51">
        <v>28</v>
      </c>
      <c r="AE781" s="51">
        <v>28</v>
      </c>
      <c r="AF781" s="48" t="s">
        <v>203</v>
      </c>
      <c r="AG781" s="38" t="s">
        <v>204</v>
      </c>
      <c r="AH781" s="52"/>
      <c r="AI781" s="38"/>
      <c r="AJ781" s="38"/>
    </row>
    <row r="782" spans="1:36" ht="16.2">
      <c r="A782" s="42" t="s">
        <v>191</v>
      </c>
      <c r="B782" s="42">
        <v>518635</v>
      </c>
      <c r="C782" s="42" t="s">
        <v>2323</v>
      </c>
      <c r="D782" s="42">
        <v>13207720</v>
      </c>
      <c r="E782" s="43" t="s">
        <v>2324</v>
      </c>
      <c r="F782" s="42" t="s">
        <v>2516</v>
      </c>
      <c r="G782" s="42" t="s">
        <v>195</v>
      </c>
      <c r="H782" s="42"/>
      <c r="I782" s="42"/>
      <c r="J782" s="42">
        <v>13207720</v>
      </c>
      <c r="K782" s="42"/>
      <c r="L782" s="44">
        <v>45293</v>
      </c>
      <c r="M782" s="44">
        <v>45293</v>
      </c>
      <c r="N782" s="42" t="s">
        <v>2445</v>
      </c>
      <c r="O782" s="46">
        <v>0.01</v>
      </c>
      <c r="P782" s="42">
        <v>20009743</v>
      </c>
      <c r="Q782" s="42" t="s">
        <v>2517</v>
      </c>
      <c r="R782" s="45">
        <v>410</v>
      </c>
      <c r="S782" s="46">
        <v>0.01</v>
      </c>
      <c r="T782" s="47" t="s">
        <v>198</v>
      </c>
      <c r="U782" s="48" t="s">
        <v>199</v>
      </c>
      <c r="V782" s="38"/>
      <c r="W782" s="48" t="s">
        <v>195</v>
      </c>
      <c r="X782" s="38" t="s">
        <v>200</v>
      </c>
      <c r="Y782" s="49" t="s">
        <v>201</v>
      </c>
      <c r="Z782" s="50" t="s">
        <v>2518</v>
      </c>
      <c r="AA782" s="38"/>
      <c r="AB782" s="38"/>
      <c r="AC782" s="38"/>
      <c r="AD782" s="51">
        <v>28</v>
      </c>
      <c r="AE782" s="51">
        <v>28</v>
      </c>
      <c r="AF782" s="48" t="s">
        <v>203</v>
      </c>
      <c r="AG782" s="38" t="s">
        <v>204</v>
      </c>
      <c r="AH782" s="52"/>
      <c r="AI782" s="38"/>
      <c r="AJ782" s="38"/>
    </row>
    <row r="783" spans="1:36" ht="16.2">
      <c r="A783" s="53" t="s">
        <v>191</v>
      </c>
      <c r="B783" s="53">
        <v>518635</v>
      </c>
      <c r="C783" s="53" t="s">
        <v>2323</v>
      </c>
      <c r="D783" s="53">
        <v>13207720</v>
      </c>
      <c r="E783" s="54" t="s">
        <v>2324</v>
      </c>
      <c r="F783" s="53" t="s">
        <v>2519</v>
      </c>
      <c r="G783" s="53" t="s">
        <v>195</v>
      </c>
      <c r="H783" s="53"/>
      <c r="I783" s="53"/>
      <c r="J783" s="53">
        <v>13207720</v>
      </c>
      <c r="K783" s="53"/>
      <c r="L783" s="55">
        <v>45293</v>
      </c>
      <c r="M783" s="55">
        <v>45293</v>
      </c>
      <c r="N783" s="53" t="s">
        <v>2445</v>
      </c>
      <c r="O783" s="56">
        <v>0.01</v>
      </c>
      <c r="P783" s="53">
        <v>20009743</v>
      </c>
      <c r="Q783" s="53" t="s">
        <v>2520</v>
      </c>
      <c r="R783" s="45">
        <v>410</v>
      </c>
      <c r="S783" s="56">
        <v>0.01</v>
      </c>
      <c r="T783" s="47" t="s">
        <v>198</v>
      </c>
      <c r="U783" s="48" t="s">
        <v>199</v>
      </c>
      <c r="V783" s="38"/>
      <c r="W783" s="48" t="s">
        <v>195</v>
      </c>
      <c r="X783" s="38" t="s">
        <v>200</v>
      </c>
      <c r="Y783" s="49" t="s">
        <v>201</v>
      </c>
      <c r="Z783" s="50" t="s">
        <v>2521</v>
      </c>
      <c r="AA783" s="38"/>
      <c r="AB783" s="38"/>
      <c r="AC783" s="38"/>
      <c r="AD783" s="51">
        <v>28</v>
      </c>
      <c r="AE783" s="51">
        <v>28</v>
      </c>
      <c r="AF783" s="48" t="s">
        <v>203</v>
      </c>
      <c r="AG783" s="38" t="s">
        <v>204</v>
      </c>
      <c r="AH783" s="52"/>
      <c r="AI783" s="38"/>
      <c r="AJ783" s="38"/>
    </row>
    <row r="784" spans="1:36" ht="16.2">
      <c r="A784" s="42" t="s">
        <v>191</v>
      </c>
      <c r="B784" s="42">
        <v>518635</v>
      </c>
      <c r="C784" s="42" t="s">
        <v>2323</v>
      </c>
      <c r="D784" s="42">
        <v>13207720</v>
      </c>
      <c r="E784" s="43" t="s">
        <v>2324</v>
      </c>
      <c r="F784" s="42" t="s">
        <v>2522</v>
      </c>
      <c r="G784" s="42" t="s">
        <v>195</v>
      </c>
      <c r="H784" s="42"/>
      <c r="I784" s="42"/>
      <c r="J784" s="42">
        <v>13207720</v>
      </c>
      <c r="K784" s="42"/>
      <c r="L784" s="44">
        <v>45293</v>
      </c>
      <c r="M784" s="44">
        <v>45293</v>
      </c>
      <c r="N784" s="42" t="s">
        <v>2445</v>
      </c>
      <c r="O784" s="46">
        <v>0.01</v>
      </c>
      <c r="P784" s="42">
        <v>20009743</v>
      </c>
      <c r="Q784" s="42" t="s">
        <v>2523</v>
      </c>
      <c r="R784" s="45">
        <v>410</v>
      </c>
      <c r="S784" s="46">
        <v>0.01</v>
      </c>
      <c r="T784" s="47" t="s">
        <v>198</v>
      </c>
      <c r="U784" s="48" t="s">
        <v>199</v>
      </c>
      <c r="V784" s="38"/>
      <c r="W784" s="48" t="s">
        <v>195</v>
      </c>
      <c r="X784" s="38" t="s">
        <v>200</v>
      </c>
      <c r="Y784" s="49" t="s">
        <v>201</v>
      </c>
      <c r="Z784" s="50" t="s">
        <v>2524</v>
      </c>
      <c r="AA784" s="38"/>
      <c r="AB784" s="38"/>
      <c r="AC784" s="38"/>
      <c r="AD784" s="51">
        <v>28</v>
      </c>
      <c r="AE784" s="51">
        <v>28</v>
      </c>
      <c r="AF784" s="48" t="s">
        <v>203</v>
      </c>
      <c r="AG784" s="38" t="s">
        <v>204</v>
      </c>
      <c r="AH784" s="52"/>
      <c r="AI784" s="38"/>
      <c r="AJ784" s="38"/>
    </row>
    <row r="785" spans="1:36" ht="16.2">
      <c r="A785" s="53" t="s">
        <v>857</v>
      </c>
      <c r="B785" s="53">
        <v>900303</v>
      </c>
      <c r="C785" s="53" t="s">
        <v>2323</v>
      </c>
      <c r="D785" s="53">
        <v>13207696</v>
      </c>
      <c r="E785" s="54" t="s">
        <v>2324</v>
      </c>
      <c r="F785" s="53" t="s">
        <v>2525</v>
      </c>
      <c r="G785" s="53" t="s">
        <v>195</v>
      </c>
      <c r="H785" s="53"/>
      <c r="I785" s="53"/>
      <c r="J785" s="53">
        <v>13207696</v>
      </c>
      <c r="K785" s="53"/>
      <c r="L785" s="55">
        <v>45293</v>
      </c>
      <c r="M785" s="55">
        <v>45293</v>
      </c>
      <c r="N785" s="53" t="s">
        <v>2526</v>
      </c>
      <c r="O785" s="56">
        <v>0.01</v>
      </c>
      <c r="P785" s="53">
        <v>20009758</v>
      </c>
      <c r="Q785" s="53" t="s">
        <v>2527</v>
      </c>
      <c r="R785" s="45">
        <v>410</v>
      </c>
      <c r="S785" s="56">
        <v>0.01</v>
      </c>
      <c r="T785" s="47" t="s">
        <v>198</v>
      </c>
      <c r="U785" s="48" t="s">
        <v>199</v>
      </c>
      <c r="V785" s="38"/>
      <c r="W785" s="48" t="s">
        <v>195</v>
      </c>
      <c r="X785" s="38" t="s">
        <v>426</v>
      </c>
      <c r="Y785" s="49" t="s">
        <v>427</v>
      </c>
      <c r="Z785" s="50" t="s">
        <v>2528</v>
      </c>
      <c r="AA785" s="38"/>
      <c r="AB785" s="38"/>
      <c r="AC785" s="38"/>
      <c r="AD785" s="51">
        <v>24</v>
      </c>
      <c r="AE785" s="51">
        <v>24</v>
      </c>
      <c r="AF785" s="48" t="s">
        <v>203</v>
      </c>
      <c r="AG785" s="38" t="s">
        <v>204</v>
      </c>
      <c r="AH785" s="52"/>
      <c r="AI785" s="38"/>
      <c r="AJ785" s="38"/>
    </row>
    <row r="786" spans="1:36" ht="16.2">
      <c r="A786" s="42" t="s">
        <v>857</v>
      </c>
      <c r="B786" s="42">
        <v>900303</v>
      </c>
      <c r="C786" s="42" t="s">
        <v>2323</v>
      </c>
      <c r="D786" s="42">
        <v>13207696</v>
      </c>
      <c r="E786" s="43" t="s">
        <v>2324</v>
      </c>
      <c r="F786" s="42" t="s">
        <v>1064</v>
      </c>
      <c r="G786" s="42" t="s">
        <v>195</v>
      </c>
      <c r="H786" s="42"/>
      <c r="I786" s="42"/>
      <c r="J786" s="42">
        <v>13207696</v>
      </c>
      <c r="K786" s="42"/>
      <c r="L786" s="44">
        <v>45293</v>
      </c>
      <c r="M786" s="44">
        <v>45293</v>
      </c>
      <c r="N786" s="42" t="s">
        <v>2526</v>
      </c>
      <c r="O786" s="46">
        <v>0.01</v>
      </c>
      <c r="P786" s="42">
        <v>20009758</v>
      </c>
      <c r="Q786" s="42" t="s">
        <v>2529</v>
      </c>
      <c r="R786" s="45">
        <v>410</v>
      </c>
      <c r="S786" s="46">
        <v>0.01</v>
      </c>
      <c r="T786" s="47" t="s">
        <v>198</v>
      </c>
      <c r="U786" s="48" t="s">
        <v>199</v>
      </c>
      <c r="V786" s="38"/>
      <c r="W786" s="48" t="s">
        <v>195</v>
      </c>
      <c r="X786" s="38" t="s">
        <v>426</v>
      </c>
      <c r="Y786" s="49" t="s">
        <v>427</v>
      </c>
      <c r="Z786" s="50" t="s">
        <v>2530</v>
      </c>
      <c r="AA786" s="38"/>
      <c r="AB786" s="38"/>
      <c r="AC786" s="38"/>
      <c r="AD786" s="51">
        <v>24</v>
      </c>
      <c r="AE786" s="51">
        <v>24</v>
      </c>
      <c r="AF786" s="48" t="s">
        <v>203</v>
      </c>
      <c r="AG786" s="38" t="s">
        <v>204</v>
      </c>
      <c r="AH786" s="52"/>
      <c r="AI786" s="38"/>
      <c r="AJ786" s="38"/>
    </row>
    <row r="787" spans="1:36" ht="16.2">
      <c r="A787" s="53" t="s">
        <v>857</v>
      </c>
      <c r="B787" s="53">
        <v>900303</v>
      </c>
      <c r="C787" s="53" t="s">
        <v>2323</v>
      </c>
      <c r="D787" s="53">
        <v>13207696</v>
      </c>
      <c r="E787" s="54" t="s">
        <v>2324</v>
      </c>
      <c r="F787" s="53" t="s">
        <v>2531</v>
      </c>
      <c r="G787" s="53" t="s">
        <v>195</v>
      </c>
      <c r="H787" s="53"/>
      <c r="I787" s="53"/>
      <c r="J787" s="53">
        <v>13207696</v>
      </c>
      <c r="K787" s="53"/>
      <c r="L787" s="55">
        <v>45293</v>
      </c>
      <c r="M787" s="55">
        <v>45293</v>
      </c>
      <c r="N787" s="53" t="s">
        <v>2526</v>
      </c>
      <c r="O787" s="56">
        <v>0.01</v>
      </c>
      <c r="P787" s="53">
        <v>20009758</v>
      </c>
      <c r="Q787" s="53" t="s">
        <v>2532</v>
      </c>
      <c r="R787" s="45">
        <v>410</v>
      </c>
      <c r="S787" s="56">
        <v>0.01</v>
      </c>
      <c r="T787" s="47" t="s">
        <v>198</v>
      </c>
      <c r="U787" s="48" t="s">
        <v>199</v>
      </c>
      <c r="V787" s="38"/>
      <c r="W787" s="48" t="s">
        <v>195</v>
      </c>
      <c r="X787" s="38" t="s">
        <v>426</v>
      </c>
      <c r="Y787" s="49" t="s">
        <v>427</v>
      </c>
      <c r="Z787" s="50" t="s">
        <v>2533</v>
      </c>
      <c r="AA787" s="38"/>
      <c r="AB787" s="38"/>
      <c r="AC787" s="38"/>
      <c r="AD787" s="51">
        <v>24</v>
      </c>
      <c r="AE787" s="51">
        <v>24</v>
      </c>
      <c r="AF787" s="48" t="s">
        <v>203</v>
      </c>
      <c r="AG787" s="38" t="s">
        <v>204</v>
      </c>
      <c r="AH787" s="52"/>
      <c r="AI787" s="38"/>
      <c r="AJ787" s="38"/>
    </row>
    <row r="788" spans="1:36" ht="16.2">
      <c r="A788" s="42" t="s">
        <v>857</v>
      </c>
      <c r="B788" s="42">
        <v>900303</v>
      </c>
      <c r="C788" s="42" t="s">
        <v>2323</v>
      </c>
      <c r="D788" s="42">
        <v>13207696</v>
      </c>
      <c r="E788" s="43" t="s">
        <v>2324</v>
      </c>
      <c r="F788" s="42" t="s">
        <v>2534</v>
      </c>
      <c r="G788" s="42" t="s">
        <v>195</v>
      </c>
      <c r="H788" s="42"/>
      <c r="I788" s="42"/>
      <c r="J788" s="42">
        <v>13207696</v>
      </c>
      <c r="K788" s="42"/>
      <c r="L788" s="44">
        <v>45293</v>
      </c>
      <c r="M788" s="44">
        <v>45293</v>
      </c>
      <c r="N788" s="42" t="s">
        <v>2526</v>
      </c>
      <c r="O788" s="46">
        <v>0.01</v>
      </c>
      <c r="P788" s="42">
        <v>20009758</v>
      </c>
      <c r="Q788" s="42" t="s">
        <v>2535</v>
      </c>
      <c r="R788" s="45">
        <v>410</v>
      </c>
      <c r="S788" s="46">
        <v>0.01</v>
      </c>
      <c r="T788" s="47" t="s">
        <v>198</v>
      </c>
      <c r="U788" s="48" t="s">
        <v>199</v>
      </c>
      <c r="V788" s="38"/>
      <c r="W788" s="48" t="s">
        <v>195</v>
      </c>
      <c r="X788" s="38" t="s">
        <v>426</v>
      </c>
      <c r="Y788" s="49" t="s">
        <v>427</v>
      </c>
      <c r="Z788" s="50" t="s">
        <v>2536</v>
      </c>
      <c r="AA788" s="38"/>
      <c r="AB788" s="38"/>
      <c r="AC788" s="38"/>
      <c r="AD788" s="51">
        <v>24</v>
      </c>
      <c r="AE788" s="51">
        <v>24</v>
      </c>
      <c r="AF788" s="48" t="s">
        <v>203</v>
      </c>
      <c r="AG788" s="38" t="s">
        <v>204</v>
      </c>
      <c r="AH788" s="52"/>
      <c r="AI788" s="38"/>
      <c r="AJ788" s="38"/>
    </row>
    <row r="789" spans="1:36" ht="16.2">
      <c r="A789" s="53" t="s">
        <v>857</v>
      </c>
      <c r="B789" s="53">
        <v>900303</v>
      </c>
      <c r="C789" s="53" t="s">
        <v>2323</v>
      </c>
      <c r="D789" s="53">
        <v>13207696</v>
      </c>
      <c r="E789" s="54" t="s">
        <v>2324</v>
      </c>
      <c r="F789" s="53" t="s">
        <v>2537</v>
      </c>
      <c r="G789" s="53" t="s">
        <v>195</v>
      </c>
      <c r="H789" s="53"/>
      <c r="I789" s="53"/>
      <c r="J789" s="53">
        <v>13207696</v>
      </c>
      <c r="K789" s="53"/>
      <c r="L789" s="55">
        <v>45293</v>
      </c>
      <c r="M789" s="55">
        <v>45293</v>
      </c>
      <c r="N789" s="53" t="s">
        <v>2526</v>
      </c>
      <c r="O789" s="56">
        <v>0.01</v>
      </c>
      <c r="P789" s="53">
        <v>20009758</v>
      </c>
      <c r="Q789" s="53" t="s">
        <v>2538</v>
      </c>
      <c r="R789" s="45">
        <v>410</v>
      </c>
      <c r="S789" s="56">
        <v>0.01</v>
      </c>
      <c r="T789" s="47" t="s">
        <v>198</v>
      </c>
      <c r="U789" s="48" t="s">
        <v>199</v>
      </c>
      <c r="V789" s="38"/>
      <c r="W789" s="48" t="s">
        <v>195</v>
      </c>
      <c r="X789" s="38" t="s">
        <v>426</v>
      </c>
      <c r="Y789" s="49" t="s">
        <v>427</v>
      </c>
      <c r="Z789" s="50" t="s">
        <v>2539</v>
      </c>
      <c r="AA789" s="38"/>
      <c r="AB789" s="38"/>
      <c r="AC789" s="38"/>
      <c r="AD789" s="51">
        <v>24</v>
      </c>
      <c r="AE789" s="51">
        <v>24</v>
      </c>
      <c r="AF789" s="48" t="s">
        <v>203</v>
      </c>
      <c r="AG789" s="38" t="s">
        <v>204</v>
      </c>
      <c r="AH789" s="52"/>
      <c r="AI789" s="38"/>
      <c r="AJ789" s="38"/>
    </row>
    <row r="790" spans="1:36" ht="16.2">
      <c r="A790" s="42" t="s">
        <v>857</v>
      </c>
      <c r="B790" s="42">
        <v>900303</v>
      </c>
      <c r="C790" s="42" t="s">
        <v>2323</v>
      </c>
      <c r="D790" s="42">
        <v>13207696</v>
      </c>
      <c r="E790" s="43" t="s">
        <v>2324</v>
      </c>
      <c r="F790" s="42" t="s">
        <v>2540</v>
      </c>
      <c r="G790" s="42" t="s">
        <v>195</v>
      </c>
      <c r="H790" s="42"/>
      <c r="I790" s="42"/>
      <c r="J790" s="42">
        <v>13207696</v>
      </c>
      <c r="K790" s="42"/>
      <c r="L790" s="44">
        <v>45293</v>
      </c>
      <c r="M790" s="44">
        <v>45293</v>
      </c>
      <c r="N790" s="42" t="s">
        <v>2526</v>
      </c>
      <c r="O790" s="42">
        <v>0</v>
      </c>
      <c r="P790" s="42">
        <v>20009758</v>
      </c>
      <c r="Q790" s="42" t="s">
        <v>2541</v>
      </c>
      <c r="R790" s="45">
        <v>410</v>
      </c>
      <c r="S790" s="42">
        <v>0</v>
      </c>
      <c r="T790" s="47" t="s">
        <v>198</v>
      </c>
      <c r="U790" s="48" t="s">
        <v>199</v>
      </c>
      <c r="V790" s="38"/>
      <c r="W790" s="48" t="s">
        <v>195</v>
      </c>
      <c r="X790" s="38" t="s">
        <v>426</v>
      </c>
      <c r="Y790" s="49" t="s">
        <v>427</v>
      </c>
      <c r="Z790" s="50" t="s">
        <v>2542</v>
      </c>
      <c r="AA790" s="38"/>
      <c r="AB790" s="38"/>
      <c r="AC790" s="38"/>
      <c r="AD790" s="51">
        <v>24</v>
      </c>
      <c r="AE790" s="51">
        <v>24</v>
      </c>
      <c r="AF790" s="48" t="s">
        <v>203</v>
      </c>
      <c r="AG790" s="38" t="s">
        <v>204</v>
      </c>
      <c r="AH790" s="52"/>
      <c r="AI790" s="38"/>
      <c r="AJ790" s="38"/>
    </row>
    <row r="791" spans="1:36" ht="16.2">
      <c r="A791" s="53" t="s">
        <v>857</v>
      </c>
      <c r="B791" s="53">
        <v>900303</v>
      </c>
      <c r="C791" s="53" t="s">
        <v>2323</v>
      </c>
      <c r="D791" s="53">
        <v>13207696</v>
      </c>
      <c r="E791" s="54" t="s">
        <v>2324</v>
      </c>
      <c r="F791" s="53" t="s">
        <v>1570</v>
      </c>
      <c r="G791" s="53" t="s">
        <v>195</v>
      </c>
      <c r="H791" s="53"/>
      <c r="I791" s="53"/>
      <c r="J791" s="53">
        <v>13207696</v>
      </c>
      <c r="K791" s="53"/>
      <c r="L791" s="55">
        <v>45293</v>
      </c>
      <c r="M791" s="55">
        <v>45293</v>
      </c>
      <c r="N791" s="53" t="s">
        <v>2526</v>
      </c>
      <c r="O791" s="56">
        <v>0.01</v>
      </c>
      <c r="P791" s="53">
        <v>20009758</v>
      </c>
      <c r="Q791" s="53" t="s">
        <v>2543</v>
      </c>
      <c r="R791" s="45">
        <v>410</v>
      </c>
      <c r="S791" s="56">
        <v>0.01</v>
      </c>
      <c r="T791" s="47" t="s">
        <v>198</v>
      </c>
      <c r="U791" s="48" t="s">
        <v>199</v>
      </c>
      <c r="V791" s="38"/>
      <c r="W791" s="48" t="s">
        <v>195</v>
      </c>
      <c r="X791" s="38" t="s">
        <v>426</v>
      </c>
      <c r="Y791" s="49" t="s">
        <v>427</v>
      </c>
      <c r="Z791" s="50" t="s">
        <v>2544</v>
      </c>
      <c r="AA791" s="38"/>
      <c r="AB791" s="38"/>
      <c r="AC791" s="38"/>
      <c r="AD791" s="51">
        <v>24</v>
      </c>
      <c r="AE791" s="51">
        <v>24</v>
      </c>
      <c r="AF791" s="48" t="s">
        <v>203</v>
      </c>
      <c r="AG791" s="38" t="s">
        <v>204</v>
      </c>
      <c r="AH791" s="52"/>
      <c r="AI791" s="38"/>
      <c r="AJ791" s="38"/>
    </row>
    <row r="792" spans="1:36" ht="16.2">
      <c r="A792" s="42" t="s">
        <v>857</v>
      </c>
      <c r="B792" s="42">
        <v>900303</v>
      </c>
      <c r="C792" s="42" t="s">
        <v>2323</v>
      </c>
      <c r="D792" s="42">
        <v>13207696</v>
      </c>
      <c r="E792" s="43" t="s">
        <v>2324</v>
      </c>
      <c r="F792" s="42" t="s">
        <v>2545</v>
      </c>
      <c r="G792" s="42" t="s">
        <v>195</v>
      </c>
      <c r="H792" s="42"/>
      <c r="I792" s="42"/>
      <c r="J792" s="42">
        <v>13207696</v>
      </c>
      <c r="K792" s="42"/>
      <c r="L792" s="44">
        <v>45293</v>
      </c>
      <c r="M792" s="44">
        <v>45293</v>
      </c>
      <c r="N792" s="42" t="s">
        <v>2526</v>
      </c>
      <c r="O792" s="46">
        <v>0.01</v>
      </c>
      <c r="P792" s="42">
        <v>20009758</v>
      </c>
      <c r="Q792" s="42" t="s">
        <v>2546</v>
      </c>
      <c r="R792" s="45">
        <v>410</v>
      </c>
      <c r="S792" s="46">
        <v>0.01</v>
      </c>
      <c r="T792" s="47" t="s">
        <v>198</v>
      </c>
      <c r="U792" s="48" t="s">
        <v>199</v>
      </c>
      <c r="V792" s="38"/>
      <c r="W792" s="48" t="s">
        <v>195</v>
      </c>
      <c r="X792" s="38" t="s">
        <v>426</v>
      </c>
      <c r="Y792" s="49" t="s">
        <v>427</v>
      </c>
      <c r="Z792" s="50" t="s">
        <v>2547</v>
      </c>
      <c r="AA792" s="38"/>
      <c r="AB792" s="38"/>
      <c r="AC792" s="38"/>
      <c r="AD792" s="51">
        <v>24</v>
      </c>
      <c r="AE792" s="51">
        <v>24</v>
      </c>
      <c r="AF792" s="48" t="s">
        <v>203</v>
      </c>
      <c r="AG792" s="38" t="s">
        <v>204</v>
      </c>
      <c r="AH792" s="52"/>
      <c r="AI792" s="38"/>
      <c r="AJ792" s="38"/>
    </row>
    <row r="793" spans="1:36" ht="16.2">
      <c r="A793" s="53" t="s">
        <v>857</v>
      </c>
      <c r="B793" s="53">
        <v>900303</v>
      </c>
      <c r="C793" s="53" t="s">
        <v>2323</v>
      </c>
      <c r="D793" s="53">
        <v>13207696</v>
      </c>
      <c r="E793" s="54" t="s">
        <v>2324</v>
      </c>
      <c r="F793" s="53" t="s">
        <v>2548</v>
      </c>
      <c r="G793" s="53" t="s">
        <v>195</v>
      </c>
      <c r="H793" s="53"/>
      <c r="I793" s="53"/>
      <c r="J793" s="53">
        <v>13207696</v>
      </c>
      <c r="K793" s="53"/>
      <c r="L793" s="55">
        <v>45293</v>
      </c>
      <c r="M793" s="55">
        <v>45293</v>
      </c>
      <c r="N793" s="53" t="s">
        <v>2526</v>
      </c>
      <c r="O793" s="56">
        <v>0.01</v>
      </c>
      <c r="P793" s="53">
        <v>20009758</v>
      </c>
      <c r="Q793" s="53" t="s">
        <v>2549</v>
      </c>
      <c r="R793" s="45">
        <v>410</v>
      </c>
      <c r="S793" s="56">
        <v>0.01</v>
      </c>
      <c r="T793" s="47" t="s">
        <v>198</v>
      </c>
      <c r="U793" s="48" t="s">
        <v>199</v>
      </c>
      <c r="V793" s="38"/>
      <c r="W793" s="48" t="s">
        <v>195</v>
      </c>
      <c r="X793" s="38" t="s">
        <v>426</v>
      </c>
      <c r="Y793" s="49" t="s">
        <v>427</v>
      </c>
      <c r="Z793" s="50" t="s">
        <v>2550</v>
      </c>
      <c r="AA793" s="38"/>
      <c r="AB793" s="38"/>
      <c r="AC793" s="38"/>
      <c r="AD793" s="51">
        <v>24</v>
      </c>
      <c r="AE793" s="51">
        <v>24</v>
      </c>
      <c r="AF793" s="48" t="s">
        <v>203</v>
      </c>
      <c r="AG793" s="38" t="s">
        <v>204</v>
      </c>
      <c r="AH793" s="52"/>
      <c r="AI793" s="38"/>
      <c r="AJ793" s="38"/>
    </row>
    <row r="794" spans="1:36" ht="16.2">
      <c r="A794" s="42" t="s">
        <v>857</v>
      </c>
      <c r="B794" s="42">
        <v>900303</v>
      </c>
      <c r="C794" s="42" t="s">
        <v>2323</v>
      </c>
      <c r="D794" s="42">
        <v>13207696</v>
      </c>
      <c r="E794" s="43" t="s">
        <v>2324</v>
      </c>
      <c r="F794" s="42" t="s">
        <v>2551</v>
      </c>
      <c r="G794" s="42" t="s">
        <v>195</v>
      </c>
      <c r="H794" s="42"/>
      <c r="I794" s="42"/>
      <c r="J794" s="42">
        <v>13207696</v>
      </c>
      <c r="K794" s="42"/>
      <c r="L794" s="44">
        <v>45293</v>
      </c>
      <c r="M794" s="44">
        <v>45293</v>
      </c>
      <c r="N794" s="42" t="s">
        <v>2526</v>
      </c>
      <c r="O794" s="46">
        <v>0.01</v>
      </c>
      <c r="P794" s="42">
        <v>20009758</v>
      </c>
      <c r="Q794" s="42" t="s">
        <v>2552</v>
      </c>
      <c r="R794" s="45">
        <v>410</v>
      </c>
      <c r="S794" s="46">
        <v>0.01</v>
      </c>
      <c r="T794" s="47" t="s">
        <v>198</v>
      </c>
      <c r="U794" s="48" t="s">
        <v>199</v>
      </c>
      <c r="V794" s="38"/>
      <c r="W794" s="48" t="s">
        <v>195</v>
      </c>
      <c r="X794" s="38" t="s">
        <v>426</v>
      </c>
      <c r="Y794" s="49" t="s">
        <v>427</v>
      </c>
      <c r="Z794" s="50" t="s">
        <v>2553</v>
      </c>
      <c r="AA794" s="38"/>
      <c r="AB794" s="38"/>
      <c r="AC794" s="38"/>
      <c r="AD794" s="51">
        <v>24</v>
      </c>
      <c r="AE794" s="51">
        <v>24</v>
      </c>
      <c r="AF794" s="48" t="s">
        <v>203</v>
      </c>
      <c r="AG794" s="38" t="s">
        <v>204</v>
      </c>
      <c r="AH794" s="52"/>
      <c r="AI794" s="38"/>
      <c r="AJ794" s="38"/>
    </row>
    <row r="795" spans="1:36" ht="16.2">
      <c r="A795" s="53" t="s">
        <v>857</v>
      </c>
      <c r="B795" s="53">
        <v>900303</v>
      </c>
      <c r="C795" s="53" t="s">
        <v>2323</v>
      </c>
      <c r="D795" s="53">
        <v>13207696</v>
      </c>
      <c r="E795" s="54" t="s">
        <v>2324</v>
      </c>
      <c r="F795" s="53" t="s">
        <v>2554</v>
      </c>
      <c r="G795" s="53" t="s">
        <v>195</v>
      </c>
      <c r="H795" s="53"/>
      <c r="I795" s="53"/>
      <c r="J795" s="53">
        <v>13207696</v>
      </c>
      <c r="K795" s="53"/>
      <c r="L795" s="55">
        <v>45293</v>
      </c>
      <c r="M795" s="55">
        <v>45293</v>
      </c>
      <c r="N795" s="53" t="s">
        <v>2526</v>
      </c>
      <c r="O795" s="56">
        <v>0.01</v>
      </c>
      <c r="P795" s="53">
        <v>20009758</v>
      </c>
      <c r="Q795" s="53" t="s">
        <v>2555</v>
      </c>
      <c r="R795" s="45">
        <v>410</v>
      </c>
      <c r="S795" s="56">
        <v>0.01</v>
      </c>
      <c r="T795" s="47" t="s">
        <v>198</v>
      </c>
      <c r="U795" s="48" t="s">
        <v>199</v>
      </c>
      <c r="V795" s="38"/>
      <c r="W795" s="48" t="s">
        <v>195</v>
      </c>
      <c r="X795" s="38" t="s">
        <v>426</v>
      </c>
      <c r="Y795" s="49" t="s">
        <v>427</v>
      </c>
      <c r="Z795" s="50" t="s">
        <v>2556</v>
      </c>
      <c r="AA795" s="38"/>
      <c r="AB795" s="38"/>
      <c r="AC795" s="38"/>
      <c r="AD795" s="51">
        <v>24</v>
      </c>
      <c r="AE795" s="51">
        <v>24</v>
      </c>
      <c r="AF795" s="48" t="s">
        <v>203</v>
      </c>
      <c r="AG795" s="38" t="s">
        <v>204</v>
      </c>
      <c r="AH795" s="52"/>
      <c r="AI795" s="38"/>
      <c r="AJ795" s="38"/>
    </row>
    <row r="796" spans="1:36" ht="16.2">
      <c r="A796" s="42" t="s">
        <v>857</v>
      </c>
      <c r="B796" s="42">
        <v>900303</v>
      </c>
      <c r="C796" s="42" t="s">
        <v>2323</v>
      </c>
      <c r="D796" s="42">
        <v>13207696</v>
      </c>
      <c r="E796" s="43" t="s">
        <v>2324</v>
      </c>
      <c r="F796" s="42" t="s">
        <v>2557</v>
      </c>
      <c r="G796" s="42" t="s">
        <v>195</v>
      </c>
      <c r="H796" s="42"/>
      <c r="I796" s="42"/>
      <c r="J796" s="42">
        <v>13207696</v>
      </c>
      <c r="K796" s="42"/>
      <c r="L796" s="44">
        <v>45293</v>
      </c>
      <c r="M796" s="44">
        <v>45293</v>
      </c>
      <c r="N796" s="42" t="s">
        <v>2526</v>
      </c>
      <c r="O796" s="46">
        <v>0.01</v>
      </c>
      <c r="P796" s="42">
        <v>20009758</v>
      </c>
      <c r="Q796" s="42" t="s">
        <v>2558</v>
      </c>
      <c r="R796" s="45">
        <v>410</v>
      </c>
      <c r="S796" s="46">
        <v>0.01</v>
      </c>
      <c r="T796" s="47" t="s">
        <v>198</v>
      </c>
      <c r="U796" s="48" t="s">
        <v>199</v>
      </c>
      <c r="V796" s="38"/>
      <c r="W796" s="48" t="s">
        <v>195</v>
      </c>
      <c r="X796" s="38" t="s">
        <v>426</v>
      </c>
      <c r="Y796" s="49" t="s">
        <v>427</v>
      </c>
      <c r="Z796" s="50" t="s">
        <v>2559</v>
      </c>
      <c r="AA796" s="38"/>
      <c r="AB796" s="38"/>
      <c r="AC796" s="38"/>
      <c r="AD796" s="51">
        <v>24</v>
      </c>
      <c r="AE796" s="51">
        <v>24</v>
      </c>
      <c r="AF796" s="48" t="s">
        <v>203</v>
      </c>
      <c r="AG796" s="38" t="s">
        <v>204</v>
      </c>
      <c r="AH796" s="52"/>
      <c r="AI796" s="38"/>
      <c r="AJ796" s="38"/>
    </row>
    <row r="797" spans="1:36" ht="16.2">
      <c r="A797" s="53" t="s">
        <v>857</v>
      </c>
      <c r="B797" s="53">
        <v>900303</v>
      </c>
      <c r="C797" s="53" t="s">
        <v>2323</v>
      </c>
      <c r="D797" s="53">
        <v>13207696</v>
      </c>
      <c r="E797" s="54" t="s">
        <v>2324</v>
      </c>
      <c r="F797" s="53" t="s">
        <v>2560</v>
      </c>
      <c r="G797" s="53" t="s">
        <v>195</v>
      </c>
      <c r="H797" s="53"/>
      <c r="I797" s="53"/>
      <c r="J797" s="53">
        <v>13207696</v>
      </c>
      <c r="K797" s="53"/>
      <c r="L797" s="55">
        <v>45293</v>
      </c>
      <c r="M797" s="55">
        <v>45293</v>
      </c>
      <c r="N797" s="53" t="s">
        <v>2526</v>
      </c>
      <c r="O797" s="56">
        <v>0.01</v>
      </c>
      <c r="P797" s="53">
        <v>20009758</v>
      </c>
      <c r="Q797" s="53" t="s">
        <v>2561</v>
      </c>
      <c r="R797" s="45">
        <v>410</v>
      </c>
      <c r="S797" s="56">
        <v>0.01</v>
      </c>
      <c r="T797" s="47" t="s">
        <v>198</v>
      </c>
      <c r="U797" s="48" t="s">
        <v>199</v>
      </c>
      <c r="V797" s="38"/>
      <c r="W797" s="48" t="s">
        <v>195</v>
      </c>
      <c r="X797" s="38" t="s">
        <v>426</v>
      </c>
      <c r="Y797" s="49" t="s">
        <v>427</v>
      </c>
      <c r="Z797" s="50" t="s">
        <v>2562</v>
      </c>
      <c r="AA797" s="38"/>
      <c r="AB797" s="38"/>
      <c r="AC797" s="38"/>
      <c r="AD797" s="51">
        <v>24</v>
      </c>
      <c r="AE797" s="51">
        <v>24</v>
      </c>
      <c r="AF797" s="48" t="s">
        <v>203</v>
      </c>
      <c r="AG797" s="38" t="s">
        <v>204</v>
      </c>
      <c r="AH797" s="52"/>
      <c r="AI797" s="38"/>
      <c r="AJ797" s="38"/>
    </row>
    <row r="798" spans="1:36" ht="16.2">
      <c r="A798" s="42" t="s">
        <v>857</v>
      </c>
      <c r="B798" s="42">
        <v>900303</v>
      </c>
      <c r="C798" s="42" t="s">
        <v>2323</v>
      </c>
      <c r="D798" s="42">
        <v>13207696</v>
      </c>
      <c r="E798" s="43" t="s">
        <v>2324</v>
      </c>
      <c r="F798" s="42" t="s">
        <v>2563</v>
      </c>
      <c r="G798" s="42" t="s">
        <v>195</v>
      </c>
      <c r="H798" s="42"/>
      <c r="I798" s="42"/>
      <c r="J798" s="42">
        <v>13207696</v>
      </c>
      <c r="K798" s="42"/>
      <c r="L798" s="44">
        <v>45293</v>
      </c>
      <c r="M798" s="44">
        <v>45293</v>
      </c>
      <c r="N798" s="42" t="s">
        <v>2526</v>
      </c>
      <c r="O798" s="42">
        <v>0</v>
      </c>
      <c r="P798" s="42">
        <v>20009758</v>
      </c>
      <c r="Q798" s="42" t="s">
        <v>2564</v>
      </c>
      <c r="R798" s="45">
        <v>410</v>
      </c>
      <c r="S798" s="42">
        <v>0</v>
      </c>
      <c r="T798" s="47" t="s">
        <v>198</v>
      </c>
      <c r="U798" s="48" t="s">
        <v>199</v>
      </c>
      <c r="V798" s="38"/>
      <c r="W798" s="48" t="s">
        <v>195</v>
      </c>
      <c r="X798" s="38" t="s">
        <v>426</v>
      </c>
      <c r="Y798" s="49" t="s">
        <v>427</v>
      </c>
      <c r="Z798" s="50" t="s">
        <v>2565</v>
      </c>
      <c r="AA798" s="38"/>
      <c r="AB798" s="38"/>
      <c r="AC798" s="38"/>
      <c r="AD798" s="51">
        <v>24</v>
      </c>
      <c r="AE798" s="51">
        <v>24</v>
      </c>
      <c r="AF798" s="48" t="s">
        <v>203</v>
      </c>
      <c r="AG798" s="38" t="s">
        <v>204</v>
      </c>
      <c r="AH798" s="52"/>
      <c r="AI798" s="38"/>
      <c r="AJ798" s="38"/>
    </row>
    <row r="799" spans="1:36" ht="16.2">
      <c r="A799" s="53" t="s">
        <v>857</v>
      </c>
      <c r="B799" s="53">
        <v>900303</v>
      </c>
      <c r="C799" s="53" t="s">
        <v>2323</v>
      </c>
      <c r="D799" s="53">
        <v>13207696</v>
      </c>
      <c r="E799" s="54" t="s">
        <v>2324</v>
      </c>
      <c r="F799" s="53" t="s">
        <v>1754</v>
      </c>
      <c r="G799" s="53" t="s">
        <v>195</v>
      </c>
      <c r="H799" s="53"/>
      <c r="I799" s="53"/>
      <c r="J799" s="53">
        <v>13207696</v>
      </c>
      <c r="K799" s="53"/>
      <c r="L799" s="55">
        <v>45293</v>
      </c>
      <c r="M799" s="55">
        <v>45293</v>
      </c>
      <c r="N799" s="53" t="s">
        <v>2526</v>
      </c>
      <c r="O799" s="53">
        <v>0</v>
      </c>
      <c r="P799" s="53">
        <v>20009758</v>
      </c>
      <c r="Q799" s="53" t="s">
        <v>2566</v>
      </c>
      <c r="R799" s="45">
        <v>410</v>
      </c>
      <c r="S799" s="53">
        <v>0</v>
      </c>
      <c r="T799" s="47" t="s">
        <v>198</v>
      </c>
      <c r="U799" s="48" t="s">
        <v>199</v>
      </c>
      <c r="V799" s="38"/>
      <c r="W799" s="48" t="s">
        <v>195</v>
      </c>
      <c r="X799" s="38" t="s">
        <v>426</v>
      </c>
      <c r="Y799" s="49" t="s">
        <v>427</v>
      </c>
      <c r="Z799" s="50" t="s">
        <v>2567</v>
      </c>
      <c r="AA799" s="38"/>
      <c r="AB799" s="38"/>
      <c r="AC799" s="38"/>
      <c r="AD799" s="51">
        <v>24</v>
      </c>
      <c r="AE799" s="51">
        <v>24</v>
      </c>
      <c r="AF799" s="48" t="s">
        <v>203</v>
      </c>
      <c r="AG799" s="38" t="s">
        <v>204</v>
      </c>
      <c r="AH799" s="52"/>
      <c r="AI799" s="38"/>
      <c r="AJ799" s="38"/>
    </row>
    <row r="800" spans="1:36" ht="16.2">
      <c r="A800" s="42" t="s">
        <v>857</v>
      </c>
      <c r="B800" s="42">
        <v>900303</v>
      </c>
      <c r="C800" s="42" t="s">
        <v>2323</v>
      </c>
      <c r="D800" s="42">
        <v>13207696</v>
      </c>
      <c r="E800" s="43" t="s">
        <v>2324</v>
      </c>
      <c r="F800" s="42" t="s">
        <v>235</v>
      </c>
      <c r="G800" s="42" t="s">
        <v>195</v>
      </c>
      <c r="H800" s="42"/>
      <c r="I800" s="42"/>
      <c r="J800" s="42">
        <v>13207696</v>
      </c>
      <c r="K800" s="42"/>
      <c r="L800" s="44">
        <v>45293</v>
      </c>
      <c r="M800" s="44">
        <v>45293</v>
      </c>
      <c r="N800" s="42" t="s">
        <v>2526</v>
      </c>
      <c r="O800" s="42">
        <v>0</v>
      </c>
      <c r="P800" s="42">
        <v>20009758</v>
      </c>
      <c r="Q800" s="42" t="s">
        <v>2568</v>
      </c>
      <c r="R800" s="45">
        <v>410</v>
      </c>
      <c r="S800" s="42">
        <v>0</v>
      </c>
      <c r="T800" s="47" t="s">
        <v>198</v>
      </c>
      <c r="U800" s="48" t="s">
        <v>199</v>
      </c>
      <c r="V800" s="38"/>
      <c r="W800" s="48" t="s">
        <v>195</v>
      </c>
      <c r="X800" s="38" t="s">
        <v>426</v>
      </c>
      <c r="Y800" s="49" t="s">
        <v>427</v>
      </c>
      <c r="Z800" s="50" t="s">
        <v>2569</v>
      </c>
      <c r="AA800" s="38"/>
      <c r="AB800" s="38"/>
      <c r="AC800" s="38"/>
      <c r="AD800" s="51">
        <v>24</v>
      </c>
      <c r="AE800" s="51">
        <v>24</v>
      </c>
      <c r="AF800" s="48" t="s">
        <v>203</v>
      </c>
      <c r="AG800" s="38" t="s">
        <v>204</v>
      </c>
      <c r="AH800" s="52"/>
      <c r="AI800" s="38"/>
      <c r="AJ800" s="38"/>
    </row>
    <row r="801" spans="1:36" ht="16.2">
      <c r="A801" s="53" t="s">
        <v>857</v>
      </c>
      <c r="B801" s="53">
        <v>900303</v>
      </c>
      <c r="C801" s="53" t="s">
        <v>2323</v>
      </c>
      <c r="D801" s="53">
        <v>13207696</v>
      </c>
      <c r="E801" s="54" t="s">
        <v>2324</v>
      </c>
      <c r="F801" s="53" t="s">
        <v>2570</v>
      </c>
      <c r="G801" s="53" t="s">
        <v>195</v>
      </c>
      <c r="H801" s="53"/>
      <c r="I801" s="53"/>
      <c r="J801" s="53">
        <v>13207696</v>
      </c>
      <c r="K801" s="53"/>
      <c r="L801" s="55">
        <v>45293</v>
      </c>
      <c r="M801" s="55">
        <v>45293</v>
      </c>
      <c r="N801" s="53" t="s">
        <v>2526</v>
      </c>
      <c r="O801" s="53">
        <v>0</v>
      </c>
      <c r="P801" s="53">
        <v>20009758</v>
      </c>
      <c r="Q801" s="53" t="s">
        <v>2571</v>
      </c>
      <c r="R801" s="45">
        <v>410</v>
      </c>
      <c r="S801" s="56">
        <v>0.01</v>
      </c>
      <c r="T801" s="47" t="s">
        <v>198</v>
      </c>
      <c r="U801" s="48" t="s">
        <v>199</v>
      </c>
      <c r="V801" s="38"/>
      <c r="W801" s="48" t="s">
        <v>195</v>
      </c>
      <c r="X801" s="38" t="s">
        <v>426</v>
      </c>
      <c r="Y801" s="49" t="s">
        <v>427</v>
      </c>
      <c r="Z801" s="50" t="s">
        <v>2572</v>
      </c>
      <c r="AA801" s="38"/>
      <c r="AB801" s="38"/>
      <c r="AC801" s="38"/>
      <c r="AD801" s="51">
        <v>24</v>
      </c>
      <c r="AE801" s="51">
        <v>24</v>
      </c>
      <c r="AF801" s="48" t="s">
        <v>203</v>
      </c>
      <c r="AG801" s="38" t="s">
        <v>204</v>
      </c>
      <c r="AH801" s="52"/>
      <c r="AI801" s="38"/>
      <c r="AJ801" s="38"/>
    </row>
    <row r="802" spans="1:36" ht="16.2">
      <c r="A802" s="42" t="s">
        <v>857</v>
      </c>
      <c r="B802" s="42">
        <v>900303</v>
      </c>
      <c r="C802" s="42" t="s">
        <v>2323</v>
      </c>
      <c r="D802" s="42">
        <v>13207696</v>
      </c>
      <c r="E802" s="43" t="s">
        <v>2324</v>
      </c>
      <c r="F802" s="42" t="s">
        <v>2573</v>
      </c>
      <c r="G802" s="42" t="s">
        <v>195</v>
      </c>
      <c r="H802" s="42"/>
      <c r="I802" s="42"/>
      <c r="J802" s="42">
        <v>13207696</v>
      </c>
      <c r="K802" s="42"/>
      <c r="L802" s="44">
        <v>45293</v>
      </c>
      <c r="M802" s="44">
        <v>45293</v>
      </c>
      <c r="N802" s="42" t="s">
        <v>2526</v>
      </c>
      <c r="O802" s="42">
        <v>0</v>
      </c>
      <c r="P802" s="42">
        <v>20009758</v>
      </c>
      <c r="Q802" s="42" t="s">
        <v>2574</v>
      </c>
      <c r="R802" s="45">
        <v>410</v>
      </c>
      <c r="S802" s="46">
        <v>0.01</v>
      </c>
      <c r="T802" s="47" t="s">
        <v>198</v>
      </c>
      <c r="U802" s="48" t="s">
        <v>199</v>
      </c>
      <c r="V802" s="38"/>
      <c r="W802" s="48" t="s">
        <v>195</v>
      </c>
      <c r="X802" s="38" t="s">
        <v>426</v>
      </c>
      <c r="Y802" s="49" t="s">
        <v>427</v>
      </c>
      <c r="Z802" s="50" t="s">
        <v>2575</v>
      </c>
      <c r="AA802" s="38"/>
      <c r="AB802" s="38"/>
      <c r="AC802" s="38"/>
      <c r="AD802" s="51">
        <v>24</v>
      </c>
      <c r="AE802" s="51">
        <v>24</v>
      </c>
      <c r="AF802" s="48" t="s">
        <v>203</v>
      </c>
      <c r="AG802" s="38" t="s">
        <v>204</v>
      </c>
      <c r="AH802" s="52"/>
      <c r="AI802" s="38"/>
      <c r="AJ802" s="38"/>
    </row>
    <row r="803" spans="1:36" ht="16.2">
      <c r="A803" s="53" t="s">
        <v>857</v>
      </c>
      <c r="B803" s="53">
        <v>900303</v>
      </c>
      <c r="C803" s="53" t="s">
        <v>2323</v>
      </c>
      <c r="D803" s="53">
        <v>13207696</v>
      </c>
      <c r="E803" s="54" t="s">
        <v>2324</v>
      </c>
      <c r="F803" s="53" t="s">
        <v>2576</v>
      </c>
      <c r="G803" s="53" t="s">
        <v>195</v>
      </c>
      <c r="H803" s="53"/>
      <c r="I803" s="53"/>
      <c r="J803" s="53">
        <v>13207696</v>
      </c>
      <c r="K803" s="53"/>
      <c r="L803" s="55">
        <v>45293</v>
      </c>
      <c r="M803" s="55">
        <v>45293</v>
      </c>
      <c r="N803" s="53" t="s">
        <v>2526</v>
      </c>
      <c r="O803" s="53">
        <v>0</v>
      </c>
      <c r="P803" s="53">
        <v>20009758</v>
      </c>
      <c r="Q803" s="53" t="s">
        <v>2577</v>
      </c>
      <c r="R803" s="45">
        <v>410</v>
      </c>
      <c r="S803" s="56">
        <v>0.01</v>
      </c>
      <c r="T803" s="47" t="s">
        <v>198</v>
      </c>
      <c r="U803" s="48" t="s">
        <v>199</v>
      </c>
      <c r="V803" s="38"/>
      <c r="W803" s="48" t="s">
        <v>195</v>
      </c>
      <c r="X803" s="38" t="s">
        <v>426</v>
      </c>
      <c r="Y803" s="49" t="s">
        <v>427</v>
      </c>
      <c r="Z803" s="50" t="s">
        <v>2578</v>
      </c>
      <c r="AA803" s="38"/>
      <c r="AB803" s="38"/>
      <c r="AC803" s="38"/>
      <c r="AD803" s="51">
        <v>24</v>
      </c>
      <c r="AE803" s="51">
        <v>24</v>
      </c>
      <c r="AF803" s="48" t="s">
        <v>203</v>
      </c>
      <c r="AG803" s="38" t="s">
        <v>204</v>
      </c>
      <c r="AH803" s="52"/>
      <c r="AI803" s="38"/>
      <c r="AJ803" s="38"/>
    </row>
    <row r="804" spans="1:36" ht="16.2">
      <c r="A804" s="42" t="s">
        <v>857</v>
      </c>
      <c r="B804" s="42">
        <v>900303</v>
      </c>
      <c r="C804" s="42" t="s">
        <v>2323</v>
      </c>
      <c r="D804" s="42">
        <v>13207696</v>
      </c>
      <c r="E804" s="43" t="s">
        <v>2324</v>
      </c>
      <c r="F804" s="42" t="s">
        <v>2579</v>
      </c>
      <c r="G804" s="42" t="s">
        <v>195</v>
      </c>
      <c r="H804" s="42"/>
      <c r="I804" s="42"/>
      <c r="J804" s="42">
        <v>13207696</v>
      </c>
      <c r="K804" s="42"/>
      <c r="L804" s="44">
        <v>45293</v>
      </c>
      <c r="M804" s="44">
        <v>45293</v>
      </c>
      <c r="N804" s="42" t="s">
        <v>2526</v>
      </c>
      <c r="O804" s="42">
        <v>0</v>
      </c>
      <c r="P804" s="42">
        <v>20009758</v>
      </c>
      <c r="Q804" s="42" t="s">
        <v>2580</v>
      </c>
      <c r="R804" s="45">
        <v>410</v>
      </c>
      <c r="S804" s="46">
        <v>0.01</v>
      </c>
      <c r="T804" s="47" t="s">
        <v>198</v>
      </c>
      <c r="U804" s="48" t="s">
        <v>199</v>
      </c>
      <c r="V804" s="38"/>
      <c r="W804" s="48" t="s">
        <v>195</v>
      </c>
      <c r="X804" s="38" t="s">
        <v>426</v>
      </c>
      <c r="Y804" s="49" t="s">
        <v>427</v>
      </c>
      <c r="Z804" s="50" t="s">
        <v>2581</v>
      </c>
      <c r="AA804" s="38"/>
      <c r="AB804" s="38"/>
      <c r="AC804" s="38"/>
      <c r="AD804" s="51">
        <v>24</v>
      </c>
      <c r="AE804" s="51">
        <v>24</v>
      </c>
      <c r="AF804" s="48" t="s">
        <v>203</v>
      </c>
      <c r="AG804" s="38" t="s">
        <v>204</v>
      </c>
      <c r="AH804" s="52"/>
      <c r="AI804" s="38"/>
      <c r="AJ804" s="38"/>
    </row>
    <row r="805" spans="1:36" ht="16.2">
      <c r="A805" s="53" t="s">
        <v>857</v>
      </c>
      <c r="B805" s="53">
        <v>900303</v>
      </c>
      <c r="C805" s="53" t="s">
        <v>2323</v>
      </c>
      <c r="D805" s="53">
        <v>13207696</v>
      </c>
      <c r="E805" s="54" t="s">
        <v>2324</v>
      </c>
      <c r="F805" s="53" t="s">
        <v>2582</v>
      </c>
      <c r="G805" s="53" t="s">
        <v>195</v>
      </c>
      <c r="H805" s="53"/>
      <c r="I805" s="53"/>
      <c r="J805" s="53">
        <v>13207696</v>
      </c>
      <c r="K805" s="53"/>
      <c r="L805" s="55">
        <v>45293</v>
      </c>
      <c r="M805" s="55">
        <v>45293</v>
      </c>
      <c r="N805" s="53" t="s">
        <v>2526</v>
      </c>
      <c r="O805" s="53">
        <v>0</v>
      </c>
      <c r="P805" s="53">
        <v>20009758</v>
      </c>
      <c r="Q805" s="53" t="s">
        <v>2583</v>
      </c>
      <c r="R805" s="45">
        <v>410</v>
      </c>
      <c r="S805" s="56">
        <v>0.01</v>
      </c>
      <c r="T805" s="47" t="s">
        <v>198</v>
      </c>
      <c r="U805" s="48" t="s">
        <v>199</v>
      </c>
      <c r="V805" s="38"/>
      <c r="W805" s="48" t="s">
        <v>195</v>
      </c>
      <c r="X805" s="38" t="s">
        <v>426</v>
      </c>
      <c r="Y805" s="49" t="s">
        <v>427</v>
      </c>
      <c r="Z805" s="50" t="s">
        <v>2584</v>
      </c>
      <c r="AA805" s="38"/>
      <c r="AB805" s="38"/>
      <c r="AC805" s="38"/>
      <c r="AD805" s="51">
        <v>24</v>
      </c>
      <c r="AE805" s="51">
        <v>24</v>
      </c>
      <c r="AF805" s="48" t="s">
        <v>203</v>
      </c>
      <c r="AG805" s="38" t="s">
        <v>204</v>
      </c>
      <c r="AH805" s="52"/>
      <c r="AI805" s="38"/>
      <c r="AJ805" s="38"/>
    </row>
    <row r="806" spans="1:36" ht="16.2">
      <c r="A806" s="42" t="s">
        <v>857</v>
      </c>
      <c r="B806" s="42">
        <v>900303</v>
      </c>
      <c r="C806" s="42" t="s">
        <v>2323</v>
      </c>
      <c r="D806" s="42">
        <v>13207696</v>
      </c>
      <c r="E806" s="43" t="s">
        <v>2324</v>
      </c>
      <c r="F806" s="42" t="s">
        <v>2585</v>
      </c>
      <c r="G806" s="42" t="s">
        <v>195</v>
      </c>
      <c r="H806" s="42"/>
      <c r="I806" s="42"/>
      <c r="J806" s="42">
        <v>13207696</v>
      </c>
      <c r="K806" s="42"/>
      <c r="L806" s="44">
        <v>45293</v>
      </c>
      <c r="M806" s="44">
        <v>45293</v>
      </c>
      <c r="N806" s="42" t="s">
        <v>2526</v>
      </c>
      <c r="O806" s="42">
        <v>0</v>
      </c>
      <c r="P806" s="42">
        <v>20009758</v>
      </c>
      <c r="Q806" s="42" t="s">
        <v>2586</v>
      </c>
      <c r="R806" s="45">
        <v>410</v>
      </c>
      <c r="S806" s="46">
        <v>0.01</v>
      </c>
      <c r="T806" s="47" t="s">
        <v>198</v>
      </c>
      <c r="U806" s="48" t="s">
        <v>199</v>
      </c>
      <c r="V806" s="38"/>
      <c r="W806" s="48" t="s">
        <v>195</v>
      </c>
      <c r="X806" s="38" t="s">
        <v>426</v>
      </c>
      <c r="Y806" s="49" t="s">
        <v>427</v>
      </c>
      <c r="Z806" s="50" t="s">
        <v>2587</v>
      </c>
      <c r="AA806" s="38"/>
      <c r="AB806" s="38"/>
      <c r="AC806" s="38"/>
      <c r="AD806" s="51">
        <v>24</v>
      </c>
      <c r="AE806" s="51">
        <v>24</v>
      </c>
      <c r="AF806" s="48" t="s">
        <v>203</v>
      </c>
      <c r="AG806" s="38" t="s">
        <v>204</v>
      </c>
      <c r="AH806" s="52"/>
      <c r="AI806" s="38"/>
      <c r="AJ806" s="38"/>
    </row>
    <row r="807" spans="1:36" ht="16.2">
      <c r="A807" s="53" t="s">
        <v>857</v>
      </c>
      <c r="B807" s="53">
        <v>900303</v>
      </c>
      <c r="C807" s="53" t="s">
        <v>2323</v>
      </c>
      <c r="D807" s="53">
        <v>13207696</v>
      </c>
      <c r="E807" s="54" t="s">
        <v>2324</v>
      </c>
      <c r="F807" s="53" t="s">
        <v>2588</v>
      </c>
      <c r="G807" s="53" t="s">
        <v>195</v>
      </c>
      <c r="H807" s="53"/>
      <c r="I807" s="53"/>
      <c r="J807" s="53">
        <v>13207696</v>
      </c>
      <c r="K807" s="53"/>
      <c r="L807" s="55">
        <v>45293</v>
      </c>
      <c r="M807" s="55">
        <v>45293</v>
      </c>
      <c r="N807" s="53" t="s">
        <v>2526</v>
      </c>
      <c r="O807" s="53">
        <v>0</v>
      </c>
      <c r="P807" s="53">
        <v>20009758</v>
      </c>
      <c r="Q807" s="53" t="s">
        <v>2589</v>
      </c>
      <c r="R807" s="45">
        <v>410</v>
      </c>
      <c r="S807" s="56">
        <v>0.01</v>
      </c>
      <c r="T807" s="47" t="s">
        <v>198</v>
      </c>
      <c r="U807" s="48" t="s">
        <v>199</v>
      </c>
      <c r="V807" s="38"/>
      <c r="W807" s="48" t="s">
        <v>195</v>
      </c>
      <c r="X807" s="38" t="s">
        <v>426</v>
      </c>
      <c r="Y807" s="49" t="s">
        <v>427</v>
      </c>
      <c r="Z807" s="50" t="s">
        <v>2590</v>
      </c>
      <c r="AA807" s="38"/>
      <c r="AB807" s="38"/>
      <c r="AC807" s="38"/>
      <c r="AD807" s="51">
        <v>24</v>
      </c>
      <c r="AE807" s="51">
        <v>24</v>
      </c>
      <c r="AF807" s="48" t="s">
        <v>203</v>
      </c>
      <c r="AG807" s="38" t="s">
        <v>204</v>
      </c>
      <c r="AH807" s="52"/>
      <c r="AI807" s="38"/>
      <c r="AJ807" s="38"/>
    </row>
    <row r="808" spans="1:36" ht="16.2">
      <c r="A808" s="42" t="s">
        <v>857</v>
      </c>
      <c r="B808" s="42">
        <v>900303</v>
      </c>
      <c r="C808" s="42" t="s">
        <v>2323</v>
      </c>
      <c r="D808" s="42">
        <v>13207696</v>
      </c>
      <c r="E808" s="43" t="s">
        <v>2324</v>
      </c>
      <c r="F808" s="42" t="s">
        <v>2591</v>
      </c>
      <c r="G808" s="42" t="s">
        <v>195</v>
      </c>
      <c r="H808" s="42"/>
      <c r="I808" s="42"/>
      <c r="J808" s="42">
        <v>13207696</v>
      </c>
      <c r="K808" s="42"/>
      <c r="L808" s="44">
        <v>45293</v>
      </c>
      <c r="M808" s="44">
        <v>45293</v>
      </c>
      <c r="N808" s="42" t="s">
        <v>2526</v>
      </c>
      <c r="O808" s="42">
        <v>0</v>
      </c>
      <c r="P808" s="42">
        <v>20009758</v>
      </c>
      <c r="Q808" s="42" t="s">
        <v>2592</v>
      </c>
      <c r="R808" s="45">
        <v>410</v>
      </c>
      <c r="S808" s="46">
        <v>0.01</v>
      </c>
      <c r="T808" s="47" t="s">
        <v>198</v>
      </c>
      <c r="U808" s="48" t="s">
        <v>199</v>
      </c>
      <c r="V808" s="38"/>
      <c r="W808" s="48" t="s">
        <v>195</v>
      </c>
      <c r="X808" s="38" t="s">
        <v>426</v>
      </c>
      <c r="Y808" s="49" t="s">
        <v>427</v>
      </c>
      <c r="Z808" s="50" t="s">
        <v>2593</v>
      </c>
      <c r="AA808" s="38"/>
      <c r="AB808" s="38"/>
      <c r="AC808" s="38"/>
      <c r="AD808" s="51">
        <v>24</v>
      </c>
      <c r="AE808" s="51">
        <v>24</v>
      </c>
      <c r="AF808" s="48" t="s">
        <v>203</v>
      </c>
      <c r="AG808" s="38" t="s">
        <v>204</v>
      </c>
      <c r="AH808" s="52"/>
      <c r="AI808" s="38"/>
      <c r="AJ808" s="38"/>
    </row>
    <row r="809" spans="1:36" ht="16.2">
      <c r="A809" s="53" t="s">
        <v>404</v>
      </c>
      <c r="B809" s="53">
        <v>710174</v>
      </c>
      <c r="C809" s="53" t="s">
        <v>2594</v>
      </c>
      <c r="D809" s="53">
        <v>13207708</v>
      </c>
      <c r="E809" s="54" t="s">
        <v>2595</v>
      </c>
      <c r="F809" s="53" t="s">
        <v>2596</v>
      </c>
      <c r="G809" s="53" t="s">
        <v>195</v>
      </c>
      <c r="H809" s="53"/>
      <c r="I809" s="53"/>
      <c r="J809" s="53">
        <v>13207708</v>
      </c>
      <c r="K809" s="53"/>
      <c r="L809" s="55">
        <v>45293</v>
      </c>
      <c r="M809" s="55">
        <v>45293</v>
      </c>
      <c r="N809" s="53" t="s">
        <v>408</v>
      </c>
      <c r="O809" s="53">
        <v>0</v>
      </c>
      <c r="P809" s="53">
        <v>94542837</v>
      </c>
      <c r="Q809" s="53" t="s">
        <v>2597</v>
      </c>
      <c r="R809" s="45">
        <v>410</v>
      </c>
      <c r="S809" s="56">
        <v>0.01</v>
      </c>
      <c r="T809" s="47" t="s">
        <v>198</v>
      </c>
      <c r="U809" s="48" t="s">
        <v>199</v>
      </c>
      <c r="V809" s="38"/>
      <c r="W809" s="48" t="s">
        <v>195</v>
      </c>
      <c r="X809" s="38" t="s">
        <v>200</v>
      </c>
      <c r="Y809" s="49" t="s">
        <v>201</v>
      </c>
      <c r="Z809" s="50" t="s">
        <v>2598</v>
      </c>
      <c r="AA809" s="38"/>
      <c r="AB809" s="38"/>
      <c r="AC809" s="38"/>
      <c r="AD809" s="51">
        <v>65</v>
      </c>
      <c r="AE809" s="51">
        <v>65</v>
      </c>
      <c r="AF809" s="48" t="s">
        <v>203</v>
      </c>
      <c r="AG809" s="38" t="s">
        <v>204</v>
      </c>
      <c r="AH809" s="52"/>
      <c r="AI809" s="38"/>
      <c r="AJ809" s="38"/>
    </row>
    <row r="810" spans="1:36" ht="16.2">
      <c r="A810" s="42" t="s">
        <v>404</v>
      </c>
      <c r="B810" s="42">
        <v>710174</v>
      </c>
      <c r="C810" s="42" t="s">
        <v>2594</v>
      </c>
      <c r="D810" s="42">
        <v>13207708</v>
      </c>
      <c r="E810" s="43" t="s">
        <v>2595</v>
      </c>
      <c r="F810" s="42" t="s">
        <v>2599</v>
      </c>
      <c r="G810" s="42" t="s">
        <v>195</v>
      </c>
      <c r="H810" s="42"/>
      <c r="I810" s="42"/>
      <c r="J810" s="42">
        <v>13207708</v>
      </c>
      <c r="K810" s="42"/>
      <c r="L810" s="44">
        <v>45293</v>
      </c>
      <c r="M810" s="44">
        <v>45293</v>
      </c>
      <c r="N810" s="42" t="s">
        <v>408</v>
      </c>
      <c r="O810" s="42">
        <v>0</v>
      </c>
      <c r="P810" s="42">
        <v>94542837</v>
      </c>
      <c r="Q810" s="42" t="s">
        <v>2600</v>
      </c>
      <c r="R810" s="45">
        <v>410</v>
      </c>
      <c r="S810" s="46">
        <v>0.01</v>
      </c>
      <c r="T810" s="47" t="s">
        <v>198</v>
      </c>
      <c r="U810" s="48" t="s">
        <v>199</v>
      </c>
      <c r="V810" s="38"/>
      <c r="W810" s="48" t="s">
        <v>195</v>
      </c>
      <c r="X810" s="38" t="s">
        <v>200</v>
      </c>
      <c r="Y810" s="49" t="s">
        <v>201</v>
      </c>
      <c r="Z810" s="50" t="s">
        <v>2601</v>
      </c>
      <c r="AA810" s="38"/>
      <c r="AB810" s="38"/>
      <c r="AC810" s="38"/>
      <c r="AD810" s="51">
        <v>65</v>
      </c>
      <c r="AE810" s="51">
        <v>65</v>
      </c>
      <c r="AF810" s="48" t="s">
        <v>203</v>
      </c>
      <c r="AG810" s="38" t="s">
        <v>204</v>
      </c>
      <c r="AH810" s="52"/>
      <c r="AI810" s="38"/>
      <c r="AJ810" s="38"/>
    </row>
    <row r="811" spans="1:36" ht="16.2">
      <c r="A811" s="53" t="s">
        <v>404</v>
      </c>
      <c r="B811" s="53">
        <v>710174</v>
      </c>
      <c r="C811" s="53" t="s">
        <v>2594</v>
      </c>
      <c r="D811" s="53">
        <v>13207708</v>
      </c>
      <c r="E811" s="54" t="s">
        <v>2595</v>
      </c>
      <c r="F811" s="53" t="s">
        <v>655</v>
      </c>
      <c r="G811" s="53" t="s">
        <v>195</v>
      </c>
      <c r="H811" s="53"/>
      <c r="I811" s="53"/>
      <c r="J811" s="53">
        <v>13207708</v>
      </c>
      <c r="K811" s="53"/>
      <c r="L811" s="55">
        <v>45293</v>
      </c>
      <c r="M811" s="55">
        <v>45293</v>
      </c>
      <c r="N811" s="53" t="s">
        <v>408</v>
      </c>
      <c r="O811" s="53">
        <v>0</v>
      </c>
      <c r="P811" s="53">
        <v>94542837</v>
      </c>
      <c r="Q811" s="53" t="s">
        <v>2602</v>
      </c>
      <c r="R811" s="45">
        <v>410</v>
      </c>
      <c r="S811" s="56">
        <v>0.01</v>
      </c>
      <c r="T811" s="47" t="s">
        <v>198</v>
      </c>
      <c r="U811" s="48" t="s">
        <v>199</v>
      </c>
      <c r="V811" s="38"/>
      <c r="W811" s="48" t="s">
        <v>195</v>
      </c>
      <c r="X811" s="38" t="s">
        <v>200</v>
      </c>
      <c r="Y811" s="49" t="s">
        <v>201</v>
      </c>
      <c r="Z811" s="50" t="s">
        <v>2603</v>
      </c>
      <c r="AA811" s="38"/>
      <c r="AB811" s="38"/>
      <c r="AC811" s="38"/>
      <c r="AD811" s="51">
        <v>65</v>
      </c>
      <c r="AE811" s="51">
        <v>65</v>
      </c>
      <c r="AF811" s="48" t="s">
        <v>203</v>
      </c>
      <c r="AG811" s="38" t="s">
        <v>204</v>
      </c>
      <c r="AH811" s="52"/>
      <c r="AI811" s="38"/>
      <c r="AJ811" s="38"/>
    </row>
    <row r="812" spans="1:36" ht="16.2">
      <c r="A812" s="42" t="s">
        <v>404</v>
      </c>
      <c r="B812" s="42">
        <v>710174</v>
      </c>
      <c r="C812" s="42" t="s">
        <v>2594</v>
      </c>
      <c r="D812" s="42">
        <v>13207708</v>
      </c>
      <c r="E812" s="43" t="s">
        <v>2595</v>
      </c>
      <c r="F812" s="42" t="s">
        <v>2604</v>
      </c>
      <c r="G812" s="42" t="s">
        <v>195</v>
      </c>
      <c r="H812" s="42"/>
      <c r="I812" s="42"/>
      <c r="J812" s="42">
        <v>13207708</v>
      </c>
      <c r="K812" s="42"/>
      <c r="L812" s="44">
        <v>45293</v>
      </c>
      <c r="M812" s="44">
        <v>45293</v>
      </c>
      <c r="N812" s="42" t="s">
        <v>408</v>
      </c>
      <c r="O812" s="42">
        <v>0</v>
      </c>
      <c r="P812" s="42">
        <v>94542837</v>
      </c>
      <c r="Q812" s="42" t="s">
        <v>2605</v>
      </c>
      <c r="R812" s="45">
        <v>410</v>
      </c>
      <c r="S812" s="46">
        <v>0.01</v>
      </c>
      <c r="T812" s="47" t="s">
        <v>198</v>
      </c>
      <c r="U812" s="48" t="s">
        <v>199</v>
      </c>
      <c r="V812" s="38"/>
      <c r="W812" s="48" t="s">
        <v>195</v>
      </c>
      <c r="X812" s="38" t="s">
        <v>200</v>
      </c>
      <c r="Y812" s="49" t="s">
        <v>201</v>
      </c>
      <c r="Z812" s="50" t="s">
        <v>2606</v>
      </c>
      <c r="AA812" s="38"/>
      <c r="AB812" s="38"/>
      <c r="AC812" s="38"/>
      <c r="AD812" s="51">
        <v>65</v>
      </c>
      <c r="AE812" s="51">
        <v>65</v>
      </c>
      <c r="AF812" s="48" t="s">
        <v>203</v>
      </c>
      <c r="AG812" s="38" t="s">
        <v>204</v>
      </c>
      <c r="AH812" s="52"/>
      <c r="AI812" s="38"/>
      <c r="AJ812" s="38"/>
    </row>
    <row r="813" spans="1:36" ht="16.2">
      <c r="A813" s="53" t="s">
        <v>404</v>
      </c>
      <c r="B813" s="53">
        <v>710174</v>
      </c>
      <c r="C813" s="53" t="s">
        <v>2594</v>
      </c>
      <c r="D813" s="53">
        <v>13207708</v>
      </c>
      <c r="E813" s="54" t="s">
        <v>2595</v>
      </c>
      <c r="F813" s="53" t="s">
        <v>2607</v>
      </c>
      <c r="G813" s="53" t="s">
        <v>195</v>
      </c>
      <c r="H813" s="53"/>
      <c r="I813" s="53"/>
      <c r="J813" s="53">
        <v>13207708</v>
      </c>
      <c r="K813" s="53"/>
      <c r="L813" s="55">
        <v>45293</v>
      </c>
      <c r="M813" s="55">
        <v>45293</v>
      </c>
      <c r="N813" s="53" t="s">
        <v>408</v>
      </c>
      <c r="O813" s="53">
        <v>0</v>
      </c>
      <c r="P813" s="53">
        <v>94542837</v>
      </c>
      <c r="Q813" s="53" t="s">
        <v>2608</v>
      </c>
      <c r="R813" s="45">
        <v>410</v>
      </c>
      <c r="S813" s="56">
        <v>0.01</v>
      </c>
      <c r="T813" s="47" t="s">
        <v>198</v>
      </c>
      <c r="U813" s="48" t="s">
        <v>199</v>
      </c>
      <c r="V813" s="38"/>
      <c r="W813" s="48" t="s">
        <v>195</v>
      </c>
      <c r="X813" s="38" t="s">
        <v>200</v>
      </c>
      <c r="Y813" s="49" t="s">
        <v>201</v>
      </c>
      <c r="Z813" s="50" t="s">
        <v>2609</v>
      </c>
      <c r="AA813" s="38"/>
      <c r="AB813" s="38"/>
      <c r="AC813" s="38"/>
      <c r="AD813" s="51">
        <v>65</v>
      </c>
      <c r="AE813" s="51">
        <v>65</v>
      </c>
      <c r="AF813" s="48" t="s">
        <v>203</v>
      </c>
      <c r="AG813" s="38" t="s">
        <v>204</v>
      </c>
      <c r="AH813" s="52"/>
      <c r="AI813" s="38"/>
      <c r="AJ813" s="38"/>
    </row>
    <row r="814" spans="1:36" ht="16.2">
      <c r="A814" s="42" t="s">
        <v>404</v>
      </c>
      <c r="B814" s="42">
        <v>710174</v>
      </c>
      <c r="C814" s="42" t="s">
        <v>2594</v>
      </c>
      <c r="D814" s="42">
        <v>13207708</v>
      </c>
      <c r="E814" s="43" t="s">
        <v>2595</v>
      </c>
      <c r="F814" s="42" t="s">
        <v>2610</v>
      </c>
      <c r="G814" s="42" t="s">
        <v>195</v>
      </c>
      <c r="H814" s="42"/>
      <c r="I814" s="42"/>
      <c r="J814" s="42">
        <v>13207708</v>
      </c>
      <c r="K814" s="42"/>
      <c r="L814" s="44">
        <v>45293</v>
      </c>
      <c r="M814" s="44">
        <v>45293</v>
      </c>
      <c r="N814" s="42" t="s">
        <v>408</v>
      </c>
      <c r="O814" s="42">
        <v>0</v>
      </c>
      <c r="P814" s="42">
        <v>94542837</v>
      </c>
      <c r="Q814" s="42" t="s">
        <v>2611</v>
      </c>
      <c r="R814" s="45">
        <v>410</v>
      </c>
      <c r="S814" s="46">
        <v>0.01</v>
      </c>
      <c r="T814" s="47" t="s">
        <v>198</v>
      </c>
      <c r="U814" s="48" t="s">
        <v>199</v>
      </c>
      <c r="V814" s="38"/>
      <c r="W814" s="48" t="s">
        <v>195</v>
      </c>
      <c r="X814" s="38" t="s">
        <v>200</v>
      </c>
      <c r="Y814" s="49" t="s">
        <v>201</v>
      </c>
      <c r="Z814" s="50" t="s">
        <v>2612</v>
      </c>
      <c r="AA814" s="38"/>
      <c r="AB814" s="38"/>
      <c r="AC814" s="38"/>
      <c r="AD814" s="51">
        <v>65</v>
      </c>
      <c r="AE814" s="51">
        <v>65</v>
      </c>
      <c r="AF814" s="48" t="s">
        <v>203</v>
      </c>
      <c r="AG814" s="38" t="s">
        <v>204</v>
      </c>
      <c r="AH814" s="52"/>
      <c r="AI814" s="38"/>
      <c r="AJ814" s="38"/>
    </row>
    <row r="815" spans="1:36" ht="16.2">
      <c r="A815" s="53" t="s">
        <v>404</v>
      </c>
      <c r="B815" s="53">
        <v>710174</v>
      </c>
      <c r="C815" s="53" t="s">
        <v>2594</v>
      </c>
      <c r="D815" s="53">
        <v>13207708</v>
      </c>
      <c r="E815" s="54" t="s">
        <v>2595</v>
      </c>
      <c r="F815" s="53" t="s">
        <v>2613</v>
      </c>
      <c r="G815" s="53" t="s">
        <v>195</v>
      </c>
      <c r="H815" s="53"/>
      <c r="I815" s="53"/>
      <c r="J815" s="53">
        <v>13207708</v>
      </c>
      <c r="K815" s="53"/>
      <c r="L815" s="55">
        <v>45293</v>
      </c>
      <c r="M815" s="55">
        <v>45293</v>
      </c>
      <c r="N815" s="53" t="s">
        <v>408</v>
      </c>
      <c r="O815" s="53">
        <v>0</v>
      </c>
      <c r="P815" s="53">
        <v>94542837</v>
      </c>
      <c r="Q815" s="53" t="s">
        <v>2614</v>
      </c>
      <c r="R815" s="45">
        <v>410</v>
      </c>
      <c r="S815" s="53">
        <v>0</v>
      </c>
      <c r="T815" s="47" t="s">
        <v>198</v>
      </c>
      <c r="U815" s="48" t="s">
        <v>199</v>
      </c>
      <c r="V815" s="38"/>
      <c r="W815" s="48" t="s">
        <v>195</v>
      </c>
      <c r="X815" s="38" t="s">
        <v>200</v>
      </c>
      <c r="Y815" s="49" t="s">
        <v>201</v>
      </c>
      <c r="Z815" s="50" t="s">
        <v>2615</v>
      </c>
      <c r="AA815" s="38"/>
      <c r="AB815" s="38"/>
      <c r="AC815" s="38"/>
      <c r="AD815" s="51">
        <v>65</v>
      </c>
      <c r="AE815" s="51">
        <v>65</v>
      </c>
      <c r="AF815" s="48" t="s">
        <v>203</v>
      </c>
      <c r="AG815" s="38" t="s">
        <v>204</v>
      </c>
      <c r="AH815" s="52"/>
      <c r="AI815" s="38"/>
      <c r="AJ815" s="38"/>
    </row>
    <row r="816" spans="1:36" ht="16.2">
      <c r="A816" s="42" t="s">
        <v>404</v>
      </c>
      <c r="B816" s="42">
        <v>710174</v>
      </c>
      <c r="C816" s="42" t="s">
        <v>2594</v>
      </c>
      <c r="D816" s="42">
        <v>13207708</v>
      </c>
      <c r="E816" s="43" t="s">
        <v>2595</v>
      </c>
      <c r="F816" s="42" t="s">
        <v>2616</v>
      </c>
      <c r="G816" s="42" t="s">
        <v>195</v>
      </c>
      <c r="H816" s="42"/>
      <c r="I816" s="42"/>
      <c r="J816" s="42">
        <v>13207708</v>
      </c>
      <c r="K816" s="42"/>
      <c r="L816" s="44">
        <v>45293</v>
      </c>
      <c r="M816" s="44">
        <v>45293</v>
      </c>
      <c r="N816" s="42" t="s">
        <v>408</v>
      </c>
      <c r="O816" s="42">
        <v>0</v>
      </c>
      <c r="P816" s="42">
        <v>94542837</v>
      </c>
      <c r="Q816" s="42" t="s">
        <v>2617</v>
      </c>
      <c r="R816" s="45">
        <v>410</v>
      </c>
      <c r="S816" s="46">
        <v>0.01</v>
      </c>
      <c r="T816" s="47" t="s">
        <v>198</v>
      </c>
      <c r="U816" s="48" t="s">
        <v>199</v>
      </c>
      <c r="V816" s="38"/>
      <c r="W816" s="48" t="s">
        <v>195</v>
      </c>
      <c r="X816" s="38" t="s">
        <v>200</v>
      </c>
      <c r="Y816" s="49" t="s">
        <v>201</v>
      </c>
      <c r="Z816" s="50" t="s">
        <v>2618</v>
      </c>
      <c r="AA816" s="38"/>
      <c r="AB816" s="38"/>
      <c r="AC816" s="38"/>
      <c r="AD816" s="51">
        <v>65</v>
      </c>
      <c r="AE816" s="51">
        <v>65</v>
      </c>
      <c r="AF816" s="48" t="s">
        <v>203</v>
      </c>
      <c r="AG816" s="38" t="s">
        <v>204</v>
      </c>
      <c r="AH816" s="52"/>
      <c r="AI816" s="38"/>
      <c r="AJ816" s="38"/>
    </row>
    <row r="817" spans="1:36" ht="16.2">
      <c r="A817" s="53" t="s">
        <v>404</v>
      </c>
      <c r="B817" s="53">
        <v>710174</v>
      </c>
      <c r="C817" s="53" t="s">
        <v>2594</v>
      </c>
      <c r="D817" s="53">
        <v>13207708</v>
      </c>
      <c r="E817" s="54" t="s">
        <v>2595</v>
      </c>
      <c r="F817" s="53" t="s">
        <v>2619</v>
      </c>
      <c r="G817" s="53" t="s">
        <v>195</v>
      </c>
      <c r="H817" s="53"/>
      <c r="I817" s="53"/>
      <c r="J817" s="53">
        <v>13207708</v>
      </c>
      <c r="K817" s="53"/>
      <c r="L817" s="55">
        <v>45293</v>
      </c>
      <c r="M817" s="55">
        <v>45293</v>
      </c>
      <c r="N817" s="53" t="s">
        <v>408</v>
      </c>
      <c r="O817" s="53">
        <v>0</v>
      </c>
      <c r="P817" s="53">
        <v>94542837</v>
      </c>
      <c r="Q817" s="53" t="s">
        <v>2620</v>
      </c>
      <c r="R817" s="45">
        <v>410</v>
      </c>
      <c r="S817" s="56">
        <v>0.01</v>
      </c>
      <c r="T817" s="47" t="s">
        <v>198</v>
      </c>
      <c r="U817" s="48" t="s">
        <v>199</v>
      </c>
      <c r="V817" s="38"/>
      <c r="W817" s="48" t="s">
        <v>195</v>
      </c>
      <c r="X817" s="38" t="s">
        <v>200</v>
      </c>
      <c r="Y817" s="49" t="s">
        <v>201</v>
      </c>
      <c r="Z817" s="50" t="s">
        <v>2621</v>
      </c>
      <c r="AA817" s="38"/>
      <c r="AB817" s="38"/>
      <c r="AC817" s="38"/>
      <c r="AD817" s="51">
        <v>65</v>
      </c>
      <c r="AE817" s="51">
        <v>65</v>
      </c>
      <c r="AF817" s="48" t="s">
        <v>203</v>
      </c>
      <c r="AG817" s="38" t="s">
        <v>204</v>
      </c>
      <c r="AH817" s="52"/>
      <c r="AI817" s="38"/>
      <c r="AJ817" s="38"/>
    </row>
    <row r="818" spans="1:36" ht="16.2">
      <c r="A818" s="42" t="s">
        <v>404</v>
      </c>
      <c r="B818" s="42">
        <v>710174</v>
      </c>
      <c r="C818" s="42" t="s">
        <v>2594</v>
      </c>
      <c r="D818" s="42">
        <v>13207708</v>
      </c>
      <c r="E818" s="43" t="s">
        <v>2595</v>
      </c>
      <c r="F818" s="42" t="s">
        <v>2622</v>
      </c>
      <c r="G818" s="42" t="s">
        <v>195</v>
      </c>
      <c r="H818" s="42"/>
      <c r="I818" s="42"/>
      <c r="J818" s="42">
        <v>13207708</v>
      </c>
      <c r="K818" s="42"/>
      <c r="L818" s="44">
        <v>45293</v>
      </c>
      <c r="M818" s="44">
        <v>45293</v>
      </c>
      <c r="N818" s="42" t="s">
        <v>408</v>
      </c>
      <c r="O818" s="42">
        <v>0</v>
      </c>
      <c r="P818" s="42">
        <v>94542837</v>
      </c>
      <c r="Q818" s="42" t="s">
        <v>2623</v>
      </c>
      <c r="R818" s="45">
        <v>410</v>
      </c>
      <c r="S818" s="46">
        <v>0.01</v>
      </c>
      <c r="T818" s="47" t="s">
        <v>198</v>
      </c>
      <c r="U818" s="48" t="s">
        <v>199</v>
      </c>
      <c r="V818" s="38"/>
      <c r="W818" s="48" t="s">
        <v>195</v>
      </c>
      <c r="X818" s="38" t="s">
        <v>200</v>
      </c>
      <c r="Y818" s="49" t="s">
        <v>201</v>
      </c>
      <c r="Z818" s="50" t="s">
        <v>2624</v>
      </c>
      <c r="AA818" s="38"/>
      <c r="AB818" s="38"/>
      <c r="AC818" s="38"/>
      <c r="AD818" s="51">
        <v>65</v>
      </c>
      <c r="AE818" s="51">
        <v>65</v>
      </c>
      <c r="AF818" s="48" t="s">
        <v>203</v>
      </c>
      <c r="AG818" s="38" t="s">
        <v>204</v>
      </c>
      <c r="AH818" s="52"/>
      <c r="AI818" s="38"/>
      <c r="AJ818" s="38"/>
    </row>
    <row r="819" spans="1:36" ht="16.2">
      <c r="A819" s="53" t="s">
        <v>404</v>
      </c>
      <c r="B819" s="53">
        <v>710174</v>
      </c>
      <c r="C819" s="53" t="s">
        <v>2594</v>
      </c>
      <c r="D819" s="53">
        <v>13207708</v>
      </c>
      <c r="E819" s="54" t="s">
        <v>2595</v>
      </c>
      <c r="F819" s="53" t="s">
        <v>2625</v>
      </c>
      <c r="G819" s="53" t="s">
        <v>195</v>
      </c>
      <c r="H819" s="53"/>
      <c r="I819" s="53"/>
      <c r="J819" s="53">
        <v>13207708</v>
      </c>
      <c r="K819" s="53"/>
      <c r="L819" s="55">
        <v>45293</v>
      </c>
      <c r="M819" s="55">
        <v>45293</v>
      </c>
      <c r="N819" s="53" t="s">
        <v>408</v>
      </c>
      <c r="O819" s="53">
        <v>0</v>
      </c>
      <c r="P819" s="53">
        <v>94542837</v>
      </c>
      <c r="Q819" s="53" t="s">
        <v>2626</v>
      </c>
      <c r="R819" s="45">
        <v>410</v>
      </c>
      <c r="S819" s="56">
        <v>0.01</v>
      </c>
      <c r="T819" s="47" t="s">
        <v>198</v>
      </c>
      <c r="U819" s="48" t="s">
        <v>199</v>
      </c>
      <c r="V819" s="38"/>
      <c r="W819" s="48" t="s">
        <v>195</v>
      </c>
      <c r="X819" s="38" t="s">
        <v>200</v>
      </c>
      <c r="Y819" s="49" t="s">
        <v>201</v>
      </c>
      <c r="Z819" s="50" t="s">
        <v>2627</v>
      </c>
      <c r="AA819" s="38"/>
      <c r="AB819" s="38"/>
      <c r="AC819" s="38"/>
      <c r="AD819" s="51">
        <v>65</v>
      </c>
      <c r="AE819" s="51">
        <v>65</v>
      </c>
      <c r="AF819" s="48" t="s">
        <v>203</v>
      </c>
      <c r="AG819" s="38" t="s">
        <v>204</v>
      </c>
      <c r="AH819" s="52"/>
      <c r="AI819" s="38"/>
      <c r="AJ819" s="38"/>
    </row>
    <row r="820" spans="1:36" ht="16.2">
      <c r="A820" s="42" t="s">
        <v>1908</v>
      </c>
      <c r="B820" s="42">
        <v>719511</v>
      </c>
      <c r="C820" s="42" t="s">
        <v>2628</v>
      </c>
      <c r="D820" s="42">
        <v>13207661</v>
      </c>
      <c r="E820" s="43" t="s">
        <v>2629</v>
      </c>
      <c r="F820" s="42" t="s">
        <v>2630</v>
      </c>
      <c r="G820" s="42" t="s">
        <v>195</v>
      </c>
      <c r="H820" s="42"/>
      <c r="I820" s="42"/>
      <c r="J820" s="42">
        <v>13207661</v>
      </c>
      <c r="K820" s="42"/>
      <c r="L820" s="44">
        <v>45293</v>
      </c>
      <c r="M820" s="44">
        <v>45293</v>
      </c>
      <c r="N820" s="42" t="s">
        <v>1894</v>
      </c>
      <c r="O820" s="42">
        <v>0</v>
      </c>
      <c r="P820" s="42">
        <v>20078418</v>
      </c>
      <c r="Q820" s="42" t="s">
        <v>2631</v>
      </c>
      <c r="R820" s="45">
        <v>410</v>
      </c>
      <c r="S820" s="46">
        <v>0.01</v>
      </c>
      <c r="T820" s="47" t="s">
        <v>198</v>
      </c>
      <c r="U820" s="48" t="s">
        <v>199</v>
      </c>
      <c r="V820" s="38"/>
      <c r="W820" s="48" t="s">
        <v>195</v>
      </c>
      <c r="X820" s="38" t="s">
        <v>426</v>
      </c>
      <c r="Y820" s="49" t="s">
        <v>427</v>
      </c>
      <c r="Z820" s="50" t="s">
        <v>2632</v>
      </c>
      <c r="AA820" s="38"/>
      <c r="AB820" s="38"/>
      <c r="AC820" s="38"/>
      <c r="AD820" s="51">
        <v>67</v>
      </c>
      <c r="AE820" s="51">
        <v>67</v>
      </c>
      <c r="AF820" s="48" t="s">
        <v>203</v>
      </c>
      <c r="AG820" s="38" t="s">
        <v>204</v>
      </c>
      <c r="AH820" s="52"/>
      <c r="AI820" s="38"/>
      <c r="AJ820" s="38"/>
    </row>
    <row r="821" spans="1:36" ht="16.2">
      <c r="A821" s="53" t="s">
        <v>1908</v>
      </c>
      <c r="B821" s="53">
        <v>719511</v>
      </c>
      <c r="C821" s="53" t="s">
        <v>2628</v>
      </c>
      <c r="D821" s="53">
        <v>13207661</v>
      </c>
      <c r="E821" s="54" t="s">
        <v>2629</v>
      </c>
      <c r="F821" s="53" t="s">
        <v>2633</v>
      </c>
      <c r="G821" s="53" t="s">
        <v>195</v>
      </c>
      <c r="H821" s="53"/>
      <c r="I821" s="53"/>
      <c r="J821" s="53">
        <v>13207661</v>
      </c>
      <c r="K821" s="53"/>
      <c r="L821" s="55">
        <v>45293</v>
      </c>
      <c r="M821" s="55">
        <v>45293</v>
      </c>
      <c r="N821" s="53" t="s">
        <v>1894</v>
      </c>
      <c r="O821" s="53">
        <v>0</v>
      </c>
      <c r="P821" s="53">
        <v>20078418</v>
      </c>
      <c r="Q821" s="53" t="s">
        <v>2634</v>
      </c>
      <c r="R821" s="45">
        <v>410</v>
      </c>
      <c r="S821" s="56">
        <v>0.01</v>
      </c>
      <c r="T821" s="47" t="s">
        <v>198</v>
      </c>
      <c r="U821" s="48" t="s">
        <v>199</v>
      </c>
      <c r="V821" s="38"/>
      <c r="W821" s="48" t="s">
        <v>195</v>
      </c>
      <c r="X821" s="38" t="s">
        <v>426</v>
      </c>
      <c r="Y821" s="49" t="s">
        <v>427</v>
      </c>
      <c r="Z821" s="50" t="s">
        <v>2635</v>
      </c>
      <c r="AA821" s="38"/>
      <c r="AB821" s="38"/>
      <c r="AC821" s="38"/>
      <c r="AD821" s="51">
        <v>67</v>
      </c>
      <c r="AE821" s="51">
        <v>67</v>
      </c>
      <c r="AF821" s="48" t="s">
        <v>203</v>
      </c>
      <c r="AG821" s="38" t="s">
        <v>204</v>
      </c>
      <c r="AH821" s="52"/>
      <c r="AI821" s="38"/>
      <c r="AJ821" s="38"/>
    </row>
    <row r="822" spans="1:36" ht="16.2">
      <c r="A822" s="42" t="s">
        <v>1908</v>
      </c>
      <c r="B822" s="42">
        <v>719511</v>
      </c>
      <c r="C822" s="42" t="s">
        <v>2628</v>
      </c>
      <c r="D822" s="42">
        <v>13207661</v>
      </c>
      <c r="E822" s="43" t="s">
        <v>2629</v>
      </c>
      <c r="F822" s="42" t="s">
        <v>2636</v>
      </c>
      <c r="G822" s="42" t="s">
        <v>195</v>
      </c>
      <c r="H822" s="42"/>
      <c r="I822" s="42"/>
      <c r="J822" s="42">
        <v>13207661</v>
      </c>
      <c r="K822" s="42"/>
      <c r="L822" s="44">
        <v>45293</v>
      </c>
      <c r="M822" s="44">
        <v>45293</v>
      </c>
      <c r="N822" s="42" t="s">
        <v>1894</v>
      </c>
      <c r="O822" s="42">
        <v>0</v>
      </c>
      <c r="P822" s="42">
        <v>20078418</v>
      </c>
      <c r="Q822" s="42" t="s">
        <v>2637</v>
      </c>
      <c r="R822" s="45">
        <v>410</v>
      </c>
      <c r="S822" s="46">
        <v>0.01</v>
      </c>
      <c r="T822" s="47" t="s">
        <v>198</v>
      </c>
      <c r="U822" s="48" t="s">
        <v>199</v>
      </c>
      <c r="V822" s="38"/>
      <c r="W822" s="48" t="s">
        <v>195</v>
      </c>
      <c r="X822" s="38" t="s">
        <v>426</v>
      </c>
      <c r="Y822" s="49" t="s">
        <v>427</v>
      </c>
      <c r="Z822" s="50" t="s">
        <v>2638</v>
      </c>
      <c r="AA822" s="38"/>
      <c r="AB822" s="38"/>
      <c r="AC822" s="38"/>
      <c r="AD822" s="51">
        <v>67</v>
      </c>
      <c r="AE822" s="51">
        <v>67</v>
      </c>
      <c r="AF822" s="48" t="s">
        <v>203</v>
      </c>
      <c r="AG822" s="38" t="s">
        <v>204</v>
      </c>
      <c r="AH822" s="52"/>
      <c r="AI822" s="38"/>
      <c r="AJ822" s="38"/>
    </row>
    <row r="823" spans="1:36" ht="16.2">
      <c r="A823" s="53" t="s">
        <v>1908</v>
      </c>
      <c r="B823" s="53">
        <v>719511</v>
      </c>
      <c r="C823" s="53" t="s">
        <v>2628</v>
      </c>
      <c r="D823" s="53">
        <v>13207661</v>
      </c>
      <c r="E823" s="54" t="s">
        <v>2629</v>
      </c>
      <c r="F823" s="53" t="s">
        <v>2639</v>
      </c>
      <c r="G823" s="53" t="s">
        <v>195</v>
      </c>
      <c r="H823" s="53"/>
      <c r="I823" s="53"/>
      <c r="J823" s="53">
        <v>13207661</v>
      </c>
      <c r="K823" s="53"/>
      <c r="L823" s="55">
        <v>45293</v>
      </c>
      <c r="M823" s="55">
        <v>45293</v>
      </c>
      <c r="N823" s="53" t="s">
        <v>1894</v>
      </c>
      <c r="O823" s="53">
        <v>0</v>
      </c>
      <c r="P823" s="53">
        <v>20078418</v>
      </c>
      <c r="Q823" s="53" t="s">
        <v>2640</v>
      </c>
      <c r="R823" s="45">
        <v>410</v>
      </c>
      <c r="S823" s="56">
        <v>0.01</v>
      </c>
      <c r="T823" s="47" t="s">
        <v>198</v>
      </c>
      <c r="U823" s="48" t="s">
        <v>199</v>
      </c>
      <c r="V823" s="38"/>
      <c r="W823" s="48" t="s">
        <v>195</v>
      </c>
      <c r="X823" s="38" t="s">
        <v>426</v>
      </c>
      <c r="Y823" s="49" t="s">
        <v>427</v>
      </c>
      <c r="Z823" s="50" t="s">
        <v>2641</v>
      </c>
      <c r="AA823" s="38"/>
      <c r="AB823" s="38"/>
      <c r="AC823" s="38"/>
      <c r="AD823" s="51">
        <v>67</v>
      </c>
      <c r="AE823" s="51">
        <v>67</v>
      </c>
      <c r="AF823" s="48" t="s">
        <v>203</v>
      </c>
      <c r="AG823" s="38" t="s">
        <v>204</v>
      </c>
      <c r="AH823" s="52"/>
      <c r="AI823" s="38"/>
      <c r="AJ823" s="38"/>
    </row>
    <row r="824" spans="1:36" ht="16.2">
      <c r="A824" s="42" t="s">
        <v>1908</v>
      </c>
      <c r="B824" s="42">
        <v>719511</v>
      </c>
      <c r="C824" s="42" t="s">
        <v>2628</v>
      </c>
      <c r="D824" s="42">
        <v>13207661</v>
      </c>
      <c r="E824" s="43" t="s">
        <v>2629</v>
      </c>
      <c r="F824" s="42" t="s">
        <v>1754</v>
      </c>
      <c r="G824" s="42" t="s">
        <v>195</v>
      </c>
      <c r="H824" s="42"/>
      <c r="I824" s="42"/>
      <c r="J824" s="42">
        <v>13207661</v>
      </c>
      <c r="K824" s="42"/>
      <c r="L824" s="44">
        <v>45293</v>
      </c>
      <c r="M824" s="44">
        <v>45293</v>
      </c>
      <c r="N824" s="42" t="s">
        <v>1894</v>
      </c>
      <c r="O824" s="42">
        <v>0</v>
      </c>
      <c r="P824" s="42">
        <v>20078418</v>
      </c>
      <c r="Q824" s="42" t="s">
        <v>2642</v>
      </c>
      <c r="R824" s="45">
        <v>410</v>
      </c>
      <c r="S824" s="46">
        <v>0.01</v>
      </c>
      <c r="T824" s="47" t="s">
        <v>198</v>
      </c>
      <c r="U824" s="48" t="s">
        <v>199</v>
      </c>
      <c r="V824" s="38"/>
      <c r="W824" s="48" t="s">
        <v>195</v>
      </c>
      <c r="X824" s="38" t="s">
        <v>426</v>
      </c>
      <c r="Y824" s="49" t="s">
        <v>427</v>
      </c>
      <c r="Z824" s="50" t="s">
        <v>2643</v>
      </c>
      <c r="AA824" s="38"/>
      <c r="AB824" s="38"/>
      <c r="AC824" s="38"/>
      <c r="AD824" s="51">
        <v>67</v>
      </c>
      <c r="AE824" s="51">
        <v>67</v>
      </c>
      <c r="AF824" s="48" t="s">
        <v>203</v>
      </c>
      <c r="AG824" s="38" t="s">
        <v>204</v>
      </c>
      <c r="AH824" s="52"/>
      <c r="AI824" s="38"/>
      <c r="AJ824" s="38"/>
    </row>
    <row r="825" spans="1:36" ht="16.2">
      <c r="A825" s="53" t="s">
        <v>1908</v>
      </c>
      <c r="B825" s="53">
        <v>719511</v>
      </c>
      <c r="C825" s="53" t="s">
        <v>2628</v>
      </c>
      <c r="D825" s="53">
        <v>13207661</v>
      </c>
      <c r="E825" s="54" t="s">
        <v>2629</v>
      </c>
      <c r="F825" s="53" t="s">
        <v>2644</v>
      </c>
      <c r="G825" s="53" t="s">
        <v>195</v>
      </c>
      <c r="H825" s="53"/>
      <c r="I825" s="53"/>
      <c r="J825" s="53">
        <v>13207661</v>
      </c>
      <c r="K825" s="53"/>
      <c r="L825" s="55">
        <v>45293</v>
      </c>
      <c r="M825" s="55">
        <v>45293</v>
      </c>
      <c r="N825" s="53" t="s">
        <v>1894</v>
      </c>
      <c r="O825" s="53">
        <v>0</v>
      </c>
      <c r="P825" s="53">
        <v>20078418</v>
      </c>
      <c r="Q825" s="53" t="s">
        <v>2645</v>
      </c>
      <c r="R825" s="45">
        <v>410</v>
      </c>
      <c r="S825" s="56">
        <v>0.01</v>
      </c>
      <c r="T825" s="47" t="s">
        <v>198</v>
      </c>
      <c r="U825" s="48" t="s">
        <v>199</v>
      </c>
      <c r="V825" s="38"/>
      <c r="W825" s="48" t="s">
        <v>195</v>
      </c>
      <c r="X825" s="38" t="s">
        <v>426</v>
      </c>
      <c r="Y825" s="49" t="s">
        <v>427</v>
      </c>
      <c r="Z825" s="50" t="s">
        <v>2646</v>
      </c>
      <c r="AA825" s="38"/>
      <c r="AB825" s="38"/>
      <c r="AC825" s="38"/>
      <c r="AD825" s="51">
        <v>67</v>
      </c>
      <c r="AE825" s="51">
        <v>67</v>
      </c>
      <c r="AF825" s="48" t="s">
        <v>203</v>
      </c>
      <c r="AG825" s="38" t="s">
        <v>204</v>
      </c>
      <c r="AH825" s="52"/>
      <c r="AI825" s="38"/>
      <c r="AJ825" s="38"/>
    </row>
    <row r="826" spans="1:36" ht="16.2">
      <c r="A826" s="42" t="s">
        <v>1908</v>
      </c>
      <c r="B826" s="42">
        <v>719511</v>
      </c>
      <c r="C826" s="42" t="s">
        <v>2628</v>
      </c>
      <c r="D826" s="42">
        <v>13207661</v>
      </c>
      <c r="E826" s="43" t="s">
        <v>2629</v>
      </c>
      <c r="F826" s="42" t="s">
        <v>2647</v>
      </c>
      <c r="G826" s="42" t="s">
        <v>195</v>
      </c>
      <c r="H826" s="42"/>
      <c r="I826" s="42"/>
      <c r="J826" s="42">
        <v>13207661</v>
      </c>
      <c r="K826" s="42"/>
      <c r="L826" s="44">
        <v>45293</v>
      </c>
      <c r="M826" s="44">
        <v>45293</v>
      </c>
      <c r="N826" s="42" t="s">
        <v>1894</v>
      </c>
      <c r="O826" s="42">
        <v>0</v>
      </c>
      <c r="P826" s="42">
        <v>20078418</v>
      </c>
      <c r="Q826" s="42" t="s">
        <v>2648</v>
      </c>
      <c r="R826" s="45">
        <v>410</v>
      </c>
      <c r="S826" s="46">
        <v>0.01</v>
      </c>
      <c r="T826" s="47" t="s">
        <v>198</v>
      </c>
      <c r="U826" s="48" t="s">
        <v>199</v>
      </c>
      <c r="V826" s="38"/>
      <c r="W826" s="48" t="s">
        <v>195</v>
      </c>
      <c r="X826" s="38" t="s">
        <v>426</v>
      </c>
      <c r="Y826" s="49" t="s">
        <v>427</v>
      </c>
      <c r="Z826" s="50" t="s">
        <v>2649</v>
      </c>
      <c r="AA826" s="38"/>
      <c r="AB826" s="38"/>
      <c r="AC826" s="38"/>
      <c r="AD826" s="51">
        <v>67</v>
      </c>
      <c r="AE826" s="51">
        <v>67</v>
      </c>
      <c r="AF826" s="48" t="s">
        <v>203</v>
      </c>
      <c r="AG826" s="38" t="s">
        <v>204</v>
      </c>
      <c r="AH826" s="52"/>
      <c r="AI826" s="38"/>
      <c r="AJ826" s="38"/>
    </row>
    <row r="827" spans="1:36" ht="16.2">
      <c r="A827" s="53" t="s">
        <v>1908</v>
      </c>
      <c r="B827" s="53">
        <v>719511</v>
      </c>
      <c r="C827" s="53" t="s">
        <v>2628</v>
      </c>
      <c r="D827" s="53">
        <v>13207661</v>
      </c>
      <c r="E827" s="54" t="s">
        <v>2629</v>
      </c>
      <c r="F827" s="53" t="s">
        <v>2179</v>
      </c>
      <c r="G827" s="53" t="s">
        <v>195</v>
      </c>
      <c r="H827" s="53"/>
      <c r="I827" s="53"/>
      <c r="J827" s="53">
        <v>13207661</v>
      </c>
      <c r="K827" s="53"/>
      <c r="L827" s="55">
        <v>45293</v>
      </c>
      <c r="M827" s="55">
        <v>45293</v>
      </c>
      <c r="N827" s="53" t="s">
        <v>1894</v>
      </c>
      <c r="O827" s="53">
        <v>0</v>
      </c>
      <c r="P827" s="53">
        <v>20078418</v>
      </c>
      <c r="Q827" s="53" t="s">
        <v>2650</v>
      </c>
      <c r="R827" s="45">
        <v>410</v>
      </c>
      <c r="S827" s="56">
        <v>0.01</v>
      </c>
      <c r="T827" s="47" t="s">
        <v>198</v>
      </c>
      <c r="U827" s="48" t="s">
        <v>199</v>
      </c>
      <c r="V827" s="38"/>
      <c r="W827" s="48" t="s">
        <v>195</v>
      </c>
      <c r="X827" s="38" t="s">
        <v>426</v>
      </c>
      <c r="Y827" s="49" t="s">
        <v>427</v>
      </c>
      <c r="Z827" s="50" t="s">
        <v>2651</v>
      </c>
      <c r="AA827" s="38"/>
      <c r="AB827" s="38"/>
      <c r="AC827" s="38"/>
      <c r="AD827" s="51">
        <v>67</v>
      </c>
      <c r="AE827" s="51">
        <v>67</v>
      </c>
      <c r="AF827" s="48" t="s">
        <v>203</v>
      </c>
      <c r="AG827" s="38" t="s">
        <v>204</v>
      </c>
      <c r="AH827" s="52"/>
      <c r="AI827" s="38"/>
      <c r="AJ827" s="38"/>
    </row>
    <row r="828" spans="1:36" ht="16.2">
      <c r="A828" s="42" t="s">
        <v>1908</v>
      </c>
      <c r="B828" s="42">
        <v>719511</v>
      </c>
      <c r="C828" s="42" t="s">
        <v>2628</v>
      </c>
      <c r="D828" s="42">
        <v>13207661</v>
      </c>
      <c r="E828" s="43" t="s">
        <v>2629</v>
      </c>
      <c r="F828" s="42" t="s">
        <v>2196</v>
      </c>
      <c r="G828" s="42" t="s">
        <v>195</v>
      </c>
      <c r="H828" s="42"/>
      <c r="I828" s="42"/>
      <c r="J828" s="42">
        <v>13207661</v>
      </c>
      <c r="K828" s="42"/>
      <c r="L828" s="44">
        <v>45293</v>
      </c>
      <c r="M828" s="44">
        <v>45293</v>
      </c>
      <c r="N828" s="42" t="s">
        <v>1894</v>
      </c>
      <c r="O828" s="42">
        <v>0</v>
      </c>
      <c r="P828" s="42">
        <v>20078418</v>
      </c>
      <c r="Q828" s="42" t="s">
        <v>2652</v>
      </c>
      <c r="R828" s="45">
        <v>410</v>
      </c>
      <c r="S828" s="46">
        <v>0.01</v>
      </c>
      <c r="T828" s="47" t="s">
        <v>198</v>
      </c>
      <c r="U828" s="48" t="s">
        <v>199</v>
      </c>
      <c r="V828" s="38"/>
      <c r="W828" s="48" t="s">
        <v>195</v>
      </c>
      <c r="X828" s="38" t="s">
        <v>426</v>
      </c>
      <c r="Y828" s="49" t="s">
        <v>427</v>
      </c>
      <c r="Z828" s="50" t="s">
        <v>2653</v>
      </c>
      <c r="AA828" s="38"/>
      <c r="AB828" s="38"/>
      <c r="AC828" s="38"/>
      <c r="AD828" s="51">
        <v>67</v>
      </c>
      <c r="AE828" s="51">
        <v>67</v>
      </c>
      <c r="AF828" s="48" t="s">
        <v>203</v>
      </c>
      <c r="AG828" s="38" t="s">
        <v>204</v>
      </c>
      <c r="AH828" s="52"/>
      <c r="AI828" s="38"/>
      <c r="AJ828" s="38"/>
    </row>
    <row r="829" spans="1:36" ht="16.2">
      <c r="A829" s="53" t="s">
        <v>1908</v>
      </c>
      <c r="B829" s="53">
        <v>719511</v>
      </c>
      <c r="C829" s="53" t="s">
        <v>2628</v>
      </c>
      <c r="D829" s="53">
        <v>13207661</v>
      </c>
      <c r="E829" s="54" t="s">
        <v>2629</v>
      </c>
      <c r="F829" s="53" t="s">
        <v>2654</v>
      </c>
      <c r="G829" s="53" t="s">
        <v>195</v>
      </c>
      <c r="H829" s="53"/>
      <c r="I829" s="53"/>
      <c r="J829" s="53">
        <v>13207661</v>
      </c>
      <c r="K829" s="53"/>
      <c r="L829" s="55">
        <v>45293</v>
      </c>
      <c r="M829" s="55">
        <v>45293</v>
      </c>
      <c r="N829" s="53" t="s">
        <v>1894</v>
      </c>
      <c r="O829" s="53">
        <v>0</v>
      </c>
      <c r="P829" s="53">
        <v>20078418</v>
      </c>
      <c r="Q829" s="53" t="s">
        <v>2655</v>
      </c>
      <c r="R829" s="45">
        <v>410</v>
      </c>
      <c r="S829" s="56">
        <v>0.01</v>
      </c>
      <c r="T829" s="47" t="s">
        <v>198</v>
      </c>
      <c r="U829" s="48" t="s">
        <v>199</v>
      </c>
      <c r="V829" s="38"/>
      <c r="W829" s="48" t="s">
        <v>195</v>
      </c>
      <c r="X829" s="38" t="s">
        <v>426</v>
      </c>
      <c r="Y829" s="49" t="s">
        <v>427</v>
      </c>
      <c r="Z829" s="50" t="s">
        <v>2656</v>
      </c>
      <c r="AA829" s="38"/>
      <c r="AB829" s="38"/>
      <c r="AC829" s="38"/>
      <c r="AD829" s="51">
        <v>67</v>
      </c>
      <c r="AE829" s="51">
        <v>67</v>
      </c>
      <c r="AF829" s="48" t="s">
        <v>203</v>
      </c>
      <c r="AG829" s="38" t="s">
        <v>204</v>
      </c>
      <c r="AH829" s="52"/>
      <c r="AI829" s="38"/>
      <c r="AJ829" s="38"/>
    </row>
    <row r="830" spans="1:36" ht="16.2">
      <c r="A830" s="42" t="s">
        <v>1908</v>
      </c>
      <c r="B830" s="42">
        <v>719511</v>
      </c>
      <c r="C830" s="42" t="s">
        <v>2628</v>
      </c>
      <c r="D830" s="42">
        <v>13207661</v>
      </c>
      <c r="E830" s="43" t="s">
        <v>2629</v>
      </c>
      <c r="F830" s="42" t="s">
        <v>2657</v>
      </c>
      <c r="G830" s="42" t="s">
        <v>195</v>
      </c>
      <c r="H830" s="42"/>
      <c r="I830" s="42"/>
      <c r="J830" s="42">
        <v>13207661</v>
      </c>
      <c r="K830" s="42"/>
      <c r="L830" s="44">
        <v>45293</v>
      </c>
      <c r="M830" s="44">
        <v>45293</v>
      </c>
      <c r="N830" s="42" t="s">
        <v>1894</v>
      </c>
      <c r="O830" s="42">
        <v>0</v>
      </c>
      <c r="P830" s="42">
        <v>20078418</v>
      </c>
      <c r="Q830" s="42" t="s">
        <v>2658</v>
      </c>
      <c r="R830" s="45">
        <v>410</v>
      </c>
      <c r="S830" s="42">
        <v>0</v>
      </c>
      <c r="T830" s="47" t="s">
        <v>198</v>
      </c>
      <c r="U830" s="48" t="s">
        <v>199</v>
      </c>
      <c r="V830" s="38"/>
      <c r="W830" s="48" t="s">
        <v>195</v>
      </c>
      <c r="X830" s="38" t="s">
        <v>426</v>
      </c>
      <c r="Y830" s="49" t="s">
        <v>427</v>
      </c>
      <c r="Z830" s="50" t="s">
        <v>2659</v>
      </c>
      <c r="AA830" s="38"/>
      <c r="AB830" s="38"/>
      <c r="AC830" s="38"/>
      <c r="AD830" s="51">
        <v>67</v>
      </c>
      <c r="AE830" s="51">
        <v>67</v>
      </c>
      <c r="AF830" s="48" t="s">
        <v>203</v>
      </c>
      <c r="AG830" s="38" t="s">
        <v>204</v>
      </c>
      <c r="AH830" s="52"/>
      <c r="AI830" s="38"/>
      <c r="AJ830" s="38"/>
    </row>
    <row r="831" spans="1:36" ht="16.2">
      <c r="A831" s="53" t="s">
        <v>1908</v>
      </c>
      <c r="B831" s="53">
        <v>719511</v>
      </c>
      <c r="C831" s="53" t="s">
        <v>2628</v>
      </c>
      <c r="D831" s="53">
        <v>13207661</v>
      </c>
      <c r="E831" s="54" t="s">
        <v>2629</v>
      </c>
      <c r="F831" s="53" t="s">
        <v>2660</v>
      </c>
      <c r="G831" s="53" t="s">
        <v>195</v>
      </c>
      <c r="H831" s="53"/>
      <c r="I831" s="53"/>
      <c r="J831" s="53">
        <v>13207661</v>
      </c>
      <c r="K831" s="53"/>
      <c r="L831" s="55">
        <v>45293</v>
      </c>
      <c r="M831" s="55">
        <v>45293</v>
      </c>
      <c r="N831" s="53" t="s">
        <v>1894</v>
      </c>
      <c r="O831" s="53">
        <v>0</v>
      </c>
      <c r="P831" s="53">
        <v>20078418</v>
      </c>
      <c r="Q831" s="53" t="s">
        <v>2661</v>
      </c>
      <c r="R831" s="45">
        <v>410</v>
      </c>
      <c r="S831" s="53">
        <v>0</v>
      </c>
      <c r="T831" s="47" t="s">
        <v>198</v>
      </c>
      <c r="U831" s="48" t="s">
        <v>199</v>
      </c>
      <c r="V831" s="38"/>
      <c r="W831" s="48" t="s">
        <v>195</v>
      </c>
      <c r="X831" s="38" t="s">
        <v>426</v>
      </c>
      <c r="Y831" s="49" t="s">
        <v>427</v>
      </c>
      <c r="Z831" s="50" t="s">
        <v>2662</v>
      </c>
      <c r="AA831" s="38"/>
      <c r="AB831" s="38"/>
      <c r="AC831" s="38"/>
      <c r="AD831" s="51">
        <v>67</v>
      </c>
      <c r="AE831" s="51">
        <v>67</v>
      </c>
      <c r="AF831" s="48" t="s">
        <v>203</v>
      </c>
      <c r="AG831" s="38" t="s">
        <v>204</v>
      </c>
      <c r="AH831" s="52"/>
      <c r="AI831" s="38"/>
      <c r="AJ831" s="38"/>
    </row>
    <row r="832" spans="1:36" ht="16.2">
      <c r="A832" s="42" t="s">
        <v>1908</v>
      </c>
      <c r="B832" s="42">
        <v>719511</v>
      </c>
      <c r="C832" s="42" t="s">
        <v>2628</v>
      </c>
      <c r="D832" s="42">
        <v>13207661</v>
      </c>
      <c r="E832" s="43" t="s">
        <v>2629</v>
      </c>
      <c r="F832" s="42" t="s">
        <v>2663</v>
      </c>
      <c r="G832" s="42" t="s">
        <v>195</v>
      </c>
      <c r="H832" s="42"/>
      <c r="I832" s="42"/>
      <c r="J832" s="42">
        <v>13207661</v>
      </c>
      <c r="K832" s="42"/>
      <c r="L832" s="44">
        <v>45293</v>
      </c>
      <c r="M832" s="44">
        <v>45293</v>
      </c>
      <c r="N832" s="42" t="s">
        <v>1894</v>
      </c>
      <c r="O832" s="42">
        <v>0</v>
      </c>
      <c r="P832" s="42">
        <v>20078418</v>
      </c>
      <c r="Q832" s="42" t="s">
        <v>2664</v>
      </c>
      <c r="R832" s="45">
        <v>410</v>
      </c>
      <c r="S832" s="42">
        <v>0</v>
      </c>
      <c r="T832" s="47" t="s">
        <v>198</v>
      </c>
      <c r="U832" s="48" t="s">
        <v>199</v>
      </c>
      <c r="V832" s="38"/>
      <c r="W832" s="48" t="s">
        <v>195</v>
      </c>
      <c r="X832" s="38" t="s">
        <v>426</v>
      </c>
      <c r="Y832" s="49" t="s">
        <v>427</v>
      </c>
      <c r="Z832" s="50" t="s">
        <v>2665</v>
      </c>
      <c r="AA832" s="38"/>
      <c r="AB832" s="38"/>
      <c r="AC832" s="38"/>
      <c r="AD832" s="51">
        <v>67</v>
      </c>
      <c r="AE832" s="51">
        <v>67</v>
      </c>
      <c r="AF832" s="48" t="s">
        <v>203</v>
      </c>
      <c r="AG832" s="38" t="s">
        <v>204</v>
      </c>
      <c r="AH832" s="52"/>
      <c r="AI832" s="38"/>
      <c r="AJ832" s="38"/>
    </row>
    <row r="833" spans="1:36" ht="16.2">
      <c r="A833" s="53" t="s">
        <v>1908</v>
      </c>
      <c r="B833" s="53">
        <v>719511</v>
      </c>
      <c r="C833" s="53" t="s">
        <v>2628</v>
      </c>
      <c r="D833" s="53">
        <v>13207661</v>
      </c>
      <c r="E833" s="54" t="s">
        <v>2629</v>
      </c>
      <c r="F833" s="53" t="s">
        <v>2666</v>
      </c>
      <c r="G833" s="53" t="s">
        <v>195</v>
      </c>
      <c r="H833" s="53"/>
      <c r="I833" s="53"/>
      <c r="J833" s="53">
        <v>13207661</v>
      </c>
      <c r="K833" s="53"/>
      <c r="L833" s="55">
        <v>45293</v>
      </c>
      <c r="M833" s="55">
        <v>45293</v>
      </c>
      <c r="N833" s="53" t="s">
        <v>1894</v>
      </c>
      <c r="O833" s="53">
        <v>0</v>
      </c>
      <c r="P833" s="53">
        <v>20078418</v>
      </c>
      <c r="Q833" s="53" t="s">
        <v>2667</v>
      </c>
      <c r="R833" s="45">
        <v>410</v>
      </c>
      <c r="S833" s="53">
        <v>0</v>
      </c>
      <c r="T833" s="47" t="s">
        <v>198</v>
      </c>
      <c r="U833" s="48" t="s">
        <v>199</v>
      </c>
      <c r="V833" s="38"/>
      <c r="W833" s="48" t="s">
        <v>195</v>
      </c>
      <c r="X833" s="38" t="s">
        <v>426</v>
      </c>
      <c r="Y833" s="49" t="s">
        <v>427</v>
      </c>
      <c r="Z833" s="50" t="s">
        <v>2668</v>
      </c>
      <c r="AA833" s="38"/>
      <c r="AB833" s="38"/>
      <c r="AC833" s="38"/>
      <c r="AD833" s="51">
        <v>67</v>
      </c>
      <c r="AE833" s="51">
        <v>67</v>
      </c>
      <c r="AF833" s="48" t="s">
        <v>203</v>
      </c>
      <c r="AG833" s="38" t="s">
        <v>204</v>
      </c>
      <c r="AH833" s="52"/>
      <c r="AI833" s="38"/>
      <c r="AJ833" s="38"/>
    </row>
    <row r="834" spans="1:36" ht="16.2">
      <c r="A834" s="42" t="s">
        <v>1908</v>
      </c>
      <c r="B834" s="42">
        <v>719511</v>
      </c>
      <c r="C834" s="42" t="s">
        <v>2628</v>
      </c>
      <c r="D834" s="42">
        <v>13207661</v>
      </c>
      <c r="E834" s="43" t="s">
        <v>2629</v>
      </c>
      <c r="F834" s="42" t="s">
        <v>2669</v>
      </c>
      <c r="G834" s="42" t="s">
        <v>195</v>
      </c>
      <c r="H834" s="42"/>
      <c r="I834" s="42"/>
      <c r="J834" s="42">
        <v>13207661</v>
      </c>
      <c r="K834" s="42"/>
      <c r="L834" s="44">
        <v>45293</v>
      </c>
      <c r="M834" s="44">
        <v>45293</v>
      </c>
      <c r="N834" s="42" t="s">
        <v>1894</v>
      </c>
      <c r="O834" s="42">
        <v>0</v>
      </c>
      <c r="P834" s="42">
        <v>20078418</v>
      </c>
      <c r="Q834" s="42" t="s">
        <v>2670</v>
      </c>
      <c r="R834" s="45">
        <v>410</v>
      </c>
      <c r="S834" s="42">
        <v>0</v>
      </c>
      <c r="T834" s="47" t="s">
        <v>198</v>
      </c>
      <c r="U834" s="48" t="s">
        <v>199</v>
      </c>
      <c r="V834" s="38"/>
      <c r="W834" s="48" t="s">
        <v>195</v>
      </c>
      <c r="X834" s="38" t="s">
        <v>426</v>
      </c>
      <c r="Y834" s="49" t="s">
        <v>427</v>
      </c>
      <c r="Z834" s="50" t="s">
        <v>2671</v>
      </c>
      <c r="AA834" s="38"/>
      <c r="AB834" s="38"/>
      <c r="AC834" s="38"/>
      <c r="AD834" s="51">
        <v>67</v>
      </c>
      <c r="AE834" s="51">
        <v>67</v>
      </c>
      <c r="AF834" s="48" t="s">
        <v>203</v>
      </c>
      <c r="AG834" s="38" t="s">
        <v>204</v>
      </c>
      <c r="AH834" s="52"/>
      <c r="AI834" s="38"/>
      <c r="AJ834" s="38"/>
    </row>
    <row r="835" spans="1:36" ht="16.2">
      <c r="A835" s="53" t="s">
        <v>1908</v>
      </c>
      <c r="B835" s="53">
        <v>719511</v>
      </c>
      <c r="C835" s="53" t="s">
        <v>2628</v>
      </c>
      <c r="D835" s="53">
        <v>13207661</v>
      </c>
      <c r="E835" s="54" t="s">
        <v>2629</v>
      </c>
      <c r="F835" s="53" t="s">
        <v>2672</v>
      </c>
      <c r="G835" s="53" t="s">
        <v>195</v>
      </c>
      <c r="H835" s="53"/>
      <c r="I835" s="53"/>
      <c r="J835" s="53">
        <v>13207661</v>
      </c>
      <c r="K835" s="53"/>
      <c r="L835" s="55">
        <v>45293</v>
      </c>
      <c r="M835" s="55">
        <v>45293</v>
      </c>
      <c r="N835" s="53" t="s">
        <v>1894</v>
      </c>
      <c r="O835" s="53">
        <v>0</v>
      </c>
      <c r="P835" s="53">
        <v>20078418</v>
      </c>
      <c r="Q835" s="53" t="s">
        <v>2673</v>
      </c>
      <c r="R835" s="45">
        <v>410</v>
      </c>
      <c r="S835" s="53">
        <v>0</v>
      </c>
      <c r="T835" s="47" t="s">
        <v>198</v>
      </c>
      <c r="U835" s="48" t="s">
        <v>199</v>
      </c>
      <c r="V835" s="38"/>
      <c r="W835" s="48" t="s">
        <v>195</v>
      </c>
      <c r="X835" s="38" t="s">
        <v>426</v>
      </c>
      <c r="Y835" s="49" t="s">
        <v>427</v>
      </c>
      <c r="Z835" s="50" t="s">
        <v>2674</v>
      </c>
      <c r="AA835" s="38"/>
      <c r="AB835" s="38"/>
      <c r="AC835" s="38"/>
      <c r="AD835" s="51">
        <v>67</v>
      </c>
      <c r="AE835" s="51">
        <v>67</v>
      </c>
      <c r="AF835" s="48" t="s">
        <v>203</v>
      </c>
      <c r="AG835" s="38" t="s">
        <v>204</v>
      </c>
      <c r="AH835" s="52"/>
      <c r="AI835" s="38"/>
      <c r="AJ835" s="38"/>
    </row>
    <row r="836" spans="1:36" ht="16.2">
      <c r="A836" s="42" t="s">
        <v>819</v>
      </c>
      <c r="B836" s="42">
        <v>710019</v>
      </c>
      <c r="C836" s="42" t="s">
        <v>2675</v>
      </c>
      <c r="D836" s="42">
        <v>13207682</v>
      </c>
      <c r="E836" s="43" t="s">
        <v>2676</v>
      </c>
      <c r="F836" s="42" t="s">
        <v>2677</v>
      </c>
      <c r="G836" s="42" t="s">
        <v>195</v>
      </c>
      <c r="H836" s="42"/>
      <c r="I836" s="42"/>
      <c r="J836" s="42">
        <v>13207682</v>
      </c>
      <c r="K836" s="42"/>
      <c r="L836" s="44">
        <v>45293</v>
      </c>
      <c r="M836" s="44">
        <v>45293</v>
      </c>
      <c r="N836" s="42" t="s">
        <v>823</v>
      </c>
      <c r="O836" s="42">
        <v>0</v>
      </c>
      <c r="P836" s="42">
        <v>20065447</v>
      </c>
      <c r="Q836" s="42" t="s">
        <v>2678</v>
      </c>
      <c r="R836" s="45">
        <v>410</v>
      </c>
      <c r="S836" s="42">
        <v>0</v>
      </c>
      <c r="T836" s="47" t="s">
        <v>198</v>
      </c>
      <c r="U836" s="48" t="s">
        <v>199</v>
      </c>
      <c r="V836" s="38"/>
      <c r="W836" s="48" t="s">
        <v>195</v>
      </c>
      <c r="X836" s="38" t="s">
        <v>426</v>
      </c>
      <c r="Y836" s="49" t="s">
        <v>427</v>
      </c>
      <c r="Z836" s="50" t="s">
        <v>2679</v>
      </c>
      <c r="AA836" s="38"/>
      <c r="AB836" s="38"/>
      <c r="AC836" s="38"/>
      <c r="AD836" s="51">
        <v>62</v>
      </c>
      <c r="AE836" s="51">
        <v>62</v>
      </c>
      <c r="AF836" s="48" t="s">
        <v>203</v>
      </c>
      <c r="AG836" s="38" t="s">
        <v>204</v>
      </c>
      <c r="AH836" s="52"/>
      <c r="AI836" s="38"/>
      <c r="AJ836" s="38"/>
    </row>
    <row r="837" spans="1:36" ht="16.2">
      <c r="A837" s="53" t="s">
        <v>819</v>
      </c>
      <c r="B837" s="53">
        <v>710019</v>
      </c>
      <c r="C837" s="53" t="s">
        <v>2675</v>
      </c>
      <c r="D837" s="53">
        <v>13207682</v>
      </c>
      <c r="E837" s="54" t="s">
        <v>2676</v>
      </c>
      <c r="F837" s="53" t="s">
        <v>2633</v>
      </c>
      <c r="G837" s="53" t="s">
        <v>195</v>
      </c>
      <c r="H837" s="53"/>
      <c r="I837" s="53"/>
      <c r="J837" s="53">
        <v>13207682</v>
      </c>
      <c r="K837" s="53"/>
      <c r="L837" s="55">
        <v>45293</v>
      </c>
      <c r="M837" s="55">
        <v>45293</v>
      </c>
      <c r="N837" s="53" t="s">
        <v>823</v>
      </c>
      <c r="O837" s="53">
        <v>0</v>
      </c>
      <c r="P837" s="53">
        <v>20065447</v>
      </c>
      <c r="Q837" s="53" t="s">
        <v>2680</v>
      </c>
      <c r="R837" s="45">
        <v>410</v>
      </c>
      <c r="S837" s="53">
        <v>0</v>
      </c>
      <c r="T837" s="47" t="s">
        <v>198</v>
      </c>
      <c r="U837" s="48" t="s">
        <v>199</v>
      </c>
      <c r="V837" s="38"/>
      <c r="W837" s="48" t="s">
        <v>195</v>
      </c>
      <c r="X837" s="38" t="s">
        <v>426</v>
      </c>
      <c r="Y837" s="49" t="s">
        <v>427</v>
      </c>
      <c r="Z837" s="50" t="s">
        <v>2681</v>
      </c>
      <c r="AA837" s="38"/>
      <c r="AB837" s="38"/>
      <c r="AC837" s="38"/>
      <c r="AD837" s="51">
        <v>62</v>
      </c>
      <c r="AE837" s="51">
        <v>62</v>
      </c>
      <c r="AF837" s="48" t="s">
        <v>203</v>
      </c>
      <c r="AG837" s="38" t="s">
        <v>204</v>
      </c>
      <c r="AH837" s="52"/>
      <c r="AI837" s="38"/>
      <c r="AJ837" s="38"/>
    </row>
    <row r="838" spans="1:36" ht="16.2">
      <c r="A838" s="42" t="s">
        <v>819</v>
      </c>
      <c r="B838" s="42">
        <v>710019</v>
      </c>
      <c r="C838" s="42" t="s">
        <v>2675</v>
      </c>
      <c r="D838" s="42">
        <v>13207682</v>
      </c>
      <c r="E838" s="43" t="s">
        <v>2676</v>
      </c>
      <c r="F838" s="42" t="s">
        <v>2682</v>
      </c>
      <c r="G838" s="42" t="s">
        <v>195</v>
      </c>
      <c r="H838" s="42"/>
      <c r="I838" s="42"/>
      <c r="J838" s="42">
        <v>13207682</v>
      </c>
      <c r="K838" s="42"/>
      <c r="L838" s="44">
        <v>45293</v>
      </c>
      <c r="M838" s="44">
        <v>45293</v>
      </c>
      <c r="N838" s="42" t="s">
        <v>823</v>
      </c>
      <c r="O838" s="42">
        <v>0</v>
      </c>
      <c r="P838" s="42">
        <v>20065447</v>
      </c>
      <c r="Q838" s="42" t="s">
        <v>2683</v>
      </c>
      <c r="R838" s="45">
        <v>410</v>
      </c>
      <c r="S838" s="42">
        <v>0</v>
      </c>
      <c r="T838" s="47" t="s">
        <v>198</v>
      </c>
      <c r="U838" s="48" t="s">
        <v>199</v>
      </c>
      <c r="V838" s="38"/>
      <c r="W838" s="48" t="s">
        <v>195</v>
      </c>
      <c r="X838" s="38" t="s">
        <v>426</v>
      </c>
      <c r="Y838" s="49" t="s">
        <v>427</v>
      </c>
      <c r="Z838" s="50" t="s">
        <v>2684</v>
      </c>
      <c r="AA838" s="38"/>
      <c r="AB838" s="38"/>
      <c r="AC838" s="38"/>
      <c r="AD838" s="51">
        <v>62</v>
      </c>
      <c r="AE838" s="51">
        <v>62</v>
      </c>
      <c r="AF838" s="48" t="s">
        <v>203</v>
      </c>
      <c r="AG838" s="38" t="s">
        <v>204</v>
      </c>
      <c r="AH838" s="52"/>
      <c r="AI838" s="38"/>
      <c r="AJ838" s="38"/>
    </row>
    <row r="839" spans="1:36" ht="16.2">
      <c r="A839" s="53" t="s">
        <v>819</v>
      </c>
      <c r="B839" s="53">
        <v>710019</v>
      </c>
      <c r="C839" s="53" t="s">
        <v>2675</v>
      </c>
      <c r="D839" s="53">
        <v>13207682</v>
      </c>
      <c r="E839" s="54" t="s">
        <v>2676</v>
      </c>
      <c r="F839" s="53" t="s">
        <v>2685</v>
      </c>
      <c r="G839" s="53" t="s">
        <v>195</v>
      </c>
      <c r="H839" s="53"/>
      <c r="I839" s="53"/>
      <c r="J839" s="53">
        <v>13207682</v>
      </c>
      <c r="K839" s="53"/>
      <c r="L839" s="55">
        <v>45293</v>
      </c>
      <c r="M839" s="55">
        <v>45293</v>
      </c>
      <c r="N839" s="53" t="s">
        <v>823</v>
      </c>
      <c r="O839" s="53">
        <v>0</v>
      </c>
      <c r="P839" s="53">
        <v>20065447</v>
      </c>
      <c r="Q839" s="53" t="s">
        <v>2686</v>
      </c>
      <c r="R839" s="45">
        <v>410</v>
      </c>
      <c r="S839" s="53">
        <v>0</v>
      </c>
      <c r="T839" s="47" t="s">
        <v>198</v>
      </c>
      <c r="U839" s="48" t="s">
        <v>199</v>
      </c>
      <c r="V839" s="38"/>
      <c r="W839" s="48" t="s">
        <v>195</v>
      </c>
      <c r="X839" s="38" t="s">
        <v>426</v>
      </c>
      <c r="Y839" s="49" t="s">
        <v>427</v>
      </c>
      <c r="Z839" s="50" t="s">
        <v>2687</v>
      </c>
      <c r="AA839" s="38"/>
      <c r="AB839" s="38"/>
      <c r="AC839" s="38"/>
      <c r="AD839" s="51">
        <v>62</v>
      </c>
      <c r="AE839" s="51">
        <v>62</v>
      </c>
      <c r="AF839" s="48" t="s">
        <v>203</v>
      </c>
      <c r="AG839" s="38" t="s">
        <v>204</v>
      </c>
      <c r="AH839" s="52"/>
      <c r="AI839" s="38"/>
      <c r="AJ839" s="38"/>
    </row>
    <row r="840" spans="1:36" ht="16.2">
      <c r="A840" s="42" t="s">
        <v>819</v>
      </c>
      <c r="B840" s="42">
        <v>710019</v>
      </c>
      <c r="C840" s="42" t="s">
        <v>2675</v>
      </c>
      <c r="D840" s="42">
        <v>13207682</v>
      </c>
      <c r="E840" s="43" t="s">
        <v>2676</v>
      </c>
      <c r="F840" s="42" t="s">
        <v>2688</v>
      </c>
      <c r="G840" s="42" t="s">
        <v>195</v>
      </c>
      <c r="H840" s="42"/>
      <c r="I840" s="42"/>
      <c r="J840" s="42">
        <v>13207682</v>
      </c>
      <c r="K840" s="42"/>
      <c r="L840" s="44">
        <v>45293</v>
      </c>
      <c r="M840" s="44">
        <v>45293</v>
      </c>
      <c r="N840" s="42" t="s">
        <v>823</v>
      </c>
      <c r="O840" s="42">
        <v>0</v>
      </c>
      <c r="P840" s="42">
        <v>20065447</v>
      </c>
      <c r="Q840" s="42" t="s">
        <v>2689</v>
      </c>
      <c r="R840" s="45">
        <v>410</v>
      </c>
      <c r="S840" s="42">
        <v>0</v>
      </c>
      <c r="T840" s="47" t="s">
        <v>198</v>
      </c>
      <c r="U840" s="48" t="s">
        <v>199</v>
      </c>
      <c r="V840" s="38"/>
      <c r="W840" s="48" t="s">
        <v>195</v>
      </c>
      <c r="X840" s="38" t="s">
        <v>426</v>
      </c>
      <c r="Y840" s="49" t="s">
        <v>427</v>
      </c>
      <c r="Z840" s="50" t="s">
        <v>2690</v>
      </c>
      <c r="AA840" s="38"/>
      <c r="AB840" s="38"/>
      <c r="AC840" s="38"/>
      <c r="AD840" s="51">
        <v>62</v>
      </c>
      <c r="AE840" s="51">
        <v>62</v>
      </c>
      <c r="AF840" s="48" t="s">
        <v>203</v>
      </c>
      <c r="AG840" s="38" t="s">
        <v>204</v>
      </c>
      <c r="AH840" s="52"/>
      <c r="AI840" s="38"/>
      <c r="AJ840" s="38"/>
    </row>
    <row r="841" spans="1:36" ht="16.2">
      <c r="A841" s="53" t="s">
        <v>819</v>
      </c>
      <c r="B841" s="53">
        <v>710019</v>
      </c>
      <c r="C841" s="53" t="s">
        <v>2675</v>
      </c>
      <c r="D841" s="53">
        <v>13207682</v>
      </c>
      <c r="E841" s="54" t="s">
        <v>2676</v>
      </c>
      <c r="F841" s="53" t="s">
        <v>2691</v>
      </c>
      <c r="G841" s="53" t="s">
        <v>195</v>
      </c>
      <c r="H841" s="53"/>
      <c r="I841" s="53"/>
      <c r="J841" s="53">
        <v>13207682</v>
      </c>
      <c r="K841" s="53"/>
      <c r="L841" s="55">
        <v>45293</v>
      </c>
      <c r="M841" s="55">
        <v>45293</v>
      </c>
      <c r="N841" s="53" t="s">
        <v>823</v>
      </c>
      <c r="O841" s="53">
        <v>0</v>
      </c>
      <c r="P841" s="53">
        <v>20065447</v>
      </c>
      <c r="Q841" s="53" t="s">
        <v>2692</v>
      </c>
      <c r="R841" s="45">
        <v>410</v>
      </c>
      <c r="S841" s="56">
        <v>0.01</v>
      </c>
      <c r="T841" s="47" t="s">
        <v>198</v>
      </c>
      <c r="U841" s="48" t="s">
        <v>199</v>
      </c>
      <c r="V841" s="38"/>
      <c r="W841" s="48" t="s">
        <v>195</v>
      </c>
      <c r="X841" s="38" t="s">
        <v>426</v>
      </c>
      <c r="Y841" s="49" t="s">
        <v>427</v>
      </c>
      <c r="Z841" s="50" t="s">
        <v>2693</v>
      </c>
      <c r="AA841" s="38"/>
      <c r="AB841" s="38"/>
      <c r="AC841" s="38"/>
      <c r="AD841" s="51">
        <v>62</v>
      </c>
      <c r="AE841" s="51">
        <v>62</v>
      </c>
      <c r="AF841" s="48" t="s">
        <v>203</v>
      </c>
      <c r="AG841" s="38" t="s">
        <v>204</v>
      </c>
      <c r="AH841" s="52"/>
      <c r="AI841" s="38"/>
      <c r="AJ841" s="38"/>
    </row>
    <row r="842" spans="1:36" ht="16.2">
      <c r="A842" s="42" t="s">
        <v>819</v>
      </c>
      <c r="B842" s="42">
        <v>710019</v>
      </c>
      <c r="C842" s="42" t="s">
        <v>2675</v>
      </c>
      <c r="D842" s="42">
        <v>13207682</v>
      </c>
      <c r="E842" s="43" t="s">
        <v>2676</v>
      </c>
      <c r="F842" s="42" t="s">
        <v>2647</v>
      </c>
      <c r="G842" s="42" t="s">
        <v>195</v>
      </c>
      <c r="H842" s="42"/>
      <c r="I842" s="42"/>
      <c r="J842" s="42">
        <v>13207682</v>
      </c>
      <c r="K842" s="42"/>
      <c r="L842" s="44">
        <v>45293</v>
      </c>
      <c r="M842" s="44">
        <v>45293</v>
      </c>
      <c r="N842" s="42" t="s">
        <v>823</v>
      </c>
      <c r="O842" s="42">
        <v>0</v>
      </c>
      <c r="P842" s="42">
        <v>20065447</v>
      </c>
      <c r="Q842" s="42" t="s">
        <v>2694</v>
      </c>
      <c r="R842" s="45">
        <v>410</v>
      </c>
      <c r="S842" s="46">
        <v>0.01</v>
      </c>
      <c r="T842" s="47" t="s">
        <v>198</v>
      </c>
      <c r="U842" s="48" t="s">
        <v>199</v>
      </c>
      <c r="V842" s="38"/>
      <c r="W842" s="48" t="s">
        <v>195</v>
      </c>
      <c r="X842" s="38" t="s">
        <v>426</v>
      </c>
      <c r="Y842" s="49" t="s">
        <v>427</v>
      </c>
      <c r="Z842" s="50" t="s">
        <v>2695</v>
      </c>
      <c r="AA842" s="38"/>
      <c r="AB842" s="38"/>
      <c r="AC842" s="38"/>
      <c r="AD842" s="51">
        <v>62</v>
      </c>
      <c r="AE842" s="51">
        <v>62</v>
      </c>
      <c r="AF842" s="48" t="s">
        <v>203</v>
      </c>
      <c r="AG842" s="38" t="s">
        <v>204</v>
      </c>
      <c r="AH842" s="52"/>
      <c r="AI842" s="38"/>
      <c r="AJ842" s="38"/>
    </row>
    <row r="843" spans="1:36" ht="16.2">
      <c r="A843" s="53" t="s">
        <v>819</v>
      </c>
      <c r="B843" s="53">
        <v>710019</v>
      </c>
      <c r="C843" s="53" t="s">
        <v>2675</v>
      </c>
      <c r="D843" s="53">
        <v>13207682</v>
      </c>
      <c r="E843" s="54" t="s">
        <v>2676</v>
      </c>
      <c r="F843" s="53" t="s">
        <v>2696</v>
      </c>
      <c r="G843" s="53" t="s">
        <v>195</v>
      </c>
      <c r="H843" s="53"/>
      <c r="I843" s="53"/>
      <c r="J843" s="53">
        <v>13207682</v>
      </c>
      <c r="K843" s="53"/>
      <c r="L843" s="55">
        <v>45293</v>
      </c>
      <c r="M843" s="55">
        <v>45293</v>
      </c>
      <c r="N843" s="53" t="s">
        <v>823</v>
      </c>
      <c r="O843" s="53">
        <v>0</v>
      </c>
      <c r="P843" s="53">
        <v>20065447</v>
      </c>
      <c r="Q843" s="53" t="s">
        <v>2697</v>
      </c>
      <c r="R843" s="45">
        <v>410</v>
      </c>
      <c r="S843" s="56">
        <v>0.01</v>
      </c>
      <c r="T843" s="47" t="s">
        <v>198</v>
      </c>
      <c r="U843" s="48" t="s">
        <v>199</v>
      </c>
      <c r="V843" s="38"/>
      <c r="W843" s="48" t="s">
        <v>195</v>
      </c>
      <c r="X843" s="38" t="s">
        <v>426</v>
      </c>
      <c r="Y843" s="49" t="s">
        <v>427</v>
      </c>
      <c r="Z843" s="50" t="s">
        <v>2698</v>
      </c>
      <c r="AA843" s="38"/>
      <c r="AB843" s="38"/>
      <c r="AC843" s="38"/>
      <c r="AD843" s="51">
        <v>62</v>
      </c>
      <c r="AE843" s="51">
        <v>62</v>
      </c>
      <c r="AF843" s="48" t="s">
        <v>203</v>
      </c>
      <c r="AG843" s="38" t="s">
        <v>204</v>
      </c>
      <c r="AH843" s="52"/>
      <c r="AI843" s="38"/>
      <c r="AJ843" s="38"/>
    </row>
    <row r="844" spans="1:36" ht="16.2">
      <c r="A844" s="42" t="s">
        <v>819</v>
      </c>
      <c r="B844" s="42">
        <v>710019</v>
      </c>
      <c r="C844" s="42" t="s">
        <v>2675</v>
      </c>
      <c r="D844" s="42">
        <v>13207682</v>
      </c>
      <c r="E844" s="43" t="s">
        <v>2676</v>
      </c>
      <c r="F844" s="42" t="s">
        <v>2699</v>
      </c>
      <c r="G844" s="42" t="s">
        <v>195</v>
      </c>
      <c r="H844" s="42"/>
      <c r="I844" s="42"/>
      <c r="J844" s="42">
        <v>13207682</v>
      </c>
      <c r="K844" s="42"/>
      <c r="L844" s="44">
        <v>45293</v>
      </c>
      <c r="M844" s="44">
        <v>45293</v>
      </c>
      <c r="N844" s="42" t="s">
        <v>823</v>
      </c>
      <c r="O844" s="42">
        <v>0</v>
      </c>
      <c r="P844" s="42">
        <v>20065447</v>
      </c>
      <c r="Q844" s="42" t="s">
        <v>2700</v>
      </c>
      <c r="R844" s="45">
        <v>410</v>
      </c>
      <c r="S844" s="46">
        <v>0.01</v>
      </c>
      <c r="T844" s="47" t="s">
        <v>198</v>
      </c>
      <c r="U844" s="48" t="s">
        <v>199</v>
      </c>
      <c r="V844" s="38"/>
      <c r="W844" s="48" t="s">
        <v>195</v>
      </c>
      <c r="X844" s="38" t="s">
        <v>426</v>
      </c>
      <c r="Y844" s="49" t="s">
        <v>427</v>
      </c>
      <c r="Z844" s="50" t="s">
        <v>2701</v>
      </c>
      <c r="AA844" s="38"/>
      <c r="AB844" s="38"/>
      <c r="AC844" s="38"/>
      <c r="AD844" s="51">
        <v>62</v>
      </c>
      <c r="AE844" s="51">
        <v>62</v>
      </c>
      <c r="AF844" s="48" t="s">
        <v>203</v>
      </c>
      <c r="AG844" s="38" t="s">
        <v>204</v>
      </c>
      <c r="AH844" s="52"/>
      <c r="AI844" s="38"/>
      <c r="AJ844" s="38"/>
    </row>
    <row r="845" spans="1:36" ht="16.2">
      <c r="A845" s="53" t="s">
        <v>819</v>
      </c>
      <c r="B845" s="53">
        <v>710019</v>
      </c>
      <c r="C845" s="53" t="s">
        <v>2675</v>
      </c>
      <c r="D845" s="53">
        <v>13207682</v>
      </c>
      <c r="E845" s="54" t="s">
        <v>2676</v>
      </c>
      <c r="F845" s="53" t="s">
        <v>2702</v>
      </c>
      <c r="G845" s="53" t="s">
        <v>195</v>
      </c>
      <c r="H845" s="53"/>
      <c r="I845" s="53"/>
      <c r="J845" s="53">
        <v>13207682</v>
      </c>
      <c r="K845" s="53"/>
      <c r="L845" s="55">
        <v>45293</v>
      </c>
      <c r="M845" s="55">
        <v>45293</v>
      </c>
      <c r="N845" s="53" t="s">
        <v>823</v>
      </c>
      <c r="O845" s="53">
        <v>0</v>
      </c>
      <c r="P845" s="53">
        <v>20065447</v>
      </c>
      <c r="Q845" s="53" t="s">
        <v>2703</v>
      </c>
      <c r="R845" s="45">
        <v>410</v>
      </c>
      <c r="S845" s="56">
        <v>0.01</v>
      </c>
      <c r="T845" s="47" t="s">
        <v>198</v>
      </c>
      <c r="U845" s="48" t="s">
        <v>199</v>
      </c>
      <c r="V845" s="38"/>
      <c r="W845" s="48" t="s">
        <v>195</v>
      </c>
      <c r="X845" s="38" t="s">
        <v>426</v>
      </c>
      <c r="Y845" s="49" t="s">
        <v>427</v>
      </c>
      <c r="Z845" s="50" t="s">
        <v>2704</v>
      </c>
      <c r="AA845" s="38"/>
      <c r="AB845" s="38"/>
      <c r="AC845" s="38"/>
      <c r="AD845" s="51">
        <v>62</v>
      </c>
      <c r="AE845" s="51">
        <v>62</v>
      </c>
      <c r="AF845" s="48" t="s">
        <v>203</v>
      </c>
      <c r="AG845" s="38" t="s">
        <v>204</v>
      </c>
      <c r="AH845" s="52"/>
      <c r="AI845" s="38"/>
      <c r="AJ845" s="38"/>
    </row>
    <row r="846" spans="1:36" ht="16.2">
      <c r="A846" s="42" t="s">
        <v>819</v>
      </c>
      <c r="B846" s="42">
        <v>710019</v>
      </c>
      <c r="C846" s="42" t="s">
        <v>2675</v>
      </c>
      <c r="D846" s="42">
        <v>13207682</v>
      </c>
      <c r="E846" s="43" t="s">
        <v>2676</v>
      </c>
      <c r="F846" s="42" t="s">
        <v>2705</v>
      </c>
      <c r="G846" s="42" t="s">
        <v>195</v>
      </c>
      <c r="H846" s="42"/>
      <c r="I846" s="42"/>
      <c r="J846" s="42">
        <v>13207682</v>
      </c>
      <c r="K846" s="42"/>
      <c r="L846" s="44">
        <v>45293</v>
      </c>
      <c r="M846" s="44">
        <v>45293</v>
      </c>
      <c r="N846" s="42" t="s">
        <v>823</v>
      </c>
      <c r="O846" s="42">
        <v>0</v>
      </c>
      <c r="P846" s="42">
        <v>20065447</v>
      </c>
      <c r="Q846" s="42" t="s">
        <v>2706</v>
      </c>
      <c r="R846" s="45">
        <v>410</v>
      </c>
      <c r="S846" s="46">
        <v>0.01</v>
      </c>
      <c r="T846" s="47" t="s">
        <v>198</v>
      </c>
      <c r="U846" s="48" t="s">
        <v>199</v>
      </c>
      <c r="V846" s="38"/>
      <c r="W846" s="48" t="s">
        <v>195</v>
      </c>
      <c r="X846" s="38" t="s">
        <v>426</v>
      </c>
      <c r="Y846" s="49" t="s">
        <v>427</v>
      </c>
      <c r="Z846" s="50" t="s">
        <v>2707</v>
      </c>
      <c r="AA846" s="38"/>
      <c r="AB846" s="38"/>
      <c r="AC846" s="38"/>
      <c r="AD846" s="51">
        <v>62</v>
      </c>
      <c r="AE846" s="51">
        <v>62</v>
      </c>
      <c r="AF846" s="48" t="s">
        <v>203</v>
      </c>
      <c r="AG846" s="38" t="s">
        <v>204</v>
      </c>
      <c r="AH846" s="52"/>
      <c r="AI846" s="38"/>
      <c r="AJ846" s="38"/>
    </row>
    <row r="847" spans="1:36" ht="16.2">
      <c r="A847" s="53" t="s">
        <v>819</v>
      </c>
      <c r="B847" s="53">
        <v>710019</v>
      </c>
      <c r="C847" s="53" t="s">
        <v>2675</v>
      </c>
      <c r="D847" s="53">
        <v>13207682</v>
      </c>
      <c r="E847" s="54" t="s">
        <v>2676</v>
      </c>
      <c r="F847" s="53" t="s">
        <v>2708</v>
      </c>
      <c r="G847" s="53" t="s">
        <v>195</v>
      </c>
      <c r="H847" s="53"/>
      <c r="I847" s="53"/>
      <c r="J847" s="53">
        <v>13207682</v>
      </c>
      <c r="K847" s="53"/>
      <c r="L847" s="55">
        <v>45293</v>
      </c>
      <c r="M847" s="55">
        <v>45293</v>
      </c>
      <c r="N847" s="53" t="s">
        <v>823</v>
      </c>
      <c r="O847" s="53">
        <v>0</v>
      </c>
      <c r="P847" s="53">
        <v>20065447</v>
      </c>
      <c r="Q847" s="53" t="s">
        <v>2709</v>
      </c>
      <c r="R847" s="45">
        <v>410</v>
      </c>
      <c r="S847" s="56">
        <v>0.01</v>
      </c>
      <c r="T847" s="47" t="s">
        <v>198</v>
      </c>
      <c r="U847" s="48" t="s">
        <v>199</v>
      </c>
      <c r="V847" s="38"/>
      <c r="W847" s="48" t="s">
        <v>195</v>
      </c>
      <c r="X847" s="38" t="s">
        <v>426</v>
      </c>
      <c r="Y847" s="49" t="s">
        <v>427</v>
      </c>
      <c r="Z847" s="50" t="s">
        <v>2710</v>
      </c>
      <c r="AA847" s="38"/>
      <c r="AB847" s="38"/>
      <c r="AC847" s="38"/>
      <c r="AD847" s="51">
        <v>62</v>
      </c>
      <c r="AE847" s="51">
        <v>62</v>
      </c>
      <c r="AF847" s="48" t="s">
        <v>203</v>
      </c>
      <c r="AG847" s="38" t="s">
        <v>204</v>
      </c>
      <c r="AH847" s="52"/>
      <c r="AI847" s="38"/>
      <c r="AJ847" s="38"/>
    </row>
    <row r="848" spans="1:36" ht="16.2">
      <c r="A848" s="42" t="s">
        <v>819</v>
      </c>
      <c r="B848" s="42">
        <v>710019</v>
      </c>
      <c r="C848" s="42" t="s">
        <v>2675</v>
      </c>
      <c r="D848" s="42">
        <v>13207682</v>
      </c>
      <c r="E848" s="43" t="s">
        <v>2676</v>
      </c>
      <c r="F848" s="42" t="s">
        <v>2711</v>
      </c>
      <c r="G848" s="42" t="s">
        <v>195</v>
      </c>
      <c r="H848" s="42"/>
      <c r="I848" s="42"/>
      <c r="J848" s="42">
        <v>13207682</v>
      </c>
      <c r="K848" s="42"/>
      <c r="L848" s="44">
        <v>45293</v>
      </c>
      <c r="M848" s="44">
        <v>45293</v>
      </c>
      <c r="N848" s="42" t="s">
        <v>823</v>
      </c>
      <c r="O848" s="42">
        <v>0</v>
      </c>
      <c r="P848" s="42">
        <v>20065447</v>
      </c>
      <c r="Q848" s="42" t="s">
        <v>2712</v>
      </c>
      <c r="R848" s="45">
        <v>410</v>
      </c>
      <c r="S848" s="46">
        <v>0.01</v>
      </c>
      <c r="T848" s="47" t="s">
        <v>198</v>
      </c>
      <c r="U848" s="48" t="s">
        <v>199</v>
      </c>
      <c r="V848" s="38"/>
      <c r="W848" s="48" t="s">
        <v>195</v>
      </c>
      <c r="X848" s="38" t="s">
        <v>426</v>
      </c>
      <c r="Y848" s="49" t="s">
        <v>427</v>
      </c>
      <c r="Z848" s="50" t="s">
        <v>2713</v>
      </c>
      <c r="AA848" s="38"/>
      <c r="AB848" s="38"/>
      <c r="AC848" s="38"/>
      <c r="AD848" s="51">
        <v>62</v>
      </c>
      <c r="AE848" s="51">
        <v>62</v>
      </c>
      <c r="AF848" s="48" t="s">
        <v>203</v>
      </c>
      <c r="AG848" s="38" t="s">
        <v>204</v>
      </c>
      <c r="AH848" s="52"/>
      <c r="AI848" s="38"/>
      <c r="AJ848" s="38"/>
    </row>
    <row r="849" spans="1:36" ht="16.2">
      <c r="A849" s="53" t="s">
        <v>836</v>
      </c>
      <c r="B849" s="53">
        <v>828655</v>
      </c>
      <c r="C849" s="53" t="s">
        <v>2714</v>
      </c>
      <c r="D849" s="53">
        <v>13207514</v>
      </c>
      <c r="E849" s="54" t="s">
        <v>2715</v>
      </c>
      <c r="F849" s="53" t="s">
        <v>1189</v>
      </c>
      <c r="G849" s="53" t="s">
        <v>195</v>
      </c>
      <c r="H849" s="53"/>
      <c r="I849" s="53"/>
      <c r="J849" s="53">
        <v>13207514</v>
      </c>
      <c r="K849" s="53"/>
      <c r="L849" s="55">
        <v>45293</v>
      </c>
      <c r="M849" s="55">
        <v>45293</v>
      </c>
      <c r="N849" s="53" t="s">
        <v>2326</v>
      </c>
      <c r="O849" s="53">
        <v>0</v>
      </c>
      <c r="P849" s="53">
        <v>20038806</v>
      </c>
      <c r="Q849" s="53" t="s">
        <v>2716</v>
      </c>
      <c r="R849" s="45">
        <v>410</v>
      </c>
      <c r="S849" s="56">
        <v>0.01</v>
      </c>
      <c r="T849" s="47" t="s">
        <v>198</v>
      </c>
      <c r="U849" s="48" t="s">
        <v>199</v>
      </c>
      <c r="V849" s="38"/>
      <c r="W849" s="48" t="s">
        <v>195</v>
      </c>
      <c r="X849" s="38" t="s">
        <v>200</v>
      </c>
      <c r="Y849" s="49" t="s">
        <v>201</v>
      </c>
      <c r="Z849" s="50" t="s">
        <v>2717</v>
      </c>
      <c r="AA849" s="38"/>
      <c r="AB849" s="38"/>
      <c r="AC849" s="38"/>
      <c r="AD849" s="51">
        <v>42</v>
      </c>
      <c r="AE849" s="51">
        <v>42</v>
      </c>
      <c r="AF849" s="48" t="s">
        <v>203</v>
      </c>
      <c r="AG849" s="38" t="s">
        <v>204</v>
      </c>
      <c r="AH849" s="52"/>
      <c r="AI849" s="38"/>
      <c r="AJ849" s="38"/>
    </row>
    <row r="850" spans="1:36" ht="16.2">
      <c r="A850" s="42" t="s">
        <v>836</v>
      </c>
      <c r="B850" s="42">
        <v>828655</v>
      </c>
      <c r="C850" s="42" t="s">
        <v>2714</v>
      </c>
      <c r="D850" s="42">
        <v>13207514</v>
      </c>
      <c r="E850" s="43" t="s">
        <v>2715</v>
      </c>
      <c r="F850" s="42" t="s">
        <v>263</v>
      </c>
      <c r="G850" s="42" t="s">
        <v>195</v>
      </c>
      <c r="H850" s="42"/>
      <c r="I850" s="42"/>
      <c r="J850" s="42">
        <v>13207514</v>
      </c>
      <c r="K850" s="42"/>
      <c r="L850" s="44">
        <v>45293</v>
      </c>
      <c r="M850" s="44">
        <v>45293</v>
      </c>
      <c r="N850" s="42" t="s">
        <v>2326</v>
      </c>
      <c r="O850" s="42">
        <v>0</v>
      </c>
      <c r="P850" s="42">
        <v>20038806</v>
      </c>
      <c r="Q850" s="42" t="s">
        <v>2718</v>
      </c>
      <c r="R850" s="45">
        <v>410</v>
      </c>
      <c r="S850" s="46">
        <v>0.01</v>
      </c>
      <c r="T850" s="47" t="s">
        <v>198</v>
      </c>
      <c r="U850" s="48" t="s">
        <v>199</v>
      </c>
      <c r="V850" s="38"/>
      <c r="W850" s="48" t="s">
        <v>195</v>
      </c>
      <c r="X850" s="38" t="s">
        <v>200</v>
      </c>
      <c r="Y850" s="49" t="s">
        <v>201</v>
      </c>
      <c r="Z850" s="50" t="s">
        <v>2719</v>
      </c>
      <c r="AA850" s="38"/>
      <c r="AB850" s="38"/>
      <c r="AC850" s="38"/>
      <c r="AD850" s="51">
        <v>42</v>
      </c>
      <c r="AE850" s="51">
        <v>42</v>
      </c>
      <c r="AF850" s="48" t="s">
        <v>203</v>
      </c>
      <c r="AG850" s="38" t="s">
        <v>204</v>
      </c>
      <c r="AH850" s="52"/>
      <c r="AI850" s="38"/>
      <c r="AJ850" s="38"/>
    </row>
    <row r="851" spans="1:36" ht="16.2">
      <c r="A851" s="53" t="s">
        <v>836</v>
      </c>
      <c r="B851" s="53">
        <v>828655</v>
      </c>
      <c r="C851" s="53" t="s">
        <v>2714</v>
      </c>
      <c r="D851" s="53">
        <v>13207514</v>
      </c>
      <c r="E851" s="54" t="s">
        <v>2715</v>
      </c>
      <c r="F851" s="53" t="s">
        <v>1195</v>
      </c>
      <c r="G851" s="53" t="s">
        <v>195</v>
      </c>
      <c r="H851" s="53"/>
      <c r="I851" s="53"/>
      <c r="J851" s="53">
        <v>13207514</v>
      </c>
      <c r="K851" s="53"/>
      <c r="L851" s="55">
        <v>45293</v>
      </c>
      <c r="M851" s="55">
        <v>45293</v>
      </c>
      <c r="N851" s="53" t="s">
        <v>2326</v>
      </c>
      <c r="O851" s="53">
        <v>0</v>
      </c>
      <c r="P851" s="53">
        <v>20038806</v>
      </c>
      <c r="Q851" s="53" t="s">
        <v>2720</v>
      </c>
      <c r="R851" s="45">
        <v>410</v>
      </c>
      <c r="S851" s="56">
        <v>0.01</v>
      </c>
      <c r="T851" s="47" t="s">
        <v>198</v>
      </c>
      <c r="U851" s="48" t="s">
        <v>199</v>
      </c>
      <c r="V851" s="38"/>
      <c r="W851" s="48" t="s">
        <v>195</v>
      </c>
      <c r="X851" s="38" t="s">
        <v>200</v>
      </c>
      <c r="Y851" s="49" t="s">
        <v>201</v>
      </c>
      <c r="Z851" s="50" t="s">
        <v>2721</v>
      </c>
      <c r="AA851" s="38"/>
      <c r="AB851" s="38"/>
      <c r="AC851" s="38"/>
      <c r="AD851" s="51">
        <v>42</v>
      </c>
      <c r="AE851" s="51">
        <v>42</v>
      </c>
      <c r="AF851" s="48" t="s">
        <v>203</v>
      </c>
      <c r="AG851" s="38" t="s">
        <v>204</v>
      </c>
      <c r="AH851" s="52"/>
      <c r="AI851" s="38"/>
      <c r="AJ851" s="38"/>
    </row>
    <row r="852" spans="1:36" ht="16.2">
      <c r="A852" s="42" t="s">
        <v>836</v>
      </c>
      <c r="B852" s="42">
        <v>828655</v>
      </c>
      <c r="C852" s="42" t="s">
        <v>2714</v>
      </c>
      <c r="D852" s="42">
        <v>13207514</v>
      </c>
      <c r="E852" s="43" t="s">
        <v>2715</v>
      </c>
      <c r="F852" s="42" t="s">
        <v>1198</v>
      </c>
      <c r="G852" s="42" t="s">
        <v>195</v>
      </c>
      <c r="H852" s="42"/>
      <c r="I852" s="42"/>
      <c r="J852" s="42">
        <v>13207514</v>
      </c>
      <c r="K852" s="42"/>
      <c r="L852" s="44">
        <v>45293</v>
      </c>
      <c r="M852" s="44">
        <v>45293</v>
      </c>
      <c r="N852" s="42" t="s">
        <v>2326</v>
      </c>
      <c r="O852" s="42">
        <v>0</v>
      </c>
      <c r="P852" s="42">
        <v>20038806</v>
      </c>
      <c r="Q852" s="42" t="s">
        <v>2722</v>
      </c>
      <c r="R852" s="45">
        <v>410</v>
      </c>
      <c r="S852" s="46">
        <v>0.01</v>
      </c>
      <c r="T852" s="47" t="s">
        <v>198</v>
      </c>
      <c r="U852" s="48" t="s">
        <v>199</v>
      </c>
      <c r="V852" s="38"/>
      <c r="W852" s="48" t="s">
        <v>195</v>
      </c>
      <c r="X852" s="38" t="s">
        <v>200</v>
      </c>
      <c r="Y852" s="49" t="s">
        <v>201</v>
      </c>
      <c r="Z852" s="50" t="s">
        <v>2723</v>
      </c>
      <c r="AA852" s="38"/>
      <c r="AB852" s="38"/>
      <c r="AC852" s="38"/>
      <c r="AD852" s="51">
        <v>42</v>
      </c>
      <c r="AE852" s="51">
        <v>42</v>
      </c>
      <c r="AF852" s="48" t="s">
        <v>203</v>
      </c>
      <c r="AG852" s="38" t="s">
        <v>204</v>
      </c>
      <c r="AH852" s="52"/>
      <c r="AI852" s="38"/>
      <c r="AJ852" s="38"/>
    </row>
    <row r="853" spans="1:36" ht="16.2">
      <c r="A853" s="53" t="s">
        <v>836</v>
      </c>
      <c r="B853" s="53">
        <v>828655</v>
      </c>
      <c r="C853" s="53" t="s">
        <v>2714</v>
      </c>
      <c r="D853" s="53">
        <v>13207514</v>
      </c>
      <c r="E853" s="54" t="s">
        <v>2715</v>
      </c>
      <c r="F853" s="53" t="s">
        <v>2724</v>
      </c>
      <c r="G853" s="53" t="s">
        <v>195</v>
      </c>
      <c r="H853" s="53"/>
      <c r="I853" s="53"/>
      <c r="J853" s="53">
        <v>13207514</v>
      </c>
      <c r="K853" s="53"/>
      <c r="L853" s="55">
        <v>45293</v>
      </c>
      <c r="M853" s="55">
        <v>45293</v>
      </c>
      <c r="N853" s="53" t="s">
        <v>2326</v>
      </c>
      <c r="O853" s="53">
        <v>0</v>
      </c>
      <c r="P853" s="53">
        <v>20038806</v>
      </c>
      <c r="Q853" s="53" t="s">
        <v>2725</v>
      </c>
      <c r="R853" s="45">
        <v>410</v>
      </c>
      <c r="S853" s="56">
        <v>0.01</v>
      </c>
      <c r="T853" s="47" t="s">
        <v>198</v>
      </c>
      <c r="U853" s="48" t="s">
        <v>199</v>
      </c>
      <c r="V853" s="38"/>
      <c r="W853" s="48" t="s">
        <v>195</v>
      </c>
      <c r="X853" s="38" t="s">
        <v>200</v>
      </c>
      <c r="Y853" s="49" t="s">
        <v>201</v>
      </c>
      <c r="Z853" s="50" t="s">
        <v>2726</v>
      </c>
      <c r="AA853" s="38"/>
      <c r="AB853" s="38"/>
      <c r="AC853" s="38"/>
      <c r="AD853" s="51">
        <v>42</v>
      </c>
      <c r="AE853" s="51">
        <v>42</v>
      </c>
      <c r="AF853" s="48" t="s">
        <v>203</v>
      </c>
      <c r="AG853" s="38" t="s">
        <v>204</v>
      </c>
      <c r="AH853" s="52"/>
      <c r="AI853" s="38"/>
      <c r="AJ853" s="38"/>
    </row>
    <row r="854" spans="1:36" ht="16.2">
      <c r="A854" s="42" t="s">
        <v>836</v>
      </c>
      <c r="B854" s="42">
        <v>828655</v>
      </c>
      <c r="C854" s="42" t="s">
        <v>2714</v>
      </c>
      <c r="D854" s="42">
        <v>13207514</v>
      </c>
      <c r="E854" s="43" t="s">
        <v>2715</v>
      </c>
      <c r="F854" s="42" t="s">
        <v>1204</v>
      </c>
      <c r="G854" s="42" t="s">
        <v>195</v>
      </c>
      <c r="H854" s="42"/>
      <c r="I854" s="42"/>
      <c r="J854" s="42">
        <v>13207514</v>
      </c>
      <c r="K854" s="42"/>
      <c r="L854" s="44">
        <v>45293</v>
      </c>
      <c r="M854" s="44">
        <v>45293</v>
      </c>
      <c r="N854" s="42" t="s">
        <v>2326</v>
      </c>
      <c r="O854" s="42">
        <v>0</v>
      </c>
      <c r="P854" s="42">
        <v>20038806</v>
      </c>
      <c r="Q854" s="42" t="s">
        <v>2727</v>
      </c>
      <c r="R854" s="45">
        <v>410</v>
      </c>
      <c r="S854" s="46">
        <v>0.01</v>
      </c>
      <c r="T854" s="47" t="s">
        <v>198</v>
      </c>
      <c r="U854" s="48" t="s">
        <v>199</v>
      </c>
      <c r="V854" s="38"/>
      <c r="W854" s="48" t="s">
        <v>195</v>
      </c>
      <c r="X854" s="38" t="s">
        <v>200</v>
      </c>
      <c r="Y854" s="49" t="s">
        <v>201</v>
      </c>
      <c r="Z854" s="50" t="s">
        <v>2728</v>
      </c>
      <c r="AA854" s="38"/>
      <c r="AB854" s="38"/>
      <c r="AC854" s="38"/>
      <c r="AD854" s="51">
        <v>42</v>
      </c>
      <c r="AE854" s="51">
        <v>42</v>
      </c>
      <c r="AF854" s="48" t="s">
        <v>203</v>
      </c>
      <c r="AG854" s="38" t="s">
        <v>204</v>
      </c>
      <c r="AH854" s="52"/>
      <c r="AI854" s="38"/>
      <c r="AJ854" s="38"/>
    </row>
    <row r="855" spans="1:36" ht="16.2">
      <c r="A855" s="53" t="s">
        <v>836</v>
      </c>
      <c r="B855" s="53">
        <v>828655</v>
      </c>
      <c r="C855" s="53" t="s">
        <v>2714</v>
      </c>
      <c r="D855" s="53">
        <v>13207514</v>
      </c>
      <c r="E855" s="54" t="s">
        <v>2715</v>
      </c>
      <c r="F855" s="53" t="s">
        <v>1207</v>
      </c>
      <c r="G855" s="53" t="s">
        <v>195</v>
      </c>
      <c r="H855" s="53"/>
      <c r="I855" s="53"/>
      <c r="J855" s="53">
        <v>13207514</v>
      </c>
      <c r="K855" s="53"/>
      <c r="L855" s="55">
        <v>45293</v>
      </c>
      <c r="M855" s="55">
        <v>45293</v>
      </c>
      <c r="N855" s="53" t="s">
        <v>2326</v>
      </c>
      <c r="O855" s="53">
        <v>0</v>
      </c>
      <c r="P855" s="53">
        <v>20038806</v>
      </c>
      <c r="Q855" s="53" t="s">
        <v>2729</v>
      </c>
      <c r="R855" s="45">
        <v>410</v>
      </c>
      <c r="S855" s="56">
        <v>0.01</v>
      </c>
      <c r="T855" s="47" t="s">
        <v>198</v>
      </c>
      <c r="U855" s="48" t="s">
        <v>199</v>
      </c>
      <c r="V855" s="38"/>
      <c r="W855" s="48" t="s">
        <v>195</v>
      </c>
      <c r="X855" s="38" t="s">
        <v>200</v>
      </c>
      <c r="Y855" s="49" t="s">
        <v>201</v>
      </c>
      <c r="Z855" s="50" t="s">
        <v>2730</v>
      </c>
      <c r="AA855" s="38"/>
      <c r="AB855" s="38"/>
      <c r="AC855" s="38"/>
      <c r="AD855" s="51">
        <v>42</v>
      </c>
      <c r="AE855" s="51">
        <v>42</v>
      </c>
      <c r="AF855" s="48" t="s">
        <v>203</v>
      </c>
      <c r="AG855" s="38" t="s">
        <v>204</v>
      </c>
      <c r="AH855" s="52"/>
      <c r="AI855" s="38"/>
      <c r="AJ855" s="38"/>
    </row>
    <row r="856" spans="1:36" ht="16.2">
      <c r="A856" s="42" t="s">
        <v>836</v>
      </c>
      <c r="B856" s="42">
        <v>828655</v>
      </c>
      <c r="C856" s="42" t="s">
        <v>2714</v>
      </c>
      <c r="D856" s="42">
        <v>13207514</v>
      </c>
      <c r="E856" s="43" t="s">
        <v>2715</v>
      </c>
      <c r="F856" s="42" t="s">
        <v>1210</v>
      </c>
      <c r="G856" s="42" t="s">
        <v>195</v>
      </c>
      <c r="H856" s="42"/>
      <c r="I856" s="42"/>
      <c r="J856" s="42">
        <v>13207514</v>
      </c>
      <c r="K856" s="42"/>
      <c r="L856" s="44">
        <v>45293</v>
      </c>
      <c r="M856" s="44">
        <v>45293</v>
      </c>
      <c r="N856" s="42" t="s">
        <v>2326</v>
      </c>
      <c r="O856" s="42">
        <v>0</v>
      </c>
      <c r="P856" s="42">
        <v>20038806</v>
      </c>
      <c r="Q856" s="42" t="s">
        <v>2731</v>
      </c>
      <c r="R856" s="45">
        <v>410</v>
      </c>
      <c r="S856" s="46">
        <v>0.01</v>
      </c>
      <c r="T856" s="47" t="s">
        <v>198</v>
      </c>
      <c r="U856" s="48" t="s">
        <v>199</v>
      </c>
      <c r="V856" s="38"/>
      <c r="W856" s="48" t="s">
        <v>195</v>
      </c>
      <c r="X856" s="38" t="s">
        <v>200</v>
      </c>
      <c r="Y856" s="49" t="s">
        <v>201</v>
      </c>
      <c r="Z856" s="50" t="s">
        <v>2732</v>
      </c>
      <c r="AA856" s="38"/>
      <c r="AB856" s="38"/>
      <c r="AC856" s="38"/>
      <c r="AD856" s="51">
        <v>42</v>
      </c>
      <c r="AE856" s="51">
        <v>42</v>
      </c>
      <c r="AF856" s="48" t="s">
        <v>203</v>
      </c>
      <c r="AG856" s="38" t="s">
        <v>204</v>
      </c>
      <c r="AH856" s="52"/>
      <c r="AI856" s="38"/>
      <c r="AJ856" s="38"/>
    </row>
    <row r="857" spans="1:36" ht="16.2">
      <c r="A857" s="53" t="s">
        <v>836</v>
      </c>
      <c r="B857" s="53">
        <v>828655</v>
      </c>
      <c r="C857" s="53" t="s">
        <v>2714</v>
      </c>
      <c r="D857" s="53">
        <v>13207514</v>
      </c>
      <c r="E857" s="54" t="s">
        <v>2715</v>
      </c>
      <c r="F857" s="53" t="s">
        <v>1213</v>
      </c>
      <c r="G857" s="53" t="s">
        <v>195</v>
      </c>
      <c r="H857" s="53"/>
      <c r="I857" s="53"/>
      <c r="J857" s="53">
        <v>13207514</v>
      </c>
      <c r="K857" s="53"/>
      <c r="L857" s="55">
        <v>45293</v>
      </c>
      <c r="M857" s="55">
        <v>45293</v>
      </c>
      <c r="N857" s="53" t="s">
        <v>2326</v>
      </c>
      <c r="O857" s="53">
        <v>0</v>
      </c>
      <c r="P857" s="53">
        <v>20038806</v>
      </c>
      <c r="Q857" s="53" t="s">
        <v>2733</v>
      </c>
      <c r="R857" s="45">
        <v>410</v>
      </c>
      <c r="S857" s="56">
        <v>0.01</v>
      </c>
      <c r="T857" s="47" t="s">
        <v>198</v>
      </c>
      <c r="U857" s="48" t="s">
        <v>199</v>
      </c>
      <c r="V857" s="38"/>
      <c r="W857" s="48" t="s">
        <v>195</v>
      </c>
      <c r="X857" s="38" t="s">
        <v>200</v>
      </c>
      <c r="Y857" s="49" t="s">
        <v>201</v>
      </c>
      <c r="Z857" s="50" t="s">
        <v>2734</v>
      </c>
      <c r="AA857" s="38"/>
      <c r="AB857" s="38"/>
      <c r="AC857" s="38"/>
      <c r="AD857" s="51">
        <v>42</v>
      </c>
      <c r="AE857" s="51">
        <v>42</v>
      </c>
      <c r="AF857" s="48" t="s">
        <v>203</v>
      </c>
      <c r="AG857" s="38" t="s">
        <v>204</v>
      </c>
      <c r="AH857" s="52"/>
      <c r="AI857" s="38"/>
      <c r="AJ857" s="38"/>
    </row>
    <row r="858" spans="1:36" ht="16.2">
      <c r="A858" s="42" t="s">
        <v>836</v>
      </c>
      <c r="B858" s="42">
        <v>828655</v>
      </c>
      <c r="C858" s="42" t="s">
        <v>2714</v>
      </c>
      <c r="D858" s="42">
        <v>13207514</v>
      </c>
      <c r="E858" s="43" t="s">
        <v>2715</v>
      </c>
      <c r="F858" s="42" t="s">
        <v>1216</v>
      </c>
      <c r="G858" s="42" t="s">
        <v>195</v>
      </c>
      <c r="H858" s="42"/>
      <c r="I858" s="42"/>
      <c r="J858" s="42">
        <v>13207514</v>
      </c>
      <c r="K858" s="42"/>
      <c r="L858" s="44">
        <v>45293</v>
      </c>
      <c r="M858" s="44">
        <v>45293</v>
      </c>
      <c r="N858" s="42" t="s">
        <v>2326</v>
      </c>
      <c r="O858" s="42">
        <v>0</v>
      </c>
      <c r="P858" s="42">
        <v>20038806</v>
      </c>
      <c r="Q858" s="42" t="s">
        <v>2735</v>
      </c>
      <c r="R858" s="45">
        <v>410</v>
      </c>
      <c r="S858" s="46">
        <v>0.01</v>
      </c>
      <c r="T858" s="47" t="s">
        <v>198</v>
      </c>
      <c r="U858" s="48" t="s">
        <v>199</v>
      </c>
      <c r="V858" s="38"/>
      <c r="W858" s="48" t="s">
        <v>195</v>
      </c>
      <c r="X858" s="38" t="s">
        <v>200</v>
      </c>
      <c r="Y858" s="49" t="s">
        <v>201</v>
      </c>
      <c r="Z858" s="50" t="s">
        <v>2736</v>
      </c>
      <c r="AA858" s="38"/>
      <c r="AB858" s="38"/>
      <c r="AC858" s="38"/>
      <c r="AD858" s="51">
        <v>42</v>
      </c>
      <c r="AE858" s="51">
        <v>42</v>
      </c>
      <c r="AF858" s="48" t="s">
        <v>203</v>
      </c>
      <c r="AG858" s="38" t="s">
        <v>204</v>
      </c>
      <c r="AH858" s="52"/>
      <c r="AI858" s="38"/>
      <c r="AJ858" s="38"/>
    </row>
    <row r="859" spans="1:36" ht="16.2">
      <c r="A859" s="53" t="s">
        <v>836</v>
      </c>
      <c r="B859" s="53">
        <v>828655</v>
      </c>
      <c r="C859" s="53" t="s">
        <v>2714</v>
      </c>
      <c r="D859" s="53">
        <v>13207514</v>
      </c>
      <c r="E859" s="54" t="s">
        <v>2715</v>
      </c>
      <c r="F859" s="53" t="s">
        <v>293</v>
      </c>
      <c r="G859" s="53" t="s">
        <v>195</v>
      </c>
      <c r="H859" s="53"/>
      <c r="I859" s="53"/>
      <c r="J859" s="53">
        <v>13207514</v>
      </c>
      <c r="K859" s="53"/>
      <c r="L859" s="55">
        <v>45293</v>
      </c>
      <c r="M859" s="55">
        <v>45293</v>
      </c>
      <c r="N859" s="53" t="s">
        <v>2326</v>
      </c>
      <c r="O859" s="53">
        <v>0</v>
      </c>
      <c r="P859" s="53">
        <v>20038806</v>
      </c>
      <c r="Q859" s="53" t="s">
        <v>2737</v>
      </c>
      <c r="R859" s="45">
        <v>410</v>
      </c>
      <c r="S859" s="56">
        <v>0.01</v>
      </c>
      <c r="T859" s="47" t="s">
        <v>198</v>
      </c>
      <c r="U859" s="48" t="s">
        <v>199</v>
      </c>
      <c r="V859" s="38"/>
      <c r="W859" s="48" t="s">
        <v>195</v>
      </c>
      <c r="X859" s="38" t="s">
        <v>200</v>
      </c>
      <c r="Y859" s="49" t="s">
        <v>201</v>
      </c>
      <c r="Z859" s="50" t="s">
        <v>2738</v>
      </c>
      <c r="AA859" s="38"/>
      <c r="AB859" s="38"/>
      <c r="AC859" s="38"/>
      <c r="AD859" s="51">
        <v>42</v>
      </c>
      <c r="AE859" s="51">
        <v>42</v>
      </c>
      <c r="AF859" s="48" t="s">
        <v>203</v>
      </c>
      <c r="AG859" s="38" t="s">
        <v>204</v>
      </c>
      <c r="AH859" s="52"/>
      <c r="AI859" s="38"/>
      <c r="AJ859" s="38"/>
    </row>
    <row r="860" spans="1:36" ht="16.2">
      <c r="A860" s="42" t="s">
        <v>836</v>
      </c>
      <c r="B860" s="42">
        <v>828655</v>
      </c>
      <c r="C860" s="42" t="s">
        <v>2714</v>
      </c>
      <c r="D860" s="42">
        <v>13207514</v>
      </c>
      <c r="E860" s="43" t="s">
        <v>2715</v>
      </c>
      <c r="F860" s="42" t="s">
        <v>2739</v>
      </c>
      <c r="G860" s="42" t="s">
        <v>195</v>
      </c>
      <c r="H860" s="42"/>
      <c r="I860" s="42"/>
      <c r="J860" s="42">
        <v>13207514</v>
      </c>
      <c r="K860" s="42"/>
      <c r="L860" s="44">
        <v>45293</v>
      </c>
      <c r="M860" s="44">
        <v>45293</v>
      </c>
      <c r="N860" s="42" t="s">
        <v>2326</v>
      </c>
      <c r="O860" s="42">
        <v>0</v>
      </c>
      <c r="P860" s="42">
        <v>20038806</v>
      </c>
      <c r="Q860" s="42" t="s">
        <v>2740</v>
      </c>
      <c r="R860" s="45">
        <v>410</v>
      </c>
      <c r="S860" s="46">
        <v>0.01</v>
      </c>
      <c r="T860" s="47" t="s">
        <v>198</v>
      </c>
      <c r="U860" s="48" t="s">
        <v>199</v>
      </c>
      <c r="V860" s="38"/>
      <c r="W860" s="48" t="s">
        <v>195</v>
      </c>
      <c r="X860" s="38" t="s">
        <v>200</v>
      </c>
      <c r="Y860" s="49" t="s">
        <v>201</v>
      </c>
      <c r="Z860" s="50" t="s">
        <v>2741</v>
      </c>
      <c r="AA860" s="38"/>
      <c r="AB860" s="38"/>
      <c r="AC860" s="38"/>
      <c r="AD860" s="51">
        <v>42</v>
      </c>
      <c r="AE860" s="51">
        <v>42</v>
      </c>
      <c r="AF860" s="48" t="s">
        <v>203</v>
      </c>
      <c r="AG860" s="38" t="s">
        <v>204</v>
      </c>
      <c r="AH860" s="52"/>
      <c r="AI860" s="38"/>
      <c r="AJ860" s="38"/>
    </row>
    <row r="861" spans="1:36" ht="16.2">
      <c r="A861" s="53" t="s">
        <v>836</v>
      </c>
      <c r="B861" s="53">
        <v>828655</v>
      </c>
      <c r="C861" s="53" t="s">
        <v>2714</v>
      </c>
      <c r="D861" s="53">
        <v>13207514</v>
      </c>
      <c r="E861" s="54" t="s">
        <v>2715</v>
      </c>
      <c r="F861" s="53" t="s">
        <v>1224</v>
      </c>
      <c r="G861" s="53" t="s">
        <v>195</v>
      </c>
      <c r="H861" s="53"/>
      <c r="I861" s="53"/>
      <c r="J861" s="53">
        <v>13207514</v>
      </c>
      <c r="K861" s="53"/>
      <c r="L861" s="55">
        <v>45293</v>
      </c>
      <c r="M861" s="55">
        <v>45293</v>
      </c>
      <c r="N861" s="53" t="s">
        <v>2326</v>
      </c>
      <c r="O861" s="53">
        <v>0</v>
      </c>
      <c r="P861" s="53">
        <v>20038806</v>
      </c>
      <c r="Q861" s="53" t="s">
        <v>2742</v>
      </c>
      <c r="R861" s="45">
        <v>410</v>
      </c>
      <c r="S861" s="56">
        <v>0.01</v>
      </c>
      <c r="T861" s="47" t="s">
        <v>198</v>
      </c>
      <c r="U861" s="48" t="s">
        <v>199</v>
      </c>
      <c r="V861" s="38"/>
      <c r="W861" s="48" t="s">
        <v>195</v>
      </c>
      <c r="X861" s="38" t="s">
        <v>200</v>
      </c>
      <c r="Y861" s="49" t="s">
        <v>201</v>
      </c>
      <c r="Z861" s="50" t="s">
        <v>2743</v>
      </c>
      <c r="AA861" s="38"/>
      <c r="AB861" s="38"/>
      <c r="AC861" s="38"/>
      <c r="AD861" s="51">
        <v>42</v>
      </c>
      <c r="AE861" s="51">
        <v>42</v>
      </c>
      <c r="AF861" s="48" t="s">
        <v>203</v>
      </c>
      <c r="AG861" s="38" t="s">
        <v>204</v>
      </c>
      <c r="AH861" s="52"/>
      <c r="AI861" s="38"/>
      <c r="AJ861" s="38"/>
    </row>
    <row r="862" spans="1:36" ht="16.2">
      <c r="A862" s="42" t="s">
        <v>836</v>
      </c>
      <c r="B862" s="42">
        <v>828655</v>
      </c>
      <c r="C862" s="42" t="s">
        <v>2714</v>
      </c>
      <c r="D862" s="42">
        <v>13207514</v>
      </c>
      <c r="E862" s="43" t="s">
        <v>2715</v>
      </c>
      <c r="F862" s="42" t="s">
        <v>1227</v>
      </c>
      <c r="G862" s="42" t="s">
        <v>195</v>
      </c>
      <c r="H862" s="42"/>
      <c r="I862" s="42"/>
      <c r="J862" s="42">
        <v>13207514</v>
      </c>
      <c r="K862" s="42"/>
      <c r="L862" s="44">
        <v>45293</v>
      </c>
      <c r="M862" s="44">
        <v>45293</v>
      </c>
      <c r="N862" s="42" t="s">
        <v>2326</v>
      </c>
      <c r="O862" s="42">
        <v>0</v>
      </c>
      <c r="P862" s="42">
        <v>20038806</v>
      </c>
      <c r="Q862" s="42" t="s">
        <v>2744</v>
      </c>
      <c r="R862" s="45">
        <v>410</v>
      </c>
      <c r="S862" s="46">
        <v>0.01</v>
      </c>
      <c r="T862" s="47" t="s">
        <v>198</v>
      </c>
      <c r="U862" s="48" t="s">
        <v>199</v>
      </c>
      <c r="V862" s="38"/>
      <c r="W862" s="48" t="s">
        <v>195</v>
      </c>
      <c r="X862" s="38" t="s">
        <v>200</v>
      </c>
      <c r="Y862" s="49" t="s">
        <v>201</v>
      </c>
      <c r="Z862" s="50" t="s">
        <v>2745</v>
      </c>
      <c r="AA862" s="38"/>
      <c r="AB862" s="38"/>
      <c r="AC862" s="38"/>
      <c r="AD862" s="51">
        <v>42</v>
      </c>
      <c r="AE862" s="51">
        <v>42</v>
      </c>
      <c r="AF862" s="48" t="s">
        <v>203</v>
      </c>
      <c r="AG862" s="38" t="s">
        <v>204</v>
      </c>
      <c r="AH862" s="52"/>
      <c r="AI862" s="38"/>
      <c r="AJ862" s="38"/>
    </row>
    <row r="863" spans="1:36" ht="16.2">
      <c r="A863" s="53" t="s">
        <v>836</v>
      </c>
      <c r="B863" s="53">
        <v>828655</v>
      </c>
      <c r="C863" s="53" t="s">
        <v>2714</v>
      </c>
      <c r="D863" s="53">
        <v>13207514</v>
      </c>
      <c r="E863" s="54" t="s">
        <v>2715</v>
      </c>
      <c r="F863" s="53" t="s">
        <v>1230</v>
      </c>
      <c r="G863" s="53" t="s">
        <v>195</v>
      </c>
      <c r="H863" s="53"/>
      <c r="I863" s="53"/>
      <c r="J863" s="53">
        <v>13207514</v>
      </c>
      <c r="K863" s="53"/>
      <c r="L863" s="55">
        <v>45293</v>
      </c>
      <c r="M863" s="55">
        <v>45293</v>
      </c>
      <c r="N863" s="53" t="s">
        <v>2326</v>
      </c>
      <c r="O863" s="53">
        <v>0</v>
      </c>
      <c r="P863" s="53">
        <v>20038806</v>
      </c>
      <c r="Q863" s="53" t="s">
        <v>2746</v>
      </c>
      <c r="R863" s="45">
        <v>410</v>
      </c>
      <c r="S863" s="53">
        <v>0</v>
      </c>
      <c r="T863" s="47" t="s">
        <v>198</v>
      </c>
      <c r="U863" s="48" t="s">
        <v>199</v>
      </c>
      <c r="V863" s="38"/>
      <c r="W863" s="48" t="s">
        <v>195</v>
      </c>
      <c r="X863" s="38" t="s">
        <v>200</v>
      </c>
      <c r="Y863" s="49" t="s">
        <v>201</v>
      </c>
      <c r="Z863" s="50" t="s">
        <v>2747</v>
      </c>
      <c r="AA863" s="38"/>
      <c r="AB863" s="38"/>
      <c r="AC863" s="38"/>
      <c r="AD863" s="51">
        <v>42</v>
      </c>
      <c r="AE863" s="51">
        <v>42</v>
      </c>
      <c r="AF863" s="48" t="s">
        <v>203</v>
      </c>
      <c r="AG863" s="38" t="s">
        <v>204</v>
      </c>
      <c r="AH863" s="52"/>
      <c r="AI863" s="38"/>
      <c r="AJ863" s="38"/>
    </row>
    <row r="864" spans="1:36" ht="16.2">
      <c r="A864" s="42" t="s">
        <v>836</v>
      </c>
      <c r="B864" s="42">
        <v>828655</v>
      </c>
      <c r="C864" s="42" t="s">
        <v>2714</v>
      </c>
      <c r="D864" s="42">
        <v>13207514</v>
      </c>
      <c r="E864" s="43" t="s">
        <v>2715</v>
      </c>
      <c r="F864" s="42" t="s">
        <v>1233</v>
      </c>
      <c r="G864" s="42" t="s">
        <v>195</v>
      </c>
      <c r="H864" s="42"/>
      <c r="I864" s="42"/>
      <c r="J864" s="42">
        <v>13207514</v>
      </c>
      <c r="K864" s="42"/>
      <c r="L864" s="44">
        <v>45293</v>
      </c>
      <c r="M864" s="44">
        <v>45293</v>
      </c>
      <c r="N864" s="42" t="s">
        <v>2326</v>
      </c>
      <c r="O864" s="42">
        <v>0</v>
      </c>
      <c r="P864" s="42">
        <v>20038806</v>
      </c>
      <c r="Q864" s="42" t="s">
        <v>2748</v>
      </c>
      <c r="R864" s="45">
        <v>410</v>
      </c>
      <c r="S864" s="46">
        <v>0.01</v>
      </c>
      <c r="T864" s="47" t="s">
        <v>198</v>
      </c>
      <c r="U864" s="48" t="s">
        <v>199</v>
      </c>
      <c r="V864" s="38"/>
      <c r="W864" s="48" t="s">
        <v>195</v>
      </c>
      <c r="X864" s="38" t="s">
        <v>200</v>
      </c>
      <c r="Y864" s="49" t="s">
        <v>201</v>
      </c>
      <c r="Z864" s="50" t="s">
        <v>2749</v>
      </c>
      <c r="AA864" s="38"/>
      <c r="AB864" s="38"/>
      <c r="AC864" s="38"/>
      <c r="AD864" s="51">
        <v>42</v>
      </c>
      <c r="AE864" s="51">
        <v>42</v>
      </c>
      <c r="AF864" s="48" t="s">
        <v>203</v>
      </c>
      <c r="AG864" s="38" t="s">
        <v>204</v>
      </c>
      <c r="AH864" s="52"/>
      <c r="AI864" s="38"/>
      <c r="AJ864" s="38"/>
    </row>
    <row r="865" spans="1:36" ht="16.2">
      <c r="A865" s="53" t="s">
        <v>836</v>
      </c>
      <c r="B865" s="53">
        <v>828655</v>
      </c>
      <c r="C865" s="53" t="s">
        <v>2714</v>
      </c>
      <c r="D865" s="53">
        <v>13207514</v>
      </c>
      <c r="E865" s="54" t="s">
        <v>2715</v>
      </c>
      <c r="F865" s="53" t="s">
        <v>260</v>
      </c>
      <c r="G865" s="53" t="s">
        <v>195</v>
      </c>
      <c r="H865" s="53"/>
      <c r="I865" s="53"/>
      <c r="J865" s="53">
        <v>13207514</v>
      </c>
      <c r="K865" s="53"/>
      <c r="L865" s="55">
        <v>45293</v>
      </c>
      <c r="M865" s="55">
        <v>45293</v>
      </c>
      <c r="N865" s="53" t="s">
        <v>2326</v>
      </c>
      <c r="O865" s="53">
        <v>0</v>
      </c>
      <c r="P865" s="53">
        <v>20038806</v>
      </c>
      <c r="Q865" s="53" t="s">
        <v>2750</v>
      </c>
      <c r="R865" s="45">
        <v>410</v>
      </c>
      <c r="S865" s="56">
        <v>0.01</v>
      </c>
      <c r="T865" s="47" t="s">
        <v>198</v>
      </c>
      <c r="U865" s="48" t="s">
        <v>199</v>
      </c>
      <c r="V865" s="38"/>
      <c r="W865" s="48" t="s">
        <v>195</v>
      </c>
      <c r="X865" s="38" t="s">
        <v>200</v>
      </c>
      <c r="Y865" s="49" t="s">
        <v>201</v>
      </c>
      <c r="Z865" s="50" t="s">
        <v>2751</v>
      </c>
      <c r="AA865" s="38"/>
      <c r="AB865" s="38"/>
      <c r="AC865" s="38"/>
      <c r="AD865" s="51">
        <v>42</v>
      </c>
      <c r="AE865" s="51">
        <v>42</v>
      </c>
      <c r="AF865" s="48" t="s">
        <v>203</v>
      </c>
      <c r="AG865" s="38" t="s">
        <v>204</v>
      </c>
      <c r="AH865" s="52"/>
      <c r="AI865" s="38"/>
      <c r="AJ865" s="38"/>
    </row>
    <row r="866" spans="1:36" ht="16.2">
      <c r="A866" s="42" t="s">
        <v>836</v>
      </c>
      <c r="B866" s="42">
        <v>828655</v>
      </c>
      <c r="C866" s="42" t="s">
        <v>2714</v>
      </c>
      <c r="D866" s="42">
        <v>13207514</v>
      </c>
      <c r="E866" s="43" t="s">
        <v>2715</v>
      </c>
      <c r="F866" s="42" t="s">
        <v>2752</v>
      </c>
      <c r="G866" s="42" t="s">
        <v>195</v>
      </c>
      <c r="H866" s="42"/>
      <c r="I866" s="42"/>
      <c r="J866" s="42">
        <v>13207514</v>
      </c>
      <c r="K866" s="42"/>
      <c r="L866" s="44">
        <v>45293</v>
      </c>
      <c r="M866" s="44">
        <v>45293</v>
      </c>
      <c r="N866" s="42" t="s">
        <v>2326</v>
      </c>
      <c r="O866" s="42">
        <v>0</v>
      </c>
      <c r="P866" s="42">
        <v>20038806</v>
      </c>
      <c r="Q866" s="42" t="s">
        <v>2753</v>
      </c>
      <c r="R866" s="45">
        <v>410</v>
      </c>
      <c r="S866" s="46">
        <v>0.01</v>
      </c>
      <c r="T866" s="47" t="s">
        <v>198</v>
      </c>
      <c r="U866" s="48" t="s">
        <v>199</v>
      </c>
      <c r="V866" s="38"/>
      <c r="W866" s="48" t="s">
        <v>195</v>
      </c>
      <c r="X866" s="38" t="s">
        <v>200</v>
      </c>
      <c r="Y866" s="49" t="s">
        <v>201</v>
      </c>
      <c r="Z866" s="50" t="s">
        <v>2754</v>
      </c>
      <c r="AA866" s="38"/>
      <c r="AB866" s="38"/>
      <c r="AC866" s="38"/>
      <c r="AD866" s="51">
        <v>42</v>
      </c>
      <c r="AE866" s="51">
        <v>42</v>
      </c>
      <c r="AF866" s="48" t="s">
        <v>203</v>
      </c>
      <c r="AG866" s="38" t="s">
        <v>204</v>
      </c>
      <c r="AH866" s="52"/>
      <c r="AI866" s="38"/>
      <c r="AJ866" s="38"/>
    </row>
    <row r="867" spans="1:36" ht="16.2">
      <c r="A867" s="53" t="s">
        <v>836</v>
      </c>
      <c r="B867" s="53">
        <v>828655</v>
      </c>
      <c r="C867" s="53" t="s">
        <v>2714</v>
      </c>
      <c r="D867" s="53">
        <v>13207514</v>
      </c>
      <c r="E867" s="54" t="s">
        <v>2715</v>
      </c>
      <c r="F867" s="53" t="s">
        <v>1238</v>
      </c>
      <c r="G867" s="53" t="s">
        <v>195</v>
      </c>
      <c r="H867" s="53"/>
      <c r="I867" s="53"/>
      <c r="J867" s="53">
        <v>13207514</v>
      </c>
      <c r="K867" s="53"/>
      <c r="L867" s="55">
        <v>45293</v>
      </c>
      <c r="M867" s="55">
        <v>45293</v>
      </c>
      <c r="N867" s="53" t="s">
        <v>2326</v>
      </c>
      <c r="O867" s="53">
        <v>0</v>
      </c>
      <c r="P867" s="53">
        <v>20038806</v>
      </c>
      <c r="Q867" s="53" t="s">
        <v>2755</v>
      </c>
      <c r="R867" s="45">
        <v>410</v>
      </c>
      <c r="S867" s="56">
        <v>0.01</v>
      </c>
      <c r="T867" s="47" t="s">
        <v>198</v>
      </c>
      <c r="U867" s="48" t="s">
        <v>199</v>
      </c>
      <c r="V867" s="38"/>
      <c r="W867" s="48" t="s">
        <v>195</v>
      </c>
      <c r="X867" s="38" t="s">
        <v>200</v>
      </c>
      <c r="Y867" s="49" t="s">
        <v>201</v>
      </c>
      <c r="Z867" s="50" t="s">
        <v>2756</v>
      </c>
      <c r="AA867" s="38"/>
      <c r="AB867" s="38"/>
      <c r="AC867" s="38"/>
      <c r="AD867" s="51">
        <v>42</v>
      </c>
      <c r="AE867" s="51">
        <v>42</v>
      </c>
      <c r="AF867" s="48" t="s">
        <v>203</v>
      </c>
      <c r="AG867" s="38" t="s">
        <v>204</v>
      </c>
      <c r="AH867" s="52"/>
      <c r="AI867" s="38"/>
      <c r="AJ867" s="38"/>
    </row>
    <row r="868" spans="1:36" ht="16.2">
      <c r="A868" s="42" t="s">
        <v>857</v>
      </c>
      <c r="B868" s="42">
        <v>579063</v>
      </c>
      <c r="C868" s="42" t="s">
        <v>2757</v>
      </c>
      <c r="D868" s="42">
        <v>13207698</v>
      </c>
      <c r="E868" s="43" t="s">
        <v>2758</v>
      </c>
      <c r="F868" s="42" t="s">
        <v>2759</v>
      </c>
      <c r="G868" s="42" t="s">
        <v>195</v>
      </c>
      <c r="H868" s="42"/>
      <c r="I868" s="42"/>
      <c r="J868" s="42">
        <v>13207698</v>
      </c>
      <c r="K868" s="42"/>
      <c r="L868" s="44">
        <v>45293</v>
      </c>
      <c r="M868" s="44">
        <v>45293</v>
      </c>
      <c r="N868" s="42" t="s">
        <v>1654</v>
      </c>
      <c r="O868" s="42">
        <v>0</v>
      </c>
      <c r="P868" s="42">
        <v>20009942</v>
      </c>
      <c r="Q868" s="42" t="s">
        <v>2760</v>
      </c>
      <c r="R868" s="45">
        <v>410</v>
      </c>
      <c r="S868" s="46">
        <v>0.01</v>
      </c>
      <c r="T868" s="47" t="s">
        <v>198</v>
      </c>
      <c r="U868" s="48" t="s">
        <v>199</v>
      </c>
      <c r="V868" s="38"/>
      <c r="W868" s="48" t="s">
        <v>195</v>
      </c>
      <c r="X868" s="38" t="s">
        <v>426</v>
      </c>
      <c r="Y868" s="49" t="s">
        <v>427</v>
      </c>
      <c r="Z868" s="50" t="s">
        <v>2761</v>
      </c>
      <c r="AA868" s="38"/>
      <c r="AB868" s="38"/>
      <c r="AC868" s="38"/>
      <c r="AD868" s="51">
        <v>21</v>
      </c>
      <c r="AE868" s="51">
        <v>21</v>
      </c>
      <c r="AF868" s="48" t="s">
        <v>203</v>
      </c>
      <c r="AG868" s="38" t="s">
        <v>204</v>
      </c>
      <c r="AH868" s="52"/>
      <c r="AI868" s="38"/>
      <c r="AJ868" s="38"/>
    </row>
    <row r="869" spans="1:36" ht="16.2">
      <c r="A869" s="53" t="s">
        <v>857</v>
      </c>
      <c r="B869" s="53">
        <v>579063</v>
      </c>
      <c r="C869" s="53" t="s">
        <v>2757</v>
      </c>
      <c r="D869" s="53">
        <v>13207698</v>
      </c>
      <c r="E869" s="54" t="s">
        <v>2758</v>
      </c>
      <c r="F869" s="53" t="s">
        <v>1538</v>
      </c>
      <c r="G869" s="53" t="s">
        <v>195</v>
      </c>
      <c r="H869" s="53"/>
      <c r="I869" s="53"/>
      <c r="J869" s="53">
        <v>13207698</v>
      </c>
      <c r="K869" s="53"/>
      <c r="L869" s="55">
        <v>45293</v>
      </c>
      <c r="M869" s="55">
        <v>45293</v>
      </c>
      <c r="N869" s="53" t="s">
        <v>1654</v>
      </c>
      <c r="O869" s="53">
        <v>0</v>
      </c>
      <c r="P869" s="53">
        <v>20009942</v>
      </c>
      <c r="Q869" s="53" t="s">
        <v>2762</v>
      </c>
      <c r="R869" s="45">
        <v>410</v>
      </c>
      <c r="S869" s="56">
        <v>0.01</v>
      </c>
      <c r="T869" s="47" t="s">
        <v>198</v>
      </c>
      <c r="U869" s="48" t="s">
        <v>199</v>
      </c>
      <c r="V869" s="38"/>
      <c r="W869" s="48" t="s">
        <v>195</v>
      </c>
      <c r="X869" s="38" t="s">
        <v>426</v>
      </c>
      <c r="Y869" s="49" t="s">
        <v>427</v>
      </c>
      <c r="Z869" s="50" t="s">
        <v>2763</v>
      </c>
      <c r="AA869" s="38"/>
      <c r="AB869" s="38"/>
      <c r="AC869" s="38"/>
      <c r="AD869" s="51">
        <v>21</v>
      </c>
      <c r="AE869" s="51">
        <v>21</v>
      </c>
      <c r="AF869" s="48" t="s">
        <v>203</v>
      </c>
      <c r="AG869" s="38" t="s">
        <v>204</v>
      </c>
      <c r="AH869" s="52"/>
      <c r="AI869" s="38"/>
      <c r="AJ869" s="38"/>
    </row>
    <row r="870" spans="1:36" ht="16.2">
      <c r="A870" s="42" t="s">
        <v>857</v>
      </c>
      <c r="B870" s="42">
        <v>579063</v>
      </c>
      <c r="C870" s="42" t="s">
        <v>2757</v>
      </c>
      <c r="D870" s="42">
        <v>13207698</v>
      </c>
      <c r="E870" s="43" t="s">
        <v>2758</v>
      </c>
      <c r="F870" s="42" t="s">
        <v>1155</v>
      </c>
      <c r="G870" s="42" t="s">
        <v>195</v>
      </c>
      <c r="H870" s="42"/>
      <c r="I870" s="42"/>
      <c r="J870" s="42">
        <v>13207698</v>
      </c>
      <c r="K870" s="42"/>
      <c r="L870" s="44">
        <v>45293</v>
      </c>
      <c r="M870" s="44">
        <v>45293</v>
      </c>
      <c r="N870" s="42" t="s">
        <v>1654</v>
      </c>
      <c r="O870" s="42">
        <v>0</v>
      </c>
      <c r="P870" s="42">
        <v>20009942</v>
      </c>
      <c r="Q870" s="42" t="s">
        <v>2764</v>
      </c>
      <c r="R870" s="45">
        <v>410</v>
      </c>
      <c r="S870" s="46">
        <v>0.01</v>
      </c>
      <c r="T870" s="47" t="s">
        <v>198</v>
      </c>
      <c r="U870" s="48" t="s">
        <v>199</v>
      </c>
      <c r="V870" s="38"/>
      <c r="W870" s="48" t="s">
        <v>195</v>
      </c>
      <c r="X870" s="38" t="s">
        <v>426</v>
      </c>
      <c r="Y870" s="49" t="s">
        <v>427</v>
      </c>
      <c r="Z870" s="50" t="s">
        <v>2765</v>
      </c>
      <c r="AA870" s="38"/>
      <c r="AB870" s="38"/>
      <c r="AC870" s="38"/>
      <c r="AD870" s="51">
        <v>21</v>
      </c>
      <c r="AE870" s="51">
        <v>21</v>
      </c>
      <c r="AF870" s="48" t="s">
        <v>203</v>
      </c>
      <c r="AG870" s="38" t="s">
        <v>204</v>
      </c>
      <c r="AH870" s="52"/>
      <c r="AI870" s="38"/>
      <c r="AJ870" s="38"/>
    </row>
    <row r="871" spans="1:36" ht="16.2">
      <c r="A871" s="53" t="s">
        <v>857</v>
      </c>
      <c r="B871" s="53">
        <v>579063</v>
      </c>
      <c r="C871" s="53" t="s">
        <v>2757</v>
      </c>
      <c r="D871" s="53">
        <v>13207698</v>
      </c>
      <c r="E871" s="54" t="s">
        <v>2758</v>
      </c>
      <c r="F871" s="53" t="s">
        <v>2766</v>
      </c>
      <c r="G871" s="53" t="s">
        <v>195</v>
      </c>
      <c r="H871" s="53" t="s">
        <v>2767</v>
      </c>
      <c r="I871" s="53"/>
      <c r="J871" s="53">
        <v>13207698</v>
      </c>
      <c r="K871" s="53"/>
      <c r="L871" s="55">
        <v>45293</v>
      </c>
      <c r="M871" s="55">
        <v>45293</v>
      </c>
      <c r="N871" s="53" t="s">
        <v>1654</v>
      </c>
      <c r="O871" s="53">
        <v>0</v>
      </c>
      <c r="P871" s="53">
        <v>20009942</v>
      </c>
      <c r="Q871" s="53" t="s">
        <v>2768</v>
      </c>
      <c r="R871" s="45">
        <v>410</v>
      </c>
      <c r="S871" s="56">
        <v>0.01</v>
      </c>
      <c r="T871" s="47" t="s">
        <v>198</v>
      </c>
      <c r="U871" s="48" t="s">
        <v>199</v>
      </c>
      <c r="V871" s="38"/>
      <c r="W871" s="48" t="s">
        <v>195</v>
      </c>
      <c r="X871" s="38" t="s">
        <v>426</v>
      </c>
      <c r="Y871" s="49" t="s">
        <v>427</v>
      </c>
      <c r="Z871" s="50" t="s">
        <v>2769</v>
      </c>
      <c r="AA871" s="47" t="s">
        <v>2770</v>
      </c>
      <c r="AB871" s="38"/>
      <c r="AC871" s="38"/>
      <c r="AD871" s="51">
        <v>21</v>
      </c>
      <c r="AE871" s="51">
        <v>21</v>
      </c>
      <c r="AF871" s="48" t="s">
        <v>203</v>
      </c>
      <c r="AG871" s="38" t="s">
        <v>204</v>
      </c>
      <c r="AH871" s="52"/>
      <c r="AI871" s="38"/>
      <c r="AJ871" s="38"/>
    </row>
    <row r="872" spans="1:36" ht="16.2">
      <c r="A872" s="42" t="s">
        <v>857</v>
      </c>
      <c r="B872" s="42">
        <v>579063</v>
      </c>
      <c r="C872" s="42" t="s">
        <v>2757</v>
      </c>
      <c r="D872" s="42">
        <v>13207698</v>
      </c>
      <c r="E872" s="43" t="s">
        <v>2758</v>
      </c>
      <c r="F872" s="42" t="s">
        <v>2771</v>
      </c>
      <c r="G872" s="42" t="s">
        <v>195</v>
      </c>
      <c r="H872" s="42"/>
      <c r="I872" s="42"/>
      <c r="J872" s="42">
        <v>13207698</v>
      </c>
      <c r="K872" s="42"/>
      <c r="L872" s="44">
        <v>45293</v>
      </c>
      <c r="M872" s="44">
        <v>45293</v>
      </c>
      <c r="N872" s="42" t="s">
        <v>1654</v>
      </c>
      <c r="O872" s="42">
        <v>0</v>
      </c>
      <c r="P872" s="42">
        <v>20009942</v>
      </c>
      <c r="Q872" s="42" t="s">
        <v>2772</v>
      </c>
      <c r="R872" s="45">
        <v>410</v>
      </c>
      <c r="S872" s="46">
        <v>0.01</v>
      </c>
      <c r="T872" s="47" t="s">
        <v>198</v>
      </c>
      <c r="U872" s="48" t="s">
        <v>199</v>
      </c>
      <c r="V872" s="38"/>
      <c r="W872" s="48" t="s">
        <v>195</v>
      </c>
      <c r="X872" s="38" t="s">
        <v>426</v>
      </c>
      <c r="Y872" s="49" t="s">
        <v>427</v>
      </c>
      <c r="Z872" s="50" t="s">
        <v>2773</v>
      </c>
      <c r="AA872" s="38"/>
      <c r="AB872" s="38"/>
      <c r="AC872" s="38"/>
      <c r="AD872" s="51">
        <v>21</v>
      </c>
      <c r="AE872" s="51">
        <v>21</v>
      </c>
      <c r="AF872" s="48" t="s">
        <v>203</v>
      </c>
      <c r="AG872" s="38" t="s">
        <v>204</v>
      </c>
      <c r="AH872" s="52"/>
      <c r="AI872" s="38"/>
      <c r="AJ872" s="38"/>
    </row>
    <row r="873" spans="1:36" ht="16.2">
      <c r="A873" s="53" t="s">
        <v>857</v>
      </c>
      <c r="B873" s="53">
        <v>579063</v>
      </c>
      <c r="C873" s="53" t="s">
        <v>2757</v>
      </c>
      <c r="D873" s="53">
        <v>13207698</v>
      </c>
      <c r="E873" s="54" t="s">
        <v>2758</v>
      </c>
      <c r="F873" s="53" t="s">
        <v>1570</v>
      </c>
      <c r="G873" s="53" t="s">
        <v>195</v>
      </c>
      <c r="H873" s="53"/>
      <c r="I873" s="53"/>
      <c r="J873" s="53">
        <v>13207698</v>
      </c>
      <c r="K873" s="53"/>
      <c r="L873" s="55">
        <v>45293</v>
      </c>
      <c r="M873" s="55">
        <v>45293</v>
      </c>
      <c r="N873" s="53" t="s">
        <v>1654</v>
      </c>
      <c r="O873" s="53">
        <v>0</v>
      </c>
      <c r="P873" s="53">
        <v>20009942</v>
      </c>
      <c r="Q873" s="53" t="s">
        <v>2774</v>
      </c>
      <c r="R873" s="45">
        <v>410</v>
      </c>
      <c r="S873" s="56">
        <v>0.01</v>
      </c>
      <c r="T873" s="47" t="s">
        <v>198</v>
      </c>
      <c r="U873" s="48" t="s">
        <v>199</v>
      </c>
      <c r="V873" s="38"/>
      <c r="W873" s="48" t="s">
        <v>195</v>
      </c>
      <c r="X873" s="38" t="s">
        <v>426</v>
      </c>
      <c r="Y873" s="49" t="s">
        <v>427</v>
      </c>
      <c r="Z873" s="50" t="s">
        <v>2775</v>
      </c>
      <c r="AA873" s="38"/>
      <c r="AB873" s="38"/>
      <c r="AC873" s="38"/>
      <c r="AD873" s="51">
        <v>21</v>
      </c>
      <c r="AE873" s="51">
        <v>21</v>
      </c>
      <c r="AF873" s="48" t="s">
        <v>203</v>
      </c>
      <c r="AG873" s="38" t="s">
        <v>204</v>
      </c>
      <c r="AH873" s="52"/>
      <c r="AI873" s="38"/>
      <c r="AJ873" s="38"/>
    </row>
    <row r="874" spans="1:36" ht="16.2">
      <c r="A874" s="42" t="s">
        <v>857</v>
      </c>
      <c r="B874" s="42">
        <v>579063</v>
      </c>
      <c r="C874" s="42" t="s">
        <v>2757</v>
      </c>
      <c r="D874" s="42">
        <v>13207698</v>
      </c>
      <c r="E874" s="43" t="s">
        <v>2758</v>
      </c>
      <c r="F874" s="42" t="s">
        <v>1573</v>
      </c>
      <c r="G874" s="42" t="s">
        <v>195</v>
      </c>
      <c r="H874" s="42" t="s">
        <v>2776</v>
      </c>
      <c r="I874" s="42"/>
      <c r="J874" s="42">
        <v>13207698</v>
      </c>
      <c r="K874" s="42"/>
      <c r="L874" s="44">
        <v>45293</v>
      </c>
      <c r="M874" s="44">
        <v>45293</v>
      </c>
      <c r="N874" s="42" t="s">
        <v>1654</v>
      </c>
      <c r="O874" s="42">
        <v>0</v>
      </c>
      <c r="P874" s="42">
        <v>20009942</v>
      </c>
      <c r="Q874" s="42" t="s">
        <v>2777</v>
      </c>
      <c r="R874" s="45">
        <v>410</v>
      </c>
      <c r="S874" s="46">
        <v>0.01</v>
      </c>
      <c r="T874" s="47" t="s">
        <v>198</v>
      </c>
      <c r="U874" s="48" t="s">
        <v>199</v>
      </c>
      <c r="V874" s="38"/>
      <c r="W874" s="48" t="s">
        <v>195</v>
      </c>
      <c r="X874" s="38" t="s">
        <v>426</v>
      </c>
      <c r="Y874" s="49" t="s">
        <v>427</v>
      </c>
      <c r="Z874" s="50" t="s">
        <v>2778</v>
      </c>
      <c r="AA874" s="47" t="s">
        <v>2779</v>
      </c>
      <c r="AB874" s="38"/>
      <c r="AC874" s="38"/>
      <c r="AD874" s="51">
        <v>21</v>
      </c>
      <c r="AE874" s="51">
        <v>21</v>
      </c>
      <c r="AF874" s="48" t="s">
        <v>203</v>
      </c>
      <c r="AG874" s="38" t="s">
        <v>204</v>
      </c>
      <c r="AH874" s="52"/>
      <c r="AI874" s="38"/>
      <c r="AJ874" s="38"/>
    </row>
    <row r="875" spans="1:36" ht="16.2">
      <c r="A875" s="53" t="s">
        <v>857</v>
      </c>
      <c r="B875" s="53">
        <v>579063</v>
      </c>
      <c r="C875" s="53" t="s">
        <v>2757</v>
      </c>
      <c r="D875" s="53">
        <v>13207698</v>
      </c>
      <c r="E875" s="54" t="s">
        <v>2758</v>
      </c>
      <c r="F875" s="53" t="s">
        <v>2780</v>
      </c>
      <c r="G875" s="53" t="s">
        <v>195</v>
      </c>
      <c r="H875" s="53"/>
      <c r="I875" s="53"/>
      <c r="J875" s="53">
        <v>13207698</v>
      </c>
      <c r="K875" s="53"/>
      <c r="L875" s="55">
        <v>45293</v>
      </c>
      <c r="M875" s="55">
        <v>45293</v>
      </c>
      <c r="N875" s="53" t="s">
        <v>1654</v>
      </c>
      <c r="O875" s="53">
        <v>0</v>
      </c>
      <c r="P875" s="53">
        <v>20009942</v>
      </c>
      <c r="Q875" s="53" t="s">
        <v>2781</v>
      </c>
      <c r="R875" s="45">
        <v>410</v>
      </c>
      <c r="S875" s="56">
        <v>0.01</v>
      </c>
      <c r="T875" s="47" t="s">
        <v>198</v>
      </c>
      <c r="U875" s="48" t="s">
        <v>199</v>
      </c>
      <c r="V875" s="38"/>
      <c r="W875" s="48" t="s">
        <v>195</v>
      </c>
      <c r="X875" s="38" t="s">
        <v>426</v>
      </c>
      <c r="Y875" s="49" t="s">
        <v>427</v>
      </c>
      <c r="Z875" s="50" t="s">
        <v>2782</v>
      </c>
      <c r="AA875" s="38"/>
      <c r="AB875" s="38"/>
      <c r="AC875" s="38"/>
      <c r="AD875" s="51">
        <v>21</v>
      </c>
      <c r="AE875" s="51">
        <v>21</v>
      </c>
      <c r="AF875" s="48" t="s">
        <v>203</v>
      </c>
      <c r="AG875" s="38" t="s">
        <v>204</v>
      </c>
      <c r="AH875" s="52"/>
      <c r="AI875" s="38"/>
      <c r="AJ875" s="38"/>
    </row>
    <row r="876" spans="1:36" ht="16.2">
      <c r="A876" s="42" t="s">
        <v>857</v>
      </c>
      <c r="B876" s="42">
        <v>579063</v>
      </c>
      <c r="C876" s="42" t="s">
        <v>2757</v>
      </c>
      <c r="D876" s="42">
        <v>13207698</v>
      </c>
      <c r="E876" s="43" t="s">
        <v>2758</v>
      </c>
      <c r="F876" s="42" t="s">
        <v>2783</v>
      </c>
      <c r="G876" s="42" t="s">
        <v>195</v>
      </c>
      <c r="H876" s="42"/>
      <c r="I876" s="42"/>
      <c r="J876" s="42">
        <v>13207698</v>
      </c>
      <c r="K876" s="42"/>
      <c r="L876" s="44">
        <v>45293</v>
      </c>
      <c r="M876" s="44">
        <v>45293</v>
      </c>
      <c r="N876" s="42" t="s">
        <v>1654</v>
      </c>
      <c r="O876" s="42">
        <v>0</v>
      </c>
      <c r="P876" s="42">
        <v>20009942</v>
      </c>
      <c r="Q876" s="42" t="s">
        <v>2784</v>
      </c>
      <c r="R876" s="45">
        <v>410</v>
      </c>
      <c r="S876" s="46">
        <v>0.01</v>
      </c>
      <c r="T876" s="47" t="s">
        <v>198</v>
      </c>
      <c r="U876" s="48" t="s">
        <v>199</v>
      </c>
      <c r="V876" s="38"/>
      <c r="W876" s="48" t="s">
        <v>195</v>
      </c>
      <c r="X876" s="38" t="s">
        <v>426</v>
      </c>
      <c r="Y876" s="49" t="s">
        <v>427</v>
      </c>
      <c r="Z876" s="50" t="s">
        <v>2785</v>
      </c>
      <c r="AA876" s="38"/>
      <c r="AB876" s="38"/>
      <c r="AC876" s="38"/>
      <c r="AD876" s="51">
        <v>21</v>
      </c>
      <c r="AE876" s="51">
        <v>21</v>
      </c>
      <c r="AF876" s="48" t="s">
        <v>203</v>
      </c>
      <c r="AG876" s="38" t="s">
        <v>204</v>
      </c>
      <c r="AH876" s="52"/>
      <c r="AI876" s="38"/>
      <c r="AJ876" s="38"/>
    </row>
    <row r="877" spans="1:36" ht="16.2">
      <c r="A877" s="53" t="s">
        <v>857</v>
      </c>
      <c r="B877" s="53">
        <v>579063</v>
      </c>
      <c r="C877" s="53" t="s">
        <v>2757</v>
      </c>
      <c r="D877" s="53">
        <v>13207698</v>
      </c>
      <c r="E877" s="54" t="s">
        <v>2758</v>
      </c>
      <c r="F877" s="53" t="s">
        <v>2786</v>
      </c>
      <c r="G877" s="53" t="s">
        <v>195</v>
      </c>
      <c r="H877" s="53"/>
      <c r="I877" s="53"/>
      <c r="J877" s="53">
        <v>13207698</v>
      </c>
      <c r="K877" s="53"/>
      <c r="L877" s="55">
        <v>45293</v>
      </c>
      <c r="M877" s="55">
        <v>45293</v>
      </c>
      <c r="N877" s="53" t="s">
        <v>1654</v>
      </c>
      <c r="O877" s="53">
        <v>0</v>
      </c>
      <c r="P877" s="53">
        <v>20009942</v>
      </c>
      <c r="Q877" s="53" t="s">
        <v>2787</v>
      </c>
      <c r="R877" s="45">
        <v>410</v>
      </c>
      <c r="S877" s="53">
        <v>0</v>
      </c>
      <c r="T877" s="47" t="s">
        <v>198</v>
      </c>
      <c r="U877" s="48" t="s">
        <v>199</v>
      </c>
      <c r="V877" s="38"/>
      <c r="W877" s="48" t="s">
        <v>195</v>
      </c>
      <c r="X877" s="38" t="s">
        <v>426</v>
      </c>
      <c r="Y877" s="49" t="s">
        <v>427</v>
      </c>
      <c r="Z877" s="50" t="s">
        <v>2788</v>
      </c>
      <c r="AA877" s="38"/>
      <c r="AB877" s="38"/>
      <c r="AC877" s="38"/>
      <c r="AD877" s="51">
        <v>21</v>
      </c>
      <c r="AE877" s="51">
        <v>21</v>
      </c>
      <c r="AF877" s="48" t="s">
        <v>203</v>
      </c>
      <c r="AG877" s="38" t="s">
        <v>204</v>
      </c>
      <c r="AH877" s="52"/>
      <c r="AI877" s="38"/>
      <c r="AJ877" s="38"/>
    </row>
    <row r="878" spans="1:36" ht="16.2">
      <c r="A878" s="42" t="s">
        <v>857</v>
      </c>
      <c r="B878" s="42">
        <v>579063</v>
      </c>
      <c r="C878" s="42" t="s">
        <v>2757</v>
      </c>
      <c r="D878" s="42">
        <v>13207698</v>
      </c>
      <c r="E878" s="43" t="s">
        <v>2758</v>
      </c>
      <c r="F878" s="42" t="s">
        <v>2789</v>
      </c>
      <c r="G878" s="42" t="s">
        <v>195</v>
      </c>
      <c r="H878" s="42"/>
      <c r="I878" s="42"/>
      <c r="J878" s="42">
        <v>13207698</v>
      </c>
      <c r="K878" s="42"/>
      <c r="L878" s="44">
        <v>45293</v>
      </c>
      <c r="M878" s="44">
        <v>45293</v>
      </c>
      <c r="N878" s="42" t="s">
        <v>1654</v>
      </c>
      <c r="O878" s="42">
        <v>0</v>
      </c>
      <c r="P878" s="42">
        <v>20009942</v>
      </c>
      <c r="Q878" s="42" t="s">
        <v>2790</v>
      </c>
      <c r="R878" s="45">
        <v>410</v>
      </c>
      <c r="S878" s="46">
        <v>0.01</v>
      </c>
      <c r="T878" s="47" t="s">
        <v>198</v>
      </c>
      <c r="U878" s="48" t="s">
        <v>199</v>
      </c>
      <c r="V878" s="38"/>
      <c r="W878" s="48" t="s">
        <v>195</v>
      </c>
      <c r="X878" s="38" t="s">
        <v>426</v>
      </c>
      <c r="Y878" s="49" t="s">
        <v>427</v>
      </c>
      <c r="Z878" s="50" t="s">
        <v>2791</v>
      </c>
      <c r="AA878" s="38"/>
      <c r="AB878" s="38"/>
      <c r="AC878" s="38"/>
      <c r="AD878" s="51">
        <v>21</v>
      </c>
      <c r="AE878" s="51">
        <v>21</v>
      </c>
      <c r="AF878" s="48" t="s">
        <v>203</v>
      </c>
      <c r="AG878" s="38" t="s">
        <v>204</v>
      </c>
      <c r="AH878" s="52"/>
      <c r="AI878" s="38"/>
      <c r="AJ878" s="38"/>
    </row>
    <row r="879" spans="1:36" ht="16.2">
      <c r="A879" s="53" t="s">
        <v>857</v>
      </c>
      <c r="B879" s="53">
        <v>579063</v>
      </c>
      <c r="C879" s="53" t="s">
        <v>2757</v>
      </c>
      <c r="D879" s="53">
        <v>13207698</v>
      </c>
      <c r="E879" s="54" t="s">
        <v>2758</v>
      </c>
      <c r="F879" s="53" t="s">
        <v>235</v>
      </c>
      <c r="G879" s="53" t="s">
        <v>195</v>
      </c>
      <c r="H879" s="53"/>
      <c r="I879" s="53"/>
      <c r="J879" s="53">
        <v>13207698</v>
      </c>
      <c r="K879" s="53"/>
      <c r="L879" s="55">
        <v>45293</v>
      </c>
      <c r="M879" s="55">
        <v>45293</v>
      </c>
      <c r="N879" s="53" t="s">
        <v>1654</v>
      </c>
      <c r="O879" s="53">
        <v>0</v>
      </c>
      <c r="P879" s="53">
        <v>20009942</v>
      </c>
      <c r="Q879" s="53" t="s">
        <v>2792</v>
      </c>
      <c r="R879" s="45">
        <v>410</v>
      </c>
      <c r="S879" s="56">
        <v>0.01</v>
      </c>
      <c r="T879" s="47" t="s">
        <v>198</v>
      </c>
      <c r="U879" s="48" t="s">
        <v>199</v>
      </c>
      <c r="V879" s="38"/>
      <c r="W879" s="48" t="s">
        <v>195</v>
      </c>
      <c r="X879" s="38" t="s">
        <v>426</v>
      </c>
      <c r="Y879" s="49" t="s">
        <v>427</v>
      </c>
      <c r="Z879" s="50" t="s">
        <v>2793</v>
      </c>
      <c r="AA879" s="38"/>
      <c r="AB879" s="38"/>
      <c r="AC879" s="38"/>
      <c r="AD879" s="51">
        <v>21</v>
      </c>
      <c r="AE879" s="51">
        <v>21</v>
      </c>
      <c r="AF879" s="48" t="s">
        <v>203</v>
      </c>
      <c r="AG879" s="38" t="s">
        <v>204</v>
      </c>
      <c r="AH879" s="52"/>
      <c r="AI879" s="38"/>
      <c r="AJ879" s="38"/>
    </row>
    <row r="880" spans="1:36" ht="16.2">
      <c r="A880" s="42" t="s">
        <v>857</v>
      </c>
      <c r="B880" s="42">
        <v>579063</v>
      </c>
      <c r="C880" s="42" t="s">
        <v>2757</v>
      </c>
      <c r="D880" s="42">
        <v>13207698</v>
      </c>
      <c r="E880" s="43" t="s">
        <v>2758</v>
      </c>
      <c r="F880" s="42" t="s">
        <v>2794</v>
      </c>
      <c r="G880" s="42" t="s">
        <v>195</v>
      </c>
      <c r="H880" s="42"/>
      <c r="I880" s="42"/>
      <c r="J880" s="42">
        <v>13207698</v>
      </c>
      <c r="K880" s="42"/>
      <c r="L880" s="44">
        <v>45293</v>
      </c>
      <c r="M880" s="44">
        <v>45293</v>
      </c>
      <c r="N880" s="42" t="s">
        <v>1654</v>
      </c>
      <c r="O880" s="42">
        <v>0</v>
      </c>
      <c r="P880" s="42">
        <v>20009942</v>
      </c>
      <c r="Q880" s="42" t="s">
        <v>2795</v>
      </c>
      <c r="R880" s="45">
        <v>410</v>
      </c>
      <c r="S880" s="46">
        <v>0.01</v>
      </c>
      <c r="T880" s="47" t="s">
        <v>198</v>
      </c>
      <c r="U880" s="48" t="s">
        <v>199</v>
      </c>
      <c r="V880" s="38"/>
      <c r="W880" s="48" t="s">
        <v>195</v>
      </c>
      <c r="X880" s="38" t="s">
        <v>426</v>
      </c>
      <c r="Y880" s="49" t="s">
        <v>427</v>
      </c>
      <c r="Z880" s="50" t="s">
        <v>2796</v>
      </c>
      <c r="AA880" s="38"/>
      <c r="AB880" s="38"/>
      <c r="AC880" s="38"/>
      <c r="AD880" s="51">
        <v>21</v>
      </c>
      <c r="AE880" s="51">
        <v>21</v>
      </c>
      <c r="AF880" s="48" t="s">
        <v>203</v>
      </c>
      <c r="AG880" s="38" t="s">
        <v>204</v>
      </c>
      <c r="AH880" s="52"/>
      <c r="AI880" s="38"/>
      <c r="AJ880" s="38"/>
    </row>
    <row r="881" spans="1:36" ht="16.2">
      <c r="A881" s="53" t="s">
        <v>191</v>
      </c>
      <c r="B881" s="53">
        <v>900232</v>
      </c>
      <c r="C881" s="53" t="s">
        <v>2797</v>
      </c>
      <c r="D881" s="53">
        <v>13207721</v>
      </c>
      <c r="E881" s="54" t="s">
        <v>2798</v>
      </c>
      <c r="F881" s="53" t="s">
        <v>2454</v>
      </c>
      <c r="G881" s="53" t="s">
        <v>195</v>
      </c>
      <c r="H881" s="53"/>
      <c r="I881" s="53"/>
      <c r="J881" s="53">
        <v>13207721</v>
      </c>
      <c r="K881" s="53"/>
      <c r="L881" s="55">
        <v>45293</v>
      </c>
      <c r="M881" s="55">
        <v>45293</v>
      </c>
      <c r="N881" s="53" t="s">
        <v>2799</v>
      </c>
      <c r="O881" s="53">
        <v>0</v>
      </c>
      <c r="P881" s="53">
        <v>20027410</v>
      </c>
      <c r="Q881" s="53" t="s">
        <v>2800</v>
      </c>
      <c r="R881" s="45">
        <v>410</v>
      </c>
      <c r="S881" s="56">
        <v>0.01</v>
      </c>
      <c r="T881" s="47" t="s">
        <v>198</v>
      </c>
      <c r="U881" s="48" t="s">
        <v>199</v>
      </c>
      <c r="V881" s="38"/>
      <c r="W881" s="48" t="s">
        <v>195</v>
      </c>
      <c r="X881" s="38" t="s">
        <v>200</v>
      </c>
      <c r="Y881" s="49" t="s">
        <v>201</v>
      </c>
      <c r="Z881" s="50" t="s">
        <v>2801</v>
      </c>
      <c r="AA881" s="38"/>
      <c r="AB881" s="38"/>
      <c r="AC881" s="38"/>
      <c r="AD881" s="51">
        <v>36</v>
      </c>
      <c r="AE881" s="51">
        <v>36</v>
      </c>
      <c r="AF881" s="48" t="s">
        <v>203</v>
      </c>
      <c r="AG881" s="38" t="s">
        <v>204</v>
      </c>
      <c r="AH881" s="52"/>
      <c r="AI881" s="38"/>
      <c r="AJ881" s="38"/>
    </row>
    <row r="882" spans="1:36" ht="16.2">
      <c r="A882" s="42" t="s">
        <v>191</v>
      </c>
      <c r="B882" s="42">
        <v>900232</v>
      </c>
      <c r="C882" s="42" t="s">
        <v>2797</v>
      </c>
      <c r="D882" s="42">
        <v>13207721</v>
      </c>
      <c r="E882" s="43" t="s">
        <v>2798</v>
      </c>
      <c r="F882" s="42" t="s">
        <v>2802</v>
      </c>
      <c r="G882" s="42" t="s">
        <v>195</v>
      </c>
      <c r="H882" s="42"/>
      <c r="I882" s="42"/>
      <c r="J882" s="42">
        <v>13207721</v>
      </c>
      <c r="K882" s="42"/>
      <c r="L882" s="44">
        <v>45293</v>
      </c>
      <c r="M882" s="44">
        <v>45293</v>
      </c>
      <c r="N882" s="42" t="s">
        <v>2799</v>
      </c>
      <c r="O882" s="42">
        <v>0</v>
      </c>
      <c r="P882" s="42">
        <v>20027410</v>
      </c>
      <c r="Q882" s="42" t="s">
        <v>2803</v>
      </c>
      <c r="R882" s="45">
        <v>410</v>
      </c>
      <c r="S882" s="46">
        <v>0.01</v>
      </c>
      <c r="T882" s="47" t="s">
        <v>198</v>
      </c>
      <c r="U882" s="48" t="s">
        <v>199</v>
      </c>
      <c r="V882" s="38"/>
      <c r="W882" s="48" t="s">
        <v>195</v>
      </c>
      <c r="X882" s="38" t="s">
        <v>200</v>
      </c>
      <c r="Y882" s="49" t="s">
        <v>201</v>
      </c>
      <c r="Z882" s="50" t="s">
        <v>2804</v>
      </c>
      <c r="AA882" s="38"/>
      <c r="AB882" s="38"/>
      <c r="AC882" s="38"/>
      <c r="AD882" s="51">
        <v>36</v>
      </c>
      <c r="AE882" s="51">
        <v>36</v>
      </c>
      <c r="AF882" s="48" t="s">
        <v>203</v>
      </c>
      <c r="AG882" s="38" t="s">
        <v>204</v>
      </c>
      <c r="AH882" s="52"/>
      <c r="AI882" s="38"/>
      <c r="AJ882" s="38"/>
    </row>
    <row r="883" spans="1:36" ht="16.2">
      <c r="A883" s="53" t="s">
        <v>191</v>
      </c>
      <c r="B883" s="53">
        <v>900232</v>
      </c>
      <c r="C883" s="53" t="s">
        <v>2797</v>
      </c>
      <c r="D883" s="53">
        <v>13207721</v>
      </c>
      <c r="E883" s="54" t="s">
        <v>2798</v>
      </c>
      <c r="F883" s="53" t="s">
        <v>2805</v>
      </c>
      <c r="G883" s="53" t="s">
        <v>195</v>
      </c>
      <c r="H883" s="53"/>
      <c r="I883" s="53"/>
      <c r="J883" s="53">
        <v>13207721</v>
      </c>
      <c r="K883" s="53"/>
      <c r="L883" s="55">
        <v>45293</v>
      </c>
      <c r="M883" s="55">
        <v>45293</v>
      </c>
      <c r="N883" s="53" t="s">
        <v>2799</v>
      </c>
      <c r="O883" s="53">
        <v>0</v>
      </c>
      <c r="P883" s="53">
        <v>20027410</v>
      </c>
      <c r="Q883" s="53" t="s">
        <v>2806</v>
      </c>
      <c r="R883" s="45">
        <v>410</v>
      </c>
      <c r="S883" s="56">
        <v>0.01</v>
      </c>
      <c r="T883" s="47" t="s">
        <v>198</v>
      </c>
      <c r="U883" s="48" t="s">
        <v>199</v>
      </c>
      <c r="V883" s="38"/>
      <c r="W883" s="48" t="s">
        <v>195</v>
      </c>
      <c r="X883" s="38" t="s">
        <v>200</v>
      </c>
      <c r="Y883" s="49" t="s">
        <v>201</v>
      </c>
      <c r="Z883" s="50" t="s">
        <v>2807</v>
      </c>
      <c r="AA883" s="38"/>
      <c r="AB883" s="38"/>
      <c r="AC883" s="38"/>
      <c r="AD883" s="51">
        <v>36</v>
      </c>
      <c r="AE883" s="51">
        <v>36</v>
      </c>
      <c r="AF883" s="48" t="s">
        <v>203</v>
      </c>
      <c r="AG883" s="38" t="s">
        <v>204</v>
      </c>
      <c r="AH883" s="52"/>
      <c r="AI883" s="38"/>
      <c r="AJ883" s="38"/>
    </row>
    <row r="884" spans="1:36" ht="16.2">
      <c r="A884" s="42" t="s">
        <v>191</v>
      </c>
      <c r="B884" s="42">
        <v>900232</v>
      </c>
      <c r="C884" s="42" t="s">
        <v>2797</v>
      </c>
      <c r="D884" s="42">
        <v>13207721</v>
      </c>
      <c r="E884" s="43" t="s">
        <v>2798</v>
      </c>
      <c r="F884" s="42" t="s">
        <v>2808</v>
      </c>
      <c r="G884" s="42" t="s">
        <v>195</v>
      </c>
      <c r="H884" s="42"/>
      <c r="I884" s="42"/>
      <c r="J884" s="42">
        <v>13207721</v>
      </c>
      <c r="K884" s="42"/>
      <c r="L884" s="44">
        <v>45293</v>
      </c>
      <c r="M884" s="44">
        <v>45293</v>
      </c>
      <c r="N884" s="42" t="s">
        <v>2799</v>
      </c>
      <c r="O884" s="42">
        <v>0</v>
      </c>
      <c r="P884" s="42">
        <v>20027410</v>
      </c>
      <c r="Q884" s="42" t="s">
        <v>2809</v>
      </c>
      <c r="R884" s="45">
        <v>410</v>
      </c>
      <c r="S884" s="46">
        <v>0.01</v>
      </c>
      <c r="T884" s="47" t="s">
        <v>198</v>
      </c>
      <c r="U884" s="48" t="s">
        <v>199</v>
      </c>
      <c r="V884" s="38"/>
      <c r="W884" s="48" t="s">
        <v>195</v>
      </c>
      <c r="X884" s="38" t="s">
        <v>200</v>
      </c>
      <c r="Y884" s="49" t="s">
        <v>201</v>
      </c>
      <c r="Z884" s="50" t="s">
        <v>2810</v>
      </c>
      <c r="AA884" s="38"/>
      <c r="AB884" s="38"/>
      <c r="AC884" s="38"/>
      <c r="AD884" s="51">
        <v>36</v>
      </c>
      <c r="AE884" s="51">
        <v>36</v>
      </c>
      <c r="AF884" s="48" t="s">
        <v>203</v>
      </c>
      <c r="AG884" s="38" t="s">
        <v>204</v>
      </c>
      <c r="AH884" s="52"/>
      <c r="AI884" s="38"/>
      <c r="AJ884" s="38"/>
    </row>
    <row r="885" spans="1:36" ht="16.2">
      <c r="A885" s="53" t="s">
        <v>191</v>
      </c>
      <c r="B885" s="53">
        <v>900232</v>
      </c>
      <c r="C885" s="53" t="s">
        <v>2797</v>
      </c>
      <c r="D885" s="53">
        <v>13207721</v>
      </c>
      <c r="E885" s="54" t="s">
        <v>2798</v>
      </c>
      <c r="F885" s="53" t="s">
        <v>2811</v>
      </c>
      <c r="G885" s="53" t="s">
        <v>195</v>
      </c>
      <c r="H885" s="53"/>
      <c r="I885" s="53"/>
      <c r="J885" s="53">
        <v>13207721</v>
      </c>
      <c r="K885" s="53"/>
      <c r="L885" s="55">
        <v>45293</v>
      </c>
      <c r="M885" s="55">
        <v>45293</v>
      </c>
      <c r="N885" s="53" t="s">
        <v>2799</v>
      </c>
      <c r="O885" s="53">
        <v>0</v>
      </c>
      <c r="P885" s="53">
        <v>20027410</v>
      </c>
      <c r="Q885" s="53" t="s">
        <v>2812</v>
      </c>
      <c r="R885" s="45">
        <v>410</v>
      </c>
      <c r="S885" s="56">
        <v>0.01</v>
      </c>
      <c r="T885" s="47" t="s">
        <v>198</v>
      </c>
      <c r="U885" s="48" t="s">
        <v>199</v>
      </c>
      <c r="V885" s="38"/>
      <c r="W885" s="48" t="s">
        <v>195</v>
      </c>
      <c r="X885" s="38" t="s">
        <v>200</v>
      </c>
      <c r="Y885" s="49" t="s">
        <v>201</v>
      </c>
      <c r="Z885" s="50" t="s">
        <v>2813</v>
      </c>
      <c r="AA885" s="38"/>
      <c r="AB885" s="38"/>
      <c r="AC885" s="38"/>
      <c r="AD885" s="51">
        <v>36</v>
      </c>
      <c r="AE885" s="51">
        <v>36</v>
      </c>
      <c r="AF885" s="48" t="s">
        <v>203</v>
      </c>
      <c r="AG885" s="38" t="s">
        <v>204</v>
      </c>
      <c r="AH885" s="52"/>
      <c r="AI885" s="38"/>
      <c r="AJ885" s="38"/>
    </row>
    <row r="886" spans="1:36" ht="16.2">
      <c r="A886" s="42" t="s">
        <v>191</v>
      </c>
      <c r="B886" s="42">
        <v>900232</v>
      </c>
      <c r="C886" s="42" t="s">
        <v>2797</v>
      </c>
      <c r="D886" s="42">
        <v>13207721</v>
      </c>
      <c r="E886" s="43" t="s">
        <v>2798</v>
      </c>
      <c r="F886" s="42" t="s">
        <v>211</v>
      </c>
      <c r="G886" s="42" t="s">
        <v>195</v>
      </c>
      <c r="H886" s="42"/>
      <c r="I886" s="42"/>
      <c r="J886" s="42">
        <v>13207721</v>
      </c>
      <c r="K886" s="42"/>
      <c r="L886" s="44">
        <v>45293</v>
      </c>
      <c r="M886" s="44">
        <v>45293</v>
      </c>
      <c r="N886" s="42" t="s">
        <v>2799</v>
      </c>
      <c r="O886" s="42">
        <v>0</v>
      </c>
      <c r="P886" s="42">
        <v>20027410</v>
      </c>
      <c r="Q886" s="42" t="s">
        <v>2814</v>
      </c>
      <c r="R886" s="45">
        <v>410</v>
      </c>
      <c r="S886" s="46">
        <v>0.01</v>
      </c>
      <c r="T886" s="47" t="s">
        <v>198</v>
      </c>
      <c r="U886" s="48" t="s">
        <v>199</v>
      </c>
      <c r="V886" s="38"/>
      <c r="W886" s="48" t="s">
        <v>195</v>
      </c>
      <c r="X886" s="38" t="s">
        <v>200</v>
      </c>
      <c r="Y886" s="49" t="s">
        <v>201</v>
      </c>
      <c r="Z886" s="50" t="s">
        <v>2815</v>
      </c>
      <c r="AA886" s="38"/>
      <c r="AB886" s="38"/>
      <c r="AC886" s="38"/>
      <c r="AD886" s="51">
        <v>36</v>
      </c>
      <c r="AE886" s="51">
        <v>36</v>
      </c>
      <c r="AF886" s="48" t="s">
        <v>203</v>
      </c>
      <c r="AG886" s="38" t="s">
        <v>204</v>
      </c>
      <c r="AH886" s="52"/>
      <c r="AI886" s="38"/>
      <c r="AJ886" s="38"/>
    </row>
    <row r="887" spans="1:36" ht="16.2">
      <c r="A887" s="53" t="s">
        <v>191</v>
      </c>
      <c r="B887" s="53">
        <v>900232</v>
      </c>
      <c r="C887" s="53" t="s">
        <v>2797</v>
      </c>
      <c r="D887" s="53">
        <v>13207721</v>
      </c>
      <c r="E887" s="54" t="s">
        <v>2798</v>
      </c>
      <c r="F887" s="53" t="s">
        <v>1383</v>
      </c>
      <c r="G887" s="53" t="s">
        <v>195</v>
      </c>
      <c r="H887" s="53"/>
      <c r="I887" s="53"/>
      <c r="J887" s="53">
        <v>13207721</v>
      </c>
      <c r="K887" s="53"/>
      <c r="L887" s="55">
        <v>45293</v>
      </c>
      <c r="M887" s="55">
        <v>45293</v>
      </c>
      <c r="N887" s="53" t="s">
        <v>2799</v>
      </c>
      <c r="O887" s="53">
        <v>0</v>
      </c>
      <c r="P887" s="53">
        <v>20027410</v>
      </c>
      <c r="Q887" s="53" t="s">
        <v>2816</v>
      </c>
      <c r="R887" s="45">
        <v>410</v>
      </c>
      <c r="S887" s="56">
        <v>0.01</v>
      </c>
      <c r="T887" s="47" t="s">
        <v>198</v>
      </c>
      <c r="U887" s="48" t="s">
        <v>199</v>
      </c>
      <c r="V887" s="38"/>
      <c r="W887" s="48" t="s">
        <v>195</v>
      </c>
      <c r="X887" s="38" t="s">
        <v>200</v>
      </c>
      <c r="Y887" s="49" t="s">
        <v>201</v>
      </c>
      <c r="Z887" s="50" t="s">
        <v>2817</v>
      </c>
      <c r="AA887" s="38"/>
      <c r="AB887" s="38"/>
      <c r="AC887" s="38"/>
      <c r="AD887" s="51">
        <v>36</v>
      </c>
      <c r="AE887" s="51">
        <v>36</v>
      </c>
      <c r="AF887" s="48" t="s">
        <v>203</v>
      </c>
      <c r="AG887" s="38" t="s">
        <v>204</v>
      </c>
      <c r="AH887" s="52"/>
      <c r="AI887" s="38"/>
      <c r="AJ887" s="38"/>
    </row>
    <row r="888" spans="1:36" ht="16.2">
      <c r="A888" s="42" t="s">
        <v>191</v>
      </c>
      <c r="B888" s="42">
        <v>900232</v>
      </c>
      <c r="C888" s="42" t="s">
        <v>2797</v>
      </c>
      <c r="D888" s="42">
        <v>13207721</v>
      </c>
      <c r="E888" s="43" t="s">
        <v>2798</v>
      </c>
      <c r="F888" s="42" t="s">
        <v>381</v>
      </c>
      <c r="G888" s="42" t="s">
        <v>195</v>
      </c>
      <c r="H888" s="42"/>
      <c r="I888" s="42"/>
      <c r="J888" s="42">
        <v>13207721</v>
      </c>
      <c r="K888" s="42"/>
      <c r="L888" s="44">
        <v>45293</v>
      </c>
      <c r="M888" s="44">
        <v>45293</v>
      </c>
      <c r="N888" s="42" t="s">
        <v>2799</v>
      </c>
      <c r="O888" s="42">
        <v>0</v>
      </c>
      <c r="P888" s="42">
        <v>20027410</v>
      </c>
      <c r="Q888" s="42" t="s">
        <v>2818</v>
      </c>
      <c r="R888" s="45">
        <v>410</v>
      </c>
      <c r="S888" s="46">
        <v>0.01</v>
      </c>
      <c r="T888" s="47" t="s">
        <v>198</v>
      </c>
      <c r="U888" s="48" t="s">
        <v>199</v>
      </c>
      <c r="V888" s="38"/>
      <c r="W888" s="48" t="s">
        <v>195</v>
      </c>
      <c r="X888" s="38" t="s">
        <v>200</v>
      </c>
      <c r="Y888" s="49" t="s">
        <v>201</v>
      </c>
      <c r="Z888" s="50" t="s">
        <v>2819</v>
      </c>
      <c r="AA888" s="38"/>
      <c r="AB888" s="38"/>
      <c r="AC888" s="38"/>
      <c r="AD888" s="51">
        <v>36</v>
      </c>
      <c r="AE888" s="51">
        <v>36</v>
      </c>
      <c r="AF888" s="48" t="s">
        <v>203</v>
      </c>
      <c r="AG888" s="38" t="s">
        <v>204</v>
      </c>
      <c r="AH888" s="52"/>
      <c r="AI888" s="38"/>
      <c r="AJ888" s="38"/>
    </row>
    <row r="889" spans="1:36" ht="16.2">
      <c r="A889" s="53" t="s">
        <v>191</v>
      </c>
      <c r="B889" s="53">
        <v>900232</v>
      </c>
      <c r="C889" s="53" t="s">
        <v>2797</v>
      </c>
      <c r="D889" s="53">
        <v>13207721</v>
      </c>
      <c r="E889" s="54" t="s">
        <v>2798</v>
      </c>
      <c r="F889" s="53" t="s">
        <v>2820</v>
      </c>
      <c r="G889" s="53" t="s">
        <v>195</v>
      </c>
      <c r="H889" s="53"/>
      <c r="I889" s="53"/>
      <c r="J889" s="53">
        <v>13207721</v>
      </c>
      <c r="K889" s="53"/>
      <c r="L889" s="55">
        <v>45293</v>
      </c>
      <c r="M889" s="55">
        <v>45293</v>
      </c>
      <c r="N889" s="53" t="s">
        <v>2799</v>
      </c>
      <c r="O889" s="53">
        <v>0</v>
      </c>
      <c r="P889" s="53">
        <v>20027410</v>
      </c>
      <c r="Q889" s="53" t="s">
        <v>2821</v>
      </c>
      <c r="R889" s="45">
        <v>410</v>
      </c>
      <c r="S889" s="56">
        <v>0.01</v>
      </c>
      <c r="T889" s="47" t="s">
        <v>198</v>
      </c>
      <c r="U889" s="48" t="s">
        <v>199</v>
      </c>
      <c r="V889" s="38"/>
      <c r="W889" s="48" t="s">
        <v>195</v>
      </c>
      <c r="X889" s="38" t="s">
        <v>200</v>
      </c>
      <c r="Y889" s="49" t="s">
        <v>201</v>
      </c>
      <c r="Z889" s="50" t="s">
        <v>2822</v>
      </c>
      <c r="AA889" s="38"/>
      <c r="AB889" s="38"/>
      <c r="AC889" s="38"/>
      <c r="AD889" s="51">
        <v>36</v>
      </c>
      <c r="AE889" s="51">
        <v>36</v>
      </c>
      <c r="AF889" s="48" t="s">
        <v>203</v>
      </c>
      <c r="AG889" s="38" t="s">
        <v>204</v>
      </c>
      <c r="AH889" s="52"/>
      <c r="AI889" s="38"/>
      <c r="AJ889" s="38"/>
    </row>
    <row r="890" spans="1:36" ht="16.2">
      <c r="A890" s="42" t="s">
        <v>191</v>
      </c>
      <c r="B890" s="42">
        <v>900232</v>
      </c>
      <c r="C890" s="42" t="s">
        <v>2797</v>
      </c>
      <c r="D890" s="42">
        <v>13207721</v>
      </c>
      <c r="E890" s="43" t="s">
        <v>2798</v>
      </c>
      <c r="F890" s="42" t="s">
        <v>2823</v>
      </c>
      <c r="G890" s="42" t="s">
        <v>195</v>
      </c>
      <c r="H890" s="42"/>
      <c r="I890" s="42"/>
      <c r="J890" s="42">
        <v>13207721</v>
      </c>
      <c r="K890" s="42"/>
      <c r="L890" s="44">
        <v>45293</v>
      </c>
      <c r="M890" s="44">
        <v>45293</v>
      </c>
      <c r="N890" s="42" t="s">
        <v>2799</v>
      </c>
      <c r="O890" s="42">
        <v>0</v>
      </c>
      <c r="P890" s="42">
        <v>20027410</v>
      </c>
      <c r="Q890" s="42" t="s">
        <v>2824</v>
      </c>
      <c r="R890" s="45">
        <v>410</v>
      </c>
      <c r="S890" s="46">
        <v>0.01</v>
      </c>
      <c r="T890" s="47" t="s">
        <v>198</v>
      </c>
      <c r="U890" s="48" t="s">
        <v>199</v>
      </c>
      <c r="V890" s="38"/>
      <c r="W890" s="48" t="s">
        <v>195</v>
      </c>
      <c r="X890" s="38" t="s">
        <v>200</v>
      </c>
      <c r="Y890" s="49" t="s">
        <v>201</v>
      </c>
      <c r="Z890" s="50" t="s">
        <v>2825</v>
      </c>
      <c r="AA890" s="38"/>
      <c r="AB890" s="38"/>
      <c r="AC890" s="38"/>
      <c r="AD890" s="51">
        <v>36</v>
      </c>
      <c r="AE890" s="51">
        <v>36</v>
      </c>
      <c r="AF890" s="48" t="s">
        <v>203</v>
      </c>
      <c r="AG890" s="38" t="s">
        <v>204</v>
      </c>
      <c r="AH890" s="52"/>
      <c r="AI890" s="38"/>
      <c r="AJ890" s="38"/>
    </row>
    <row r="891" spans="1:36" ht="16.2">
      <c r="A891" s="53" t="s">
        <v>191</v>
      </c>
      <c r="B891" s="53">
        <v>900232</v>
      </c>
      <c r="C891" s="53" t="s">
        <v>2797</v>
      </c>
      <c r="D891" s="53">
        <v>13207721</v>
      </c>
      <c r="E891" s="54" t="s">
        <v>2798</v>
      </c>
      <c r="F891" s="53" t="s">
        <v>2826</v>
      </c>
      <c r="G891" s="53" t="s">
        <v>195</v>
      </c>
      <c r="H891" s="53"/>
      <c r="I891" s="53"/>
      <c r="J891" s="53">
        <v>13207721</v>
      </c>
      <c r="K891" s="53"/>
      <c r="L891" s="55">
        <v>45293</v>
      </c>
      <c r="M891" s="55">
        <v>45293</v>
      </c>
      <c r="N891" s="53" t="s">
        <v>2799</v>
      </c>
      <c r="O891" s="53">
        <v>0</v>
      </c>
      <c r="P891" s="53">
        <v>20027410</v>
      </c>
      <c r="Q891" s="53" t="s">
        <v>2827</v>
      </c>
      <c r="R891" s="45">
        <v>410</v>
      </c>
      <c r="S891" s="56">
        <v>0.01</v>
      </c>
      <c r="T891" s="47" t="s">
        <v>198</v>
      </c>
      <c r="U891" s="48" t="s">
        <v>199</v>
      </c>
      <c r="V891" s="38"/>
      <c r="W891" s="48" t="s">
        <v>195</v>
      </c>
      <c r="X891" s="38" t="s">
        <v>200</v>
      </c>
      <c r="Y891" s="49" t="s">
        <v>201</v>
      </c>
      <c r="Z891" s="50" t="s">
        <v>2828</v>
      </c>
      <c r="AA891" s="38"/>
      <c r="AB891" s="38"/>
      <c r="AC891" s="38"/>
      <c r="AD891" s="51">
        <v>36</v>
      </c>
      <c r="AE891" s="51">
        <v>36</v>
      </c>
      <c r="AF891" s="48" t="s">
        <v>203</v>
      </c>
      <c r="AG891" s="38" t="s">
        <v>204</v>
      </c>
      <c r="AH891" s="52"/>
      <c r="AI891" s="38"/>
      <c r="AJ891" s="38"/>
    </row>
    <row r="892" spans="1:36" ht="16.2">
      <c r="A892" s="42" t="s">
        <v>191</v>
      </c>
      <c r="B892" s="42">
        <v>900232</v>
      </c>
      <c r="C892" s="42" t="s">
        <v>2797</v>
      </c>
      <c r="D892" s="42">
        <v>13207721</v>
      </c>
      <c r="E892" s="43" t="s">
        <v>2798</v>
      </c>
      <c r="F892" s="42" t="s">
        <v>479</v>
      </c>
      <c r="G892" s="42" t="s">
        <v>195</v>
      </c>
      <c r="H892" s="42"/>
      <c r="I892" s="42"/>
      <c r="J892" s="42">
        <v>13207721</v>
      </c>
      <c r="K892" s="42"/>
      <c r="L892" s="44">
        <v>45293</v>
      </c>
      <c r="M892" s="44">
        <v>45293</v>
      </c>
      <c r="N892" s="42" t="s">
        <v>2799</v>
      </c>
      <c r="O892" s="42">
        <v>0</v>
      </c>
      <c r="P892" s="42">
        <v>20027410</v>
      </c>
      <c r="Q892" s="42" t="s">
        <v>2829</v>
      </c>
      <c r="R892" s="45">
        <v>410</v>
      </c>
      <c r="S892" s="46">
        <v>0.01</v>
      </c>
      <c r="T892" s="47" t="s">
        <v>198</v>
      </c>
      <c r="U892" s="48" t="s">
        <v>199</v>
      </c>
      <c r="V892" s="38"/>
      <c r="W892" s="48" t="s">
        <v>195</v>
      </c>
      <c r="X892" s="38" t="s">
        <v>200</v>
      </c>
      <c r="Y892" s="49" t="s">
        <v>201</v>
      </c>
      <c r="Z892" s="50" t="s">
        <v>2830</v>
      </c>
      <c r="AA892" s="38"/>
      <c r="AB892" s="38"/>
      <c r="AC892" s="38"/>
      <c r="AD892" s="51">
        <v>36</v>
      </c>
      <c r="AE892" s="51">
        <v>36</v>
      </c>
      <c r="AF892" s="48" t="s">
        <v>203</v>
      </c>
      <c r="AG892" s="38" t="s">
        <v>204</v>
      </c>
      <c r="AH892" s="52"/>
      <c r="AI892" s="38"/>
      <c r="AJ892" s="38"/>
    </row>
    <row r="893" spans="1:36" ht="16.2">
      <c r="A893" s="53" t="s">
        <v>191</v>
      </c>
      <c r="B893" s="53">
        <v>900232</v>
      </c>
      <c r="C893" s="53" t="s">
        <v>2797</v>
      </c>
      <c r="D893" s="53">
        <v>13207721</v>
      </c>
      <c r="E893" s="54" t="s">
        <v>2798</v>
      </c>
      <c r="F893" s="53" t="s">
        <v>2831</v>
      </c>
      <c r="G893" s="53" t="s">
        <v>195</v>
      </c>
      <c r="H893" s="53"/>
      <c r="I893" s="53"/>
      <c r="J893" s="53">
        <v>13207721</v>
      </c>
      <c r="K893" s="53"/>
      <c r="L893" s="55">
        <v>45293</v>
      </c>
      <c r="M893" s="55">
        <v>45293</v>
      </c>
      <c r="N893" s="53" t="s">
        <v>2799</v>
      </c>
      <c r="O893" s="53">
        <v>0</v>
      </c>
      <c r="P893" s="53">
        <v>20027410</v>
      </c>
      <c r="Q893" s="53" t="s">
        <v>2832</v>
      </c>
      <c r="R893" s="45">
        <v>410</v>
      </c>
      <c r="S893" s="56">
        <v>0.01</v>
      </c>
      <c r="T893" s="47" t="s">
        <v>198</v>
      </c>
      <c r="U893" s="48" t="s">
        <v>199</v>
      </c>
      <c r="V893" s="38"/>
      <c r="W893" s="48" t="s">
        <v>195</v>
      </c>
      <c r="X893" s="38" t="s">
        <v>200</v>
      </c>
      <c r="Y893" s="49" t="s">
        <v>201</v>
      </c>
      <c r="Z893" s="50" t="s">
        <v>2833</v>
      </c>
      <c r="AA893" s="38"/>
      <c r="AB893" s="38"/>
      <c r="AC893" s="38"/>
      <c r="AD893" s="51">
        <v>36</v>
      </c>
      <c r="AE893" s="51">
        <v>36</v>
      </c>
      <c r="AF893" s="48" t="s">
        <v>203</v>
      </c>
      <c r="AG893" s="38" t="s">
        <v>204</v>
      </c>
      <c r="AH893" s="52"/>
      <c r="AI893" s="38"/>
      <c r="AJ893" s="38"/>
    </row>
    <row r="894" spans="1:36" ht="16.2">
      <c r="A894" s="42" t="s">
        <v>191</v>
      </c>
      <c r="B894" s="42">
        <v>900232</v>
      </c>
      <c r="C894" s="42" t="s">
        <v>2797</v>
      </c>
      <c r="D894" s="42">
        <v>13207721</v>
      </c>
      <c r="E894" s="43" t="s">
        <v>2798</v>
      </c>
      <c r="F894" s="42" t="s">
        <v>2834</v>
      </c>
      <c r="G894" s="42" t="s">
        <v>195</v>
      </c>
      <c r="H894" s="42"/>
      <c r="I894" s="42"/>
      <c r="J894" s="42">
        <v>13207721</v>
      </c>
      <c r="K894" s="42"/>
      <c r="L894" s="44">
        <v>45293</v>
      </c>
      <c r="M894" s="44">
        <v>45293</v>
      </c>
      <c r="N894" s="42" t="s">
        <v>2799</v>
      </c>
      <c r="O894" s="42">
        <v>0</v>
      </c>
      <c r="P894" s="42">
        <v>20027410</v>
      </c>
      <c r="Q894" s="42" t="s">
        <v>2835</v>
      </c>
      <c r="R894" s="45">
        <v>410</v>
      </c>
      <c r="S894" s="46">
        <v>0.01</v>
      </c>
      <c r="T894" s="47" t="s">
        <v>198</v>
      </c>
      <c r="U894" s="48" t="s">
        <v>199</v>
      </c>
      <c r="V894" s="38"/>
      <c r="W894" s="48" t="s">
        <v>195</v>
      </c>
      <c r="X894" s="38" t="s">
        <v>200</v>
      </c>
      <c r="Y894" s="49" t="s">
        <v>201</v>
      </c>
      <c r="Z894" s="50" t="s">
        <v>2836</v>
      </c>
      <c r="AA894" s="38"/>
      <c r="AB894" s="38"/>
      <c r="AC894" s="38"/>
      <c r="AD894" s="51">
        <v>36</v>
      </c>
      <c r="AE894" s="51">
        <v>36</v>
      </c>
      <c r="AF894" s="48" t="s">
        <v>203</v>
      </c>
      <c r="AG894" s="38" t="s">
        <v>204</v>
      </c>
      <c r="AH894" s="52"/>
      <c r="AI894" s="38"/>
      <c r="AJ894" s="38"/>
    </row>
    <row r="895" spans="1:36" ht="16.2">
      <c r="A895" s="53" t="s">
        <v>191</v>
      </c>
      <c r="B895" s="53">
        <v>900232</v>
      </c>
      <c r="C895" s="53" t="s">
        <v>2797</v>
      </c>
      <c r="D895" s="53">
        <v>13207721</v>
      </c>
      <c r="E895" s="54" t="s">
        <v>2798</v>
      </c>
      <c r="F895" s="53" t="s">
        <v>2837</v>
      </c>
      <c r="G895" s="53" t="s">
        <v>195</v>
      </c>
      <c r="H895" s="53"/>
      <c r="I895" s="53"/>
      <c r="J895" s="53">
        <v>13207721</v>
      </c>
      <c r="K895" s="53"/>
      <c r="L895" s="55">
        <v>45293</v>
      </c>
      <c r="M895" s="55">
        <v>45293</v>
      </c>
      <c r="N895" s="53" t="s">
        <v>2799</v>
      </c>
      <c r="O895" s="53">
        <v>0</v>
      </c>
      <c r="P895" s="53">
        <v>20027410</v>
      </c>
      <c r="Q895" s="53" t="s">
        <v>2838</v>
      </c>
      <c r="R895" s="45">
        <v>410</v>
      </c>
      <c r="S895" s="56">
        <v>0.01</v>
      </c>
      <c r="T895" s="47" t="s">
        <v>198</v>
      </c>
      <c r="U895" s="48" t="s">
        <v>199</v>
      </c>
      <c r="V895" s="38"/>
      <c r="W895" s="48" t="s">
        <v>195</v>
      </c>
      <c r="X895" s="38" t="s">
        <v>200</v>
      </c>
      <c r="Y895" s="49" t="s">
        <v>201</v>
      </c>
      <c r="Z895" s="50" t="s">
        <v>2839</v>
      </c>
      <c r="AA895" s="38"/>
      <c r="AB895" s="38"/>
      <c r="AC895" s="38"/>
      <c r="AD895" s="51">
        <v>36</v>
      </c>
      <c r="AE895" s="51">
        <v>36</v>
      </c>
      <c r="AF895" s="48" t="s">
        <v>203</v>
      </c>
      <c r="AG895" s="38" t="s">
        <v>204</v>
      </c>
      <c r="AH895" s="52"/>
      <c r="AI895" s="38"/>
      <c r="AJ895" s="38"/>
    </row>
    <row r="896" spans="1:36" ht="16.2">
      <c r="A896" s="42" t="s">
        <v>191</v>
      </c>
      <c r="B896" s="42">
        <v>900232</v>
      </c>
      <c r="C896" s="42" t="s">
        <v>2797</v>
      </c>
      <c r="D896" s="42">
        <v>13207721</v>
      </c>
      <c r="E896" s="43" t="s">
        <v>2798</v>
      </c>
      <c r="F896" s="42" t="s">
        <v>2840</v>
      </c>
      <c r="G896" s="42" t="s">
        <v>195</v>
      </c>
      <c r="H896" s="42"/>
      <c r="I896" s="42"/>
      <c r="J896" s="42">
        <v>13207721</v>
      </c>
      <c r="K896" s="42"/>
      <c r="L896" s="44">
        <v>45293</v>
      </c>
      <c r="M896" s="44">
        <v>45293</v>
      </c>
      <c r="N896" s="42" t="s">
        <v>2799</v>
      </c>
      <c r="O896" s="42">
        <v>0</v>
      </c>
      <c r="P896" s="42">
        <v>20027410</v>
      </c>
      <c r="Q896" s="42" t="s">
        <v>2841</v>
      </c>
      <c r="R896" s="45">
        <v>410</v>
      </c>
      <c r="S896" s="46">
        <v>0.01</v>
      </c>
      <c r="T896" s="47" t="s">
        <v>198</v>
      </c>
      <c r="U896" s="48" t="s">
        <v>199</v>
      </c>
      <c r="V896" s="38"/>
      <c r="W896" s="48" t="s">
        <v>195</v>
      </c>
      <c r="X896" s="38" t="s">
        <v>200</v>
      </c>
      <c r="Y896" s="49" t="s">
        <v>201</v>
      </c>
      <c r="Z896" s="50" t="s">
        <v>2842</v>
      </c>
      <c r="AA896" s="38"/>
      <c r="AB896" s="38"/>
      <c r="AC896" s="38"/>
      <c r="AD896" s="51">
        <v>36</v>
      </c>
      <c r="AE896" s="51">
        <v>36</v>
      </c>
      <c r="AF896" s="48" t="s">
        <v>203</v>
      </c>
      <c r="AG896" s="38" t="s">
        <v>204</v>
      </c>
      <c r="AH896" s="52"/>
      <c r="AI896" s="38"/>
      <c r="AJ896" s="38"/>
    </row>
    <row r="897" spans="1:36" ht="16.2">
      <c r="A897" s="53" t="s">
        <v>191</v>
      </c>
      <c r="B897" s="53">
        <v>900232</v>
      </c>
      <c r="C897" s="53" t="s">
        <v>2797</v>
      </c>
      <c r="D897" s="53">
        <v>13207721</v>
      </c>
      <c r="E897" s="54" t="s">
        <v>2798</v>
      </c>
      <c r="F897" s="53" t="s">
        <v>2843</v>
      </c>
      <c r="G897" s="53" t="s">
        <v>195</v>
      </c>
      <c r="H897" s="53"/>
      <c r="I897" s="53"/>
      <c r="J897" s="53">
        <v>13207721</v>
      </c>
      <c r="K897" s="53"/>
      <c r="L897" s="55">
        <v>45293</v>
      </c>
      <c r="M897" s="55">
        <v>45293</v>
      </c>
      <c r="N897" s="53" t="s">
        <v>2799</v>
      </c>
      <c r="O897" s="53">
        <v>0</v>
      </c>
      <c r="P897" s="53">
        <v>20027410</v>
      </c>
      <c r="Q897" s="53" t="s">
        <v>2844</v>
      </c>
      <c r="R897" s="45">
        <v>410</v>
      </c>
      <c r="S897" s="56">
        <v>0.01</v>
      </c>
      <c r="T897" s="47" t="s">
        <v>198</v>
      </c>
      <c r="U897" s="48" t="s">
        <v>199</v>
      </c>
      <c r="V897" s="38"/>
      <c r="W897" s="48" t="s">
        <v>195</v>
      </c>
      <c r="X897" s="38" t="s">
        <v>200</v>
      </c>
      <c r="Y897" s="49" t="s">
        <v>201</v>
      </c>
      <c r="Z897" s="50" t="s">
        <v>2845</v>
      </c>
      <c r="AA897" s="38"/>
      <c r="AB897" s="38"/>
      <c r="AC897" s="38"/>
      <c r="AD897" s="51">
        <v>36</v>
      </c>
      <c r="AE897" s="51">
        <v>36</v>
      </c>
      <c r="AF897" s="48" t="s">
        <v>203</v>
      </c>
      <c r="AG897" s="38" t="s">
        <v>204</v>
      </c>
      <c r="AH897" s="52"/>
      <c r="AI897" s="38"/>
      <c r="AJ897" s="38"/>
    </row>
    <row r="898" spans="1:36" ht="16.2">
      <c r="A898" s="42" t="s">
        <v>191</v>
      </c>
      <c r="B898" s="42">
        <v>900232</v>
      </c>
      <c r="C898" s="42" t="s">
        <v>2797</v>
      </c>
      <c r="D898" s="42">
        <v>13207721</v>
      </c>
      <c r="E898" s="43" t="s">
        <v>2798</v>
      </c>
      <c r="F898" s="42" t="s">
        <v>2846</v>
      </c>
      <c r="G898" s="42" t="s">
        <v>195</v>
      </c>
      <c r="H898" s="42"/>
      <c r="I898" s="42"/>
      <c r="J898" s="42">
        <v>13207721</v>
      </c>
      <c r="K898" s="42"/>
      <c r="L898" s="44">
        <v>45293</v>
      </c>
      <c r="M898" s="44">
        <v>45293</v>
      </c>
      <c r="N898" s="42" t="s">
        <v>2799</v>
      </c>
      <c r="O898" s="42">
        <v>0</v>
      </c>
      <c r="P898" s="42">
        <v>20027410</v>
      </c>
      <c r="Q898" s="42" t="s">
        <v>2847</v>
      </c>
      <c r="R898" s="45">
        <v>410</v>
      </c>
      <c r="S898" s="46">
        <v>0.01</v>
      </c>
      <c r="T898" s="47" t="s">
        <v>198</v>
      </c>
      <c r="U898" s="48" t="s">
        <v>199</v>
      </c>
      <c r="V898" s="38"/>
      <c r="W898" s="48" t="s">
        <v>195</v>
      </c>
      <c r="X898" s="38" t="s">
        <v>200</v>
      </c>
      <c r="Y898" s="49" t="s">
        <v>201</v>
      </c>
      <c r="Z898" s="50" t="s">
        <v>2848</v>
      </c>
      <c r="AA898" s="38"/>
      <c r="AB898" s="38"/>
      <c r="AC898" s="38"/>
      <c r="AD898" s="51">
        <v>36</v>
      </c>
      <c r="AE898" s="51">
        <v>36</v>
      </c>
      <c r="AF898" s="48" t="s">
        <v>203</v>
      </c>
      <c r="AG898" s="38" t="s">
        <v>204</v>
      </c>
      <c r="AH898" s="52"/>
      <c r="AI898" s="38"/>
      <c r="AJ898" s="38"/>
    </row>
    <row r="899" spans="1:36" ht="16.2">
      <c r="A899" s="53" t="s">
        <v>191</v>
      </c>
      <c r="B899" s="53">
        <v>900232</v>
      </c>
      <c r="C899" s="53" t="s">
        <v>2797</v>
      </c>
      <c r="D899" s="53">
        <v>13207721</v>
      </c>
      <c r="E899" s="54" t="s">
        <v>2798</v>
      </c>
      <c r="F899" s="53" t="s">
        <v>2849</v>
      </c>
      <c r="G899" s="53" t="s">
        <v>195</v>
      </c>
      <c r="H899" s="53"/>
      <c r="I899" s="53"/>
      <c r="J899" s="53">
        <v>13207721</v>
      </c>
      <c r="K899" s="53"/>
      <c r="L899" s="55">
        <v>45293</v>
      </c>
      <c r="M899" s="55">
        <v>45293</v>
      </c>
      <c r="N899" s="53" t="s">
        <v>2799</v>
      </c>
      <c r="O899" s="53">
        <v>0</v>
      </c>
      <c r="P899" s="53">
        <v>20027410</v>
      </c>
      <c r="Q899" s="53" t="s">
        <v>2850</v>
      </c>
      <c r="R899" s="45">
        <v>410</v>
      </c>
      <c r="S899" s="56">
        <v>0.01</v>
      </c>
      <c r="T899" s="47" t="s">
        <v>198</v>
      </c>
      <c r="U899" s="48" t="s">
        <v>199</v>
      </c>
      <c r="V899" s="38"/>
      <c r="W899" s="48" t="s">
        <v>195</v>
      </c>
      <c r="X899" s="38" t="s">
        <v>200</v>
      </c>
      <c r="Y899" s="49" t="s">
        <v>201</v>
      </c>
      <c r="Z899" s="50" t="s">
        <v>2851</v>
      </c>
      <c r="AA899" s="38"/>
      <c r="AB899" s="38"/>
      <c r="AC899" s="38"/>
      <c r="AD899" s="51">
        <v>36</v>
      </c>
      <c r="AE899" s="51">
        <v>36</v>
      </c>
      <c r="AF899" s="48" t="s">
        <v>203</v>
      </c>
      <c r="AG899" s="38" t="s">
        <v>204</v>
      </c>
      <c r="AH899" s="52"/>
      <c r="AI899" s="38"/>
      <c r="AJ899" s="38"/>
    </row>
    <row r="900" spans="1:36" ht="16.2">
      <c r="A900" s="42" t="s">
        <v>191</v>
      </c>
      <c r="B900" s="42">
        <v>900232</v>
      </c>
      <c r="C900" s="42" t="s">
        <v>2797</v>
      </c>
      <c r="D900" s="42">
        <v>13207721</v>
      </c>
      <c r="E900" s="43" t="s">
        <v>2798</v>
      </c>
      <c r="F900" s="42" t="s">
        <v>2852</v>
      </c>
      <c r="G900" s="42" t="s">
        <v>195</v>
      </c>
      <c r="H900" s="42"/>
      <c r="I900" s="42"/>
      <c r="J900" s="42">
        <v>13207721</v>
      </c>
      <c r="K900" s="42"/>
      <c r="L900" s="44">
        <v>45293</v>
      </c>
      <c r="M900" s="44">
        <v>45293</v>
      </c>
      <c r="N900" s="42" t="s">
        <v>2799</v>
      </c>
      <c r="O900" s="42">
        <v>0</v>
      </c>
      <c r="P900" s="42">
        <v>20027410</v>
      </c>
      <c r="Q900" s="42" t="s">
        <v>2853</v>
      </c>
      <c r="R900" s="45">
        <v>410</v>
      </c>
      <c r="S900" s="46">
        <v>0.01</v>
      </c>
      <c r="T900" s="47" t="s">
        <v>198</v>
      </c>
      <c r="U900" s="48" t="s">
        <v>199</v>
      </c>
      <c r="V900" s="38"/>
      <c r="W900" s="48" t="s">
        <v>195</v>
      </c>
      <c r="X900" s="38" t="s">
        <v>200</v>
      </c>
      <c r="Y900" s="49" t="s">
        <v>201</v>
      </c>
      <c r="Z900" s="50" t="s">
        <v>2854</v>
      </c>
      <c r="AA900" s="38"/>
      <c r="AB900" s="38"/>
      <c r="AC900" s="38"/>
      <c r="AD900" s="51">
        <v>36</v>
      </c>
      <c r="AE900" s="51">
        <v>36</v>
      </c>
      <c r="AF900" s="48" t="s">
        <v>203</v>
      </c>
      <c r="AG900" s="38" t="s">
        <v>204</v>
      </c>
      <c r="AH900" s="52"/>
      <c r="AI900" s="38"/>
      <c r="AJ900" s="38"/>
    </row>
    <row r="901" spans="1:36" ht="16.2">
      <c r="A901" s="53" t="s">
        <v>191</v>
      </c>
      <c r="B901" s="53">
        <v>900232</v>
      </c>
      <c r="C901" s="53" t="s">
        <v>2797</v>
      </c>
      <c r="D901" s="53">
        <v>13207721</v>
      </c>
      <c r="E901" s="54" t="s">
        <v>2798</v>
      </c>
      <c r="F901" s="53" t="s">
        <v>2855</v>
      </c>
      <c r="G901" s="53" t="s">
        <v>195</v>
      </c>
      <c r="H901" s="53"/>
      <c r="I901" s="53"/>
      <c r="J901" s="53">
        <v>13207721</v>
      </c>
      <c r="K901" s="53"/>
      <c r="L901" s="55">
        <v>45293</v>
      </c>
      <c r="M901" s="55">
        <v>45293</v>
      </c>
      <c r="N901" s="53" t="s">
        <v>2799</v>
      </c>
      <c r="O901" s="53">
        <v>0</v>
      </c>
      <c r="P901" s="53">
        <v>20027410</v>
      </c>
      <c r="Q901" s="53" t="s">
        <v>2856</v>
      </c>
      <c r="R901" s="45">
        <v>410</v>
      </c>
      <c r="S901" s="56">
        <v>0.01</v>
      </c>
      <c r="T901" s="47" t="s">
        <v>198</v>
      </c>
      <c r="U901" s="48" t="s">
        <v>199</v>
      </c>
      <c r="V901" s="38"/>
      <c r="W901" s="48" t="s">
        <v>195</v>
      </c>
      <c r="X901" s="38" t="s">
        <v>200</v>
      </c>
      <c r="Y901" s="49" t="s">
        <v>201</v>
      </c>
      <c r="Z901" s="50" t="s">
        <v>2857</v>
      </c>
      <c r="AA901" s="38"/>
      <c r="AB901" s="38"/>
      <c r="AC901" s="38"/>
      <c r="AD901" s="51">
        <v>36</v>
      </c>
      <c r="AE901" s="51">
        <v>36</v>
      </c>
      <c r="AF901" s="48" t="s">
        <v>203</v>
      </c>
      <c r="AG901" s="38" t="s">
        <v>204</v>
      </c>
      <c r="AH901" s="52"/>
      <c r="AI901" s="38"/>
      <c r="AJ901" s="38"/>
    </row>
    <row r="902" spans="1:36" ht="16.2">
      <c r="A902" s="42" t="s">
        <v>191</v>
      </c>
      <c r="B902" s="42">
        <v>900232</v>
      </c>
      <c r="C902" s="42" t="s">
        <v>2797</v>
      </c>
      <c r="D902" s="42">
        <v>13207721</v>
      </c>
      <c r="E902" s="43" t="s">
        <v>2798</v>
      </c>
      <c r="F902" s="42" t="s">
        <v>2858</v>
      </c>
      <c r="G902" s="42" t="s">
        <v>195</v>
      </c>
      <c r="H902" s="42"/>
      <c r="I902" s="42"/>
      <c r="J902" s="42">
        <v>13207721</v>
      </c>
      <c r="K902" s="42"/>
      <c r="L902" s="44">
        <v>45293</v>
      </c>
      <c r="M902" s="44">
        <v>45293</v>
      </c>
      <c r="N902" s="42" t="s">
        <v>2799</v>
      </c>
      <c r="O902" s="42">
        <v>0</v>
      </c>
      <c r="P902" s="42">
        <v>20027410</v>
      </c>
      <c r="Q902" s="42" t="s">
        <v>2859</v>
      </c>
      <c r="R902" s="45">
        <v>410</v>
      </c>
      <c r="S902" s="46">
        <v>0.01</v>
      </c>
      <c r="T902" s="47" t="s">
        <v>198</v>
      </c>
      <c r="U902" s="48" t="s">
        <v>199</v>
      </c>
      <c r="V902" s="38"/>
      <c r="W902" s="48" t="s">
        <v>195</v>
      </c>
      <c r="X902" s="38" t="s">
        <v>200</v>
      </c>
      <c r="Y902" s="49" t="s">
        <v>201</v>
      </c>
      <c r="Z902" s="50" t="s">
        <v>2860</v>
      </c>
      <c r="AA902" s="38"/>
      <c r="AB902" s="38"/>
      <c r="AC902" s="38"/>
      <c r="AD902" s="51">
        <v>36</v>
      </c>
      <c r="AE902" s="51">
        <v>36</v>
      </c>
      <c r="AF902" s="48" t="s">
        <v>203</v>
      </c>
      <c r="AG902" s="38" t="s">
        <v>204</v>
      </c>
      <c r="AH902" s="52"/>
      <c r="AI902" s="38"/>
      <c r="AJ902" s="38"/>
    </row>
    <row r="903" spans="1:36" ht="16.2">
      <c r="A903" s="53" t="s">
        <v>191</v>
      </c>
      <c r="B903" s="53">
        <v>900232</v>
      </c>
      <c r="C903" s="53" t="s">
        <v>2797</v>
      </c>
      <c r="D903" s="53">
        <v>13207721</v>
      </c>
      <c r="E903" s="54" t="s">
        <v>2798</v>
      </c>
      <c r="F903" s="53" t="s">
        <v>2861</v>
      </c>
      <c r="G903" s="53" t="s">
        <v>195</v>
      </c>
      <c r="H903" s="53"/>
      <c r="I903" s="53"/>
      <c r="J903" s="53">
        <v>13207721</v>
      </c>
      <c r="K903" s="53"/>
      <c r="L903" s="55">
        <v>45293</v>
      </c>
      <c r="M903" s="55">
        <v>45293</v>
      </c>
      <c r="N903" s="53" t="s">
        <v>2799</v>
      </c>
      <c r="O903" s="53">
        <v>0</v>
      </c>
      <c r="P903" s="53">
        <v>20027410</v>
      </c>
      <c r="Q903" s="53" t="s">
        <v>2862</v>
      </c>
      <c r="R903" s="45">
        <v>410</v>
      </c>
      <c r="S903" s="56">
        <v>0.01</v>
      </c>
      <c r="T903" s="47" t="s">
        <v>198</v>
      </c>
      <c r="U903" s="48" t="s">
        <v>199</v>
      </c>
      <c r="V903" s="38"/>
      <c r="W903" s="48" t="s">
        <v>195</v>
      </c>
      <c r="X903" s="38" t="s">
        <v>200</v>
      </c>
      <c r="Y903" s="49" t="s">
        <v>201</v>
      </c>
      <c r="Z903" s="50" t="s">
        <v>2863</v>
      </c>
      <c r="AA903" s="38"/>
      <c r="AB903" s="38"/>
      <c r="AC903" s="38"/>
      <c r="AD903" s="51">
        <v>36</v>
      </c>
      <c r="AE903" s="51">
        <v>36</v>
      </c>
      <c r="AF903" s="48" t="s">
        <v>203</v>
      </c>
      <c r="AG903" s="38" t="s">
        <v>204</v>
      </c>
      <c r="AH903" s="52"/>
      <c r="AI903" s="38"/>
      <c r="AJ903" s="38"/>
    </row>
    <row r="904" spans="1:36" ht="16.2">
      <c r="A904" s="42" t="s">
        <v>191</v>
      </c>
      <c r="B904" s="42">
        <v>900232</v>
      </c>
      <c r="C904" s="42" t="s">
        <v>2797</v>
      </c>
      <c r="D904" s="42">
        <v>13207721</v>
      </c>
      <c r="E904" s="43" t="s">
        <v>2798</v>
      </c>
      <c r="F904" s="42" t="s">
        <v>2864</v>
      </c>
      <c r="G904" s="42" t="s">
        <v>195</v>
      </c>
      <c r="H904" s="42"/>
      <c r="I904" s="42"/>
      <c r="J904" s="42">
        <v>13207721</v>
      </c>
      <c r="K904" s="42"/>
      <c r="L904" s="44">
        <v>45293</v>
      </c>
      <c r="M904" s="44">
        <v>45293</v>
      </c>
      <c r="N904" s="42" t="s">
        <v>2799</v>
      </c>
      <c r="O904" s="42">
        <v>0</v>
      </c>
      <c r="P904" s="42">
        <v>20027410</v>
      </c>
      <c r="Q904" s="42" t="s">
        <v>2865</v>
      </c>
      <c r="R904" s="45">
        <v>410</v>
      </c>
      <c r="S904" s="46">
        <v>0.01</v>
      </c>
      <c r="T904" s="47" t="s">
        <v>198</v>
      </c>
      <c r="U904" s="48" t="s">
        <v>199</v>
      </c>
      <c r="V904" s="38"/>
      <c r="W904" s="48" t="s">
        <v>195</v>
      </c>
      <c r="X904" s="38" t="s">
        <v>200</v>
      </c>
      <c r="Y904" s="49" t="s">
        <v>201</v>
      </c>
      <c r="Z904" s="50" t="s">
        <v>2866</v>
      </c>
      <c r="AA904" s="38"/>
      <c r="AB904" s="38"/>
      <c r="AC904" s="38"/>
      <c r="AD904" s="51">
        <v>36</v>
      </c>
      <c r="AE904" s="51">
        <v>36</v>
      </c>
      <c r="AF904" s="48" t="s">
        <v>203</v>
      </c>
      <c r="AG904" s="38" t="s">
        <v>204</v>
      </c>
      <c r="AH904" s="52"/>
      <c r="AI904" s="38"/>
      <c r="AJ904" s="38"/>
    </row>
    <row r="905" spans="1:36" ht="16.2">
      <c r="A905" s="53" t="s">
        <v>191</v>
      </c>
      <c r="B905" s="53">
        <v>900232</v>
      </c>
      <c r="C905" s="53" t="s">
        <v>2797</v>
      </c>
      <c r="D905" s="53">
        <v>13207721</v>
      </c>
      <c r="E905" s="54" t="s">
        <v>2798</v>
      </c>
      <c r="F905" s="53" t="s">
        <v>2867</v>
      </c>
      <c r="G905" s="53" t="s">
        <v>195</v>
      </c>
      <c r="H905" s="53"/>
      <c r="I905" s="53"/>
      <c r="J905" s="53">
        <v>13207721</v>
      </c>
      <c r="K905" s="53"/>
      <c r="L905" s="55">
        <v>45293</v>
      </c>
      <c r="M905" s="55">
        <v>45293</v>
      </c>
      <c r="N905" s="53" t="s">
        <v>2799</v>
      </c>
      <c r="O905" s="53">
        <v>0</v>
      </c>
      <c r="P905" s="53">
        <v>20027410</v>
      </c>
      <c r="Q905" s="53" t="s">
        <v>2868</v>
      </c>
      <c r="R905" s="45">
        <v>410</v>
      </c>
      <c r="S905" s="56">
        <v>0.01</v>
      </c>
      <c r="T905" s="47" t="s">
        <v>198</v>
      </c>
      <c r="U905" s="48" t="s">
        <v>199</v>
      </c>
      <c r="V905" s="38"/>
      <c r="W905" s="48" t="s">
        <v>195</v>
      </c>
      <c r="X905" s="38" t="s">
        <v>200</v>
      </c>
      <c r="Y905" s="49" t="s">
        <v>201</v>
      </c>
      <c r="Z905" s="50" t="s">
        <v>2869</v>
      </c>
      <c r="AA905" s="38"/>
      <c r="AB905" s="38"/>
      <c r="AC905" s="38"/>
      <c r="AD905" s="51">
        <v>36</v>
      </c>
      <c r="AE905" s="51">
        <v>36</v>
      </c>
      <c r="AF905" s="48" t="s">
        <v>203</v>
      </c>
      <c r="AG905" s="38" t="s">
        <v>204</v>
      </c>
      <c r="AH905" s="52"/>
      <c r="AI905" s="38"/>
      <c r="AJ905" s="38"/>
    </row>
    <row r="906" spans="1:36" ht="16.2">
      <c r="A906" s="42" t="s">
        <v>191</v>
      </c>
      <c r="B906" s="42">
        <v>900232</v>
      </c>
      <c r="C906" s="42" t="s">
        <v>2797</v>
      </c>
      <c r="D906" s="42">
        <v>13207721</v>
      </c>
      <c r="E906" s="43" t="s">
        <v>2798</v>
      </c>
      <c r="F906" s="42" t="s">
        <v>2870</v>
      </c>
      <c r="G906" s="42" t="s">
        <v>195</v>
      </c>
      <c r="H906" s="42"/>
      <c r="I906" s="42"/>
      <c r="J906" s="42">
        <v>13207721</v>
      </c>
      <c r="K906" s="42"/>
      <c r="L906" s="44">
        <v>45293</v>
      </c>
      <c r="M906" s="44">
        <v>45293</v>
      </c>
      <c r="N906" s="42" t="s">
        <v>2799</v>
      </c>
      <c r="O906" s="42">
        <v>0</v>
      </c>
      <c r="P906" s="42">
        <v>20027410</v>
      </c>
      <c r="Q906" s="42" t="s">
        <v>2871</v>
      </c>
      <c r="R906" s="45">
        <v>410</v>
      </c>
      <c r="S906" s="46">
        <v>0.01</v>
      </c>
      <c r="T906" s="47" t="s">
        <v>198</v>
      </c>
      <c r="U906" s="48" t="s">
        <v>199</v>
      </c>
      <c r="V906" s="38"/>
      <c r="W906" s="48" t="s">
        <v>195</v>
      </c>
      <c r="X906" s="38" t="s">
        <v>200</v>
      </c>
      <c r="Y906" s="49" t="s">
        <v>201</v>
      </c>
      <c r="Z906" s="50" t="s">
        <v>2872</v>
      </c>
      <c r="AA906" s="38"/>
      <c r="AB906" s="38"/>
      <c r="AC906" s="38"/>
      <c r="AD906" s="51">
        <v>36</v>
      </c>
      <c r="AE906" s="51">
        <v>36</v>
      </c>
      <c r="AF906" s="48" t="s">
        <v>203</v>
      </c>
      <c r="AG906" s="38" t="s">
        <v>204</v>
      </c>
      <c r="AH906" s="52"/>
      <c r="AI906" s="38"/>
      <c r="AJ906" s="38"/>
    </row>
    <row r="907" spans="1:36" ht="16.2">
      <c r="A907" s="53" t="s">
        <v>191</v>
      </c>
      <c r="B907" s="53">
        <v>900232</v>
      </c>
      <c r="C907" s="53" t="s">
        <v>2797</v>
      </c>
      <c r="D907" s="53">
        <v>13207721</v>
      </c>
      <c r="E907" s="54" t="s">
        <v>2798</v>
      </c>
      <c r="F907" s="53" t="s">
        <v>2873</v>
      </c>
      <c r="G907" s="53" t="s">
        <v>195</v>
      </c>
      <c r="H907" s="53"/>
      <c r="I907" s="53"/>
      <c r="J907" s="53">
        <v>13207721</v>
      </c>
      <c r="K907" s="53"/>
      <c r="L907" s="55">
        <v>45293</v>
      </c>
      <c r="M907" s="55">
        <v>45293</v>
      </c>
      <c r="N907" s="53" t="s">
        <v>2799</v>
      </c>
      <c r="O907" s="53">
        <v>0</v>
      </c>
      <c r="P907" s="53">
        <v>20027410</v>
      </c>
      <c r="Q907" s="53" t="s">
        <v>2874</v>
      </c>
      <c r="R907" s="45">
        <v>410</v>
      </c>
      <c r="S907" s="56">
        <v>0.01</v>
      </c>
      <c r="T907" s="47" t="s">
        <v>198</v>
      </c>
      <c r="U907" s="48" t="s">
        <v>199</v>
      </c>
      <c r="V907" s="38"/>
      <c r="W907" s="48" t="s">
        <v>195</v>
      </c>
      <c r="X907" s="38" t="s">
        <v>200</v>
      </c>
      <c r="Y907" s="49" t="s">
        <v>201</v>
      </c>
      <c r="Z907" s="50" t="s">
        <v>2875</v>
      </c>
      <c r="AA907" s="38"/>
      <c r="AB907" s="38"/>
      <c r="AC907" s="38"/>
      <c r="AD907" s="51">
        <v>36</v>
      </c>
      <c r="AE907" s="51">
        <v>36</v>
      </c>
      <c r="AF907" s="48" t="s">
        <v>203</v>
      </c>
      <c r="AG907" s="38" t="s">
        <v>204</v>
      </c>
      <c r="AH907" s="52"/>
      <c r="AI907" s="38"/>
      <c r="AJ907" s="38"/>
    </row>
    <row r="908" spans="1:36" ht="16.2">
      <c r="A908" s="42" t="s">
        <v>191</v>
      </c>
      <c r="B908" s="42">
        <v>900232</v>
      </c>
      <c r="C908" s="42" t="s">
        <v>2797</v>
      </c>
      <c r="D908" s="42">
        <v>13207721</v>
      </c>
      <c r="E908" s="43" t="s">
        <v>2798</v>
      </c>
      <c r="F908" s="42" t="s">
        <v>2876</v>
      </c>
      <c r="G908" s="42" t="s">
        <v>195</v>
      </c>
      <c r="H908" s="42"/>
      <c r="I908" s="42"/>
      <c r="J908" s="42">
        <v>13207721</v>
      </c>
      <c r="K908" s="42"/>
      <c r="L908" s="44">
        <v>45293</v>
      </c>
      <c r="M908" s="44">
        <v>45293</v>
      </c>
      <c r="N908" s="42" t="s">
        <v>2799</v>
      </c>
      <c r="O908" s="42">
        <v>0</v>
      </c>
      <c r="P908" s="42">
        <v>20027410</v>
      </c>
      <c r="Q908" s="42" t="s">
        <v>2877</v>
      </c>
      <c r="R908" s="45">
        <v>410</v>
      </c>
      <c r="S908" s="46">
        <v>0.01</v>
      </c>
      <c r="T908" s="47" t="s">
        <v>198</v>
      </c>
      <c r="U908" s="48" t="s">
        <v>199</v>
      </c>
      <c r="V908" s="38"/>
      <c r="W908" s="48" t="s">
        <v>195</v>
      </c>
      <c r="X908" s="38" t="s">
        <v>200</v>
      </c>
      <c r="Y908" s="49" t="s">
        <v>201</v>
      </c>
      <c r="Z908" s="50" t="s">
        <v>2878</v>
      </c>
      <c r="AA908" s="38"/>
      <c r="AB908" s="38"/>
      <c r="AC908" s="38"/>
      <c r="AD908" s="51">
        <v>36</v>
      </c>
      <c r="AE908" s="51">
        <v>36</v>
      </c>
      <c r="AF908" s="48" t="s">
        <v>203</v>
      </c>
      <c r="AG908" s="38" t="s">
        <v>204</v>
      </c>
      <c r="AH908" s="52"/>
      <c r="AI908" s="38"/>
      <c r="AJ908" s="38"/>
    </row>
    <row r="909" spans="1:36" ht="16.2">
      <c r="A909" s="53" t="s">
        <v>191</v>
      </c>
      <c r="B909" s="53">
        <v>900232</v>
      </c>
      <c r="C909" s="53" t="s">
        <v>2797</v>
      </c>
      <c r="D909" s="53">
        <v>13207721</v>
      </c>
      <c r="E909" s="54" t="s">
        <v>2798</v>
      </c>
      <c r="F909" s="53" t="s">
        <v>2879</v>
      </c>
      <c r="G909" s="53" t="s">
        <v>195</v>
      </c>
      <c r="H909" s="53"/>
      <c r="I909" s="53"/>
      <c r="J909" s="53">
        <v>13207721</v>
      </c>
      <c r="K909" s="53"/>
      <c r="L909" s="55">
        <v>45293</v>
      </c>
      <c r="M909" s="55">
        <v>45293</v>
      </c>
      <c r="N909" s="53" t="s">
        <v>2799</v>
      </c>
      <c r="O909" s="53">
        <v>0</v>
      </c>
      <c r="P909" s="53">
        <v>20027410</v>
      </c>
      <c r="Q909" s="53" t="s">
        <v>2880</v>
      </c>
      <c r="R909" s="45">
        <v>410</v>
      </c>
      <c r="S909" s="56">
        <v>0.01</v>
      </c>
      <c r="T909" s="47" t="s">
        <v>198</v>
      </c>
      <c r="U909" s="48" t="s">
        <v>199</v>
      </c>
      <c r="V909" s="38"/>
      <c r="W909" s="48" t="s">
        <v>195</v>
      </c>
      <c r="X909" s="38" t="s">
        <v>200</v>
      </c>
      <c r="Y909" s="49" t="s">
        <v>201</v>
      </c>
      <c r="Z909" s="50" t="s">
        <v>2881</v>
      </c>
      <c r="AA909" s="38"/>
      <c r="AB909" s="38"/>
      <c r="AC909" s="38"/>
      <c r="AD909" s="51">
        <v>36</v>
      </c>
      <c r="AE909" s="51">
        <v>36</v>
      </c>
      <c r="AF909" s="48" t="s">
        <v>203</v>
      </c>
      <c r="AG909" s="38" t="s">
        <v>204</v>
      </c>
      <c r="AH909" s="52"/>
      <c r="AI909" s="38"/>
      <c r="AJ909" s="38"/>
    </row>
    <row r="910" spans="1:36" ht="16.2">
      <c r="A910" s="42" t="s">
        <v>191</v>
      </c>
      <c r="B910" s="42">
        <v>900232</v>
      </c>
      <c r="C910" s="42" t="s">
        <v>2797</v>
      </c>
      <c r="D910" s="42">
        <v>13207721</v>
      </c>
      <c r="E910" s="43" t="s">
        <v>2798</v>
      </c>
      <c r="F910" s="42" t="s">
        <v>2882</v>
      </c>
      <c r="G910" s="42" t="s">
        <v>195</v>
      </c>
      <c r="H910" s="42"/>
      <c r="I910" s="42"/>
      <c r="J910" s="42">
        <v>13207721</v>
      </c>
      <c r="K910" s="42"/>
      <c r="L910" s="44">
        <v>45293</v>
      </c>
      <c r="M910" s="44">
        <v>45293</v>
      </c>
      <c r="N910" s="42" t="s">
        <v>2799</v>
      </c>
      <c r="O910" s="42">
        <v>0</v>
      </c>
      <c r="P910" s="42">
        <v>20027410</v>
      </c>
      <c r="Q910" s="42" t="s">
        <v>2883</v>
      </c>
      <c r="R910" s="45">
        <v>410</v>
      </c>
      <c r="S910" s="46">
        <v>0.01</v>
      </c>
      <c r="T910" s="47" t="s">
        <v>198</v>
      </c>
      <c r="U910" s="48" t="s">
        <v>199</v>
      </c>
      <c r="V910" s="38"/>
      <c r="W910" s="48" t="s">
        <v>195</v>
      </c>
      <c r="X910" s="38" t="s">
        <v>200</v>
      </c>
      <c r="Y910" s="49" t="s">
        <v>201</v>
      </c>
      <c r="Z910" s="50" t="s">
        <v>2884</v>
      </c>
      <c r="AA910" s="38"/>
      <c r="AB910" s="38"/>
      <c r="AC910" s="38"/>
      <c r="AD910" s="51">
        <v>36</v>
      </c>
      <c r="AE910" s="51">
        <v>36</v>
      </c>
      <c r="AF910" s="48" t="s">
        <v>203</v>
      </c>
      <c r="AG910" s="38" t="s">
        <v>204</v>
      </c>
      <c r="AH910" s="52"/>
      <c r="AI910" s="38"/>
      <c r="AJ910" s="38"/>
    </row>
    <row r="911" spans="1:36" ht="16.2">
      <c r="A911" s="53" t="s">
        <v>191</v>
      </c>
      <c r="B911" s="53">
        <v>900232</v>
      </c>
      <c r="C911" s="53" t="s">
        <v>2797</v>
      </c>
      <c r="D911" s="53">
        <v>13207721</v>
      </c>
      <c r="E911" s="54" t="s">
        <v>2798</v>
      </c>
      <c r="F911" s="53" t="s">
        <v>2885</v>
      </c>
      <c r="G911" s="53" t="s">
        <v>195</v>
      </c>
      <c r="H911" s="53"/>
      <c r="I911" s="53"/>
      <c r="J911" s="53">
        <v>13207721</v>
      </c>
      <c r="K911" s="53"/>
      <c r="L911" s="55">
        <v>45293</v>
      </c>
      <c r="M911" s="55">
        <v>45293</v>
      </c>
      <c r="N911" s="53" t="s">
        <v>2799</v>
      </c>
      <c r="O911" s="53">
        <v>0</v>
      </c>
      <c r="P911" s="53">
        <v>20027410</v>
      </c>
      <c r="Q911" s="53" t="s">
        <v>2886</v>
      </c>
      <c r="R911" s="45">
        <v>410</v>
      </c>
      <c r="S911" s="56">
        <v>0.01</v>
      </c>
      <c r="T911" s="47" t="s">
        <v>198</v>
      </c>
      <c r="U911" s="48" t="s">
        <v>199</v>
      </c>
      <c r="V911" s="38"/>
      <c r="W911" s="48" t="s">
        <v>195</v>
      </c>
      <c r="X911" s="38" t="s">
        <v>200</v>
      </c>
      <c r="Y911" s="49" t="s">
        <v>201</v>
      </c>
      <c r="Z911" s="50" t="s">
        <v>2887</v>
      </c>
      <c r="AA911" s="38"/>
      <c r="AB911" s="38"/>
      <c r="AC911" s="38"/>
      <c r="AD911" s="51">
        <v>36</v>
      </c>
      <c r="AE911" s="51">
        <v>36</v>
      </c>
      <c r="AF911" s="48" t="s">
        <v>203</v>
      </c>
      <c r="AG911" s="38" t="s">
        <v>204</v>
      </c>
      <c r="AH911" s="52"/>
      <c r="AI911" s="38"/>
      <c r="AJ911" s="38"/>
    </row>
    <row r="912" spans="1:36" ht="16.2">
      <c r="A912" s="42" t="s">
        <v>191</v>
      </c>
      <c r="B912" s="42">
        <v>900232</v>
      </c>
      <c r="C912" s="42" t="s">
        <v>2797</v>
      </c>
      <c r="D912" s="42">
        <v>13207721</v>
      </c>
      <c r="E912" s="43" t="s">
        <v>2798</v>
      </c>
      <c r="F912" s="42" t="s">
        <v>2888</v>
      </c>
      <c r="G912" s="42" t="s">
        <v>195</v>
      </c>
      <c r="H912" s="42"/>
      <c r="I912" s="42"/>
      <c r="J912" s="42">
        <v>13207721</v>
      </c>
      <c r="K912" s="42"/>
      <c r="L912" s="44">
        <v>45293</v>
      </c>
      <c r="M912" s="44">
        <v>45293</v>
      </c>
      <c r="N912" s="42" t="s">
        <v>2799</v>
      </c>
      <c r="O912" s="42">
        <v>0</v>
      </c>
      <c r="P912" s="42">
        <v>20027410</v>
      </c>
      <c r="Q912" s="42" t="s">
        <v>2889</v>
      </c>
      <c r="R912" s="45">
        <v>410</v>
      </c>
      <c r="S912" s="46">
        <v>0.01</v>
      </c>
      <c r="T912" s="47" t="s">
        <v>198</v>
      </c>
      <c r="U912" s="48" t="s">
        <v>199</v>
      </c>
      <c r="V912" s="38"/>
      <c r="W912" s="48" t="s">
        <v>195</v>
      </c>
      <c r="X912" s="38" t="s">
        <v>200</v>
      </c>
      <c r="Y912" s="49" t="s">
        <v>201</v>
      </c>
      <c r="Z912" s="50" t="s">
        <v>2890</v>
      </c>
      <c r="AA912" s="38"/>
      <c r="AB912" s="38"/>
      <c r="AC912" s="38"/>
      <c r="AD912" s="51">
        <v>36</v>
      </c>
      <c r="AE912" s="51">
        <v>36</v>
      </c>
      <c r="AF912" s="48" t="s">
        <v>203</v>
      </c>
      <c r="AG912" s="38" t="s">
        <v>204</v>
      </c>
      <c r="AH912" s="52"/>
      <c r="AI912" s="38"/>
      <c r="AJ912" s="38"/>
    </row>
    <row r="913" spans="1:36" ht="16.2">
      <c r="A913" s="53" t="s">
        <v>191</v>
      </c>
      <c r="B913" s="53">
        <v>900232</v>
      </c>
      <c r="C913" s="53" t="s">
        <v>2797</v>
      </c>
      <c r="D913" s="53">
        <v>13207721</v>
      </c>
      <c r="E913" s="54" t="s">
        <v>2798</v>
      </c>
      <c r="F913" s="53" t="s">
        <v>2891</v>
      </c>
      <c r="G913" s="53" t="s">
        <v>195</v>
      </c>
      <c r="H913" s="53"/>
      <c r="I913" s="53"/>
      <c r="J913" s="53">
        <v>13207721</v>
      </c>
      <c r="K913" s="53"/>
      <c r="L913" s="55">
        <v>45293</v>
      </c>
      <c r="M913" s="55">
        <v>45293</v>
      </c>
      <c r="N913" s="53" t="s">
        <v>2799</v>
      </c>
      <c r="O913" s="53">
        <v>0</v>
      </c>
      <c r="P913" s="53">
        <v>20027410</v>
      </c>
      <c r="Q913" s="53" t="s">
        <v>2892</v>
      </c>
      <c r="R913" s="45">
        <v>410</v>
      </c>
      <c r="S913" s="56">
        <v>0.01</v>
      </c>
      <c r="T913" s="47" t="s">
        <v>198</v>
      </c>
      <c r="U913" s="48" t="s">
        <v>199</v>
      </c>
      <c r="V913" s="38"/>
      <c r="W913" s="48" t="s">
        <v>195</v>
      </c>
      <c r="X913" s="38" t="s">
        <v>200</v>
      </c>
      <c r="Y913" s="49" t="s">
        <v>201</v>
      </c>
      <c r="Z913" s="50" t="s">
        <v>2893</v>
      </c>
      <c r="AA913" s="38"/>
      <c r="AB913" s="38"/>
      <c r="AC913" s="38"/>
      <c r="AD913" s="51">
        <v>36</v>
      </c>
      <c r="AE913" s="51">
        <v>36</v>
      </c>
      <c r="AF913" s="48" t="s">
        <v>203</v>
      </c>
      <c r="AG913" s="38" t="s">
        <v>204</v>
      </c>
      <c r="AH913" s="52"/>
      <c r="AI913" s="38"/>
      <c r="AJ913" s="38"/>
    </row>
    <row r="914" spans="1:36" ht="16.2">
      <c r="A914" s="42" t="s">
        <v>191</v>
      </c>
      <c r="B914" s="42">
        <v>900232</v>
      </c>
      <c r="C914" s="42" t="s">
        <v>2797</v>
      </c>
      <c r="D914" s="42">
        <v>13207721</v>
      </c>
      <c r="E914" s="43" t="s">
        <v>2798</v>
      </c>
      <c r="F914" s="42" t="s">
        <v>2894</v>
      </c>
      <c r="G914" s="42" t="s">
        <v>195</v>
      </c>
      <c r="H914" s="42"/>
      <c r="I914" s="42"/>
      <c r="J914" s="42">
        <v>13207721</v>
      </c>
      <c r="K914" s="42"/>
      <c r="L914" s="44">
        <v>45293</v>
      </c>
      <c r="M914" s="44">
        <v>45293</v>
      </c>
      <c r="N914" s="42" t="s">
        <v>2799</v>
      </c>
      <c r="O914" s="42">
        <v>0</v>
      </c>
      <c r="P914" s="42">
        <v>20027410</v>
      </c>
      <c r="Q914" s="42" t="s">
        <v>2895</v>
      </c>
      <c r="R914" s="45">
        <v>410</v>
      </c>
      <c r="S914" s="46">
        <v>0.01</v>
      </c>
      <c r="T914" s="47" t="s">
        <v>198</v>
      </c>
      <c r="U914" s="48" t="s">
        <v>199</v>
      </c>
      <c r="V914" s="38"/>
      <c r="W914" s="48" t="s">
        <v>195</v>
      </c>
      <c r="X914" s="38" t="s">
        <v>200</v>
      </c>
      <c r="Y914" s="49" t="s">
        <v>201</v>
      </c>
      <c r="Z914" s="50" t="s">
        <v>2896</v>
      </c>
      <c r="AA914" s="38"/>
      <c r="AB914" s="38"/>
      <c r="AC914" s="38"/>
      <c r="AD914" s="51">
        <v>36</v>
      </c>
      <c r="AE914" s="51">
        <v>36</v>
      </c>
      <c r="AF914" s="48" t="s">
        <v>203</v>
      </c>
      <c r="AG914" s="38" t="s">
        <v>204</v>
      </c>
      <c r="AH914" s="52"/>
      <c r="AI914" s="38"/>
      <c r="AJ914" s="38"/>
    </row>
    <row r="915" spans="1:36" ht="16.2">
      <c r="A915" s="53" t="s">
        <v>191</v>
      </c>
      <c r="B915" s="53">
        <v>900232</v>
      </c>
      <c r="C915" s="53" t="s">
        <v>2797</v>
      </c>
      <c r="D915" s="53">
        <v>13207721</v>
      </c>
      <c r="E915" s="54" t="s">
        <v>2798</v>
      </c>
      <c r="F915" s="53" t="s">
        <v>2897</v>
      </c>
      <c r="G915" s="53" t="s">
        <v>195</v>
      </c>
      <c r="H915" s="53"/>
      <c r="I915" s="53"/>
      <c r="J915" s="53">
        <v>13207721</v>
      </c>
      <c r="K915" s="53"/>
      <c r="L915" s="55">
        <v>45293</v>
      </c>
      <c r="M915" s="55">
        <v>45293</v>
      </c>
      <c r="N915" s="53" t="s">
        <v>2799</v>
      </c>
      <c r="O915" s="53">
        <v>0</v>
      </c>
      <c r="P915" s="53">
        <v>20027410</v>
      </c>
      <c r="Q915" s="53" t="s">
        <v>2898</v>
      </c>
      <c r="R915" s="45">
        <v>410</v>
      </c>
      <c r="S915" s="56">
        <v>0.01</v>
      </c>
      <c r="T915" s="47" t="s">
        <v>198</v>
      </c>
      <c r="U915" s="48" t="s">
        <v>199</v>
      </c>
      <c r="V915" s="38"/>
      <c r="W915" s="48" t="s">
        <v>195</v>
      </c>
      <c r="X915" s="38" t="s">
        <v>200</v>
      </c>
      <c r="Y915" s="49" t="s">
        <v>201</v>
      </c>
      <c r="Z915" s="50" t="s">
        <v>2899</v>
      </c>
      <c r="AA915" s="38"/>
      <c r="AB915" s="38"/>
      <c r="AC915" s="38"/>
      <c r="AD915" s="51">
        <v>36</v>
      </c>
      <c r="AE915" s="51">
        <v>36</v>
      </c>
      <c r="AF915" s="48" t="s">
        <v>203</v>
      </c>
      <c r="AG915" s="38" t="s">
        <v>204</v>
      </c>
      <c r="AH915" s="52"/>
      <c r="AI915" s="38"/>
      <c r="AJ915" s="38"/>
    </row>
    <row r="916" spans="1:36" ht="16.2">
      <c r="A916" s="42" t="s">
        <v>191</v>
      </c>
      <c r="B916" s="42">
        <v>900232</v>
      </c>
      <c r="C916" s="42" t="s">
        <v>2797</v>
      </c>
      <c r="D916" s="42">
        <v>13207721</v>
      </c>
      <c r="E916" s="43" t="s">
        <v>2798</v>
      </c>
      <c r="F916" s="42" t="s">
        <v>2900</v>
      </c>
      <c r="G916" s="42" t="s">
        <v>195</v>
      </c>
      <c r="H916" s="42" t="s">
        <v>2901</v>
      </c>
      <c r="I916" s="42"/>
      <c r="J916" s="42">
        <v>13207721</v>
      </c>
      <c r="K916" s="42"/>
      <c r="L916" s="44">
        <v>45293</v>
      </c>
      <c r="M916" s="44">
        <v>45293</v>
      </c>
      <c r="N916" s="42" t="s">
        <v>2799</v>
      </c>
      <c r="O916" s="42">
        <v>0</v>
      </c>
      <c r="P916" s="42">
        <v>20027410</v>
      </c>
      <c r="Q916" s="42" t="s">
        <v>2902</v>
      </c>
      <c r="R916" s="45">
        <v>410</v>
      </c>
      <c r="S916" s="46">
        <v>0.01</v>
      </c>
      <c r="T916" s="47" t="s">
        <v>198</v>
      </c>
      <c r="U916" s="48" t="s">
        <v>199</v>
      </c>
      <c r="V916" s="38"/>
      <c r="W916" s="48" t="s">
        <v>195</v>
      </c>
      <c r="X916" s="38" t="s">
        <v>200</v>
      </c>
      <c r="Y916" s="49" t="s">
        <v>201</v>
      </c>
      <c r="Z916" s="50" t="s">
        <v>2903</v>
      </c>
      <c r="AA916" s="47" t="s">
        <v>2904</v>
      </c>
      <c r="AB916" s="38"/>
      <c r="AC916" s="38"/>
      <c r="AD916" s="51">
        <v>36</v>
      </c>
      <c r="AE916" s="51">
        <v>36</v>
      </c>
      <c r="AF916" s="48" t="s">
        <v>203</v>
      </c>
      <c r="AG916" s="38" t="s">
        <v>204</v>
      </c>
      <c r="AH916" s="52"/>
      <c r="AI916" s="38"/>
      <c r="AJ916" s="38"/>
    </row>
    <row r="917" spans="1:36" ht="16.2">
      <c r="A917" s="53" t="s">
        <v>340</v>
      </c>
      <c r="B917" s="53">
        <v>579080</v>
      </c>
      <c r="C917" s="53" t="s">
        <v>2797</v>
      </c>
      <c r="D917" s="53">
        <v>13207636</v>
      </c>
      <c r="E917" s="54" t="s">
        <v>2905</v>
      </c>
      <c r="F917" s="53" t="s">
        <v>2759</v>
      </c>
      <c r="G917" s="53" t="s">
        <v>195</v>
      </c>
      <c r="H917" s="53"/>
      <c r="I917" s="53"/>
      <c r="J917" s="53">
        <v>13207636</v>
      </c>
      <c r="K917" s="53"/>
      <c r="L917" s="55">
        <v>45293</v>
      </c>
      <c r="M917" s="55">
        <v>45293</v>
      </c>
      <c r="N917" s="53" t="s">
        <v>1661</v>
      </c>
      <c r="O917" s="53">
        <v>0</v>
      </c>
      <c r="P917" s="53">
        <v>20040863</v>
      </c>
      <c r="Q917" s="53" t="s">
        <v>2906</v>
      </c>
      <c r="R917" s="45">
        <v>410</v>
      </c>
      <c r="S917" s="53">
        <v>0</v>
      </c>
      <c r="T917" s="47" t="s">
        <v>198</v>
      </c>
      <c r="U917" s="48" t="s">
        <v>199</v>
      </c>
      <c r="V917" s="38"/>
      <c r="W917" s="48" t="s">
        <v>195</v>
      </c>
      <c r="X917" s="38" t="s">
        <v>308</v>
      </c>
      <c r="Y917" s="49" t="s">
        <v>309</v>
      </c>
      <c r="Z917" s="50" t="s">
        <v>2907</v>
      </c>
      <c r="AA917" s="38"/>
      <c r="AB917" s="38"/>
      <c r="AC917" s="38"/>
      <c r="AD917" s="51">
        <v>24</v>
      </c>
      <c r="AE917" s="51">
        <v>24</v>
      </c>
      <c r="AF917" s="48" t="s">
        <v>203</v>
      </c>
      <c r="AG917" s="38" t="s">
        <v>204</v>
      </c>
      <c r="AH917" s="52"/>
      <c r="AI917" s="38"/>
      <c r="AJ917" s="38"/>
    </row>
    <row r="918" spans="1:36" ht="16.2">
      <c r="A918" s="42" t="s">
        <v>340</v>
      </c>
      <c r="B918" s="42">
        <v>579080</v>
      </c>
      <c r="C918" s="42" t="s">
        <v>2797</v>
      </c>
      <c r="D918" s="42">
        <v>13207636</v>
      </c>
      <c r="E918" s="43" t="s">
        <v>2905</v>
      </c>
      <c r="F918" s="42" t="s">
        <v>1538</v>
      </c>
      <c r="G918" s="42" t="s">
        <v>195</v>
      </c>
      <c r="H918" s="42"/>
      <c r="I918" s="42"/>
      <c r="J918" s="42">
        <v>13207636</v>
      </c>
      <c r="K918" s="42"/>
      <c r="L918" s="44">
        <v>45293</v>
      </c>
      <c r="M918" s="44">
        <v>45293</v>
      </c>
      <c r="N918" s="42" t="s">
        <v>1661</v>
      </c>
      <c r="O918" s="42">
        <v>0</v>
      </c>
      <c r="P918" s="42">
        <v>20040863</v>
      </c>
      <c r="Q918" s="42" t="s">
        <v>2908</v>
      </c>
      <c r="R918" s="45">
        <v>410</v>
      </c>
      <c r="S918" s="42">
        <v>0</v>
      </c>
      <c r="T918" s="47" t="s">
        <v>198</v>
      </c>
      <c r="U918" s="48" t="s">
        <v>199</v>
      </c>
      <c r="V918" s="38"/>
      <c r="W918" s="48" t="s">
        <v>195</v>
      </c>
      <c r="X918" s="38" t="s">
        <v>308</v>
      </c>
      <c r="Y918" s="49" t="s">
        <v>309</v>
      </c>
      <c r="Z918" s="50" t="s">
        <v>2909</v>
      </c>
      <c r="AA918" s="38"/>
      <c r="AB918" s="38"/>
      <c r="AC918" s="38"/>
      <c r="AD918" s="51">
        <v>24</v>
      </c>
      <c r="AE918" s="51">
        <v>24</v>
      </c>
      <c r="AF918" s="48" t="s">
        <v>203</v>
      </c>
      <c r="AG918" s="38" t="s">
        <v>204</v>
      </c>
      <c r="AH918" s="52"/>
      <c r="AI918" s="38"/>
      <c r="AJ918" s="38"/>
    </row>
    <row r="919" spans="1:36" ht="16.2">
      <c r="A919" s="53" t="s">
        <v>340</v>
      </c>
      <c r="B919" s="53">
        <v>579080</v>
      </c>
      <c r="C919" s="53" t="s">
        <v>2797</v>
      </c>
      <c r="D919" s="53">
        <v>13207636</v>
      </c>
      <c r="E919" s="54" t="s">
        <v>2905</v>
      </c>
      <c r="F919" s="53" t="s">
        <v>1155</v>
      </c>
      <c r="G919" s="53" t="s">
        <v>195</v>
      </c>
      <c r="H919" s="53"/>
      <c r="I919" s="53"/>
      <c r="J919" s="53">
        <v>13207636</v>
      </c>
      <c r="K919" s="53"/>
      <c r="L919" s="55">
        <v>45293</v>
      </c>
      <c r="M919" s="55">
        <v>45293</v>
      </c>
      <c r="N919" s="53" t="s">
        <v>1661</v>
      </c>
      <c r="O919" s="53">
        <v>0</v>
      </c>
      <c r="P919" s="53">
        <v>20040863</v>
      </c>
      <c r="Q919" s="53" t="s">
        <v>2910</v>
      </c>
      <c r="R919" s="45">
        <v>410</v>
      </c>
      <c r="S919" s="53">
        <v>0</v>
      </c>
      <c r="T919" s="47" t="s">
        <v>198</v>
      </c>
      <c r="U919" s="48" t="s">
        <v>199</v>
      </c>
      <c r="V919" s="38"/>
      <c r="W919" s="48" t="s">
        <v>195</v>
      </c>
      <c r="X919" s="38" t="s">
        <v>308</v>
      </c>
      <c r="Y919" s="49" t="s">
        <v>309</v>
      </c>
      <c r="Z919" s="50" t="s">
        <v>2911</v>
      </c>
      <c r="AA919" s="38"/>
      <c r="AB919" s="38"/>
      <c r="AC919" s="38"/>
      <c r="AD919" s="51">
        <v>24</v>
      </c>
      <c r="AE919" s="51">
        <v>24</v>
      </c>
      <c r="AF919" s="48" t="s">
        <v>203</v>
      </c>
      <c r="AG919" s="38" t="s">
        <v>204</v>
      </c>
      <c r="AH919" s="52"/>
      <c r="AI919" s="38"/>
      <c r="AJ919" s="38"/>
    </row>
    <row r="920" spans="1:36" ht="16.2">
      <c r="A920" s="42" t="s">
        <v>340</v>
      </c>
      <c r="B920" s="42">
        <v>579080</v>
      </c>
      <c r="C920" s="42" t="s">
        <v>2797</v>
      </c>
      <c r="D920" s="42">
        <v>13207636</v>
      </c>
      <c r="E920" s="43" t="s">
        <v>2905</v>
      </c>
      <c r="F920" s="42" t="s">
        <v>2766</v>
      </c>
      <c r="G920" s="42" t="s">
        <v>195</v>
      </c>
      <c r="H920" s="42"/>
      <c r="I920" s="42"/>
      <c r="J920" s="42">
        <v>13207636</v>
      </c>
      <c r="K920" s="42"/>
      <c r="L920" s="44">
        <v>45293</v>
      </c>
      <c r="M920" s="44">
        <v>45293</v>
      </c>
      <c r="N920" s="42" t="s">
        <v>1661</v>
      </c>
      <c r="O920" s="42">
        <v>0</v>
      </c>
      <c r="P920" s="42">
        <v>20040863</v>
      </c>
      <c r="Q920" s="42" t="s">
        <v>2912</v>
      </c>
      <c r="R920" s="45">
        <v>410</v>
      </c>
      <c r="S920" s="42">
        <v>0</v>
      </c>
      <c r="T920" s="47" t="s">
        <v>198</v>
      </c>
      <c r="U920" s="48" t="s">
        <v>199</v>
      </c>
      <c r="V920" s="38"/>
      <c r="W920" s="48" t="s">
        <v>195</v>
      </c>
      <c r="X920" s="38" t="s">
        <v>308</v>
      </c>
      <c r="Y920" s="49" t="s">
        <v>309</v>
      </c>
      <c r="Z920" s="50" t="s">
        <v>2913</v>
      </c>
      <c r="AA920" s="38"/>
      <c r="AB920" s="38"/>
      <c r="AC920" s="38"/>
      <c r="AD920" s="51">
        <v>24</v>
      </c>
      <c r="AE920" s="51">
        <v>24</v>
      </c>
      <c r="AF920" s="48" t="s">
        <v>203</v>
      </c>
      <c r="AG920" s="38" t="s">
        <v>204</v>
      </c>
      <c r="AH920" s="52"/>
      <c r="AI920" s="38"/>
      <c r="AJ920" s="38"/>
    </row>
    <row r="921" spans="1:36" ht="16.2">
      <c r="A921" s="53" t="s">
        <v>340</v>
      </c>
      <c r="B921" s="53">
        <v>579080</v>
      </c>
      <c r="C921" s="53" t="s">
        <v>2797</v>
      </c>
      <c r="D921" s="53">
        <v>13207636</v>
      </c>
      <c r="E921" s="54" t="s">
        <v>2905</v>
      </c>
      <c r="F921" s="53" t="s">
        <v>2771</v>
      </c>
      <c r="G921" s="53" t="s">
        <v>195</v>
      </c>
      <c r="H921" s="53"/>
      <c r="I921" s="53"/>
      <c r="J921" s="53">
        <v>13207636</v>
      </c>
      <c r="K921" s="53"/>
      <c r="L921" s="55">
        <v>45293</v>
      </c>
      <c r="M921" s="55">
        <v>45293</v>
      </c>
      <c r="N921" s="53" t="s">
        <v>1661</v>
      </c>
      <c r="O921" s="53">
        <v>0</v>
      </c>
      <c r="P921" s="53">
        <v>20040863</v>
      </c>
      <c r="Q921" s="53" t="s">
        <v>2914</v>
      </c>
      <c r="R921" s="45">
        <v>410</v>
      </c>
      <c r="S921" s="53">
        <v>0</v>
      </c>
      <c r="T921" s="47" t="s">
        <v>198</v>
      </c>
      <c r="U921" s="48" t="s">
        <v>199</v>
      </c>
      <c r="V921" s="38"/>
      <c r="W921" s="48" t="s">
        <v>195</v>
      </c>
      <c r="X921" s="38" t="s">
        <v>308</v>
      </c>
      <c r="Y921" s="49" t="s">
        <v>309</v>
      </c>
      <c r="Z921" s="50" t="s">
        <v>2915</v>
      </c>
      <c r="AA921" s="38"/>
      <c r="AB921" s="38"/>
      <c r="AC921" s="38"/>
      <c r="AD921" s="51">
        <v>24</v>
      </c>
      <c r="AE921" s="51">
        <v>24</v>
      </c>
      <c r="AF921" s="48" t="s">
        <v>203</v>
      </c>
      <c r="AG921" s="38" t="s">
        <v>204</v>
      </c>
      <c r="AH921" s="52"/>
      <c r="AI921" s="38"/>
      <c r="AJ921" s="38"/>
    </row>
    <row r="922" spans="1:36" ht="16.2">
      <c r="A922" s="42" t="s">
        <v>340</v>
      </c>
      <c r="B922" s="42">
        <v>579080</v>
      </c>
      <c r="C922" s="42" t="s">
        <v>2797</v>
      </c>
      <c r="D922" s="42">
        <v>13207636</v>
      </c>
      <c r="E922" s="43" t="s">
        <v>2905</v>
      </c>
      <c r="F922" s="42" t="s">
        <v>1570</v>
      </c>
      <c r="G922" s="42" t="s">
        <v>195</v>
      </c>
      <c r="H922" s="42"/>
      <c r="I922" s="42"/>
      <c r="J922" s="42">
        <v>13207636</v>
      </c>
      <c r="K922" s="42"/>
      <c r="L922" s="44">
        <v>45293</v>
      </c>
      <c r="M922" s="44">
        <v>45293</v>
      </c>
      <c r="N922" s="42" t="s">
        <v>1661</v>
      </c>
      <c r="O922" s="42">
        <v>0</v>
      </c>
      <c r="P922" s="42">
        <v>20040863</v>
      </c>
      <c r="Q922" s="42" t="s">
        <v>2916</v>
      </c>
      <c r="R922" s="45">
        <v>410</v>
      </c>
      <c r="S922" s="42">
        <v>0</v>
      </c>
      <c r="T922" s="47" t="s">
        <v>198</v>
      </c>
      <c r="U922" s="48" t="s">
        <v>199</v>
      </c>
      <c r="V922" s="38"/>
      <c r="W922" s="48" t="s">
        <v>195</v>
      </c>
      <c r="X922" s="38" t="s">
        <v>308</v>
      </c>
      <c r="Y922" s="49" t="s">
        <v>309</v>
      </c>
      <c r="Z922" s="50" t="s">
        <v>2917</v>
      </c>
      <c r="AA922" s="38"/>
      <c r="AB922" s="38"/>
      <c r="AC922" s="38"/>
      <c r="AD922" s="51">
        <v>24</v>
      </c>
      <c r="AE922" s="51">
        <v>24</v>
      </c>
      <c r="AF922" s="48" t="s">
        <v>203</v>
      </c>
      <c r="AG922" s="38" t="s">
        <v>204</v>
      </c>
      <c r="AH922" s="52"/>
      <c r="AI922" s="38"/>
      <c r="AJ922" s="38"/>
    </row>
    <row r="923" spans="1:36" ht="16.2">
      <c r="A923" s="53" t="s">
        <v>340</v>
      </c>
      <c r="B923" s="53">
        <v>579080</v>
      </c>
      <c r="C923" s="53" t="s">
        <v>2797</v>
      </c>
      <c r="D923" s="53">
        <v>13207636</v>
      </c>
      <c r="E923" s="54" t="s">
        <v>2905</v>
      </c>
      <c r="F923" s="53" t="s">
        <v>1573</v>
      </c>
      <c r="G923" s="53" t="s">
        <v>195</v>
      </c>
      <c r="H923" s="53"/>
      <c r="I923" s="53"/>
      <c r="J923" s="53">
        <v>13207636</v>
      </c>
      <c r="K923" s="53"/>
      <c r="L923" s="55">
        <v>45293</v>
      </c>
      <c r="M923" s="55">
        <v>45293</v>
      </c>
      <c r="N923" s="53" t="s">
        <v>1661</v>
      </c>
      <c r="O923" s="53">
        <v>0</v>
      </c>
      <c r="P923" s="53">
        <v>20040863</v>
      </c>
      <c r="Q923" s="53" t="s">
        <v>2918</v>
      </c>
      <c r="R923" s="45">
        <v>410</v>
      </c>
      <c r="S923" s="53">
        <v>0</v>
      </c>
      <c r="T923" s="47" t="s">
        <v>198</v>
      </c>
      <c r="U923" s="48" t="s">
        <v>199</v>
      </c>
      <c r="V923" s="38"/>
      <c r="W923" s="48" t="s">
        <v>195</v>
      </c>
      <c r="X923" s="38" t="s">
        <v>308</v>
      </c>
      <c r="Y923" s="49" t="s">
        <v>309</v>
      </c>
      <c r="Z923" s="50" t="s">
        <v>2919</v>
      </c>
      <c r="AA923" s="38"/>
      <c r="AB923" s="38"/>
      <c r="AC923" s="38"/>
      <c r="AD923" s="51">
        <v>24</v>
      </c>
      <c r="AE923" s="51">
        <v>24</v>
      </c>
      <c r="AF923" s="48" t="s">
        <v>203</v>
      </c>
      <c r="AG923" s="38" t="s">
        <v>204</v>
      </c>
      <c r="AH923" s="52"/>
      <c r="AI923" s="38"/>
      <c r="AJ923" s="38"/>
    </row>
    <row r="924" spans="1:36" ht="16.2">
      <c r="A924" s="42" t="s">
        <v>340</v>
      </c>
      <c r="B924" s="42">
        <v>579080</v>
      </c>
      <c r="C924" s="42" t="s">
        <v>2797</v>
      </c>
      <c r="D924" s="42">
        <v>13207636</v>
      </c>
      <c r="E924" s="43" t="s">
        <v>2905</v>
      </c>
      <c r="F924" s="42" t="s">
        <v>2780</v>
      </c>
      <c r="G924" s="42" t="s">
        <v>195</v>
      </c>
      <c r="H924" s="42"/>
      <c r="I924" s="42"/>
      <c r="J924" s="42">
        <v>13207636</v>
      </c>
      <c r="K924" s="42"/>
      <c r="L924" s="44">
        <v>45293</v>
      </c>
      <c r="M924" s="44">
        <v>45293</v>
      </c>
      <c r="N924" s="42" t="s">
        <v>1661</v>
      </c>
      <c r="O924" s="42">
        <v>0</v>
      </c>
      <c r="P924" s="42">
        <v>20040863</v>
      </c>
      <c r="Q924" s="42" t="s">
        <v>2920</v>
      </c>
      <c r="R924" s="45">
        <v>410</v>
      </c>
      <c r="S924" s="42">
        <v>0</v>
      </c>
      <c r="T924" s="47" t="s">
        <v>198</v>
      </c>
      <c r="U924" s="48" t="s">
        <v>199</v>
      </c>
      <c r="V924" s="38"/>
      <c r="W924" s="48" t="s">
        <v>195</v>
      </c>
      <c r="X924" s="38" t="s">
        <v>308</v>
      </c>
      <c r="Y924" s="49" t="s">
        <v>309</v>
      </c>
      <c r="Z924" s="50" t="s">
        <v>2921</v>
      </c>
      <c r="AA924" s="38"/>
      <c r="AB924" s="38"/>
      <c r="AC924" s="38"/>
      <c r="AD924" s="51">
        <v>24</v>
      </c>
      <c r="AE924" s="51">
        <v>24</v>
      </c>
      <c r="AF924" s="48" t="s">
        <v>203</v>
      </c>
      <c r="AG924" s="38" t="s">
        <v>204</v>
      </c>
      <c r="AH924" s="52"/>
      <c r="AI924" s="38"/>
      <c r="AJ924" s="38"/>
    </row>
    <row r="925" spans="1:36" ht="16.2">
      <c r="A925" s="53" t="s">
        <v>340</v>
      </c>
      <c r="B925" s="53">
        <v>579080</v>
      </c>
      <c r="C925" s="53" t="s">
        <v>2797</v>
      </c>
      <c r="D925" s="53">
        <v>13207636</v>
      </c>
      <c r="E925" s="54" t="s">
        <v>2905</v>
      </c>
      <c r="F925" s="53" t="s">
        <v>2783</v>
      </c>
      <c r="G925" s="53" t="s">
        <v>195</v>
      </c>
      <c r="H925" s="53"/>
      <c r="I925" s="53"/>
      <c r="J925" s="53">
        <v>13207636</v>
      </c>
      <c r="K925" s="53"/>
      <c r="L925" s="55">
        <v>45293</v>
      </c>
      <c r="M925" s="55">
        <v>45293</v>
      </c>
      <c r="N925" s="53" t="s">
        <v>1661</v>
      </c>
      <c r="O925" s="53">
        <v>0</v>
      </c>
      <c r="P925" s="53">
        <v>20040863</v>
      </c>
      <c r="Q925" s="53" t="s">
        <v>2922</v>
      </c>
      <c r="R925" s="45">
        <v>410</v>
      </c>
      <c r="S925" s="53">
        <v>0</v>
      </c>
      <c r="T925" s="47" t="s">
        <v>198</v>
      </c>
      <c r="U925" s="48" t="s">
        <v>199</v>
      </c>
      <c r="V925" s="38"/>
      <c r="W925" s="48" t="s">
        <v>195</v>
      </c>
      <c r="X925" s="38" t="s">
        <v>308</v>
      </c>
      <c r="Y925" s="49" t="s">
        <v>309</v>
      </c>
      <c r="Z925" s="50" t="s">
        <v>2923</v>
      </c>
      <c r="AA925" s="38"/>
      <c r="AB925" s="38"/>
      <c r="AC925" s="38"/>
      <c r="AD925" s="51">
        <v>24</v>
      </c>
      <c r="AE925" s="51">
        <v>24</v>
      </c>
      <c r="AF925" s="48" t="s">
        <v>203</v>
      </c>
      <c r="AG925" s="38" t="s">
        <v>204</v>
      </c>
      <c r="AH925" s="52"/>
      <c r="AI925" s="38"/>
      <c r="AJ925" s="38"/>
    </row>
    <row r="926" spans="1:36" ht="16.2">
      <c r="A926" s="42" t="s">
        <v>340</v>
      </c>
      <c r="B926" s="42">
        <v>579080</v>
      </c>
      <c r="C926" s="42" t="s">
        <v>2797</v>
      </c>
      <c r="D926" s="42">
        <v>13207636</v>
      </c>
      <c r="E926" s="43" t="s">
        <v>2905</v>
      </c>
      <c r="F926" s="42" t="s">
        <v>2786</v>
      </c>
      <c r="G926" s="42" t="s">
        <v>195</v>
      </c>
      <c r="H926" s="42"/>
      <c r="I926" s="42"/>
      <c r="J926" s="42">
        <v>13207636</v>
      </c>
      <c r="K926" s="42"/>
      <c r="L926" s="44">
        <v>45293</v>
      </c>
      <c r="M926" s="44">
        <v>45293</v>
      </c>
      <c r="N926" s="42" t="s">
        <v>1661</v>
      </c>
      <c r="O926" s="42">
        <v>0</v>
      </c>
      <c r="P926" s="42">
        <v>20040863</v>
      </c>
      <c r="Q926" s="42" t="s">
        <v>2924</v>
      </c>
      <c r="R926" s="45">
        <v>410</v>
      </c>
      <c r="S926" s="42">
        <v>0</v>
      </c>
      <c r="T926" s="47" t="s">
        <v>198</v>
      </c>
      <c r="U926" s="48" t="s">
        <v>199</v>
      </c>
      <c r="V926" s="38"/>
      <c r="W926" s="48" t="s">
        <v>195</v>
      </c>
      <c r="X926" s="38" t="s">
        <v>308</v>
      </c>
      <c r="Y926" s="49" t="s">
        <v>309</v>
      </c>
      <c r="Z926" s="50" t="s">
        <v>2925</v>
      </c>
      <c r="AA926" s="38"/>
      <c r="AB926" s="38"/>
      <c r="AC926" s="38"/>
      <c r="AD926" s="51">
        <v>24</v>
      </c>
      <c r="AE926" s="51">
        <v>24</v>
      </c>
      <c r="AF926" s="48" t="s">
        <v>203</v>
      </c>
      <c r="AG926" s="38" t="s">
        <v>204</v>
      </c>
      <c r="AH926" s="52"/>
      <c r="AI926" s="38"/>
      <c r="AJ926" s="38"/>
    </row>
    <row r="927" spans="1:36" ht="16.2">
      <c r="A927" s="53" t="s">
        <v>340</v>
      </c>
      <c r="B927" s="53">
        <v>579080</v>
      </c>
      <c r="C927" s="53" t="s">
        <v>2797</v>
      </c>
      <c r="D927" s="53">
        <v>13207636</v>
      </c>
      <c r="E927" s="54" t="s">
        <v>2905</v>
      </c>
      <c r="F927" s="53" t="s">
        <v>2789</v>
      </c>
      <c r="G927" s="53" t="s">
        <v>195</v>
      </c>
      <c r="H927" s="53"/>
      <c r="I927" s="53"/>
      <c r="J927" s="53">
        <v>13207636</v>
      </c>
      <c r="K927" s="53"/>
      <c r="L927" s="55">
        <v>45293</v>
      </c>
      <c r="M927" s="55">
        <v>45293</v>
      </c>
      <c r="N927" s="53" t="s">
        <v>1661</v>
      </c>
      <c r="O927" s="53">
        <v>0</v>
      </c>
      <c r="P927" s="53">
        <v>20040863</v>
      </c>
      <c r="Q927" s="53" t="s">
        <v>2926</v>
      </c>
      <c r="R927" s="45">
        <v>410</v>
      </c>
      <c r="S927" s="53">
        <v>0</v>
      </c>
      <c r="T927" s="47" t="s">
        <v>198</v>
      </c>
      <c r="U927" s="48" t="s">
        <v>199</v>
      </c>
      <c r="V927" s="38"/>
      <c r="W927" s="48" t="s">
        <v>195</v>
      </c>
      <c r="X927" s="38" t="s">
        <v>308</v>
      </c>
      <c r="Y927" s="49" t="s">
        <v>309</v>
      </c>
      <c r="Z927" s="50" t="s">
        <v>2927</v>
      </c>
      <c r="AA927" s="38"/>
      <c r="AB927" s="38"/>
      <c r="AC927" s="38"/>
      <c r="AD927" s="51">
        <v>24</v>
      </c>
      <c r="AE927" s="51">
        <v>24</v>
      </c>
      <c r="AF927" s="48" t="s">
        <v>203</v>
      </c>
      <c r="AG927" s="38" t="s">
        <v>204</v>
      </c>
      <c r="AH927" s="52"/>
      <c r="AI927" s="38"/>
      <c r="AJ927" s="38"/>
    </row>
    <row r="928" spans="1:36" ht="16.2">
      <c r="A928" s="42" t="s">
        <v>340</v>
      </c>
      <c r="B928" s="42">
        <v>579080</v>
      </c>
      <c r="C928" s="42" t="s">
        <v>2797</v>
      </c>
      <c r="D928" s="42">
        <v>13207636</v>
      </c>
      <c r="E928" s="43" t="s">
        <v>2905</v>
      </c>
      <c r="F928" s="42" t="s">
        <v>235</v>
      </c>
      <c r="G928" s="42" t="s">
        <v>195</v>
      </c>
      <c r="H928" s="42"/>
      <c r="I928" s="42"/>
      <c r="J928" s="42">
        <v>13207636</v>
      </c>
      <c r="K928" s="42"/>
      <c r="L928" s="44">
        <v>45293</v>
      </c>
      <c r="M928" s="44">
        <v>45293</v>
      </c>
      <c r="N928" s="42" t="s">
        <v>1661</v>
      </c>
      <c r="O928" s="42">
        <v>0</v>
      </c>
      <c r="P928" s="42">
        <v>20040863</v>
      </c>
      <c r="Q928" s="42" t="s">
        <v>2928</v>
      </c>
      <c r="R928" s="45">
        <v>410</v>
      </c>
      <c r="S928" s="42">
        <v>0</v>
      </c>
      <c r="T928" s="47" t="s">
        <v>198</v>
      </c>
      <c r="U928" s="48" t="s">
        <v>199</v>
      </c>
      <c r="V928" s="38"/>
      <c r="W928" s="48" t="s">
        <v>195</v>
      </c>
      <c r="X928" s="38" t="s">
        <v>308</v>
      </c>
      <c r="Y928" s="49" t="s">
        <v>309</v>
      </c>
      <c r="Z928" s="50" t="s">
        <v>2929</v>
      </c>
      <c r="AA928" s="38"/>
      <c r="AB928" s="38"/>
      <c r="AC928" s="38"/>
      <c r="AD928" s="51">
        <v>24</v>
      </c>
      <c r="AE928" s="51">
        <v>24</v>
      </c>
      <c r="AF928" s="48" t="s">
        <v>203</v>
      </c>
      <c r="AG928" s="38" t="s">
        <v>204</v>
      </c>
      <c r="AH928" s="52"/>
      <c r="AI928" s="38"/>
      <c r="AJ928" s="38"/>
    </row>
    <row r="929" spans="1:36" ht="16.2">
      <c r="A929" s="53" t="s">
        <v>340</v>
      </c>
      <c r="B929" s="53">
        <v>579080</v>
      </c>
      <c r="C929" s="53" t="s">
        <v>2797</v>
      </c>
      <c r="D929" s="53">
        <v>13207636</v>
      </c>
      <c r="E929" s="54" t="s">
        <v>2905</v>
      </c>
      <c r="F929" s="53" t="s">
        <v>2794</v>
      </c>
      <c r="G929" s="53" t="s">
        <v>195</v>
      </c>
      <c r="H929" s="53"/>
      <c r="I929" s="53"/>
      <c r="J929" s="53">
        <v>13207636</v>
      </c>
      <c r="K929" s="53"/>
      <c r="L929" s="55">
        <v>45293</v>
      </c>
      <c r="M929" s="55">
        <v>45293</v>
      </c>
      <c r="N929" s="53" t="s">
        <v>1661</v>
      </c>
      <c r="O929" s="53">
        <v>0</v>
      </c>
      <c r="P929" s="53">
        <v>20040863</v>
      </c>
      <c r="Q929" s="53" t="s">
        <v>2930</v>
      </c>
      <c r="R929" s="45">
        <v>410</v>
      </c>
      <c r="S929" s="53">
        <v>0</v>
      </c>
      <c r="T929" s="47" t="s">
        <v>198</v>
      </c>
      <c r="U929" s="48" t="s">
        <v>199</v>
      </c>
      <c r="V929" s="38"/>
      <c r="W929" s="48" t="s">
        <v>195</v>
      </c>
      <c r="X929" s="38" t="s">
        <v>308</v>
      </c>
      <c r="Y929" s="49" t="s">
        <v>309</v>
      </c>
      <c r="Z929" s="50" t="s">
        <v>2931</v>
      </c>
      <c r="AA929" s="38"/>
      <c r="AB929" s="38"/>
      <c r="AC929" s="38"/>
      <c r="AD929" s="51">
        <v>24</v>
      </c>
      <c r="AE929" s="51">
        <v>24</v>
      </c>
      <c r="AF929" s="48" t="s">
        <v>203</v>
      </c>
      <c r="AG929" s="38" t="s">
        <v>204</v>
      </c>
      <c r="AH929" s="52"/>
      <c r="AI929" s="38"/>
      <c r="AJ929" s="38"/>
    </row>
    <row r="930" spans="1:36" ht="16.2">
      <c r="A930" s="42" t="s">
        <v>340</v>
      </c>
      <c r="B930" s="42">
        <v>579080</v>
      </c>
      <c r="C930" s="42" t="s">
        <v>2797</v>
      </c>
      <c r="D930" s="42">
        <v>13207636</v>
      </c>
      <c r="E930" s="43" t="s">
        <v>2905</v>
      </c>
      <c r="F930" s="42" t="s">
        <v>2873</v>
      </c>
      <c r="G930" s="42" t="s">
        <v>195</v>
      </c>
      <c r="H930" s="42"/>
      <c r="I930" s="42"/>
      <c r="J930" s="42">
        <v>13207636</v>
      </c>
      <c r="K930" s="42"/>
      <c r="L930" s="44">
        <v>45293</v>
      </c>
      <c r="M930" s="44">
        <v>45293</v>
      </c>
      <c r="N930" s="42" t="s">
        <v>1661</v>
      </c>
      <c r="O930" s="42">
        <v>0</v>
      </c>
      <c r="P930" s="42">
        <v>20040863</v>
      </c>
      <c r="Q930" s="42" t="s">
        <v>2932</v>
      </c>
      <c r="R930" s="45">
        <v>410</v>
      </c>
      <c r="S930" s="42">
        <v>0</v>
      </c>
      <c r="T930" s="47" t="s">
        <v>198</v>
      </c>
      <c r="U930" s="48" t="s">
        <v>199</v>
      </c>
      <c r="V930" s="38"/>
      <c r="W930" s="48" t="s">
        <v>195</v>
      </c>
      <c r="X930" s="38" t="s">
        <v>308</v>
      </c>
      <c r="Y930" s="49" t="s">
        <v>309</v>
      </c>
      <c r="Z930" s="50" t="s">
        <v>2933</v>
      </c>
      <c r="AA930" s="38"/>
      <c r="AB930" s="38"/>
      <c r="AC930" s="38"/>
      <c r="AD930" s="51">
        <v>24</v>
      </c>
      <c r="AE930" s="51">
        <v>24</v>
      </c>
      <c r="AF930" s="48" t="s">
        <v>203</v>
      </c>
      <c r="AG930" s="38" t="s">
        <v>204</v>
      </c>
      <c r="AH930" s="52"/>
      <c r="AI930" s="38"/>
      <c r="AJ930" s="38"/>
    </row>
    <row r="931" spans="1:36" ht="16.2">
      <c r="A931" s="53" t="s">
        <v>340</v>
      </c>
      <c r="B931" s="53">
        <v>579080</v>
      </c>
      <c r="C931" s="53" t="s">
        <v>2797</v>
      </c>
      <c r="D931" s="53">
        <v>13207636</v>
      </c>
      <c r="E931" s="54" t="s">
        <v>2905</v>
      </c>
      <c r="F931" s="53" t="s">
        <v>2876</v>
      </c>
      <c r="G931" s="53" t="s">
        <v>195</v>
      </c>
      <c r="H931" s="53"/>
      <c r="I931" s="53"/>
      <c r="J931" s="53">
        <v>13207636</v>
      </c>
      <c r="K931" s="53"/>
      <c r="L931" s="55">
        <v>45293</v>
      </c>
      <c r="M931" s="55">
        <v>45293</v>
      </c>
      <c r="N931" s="53" t="s">
        <v>1661</v>
      </c>
      <c r="O931" s="53">
        <v>0</v>
      </c>
      <c r="P931" s="53">
        <v>20040863</v>
      </c>
      <c r="Q931" s="53" t="s">
        <v>2934</v>
      </c>
      <c r="R931" s="45">
        <v>410</v>
      </c>
      <c r="S931" s="53">
        <v>0</v>
      </c>
      <c r="T931" s="47" t="s">
        <v>198</v>
      </c>
      <c r="U931" s="48" t="s">
        <v>199</v>
      </c>
      <c r="V931" s="38"/>
      <c r="W931" s="48" t="s">
        <v>195</v>
      </c>
      <c r="X931" s="38" t="s">
        <v>308</v>
      </c>
      <c r="Y931" s="49" t="s">
        <v>309</v>
      </c>
      <c r="Z931" s="50" t="s">
        <v>2935</v>
      </c>
      <c r="AA931" s="38"/>
      <c r="AB931" s="38"/>
      <c r="AC931" s="38"/>
      <c r="AD931" s="51">
        <v>24</v>
      </c>
      <c r="AE931" s="51">
        <v>24</v>
      </c>
      <c r="AF931" s="48" t="s">
        <v>203</v>
      </c>
      <c r="AG931" s="38" t="s">
        <v>204</v>
      </c>
      <c r="AH931" s="52"/>
      <c r="AI931" s="38"/>
      <c r="AJ931" s="38"/>
    </row>
    <row r="932" spans="1:36" ht="16.2">
      <c r="A932" s="42" t="s">
        <v>340</v>
      </c>
      <c r="B932" s="42">
        <v>579080</v>
      </c>
      <c r="C932" s="42" t="s">
        <v>2797</v>
      </c>
      <c r="D932" s="42">
        <v>13207636</v>
      </c>
      <c r="E932" s="43" t="s">
        <v>2905</v>
      </c>
      <c r="F932" s="42" t="s">
        <v>2879</v>
      </c>
      <c r="G932" s="42" t="s">
        <v>195</v>
      </c>
      <c r="H932" s="42"/>
      <c r="I932" s="42"/>
      <c r="J932" s="42">
        <v>13207636</v>
      </c>
      <c r="K932" s="42"/>
      <c r="L932" s="44">
        <v>45293</v>
      </c>
      <c r="M932" s="44">
        <v>45293</v>
      </c>
      <c r="N932" s="42" t="s">
        <v>1661</v>
      </c>
      <c r="O932" s="42">
        <v>0</v>
      </c>
      <c r="P932" s="42">
        <v>20040863</v>
      </c>
      <c r="Q932" s="42" t="s">
        <v>2936</v>
      </c>
      <c r="R932" s="45">
        <v>410</v>
      </c>
      <c r="S932" s="42">
        <v>0</v>
      </c>
      <c r="T932" s="47" t="s">
        <v>198</v>
      </c>
      <c r="U932" s="48" t="s">
        <v>199</v>
      </c>
      <c r="V932" s="38"/>
      <c r="W932" s="48" t="s">
        <v>195</v>
      </c>
      <c r="X932" s="38" t="s">
        <v>308</v>
      </c>
      <c r="Y932" s="49" t="s">
        <v>309</v>
      </c>
      <c r="Z932" s="50" t="s">
        <v>2937</v>
      </c>
      <c r="AA932" s="38"/>
      <c r="AB932" s="38"/>
      <c r="AC932" s="38"/>
      <c r="AD932" s="51">
        <v>24</v>
      </c>
      <c r="AE932" s="51">
        <v>24</v>
      </c>
      <c r="AF932" s="48" t="s">
        <v>203</v>
      </c>
      <c r="AG932" s="38" t="s">
        <v>204</v>
      </c>
      <c r="AH932" s="52"/>
      <c r="AI932" s="38"/>
      <c r="AJ932" s="38"/>
    </row>
    <row r="933" spans="1:36" ht="16.2">
      <c r="A933" s="53" t="s">
        <v>340</v>
      </c>
      <c r="B933" s="53">
        <v>579080</v>
      </c>
      <c r="C933" s="53" t="s">
        <v>2797</v>
      </c>
      <c r="D933" s="53">
        <v>13207636</v>
      </c>
      <c r="E933" s="54" t="s">
        <v>2905</v>
      </c>
      <c r="F933" s="53" t="s">
        <v>2882</v>
      </c>
      <c r="G933" s="53" t="s">
        <v>195</v>
      </c>
      <c r="H933" s="53"/>
      <c r="I933" s="53"/>
      <c r="J933" s="53">
        <v>13207636</v>
      </c>
      <c r="K933" s="53"/>
      <c r="L933" s="55">
        <v>45293</v>
      </c>
      <c r="M933" s="55">
        <v>45293</v>
      </c>
      <c r="N933" s="53" t="s">
        <v>1661</v>
      </c>
      <c r="O933" s="53">
        <v>0</v>
      </c>
      <c r="P933" s="53">
        <v>20040863</v>
      </c>
      <c r="Q933" s="53" t="s">
        <v>2938</v>
      </c>
      <c r="R933" s="45">
        <v>410</v>
      </c>
      <c r="S933" s="53">
        <v>0</v>
      </c>
      <c r="T933" s="47" t="s">
        <v>198</v>
      </c>
      <c r="U933" s="48" t="s">
        <v>199</v>
      </c>
      <c r="V933" s="38"/>
      <c r="W933" s="48" t="s">
        <v>195</v>
      </c>
      <c r="X933" s="38" t="s">
        <v>308</v>
      </c>
      <c r="Y933" s="49" t="s">
        <v>309</v>
      </c>
      <c r="Z933" s="50" t="s">
        <v>2939</v>
      </c>
      <c r="AA933" s="38"/>
      <c r="AB933" s="38"/>
      <c r="AC933" s="38"/>
      <c r="AD933" s="51">
        <v>24</v>
      </c>
      <c r="AE933" s="51">
        <v>24</v>
      </c>
      <c r="AF933" s="48" t="s">
        <v>203</v>
      </c>
      <c r="AG933" s="38" t="s">
        <v>204</v>
      </c>
      <c r="AH933" s="52"/>
      <c r="AI933" s="38"/>
      <c r="AJ933" s="38"/>
    </row>
    <row r="934" spans="1:36" ht="16.2">
      <c r="A934" s="42" t="s">
        <v>340</v>
      </c>
      <c r="B934" s="42">
        <v>579080</v>
      </c>
      <c r="C934" s="42" t="s">
        <v>2797</v>
      </c>
      <c r="D934" s="42">
        <v>13207636</v>
      </c>
      <c r="E934" s="43" t="s">
        <v>2905</v>
      </c>
      <c r="F934" s="42" t="s">
        <v>2940</v>
      </c>
      <c r="G934" s="42" t="s">
        <v>195</v>
      </c>
      <c r="H934" s="42"/>
      <c r="I934" s="42"/>
      <c r="J934" s="42">
        <v>13207636</v>
      </c>
      <c r="K934" s="42"/>
      <c r="L934" s="44">
        <v>45293</v>
      </c>
      <c r="M934" s="44">
        <v>45293</v>
      </c>
      <c r="N934" s="42" t="s">
        <v>1661</v>
      </c>
      <c r="O934" s="42">
        <v>0</v>
      </c>
      <c r="P934" s="42">
        <v>20040863</v>
      </c>
      <c r="Q934" s="42" t="s">
        <v>2941</v>
      </c>
      <c r="R934" s="45">
        <v>410</v>
      </c>
      <c r="S934" s="42">
        <v>0</v>
      </c>
      <c r="T934" s="47" t="s">
        <v>198</v>
      </c>
      <c r="U934" s="48" t="s">
        <v>199</v>
      </c>
      <c r="V934" s="38"/>
      <c r="W934" s="48" t="s">
        <v>195</v>
      </c>
      <c r="X934" s="38" t="s">
        <v>308</v>
      </c>
      <c r="Y934" s="49" t="s">
        <v>309</v>
      </c>
      <c r="Z934" s="50" t="s">
        <v>2942</v>
      </c>
      <c r="AA934" s="38"/>
      <c r="AB934" s="38"/>
      <c r="AC934" s="38"/>
      <c r="AD934" s="51">
        <v>24</v>
      </c>
      <c r="AE934" s="51">
        <v>24</v>
      </c>
      <c r="AF934" s="48" t="s">
        <v>203</v>
      </c>
      <c r="AG934" s="38" t="s">
        <v>204</v>
      </c>
      <c r="AH934" s="52"/>
      <c r="AI934" s="38"/>
      <c r="AJ934" s="38"/>
    </row>
    <row r="935" spans="1:36" ht="16.2">
      <c r="A935" s="53" t="s">
        <v>340</v>
      </c>
      <c r="B935" s="53">
        <v>579080</v>
      </c>
      <c r="C935" s="53" t="s">
        <v>2797</v>
      </c>
      <c r="D935" s="53">
        <v>13207636</v>
      </c>
      <c r="E935" s="54" t="s">
        <v>2905</v>
      </c>
      <c r="F935" s="53" t="s">
        <v>2888</v>
      </c>
      <c r="G935" s="53" t="s">
        <v>195</v>
      </c>
      <c r="H935" s="53"/>
      <c r="I935" s="53"/>
      <c r="J935" s="53">
        <v>13207636</v>
      </c>
      <c r="K935" s="53"/>
      <c r="L935" s="55">
        <v>45293</v>
      </c>
      <c r="M935" s="55">
        <v>45293</v>
      </c>
      <c r="N935" s="53" t="s">
        <v>1661</v>
      </c>
      <c r="O935" s="53">
        <v>0</v>
      </c>
      <c r="P935" s="53">
        <v>20040863</v>
      </c>
      <c r="Q935" s="53" t="s">
        <v>2943</v>
      </c>
      <c r="R935" s="45">
        <v>410</v>
      </c>
      <c r="S935" s="53">
        <v>0</v>
      </c>
      <c r="T935" s="47" t="s">
        <v>198</v>
      </c>
      <c r="U935" s="48" t="s">
        <v>199</v>
      </c>
      <c r="V935" s="38"/>
      <c r="W935" s="48" t="s">
        <v>195</v>
      </c>
      <c r="X935" s="38" t="s">
        <v>308</v>
      </c>
      <c r="Y935" s="49" t="s">
        <v>309</v>
      </c>
      <c r="Z935" s="50" t="s">
        <v>2944</v>
      </c>
      <c r="AA935" s="38"/>
      <c r="AB935" s="38"/>
      <c r="AC935" s="38"/>
      <c r="AD935" s="51">
        <v>24</v>
      </c>
      <c r="AE935" s="51">
        <v>24</v>
      </c>
      <c r="AF935" s="48" t="s">
        <v>203</v>
      </c>
      <c r="AG935" s="38" t="s">
        <v>204</v>
      </c>
      <c r="AH935" s="52"/>
      <c r="AI935" s="38"/>
      <c r="AJ935" s="38"/>
    </row>
    <row r="936" spans="1:36" ht="16.2">
      <c r="A936" s="42" t="s">
        <v>340</v>
      </c>
      <c r="B936" s="42">
        <v>579080</v>
      </c>
      <c r="C936" s="42" t="s">
        <v>2797</v>
      </c>
      <c r="D936" s="42">
        <v>13207636</v>
      </c>
      <c r="E936" s="43" t="s">
        <v>2905</v>
      </c>
      <c r="F936" s="42" t="s">
        <v>2891</v>
      </c>
      <c r="G936" s="42" t="s">
        <v>195</v>
      </c>
      <c r="H936" s="42"/>
      <c r="I936" s="42"/>
      <c r="J936" s="42">
        <v>13207636</v>
      </c>
      <c r="K936" s="42"/>
      <c r="L936" s="44">
        <v>45293</v>
      </c>
      <c r="M936" s="44">
        <v>45293</v>
      </c>
      <c r="N936" s="42" t="s">
        <v>1661</v>
      </c>
      <c r="O936" s="42">
        <v>0</v>
      </c>
      <c r="P936" s="42">
        <v>20040863</v>
      </c>
      <c r="Q936" s="42" t="s">
        <v>2945</v>
      </c>
      <c r="R936" s="45">
        <v>410</v>
      </c>
      <c r="S936" s="42">
        <v>0</v>
      </c>
      <c r="T936" s="47" t="s">
        <v>198</v>
      </c>
      <c r="U936" s="48" t="s">
        <v>199</v>
      </c>
      <c r="V936" s="38"/>
      <c r="W936" s="48" t="s">
        <v>195</v>
      </c>
      <c r="X936" s="38" t="s">
        <v>308</v>
      </c>
      <c r="Y936" s="49" t="s">
        <v>309</v>
      </c>
      <c r="Z936" s="50" t="s">
        <v>2946</v>
      </c>
      <c r="AA936" s="38"/>
      <c r="AB936" s="38"/>
      <c r="AC936" s="38"/>
      <c r="AD936" s="51">
        <v>24</v>
      </c>
      <c r="AE936" s="51">
        <v>24</v>
      </c>
      <c r="AF936" s="48" t="s">
        <v>203</v>
      </c>
      <c r="AG936" s="38" t="s">
        <v>204</v>
      </c>
      <c r="AH936" s="52"/>
      <c r="AI936" s="38"/>
      <c r="AJ936" s="38"/>
    </row>
    <row r="937" spans="1:36" ht="16.2">
      <c r="A937" s="53" t="s">
        <v>340</v>
      </c>
      <c r="B937" s="53">
        <v>579080</v>
      </c>
      <c r="C937" s="53" t="s">
        <v>2797</v>
      </c>
      <c r="D937" s="53">
        <v>13207636</v>
      </c>
      <c r="E937" s="54" t="s">
        <v>2905</v>
      </c>
      <c r="F937" s="53" t="s">
        <v>2894</v>
      </c>
      <c r="G937" s="53" t="s">
        <v>195</v>
      </c>
      <c r="H937" s="53"/>
      <c r="I937" s="53"/>
      <c r="J937" s="53">
        <v>13207636</v>
      </c>
      <c r="K937" s="53"/>
      <c r="L937" s="55">
        <v>45293</v>
      </c>
      <c r="M937" s="55">
        <v>45293</v>
      </c>
      <c r="N937" s="53" t="s">
        <v>1661</v>
      </c>
      <c r="O937" s="53">
        <v>0</v>
      </c>
      <c r="P937" s="53">
        <v>20040863</v>
      </c>
      <c r="Q937" s="53" t="s">
        <v>2947</v>
      </c>
      <c r="R937" s="45">
        <v>410</v>
      </c>
      <c r="S937" s="53">
        <v>0</v>
      </c>
      <c r="T937" s="47" t="s">
        <v>198</v>
      </c>
      <c r="U937" s="48" t="s">
        <v>199</v>
      </c>
      <c r="V937" s="38"/>
      <c r="W937" s="48" t="s">
        <v>195</v>
      </c>
      <c r="X937" s="38" t="s">
        <v>308</v>
      </c>
      <c r="Y937" s="49" t="s">
        <v>309</v>
      </c>
      <c r="Z937" s="50" t="s">
        <v>2948</v>
      </c>
      <c r="AA937" s="38"/>
      <c r="AB937" s="38"/>
      <c r="AC937" s="38"/>
      <c r="AD937" s="51">
        <v>24</v>
      </c>
      <c r="AE937" s="51">
        <v>24</v>
      </c>
      <c r="AF937" s="48" t="s">
        <v>203</v>
      </c>
      <c r="AG937" s="38" t="s">
        <v>204</v>
      </c>
      <c r="AH937" s="52"/>
      <c r="AI937" s="38"/>
      <c r="AJ937" s="38"/>
    </row>
    <row r="938" spans="1:36" ht="16.2">
      <c r="A938" s="42" t="s">
        <v>340</v>
      </c>
      <c r="B938" s="42">
        <v>579080</v>
      </c>
      <c r="C938" s="42" t="s">
        <v>2797</v>
      </c>
      <c r="D938" s="42">
        <v>13207636</v>
      </c>
      <c r="E938" s="43" t="s">
        <v>2905</v>
      </c>
      <c r="F938" s="42" t="s">
        <v>2897</v>
      </c>
      <c r="G938" s="42" t="s">
        <v>195</v>
      </c>
      <c r="H938" s="42"/>
      <c r="I938" s="42"/>
      <c r="J938" s="42">
        <v>13207636</v>
      </c>
      <c r="K938" s="42"/>
      <c r="L938" s="44">
        <v>45293</v>
      </c>
      <c r="M938" s="44">
        <v>45293</v>
      </c>
      <c r="N938" s="42" t="s">
        <v>1661</v>
      </c>
      <c r="O938" s="46">
        <v>0.01</v>
      </c>
      <c r="P938" s="42">
        <v>20040863</v>
      </c>
      <c r="Q938" s="42" t="s">
        <v>2949</v>
      </c>
      <c r="R938" s="45">
        <v>410</v>
      </c>
      <c r="S938" s="46">
        <v>0.01</v>
      </c>
      <c r="T938" s="47" t="s">
        <v>198</v>
      </c>
      <c r="U938" s="48" t="s">
        <v>199</v>
      </c>
      <c r="V938" s="38"/>
      <c r="W938" s="48" t="s">
        <v>195</v>
      </c>
      <c r="X938" s="38" t="s">
        <v>308</v>
      </c>
      <c r="Y938" s="49" t="s">
        <v>309</v>
      </c>
      <c r="Z938" s="50" t="s">
        <v>2950</v>
      </c>
      <c r="AA938" s="38"/>
      <c r="AB938" s="38"/>
      <c r="AC938" s="38"/>
      <c r="AD938" s="51">
        <v>24</v>
      </c>
      <c r="AE938" s="51">
        <v>24</v>
      </c>
      <c r="AF938" s="48" t="s">
        <v>203</v>
      </c>
      <c r="AG938" s="38" t="s">
        <v>204</v>
      </c>
      <c r="AH938" s="52"/>
      <c r="AI938" s="38"/>
      <c r="AJ938" s="38"/>
    </row>
    <row r="939" spans="1:36" ht="16.2">
      <c r="A939" s="53" t="s">
        <v>340</v>
      </c>
      <c r="B939" s="53">
        <v>579080</v>
      </c>
      <c r="C939" s="53" t="s">
        <v>2797</v>
      </c>
      <c r="D939" s="53">
        <v>13207636</v>
      </c>
      <c r="E939" s="54" t="s">
        <v>2905</v>
      </c>
      <c r="F939" s="53" t="s">
        <v>2900</v>
      </c>
      <c r="G939" s="53" t="s">
        <v>195</v>
      </c>
      <c r="H939" s="53" t="s">
        <v>2951</v>
      </c>
      <c r="I939" s="53">
        <v>23803141</v>
      </c>
      <c r="J939" s="53">
        <v>13207636</v>
      </c>
      <c r="K939" s="53"/>
      <c r="L939" s="55">
        <v>45293</v>
      </c>
      <c r="M939" s="55">
        <v>45293</v>
      </c>
      <c r="N939" s="53" t="s">
        <v>1661</v>
      </c>
      <c r="O939" s="56">
        <v>0.01</v>
      </c>
      <c r="P939" s="53">
        <v>20040863</v>
      </c>
      <c r="Q939" s="53" t="s">
        <v>2952</v>
      </c>
      <c r="R939" s="45">
        <v>410</v>
      </c>
      <c r="S939" s="56">
        <v>0.01</v>
      </c>
      <c r="T939" s="47" t="s">
        <v>198</v>
      </c>
      <c r="U939" s="48" t="s">
        <v>199</v>
      </c>
      <c r="V939" s="38"/>
      <c r="W939" s="48" t="s">
        <v>195</v>
      </c>
      <c r="X939" s="38" t="s">
        <v>308</v>
      </c>
      <c r="Y939" s="49" t="s">
        <v>309</v>
      </c>
      <c r="Z939" s="59" t="s">
        <v>2953</v>
      </c>
      <c r="AA939" s="47" t="s">
        <v>2954</v>
      </c>
      <c r="AB939" s="38"/>
      <c r="AC939" s="38"/>
      <c r="AD939" s="51">
        <v>24</v>
      </c>
      <c r="AE939" s="51">
        <v>24</v>
      </c>
      <c r="AF939" s="48" t="s">
        <v>203</v>
      </c>
      <c r="AG939" s="38" t="s">
        <v>204</v>
      </c>
      <c r="AH939" s="52"/>
      <c r="AI939" s="38"/>
      <c r="AJ939" s="38"/>
    </row>
    <row r="940" spans="1:36" ht="16.2">
      <c r="A940" s="42" t="s">
        <v>857</v>
      </c>
      <c r="B940" s="42">
        <v>690104</v>
      </c>
      <c r="C940" s="42" t="s">
        <v>2955</v>
      </c>
      <c r="D940" s="42">
        <v>13207699</v>
      </c>
      <c r="E940" s="43" t="s">
        <v>2956</v>
      </c>
      <c r="F940" s="42" t="s">
        <v>2957</v>
      </c>
      <c r="G940" s="42" t="s">
        <v>195</v>
      </c>
      <c r="H940" s="42"/>
      <c r="I940" s="42"/>
      <c r="J940" s="42">
        <v>13207699</v>
      </c>
      <c r="K940" s="42"/>
      <c r="L940" s="44">
        <v>45293</v>
      </c>
      <c r="M940" s="44">
        <v>45293</v>
      </c>
      <c r="N940" s="42" t="s">
        <v>1677</v>
      </c>
      <c r="O940" s="46">
        <v>0.01</v>
      </c>
      <c r="P940" s="42">
        <v>20019987</v>
      </c>
      <c r="Q940" s="42" t="s">
        <v>2958</v>
      </c>
      <c r="R940" s="45">
        <v>410</v>
      </c>
      <c r="S940" s="46">
        <v>0.01</v>
      </c>
      <c r="T940" s="47" t="s">
        <v>198</v>
      </c>
      <c r="U940" s="48" t="s">
        <v>199</v>
      </c>
      <c r="V940" s="38"/>
      <c r="W940" s="48" t="s">
        <v>195</v>
      </c>
      <c r="X940" s="38" t="s">
        <v>426</v>
      </c>
      <c r="Y940" s="49" t="s">
        <v>427</v>
      </c>
      <c r="Z940" s="50" t="s">
        <v>2959</v>
      </c>
      <c r="AA940" s="38"/>
      <c r="AB940" s="38"/>
      <c r="AC940" s="38"/>
      <c r="AD940" s="51">
        <v>22</v>
      </c>
      <c r="AE940" s="51">
        <v>22</v>
      </c>
      <c r="AF940" s="48" t="s">
        <v>203</v>
      </c>
      <c r="AG940" s="38" t="s">
        <v>204</v>
      </c>
      <c r="AH940" s="52"/>
      <c r="AI940" s="38"/>
      <c r="AJ940" s="38"/>
    </row>
    <row r="941" spans="1:36" ht="16.2">
      <c r="A941" s="53" t="s">
        <v>857</v>
      </c>
      <c r="B941" s="53">
        <v>690104</v>
      </c>
      <c r="C941" s="53" t="s">
        <v>2955</v>
      </c>
      <c r="D941" s="53">
        <v>13207699</v>
      </c>
      <c r="E941" s="54" t="s">
        <v>2956</v>
      </c>
      <c r="F941" s="53" t="s">
        <v>2320</v>
      </c>
      <c r="G941" s="53" t="s">
        <v>195</v>
      </c>
      <c r="H941" s="53"/>
      <c r="I941" s="53"/>
      <c r="J941" s="53">
        <v>13207699</v>
      </c>
      <c r="K941" s="53"/>
      <c r="L941" s="55">
        <v>45293</v>
      </c>
      <c r="M941" s="55">
        <v>45293</v>
      </c>
      <c r="N941" s="53" t="s">
        <v>1677</v>
      </c>
      <c r="O941" s="56">
        <v>0.01</v>
      </c>
      <c r="P941" s="53">
        <v>20019987</v>
      </c>
      <c r="Q941" s="53" t="s">
        <v>2960</v>
      </c>
      <c r="R941" s="45">
        <v>410</v>
      </c>
      <c r="S941" s="56">
        <v>0.01</v>
      </c>
      <c r="T941" s="47" t="s">
        <v>198</v>
      </c>
      <c r="U941" s="48" t="s">
        <v>199</v>
      </c>
      <c r="V941" s="38"/>
      <c r="W941" s="48" t="s">
        <v>195</v>
      </c>
      <c r="X941" s="38" t="s">
        <v>426</v>
      </c>
      <c r="Y941" s="49" t="s">
        <v>427</v>
      </c>
      <c r="Z941" s="50" t="s">
        <v>2961</v>
      </c>
      <c r="AA941" s="38"/>
      <c r="AB941" s="38"/>
      <c r="AC941" s="38"/>
      <c r="AD941" s="51">
        <v>22</v>
      </c>
      <c r="AE941" s="51">
        <v>22</v>
      </c>
      <c r="AF941" s="48" t="s">
        <v>203</v>
      </c>
      <c r="AG941" s="38" t="s">
        <v>204</v>
      </c>
      <c r="AH941" s="52"/>
      <c r="AI941" s="38"/>
      <c r="AJ941" s="38"/>
    </row>
    <row r="942" spans="1:36" ht="16.2">
      <c r="A942" s="42" t="s">
        <v>857</v>
      </c>
      <c r="B942" s="42">
        <v>690104</v>
      </c>
      <c r="C942" s="42" t="s">
        <v>2955</v>
      </c>
      <c r="D942" s="42">
        <v>13207699</v>
      </c>
      <c r="E942" s="43" t="s">
        <v>2956</v>
      </c>
      <c r="F942" s="42" t="s">
        <v>2962</v>
      </c>
      <c r="G942" s="42" t="s">
        <v>195</v>
      </c>
      <c r="H942" s="42"/>
      <c r="I942" s="42"/>
      <c r="J942" s="42">
        <v>13207699</v>
      </c>
      <c r="K942" s="42"/>
      <c r="L942" s="44">
        <v>45293</v>
      </c>
      <c r="M942" s="44">
        <v>45293</v>
      </c>
      <c r="N942" s="42" t="s">
        <v>1677</v>
      </c>
      <c r="O942" s="46">
        <v>0.01</v>
      </c>
      <c r="P942" s="42">
        <v>20019987</v>
      </c>
      <c r="Q942" s="42" t="s">
        <v>2963</v>
      </c>
      <c r="R942" s="45">
        <v>410</v>
      </c>
      <c r="S942" s="46">
        <v>0.01</v>
      </c>
      <c r="T942" s="47" t="s">
        <v>198</v>
      </c>
      <c r="U942" s="48" t="s">
        <v>199</v>
      </c>
      <c r="V942" s="38"/>
      <c r="W942" s="48" t="s">
        <v>195</v>
      </c>
      <c r="X942" s="38" t="s">
        <v>426</v>
      </c>
      <c r="Y942" s="49" t="s">
        <v>427</v>
      </c>
      <c r="Z942" s="50" t="s">
        <v>2964</v>
      </c>
      <c r="AA942" s="38"/>
      <c r="AB942" s="38"/>
      <c r="AC942" s="38"/>
      <c r="AD942" s="51">
        <v>22</v>
      </c>
      <c r="AE942" s="51">
        <v>22</v>
      </c>
      <c r="AF942" s="48" t="s">
        <v>203</v>
      </c>
      <c r="AG942" s="38" t="s">
        <v>204</v>
      </c>
      <c r="AH942" s="52"/>
      <c r="AI942" s="38"/>
      <c r="AJ942" s="38"/>
    </row>
    <row r="943" spans="1:36" ht="16.2">
      <c r="A943" s="53" t="s">
        <v>857</v>
      </c>
      <c r="B943" s="53">
        <v>690104</v>
      </c>
      <c r="C943" s="53" t="s">
        <v>2955</v>
      </c>
      <c r="D943" s="53">
        <v>13207699</v>
      </c>
      <c r="E943" s="54" t="s">
        <v>2956</v>
      </c>
      <c r="F943" s="53" t="s">
        <v>2965</v>
      </c>
      <c r="G943" s="53" t="s">
        <v>195</v>
      </c>
      <c r="H943" s="53"/>
      <c r="I943" s="53"/>
      <c r="J943" s="53">
        <v>13207699</v>
      </c>
      <c r="K943" s="53"/>
      <c r="L943" s="55">
        <v>45293</v>
      </c>
      <c r="M943" s="55">
        <v>45293</v>
      </c>
      <c r="N943" s="53" t="s">
        <v>1677</v>
      </c>
      <c r="O943" s="56">
        <v>0.01</v>
      </c>
      <c r="P943" s="53">
        <v>20019987</v>
      </c>
      <c r="Q943" s="53" t="s">
        <v>2966</v>
      </c>
      <c r="R943" s="45">
        <v>410</v>
      </c>
      <c r="S943" s="56">
        <v>0.01</v>
      </c>
      <c r="T943" s="47" t="s">
        <v>198</v>
      </c>
      <c r="U943" s="48" t="s">
        <v>199</v>
      </c>
      <c r="V943" s="38"/>
      <c r="W943" s="48" t="s">
        <v>195</v>
      </c>
      <c r="X943" s="38" t="s">
        <v>426</v>
      </c>
      <c r="Y943" s="49" t="s">
        <v>427</v>
      </c>
      <c r="Z943" s="50" t="s">
        <v>2967</v>
      </c>
      <c r="AA943" s="38"/>
      <c r="AB943" s="38"/>
      <c r="AC943" s="38"/>
      <c r="AD943" s="51">
        <v>22</v>
      </c>
      <c r="AE943" s="51">
        <v>22</v>
      </c>
      <c r="AF943" s="48" t="s">
        <v>203</v>
      </c>
      <c r="AG943" s="38" t="s">
        <v>204</v>
      </c>
      <c r="AH943" s="52"/>
      <c r="AI943" s="38"/>
      <c r="AJ943" s="38"/>
    </row>
    <row r="944" spans="1:36" ht="16.2">
      <c r="A944" s="42" t="s">
        <v>857</v>
      </c>
      <c r="B944" s="42">
        <v>690104</v>
      </c>
      <c r="C944" s="42" t="s">
        <v>2955</v>
      </c>
      <c r="D944" s="42">
        <v>13207699</v>
      </c>
      <c r="E944" s="43" t="s">
        <v>2956</v>
      </c>
      <c r="F944" s="42" t="s">
        <v>2968</v>
      </c>
      <c r="G944" s="42" t="s">
        <v>195</v>
      </c>
      <c r="H944" s="42"/>
      <c r="I944" s="42"/>
      <c r="J944" s="42">
        <v>13207699</v>
      </c>
      <c r="K944" s="42"/>
      <c r="L944" s="44">
        <v>45293</v>
      </c>
      <c r="M944" s="44">
        <v>45293</v>
      </c>
      <c r="N944" s="42" t="s">
        <v>1677</v>
      </c>
      <c r="O944" s="46">
        <v>0.01</v>
      </c>
      <c r="P944" s="42">
        <v>20019987</v>
      </c>
      <c r="Q944" s="42" t="s">
        <v>2969</v>
      </c>
      <c r="R944" s="45">
        <v>410</v>
      </c>
      <c r="S944" s="46">
        <v>0.01</v>
      </c>
      <c r="T944" s="47" t="s">
        <v>198</v>
      </c>
      <c r="U944" s="48" t="s">
        <v>199</v>
      </c>
      <c r="V944" s="38"/>
      <c r="W944" s="48" t="s">
        <v>195</v>
      </c>
      <c r="X944" s="38" t="s">
        <v>426</v>
      </c>
      <c r="Y944" s="49" t="s">
        <v>427</v>
      </c>
      <c r="Z944" s="50" t="s">
        <v>2970</v>
      </c>
      <c r="AA944" s="38"/>
      <c r="AB944" s="38"/>
      <c r="AC944" s="38"/>
      <c r="AD944" s="51">
        <v>22</v>
      </c>
      <c r="AE944" s="51">
        <v>22</v>
      </c>
      <c r="AF944" s="48" t="s">
        <v>203</v>
      </c>
      <c r="AG944" s="38" t="s">
        <v>204</v>
      </c>
      <c r="AH944" s="52"/>
      <c r="AI944" s="38"/>
      <c r="AJ944" s="38"/>
    </row>
    <row r="945" spans="1:36" ht="16.2">
      <c r="A945" s="53" t="s">
        <v>857</v>
      </c>
      <c r="B945" s="53">
        <v>690104</v>
      </c>
      <c r="C945" s="53" t="s">
        <v>2955</v>
      </c>
      <c r="D945" s="53">
        <v>13207699</v>
      </c>
      <c r="E945" s="54" t="s">
        <v>2956</v>
      </c>
      <c r="F945" s="53" t="s">
        <v>2971</v>
      </c>
      <c r="G945" s="53" t="s">
        <v>195</v>
      </c>
      <c r="H945" s="53"/>
      <c r="I945" s="53"/>
      <c r="J945" s="53">
        <v>13207699</v>
      </c>
      <c r="K945" s="53"/>
      <c r="L945" s="55">
        <v>45293</v>
      </c>
      <c r="M945" s="55">
        <v>45293</v>
      </c>
      <c r="N945" s="53" t="s">
        <v>1677</v>
      </c>
      <c r="O945" s="56">
        <v>0.01</v>
      </c>
      <c r="P945" s="53">
        <v>20019987</v>
      </c>
      <c r="Q945" s="53" t="s">
        <v>2972</v>
      </c>
      <c r="R945" s="45">
        <v>410</v>
      </c>
      <c r="S945" s="56">
        <v>0.01</v>
      </c>
      <c r="T945" s="47" t="s">
        <v>198</v>
      </c>
      <c r="U945" s="48" t="s">
        <v>199</v>
      </c>
      <c r="V945" s="38"/>
      <c r="W945" s="48" t="s">
        <v>195</v>
      </c>
      <c r="X945" s="38" t="s">
        <v>426</v>
      </c>
      <c r="Y945" s="49" t="s">
        <v>427</v>
      </c>
      <c r="Z945" s="50" t="s">
        <v>2973</v>
      </c>
      <c r="AA945" s="38"/>
      <c r="AB945" s="38"/>
      <c r="AC945" s="38"/>
      <c r="AD945" s="51">
        <v>22</v>
      </c>
      <c r="AE945" s="51">
        <v>22</v>
      </c>
      <c r="AF945" s="48" t="s">
        <v>203</v>
      </c>
      <c r="AG945" s="38" t="s">
        <v>204</v>
      </c>
      <c r="AH945" s="52"/>
      <c r="AI945" s="38"/>
      <c r="AJ945" s="38"/>
    </row>
    <row r="946" spans="1:36" ht="16.2">
      <c r="A946" s="42" t="s">
        <v>857</v>
      </c>
      <c r="B946" s="42">
        <v>690104</v>
      </c>
      <c r="C946" s="42" t="s">
        <v>2955</v>
      </c>
      <c r="D946" s="42">
        <v>13207699</v>
      </c>
      <c r="E946" s="43" t="s">
        <v>2956</v>
      </c>
      <c r="F946" s="42" t="s">
        <v>2974</v>
      </c>
      <c r="G946" s="42" t="s">
        <v>195</v>
      </c>
      <c r="H946" s="42"/>
      <c r="I946" s="42"/>
      <c r="J946" s="42">
        <v>13207699</v>
      </c>
      <c r="K946" s="42"/>
      <c r="L946" s="44">
        <v>45293</v>
      </c>
      <c r="M946" s="44">
        <v>45293</v>
      </c>
      <c r="N946" s="42" t="s">
        <v>1677</v>
      </c>
      <c r="O946" s="46">
        <v>0.01</v>
      </c>
      <c r="P946" s="42">
        <v>20019987</v>
      </c>
      <c r="Q946" s="42" t="s">
        <v>2975</v>
      </c>
      <c r="R946" s="45">
        <v>410</v>
      </c>
      <c r="S946" s="46">
        <v>0.01</v>
      </c>
      <c r="T946" s="47" t="s">
        <v>198</v>
      </c>
      <c r="U946" s="48" t="s">
        <v>199</v>
      </c>
      <c r="V946" s="38"/>
      <c r="W946" s="48" t="s">
        <v>195</v>
      </c>
      <c r="X946" s="38" t="s">
        <v>426</v>
      </c>
      <c r="Y946" s="49" t="s">
        <v>427</v>
      </c>
      <c r="Z946" s="50" t="s">
        <v>2976</v>
      </c>
      <c r="AA946" s="38"/>
      <c r="AB946" s="38"/>
      <c r="AC946" s="38"/>
      <c r="AD946" s="51">
        <v>22</v>
      </c>
      <c r="AE946" s="51">
        <v>22</v>
      </c>
      <c r="AF946" s="48" t="s">
        <v>203</v>
      </c>
      <c r="AG946" s="38" t="s">
        <v>204</v>
      </c>
      <c r="AH946" s="52"/>
      <c r="AI946" s="38"/>
      <c r="AJ946" s="38"/>
    </row>
    <row r="947" spans="1:36" ht="16.2">
      <c r="A947" s="53" t="s">
        <v>857</v>
      </c>
      <c r="B947" s="53">
        <v>690104</v>
      </c>
      <c r="C947" s="53" t="s">
        <v>2955</v>
      </c>
      <c r="D947" s="53">
        <v>13207699</v>
      </c>
      <c r="E947" s="54" t="s">
        <v>2956</v>
      </c>
      <c r="F947" s="53" t="s">
        <v>470</v>
      </c>
      <c r="G947" s="53" t="s">
        <v>195</v>
      </c>
      <c r="H947" s="53"/>
      <c r="I947" s="53"/>
      <c r="J947" s="53">
        <v>13207699</v>
      </c>
      <c r="K947" s="53"/>
      <c r="L947" s="55">
        <v>45293</v>
      </c>
      <c r="M947" s="55">
        <v>45293</v>
      </c>
      <c r="N947" s="53" t="s">
        <v>1677</v>
      </c>
      <c r="O947" s="56">
        <v>0.01</v>
      </c>
      <c r="P947" s="53">
        <v>20019987</v>
      </c>
      <c r="Q947" s="53" t="s">
        <v>2977</v>
      </c>
      <c r="R947" s="45">
        <v>410</v>
      </c>
      <c r="S947" s="56">
        <v>0.01</v>
      </c>
      <c r="T947" s="47" t="s">
        <v>198</v>
      </c>
      <c r="U947" s="48" t="s">
        <v>199</v>
      </c>
      <c r="V947" s="38"/>
      <c r="W947" s="48" t="s">
        <v>195</v>
      </c>
      <c r="X947" s="38" t="s">
        <v>426</v>
      </c>
      <c r="Y947" s="49" t="s">
        <v>427</v>
      </c>
      <c r="Z947" s="50" t="s">
        <v>2978</v>
      </c>
      <c r="AA947" s="38"/>
      <c r="AB947" s="38"/>
      <c r="AC947" s="38"/>
      <c r="AD947" s="51">
        <v>22</v>
      </c>
      <c r="AE947" s="51">
        <v>22</v>
      </c>
      <c r="AF947" s="48" t="s">
        <v>203</v>
      </c>
      <c r="AG947" s="38" t="s">
        <v>204</v>
      </c>
      <c r="AH947" s="52"/>
      <c r="AI947" s="38"/>
      <c r="AJ947" s="38"/>
    </row>
    <row r="948" spans="1:36" ht="16.2">
      <c r="A948" s="42" t="s">
        <v>857</v>
      </c>
      <c r="B948" s="42">
        <v>690104</v>
      </c>
      <c r="C948" s="42" t="s">
        <v>2955</v>
      </c>
      <c r="D948" s="42">
        <v>13207699</v>
      </c>
      <c r="E948" s="43" t="s">
        <v>2956</v>
      </c>
      <c r="F948" s="42" t="s">
        <v>2979</v>
      </c>
      <c r="G948" s="42" t="s">
        <v>195</v>
      </c>
      <c r="H948" s="42"/>
      <c r="I948" s="42"/>
      <c r="J948" s="42">
        <v>13207699</v>
      </c>
      <c r="K948" s="42"/>
      <c r="L948" s="44">
        <v>45293</v>
      </c>
      <c r="M948" s="44">
        <v>45293</v>
      </c>
      <c r="N948" s="42" t="s">
        <v>1677</v>
      </c>
      <c r="O948" s="46">
        <v>0.01</v>
      </c>
      <c r="P948" s="42">
        <v>20019987</v>
      </c>
      <c r="Q948" s="42" t="s">
        <v>2980</v>
      </c>
      <c r="R948" s="45">
        <v>410</v>
      </c>
      <c r="S948" s="46">
        <v>0.01</v>
      </c>
      <c r="T948" s="47" t="s">
        <v>198</v>
      </c>
      <c r="U948" s="48" t="s">
        <v>199</v>
      </c>
      <c r="V948" s="38"/>
      <c r="W948" s="48" t="s">
        <v>195</v>
      </c>
      <c r="X948" s="38" t="s">
        <v>426</v>
      </c>
      <c r="Y948" s="49" t="s">
        <v>427</v>
      </c>
      <c r="Z948" s="50" t="s">
        <v>2981</v>
      </c>
      <c r="AA948" s="38"/>
      <c r="AB948" s="38"/>
      <c r="AC948" s="38"/>
      <c r="AD948" s="51">
        <v>22</v>
      </c>
      <c r="AE948" s="51">
        <v>22</v>
      </c>
      <c r="AF948" s="48" t="s">
        <v>203</v>
      </c>
      <c r="AG948" s="38" t="s">
        <v>204</v>
      </c>
      <c r="AH948" s="52"/>
      <c r="AI948" s="38"/>
      <c r="AJ948" s="38"/>
    </row>
    <row r="949" spans="1:36" ht="16.2">
      <c r="A949" s="53" t="s">
        <v>857</v>
      </c>
      <c r="B949" s="53">
        <v>690104</v>
      </c>
      <c r="C949" s="53" t="s">
        <v>2955</v>
      </c>
      <c r="D949" s="53">
        <v>13207699</v>
      </c>
      <c r="E949" s="54" t="s">
        <v>2956</v>
      </c>
      <c r="F949" s="53" t="s">
        <v>2982</v>
      </c>
      <c r="G949" s="53" t="s">
        <v>195</v>
      </c>
      <c r="H949" s="53"/>
      <c r="I949" s="53"/>
      <c r="J949" s="53">
        <v>13207699</v>
      </c>
      <c r="K949" s="53"/>
      <c r="L949" s="55">
        <v>45293</v>
      </c>
      <c r="M949" s="55">
        <v>45293</v>
      </c>
      <c r="N949" s="53" t="s">
        <v>1677</v>
      </c>
      <c r="O949" s="56">
        <v>0.01</v>
      </c>
      <c r="P949" s="53">
        <v>20019987</v>
      </c>
      <c r="Q949" s="53" t="s">
        <v>2983</v>
      </c>
      <c r="R949" s="45">
        <v>410</v>
      </c>
      <c r="S949" s="56">
        <v>0.01</v>
      </c>
      <c r="T949" s="47" t="s">
        <v>198</v>
      </c>
      <c r="U949" s="48" t="s">
        <v>199</v>
      </c>
      <c r="V949" s="38"/>
      <c r="W949" s="48" t="s">
        <v>195</v>
      </c>
      <c r="X949" s="38" t="s">
        <v>426</v>
      </c>
      <c r="Y949" s="49" t="s">
        <v>427</v>
      </c>
      <c r="Z949" s="50" t="s">
        <v>2984</v>
      </c>
      <c r="AA949" s="38"/>
      <c r="AB949" s="38"/>
      <c r="AC949" s="38"/>
      <c r="AD949" s="51">
        <v>22</v>
      </c>
      <c r="AE949" s="51">
        <v>22</v>
      </c>
      <c r="AF949" s="48" t="s">
        <v>203</v>
      </c>
      <c r="AG949" s="38" t="s">
        <v>204</v>
      </c>
      <c r="AH949" s="52"/>
      <c r="AI949" s="38"/>
      <c r="AJ949" s="38"/>
    </row>
    <row r="950" spans="1:36" ht="16.2">
      <c r="A950" s="42" t="s">
        <v>302</v>
      </c>
      <c r="B950" s="42">
        <v>679377</v>
      </c>
      <c r="C950" s="42" t="s">
        <v>2985</v>
      </c>
      <c r="D950" s="42">
        <v>13207626</v>
      </c>
      <c r="E950" s="43" t="s">
        <v>2986</v>
      </c>
      <c r="F950" s="42" t="s">
        <v>2987</v>
      </c>
      <c r="G950" s="42" t="s">
        <v>195</v>
      </c>
      <c r="H950" s="42"/>
      <c r="I950" s="42"/>
      <c r="J950" s="42"/>
      <c r="K950" s="42"/>
      <c r="L950" s="44">
        <v>45293</v>
      </c>
      <c r="M950" s="44">
        <v>45293</v>
      </c>
      <c r="N950" s="42" t="s">
        <v>2988</v>
      </c>
      <c r="O950" s="46">
        <v>0.01</v>
      </c>
      <c r="P950" s="42"/>
      <c r="Q950" s="42" t="s">
        <v>2989</v>
      </c>
      <c r="R950" s="45">
        <v>410</v>
      </c>
      <c r="S950" s="46">
        <v>0.01</v>
      </c>
      <c r="T950" s="47" t="s">
        <v>198</v>
      </c>
      <c r="U950" s="48" t="s">
        <v>199</v>
      </c>
      <c r="V950" s="38"/>
      <c r="W950" s="48" t="s">
        <v>195</v>
      </c>
      <c r="X950" s="38" t="s">
        <v>308</v>
      </c>
      <c r="Y950" s="49" t="s">
        <v>309</v>
      </c>
      <c r="Z950" s="50" t="s">
        <v>2990</v>
      </c>
      <c r="AA950" s="38"/>
      <c r="AB950" s="38"/>
      <c r="AC950" s="38"/>
      <c r="AD950" s="51">
        <v>57</v>
      </c>
      <c r="AE950" s="51">
        <v>57</v>
      </c>
      <c r="AF950" s="48" t="s">
        <v>203</v>
      </c>
      <c r="AG950" s="38" t="s">
        <v>204</v>
      </c>
      <c r="AH950" s="52"/>
      <c r="AI950" s="38"/>
      <c r="AJ950" s="38"/>
    </row>
    <row r="951" spans="1:36" ht="16.2">
      <c r="A951" s="53" t="s">
        <v>302</v>
      </c>
      <c r="B951" s="53">
        <v>679377</v>
      </c>
      <c r="C951" s="53" t="s">
        <v>2985</v>
      </c>
      <c r="D951" s="53">
        <v>13207626</v>
      </c>
      <c r="E951" s="54" t="s">
        <v>2986</v>
      </c>
      <c r="F951" s="53" t="s">
        <v>2991</v>
      </c>
      <c r="G951" s="42" t="s">
        <v>195</v>
      </c>
      <c r="H951" s="53"/>
      <c r="I951" s="53"/>
      <c r="J951" s="53"/>
      <c r="K951" s="53"/>
      <c r="L951" s="55">
        <v>45293</v>
      </c>
      <c r="M951" s="55">
        <v>45293</v>
      </c>
      <c r="N951" s="53" t="s">
        <v>2988</v>
      </c>
      <c r="O951" s="56">
        <v>0.01</v>
      </c>
      <c r="P951" s="53"/>
      <c r="Q951" s="53" t="s">
        <v>2992</v>
      </c>
      <c r="R951" s="45">
        <v>410</v>
      </c>
      <c r="S951" s="56">
        <v>0.01</v>
      </c>
      <c r="T951" s="47" t="s">
        <v>198</v>
      </c>
      <c r="U951" s="48" t="s">
        <v>199</v>
      </c>
      <c r="V951" s="38"/>
      <c r="W951" s="48" t="s">
        <v>195</v>
      </c>
      <c r="X951" s="38" t="s">
        <v>308</v>
      </c>
      <c r="Y951" s="49" t="s">
        <v>309</v>
      </c>
      <c r="Z951" s="50" t="s">
        <v>2993</v>
      </c>
      <c r="AA951" s="38"/>
      <c r="AB951" s="38"/>
      <c r="AC951" s="38"/>
      <c r="AD951" s="51">
        <v>57</v>
      </c>
      <c r="AE951" s="51">
        <v>57</v>
      </c>
      <c r="AF951" s="48" t="s">
        <v>203</v>
      </c>
      <c r="AG951" s="38" t="s">
        <v>204</v>
      </c>
      <c r="AH951" s="52"/>
      <c r="AI951" s="38"/>
      <c r="AJ951" s="38"/>
    </row>
    <row r="952" spans="1:36" ht="16.2">
      <c r="A952" s="42" t="s">
        <v>302</v>
      </c>
      <c r="B952" s="42">
        <v>679377</v>
      </c>
      <c r="C952" s="42" t="s">
        <v>2985</v>
      </c>
      <c r="D952" s="42">
        <v>13207626</v>
      </c>
      <c r="E952" s="43" t="s">
        <v>2986</v>
      </c>
      <c r="F952" s="42" t="s">
        <v>2994</v>
      </c>
      <c r="G952" s="42" t="s">
        <v>195</v>
      </c>
      <c r="H952" s="42"/>
      <c r="I952" s="42"/>
      <c r="J952" s="42"/>
      <c r="K952" s="42"/>
      <c r="L952" s="44">
        <v>45293</v>
      </c>
      <c r="M952" s="44">
        <v>45293</v>
      </c>
      <c r="N952" s="42" t="s">
        <v>2988</v>
      </c>
      <c r="O952" s="46">
        <v>0.01</v>
      </c>
      <c r="P952" s="42"/>
      <c r="Q952" s="42" t="s">
        <v>2995</v>
      </c>
      <c r="R952" s="45">
        <v>410</v>
      </c>
      <c r="S952" s="46">
        <v>0.01</v>
      </c>
      <c r="T952" s="47" t="s">
        <v>198</v>
      </c>
      <c r="U952" s="48" t="s">
        <v>199</v>
      </c>
      <c r="V952" s="38"/>
      <c r="W952" s="48" t="s">
        <v>195</v>
      </c>
      <c r="X952" s="38" t="s">
        <v>308</v>
      </c>
      <c r="Y952" s="49" t="s">
        <v>309</v>
      </c>
      <c r="Z952" s="50" t="s">
        <v>2996</v>
      </c>
      <c r="AA952" s="38"/>
      <c r="AB952" s="38"/>
      <c r="AC952" s="38"/>
      <c r="AD952" s="51">
        <v>57</v>
      </c>
      <c r="AE952" s="51">
        <v>57</v>
      </c>
      <c r="AF952" s="48" t="s">
        <v>203</v>
      </c>
      <c r="AG952" s="38" t="s">
        <v>204</v>
      </c>
      <c r="AH952" s="52"/>
      <c r="AI952" s="38"/>
      <c r="AJ952" s="38"/>
    </row>
    <row r="953" spans="1:36" ht="16.2">
      <c r="A953" s="53" t="s">
        <v>302</v>
      </c>
      <c r="B953" s="53">
        <v>679377</v>
      </c>
      <c r="C953" s="53" t="s">
        <v>2985</v>
      </c>
      <c r="D953" s="53">
        <v>13207626</v>
      </c>
      <c r="E953" s="54" t="s">
        <v>2986</v>
      </c>
      <c r="F953" s="53" t="s">
        <v>2997</v>
      </c>
      <c r="G953" s="42" t="s">
        <v>195</v>
      </c>
      <c r="H953" s="53"/>
      <c r="I953" s="53"/>
      <c r="J953" s="53"/>
      <c r="K953" s="53"/>
      <c r="L953" s="55">
        <v>45293</v>
      </c>
      <c r="M953" s="55">
        <v>45293</v>
      </c>
      <c r="N953" s="53" t="s">
        <v>2988</v>
      </c>
      <c r="O953" s="56">
        <v>0.01</v>
      </c>
      <c r="P953" s="53"/>
      <c r="Q953" s="53" t="s">
        <v>2998</v>
      </c>
      <c r="R953" s="45">
        <v>410</v>
      </c>
      <c r="S953" s="56">
        <v>0.01</v>
      </c>
      <c r="T953" s="47" t="s">
        <v>198</v>
      </c>
      <c r="U953" s="48" t="s">
        <v>199</v>
      </c>
      <c r="V953" s="38"/>
      <c r="W953" s="48" t="s">
        <v>195</v>
      </c>
      <c r="X953" s="38" t="s">
        <v>308</v>
      </c>
      <c r="Y953" s="49" t="s">
        <v>309</v>
      </c>
      <c r="Z953" s="50" t="s">
        <v>2999</v>
      </c>
      <c r="AA953" s="38"/>
      <c r="AB953" s="38"/>
      <c r="AC953" s="38"/>
      <c r="AD953" s="51">
        <v>57</v>
      </c>
      <c r="AE953" s="51">
        <v>57</v>
      </c>
      <c r="AF953" s="48" t="s">
        <v>203</v>
      </c>
      <c r="AG953" s="38" t="s">
        <v>204</v>
      </c>
      <c r="AH953" s="52"/>
      <c r="AI953" s="38"/>
      <c r="AJ953" s="38"/>
    </row>
    <row r="954" spans="1:36" ht="16.2">
      <c r="A954" s="42" t="s">
        <v>302</v>
      </c>
      <c r="B954" s="42">
        <v>679377</v>
      </c>
      <c r="C954" s="42" t="s">
        <v>2985</v>
      </c>
      <c r="D954" s="42">
        <v>13207626</v>
      </c>
      <c r="E954" s="43" t="s">
        <v>2986</v>
      </c>
      <c r="F954" s="42" t="s">
        <v>3000</v>
      </c>
      <c r="G954" s="42" t="s">
        <v>195</v>
      </c>
      <c r="H954" s="42"/>
      <c r="I954" s="42"/>
      <c r="J954" s="42"/>
      <c r="K954" s="42"/>
      <c r="L954" s="44">
        <v>45293</v>
      </c>
      <c r="M954" s="44">
        <v>45293</v>
      </c>
      <c r="N954" s="42" t="s">
        <v>2988</v>
      </c>
      <c r="O954" s="46">
        <v>0.01</v>
      </c>
      <c r="P954" s="42"/>
      <c r="Q954" s="42" t="s">
        <v>3001</v>
      </c>
      <c r="R954" s="45">
        <v>410</v>
      </c>
      <c r="S954" s="46">
        <v>0.01</v>
      </c>
      <c r="T954" s="47" t="s">
        <v>198</v>
      </c>
      <c r="U954" s="48" t="s">
        <v>199</v>
      </c>
      <c r="V954" s="38"/>
      <c r="W954" s="48" t="s">
        <v>195</v>
      </c>
      <c r="X954" s="38" t="s">
        <v>308</v>
      </c>
      <c r="Y954" s="49" t="s">
        <v>309</v>
      </c>
      <c r="Z954" s="50" t="s">
        <v>3002</v>
      </c>
      <c r="AA954" s="38"/>
      <c r="AB954" s="38"/>
      <c r="AC954" s="38"/>
      <c r="AD954" s="51">
        <v>57</v>
      </c>
      <c r="AE954" s="51">
        <v>57</v>
      </c>
      <c r="AF954" s="48" t="s">
        <v>203</v>
      </c>
      <c r="AG954" s="38" t="s">
        <v>204</v>
      </c>
      <c r="AH954" s="52"/>
      <c r="AI954" s="38"/>
      <c r="AJ954" s="38"/>
    </row>
    <row r="955" spans="1:36" ht="16.2">
      <c r="A955" s="53" t="s">
        <v>302</v>
      </c>
      <c r="B955" s="53">
        <v>679377</v>
      </c>
      <c r="C955" s="53" t="s">
        <v>2985</v>
      </c>
      <c r="D955" s="53">
        <v>13207626</v>
      </c>
      <c r="E955" s="54" t="s">
        <v>2986</v>
      </c>
      <c r="F955" s="53" t="s">
        <v>3003</v>
      </c>
      <c r="G955" s="42" t="s">
        <v>195</v>
      </c>
      <c r="H955" s="53"/>
      <c r="I955" s="53"/>
      <c r="J955" s="53"/>
      <c r="K955" s="53"/>
      <c r="L955" s="55">
        <v>45293</v>
      </c>
      <c r="M955" s="55">
        <v>45293</v>
      </c>
      <c r="N955" s="53" t="s">
        <v>2988</v>
      </c>
      <c r="O955" s="56">
        <v>0.01</v>
      </c>
      <c r="P955" s="53"/>
      <c r="Q955" s="53" t="s">
        <v>3004</v>
      </c>
      <c r="R955" s="45">
        <v>410</v>
      </c>
      <c r="S955" s="56">
        <v>0.01</v>
      </c>
      <c r="T955" s="47" t="s">
        <v>198</v>
      </c>
      <c r="U955" s="48" t="s">
        <v>199</v>
      </c>
      <c r="V955" s="38"/>
      <c r="W955" s="48" t="s">
        <v>195</v>
      </c>
      <c r="X955" s="38" t="s">
        <v>308</v>
      </c>
      <c r="Y955" s="49" t="s">
        <v>309</v>
      </c>
      <c r="Z955" s="50" t="s">
        <v>3005</v>
      </c>
      <c r="AA955" s="38"/>
      <c r="AB955" s="38"/>
      <c r="AC955" s="38"/>
      <c r="AD955" s="51">
        <v>57</v>
      </c>
      <c r="AE955" s="51">
        <v>57</v>
      </c>
      <c r="AF955" s="48" t="s">
        <v>203</v>
      </c>
      <c r="AG955" s="38" t="s">
        <v>204</v>
      </c>
      <c r="AH955" s="52"/>
      <c r="AI955" s="38"/>
      <c r="AJ955" s="38"/>
    </row>
    <row r="956" spans="1:36" ht="16.2">
      <c r="A956" s="42" t="s">
        <v>302</v>
      </c>
      <c r="B956" s="42">
        <v>679377</v>
      </c>
      <c r="C956" s="42" t="s">
        <v>2985</v>
      </c>
      <c r="D956" s="42">
        <v>13207626</v>
      </c>
      <c r="E956" s="43" t="s">
        <v>2986</v>
      </c>
      <c r="F956" s="42" t="s">
        <v>3006</v>
      </c>
      <c r="G956" s="42" t="s">
        <v>195</v>
      </c>
      <c r="H956" s="42"/>
      <c r="I956" s="42"/>
      <c r="J956" s="42"/>
      <c r="K956" s="42"/>
      <c r="L956" s="44">
        <v>45293</v>
      </c>
      <c r="M956" s="44">
        <v>45293</v>
      </c>
      <c r="N956" s="42" t="s">
        <v>2988</v>
      </c>
      <c r="O956" s="46">
        <v>0.01</v>
      </c>
      <c r="P956" s="42"/>
      <c r="Q956" s="42" t="s">
        <v>3007</v>
      </c>
      <c r="R956" s="45">
        <v>410</v>
      </c>
      <c r="S956" s="46">
        <v>0.01</v>
      </c>
      <c r="T956" s="47" t="s">
        <v>198</v>
      </c>
      <c r="U956" s="48" t="s">
        <v>199</v>
      </c>
      <c r="V956" s="38"/>
      <c r="W956" s="48" t="s">
        <v>195</v>
      </c>
      <c r="X956" s="38" t="s">
        <v>308</v>
      </c>
      <c r="Y956" s="49" t="s">
        <v>309</v>
      </c>
      <c r="Z956" s="50" t="s">
        <v>3008</v>
      </c>
      <c r="AA956" s="38"/>
      <c r="AB956" s="38"/>
      <c r="AC956" s="38"/>
      <c r="AD956" s="51">
        <v>57</v>
      </c>
      <c r="AE956" s="51">
        <v>57</v>
      </c>
      <c r="AF956" s="48" t="s">
        <v>203</v>
      </c>
      <c r="AG956" s="38" t="s">
        <v>204</v>
      </c>
      <c r="AH956" s="52"/>
      <c r="AI956" s="38"/>
      <c r="AJ956" s="38"/>
    </row>
    <row r="957" spans="1:36" ht="16.2">
      <c r="A957" s="53" t="s">
        <v>302</v>
      </c>
      <c r="B957" s="53">
        <v>679377</v>
      </c>
      <c r="C957" s="53" t="s">
        <v>2985</v>
      </c>
      <c r="D957" s="53">
        <v>13207626</v>
      </c>
      <c r="E957" s="54" t="s">
        <v>2986</v>
      </c>
      <c r="F957" s="53" t="s">
        <v>3009</v>
      </c>
      <c r="G957" s="42" t="s">
        <v>195</v>
      </c>
      <c r="H957" s="53"/>
      <c r="I957" s="53"/>
      <c r="J957" s="53"/>
      <c r="K957" s="53"/>
      <c r="L957" s="55">
        <v>45293</v>
      </c>
      <c r="M957" s="55">
        <v>45293</v>
      </c>
      <c r="N957" s="53" t="s">
        <v>2988</v>
      </c>
      <c r="O957" s="56">
        <v>0.01</v>
      </c>
      <c r="P957" s="53"/>
      <c r="Q957" s="53" t="s">
        <v>3010</v>
      </c>
      <c r="R957" s="45">
        <v>410</v>
      </c>
      <c r="S957" s="56">
        <v>0.01</v>
      </c>
      <c r="T957" s="47" t="s">
        <v>198</v>
      </c>
      <c r="U957" s="48" t="s">
        <v>199</v>
      </c>
      <c r="V957" s="38"/>
      <c r="W957" s="48" t="s">
        <v>195</v>
      </c>
      <c r="X957" s="38" t="s">
        <v>308</v>
      </c>
      <c r="Y957" s="49" t="s">
        <v>309</v>
      </c>
      <c r="Z957" s="50" t="s">
        <v>3011</v>
      </c>
      <c r="AA957" s="38"/>
      <c r="AB957" s="38"/>
      <c r="AC957" s="38"/>
      <c r="AD957" s="51">
        <v>57</v>
      </c>
      <c r="AE957" s="51">
        <v>57</v>
      </c>
      <c r="AF957" s="48" t="s">
        <v>203</v>
      </c>
      <c r="AG957" s="38" t="s">
        <v>204</v>
      </c>
      <c r="AH957" s="52"/>
      <c r="AI957" s="38"/>
      <c r="AJ957" s="38"/>
    </row>
    <row r="958" spans="1:36" ht="16.2">
      <c r="A958" s="42" t="s">
        <v>302</v>
      </c>
      <c r="B958" s="42">
        <v>679377</v>
      </c>
      <c r="C958" s="42" t="s">
        <v>2985</v>
      </c>
      <c r="D958" s="42">
        <v>13207626</v>
      </c>
      <c r="E958" s="43" t="s">
        <v>2986</v>
      </c>
      <c r="F958" s="42" t="s">
        <v>1386</v>
      </c>
      <c r="G958" s="42" t="s">
        <v>195</v>
      </c>
      <c r="H958" s="42"/>
      <c r="I958" s="42"/>
      <c r="J958" s="42"/>
      <c r="K958" s="42"/>
      <c r="L958" s="44">
        <v>45293</v>
      </c>
      <c r="M958" s="44">
        <v>45293</v>
      </c>
      <c r="N958" s="42" t="s">
        <v>2988</v>
      </c>
      <c r="O958" s="46">
        <v>0.01</v>
      </c>
      <c r="P958" s="42"/>
      <c r="Q958" s="42" t="s">
        <v>3012</v>
      </c>
      <c r="R958" s="45">
        <v>410</v>
      </c>
      <c r="S958" s="46">
        <v>0.01</v>
      </c>
      <c r="T958" s="47" t="s">
        <v>198</v>
      </c>
      <c r="U958" s="48" t="s">
        <v>199</v>
      </c>
      <c r="V958" s="38"/>
      <c r="W958" s="48" t="s">
        <v>195</v>
      </c>
      <c r="X958" s="38" t="s">
        <v>308</v>
      </c>
      <c r="Y958" s="49" t="s">
        <v>309</v>
      </c>
      <c r="Z958" s="50" t="s">
        <v>3013</v>
      </c>
      <c r="AA958" s="38"/>
      <c r="AB958" s="38"/>
      <c r="AC958" s="38"/>
      <c r="AD958" s="51">
        <v>57</v>
      </c>
      <c r="AE958" s="51">
        <v>57</v>
      </c>
      <c r="AF958" s="48" t="s">
        <v>203</v>
      </c>
      <c r="AG958" s="38" t="s">
        <v>204</v>
      </c>
      <c r="AH958" s="52"/>
      <c r="AI958" s="38"/>
      <c r="AJ958" s="38"/>
    </row>
    <row r="959" spans="1:36" ht="16.2">
      <c r="A959" s="53" t="s">
        <v>302</v>
      </c>
      <c r="B959" s="53">
        <v>679377</v>
      </c>
      <c r="C959" s="53" t="s">
        <v>2985</v>
      </c>
      <c r="D959" s="53">
        <v>13207626</v>
      </c>
      <c r="E959" s="54" t="s">
        <v>2986</v>
      </c>
      <c r="F959" s="53" t="s">
        <v>3014</v>
      </c>
      <c r="G959" s="42" t="s">
        <v>195</v>
      </c>
      <c r="H959" s="53"/>
      <c r="I959" s="53"/>
      <c r="J959" s="53"/>
      <c r="K959" s="53"/>
      <c r="L959" s="55">
        <v>45293</v>
      </c>
      <c r="M959" s="55">
        <v>45293</v>
      </c>
      <c r="N959" s="53" t="s">
        <v>2988</v>
      </c>
      <c r="O959" s="56">
        <v>0.01</v>
      </c>
      <c r="P959" s="53"/>
      <c r="Q959" s="53" t="s">
        <v>3015</v>
      </c>
      <c r="R959" s="45">
        <v>410</v>
      </c>
      <c r="S959" s="56">
        <v>0.01</v>
      </c>
      <c r="T959" s="47" t="s">
        <v>198</v>
      </c>
      <c r="U959" s="48" t="s">
        <v>199</v>
      </c>
      <c r="V959" s="38"/>
      <c r="W959" s="48" t="s">
        <v>195</v>
      </c>
      <c r="X959" s="38" t="s">
        <v>308</v>
      </c>
      <c r="Y959" s="49" t="s">
        <v>309</v>
      </c>
      <c r="Z959" s="50" t="s">
        <v>3016</v>
      </c>
      <c r="AA959" s="38"/>
      <c r="AB959" s="38"/>
      <c r="AC959" s="38"/>
      <c r="AD959" s="51">
        <v>57</v>
      </c>
      <c r="AE959" s="51">
        <v>57</v>
      </c>
      <c r="AF959" s="48" t="s">
        <v>203</v>
      </c>
      <c r="AG959" s="38" t="s">
        <v>204</v>
      </c>
      <c r="AH959" s="52"/>
      <c r="AI959" s="38"/>
      <c r="AJ959" s="38"/>
    </row>
    <row r="960" spans="1:36" ht="16.2">
      <c r="A960" s="42" t="s">
        <v>302</v>
      </c>
      <c r="B960" s="42">
        <v>679377</v>
      </c>
      <c r="C960" s="42" t="s">
        <v>2985</v>
      </c>
      <c r="D960" s="42">
        <v>13207626</v>
      </c>
      <c r="E960" s="43" t="s">
        <v>2986</v>
      </c>
      <c r="F960" s="42" t="s">
        <v>644</v>
      </c>
      <c r="G960" s="42" t="s">
        <v>195</v>
      </c>
      <c r="H960" s="42"/>
      <c r="I960" s="42"/>
      <c r="J960" s="42"/>
      <c r="K960" s="42"/>
      <c r="L960" s="44">
        <v>45293</v>
      </c>
      <c r="M960" s="44">
        <v>45293</v>
      </c>
      <c r="N960" s="42" t="s">
        <v>2988</v>
      </c>
      <c r="O960" s="46">
        <v>0.01</v>
      </c>
      <c r="P960" s="42"/>
      <c r="Q960" s="42" t="s">
        <v>3017</v>
      </c>
      <c r="R960" s="45">
        <v>410</v>
      </c>
      <c r="S960" s="46">
        <v>0.01</v>
      </c>
      <c r="T960" s="47" t="s">
        <v>198</v>
      </c>
      <c r="U960" s="48" t="s">
        <v>199</v>
      </c>
      <c r="V960" s="38"/>
      <c r="W960" s="48" t="s">
        <v>195</v>
      </c>
      <c r="X960" s="38" t="s">
        <v>308</v>
      </c>
      <c r="Y960" s="49" t="s">
        <v>309</v>
      </c>
      <c r="Z960" s="50" t="s">
        <v>3018</v>
      </c>
      <c r="AA960" s="38"/>
      <c r="AB960" s="38"/>
      <c r="AC960" s="38"/>
      <c r="AD960" s="51">
        <v>57</v>
      </c>
      <c r="AE960" s="51">
        <v>57</v>
      </c>
      <c r="AF960" s="48" t="s">
        <v>203</v>
      </c>
      <c r="AG960" s="38" t="s">
        <v>204</v>
      </c>
      <c r="AH960" s="52"/>
      <c r="AI960" s="38"/>
      <c r="AJ960" s="38"/>
    </row>
    <row r="961" spans="1:36" ht="16.2">
      <c r="A961" s="53" t="s">
        <v>302</v>
      </c>
      <c r="B961" s="53">
        <v>679377</v>
      </c>
      <c r="C961" s="53" t="s">
        <v>2985</v>
      </c>
      <c r="D961" s="53">
        <v>13207626</v>
      </c>
      <c r="E961" s="54" t="s">
        <v>2986</v>
      </c>
      <c r="F961" s="53" t="s">
        <v>3019</v>
      </c>
      <c r="G961" s="42" t="s">
        <v>195</v>
      </c>
      <c r="H961" s="53"/>
      <c r="I961" s="53"/>
      <c r="J961" s="53"/>
      <c r="K961" s="53"/>
      <c r="L961" s="55">
        <v>45293</v>
      </c>
      <c r="M961" s="55">
        <v>45293</v>
      </c>
      <c r="N961" s="53" t="s">
        <v>2988</v>
      </c>
      <c r="O961" s="56">
        <v>0.01</v>
      </c>
      <c r="P961" s="53"/>
      <c r="Q961" s="53" t="s">
        <v>3020</v>
      </c>
      <c r="R961" s="45">
        <v>410</v>
      </c>
      <c r="S961" s="56">
        <v>0.01</v>
      </c>
      <c r="T961" s="47" t="s">
        <v>198</v>
      </c>
      <c r="U961" s="48" t="s">
        <v>199</v>
      </c>
      <c r="V961" s="38"/>
      <c r="W961" s="48" t="s">
        <v>195</v>
      </c>
      <c r="X961" s="38" t="s">
        <v>308</v>
      </c>
      <c r="Y961" s="49" t="s">
        <v>309</v>
      </c>
      <c r="Z961" s="50" t="s">
        <v>3021</v>
      </c>
      <c r="AA961" s="38"/>
      <c r="AB961" s="38"/>
      <c r="AC961" s="38"/>
      <c r="AD961" s="51">
        <v>57</v>
      </c>
      <c r="AE961" s="51">
        <v>57</v>
      </c>
      <c r="AF961" s="48" t="s">
        <v>203</v>
      </c>
      <c r="AG961" s="38" t="s">
        <v>204</v>
      </c>
      <c r="AH961" s="52"/>
      <c r="AI961" s="38"/>
      <c r="AJ961" s="38"/>
    </row>
    <row r="962" spans="1:36" ht="16.2">
      <c r="A962" s="42" t="s">
        <v>302</v>
      </c>
      <c r="B962" s="42">
        <v>679377</v>
      </c>
      <c r="C962" s="42" t="s">
        <v>2985</v>
      </c>
      <c r="D962" s="42">
        <v>13207626</v>
      </c>
      <c r="E962" s="43" t="s">
        <v>2986</v>
      </c>
      <c r="F962" s="42" t="s">
        <v>3022</v>
      </c>
      <c r="G962" s="42" t="s">
        <v>195</v>
      </c>
      <c r="H962" s="42"/>
      <c r="I962" s="42"/>
      <c r="J962" s="42"/>
      <c r="K962" s="42"/>
      <c r="L962" s="44">
        <v>45293</v>
      </c>
      <c r="M962" s="44">
        <v>45293</v>
      </c>
      <c r="N962" s="42" t="s">
        <v>2988</v>
      </c>
      <c r="O962" s="46">
        <v>0.01</v>
      </c>
      <c r="P962" s="42"/>
      <c r="Q962" s="42" t="s">
        <v>3023</v>
      </c>
      <c r="R962" s="45">
        <v>410</v>
      </c>
      <c r="S962" s="46">
        <v>0.01</v>
      </c>
      <c r="T962" s="47" t="s">
        <v>198</v>
      </c>
      <c r="U962" s="48" t="s">
        <v>199</v>
      </c>
      <c r="V962" s="38"/>
      <c r="W962" s="48" t="s">
        <v>195</v>
      </c>
      <c r="X962" s="38" t="s">
        <v>308</v>
      </c>
      <c r="Y962" s="49" t="s">
        <v>309</v>
      </c>
      <c r="Z962" s="50" t="s">
        <v>3024</v>
      </c>
      <c r="AA962" s="38"/>
      <c r="AB962" s="38"/>
      <c r="AC962" s="38"/>
      <c r="AD962" s="51">
        <v>57</v>
      </c>
      <c r="AE962" s="51">
        <v>57</v>
      </c>
      <c r="AF962" s="48" t="s">
        <v>203</v>
      </c>
      <c r="AG962" s="38" t="s">
        <v>204</v>
      </c>
      <c r="AH962" s="52"/>
      <c r="AI962" s="38"/>
      <c r="AJ962" s="38"/>
    </row>
    <row r="963" spans="1:36" ht="16.2">
      <c r="A963" s="53" t="s">
        <v>302</v>
      </c>
      <c r="B963" s="53">
        <v>679377</v>
      </c>
      <c r="C963" s="53" t="s">
        <v>2985</v>
      </c>
      <c r="D963" s="53">
        <v>13207626</v>
      </c>
      <c r="E963" s="54" t="s">
        <v>2986</v>
      </c>
      <c r="F963" s="53" t="s">
        <v>3025</v>
      </c>
      <c r="G963" s="42" t="s">
        <v>195</v>
      </c>
      <c r="H963" s="53"/>
      <c r="I963" s="53"/>
      <c r="J963" s="53"/>
      <c r="K963" s="53"/>
      <c r="L963" s="55">
        <v>45293</v>
      </c>
      <c r="M963" s="55">
        <v>45293</v>
      </c>
      <c r="N963" s="53" t="s">
        <v>2988</v>
      </c>
      <c r="O963" s="56">
        <v>0.01</v>
      </c>
      <c r="P963" s="53"/>
      <c r="Q963" s="53" t="s">
        <v>3026</v>
      </c>
      <c r="R963" s="45">
        <v>410</v>
      </c>
      <c r="S963" s="56">
        <v>0.01</v>
      </c>
      <c r="T963" s="47" t="s">
        <v>198</v>
      </c>
      <c r="U963" s="48" t="s">
        <v>199</v>
      </c>
      <c r="V963" s="38"/>
      <c r="W963" s="48" t="s">
        <v>195</v>
      </c>
      <c r="X963" s="38" t="s">
        <v>308</v>
      </c>
      <c r="Y963" s="49" t="s">
        <v>309</v>
      </c>
      <c r="Z963" s="50" t="s">
        <v>3027</v>
      </c>
      <c r="AA963" s="38"/>
      <c r="AB963" s="38"/>
      <c r="AC963" s="38"/>
      <c r="AD963" s="51">
        <v>57</v>
      </c>
      <c r="AE963" s="51">
        <v>57</v>
      </c>
      <c r="AF963" s="48" t="s">
        <v>203</v>
      </c>
      <c r="AG963" s="38" t="s">
        <v>204</v>
      </c>
      <c r="AH963" s="52"/>
      <c r="AI963" s="38"/>
      <c r="AJ963" s="38"/>
    </row>
    <row r="964" spans="1:36" ht="16.2">
      <c r="A964" s="42" t="s">
        <v>302</v>
      </c>
      <c r="B964" s="42">
        <v>679377</v>
      </c>
      <c r="C964" s="42" t="s">
        <v>2985</v>
      </c>
      <c r="D964" s="42">
        <v>13207626</v>
      </c>
      <c r="E964" s="43" t="s">
        <v>2986</v>
      </c>
      <c r="F964" s="42" t="s">
        <v>3028</v>
      </c>
      <c r="G964" s="42" t="s">
        <v>195</v>
      </c>
      <c r="H964" s="42"/>
      <c r="I964" s="42"/>
      <c r="J964" s="42"/>
      <c r="K964" s="42"/>
      <c r="L964" s="44">
        <v>45293</v>
      </c>
      <c r="M964" s="44">
        <v>45293</v>
      </c>
      <c r="N964" s="42" t="s">
        <v>2988</v>
      </c>
      <c r="O964" s="46">
        <v>0.01</v>
      </c>
      <c r="P964" s="42"/>
      <c r="Q964" s="42" t="s">
        <v>3029</v>
      </c>
      <c r="R964" s="45">
        <v>410</v>
      </c>
      <c r="S964" s="46">
        <v>0.01</v>
      </c>
      <c r="T964" s="47" t="s">
        <v>198</v>
      </c>
      <c r="U964" s="48" t="s">
        <v>199</v>
      </c>
      <c r="V964" s="38"/>
      <c r="W964" s="48" t="s">
        <v>195</v>
      </c>
      <c r="X964" s="38" t="s">
        <v>308</v>
      </c>
      <c r="Y964" s="49" t="s">
        <v>309</v>
      </c>
      <c r="Z964" s="50" t="s">
        <v>3030</v>
      </c>
      <c r="AA964" s="38"/>
      <c r="AB964" s="38"/>
      <c r="AC964" s="38"/>
      <c r="AD964" s="51">
        <v>57</v>
      </c>
      <c r="AE964" s="51">
        <v>57</v>
      </c>
      <c r="AF964" s="48" t="s">
        <v>203</v>
      </c>
      <c r="AG964" s="38" t="s">
        <v>204</v>
      </c>
      <c r="AH964" s="52"/>
      <c r="AI964" s="38"/>
      <c r="AJ964" s="38"/>
    </row>
    <row r="965" spans="1:36" ht="16.2">
      <c r="A965" s="53" t="s">
        <v>302</v>
      </c>
      <c r="B965" s="53">
        <v>679377</v>
      </c>
      <c r="C965" s="53" t="s">
        <v>2985</v>
      </c>
      <c r="D965" s="53">
        <v>13207626</v>
      </c>
      <c r="E965" s="54" t="s">
        <v>2986</v>
      </c>
      <c r="F965" s="53" t="s">
        <v>3031</v>
      </c>
      <c r="G965" s="42" t="s">
        <v>195</v>
      </c>
      <c r="H965" s="53"/>
      <c r="I965" s="53"/>
      <c r="J965" s="53"/>
      <c r="K965" s="53"/>
      <c r="L965" s="55">
        <v>45293</v>
      </c>
      <c r="M965" s="55">
        <v>45293</v>
      </c>
      <c r="N965" s="53" t="s">
        <v>2988</v>
      </c>
      <c r="O965" s="56">
        <v>0.01</v>
      </c>
      <c r="P965" s="53"/>
      <c r="Q965" s="53" t="s">
        <v>3032</v>
      </c>
      <c r="R965" s="45">
        <v>410</v>
      </c>
      <c r="S965" s="56">
        <v>0.01</v>
      </c>
      <c r="T965" s="47" t="s">
        <v>198</v>
      </c>
      <c r="U965" s="48" t="s">
        <v>199</v>
      </c>
      <c r="V965" s="38"/>
      <c r="W965" s="48" t="s">
        <v>195</v>
      </c>
      <c r="X965" s="38" t="s">
        <v>308</v>
      </c>
      <c r="Y965" s="49" t="s">
        <v>309</v>
      </c>
      <c r="Z965" s="50" t="s">
        <v>3033</v>
      </c>
      <c r="AA965" s="38"/>
      <c r="AB965" s="38"/>
      <c r="AC965" s="38"/>
      <c r="AD965" s="51">
        <v>57</v>
      </c>
      <c r="AE965" s="51">
        <v>57</v>
      </c>
      <c r="AF965" s="48" t="s">
        <v>203</v>
      </c>
      <c r="AG965" s="38" t="s">
        <v>204</v>
      </c>
      <c r="AH965" s="52"/>
      <c r="AI965" s="38"/>
      <c r="AJ965" s="38"/>
    </row>
    <row r="966" spans="1:36" ht="16.2">
      <c r="A966" s="42" t="s">
        <v>302</v>
      </c>
      <c r="B966" s="42">
        <v>679377</v>
      </c>
      <c r="C966" s="42" t="s">
        <v>2985</v>
      </c>
      <c r="D966" s="42">
        <v>13207626</v>
      </c>
      <c r="E966" s="43" t="s">
        <v>2986</v>
      </c>
      <c r="F966" s="42" t="s">
        <v>3034</v>
      </c>
      <c r="G966" s="42" t="s">
        <v>195</v>
      </c>
      <c r="H966" s="42"/>
      <c r="I966" s="42"/>
      <c r="J966" s="42"/>
      <c r="K966" s="42"/>
      <c r="L966" s="44">
        <v>45293</v>
      </c>
      <c r="M966" s="44">
        <v>45293</v>
      </c>
      <c r="N966" s="42" t="s">
        <v>2988</v>
      </c>
      <c r="O966" s="46">
        <v>0.01</v>
      </c>
      <c r="P966" s="42"/>
      <c r="Q966" s="42" t="s">
        <v>3035</v>
      </c>
      <c r="R966" s="45">
        <v>410</v>
      </c>
      <c r="S966" s="46">
        <v>0.01</v>
      </c>
      <c r="T966" s="47" t="s">
        <v>198</v>
      </c>
      <c r="U966" s="48" t="s">
        <v>199</v>
      </c>
      <c r="V966" s="38"/>
      <c r="W966" s="48" t="s">
        <v>195</v>
      </c>
      <c r="X966" s="38" t="s">
        <v>308</v>
      </c>
      <c r="Y966" s="49" t="s">
        <v>309</v>
      </c>
      <c r="Z966" s="50" t="s">
        <v>3036</v>
      </c>
      <c r="AA966" s="38"/>
      <c r="AB966" s="38"/>
      <c r="AC966" s="38"/>
      <c r="AD966" s="51">
        <v>57</v>
      </c>
      <c r="AE966" s="51">
        <v>57</v>
      </c>
      <c r="AF966" s="48" t="s">
        <v>203</v>
      </c>
      <c r="AG966" s="38" t="s">
        <v>204</v>
      </c>
      <c r="AH966" s="52"/>
      <c r="AI966" s="38"/>
      <c r="AJ966" s="38"/>
    </row>
    <row r="967" spans="1:36" ht="16.2">
      <c r="A967" s="53" t="s">
        <v>302</v>
      </c>
      <c r="B967" s="53">
        <v>679377</v>
      </c>
      <c r="C967" s="53" t="s">
        <v>2985</v>
      </c>
      <c r="D967" s="53">
        <v>13207626</v>
      </c>
      <c r="E967" s="54" t="s">
        <v>2986</v>
      </c>
      <c r="F967" s="53" t="s">
        <v>3037</v>
      </c>
      <c r="G967" s="42" t="s">
        <v>195</v>
      </c>
      <c r="H967" s="53"/>
      <c r="I967" s="53"/>
      <c r="J967" s="53"/>
      <c r="K967" s="53"/>
      <c r="L967" s="55">
        <v>45293</v>
      </c>
      <c r="M967" s="55">
        <v>45293</v>
      </c>
      <c r="N967" s="53" t="s">
        <v>2988</v>
      </c>
      <c r="O967" s="56">
        <v>0.01</v>
      </c>
      <c r="P967" s="53"/>
      <c r="Q967" s="53" t="s">
        <v>3038</v>
      </c>
      <c r="R967" s="45">
        <v>410</v>
      </c>
      <c r="S967" s="56">
        <v>0.01</v>
      </c>
      <c r="T967" s="47" t="s">
        <v>198</v>
      </c>
      <c r="U967" s="48" t="s">
        <v>199</v>
      </c>
      <c r="V967" s="38"/>
      <c r="W967" s="48" t="s">
        <v>195</v>
      </c>
      <c r="X967" s="38" t="s">
        <v>308</v>
      </c>
      <c r="Y967" s="49" t="s">
        <v>309</v>
      </c>
      <c r="Z967" s="50" t="s">
        <v>3039</v>
      </c>
      <c r="AA967" s="38"/>
      <c r="AB967" s="38"/>
      <c r="AC967" s="38"/>
      <c r="AD967" s="51">
        <v>57</v>
      </c>
      <c r="AE967" s="51">
        <v>57</v>
      </c>
      <c r="AF967" s="48" t="s">
        <v>203</v>
      </c>
      <c r="AG967" s="38" t="s">
        <v>204</v>
      </c>
      <c r="AH967" s="52"/>
      <c r="AI967" s="38"/>
      <c r="AJ967" s="38"/>
    </row>
    <row r="968" spans="1:36" ht="16.2">
      <c r="A968" s="42" t="s">
        <v>302</v>
      </c>
      <c r="B968" s="42">
        <v>679377</v>
      </c>
      <c r="C968" s="42" t="s">
        <v>2985</v>
      </c>
      <c r="D968" s="42">
        <v>13207626</v>
      </c>
      <c r="E968" s="43" t="s">
        <v>2986</v>
      </c>
      <c r="F968" s="42" t="s">
        <v>235</v>
      </c>
      <c r="G968" s="42" t="s">
        <v>195</v>
      </c>
      <c r="H968" s="42"/>
      <c r="I968" s="42"/>
      <c r="J968" s="42"/>
      <c r="K968" s="42"/>
      <c r="L968" s="44">
        <v>45293</v>
      </c>
      <c r="M968" s="44">
        <v>45293</v>
      </c>
      <c r="N968" s="42" t="s">
        <v>2988</v>
      </c>
      <c r="O968" s="46">
        <v>0.01</v>
      </c>
      <c r="P968" s="42"/>
      <c r="Q968" s="42" t="s">
        <v>3040</v>
      </c>
      <c r="R968" s="45">
        <v>410</v>
      </c>
      <c r="S968" s="46">
        <v>0.01</v>
      </c>
      <c r="T968" s="47" t="s">
        <v>198</v>
      </c>
      <c r="U968" s="48" t="s">
        <v>199</v>
      </c>
      <c r="V968" s="38"/>
      <c r="W968" s="48" t="s">
        <v>195</v>
      </c>
      <c r="X968" s="38" t="s">
        <v>308</v>
      </c>
      <c r="Y968" s="49" t="s">
        <v>309</v>
      </c>
      <c r="Z968" s="50" t="s">
        <v>3041</v>
      </c>
      <c r="AA968" s="38"/>
      <c r="AB968" s="38"/>
      <c r="AC968" s="38"/>
      <c r="AD968" s="51">
        <v>57</v>
      </c>
      <c r="AE968" s="51">
        <v>57</v>
      </c>
      <c r="AF968" s="48" t="s">
        <v>203</v>
      </c>
      <c r="AG968" s="38" t="s">
        <v>204</v>
      </c>
      <c r="AH968" s="52"/>
      <c r="AI968" s="38"/>
      <c r="AJ968" s="38"/>
    </row>
    <row r="969" spans="1:36" ht="16.2">
      <c r="A969" s="53" t="s">
        <v>302</v>
      </c>
      <c r="B969" s="53">
        <v>679356</v>
      </c>
      <c r="C969" s="53" t="s">
        <v>3042</v>
      </c>
      <c r="D969" s="53">
        <v>13207599</v>
      </c>
      <c r="E969" s="54" t="s">
        <v>2986</v>
      </c>
      <c r="F969" s="53" t="s">
        <v>2987</v>
      </c>
      <c r="G969" s="42" t="s">
        <v>195</v>
      </c>
      <c r="H969" s="53"/>
      <c r="I969" s="53"/>
      <c r="J969" s="53"/>
      <c r="K969" s="53"/>
      <c r="L969" s="55">
        <v>45293</v>
      </c>
      <c r="M969" s="55">
        <v>45293</v>
      </c>
      <c r="N969" s="53" t="s">
        <v>2988</v>
      </c>
      <c r="O969" s="56">
        <v>0.01</v>
      </c>
      <c r="P969" s="53"/>
      <c r="Q969" s="53" t="s">
        <v>3043</v>
      </c>
      <c r="R969" s="45">
        <v>410</v>
      </c>
      <c r="S969" s="56">
        <v>0.01</v>
      </c>
      <c r="T969" s="47" t="s">
        <v>198</v>
      </c>
      <c r="U969" s="48" t="s">
        <v>199</v>
      </c>
      <c r="V969" s="38"/>
      <c r="W969" s="48" t="s">
        <v>195</v>
      </c>
      <c r="X969" s="38" t="s">
        <v>308</v>
      </c>
      <c r="Y969" s="49" t="s">
        <v>309</v>
      </c>
      <c r="Z969" s="50" t="s">
        <v>3044</v>
      </c>
      <c r="AA969" s="38"/>
      <c r="AB969" s="38"/>
      <c r="AC969" s="38"/>
      <c r="AD969" s="51">
        <v>57</v>
      </c>
      <c r="AE969" s="51">
        <v>57</v>
      </c>
      <c r="AF969" s="48" t="s">
        <v>203</v>
      </c>
      <c r="AG969" s="38" t="s">
        <v>204</v>
      </c>
      <c r="AH969" s="52"/>
      <c r="AI969" s="38"/>
      <c r="AJ969" s="38"/>
    </row>
    <row r="970" spans="1:36" ht="16.2">
      <c r="A970" s="42" t="s">
        <v>302</v>
      </c>
      <c r="B970" s="42">
        <v>679356</v>
      </c>
      <c r="C970" s="42" t="s">
        <v>3042</v>
      </c>
      <c r="D970" s="42">
        <v>13207599</v>
      </c>
      <c r="E970" s="43" t="s">
        <v>2986</v>
      </c>
      <c r="F970" s="42" t="s">
        <v>2991</v>
      </c>
      <c r="G970" s="42" t="s">
        <v>195</v>
      </c>
      <c r="H970" s="42"/>
      <c r="I970" s="42"/>
      <c r="J970" s="42"/>
      <c r="K970" s="42"/>
      <c r="L970" s="44">
        <v>45293</v>
      </c>
      <c r="M970" s="44">
        <v>45293</v>
      </c>
      <c r="N970" s="42" t="s">
        <v>2988</v>
      </c>
      <c r="O970" s="46">
        <v>0.01</v>
      </c>
      <c r="P970" s="42"/>
      <c r="Q970" s="42" t="s">
        <v>3045</v>
      </c>
      <c r="R970" s="45">
        <v>410</v>
      </c>
      <c r="S970" s="46">
        <v>0.01</v>
      </c>
      <c r="T970" s="47" t="s">
        <v>198</v>
      </c>
      <c r="U970" s="48" t="s">
        <v>199</v>
      </c>
      <c r="V970" s="38"/>
      <c r="W970" s="48" t="s">
        <v>195</v>
      </c>
      <c r="X970" s="38" t="s">
        <v>308</v>
      </c>
      <c r="Y970" s="49" t="s">
        <v>309</v>
      </c>
      <c r="Z970" s="50" t="s">
        <v>3046</v>
      </c>
      <c r="AA970" s="38"/>
      <c r="AB970" s="38"/>
      <c r="AC970" s="38"/>
      <c r="AD970" s="51">
        <v>57</v>
      </c>
      <c r="AE970" s="51">
        <v>57</v>
      </c>
      <c r="AF970" s="48" t="s">
        <v>203</v>
      </c>
      <c r="AG970" s="38" t="s">
        <v>204</v>
      </c>
      <c r="AH970" s="52"/>
      <c r="AI970" s="38"/>
      <c r="AJ970" s="38"/>
    </row>
    <row r="971" spans="1:36" ht="16.2">
      <c r="A971" s="53" t="s">
        <v>302</v>
      </c>
      <c r="B971" s="53">
        <v>679356</v>
      </c>
      <c r="C971" s="53" t="s">
        <v>3042</v>
      </c>
      <c r="D971" s="53">
        <v>13207599</v>
      </c>
      <c r="E971" s="54" t="s">
        <v>2986</v>
      </c>
      <c r="F971" s="53" t="s">
        <v>2994</v>
      </c>
      <c r="G971" s="42" t="s">
        <v>195</v>
      </c>
      <c r="H971" s="53"/>
      <c r="I971" s="53"/>
      <c r="J971" s="53"/>
      <c r="K971" s="53"/>
      <c r="L971" s="55">
        <v>45293</v>
      </c>
      <c r="M971" s="55">
        <v>45293</v>
      </c>
      <c r="N971" s="53" t="s">
        <v>2988</v>
      </c>
      <c r="O971" s="56">
        <v>0.01</v>
      </c>
      <c r="P971" s="53"/>
      <c r="Q971" s="53" t="s">
        <v>3047</v>
      </c>
      <c r="R971" s="45">
        <v>410</v>
      </c>
      <c r="S971" s="56">
        <v>0.01</v>
      </c>
      <c r="T971" s="47" t="s">
        <v>198</v>
      </c>
      <c r="U971" s="48" t="s">
        <v>199</v>
      </c>
      <c r="V971" s="38"/>
      <c r="W971" s="48" t="s">
        <v>195</v>
      </c>
      <c r="X971" s="38" t="s">
        <v>308</v>
      </c>
      <c r="Y971" s="49" t="s">
        <v>309</v>
      </c>
      <c r="Z971" s="50" t="s">
        <v>3048</v>
      </c>
      <c r="AA971" s="38"/>
      <c r="AB971" s="38"/>
      <c r="AC971" s="38"/>
      <c r="AD971" s="51">
        <v>57</v>
      </c>
      <c r="AE971" s="51">
        <v>57</v>
      </c>
      <c r="AF971" s="48" t="s">
        <v>203</v>
      </c>
      <c r="AG971" s="38" t="s">
        <v>204</v>
      </c>
      <c r="AH971" s="52"/>
      <c r="AI971" s="38"/>
      <c r="AJ971" s="38"/>
    </row>
    <row r="972" spans="1:36" ht="16.2">
      <c r="A972" s="42" t="s">
        <v>302</v>
      </c>
      <c r="B972" s="42">
        <v>679356</v>
      </c>
      <c r="C972" s="42" t="s">
        <v>3042</v>
      </c>
      <c r="D972" s="42">
        <v>13207599</v>
      </c>
      <c r="E972" s="43" t="s">
        <v>2986</v>
      </c>
      <c r="F972" s="42" t="s">
        <v>2997</v>
      </c>
      <c r="G972" s="42" t="s">
        <v>195</v>
      </c>
      <c r="H972" s="42"/>
      <c r="I972" s="42"/>
      <c r="J972" s="42"/>
      <c r="K972" s="42"/>
      <c r="L972" s="44">
        <v>45293</v>
      </c>
      <c r="M972" s="44">
        <v>45293</v>
      </c>
      <c r="N972" s="42" t="s">
        <v>2988</v>
      </c>
      <c r="O972" s="46">
        <v>0.01</v>
      </c>
      <c r="P972" s="42"/>
      <c r="Q972" s="42" t="s">
        <v>3049</v>
      </c>
      <c r="R972" s="45">
        <v>410</v>
      </c>
      <c r="S972" s="46">
        <v>0.01</v>
      </c>
      <c r="T972" s="47" t="s">
        <v>198</v>
      </c>
      <c r="U972" s="48" t="s">
        <v>199</v>
      </c>
      <c r="V972" s="38"/>
      <c r="W972" s="48" t="s">
        <v>195</v>
      </c>
      <c r="X972" s="38" t="s">
        <v>308</v>
      </c>
      <c r="Y972" s="49" t="s">
        <v>309</v>
      </c>
      <c r="Z972" s="50" t="s">
        <v>3050</v>
      </c>
      <c r="AA972" s="38"/>
      <c r="AB972" s="38"/>
      <c r="AC972" s="38"/>
      <c r="AD972" s="51">
        <v>57</v>
      </c>
      <c r="AE972" s="51">
        <v>57</v>
      </c>
      <c r="AF972" s="48" t="s">
        <v>203</v>
      </c>
      <c r="AG972" s="38" t="s">
        <v>204</v>
      </c>
      <c r="AH972" s="52"/>
      <c r="AI972" s="38"/>
      <c r="AJ972" s="38"/>
    </row>
    <row r="973" spans="1:36" ht="16.2">
      <c r="A973" s="53" t="s">
        <v>302</v>
      </c>
      <c r="B973" s="53">
        <v>679356</v>
      </c>
      <c r="C973" s="53" t="s">
        <v>3042</v>
      </c>
      <c r="D973" s="53">
        <v>13207599</v>
      </c>
      <c r="E973" s="54" t="s">
        <v>2986</v>
      </c>
      <c r="F973" s="53" t="s">
        <v>3000</v>
      </c>
      <c r="G973" s="42" t="s">
        <v>195</v>
      </c>
      <c r="H973" s="53"/>
      <c r="I973" s="53"/>
      <c r="J973" s="53"/>
      <c r="K973" s="53"/>
      <c r="L973" s="55">
        <v>45293</v>
      </c>
      <c r="M973" s="55">
        <v>45293</v>
      </c>
      <c r="N973" s="53" t="s">
        <v>2988</v>
      </c>
      <c r="O973" s="56">
        <v>0.01</v>
      </c>
      <c r="P973" s="53"/>
      <c r="Q973" s="53" t="s">
        <v>3051</v>
      </c>
      <c r="R973" s="45">
        <v>410</v>
      </c>
      <c r="S973" s="56">
        <v>0.01</v>
      </c>
      <c r="T973" s="47" t="s">
        <v>198</v>
      </c>
      <c r="U973" s="48" t="s">
        <v>199</v>
      </c>
      <c r="V973" s="38"/>
      <c r="W973" s="48" t="s">
        <v>195</v>
      </c>
      <c r="X973" s="38" t="s">
        <v>308</v>
      </c>
      <c r="Y973" s="49" t="s">
        <v>309</v>
      </c>
      <c r="Z973" s="50" t="s">
        <v>3052</v>
      </c>
      <c r="AA973" s="38"/>
      <c r="AB973" s="38"/>
      <c r="AC973" s="38"/>
      <c r="AD973" s="51">
        <v>57</v>
      </c>
      <c r="AE973" s="51">
        <v>57</v>
      </c>
      <c r="AF973" s="48" t="s">
        <v>203</v>
      </c>
      <c r="AG973" s="38" t="s">
        <v>204</v>
      </c>
      <c r="AH973" s="52"/>
      <c r="AI973" s="38"/>
      <c r="AJ973" s="38"/>
    </row>
    <row r="974" spans="1:36" ht="16.2">
      <c r="A974" s="42" t="s">
        <v>302</v>
      </c>
      <c r="B974" s="42">
        <v>679356</v>
      </c>
      <c r="C974" s="42" t="s">
        <v>3042</v>
      </c>
      <c r="D974" s="42">
        <v>13207599</v>
      </c>
      <c r="E974" s="43" t="s">
        <v>2986</v>
      </c>
      <c r="F974" s="42" t="s">
        <v>3003</v>
      </c>
      <c r="G974" s="42" t="s">
        <v>195</v>
      </c>
      <c r="H974" s="42"/>
      <c r="I974" s="42"/>
      <c r="J974" s="42"/>
      <c r="K974" s="42"/>
      <c r="L974" s="44">
        <v>45293</v>
      </c>
      <c r="M974" s="44">
        <v>45293</v>
      </c>
      <c r="N974" s="42" t="s">
        <v>2988</v>
      </c>
      <c r="O974" s="42">
        <v>0</v>
      </c>
      <c r="P974" s="42"/>
      <c r="Q974" s="42" t="s">
        <v>3053</v>
      </c>
      <c r="R974" s="45">
        <v>410</v>
      </c>
      <c r="S974" s="42">
        <v>0</v>
      </c>
      <c r="T974" s="47" t="s">
        <v>198</v>
      </c>
      <c r="U974" s="48" t="s">
        <v>199</v>
      </c>
      <c r="V974" s="38"/>
      <c r="W974" s="48" t="s">
        <v>195</v>
      </c>
      <c r="X974" s="38" t="s">
        <v>308</v>
      </c>
      <c r="Y974" s="49" t="s">
        <v>309</v>
      </c>
      <c r="Z974" s="50" t="s">
        <v>3054</v>
      </c>
      <c r="AA974" s="38"/>
      <c r="AB974" s="38"/>
      <c r="AC974" s="38"/>
      <c r="AD974" s="51">
        <v>57</v>
      </c>
      <c r="AE974" s="51">
        <v>57</v>
      </c>
      <c r="AF974" s="48" t="s">
        <v>203</v>
      </c>
      <c r="AG974" s="38" t="s">
        <v>204</v>
      </c>
      <c r="AH974" s="52"/>
      <c r="AI974" s="38"/>
      <c r="AJ974" s="38"/>
    </row>
    <row r="975" spans="1:36" ht="16.2">
      <c r="A975" s="53" t="s">
        <v>302</v>
      </c>
      <c r="B975" s="53">
        <v>679356</v>
      </c>
      <c r="C975" s="53" t="s">
        <v>3042</v>
      </c>
      <c r="D975" s="53">
        <v>13207599</v>
      </c>
      <c r="E975" s="54" t="s">
        <v>2986</v>
      </c>
      <c r="F975" s="53" t="s">
        <v>3006</v>
      </c>
      <c r="G975" s="42" t="s">
        <v>195</v>
      </c>
      <c r="H975" s="53"/>
      <c r="I975" s="53"/>
      <c r="J975" s="53"/>
      <c r="K975" s="53"/>
      <c r="L975" s="55">
        <v>45293</v>
      </c>
      <c r="M975" s="55">
        <v>45293</v>
      </c>
      <c r="N975" s="53" t="s">
        <v>2988</v>
      </c>
      <c r="O975" s="53">
        <v>0</v>
      </c>
      <c r="P975" s="53"/>
      <c r="Q975" s="53" t="s">
        <v>3055</v>
      </c>
      <c r="R975" s="45">
        <v>410</v>
      </c>
      <c r="S975" s="53">
        <v>0</v>
      </c>
      <c r="T975" s="47" t="s">
        <v>198</v>
      </c>
      <c r="U975" s="48" t="s">
        <v>199</v>
      </c>
      <c r="V975" s="38"/>
      <c r="W975" s="48" t="s">
        <v>195</v>
      </c>
      <c r="X975" s="38" t="s">
        <v>308</v>
      </c>
      <c r="Y975" s="49" t="s">
        <v>309</v>
      </c>
      <c r="Z975" s="50" t="s">
        <v>3056</v>
      </c>
      <c r="AA975" s="38"/>
      <c r="AB975" s="38"/>
      <c r="AC975" s="38"/>
      <c r="AD975" s="51">
        <v>57</v>
      </c>
      <c r="AE975" s="51">
        <v>57</v>
      </c>
      <c r="AF975" s="48" t="s">
        <v>203</v>
      </c>
      <c r="AG975" s="38" t="s">
        <v>204</v>
      </c>
      <c r="AH975" s="52"/>
      <c r="AI975" s="38"/>
      <c r="AJ975" s="38"/>
    </row>
    <row r="976" spans="1:36" ht="16.2">
      <c r="A976" s="42" t="s">
        <v>302</v>
      </c>
      <c r="B976" s="42">
        <v>679356</v>
      </c>
      <c r="C976" s="42" t="s">
        <v>3042</v>
      </c>
      <c r="D976" s="42">
        <v>13207599</v>
      </c>
      <c r="E976" s="43" t="s">
        <v>2986</v>
      </c>
      <c r="F976" s="42" t="s">
        <v>3009</v>
      </c>
      <c r="G976" s="42" t="s">
        <v>195</v>
      </c>
      <c r="H976" s="42"/>
      <c r="I976" s="42"/>
      <c r="J976" s="42"/>
      <c r="K976" s="42"/>
      <c r="L976" s="44">
        <v>45293</v>
      </c>
      <c r="M976" s="44">
        <v>45293</v>
      </c>
      <c r="N976" s="42" t="s">
        <v>2988</v>
      </c>
      <c r="O976" s="42">
        <v>0</v>
      </c>
      <c r="P976" s="42"/>
      <c r="Q976" s="42" t="s">
        <v>3057</v>
      </c>
      <c r="R976" s="45">
        <v>410</v>
      </c>
      <c r="S976" s="42">
        <v>0</v>
      </c>
      <c r="T976" s="47" t="s">
        <v>198</v>
      </c>
      <c r="U976" s="48" t="s">
        <v>199</v>
      </c>
      <c r="V976" s="38"/>
      <c r="W976" s="48" t="s">
        <v>195</v>
      </c>
      <c r="X976" s="38" t="s">
        <v>308</v>
      </c>
      <c r="Y976" s="49" t="s">
        <v>309</v>
      </c>
      <c r="Z976" s="50" t="s">
        <v>3058</v>
      </c>
      <c r="AA976" s="38"/>
      <c r="AB976" s="38"/>
      <c r="AC976" s="38"/>
      <c r="AD976" s="51">
        <v>57</v>
      </c>
      <c r="AE976" s="51">
        <v>57</v>
      </c>
      <c r="AF976" s="48" t="s">
        <v>203</v>
      </c>
      <c r="AG976" s="38" t="s">
        <v>204</v>
      </c>
      <c r="AH976" s="52"/>
      <c r="AI976" s="38"/>
      <c r="AJ976" s="38"/>
    </row>
    <row r="977" spans="1:36" ht="16.2">
      <c r="A977" s="53" t="s">
        <v>302</v>
      </c>
      <c r="B977" s="53">
        <v>679356</v>
      </c>
      <c r="C977" s="53" t="s">
        <v>3042</v>
      </c>
      <c r="D977" s="53">
        <v>13207599</v>
      </c>
      <c r="E977" s="54" t="s">
        <v>2986</v>
      </c>
      <c r="F977" s="53" t="s">
        <v>1386</v>
      </c>
      <c r="G977" s="42" t="s">
        <v>195</v>
      </c>
      <c r="H977" s="53"/>
      <c r="I977" s="53"/>
      <c r="J977" s="53"/>
      <c r="K977" s="53"/>
      <c r="L977" s="55">
        <v>45293</v>
      </c>
      <c r="M977" s="55">
        <v>45293</v>
      </c>
      <c r="N977" s="53" t="s">
        <v>2988</v>
      </c>
      <c r="O977" s="53">
        <v>0</v>
      </c>
      <c r="P977" s="53"/>
      <c r="Q977" s="53" t="s">
        <v>3059</v>
      </c>
      <c r="R977" s="45">
        <v>410</v>
      </c>
      <c r="S977" s="53">
        <v>0</v>
      </c>
      <c r="T977" s="47" t="s">
        <v>198</v>
      </c>
      <c r="U977" s="48" t="s">
        <v>199</v>
      </c>
      <c r="V977" s="38"/>
      <c r="W977" s="48" t="s">
        <v>195</v>
      </c>
      <c r="X977" s="38" t="s">
        <v>308</v>
      </c>
      <c r="Y977" s="49" t="s">
        <v>309</v>
      </c>
      <c r="Z977" s="50" t="s">
        <v>3060</v>
      </c>
      <c r="AA977" s="38"/>
      <c r="AB977" s="38"/>
      <c r="AC977" s="38"/>
      <c r="AD977" s="51">
        <v>57</v>
      </c>
      <c r="AE977" s="51">
        <v>57</v>
      </c>
      <c r="AF977" s="48" t="s">
        <v>203</v>
      </c>
      <c r="AG977" s="38" t="s">
        <v>204</v>
      </c>
      <c r="AH977" s="52"/>
      <c r="AI977" s="38"/>
      <c r="AJ977" s="38"/>
    </row>
    <row r="978" spans="1:36" ht="16.2">
      <c r="A978" s="42" t="s">
        <v>302</v>
      </c>
      <c r="B978" s="42">
        <v>679356</v>
      </c>
      <c r="C978" s="42" t="s">
        <v>3042</v>
      </c>
      <c r="D978" s="42">
        <v>13207599</v>
      </c>
      <c r="E978" s="43" t="s">
        <v>2986</v>
      </c>
      <c r="F978" s="42" t="s">
        <v>3014</v>
      </c>
      <c r="G978" s="42" t="s">
        <v>195</v>
      </c>
      <c r="H978" s="42"/>
      <c r="I978" s="42"/>
      <c r="J978" s="42"/>
      <c r="K978" s="42"/>
      <c r="L978" s="44">
        <v>45293</v>
      </c>
      <c r="M978" s="44">
        <v>45293</v>
      </c>
      <c r="N978" s="42" t="s">
        <v>2988</v>
      </c>
      <c r="O978" s="42">
        <v>0</v>
      </c>
      <c r="P978" s="42"/>
      <c r="Q978" s="42" t="s">
        <v>3061</v>
      </c>
      <c r="R978" s="45">
        <v>410</v>
      </c>
      <c r="S978" s="42">
        <v>0</v>
      </c>
      <c r="T978" s="47" t="s">
        <v>198</v>
      </c>
      <c r="U978" s="48" t="s">
        <v>199</v>
      </c>
      <c r="V978" s="38"/>
      <c r="W978" s="48" t="s">
        <v>195</v>
      </c>
      <c r="X978" s="38" t="s">
        <v>308</v>
      </c>
      <c r="Y978" s="49" t="s">
        <v>309</v>
      </c>
      <c r="Z978" s="50" t="s">
        <v>3062</v>
      </c>
      <c r="AA978" s="38"/>
      <c r="AB978" s="38"/>
      <c r="AC978" s="38"/>
      <c r="AD978" s="51">
        <v>57</v>
      </c>
      <c r="AE978" s="51">
        <v>57</v>
      </c>
      <c r="AF978" s="48" t="s">
        <v>203</v>
      </c>
      <c r="AG978" s="38" t="s">
        <v>204</v>
      </c>
      <c r="AH978" s="52"/>
      <c r="AI978" s="38"/>
      <c r="AJ978" s="38"/>
    </row>
    <row r="979" spans="1:36" ht="16.2">
      <c r="A979" s="53" t="s">
        <v>302</v>
      </c>
      <c r="B979" s="53">
        <v>679356</v>
      </c>
      <c r="C979" s="53" t="s">
        <v>3042</v>
      </c>
      <c r="D979" s="53">
        <v>13207599</v>
      </c>
      <c r="E979" s="54" t="s">
        <v>2986</v>
      </c>
      <c r="F979" s="53" t="s">
        <v>644</v>
      </c>
      <c r="G979" s="42" t="s">
        <v>195</v>
      </c>
      <c r="H979" s="53"/>
      <c r="I979" s="53"/>
      <c r="J979" s="53"/>
      <c r="K979" s="53"/>
      <c r="L979" s="55">
        <v>45293</v>
      </c>
      <c r="M979" s="55">
        <v>45293</v>
      </c>
      <c r="N979" s="53" t="s">
        <v>2988</v>
      </c>
      <c r="O979" s="53">
        <v>0</v>
      </c>
      <c r="P979" s="53"/>
      <c r="Q979" s="53" t="s">
        <v>3063</v>
      </c>
      <c r="R979" s="45">
        <v>410</v>
      </c>
      <c r="S979" s="53">
        <v>0</v>
      </c>
      <c r="T979" s="47" t="s">
        <v>198</v>
      </c>
      <c r="U979" s="48" t="s">
        <v>199</v>
      </c>
      <c r="V979" s="38"/>
      <c r="W979" s="48" t="s">
        <v>195</v>
      </c>
      <c r="X979" s="38" t="s">
        <v>308</v>
      </c>
      <c r="Y979" s="49" t="s">
        <v>309</v>
      </c>
      <c r="Z979" s="50" t="s">
        <v>3064</v>
      </c>
      <c r="AA979" s="38"/>
      <c r="AB979" s="38"/>
      <c r="AC979" s="38"/>
      <c r="AD979" s="51">
        <v>57</v>
      </c>
      <c r="AE979" s="51">
        <v>57</v>
      </c>
      <c r="AF979" s="48" t="s">
        <v>203</v>
      </c>
      <c r="AG979" s="38" t="s">
        <v>204</v>
      </c>
      <c r="AH979" s="52"/>
      <c r="AI979" s="38"/>
      <c r="AJ979" s="38"/>
    </row>
    <row r="980" spans="1:36" ht="16.2">
      <c r="A980" s="42" t="s">
        <v>302</v>
      </c>
      <c r="B980" s="42">
        <v>679356</v>
      </c>
      <c r="C980" s="42" t="s">
        <v>3042</v>
      </c>
      <c r="D980" s="42">
        <v>13207599</v>
      </c>
      <c r="E980" s="43" t="s">
        <v>2986</v>
      </c>
      <c r="F980" s="42" t="s">
        <v>3019</v>
      </c>
      <c r="G980" s="42" t="s">
        <v>195</v>
      </c>
      <c r="H980" s="42"/>
      <c r="I980" s="42"/>
      <c r="J980" s="42"/>
      <c r="K980" s="42"/>
      <c r="L980" s="44">
        <v>45293</v>
      </c>
      <c r="M980" s="44">
        <v>45293</v>
      </c>
      <c r="N980" s="42" t="s">
        <v>2988</v>
      </c>
      <c r="O980" s="42">
        <v>0</v>
      </c>
      <c r="P980" s="42"/>
      <c r="Q980" s="42" t="s">
        <v>3065</v>
      </c>
      <c r="R980" s="45">
        <v>410</v>
      </c>
      <c r="S980" s="42">
        <v>0</v>
      </c>
      <c r="T980" s="47" t="s">
        <v>198</v>
      </c>
      <c r="U980" s="48" t="s">
        <v>199</v>
      </c>
      <c r="V980" s="38"/>
      <c r="W980" s="48" t="s">
        <v>195</v>
      </c>
      <c r="X980" s="38" t="s">
        <v>308</v>
      </c>
      <c r="Y980" s="49" t="s">
        <v>309</v>
      </c>
      <c r="Z980" s="50" t="s">
        <v>3066</v>
      </c>
      <c r="AA980" s="38"/>
      <c r="AB980" s="38"/>
      <c r="AC980" s="38"/>
      <c r="AD980" s="51">
        <v>57</v>
      </c>
      <c r="AE980" s="51">
        <v>57</v>
      </c>
      <c r="AF980" s="48" t="s">
        <v>203</v>
      </c>
      <c r="AG980" s="38" t="s">
        <v>204</v>
      </c>
      <c r="AH980" s="52"/>
      <c r="AI980" s="38"/>
      <c r="AJ980" s="38"/>
    </row>
    <row r="981" spans="1:36" ht="16.2">
      <c r="A981" s="53" t="s">
        <v>302</v>
      </c>
      <c r="B981" s="53">
        <v>679356</v>
      </c>
      <c r="C981" s="53" t="s">
        <v>3042</v>
      </c>
      <c r="D981" s="53">
        <v>13207599</v>
      </c>
      <c r="E981" s="54" t="s">
        <v>2986</v>
      </c>
      <c r="F981" s="53" t="s">
        <v>3022</v>
      </c>
      <c r="G981" s="42" t="s">
        <v>195</v>
      </c>
      <c r="H981" s="53"/>
      <c r="I981" s="53"/>
      <c r="J981" s="53"/>
      <c r="K981" s="53"/>
      <c r="L981" s="55">
        <v>45293</v>
      </c>
      <c r="M981" s="55">
        <v>45293</v>
      </c>
      <c r="N981" s="53" t="s">
        <v>2988</v>
      </c>
      <c r="O981" s="53">
        <v>0</v>
      </c>
      <c r="P981" s="53"/>
      <c r="Q981" s="53" t="s">
        <v>3067</v>
      </c>
      <c r="R981" s="45">
        <v>410</v>
      </c>
      <c r="S981" s="53">
        <v>0</v>
      </c>
      <c r="T981" s="47" t="s">
        <v>198</v>
      </c>
      <c r="U981" s="48" t="s">
        <v>199</v>
      </c>
      <c r="V981" s="38"/>
      <c r="W981" s="48" t="s">
        <v>195</v>
      </c>
      <c r="X981" s="38" t="s">
        <v>308</v>
      </c>
      <c r="Y981" s="49" t="s">
        <v>309</v>
      </c>
      <c r="Z981" s="50" t="s">
        <v>3068</v>
      </c>
      <c r="AA981" s="38"/>
      <c r="AB981" s="38"/>
      <c r="AC981" s="38"/>
      <c r="AD981" s="51">
        <v>57</v>
      </c>
      <c r="AE981" s="51">
        <v>57</v>
      </c>
      <c r="AF981" s="48" t="s">
        <v>203</v>
      </c>
      <c r="AG981" s="38" t="s">
        <v>204</v>
      </c>
      <c r="AH981" s="52"/>
      <c r="AI981" s="38"/>
      <c r="AJ981" s="38"/>
    </row>
    <row r="982" spans="1:36" ht="16.2">
      <c r="A982" s="42" t="s">
        <v>302</v>
      </c>
      <c r="B982" s="42">
        <v>679356</v>
      </c>
      <c r="C982" s="42" t="s">
        <v>3042</v>
      </c>
      <c r="D982" s="42">
        <v>13207599</v>
      </c>
      <c r="E982" s="43" t="s">
        <v>2986</v>
      </c>
      <c r="F982" s="42" t="s">
        <v>3025</v>
      </c>
      <c r="G982" s="42" t="s">
        <v>195</v>
      </c>
      <c r="H982" s="42"/>
      <c r="I982" s="42"/>
      <c r="J982" s="42"/>
      <c r="K982" s="42"/>
      <c r="L982" s="44">
        <v>45293</v>
      </c>
      <c r="M982" s="44">
        <v>45293</v>
      </c>
      <c r="N982" s="42" t="s">
        <v>2988</v>
      </c>
      <c r="O982" s="42">
        <v>0</v>
      </c>
      <c r="P982" s="42"/>
      <c r="Q982" s="42" t="s">
        <v>3069</v>
      </c>
      <c r="R982" s="45">
        <v>410</v>
      </c>
      <c r="S982" s="42">
        <v>0</v>
      </c>
      <c r="T982" s="47" t="s">
        <v>198</v>
      </c>
      <c r="U982" s="48" t="s">
        <v>199</v>
      </c>
      <c r="V982" s="38"/>
      <c r="W982" s="48" t="s">
        <v>195</v>
      </c>
      <c r="X982" s="38" t="s">
        <v>308</v>
      </c>
      <c r="Y982" s="49" t="s">
        <v>309</v>
      </c>
      <c r="Z982" s="50" t="s">
        <v>3070</v>
      </c>
      <c r="AA982" s="38"/>
      <c r="AB982" s="38"/>
      <c r="AC982" s="38"/>
      <c r="AD982" s="51">
        <v>57</v>
      </c>
      <c r="AE982" s="51">
        <v>57</v>
      </c>
      <c r="AF982" s="48" t="s">
        <v>203</v>
      </c>
      <c r="AG982" s="38" t="s">
        <v>204</v>
      </c>
      <c r="AH982" s="52"/>
      <c r="AI982" s="38"/>
      <c r="AJ982" s="38"/>
    </row>
    <row r="983" spans="1:36" ht="16.2">
      <c r="A983" s="53" t="s">
        <v>302</v>
      </c>
      <c r="B983" s="53">
        <v>679356</v>
      </c>
      <c r="C983" s="53" t="s">
        <v>3042</v>
      </c>
      <c r="D983" s="53">
        <v>13207599</v>
      </c>
      <c r="E983" s="54" t="s">
        <v>2986</v>
      </c>
      <c r="F983" s="53" t="s">
        <v>3028</v>
      </c>
      <c r="G983" s="42" t="s">
        <v>195</v>
      </c>
      <c r="H983" s="53"/>
      <c r="I983" s="53"/>
      <c r="J983" s="53"/>
      <c r="K983" s="53"/>
      <c r="L983" s="55">
        <v>45293</v>
      </c>
      <c r="M983" s="55">
        <v>45293</v>
      </c>
      <c r="N983" s="53" t="s">
        <v>2988</v>
      </c>
      <c r="O983" s="53">
        <v>0</v>
      </c>
      <c r="P983" s="53"/>
      <c r="Q983" s="53" t="s">
        <v>3071</v>
      </c>
      <c r="R983" s="45">
        <v>410</v>
      </c>
      <c r="S983" s="53">
        <v>0</v>
      </c>
      <c r="T983" s="47" t="s">
        <v>198</v>
      </c>
      <c r="U983" s="48" t="s">
        <v>199</v>
      </c>
      <c r="V983" s="38"/>
      <c r="W983" s="48" t="s">
        <v>195</v>
      </c>
      <c r="X983" s="38" t="s">
        <v>308</v>
      </c>
      <c r="Y983" s="49" t="s">
        <v>309</v>
      </c>
      <c r="Z983" s="50" t="s">
        <v>3072</v>
      </c>
      <c r="AA983" s="38"/>
      <c r="AB983" s="38"/>
      <c r="AC983" s="38"/>
      <c r="AD983" s="51">
        <v>57</v>
      </c>
      <c r="AE983" s="51">
        <v>57</v>
      </c>
      <c r="AF983" s="48" t="s">
        <v>203</v>
      </c>
      <c r="AG983" s="38" t="s">
        <v>204</v>
      </c>
      <c r="AH983" s="52"/>
      <c r="AI983" s="38"/>
      <c r="AJ983" s="38"/>
    </row>
    <row r="984" spans="1:36" ht="16.2">
      <c r="A984" s="42" t="s">
        <v>302</v>
      </c>
      <c r="B984" s="42">
        <v>679356</v>
      </c>
      <c r="C984" s="42" t="s">
        <v>3042</v>
      </c>
      <c r="D984" s="42">
        <v>13207599</v>
      </c>
      <c r="E984" s="43" t="s">
        <v>2986</v>
      </c>
      <c r="F984" s="42" t="s">
        <v>3031</v>
      </c>
      <c r="G984" s="42" t="s">
        <v>195</v>
      </c>
      <c r="H984" s="42"/>
      <c r="I984" s="42"/>
      <c r="J984" s="42"/>
      <c r="K984" s="42"/>
      <c r="L984" s="44">
        <v>45293</v>
      </c>
      <c r="M984" s="44">
        <v>45293</v>
      </c>
      <c r="N984" s="42" t="s">
        <v>2988</v>
      </c>
      <c r="O984" s="42">
        <v>0</v>
      </c>
      <c r="P984" s="42"/>
      <c r="Q984" s="42" t="s">
        <v>3073</v>
      </c>
      <c r="R984" s="45">
        <v>410</v>
      </c>
      <c r="S984" s="42">
        <v>0</v>
      </c>
      <c r="T984" s="47" t="s">
        <v>198</v>
      </c>
      <c r="U984" s="48" t="s">
        <v>199</v>
      </c>
      <c r="V984" s="38"/>
      <c r="W984" s="48" t="s">
        <v>195</v>
      </c>
      <c r="X984" s="38" t="s">
        <v>308</v>
      </c>
      <c r="Y984" s="49" t="s">
        <v>309</v>
      </c>
      <c r="Z984" s="50" t="s">
        <v>3074</v>
      </c>
      <c r="AA984" s="38"/>
      <c r="AB984" s="38"/>
      <c r="AC984" s="38"/>
      <c r="AD984" s="51">
        <v>57</v>
      </c>
      <c r="AE984" s="51">
        <v>57</v>
      </c>
      <c r="AF984" s="48" t="s">
        <v>203</v>
      </c>
      <c r="AG984" s="38" t="s">
        <v>204</v>
      </c>
      <c r="AH984" s="52"/>
      <c r="AI984" s="38"/>
      <c r="AJ984" s="38"/>
    </row>
    <row r="985" spans="1:36" ht="16.2">
      <c r="A985" s="53" t="s">
        <v>302</v>
      </c>
      <c r="B985" s="53">
        <v>679356</v>
      </c>
      <c r="C985" s="53" t="s">
        <v>3042</v>
      </c>
      <c r="D985" s="53">
        <v>13207599</v>
      </c>
      <c r="E985" s="54" t="s">
        <v>2986</v>
      </c>
      <c r="F985" s="53" t="s">
        <v>3034</v>
      </c>
      <c r="G985" s="42" t="s">
        <v>195</v>
      </c>
      <c r="H985" s="53"/>
      <c r="I985" s="53"/>
      <c r="J985" s="53"/>
      <c r="K985" s="53"/>
      <c r="L985" s="55">
        <v>45293</v>
      </c>
      <c r="M985" s="55">
        <v>45293</v>
      </c>
      <c r="N985" s="53" t="s">
        <v>2988</v>
      </c>
      <c r="O985" s="53">
        <v>0</v>
      </c>
      <c r="P985" s="53"/>
      <c r="Q985" s="53" t="s">
        <v>3075</v>
      </c>
      <c r="R985" s="45">
        <v>410</v>
      </c>
      <c r="S985" s="53">
        <v>0</v>
      </c>
      <c r="T985" s="47" t="s">
        <v>198</v>
      </c>
      <c r="U985" s="48" t="s">
        <v>199</v>
      </c>
      <c r="V985" s="38"/>
      <c r="W985" s="48" t="s">
        <v>195</v>
      </c>
      <c r="X985" s="38" t="s">
        <v>308</v>
      </c>
      <c r="Y985" s="49" t="s">
        <v>309</v>
      </c>
      <c r="Z985" s="50" t="s">
        <v>3076</v>
      </c>
      <c r="AA985" s="38"/>
      <c r="AB985" s="38"/>
      <c r="AC985" s="38"/>
      <c r="AD985" s="51">
        <v>57</v>
      </c>
      <c r="AE985" s="51">
        <v>57</v>
      </c>
      <c r="AF985" s="48" t="s">
        <v>203</v>
      </c>
      <c r="AG985" s="38" t="s">
        <v>204</v>
      </c>
      <c r="AH985" s="52"/>
      <c r="AI985" s="38"/>
      <c r="AJ985" s="38"/>
    </row>
    <row r="986" spans="1:36" ht="16.2">
      <c r="A986" s="42" t="s">
        <v>302</v>
      </c>
      <c r="B986" s="42">
        <v>679356</v>
      </c>
      <c r="C986" s="42" t="s">
        <v>3042</v>
      </c>
      <c r="D986" s="42">
        <v>13207599</v>
      </c>
      <c r="E986" s="43" t="s">
        <v>2986</v>
      </c>
      <c r="F986" s="42" t="s">
        <v>3037</v>
      </c>
      <c r="G986" s="42" t="s">
        <v>195</v>
      </c>
      <c r="H986" s="42"/>
      <c r="I986" s="42"/>
      <c r="J986" s="42"/>
      <c r="K986" s="42"/>
      <c r="L986" s="44">
        <v>45293</v>
      </c>
      <c r="M986" s="44">
        <v>45293</v>
      </c>
      <c r="N986" s="42" t="s">
        <v>2988</v>
      </c>
      <c r="O986" s="42">
        <v>0</v>
      </c>
      <c r="P986" s="42"/>
      <c r="Q986" s="42" t="s">
        <v>3077</v>
      </c>
      <c r="R986" s="45">
        <v>410</v>
      </c>
      <c r="S986" s="46">
        <v>0.01</v>
      </c>
      <c r="T986" s="47" t="s">
        <v>198</v>
      </c>
      <c r="U986" s="48" t="s">
        <v>199</v>
      </c>
      <c r="V986" s="38"/>
      <c r="W986" s="48" t="s">
        <v>195</v>
      </c>
      <c r="X986" s="38" t="s">
        <v>308</v>
      </c>
      <c r="Y986" s="49" t="s">
        <v>309</v>
      </c>
      <c r="Z986" s="50" t="s">
        <v>3078</v>
      </c>
      <c r="AA986" s="38"/>
      <c r="AB986" s="38"/>
      <c r="AC986" s="38"/>
      <c r="AD986" s="51">
        <v>57</v>
      </c>
      <c r="AE986" s="51">
        <v>57</v>
      </c>
      <c r="AF986" s="48" t="s">
        <v>203</v>
      </c>
      <c r="AG986" s="38" t="s">
        <v>204</v>
      </c>
      <c r="AH986" s="52"/>
      <c r="AI986" s="38"/>
      <c r="AJ986" s="38"/>
    </row>
    <row r="987" spans="1:36" ht="16.2">
      <c r="A987" s="53" t="s">
        <v>302</v>
      </c>
      <c r="B987" s="53">
        <v>679356</v>
      </c>
      <c r="C987" s="53" t="s">
        <v>3042</v>
      </c>
      <c r="D987" s="53">
        <v>13207599</v>
      </c>
      <c r="E987" s="54" t="s">
        <v>2986</v>
      </c>
      <c r="F987" s="53" t="s">
        <v>235</v>
      </c>
      <c r="G987" s="42" t="s">
        <v>195</v>
      </c>
      <c r="H987" s="53"/>
      <c r="I987" s="53"/>
      <c r="J987" s="53"/>
      <c r="K987" s="53"/>
      <c r="L987" s="55">
        <v>45293</v>
      </c>
      <c r="M987" s="55">
        <v>45293</v>
      </c>
      <c r="N987" s="53" t="s">
        <v>2988</v>
      </c>
      <c r="O987" s="53">
        <v>0</v>
      </c>
      <c r="P987" s="53"/>
      <c r="Q987" s="53" t="s">
        <v>3079</v>
      </c>
      <c r="R987" s="45">
        <v>410</v>
      </c>
      <c r="S987" s="56">
        <v>0.01</v>
      </c>
      <c r="T987" s="47" t="s">
        <v>198</v>
      </c>
      <c r="U987" s="48" t="s">
        <v>199</v>
      </c>
      <c r="V987" s="38"/>
      <c r="W987" s="48" t="s">
        <v>195</v>
      </c>
      <c r="X987" s="38" t="s">
        <v>308</v>
      </c>
      <c r="Y987" s="49" t="s">
        <v>309</v>
      </c>
      <c r="Z987" s="50" t="s">
        <v>3080</v>
      </c>
      <c r="AA987" s="38"/>
      <c r="AB987" s="38"/>
      <c r="AC987" s="38"/>
      <c r="AD987" s="51">
        <v>57</v>
      </c>
      <c r="AE987" s="51">
        <v>57</v>
      </c>
      <c r="AF987" s="48" t="s">
        <v>203</v>
      </c>
      <c r="AG987" s="38" t="s">
        <v>204</v>
      </c>
      <c r="AH987" s="52"/>
      <c r="AI987" s="38"/>
      <c r="AJ987" s="38"/>
    </row>
    <row r="988" spans="1:36" ht="16.2">
      <c r="A988" s="42" t="s">
        <v>302</v>
      </c>
      <c r="B988" s="42">
        <v>679376</v>
      </c>
      <c r="C988" s="42" t="s">
        <v>3081</v>
      </c>
      <c r="D988" s="42">
        <v>13207625</v>
      </c>
      <c r="E988" s="43" t="s">
        <v>2986</v>
      </c>
      <c r="F988" s="42" t="s">
        <v>2987</v>
      </c>
      <c r="G988" s="42" t="s">
        <v>195</v>
      </c>
      <c r="H988" s="42"/>
      <c r="I988" s="42"/>
      <c r="J988" s="42"/>
      <c r="K988" s="42"/>
      <c r="L988" s="44">
        <v>45293</v>
      </c>
      <c r="M988" s="44">
        <v>45293</v>
      </c>
      <c r="N988" s="42" t="s">
        <v>2988</v>
      </c>
      <c r="O988" s="42">
        <v>0</v>
      </c>
      <c r="P988" s="42"/>
      <c r="Q988" s="42" t="s">
        <v>3082</v>
      </c>
      <c r="R988" s="45">
        <v>410</v>
      </c>
      <c r="S988" s="46">
        <v>0.01</v>
      </c>
      <c r="T988" s="47" t="s">
        <v>198</v>
      </c>
      <c r="U988" s="48" t="s">
        <v>199</v>
      </c>
      <c r="V988" s="38"/>
      <c r="W988" s="48" t="s">
        <v>195</v>
      </c>
      <c r="X988" s="38" t="s">
        <v>308</v>
      </c>
      <c r="Y988" s="49" t="s">
        <v>309</v>
      </c>
      <c r="Z988" s="50" t="s">
        <v>3083</v>
      </c>
      <c r="AA988" s="38"/>
      <c r="AB988" s="38"/>
      <c r="AC988" s="38"/>
      <c r="AD988" s="51">
        <v>57</v>
      </c>
      <c r="AE988" s="51">
        <v>57</v>
      </c>
      <c r="AF988" s="48" t="s">
        <v>203</v>
      </c>
      <c r="AG988" s="38" t="s">
        <v>204</v>
      </c>
      <c r="AH988" s="52"/>
      <c r="AI988" s="38"/>
      <c r="AJ988" s="38"/>
    </row>
    <row r="989" spans="1:36" ht="16.2">
      <c r="A989" s="53" t="s">
        <v>302</v>
      </c>
      <c r="B989" s="53">
        <v>679376</v>
      </c>
      <c r="C989" s="53" t="s">
        <v>3081</v>
      </c>
      <c r="D989" s="53">
        <v>13207625</v>
      </c>
      <c r="E989" s="54" t="s">
        <v>2986</v>
      </c>
      <c r="F989" s="53" t="s">
        <v>2991</v>
      </c>
      <c r="G989" s="42" t="s">
        <v>195</v>
      </c>
      <c r="H989" s="53"/>
      <c r="I989" s="53"/>
      <c r="J989" s="53"/>
      <c r="K989" s="53"/>
      <c r="L989" s="55">
        <v>45293</v>
      </c>
      <c r="M989" s="55">
        <v>45293</v>
      </c>
      <c r="N989" s="53" t="s">
        <v>2988</v>
      </c>
      <c r="O989" s="53">
        <v>0</v>
      </c>
      <c r="P989" s="53"/>
      <c r="Q989" s="53" t="s">
        <v>3084</v>
      </c>
      <c r="R989" s="45">
        <v>410</v>
      </c>
      <c r="S989" s="56">
        <v>0.01</v>
      </c>
      <c r="T989" s="47" t="s">
        <v>198</v>
      </c>
      <c r="U989" s="48" t="s">
        <v>199</v>
      </c>
      <c r="V989" s="38"/>
      <c r="W989" s="48" t="s">
        <v>195</v>
      </c>
      <c r="X989" s="38" t="s">
        <v>308</v>
      </c>
      <c r="Y989" s="49" t="s">
        <v>309</v>
      </c>
      <c r="Z989" s="50" t="s">
        <v>3085</v>
      </c>
      <c r="AA989" s="38"/>
      <c r="AB989" s="38"/>
      <c r="AC989" s="38"/>
      <c r="AD989" s="51">
        <v>57</v>
      </c>
      <c r="AE989" s="51">
        <v>57</v>
      </c>
      <c r="AF989" s="48" t="s">
        <v>203</v>
      </c>
      <c r="AG989" s="38" t="s">
        <v>204</v>
      </c>
      <c r="AH989" s="52"/>
      <c r="AI989" s="38"/>
      <c r="AJ989" s="38"/>
    </row>
    <row r="990" spans="1:36" ht="16.2">
      <c r="A990" s="42" t="s">
        <v>302</v>
      </c>
      <c r="B990" s="42">
        <v>679376</v>
      </c>
      <c r="C990" s="42" t="s">
        <v>3081</v>
      </c>
      <c r="D990" s="42">
        <v>13207625</v>
      </c>
      <c r="E990" s="43" t="s">
        <v>2986</v>
      </c>
      <c r="F990" s="42" t="s">
        <v>2994</v>
      </c>
      <c r="G990" s="42" t="s">
        <v>195</v>
      </c>
      <c r="H990" s="42"/>
      <c r="I990" s="42"/>
      <c r="J990" s="42"/>
      <c r="K990" s="42"/>
      <c r="L990" s="44">
        <v>45293</v>
      </c>
      <c r="M990" s="44">
        <v>45293</v>
      </c>
      <c r="N990" s="42" t="s">
        <v>2988</v>
      </c>
      <c r="O990" s="42">
        <v>0</v>
      </c>
      <c r="P990" s="42"/>
      <c r="Q990" s="42" t="s">
        <v>3086</v>
      </c>
      <c r="R990" s="45">
        <v>410</v>
      </c>
      <c r="S990" s="46">
        <v>0.01</v>
      </c>
      <c r="T990" s="47" t="s">
        <v>198</v>
      </c>
      <c r="U990" s="48" t="s">
        <v>199</v>
      </c>
      <c r="V990" s="38"/>
      <c r="W990" s="48" t="s">
        <v>195</v>
      </c>
      <c r="X990" s="38" t="s">
        <v>308</v>
      </c>
      <c r="Y990" s="49" t="s">
        <v>309</v>
      </c>
      <c r="Z990" s="50" t="s">
        <v>3087</v>
      </c>
      <c r="AA990" s="38"/>
      <c r="AB990" s="38"/>
      <c r="AC990" s="38"/>
      <c r="AD990" s="51">
        <v>57</v>
      </c>
      <c r="AE990" s="51">
        <v>57</v>
      </c>
      <c r="AF990" s="48" t="s">
        <v>203</v>
      </c>
      <c r="AG990" s="38" t="s">
        <v>204</v>
      </c>
      <c r="AH990" s="52"/>
      <c r="AI990" s="38"/>
      <c r="AJ990" s="38"/>
    </row>
    <row r="991" spans="1:36" ht="16.2">
      <c r="A991" s="53" t="s">
        <v>302</v>
      </c>
      <c r="B991" s="53">
        <v>679376</v>
      </c>
      <c r="C991" s="53" t="s">
        <v>3081</v>
      </c>
      <c r="D991" s="53">
        <v>13207625</v>
      </c>
      <c r="E991" s="54" t="s">
        <v>2986</v>
      </c>
      <c r="F991" s="53" t="s">
        <v>2997</v>
      </c>
      <c r="G991" s="42" t="s">
        <v>195</v>
      </c>
      <c r="H991" s="53"/>
      <c r="I991" s="53"/>
      <c r="J991" s="53"/>
      <c r="K991" s="53"/>
      <c r="L991" s="55">
        <v>45293</v>
      </c>
      <c r="M991" s="55">
        <v>45293</v>
      </c>
      <c r="N991" s="53" t="s">
        <v>2988</v>
      </c>
      <c r="O991" s="53">
        <v>0</v>
      </c>
      <c r="P991" s="53"/>
      <c r="Q991" s="53" t="s">
        <v>3088</v>
      </c>
      <c r="R991" s="45">
        <v>410</v>
      </c>
      <c r="S991" s="56">
        <v>0.01</v>
      </c>
      <c r="T991" s="47" t="s">
        <v>198</v>
      </c>
      <c r="U991" s="48" t="s">
        <v>199</v>
      </c>
      <c r="V991" s="38"/>
      <c r="W991" s="48" t="s">
        <v>195</v>
      </c>
      <c r="X991" s="38" t="s">
        <v>308</v>
      </c>
      <c r="Y991" s="49" t="s">
        <v>309</v>
      </c>
      <c r="Z991" s="50" t="s">
        <v>3089</v>
      </c>
      <c r="AA991" s="38"/>
      <c r="AB991" s="38"/>
      <c r="AC991" s="38"/>
      <c r="AD991" s="51">
        <v>57</v>
      </c>
      <c r="AE991" s="51">
        <v>57</v>
      </c>
      <c r="AF991" s="48" t="s">
        <v>203</v>
      </c>
      <c r="AG991" s="38" t="s">
        <v>204</v>
      </c>
      <c r="AH991" s="52"/>
      <c r="AI991" s="38"/>
      <c r="AJ991" s="38"/>
    </row>
    <row r="992" spans="1:36" ht="16.2">
      <c r="A992" s="42" t="s">
        <v>302</v>
      </c>
      <c r="B992" s="42">
        <v>679376</v>
      </c>
      <c r="C992" s="42" t="s">
        <v>3081</v>
      </c>
      <c r="D992" s="42">
        <v>13207625</v>
      </c>
      <c r="E992" s="43" t="s">
        <v>2986</v>
      </c>
      <c r="F992" s="42" t="s">
        <v>3000</v>
      </c>
      <c r="G992" s="42" t="s">
        <v>195</v>
      </c>
      <c r="H992" s="42"/>
      <c r="I992" s="42"/>
      <c r="J992" s="42"/>
      <c r="K992" s="42"/>
      <c r="L992" s="44">
        <v>45293</v>
      </c>
      <c r="M992" s="44">
        <v>45293</v>
      </c>
      <c r="N992" s="42" t="s">
        <v>2988</v>
      </c>
      <c r="O992" s="42">
        <v>0</v>
      </c>
      <c r="P992" s="42"/>
      <c r="Q992" s="42" t="s">
        <v>3090</v>
      </c>
      <c r="R992" s="45">
        <v>410</v>
      </c>
      <c r="S992" s="46">
        <v>0.01</v>
      </c>
      <c r="T992" s="47" t="s">
        <v>198</v>
      </c>
      <c r="U992" s="48" t="s">
        <v>199</v>
      </c>
      <c r="V992" s="38"/>
      <c r="W992" s="48" t="s">
        <v>195</v>
      </c>
      <c r="X992" s="38" t="s">
        <v>308</v>
      </c>
      <c r="Y992" s="49" t="s">
        <v>309</v>
      </c>
      <c r="Z992" s="50" t="s">
        <v>3091</v>
      </c>
      <c r="AA992" s="38"/>
      <c r="AB992" s="38"/>
      <c r="AC992" s="38"/>
      <c r="AD992" s="51">
        <v>57</v>
      </c>
      <c r="AE992" s="51">
        <v>57</v>
      </c>
      <c r="AF992" s="48" t="s">
        <v>203</v>
      </c>
      <c r="AG992" s="38" t="s">
        <v>204</v>
      </c>
      <c r="AH992" s="52"/>
      <c r="AI992" s="38"/>
      <c r="AJ992" s="38"/>
    </row>
    <row r="993" spans="1:36" ht="16.2">
      <c r="A993" s="53" t="s">
        <v>302</v>
      </c>
      <c r="B993" s="53">
        <v>679376</v>
      </c>
      <c r="C993" s="53" t="s">
        <v>3081</v>
      </c>
      <c r="D993" s="53">
        <v>13207625</v>
      </c>
      <c r="E993" s="54" t="s">
        <v>2986</v>
      </c>
      <c r="F993" s="53" t="s">
        <v>3003</v>
      </c>
      <c r="G993" s="42" t="s">
        <v>195</v>
      </c>
      <c r="H993" s="53"/>
      <c r="I993" s="53"/>
      <c r="J993" s="53"/>
      <c r="K993" s="53"/>
      <c r="L993" s="55">
        <v>45293</v>
      </c>
      <c r="M993" s="55">
        <v>45293</v>
      </c>
      <c r="N993" s="53" t="s">
        <v>2988</v>
      </c>
      <c r="O993" s="53">
        <v>0</v>
      </c>
      <c r="P993" s="53"/>
      <c r="Q993" s="53" t="s">
        <v>3092</v>
      </c>
      <c r="R993" s="45">
        <v>410</v>
      </c>
      <c r="S993" s="56">
        <v>0.01</v>
      </c>
      <c r="T993" s="47" t="s">
        <v>198</v>
      </c>
      <c r="U993" s="48" t="s">
        <v>199</v>
      </c>
      <c r="V993" s="38"/>
      <c r="W993" s="48" t="s">
        <v>195</v>
      </c>
      <c r="X993" s="38" t="s">
        <v>308</v>
      </c>
      <c r="Y993" s="49" t="s">
        <v>309</v>
      </c>
      <c r="Z993" s="50" t="s">
        <v>3093</v>
      </c>
      <c r="AA993" s="38"/>
      <c r="AB993" s="38"/>
      <c r="AC993" s="38"/>
      <c r="AD993" s="51">
        <v>57</v>
      </c>
      <c r="AE993" s="51">
        <v>57</v>
      </c>
      <c r="AF993" s="48" t="s">
        <v>203</v>
      </c>
      <c r="AG993" s="38" t="s">
        <v>204</v>
      </c>
      <c r="AH993" s="52"/>
      <c r="AI993" s="38"/>
      <c r="AJ993" s="38"/>
    </row>
    <row r="994" spans="1:36" ht="16.2">
      <c r="A994" s="42" t="s">
        <v>302</v>
      </c>
      <c r="B994" s="42">
        <v>679376</v>
      </c>
      <c r="C994" s="42" t="s">
        <v>3081</v>
      </c>
      <c r="D994" s="42">
        <v>13207625</v>
      </c>
      <c r="E994" s="43" t="s">
        <v>2986</v>
      </c>
      <c r="F994" s="42" t="s">
        <v>3006</v>
      </c>
      <c r="G994" s="42" t="s">
        <v>195</v>
      </c>
      <c r="H994" s="42"/>
      <c r="I994" s="42"/>
      <c r="J994" s="42"/>
      <c r="K994" s="42"/>
      <c r="L994" s="44">
        <v>45293</v>
      </c>
      <c r="M994" s="44">
        <v>45293</v>
      </c>
      <c r="N994" s="42" t="s">
        <v>2988</v>
      </c>
      <c r="O994" s="42">
        <v>0</v>
      </c>
      <c r="P994" s="42"/>
      <c r="Q994" s="42" t="s">
        <v>3094</v>
      </c>
      <c r="R994" s="45">
        <v>410</v>
      </c>
      <c r="S994" s="46">
        <v>0.01</v>
      </c>
      <c r="T994" s="47" t="s">
        <v>198</v>
      </c>
      <c r="U994" s="48" t="s">
        <v>199</v>
      </c>
      <c r="V994" s="38"/>
      <c r="W994" s="48" t="s">
        <v>195</v>
      </c>
      <c r="X994" s="38" t="s">
        <v>308</v>
      </c>
      <c r="Y994" s="49" t="s">
        <v>309</v>
      </c>
      <c r="Z994" s="50" t="s">
        <v>3095</v>
      </c>
      <c r="AA994" s="38"/>
      <c r="AB994" s="38"/>
      <c r="AC994" s="38"/>
      <c r="AD994" s="51">
        <v>57</v>
      </c>
      <c r="AE994" s="51">
        <v>57</v>
      </c>
      <c r="AF994" s="48" t="s">
        <v>203</v>
      </c>
      <c r="AG994" s="38" t="s">
        <v>204</v>
      </c>
      <c r="AH994" s="52"/>
      <c r="AI994" s="38"/>
      <c r="AJ994" s="38"/>
    </row>
    <row r="995" spans="1:36" ht="16.2">
      <c r="A995" s="53" t="s">
        <v>302</v>
      </c>
      <c r="B995" s="53">
        <v>679376</v>
      </c>
      <c r="C995" s="53" t="s">
        <v>3081</v>
      </c>
      <c r="D995" s="53">
        <v>13207625</v>
      </c>
      <c r="E995" s="54" t="s">
        <v>2986</v>
      </c>
      <c r="F995" s="53" t="s">
        <v>3009</v>
      </c>
      <c r="G995" s="42" t="s">
        <v>195</v>
      </c>
      <c r="H995" s="53"/>
      <c r="I995" s="53"/>
      <c r="J995" s="53"/>
      <c r="K995" s="53"/>
      <c r="L995" s="55">
        <v>45293</v>
      </c>
      <c r="M995" s="55">
        <v>45293</v>
      </c>
      <c r="N995" s="53" t="s">
        <v>2988</v>
      </c>
      <c r="O995" s="53">
        <v>0</v>
      </c>
      <c r="P995" s="53"/>
      <c r="Q995" s="53" t="s">
        <v>3096</v>
      </c>
      <c r="R995" s="45">
        <v>410</v>
      </c>
      <c r="S995" s="56">
        <v>0.01</v>
      </c>
      <c r="T995" s="47" t="s">
        <v>198</v>
      </c>
      <c r="U995" s="48" t="s">
        <v>199</v>
      </c>
      <c r="V995" s="38"/>
      <c r="W995" s="48" t="s">
        <v>195</v>
      </c>
      <c r="X995" s="38" t="s">
        <v>308</v>
      </c>
      <c r="Y995" s="49" t="s">
        <v>309</v>
      </c>
      <c r="Z995" s="50" t="s">
        <v>3097</v>
      </c>
      <c r="AA995" s="38"/>
      <c r="AB995" s="38"/>
      <c r="AC995" s="38"/>
      <c r="AD995" s="51">
        <v>57</v>
      </c>
      <c r="AE995" s="51">
        <v>57</v>
      </c>
      <c r="AF995" s="48" t="s">
        <v>203</v>
      </c>
      <c r="AG995" s="38" t="s">
        <v>204</v>
      </c>
      <c r="AH995" s="52"/>
      <c r="AI995" s="38"/>
      <c r="AJ995" s="38"/>
    </row>
    <row r="996" spans="1:36" ht="16.2">
      <c r="A996" s="42" t="s">
        <v>302</v>
      </c>
      <c r="B996" s="42">
        <v>679376</v>
      </c>
      <c r="C996" s="42" t="s">
        <v>3081</v>
      </c>
      <c r="D996" s="42">
        <v>13207625</v>
      </c>
      <c r="E996" s="43" t="s">
        <v>2986</v>
      </c>
      <c r="F996" s="42" t="s">
        <v>1386</v>
      </c>
      <c r="G996" s="42" t="s">
        <v>195</v>
      </c>
      <c r="H996" s="42"/>
      <c r="I996" s="42"/>
      <c r="J996" s="42"/>
      <c r="K996" s="42"/>
      <c r="L996" s="44">
        <v>45293</v>
      </c>
      <c r="M996" s="44">
        <v>45293</v>
      </c>
      <c r="N996" s="42" t="s">
        <v>2988</v>
      </c>
      <c r="O996" s="42">
        <v>0</v>
      </c>
      <c r="P996" s="42"/>
      <c r="Q996" s="42" t="s">
        <v>3098</v>
      </c>
      <c r="R996" s="45">
        <v>410</v>
      </c>
      <c r="S996" s="46">
        <v>0.01</v>
      </c>
      <c r="T996" s="47" t="s">
        <v>198</v>
      </c>
      <c r="U996" s="48" t="s">
        <v>199</v>
      </c>
      <c r="V996" s="38"/>
      <c r="W996" s="48" t="s">
        <v>195</v>
      </c>
      <c r="X996" s="38" t="s">
        <v>308</v>
      </c>
      <c r="Y996" s="49" t="s">
        <v>309</v>
      </c>
      <c r="Z996" s="50" t="s">
        <v>3099</v>
      </c>
      <c r="AA996" s="38"/>
      <c r="AB996" s="38"/>
      <c r="AC996" s="38"/>
      <c r="AD996" s="51">
        <v>57</v>
      </c>
      <c r="AE996" s="51">
        <v>57</v>
      </c>
      <c r="AF996" s="48" t="s">
        <v>203</v>
      </c>
      <c r="AG996" s="38" t="s">
        <v>204</v>
      </c>
      <c r="AH996" s="52"/>
      <c r="AI996" s="38"/>
      <c r="AJ996" s="38"/>
    </row>
    <row r="997" spans="1:36" ht="16.2">
      <c r="A997" s="53" t="s">
        <v>302</v>
      </c>
      <c r="B997" s="53">
        <v>679376</v>
      </c>
      <c r="C997" s="53" t="s">
        <v>3081</v>
      </c>
      <c r="D997" s="53">
        <v>13207625</v>
      </c>
      <c r="E997" s="54" t="s">
        <v>2986</v>
      </c>
      <c r="F997" s="53" t="s">
        <v>3014</v>
      </c>
      <c r="G997" s="42" t="s">
        <v>195</v>
      </c>
      <c r="H997" s="53"/>
      <c r="I997" s="53"/>
      <c r="J997" s="53"/>
      <c r="K997" s="53"/>
      <c r="L997" s="55">
        <v>45293</v>
      </c>
      <c r="M997" s="55">
        <v>45293</v>
      </c>
      <c r="N997" s="53" t="s">
        <v>2988</v>
      </c>
      <c r="O997" s="53">
        <v>0</v>
      </c>
      <c r="P997" s="53"/>
      <c r="Q997" s="53" t="s">
        <v>3100</v>
      </c>
      <c r="R997" s="45">
        <v>410</v>
      </c>
      <c r="S997" s="53">
        <v>0</v>
      </c>
      <c r="T997" s="47" t="s">
        <v>198</v>
      </c>
      <c r="U997" s="48" t="s">
        <v>199</v>
      </c>
      <c r="V997" s="38"/>
      <c r="W997" s="48" t="s">
        <v>195</v>
      </c>
      <c r="X997" s="38" t="s">
        <v>308</v>
      </c>
      <c r="Y997" s="49" t="s">
        <v>309</v>
      </c>
      <c r="Z997" s="50" t="s">
        <v>3101</v>
      </c>
      <c r="AA997" s="38"/>
      <c r="AB997" s="38"/>
      <c r="AC997" s="38"/>
      <c r="AD997" s="51">
        <v>57</v>
      </c>
      <c r="AE997" s="51">
        <v>57</v>
      </c>
      <c r="AF997" s="48" t="s">
        <v>203</v>
      </c>
      <c r="AG997" s="38" t="s">
        <v>204</v>
      </c>
      <c r="AH997" s="52"/>
      <c r="AI997" s="38"/>
      <c r="AJ997" s="38"/>
    </row>
    <row r="998" spans="1:36" ht="16.2">
      <c r="A998" s="42" t="s">
        <v>302</v>
      </c>
      <c r="B998" s="42">
        <v>679376</v>
      </c>
      <c r="C998" s="42" t="s">
        <v>3081</v>
      </c>
      <c r="D998" s="42">
        <v>13207625</v>
      </c>
      <c r="E998" s="43" t="s">
        <v>2986</v>
      </c>
      <c r="F998" s="42" t="s">
        <v>644</v>
      </c>
      <c r="G998" s="42" t="s">
        <v>195</v>
      </c>
      <c r="H998" s="42"/>
      <c r="I998" s="42"/>
      <c r="J998" s="42"/>
      <c r="K998" s="42"/>
      <c r="L998" s="44">
        <v>45293</v>
      </c>
      <c r="M998" s="44">
        <v>45293</v>
      </c>
      <c r="N998" s="42" t="s">
        <v>2988</v>
      </c>
      <c r="O998" s="46">
        <v>0.01</v>
      </c>
      <c r="P998" s="42"/>
      <c r="Q998" s="42" t="s">
        <v>3102</v>
      </c>
      <c r="R998" s="45">
        <v>410</v>
      </c>
      <c r="S998" s="46">
        <v>0.01</v>
      </c>
      <c r="T998" s="47" t="s">
        <v>198</v>
      </c>
      <c r="U998" s="48" t="s">
        <v>199</v>
      </c>
      <c r="V998" s="38"/>
      <c r="W998" s="48" t="s">
        <v>195</v>
      </c>
      <c r="X998" s="38" t="s">
        <v>308</v>
      </c>
      <c r="Y998" s="49" t="s">
        <v>309</v>
      </c>
      <c r="Z998" s="50" t="s">
        <v>3103</v>
      </c>
      <c r="AA998" s="38"/>
      <c r="AB998" s="38"/>
      <c r="AC998" s="38"/>
      <c r="AD998" s="51">
        <v>57</v>
      </c>
      <c r="AE998" s="51">
        <v>57</v>
      </c>
      <c r="AF998" s="48" t="s">
        <v>203</v>
      </c>
      <c r="AG998" s="38" t="s">
        <v>204</v>
      </c>
      <c r="AH998" s="52"/>
      <c r="AI998" s="38"/>
      <c r="AJ998" s="38"/>
    </row>
    <row r="999" spans="1:36" ht="16.2">
      <c r="A999" s="53" t="s">
        <v>302</v>
      </c>
      <c r="B999" s="53">
        <v>679376</v>
      </c>
      <c r="C999" s="53" t="s">
        <v>3081</v>
      </c>
      <c r="D999" s="53">
        <v>13207625</v>
      </c>
      <c r="E999" s="54" t="s">
        <v>2986</v>
      </c>
      <c r="F999" s="53" t="s">
        <v>3019</v>
      </c>
      <c r="G999" s="42" t="s">
        <v>195</v>
      </c>
      <c r="H999" s="53"/>
      <c r="I999" s="53"/>
      <c r="J999" s="53"/>
      <c r="K999" s="53"/>
      <c r="L999" s="55">
        <v>45293</v>
      </c>
      <c r="M999" s="55">
        <v>45293</v>
      </c>
      <c r="N999" s="53" t="s">
        <v>2988</v>
      </c>
      <c r="O999" s="56">
        <v>0.01</v>
      </c>
      <c r="P999" s="53"/>
      <c r="Q999" s="53" t="s">
        <v>3104</v>
      </c>
      <c r="R999" s="45">
        <v>410</v>
      </c>
      <c r="S999" s="56">
        <v>0.01</v>
      </c>
      <c r="T999" s="47" t="s">
        <v>198</v>
      </c>
      <c r="U999" s="48" t="s">
        <v>199</v>
      </c>
      <c r="V999" s="38"/>
      <c r="W999" s="48" t="s">
        <v>195</v>
      </c>
      <c r="X999" s="38" t="s">
        <v>308</v>
      </c>
      <c r="Y999" s="49" t="s">
        <v>309</v>
      </c>
      <c r="Z999" s="50" t="s">
        <v>3105</v>
      </c>
      <c r="AA999" s="38"/>
      <c r="AB999" s="38"/>
      <c r="AC999" s="38"/>
      <c r="AD999" s="51">
        <v>57</v>
      </c>
      <c r="AE999" s="51">
        <v>57</v>
      </c>
      <c r="AF999" s="48" t="s">
        <v>203</v>
      </c>
      <c r="AG999" s="38" t="s">
        <v>204</v>
      </c>
      <c r="AH999" s="52"/>
      <c r="AI999" s="38"/>
      <c r="AJ999" s="38"/>
    </row>
    <row r="1000" spans="1:36" ht="16.2">
      <c r="A1000" s="42" t="s">
        <v>302</v>
      </c>
      <c r="B1000" s="42">
        <v>679376</v>
      </c>
      <c r="C1000" s="42" t="s">
        <v>3081</v>
      </c>
      <c r="D1000" s="42">
        <v>13207625</v>
      </c>
      <c r="E1000" s="43" t="s">
        <v>2986</v>
      </c>
      <c r="F1000" s="42" t="s">
        <v>3022</v>
      </c>
      <c r="G1000" s="42" t="s">
        <v>195</v>
      </c>
      <c r="H1000" s="42"/>
      <c r="I1000" s="42"/>
      <c r="J1000" s="42"/>
      <c r="K1000" s="42"/>
      <c r="L1000" s="44">
        <v>45293</v>
      </c>
      <c r="M1000" s="44">
        <v>45293</v>
      </c>
      <c r="N1000" s="42" t="s">
        <v>2988</v>
      </c>
      <c r="O1000" s="42">
        <v>0</v>
      </c>
      <c r="P1000" s="42"/>
      <c r="Q1000" s="42" t="s">
        <v>3106</v>
      </c>
      <c r="R1000" s="45">
        <v>410</v>
      </c>
      <c r="S1000" s="42">
        <v>0</v>
      </c>
      <c r="T1000" s="47" t="s">
        <v>198</v>
      </c>
      <c r="U1000" s="48" t="s">
        <v>199</v>
      </c>
      <c r="V1000" s="38"/>
      <c r="W1000" s="48" t="s">
        <v>195</v>
      </c>
      <c r="X1000" s="38" t="s">
        <v>308</v>
      </c>
      <c r="Y1000" s="49" t="s">
        <v>309</v>
      </c>
      <c r="Z1000" s="50" t="s">
        <v>3107</v>
      </c>
      <c r="AA1000" s="38"/>
      <c r="AB1000" s="38"/>
      <c r="AC1000" s="38"/>
      <c r="AD1000" s="51">
        <v>57</v>
      </c>
      <c r="AE1000" s="51">
        <v>57</v>
      </c>
      <c r="AF1000" s="48" t="s">
        <v>203</v>
      </c>
      <c r="AG1000" s="38" t="s">
        <v>204</v>
      </c>
      <c r="AH1000" s="52"/>
      <c r="AI1000" s="38"/>
      <c r="AJ1000" s="38"/>
    </row>
    <row r="1001" spans="1:36" ht="16.2">
      <c r="A1001" s="53" t="s">
        <v>302</v>
      </c>
      <c r="B1001" s="53">
        <v>679376</v>
      </c>
      <c r="C1001" s="53" t="s">
        <v>3081</v>
      </c>
      <c r="D1001" s="53">
        <v>13207625</v>
      </c>
      <c r="E1001" s="54" t="s">
        <v>2986</v>
      </c>
      <c r="F1001" s="53" t="s">
        <v>3025</v>
      </c>
      <c r="G1001" s="42" t="s">
        <v>195</v>
      </c>
      <c r="H1001" s="53"/>
      <c r="I1001" s="53"/>
      <c r="J1001" s="53"/>
      <c r="K1001" s="53"/>
      <c r="L1001" s="55">
        <v>45293</v>
      </c>
      <c r="M1001" s="55">
        <v>45293</v>
      </c>
      <c r="N1001" s="53" t="s">
        <v>2988</v>
      </c>
      <c r="O1001" s="53">
        <v>0</v>
      </c>
      <c r="P1001" s="53"/>
      <c r="Q1001" s="53" t="s">
        <v>3108</v>
      </c>
      <c r="R1001" s="45">
        <v>410</v>
      </c>
      <c r="S1001" s="53">
        <v>0</v>
      </c>
      <c r="T1001" s="47" t="s">
        <v>198</v>
      </c>
      <c r="U1001" s="48" t="s">
        <v>199</v>
      </c>
      <c r="V1001" s="38"/>
      <c r="W1001" s="48" t="s">
        <v>195</v>
      </c>
      <c r="X1001" s="38" t="s">
        <v>308</v>
      </c>
      <c r="Y1001" s="49" t="s">
        <v>309</v>
      </c>
      <c r="Z1001" s="50" t="s">
        <v>3109</v>
      </c>
      <c r="AA1001" s="38"/>
      <c r="AB1001" s="38"/>
      <c r="AC1001" s="38"/>
      <c r="AD1001" s="51">
        <v>57</v>
      </c>
      <c r="AE1001" s="51">
        <v>57</v>
      </c>
      <c r="AF1001" s="48" t="s">
        <v>203</v>
      </c>
      <c r="AG1001" s="38" t="s">
        <v>204</v>
      </c>
      <c r="AH1001" s="52"/>
      <c r="AI1001" s="38"/>
      <c r="AJ1001" s="38"/>
    </row>
    <row r="1002" spans="1:36" ht="16.2">
      <c r="A1002" s="42" t="s">
        <v>302</v>
      </c>
      <c r="B1002" s="42">
        <v>679376</v>
      </c>
      <c r="C1002" s="42" t="s">
        <v>3081</v>
      </c>
      <c r="D1002" s="42">
        <v>13207625</v>
      </c>
      <c r="E1002" s="43" t="s">
        <v>2986</v>
      </c>
      <c r="F1002" s="42" t="s">
        <v>3028</v>
      </c>
      <c r="G1002" s="42" t="s">
        <v>195</v>
      </c>
      <c r="H1002" s="42"/>
      <c r="I1002" s="42"/>
      <c r="J1002" s="42"/>
      <c r="K1002" s="42"/>
      <c r="L1002" s="44">
        <v>45293</v>
      </c>
      <c r="M1002" s="44">
        <v>45293</v>
      </c>
      <c r="N1002" s="42" t="s">
        <v>2988</v>
      </c>
      <c r="O1002" s="42">
        <v>0</v>
      </c>
      <c r="P1002" s="42"/>
      <c r="Q1002" s="42" t="s">
        <v>3110</v>
      </c>
      <c r="R1002" s="45">
        <v>410</v>
      </c>
      <c r="S1002" s="42">
        <v>0</v>
      </c>
      <c r="T1002" s="47" t="s">
        <v>198</v>
      </c>
      <c r="U1002" s="48" t="s">
        <v>199</v>
      </c>
      <c r="V1002" s="38"/>
      <c r="W1002" s="48" t="s">
        <v>195</v>
      </c>
      <c r="X1002" s="38" t="s">
        <v>308</v>
      </c>
      <c r="Y1002" s="49" t="s">
        <v>309</v>
      </c>
      <c r="Z1002" s="50" t="s">
        <v>3111</v>
      </c>
      <c r="AA1002" s="38"/>
      <c r="AB1002" s="38"/>
      <c r="AC1002" s="38"/>
      <c r="AD1002" s="51">
        <v>57</v>
      </c>
      <c r="AE1002" s="51">
        <v>57</v>
      </c>
      <c r="AF1002" s="48" t="s">
        <v>203</v>
      </c>
      <c r="AG1002" s="38" t="s">
        <v>204</v>
      </c>
      <c r="AH1002" s="52"/>
      <c r="AI1002" s="38"/>
      <c r="AJ1002" s="38"/>
    </row>
    <row r="1003" spans="1:36" ht="16.2">
      <c r="A1003" s="53" t="s">
        <v>302</v>
      </c>
      <c r="B1003" s="53">
        <v>679376</v>
      </c>
      <c r="C1003" s="53" t="s">
        <v>3081</v>
      </c>
      <c r="D1003" s="53">
        <v>13207625</v>
      </c>
      <c r="E1003" s="54" t="s">
        <v>2986</v>
      </c>
      <c r="F1003" s="53" t="s">
        <v>3031</v>
      </c>
      <c r="G1003" s="42" t="s">
        <v>195</v>
      </c>
      <c r="H1003" s="53"/>
      <c r="I1003" s="53"/>
      <c r="J1003" s="53"/>
      <c r="K1003" s="53"/>
      <c r="L1003" s="55">
        <v>45293</v>
      </c>
      <c r="M1003" s="55">
        <v>45293</v>
      </c>
      <c r="N1003" s="53" t="s">
        <v>2988</v>
      </c>
      <c r="O1003" s="53">
        <v>0</v>
      </c>
      <c r="P1003" s="53"/>
      <c r="Q1003" s="53" t="s">
        <v>3112</v>
      </c>
      <c r="R1003" s="45">
        <v>410</v>
      </c>
      <c r="S1003" s="53">
        <v>0</v>
      </c>
      <c r="T1003" s="47" t="s">
        <v>198</v>
      </c>
      <c r="U1003" s="48" t="s">
        <v>199</v>
      </c>
      <c r="V1003" s="38"/>
      <c r="W1003" s="48" t="s">
        <v>195</v>
      </c>
      <c r="X1003" s="38" t="s">
        <v>308</v>
      </c>
      <c r="Y1003" s="49" t="s">
        <v>309</v>
      </c>
      <c r="Z1003" s="50" t="s">
        <v>3113</v>
      </c>
      <c r="AA1003" s="38"/>
      <c r="AB1003" s="38"/>
      <c r="AC1003" s="38"/>
      <c r="AD1003" s="51">
        <v>57</v>
      </c>
      <c r="AE1003" s="51">
        <v>57</v>
      </c>
      <c r="AF1003" s="48" t="s">
        <v>203</v>
      </c>
      <c r="AG1003" s="38" t="s">
        <v>204</v>
      </c>
      <c r="AH1003" s="52"/>
      <c r="AI1003" s="38"/>
      <c r="AJ1003" s="38"/>
    </row>
    <row r="1004" spans="1:36" ht="16.2">
      <c r="A1004" s="42" t="s">
        <v>302</v>
      </c>
      <c r="B1004" s="42">
        <v>679376</v>
      </c>
      <c r="C1004" s="42" t="s">
        <v>3081</v>
      </c>
      <c r="D1004" s="42">
        <v>13207625</v>
      </c>
      <c r="E1004" s="43" t="s">
        <v>2986</v>
      </c>
      <c r="F1004" s="42" t="s">
        <v>3034</v>
      </c>
      <c r="G1004" s="42" t="s">
        <v>195</v>
      </c>
      <c r="H1004" s="42"/>
      <c r="I1004" s="42"/>
      <c r="J1004" s="42"/>
      <c r="K1004" s="42"/>
      <c r="L1004" s="44">
        <v>45293</v>
      </c>
      <c r="M1004" s="44">
        <v>45293</v>
      </c>
      <c r="N1004" s="42" t="s">
        <v>2988</v>
      </c>
      <c r="O1004" s="42">
        <v>0</v>
      </c>
      <c r="P1004" s="42"/>
      <c r="Q1004" s="42" t="s">
        <v>3114</v>
      </c>
      <c r="R1004" s="45">
        <v>410</v>
      </c>
      <c r="S1004" s="46">
        <v>0.01</v>
      </c>
      <c r="T1004" s="47" t="s">
        <v>198</v>
      </c>
      <c r="U1004" s="48" t="s">
        <v>199</v>
      </c>
      <c r="V1004" s="38"/>
      <c r="W1004" s="48" t="s">
        <v>195</v>
      </c>
      <c r="X1004" s="38" t="s">
        <v>308</v>
      </c>
      <c r="Y1004" s="49" t="s">
        <v>309</v>
      </c>
      <c r="Z1004" s="50" t="s">
        <v>3115</v>
      </c>
      <c r="AA1004" s="38"/>
      <c r="AB1004" s="38"/>
      <c r="AC1004" s="38"/>
      <c r="AD1004" s="51">
        <v>57</v>
      </c>
      <c r="AE1004" s="51">
        <v>57</v>
      </c>
      <c r="AF1004" s="48" t="s">
        <v>203</v>
      </c>
      <c r="AG1004" s="38" t="s">
        <v>204</v>
      </c>
      <c r="AH1004" s="52"/>
      <c r="AI1004" s="38"/>
      <c r="AJ1004" s="38"/>
    </row>
    <row r="1005" spans="1:36" ht="16.2">
      <c r="A1005" s="53" t="s">
        <v>302</v>
      </c>
      <c r="B1005" s="53">
        <v>679376</v>
      </c>
      <c r="C1005" s="53" t="s">
        <v>3081</v>
      </c>
      <c r="D1005" s="53">
        <v>13207625</v>
      </c>
      <c r="E1005" s="54" t="s">
        <v>2986</v>
      </c>
      <c r="F1005" s="53" t="s">
        <v>3037</v>
      </c>
      <c r="G1005" s="42" t="s">
        <v>195</v>
      </c>
      <c r="H1005" s="53"/>
      <c r="I1005" s="53"/>
      <c r="J1005" s="53"/>
      <c r="K1005" s="53"/>
      <c r="L1005" s="55">
        <v>45293</v>
      </c>
      <c r="M1005" s="55">
        <v>45293</v>
      </c>
      <c r="N1005" s="53" t="s">
        <v>2988</v>
      </c>
      <c r="O1005" s="53">
        <v>0</v>
      </c>
      <c r="P1005" s="53"/>
      <c r="Q1005" s="53" t="s">
        <v>3116</v>
      </c>
      <c r="R1005" s="45">
        <v>410</v>
      </c>
      <c r="S1005" s="56">
        <v>0.01</v>
      </c>
      <c r="T1005" s="47" t="s">
        <v>198</v>
      </c>
      <c r="U1005" s="48" t="s">
        <v>199</v>
      </c>
      <c r="V1005" s="38"/>
      <c r="W1005" s="48" t="s">
        <v>195</v>
      </c>
      <c r="X1005" s="38" t="s">
        <v>308</v>
      </c>
      <c r="Y1005" s="49" t="s">
        <v>309</v>
      </c>
      <c r="Z1005" s="50" t="s">
        <v>3117</v>
      </c>
      <c r="AA1005" s="38"/>
      <c r="AB1005" s="38"/>
      <c r="AC1005" s="38"/>
      <c r="AD1005" s="51">
        <v>57</v>
      </c>
      <c r="AE1005" s="51">
        <v>57</v>
      </c>
      <c r="AF1005" s="48" t="s">
        <v>203</v>
      </c>
      <c r="AG1005" s="38" t="s">
        <v>204</v>
      </c>
      <c r="AH1005" s="52"/>
      <c r="AI1005" s="38"/>
      <c r="AJ1005" s="38"/>
    </row>
    <row r="1006" spans="1:36" ht="16.2">
      <c r="A1006" s="42" t="s">
        <v>302</v>
      </c>
      <c r="B1006" s="42">
        <v>679376</v>
      </c>
      <c r="C1006" s="42" t="s">
        <v>3081</v>
      </c>
      <c r="D1006" s="42">
        <v>13207625</v>
      </c>
      <c r="E1006" s="43" t="s">
        <v>2986</v>
      </c>
      <c r="F1006" s="42" t="s">
        <v>235</v>
      </c>
      <c r="G1006" s="42" t="s">
        <v>195</v>
      </c>
      <c r="H1006" s="42"/>
      <c r="I1006" s="42"/>
      <c r="J1006" s="42"/>
      <c r="K1006" s="42"/>
      <c r="L1006" s="44">
        <v>45293</v>
      </c>
      <c r="M1006" s="44">
        <v>45293</v>
      </c>
      <c r="N1006" s="42" t="s">
        <v>2988</v>
      </c>
      <c r="O1006" s="42">
        <v>0</v>
      </c>
      <c r="P1006" s="42"/>
      <c r="Q1006" s="42" t="s">
        <v>3118</v>
      </c>
      <c r="R1006" s="45">
        <v>410</v>
      </c>
      <c r="S1006" s="46">
        <v>0.01</v>
      </c>
      <c r="T1006" s="47" t="s">
        <v>198</v>
      </c>
      <c r="U1006" s="48" t="s">
        <v>199</v>
      </c>
      <c r="V1006" s="38"/>
      <c r="W1006" s="48" t="s">
        <v>195</v>
      </c>
      <c r="X1006" s="38" t="s">
        <v>308</v>
      </c>
      <c r="Y1006" s="49" t="s">
        <v>309</v>
      </c>
      <c r="Z1006" s="50" t="s">
        <v>3119</v>
      </c>
      <c r="AA1006" s="38"/>
      <c r="AB1006" s="38"/>
      <c r="AC1006" s="38"/>
      <c r="AD1006" s="51">
        <v>57</v>
      </c>
      <c r="AE1006" s="51">
        <v>57</v>
      </c>
      <c r="AF1006" s="48" t="s">
        <v>203</v>
      </c>
      <c r="AG1006" s="38" t="s">
        <v>204</v>
      </c>
      <c r="AH1006" s="52"/>
      <c r="AI1006" s="38"/>
      <c r="AJ1006" s="38"/>
    </row>
    <row r="1007" spans="1:36" ht="16.2">
      <c r="A1007" s="53" t="s">
        <v>1908</v>
      </c>
      <c r="B1007" s="53">
        <v>508239</v>
      </c>
      <c r="C1007" s="53" t="s">
        <v>3120</v>
      </c>
      <c r="D1007" s="53">
        <v>13207662</v>
      </c>
      <c r="E1007" s="54" t="s">
        <v>3121</v>
      </c>
      <c r="F1007" s="53" t="s">
        <v>3122</v>
      </c>
      <c r="G1007" s="53" t="s">
        <v>195</v>
      </c>
      <c r="H1007" s="53"/>
      <c r="I1007" s="53"/>
      <c r="J1007" s="53">
        <v>13207662</v>
      </c>
      <c r="K1007" s="53"/>
      <c r="L1007" s="55">
        <v>45293</v>
      </c>
      <c r="M1007" s="55">
        <v>45293</v>
      </c>
      <c r="N1007" s="53" t="s">
        <v>1894</v>
      </c>
      <c r="O1007" s="53">
        <v>0</v>
      </c>
      <c r="P1007" s="53">
        <v>20078418</v>
      </c>
      <c r="Q1007" s="53" t="s">
        <v>3123</v>
      </c>
      <c r="R1007" s="45">
        <v>410</v>
      </c>
      <c r="S1007" s="56">
        <v>0.01</v>
      </c>
      <c r="T1007" s="47" t="s">
        <v>198</v>
      </c>
      <c r="U1007" s="48" t="s">
        <v>199</v>
      </c>
      <c r="V1007" s="38"/>
      <c r="W1007" s="48" t="s">
        <v>195</v>
      </c>
      <c r="X1007" s="38" t="s">
        <v>426</v>
      </c>
      <c r="Y1007" s="49" t="s">
        <v>427</v>
      </c>
      <c r="Z1007" s="50" t="s">
        <v>3124</v>
      </c>
      <c r="AA1007" s="38"/>
      <c r="AB1007" s="38"/>
      <c r="AC1007" s="38"/>
      <c r="AD1007" s="51">
        <v>67</v>
      </c>
      <c r="AE1007" s="51">
        <v>67</v>
      </c>
      <c r="AF1007" s="48" t="s">
        <v>203</v>
      </c>
      <c r="AG1007" s="38" t="s">
        <v>204</v>
      </c>
      <c r="AH1007" s="52"/>
      <c r="AI1007" s="38"/>
      <c r="AJ1007" s="38"/>
    </row>
    <row r="1008" spans="1:36" ht="16.2">
      <c r="A1008" s="42" t="s">
        <v>1908</v>
      </c>
      <c r="B1008" s="42">
        <v>508239</v>
      </c>
      <c r="C1008" s="42" t="s">
        <v>3120</v>
      </c>
      <c r="D1008" s="42">
        <v>13207662</v>
      </c>
      <c r="E1008" s="43" t="s">
        <v>3121</v>
      </c>
      <c r="F1008" s="42" t="s">
        <v>3125</v>
      </c>
      <c r="G1008" s="42" t="s">
        <v>195</v>
      </c>
      <c r="H1008" s="42"/>
      <c r="I1008" s="42"/>
      <c r="J1008" s="42">
        <v>13207662</v>
      </c>
      <c r="K1008" s="42"/>
      <c r="L1008" s="44">
        <v>45293</v>
      </c>
      <c r="M1008" s="44">
        <v>45293</v>
      </c>
      <c r="N1008" s="42" t="s">
        <v>1894</v>
      </c>
      <c r="O1008" s="42">
        <v>0</v>
      </c>
      <c r="P1008" s="42">
        <v>20078418</v>
      </c>
      <c r="Q1008" s="42" t="s">
        <v>3126</v>
      </c>
      <c r="R1008" s="45">
        <v>410</v>
      </c>
      <c r="S1008" s="46">
        <v>0.01</v>
      </c>
      <c r="T1008" s="47" t="s">
        <v>198</v>
      </c>
      <c r="U1008" s="48" t="s">
        <v>199</v>
      </c>
      <c r="V1008" s="38"/>
      <c r="W1008" s="48" t="s">
        <v>195</v>
      </c>
      <c r="X1008" s="38" t="s">
        <v>426</v>
      </c>
      <c r="Y1008" s="49" t="s">
        <v>427</v>
      </c>
      <c r="Z1008" s="50" t="s">
        <v>3127</v>
      </c>
      <c r="AA1008" s="38"/>
      <c r="AB1008" s="38"/>
      <c r="AC1008" s="38"/>
      <c r="AD1008" s="51">
        <v>67</v>
      </c>
      <c r="AE1008" s="51">
        <v>67</v>
      </c>
      <c r="AF1008" s="48" t="s">
        <v>203</v>
      </c>
      <c r="AG1008" s="38" t="s">
        <v>204</v>
      </c>
      <c r="AH1008" s="52"/>
      <c r="AI1008" s="38"/>
      <c r="AJ1008" s="38"/>
    </row>
    <row r="1009" spans="1:36" ht="16.2">
      <c r="A1009" s="53" t="s">
        <v>1908</v>
      </c>
      <c r="B1009" s="53">
        <v>508239</v>
      </c>
      <c r="C1009" s="53" t="s">
        <v>3120</v>
      </c>
      <c r="D1009" s="53">
        <v>13207662</v>
      </c>
      <c r="E1009" s="54" t="s">
        <v>3121</v>
      </c>
      <c r="F1009" s="53" t="s">
        <v>3128</v>
      </c>
      <c r="G1009" s="53" t="s">
        <v>195</v>
      </c>
      <c r="H1009" s="53"/>
      <c r="I1009" s="53"/>
      <c r="J1009" s="53">
        <v>13207662</v>
      </c>
      <c r="K1009" s="53"/>
      <c r="L1009" s="55">
        <v>45293</v>
      </c>
      <c r="M1009" s="55">
        <v>45293</v>
      </c>
      <c r="N1009" s="53" t="s">
        <v>1894</v>
      </c>
      <c r="O1009" s="53">
        <v>0</v>
      </c>
      <c r="P1009" s="53">
        <v>20078418</v>
      </c>
      <c r="Q1009" s="53" t="s">
        <v>3129</v>
      </c>
      <c r="R1009" s="45">
        <v>410</v>
      </c>
      <c r="S1009" s="56">
        <v>0.01</v>
      </c>
      <c r="T1009" s="47" t="s">
        <v>198</v>
      </c>
      <c r="U1009" s="48" t="s">
        <v>199</v>
      </c>
      <c r="V1009" s="38"/>
      <c r="W1009" s="48" t="s">
        <v>195</v>
      </c>
      <c r="X1009" s="38" t="s">
        <v>426</v>
      </c>
      <c r="Y1009" s="49" t="s">
        <v>427</v>
      </c>
      <c r="Z1009" s="50" t="s">
        <v>3130</v>
      </c>
      <c r="AA1009" s="38"/>
      <c r="AB1009" s="38"/>
      <c r="AC1009" s="38"/>
      <c r="AD1009" s="51">
        <v>67</v>
      </c>
      <c r="AE1009" s="51">
        <v>67</v>
      </c>
      <c r="AF1009" s="48" t="s">
        <v>203</v>
      </c>
      <c r="AG1009" s="38" t="s">
        <v>204</v>
      </c>
      <c r="AH1009" s="52"/>
      <c r="AI1009" s="38"/>
      <c r="AJ1009" s="38"/>
    </row>
    <row r="1010" spans="1:36" ht="16.2">
      <c r="A1010" s="42" t="s">
        <v>1908</v>
      </c>
      <c r="B1010" s="42">
        <v>508239</v>
      </c>
      <c r="C1010" s="42" t="s">
        <v>3120</v>
      </c>
      <c r="D1010" s="42">
        <v>13207662</v>
      </c>
      <c r="E1010" s="43" t="s">
        <v>3121</v>
      </c>
      <c r="F1010" s="42" t="s">
        <v>3131</v>
      </c>
      <c r="G1010" s="42" t="s">
        <v>195</v>
      </c>
      <c r="H1010" s="42"/>
      <c r="I1010" s="42"/>
      <c r="J1010" s="42">
        <v>13207662</v>
      </c>
      <c r="K1010" s="42"/>
      <c r="L1010" s="44">
        <v>45293</v>
      </c>
      <c r="M1010" s="44">
        <v>45293</v>
      </c>
      <c r="N1010" s="42" t="s">
        <v>1894</v>
      </c>
      <c r="O1010" s="42">
        <v>0</v>
      </c>
      <c r="P1010" s="42">
        <v>20078418</v>
      </c>
      <c r="Q1010" s="42" t="s">
        <v>3132</v>
      </c>
      <c r="R1010" s="45">
        <v>410</v>
      </c>
      <c r="S1010" s="46">
        <v>0.01</v>
      </c>
      <c r="T1010" s="47" t="s">
        <v>198</v>
      </c>
      <c r="U1010" s="48" t="s">
        <v>199</v>
      </c>
      <c r="V1010" s="38"/>
      <c r="W1010" s="48" t="s">
        <v>195</v>
      </c>
      <c r="X1010" s="38" t="s">
        <v>426</v>
      </c>
      <c r="Y1010" s="49" t="s">
        <v>427</v>
      </c>
      <c r="Z1010" s="50" t="s">
        <v>3133</v>
      </c>
      <c r="AA1010" s="38"/>
      <c r="AB1010" s="38"/>
      <c r="AC1010" s="38"/>
      <c r="AD1010" s="51">
        <v>67</v>
      </c>
      <c r="AE1010" s="51">
        <v>67</v>
      </c>
      <c r="AF1010" s="48" t="s">
        <v>203</v>
      </c>
      <c r="AG1010" s="38" t="s">
        <v>204</v>
      </c>
      <c r="AH1010" s="52"/>
      <c r="AI1010" s="38"/>
      <c r="AJ1010" s="38"/>
    </row>
    <row r="1011" spans="1:36" ht="16.2">
      <c r="A1011" s="53" t="s">
        <v>1908</v>
      </c>
      <c r="B1011" s="53">
        <v>508239</v>
      </c>
      <c r="C1011" s="53" t="s">
        <v>3120</v>
      </c>
      <c r="D1011" s="53">
        <v>13207662</v>
      </c>
      <c r="E1011" s="54" t="s">
        <v>3121</v>
      </c>
      <c r="F1011" s="53" t="s">
        <v>485</v>
      </c>
      <c r="G1011" s="53" t="s">
        <v>195</v>
      </c>
      <c r="H1011" s="53"/>
      <c r="I1011" s="53"/>
      <c r="J1011" s="53">
        <v>13207662</v>
      </c>
      <c r="K1011" s="53"/>
      <c r="L1011" s="55">
        <v>45293</v>
      </c>
      <c r="M1011" s="55">
        <v>45293</v>
      </c>
      <c r="N1011" s="53" t="s">
        <v>1894</v>
      </c>
      <c r="O1011" s="53">
        <v>0</v>
      </c>
      <c r="P1011" s="53">
        <v>20078418</v>
      </c>
      <c r="Q1011" s="53" t="s">
        <v>3134</v>
      </c>
      <c r="R1011" s="45">
        <v>410</v>
      </c>
      <c r="S1011" s="56">
        <v>0.01</v>
      </c>
      <c r="T1011" s="47" t="s">
        <v>198</v>
      </c>
      <c r="U1011" s="48" t="s">
        <v>199</v>
      </c>
      <c r="V1011" s="38"/>
      <c r="W1011" s="48" t="s">
        <v>195</v>
      </c>
      <c r="X1011" s="38" t="s">
        <v>426</v>
      </c>
      <c r="Y1011" s="49" t="s">
        <v>427</v>
      </c>
      <c r="Z1011" s="50" t="s">
        <v>3135</v>
      </c>
      <c r="AA1011" s="38"/>
      <c r="AB1011" s="38"/>
      <c r="AC1011" s="38"/>
      <c r="AD1011" s="51">
        <v>67</v>
      </c>
      <c r="AE1011" s="51">
        <v>67</v>
      </c>
      <c r="AF1011" s="48" t="s">
        <v>203</v>
      </c>
      <c r="AG1011" s="38" t="s">
        <v>204</v>
      </c>
      <c r="AH1011" s="52"/>
      <c r="AI1011" s="38"/>
      <c r="AJ1011" s="38"/>
    </row>
    <row r="1012" spans="1:36" ht="16.2">
      <c r="A1012" s="42" t="s">
        <v>191</v>
      </c>
      <c r="B1012" s="42">
        <v>900230</v>
      </c>
      <c r="C1012" s="42" t="s">
        <v>3136</v>
      </c>
      <c r="D1012" s="42">
        <v>13207722</v>
      </c>
      <c r="E1012" s="43" t="s">
        <v>3137</v>
      </c>
      <c r="F1012" s="42" t="s">
        <v>728</v>
      </c>
      <c r="G1012" s="42" t="s">
        <v>195</v>
      </c>
      <c r="H1012" s="42"/>
      <c r="I1012" s="42"/>
      <c r="J1012" s="42">
        <v>13207722</v>
      </c>
      <c r="K1012" s="42"/>
      <c r="L1012" s="44">
        <v>45293</v>
      </c>
      <c r="M1012" s="44">
        <v>45293</v>
      </c>
      <c r="N1012" s="42" t="s">
        <v>1355</v>
      </c>
      <c r="O1012" s="42">
        <v>0</v>
      </c>
      <c r="P1012" s="42">
        <v>20009879</v>
      </c>
      <c r="Q1012" s="42" t="s">
        <v>3138</v>
      </c>
      <c r="R1012" s="45">
        <v>410</v>
      </c>
      <c r="S1012" s="46">
        <v>0.01</v>
      </c>
      <c r="T1012" s="47" t="s">
        <v>198</v>
      </c>
      <c r="U1012" s="48" t="s">
        <v>199</v>
      </c>
      <c r="V1012" s="38"/>
      <c r="W1012" s="48" t="s">
        <v>195</v>
      </c>
      <c r="X1012" s="38" t="s">
        <v>200</v>
      </c>
      <c r="Y1012" s="49" t="s">
        <v>201</v>
      </c>
      <c r="Z1012" s="50" t="s">
        <v>3139</v>
      </c>
      <c r="AA1012" s="38"/>
      <c r="AB1012" s="38"/>
      <c r="AC1012" s="38"/>
      <c r="AD1012" s="51">
        <v>25</v>
      </c>
      <c r="AE1012" s="51">
        <v>25</v>
      </c>
      <c r="AF1012" s="48" t="s">
        <v>203</v>
      </c>
      <c r="AG1012" s="38" t="s">
        <v>204</v>
      </c>
      <c r="AH1012" s="52"/>
      <c r="AI1012" s="38"/>
      <c r="AJ1012" s="38"/>
    </row>
    <row r="1013" spans="1:36" ht="16.2">
      <c r="A1013" s="53" t="s">
        <v>191</v>
      </c>
      <c r="B1013" s="53">
        <v>900230</v>
      </c>
      <c r="C1013" s="53" t="s">
        <v>3136</v>
      </c>
      <c r="D1013" s="53">
        <v>13207722</v>
      </c>
      <c r="E1013" s="54" t="s">
        <v>3137</v>
      </c>
      <c r="F1013" s="53" t="s">
        <v>736</v>
      </c>
      <c r="G1013" s="53" t="s">
        <v>195</v>
      </c>
      <c r="H1013" s="53"/>
      <c r="I1013" s="53"/>
      <c r="J1013" s="53">
        <v>13207722</v>
      </c>
      <c r="K1013" s="53"/>
      <c r="L1013" s="55">
        <v>45293</v>
      </c>
      <c r="M1013" s="55">
        <v>45293</v>
      </c>
      <c r="N1013" s="53" t="s">
        <v>1355</v>
      </c>
      <c r="O1013" s="53">
        <v>0</v>
      </c>
      <c r="P1013" s="53">
        <v>20009879</v>
      </c>
      <c r="Q1013" s="53" t="s">
        <v>3140</v>
      </c>
      <c r="R1013" s="45">
        <v>410</v>
      </c>
      <c r="S1013" s="56">
        <v>0.01</v>
      </c>
      <c r="T1013" s="47" t="s">
        <v>198</v>
      </c>
      <c r="U1013" s="48" t="s">
        <v>199</v>
      </c>
      <c r="V1013" s="38"/>
      <c r="W1013" s="48" t="s">
        <v>195</v>
      </c>
      <c r="X1013" s="38" t="s">
        <v>200</v>
      </c>
      <c r="Y1013" s="49" t="s">
        <v>201</v>
      </c>
      <c r="Z1013" s="50" t="s">
        <v>3141</v>
      </c>
      <c r="AA1013" s="38"/>
      <c r="AB1013" s="38"/>
      <c r="AC1013" s="38"/>
      <c r="AD1013" s="51">
        <v>25</v>
      </c>
      <c r="AE1013" s="51">
        <v>25</v>
      </c>
      <c r="AF1013" s="48" t="s">
        <v>203</v>
      </c>
      <c r="AG1013" s="38" t="s">
        <v>204</v>
      </c>
      <c r="AH1013" s="52"/>
      <c r="AI1013" s="38"/>
      <c r="AJ1013" s="38"/>
    </row>
    <row r="1014" spans="1:36" ht="16.2">
      <c r="A1014" s="42" t="s">
        <v>191</v>
      </c>
      <c r="B1014" s="42">
        <v>900230</v>
      </c>
      <c r="C1014" s="42" t="s">
        <v>3136</v>
      </c>
      <c r="D1014" s="42">
        <v>13207722</v>
      </c>
      <c r="E1014" s="43" t="s">
        <v>3137</v>
      </c>
      <c r="F1014" s="42" t="s">
        <v>739</v>
      </c>
      <c r="G1014" s="42" t="s">
        <v>195</v>
      </c>
      <c r="H1014" s="42"/>
      <c r="I1014" s="42"/>
      <c r="J1014" s="42">
        <v>13207722</v>
      </c>
      <c r="K1014" s="42"/>
      <c r="L1014" s="44">
        <v>45293</v>
      </c>
      <c r="M1014" s="44">
        <v>45293</v>
      </c>
      <c r="N1014" s="42" t="s">
        <v>1355</v>
      </c>
      <c r="O1014" s="42">
        <v>0</v>
      </c>
      <c r="P1014" s="42">
        <v>20009879</v>
      </c>
      <c r="Q1014" s="42" t="s">
        <v>3142</v>
      </c>
      <c r="R1014" s="45">
        <v>410</v>
      </c>
      <c r="S1014" s="46">
        <v>0.01</v>
      </c>
      <c r="T1014" s="47" t="s">
        <v>198</v>
      </c>
      <c r="U1014" s="48" t="s">
        <v>199</v>
      </c>
      <c r="V1014" s="38"/>
      <c r="W1014" s="48" t="s">
        <v>195</v>
      </c>
      <c r="X1014" s="38" t="s">
        <v>200</v>
      </c>
      <c r="Y1014" s="49" t="s">
        <v>201</v>
      </c>
      <c r="Z1014" s="50" t="s">
        <v>3143</v>
      </c>
      <c r="AA1014" s="38"/>
      <c r="AB1014" s="38"/>
      <c r="AC1014" s="38"/>
      <c r="AD1014" s="51">
        <v>25</v>
      </c>
      <c r="AE1014" s="51">
        <v>25</v>
      </c>
      <c r="AF1014" s="48" t="s">
        <v>203</v>
      </c>
      <c r="AG1014" s="38" t="s">
        <v>204</v>
      </c>
      <c r="AH1014" s="52"/>
      <c r="AI1014" s="38"/>
      <c r="AJ1014" s="38"/>
    </row>
    <row r="1015" spans="1:36" ht="16.2">
      <c r="A1015" s="53" t="s">
        <v>191</v>
      </c>
      <c r="B1015" s="53">
        <v>900230</v>
      </c>
      <c r="C1015" s="53" t="s">
        <v>3136</v>
      </c>
      <c r="D1015" s="53">
        <v>13207722</v>
      </c>
      <c r="E1015" s="54" t="s">
        <v>3137</v>
      </c>
      <c r="F1015" s="53" t="s">
        <v>742</v>
      </c>
      <c r="G1015" s="53" t="s">
        <v>195</v>
      </c>
      <c r="H1015" s="53"/>
      <c r="I1015" s="53"/>
      <c r="J1015" s="53">
        <v>13207722</v>
      </c>
      <c r="K1015" s="53"/>
      <c r="L1015" s="55">
        <v>45293</v>
      </c>
      <c r="M1015" s="55">
        <v>45293</v>
      </c>
      <c r="N1015" s="53" t="s">
        <v>1355</v>
      </c>
      <c r="O1015" s="53">
        <v>0</v>
      </c>
      <c r="P1015" s="53">
        <v>20009879</v>
      </c>
      <c r="Q1015" s="53" t="s">
        <v>3144</v>
      </c>
      <c r="R1015" s="45">
        <v>410</v>
      </c>
      <c r="S1015" s="56">
        <v>0.01</v>
      </c>
      <c r="T1015" s="47" t="s">
        <v>198</v>
      </c>
      <c r="U1015" s="48" t="s">
        <v>199</v>
      </c>
      <c r="V1015" s="38"/>
      <c r="W1015" s="48" t="s">
        <v>195</v>
      </c>
      <c r="X1015" s="38" t="s">
        <v>200</v>
      </c>
      <c r="Y1015" s="49" t="s">
        <v>201</v>
      </c>
      <c r="Z1015" s="50" t="s">
        <v>3145</v>
      </c>
      <c r="AA1015" s="38"/>
      <c r="AB1015" s="38"/>
      <c r="AC1015" s="38"/>
      <c r="AD1015" s="51">
        <v>25</v>
      </c>
      <c r="AE1015" s="51">
        <v>25</v>
      </c>
      <c r="AF1015" s="48" t="s">
        <v>203</v>
      </c>
      <c r="AG1015" s="38" t="s">
        <v>204</v>
      </c>
      <c r="AH1015" s="52"/>
      <c r="AI1015" s="38"/>
      <c r="AJ1015" s="38"/>
    </row>
    <row r="1016" spans="1:36" ht="16.2">
      <c r="A1016" s="42" t="s">
        <v>191</v>
      </c>
      <c r="B1016" s="42">
        <v>900230</v>
      </c>
      <c r="C1016" s="42" t="s">
        <v>3136</v>
      </c>
      <c r="D1016" s="42">
        <v>13207722</v>
      </c>
      <c r="E1016" s="43" t="s">
        <v>3137</v>
      </c>
      <c r="F1016" s="42" t="s">
        <v>745</v>
      </c>
      <c r="G1016" s="42" t="s">
        <v>195</v>
      </c>
      <c r="H1016" s="42"/>
      <c r="I1016" s="42"/>
      <c r="J1016" s="42">
        <v>13207722</v>
      </c>
      <c r="K1016" s="42"/>
      <c r="L1016" s="44">
        <v>45293</v>
      </c>
      <c r="M1016" s="44">
        <v>45293</v>
      </c>
      <c r="N1016" s="42" t="s">
        <v>1355</v>
      </c>
      <c r="O1016" s="42">
        <v>0</v>
      </c>
      <c r="P1016" s="42">
        <v>20009879</v>
      </c>
      <c r="Q1016" s="42" t="s">
        <v>3146</v>
      </c>
      <c r="R1016" s="45">
        <v>410</v>
      </c>
      <c r="S1016" s="46">
        <v>0.01</v>
      </c>
      <c r="T1016" s="47" t="s">
        <v>198</v>
      </c>
      <c r="U1016" s="48" t="s">
        <v>199</v>
      </c>
      <c r="V1016" s="38"/>
      <c r="W1016" s="48" t="s">
        <v>195</v>
      </c>
      <c r="X1016" s="38" t="s">
        <v>200</v>
      </c>
      <c r="Y1016" s="49" t="s">
        <v>201</v>
      </c>
      <c r="Z1016" s="50" t="s">
        <v>3147</v>
      </c>
      <c r="AA1016" s="38"/>
      <c r="AB1016" s="38"/>
      <c r="AC1016" s="38"/>
      <c r="AD1016" s="51">
        <v>25</v>
      </c>
      <c r="AE1016" s="51">
        <v>25</v>
      </c>
      <c r="AF1016" s="48" t="s">
        <v>203</v>
      </c>
      <c r="AG1016" s="38" t="s">
        <v>204</v>
      </c>
      <c r="AH1016" s="52"/>
      <c r="AI1016" s="38"/>
      <c r="AJ1016" s="38"/>
    </row>
    <row r="1017" spans="1:36" ht="16.2">
      <c r="A1017" s="53" t="s">
        <v>191</v>
      </c>
      <c r="B1017" s="53">
        <v>900230</v>
      </c>
      <c r="C1017" s="53" t="s">
        <v>3136</v>
      </c>
      <c r="D1017" s="53">
        <v>13207722</v>
      </c>
      <c r="E1017" s="54" t="s">
        <v>3137</v>
      </c>
      <c r="F1017" s="53" t="s">
        <v>211</v>
      </c>
      <c r="G1017" s="53" t="s">
        <v>195</v>
      </c>
      <c r="H1017" s="53"/>
      <c r="I1017" s="53"/>
      <c r="J1017" s="53">
        <v>13207722</v>
      </c>
      <c r="K1017" s="53"/>
      <c r="L1017" s="55">
        <v>45293</v>
      </c>
      <c r="M1017" s="55">
        <v>45293</v>
      </c>
      <c r="N1017" s="53" t="s">
        <v>1355</v>
      </c>
      <c r="O1017" s="53">
        <v>0</v>
      </c>
      <c r="P1017" s="53">
        <v>20009879</v>
      </c>
      <c r="Q1017" s="53" t="s">
        <v>3148</v>
      </c>
      <c r="R1017" s="45">
        <v>410</v>
      </c>
      <c r="S1017" s="56">
        <v>0.01</v>
      </c>
      <c r="T1017" s="47" t="s">
        <v>198</v>
      </c>
      <c r="U1017" s="48" t="s">
        <v>199</v>
      </c>
      <c r="V1017" s="38"/>
      <c r="W1017" s="48" t="s">
        <v>195</v>
      </c>
      <c r="X1017" s="38" t="s">
        <v>200</v>
      </c>
      <c r="Y1017" s="49" t="s">
        <v>201</v>
      </c>
      <c r="Z1017" s="50" t="s">
        <v>3149</v>
      </c>
      <c r="AA1017" s="38"/>
      <c r="AB1017" s="38"/>
      <c r="AC1017" s="38"/>
      <c r="AD1017" s="51">
        <v>25</v>
      </c>
      <c r="AE1017" s="51">
        <v>25</v>
      </c>
      <c r="AF1017" s="48" t="s">
        <v>203</v>
      </c>
      <c r="AG1017" s="38" t="s">
        <v>204</v>
      </c>
      <c r="AH1017" s="52"/>
      <c r="AI1017" s="38"/>
      <c r="AJ1017" s="38"/>
    </row>
    <row r="1018" spans="1:36" ht="16.2">
      <c r="A1018" s="42" t="s">
        <v>191</v>
      </c>
      <c r="B1018" s="42">
        <v>900230</v>
      </c>
      <c r="C1018" s="42" t="s">
        <v>3136</v>
      </c>
      <c r="D1018" s="42">
        <v>13207722</v>
      </c>
      <c r="E1018" s="43" t="s">
        <v>3137</v>
      </c>
      <c r="F1018" s="42" t="s">
        <v>750</v>
      </c>
      <c r="G1018" s="42" t="s">
        <v>195</v>
      </c>
      <c r="H1018" s="42"/>
      <c r="I1018" s="42"/>
      <c r="J1018" s="42">
        <v>13207722</v>
      </c>
      <c r="K1018" s="42"/>
      <c r="L1018" s="44">
        <v>45293</v>
      </c>
      <c r="M1018" s="44">
        <v>45293</v>
      </c>
      <c r="N1018" s="42" t="s">
        <v>1355</v>
      </c>
      <c r="O1018" s="42">
        <v>0</v>
      </c>
      <c r="P1018" s="42">
        <v>20009879</v>
      </c>
      <c r="Q1018" s="42" t="s">
        <v>3150</v>
      </c>
      <c r="R1018" s="45">
        <v>410</v>
      </c>
      <c r="S1018" s="46">
        <v>0.01</v>
      </c>
      <c r="T1018" s="47" t="s">
        <v>198</v>
      </c>
      <c r="U1018" s="48" t="s">
        <v>199</v>
      </c>
      <c r="V1018" s="38"/>
      <c r="W1018" s="48" t="s">
        <v>195</v>
      </c>
      <c r="X1018" s="38" t="s">
        <v>200</v>
      </c>
      <c r="Y1018" s="49" t="s">
        <v>201</v>
      </c>
      <c r="Z1018" s="50" t="s">
        <v>3151</v>
      </c>
      <c r="AA1018" s="38"/>
      <c r="AB1018" s="38"/>
      <c r="AC1018" s="38"/>
      <c r="AD1018" s="51">
        <v>25</v>
      </c>
      <c r="AE1018" s="51">
        <v>25</v>
      </c>
      <c r="AF1018" s="48" t="s">
        <v>203</v>
      </c>
      <c r="AG1018" s="38" t="s">
        <v>204</v>
      </c>
      <c r="AH1018" s="52"/>
      <c r="AI1018" s="38"/>
      <c r="AJ1018" s="38"/>
    </row>
    <row r="1019" spans="1:36" ht="16.2">
      <c r="A1019" s="53" t="s">
        <v>191</v>
      </c>
      <c r="B1019" s="53">
        <v>900230</v>
      </c>
      <c r="C1019" s="53" t="s">
        <v>3136</v>
      </c>
      <c r="D1019" s="53">
        <v>13207722</v>
      </c>
      <c r="E1019" s="54" t="s">
        <v>3137</v>
      </c>
      <c r="F1019" s="53" t="s">
        <v>753</v>
      </c>
      <c r="G1019" s="53" t="s">
        <v>195</v>
      </c>
      <c r="H1019" s="53"/>
      <c r="I1019" s="53"/>
      <c r="J1019" s="53">
        <v>13207722</v>
      </c>
      <c r="K1019" s="53"/>
      <c r="L1019" s="55">
        <v>45293</v>
      </c>
      <c r="M1019" s="55">
        <v>45293</v>
      </c>
      <c r="N1019" s="53" t="s">
        <v>1355</v>
      </c>
      <c r="O1019" s="53">
        <v>0</v>
      </c>
      <c r="P1019" s="53">
        <v>20009879</v>
      </c>
      <c r="Q1019" s="53" t="s">
        <v>3152</v>
      </c>
      <c r="R1019" s="45">
        <v>410</v>
      </c>
      <c r="S1019" s="56">
        <v>0.01</v>
      </c>
      <c r="T1019" s="47" t="s">
        <v>198</v>
      </c>
      <c r="U1019" s="48" t="s">
        <v>199</v>
      </c>
      <c r="V1019" s="38"/>
      <c r="W1019" s="48" t="s">
        <v>195</v>
      </c>
      <c r="X1019" s="38" t="s">
        <v>200</v>
      </c>
      <c r="Y1019" s="49" t="s">
        <v>201</v>
      </c>
      <c r="Z1019" s="50" t="s">
        <v>3153</v>
      </c>
      <c r="AA1019" s="38"/>
      <c r="AB1019" s="38"/>
      <c r="AC1019" s="38"/>
      <c r="AD1019" s="51">
        <v>25</v>
      </c>
      <c r="AE1019" s="51">
        <v>25</v>
      </c>
      <c r="AF1019" s="48" t="s">
        <v>203</v>
      </c>
      <c r="AG1019" s="38" t="s">
        <v>204</v>
      </c>
      <c r="AH1019" s="52"/>
      <c r="AI1019" s="38"/>
      <c r="AJ1019" s="38"/>
    </row>
    <row r="1020" spans="1:36" ht="16.2">
      <c r="A1020" s="42" t="s">
        <v>191</v>
      </c>
      <c r="B1020" s="42">
        <v>900230</v>
      </c>
      <c r="C1020" s="42" t="s">
        <v>3136</v>
      </c>
      <c r="D1020" s="42">
        <v>13207722</v>
      </c>
      <c r="E1020" s="43" t="s">
        <v>3137</v>
      </c>
      <c r="F1020" s="42" t="s">
        <v>756</v>
      </c>
      <c r="G1020" s="42" t="s">
        <v>195</v>
      </c>
      <c r="H1020" s="42"/>
      <c r="I1020" s="42"/>
      <c r="J1020" s="42">
        <v>13207722</v>
      </c>
      <c r="K1020" s="42"/>
      <c r="L1020" s="44">
        <v>45293</v>
      </c>
      <c r="M1020" s="44">
        <v>45293</v>
      </c>
      <c r="N1020" s="42" t="s">
        <v>1355</v>
      </c>
      <c r="O1020" s="42">
        <v>0</v>
      </c>
      <c r="P1020" s="42">
        <v>20009879</v>
      </c>
      <c r="Q1020" s="42" t="s">
        <v>3154</v>
      </c>
      <c r="R1020" s="45">
        <v>410</v>
      </c>
      <c r="S1020" s="46">
        <v>0.01</v>
      </c>
      <c r="T1020" s="47" t="s">
        <v>198</v>
      </c>
      <c r="U1020" s="48" t="s">
        <v>199</v>
      </c>
      <c r="V1020" s="38"/>
      <c r="W1020" s="48" t="s">
        <v>195</v>
      </c>
      <c r="X1020" s="38" t="s">
        <v>200</v>
      </c>
      <c r="Y1020" s="49" t="s">
        <v>201</v>
      </c>
      <c r="Z1020" s="50" t="s">
        <v>3155</v>
      </c>
      <c r="AA1020" s="38"/>
      <c r="AB1020" s="38"/>
      <c r="AC1020" s="38"/>
      <c r="AD1020" s="51">
        <v>25</v>
      </c>
      <c r="AE1020" s="51">
        <v>25</v>
      </c>
      <c r="AF1020" s="48" t="s">
        <v>203</v>
      </c>
      <c r="AG1020" s="38" t="s">
        <v>204</v>
      </c>
      <c r="AH1020" s="52"/>
      <c r="AI1020" s="38"/>
      <c r="AJ1020" s="38"/>
    </row>
    <row r="1021" spans="1:36" ht="16.2">
      <c r="A1021" s="53" t="s">
        <v>836</v>
      </c>
      <c r="B1021" s="53">
        <v>900234</v>
      </c>
      <c r="C1021" s="53" t="s">
        <v>3136</v>
      </c>
      <c r="D1021" s="53">
        <v>13207522</v>
      </c>
      <c r="E1021" s="54" t="s">
        <v>3137</v>
      </c>
      <c r="F1021" s="53" t="s">
        <v>3156</v>
      </c>
      <c r="G1021" s="53" t="s">
        <v>195</v>
      </c>
      <c r="H1021" s="53"/>
      <c r="I1021" s="53"/>
      <c r="J1021" s="53">
        <v>13207522</v>
      </c>
      <c r="K1021" s="53"/>
      <c r="L1021" s="55">
        <v>45293</v>
      </c>
      <c r="M1021" s="55">
        <v>45293</v>
      </c>
      <c r="N1021" s="53" t="s">
        <v>1190</v>
      </c>
      <c r="O1021" s="53">
        <v>0</v>
      </c>
      <c r="P1021" s="53">
        <v>20031102</v>
      </c>
      <c r="Q1021" s="53" t="s">
        <v>3157</v>
      </c>
      <c r="R1021" s="45">
        <v>410</v>
      </c>
      <c r="S1021" s="56">
        <v>0.01</v>
      </c>
      <c r="T1021" s="47" t="s">
        <v>198</v>
      </c>
      <c r="U1021" s="48" t="s">
        <v>199</v>
      </c>
      <c r="V1021" s="38"/>
      <c r="W1021" s="48" t="s">
        <v>195</v>
      </c>
      <c r="X1021" s="38" t="s">
        <v>200</v>
      </c>
      <c r="Y1021" s="49" t="s">
        <v>201</v>
      </c>
      <c r="Z1021" s="50" t="s">
        <v>3158</v>
      </c>
      <c r="AA1021" s="38"/>
      <c r="AB1021" s="38"/>
      <c r="AC1021" s="38"/>
      <c r="AD1021" s="51">
        <v>62</v>
      </c>
      <c r="AE1021" s="51">
        <v>62</v>
      </c>
      <c r="AF1021" s="48" t="s">
        <v>203</v>
      </c>
      <c r="AG1021" s="38" t="s">
        <v>204</v>
      </c>
      <c r="AH1021" s="52"/>
      <c r="AI1021" s="38"/>
      <c r="AJ1021" s="38"/>
    </row>
    <row r="1022" spans="1:36" ht="16.2">
      <c r="A1022" s="42" t="s">
        <v>836</v>
      </c>
      <c r="B1022" s="42">
        <v>900234</v>
      </c>
      <c r="C1022" s="42" t="s">
        <v>3136</v>
      </c>
      <c r="D1022" s="42">
        <v>13207522</v>
      </c>
      <c r="E1022" s="43" t="s">
        <v>3137</v>
      </c>
      <c r="F1022" s="42" t="s">
        <v>3159</v>
      </c>
      <c r="G1022" s="42" t="s">
        <v>195</v>
      </c>
      <c r="H1022" s="42"/>
      <c r="I1022" s="42"/>
      <c r="J1022" s="42">
        <v>13207522</v>
      </c>
      <c r="K1022" s="42"/>
      <c r="L1022" s="44">
        <v>45293</v>
      </c>
      <c r="M1022" s="44">
        <v>45293</v>
      </c>
      <c r="N1022" s="42" t="s">
        <v>1190</v>
      </c>
      <c r="O1022" s="42">
        <v>0</v>
      </c>
      <c r="P1022" s="42">
        <v>20031102</v>
      </c>
      <c r="Q1022" s="42" t="s">
        <v>3160</v>
      </c>
      <c r="R1022" s="45">
        <v>410</v>
      </c>
      <c r="S1022" s="46">
        <v>0.01</v>
      </c>
      <c r="T1022" s="47" t="s">
        <v>198</v>
      </c>
      <c r="U1022" s="48" t="s">
        <v>199</v>
      </c>
      <c r="V1022" s="38"/>
      <c r="W1022" s="48" t="s">
        <v>195</v>
      </c>
      <c r="X1022" s="38" t="s">
        <v>200</v>
      </c>
      <c r="Y1022" s="49" t="s">
        <v>201</v>
      </c>
      <c r="Z1022" s="50" t="s">
        <v>3161</v>
      </c>
      <c r="AA1022" s="38"/>
      <c r="AB1022" s="38"/>
      <c r="AC1022" s="38"/>
      <c r="AD1022" s="51">
        <v>62</v>
      </c>
      <c r="AE1022" s="51">
        <v>62</v>
      </c>
      <c r="AF1022" s="48" t="s">
        <v>203</v>
      </c>
      <c r="AG1022" s="38" t="s">
        <v>204</v>
      </c>
      <c r="AH1022" s="52"/>
      <c r="AI1022" s="38"/>
      <c r="AJ1022" s="38"/>
    </row>
    <row r="1023" spans="1:36" ht="16.2">
      <c r="A1023" s="53" t="s">
        <v>836</v>
      </c>
      <c r="B1023" s="53">
        <v>900234</v>
      </c>
      <c r="C1023" s="53" t="s">
        <v>3136</v>
      </c>
      <c r="D1023" s="53">
        <v>13207522</v>
      </c>
      <c r="E1023" s="54" t="s">
        <v>3137</v>
      </c>
      <c r="F1023" s="53" t="s">
        <v>3162</v>
      </c>
      <c r="G1023" s="53" t="s">
        <v>195</v>
      </c>
      <c r="H1023" s="53"/>
      <c r="I1023" s="53"/>
      <c r="J1023" s="53">
        <v>13207522</v>
      </c>
      <c r="K1023" s="53"/>
      <c r="L1023" s="55">
        <v>45293</v>
      </c>
      <c r="M1023" s="55">
        <v>45293</v>
      </c>
      <c r="N1023" s="53" t="s">
        <v>1190</v>
      </c>
      <c r="O1023" s="53">
        <v>0</v>
      </c>
      <c r="P1023" s="53">
        <v>20031102</v>
      </c>
      <c r="Q1023" s="53" t="s">
        <v>3163</v>
      </c>
      <c r="R1023" s="45">
        <v>410</v>
      </c>
      <c r="S1023" s="56">
        <v>0.01</v>
      </c>
      <c r="T1023" s="47" t="s">
        <v>198</v>
      </c>
      <c r="U1023" s="48" t="s">
        <v>199</v>
      </c>
      <c r="V1023" s="38"/>
      <c r="W1023" s="48" t="s">
        <v>195</v>
      </c>
      <c r="X1023" s="38" t="s">
        <v>200</v>
      </c>
      <c r="Y1023" s="49" t="s">
        <v>201</v>
      </c>
      <c r="Z1023" s="50" t="s">
        <v>3164</v>
      </c>
      <c r="AA1023" s="38"/>
      <c r="AB1023" s="38"/>
      <c r="AC1023" s="38"/>
      <c r="AD1023" s="51">
        <v>62</v>
      </c>
      <c r="AE1023" s="51">
        <v>62</v>
      </c>
      <c r="AF1023" s="48" t="s">
        <v>203</v>
      </c>
      <c r="AG1023" s="38" t="s">
        <v>204</v>
      </c>
      <c r="AH1023" s="52"/>
      <c r="AI1023" s="38"/>
      <c r="AJ1023" s="38"/>
    </row>
    <row r="1024" spans="1:36" ht="16.2">
      <c r="A1024" s="42" t="s">
        <v>836</v>
      </c>
      <c r="B1024" s="42">
        <v>900234</v>
      </c>
      <c r="C1024" s="42" t="s">
        <v>3136</v>
      </c>
      <c r="D1024" s="42">
        <v>13207522</v>
      </c>
      <c r="E1024" s="43" t="s">
        <v>3137</v>
      </c>
      <c r="F1024" s="42" t="s">
        <v>3165</v>
      </c>
      <c r="G1024" s="42" t="s">
        <v>195</v>
      </c>
      <c r="H1024" s="42"/>
      <c r="I1024" s="42"/>
      <c r="J1024" s="42">
        <v>13207522</v>
      </c>
      <c r="K1024" s="42"/>
      <c r="L1024" s="44">
        <v>45293</v>
      </c>
      <c r="M1024" s="44">
        <v>45293</v>
      </c>
      <c r="N1024" s="42" t="s">
        <v>1190</v>
      </c>
      <c r="O1024" s="42">
        <v>0</v>
      </c>
      <c r="P1024" s="42">
        <v>20031102</v>
      </c>
      <c r="Q1024" s="42" t="s">
        <v>3166</v>
      </c>
      <c r="R1024" s="45">
        <v>410</v>
      </c>
      <c r="S1024" s="46">
        <v>0.01</v>
      </c>
      <c r="T1024" s="47" t="s">
        <v>198</v>
      </c>
      <c r="U1024" s="48" t="s">
        <v>199</v>
      </c>
      <c r="V1024" s="38"/>
      <c r="W1024" s="48" t="s">
        <v>195</v>
      </c>
      <c r="X1024" s="38" t="s">
        <v>200</v>
      </c>
      <c r="Y1024" s="49" t="s">
        <v>201</v>
      </c>
      <c r="Z1024" s="50" t="s">
        <v>3167</v>
      </c>
      <c r="AA1024" s="38"/>
      <c r="AB1024" s="38"/>
      <c r="AC1024" s="38"/>
      <c r="AD1024" s="51">
        <v>62</v>
      </c>
      <c r="AE1024" s="51">
        <v>62</v>
      </c>
      <c r="AF1024" s="48" t="s">
        <v>203</v>
      </c>
      <c r="AG1024" s="38" t="s">
        <v>204</v>
      </c>
      <c r="AH1024" s="52"/>
      <c r="AI1024" s="38"/>
      <c r="AJ1024" s="38"/>
    </row>
    <row r="1025" spans="1:36" ht="16.2">
      <c r="A1025" s="53" t="s">
        <v>836</v>
      </c>
      <c r="B1025" s="53">
        <v>900234</v>
      </c>
      <c r="C1025" s="53" t="s">
        <v>3136</v>
      </c>
      <c r="D1025" s="53">
        <v>13207522</v>
      </c>
      <c r="E1025" s="54" t="s">
        <v>3137</v>
      </c>
      <c r="F1025" s="53" t="s">
        <v>1216</v>
      </c>
      <c r="G1025" s="53" t="s">
        <v>195</v>
      </c>
      <c r="H1025" s="53"/>
      <c r="I1025" s="53"/>
      <c r="J1025" s="53">
        <v>13207522</v>
      </c>
      <c r="K1025" s="53"/>
      <c r="L1025" s="55">
        <v>45293</v>
      </c>
      <c r="M1025" s="55">
        <v>45293</v>
      </c>
      <c r="N1025" s="53" t="s">
        <v>1190</v>
      </c>
      <c r="O1025" s="53">
        <v>0</v>
      </c>
      <c r="P1025" s="53">
        <v>20031102</v>
      </c>
      <c r="Q1025" s="53" t="s">
        <v>3168</v>
      </c>
      <c r="R1025" s="45">
        <v>410</v>
      </c>
      <c r="S1025" s="56">
        <v>0.01</v>
      </c>
      <c r="T1025" s="47" t="s">
        <v>198</v>
      </c>
      <c r="U1025" s="48" t="s">
        <v>199</v>
      </c>
      <c r="V1025" s="38"/>
      <c r="W1025" s="48" t="s">
        <v>195</v>
      </c>
      <c r="X1025" s="38" t="s">
        <v>200</v>
      </c>
      <c r="Y1025" s="49" t="s">
        <v>201</v>
      </c>
      <c r="Z1025" s="50" t="s">
        <v>3169</v>
      </c>
      <c r="AA1025" s="38"/>
      <c r="AB1025" s="38"/>
      <c r="AC1025" s="38"/>
      <c r="AD1025" s="51">
        <v>62</v>
      </c>
      <c r="AE1025" s="51">
        <v>62</v>
      </c>
      <c r="AF1025" s="48" t="s">
        <v>203</v>
      </c>
      <c r="AG1025" s="38" t="s">
        <v>204</v>
      </c>
      <c r="AH1025" s="52"/>
      <c r="AI1025" s="38"/>
      <c r="AJ1025" s="38"/>
    </row>
    <row r="1026" spans="1:36" ht="16.2">
      <c r="A1026" s="42" t="s">
        <v>836</v>
      </c>
      <c r="B1026" s="42">
        <v>900234</v>
      </c>
      <c r="C1026" s="42" t="s">
        <v>3136</v>
      </c>
      <c r="D1026" s="42">
        <v>13207522</v>
      </c>
      <c r="E1026" s="43" t="s">
        <v>3137</v>
      </c>
      <c r="F1026" s="42" t="s">
        <v>263</v>
      </c>
      <c r="G1026" s="42" t="s">
        <v>195</v>
      </c>
      <c r="H1026" s="42"/>
      <c r="I1026" s="42"/>
      <c r="J1026" s="42">
        <v>13207522</v>
      </c>
      <c r="K1026" s="42"/>
      <c r="L1026" s="44">
        <v>45293</v>
      </c>
      <c r="M1026" s="44">
        <v>45293</v>
      </c>
      <c r="N1026" s="42" t="s">
        <v>1190</v>
      </c>
      <c r="O1026" s="42">
        <v>0</v>
      </c>
      <c r="P1026" s="42">
        <v>20031102</v>
      </c>
      <c r="Q1026" s="42" t="s">
        <v>3170</v>
      </c>
      <c r="R1026" s="45">
        <v>410</v>
      </c>
      <c r="S1026" s="46">
        <v>0.01</v>
      </c>
      <c r="T1026" s="47" t="s">
        <v>198</v>
      </c>
      <c r="U1026" s="48" t="s">
        <v>199</v>
      </c>
      <c r="V1026" s="38"/>
      <c r="W1026" s="48" t="s">
        <v>195</v>
      </c>
      <c r="X1026" s="38" t="s">
        <v>200</v>
      </c>
      <c r="Y1026" s="49" t="s">
        <v>201</v>
      </c>
      <c r="Z1026" s="50" t="s">
        <v>3171</v>
      </c>
      <c r="AA1026" s="38"/>
      <c r="AB1026" s="38"/>
      <c r="AC1026" s="38"/>
      <c r="AD1026" s="51">
        <v>62</v>
      </c>
      <c r="AE1026" s="51">
        <v>62</v>
      </c>
      <c r="AF1026" s="48" t="s">
        <v>203</v>
      </c>
      <c r="AG1026" s="38" t="s">
        <v>204</v>
      </c>
      <c r="AH1026" s="52"/>
      <c r="AI1026" s="38"/>
      <c r="AJ1026" s="38"/>
    </row>
    <row r="1027" spans="1:36" ht="16.2">
      <c r="A1027" s="53" t="s">
        <v>836</v>
      </c>
      <c r="B1027" s="53">
        <v>900234</v>
      </c>
      <c r="C1027" s="53" t="s">
        <v>3136</v>
      </c>
      <c r="D1027" s="53">
        <v>13207522</v>
      </c>
      <c r="E1027" s="54" t="s">
        <v>3137</v>
      </c>
      <c r="F1027" s="53" t="s">
        <v>1270</v>
      </c>
      <c r="G1027" s="53" t="s">
        <v>195</v>
      </c>
      <c r="H1027" s="53"/>
      <c r="I1027" s="53"/>
      <c r="J1027" s="53">
        <v>13207522</v>
      </c>
      <c r="K1027" s="53"/>
      <c r="L1027" s="55">
        <v>45293</v>
      </c>
      <c r="M1027" s="55">
        <v>45293</v>
      </c>
      <c r="N1027" s="53" t="s">
        <v>1190</v>
      </c>
      <c r="O1027" s="53">
        <v>0</v>
      </c>
      <c r="P1027" s="53">
        <v>20031102</v>
      </c>
      <c r="Q1027" s="53" t="s">
        <v>3172</v>
      </c>
      <c r="R1027" s="45">
        <v>410</v>
      </c>
      <c r="S1027" s="56">
        <v>0.01</v>
      </c>
      <c r="T1027" s="47" t="s">
        <v>198</v>
      </c>
      <c r="U1027" s="48" t="s">
        <v>199</v>
      </c>
      <c r="V1027" s="38"/>
      <c r="W1027" s="48" t="s">
        <v>195</v>
      </c>
      <c r="X1027" s="38" t="s">
        <v>200</v>
      </c>
      <c r="Y1027" s="49" t="s">
        <v>201</v>
      </c>
      <c r="Z1027" s="50" t="s">
        <v>3173</v>
      </c>
      <c r="AA1027" s="38"/>
      <c r="AB1027" s="38"/>
      <c r="AC1027" s="38"/>
      <c r="AD1027" s="51">
        <v>62</v>
      </c>
      <c r="AE1027" s="51">
        <v>62</v>
      </c>
      <c r="AF1027" s="48" t="s">
        <v>203</v>
      </c>
      <c r="AG1027" s="38" t="s">
        <v>204</v>
      </c>
      <c r="AH1027" s="52"/>
      <c r="AI1027" s="38"/>
      <c r="AJ1027" s="38"/>
    </row>
    <row r="1028" spans="1:36" ht="16.2">
      <c r="A1028" s="42" t="s">
        <v>836</v>
      </c>
      <c r="B1028" s="42">
        <v>900234</v>
      </c>
      <c r="C1028" s="42" t="s">
        <v>3136</v>
      </c>
      <c r="D1028" s="42">
        <v>13207522</v>
      </c>
      <c r="E1028" s="43" t="s">
        <v>3137</v>
      </c>
      <c r="F1028" s="42" t="s">
        <v>3174</v>
      </c>
      <c r="G1028" s="42" t="s">
        <v>195</v>
      </c>
      <c r="H1028" s="42"/>
      <c r="I1028" s="42"/>
      <c r="J1028" s="42">
        <v>13207522</v>
      </c>
      <c r="K1028" s="42"/>
      <c r="L1028" s="44">
        <v>45293</v>
      </c>
      <c r="M1028" s="44">
        <v>45293</v>
      </c>
      <c r="N1028" s="42" t="s">
        <v>1190</v>
      </c>
      <c r="O1028" s="42">
        <v>0</v>
      </c>
      <c r="P1028" s="42">
        <v>20031102</v>
      </c>
      <c r="Q1028" s="42" t="s">
        <v>3175</v>
      </c>
      <c r="R1028" s="45">
        <v>410</v>
      </c>
      <c r="S1028" s="46">
        <v>0.01</v>
      </c>
      <c r="T1028" s="47" t="s">
        <v>198</v>
      </c>
      <c r="U1028" s="48" t="s">
        <v>199</v>
      </c>
      <c r="V1028" s="38"/>
      <c r="W1028" s="48" t="s">
        <v>195</v>
      </c>
      <c r="X1028" s="38" t="s">
        <v>200</v>
      </c>
      <c r="Y1028" s="49" t="s">
        <v>201</v>
      </c>
      <c r="Z1028" s="50" t="s">
        <v>3176</v>
      </c>
      <c r="AA1028" s="38"/>
      <c r="AB1028" s="38"/>
      <c r="AC1028" s="38"/>
      <c r="AD1028" s="51">
        <v>62</v>
      </c>
      <c r="AE1028" s="51">
        <v>62</v>
      </c>
      <c r="AF1028" s="48" t="s">
        <v>203</v>
      </c>
      <c r="AG1028" s="38" t="s">
        <v>204</v>
      </c>
      <c r="AH1028" s="52"/>
      <c r="AI1028" s="38"/>
      <c r="AJ1028" s="38"/>
    </row>
    <row r="1029" spans="1:36" ht="16.2">
      <c r="A1029" s="53" t="s">
        <v>836</v>
      </c>
      <c r="B1029" s="53">
        <v>900234</v>
      </c>
      <c r="C1029" s="53" t="s">
        <v>3136</v>
      </c>
      <c r="D1029" s="53">
        <v>13207522</v>
      </c>
      <c r="E1029" s="54" t="s">
        <v>3137</v>
      </c>
      <c r="F1029" s="53" t="s">
        <v>293</v>
      </c>
      <c r="G1029" s="53" t="s">
        <v>195</v>
      </c>
      <c r="H1029" s="53"/>
      <c r="I1029" s="53"/>
      <c r="J1029" s="53">
        <v>13207522</v>
      </c>
      <c r="K1029" s="53"/>
      <c r="L1029" s="55">
        <v>45293</v>
      </c>
      <c r="M1029" s="55">
        <v>45293</v>
      </c>
      <c r="N1029" s="53" t="s">
        <v>1190</v>
      </c>
      <c r="O1029" s="53">
        <v>0</v>
      </c>
      <c r="P1029" s="53">
        <v>20031102</v>
      </c>
      <c r="Q1029" s="53" t="s">
        <v>3177</v>
      </c>
      <c r="R1029" s="45">
        <v>410</v>
      </c>
      <c r="S1029" s="56">
        <v>0.01</v>
      </c>
      <c r="T1029" s="47" t="s">
        <v>198</v>
      </c>
      <c r="U1029" s="48" t="s">
        <v>199</v>
      </c>
      <c r="V1029" s="38"/>
      <c r="W1029" s="48" t="s">
        <v>195</v>
      </c>
      <c r="X1029" s="38" t="s">
        <v>200</v>
      </c>
      <c r="Y1029" s="49" t="s">
        <v>201</v>
      </c>
      <c r="Z1029" s="50" t="s">
        <v>3178</v>
      </c>
      <c r="AA1029" s="38"/>
      <c r="AB1029" s="38"/>
      <c r="AC1029" s="38"/>
      <c r="AD1029" s="51">
        <v>62</v>
      </c>
      <c r="AE1029" s="51">
        <v>62</v>
      </c>
      <c r="AF1029" s="48" t="s">
        <v>203</v>
      </c>
      <c r="AG1029" s="38" t="s">
        <v>204</v>
      </c>
      <c r="AH1029" s="52"/>
      <c r="AI1029" s="38"/>
      <c r="AJ1029" s="38"/>
    </row>
    <row r="1030" spans="1:36" ht="16.2">
      <c r="A1030" s="42" t="s">
        <v>836</v>
      </c>
      <c r="B1030" s="42">
        <v>900234</v>
      </c>
      <c r="C1030" s="42" t="s">
        <v>3136</v>
      </c>
      <c r="D1030" s="42">
        <v>13207522</v>
      </c>
      <c r="E1030" s="43" t="s">
        <v>3137</v>
      </c>
      <c r="F1030" s="42" t="s">
        <v>3179</v>
      </c>
      <c r="G1030" s="42" t="s">
        <v>195</v>
      </c>
      <c r="H1030" s="42"/>
      <c r="I1030" s="42"/>
      <c r="J1030" s="42">
        <v>13207522</v>
      </c>
      <c r="K1030" s="42"/>
      <c r="L1030" s="44">
        <v>45293</v>
      </c>
      <c r="M1030" s="44">
        <v>45293</v>
      </c>
      <c r="N1030" s="42" t="s">
        <v>1190</v>
      </c>
      <c r="O1030" s="42">
        <v>0</v>
      </c>
      <c r="P1030" s="42">
        <v>20031102</v>
      </c>
      <c r="Q1030" s="42" t="s">
        <v>3180</v>
      </c>
      <c r="R1030" s="45">
        <v>410</v>
      </c>
      <c r="S1030" s="46">
        <v>0.01</v>
      </c>
      <c r="T1030" s="47" t="s">
        <v>198</v>
      </c>
      <c r="U1030" s="48" t="s">
        <v>199</v>
      </c>
      <c r="V1030" s="38"/>
      <c r="W1030" s="48" t="s">
        <v>195</v>
      </c>
      <c r="X1030" s="38" t="s">
        <v>200</v>
      </c>
      <c r="Y1030" s="49" t="s">
        <v>201</v>
      </c>
      <c r="Z1030" s="50" t="s">
        <v>3181</v>
      </c>
      <c r="AA1030" s="38"/>
      <c r="AB1030" s="38"/>
      <c r="AC1030" s="38"/>
      <c r="AD1030" s="51">
        <v>62</v>
      </c>
      <c r="AE1030" s="51">
        <v>62</v>
      </c>
      <c r="AF1030" s="48" t="s">
        <v>203</v>
      </c>
      <c r="AG1030" s="38" t="s">
        <v>204</v>
      </c>
      <c r="AH1030" s="52"/>
      <c r="AI1030" s="38"/>
      <c r="AJ1030" s="38"/>
    </row>
    <row r="1031" spans="1:36" ht="16.2">
      <c r="A1031" s="53" t="s">
        <v>836</v>
      </c>
      <c r="B1031" s="53">
        <v>900234</v>
      </c>
      <c r="C1031" s="53" t="s">
        <v>3136</v>
      </c>
      <c r="D1031" s="53">
        <v>13207522</v>
      </c>
      <c r="E1031" s="54" t="s">
        <v>3137</v>
      </c>
      <c r="F1031" s="53" t="s">
        <v>3182</v>
      </c>
      <c r="G1031" s="53" t="s">
        <v>195</v>
      </c>
      <c r="H1031" s="53"/>
      <c r="I1031" s="53"/>
      <c r="J1031" s="53">
        <v>13207522</v>
      </c>
      <c r="K1031" s="53"/>
      <c r="L1031" s="55">
        <v>45293</v>
      </c>
      <c r="M1031" s="55">
        <v>45293</v>
      </c>
      <c r="N1031" s="53" t="s">
        <v>1190</v>
      </c>
      <c r="O1031" s="53">
        <v>0</v>
      </c>
      <c r="P1031" s="53">
        <v>20031102</v>
      </c>
      <c r="Q1031" s="53" t="s">
        <v>3183</v>
      </c>
      <c r="R1031" s="45">
        <v>410</v>
      </c>
      <c r="S1031" s="56">
        <v>0.01</v>
      </c>
      <c r="T1031" s="47" t="s">
        <v>198</v>
      </c>
      <c r="U1031" s="48" t="s">
        <v>199</v>
      </c>
      <c r="V1031" s="38"/>
      <c r="W1031" s="48" t="s">
        <v>195</v>
      </c>
      <c r="X1031" s="38" t="s">
        <v>200</v>
      </c>
      <c r="Y1031" s="49" t="s">
        <v>201</v>
      </c>
      <c r="Z1031" s="50" t="s">
        <v>3184</v>
      </c>
      <c r="AA1031" s="38"/>
      <c r="AB1031" s="38"/>
      <c r="AC1031" s="38"/>
      <c r="AD1031" s="51">
        <v>62</v>
      </c>
      <c r="AE1031" s="51">
        <v>62</v>
      </c>
      <c r="AF1031" s="48" t="s">
        <v>203</v>
      </c>
      <c r="AG1031" s="38" t="s">
        <v>204</v>
      </c>
      <c r="AH1031" s="52"/>
      <c r="AI1031" s="38"/>
      <c r="AJ1031" s="38"/>
    </row>
    <row r="1032" spans="1:36" ht="16.2">
      <c r="A1032" s="42" t="s">
        <v>836</v>
      </c>
      <c r="B1032" s="42">
        <v>900234</v>
      </c>
      <c r="C1032" s="42" t="s">
        <v>3136</v>
      </c>
      <c r="D1032" s="42">
        <v>13207522</v>
      </c>
      <c r="E1032" s="43" t="s">
        <v>3137</v>
      </c>
      <c r="F1032" s="42" t="s">
        <v>3185</v>
      </c>
      <c r="G1032" s="42" t="s">
        <v>195</v>
      </c>
      <c r="H1032" s="42"/>
      <c r="I1032" s="42"/>
      <c r="J1032" s="42">
        <v>13207522</v>
      </c>
      <c r="K1032" s="42"/>
      <c r="L1032" s="44">
        <v>45293</v>
      </c>
      <c r="M1032" s="44">
        <v>45293</v>
      </c>
      <c r="N1032" s="42" t="s">
        <v>1190</v>
      </c>
      <c r="O1032" s="42">
        <v>0</v>
      </c>
      <c r="P1032" s="42">
        <v>20031102</v>
      </c>
      <c r="Q1032" s="42" t="s">
        <v>3186</v>
      </c>
      <c r="R1032" s="45">
        <v>410</v>
      </c>
      <c r="S1032" s="46">
        <v>0.01</v>
      </c>
      <c r="T1032" s="47" t="s">
        <v>198</v>
      </c>
      <c r="U1032" s="48" t="s">
        <v>199</v>
      </c>
      <c r="V1032" s="38"/>
      <c r="W1032" s="48" t="s">
        <v>195</v>
      </c>
      <c r="X1032" s="38" t="s">
        <v>200</v>
      </c>
      <c r="Y1032" s="49" t="s">
        <v>201</v>
      </c>
      <c r="Z1032" s="50" t="s">
        <v>3187</v>
      </c>
      <c r="AA1032" s="38"/>
      <c r="AB1032" s="38"/>
      <c r="AC1032" s="38"/>
      <c r="AD1032" s="51">
        <v>62</v>
      </c>
      <c r="AE1032" s="51">
        <v>62</v>
      </c>
      <c r="AF1032" s="48" t="s">
        <v>203</v>
      </c>
      <c r="AG1032" s="38" t="s">
        <v>204</v>
      </c>
      <c r="AH1032" s="52"/>
      <c r="AI1032" s="38"/>
      <c r="AJ1032" s="38"/>
    </row>
    <row r="1033" spans="1:36" ht="16.2">
      <c r="A1033" s="53" t="s">
        <v>836</v>
      </c>
      <c r="B1033" s="53">
        <v>900234</v>
      </c>
      <c r="C1033" s="53" t="s">
        <v>3136</v>
      </c>
      <c r="D1033" s="53">
        <v>13207522</v>
      </c>
      <c r="E1033" s="54" t="s">
        <v>3137</v>
      </c>
      <c r="F1033" s="53" t="s">
        <v>260</v>
      </c>
      <c r="G1033" s="53" t="s">
        <v>195</v>
      </c>
      <c r="H1033" s="53"/>
      <c r="I1033" s="53"/>
      <c r="J1033" s="53">
        <v>13207522</v>
      </c>
      <c r="K1033" s="53"/>
      <c r="L1033" s="55">
        <v>45293</v>
      </c>
      <c r="M1033" s="55">
        <v>45293</v>
      </c>
      <c r="N1033" s="53" t="s">
        <v>1190</v>
      </c>
      <c r="O1033" s="53">
        <v>0</v>
      </c>
      <c r="P1033" s="53">
        <v>20031102</v>
      </c>
      <c r="Q1033" s="53" t="s">
        <v>3188</v>
      </c>
      <c r="R1033" s="45">
        <v>410</v>
      </c>
      <c r="S1033" s="56">
        <v>0.01</v>
      </c>
      <c r="T1033" s="47" t="s">
        <v>198</v>
      </c>
      <c r="U1033" s="48" t="s">
        <v>199</v>
      </c>
      <c r="V1033" s="38"/>
      <c r="W1033" s="48" t="s">
        <v>195</v>
      </c>
      <c r="X1033" s="38" t="s">
        <v>200</v>
      </c>
      <c r="Y1033" s="49" t="s">
        <v>201</v>
      </c>
      <c r="Z1033" s="50" t="s">
        <v>3189</v>
      </c>
      <c r="AA1033" s="38"/>
      <c r="AB1033" s="38"/>
      <c r="AC1033" s="38"/>
      <c r="AD1033" s="51">
        <v>62</v>
      </c>
      <c r="AE1033" s="51">
        <v>62</v>
      </c>
      <c r="AF1033" s="48" t="s">
        <v>203</v>
      </c>
      <c r="AG1033" s="38" t="s">
        <v>204</v>
      </c>
      <c r="AH1033" s="52"/>
      <c r="AI1033" s="38"/>
      <c r="AJ1033" s="38"/>
    </row>
    <row r="1034" spans="1:36" ht="16.2">
      <c r="A1034" s="42" t="s">
        <v>836</v>
      </c>
      <c r="B1034" s="42">
        <v>900234</v>
      </c>
      <c r="C1034" s="42" t="s">
        <v>3136</v>
      </c>
      <c r="D1034" s="42">
        <v>13207522</v>
      </c>
      <c r="E1034" s="43" t="s">
        <v>3137</v>
      </c>
      <c r="F1034" s="42" t="s">
        <v>1238</v>
      </c>
      <c r="G1034" s="42" t="s">
        <v>195</v>
      </c>
      <c r="H1034" s="42"/>
      <c r="I1034" s="42"/>
      <c r="J1034" s="42">
        <v>13207522</v>
      </c>
      <c r="K1034" s="42"/>
      <c r="L1034" s="44">
        <v>45293</v>
      </c>
      <c r="M1034" s="44">
        <v>45293</v>
      </c>
      <c r="N1034" s="42" t="s">
        <v>1190</v>
      </c>
      <c r="O1034" s="42">
        <v>0</v>
      </c>
      <c r="P1034" s="42">
        <v>20031102</v>
      </c>
      <c r="Q1034" s="42" t="s">
        <v>3190</v>
      </c>
      <c r="R1034" s="45">
        <v>410</v>
      </c>
      <c r="S1034" s="46">
        <v>0.01</v>
      </c>
      <c r="T1034" s="47" t="s">
        <v>198</v>
      </c>
      <c r="U1034" s="48" t="s">
        <v>199</v>
      </c>
      <c r="V1034" s="38"/>
      <c r="W1034" s="48" t="s">
        <v>195</v>
      </c>
      <c r="X1034" s="38" t="s">
        <v>200</v>
      </c>
      <c r="Y1034" s="49" t="s">
        <v>201</v>
      </c>
      <c r="Z1034" s="50" t="s">
        <v>3191</v>
      </c>
      <c r="AA1034" s="38"/>
      <c r="AB1034" s="38"/>
      <c r="AC1034" s="38"/>
      <c r="AD1034" s="51">
        <v>62</v>
      </c>
      <c r="AE1034" s="51">
        <v>62</v>
      </c>
      <c r="AF1034" s="48" t="s">
        <v>203</v>
      </c>
      <c r="AG1034" s="38" t="s">
        <v>204</v>
      </c>
      <c r="AH1034" s="52"/>
      <c r="AI1034" s="38"/>
      <c r="AJ1034" s="38"/>
    </row>
    <row r="1035" spans="1:36" ht="16.2">
      <c r="A1035" s="53" t="s">
        <v>238</v>
      </c>
      <c r="B1035" s="53">
        <v>900235</v>
      </c>
      <c r="C1035" s="53" t="s">
        <v>3136</v>
      </c>
      <c r="D1035" s="53">
        <v>13207651</v>
      </c>
      <c r="E1035" s="54" t="s">
        <v>3137</v>
      </c>
      <c r="F1035" s="53" t="s">
        <v>3156</v>
      </c>
      <c r="G1035" s="53" t="s">
        <v>195</v>
      </c>
      <c r="H1035" s="53"/>
      <c r="I1035" s="53"/>
      <c r="J1035" s="53">
        <v>13207651</v>
      </c>
      <c r="K1035" s="53"/>
      <c r="L1035" s="55">
        <v>45293</v>
      </c>
      <c r="M1035" s="55">
        <v>45293</v>
      </c>
      <c r="N1035" s="53" t="s">
        <v>1190</v>
      </c>
      <c r="O1035" s="53">
        <v>0</v>
      </c>
      <c r="P1035" s="53">
        <v>20031102</v>
      </c>
      <c r="Q1035" s="53" t="s">
        <v>3192</v>
      </c>
      <c r="R1035" s="45">
        <v>410</v>
      </c>
      <c r="S1035" s="56">
        <v>0.01</v>
      </c>
      <c r="T1035" s="47" t="s">
        <v>198</v>
      </c>
      <c r="U1035" s="48" t="s">
        <v>199</v>
      </c>
      <c r="V1035" s="38"/>
      <c r="W1035" s="48" t="s">
        <v>195</v>
      </c>
      <c r="X1035" s="38" t="s">
        <v>200</v>
      </c>
      <c r="Y1035" s="49" t="s">
        <v>201</v>
      </c>
      <c r="Z1035" s="50" t="s">
        <v>3193</v>
      </c>
      <c r="AA1035" s="38"/>
      <c r="AB1035" s="38"/>
      <c r="AC1035" s="38"/>
      <c r="AD1035" s="51">
        <v>62</v>
      </c>
      <c r="AE1035" s="51">
        <v>62</v>
      </c>
      <c r="AF1035" s="48" t="s">
        <v>203</v>
      </c>
      <c r="AG1035" s="38" t="s">
        <v>204</v>
      </c>
      <c r="AH1035" s="52"/>
      <c r="AI1035" s="38"/>
      <c r="AJ1035" s="38"/>
    </row>
    <row r="1036" spans="1:36" ht="16.2">
      <c r="A1036" s="42" t="s">
        <v>238</v>
      </c>
      <c r="B1036" s="42">
        <v>900235</v>
      </c>
      <c r="C1036" s="42" t="s">
        <v>3136</v>
      </c>
      <c r="D1036" s="42">
        <v>13207651</v>
      </c>
      <c r="E1036" s="43" t="s">
        <v>3137</v>
      </c>
      <c r="F1036" s="42" t="s">
        <v>3159</v>
      </c>
      <c r="G1036" s="42" t="s">
        <v>195</v>
      </c>
      <c r="H1036" s="42"/>
      <c r="I1036" s="42"/>
      <c r="J1036" s="42">
        <v>13207651</v>
      </c>
      <c r="K1036" s="42"/>
      <c r="L1036" s="44">
        <v>45293</v>
      </c>
      <c r="M1036" s="44">
        <v>45293</v>
      </c>
      <c r="N1036" s="42" t="s">
        <v>1190</v>
      </c>
      <c r="O1036" s="42">
        <v>0</v>
      </c>
      <c r="P1036" s="42">
        <v>20031102</v>
      </c>
      <c r="Q1036" s="42" t="s">
        <v>3194</v>
      </c>
      <c r="R1036" s="45">
        <v>410</v>
      </c>
      <c r="S1036" s="42">
        <v>0</v>
      </c>
      <c r="T1036" s="47" t="s">
        <v>198</v>
      </c>
      <c r="U1036" s="48" t="s">
        <v>199</v>
      </c>
      <c r="V1036" s="38"/>
      <c r="W1036" s="48" t="s">
        <v>195</v>
      </c>
      <c r="X1036" s="38" t="s">
        <v>200</v>
      </c>
      <c r="Y1036" s="49" t="s">
        <v>201</v>
      </c>
      <c r="Z1036" s="50" t="s">
        <v>3195</v>
      </c>
      <c r="AA1036" s="38"/>
      <c r="AB1036" s="38"/>
      <c r="AC1036" s="38"/>
      <c r="AD1036" s="51">
        <v>62</v>
      </c>
      <c r="AE1036" s="51">
        <v>62</v>
      </c>
      <c r="AF1036" s="48" t="s">
        <v>203</v>
      </c>
      <c r="AG1036" s="38" t="s">
        <v>204</v>
      </c>
      <c r="AH1036" s="52"/>
      <c r="AI1036" s="38"/>
      <c r="AJ1036" s="38"/>
    </row>
    <row r="1037" spans="1:36" ht="16.2">
      <c r="A1037" s="53" t="s">
        <v>238</v>
      </c>
      <c r="B1037" s="53">
        <v>900235</v>
      </c>
      <c r="C1037" s="53" t="s">
        <v>3136</v>
      </c>
      <c r="D1037" s="53">
        <v>13207651</v>
      </c>
      <c r="E1037" s="54" t="s">
        <v>3137</v>
      </c>
      <c r="F1037" s="53" t="s">
        <v>3162</v>
      </c>
      <c r="G1037" s="53" t="s">
        <v>195</v>
      </c>
      <c r="H1037" s="53"/>
      <c r="I1037" s="53"/>
      <c r="J1037" s="53">
        <v>13207651</v>
      </c>
      <c r="K1037" s="53"/>
      <c r="L1037" s="55">
        <v>45293</v>
      </c>
      <c r="M1037" s="55">
        <v>45293</v>
      </c>
      <c r="N1037" s="53" t="s">
        <v>1190</v>
      </c>
      <c r="O1037" s="53">
        <v>0</v>
      </c>
      <c r="P1037" s="53">
        <v>20031102</v>
      </c>
      <c r="Q1037" s="53" t="s">
        <v>3196</v>
      </c>
      <c r="R1037" s="45">
        <v>410</v>
      </c>
      <c r="S1037" s="53">
        <v>0</v>
      </c>
      <c r="T1037" s="47" t="s">
        <v>198</v>
      </c>
      <c r="U1037" s="48" t="s">
        <v>199</v>
      </c>
      <c r="V1037" s="38"/>
      <c r="W1037" s="48" t="s">
        <v>195</v>
      </c>
      <c r="X1037" s="38" t="s">
        <v>200</v>
      </c>
      <c r="Y1037" s="49" t="s">
        <v>201</v>
      </c>
      <c r="Z1037" s="50" t="s">
        <v>3197</v>
      </c>
      <c r="AA1037" s="38"/>
      <c r="AB1037" s="38"/>
      <c r="AC1037" s="38"/>
      <c r="AD1037" s="51">
        <v>62</v>
      </c>
      <c r="AE1037" s="51">
        <v>62</v>
      </c>
      <c r="AF1037" s="48" t="s">
        <v>203</v>
      </c>
      <c r="AG1037" s="38" t="s">
        <v>204</v>
      </c>
      <c r="AH1037" s="52"/>
      <c r="AI1037" s="38"/>
      <c r="AJ1037" s="38"/>
    </row>
    <row r="1038" spans="1:36" ht="16.2">
      <c r="A1038" s="42" t="s">
        <v>238</v>
      </c>
      <c r="B1038" s="42">
        <v>900235</v>
      </c>
      <c r="C1038" s="42" t="s">
        <v>3136</v>
      </c>
      <c r="D1038" s="42">
        <v>13207651</v>
      </c>
      <c r="E1038" s="43" t="s">
        <v>3137</v>
      </c>
      <c r="F1038" s="42" t="s">
        <v>3165</v>
      </c>
      <c r="G1038" s="42" t="s">
        <v>195</v>
      </c>
      <c r="H1038" s="42"/>
      <c r="I1038" s="42"/>
      <c r="J1038" s="42">
        <v>13207651</v>
      </c>
      <c r="K1038" s="42"/>
      <c r="L1038" s="44">
        <v>45293</v>
      </c>
      <c r="M1038" s="44">
        <v>45293</v>
      </c>
      <c r="N1038" s="42" t="s">
        <v>1190</v>
      </c>
      <c r="O1038" s="42">
        <v>0</v>
      </c>
      <c r="P1038" s="42">
        <v>20031102</v>
      </c>
      <c r="Q1038" s="42" t="s">
        <v>3198</v>
      </c>
      <c r="R1038" s="45">
        <v>410</v>
      </c>
      <c r="S1038" s="46">
        <v>0.01</v>
      </c>
      <c r="T1038" s="47" t="s">
        <v>198</v>
      </c>
      <c r="U1038" s="48" t="s">
        <v>199</v>
      </c>
      <c r="V1038" s="38"/>
      <c r="W1038" s="48" t="s">
        <v>195</v>
      </c>
      <c r="X1038" s="38" t="s">
        <v>200</v>
      </c>
      <c r="Y1038" s="49" t="s">
        <v>201</v>
      </c>
      <c r="Z1038" s="50" t="s">
        <v>3199</v>
      </c>
      <c r="AA1038" s="38"/>
      <c r="AB1038" s="38"/>
      <c r="AC1038" s="38"/>
      <c r="AD1038" s="51">
        <v>62</v>
      </c>
      <c r="AE1038" s="51">
        <v>62</v>
      </c>
      <c r="AF1038" s="48" t="s">
        <v>203</v>
      </c>
      <c r="AG1038" s="38" t="s">
        <v>204</v>
      </c>
      <c r="AH1038" s="52"/>
      <c r="AI1038" s="38"/>
      <c r="AJ1038" s="38"/>
    </row>
    <row r="1039" spans="1:36" ht="16.2">
      <c r="A1039" s="53" t="s">
        <v>238</v>
      </c>
      <c r="B1039" s="53">
        <v>900235</v>
      </c>
      <c r="C1039" s="53" t="s">
        <v>3136</v>
      </c>
      <c r="D1039" s="53">
        <v>13207651</v>
      </c>
      <c r="E1039" s="54" t="s">
        <v>3137</v>
      </c>
      <c r="F1039" s="53" t="s">
        <v>1216</v>
      </c>
      <c r="G1039" s="53" t="s">
        <v>195</v>
      </c>
      <c r="H1039" s="53"/>
      <c r="I1039" s="53"/>
      <c r="J1039" s="53">
        <v>13207651</v>
      </c>
      <c r="K1039" s="53"/>
      <c r="L1039" s="55">
        <v>45293</v>
      </c>
      <c r="M1039" s="55">
        <v>45293</v>
      </c>
      <c r="N1039" s="53" t="s">
        <v>1190</v>
      </c>
      <c r="O1039" s="56">
        <v>0.01</v>
      </c>
      <c r="P1039" s="53">
        <v>20031102</v>
      </c>
      <c r="Q1039" s="53" t="s">
        <v>3200</v>
      </c>
      <c r="R1039" s="45">
        <v>410</v>
      </c>
      <c r="S1039" s="56">
        <v>0.01</v>
      </c>
      <c r="T1039" s="47" t="s">
        <v>198</v>
      </c>
      <c r="U1039" s="48" t="s">
        <v>199</v>
      </c>
      <c r="V1039" s="38"/>
      <c r="W1039" s="48" t="s">
        <v>195</v>
      </c>
      <c r="X1039" s="38" t="s">
        <v>200</v>
      </c>
      <c r="Y1039" s="49" t="s">
        <v>201</v>
      </c>
      <c r="Z1039" s="50" t="s">
        <v>3201</v>
      </c>
      <c r="AA1039" s="38"/>
      <c r="AB1039" s="38"/>
      <c r="AC1039" s="38"/>
      <c r="AD1039" s="51">
        <v>62</v>
      </c>
      <c r="AE1039" s="51">
        <v>62</v>
      </c>
      <c r="AF1039" s="48" t="s">
        <v>203</v>
      </c>
      <c r="AG1039" s="38" t="s">
        <v>204</v>
      </c>
      <c r="AH1039" s="52"/>
      <c r="AI1039" s="38"/>
      <c r="AJ1039" s="38"/>
    </row>
    <row r="1040" spans="1:36" ht="16.2">
      <c r="A1040" s="42" t="s">
        <v>238</v>
      </c>
      <c r="B1040" s="42">
        <v>900235</v>
      </c>
      <c r="C1040" s="42" t="s">
        <v>3136</v>
      </c>
      <c r="D1040" s="42">
        <v>13207651</v>
      </c>
      <c r="E1040" s="43" t="s">
        <v>3137</v>
      </c>
      <c r="F1040" s="42" t="s">
        <v>263</v>
      </c>
      <c r="G1040" s="42" t="s">
        <v>195</v>
      </c>
      <c r="H1040" s="42"/>
      <c r="I1040" s="42"/>
      <c r="J1040" s="42">
        <v>13207651</v>
      </c>
      <c r="K1040" s="42"/>
      <c r="L1040" s="44">
        <v>45293</v>
      </c>
      <c r="M1040" s="44">
        <v>45293</v>
      </c>
      <c r="N1040" s="42" t="s">
        <v>1190</v>
      </c>
      <c r="O1040" s="46">
        <v>0.01</v>
      </c>
      <c r="P1040" s="42">
        <v>20031102</v>
      </c>
      <c r="Q1040" s="42" t="s">
        <v>3202</v>
      </c>
      <c r="R1040" s="45">
        <v>410</v>
      </c>
      <c r="S1040" s="46">
        <v>0.01</v>
      </c>
      <c r="T1040" s="47" t="s">
        <v>198</v>
      </c>
      <c r="U1040" s="48" t="s">
        <v>199</v>
      </c>
      <c r="V1040" s="38"/>
      <c r="W1040" s="48" t="s">
        <v>195</v>
      </c>
      <c r="X1040" s="38" t="s">
        <v>200</v>
      </c>
      <c r="Y1040" s="49" t="s">
        <v>201</v>
      </c>
      <c r="Z1040" s="50" t="s">
        <v>3203</v>
      </c>
      <c r="AA1040" s="38"/>
      <c r="AB1040" s="38"/>
      <c r="AC1040" s="38"/>
      <c r="AD1040" s="51">
        <v>62</v>
      </c>
      <c r="AE1040" s="51">
        <v>62</v>
      </c>
      <c r="AF1040" s="48" t="s">
        <v>203</v>
      </c>
      <c r="AG1040" s="38" t="s">
        <v>204</v>
      </c>
      <c r="AH1040" s="52"/>
      <c r="AI1040" s="38"/>
      <c r="AJ1040" s="38"/>
    </row>
    <row r="1041" spans="1:36" ht="16.2">
      <c r="A1041" s="53" t="s">
        <v>238</v>
      </c>
      <c r="B1041" s="53">
        <v>900235</v>
      </c>
      <c r="C1041" s="53" t="s">
        <v>3136</v>
      </c>
      <c r="D1041" s="53">
        <v>13207651</v>
      </c>
      <c r="E1041" s="54" t="s">
        <v>3137</v>
      </c>
      <c r="F1041" s="53" t="s">
        <v>1270</v>
      </c>
      <c r="G1041" s="53" t="s">
        <v>195</v>
      </c>
      <c r="H1041" s="53"/>
      <c r="I1041" s="53"/>
      <c r="J1041" s="53">
        <v>13207651</v>
      </c>
      <c r="K1041" s="53"/>
      <c r="L1041" s="55">
        <v>45293</v>
      </c>
      <c r="M1041" s="55">
        <v>45293</v>
      </c>
      <c r="N1041" s="53" t="s">
        <v>1190</v>
      </c>
      <c r="O1041" s="56">
        <v>0.01</v>
      </c>
      <c r="P1041" s="53">
        <v>20031102</v>
      </c>
      <c r="Q1041" s="53" t="s">
        <v>3204</v>
      </c>
      <c r="R1041" s="45">
        <v>410</v>
      </c>
      <c r="S1041" s="56">
        <v>0.01</v>
      </c>
      <c r="T1041" s="47" t="s">
        <v>198</v>
      </c>
      <c r="U1041" s="48" t="s">
        <v>199</v>
      </c>
      <c r="V1041" s="38"/>
      <c r="W1041" s="48" t="s">
        <v>195</v>
      </c>
      <c r="X1041" s="38" t="s">
        <v>200</v>
      </c>
      <c r="Y1041" s="49" t="s">
        <v>201</v>
      </c>
      <c r="Z1041" s="50" t="s">
        <v>3205</v>
      </c>
      <c r="AA1041" s="38"/>
      <c r="AB1041" s="38"/>
      <c r="AC1041" s="38"/>
      <c r="AD1041" s="51">
        <v>62</v>
      </c>
      <c r="AE1041" s="51">
        <v>62</v>
      </c>
      <c r="AF1041" s="48" t="s">
        <v>203</v>
      </c>
      <c r="AG1041" s="38" t="s">
        <v>204</v>
      </c>
      <c r="AH1041" s="52"/>
      <c r="AI1041" s="38"/>
      <c r="AJ1041" s="38"/>
    </row>
    <row r="1042" spans="1:36" ht="16.2">
      <c r="A1042" s="42" t="s">
        <v>238</v>
      </c>
      <c r="B1042" s="42">
        <v>900235</v>
      </c>
      <c r="C1042" s="42" t="s">
        <v>3136</v>
      </c>
      <c r="D1042" s="42">
        <v>13207651</v>
      </c>
      <c r="E1042" s="43" t="s">
        <v>3137</v>
      </c>
      <c r="F1042" s="42" t="s">
        <v>3174</v>
      </c>
      <c r="G1042" s="42" t="s">
        <v>195</v>
      </c>
      <c r="H1042" s="42"/>
      <c r="I1042" s="42"/>
      <c r="J1042" s="42">
        <v>13207651</v>
      </c>
      <c r="K1042" s="42"/>
      <c r="L1042" s="44">
        <v>45293</v>
      </c>
      <c r="M1042" s="44">
        <v>45293</v>
      </c>
      <c r="N1042" s="42" t="s">
        <v>1190</v>
      </c>
      <c r="O1042" s="46">
        <v>0.01</v>
      </c>
      <c r="P1042" s="42">
        <v>20031102</v>
      </c>
      <c r="Q1042" s="42" t="s">
        <v>3206</v>
      </c>
      <c r="R1042" s="45">
        <v>410</v>
      </c>
      <c r="S1042" s="46">
        <v>0.01</v>
      </c>
      <c r="T1042" s="47" t="s">
        <v>198</v>
      </c>
      <c r="U1042" s="48" t="s">
        <v>199</v>
      </c>
      <c r="V1042" s="38"/>
      <c r="W1042" s="48" t="s">
        <v>195</v>
      </c>
      <c r="X1042" s="38" t="s">
        <v>200</v>
      </c>
      <c r="Y1042" s="49" t="s">
        <v>201</v>
      </c>
      <c r="Z1042" s="50" t="s">
        <v>3207</v>
      </c>
      <c r="AA1042" s="38"/>
      <c r="AB1042" s="38"/>
      <c r="AC1042" s="38"/>
      <c r="AD1042" s="51">
        <v>62</v>
      </c>
      <c r="AE1042" s="51">
        <v>62</v>
      </c>
      <c r="AF1042" s="48" t="s">
        <v>203</v>
      </c>
      <c r="AG1042" s="38" t="s">
        <v>204</v>
      </c>
      <c r="AH1042" s="52"/>
      <c r="AI1042" s="38"/>
      <c r="AJ1042" s="38"/>
    </row>
    <row r="1043" spans="1:36" ht="16.2">
      <c r="A1043" s="53" t="s">
        <v>238</v>
      </c>
      <c r="B1043" s="53">
        <v>900235</v>
      </c>
      <c r="C1043" s="53" t="s">
        <v>3136</v>
      </c>
      <c r="D1043" s="53">
        <v>13207651</v>
      </c>
      <c r="E1043" s="54" t="s">
        <v>3137</v>
      </c>
      <c r="F1043" s="53" t="s">
        <v>293</v>
      </c>
      <c r="G1043" s="53" t="s">
        <v>195</v>
      </c>
      <c r="H1043" s="53"/>
      <c r="I1043" s="53"/>
      <c r="J1043" s="53">
        <v>13207651</v>
      </c>
      <c r="K1043" s="53"/>
      <c r="L1043" s="55">
        <v>45293</v>
      </c>
      <c r="M1043" s="55">
        <v>45293</v>
      </c>
      <c r="N1043" s="53" t="s">
        <v>1190</v>
      </c>
      <c r="O1043" s="56">
        <v>0.01</v>
      </c>
      <c r="P1043" s="53">
        <v>20031102</v>
      </c>
      <c r="Q1043" s="53" t="s">
        <v>3208</v>
      </c>
      <c r="R1043" s="45">
        <v>410</v>
      </c>
      <c r="S1043" s="56">
        <v>0.01</v>
      </c>
      <c r="T1043" s="47" t="s">
        <v>198</v>
      </c>
      <c r="U1043" s="48" t="s">
        <v>199</v>
      </c>
      <c r="V1043" s="38"/>
      <c r="W1043" s="48" t="s">
        <v>195</v>
      </c>
      <c r="X1043" s="38" t="s">
        <v>200</v>
      </c>
      <c r="Y1043" s="49" t="s">
        <v>201</v>
      </c>
      <c r="Z1043" s="50" t="s">
        <v>3209</v>
      </c>
      <c r="AA1043" s="38"/>
      <c r="AB1043" s="38"/>
      <c r="AC1043" s="38"/>
      <c r="AD1043" s="51">
        <v>62</v>
      </c>
      <c r="AE1043" s="51">
        <v>62</v>
      </c>
      <c r="AF1043" s="48" t="s">
        <v>203</v>
      </c>
      <c r="AG1043" s="38" t="s">
        <v>204</v>
      </c>
      <c r="AH1043" s="52"/>
      <c r="AI1043" s="38"/>
      <c r="AJ1043" s="38"/>
    </row>
    <row r="1044" spans="1:36" ht="16.2">
      <c r="A1044" s="42" t="s">
        <v>238</v>
      </c>
      <c r="B1044" s="42">
        <v>900235</v>
      </c>
      <c r="C1044" s="42" t="s">
        <v>3136</v>
      </c>
      <c r="D1044" s="42">
        <v>13207651</v>
      </c>
      <c r="E1044" s="43" t="s">
        <v>3137</v>
      </c>
      <c r="F1044" s="42" t="s">
        <v>3179</v>
      </c>
      <c r="G1044" s="42" t="s">
        <v>195</v>
      </c>
      <c r="H1044" s="42"/>
      <c r="I1044" s="42"/>
      <c r="J1044" s="42">
        <v>13207651</v>
      </c>
      <c r="K1044" s="42"/>
      <c r="L1044" s="44">
        <v>45293</v>
      </c>
      <c r="M1044" s="44">
        <v>45293</v>
      </c>
      <c r="N1044" s="42" t="s">
        <v>1190</v>
      </c>
      <c r="O1044" s="46">
        <v>0.01</v>
      </c>
      <c r="P1044" s="42">
        <v>20031102</v>
      </c>
      <c r="Q1044" s="42" t="s">
        <v>3210</v>
      </c>
      <c r="R1044" s="45">
        <v>410</v>
      </c>
      <c r="S1044" s="46">
        <v>0.01</v>
      </c>
      <c r="T1044" s="47" t="s">
        <v>198</v>
      </c>
      <c r="U1044" s="48" t="s">
        <v>199</v>
      </c>
      <c r="V1044" s="38"/>
      <c r="W1044" s="48" t="s">
        <v>195</v>
      </c>
      <c r="X1044" s="38" t="s">
        <v>200</v>
      </c>
      <c r="Y1044" s="49" t="s">
        <v>201</v>
      </c>
      <c r="Z1044" s="50" t="s">
        <v>3211</v>
      </c>
      <c r="AA1044" s="38"/>
      <c r="AB1044" s="38"/>
      <c r="AC1044" s="38"/>
      <c r="AD1044" s="51">
        <v>62</v>
      </c>
      <c r="AE1044" s="51">
        <v>62</v>
      </c>
      <c r="AF1044" s="48" t="s">
        <v>203</v>
      </c>
      <c r="AG1044" s="38" t="s">
        <v>204</v>
      </c>
      <c r="AH1044" s="52"/>
      <c r="AI1044" s="38"/>
      <c r="AJ1044" s="38"/>
    </row>
    <row r="1045" spans="1:36" ht="16.2">
      <c r="A1045" s="53" t="s">
        <v>238</v>
      </c>
      <c r="B1045" s="53">
        <v>900235</v>
      </c>
      <c r="C1045" s="53" t="s">
        <v>3136</v>
      </c>
      <c r="D1045" s="53">
        <v>13207651</v>
      </c>
      <c r="E1045" s="54" t="s">
        <v>3137</v>
      </c>
      <c r="F1045" s="53" t="s">
        <v>3182</v>
      </c>
      <c r="G1045" s="53" t="s">
        <v>195</v>
      </c>
      <c r="H1045" s="53"/>
      <c r="I1045" s="53"/>
      <c r="J1045" s="53">
        <v>13207651</v>
      </c>
      <c r="K1045" s="53"/>
      <c r="L1045" s="55">
        <v>45293</v>
      </c>
      <c r="M1045" s="55">
        <v>45293</v>
      </c>
      <c r="N1045" s="53" t="s">
        <v>1190</v>
      </c>
      <c r="O1045" s="56">
        <v>0.01</v>
      </c>
      <c r="P1045" s="53">
        <v>20031102</v>
      </c>
      <c r="Q1045" s="53" t="s">
        <v>3212</v>
      </c>
      <c r="R1045" s="45">
        <v>410</v>
      </c>
      <c r="S1045" s="56">
        <v>0.01</v>
      </c>
      <c r="T1045" s="47" t="s">
        <v>198</v>
      </c>
      <c r="U1045" s="48" t="s">
        <v>199</v>
      </c>
      <c r="V1045" s="38"/>
      <c r="W1045" s="48" t="s">
        <v>195</v>
      </c>
      <c r="X1045" s="38" t="s">
        <v>200</v>
      </c>
      <c r="Y1045" s="49" t="s">
        <v>201</v>
      </c>
      <c r="Z1045" s="50" t="s">
        <v>3213</v>
      </c>
      <c r="AA1045" s="38"/>
      <c r="AB1045" s="38"/>
      <c r="AC1045" s="38"/>
      <c r="AD1045" s="51">
        <v>62</v>
      </c>
      <c r="AE1045" s="51">
        <v>62</v>
      </c>
      <c r="AF1045" s="48" t="s">
        <v>203</v>
      </c>
      <c r="AG1045" s="38" t="s">
        <v>204</v>
      </c>
      <c r="AH1045" s="52"/>
      <c r="AI1045" s="38"/>
      <c r="AJ1045" s="38"/>
    </row>
    <row r="1046" spans="1:36" ht="16.2">
      <c r="A1046" s="42" t="s">
        <v>238</v>
      </c>
      <c r="B1046" s="42">
        <v>900235</v>
      </c>
      <c r="C1046" s="42" t="s">
        <v>3136</v>
      </c>
      <c r="D1046" s="42">
        <v>13207651</v>
      </c>
      <c r="E1046" s="43" t="s">
        <v>3137</v>
      </c>
      <c r="F1046" s="42" t="s">
        <v>3185</v>
      </c>
      <c r="G1046" s="42" t="s">
        <v>195</v>
      </c>
      <c r="H1046" s="42"/>
      <c r="I1046" s="42"/>
      <c r="J1046" s="42">
        <v>13207651</v>
      </c>
      <c r="K1046" s="42"/>
      <c r="L1046" s="44">
        <v>45293</v>
      </c>
      <c r="M1046" s="44">
        <v>45293</v>
      </c>
      <c r="N1046" s="42" t="s">
        <v>1190</v>
      </c>
      <c r="O1046" s="46">
        <v>0.01</v>
      </c>
      <c r="P1046" s="42">
        <v>20031102</v>
      </c>
      <c r="Q1046" s="42" t="s">
        <v>3214</v>
      </c>
      <c r="R1046" s="45">
        <v>410</v>
      </c>
      <c r="S1046" s="46">
        <v>0.01</v>
      </c>
      <c r="T1046" s="47" t="s">
        <v>198</v>
      </c>
      <c r="U1046" s="48" t="s">
        <v>199</v>
      </c>
      <c r="V1046" s="38"/>
      <c r="W1046" s="48" t="s">
        <v>195</v>
      </c>
      <c r="X1046" s="38" t="s">
        <v>200</v>
      </c>
      <c r="Y1046" s="49" t="s">
        <v>201</v>
      </c>
      <c r="Z1046" s="50" t="s">
        <v>3215</v>
      </c>
      <c r="AA1046" s="38"/>
      <c r="AB1046" s="38"/>
      <c r="AC1046" s="38"/>
      <c r="AD1046" s="51">
        <v>62</v>
      </c>
      <c r="AE1046" s="51">
        <v>62</v>
      </c>
      <c r="AF1046" s="48" t="s">
        <v>203</v>
      </c>
      <c r="AG1046" s="38" t="s">
        <v>204</v>
      </c>
      <c r="AH1046" s="52"/>
      <c r="AI1046" s="38"/>
      <c r="AJ1046" s="38"/>
    </row>
    <row r="1047" spans="1:36" ht="16.2">
      <c r="A1047" s="53" t="s">
        <v>238</v>
      </c>
      <c r="B1047" s="53">
        <v>900235</v>
      </c>
      <c r="C1047" s="53" t="s">
        <v>3136</v>
      </c>
      <c r="D1047" s="53">
        <v>13207651</v>
      </c>
      <c r="E1047" s="54" t="s">
        <v>3137</v>
      </c>
      <c r="F1047" s="53" t="s">
        <v>260</v>
      </c>
      <c r="G1047" s="53" t="s">
        <v>195</v>
      </c>
      <c r="H1047" s="53"/>
      <c r="I1047" s="53"/>
      <c r="J1047" s="53">
        <v>13207651</v>
      </c>
      <c r="K1047" s="53"/>
      <c r="L1047" s="55">
        <v>45293</v>
      </c>
      <c r="M1047" s="55">
        <v>45293</v>
      </c>
      <c r="N1047" s="53" t="s">
        <v>1190</v>
      </c>
      <c r="O1047" s="56">
        <v>0.01</v>
      </c>
      <c r="P1047" s="53">
        <v>20031102</v>
      </c>
      <c r="Q1047" s="53" t="s">
        <v>3216</v>
      </c>
      <c r="R1047" s="45">
        <v>410</v>
      </c>
      <c r="S1047" s="56">
        <v>0.01</v>
      </c>
      <c r="T1047" s="47" t="s">
        <v>198</v>
      </c>
      <c r="U1047" s="48" t="s">
        <v>199</v>
      </c>
      <c r="V1047" s="38"/>
      <c r="W1047" s="48" t="s">
        <v>195</v>
      </c>
      <c r="X1047" s="38" t="s">
        <v>200</v>
      </c>
      <c r="Y1047" s="49" t="s">
        <v>201</v>
      </c>
      <c r="Z1047" s="50" t="s">
        <v>3217</v>
      </c>
      <c r="AA1047" s="38"/>
      <c r="AB1047" s="38"/>
      <c r="AC1047" s="38"/>
      <c r="AD1047" s="51">
        <v>62</v>
      </c>
      <c r="AE1047" s="51">
        <v>62</v>
      </c>
      <c r="AF1047" s="48" t="s">
        <v>203</v>
      </c>
      <c r="AG1047" s="38" t="s">
        <v>204</v>
      </c>
      <c r="AH1047" s="52"/>
      <c r="AI1047" s="38"/>
      <c r="AJ1047" s="38"/>
    </row>
    <row r="1048" spans="1:36" ht="16.2">
      <c r="A1048" s="42" t="s">
        <v>238</v>
      </c>
      <c r="B1048" s="42">
        <v>900235</v>
      </c>
      <c r="C1048" s="42" t="s">
        <v>3136</v>
      </c>
      <c r="D1048" s="42">
        <v>13207651</v>
      </c>
      <c r="E1048" s="43" t="s">
        <v>3137</v>
      </c>
      <c r="F1048" s="42" t="s">
        <v>1238</v>
      </c>
      <c r="G1048" s="42" t="s">
        <v>195</v>
      </c>
      <c r="H1048" s="42"/>
      <c r="I1048" s="42"/>
      <c r="J1048" s="42">
        <v>13207651</v>
      </c>
      <c r="K1048" s="42"/>
      <c r="L1048" s="44">
        <v>45293</v>
      </c>
      <c r="M1048" s="44">
        <v>45293</v>
      </c>
      <c r="N1048" s="42" t="s">
        <v>1190</v>
      </c>
      <c r="O1048" s="46">
        <v>0.01</v>
      </c>
      <c r="P1048" s="42">
        <v>20031102</v>
      </c>
      <c r="Q1048" s="42" t="s">
        <v>3218</v>
      </c>
      <c r="R1048" s="45">
        <v>410</v>
      </c>
      <c r="S1048" s="46">
        <v>0.01</v>
      </c>
      <c r="T1048" s="47" t="s">
        <v>198</v>
      </c>
      <c r="U1048" s="48" t="s">
        <v>199</v>
      </c>
      <c r="V1048" s="38"/>
      <c r="W1048" s="48" t="s">
        <v>195</v>
      </c>
      <c r="X1048" s="38" t="s">
        <v>200</v>
      </c>
      <c r="Y1048" s="49" t="s">
        <v>201</v>
      </c>
      <c r="Z1048" s="50" t="s">
        <v>3219</v>
      </c>
      <c r="AA1048" s="38"/>
      <c r="AB1048" s="38"/>
      <c r="AC1048" s="38"/>
      <c r="AD1048" s="51">
        <v>62</v>
      </c>
      <c r="AE1048" s="51">
        <v>62</v>
      </c>
      <c r="AF1048" s="48" t="s">
        <v>203</v>
      </c>
      <c r="AG1048" s="38" t="s">
        <v>204</v>
      </c>
      <c r="AH1048" s="52"/>
      <c r="AI1048" s="38"/>
      <c r="AJ1048" s="38"/>
    </row>
    <row r="1049" spans="1:36" ht="16.2">
      <c r="A1049" s="53" t="s">
        <v>302</v>
      </c>
      <c r="B1049" s="53">
        <v>749636</v>
      </c>
      <c r="C1049" s="53" t="s">
        <v>3220</v>
      </c>
      <c r="D1049" s="53">
        <v>13207600</v>
      </c>
      <c r="E1049" s="54" t="s">
        <v>3221</v>
      </c>
      <c r="F1049" s="53" t="s">
        <v>3222</v>
      </c>
      <c r="G1049" s="53" t="s">
        <v>195</v>
      </c>
      <c r="H1049" s="53"/>
      <c r="I1049" s="53"/>
      <c r="J1049" s="53">
        <v>13207600</v>
      </c>
      <c r="K1049" s="53"/>
      <c r="L1049" s="55">
        <v>45293</v>
      </c>
      <c r="M1049" s="55">
        <v>45293</v>
      </c>
      <c r="N1049" s="53" t="s">
        <v>763</v>
      </c>
      <c r="O1049" s="56">
        <v>0.01</v>
      </c>
      <c r="P1049" s="53">
        <v>20062055</v>
      </c>
      <c r="Q1049" s="53" t="s">
        <v>3223</v>
      </c>
      <c r="R1049" s="45">
        <v>410</v>
      </c>
      <c r="S1049" s="56">
        <v>0.01</v>
      </c>
      <c r="T1049" s="47" t="s">
        <v>198</v>
      </c>
      <c r="U1049" s="48" t="s">
        <v>199</v>
      </c>
      <c r="V1049" s="38"/>
      <c r="W1049" s="48" t="s">
        <v>195</v>
      </c>
      <c r="X1049" s="38" t="s">
        <v>308</v>
      </c>
      <c r="Y1049" s="49" t="s">
        <v>309</v>
      </c>
      <c r="Z1049" s="50" t="s">
        <v>3224</v>
      </c>
      <c r="AA1049" s="38"/>
      <c r="AB1049" s="38"/>
      <c r="AC1049" s="38"/>
      <c r="AD1049" s="51">
        <v>58</v>
      </c>
      <c r="AE1049" s="51">
        <v>58</v>
      </c>
      <c r="AF1049" s="48" t="s">
        <v>203</v>
      </c>
      <c r="AG1049" s="38" t="s">
        <v>204</v>
      </c>
      <c r="AH1049" s="52"/>
      <c r="AI1049" s="38"/>
      <c r="AJ1049" s="38"/>
    </row>
    <row r="1050" spans="1:36" ht="16.2">
      <c r="A1050" s="42" t="s">
        <v>302</v>
      </c>
      <c r="B1050" s="42">
        <v>689634</v>
      </c>
      <c r="C1050" s="42" t="s">
        <v>3225</v>
      </c>
      <c r="D1050" s="42">
        <v>13207601</v>
      </c>
      <c r="E1050" s="43" t="s">
        <v>3226</v>
      </c>
      <c r="F1050" s="42" t="s">
        <v>3227</v>
      </c>
      <c r="G1050" s="42" t="s">
        <v>195</v>
      </c>
      <c r="H1050" s="42"/>
      <c r="I1050" s="42"/>
      <c r="J1050" s="42">
        <v>13207601</v>
      </c>
      <c r="K1050" s="42"/>
      <c r="L1050" s="44">
        <v>45293</v>
      </c>
      <c r="M1050" s="44">
        <v>45293</v>
      </c>
      <c r="N1050" s="42" t="s">
        <v>601</v>
      </c>
      <c r="O1050" s="46">
        <v>0.01</v>
      </c>
      <c r="P1050" s="42">
        <v>20009822</v>
      </c>
      <c r="Q1050" s="42" t="s">
        <v>3228</v>
      </c>
      <c r="R1050" s="45">
        <v>410</v>
      </c>
      <c r="S1050" s="46">
        <v>0.01</v>
      </c>
      <c r="T1050" s="47" t="s">
        <v>198</v>
      </c>
      <c r="U1050" s="48" t="s">
        <v>199</v>
      </c>
      <c r="V1050" s="38"/>
      <c r="W1050" s="48" t="s">
        <v>195</v>
      </c>
      <c r="X1050" s="38" t="s">
        <v>308</v>
      </c>
      <c r="Y1050" s="49" t="s">
        <v>309</v>
      </c>
      <c r="Z1050" s="50" t="s">
        <v>3229</v>
      </c>
      <c r="AA1050" s="38"/>
      <c r="AB1050" s="38"/>
      <c r="AC1050" s="38"/>
      <c r="AD1050" s="51">
        <v>33</v>
      </c>
      <c r="AE1050" s="51">
        <v>33</v>
      </c>
      <c r="AF1050" s="48" t="s">
        <v>203</v>
      </c>
      <c r="AG1050" s="38" t="s">
        <v>204</v>
      </c>
      <c r="AH1050" s="52"/>
      <c r="AI1050" s="38"/>
      <c r="AJ1050" s="38"/>
    </row>
    <row r="1051" spans="1:36" ht="16.2">
      <c r="A1051" s="53" t="s">
        <v>302</v>
      </c>
      <c r="B1051" s="53">
        <v>689634</v>
      </c>
      <c r="C1051" s="53" t="s">
        <v>3225</v>
      </c>
      <c r="D1051" s="53">
        <v>13207601</v>
      </c>
      <c r="E1051" s="54" t="s">
        <v>3226</v>
      </c>
      <c r="F1051" s="53" t="s">
        <v>3230</v>
      </c>
      <c r="G1051" s="53" t="s">
        <v>195</v>
      </c>
      <c r="H1051" s="53"/>
      <c r="I1051" s="53"/>
      <c r="J1051" s="53">
        <v>13207601</v>
      </c>
      <c r="K1051" s="53"/>
      <c r="L1051" s="55">
        <v>45293</v>
      </c>
      <c r="M1051" s="55">
        <v>45293</v>
      </c>
      <c r="N1051" s="53" t="s">
        <v>601</v>
      </c>
      <c r="O1051" s="56">
        <v>0.01</v>
      </c>
      <c r="P1051" s="53">
        <v>20009822</v>
      </c>
      <c r="Q1051" s="53" t="s">
        <v>3231</v>
      </c>
      <c r="R1051" s="45">
        <v>410</v>
      </c>
      <c r="S1051" s="56">
        <v>0.01</v>
      </c>
      <c r="T1051" s="47" t="s">
        <v>198</v>
      </c>
      <c r="U1051" s="48" t="s">
        <v>199</v>
      </c>
      <c r="V1051" s="38"/>
      <c r="W1051" s="48" t="s">
        <v>195</v>
      </c>
      <c r="X1051" s="38" t="s">
        <v>308</v>
      </c>
      <c r="Y1051" s="49" t="s">
        <v>309</v>
      </c>
      <c r="Z1051" s="50" t="s">
        <v>3232</v>
      </c>
      <c r="AA1051" s="38"/>
      <c r="AB1051" s="38"/>
      <c r="AC1051" s="38"/>
      <c r="AD1051" s="51">
        <v>33</v>
      </c>
      <c r="AE1051" s="51">
        <v>33</v>
      </c>
      <c r="AF1051" s="48" t="s">
        <v>203</v>
      </c>
      <c r="AG1051" s="38" t="s">
        <v>204</v>
      </c>
      <c r="AH1051" s="52"/>
      <c r="AI1051" s="38"/>
      <c r="AJ1051" s="38"/>
    </row>
    <row r="1052" spans="1:36" ht="16.2">
      <c r="A1052" s="42" t="s">
        <v>302</v>
      </c>
      <c r="B1052" s="42">
        <v>689634</v>
      </c>
      <c r="C1052" s="42" t="s">
        <v>3225</v>
      </c>
      <c r="D1052" s="42">
        <v>13207601</v>
      </c>
      <c r="E1052" s="43" t="s">
        <v>3226</v>
      </c>
      <c r="F1052" s="42" t="s">
        <v>3233</v>
      </c>
      <c r="G1052" s="42" t="s">
        <v>195</v>
      </c>
      <c r="H1052" s="42"/>
      <c r="I1052" s="42"/>
      <c r="J1052" s="42">
        <v>13207601</v>
      </c>
      <c r="K1052" s="42"/>
      <c r="L1052" s="44">
        <v>45293</v>
      </c>
      <c r="M1052" s="44">
        <v>45293</v>
      </c>
      <c r="N1052" s="42" t="s">
        <v>601</v>
      </c>
      <c r="O1052" s="46">
        <v>0.01</v>
      </c>
      <c r="P1052" s="42">
        <v>20009822</v>
      </c>
      <c r="Q1052" s="42" t="s">
        <v>3234</v>
      </c>
      <c r="R1052" s="45">
        <v>410</v>
      </c>
      <c r="S1052" s="46">
        <v>0.01</v>
      </c>
      <c r="T1052" s="47" t="s">
        <v>198</v>
      </c>
      <c r="U1052" s="48" t="s">
        <v>199</v>
      </c>
      <c r="V1052" s="38"/>
      <c r="W1052" s="48" t="s">
        <v>195</v>
      </c>
      <c r="X1052" s="38" t="s">
        <v>308</v>
      </c>
      <c r="Y1052" s="49" t="s">
        <v>309</v>
      </c>
      <c r="Z1052" s="50" t="s">
        <v>3235</v>
      </c>
      <c r="AA1052" s="38"/>
      <c r="AB1052" s="38"/>
      <c r="AC1052" s="38"/>
      <c r="AD1052" s="51">
        <v>33</v>
      </c>
      <c r="AE1052" s="51">
        <v>33</v>
      </c>
      <c r="AF1052" s="48" t="s">
        <v>203</v>
      </c>
      <c r="AG1052" s="38" t="s">
        <v>204</v>
      </c>
      <c r="AH1052" s="52"/>
      <c r="AI1052" s="38"/>
      <c r="AJ1052" s="38"/>
    </row>
    <row r="1053" spans="1:36" ht="16.2">
      <c r="A1053" s="53" t="s">
        <v>302</v>
      </c>
      <c r="B1053" s="53">
        <v>689634</v>
      </c>
      <c r="C1053" s="53" t="s">
        <v>3225</v>
      </c>
      <c r="D1053" s="53">
        <v>13207601</v>
      </c>
      <c r="E1053" s="54" t="s">
        <v>3226</v>
      </c>
      <c r="F1053" s="53" t="s">
        <v>3236</v>
      </c>
      <c r="G1053" s="53" t="s">
        <v>195</v>
      </c>
      <c r="H1053" s="53"/>
      <c r="I1053" s="53"/>
      <c r="J1053" s="53">
        <v>13207601</v>
      </c>
      <c r="K1053" s="53"/>
      <c r="L1053" s="55">
        <v>45293</v>
      </c>
      <c r="M1053" s="55">
        <v>45293</v>
      </c>
      <c r="N1053" s="53" t="s">
        <v>601</v>
      </c>
      <c r="O1053" s="56">
        <v>0.01</v>
      </c>
      <c r="P1053" s="53">
        <v>20009822</v>
      </c>
      <c r="Q1053" s="53" t="s">
        <v>3237</v>
      </c>
      <c r="R1053" s="45">
        <v>410</v>
      </c>
      <c r="S1053" s="56">
        <v>0.01</v>
      </c>
      <c r="T1053" s="47" t="s">
        <v>198</v>
      </c>
      <c r="U1053" s="48" t="s">
        <v>199</v>
      </c>
      <c r="V1053" s="38"/>
      <c r="W1053" s="48" t="s">
        <v>195</v>
      </c>
      <c r="X1053" s="38" t="s">
        <v>308</v>
      </c>
      <c r="Y1053" s="49" t="s">
        <v>309</v>
      </c>
      <c r="Z1053" s="50" t="s">
        <v>3238</v>
      </c>
      <c r="AA1053" s="38"/>
      <c r="AB1053" s="38"/>
      <c r="AC1053" s="38"/>
      <c r="AD1053" s="51">
        <v>33</v>
      </c>
      <c r="AE1053" s="51">
        <v>33</v>
      </c>
      <c r="AF1053" s="48" t="s">
        <v>203</v>
      </c>
      <c r="AG1053" s="38" t="s">
        <v>204</v>
      </c>
      <c r="AH1053" s="52"/>
      <c r="AI1053" s="38"/>
      <c r="AJ1053" s="38"/>
    </row>
    <row r="1054" spans="1:36" ht="16.2">
      <c r="A1054" s="42" t="s">
        <v>302</v>
      </c>
      <c r="B1054" s="42">
        <v>689634</v>
      </c>
      <c r="C1054" s="42" t="s">
        <v>3225</v>
      </c>
      <c r="D1054" s="42">
        <v>13207601</v>
      </c>
      <c r="E1054" s="43" t="s">
        <v>3226</v>
      </c>
      <c r="F1054" s="42" t="s">
        <v>2320</v>
      </c>
      <c r="G1054" s="42" t="s">
        <v>195</v>
      </c>
      <c r="H1054" s="42"/>
      <c r="I1054" s="42"/>
      <c r="J1054" s="42">
        <v>13207601</v>
      </c>
      <c r="K1054" s="42"/>
      <c r="L1054" s="44">
        <v>45293</v>
      </c>
      <c r="M1054" s="44">
        <v>45293</v>
      </c>
      <c r="N1054" s="42" t="s">
        <v>601</v>
      </c>
      <c r="O1054" s="46">
        <v>0.01</v>
      </c>
      <c r="P1054" s="42">
        <v>20009822</v>
      </c>
      <c r="Q1054" s="42" t="s">
        <v>3239</v>
      </c>
      <c r="R1054" s="45">
        <v>410</v>
      </c>
      <c r="S1054" s="46">
        <v>0.01</v>
      </c>
      <c r="T1054" s="47" t="s">
        <v>198</v>
      </c>
      <c r="U1054" s="48" t="s">
        <v>199</v>
      </c>
      <c r="V1054" s="38"/>
      <c r="W1054" s="48" t="s">
        <v>195</v>
      </c>
      <c r="X1054" s="38" t="s">
        <v>308</v>
      </c>
      <c r="Y1054" s="49" t="s">
        <v>309</v>
      </c>
      <c r="Z1054" s="50" t="s">
        <v>3240</v>
      </c>
      <c r="AA1054" s="38"/>
      <c r="AB1054" s="38"/>
      <c r="AC1054" s="38"/>
      <c r="AD1054" s="51">
        <v>33</v>
      </c>
      <c r="AE1054" s="51">
        <v>33</v>
      </c>
      <c r="AF1054" s="48" t="s">
        <v>203</v>
      </c>
      <c r="AG1054" s="38" t="s">
        <v>204</v>
      </c>
      <c r="AH1054" s="52"/>
      <c r="AI1054" s="38"/>
      <c r="AJ1054" s="38"/>
    </row>
    <row r="1055" spans="1:36" ht="16.2">
      <c r="A1055" s="53" t="s">
        <v>302</v>
      </c>
      <c r="B1055" s="53">
        <v>689634</v>
      </c>
      <c r="C1055" s="53" t="s">
        <v>3225</v>
      </c>
      <c r="D1055" s="53">
        <v>13207601</v>
      </c>
      <c r="E1055" s="54" t="s">
        <v>3226</v>
      </c>
      <c r="F1055" s="53" t="s">
        <v>3241</v>
      </c>
      <c r="G1055" s="53" t="s">
        <v>195</v>
      </c>
      <c r="H1055" s="53"/>
      <c r="I1055" s="53"/>
      <c r="J1055" s="53">
        <v>13207601</v>
      </c>
      <c r="K1055" s="53"/>
      <c r="L1055" s="55">
        <v>45293</v>
      </c>
      <c r="M1055" s="55">
        <v>45293</v>
      </c>
      <c r="N1055" s="53" t="s">
        <v>601</v>
      </c>
      <c r="O1055" s="56">
        <v>0.01</v>
      </c>
      <c r="P1055" s="53">
        <v>20009822</v>
      </c>
      <c r="Q1055" s="53" t="s">
        <v>3242</v>
      </c>
      <c r="R1055" s="45">
        <v>410</v>
      </c>
      <c r="S1055" s="56">
        <v>0.01</v>
      </c>
      <c r="T1055" s="47" t="s">
        <v>198</v>
      </c>
      <c r="U1055" s="48" t="s">
        <v>199</v>
      </c>
      <c r="V1055" s="38"/>
      <c r="W1055" s="48" t="s">
        <v>195</v>
      </c>
      <c r="X1055" s="38" t="s">
        <v>308</v>
      </c>
      <c r="Y1055" s="49" t="s">
        <v>309</v>
      </c>
      <c r="Z1055" s="50" t="s">
        <v>3243</v>
      </c>
      <c r="AA1055" s="38"/>
      <c r="AB1055" s="38"/>
      <c r="AC1055" s="38"/>
      <c r="AD1055" s="51">
        <v>33</v>
      </c>
      <c r="AE1055" s="51">
        <v>33</v>
      </c>
      <c r="AF1055" s="48" t="s">
        <v>203</v>
      </c>
      <c r="AG1055" s="38" t="s">
        <v>204</v>
      </c>
      <c r="AH1055" s="52"/>
      <c r="AI1055" s="38"/>
      <c r="AJ1055" s="38"/>
    </row>
    <row r="1056" spans="1:36" ht="16.2">
      <c r="A1056" s="42" t="s">
        <v>302</v>
      </c>
      <c r="B1056" s="42">
        <v>689634</v>
      </c>
      <c r="C1056" s="42" t="s">
        <v>3225</v>
      </c>
      <c r="D1056" s="42">
        <v>13207601</v>
      </c>
      <c r="E1056" s="43" t="s">
        <v>3226</v>
      </c>
      <c r="F1056" s="42" t="s">
        <v>3244</v>
      </c>
      <c r="G1056" s="42" t="s">
        <v>195</v>
      </c>
      <c r="H1056" s="42"/>
      <c r="I1056" s="42"/>
      <c r="J1056" s="42">
        <v>13207601</v>
      </c>
      <c r="K1056" s="42"/>
      <c r="L1056" s="44">
        <v>45293</v>
      </c>
      <c r="M1056" s="44">
        <v>45293</v>
      </c>
      <c r="N1056" s="42" t="s">
        <v>601</v>
      </c>
      <c r="O1056" s="46">
        <v>0.01</v>
      </c>
      <c r="P1056" s="42">
        <v>20009822</v>
      </c>
      <c r="Q1056" s="42" t="s">
        <v>3245</v>
      </c>
      <c r="R1056" s="45">
        <v>410</v>
      </c>
      <c r="S1056" s="46">
        <v>0.01</v>
      </c>
      <c r="T1056" s="47" t="s">
        <v>198</v>
      </c>
      <c r="U1056" s="48" t="s">
        <v>199</v>
      </c>
      <c r="V1056" s="38"/>
      <c r="W1056" s="48" t="s">
        <v>195</v>
      </c>
      <c r="X1056" s="38" t="s">
        <v>308</v>
      </c>
      <c r="Y1056" s="49" t="s">
        <v>309</v>
      </c>
      <c r="Z1056" s="50" t="s">
        <v>3246</v>
      </c>
      <c r="AA1056" s="38"/>
      <c r="AB1056" s="38"/>
      <c r="AC1056" s="38"/>
      <c r="AD1056" s="51">
        <v>33</v>
      </c>
      <c r="AE1056" s="51">
        <v>33</v>
      </c>
      <c r="AF1056" s="48" t="s">
        <v>203</v>
      </c>
      <c r="AG1056" s="38" t="s">
        <v>204</v>
      </c>
      <c r="AH1056" s="52"/>
      <c r="AI1056" s="38"/>
      <c r="AJ1056" s="38"/>
    </row>
    <row r="1057" spans="1:36" ht="16.2">
      <c r="A1057" s="53" t="s">
        <v>819</v>
      </c>
      <c r="B1057" s="53">
        <v>71001903</v>
      </c>
      <c r="C1057" s="53" t="s">
        <v>3247</v>
      </c>
      <c r="D1057" s="53">
        <v>13207683</v>
      </c>
      <c r="E1057" s="54" t="s">
        <v>3248</v>
      </c>
      <c r="F1057" s="53" t="s">
        <v>2165</v>
      </c>
      <c r="G1057" s="53" t="s">
        <v>195</v>
      </c>
      <c r="H1057" s="53"/>
      <c r="I1057" s="53"/>
      <c r="J1057" s="53">
        <v>13207683</v>
      </c>
      <c r="K1057" s="53"/>
      <c r="L1057" s="55">
        <v>45293</v>
      </c>
      <c r="M1057" s="55">
        <v>45293</v>
      </c>
      <c r="N1057" s="53" t="s">
        <v>823</v>
      </c>
      <c r="O1057" s="56">
        <v>0.01</v>
      </c>
      <c r="P1057" s="53">
        <v>20065447</v>
      </c>
      <c r="Q1057" s="53" t="s">
        <v>3249</v>
      </c>
      <c r="R1057" s="45">
        <v>410</v>
      </c>
      <c r="S1057" s="56">
        <v>0.01</v>
      </c>
      <c r="T1057" s="47" t="s">
        <v>198</v>
      </c>
      <c r="U1057" s="48" t="s">
        <v>199</v>
      </c>
      <c r="V1057" s="38"/>
      <c r="W1057" s="48" t="s">
        <v>195</v>
      </c>
      <c r="X1057" s="38" t="s">
        <v>426</v>
      </c>
      <c r="Y1057" s="49" t="s">
        <v>427</v>
      </c>
      <c r="Z1057" s="50" t="s">
        <v>3250</v>
      </c>
      <c r="AA1057" s="38"/>
      <c r="AB1057" s="38"/>
      <c r="AC1057" s="38"/>
      <c r="AD1057" s="51">
        <v>62</v>
      </c>
      <c r="AE1057" s="51">
        <v>62</v>
      </c>
      <c r="AF1057" s="48" t="s">
        <v>203</v>
      </c>
      <c r="AG1057" s="38" t="s">
        <v>204</v>
      </c>
      <c r="AH1057" s="52"/>
      <c r="AI1057" s="38"/>
      <c r="AJ1057" s="38"/>
    </row>
    <row r="1058" spans="1:36" ht="16.2">
      <c r="A1058" s="42" t="s">
        <v>819</v>
      </c>
      <c r="B1058" s="42">
        <v>71001903</v>
      </c>
      <c r="C1058" s="42" t="s">
        <v>3247</v>
      </c>
      <c r="D1058" s="42">
        <v>13207683</v>
      </c>
      <c r="E1058" s="43" t="s">
        <v>3248</v>
      </c>
      <c r="F1058" s="42" t="s">
        <v>644</v>
      </c>
      <c r="G1058" s="42" t="s">
        <v>195</v>
      </c>
      <c r="H1058" s="42"/>
      <c r="I1058" s="42"/>
      <c r="J1058" s="42">
        <v>13207683</v>
      </c>
      <c r="K1058" s="42"/>
      <c r="L1058" s="44">
        <v>45293</v>
      </c>
      <c r="M1058" s="44">
        <v>45293</v>
      </c>
      <c r="N1058" s="42" t="s">
        <v>823</v>
      </c>
      <c r="O1058" s="46">
        <v>0.01</v>
      </c>
      <c r="P1058" s="42">
        <v>20065447</v>
      </c>
      <c r="Q1058" s="42" t="s">
        <v>3251</v>
      </c>
      <c r="R1058" s="45">
        <v>410</v>
      </c>
      <c r="S1058" s="46">
        <v>0.01</v>
      </c>
      <c r="T1058" s="47" t="s">
        <v>198</v>
      </c>
      <c r="U1058" s="48" t="s">
        <v>199</v>
      </c>
      <c r="V1058" s="38"/>
      <c r="W1058" s="48" t="s">
        <v>195</v>
      </c>
      <c r="X1058" s="38" t="s">
        <v>426</v>
      </c>
      <c r="Y1058" s="49" t="s">
        <v>427</v>
      </c>
      <c r="Z1058" s="50" t="s">
        <v>3252</v>
      </c>
      <c r="AA1058" s="38"/>
      <c r="AB1058" s="38"/>
      <c r="AC1058" s="38"/>
      <c r="AD1058" s="51">
        <v>62</v>
      </c>
      <c r="AE1058" s="51">
        <v>62</v>
      </c>
      <c r="AF1058" s="48" t="s">
        <v>203</v>
      </c>
      <c r="AG1058" s="38" t="s">
        <v>204</v>
      </c>
      <c r="AH1058" s="52"/>
      <c r="AI1058" s="38"/>
      <c r="AJ1058" s="38"/>
    </row>
    <row r="1059" spans="1:36" ht="16.2">
      <c r="A1059" s="53" t="s">
        <v>819</v>
      </c>
      <c r="B1059" s="53">
        <v>71001903</v>
      </c>
      <c r="C1059" s="53" t="s">
        <v>3247</v>
      </c>
      <c r="D1059" s="53">
        <v>13207683</v>
      </c>
      <c r="E1059" s="54" t="s">
        <v>3248</v>
      </c>
      <c r="F1059" s="53" t="s">
        <v>2170</v>
      </c>
      <c r="G1059" s="53" t="s">
        <v>195</v>
      </c>
      <c r="H1059" s="53"/>
      <c r="I1059" s="53"/>
      <c r="J1059" s="53">
        <v>13207683</v>
      </c>
      <c r="K1059" s="53"/>
      <c r="L1059" s="55">
        <v>45293</v>
      </c>
      <c r="M1059" s="55">
        <v>45293</v>
      </c>
      <c r="N1059" s="53" t="s">
        <v>823</v>
      </c>
      <c r="O1059" s="53">
        <v>0</v>
      </c>
      <c r="P1059" s="53">
        <v>20065447</v>
      </c>
      <c r="Q1059" s="53" t="s">
        <v>3253</v>
      </c>
      <c r="R1059" s="45">
        <v>410</v>
      </c>
      <c r="S1059" s="56">
        <v>0.01</v>
      </c>
      <c r="T1059" s="47" t="s">
        <v>198</v>
      </c>
      <c r="U1059" s="48" t="s">
        <v>199</v>
      </c>
      <c r="V1059" s="38"/>
      <c r="W1059" s="48" t="s">
        <v>195</v>
      </c>
      <c r="X1059" s="38" t="s">
        <v>426</v>
      </c>
      <c r="Y1059" s="49" t="s">
        <v>427</v>
      </c>
      <c r="Z1059" s="50" t="s">
        <v>3254</v>
      </c>
      <c r="AA1059" s="38"/>
      <c r="AB1059" s="38"/>
      <c r="AC1059" s="38"/>
      <c r="AD1059" s="51">
        <v>62</v>
      </c>
      <c r="AE1059" s="51">
        <v>62</v>
      </c>
      <c r="AF1059" s="48" t="s">
        <v>203</v>
      </c>
      <c r="AG1059" s="38" t="s">
        <v>204</v>
      </c>
      <c r="AH1059" s="52"/>
      <c r="AI1059" s="38"/>
      <c r="AJ1059" s="38"/>
    </row>
    <row r="1060" spans="1:36" ht="16.2">
      <c r="A1060" s="42" t="s">
        <v>819</v>
      </c>
      <c r="B1060" s="42">
        <v>71001903</v>
      </c>
      <c r="C1060" s="42" t="s">
        <v>3247</v>
      </c>
      <c r="D1060" s="42">
        <v>13207683</v>
      </c>
      <c r="E1060" s="43" t="s">
        <v>3248</v>
      </c>
      <c r="F1060" s="42" t="s">
        <v>2173</v>
      </c>
      <c r="G1060" s="42" t="s">
        <v>195</v>
      </c>
      <c r="H1060" s="42"/>
      <c r="I1060" s="42"/>
      <c r="J1060" s="42">
        <v>13207683</v>
      </c>
      <c r="K1060" s="42"/>
      <c r="L1060" s="44">
        <v>45293</v>
      </c>
      <c r="M1060" s="44">
        <v>45293</v>
      </c>
      <c r="N1060" s="42" t="s">
        <v>823</v>
      </c>
      <c r="O1060" s="42">
        <v>0</v>
      </c>
      <c r="P1060" s="42">
        <v>20065447</v>
      </c>
      <c r="Q1060" s="42" t="s">
        <v>3255</v>
      </c>
      <c r="R1060" s="45">
        <v>410</v>
      </c>
      <c r="S1060" s="46">
        <v>0.01</v>
      </c>
      <c r="T1060" s="47" t="s">
        <v>198</v>
      </c>
      <c r="U1060" s="48" t="s">
        <v>199</v>
      </c>
      <c r="V1060" s="38"/>
      <c r="W1060" s="48" t="s">
        <v>195</v>
      </c>
      <c r="X1060" s="38" t="s">
        <v>426</v>
      </c>
      <c r="Y1060" s="49" t="s">
        <v>427</v>
      </c>
      <c r="Z1060" s="50" t="s">
        <v>3256</v>
      </c>
      <c r="AA1060" s="38"/>
      <c r="AB1060" s="38"/>
      <c r="AC1060" s="38"/>
      <c r="AD1060" s="51">
        <v>62</v>
      </c>
      <c r="AE1060" s="51">
        <v>62</v>
      </c>
      <c r="AF1060" s="48" t="s">
        <v>203</v>
      </c>
      <c r="AG1060" s="38" t="s">
        <v>204</v>
      </c>
      <c r="AH1060" s="52"/>
      <c r="AI1060" s="38"/>
      <c r="AJ1060" s="38"/>
    </row>
    <row r="1061" spans="1:36" ht="16.2">
      <c r="A1061" s="53" t="s">
        <v>819</v>
      </c>
      <c r="B1061" s="53">
        <v>71001903</v>
      </c>
      <c r="C1061" s="53" t="s">
        <v>3247</v>
      </c>
      <c r="D1061" s="53">
        <v>13207683</v>
      </c>
      <c r="E1061" s="54" t="s">
        <v>3248</v>
      </c>
      <c r="F1061" s="53" t="s">
        <v>2176</v>
      </c>
      <c r="G1061" s="53" t="s">
        <v>195</v>
      </c>
      <c r="H1061" s="53"/>
      <c r="I1061" s="53"/>
      <c r="J1061" s="53">
        <v>13207683</v>
      </c>
      <c r="K1061" s="53"/>
      <c r="L1061" s="55">
        <v>45293</v>
      </c>
      <c r="M1061" s="55">
        <v>45293</v>
      </c>
      <c r="N1061" s="53" t="s">
        <v>823</v>
      </c>
      <c r="O1061" s="53">
        <v>0</v>
      </c>
      <c r="P1061" s="53">
        <v>20065447</v>
      </c>
      <c r="Q1061" s="53" t="s">
        <v>3257</v>
      </c>
      <c r="R1061" s="45">
        <v>410</v>
      </c>
      <c r="S1061" s="56">
        <v>0.01</v>
      </c>
      <c r="T1061" s="47" t="s">
        <v>198</v>
      </c>
      <c r="U1061" s="48" t="s">
        <v>199</v>
      </c>
      <c r="V1061" s="38"/>
      <c r="W1061" s="48" t="s">
        <v>195</v>
      </c>
      <c r="X1061" s="38" t="s">
        <v>426</v>
      </c>
      <c r="Y1061" s="49" t="s">
        <v>427</v>
      </c>
      <c r="Z1061" s="50" t="s">
        <v>3258</v>
      </c>
      <c r="AA1061" s="38"/>
      <c r="AB1061" s="38"/>
      <c r="AC1061" s="38"/>
      <c r="AD1061" s="51">
        <v>62</v>
      </c>
      <c r="AE1061" s="51">
        <v>62</v>
      </c>
      <c r="AF1061" s="48" t="s">
        <v>203</v>
      </c>
      <c r="AG1061" s="38" t="s">
        <v>204</v>
      </c>
      <c r="AH1061" s="52"/>
      <c r="AI1061" s="38"/>
      <c r="AJ1061" s="38"/>
    </row>
    <row r="1062" spans="1:36" ht="16.2">
      <c r="A1062" s="42" t="s">
        <v>819</v>
      </c>
      <c r="B1062" s="42">
        <v>71001903</v>
      </c>
      <c r="C1062" s="42" t="s">
        <v>3247</v>
      </c>
      <c r="D1062" s="42">
        <v>13207683</v>
      </c>
      <c r="E1062" s="43" t="s">
        <v>3248</v>
      </c>
      <c r="F1062" s="42" t="s">
        <v>2179</v>
      </c>
      <c r="G1062" s="42" t="s">
        <v>195</v>
      </c>
      <c r="H1062" s="42"/>
      <c r="I1062" s="42"/>
      <c r="J1062" s="42">
        <v>13207683</v>
      </c>
      <c r="K1062" s="42"/>
      <c r="L1062" s="44">
        <v>45293</v>
      </c>
      <c r="M1062" s="44">
        <v>45293</v>
      </c>
      <c r="N1062" s="42" t="s">
        <v>823</v>
      </c>
      <c r="O1062" s="42">
        <v>0</v>
      </c>
      <c r="P1062" s="42">
        <v>20065447</v>
      </c>
      <c r="Q1062" s="42" t="s">
        <v>3259</v>
      </c>
      <c r="R1062" s="45">
        <v>410</v>
      </c>
      <c r="S1062" s="46">
        <v>0.01</v>
      </c>
      <c r="T1062" s="47" t="s">
        <v>198</v>
      </c>
      <c r="U1062" s="48" t="s">
        <v>199</v>
      </c>
      <c r="V1062" s="38"/>
      <c r="W1062" s="48" t="s">
        <v>195</v>
      </c>
      <c r="X1062" s="38" t="s">
        <v>426</v>
      </c>
      <c r="Y1062" s="49" t="s">
        <v>427</v>
      </c>
      <c r="Z1062" s="50" t="s">
        <v>3260</v>
      </c>
      <c r="AA1062" s="38"/>
      <c r="AB1062" s="38"/>
      <c r="AC1062" s="38"/>
      <c r="AD1062" s="51">
        <v>62</v>
      </c>
      <c r="AE1062" s="51">
        <v>62</v>
      </c>
      <c r="AF1062" s="48" t="s">
        <v>203</v>
      </c>
      <c r="AG1062" s="38" t="s">
        <v>204</v>
      </c>
      <c r="AH1062" s="52"/>
      <c r="AI1062" s="38"/>
      <c r="AJ1062" s="38"/>
    </row>
    <row r="1063" spans="1:36" ht="16.2">
      <c r="A1063" s="53" t="s">
        <v>819</v>
      </c>
      <c r="B1063" s="53">
        <v>71001903</v>
      </c>
      <c r="C1063" s="53" t="s">
        <v>3247</v>
      </c>
      <c r="D1063" s="53">
        <v>13207683</v>
      </c>
      <c r="E1063" s="54" t="s">
        <v>3248</v>
      </c>
      <c r="F1063" s="53" t="s">
        <v>2182</v>
      </c>
      <c r="G1063" s="53" t="s">
        <v>195</v>
      </c>
      <c r="H1063" s="53"/>
      <c r="I1063" s="53"/>
      <c r="J1063" s="53">
        <v>13207683</v>
      </c>
      <c r="K1063" s="53"/>
      <c r="L1063" s="55">
        <v>45293</v>
      </c>
      <c r="M1063" s="55">
        <v>45293</v>
      </c>
      <c r="N1063" s="53" t="s">
        <v>823</v>
      </c>
      <c r="O1063" s="53">
        <v>0</v>
      </c>
      <c r="P1063" s="53">
        <v>20065447</v>
      </c>
      <c r="Q1063" s="53" t="s">
        <v>3261</v>
      </c>
      <c r="R1063" s="45">
        <v>410</v>
      </c>
      <c r="S1063" s="56">
        <v>0.01</v>
      </c>
      <c r="T1063" s="47" t="s">
        <v>198</v>
      </c>
      <c r="U1063" s="48" t="s">
        <v>199</v>
      </c>
      <c r="V1063" s="38"/>
      <c r="W1063" s="48" t="s">
        <v>195</v>
      </c>
      <c r="X1063" s="38" t="s">
        <v>426</v>
      </c>
      <c r="Y1063" s="49" t="s">
        <v>427</v>
      </c>
      <c r="Z1063" s="50" t="s">
        <v>3262</v>
      </c>
      <c r="AA1063" s="38"/>
      <c r="AB1063" s="38"/>
      <c r="AC1063" s="38"/>
      <c r="AD1063" s="51">
        <v>62</v>
      </c>
      <c r="AE1063" s="51">
        <v>62</v>
      </c>
      <c r="AF1063" s="48" t="s">
        <v>203</v>
      </c>
      <c r="AG1063" s="38" t="s">
        <v>204</v>
      </c>
      <c r="AH1063" s="52"/>
      <c r="AI1063" s="38"/>
      <c r="AJ1063" s="38"/>
    </row>
    <row r="1064" spans="1:36" ht="16.2">
      <c r="A1064" s="42" t="s">
        <v>819</v>
      </c>
      <c r="B1064" s="42">
        <v>71001903</v>
      </c>
      <c r="C1064" s="42" t="s">
        <v>3247</v>
      </c>
      <c r="D1064" s="42">
        <v>13207683</v>
      </c>
      <c r="E1064" s="43" t="s">
        <v>3248</v>
      </c>
      <c r="F1064" s="42" t="s">
        <v>2185</v>
      </c>
      <c r="G1064" s="42" t="s">
        <v>195</v>
      </c>
      <c r="H1064" s="42"/>
      <c r="I1064" s="42"/>
      <c r="J1064" s="42">
        <v>13207683</v>
      </c>
      <c r="K1064" s="42"/>
      <c r="L1064" s="44">
        <v>45293</v>
      </c>
      <c r="M1064" s="44">
        <v>45293</v>
      </c>
      <c r="N1064" s="42" t="s">
        <v>823</v>
      </c>
      <c r="O1064" s="42">
        <v>0</v>
      </c>
      <c r="P1064" s="42">
        <v>20065447</v>
      </c>
      <c r="Q1064" s="42" t="s">
        <v>3263</v>
      </c>
      <c r="R1064" s="45">
        <v>410</v>
      </c>
      <c r="S1064" s="46">
        <v>0.01</v>
      </c>
      <c r="T1064" s="47" t="s">
        <v>198</v>
      </c>
      <c r="U1064" s="48" t="s">
        <v>199</v>
      </c>
      <c r="V1064" s="38"/>
      <c r="W1064" s="48" t="s">
        <v>195</v>
      </c>
      <c r="X1064" s="38" t="s">
        <v>426</v>
      </c>
      <c r="Y1064" s="49" t="s">
        <v>427</v>
      </c>
      <c r="Z1064" s="50" t="s">
        <v>3264</v>
      </c>
      <c r="AA1064" s="38"/>
      <c r="AB1064" s="38"/>
      <c r="AC1064" s="38"/>
      <c r="AD1064" s="51">
        <v>62</v>
      </c>
      <c r="AE1064" s="51">
        <v>62</v>
      </c>
      <c r="AF1064" s="48" t="s">
        <v>203</v>
      </c>
      <c r="AG1064" s="38" t="s">
        <v>204</v>
      </c>
      <c r="AH1064" s="52"/>
      <c r="AI1064" s="38"/>
      <c r="AJ1064" s="38"/>
    </row>
    <row r="1065" spans="1:36" ht="16.2">
      <c r="A1065" s="53" t="s">
        <v>819</v>
      </c>
      <c r="B1065" s="53">
        <v>71001903</v>
      </c>
      <c r="C1065" s="53" t="s">
        <v>3247</v>
      </c>
      <c r="D1065" s="53">
        <v>13207683</v>
      </c>
      <c r="E1065" s="54" t="s">
        <v>3248</v>
      </c>
      <c r="F1065" s="53" t="s">
        <v>2188</v>
      </c>
      <c r="G1065" s="53" t="s">
        <v>195</v>
      </c>
      <c r="H1065" s="53"/>
      <c r="I1065" s="53"/>
      <c r="J1065" s="53">
        <v>13207683</v>
      </c>
      <c r="K1065" s="53"/>
      <c r="L1065" s="55">
        <v>45293</v>
      </c>
      <c r="M1065" s="55">
        <v>45293</v>
      </c>
      <c r="N1065" s="53" t="s">
        <v>823</v>
      </c>
      <c r="O1065" s="53">
        <v>0</v>
      </c>
      <c r="P1065" s="53">
        <v>20065447</v>
      </c>
      <c r="Q1065" s="53" t="s">
        <v>3265</v>
      </c>
      <c r="R1065" s="45">
        <v>410</v>
      </c>
      <c r="S1065" s="56">
        <v>0.01</v>
      </c>
      <c r="T1065" s="47" t="s">
        <v>198</v>
      </c>
      <c r="U1065" s="48" t="s">
        <v>199</v>
      </c>
      <c r="V1065" s="38"/>
      <c r="W1065" s="48" t="s">
        <v>195</v>
      </c>
      <c r="X1065" s="38" t="s">
        <v>426</v>
      </c>
      <c r="Y1065" s="49" t="s">
        <v>427</v>
      </c>
      <c r="Z1065" s="50" t="s">
        <v>3266</v>
      </c>
      <c r="AA1065" s="38"/>
      <c r="AB1065" s="38"/>
      <c r="AC1065" s="38"/>
      <c r="AD1065" s="51">
        <v>62</v>
      </c>
      <c r="AE1065" s="51">
        <v>62</v>
      </c>
      <c r="AF1065" s="48" t="s">
        <v>203</v>
      </c>
      <c r="AG1065" s="38" t="s">
        <v>204</v>
      </c>
      <c r="AH1065" s="52"/>
      <c r="AI1065" s="38"/>
      <c r="AJ1065" s="38"/>
    </row>
    <row r="1066" spans="1:36" ht="16.2">
      <c r="A1066" s="42" t="s">
        <v>819</v>
      </c>
      <c r="B1066" s="42">
        <v>71001903</v>
      </c>
      <c r="C1066" s="42" t="s">
        <v>3247</v>
      </c>
      <c r="D1066" s="42">
        <v>13207683</v>
      </c>
      <c r="E1066" s="43" t="s">
        <v>3248</v>
      </c>
      <c r="F1066" s="42" t="s">
        <v>470</v>
      </c>
      <c r="G1066" s="42" t="s">
        <v>195</v>
      </c>
      <c r="H1066" s="42"/>
      <c r="I1066" s="42"/>
      <c r="J1066" s="42">
        <v>13207683</v>
      </c>
      <c r="K1066" s="42"/>
      <c r="L1066" s="44">
        <v>45293</v>
      </c>
      <c r="M1066" s="44">
        <v>45293</v>
      </c>
      <c r="N1066" s="42" t="s">
        <v>823</v>
      </c>
      <c r="O1066" s="42">
        <v>0</v>
      </c>
      <c r="P1066" s="42">
        <v>20065447</v>
      </c>
      <c r="Q1066" s="42" t="s">
        <v>3267</v>
      </c>
      <c r="R1066" s="45">
        <v>410</v>
      </c>
      <c r="S1066" s="46">
        <v>0.01</v>
      </c>
      <c r="T1066" s="47" t="s">
        <v>198</v>
      </c>
      <c r="U1066" s="48" t="s">
        <v>199</v>
      </c>
      <c r="V1066" s="38"/>
      <c r="W1066" s="48" t="s">
        <v>195</v>
      </c>
      <c r="X1066" s="38" t="s">
        <v>426</v>
      </c>
      <c r="Y1066" s="49" t="s">
        <v>427</v>
      </c>
      <c r="Z1066" s="50" t="s">
        <v>3268</v>
      </c>
      <c r="AA1066" s="38"/>
      <c r="AB1066" s="38"/>
      <c r="AC1066" s="38"/>
      <c r="AD1066" s="51">
        <v>62</v>
      </c>
      <c r="AE1066" s="51">
        <v>62</v>
      </c>
      <c r="AF1066" s="48" t="s">
        <v>203</v>
      </c>
      <c r="AG1066" s="38" t="s">
        <v>204</v>
      </c>
      <c r="AH1066" s="52"/>
      <c r="AI1066" s="38"/>
      <c r="AJ1066" s="38"/>
    </row>
    <row r="1067" spans="1:36" ht="16.2">
      <c r="A1067" s="53" t="s">
        <v>819</v>
      </c>
      <c r="B1067" s="53">
        <v>71001903</v>
      </c>
      <c r="C1067" s="53" t="s">
        <v>3247</v>
      </c>
      <c r="D1067" s="53">
        <v>13207683</v>
      </c>
      <c r="E1067" s="54" t="s">
        <v>3248</v>
      </c>
      <c r="F1067" s="53" t="s">
        <v>2193</v>
      </c>
      <c r="G1067" s="53" t="s">
        <v>195</v>
      </c>
      <c r="H1067" s="53"/>
      <c r="I1067" s="53"/>
      <c r="J1067" s="53">
        <v>13207683</v>
      </c>
      <c r="K1067" s="53"/>
      <c r="L1067" s="55">
        <v>45293</v>
      </c>
      <c r="M1067" s="55">
        <v>45293</v>
      </c>
      <c r="N1067" s="53" t="s">
        <v>823</v>
      </c>
      <c r="O1067" s="53">
        <v>0</v>
      </c>
      <c r="P1067" s="53">
        <v>20065447</v>
      </c>
      <c r="Q1067" s="53" t="s">
        <v>3269</v>
      </c>
      <c r="R1067" s="45">
        <v>410</v>
      </c>
      <c r="S1067" s="56">
        <v>0.01</v>
      </c>
      <c r="T1067" s="47" t="s">
        <v>198</v>
      </c>
      <c r="U1067" s="48" t="s">
        <v>199</v>
      </c>
      <c r="V1067" s="38"/>
      <c r="W1067" s="48" t="s">
        <v>195</v>
      </c>
      <c r="X1067" s="38" t="s">
        <v>426</v>
      </c>
      <c r="Y1067" s="49" t="s">
        <v>427</v>
      </c>
      <c r="Z1067" s="50" t="s">
        <v>3270</v>
      </c>
      <c r="AA1067" s="38"/>
      <c r="AB1067" s="38"/>
      <c r="AC1067" s="38"/>
      <c r="AD1067" s="51">
        <v>62</v>
      </c>
      <c r="AE1067" s="51">
        <v>62</v>
      </c>
      <c r="AF1067" s="48" t="s">
        <v>203</v>
      </c>
      <c r="AG1067" s="38" t="s">
        <v>204</v>
      </c>
      <c r="AH1067" s="52"/>
      <c r="AI1067" s="38"/>
      <c r="AJ1067" s="38"/>
    </row>
    <row r="1068" spans="1:36" ht="16.2">
      <c r="A1068" s="42" t="s">
        <v>819</v>
      </c>
      <c r="B1068" s="42">
        <v>71001903</v>
      </c>
      <c r="C1068" s="42" t="s">
        <v>3247</v>
      </c>
      <c r="D1068" s="42">
        <v>13207683</v>
      </c>
      <c r="E1068" s="43" t="s">
        <v>3248</v>
      </c>
      <c r="F1068" s="42" t="s">
        <v>2196</v>
      </c>
      <c r="G1068" s="42" t="s">
        <v>195</v>
      </c>
      <c r="H1068" s="42"/>
      <c r="I1068" s="42"/>
      <c r="J1068" s="42">
        <v>13207683</v>
      </c>
      <c r="K1068" s="42"/>
      <c r="L1068" s="44">
        <v>45293</v>
      </c>
      <c r="M1068" s="44">
        <v>45293</v>
      </c>
      <c r="N1068" s="42" t="s">
        <v>823</v>
      </c>
      <c r="O1068" s="42">
        <v>0</v>
      </c>
      <c r="P1068" s="42">
        <v>20065447</v>
      </c>
      <c r="Q1068" s="42" t="s">
        <v>3271</v>
      </c>
      <c r="R1068" s="45">
        <v>410</v>
      </c>
      <c r="S1068" s="46">
        <v>0.01</v>
      </c>
      <c r="T1068" s="47" t="s">
        <v>198</v>
      </c>
      <c r="U1068" s="48" t="s">
        <v>199</v>
      </c>
      <c r="V1068" s="38"/>
      <c r="W1068" s="48" t="s">
        <v>195</v>
      </c>
      <c r="X1068" s="38" t="s">
        <v>426</v>
      </c>
      <c r="Y1068" s="49" t="s">
        <v>427</v>
      </c>
      <c r="Z1068" s="50" t="s">
        <v>3272</v>
      </c>
      <c r="AA1068" s="38"/>
      <c r="AB1068" s="38"/>
      <c r="AC1068" s="38"/>
      <c r="AD1068" s="51">
        <v>62</v>
      </c>
      <c r="AE1068" s="51">
        <v>62</v>
      </c>
      <c r="AF1068" s="48" t="s">
        <v>203</v>
      </c>
      <c r="AG1068" s="38" t="s">
        <v>204</v>
      </c>
      <c r="AH1068" s="52"/>
      <c r="AI1068" s="38"/>
      <c r="AJ1068" s="38"/>
    </row>
    <row r="1069" spans="1:36" ht="16.2">
      <c r="A1069" s="53" t="s">
        <v>819</v>
      </c>
      <c r="B1069" s="53">
        <v>71001903</v>
      </c>
      <c r="C1069" s="53" t="s">
        <v>3247</v>
      </c>
      <c r="D1069" s="53">
        <v>13207683</v>
      </c>
      <c r="E1069" s="54" t="s">
        <v>3248</v>
      </c>
      <c r="F1069" s="53" t="s">
        <v>2199</v>
      </c>
      <c r="G1069" s="53" t="s">
        <v>195</v>
      </c>
      <c r="H1069" s="53"/>
      <c r="I1069" s="53"/>
      <c r="J1069" s="53">
        <v>13207683</v>
      </c>
      <c r="K1069" s="53"/>
      <c r="L1069" s="55">
        <v>45293</v>
      </c>
      <c r="M1069" s="55">
        <v>45293</v>
      </c>
      <c r="N1069" s="53" t="s">
        <v>823</v>
      </c>
      <c r="O1069" s="53">
        <v>0</v>
      </c>
      <c r="P1069" s="53">
        <v>20065447</v>
      </c>
      <c r="Q1069" s="53" t="s">
        <v>3273</v>
      </c>
      <c r="R1069" s="45">
        <v>410</v>
      </c>
      <c r="S1069" s="56">
        <v>0.01</v>
      </c>
      <c r="T1069" s="47" t="s">
        <v>198</v>
      </c>
      <c r="U1069" s="48" t="s">
        <v>199</v>
      </c>
      <c r="V1069" s="38"/>
      <c r="W1069" s="48" t="s">
        <v>195</v>
      </c>
      <c r="X1069" s="38" t="s">
        <v>426</v>
      </c>
      <c r="Y1069" s="49" t="s">
        <v>427</v>
      </c>
      <c r="Z1069" s="50" t="s">
        <v>3274</v>
      </c>
      <c r="AA1069" s="38"/>
      <c r="AB1069" s="38"/>
      <c r="AC1069" s="38"/>
      <c r="AD1069" s="51">
        <v>62</v>
      </c>
      <c r="AE1069" s="51">
        <v>62</v>
      </c>
      <c r="AF1069" s="48" t="s">
        <v>203</v>
      </c>
      <c r="AG1069" s="38" t="s">
        <v>204</v>
      </c>
      <c r="AH1069" s="52"/>
      <c r="AI1069" s="38"/>
      <c r="AJ1069" s="38"/>
    </row>
    <row r="1070" spans="1:36" ht="16.2">
      <c r="A1070" s="42" t="s">
        <v>819</v>
      </c>
      <c r="B1070" s="42">
        <v>71001903</v>
      </c>
      <c r="C1070" s="42" t="s">
        <v>3247</v>
      </c>
      <c r="D1070" s="42">
        <v>13207683</v>
      </c>
      <c r="E1070" s="43" t="s">
        <v>3248</v>
      </c>
      <c r="F1070" s="42" t="s">
        <v>2211</v>
      </c>
      <c r="G1070" s="42" t="s">
        <v>195</v>
      </c>
      <c r="H1070" s="42"/>
      <c r="I1070" s="42"/>
      <c r="J1070" s="42">
        <v>13207683</v>
      </c>
      <c r="K1070" s="42"/>
      <c r="L1070" s="44">
        <v>45293</v>
      </c>
      <c r="M1070" s="44">
        <v>45293</v>
      </c>
      <c r="N1070" s="42" t="s">
        <v>823</v>
      </c>
      <c r="O1070" s="42">
        <v>0</v>
      </c>
      <c r="P1070" s="42">
        <v>20065447</v>
      </c>
      <c r="Q1070" s="42" t="s">
        <v>3275</v>
      </c>
      <c r="R1070" s="45">
        <v>410</v>
      </c>
      <c r="S1070" s="46">
        <v>0.01</v>
      </c>
      <c r="T1070" s="47" t="s">
        <v>198</v>
      </c>
      <c r="U1070" s="48" t="s">
        <v>199</v>
      </c>
      <c r="V1070" s="38"/>
      <c r="W1070" s="48" t="s">
        <v>195</v>
      </c>
      <c r="X1070" s="38" t="s">
        <v>426</v>
      </c>
      <c r="Y1070" s="49" t="s">
        <v>427</v>
      </c>
      <c r="Z1070" s="50" t="s">
        <v>3276</v>
      </c>
      <c r="AA1070" s="38"/>
      <c r="AB1070" s="38"/>
      <c r="AC1070" s="38"/>
      <c r="AD1070" s="51">
        <v>62</v>
      </c>
      <c r="AE1070" s="51">
        <v>62</v>
      </c>
      <c r="AF1070" s="48" t="s">
        <v>203</v>
      </c>
      <c r="AG1070" s="38" t="s">
        <v>204</v>
      </c>
      <c r="AH1070" s="52"/>
      <c r="AI1070" s="38"/>
      <c r="AJ1070" s="38"/>
    </row>
    <row r="1071" spans="1:36" ht="16.2">
      <c r="A1071" s="53" t="s">
        <v>819</v>
      </c>
      <c r="B1071" s="53">
        <v>71001903</v>
      </c>
      <c r="C1071" s="53" t="s">
        <v>3247</v>
      </c>
      <c r="D1071" s="53">
        <v>13207683</v>
      </c>
      <c r="E1071" s="54" t="s">
        <v>3248</v>
      </c>
      <c r="F1071" s="53" t="s">
        <v>2214</v>
      </c>
      <c r="G1071" s="53" t="s">
        <v>195</v>
      </c>
      <c r="H1071" s="53"/>
      <c r="I1071" s="53"/>
      <c r="J1071" s="53">
        <v>13207683</v>
      </c>
      <c r="K1071" s="53"/>
      <c r="L1071" s="55">
        <v>45293</v>
      </c>
      <c r="M1071" s="55">
        <v>45293</v>
      </c>
      <c r="N1071" s="53" t="s">
        <v>823</v>
      </c>
      <c r="O1071" s="53">
        <v>0</v>
      </c>
      <c r="P1071" s="53">
        <v>20065447</v>
      </c>
      <c r="Q1071" s="53" t="s">
        <v>3277</v>
      </c>
      <c r="R1071" s="45">
        <v>410</v>
      </c>
      <c r="S1071" s="56">
        <v>0.01</v>
      </c>
      <c r="T1071" s="47" t="s">
        <v>198</v>
      </c>
      <c r="U1071" s="48" t="s">
        <v>199</v>
      </c>
      <c r="V1071" s="38"/>
      <c r="W1071" s="48" t="s">
        <v>195</v>
      </c>
      <c r="X1071" s="38" t="s">
        <v>426</v>
      </c>
      <c r="Y1071" s="49" t="s">
        <v>427</v>
      </c>
      <c r="Z1071" s="50" t="s">
        <v>3278</v>
      </c>
      <c r="AA1071" s="38"/>
      <c r="AB1071" s="38"/>
      <c r="AC1071" s="38"/>
      <c r="AD1071" s="51">
        <v>62</v>
      </c>
      <c r="AE1071" s="51">
        <v>62</v>
      </c>
      <c r="AF1071" s="48" t="s">
        <v>203</v>
      </c>
      <c r="AG1071" s="38" t="s">
        <v>204</v>
      </c>
      <c r="AH1071" s="52"/>
      <c r="AI1071" s="38"/>
      <c r="AJ1071" s="38"/>
    </row>
    <row r="1072" spans="1:36" ht="16.2">
      <c r="A1072" s="42" t="s">
        <v>819</v>
      </c>
      <c r="B1072" s="42">
        <v>71001903</v>
      </c>
      <c r="C1072" s="42" t="s">
        <v>3247</v>
      </c>
      <c r="D1072" s="42">
        <v>13207683</v>
      </c>
      <c r="E1072" s="43" t="s">
        <v>3248</v>
      </c>
      <c r="F1072" s="42" t="s">
        <v>3279</v>
      </c>
      <c r="G1072" s="42" t="s">
        <v>195</v>
      </c>
      <c r="H1072" s="42"/>
      <c r="I1072" s="42"/>
      <c r="J1072" s="42">
        <v>13207683</v>
      </c>
      <c r="K1072" s="42"/>
      <c r="L1072" s="44">
        <v>45293</v>
      </c>
      <c r="M1072" s="44">
        <v>45293</v>
      </c>
      <c r="N1072" s="42" t="s">
        <v>823</v>
      </c>
      <c r="O1072" s="42">
        <v>0</v>
      </c>
      <c r="P1072" s="42">
        <v>20065447</v>
      </c>
      <c r="Q1072" s="42" t="s">
        <v>3280</v>
      </c>
      <c r="R1072" s="45">
        <v>410</v>
      </c>
      <c r="S1072" s="46">
        <v>0.01</v>
      </c>
      <c r="T1072" s="47" t="s">
        <v>198</v>
      </c>
      <c r="U1072" s="48" t="s">
        <v>199</v>
      </c>
      <c r="V1072" s="38"/>
      <c r="W1072" s="48" t="s">
        <v>195</v>
      </c>
      <c r="X1072" s="38" t="s">
        <v>426</v>
      </c>
      <c r="Y1072" s="49" t="s">
        <v>427</v>
      </c>
      <c r="Z1072" s="50" t="s">
        <v>3281</v>
      </c>
      <c r="AA1072" s="38"/>
      <c r="AB1072" s="38"/>
      <c r="AC1072" s="38"/>
      <c r="AD1072" s="51">
        <v>62</v>
      </c>
      <c r="AE1072" s="51">
        <v>62</v>
      </c>
      <c r="AF1072" s="48" t="s">
        <v>203</v>
      </c>
      <c r="AG1072" s="38" t="s">
        <v>204</v>
      </c>
      <c r="AH1072" s="52"/>
      <c r="AI1072" s="38"/>
      <c r="AJ1072" s="38"/>
    </row>
    <row r="1073" spans="1:36" ht="16.2">
      <c r="A1073" s="53" t="s">
        <v>340</v>
      </c>
      <c r="B1073" s="53">
        <v>820303</v>
      </c>
      <c r="C1073" s="53" t="s">
        <v>3282</v>
      </c>
      <c r="D1073" s="53">
        <v>13207631</v>
      </c>
      <c r="E1073" s="54" t="s">
        <v>3283</v>
      </c>
      <c r="F1073" s="53" t="s">
        <v>3284</v>
      </c>
      <c r="G1073" s="53" t="s">
        <v>195</v>
      </c>
      <c r="H1073" s="53"/>
      <c r="I1073" s="53"/>
      <c r="J1073" s="53">
        <v>13207631</v>
      </c>
      <c r="K1073" s="53"/>
      <c r="L1073" s="55">
        <v>45293</v>
      </c>
      <c r="M1073" s="55">
        <v>45293</v>
      </c>
      <c r="N1073" s="53" t="s">
        <v>343</v>
      </c>
      <c r="O1073" s="53">
        <v>0</v>
      </c>
      <c r="P1073" s="53">
        <v>20009992</v>
      </c>
      <c r="Q1073" s="53" t="s">
        <v>3285</v>
      </c>
      <c r="R1073" s="45">
        <v>410</v>
      </c>
      <c r="S1073" s="56">
        <v>0.01</v>
      </c>
      <c r="T1073" s="47" t="s">
        <v>198</v>
      </c>
      <c r="U1073" s="48" t="s">
        <v>199</v>
      </c>
      <c r="V1073" s="38"/>
      <c r="W1073" s="48" t="s">
        <v>195</v>
      </c>
      <c r="X1073" s="38" t="s">
        <v>308</v>
      </c>
      <c r="Y1073" s="49" t="s">
        <v>309</v>
      </c>
      <c r="Z1073" s="50" t="s">
        <v>3286</v>
      </c>
      <c r="AA1073" s="38"/>
      <c r="AB1073" s="38"/>
      <c r="AC1073" s="38"/>
      <c r="AD1073" s="51">
        <v>40</v>
      </c>
      <c r="AE1073" s="51">
        <v>40</v>
      </c>
      <c r="AF1073" s="48" t="s">
        <v>203</v>
      </c>
      <c r="AG1073" s="38" t="s">
        <v>204</v>
      </c>
      <c r="AH1073" s="52"/>
      <c r="AI1073" s="38"/>
      <c r="AJ1073" s="38"/>
    </row>
    <row r="1074" spans="1:36" ht="16.2">
      <c r="A1074" s="42" t="s">
        <v>302</v>
      </c>
      <c r="B1074" s="42">
        <v>900236</v>
      </c>
      <c r="C1074" s="42" t="s">
        <v>3287</v>
      </c>
      <c r="D1074" s="42">
        <v>13207602</v>
      </c>
      <c r="E1074" s="43" t="s">
        <v>3288</v>
      </c>
      <c r="F1074" s="42" t="s">
        <v>3289</v>
      </c>
      <c r="G1074" s="42" t="s">
        <v>195</v>
      </c>
      <c r="H1074" s="42"/>
      <c r="I1074" s="42"/>
      <c r="J1074" s="42">
        <v>13207602</v>
      </c>
      <c r="K1074" s="42"/>
      <c r="L1074" s="44">
        <v>45293</v>
      </c>
      <c r="M1074" s="44">
        <v>45293</v>
      </c>
      <c r="N1074" s="42" t="s">
        <v>408</v>
      </c>
      <c r="O1074" s="42">
        <v>0</v>
      </c>
      <c r="P1074" s="42">
        <v>94542837</v>
      </c>
      <c r="Q1074" s="42" t="s">
        <v>3290</v>
      </c>
      <c r="R1074" s="45">
        <v>410</v>
      </c>
      <c r="S1074" s="46">
        <v>0.01</v>
      </c>
      <c r="T1074" s="47" t="s">
        <v>198</v>
      </c>
      <c r="U1074" s="48" t="s">
        <v>199</v>
      </c>
      <c r="V1074" s="38"/>
      <c r="W1074" s="48" t="s">
        <v>195</v>
      </c>
      <c r="X1074" s="38" t="s">
        <v>308</v>
      </c>
      <c r="Y1074" s="49" t="s">
        <v>309</v>
      </c>
      <c r="Z1074" s="50" t="s">
        <v>3291</v>
      </c>
      <c r="AA1074" s="38"/>
      <c r="AB1074" s="38"/>
      <c r="AC1074" s="38"/>
      <c r="AD1074" s="51">
        <v>65</v>
      </c>
      <c r="AE1074" s="51">
        <v>65</v>
      </c>
      <c r="AF1074" s="48" t="s">
        <v>203</v>
      </c>
      <c r="AG1074" s="38" t="s">
        <v>204</v>
      </c>
      <c r="AH1074" s="52"/>
      <c r="AI1074" s="38"/>
      <c r="AJ1074" s="38"/>
    </row>
    <row r="1075" spans="1:36" ht="16.2">
      <c r="A1075" s="53" t="s">
        <v>302</v>
      </c>
      <c r="B1075" s="53">
        <v>900237</v>
      </c>
      <c r="C1075" s="53" t="s">
        <v>3292</v>
      </c>
      <c r="D1075" s="53">
        <v>13207603</v>
      </c>
      <c r="E1075" s="54" t="s">
        <v>3293</v>
      </c>
      <c r="F1075" s="53" t="s">
        <v>3294</v>
      </c>
      <c r="G1075" s="53" t="s">
        <v>195</v>
      </c>
      <c r="H1075" s="53"/>
      <c r="I1075" s="53"/>
      <c r="J1075" s="53">
        <v>13207603</v>
      </c>
      <c r="K1075" s="53"/>
      <c r="L1075" s="55">
        <v>45293</v>
      </c>
      <c r="M1075" s="55">
        <v>45293</v>
      </c>
      <c r="N1075" s="53" t="s">
        <v>408</v>
      </c>
      <c r="O1075" s="53">
        <v>0</v>
      </c>
      <c r="P1075" s="53">
        <v>94542837</v>
      </c>
      <c r="Q1075" s="53" t="s">
        <v>3295</v>
      </c>
      <c r="R1075" s="45">
        <v>410</v>
      </c>
      <c r="S1075" s="56">
        <v>0.01</v>
      </c>
      <c r="T1075" s="47" t="s">
        <v>198</v>
      </c>
      <c r="U1075" s="48" t="s">
        <v>199</v>
      </c>
      <c r="V1075" s="38"/>
      <c r="W1075" s="48" t="s">
        <v>195</v>
      </c>
      <c r="X1075" s="38" t="s">
        <v>308</v>
      </c>
      <c r="Y1075" s="49" t="s">
        <v>309</v>
      </c>
      <c r="Z1075" s="50" t="s">
        <v>3296</v>
      </c>
      <c r="AA1075" s="38"/>
      <c r="AB1075" s="38"/>
      <c r="AC1075" s="38"/>
      <c r="AD1075" s="51">
        <v>65</v>
      </c>
      <c r="AE1075" s="51">
        <v>65</v>
      </c>
      <c r="AF1075" s="48" t="s">
        <v>203</v>
      </c>
      <c r="AG1075" s="38" t="s">
        <v>204</v>
      </c>
      <c r="AH1075" s="52"/>
      <c r="AI1075" s="38"/>
      <c r="AJ1075" s="38"/>
    </row>
    <row r="1076" spans="1:36" ht="16.2">
      <c r="A1076" s="42" t="s">
        <v>857</v>
      </c>
      <c r="B1076" s="42">
        <v>820138</v>
      </c>
      <c r="C1076" s="42" t="s">
        <v>3297</v>
      </c>
      <c r="D1076" s="42">
        <v>13207701</v>
      </c>
      <c r="E1076" s="43" t="s">
        <v>3298</v>
      </c>
      <c r="F1076" s="42" t="s">
        <v>1151</v>
      </c>
      <c r="G1076" s="42" t="s">
        <v>195</v>
      </c>
      <c r="H1076" s="42" t="s">
        <v>3299</v>
      </c>
      <c r="I1076" s="42"/>
      <c r="J1076" s="42">
        <v>13207701</v>
      </c>
      <c r="K1076" s="42"/>
      <c r="L1076" s="44">
        <v>45293</v>
      </c>
      <c r="M1076" s="44">
        <v>45293</v>
      </c>
      <c r="N1076" s="42" t="s">
        <v>1529</v>
      </c>
      <c r="O1076" s="42">
        <v>0</v>
      </c>
      <c r="P1076" s="42">
        <v>20031098</v>
      </c>
      <c r="Q1076" s="42" t="s">
        <v>3300</v>
      </c>
      <c r="R1076" s="45">
        <v>410</v>
      </c>
      <c r="S1076" s="46">
        <v>0.01</v>
      </c>
      <c r="T1076" s="47" t="s">
        <v>198</v>
      </c>
      <c r="U1076" s="48" t="s">
        <v>199</v>
      </c>
      <c r="V1076" s="38"/>
      <c r="W1076" s="48" t="s">
        <v>195</v>
      </c>
      <c r="X1076" s="38" t="s">
        <v>426</v>
      </c>
      <c r="Y1076" s="49" t="s">
        <v>427</v>
      </c>
      <c r="Z1076" s="50" t="s">
        <v>3301</v>
      </c>
      <c r="AA1076" s="47" t="s">
        <v>3302</v>
      </c>
      <c r="AB1076" s="38"/>
      <c r="AC1076" s="38"/>
      <c r="AD1076" s="51">
        <v>26</v>
      </c>
      <c r="AE1076" s="51">
        <v>26</v>
      </c>
      <c r="AF1076" s="48" t="s">
        <v>203</v>
      </c>
      <c r="AG1076" s="38" t="s">
        <v>204</v>
      </c>
      <c r="AH1076" s="52"/>
      <c r="AI1076" s="38"/>
      <c r="AJ1076" s="38"/>
    </row>
    <row r="1077" spans="1:36" ht="16.2">
      <c r="A1077" s="53" t="s">
        <v>857</v>
      </c>
      <c r="B1077" s="53">
        <v>820138</v>
      </c>
      <c r="C1077" s="53" t="s">
        <v>3297</v>
      </c>
      <c r="D1077" s="53">
        <v>13207701</v>
      </c>
      <c r="E1077" s="54" t="s">
        <v>3298</v>
      </c>
      <c r="F1077" s="53" t="s">
        <v>235</v>
      </c>
      <c r="G1077" s="53" t="s">
        <v>195</v>
      </c>
      <c r="H1077" s="53"/>
      <c r="I1077" s="53"/>
      <c r="J1077" s="53">
        <v>13207701</v>
      </c>
      <c r="K1077" s="53"/>
      <c r="L1077" s="55">
        <v>45293</v>
      </c>
      <c r="M1077" s="55">
        <v>45293</v>
      </c>
      <c r="N1077" s="53" t="s">
        <v>1529</v>
      </c>
      <c r="O1077" s="53">
        <v>0</v>
      </c>
      <c r="P1077" s="53">
        <v>20031098</v>
      </c>
      <c r="Q1077" s="53" t="s">
        <v>3303</v>
      </c>
      <c r="R1077" s="45">
        <v>410</v>
      </c>
      <c r="S1077" s="53">
        <v>0</v>
      </c>
      <c r="T1077" s="47" t="s">
        <v>198</v>
      </c>
      <c r="U1077" s="48" t="s">
        <v>199</v>
      </c>
      <c r="V1077" s="38"/>
      <c r="W1077" s="48" t="s">
        <v>195</v>
      </c>
      <c r="X1077" s="38" t="s">
        <v>426</v>
      </c>
      <c r="Y1077" s="49" t="s">
        <v>427</v>
      </c>
      <c r="Z1077" s="50" t="s">
        <v>3304</v>
      </c>
      <c r="AA1077" s="38"/>
      <c r="AB1077" s="38"/>
      <c r="AC1077" s="38"/>
      <c r="AD1077" s="51">
        <v>26</v>
      </c>
      <c r="AE1077" s="51">
        <v>26</v>
      </c>
      <c r="AF1077" s="48" t="s">
        <v>203</v>
      </c>
      <c r="AG1077" s="38" t="s">
        <v>204</v>
      </c>
      <c r="AH1077" s="52"/>
      <c r="AI1077" s="38"/>
      <c r="AJ1077" s="38"/>
    </row>
    <row r="1078" spans="1:36" ht="16.2">
      <c r="A1078" s="42" t="s">
        <v>857</v>
      </c>
      <c r="B1078" s="42">
        <v>820138</v>
      </c>
      <c r="C1078" s="42" t="s">
        <v>3297</v>
      </c>
      <c r="D1078" s="42">
        <v>13207701</v>
      </c>
      <c r="E1078" s="43" t="s">
        <v>3298</v>
      </c>
      <c r="F1078" s="42" t="s">
        <v>1636</v>
      </c>
      <c r="G1078" s="42" t="s">
        <v>195</v>
      </c>
      <c r="H1078" s="42"/>
      <c r="I1078" s="42"/>
      <c r="J1078" s="42">
        <v>13207701</v>
      </c>
      <c r="K1078" s="42"/>
      <c r="L1078" s="44">
        <v>45293</v>
      </c>
      <c r="M1078" s="44">
        <v>45293</v>
      </c>
      <c r="N1078" s="42" t="s">
        <v>1529</v>
      </c>
      <c r="O1078" s="42">
        <v>0</v>
      </c>
      <c r="P1078" s="42">
        <v>20031098</v>
      </c>
      <c r="Q1078" s="42" t="s">
        <v>3305</v>
      </c>
      <c r="R1078" s="45">
        <v>410</v>
      </c>
      <c r="S1078" s="46">
        <v>0.01</v>
      </c>
      <c r="T1078" s="47" t="s">
        <v>198</v>
      </c>
      <c r="U1078" s="48" t="s">
        <v>199</v>
      </c>
      <c r="V1078" s="38"/>
      <c r="W1078" s="48" t="s">
        <v>195</v>
      </c>
      <c r="X1078" s="38" t="s">
        <v>426</v>
      </c>
      <c r="Y1078" s="49" t="s">
        <v>427</v>
      </c>
      <c r="Z1078" s="50" t="s">
        <v>3306</v>
      </c>
      <c r="AA1078" s="38"/>
      <c r="AB1078" s="38"/>
      <c r="AC1078" s="38"/>
      <c r="AD1078" s="51">
        <v>26</v>
      </c>
      <c r="AE1078" s="51">
        <v>26</v>
      </c>
      <c r="AF1078" s="48" t="s">
        <v>203</v>
      </c>
      <c r="AG1078" s="38" t="s">
        <v>204</v>
      </c>
      <c r="AH1078" s="52"/>
      <c r="AI1078" s="38"/>
      <c r="AJ1078" s="38"/>
    </row>
    <row r="1079" spans="1:36" ht="16.2">
      <c r="A1079" s="53" t="s">
        <v>857</v>
      </c>
      <c r="B1079" s="53">
        <v>820138</v>
      </c>
      <c r="C1079" s="53" t="s">
        <v>3297</v>
      </c>
      <c r="D1079" s="53">
        <v>13207701</v>
      </c>
      <c r="E1079" s="54" t="s">
        <v>3298</v>
      </c>
      <c r="F1079" s="53" t="s">
        <v>2007</v>
      </c>
      <c r="G1079" s="53" t="s">
        <v>195</v>
      </c>
      <c r="H1079" s="53"/>
      <c r="I1079" s="53"/>
      <c r="J1079" s="53">
        <v>13207701</v>
      </c>
      <c r="K1079" s="53"/>
      <c r="L1079" s="55">
        <v>45293</v>
      </c>
      <c r="M1079" s="55">
        <v>45293</v>
      </c>
      <c r="N1079" s="53" t="s">
        <v>1529</v>
      </c>
      <c r="O1079" s="53">
        <v>0</v>
      </c>
      <c r="P1079" s="53">
        <v>20031098</v>
      </c>
      <c r="Q1079" s="53" t="s">
        <v>3307</v>
      </c>
      <c r="R1079" s="45">
        <v>410</v>
      </c>
      <c r="S1079" s="56">
        <v>0.01</v>
      </c>
      <c r="T1079" s="47" t="s">
        <v>198</v>
      </c>
      <c r="U1079" s="48" t="s">
        <v>199</v>
      </c>
      <c r="V1079" s="38"/>
      <c r="W1079" s="48" t="s">
        <v>195</v>
      </c>
      <c r="X1079" s="38" t="s">
        <v>426</v>
      </c>
      <c r="Y1079" s="49" t="s">
        <v>427</v>
      </c>
      <c r="Z1079" s="50" t="s">
        <v>3308</v>
      </c>
      <c r="AA1079" s="38"/>
      <c r="AB1079" s="38"/>
      <c r="AC1079" s="38"/>
      <c r="AD1079" s="51">
        <v>26</v>
      </c>
      <c r="AE1079" s="51">
        <v>26</v>
      </c>
      <c r="AF1079" s="48" t="s">
        <v>203</v>
      </c>
      <c r="AG1079" s="38" t="s">
        <v>204</v>
      </c>
      <c r="AH1079" s="52"/>
      <c r="AI1079" s="38"/>
      <c r="AJ1079" s="38"/>
    </row>
    <row r="1080" spans="1:36" ht="16.2">
      <c r="A1080" s="42" t="s">
        <v>857</v>
      </c>
      <c r="B1080" s="42">
        <v>820138</v>
      </c>
      <c r="C1080" s="42" t="s">
        <v>3297</v>
      </c>
      <c r="D1080" s="42">
        <v>13207701</v>
      </c>
      <c r="E1080" s="43" t="s">
        <v>3298</v>
      </c>
      <c r="F1080" s="42" t="s">
        <v>3309</v>
      </c>
      <c r="G1080" s="42" t="s">
        <v>195</v>
      </c>
      <c r="H1080" s="42" t="s">
        <v>3310</v>
      </c>
      <c r="I1080" s="42"/>
      <c r="J1080" s="42">
        <v>13207701</v>
      </c>
      <c r="K1080" s="42"/>
      <c r="L1080" s="44">
        <v>45293</v>
      </c>
      <c r="M1080" s="44">
        <v>45293</v>
      </c>
      <c r="N1080" s="42" t="s">
        <v>1529</v>
      </c>
      <c r="O1080" s="42">
        <v>0</v>
      </c>
      <c r="P1080" s="42">
        <v>20031098</v>
      </c>
      <c r="Q1080" s="42" t="s">
        <v>3311</v>
      </c>
      <c r="R1080" s="45">
        <v>410</v>
      </c>
      <c r="S1080" s="46">
        <v>0.01</v>
      </c>
      <c r="T1080" s="47" t="s">
        <v>198</v>
      </c>
      <c r="U1080" s="48" t="s">
        <v>199</v>
      </c>
      <c r="V1080" s="38"/>
      <c r="W1080" s="48" t="s">
        <v>195</v>
      </c>
      <c r="X1080" s="38" t="s">
        <v>426</v>
      </c>
      <c r="Y1080" s="49" t="s">
        <v>427</v>
      </c>
      <c r="Z1080" s="50" t="s">
        <v>3312</v>
      </c>
      <c r="AA1080" s="47" t="s">
        <v>3313</v>
      </c>
      <c r="AB1080" s="38"/>
      <c r="AC1080" s="38"/>
      <c r="AD1080" s="51">
        <v>26</v>
      </c>
      <c r="AE1080" s="51">
        <v>26</v>
      </c>
      <c r="AF1080" s="48" t="s">
        <v>203</v>
      </c>
      <c r="AG1080" s="38" t="s">
        <v>204</v>
      </c>
      <c r="AH1080" s="52"/>
      <c r="AI1080" s="38"/>
      <c r="AJ1080" s="38"/>
    </row>
    <row r="1081" spans="1:36" ht="16.2">
      <c r="A1081" s="53" t="s">
        <v>857</v>
      </c>
      <c r="B1081" s="53">
        <v>820138</v>
      </c>
      <c r="C1081" s="53" t="s">
        <v>3297</v>
      </c>
      <c r="D1081" s="53">
        <v>13207701</v>
      </c>
      <c r="E1081" s="54" t="s">
        <v>3298</v>
      </c>
      <c r="F1081" s="53" t="s">
        <v>3314</v>
      </c>
      <c r="G1081" s="53" t="s">
        <v>195</v>
      </c>
      <c r="H1081" s="53" t="s">
        <v>3315</v>
      </c>
      <c r="I1081" s="53"/>
      <c r="J1081" s="53">
        <v>13207701</v>
      </c>
      <c r="K1081" s="53"/>
      <c r="L1081" s="55">
        <v>45293</v>
      </c>
      <c r="M1081" s="55">
        <v>45293</v>
      </c>
      <c r="N1081" s="53" t="s">
        <v>1529</v>
      </c>
      <c r="O1081" s="53">
        <v>0</v>
      </c>
      <c r="P1081" s="53">
        <v>20031098</v>
      </c>
      <c r="Q1081" s="53" t="s">
        <v>3316</v>
      </c>
      <c r="R1081" s="45">
        <v>410</v>
      </c>
      <c r="S1081" s="56">
        <v>0.01</v>
      </c>
      <c r="T1081" s="47" t="s">
        <v>198</v>
      </c>
      <c r="U1081" s="48" t="s">
        <v>199</v>
      </c>
      <c r="V1081" s="38"/>
      <c r="W1081" s="48" t="s">
        <v>195</v>
      </c>
      <c r="X1081" s="38" t="s">
        <v>426</v>
      </c>
      <c r="Y1081" s="49" t="s">
        <v>427</v>
      </c>
      <c r="Z1081" s="50" t="s">
        <v>3317</v>
      </c>
      <c r="AA1081" s="47" t="s">
        <v>3318</v>
      </c>
      <c r="AB1081" s="38"/>
      <c r="AC1081" s="38"/>
      <c r="AD1081" s="51">
        <v>26</v>
      </c>
      <c r="AE1081" s="51">
        <v>26</v>
      </c>
      <c r="AF1081" s="48" t="s">
        <v>203</v>
      </c>
      <c r="AG1081" s="38" t="s">
        <v>204</v>
      </c>
      <c r="AH1081" s="52"/>
      <c r="AI1081" s="38"/>
      <c r="AJ1081" s="38"/>
    </row>
    <row r="1082" spans="1:36" ht="16.2">
      <c r="A1082" s="42" t="s">
        <v>857</v>
      </c>
      <c r="B1082" s="42">
        <v>820138</v>
      </c>
      <c r="C1082" s="42" t="s">
        <v>3297</v>
      </c>
      <c r="D1082" s="42">
        <v>13207701</v>
      </c>
      <c r="E1082" s="43" t="s">
        <v>3298</v>
      </c>
      <c r="F1082" s="42" t="s">
        <v>3319</v>
      </c>
      <c r="G1082" s="42" t="s">
        <v>195</v>
      </c>
      <c r="H1082" s="42"/>
      <c r="I1082" s="42"/>
      <c r="J1082" s="42">
        <v>13207701</v>
      </c>
      <c r="K1082" s="42"/>
      <c r="L1082" s="44">
        <v>45293</v>
      </c>
      <c r="M1082" s="44">
        <v>45293</v>
      </c>
      <c r="N1082" s="42" t="s">
        <v>1529</v>
      </c>
      <c r="O1082" s="42">
        <v>0</v>
      </c>
      <c r="P1082" s="42">
        <v>20031098</v>
      </c>
      <c r="Q1082" s="42" t="s">
        <v>3320</v>
      </c>
      <c r="R1082" s="45">
        <v>410</v>
      </c>
      <c r="S1082" s="46">
        <v>0.01</v>
      </c>
      <c r="T1082" s="47" t="s">
        <v>198</v>
      </c>
      <c r="U1082" s="48" t="s">
        <v>199</v>
      </c>
      <c r="V1082" s="38"/>
      <c r="W1082" s="48" t="s">
        <v>195</v>
      </c>
      <c r="X1082" s="38" t="s">
        <v>426</v>
      </c>
      <c r="Y1082" s="49" t="s">
        <v>427</v>
      </c>
      <c r="Z1082" s="50" t="s">
        <v>3321</v>
      </c>
      <c r="AA1082" s="38"/>
      <c r="AB1082" s="38"/>
      <c r="AC1082" s="38"/>
      <c r="AD1082" s="51">
        <v>26</v>
      </c>
      <c r="AE1082" s="51">
        <v>26</v>
      </c>
      <c r="AF1082" s="48" t="s">
        <v>203</v>
      </c>
      <c r="AG1082" s="38" t="s">
        <v>204</v>
      </c>
      <c r="AH1082" s="52"/>
      <c r="AI1082" s="38"/>
      <c r="AJ1082" s="38"/>
    </row>
    <row r="1083" spans="1:36" ht="16.2">
      <c r="A1083" s="53" t="s">
        <v>324</v>
      </c>
      <c r="B1083" s="53">
        <v>70948910</v>
      </c>
      <c r="C1083" s="53" t="s">
        <v>3322</v>
      </c>
      <c r="D1083" s="53">
        <v>13207546</v>
      </c>
      <c r="E1083" s="54" t="s">
        <v>3323</v>
      </c>
      <c r="F1083" s="53" t="s">
        <v>3324</v>
      </c>
      <c r="G1083" s="53" t="s">
        <v>195</v>
      </c>
      <c r="H1083" s="53"/>
      <c r="I1083" s="53"/>
      <c r="J1083" s="53">
        <v>13207546</v>
      </c>
      <c r="K1083" s="53"/>
      <c r="L1083" s="55">
        <v>45293</v>
      </c>
      <c r="M1083" s="55">
        <v>45293</v>
      </c>
      <c r="N1083" s="53" t="s">
        <v>328</v>
      </c>
      <c r="O1083" s="53">
        <v>0</v>
      </c>
      <c r="P1083" s="53">
        <v>94539966</v>
      </c>
      <c r="Q1083" s="53" t="s">
        <v>3325</v>
      </c>
      <c r="R1083" s="45">
        <v>410</v>
      </c>
      <c r="S1083" s="56">
        <v>0.01</v>
      </c>
      <c r="T1083" s="47" t="s">
        <v>198</v>
      </c>
      <c r="U1083" s="48" t="s">
        <v>199</v>
      </c>
      <c r="V1083" s="38"/>
      <c r="W1083" s="48" t="s">
        <v>195</v>
      </c>
      <c r="X1083" s="38" t="s">
        <v>308</v>
      </c>
      <c r="Y1083" s="49" t="s">
        <v>309</v>
      </c>
      <c r="Z1083" s="50" t="s">
        <v>3326</v>
      </c>
      <c r="AA1083" s="38"/>
      <c r="AB1083" s="38"/>
      <c r="AC1083" s="38"/>
      <c r="AD1083" s="51">
        <v>19</v>
      </c>
      <c r="AE1083" s="51">
        <v>19</v>
      </c>
      <c r="AF1083" s="48" t="s">
        <v>203</v>
      </c>
      <c r="AG1083" s="38" t="s">
        <v>204</v>
      </c>
      <c r="AH1083" s="52"/>
      <c r="AI1083" s="38"/>
      <c r="AJ1083" s="38"/>
    </row>
    <row r="1084" spans="1:36" ht="16.2">
      <c r="A1084" s="42" t="s">
        <v>324</v>
      </c>
      <c r="B1084" s="42">
        <v>70948909</v>
      </c>
      <c r="C1084" s="42" t="s">
        <v>3322</v>
      </c>
      <c r="D1084" s="42">
        <v>13207545</v>
      </c>
      <c r="E1084" s="43" t="s">
        <v>3323</v>
      </c>
      <c r="F1084" s="42" t="s">
        <v>3327</v>
      </c>
      <c r="G1084" s="42" t="s">
        <v>195</v>
      </c>
      <c r="H1084" s="42"/>
      <c r="I1084" s="42"/>
      <c r="J1084" s="42">
        <v>13207545</v>
      </c>
      <c r="K1084" s="42"/>
      <c r="L1084" s="44">
        <v>45293</v>
      </c>
      <c r="M1084" s="44">
        <v>45293</v>
      </c>
      <c r="N1084" s="42" t="s">
        <v>328</v>
      </c>
      <c r="O1084" s="42">
        <v>0</v>
      </c>
      <c r="P1084" s="42">
        <v>94539966</v>
      </c>
      <c r="Q1084" s="42" t="s">
        <v>3328</v>
      </c>
      <c r="R1084" s="45">
        <v>410</v>
      </c>
      <c r="S1084" s="46">
        <v>0.01</v>
      </c>
      <c r="T1084" s="47" t="s">
        <v>198</v>
      </c>
      <c r="U1084" s="48" t="s">
        <v>199</v>
      </c>
      <c r="V1084" s="38"/>
      <c r="W1084" s="48" t="s">
        <v>195</v>
      </c>
      <c r="X1084" s="38" t="s">
        <v>308</v>
      </c>
      <c r="Y1084" s="49" t="s">
        <v>309</v>
      </c>
      <c r="Z1084" s="50" t="s">
        <v>3329</v>
      </c>
      <c r="AA1084" s="38"/>
      <c r="AB1084" s="38"/>
      <c r="AC1084" s="38"/>
      <c r="AD1084" s="51">
        <v>19</v>
      </c>
      <c r="AE1084" s="51">
        <v>19</v>
      </c>
      <c r="AF1084" s="48" t="s">
        <v>203</v>
      </c>
      <c r="AG1084" s="38" t="s">
        <v>204</v>
      </c>
      <c r="AH1084" s="52"/>
      <c r="AI1084" s="38"/>
      <c r="AJ1084" s="38"/>
    </row>
    <row r="1085" spans="1:36" ht="16.2">
      <c r="A1085" s="53" t="s">
        <v>324</v>
      </c>
      <c r="B1085" s="53">
        <v>70948911</v>
      </c>
      <c r="C1085" s="53" t="s">
        <v>3322</v>
      </c>
      <c r="D1085" s="53">
        <v>13207547</v>
      </c>
      <c r="E1085" s="54" t="s">
        <v>3323</v>
      </c>
      <c r="F1085" s="53" t="s">
        <v>3330</v>
      </c>
      <c r="G1085" s="53" t="s">
        <v>195</v>
      </c>
      <c r="H1085" s="53"/>
      <c r="I1085" s="53"/>
      <c r="J1085" s="53">
        <v>13207547</v>
      </c>
      <c r="K1085" s="53"/>
      <c r="L1085" s="55">
        <v>45293</v>
      </c>
      <c r="M1085" s="55">
        <v>45293</v>
      </c>
      <c r="N1085" s="53" t="s">
        <v>328</v>
      </c>
      <c r="O1085" s="53">
        <v>0</v>
      </c>
      <c r="P1085" s="53">
        <v>94539966</v>
      </c>
      <c r="Q1085" s="53" t="s">
        <v>3331</v>
      </c>
      <c r="R1085" s="45">
        <v>410</v>
      </c>
      <c r="S1085" s="56">
        <v>0.01</v>
      </c>
      <c r="T1085" s="47" t="s">
        <v>198</v>
      </c>
      <c r="U1085" s="48" t="s">
        <v>199</v>
      </c>
      <c r="V1085" s="38"/>
      <c r="W1085" s="48" t="s">
        <v>195</v>
      </c>
      <c r="X1085" s="38" t="s">
        <v>308</v>
      </c>
      <c r="Y1085" s="49" t="s">
        <v>309</v>
      </c>
      <c r="Z1085" s="50" t="s">
        <v>3332</v>
      </c>
      <c r="AA1085" s="38"/>
      <c r="AB1085" s="38"/>
      <c r="AC1085" s="38"/>
      <c r="AD1085" s="51">
        <v>19</v>
      </c>
      <c r="AE1085" s="51">
        <v>19</v>
      </c>
      <c r="AF1085" s="48" t="s">
        <v>203</v>
      </c>
      <c r="AG1085" s="38" t="s">
        <v>204</v>
      </c>
      <c r="AH1085" s="52"/>
      <c r="AI1085" s="38"/>
      <c r="AJ1085" s="38"/>
    </row>
    <row r="1086" spans="1:36" ht="16.2">
      <c r="A1086" s="42" t="s">
        <v>324</v>
      </c>
      <c r="B1086" s="42">
        <v>70948911</v>
      </c>
      <c r="C1086" s="42" t="s">
        <v>3322</v>
      </c>
      <c r="D1086" s="42">
        <v>13207547</v>
      </c>
      <c r="E1086" s="43" t="s">
        <v>3323</v>
      </c>
      <c r="F1086" s="42" t="s">
        <v>3333</v>
      </c>
      <c r="G1086" s="42" t="s">
        <v>195</v>
      </c>
      <c r="H1086" s="42"/>
      <c r="I1086" s="42"/>
      <c r="J1086" s="42">
        <v>13207547</v>
      </c>
      <c r="K1086" s="42"/>
      <c r="L1086" s="44">
        <v>45293</v>
      </c>
      <c r="M1086" s="44">
        <v>45293</v>
      </c>
      <c r="N1086" s="42" t="s">
        <v>328</v>
      </c>
      <c r="O1086" s="42">
        <v>0</v>
      </c>
      <c r="P1086" s="42">
        <v>94539966</v>
      </c>
      <c r="Q1086" s="42" t="s">
        <v>3334</v>
      </c>
      <c r="R1086" s="45">
        <v>410</v>
      </c>
      <c r="S1086" s="46">
        <v>0.01</v>
      </c>
      <c r="T1086" s="47" t="s">
        <v>198</v>
      </c>
      <c r="U1086" s="48" t="s">
        <v>199</v>
      </c>
      <c r="V1086" s="38"/>
      <c r="W1086" s="48" t="s">
        <v>195</v>
      </c>
      <c r="X1086" s="38" t="s">
        <v>308</v>
      </c>
      <c r="Y1086" s="49" t="s">
        <v>309</v>
      </c>
      <c r="Z1086" s="50" t="s">
        <v>3335</v>
      </c>
      <c r="AA1086" s="38"/>
      <c r="AB1086" s="38"/>
      <c r="AC1086" s="38"/>
      <c r="AD1086" s="51">
        <v>19</v>
      </c>
      <c r="AE1086" s="51">
        <v>19</v>
      </c>
      <c r="AF1086" s="48" t="s">
        <v>203</v>
      </c>
      <c r="AG1086" s="38" t="s">
        <v>204</v>
      </c>
      <c r="AH1086" s="52"/>
      <c r="AI1086" s="38"/>
      <c r="AJ1086" s="38"/>
    </row>
    <row r="1087" spans="1:36" ht="16.2">
      <c r="A1087" s="53" t="s">
        <v>324</v>
      </c>
      <c r="B1087" s="53">
        <v>70948912</v>
      </c>
      <c r="C1087" s="53" t="s">
        <v>563</v>
      </c>
      <c r="D1087" s="53">
        <v>13207542</v>
      </c>
      <c r="E1087" s="54" t="s">
        <v>3336</v>
      </c>
      <c r="F1087" s="53" t="s">
        <v>3337</v>
      </c>
      <c r="G1087" s="53" t="s">
        <v>195</v>
      </c>
      <c r="H1087" s="53"/>
      <c r="I1087" s="53"/>
      <c r="J1087" s="53">
        <v>13207542</v>
      </c>
      <c r="K1087" s="53"/>
      <c r="L1087" s="55">
        <v>45293</v>
      </c>
      <c r="M1087" s="55">
        <v>45293</v>
      </c>
      <c r="N1087" s="53" t="s">
        <v>328</v>
      </c>
      <c r="O1087" s="53">
        <v>0</v>
      </c>
      <c r="P1087" s="53">
        <v>94539966</v>
      </c>
      <c r="Q1087" s="53" t="s">
        <v>3338</v>
      </c>
      <c r="R1087" s="45">
        <v>410</v>
      </c>
      <c r="S1087" s="56">
        <v>0.01</v>
      </c>
      <c r="T1087" s="47" t="s">
        <v>198</v>
      </c>
      <c r="U1087" s="48" t="s">
        <v>199</v>
      </c>
      <c r="V1087" s="38"/>
      <c r="W1087" s="48" t="s">
        <v>195</v>
      </c>
      <c r="X1087" s="38" t="s">
        <v>308</v>
      </c>
      <c r="Y1087" s="49" t="s">
        <v>309</v>
      </c>
      <c r="Z1087" s="50" t="s">
        <v>3339</v>
      </c>
      <c r="AA1087" s="38"/>
      <c r="AB1087" s="38"/>
      <c r="AC1087" s="38"/>
      <c r="AD1087" s="51">
        <v>19</v>
      </c>
      <c r="AE1087" s="51">
        <v>19</v>
      </c>
      <c r="AF1087" s="48" t="s">
        <v>203</v>
      </c>
      <c r="AG1087" s="38" t="s">
        <v>204</v>
      </c>
      <c r="AH1087" s="52"/>
      <c r="AI1087" s="38"/>
      <c r="AJ1087" s="38"/>
    </row>
    <row r="1088" spans="1:36" ht="16.2">
      <c r="A1088" s="42" t="s">
        <v>1908</v>
      </c>
      <c r="B1088" s="42">
        <v>900242</v>
      </c>
      <c r="C1088" s="42" t="s">
        <v>2613</v>
      </c>
      <c r="D1088" s="42">
        <v>13207663</v>
      </c>
      <c r="E1088" s="43" t="s">
        <v>3340</v>
      </c>
      <c r="F1088" s="42" t="s">
        <v>3341</v>
      </c>
      <c r="G1088" s="42" t="s">
        <v>195</v>
      </c>
      <c r="H1088" s="42"/>
      <c r="I1088" s="42"/>
      <c r="J1088" s="42">
        <v>13207663</v>
      </c>
      <c r="K1088" s="42"/>
      <c r="L1088" s="44">
        <v>45293</v>
      </c>
      <c r="M1088" s="44">
        <v>45293</v>
      </c>
      <c r="N1088" s="42" t="s">
        <v>1894</v>
      </c>
      <c r="O1088" s="42">
        <v>0</v>
      </c>
      <c r="P1088" s="42">
        <v>20078418</v>
      </c>
      <c r="Q1088" s="42" t="s">
        <v>3342</v>
      </c>
      <c r="R1088" s="45">
        <v>410</v>
      </c>
      <c r="S1088" s="46">
        <v>0.01</v>
      </c>
      <c r="T1088" s="47" t="s">
        <v>198</v>
      </c>
      <c r="U1088" s="48" t="s">
        <v>199</v>
      </c>
      <c r="V1088" s="38"/>
      <c r="W1088" s="48" t="s">
        <v>195</v>
      </c>
      <c r="X1088" s="38" t="s">
        <v>426</v>
      </c>
      <c r="Y1088" s="49" t="s">
        <v>427</v>
      </c>
      <c r="Z1088" s="50" t="s">
        <v>3343</v>
      </c>
      <c r="AA1088" s="38"/>
      <c r="AB1088" s="38"/>
      <c r="AC1088" s="38"/>
      <c r="AD1088" s="51">
        <v>67</v>
      </c>
      <c r="AE1088" s="51">
        <v>67</v>
      </c>
      <c r="AF1088" s="48" t="s">
        <v>203</v>
      </c>
      <c r="AG1088" s="38" t="s">
        <v>204</v>
      </c>
      <c r="AH1088" s="52"/>
      <c r="AI1088" s="38"/>
      <c r="AJ1088" s="38"/>
    </row>
    <row r="1089" spans="1:36" ht="16.2">
      <c r="A1089" s="53" t="s">
        <v>857</v>
      </c>
      <c r="B1089" s="53">
        <v>90030304</v>
      </c>
      <c r="C1089" s="53" t="s">
        <v>3344</v>
      </c>
      <c r="D1089" s="53">
        <v>13207700</v>
      </c>
      <c r="E1089" s="54" t="s">
        <v>3345</v>
      </c>
      <c r="F1089" s="53" t="s">
        <v>3346</v>
      </c>
      <c r="G1089" s="53" t="s">
        <v>195</v>
      </c>
      <c r="H1089" s="53"/>
      <c r="I1089" s="53"/>
      <c r="J1089" s="53"/>
      <c r="K1089" s="53"/>
      <c r="L1089" s="55">
        <v>45293</v>
      </c>
      <c r="M1089" s="55">
        <v>45293</v>
      </c>
      <c r="N1089" s="53" t="s">
        <v>3347</v>
      </c>
      <c r="O1089" s="53">
        <v>0</v>
      </c>
      <c r="P1089" s="53">
        <v>279805</v>
      </c>
      <c r="Q1089" s="53" t="s">
        <v>3348</v>
      </c>
      <c r="R1089" s="45">
        <v>410</v>
      </c>
      <c r="S1089" s="56">
        <v>0.01</v>
      </c>
      <c r="T1089" s="47" t="s">
        <v>1792</v>
      </c>
      <c r="U1089" s="48" t="s">
        <v>199</v>
      </c>
      <c r="V1089" s="38"/>
      <c r="W1089" s="38"/>
      <c r="X1089" s="38" t="s">
        <v>426</v>
      </c>
      <c r="Y1089" s="49" t="s">
        <v>427</v>
      </c>
      <c r="Z1089" s="50" t="s">
        <v>3349</v>
      </c>
      <c r="AA1089" s="38"/>
      <c r="AB1089" s="38"/>
      <c r="AC1089" s="38"/>
      <c r="AD1089" s="51">
        <v>5</v>
      </c>
      <c r="AE1089" s="51">
        <v>4</v>
      </c>
      <c r="AF1089" s="48" t="s">
        <v>203</v>
      </c>
      <c r="AG1089" s="38" t="s">
        <v>204</v>
      </c>
      <c r="AH1089" s="52"/>
      <c r="AI1089" s="38"/>
      <c r="AJ1089" s="38"/>
    </row>
    <row r="1090" spans="1:36" ht="16.2">
      <c r="A1090" s="42" t="s">
        <v>324</v>
      </c>
      <c r="B1090" s="42">
        <v>70948931</v>
      </c>
      <c r="C1090" s="42" t="s">
        <v>3350</v>
      </c>
      <c r="D1090" s="42">
        <v>13207551</v>
      </c>
      <c r="E1090" s="43" t="s">
        <v>3351</v>
      </c>
      <c r="F1090" s="42" t="s">
        <v>3352</v>
      </c>
      <c r="G1090" s="42" t="s">
        <v>195</v>
      </c>
      <c r="H1090" s="42"/>
      <c r="I1090" s="42"/>
      <c r="J1090" s="42">
        <v>13207551</v>
      </c>
      <c r="K1090" s="42"/>
      <c r="L1090" s="44">
        <v>45293</v>
      </c>
      <c r="M1090" s="44">
        <v>45293</v>
      </c>
      <c r="N1090" s="42" t="s">
        <v>328</v>
      </c>
      <c r="O1090" s="42">
        <v>0</v>
      </c>
      <c r="P1090" s="42">
        <v>94539966</v>
      </c>
      <c r="Q1090" s="42" t="s">
        <v>3353</v>
      </c>
      <c r="R1090" s="45">
        <v>410</v>
      </c>
      <c r="S1090" s="46">
        <v>0.01</v>
      </c>
      <c r="T1090" s="47" t="s">
        <v>198</v>
      </c>
      <c r="U1090" s="48" t="s">
        <v>199</v>
      </c>
      <c r="V1090" s="38"/>
      <c r="W1090" s="48" t="s">
        <v>195</v>
      </c>
      <c r="X1090" s="38" t="s">
        <v>308</v>
      </c>
      <c r="Y1090" s="49" t="s">
        <v>309</v>
      </c>
      <c r="Z1090" s="50" t="s">
        <v>3354</v>
      </c>
      <c r="AA1090" s="38"/>
      <c r="AB1090" s="38"/>
      <c r="AC1090" s="38"/>
      <c r="AD1090" s="51">
        <v>19</v>
      </c>
      <c r="AE1090" s="51">
        <v>19</v>
      </c>
      <c r="AF1090" s="48" t="s">
        <v>203</v>
      </c>
      <c r="AG1090" s="38" t="s">
        <v>204</v>
      </c>
      <c r="AH1090" s="52"/>
      <c r="AI1090" s="38"/>
      <c r="AJ1090" s="38"/>
    </row>
    <row r="1091" spans="1:36" ht="16.2">
      <c r="A1091" s="53" t="s">
        <v>759</v>
      </c>
      <c r="B1091" s="53">
        <v>74928616</v>
      </c>
      <c r="C1091" s="53" t="s">
        <v>3355</v>
      </c>
      <c r="D1091" s="53">
        <v>13207564</v>
      </c>
      <c r="E1091" s="54" t="s">
        <v>3356</v>
      </c>
      <c r="F1091" s="53" t="s">
        <v>3357</v>
      </c>
      <c r="G1091" s="53" t="s">
        <v>195</v>
      </c>
      <c r="H1091" s="53"/>
      <c r="I1091" s="53"/>
      <c r="J1091" s="53">
        <v>13207564</v>
      </c>
      <c r="K1091" s="53"/>
      <c r="L1091" s="55">
        <v>45293</v>
      </c>
      <c r="M1091" s="55">
        <v>45293</v>
      </c>
      <c r="N1091" s="53" t="s">
        <v>763</v>
      </c>
      <c r="O1091" s="53">
        <v>0</v>
      </c>
      <c r="P1091" s="53">
        <v>20062055</v>
      </c>
      <c r="Q1091" s="53" t="s">
        <v>3358</v>
      </c>
      <c r="R1091" s="45">
        <v>410</v>
      </c>
      <c r="S1091" s="56">
        <v>0.01</v>
      </c>
      <c r="T1091" s="47" t="s">
        <v>198</v>
      </c>
      <c r="U1091" s="48" t="s">
        <v>199</v>
      </c>
      <c r="V1091" s="38"/>
      <c r="W1091" s="48" t="s">
        <v>195</v>
      </c>
      <c r="X1091" s="38" t="s">
        <v>308</v>
      </c>
      <c r="Y1091" s="49" t="s">
        <v>309</v>
      </c>
      <c r="Z1091" s="50" t="s">
        <v>3359</v>
      </c>
      <c r="AA1091" s="38"/>
      <c r="AB1091" s="38"/>
      <c r="AC1091" s="38"/>
      <c r="AD1091" s="51">
        <v>58</v>
      </c>
      <c r="AE1091" s="51">
        <v>58</v>
      </c>
      <c r="AF1091" s="48" t="s">
        <v>203</v>
      </c>
      <c r="AG1091" s="38" t="s">
        <v>204</v>
      </c>
      <c r="AH1091" s="52"/>
      <c r="AI1091" s="38"/>
      <c r="AJ1091" s="38"/>
    </row>
    <row r="1092" spans="1:36" ht="16.2">
      <c r="A1092" s="42" t="s">
        <v>302</v>
      </c>
      <c r="B1092" s="42">
        <v>65937001</v>
      </c>
      <c r="C1092" s="42" t="s">
        <v>3360</v>
      </c>
      <c r="D1092" s="42">
        <v>13207604</v>
      </c>
      <c r="E1092" s="43" t="s">
        <v>3361</v>
      </c>
      <c r="F1092" s="42" t="s">
        <v>3362</v>
      </c>
      <c r="G1092" s="42" t="s">
        <v>195</v>
      </c>
      <c r="H1092" s="42"/>
      <c r="I1092" s="42"/>
      <c r="J1092" s="42">
        <v>13207604</v>
      </c>
      <c r="K1092" s="42"/>
      <c r="L1092" s="44">
        <v>45293</v>
      </c>
      <c r="M1092" s="44">
        <v>45293</v>
      </c>
      <c r="N1092" s="42" t="s">
        <v>656</v>
      </c>
      <c r="O1092" s="42">
        <v>0</v>
      </c>
      <c r="P1092" s="42">
        <v>20015139</v>
      </c>
      <c r="Q1092" s="42" t="s">
        <v>3363</v>
      </c>
      <c r="R1092" s="45">
        <v>410</v>
      </c>
      <c r="S1092" s="46">
        <v>0.01</v>
      </c>
      <c r="T1092" s="47" t="s">
        <v>198</v>
      </c>
      <c r="U1092" s="48" t="s">
        <v>199</v>
      </c>
      <c r="V1092" s="38"/>
      <c r="W1092" s="48" t="s">
        <v>195</v>
      </c>
      <c r="X1092" s="38" t="s">
        <v>308</v>
      </c>
      <c r="Y1092" s="49" t="s">
        <v>309</v>
      </c>
      <c r="Z1092" s="50" t="s">
        <v>3364</v>
      </c>
      <c r="AA1092" s="38"/>
      <c r="AB1092" s="38"/>
      <c r="AC1092" s="38"/>
      <c r="AD1092" s="51">
        <v>64</v>
      </c>
      <c r="AE1092" s="51">
        <v>64</v>
      </c>
      <c r="AF1092" s="48" t="s">
        <v>203</v>
      </c>
      <c r="AG1092" s="38" t="s">
        <v>204</v>
      </c>
      <c r="AH1092" s="52"/>
      <c r="AI1092" s="38"/>
      <c r="AJ1092" s="38"/>
    </row>
    <row r="1093" spans="1:36" ht="16.2">
      <c r="A1093" s="53" t="s">
        <v>302</v>
      </c>
      <c r="B1093" s="53">
        <v>65937001</v>
      </c>
      <c r="C1093" s="53" t="s">
        <v>3360</v>
      </c>
      <c r="D1093" s="53">
        <v>13207604</v>
      </c>
      <c r="E1093" s="54" t="s">
        <v>3361</v>
      </c>
      <c r="F1093" s="53" t="s">
        <v>3365</v>
      </c>
      <c r="G1093" s="53" t="s">
        <v>195</v>
      </c>
      <c r="H1093" s="53"/>
      <c r="I1093" s="53"/>
      <c r="J1093" s="53">
        <v>13207604</v>
      </c>
      <c r="K1093" s="53"/>
      <c r="L1093" s="55">
        <v>45293</v>
      </c>
      <c r="M1093" s="55">
        <v>45293</v>
      </c>
      <c r="N1093" s="53" t="s">
        <v>656</v>
      </c>
      <c r="O1093" s="53">
        <v>0</v>
      </c>
      <c r="P1093" s="53">
        <v>20015139</v>
      </c>
      <c r="Q1093" s="53" t="s">
        <v>3366</v>
      </c>
      <c r="R1093" s="45">
        <v>410</v>
      </c>
      <c r="S1093" s="56">
        <v>0.01</v>
      </c>
      <c r="T1093" s="47" t="s">
        <v>198</v>
      </c>
      <c r="U1093" s="48" t="s">
        <v>199</v>
      </c>
      <c r="V1093" s="38"/>
      <c r="W1093" s="48" t="s">
        <v>195</v>
      </c>
      <c r="X1093" s="38" t="s">
        <v>308</v>
      </c>
      <c r="Y1093" s="49" t="s">
        <v>309</v>
      </c>
      <c r="Z1093" s="50" t="s">
        <v>3367</v>
      </c>
      <c r="AA1093" s="38"/>
      <c r="AB1093" s="38"/>
      <c r="AC1093" s="38"/>
      <c r="AD1093" s="51">
        <v>64</v>
      </c>
      <c r="AE1093" s="51">
        <v>64</v>
      </c>
      <c r="AF1093" s="48" t="s">
        <v>203</v>
      </c>
      <c r="AG1093" s="38" t="s">
        <v>204</v>
      </c>
      <c r="AH1093" s="52"/>
      <c r="AI1093" s="38"/>
      <c r="AJ1093" s="38"/>
    </row>
    <row r="1094" spans="1:36" ht="16.2">
      <c r="A1094" s="42" t="s">
        <v>302</v>
      </c>
      <c r="B1094" s="42">
        <v>65937001</v>
      </c>
      <c r="C1094" s="42" t="s">
        <v>3360</v>
      </c>
      <c r="D1094" s="42">
        <v>13207604</v>
      </c>
      <c r="E1094" s="43" t="s">
        <v>3361</v>
      </c>
      <c r="F1094" s="42" t="s">
        <v>3368</v>
      </c>
      <c r="G1094" s="42" t="s">
        <v>195</v>
      </c>
      <c r="H1094" s="42"/>
      <c r="I1094" s="42"/>
      <c r="J1094" s="42">
        <v>13207604</v>
      </c>
      <c r="K1094" s="42"/>
      <c r="L1094" s="44">
        <v>45293</v>
      </c>
      <c r="M1094" s="44">
        <v>45293</v>
      </c>
      <c r="N1094" s="42" t="s">
        <v>656</v>
      </c>
      <c r="O1094" s="42">
        <v>0</v>
      </c>
      <c r="P1094" s="42">
        <v>20015139</v>
      </c>
      <c r="Q1094" s="42" t="s">
        <v>3369</v>
      </c>
      <c r="R1094" s="45">
        <v>410</v>
      </c>
      <c r="S1094" s="46">
        <v>0.01</v>
      </c>
      <c r="T1094" s="47" t="s">
        <v>198</v>
      </c>
      <c r="U1094" s="48" t="s">
        <v>199</v>
      </c>
      <c r="V1094" s="38"/>
      <c r="W1094" s="48" t="s">
        <v>195</v>
      </c>
      <c r="X1094" s="38" t="s">
        <v>308</v>
      </c>
      <c r="Y1094" s="49" t="s">
        <v>309</v>
      </c>
      <c r="Z1094" s="50" t="s">
        <v>3370</v>
      </c>
      <c r="AA1094" s="38"/>
      <c r="AB1094" s="38"/>
      <c r="AC1094" s="38"/>
      <c r="AD1094" s="51">
        <v>64</v>
      </c>
      <c r="AE1094" s="51">
        <v>64</v>
      </c>
      <c r="AF1094" s="48" t="s">
        <v>203</v>
      </c>
      <c r="AG1094" s="38" t="s">
        <v>204</v>
      </c>
      <c r="AH1094" s="52"/>
      <c r="AI1094" s="38"/>
      <c r="AJ1094" s="38"/>
    </row>
    <row r="1095" spans="1:36" ht="16.2">
      <c r="A1095" s="53" t="s">
        <v>302</v>
      </c>
      <c r="B1095" s="53">
        <v>65937001</v>
      </c>
      <c r="C1095" s="53" t="s">
        <v>3360</v>
      </c>
      <c r="D1095" s="53">
        <v>13207604</v>
      </c>
      <c r="E1095" s="54" t="s">
        <v>3361</v>
      </c>
      <c r="F1095" s="53" t="s">
        <v>3371</v>
      </c>
      <c r="G1095" s="53" t="s">
        <v>195</v>
      </c>
      <c r="H1095" s="53"/>
      <c r="I1095" s="53"/>
      <c r="J1095" s="53">
        <v>13207604</v>
      </c>
      <c r="K1095" s="53"/>
      <c r="L1095" s="55">
        <v>45293</v>
      </c>
      <c r="M1095" s="55">
        <v>45293</v>
      </c>
      <c r="N1095" s="53" t="s">
        <v>656</v>
      </c>
      <c r="O1095" s="53">
        <v>0</v>
      </c>
      <c r="P1095" s="53">
        <v>20015139</v>
      </c>
      <c r="Q1095" s="53" t="s">
        <v>3372</v>
      </c>
      <c r="R1095" s="45">
        <v>410</v>
      </c>
      <c r="S1095" s="56">
        <v>0.01</v>
      </c>
      <c r="T1095" s="47" t="s">
        <v>198</v>
      </c>
      <c r="U1095" s="48" t="s">
        <v>199</v>
      </c>
      <c r="V1095" s="38"/>
      <c r="W1095" s="48" t="s">
        <v>195</v>
      </c>
      <c r="X1095" s="38" t="s">
        <v>308</v>
      </c>
      <c r="Y1095" s="49" t="s">
        <v>309</v>
      </c>
      <c r="Z1095" s="50" t="s">
        <v>3373</v>
      </c>
      <c r="AA1095" s="38"/>
      <c r="AB1095" s="38"/>
      <c r="AC1095" s="38"/>
      <c r="AD1095" s="51">
        <v>64</v>
      </c>
      <c r="AE1095" s="51">
        <v>64</v>
      </c>
      <c r="AF1095" s="48" t="s">
        <v>203</v>
      </c>
      <c r="AG1095" s="38" t="s">
        <v>204</v>
      </c>
      <c r="AH1095" s="52"/>
      <c r="AI1095" s="38"/>
      <c r="AJ1095" s="38"/>
    </row>
    <row r="1096" spans="1:36" ht="16.2">
      <c r="A1096" s="42" t="s">
        <v>302</v>
      </c>
      <c r="B1096" s="42">
        <v>65937001</v>
      </c>
      <c r="C1096" s="42" t="s">
        <v>3360</v>
      </c>
      <c r="D1096" s="42">
        <v>13207604</v>
      </c>
      <c r="E1096" s="43" t="s">
        <v>3361</v>
      </c>
      <c r="F1096" s="42" t="s">
        <v>3374</v>
      </c>
      <c r="G1096" s="42" t="s">
        <v>195</v>
      </c>
      <c r="H1096" s="42"/>
      <c r="I1096" s="42"/>
      <c r="J1096" s="42">
        <v>13207604</v>
      </c>
      <c r="K1096" s="42"/>
      <c r="L1096" s="44">
        <v>45293</v>
      </c>
      <c r="M1096" s="44">
        <v>45293</v>
      </c>
      <c r="N1096" s="42" t="s">
        <v>656</v>
      </c>
      <c r="O1096" s="42">
        <v>0</v>
      </c>
      <c r="P1096" s="42">
        <v>20015139</v>
      </c>
      <c r="Q1096" s="42" t="s">
        <v>3375</v>
      </c>
      <c r="R1096" s="45">
        <v>410</v>
      </c>
      <c r="S1096" s="46">
        <v>0.01</v>
      </c>
      <c r="T1096" s="47" t="s">
        <v>198</v>
      </c>
      <c r="U1096" s="48" t="s">
        <v>199</v>
      </c>
      <c r="V1096" s="38"/>
      <c r="W1096" s="48" t="s">
        <v>195</v>
      </c>
      <c r="X1096" s="38" t="s">
        <v>308</v>
      </c>
      <c r="Y1096" s="49" t="s">
        <v>309</v>
      </c>
      <c r="Z1096" s="50" t="s">
        <v>3376</v>
      </c>
      <c r="AA1096" s="38"/>
      <c r="AB1096" s="38"/>
      <c r="AC1096" s="38"/>
      <c r="AD1096" s="51">
        <v>64</v>
      </c>
      <c r="AE1096" s="51">
        <v>64</v>
      </c>
      <c r="AF1096" s="48" t="s">
        <v>203</v>
      </c>
      <c r="AG1096" s="38" t="s">
        <v>204</v>
      </c>
      <c r="AH1096" s="52"/>
      <c r="AI1096" s="38"/>
      <c r="AJ1096" s="38"/>
    </row>
    <row r="1097" spans="1:36" ht="16.2">
      <c r="A1097" s="53" t="s">
        <v>302</v>
      </c>
      <c r="B1097" s="53">
        <v>65937001</v>
      </c>
      <c r="C1097" s="53" t="s">
        <v>3360</v>
      </c>
      <c r="D1097" s="53">
        <v>13207604</v>
      </c>
      <c r="E1097" s="54" t="s">
        <v>3361</v>
      </c>
      <c r="F1097" s="53" t="s">
        <v>655</v>
      </c>
      <c r="G1097" s="53" t="s">
        <v>195</v>
      </c>
      <c r="H1097" s="53"/>
      <c r="I1097" s="53"/>
      <c r="J1097" s="53">
        <v>13207604</v>
      </c>
      <c r="K1097" s="53"/>
      <c r="L1097" s="55">
        <v>45293</v>
      </c>
      <c r="M1097" s="55">
        <v>45293</v>
      </c>
      <c r="N1097" s="53" t="s">
        <v>656</v>
      </c>
      <c r="O1097" s="53">
        <v>0</v>
      </c>
      <c r="P1097" s="53">
        <v>20015139</v>
      </c>
      <c r="Q1097" s="53" t="s">
        <v>3377</v>
      </c>
      <c r="R1097" s="45">
        <v>410</v>
      </c>
      <c r="S1097" s="56">
        <v>0.01</v>
      </c>
      <c r="T1097" s="47" t="s">
        <v>198</v>
      </c>
      <c r="U1097" s="48" t="s">
        <v>199</v>
      </c>
      <c r="V1097" s="38"/>
      <c r="W1097" s="48" t="s">
        <v>195</v>
      </c>
      <c r="X1097" s="38" t="s">
        <v>308</v>
      </c>
      <c r="Y1097" s="49" t="s">
        <v>309</v>
      </c>
      <c r="Z1097" s="50" t="s">
        <v>3378</v>
      </c>
      <c r="AA1097" s="38"/>
      <c r="AB1097" s="38"/>
      <c r="AC1097" s="38"/>
      <c r="AD1097" s="51">
        <v>64</v>
      </c>
      <c r="AE1097" s="51">
        <v>64</v>
      </c>
      <c r="AF1097" s="48" t="s">
        <v>203</v>
      </c>
      <c r="AG1097" s="38" t="s">
        <v>204</v>
      </c>
      <c r="AH1097" s="52"/>
      <c r="AI1097" s="38"/>
      <c r="AJ1097" s="38"/>
    </row>
    <row r="1098" spans="1:36" ht="16.2">
      <c r="A1098" s="42" t="s">
        <v>302</v>
      </c>
      <c r="B1098" s="42">
        <v>65937001</v>
      </c>
      <c r="C1098" s="42" t="s">
        <v>3360</v>
      </c>
      <c r="D1098" s="42">
        <v>13207604</v>
      </c>
      <c r="E1098" s="43" t="s">
        <v>3361</v>
      </c>
      <c r="F1098" s="42" t="s">
        <v>944</v>
      </c>
      <c r="G1098" s="42" t="s">
        <v>195</v>
      </c>
      <c r="H1098" s="42"/>
      <c r="I1098" s="42"/>
      <c r="J1098" s="42">
        <v>13207604</v>
      </c>
      <c r="K1098" s="42"/>
      <c r="L1098" s="44">
        <v>45293</v>
      </c>
      <c r="M1098" s="44">
        <v>45293</v>
      </c>
      <c r="N1098" s="42" t="s">
        <v>656</v>
      </c>
      <c r="O1098" s="42">
        <v>0</v>
      </c>
      <c r="P1098" s="42">
        <v>20015139</v>
      </c>
      <c r="Q1098" s="42" t="s">
        <v>3379</v>
      </c>
      <c r="R1098" s="45">
        <v>410</v>
      </c>
      <c r="S1098" s="46">
        <v>0.01</v>
      </c>
      <c r="T1098" s="47" t="s">
        <v>198</v>
      </c>
      <c r="U1098" s="48" t="s">
        <v>199</v>
      </c>
      <c r="V1098" s="38"/>
      <c r="W1098" s="53" t="s">
        <v>195</v>
      </c>
      <c r="X1098" s="38" t="s">
        <v>308</v>
      </c>
      <c r="Y1098" s="49" t="s">
        <v>309</v>
      </c>
      <c r="Z1098" s="50" t="s">
        <v>3380</v>
      </c>
      <c r="AA1098" s="38"/>
      <c r="AB1098" s="38"/>
      <c r="AC1098" s="38"/>
      <c r="AD1098" s="51">
        <v>64</v>
      </c>
      <c r="AE1098" s="51">
        <v>64</v>
      </c>
      <c r="AF1098" s="48" t="s">
        <v>203</v>
      </c>
      <c r="AG1098" s="38" t="s">
        <v>204</v>
      </c>
      <c r="AH1098" s="52"/>
      <c r="AI1098" s="38"/>
      <c r="AJ1098" s="38"/>
    </row>
    <row r="1099" spans="1:36" ht="16.2">
      <c r="A1099" s="53" t="s">
        <v>302</v>
      </c>
      <c r="B1099" s="53">
        <v>65937001</v>
      </c>
      <c r="C1099" s="53" t="s">
        <v>3360</v>
      </c>
      <c r="D1099" s="53">
        <v>13207604</v>
      </c>
      <c r="E1099" s="54" t="s">
        <v>3361</v>
      </c>
      <c r="F1099" s="53" t="s">
        <v>3381</v>
      </c>
      <c r="G1099" s="53" t="s">
        <v>195</v>
      </c>
      <c r="H1099" s="53"/>
      <c r="I1099" s="53"/>
      <c r="J1099" s="53">
        <v>13207604</v>
      </c>
      <c r="K1099" s="53"/>
      <c r="L1099" s="55">
        <v>45293</v>
      </c>
      <c r="M1099" s="55">
        <v>45293</v>
      </c>
      <c r="N1099" s="53" t="s">
        <v>656</v>
      </c>
      <c r="O1099" s="53">
        <v>0</v>
      </c>
      <c r="P1099" s="53">
        <v>20015139</v>
      </c>
      <c r="Q1099" s="53" t="s">
        <v>3382</v>
      </c>
      <c r="R1099" s="45">
        <v>410</v>
      </c>
      <c r="S1099" s="56">
        <v>0.01</v>
      </c>
      <c r="T1099" s="47" t="s">
        <v>198</v>
      </c>
      <c r="U1099" s="48" t="s">
        <v>199</v>
      </c>
      <c r="V1099" s="38"/>
      <c r="W1099" s="48" t="s">
        <v>195</v>
      </c>
      <c r="X1099" s="38" t="s">
        <v>308</v>
      </c>
      <c r="Y1099" s="49" t="s">
        <v>309</v>
      </c>
      <c r="Z1099" s="50" t="s">
        <v>3383</v>
      </c>
      <c r="AA1099" s="38"/>
      <c r="AB1099" s="38"/>
      <c r="AC1099" s="38"/>
      <c r="AD1099" s="51">
        <v>64</v>
      </c>
      <c r="AE1099" s="51">
        <v>64</v>
      </c>
      <c r="AF1099" s="48" t="s">
        <v>203</v>
      </c>
      <c r="AG1099" s="38" t="s">
        <v>204</v>
      </c>
      <c r="AH1099" s="52"/>
      <c r="AI1099" s="38"/>
      <c r="AJ1099" s="38"/>
    </row>
    <row r="1100" spans="1:36" ht="16.2">
      <c r="A1100" s="42" t="s">
        <v>302</v>
      </c>
      <c r="B1100" s="42">
        <v>69841201</v>
      </c>
      <c r="C1100" s="42" t="s">
        <v>3384</v>
      </c>
      <c r="D1100" s="42">
        <v>13207605</v>
      </c>
      <c r="E1100" s="43" t="s">
        <v>3385</v>
      </c>
      <c r="F1100" s="42" t="s">
        <v>3362</v>
      </c>
      <c r="G1100" s="42" t="s">
        <v>195</v>
      </c>
      <c r="H1100" s="42"/>
      <c r="I1100" s="42"/>
      <c r="J1100" s="42">
        <v>13207605</v>
      </c>
      <c r="K1100" s="42"/>
      <c r="L1100" s="44">
        <v>45293</v>
      </c>
      <c r="M1100" s="44">
        <v>45293</v>
      </c>
      <c r="N1100" s="42" t="s">
        <v>601</v>
      </c>
      <c r="O1100" s="42">
        <v>0</v>
      </c>
      <c r="P1100" s="42">
        <v>20009822</v>
      </c>
      <c r="Q1100" s="42" t="s">
        <v>3386</v>
      </c>
      <c r="R1100" s="45">
        <v>410</v>
      </c>
      <c r="S1100" s="46">
        <v>0.01</v>
      </c>
      <c r="T1100" s="47" t="s">
        <v>198</v>
      </c>
      <c r="U1100" s="48" t="s">
        <v>199</v>
      </c>
      <c r="V1100" s="38"/>
      <c r="W1100" s="48" t="s">
        <v>195</v>
      </c>
      <c r="X1100" s="38" t="s">
        <v>308</v>
      </c>
      <c r="Y1100" s="49" t="s">
        <v>309</v>
      </c>
      <c r="Z1100" s="50" t="s">
        <v>3387</v>
      </c>
      <c r="AA1100" s="38"/>
      <c r="AB1100" s="38"/>
      <c r="AC1100" s="38"/>
      <c r="AD1100" s="51">
        <v>33</v>
      </c>
      <c r="AE1100" s="51">
        <v>33</v>
      </c>
      <c r="AF1100" s="48" t="s">
        <v>203</v>
      </c>
      <c r="AG1100" s="38" t="s">
        <v>204</v>
      </c>
      <c r="AH1100" s="52"/>
      <c r="AI1100" s="38"/>
      <c r="AJ1100" s="38"/>
    </row>
    <row r="1101" spans="1:36" ht="16.2">
      <c r="A1101" s="53" t="s">
        <v>302</v>
      </c>
      <c r="B1101" s="53">
        <v>69841201</v>
      </c>
      <c r="C1101" s="53" t="s">
        <v>3384</v>
      </c>
      <c r="D1101" s="53">
        <v>13207605</v>
      </c>
      <c r="E1101" s="54" t="s">
        <v>3385</v>
      </c>
      <c r="F1101" s="53" t="s">
        <v>3365</v>
      </c>
      <c r="G1101" s="53" t="s">
        <v>195</v>
      </c>
      <c r="H1101" s="53"/>
      <c r="I1101" s="53"/>
      <c r="J1101" s="53">
        <v>13207605</v>
      </c>
      <c r="K1101" s="53"/>
      <c r="L1101" s="55">
        <v>45293</v>
      </c>
      <c r="M1101" s="55">
        <v>45293</v>
      </c>
      <c r="N1101" s="53" t="s">
        <v>601</v>
      </c>
      <c r="O1101" s="53">
        <v>0</v>
      </c>
      <c r="P1101" s="53">
        <v>20009822</v>
      </c>
      <c r="Q1101" s="53" t="s">
        <v>3388</v>
      </c>
      <c r="R1101" s="45">
        <v>410</v>
      </c>
      <c r="S1101" s="56">
        <v>0.01</v>
      </c>
      <c r="T1101" s="47" t="s">
        <v>198</v>
      </c>
      <c r="U1101" s="48" t="s">
        <v>199</v>
      </c>
      <c r="V1101" s="38"/>
      <c r="W1101" s="48" t="s">
        <v>195</v>
      </c>
      <c r="X1101" s="38" t="s">
        <v>308</v>
      </c>
      <c r="Y1101" s="49" t="s">
        <v>309</v>
      </c>
      <c r="Z1101" s="50" t="s">
        <v>3389</v>
      </c>
      <c r="AA1101" s="38"/>
      <c r="AB1101" s="38"/>
      <c r="AC1101" s="38"/>
      <c r="AD1101" s="51">
        <v>33</v>
      </c>
      <c r="AE1101" s="51">
        <v>33</v>
      </c>
      <c r="AF1101" s="48" t="s">
        <v>203</v>
      </c>
      <c r="AG1101" s="38" t="s">
        <v>204</v>
      </c>
      <c r="AH1101" s="52"/>
      <c r="AI1101" s="38"/>
      <c r="AJ1101" s="38"/>
    </row>
    <row r="1102" spans="1:36" ht="16.2">
      <c r="A1102" s="42" t="s">
        <v>302</v>
      </c>
      <c r="B1102" s="42">
        <v>69841201</v>
      </c>
      <c r="C1102" s="42" t="s">
        <v>3384</v>
      </c>
      <c r="D1102" s="42">
        <v>13207605</v>
      </c>
      <c r="E1102" s="43" t="s">
        <v>3385</v>
      </c>
      <c r="F1102" s="42" t="s">
        <v>3368</v>
      </c>
      <c r="G1102" s="42" t="s">
        <v>195</v>
      </c>
      <c r="H1102" s="42"/>
      <c r="I1102" s="42"/>
      <c r="J1102" s="42">
        <v>13207605</v>
      </c>
      <c r="K1102" s="42"/>
      <c r="L1102" s="44">
        <v>45293</v>
      </c>
      <c r="M1102" s="44">
        <v>45293</v>
      </c>
      <c r="N1102" s="42" t="s">
        <v>601</v>
      </c>
      <c r="O1102" s="46">
        <v>0.01</v>
      </c>
      <c r="P1102" s="42">
        <v>20009822</v>
      </c>
      <c r="Q1102" s="42" t="s">
        <v>3390</v>
      </c>
      <c r="R1102" s="45">
        <v>410</v>
      </c>
      <c r="S1102" s="46">
        <v>0.01</v>
      </c>
      <c r="T1102" s="47" t="s">
        <v>198</v>
      </c>
      <c r="U1102" s="48" t="s">
        <v>199</v>
      </c>
      <c r="V1102" s="38"/>
      <c r="W1102" s="48" t="s">
        <v>195</v>
      </c>
      <c r="X1102" s="38" t="s">
        <v>308</v>
      </c>
      <c r="Y1102" s="49" t="s">
        <v>309</v>
      </c>
      <c r="Z1102" s="50" t="s">
        <v>3391</v>
      </c>
      <c r="AA1102" s="38"/>
      <c r="AB1102" s="38"/>
      <c r="AC1102" s="38"/>
      <c r="AD1102" s="51">
        <v>33</v>
      </c>
      <c r="AE1102" s="51">
        <v>33</v>
      </c>
      <c r="AF1102" s="48" t="s">
        <v>203</v>
      </c>
      <c r="AG1102" s="38" t="s">
        <v>204</v>
      </c>
      <c r="AH1102" s="52"/>
      <c r="AI1102" s="38"/>
      <c r="AJ1102" s="38"/>
    </row>
    <row r="1103" spans="1:36" ht="16.2">
      <c r="A1103" s="53" t="s">
        <v>302</v>
      </c>
      <c r="B1103" s="53">
        <v>69841201</v>
      </c>
      <c r="C1103" s="53" t="s">
        <v>3384</v>
      </c>
      <c r="D1103" s="53">
        <v>13207605</v>
      </c>
      <c r="E1103" s="54" t="s">
        <v>3385</v>
      </c>
      <c r="F1103" s="53" t="s">
        <v>3371</v>
      </c>
      <c r="G1103" s="53" t="s">
        <v>195</v>
      </c>
      <c r="H1103" s="53"/>
      <c r="I1103" s="53"/>
      <c r="J1103" s="53">
        <v>13207605</v>
      </c>
      <c r="K1103" s="53"/>
      <c r="L1103" s="55">
        <v>45293</v>
      </c>
      <c r="M1103" s="55">
        <v>45293</v>
      </c>
      <c r="N1103" s="53" t="s">
        <v>601</v>
      </c>
      <c r="O1103" s="56">
        <v>0.01</v>
      </c>
      <c r="P1103" s="53">
        <v>20009822</v>
      </c>
      <c r="Q1103" s="53" t="s">
        <v>3392</v>
      </c>
      <c r="R1103" s="45">
        <v>410</v>
      </c>
      <c r="S1103" s="56">
        <v>0.01</v>
      </c>
      <c r="T1103" s="47" t="s">
        <v>198</v>
      </c>
      <c r="U1103" s="48" t="s">
        <v>199</v>
      </c>
      <c r="V1103" s="38"/>
      <c r="W1103" s="48" t="s">
        <v>195</v>
      </c>
      <c r="X1103" s="38" t="s">
        <v>308</v>
      </c>
      <c r="Y1103" s="49" t="s">
        <v>309</v>
      </c>
      <c r="Z1103" s="50" t="s">
        <v>3393</v>
      </c>
      <c r="AA1103" s="38"/>
      <c r="AB1103" s="38"/>
      <c r="AC1103" s="38"/>
      <c r="AD1103" s="51">
        <v>33</v>
      </c>
      <c r="AE1103" s="51">
        <v>33</v>
      </c>
      <c r="AF1103" s="48" t="s">
        <v>203</v>
      </c>
      <c r="AG1103" s="38" t="s">
        <v>204</v>
      </c>
      <c r="AH1103" s="52"/>
      <c r="AI1103" s="38"/>
      <c r="AJ1103" s="38"/>
    </row>
    <row r="1104" spans="1:36" ht="16.2">
      <c r="A1104" s="42" t="s">
        <v>302</v>
      </c>
      <c r="B1104" s="42">
        <v>69841201</v>
      </c>
      <c r="C1104" s="42" t="s">
        <v>3384</v>
      </c>
      <c r="D1104" s="42">
        <v>13207605</v>
      </c>
      <c r="E1104" s="43" t="s">
        <v>3385</v>
      </c>
      <c r="F1104" s="42" t="s">
        <v>3374</v>
      </c>
      <c r="G1104" s="42" t="s">
        <v>195</v>
      </c>
      <c r="H1104" s="42"/>
      <c r="I1104" s="42"/>
      <c r="J1104" s="42">
        <v>13207605</v>
      </c>
      <c r="K1104" s="42"/>
      <c r="L1104" s="44">
        <v>45293</v>
      </c>
      <c r="M1104" s="44">
        <v>45293</v>
      </c>
      <c r="N1104" s="42" t="s">
        <v>601</v>
      </c>
      <c r="O1104" s="46">
        <v>0.01</v>
      </c>
      <c r="P1104" s="42">
        <v>20009822</v>
      </c>
      <c r="Q1104" s="42" t="s">
        <v>3394</v>
      </c>
      <c r="R1104" s="45">
        <v>410</v>
      </c>
      <c r="S1104" s="46">
        <v>0.01</v>
      </c>
      <c r="T1104" s="47" t="s">
        <v>198</v>
      </c>
      <c r="U1104" s="48" t="s">
        <v>199</v>
      </c>
      <c r="V1104" s="38"/>
      <c r="W1104" s="48" t="s">
        <v>195</v>
      </c>
      <c r="X1104" s="38" t="s">
        <v>308</v>
      </c>
      <c r="Y1104" s="49" t="s">
        <v>309</v>
      </c>
      <c r="Z1104" s="50" t="s">
        <v>3395</v>
      </c>
      <c r="AA1104" s="38"/>
      <c r="AB1104" s="38"/>
      <c r="AC1104" s="38"/>
      <c r="AD1104" s="51">
        <v>33</v>
      </c>
      <c r="AE1104" s="51">
        <v>33</v>
      </c>
      <c r="AF1104" s="48" t="s">
        <v>203</v>
      </c>
      <c r="AG1104" s="38" t="s">
        <v>204</v>
      </c>
      <c r="AH1104" s="52"/>
      <c r="AI1104" s="38"/>
      <c r="AJ1104" s="38"/>
    </row>
    <row r="1105" spans="1:36" ht="16.2">
      <c r="A1105" s="53" t="s">
        <v>302</v>
      </c>
      <c r="B1105" s="53">
        <v>69841201</v>
      </c>
      <c r="C1105" s="53" t="s">
        <v>3384</v>
      </c>
      <c r="D1105" s="53">
        <v>13207605</v>
      </c>
      <c r="E1105" s="54" t="s">
        <v>3385</v>
      </c>
      <c r="F1105" s="53" t="s">
        <v>655</v>
      </c>
      <c r="G1105" s="53" t="s">
        <v>195</v>
      </c>
      <c r="H1105" s="53"/>
      <c r="I1105" s="53"/>
      <c r="J1105" s="53">
        <v>13207605</v>
      </c>
      <c r="K1105" s="53"/>
      <c r="L1105" s="55">
        <v>45293</v>
      </c>
      <c r="M1105" s="55">
        <v>45293</v>
      </c>
      <c r="N1105" s="53" t="s">
        <v>601</v>
      </c>
      <c r="O1105" s="56">
        <v>0.01</v>
      </c>
      <c r="P1105" s="53">
        <v>20009822</v>
      </c>
      <c r="Q1105" s="53" t="s">
        <v>3396</v>
      </c>
      <c r="R1105" s="45">
        <v>410</v>
      </c>
      <c r="S1105" s="56">
        <v>0.01</v>
      </c>
      <c r="T1105" s="47" t="s">
        <v>198</v>
      </c>
      <c r="U1105" s="48" t="s">
        <v>199</v>
      </c>
      <c r="V1105" s="38"/>
      <c r="W1105" s="48" t="s">
        <v>195</v>
      </c>
      <c r="X1105" s="38" t="s">
        <v>308</v>
      </c>
      <c r="Y1105" s="49" t="s">
        <v>309</v>
      </c>
      <c r="Z1105" s="50" t="s">
        <v>3397</v>
      </c>
      <c r="AA1105" s="38"/>
      <c r="AB1105" s="38"/>
      <c r="AC1105" s="38"/>
      <c r="AD1105" s="51">
        <v>33</v>
      </c>
      <c r="AE1105" s="51">
        <v>33</v>
      </c>
      <c r="AF1105" s="48" t="s">
        <v>203</v>
      </c>
      <c r="AG1105" s="38" t="s">
        <v>204</v>
      </c>
      <c r="AH1105" s="52"/>
      <c r="AI1105" s="38"/>
      <c r="AJ1105" s="38"/>
    </row>
    <row r="1106" spans="1:36" ht="16.2">
      <c r="A1106" s="42" t="s">
        <v>302</v>
      </c>
      <c r="B1106" s="42">
        <v>69841201</v>
      </c>
      <c r="C1106" s="42" t="s">
        <v>3384</v>
      </c>
      <c r="D1106" s="42">
        <v>13207605</v>
      </c>
      <c r="E1106" s="43" t="s">
        <v>3385</v>
      </c>
      <c r="F1106" s="42" t="s">
        <v>944</v>
      </c>
      <c r="G1106" s="42" t="s">
        <v>195</v>
      </c>
      <c r="H1106" s="42"/>
      <c r="I1106" s="42"/>
      <c r="J1106" s="42">
        <v>13207605</v>
      </c>
      <c r="K1106" s="42"/>
      <c r="L1106" s="44">
        <v>45293</v>
      </c>
      <c r="M1106" s="44">
        <v>45293</v>
      </c>
      <c r="N1106" s="42" t="s">
        <v>601</v>
      </c>
      <c r="O1106" s="46">
        <v>0.01</v>
      </c>
      <c r="P1106" s="42">
        <v>20009822</v>
      </c>
      <c r="Q1106" s="42" t="s">
        <v>3398</v>
      </c>
      <c r="R1106" s="45">
        <v>410</v>
      </c>
      <c r="S1106" s="46">
        <v>0.01</v>
      </c>
      <c r="T1106" s="47" t="s">
        <v>198</v>
      </c>
      <c r="U1106" s="48" t="s">
        <v>199</v>
      </c>
      <c r="V1106" s="38"/>
      <c r="W1106" s="48" t="s">
        <v>195</v>
      </c>
      <c r="X1106" s="38" t="s">
        <v>308</v>
      </c>
      <c r="Y1106" s="49" t="s">
        <v>309</v>
      </c>
      <c r="Z1106" s="50" t="s">
        <v>3399</v>
      </c>
      <c r="AA1106" s="38"/>
      <c r="AB1106" s="38"/>
      <c r="AC1106" s="38"/>
      <c r="AD1106" s="51">
        <v>33</v>
      </c>
      <c r="AE1106" s="51">
        <v>33</v>
      </c>
      <c r="AF1106" s="48" t="s">
        <v>203</v>
      </c>
      <c r="AG1106" s="38" t="s">
        <v>204</v>
      </c>
      <c r="AH1106" s="52"/>
      <c r="AI1106" s="38"/>
      <c r="AJ1106" s="38"/>
    </row>
    <row r="1107" spans="1:36" ht="16.2">
      <c r="A1107" s="53" t="s">
        <v>302</v>
      </c>
      <c r="B1107" s="53">
        <v>69841201</v>
      </c>
      <c r="C1107" s="53" t="s">
        <v>3384</v>
      </c>
      <c r="D1107" s="53">
        <v>13207605</v>
      </c>
      <c r="E1107" s="54" t="s">
        <v>3385</v>
      </c>
      <c r="F1107" s="53" t="s">
        <v>3381</v>
      </c>
      <c r="G1107" s="53" t="s">
        <v>195</v>
      </c>
      <c r="H1107" s="53"/>
      <c r="I1107" s="53"/>
      <c r="J1107" s="53">
        <v>13207605</v>
      </c>
      <c r="K1107" s="53"/>
      <c r="L1107" s="55">
        <v>45293</v>
      </c>
      <c r="M1107" s="55">
        <v>45293</v>
      </c>
      <c r="N1107" s="53" t="s">
        <v>601</v>
      </c>
      <c r="O1107" s="56">
        <v>0.01</v>
      </c>
      <c r="P1107" s="53">
        <v>20009822</v>
      </c>
      <c r="Q1107" s="53" t="s">
        <v>3400</v>
      </c>
      <c r="R1107" s="45">
        <v>410</v>
      </c>
      <c r="S1107" s="56">
        <v>0.01</v>
      </c>
      <c r="T1107" s="47" t="s">
        <v>198</v>
      </c>
      <c r="U1107" s="48" t="s">
        <v>199</v>
      </c>
      <c r="V1107" s="38"/>
      <c r="W1107" s="48" t="s">
        <v>195</v>
      </c>
      <c r="X1107" s="38" t="s">
        <v>308</v>
      </c>
      <c r="Y1107" s="49" t="s">
        <v>309</v>
      </c>
      <c r="Z1107" s="50" t="s">
        <v>3401</v>
      </c>
      <c r="AA1107" s="38"/>
      <c r="AB1107" s="38"/>
      <c r="AC1107" s="38"/>
      <c r="AD1107" s="51">
        <v>33</v>
      </c>
      <c r="AE1107" s="51">
        <v>33</v>
      </c>
      <c r="AF1107" s="48" t="s">
        <v>203</v>
      </c>
      <c r="AG1107" s="38" t="s">
        <v>204</v>
      </c>
      <c r="AH1107" s="52"/>
      <c r="AI1107" s="38"/>
      <c r="AJ1107" s="38"/>
    </row>
    <row r="1108" spans="1:36" ht="16.2">
      <c r="A1108" s="42" t="s">
        <v>302</v>
      </c>
      <c r="B1108" s="42">
        <v>66944501</v>
      </c>
      <c r="C1108" s="42" t="s">
        <v>3402</v>
      </c>
      <c r="D1108" s="42">
        <v>13207606</v>
      </c>
      <c r="E1108" s="43" t="s">
        <v>3403</v>
      </c>
      <c r="F1108" s="42" t="s">
        <v>3362</v>
      </c>
      <c r="G1108" s="42" t="s">
        <v>195</v>
      </c>
      <c r="H1108" s="42"/>
      <c r="I1108" s="42"/>
      <c r="J1108" s="42">
        <v>13207606</v>
      </c>
      <c r="K1108" s="42"/>
      <c r="L1108" s="44">
        <v>45293</v>
      </c>
      <c r="M1108" s="44">
        <v>45293</v>
      </c>
      <c r="N1108" s="42" t="s">
        <v>601</v>
      </c>
      <c r="O1108" s="46">
        <v>0.01</v>
      </c>
      <c r="P1108" s="42">
        <v>20009822</v>
      </c>
      <c r="Q1108" s="42" t="s">
        <v>3404</v>
      </c>
      <c r="R1108" s="45">
        <v>410</v>
      </c>
      <c r="S1108" s="46">
        <v>0.01</v>
      </c>
      <c r="T1108" s="47" t="s">
        <v>198</v>
      </c>
      <c r="U1108" s="48" t="s">
        <v>199</v>
      </c>
      <c r="V1108" s="38"/>
      <c r="W1108" s="48" t="s">
        <v>195</v>
      </c>
      <c r="X1108" s="38" t="s">
        <v>308</v>
      </c>
      <c r="Y1108" s="49" t="s">
        <v>309</v>
      </c>
      <c r="Z1108" s="50" t="s">
        <v>3405</v>
      </c>
      <c r="AA1108" s="38"/>
      <c r="AB1108" s="38"/>
      <c r="AC1108" s="38"/>
      <c r="AD1108" s="51">
        <v>33</v>
      </c>
      <c r="AE1108" s="51">
        <v>33</v>
      </c>
      <c r="AF1108" s="48" t="s">
        <v>203</v>
      </c>
      <c r="AG1108" s="38" t="s">
        <v>204</v>
      </c>
      <c r="AH1108" s="52"/>
      <c r="AI1108" s="38"/>
      <c r="AJ1108" s="38"/>
    </row>
    <row r="1109" spans="1:36" ht="16.2">
      <c r="A1109" s="53" t="s">
        <v>302</v>
      </c>
      <c r="B1109" s="53">
        <v>66944501</v>
      </c>
      <c r="C1109" s="53" t="s">
        <v>3402</v>
      </c>
      <c r="D1109" s="53">
        <v>13207606</v>
      </c>
      <c r="E1109" s="54" t="s">
        <v>3403</v>
      </c>
      <c r="F1109" s="53" t="s">
        <v>3365</v>
      </c>
      <c r="G1109" s="53" t="s">
        <v>195</v>
      </c>
      <c r="H1109" s="53"/>
      <c r="I1109" s="53"/>
      <c r="J1109" s="53">
        <v>13207606</v>
      </c>
      <c r="K1109" s="53"/>
      <c r="L1109" s="55">
        <v>45293</v>
      </c>
      <c r="M1109" s="55">
        <v>45293</v>
      </c>
      <c r="N1109" s="53" t="s">
        <v>601</v>
      </c>
      <c r="O1109" s="56">
        <v>0.01</v>
      </c>
      <c r="P1109" s="53">
        <v>20009822</v>
      </c>
      <c r="Q1109" s="53" t="s">
        <v>3406</v>
      </c>
      <c r="R1109" s="45">
        <v>410</v>
      </c>
      <c r="S1109" s="56">
        <v>0.01</v>
      </c>
      <c r="T1109" s="47" t="s">
        <v>198</v>
      </c>
      <c r="U1109" s="48" t="s">
        <v>199</v>
      </c>
      <c r="V1109" s="38"/>
      <c r="W1109" s="48" t="s">
        <v>195</v>
      </c>
      <c r="X1109" s="38" t="s">
        <v>308</v>
      </c>
      <c r="Y1109" s="49" t="s">
        <v>309</v>
      </c>
      <c r="Z1109" s="50" t="s">
        <v>3407</v>
      </c>
      <c r="AA1109" s="38"/>
      <c r="AB1109" s="38"/>
      <c r="AC1109" s="38"/>
      <c r="AD1109" s="51">
        <v>33</v>
      </c>
      <c r="AE1109" s="51">
        <v>33</v>
      </c>
      <c r="AF1109" s="48" t="s">
        <v>203</v>
      </c>
      <c r="AG1109" s="38" t="s">
        <v>204</v>
      </c>
      <c r="AH1109" s="52"/>
      <c r="AI1109" s="38"/>
      <c r="AJ1109" s="38"/>
    </row>
    <row r="1110" spans="1:36" ht="16.2">
      <c r="A1110" s="42" t="s">
        <v>302</v>
      </c>
      <c r="B1110" s="42">
        <v>66944501</v>
      </c>
      <c r="C1110" s="42" t="s">
        <v>3402</v>
      </c>
      <c r="D1110" s="42">
        <v>13207606</v>
      </c>
      <c r="E1110" s="43" t="s">
        <v>3403</v>
      </c>
      <c r="F1110" s="42" t="s">
        <v>3368</v>
      </c>
      <c r="G1110" s="42" t="s">
        <v>195</v>
      </c>
      <c r="H1110" s="42"/>
      <c r="I1110" s="42"/>
      <c r="J1110" s="42">
        <v>13207606</v>
      </c>
      <c r="K1110" s="42"/>
      <c r="L1110" s="44">
        <v>45293</v>
      </c>
      <c r="M1110" s="44">
        <v>45293</v>
      </c>
      <c r="N1110" s="42" t="s">
        <v>601</v>
      </c>
      <c r="O1110" s="46">
        <v>0.01</v>
      </c>
      <c r="P1110" s="42">
        <v>20009822</v>
      </c>
      <c r="Q1110" s="42" t="s">
        <v>3408</v>
      </c>
      <c r="R1110" s="45">
        <v>410</v>
      </c>
      <c r="S1110" s="46">
        <v>0.01</v>
      </c>
      <c r="T1110" s="47" t="s">
        <v>198</v>
      </c>
      <c r="U1110" s="48" t="s">
        <v>199</v>
      </c>
      <c r="V1110" s="38"/>
      <c r="W1110" s="48" t="s">
        <v>195</v>
      </c>
      <c r="X1110" s="38" t="s">
        <v>308</v>
      </c>
      <c r="Y1110" s="49" t="s">
        <v>309</v>
      </c>
      <c r="Z1110" s="50" t="s">
        <v>3409</v>
      </c>
      <c r="AA1110" s="38"/>
      <c r="AB1110" s="38"/>
      <c r="AC1110" s="38"/>
      <c r="AD1110" s="51">
        <v>33</v>
      </c>
      <c r="AE1110" s="51">
        <v>33</v>
      </c>
      <c r="AF1110" s="48" t="s">
        <v>203</v>
      </c>
      <c r="AG1110" s="38" t="s">
        <v>204</v>
      </c>
      <c r="AH1110" s="52"/>
      <c r="AI1110" s="38"/>
      <c r="AJ1110" s="38"/>
    </row>
    <row r="1111" spans="1:36" ht="16.2">
      <c r="A1111" s="53" t="s">
        <v>302</v>
      </c>
      <c r="B1111" s="53">
        <v>66944501</v>
      </c>
      <c r="C1111" s="53" t="s">
        <v>3402</v>
      </c>
      <c r="D1111" s="53">
        <v>13207606</v>
      </c>
      <c r="E1111" s="54" t="s">
        <v>3403</v>
      </c>
      <c r="F1111" s="53" t="s">
        <v>3371</v>
      </c>
      <c r="G1111" s="53" t="s">
        <v>195</v>
      </c>
      <c r="H1111" s="53"/>
      <c r="I1111" s="53"/>
      <c r="J1111" s="53">
        <v>13207606</v>
      </c>
      <c r="K1111" s="53"/>
      <c r="L1111" s="55">
        <v>45293</v>
      </c>
      <c r="M1111" s="55">
        <v>45293</v>
      </c>
      <c r="N1111" s="53" t="s">
        <v>601</v>
      </c>
      <c r="O1111" s="56">
        <v>0.01</v>
      </c>
      <c r="P1111" s="53">
        <v>20009822</v>
      </c>
      <c r="Q1111" s="53" t="s">
        <v>3410</v>
      </c>
      <c r="R1111" s="45">
        <v>410</v>
      </c>
      <c r="S1111" s="56">
        <v>0.01</v>
      </c>
      <c r="T1111" s="47" t="s">
        <v>198</v>
      </c>
      <c r="U1111" s="48" t="s">
        <v>199</v>
      </c>
      <c r="V1111" s="38"/>
      <c r="W1111" s="48" t="s">
        <v>195</v>
      </c>
      <c r="X1111" s="38" t="s">
        <v>308</v>
      </c>
      <c r="Y1111" s="49" t="s">
        <v>309</v>
      </c>
      <c r="Z1111" s="50" t="s">
        <v>3411</v>
      </c>
      <c r="AA1111" s="38"/>
      <c r="AB1111" s="38"/>
      <c r="AC1111" s="38"/>
      <c r="AD1111" s="51">
        <v>33</v>
      </c>
      <c r="AE1111" s="51">
        <v>33</v>
      </c>
      <c r="AF1111" s="48" t="s">
        <v>203</v>
      </c>
      <c r="AG1111" s="38" t="s">
        <v>204</v>
      </c>
      <c r="AH1111" s="52"/>
      <c r="AI1111" s="38"/>
      <c r="AJ1111" s="38"/>
    </row>
    <row r="1112" spans="1:36" ht="16.2">
      <c r="A1112" s="42" t="s">
        <v>302</v>
      </c>
      <c r="B1112" s="42">
        <v>66944501</v>
      </c>
      <c r="C1112" s="42" t="s">
        <v>3402</v>
      </c>
      <c r="D1112" s="42">
        <v>13207606</v>
      </c>
      <c r="E1112" s="43" t="s">
        <v>3403</v>
      </c>
      <c r="F1112" s="42" t="s">
        <v>3374</v>
      </c>
      <c r="G1112" s="42" t="s">
        <v>195</v>
      </c>
      <c r="H1112" s="42"/>
      <c r="I1112" s="42"/>
      <c r="J1112" s="42">
        <v>13207606</v>
      </c>
      <c r="K1112" s="42"/>
      <c r="L1112" s="44">
        <v>45293</v>
      </c>
      <c r="M1112" s="44">
        <v>45293</v>
      </c>
      <c r="N1112" s="42" t="s">
        <v>601</v>
      </c>
      <c r="O1112" s="46">
        <v>0.01</v>
      </c>
      <c r="P1112" s="42">
        <v>20009822</v>
      </c>
      <c r="Q1112" s="42" t="s">
        <v>3412</v>
      </c>
      <c r="R1112" s="45">
        <v>410</v>
      </c>
      <c r="S1112" s="46">
        <v>0.01</v>
      </c>
      <c r="T1112" s="47" t="s">
        <v>198</v>
      </c>
      <c r="U1112" s="48" t="s">
        <v>199</v>
      </c>
      <c r="V1112" s="38"/>
      <c r="W1112" s="48" t="s">
        <v>195</v>
      </c>
      <c r="X1112" s="38" t="s">
        <v>308</v>
      </c>
      <c r="Y1112" s="49" t="s">
        <v>309</v>
      </c>
      <c r="Z1112" s="50" t="s">
        <v>3413</v>
      </c>
      <c r="AA1112" s="38"/>
      <c r="AB1112" s="38"/>
      <c r="AC1112" s="38"/>
      <c r="AD1112" s="51">
        <v>33</v>
      </c>
      <c r="AE1112" s="51">
        <v>33</v>
      </c>
      <c r="AF1112" s="48" t="s">
        <v>203</v>
      </c>
      <c r="AG1112" s="38" t="s">
        <v>204</v>
      </c>
      <c r="AH1112" s="52"/>
      <c r="AI1112" s="38"/>
      <c r="AJ1112" s="38"/>
    </row>
    <row r="1113" spans="1:36" ht="16.2">
      <c r="A1113" s="53" t="s">
        <v>302</v>
      </c>
      <c r="B1113" s="53">
        <v>66944501</v>
      </c>
      <c r="C1113" s="53" t="s">
        <v>3402</v>
      </c>
      <c r="D1113" s="53">
        <v>13207606</v>
      </c>
      <c r="E1113" s="54" t="s">
        <v>3403</v>
      </c>
      <c r="F1113" s="53" t="s">
        <v>655</v>
      </c>
      <c r="G1113" s="53" t="s">
        <v>195</v>
      </c>
      <c r="H1113" s="53"/>
      <c r="I1113" s="53"/>
      <c r="J1113" s="53">
        <v>13207606</v>
      </c>
      <c r="K1113" s="53"/>
      <c r="L1113" s="55">
        <v>45293</v>
      </c>
      <c r="M1113" s="55">
        <v>45293</v>
      </c>
      <c r="N1113" s="53" t="s">
        <v>601</v>
      </c>
      <c r="O1113" s="56">
        <v>0.01</v>
      </c>
      <c r="P1113" s="53">
        <v>20009822</v>
      </c>
      <c r="Q1113" s="53" t="s">
        <v>3414</v>
      </c>
      <c r="R1113" s="45">
        <v>410</v>
      </c>
      <c r="S1113" s="56">
        <v>0.01</v>
      </c>
      <c r="T1113" s="47" t="s">
        <v>198</v>
      </c>
      <c r="U1113" s="48" t="s">
        <v>199</v>
      </c>
      <c r="V1113" s="38"/>
      <c r="W1113" s="48" t="s">
        <v>195</v>
      </c>
      <c r="X1113" s="38" t="s">
        <v>308</v>
      </c>
      <c r="Y1113" s="49" t="s">
        <v>309</v>
      </c>
      <c r="Z1113" s="50" t="s">
        <v>3415</v>
      </c>
      <c r="AA1113" s="38"/>
      <c r="AB1113" s="38"/>
      <c r="AC1113" s="38"/>
      <c r="AD1113" s="51">
        <v>33</v>
      </c>
      <c r="AE1113" s="51">
        <v>33</v>
      </c>
      <c r="AF1113" s="48" t="s">
        <v>203</v>
      </c>
      <c r="AG1113" s="38" t="s">
        <v>204</v>
      </c>
      <c r="AH1113" s="52"/>
      <c r="AI1113" s="38"/>
      <c r="AJ1113" s="38"/>
    </row>
    <row r="1114" spans="1:36" ht="16.2">
      <c r="A1114" s="42" t="s">
        <v>302</v>
      </c>
      <c r="B1114" s="42">
        <v>66944501</v>
      </c>
      <c r="C1114" s="42" t="s">
        <v>3402</v>
      </c>
      <c r="D1114" s="42">
        <v>13207606</v>
      </c>
      <c r="E1114" s="43" t="s">
        <v>3403</v>
      </c>
      <c r="F1114" s="42" t="s">
        <v>944</v>
      </c>
      <c r="G1114" s="42" t="s">
        <v>195</v>
      </c>
      <c r="H1114" s="42"/>
      <c r="I1114" s="42"/>
      <c r="J1114" s="42">
        <v>13207606</v>
      </c>
      <c r="K1114" s="42"/>
      <c r="L1114" s="44">
        <v>45293</v>
      </c>
      <c r="M1114" s="44">
        <v>45293</v>
      </c>
      <c r="N1114" s="42" t="s">
        <v>601</v>
      </c>
      <c r="O1114" s="46">
        <v>0.01</v>
      </c>
      <c r="P1114" s="42">
        <v>20009822</v>
      </c>
      <c r="Q1114" s="42" t="s">
        <v>3416</v>
      </c>
      <c r="R1114" s="45">
        <v>410</v>
      </c>
      <c r="S1114" s="46">
        <v>0.01</v>
      </c>
      <c r="T1114" s="47" t="s">
        <v>198</v>
      </c>
      <c r="U1114" s="48" t="s">
        <v>199</v>
      </c>
      <c r="V1114" s="38"/>
      <c r="W1114" s="48" t="s">
        <v>195</v>
      </c>
      <c r="X1114" s="38" t="s">
        <v>308</v>
      </c>
      <c r="Y1114" s="49" t="s">
        <v>309</v>
      </c>
      <c r="Z1114" s="50" t="s">
        <v>3417</v>
      </c>
      <c r="AA1114" s="38"/>
      <c r="AB1114" s="38"/>
      <c r="AC1114" s="38"/>
      <c r="AD1114" s="51">
        <v>33</v>
      </c>
      <c r="AE1114" s="51">
        <v>33</v>
      </c>
      <c r="AF1114" s="48" t="s">
        <v>203</v>
      </c>
      <c r="AG1114" s="38" t="s">
        <v>204</v>
      </c>
      <c r="AH1114" s="52"/>
      <c r="AI1114" s="38"/>
      <c r="AJ1114" s="38"/>
    </row>
    <row r="1115" spans="1:36" ht="16.2">
      <c r="A1115" s="53" t="s">
        <v>302</v>
      </c>
      <c r="B1115" s="53">
        <v>66944501</v>
      </c>
      <c r="C1115" s="53" t="s">
        <v>3402</v>
      </c>
      <c r="D1115" s="53">
        <v>13207606</v>
      </c>
      <c r="E1115" s="54" t="s">
        <v>3403</v>
      </c>
      <c r="F1115" s="53" t="s">
        <v>3381</v>
      </c>
      <c r="G1115" s="53" t="s">
        <v>195</v>
      </c>
      <c r="H1115" s="53"/>
      <c r="I1115" s="53"/>
      <c r="J1115" s="53">
        <v>13207606</v>
      </c>
      <c r="K1115" s="53"/>
      <c r="L1115" s="55">
        <v>45293</v>
      </c>
      <c r="M1115" s="55">
        <v>45293</v>
      </c>
      <c r="N1115" s="53" t="s">
        <v>601</v>
      </c>
      <c r="O1115" s="56">
        <v>0.01</v>
      </c>
      <c r="P1115" s="53">
        <v>20009822</v>
      </c>
      <c r="Q1115" s="53" t="s">
        <v>3418</v>
      </c>
      <c r="R1115" s="45">
        <v>410</v>
      </c>
      <c r="S1115" s="56">
        <v>0.01</v>
      </c>
      <c r="T1115" s="47" t="s">
        <v>198</v>
      </c>
      <c r="U1115" s="48" t="s">
        <v>199</v>
      </c>
      <c r="V1115" s="38"/>
      <c r="W1115" s="48" t="s">
        <v>195</v>
      </c>
      <c r="X1115" s="38" t="s">
        <v>308</v>
      </c>
      <c r="Y1115" s="49" t="s">
        <v>309</v>
      </c>
      <c r="Z1115" s="50" t="s">
        <v>3419</v>
      </c>
      <c r="AA1115" s="38"/>
      <c r="AB1115" s="38"/>
      <c r="AC1115" s="38"/>
      <c r="AD1115" s="51">
        <v>33</v>
      </c>
      <c r="AE1115" s="51">
        <v>33</v>
      </c>
      <c r="AF1115" s="48" t="s">
        <v>203</v>
      </c>
      <c r="AG1115" s="38" t="s">
        <v>204</v>
      </c>
      <c r="AH1115" s="52"/>
      <c r="AI1115" s="38"/>
      <c r="AJ1115" s="38"/>
    </row>
    <row r="1116" spans="1:36" ht="16.2">
      <c r="A1116" s="42" t="s">
        <v>302</v>
      </c>
      <c r="B1116" s="42">
        <v>64954401</v>
      </c>
      <c r="C1116" s="42" t="s">
        <v>3420</v>
      </c>
      <c r="D1116" s="42">
        <v>13207609</v>
      </c>
      <c r="E1116" s="43" t="s">
        <v>3421</v>
      </c>
      <c r="F1116" s="42" t="s">
        <v>3362</v>
      </c>
      <c r="G1116" s="42" t="s">
        <v>195</v>
      </c>
      <c r="H1116" s="42"/>
      <c r="I1116" s="42"/>
      <c r="J1116" s="42">
        <v>13207609</v>
      </c>
      <c r="K1116" s="42"/>
      <c r="L1116" s="44">
        <v>45293</v>
      </c>
      <c r="M1116" s="44">
        <v>45293</v>
      </c>
      <c r="N1116" s="42" t="s">
        <v>408</v>
      </c>
      <c r="O1116" s="46">
        <v>0.01</v>
      </c>
      <c r="P1116" s="42">
        <v>94542837</v>
      </c>
      <c r="Q1116" s="42" t="s">
        <v>3422</v>
      </c>
      <c r="R1116" s="45">
        <v>410</v>
      </c>
      <c r="S1116" s="46">
        <v>0.01</v>
      </c>
      <c r="T1116" s="47" t="s">
        <v>198</v>
      </c>
      <c r="U1116" s="48" t="s">
        <v>199</v>
      </c>
      <c r="V1116" s="38"/>
      <c r="W1116" s="48" t="s">
        <v>195</v>
      </c>
      <c r="X1116" s="38" t="s">
        <v>308</v>
      </c>
      <c r="Y1116" s="49" t="s">
        <v>309</v>
      </c>
      <c r="Z1116" s="50" t="s">
        <v>3423</v>
      </c>
      <c r="AA1116" s="38"/>
      <c r="AB1116" s="38"/>
      <c r="AC1116" s="38"/>
      <c r="AD1116" s="51">
        <v>65</v>
      </c>
      <c r="AE1116" s="51">
        <v>65</v>
      </c>
      <c r="AF1116" s="48" t="s">
        <v>203</v>
      </c>
      <c r="AG1116" s="38" t="s">
        <v>204</v>
      </c>
      <c r="AH1116" s="52"/>
      <c r="AI1116" s="38"/>
      <c r="AJ1116" s="38"/>
    </row>
    <row r="1117" spans="1:36" ht="16.2">
      <c r="A1117" s="53" t="s">
        <v>302</v>
      </c>
      <c r="B1117" s="53">
        <v>64954401</v>
      </c>
      <c r="C1117" s="53" t="s">
        <v>3420</v>
      </c>
      <c r="D1117" s="53">
        <v>13207609</v>
      </c>
      <c r="E1117" s="54" t="s">
        <v>3421</v>
      </c>
      <c r="F1117" s="53" t="s">
        <v>3368</v>
      </c>
      <c r="G1117" s="53" t="s">
        <v>195</v>
      </c>
      <c r="H1117" s="53"/>
      <c r="I1117" s="53"/>
      <c r="J1117" s="53">
        <v>13207609</v>
      </c>
      <c r="K1117" s="53"/>
      <c r="L1117" s="55">
        <v>45293</v>
      </c>
      <c r="M1117" s="55">
        <v>45293</v>
      </c>
      <c r="N1117" s="53" t="s">
        <v>408</v>
      </c>
      <c r="O1117" s="53">
        <v>0</v>
      </c>
      <c r="P1117" s="53">
        <v>94542837</v>
      </c>
      <c r="Q1117" s="53" t="s">
        <v>3424</v>
      </c>
      <c r="R1117" s="45">
        <v>410</v>
      </c>
      <c r="S1117" s="53">
        <v>0</v>
      </c>
      <c r="T1117" s="47" t="s">
        <v>198</v>
      </c>
      <c r="U1117" s="48" t="s">
        <v>199</v>
      </c>
      <c r="V1117" s="38"/>
      <c r="W1117" s="48" t="s">
        <v>195</v>
      </c>
      <c r="X1117" s="38" t="s">
        <v>308</v>
      </c>
      <c r="Y1117" s="49" t="s">
        <v>309</v>
      </c>
      <c r="Z1117" s="50" t="s">
        <v>3425</v>
      </c>
      <c r="AA1117" s="38"/>
      <c r="AB1117" s="38"/>
      <c r="AC1117" s="38"/>
      <c r="AD1117" s="51">
        <v>65</v>
      </c>
      <c r="AE1117" s="51">
        <v>65</v>
      </c>
      <c r="AF1117" s="48" t="s">
        <v>203</v>
      </c>
      <c r="AG1117" s="38" t="s">
        <v>204</v>
      </c>
      <c r="AH1117" s="52"/>
      <c r="AI1117" s="38"/>
      <c r="AJ1117" s="38"/>
    </row>
    <row r="1118" spans="1:36" ht="16.2">
      <c r="A1118" s="42" t="s">
        <v>302</v>
      </c>
      <c r="B1118" s="42">
        <v>64954401</v>
      </c>
      <c r="C1118" s="42" t="s">
        <v>3420</v>
      </c>
      <c r="D1118" s="42">
        <v>13207609</v>
      </c>
      <c r="E1118" s="43" t="s">
        <v>3421</v>
      </c>
      <c r="F1118" s="42" t="s">
        <v>2599</v>
      </c>
      <c r="G1118" s="42" t="s">
        <v>195</v>
      </c>
      <c r="H1118" s="42"/>
      <c r="I1118" s="42"/>
      <c r="J1118" s="42">
        <v>13207609</v>
      </c>
      <c r="K1118" s="42"/>
      <c r="L1118" s="44">
        <v>45293</v>
      </c>
      <c r="M1118" s="44">
        <v>45293</v>
      </c>
      <c r="N1118" s="42" t="s">
        <v>408</v>
      </c>
      <c r="O1118" s="42">
        <v>0</v>
      </c>
      <c r="P1118" s="42">
        <v>94542837</v>
      </c>
      <c r="Q1118" s="42" t="s">
        <v>3426</v>
      </c>
      <c r="R1118" s="45">
        <v>410</v>
      </c>
      <c r="S1118" s="42">
        <v>0</v>
      </c>
      <c r="T1118" s="47" t="s">
        <v>198</v>
      </c>
      <c r="U1118" s="48" t="s">
        <v>199</v>
      </c>
      <c r="V1118" s="38"/>
      <c r="W1118" s="48" t="s">
        <v>195</v>
      </c>
      <c r="X1118" s="38" t="s">
        <v>308</v>
      </c>
      <c r="Y1118" s="49" t="s">
        <v>309</v>
      </c>
      <c r="Z1118" s="50" t="s">
        <v>3427</v>
      </c>
      <c r="AA1118" s="38"/>
      <c r="AB1118" s="38"/>
      <c r="AC1118" s="38"/>
      <c r="AD1118" s="51">
        <v>65</v>
      </c>
      <c r="AE1118" s="51">
        <v>65</v>
      </c>
      <c r="AF1118" s="48" t="s">
        <v>203</v>
      </c>
      <c r="AG1118" s="38" t="s">
        <v>204</v>
      </c>
      <c r="AH1118" s="52"/>
      <c r="AI1118" s="38"/>
      <c r="AJ1118" s="38"/>
    </row>
    <row r="1119" spans="1:36" ht="16.2">
      <c r="A1119" s="53" t="s">
        <v>302</v>
      </c>
      <c r="B1119" s="53">
        <v>64954401</v>
      </c>
      <c r="C1119" s="53" t="s">
        <v>3420</v>
      </c>
      <c r="D1119" s="53">
        <v>13207609</v>
      </c>
      <c r="E1119" s="54" t="s">
        <v>3421</v>
      </c>
      <c r="F1119" s="53" t="s">
        <v>3428</v>
      </c>
      <c r="G1119" s="53" t="s">
        <v>195</v>
      </c>
      <c r="H1119" s="53"/>
      <c r="I1119" s="53"/>
      <c r="J1119" s="53">
        <v>13207609</v>
      </c>
      <c r="K1119" s="53"/>
      <c r="L1119" s="55">
        <v>45293</v>
      </c>
      <c r="M1119" s="55">
        <v>45293</v>
      </c>
      <c r="N1119" s="53" t="s">
        <v>408</v>
      </c>
      <c r="O1119" s="53">
        <v>0</v>
      </c>
      <c r="P1119" s="53">
        <v>94542837</v>
      </c>
      <c r="Q1119" s="53" t="s">
        <v>3429</v>
      </c>
      <c r="R1119" s="45">
        <v>410</v>
      </c>
      <c r="S1119" s="53">
        <v>0</v>
      </c>
      <c r="T1119" s="47" t="s">
        <v>198</v>
      </c>
      <c r="U1119" s="48" t="s">
        <v>199</v>
      </c>
      <c r="V1119" s="38"/>
      <c r="W1119" s="48" t="s">
        <v>195</v>
      </c>
      <c r="X1119" s="38" t="s">
        <v>308</v>
      </c>
      <c r="Y1119" s="49" t="s">
        <v>309</v>
      </c>
      <c r="Z1119" s="50" t="s">
        <v>3430</v>
      </c>
      <c r="AA1119" s="38"/>
      <c r="AB1119" s="38"/>
      <c r="AC1119" s="38"/>
      <c r="AD1119" s="51">
        <v>65</v>
      </c>
      <c r="AE1119" s="51">
        <v>65</v>
      </c>
      <c r="AF1119" s="48" t="s">
        <v>203</v>
      </c>
      <c r="AG1119" s="38" t="s">
        <v>204</v>
      </c>
      <c r="AH1119" s="52"/>
      <c r="AI1119" s="38"/>
      <c r="AJ1119" s="38"/>
    </row>
    <row r="1120" spans="1:36" ht="16.2">
      <c r="A1120" s="42" t="s">
        <v>302</v>
      </c>
      <c r="B1120" s="42">
        <v>64954401</v>
      </c>
      <c r="C1120" s="42" t="s">
        <v>3420</v>
      </c>
      <c r="D1120" s="42">
        <v>13207609</v>
      </c>
      <c r="E1120" s="43" t="s">
        <v>3421</v>
      </c>
      <c r="F1120" s="42" t="s">
        <v>655</v>
      </c>
      <c r="G1120" s="42" t="s">
        <v>195</v>
      </c>
      <c r="H1120" s="42"/>
      <c r="I1120" s="42"/>
      <c r="J1120" s="42">
        <v>13207609</v>
      </c>
      <c r="K1120" s="42"/>
      <c r="L1120" s="44">
        <v>45293</v>
      </c>
      <c r="M1120" s="44">
        <v>45293</v>
      </c>
      <c r="N1120" s="42" t="s">
        <v>408</v>
      </c>
      <c r="O1120" s="42">
        <v>0</v>
      </c>
      <c r="P1120" s="42">
        <v>94542837</v>
      </c>
      <c r="Q1120" s="42" t="s">
        <v>3431</v>
      </c>
      <c r="R1120" s="45">
        <v>410</v>
      </c>
      <c r="S1120" s="42">
        <v>0</v>
      </c>
      <c r="T1120" s="47" t="s">
        <v>198</v>
      </c>
      <c r="U1120" s="48" t="s">
        <v>199</v>
      </c>
      <c r="V1120" s="38"/>
      <c r="W1120" s="48" t="s">
        <v>195</v>
      </c>
      <c r="X1120" s="38" t="s">
        <v>308</v>
      </c>
      <c r="Y1120" s="49" t="s">
        <v>309</v>
      </c>
      <c r="Z1120" s="50" t="s">
        <v>3432</v>
      </c>
      <c r="AA1120" s="38"/>
      <c r="AB1120" s="38"/>
      <c r="AC1120" s="38"/>
      <c r="AD1120" s="51">
        <v>65</v>
      </c>
      <c r="AE1120" s="51">
        <v>65</v>
      </c>
      <c r="AF1120" s="48" t="s">
        <v>203</v>
      </c>
      <c r="AG1120" s="38" t="s">
        <v>204</v>
      </c>
      <c r="AH1120" s="52"/>
      <c r="AI1120" s="38"/>
      <c r="AJ1120" s="38"/>
    </row>
    <row r="1121" spans="1:36" ht="16.2">
      <c r="A1121" s="53" t="s">
        <v>302</v>
      </c>
      <c r="B1121" s="53">
        <v>64954401</v>
      </c>
      <c r="C1121" s="53" t="s">
        <v>3420</v>
      </c>
      <c r="D1121" s="53">
        <v>13207609</v>
      </c>
      <c r="E1121" s="54" t="s">
        <v>3421</v>
      </c>
      <c r="F1121" s="53" t="s">
        <v>944</v>
      </c>
      <c r="G1121" s="53" t="s">
        <v>195</v>
      </c>
      <c r="H1121" s="53"/>
      <c r="I1121" s="53"/>
      <c r="J1121" s="53">
        <v>13207609</v>
      </c>
      <c r="K1121" s="53"/>
      <c r="L1121" s="55">
        <v>45293</v>
      </c>
      <c r="M1121" s="55">
        <v>45293</v>
      </c>
      <c r="N1121" s="53" t="s">
        <v>408</v>
      </c>
      <c r="O1121" s="53">
        <v>0</v>
      </c>
      <c r="P1121" s="53">
        <v>94542837</v>
      </c>
      <c r="Q1121" s="53" t="s">
        <v>3433</v>
      </c>
      <c r="R1121" s="45">
        <v>410</v>
      </c>
      <c r="S1121" s="53">
        <v>0</v>
      </c>
      <c r="T1121" s="47" t="s">
        <v>198</v>
      </c>
      <c r="U1121" s="48" t="s">
        <v>199</v>
      </c>
      <c r="V1121" s="38"/>
      <c r="W1121" s="48" t="s">
        <v>195</v>
      </c>
      <c r="X1121" s="38" t="s">
        <v>308</v>
      </c>
      <c r="Y1121" s="49" t="s">
        <v>309</v>
      </c>
      <c r="Z1121" s="50" t="s">
        <v>3434</v>
      </c>
      <c r="AA1121" s="38"/>
      <c r="AB1121" s="38"/>
      <c r="AC1121" s="38"/>
      <c r="AD1121" s="51">
        <v>65</v>
      </c>
      <c r="AE1121" s="51">
        <v>65</v>
      </c>
      <c r="AF1121" s="48" t="s">
        <v>203</v>
      </c>
      <c r="AG1121" s="38" t="s">
        <v>204</v>
      </c>
      <c r="AH1121" s="52"/>
      <c r="AI1121" s="38"/>
      <c r="AJ1121" s="38"/>
    </row>
    <row r="1122" spans="1:36" ht="16.2">
      <c r="A1122" s="42" t="s">
        <v>302</v>
      </c>
      <c r="B1122" s="42">
        <v>64954401</v>
      </c>
      <c r="C1122" s="42" t="s">
        <v>3420</v>
      </c>
      <c r="D1122" s="42">
        <v>13207609</v>
      </c>
      <c r="E1122" s="43" t="s">
        <v>3421</v>
      </c>
      <c r="F1122" s="42" t="s">
        <v>3435</v>
      </c>
      <c r="G1122" s="42" t="s">
        <v>195</v>
      </c>
      <c r="H1122" s="42"/>
      <c r="I1122" s="42"/>
      <c r="J1122" s="42">
        <v>13207609</v>
      </c>
      <c r="K1122" s="42"/>
      <c r="L1122" s="44">
        <v>45293</v>
      </c>
      <c r="M1122" s="44">
        <v>45293</v>
      </c>
      <c r="N1122" s="42" t="s">
        <v>408</v>
      </c>
      <c r="O1122" s="42">
        <v>0</v>
      </c>
      <c r="P1122" s="42">
        <v>94542837</v>
      </c>
      <c r="Q1122" s="42" t="s">
        <v>3436</v>
      </c>
      <c r="R1122" s="45">
        <v>410</v>
      </c>
      <c r="S1122" s="42">
        <v>0</v>
      </c>
      <c r="T1122" s="47" t="s">
        <v>198</v>
      </c>
      <c r="U1122" s="48" t="s">
        <v>199</v>
      </c>
      <c r="V1122" s="38"/>
      <c r="W1122" s="48" t="s">
        <v>195</v>
      </c>
      <c r="X1122" s="38" t="s">
        <v>308</v>
      </c>
      <c r="Y1122" s="49" t="s">
        <v>309</v>
      </c>
      <c r="Z1122" s="50" t="s">
        <v>3437</v>
      </c>
      <c r="AA1122" s="38"/>
      <c r="AB1122" s="38"/>
      <c r="AC1122" s="38"/>
      <c r="AD1122" s="51">
        <v>65</v>
      </c>
      <c r="AE1122" s="51">
        <v>65</v>
      </c>
      <c r="AF1122" s="48" t="s">
        <v>203</v>
      </c>
      <c r="AG1122" s="38" t="s">
        <v>204</v>
      </c>
      <c r="AH1122" s="52"/>
      <c r="AI1122" s="38"/>
      <c r="AJ1122" s="38"/>
    </row>
    <row r="1123" spans="1:36" ht="16.2">
      <c r="A1123" s="53" t="s">
        <v>302</v>
      </c>
      <c r="B1123" s="53">
        <v>64954201</v>
      </c>
      <c r="C1123" s="53" t="s">
        <v>3438</v>
      </c>
      <c r="D1123" s="53">
        <v>13207607</v>
      </c>
      <c r="E1123" s="54" t="s">
        <v>3421</v>
      </c>
      <c r="F1123" s="53" t="s">
        <v>3362</v>
      </c>
      <c r="G1123" s="53" t="s">
        <v>195</v>
      </c>
      <c r="H1123" s="53"/>
      <c r="I1123" s="53"/>
      <c r="J1123" s="53">
        <v>13207607</v>
      </c>
      <c r="K1123" s="53"/>
      <c r="L1123" s="55">
        <v>45293</v>
      </c>
      <c r="M1123" s="55">
        <v>45293</v>
      </c>
      <c r="N1123" s="53" t="s">
        <v>408</v>
      </c>
      <c r="O1123" s="53">
        <v>0</v>
      </c>
      <c r="P1123" s="53">
        <v>94542837</v>
      </c>
      <c r="Q1123" s="53" t="s">
        <v>3439</v>
      </c>
      <c r="R1123" s="45">
        <v>410</v>
      </c>
      <c r="S1123" s="53">
        <v>0</v>
      </c>
      <c r="T1123" s="47" t="s">
        <v>198</v>
      </c>
      <c r="U1123" s="48" t="s">
        <v>199</v>
      </c>
      <c r="V1123" s="38"/>
      <c r="W1123" s="48" t="s">
        <v>195</v>
      </c>
      <c r="X1123" s="38" t="s">
        <v>308</v>
      </c>
      <c r="Y1123" s="49" t="s">
        <v>309</v>
      </c>
      <c r="Z1123" s="50" t="s">
        <v>3440</v>
      </c>
      <c r="AA1123" s="38"/>
      <c r="AB1123" s="38"/>
      <c r="AC1123" s="38"/>
      <c r="AD1123" s="51">
        <v>65</v>
      </c>
      <c r="AE1123" s="51">
        <v>65</v>
      </c>
      <c r="AF1123" s="48" t="s">
        <v>203</v>
      </c>
      <c r="AG1123" s="38" t="s">
        <v>204</v>
      </c>
      <c r="AH1123" s="52"/>
      <c r="AI1123" s="38"/>
      <c r="AJ1123" s="38"/>
    </row>
    <row r="1124" spans="1:36" ht="16.2">
      <c r="A1124" s="42" t="s">
        <v>302</v>
      </c>
      <c r="B1124" s="42">
        <v>64954201</v>
      </c>
      <c r="C1124" s="42" t="s">
        <v>3438</v>
      </c>
      <c r="D1124" s="42">
        <v>13207607</v>
      </c>
      <c r="E1124" s="43" t="s">
        <v>3421</v>
      </c>
      <c r="F1124" s="42" t="s">
        <v>3368</v>
      </c>
      <c r="G1124" s="42" t="s">
        <v>195</v>
      </c>
      <c r="H1124" s="42"/>
      <c r="I1124" s="42"/>
      <c r="J1124" s="42">
        <v>13207607</v>
      </c>
      <c r="K1124" s="42"/>
      <c r="L1124" s="44">
        <v>45293</v>
      </c>
      <c r="M1124" s="44">
        <v>45293</v>
      </c>
      <c r="N1124" s="42" t="s">
        <v>408</v>
      </c>
      <c r="O1124" s="42">
        <v>0</v>
      </c>
      <c r="P1124" s="42">
        <v>94542837</v>
      </c>
      <c r="Q1124" s="42" t="s">
        <v>3441</v>
      </c>
      <c r="R1124" s="45">
        <v>410</v>
      </c>
      <c r="S1124" s="42">
        <v>0</v>
      </c>
      <c r="T1124" s="47" t="s">
        <v>198</v>
      </c>
      <c r="U1124" s="48" t="s">
        <v>199</v>
      </c>
      <c r="V1124" s="38"/>
      <c r="W1124" s="48" t="s">
        <v>195</v>
      </c>
      <c r="X1124" s="38" t="s">
        <v>308</v>
      </c>
      <c r="Y1124" s="49" t="s">
        <v>309</v>
      </c>
      <c r="Z1124" s="50" t="s">
        <v>3442</v>
      </c>
      <c r="AA1124" s="38"/>
      <c r="AB1124" s="38"/>
      <c r="AC1124" s="38"/>
      <c r="AD1124" s="51">
        <v>65</v>
      </c>
      <c r="AE1124" s="51">
        <v>65</v>
      </c>
      <c r="AF1124" s="48" t="s">
        <v>203</v>
      </c>
      <c r="AG1124" s="38" t="s">
        <v>204</v>
      </c>
      <c r="AH1124" s="52"/>
      <c r="AI1124" s="38"/>
      <c r="AJ1124" s="38"/>
    </row>
    <row r="1125" spans="1:36" ht="16.2">
      <c r="A1125" s="53" t="s">
        <v>302</v>
      </c>
      <c r="B1125" s="53">
        <v>64954201</v>
      </c>
      <c r="C1125" s="53" t="s">
        <v>3438</v>
      </c>
      <c r="D1125" s="53">
        <v>13207607</v>
      </c>
      <c r="E1125" s="54" t="s">
        <v>3421</v>
      </c>
      <c r="F1125" s="53" t="s">
        <v>2599</v>
      </c>
      <c r="G1125" s="53" t="s">
        <v>195</v>
      </c>
      <c r="H1125" s="53"/>
      <c r="I1125" s="53"/>
      <c r="J1125" s="53">
        <v>13207607</v>
      </c>
      <c r="K1125" s="53"/>
      <c r="L1125" s="55">
        <v>45293</v>
      </c>
      <c r="M1125" s="55">
        <v>45293</v>
      </c>
      <c r="N1125" s="53" t="s">
        <v>408</v>
      </c>
      <c r="O1125" s="53">
        <v>0</v>
      </c>
      <c r="P1125" s="53">
        <v>94542837</v>
      </c>
      <c r="Q1125" s="53" t="s">
        <v>3443</v>
      </c>
      <c r="R1125" s="45">
        <v>410</v>
      </c>
      <c r="S1125" s="53">
        <v>0</v>
      </c>
      <c r="T1125" s="47" t="s">
        <v>198</v>
      </c>
      <c r="U1125" s="48" t="s">
        <v>199</v>
      </c>
      <c r="V1125" s="38"/>
      <c r="W1125" s="48" t="s">
        <v>195</v>
      </c>
      <c r="X1125" s="38" t="s">
        <v>308</v>
      </c>
      <c r="Y1125" s="49" t="s">
        <v>309</v>
      </c>
      <c r="Z1125" s="50" t="s">
        <v>3444</v>
      </c>
      <c r="AA1125" s="38"/>
      <c r="AB1125" s="38"/>
      <c r="AC1125" s="38"/>
      <c r="AD1125" s="51">
        <v>65</v>
      </c>
      <c r="AE1125" s="51">
        <v>65</v>
      </c>
      <c r="AF1125" s="48" t="s">
        <v>203</v>
      </c>
      <c r="AG1125" s="38" t="s">
        <v>204</v>
      </c>
      <c r="AH1125" s="52"/>
      <c r="AI1125" s="38"/>
      <c r="AJ1125" s="38"/>
    </row>
    <row r="1126" spans="1:36" ht="16.2">
      <c r="A1126" s="42" t="s">
        <v>302</v>
      </c>
      <c r="B1126" s="42">
        <v>64954201</v>
      </c>
      <c r="C1126" s="42" t="s">
        <v>3438</v>
      </c>
      <c r="D1126" s="42">
        <v>13207607</v>
      </c>
      <c r="E1126" s="43" t="s">
        <v>3421</v>
      </c>
      <c r="F1126" s="42" t="s">
        <v>3428</v>
      </c>
      <c r="G1126" s="42" t="s">
        <v>195</v>
      </c>
      <c r="H1126" s="42"/>
      <c r="I1126" s="42"/>
      <c r="J1126" s="42">
        <v>13207607</v>
      </c>
      <c r="K1126" s="42"/>
      <c r="L1126" s="44">
        <v>45293</v>
      </c>
      <c r="M1126" s="44">
        <v>45293</v>
      </c>
      <c r="N1126" s="42" t="s">
        <v>408</v>
      </c>
      <c r="O1126" s="42">
        <v>0</v>
      </c>
      <c r="P1126" s="42">
        <v>94542837</v>
      </c>
      <c r="Q1126" s="42" t="s">
        <v>3445</v>
      </c>
      <c r="R1126" s="45">
        <v>410</v>
      </c>
      <c r="S1126" s="42">
        <v>0</v>
      </c>
      <c r="T1126" s="47" t="s">
        <v>198</v>
      </c>
      <c r="U1126" s="48" t="s">
        <v>199</v>
      </c>
      <c r="V1126" s="38"/>
      <c r="W1126" s="48" t="s">
        <v>195</v>
      </c>
      <c r="X1126" s="38" t="s">
        <v>308</v>
      </c>
      <c r="Y1126" s="49" t="s">
        <v>309</v>
      </c>
      <c r="Z1126" s="50" t="s">
        <v>3446</v>
      </c>
      <c r="AA1126" s="38"/>
      <c r="AB1126" s="38"/>
      <c r="AC1126" s="38"/>
      <c r="AD1126" s="51">
        <v>65</v>
      </c>
      <c r="AE1126" s="51">
        <v>65</v>
      </c>
      <c r="AF1126" s="48" t="s">
        <v>203</v>
      </c>
      <c r="AG1126" s="38" t="s">
        <v>204</v>
      </c>
      <c r="AH1126" s="52"/>
      <c r="AI1126" s="38"/>
      <c r="AJ1126" s="38"/>
    </row>
    <row r="1127" spans="1:36" ht="16.2">
      <c r="A1127" s="53" t="s">
        <v>302</v>
      </c>
      <c r="B1127" s="53">
        <v>64954201</v>
      </c>
      <c r="C1127" s="53" t="s">
        <v>3438</v>
      </c>
      <c r="D1127" s="53">
        <v>13207607</v>
      </c>
      <c r="E1127" s="54" t="s">
        <v>3421</v>
      </c>
      <c r="F1127" s="53" t="s">
        <v>655</v>
      </c>
      <c r="G1127" s="53" t="s">
        <v>195</v>
      </c>
      <c r="H1127" s="53"/>
      <c r="I1127" s="53"/>
      <c r="J1127" s="53">
        <v>13207607</v>
      </c>
      <c r="K1127" s="53"/>
      <c r="L1127" s="55">
        <v>45293</v>
      </c>
      <c r="M1127" s="55">
        <v>45293</v>
      </c>
      <c r="N1127" s="53" t="s">
        <v>408</v>
      </c>
      <c r="O1127" s="53">
        <v>0</v>
      </c>
      <c r="P1127" s="53">
        <v>94542837</v>
      </c>
      <c r="Q1127" s="53" t="s">
        <v>3447</v>
      </c>
      <c r="R1127" s="45">
        <v>410</v>
      </c>
      <c r="S1127" s="53">
        <v>0</v>
      </c>
      <c r="T1127" s="47" t="s">
        <v>198</v>
      </c>
      <c r="U1127" s="48" t="s">
        <v>199</v>
      </c>
      <c r="V1127" s="38"/>
      <c r="W1127" s="48" t="s">
        <v>195</v>
      </c>
      <c r="X1127" s="38" t="s">
        <v>308</v>
      </c>
      <c r="Y1127" s="49" t="s">
        <v>309</v>
      </c>
      <c r="Z1127" s="50" t="s">
        <v>3448</v>
      </c>
      <c r="AA1127" s="38"/>
      <c r="AB1127" s="38"/>
      <c r="AC1127" s="38"/>
      <c r="AD1127" s="51">
        <v>65</v>
      </c>
      <c r="AE1127" s="51">
        <v>65</v>
      </c>
      <c r="AF1127" s="48" t="s">
        <v>203</v>
      </c>
      <c r="AG1127" s="38" t="s">
        <v>204</v>
      </c>
      <c r="AH1127" s="52"/>
      <c r="AI1127" s="38"/>
      <c r="AJ1127" s="38"/>
    </row>
    <row r="1128" spans="1:36" ht="16.2">
      <c r="A1128" s="42" t="s">
        <v>302</v>
      </c>
      <c r="B1128" s="42">
        <v>64954201</v>
      </c>
      <c r="C1128" s="42" t="s">
        <v>3438</v>
      </c>
      <c r="D1128" s="42">
        <v>13207607</v>
      </c>
      <c r="E1128" s="43" t="s">
        <v>3421</v>
      </c>
      <c r="F1128" s="42" t="s">
        <v>944</v>
      </c>
      <c r="G1128" s="42" t="s">
        <v>195</v>
      </c>
      <c r="H1128" s="42"/>
      <c r="I1128" s="42"/>
      <c r="J1128" s="42">
        <v>13207607</v>
      </c>
      <c r="K1128" s="42"/>
      <c r="L1128" s="44">
        <v>45293</v>
      </c>
      <c r="M1128" s="44">
        <v>45293</v>
      </c>
      <c r="N1128" s="42" t="s">
        <v>408</v>
      </c>
      <c r="O1128" s="42">
        <v>0</v>
      </c>
      <c r="P1128" s="42">
        <v>94542837</v>
      </c>
      <c r="Q1128" s="42" t="s">
        <v>3449</v>
      </c>
      <c r="R1128" s="45">
        <v>410</v>
      </c>
      <c r="S1128" s="42">
        <v>0</v>
      </c>
      <c r="T1128" s="47" t="s">
        <v>198</v>
      </c>
      <c r="U1128" s="48" t="s">
        <v>199</v>
      </c>
      <c r="V1128" s="38"/>
      <c r="W1128" s="48" t="s">
        <v>195</v>
      </c>
      <c r="X1128" s="38" t="s">
        <v>308</v>
      </c>
      <c r="Y1128" s="49" t="s">
        <v>309</v>
      </c>
      <c r="Z1128" s="50" t="s">
        <v>3450</v>
      </c>
      <c r="AA1128" s="38"/>
      <c r="AB1128" s="38"/>
      <c r="AC1128" s="38"/>
      <c r="AD1128" s="51">
        <v>65</v>
      </c>
      <c r="AE1128" s="51">
        <v>65</v>
      </c>
      <c r="AF1128" s="48" t="s">
        <v>203</v>
      </c>
      <c r="AG1128" s="38" t="s">
        <v>204</v>
      </c>
      <c r="AH1128" s="52"/>
      <c r="AI1128" s="38"/>
      <c r="AJ1128" s="38"/>
    </row>
    <row r="1129" spans="1:36" ht="16.2">
      <c r="A1129" s="53" t="s">
        <v>302</v>
      </c>
      <c r="B1129" s="53">
        <v>64954201</v>
      </c>
      <c r="C1129" s="53" t="s">
        <v>3438</v>
      </c>
      <c r="D1129" s="53">
        <v>13207607</v>
      </c>
      <c r="E1129" s="54" t="s">
        <v>3421</v>
      </c>
      <c r="F1129" s="53" t="s">
        <v>3435</v>
      </c>
      <c r="G1129" s="53" t="s">
        <v>195</v>
      </c>
      <c r="H1129" s="53"/>
      <c r="I1129" s="53"/>
      <c r="J1129" s="53">
        <v>13207607</v>
      </c>
      <c r="K1129" s="53"/>
      <c r="L1129" s="55">
        <v>45293</v>
      </c>
      <c r="M1129" s="55">
        <v>45293</v>
      </c>
      <c r="N1129" s="53" t="s">
        <v>408</v>
      </c>
      <c r="O1129" s="53">
        <v>0</v>
      </c>
      <c r="P1129" s="53">
        <v>94542837</v>
      </c>
      <c r="Q1129" s="53" t="s">
        <v>3451</v>
      </c>
      <c r="R1129" s="45">
        <v>410</v>
      </c>
      <c r="S1129" s="53">
        <v>0</v>
      </c>
      <c r="T1129" s="47" t="s">
        <v>198</v>
      </c>
      <c r="U1129" s="48" t="s">
        <v>199</v>
      </c>
      <c r="V1129" s="38"/>
      <c r="W1129" s="48" t="s">
        <v>195</v>
      </c>
      <c r="X1129" s="38" t="s">
        <v>308</v>
      </c>
      <c r="Y1129" s="49" t="s">
        <v>309</v>
      </c>
      <c r="Z1129" s="50" t="s">
        <v>3452</v>
      </c>
      <c r="AA1129" s="38"/>
      <c r="AB1129" s="38"/>
      <c r="AC1129" s="38"/>
      <c r="AD1129" s="51">
        <v>65</v>
      </c>
      <c r="AE1129" s="51">
        <v>65</v>
      </c>
      <c r="AF1129" s="48" t="s">
        <v>203</v>
      </c>
      <c r="AG1129" s="38" t="s">
        <v>204</v>
      </c>
      <c r="AH1129" s="52"/>
      <c r="AI1129" s="38"/>
      <c r="AJ1129" s="38"/>
    </row>
    <row r="1130" spans="1:36" ht="16.2">
      <c r="A1130" s="42" t="s">
        <v>302</v>
      </c>
      <c r="B1130" s="42">
        <v>64954301</v>
      </c>
      <c r="C1130" s="42" t="s">
        <v>3453</v>
      </c>
      <c r="D1130" s="42">
        <v>13207608</v>
      </c>
      <c r="E1130" s="43" t="s">
        <v>3421</v>
      </c>
      <c r="F1130" s="42" t="s">
        <v>3362</v>
      </c>
      <c r="G1130" s="42" t="s">
        <v>195</v>
      </c>
      <c r="H1130" s="42"/>
      <c r="I1130" s="42"/>
      <c r="J1130" s="42">
        <v>13207608</v>
      </c>
      <c r="K1130" s="42"/>
      <c r="L1130" s="44">
        <v>45293</v>
      </c>
      <c r="M1130" s="44">
        <v>45293</v>
      </c>
      <c r="N1130" s="42" t="s">
        <v>408</v>
      </c>
      <c r="O1130" s="42">
        <v>0</v>
      </c>
      <c r="P1130" s="42">
        <v>94542837</v>
      </c>
      <c r="Q1130" s="42" t="s">
        <v>3454</v>
      </c>
      <c r="R1130" s="45">
        <v>410</v>
      </c>
      <c r="S1130" s="42">
        <v>0</v>
      </c>
      <c r="T1130" s="47" t="s">
        <v>198</v>
      </c>
      <c r="U1130" s="48" t="s">
        <v>199</v>
      </c>
      <c r="V1130" s="38"/>
      <c r="W1130" s="48" t="s">
        <v>195</v>
      </c>
      <c r="X1130" s="38" t="s">
        <v>308</v>
      </c>
      <c r="Y1130" s="49" t="s">
        <v>309</v>
      </c>
      <c r="Z1130" s="50" t="s">
        <v>3455</v>
      </c>
      <c r="AA1130" s="38"/>
      <c r="AB1130" s="38"/>
      <c r="AC1130" s="38"/>
      <c r="AD1130" s="51">
        <v>65</v>
      </c>
      <c r="AE1130" s="51">
        <v>65</v>
      </c>
      <c r="AF1130" s="48" t="s">
        <v>203</v>
      </c>
      <c r="AG1130" s="38" t="s">
        <v>204</v>
      </c>
      <c r="AH1130" s="52"/>
      <c r="AI1130" s="38"/>
      <c r="AJ1130" s="38"/>
    </row>
    <row r="1131" spans="1:36" ht="16.2">
      <c r="A1131" s="53" t="s">
        <v>302</v>
      </c>
      <c r="B1131" s="53">
        <v>64954301</v>
      </c>
      <c r="C1131" s="53" t="s">
        <v>3453</v>
      </c>
      <c r="D1131" s="53">
        <v>13207608</v>
      </c>
      <c r="E1131" s="54" t="s">
        <v>3421</v>
      </c>
      <c r="F1131" s="53" t="s">
        <v>3368</v>
      </c>
      <c r="G1131" s="53" t="s">
        <v>195</v>
      </c>
      <c r="H1131" s="53"/>
      <c r="I1131" s="53"/>
      <c r="J1131" s="53">
        <v>13207608</v>
      </c>
      <c r="K1131" s="53"/>
      <c r="L1131" s="55">
        <v>45293</v>
      </c>
      <c r="M1131" s="55">
        <v>45293</v>
      </c>
      <c r="N1131" s="53" t="s">
        <v>408</v>
      </c>
      <c r="O1131" s="53">
        <v>0</v>
      </c>
      <c r="P1131" s="53">
        <v>94542837</v>
      </c>
      <c r="Q1131" s="53" t="s">
        <v>3456</v>
      </c>
      <c r="R1131" s="45">
        <v>410</v>
      </c>
      <c r="S1131" s="53">
        <v>0</v>
      </c>
      <c r="T1131" s="47" t="s">
        <v>198</v>
      </c>
      <c r="U1131" s="48" t="s">
        <v>199</v>
      </c>
      <c r="V1131" s="38"/>
      <c r="W1131" s="48" t="s">
        <v>195</v>
      </c>
      <c r="X1131" s="38" t="s">
        <v>308</v>
      </c>
      <c r="Y1131" s="49" t="s">
        <v>309</v>
      </c>
      <c r="Z1131" s="50" t="s">
        <v>3457</v>
      </c>
      <c r="AA1131" s="38"/>
      <c r="AB1131" s="38"/>
      <c r="AC1131" s="38"/>
      <c r="AD1131" s="51">
        <v>65</v>
      </c>
      <c r="AE1131" s="51">
        <v>65</v>
      </c>
      <c r="AF1131" s="48" t="s">
        <v>203</v>
      </c>
      <c r="AG1131" s="38" t="s">
        <v>204</v>
      </c>
      <c r="AH1131" s="52"/>
      <c r="AI1131" s="38"/>
      <c r="AJ1131" s="38"/>
    </row>
    <row r="1132" spans="1:36" ht="16.2">
      <c r="A1132" s="42" t="s">
        <v>302</v>
      </c>
      <c r="B1132" s="42">
        <v>64954301</v>
      </c>
      <c r="C1132" s="42" t="s">
        <v>3453</v>
      </c>
      <c r="D1132" s="42">
        <v>13207608</v>
      </c>
      <c r="E1132" s="43" t="s">
        <v>3421</v>
      </c>
      <c r="F1132" s="42" t="s">
        <v>2599</v>
      </c>
      <c r="G1132" s="42" t="s">
        <v>195</v>
      </c>
      <c r="H1132" s="42"/>
      <c r="I1132" s="42"/>
      <c r="J1132" s="42">
        <v>13207608</v>
      </c>
      <c r="K1132" s="42"/>
      <c r="L1132" s="44">
        <v>45293</v>
      </c>
      <c r="M1132" s="44">
        <v>45293</v>
      </c>
      <c r="N1132" s="42" t="s">
        <v>408</v>
      </c>
      <c r="O1132" s="42">
        <v>0</v>
      </c>
      <c r="P1132" s="42">
        <v>94542837</v>
      </c>
      <c r="Q1132" s="42" t="s">
        <v>3458</v>
      </c>
      <c r="R1132" s="45">
        <v>410</v>
      </c>
      <c r="S1132" s="42">
        <v>0</v>
      </c>
      <c r="T1132" s="47" t="s">
        <v>198</v>
      </c>
      <c r="U1132" s="48" t="s">
        <v>199</v>
      </c>
      <c r="V1132" s="38"/>
      <c r="W1132" s="48" t="s">
        <v>195</v>
      </c>
      <c r="X1132" s="38" t="s">
        <v>308</v>
      </c>
      <c r="Y1132" s="49" t="s">
        <v>309</v>
      </c>
      <c r="Z1132" s="50" t="s">
        <v>3459</v>
      </c>
      <c r="AA1132" s="38"/>
      <c r="AB1132" s="38"/>
      <c r="AC1132" s="38"/>
      <c r="AD1132" s="51">
        <v>65</v>
      </c>
      <c r="AE1132" s="51">
        <v>65</v>
      </c>
      <c r="AF1132" s="48" t="s">
        <v>203</v>
      </c>
      <c r="AG1132" s="38" t="s">
        <v>204</v>
      </c>
      <c r="AH1132" s="52"/>
      <c r="AI1132" s="38"/>
      <c r="AJ1132" s="38"/>
    </row>
    <row r="1133" spans="1:36" ht="16.2">
      <c r="A1133" s="53" t="s">
        <v>302</v>
      </c>
      <c r="B1133" s="53">
        <v>64954301</v>
      </c>
      <c r="C1133" s="53" t="s">
        <v>3453</v>
      </c>
      <c r="D1133" s="53">
        <v>13207608</v>
      </c>
      <c r="E1133" s="54" t="s">
        <v>3421</v>
      </c>
      <c r="F1133" s="53" t="s">
        <v>3428</v>
      </c>
      <c r="G1133" s="53" t="s">
        <v>195</v>
      </c>
      <c r="H1133" s="53"/>
      <c r="I1133" s="53"/>
      <c r="J1133" s="53">
        <v>13207608</v>
      </c>
      <c r="K1133" s="53"/>
      <c r="L1133" s="55">
        <v>45293</v>
      </c>
      <c r="M1133" s="55">
        <v>45293</v>
      </c>
      <c r="N1133" s="53" t="s">
        <v>408</v>
      </c>
      <c r="O1133" s="53">
        <v>0</v>
      </c>
      <c r="P1133" s="53">
        <v>94542837</v>
      </c>
      <c r="Q1133" s="53" t="s">
        <v>3460</v>
      </c>
      <c r="R1133" s="45">
        <v>410</v>
      </c>
      <c r="S1133" s="53">
        <v>0</v>
      </c>
      <c r="T1133" s="47" t="s">
        <v>198</v>
      </c>
      <c r="U1133" s="48" t="s">
        <v>199</v>
      </c>
      <c r="V1133" s="38"/>
      <c r="W1133" s="48" t="s">
        <v>195</v>
      </c>
      <c r="X1133" s="38" t="s">
        <v>308</v>
      </c>
      <c r="Y1133" s="49" t="s">
        <v>309</v>
      </c>
      <c r="Z1133" s="50" t="s">
        <v>3461</v>
      </c>
      <c r="AA1133" s="38"/>
      <c r="AB1133" s="38"/>
      <c r="AC1133" s="38"/>
      <c r="AD1133" s="51">
        <v>65</v>
      </c>
      <c r="AE1133" s="51">
        <v>65</v>
      </c>
      <c r="AF1133" s="48" t="s">
        <v>203</v>
      </c>
      <c r="AG1133" s="38" t="s">
        <v>204</v>
      </c>
      <c r="AH1133" s="52"/>
      <c r="AI1133" s="38"/>
      <c r="AJ1133" s="38"/>
    </row>
    <row r="1134" spans="1:36" ht="16.2">
      <c r="A1134" s="42" t="s">
        <v>302</v>
      </c>
      <c r="B1134" s="42">
        <v>64954301</v>
      </c>
      <c r="C1134" s="42" t="s">
        <v>3453</v>
      </c>
      <c r="D1134" s="42">
        <v>13207608</v>
      </c>
      <c r="E1134" s="43" t="s">
        <v>3421</v>
      </c>
      <c r="F1134" s="42" t="s">
        <v>655</v>
      </c>
      <c r="G1134" s="42" t="s">
        <v>195</v>
      </c>
      <c r="H1134" s="42"/>
      <c r="I1134" s="42"/>
      <c r="J1134" s="42">
        <v>13207608</v>
      </c>
      <c r="K1134" s="42"/>
      <c r="L1134" s="44">
        <v>45293</v>
      </c>
      <c r="M1134" s="44">
        <v>45293</v>
      </c>
      <c r="N1134" s="42" t="s">
        <v>408</v>
      </c>
      <c r="O1134" s="42">
        <v>0</v>
      </c>
      <c r="P1134" s="42">
        <v>94542837</v>
      </c>
      <c r="Q1134" s="42" t="s">
        <v>3462</v>
      </c>
      <c r="R1134" s="45">
        <v>410</v>
      </c>
      <c r="S1134" s="42">
        <v>0</v>
      </c>
      <c r="T1134" s="47" t="s">
        <v>198</v>
      </c>
      <c r="U1134" s="48" t="s">
        <v>199</v>
      </c>
      <c r="V1134" s="38"/>
      <c r="W1134" s="48" t="s">
        <v>195</v>
      </c>
      <c r="X1134" s="38" t="s">
        <v>308</v>
      </c>
      <c r="Y1134" s="49" t="s">
        <v>309</v>
      </c>
      <c r="Z1134" s="50" t="s">
        <v>3463</v>
      </c>
      <c r="AA1134" s="38"/>
      <c r="AB1134" s="38"/>
      <c r="AC1134" s="38"/>
      <c r="AD1134" s="51">
        <v>65</v>
      </c>
      <c r="AE1134" s="51">
        <v>65</v>
      </c>
      <c r="AF1134" s="48" t="s">
        <v>203</v>
      </c>
      <c r="AG1134" s="38" t="s">
        <v>204</v>
      </c>
      <c r="AH1134" s="52"/>
      <c r="AI1134" s="38"/>
      <c r="AJ1134" s="38"/>
    </row>
    <row r="1135" spans="1:36" ht="16.2">
      <c r="A1135" s="53" t="s">
        <v>302</v>
      </c>
      <c r="B1135" s="53">
        <v>64954301</v>
      </c>
      <c r="C1135" s="53" t="s">
        <v>3453</v>
      </c>
      <c r="D1135" s="53">
        <v>13207608</v>
      </c>
      <c r="E1135" s="54" t="s">
        <v>3421</v>
      </c>
      <c r="F1135" s="53" t="s">
        <v>944</v>
      </c>
      <c r="G1135" s="53" t="s">
        <v>195</v>
      </c>
      <c r="H1135" s="53"/>
      <c r="I1135" s="53"/>
      <c r="J1135" s="53">
        <v>13207608</v>
      </c>
      <c r="K1135" s="53"/>
      <c r="L1135" s="55">
        <v>45293</v>
      </c>
      <c r="M1135" s="55">
        <v>45293</v>
      </c>
      <c r="N1135" s="53" t="s">
        <v>408</v>
      </c>
      <c r="O1135" s="53">
        <v>0</v>
      </c>
      <c r="P1135" s="53">
        <v>94542837</v>
      </c>
      <c r="Q1135" s="53" t="s">
        <v>3464</v>
      </c>
      <c r="R1135" s="45">
        <v>410</v>
      </c>
      <c r="S1135" s="53">
        <v>0</v>
      </c>
      <c r="T1135" s="47" t="s">
        <v>198</v>
      </c>
      <c r="U1135" s="48" t="s">
        <v>199</v>
      </c>
      <c r="V1135" s="38"/>
      <c r="W1135" s="48" t="s">
        <v>195</v>
      </c>
      <c r="X1135" s="38" t="s">
        <v>308</v>
      </c>
      <c r="Y1135" s="49" t="s">
        <v>309</v>
      </c>
      <c r="Z1135" s="50" t="s">
        <v>3465</v>
      </c>
      <c r="AA1135" s="38"/>
      <c r="AB1135" s="38"/>
      <c r="AC1135" s="38"/>
      <c r="AD1135" s="51">
        <v>65</v>
      </c>
      <c r="AE1135" s="51">
        <v>65</v>
      </c>
      <c r="AF1135" s="48" t="s">
        <v>203</v>
      </c>
      <c r="AG1135" s="38" t="s">
        <v>204</v>
      </c>
      <c r="AH1135" s="52"/>
      <c r="AI1135" s="38"/>
      <c r="AJ1135" s="38"/>
    </row>
    <row r="1136" spans="1:36" ht="16.2">
      <c r="A1136" s="42" t="s">
        <v>302</v>
      </c>
      <c r="B1136" s="42">
        <v>64954301</v>
      </c>
      <c r="C1136" s="42" t="s">
        <v>3453</v>
      </c>
      <c r="D1136" s="42">
        <v>13207608</v>
      </c>
      <c r="E1136" s="43" t="s">
        <v>3421</v>
      </c>
      <c r="F1136" s="42" t="s">
        <v>3435</v>
      </c>
      <c r="G1136" s="42" t="s">
        <v>195</v>
      </c>
      <c r="H1136" s="42"/>
      <c r="I1136" s="42"/>
      <c r="J1136" s="42">
        <v>13207608</v>
      </c>
      <c r="K1136" s="42"/>
      <c r="L1136" s="44">
        <v>45293</v>
      </c>
      <c r="M1136" s="44">
        <v>45293</v>
      </c>
      <c r="N1136" s="42" t="s">
        <v>408</v>
      </c>
      <c r="O1136" s="42">
        <v>0</v>
      </c>
      <c r="P1136" s="42">
        <v>94542837</v>
      </c>
      <c r="Q1136" s="42" t="s">
        <v>3466</v>
      </c>
      <c r="R1136" s="45">
        <v>410</v>
      </c>
      <c r="S1136" s="42">
        <v>0</v>
      </c>
      <c r="T1136" s="47" t="s">
        <v>198</v>
      </c>
      <c r="U1136" s="48" t="s">
        <v>199</v>
      </c>
      <c r="V1136" s="38"/>
      <c r="W1136" s="48" t="s">
        <v>195</v>
      </c>
      <c r="X1136" s="38" t="s">
        <v>308</v>
      </c>
      <c r="Y1136" s="49" t="s">
        <v>309</v>
      </c>
      <c r="Z1136" s="50" t="s">
        <v>3467</v>
      </c>
      <c r="AA1136" s="38"/>
      <c r="AB1136" s="38"/>
      <c r="AC1136" s="38"/>
      <c r="AD1136" s="51">
        <v>65</v>
      </c>
      <c r="AE1136" s="51">
        <v>65</v>
      </c>
      <c r="AF1136" s="48" t="s">
        <v>203</v>
      </c>
      <c r="AG1136" s="38" t="s">
        <v>204</v>
      </c>
      <c r="AH1136" s="52"/>
      <c r="AI1136" s="38"/>
      <c r="AJ1136" s="38"/>
    </row>
    <row r="1137" spans="1:36" ht="16.2">
      <c r="A1137" s="53" t="s">
        <v>311</v>
      </c>
      <c r="B1137" s="53">
        <v>69841402</v>
      </c>
      <c r="C1137" s="53" t="s">
        <v>3468</v>
      </c>
      <c r="D1137" s="53">
        <v>13207623</v>
      </c>
      <c r="E1137" s="54" t="s">
        <v>3469</v>
      </c>
      <c r="F1137" s="53" t="s">
        <v>3470</v>
      </c>
      <c r="G1137" s="53" t="s">
        <v>195</v>
      </c>
      <c r="H1137" s="53"/>
      <c r="I1137" s="53"/>
      <c r="J1137" s="53">
        <v>13207623</v>
      </c>
      <c r="K1137" s="53"/>
      <c r="L1137" s="55">
        <v>45293</v>
      </c>
      <c r="M1137" s="55">
        <v>45293</v>
      </c>
      <c r="N1137" s="53" t="s">
        <v>315</v>
      </c>
      <c r="O1137" s="53">
        <v>0</v>
      </c>
      <c r="P1137" s="53">
        <v>20009908</v>
      </c>
      <c r="Q1137" s="53" t="s">
        <v>3471</v>
      </c>
      <c r="R1137" s="45">
        <v>410</v>
      </c>
      <c r="S1137" s="53">
        <v>0</v>
      </c>
      <c r="T1137" s="47" t="s">
        <v>198</v>
      </c>
      <c r="U1137" s="48" t="s">
        <v>199</v>
      </c>
      <c r="V1137" s="38"/>
      <c r="W1137" s="48" t="s">
        <v>195</v>
      </c>
      <c r="X1137" s="38" t="s">
        <v>308</v>
      </c>
      <c r="Y1137" s="49" t="s">
        <v>309</v>
      </c>
      <c r="Z1137" s="50" t="s">
        <v>3472</v>
      </c>
      <c r="AA1137" s="38"/>
      <c r="AB1137" s="38"/>
      <c r="AC1137" s="38"/>
      <c r="AD1137" s="51">
        <v>57</v>
      </c>
      <c r="AE1137" s="51">
        <v>57</v>
      </c>
      <c r="AF1137" s="48" t="s">
        <v>203</v>
      </c>
      <c r="AG1137" s="38" t="s">
        <v>204</v>
      </c>
      <c r="AH1137" s="52"/>
      <c r="AI1137" s="38"/>
      <c r="AJ1137" s="38"/>
    </row>
    <row r="1138" spans="1:36" ht="16.2">
      <c r="A1138" s="42" t="s">
        <v>1908</v>
      </c>
      <c r="B1138" s="42">
        <v>70948928</v>
      </c>
      <c r="C1138" s="42" t="s">
        <v>3473</v>
      </c>
      <c r="D1138" s="42">
        <v>13207664</v>
      </c>
      <c r="E1138" s="43" t="s">
        <v>3469</v>
      </c>
      <c r="F1138" s="42" t="s">
        <v>3474</v>
      </c>
      <c r="G1138" s="42" t="s">
        <v>195</v>
      </c>
      <c r="H1138" s="42"/>
      <c r="I1138" s="42"/>
      <c r="J1138" s="42">
        <v>13207664</v>
      </c>
      <c r="K1138" s="42"/>
      <c r="L1138" s="44">
        <v>45293</v>
      </c>
      <c r="M1138" s="44">
        <v>45293</v>
      </c>
      <c r="N1138" s="42" t="s">
        <v>1894</v>
      </c>
      <c r="O1138" s="42">
        <v>0</v>
      </c>
      <c r="P1138" s="42">
        <v>20078418</v>
      </c>
      <c r="Q1138" s="42" t="s">
        <v>3475</v>
      </c>
      <c r="R1138" s="45">
        <v>410</v>
      </c>
      <c r="S1138" s="42">
        <v>0</v>
      </c>
      <c r="T1138" s="47" t="s">
        <v>198</v>
      </c>
      <c r="U1138" s="48" t="s">
        <v>199</v>
      </c>
      <c r="V1138" s="38"/>
      <c r="W1138" s="48" t="s">
        <v>195</v>
      </c>
      <c r="X1138" s="38" t="s">
        <v>426</v>
      </c>
      <c r="Y1138" s="49" t="s">
        <v>427</v>
      </c>
      <c r="Z1138" s="50" t="s">
        <v>3476</v>
      </c>
      <c r="AA1138" s="38"/>
      <c r="AB1138" s="38"/>
      <c r="AC1138" s="38"/>
      <c r="AD1138" s="51">
        <v>67</v>
      </c>
      <c r="AE1138" s="51">
        <v>67</v>
      </c>
      <c r="AF1138" s="48" t="s">
        <v>203</v>
      </c>
      <c r="AG1138" s="38" t="s">
        <v>204</v>
      </c>
      <c r="AH1138" s="52"/>
      <c r="AI1138" s="38"/>
      <c r="AJ1138" s="38"/>
    </row>
    <row r="1139" spans="1:36" ht="16.2">
      <c r="A1139" s="53" t="s">
        <v>311</v>
      </c>
      <c r="B1139" s="53">
        <v>69841401</v>
      </c>
      <c r="C1139" s="53" t="s">
        <v>3477</v>
      </c>
      <c r="D1139" s="53">
        <v>13207622</v>
      </c>
      <c r="E1139" s="54" t="s">
        <v>3469</v>
      </c>
      <c r="F1139" s="53" t="s">
        <v>3478</v>
      </c>
      <c r="G1139" s="53" t="s">
        <v>195</v>
      </c>
      <c r="H1139" s="53"/>
      <c r="I1139" s="53"/>
      <c r="J1139" s="53">
        <v>13207622</v>
      </c>
      <c r="K1139" s="53"/>
      <c r="L1139" s="55">
        <v>45293</v>
      </c>
      <c r="M1139" s="55">
        <v>45293</v>
      </c>
      <c r="N1139" s="53" t="s">
        <v>315</v>
      </c>
      <c r="O1139" s="53">
        <v>0</v>
      </c>
      <c r="P1139" s="53">
        <v>20009908</v>
      </c>
      <c r="Q1139" s="53" t="s">
        <v>3479</v>
      </c>
      <c r="R1139" s="45">
        <v>410</v>
      </c>
      <c r="S1139" s="53">
        <v>0</v>
      </c>
      <c r="T1139" s="47" t="s">
        <v>198</v>
      </c>
      <c r="U1139" s="48" t="s">
        <v>199</v>
      </c>
      <c r="V1139" s="38"/>
      <c r="W1139" s="48" t="s">
        <v>195</v>
      </c>
      <c r="X1139" s="38" t="s">
        <v>308</v>
      </c>
      <c r="Y1139" s="49" t="s">
        <v>309</v>
      </c>
      <c r="Z1139" s="50" t="s">
        <v>3480</v>
      </c>
      <c r="AA1139" s="38"/>
      <c r="AB1139" s="38"/>
      <c r="AC1139" s="38"/>
      <c r="AD1139" s="51">
        <v>57</v>
      </c>
      <c r="AE1139" s="51">
        <v>57</v>
      </c>
      <c r="AF1139" s="48" t="s">
        <v>203</v>
      </c>
      <c r="AG1139" s="38" t="s">
        <v>204</v>
      </c>
      <c r="AH1139" s="52"/>
      <c r="AI1139" s="38"/>
      <c r="AJ1139" s="38"/>
    </row>
    <row r="1140" spans="1:36" ht="16.2">
      <c r="A1140" s="42" t="s">
        <v>420</v>
      </c>
      <c r="B1140" s="42">
        <v>71960701</v>
      </c>
      <c r="C1140" s="42" t="s">
        <v>3481</v>
      </c>
      <c r="D1140" s="42">
        <v>13207678</v>
      </c>
      <c r="E1140" s="43" t="s">
        <v>3482</v>
      </c>
      <c r="F1140" s="42" t="s">
        <v>3483</v>
      </c>
      <c r="G1140" s="42" t="s">
        <v>195</v>
      </c>
      <c r="H1140" s="42"/>
      <c r="I1140" s="42"/>
      <c r="J1140" s="42">
        <v>13207678</v>
      </c>
      <c r="K1140" s="42"/>
      <c r="L1140" s="44">
        <v>45293</v>
      </c>
      <c r="M1140" s="44">
        <v>45293</v>
      </c>
      <c r="N1140" s="42" t="s">
        <v>1894</v>
      </c>
      <c r="O1140" s="42">
        <v>0</v>
      </c>
      <c r="P1140" s="42">
        <v>20078418</v>
      </c>
      <c r="Q1140" s="42" t="s">
        <v>3484</v>
      </c>
      <c r="R1140" s="45">
        <v>410</v>
      </c>
      <c r="S1140" s="42">
        <v>0</v>
      </c>
      <c r="T1140" s="47" t="s">
        <v>198</v>
      </c>
      <c r="U1140" s="48" t="s">
        <v>199</v>
      </c>
      <c r="V1140" s="38"/>
      <c r="W1140" s="48" t="s">
        <v>195</v>
      </c>
      <c r="X1140" s="38" t="s">
        <v>426</v>
      </c>
      <c r="Y1140" s="49" t="s">
        <v>427</v>
      </c>
      <c r="Z1140" s="50" t="s">
        <v>3485</v>
      </c>
      <c r="AA1140" s="38"/>
      <c r="AB1140" s="38"/>
      <c r="AC1140" s="38"/>
      <c r="AD1140" s="51">
        <v>67</v>
      </c>
      <c r="AE1140" s="51">
        <v>67</v>
      </c>
      <c r="AF1140" s="48" t="s">
        <v>203</v>
      </c>
      <c r="AG1140" s="38" t="s">
        <v>204</v>
      </c>
      <c r="AH1140" s="52"/>
      <c r="AI1140" s="38"/>
      <c r="AJ1140" s="38"/>
    </row>
    <row r="1141" spans="1:36" ht="16.2">
      <c r="A1141" s="53" t="s">
        <v>420</v>
      </c>
      <c r="B1141" s="53">
        <v>71960701</v>
      </c>
      <c r="C1141" s="53" t="s">
        <v>3481</v>
      </c>
      <c r="D1141" s="53">
        <v>13207678</v>
      </c>
      <c r="E1141" s="54" t="s">
        <v>3482</v>
      </c>
      <c r="F1141" s="53" t="s">
        <v>3486</v>
      </c>
      <c r="G1141" s="53" t="s">
        <v>195</v>
      </c>
      <c r="H1141" s="53"/>
      <c r="I1141" s="53"/>
      <c r="J1141" s="53">
        <v>13207678</v>
      </c>
      <c r="K1141" s="53"/>
      <c r="L1141" s="55">
        <v>45293</v>
      </c>
      <c r="M1141" s="55">
        <v>45293</v>
      </c>
      <c r="N1141" s="53" t="s">
        <v>1894</v>
      </c>
      <c r="O1141" s="53">
        <v>0</v>
      </c>
      <c r="P1141" s="53">
        <v>20078418</v>
      </c>
      <c r="Q1141" s="53" t="s">
        <v>3487</v>
      </c>
      <c r="R1141" s="45">
        <v>410</v>
      </c>
      <c r="S1141" s="53">
        <v>0</v>
      </c>
      <c r="T1141" s="47" t="s">
        <v>198</v>
      </c>
      <c r="U1141" s="48" t="s">
        <v>199</v>
      </c>
      <c r="V1141" s="38"/>
      <c r="W1141" s="48" t="s">
        <v>195</v>
      </c>
      <c r="X1141" s="38" t="s">
        <v>426</v>
      </c>
      <c r="Y1141" s="49" t="s">
        <v>427</v>
      </c>
      <c r="Z1141" s="50" t="s">
        <v>3488</v>
      </c>
      <c r="AA1141" s="38"/>
      <c r="AB1141" s="38"/>
      <c r="AC1141" s="38"/>
      <c r="AD1141" s="51">
        <v>67</v>
      </c>
      <c r="AE1141" s="51">
        <v>67</v>
      </c>
      <c r="AF1141" s="48" t="s">
        <v>203</v>
      </c>
      <c r="AG1141" s="38" t="s">
        <v>204</v>
      </c>
      <c r="AH1141" s="52"/>
      <c r="AI1141" s="38"/>
      <c r="AJ1141" s="38"/>
    </row>
    <row r="1142" spans="1:36" ht="16.2">
      <c r="A1142" s="42" t="s">
        <v>420</v>
      </c>
      <c r="B1142" s="42">
        <v>71960701</v>
      </c>
      <c r="C1142" s="42" t="s">
        <v>3481</v>
      </c>
      <c r="D1142" s="42">
        <v>13207678</v>
      </c>
      <c r="E1142" s="43" t="s">
        <v>3482</v>
      </c>
      <c r="F1142" s="42" t="s">
        <v>3489</v>
      </c>
      <c r="G1142" s="42" t="s">
        <v>195</v>
      </c>
      <c r="H1142" s="42"/>
      <c r="I1142" s="42"/>
      <c r="J1142" s="42">
        <v>13207678</v>
      </c>
      <c r="K1142" s="42"/>
      <c r="L1142" s="44">
        <v>45293</v>
      </c>
      <c r="M1142" s="44">
        <v>45293</v>
      </c>
      <c r="N1142" s="42" t="s">
        <v>1894</v>
      </c>
      <c r="O1142" s="42">
        <v>0</v>
      </c>
      <c r="P1142" s="42">
        <v>20078418</v>
      </c>
      <c r="Q1142" s="42" t="s">
        <v>3490</v>
      </c>
      <c r="R1142" s="45">
        <v>410</v>
      </c>
      <c r="S1142" s="42">
        <v>0</v>
      </c>
      <c r="T1142" s="47" t="s">
        <v>198</v>
      </c>
      <c r="U1142" s="48" t="s">
        <v>199</v>
      </c>
      <c r="V1142" s="38"/>
      <c r="W1142" s="48" t="s">
        <v>195</v>
      </c>
      <c r="X1142" s="38" t="s">
        <v>426</v>
      </c>
      <c r="Y1142" s="49" t="s">
        <v>427</v>
      </c>
      <c r="Z1142" s="50" t="s">
        <v>3491</v>
      </c>
      <c r="AA1142" s="38"/>
      <c r="AB1142" s="38"/>
      <c r="AC1142" s="38"/>
      <c r="AD1142" s="51">
        <v>67</v>
      </c>
      <c r="AE1142" s="51">
        <v>67</v>
      </c>
      <c r="AF1142" s="48" t="s">
        <v>203</v>
      </c>
      <c r="AG1142" s="38" t="s">
        <v>204</v>
      </c>
      <c r="AH1142" s="52"/>
      <c r="AI1142" s="38"/>
      <c r="AJ1142" s="38"/>
    </row>
    <row r="1143" spans="1:36" ht="16.2">
      <c r="A1143" s="53" t="s">
        <v>302</v>
      </c>
      <c r="B1143" s="53">
        <v>659632</v>
      </c>
      <c r="C1143" s="53" t="s">
        <v>3492</v>
      </c>
      <c r="D1143" s="53">
        <v>13207610</v>
      </c>
      <c r="E1143" s="54" t="s">
        <v>3493</v>
      </c>
      <c r="F1143" s="53" t="s">
        <v>3362</v>
      </c>
      <c r="G1143" s="53" t="s">
        <v>195</v>
      </c>
      <c r="H1143" s="53"/>
      <c r="I1143" s="53"/>
      <c r="J1143" s="53">
        <v>13207610</v>
      </c>
      <c r="K1143" s="53"/>
      <c r="L1143" s="55">
        <v>45293</v>
      </c>
      <c r="M1143" s="55">
        <v>45293</v>
      </c>
      <c r="N1143" s="53" t="s">
        <v>601</v>
      </c>
      <c r="O1143" s="53">
        <v>0</v>
      </c>
      <c r="P1143" s="53">
        <v>20009822</v>
      </c>
      <c r="Q1143" s="53" t="s">
        <v>3494</v>
      </c>
      <c r="R1143" s="45">
        <v>410</v>
      </c>
      <c r="S1143" s="53">
        <v>0</v>
      </c>
      <c r="T1143" s="47" t="s">
        <v>198</v>
      </c>
      <c r="U1143" s="48" t="s">
        <v>199</v>
      </c>
      <c r="V1143" s="38"/>
      <c r="W1143" s="48" t="s">
        <v>195</v>
      </c>
      <c r="X1143" s="38" t="s">
        <v>308</v>
      </c>
      <c r="Y1143" s="49" t="s">
        <v>309</v>
      </c>
      <c r="Z1143" s="50" t="s">
        <v>3495</v>
      </c>
      <c r="AA1143" s="38"/>
      <c r="AB1143" s="38"/>
      <c r="AC1143" s="38"/>
      <c r="AD1143" s="51">
        <v>33</v>
      </c>
      <c r="AE1143" s="51">
        <v>33</v>
      </c>
      <c r="AF1143" s="48" t="s">
        <v>203</v>
      </c>
      <c r="AG1143" s="38" t="s">
        <v>204</v>
      </c>
      <c r="AH1143" s="52"/>
      <c r="AI1143" s="38"/>
      <c r="AJ1143" s="38"/>
    </row>
    <row r="1144" spans="1:36" ht="16.2">
      <c r="A1144" s="42" t="s">
        <v>302</v>
      </c>
      <c r="B1144" s="42">
        <v>659632</v>
      </c>
      <c r="C1144" s="42" t="s">
        <v>3492</v>
      </c>
      <c r="D1144" s="42">
        <v>13207610</v>
      </c>
      <c r="E1144" s="43" t="s">
        <v>3493</v>
      </c>
      <c r="F1144" s="42" t="s">
        <v>3365</v>
      </c>
      <c r="G1144" s="42" t="s">
        <v>195</v>
      </c>
      <c r="H1144" s="42"/>
      <c r="I1144" s="42"/>
      <c r="J1144" s="42">
        <v>13207610</v>
      </c>
      <c r="K1144" s="42"/>
      <c r="L1144" s="44">
        <v>45293</v>
      </c>
      <c r="M1144" s="44">
        <v>45293</v>
      </c>
      <c r="N1144" s="42" t="s">
        <v>601</v>
      </c>
      <c r="O1144" s="42">
        <v>0</v>
      </c>
      <c r="P1144" s="42">
        <v>20009822</v>
      </c>
      <c r="Q1144" s="42" t="s">
        <v>3496</v>
      </c>
      <c r="R1144" s="45">
        <v>410</v>
      </c>
      <c r="S1144" s="42">
        <v>0</v>
      </c>
      <c r="T1144" s="47" t="s">
        <v>198</v>
      </c>
      <c r="U1144" s="48" t="s">
        <v>199</v>
      </c>
      <c r="V1144" s="38"/>
      <c r="W1144" s="48" t="s">
        <v>195</v>
      </c>
      <c r="X1144" s="38" t="s">
        <v>308</v>
      </c>
      <c r="Y1144" s="49" t="s">
        <v>309</v>
      </c>
      <c r="Z1144" s="50" t="s">
        <v>3497</v>
      </c>
      <c r="AA1144" s="38"/>
      <c r="AB1144" s="38"/>
      <c r="AC1144" s="38"/>
      <c r="AD1144" s="51">
        <v>33</v>
      </c>
      <c r="AE1144" s="51">
        <v>33</v>
      </c>
      <c r="AF1144" s="48" t="s">
        <v>203</v>
      </c>
      <c r="AG1144" s="38" t="s">
        <v>204</v>
      </c>
      <c r="AH1144" s="52"/>
      <c r="AI1144" s="38"/>
      <c r="AJ1144" s="38"/>
    </row>
    <row r="1145" spans="1:36" ht="16.2">
      <c r="A1145" s="53" t="s">
        <v>302</v>
      </c>
      <c r="B1145" s="53">
        <v>659632</v>
      </c>
      <c r="C1145" s="53" t="s">
        <v>3492</v>
      </c>
      <c r="D1145" s="53">
        <v>13207610</v>
      </c>
      <c r="E1145" s="54" t="s">
        <v>3493</v>
      </c>
      <c r="F1145" s="53" t="s">
        <v>3368</v>
      </c>
      <c r="G1145" s="53" t="s">
        <v>195</v>
      </c>
      <c r="H1145" s="53"/>
      <c r="I1145" s="53"/>
      <c r="J1145" s="53">
        <v>13207610</v>
      </c>
      <c r="K1145" s="53"/>
      <c r="L1145" s="55">
        <v>45293</v>
      </c>
      <c r="M1145" s="55">
        <v>45293</v>
      </c>
      <c r="N1145" s="53" t="s">
        <v>601</v>
      </c>
      <c r="O1145" s="53">
        <v>0</v>
      </c>
      <c r="P1145" s="53">
        <v>20009822</v>
      </c>
      <c r="Q1145" s="53" t="s">
        <v>3498</v>
      </c>
      <c r="R1145" s="45">
        <v>410</v>
      </c>
      <c r="S1145" s="53">
        <v>0</v>
      </c>
      <c r="T1145" s="47" t="s">
        <v>198</v>
      </c>
      <c r="U1145" s="48" t="s">
        <v>199</v>
      </c>
      <c r="V1145" s="38"/>
      <c r="W1145" s="48" t="s">
        <v>195</v>
      </c>
      <c r="X1145" s="38" t="s">
        <v>308</v>
      </c>
      <c r="Y1145" s="49" t="s">
        <v>309</v>
      </c>
      <c r="Z1145" s="50" t="s">
        <v>3499</v>
      </c>
      <c r="AA1145" s="38"/>
      <c r="AB1145" s="38"/>
      <c r="AC1145" s="38"/>
      <c r="AD1145" s="51">
        <v>33</v>
      </c>
      <c r="AE1145" s="51">
        <v>33</v>
      </c>
      <c r="AF1145" s="48" t="s">
        <v>203</v>
      </c>
      <c r="AG1145" s="38" t="s">
        <v>204</v>
      </c>
      <c r="AH1145" s="52"/>
      <c r="AI1145" s="38"/>
      <c r="AJ1145" s="38"/>
    </row>
    <row r="1146" spans="1:36" ht="16.2">
      <c r="A1146" s="42" t="s">
        <v>302</v>
      </c>
      <c r="B1146" s="42">
        <v>659632</v>
      </c>
      <c r="C1146" s="42" t="s">
        <v>3492</v>
      </c>
      <c r="D1146" s="42">
        <v>13207610</v>
      </c>
      <c r="E1146" s="43" t="s">
        <v>3493</v>
      </c>
      <c r="F1146" s="42" t="s">
        <v>3371</v>
      </c>
      <c r="G1146" s="42" t="s">
        <v>195</v>
      </c>
      <c r="H1146" s="42"/>
      <c r="I1146" s="42"/>
      <c r="J1146" s="42">
        <v>13207610</v>
      </c>
      <c r="K1146" s="42"/>
      <c r="L1146" s="44">
        <v>45293</v>
      </c>
      <c r="M1146" s="44">
        <v>45293</v>
      </c>
      <c r="N1146" s="42" t="s">
        <v>601</v>
      </c>
      <c r="O1146" s="42">
        <v>0</v>
      </c>
      <c r="P1146" s="42">
        <v>20009822</v>
      </c>
      <c r="Q1146" s="42" t="s">
        <v>3500</v>
      </c>
      <c r="R1146" s="45">
        <v>410</v>
      </c>
      <c r="S1146" s="42">
        <v>0</v>
      </c>
      <c r="T1146" s="47" t="s">
        <v>198</v>
      </c>
      <c r="U1146" s="48" t="s">
        <v>199</v>
      </c>
      <c r="V1146" s="38"/>
      <c r="W1146" s="48" t="s">
        <v>195</v>
      </c>
      <c r="X1146" s="38" t="s">
        <v>308</v>
      </c>
      <c r="Y1146" s="49" t="s">
        <v>309</v>
      </c>
      <c r="Z1146" s="50" t="s">
        <v>3501</v>
      </c>
      <c r="AA1146" s="38"/>
      <c r="AB1146" s="38"/>
      <c r="AC1146" s="38"/>
      <c r="AD1146" s="51">
        <v>33</v>
      </c>
      <c r="AE1146" s="51">
        <v>33</v>
      </c>
      <c r="AF1146" s="48" t="s">
        <v>203</v>
      </c>
      <c r="AG1146" s="38" t="s">
        <v>204</v>
      </c>
      <c r="AH1146" s="52"/>
      <c r="AI1146" s="38"/>
      <c r="AJ1146" s="38"/>
    </row>
    <row r="1147" spans="1:36" ht="16.2">
      <c r="A1147" s="53" t="s">
        <v>302</v>
      </c>
      <c r="B1147" s="53">
        <v>659632</v>
      </c>
      <c r="C1147" s="53" t="s">
        <v>3492</v>
      </c>
      <c r="D1147" s="53">
        <v>13207610</v>
      </c>
      <c r="E1147" s="54" t="s">
        <v>3493</v>
      </c>
      <c r="F1147" s="53" t="s">
        <v>3374</v>
      </c>
      <c r="G1147" s="53" t="s">
        <v>195</v>
      </c>
      <c r="H1147" s="53"/>
      <c r="I1147" s="53"/>
      <c r="J1147" s="53">
        <v>13207610</v>
      </c>
      <c r="K1147" s="53"/>
      <c r="L1147" s="55">
        <v>45293</v>
      </c>
      <c r="M1147" s="55">
        <v>45293</v>
      </c>
      <c r="N1147" s="53" t="s">
        <v>601</v>
      </c>
      <c r="O1147" s="53">
        <v>0</v>
      </c>
      <c r="P1147" s="53">
        <v>20009822</v>
      </c>
      <c r="Q1147" s="53" t="s">
        <v>3502</v>
      </c>
      <c r="R1147" s="45">
        <v>410</v>
      </c>
      <c r="S1147" s="53">
        <v>0</v>
      </c>
      <c r="T1147" s="47" t="s">
        <v>198</v>
      </c>
      <c r="U1147" s="48" t="s">
        <v>199</v>
      </c>
      <c r="V1147" s="38"/>
      <c r="W1147" s="48" t="s">
        <v>195</v>
      </c>
      <c r="X1147" s="38" t="s">
        <v>308</v>
      </c>
      <c r="Y1147" s="49" t="s">
        <v>309</v>
      </c>
      <c r="Z1147" s="50" t="s">
        <v>3503</v>
      </c>
      <c r="AA1147" s="38"/>
      <c r="AB1147" s="38"/>
      <c r="AC1147" s="38"/>
      <c r="AD1147" s="51">
        <v>33</v>
      </c>
      <c r="AE1147" s="51">
        <v>33</v>
      </c>
      <c r="AF1147" s="48" t="s">
        <v>203</v>
      </c>
      <c r="AG1147" s="38" t="s">
        <v>204</v>
      </c>
      <c r="AH1147" s="52"/>
      <c r="AI1147" s="38"/>
      <c r="AJ1147" s="38"/>
    </row>
    <row r="1148" spans="1:36" ht="16.2">
      <c r="A1148" s="42" t="s">
        <v>302</v>
      </c>
      <c r="B1148" s="42">
        <v>659632</v>
      </c>
      <c r="C1148" s="42" t="s">
        <v>3492</v>
      </c>
      <c r="D1148" s="42">
        <v>13207610</v>
      </c>
      <c r="E1148" s="43" t="s">
        <v>3493</v>
      </c>
      <c r="F1148" s="42" t="s">
        <v>655</v>
      </c>
      <c r="G1148" s="42" t="s">
        <v>195</v>
      </c>
      <c r="H1148" s="42"/>
      <c r="I1148" s="42"/>
      <c r="J1148" s="42">
        <v>13207610</v>
      </c>
      <c r="K1148" s="42"/>
      <c r="L1148" s="44">
        <v>45293</v>
      </c>
      <c r="M1148" s="44">
        <v>45293</v>
      </c>
      <c r="N1148" s="42" t="s">
        <v>601</v>
      </c>
      <c r="O1148" s="42">
        <v>0</v>
      </c>
      <c r="P1148" s="42">
        <v>20009822</v>
      </c>
      <c r="Q1148" s="42" t="s">
        <v>3504</v>
      </c>
      <c r="R1148" s="45">
        <v>410</v>
      </c>
      <c r="S1148" s="42">
        <v>0</v>
      </c>
      <c r="T1148" s="47" t="s">
        <v>198</v>
      </c>
      <c r="U1148" s="48" t="s">
        <v>199</v>
      </c>
      <c r="V1148" s="38"/>
      <c r="W1148" s="48" t="s">
        <v>195</v>
      </c>
      <c r="X1148" s="38" t="s">
        <v>308</v>
      </c>
      <c r="Y1148" s="49" t="s">
        <v>309</v>
      </c>
      <c r="Z1148" s="50" t="s">
        <v>3505</v>
      </c>
      <c r="AA1148" s="38"/>
      <c r="AB1148" s="38"/>
      <c r="AC1148" s="38"/>
      <c r="AD1148" s="51">
        <v>33</v>
      </c>
      <c r="AE1148" s="51">
        <v>33</v>
      </c>
      <c r="AF1148" s="48" t="s">
        <v>203</v>
      </c>
      <c r="AG1148" s="38" t="s">
        <v>204</v>
      </c>
      <c r="AH1148" s="52"/>
      <c r="AI1148" s="38"/>
      <c r="AJ1148" s="38"/>
    </row>
    <row r="1149" spans="1:36" ht="16.2">
      <c r="A1149" s="53" t="s">
        <v>302</v>
      </c>
      <c r="B1149" s="53">
        <v>659632</v>
      </c>
      <c r="C1149" s="53" t="s">
        <v>3492</v>
      </c>
      <c r="D1149" s="53">
        <v>13207610</v>
      </c>
      <c r="E1149" s="54" t="s">
        <v>3493</v>
      </c>
      <c r="F1149" s="53" t="s">
        <v>944</v>
      </c>
      <c r="G1149" s="53" t="s">
        <v>195</v>
      </c>
      <c r="H1149" s="53"/>
      <c r="I1149" s="53"/>
      <c r="J1149" s="53">
        <v>13207610</v>
      </c>
      <c r="K1149" s="53"/>
      <c r="L1149" s="55">
        <v>45293</v>
      </c>
      <c r="M1149" s="55">
        <v>45293</v>
      </c>
      <c r="N1149" s="53" t="s">
        <v>601</v>
      </c>
      <c r="O1149" s="53">
        <v>0</v>
      </c>
      <c r="P1149" s="53">
        <v>20009822</v>
      </c>
      <c r="Q1149" s="53" t="s">
        <v>3506</v>
      </c>
      <c r="R1149" s="45">
        <v>410</v>
      </c>
      <c r="S1149" s="53">
        <v>0</v>
      </c>
      <c r="T1149" s="47" t="s">
        <v>198</v>
      </c>
      <c r="U1149" s="48" t="s">
        <v>199</v>
      </c>
      <c r="V1149" s="38"/>
      <c r="W1149" s="48" t="s">
        <v>195</v>
      </c>
      <c r="X1149" s="38" t="s">
        <v>308</v>
      </c>
      <c r="Y1149" s="49" t="s">
        <v>309</v>
      </c>
      <c r="Z1149" s="50" t="s">
        <v>3507</v>
      </c>
      <c r="AA1149" s="38"/>
      <c r="AB1149" s="38"/>
      <c r="AC1149" s="38"/>
      <c r="AD1149" s="51">
        <v>33</v>
      </c>
      <c r="AE1149" s="51">
        <v>33</v>
      </c>
      <c r="AF1149" s="48" t="s">
        <v>203</v>
      </c>
      <c r="AG1149" s="38" t="s">
        <v>204</v>
      </c>
      <c r="AH1149" s="52"/>
      <c r="AI1149" s="38"/>
      <c r="AJ1149" s="38"/>
    </row>
    <row r="1150" spans="1:36" ht="16.2">
      <c r="A1150" s="42" t="s">
        <v>302</v>
      </c>
      <c r="B1150" s="42">
        <v>659632</v>
      </c>
      <c r="C1150" s="42" t="s">
        <v>3492</v>
      </c>
      <c r="D1150" s="42">
        <v>13207610</v>
      </c>
      <c r="E1150" s="43" t="s">
        <v>3493</v>
      </c>
      <c r="F1150" s="42" t="s">
        <v>3381</v>
      </c>
      <c r="G1150" s="42" t="s">
        <v>195</v>
      </c>
      <c r="H1150" s="42"/>
      <c r="I1150" s="42"/>
      <c r="J1150" s="42">
        <v>13207610</v>
      </c>
      <c r="K1150" s="42"/>
      <c r="L1150" s="44">
        <v>45293</v>
      </c>
      <c r="M1150" s="44">
        <v>45293</v>
      </c>
      <c r="N1150" s="42" t="s">
        <v>601</v>
      </c>
      <c r="O1150" s="42">
        <v>0</v>
      </c>
      <c r="P1150" s="42">
        <v>20009822</v>
      </c>
      <c r="Q1150" s="42" t="s">
        <v>3508</v>
      </c>
      <c r="R1150" s="45">
        <v>410</v>
      </c>
      <c r="S1150" s="42">
        <v>0</v>
      </c>
      <c r="T1150" s="47" t="s">
        <v>198</v>
      </c>
      <c r="U1150" s="48" t="s">
        <v>199</v>
      </c>
      <c r="V1150" s="38"/>
      <c r="W1150" s="48" t="s">
        <v>195</v>
      </c>
      <c r="X1150" s="38" t="s">
        <v>308</v>
      </c>
      <c r="Y1150" s="49" t="s">
        <v>309</v>
      </c>
      <c r="Z1150" s="50" t="s">
        <v>3509</v>
      </c>
      <c r="AA1150" s="38"/>
      <c r="AB1150" s="38"/>
      <c r="AC1150" s="38"/>
      <c r="AD1150" s="51">
        <v>33</v>
      </c>
      <c r="AE1150" s="51">
        <v>33</v>
      </c>
      <c r="AF1150" s="48" t="s">
        <v>203</v>
      </c>
      <c r="AG1150" s="38" t="s">
        <v>204</v>
      </c>
      <c r="AH1150" s="52"/>
      <c r="AI1150" s="38"/>
      <c r="AJ1150" s="38"/>
    </row>
    <row r="1151" spans="1:36" ht="16.2">
      <c r="A1151" s="53" t="s">
        <v>1908</v>
      </c>
      <c r="B1151" s="53">
        <v>71960601</v>
      </c>
      <c r="C1151" s="53" t="s">
        <v>3510</v>
      </c>
      <c r="D1151" s="53">
        <v>13207665</v>
      </c>
      <c r="E1151" s="54" t="s">
        <v>3511</v>
      </c>
      <c r="F1151" s="53" t="s">
        <v>3483</v>
      </c>
      <c r="G1151" s="53" t="s">
        <v>195</v>
      </c>
      <c r="H1151" s="53"/>
      <c r="I1151" s="53"/>
      <c r="J1151" s="53">
        <v>13207665</v>
      </c>
      <c r="K1151" s="53"/>
      <c r="L1151" s="55">
        <v>45293</v>
      </c>
      <c r="M1151" s="55">
        <v>45293</v>
      </c>
      <c r="N1151" s="53" t="s">
        <v>1894</v>
      </c>
      <c r="O1151" s="53">
        <v>0</v>
      </c>
      <c r="P1151" s="53">
        <v>20078418</v>
      </c>
      <c r="Q1151" s="53" t="s">
        <v>3512</v>
      </c>
      <c r="R1151" s="45">
        <v>410</v>
      </c>
      <c r="S1151" s="53">
        <v>0</v>
      </c>
      <c r="T1151" s="47" t="s">
        <v>198</v>
      </c>
      <c r="U1151" s="48" t="s">
        <v>199</v>
      </c>
      <c r="V1151" s="38"/>
      <c r="W1151" s="48" t="s">
        <v>195</v>
      </c>
      <c r="X1151" s="38" t="s">
        <v>426</v>
      </c>
      <c r="Y1151" s="49" t="s">
        <v>427</v>
      </c>
      <c r="Z1151" s="50" t="s">
        <v>3513</v>
      </c>
      <c r="AA1151" s="38"/>
      <c r="AB1151" s="38"/>
      <c r="AC1151" s="38"/>
      <c r="AD1151" s="51">
        <v>67</v>
      </c>
      <c r="AE1151" s="51">
        <v>67</v>
      </c>
      <c r="AF1151" s="48" t="s">
        <v>203</v>
      </c>
      <c r="AG1151" s="38" t="s">
        <v>204</v>
      </c>
      <c r="AH1151" s="52"/>
      <c r="AI1151" s="38"/>
      <c r="AJ1151" s="38"/>
    </row>
    <row r="1152" spans="1:36" ht="16.2">
      <c r="A1152" s="42" t="s">
        <v>1908</v>
      </c>
      <c r="B1152" s="42">
        <v>71960601</v>
      </c>
      <c r="C1152" s="42" t="s">
        <v>3510</v>
      </c>
      <c r="D1152" s="42">
        <v>13207665</v>
      </c>
      <c r="E1152" s="43" t="s">
        <v>3511</v>
      </c>
      <c r="F1152" s="42" t="s">
        <v>3486</v>
      </c>
      <c r="G1152" s="42" t="s">
        <v>195</v>
      </c>
      <c r="H1152" s="42"/>
      <c r="I1152" s="42"/>
      <c r="J1152" s="42">
        <v>13207665</v>
      </c>
      <c r="K1152" s="42"/>
      <c r="L1152" s="44">
        <v>45293</v>
      </c>
      <c r="M1152" s="44">
        <v>45293</v>
      </c>
      <c r="N1152" s="42" t="s">
        <v>1894</v>
      </c>
      <c r="O1152" s="42">
        <v>0</v>
      </c>
      <c r="P1152" s="42">
        <v>20078418</v>
      </c>
      <c r="Q1152" s="42" t="s">
        <v>3514</v>
      </c>
      <c r="R1152" s="45">
        <v>410</v>
      </c>
      <c r="S1152" s="42">
        <v>0</v>
      </c>
      <c r="T1152" s="47" t="s">
        <v>198</v>
      </c>
      <c r="U1152" s="48" t="s">
        <v>199</v>
      </c>
      <c r="V1152" s="38"/>
      <c r="W1152" s="48" t="s">
        <v>195</v>
      </c>
      <c r="X1152" s="38" t="s">
        <v>426</v>
      </c>
      <c r="Y1152" s="49" t="s">
        <v>427</v>
      </c>
      <c r="Z1152" s="50" t="s">
        <v>3515</v>
      </c>
      <c r="AA1152" s="38"/>
      <c r="AB1152" s="38"/>
      <c r="AC1152" s="38"/>
      <c r="AD1152" s="51">
        <v>67</v>
      </c>
      <c r="AE1152" s="51">
        <v>67</v>
      </c>
      <c r="AF1152" s="48" t="s">
        <v>203</v>
      </c>
      <c r="AG1152" s="38" t="s">
        <v>204</v>
      </c>
      <c r="AH1152" s="52"/>
      <c r="AI1152" s="38"/>
      <c r="AJ1152" s="38"/>
    </row>
    <row r="1153" spans="1:36" ht="16.2">
      <c r="A1153" s="53" t="s">
        <v>1908</v>
      </c>
      <c r="B1153" s="53">
        <v>71960601</v>
      </c>
      <c r="C1153" s="53" t="s">
        <v>3510</v>
      </c>
      <c r="D1153" s="53">
        <v>13207665</v>
      </c>
      <c r="E1153" s="54" t="s">
        <v>3511</v>
      </c>
      <c r="F1153" s="53" t="s">
        <v>611</v>
      </c>
      <c r="G1153" s="53" t="s">
        <v>195</v>
      </c>
      <c r="H1153" s="53"/>
      <c r="I1153" s="53"/>
      <c r="J1153" s="53">
        <v>13207665</v>
      </c>
      <c r="K1153" s="53"/>
      <c r="L1153" s="55">
        <v>45293</v>
      </c>
      <c r="M1153" s="55">
        <v>45293</v>
      </c>
      <c r="N1153" s="53" t="s">
        <v>1894</v>
      </c>
      <c r="O1153" s="53">
        <v>0</v>
      </c>
      <c r="P1153" s="53">
        <v>20078418</v>
      </c>
      <c r="Q1153" s="53" t="s">
        <v>3516</v>
      </c>
      <c r="R1153" s="45">
        <v>410</v>
      </c>
      <c r="S1153" s="53">
        <v>0</v>
      </c>
      <c r="T1153" s="47" t="s">
        <v>198</v>
      </c>
      <c r="U1153" s="48" t="s">
        <v>199</v>
      </c>
      <c r="V1153" s="38"/>
      <c r="W1153" s="48" t="s">
        <v>195</v>
      </c>
      <c r="X1153" s="38" t="s">
        <v>426</v>
      </c>
      <c r="Y1153" s="49" t="s">
        <v>427</v>
      </c>
      <c r="Z1153" s="50" t="s">
        <v>3517</v>
      </c>
      <c r="AA1153" s="38"/>
      <c r="AB1153" s="38"/>
      <c r="AC1153" s="38"/>
      <c r="AD1153" s="51">
        <v>67</v>
      </c>
      <c r="AE1153" s="51">
        <v>67</v>
      </c>
      <c r="AF1153" s="48" t="s">
        <v>203</v>
      </c>
      <c r="AG1153" s="38" t="s">
        <v>204</v>
      </c>
      <c r="AH1153" s="52"/>
      <c r="AI1153" s="38"/>
      <c r="AJ1153" s="38"/>
    </row>
    <row r="1154" spans="1:36" ht="16.2">
      <c r="A1154" s="42" t="s">
        <v>302</v>
      </c>
      <c r="B1154" s="42">
        <v>709725</v>
      </c>
      <c r="C1154" s="42" t="s">
        <v>3518</v>
      </c>
      <c r="D1154" s="42">
        <v>13207611</v>
      </c>
      <c r="E1154" s="43" t="s">
        <v>3519</v>
      </c>
      <c r="F1154" s="42" t="s">
        <v>3362</v>
      </c>
      <c r="G1154" s="42" t="s">
        <v>195</v>
      </c>
      <c r="H1154" s="42"/>
      <c r="I1154" s="42"/>
      <c r="J1154" s="42">
        <v>13207611</v>
      </c>
      <c r="K1154" s="42"/>
      <c r="L1154" s="44">
        <v>45293</v>
      </c>
      <c r="M1154" s="44">
        <v>45293</v>
      </c>
      <c r="N1154" s="42" t="s">
        <v>763</v>
      </c>
      <c r="O1154" s="42">
        <v>0</v>
      </c>
      <c r="P1154" s="42">
        <v>20062055</v>
      </c>
      <c r="Q1154" s="42" t="s">
        <v>3520</v>
      </c>
      <c r="R1154" s="45">
        <v>410</v>
      </c>
      <c r="S1154" s="42">
        <v>0</v>
      </c>
      <c r="T1154" s="47" t="s">
        <v>198</v>
      </c>
      <c r="U1154" s="48" t="s">
        <v>199</v>
      </c>
      <c r="V1154" s="38"/>
      <c r="W1154" s="48" t="s">
        <v>195</v>
      </c>
      <c r="X1154" s="38" t="s">
        <v>308</v>
      </c>
      <c r="Y1154" s="49" t="s">
        <v>309</v>
      </c>
      <c r="Z1154" s="50" t="s">
        <v>3521</v>
      </c>
      <c r="AA1154" s="38"/>
      <c r="AB1154" s="38"/>
      <c r="AC1154" s="38"/>
      <c r="AD1154" s="51">
        <v>58</v>
      </c>
      <c r="AE1154" s="51">
        <v>58</v>
      </c>
      <c r="AF1154" s="48" t="s">
        <v>203</v>
      </c>
      <c r="AG1154" s="38" t="s">
        <v>204</v>
      </c>
      <c r="AH1154" s="52"/>
      <c r="AI1154" s="38"/>
      <c r="AJ1154" s="38"/>
    </row>
    <row r="1155" spans="1:36" ht="16.2">
      <c r="A1155" s="53" t="s">
        <v>302</v>
      </c>
      <c r="B1155" s="53">
        <v>709725</v>
      </c>
      <c r="C1155" s="53" t="s">
        <v>3518</v>
      </c>
      <c r="D1155" s="53">
        <v>13207611</v>
      </c>
      <c r="E1155" s="54" t="s">
        <v>3519</v>
      </c>
      <c r="F1155" s="53" t="s">
        <v>3365</v>
      </c>
      <c r="G1155" s="53" t="s">
        <v>195</v>
      </c>
      <c r="H1155" s="53"/>
      <c r="I1155" s="53"/>
      <c r="J1155" s="53">
        <v>13207611</v>
      </c>
      <c r="K1155" s="53"/>
      <c r="L1155" s="55">
        <v>45293</v>
      </c>
      <c r="M1155" s="55">
        <v>45293</v>
      </c>
      <c r="N1155" s="53" t="s">
        <v>763</v>
      </c>
      <c r="O1155" s="53">
        <v>0</v>
      </c>
      <c r="P1155" s="53">
        <v>20062055</v>
      </c>
      <c r="Q1155" s="53" t="s">
        <v>3522</v>
      </c>
      <c r="R1155" s="45">
        <v>410</v>
      </c>
      <c r="S1155" s="53">
        <v>0</v>
      </c>
      <c r="T1155" s="47" t="s">
        <v>198</v>
      </c>
      <c r="U1155" s="48" t="s">
        <v>199</v>
      </c>
      <c r="V1155" s="38"/>
      <c r="W1155" s="48" t="s">
        <v>195</v>
      </c>
      <c r="X1155" s="38" t="s">
        <v>308</v>
      </c>
      <c r="Y1155" s="49" t="s">
        <v>309</v>
      </c>
      <c r="Z1155" s="50" t="s">
        <v>3523</v>
      </c>
      <c r="AA1155" s="38"/>
      <c r="AB1155" s="38"/>
      <c r="AC1155" s="38"/>
      <c r="AD1155" s="51">
        <v>58</v>
      </c>
      <c r="AE1155" s="51">
        <v>58</v>
      </c>
      <c r="AF1155" s="48" t="s">
        <v>203</v>
      </c>
      <c r="AG1155" s="38" t="s">
        <v>204</v>
      </c>
      <c r="AH1155" s="52"/>
      <c r="AI1155" s="38"/>
      <c r="AJ1155" s="38"/>
    </row>
    <row r="1156" spans="1:36" ht="16.2">
      <c r="A1156" s="42" t="s">
        <v>302</v>
      </c>
      <c r="B1156" s="42">
        <v>709725</v>
      </c>
      <c r="C1156" s="42" t="s">
        <v>3518</v>
      </c>
      <c r="D1156" s="42">
        <v>13207611</v>
      </c>
      <c r="E1156" s="43" t="s">
        <v>3519</v>
      </c>
      <c r="F1156" s="42" t="s">
        <v>3368</v>
      </c>
      <c r="G1156" s="42" t="s">
        <v>195</v>
      </c>
      <c r="H1156" s="42"/>
      <c r="I1156" s="42"/>
      <c r="J1156" s="42">
        <v>13207611</v>
      </c>
      <c r="K1156" s="42"/>
      <c r="L1156" s="44">
        <v>45293</v>
      </c>
      <c r="M1156" s="44">
        <v>45293</v>
      </c>
      <c r="N1156" s="42" t="s">
        <v>763</v>
      </c>
      <c r="O1156" s="42">
        <v>0</v>
      </c>
      <c r="P1156" s="42">
        <v>20062055</v>
      </c>
      <c r="Q1156" s="42" t="s">
        <v>3524</v>
      </c>
      <c r="R1156" s="45">
        <v>410</v>
      </c>
      <c r="S1156" s="42">
        <v>0</v>
      </c>
      <c r="T1156" s="47" t="s">
        <v>198</v>
      </c>
      <c r="U1156" s="48" t="s">
        <v>199</v>
      </c>
      <c r="V1156" s="38"/>
      <c r="W1156" s="48" t="s">
        <v>195</v>
      </c>
      <c r="X1156" s="38" t="s">
        <v>308</v>
      </c>
      <c r="Y1156" s="49" t="s">
        <v>309</v>
      </c>
      <c r="Z1156" s="50" t="s">
        <v>3525</v>
      </c>
      <c r="AA1156" s="38"/>
      <c r="AB1156" s="38"/>
      <c r="AC1156" s="38"/>
      <c r="AD1156" s="51">
        <v>58</v>
      </c>
      <c r="AE1156" s="51">
        <v>58</v>
      </c>
      <c r="AF1156" s="48" t="s">
        <v>203</v>
      </c>
      <c r="AG1156" s="38" t="s">
        <v>204</v>
      </c>
      <c r="AH1156" s="52"/>
      <c r="AI1156" s="38"/>
      <c r="AJ1156" s="38"/>
    </row>
    <row r="1157" spans="1:36" ht="16.2">
      <c r="A1157" s="53" t="s">
        <v>302</v>
      </c>
      <c r="B1157" s="53">
        <v>709725</v>
      </c>
      <c r="C1157" s="53" t="s">
        <v>3518</v>
      </c>
      <c r="D1157" s="53">
        <v>13207611</v>
      </c>
      <c r="E1157" s="54" t="s">
        <v>3519</v>
      </c>
      <c r="F1157" s="53" t="s">
        <v>3371</v>
      </c>
      <c r="G1157" s="53" t="s">
        <v>195</v>
      </c>
      <c r="H1157" s="53"/>
      <c r="I1157" s="53"/>
      <c r="J1157" s="53">
        <v>13207611</v>
      </c>
      <c r="K1157" s="53"/>
      <c r="L1157" s="55">
        <v>45293</v>
      </c>
      <c r="M1157" s="55">
        <v>45293</v>
      </c>
      <c r="N1157" s="53" t="s">
        <v>763</v>
      </c>
      <c r="O1157" s="53">
        <v>0</v>
      </c>
      <c r="P1157" s="53">
        <v>20062055</v>
      </c>
      <c r="Q1157" s="53" t="s">
        <v>3526</v>
      </c>
      <c r="R1157" s="45">
        <v>410</v>
      </c>
      <c r="S1157" s="53">
        <v>0</v>
      </c>
      <c r="T1157" s="47" t="s">
        <v>198</v>
      </c>
      <c r="U1157" s="48" t="s">
        <v>199</v>
      </c>
      <c r="V1157" s="38"/>
      <c r="W1157" s="48" t="s">
        <v>195</v>
      </c>
      <c r="X1157" s="38" t="s">
        <v>308</v>
      </c>
      <c r="Y1157" s="49" t="s">
        <v>309</v>
      </c>
      <c r="Z1157" s="50" t="s">
        <v>3527</v>
      </c>
      <c r="AA1157" s="38"/>
      <c r="AB1157" s="38"/>
      <c r="AC1157" s="38"/>
      <c r="AD1157" s="51">
        <v>58</v>
      </c>
      <c r="AE1157" s="51">
        <v>58</v>
      </c>
      <c r="AF1157" s="48" t="s">
        <v>203</v>
      </c>
      <c r="AG1157" s="38" t="s">
        <v>204</v>
      </c>
      <c r="AH1157" s="52"/>
      <c r="AI1157" s="38"/>
      <c r="AJ1157" s="38"/>
    </row>
    <row r="1158" spans="1:36" ht="16.2">
      <c r="A1158" s="42" t="s">
        <v>302</v>
      </c>
      <c r="B1158" s="42">
        <v>709725</v>
      </c>
      <c r="C1158" s="42" t="s">
        <v>3518</v>
      </c>
      <c r="D1158" s="42">
        <v>13207611</v>
      </c>
      <c r="E1158" s="43" t="s">
        <v>3519</v>
      </c>
      <c r="F1158" s="42" t="s">
        <v>3374</v>
      </c>
      <c r="G1158" s="42" t="s">
        <v>195</v>
      </c>
      <c r="H1158" s="42"/>
      <c r="I1158" s="42"/>
      <c r="J1158" s="42">
        <v>13207611</v>
      </c>
      <c r="K1158" s="42"/>
      <c r="L1158" s="44">
        <v>45293</v>
      </c>
      <c r="M1158" s="44">
        <v>45293</v>
      </c>
      <c r="N1158" s="42" t="s">
        <v>763</v>
      </c>
      <c r="O1158" s="42">
        <v>0</v>
      </c>
      <c r="P1158" s="42">
        <v>20062055</v>
      </c>
      <c r="Q1158" s="42" t="s">
        <v>3528</v>
      </c>
      <c r="R1158" s="45">
        <v>410</v>
      </c>
      <c r="S1158" s="42">
        <v>0</v>
      </c>
      <c r="T1158" s="47" t="s">
        <v>198</v>
      </c>
      <c r="U1158" s="48" t="s">
        <v>199</v>
      </c>
      <c r="V1158" s="38"/>
      <c r="W1158" s="48" t="s">
        <v>195</v>
      </c>
      <c r="X1158" s="38" t="s">
        <v>308</v>
      </c>
      <c r="Y1158" s="49" t="s">
        <v>309</v>
      </c>
      <c r="Z1158" s="50" t="s">
        <v>3529</v>
      </c>
      <c r="AA1158" s="38"/>
      <c r="AB1158" s="38"/>
      <c r="AC1158" s="38"/>
      <c r="AD1158" s="51">
        <v>58</v>
      </c>
      <c r="AE1158" s="51">
        <v>58</v>
      </c>
      <c r="AF1158" s="48" t="s">
        <v>203</v>
      </c>
      <c r="AG1158" s="38" t="s">
        <v>204</v>
      </c>
      <c r="AH1158" s="52"/>
      <c r="AI1158" s="38"/>
      <c r="AJ1158" s="38"/>
    </row>
    <row r="1159" spans="1:36" ht="16.2">
      <c r="A1159" s="53" t="s">
        <v>302</v>
      </c>
      <c r="B1159" s="53">
        <v>709725</v>
      </c>
      <c r="C1159" s="53" t="s">
        <v>3518</v>
      </c>
      <c r="D1159" s="53">
        <v>13207611</v>
      </c>
      <c r="E1159" s="54" t="s">
        <v>3519</v>
      </c>
      <c r="F1159" s="53" t="s">
        <v>655</v>
      </c>
      <c r="G1159" s="53" t="s">
        <v>195</v>
      </c>
      <c r="H1159" s="53"/>
      <c r="I1159" s="53"/>
      <c r="J1159" s="53">
        <v>13207611</v>
      </c>
      <c r="K1159" s="53"/>
      <c r="L1159" s="55">
        <v>45293</v>
      </c>
      <c r="M1159" s="55">
        <v>45293</v>
      </c>
      <c r="N1159" s="53" t="s">
        <v>763</v>
      </c>
      <c r="O1159" s="53">
        <v>0</v>
      </c>
      <c r="P1159" s="53">
        <v>20062055</v>
      </c>
      <c r="Q1159" s="53" t="s">
        <v>3530</v>
      </c>
      <c r="R1159" s="45">
        <v>410</v>
      </c>
      <c r="S1159" s="53">
        <v>0</v>
      </c>
      <c r="T1159" s="47" t="s">
        <v>198</v>
      </c>
      <c r="U1159" s="48" t="s">
        <v>199</v>
      </c>
      <c r="V1159" s="38"/>
      <c r="W1159" s="48" t="s">
        <v>195</v>
      </c>
      <c r="X1159" s="38" t="s">
        <v>308</v>
      </c>
      <c r="Y1159" s="49" t="s">
        <v>309</v>
      </c>
      <c r="Z1159" s="50" t="s">
        <v>3531</v>
      </c>
      <c r="AA1159" s="38"/>
      <c r="AB1159" s="38"/>
      <c r="AC1159" s="38"/>
      <c r="AD1159" s="51">
        <v>58</v>
      </c>
      <c r="AE1159" s="51">
        <v>58</v>
      </c>
      <c r="AF1159" s="48" t="s">
        <v>203</v>
      </c>
      <c r="AG1159" s="38" t="s">
        <v>204</v>
      </c>
      <c r="AH1159" s="52"/>
      <c r="AI1159" s="38"/>
      <c r="AJ1159" s="38"/>
    </row>
    <row r="1160" spans="1:36" ht="16.2">
      <c r="A1160" s="42" t="s">
        <v>302</v>
      </c>
      <c r="B1160" s="42">
        <v>709725</v>
      </c>
      <c r="C1160" s="42" t="s">
        <v>3518</v>
      </c>
      <c r="D1160" s="42">
        <v>13207611</v>
      </c>
      <c r="E1160" s="43" t="s">
        <v>3519</v>
      </c>
      <c r="F1160" s="42" t="s">
        <v>944</v>
      </c>
      <c r="G1160" s="42" t="s">
        <v>195</v>
      </c>
      <c r="H1160" s="42"/>
      <c r="I1160" s="42"/>
      <c r="J1160" s="42">
        <v>13207611</v>
      </c>
      <c r="K1160" s="42"/>
      <c r="L1160" s="44">
        <v>45293</v>
      </c>
      <c r="M1160" s="44">
        <v>45293</v>
      </c>
      <c r="N1160" s="42" t="s">
        <v>763</v>
      </c>
      <c r="O1160" s="42">
        <v>0</v>
      </c>
      <c r="P1160" s="42">
        <v>20062055</v>
      </c>
      <c r="Q1160" s="42" t="s">
        <v>3532</v>
      </c>
      <c r="R1160" s="45">
        <v>410</v>
      </c>
      <c r="S1160" s="42">
        <v>0</v>
      </c>
      <c r="T1160" s="47" t="s">
        <v>198</v>
      </c>
      <c r="U1160" s="48" t="s">
        <v>199</v>
      </c>
      <c r="V1160" s="38"/>
      <c r="W1160" s="48" t="s">
        <v>195</v>
      </c>
      <c r="X1160" s="38" t="s">
        <v>308</v>
      </c>
      <c r="Y1160" s="49" t="s">
        <v>309</v>
      </c>
      <c r="Z1160" s="50" t="s">
        <v>3533</v>
      </c>
      <c r="AA1160" s="38"/>
      <c r="AB1160" s="38"/>
      <c r="AC1160" s="38"/>
      <c r="AD1160" s="51">
        <v>58</v>
      </c>
      <c r="AE1160" s="51">
        <v>58</v>
      </c>
      <c r="AF1160" s="48" t="s">
        <v>203</v>
      </c>
      <c r="AG1160" s="38" t="s">
        <v>204</v>
      </c>
      <c r="AH1160" s="52"/>
      <c r="AI1160" s="38"/>
      <c r="AJ1160" s="38"/>
    </row>
    <row r="1161" spans="1:36" ht="16.2">
      <c r="A1161" s="53" t="s">
        <v>302</v>
      </c>
      <c r="B1161" s="53">
        <v>709725</v>
      </c>
      <c r="C1161" s="53" t="s">
        <v>3518</v>
      </c>
      <c r="D1161" s="53">
        <v>13207611</v>
      </c>
      <c r="E1161" s="54" t="s">
        <v>3519</v>
      </c>
      <c r="F1161" s="53" t="s">
        <v>3381</v>
      </c>
      <c r="G1161" s="53" t="s">
        <v>195</v>
      </c>
      <c r="H1161" s="53"/>
      <c r="I1161" s="53"/>
      <c r="J1161" s="53">
        <v>13207611</v>
      </c>
      <c r="K1161" s="53"/>
      <c r="L1161" s="55">
        <v>45293</v>
      </c>
      <c r="M1161" s="55">
        <v>45293</v>
      </c>
      <c r="N1161" s="53" t="s">
        <v>763</v>
      </c>
      <c r="O1161" s="53">
        <v>0</v>
      </c>
      <c r="P1161" s="53">
        <v>20062055</v>
      </c>
      <c r="Q1161" s="53" t="s">
        <v>3534</v>
      </c>
      <c r="R1161" s="45">
        <v>410</v>
      </c>
      <c r="S1161" s="56">
        <v>0.01</v>
      </c>
      <c r="T1161" s="47" t="s">
        <v>198</v>
      </c>
      <c r="U1161" s="48" t="s">
        <v>199</v>
      </c>
      <c r="V1161" s="38"/>
      <c r="W1161" s="48" t="s">
        <v>195</v>
      </c>
      <c r="X1161" s="38" t="s">
        <v>308</v>
      </c>
      <c r="Y1161" s="49" t="s">
        <v>309</v>
      </c>
      <c r="Z1161" s="50" t="s">
        <v>3535</v>
      </c>
      <c r="AA1161" s="38"/>
      <c r="AB1161" s="38"/>
      <c r="AC1161" s="38"/>
      <c r="AD1161" s="51">
        <v>58</v>
      </c>
      <c r="AE1161" s="51">
        <v>58</v>
      </c>
      <c r="AF1161" s="48" t="s">
        <v>203</v>
      </c>
      <c r="AG1161" s="38" t="s">
        <v>204</v>
      </c>
      <c r="AH1161" s="52"/>
      <c r="AI1161" s="38"/>
      <c r="AJ1161" s="38"/>
    </row>
    <row r="1162" spans="1:36" ht="16.2">
      <c r="A1162" s="42" t="s">
        <v>302</v>
      </c>
      <c r="B1162" s="42">
        <v>709727</v>
      </c>
      <c r="C1162" s="42" t="s">
        <v>3536</v>
      </c>
      <c r="D1162" s="42">
        <v>13207613</v>
      </c>
      <c r="E1162" s="43" t="s">
        <v>3519</v>
      </c>
      <c r="F1162" s="42" t="s">
        <v>3537</v>
      </c>
      <c r="G1162" s="42" t="s">
        <v>195</v>
      </c>
      <c r="H1162" s="42"/>
      <c r="I1162" s="42"/>
      <c r="J1162" s="42">
        <v>13207613</v>
      </c>
      <c r="K1162" s="42"/>
      <c r="L1162" s="44">
        <v>45293</v>
      </c>
      <c r="M1162" s="44">
        <v>45293</v>
      </c>
      <c r="N1162" s="42" t="s">
        <v>763</v>
      </c>
      <c r="O1162" s="42">
        <v>0</v>
      </c>
      <c r="P1162" s="42">
        <v>20062055</v>
      </c>
      <c r="Q1162" s="42" t="s">
        <v>3538</v>
      </c>
      <c r="R1162" s="45">
        <v>410</v>
      </c>
      <c r="S1162" s="46">
        <v>0.01</v>
      </c>
      <c r="T1162" s="47" t="s">
        <v>198</v>
      </c>
      <c r="U1162" s="48" t="s">
        <v>199</v>
      </c>
      <c r="V1162" s="38"/>
      <c r="W1162" s="48" t="s">
        <v>195</v>
      </c>
      <c r="X1162" s="38" t="s">
        <v>308</v>
      </c>
      <c r="Y1162" s="49" t="s">
        <v>309</v>
      </c>
      <c r="Z1162" s="50" t="s">
        <v>3539</v>
      </c>
      <c r="AA1162" s="38"/>
      <c r="AB1162" s="38"/>
      <c r="AC1162" s="38"/>
      <c r="AD1162" s="51">
        <v>58</v>
      </c>
      <c r="AE1162" s="51">
        <v>58</v>
      </c>
      <c r="AF1162" s="48" t="s">
        <v>203</v>
      </c>
      <c r="AG1162" s="38" t="s">
        <v>204</v>
      </c>
      <c r="AH1162" s="52"/>
      <c r="AI1162" s="38"/>
      <c r="AJ1162" s="38"/>
    </row>
    <row r="1163" spans="1:36" ht="16.2">
      <c r="A1163" s="53" t="s">
        <v>302</v>
      </c>
      <c r="B1163" s="53">
        <v>709726</v>
      </c>
      <c r="C1163" s="53" t="s">
        <v>3518</v>
      </c>
      <c r="D1163" s="53">
        <v>13207612</v>
      </c>
      <c r="E1163" s="54" t="s">
        <v>3519</v>
      </c>
      <c r="F1163" s="53" t="s">
        <v>3540</v>
      </c>
      <c r="G1163" s="53" t="s">
        <v>195</v>
      </c>
      <c r="H1163" s="53"/>
      <c r="I1163" s="53"/>
      <c r="J1163" s="53">
        <v>13207612</v>
      </c>
      <c r="K1163" s="53"/>
      <c r="L1163" s="55">
        <v>45293</v>
      </c>
      <c r="M1163" s="55">
        <v>45293</v>
      </c>
      <c r="N1163" s="53" t="s">
        <v>763</v>
      </c>
      <c r="O1163" s="53">
        <v>0</v>
      </c>
      <c r="P1163" s="53">
        <v>20062055</v>
      </c>
      <c r="Q1163" s="53" t="s">
        <v>3541</v>
      </c>
      <c r="R1163" s="45">
        <v>410</v>
      </c>
      <c r="S1163" s="56">
        <v>0.01</v>
      </c>
      <c r="T1163" s="47" t="s">
        <v>198</v>
      </c>
      <c r="U1163" s="48" t="s">
        <v>199</v>
      </c>
      <c r="V1163" s="38"/>
      <c r="W1163" s="48" t="s">
        <v>195</v>
      </c>
      <c r="X1163" s="38" t="s">
        <v>308</v>
      </c>
      <c r="Y1163" s="49" t="s">
        <v>309</v>
      </c>
      <c r="Z1163" s="50" t="s">
        <v>3542</v>
      </c>
      <c r="AA1163" s="38"/>
      <c r="AB1163" s="38"/>
      <c r="AC1163" s="38"/>
      <c r="AD1163" s="51">
        <v>58</v>
      </c>
      <c r="AE1163" s="51">
        <v>58</v>
      </c>
      <c r="AF1163" s="48" t="s">
        <v>203</v>
      </c>
      <c r="AG1163" s="38" t="s">
        <v>204</v>
      </c>
      <c r="AH1163" s="52"/>
      <c r="AI1163" s="38"/>
      <c r="AJ1163" s="38"/>
    </row>
    <row r="1164" spans="1:36" ht="16.2">
      <c r="A1164" s="42" t="s">
        <v>577</v>
      </c>
      <c r="B1164" s="42">
        <v>69963404</v>
      </c>
      <c r="C1164" s="42" t="s">
        <v>578</v>
      </c>
      <c r="D1164" s="42">
        <v>13207573</v>
      </c>
      <c r="E1164" s="43" t="s">
        <v>3543</v>
      </c>
      <c r="F1164" s="42" t="s">
        <v>580</v>
      </c>
      <c r="G1164" s="42" t="s">
        <v>195</v>
      </c>
      <c r="H1164" s="42"/>
      <c r="I1164" s="42"/>
      <c r="J1164" s="42">
        <v>13207573</v>
      </c>
      <c r="K1164" s="42"/>
      <c r="L1164" s="44">
        <v>45293</v>
      </c>
      <c r="M1164" s="44">
        <v>45293</v>
      </c>
      <c r="N1164" s="42" t="s">
        <v>581</v>
      </c>
      <c r="O1164" s="42">
        <v>0</v>
      </c>
      <c r="P1164" s="42">
        <v>20010003</v>
      </c>
      <c r="Q1164" s="42" t="s">
        <v>3544</v>
      </c>
      <c r="R1164" s="45">
        <v>410</v>
      </c>
      <c r="S1164" s="46">
        <v>0.01</v>
      </c>
      <c r="T1164" s="47" t="s">
        <v>198</v>
      </c>
      <c r="U1164" s="48" t="s">
        <v>199</v>
      </c>
      <c r="V1164" s="38"/>
      <c r="W1164" s="48" t="s">
        <v>195</v>
      </c>
      <c r="X1164" s="38" t="s">
        <v>583</v>
      </c>
      <c r="Y1164" s="49" t="s">
        <v>584</v>
      </c>
      <c r="Z1164" s="50" t="s">
        <v>3545</v>
      </c>
      <c r="AA1164" s="38"/>
      <c r="AB1164" s="38"/>
      <c r="AC1164" s="38"/>
      <c r="AD1164" s="51">
        <v>35</v>
      </c>
      <c r="AE1164" s="51">
        <v>35</v>
      </c>
      <c r="AF1164" s="48" t="s">
        <v>203</v>
      </c>
      <c r="AG1164" s="38" t="s">
        <v>204</v>
      </c>
      <c r="AH1164" s="52"/>
      <c r="AI1164" s="38"/>
      <c r="AJ1164" s="38"/>
    </row>
    <row r="1165" spans="1:36" ht="16.2">
      <c r="A1165" s="53" t="s">
        <v>577</v>
      </c>
      <c r="B1165" s="53">
        <v>69963404</v>
      </c>
      <c r="C1165" s="53" t="s">
        <v>578</v>
      </c>
      <c r="D1165" s="53">
        <v>13207573</v>
      </c>
      <c r="E1165" s="54" t="s">
        <v>3543</v>
      </c>
      <c r="F1165" s="53" t="s">
        <v>586</v>
      </c>
      <c r="G1165" s="53" t="s">
        <v>195</v>
      </c>
      <c r="H1165" s="53"/>
      <c r="I1165" s="53"/>
      <c r="J1165" s="53">
        <v>13207573</v>
      </c>
      <c r="K1165" s="53"/>
      <c r="L1165" s="55">
        <v>45293</v>
      </c>
      <c r="M1165" s="55">
        <v>45293</v>
      </c>
      <c r="N1165" s="53" t="s">
        <v>581</v>
      </c>
      <c r="O1165" s="53">
        <v>0</v>
      </c>
      <c r="P1165" s="53">
        <v>20010003</v>
      </c>
      <c r="Q1165" s="53" t="s">
        <v>3546</v>
      </c>
      <c r="R1165" s="45">
        <v>410</v>
      </c>
      <c r="S1165" s="56">
        <v>0.01</v>
      </c>
      <c r="T1165" s="47" t="s">
        <v>198</v>
      </c>
      <c r="U1165" s="48" t="s">
        <v>199</v>
      </c>
      <c r="V1165" s="38"/>
      <c r="W1165" s="48" t="s">
        <v>195</v>
      </c>
      <c r="X1165" s="38" t="s">
        <v>583</v>
      </c>
      <c r="Y1165" s="49" t="s">
        <v>584</v>
      </c>
      <c r="Z1165" s="50" t="s">
        <v>3547</v>
      </c>
      <c r="AA1165" s="38"/>
      <c r="AB1165" s="38"/>
      <c r="AC1165" s="38"/>
      <c r="AD1165" s="51">
        <v>35</v>
      </c>
      <c r="AE1165" s="51">
        <v>35</v>
      </c>
      <c r="AF1165" s="48" t="s">
        <v>203</v>
      </c>
      <c r="AG1165" s="38" t="s">
        <v>204</v>
      </c>
      <c r="AH1165" s="52"/>
      <c r="AI1165" s="38"/>
      <c r="AJ1165" s="38"/>
    </row>
    <row r="1166" spans="1:36" ht="16.2">
      <c r="A1166" s="42" t="s">
        <v>577</v>
      </c>
      <c r="B1166" s="42">
        <v>69963404</v>
      </c>
      <c r="C1166" s="42" t="s">
        <v>578</v>
      </c>
      <c r="D1166" s="42">
        <v>13207573</v>
      </c>
      <c r="E1166" s="43" t="s">
        <v>3543</v>
      </c>
      <c r="F1166" s="42" t="s">
        <v>589</v>
      </c>
      <c r="G1166" s="42" t="s">
        <v>195</v>
      </c>
      <c r="H1166" s="42"/>
      <c r="I1166" s="42"/>
      <c r="J1166" s="42">
        <v>13207573</v>
      </c>
      <c r="K1166" s="42"/>
      <c r="L1166" s="44">
        <v>45293</v>
      </c>
      <c r="M1166" s="44">
        <v>45293</v>
      </c>
      <c r="N1166" s="42" t="s">
        <v>581</v>
      </c>
      <c r="O1166" s="46">
        <v>0.01</v>
      </c>
      <c r="P1166" s="42">
        <v>20010003</v>
      </c>
      <c r="Q1166" s="42" t="s">
        <v>3548</v>
      </c>
      <c r="R1166" s="45">
        <v>410</v>
      </c>
      <c r="S1166" s="46">
        <v>0.01</v>
      </c>
      <c r="T1166" s="47" t="s">
        <v>198</v>
      </c>
      <c r="U1166" s="48" t="s">
        <v>199</v>
      </c>
      <c r="V1166" s="38"/>
      <c r="W1166" s="48" t="s">
        <v>195</v>
      </c>
      <c r="X1166" s="38" t="s">
        <v>583</v>
      </c>
      <c r="Y1166" s="49" t="s">
        <v>584</v>
      </c>
      <c r="Z1166" s="50" t="s">
        <v>3549</v>
      </c>
      <c r="AA1166" s="38"/>
      <c r="AB1166" s="38"/>
      <c r="AC1166" s="38"/>
      <c r="AD1166" s="51">
        <v>35</v>
      </c>
      <c r="AE1166" s="51">
        <v>35</v>
      </c>
      <c r="AF1166" s="48" t="s">
        <v>203</v>
      </c>
      <c r="AG1166" s="38" t="s">
        <v>204</v>
      </c>
      <c r="AH1166" s="52"/>
      <c r="AI1166" s="38"/>
      <c r="AJ1166" s="38"/>
    </row>
    <row r="1167" spans="1:36" ht="16.2">
      <c r="A1167" s="53" t="s">
        <v>577</v>
      </c>
      <c r="B1167" s="53">
        <v>69963404</v>
      </c>
      <c r="C1167" s="53" t="s">
        <v>578</v>
      </c>
      <c r="D1167" s="53">
        <v>13207573</v>
      </c>
      <c r="E1167" s="54" t="s">
        <v>3543</v>
      </c>
      <c r="F1167" s="53" t="s">
        <v>592</v>
      </c>
      <c r="G1167" s="53" t="s">
        <v>195</v>
      </c>
      <c r="H1167" s="53"/>
      <c r="I1167" s="53"/>
      <c r="J1167" s="53">
        <v>13207573</v>
      </c>
      <c r="K1167" s="53"/>
      <c r="L1167" s="55">
        <v>45293</v>
      </c>
      <c r="M1167" s="55">
        <v>45293</v>
      </c>
      <c r="N1167" s="53" t="s">
        <v>581</v>
      </c>
      <c r="O1167" s="56">
        <v>0.01</v>
      </c>
      <c r="P1167" s="53">
        <v>20010003</v>
      </c>
      <c r="Q1167" s="53" t="s">
        <v>3550</v>
      </c>
      <c r="R1167" s="45">
        <v>410</v>
      </c>
      <c r="S1167" s="56">
        <v>0.01</v>
      </c>
      <c r="T1167" s="47" t="s">
        <v>198</v>
      </c>
      <c r="U1167" s="48" t="s">
        <v>199</v>
      </c>
      <c r="V1167" s="38"/>
      <c r="W1167" s="48" t="s">
        <v>195</v>
      </c>
      <c r="X1167" s="38" t="s">
        <v>583</v>
      </c>
      <c r="Y1167" s="49" t="s">
        <v>584</v>
      </c>
      <c r="Z1167" s="50" t="s">
        <v>3551</v>
      </c>
      <c r="AA1167" s="38"/>
      <c r="AB1167" s="38"/>
      <c r="AC1167" s="38"/>
      <c r="AD1167" s="51">
        <v>35</v>
      </c>
      <c r="AE1167" s="51">
        <v>35</v>
      </c>
      <c r="AF1167" s="48" t="s">
        <v>203</v>
      </c>
      <c r="AG1167" s="38" t="s">
        <v>204</v>
      </c>
      <c r="AH1167" s="52"/>
      <c r="AI1167" s="38"/>
      <c r="AJ1167" s="38"/>
    </row>
    <row r="1168" spans="1:36" ht="16.2">
      <c r="A1168" s="42" t="s">
        <v>577</v>
      </c>
      <c r="B1168" s="42">
        <v>69963404</v>
      </c>
      <c r="C1168" s="42" t="s">
        <v>578</v>
      </c>
      <c r="D1168" s="42">
        <v>13207573</v>
      </c>
      <c r="E1168" s="43" t="s">
        <v>3543</v>
      </c>
      <c r="F1168" s="42" t="s">
        <v>3552</v>
      </c>
      <c r="G1168" s="42" t="s">
        <v>195</v>
      </c>
      <c r="H1168" s="42"/>
      <c r="I1168" s="42"/>
      <c r="J1168" s="42">
        <v>13207573</v>
      </c>
      <c r="K1168" s="42"/>
      <c r="L1168" s="44">
        <v>45293</v>
      </c>
      <c r="M1168" s="44">
        <v>45293</v>
      </c>
      <c r="N1168" s="42" t="s">
        <v>581</v>
      </c>
      <c r="O1168" s="42">
        <v>0</v>
      </c>
      <c r="P1168" s="42">
        <v>20010003</v>
      </c>
      <c r="Q1168" s="42" t="s">
        <v>3553</v>
      </c>
      <c r="R1168" s="45">
        <v>410</v>
      </c>
      <c r="S1168" s="46">
        <v>0.01</v>
      </c>
      <c r="T1168" s="47" t="s">
        <v>198</v>
      </c>
      <c r="U1168" s="48" t="s">
        <v>199</v>
      </c>
      <c r="V1168" s="38"/>
      <c r="W1168" s="48" t="s">
        <v>195</v>
      </c>
      <c r="X1168" s="38" t="s">
        <v>583</v>
      </c>
      <c r="Y1168" s="49" t="s">
        <v>584</v>
      </c>
      <c r="Z1168" s="50" t="s">
        <v>3554</v>
      </c>
      <c r="AA1168" s="38"/>
      <c r="AB1168" s="38"/>
      <c r="AC1168" s="38"/>
      <c r="AD1168" s="51">
        <v>35</v>
      </c>
      <c r="AE1168" s="51">
        <v>35</v>
      </c>
      <c r="AF1168" s="48" t="s">
        <v>203</v>
      </c>
      <c r="AG1168" s="38" t="s">
        <v>204</v>
      </c>
      <c r="AH1168" s="52"/>
      <c r="AI1168" s="38"/>
      <c r="AJ1168" s="38"/>
    </row>
    <row r="1169" spans="1:36" ht="16.2">
      <c r="A1169" s="53" t="s">
        <v>577</v>
      </c>
      <c r="B1169" s="53">
        <v>69963413</v>
      </c>
      <c r="C1169" s="53" t="s">
        <v>578</v>
      </c>
      <c r="D1169" s="53">
        <v>13207581</v>
      </c>
      <c r="E1169" s="54" t="s">
        <v>3555</v>
      </c>
      <c r="F1169" s="53" t="s">
        <v>580</v>
      </c>
      <c r="G1169" s="53"/>
      <c r="H1169" s="53"/>
      <c r="I1169" s="53"/>
      <c r="J1169" s="53"/>
      <c r="K1169" s="53"/>
      <c r="L1169" s="55">
        <v>45293</v>
      </c>
      <c r="M1169" s="55">
        <v>45293</v>
      </c>
      <c r="N1169" s="53" t="s">
        <v>612</v>
      </c>
      <c r="O1169" s="56">
        <v>0.01</v>
      </c>
      <c r="P1169" s="53"/>
      <c r="Q1169" s="53" t="s">
        <v>3556</v>
      </c>
      <c r="R1169" s="45">
        <v>410</v>
      </c>
      <c r="S1169" s="56">
        <v>0.01</v>
      </c>
      <c r="T1169" s="47" t="s">
        <v>401</v>
      </c>
      <c r="U1169" s="48" t="s">
        <v>199</v>
      </c>
      <c r="V1169" s="38"/>
      <c r="W1169" s="38"/>
      <c r="X1169" s="38" t="s">
        <v>583</v>
      </c>
      <c r="Y1169" s="49" t="s">
        <v>584</v>
      </c>
      <c r="Z1169" s="50" t="s">
        <v>3557</v>
      </c>
      <c r="AA1169" s="38"/>
      <c r="AB1169" s="38"/>
      <c r="AC1169" s="38"/>
      <c r="AD1169" s="51">
        <v>24</v>
      </c>
      <c r="AE1169" s="51">
        <v>0</v>
      </c>
      <c r="AF1169" s="48" t="s">
        <v>195</v>
      </c>
      <c r="AG1169" s="38" t="s">
        <v>403</v>
      </c>
      <c r="AH1169" s="52"/>
      <c r="AI1169" s="38"/>
      <c r="AJ1169" s="38"/>
    </row>
    <row r="1170" spans="1:36" ht="16.2">
      <c r="A1170" s="42" t="s">
        <v>577</v>
      </c>
      <c r="B1170" s="42">
        <v>69963413</v>
      </c>
      <c r="C1170" s="42" t="s">
        <v>578</v>
      </c>
      <c r="D1170" s="42">
        <v>13207581</v>
      </c>
      <c r="E1170" s="43" t="s">
        <v>3555</v>
      </c>
      <c r="F1170" s="42" t="s">
        <v>586</v>
      </c>
      <c r="G1170" s="42"/>
      <c r="H1170" s="42"/>
      <c r="I1170" s="42"/>
      <c r="J1170" s="42"/>
      <c r="K1170" s="42"/>
      <c r="L1170" s="44">
        <v>45293</v>
      </c>
      <c r="M1170" s="44">
        <v>45293</v>
      </c>
      <c r="N1170" s="42" t="s">
        <v>612</v>
      </c>
      <c r="O1170" s="46">
        <v>0.01</v>
      </c>
      <c r="P1170" s="42"/>
      <c r="Q1170" s="42" t="s">
        <v>3558</v>
      </c>
      <c r="R1170" s="45">
        <v>410</v>
      </c>
      <c r="S1170" s="46">
        <v>0.01</v>
      </c>
      <c r="T1170" s="47" t="s">
        <v>401</v>
      </c>
      <c r="U1170" s="48" t="s">
        <v>199</v>
      </c>
      <c r="V1170" s="38"/>
      <c r="W1170" s="38"/>
      <c r="X1170" s="38" t="s">
        <v>583</v>
      </c>
      <c r="Y1170" s="49" t="s">
        <v>584</v>
      </c>
      <c r="Z1170" s="50" t="s">
        <v>3559</v>
      </c>
      <c r="AA1170" s="38"/>
      <c r="AB1170" s="38"/>
      <c r="AC1170" s="38"/>
      <c r="AD1170" s="51">
        <v>24</v>
      </c>
      <c r="AE1170" s="51">
        <v>0</v>
      </c>
      <c r="AF1170" s="48" t="s">
        <v>195</v>
      </c>
      <c r="AG1170" s="38" t="s">
        <v>403</v>
      </c>
      <c r="AH1170" s="52"/>
      <c r="AI1170" s="38"/>
      <c r="AJ1170" s="38"/>
    </row>
    <row r="1171" spans="1:36" ht="16.2">
      <c r="A1171" s="53" t="s">
        <v>577</v>
      </c>
      <c r="B1171" s="53">
        <v>69963413</v>
      </c>
      <c r="C1171" s="53" t="s">
        <v>578</v>
      </c>
      <c r="D1171" s="53">
        <v>13207581</v>
      </c>
      <c r="E1171" s="54" t="s">
        <v>3555</v>
      </c>
      <c r="F1171" s="53" t="s">
        <v>589</v>
      </c>
      <c r="G1171" s="53"/>
      <c r="H1171" s="53"/>
      <c r="I1171" s="53"/>
      <c r="J1171" s="53"/>
      <c r="K1171" s="53"/>
      <c r="L1171" s="55">
        <v>45293</v>
      </c>
      <c r="M1171" s="55">
        <v>45293</v>
      </c>
      <c r="N1171" s="53" t="s">
        <v>612</v>
      </c>
      <c r="O1171" s="56">
        <v>0.01</v>
      </c>
      <c r="P1171" s="53"/>
      <c r="Q1171" s="53" t="s">
        <v>3560</v>
      </c>
      <c r="R1171" s="45">
        <v>410</v>
      </c>
      <c r="S1171" s="56">
        <v>0.01</v>
      </c>
      <c r="T1171" s="47" t="s">
        <v>401</v>
      </c>
      <c r="U1171" s="48" t="s">
        <v>199</v>
      </c>
      <c r="V1171" s="38"/>
      <c r="W1171" s="38"/>
      <c r="X1171" s="38" t="s">
        <v>583</v>
      </c>
      <c r="Y1171" s="49" t="s">
        <v>584</v>
      </c>
      <c r="Z1171" s="50" t="s">
        <v>3561</v>
      </c>
      <c r="AA1171" s="38"/>
      <c r="AB1171" s="38"/>
      <c r="AC1171" s="38"/>
      <c r="AD1171" s="51">
        <v>24</v>
      </c>
      <c r="AE1171" s="51">
        <v>0</v>
      </c>
      <c r="AF1171" s="48" t="s">
        <v>195</v>
      </c>
      <c r="AG1171" s="38" t="s">
        <v>403</v>
      </c>
      <c r="AH1171" s="52"/>
      <c r="AI1171" s="38"/>
      <c r="AJ1171" s="38"/>
    </row>
    <row r="1172" spans="1:36" ht="16.2">
      <c r="A1172" s="42" t="s">
        <v>577</v>
      </c>
      <c r="B1172" s="42">
        <v>69963413</v>
      </c>
      <c r="C1172" s="42" t="s">
        <v>578</v>
      </c>
      <c r="D1172" s="42">
        <v>13207581</v>
      </c>
      <c r="E1172" s="43" t="s">
        <v>3555</v>
      </c>
      <c r="F1172" s="42" t="s">
        <v>592</v>
      </c>
      <c r="G1172" s="42"/>
      <c r="H1172" s="42"/>
      <c r="I1172" s="42"/>
      <c r="J1172" s="42"/>
      <c r="K1172" s="42"/>
      <c r="L1172" s="44">
        <v>45293</v>
      </c>
      <c r="M1172" s="44">
        <v>45293</v>
      </c>
      <c r="N1172" s="42" t="s">
        <v>612</v>
      </c>
      <c r="O1172" s="42">
        <v>0</v>
      </c>
      <c r="P1172" s="42"/>
      <c r="Q1172" s="42" t="s">
        <v>3562</v>
      </c>
      <c r="R1172" s="45">
        <v>410</v>
      </c>
      <c r="S1172" s="42">
        <v>0</v>
      </c>
      <c r="T1172" s="47" t="s">
        <v>401</v>
      </c>
      <c r="U1172" s="48" t="s">
        <v>199</v>
      </c>
      <c r="V1172" s="38"/>
      <c r="W1172" s="38"/>
      <c r="X1172" s="38" t="s">
        <v>583</v>
      </c>
      <c r="Y1172" s="49" t="s">
        <v>584</v>
      </c>
      <c r="Z1172" s="50" t="s">
        <v>3563</v>
      </c>
      <c r="AA1172" s="38"/>
      <c r="AB1172" s="38"/>
      <c r="AC1172" s="38"/>
      <c r="AD1172" s="51">
        <v>24</v>
      </c>
      <c r="AE1172" s="51">
        <v>0</v>
      </c>
      <c r="AF1172" s="48" t="s">
        <v>195</v>
      </c>
      <c r="AG1172" s="38" t="s">
        <v>403</v>
      </c>
      <c r="AH1172" s="52"/>
      <c r="AI1172" s="38"/>
      <c r="AJ1172" s="38"/>
    </row>
    <row r="1173" spans="1:36" ht="16.2">
      <c r="A1173" s="53" t="s">
        <v>577</v>
      </c>
      <c r="B1173" s="53">
        <v>69963413</v>
      </c>
      <c r="C1173" s="53" t="s">
        <v>578</v>
      </c>
      <c r="D1173" s="53">
        <v>13207581</v>
      </c>
      <c r="E1173" s="54" t="s">
        <v>3555</v>
      </c>
      <c r="F1173" s="53" t="s">
        <v>3564</v>
      </c>
      <c r="G1173" s="53"/>
      <c r="H1173" s="53"/>
      <c r="I1173" s="53"/>
      <c r="J1173" s="53"/>
      <c r="K1173" s="53"/>
      <c r="L1173" s="55">
        <v>45293</v>
      </c>
      <c r="M1173" s="55">
        <v>45293</v>
      </c>
      <c r="N1173" s="53" t="s">
        <v>612</v>
      </c>
      <c r="O1173" s="53">
        <v>0</v>
      </c>
      <c r="P1173" s="53"/>
      <c r="Q1173" s="53" t="s">
        <v>3565</v>
      </c>
      <c r="R1173" s="45">
        <v>410</v>
      </c>
      <c r="S1173" s="53">
        <v>0</v>
      </c>
      <c r="T1173" s="47" t="s">
        <v>401</v>
      </c>
      <c r="U1173" s="48" t="s">
        <v>199</v>
      </c>
      <c r="V1173" s="38"/>
      <c r="W1173" s="38"/>
      <c r="X1173" s="38" t="s">
        <v>583</v>
      </c>
      <c r="Y1173" s="49" t="s">
        <v>584</v>
      </c>
      <c r="Z1173" s="50" t="s">
        <v>3566</v>
      </c>
      <c r="AA1173" s="38"/>
      <c r="AB1173" s="38"/>
      <c r="AC1173" s="38"/>
      <c r="AD1173" s="51">
        <v>24</v>
      </c>
      <c r="AE1173" s="51">
        <v>0</v>
      </c>
      <c r="AF1173" s="48" t="s">
        <v>195</v>
      </c>
      <c r="AG1173" s="38" t="s">
        <v>403</v>
      </c>
      <c r="AH1173" s="52"/>
      <c r="AI1173" s="38"/>
      <c r="AJ1173" s="38"/>
    </row>
    <row r="1174" spans="1:36" ht="16.2">
      <c r="A1174" s="42" t="s">
        <v>577</v>
      </c>
      <c r="B1174" s="42">
        <v>69963414</v>
      </c>
      <c r="C1174" s="42" t="s">
        <v>578</v>
      </c>
      <c r="D1174" s="42">
        <v>13207582</v>
      </c>
      <c r="E1174" s="43" t="s">
        <v>3567</v>
      </c>
      <c r="F1174" s="42" t="s">
        <v>580</v>
      </c>
      <c r="G1174" s="42"/>
      <c r="H1174" s="42"/>
      <c r="I1174" s="42"/>
      <c r="J1174" s="42"/>
      <c r="K1174" s="42"/>
      <c r="L1174" s="44">
        <v>45293</v>
      </c>
      <c r="M1174" s="44">
        <v>45293</v>
      </c>
      <c r="N1174" s="42" t="s">
        <v>612</v>
      </c>
      <c r="O1174" s="42">
        <v>0</v>
      </c>
      <c r="P1174" s="42"/>
      <c r="Q1174" s="42" t="s">
        <v>3568</v>
      </c>
      <c r="R1174" s="45">
        <v>410</v>
      </c>
      <c r="S1174" s="42">
        <v>0</v>
      </c>
      <c r="T1174" s="47" t="s">
        <v>401</v>
      </c>
      <c r="U1174" s="48" t="s">
        <v>199</v>
      </c>
      <c r="V1174" s="38"/>
      <c r="W1174" s="38"/>
      <c r="X1174" s="38" t="s">
        <v>583</v>
      </c>
      <c r="Y1174" s="49" t="s">
        <v>584</v>
      </c>
      <c r="Z1174" s="50" t="s">
        <v>3569</v>
      </c>
      <c r="AA1174" s="38"/>
      <c r="AB1174" s="38"/>
      <c r="AC1174" s="38"/>
      <c r="AD1174" s="51">
        <v>24</v>
      </c>
      <c r="AE1174" s="51">
        <v>0</v>
      </c>
      <c r="AF1174" s="48" t="s">
        <v>195</v>
      </c>
      <c r="AG1174" s="38" t="s">
        <v>403</v>
      </c>
      <c r="AH1174" s="52"/>
      <c r="AI1174" s="38"/>
      <c r="AJ1174" s="38"/>
    </row>
    <row r="1175" spans="1:36" ht="16.2">
      <c r="A1175" s="53" t="s">
        <v>577</v>
      </c>
      <c r="B1175" s="53">
        <v>69963414</v>
      </c>
      <c r="C1175" s="53" t="s">
        <v>578</v>
      </c>
      <c r="D1175" s="53">
        <v>13207582</v>
      </c>
      <c r="E1175" s="54" t="s">
        <v>3567</v>
      </c>
      <c r="F1175" s="53" t="s">
        <v>586</v>
      </c>
      <c r="G1175" s="53"/>
      <c r="H1175" s="53"/>
      <c r="I1175" s="53"/>
      <c r="J1175" s="53"/>
      <c r="K1175" s="53"/>
      <c r="L1175" s="55">
        <v>45293</v>
      </c>
      <c r="M1175" s="55">
        <v>45293</v>
      </c>
      <c r="N1175" s="53" t="s">
        <v>612</v>
      </c>
      <c r="O1175" s="53">
        <v>0</v>
      </c>
      <c r="P1175" s="53"/>
      <c r="Q1175" s="53" t="s">
        <v>3570</v>
      </c>
      <c r="R1175" s="45">
        <v>410</v>
      </c>
      <c r="S1175" s="53">
        <v>0</v>
      </c>
      <c r="T1175" s="47" t="s">
        <v>401</v>
      </c>
      <c r="U1175" s="48" t="s">
        <v>199</v>
      </c>
      <c r="V1175" s="38"/>
      <c r="W1175" s="38"/>
      <c r="X1175" s="38" t="s">
        <v>583</v>
      </c>
      <c r="Y1175" s="49" t="s">
        <v>584</v>
      </c>
      <c r="Z1175" s="50" t="s">
        <v>3571</v>
      </c>
      <c r="AA1175" s="38"/>
      <c r="AB1175" s="38"/>
      <c r="AC1175" s="38"/>
      <c r="AD1175" s="51">
        <v>24</v>
      </c>
      <c r="AE1175" s="51">
        <v>0</v>
      </c>
      <c r="AF1175" s="48" t="s">
        <v>195</v>
      </c>
      <c r="AG1175" s="38" t="s">
        <v>403</v>
      </c>
      <c r="AH1175" s="52"/>
      <c r="AI1175" s="38"/>
      <c r="AJ1175" s="38"/>
    </row>
    <row r="1176" spans="1:36" ht="16.2">
      <c r="A1176" s="42" t="s">
        <v>577</v>
      </c>
      <c r="B1176" s="42">
        <v>69963414</v>
      </c>
      <c r="C1176" s="42" t="s">
        <v>578</v>
      </c>
      <c r="D1176" s="42">
        <v>13207582</v>
      </c>
      <c r="E1176" s="43" t="s">
        <v>3567</v>
      </c>
      <c r="F1176" s="42" t="s">
        <v>589</v>
      </c>
      <c r="G1176" s="42"/>
      <c r="H1176" s="42"/>
      <c r="I1176" s="42"/>
      <c r="J1176" s="42"/>
      <c r="K1176" s="42"/>
      <c r="L1176" s="44">
        <v>45293</v>
      </c>
      <c r="M1176" s="44">
        <v>45293</v>
      </c>
      <c r="N1176" s="42" t="s">
        <v>612</v>
      </c>
      <c r="O1176" s="42">
        <v>0</v>
      </c>
      <c r="P1176" s="42"/>
      <c r="Q1176" s="42" t="s">
        <v>3572</v>
      </c>
      <c r="R1176" s="45">
        <v>410</v>
      </c>
      <c r="S1176" s="42">
        <v>0</v>
      </c>
      <c r="T1176" s="47" t="s">
        <v>401</v>
      </c>
      <c r="U1176" s="48" t="s">
        <v>199</v>
      </c>
      <c r="V1176" s="38"/>
      <c r="W1176" s="38"/>
      <c r="X1176" s="38" t="s">
        <v>583</v>
      </c>
      <c r="Y1176" s="49" t="s">
        <v>584</v>
      </c>
      <c r="Z1176" s="50" t="s">
        <v>3573</v>
      </c>
      <c r="AA1176" s="38"/>
      <c r="AB1176" s="38"/>
      <c r="AC1176" s="38"/>
      <c r="AD1176" s="51">
        <v>24</v>
      </c>
      <c r="AE1176" s="51">
        <v>0</v>
      </c>
      <c r="AF1176" s="48" t="s">
        <v>195</v>
      </c>
      <c r="AG1176" s="38" t="s">
        <v>403</v>
      </c>
      <c r="AH1176" s="52"/>
      <c r="AI1176" s="38"/>
      <c r="AJ1176" s="38"/>
    </row>
    <row r="1177" spans="1:36" ht="16.2">
      <c r="A1177" s="53" t="s">
        <v>577</v>
      </c>
      <c r="B1177" s="53">
        <v>69963414</v>
      </c>
      <c r="C1177" s="53" t="s">
        <v>578</v>
      </c>
      <c r="D1177" s="53">
        <v>13207582</v>
      </c>
      <c r="E1177" s="54" t="s">
        <v>3567</v>
      </c>
      <c r="F1177" s="53" t="s">
        <v>592</v>
      </c>
      <c r="G1177" s="53"/>
      <c r="H1177" s="53"/>
      <c r="I1177" s="53"/>
      <c r="J1177" s="53"/>
      <c r="K1177" s="53"/>
      <c r="L1177" s="55">
        <v>45293</v>
      </c>
      <c r="M1177" s="55">
        <v>45293</v>
      </c>
      <c r="N1177" s="53" t="s">
        <v>612</v>
      </c>
      <c r="O1177" s="53">
        <v>0</v>
      </c>
      <c r="P1177" s="53"/>
      <c r="Q1177" s="53" t="s">
        <v>3574</v>
      </c>
      <c r="R1177" s="45">
        <v>410</v>
      </c>
      <c r="S1177" s="53">
        <v>0</v>
      </c>
      <c r="T1177" s="47" t="s">
        <v>401</v>
      </c>
      <c r="U1177" s="48" t="s">
        <v>199</v>
      </c>
      <c r="V1177" s="38"/>
      <c r="W1177" s="38"/>
      <c r="X1177" s="38" t="s">
        <v>583</v>
      </c>
      <c r="Y1177" s="49" t="s">
        <v>584</v>
      </c>
      <c r="Z1177" s="50" t="s">
        <v>3575</v>
      </c>
      <c r="AA1177" s="38"/>
      <c r="AB1177" s="38"/>
      <c r="AC1177" s="38"/>
      <c r="AD1177" s="51">
        <v>24</v>
      </c>
      <c r="AE1177" s="51">
        <v>0</v>
      </c>
      <c r="AF1177" s="48" t="s">
        <v>195</v>
      </c>
      <c r="AG1177" s="38" t="s">
        <v>403</v>
      </c>
      <c r="AH1177" s="52"/>
      <c r="AI1177" s="38"/>
      <c r="AJ1177" s="38"/>
    </row>
    <row r="1178" spans="1:36" ht="16.2">
      <c r="A1178" s="42" t="s">
        <v>577</v>
      </c>
      <c r="B1178" s="42">
        <v>69963414</v>
      </c>
      <c r="C1178" s="42" t="s">
        <v>578</v>
      </c>
      <c r="D1178" s="42">
        <v>13207582</v>
      </c>
      <c r="E1178" s="43" t="s">
        <v>3567</v>
      </c>
      <c r="F1178" s="42" t="s">
        <v>3576</v>
      </c>
      <c r="G1178" s="42"/>
      <c r="H1178" s="42"/>
      <c r="I1178" s="42"/>
      <c r="J1178" s="42"/>
      <c r="K1178" s="42"/>
      <c r="L1178" s="44">
        <v>45293</v>
      </c>
      <c r="M1178" s="44">
        <v>45293</v>
      </c>
      <c r="N1178" s="42" t="s">
        <v>612</v>
      </c>
      <c r="O1178" s="42">
        <v>0</v>
      </c>
      <c r="P1178" s="42"/>
      <c r="Q1178" s="42" t="s">
        <v>3577</v>
      </c>
      <c r="R1178" s="45">
        <v>410</v>
      </c>
      <c r="S1178" s="42">
        <v>0</v>
      </c>
      <c r="T1178" s="47" t="s">
        <v>401</v>
      </c>
      <c r="U1178" s="48" t="s">
        <v>199</v>
      </c>
      <c r="V1178" s="38"/>
      <c r="W1178" s="38"/>
      <c r="X1178" s="38" t="s">
        <v>583</v>
      </c>
      <c r="Y1178" s="49" t="s">
        <v>584</v>
      </c>
      <c r="Z1178" s="50" t="s">
        <v>3578</v>
      </c>
      <c r="AA1178" s="38"/>
      <c r="AB1178" s="38"/>
      <c r="AC1178" s="38"/>
      <c r="AD1178" s="51">
        <v>24</v>
      </c>
      <c r="AE1178" s="51">
        <v>0</v>
      </c>
      <c r="AF1178" s="48" t="s">
        <v>195</v>
      </c>
      <c r="AG1178" s="38" t="s">
        <v>403</v>
      </c>
      <c r="AH1178" s="52"/>
      <c r="AI1178" s="38"/>
      <c r="AJ1178" s="38"/>
    </row>
    <row r="1179" spans="1:36" ht="16.2">
      <c r="A1179" s="53" t="s">
        <v>577</v>
      </c>
      <c r="B1179" s="53">
        <v>69963406</v>
      </c>
      <c r="C1179" s="53" t="s">
        <v>578</v>
      </c>
      <c r="D1179" s="53">
        <v>13207574</v>
      </c>
      <c r="E1179" s="54" t="s">
        <v>3579</v>
      </c>
      <c r="F1179" s="53" t="s">
        <v>580</v>
      </c>
      <c r="G1179" s="53" t="s">
        <v>195</v>
      </c>
      <c r="H1179" s="53"/>
      <c r="I1179" s="53"/>
      <c r="J1179" s="53">
        <v>13207574</v>
      </c>
      <c r="K1179" s="53"/>
      <c r="L1179" s="55">
        <v>45293</v>
      </c>
      <c r="M1179" s="55">
        <v>45293</v>
      </c>
      <c r="N1179" s="53" t="s">
        <v>581</v>
      </c>
      <c r="O1179" s="53">
        <v>0</v>
      </c>
      <c r="P1179" s="53">
        <v>20010003</v>
      </c>
      <c r="Q1179" s="53" t="s">
        <v>3580</v>
      </c>
      <c r="R1179" s="45">
        <v>410</v>
      </c>
      <c r="S1179" s="53">
        <v>0</v>
      </c>
      <c r="T1179" s="47" t="s">
        <v>198</v>
      </c>
      <c r="U1179" s="48" t="s">
        <v>199</v>
      </c>
      <c r="V1179" s="38"/>
      <c r="W1179" s="48" t="s">
        <v>195</v>
      </c>
      <c r="X1179" s="38" t="s">
        <v>583</v>
      </c>
      <c r="Y1179" s="49" t="s">
        <v>584</v>
      </c>
      <c r="Z1179" s="50" t="s">
        <v>3581</v>
      </c>
      <c r="AA1179" s="38"/>
      <c r="AB1179" s="38"/>
      <c r="AC1179" s="38"/>
      <c r="AD1179" s="51">
        <v>35</v>
      </c>
      <c r="AE1179" s="51">
        <v>35</v>
      </c>
      <c r="AF1179" s="48" t="s">
        <v>203</v>
      </c>
      <c r="AG1179" s="38" t="s">
        <v>204</v>
      </c>
      <c r="AH1179" s="52"/>
      <c r="AI1179" s="38"/>
      <c r="AJ1179" s="38"/>
    </row>
    <row r="1180" spans="1:36" ht="16.2">
      <c r="A1180" s="42" t="s">
        <v>577</v>
      </c>
      <c r="B1180" s="42">
        <v>69963406</v>
      </c>
      <c r="C1180" s="42" t="s">
        <v>578</v>
      </c>
      <c r="D1180" s="42">
        <v>13207574</v>
      </c>
      <c r="E1180" s="43" t="s">
        <v>3579</v>
      </c>
      <c r="F1180" s="42" t="s">
        <v>586</v>
      </c>
      <c r="G1180" s="42" t="s">
        <v>195</v>
      </c>
      <c r="H1180" s="42"/>
      <c r="I1180" s="42"/>
      <c r="J1180" s="42">
        <v>13207574</v>
      </c>
      <c r="K1180" s="42"/>
      <c r="L1180" s="44">
        <v>45293</v>
      </c>
      <c r="M1180" s="44">
        <v>45293</v>
      </c>
      <c r="N1180" s="42" t="s">
        <v>581</v>
      </c>
      <c r="O1180" s="42">
        <v>0</v>
      </c>
      <c r="P1180" s="42">
        <v>20010003</v>
      </c>
      <c r="Q1180" s="42" t="s">
        <v>3582</v>
      </c>
      <c r="R1180" s="45">
        <v>410</v>
      </c>
      <c r="S1180" s="42">
        <v>0</v>
      </c>
      <c r="T1180" s="47" t="s">
        <v>198</v>
      </c>
      <c r="U1180" s="48" t="s">
        <v>199</v>
      </c>
      <c r="V1180" s="38"/>
      <c r="W1180" s="48" t="s">
        <v>195</v>
      </c>
      <c r="X1180" s="38" t="s">
        <v>583</v>
      </c>
      <c r="Y1180" s="49" t="s">
        <v>584</v>
      </c>
      <c r="Z1180" s="50" t="s">
        <v>3583</v>
      </c>
      <c r="AA1180" s="38"/>
      <c r="AB1180" s="38"/>
      <c r="AC1180" s="38"/>
      <c r="AD1180" s="51">
        <v>35</v>
      </c>
      <c r="AE1180" s="51">
        <v>35</v>
      </c>
      <c r="AF1180" s="48" t="s">
        <v>203</v>
      </c>
      <c r="AG1180" s="38" t="s">
        <v>204</v>
      </c>
      <c r="AH1180" s="52"/>
      <c r="AI1180" s="38"/>
      <c r="AJ1180" s="38"/>
    </row>
    <row r="1181" spans="1:36" ht="16.2">
      <c r="A1181" s="53" t="s">
        <v>577</v>
      </c>
      <c r="B1181" s="53">
        <v>69963406</v>
      </c>
      <c r="C1181" s="53" t="s">
        <v>578</v>
      </c>
      <c r="D1181" s="53">
        <v>13207574</v>
      </c>
      <c r="E1181" s="54" t="s">
        <v>3579</v>
      </c>
      <c r="F1181" s="53" t="s">
        <v>589</v>
      </c>
      <c r="G1181" s="53" t="s">
        <v>195</v>
      </c>
      <c r="H1181" s="53"/>
      <c r="I1181" s="53"/>
      <c r="J1181" s="53">
        <v>13207574</v>
      </c>
      <c r="K1181" s="53"/>
      <c r="L1181" s="55">
        <v>45293</v>
      </c>
      <c r="M1181" s="55">
        <v>45293</v>
      </c>
      <c r="N1181" s="53" t="s">
        <v>581</v>
      </c>
      <c r="O1181" s="53">
        <v>0</v>
      </c>
      <c r="P1181" s="53">
        <v>20010003</v>
      </c>
      <c r="Q1181" s="53" t="s">
        <v>3584</v>
      </c>
      <c r="R1181" s="45">
        <v>410</v>
      </c>
      <c r="S1181" s="53">
        <v>0</v>
      </c>
      <c r="T1181" s="47" t="s">
        <v>198</v>
      </c>
      <c r="U1181" s="48" t="s">
        <v>199</v>
      </c>
      <c r="V1181" s="38"/>
      <c r="W1181" s="48" t="s">
        <v>195</v>
      </c>
      <c r="X1181" s="38" t="s">
        <v>583</v>
      </c>
      <c r="Y1181" s="49" t="s">
        <v>584</v>
      </c>
      <c r="Z1181" s="50" t="s">
        <v>3585</v>
      </c>
      <c r="AA1181" s="38"/>
      <c r="AB1181" s="38"/>
      <c r="AC1181" s="38"/>
      <c r="AD1181" s="51">
        <v>35</v>
      </c>
      <c r="AE1181" s="51">
        <v>35</v>
      </c>
      <c r="AF1181" s="48" t="s">
        <v>203</v>
      </c>
      <c r="AG1181" s="38" t="s">
        <v>204</v>
      </c>
      <c r="AH1181" s="52"/>
      <c r="AI1181" s="38"/>
      <c r="AJ1181" s="38"/>
    </row>
    <row r="1182" spans="1:36" ht="16.2">
      <c r="A1182" s="42" t="s">
        <v>577</v>
      </c>
      <c r="B1182" s="42">
        <v>69963406</v>
      </c>
      <c r="C1182" s="42" t="s">
        <v>578</v>
      </c>
      <c r="D1182" s="42">
        <v>13207574</v>
      </c>
      <c r="E1182" s="43" t="s">
        <v>3579</v>
      </c>
      <c r="F1182" s="42" t="s">
        <v>592</v>
      </c>
      <c r="G1182" s="42" t="s">
        <v>195</v>
      </c>
      <c r="H1182" s="42"/>
      <c r="I1182" s="42"/>
      <c r="J1182" s="42">
        <v>13207574</v>
      </c>
      <c r="K1182" s="42"/>
      <c r="L1182" s="44">
        <v>45293</v>
      </c>
      <c r="M1182" s="44">
        <v>45293</v>
      </c>
      <c r="N1182" s="42" t="s">
        <v>581</v>
      </c>
      <c r="O1182" s="42">
        <v>0</v>
      </c>
      <c r="P1182" s="42">
        <v>20010003</v>
      </c>
      <c r="Q1182" s="42" t="s">
        <v>3586</v>
      </c>
      <c r="R1182" s="45">
        <v>410</v>
      </c>
      <c r="S1182" s="42">
        <v>0</v>
      </c>
      <c r="T1182" s="47" t="s">
        <v>198</v>
      </c>
      <c r="U1182" s="48" t="s">
        <v>199</v>
      </c>
      <c r="V1182" s="38"/>
      <c r="W1182" s="48" t="s">
        <v>195</v>
      </c>
      <c r="X1182" s="38" t="s">
        <v>583</v>
      </c>
      <c r="Y1182" s="49" t="s">
        <v>584</v>
      </c>
      <c r="Z1182" s="50" t="s">
        <v>3587</v>
      </c>
      <c r="AA1182" s="38"/>
      <c r="AB1182" s="38"/>
      <c r="AC1182" s="38"/>
      <c r="AD1182" s="51">
        <v>35</v>
      </c>
      <c r="AE1182" s="51">
        <v>35</v>
      </c>
      <c r="AF1182" s="48" t="s">
        <v>203</v>
      </c>
      <c r="AG1182" s="38" t="s">
        <v>204</v>
      </c>
      <c r="AH1182" s="52"/>
      <c r="AI1182" s="38"/>
      <c r="AJ1182" s="38"/>
    </row>
    <row r="1183" spans="1:36" ht="16.2">
      <c r="A1183" s="53" t="s">
        <v>577</v>
      </c>
      <c r="B1183" s="53">
        <v>69963406</v>
      </c>
      <c r="C1183" s="53" t="s">
        <v>578</v>
      </c>
      <c r="D1183" s="53">
        <v>13207574</v>
      </c>
      <c r="E1183" s="54" t="s">
        <v>3579</v>
      </c>
      <c r="F1183" s="53" t="s">
        <v>3588</v>
      </c>
      <c r="G1183" s="53" t="s">
        <v>195</v>
      </c>
      <c r="H1183" s="53"/>
      <c r="I1183" s="53"/>
      <c r="J1183" s="53">
        <v>13207574</v>
      </c>
      <c r="K1183" s="53"/>
      <c r="L1183" s="55">
        <v>45293</v>
      </c>
      <c r="M1183" s="55">
        <v>45293</v>
      </c>
      <c r="N1183" s="53" t="s">
        <v>581</v>
      </c>
      <c r="O1183" s="53">
        <v>0</v>
      </c>
      <c r="P1183" s="53">
        <v>20010003</v>
      </c>
      <c r="Q1183" s="53" t="s">
        <v>3589</v>
      </c>
      <c r="R1183" s="45">
        <v>410</v>
      </c>
      <c r="S1183" s="53">
        <v>0</v>
      </c>
      <c r="T1183" s="47" t="s">
        <v>198</v>
      </c>
      <c r="U1183" s="48" t="s">
        <v>199</v>
      </c>
      <c r="V1183" s="38"/>
      <c r="W1183" s="48" t="s">
        <v>195</v>
      </c>
      <c r="X1183" s="38" t="s">
        <v>583</v>
      </c>
      <c r="Y1183" s="49" t="s">
        <v>584</v>
      </c>
      <c r="Z1183" s="50" t="s">
        <v>3590</v>
      </c>
      <c r="AA1183" s="38"/>
      <c r="AB1183" s="38"/>
      <c r="AC1183" s="38"/>
      <c r="AD1183" s="51">
        <v>35</v>
      </c>
      <c r="AE1183" s="51">
        <v>35</v>
      </c>
      <c r="AF1183" s="48" t="s">
        <v>203</v>
      </c>
      <c r="AG1183" s="38" t="s">
        <v>204</v>
      </c>
      <c r="AH1183" s="52"/>
      <c r="AI1183" s="38"/>
      <c r="AJ1183" s="38"/>
    </row>
    <row r="1184" spans="1:36" ht="16.2">
      <c r="A1184" s="42" t="s">
        <v>577</v>
      </c>
      <c r="B1184" s="42">
        <v>69963407</v>
      </c>
      <c r="C1184" s="42" t="s">
        <v>578</v>
      </c>
      <c r="D1184" s="42">
        <v>13207575</v>
      </c>
      <c r="E1184" s="43" t="s">
        <v>3591</v>
      </c>
      <c r="F1184" s="42" t="s">
        <v>580</v>
      </c>
      <c r="G1184" s="42" t="s">
        <v>195</v>
      </c>
      <c r="H1184" s="42"/>
      <c r="I1184" s="42"/>
      <c r="J1184" s="42">
        <v>13207575</v>
      </c>
      <c r="K1184" s="42"/>
      <c r="L1184" s="44">
        <v>45293</v>
      </c>
      <c r="M1184" s="44">
        <v>45293</v>
      </c>
      <c r="N1184" s="42" t="s">
        <v>581</v>
      </c>
      <c r="O1184" s="42">
        <v>0</v>
      </c>
      <c r="P1184" s="42">
        <v>20010003</v>
      </c>
      <c r="Q1184" s="42" t="s">
        <v>3592</v>
      </c>
      <c r="R1184" s="45">
        <v>410</v>
      </c>
      <c r="S1184" s="42">
        <v>0</v>
      </c>
      <c r="T1184" s="47" t="s">
        <v>198</v>
      </c>
      <c r="U1184" s="48" t="s">
        <v>199</v>
      </c>
      <c r="V1184" s="38"/>
      <c r="W1184" s="48" t="s">
        <v>195</v>
      </c>
      <c r="X1184" s="38" t="s">
        <v>583</v>
      </c>
      <c r="Y1184" s="49" t="s">
        <v>584</v>
      </c>
      <c r="Z1184" s="50" t="s">
        <v>3593</v>
      </c>
      <c r="AA1184" s="38"/>
      <c r="AB1184" s="38"/>
      <c r="AC1184" s="38"/>
      <c r="AD1184" s="51">
        <v>35</v>
      </c>
      <c r="AE1184" s="51">
        <v>35</v>
      </c>
      <c r="AF1184" s="48" t="s">
        <v>203</v>
      </c>
      <c r="AG1184" s="38" t="s">
        <v>204</v>
      </c>
      <c r="AH1184" s="52"/>
      <c r="AI1184" s="38"/>
      <c r="AJ1184" s="38"/>
    </row>
    <row r="1185" spans="1:36" ht="16.2">
      <c r="A1185" s="53" t="s">
        <v>577</v>
      </c>
      <c r="B1185" s="53">
        <v>69963407</v>
      </c>
      <c r="C1185" s="53" t="s">
        <v>578</v>
      </c>
      <c r="D1185" s="53">
        <v>13207575</v>
      </c>
      <c r="E1185" s="54" t="s">
        <v>3591</v>
      </c>
      <c r="F1185" s="53" t="s">
        <v>586</v>
      </c>
      <c r="G1185" s="53" t="s">
        <v>195</v>
      </c>
      <c r="H1185" s="53"/>
      <c r="I1185" s="53"/>
      <c r="J1185" s="53">
        <v>13207575</v>
      </c>
      <c r="K1185" s="53"/>
      <c r="L1185" s="55">
        <v>45293</v>
      </c>
      <c r="M1185" s="55">
        <v>45293</v>
      </c>
      <c r="N1185" s="53" t="s">
        <v>581</v>
      </c>
      <c r="O1185" s="53">
        <v>0</v>
      </c>
      <c r="P1185" s="53">
        <v>20010003</v>
      </c>
      <c r="Q1185" s="53" t="s">
        <v>3594</v>
      </c>
      <c r="R1185" s="45">
        <v>410</v>
      </c>
      <c r="S1185" s="53">
        <v>0</v>
      </c>
      <c r="T1185" s="47" t="s">
        <v>198</v>
      </c>
      <c r="U1185" s="48" t="s">
        <v>199</v>
      </c>
      <c r="V1185" s="38"/>
      <c r="W1185" s="48" t="s">
        <v>195</v>
      </c>
      <c r="X1185" s="38" t="s">
        <v>583</v>
      </c>
      <c r="Y1185" s="49" t="s">
        <v>584</v>
      </c>
      <c r="Z1185" s="50" t="s">
        <v>3595</v>
      </c>
      <c r="AA1185" s="38"/>
      <c r="AB1185" s="38"/>
      <c r="AC1185" s="38"/>
      <c r="AD1185" s="51">
        <v>35</v>
      </c>
      <c r="AE1185" s="51">
        <v>35</v>
      </c>
      <c r="AF1185" s="48" t="s">
        <v>203</v>
      </c>
      <c r="AG1185" s="38" t="s">
        <v>204</v>
      </c>
      <c r="AH1185" s="52"/>
      <c r="AI1185" s="38"/>
      <c r="AJ1185" s="38"/>
    </row>
    <row r="1186" spans="1:36" ht="16.2">
      <c r="A1186" s="42" t="s">
        <v>577</v>
      </c>
      <c r="B1186" s="42">
        <v>69963407</v>
      </c>
      <c r="C1186" s="42" t="s">
        <v>578</v>
      </c>
      <c r="D1186" s="42">
        <v>13207575</v>
      </c>
      <c r="E1186" s="43" t="s">
        <v>3591</v>
      </c>
      <c r="F1186" s="42" t="s">
        <v>589</v>
      </c>
      <c r="G1186" s="42" t="s">
        <v>195</v>
      </c>
      <c r="H1186" s="42"/>
      <c r="I1186" s="42"/>
      <c r="J1186" s="42">
        <v>13207575</v>
      </c>
      <c r="K1186" s="42"/>
      <c r="L1186" s="44">
        <v>45293</v>
      </c>
      <c r="M1186" s="44">
        <v>45293</v>
      </c>
      <c r="N1186" s="42" t="s">
        <v>581</v>
      </c>
      <c r="O1186" s="42">
        <v>0</v>
      </c>
      <c r="P1186" s="42">
        <v>20010003</v>
      </c>
      <c r="Q1186" s="42" t="s">
        <v>3596</v>
      </c>
      <c r="R1186" s="45">
        <v>410</v>
      </c>
      <c r="S1186" s="42">
        <v>0</v>
      </c>
      <c r="T1186" s="47" t="s">
        <v>198</v>
      </c>
      <c r="U1186" s="48" t="s">
        <v>199</v>
      </c>
      <c r="V1186" s="38"/>
      <c r="W1186" s="48" t="s">
        <v>195</v>
      </c>
      <c r="X1186" s="38" t="s">
        <v>583</v>
      </c>
      <c r="Y1186" s="49" t="s">
        <v>584</v>
      </c>
      <c r="Z1186" s="50" t="s">
        <v>3597</v>
      </c>
      <c r="AA1186" s="38"/>
      <c r="AB1186" s="38"/>
      <c r="AC1186" s="38"/>
      <c r="AD1186" s="51">
        <v>35</v>
      </c>
      <c r="AE1186" s="51">
        <v>35</v>
      </c>
      <c r="AF1186" s="48" t="s">
        <v>203</v>
      </c>
      <c r="AG1186" s="38" t="s">
        <v>204</v>
      </c>
      <c r="AH1186" s="52"/>
      <c r="AI1186" s="38"/>
      <c r="AJ1186" s="38"/>
    </row>
    <row r="1187" spans="1:36" ht="16.2">
      <c r="A1187" s="53" t="s">
        <v>577</v>
      </c>
      <c r="B1187" s="53">
        <v>69963407</v>
      </c>
      <c r="C1187" s="53" t="s">
        <v>578</v>
      </c>
      <c r="D1187" s="53">
        <v>13207575</v>
      </c>
      <c r="E1187" s="54" t="s">
        <v>3591</v>
      </c>
      <c r="F1187" s="53" t="s">
        <v>592</v>
      </c>
      <c r="G1187" s="53" t="s">
        <v>195</v>
      </c>
      <c r="H1187" s="53"/>
      <c r="I1187" s="53"/>
      <c r="J1187" s="53">
        <v>13207575</v>
      </c>
      <c r="K1187" s="53"/>
      <c r="L1187" s="55">
        <v>45293</v>
      </c>
      <c r="M1187" s="55">
        <v>45293</v>
      </c>
      <c r="N1187" s="53" t="s">
        <v>581</v>
      </c>
      <c r="O1187" s="53">
        <v>0</v>
      </c>
      <c r="P1187" s="53">
        <v>20010003</v>
      </c>
      <c r="Q1187" s="53" t="s">
        <v>3598</v>
      </c>
      <c r="R1187" s="45">
        <v>410</v>
      </c>
      <c r="S1187" s="53">
        <v>0</v>
      </c>
      <c r="T1187" s="47" t="s">
        <v>198</v>
      </c>
      <c r="U1187" s="48" t="s">
        <v>199</v>
      </c>
      <c r="V1187" s="38"/>
      <c r="W1187" s="48" t="s">
        <v>195</v>
      </c>
      <c r="X1187" s="38" t="s">
        <v>583</v>
      </c>
      <c r="Y1187" s="49" t="s">
        <v>584</v>
      </c>
      <c r="Z1187" s="50" t="s">
        <v>3599</v>
      </c>
      <c r="AA1187" s="38"/>
      <c r="AB1187" s="38"/>
      <c r="AC1187" s="38"/>
      <c r="AD1187" s="51">
        <v>35</v>
      </c>
      <c r="AE1187" s="51">
        <v>35</v>
      </c>
      <c r="AF1187" s="48" t="s">
        <v>203</v>
      </c>
      <c r="AG1187" s="38" t="s">
        <v>204</v>
      </c>
      <c r="AH1187" s="52"/>
      <c r="AI1187" s="38"/>
      <c r="AJ1187" s="38"/>
    </row>
    <row r="1188" spans="1:36" ht="16.2">
      <c r="A1188" s="42" t="s">
        <v>577</v>
      </c>
      <c r="B1188" s="42">
        <v>69963407</v>
      </c>
      <c r="C1188" s="42" t="s">
        <v>578</v>
      </c>
      <c r="D1188" s="42">
        <v>13207575</v>
      </c>
      <c r="E1188" s="43" t="s">
        <v>3591</v>
      </c>
      <c r="F1188" s="42" t="s">
        <v>3600</v>
      </c>
      <c r="G1188" s="42" t="s">
        <v>195</v>
      </c>
      <c r="H1188" s="42"/>
      <c r="I1188" s="42"/>
      <c r="J1188" s="42">
        <v>13207575</v>
      </c>
      <c r="K1188" s="42"/>
      <c r="L1188" s="44">
        <v>45293</v>
      </c>
      <c r="M1188" s="44">
        <v>45293</v>
      </c>
      <c r="N1188" s="42" t="s">
        <v>581</v>
      </c>
      <c r="O1188" s="42">
        <v>0</v>
      </c>
      <c r="P1188" s="42">
        <v>20010003</v>
      </c>
      <c r="Q1188" s="42" t="s">
        <v>3601</v>
      </c>
      <c r="R1188" s="45">
        <v>410</v>
      </c>
      <c r="S1188" s="46">
        <v>0.01</v>
      </c>
      <c r="T1188" s="47" t="s">
        <v>198</v>
      </c>
      <c r="U1188" s="48" t="s">
        <v>199</v>
      </c>
      <c r="V1188" s="38"/>
      <c r="W1188" s="48" t="s">
        <v>195</v>
      </c>
      <c r="X1188" s="38" t="s">
        <v>583</v>
      </c>
      <c r="Y1188" s="49" t="s">
        <v>584</v>
      </c>
      <c r="Z1188" s="50" t="s">
        <v>3602</v>
      </c>
      <c r="AA1188" s="38"/>
      <c r="AB1188" s="38"/>
      <c r="AC1188" s="38"/>
      <c r="AD1188" s="51">
        <v>35</v>
      </c>
      <c r="AE1188" s="51">
        <v>35</v>
      </c>
      <c r="AF1188" s="48" t="s">
        <v>203</v>
      </c>
      <c r="AG1188" s="38" t="s">
        <v>204</v>
      </c>
      <c r="AH1188" s="52"/>
      <c r="AI1188" s="38"/>
      <c r="AJ1188" s="38"/>
    </row>
    <row r="1189" spans="1:36" ht="16.2">
      <c r="A1189" s="53" t="s">
        <v>577</v>
      </c>
      <c r="B1189" s="53">
        <v>69963408</v>
      </c>
      <c r="C1189" s="53" t="s">
        <v>578</v>
      </c>
      <c r="D1189" s="53">
        <v>13207576</v>
      </c>
      <c r="E1189" s="54" t="s">
        <v>3603</v>
      </c>
      <c r="F1189" s="53" t="s">
        <v>580</v>
      </c>
      <c r="G1189" s="53" t="s">
        <v>195</v>
      </c>
      <c r="H1189" s="53"/>
      <c r="I1189" s="53"/>
      <c r="J1189" s="53">
        <v>13207576</v>
      </c>
      <c r="K1189" s="53"/>
      <c r="L1189" s="55">
        <v>45293</v>
      </c>
      <c r="M1189" s="55">
        <v>45293</v>
      </c>
      <c r="N1189" s="53" t="s">
        <v>581</v>
      </c>
      <c r="O1189" s="53">
        <v>0</v>
      </c>
      <c r="P1189" s="53">
        <v>20010003</v>
      </c>
      <c r="Q1189" s="53" t="s">
        <v>3604</v>
      </c>
      <c r="R1189" s="45">
        <v>410</v>
      </c>
      <c r="S1189" s="56">
        <v>0.01</v>
      </c>
      <c r="T1189" s="47" t="s">
        <v>198</v>
      </c>
      <c r="U1189" s="48" t="s">
        <v>199</v>
      </c>
      <c r="V1189" s="38"/>
      <c r="W1189" s="48" t="s">
        <v>195</v>
      </c>
      <c r="X1189" s="38" t="s">
        <v>583</v>
      </c>
      <c r="Y1189" s="49" t="s">
        <v>584</v>
      </c>
      <c r="Z1189" s="50" t="s">
        <v>3605</v>
      </c>
      <c r="AA1189" s="38"/>
      <c r="AB1189" s="38"/>
      <c r="AC1189" s="38"/>
      <c r="AD1189" s="51">
        <v>35</v>
      </c>
      <c r="AE1189" s="51">
        <v>35</v>
      </c>
      <c r="AF1189" s="48" t="s">
        <v>203</v>
      </c>
      <c r="AG1189" s="38" t="s">
        <v>204</v>
      </c>
      <c r="AH1189" s="52"/>
      <c r="AI1189" s="38"/>
      <c r="AJ1189" s="38"/>
    </row>
    <row r="1190" spans="1:36" ht="16.2">
      <c r="A1190" s="42" t="s">
        <v>577</v>
      </c>
      <c r="B1190" s="42">
        <v>69963408</v>
      </c>
      <c r="C1190" s="42" t="s">
        <v>578</v>
      </c>
      <c r="D1190" s="42">
        <v>13207576</v>
      </c>
      <c r="E1190" s="43" t="s">
        <v>3603</v>
      </c>
      <c r="F1190" s="42" t="s">
        <v>586</v>
      </c>
      <c r="G1190" s="42" t="s">
        <v>195</v>
      </c>
      <c r="H1190" s="42"/>
      <c r="I1190" s="42"/>
      <c r="J1190" s="42">
        <v>13207576</v>
      </c>
      <c r="K1190" s="42"/>
      <c r="L1190" s="44">
        <v>45293</v>
      </c>
      <c r="M1190" s="44">
        <v>45293</v>
      </c>
      <c r="N1190" s="42" t="s">
        <v>581</v>
      </c>
      <c r="O1190" s="42">
        <v>0</v>
      </c>
      <c r="P1190" s="42">
        <v>20010003</v>
      </c>
      <c r="Q1190" s="42" t="s">
        <v>3606</v>
      </c>
      <c r="R1190" s="45">
        <v>410</v>
      </c>
      <c r="S1190" s="46">
        <v>0.01</v>
      </c>
      <c r="T1190" s="47" t="s">
        <v>198</v>
      </c>
      <c r="U1190" s="48" t="s">
        <v>199</v>
      </c>
      <c r="V1190" s="38"/>
      <c r="W1190" s="48" t="s">
        <v>195</v>
      </c>
      <c r="X1190" s="38" t="s">
        <v>583</v>
      </c>
      <c r="Y1190" s="49" t="s">
        <v>584</v>
      </c>
      <c r="Z1190" s="50" t="s">
        <v>3607</v>
      </c>
      <c r="AA1190" s="38"/>
      <c r="AB1190" s="38"/>
      <c r="AC1190" s="38"/>
      <c r="AD1190" s="51">
        <v>35</v>
      </c>
      <c r="AE1190" s="51">
        <v>35</v>
      </c>
      <c r="AF1190" s="48" t="s">
        <v>203</v>
      </c>
      <c r="AG1190" s="38" t="s">
        <v>204</v>
      </c>
      <c r="AH1190" s="52"/>
      <c r="AI1190" s="38"/>
      <c r="AJ1190" s="38"/>
    </row>
    <row r="1191" spans="1:36" ht="16.2">
      <c r="A1191" s="53" t="s">
        <v>577</v>
      </c>
      <c r="B1191" s="53">
        <v>69963408</v>
      </c>
      <c r="C1191" s="53" t="s">
        <v>578</v>
      </c>
      <c r="D1191" s="53">
        <v>13207576</v>
      </c>
      <c r="E1191" s="54" t="s">
        <v>3603</v>
      </c>
      <c r="F1191" s="53" t="s">
        <v>589</v>
      </c>
      <c r="G1191" s="53" t="s">
        <v>195</v>
      </c>
      <c r="H1191" s="53"/>
      <c r="I1191" s="53"/>
      <c r="J1191" s="53">
        <v>13207576</v>
      </c>
      <c r="K1191" s="53"/>
      <c r="L1191" s="55">
        <v>45293</v>
      </c>
      <c r="M1191" s="55">
        <v>45293</v>
      </c>
      <c r="N1191" s="53" t="s">
        <v>581</v>
      </c>
      <c r="O1191" s="53">
        <v>0</v>
      </c>
      <c r="P1191" s="53">
        <v>20010003</v>
      </c>
      <c r="Q1191" s="53" t="s">
        <v>3608</v>
      </c>
      <c r="R1191" s="45">
        <v>410</v>
      </c>
      <c r="S1191" s="56">
        <v>0.01</v>
      </c>
      <c r="T1191" s="47" t="s">
        <v>198</v>
      </c>
      <c r="U1191" s="48" t="s">
        <v>199</v>
      </c>
      <c r="V1191" s="38"/>
      <c r="W1191" s="48" t="s">
        <v>195</v>
      </c>
      <c r="X1191" s="38" t="s">
        <v>583</v>
      </c>
      <c r="Y1191" s="49" t="s">
        <v>584</v>
      </c>
      <c r="Z1191" s="50" t="s">
        <v>3609</v>
      </c>
      <c r="AA1191" s="38"/>
      <c r="AB1191" s="38"/>
      <c r="AC1191" s="38"/>
      <c r="AD1191" s="51">
        <v>35</v>
      </c>
      <c r="AE1191" s="51">
        <v>35</v>
      </c>
      <c r="AF1191" s="48" t="s">
        <v>203</v>
      </c>
      <c r="AG1191" s="38" t="s">
        <v>204</v>
      </c>
      <c r="AH1191" s="52"/>
      <c r="AI1191" s="38"/>
      <c r="AJ1191" s="38"/>
    </row>
    <row r="1192" spans="1:36" ht="16.2">
      <c r="A1192" s="42" t="s">
        <v>577</v>
      </c>
      <c r="B1192" s="42">
        <v>69963408</v>
      </c>
      <c r="C1192" s="42" t="s">
        <v>578</v>
      </c>
      <c r="D1192" s="42">
        <v>13207576</v>
      </c>
      <c r="E1192" s="43" t="s">
        <v>3603</v>
      </c>
      <c r="F1192" s="42" t="s">
        <v>592</v>
      </c>
      <c r="G1192" s="42" t="s">
        <v>195</v>
      </c>
      <c r="H1192" s="42"/>
      <c r="I1192" s="42"/>
      <c r="J1192" s="42">
        <v>13207576</v>
      </c>
      <c r="K1192" s="42"/>
      <c r="L1192" s="44">
        <v>45293</v>
      </c>
      <c r="M1192" s="44">
        <v>45293</v>
      </c>
      <c r="N1192" s="42" t="s">
        <v>581</v>
      </c>
      <c r="O1192" s="42">
        <v>0</v>
      </c>
      <c r="P1192" s="42">
        <v>20010003</v>
      </c>
      <c r="Q1192" s="42" t="s">
        <v>3610</v>
      </c>
      <c r="R1192" s="45">
        <v>410</v>
      </c>
      <c r="S1192" s="46">
        <v>0.01</v>
      </c>
      <c r="T1192" s="47" t="s">
        <v>198</v>
      </c>
      <c r="U1192" s="48" t="s">
        <v>199</v>
      </c>
      <c r="V1192" s="38"/>
      <c r="W1192" s="48" t="s">
        <v>195</v>
      </c>
      <c r="X1192" s="38" t="s">
        <v>583</v>
      </c>
      <c r="Y1192" s="49" t="s">
        <v>584</v>
      </c>
      <c r="Z1192" s="50" t="s">
        <v>3611</v>
      </c>
      <c r="AA1192" s="38"/>
      <c r="AB1192" s="38"/>
      <c r="AC1192" s="38"/>
      <c r="AD1192" s="51">
        <v>35</v>
      </c>
      <c r="AE1192" s="51">
        <v>35</v>
      </c>
      <c r="AF1192" s="48" t="s">
        <v>203</v>
      </c>
      <c r="AG1192" s="38" t="s">
        <v>204</v>
      </c>
      <c r="AH1192" s="52"/>
      <c r="AI1192" s="38"/>
      <c r="AJ1192" s="38"/>
    </row>
    <row r="1193" spans="1:36" ht="16.2">
      <c r="A1193" s="53" t="s">
        <v>577</v>
      </c>
      <c r="B1193" s="53">
        <v>69963408</v>
      </c>
      <c r="C1193" s="53" t="s">
        <v>578</v>
      </c>
      <c r="D1193" s="53">
        <v>13207576</v>
      </c>
      <c r="E1193" s="54" t="s">
        <v>3603</v>
      </c>
      <c r="F1193" s="53" t="s">
        <v>3612</v>
      </c>
      <c r="G1193" s="53" t="s">
        <v>195</v>
      </c>
      <c r="H1193" s="53"/>
      <c r="I1193" s="53"/>
      <c r="J1193" s="53">
        <v>13207576</v>
      </c>
      <c r="K1193" s="53"/>
      <c r="L1193" s="55">
        <v>45293</v>
      </c>
      <c r="M1193" s="55">
        <v>45293</v>
      </c>
      <c r="N1193" s="53" t="s">
        <v>581</v>
      </c>
      <c r="O1193" s="56">
        <v>0.01</v>
      </c>
      <c r="P1193" s="53">
        <v>20010003</v>
      </c>
      <c r="Q1193" s="53" t="s">
        <v>3613</v>
      </c>
      <c r="R1193" s="45">
        <v>410</v>
      </c>
      <c r="S1193" s="56">
        <v>0.01</v>
      </c>
      <c r="T1193" s="47" t="s">
        <v>198</v>
      </c>
      <c r="U1193" s="48" t="s">
        <v>199</v>
      </c>
      <c r="V1193" s="38"/>
      <c r="W1193" s="48" t="s">
        <v>195</v>
      </c>
      <c r="X1193" s="38" t="s">
        <v>583</v>
      </c>
      <c r="Y1193" s="49" t="s">
        <v>584</v>
      </c>
      <c r="Z1193" s="50" t="s">
        <v>3614</v>
      </c>
      <c r="AA1193" s="38"/>
      <c r="AB1193" s="38"/>
      <c r="AC1193" s="38"/>
      <c r="AD1193" s="51">
        <v>35</v>
      </c>
      <c r="AE1193" s="51">
        <v>35</v>
      </c>
      <c r="AF1193" s="48" t="s">
        <v>203</v>
      </c>
      <c r="AG1193" s="38" t="s">
        <v>204</v>
      </c>
      <c r="AH1193" s="52"/>
      <c r="AI1193" s="38"/>
      <c r="AJ1193" s="38"/>
    </row>
    <row r="1194" spans="1:36" ht="16.2">
      <c r="A1194" s="42" t="s">
        <v>577</v>
      </c>
      <c r="B1194" s="42">
        <v>69963409</v>
      </c>
      <c r="C1194" s="42" t="s">
        <v>578</v>
      </c>
      <c r="D1194" s="42">
        <v>13207577</v>
      </c>
      <c r="E1194" s="43" t="s">
        <v>3615</v>
      </c>
      <c r="F1194" s="42" t="s">
        <v>580</v>
      </c>
      <c r="G1194" s="42" t="s">
        <v>195</v>
      </c>
      <c r="H1194" s="42"/>
      <c r="I1194" s="42"/>
      <c r="J1194" s="42">
        <v>13207577</v>
      </c>
      <c r="K1194" s="42"/>
      <c r="L1194" s="44">
        <v>45293</v>
      </c>
      <c r="M1194" s="44">
        <v>45293</v>
      </c>
      <c r="N1194" s="42" t="s">
        <v>581</v>
      </c>
      <c r="O1194" s="42">
        <v>0</v>
      </c>
      <c r="P1194" s="42">
        <v>20010003</v>
      </c>
      <c r="Q1194" s="42" t="s">
        <v>3616</v>
      </c>
      <c r="R1194" s="45">
        <v>410</v>
      </c>
      <c r="S1194" s="46">
        <v>0.01</v>
      </c>
      <c r="T1194" s="47" t="s">
        <v>198</v>
      </c>
      <c r="U1194" s="48" t="s">
        <v>199</v>
      </c>
      <c r="V1194" s="38"/>
      <c r="W1194" s="48" t="s">
        <v>195</v>
      </c>
      <c r="X1194" s="38" t="s">
        <v>583</v>
      </c>
      <c r="Y1194" s="49" t="s">
        <v>584</v>
      </c>
      <c r="Z1194" s="50" t="s">
        <v>3617</v>
      </c>
      <c r="AA1194" s="38"/>
      <c r="AB1194" s="38"/>
      <c r="AC1194" s="38"/>
      <c r="AD1194" s="51">
        <v>35</v>
      </c>
      <c r="AE1194" s="51">
        <v>35</v>
      </c>
      <c r="AF1194" s="48" t="s">
        <v>203</v>
      </c>
      <c r="AG1194" s="38" t="s">
        <v>204</v>
      </c>
      <c r="AH1194" s="52"/>
      <c r="AI1194" s="38"/>
      <c r="AJ1194" s="38"/>
    </row>
    <row r="1195" spans="1:36" ht="16.2">
      <c r="A1195" s="53" t="s">
        <v>577</v>
      </c>
      <c r="B1195" s="53">
        <v>69963409</v>
      </c>
      <c r="C1195" s="53" t="s">
        <v>578</v>
      </c>
      <c r="D1195" s="53">
        <v>13207577</v>
      </c>
      <c r="E1195" s="54" t="s">
        <v>3615</v>
      </c>
      <c r="F1195" s="53" t="s">
        <v>586</v>
      </c>
      <c r="G1195" s="53" t="s">
        <v>195</v>
      </c>
      <c r="H1195" s="53"/>
      <c r="I1195" s="53"/>
      <c r="J1195" s="53">
        <v>13207577</v>
      </c>
      <c r="K1195" s="53"/>
      <c r="L1195" s="55">
        <v>45293</v>
      </c>
      <c r="M1195" s="55">
        <v>45293</v>
      </c>
      <c r="N1195" s="53" t="s">
        <v>581</v>
      </c>
      <c r="O1195" s="53">
        <v>0</v>
      </c>
      <c r="P1195" s="53">
        <v>20010003</v>
      </c>
      <c r="Q1195" s="53" t="s">
        <v>3618</v>
      </c>
      <c r="R1195" s="45">
        <v>410</v>
      </c>
      <c r="S1195" s="56">
        <v>0.01</v>
      </c>
      <c r="T1195" s="47" t="s">
        <v>198</v>
      </c>
      <c r="U1195" s="48" t="s">
        <v>199</v>
      </c>
      <c r="V1195" s="38"/>
      <c r="W1195" s="48" t="s">
        <v>195</v>
      </c>
      <c r="X1195" s="38" t="s">
        <v>583</v>
      </c>
      <c r="Y1195" s="49" t="s">
        <v>584</v>
      </c>
      <c r="Z1195" s="50" t="s">
        <v>3619</v>
      </c>
      <c r="AA1195" s="38"/>
      <c r="AB1195" s="38"/>
      <c r="AC1195" s="38"/>
      <c r="AD1195" s="51">
        <v>35</v>
      </c>
      <c r="AE1195" s="51">
        <v>35</v>
      </c>
      <c r="AF1195" s="48" t="s">
        <v>203</v>
      </c>
      <c r="AG1195" s="38" t="s">
        <v>204</v>
      </c>
      <c r="AH1195" s="52"/>
      <c r="AI1195" s="38"/>
      <c r="AJ1195" s="38"/>
    </row>
    <row r="1196" spans="1:36" ht="16.2">
      <c r="A1196" s="42" t="s">
        <v>577</v>
      </c>
      <c r="B1196" s="42">
        <v>69963409</v>
      </c>
      <c r="C1196" s="42" t="s">
        <v>578</v>
      </c>
      <c r="D1196" s="42">
        <v>13207577</v>
      </c>
      <c r="E1196" s="43" t="s">
        <v>3615</v>
      </c>
      <c r="F1196" s="42" t="s">
        <v>589</v>
      </c>
      <c r="G1196" s="42" t="s">
        <v>195</v>
      </c>
      <c r="H1196" s="42"/>
      <c r="I1196" s="42"/>
      <c r="J1196" s="42">
        <v>13207577</v>
      </c>
      <c r="K1196" s="42"/>
      <c r="L1196" s="44">
        <v>45293</v>
      </c>
      <c r="M1196" s="44">
        <v>45293</v>
      </c>
      <c r="N1196" s="42" t="s">
        <v>581</v>
      </c>
      <c r="O1196" s="42">
        <v>0</v>
      </c>
      <c r="P1196" s="42">
        <v>20010003</v>
      </c>
      <c r="Q1196" s="42" t="s">
        <v>3620</v>
      </c>
      <c r="R1196" s="45">
        <v>410</v>
      </c>
      <c r="S1196" s="46">
        <v>0.01</v>
      </c>
      <c r="T1196" s="47" t="s">
        <v>198</v>
      </c>
      <c r="U1196" s="48" t="s">
        <v>199</v>
      </c>
      <c r="V1196" s="38"/>
      <c r="W1196" s="48" t="s">
        <v>195</v>
      </c>
      <c r="X1196" s="38" t="s">
        <v>583</v>
      </c>
      <c r="Y1196" s="49" t="s">
        <v>584</v>
      </c>
      <c r="Z1196" s="50" t="s">
        <v>3621</v>
      </c>
      <c r="AA1196" s="38"/>
      <c r="AB1196" s="38"/>
      <c r="AC1196" s="38"/>
      <c r="AD1196" s="51">
        <v>35</v>
      </c>
      <c r="AE1196" s="51">
        <v>35</v>
      </c>
      <c r="AF1196" s="48" t="s">
        <v>203</v>
      </c>
      <c r="AG1196" s="38" t="s">
        <v>204</v>
      </c>
      <c r="AH1196" s="52"/>
      <c r="AI1196" s="38"/>
      <c r="AJ1196" s="38"/>
    </row>
    <row r="1197" spans="1:36" ht="16.2">
      <c r="A1197" s="53" t="s">
        <v>577</v>
      </c>
      <c r="B1197" s="53">
        <v>69963409</v>
      </c>
      <c r="C1197" s="53" t="s">
        <v>578</v>
      </c>
      <c r="D1197" s="53">
        <v>13207577</v>
      </c>
      <c r="E1197" s="54" t="s">
        <v>3615</v>
      </c>
      <c r="F1197" s="53" t="s">
        <v>592</v>
      </c>
      <c r="G1197" s="53" t="s">
        <v>195</v>
      </c>
      <c r="H1197" s="53"/>
      <c r="I1197" s="53"/>
      <c r="J1197" s="53">
        <v>13207577</v>
      </c>
      <c r="K1197" s="53"/>
      <c r="L1197" s="55">
        <v>45293</v>
      </c>
      <c r="M1197" s="55">
        <v>45293</v>
      </c>
      <c r="N1197" s="53" t="s">
        <v>581</v>
      </c>
      <c r="O1197" s="53">
        <v>0</v>
      </c>
      <c r="P1197" s="53">
        <v>20010003</v>
      </c>
      <c r="Q1197" s="53" t="s">
        <v>3622</v>
      </c>
      <c r="R1197" s="45">
        <v>410</v>
      </c>
      <c r="S1197" s="53">
        <v>0</v>
      </c>
      <c r="T1197" s="47" t="s">
        <v>198</v>
      </c>
      <c r="U1197" s="48" t="s">
        <v>199</v>
      </c>
      <c r="V1197" s="38"/>
      <c r="W1197" s="48" t="s">
        <v>195</v>
      </c>
      <c r="X1197" s="38" t="s">
        <v>583</v>
      </c>
      <c r="Y1197" s="49" t="s">
        <v>584</v>
      </c>
      <c r="Z1197" s="50" t="s">
        <v>3623</v>
      </c>
      <c r="AA1197" s="38"/>
      <c r="AB1197" s="38"/>
      <c r="AC1197" s="38"/>
      <c r="AD1197" s="51">
        <v>35</v>
      </c>
      <c r="AE1197" s="51">
        <v>35</v>
      </c>
      <c r="AF1197" s="48" t="s">
        <v>203</v>
      </c>
      <c r="AG1197" s="38" t="s">
        <v>204</v>
      </c>
      <c r="AH1197" s="52"/>
      <c r="AI1197" s="38"/>
      <c r="AJ1197" s="38"/>
    </row>
    <row r="1198" spans="1:36" ht="16.2">
      <c r="A1198" s="42" t="s">
        <v>577</v>
      </c>
      <c r="B1198" s="42">
        <v>69963409</v>
      </c>
      <c r="C1198" s="42" t="s">
        <v>578</v>
      </c>
      <c r="D1198" s="42">
        <v>13207577</v>
      </c>
      <c r="E1198" s="43" t="s">
        <v>3615</v>
      </c>
      <c r="F1198" s="42" t="s">
        <v>3624</v>
      </c>
      <c r="G1198" s="42" t="s">
        <v>195</v>
      </c>
      <c r="H1198" s="42"/>
      <c r="I1198" s="42"/>
      <c r="J1198" s="42">
        <v>13207577</v>
      </c>
      <c r="K1198" s="42"/>
      <c r="L1198" s="44">
        <v>45293</v>
      </c>
      <c r="M1198" s="44">
        <v>45293</v>
      </c>
      <c r="N1198" s="42" t="s">
        <v>581</v>
      </c>
      <c r="O1198" s="42">
        <v>0</v>
      </c>
      <c r="P1198" s="42">
        <v>20010003</v>
      </c>
      <c r="Q1198" s="42" t="s">
        <v>3625</v>
      </c>
      <c r="R1198" s="45">
        <v>410</v>
      </c>
      <c r="S1198" s="46">
        <v>0.01</v>
      </c>
      <c r="T1198" s="47" t="s">
        <v>198</v>
      </c>
      <c r="U1198" s="48" t="s">
        <v>199</v>
      </c>
      <c r="V1198" s="38"/>
      <c r="W1198" s="48" t="s">
        <v>195</v>
      </c>
      <c r="X1198" s="38" t="s">
        <v>583</v>
      </c>
      <c r="Y1198" s="49" t="s">
        <v>584</v>
      </c>
      <c r="Z1198" s="50" t="s">
        <v>3626</v>
      </c>
      <c r="AA1198" s="38"/>
      <c r="AB1198" s="38"/>
      <c r="AC1198" s="38"/>
      <c r="AD1198" s="51">
        <v>35</v>
      </c>
      <c r="AE1198" s="51">
        <v>35</v>
      </c>
      <c r="AF1198" s="48" t="s">
        <v>203</v>
      </c>
      <c r="AG1198" s="38" t="s">
        <v>204</v>
      </c>
      <c r="AH1198" s="52"/>
      <c r="AI1198" s="38"/>
      <c r="AJ1198" s="38"/>
    </row>
    <row r="1199" spans="1:36" ht="16.2">
      <c r="A1199" s="53" t="s">
        <v>577</v>
      </c>
      <c r="B1199" s="53">
        <v>69963410</v>
      </c>
      <c r="C1199" s="53" t="s">
        <v>578</v>
      </c>
      <c r="D1199" s="53">
        <v>13207578</v>
      </c>
      <c r="E1199" s="54" t="s">
        <v>3627</v>
      </c>
      <c r="F1199" s="53" t="s">
        <v>580</v>
      </c>
      <c r="G1199" s="53" t="s">
        <v>195</v>
      </c>
      <c r="H1199" s="53"/>
      <c r="I1199" s="53"/>
      <c r="J1199" s="53">
        <v>13207578</v>
      </c>
      <c r="K1199" s="53"/>
      <c r="L1199" s="55">
        <v>45293</v>
      </c>
      <c r="M1199" s="55">
        <v>45293</v>
      </c>
      <c r="N1199" s="53" t="s">
        <v>581</v>
      </c>
      <c r="O1199" s="53">
        <v>0</v>
      </c>
      <c r="P1199" s="53">
        <v>20010003</v>
      </c>
      <c r="Q1199" s="53" t="s">
        <v>3628</v>
      </c>
      <c r="R1199" s="45">
        <v>410</v>
      </c>
      <c r="S1199" s="56">
        <v>0.01</v>
      </c>
      <c r="T1199" s="47" t="s">
        <v>198</v>
      </c>
      <c r="U1199" s="48" t="s">
        <v>199</v>
      </c>
      <c r="V1199" s="38"/>
      <c r="W1199" s="48" t="s">
        <v>195</v>
      </c>
      <c r="X1199" s="38" t="s">
        <v>583</v>
      </c>
      <c r="Y1199" s="49" t="s">
        <v>584</v>
      </c>
      <c r="Z1199" s="50" t="s">
        <v>3629</v>
      </c>
      <c r="AA1199" s="38"/>
      <c r="AB1199" s="38"/>
      <c r="AC1199" s="38"/>
      <c r="AD1199" s="51">
        <v>35</v>
      </c>
      <c r="AE1199" s="51">
        <v>35</v>
      </c>
      <c r="AF1199" s="48" t="s">
        <v>203</v>
      </c>
      <c r="AG1199" s="38" t="s">
        <v>204</v>
      </c>
      <c r="AH1199" s="52"/>
      <c r="AI1199" s="38"/>
      <c r="AJ1199" s="38"/>
    </row>
    <row r="1200" spans="1:36" ht="16.2">
      <c r="A1200" s="42" t="s">
        <v>577</v>
      </c>
      <c r="B1200" s="42">
        <v>69963410</v>
      </c>
      <c r="C1200" s="42" t="s">
        <v>578</v>
      </c>
      <c r="D1200" s="42">
        <v>13207578</v>
      </c>
      <c r="E1200" s="43" t="s">
        <v>3627</v>
      </c>
      <c r="F1200" s="42" t="s">
        <v>586</v>
      </c>
      <c r="G1200" s="42" t="s">
        <v>195</v>
      </c>
      <c r="H1200" s="42"/>
      <c r="I1200" s="42"/>
      <c r="J1200" s="42">
        <v>13207578</v>
      </c>
      <c r="K1200" s="42"/>
      <c r="L1200" s="44">
        <v>45293</v>
      </c>
      <c r="M1200" s="44">
        <v>45293</v>
      </c>
      <c r="N1200" s="42" t="s">
        <v>581</v>
      </c>
      <c r="O1200" s="42">
        <v>0</v>
      </c>
      <c r="P1200" s="42">
        <v>20010003</v>
      </c>
      <c r="Q1200" s="42" t="s">
        <v>3630</v>
      </c>
      <c r="R1200" s="45">
        <v>410</v>
      </c>
      <c r="S1200" s="46">
        <v>0.01</v>
      </c>
      <c r="T1200" s="47" t="s">
        <v>198</v>
      </c>
      <c r="U1200" s="48" t="s">
        <v>199</v>
      </c>
      <c r="V1200" s="38"/>
      <c r="W1200" s="48" t="s">
        <v>195</v>
      </c>
      <c r="X1200" s="38" t="s">
        <v>583</v>
      </c>
      <c r="Y1200" s="49" t="s">
        <v>584</v>
      </c>
      <c r="Z1200" s="50" t="s">
        <v>3631</v>
      </c>
      <c r="AA1200" s="38"/>
      <c r="AB1200" s="38"/>
      <c r="AC1200" s="38"/>
      <c r="AD1200" s="51">
        <v>35</v>
      </c>
      <c r="AE1200" s="51">
        <v>35</v>
      </c>
      <c r="AF1200" s="48" t="s">
        <v>203</v>
      </c>
      <c r="AG1200" s="38" t="s">
        <v>204</v>
      </c>
      <c r="AH1200" s="52"/>
      <c r="AI1200" s="38"/>
      <c r="AJ1200" s="38"/>
    </row>
    <row r="1201" spans="1:36" ht="16.2">
      <c r="A1201" s="53" t="s">
        <v>577</v>
      </c>
      <c r="B1201" s="53">
        <v>69963410</v>
      </c>
      <c r="C1201" s="53" t="s">
        <v>578</v>
      </c>
      <c r="D1201" s="53">
        <v>13207578</v>
      </c>
      <c r="E1201" s="54" t="s">
        <v>3627</v>
      </c>
      <c r="F1201" s="53" t="s">
        <v>589</v>
      </c>
      <c r="G1201" s="53" t="s">
        <v>195</v>
      </c>
      <c r="H1201" s="53"/>
      <c r="I1201" s="53"/>
      <c r="J1201" s="53">
        <v>13207578</v>
      </c>
      <c r="K1201" s="53"/>
      <c r="L1201" s="55">
        <v>45293</v>
      </c>
      <c r="M1201" s="55">
        <v>45293</v>
      </c>
      <c r="N1201" s="53" t="s">
        <v>581</v>
      </c>
      <c r="O1201" s="53">
        <v>0</v>
      </c>
      <c r="P1201" s="53">
        <v>20010003</v>
      </c>
      <c r="Q1201" s="53" t="s">
        <v>3632</v>
      </c>
      <c r="R1201" s="45">
        <v>410</v>
      </c>
      <c r="S1201" s="56">
        <v>0.01</v>
      </c>
      <c r="T1201" s="47" t="s">
        <v>198</v>
      </c>
      <c r="U1201" s="48" t="s">
        <v>199</v>
      </c>
      <c r="V1201" s="38"/>
      <c r="W1201" s="48" t="s">
        <v>195</v>
      </c>
      <c r="X1201" s="38" t="s">
        <v>583</v>
      </c>
      <c r="Y1201" s="49" t="s">
        <v>584</v>
      </c>
      <c r="Z1201" s="50" t="s">
        <v>3633</v>
      </c>
      <c r="AA1201" s="38"/>
      <c r="AB1201" s="38"/>
      <c r="AC1201" s="38"/>
      <c r="AD1201" s="51">
        <v>35</v>
      </c>
      <c r="AE1201" s="51">
        <v>35</v>
      </c>
      <c r="AF1201" s="48" t="s">
        <v>203</v>
      </c>
      <c r="AG1201" s="38" t="s">
        <v>204</v>
      </c>
      <c r="AH1201" s="52"/>
      <c r="AI1201" s="38"/>
      <c r="AJ1201" s="38"/>
    </row>
    <row r="1202" spans="1:36" ht="16.2">
      <c r="A1202" s="42" t="s">
        <v>577</v>
      </c>
      <c r="B1202" s="42">
        <v>69963410</v>
      </c>
      <c r="C1202" s="42" t="s">
        <v>578</v>
      </c>
      <c r="D1202" s="42">
        <v>13207578</v>
      </c>
      <c r="E1202" s="43" t="s">
        <v>3627</v>
      </c>
      <c r="F1202" s="42" t="s">
        <v>592</v>
      </c>
      <c r="G1202" s="42" t="s">
        <v>195</v>
      </c>
      <c r="H1202" s="42"/>
      <c r="I1202" s="42"/>
      <c r="J1202" s="42">
        <v>13207578</v>
      </c>
      <c r="K1202" s="42"/>
      <c r="L1202" s="44">
        <v>45293</v>
      </c>
      <c r="M1202" s="44">
        <v>45293</v>
      </c>
      <c r="N1202" s="42" t="s">
        <v>581</v>
      </c>
      <c r="O1202" s="42">
        <v>0</v>
      </c>
      <c r="P1202" s="42">
        <v>20010003</v>
      </c>
      <c r="Q1202" s="42" t="s">
        <v>3634</v>
      </c>
      <c r="R1202" s="45">
        <v>410</v>
      </c>
      <c r="S1202" s="46">
        <v>0.01</v>
      </c>
      <c r="T1202" s="47" t="s">
        <v>198</v>
      </c>
      <c r="U1202" s="48" t="s">
        <v>199</v>
      </c>
      <c r="V1202" s="38"/>
      <c r="W1202" s="48" t="s">
        <v>195</v>
      </c>
      <c r="X1202" s="38" t="s">
        <v>583</v>
      </c>
      <c r="Y1202" s="49" t="s">
        <v>584</v>
      </c>
      <c r="Z1202" s="50" t="s">
        <v>3635</v>
      </c>
      <c r="AA1202" s="38"/>
      <c r="AB1202" s="38"/>
      <c r="AC1202" s="38"/>
      <c r="AD1202" s="51">
        <v>35</v>
      </c>
      <c r="AE1202" s="51">
        <v>35</v>
      </c>
      <c r="AF1202" s="48" t="s">
        <v>203</v>
      </c>
      <c r="AG1202" s="38" t="s">
        <v>204</v>
      </c>
      <c r="AH1202" s="52"/>
      <c r="AI1202" s="38"/>
      <c r="AJ1202" s="38"/>
    </row>
    <row r="1203" spans="1:36" ht="16.2">
      <c r="A1203" s="53" t="s">
        <v>577</v>
      </c>
      <c r="B1203" s="53">
        <v>69963410</v>
      </c>
      <c r="C1203" s="53" t="s">
        <v>578</v>
      </c>
      <c r="D1203" s="53">
        <v>13207578</v>
      </c>
      <c r="E1203" s="54" t="s">
        <v>3627</v>
      </c>
      <c r="F1203" s="53" t="s">
        <v>3636</v>
      </c>
      <c r="G1203" s="53" t="s">
        <v>195</v>
      </c>
      <c r="H1203" s="53"/>
      <c r="I1203" s="53"/>
      <c r="J1203" s="53">
        <v>13207578</v>
      </c>
      <c r="K1203" s="53"/>
      <c r="L1203" s="55">
        <v>45293</v>
      </c>
      <c r="M1203" s="55">
        <v>45293</v>
      </c>
      <c r="N1203" s="53" t="s">
        <v>581</v>
      </c>
      <c r="O1203" s="53">
        <v>0</v>
      </c>
      <c r="P1203" s="53">
        <v>20010003</v>
      </c>
      <c r="Q1203" s="53" t="s">
        <v>3637</v>
      </c>
      <c r="R1203" s="45">
        <v>410</v>
      </c>
      <c r="S1203" s="56">
        <v>0.01</v>
      </c>
      <c r="T1203" s="47" t="s">
        <v>198</v>
      </c>
      <c r="U1203" s="48" t="s">
        <v>199</v>
      </c>
      <c r="V1203" s="38"/>
      <c r="W1203" s="48" t="s">
        <v>195</v>
      </c>
      <c r="X1203" s="38" t="s">
        <v>583</v>
      </c>
      <c r="Y1203" s="49" t="s">
        <v>584</v>
      </c>
      <c r="Z1203" s="50" t="s">
        <v>3638</v>
      </c>
      <c r="AA1203" s="38"/>
      <c r="AB1203" s="38"/>
      <c r="AC1203" s="38"/>
      <c r="AD1203" s="51">
        <v>35</v>
      </c>
      <c r="AE1203" s="51">
        <v>35</v>
      </c>
      <c r="AF1203" s="48" t="s">
        <v>203</v>
      </c>
      <c r="AG1203" s="38" t="s">
        <v>204</v>
      </c>
      <c r="AH1203" s="52"/>
      <c r="AI1203" s="38"/>
      <c r="AJ1203" s="38"/>
    </row>
    <row r="1204" spans="1:36" ht="16.2">
      <c r="A1204" s="42" t="s">
        <v>577</v>
      </c>
      <c r="B1204" s="42">
        <v>69963411</v>
      </c>
      <c r="C1204" s="42" t="s">
        <v>578</v>
      </c>
      <c r="D1204" s="42">
        <v>13207579</v>
      </c>
      <c r="E1204" s="43" t="s">
        <v>3639</v>
      </c>
      <c r="F1204" s="42" t="s">
        <v>580</v>
      </c>
      <c r="G1204" s="42"/>
      <c r="H1204" s="42"/>
      <c r="I1204" s="42"/>
      <c r="J1204" s="42"/>
      <c r="K1204" s="42"/>
      <c r="L1204" s="44">
        <v>45293</v>
      </c>
      <c r="M1204" s="44">
        <v>45293</v>
      </c>
      <c r="N1204" s="42" t="s">
        <v>612</v>
      </c>
      <c r="O1204" s="42">
        <v>0</v>
      </c>
      <c r="P1204" s="42"/>
      <c r="Q1204" s="42" t="s">
        <v>3640</v>
      </c>
      <c r="R1204" s="45">
        <v>410</v>
      </c>
      <c r="S1204" s="46">
        <v>0.01</v>
      </c>
      <c r="T1204" s="47" t="s">
        <v>401</v>
      </c>
      <c r="U1204" s="48" t="s">
        <v>199</v>
      </c>
      <c r="V1204" s="38"/>
      <c r="W1204" s="38"/>
      <c r="X1204" s="38" t="s">
        <v>583</v>
      </c>
      <c r="Y1204" s="49" t="s">
        <v>584</v>
      </c>
      <c r="Z1204" s="50" t="s">
        <v>3641</v>
      </c>
      <c r="AA1204" s="38"/>
      <c r="AB1204" s="38"/>
      <c r="AC1204" s="38"/>
      <c r="AD1204" s="51">
        <v>24</v>
      </c>
      <c r="AE1204" s="51">
        <v>0</v>
      </c>
      <c r="AF1204" s="48" t="s">
        <v>195</v>
      </c>
      <c r="AG1204" s="38" t="s">
        <v>403</v>
      </c>
      <c r="AH1204" s="52"/>
      <c r="AI1204" s="38"/>
      <c r="AJ1204" s="38"/>
    </row>
    <row r="1205" spans="1:36" ht="16.2">
      <c r="A1205" s="53" t="s">
        <v>577</v>
      </c>
      <c r="B1205" s="53">
        <v>69963411</v>
      </c>
      <c r="C1205" s="53" t="s">
        <v>578</v>
      </c>
      <c r="D1205" s="53">
        <v>13207579</v>
      </c>
      <c r="E1205" s="54" t="s">
        <v>3639</v>
      </c>
      <c r="F1205" s="53" t="s">
        <v>586</v>
      </c>
      <c r="G1205" s="53"/>
      <c r="H1205" s="53"/>
      <c r="I1205" s="53"/>
      <c r="J1205" s="53"/>
      <c r="K1205" s="53"/>
      <c r="L1205" s="55">
        <v>45293</v>
      </c>
      <c r="M1205" s="55">
        <v>45293</v>
      </c>
      <c r="N1205" s="53" t="s">
        <v>612</v>
      </c>
      <c r="O1205" s="53">
        <v>0</v>
      </c>
      <c r="P1205" s="53"/>
      <c r="Q1205" s="53" t="s">
        <v>3642</v>
      </c>
      <c r="R1205" s="45">
        <v>410</v>
      </c>
      <c r="S1205" s="56">
        <v>0.01</v>
      </c>
      <c r="T1205" s="47" t="s">
        <v>401</v>
      </c>
      <c r="U1205" s="48" t="s">
        <v>199</v>
      </c>
      <c r="V1205" s="38"/>
      <c r="W1205" s="38"/>
      <c r="X1205" s="38" t="s">
        <v>583</v>
      </c>
      <c r="Y1205" s="49" t="s">
        <v>584</v>
      </c>
      <c r="Z1205" s="50" t="s">
        <v>3643</v>
      </c>
      <c r="AA1205" s="38"/>
      <c r="AB1205" s="38"/>
      <c r="AC1205" s="38"/>
      <c r="AD1205" s="51">
        <v>24</v>
      </c>
      <c r="AE1205" s="51">
        <v>0</v>
      </c>
      <c r="AF1205" s="48" t="s">
        <v>195</v>
      </c>
      <c r="AG1205" s="38" t="s">
        <v>403</v>
      </c>
      <c r="AH1205" s="52"/>
      <c r="AI1205" s="38"/>
      <c r="AJ1205" s="38"/>
    </row>
    <row r="1206" spans="1:36" ht="16.2">
      <c r="A1206" s="42" t="s">
        <v>577</v>
      </c>
      <c r="B1206" s="42">
        <v>69963411</v>
      </c>
      <c r="C1206" s="42" t="s">
        <v>578</v>
      </c>
      <c r="D1206" s="42">
        <v>13207579</v>
      </c>
      <c r="E1206" s="43" t="s">
        <v>3639</v>
      </c>
      <c r="F1206" s="42" t="s">
        <v>589</v>
      </c>
      <c r="G1206" s="42"/>
      <c r="H1206" s="42"/>
      <c r="I1206" s="42"/>
      <c r="J1206" s="42"/>
      <c r="K1206" s="42"/>
      <c r="L1206" s="44">
        <v>45293</v>
      </c>
      <c r="M1206" s="44">
        <v>45293</v>
      </c>
      <c r="N1206" s="42" t="s">
        <v>612</v>
      </c>
      <c r="O1206" s="42">
        <v>0</v>
      </c>
      <c r="P1206" s="42"/>
      <c r="Q1206" s="42" t="s">
        <v>3644</v>
      </c>
      <c r="R1206" s="45">
        <v>410</v>
      </c>
      <c r="S1206" s="46">
        <v>0.01</v>
      </c>
      <c r="T1206" s="47" t="s">
        <v>401</v>
      </c>
      <c r="U1206" s="48" t="s">
        <v>199</v>
      </c>
      <c r="V1206" s="38"/>
      <c r="W1206" s="38"/>
      <c r="X1206" s="38" t="s">
        <v>583</v>
      </c>
      <c r="Y1206" s="49" t="s">
        <v>584</v>
      </c>
      <c r="Z1206" s="50" t="s">
        <v>3645</v>
      </c>
      <c r="AA1206" s="38"/>
      <c r="AB1206" s="38"/>
      <c r="AC1206" s="38"/>
      <c r="AD1206" s="51">
        <v>24</v>
      </c>
      <c r="AE1206" s="51">
        <v>0</v>
      </c>
      <c r="AF1206" s="48" t="s">
        <v>195</v>
      </c>
      <c r="AG1206" s="38" t="s">
        <v>403</v>
      </c>
      <c r="AH1206" s="52"/>
      <c r="AI1206" s="38"/>
      <c r="AJ1206" s="38"/>
    </row>
    <row r="1207" spans="1:36" ht="16.2">
      <c r="A1207" s="53" t="s">
        <v>577</v>
      </c>
      <c r="B1207" s="53">
        <v>69963411</v>
      </c>
      <c r="C1207" s="53" t="s">
        <v>578</v>
      </c>
      <c r="D1207" s="53">
        <v>13207579</v>
      </c>
      <c r="E1207" s="54" t="s">
        <v>3639</v>
      </c>
      <c r="F1207" s="53" t="s">
        <v>592</v>
      </c>
      <c r="G1207" s="53"/>
      <c r="H1207" s="53"/>
      <c r="I1207" s="53"/>
      <c r="J1207" s="53"/>
      <c r="K1207" s="53"/>
      <c r="L1207" s="55">
        <v>45293</v>
      </c>
      <c r="M1207" s="55">
        <v>45293</v>
      </c>
      <c r="N1207" s="53" t="s">
        <v>612</v>
      </c>
      <c r="O1207" s="53">
        <v>0</v>
      </c>
      <c r="P1207" s="53"/>
      <c r="Q1207" s="53" t="s">
        <v>3646</v>
      </c>
      <c r="R1207" s="45">
        <v>410</v>
      </c>
      <c r="S1207" s="56">
        <v>0.01</v>
      </c>
      <c r="T1207" s="47" t="s">
        <v>401</v>
      </c>
      <c r="U1207" s="48" t="s">
        <v>199</v>
      </c>
      <c r="V1207" s="38"/>
      <c r="W1207" s="38"/>
      <c r="X1207" s="38" t="s">
        <v>583</v>
      </c>
      <c r="Y1207" s="49" t="s">
        <v>584</v>
      </c>
      <c r="Z1207" s="50" t="s">
        <v>3647</v>
      </c>
      <c r="AA1207" s="38"/>
      <c r="AB1207" s="38"/>
      <c r="AC1207" s="38"/>
      <c r="AD1207" s="51">
        <v>24</v>
      </c>
      <c r="AE1207" s="51">
        <v>0</v>
      </c>
      <c r="AF1207" s="48" t="s">
        <v>195</v>
      </c>
      <c r="AG1207" s="38" t="s">
        <v>403</v>
      </c>
      <c r="AH1207" s="52"/>
      <c r="AI1207" s="38"/>
      <c r="AJ1207" s="38"/>
    </row>
    <row r="1208" spans="1:36" ht="16.2">
      <c r="A1208" s="42" t="s">
        <v>577</v>
      </c>
      <c r="B1208" s="42">
        <v>69963411</v>
      </c>
      <c r="C1208" s="42" t="s">
        <v>578</v>
      </c>
      <c r="D1208" s="42">
        <v>13207579</v>
      </c>
      <c r="E1208" s="43" t="s">
        <v>3639</v>
      </c>
      <c r="F1208" s="42" t="s">
        <v>3648</v>
      </c>
      <c r="G1208" s="42"/>
      <c r="H1208" s="42"/>
      <c r="I1208" s="42"/>
      <c r="J1208" s="42"/>
      <c r="K1208" s="42"/>
      <c r="L1208" s="44">
        <v>45293</v>
      </c>
      <c r="M1208" s="44">
        <v>45293</v>
      </c>
      <c r="N1208" s="42" t="s">
        <v>612</v>
      </c>
      <c r="O1208" s="42">
        <v>0</v>
      </c>
      <c r="P1208" s="42"/>
      <c r="Q1208" s="42" t="s">
        <v>3649</v>
      </c>
      <c r="R1208" s="45">
        <v>410</v>
      </c>
      <c r="S1208" s="46">
        <v>0.01</v>
      </c>
      <c r="T1208" s="47" t="s">
        <v>401</v>
      </c>
      <c r="U1208" s="48" t="s">
        <v>199</v>
      </c>
      <c r="V1208" s="38"/>
      <c r="W1208" s="38"/>
      <c r="X1208" s="38" t="s">
        <v>583</v>
      </c>
      <c r="Y1208" s="49" t="s">
        <v>584</v>
      </c>
      <c r="Z1208" s="50" t="s">
        <v>3650</v>
      </c>
      <c r="AA1208" s="38"/>
      <c r="AB1208" s="38"/>
      <c r="AC1208" s="38"/>
      <c r="AD1208" s="51">
        <v>24</v>
      </c>
      <c r="AE1208" s="51">
        <v>0</v>
      </c>
      <c r="AF1208" s="48" t="s">
        <v>195</v>
      </c>
      <c r="AG1208" s="38" t="s">
        <v>403</v>
      </c>
      <c r="AH1208" s="52"/>
      <c r="AI1208" s="38"/>
      <c r="AJ1208" s="38"/>
    </row>
    <row r="1209" spans="1:36" ht="16.2">
      <c r="A1209" s="53" t="s">
        <v>577</v>
      </c>
      <c r="B1209" s="53">
        <v>69963412</v>
      </c>
      <c r="C1209" s="53" t="s">
        <v>578</v>
      </c>
      <c r="D1209" s="53">
        <v>13207580</v>
      </c>
      <c r="E1209" s="54" t="s">
        <v>3651</v>
      </c>
      <c r="F1209" s="53" t="s">
        <v>580</v>
      </c>
      <c r="G1209" s="53"/>
      <c r="H1209" s="53"/>
      <c r="I1209" s="53"/>
      <c r="J1209" s="53"/>
      <c r="K1209" s="53"/>
      <c r="L1209" s="55">
        <v>45293</v>
      </c>
      <c r="M1209" s="55">
        <v>45293</v>
      </c>
      <c r="N1209" s="53" t="s">
        <v>612</v>
      </c>
      <c r="O1209" s="53">
        <v>0</v>
      </c>
      <c r="P1209" s="53"/>
      <c r="Q1209" s="53" t="s">
        <v>3652</v>
      </c>
      <c r="R1209" s="45">
        <v>410</v>
      </c>
      <c r="S1209" s="56">
        <v>0.01</v>
      </c>
      <c r="T1209" s="47" t="s">
        <v>401</v>
      </c>
      <c r="U1209" s="48" t="s">
        <v>199</v>
      </c>
      <c r="V1209" s="38"/>
      <c r="W1209" s="38"/>
      <c r="X1209" s="38" t="s">
        <v>583</v>
      </c>
      <c r="Y1209" s="49" t="s">
        <v>584</v>
      </c>
      <c r="Z1209" s="50" t="s">
        <v>3653</v>
      </c>
      <c r="AA1209" s="38"/>
      <c r="AB1209" s="38"/>
      <c r="AC1209" s="38"/>
      <c r="AD1209" s="51">
        <v>24</v>
      </c>
      <c r="AE1209" s="51">
        <v>0</v>
      </c>
      <c r="AF1209" s="48" t="s">
        <v>195</v>
      </c>
      <c r="AG1209" s="38" t="s">
        <v>403</v>
      </c>
      <c r="AH1209" s="52"/>
      <c r="AI1209" s="38"/>
      <c r="AJ1209" s="38"/>
    </row>
    <row r="1210" spans="1:36" ht="16.2">
      <c r="A1210" s="42" t="s">
        <v>577</v>
      </c>
      <c r="B1210" s="42">
        <v>69963412</v>
      </c>
      <c r="C1210" s="42" t="s">
        <v>578</v>
      </c>
      <c r="D1210" s="42">
        <v>13207580</v>
      </c>
      <c r="E1210" s="43" t="s">
        <v>3651</v>
      </c>
      <c r="F1210" s="42" t="s">
        <v>586</v>
      </c>
      <c r="G1210" s="42"/>
      <c r="H1210" s="42"/>
      <c r="I1210" s="42"/>
      <c r="J1210" s="42"/>
      <c r="K1210" s="42"/>
      <c r="L1210" s="44">
        <v>45293</v>
      </c>
      <c r="M1210" s="44">
        <v>45293</v>
      </c>
      <c r="N1210" s="42" t="s">
        <v>612</v>
      </c>
      <c r="O1210" s="42">
        <v>0</v>
      </c>
      <c r="P1210" s="42"/>
      <c r="Q1210" s="42" t="s">
        <v>3654</v>
      </c>
      <c r="R1210" s="45">
        <v>410</v>
      </c>
      <c r="S1210" s="46">
        <v>0.01</v>
      </c>
      <c r="T1210" s="47" t="s">
        <v>401</v>
      </c>
      <c r="U1210" s="48" t="s">
        <v>199</v>
      </c>
      <c r="V1210" s="38"/>
      <c r="W1210" s="38"/>
      <c r="X1210" s="38" t="s">
        <v>583</v>
      </c>
      <c r="Y1210" s="49" t="s">
        <v>584</v>
      </c>
      <c r="Z1210" s="50" t="s">
        <v>3655</v>
      </c>
      <c r="AA1210" s="38"/>
      <c r="AB1210" s="38"/>
      <c r="AC1210" s="38"/>
      <c r="AD1210" s="51">
        <v>24</v>
      </c>
      <c r="AE1210" s="51">
        <v>0</v>
      </c>
      <c r="AF1210" s="48" t="s">
        <v>195</v>
      </c>
      <c r="AG1210" s="38" t="s">
        <v>403</v>
      </c>
      <c r="AH1210" s="52"/>
      <c r="AI1210" s="38"/>
      <c r="AJ1210" s="38"/>
    </row>
    <row r="1211" spans="1:36" ht="16.2">
      <c r="A1211" s="53" t="s">
        <v>577</v>
      </c>
      <c r="B1211" s="53">
        <v>69963412</v>
      </c>
      <c r="C1211" s="53" t="s">
        <v>578</v>
      </c>
      <c r="D1211" s="53">
        <v>13207580</v>
      </c>
      <c r="E1211" s="54" t="s">
        <v>3651</v>
      </c>
      <c r="F1211" s="53" t="s">
        <v>589</v>
      </c>
      <c r="G1211" s="53"/>
      <c r="H1211" s="53"/>
      <c r="I1211" s="53"/>
      <c r="J1211" s="53"/>
      <c r="K1211" s="53"/>
      <c r="L1211" s="55">
        <v>45293</v>
      </c>
      <c r="M1211" s="55">
        <v>45293</v>
      </c>
      <c r="N1211" s="53" t="s">
        <v>612</v>
      </c>
      <c r="O1211" s="53">
        <v>0</v>
      </c>
      <c r="P1211" s="53"/>
      <c r="Q1211" s="53" t="s">
        <v>3656</v>
      </c>
      <c r="R1211" s="45">
        <v>410</v>
      </c>
      <c r="S1211" s="56">
        <v>0.01</v>
      </c>
      <c r="T1211" s="47" t="s">
        <v>401</v>
      </c>
      <c r="U1211" s="48" t="s">
        <v>199</v>
      </c>
      <c r="V1211" s="38"/>
      <c r="W1211" s="38"/>
      <c r="X1211" s="38" t="s">
        <v>583</v>
      </c>
      <c r="Y1211" s="49" t="s">
        <v>584</v>
      </c>
      <c r="Z1211" s="50" t="s">
        <v>3657</v>
      </c>
      <c r="AA1211" s="38"/>
      <c r="AB1211" s="38"/>
      <c r="AC1211" s="38"/>
      <c r="AD1211" s="51">
        <v>24</v>
      </c>
      <c r="AE1211" s="51">
        <v>0</v>
      </c>
      <c r="AF1211" s="48" t="s">
        <v>195</v>
      </c>
      <c r="AG1211" s="38" t="s">
        <v>403</v>
      </c>
      <c r="AH1211" s="52"/>
      <c r="AI1211" s="38"/>
      <c r="AJ1211" s="38"/>
    </row>
    <row r="1212" spans="1:36" ht="16.2">
      <c r="A1212" s="42" t="s">
        <v>577</v>
      </c>
      <c r="B1212" s="42">
        <v>69963412</v>
      </c>
      <c r="C1212" s="42" t="s">
        <v>578</v>
      </c>
      <c r="D1212" s="42">
        <v>13207580</v>
      </c>
      <c r="E1212" s="43" t="s">
        <v>3651</v>
      </c>
      <c r="F1212" s="42" t="s">
        <v>592</v>
      </c>
      <c r="G1212" s="42"/>
      <c r="H1212" s="42"/>
      <c r="I1212" s="42"/>
      <c r="J1212" s="42"/>
      <c r="K1212" s="42"/>
      <c r="L1212" s="44">
        <v>45293</v>
      </c>
      <c r="M1212" s="44">
        <v>45293</v>
      </c>
      <c r="N1212" s="42" t="s">
        <v>612</v>
      </c>
      <c r="O1212" s="42">
        <v>0</v>
      </c>
      <c r="P1212" s="42"/>
      <c r="Q1212" s="42" t="s">
        <v>3658</v>
      </c>
      <c r="R1212" s="45">
        <v>410</v>
      </c>
      <c r="S1212" s="46">
        <v>0.01</v>
      </c>
      <c r="T1212" s="47" t="s">
        <v>401</v>
      </c>
      <c r="U1212" s="48" t="s">
        <v>199</v>
      </c>
      <c r="V1212" s="38"/>
      <c r="W1212" s="38"/>
      <c r="X1212" s="38" t="s">
        <v>583</v>
      </c>
      <c r="Y1212" s="49" t="s">
        <v>584</v>
      </c>
      <c r="Z1212" s="50" t="s">
        <v>3659</v>
      </c>
      <c r="AA1212" s="38"/>
      <c r="AB1212" s="38"/>
      <c r="AC1212" s="38"/>
      <c r="AD1212" s="51">
        <v>24</v>
      </c>
      <c r="AE1212" s="51">
        <v>0</v>
      </c>
      <c r="AF1212" s="48" t="s">
        <v>195</v>
      </c>
      <c r="AG1212" s="38" t="s">
        <v>403</v>
      </c>
      <c r="AH1212" s="52"/>
      <c r="AI1212" s="38"/>
      <c r="AJ1212" s="38"/>
    </row>
    <row r="1213" spans="1:36" ht="16.2">
      <c r="A1213" s="53" t="s">
        <v>577</v>
      </c>
      <c r="B1213" s="53">
        <v>69963412</v>
      </c>
      <c r="C1213" s="53" t="s">
        <v>578</v>
      </c>
      <c r="D1213" s="53">
        <v>13207580</v>
      </c>
      <c r="E1213" s="54" t="s">
        <v>3651</v>
      </c>
      <c r="F1213" s="53" t="s">
        <v>3660</v>
      </c>
      <c r="G1213" s="53"/>
      <c r="H1213" s="53"/>
      <c r="I1213" s="53"/>
      <c r="J1213" s="53"/>
      <c r="K1213" s="53"/>
      <c r="L1213" s="55">
        <v>45293</v>
      </c>
      <c r="M1213" s="55">
        <v>45293</v>
      </c>
      <c r="N1213" s="53" t="s">
        <v>612</v>
      </c>
      <c r="O1213" s="53">
        <v>0</v>
      </c>
      <c r="P1213" s="53"/>
      <c r="Q1213" s="53" t="s">
        <v>3661</v>
      </c>
      <c r="R1213" s="45">
        <v>410</v>
      </c>
      <c r="S1213" s="56">
        <v>0.01</v>
      </c>
      <c r="T1213" s="47" t="s">
        <v>401</v>
      </c>
      <c r="U1213" s="48" t="s">
        <v>199</v>
      </c>
      <c r="V1213" s="38"/>
      <c r="W1213" s="38"/>
      <c r="X1213" s="38" t="s">
        <v>583</v>
      </c>
      <c r="Y1213" s="49" t="s">
        <v>584</v>
      </c>
      <c r="Z1213" s="50" t="s">
        <v>3662</v>
      </c>
      <c r="AA1213" s="38"/>
      <c r="AB1213" s="38"/>
      <c r="AC1213" s="38"/>
      <c r="AD1213" s="51">
        <v>24</v>
      </c>
      <c r="AE1213" s="51">
        <v>0</v>
      </c>
      <c r="AF1213" s="48" t="s">
        <v>195</v>
      </c>
      <c r="AG1213" s="38" t="s">
        <v>403</v>
      </c>
      <c r="AH1213" s="52"/>
      <c r="AI1213" s="38"/>
      <c r="AJ1213" s="38"/>
    </row>
    <row r="1214" spans="1:36" ht="16.2">
      <c r="A1214" s="42" t="s">
        <v>302</v>
      </c>
      <c r="B1214" s="42">
        <v>709930</v>
      </c>
      <c r="C1214" s="42" t="s">
        <v>3663</v>
      </c>
      <c r="D1214" s="42">
        <v>13207614</v>
      </c>
      <c r="E1214" s="43" t="s">
        <v>3664</v>
      </c>
      <c r="F1214" s="42" t="s">
        <v>3665</v>
      </c>
      <c r="G1214" s="42" t="s">
        <v>195</v>
      </c>
      <c r="H1214" s="42"/>
      <c r="I1214" s="42"/>
      <c r="J1214" s="42">
        <v>13207614</v>
      </c>
      <c r="K1214" s="42"/>
      <c r="L1214" s="44">
        <v>45293</v>
      </c>
      <c r="M1214" s="44">
        <v>45293</v>
      </c>
      <c r="N1214" s="42" t="s">
        <v>306</v>
      </c>
      <c r="O1214" s="42">
        <v>0</v>
      </c>
      <c r="P1214" s="42">
        <v>20009855</v>
      </c>
      <c r="Q1214" s="42" t="s">
        <v>3666</v>
      </c>
      <c r="R1214" s="45">
        <v>410</v>
      </c>
      <c r="S1214" s="46">
        <v>0.01</v>
      </c>
      <c r="T1214" s="47" t="s">
        <v>198</v>
      </c>
      <c r="U1214" s="48" t="s">
        <v>199</v>
      </c>
      <c r="V1214" s="38"/>
      <c r="W1214" s="48" t="s">
        <v>195</v>
      </c>
      <c r="X1214" s="38" t="s">
        <v>308</v>
      </c>
      <c r="Y1214" s="49" t="s">
        <v>309</v>
      </c>
      <c r="Z1214" s="50" t="s">
        <v>3667</v>
      </c>
      <c r="AA1214" s="38"/>
      <c r="AB1214" s="38"/>
      <c r="AC1214" s="38"/>
      <c r="AD1214" s="51">
        <v>146</v>
      </c>
      <c r="AE1214" s="51">
        <v>146</v>
      </c>
      <c r="AF1214" s="48" t="s">
        <v>203</v>
      </c>
      <c r="AG1214" s="38" t="s">
        <v>204</v>
      </c>
      <c r="AH1214" s="52"/>
      <c r="AI1214" s="38"/>
      <c r="AJ1214" s="38"/>
    </row>
    <row r="1215" spans="1:36" ht="16.2">
      <c r="A1215" s="53" t="s">
        <v>857</v>
      </c>
      <c r="B1215" s="53">
        <v>739536</v>
      </c>
      <c r="C1215" s="53" t="s">
        <v>3668</v>
      </c>
      <c r="D1215" s="53">
        <v>13207702</v>
      </c>
      <c r="E1215" s="54" t="s">
        <v>3669</v>
      </c>
      <c r="F1215" s="53" t="s">
        <v>3670</v>
      </c>
      <c r="G1215" s="53" t="s">
        <v>195</v>
      </c>
      <c r="H1215" s="53" t="s">
        <v>3671</v>
      </c>
      <c r="I1215" s="53"/>
      <c r="J1215" s="53">
        <v>13207702</v>
      </c>
      <c r="K1215" s="53"/>
      <c r="L1215" s="55">
        <v>45293</v>
      </c>
      <c r="M1215" s="55">
        <v>45293</v>
      </c>
      <c r="N1215" s="53" t="s">
        <v>1781</v>
      </c>
      <c r="O1215" s="53">
        <v>0</v>
      </c>
      <c r="P1215" s="53">
        <v>20009954</v>
      </c>
      <c r="Q1215" s="53" t="s">
        <v>3672</v>
      </c>
      <c r="R1215" s="45">
        <v>410</v>
      </c>
      <c r="S1215" s="56">
        <v>0.01</v>
      </c>
      <c r="T1215" s="47" t="s">
        <v>198</v>
      </c>
      <c r="U1215" s="48" t="s">
        <v>199</v>
      </c>
      <c r="V1215" s="38"/>
      <c r="W1215" s="48" t="s">
        <v>195</v>
      </c>
      <c r="X1215" s="38" t="s">
        <v>426</v>
      </c>
      <c r="Y1215" s="49" t="s">
        <v>427</v>
      </c>
      <c r="Z1215" s="50" t="s">
        <v>3673</v>
      </c>
      <c r="AA1215" s="47" t="s">
        <v>3674</v>
      </c>
      <c r="AB1215" s="38"/>
      <c r="AC1215" s="38"/>
      <c r="AD1215" s="51">
        <v>21</v>
      </c>
      <c r="AE1215" s="51">
        <v>21</v>
      </c>
      <c r="AF1215" s="48" t="s">
        <v>203</v>
      </c>
      <c r="AG1215" s="38" t="s">
        <v>204</v>
      </c>
      <c r="AH1215" s="52"/>
      <c r="AI1215" s="38"/>
      <c r="AJ1215" s="38"/>
    </row>
    <row r="1216" spans="1:36" ht="16.2">
      <c r="A1216" s="42" t="s">
        <v>857</v>
      </c>
      <c r="B1216" s="42">
        <v>739537</v>
      </c>
      <c r="C1216" s="42" t="s">
        <v>3675</v>
      </c>
      <c r="D1216" s="42">
        <v>13207703</v>
      </c>
      <c r="E1216" s="43" t="s">
        <v>3676</v>
      </c>
      <c r="F1216" s="42" t="s">
        <v>3677</v>
      </c>
      <c r="G1216" s="42" t="s">
        <v>195</v>
      </c>
      <c r="H1216" s="42"/>
      <c r="I1216" s="42"/>
      <c r="J1216" s="42">
        <v>13207703</v>
      </c>
      <c r="K1216" s="42"/>
      <c r="L1216" s="44">
        <v>45293</v>
      </c>
      <c r="M1216" s="44">
        <v>45293</v>
      </c>
      <c r="N1216" s="42" t="s">
        <v>1529</v>
      </c>
      <c r="O1216" s="42">
        <v>0</v>
      </c>
      <c r="P1216" s="42">
        <v>20031098</v>
      </c>
      <c r="Q1216" s="42" t="s">
        <v>3678</v>
      </c>
      <c r="R1216" s="45">
        <v>410</v>
      </c>
      <c r="S1216" s="46">
        <v>0.01</v>
      </c>
      <c r="T1216" s="47" t="s">
        <v>198</v>
      </c>
      <c r="U1216" s="48" t="s">
        <v>199</v>
      </c>
      <c r="V1216" s="38"/>
      <c r="W1216" s="48" t="s">
        <v>195</v>
      </c>
      <c r="X1216" s="38" t="s">
        <v>426</v>
      </c>
      <c r="Y1216" s="49" t="s">
        <v>427</v>
      </c>
      <c r="Z1216" s="50" t="s">
        <v>3679</v>
      </c>
      <c r="AA1216" s="38"/>
      <c r="AB1216" s="38"/>
      <c r="AC1216" s="38"/>
      <c r="AD1216" s="51">
        <v>26</v>
      </c>
      <c r="AE1216" s="51">
        <v>26</v>
      </c>
      <c r="AF1216" s="48" t="s">
        <v>203</v>
      </c>
      <c r="AG1216" s="38" t="s">
        <v>204</v>
      </c>
      <c r="AH1216" s="52"/>
      <c r="AI1216" s="38"/>
      <c r="AJ1216" s="38"/>
    </row>
    <row r="1217" spans="1:36" ht="16.2">
      <c r="A1217" s="53" t="s">
        <v>191</v>
      </c>
      <c r="B1217" s="53">
        <v>51863501</v>
      </c>
      <c r="C1217" s="53" t="s">
        <v>3680</v>
      </c>
      <c r="D1217" s="53">
        <v>13207724</v>
      </c>
      <c r="E1217" s="54" t="s">
        <v>3681</v>
      </c>
      <c r="F1217" s="53" t="s">
        <v>3682</v>
      </c>
      <c r="G1217" s="53" t="s">
        <v>195</v>
      </c>
      <c r="H1217" s="53"/>
      <c r="I1217" s="53"/>
      <c r="J1217" s="53">
        <v>13207724</v>
      </c>
      <c r="K1217" s="53"/>
      <c r="L1217" s="55">
        <v>45293</v>
      </c>
      <c r="M1217" s="55">
        <v>45293</v>
      </c>
      <c r="N1217" s="53" t="s">
        <v>196</v>
      </c>
      <c r="O1217" s="53">
        <v>0</v>
      </c>
      <c r="P1217" s="53">
        <v>20010079</v>
      </c>
      <c r="Q1217" s="53" t="s">
        <v>3683</v>
      </c>
      <c r="R1217" s="45">
        <v>410</v>
      </c>
      <c r="S1217" s="56">
        <v>0.01</v>
      </c>
      <c r="T1217" s="47" t="s">
        <v>198</v>
      </c>
      <c r="U1217" s="48" t="s">
        <v>199</v>
      </c>
      <c r="V1217" s="38"/>
      <c r="W1217" s="48" t="s">
        <v>195</v>
      </c>
      <c r="X1217" s="38" t="s">
        <v>200</v>
      </c>
      <c r="Y1217" s="49" t="s">
        <v>201</v>
      </c>
      <c r="Z1217" s="50" t="s">
        <v>3684</v>
      </c>
      <c r="AA1217" s="38"/>
      <c r="AB1217" s="38"/>
      <c r="AC1217" s="38"/>
      <c r="AD1217" s="51">
        <v>16</v>
      </c>
      <c r="AE1217" s="51">
        <v>16</v>
      </c>
      <c r="AF1217" s="48" t="s">
        <v>203</v>
      </c>
      <c r="AG1217" s="38" t="s">
        <v>204</v>
      </c>
      <c r="AH1217" s="52"/>
      <c r="AI1217" s="38"/>
      <c r="AJ1217" s="38"/>
    </row>
    <row r="1218" spans="1:36" ht="16.2">
      <c r="A1218" s="42" t="s">
        <v>302</v>
      </c>
      <c r="B1218" s="42">
        <v>669446</v>
      </c>
      <c r="C1218" s="42" t="s">
        <v>3685</v>
      </c>
      <c r="D1218" s="42">
        <v>13207615</v>
      </c>
      <c r="E1218" s="43" t="s">
        <v>3686</v>
      </c>
      <c r="F1218" s="42" t="s">
        <v>3687</v>
      </c>
      <c r="G1218" s="42" t="s">
        <v>195</v>
      </c>
      <c r="H1218" s="42"/>
      <c r="I1218" s="42"/>
      <c r="J1218" s="42">
        <v>13207615</v>
      </c>
      <c r="K1218" s="42"/>
      <c r="L1218" s="44">
        <v>45293</v>
      </c>
      <c r="M1218" s="44">
        <v>45293</v>
      </c>
      <c r="N1218" s="42" t="s">
        <v>306</v>
      </c>
      <c r="O1218" s="42">
        <v>0</v>
      </c>
      <c r="P1218" s="42">
        <v>20009855</v>
      </c>
      <c r="Q1218" s="42" t="s">
        <v>3688</v>
      </c>
      <c r="R1218" s="45">
        <v>410</v>
      </c>
      <c r="S1218" s="46">
        <v>0.01</v>
      </c>
      <c r="T1218" s="47" t="s">
        <v>198</v>
      </c>
      <c r="U1218" s="48" t="s">
        <v>199</v>
      </c>
      <c r="V1218" s="38"/>
      <c r="W1218" s="48" t="s">
        <v>195</v>
      </c>
      <c r="X1218" s="38" t="s">
        <v>308</v>
      </c>
      <c r="Y1218" s="49" t="s">
        <v>309</v>
      </c>
      <c r="Z1218" s="50" t="s">
        <v>3689</v>
      </c>
      <c r="AA1218" s="38"/>
      <c r="AB1218" s="38"/>
      <c r="AC1218" s="38"/>
      <c r="AD1218" s="51">
        <v>146</v>
      </c>
      <c r="AE1218" s="51">
        <v>146</v>
      </c>
      <c r="AF1218" s="48" t="s">
        <v>203</v>
      </c>
      <c r="AG1218" s="38" t="s">
        <v>204</v>
      </c>
      <c r="AH1218" s="52"/>
      <c r="AI1218" s="38"/>
      <c r="AJ1218" s="38"/>
    </row>
    <row r="1219" spans="1:36" ht="16.2">
      <c r="A1219" s="53" t="s">
        <v>302</v>
      </c>
      <c r="B1219" s="53">
        <v>669446</v>
      </c>
      <c r="C1219" s="53" t="s">
        <v>3685</v>
      </c>
      <c r="D1219" s="53">
        <v>13207615</v>
      </c>
      <c r="E1219" s="54" t="s">
        <v>3686</v>
      </c>
      <c r="F1219" s="53" t="s">
        <v>3690</v>
      </c>
      <c r="G1219" s="53" t="s">
        <v>195</v>
      </c>
      <c r="H1219" s="53"/>
      <c r="I1219" s="53"/>
      <c r="J1219" s="53">
        <v>13207615</v>
      </c>
      <c r="K1219" s="53"/>
      <c r="L1219" s="55">
        <v>45293</v>
      </c>
      <c r="M1219" s="55">
        <v>45293</v>
      </c>
      <c r="N1219" s="53" t="s">
        <v>306</v>
      </c>
      <c r="O1219" s="53">
        <v>0</v>
      </c>
      <c r="P1219" s="53">
        <v>20009855</v>
      </c>
      <c r="Q1219" s="53" t="s">
        <v>3691</v>
      </c>
      <c r="R1219" s="45">
        <v>410</v>
      </c>
      <c r="S1219" s="56">
        <v>0.01</v>
      </c>
      <c r="T1219" s="47" t="s">
        <v>198</v>
      </c>
      <c r="U1219" s="48" t="s">
        <v>199</v>
      </c>
      <c r="V1219" s="38"/>
      <c r="W1219" s="48" t="s">
        <v>195</v>
      </c>
      <c r="X1219" s="38" t="s">
        <v>308</v>
      </c>
      <c r="Y1219" s="49" t="s">
        <v>309</v>
      </c>
      <c r="Z1219" s="50" t="s">
        <v>3692</v>
      </c>
      <c r="AA1219" s="38"/>
      <c r="AB1219" s="38"/>
      <c r="AC1219" s="38"/>
      <c r="AD1219" s="51">
        <v>146</v>
      </c>
      <c r="AE1219" s="51">
        <v>146</v>
      </c>
      <c r="AF1219" s="48" t="s">
        <v>203</v>
      </c>
      <c r="AG1219" s="38" t="s">
        <v>204</v>
      </c>
      <c r="AH1219" s="52"/>
      <c r="AI1219" s="38"/>
      <c r="AJ1219" s="38"/>
    </row>
    <row r="1220" spans="1:36" ht="16.2">
      <c r="A1220" s="42" t="s">
        <v>302</v>
      </c>
      <c r="B1220" s="42">
        <v>669446</v>
      </c>
      <c r="C1220" s="42" t="s">
        <v>3685</v>
      </c>
      <c r="D1220" s="42">
        <v>13207615</v>
      </c>
      <c r="E1220" s="43" t="s">
        <v>3686</v>
      </c>
      <c r="F1220" s="42" t="s">
        <v>3693</v>
      </c>
      <c r="G1220" s="42" t="s">
        <v>195</v>
      </c>
      <c r="H1220" s="42"/>
      <c r="I1220" s="42"/>
      <c r="J1220" s="42">
        <v>13207615</v>
      </c>
      <c r="K1220" s="42"/>
      <c r="L1220" s="44">
        <v>45293</v>
      </c>
      <c r="M1220" s="44">
        <v>45293</v>
      </c>
      <c r="N1220" s="42" t="s">
        <v>306</v>
      </c>
      <c r="O1220" s="42">
        <v>0</v>
      </c>
      <c r="P1220" s="42">
        <v>20009855</v>
      </c>
      <c r="Q1220" s="42" t="s">
        <v>3694</v>
      </c>
      <c r="R1220" s="45">
        <v>410</v>
      </c>
      <c r="S1220" s="46">
        <v>0.01</v>
      </c>
      <c r="T1220" s="47" t="s">
        <v>198</v>
      </c>
      <c r="U1220" s="48" t="s">
        <v>199</v>
      </c>
      <c r="V1220" s="38"/>
      <c r="W1220" s="48" t="s">
        <v>195</v>
      </c>
      <c r="X1220" s="38" t="s">
        <v>308</v>
      </c>
      <c r="Y1220" s="49" t="s">
        <v>309</v>
      </c>
      <c r="Z1220" s="50" t="s">
        <v>3695</v>
      </c>
      <c r="AA1220" s="38"/>
      <c r="AB1220" s="38"/>
      <c r="AC1220" s="38"/>
      <c r="AD1220" s="51">
        <v>146</v>
      </c>
      <c r="AE1220" s="51">
        <v>146</v>
      </c>
      <c r="AF1220" s="48" t="s">
        <v>203</v>
      </c>
      <c r="AG1220" s="38" t="s">
        <v>204</v>
      </c>
      <c r="AH1220" s="52"/>
      <c r="AI1220" s="38"/>
      <c r="AJ1220" s="38"/>
    </row>
    <row r="1221" spans="1:36" ht="16.2">
      <c r="A1221" s="53" t="s">
        <v>302</v>
      </c>
      <c r="B1221" s="53">
        <v>669446</v>
      </c>
      <c r="C1221" s="53" t="s">
        <v>3685</v>
      </c>
      <c r="D1221" s="53">
        <v>13207615</v>
      </c>
      <c r="E1221" s="54" t="s">
        <v>3686</v>
      </c>
      <c r="F1221" s="53" t="s">
        <v>3696</v>
      </c>
      <c r="G1221" s="53" t="s">
        <v>195</v>
      </c>
      <c r="H1221" s="53"/>
      <c r="I1221" s="53"/>
      <c r="J1221" s="53">
        <v>13207615</v>
      </c>
      <c r="K1221" s="53"/>
      <c r="L1221" s="55">
        <v>45293</v>
      </c>
      <c r="M1221" s="55">
        <v>45293</v>
      </c>
      <c r="N1221" s="53" t="s">
        <v>306</v>
      </c>
      <c r="O1221" s="53">
        <v>0</v>
      </c>
      <c r="P1221" s="53">
        <v>20009855</v>
      </c>
      <c r="Q1221" s="53" t="s">
        <v>3697</v>
      </c>
      <c r="R1221" s="45">
        <v>410</v>
      </c>
      <c r="S1221" s="56">
        <v>0.01</v>
      </c>
      <c r="T1221" s="47" t="s">
        <v>198</v>
      </c>
      <c r="U1221" s="48" t="s">
        <v>199</v>
      </c>
      <c r="V1221" s="38"/>
      <c r="W1221" s="48" t="s">
        <v>195</v>
      </c>
      <c r="X1221" s="38" t="s">
        <v>308</v>
      </c>
      <c r="Y1221" s="49" t="s">
        <v>309</v>
      </c>
      <c r="Z1221" s="50" t="s">
        <v>3698</v>
      </c>
      <c r="AA1221" s="38"/>
      <c r="AB1221" s="38"/>
      <c r="AC1221" s="38"/>
      <c r="AD1221" s="51">
        <v>146</v>
      </c>
      <c r="AE1221" s="51">
        <v>146</v>
      </c>
      <c r="AF1221" s="48" t="s">
        <v>203</v>
      </c>
      <c r="AG1221" s="38" t="s">
        <v>204</v>
      </c>
      <c r="AH1221" s="52"/>
      <c r="AI1221" s="38"/>
      <c r="AJ1221" s="38"/>
    </row>
    <row r="1222" spans="1:36" ht="16.2">
      <c r="A1222" s="42" t="s">
        <v>302</v>
      </c>
      <c r="B1222" s="42">
        <v>669446</v>
      </c>
      <c r="C1222" s="42" t="s">
        <v>3685</v>
      </c>
      <c r="D1222" s="42">
        <v>13207615</v>
      </c>
      <c r="E1222" s="43" t="s">
        <v>3686</v>
      </c>
      <c r="F1222" s="42" t="s">
        <v>3699</v>
      </c>
      <c r="G1222" s="42" t="s">
        <v>195</v>
      </c>
      <c r="H1222" s="42"/>
      <c r="I1222" s="42"/>
      <c r="J1222" s="42">
        <v>13207615</v>
      </c>
      <c r="K1222" s="42"/>
      <c r="L1222" s="44">
        <v>45293</v>
      </c>
      <c r="M1222" s="44">
        <v>45293</v>
      </c>
      <c r="N1222" s="42" t="s">
        <v>306</v>
      </c>
      <c r="O1222" s="42">
        <v>0</v>
      </c>
      <c r="P1222" s="42">
        <v>20009855</v>
      </c>
      <c r="Q1222" s="42" t="s">
        <v>3700</v>
      </c>
      <c r="R1222" s="45">
        <v>410</v>
      </c>
      <c r="S1222" s="46">
        <v>0.01</v>
      </c>
      <c r="T1222" s="47" t="s">
        <v>198</v>
      </c>
      <c r="U1222" s="48" t="s">
        <v>199</v>
      </c>
      <c r="V1222" s="38"/>
      <c r="W1222" s="48" t="s">
        <v>195</v>
      </c>
      <c r="X1222" s="38" t="s">
        <v>308</v>
      </c>
      <c r="Y1222" s="49" t="s">
        <v>309</v>
      </c>
      <c r="Z1222" s="50" t="s">
        <v>3701</v>
      </c>
      <c r="AA1222" s="38"/>
      <c r="AB1222" s="38"/>
      <c r="AC1222" s="38"/>
      <c r="AD1222" s="51">
        <v>146</v>
      </c>
      <c r="AE1222" s="51">
        <v>146</v>
      </c>
      <c r="AF1222" s="48" t="s">
        <v>203</v>
      </c>
      <c r="AG1222" s="38" t="s">
        <v>204</v>
      </c>
      <c r="AH1222" s="52"/>
      <c r="AI1222" s="38"/>
      <c r="AJ1222" s="38"/>
    </row>
    <row r="1223" spans="1:36" ht="16.2">
      <c r="A1223" s="53" t="s">
        <v>302</v>
      </c>
      <c r="B1223" s="53">
        <v>669446</v>
      </c>
      <c r="C1223" s="53" t="s">
        <v>3685</v>
      </c>
      <c r="D1223" s="53">
        <v>13207615</v>
      </c>
      <c r="E1223" s="54" t="s">
        <v>3686</v>
      </c>
      <c r="F1223" s="53" t="s">
        <v>3702</v>
      </c>
      <c r="G1223" s="53" t="s">
        <v>195</v>
      </c>
      <c r="H1223" s="53"/>
      <c r="I1223" s="53"/>
      <c r="J1223" s="53">
        <v>13207615</v>
      </c>
      <c r="K1223" s="53"/>
      <c r="L1223" s="55">
        <v>45293</v>
      </c>
      <c r="M1223" s="55">
        <v>45293</v>
      </c>
      <c r="N1223" s="53" t="s">
        <v>306</v>
      </c>
      <c r="O1223" s="53">
        <v>0</v>
      </c>
      <c r="P1223" s="53">
        <v>20009855</v>
      </c>
      <c r="Q1223" s="53" t="s">
        <v>3703</v>
      </c>
      <c r="R1223" s="45">
        <v>410</v>
      </c>
      <c r="S1223" s="56">
        <v>0.01</v>
      </c>
      <c r="T1223" s="47" t="s">
        <v>198</v>
      </c>
      <c r="U1223" s="48" t="s">
        <v>199</v>
      </c>
      <c r="V1223" s="38"/>
      <c r="W1223" s="48" t="s">
        <v>195</v>
      </c>
      <c r="X1223" s="38" t="s">
        <v>308</v>
      </c>
      <c r="Y1223" s="49" t="s">
        <v>309</v>
      </c>
      <c r="Z1223" s="50" t="s">
        <v>3704</v>
      </c>
      <c r="AA1223" s="38"/>
      <c r="AB1223" s="38"/>
      <c r="AC1223" s="38"/>
      <c r="AD1223" s="51">
        <v>146</v>
      </c>
      <c r="AE1223" s="51">
        <v>146</v>
      </c>
      <c r="AF1223" s="48" t="s">
        <v>203</v>
      </c>
      <c r="AG1223" s="38" t="s">
        <v>204</v>
      </c>
      <c r="AH1223" s="52"/>
      <c r="AI1223" s="38"/>
      <c r="AJ1223" s="38"/>
    </row>
    <row r="1224" spans="1:36" ht="16.2">
      <c r="A1224" s="42" t="s">
        <v>302</v>
      </c>
      <c r="B1224" s="42">
        <v>669446</v>
      </c>
      <c r="C1224" s="42" t="s">
        <v>3685</v>
      </c>
      <c r="D1224" s="42">
        <v>13207615</v>
      </c>
      <c r="E1224" s="43" t="s">
        <v>3686</v>
      </c>
      <c r="F1224" s="42" t="s">
        <v>944</v>
      </c>
      <c r="G1224" s="42" t="s">
        <v>195</v>
      </c>
      <c r="H1224" s="42"/>
      <c r="I1224" s="42"/>
      <c r="J1224" s="42">
        <v>13207615</v>
      </c>
      <c r="K1224" s="42"/>
      <c r="L1224" s="44">
        <v>45293</v>
      </c>
      <c r="M1224" s="44">
        <v>45293</v>
      </c>
      <c r="N1224" s="42" t="s">
        <v>306</v>
      </c>
      <c r="O1224" s="42">
        <v>0</v>
      </c>
      <c r="P1224" s="42">
        <v>20009855</v>
      </c>
      <c r="Q1224" s="42" t="s">
        <v>3705</v>
      </c>
      <c r="R1224" s="45">
        <v>410</v>
      </c>
      <c r="S1224" s="46">
        <v>0.01</v>
      </c>
      <c r="T1224" s="47" t="s">
        <v>198</v>
      </c>
      <c r="U1224" s="48" t="s">
        <v>199</v>
      </c>
      <c r="V1224" s="38"/>
      <c r="W1224" s="48" t="s">
        <v>195</v>
      </c>
      <c r="X1224" s="38" t="s">
        <v>308</v>
      </c>
      <c r="Y1224" s="49" t="s">
        <v>309</v>
      </c>
      <c r="Z1224" s="50" t="s">
        <v>3706</v>
      </c>
      <c r="AA1224" s="38"/>
      <c r="AB1224" s="38"/>
      <c r="AC1224" s="38"/>
      <c r="AD1224" s="51">
        <v>146</v>
      </c>
      <c r="AE1224" s="51">
        <v>146</v>
      </c>
      <c r="AF1224" s="48" t="s">
        <v>203</v>
      </c>
      <c r="AG1224" s="38" t="s">
        <v>204</v>
      </c>
      <c r="AH1224" s="52"/>
      <c r="AI1224" s="38"/>
      <c r="AJ1224" s="38"/>
    </row>
    <row r="1225" spans="1:36" ht="16.2">
      <c r="A1225" s="53" t="s">
        <v>302</v>
      </c>
      <c r="B1225" s="53">
        <v>669446</v>
      </c>
      <c r="C1225" s="53" t="s">
        <v>3685</v>
      </c>
      <c r="D1225" s="53">
        <v>13207615</v>
      </c>
      <c r="E1225" s="54" t="s">
        <v>3686</v>
      </c>
      <c r="F1225" s="53" t="s">
        <v>3707</v>
      </c>
      <c r="G1225" s="53" t="s">
        <v>195</v>
      </c>
      <c r="H1225" s="53"/>
      <c r="I1225" s="53"/>
      <c r="J1225" s="53">
        <v>13207615</v>
      </c>
      <c r="K1225" s="53"/>
      <c r="L1225" s="55">
        <v>45293</v>
      </c>
      <c r="M1225" s="55">
        <v>45293</v>
      </c>
      <c r="N1225" s="53" t="s">
        <v>306</v>
      </c>
      <c r="O1225" s="53">
        <v>0</v>
      </c>
      <c r="P1225" s="53">
        <v>20009855</v>
      </c>
      <c r="Q1225" s="53" t="s">
        <v>3708</v>
      </c>
      <c r="R1225" s="45">
        <v>410</v>
      </c>
      <c r="S1225" s="56">
        <v>0.01</v>
      </c>
      <c r="T1225" s="47" t="s">
        <v>198</v>
      </c>
      <c r="U1225" s="48" t="s">
        <v>199</v>
      </c>
      <c r="V1225" s="38"/>
      <c r="W1225" s="48" t="s">
        <v>195</v>
      </c>
      <c r="X1225" s="38" t="s">
        <v>308</v>
      </c>
      <c r="Y1225" s="49" t="s">
        <v>309</v>
      </c>
      <c r="Z1225" s="50" t="s">
        <v>3709</v>
      </c>
      <c r="AA1225" s="38"/>
      <c r="AB1225" s="38"/>
      <c r="AC1225" s="38"/>
      <c r="AD1225" s="51">
        <v>146</v>
      </c>
      <c r="AE1225" s="51">
        <v>146</v>
      </c>
      <c r="AF1225" s="48" t="s">
        <v>203</v>
      </c>
      <c r="AG1225" s="38" t="s">
        <v>204</v>
      </c>
      <c r="AH1225" s="52"/>
      <c r="AI1225" s="38"/>
      <c r="AJ1225" s="38"/>
    </row>
    <row r="1226" spans="1:36" ht="16.2">
      <c r="A1226" s="42" t="s">
        <v>311</v>
      </c>
      <c r="B1226" s="42">
        <v>669451</v>
      </c>
      <c r="C1226" s="42" t="s">
        <v>3710</v>
      </c>
      <c r="D1226" s="42">
        <v>13207624</v>
      </c>
      <c r="E1226" s="43" t="s">
        <v>3711</v>
      </c>
      <c r="F1226" s="42" t="s">
        <v>3687</v>
      </c>
      <c r="G1226" s="42" t="s">
        <v>195</v>
      </c>
      <c r="H1226" s="42"/>
      <c r="I1226" s="42"/>
      <c r="J1226" s="42">
        <v>13207624</v>
      </c>
      <c r="K1226" s="42"/>
      <c r="L1226" s="44">
        <v>45293</v>
      </c>
      <c r="M1226" s="44">
        <v>45293</v>
      </c>
      <c r="N1226" s="42" t="s">
        <v>315</v>
      </c>
      <c r="O1226" s="42">
        <v>0</v>
      </c>
      <c r="P1226" s="42">
        <v>20009908</v>
      </c>
      <c r="Q1226" s="42" t="s">
        <v>3712</v>
      </c>
      <c r="R1226" s="45">
        <v>410</v>
      </c>
      <c r="S1226" s="46">
        <v>0.01</v>
      </c>
      <c r="T1226" s="47" t="s">
        <v>198</v>
      </c>
      <c r="U1226" s="48" t="s">
        <v>199</v>
      </c>
      <c r="V1226" s="38"/>
      <c r="W1226" s="48" t="s">
        <v>195</v>
      </c>
      <c r="X1226" s="38" t="s">
        <v>308</v>
      </c>
      <c r="Y1226" s="49" t="s">
        <v>309</v>
      </c>
      <c r="Z1226" s="50" t="s">
        <v>3713</v>
      </c>
      <c r="AA1226" s="38"/>
      <c r="AB1226" s="38"/>
      <c r="AC1226" s="38"/>
      <c r="AD1226" s="51">
        <v>57</v>
      </c>
      <c r="AE1226" s="51">
        <v>57</v>
      </c>
      <c r="AF1226" s="48" t="s">
        <v>203</v>
      </c>
      <c r="AG1226" s="38" t="s">
        <v>204</v>
      </c>
      <c r="AH1226" s="52"/>
      <c r="AI1226" s="38"/>
      <c r="AJ1226" s="38"/>
    </row>
    <row r="1227" spans="1:36" ht="16.2">
      <c r="A1227" s="53" t="s">
        <v>311</v>
      </c>
      <c r="B1227" s="53">
        <v>669451</v>
      </c>
      <c r="C1227" s="53" t="s">
        <v>3710</v>
      </c>
      <c r="D1227" s="53">
        <v>13207624</v>
      </c>
      <c r="E1227" s="54" t="s">
        <v>3711</v>
      </c>
      <c r="F1227" s="53" t="s">
        <v>3690</v>
      </c>
      <c r="G1227" s="53" t="s">
        <v>195</v>
      </c>
      <c r="H1227" s="53"/>
      <c r="I1227" s="53"/>
      <c r="J1227" s="53">
        <v>13207624</v>
      </c>
      <c r="K1227" s="53"/>
      <c r="L1227" s="55">
        <v>45293</v>
      </c>
      <c r="M1227" s="55">
        <v>45293</v>
      </c>
      <c r="N1227" s="53" t="s">
        <v>315</v>
      </c>
      <c r="O1227" s="53">
        <v>0</v>
      </c>
      <c r="P1227" s="53">
        <v>20009908</v>
      </c>
      <c r="Q1227" s="53" t="s">
        <v>3714</v>
      </c>
      <c r="R1227" s="45">
        <v>410</v>
      </c>
      <c r="S1227" s="56">
        <v>0.01</v>
      </c>
      <c r="T1227" s="47" t="s">
        <v>198</v>
      </c>
      <c r="U1227" s="48" t="s">
        <v>199</v>
      </c>
      <c r="V1227" s="38"/>
      <c r="W1227" s="48" t="s">
        <v>195</v>
      </c>
      <c r="X1227" s="38" t="s">
        <v>308</v>
      </c>
      <c r="Y1227" s="49" t="s">
        <v>309</v>
      </c>
      <c r="Z1227" s="50" t="s">
        <v>3715</v>
      </c>
      <c r="AA1227" s="38"/>
      <c r="AB1227" s="38"/>
      <c r="AC1227" s="38"/>
      <c r="AD1227" s="51">
        <v>57</v>
      </c>
      <c r="AE1227" s="51">
        <v>57</v>
      </c>
      <c r="AF1227" s="48" t="s">
        <v>203</v>
      </c>
      <c r="AG1227" s="38" t="s">
        <v>204</v>
      </c>
      <c r="AH1227" s="52"/>
      <c r="AI1227" s="38"/>
      <c r="AJ1227" s="38"/>
    </row>
    <row r="1228" spans="1:36" ht="16.2">
      <c r="A1228" s="42" t="s">
        <v>311</v>
      </c>
      <c r="B1228" s="42">
        <v>669451</v>
      </c>
      <c r="C1228" s="42" t="s">
        <v>3710</v>
      </c>
      <c r="D1228" s="42">
        <v>13207624</v>
      </c>
      <c r="E1228" s="43" t="s">
        <v>3711</v>
      </c>
      <c r="F1228" s="42" t="s">
        <v>3693</v>
      </c>
      <c r="G1228" s="42" t="s">
        <v>195</v>
      </c>
      <c r="H1228" s="42"/>
      <c r="I1228" s="42"/>
      <c r="J1228" s="42">
        <v>13207624</v>
      </c>
      <c r="K1228" s="42"/>
      <c r="L1228" s="44">
        <v>45293</v>
      </c>
      <c r="M1228" s="44">
        <v>45293</v>
      </c>
      <c r="N1228" s="42" t="s">
        <v>315</v>
      </c>
      <c r="O1228" s="42">
        <v>0</v>
      </c>
      <c r="P1228" s="42">
        <v>20009908</v>
      </c>
      <c r="Q1228" s="42" t="s">
        <v>3716</v>
      </c>
      <c r="R1228" s="45">
        <v>410</v>
      </c>
      <c r="S1228" s="46">
        <v>0.01</v>
      </c>
      <c r="T1228" s="47" t="s">
        <v>198</v>
      </c>
      <c r="U1228" s="48" t="s">
        <v>199</v>
      </c>
      <c r="V1228" s="38"/>
      <c r="W1228" s="48" t="s">
        <v>195</v>
      </c>
      <c r="X1228" s="38" t="s">
        <v>308</v>
      </c>
      <c r="Y1228" s="49" t="s">
        <v>309</v>
      </c>
      <c r="Z1228" s="50" t="s">
        <v>3717</v>
      </c>
      <c r="AA1228" s="38"/>
      <c r="AB1228" s="38"/>
      <c r="AC1228" s="38"/>
      <c r="AD1228" s="51">
        <v>57</v>
      </c>
      <c r="AE1228" s="51">
        <v>57</v>
      </c>
      <c r="AF1228" s="48" t="s">
        <v>203</v>
      </c>
      <c r="AG1228" s="38" t="s">
        <v>204</v>
      </c>
      <c r="AH1228" s="52"/>
      <c r="AI1228" s="38"/>
      <c r="AJ1228" s="38"/>
    </row>
    <row r="1229" spans="1:36" ht="16.2">
      <c r="A1229" s="53" t="s">
        <v>311</v>
      </c>
      <c r="B1229" s="53">
        <v>669451</v>
      </c>
      <c r="C1229" s="53" t="s">
        <v>3710</v>
      </c>
      <c r="D1229" s="53">
        <v>13207624</v>
      </c>
      <c r="E1229" s="54" t="s">
        <v>3711</v>
      </c>
      <c r="F1229" s="53" t="s">
        <v>3696</v>
      </c>
      <c r="G1229" s="53" t="s">
        <v>195</v>
      </c>
      <c r="H1229" s="53"/>
      <c r="I1229" s="53"/>
      <c r="J1229" s="53">
        <v>13207624</v>
      </c>
      <c r="K1229" s="53"/>
      <c r="L1229" s="55">
        <v>45293</v>
      </c>
      <c r="M1229" s="55">
        <v>45293</v>
      </c>
      <c r="N1229" s="53" t="s">
        <v>315</v>
      </c>
      <c r="O1229" s="53">
        <v>0</v>
      </c>
      <c r="P1229" s="53">
        <v>20009908</v>
      </c>
      <c r="Q1229" s="53" t="s">
        <v>3718</v>
      </c>
      <c r="R1229" s="45">
        <v>410</v>
      </c>
      <c r="S1229" s="56">
        <v>0.01</v>
      </c>
      <c r="T1229" s="47" t="s">
        <v>198</v>
      </c>
      <c r="U1229" s="48" t="s">
        <v>199</v>
      </c>
      <c r="V1229" s="38"/>
      <c r="W1229" s="48" t="s">
        <v>195</v>
      </c>
      <c r="X1229" s="38" t="s">
        <v>308</v>
      </c>
      <c r="Y1229" s="49" t="s">
        <v>309</v>
      </c>
      <c r="Z1229" s="50" t="s">
        <v>3719</v>
      </c>
      <c r="AA1229" s="38"/>
      <c r="AB1229" s="38"/>
      <c r="AC1229" s="38"/>
      <c r="AD1229" s="51">
        <v>57</v>
      </c>
      <c r="AE1229" s="51">
        <v>57</v>
      </c>
      <c r="AF1229" s="48" t="s">
        <v>203</v>
      </c>
      <c r="AG1229" s="38" t="s">
        <v>204</v>
      </c>
      <c r="AH1229" s="52"/>
      <c r="AI1229" s="38"/>
      <c r="AJ1229" s="38"/>
    </row>
    <row r="1230" spans="1:36" ht="16.2">
      <c r="A1230" s="42" t="s">
        <v>311</v>
      </c>
      <c r="B1230" s="42">
        <v>669451</v>
      </c>
      <c r="C1230" s="42" t="s">
        <v>3710</v>
      </c>
      <c r="D1230" s="42">
        <v>13207624</v>
      </c>
      <c r="E1230" s="43" t="s">
        <v>3711</v>
      </c>
      <c r="F1230" s="42" t="s">
        <v>3720</v>
      </c>
      <c r="G1230" s="42" t="s">
        <v>195</v>
      </c>
      <c r="H1230" s="42"/>
      <c r="I1230" s="42"/>
      <c r="J1230" s="42">
        <v>13207624</v>
      </c>
      <c r="K1230" s="42"/>
      <c r="L1230" s="44">
        <v>45293</v>
      </c>
      <c r="M1230" s="44">
        <v>45293</v>
      </c>
      <c r="N1230" s="42" t="s">
        <v>315</v>
      </c>
      <c r="O1230" s="42">
        <v>0</v>
      </c>
      <c r="P1230" s="42">
        <v>20009908</v>
      </c>
      <c r="Q1230" s="42" t="s">
        <v>3721</v>
      </c>
      <c r="R1230" s="45">
        <v>410</v>
      </c>
      <c r="S1230" s="46">
        <v>0.01</v>
      </c>
      <c r="T1230" s="47" t="s">
        <v>198</v>
      </c>
      <c r="U1230" s="48" t="s">
        <v>199</v>
      </c>
      <c r="V1230" s="38"/>
      <c r="W1230" s="48" t="s">
        <v>195</v>
      </c>
      <c r="X1230" s="38" t="s">
        <v>308</v>
      </c>
      <c r="Y1230" s="49" t="s">
        <v>309</v>
      </c>
      <c r="Z1230" s="50" t="s">
        <v>3722</v>
      </c>
      <c r="AA1230" s="38"/>
      <c r="AB1230" s="38"/>
      <c r="AC1230" s="38"/>
      <c r="AD1230" s="51">
        <v>57</v>
      </c>
      <c r="AE1230" s="51">
        <v>57</v>
      </c>
      <c r="AF1230" s="48" t="s">
        <v>203</v>
      </c>
      <c r="AG1230" s="38" t="s">
        <v>204</v>
      </c>
      <c r="AH1230" s="52"/>
      <c r="AI1230" s="38"/>
      <c r="AJ1230" s="38"/>
    </row>
    <row r="1231" spans="1:36" ht="16.2">
      <c r="A1231" s="53" t="s">
        <v>311</v>
      </c>
      <c r="B1231" s="53">
        <v>669451</v>
      </c>
      <c r="C1231" s="53" t="s">
        <v>3710</v>
      </c>
      <c r="D1231" s="53">
        <v>13207624</v>
      </c>
      <c r="E1231" s="54" t="s">
        <v>3711</v>
      </c>
      <c r="F1231" s="53" t="s">
        <v>3702</v>
      </c>
      <c r="G1231" s="53" t="s">
        <v>195</v>
      </c>
      <c r="H1231" s="53"/>
      <c r="I1231" s="53"/>
      <c r="J1231" s="53">
        <v>13207624</v>
      </c>
      <c r="K1231" s="53"/>
      <c r="L1231" s="55">
        <v>45293</v>
      </c>
      <c r="M1231" s="55">
        <v>45293</v>
      </c>
      <c r="N1231" s="53" t="s">
        <v>315</v>
      </c>
      <c r="O1231" s="53">
        <v>0</v>
      </c>
      <c r="P1231" s="53">
        <v>20009908</v>
      </c>
      <c r="Q1231" s="53" t="s">
        <v>3723</v>
      </c>
      <c r="R1231" s="45">
        <v>410</v>
      </c>
      <c r="S1231" s="56">
        <v>0.01</v>
      </c>
      <c r="T1231" s="47" t="s">
        <v>198</v>
      </c>
      <c r="U1231" s="48" t="s">
        <v>199</v>
      </c>
      <c r="V1231" s="38"/>
      <c r="W1231" s="48" t="s">
        <v>195</v>
      </c>
      <c r="X1231" s="38" t="s">
        <v>308</v>
      </c>
      <c r="Y1231" s="49" t="s">
        <v>309</v>
      </c>
      <c r="Z1231" s="50" t="s">
        <v>3724</v>
      </c>
      <c r="AA1231" s="38"/>
      <c r="AB1231" s="38"/>
      <c r="AC1231" s="38"/>
      <c r="AD1231" s="51">
        <v>57</v>
      </c>
      <c r="AE1231" s="51">
        <v>57</v>
      </c>
      <c r="AF1231" s="48" t="s">
        <v>203</v>
      </c>
      <c r="AG1231" s="38" t="s">
        <v>204</v>
      </c>
      <c r="AH1231" s="52"/>
      <c r="AI1231" s="38"/>
      <c r="AJ1231" s="38"/>
    </row>
    <row r="1232" spans="1:36" ht="16.2">
      <c r="A1232" s="42" t="s">
        <v>311</v>
      </c>
      <c r="B1232" s="42">
        <v>669451</v>
      </c>
      <c r="C1232" s="42" t="s">
        <v>3710</v>
      </c>
      <c r="D1232" s="42">
        <v>13207624</v>
      </c>
      <c r="E1232" s="43" t="s">
        <v>3711</v>
      </c>
      <c r="F1232" s="42" t="s">
        <v>944</v>
      </c>
      <c r="G1232" s="42" t="s">
        <v>195</v>
      </c>
      <c r="H1232" s="42"/>
      <c r="I1232" s="42"/>
      <c r="J1232" s="42">
        <v>13207624</v>
      </c>
      <c r="K1232" s="42"/>
      <c r="L1232" s="44">
        <v>45293</v>
      </c>
      <c r="M1232" s="44">
        <v>45293</v>
      </c>
      <c r="N1232" s="42" t="s">
        <v>315</v>
      </c>
      <c r="O1232" s="42">
        <v>0</v>
      </c>
      <c r="P1232" s="42">
        <v>20009908</v>
      </c>
      <c r="Q1232" s="42" t="s">
        <v>3725</v>
      </c>
      <c r="R1232" s="45">
        <v>410</v>
      </c>
      <c r="S1232" s="46">
        <v>0.01</v>
      </c>
      <c r="T1232" s="47" t="s">
        <v>198</v>
      </c>
      <c r="U1232" s="48" t="s">
        <v>199</v>
      </c>
      <c r="V1232" s="38"/>
      <c r="W1232" s="48" t="s">
        <v>195</v>
      </c>
      <c r="X1232" s="38" t="s">
        <v>308</v>
      </c>
      <c r="Y1232" s="49" t="s">
        <v>309</v>
      </c>
      <c r="Z1232" s="50" t="s">
        <v>3726</v>
      </c>
      <c r="AA1232" s="38"/>
      <c r="AB1232" s="38"/>
      <c r="AC1232" s="38"/>
      <c r="AD1232" s="51">
        <v>57</v>
      </c>
      <c r="AE1232" s="51">
        <v>57</v>
      </c>
      <c r="AF1232" s="48" t="s">
        <v>203</v>
      </c>
      <c r="AG1232" s="38" t="s">
        <v>204</v>
      </c>
      <c r="AH1232" s="52"/>
      <c r="AI1232" s="38"/>
      <c r="AJ1232" s="38"/>
    </row>
    <row r="1233" spans="1:36" ht="16.2">
      <c r="A1233" s="53" t="s">
        <v>311</v>
      </c>
      <c r="B1233" s="53">
        <v>669451</v>
      </c>
      <c r="C1233" s="53" t="s">
        <v>3710</v>
      </c>
      <c r="D1233" s="53">
        <v>13207624</v>
      </c>
      <c r="E1233" s="54" t="s">
        <v>3711</v>
      </c>
      <c r="F1233" s="53" t="s">
        <v>3707</v>
      </c>
      <c r="G1233" s="53" t="s">
        <v>195</v>
      </c>
      <c r="H1233" s="53"/>
      <c r="I1233" s="53"/>
      <c r="J1233" s="53">
        <v>13207624</v>
      </c>
      <c r="K1233" s="53"/>
      <c r="L1233" s="55">
        <v>45293</v>
      </c>
      <c r="M1233" s="55">
        <v>45293</v>
      </c>
      <c r="N1233" s="53" t="s">
        <v>315</v>
      </c>
      <c r="O1233" s="53">
        <v>0</v>
      </c>
      <c r="P1233" s="53">
        <v>20009908</v>
      </c>
      <c r="Q1233" s="53" t="s">
        <v>3727</v>
      </c>
      <c r="R1233" s="45">
        <v>410</v>
      </c>
      <c r="S1233" s="56">
        <v>0.01</v>
      </c>
      <c r="T1233" s="47" t="s">
        <v>198</v>
      </c>
      <c r="U1233" s="48" t="s">
        <v>199</v>
      </c>
      <c r="V1233" s="38"/>
      <c r="W1233" s="48" t="s">
        <v>195</v>
      </c>
      <c r="X1233" s="38" t="s">
        <v>308</v>
      </c>
      <c r="Y1233" s="49" t="s">
        <v>309</v>
      </c>
      <c r="Z1233" s="50" t="s">
        <v>3728</v>
      </c>
      <c r="AA1233" s="38"/>
      <c r="AB1233" s="38"/>
      <c r="AC1233" s="38"/>
      <c r="AD1233" s="51">
        <v>57</v>
      </c>
      <c r="AE1233" s="51">
        <v>57</v>
      </c>
      <c r="AF1233" s="48" t="s">
        <v>203</v>
      </c>
      <c r="AG1233" s="38" t="s">
        <v>204</v>
      </c>
      <c r="AH1233" s="52"/>
      <c r="AI1233" s="38"/>
      <c r="AJ1233" s="38"/>
    </row>
    <row r="1234" spans="1:36" ht="16.2">
      <c r="A1234" s="42" t="s">
        <v>759</v>
      </c>
      <c r="B1234" s="42">
        <v>74928601</v>
      </c>
      <c r="C1234" s="42" t="s">
        <v>3729</v>
      </c>
      <c r="D1234" s="42">
        <v>13207565</v>
      </c>
      <c r="E1234" s="43" t="s">
        <v>3730</v>
      </c>
      <c r="F1234" s="42" t="s">
        <v>3731</v>
      </c>
      <c r="G1234" s="42" t="s">
        <v>195</v>
      </c>
      <c r="H1234" s="42"/>
      <c r="I1234" s="42"/>
      <c r="J1234" s="42">
        <v>13207565</v>
      </c>
      <c r="K1234" s="42"/>
      <c r="L1234" s="44">
        <v>45293</v>
      </c>
      <c r="M1234" s="44">
        <v>45293</v>
      </c>
      <c r="N1234" s="42" t="s">
        <v>763</v>
      </c>
      <c r="O1234" s="42">
        <v>0</v>
      </c>
      <c r="P1234" s="42">
        <v>20062055</v>
      </c>
      <c r="Q1234" s="42" t="s">
        <v>3732</v>
      </c>
      <c r="R1234" s="45">
        <v>410</v>
      </c>
      <c r="S1234" s="46">
        <v>0.01</v>
      </c>
      <c r="T1234" s="47" t="s">
        <v>198</v>
      </c>
      <c r="U1234" s="48" t="s">
        <v>199</v>
      </c>
      <c r="V1234" s="38"/>
      <c r="W1234" s="48" t="s">
        <v>195</v>
      </c>
      <c r="X1234" s="38" t="s">
        <v>308</v>
      </c>
      <c r="Y1234" s="49" t="s">
        <v>309</v>
      </c>
      <c r="Z1234" s="50" t="s">
        <v>3733</v>
      </c>
      <c r="AA1234" s="38"/>
      <c r="AB1234" s="38"/>
      <c r="AC1234" s="38"/>
      <c r="AD1234" s="51">
        <v>58</v>
      </c>
      <c r="AE1234" s="51">
        <v>58</v>
      </c>
      <c r="AF1234" s="48" t="s">
        <v>203</v>
      </c>
      <c r="AG1234" s="38" t="s">
        <v>204</v>
      </c>
      <c r="AH1234" s="52"/>
      <c r="AI1234" s="38"/>
      <c r="AJ1234" s="38"/>
    </row>
    <row r="1235" spans="1:36" ht="16.2">
      <c r="A1235" s="53" t="s">
        <v>759</v>
      </c>
      <c r="B1235" s="53">
        <v>74928602</v>
      </c>
      <c r="C1235" s="53" t="s">
        <v>3734</v>
      </c>
      <c r="D1235" s="53">
        <v>13207566</v>
      </c>
      <c r="E1235" s="54" t="s">
        <v>3735</v>
      </c>
      <c r="F1235" s="53" t="s">
        <v>3736</v>
      </c>
      <c r="G1235" s="53" t="s">
        <v>195</v>
      </c>
      <c r="H1235" s="53"/>
      <c r="I1235" s="53"/>
      <c r="J1235" s="53">
        <v>13207566</v>
      </c>
      <c r="K1235" s="53"/>
      <c r="L1235" s="55">
        <v>45293</v>
      </c>
      <c r="M1235" s="55">
        <v>45293</v>
      </c>
      <c r="N1235" s="53" t="s">
        <v>763</v>
      </c>
      <c r="O1235" s="53">
        <v>0</v>
      </c>
      <c r="P1235" s="53">
        <v>20062055</v>
      </c>
      <c r="Q1235" s="53" t="s">
        <v>3737</v>
      </c>
      <c r="R1235" s="45">
        <v>410</v>
      </c>
      <c r="S1235" s="56">
        <v>0.01</v>
      </c>
      <c r="T1235" s="47" t="s">
        <v>198</v>
      </c>
      <c r="U1235" s="48" t="s">
        <v>199</v>
      </c>
      <c r="V1235" s="38"/>
      <c r="W1235" s="48" t="s">
        <v>195</v>
      </c>
      <c r="X1235" s="38" t="s">
        <v>308</v>
      </c>
      <c r="Y1235" s="49" t="s">
        <v>309</v>
      </c>
      <c r="Z1235" s="50" t="s">
        <v>3738</v>
      </c>
      <c r="AA1235" s="38"/>
      <c r="AB1235" s="38"/>
      <c r="AC1235" s="38"/>
      <c r="AD1235" s="51">
        <v>58</v>
      </c>
      <c r="AE1235" s="51">
        <v>58</v>
      </c>
      <c r="AF1235" s="48" t="s">
        <v>203</v>
      </c>
      <c r="AG1235" s="38" t="s">
        <v>204</v>
      </c>
      <c r="AH1235" s="52"/>
      <c r="AI1235" s="38"/>
      <c r="AJ1235" s="38"/>
    </row>
    <row r="1236" spans="1:36" ht="16.2">
      <c r="A1236" s="42" t="s">
        <v>759</v>
      </c>
      <c r="B1236" s="42">
        <v>74928603</v>
      </c>
      <c r="C1236" s="42" t="s">
        <v>3739</v>
      </c>
      <c r="D1236" s="42">
        <v>13207567</v>
      </c>
      <c r="E1236" s="43" t="s">
        <v>3740</v>
      </c>
      <c r="F1236" s="42" t="s">
        <v>3741</v>
      </c>
      <c r="G1236" s="42" t="s">
        <v>195</v>
      </c>
      <c r="H1236" s="42"/>
      <c r="I1236" s="42"/>
      <c r="J1236" s="42">
        <v>13207567</v>
      </c>
      <c r="K1236" s="42"/>
      <c r="L1236" s="44">
        <v>45293</v>
      </c>
      <c r="M1236" s="44">
        <v>45293</v>
      </c>
      <c r="N1236" s="42" t="s">
        <v>763</v>
      </c>
      <c r="O1236" s="42">
        <v>0</v>
      </c>
      <c r="P1236" s="42">
        <v>20062055</v>
      </c>
      <c r="Q1236" s="42" t="s">
        <v>3742</v>
      </c>
      <c r="R1236" s="45">
        <v>410</v>
      </c>
      <c r="S1236" s="46">
        <v>0.01</v>
      </c>
      <c r="T1236" s="47" t="s">
        <v>198</v>
      </c>
      <c r="U1236" s="48" t="s">
        <v>199</v>
      </c>
      <c r="V1236" s="38"/>
      <c r="W1236" s="48" t="s">
        <v>195</v>
      </c>
      <c r="X1236" s="38" t="s">
        <v>308</v>
      </c>
      <c r="Y1236" s="49" t="s">
        <v>309</v>
      </c>
      <c r="Z1236" s="50" t="s">
        <v>3743</v>
      </c>
      <c r="AA1236" s="38"/>
      <c r="AB1236" s="38"/>
      <c r="AC1236" s="38"/>
      <c r="AD1236" s="51">
        <v>58</v>
      </c>
      <c r="AE1236" s="51">
        <v>58</v>
      </c>
      <c r="AF1236" s="48" t="s">
        <v>203</v>
      </c>
      <c r="AG1236" s="38" t="s">
        <v>204</v>
      </c>
      <c r="AH1236" s="52"/>
      <c r="AI1236" s="38"/>
      <c r="AJ1236" s="38"/>
    </row>
    <row r="1237" spans="1:36" ht="16.2">
      <c r="A1237" s="53" t="s">
        <v>759</v>
      </c>
      <c r="B1237" s="53">
        <v>74928604</v>
      </c>
      <c r="C1237" s="53" t="s">
        <v>3744</v>
      </c>
      <c r="D1237" s="53">
        <v>13207571</v>
      </c>
      <c r="E1237" s="54" t="s">
        <v>3745</v>
      </c>
      <c r="F1237" s="53" t="s">
        <v>3746</v>
      </c>
      <c r="G1237" s="53" t="s">
        <v>195</v>
      </c>
      <c r="H1237" s="53"/>
      <c r="I1237" s="53"/>
      <c r="J1237" s="53">
        <v>13207571</v>
      </c>
      <c r="K1237" s="53"/>
      <c r="L1237" s="55">
        <v>45293</v>
      </c>
      <c r="M1237" s="55">
        <v>45293</v>
      </c>
      <c r="N1237" s="53" t="s">
        <v>763</v>
      </c>
      <c r="O1237" s="53">
        <v>0</v>
      </c>
      <c r="P1237" s="53">
        <v>20062055</v>
      </c>
      <c r="Q1237" s="53" t="s">
        <v>3747</v>
      </c>
      <c r="R1237" s="45">
        <v>410</v>
      </c>
      <c r="S1237" s="56">
        <v>0.01</v>
      </c>
      <c r="T1237" s="47" t="s">
        <v>198</v>
      </c>
      <c r="U1237" s="48" t="s">
        <v>199</v>
      </c>
      <c r="V1237" s="38"/>
      <c r="W1237" s="48" t="s">
        <v>195</v>
      </c>
      <c r="X1237" s="38" t="s">
        <v>308</v>
      </c>
      <c r="Y1237" s="49" t="s">
        <v>309</v>
      </c>
      <c r="Z1237" s="50" t="s">
        <v>3748</v>
      </c>
      <c r="AA1237" s="38"/>
      <c r="AB1237" s="38"/>
      <c r="AC1237" s="38"/>
      <c r="AD1237" s="51">
        <v>58</v>
      </c>
      <c r="AE1237" s="51">
        <v>58</v>
      </c>
      <c r="AF1237" s="48" t="s">
        <v>203</v>
      </c>
      <c r="AG1237" s="38" t="s">
        <v>204</v>
      </c>
      <c r="AH1237" s="52"/>
      <c r="AI1237" s="38"/>
      <c r="AJ1237" s="38"/>
    </row>
    <row r="1238" spans="1:36" ht="16.2">
      <c r="A1238" s="42" t="s">
        <v>759</v>
      </c>
      <c r="B1238" s="42">
        <v>74928618</v>
      </c>
      <c r="C1238" s="42" t="s">
        <v>3744</v>
      </c>
      <c r="D1238" s="42">
        <v>13207568</v>
      </c>
      <c r="E1238" s="43" t="s">
        <v>3745</v>
      </c>
      <c r="F1238" s="42" t="s">
        <v>3749</v>
      </c>
      <c r="G1238" s="42" t="s">
        <v>195</v>
      </c>
      <c r="H1238" s="42"/>
      <c r="I1238" s="42"/>
      <c r="J1238" s="42">
        <v>13207568</v>
      </c>
      <c r="K1238" s="42"/>
      <c r="L1238" s="44">
        <v>45293</v>
      </c>
      <c r="M1238" s="44">
        <v>45293</v>
      </c>
      <c r="N1238" s="42" t="s">
        <v>763</v>
      </c>
      <c r="O1238" s="42">
        <v>0</v>
      </c>
      <c r="P1238" s="42">
        <v>20062055</v>
      </c>
      <c r="Q1238" s="42" t="s">
        <v>3750</v>
      </c>
      <c r="R1238" s="45">
        <v>410</v>
      </c>
      <c r="S1238" s="46">
        <v>0.01</v>
      </c>
      <c r="T1238" s="47" t="s">
        <v>198</v>
      </c>
      <c r="U1238" s="48" t="s">
        <v>199</v>
      </c>
      <c r="V1238" s="38"/>
      <c r="W1238" s="48" t="s">
        <v>195</v>
      </c>
      <c r="X1238" s="38" t="s">
        <v>308</v>
      </c>
      <c r="Y1238" s="49" t="s">
        <v>309</v>
      </c>
      <c r="Z1238" s="50" t="s">
        <v>3751</v>
      </c>
      <c r="AA1238" s="38"/>
      <c r="AB1238" s="38"/>
      <c r="AC1238" s="38"/>
      <c r="AD1238" s="51">
        <v>58</v>
      </c>
      <c r="AE1238" s="51">
        <v>58</v>
      </c>
      <c r="AF1238" s="48" t="s">
        <v>203</v>
      </c>
      <c r="AG1238" s="38" t="s">
        <v>204</v>
      </c>
      <c r="AH1238" s="52"/>
      <c r="AI1238" s="38"/>
      <c r="AJ1238" s="38"/>
    </row>
    <row r="1239" spans="1:36" ht="16.2">
      <c r="A1239" s="53" t="s">
        <v>420</v>
      </c>
      <c r="B1239" s="53">
        <v>71020001</v>
      </c>
      <c r="C1239" s="53" t="s">
        <v>3752</v>
      </c>
      <c r="D1239" s="53">
        <v>13207680</v>
      </c>
      <c r="E1239" s="54" t="s">
        <v>3753</v>
      </c>
      <c r="F1239" s="53" t="s">
        <v>3754</v>
      </c>
      <c r="G1239" s="53" t="s">
        <v>195</v>
      </c>
      <c r="H1239" s="53"/>
      <c r="I1239" s="53"/>
      <c r="J1239" s="53">
        <v>13207680</v>
      </c>
      <c r="K1239" s="53"/>
      <c r="L1239" s="55">
        <v>45293</v>
      </c>
      <c r="M1239" s="55">
        <v>45293</v>
      </c>
      <c r="N1239" s="53" t="s">
        <v>424</v>
      </c>
      <c r="O1239" s="53">
        <v>0</v>
      </c>
      <c r="P1239" s="53">
        <v>20076884</v>
      </c>
      <c r="Q1239" s="53" t="s">
        <v>3755</v>
      </c>
      <c r="R1239" s="45">
        <v>410</v>
      </c>
      <c r="S1239" s="56">
        <v>0.01</v>
      </c>
      <c r="T1239" s="47" t="s">
        <v>198</v>
      </c>
      <c r="U1239" s="48" t="s">
        <v>199</v>
      </c>
      <c r="V1239" s="38"/>
      <c r="W1239" s="48" t="s">
        <v>195</v>
      </c>
      <c r="X1239" s="38" t="s">
        <v>426</v>
      </c>
      <c r="Y1239" s="49" t="s">
        <v>427</v>
      </c>
      <c r="Z1239" s="50" t="s">
        <v>3756</v>
      </c>
      <c r="AA1239" s="38"/>
      <c r="AB1239" s="38"/>
      <c r="AC1239" s="38"/>
      <c r="AD1239" s="51">
        <v>70</v>
      </c>
      <c r="AE1239" s="51">
        <v>70</v>
      </c>
      <c r="AF1239" s="48" t="s">
        <v>203</v>
      </c>
      <c r="AG1239" s="38" t="s">
        <v>204</v>
      </c>
      <c r="AH1239" s="52"/>
      <c r="AI1239" s="38"/>
      <c r="AJ1239" s="38"/>
    </row>
    <row r="1240" spans="1:36" ht="16.2">
      <c r="A1240" s="42" t="s">
        <v>420</v>
      </c>
      <c r="B1240" s="42">
        <v>71020001</v>
      </c>
      <c r="C1240" s="42" t="s">
        <v>3752</v>
      </c>
      <c r="D1240" s="42">
        <v>13207680</v>
      </c>
      <c r="E1240" s="43" t="s">
        <v>3753</v>
      </c>
      <c r="F1240" s="42" t="s">
        <v>3757</v>
      </c>
      <c r="G1240" s="42" t="s">
        <v>195</v>
      </c>
      <c r="H1240" s="42"/>
      <c r="I1240" s="42"/>
      <c r="J1240" s="42">
        <v>13207680</v>
      </c>
      <c r="K1240" s="42"/>
      <c r="L1240" s="44">
        <v>45293</v>
      </c>
      <c r="M1240" s="44">
        <v>45293</v>
      </c>
      <c r="N1240" s="42" t="s">
        <v>424</v>
      </c>
      <c r="O1240" s="42">
        <v>0</v>
      </c>
      <c r="P1240" s="42">
        <v>20076884</v>
      </c>
      <c r="Q1240" s="42" t="s">
        <v>3758</v>
      </c>
      <c r="R1240" s="45">
        <v>410</v>
      </c>
      <c r="S1240" s="46">
        <v>0.01</v>
      </c>
      <c r="T1240" s="47" t="s">
        <v>198</v>
      </c>
      <c r="U1240" s="48" t="s">
        <v>199</v>
      </c>
      <c r="V1240" s="38"/>
      <c r="W1240" s="48" t="s">
        <v>195</v>
      </c>
      <c r="X1240" s="38" t="s">
        <v>426</v>
      </c>
      <c r="Y1240" s="49" t="s">
        <v>427</v>
      </c>
      <c r="Z1240" s="50" t="s">
        <v>3759</v>
      </c>
      <c r="AA1240" s="38"/>
      <c r="AB1240" s="38"/>
      <c r="AC1240" s="38"/>
      <c r="AD1240" s="51">
        <v>70</v>
      </c>
      <c r="AE1240" s="51">
        <v>70</v>
      </c>
      <c r="AF1240" s="48" t="s">
        <v>203</v>
      </c>
      <c r="AG1240" s="38" t="s">
        <v>204</v>
      </c>
      <c r="AH1240" s="52"/>
      <c r="AI1240" s="38"/>
      <c r="AJ1240" s="38"/>
    </row>
    <row r="1241" spans="1:36" ht="16.2">
      <c r="A1241" s="53" t="s">
        <v>420</v>
      </c>
      <c r="B1241" s="53">
        <v>71020001</v>
      </c>
      <c r="C1241" s="53" t="s">
        <v>3752</v>
      </c>
      <c r="D1241" s="53">
        <v>13207680</v>
      </c>
      <c r="E1241" s="54" t="s">
        <v>3753</v>
      </c>
      <c r="F1241" s="53" t="s">
        <v>3760</v>
      </c>
      <c r="G1241" s="53" t="s">
        <v>195</v>
      </c>
      <c r="H1241" s="53"/>
      <c r="I1241" s="53"/>
      <c r="J1241" s="53">
        <v>13207680</v>
      </c>
      <c r="K1241" s="53"/>
      <c r="L1241" s="55">
        <v>45293</v>
      </c>
      <c r="M1241" s="55">
        <v>45293</v>
      </c>
      <c r="N1241" s="53" t="s">
        <v>424</v>
      </c>
      <c r="O1241" s="53">
        <v>0</v>
      </c>
      <c r="P1241" s="53">
        <v>20076884</v>
      </c>
      <c r="Q1241" s="53" t="s">
        <v>3761</v>
      </c>
      <c r="R1241" s="45">
        <v>410</v>
      </c>
      <c r="S1241" s="56">
        <v>0.01</v>
      </c>
      <c r="T1241" s="47" t="s">
        <v>198</v>
      </c>
      <c r="U1241" s="48" t="s">
        <v>199</v>
      </c>
      <c r="V1241" s="38"/>
      <c r="W1241" s="48" t="s">
        <v>195</v>
      </c>
      <c r="X1241" s="38" t="s">
        <v>426</v>
      </c>
      <c r="Y1241" s="49" t="s">
        <v>427</v>
      </c>
      <c r="Z1241" s="50" t="s">
        <v>3762</v>
      </c>
      <c r="AA1241" s="38"/>
      <c r="AB1241" s="38"/>
      <c r="AC1241" s="38"/>
      <c r="AD1241" s="51">
        <v>70</v>
      </c>
      <c r="AE1241" s="51">
        <v>70</v>
      </c>
      <c r="AF1241" s="48" t="s">
        <v>203</v>
      </c>
      <c r="AG1241" s="38" t="s">
        <v>204</v>
      </c>
      <c r="AH1241" s="52"/>
      <c r="AI1241" s="38"/>
      <c r="AJ1241" s="38"/>
    </row>
    <row r="1242" spans="1:36" ht="16.2">
      <c r="A1242" s="42" t="s">
        <v>420</v>
      </c>
      <c r="B1242" s="42">
        <v>71020001</v>
      </c>
      <c r="C1242" s="42" t="s">
        <v>3752</v>
      </c>
      <c r="D1242" s="42">
        <v>13207680</v>
      </c>
      <c r="E1242" s="43" t="s">
        <v>3753</v>
      </c>
      <c r="F1242" s="42" t="s">
        <v>3763</v>
      </c>
      <c r="G1242" s="42" t="s">
        <v>195</v>
      </c>
      <c r="H1242" s="42"/>
      <c r="I1242" s="42"/>
      <c r="J1242" s="42">
        <v>13207680</v>
      </c>
      <c r="K1242" s="42"/>
      <c r="L1242" s="44">
        <v>45293</v>
      </c>
      <c r="M1242" s="44">
        <v>45293</v>
      </c>
      <c r="N1242" s="42" t="s">
        <v>424</v>
      </c>
      <c r="O1242" s="42">
        <v>0</v>
      </c>
      <c r="P1242" s="42">
        <v>20076884</v>
      </c>
      <c r="Q1242" s="42" t="s">
        <v>3764</v>
      </c>
      <c r="R1242" s="45">
        <v>410</v>
      </c>
      <c r="S1242" s="46">
        <v>0.01</v>
      </c>
      <c r="T1242" s="47" t="s">
        <v>198</v>
      </c>
      <c r="U1242" s="48" t="s">
        <v>199</v>
      </c>
      <c r="V1242" s="38"/>
      <c r="W1242" s="48" t="s">
        <v>195</v>
      </c>
      <c r="X1242" s="38" t="s">
        <v>426</v>
      </c>
      <c r="Y1242" s="49" t="s">
        <v>427</v>
      </c>
      <c r="Z1242" s="50" t="s">
        <v>3765</v>
      </c>
      <c r="AA1242" s="38"/>
      <c r="AB1242" s="38"/>
      <c r="AC1242" s="38"/>
      <c r="AD1242" s="51">
        <v>70</v>
      </c>
      <c r="AE1242" s="51">
        <v>70</v>
      </c>
      <c r="AF1242" s="48" t="s">
        <v>203</v>
      </c>
      <c r="AG1242" s="38" t="s">
        <v>204</v>
      </c>
      <c r="AH1242" s="52"/>
      <c r="AI1242" s="38"/>
      <c r="AJ1242" s="38"/>
    </row>
    <row r="1243" spans="1:36" ht="16.2">
      <c r="A1243" s="53" t="s">
        <v>420</v>
      </c>
      <c r="B1243" s="53">
        <v>71020001</v>
      </c>
      <c r="C1243" s="53" t="s">
        <v>3752</v>
      </c>
      <c r="D1243" s="53">
        <v>13207680</v>
      </c>
      <c r="E1243" s="54" t="s">
        <v>3753</v>
      </c>
      <c r="F1243" s="53" t="s">
        <v>3766</v>
      </c>
      <c r="G1243" s="53" t="s">
        <v>195</v>
      </c>
      <c r="H1243" s="53"/>
      <c r="I1243" s="53"/>
      <c r="J1243" s="53">
        <v>13207680</v>
      </c>
      <c r="K1243" s="53"/>
      <c r="L1243" s="55">
        <v>45293</v>
      </c>
      <c r="M1243" s="55">
        <v>45293</v>
      </c>
      <c r="N1243" s="53" t="s">
        <v>424</v>
      </c>
      <c r="O1243" s="53">
        <v>0</v>
      </c>
      <c r="P1243" s="53">
        <v>20076884</v>
      </c>
      <c r="Q1243" s="53" t="s">
        <v>3767</v>
      </c>
      <c r="R1243" s="45">
        <v>410</v>
      </c>
      <c r="S1243" s="56">
        <v>0.01</v>
      </c>
      <c r="T1243" s="47" t="s">
        <v>198</v>
      </c>
      <c r="U1243" s="48" t="s">
        <v>199</v>
      </c>
      <c r="V1243" s="38"/>
      <c r="W1243" s="48" t="s">
        <v>195</v>
      </c>
      <c r="X1243" s="38" t="s">
        <v>426</v>
      </c>
      <c r="Y1243" s="49" t="s">
        <v>427</v>
      </c>
      <c r="Z1243" s="50" t="s">
        <v>3768</v>
      </c>
      <c r="AA1243" s="38"/>
      <c r="AB1243" s="38"/>
      <c r="AC1243" s="38"/>
      <c r="AD1243" s="51">
        <v>70</v>
      </c>
      <c r="AE1243" s="51">
        <v>70</v>
      </c>
      <c r="AF1243" s="48" t="s">
        <v>203</v>
      </c>
      <c r="AG1243" s="38" t="s">
        <v>204</v>
      </c>
      <c r="AH1243" s="52"/>
      <c r="AI1243" s="38"/>
      <c r="AJ1243" s="38"/>
    </row>
    <row r="1244" spans="1:36" ht="16.2">
      <c r="A1244" s="42" t="s">
        <v>420</v>
      </c>
      <c r="B1244" s="42">
        <v>71020001</v>
      </c>
      <c r="C1244" s="42" t="s">
        <v>3752</v>
      </c>
      <c r="D1244" s="42">
        <v>13207680</v>
      </c>
      <c r="E1244" s="43" t="s">
        <v>3753</v>
      </c>
      <c r="F1244" s="42" t="s">
        <v>3769</v>
      </c>
      <c r="G1244" s="42" t="s">
        <v>195</v>
      </c>
      <c r="H1244" s="42"/>
      <c r="I1244" s="42"/>
      <c r="J1244" s="42">
        <v>13207680</v>
      </c>
      <c r="K1244" s="42"/>
      <c r="L1244" s="44">
        <v>45293</v>
      </c>
      <c r="M1244" s="44">
        <v>45293</v>
      </c>
      <c r="N1244" s="42" t="s">
        <v>424</v>
      </c>
      <c r="O1244" s="42">
        <v>0</v>
      </c>
      <c r="P1244" s="42">
        <v>20076884</v>
      </c>
      <c r="Q1244" s="42" t="s">
        <v>3770</v>
      </c>
      <c r="R1244" s="45">
        <v>410</v>
      </c>
      <c r="S1244" s="46">
        <v>0.01</v>
      </c>
      <c r="T1244" s="47" t="s">
        <v>198</v>
      </c>
      <c r="U1244" s="48" t="s">
        <v>199</v>
      </c>
      <c r="V1244" s="38"/>
      <c r="W1244" s="48" t="s">
        <v>195</v>
      </c>
      <c r="X1244" s="38" t="s">
        <v>426</v>
      </c>
      <c r="Y1244" s="49" t="s">
        <v>427</v>
      </c>
      <c r="Z1244" s="50" t="s">
        <v>3771</v>
      </c>
      <c r="AA1244" s="38"/>
      <c r="AB1244" s="38"/>
      <c r="AC1244" s="38"/>
      <c r="AD1244" s="51">
        <v>70</v>
      </c>
      <c r="AE1244" s="51">
        <v>70</v>
      </c>
      <c r="AF1244" s="48" t="s">
        <v>203</v>
      </c>
      <c r="AG1244" s="38" t="s">
        <v>204</v>
      </c>
      <c r="AH1244" s="52"/>
      <c r="AI1244" s="38"/>
      <c r="AJ1244" s="38"/>
    </row>
    <row r="1245" spans="1:36" ht="16.2">
      <c r="A1245" s="53" t="s">
        <v>420</v>
      </c>
      <c r="B1245" s="53">
        <v>71020001</v>
      </c>
      <c r="C1245" s="53" t="s">
        <v>3752</v>
      </c>
      <c r="D1245" s="53">
        <v>13207680</v>
      </c>
      <c r="E1245" s="54" t="s">
        <v>3753</v>
      </c>
      <c r="F1245" s="53" t="s">
        <v>3772</v>
      </c>
      <c r="G1245" s="53" t="s">
        <v>195</v>
      </c>
      <c r="H1245" s="53"/>
      <c r="I1245" s="53"/>
      <c r="J1245" s="53">
        <v>13207680</v>
      </c>
      <c r="K1245" s="53"/>
      <c r="L1245" s="55">
        <v>45293</v>
      </c>
      <c r="M1245" s="55">
        <v>45293</v>
      </c>
      <c r="N1245" s="53" t="s">
        <v>424</v>
      </c>
      <c r="O1245" s="53">
        <v>0</v>
      </c>
      <c r="P1245" s="53">
        <v>20076884</v>
      </c>
      <c r="Q1245" s="53" t="s">
        <v>3773</v>
      </c>
      <c r="R1245" s="45">
        <v>410</v>
      </c>
      <c r="S1245" s="56">
        <v>0.01</v>
      </c>
      <c r="T1245" s="47" t="s">
        <v>198</v>
      </c>
      <c r="U1245" s="48" t="s">
        <v>199</v>
      </c>
      <c r="V1245" s="38"/>
      <c r="W1245" s="48" t="s">
        <v>195</v>
      </c>
      <c r="X1245" s="38" t="s">
        <v>426</v>
      </c>
      <c r="Y1245" s="49" t="s">
        <v>427</v>
      </c>
      <c r="Z1245" s="50" t="s">
        <v>3774</v>
      </c>
      <c r="AA1245" s="38"/>
      <c r="AB1245" s="38"/>
      <c r="AC1245" s="38"/>
      <c r="AD1245" s="51">
        <v>70</v>
      </c>
      <c r="AE1245" s="51">
        <v>70</v>
      </c>
      <c r="AF1245" s="48" t="s">
        <v>203</v>
      </c>
      <c r="AG1245" s="38" t="s">
        <v>204</v>
      </c>
      <c r="AH1245" s="52"/>
      <c r="AI1245" s="38"/>
      <c r="AJ1245" s="38"/>
    </row>
    <row r="1246" spans="1:36" ht="16.2">
      <c r="A1246" s="42" t="s">
        <v>420</v>
      </c>
      <c r="B1246" s="42">
        <v>71020001</v>
      </c>
      <c r="C1246" s="42" t="s">
        <v>3752</v>
      </c>
      <c r="D1246" s="42">
        <v>13207680</v>
      </c>
      <c r="E1246" s="43" t="s">
        <v>3753</v>
      </c>
      <c r="F1246" s="42" t="s">
        <v>3775</v>
      </c>
      <c r="G1246" s="42" t="s">
        <v>195</v>
      </c>
      <c r="H1246" s="42"/>
      <c r="I1246" s="42"/>
      <c r="J1246" s="42">
        <v>13207680</v>
      </c>
      <c r="K1246" s="42"/>
      <c r="L1246" s="44">
        <v>45293</v>
      </c>
      <c r="M1246" s="44">
        <v>45293</v>
      </c>
      <c r="N1246" s="42" t="s">
        <v>424</v>
      </c>
      <c r="O1246" s="42">
        <v>0</v>
      </c>
      <c r="P1246" s="42">
        <v>20076884</v>
      </c>
      <c r="Q1246" s="42" t="s">
        <v>3776</v>
      </c>
      <c r="R1246" s="45">
        <v>410</v>
      </c>
      <c r="S1246" s="46">
        <v>0.01</v>
      </c>
      <c r="T1246" s="47" t="s">
        <v>198</v>
      </c>
      <c r="U1246" s="48" t="s">
        <v>199</v>
      </c>
      <c r="V1246" s="38"/>
      <c r="W1246" s="48" t="s">
        <v>195</v>
      </c>
      <c r="X1246" s="38" t="s">
        <v>426</v>
      </c>
      <c r="Y1246" s="49" t="s">
        <v>427</v>
      </c>
      <c r="Z1246" s="50" t="s">
        <v>3777</v>
      </c>
      <c r="AA1246" s="38"/>
      <c r="AB1246" s="38"/>
      <c r="AC1246" s="38"/>
      <c r="AD1246" s="51">
        <v>70</v>
      </c>
      <c r="AE1246" s="51">
        <v>70</v>
      </c>
      <c r="AF1246" s="48" t="s">
        <v>203</v>
      </c>
      <c r="AG1246" s="38" t="s">
        <v>204</v>
      </c>
      <c r="AH1246" s="52"/>
      <c r="AI1246" s="38"/>
      <c r="AJ1246" s="38"/>
    </row>
    <row r="1247" spans="1:36" ht="16.2">
      <c r="A1247" s="53" t="s">
        <v>420</v>
      </c>
      <c r="B1247" s="53">
        <v>71020001</v>
      </c>
      <c r="C1247" s="53" t="s">
        <v>3752</v>
      </c>
      <c r="D1247" s="53">
        <v>13207680</v>
      </c>
      <c r="E1247" s="54" t="s">
        <v>3753</v>
      </c>
      <c r="F1247" s="53" t="s">
        <v>3778</v>
      </c>
      <c r="G1247" s="53" t="s">
        <v>195</v>
      </c>
      <c r="H1247" s="53"/>
      <c r="I1247" s="53"/>
      <c r="J1247" s="53">
        <v>13207680</v>
      </c>
      <c r="K1247" s="53"/>
      <c r="L1247" s="55">
        <v>45293</v>
      </c>
      <c r="M1247" s="55">
        <v>45293</v>
      </c>
      <c r="N1247" s="53" t="s">
        <v>424</v>
      </c>
      <c r="O1247" s="53">
        <v>0</v>
      </c>
      <c r="P1247" s="53">
        <v>20076884</v>
      </c>
      <c r="Q1247" s="53" t="s">
        <v>3779</v>
      </c>
      <c r="R1247" s="45">
        <v>410</v>
      </c>
      <c r="S1247" s="56">
        <v>0.01</v>
      </c>
      <c r="T1247" s="47" t="s">
        <v>198</v>
      </c>
      <c r="U1247" s="48" t="s">
        <v>199</v>
      </c>
      <c r="V1247" s="38"/>
      <c r="W1247" s="48" t="s">
        <v>195</v>
      </c>
      <c r="X1247" s="38" t="s">
        <v>426</v>
      </c>
      <c r="Y1247" s="49" t="s">
        <v>427</v>
      </c>
      <c r="Z1247" s="50" t="s">
        <v>3780</v>
      </c>
      <c r="AA1247" s="38"/>
      <c r="AB1247" s="38"/>
      <c r="AC1247" s="38"/>
      <c r="AD1247" s="51">
        <v>70</v>
      </c>
      <c r="AE1247" s="51">
        <v>70</v>
      </c>
      <c r="AF1247" s="48" t="s">
        <v>203</v>
      </c>
      <c r="AG1247" s="38" t="s">
        <v>204</v>
      </c>
      <c r="AH1247" s="52"/>
      <c r="AI1247" s="38"/>
      <c r="AJ1247" s="38"/>
    </row>
    <row r="1248" spans="1:36" ht="16.2">
      <c r="A1248" s="42" t="s">
        <v>819</v>
      </c>
      <c r="B1248" s="42">
        <v>71001904</v>
      </c>
      <c r="C1248" s="42" t="s">
        <v>3781</v>
      </c>
      <c r="D1248" s="42">
        <v>13207684</v>
      </c>
      <c r="E1248" s="43" t="s">
        <v>3782</v>
      </c>
      <c r="F1248" s="42" t="s">
        <v>3783</v>
      </c>
      <c r="G1248" s="42" t="s">
        <v>195</v>
      </c>
      <c r="H1248" s="42"/>
      <c r="I1248" s="42"/>
      <c r="J1248" s="42">
        <v>13207684</v>
      </c>
      <c r="K1248" s="42"/>
      <c r="L1248" s="44">
        <v>45293</v>
      </c>
      <c r="M1248" s="44">
        <v>45293</v>
      </c>
      <c r="N1248" s="42" t="s">
        <v>823</v>
      </c>
      <c r="O1248" s="42">
        <v>0</v>
      </c>
      <c r="P1248" s="42">
        <v>20065447</v>
      </c>
      <c r="Q1248" s="42" t="s">
        <v>3784</v>
      </c>
      <c r="R1248" s="45">
        <v>410</v>
      </c>
      <c r="S1248" s="46">
        <v>0.01</v>
      </c>
      <c r="T1248" s="47" t="s">
        <v>198</v>
      </c>
      <c r="U1248" s="48" t="s">
        <v>199</v>
      </c>
      <c r="V1248" s="38"/>
      <c r="W1248" s="48" t="s">
        <v>195</v>
      </c>
      <c r="X1248" s="38" t="s">
        <v>426</v>
      </c>
      <c r="Y1248" s="49" t="s">
        <v>427</v>
      </c>
      <c r="Z1248" s="50" t="s">
        <v>3785</v>
      </c>
      <c r="AA1248" s="38"/>
      <c r="AB1248" s="38"/>
      <c r="AC1248" s="38"/>
      <c r="AD1248" s="51">
        <v>62</v>
      </c>
      <c r="AE1248" s="51">
        <v>62</v>
      </c>
      <c r="AF1248" s="48" t="s">
        <v>203</v>
      </c>
      <c r="AG1248" s="38" t="s">
        <v>204</v>
      </c>
      <c r="AH1248" s="52"/>
      <c r="AI1248" s="38"/>
      <c r="AJ1248" s="38"/>
    </row>
    <row r="1249" spans="1:36" ht="16.2">
      <c r="A1249" s="53" t="s">
        <v>819</v>
      </c>
      <c r="B1249" s="53">
        <v>71001904</v>
      </c>
      <c r="C1249" s="53" t="s">
        <v>3781</v>
      </c>
      <c r="D1249" s="53">
        <v>13207684</v>
      </c>
      <c r="E1249" s="54" t="s">
        <v>3782</v>
      </c>
      <c r="F1249" s="53" t="s">
        <v>3786</v>
      </c>
      <c r="G1249" s="53" t="s">
        <v>195</v>
      </c>
      <c r="H1249" s="53"/>
      <c r="I1249" s="53"/>
      <c r="J1249" s="53">
        <v>13207684</v>
      </c>
      <c r="K1249" s="53"/>
      <c r="L1249" s="55">
        <v>45293</v>
      </c>
      <c r="M1249" s="55">
        <v>45293</v>
      </c>
      <c r="N1249" s="53" t="s">
        <v>823</v>
      </c>
      <c r="O1249" s="53">
        <v>0</v>
      </c>
      <c r="P1249" s="53">
        <v>20065447</v>
      </c>
      <c r="Q1249" s="53" t="s">
        <v>3787</v>
      </c>
      <c r="R1249" s="45">
        <v>410</v>
      </c>
      <c r="S1249" s="56">
        <v>0.01</v>
      </c>
      <c r="T1249" s="47" t="s">
        <v>198</v>
      </c>
      <c r="U1249" s="48" t="s">
        <v>199</v>
      </c>
      <c r="V1249" s="38"/>
      <c r="W1249" s="48" t="s">
        <v>195</v>
      </c>
      <c r="X1249" s="38" t="s">
        <v>426</v>
      </c>
      <c r="Y1249" s="49" t="s">
        <v>427</v>
      </c>
      <c r="Z1249" s="50" t="s">
        <v>3788</v>
      </c>
      <c r="AA1249" s="38"/>
      <c r="AB1249" s="38"/>
      <c r="AC1249" s="38"/>
      <c r="AD1249" s="51">
        <v>62</v>
      </c>
      <c r="AE1249" s="51">
        <v>62</v>
      </c>
      <c r="AF1249" s="48" t="s">
        <v>203</v>
      </c>
      <c r="AG1249" s="38" t="s">
        <v>204</v>
      </c>
      <c r="AH1249" s="52"/>
      <c r="AI1249" s="38"/>
      <c r="AJ1249" s="38"/>
    </row>
    <row r="1250" spans="1:36" ht="16.2">
      <c r="A1250" s="42" t="s">
        <v>819</v>
      </c>
      <c r="B1250" s="42">
        <v>71001904</v>
      </c>
      <c r="C1250" s="42" t="s">
        <v>3781</v>
      </c>
      <c r="D1250" s="42">
        <v>13207684</v>
      </c>
      <c r="E1250" s="43" t="s">
        <v>3782</v>
      </c>
      <c r="F1250" s="42" t="s">
        <v>3789</v>
      </c>
      <c r="G1250" s="42" t="s">
        <v>195</v>
      </c>
      <c r="H1250" s="42"/>
      <c r="I1250" s="42"/>
      <c r="J1250" s="42">
        <v>13207684</v>
      </c>
      <c r="K1250" s="42"/>
      <c r="L1250" s="44">
        <v>45293</v>
      </c>
      <c r="M1250" s="44">
        <v>45293</v>
      </c>
      <c r="N1250" s="42" t="s">
        <v>823</v>
      </c>
      <c r="O1250" s="42">
        <v>0</v>
      </c>
      <c r="P1250" s="42">
        <v>20065447</v>
      </c>
      <c r="Q1250" s="42" t="s">
        <v>3790</v>
      </c>
      <c r="R1250" s="45">
        <v>410</v>
      </c>
      <c r="S1250" s="46">
        <v>0.01</v>
      </c>
      <c r="T1250" s="47" t="s">
        <v>198</v>
      </c>
      <c r="U1250" s="48" t="s">
        <v>199</v>
      </c>
      <c r="V1250" s="38"/>
      <c r="W1250" s="48" t="s">
        <v>195</v>
      </c>
      <c r="X1250" s="38" t="s">
        <v>426</v>
      </c>
      <c r="Y1250" s="49" t="s">
        <v>427</v>
      </c>
      <c r="Z1250" s="50" t="s">
        <v>3791</v>
      </c>
      <c r="AA1250" s="38"/>
      <c r="AB1250" s="38"/>
      <c r="AC1250" s="38"/>
      <c r="AD1250" s="51">
        <v>62</v>
      </c>
      <c r="AE1250" s="51">
        <v>62</v>
      </c>
      <c r="AF1250" s="48" t="s">
        <v>203</v>
      </c>
      <c r="AG1250" s="38" t="s">
        <v>204</v>
      </c>
      <c r="AH1250" s="52"/>
      <c r="AI1250" s="38"/>
      <c r="AJ1250" s="38"/>
    </row>
    <row r="1251" spans="1:36" ht="16.2">
      <c r="A1251" s="53" t="s">
        <v>819</v>
      </c>
      <c r="B1251" s="53">
        <v>71001904</v>
      </c>
      <c r="C1251" s="53" t="s">
        <v>3781</v>
      </c>
      <c r="D1251" s="53">
        <v>13207684</v>
      </c>
      <c r="E1251" s="54" t="s">
        <v>3782</v>
      </c>
      <c r="F1251" s="53" t="s">
        <v>3792</v>
      </c>
      <c r="G1251" s="53" t="s">
        <v>195</v>
      </c>
      <c r="H1251" s="53"/>
      <c r="I1251" s="53"/>
      <c r="J1251" s="53">
        <v>13207684</v>
      </c>
      <c r="K1251" s="53"/>
      <c r="L1251" s="55">
        <v>45293</v>
      </c>
      <c r="M1251" s="55">
        <v>45293</v>
      </c>
      <c r="N1251" s="53" t="s">
        <v>823</v>
      </c>
      <c r="O1251" s="53">
        <v>0</v>
      </c>
      <c r="P1251" s="53">
        <v>20065447</v>
      </c>
      <c r="Q1251" s="53" t="s">
        <v>3793</v>
      </c>
      <c r="R1251" s="45">
        <v>410</v>
      </c>
      <c r="S1251" s="56">
        <v>0.01</v>
      </c>
      <c r="T1251" s="47" t="s">
        <v>198</v>
      </c>
      <c r="U1251" s="48" t="s">
        <v>199</v>
      </c>
      <c r="V1251" s="38"/>
      <c r="W1251" s="48" t="s">
        <v>195</v>
      </c>
      <c r="X1251" s="38" t="s">
        <v>426</v>
      </c>
      <c r="Y1251" s="49" t="s">
        <v>427</v>
      </c>
      <c r="Z1251" s="50" t="s">
        <v>3794</v>
      </c>
      <c r="AA1251" s="38"/>
      <c r="AB1251" s="38"/>
      <c r="AC1251" s="38"/>
      <c r="AD1251" s="51">
        <v>62</v>
      </c>
      <c r="AE1251" s="51">
        <v>62</v>
      </c>
      <c r="AF1251" s="48" t="s">
        <v>203</v>
      </c>
      <c r="AG1251" s="38" t="s">
        <v>204</v>
      </c>
      <c r="AH1251" s="52"/>
      <c r="AI1251" s="38"/>
      <c r="AJ1251" s="38"/>
    </row>
    <row r="1252" spans="1:36" ht="16.2">
      <c r="A1252" s="42" t="s">
        <v>819</v>
      </c>
      <c r="B1252" s="42">
        <v>71001904</v>
      </c>
      <c r="C1252" s="42" t="s">
        <v>3781</v>
      </c>
      <c r="D1252" s="42">
        <v>13207684</v>
      </c>
      <c r="E1252" s="43" t="s">
        <v>3782</v>
      </c>
      <c r="F1252" s="42" t="s">
        <v>3795</v>
      </c>
      <c r="G1252" s="42" t="s">
        <v>195</v>
      </c>
      <c r="H1252" s="42"/>
      <c r="I1252" s="42"/>
      <c r="J1252" s="42">
        <v>13207684</v>
      </c>
      <c r="K1252" s="42"/>
      <c r="L1252" s="44">
        <v>45293</v>
      </c>
      <c r="M1252" s="44">
        <v>45293</v>
      </c>
      <c r="N1252" s="42" t="s">
        <v>823</v>
      </c>
      <c r="O1252" s="42">
        <v>0</v>
      </c>
      <c r="P1252" s="42">
        <v>20065447</v>
      </c>
      <c r="Q1252" s="42" t="s">
        <v>3796</v>
      </c>
      <c r="R1252" s="45">
        <v>410</v>
      </c>
      <c r="S1252" s="46">
        <v>0.01</v>
      </c>
      <c r="T1252" s="47" t="s">
        <v>198</v>
      </c>
      <c r="U1252" s="48" t="s">
        <v>199</v>
      </c>
      <c r="V1252" s="38"/>
      <c r="W1252" s="48" t="s">
        <v>195</v>
      </c>
      <c r="X1252" s="38" t="s">
        <v>426</v>
      </c>
      <c r="Y1252" s="49" t="s">
        <v>427</v>
      </c>
      <c r="Z1252" s="50" t="s">
        <v>3797</v>
      </c>
      <c r="AA1252" s="38"/>
      <c r="AB1252" s="38"/>
      <c r="AC1252" s="38"/>
      <c r="AD1252" s="51">
        <v>62</v>
      </c>
      <c r="AE1252" s="51">
        <v>62</v>
      </c>
      <c r="AF1252" s="48" t="s">
        <v>203</v>
      </c>
      <c r="AG1252" s="38" t="s">
        <v>204</v>
      </c>
      <c r="AH1252" s="52"/>
      <c r="AI1252" s="38"/>
      <c r="AJ1252" s="38"/>
    </row>
    <row r="1253" spans="1:36" ht="16.2">
      <c r="A1253" s="53" t="s">
        <v>819</v>
      </c>
      <c r="B1253" s="53">
        <v>71001904</v>
      </c>
      <c r="C1253" s="53" t="s">
        <v>3781</v>
      </c>
      <c r="D1253" s="53">
        <v>13207684</v>
      </c>
      <c r="E1253" s="54" t="s">
        <v>3782</v>
      </c>
      <c r="F1253" s="53" t="s">
        <v>3798</v>
      </c>
      <c r="G1253" s="53" t="s">
        <v>195</v>
      </c>
      <c r="H1253" s="53"/>
      <c r="I1253" s="53"/>
      <c r="J1253" s="53">
        <v>13207684</v>
      </c>
      <c r="K1253" s="53"/>
      <c r="L1253" s="55">
        <v>45293</v>
      </c>
      <c r="M1253" s="55">
        <v>45293</v>
      </c>
      <c r="N1253" s="53" t="s">
        <v>823</v>
      </c>
      <c r="O1253" s="53">
        <v>0</v>
      </c>
      <c r="P1253" s="53">
        <v>20065447</v>
      </c>
      <c r="Q1253" s="53" t="s">
        <v>3799</v>
      </c>
      <c r="R1253" s="45">
        <v>410</v>
      </c>
      <c r="S1253" s="56">
        <v>0.01</v>
      </c>
      <c r="T1253" s="47" t="s">
        <v>198</v>
      </c>
      <c r="U1253" s="48" t="s">
        <v>199</v>
      </c>
      <c r="V1253" s="38"/>
      <c r="W1253" s="48" t="s">
        <v>195</v>
      </c>
      <c r="X1253" s="38" t="s">
        <v>426</v>
      </c>
      <c r="Y1253" s="49" t="s">
        <v>427</v>
      </c>
      <c r="Z1253" s="50" t="s">
        <v>3800</v>
      </c>
      <c r="AA1253" s="38"/>
      <c r="AB1253" s="38"/>
      <c r="AC1253" s="38"/>
      <c r="AD1253" s="51">
        <v>62</v>
      </c>
      <c r="AE1253" s="51">
        <v>62</v>
      </c>
      <c r="AF1253" s="48" t="s">
        <v>203</v>
      </c>
      <c r="AG1253" s="38" t="s">
        <v>204</v>
      </c>
      <c r="AH1253" s="52"/>
      <c r="AI1253" s="38"/>
      <c r="AJ1253" s="38"/>
    </row>
    <row r="1254" spans="1:36" ht="16.2">
      <c r="A1254" s="42" t="s">
        <v>819</v>
      </c>
      <c r="B1254" s="42">
        <v>71001904</v>
      </c>
      <c r="C1254" s="42" t="s">
        <v>3781</v>
      </c>
      <c r="D1254" s="42">
        <v>13207684</v>
      </c>
      <c r="E1254" s="43" t="s">
        <v>3782</v>
      </c>
      <c r="F1254" s="42" t="s">
        <v>3801</v>
      </c>
      <c r="G1254" s="42" t="s">
        <v>195</v>
      </c>
      <c r="H1254" s="42"/>
      <c r="I1254" s="42"/>
      <c r="J1254" s="42">
        <v>13207684</v>
      </c>
      <c r="K1254" s="42"/>
      <c r="L1254" s="44">
        <v>45293</v>
      </c>
      <c r="M1254" s="44">
        <v>45293</v>
      </c>
      <c r="N1254" s="42" t="s">
        <v>823</v>
      </c>
      <c r="O1254" s="42">
        <v>0</v>
      </c>
      <c r="P1254" s="42">
        <v>20065447</v>
      </c>
      <c r="Q1254" s="42" t="s">
        <v>3802</v>
      </c>
      <c r="R1254" s="45">
        <v>410</v>
      </c>
      <c r="S1254" s="46">
        <v>0.01</v>
      </c>
      <c r="T1254" s="47" t="s">
        <v>198</v>
      </c>
      <c r="U1254" s="48" t="s">
        <v>199</v>
      </c>
      <c r="V1254" s="38"/>
      <c r="W1254" s="48" t="s">
        <v>195</v>
      </c>
      <c r="X1254" s="38" t="s">
        <v>426</v>
      </c>
      <c r="Y1254" s="49" t="s">
        <v>427</v>
      </c>
      <c r="Z1254" s="50" t="s">
        <v>3803</v>
      </c>
      <c r="AA1254" s="38"/>
      <c r="AB1254" s="38"/>
      <c r="AC1254" s="38"/>
      <c r="AD1254" s="51">
        <v>62</v>
      </c>
      <c r="AE1254" s="51">
        <v>62</v>
      </c>
      <c r="AF1254" s="48" t="s">
        <v>203</v>
      </c>
      <c r="AG1254" s="38" t="s">
        <v>204</v>
      </c>
      <c r="AH1254" s="52"/>
      <c r="AI1254" s="38"/>
      <c r="AJ1254" s="38"/>
    </row>
    <row r="1255" spans="1:36" ht="16.2">
      <c r="A1255" s="53" t="s">
        <v>819</v>
      </c>
      <c r="B1255" s="53">
        <v>71001904</v>
      </c>
      <c r="C1255" s="53" t="s">
        <v>3781</v>
      </c>
      <c r="D1255" s="53">
        <v>13207684</v>
      </c>
      <c r="E1255" s="54" t="s">
        <v>3782</v>
      </c>
      <c r="F1255" s="53" t="s">
        <v>3804</v>
      </c>
      <c r="G1255" s="53" t="s">
        <v>195</v>
      </c>
      <c r="H1255" s="53"/>
      <c r="I1255" s="53"/>
      <c r="J1255" s="53">
        <v>13207684</v>
      </c>
      <c r="K1255" s="53"/>
      <c r="L1255" s="55">
        <v>45293</v>
      </c>
      <c r="M1255" s="55">
        <v>45293</v>
      </c>
      <c r="N1255" s="53" t="s">
        <v>823</v>
      </c>
      <c r="O1255" s="53">
        <v>0</v>
      </c>
      <c r="P1255" s="53">
        <v>20065447</v>
      </c>
      <c r="Q1255" s="53" t="s">
        <v>3805</v>
      </c>
      <c r="R1255" s="45">
        <v>410</v>
      </c>
      <c r="S1255" s="56">
        <v>0.01</v>
      </c>
      <c r="T1255" s="47" t="s">
        <v>198</v>
      </c>
      <c r="U1255" s="48" t="s">
        <v>199</v>
      </c>
      <c r="V1255" s="38"/>
      <c r="W1255" s="48" t="s">
        <v>195</v>
      </c>
      <c r="X1255" s="38" t="s">
        <v>426</v>
      </c>
      <c r="Y1255" s="49" t="s">
        <v>427</v>
      </c>
      <c r="Z1255" s="50" t="s">
        <v>3806</v>
      </c>
      <c r="AA1255" s="38"/>
      <c r="AB1255" s="38"/>
      <c r="AC1255" s="38"/>
      <c r="AD1255" s="51">
        <v>62</v>
      </c>
      <c r="AE1255" s="51">
        <v>62</v>
      </c>
      <c r="AF1255" s="48" t="s">
        <v>203</v>
      </c>
      <c r="AG1255" s="38" t="s">
        <v>204</v>
      </c>
      <c r="AH1255" s="52"/>
      <c r="AI1255" s="38"/>
      <c r="AJ1255" s="38"/>
    </row>
    <row r="1256" spans="1:36" ht="16.2">
      <c r="A1256" s="42" t="s">
        <v>1908</v>
      </c>
      <c r="B1256" s="42">
        <v>71951101</v>
      </c>
      <c r="C1256" s="42" t="s">
        <v>3807</v>
      </c>
      <c r="D1256" s="42">
        <v>13207667</v>
      </c>
      <c r="E1256" s="43" t="s">
        <v>3808</v>
      </c>
      <c r="F1256" s="42" t="s">
        <v>3754</v>
      </c>
      <c r="G1256" s="42" t="s">
        <v>195</v>
      </c>
      <c r="H1256" s="42"/>
      <c r="I1256" s="42"/>
      <c r="J1256" s="42">
        <v>13207667</v>
      </c>
      <c r="K1256" s="42"/>
      <c r="L1256" s="44">
        <v>45293</v>
      </c>
      <c r="M1256" s="44">
        <v>45293</v>
      </c>
      <c r="N1256" s="42" t="s">
        <v>823</v>
      </c>
      <c r="O1256" s="42">
        <v>0</v>
      </c>
      <c r="P1256" s="42">
        <v>20065447</v>
      </c>
      <c r="Q1256" s="42" t="s">
        <v>3809</v>
      </c>
      <c r="R1256" s="45">
        <v>410</v>
      </c>
      <c r="S1256" s="46">
        <v>0.01</v>
      </c>
      <c r="T1256" s="47" t="s">
        <v>198</v>
      </c>
      <c r="U1256" s="48" t="s">
        <v>199</v>
      </c>
      <c r="V1256" s="38"/>
      <c r="W1256" s="48" t="s">
        <v>195</v>
      </c>
      <c r="X1256" s="38" t="s">
        <v>426</v>
      </c>
      <c r="Y1256" s="49" t="s">
        <v>427</v>
      </c>
      <c r="Z1256" s="50" t="s">
        <v>3810</v>
      </c>
      <c r="AA1256" s="38"/>
      <c r="AB1256" s="38"/>
      <c r="AC1256" s="38"/>
      <c r="AD1256" s="51">
        <v>62</v>
      </c>
      <c r="AE1256" s="51">
        <v>62</v>
      </c>
      <c r="AF1256" s="48" t="s">
        <v>203</v>
      </c>
      <c r="AG1256" s="38" t="s">
        <v>204</v>
      </c>
      <c r="AH1256" s="52"/>
      <c r="AI1256" s="38"/>
      <c r="AJ1256" s="38"/>
    </row>
    <row r="1257" spans="1:36" ht="16.2">
      <c r="A1257" s="53" t="s">
        <v>1908</v>
      </c>
      <c r="B1257" s="53">
        <v>71951101</v>
      </c>
      <c r="C1257" s="53" t="s">
        <v>3807</v>
      </c>
      <c r="D1257" s="53">
        <v>13207667</v>
      </c>
      <c r="E1257" s="54" t="s">
        <v>3808</v>
      </c>
      <c r="F1257" s="53" t="s">
        <v>3757</v>
      </c>
      <c r="G1257" s="53" t="s">
        <v>195</v>
      </c>
      <c r="H1257" s="53"/>
      <c r="I1257" s="53"/>
      <c r="J1257" s="53">
        <v>13207667</v>
      </c>
      <c r="K1257" s="53"/>
      <c r="L1257" s="55">
        <v>45293</v>
      </c>
      <c r="M1257" s="55">
        <v>45293</v>
      </c>
      <c r="N1257" s="53" t="s">
        <v>823</v>
      </c>
      <c r="O1257" s="53">
        <v>0</v>
      </c>
      <c r="P1257" s="53">
        <v>20065447</v>
      </c>
      <c r="Q1257" s="53" t="s">
        <v>3811</v>
      </c>
      <c r="R1257" s="45">
        <v>410</v>
      </c>
      <c r="S1257" s="56">
        <v>0.01</v>
      </c>
      <c r="T1257" s="47" t="s">
        <v>198</v>
      </c>
      <c r="U1257" s="48" t="s">
        <v>199</v>
      </c>
      <c r="V1257" s="38"/>
      <c r="W1257" s="48" t="s">
        <v>195</v>
      </c>
      <c r="X1257" s="38" t="s">
        <v>426</v>
      </c>
      <c r="Y1257" s="49" t="s">
        <v>427</v>
      </c>
      <c r="Z1257" s="50" t="s">
        <v>3812</v>
      </c>
      <c r="AA1257" s="38"/>
      <c r="AB1257" s="38"/>
      <c r="AC1257" s="38"/>
      <c r="AD1257" s="51">
        <v>62</v>
      </c>
      <c r="AE1257" s="51">
        <v>62</v>
      </c>
      <c r="AF1257" s="48" t="s">
        <v>203</v>
      </c>
      <c r="AG1257" s="38" t="s">
        <v>204</v>
      </c>
      <c r="AH1257" s="52"/>
      <c r="AI1257" s="38"/>
      <c r="AJ1257" s="38"/>
    </row>
    <row r="1258" spans="1:36" ht="16.2">
      <c r="A1258" s="42" t="s">
        <v>1908</v>
      </c>
      <c r="B1258" s="42">
        <v>71951101</v>
      </c>
      <c r="C1258" s="42" t="s">
        <v>3807</v>
      </c>
      <c r="D1258" s="42">
        <v>13207667</v>
      </c>
      <c r="E1258" s="43" t="s">
        <v>3808</v>
      </c>
      <c r="F1258" s="42" t="s">
        <v>3813</v>
      </c>
      <c r="G1258" s="42" t="s">
        <v>195</v>
      </c>
      <c r="H1258" s="42"/>
      <c r="I1258" s="42"/>
      <c r="J1258" s="42">
        <v>13207667</v>
      </c>
      <c r="K1258" s="42"/>
      <c r="L1258" s="44">
        <v>45293</v>
      </c>
      <c r="M1258" s="44">
        <v>45293</v>
      </c>
      <c r="N1258" s="42" t="s">
        <v>823</v>
      </c>
      <c r="O1258" s="42">
        <v>0</v>
      </c>
      <c r="P1258" s="42">
        <v>20065447</v>
      </c>
      <c r="Q1258" s="42" t="s">
        <v>3814</v>
      </c>
      <c r="R1258" s="45">
        <v>410</v>
      </c>
      <c r="S1258" s="46">
        <v>0.01</v>
      </c>
      <c r="T1258" s="47" t="s">
        <v>198</v>
      </c>
      <c r="U1258" s="48" t="s">
        <v>199</v>
      </c>
      <c r="V1258" s="38"/>
      <c r="W1258" s="48" t="s">
        <v>195</v>
      </c>
      <c r="X1258" s="38" t="s">
        <v>426</v>
      </c>
      <c r="Y1258" s="49" t="s">
        <v>427</v>
      </c>
      <c r="Z1258" s="50" t="s">
        <v>3815</v>
      </c>
      <c r="AA1258" s="38"/>
      <c r="AB1258" s="38"/>
      <c r="AC1258" s="38"/>
      <c r="AD1258" s="51">
        <v>62</v>
      </c>
      <c r="AE1258" s="51">
        <v>62</v>
      </c>
      <c r="AF1258" s="48" t="s">
        <v>203</v>
      </c>
      <c r="AG1258" s="38" t="s">
        <v>204</v>
      </c>
      <c r="AH1258" s="52"/>
      <c r="AI1258" s="38"/>
      <c r="AJ1258" s="38"/>
    </row>
    <row r="1259" spans="1:36" ht="16.2">
      <c r="A1259" s="53" t="s">
        <v>1908</v>
      </c>
      <c r="B1259" s="53">
        <v>71951101</v>
      </c>
      <c r="C1259" s="53" t="s">
        <v>3807</v>
      </c>
      <c r="D1259" s="53">
        <v>13207667</v>
      </c>
      <c r="E1259" s="54" t="s">
        <v>3808</v>
      </c>
      <c r="F1259" s="53" t="s">
        <v>3763</v>
      </c>
      <c r="G1259" s="53" t="s">
        <v>195</v>
      </c>
      <c r="H1259" s="53"/>
      <c r="I1259" s="53"/>
      <c r="J1259" s="53">
        <v>13207667</v>
      </c>
      <c r="K1259" s="53"/>
      <c r="L1259" s="55">
        <v>45293</v>
      </c>
      <c r="M1259" s="55">
        <v>45293</v>
      </c>
      <c r="N1259" s="53" t="s">
        <v>823</v>
      </c>
      <c r="O1259" s="53">
        <v>0</v>
      </c>
      <c r="P1259" s="53">
        <v>20065447</v>
      </c>
      <c r="Q1259" s="53" t="s">
        <v>3816</v>
      </c>
      <c r="R1259" s="45">
        <v>410</v>
      </c>
      <c r="S1259" s="56">
        <v>0.01</v>
      </c>
      <c r="T1259" s="47" t="s">
        <v>198</v>
      </c>
      <c r="U1259" s="48" t="s">
        <v>199</v>
      </c>
      <c r="V1259" s="38"/>
      <c r="W1259" s="48" t="s">
        <v>195</v>
      </c>
      <c r="X1259" s="38" t="s">
        <v>426</v>
      </c>
      <c r="Y1259" s="49" t="s">
        <v>427</v>
      </c>
      <c r="Z1259" s="50" t="s">
        <v>3817</v>
      </c>
      <c r="AA1259" s="38"/>
      <c r="AB1259" s="38"/>
      <c r="AC1259" s="38"/>
      <c r="AD1259" s="51">
        <v>62</v>
      </c>
      <c r="AE1259" s="51">
        <v>62</v>
      </c>
      <c r="AF1259" s="48" t="s">
        <v>203</v>
      </c>
      <c r="AG1259" s="38" t="s">
        <v>204</v>
      </c>
      <c r="AH1259" s="52"/>
      <c r="AI1259" s="38"/>
      <c r="AJ1259" s="38"/>
    </row>
    <row r="1260" spans="1:36" ht="16.2">
      <c r="A1260" s="42" t="s">
        <v>1908</v>
      </c>
      <c r="B1260" s="42">
        <v>71951101</v>
      </c>
      <c r="C1260" s="42" t="s">
        <v>3807</v>
      </c>
      <c r="D1260" s="42">
        <v>13207667</v>
      </c>
      <c r="E1260" s="43" t="s">
        <v>3808</v>
      </c>
      <c r="F1260" s="42" t="s">
        <v>3766</v>
      </c>
      <c r="G1260" s="42" t="s">
        <v>195</v>
      </c>
      <c r="H1260" s="42"/>
      <c r="I1260" s="42"/>
      <c r="J1260" s="42">
        <v>13207667</v>
      </c>
      <c r="K1260" s="42"/>
      <c r="L1260" s="44">
        <v>45293</v>
      </c>
      <c r="M1260" s="44">
        <v>45293</v>
      </c>
      <c r="N1260" s="42" t="s">
        <v>823</v>
      </c>
      <c r="O1260" s="42">
        <v>0</v>
      </c>
      <c r="P1260" s="42">
        <v>20065447</v>
      </c>
      <c r="Q1260" s="42" t="s">
        <v>3818</v>
      </c>
      <c r="R1260" s="45">
        <v>410</v>
      </c>
      <c r="S1260" s="46">
        <v>0.01</v>
      </c>
      <c r="T1260" s="47" t="s">
        <v>198</v>
      </c>
      <c r="U1260" s="48" t="s">
        <v>199</v>
      </c>
      <c r="V1260" s="38"/>
      <c r="W1260" s="48" t="s">
        <v>195</v>
      </c>
      <c r="X1260" s="38" t="s">
        <v>426</v>
      </c>
      <c r="Y1260" s="49" t="s">
        <v>427</v>
      </c>
      <c r="Z1260" s="50" t="s">
        <v>3819</v>
      </c>
      <c r="AA1260" s="38"/>
      <c r="AB1260" s="38"/>
      <c r="AC1260" s="38"/>
      <c r="AD1260" s="51">
        <v>62</v>
      </c>
      <c r="AE1260" s="51">
        <v>62</v>
      </c>
      <c r="AF1260" s="48" t="s">
        <v>203</v>
      </c>
      <c r="AG1260" s="38" t="s">
        <v>204</v>
      </c>
      <c r="AH1260" s="52"/>
      <c r="AI1260" s="38"/>
      <c r="AJ1260" s="38"/>
    </row>
    <row r="1261" spans="1:36" ht="16.2">
      <c r="A1261" s="53" t="s">
        <v>1908</v>
      </c>
      <c r="B1261" s="53">
        <v>71951101</v>
      </c>
      <c r="C1261" s="53" t="s">
        <v>3807</v>
      </c>
      <c r="D1261" s="53">
        <v>13207667</v>
      </c>
      <c r="E1261" s="54" t="s">
        <v>3808</v>
      </c>
      <c r="F1261" s="53" t="s">
        <v>3769</v>
      </c>
      <c r="G1261" s="53" t="s">
        <v>195</v>
      </c>
      <c r="H1261" s="53"/>
      <c r="I1261" s="53"/>
      <c r="J1261" s="53">
        <v>13207667</v>
      </c>
      <c r="K1261" s="53"/>
      <c r="L1261" s="55">
        <v>45293</v>
      </c>
      <c r="M1261" s="55">
        <v>45293</v>
      </c>
      <c r="N1261" s="53" t="s">
        <v>823</v>
      </c>
      <c r="O1261" s="53">
        <v>0</v>
      </c>
      <c r="P1261" s="53">
        <v>20065447</v>
      </c>
      <c r="Q1261" s="53" t="s">
        <v>3820</v>
      </c>
      <c r="R1261" s="45">
        <v>410</v>
      </c>
      <c r="S1261" s="56">
        <v>0.01</v>
      </c>
      <c r="T1261" s="47" t="s">
        <v>198</v>
      </c>
      <c r="U1261" s="48" t="s">
        <v>199</v>
      </c>
      <c r="V1261" s="38"/>
      <c r="W1261" s="48" t="s">
        <v>195</v>
      </c>
      <c r="X1261" s="38" t="s">
        <v>426</v>
      </c>
      <c r="Y1261" s="49" t="s">
        <v>427</v>
      </c>
      <c r="Z1261" s="50" t="s">
        <v>3821</v>
      </c>
      <c r="AA1261" s="38"/>
      <c r="AB1261" s="38"/>
      <c r="AC1261" s="38"/>
      <c r="AD1261" s="51">
        <v>62</v>
      </c>
      <c r="AE1261" s="51">
        <v>62</v>
      </c>
      <c r="AF1261" s="48" t="s">
        <v>203</v>
      </c>
      <c r="AG1261" s="38" t="s">
        <v>204</v>
      </c>
      <c r="AH1261" s="52"/>
      <c r="AI1261" s="38"/>
      <c r="AJ1261" s="38"/>
    </row>
    <row r="1262" spans="1:36" ht="16.2">
      <c r="A1262" s="42" t="s">
        <v>1908</v>
      </c>
      <c r="B1262" s="42">
        <v>71951101</v>
      </c>
      <c r="C1262" s="42" t="s">
        <v>3807</v>
      </c>
      <c r="D1262" s="42">
        <v>13207667</v>
      </c>
      <c r="E1262" s="43" t="s">
        <v>3808</v>
      </c>
      <c r="F1262" s="42" t="s">
        <v>3772</v>
      </c>
      <c r="G1262" s="42" t="s">
        <v>195</v>
      </c>
      <c r="H1262" s="42"/>
      <c r="I1262" s="42"/>
      <c r="J1262" s="42">
        <v>13207667</v>
      </c>
      <c r="K1262" s="42"/>
      <c r="L1262" s="44">
        <v>45293</v>
      </c>
      <c r="M1262" s="44">
        <v>45293</v>
      </c>
      <c r="N1262" s="42" t="s">
        <v>823</v>
      </c>
      <c r="O1262" s="42">
        <v>0</v>
      </c>
      <c r="P1262" s="42">
        <v>20065447</v>
      </c>
      <c r="Q1262" s="42" t="s">
        <v>3822</v>
      </c>
      <c r="R1262" s="45">
        <v>410</v>
      </c>
      <c r="S1262" s="46">
        <v>0.01</v>
      </c>
      <c r="T1262" s="47" t="s">
        <v>198</v>
      </c>
      <c r="U1262" s="48" t="s">
        <v>199</v>
      </c>
      <c r="V1262" s="38"/>
      <c r="W1262" s="48" t="s">
        <v>195</v>
      </c>
      <c r="X1262" s="38" t="s">
        <v>426</v>
      </c>
      <c r="Y1262" s="49" t="s">
        <v>427</v>
      </c>
      <c r="Z1262" s="50" t="s">
        <v>3823</v>
      </c>
      <c r="AA1262" s="38"/>
      <c r="AB1262" s="38"/>
      <c r="AC1262" s="38"/>
      <c r="AD1262" s="51">
        <v>62</v>
      </c>
      <c r="AE1262" s="51">
        <v>62</v>
      </c>
      <c r="AF1262" s="48" t="s">
        <v>203</v>
      </c>
      <c r="AG1262" s="38" t="s">
        <v>204</v>
      </c>
      <c r="AH1262" s="52"/>
      <c r="AI1262" s="38"/>
      <c r="AJ1262" s="38"/>
    </row>
    <row r="1263" spans="1:36" ht="16.2">
      <c r="A1263" s="53" t="s">
        <v>1908</v>
      </c>
      <c r="B1263" s="53">
        <v>71951101</v>
      </c>
      <c r="C1263" s="53" t="s">
        <v>3807</v>
      </c>
      <c r="D1263" s="53">
        <v>13207667</v>
      </c>
      <c r="E1263" s="54" t="s">
        <v>3808</v>
      </c>
      <c r="F1263" s="53" t="s">
        <v>3775</v>
      </c>
      <c r="G1263" s="53" t="s">
        <v>195</v>
      </c>
      <c r="H1263" s="53"/>
      <c r="I1263" s="53"/>
      <c r="J1263" s="53">
        <v>13207667</v>
      </c>
      <c r="K1263" s="53"/>
      <c r="L1263" s="55">
        <v>45293</v>
      </c>
      <c r="M1263" s="55">
        <v>45293</v>
      </c>
      <c r="N1263" s="53" t="s">
        <v>823</v>
      </c>
      <c r="O1263" s="53">
        <v>0</v>
      </c>
      <c r="P1263" s="53">
        <v>20065447</v>
      </c>
      <c r="Q1263" s="53" t="s">
        <v>3824</v>
      </c>
      <c r="R1263" s="45">
        <v>410</v>
      </c>
      <c r="S1263" s="56">
        <v>0.01</v>
      </c>
      <c r="T1263" s="47" t="s">
        <v>198</v>
      </c>
      <c r="U1263" s="48" t="s">
        <v>199</v>
      </c>
      <c r="V1263" s="38"/>
      <c r="W1263" s="48" t="s">
        <v>195</v>
      </c>
      <c r="X1263" s="38" t="s">
        <v>426</v>
      </c>
      <c r="Y1263" s="49" t="s">
        <v>427</v>
      </c>
      <c r="Z1263" s="50" t="s">
        <v>3825</v>
      </c>
      <c r="AA1263" s="38"/>
      <c r="AB1263" s="38"/>
      <c r="AC1263" s="47" t="s">
        <v>3826</v>
      </c>
      <c r="AD1263" s="51">
        <v>62</v>
      </c>
      <c r="AE1263" s="51">
        <v>62</v>
      </c>
      <c r="AF1263" s="48" t="s">
        <v>203</v>
      </c>
      <c r="AG1263" s="38" t="s">
        <v>204</v>
      </c>
      <c r="AH1263" s="52"/>
      <c r="AI1263" s="38"/>
      <c r="AJ1263" s="38"/>
    </row>
    <row r="1264" spans="1:36" ht="16.2">
      <c r="A1264" s="42" t="s">
        <v>1908</v>
      </c>
      <c r="B1264" s="42">
        <v>71951101</v>
      </c>
      <c r="C1264" s="42" t="s">
        <v>3807</v>
      </c>
      <c r="D1264" s="42">
        <v>13207667</v>
      </c>
      <c r="E1264" s="43" t="s">
        <v>3808</v>
      </c>
      <c r="F1264" s="42" t="s">
        <v>3778</v>
      </c>
      <c r="G1264" s="42" t="s">
        <v>195</v>
      </c>
      <c r="H1264" s="42"/>
      <c r="I1264" s="42"/>
      <c r="J1264" s="42">
        <v>13207667</v>
      </c>
      <c r="K1264" s="42"/>
      <c r="L1264" s="44">
        <v>45293</v>
      </c>
      <c r="M1264" s="44">
        <v>45293</v>
      </c>
      <c r="N1264" s="42" t="s">
        <v>823</v>
      </c>
      <c r="O1264" s="42">
        <v>0</v>
      </c>
      <c r="P1264" s="42">
        <v>20065447</v>
      </c>
      <c r="Q1264" s="42" t="s">
        <v>3827</v>
      </c>
      <c r="R1264" s="45">
        <v>410</v>
      </c>
      <c r="S1264" s="46">
        <v>0.01</v>
      </c>
      <c r="T1264" s="47" t="s">
        <v>198</v>
      </c>
      <c r="U1264" s="48" t="s">
        <v>199</v>
      </c>
      <c r="V1264" s="38"/>
      <c r="W1264" s="48" t="s">
        <v>195</v>
      </c>
      <c r="X1264" s="38" t="s">
        <v>426</v>
      </c>
      <c r="Y1264" s="49" t="s">
        <v>427</v>
      </c>
      <c r="Z1264" s="50" t="s">
        <v>3828</v>
      </c>
      <c r="AA1264" s="38"/>
      <c r="AB1264" s="38"/>
      <c r="AC1264" s="38"/>
      <c r="AD1264" s="51">
        <v>62</v>
      </c>
      <c r="AE1264" s="51">
        <v>62</v>
      </c>
      <c r="AF1264" s="48" t="s">
        <v>203</v>
      </c>
      <c r="AG1264" s="38" t="s">
        <v>204</v>
      </c>
      <c r="AH1264" s="52"/>
      <c r="AI1264" s="38"/>
      <c r="AJ1264" s="38"/>
    </row>
    <row r="1265" spans="1:36" ht="16.2">
      <c r="A1265" s="53" t="s">
        <v>420</v>
      </c>
      <c r="B1265" s="53">
        <v>829853</v>
      </c>
      <c r="C1265" s="53" t="s">
        <v>3829</v>
      </c>
      <c r="D1265" s="53">
        <v>13207679</v>
      </c>
      <c r="E1265" s="54" t="s">
        <v>3830</v>
      </c>
      <c r="F1265" s="53" t="s">
        <v>3831</v>
      </c>
      <c r="G1265" s="53" t="s">
        <v>195</v>
      </c>
      <c r="H1265" s="53"/>
      <c r="I1265" s="53"/>
      <c r="J1265" s="53">
        <v>13207679</v>
      </c>
      <c r="K1265" s="53"/>
      <c r="L1265" s="55">
        <v>45293</v>
      </c>
      <c r="M1265" s="55">
        <v>45293</v>
      </c>
      <c r="N1265" s="53" t="s">
        <v>424</v>
      </c>
      <c r="O1265" s="53">
        <v>0</v>
      </c>
      <c r="P1265" s="53">
        <v>20076884</v>
      </c>
      <c r="Q1265" s="53" t="s">
        <v>3832</v>
      </c>
      <c r="R1265" s="45">
        <v>410</v>
      </c>
      <c r="S1265" s="56">
        <v>0.01</v>
      </c>
      <c r="T1265" s="47" t="s">
        <v>198</v>
      </c>
      <c r="U1265" s="48" t="s">
        <v>199</v>
      </c>
      <c r="V1265" s="38"/>
      <c r="W1265" s="48" t="s">
        <v>195</v>
      </c>
      <c r="X1265" s="38" t="s">
        <v>426</v>
      </c>
      <c r="Y1265" s="49" t="s">
        <v>427</v>
      </c>
      <c r="Z1265" s="50" t="s">
        <v>3833</v>
      </c>
      <c r="AA1265" s="38"/>
      <c r="AB1265" s="38"/>
      <c r="AC1265" s="38"/>
      <c r="AD1265" s="51">
        <v>70</v>
      </c>
      <c r="AE1265" s="51">
        <v>70</v>
      </c>
      <c r="AF1265" s="48" t="s">
        <v>203</v>
      </c>
      <c r="AG1265" s="38" t="s">
        <v>204</v>
      </c>
      <c r="AH1265" s="52"/>
      <c r="AI1265" s="38"/>
      <c r="AJ1265" s="38"/>
    </row>
    <row r="1266" spans="1:36" ht="16.2">
      <c r="A1266" s="42" t="s">
        <v>420</v>
      </c>
      <c r="B1266" s="42">
        <v>829853</v>
      </c>
      <c r="C1266" s="42" t="s">
        <v>3829</v>
      </c>
      <c r="D1266" s="42">
        <v>13207679</v>
      </c>
      <c r="E1266" s="43" t="s">
        <v>3830</v>
      </c>
      <c r="F1266" s="42" t="s">
        <v>3834</v>
      </c>
      <c r="G1266" s="42" t="s">
        <v>195</v>
      </c>
      <c r="H1266" s="42"/>
      <c r="I1266" s="42"/>
      <c r="J1266" s="42">
        <v>13207679</v>
      </c>
      <c r="K1266" s="42"/>
      <c r="L1266" s="44">
        <v>45293</v>
      </c>
      <c r="M1266" s="44">
        <v>45293</v>
      </c>
      <c r="N1266" s="42" t="s">
        <v>424</v>
      </c>
      <c r="O1266" s="42">
        <v>0</v>
      </c>
      <c r="P1266" s="42">
        <v>20076884</v>
      </c>
      <c r="Q1266" s="42" t="s">
        <v>3835</v>
      </c>
      <c r="R1266" s="45">
        <v>410</v>
      </c>
      <c r="S1266" s="46">
        <v>0.01</v>
      </c>
      <c r="T1266" s="47" t="s">
        <v>198</v>
      </c>
      <c r="U1266" s="48" t="s">
        <v>199</v>
      </c>
      <c r="V1266" s="38"/>
      <c r="W1266" s="48" t="s">
        <v>195</v>
      </c>
      <c r="X1266" s="38" t="s">
        <v>426</v>
      </c>
      <c r="Y1266" s="49" t="s">
        <v>427</v>
      </c>
      <c r="Z1266" s="50" t="s">
        <v>3836</v>
      </c>
      <c r="AA1266" s="38"/>
      <c r="AB1266" s="38"/>
      <c r="AC1266" s="38"/>
      <c r="AD1266" s="51">
        <v>70</v>
      </c>
      <c r="AE1266" s="51">
        <v>70</v>
      </c>
      <c r="AF1266" s="48" t="s">
        <v>203</v>
      </c>
      <c r="AG1266" s="38" t="s">
        <v>204</v>
      </c>
      <c r="AH1266" s="52"/>
      <c r="AI1266" s="38"/>
      <c r="AJ1266" s="38"/>
    </row>
    <row r="1267" spans="1:36" ht="16.2">
      <c r="A1267" s="53" t="s">
        <v>420</v>
      </c>
      <c r="B1267" s="53">
        <v>829853</v>
      </c>
      <c r="C1267" s="53" t="s">
        <v>3829</v>
      </c>
      <c r="D1267" s="53">
        <v>13207679</v>
      </c>
      <c r="E1267" s="54" t="s">
        <v>3830</v>
      </c>
      <c r="F1267" s="53" t="s">
        <v>3837</v>
      </c>
      <c r="G1267" s="53" t="s">
        <v>195</v>
      </c>
      <c r="H1267" s="53"/>
      <c r="I1267" s="53"/>
      <c r="J1267" s="53">
        <v>13207679</v>
      </c>
      <c r="K1267" s="53"/>
      <c r="L1267" s="55">
        <v>45293</v>
      </c>
      <c r="M1267" s="55">
        <v>45293</v>
      </c>
      <c r="N1267" s="53" t="s">
        <v>424</v>
      </c>
      <c r="O1267" s="53">
        <v>0</v>
      </c>
      <c r="P1267" s="53">
        <v>20076884</v>
      </c>
      <c r="Q1267" s="53" t="s">
        <v>3838</v>
      </c>
      <c r="R1267" s="45">
        <v>410</v>
      </c>
      <c r="S1267" s="56">
        <v>0.01</v>
      </c>
      <c r="T1267" s="47" t="s">
        <v>198</v>
      </c>
      <c r="U1267" s="48" t="s">
        <v>199</v>
      </c>
      <c r="V1267" s="38"/>
      <c r="W1267" s="48" t="s">
        <v>195</v>
      </c>
      <c r="X1267" s="38" t="s">
        <v>426</v>
      </c>
      <c r="Y1267" s="49" t="s">
        <v>427</v>
      </c>
      <c r="Z1267" s="50" t="s">
        <v>3839</v>
      </c>
      <c r="AA1267" s="38"/>
      <c r="AB1267" s="38"/>
      <c r="AC1267" s="38"/>
      <c r="AD1267" s="51">
        <v>70</v>
      </c>
      <c r="AE1267" s="51">
        <v>70</v>
      </c>
      <c r="AF1267" s="48" t="s">
        <v>203</v>
      </c>
      <c r="AG1267" s="38" t="s">
        <v>204</v>
      </c>
      <c r="AH1267" s="52"/>
      <c r="AI1267" s="38"/>
      <c r="AJ1267" s="38"/>
    </row>
    <row r="1268" spans="1:36" ht="16.2">
      <c r="A1268" s="42" t="s">
        <v>420</v>
      </c>
      <c r="B1268" s="42">
        <v>829853</v>
      </c>
      <c r="C1268" s="42" t="s">
        <v>3829</v>
      </c>
      <c r="D1268" s="42">
        <v>13207679</v>
      </c>
      <c r="E1268" s="43" t="s">
        <v>3830</v>
      </c>
      <c r="F1268" s="42" t="s">
        <v>3840</v>
      </c>
      <c r="G1268" s="42" t="s">
        <v>195</v>
      </c>
      <c r="H1268" s="42"/>
      <c r="I1268" s="42"/>
      <c r="J1268" s="42">
        <v>13207679</v>
      </c>
      <c r="K1268" s="42"/>
      <c r="L1268" s="44">
        <v>45293</v>
      </c>
      <c r="M1268" s="44">
        <v>45293</v>
      </c>
      <c r="N1268" s="42" t="s">
        <v>424</v>
      </c>
      <c r="O1268" s="42">
        <v>0</v>
      </c>
      <c r="P1268" s="42">
        <v>20076884</v>
      </c>
      <c r="Q1268" s="42" t="s">
        <v>3841</v>
      </c>
      <c r="R1268" s="45">
        <v>410</v>
      </c>
      <c r="S1268" s="46">
        <v>0.01</v>
      </c>
      <c r="T1268" s="47" t="s">
        <v>198</v>
      </c>
      <c r="U1268" s="48" t="s">
        <v>199</v>
      </c>
      <c r="V1268" s="38"/>
      <c r="W1268" s="48" t="s">
        <v>195</v>
      </c>
      <c r="X1268" s="38" t="s">
        <v>426</v>
      </c>
      <c r="Y1268" s="49" t="s">
        <v>427</v>
      </c>
      <c r="Z1268" s="50" t="s">
        <v>3842</v>
      </c>
      <c r="AA1268" s="38"/>
      <c r="AB1268" s="38"/>
      <c r="AC1268" s="38"/>
      <c r="AD1268" s="51">
        <v>70</v>
      </c>
      <c r="AE1268" s="51">
        <v>70</v>
      </c>
      <c r="AF1268" s="48" t="s">
        <v>203</v>
      </c>
      <c r="AG1268" s="38" t="s">
        <v>204</v>
      </c>
      <c r="AH1268" s="52"/>
      <c r="AI1268" s="38"/>
      <c r="AJ1268" s="38"/>
    </row>
    <row r="1269" spans="1:36" ht="16.2">
      <c r="A1269" s="53" t="s">
        <v>420</v>
      </c>
      <c r="B1269" s="53">
        <v>829853</v>
      </c>
      <c r="C1269" s="53" t="s">
        <v>3829</v>
      </c>
      <c r="D1269" s="53">
        <v>13207679</v>
      </c>
      <c r="E1269" s="54" t="s">
        <v>3830</v>
      </c>
      <c r="F1269" s="53" t="s">
        <v>3843</v>
      </c>
      <c r="G1269" s="53" t="s">
        <v>195</v>
      </c>
      <c r="H1269" s="53"/>
      <c r="I1269" s="53"/>
      <c r="J1269" s="53">
        <v>13207679</v>
      </c>
      <c r="K1269" s="53"/>
      <c r="L1269" s="55">
        <v>45293</v>
      </c>
      <c r="M1269" s="55">
        <v>45293</v>
      </c>
      <c r="N1269" s="53" t="s">
        <v>424</v>
      </c>
      <c r="O1269" s="53">
        <v>0</v>
      </c>
      <c r="P1269" s="53">
        <v>20076884</v>
      </c>
      <c r="Q1269" s="53" t="s">
        <v>3844</v>
      </c>
      <c r="R1269" s="45">
        <v>410</v>
      </c>
      <c r="S1269" s="56">
        <v>0.01</v>
      </c>
      <c r="T1269" s="47" t="s">
        <v>198</v>
      </c>
      <c r="U1269" s="48" t="s">
        <v>199</v>
      </c>
      <c r="V1269" s="38"/>
      <c r="W1269" s="48" t="s">
        <v>195</v>
      </c>
      <c r="X1269" s="38" t="s">
        <v>426</v>
      </c>
      <c r="Y1269" s="49" t="s">
        <v>427</v>
      </c>
      <c r="Z1269" s="50" t="s">
        <v>3845</v>
      </c>
      <c r="AA1269" s="38"/>
      <c r="AB1269" s="38"/>
      <c r="AC1269" s="38"/>
      <c r="AD1269" s="51">
        <v>70</v>
      </c>
      <c r="AE1269" s="51">
        <v>70</v>
      </c>
      <c r="AF1269" s="48" t="s">
        <v>203</v>
      </c>
      <c r="AG1269" s="38" t="s">
        <v>204</v>
      </c>
      <c r="AH1269" s="52"/>
      <c r="AI1269" s="38"/>
      <c r="AJ1269" s="38"/>
    </row>
    <row r="1270" spans="1:36" ht="16.2">
      <c r="A1270" s="42" t="s">
        <v>420</v>
      </c>
      <c r="B1270" s="42">
        <v>829853</v>
      </c>
      <c r="C1270" s="42" t="s">
        <v>3829</v>
      </c>
      <c r="D1270" s="42">
        <v>13207679</v>
      </c>
      <c r="E1270" s="43" t="s">
        <v>3830</v>
      </c>
      <c r="F1270" s="42" t="s">
        <v>3846</v>
      </c>
      <c r="G1270" s="42" t="s">
        <v>195</v>
      </c>
      <c r="H1270" s="42"/>
      <c r="I1270" s="42"/>
      <c r="J1270" s="42">
        <v>13207679</v>
      </c>
      <c r="K1270" s="42"/>
      <c r="L1270" s="44">
        <v>45293</v>
      </c>
      <c r="M1270" s="44">
        <v>45293</v>
      </c>
      <c r="N1270" s="42" t="s">
        <v>424</v>
      </c>
      <c r="O1270" s="42">
        <v>0</v>
      </c>
      <c r="P1270" s="42">
        <v>20076884</v>
      </c>
      <c r="Q1270" s="42" t="s">
        <v>3847</v>
      </c>
      <c r="R1270" s="45">
        <v>410</v>
      </c>
      <c r="S1270" s="46">
        <v>0.01</v>
      </c>
      <c r="T1270" s="47" t="s">
        <v>198</v>
      </c>
      <c r="U1270" s="48" t="s">
        <v>199</v>
      </c>
      <c r="V1270" s="38"/>
      <c r="W1270" s="48" t="s">
        <v>195</v>
      </c>
      <c r="X1270" s="38" t="s">
        <v>426</v>
      </c>
      <c r="Y1270" s="49" t="s">
        <v>427</v>
      </c>
      <c r="Z1270" s="50" t="s">
        <v>3848</v>
      </c>
      <c r="AA1270" s="38"/>
      <c r="AB1270" s="38"/>
      <c r="AC1270" s="38"/>
      <c r="AD1270" s="51">
        <v>70</v>
      </c>
      <c r="AE1270" s="51">
        <v>70</v>
      </c>
      <c r="AF1270" s="48" t="s">
        <v>203</v>
      </c>
      <c r="AG1270" s="38" t="s">
        <v>204</v>
      </c>
      <c r="AH1270" s="52"/>
      <c r="AI1270" s="38"/>
      <c r="AJ1270" s="38"/>
    </row>
    <row r="1271" spans="1:36" ht="16.2">
      <c r="A1271" s="53" t="s">
        <v>238</v>
      </c>
      <c r="B1271" s="53">
        <v>829654</v>
      </c>
      <c r="C1271" s="53" t="s">
        <v>3849</v>
      </c>
      <c r="D1271" s="53">
        <v>13207652</v>
      </c>
      <c r="E1271" s="54" t="s">
        <v>3850</v>
      </c>
      <c r="F1271" s="53" t="s">
        <v>3851</v>
      </c>
      <c r="G1271" s="53" t="s">
        <v>195</v>
      </c>
      <c r="H1271" s="53"/>
      <c r="I1271" s="53"/>
      <c r="J1271" s="53">
        <v>13207652</v>
      </c>
      <c r="K1271" s="53"/>
      <c r="L1271" s="55">
        <v>45293</v>
      </c>
      <c r="M1271" s="55">
        <v>45293</v>
      </c>
      <c r="N1271" s="53" t="s">
        <v>1328</v>
      </c>
      <c r="O1271" s="53">
        <v>0</v>
      </c>
      <c r="P1271" s="53">
        <v>20036419</v>
      </c>
      <c r="Q1271" s="53" t="s">
        <v>3852</v>
      </c>
      <c r="R1271" s="45">
        <v>410</v>
      </c>
      <c r="S1271" s="56">
        <v>0.01</v>
      </c>
      <c r="T1271" s="47" t="s">
        <v>198</v>
      </c>
      <c r="U1271" s="48" t="s">
        <v>199</v>
      </c>
      <c r="V1271" s="38"/>
      <c r="W1271" s="48" t="s">
        <v>195</v>
      </c>
      <c r="X1271" s="38" t="s">
        <v>200</v>
      </c>
      <c r="Y1271" s="49" t="s">
        <v>201</v>
      </c>
      <c r="Z1271" s="50" t="s">
        <v>3853</v>
      </c>
      <c r="AA1271" s="38"/>
      <c r="AB1271" s="38"/>
      <c r="AC1271" s="38"/>
      <c r="AD1271" s="51">
        <v>43</v>
      </c>
      <c r="AE1271" s="51">
        <v>43</v>
      </c>
      <c r="AF1271" s="48" t="s">
        <v>203</v>
      </c>
      <c r="AG1271" s="38" t="s">
        <v>204</v>
      </c>
      <c r="AH1271" s="52"/>
      <c r="AI1271" s="38"/>
      <c r="AJ1271" s="38"/>
    </row>
    <row r="1272" spans="1:36" ht="16.2">
      <c r="A1272" s="42" t="s">
        <v>238</v>
      </c>
      <c r="B1272" s="42">
        <v>829654</v>
      </c>
      <c r="C1272" s="42" t="s">
        <v>3849</v>
      </c>
      <c r="D1272" s="42">
        <v>13207652</v>
      </c>
      <c r="E1272" s="43" t="s">
        <v>3850</v>
      </c>
      <c r="F1272" s="42" t="s">
        <v>3854</v>
      </c>
      <c r="G1272" s="42" t="s">
        <v>195</v>
      </c>
      <c r="H1272" s="42"/>
      <c r="I1272" s="42"/>
      <c r="J1272" s="42">
        <v>13207652</v>
      </c>
      <c r="K1272" s="42"/>
      <c r="L1272" s="44">
        <v>45293</v>
      </c>
      <c r="M1272" s="44">
        <v>45293</v>
      </c>
      <c r="N1272" s="42" t="s">
        <v>1328</v>
      </c>
      <c r="O1272" s="42">
        <v>0</v>
      </c>
      <c r="P1272" s="42">
        <v>20036419</v>
      </c>
      <c r="Q1272" s="42" t="s">
        <v>3855</v>
      </c>
      <c r="R1272" s="45">
        <v>410</v>
      </c>
      <c r="S1272" s="42">
        <v>0</v>
      </c>
      <c r="T1272" s="47" t="s">
        <v>198</v>
      </c>
      <c r="U1272" s="48" t="s">
        <v>199</v>
      </c>
      <c r="V1272" s="38"/>
      <c r="W1272" s="48" t="s">
        <v>195</v>
      </c>
      <c r="X1272" s="38" t="s">
        <v>200</v>
      </c>
      <c r="Y1272" s="49" t="s">
        <v>201</v>
      </c>
      <c r="Z1272" s="50" t="s">
        <v>3856</v>
      </c>
      <c r="AA1272" s="38"/>
      <c r="AB1272" s="38"/>
      <c r="AC1272" s="38"/>
      <c r="AD1272" s="51">
        <v>43</v>
      </c>
      <c r="AE1272" s="51">
        <v>43</v>
      </c>
      <c r="AF1272" s="48" t="s">
        <v>203</v>
      </c>
      <c r="AG1272" s="38" t="s">
        <v>204</v>
      </c>
      <c r="AH1272" s="52"/>
      <c r="AI1272" s="38"/>
      <c r="AJ1272" s="38"/>
    </row>
    <row r="1273" spans="1:36" ht="16.2">
      <c r="A1273" s="53" t="s">
        <v>238</v>
      </c>
      <c r="B1273" s="53">
        <v>829654</v>
      </c>
      <c r="C1273" s="53" t="s">
        <v>3849</v>
      </c>
      <c r="D1273" s="53">
        <v>13207652</v>
      </c>
      <c r="E1273" s="54" t="s">
        <v>3850</v>
      </c>
      <c r="F1273" s="53" t="s">
        <v>3857</v>
      </c>
      <c r="G1273" s="53" t="s">
        <v>195</v>
      </c>
      <c r="H1273" s="53"/>
      <c r="I1273" s="53"/>
      <c r="J1273" s="53">
        <v>13207652</v>
      </c>
      <c r="K1273" s="53"/>
      <c r="L1273" s="55">
        <v>45293</v>
      </c>
      <c r="M1273" s="55">
        <v>45293</v>
      </c>
      <c r="N1273" s="53" t="s">
        <v>1328</v>
      </c>
      <c r="O1273" s="53">
        <v>0</v>
      </c>
      <c r="P1273" s="53">
        <v>20036419</v>
      </c>
      <c r="Q1273" s="53" t="s">
        <v>3858</v>
      </c>
      <c r="R1273" s="45">
        <v>410</v>
      </c>
      <c r="S1273" s="53">
        <v>0</v>
      </c>
      <c r="T1273" s="47" t="s">
        <v>198</v>
      </c>
      <c r="U1273" s="48" t="s">
        <v>199</v>
      </c>
      <c r="V1273" s="38"/>
      <c r="W1273" s="48" t="s">
        <v>195</v>
      </c>
      <c r="X1273" s="38" t="s">
        <v>200</v>
      </c>
      <c r="Y1273" s="49" t="s">
        <v>201</v>
      </c>
      <c r="Z1273" s="50" t="s">
        <v>3859</v>
      </c>
      <c r="AA1273" s="38"/>
      <c r="AB1273" s="38"/>
      <c r="AC1273" s="38"/>
      <c r="AD1273" s="51">
        <v>43</v>
      </c>
      <c r="AE1273" s="51">
        <v>43</v>
      </c>
      <c r="AF1273" s="48" t="s">
        <v>203</v>
      </c>
      <c r="AG1273" s="38" t="s">
        <v>204</v>
      </c>
      <c r="AH1273" s="52"/>
      <c r="AI1273" s="38"/>
      <c r="AJ1273" s="38"/>
    </row>
    <row r="1274" spans="1:36" ht="16.2">
      <c r="A1274" s="42" t="s">
        <v>238</v>
      </c>
      <c r="B1274" s="42">
        <v>829654</v>
      </c>
      <c r="C1274" s="42" t="s">
        <v>3849</v>
      </c>
      <c r="D1274" s="42">
        <v>13207652</v>
      </c>
      <c r="E1274" s="43" t="s">
        <v>3850</v>
      </c>
      <c r="F1274" s="42" t="s">
        <v>3860</v>
      </c>
      <c r="G1274" s="42" t="s">
        <v>195</v>
      </c>
      <c r="H1274" s="42"/>
      <c r="I1274" s="42"/>
      <c r="J1274" s="42">
        <v>13207652</v>
      </c>
      <c r="K1274" s="42"/>
      <c r="L1274" s="44">
        <v>45293</v>
      </c>
      <c r="M1274" s="44">
        <v>45293</v>
      </c>
      <c r="N1274" s="42" t="s">
        <v>1328</v>
      </c>
      <c r="O1274" s="42">
        <v>0</v>
      </c>
      <c r="P1274" s="42">
        <v>20036419</v>
      </c>
      <c r="Q1274" s="42" t="s">
        <v>3861</v>
      </c>
      <c r="R1274" s="45">
        <v>410</v>
      </c>
      <c r="S1274" s="42">
        <v>0</v>
      </c>
      <c r="T1274" s="47" t="s">
        <v>198</v>
      </c>
      <c r="U1274" s="48" t="s">
        <v>199</v>
      </c>
      <c r="V1274" s="38"/>
      <c r="W1274" s="48" t="s">
        <v>195</v>
      </c>
      <c r="X1274" s="38" t="s">
        <v>200</v>
      </c>
      <c r="Y1274" s="49" t="s">
        <v>201</v>
      </c>
      <c r="Z1274" s="50" t="s">
        <v>3862</v>
      </c>
      <c r="AA1274" s="38"/>
      <c r="AB1274" s="38"/>
      <c r="AC1274" s="38"/>
      <c r="AD1274" s="51">
        <v>43</v>
      </c>
      <c r="AE1274" s="51">
        <v>43</v>
      </c>
      <c r="AF1274" s="48" t="s">
        <v>203</v>
      </c>
      <c r="AG1274" s="38" t="s">
        <v>204</v>
      </c>
      <c r="AH1274" s="52"/>
      <c r="AI1274" s="38"/>
      <c r="AJ1274" s="38"/>
    </row>
    <row r="1275" spans="1:36" ht="16.2">
      <c r="A1275" s="53" t="s">
        <v>238</v>
      </c>
      <c r="B1275" s="53">
        <v>829654</v>
      </c>
      <c r="C1275" s="53" t="s">
        <v>3849</v>
      </c>
      <c r="D1275" s="53">
        <v>13207652</v>
      </c>
      <c r="E1275" s="54" t="s">
        <v>3850</v>
      </c>
      <c r="F1275" s="53" t="s">
        <v>3863</v>
      </c>
      <c r="G1275" s="53" t="s">
        <v>195</v>
      </c>
      <c r="H1275" s="53"/>
      <c r="I1275" s="53"/>
      <c r="J1275" s="53">
        <v>13207652</v>
      </c>
      <c r="K1275" s="53"/>
      <c r="L1275" s="55">
        <v>45293</v>
      </c>
      <c r="M1275" s="55">
        <v>45293</v>
      </c>
      <c r="N1275" s="53" t="s">
        <v>1328</v>
      </c>
      <c r="O1275" s="53">
        <v>0</v>
      </c>
      <c r="P1275" s="53">
        <v>20036419</v>
      </c>
      <c r="Q1275" s="53" t="s">
        <v>3864</v>
      </c>
      <c r="R1275" s="45">
        <v>410</v>
      </c>
      <c r="S1275" s="53">
        <v>0</v>
      </c>
      <c r="T1275" s="47" t="s">
        <v>198</v>
      </c>
      <c r="U1275" s="48" t="s">
        <v>199</v>
      </c>
      <c r="V1275" s="38"/>
      <c r="W1275" s="48" t="s">
        <v>195</v>
      </c>
      <c r="X1275" s="38" t="s">
        <v>200</v>
      </c>
      <c r="Y1275" s="49" t="s">
        <v>201</v>
      </c>
      <c r="Z1275" s="50" t="s">
        <v>3865</v>
      </c>
      <c r="AA1275" s="38"/>
      <c r="AB1275" s="38"/>
      <c r="AC1275" s="38"/>
      <c r="AD1275" s="51">
        <v>43</v>
      </c>
      <c r="AE1275" s="51">
        <v>43</v>
      </c>
      <c r="AF1275" s="48" t="s">
        <v>203</v>
      </c>
      <c r="AG1275" s="38" t="s">
        <v>204</v>
      </c>
      <c r="AH1275" s="52"/>
      <c r="AI1275" s="38"/>
      <c r="AJ1275" s="38"/>
    </row>
    <row r="1276" spans="1:36" ht="16.2">
      <c r="A1276" s="42" t="s">
        <v>238</v>
      </c>
      <c r="B1276" s="42">
        <v>829654</v>
      </c>
      <c r="C1276" s="42" t="s">
        <v>3849</v>
      </c>
      <c r="D1276" s="42">
        <v>13207652</v>
      </c>
      <c r="E1276" s="43" t="s">
        <v>3850</v>
      </c>
      <c r="F1276" s="42" t="s">
        <v>3866</v>
      </c>
      <c r="G1276" s="42" t="s">
        <v>195</v>
      </c>
      <c r="H1276" s="42"/>
      <c r="I1276" s="42"/>
      <c r="J1276" s="42">
        <v>13207652</v>
      </c>
      <c r="K1276" s="42"/>
      <c r="L1276" s="44">
        <v>45293</v>
      </c>
      <c r="M1276" s="44">
        <v>45293</v>
      </c>
      <c r="N1276" s="42" t="s">
        <v>1328</v>
      </c>
      <c r="O1276" s="42">
        <v>0</v>
      </c>
      <c r="P1276" s="42">
        <v>20036419</v>
      </c>
      <c r="Q1276" s="42" t="s">
        <v>3867</v>
      </c>
      <c r="R1276" s="45">
        <v>410</v>
      </c>
      <c r="S1276" s="42">
        <v>0</v>
      </c>
      <c r="T1276" s="47" t="s">
        <v>198</v>
      </c>
      <c r="U1276" s="48" t="s">
        <v>199</v>
      </c>
      <c r="V1276" s="38"/>
      <c r="W1276" s="48" t="s">
        <v>195</v>
      </c>
      <c r="X1276" s="38" t="s">
        <v>200</v>
      </c>
      <c r="Y1276" s="49" t="s">
        <v>201</v>
      </c>
      <c r="Z1276" s="50" t="s">
        <v>3868</v>
      </c>
      <c r="AA1276" s="38"/>
      <c r="AB1276" s="38"/>
      <c r="AC1276" s="38"/>
      <c r="AD1276" s="51">
        <v>43</v>
      </c>
      <c r="AE1276" s="51">
        <v>43</v>
      </c>
      <c r="AF1276" s="48" t="s">
        <v>203</v>
      </c>
      <c r="AG1276" s="38" t="s">
        <v>204</v>
      </c>
      <c r="AH1276" s="52"/>
      <c r="AI1276" s="38"/>
      <c r="AJ1276" s="38"/>
    </row>
    <row r="1277" spans="1:36" ht="16.2">
      <c r="A1277" s="53" t="s">
        <v>238</v>
      </c>
      <c r="B1277" s="53">
        <v>829654</v>
      </c>
      <c r="C1277" s="53" t="s">
        <v>3849</v>
      </c>
      <c r="D1277" s="53">
        <v>13207652</v>
      </c>
      <c r="E1277" s="54" t="s">
        <v>3850</v>
      </c>
      <c r="F1277" s="53" t="s">
        <v>1198</v>
      </c>
      <c r="G1277" s="53" t="s">
        <v>195</v>
      </c>
      <c r="H1277" s="53"/>
      <c r="I1277" s="53"/>
      <c r="J1277" s="53">
        <v>13207652</v>
      </c>
      <c r="K1277" s="53"/>
      <c r="L1277" s="55">
        <v>45293</v>
      </c>
      <c r="M1277" s="55">
        <v>45293</v>
      </c>
      <c r="N1277" s="53" t="s">
        <v>1328</v>
      </c>
      <c r="O1277" s="53">
        <v>0</v>
      </c>
      <c r="P1277" s="53">
        <v>20036419</v>
      </c>
      <c r="Q1277" s="53" t="s">
        <v>3869</v>
      </c>
      <c r="R1277" s="45">
        <v>410</v>
      </c>
      <c r="S1277" s="53">
        <v>0</v>
      </c>
      <c r="T1277" s="47" t="s">
        <v>198</v>
      </c>
      <c r="U1277" s="48" t="s">
        <v>199</v>
      </c>
      <c r="V1277" s="38"/>
      <c r="W1277" s="48" t="s">
        <v>195</v>
      </c>
      <c r="X1277" s="38" t="s">
        <v>200</v>
      </c>
      <c r="Y1277" s="49" t="s">
        <v>201</v>
      </c>
      <c r="Z1277" s="50" t="s">
        <v>3870</v>
      </c>
      <c r="AA1277" s="38"/>
      <c r="AB1277" s="38"/>
      <c r="AC1277" s="38"/>
      <c r="AD1277" s="51">
        <v>43</v>
      </c>
      <c r="AE1277" s="51">
        <v>43</v>
      </c>
      <c r="AF1277" s="48" t="s">
        <v>203</v>
      </c>
      <c r="AG1277" s="38" t="s">
        <v>204</v>
      </c>
      <c r="AH1277" s="52"/>
      <c r="AI1277" s="38"/>
      <c r="AJ1277" s="38"/>
    </row>
    <row r="1278" spans="1:36" ht="16.2">
      <c r="A1278" s="42" t="s">
        <v>238</v>
      </c>
      <c r="B1278" s="42">
        <v>829654</v>
      </c>
      <c r="C1278" s="42" t="s">
        <v>3849</v>
      </c>
      <c r="D1278" s="42">
        <v>13207652</v>
      </c>
      <c r="E1278" s="43" t="s">
        <v>3850</v>
      </c>
      <c r="F1278" s="42" t="s">
        <v>293</v>
      </c>
      <c r="G1278" s="42" t="s">
        <v>195</v>
      </c>
      <c r="H1278" s="42"/>
      <c r="I1278" s="42"/>
      <c r="J1278" s="42">
        <v>13207652</v>
      </c>
      <c r="K1278" s="42"/>
      <c r="L1278" s="44">
        <v>45293</v>
      </c>
      <c r="M1278" s="44">
        <v>45293</v>
      </c>
      <c r="N1278" s="42" t="s">
        <v>1328</v>
      </c>
      <c r="O1278" s="42">
        <v>0</v>
      </c>
      <c r="P1278" s="42">
        <v>20036419</v>
      </c>
      <c r="Q1278" s="42" t="s">
        <v>3871</v>
      </c>
      <c r="R1278" s="45">
        <v>410</v>
      </c>
      <c r="S1278" s="42">
        <v>0</v>
      </c>
      <c r="T1278" s="47" t="s">
        <v>198</v>
      </c>
      <c r="U1278" s="48" t="s">
        <v>199</v>
      </c>
      <c r="V1278" s="38"/>
      <c r="W1278" s="48" t="s">
        <v>195</v>
      </c>
      <c r="X1278" s="38" t="s">
        <v>200</v>
      </c>
      <c r="Y1278" s="49" t="s">
        <v>201</v>
      </c>
      <c r="Z1278" s="50" t="s">
        <v>3872</v>
      </c>
      <c r="AA1278" s="38"/>
      <c r="AB1278" s="38"/>
      <c r="AC1278" s="38"/>
      <c r="AD1278" s="51">
        <v>43</v>
      </c>
      <c r="AE1278" s="51">
        <v>43</v>
      </c>
      <c r="AF1278" s="48" t="s">
        <v>203</v>
      </c>
      <c r="AG1278" s="38" t="s">
        <v>204</v>
      </c>
      <c r="AH1278" s="52"/>
      <c r="AI1278" s="38"/>
      <c r="AJ1278" s="38"/>
    </row>
    <row r="1279" spans="1:36" ht="16.2">
      <c r="A1279" s="53" t="s">
        <v>238</v>
      </c>
      <c r="B1279" s="53">
        <v>829654</v>
      </c>
      <c r="C1279" s="53" t="s">
        <v>3849</v>
      </c>
      <c r="D1279" s="53">
        <v>13207652</v>
      </c>
      <c r="E1279" s="54" t="s">
        <v>3850</v>
      </c>
      <c r="F1279" s="53" t="s">
        <v>260</v>
      </c>
      <c r="G1279" s="53" t="s">
        <v>195</v>
      </c>
      <c r="H1279" s="53"/>
      <c r="I1279" s="53"/>
      <c r="J1279" s="53">
        <v>13207652</v>
      </c>
      <c r="K1279" s="53"/>
      <c r="L1279" s="55">
        <v>45293</v>
      </c>
      <c r="M1279" s="55">
        <v>45293</v>
      </c>
      <c r="N1279" s="53" t="s">
        <v>1328</v>
      </c>
      <c r="O1279" s="53">
        <v>0</v>
      </c>
      <c r="P1279" s="53">
        <v>20036419</v>
      </c>
      <c r="Q1279" s="53" t="s">
        <v>3873</v>
      </c>
      <c r="R1279" s="45">
        <v>410</v>
      </c>
      <c r="S1279" s="53">
        <v>0</v>
      </c>
      <c r="T1279" s="47" t="s">
        <v>198</v>
      </c>
      <c r="U1279" s="48" t="s">
        <v>199</v>
      </c>
      <c r="V1279" s="38"/>
      <c r="W1279" s="48" t="s">
        <v>195</v>
      </c>
      <c r="X1279" s="38" t="s">
        <v>200</v>
      </c>
      <c r="Y1279" s="49" t="s">
        <v>201</v>
      </c>
      <c r="Z1279" s="50" t="s">
        <v>3874</v>
      </c>
      <c r="AA1279" s="38"/>
      <c r="AB1279" s="38"/>
      <c r="AC1279" s="38"/>
      <c r="AD1279" s="51">
        <v>43</v>
      </c>
      <c r="AE1279" s="51">
        <v>43</v>
      </c>
      <c r="AF1279" s="48" t="s">
        <v>203</v>
      </c>
      <c r="AG1279" s="38" t="s">
        <v>204</v>
      </c>
      <c r="AH1279" s="52"/>
      <c r="AI1279" s="38"/>
      <c r="AJ1279" s="38"/>
    </row>
    <row r="1280" spans="1:36" ht="16.2">
      <c r="A1280" s="42" t="s">
        <v>238</v>
      </c>
      <c r="B1280" s="42">
        <v>829654</v>
      </c>
      <c r="C1280" s="42" t="s">
        <v>3849</v>
      </c>
      <c r="D1280" s="42">
        <v>13207652</v>
      </c>
      <c r="E1280" s="43" t="s">
        <v>3850</v>
      </c>
      <c r="F1280" s="42" t="s">
        <v>1273</v>
      </c>
      <c r="G1280" s="42" t="s">
        <v>195</v>
      </c>
      <c r="H1280" s="42"/>
      <c r="I1280" s="42"/>
      <c r="J1280" s="42">
        <v>13207652</v>
      </c>
      <c r="K1280" s="42"/>
      <c r="L1280" s="44">
        <v>45293</v>
      </c>
      <c r="M1280" s="44">
        <v>45293</v>
      </c>
      <c r="N1280" s="42" t="s">
        <v>1328</v>
      </c>
      <c r="O1280" s="42">
        <v>0</v>
      </c>
      <c r="P1280" s="42">
        <v>20036419</v>
      </c>
      <c r="Q1280" s="42" t="s">
        <v>3875</v>
      </c>
      <c r="R1280" s="45">
        <v>410</v>
      </c>
      <c r="S1280" s="42">
        <v>0</v>
      </c>
      <c r="T1280" s="47" t="s">
        <v>198</v>
      </c>
      <c r="U1280" s="48" t="s">
        <v>199</v>
      </c>
      <c r="V1280" s="38"/>
      <c r="W1280" s="48" t="s">
        <v>195</v>
      </c>
      <c r="X1280" s="38" t="s">
        <v>200</v>
      </c>
      <c r="Y1280" s="49" t="s">
        <v>201</v>
      </c>
      <c r="Z1280" s="50" t="s">
        <v>3876</v>
      </c>
      <c r="AA1280" s="38"/>
      <c r="AB1280" s="38"/>
      <c r="AC1280" s="38"/>
      <c r="AD1280" s="51">
        <v>43</v>
      </c>
      <c r="AE1280" s="51">
        <v>43</v>
      </c>
      <c r="AF1280" s="48" t="s">
        <v>203</v>
      </c>
      <c r="AG1280" s="38" t="s">
        <v>204</v>
      </c>
      <c r="AH1280" s="52"/>
      <c r="AI1280" s="38"/>
      <c r="AJ1280" s="38"/>
    </row>
    <row r="1281" spans="1:36" ht="16.2">
      <c r="A1281" s="53" t="s">
        <v>238</v>
      </c>
      <c r="B1281" s="53">
        <v>829654</v>
      </c>
      <c r="C1281" s="53" t="s">
        <v>3849</v>
      </c>
      <c r="D1281" s="53">
        <v>13207652</v>
      </c>
      <c r="E1281" s="54" t="s">
        <v>3850</v>
      </c>
      <c r="F1281" s="53" t="s">
        <v>1265</v>
      </c>
      <c r="G1281" s="53" t="s">
        <v>195</v>
      </c>
      <c r="H1281" s="53"/>
      <c r="I1281" s="53"/>
      <c r="J1281" s="53">
        <v>13207652</v>
      </c>
      <c r="K1281" s="53"/>
      <c r="L1281" s="55">
        <v>45293</v>
      </c>
      <c r="M1281" s="55">
        <v>45293</v>
      </c>
      <c r="N1281" s="53" t="s">
        <v>1328</v>
      </c>
      <c r="O1281" s="53">
        <v>0</v>
      </c>
      <c r="P1281" s="53">
        <v>20036419</v>
      </c>
      <c r="Q1281" s="53" t="s">
        <v>3877</v>
      </c>
      <c r="R1281" s="45">
        <v>410</v>
      </c>
      <c r="S1281" s="53">
        <v>0</v>
      </c>
      <c r="T1281" s="47" t="s">
        <v>198</v>
      </c>
      <c r="U1281" s="48" t="s">
        <v>199</v>
      </c>
      <c r="V1281" s="38"/>
      <c r="W1281" s="48" t="s">
        <v>195</v>
      </c>
      <c r="X1281" s="38" t="s">
        <v>200</v>
      </c>
      <c r="Y1281" s="49" t="s">
        <v>201</v>
      </c>
      <c r="Z1281" s="50" t="s">
        <v>3878</v>
      </c>
      <c r="AA1281" s="38"/>
      <c r="AB1281" s="38"/>
      <c r="AC1281" s="38"/>
      <c r="AD1281" s="51">
        <v>43</v>
      </c>
      <c r="AE1281" s="51">
        <v>43</v>
      </c>
      <c r="AF1281" s="48" t="s">
        <v>203</v>
      </c>
      <c r="AG1281" s="38" t="s">
        <v>204</v>
      </c>
      <c r="AH1281" s="52"/>
      <c r="AI1281" s="38"/>
      <c r="AJ1281" s="38"/>
    </row>
    <row r="1282" spans="1:36" ht="16.2">
      <c r="A1282" s="42" t="s">
        <v>238</v>
      </c>
      <c r="B1282" s="42">
        <v>829654</v>
      </c>
      <c r="C1282" s="42" t="s">
        <v>3849</v>
      </c>
      <c r="D1282" s="42">
        <v>13207652</v>
      </c>
      <c r="E1282" s="43" t="s">
        <v>3850</v>
      </c>
      <c r="F1282" s="42" t="s">
        <v>3879</v>
      </c>
      <c r="G1282" s="42" t="s">
        <v>195</v>
      </c>
      <c r="H1282" s="42"/>
      <c r="I1282" s="42"/>
      <c r="J1282" s="42">
        <v>13207652</v>
      </c>
      <c r="K1282" s="42"/>
      <c r="L1282" s="44">
        <v>45293</v>
      </c>
      <c r="M1282" s="44">
        <v>45293</v>
      </c>
      <c r="N1282" s="42" t="s">
        <v>1328</v>
      </c>
      <c r="O1282" s="42">
        <v>0</v>
      </c>
      <c r="P1282" s="42">
        <v>20036419</v>
      </c>
      <c r="Q1282" s="42" t="s">
        <v>3880</v>
      </c>
      <c r="R1282" s="45">
        <v>410</v>
      </c>
      <c r="S1282" s="42">
        <v>0</v>
      </c>
      <c r="T1282" s="47" t="s">
        <v>198</v>
      </c>
      <c r="U1282" s="48" t="s">
        <v>199</v>
      </c>
      <c r="V1282" s="38"/>
      <c r="W1282" s="48" t="s">
        <v>195</v>
      </c>
      <c r="X1282" s="38" t="s">
        <v>200</v>
      </c>
      <c r="Y1282" s="49" t="s">
        <v>201</v>
      </c>
      <c r="Z1282" s="50" t="s">
        <v>3881</v>
      </c>
      <c r="AA1282" s="38"/>
      <c r="AB1282" s="38"/>
      <c r="AC1282" s="38"/>
      <c r="AD1282" s="51">
        <v>43</v>
      </c>
      <c r="AE1282" s="51">
        <v>43</v>
      </c>
      <c r="AF1282" s="48" t="s">
        <v>203</v>
      </c>
      <c r="AG1282" s="38" t="s">
        <v>204</v>
      </c>
      <c r="AH1282" s="52"/>
      <c r="AI1282" s="38"/>
      <c r="AJ1282" s="38"/>
    </row>
    <row r="1283" spans="1:36" ht="16.2">
      <c r="A1283" s="53" t="s">
        <v>238</v>
      </c>
      <c r="B1283" s="53">
        <v>829654</v>
      </c>
      <c r="C1283" s="53" t="s">
        <v>3849</v>
      </c>
      <c r="D1283" s="53">
        <v>13207652</v>
      </c>
      <c r="E1283" s="54" t="s">
        <v>3850</v>
      </c>
      <c r="F1283" s="53" t="s">
        <v>299</v>
      </c>
      <c r="G1283" s="53" t="s">
        <v>195</v>
      </c>
      <c r="H1283" s="53"/>
      <c r="I1283" s="53"/>
      <c r="J1283" s="53">
        <v>13207652</v>
      </c>
      <c r="K1283" s="53"/>
      <c r="L1283" s="55">
        <v>45293</v>
      </c>
      <c r="M1283" s="55">
        <v>45293</v>
      </c>
      <c r="N1283" s="53" t="s">
        <v>1328</v>
      </c>
      <c r="O1283" s="53">
        <v>0</v>
      </c>
      <c r="P1283" s="53">
        <v>20036419</v>
      </c>
      <c r="Q1283" s="53" t="s">
        <v>3882</v>
      </c>
      <c r="R1283" s="45">
        <v>410</v>
      </c>
      <c r="S1283" s="53">
        <v>0</v>
      </c>
      <c r="T1283" s="47" t="s">
        <v>198</v>
      </c>
      <c r="U1283" s="48" t="s">
        <v>199</v>
      </c>
      <c r="V1283" s="38"/>
      <c r="W1283" s="48" t="s">
        <v>195</v>
      </c>
      <c r="X1283" s="38" t="s">
        <v>200</v>
      </c>
      <c r="Y1283" s="49" t="s">
        <v>201</v>
      </c>
      <c r="Z1283" s="50" t="s">
        <v>3883</v>
      </c>
      <c r="AA1283" s="38"/>
      <c r="AB1283" s="38"/>
      <c r="AC1283" s="38"/>
      <c r="AD1283" s="51">
        <v>43</v>
      </c>
      <c r="AE1283" s="51">
        <v>43</v>
      </c>
      <c r="AF1283" s="48" t="s">
        <v>203</v>
      </c>
      <c r="AG1283" s="38" t="s">
        <v>204</v>
      </c>
      <c r="AH1283" s="52"/>
      <c r="AI1283" s="38"/>
      <c r="AJ1283" s="38"/>
    </row>
    <row r="1284" spans="1:36" ht="16.2">
      <c r="A1284" s="42" t="s">
        <v>836</v>
      </c>
      <c r="B1284" s="42">
        <v>829653</v>
      </c>
      <c r="C1284" s="42" t="s">
        <v>3849</v>
      </c>
      <c r="D1284" s="42">
        <v>13207523</v>
      </c>
      <c r="E1284" s="43" t="s">
        <v>3850</v>
      </c>
      <c r="F1284" s="42" t="s">
        <v>3851</v>
      </c>
      <c r="G1284" s="42" t="s">
        <v>195</v>
      </c>
      <c r="H1284" s="42"/>
      <c r="I1284" s="42"/>
      <c r="J1284" s="42">
        <v>13207523</v>
      </c>
      <c r="K1284" s="42"/>
      <c r="L1284" s="44">
        <v>45293</v>
      </c>
      <c r="M1284" s="44">
        <v>45293</v>
      </c>
      <c r="N1284" s="42" t="s">
        <v>839</v>
      </c>
      <c r="O1284" s="42">
        <v>0</v>
      </c>
      <c r="P1284" s="42">
        <v>1919044</v>
      </c>
      <c r="Q1284" s="42" t="s">
        <v>3884</v>
      </c>
      <c r="R1284" s="45">
        <v>410</v>
      </c>
      <c r="S1284" s="42">
        <v>0</v>
      </c>
      <c r="T1284" s="47" t="s">
        <v>198</v>
      </c>
      <c r="U1284" s="48" t="s">
        <v>199</v>
      </c>
      <c r="V1284" s="38"/>
      <c r="W1284" s="48" t="s">
        <v>195</v>
      </c>
      <c r="X1284" s="38" t="s">
        <v>200</v>
      </c>
      <c r="Y1284" s="49" t="s">
        <v>201</v>
      </c>
      <c r="Z1284" s="50" t="s">
        <v>3885</v>
      </c>
      <c r="AA1284" s="38"/>
      <c r="AB1284" s="38"/>
      <c r="AC1284" s="38"/>
      <c r="AD1284" s="51">
        <v>63</v>
      </c>
      <c r="AE1284" s="51">
        <v>63</v>
      </c>
      <c r="AF1284" s="48" t="s">
        <v>203</v>
      </c>
      <c r="AG1284" s="38" t="s">
        <v>204</v>
      </c>
      <c r="AH1284" s="52"/>
      <c r="AI1284" s="38"/>
      <c r="AJ1284" s="38"/>
    </row>
    <row r="1285" spans="1:36" ht="16.2">
      <c r="A1285" s="53" t="s">
        <v>836</v>
      </c>
      <c r="B1285" s="53">
        <v>829653</v>
      </c>
      <c r="C1285" s="53" t="s">
        <v>3849</v>
      </c>
      <c r="D1285" s="53">
        <v>13207523</v>
      </c>
      <c r="E1285" s="54" t="s">
        <v>3850</v>
      </c>
      <c r="F1285" s="53" t="s">
        <v>3854</v>
      </c>
      <c r="G1285" s="53" t="s">
        <v>195</v>
      </c>
      <c r="H1285" s="53"/>
      <c r="I1285" s="53"/>
      <c r="J1285" s="53">
        <v>13207523</v>
      </c>
      <c r="K1285" s="53"/>
      <c r="L1285" s="55">
        <v>45293</v>
      </c>
      <c r="M1285" s="55">
        <v>45293</v>
      </c>
      <c r="N1285" s="53" t="s">
        <v>839</v>
      </c>
      <c r="O1285" s="53">
        <v>0</v>
      </c>
      <c r="P1285" s="53">
        <v>1919044</v>
      </c>
      <c r="Q1285" s="53" t="s">
        <v>3886</v>
      </c>
      <c r="R1285" s="45">
        <v>410</v>
      </c>
      <c r="S1285" s="53">
        <v>0</v>
      </c>
      <c r="T1285" s="47" t="s">
        <v>198</v>
      </c>
      <c r="U1285" s="48" t="s">
        <v>199</v>
      </c>
      <c r="V1285" s="38"/>
      <c r="W1285" s="48" t="s">
        <v>195</v>
      </c>
      <c r="X1285" s="38" t="s">
        <v>200</v>
      </c>
      <c r="Y1285" s="49" t="s">
        <v>201</v>
      </c>
      <c r="Z1285" s="50" t="s">
        <v>3887</v>
      </c>
      <c r="AA1285" s="38"/>
      <c r="AB1285" s="38"/>
      <c r="AC1285" s="47" t="s">
        <v>3888</v>
      </c>
      <c r="AD1285" s="51">
        <v>63</v>
      </c>
      <c r="AE1285" s="51">
        <v>63</v>
      </c>
      <c r="AF1285" s="48" t="s">
        <v>203</v>
      </c>
      <c r="AG1285" s="38" t="s">
        <v>204</v>
      </c>
      <c r="AH1285" s="52"/>
      <c r="AI1285" s="38"/>
      <c r="AJ1285" s="38"/>
    </row>
    <row r="1286" spans="1:36" ht="16.2">
      <c r="A1286" s="42" t="s">
        <v>836</v>
      </c>
      <c r="B1286" s="42">
        <v>829653</v>
      </c>
      <c r="C1286" s="42" t="s">
        <v>3849</v>
      </c>
      <c r="D1286" s="42">
        <v>13207523</v>
      </c>
      <c r="E1286" s="43" t="s">
        <v>3850</v>
      </c>
      <c r="F1286" s="42" t="s">
        <v>3857</v>
      </c>
      <c r="G1286" s="42" t="s">
        <v>195</v>
      </c>
      <c r="H1286" s="42"/>
      <c r="I1286" s="42"/>
      <c r="J1286" s="42">
        <v>13207523</v>
      </c>
      <c r="K1286" s="42"/>
      <c r="L1286" s="44">
        <v>45293</v>
      </c>
      <c r="M1286" s="44">
        <v>45293</v>
      </c>
      <c r="N1286" s="42" t="s">
        <v>839</v>
      </c>
      <c r="O1286" s="42">
        <v>0</v>
      </c>
      <c r="P1286" s="42">
        <v>1919044</v>
      </c>
      <c r="Q1286" s="42" t="s">
        <v>3889</v>
      </c>
      <c r="R1286" s="45">
        <v>410</v>
      </c>
      <c r="S1286" s="42">
        <v>0</v>
      </c>
      <c r="T1286" s="47" t="s">
        <v>198</v>
      </c>
      <c r="U1286" s="48" t="s">
        <v>199</v>
      </c>
      <c r="V1286" s="38"/>
      <c r="W1286" s="48" t="s">
        <v>195</v>
      </c>
      <c r="X1286" s="38" t="s">
        <v>200</v>
      </c>
      <c r="Y1286" s="49" t="s">
        <v>201</v>
      </c>
      <c r="Z1286" s="50" t="s">
        <v>3890</v>
      </c>
      <c r="AA1286" s="38"/>
      <c r="AB1286" s="38"/>
      <c r="AC1286" s="38"/>
      <c r="AD1286" s="51">
        <v>63</v>
      </c>
      <c r="AE1286" s="51">
        <v>63</v>
      </c>
      <c r="AF1286" s="48" t="s">
        <v>203</v>
      </c>
      <c r="AG1286" s="38" t="s">
        <v>204</v>
      </c>
      <c r="AH1286" s="52"/>
      <c r="AI1286" s="38"/>
      <c r="AJ1286" s="38"/>
    </row>
    <row r="1287" spans="1:36" ht="16.2">
      <c r="A1287" s="53" t="s">
        <v>836</v>
      </c>
      <c r="B1287" s="53">
        <v>829653</v>
      </c>
      <c r="C1287" s="53" t="s">
        <v>3849</v>
      </c>
      <c r="D1287" s="53">
        <v>13207523</v>
      </c>
      <c r="E1287" s="54" t="s">
        <v>3850</v>
      </c>
      <c r="F1287" s="53" t="s">
        <v>3860</v>
      </c>
      <c r="G1287" s="53" t="s">
        <v>195</v>
      </c>
      <c r="H1287" s="53"/>
      <c r="I1287" s="53"/>
      <c r="J1287" s="53">
        <v>13207523</v>
      </c>
      <c r="K1287" s="53"/>
      <c r="L1287" s="55">
        <v>45293</v>
      </c>
      <c r="M1287" s="55">
        <v>45293</v>
      </c>
      <c r="N1287" s="53" t="s">
        <v>839</v>
      </c>
      <c r="O1287" s="53">
        <v>0</v>
      </c>
      <c r="P1287" s="53">
        <v>1919044</v>
      </c>
      <c r="Q1287" s="53" t="s">
        <v>3891</v>
      </c>
      <c r="R1287" s="45">
        <v>410</v>
      </c>
      <c r="S1287" s="53">
        <v>0</v>
      </c>
      <c r="T1287" s="47" t="s">
        <v>198</v>
      </c>
      <c r="U1287" s="48" t="s">
        <v>199</v>
      </c>
      <c r="V1287" s="38"/>
      <c r="W1287" s="48" t="s">
        <v>195</v>
      </c>
      <c r="X1287" s="38" t="s">
        <v>200</v>
      </c>
      <c r="Y1287" s="49" t="s">
        <v>201</v>
      </c>
      <c r="Z1287" s="50" t="s">
        <v>3892</v>
      </c>
      <c r="AA1287" s="38"/>
      <c r="AB1287" s="38"/>
      <c r="AC1287" s="38"/>
      <c r="AD1287" s="51">
        <v>63</v>
      </c>
      <c r="AE1287" s="51">
        <v>63</v>
      </c>
      <c r="AF1287" s="48" t="s">
        <v>203</v>
      </c>
      <c r="AG1287" s="38" t="s">
        <v>204</v>
      </c>
      <c r="AH1287" s="52"/>
      <c r="AI1287" s="38"/>
      <c r="AJ1287" s="38"/>
    </row>
    <row r="1288" spans="1:36" ht="16.2">
      <c r="A1288" s="42" t="s">
        <v>836</v>
      </c>
      <c r="B1288" s="42">
        <v>829653</v>
      </c>
      <c r="C1288" s="42" t="s">
        <v>3849</v>
      </c>
      <c r="D1288" s="42">
        <v>13207523</v>
      </c>
      <c r="E1288" s="43" t="s">
        <v>3850</v>
      </c>
      <c r="F1288" s="42" t="s">
        <v>3863</v>
      </c>
      <c r="G1288" s="42" t="s">
        <v>195</v>
      </c>
      <c r="H1288" s="42"/>
      <c r="I1288" s="42"/>
      <c r="J1288" s="42">
        <v>13207523</v>
      </c>
      <c r="K1288" s="42"/>
      <c r="L1288" s="44">
        <v>45293</v>
      </c>
      <c r="M1288" s="44">
        <v>45293</v>
      </c>
      <c r="N1288" s="42" t="s">
        <v>839</v>
      </c>
      <c r="O1288" s="42">
        <v>0</v>
      </c>
      <c r="P1288" s="42">
        <v>1919044</v>
      </c>
      <c r="Q1288" s="42" t="s">
        <v>3893</v>
      </c>
      <c r="R1288" s="45">
        <v>410</v>
      </c>
      <c r="S1288" s="42">
        <v>0</v>
      </c>
      <c r="T1288" s="47" t="s">
        <v>198</v>
      </c>
      <c r="U1288" s="48" t="s">
        <v>199</v>
      </c>
      <c r="V1288" s="38"/>
      <c r="W1288" s="48" t="s">
        <v>195</v>
      </c>
      <c r="X1288" s="38" t="s">
        <v>200</v>
      </c>
      <c r="Y1288" s="49" t="s">
        <v>201</v>
      </c>
      <c r="Z1288" s="50" t="s">
        <v>3894</v>
      </c>
      <c r="AA1288" s="38"/>
      <c r="AB1288" s="38"/>
      <c r="AC1288" s="38"/>
      <c r="AD1288" s="51">
        <v>63</v>
      </c>
      <c r="AE1288" s="51">
        <v>63</v>
      </c>
      <c r="AF1288" s="48" t="s">
        <v>203</v>
      </c>
      <c r="AG1288" s="38" t="s">
        <v>204</v>
      </c>
      <c r="AH1288" s="52"/>
      <c r="AI1288" s="38"/>
      <c r="AJ1288" s="38"/>
    </row>
    <row r="1289" spans="1:36" ht="16.2">
      <c r="A1289" s="53" t="s">
        <v>836</v>
      </c>
      <c r="B1289" s="53">
        <v>829653</v>
      </c>
      <c r="C1289" s="53" t="s">
        <v>3849</v>
      </c>
      <c r="D1289" s="53">
        <v>13207523</v>
      </c>
      <c r="E1289" s="54" t="s">
        <v>3850</v>
      </c>
      <c r="F1289" s="53" t="s">
        <v>3866</v>
      </c>
      <c r="G1289" s="53" t="s">
        <v>195</v>
      </c>
      <c r="H1289" s="53"/>
      <c r="I1289" s="53"/>
      <c r="J1289" s="53">
        <v>13207523</v>
      </c>
      <c r="K1289" s="53"/>
      <c r="L1289" s="55">
        <v>45293</v>
      </c>
      <c r="M1289" s="55">
        <v>45293</v>
      </c>
      <c r="N1289" s="53" t="s">
        <v>839</v>
      </c>
      <c r="O1289" s="53">
        <v>0</v>
      </c>
      <c r="P1289" s="53">
        <v>1919044</v>
      </c>
      <c r="Q1289" s="53" t="s">
        <v>3895</v>
      </c>
      <c r="R1289" s="45">
        <v>410</v>
      </c>
      <c r="S1289" s="53">
        <v>0</v>
      </c>
      <c r="T1289" s="47" t="s">
        <v>198</v>
      </c>
      <c r="U1289" s="48" t="s">
        <v>199</v>
      </c>
      <c r="V1289" s="38"/>
      <c r="W1289" s="48" t="s">
        <v>195</v>
      </c>
      <c r="X1289" s="38" t="s">
        <v>200</v>
      </c>
      <c r="Y1289" s="49" t="s">
        <v>201</v>
      </c>
      <c r="Z1289" s="50" t="s">
        <v>3896</v>
      </c>
      <c r="AA1289" s="38"/>
      <c r="AB1289" s="38"/>
      <c r="AC1289" s="38"/>
      <c r="AD1289" s="51">
        <v>63</v>
      </c>
      <c r="AE1289" s="51">
        <v>63</v>
      </c>
      <c r="AF1289" s="48" t="s">
        <v>203</v>
      </c>
      <c r="AG1289" s="38" t="s">
        <v>204</v>
      </c>
      <c r="AH1289" s="52"/>
      <c r="AI1289" s="38"/>
      <c r="AJ1289" s="38"/>
    </row>
    <row r="1290" spans="1:36" ht="16.2">
      <c r="A1290" s="42" t="s">
        <v>836</v>
      </c>
      <c r="B1290" s="42">
        <v>829653</v>
      </c>
      <c r="C1290" s="42" t="s">
        <v>3849</v>
      </c>
      <c r="D1290" s="42">
        <v>13207523</v>
      </c>
      <c r="E1290" s="43" t="s">
        <v>3850</v>
      </c>
      <c r="F1290" s="42" t="s">
        <v>1198</v>
      </c>
      <c r="G1290" s="42" t="s">
        <v>195</v>
      </c>
      <c r="H1290" s="42"/>
      <c r="I1290" s="42"/>
      <c r="J1290" s="42">
        <v>13207523</v>
      </c>
      <c r="K1290" s="42"/>
      <c r="L1290" s="44">
        <v>45293</v>
      </c>
      <c r="M1290" s="44">
        <v>45293</v>
      </c>
      <c r="N1290" s="42" t="s">
        <v>839</v>
      </c>
      <c r="O1290" s="42">
        <v>0</v>
      </c>
      <c r="P1290" s="42">
        <v>1919044</v>
      </c>
      <c r="Q1290" s="42" t="s">
        <v>3897</v>
      </c>
      <c r="R1290" s="45">
        <v>410</v>
      </c>
      <c r="S1290" s="42">
        <v>0</v>
      </c>
      <c r="T1290" s="47" t="s">
        <v>198</v>
      </c>
      <c r="U1290" s="48" t="s">
        <v>199</v>
      </c>
      <c r="V1290" s="38"/>
      <c r="W1290" s="48" t="s">
        <v>195</v>
      </c>
      <c r="X1290" s="38" t="s">
        <v>200</v>
      </c>
      <c r="Y1290" s="49" t="s">
        <v>201</v>
      </c>
      <c r="Z1290" s="50" t="s">
        <v>3898</v>
      </c>
      <c r="AA1290" s="38"/>
      <c r="AB1290" s="38"/>
      <c r="AC1290" s="38"/>
      <c r="AD1290" s="51">
        <v>63</v>
      </c>
      <c r="AE1290" s="51">
        <v>63</v>
      </c>
      <c r="AF1290" s="48" t="s">
        <v>203</v>
      </c>
      <c r="AG1290" s="38" t="s">
        <v>204</v>
      </c>
      <c r="AH1290" s="52"/>
      <c r="AI1290" s="38"/>
      <c r="AJ1290" s="38"/>
    </row>
    <row r="1291" spans="1:36" ht="16.2">
      <c r="A1291" s="53" t="s">
        <v>836</v>
      </c>
      <c r="B1291" s="53">
        <v>829653</v>
      </c>
      <c r="C1291" s="53" t="s">
        <v>3849</v>
      </c>
      <c r="D1291" s="53">
        <v>13207523</v>
      </c>
      <c r="E1291" s="54" t="s">
        <v>3850</v>
      </c>
      <c r="F1291" s="53" t="s">
        <v>293</v>
      </c>
      <c r="G1291" s="53" t="s">
        <v>195</v>
      </c>
      <c r="H1291" s="53"/>
      <c r="I1291" s="53"/>
      <c r="J1291" s="53">
        <v>13207523</v>
      </c>
      <c r="K1291" s="53"/>
      <c r="L1291" s="55">
        <v>45293</v>
      </c>
      <c r="M1291" s="55">
        <v>45293</v>
      </c>
      <c r="N1291" s="53" t="s">
        <v>839</v>
      </c>
      <c r="O1291" s="53">
        <v>0</v>
      </c>
      <c r="P1291" s="53">
        <v>1919044</v>
      </c>
      <c r="Q1291" s="53" t="s">
        <v>3899</v>
      </c>
      <c r="R1291" s="45">
        <v>410</v>
      </c>
      <c r="S1291" s="53">
        <v>0</v>
      </c>
      <c r="T1291" s="47" t="s">
        <v>198</v>
      </c>
      <c r="U1291" s="48" t="s">
        <v>199</v>
      </c>
      <c r="V1291" s="38"/>
      <c r="W1291" s="48" t="s">
        <v>195</v>
      </c>
      <c r="X1291" s="38" t="s">
        <v>200</v>
      </c>
      <c r="Y1291" s="49" t="s">
        <v>201</v>
      </c>
      <c r="Z1291" s="50" t="s">
        <v>3900</v>
      </c>
      <c r="AA1291" s="38"/>
      <c r="AB1291" s="38"/>
      <c r="AC1291" s="38"/>
      <c r="AD1291" s="51">
        <v>63</v>
      </c>
      <c r="AE1291" s="51">
        <v>63</v>
      </c>
      <c r="AF1291" s="48" t="s">
        <v>203</v>
      </c>
      <c r="AG1291" s="38" t="s">
        <v>204</v>
      </c>
      <c r="AH1291" s="52"/>
      <c r="AI1291" s="38"/>
      <c r="AJ1291" s="38"/>
    </row>
    <row r="1292" spans="1:36" ht="16.2">
      <c r="A1292" s="42" t="s">
        <v>836</v>
      </c>
      <c r="B1292" s="42">
        <v>829653</v>
      </c>
      <c r="C1292" s="42" t="s">
        <v>3849</v>
      </c>
      <c r="D1292" s="42">
        <v>13207523</v>
      </c>
      <c r="E1292" s="43" t="s">
        <v>3850</v>
      </c>
      <c r="F1292" s="42" t="s">
        <v>260</v>
      </c>
      <c r="G1292" s="42" t="s">
        <v>195</v>
      </c>
      <c r="H1292" s="42"/>
      <c r="I1292" s="42"/>
      <c r="J1292" s="42">
        <v>13207523</v>
      </c>
      <c r="K1292" s="42"/>
      <c r="L1292" s="44">
        <v>45293</v>
      </c>
      <c r="M1292" s="44">
        <v>45293</v>
      </c>
      <c r="N1292" s="42" t="s">
        <v>839</v>
      </c>
      <c r="O1292" s="42">
        <v>0</v>
      </c>
      <c r="P1292" s="42">
        <v>1919044</v>
      </c>
      <c r="Q1292" s="42" t="s">
        <v>3901</v>
      </c>
      <c r="R1292" s="45">
        <v>410</v>
      </c>
      <c r="S1292" s="42">
        <v>0</v>
      </c>
      <c r="T1292" s="47" t="s">
        <v>198</v>
      </c>
      <c r="U1292" s="48" t="s">
        <v>199</v>
      </c>
      <c r="V1292" s="38"/>
      <c r="W1292" s="48" t="s">
        <v>195</v>
      </c>
      <c r="X1292" s="38" t="s">
        <v>200</v>
      </c>
      <c r="Y1292" s="49" t="s">
        <v>201</v>
      </c>
      <c r="Z1292" s="50" t="s">
        <v>3902</v>
      </c>
      <c r="AA1292" s="38"/>
      <c r="AB1292" s="38"/>
      <c r="AC1292" s="38"/>
      <c r="AD1292" s="51">
        <v>63</v>
      </c>
      <c r="AE1292" s="51">
        <v>63</v>
      </c>
      <c r="AF1292" s="48" t="s">
        <v>203</v>
      </c>
      <c r="AG1292" s="38" t="s">
        <v>204</v>
      </c>
      <c r="AH1292" s="52"/>
      <c r="AI1292" s="38"/>
      <c r="AJ1292" s="38"/>
    </row>
    <row r="1293" spans="1:36" ht="16.2">
      <c r="A1293" s="53" t="s">
        <v>836</v>
      </c>
      <c r="B1293" s="53">
        <v>829653</v>
      </c>
      <c r="C1293" s="53" t="s">
        <v>3849</v>
      </c>
      <c r="D1293" s="53">
        <v>13207523</v>
      </c>
      <c r="E1293" s="54" t="s">
        <v>3850</v>
      </c>
      <c r="F1293" s="53" t="s">
        <v>1273</v>
      </c>
      <c r="G1293" s="53" t="s">
        <v>195</v>
      </c>
      <c r="H1293" s="53"/>
      <c r="I1293" s="53"/>
      <c r="J1293" s="53">
        <v>13207523</v>
      </c>
      <c r="K1293" s="53"/>
      <c r="L1293" s="55">
        <v>45293</v>
      </c>
      <c r="M1293" s="55">
        <v>45293</v>
      </c>
      <c r="N1293" s="53" t="s">
        <v>839</v>
      </c>
      <c r="O1293" s="53">
        <v>0</v>
      </c>
      <c r="P1293" s="53">
        <v>1919044</v>
      </c>
      <c r="Q1293" s="53" t="s">
        <v>3903</v>
      </c>
      <c r="R1293" s="45">
        <v>410</v>
      </c>
      <c r="S1293" s="53">
        <v>0</v>
      </c>
      <c r="T1293" s="47" t="s">
        <v>198</v>
      </c>
      <c r="U1293" s="48" t="s">
        <v>199</v>
      </c>
      <c r="V1293" s="38"/>
      <c r="W1293" s="48" t="s">
        <v>195</v>
      </c>
      <c r="X1293" s="38" t="s">
        <v>200</v>
      </c>
      <c r="Y1293" s="49" t="s">
        <v>201</v>
      </c>
      <c r="Z1293" s="50" t="s">
        <v>3904</v>
      </c>
      <c r="AA1293" s="38"/>
      <c r="AB1293" s="38"/>
      <c r="AC1293" s="38"/>
      <c r="AD1293" s="51">
        <v>63</v>
      </c>
      <c r="AE1293" s="51">
        <v>63</v>
      </c>
      <c r="AF1293" s="48" t="s">
        <v>203</v>
      </c>
      <c r="AG1293" s="38" t="s">
        <v>204</v>
      </c>
      <c r="AH1293" s="52"/>
      <c r="AI1293" s="38"/>
      <c r="AJ1293" s="38"/>
    </row>
    <row r="1294" spans="1:36" ht="16.2">
      <c r="A1294" s="42" t="s">
        <v>836</v>
      </c>
      <c r="B1294" s="42">
        <v>829653</v>
      </c>
      <c r="C1294" s="42" t="s">
        <v>3849</v>
      </c>
      <c r="D1294" s="42">
        <v>13207523</v>
      </c>
      <c r="E1294" s="43" t="s">
        <v>3850</v>
      </c>
      <c r="F1294" s="42" t="s">
        <v>1265</v>
      </c>
      <c r="G1294" s="42" t="s">
        <v>195</v>
      </c>
      <c r="H1294" s="42"/>
      <c r="I1294" s="42"/>
      <c r="J1294" s="42">
        <v>13207523</v>
      </c>
      <c r="K1294" s="42"/>
      <c r="L1294" s="44">
        <v>45293</v>
      </c>
      <c r="M1294" s="44">
        <v>45293</v>
      </c>
      <c r="N1294" s="42" t="s">
        <v>839</v>
      </c>
      <c r="O1294" s="42">
        <v>0</v>
      </c>
      <c r="P1294" s="42">
        <v>1919044</v>
      </c>
      <c r="Q1294" s="42" t="s">
        <v>3905</v>
      </c>
      <c r="R1294" s="45">
        <v>410</v>
      </c>
      <c r="S1294" s="42">
        <v>0</v>
      </c>
      <c r="T1294" s="47" t="s">
        <v>198</v>
      </c>
      <c r="U1294" s="48" t="s">
        <v>199</v>
      </c>
      <c r="V1294" s="38"/>
      <c r="W1294" s="48" t="s">
        <v>195</v>
      </c>
      <c r="X1294" s="38" t="s">
        <v>200</v>
      </c>
      <c r="Y1294" s="49" t="s">
        <v>201</v>
      </c>
      <c r="Z1294" s="50" t="s">
        <v>3906</v>
      </c>
      <c r="AA1294" s="38"/>
      <c r="AB1294" s="38"/>
      <c r="AC1294" s="38"/>
      <c r="AD1294" s="51">
        <v>63</v>
      </c>
      <c r="AE1294" s="51">
        <v>63</v>
      </c>
      <c r="AF1294" s="48" t="s">
        <v>203</v>
      </c>
      <c r="AG1294" s="38" t="s">
        <v>204</v>
      </c>
      <c r="AH1294" s="52"/>
      <c r="AI1294" s="38"/>
      <c r="AJ1294" s="38"/>
    </row>
    <row r="1295" spans="1:36" ht="16.2">
      <c r="A1295" s="53" t="s">
        <v>836</v>
      </c>
      <c r="B1295" s="53">
        <v>829653</v>
      </c>
      <c r="C1295" s="53" t="s">
        <v>3849</v>
      </c>
      <c r="D1295" s="53">
        <v>13207523</v>
      </c>
      <c r="E1295" s="54" t="s">
        <v>3850</v>
      </c>
      <c r="F1295" s="53" t="s">
        <v>3879</v>
      </c>
      <c r="G1295" s="53" t="s">
        <v>195</v>
      </c>
      <c r="H1295" s="53"/>
      <c r="I1295" s="53"/>
      <c r="J1295" s="53">
        <v>13207523</v>
      </c>
      <c r="K1295" s="53"/>
      <c r="L1295" s="55">
        <v>45293</v>
      </c>
      <c r="M1295" s="55">
        <v>45293</v>
      </c>
      <c r="N1295" s="53" t="s">
        <v>839</v>
      </c>
      <c r="O1295" s="53">
        <v>0</v>
      </c>
      <c r="P1295" s="53">
        <v>1919044</v>
      </c>
      <c r="Q1295" s="53" t="s">
        <v>3907</v>
      </c>
      <c r="R1295" s="45">
        <v>410</v>
      </c>
      <c r="S1295" s="53">
        <v>0</v>
      </c>
      <c r="T1295" s="47" t="s">
        <v>198</v>
      </c>
      <c r="U1295" s="48" t="s">
        <v>199</v>
      </c>
      <c r="V1295" s="38"/>
      <c r="W1295" s="48" t="s">
        <v>195</v>
      </c>
      <c r="X1295" s="38" t="s">
        <v>200</v>
      </c>
      <c r="Y1295" s="49" t="s">
        <v>201</v>
      </c>
      <c r="Z1295" s="50" t="s">
        <v>3908</v>
      </c>
      <c r="AA1295" s="38"/>
      <c r="AB1295" s="38"/>
      <c r="AC1295" s="38"/>
      <c r="AD1295" s="51">
        <v>63</v>
      </c>
      <c r="AE1295" s="51">
        <v>63</v>
      </c>
      <c r="AF1295" s="48" t="s">
        <v>203</v>
      </c>
      <c r="AG1295" s="38" t="s">
        <v>204</v>
      </c>
      <c r="AH1295" s="52"/>
      <c r="AI1295" s="38"/>
      <c r="AJ1295" s="38"/>
    </row>
    <row r="1296" spans="1:36" ht="16.2">
      <c r="A1296" s="42" t="s">
        <v>836</v>
      </c>
      <c r="B1296" s="42">
        <v>829653</v>
      </c>
      <c r="C1296" s="42" t="s">
        <v>3849</v>
      </c>
      <c r="D1296" s="42">
        <v>13207523</v>
      </c>
      <c r="E1296" s="43" t="s">
        <v>3850</v>
      </c>
      <c r="F1296" s="42" t="s">
        <v>299</v>
      </c>
      <c r="G1296" s="42" t="s">
        <v>195</v>
      </c>
      <c r="H1296" s="42"/>
      <c r="I1296" s="42"/>
      <c r="J1296" s="42">
        <v>13207523</v>
      </c>
      <c r="K1296" s="42"/>
      <c r="L1296" s="44">
        <v>45293</v>
      </c>
      <c r="M1296" s="44">
        <v>45293</v>
      </c>
      <c r="N1296" s="42" t="s">
        <v>839</v>
      </c>
      <c r="O1296" s="42">
        <v>0</v>
      </c>
      <c r="P1296" s="42">
        <v>1919044</v>
      </c>
      <c r="Q1296" s="42" t="s">
        <v>3909</v>
      </c>
      <c r="R1296" s="45">
        <v>410</v>
      </c>
      <c r="S1296" s="42">
        <v>0</v>
      </c>
      <c r="T1296" s="47" t="s">
        <v>198</v>
      </c>
      <c r="U1296" s="48" t="s">
        <v>199</v>
      </c>
      <c r="V1296" s="38"/>
      <c r="W1296" s="48" t="s">
        <v>195</v>
      </c>
      <c r="X1296" s="38" t="s">
        <v>200</v>
      </c>
      <c r="Y1296" s="49" t="s">
        <v>201</v>
      </c>
      <c r="Z1296" s="50" t="s">
        <v>3910</v>
      </c>
      <c r="AA1296" s="38"/>
      <c r="AB1296" s="38"/>
      <c r="AC1296" s="38"/>
      <c r="AD1296" s="51">
        <v>63</v>
      </c>
      <c r="AE1296" s="51">
        <v>63</v>
      </c>
      <c r="AF1296" s="48" t="s">
        <v>203</v>
      </c>
      <c r="AG1296" s="38" t="s">
        <v>204</v>
      </c>
      <c r="AH1296" s="52"/>
      <c r="AI1296" s="38"/>
      <c r="AJ1296" s="38"/>
    </row>
    <row r="1297" spans="1:36" ht="16.2">
      <c r="A1297" s="53" t="s">
        <v>238</v>
      </c>
      <c r="B1297" s="53">
        <v>829852</v>
      </c>
      <c r="C1297" s="53" t="s">
        <v>3829</v>
      </c>
      <c r="D1297" s="53">
        <v>13207653</v>
      </c>
      <c r="E1297" s="54" t="s">
        <v>3911</v>
      </c>
      <c r="F1297" s="53" t="s">
        <v>3851</v>
      </c>
      <c r="G1297" s="53" t="s">
        <v>195</v>
      </c>
      <c r="H1297" s="53"/>
      <c r="I1297" s="53"/>
      <c r="J1297" s="53">
        <v>13207653</v>
      </c>
      <c r="K1297" s="53"/>
      <c r="L1297" s="55">
        <v>45293</v>
      </c>
      <c r="M1297" s="55">
        <v>45293</v>
      </c>
      <c r="N1297" s="53" t="s">
        <v>1328</v>
      </c>
      <c r="O1297" s="53">
        <v>0</v>
      </c>
      <c r="P1297" s="53">
        <v>20036419</v>
      </c>
      <c r="Q1297" s="53" t="s">
        <v>3912</v>
      </c>
      <c r="R1297" s="45">
        <v>410</v>
      </c>
      <c r="S1297" s="53">
        <v>0</v>
      </c>
      <c r="T1297" s="47" t="s">
        <v>198</v>
      </c>
      <c r="U1297" s="48" t="s">
        <v>199</v>
      </c>
      <c r="V1297" s="38"/>
      <c r="W1297" s="48" t="s">
        <v>195</v>
      </c>
      <c r="X1297" s="38" t="s">
        <v>200</v>
      </c>
      <c r="Y1297" s="49" t="s">
        <v>201</v>
      </c>
      <c r="Z1297" s="50" t="s">
        <v>3913</v>
      </c>
      <c r="AA1297" s="38"/>
      <c r="AB1297" s="38"/>
      <c r="AC1297" s="38"/>
      <c r="AD1297" s="51">
        <v>43</v>
      </c>
      <c r="AE1297" s="51">
        <v>43</v>
      </c>
      <c r="AF1297" s="48" t="s">
        <v>203</v>
      </c>
      <c r="AG1297" s="38" t="s">
        <v>204</v>
      </c>
      <c r="AH1297" s="52"/>
      <c r="AI1297" s="38"/>
      <c r="AJ1297" s="38"/>
    </row>
    <row r="1298" spans="1:36" ht="16.2">
      <c r="A1298" s="42" t="s">
        <v>238</v>
      </c>
      <c r="B1298" s="42">
        <v>829852</v>
      </c>
      <c r="C1298" s="42" t="s">
        <v>3829</v>
      </c>
      <c r="D1298" s="42">
        <v>13207653</v>
      </c>
      <c r="E1298" s="43" t="s">
        <v>3911</v>
      </c>
      <c r="F1298" s="42" t="s">
        <v>3854</v>
      </c>
      <c r="G1298" s="42" t="s">
        <v>195</v>
      </c>
      <c r="H1298" s="42"/>
      <c r="I1298" s="42"/>
      <c r="J1298" s="42">
        <v>13207653</v>
      </c>
      <c r="K1298" s="42"/>
      <c r="L1298" s="44">
        <v>45293</v>
      </c>
      <c r="M1298" s="44">
        <v>45293</v>
      </c>
      <c r="N1298" s="42" t="s">
        <v>1328</v>
      </c>
      <c r="O1298" s="42">
        <v>0</v>
      </c>
      <c r="P1298" s="42">
        <v>20036419</v>
      </c>
      <c r="Q1298" s="42" t="s">
        <v>3914</v>
      </c>
      <c r="R1298" s="45">
        <v>410</v>
      </c>
      <c r="S1298" s="42">
        <v>0</v>
      </c>
      <c r="T1298" s="47" t="s">
        <v>198</v>
      </c>
      <c r="U1298" s="48" t="s">
        <v>199</v>
      </c>
      <c r="V1298" s="38"/>
      <c r="W1298" s="48" t="s">
        <v>195</v>
      </c>
      <c r="X1298" s="38" t="s">
        <v>200</v>
      </c>
      <c r="Y1298" s="49" t="s">
        <v>201</v>
      </c>
      <c r="Z1298" s="50" t="s">
        <v>3915</v>
      </c>
      <c r="AA1298" s="38"/>
      <c r="AB1298" s="38"/>
      <c r="AC1298" s="38"/>
      <c r="AD1298" s="51">
        <v>43</v>
      </c>
      <c r="AE1298" s="51">
        <v>43</v>
      </c>
      <c r="AF1298" s="48" t="s">
        <v>203</v>
      </c>
      <c r="AG1298" s="38" t="s">
        <v>204</v>
      </c>
      <c r="AH1298" s="52"/>
      <c r="AI1298" s="38"/>
      <c r="AJ1298" s="38"/>
    </row>
    <row r="1299" spans="1:36" ht="16.2">
      <c r="A1299" s="53" t="s">
        <v>238</v>
      </c>
      <c r="B1299" s="53">
        <v>829852</v>
      </c>
      <c r="C1299" s="53" t="s">
        <v>3829</v>
      </c>
      <c r="D1299" s="53">
        <v>13207653</v>
      </c>
      <c r="E1299" s="54" t="s">
        <v>3911</v>
      </c>
      <c r="F1299" s="53" t="s">
        <v>3857</v>
      </c>
      <c r="G1299" s="53" t="s">
        <v>195</v>
      </c>
      <c r="H1299" s="53"/>
      <c r="I1299" s="53"/>
      <c r="J1299" s="53">
        <v>13207653</v>
      </c>
      <c r="K1299" s="53"/>
      <c r="L1299" s="55">
        <v>45293</v>
      </c>
      <c r="M1299" s="55">
        <v>45293</v>
      </c>
      <c r="N1299" s="53" t="s">
        <v>1328</v>
      </c>
      <c r="O1299" s="53">
        <v>0</v>
      </c>
      <c r="P1299" s="53">
        <v>20036419</v>
      </c>
      <c r="Q1299" s="53" t="s">
        <v>3916</v>
      </c>
      <c r="R1299" s="45">
        <v>410</v>
      </c>
      <c r="S1299" s="53">
        <v>0</v>
      </c>
      <c r="T1299" s="47" t="s">
        <v>198</v>
      </c>
      <c r="U1299" s="48" t="s">
        <v>199</v>
      </c>
      <c r="V1299" s="38"/>
      <c r="W1299" s="48" t="s">
        <v>195</v>
      </c>
      <c r="X1299" s="38" t="s">
        <v>200</v>
      </c>
      <c r="Y1299" s="49" t="s">
        <v>201</v>
      </c>
      <c r="Z1299" s="50" t="s">
        <v>3917</v>
      </c>
      <c r="AA1299" s="38"/>
      <c r="AB1299" s="38"/>
      <c r="AC1299" s="38"/>
      <c r="AD1299" s="51">
        <v>43</v>
      </c>
      <c r="AE1299" s="51">
        <v>43</v>
      </c>
      <c r="AF1299" s="48" t="s">
        <v>203</v>
      </c>
      <c r="AG1299" s="38" t="s">
        <v>204</v>
      </c>
      <c r="AH1299" s="52"/>
      <c r="AI1299" s="38"/>
      <c r="AJ1299" s="38"/>
    </row>
    <row r="1300" spans="1:36" ht="16.2">
      <c r="A1300" s="42" t="s">
        <v>238</v>
      </c>
      <c r="B1300" s="42">
        <v>829852</v>
      </c>
      <c r="C1300" s="42" t="s">
        <v>3829</v>
      </c>
      <c r="D1300" s="42">
        <v>13207653</v>
      </c>
      <c r="E1300" s="43" t="s">
        <v>3911</v>
      </c>
      <c r="F1300" s="42" t="s">
        <v>3860</v>
      </c>
      <c r="G1300" s="42" t="s">
        <v>195</v>
      </c>
      <c r="H1300" s="42"/>
      <c r="I1300" s="42"/>
      <c r="J1300" s="42">
        <v>13207653</v>
      </c>
      <c r="K1300" s="42"/>
      <c r="L1300" s="44">
        <v>45293</v>
      </c>
      <c r="M1300" s="44">
        <v>45293</v>
      </c>
      <c r="N1300" s="42" t="s">
        <v>1328</v>
      </c>
      <c r="O1300" s="42">
        <v>0</v>
      </c>
      <c r="P1300" s="42">
        <v>20036419</v>
      </c>
      <c r="Q1300" s="42" t="s">
        <v>3918</v>
      </c>
      <c r="R1300" s="45">
        <v>410</v>
      </c>
      <c r="S1300" s="42">
        <v>0</v>
      </c>
      <c r="T1300" s="47" t="s">
        <v>198</v>
      </c>
      <c r="U1300" s="48" t="s">
        <v>199</v>
      </c>
      <c r="V1300" s="38"/>
      <c r="W1300" s="48" t="s">
        <v>195</v>
      </c>
      <c r="X1300" s="38" t="s">
        <v>200</v>
      </c>
      <c r="Y1300" s="49" t="s">
        <v>201</v>
      </c>
      <c r="Z1300" s="50" t="s">
        <v>3919</v>
      </c>
      <c r="AA1300" s="38"/>
      <c r="AB1300" s="38"/>
      <c r="AC1300" s="38"/>
      <c r="AD1300" s="51">
        <v>43</v>
      </c>
      <c r="AE1300" s="51">
        <v>43</v>
      </c>
      <c r="AF1300" s="48" t="s">
        <v>203</v>
      </c>
      <c r="AG1300" s="38" t="s">
        <v>204</v>
      </c>
      <c r="AH1300" s="52"/>
      <c r="AI1300" s="38"/>
      <c r="AJ1300" s="38"/>
    </row>
    <row r="1301" spans="1:36" ht="16.2">
      <c r="A1301" s="53" t="s">
        <v>238</v>
      </c>
      <c r="B1301" s="53">
        <v>829852</v>
      </c>
      <c r="C1301" s="53" t="s">
        <v>3829</v>
      </c>
      <c r="D1301" s="53">
        <v>13207653</v>
      </c>
      <c r="E1301" s="54" t="s">
        <v>3911</v>
      </c>
      <c r="F1301" s="53" t="s">
        <v>3863</v>
      </c>
      <c r="G1301" s="53" t="s">
        <v>195</v>
      </c>
      <c r="H1301" s="53"/>
      <c r="I1301" s="53"/>
      <c r="J1301" s="53">
        <v>13207653</v>
      </c>
      <c r="K1301" s="53"/>
      <c r="L1301" s="55">
        <v>45293</v>
      </c>
      <c r="M1301" s="55">
        <v>45293</v>
      </c>
      <c r="N1301" s="53" t="s">
        <v>1328</v>
      </c>
      <c r="O1301" s="53">
        <v>0</v>
      </c>
      <c r="P1301" s="53">
        <v>20036419</v>
      </c>
      <c r="Q1301" s="53" t="s">
        <v>3920</v>
      </c>
      <c r="R1301" s="45">
        <v>410</v>
      </c>
      <c r="S1301" s="53">
        <v>0</v>
      </c>
      <c r="T1301" s="47" t="s">
        <v>198</v>
      </c>
      <c r="U1301" s="48" t="s">
        <v>199</v>
      </c>
      <c r="V1301" s="38"/>
      <c r="W1301" s="48" t="s">
        <v>195</v>
      </c>
      <c r="X1301" s="38" t="s">
        <v>200</v>
      </c>
      <c r="Y1301" s="49" t="s">
        <v>201</v>
      </c>
      <c r="Z1301" s="50" t="s">
        <v>3921</v>
      </c>
      <c r="AA1301" s="38"/>
      <c r="AB1301" s="38"/>
      <c r="AC1301" s="38"/>
      <c r="AD1301" s="51">
        <v>43</v>
      </c>
      <c r="AE1301" s="51">
        <v>43</v>
      </c>
      <c r="AF1301" s="48" t="s">
        <v>203</v>
      </c>
      <c r="AG1301" s="38" t="s">
        <v>204</v>
      </c>
      <c r="AH1301" s="52"/>
      <c r="AI1301" s="38"/>
      <c r="AJ1301" s="38"/>
    </row>
    <row r="1302" spans="1:36" ht="16.2">
      <c r="A1302" s="42" t="s">
        <v>238</v>
      </c>
      <c r="B1302" s="42">
        <v>829852</v>
      </c>
      <c r="C1302" s="42" t="s">
        <v>3829</v>
      </c>
      <c r="D1302" s="42">
        <v>13207653</v>
      </c>
      <c r="E1302" s="43" t="s">
        <v>3911</v>
      </c>
      <c r="F1302" s="42" t="s">
        <v>3866</v>
      </c>
      <c r="G1302" s="42" t="s">
        <v>195</v>
      </c>
      <c r="H1302" s="42"/>
      <c r="I1302" s="42"/>
      <c r="J1302" s="42">
        <v>13207653</v>
      </c>
      <c r="K1302" s="42"/>
      <c r="L1302" s="44">
        <v>45293</v>
      </c>
      <c r="M1302" s="44">
        <v>45293</v>
      </c>
      <c r="N1302" s="42" t="s">
        <v>1328</v>
      </c>
      <c r="O1302" s="42">
        <v>0</v>
      </c>
      <c r="P1302" s="42">
        <v>20036419</v>
      </c>
      <c r="Q1302" s="42" t="s">
        <v>3922</v>
      </c>
      <c r="R1302" s="45">
        <v>410</v>
      </c>
      <c r="S1302" s="42">
        <v>0</v>
      </c>
      <c r="T1302" s="47" t="s">
        <v>198</v>
      </c>
      <c r="U1302" s="48" t="s">
        <v>199</v>
      </c>
      <c r="V1302" s="38"/>
      <c r="W1302" s="48" t="s">
        <v>195</v>
      </c>
      <c r="X1302" s="38" t="s">
        <v>200</v>
      </c>
      <c r="Y1302" s="49" t="s">
        <v>201</v>
      </c>
      <c r="Z1302" s="50" t="s">
        <v>3923</v>
      </c>
      <c r="AA1302" s="38"/>
      <c r="AB1302" s="38"/>
      <c r="AC1302" s="38"/>
      <c r="AD1302" s="51">
        <v>43</v>
      </c>
      <c r="AE1302" s="51">
        <v>43</v>
      </c>
      <c r="AF1302" s="48" t="s">
        <v>203</v>
      </c>
      <c r="AG1302" s="38" t="s">
        <v>204</v>
      </c>
      <c r="AH1302" s="52"/>
      <c r="AI1302" s="38"/>
      <c r="AJ1302" s="38"/>
    </row>
    <row r="1303" spans="1:36" ht="16.2">
      <c r="A1303" s="53" t="s">
        <v>238</v>
      </c>
      <c r="B1303" s="53">
        <v>829852</v>
      </c>
      <c r="C1303" s="53" t="s">
        <v>3829</v>
      </c>
      <c r="D1303" s="53">
        <v>13207653</v>
      </c>
      <c r="E1303" s="54" t="s">
        <v>3911</v>
      </c>
      <c r="F1303" s="53" t="s">
        <v>1198</v>
      </c>
      <c r="G1303" s="53" t="s">
        <v>195</v>
      </c>
      <c r="H1303" s="53"/>
      <c r="I1303" s="53"/>
      <c r="J1303" s="53">
        <v>13207653</v>
      </c>
      <c r="K1303" s="53"/>
      <c r="L1303" s="55">
        <v>45293</v>
      </c>
      <c r="M1303" s="55">
        <v>45293</v>
      </c>
      <c r="N1303" s="53" t="s">
        <v>1328</v>
      </c>
      <c r="O1303" s="53">
        <v>0</v>
      </c>
      <c r="P1303" s="53">
        <v>20036419</v>
      </c>
      <c r="Q1303" s="53" t="s">
        <v>3924</v>
      </c>
      <c r="R1303" s="45">
        <v>410</v>
      </c>
      <c r="S1303" s="53">
        <v>0</v>
      </c>
      <c r="T1303" s="47" t="s">
        <v>198</v>
      </c>
      <c r="U1303" s="48" t="s">
        <v>199</v>
      </c>
      <c r="V1303" s="38"/>
      <c r="W1303" s="48" t="s">
        <v>195</v>
      </c>
      <c r="X1303" s="38" t="s">
        <v>200</v>
      </c>
      <c r="Y1303" s="49" t="s">
        <v>201</v>
      </c>
      <c r="Z1303" s="50" t="s">
        <v>3925</v>
      </c>
      <c r="AA1303" s="38"/>
      <c r="AB1303" s="38"/>
      <c r="AC1303" s="38"/>
      <c r="AD1303" s="51">
        <v>43</v>
      </c>
      <c r="AE1303" s="51">
        <v>43</v>
      </c>
      <c r="AF1303" s="48" t="s">
        <v>203</v>
      </c>
      <c r="AG1303" s="38" t="s">
        <v>204</v>
      </c>
      <c r="AH1303" s="52"/>
      <c r="AI1303" s="38"/>
      <c r="AJ1303" s="38"/>
    </row>
    <row r="1304" spans="1:36" ht="16.2">
      <c r="A1304" s="42" t="s">
        <v>238</v>
      </c>
      <c r="B1304" s="42">
        <v>829852</v>
      </c>
      <c r="C1304" s="42" t="s">
        <v>3829</v>
      </c>
      <c r="D1304" s="42">
        <v>13207653</v>
      </c>
      <c r="E1304" s="43" t="s">
        <v>3911</v>
      </c>
      <c r="F1304" s="42" t="s">
        <v>293</v>
      </c>
      <c r="G1304" s="42" t="s">
        <v>195</v>
      </c>
      <c r="H1304" s="42"/>
      <c r="I1304" s="42"/>
      <c r="J1304" s="42">
        <v>13207653</v>
      </c>
      <c r="K1304" s="42"/>
      <c r="L1304" s="44">
        <v>45293</v>
      </c>
      <c r="M1304" s="44">
        <v>45293</v>
      </c>
      <c r="N1304" s="42" t="s">
        <v>1328</v>
      </c>
      <c r="O1304" s="42">
        <v>0</v>
      </c>
      <c r="P1304" s="42">
        <v>20036419</v>
      </c>
      <c r="Q1304" s="42" t="s">
        <v>3926</v>
      </c>
      <c r="R1304" s="45">
        <v>410</v>
      </c>
      <c r="S1304" s="42">
        <v>0</v>
      </c>
      <c r="T1304" s="47" t="s">
        <v>198</v>
      </c>
      <c r="U1304" s="48" t="s">
        <v>199</v>
      </c>
      <c r="V1304" s="38"/>
      <c r="W1304" s="48" t="s">
        <v>195</v>
      </c>
      <c r="X1304" s="38" t="s">
        <v>200</v>
      </c>
      <c r="Y1304" s="49" t="s">
        <v>201</v>
      </c>
      <c r="Z1304" s="50" t="s">
        <v>3927</v>
      </c>
      <c r="AA1304" s="38"/>
      <c r="AB1304" s="38"/>
      <c r="AC1304" s="38"/>
      <c r="AD1304" s="51">
        <v>43</v>
      </c>
      <c r="AE1304" s="51">
        <v>43</v>
      </c>
      <c r="AF1304" s="48" t="s">
        <v>203</v>
      </c>
      <c r="AG1304" s="38" t="s">
        <v>204</v>
      </c>
      <c r="AH1304" s="52"/>
      <c r="AI1304" s="38"/>
      <c r="AJ1304" s="38"/>
    </row>
    <row r="1305" spans="1:36" ht="16.2">
      <c r="A1305" s="53" t="s">
        <v>238</v>
      </c>
      <c r="B1305" s="53">
        <v>829852</v>
      </c>
      <c r="C1305" s="53" t="s">
        <v>3829</v>
      </c>
      <c r="D1305" s="53">
        <v>13207653</v>
      </c>
      <c r="E1305" s="54" t="s">
        <v>3911</v>
      </c>
      <c r="F1305" s="53" t="s">
        <v>260</v>
      </c>
      <c r="G1305" s="53" t="s">
        <v>195</v>
      </c>
      <c r="H1305" s="53"/>
      <c r="I1305" s="53"/>
      <c r="J1305" s="53">
        <v>13207653</v>
      </c>
      <c r="K1305" s="53"/>
      <c r="L1305" s="55">
        <v>45293</v>
      </c>
      <c r="M1305" s="55">
        <v>45293</v>
      </c>
      <c r="N1305" s="53" t="s">
        <v>1328</v>
      </c>
      <c r="O1305" s="53">
        <v>0</v>
      </c>
      <c r="P1305" s="53">
        <v>20036419</v>
      </c>
      <c r="Q1305" s="53" t="s">
        <v>3928</v>
      </c>
      <c r="R1305" s="45">
        <v>410</v>
      </c>
      <c r="S1305" s="53">
        <v>0</v>
      </c>
      <c r="T1305" s="47" t="s">
        <v>198</v>
      </c>
      <c r="U1305" s="48" t="s">
        <v>199</v>
      </c>
      <c r="V1305" s="38"/>
      <c r="W1305" s="48" t="s">
        <v>195</v>
      </c>
      <c r="X1305" s="38" t="s">
        <v>200</v>
      </c>
      <c r="Y1305" s="49" t="s">
        <v>201</v>
      </c>
      <c r="Z1305" s="50" t="s">
        <v>3929</v>
      </c>
      <c r="AA1305" s="38"/>
      <c r="AB1305" s="38"/>
      <c r="AC1305" s="38"/>
      <c r="AD1305" s="51">
        <v>43</v>
      </c>
      <c r="AE1305" s="51">
        <v>43</v>
      </c>
      <c r="AF1305" s="48" t="s">
        <v>203</v>
      </c>
      <c r="AG1305" s="38" t="s">
        <v>204</v>
      </c>
      <c r="AH1305" s="52"/>
      <c r="AI1305" s="38"/>
      <c r="AJ1305" s="38"/>
    </row>
    <row r="1306" spans="1:36" ht="16.2">
      <c r="A1306" s="42" t="s">
        <v>238</v>
      </c>
      <c r="B1306" s="42">
        <v>829852</v>
      </c>
      <c r="C1306" s="42" t="s">
        <v>3829</v>
      </c>
      <c r="D1306" s="42">
        <v>13207653</v>
      </c>
      <c r="E1306" s="43" t="s">
        <v>3911</v>
      </c>
      <c r="F1306" s="42" t="s">
        <v>1273</v>
      </c>
      <c r="G1306" s="42" t="s">
        <v>195</v>
      </c>
      <c r="H1306" s="42"/>
      <c r="I1306" s="42"/>
      <c r="J1306" s="42">
        <v>13207653</v>
      </c>
      <c r="K1306" s="42"/>
      <c r="L1306" s="44">
        <v>45293</v>
      </c>
      <c r="M1306" s="44">
        <v>45293</v>
      </c>
      <c r="N1306" s="42" t="s">
        <v>1328</v>
      </c>
      <c r="O1306" s="42">
        <v>0</v>
      </c>
      <c r="P1306" s="42">
        <v>20036419</v>
      </c>
      <c r="Q1306" s="42" t="s">
        <v>3930</v>
      </c>
      <c r="R1306" s="45">
        <v>410</v>
      </c>
      <c r="S1306" s="42">
        <v>0</v>
      </c>
      <c r="T1306" s="47" t="s">
        <v>198</v>
      </c>
      <c r="U1306" s="48" t="s">
        <v>199</v>
      </c>
      <c r="V1306" s="38"/>
      <c r="W1306" s="48" t="s">
        <v>195</v>
      </c>
      <c r="X1306" s="38" t="s">
        <v>200</v>
      </c>
      <c r="Y1306" s="49" t="s">
        <v>201</v>
      </c>
      <c r="Z1306" s="50" t="s">
        <v>3931</v>
      </c>
      <c r="AA1306" s="38"/>
      <c r="AB1306" s="38"/>
      <c r="AC1306" s="38"/>
      <c r="AD1306" s="51">
        <v>43</v>
      </c>
      <c r="AE1306" s="51">
        <v>43</v>
      </c>
      <c r="AF1306" s="48" t="s">
        <v>203</v>
      </c>
      <c r="AG1306" s="38" t="s">
        <v>204</v>
      </c>
      <c r="AH1306" s="52"/>
      <c r="AI1306" s="38"/>
      <c r="AJ1306" s="38"/>
    </row>
    <row r="1307" spans="1:36" ht="16.2">
      <c r="A1307" s="53" t="s">
        <v>238</v>
      </c>
      <c r="B1307" s="53">
        <v>829852</v>
      </c>
      <c r="C1307" s="53" t="s">
        <v>3829</v>
      </c>
      <c r="D1307" s="53">
        <v>13207653</v>
      </c>
      <c r="E1307" s="54" t="s">
        <v>3911</v>
      </c>
      <c r="F1307" s="53" t="s">
        <v>1265</v>
      </c>
      <c r="G1307" s="53" t="s">
        <v>195</v>
      </c>
      <c r="H1307" s="53"/>
      <c r="I1307" s="53"/>
      <c r="J1307" s="53">
        <v>13207653</v>
      </c>
      <c r="K1307" s="53"/>
      <c r="L1307" s="55">
        <v>45293</v>
      </c>
      <c r="M1307" s="55">
        <v>45293</v>
      </c>
      <c r="N1307" s="53" t="s">
        <v>1328</v>
      </c>
      <c r="O1307" s="53">
        <v>0</v>
      </c>
      <c r="P1307" s="53">
        <v>20036419</v>
      </c>
      <c r="Q1307" s="53" t="s">
        <v>3932</v>
      </c>
      <c r="R1307" s="45">
        <v>410</v>
      </c>
      <c r="S1307" s="53">
        <v>0</v>
      </c>
      <c r="T1307" s="47" t="s">
        <v>198</v>
      </c>
      <c r="U1307" s="48" t="s">
        <v>199</v>
      </c>
      <c r="V1307" s="38"/>
      <c r="W1307" s="48" t="s">
        <v>195</v>
      </c>
      <c r="X1307" s="38" t="s">
        <v>200</v>
      </c>
      <c r="Y1307" s="49" t="s">
        <v>201</v>
      </c>
      <c r="Z1307" s="50" t="s">
        <v>3933</v>
      </c>
      <c r="AA1307" s="38"/>
      <c r="AB1307" s="38"/>
      <c r="AC1307" s="38"/>
      <c r="AD1307" s="51">
        <v>43</v>
      </c>
      <c r="AE1307" s="51">
        <v>43</v>
      </c>
      <c r="AF1307" s="48" t="s">
        <v>203</v>
      </c>
      <c r="AG1307" s="38" t="s">
        <v>204</v>
      </c>
      <c r="AH1307" s="52"/>
      <c r="AI1307" s="38"/>
      <c r="AJ1307" s="38"/>
    </row>
    <row r="1308" spans="1:36" ht="16.2">
      <c r="A1308" s="42" t="s">
        <v>238</v>
      </c>
      <c r="B1308" s="42">
        <v>829852</v>
      </c>
      <c r="C1308" s="42" t="s">
        <v>3829</v>
      </c>
      <c r="D1308" s="42">
        <v>13207653</v>
      </c>
      <c r="E1308" s="43" t="s">
        <v>3911</v>
      </c>
      <c r="F1308" s="42" t="s">
        <v>1213</v>
      </c>
      <c r="G1308" s="42" t="s">
        <v>195</v>
      </c>
      <c r="H1308" s="42"/>
      <c r="I1308" s="42"/>
      <c r="J1308" s="42">
        <v>13207653</v>
      </c>
      <c r="K1308" s="42"/>
      <c r="L1308" s="44">
        <v>45293</v>
      </c>
      <c r="M1308" s="44">
        <v>45293</v>
      </c>
      <c r="N1308" s="42" t="s">
        <v>1328</v>
      </c>
      <c r="O1308" s="42">
        <v>0</v>
      </c>
      <c r="P1308" s="42">
        <v>20036419</v>
      </c>
      <c r="Q1308" s="42" t="s">
        <v>3934</v>
      </c>
      <c r="R1308" s="45">
        <v>410</v>
      </c>
      <c r="S1308" s="42">
        <v>0</v>
      </c>
      <c r="T1308" s="47" t="s">
        <v>198</v>
      </c>
      <c r="U1308" s="48" t="s">
        <v>199</v>
      </c>
      <c r="V1308" s="38"/>
      <c r="W1308" s="48" t="s">
        <v>195</v>
      </c>
      <c r="X1308" s="38" t="s">
        <v>200</v>
      </c>
      <c r="Y1308" s="49" t="s">
        <v>201</v>
      </c>
      <c r="Z1308" s="50" t="s">
        <v>3935</v>
      </c>
      <c r="AA1308" s="38"/>
      <c r="AB1308" s="38"/>
      <c r="AC1308" s="38"/>
      <c r="AD1308" s="51">
        <v>43</v>
      </c>
      <c r="AE1308" s="51">
        <v>43</v>
      </c>
      <c r="AF1308" s="48" t="s">
        <v>203</v>
      </c>
      <c r="AG1308" s="38" t="s">
        <v>204</v>
      </c>
      <c r="AH1308" s="52"/>
      <c r="AI1308" s="38"/>
      <c r="AJ1308" s="38"/>
    </row>
    <row r="1309" spans="1:36" ht="16.2">
      <c r="A1309" s="53" t="s">
        <v>238</v>
      </c>
      <c r="B1309" s="53">
        <v>829852</v>
      </c>
      <c r="C1309" s="53" t="s">
        <v>3829</v>
      </c>
      <c r="D1309" s="53">
        <v>13207653</v>
      </c>
      <c r="E1309" s="54" t="s">
        <v>3911</v>
      </c>
      <c r="F1309" s="53" t="s">
        <v>1238</v>
      </c>
      <c r="G1309" s="53" t="s">
        <v>195</v>
      </c>
      <c r="H1309" s="53"/>
      <c r="I1309" s="53"/>
      <c r="J1309" s="53">
        <v>13207653</v>
      </c>
      <c r="K1309" s="53"/>
      <c r="L1309" s="55">
        <v>45293</v>
      </c>
      <c r="M1309" s="55">
        <v>45293</v>
      </c>
      <c r="N1309" s="53" t="s">
        <v>1328</v>
      </c>
      <c r="O1309" s="53">
        <v>0</v>
      </c>
      <c r="P1309" s="53">
        <v>20036419</v>
      </c>
      <c r="Q1309" s="53" t="s">
        <v>3936</v>
      </c>
      <c r="R1309" s="45">
        <v>410</v>
      </c>
      <c r="S1309" s="53">
        <v>0</v>
      </c>
      <c r="T1309" s="47" t="s">
        <v>198</v>
      </c>
      <c r="U1309" s="48" t="s">
        <v>199</v>
      </c>
      <c r="V1309" s="38"/>
      <c r="W1309" s="48" t="s">
        <v>195</v>
      </c>
      <c r="X1309" s="38" t="s">
        <v>200</v>
      </c>
      <c r="Y1309" s="49" t="s">
        <v>201</v>
      </c>
      <c r="Z1309" s="50" t="s">
        <v>3937</v>
      </c>
      <c r="AA1309" s="38"/>
      <c r="AB1309" s="38"/>
      <c r="AC1309" s="38"/>
      <c r="AD1309" s="51">
        <v>43</v>
      </c>
      <c r="AE1309" s="51">
        <v>43</v>
      </c>
      <c r="AF1309" s="48" t="s">
        <v>203</v>
      </c>
      <c r="AG1309" s="38" t="s">
        <v>204</v>
      </c>
      <c r="AH1309" s="52"/>
      <c r="AI1309" s="38"/>
      <c r="AJ1309" s="38"/>
    </row>
    <row r="1310" spans="1:36" ht="16.2">
      <c r="A1310" s="42" t="s">
        <v>836</v>
      </c>
      <c r="B1310" s="42">
        <v>829851</v>
      </c>
      <c r="C1310" s="42" t="s">
        <v>3829</v>
      </c>
      <c r="D1310" s="42">
        <v>13207524</v>
      </c>
      <c r="E1310" s="43" t="s">
        <v>3911</v>
      </c>
      <c r="F1310" s="42" t="s">
        <v>3851</v>
      </c>
      <c r="G1310" s="42" t="s">
        <v>195</v>
      </c>
      <c r="H1310" s="42"/>
      <c r="I1310" s="42"/>
      <c r="J1310" s="42">
        <v>13207524</v>
      </c>
      <c r="K1310" s="42"/>
      <c r="L1310" s="44">
        <v>45293</v>
      </c>
      <c r="M1310" s="44">
        <v>45293</v>
      </c>
      <c r="N1310" s="42" t="s">
        <v>839</v>
      </c>
      <c r="O1310" s="42">
        <v>0</v>
      </c>
      <c r="P1310" s="42">
        <v>1919044</v>
      </c>
      <c r="Q1310" s="42" t="s">
        <v>3938</v>
      </c>
      <c r="R1310" s="45">
        <v>410</v>
      </c>
      <c r="S1310" s="42">
        <v>0</v>
      </c>
      <c r="T1310" s="47" t="s">
        <v>198</v>
      </c>
      <c r="U1310" s="48" t="s">
        <v>199</v>
      </c>
      <c r="V1310" s="38"/>
      <c r="W1310" s="48" t="s">
        <v>195</v>
      </c>
      <c r="X1310" s="38" t="s">
        <v>200</v>
      </c>
      <c r="Y1310" s="49" t="s">
        <v>201</v>
      </c>
      <c r="Z1310" s="50" t="s">
        <v>3939</v>
      </c>
      <c r="AA1310" s="38"/>
      <c r="AB1310" s="38"/>
      <c r="AC1310" s="38"/>
      <c r="AD1310" s="51">
        <v>63</v>
      </c>
      <c r="AE1310" s="51">
        <v>63</v>
      </c>
      <c r="AF1310" s="48" t="s">
        <v>203</v>
      </c>
      <c r="AG1310" s="38" t="s">
        <v>204</v>
      </c>
      <c r="AH1310" s="52"/>
      <c r="AI1310" s="38"/>
      <c r="AJ1310" s="38"/>
    </row>
    <row r="1311" spans="1:36" ht="16.2">
      <c r="A1311" s="53" t="s">
        <v>836</v>
      </c>
      <c r="B1311" s="53">
        <v>829851</v>
      </c>
      <c r="C1311" s="53" t="s">
        <v>3829</v>
      </c>
      <c r="D1311" s="53">
        <v>13207524</v>
      </c>
      <c r="E1311" s="54" t="s">
        <v>3911</v>
      </c>
      <c r="F1311" s="53" t="s">
        <v>3854</v>
      </c>
      <c r="G1311" s="53" t="s">
        <v>195</v>
      </c>
      <c r="H1311" s="53"/>
      <c r="I1311" s="53"/>
      <c r="J1311" s="53">
        <v>13207524</v>
      </c>
      <c r="K1311" s="53"/>
      <c r="L1311" s="55">
        <v>45293</v>
      </c>
      <c r="M1311" s="55">
        <v>45293</v>
      </c>
      <c r="N1311" s="53" t="s">
        <v>839</v>
      </c>
      <c r="O1311" s="53">
        <v>0</v>
      </c>
      <c r="P1311" s="53">
        <v>1919044</v>
      </c>
      <c r="Q1311" s="53" t="s">
        <v>3940</v>
      </c>
      <c r="R1311" s="45">
        <v>410</v>
      </c>
      <c r="S1311" s="53">
        <v>0</v>
      </c>
      <c r="T1311" s="47" t="s">
        <v>198</v>
      </c>
      <c r="U1311" s="48" t="s">
        <v>199</v>
      </c>
      <c r="V1311" s="38"/>
      <c r="W1311" s="48" t="s">
        <v>195</v>
      </c>
      <c r="X1311" s="38" t="s">
        <v>200</v>
      </c>
      <c r="Y1311" s="49" t="s">
        <v>201</v>
      </c>
      <c r="Z1311" s="50" t="s">
        <v>3941</v>
      </c>
      <c r="AA1311" s="38"/>
      <c r="AB1311" s="38"/>
      <c r="AC1311" s="38"/>
      <c r="AD1311" s="51">
        <v>63</v>
      </c>
      <c r="AE1311" s="51">
        <v>63</v>
      </c>
      <c r="AF1311" s="48" t="s">
        <v>203</v>
      </c>
      <c r="AG1311" s="38" t="s">
        <v>204</v>
      </c>
      <c r="AH1311" s="52"/>
      <c r="AI1311" s="38"/>
      <c r="AJ1311" s="38"/>
    </row>
    <row r="1312" spans="1:36" ht="16.2">
      <c r="A1312" s="42" t="s">
        <v>836</v>
      </c>
      <c r="B1312" s="42">
        <v>829851</v>
      </c>
      <c r="C1312" s="42" t="s">
        <v>3829</v>
      </c>
      <c r="D1312" s="42">
        <v>13207524</v>
      </c>
      <c r="E1312" s="43" t="s">
        <v>3911</v>
      </c>
      <c r="F1312" s="42" t="s">
        <v>3857</v>
      </c>
      <c r="G1312" s="42" t="s">
        <v>195</v>
      </c>
      <c r="H1312" s="42"/>
      <c r="I1312" s="42"/>
      <c r="J1312" s="42">
        <v>13207524</v>
      </c>
      <c r="K1312" s="42"/>
      <c r="L1312" s="44">
        <v>45293</v>
      </c>
      <c r="M1312" s="44">
        <v>45293</v>
      </c>
      <c r="N1312" s="42" t="s">
        <v>839</v>
      </c>
      <c r="O1312" s="42">
        <v>0</v>
      </c>
      <c r="P1312" s="42">
        <v>1919044</v>
      </c>
      <c r="Q1312" s="42" t="s">
        <v>3942</v>
      </c>
      <c r="R1312" s="45">
        <v>410</v>
      </c>
      <c r="S1312" s="42">
        <v>0</v>
      </c>
      <c r="T1312" s="47" t="s">
        <v>198</v>
      </c>
      <c r="U1312" s="48" t="s">
        <v>199</v>
      </c>
      <c r="V1312" s="38"/>
      <c r="W1312" s="48" t="s">
        <v>195</v>
      </c>
      <c r="X1312" s="38" t="s">
        <v>200</v>
      </c>
      <c r="Y1312" s="49" t="s">
        <v>201</v>
      </c>
      <c r="Z1312" s="50" t="s">
        <v>3943</v>
      </c>
      <c r="AA1312" s="38"/>
      <c r="AB1312" s="38"/>
      <c r="AC1312" s="38"/>
      <c r="AD1312" s="51">
        <v>63</v>
      </c>
      <c r="AE1312" s="51">
        <v>63</v>
      </c>
      <c r="AF1312" s="48" t="s">
        <v>203</v>
      </c>
      <c r="AG1312" s="38" t="s">
        <v>204</v>
      </c>
      <c r="AH1312" s="52"/>
      <c r="AI1312" s="38"/>
      <c r="AJ1312" s="38"/>
    </row>
    <row r="1313" spans="1:36" ht="16.2">
      <c r="A1313" s="53" t="s">
        <v>836</v>
      </c>
      <c r="B1313" s="53">
        <v>829851</v>
      </c>
      <c r="C1313" s="53" t="s">
        <v>3829</v>
      </c>
      <c r="D1313" s="53">
        <v>13207524</v>
      </c>
      <c r="E1313" s="54" t="s">
        <v>3911</v>
      </c>
      <c r="F1313" s="53" t="s">
        <v>3860</v>
      </c>
      <c r="G1313" s="53" t="s">
        <v>195</v>
      </c>
      <c r="H1313" s="53"/>
      <c r="I1313" s="53"/>
      <c r="J1313" s="53">
        <v>13207524</v>
      </c>
      <c r="K1313" s="53"/>
      <c r="L1313" s="55">
        <v>45293</v>
      </c>
      <c r="M1313" s="55">
        <v>45293</v>
      </c>
      <c r="N1313" s="53" t="s">
        <v>839</v>
      </c>
      <c r="O1313" s="53">
        <v>0</v>
      </c>
      <c r="P1313" s="53">
        <v>1919044</v>
      </c>
      <c r="Q1313" s="53" t="s">
        <v>3944</v>
      </c>
      <c r="R1313" s="45">
        <v>410</v>
      </c>
      <c r="S1313" s="53">
        <v>0</v>
      </c>
      <c r="T1313" s="47" t="s">
        <v>198</v>
      </c>
      <c r="U1313" s="48" t="s">
        <v>199</v>
      </c>
      <c r="V1313" s="38"/>
      <c r="W1313" s="48" t="s">
        <v>195</v>
      </c>
      <c r="X1313" s="38" t="s">
        <v>200</v>
      </c>
      <c r="Y1313" s="49" t="s">
        <v>201</v>
      </c>
      <c r="Z1313" s="50" t="s">
        <v>3945</v>
      </c>
      <c r="AA1313" s="38"/>
      <c r="AB1313" s="38"/>
      <c r="AC1313" s="38"/>
      <c r="AD1313" s="51">
        <v>63</v>
      </c>
      <c r="AE1313" s="51">
        <v>63</v>
      </c>
      <c r="AF1313" s="48" t="s">
        <v>203</v>
      </c>
      <c r="AG1313" s="38" t="s">
        <v>204</v>
      </c>
      <c r="AH1313" s="52"/>
      <c r="AI1313" s="38"/>
      <c r="AJ1313" s="38"/>
    </row>
    <row r="1314" spans="1:36" ht="16.2">
      <c r="A1314" s="42" t="s">
        <v>836</v>
      </c>
      <c r="B1314" s="42">
        <v>829851</v>
      </c>
      <c r="C1314" s="42" t="s">
        <v>3829</v>
      </c>
      <c r="D1314" s="42">
        <v>13207524</v>
      </c>
      <c r="E1314" s="43" t="s">
        <v>3911</v>
      </c>
      <c r="F1314" s="42" t="s">
        <v>3863</v>
      </c>
      <c r="G1314" s="42" t="s">
        <v>195</v>
      </c>
      <c r="H1314" s="42"/>
      <c r="I1314" s="42"/>
      <c r="J1314" s="42">
        <v>13207524</v>
      </c>
      <c r="K1314" s="42"/>
      <c r="L1314" s="44">
        <v>45293</v>
      </c>
      <c r="M1314" s="44">
        <v>45293</v>
      </c>
      <c r="N1314" s="42" t="s">
        <v>839</v>
      </c>
      <c r="O1314" s="42">
        <v>0</v>
      </c>
      <c r="P1314" s="42">
        <v>1919044</v>
      </c>
      <c r="Q1314" s="42" t="s">
        <v>3946</v>
      </c>
      <c r="R1314" s="45">
        <v>410</v>
      </c>
      <c r="S1314" s="42">
        <v>0</v>
      </c>
      <c r="T1314" s="47" t="s">
        <v>198</v>
      </c>
      <c r="U1314" s="48" t="s">
        <v>199</v>
      </c>
      <c r="V1314" s="38"/>
      <c r="W1314" s="48" t="s">
        <v>195</v>
      </c>
      <c r="X1314" s="38" t="s">
        <v>200</v>
      </c>
      <c r="Y1314" s="49" t="s">
        <v>201</v>
      </c>
      <c r="Z1314" s="50" t="s">
        <v>3947</v>
      </c>
      <c r="AA1314" s="38"/>
      <c r="AB1314" s="38"/>
      <c r="AC1314" s="38"/>
      <c r="AD1314" s="51">
        <v>63</v>
      </c>
      <c r="AE1314" s="51">
        <v>63</v>
      </c>
      <c r="AF1314" s="48" t="s">
        <v>203</v>
      </c>
      <c r="AG1314" s="38" t="s">
        <v>204</v>
      </c>
      <c r="AH1314" s="52"/>
      <c r="AI1314" s="38"/>
      <c r="AJ1314" s="38"/>
    </row>
    <row r="1315" spans="1:36" ht="16.2">
      <c r="A1315" s="53" t="s">
        <v>836</v>
      </c>
      <c r="B1315" s="53">
        <v>829851</v>
      </c>
      <c r="C1315" s="53" t="s">
        <v>3829</v>
      </c>
      <c r="D1315" s="53">
        <v>13207524</v>
      </c>
      <c r="E1315" s="54" t="s">
        <v>3911</v>
      </c>
      <c r="F1315" s="53" t="s">
        <v>3866</v>
      </c>
      <c r="G1315" s="53" t="s">
        <v>195</v>
      </c>
      <c r="H1315" s="53"/>
      <c r="I1315" s="53"/>
      <c r="J1315" s="53">
        <v>13207524</v>
      </c>
      <c r="K1315" s="53"/>
      <c r="L1315" s="55">
        <v>45293</v>
      </c>
      <c r="M1315" s="55">
        <v>45293</v>
      </c>
      <c r="N1315" s="53" t="s">
        <v>839</v>
      </c>
      <c r="O1315" s="53">
        <v>0</v>
      </c>
      <c r="P1315" s="53">
        <v>1919044</v>
      </c>
      <c r="Q1315" s="53" t="s">
        <v>3948</v>
      </c>
      <c r="R1315" s="45">
        <v>410</v>
      </c>
      <c r="S1315" s="53">
        <v>0</v>
      </c>
      <c r="T1315" s="47" t="s">
        <v>198</v>
      </c>
      <c r="U1315" s="48" t="s">
        <v>199</v>
      </c>
      <c r="V1315" s="38"/>
      <c r="W1315" s="48" t="s">
        <v>195</v>
      </c>
      <c r="X1315" s="38" t="s">
        <v>200</v>
      </c>
      <c r="Y1315" s="49" t="s">
        <v>201</v>
      </c>
      <c r="Z1315" s="50" t="s">
        <v>3949</v>
      </c>
      <c r="AA1315" s="38"/>
      <c r="AB1315" s="38"/>
      <c r="AC1315" s="38"/>
      <c r="AD1315" s="51">
        <v>63</v>
      </c>
      <c r="AE1315" s="51">
        <v>63</v>
      </c>
      <c r="AF1315" s="48" t="s">
        <v>203</v>
      </c>
      <c r="AG1315" s="38" t="s">
        <v>204</v>
      </c>
      <c r="AH1315" s="52"/>
      <c r="AI1315" s="38"/>
      <c r="AJ1315" s="38"/>
    </row>
    <row r="1316" spans="1:36" ht="16.2">
      <c r="A1316" s="42" t="s">
        <v>836</v>
      </c>
      <c r="B1316" s="42">
        <v>829851</v>
      </c>
      <c r="C1316" s="42" t="s">
        <v>3829</v>
      </c>
      <c r="D1316" s="42">
        <v>13207524</v>
      </c>
      <c r="E1316" s="43" t="s">
        <v>3911</v>
      </c>
      <c r="F1316" s="42" t="s">
        <v>1198</v>
      </c>
      <c r="G1316" s="42" t="s">
        <v>195</v>
      </c>
      <c r="H1316" s="42"/>
      <c r="I1316" s="42"/>
      <c r="J1316" s="42">
        <v>13207524</v>
      </c>
      <c r="K1316" s="42"/>
      <c r="L1316" s="44">
        <v>45293</v>
      </c>
      <c r="M1316" s="44">
        <v>45293</v>
      </c>
      <c r="N1316" s="42" t="s">
        <v>839</v>
      </c>
      <c r="O1316" s="42">
        <v>0</v>
      </c>
      <c r="P1316" s="42">
        <v>1919044</v>
      </c>
      <c r="Q1316" s="42" t="s">
        <v>3950</v>
      </c>
      <c r="R1316" s="45">
        <v>410</v>
      </c>
      <c r="S1316" s="42">
        <v>0</v>
      </c>
      <c r="T1316" s="47" t="s">
        <v>198</v>
      </c>
      <c r="U1316" s="48" t="s">
        <v>199</v>
      </c>
      <c r="V1316" s="38"/>
      <c r="W1316" s="48" t="s">
        <v>195</v>
      </c>
      <c r="X1316" s="38" t="s">
        <v>200</v>
      </c>
      <c r="Y1316" s="49" t="s">
        <v>201</v>
      </c>
      <c r="Z1316" s="50" t="s">
        <v>3951</v>
      </c>
      <c r="AA1316" s="38"/>
      <c r="AB1316" s="38"/>
      <c r="AC1316" s="38"/>
      <c r="AD1316" s="51">
        <v>63</v>
      </c>
      <c r="AE1316" s="51">
        <v>63</v>
      </c>
      <c r="AF1316" s="48" t="s">
        <v>203</v>
      </c>
      <c r="AG1316" s="38" t="s">
        <v>204</v>
      </c>
      <c r="AH1316" s="52"/>
      <c r="AI1316" s="38"/>
      <c r="AJ1316" s="38"/>
    </row>
    <row r="1317" spans="1:36" ht="16.2">
      <c r="A1317" s="53" t="s">
        <v>836</v>
      </c>
      <c r="B1317" s="53">
        <v>829851</v>
      </c>
      <c r="C1317" s="53" t="s">
        <v>3829</v>
      </c>
      <c r="D1317" s="53">
        <v>13207524</v>
      </c>
      <c r="E1317" s="54" t="s">
        <v>3911</v>
      </c>
      <c r="F1317" s="53" t="s">
        <v>293</v>
      </c>
      <c r="G1317" s="53" t="s">
        <v>195</v>
      </c>
      <c r="H1317" s="53"/>
      <c r="I1317" s="53"/>
      <c r="J1317" s="53">
        <v>13207524</v>
      </c>
      <c r="K1317" s="53"/>
      <c r="L1317" s="55">
        <v>45293</v>
      </c>
      <c r="M1317" s="55">
        <v>45293</v>
      </c>
      <c r="N1317" s="53" t="s">
        <v>839</v>
      </c>
      <c r="O1317" s="53">
        <v>0</v>
      </c>
      <c r="P1317" s="53">
        <v>1919044</v>
      </c>
      <c r="Q1317" s="53" t="s">
        <v>3952</v>
      </c>
      <c r="R1317" s="45">
        <v>410</v>
      </c>
      <c r="S1317" s="53">
        <v>0</v>
      </c>
      <c r="T1317" s="47" t="s">
        <v>198</v>
      </c>
      <c r="U1317" s="48" t="s">
        <v>199</v>
      </c>
      <c r="V1317" s="38"/>
      <c r="W1317" s="48" t="s">
        <v>195</v>
      </c>
      <c r="X1317" s="38" t="s">
        <v>200</v>
      </c>
      <c r="Y1317" s="49" t="s">
        <v>201</v>
      </c>
      <c r="Z1317" s="50" t="s">
        <v>3953</v>
      </c>
      <c r="AA1317" s="38"/>
      <c r="AB1317" s="38"/>
      <c r="AC1317" s="38"/>
      <c r="AD1317" s="51">
        <v>63</v>
      </c>
      <c r="AE1317" s="51">
        <v>63</v>
      </c>
      <c r="AF1317" s="48" t="s">
        <v>203</v>
      </c>
      <c r="AG1317" s="38" t="s">
        <v>204</v>
      </c>
      <c r="AH1317" s="52"/>
      <c r="AI1317" s="38"/>
      <c r="AJ1317" s="38"/>
    </row>
    <row r="1318" spans="1:36" ht="16.2">
      <c r="A1318" s="42" t="s">
        <v>836</v>
      </c>
      <c r="B1318" s="42">
        <v>829851</v>
      </c>
      <c r="C1318" s="42" t="s">
        <v>3829</v>
      </c>
      <c r="D1318" s="42">
        <v>13207524</v>
      </c>
      <c r="E1318" s="43" t="s">
        <v>3911</v>
      </c>
      <c r="F1318" s="42" t="s">
        <v>260</v>
      </c>
      <c r="G1318" s="42" t="s">
        <v>195</v>
      </c>
      <c r="H1318" s="42"/>
      <c r="I1318" s="42"/>
      <c r="J1318" s="42">
        <v>13207524</v>
      </c>
      <c r="K1318" s="42"/>
      <c r="L1318" s="44">
        <v>45293</v>
      </c>
      <c r="M1318" s="44">
        <v>45293</v>
      </c>
      <c r="N1318" s="42" t="s">
        <v>839</v>
      </c>
      <c r="O1318" s="42">
        <v>0</v>
      </c>
      <c r="P1318" s="42">
        <v>1919044</v>
      </c>
      <c r="Q1318" s="42" t="s">
        <v>3954</v>
      </c>
      <c r="R1318" s="45">
        <v>410</v>
      </c>
      <c r="S1318" s="42">
        <v>0</v>
      </c>
      <c r="T1318" s="47" t="s">
        <v>198</v>
      </c>
      <c r="U1318" s="48" t="s">
        <v>199</v>
      </c>
      <c r="V1318" s="38"/>
      <c r="W1318" s="48" t="s">
        <v>195</v>
      </c>
      <c r="X1318" s="38" t="s">
        <v>200</v>
      </c>
      <c r="Y1318" s="49" t="s">
        <v>201</v>
      </c>
      <c r="Z1318" s="50" t="s">
        <v>3955</v>
      </c>
      <c r="AA1318" s="38"/>
      <c r="AB1318" s="38"/>
      <c r="AC1318" s="38"/>
      <c r="AD1318" s="51">
        <v>63</v>
      </c>
      <c r="AE1318" s="51">
        <v>63</v>
      </c>
      <c r="AF1318" s="48" t="s">
        <v>203</v>
      </c>
      <c r="AG1318" s="38" t="s">
        <v>204</v>
      </c>
      <c r="AH1318" s="52"/>
      <c r="AI1318" s="38"/>
      <c r="AJ1318" s="38"/>
    </row>
    <row r="1319" spans="1:36" ht="16.2">
      <c r="A1319" s="53" t="s">
        <v>836</v>
      </c>
      <c r="B1319" s="53">
        <v>829851</v>
      </c>
      <c r="C1319" s="53" t="s">
        <v>3829</v>
      </c>
      <c r="D1319" s="53">
        <v>13207524</v>
      </c>
      <c r="E1319" s="54" t="s">
        <v>3911</v>
      </c>
      <c r="F1319" s="53" t="s">
        <v>1273</v>
      </c>
      <c r="G1319" s="53" t="s">
        <v>195</v>
      </c>
      <c r="H1319" s="53"/>
      <c r="I1319" s="53"/>
      <c r="J1319" s="53">
        <v>13207524</v>
      </c>
      <c r="K1319" s="53"/>
      <c r="L1319" s="55">
        <v>45293</v>
      </c>
      <c r="M1319" s="55">
        <v>45293</v>
      </c>
      <c r="N1319" s="53" t="s">
        <v>839</v>
      </c>
      <c r="O1319" s="53">
        <v>0</v>
      </c>
      <c r="P1319" s="53">
        <v>1919044</v>
      </c>
      <c r="Q1319" s="53" t="s">
        <v>3956</v>
      </c>
      <c r="R1319" s="45">
        <v>410</v>
      </c>
      <c r="S1319" s="53">
        <v>0</v>
      </c>
      <c r="T1319" s="47" t="s">
        <v>198</v>
      </c>
      <c r="U1319" s="48" t="s">
        <v>199</v>
      </c>
      <c r="V1319" s="38"/>
      <c r="W1319" s="48" t="s">
        <v>195</v>
      </c>
      <c r="X1319" s="38" t="s">
        <v>200</v>
      </c>
      <c r="Y1319" s="49" t="s">
        <v>201</v>
      </c>
      <c r="Z1319" s="50" t="s">
        <v>3957</v>
      </c>
      <c r="AA1319" s="38"/>
      <c r="AB1319" s="38"/>
      <c r="AC1319" s="38"/>
      <c r="AD1319" s="51">
        <v>63</v>
      </c>
      <c r="AE1319" s="51">
        <v>63</v>
      </c>
      <c r="AF1319" s="48" t="s">
        <v>203</v>
      </c>
      <c r="AG1319" s="38" t="s">
        <v>204</v>
      </c>
      <c r="AH1319" s="52"/>
      <c r="AI1319" s="38"/>
      <c r="AJ1319" s="38"/>
    </row>
    <row r="1320" spans="1:36" ht="16.2">
      <c r="A1320" s="42" t="s">
        <v>836</v>
      </c>
      <c r="B1320" s="42">
        <v>829851</v>
      </c>
      <c r="C1320" s="42" t="s">
        <v>3829</v>
      </c>
      <c r="D1320" s="42">
        <v>13207524</v>
      </c>
      <c r="E1320" s="43" t="s">
        <v>3911</v>
      </c>
      <c r="F1320" s="42" t="s">
        <v>1265</v>
      </c>
      <c r="G1320" s="42" t="s">
        <v>195</v>
      </c>
      <c r="H1320" s="42"/>
      <c r="I1320" s="42"/>
      <c r="J1320" s="42">
        <v>13207524</v>
      </c>
      <c r="K1320" s="42"/>
      <c r="L1320" s="44">
        <v>45293</v>
      </c>
      <c r="M1320" s="44">
        <v>45293</v>
      </c>
      <c r="N1320" s="42" t="s">
        <v>839</v>
      </c>
      <c r="O1320" s="42">
        <v>0</v>
      </c>
      <c r="P1320" s="42">
        <v>1919044</v>
      </c>
      <c r="Q1320" s="42" t="s">
        <v>3958</v>
      </c>
      <c r="R1320" s="45">
        <v>410</v>
      </c>
      <c r="S1320" s="42">
        <v>0</v>
      </c>
      <c r="T1320" s="47" t="s">
        <v>198</v>
      </c>
      <c r="U1320" s="48" t="s">
        <v>199</v>
      </c>
      <c r="V1320" s="38"/>
      <c r="W1320" s="48" t="s">
        <v>195</v>
      </c>
      <c r="X1320" s="38" t="s">
        <v>200</v>
      </c>
      <c r="Y1320" s="49" t="s">
        <v>201</v>
      </c>
      <c r="Z1320" s="50" t="s">
        <v>3959</v>
      </c>
      <c r="AA1320" s="38"/>
      <c r="AB1320" s="38"/>
      <c r="AC1320" s="38"/>
      <c r="AD1320" s="51">
        <v>63</v>
      </c>
      <c r="AE1320" s="51">
        <v>63</v>
      </c>
      <c r="AF1320" s="48" t="s">
        <v>203</v>
      </c>
      <c r="AG1320" s="38" t="s">
        <v>204</v>
      </c>
      <c r="AH1320" s="52"/>
      <c r="AI1320" s="38"/>
      <c r="AJ1320" s="38"/>
    </row>
    <row r="1321" spans="1:36" ht="16.2">
      <c r="A1321" s="53" t="s">
        <v>836</v>
      </c>
      <c r="B1321" s="53">
        <v>829851</v>
      </c>
      <c r="C1321" s="53" t="s">
        <v>3829</v>
      </c>
      <c r="D1321" s="53">
        <v>13207524</v>
      </c>
      <c r="E1321" s="54" t="s">
        <v>3911</v>
      </c>
      <c r="F1321" s="53" t="s">
        <v>1213</v>
      </c>
      <c r="G1321" s="53" t="s">
        <v>195</v>
      </c>
      <c r="H1321" s="53"/>
      <c r="I1321" s="53"/>
      <c r="J1321" s="53">
        <v>13207524</v>
      </c>
      <c r="K1321" s="53"/>
      <c r="L1321" s="55">
        <v>45293</v>
      </c>
      <c r="M1321" s="55">
        <v>45293</v>
      </c>
      <c r="N1321" s="53" t="s">
        <v>839</v>
      </c>
      <c r="O1321" s="53">
        <v>0</v>
      </c>
      <c r="P1321" s="53">
        <v>1919044</v>
      </c>
      <c r="Q1321" s="53" t="s">
        <v>3960</v>
      </c>
      <c r="R1321" s="45">
        <v>410</v>
      </c>
      <c r="S1321" s="53">
        <v>0</v>
      </c>
      <c r="T1321" s="47" t="s">
        <v>198</v>
      </c>
      <c r="U1321" s="48" t="s">
        <v>199</v>
      </c>
      <c r="V1321" s="38"/>
      <c r="W1321" s="48" t="s">
        <v>195</v>
      </c>
      <c r="X1321" s="38" t="s">
        <v>200</v>
      </c>
      <c r="Y1321" s="49" t="s">
        <v>201</v>
      </c>
      <c r="Z1321" s="50" t="s">
        <v>3961</v>
      </c>
      <c r="AA1321" s="38"/>
      <c r="AB1321" s="38"/>
      <c r="AC1321" s="38"/>
      <c r="AD1321" s="51">
        <v>63</v>
      </c>
      <c r="AE1321" s="51">
        <v>63</v>
      </c>
      <c r="AF1321" s="48" t="s">
        <v>203</v>
      </c>
      <c r="AG1321" s="38" t="s">
        <v>204</v>
      </c>
      <c r="AH1321" s="52"/>
      <c r="AI1321" s="38"/>
      <c r="AJ1321" s="38"/>
    </row>
    <row r="1322" spans="1:36" ht="16.2">
      <c r="A1322" s="42" t="s">
        <v>836</v>
      </c>
      <c r="B1322" s="42">
        <v>829851</v>
      </c>
      <c r="C1322" s="42" t="s">
        <v>3829</v>
      </c>
      <c r="D1322" s="42">
        <v>13207524</v>
      </c>
      <c r="E1322" s="43" t="s">
        <v>3911</v>
      </c>
      <c r="F1322" s="42" t="s">
        <v>299</v>
      </c>
      <c r="G1322" s="42" t="s">
        <v>195</v>
      </c>
      <c r="H1322" s="42"/>
      <c r="I1322" s="42"/>
      <c r="J1322" s="42">
        <v>13207524</v>
      </c>
      <c r="K1322" s="42"/>
      <c r="L1322" s="44">
        <v>45293</v>
      </c>
      <c r="M1322" s="44">
        <v>45293</v>
      </c>
      <c r="N1322" s="42" t="s">
        <v>839</v>
      </c>
      <c r="O1322" s="42">
        <v>0</v>
      </c>
      <c r="P1322" s="42">
        <v>1919044</v>
      </c>
      <c r="Q1322" s="42" t="s">
        <v>3962</v>
      </c>
      <c r="R1322" s="45">
        <v>410</v>
      </c>
      <c r="S1322" s="42">
        <v>0</v>
      </c>
      <c r="T1322" s="47" t="s">
        <v>198</v>
      </c>
      <c r="U1322" s="48" t="s">
        <v>199</v>
      </c>
      <c r="V1322" s="38"/>
      <c r="W1322" s="48" t="s">
        <v>195</v>
      </c>
      <c r="X1322" s="38" t="s">
        <v>200</v>
      </c>
      <c r="Y1322" s="49" t="s">
        <v>201</v>
      </c>
      <c r="Z1322" s="50" t="s">
        <v>3963</v>
      </c>
      <c r="AA1322" s="38"/>
      <c r="AB1322" s="38"/>
      <c r="AC1322" s="38"/>
      <c r="AD1322" s="51">
        <v>63</v>
      </c>
      <c r="AE1322" s="51">
        <v>63</v>
      </c>
      <c r="AF1322" s="48" t="s">
        <v>203</v>
      </c>
      <c r="AG1322" s="38" t="s">
        <v>204</v>
      </c>
      <c r="AH1322" s="52"/>
      <c r="AI1322" s="38"/>
      <c r="AJ1322" s="38"/>
    </row>
    <row r="1323" spans="1:36" ht="16.2">
      <c r="A1323" s="53" t="s">
        <v>1908</v>
      </c>
      <c r="B1323" s="53">
        <v>829615</v>
      </c>
      <c r="C1323" s="53" t="s">
        <v>3964</v>
      </c>
      <c r="D1323" s="53">
        <v>13207668</v>
      </c>
      <c r="E1323" s="54" t="s">
        <v>3965</v>
      </c>
      <c r="F1323" s="53" t="s">
        <v>3966</v>
      </c>
      <c r="G1323" s="53" t="s">
        <v>195</v>
      </c>
      <c r="H1323" s="53"/>
      <c r="I1323" s="53"/>
      <c r="J1323" s="53">
        <v>13207668</v>
      </c>
      <c r="K1323" s="53"/>
      <c r="L1323" s="55">
        <v>45293</v>
      </c>
      <c r="M1323" s="55">
        <v>45293</v>
      </c>
      <c r="N1323" s="53" t="s">
        <v>823</v>
      </c>
      <c r="O1323" s="53">
        <v>0</v>
      </c>
      <c r="P1323" s="53">
        <v>20065447</v>
      </c>
      <c r="Q1323" s="53" t="s">
        <v>3967</v>
      </c>
      <c r="R1323" s="45">
        <v>410</v>
      </c>
      <c r="S1323" s="53">
        <v>0</v>
      </c>
      <c r="T1323" s="47" t="s">
        <v>198</v>
      </c>
      <c r="U1323" s="48" t="s">
        <v>199</v>
      </c>
      <c r="V1323" s="38"/>
      <c r="W1323" s="48" t="s">
        <v>195</v>
      </c>
      <c r="X1323" s="38" t="s">
        <v>426</v>
      </c>
      <c r="Y1323" s="49" t="s">
        <v>427</v>
      </c>
      <c r="Z1323" s="50" t="s">
        <v>3968</v>
      </c>
      <c r="AA1323" s="38"/>
      <c r="AB1323" s="38"/>
      <c r="AC1323" s="38"/>
      <c r="AD1323" s="51">
        <v>62</v>
      </c>
      <c r="AE1323" s="51">
        <v>62</v>
      </c>
      <c r="AF1323" s="48" t="s">
        <v>203</v>
      </c>
      <c r="AG1323" s="38" t="s">
        <v>204</v>
      </c>
      <c r="AH1323" s="52"/>
      <c r="AI1323" s="38"/>
      <c r="AJ1323" s="38"/>
    </row>
    <row r="1324" spans="1:36" ht="16.2">
      <c r="A1324" s="42" t="s">
        <v>1908</v>
      </c>
      <c r="B1324" s="42">
        <v>82961501</v>
      </c>
      <c r="C1324" s="42" t="s">
        <v>3969</v>
      </c>
      <c r="D1324" s="42">
        <v>13207666</v>
      </c>
      <c r="E1324" s="43" t="s">
        <v>3970</v>
      </c>
      <c r="F1324" s="42" t="s">
        <v>3971</v>
      </c>
      <c r="G1324" s="42" t="s">
        <v>195</v>
      </c>
      <c r="H1324" s="42"/>
      <c r="I1324" s="42"/>
      <c r="J1324" s="42">
        <v>13207666</v>
      </c>
      <c r="K1324" s="42"/>
      <c r="L1324" s="44">
        <v>45293</v>
      </c>
      <c r="M1324" s="44">
        <v>45293</v>
      </c>
      <c r="N1324" s="42" t="s">
        <v>823</v>
      </c>
      <c r="O1324" s="42">
        <v>0</v>
      </c>
      <c r="P1324" s="42">
        <v>20065447</v>
      </c>
      <c r="Q1324" s="42" t="s">
        <v>3972</v>
      </c>
      <c r="R1324" s="45">
        <v>410</v>
      </c>
      <c r="S1324" s="42">
        <v>0</v>
      </c>
      <c r="T1324" s="47" t="s">
        <v>198</v>
      </c>
      <c r="U1324" s="48" t="s">
        <v>199</v>
      </c>
      <c r="V1324" s="38"/>
      <c r="W1324" s="48" t="s">
        <v>195</v>
      </c>
      <c r="X1324" s="38" t="s">
        <v>426</v>
      </c>
      <c r="Y1324" s="49" t="s">
        <v>427</v>
      </c>
      <c r="Z1324" s="50" t="s">
        <v>3973</v>
      </c>
      <c r="AA1324" s="38"/>
      <c r="AB1324" s="38"/>
      <c r="AC1324" s="38"/>
      <c r="AD1324" s="51">
        <v>62</v>
      </c>
      <c r="AE1324" s="51">
        <v>62</v>
      </c>
      <c r="AF1324" s="48" t="s">
        <v>203</v>
      </c>
      <c r="AG1324" s="38" t="s">
        <v>204</v>
      </c>
      <c r="AH1324" s="52"/>
      <c r="AI1324" s="38"/>
      <c r="AJ1324" s="38"/>
    </row>
    <row r="1325" spans="1:36" ht="16.2">
      <c r="A1325" s="53" t="s">
        <v>857</v>
      </c>
      <c r="B1325" s="53">
        <v>829659</v>
      </c>
      <c r="C1325" s="53" t="s">
        <v>3974</v>
      </c>
      <c r="D1325" s="53">
        <v>13207704</v>
      </c>
      <c r="E1325" s="54" t="s">
        <v>3975</v>
      </c>
      <c r="F1325" s="53" t="s">
        <v>3976</v>
      </c>
      <c r="G1325" s="53" t="s">
        <v>195</v>
      </c>
      <c r="H1325" s="53"/>
      <c r="I1325" s="53"/>
      <c r="J1325" s="53">
        <v>13207704</v>
      </c>
      <c r="K1325" s="53"/>
      <c r="L1325" s="55">
        <v>45293</v>
      </c>
      <c r="M1325" s="55">
        <v>45293</v>
      </c>
      <c r="N1325" s="53" t="s">
        <v>1152</v>
      </c>
      <c r="O1325" s="53">
        <v>0</v>
      </c>
      <c r="P1325" s="53">
        <v>20010206</v>
      </c>
      <c r="Q1325" s="53" t="s">
        <v>3977</v>
      </c>
      <c r="R1325" s="45">
        <v>410</v>
      </c>
      <c r="S1325" s="53">
        <v>0</v>
      </c>
      <c r="T1325" s="47" t="s">
        <v>198</v>
      </c>
      <c r="U1325" s="48" t="s">
        <v>199</v>
      </c>
      <c r="V1325" s="38"/>
      <c r="W1325" s="48" t="s">
        <v>195</v>
      </c>
      <c r="X1325" s="38" t="s">
        <v>426</v>
      </c>
      <c r="Y1325" s="49" t="s">
        <v>427</v>
      </c>
      <c r="Z1325" s="50" t="s">
        <v>3978</v>
      </c>
      <c r="AA1325" s="38"/>
      <c r="AB1325" s="38"/>
      <c r="AC1325" s="38"/>
      <c r="AD1325" s="51">
        <v>38</v>
      </c>
      <c r="AE1325" s="51">
        <v>38</v>
      </c>
      <c r="AF1325" s="48" t="s">
        <v>203</v>
      </c>
      <c r="AG1325" s="38" t="s">
        <v>204</v>
      </c>
      <c r="AH1325" s="52"/>
      <c r="AI1325" s="38"/>
      <c r="AJ1325" s="38"/>
    </row>
    <row r="1326" spans="1:36" ht="16.2">
      <c r="A1326" s="42" t="s">
        <v>857</v>
      </c>
      <c r="B1326" s="42">
        <v>829659</v>
      </c>
      <c r="C1326" s="42" t="s">
        <v>3974</v>
      </c>
      <c r="D1326" s="42">
        <v>13207704</v>
      </c>
      <c r="E1326" s="43" t="s">
        <v>3975</v>
      </c>
      <c r="F1326" s="42" t="s">
        <v>3979</v>
      </c>
      <c r="G1326" s="42" t="s">
        <v>195</v>
      </c>
      <c r="H1326" s="42"/>
      <c r="I1326" s="42"/>
      <c r="J1326" s="42">
        <v>13207704</v>
      </c>
      <c r="K1326" s="42"/>
      <c r="L1326" s="44">
        <v>45293</v>
      </c>
      <c r="M1326" s="44">
        <v>45293</v>
      </c>
      <c r="N1326" s="42" t="s">
        <v>1152</v>
      </c>
      <c r="O1326" s="42">
        <v>0</v>
      </c>
      <c r="P1326" s="42">
        <v>20010206</v>
      </c>
      <c r="Q1326" s="42" t="s">
        <v>3980</v>
      </c>
      <c r="R1326" s="45">
        <v>410</v>
      </c>
      <c r="S1326" s="42">
        <v>0</v>
      </c>
      <c r="T1326" s="47" t="s">
        <v>198</v>
      </c>
      <c r="U1326" s="48" t="s">
        <v>199</v>
      </c>
      <c r="V1326" s="38"/>
      <c r="W1326" s="48" t="s">
        <v>195</v>
      </c>
      <c r="X1326" s="38" t="s">
        <v>426</v>
      </c>
      <c r="Y1326" s="49" t="s">
        <v>427</v>
      </c>
      <c r="Z1326" s="50" t="s">
        <v>3981</v>
      </c>
      <c r="AA1326" s="38"/>
      <c r="AB1326" s="38"/>
      <c r="AC1326" s="38"/>
      <c r="AD1326" s="51">
        <v>38</v>
      </c>
      <c r="AE1326" s="51">
        <v>38</v>
      </c>
      <c r="AF1326" s="48" t="s">
        <v>203</v>
      </c>
      <c r="AG1326" s="38" t="s">
        <v>204</v>
      </c>
      <c r="AH1326" s="52"/>
      <c r="AI1326" s="38"/>
      <c r="AJ1326" s="38"/>
    </row>
    <row r="1327" spans="1:36" ht="16.2">
      <c r="A1327" s="53" t="s">
        <v>857</v>
      </c>
      <c r="B1327" s="53">
        <v>829659</v>
      </c>
      <c r="C1327" s="53" t="s">
        <v>3974</v>
      </c>
      <c r="D1327" s="53">
        <v>13207704</v>
      </c>
      <c r="E1327" s="54" t="s">
        <v>3975</v>
      </c>
      <c r="F1327" s="53" t="s">
        <v>2759</v>
      </c>
      <c r="G1327" s="53" t="s">
        <v>195</v>
      </c>
      <c r="H1327" s="53"/>
      <c r="I1327" s="53"/>
      <c r="J1327" s="53">
        <v>13207704</v>
      </c>
      <c r="K1327" s="53"/>
      <c r="L1327" s="55">
        <v>45293</v>
      </c>
      <c r="M1327" s="55">
        <v>45293</v>
      </c>
      <c r="N1327" s="53" t="s">
        <v>1152</v>
      </c>
      <c r="O1327" s="53">
        <v>0</v>
      </c>
      <c r="P1327" s="53">
        <v>20010206</v>
      </c>
      <c r="Q1327" s="53" t="s">
        <v>3982</v>
      </c>
      <c r="R1327" s="45">
        <v>410</v>
      </c>
      <c r="S1327" s="53">
        <v>0</v>
      </c>
      <c r="T1327" s="47" t="s">
        <v>198</v>
      </c>
      <c r="U1327" s="48" t="s">
        <v>199</v>
      </c>
      <c r="V1327" s="38"/>
      <c r="W1327" s="48" t="s">
        <v>195</v>
      </c>
      <c r="X1327" s="38" t="s">
        <v>426</v>
      </c>
      <c r="Y1327" s="49" t="s">
        <v>427</v>
      </c>
      <c r="Z1327" s="50" t="s">
        <v>3983</v>
      </c>
      <c r="AA1327" s="38"/>
      <c r="AB1327" s="38"/>
      <c r="AC1327" s="38"/>
      <c r="AD1327" s="51">
        <v>38</v>
      </c>
      <c r="AE1327" s="51">
        <v>38</v>
      </c>
      <c r="AF1327" s="48" t="s">
        <v>203</v>
      </c>
      <c r="AG1327" s="38" t="s">
        <v>204</v>
      </c>
      <c r="AH1327" s="52"/>
      <c r="AI1327" s="38"/>
      <c r="AJ1327" s="38"/>
    </row>
    <row r="1328" spans="1:36" ht="16.2">
      <c r="A1328" s="42" t="s">
        <v>857</v>
      </c>
      <c r="B1328" s="42">
        <v>829659</v>
      </c>
      <c r="C1328" s="42" t="s">
        <v>3974</v>
      </c>
      <c r="D1328" s="42">
        <v>13207704</v>
      </c>
      <c r="E1328" s="43" t="s">
        <v>3975</v>
      </c>
      <c r="F1328" s="42" t="s">
        <v>1184</v>
      </c>
      <c r="G1328" s="42" t="s">
        <v>195</v>
      </c>
      <c r="H1328" s="42"/>
      <c r="I1328" s="42"/>
      <c r="J1328" s="42">
        <v>13207704</v>
      </c>
      <c r="K1328" s="42"/>
      <c r="L1328" s="44">
        <v>45293</v>
      </c>
      <c r="M1328" s="44">
        <v>45293</v>
      </c>
      <c r="N1328" s="42" t="s">
        <v>1152</v>
      </c>
      <c r="O1328" s="42">
        <v>0</v>
      </c>
      <c r="P1328" s="42">
        <v>20010206</v>
      </c>
      <c r="Q1328" s="42" t="s">
        <v>3984</v>
      </c>
      <c r="R1328" s="45">
        <v>410</v>
      </c>
      <c r="S1328" s="42">
        <v>0</v>
      </c>
      <c r="T1328" s="47" t="s">
        <v>198</v>
      </c>
      <c r="U1328" s="48" t="s">
        <v>199</v>
      </c>
      <c r="V1328" s="38"/>
      <c r="W1328" s="48" t="s">
        <v>195</v>
      </c>
      <c r="X1328" s="38" t="s">
        <v>426</v>
      </c>
      <c r="Y1328" s="49" t="s">
        <v>427</v>
      </c>
      <c r="Z1328" s="50" t="s">
        <v>3985</v>
      </c>
      <c r="AA1328" s="38"/>
      <c r="AB1328" s="38"/>
      <c r="AC1328" s="38"/>
      <c r="AD1328" s="51">
        <v>38</v>
      </c>
      <c r="AE1328" s="51">
        <v>38</v>
      </c>
      <c r="AF1328" s="48" t="s">
        <v>203</v>
      </c>
      <c r="AG1328" s="38" t="s">
        <v>204</v>
      </c>
      <c r="AH1328" s="52"/>
      <c r="AI1328" s="38"/>
      <c r="AJ1328" s="38"/>
    </row>
    <row r="1329" spans="1:36" ht="16.2">
      <c r="A1329" s="53" t="s">
        <v>857</v>
      </c>
      <c r="B1329" s="53">
        <v>829659</v>
      </c>
      <c r="C1329" s="53" t="s">
        <v>3974</v>
      </c>
      <c r="D1329" s="53">
        <v>13207704</v>
      </c>
      <c r="E1329" s="54" t="s">
        <v>3975</v>
      </c>
      <c r="F1329" s="53" t="s">
        <v>3986</v>
      </c>
      <c r="G1329" s="53" t="s">
        <v>195</v>
      </c>
      <c r="H1329" s="53"/>
      <c r="I1329" s="53"/>
      <c r="J1329" s="53">
        <v>13207704</v>
      </c>
      <c r="K1329" s="53"/>
      <c r="L1329" s="55">
        <v>45293</v>
      </c>
      <c r="M1329" s="55">
        <v>45293</v>
      </c>
      <c r="N1329" s="53" t="s">
        <v>1152</v>
      </c>
      <c r="O1329" s="53">
        <v>0</v>
      </c>
      <c r="P1329" s="53">
        <v>20010206</v>
      </c>
      <c r="Q1329" s="53" t="s">
        <v>3987</v>
      </c>
      <c r="R1329" s="45">
        <v>410</v>
      </c>
      <c r="S1329" s="53">
        <v>0</v>
      </c>
      <c r="T1329" s="47" t="s">
        <v>198</v>
      </c>
      <c r="U1329" s="48" t="s">
        <v>199</v>
      </c>
      <c r="V1329" s="38"/>
      <c r="W1329" s="48" t="s">
        <v>195</v>
      </c>
      <c r="X1329" s="38" t="s">
        <v>426</v>
      </c>
      <c r="Y1329" s="49" t="s">
        <v>427</v>
      </c>
      <c r="Z1329" s="50" t="s">
        <v>3988</v>
      </c>
      <c r="AA1329" s="38"/>
      <c r="AB1329" s="38"/>
      <c r="AC1329" s="38"/>
      <c r="AD1329" s="51">
        <v>38</v>
      </c>
      <c r="AE1329" s="51">
        <v>38</v>
      </c>
      <c r="AF1329" s="48" t="s">
        <v>203</v>
      </c>
      <c r="AG1329" s="38" t="s">
        <v>204</v>
      </c>
      <c r="AH1329" s="52"/>
      <c r="AI1329" s="38"/>
      <c r="AJ1329" s="38"/>
    </row>
    <row r="1330" spans="1:36" ht="16.2">
      <c r="A1330" s="42" t="s">
        <v>857</v>
      </c>
      <c r="B1330" s="42">
        <v>829659</v>
      </c>
      <c r="C1330" s="42" t="s">
        <v>3974</v>
      </c>
      <c r="D1330" s="42">
        <v>13207704</v>
      </c>
      <c r="E1330" s="43" t="s">
        <v>3975</v>
      </c>
      <c r="F1330" s="42" t="s">
        <v>1155</v>
      </c>
      <c r="G1330" s="42" t="s">
        <v>195</v>
      </c>
      <c r="H1330" s="42"/>
      <c r="I1330" s="42"/>
      <c r="J1330" s="42">
        <v>13207704</v>
      </c>
      <c r="K1330" s="42"/>
      <c r="L1330" s="44">
        <v>45293</v>
      </c>
      <c r="M1330" s="44">
        <v>45293</v>
      </c>
      <c r="N1330" s="42" t="s">
        <v>1152</v>
      </c>
      <c r="O1330" s="42">
        <v>0</v>
      </c>
      <c r="P1330" s="42">
        <v>20010206</v>
      </c>
      <c r="Q1330" s="42" t="s">
        <v>3989</v>
      </c>
      <c r="R1330" s="45">
        <v>410</v>
      </c>
      <c r="S1330" s="42">
        <v>0</v>
      </c>
      <c r="T1330" s="47" t="s">
        <v>198</v>
      </c>
      <c r="U1330" s="48" t="s">
        <v>199</v>
      </c>
      <c r="V1330" s="38"/>
      <c r="W1330" s="48" t="s">
        <v>195</v>
      </c>
      <c r="X1330" s="38" t="s">
        <v>426</v>
      </c>
      <c r="Y1330" s="49" t="s">
        <v>427</v>
      </c>
      <c r="Z1330" s="50" t="s">
        <v>3990</v>
      </c>
      <c r="AA1330" s="38"/>
      <c r="AB1330" s="38"/>
      <c r="AC1330" s="38"/>
      <c r="AD1330" s="51">
        <v>38</v>
      </c>
      <c r="AE1330" s="51">
        <v>38</v>
      </c>
      <c r="AF1330" s="48" t="s">
        <v>203</v>
      </c>
      <c r="AG1330" s="38" t="s">
        <v>204</v>
      </c>
      <c r="AH1330" s="52"/>
      <c r="AI1330" s="38"/>
      <c r="AJ1330" s="38"/>
    </row>
    <row r="1331" spans="1:36" ht="16.2">
      <c r="A1331" s="53" t="s">
        <v>857</v>
      </c>
      <c r="B1331" s="53">
        <v>829659</v>
      </c>
      <c r="C1331" s="53" t="s">
        <v>3974</v>
      </c>
      <c r="D1331" s="53">
        <v>13207704</v>
      </c>
      <c r="E1331" s="54" t="s">
        <v>3975</v>
      </c>
      <c r="F1331" s="53" t="s">
        <v>2789</v>
      </c>
      <c r="G1331" s="53" t="s">
        <v>195</v>
      </c>
      <c r="H1331" s="53"/>
      <c r="I1331" s="53"/>
      <c r="J1331" s="53">
        <v>13207704</v>
      </c>
      <c r="K1331" s="53"/>
      <c r="L1331" s="55">
        <v>45293</v>
      </c>
      <c r="M1331" s="55">
        <v>45293</v>
      </c>
      <c r="N1331" s="53" t="s">
        <v>1152</v>
      </c>
      <c r="O1331" s="53">
        <v>0</v>
      </c>
      <c r="P1331" s="53">
        <v>20010206</v>
      </c>
      <c r="Q1331" s="53" t="s">
        <v>3991</v>
      </c>
      <c r="R1331" s="45">
        <v>410</v>
      </c>
      <c r="S1331" s="53">
        <v>0</v>
      </c>
      <c r="T1331" s="47" t="s">
        <v>198</v>
      </c>
      <c r="U1331" s="48" t="s">
        <v>199</v>
      </c>
      <c r="V1331" s="38"/>
      <c r="W1331" s="48" t="s">
        <v>195</v>
      </c>
      <c r="X1331" s="38" t="s">
        <v>426</v>
      </c>
      <c r="Y1331" s="49" t="s">
        <v>427</v>
      </c>
      <c r="Z1331" s="50" t="s">
        <v>3992</v>
      </c>
      <c r="AA1331" s="38"/>
      <c r="AB1331" s="38"/>
      <c r="AC1331" s="38"/>
      <c r="AD1331" s="51">
        <v>38</v>
      </c>
      <c r="AE1331" s="51">
        <v>38</v>
      </c>
      <c r="AF1331" s="48" t="s">
        <v>203</v>
      </c>
      <c r="AG1331" s="38" t="s">
        <v>204</v>
      </c>
      <c r="AH1331" s="52"/>
      <c r="AI1331" s="38"/>
      <c r="AJ1331" s="38"/>
    </row>
    <row r="1332" spans="1:36" ht="16.2">
      <c r="A1332" s="42" t="s">
        <v>857</v>
      </c>
      <c r="B1332" s="42">
        <v>829659</v>
      </c>
      <c r="C1332" s="42" t="s">
        <v>3974</v>
      </c>
      <c r="D1332" s="42">
        <v>13207704</v>
      </c>
      <c r="E1332" s="43" t="s">
        <v>3975</v>
      </c>
      <c r="F1332" s="42" t="s">
        <v>2766</v>
      </c>
      <c r="G1332" s="42" t="s">
        <v>195</v>
      </c>
      <c r="H1332" s="42"/>
      <c r="I1332" s="42"/>
      <c r="J1332" s="42">
        <v>13207704</v>
      </c>
      <c r="K1332" s="42"/>
      <c r="L1332" s="44">
        <v>45293</v>
      </c>
      <c r="M1332" s="44">
        <v>45293</v>
      </c>
      <c r="N1332" s="42" t="s">
        <v>1152</v>
      </c>
      <c r="O1332" s="42">
        <v>0</v>
      </c>
      <c r="P1332" s="42">
        <v>20010206</v>
      </c>
      <c r="Q1332" s="42" t="s">
        <v>3993</v>
      </c>
      <c r="R1332" s="45">
        <v>410</v>
      </c>
      <c r="S1332" s="42">
        <v>0</v>
      </c>
      <c r="T1332" s="47" t="s">
        <v>198</v>
      </c>
      <c r="U1332" s="48" t="s">
        <v>199</v>
      </c>
      <c r="V1332" s="38"/>
      <c r="W1332" s="48" t="s">
        <v>195</v>
      </c>
      <c r="X1332" s="38" t="s">
        <v>426</v>
      </c>
      <c r="Y1332" s="49" t="s">
        <v>427</v>
      </c>
      <c r="Z1332" s="50" t="s">
        <v>3994</v>
      </c>
      <c r="AA1332" s="38"/>
      <c r="AB1332" s="38"/>
      <c r="AC1332" s="38"/>
      <c r="AD1332" s="51">
        <v>38</v>
      </c>
      <c r="AE1332" s="51">
        <v>38</v>
      </c>
      <c r="AF1332" s="48" t="s">
        <v>203</v>
      </c>
      <c r="AG1332" s="38" t="s">
        <v>204</v>
      </c>
      <c r="AH1332" s="52"/>
      <c r="AI1332" s="38"/>
      <c r="AJ1332" s="38"/>
    </row>
    <row r="1333" spans="1:36" ht="16.2">
      <c r="A1333" s="53" t="s">
        <v>857</v>
      </c>
      <c r="B1333" s="53">
        <v>829659</v>
      </c>
      <c r="C1333" s="53" t="s">
        <v>3974</v>
      </c>
      <c r="D1333" s="53">
        <v>13207704</v>
      </c>
      <c r="E1333" s="54" t="s">
        <v>3975</v>
      </c>
      <c r="F1333" s="53" t="s">
        <v>235</v>
      </c>
      <c r="G1333" s="53" t="s">
        <v>195</v>
      </c>
      <c r="H1333" s="53"/>
      <c r="I1333" s="53"/>
      <c r="J1333" s="53">
        <v>13207704</v>
      </c>
      <c r="K1333" s="53"/>
      <c r="L1333" s="55">
        <v>45293</v>
      </c>
      <c r="M1333" s="55">
        <v>45293</v>
      </c>
      <c r="N1333" s="53" t="s">
        <v>1152</v>
      </c>
      <c r="O1333" s="53">
        <v>0</v>
      </c>
      <c r="P1333" s="53">
        <v>20010206</v>
      </c>
      <c r="Q1333" s="53" t="s">
        <v>3995</v>
      </c>
      <c r="R1333" s="45">
        <v>410</v>
      </c>
      <c r="S1333" s="53">
        <v>0</v>
      </c>
      <c r="T1333" s="47" t="s">
        <v>198</v>
      </c>
      <c r="U1333" s="48" t="s">
        <v>199</v>
      </c>
      <c r="V1333" s="38"/>
      <c r="W1333" s="48" t="s">
        <v>195</v>
      </c>
      <c r="X1333" s="38" t="s">
        <v>426</v>
      </c>
      <c r="Y1333" s="49" t="s">
        <v>427</v>
      </c>
      <c r="Z1333" s="50" t="s">
        <v>3996</v>
      </c>
      <c r="AA1333" s="38"/>
      <c r="AB1333" s="38"/>
      <c r="AC1333" s="38"/>
      <c r="AD1333" s="51">
        <v>38</v>
      </c>
      <c r="AE1333" s="51">
        <v>38</v>
      </c>
      <c r="AF1333" s="48" t="s">
        <v>203</v>
      </c>
      <c r="AG1333" s="38" t="s">
        <v>204</v>
      </c>
      <c r="AH1333" s="52"/>
      <c r="AI1333" s="38"/>
      <c r="AJ1333" s="38"/>
    </row>
    <row r="1334" spans="1:36" ht="16.2">
      <c r="A1334" s="42" t="s">
        <v>191</v>
      </c>
      <c r="B1334" s="42">
        <v>829612</v>
      </c>
      <c r="C1334" s="42" t="s">
        <v>3997</v>
      </c>
      <c r="D1334" s="42">
        <v>13207725</v>
      </c>
      <c r="E1334" s="43" t="s">
        <v>3998</v>
      </c>
      <c r="F1334" s="42" t="s">
        <v>3999</v>
      </c>
      <c r="G1334" s="42" t="s">
        <v>195</v>
      </c>
      <c r="H1334" s="42"/>
      <c r="I1334" s="42"/>
      <c r="J1334" s="42">
        <v>13207725</v>
      </c>
      <c r="K1334" s="42"/>
      <c r="L1334" s="44">
        <v>45293</v>
      </c>
      <c r="M1334" s="44">
        <v>45293</v>
      </c>
      <c r="N1334" s="42" t="s">
        <v>4000</v>
      </c>
      <c r="O1334" s="42">
        <v>0</v>
      </c>
      <c r="P1334" s="42">
        <v>20076328</v>
      </c>
      <c r="Q1334" s="42" t="s">
        <v>4001</v>
      </c>
      <c r="R1334" s="45">
        <v>410</v>
      </c>
      <c r="S1334" s="42">
        <v>0</v>
      </c>
      <c r="T1334" s="47" t="s">
        <v>198</v>
      </c>
      <c r="U1334" s="48" t="s">
        <v>199</v>
      </c>
      <c r="V1334" s="38"/>
      <c r="W1334" s="48" t="s">
        <v>195</v>
      </c>
      <c r="X1334" s="38" t="s">
        <v>200</v>
      </c>
      <c r="Y1334" s="49" t="s">
        <v>201</v>
      </c>
      <c r="Z1334" s="50" t="s">
        <v>4002</v>
      </c>
      <c r="AA1334" s="38"/>
      <c r="AB1334" s="38"/>
      <c r="AC1334" s="38"/>
      <c r="AD1334" s="51">
        <v>9</v>
      </c>
      <c r="AE1334" s="51">
        <v>9</v>
      </c>
      <c r="AF1334" s="48" t="s">
        <v>203</v>
      </c>
      <c r="AG1334" s="38" t="s">
        <v>204</v>
      </c>
      <c r="AH1334" s="52"/>
      <c r="AI1334" s="38"/>
      <c r="AJ1334" s="38"/>
    </row>
    <row r="1335" spans="1:36" ht="16.2">
      <c r="A1335" s="53" t="s">
        <v>191</v>
      </c>
      <c r="B1335" s="53">
        <v>829612</v>
      </c>
      <c r="C1335" s="53" t="s">
        <v>3997</v>
      </c>
      <c r="D1335" s="53">
        <v>13207725</v>
      </c>
      <c r="E1335" s="54" t="s">
        <v>3998</v>
      </c>
      <c r="F1335" s="53" t="s">
        <v>4003</v>
      </c>
      <c r="G1335" s="53" t="s">
        <v>195</v>
      </c>
      <c r="H1335" s="53"/>
      <c r="I1335" s="53"/>
      <c r="J1335" s="53">
        <v>13207725</v>
      </c>
      <c r="K1335" s="53"/>
      <c r="L1335" s="55">
        <v>45293</v>
      </c>
      <c r="M1335" s="55">
        <v>45293</v>
      </c>
      <c r="N1335" s="53" t="s">
        <v>4000</v>
      </c>
      <c r="O1335" s="53">
        <v>0</v>
      </c>
      <c r="P1335" s="53">
        <v>20076328</v>
      </c>
      <c r="Q1335" s="53" t="s">
        <v>4004</v>
      </c>
      <c r="R1335" s="45">
        <v>410</v>
      </c>
      <c r="S1335" s="53">
        <v>0</v>
      </c>
      <c r="T1335" s="47" t="s">
        <v>198</v>
      </c>
      <c r="U1335" s="48" t="s">
        <v>199</v>
      </c>
      <c r="V1335" s="38"/>
      <c r="W1335" s="48" t="s">
        <v>195</v>
      </c>
      <c r="X1335" s="38" t="s">
        <v>200</v>
      </c>
      <c r="Y1335" s="49" t="s">
        <v>201</v>
      </c>
      <c r="Z1335" s="50" t="s">
        <v>4005</v>
      </c>
      <c r="AA1335" s="38"/>
      <c r="AB1335" s="38"/>
      <c r="AC1335" s="38"/>
      <c r="AD1335" s="51">
        <v>9</v>
      </c>
      <c r="AE1335" s="51">
        <v>9</v>
      </c>
      <c r="AF1335" s="48" t="s">
        <v>203</v>
      </c>
      <c r="AG1335" s="38" t="s">
        <v>204</v>
      </c>
      <c r="AH1335" s="52"/>
      <c r="AI1335" s="38"/>
      <c r="AJ1335" s="38"/>
    </row>
    <row r="1336" spans="1:36" ht="16.2">
      <c r="A1336" s="42" t="s">
        <v>191</v>
      </c>
      <c r="B1336" s="42">
        <v>829612</v>
      </c>
      <c r="C1336" s="42" t="s">
        <v>3997</v>
      </c>
      <c r="D1336" s="42">
        <v>13207725</v>
      </c>
      <c r="E1336" s="43" t="s">
        <v>3998</v>
      </c>
      <c r="F1336" s="42" t="s">
        <v>4006</v>
      </c>
      <c r="G1336" s="42" t="s">
        <v>195</v>
      </c>
      <c r="H1336" s="42"/>
      <c r="I1336" s="42"/>
      <c r="J1336" s="42">
        <v>13207725</v>
      </c>
      <c r="K1336" s="42"/>
      <c r="L1336" s="44">
        <v>45293</v>
      </c>
      <c r="M1336" s="44">
        <v>45293</v>
      </c>
      <c r="N1336" s="42" t="s">
        <v>4000</v>
      </c>
      <c r="O1336" s="42">
        <v>0</v>
      </c>
      <c r="P1336" s="42">
        <v>20076328</v>
      </c>
      <c r="Q1336" s="42" t="s">
        <v>4007</v>
      </c>
      <c r="R1336" s="45">
        <v>410</v>
      </c>
      <c r="S1336" s="42">
        <v>0</v>
      </c>
      <c r="T1336" s="47" t="s">
        <v>198</v>
      </c>
      <c r="U1336" s="48" t="s">
        <v>199</v>
      </c>
      <c r="V1336" s="38"/>
      <c r="W1336" s="48" t="s">
        <v>195</v>
      </c>
      <c r="X1336" s="38" t="s">
        <v>200</v>
      </c>
      <c r="Y1336" s="49" t="s">
        <v>201</v>
      </c>
      <c r="Z1336" s="50" t="s">
        <v>4008</v>
      </c>
      <c r="AA1336" s="38"/>
      <c r="AB1336" s="38"/>
      <c r="AC1336" s="38"/>
      <c r="AD1336" s="51">
        <v>9</v>
      </c>
      <c r="AE1336" s="51">
        <v>9</v>
      </c>
      <c r="AF1336" s="48" t="s">
        <v>203</v>
      </c>
      <c r="AG1336" s="38" t="s">
        <v>204</v>
      </c>
      <c r="AH1336" s="52"/>
      <c r="AI1336" s="38"/>
      <c r="AJ1336" s="38"/>
    </row>
    <row r="1337" spans="1:36" ht="16.2">
      <c r="A1337" s="53" t="s">
        <v>191</v>
      </c>
      <c r="B1337" s="53">
        <v>829612</v>
      </c>
      <c r="C1337" s="53" t="s">
        <v>3997</v>
      </c>
      <c r="D1337" s="53">
        <v>13207725</v>
      </c>
      <c r="E1337" s="54" t="s">
        <v>3998</v>
      </c>
      <c r="F1337" s="53" t="s">
        <v>4009</v>
      </c>
      <c r="G1337" s="53" t="s">
        <v>195</v>
      </c>
      <c r="H1337" s="53"/>
      <c r="I1337" s="53"/>
      <c r="J1337" s="53">
        <v>13207725</v>
      </c>
      <c r="K1337" s="53"/>
      <c r="L1337" s="55">
        <v>45293</v>
      </c>
      <c r="M1337" s="55">
        <v>45293</v>
      </c>
      <c r="N1337" s="53" t="s">
        <v>4000</v>
      </c>
      <c r="O1337" s="53">
        <v>0</v>
      </c>
      <c r="P1337" s="53">
        <v>20076328</v>
      </c>
      <c r="Q1337" s="53" t="s">
        <v>4010</v>
      </c>
      <c r="R1337" s="45">
        <v>410</v>
      </c>
      <c r="S1337" s="53">
        <v>0</v>
      </c>
      <c r="T1337" s="47" t="s">
        <v>198</v>
      </c>
      <c r="U1337" s="48" t="s">
        <v>199</v>
      </c>
      <c r="V1337" s="38"/>
      <c r="W1337" s="48" t="s">
        <v>195</v>
      </c>
      <c r="X1337" s="38" t="s">
        <v>200</v>
      </c>
      <c r="Y1337" s="49" t="s">
        <v>201</v>
      </c>
      <c r="Z1337" s="50" t="s">
        <v>4011</v>
      </c>
      <c r="AA1337" s="38"/>
      <c r="AB1337" s="38"/>
      <c r="AC1337" s="38"/>
      <c r="AD1337" s="51">
        <v>9</v>
      </c>
      <c r="AE1337" s="51">
        <v>9</v>
      </c>
      <c r="AF1337" s="48" t="s">
        <v>203</v>
      </c>
      <c r="AG1337" s="38" t="s">
        <v>204</v>
      </c>
      <c r="AH1337" s="52"/>
      <c r="AI1337" s="38"/>
      <c r="AJ1337" s="38"/>
    </row>
    <row r="1338" spans="1:36" ht="16.2">
      <c r="A1338" s="42" t="s">
        <v>191</v>
      </c>
      <c r="B1338" s="42">
        <v>829612</v>
      </c>
      <c r="C1338" s="42" t="s">
        <v>3997</v>
      </c>
      <c r="D1338" s="42">
        <v>13207725</v>
      </c>
      <c r="E1338" s="43" t="s">
        <v>3998</v>
      </c>
      <c r="F1338" s="42" t="s">
        <v>4012</v>
      </c>
      <c r="G1338" s="42" t="s">
        <v>195</v>
      </c>
      <c r="H1338" s="42"/>
      <c r="I1338" s="42"/>
      <c r="J1338" s="42">
        <v>13207725</v>
      </c>
      <c r="K1338" s="42"/>
      <c r="L1338" s="44">
        <v>45293</v>
      </c>
      <c r="M1338" s="44">
        <v>45293</v>
      </c>
      <c r="N1338" s="42" t="s">
        <v>4000</v>
      </c>
      <c r="O1338" s="42">
        <v>0</v>
      </c>
      <c r="P1338" s="42">
        <v>20076328</v>
      </c>
      <c r="Q1338" s="42" t="s">
        <v>4013</v>
      </c>
      <c r="R1338" s="45">
        <v>410</v>
      </c>
      <c r="S1338" s="42">
        <v>0</v>
      </c>
      <c r="T1338" s="47" t="s">
        <v>198</v>
      </c>
      <c r="U1338" s="48" t="s">
        <v>199</v>
      </c>
      <c r="V1338" s="38"/>
      <c r="W1338" s="48" t="s">
        <v>195</v>
      </c>
      <c r="X1338" s="38" t="s">
        <v>200</v>
      </c>
      <c r="Y1338" s="49" t="s">
        <v>201</v>
      </c>
      <c r="Z1338" s="50" t="s">
        <v>4014</v>
      </c>
      <c r="AA1338" s="38"/>
      <c r="AB1338" s="38"/>
      <c r="AC1338" s="38"/>
      <c r="AD1338" s="51">
        <v>9</v>
      </c>
      <c r="AE1338" s="51">
        <v>9</v>
      </c>
      <c r="AF1338" s="48" t="s">
        <v>203</v>
      </c>
      <c r="AG1338" s="38" t="s">
        <v>204</v>
      </c>
      <c r="AH1338" s="52"/>
      <c r="AI1338" s="38"/>
      <c r="AJ1338" s="38"/>
    </row>
    <row r="1339" spans="1:36" ht="16.2">
      <c r="A1339" s="53" t="s">
        <v>191</v>
      </c>
      <c r="B1339" s="53">
        <v>829612</v>
      </c>
      <c r="C1339" s="53" t="s">
        <v>3997</v>
      </c>
      <c r="D1339" s="53">
        <v>13207725</v>
      </c>
      <c r="E1339" s="54" t="s">
        <v>3998</v>
      </c>
      <c r="F1339" s="53" t="s">
        <v>211</v>
      </c>
      <c r="G1339" s="53" t="s">
        <v>195</v>
      </c>
      <c r="H1339" s="53"/>
      <c r="I1339" s="53"/>
      <c r="J1339" s="53">
        <v>13207725</v>
      </c>
      <c r="K1339" s="53"/>
      <c r="L1339" s="55">
        <v>45293</v>
      </c>
      <c r="M1339" s="55">
        <v>45293</v>
      </c>
      <c r="N1339" s="53" t="s">
        <v>4000</v>
      </c>
      <c r="O1339" s="53">
        <v>0</v>
      </c>
      <c r="P1339" s="53">
        <v>20076328</v>
      </c>
      <c r="Q1339" s="53" t="s">
        <v>4015</v>
      </c>
      <c r="R1339" s="45">
        <v>410</v>
      </c>
      <c r="S1339" s="53">
        <v>0</v>
      </c>
      <c r="T1339" s="47" t="s">
        <v>198</v>
      </c>
      <c r="U1339" s="48" t="s">
        <v>199</v>
      </c>
      <c r="V1339" s="38"/>
      <c r="W1339" s="48" t="s">
        <v>195</v>
      </c>
      <c r="X1339" s="38" t="s">
        <v>200</v>
      </c>
      <c r="Y1339" s="49" t="s">
        <v>201</v>
      </c>
      <c r="Z1339" s="50" t="s">
        <v>4016</v>
      </c>
      <c r="AA1339" s="38"/>
      <c r="AB1339" s="38"/>
      <c r="AC1339" s="38"/>
      <c r="AD1339" s="51">
        <v>9</v>
      </c>
      <c r="AE1339" s="51">
        <v>9</v>
      </c>
      <c r="AF1339" s="48" t="s">
        <v>203</v>
      </c>
      <c r="AG1339" s="38" t="s">
        <v>204</v>
      </c>
      <c r="AH1339" s="52"/>
      <c r="AI1339" s="38"/>
      <c r="AJ1339" s="38"/>
    </row>
    <row r="1340" spans="1:36" ht="16.2">
      <c r="A1340" s="42" t="s">
        <v>191</v>
      </c>
      <c r="B1340" s="42">
        <v>829612</v>
      </c>
      <c r="C1340" s="42" t="s">
        <v>3997</v>
      </c>
      <c r="D1340" s="42">
        <v>13207725</v>
      </c>
      <c r="E1340" s="43" t="s">
        <v>3998</v>
      </c>
      <c r="F1340" s="42" t="s">
        <v>4017</v>
      </c>
      <c r="G1340" s="42" t="s">
        <v>195</v>
      </c>
      <c r="H1340" s="42" t="s">
        <v>4018</v>
      </c>
      <c r="I1340" s="42">
        <v>5068621375</v>
      </c>
      <c r="J1340" s="42">
        <v>13207725</v>
      </c>
      <c r="K1340" s="42"/>
      <c r="L1340" s="44">
        <v>45293</v>
      </c>
      <c r="M1340" s="44">
        <v>45293</v>
      </c>
      <c r="N1340" s="42" t="s">
        <v>4000</v>
      </c>
      <c r="O1340" s="42">
        <v>0</v>
      </c>
      <c r="P1340" s="42">
        <v>20076328</v>
      </c>
      <c r="Q1340" s="42" t="s">
        <v>4019</v>
      </c>
      <c r="R1340" s="45">
        <v>410</v>
      </c>
      <c r="S1340" s="42">
        <v>0</v>
      </c>
      <c r="T1340" s="47" t="s">
        <v>198</v>
      </c>
      <c r="U1340" s="48" t="s">
        <v>199</v>
      </c>
      <c r="V1340" s="38"/>
      <c r="W1340" s="48" t="s">
        <v>195</v>
      </c>
      <c r="X1340" s="38" t="s">
        <v>200</v>
      </c>
      <c r="Y1340" s="49" t="s">
        <v>201</v>
      </c>
      <c r="Z1340" s="50" t="s">
        <v>4020</v>
      </c>
      <c r="AA1340" s="47" t="s">
        <v>4021</v>
      </c>
      <c r="AB1340" s="38"/>
      <c r="AC1340" s="38"/>
      <c r="AD1340" s="51">
        <v>9</v>
      </c>
      <c r="AE1340" s="51">
        <v>9</v>
      </c>
      <c r="AF1340" s="48" t="s">
        <v>203</v>
      </c>
      <c r="AG1340" s="38" t="s">
        <v>204</v>
      </c>
      <c r="AH1340" s="52"/>
      <c r="AI1340" s="38"/>
      <c r="AJ1340" s="38"/>
    </row>
    <row r="1341" spans="1:36" ht="16.2">
      <c r="A1341" s="53" t="s">
        <v>191</v>
      </c>
      <c r="B1341" s="53">
        <v>829612</v>
      </c>
      <c r="C1341" s="53" t="s">
        <v>3997</v>
      </c>
      <c r="D1341" s="53">
        <v>13207725</v>
      </c>
      <c r="E1341" s="54" t="s">
        <v>3998</v>
      </c>
      <c r="F1341" s="53" t="s">
        <v>4022</v>
      </c>
      <c r="G1341" s="53" t="s">
        <v>195</v>
      </c>
      <c r="H1341" s="53"/>
      <c r="I1341" s="53"/>
      <c r="J1341" s="53">
        <v>13207725</v>
      </c>
      <c r="K1341" s="53"/>
      <c r="L1341" s="55">
        <v>45293</v>
      </c>
      <c r="M1341" s="55">
        <v>45293</v>
      </c>
      <c r="N1341" s="53" t="s">
        <v>4000</v>
      </c>
      <c r="O1341" s="53">
        <v>0</v>
      </c>
      <c r="P1341" s="53">
        <v>20076328</v>
      </c>
      <c r="Q1341" s="53" t="s">
        <v>4023</v>
      </c>
      <c r="R1341" s="45">
        <v>410</v>
      </c>
      <c r="S1341" s="53">
        <v>0</v>
      </c>
      <c r="T1341" s="47" t="s">
        <v>198</v>
      </c>
      <c r="U1341" s="48" t="s">
        <v>199</v>
      </c>
      <c r="V1341" s="38"/>
      <c r="W1341" s="48" t="s">
        <v>195</v>
      </c>
      <c r="X1341" s="38" t="s">
        <v>200</v>
      </c>
      <c r="Y1341" s="49" t="s">
        <v>201</v>
      </c>
      <c r="Z1341" s="50" t="s">
        <v>4024</v>
      </c>
      <c r="AA1341" s="38"/>
      <c r="AB1341" s="38"/>
      <c r="AC1341" s="38"/>
      <c r="AD1341" s="51">
        <v>9</v>
      </c>
      <c r="AE1341" s="51">
        <v>9</v>
      </c>
      <c r="AF1341" s="48" t="s">
        <v>203</v>
      </c>
      <c r="AG1341" s="38" t="s">
        <v>204</v>
      </c>
      <c r="AH1341" s="52"/>
      <c r="AI1341" s="38"/>
      <c r="AJ1341" s="38"/>
    </row>
    <row r="1342" spans="1:36" ht="16.2">
      <c r="A1342" s="42" t="s">
        <v>191</v>
      </c>
      <c r="B1342" s="42">
        <v>829612</v>
      </c>
      <c r="C1342" s="42" t="s">
        <v>3997</v>
      </c>
      <c r="D1342" s="42">
        <v>13207725</v>
      </c>
      <c r="E1342" s="43" t="s">
        <v>3998</v>
      </c>
      <c r="F1342" s="42" t="s">
        <v>235</v>
      </c>
      <c r="G1342" s="42" t="s">
        <v>195</v>
      </c>
      <c r="H1342" s="42"/>
      <c r="I1342" s="42"/>
      <c r="J1342" s="42">
        <v>13207725</v>
      </c>
      <c r="K1342" s="42"/>
      <c r="L1342" s="44">
        <v>45293</v>
      </c>
      <c r="M1342" s="44">
        <v>45293</v>
      </c>
      <c r="N1342" s="42" t="s">
        <v>4000</v>
      </c>
      <c r="O1342" s="42">
        <v>0</v>
      </c>
      <c r="P1342" s="42">
        <v>20076328</v>
      </c>
      <c r="Q1342" s="42" t="s">
        <v>4025</v>
      </c>
      <c r="R1342" s="45">
        <v>410</v>
      </c>
      <c r="S1342" s="42">
        <v>0</v>
      </c>
      <c r="T1342" s="47" t="s">
        <v>198</v>
      </c>
      <c r="U1342" s="48" t="s">
        <v>199</v>
      </c>
      <c r="V1342" s="38"/>
      <c r="W1342" s="48" t="s">
        <v>195</v>
      </c>
      <c r="X1342" s="38" t="s">
        <v>200</v>
      </c>
      <c r="Y1342" s="49" t="s">
        <v>201</v>
      </c>
      <c r="Z1342" s="50" t="s">
        <v>4026</v>
      </c>
      <c r="AA1342" s="38"/>
      <c r="AB1342" s="38"/>
      <c r="AC1342" s="38"/>
      <c r="AD1342" s="51">
        <v>9</v>
      </c>
      <c r="AE1342" s="51">
        <v>9</v>
      </c>
      <c r="AF1342" s="48" t="s">
        <v>203</v>
      </c>
      <c r="AG1342" s="38" t="s">
        <v>204</v>
      </c>
      <c r="AH1342" s="52"/>
      <c r="AI1342" s="38"/>
      <c r="AJ1342" s="38"/>
    </row>
    <row r="1343" spans="1:36" ht="16.2">
      <c r="A1343" s="53" t="s">
        <v>191</v>
      </c>
      <c r="B1343" s="53">
        <v>829614</v>
      </c>
      <c r="C1343" s="53" t="s">
        <v>4027</v>
      </c>
      <c r="D1343" s="53">
        <v>13207726</v>
      </c>
      <c r="E1343" s="54" t="s">
        <v>4028</v>
      </c>
      <c r="F1343" s="53" t="s">
        <v>4029</v>
      </c>
      <c r="G1343" s="53" t="s">
        <v>195</v>
      </c>
      <c r="H1343" s="53"/>
      <c r="I1343" s="53"/>
      <c r="J1343" s="53">
        <v>13207726</v>
      </c>
      <c r="K1343" s="53"/>
      <c r="L1343" s="55">
        <v>45293</v>
      </c>
      <c r="M1343" s="55">
        <v>45293</v>
      </c>
      <c r="N1343" s="53" t="s">
        <v>4030</v>
      </c>
      <c r="O1343" s="53">
        <v>0</v>
      </c>
      <c r="P1343" s="53">
        <v>20080769</v>
      </c>
      <c r="Q1343" s="53" t="s">
        <v>4031</v>
      </c>
      <c r="R1343" s="45">
        <v>410</v>
      </c>
      <c r="S1343" s="53">
        <v>0</v>
      </c>
      <c r="T1343" s="47" t="s">
        <v>198</v>
      </c>
      <c r="U1343" s="48" t="s">
        <v>199</v>
      </c>
      <c r="V1343" s="38"/>
      <c r="W1343" s="48" t="s">
        <v>195</v>
      </c>
      <c r="X1343" s="38" t="s">
        <v>200</v>
      </c>
      <c r="Y1343" s="49" t="s">
        <v>201</v>
      </c>
      <c r="Z1343" s="50" t="s">
        <v>4032</v>
      </c>
      <c r="AA1343" s="38"/>
      <c r="AB1343" s="38"/>
      <c r="AC1343" s="38"/>
      <c r="AD1343" s="51">
        <v>14</v>
      </c>
      <c r="AE1343" s="51">
        <v>14</v>
      </c>
      <c r="AF1343" s="48" t="s">
        <v>203</v>
      </c>
      <c r="AG1343" s="38" t="s">
        <v>204</v>
      </c>
      <c r="AH1343" s="52"/>
      <c r="AI1343" s="38"/>
      <c r="AJ1343" s="38"/>
    </row>
    <row r="1344" spans="1:36" ht="16.2">
      <c r="A1344" s="42" t="s">
        <v>191</v>
      </c>
      <c r="B1344" s="42">
        <v>829614</v>
      </c>
      <c r="C1344" s="42" t="s">
        <v>4027</v>
      </c>
      <c r="D1344" s="42">
        <v>13207726</v>
      </c>
      <c r="E1344" s="43" t="s">
        <v>4028</v>
      </c>
      <c r="F1344" s="42" t="s">
        <v>4033</v>
      </c>
      <c r="G1344" s="42" t="s">
        <v>195</v>
      </c>
      <c r="H1344" s="42"/>
      <c r="I1344" s="42"/>
      <c r="J1344" s="42">
        <v>13207726</v>
      </c>
      <c r="K1344" s="42"/>
      <c r="L1344" s="44">
        <v>45293</v>
      </c>
      <c r="M1344" s="44">
        <v>45293</v>
      </c>
      <c r="N1344" s="42" t="s">
        <v>4030</v>
      </c>
      <c r="O1344" s="42">
        <v>0</v>
      </c>
      <c r="P1344" s="42">
        <v>20080769</v>
      </c>
      <c r="Q1344" s="42" t="s">
        <v>4034</v>
      </c>
      <c r="R1344" s="45">
        <v>410</v>
      </c>
      <c r="S1344" s="42">
        <v>0</v>
      </c>
      <c r="T1344" s="47" t="s">
        <v>198</v>
      </c>
      <c r="U1344" s="48" t="s">
        <v>199</v>
      </c>
      <c r="V1344" s="38"/>
      <c r="W1344" s="48" t="s">
        <v>195</v>
      </c>
      <c r="X1344" s="38" t="s">
        <v>200</v>
      </c>
      <c r="Y1344" s="49" t="s">
        <v>201</v>
      </c>
      <c r="Z1344" s="50" t="s">
        <v>4035</v>
      </c>
      <c r="AA1344" s="38"/>
      <c r="AB1344" s="38"/>
      <c r="AC1344" s="38"/>
      <c r="AD1344" s="51">
        <v>14</v>
      </c>
      <c r="AE1344" s="51">
        <v>14</v>
      </c>
      <c r="AF1344" s="48" t="s">
        <v>203</v>
      </c>
      <c r="AG1344" s="38" t="s">
        <v>204</v>
      </c>
      <c r="AH1344" s="52"/>
      <c r="AI1344" s="38"/>
      <c r="AJ1344" s="38"/>
    </row>
    <row r="1345" spans="1:36" ht="16.2">
      <c r="A1345" s="53" t="s">
        <v>191</v>
      </c>
      <c r="B1345" s="53">
        <v>829614</v>
      </c>
      <c r="C1345" s="53" t="s">
        <v>4027</v>
      </c>
      <c r="D1345" s="53">
        <v>13207726</v>
      </c>
      <c r="E1345" s="54" t="s">
        <v>4028</v>
      </c>
      <c r="F1345" s="53" t="s">
        <v>4036</v>
      </c>
      <c r="G1345" s="53" t="s">
        <v>195</v>
      </c>
      <c r="H1345" s="53"/>
      <c r="I1345" s="53"/>
      <c r="J1345" s="53">
        <v>13207726</v>
      </c>
      <c r="K1345" s="53"/>
      <c r="L1345" s="55">
        <v>45293</v>
      </c>
      <c r="M1345" s="55">
        <v>45293</v>
      </c>
      <c r="N1345" s="53" t="s">
        <v>4030</v>
      </c>
      <c r="O1345" s="53">
        <v>0</v>
      </c>
      <c r="P1345" s="53">
        <v>20080769</v>
      </c>
      <c r="Q1345" s="53" t="s">
        <v>4037</v>
      </c>
      <c r="R1345" s="45">
        <v>410</v>
      </c>
      <c r="S1345" s="53">
        <v>0</v>
      </c>
      <c r="T1345" s="47" t="s">
        <v>198</v>
      </c>
      <c r="U1345" s="48" t="s">
        <v>199</v>
      </c>
      <c r="V1345" s="38"/>
      <c r="W1345" s="48" t="s">
        <v>195</v>
      </c>
      <c r="X1345" s="38" t="s">
        <v>200</v>
      </c>
      <c r="Y1345" s="49" t="s">
        <v>201</v>
      </c>
      <c r="Z1345" s="50" t="s">
        <v>4038</v>
      </c>
      <c r="AA1345" s="38"/>
      <c r="AB1345" s="38"/>
      <c r="AC1345" s="38"/>
      <c r="AD1345" s="51">
        <v>14</v>
      </c>
      <c r="AE1345" s="51">
        <v>14</v>
      </c>
      <c r="AF1345" s="48" t="s">
        <v>203</v>
      </c>
      <c r="AG1345" s="38" t="s">
        <v>204</v>
      </c>
      <c r="AH1345" s="52"/>
      <c r="AI1345" s="38"/>
      <c r="AJ1345" s="38"/>
    </row>
    <row r="1346" spans="1:36" ht="16.2">
      <c r="A1346" s="42" t="s">
        <v>191</v>
      </c>
      <c r="B1346" s="42">
        <v>829614</v>
      </c>
      <c r="C1346" s="42" t="s">
        <v>4027</v>
      </c>
      <c r="D1346" s="42">
        <v>13207726</v>
      </c>
      <c r="E1346" s="43" t="s">
        <v>4028</v>
      </c>
      <c r="F1346" s="42" t="s">
        <v>4039</v>
      </c>
      <c r="G1346" s="42" t="s">
        <v>195</v>
      </c>
      <c r="H1346" s="42"/>
      <c r="I1346" s="42"/>
      <c r="J1346" s="42">
        <v>13207726</v>
      </c>
      <c r="K1346" s="42"/>
      <c r="L1346" s="44">
        <v>45293</v>
      </c>
      <c r="M1346" s="44">
        <v>45293</v>
      </c>
      <c r="N1346" s="42" t="s">
        <v>4030</v>
      </c>
      <c r="O1346" s="42">
        <v>0</v>
      </c>
      <c r="P1346" s="42">
        <v>20080769</v>
      </c>
      <c r="Q1346" s="42" t="s">
        <v>4040</v>
      </c>
      <c r="R1346" s="45">
        <v>410</v>
      </c>
      <c r="S1346" s="42">
        <v>0</v>
      </c>
      <c r="T1346" s="47" t="s">
        <v>198</v>
      </c>
      <c r="U1346" s="48" t="s">
        <v>199</v>
      </c>
      <c r="V1346" s="38"/>
      <c r="W1346" s="48" t="s">
        <v>195</v>
      </c>
      <c r="X1346" s="38" t="s">
        <v>200</v>
      </c>
      <c r="Y1346" s="49" t="s">
        <v>201</v>
      </c>
      <c r="Z1346" s="50" t="s">
        <v>4041</v>
      </c>
      <c r="AA1346" s="38"/>
      <c r="AB1346" s="38"/>
      <c r="AC1346" s="38"/>
      <c r="AD1346" s="51">
        <v>14</v>
      </c>
      <c r="AE1346" s="51">
        <v>14</v>
      </c>
      <c r="AF1346" s="48" t="s">
        <v>203</v>
      </c>
      <c r="AG1346" s="38" t="s">
        <v>204</v>
      </c>
      <c r="AH1346" s="52"/>
      <c r="AI1346" s="38"/>
      <c r="AJ1346" s="38"/>
    </row>
    <row r="1347" spans="1:36" ht="16.2">
      <c r="A1347" s="53" t="s">
        <v>191</v>
      </c>
      <c r="B1347" s="53">
        <v>829614</v>
      </c>
      <c r="C1347" s="53" t="s">
        <v>4027</v>
      </c>
      <c r="D1347" s="53">
        <v>13207726</v>
      </c>
      <c r="E1347" s="54" t="s">
        <v>4028</v>
      </c>
      <c r="F1347" s="53" t="s">
        <v>4042</v>
      </c>
      <c r="G1347" s="53" t="s">
        <v>195</v>
      </c>
      <c r="H1347" s="53"/>
      <c r="I1347" s="53"/>
      <c r="J1347" s="53">
        <v>13207726</v>
      </c>
      <c r="K1347" s="53"/>
      <c r="L1347" s="55">
        <v>45293</v>
      </c>
      <c r="M1347" s="55">
        <v>45293</v>
      </c>
      <c r="N1347" s="53" t="s">
        <v>4030</v>
      </c>
      <c r="O1347" s="53">
        <v>0</v>
      </c>
      <c r="P1347" s="53">
        <v>20080769</v>
      </c>
      <c r="Q1347" s="53" t="s">
        <v>4043</v>
      </c>
      <c r="R1347" s="45">
        <v>410</v>
      </c>
      <c r="S1347" s="53">
        <v>0</v>
      </c>
      <c r="T1347" s="47" t="s">
        <v>198</v>
      </c>
      <c r="U1347" s="48" t="s">
        <v>199</v>
      </c>
      <c r="V1347" s="38"/>
      <c r="W1347" s="48" t="s">
        <v>195</v>
      </c>
      <c r="X1347" s="38" t="s">
        <v>200</v>
      </c>
      <c r="Y1347" s="49" t="s">
        <v>201</v>
      </c>
      <c r="Z1347" s="50" t="s">
        <v>4044</v>
      </c>
      <c r="AA1347" s="38"/>
      <c r="AB1347" s="38"/>
      <c r="AC1347" s="38"/>
      <c r="AD1347" s="51">
        <v>14</v>
      </c>
      <c r="AE1347" s="51">
        <v>14</v>
      </c>
      <c r="AF1347" s="48" t="s">
        <v>203</v>
      </c>
      <c r="AG1347" s="38" t="s">
        <v>204</v>
      </c>
      <c r="AH1347" s="52"/>
      <c r="AI1347" s="38"/>
      <c r="AJ1347" s="38"/>
    </row>
    <row r="1348" spans="1:36" ht="16.2">
      <c r="A1348" s="42" t="s">
        <v>191</v>
      </c>
      <c r="B1348" s="42">
        <v>829614</v>
      </c>
      <c r="C1348" s="42" t="s">
        <v>4027</v>
      </c>
      <c r="D1348" s="42">
        <v>13207726</v>
      </c>
      <c r="E1348" s="43" t="s">
        <v>4028</v>
      </c>
      <c r="F1348" s="42" t="s">
        <v>211</v>
      </c>
      <c r="G1348" s="42" t="s">
        <v>195</v>
      </c>
      <c r="H1348" s="42"/>
      <c r="I1348" s="42"/>
      <c r="J1348" s="42">
        <v>13207726</v>
      </c>
      <c r="K1348" s="42"/>
      <c r="L1348" s="44">
        <v>45293</v>
      </c>
      <c r="M1348" s="44">
        <v>45293</v>
      </c>
      <c r="N1348" s="42" t="s">
        <v>4030</v>
      </c>
      <c r="O1348" s="42">
        <v>0</v>
      </c>
      <c r="P1348" s="42">
        <v>20080769</v>
      </c>
      <c r="Q1348" s="42" t="s">
        <v>4045</v>
      </c>
      <c r="R1348" s="45">
        <v>410</v>
      </c>
      <c r="S1348" s="42">
        <v>0</v>
      </c>
      <c r="T1348" s="47" t="s">
        <v>198</v>
      </c>
      <c r="U1348" s="48" t="s">
        <v>199</v>
      </c>
      <c r="V1348" s="38"/>
      <c r="W1348" s="48" t="s">
        <v>195</v>
      </c>
      <c r="X1348" s="38" t="s">
        <v>200</v>
      </c>
      <c r="Y1348" s="49" t="s">
        <v>201</v>
      </c>
      <c r="Z1348" s="50" t="s">
        <v>4046</v>
      </c>
      <c r="AA1348" s="38"/>
      <c r="AB1348" s="38"/>
      <c r="AC1348" s="38"/>
      <c r="AD1348" s="51">
        <v>14</v>
      </c>
      <c r="AE1348" s="51">
        <v>14</v>
      </c>
      <c r="AF1348" s="48" t="s">
        <v>203</v>
      </c>
      <c r="AG1348" s="38" t="s">
        <v>204</v>
      </c>
      <c r="AH1348" s="52"/>
      <c r="AI1348" s="38"/>
      <c r="AJ1348" s="38"/>
    </row>
    <row r="1349" spans="1:36" ht="16.2">
      <c r="A1349" s="53" t="s">
        <v>191</v>
      </c>
      <c r="B1349" s="53">
        <v>829614</v>
      </c>
      <c r="C1349" s="53" t="s">
        <v>4027</v>
      </c>
      <c r="D1349" s="53">
        <v>13207726</v>
      </c>
      <c r="E1349" s="54" t="s">
        <v>4028</v>
      </c>
      <c r="F1349" s="53" t="s">
        <v>4047</v>
      </c>
      <c r="G1349" s="53" t="s">
        <v>195</v>
      </c>
      <c r="H1349" s="53"/>
      <c r="I1349" s="53"/>
      <c r="J1349" s="53">
        <v>13207726</v>
      </c>
      <c r="K1349" s="53"/>
      <c r="L1349" s="55">
        <v>45293</v>
      </c>
      <c r="M1349" s="55">
        <v>45293</v>
      </c>
      <c r="N1349" s="53" t="s">
        <v>4030</v>
      </c>
      <c r="O1349" s="53">
        <v>0</v>
      </c>
      <c r="P1349" s="53">
        <v>20080769</v>
      </c>
      <c r="Q1349" s="53" t="s">
        <v>4048</v>
      </c>
      <c r="R1349" s="45">
        <v>410</v>
      </c>
      <c r="S1349" s="53">
        <v>0</v>
      </c>
      <c r="T1349" s="47" t="s">
        <v>198</v>
      </c>
      <c r="U1349" s="48" t="s">
        <v>199</v>
      </c>
      <c r="V1349" s="38"/>
      <c r="W1349" s="48" t="s">
        <v>195</v>
      </c>
      <c r="X1349" s="38" t="s">
        <v>200</v>
      </c>
      <c r="Y1349" s="49" t="s">
        <v>201</v>
      </c>
      <c r="Z1349" s="50" t="s">
        <v>4049</v>
      </c>
      <c r="AA1349" s="38"/>
      <c r="AB1349" s="38"/>
      <c r="AC1349" s="38"/>
      <c r="AD1349" s="51">
        <v>14</v>
      </c>
      <c r="AE1349" s="51">
        <v>14</v>
      </c>
      <c r="AF1349" s="48" t="s">
        <v>203</v>
      </c>
      <c r="AG1349" s="38" t="s">
        <v>204</v>
      </c>
      <c r="AH1349" s="52"/>
      <c r="AI1349" s="38"/>
      <c r="AJ1349" s="38"/>
    </row>
    <row r="1350" spans="1:36" ht="16.2">
      <c r="A1350" s="42" t="s">
        <v>191</v>
      </c>
      <c r="B1350" s="42">
        <v>829614</v>
      </c>
      <c r="C1350" s="42" t="s">
        <v>4027</v>
      </c>
      <c r="D1350" s="42">
        <v>13207726</v>
      </c>
      <c r="E1350" s="43" t="s">
        <v>4028</v>
      </c>
      <c r="F1350" s="42" t="s">
        <v>235</v>
      </c>
      <c r="G1350" s="42" t="s">
        <v>195</v>
      </c>
      <c r="H1350" s="42" t="s">
        <v>4050</v>
      </c>
      <c r="I1350" s="42"/>
      <c r="J1350" s="42">
        <v>13207726</v>
      </c>
      <c r="K1350" s="42"/>
      <c r="L1350" s="44">
        <v>45293</v>
      </c>
      <c r="M1350" s="44">
        <v>45293</v>
      </c>
      <c r="N1350" s="42" t="s">
        <v>4030</v>
      </c>
      <c r="O1350" s="42">
        <v>0</v>
      </c>
      <c r="P1350" s="42">
        <v>20080769</v>
      </c>
      <c r="Q1350" s="42" t="s">
        <v>4051</v>
      </c>
      <c r="R1350" s="45">
        <v>410</v>
      </c>
      <c r="S1350" s="42">
        <v>0</v>
      </c>
      <c r="T1350" s="47" t="s">
        <v>198</v>
      </c>
      <c r="U1350" s="48" t="s">
        <v>199</v>
      </c>
      <c r="V1350" s="38"/>
      <c r="W1350" s="48" t="s">
        <v>195</v>
      </c>
      <c r="X1350" s="38" t="s">
        <v>200</v>
      </c>
      <c r="Y1350" s="49" t="s">
        <v>201</v>
      </c>
      <c r="Z1350" s="50" t="s">
        <v>4052</v>
      </c>
      <c r="AA1350" s="47" t="s">
        <v>4053</v>
      </c>
      <c r="AB1350" s="47" t="s">
        <v>4054</v>
      </c>
      <c r="AC1350" s="38"/>
      <c r="AD1350" s="51">
        <v>14</v>
      </c>
      <c r="AE1350" s="51">
        <v>14</v>
      </c>
      <c r="AF1350" s="48" t="s">
        <v>203</v>
      </c>
      <c r="AG1350" s="38" t="s">
        <v>204</v>
      </c>
      <c r="AH1350" s="52"/>
      <c r="AI1350" s="38"/>
      <c r="AJ1350" s="38"/>
    </row>
    <row r="1351" spans="1:36" ht="16.2">
      <c r="A1351" s="53" t="s">
        <v>191</v>
      </c>
      <c r="B1351" s="53">
        <v>829614</v>
      </c>
      <c r="C1351" s="53" t="s">
        <v>4027</v>
      </c>
      <c r="D1351" s="53">
        <v>13207726</v>
      </c>
      <c r="E1351" s="54" t="s">
        <v>4028</v>
      </c>
      <c r="F1351" s="53" t="s">
        <v>4055</v>
      </c>
      <c r="G1351" s="53" t="s">
        <v>195</v>
      </c>
      <c r="H1351" s="53" t="s">
        <v>4056</v>
      </c>
      <c r="I1351" s="53"/>
      <c r="J1351" s="53">
        <v>13207726</v>
      </c>
      <c r="K1351" s="53"/>
      <c r="L1351" s="55">
        <v>45293</v>
      </c>
      <c r="M1351" s="55">
        <v>45293</v>
      </c>
      <c r="N1351" s="53" t="s">
        <v>4030</v>
      </c>
      <c r="O1351" s="53">
        <v>0</v>
      </c>
      <c r="P1351" s="53">
        <v>20080769</v>
      </c>
      <c r="Q1351" s="53" t="s">
        <v>4057</v>
      </c>
      <c r="R1351" s="45">
        <v>410</v>
      </c>
      <c r="S1351" s="53">
        <v>0</v>
      </c>
      <c r="T1351" s="47" t="s">
        <v>198</v>
      </c>
      <c r="U1351" s="48" t="s">
        <v>199</v>
      </c>
      <c r="V1351" s="38"/>
      <c r="W1351" s="48" t="s">
        <v>195</v>
      </c>
      <c r="X1351" s="38" t="s">
        <v>200</v>
      </c>
      <c r="Y1351" s="49" t="s">
        <v>201</v>
      </c>
      <c r="Z1351" s="50" t="s">
        <v>4058</v>
      </c>
      <c r="AA1351" s="47" t="s">
        <v>4059</v>
      </c>
      <c r="AB1351" s="47" t="s">
        <v>4060</v>
      </c>
      <c r="AC1351" s="38"/>
      <c r="AD1351" s="51">
        <v>14</v>
      </c>
      <c r="AE1351" s="51">
        <v>14</v>
      </c>
      <c r="AF1351" s="48" t="s">
        <v>203</v>
      </c>
      <c r="AG1351" s="38" t="s">
        <v>204</v>
      </c>
      <c r="AH1351" s="52"/>
      <c r="AI1351" s="38"/>
      <c r="AJ1351" s="38"/>
    </row>
    <row r="1352" spans="1:36" ht="16.2">
      <c r="A1352" s="42" t="s">
        <v>191</v>
      </c>
      <c r="B1352" s="42">
        <v>829614</v>
      </c>
      <c r="C1352" s="42" t="s">
        <v>4027</v>
      </c>
      <c r="D1352" s="42">
        <v>13207726</v>
      </c>
      <c r="E1352" s="43" t="s">
        <v>4028</v>
      </c>
      <c r="F1352" s="42" t="s">
        <v>4061</v>
      </c>
      <c r="G1352" s="42" t="s">
        <v>195</v>
      </c>
      <c r="H1352" s="42"/>
      <c r="I1352" s="42"/>
      <c r="J1352" s="42">
        <v>13207726</v>
      </c>
      <c r="K1352" s="42"/>
      <c r="L1352" s="44">
        <v>45293</v>
      </c>
      <c r="M1352" s="44">
        <v>45293</v>
      </c>
      <c r="N1352" s="42" t="s">
        <v>4030</v>
      </c>
      <c r="O1352" s="42">
        <v>0</v>
      </c>
      <c r="P1352" s="42">
        <v>20080769</v>
      </c>
      <c r="Q1352" s="42" t="s">
        <v>4062</v>
      </c>
      <c r="R1352" s="45">
        <v>410</v>
      </c>
      <c r="S1352" s="42">
        <v>0</v>
      </c>
      <c r="T1352" s="47" t="s">
        <v>198</v>
      </c>
      <c r="U1352" s="48" t="s">
        <v>199</v>
      </c>
      <c r="V1352" s="38"/>
      <c r="W1352" s="48" t="s">
        <v>195</v>
      </c>
      <c r="X1352" s="38" t="s">
        <v>200</v>
      </c>
      <c r="Y1352" s="49" t="s">
        <v>201</v>
      </c>
      <c r="Z1352" s="50" t="s">
        <v>4063</v>
      </c>
      <c r="AA1352" s="38"/>
      <c r="AB1352" s="38"/>
      <c r="AC1352" s="38"/>
      <c r="AD1352" s="51">
        <v>14</v>
      </c>
      <c r="AE1352" s="51">
        <v>14</v>
      </c>
      <c r="AF1352" s="48" t="s">
        <v>203</v>
      </c>
      <c r="AG1352" s="38" t="s">
        <v>204</v>
      </c>
      <c r="AH1352" s="52"/>
      <c r="AI1352" s="38"/>
      <c r="AJ1352" s="38"/>
    </row>
    <row r="1353" spans="1:36" ht="16.2">
      <c r="A1353" s="53" t="s">
        <v>191</v>
      </c>
      <c r="B1353" s="53">
        <v>829614</v>
      </c>
      <c r="C1353" s="53" t="s">
        <v>4027</v>
      </c>
      <c r="D1353" s="53">
        <v>13207726</v>
      </c>
      <c r="E1353" s="54" t="s">
        <v>4028</v>
      </c>
      <c r="F1353" s="53" t="s">
        <v>4064</v>
      </c>
      <c r="G1353" s="53" t="s">
        <v>195</v>
      </c>
      <c r="H1353" s="53"/>
      <c r="I1353" s="53"/>
      <c r="J1353" s="53">
        <v>13207726</v>
      </c>
      <c r="K1353" s="53"/>
      <c r="L1353" s="55">
        <v>45293</v>
      </c>
      <c r="M1353" s="55">
        <v>45293</v>
      </c>
      <c r="N1353" s="53" t="s">
        <v>4030</v>
      </c>
      <c r="O1353" s="53">
        <v>0</v>
      </c>
      <c r="P1353" s="53">
        <v>20080769</v>
      </c>
      <c r="Q1353" s="53" t="s">
        <v>4065</v>
      </c>
      <c r="R1353" s="45">
        <v>410</v>
      </c>
      <c r="S1353" s="53">
        <v>0</v>
      </c>
      <c r="T1353" s="47" t="s">
        <v>198</v>
      </c>
      <c r="U1353" s="48" t="s">
        <v>199</v>
      </c>
      <c r="V1353" s="38"/>
      <c r="W1353" s="48" t="s">
        <v>195</v>
      </c>
      <c r="X1353" s="38" t="s">
        <v>200</v>
      </c>
      <c r="Y1353" s="49" t="s">
        <v>201</v>
      </c>
      <c r="Z1353" s="50" t="s">
        <v>4066</v>
      </c>
      <c r="AA1353" s="38"/>
      <c r="AB1353" s="38"/>
      <c r="AC1353" s="38"/>
      <c r="AD1353" s="51">
        <v>14</v>
      </c>
      <c r="AE1353" s="51">
        <v>14</v>
      </c>
      <c r="AF1353" s="48" t="s">
        <v>203</v>
      </c>
      <c r="AG1353" s="38" t="s">
        <v>204</v>
      </c>
      <c r="AH1353" s="52"/>
      <c r="AI1353" s="38"/>
      <c r="AJ1353" s="38"/>
    </row>
    <row r="1354" spans="1:36" ht="16.2">
      <c r="A1354" s="42" t="s">
        <v>191</v>
      </c>
      <c r="B1354" s="42">
        <v>829614</v>
      </c>
      <c r="C1354" s="42" t="s">
        <v>4027</v>
      </c>
      <c r="D1354" s="42">
        <v>13207726</v>
      </c>
      <c r="E1354" s="43" t="s">
        <v>4028</v>
      </c>
      <c r="F1354" s="42" t="s">
        <v>4067</v>
      </c>
      <c r="G1354" s="42" t="s">
        <v>195</v>
      </c>
      <c r="H1354" s="42"/>
      <c r="I1354" s="42"/>
      <c r="J1354" s="42">
        <v>13207726</v>
      </c>
      <c r="K1354" s="42"/>
      <c r="L1354" s="44">
        <v>45293</v>
      </c>
      <c r="M1354" s="44">
        <v>45293</v>
      </c>
      <c r="N1354" s="42" t="s">
        <v>4030</v>
      </c>
      <c r="O1354" s="42">
        <v>0</v>
      </c>
      <c r="P1354" s="42">
        <v>20080769</v>
      </c>
      <c r="Q1354" s="42" t="s">
        <v>4068</v>
      </c>
      <c r="R1354" s="45">
        <v>410</v>
      </c>
      <c r="S1354" s="42">
        <v>0</v>
      </c>
      <c r="T1354" s="47" t="s">
        <v>198</v>
      </c>
      <c r="U1354" s="48" t="s">
        <v>199</v>
      </c>
      <c r="V1354" s="38"/>
      <c r="W1354" s="48" t="s">
        <v>195</v>
      </c>
      <c r="X1354" s="38" t="s">
        <v>200</v>
      </c>
      <c r="Y1354" s="49" t="s">
        <v>201</v>
      </c>
      <c r="Z1354" s="50" t="s">
        <v>4069</v>
      </c>
      <c r="AA1354" s="38"/>
      <c r="AB1354" s="38"/>
      <c r="AC1354" s="38"/>
      <c r="AD1354" s="51">
        <v>14</v>
      </c>
      <c r="AE1354" s="51">
        <v>14</v>
      </c>
      <c r="AF1354" s="48" t="s">
        <v>203</v>
      </c>
      <c r="AG1354" s="38" t="s">
        <v>204</v>
      </c>
      <c r="AH1354" s="52"/>
      <c r="AI1354" s="38"/>
      <c r="AJ1354" s="38"/>
    </row>
    <row r="1355" spans="1:36" ht="16.2">
      <c r="A1355" s="53" t="s">
        <v>191</v>
      </c>
      <c r="B1355" s="53">
        <v>829614</v>
      </c>
      <c r="C1355" s="53" t="s">
        <v>4027</v>
      </c>
      <c r="D1355" s="53">
        <v>13207726</v>
      </c>
      <c r="E1355" s="54" t="s">
        <v>4028</v>
      </c>
      <c r="F1355" s="53" t="s">
        <v>4070</v>
      </c>
      <c r="G1355" s="53" t="s">
        <v>195</v>
      </c>
      <c r="H1355" s="53"/>
      <c r="I1355" s="53"/>
      <c r="J1355" s="53">
        <v>13207726</v>
      </c>
      <c r="K1355" s="53"/>
      <c r="L1355" s="55">
        <v>45293</v>
      </c>
      <c r="M1355" s="55">
        <v>45293</v>
      </c>
      <c r="N1355" s="53" t="s">
        <v>4030</v>
      </c>
      <c r="O1355" s="53">
        <v>0</v>
      </c>
      <c r="P1355" s="53">
        <v>20080769</v>
      </c>
      <c r="Q1355" s="53" t="s">
        <v>4071</v>
      </c>
      <c r="R1355" s="45">
        <v>410</v>
      </c>
      <c r="S1355" s="53">
        <v>0</v>
      </c>
      <c r="T1355" s="47" t="s">
        <v>198</v>
      </c>
      <c r="U1355" s="48" t="s">
        <v>199</v>
      </c>
      <c r="V1355" s="38"/>
      <c r="W1355" s="48" t="s">
        <v>195</v>
      </c>
      <c r="X1355" s="38" t="s">
        <v>200</v>
      </c>
      <c r="Y1355" s="49" t="s">
        <v>201</v>
      </c>
      <c r="Z1355" s="50" t="s">
        <v>4072</v>
      </c>
      <c r="AA1355" s="38"/>
      <c r="AB1355" s="38"/>
      <c r="AC1355" s="38"/>
      <c r="AD1355" s="51">
        <v>14</v>
      </c>
      <c r="AE1355" s="51">
        <v>14</v>
      </c>
      <c r="AF1355" s="48" t="s">
        <v>203</v>
      </c>
      <c r="AG1355" s="38" t="s">
        <v>204</v>
      </c>
      <c r="AH1355" s="52"/>
      <c r="AI1355" s="38"/>
      <c r="AJ1355" s="38"/>
    </row>
    <row r="1356" spans="1:36" ht="16.2">
      <c r="A1356" s="42" t="s">
        <v>191</v>
      </c>
      <c r="B1356" s="42">
        <v>829614</v>
      </c>
      <c r="C1356" s="42" t="s">
        <v>4027</v>
      </c>
      <c r="D1356" s="42">
        <v>13207726</v>
      </c>
      <c r="E1356" s="43" t="s">
        <v>4028</v>
      </c>
      <c r="F1356" s="42" t="s">
        <v>4073</v>
      </c>
      <c r="G1356" s="42" t="s">
        <v>195</v>
      </c>
      <c r="H1356" s="42"/>
      <c r="I1356" s="42"/>
      <c r="J1356" s="42">
        <v>13207726</v>
      </c>
      <c r="K1356" s="42"/>
      <c r="L1356" s="44">
        <v>45293</v>
      </c>
      <c r="M1356" s="44">
        <v>45293</v>
      </c>
      <c r="N1356" s="42" t="s">
        <v>4030</v>
      </c>
      <c r="O1356" s="42">
        <v>0</v>
      </c>
      <c r="P1356" s="42">
        <v>20080769</v>
      </c>
      <c r="Q1356" s="42" t="s">
        <v>4074</v>
      </c>
      <c r="R1356" s="45">
        <v>410</v>
      </c>
      <c r="S1356" s="42">
        <v>0</v>
      </c>
      <c r="T1356" s="47" t="s">
        <v>198</v>
      </c>
      <c r="U1356" s="48" t="s">
        <v>199</v>
      </c>
      <c r="V1356" s="38"/>
      <c r="W1356" s="48" t="s">
        <v>195</v>
      </c>
      <c r="X1356" s="38" t="s">
        <v>200</v>
      </c>
      <c r="Y1356" s="49" t="s">
        <v>201</v>
      </c>
      <c r="Z1356" s="50" t="s">
        <v>4075</v>
      </c>
      <c r="AA1356" s="38"/>
      <c r="AB1356" s="38"/>
      <c r="AC1356" s="38"/>
      <c r="AD1356" s="51">
        <v>14</v>
      </c>
      <c r="AE1356" s="51">
        <v>14</v>
      </c>
      <c r="AF1356" s="48" t="s">
        <v>203</v>
      </c>
      <c r="AG1356" s="38" t="s">
        <v>204</v>
      </c>
      <c r="AH1356" s="52"/>
      <c r="AI1356" s="38"/>
      <c r="AJ1356" s="38"/>
    </row>
    <row r="1357" spans="1:36" ht="16.2">
      <c r="A1357" s="53" t="s">
        <v>857</v>
      </c>
      <c r="B1357" s="53">
        <v>829667</v>
      </c>
      <c r="C1357" s="53" t="s">
        <v>4027</v>
      </c>
      <c r="D1357" s="53">
        <v>13207705</v>
      </c>
      <c r="E1357" s="54" t="s">
        <v>4028</v>
      </c>
      <c r="F1357" s="53" t="s">
        <v>3976</v>
      </c>
      <c r="G1357" s="53" t="s">
        <v>195</v>
      </c>
      <c r="H1357" s="53"/>
      <c r="I1357" s="53"/>
      <c r="J1357" s="53">
        <v>13207705</v>
      </c>
      <c r="K1357" s="53"/>
      <c r="L1357" s="58">
        <v>45293</v>
      </c>
      <c r="M1357" s="58">
        <v>45293</v>
      </c>
      <c r="N1357" s="53" t="s">
        <v>1654</v>
      </c>
      <c r="O1357" s="53">
        <v>0</v>
      </c>
      <c r="P1357" s="53">
        <v>20009942</v>
      </c>
      <c r="Q1357" s="53" t="s">
        <v>4076</v>
      </c>
      <c r="R1357" s="45">
        <v>410</v>
      </c>
      <c r="S1357" s="53">
        <v>0</v>
      </c>
      <c r="T1357" s="47" t="s">
        <v>198</v>
      </c>
      <c r="U1357" s="48" t="s">
        <v>199</v>
      </c>
      <c r="V1357" s="38"/>
      <c r="W1357" s="48" t="s">
        <v>195</v>
      </c>
      <c r="X1357" s="38" t="s">
        <v>426</v>
      </c>
      <c r="Y1357" s="49" t="s">
        <v>427</v>
      </c>
      <c r="Z1357" s="50" t="s">
        <v>4077</v>
      </c>
      <c r="AA1357" s="38"/>
      <c r="AB1357" s="38"/>
      <c r="AC1357" s="38"/>
      <c r="AD1357" s="51">
        <v>21</v>
      </c>
      <c r="AE1357" s="51">
        <v>21</v>
      </c>
      <c r="AF1357" s="48" t="s">
        <v>203</v>
      </c>
      <c r="AG1357" s="38" t="s">
        <v>204</v>
      </c>
      <c r="AH1357" s="52"/>
      <c r="AI1357" s="38"/>
      <c r="AJ1357" s="38"/>
    </row>
    <row r="1358" spans="1:36" ht="16.2">
      <c r="A1358" s="42" t="s">
        <v>857</v>
      </c>
      <c r="B1358" s="42">
        <v>829667</v>
      </c>
      <c r="C1358" s="42" t="s">
        <v>4027</v>
      </c>
      <c r="D1358" s="42">
        <v>13207705</v>
      </c>
      <c r="E1358" s="43" t="s">
        <v>4028</v>
      </c>
      <c r="F1358" s="42" t="s">
        <v>2759</v>
      </c>
      <c r="G1358" s="42" t="s">
        <v>195</v>
      </c>
      <c r="H1358" s="42"/>
      <c r="I1358" s="42"/>
      <c r="J1358" s="42">
        <v>13207705</v>
      </c>
      <c r="K1358" s="42"/>
      <c r="L1358" s="57">
        <v>45293</v>
      </c>
      <c r="M1358" s="57">
        <v>45293</v>
      </c>
      <c r="N1358" s="42" t="s">
        <v>1654</v>
      </c>
      <c r="O1358" s="42">
        <v>0</v>
      </c>
      <c r="P1358" s="42">
        <v>20009942</v>
      </c>
      <c r="Q1358" s="42" t="s">
        <v>4078</v>
      </c>
      <c r="R1358" s="45">
        <v>410</v>
      </c>
      <c r="S1358" s="42">
        <v>0</v>
      </c>
      <c r="T1358" s="47" t="s">
        <v>198</v>
      </c>
      <c r="U1358" s="48" t="s">
        <v>199</v>
      </c>
      <c r="V1358" s="38"/>
      <c r="W1358" s="48" t="s">
        <v>195</v>
      </c>
      <c r="X1358" s="38" t="s">
        <v>426</v>
      </c>
      <c r="Y1358" s="49" t="s">
        <v>427</v>
      </c>
      <c r="Z1358" s="50" t="s">
        <v>4079</v>
      </c>
      <c r="AA1358" s="38"/>
      <c r="AB1358" s="38"/>
      <c r="AC1358" s="38"/>
      <c r="AD1358" s="51">
        <v>21</v>
      </c>
      <c r="AE1358" s="51">
        <v>21</v>
      </c>
      <c r="AF1358" s="48" t="s">
        <v>203</v>
      </c>
      <c r="AG1358" s="38" t="s">
        <v>204</v>
      </c>
      <c r="AH1358" s="52"/>
      <c r="AI1358" s="38"/>
      <c r="AJ1358" s="38"/>
    </row>
    <row r="1359" spans="1:36" ht="16.2">
      <c r="A1359" s="53" t="s">
        <v>857</v>
      </c>
      <c r="B1359" s="53">
        <v>829667</v>
      </c>
      <c r="C1359" s="53" t="s">
        <v>4027</v>
      </c>
      <c r="D1359" s="53">
        <v>13207705</v>
      </c>
      <c r="E1359" s="54" t="s">
        <v>4028</v>
      </c>
      <c r="F1359" s="53" t="s">
        <v>3986</v>
      </c>
      <c r="G1359" s="53" t="s">
        <v>195</v>
      </c>
      <c r="H1359" s="53"/>
      <c r="I1359" s="53"/>
      <c r="J1359" s="53">
        <v>13207705</v>
      </c>
      <c r="K1359" s="53"/>
      <c r="L1359" s="58">
        <v>45293</v>
      </c>
      <c r="M1359" s="58">
        <v>45293</v>
      </c>
      <c r="N1359" s="53" t="s">
        <v>1654</v>
      </c>
      <c r="O1359" s="53">
        <v>0</v>
      </c>
      <c r="P1359" s="53">
        <v>20009942</v>
      </c>
      <c r="Q1359" s="53" t="s">
        <v>4080</v>
      </c>
      <c r="R1359" s="45">
        <v>410</v>
      </c>
      <c r="S1359" s="53">
        <v>0</v>
      </c>
      <c r="T1359" s="47" t="s">
        <v>198</v>
      </c>
      <c r="U1359" s="48" t="s">
        <v>199</v>
      </c>
      <c r="V1359" s="38"/>
      <c r="W1359" s="48" t="s">
        <v>195</v>
      </c>
      <c r="X1359" s="38" t="s">
        <v>426</v>
      </c>
      <c r="Y1359" s="49" t="s">
        <v>427</v>
      </c>
      <c r="Z1359" s="50" t="s">
        <v>4081</v>
      </c>
      <c r="AA1359" s="38"/>
      <c r="AB1359" s="38"/>
      <c r="AC1359" s="38"/>
      <c r="AD1359" s="51">
        <v>21</v>
      </c>
      <c r="AE1359" s="51">
        <v>21</v>
      </c>
      <c r="AF1359" s="48" t="s">
        <v>203</v>
      </c>
      <c r="AG1359" s="38" t="s">
        <v>204</v>
      </c>
      <c r="AH1359" s="52"/>
      <c r="AI1359" s="38"/>
      <c r="AJ1359" s="38"/>
    </row>
    <row r="1360" spans="1:36" ht="16.2">
      <c r="A1360" s="42" t="s">
        <v>857</v>
      </c>
      <c r="B1360" s="42">
        <v>829667</v>
      </c>
      <c r="C1360" s="42" t="s">
        <v>4027</v>
      </c>
      <c r="D1360" s="42">
        <v>13207705</v>
      </c>
      <c r="E1360" s="43" t="s">
        <v>4028</v>
      </c>
      <c r="F1360" s="42" t="s">
        <v>1155</v>
      </c>
      <c r="G1360" s="42" t="s">
        <v>195</v>
      </c>
      <c r="H1360" s="42"/>
      <c r="I1360" s="42"/>
      <c r="J1360" s="42">
        <v>13207705</v>
      </c>
      <c r="K1360" s="42"/>
      <c r="L1360" s="57">
        <v>45293</v>
      </c>
      <c r="M1360" s="57">
        <v>45293</v>
      </c>
      <c r="N1360" s="42" t="s">
        <v>1654</v>
      </c>
      <c r="O1360" s="42">
        <v>0</v>
      </c>
      <c r="P1360" s="42">
        <v>20009942</v>
      </c>
      <c r="Q1360" s="42" t="s">
        <v>4082</v>
      </c>
      <c r="R1360" s="45">
        <v>410</v>
      </c>
      <c r="S1360" s="42">
        <v>0</v>
      </c>
      <c r="T1360" s="47" t="s">
        <v>198</v>
      </c>
      <c r="U1360" s="48" t="s">
        <v>199</v>
      </c>
      <c r="V1360" s="38"/>
      <c r="W1360" s="48" t="s">
        <v>195</v>
      </c>
      <c r="X1360" s="38" t="s">
        <v>426</v>
      </c>
      <c r="Y1360" s="49" t="s">
        <v>427</v>
      </c>
      <c r="Z1360" s="50" t="s">
        <v>4083</v>
      </c>
      <c r="AA1360" s="38"/>
      <c r="AB1360" s="38"/>
      <c r="AC1360" s="38"/>
      <c r="AD1360" s="51">
        <v>21</v>
      </c>
      <c r="AE1360" s="51">
        <v>21</v>
      </c>
      <c r="AF1360" s="48" t="s">
        <v>203</v>
      </c>
      <c r="AG1360" s="38" t="s">
        <v>204</v>
      </c>
      <c r="AH1360" s="52"/>
      <c r="AI1360" s="38"/>
      <c r="AJ1360" s="38"/>
    </row>
    <row r="1361" spans="1:36" ht="16.2">
      <c r="A1361" s="53" t="s">
        <v>857</v>
      </c>
      <c r="B1361" s="53">
        <v>829667</v>
      </c>
      <c r="C1361" s="53" t="s">
        <v>4027</v>
      </c>
      <c r="D1361" s="53">
        <v>13207705</v>
      </c>
      <c r="E1361" s="54" t="s">
        <v>4028</v>
      </c>
      <c r="F1361" s="53" t="s">
        <v>2789</v>
      </c>
      <c r="G1361" s="53" t="s">
        <v>195</v>
      </c>
      <c r="H1361" s="53"/>
      <c r="I1361" s="53"/>
      <c r="J1361" s="53">
        <v>13207705</v>
      </c>
      <c r="K1361" s="53"/>
      <c r="L1361" s="58">
        <v>45293</v>
      </c>
      <c r="M1361" s="58">
        <v>45293</v>
      </c>
      <c r="N1361" s="53" t="s">
        <v>1654</v>
      </c>
      <c r="O1361" s="53">
        <v>0</v>
      </c>
      <c r="P1361" s="53">
        <v>20009942</v>
      </c>
      <c r="Q1361" s="53" t="s">
        <v>4084</v>
      </c>
      <c r="R1361" s="45">
        <v>410</v>
      </c>
      <c r="S1361" s="53">
        <v>0</v>
      </c>
      <c r="T1361" s="47" t="s">
        <v>198</v>
      </c>
      <c r="U1361" s="48" t="s">
        <v>199</v>
      </c>
      <c r="V1361" s="38"/>
      <c r="W1361" s="48" t="s">
        <v>195</v>
      </c>
      <c r="X1361" s="38" t="s">
        <v>426</v>
      </c>
      <c r="Y1361" s="49" t="s">
        <v>427</v>
      </c>
      <c r="Z1361" s="50" t="s">
        <v>4085</v>
      </c>
      <c r="AA1361" s="38"/>
      <c r="AB1361" s="38"/>
      <c r="AC1361" s="38"/>
      <c r="AD1361" s="51">
        <v>21</v>
      </c>
      <c r="AE1361" s="51">
        <v>21</v>
      </c>
      <c r="AF1361" s="48" t="s">
        <v>203</v>
      </c>
      <c r="AG1361" s="38" t="s">
        <v>204</v>
      </c>
      <c r="AH1361" s="52"/>
      <c r="AI1361" s="38"/>
      <c r="AJ1361" s="38"/>
    </row>
    <row r="1362" spans="1:36" ht="16.2">
      <c r="A1362" s="42" t="s">
        <v>857</v>
      </c>
      <c r="B1362" s="42">
        <v>829667</v>
      </c>
      <c r="C1362" s="42" t="s">
        <v>4027</v>
      </c>
      <c r="D1362" s="42">
        <v>13207705</v>
      </c>
      <c r="E1362" s="43" t="s">
        <v>4028</v>
      </c>
      <c r="F1362" s="42" t="s">
        <v>2766</v>
      </c>
      <c r="G1362" s="42" t="s">
        <v>195</v>
      </c>
      <c r="H1362" s="42" t="s">
        <v>4086</v>
      </c>
      <c r="I1362" s="42"/>
      <c r="J1362" s="42">
        <v>13207705</v>
      </c>
      <c r="K1362" s="42"/>
      <c r="L1362" s="57">
        <v>45293</v>
      </c>
      <c r="M1362" s="57">
        <v>45293</v>
      </c>
      <c r="N1362" s="42" t="s">
        <v>1654</v>
      </c>
      <c r="O1362" s="42">
        <v>0</v>
      </c>
      <c r="P1362" s="42">
        <v>20009942</v>
      </c>
      <c r="Q1362" s="42" t="s">
        <v>4087</v>
      </c>
      <c r="R1362" s="45">
        <v>410</v>
      </c>
      <c r="S1362" s="42">
        <v>0</v>
      </c>
      <c r="T1362" s="47" t="s">
        <v>198</v>
      </c>
      <c r="U1362" s="48" t="s">
        <v>199</v>
      </c>
      <c r="V1362" s="38"/>
      <c r="W1362" s="48" t="s">
        <v>195</v>
      </c>
      <c r="X1362" s="38" t="s">
        <v>426</v>
      </c>
      <c r="Y1362" s="49" t="s">
        <v>427</v>
      </c>
      <c r="Z1362" s="50" t="s">
        <v>4088</v>
      </c>
      <c r="AA1362" s="47" t="s">
        <v>4089</v>
      </c>
      <c r="AB1362" s="38"/>
      <c r="AC1362" s="38"/>
      <c r="AD1362" s="51">
        <v>21</v>
      </c>
      <c r="AE1362" s="51">
        <v>21</v>
      </c>
      <c r="AF1362" s="48" t="s">
        <v>203</v>
      </c>
      <c r="AG1362" s="38" t="s">
        <v>204</v>
      </c>
      <c r="AH1362" s="52"/>
      <c r="AI1362" s="38"/>
      <c r="AJ1362" s="38"/>
    </row>
    <row r="1363" spans="1:36" ht="16.2">
      <c r="A1363" s="53" t="s">
        <v>857</v>
      </c>
      <c r="B1363" s="53">
        <v>829667</v>
      </c>
      <c r="C1363" s="53" t="s">
        <v>4027</v>
      </c>
      <c r="D1363" s="53">
        <v>13207705</v>
      </c>
      <c r="E1363" s="54" t="s">
        <v>4028</v>
      </c>
      <c r="F1363" s="53" t="s">
        <v>235</v>
      </c>
      <c r="G1363" s="53" t="s">
        <v>195</v>
      </c>
      <c r="H1363" s="53"/>
      <c r="I1363" s="53"/>
      <c r="J1363" s="53">
        <v>13207705</v>
      </c>
      <c r="K1363" s="53"/>
      <c r="L1363" s="58">
        <v>45293</v>
      </c>
      <c r="M1363" s="58">
        <v>45293</v>
      </c>
      <c r="N1363" s="53" t="s">
        <v>1654</v>
      </c>
      <c r="O1363" s="53">
        <v>0</v>
      </c>
      <c r="P1363" s="53">
        <v>20009942</v>
      </c>
      <c r="Q1363" s="53" t="s">
        <v>4090</v>
      </c>
      <c r="R1363" s="45">
        <v>410</v>
      </c>
      <c r="S1363" s="53">
        <v>0</v>
      </c>
      <c r="T1363" s="47" t="s">
        <v>198</v>
      </c>
      <c r="U1363" s="48" t="s">
        <v>199</v>
      </c>
      <c r="V1363" s="38"/>
      <c r="W1363" s="48" t="s">
        <v>195</v>
      </c>
      <c r="X1363" s="38" t="s">
        <v>426</v>
      </c>
      <c r="Y1363" s="49" t="s">
        <v>427</v>
      </c>
      <c r="Z1363" s="50" t="s">
        <v>4091</v>
      </c>
      <c r="AA1363" s="38"/>
      <c r="AB1363" s="38"/>
      <c r="AC1363" s="38"/>
      <c r="AD1363" s="51">
        <v>21</v>
      </c>
      <c r="AE1363" s="51">
        <v>21</v>
      </c>
      <c r="AF1363" s="48" t="s">
        <v>203</v>
      </c>
      <c r="AG1363" s="38" t="s">
        <v>204</v>
      </c>
      <c r="AH1363" s="52"/>
      <c r="AI1363" s="38"/>
      <c r="AJ1363" s="38"/>
    </row>
    <row r="1364" spans="1:36" ht="16.2">
      <c r="A1364" s="42" t="s">
        <v>191</v>
      </c>
      <c r="B1364" s="42">
        <v>829613</v>
      </c>
      <c r="C1364" s="42" t="s">
        <v>4092</v>
      </c>
      <c r="D1364" s="42">
        <v>13207727</v>
      </c>
      <c r="E1364" s="43" t="s">
        <v>4093</v>
      </c>
      <c r="F1364" s="42" t="s">
        <v>4029</v>
      </c>
      <c r="G1364" s="42" t="s">
        <v>195</v>
      </c>
      <c r="H1364" s="42"/>
      <c r="I1364" s="42"/>
      <c r="J1364" s="42">
        <v>13207727</v>
      </c>
      <c r="K1364" s="42"/>
      <c r="L1364" s="57">
        <v>45293</v>
      </c>
      <c r="M1364" s="57">
        <v>45293</v>
      </c>
      <c r="N1364" s="42" t="s">
        <v>4094</v>
      </c>
      <c r="O1364" s="42">
        <v>0</v>
      </c>
      <c r="P1364" s="42">
        <v>20009915</v>
      </c>
      <c r="Q1364" s="42" t="s">
        <v>4095</v>
      </c>
      <c r="R1364" s="45">
        <v>410</v>
      </c>
      <c r="S1364" s="42">
        <v>0</v>
      </c>
      <c r="T1364" s="47" t="s">
        <v>198</v>
      </c>
      <c r="U1364" s="48" t="s">
        <v>199</v>
      </c>
      <c r="V1364" s="38"/>
      <c r="W1364" s="48" t="s">
        <v>195</v>
      </c>
      <c r="X1364" s="38" t="s">
        <v>200</v>
      </c>
      <c r="Y1364" s="49" t="s">
        <v>201</v>
      </c>
      <c r="Z1364" s="50" t="s">
        <v>4096</v>
      </c>
      <c r="AA1364" s="38"/>
      <c r="AB1364" s="38"/>
      <c r="AC1364" s="38"/>
      <c r="AD1364" s="51">
        <v>9</v>
      </c>
      <c r="AE1364" s="51">
        <v>9</v>
      </c>
      <c r="AF1364" s="48" t="s">
        <v>203</v>
      </c>
      <c r="AG1364" s="38" t="s">
        <v>204</v>
      </c>
      <c r="AH1364" s="52"/>
      <c r="AI1364" s="38"/>
      <c r="AJ1364" s="38"/>
    </row>
    <row r="1365" spans="1:36" ht="16.2">
      <c r="A1365" s="53" t="s">
        <v>191</v>
      </c>
      <c r="B1365" s="53">
        <v>829613</v>
      </c>
      <c r="C1365" s="53" t="s">
        <v>4092</v>
      </c>
      <c r="D1365" s="53">
        <v>13207727</v>
      </c>
      <c r="E1365" s="54" t="s">
        <v>4093</v>
      </c>
      <c r="F1365" s="53" t="s">
        <v>4033</v>
      </c>
      <c r="G1365" s="53" t="s">
        <v>195</v>
      </c>
      <c r="H1365" s="53"/>
      <c r="I1365" s="53"/>
      <c r="J1365" s="53">
        <v>13207727</v>
      </c>
      <c r="K1365" s="53"/>
      <c r="L1365" s="58">
        <v>45293</v>
      </c>
      <c r="M1365" s="58">
        <v>45293</v>
      </c>
      <c r="N1365" s="53" t="s">
        <v>4094</v>
      </c>
      <c r="O1365" s="53">
        <v>0</v>
      </c>
      <c r="P1365" s="53">
        <v>20009915</v>
      </c>
      <c r="Q1365" s="53" t="s">
        <v>4097</v>
      </c>
      <c r="R1365" s="45">
        <v>410</v>
      </c>
      <c r="S1365" s="53">
        <v>0</v>
      </c>
      <c r="T1365" s="47" t="s">
        <v>198</v>
      </c>
      <c r="U1365" s="48" t="s">
        <v>199</v>
      </c>
      <c r="V1365" s="38"/>
      <c r="W1365" s="48" t="s">
        <v>195</v>
      </c>
      <c r="X1365" s="38" t="s">
        <v>200</v>
      </c>
      <c r="Y1365" s="49" t="s">
        <v>201</v>
      </c>
      <c r="Z1365" s="50" t="s">
        <v>4098</v>
      </c>
      <c r="AA1365" s="38"/>
      <c r="AB1365" s="38"/>
      <c r="AC1365" s="38"/>
      <c r="AD1365" s="51">
        <v>9</v>
      </c>
      <c r="AE1365" s="51">
        <v>9</v>
      </c>
      <c r="AF1365" s="48" t="s">
        <v>203</v>
      </c>
      <c r="AG1365" s="38" t="s">
        <v>204</v>
      </c>
      <c r="AH1365" s="52"/>
      <c r="AI1365" s="38"/>
      <c r="AJ1365" s="38"/>
    </row>
    <row r="1366" spans="1:36" ht="16.2">
      <c r="A1366" s="42" t="s">
        <v>191</v>
      </c>
      <c r="B1366" s="42">
        <v>829613</v>
      </c>
      <c r="C1366" s="42" t="s">
        <v>4092</v>
      </c>
      <c r="D1366" s="42">
        <v>13207727</v>
      </c>
      <c r="E1366" s="43" t="s">
        <v>4093</v>
      </c>
      <c r="F1366" s="42" t="s">
        <v>4036</v>
      </c>
      <c r="G1366" s="42" t="s">
        <v>195</v>
      </c>
      <c r="H1366" s="42"/>
      <c r="I1366" s="42"/>
      <c r="J1366" s="42">
        <v>13207727</v>
      </c>
      <c r="K1366" s="42"/>
      <c r="L1366" s="57">
        <v>45293</v>
      </c>
      <c r="M1366" s="57">
        <v>45293</v>
      </c>
      <c r="N1366" s="42" t="s">
        <v>4094</v>
      </c>
      <c r="O1366" s="42">
        <v>0</v>
      </c>
      <c r="P1366" s="42">
        <v>20009915</v>
      </c>
      <c r="Q1366" s="42" t="s">
        <v>4099</v>
      </c>
      <c r="R1366" s="45">
        <v>410</v>
      </c>
      <c r="S1366" s="42">
        <v>0</v>
      </c>
      <c r="T1366" s="47" t="s">
        <v>198</v>
      </c>
      <c r="U1366" s="48" t="s">
        <v>199</v>
      </c>
      <c r="V1366" s="38"/>
      <c r="W1366" s="48" t="s">
        <v>195</v>
      </c>
      <c r="X1366" s="38" t="s">
        <v>200</v>
      </c>
      <c r="Y1366" s="49" t="s">
        <v>201</v>
      </c>
      <c r="Z1366" s="50" t="s">
        <v>4100</v>
      </c>
      <c r="AA1366" s="38"/>
      <c r="AB1366" s="38"/>
      <c r="AC1366" s="38"/>
      <c r="AD1366" s="51">
        <v>9</v>
      </c>
      <c r="AE1366" s="51">
        <v>9</v>
      </c>
      <c r="AF1366" s="48" t="s">
        <v>203</v>
      </c>
      <c r="AG1366" s="38" t="s">
        <v>204</v>
      </c>
      <c r="AH1366" s="52"/>
      <c r="AI1366" s="38"/>
      <c r="AJ1366" s="38"/>
    </row>
    <row r="1367" spans="1:36" ht="16.2">
      <c r="A1367" s="53" t="s">
        <v>191</v>
      </c>
      <c r="B1367" s="53">
        <v>829613</v>
      </c>
      <c r="C1367" s="53" t="s">
        <v>4092</v>
      </c>
      <c r="D1367" s="53">
        <v>13207727</v>
      </c>
      <c r="E1367" s="54" t="s">
        <v>4093</v>
      </c>
      <c r="F1367" s="53" t="s">
        <v>4039</v>
      </c>
      <c r="G1367" s="53" t="s">
        <v>195</v>
      </c>
      <c r="H1367" s="53"/>
      <c r="I1367" s="53"/>
      <c r="J1367" s="53">
        <v>13207727</v>
      </c>
      <c r="K1367" s="53"/>
      <c r="L1367" s="58">
        <v>45293</v>
      </c>
      <c r="M1367" s="58">
        <v>45293</v>
      </c>
      <c r="N1367" s="53" t="s">
        <v>4094</v>
      </c>
      <c r="O1367" s="53">
        <v>0</v>
      </c>
      <c r="P1367" s="53">
        <v>20009915</v>
      </c>
      <c r="Q1367" s="53" t="s">
        <v>4101</v>
      </c>
      <c r="R1367" s="45">
        <v>410</v>
      </c>
      <c r="S1367" s="53">
        <v>0</v>
      </c>
      <c r="T1367" s="47" t="s">
        <v>198</v>
      </c>
      <c r="U1367" s="48" t="s">
        <v>199</v>
      </c>
      <c r="V1367" s="38"/>
      <c r="W1367" s="48" t="s">
        <v>195</v>
      </c>
      <c r="X1367" s="38" t="s">
        <v>200</v>
      </c>
      <c r="Y1367" s="49" t="s">
        <v>201</v>
      </c>
      <c r="Z1367" s="50" t="s">
        <v>4102</v>
      </c>
      <c r="AA1367" s="38"/>
      <c r="AB1367" s="38"/>
      <c r="AC1367" s="38"/>
      <c r="AD1367" s="51">
        <v>9</v>
      </c>
      <c r="AE1367" s="51">
        <v>9</v>
      </c>
      <c r="AF1367" s="48" t="s">
        <v>203</v>
      </c>
      <c r="AG1367" s="38" t="s">
        <v>204</v>
      </c>
      <c r="AH1367" s="52"/>
      <c r="AI1367" s="38"/>
      <c r="AJ1367" s="38"/>
    </row>
    <row r="1368" spans="1:36" ht="16.2">
      <c r="A1368" s="42" t="s">
        <v>191</v>
      </c>
      <c r="B1368" s="42">
        <v>829613</v>
      </c>
      <c r="C1368" s="42" t="s">
        <v>4092</v>
      </c>
      <c r="D1368" s="42">
        <v>13207727</v>
      </c>
      <c r="E1368" s="43" t="s">
        <v>4093</v>
      </c>
      <c r="F1368" s="42" t="s">
        <v>4042</v>
      </c>
      <c r="G1368" s="42" t="s">
        <v>195</v>
      </c>
      <c r="H1368" s="42"/>
      <c r="I1368" s="42"/>
      <c r="J1368" s="42">
        <v>13207727</v>
      </c>
      <c r="K1368" s="42"/>
      <c r="L1368" s="57">
        <v>45293</v>
      </c>
      <c r="M1368" s="57">
        <v>45293</v>
      </c>
      <c r="N1368" s="42" t="s">
        <v>4094</v>
      </c>
      <c r="O1368" s="42">
        <v>0</v>
      </c>
      <c r="P1368" s="42">
        <v>20009915</v>
      </c>
      <c r="Q1368" s="42" t="s">
        <v>4103</v>
      </c>
      <c r="R1368" s="45">
        <v>410</v>
      </c>
      <c r="S1368" s="42">
        <v>0</v>
      </c>
      <c r="T1368" s="47" t="s">
        <v>198</v>
      </c>
      <c r="U1368" s="48" t="s">
        <v>199</v>
      </c>
      <c r="V1368" s="38"/>
      <c r="W1368" s="48" t="s">
        <v>195</v>
      </c>
      <c r="X1368" s="38" t="s">
        <v>200</v>
      </c>
      <c r="Y1368" s="49" t="s">
        <v>201</v>
      </c>
      <c r="Z1368" s="50" t="s">
        <v>4104</v>
      </c>
      <c r="AA1368" s="38"/>
      <c r="AB1368" s="38"/>
      <c r="AC1368" s="38"/>
      <c r="AD1368" s="51">
        <v>9</v>
      </c>
      <c r="AE1368" s="51">
        <v>9</v>
      </c>
      <c r="AF1368" s="48" t="s">
        <v>203</v>
      </c>
      <c r="AG1368" s="38" t="s">
        <v>204</v>
      </c>
      <c r="AH1368" s="52"/>
      <c r="AI1368" s="38"/>
      <c r="AJ1368" s="38"/>
    </row>
    <row r="1369" spans="1:36" ht="16.2">
      <c r="A1369" s="53" t="s">
        <v>191</v>
      </c>
      <c r="B1369" s="53">
        <v>829613</v>
      </c>
      <c r="C1369" s="53" t="s">
        <v>4092</v>
      </c>
      <c r="D1369" s="53">
        <v>13207727</v>
      </c>
      <c r="E1369" s="54" t="s">
        <v>4093</v>
      </c>
      <c r="F1369" s="53" t="s">
        <v>211</v>
      </c>
      <c r="G1369" s="53" t="s">
        <v>195</v>
      </c>
      <c r="H1369" s="53"/>
      <c r="I1369" s="53"/>
      <c r="J1369" s="53">
        <v>13207727</v>
      </c>
      <c r="K1369" s="53"/>
      <c r="L1369" s="58">
        <v>45293</v>
      </c>
      <c r="M1369" s="58">
        <v>45293</v>
      </c>
      <c r="N1369" s="53" t="s">
        <v>4094</v>
      </c>
      <c r="O1369" s="53">
        <v>0</v>
      </c>
      <c r="P1369" s="53">
        <v>20009915</v>
      </c>
      <c r="Q1369" s="53" t="s">
        <v>4105</v>
      </c>
      <c r="R1369" s="45">
        <v>410</v>
      </c>
      <c r="S1369" s="53">
        <v>0</v>
      </c>
      <c r="T1369" s="47" t="s">
        <v>198</v>
      </c>
      <c r="U1369" s="48" t="s">
        <v>199</v>
      </c>
      <c r="V1369" s="38"/>
      <c r="W1369" s="48" t="s">
        <v>195</v>
      </c>
      <c r="X1369" s="38" t="s">
        <v>200</v>
      </c>
      <c r="Y1369" s="49" t="s">
        <v>201</v>
      </c>
      <c r="Z1369" s="50" t="s">
        <v>4106</v>
      </c>
      <c r="AA1369" s="38"/>
      <c r="AB1369" s="38"/>
      <c r="AC1369" s="38"/>
      <c r="AD1369" s="51">
        <v>9</v>
      </c>
      <c r="AE1369" s="51">
        <v>9</v>
      </c>
      <c r="AF1369" s="48" t="s">
        <v>203</v>
      </c>
      <c r="AG1369" s="38" t="s">
        <v>204</v>
      </c>
      <c r="AH1369" s="52"/>
      <c r="AI1369" s="38"/>
      <c r="AJ1369" s="38"/>
    </row>
    <row r="1370" spans="1:36" ht="16.2">
      <c r="A1370" s="42" t="s">
        <v>191</v>
      </c>
      <c r="B1370" s="42">
        <v>829613</v>
      </c>
      <c r="C1370" s="42" t="s">
        <v>4092</v>
      </c>
      <c r="D1370" s="42">
        <v>13207727</v>
      </c>
      <c r="E1370" s="43" t="s">
        <v>4093</v>
      </c>
      <c r="F1370" s="42" t="s">
        <v>4047</v>
      </c>
      <c r="G1370" s="42" t="s">
        <v>195</v>
      </c>
      <c r="H1370" s="42"/>
      <c r="I1370" s="42"/>
      <c r="J1370" s="42">
        <v>13207727</v>
      </c>
      <c r="K1370" s="42"/>
      <c r="L1370" s="57">
        <v>45293</v>
      </c>
      <c r="M1370" s="57">
        <v>45293</v>
      </c>
      <c r="N1370" s="42" t="s">
        <v>4094</v>
      </c>
      <c r="O1370" s="42">
        <v>0</v>
      </c>
      <c r="P1370" s="42">
        <v>20009915</v>
      </c>
      <c r="Q1370" s="42" t="s">
        <v>4107</v>
      </c>
      <c r="R1370" s="45">
        <v>410</v>
      </c>
      <c r="S1370" s="42">
        <v>0</v>
      </c>
      <c r="T1370" s="47" t="s">
        <v>198</v>
      </c>
      <c r="U1370" s="48" t="s">
        <v>199</v>
      </c>
      <c r="V1370" s="38"/>
      <c r="W1370" s="48" t="s">
        <v>195</v>
      </c>
      <c r="X1370" s="38" t="s">
        <v>200</v>
      </c>
      <c r="Y1370" s="49" t="s">
        <v>201</v>
      </c>
      <c r="Z1370" s="50" t="s">
        <v>4108</v>
      </c>
      <c r="AA1370" s="38"/>
      <c r="AB1370" s="38"/>
      <c r="AC1370" s="38"/>
      <c r="AD1370" s="51">
        <v>9</v>
      </c>
      <c r="AE1370" s="51">
        <v>9</v>
      </c>
      <c r="AF1370" s="48" t="s">
        <v>203</v>
      </c>
      <c r="AG1370" s="38" t="s">
        <v>204</v>
      </c>
      <c r="AH1370" s="52"/>
      <c r="AI1370" s="38"/>
      <c r="AJ1370" s="38"/>
    </row>
    <row r="1371" spans="1:36" ht="16.2">
      <c r="A1371" s="53" t="s">
        <v>191</v>
      </c>
      <c r="B1371" s="53">
        <v>829613</v>
      </c>
      <c r="C1371" s="53" t="s">
        <v>4092</v>
      </c>
      <c r="D1371" s="53">
        <v>13207727</v>
      </c>
      <c r="E1371" s="54" t="s">
        <v>4093</v>
      </c>
      <c r="F1371" s="53" t="s">
        <v>4109</v>
      </c>
      <c r="G1371" s="53" t="s">
        <v>195</v>
      </c>
      <c r="H1371" s="53"/>
      <c r="I1371" s="53"/>
      <c r="J1371" s="53">
        <v>13207727</v>
      </c>
      <c r="K1371" s="53"/>
      <c r="L1371" s="58">
        <v>45293</v>
      </c>
      <c r="M1371" s="58">
        <v>45293</v>
      </c>
      <c r="N1371" s="53" t="s">
        <v>4094</v>
      </c>
      <c r="O1371" s="53">
        <v>0</v>
      </c>
      <c r="P1371" s="53">
        <v>20009915</v>
      </c>
      <c r="Q1371" s="53" t="s">
        <v>4110</v>
      </c>
      <c r="R1371" s="45">
        <v>410</v>
      </c>
      <c r="S1371" s="53">
        <v>0</v>
      </c>
      <c r="T1371" s="47" t="s">
        <v>198</v>
      </c>
      <c r="U1371" s="48" t="s">
        <v>199</v>
      </c>
      <c r="V1371" s="38"/>
      <c r="W1371" s="48" t="s">
        <v>195</v>
      </c>
      <c r="X1371" s="38" t="s">
        <v>200</v>
      </c>
      <c r="Y1371" s="49" t="s">
        <v>201</v>
      </c>
      <c r="Z1371" s="50" t="s">
        <v>4111</v>
      </c>
      <c r="AA1371" s="38"/>
      <c r="AB1371" s="38"/>
      <c r="AC1371" s="38"/>
      <c r="AD1371" s="51">
        <v>9</v>
      </c>
      <c r="AE1371" s="51">
        <v>9</v>
      </c>
      <c r="AF1371" s="48" t="s">
        <v>203</v>
      </c>
      <c r="AG1371" s="38" t="s">
        <v>204</v>
      </c>
      <c r="AH1371" s="52"/>
      <c r="AI1371" s="38"/>
      <c r="AJ1371" s="38"/>
    </row>
    <row r="1372" spans="1:36" ht="16.2">
      <c r="A1372" s="42" t="s">
        <v>191</v>
      </c>
      <c r="B1372" s="42">
        <v>829613</v>
      </c>
      <c r="C1372" s="42" t="s">
        <v>4092</v>
      </c>
      <c r="D1372" s="42">
        <v>13207727</v>
      </c>
      <c r="E1372" s="43" t="s">
        <v>4093</v>
      </c>
      <c r="F1372" s="42" t="s">
        <v>235</v>
      </c>
      <c r="G1372" s="42" t="s">
        <v>195</v>
      </c>
      <c r="H1372" s="42"/>
      <c r="I1372" s="42"/>
      <c r="J1372" s="42">
        <v>13207727</v>
      </c>
      <c r="K1372" s="42"/>
      <c r="L1372" s="57">
        <v>45293</v>
      </c>
      <c r="M1372" s="57">
        <v>45293</v>
      </c>
      <c r="N1372" s="42" t="s">
        <v>4094</v>
      </c>
      <c r="O1372" s="42">
        <v>0</v>
      </c>
      <c r="P1372" s="42">
        <v>20009915</v>
      </c>
      <c r="Q1372" s="42" t="s">
        <v>4112</v>
      </c>
      <c r="R1372" s="45">
        <v>410</v>
      </c>
      <c r="S1372" s="42">
        <v>0</v>
      </c>
      <c r="T1372" s="47" t="s">
        <v>198</v>
      </c>
      <c r="U1372" s="48" t="s">
        <v>199</v>
      </c>
      <c r="V1372" s="38"/>
      <c r="W1372" s="48" t="s">
        <v>195</v>
      </c>
      <c r="X1372" s="38" t="s">
        <v>200</v>
      </c>
      <c r="Y1372" s="49" t="s">
        <v>201</v>
      </c>
      <c r="Z1372" s="50" t="s">
        <v>4113</v>
      </c>
      <c r="AA1372" s="38"/>
      <c r="AB1372" s="38"/>
      <c r="AC1372" s="38"/>
      <c r="AD1372" s="51">
        <v>9</v>
      </c>
      <c r="AE1372" s="51">
        <v>9</v>
      </c>
      <c r="AF1372" s="48" t="s">
        <v>203</v>
      </c>
      <c r="AG1372" s="38" t="s">
        <v>204</v>
      </c>
      <c r="AH1372" s="52"/>
      <c r="AI1372" s="38"/>
      <c r="AJ1372" s="38"/>
    </row>
    <row r="1373" spans="1:36" ht="16.2">
      <c r="A1373" s="53" t="s">
        <v>340</v>
      </c>
      <c r="B1373" s="53">
        <v>829871</v>
      </c>
      <c r="C1373" s="53" t="s">
        <v>107</v>
      </c>
      <c r="D1373" s="53">
        <v>13207639</v>
      </c>
      <c r="E1373" s="54" t="s">
        <v>4114</v>
      </c>
      <c r="F1373" s="53" t="s">
        <v>3976</v>
      </c>
      <c r="G1373" s="53"/>
      <c r="H1373" s="53"/>
      <c r="I1373" s="53"/>
      <c r="J1373" s="53"/>
      <c r="K1373" s="53"/>
      <c r="L1373" s="58">
        <v>45293</v>
      </c>
      <c r="M1373" s="58">
        <v>45293</v>
      </c>
      <c r="N1373" s="53" t="s">
        <v>399</v>
      </c>
      <c r="O1373" s="53">
        <v>0</v>
      </c>
      <c r="P1373" s="53"/>
      <c r="Q1373" s="53" t="s">
        <v>4115</v>
      </c>
      <c r="R1373" s="45">
        <v>410</v>
      </c>
      <c r="S1373" s="53">
        <v>0</v>
      </c>
      <c r="T1373" s="47" t="s">
        <v>401</v>
      </c>
      <c r="U1373" s="48" t="s">
        <v>199</v>
      </c>
      <c r="V1373" s="38"/>
      <c r="W1373" s="38"/>
      <c r="X1373" s="38" t="s">
        <v>308</v>
      </c>
      <c r="Y1373" s="49" t="s">
        <v>309</v>
      </c>
      <c r="Z1373" s="50" t="s">
        <v>4116</v>
      </c>
      <c r="AA1373" s="38"/>
      <c r="AB1373" s="38"/>
      <c r="AC1373" s="38"/>
      <c r="AD1373" s="51">
        <v>10</v>
      </c>
      <c r="AE1373" s="51">
        <v>0</v>
      </c>
      <c r="AF1373" s="48" t="s">
        <v>195</v>
      </c>
      <c r="AG1373" s="38" t="s">
        <v>403</v>
      </c>
      <c r="AH1373" s="52"/>
      <c r="AI1373" s="38"/>
      <c r="AJ1373" s="38"/>
    </row>
    <row r="1374" spans="1:36" ht="16.2">
      <c r="A1374" s="42" t="s">
        <v>340</v>
      </c>
      <c r="B1374" s="42">
        <v>829871</v>
      </c>
      <c r="C1374" s="42" t="s">
        <v>107</v>
      </c>
      <c r="D1374" s="42">
        <v>13207639</v>
      </c>
      <c r="E1374" s="43" t="s">
        <v>4114</v>
      </c>
      <c r="F1374" s="42" t="s">
        <v>3979</v>
      </c>
      <c r="G1374" s="42"/>
      <c r="H1374" s="42"/>
      <c r="I1374" s="42"/>
      <c r="J1374" s="42"/>
      <c r="K1374" s="42"/>
      <c r="L1374" s="57">
        <v>45293</v>
      </c>
      <c r="M1374" s="57">
        <v>45293</v>
      </c>
      <c r="N1374" s="42" t="s">
        <v>399</v>
      </c>
      <c r="O1374" s="42">
        <v>0</v>
      </c>
      <c r="P1374" s="42"/>
      <c r="Q1374" s="42" t="s">
        <v>4117</v>
      </c>
      <c r="R1374" s="45">
        <v>410</v>
      </c>
      <c r="S1374" s="42">
        <v>0</v>
      </c>
      <c r="T1374" s="47" t="s">
        <v>401</v>
      </c>
      <c r="U1374" s="48" t="s">
        <v>199</v>
      </c>
      <c r="V1374" s="38"/>
      <c r="W1374" s="38"/>
      <c r="X1374" s="38" t="s">
        <v>308</v>
      </c>
      <c r="Y1374" s="49" t="s">
        <v>309</v>
      </c>
      <c r="Z1374" s="50" t="s">
        <v>4118</v>
      </c>
      <c r="AA1374" s="38"/>
      <c r="AB1374" s="38"/>
      <c r="AC1374" s="38"/>
      <c r="AD1374" s="51">
        <v>10</v>
      </c>
      <c r="AE1374" s="51">
        <v>0</v>
      </c>
      <c r="AF1374" s="48" t="s">
        <v>195</v>
      </c>
      <c r="AG1374" s="38" t="s">
        <v>403</v>
      </c>
      <c r="AH1374" s="52"/>
      <c r="AI1374" s="38"/>
      <c r="AJ1374" s="38"/>
    </row>
    <row r="1375" spans="1:36" ht="16.2">
      <c r="A1375" s="53" t="s">
        <v>340</v>
      </c>
      <c r="B1375" s="53">
        <v>829871</v>
      </c>
      <c r="C1375" s="53" t="s">
        <v>107</v>
      </c>
      <c r="D1375" s="53">
        <v>13207639</v>
      </c>
      <c r="E1375" s="54" t="s">
        <v>4114</v>
      </c>
      <c r="F1375" s="53" t="s">
        <v>2759</v>
      </c>
      <c r="G1375" s="53"/>
      <c r="H1375" s="53"/>
      <c r="I1375" s="53"/>
      <c r="J1375" s="53"/>
      <c r="K1375" s="53"/>
      <c r="L1375" s="58">
        <v>45293</v>
      </c>
      <c r="M1375" s="58">
        <v>45293</v>
      </c>
      <c r="N1375" s="53" t="s">
        <v>399</v>
      </c>
      <c r="O1375" s="53">
        <v>0</v>
      </c>
      <c r="P1375" s="53"/>
      <c r="Q1375" s="53" t="s">
        <v>4119</v>
      </c>
      <c r="R1375" s="45">
        <v>410</v>
      </c>
      <c r="S1375" s="53">
        <v>0</v>
      </c>
      <c r="T1375" s="47" t="s">
        <v>401</v>
      </c>
      <c r="U1375" s="48" t="s">
        <v>199</v>
      </c>
      <c r="V1375" s="38"/>
      <c r="W1375" s="38"/>
      <c r="X1375" s="38" t="s">
        <v>308</v>
      </c>
      <c r="Y1375" s="49" t="s">
        <v>309</v>
      </c>
      <c r="Z1375" s="50" t="s">
        <v>4120</v>
      </c>
      <c r="AA1375" s="38"/>
      <c r="AB1375" s="38"/>
      <c r="AC1375" s="38"/>
      <c r="AD1375" s="51">
        <v>10</v>
      </c>
      <c r="AE1375" s="51">
        <v>0</v>
      </c>
      <c r="AF1375" s="48" t="s">
        <v>195</v>
      </c>
      <c r="AG1375" s="38" t="s">
        <v>403</v>
      </c>
      <c r="AH1375" s="52"/>
      <c r="AI1375" s="38"/>
      <c r="AJ1375" s="38"/>
    </row>
    <row r="1376" spans="1:36" ht="16.2">
      <c r="A1376" s="42" t="s">
        <v>340</v>
      </c>
      <c r="B1376" s="42">
        <v>829871</v>
      </c>
      <c r="C1376" s="42" t="s">
        <v>107</v>
      </c>
      <c r="D1376" s="42">
        <v>13207639</v>
      </c>
      <c r="E1376" s="43" t="s">
        <v>4114</v>
      </c>
      <c r="F1376" s="42" t="s">
        <v>1184</v>
      </c>
      <c r="G1376" s="42"/>
      <c r="H1376" s="42"/>
      <c r="I1376" s="42"/>
      <c r="J1376" s="42"/>
      <c r="K1376" s="42"/>
      <c r="L1376" s="57">
        <v>45293</v>
      </c>
      <c r="M1376" s="57">
        <v>45293</v>
      </c>
      <c r="N1376" s="42" t="s">
        <v>399</v>
      </c>
      <c r="O1376" s="42">
        <v>0</v>
      </c>
      <c r="P1376" s="42"/>
      <c r="Q1376" s="42" t="s">
        <v>4121</v>
      </c>
      <c r="R1376" s="45">
        <v>410</v>
      </c>
      <c r="S1376" s="42">
        <v>0</v>
      </c>
      <c r="T1376" s="47" t="s">
        <v>401</v>
      </c>
      <c r="U1376" s="48" t="s">
        <v>199</v>
      </c>
      <c r="V1376" s="38"/>
      <c r="W1376" s="38"/>
      <c r="X1376" s="38" t="s">
        <v>308</v>
      </c>
      <c r="Y1376" s="49" t="s">
        <v>309</v>
      </c>
      <c r="Z1376" s="50" t="s">
        <v>4122</v>
      </c>
      <c r="AA1376" s="38"/>
      <c r="AB1376" s="38"/>
      <c r="AC1376" s="38"/>
      <c r="AD1376" s="51">
        <v>10</v>
      </c>
      <c r="AE1376" s="51">
        <v>0</v>
      </c>
      <c r="AF1376" s="48" t="s">
        <v>195</v>
      </c>
      <c r="AG1376" s="38" t="s">
        <v>403</v>
      </c>
      <c r="AH1376" s="52"/>
      <c r="AI1376" s="38"/>
      <c r="AJ1376" s="38"/>
    </row>
    <row r="1377" spans="1:36" ht="16.2">
      <c r="A1377" s="53" t="s">
        <v>340</v>
      </c>
      <c r="B1377" s="53">
        <v>829871</v>
      </c>
      <c r="C1377" s="53" t="s">
        <v>107</v>
      </c>
      <c r="D1377" s="53">
        <v>13207639</v>
      </c>
      <c r="E1377" s="54" t="s">
        <v>4114</v>
      </c>
      <c r="F1377" s="53" t="s">
        <v>3986</v>
      </c>
      <c r="G1377" s="53"/>
      <c r="H1377" s="53"/>
      <c r="I1377" s="53"/>
      <c r="J1377" s="53"/>
      <c r="K1377" s="53"/>
      <c r="L1377" s="58">
        <v>45293</v>
      </c>
      <c r="M1377" s="58">
        <v>45293</v>
      </c>
      <c r="N1377" s="53" t="s">
        <v>399</v>
      </c>
      <c r="O1377" s="53">
        <v>0</v>
      </c>
      <c r="P1377" s="53"/>
      <c r="Q1377" s="53" t="s">
        <v>4123</v>
      </c>
      <c r="R1377" s="45">
        <v>410</v>
      </c>
      <c r="S1377" s="53">
        <v>0</v>
      </c>
      <c r="T1377" s="47" t="s">
        <v>401</v>
      </c>
      <c r="U1377" s="48" t="s">
        <v>199</v>
      </c>
      <c r="V1377" s="38"/>
      <c r="W1377" s="38"/>
      <c r="X1377" s="38" t="s">
        <v>308</v>
      </c>
      <c r="Y1377" s="49" t="s">
        <v>309</v>
      </c>
      <c r="Z1377" s="50" t="s">
        <v>4124</v>
      </c>
      <c r="AA1377" s="38"/>
      <c r="AB1377" s="38"/>
      <c r="AC1377" s="38"/>
      <c r="AD1377" s="51">
        <v>10</v>
      </c>
      <c r="AE1377" s="51">
        <v>0</v>
      </c>
      <c r="AF1377" s="48" t="s">
        <v>195</v>
      </c>
      <c r="AG1377" s="38" t="s">
        <v>403</v>
      </c>
      <c r="AH1377" s="52"/>
      <c r="AI1377" s="38"/>
      <c r="AJ1377" s="38"/>
    </row>
    <row r="1378" spans="1:36" ht="16.2">
      <c r="A1378" s="42" t="s">
        <v>340</v>
      </c>
      <c r="B1378" s="42">
        <v>829871</v>
      </c>
      <c r="C1378" s="42" t="s">
        <v>107</v>
      </c>
      <c r="D1378" s="42">
        <v>13207639</v>
      </c>
      <c r="E1378" s="43" t="s">
        <v>4114</v>
      </c>
      <c r="F1378" s="42" t="s">
        <v>1155</v>
      </c>
      <c r="G1378" s="42"/>
      <c r="H1378" s="42"/>
      <c r="I1378" s="42"/>
      <c r="J1378" s="42"/>
      <c r="K1378" s="42"/>
      <c r="L1378" s="57">
        <v>45293</v>
      </c>
      <c r="M1378" s="57">
        <v>45293</v>
      </c>
      <c r="N1378" s="42" t="s">
        <v>399</v>
      </c>
      <c r="O1378" s="42">
        <v>0</v>
      </c>
      <c r="P1378" s="42"/>
      <c r="Q1378" s="42" t="s">
        <v>4125</v>
      </c>
      <c r="R1378" s="45">
        <v>410</v>
      </c>
      <c r="S1378" s="42">
        <v>0</v>
      </c>
      <c r="T1378" s="47" t="s">
        <v>401</v>
      </c>
      <c r="U1378" s="48" t="s">
        <v>199</v>
      </c>
      <c r="V1378" s="38"/>
      <c r="W1378" s="38"/>
      <c r="X1378" s="38" t="s">
        <v>308</v>
      </c>
      <c r="Y1378" s="49" t="s">
        <v>309</v>
      </c>
      <c r="Z1378" s="50" t="s">
        <v>4126</v>
      </c>
      <c r="AA1378" s="38"/>
      <c r="AB1378" s="38"/>
      <c r="AC1378" s="38"/>
      <c r="AD1378" s="51">
        <v>10</v>
      </c>
      <c r="AE1378" s="51">
        <v>0</v>
      </c>
      <c r="AF1378" s="48" t="s">
        <v>195</v>
      </c>
      <c r="AG1378" s="38" t="s">
        <v>403</v>
      </c>
      <c r="AH1378" s="52"/>
      <c r="AI1378" s="38"/>
      <c r="AJ1378" s="38"/>
    </row>
    <row r="1379" spans="1:36" ht="16.2">
      <c r="A1379" s="53" t="s">
        <v>340</v>
      </c>
      <c r="B1379" s="53">
        <v>829871</v>
      </c>
      <c r="C1379" s="53" t="s">
        <v>107</v>
      </c>
      <c r="D1379" s="53">
        <v>13207639</v>
      </c>
      <c r="E1379" s="54" t="s">
        <v>4114</v>
      </c>
      <c r="F1379" s="53" t="s">
        <v>2789</v>
      </c>
      <c r="G1379" s="53"/>
      <c r="H1379" s="53"/>
      <c r="I1379" s="53"/>
      <c r="J1379" s="53"/>
      <c r="K1379" s="53"/>
      <c r="L1379" s="58">
        <v>45293</v>
      </c>
      <c r="M1379" s="58">
        <v>45293</v>
      </c>
      <c r="N1379" s="53" t="s">
        <v>399</v>
      </c>
      <c r="O1379" s="53">
        <v>0</v>
      </c>
      <c r="P1379" s="53"/>
      <c r="Q1379" s="53" t="s">
        <v>4127</v>
      </c>
      <c r="R1379" s="45">
        <v>410</v>
      </c>
      <c r="S1379" s="53">
        <v>0</v>
      </c>
      <c r="T1379" s="47" t="s">
        <v>401</v>
      </c>
      <c r="U1379" s="48" t="s">
        <v>199</v>
      </c>
      <c r="V1379" s="38"/>
      <c r="W1379" s="38"/>
      <c r="X1379" s="38" t="s">
        <v>308</v>
      </c>
      <c r="Y1379" s="49" t="s">
        <v>309</v>
      </c>
      <c r="Z1379" s="50" t="s">
        <v>4128</v>
      </c>
      <c r="AA1379" s="38"/>
      <c r="AB1379" s="38"/>
      <c r="AC1379" s="38"/>
      <c r="AD1379" s="51">
        <v>10</v>
      </c>
      <c r="AE1379" s="51">
        <v>0</v>
      </c>
      <c r="AF1379" s="48" t="s">
        <v>195</v>
      </c>
      <c r="AG1379" s="38" t="s">
        <v>403</v>
      </c>
      <c r="AH1379" s="52"/>
      <c r="AI1379" s="38"/>
      <c r="AJ1379" s="38"/>
    </row>
    <row r="1380" spans="1:36" ht="16.2">
      <c r="A1380" s="42" t="s">
        <v>340</v>
      </c>
      <c r="B1380" s="42">
        <v>829871</v>
      </c>
      <c r="C1380" s="42" t="s">
        <v>107</v>
      </c>
      <c r="D1380" s="42">
        <v>13207639</v>
      </c>
      <c r="E1380" s="43" t="s">
        <v>4114</v>
      </c>
      <c r="F1380" s="42" t="s">
        <v>2766</v>
      </c>
      <c r="G1380" s="42"/>
      <c r="H1380" s="42"/>
      <c r="I1380" s="42"/>
      <c r="J1380" s="42"/>
      <c r="K1380" s="42"/>
      <c r="L1380" s="57">
        <v>45293</v>
      </c>
      <c r="M1380" s="57">
        <v>45293</v>
      </c>
      <c r="N1380" s="42" t="s">
        <v>399</v>
      </c>
      <c r="O1380" s="42">
        <v>0</v>
      </c>
      <c r="P1380" s="42"/>
      <c r="Q1380" s="42" t="s">
        <v>4129</v>
      </c>
      <c r="R1380" s="45">
        <v>410</v>
      </c>
      <c r="S1380" s="42">
        <v>0</v>
      </c>
      <c r="T1380" s="47" t="s">
        <v>401</v>
      </c>
      <c r="U1380" s="48" t="s">
        <v>199</v>
      </c>
      <c r="V1380" s="38"/>
      <c r="W1380" s="38"/>
      <c r="X1380" s="38" t="s">
        <v>308</v>
      </c>
      <c r="Y1380" s="49" t="s">
        <v>309</v>
      </c>
      <c r="Z1380" s="50" t="s">
        <v>4130</v>
      </c>
      <c r="AA1380" s="38"/>
      <c r="AB1380" s="38"/>
      <c r="AC1380" s="38"/>
      <c r="AD1380" s="51">
        <v>10</v>
      </c>
      <c r="AE1380" s="51">
        <v>0</v>
      </c>
      <c r="AF1380" s="48" t="s">
        <v>195</v>
      </c>
      <c r="AG1380" s="38" t="s">
        <v>403</v>
      </c>
      <c r="AH1380" s="52"/>
      <c r="AI1380" s="38"/>
      <c r="AJ1380" s="38"/>
    </row>
    <row r="1381" spans="1:36" ht="16.2">
      <c r="A1381" s="53" t="s">
        <v>340</v>
      </c>
      <c r="B1381" s="53">
        <v>829871</v>
      </c>
      <c r="C1381" s="53" t="s">
        <v>107</v>
      </c>
      <c r="D1381" s="53">
        <v>13207639</v>
      </c>
      <c r="E1381" s="54" t="s">
        <v>4114</v>
      </c>
      <c r="F1381" s="53" t="s">
        <v>235</v>
      </c>
      <c r="G1381" s="53"/>
      <c r="H1381" s="53"/>
      <c r="I1381" s="53"/>
      <c r="J1381" s="53"/>
      <c r="K1381" s="53"/>
      <c r="L1381" s="58">
        <v>45293</v>
      </c>
      <c r="M1381" s="58">
        <v>45293</v>
      </c>
      <c r="N1381" s="53" t="s">
        <v>399</v>
      </c>
      <c r="O1381" s="53">
        <v>0</v>
      </c>
      <c r="P1381" s="53"/>
      <c r="Q1381" s="53" t="s">
        <v>4131</v>
      </c>
      <c r="R1381" s="45">
        <v>410</v>
      </c>
      <c r="S1381" s="53">
        <v>0</v>
      </c>
      <c r="T1381" s="47" t="s">
        <v>401</v>
      </c>
      <c r="U1381" s="48" t="s">
        <v>199</v>
      </c>
      <c r="V1381" s="38"/>
      <c r="W1381" s="38"/>
      <c r="X1381" s="38" t="s">
        <v>308</v>
      </c>
      <c r="Y1381" s="49" t="s">
        <v>309</v>
      </c>
      <c r="Z1381" s="50" t="s">
        <v>4132</v>
      </c>
      <c r="AA1381" s="38"/>
      <c r="AB1381" s="38"/>
      <c r="AC1381" s="38"/>
      <c r="AD1381" s="51">
        <v>10</v>
      </c>
      <c r="AE1381" s="51">
        <v>0</v>
      </c>
      <c r="AF1381" s="48" t="s">
        <v>195</v>
      </c>
      <c r="AG1381" s="38" t="s">
        <v>403</v>
      </c>
      <c r="AH1381" s="52"/>
      <c r="AI1381" s="38"/>
      <c r="AJ1381" s="38"/>
    </row>
    <row r="1382" spans="1:36" ht="16.2">
      <c r="A1382" s="42" t="s">
        <v>340</v>
      </c>
      <c r="B1382" s="42">
        <v>829869</v>
      </c>
      <c r="C1382" s="42" t="s">
        <v>4133</v>
      </c>
      <c r="D1382" s="42">
        <v>13207641</v>
      </c>
      <c r="E1382" s="43" t="s">
        <v>4134</v>
      </c>
      <c r="F1382" s="42" t="s">
        <v>363</v>
      </c>
      <c r="G1382" s="42" t="s">
        <v>195</v>
      </c>
      <c r="H1382" s="42"/>
      <c r="I1382" s="42"/>
      <c r="J1382" s="42">
        <v>13207641</v>
      </c>
      <c r="K1382" s="42"/>
      <c r="L1382" s="57">
        <v>45293</v>
      </c>
      <c r="M1382" s="57">
        <v>45293</v>
      </c>
      <c r="N1382" s="42" t="s">
        <v>4135</v>
      </c>
      <c r="O1382" s="42">
        <v>0</v>
      </c>
      <c r="P1382" s="42">
        <v>94543434</v>
      </c>
      <c r="Q1382" s="42" t="s">
        <v>4136</v>
      </c>
      <c r="R1382" s="45">
        <v>410</v>
      </c>
      <c r="S1382" s="42">
        <v>0</v>
      </c>
      <c r="T1382" s="47" t="s">
        <v>198</v>
      </c>
      <c r="U1382" s="48" t="s">
        <v>199</v>
      </c>
      <c r="V1382" s="38"/>
      <c r="W1382" s="48" t="s">
        <v>195</v>
      </c>
      <c r="X1382" s="38" t="s">
        <v>308</v>
      </c>
      <c r="Y1382" s="49" t="s">
        <v>309</v>
      </c>
      <c r="Z1382" s="50" t="s">
        <v>4137</v>
      </c>
      <c r="AA1382" s="38"/>
      <c r="AB1382" s="38"/>
      <c r="AC1382" s="38"/>
      <c r="AD1382" s="51">
        <v>16</v>
      </c>
      <c r="AE1382" s="51">
        <v>16</v>
      </c>
      <c r="AF1382" s="48" t="s">
        <v>203</v>
      </c>
      <c r="AG1382" s="38" t="s">
        <v>204</v>
      </c>
      <c r="AH1382" s="52"/>
      <c r="AI1382" s="38"/>
      <c r="AJ1382" s="38"/>
    </row>
    <row r="1383" spans="1:36" ht="16.2">
      <c r="A1383" s="53" t="s">
        <v>340</v>
      </c>
      <c r="B1383" s="53">
        <v>829869</v>
      </c>
      <c r="C1383" s="53" t="s">
        <v>4133</v>
      </c>
      <c r="D1383" s="53">
        <v>13207641</v>
      </c>
      <c r="E1383" s="54" t="s">
        <v>4134</v>
      </c>
      <c r="F1383" s="53" t="s">
        <v>367</v>
      </c>
      <c r="G1383" s="53" t="s">
        <v>195</v>
      </c>
      <c r="H1383" s="53"/>
      <c r="I1383" s="53"/>
      <c r="J1383" s="53">
        <v>13207641</v>
      </c>
      <c r="K1383" s="53"/>
      <c r="L1383" s="58">
        <v>45293</v>
      </c>
      <c r="M1383" s="58">
        <v>45293</v>
      </c>
      <c r="N1383" s="53" t="s">
        <v>4135</v>
      </c>
      <c r="O1383" s="53">
        <v>0</v>
      </c>
      <c r="P1383" s="53">
        <v>94543434</v>
      </c>
      <c r="Q1383" s="53" t="s">
        <v>4138</v>
      </c>
      <c r="R1383" s="45">
        <v>410</v>
      </c>
      <c r="S1383" s="53">
        <v>0</v>
      </c>
      <c r="T1383" s="47" t="s">
        <v>198</v>
      </c>
      <c r="U1383" s="48" t="s">
        <v>199</v>
      </c>
      <c r="V1383" s="38"/>
      <c r="W1383" s="48" t="s">
        <v>195</v>
      </c>
      <c r="X1383" s="38" t="s">
        <v>308</v>
      </c>
      <c r="Y1383" s="49" t="s">
        <v>309</v>
      </c>
      <c r="Z1383" s="50" t="s">
        <v>4139</v>
      </c>
      <c r="AA1383" s="38"/>
      <c r="AB1383" s="38"/>
      <c r="AC1383" s="38"/>
      <c r="AD1383" s="51">
        <v>16</v>
      </c>
      <c r="AE1383" s="51">
        <v>16</v>
      </c>
      <c r="AF1383" s="48" t="s">
        <v>203</v>
      </c>
      <c r="AG1383" s="38" t="s">
        <v>204</v>
      </c>
      <c r="AH1383" s="52"/>
      <c r="AI1383" s="38"/>
      <c r="AJ1383" s="38"/>
    </row>
    <row r="1384" spans="1:36" ht="16.2">
      <c r="A1384" s="42" t="s">
        <v>340</v>
      </c>
      <c r="B1384" s="42">
        <v>829869</v>
      </c>
      <c r="C1384" s="42" t="s">
        <v>4133</v>
      </c>
      <c r="D1384" s="42">
        <v>13207641</v>
      </c>
      <c r="E1384" s="43" t="s">
        <v>4134</v>
      </c>
      <c r="F1384" s="42" t="s">
        <v>370</v>
      </c>
      <c r="G1384" s="42" t="s">
        <v>195</v>
      </c>
      <c r="H1384" s="42"/>
      <c r="I1384" s="42"/>
      <c r="J1384" s="42">
        <v>13207641</v>
      </c>
      <c r="K1384" s="42"/>
      <c r="L1384" s="57">
        <v>45293</v>
      </c>
      <c r="M1384" s="57">
        <v>45293</v>
      </c>
      <c r="N1384" s="42" t="s">
        <v>4135</v>
      </c>
      <c r="O1384" s="42">
        <v>0</v>
      </c>
      <c r="P1384" s="42">
        <v>94543434</v>
      </c>
      <c r="Q1384" s="42" t="s">
        <v>4140</v>
      </c>
      <c r="R1384" s="45">
        <v>410</v>
      </c>
      <c r="S1384" s="42">
        <v>0</v>
      </c>
      <c r="T1384" s="47" t="s">
        <v>198</v>
      </c>
      <c r="U1384" s="48" t="s">
        <v>199</v>
      </c>
      <c r="V1384" s="38"/>
      <c r="W1384" s="48" t="s">
        <v>195</v>
      </c>
      <c r="X1384" s="38" t="s">
        <v>308</v>
      </c>
      <c r="Y1384" s="49" t="s">
        <v>309</v>
      </c>
      <c r="Z1384" s="50" t="s">
        <v>4141</v>
      </c>
      <c r="AA1384" s="38"/>
      <c r="AB1384" s="38"/>
      <c r="AC1384" s="38"/>
      <c r="AD1384" s="51">
        <v>16</v>
      </c>
      <c r="AE1384" s="51">
        <v>16</v>
      </c>
      <c r="AF1384" s="48" t="s">
        <v>203</v>
      </c>
      <c r="AG1384" s="38" t="s">
        <v>204</v>
      </c>
      <c r="AH1384" s="52"/>
      <c r="AI1384" s="38"/>
      <c r="AJ1384" s="38"/>
    </row>
    <row r="1385" spans="1:36" ht="16.2">
      <c r="A1385" s="53" t="s">
        <v>340</v>
      </c>
      <c r="B1385" s="53">
        <v>829869</v>
      </c>
      <c r="C1385" s="53" t="s">
        <v>4133</v>
      </c>
      <c r="D1385" s="53">
        <v>13207641</v>
      </c>
      <c r="E1385" s="54" t="s">
        <v>4134</v>
      </c>
      <c r="F1385" s="53" t="s">
        <v>373</v>
      </c>
      <c r="G1385" s="53" t="s">
        <v>195</v>
      </c>
      <c r="H1385" s="53"/>
      <c r="I1385" s="53"/>
      <c r="J1385" s="53">
        <v>13207641</v>
      </c>
      <c r="K1385" s="53"/>
      <c r="L1385" s="58">
        <v>45293</v>
      </c>
      <c r="M1385" s="58">
        <v>45293</v>
      </c>
      <c r="N1385" s="53" t="s">
        <v>4135</v>
      </c>
      <c r="O1385" s="53">
        <v>0</v>
      </c>
      <c r="P1385" s="53">
        <v>94543434</v>
      </c>
      <c r="Q1385" s="53" t="s">
        <v>4142</v>
      </c>
      <c r="R1385" s="45">
        <v>410</v>
      </c>
      <c r="S1385" s="53">
        <v>0</v>
      </c>
      <c r="T1385" s="47" t="s">
        <v>198</v>
      </c>
      <c r="U1385" s="48" t="s">
        <v>199</v>
      </c>
      <c r="V1385" s="38"/>
      <c r="W1385" s="48" t="s">
        <v>195</v>
      </c>
      <c r="X1385" s="38" t="s">
        <v>308</v>
      </c>
      <c r="Y1385" s="49" t="s">
        <v>309</v>
      </c>
      <c r="Z1385" s="50" t="s">
        <v>4143</v>
      </c>
      <c r="AA1385" s="38"/>
      <c r="AB1385" s="38"/>
      <c r="AC1385" s="38"/>
      <c r="AD1385" s="51">
        <v>16</v>
      </c>
      <c r="AE1385" s="51">
        <v>16</v>
      </c>
      <c r="AF1385" s="48" t="s">
        <v>203</v>
      </c>
      <c r="AG1385" s="38" t="s">
        <v>204</v>
      </c>
      <c r="AH1385" s="52"/>
      <c r="AI1385" s="38"/>
      <c r="AJ1385" s="38"/>
    </row>
    <row r="1386" spans="1:36" ht="16.2">
      <c r="A1386" s="42" t="s">
        <v>340</v>
      </c>
      <c r="B1386" s="42">
        <v>829869</v>
      </c>
      <c r="C1386" s="42" t="s">
        <v>4133</v>
      </c>
      <c r="D1386" s="42">
        <v>13207641</v>
      </c>
      <c r="E1386" s="43" t="s">
        <v>4134</v>
      </c>
      <c r="F1386" s="42" t="s">
        <v>376</v>
      </c>
      <c r="G1386" s="42" t="s">
        <v>195</v>
      </c>
      <c r="H1386" s="42"/>
      <c r="I1386" s="42"/>
      <c r="J1386" s="42">
        <v>13207641</v>
      </c>
      <c r="K1386" s="42"/>
      <c r="L1386" s="57">
        <v>45293</v>
      </c>
      <c r="M1386" s="57">
        <v>45293</v>
      </c>
      <c r="N1386" s="42" t="s">
        <v>4135</v>
      </c>
      <c r="O1386" s="42">
        <v>0</v>
      </c>
      <c r="P1386" s="42">
        <v>94543434</v>
      </c>
      <c r="Q1386" s="42" t="s">
        <v>4144</v>
      </c>
      <c r="R1386" s="45">
        <v>410</v>
      </c>
      <c r="S1386" s="42">
        <v>0</v>
      </c>
      <c r="T1386" s="47" t="s">
        <v>198</v>
      </c>
      <c r="U1386" s="48" t="s">
        <v>199</v>
      </c>
      <c r="V1386" s="38"/>
      <c r="W1386" s="48" t="s">
        <v>195</v>
      </c>
      <c r="X1386" s="38" t="s">
        <v>308</v>
      </c>
      <c r="Y1386" s="49" t="s">
        <v>309</v>
      </c>
      <c r="Z1386" s="50" t="s">
        <v>4145</v>
      </c>
      <c r="AA1386" s="38"/>
      <c r="AB1386" s="38"/>
      <c r="AC1386" s="38"/>
      <c r="AD1386" s="51">
        <v>16</v>
      </c>
      <c r="AE1386" s="51">
        <v>16</v>
      </c>
      <c r="AF1386" s="48" t="s">
        <v>203</v>
      </c>
      <c r="AG1386" s="38" t="s">
        <v>204</v>
      </c>
      <c r="AH1386" s="52"/>
      <c r="AI1386" s="38"/>
      <c r="AJ1386" s="38"/>
    </row>
    <row r="1387" spans="1:36" ht="16.2">
      <c r="A1387" s="53" t="s">
        <v>340</v>
      </c>
      <c r="B1387" s="53">
        <v>829869</v>
      </c>
      <c r="C1387" s="53" t="s">
        <v>4133</v>
      </c>
      <c r="D1387" s="53">
        <v>13207641</v>
      </c>
      <c r="E1387" s="54" t="s">
        <v>4134</v>
      </c>
      <c r="F1387" s="53" t="s">
        <v>211</v>
      </c>
      <c r="G1387" s="53" t="s">
        <v>195</v>
      </c>
      <c r="H1387" s="53"/>
      <c r="I1387" s="53"/>
      <c r="J1387" s="53">
        <v>13207641</v>
      </c>
      <c r="K1387" s="53"/>
      <c r="L1387" s="58">
        <v>45293</v>
      </c>
      <c r="M1387" s="58">
        <v>45293</v>
      </c>
      <c r="N1387" s="53" t="s">
        <v>4135</v>
      </c>
      <c r="O1387" s="53">
        <v>0</v>
      </c>
      <c r="P1387" s="53">
        <v>94543434</v>
      </c>
      <c r="Q1387" s="53" t="s">
        <v>4146</v>
      </c>
      <c r="R1387" s="45">
        <v>410</v>
      </c>
      <c r="S1387" s="53">
        <v>0</v>
      </c>
      <c r="T1387" s="47" t="s">
        <v>198</v>
      </c>
      <c r="U1387" s="48" t="s">
        <v>199</v>
      </c>
      <c r="V1387" s="38"/>
      <c r="W1387" s="48" t="s">
        <v>195</v>
      </c>
      <c r="X1387" s="38" t="s">
        <v>308</v>
      </c>
      <c r="Y1387" s="49" t="s">
        <v>309</v>
      </c>
      <c r="Z1387" s="50" t="s">
        <v>4147</v>
      </c>
      <c r="AA1387" s="38"/>
      <c r="AB1387" s="38"/>
      <c r="AC1387" s="38"/>
      <c r="AD1387" s="51">
        <v>16</v>
      </c>
      <c r="AE1387" s="51">
        <v>16</v>
      </c>
      <c r="AF1387" s="48" t="s">
        <v>203</v>
      </c>
      <c r="AG1387" s="38" t="s">
        <v>204</v>
      </c>
      <c r="AH1387" s="52"/>
      <c r="AI1387" s="38"/>
      <c r="AJ1387" s="38"/>
    </row>
    <row r="1388" spans="1:36" ht="16.2">
      <c r="A1388" s="42" t="s">
        <v>340</v>
      </c>
      <c r="B1388" s="42">
        <v>829869</v>
      </c>
      <c r="C1388" s="42" t="s">
        <v>4133</v>
      </c>
      <c r="D1388" s="42">
        <v>13207641</v>
      </c>
      <c r="E1388" s="43" t="s">
        <v>4134</v>
      </c>
      <c r="F1388" s="42" t="s">
        <v>381</v>
      </c>
      <c r="G1388" s="42" t="s">
        <v>195</v>
      </c>
      <c r="H1388" s="42"/>
      <c r="I1388" s="42"/>
      <c r="J1388" s="42">
        <v>13207641</v>
      </c>
      <c r="K1388" s="42"/>
      <c r="L1388" s="57">
        <v>45293</v>
      </c>
      <c r="M1388" s="57">
        <v>45293</v>
      </c>
      <c r="N1388" s="42" t="s">
        <v>4135</v>
      </c>
      <c r="O1388" s="42">
        <v>0</v>
      </c>
      <c r="P1388" s="42">
        <v>94543434</v>
      </c>
      <c r="Q1388" s="42" t="s">
        <v>4148</v>
      </c>
      <c r="R1388" s="45">
        <v>410</v>
      </c>
      <c r="S1388" s="42">
        <v>0</v>
      </c>
      <c r="T1388" s="47" t="s">
        <v>198</v>
      </c>
      <c r="U1388" s="48" t="s">
        <v>199</v>
      </c>
      <c r="V1388" s="38"/>
      <c r="W1388" s="48" t="s">
        <v>195</v>
      </c>
      <c r="X1388" s="38" t="s">
        <v>308</v>
      </c>
      <c r="Y1388" s="49" t="s">
        <v>309</v>
      </c>
      <c r="Z1388" s="50" t="s">
        <v>4149</v>
      </c>
      <c r="AA1388" s="38"/>
      <c r="AB1388" s="38"/>
      <c r="AC1388" s="38"/>
      <c r="AD1388" s="51">
        <v>16</v>
      </c>
      <c r="AE1388" s="51">
        <v>16</v>
      </c>
      <c r="AF1388" s="48" t="s">
        <v>203</v>
      </c>
      <c r="AG1388" s="38" t="s">
        <v>204</v>
      </c>
      <c r="AH1388" s="52"/>
      <c r="AI1388" s="38"/>
      <c r="AJ1388" s="38"/>
    </row>
    <row r="1389" spans="1:36" ht="16.2">
      <c r="A1389" s="53" t="s">
        <v>340</v>
      </c>
      <c r="B1389" s="53">
        <v>829868</v>
      </c>
      <c r="C1389" s="53" t="s">
        <v>4150</v>
      </c>
      <c r="D1389" s="53">
        <v>13207640</v>
      </c>
      <c r="E1389" s="54" t="s">
        <v>4151</v>
      </c>
      <c r="F1389" s="53" t="s">
        <v>4029</v>
      </c>
      <c r="G1389" s="53" t="s">
        <v>195</v>
      </c>
      <c r="H1389" s="53"/>
      <c r="I1389" s="53"/>
      <c r="J1389" s="53">
        <v>13207640</v>
      </c>
      <c r="K1389" s="53"/>
      <c r="L1389" s="58">
        <v>45293</v>
      </c>
      <c r="M1389" s="58">
        <v>45293</v>
      </c>
      <c r="N1389" s="53" t="s">
        <v>4135</v>
      </c>
      <c r="O1389" s="53">
        <v>0</v>
      </c>
      <c r="P1389" s="53">
        <v>94543434</v>
      </c>
      <c r="Q1389" s="53" t="s">
        <v>4152</v>
      </c>
      <c r="R1389" s="45">
        <v>410</v>
      </c>
      <c r="S1389" s="53">
        <v>0</v>
      </c>
      <c r="T1389" s="47" t="s">
        <v>198</v>
      </c>
      <c r="U1389" s="48" t="s">
        <v>199</v>
      </c>
      <c r="V1389" s="38"/>
      <c r="W1389" s="48" t="s">
        <v>195</v>
      </c>
      <c r="X1389" s="38" t="s">
        <v>308</v>
      </c>
      <c r="Y1389" s="49" t="s">
        <v>309</v>
      </c>
      <c r="Z1389" s="50" t="s">
        <v>4153</v>
      </c>
      <c r="AA1389" s="38"/>
      <c r="AB1389" s="38"/>
      <c r="AC1389" s="38"/>
      <c r="AD1389" s="51">
        <v>16</v>
      </c>
      <c r="AE1389" s="51">
        <v>16</v>
      </c>
      <c r="AF1389" s="48" t="s">
        <v>203</v>
      </c>
      <c r="AG1389" s="38" t="s">
        <v>204</v>
      </c>
      <c r="AH1389" s="52"/>
      <c r="AI1389" s="38"/>
      <c r="AJ1389" s="38"/>
    </row>
    <row r="1390" spans="1:36" ht="16.2">
      <c r="A1390" s="42" t="s">
        <v>340</v>
      </c>
      <c r="B1390" s="42">
        <v>829868</v>
      </c>
      <c r="C1390" s="42" t="s">
        <v>4150</v>
      </c>
      <c r="D1390" s="42">
        <v>13207640</v>
      </c>
      <c r="E1390" s="43" t="s">
        <v>4151</v>
      </c>
      <c r="F1390" s="42" t="s">
        <v>4033</v>
      </c>
      <c r="G1390" s="42" t="s">
        <v>195</v>
      </c>
      <c r="H1390" s="42"/>
      <c r="I1390" s="42"/>
      <c r="J1390" s="42">
        <v>13207640</v>
      </c>
      <c r="K1390" s="42"/>
      <c r="L1390" s="57">
        <v>45293</v>
      </c>
      <c r="M1390" s="57">
        <v>45293</v>
      </c>
      <c r="N1390" s="42" t="s">
        <v>4135</v>
      </c>
      <c r="O1390" s="42">
        <v>0</v>
      </c>
      <c r="P1390" s="42">
        <v>94543434</v>
      </c>
      <c r="Q1390" s="42" t="s">
        <v>4154</v>
      </c>
      <c r="R1390" s="45">
        <v>410</v>
      </c>
      <c r="S1390" s="42">
        <v>0</v>
      </c>
      <c r="T1390" s="47" t="s">
        <v>198</v>
      </c>
      <c r="U1390" s="48" t="s">
        <v>199</v>
      </c>
      <c r="V1390" s="38"/>
      <c r="W1390" s="48" t="s">
        <v>195</v>
      </c>
      <c r="X1390" s="38" t="s">
        <v>308</v>
      </c>
      <c r="Y1390" s="49" t="s">
        <v>309</v>
      </c>
      <c r="Z1390" s="50" t="s">
        <v>4155</v>
      </c>
      <c r="AA1390" s="38"/>
      <c r="AB1390" s="38"/>
      <c r="AC1390" s="38"/>
      <c r="AD1390" s="51">
        <v>16</v>
      </c>
      <c r="AE1390" s="51">
        <v>16</v>
      </c>
      <c r="AF1390" s="48" t="s">
        <v>203</v>
      </c>
      <c r="AG1390" s="38" t="s">
        <v>204</v>
      </c>
      <c r="AH1390" s="52"/>
      <c r="AI1390" s="38"/>
      <c r="AJ1390" s="38"/>
    </row>
    <row r="1391" spans="1:36" ht="16.2">
      <c r="A1391" s="53" t="s">
        <v>340</v>
      </c>
      <c r="B1391" s="53">
        <v>829868</v>
      </c>
      <c r="C1391" s="53" t="s">
        <v>4150</v>
      </c>
      <c r="D1391" s="53">
        <v>13207640</v>
      </c>
      <c r="E1391" s="54" t="s">
        <v>4151</v>
      </c>
      <c r="F1391" s="53" t="s">
        <v>4036</v>
      </c>
      <c r="G1391" s="53" t="s">
        <v>195</v>
      </c>
      <c r="H1391" s="53"/>
      <c r="I1391" s="53"/>
      <c r="J1391" s="53">
        <v>13207640</v>
      </c>
      <c r="K1391" s="53"/>
      <c r="L1391" s="58">
        <v>45293</v>
      </c>
      <c r="M1391" s="58">
        <v>45293</v>
      </c>
      <c r="N1391" s="53" t="s">
        <v>4135</v>
      </c>
      <c r="O1391" s="53">
        <v>0</v>
      </c>
      <c r="P1391" s="53">
        <v>94543434</v>
      </c>
      <c r="Q1391" s="53" t="s">
        <v>4156</v>
      </c>
      <c r="R1391" s="45">
        <v>410</v>
      </c>
      <c r="S1391" s="53">
        <v>0</v>
      </c>
      <c r="T1391" s="47" t="s">
        <v>198</v>
      </c>
      <c r="U1391" s="48" t="s">
        <v>199</v>
      </c>
      <c r="V1391" s="38"/>
      <c r="W1391" s="48" t="s">
        <v>195</v>
      </c>
      <c r="X1391" s="38" t="s">
        <v>308</v>
      </c>
      <c r="Y1391" s="49" t="s">
        <v>309</v>
      </c>
      <c r="Z1391" s="50" t="s">
        <v>4157</v>
      </c>
      <c r="AA1391" s="38"/>
      <c r="AB1391" s="38"/>
      <c r="AC1391" s="38"/>
      <c r="AD1391" s="51">
        <v>16</v>
      </c>
      <c r="AE1391" s="51">
        <v>16</v>
      </c>
      <c r="AF1391" s="48" t="s">
        <v>203</v>
      </c>
      <c r="AG1391" s="38" t="s">
        <v>204</v>
      </c>
      <c r="AH1391" s="52"/>
      <c r="AI1391" s="38"/>
      <c r="AJ1391" s="38"/>
    </row>
    <row r="1392" spans="1:36" ht="16.2">
      <c r="A1392" s="42" t="s">
        <v>340</v>
      </c>
      <c r="B1392" s="42">
        <v>829868</v>
      </c>
      <c r="C1392" s="42" t="s">
        <v>4150</v>
      </c>
      <c r="D1392" s="42">
        <v>13207640</v>
      </c>
      <c r="E1392" s="43" t="s">
        <v>4151</v>
      </c>
      <c r="F1392" s="42" t="s">
        <v>4039</v>
      </c>
      <c r="G1392" s="42" t="s">
        <v>195</v>
      </c>
      <c r="H1392" s="42"/>
      <c r="I1392" s="42"/>
      <c r="J1392" s="42">
        <v>13207640</v>
      </c>
      <c r="K1392" s="42"/>
      <c r="L1392" s="57">
        <v>45293</v>
      </c>
      <c r="M1392" s="57">
        <v>45293</v>
      </c>
      <c r="N1392" s="42" t="s">
        <v>4135</v>
      </c>
      <c r="O1392" s="42">
        <v>0</v>
      </c>
      <c r="P1392" s="42">
        <v>94543434</v>
      </c>
      <c r="Q1392" s="42" t="s">
        <v>4158</v>
      </c>
      <c r="R1392" s="45">
        <v>410</v>
      </c>
      <c r="S1392" s="42">
        <v>0</v>
      </c>
      <c r="T1392" s="47" t="s">
        <v>198</v>
      </c>
      <c r="U1392" s="48" t="s">
        <v>199</v>
      </c>
      <c r="V1392" s="38"/>
      <c r="W1392" s="48" t="s">
        <v>195</v>
      </c>
      <c r="X1392" s="38" t="s">
        <v>308</v>
      </c>
      <c r="Y1392" s="49" t="s">
        <v>309</v>
      </c>
      <c r="Z1392" s="50" t="s">
        <v>4159</v>
      </c>
      <c r="AA1392" s="38"/>
      <c r="AB1392" s="38"/>
      <c r="AC1392" s="38"/>
      <c r="AD1392" s="51">
        <v>16</v>
      </c>
      <c r="AE1392" s="51">
        <v>16</v>
      </c>
      <c r="AF1392" s="48" t="s">
        <v>203</v>
      </c>
      <c r="AG1392" s="38" t="s">
        <v>204</v>
      </c>
      <c r="AH1392" s="52"/>
      <c r="AI1392" s="38"/>
      <c r="AJ1392" s="38"/>
    </row>
    <row r="1393" spans="1:36" ht="16.2">
      <c r="A1393" s="53" t="s">
        <v>340</v>
      </c>
      <c r="B1393" s="53">
        <v>829868</v>
      </c>
      <c r="C1393" s="53" t="s">
        <v>4150</v>
      </c>
      <c r="D1393" s="53">
        <v>13207640</v>
      </c>
      <c r="E1393" s="54" t="s">
        <v>4151</v>
      </c>
      <c r="F1393" s="53" t="s">
        <v>4042</v>
      </c>
      <c r="G1393" s="53" t="s">
        <v>195</v>
      </c>
      <c r="H1393" s="53"/>
      <c r="I1393" s="53"/>
      <c r="J1393" s="53">
        <v>13207640</v>
      </c>
      <c r="K1393" s="53"/>
      <c r="L1393" s="58">
        <v>45293</v>
      </c>
      <c r="M1393" s="58">
        <v>45293</v>
      </c>
      <c r="N1393" s="53" t="s">
        <v>4135</v>
      </c>
      <c r="O1393" s="53">
        <v>0</v>
      </c>
      <c r="P1393" s="53">
        <v>94543434</v>
      </c>
      <c r="Q1393" s="53" t="s">
        <v>4160</v>
      </c>
      <c r="R1393" s="45">
        <v>410</v>
      </c>
      <c r="S1393" s="53">
        <v>0</v>
      </c>
      <c r="T1393" s="47" t="s">
        <v>198</v>
      </c>
      <c r="U1393" s="48" t="s">
        <v>199</v>
      </c>
      <c r="V1393" s="38"/>
      <c r="W1393" s="48" t="s">
        <v>195</v>
      </c>
      <c r="X1393" s="38" t="s">
        <v>308</v>
      </c>
      <c r="Y1393" s="49" t="s">
        <v>309</v>
      </c>
      <c r="Z1393" s="50" t="s">
        <v>4161</v>
      </c>
      <c r="AA1393" s="38"/>
      <c r="AB1393" s="38"/>
      <c r="AC1393" s="38"/>
      <c r="AD1393" s="51">
        <v>16</v>
      </c>
      <c r="AE1393" s="51">
        <v>16</v>
      </c>
      <c r="AF1393" s="48" t="s">
        <v>203</v>
      </c>
      <c r="AG1393" s="38" t="s">
        <v>204</v>
      </c>
      <c r="AH1393" s="52"/>
      <c r="AI1393" s="38"/>
      <c r="AJ1393" s="38"/>
    </row>
    <row r="1394" spans="1:36" ht="16.2">
      <c r="A1394" s="42" t="s">
        <v>340</v>
      </c>
      <c r="B1394" s="42">
        <v>829868</v>
      </c>
      <c r="C1394" s="42" t="s">
        <v>4150</v>
      </c>
      <c r="D1394" s="42">
        <v>13207640</v>
      </c>
      <c r="E1394" s="43" t="s">
        <v>4151</v>
      </c>
      <c r="F1394" s="42" t="s">
        <v>211</v>
      </c>
      <c r="G1394" s="42" t="s">
        <v>195</v>
      </c>
      <c r="H1394" s="42"/>
      <c r="I1394" s="42"/>
      <c r="J1394" s="42">
        <v>13207640</v>
      </c>
      <c r="K1394" s="42"/>
      <c r="L1394" s="57">
        <v>45293</v>
      </c>
      <c r="M1394" s="57">
        <v>45293</v>
      </c>
      <c r="N1394" s="42" t="s">
        <v>4135</v>
      </c>
      <c r="O1394" s="42">
        <v>0</v>
      </c>
      <c r="P1394" s="42">
        <v>94543434</v>
      </c>
      <c r="Q1394" s="42" t="s">
        <v>4162</v>
      </c>
      <c r="R1394" s="45">
        <v>410</v>
      </c>
      <c r="S1394" s="42">
        <v>0</v>
      </c>
      <c r="T1394" s="47" t="s">
        <v>198</v>
      </c>
      <c r="U1394" s="48" t="s">
        <v>199</v>
      </c>
      <c r="V1394" s="38"/>
      <c r="W1394" s="48" t="s">
        <v>195</v>
      </c>
      <c r="X1394" s="38" t="s">
        <v>308</v>
      </c>
      <c r="Y1394" s="49" t="s">
        <v>309</v>
      </c>
      <c r="Z1394" s="50" t="s">
        <v>4163</v>
      </c>
      <c r="AA1394" s="38"/>
      <c r="AB1394" s="38"/>
      <c r="AC1394" s="38"/>
      <c r="AD1394" s="51">
        <v>16</v>
      </c>
      <c r="AE1394" s="51">
        <v>16</v>
      </c>
      <c r="AF1394" s="48" t="s">
        <v>203</v>
      </c>
      <c r="AG1394" s="38" t="s">
        <v>204</v>
      </c>
      <c r="AH1394" s="52"/>
      <c r="AI1394" s="38"/>
      <c r="AJ1394" s="38"/>
    </row>
    <row r="1395" spans="1:36" ht="16.2">
      <c r="A1395" s="53" t="s">
        <v>340</v>
      </c>
      <c r="B1395" s="53">
        <v>829868</v>
      </c>
      <c r="C1395" s="53" t="s">
        <v>4150</v>
      </c>
      <c r="D1395" s="53">
        <v>13207640</v>
      </c>
      <c r="E1395" s="54" t="s">
        <v>4151</v>
      </c>
      <c r="F1395" s="53" t="s">
        <v>4047</v>
      </c>
      <c r="G1395" s="53" t="s">
        <v>195</v>
      </c>
      <c r="H1395" s="53"/>
      <c r="I1395" s="53"/>
      <c r="J1395" s="53">
        <v>13207640</v>
      </c>
      <c r="K1395" s="53"/>
      <c r="L1395" s="58">
        <v>45293</v>
      </c>
      <c r="M1395" s="58">
        <v>45293</v>
      </c>
      <c r="N1395" s="53" t="s">
        <v>4135</v>
      </c>
      <c r="O1395" s="53">
        <v>0</v>
      </c>
      <c r="P1395" s="53">
        <v>94543434</v>
      </c>
      <c r="Q1395" s="53" t="s">
        <v>4164</v>
      </c>
      <c r="R1395" s="45">
        <v>410</v>
      </c>
      <c r="S1395" s="53">
        <v>0</v>
      </c>
      <c r="T1395" s="47" t="s">
        <v>198</v>
      </c>
      <c r="U1395" s="48" t="s">
        <v>199</v>
      </c>
      <c r="V1395" s="38"/>
      <c r="W1395" s="48" t="s">
        <v>195</v>
      </c>
      <c r="X1395" s="38" t="s">
        <v>308</v>
      </c>
      <c r="Y1395" s="49" t="s">
        <v>309</v>
      </c>
      <c r="Z1395" s="50" t="s">
        <v>4165</v>
      </c>
      <c r="AA1395" s="38"/>
      <c r="AB1395" s="38"/>
      <c r="AC1395" s="38"/>
      <c r="AD1395" s="51">
        <v>16</v>
      </c>
      <c r="AE1395" s="51">
        <v>16</v>
      </c>
      <c r="AF1395" s="48" t="s">
        <v>203</v>
      </c>
      <c r="AG1395" s="38" t="s">
        <v>204</v>
      </c>
      <c r="AH1395" s="52"/>
      <c r="AI1395" s="38"/>
      <c r="AJ1395" s="38"/>
    </row>
    <row r="1396" spans="1:36" ht="16.2">
      <c r="A1396" s="42" t="s">
        <v>340</v>
      </c>
      <c r="B1396" s="42">
        <v>829868</v>
      </c>
      <c r="C1396" s="42" t="s">
        <v>4150</v>
      </c>
      <c r="D1396" s="42">
        <v>13207640</v>
      </c>
      <c r="E1396" s="43" t="s">
        <v>4151</v>
      </c>
      <c r="F1396" s="42" t="s">
        <v>4109</v>
      </c>
      <c r="G1396" s="42" t="s">
        <v>195</v>
      </c>
      <c r="H1396" s="42"/>
      <c r="I1396" s="42"/>
      <c r="J1396" s="42">
        <v>13207640</v>
      </c>
      <c r="K1396" s="42"/>
      <c r="L1396" s="57">
        <v>45293</v>
      </c>
      <c r="M1396" s="57">
        <v>45293</v>
      </c>
      <c r="N1396" s="42" t="s">
        <v>4135</v>
      </c>
      <c r="O1396" s="42">
        <v>0</v>
      </c>
      <c r="P1396" s="42">
        <v>94543434</v>
      </c>
      <c r="Q1396" s="42" t="s">
        <v>4166</v>
      </c>
      <c r="R1396" s="45">
        <v>410</v>
      </c>
      <c r="S1396" s="42">
        <v>0</v>
      </c>
      <c r="T1396" s="47" t="s">
        <v>198</v>
      </c>
      <c r="U1396" s="48" t="s">
        <v>199</v>
      </c>
      <c r="V1396" s="38"/>
      <c r="W1396" s="48" t="s">
        <v>195</v>
      </c>
      <c r="X1396" s="38" t="s">
        <v>308</v>
      </c>
      <c r="Y1396" s="49" t="s">
        <v>309</v>
      </c>
      <c r="Z1396" s="50" t="s">
        <v>4167</v>
      </c>
      <c r="AA1396" s="38"/>
      <c r="AB1396" s="38"/>
      <c r="AC1396" s="38"/>
      <c r="AD1396" s="51">
        <v>16</v>
      </c>
      <c r="AE1396" s="51">
        <v>16</v>
      </c>
      <c r="AF1396" s="48" t="s">
        <v>203</v>
      </c>
      <c r="AG1396" s="38" t="s">
        <v>204</v>
      </c>
      <c r="AH1396" s="52"/>
      <c r="AI1396" s="38"/>
      <c r="AJ1396" s="38"/>
    </row>
    <row r="1397" spans="1:36" ht="16.2">
      <c r="A1397" s="53" t="s">
        <v>340</v>
      </c>
      <c r="B1397" s="53">
        <v>829868</v>
      </c>
      <c r="C1397" s="53" t="s">
        <v>4150</v>
      </c>
      <c r="D1397" s="53">
        <v>13207640</v>
      </c>
      <c r="E1397" s="54" t="s">
        <v>4151</v>
      </c>
      <c r="F1397" s="53" t="s">
        <v>235</v>
      </c>
      <c r="G1397" s="53" t="s">
        <v>195</v>
      </c>
      <c r="H1397" s="53"/>
      <c r="I1397" s="53"/>
      <c r="J1397" s="53">
        <v>13207640</v>
      </c>
      <c r="K1397" s="53"/>
      <c r="L1397" s="58">
        <v>45293</v>
      </c>
      <c r="M1397" s="58">
        <v>45293</v>
      </c>
      <c r="N1397" s="53" t="s">
        <v>4135</v>
      </c>
      <c r="O1397" s="53">
        <v>0</v>
      </c>
      <c r="P1397" s="53">
        <v>94543434</v>
      </c>
      <c r="Q1397" s="53" t="s">
        <v>4168</v>
      </c>
      <c r="R1397" s="45">
        <v>410</v>
      </c>
      <c r="S1397" s="53">
        <v>0</v>
      </c>
      <c r="T1397" s="47" t="s">
        <v>198</v>
      </c>
      <c r="U1397" s="48" t="s">
        <v>199</v>
      </c>
      <c r="V1397" s="38"/>
      <c r="W1397" s="48" t="s">
        <v>195</v>
      </c>
      <c r="X1397" s="38" t="s">
        <v>308</v>
      </c>
      <c r="Y1397" s="49" t="s">
        <v>309</v>
      </c>
      <c r="Z1397" s="50" t="s">
        <v>4169</v>
      </c>
      <c r="AA1397" s="38"/>
      <c r="AB1397" s="38"/>
      <c r="AC1397" s="38"/>
      <c r="AD1397" s="51">
        <v>16</v>
      </c>
      <c r="AE1397" s="51">
        <v>16</v>
      </c>
      <c r="AF1397" s="48" t="s">
        <v>203</v>
      </c>
      <c r="AG1397" s="38" t="s">
        <v>204</v>
      </c>
      <c r="AH1397" s="52"/>
      <c r="AI1397" s="38"/>
      <c r="AJ1397" s="38"/>
    </row>
    <row r="1398" spans="1:36" ht="16.2">
      <c r="A1398" s="42" t="s">
        <v>1908</v>
      </c>
      <c r="B1398" s="42">
        <v>739532</v>
      </c>
      <c r="C1398" s="42" t="s">
        <v>4170</v>
      </c>
      <c r="D1398" s="42">
        <v>13207669</v>
      </c>
      <c r="E1398" s="43" t="s">
        <v>4171</v>
      </c>
      <c r="F1398" s="42" t="s">
        <v>4172</v>
      </c>
      <c r="G1398" s="42" t="s">
        <v>195</v>
      </c>
      <c r="H1398" s="42"/>
      <c r="I1398" s="42"/>
      <c r="J1398" s="42">
        <v>13207669</v>
      </c>
      <c r="K1398" s="42"/>
      <c r="L1398" s="57">
        <v>45293</v>
      </c>
      <c r="M1398" s="57">
        <v>45293</v>
      </c>
      <c r="N1398" s="42" t="s">
        <v>1894</v>
      </c>
      <c r="O1398" s="42">
        <v>0</v>
      </c>
      <c r="P1398" s="42">
        <v>20078418</v>
      </c>
      <c r="Q1398" s="42" t="s">
        <v>4173</v>
      </c>
      <c r="R1398" s="45">
        <v>410</v>
      </c>
      <c r="S1398" s="42">
        <v>0</v>
      </c>
      <c r="T1398" s="47" t="s">
        <v>198</v>
      </c>
      <c r="U1398" s="48" t="s">
        <v>199</v>
      </c>
      <c r="V1398" s="38"/>
      <c r="W1398" s="48" t="s">
        <v>195</v>
      </c>
      <c r="X1398" s="38" t="s">
        <v>426</v>
      </c>
      <c r="Y1398" s="49" t="s">
        <v>427</v>
      </c>
      <c r="Z1398" s="50" t="s">
        <v>4174</v>
      </c>
      <c r="AA1398" s="38"/>
      <c r="AB1398" s="38"/>
      <c r="AC1398" s="38"/>
      <c r="AD1398" s="51">
        <v>67</v>
      </c>
      <c r="AE1398" s="51">
        <v>67</v>
      </c>
      <c r="AF1398" s="48" t="s">
        <v>203</v>
      </c>
      <c r="AG1398" s="38" t="s">
        <v>204</v>
      </c>
      <c r="AH1398" s="52"/>
      <c r="AI1398" s="38"/>
      <c r="AJ1398" s="38"/>
    </row>
    <row r="1399" spans="1:36" ht="16.2">
      <c r="A1399" s="53" t="s">
        <v>1908</v>
      </c>
      <c r="B1399" s="53">
        <v>739532</v>
      </c>
      <c r="C1399" s="53" t="s">
        <v>4170</v>
      </c>
      <c r="D1399" s="53">
        <v>13207669</v>
      </c>
      <c r="E1399" s="54" t="s">
        <v>4171</v>
      </c>
      <c r="F1399" s="53" t="s">
        <v>4175</v>
      </c>
      <c r="G1399" s="53" t="s">
        <v>195</v>
      </c>
      <c r="H1399" s="53"/>
      <c r="I1399" s="53"/>
      <c r="J1399" s="53">
        <v>13207669</v>
      </c>
      <c r="K1399" s="53"/>
      <c r="L1399" s="58">
        <v>45293</v>
      </c>
      <c r="M1399" s="58">
        <v>45293</v>
      </c>
      <c r="N1399" s="53" t="s">
        <v>1894</v>
      </c>
      <c r="O1399" s="53">
        <v>0</v>
      </c>
      <c r="P1399" s="53">
        <v>20078418</v>
      </c>
      <c r="Q1399" s="53" t="s">
        <v>4176</v>
      </c>
      <c r="R1399" s="45">
        <v>410</v>
      </c>
      <c r="S1399" s="53">
        <v>0</v>
      </c>
      <c r="T1399" s="47" t="s">
        <v>198</v>
      </c>
      <c r="U1399" s="48" t="s">
        <v>199</v>
      </c>
      <c r="V1399" s="38"/>
      <c r="W1399" s="48" t="s">
        <v>195</v>
      </c>
      <c r="X1399" s="38" t="s">
        <v>426</v>
      </c>
      <c r="Y1399" s="49" t="s">
        <v>427</v>
      </c>
      <c r="Z1399" s="50" t="s">
        <v>4177</v>
      </c>
      <c r="AA1399" s="38"/>
      <c r="AB1399" s="38"/>
      <c r="AC1399" s="38"/>
      <c r="AD1399" s="51">
        <v>67</v>
      </c>
      <c r="AE1399" s="51">
        <v>67</v>
      </c>
      <c r="AF1399" s="48" t="s">
        <v>203</v>
      </c>
      <c r="AG1399" s="38" t="s">
        <v>204</v>
      </c>
      <c r="AH1399" s="52"/>
      <c r="AI1399" s="38"/>
      <c r="AJ1399" s="38"/>
    </row>
    <row r="1400" spans="1:36" ht="16.2">
      <c r="A1400" s="42" t="s">
        <v>302</v>
      </c>
      <c r="B1400" s="42">
        <v>659371</v>
      </c>
      <c r="C1400" s="42" t="s">
        <v>653</v>
      </c>
      <c r="D1400" s="42">
        <v>13207587</v>
      </c>
      <c r="E1400" s="43" t="s">
        <v>654</v>
      </c>
      <c r="F1400" s="42" t="s">
        <v>655</v>
      </c>
      <c r="G1400" s="42" t="s">
        <v>195</v>
      </c>
      <c r="H1400" s="42"/>
      <c r="I1400" s="42"/>
      <c r="J1400" s="42">
        <v>13207587</v>
      </c>
      <c r="K1400" s="42"/>
      <c r="L1400" s="57">
        <v>45293</v>
      </c>
      <c r="M1400" s="57">
        <v>45293</v>
      </c>
      <c r="N1400" s="42" t="s">
        <v>656</v>
      </c>
      <c r="O1400" s="42">
        <v>0</v>
      </c>
      <c r="P1400" s="42">
        <v>20015139</v>
      </c>
      <c r="Q1400" s="42" t="s">
        <v>4178</v>
      </c>
      <c r="R1400" s="45">
        <v>410</v>
      </c>
      <c r="S1400" s="42">
        <v>0</v>
      </c>
      <c r="T1400" s="47" t="s">
        <v>198</v>
      </c>
      <c r="U1400" s="48" t="s">
        <v>199</v>
      </c>
      <c r="V1400" s="38"/>
      <c r="W1400" s="48" t="s">
        <v>195</v>
      </c>
      <c r="X1400" s="38" t="s">
        <v>308</v>
      </c>
      <c r="Y1400" s="49" t="s">
        <v>309</v>
      </c>
      <c r="Z1400" s="50" t="s">
        <v>4179</v>
      </c>
      <c r="AA1400" s="38"/>
      <c r="AB1400" s="38"/>
      <c r="AC1400" s="38"/>
      <c r="AD1400" s="51">
        <v>64</v>
      </c>
      <c r="AE1400" s="51">
        <v>64</v>
      </c>
      <c r="AF1400" s="48" t="s">
        <v>203</v>
      </c>
      <c r="AG1400" s="38" t="s">
        <v>204</v>
      </c>
      <c r="AH1400" s="52"/>
      <c r="AI1400" s="38"/>
      <c r="AJ1400" s="38"/>
    </row>
    <row r="1401" spans="1:36" ht="16.2">
      <c r="A1401" s="53" t="s">
        <v>302</v>
      </c>
      <c r="B1401" s="53">
        <v>659371</v>
      </c>
      <c r="C1401" s="53" t="s">
        <v>653</v>
      </c>
      <c r="D1401" s="53">
        <v>13207587</v>
      </c>
      <c r="E1401" s="54" t="s">
        <v>654</v>
      </c>
      <c r="F1401" s="53" t="s">
        <v>659</v>
      </c>
      <c r="G1401" s="53" t="s">
        <v>195</v>
      </c>
      <c r="H1401" s="53"/>
      <c r="I1401" s="53"/>
      <c r="J1401" s="53">
        <v>13207587</v>
      </c>
      <c r="K1401" s="53"/>
      <c r="L1401" s="58">
        <v>45293</v>
      </c>
      <c r="M1401" s="58">
        <v>45293</v>
      </c>
      <c r="N1401" s="53" t="s">
        <v>656</v>
      </c>
      <c r="O1401" s="53">
        <v>0</v>
      </c>
      <c r="P1401" s="53">
        <v>20015139</v>
      </c>
      <c r="Q1401" s="53" t="s">
        <v>4180</v>
      </c>
      <c r="R1401" s="45">
        <v>410</v>
      </c>
      <c r="S1401" s="53">
        <v>0</v>
      </c>
      <c r="T1401" s="47" t="s">
        <v>198</v>
      </c>
      <c r="U1401" s="48" t="s">
        <v>199</v>
      </c>
      <c r="V1401" s="38"/>
      <c r="W1401" s="48" t="s">
        <v>195</v>
      </c>
      <c r="X1401" s="38" t="s">
        <v>308</v>
      </c>
      <c r="Y1401" s="49" t="s">
        <v>309</v>
      </c>
      <c r="Z1401" s="50" t="s">
        <v>4181</v>
      </c>
      <c r="AA1401" s="38"/>
      <c r="AB1401" s="38"/>
      <c r="AC1401" s="38"/>
      <c r="AD1401" s="51">
        <v>64</v>
      </c>
      <c r="AE1401" s="51">
        <v>64</v>
      </c>
      <c r="AF1401" s="48" t="s">
        <v>203</v>
      </c>
      <c r="AG1401" s="38" t="s">
        <v>204</v>
      </c>
      <c r="AH1401" s="52"/>
      <c r="AI1401" s="38"/>
      <c r="AJ1401" s="38"/>
    </row>
    <row r="1402" spans="1:36" ht="16.2">
      <c r="A1402" s="42" t="s">
        <v>302</v>
      </c>
      <c r="B1402" s="42">
        <v>659371</v>
      </c>
      <c r="C1402" s="42" t="s">
        <v>653</v>
      </c>
      <c r="D1402" s="42">
        <v>13207587</v>
      </c>
      <c r="E1402" s="43" t="s">
        <v>654</v>
      </c>
      <c r="F1402" s="42" t="s">
        <v>662</v>
      </c>
      <c r="G1402" s="42" t="s">
        <v>195</v>
      </c>
      <c r="H1402" s="42"/>
      <c r="I1402" s="42"/>
      <c r="J1402" s="42">
        <v>13207587</v>
      </c>
      <c r="K1402" s="42"/>
      <c r="L1402" s="57">
        <v>45293</v>
      </c>
      <c r="M1402" s="57">
        <v>45293</v>
      </c>
      <c r="N1402" s="42" t="s">
        <v>656</v>
      </c>
      <c r="O1402" s="42">
        <v>0</v>
      </c>
      <c r="P1402" s="42">
        <v>20015139</v>
      </c>
      <c r="Q1402" s="42" t="s">
        <v>4182</v>
      </c>
      <c r="R1402" s="45">
        <v>410</v>
      </c>
      <c r="S1402" s="42">
        <v>0</v>
      </c>
      <c r="T1402" s="47" t="s">
        <v>198</v>
      </c>
      <c r="U1402" s="48" t="s">
        <v>199</v>
      </c>
      <c r="V1402" s="38"/>
      <c r="W1402" s="48" t="s">
        <v>195</v>
      </c>
      <c r="X1402" s="38" t="s">
        <v>308</v>
      </c>
      <c r="Y1402" s="49" t="s">
        <v>309</v>
      </c>
      <c r="Z1402" s="50" t="s">
        <v>4183</v>
      </c>
      <c r="AA1402" s="38"/>
      <c r="AB1402" s="38"/>
      <c r="AC1402" s="38"/>
      <c r="AD1402" s="51">
        <v>64</v>
      </c>
      <c r="AE1402" s="51">
        <v>64</v>
      </c>
      <c r="AF1402" s="48" t="s">
        <v>203</v>
      </c>
      <c r="AG1402" s="38" t="s">
        <v>204</v>
      </c>
      <c r="AH1402" s="52"/>
      <c r="AI1402" s="38"/>
      <c r="AJ1402" s="38"/>
    </row>
    <row r="1403" spans="1:36" ht="16.2">
      <c r="A1403" s="53" t="s">
        <v>302</v>
      </c>
      <c r="B1403" s="53">
        <v>659371</v>
      </c>
      <c r="C1403" s="53" t="s">
        <v>653</v>
      </c>
      <c r="D1403" s="53">
        <v>13207587</v>
      </c>
      <c r="E1403" s="54" t="s">
        <v>654</v>
      </c>
      <c r="F1403" s="53" t="s">
        <v>665</v>
      </c>
      <c r="G1403" s="53" t="s">
        <v>195</v>
      </c>
      <c r="H1403" s="53"/>
      <c r="I1403" s="53"/>
      <c r="J1403" s="53">
        <v>13207587</v>
      </c>
      <c r="K1403" s="53"/>
      <c r="L1403" s="58">
        <v>45293</v>
      </c>
      <c r="M1403" s="58">
        <v>45293</v>
      </c>
      <c r="N1403" s="53" t="s">
        <v>656</v>
      </c>
      <c r="O1403" s="53">
        <v>0</v>
      </c>
      <c r="P1403" s="53">
        <v>20015139</v>
      </c>
      <c r="Q1403" s="53" t="s">
        <v>4184</v>
      </c>
      <c r="R1403" s="45">
        <v>410</v>
      </c>
      <c r="S1403" s="53">
        <v>0</v>
      </c>
      <c r="T1403" s="47" t="s">
        <v>198</v>
      </c>
      <c r="U1403" s="48" t="s">
        <v>199</v>
      </c>
      <c r="V1403" s="38"/>
      <c r="W1403" s="48" t="s">
        <v>195</v>
      </c>
      <c r="X1403" s="38" t="s">
        <v>308</v>
      </c>
      <c r="Y1403" s="49" t="s">
        <v>309</v>
      </c>
      <c r="Z1403" s="50" t="s">
        <v>4185</v>
      </c>
      <c r="AA1403" s="38"/>
      <c r="AB1403" s="38"/>
      <c r="AC1403" s="38"/>
      <c r="AD1403" s="51">
        <v>64</v>
      </c>
      <c r="AE1403" s="51">
        <v>64</v>
      </c>
      <c r="AF1403" s="48" t="s">
        <v>203</v>
      </c>
      <c r="AG1403" s="38" t="s">
        <v>204</v>
      </c>
      <c r="AH1403" s="52"/>
      <c r="AI1403" s="38"/>
      <c r="AJ1403" s="38"/>
    </row>
    <row r="1404" spans="1:36" ht="16.2">
      <c r="A1404" s="42" t="s">
        <v>302</v>
      </c>
      <c r="B1404" s="42">
        <v>659371</v>
      </c>
      <c r="C1404" s="42" t="s">
        <v>653</v>
      </c>
      <c r="D1404" s="42">
        <v>13207587</v>
      </c>
      <c r="E1404" s="43" t="s">
        <v>654</v>
      </c>
      <c r="F1404" s="42" t="s">
        <v>668</v>
      </c>
      <c r="G1404" s="42" t="s">
        <v>195</v>
      </c>
      <c r="H1404" s="42"/>
      <c r="I1404" s="42"/>
      <c r="J1404" s="42">
        <v>13207587</v>
      </c>
      <c r="K1404" s="42"/>
      <c r="L1404" s="57">
        <v>45293</v>
      </c>
      <c r="M1404" s="57">
        <v>45293</v>
      </c>
      <c r="N1404" s="42" t="s">
        <v>656</v>
      </c>
      <c r="O1404" s="42">
        <v>0</v>
      </c>
      <c r="P1404" s="42">
        <v>20015139</v>
      </c>
      <c r="Q1404" s="42" t="s">
        <v>4186</v>
      </c>
      <c r="R1404" s="45">
        <v>410</v>
      </c>
      <c r="S1404" s="42">
        <v>0</v>
      </c>
      <c r="T1404" s="47" t="s">
        <v>198</v>
      </c>
      <c r="U1404" s="48" t="s">
        <v>199</v>
      </c>
      <c r="V1404" s="38"/>
      <c r="W1404" s="48" t="s">
        <v>195</v>
      </c>
      <c r="X1404" s="38" t="s">
        <v>308</v>
      </c>
      <c r="Y1404" s="49" t="s">
        <v>309</v>
      </c>
      <c r="Z1404" s="50" t="s">
        <v>4187</v>
      </c>
      <c r="AA1404" s="38"/>
      <c r="AB1404" s="38"/>
      <c r="AC1404" s="38"/>
      <c r="AD1404" s="51">
        <v>64</v>
      </c>
      <c r="AE1404" s="51">
        <v>64</v>
      </c>
      <c r="AF1404" s="48" t="s">
        <v>203</v>
      </c>
      <c r="AG1404" s="38" t="s">
        <v>204</v>
      </c>
      <c r="AH1404" s="52"/>
      <c r="AI1404" s="38"/>
      <c r="AJ1404" s="38"/>
    </row>
    <row r="1405" spans="1:36" ht="16.2">
      <c r="A1405" s="53" t="s">
        <v>302</v>
      </c>
      <c r="B1405" s="53">
        <v>659371</v>
      </c>
      <c r="C1405" s="53" t="s">
        <v>653</v>
      </c>
      <c r="D1405" s="53">
        <v>13207587</v>
      </c>
      <c r="E1405" s="54" t="s">
        <v>654</v>
      </c>
      <c r="F1405" s="53" t="s">
        <v>671</v>
      </c>
      <c r="G1405" s="53" t="s">
        <v>195</v>
      </c>
      <c r="H1405" s="53"/>
      <c r="I1405" s="53"/>
      <c r="J1405" s="53">
        <v>13207587</v>
      </c>
      <c r="K1405" s="53"/>
      <c r="L1405" s="58">
        <v>45293</v>
      </c>
      <c r="M1405" s="58">
        <v>45293</v>
      </c>
      <c r="N1405" s="53" t="s">
        <v>656</v>
      </c>
      <c r="O1405" s="53">
        <v>0</v>
      </c>
      <c r="P1405" s="53">
        <v>20015139</v>
      </c>
      <c r="Q1405" s="53" t="s">
        <v>4188</v>
      </c>
      <c r="R1405" s="45">
        <v>410</v>
      </c>
      <c r="S1405" s="53">
        <v>0</v>
      </c>
      <c r="T1405" s="47" t="s">
        <v>198</v>
      </c>
      <c r="U1405" s="48" t="s">
        <v>199</v>
      </c>
      <c r="V1405" s="38"/>
      <c r="W1405" s="48" t="s">
        <v>195</v>
      </c>
      <c r="X1405" s="38" t="s">
        <v>308</v>
      </c>
      <c r="Y1405" s="49" t="s">
        <v>309</v>
      </c>
      <c r="Z1405" s="50" t="s">
        <v>4189</v>
      </c>
      <c r="AA1405" s="38"/>
      <c r="AB1405" s="38"/>
      <c r="AC1405" s="38"/>
      <c r="AD1405" s="51">
        <v>64</v>
      </c>
      <c r="AE1405" s="51">
        <v>64</v>
      </c>
      <c r="AF1405" s="48" t="s">
        <v>203</v>
      </c>
      <c r="AG1405" s="38" t="s">
        <v>204</v>
      </c>
      <c r="AH1405" s="52"/>
      <c r="AI1405" s="38"/>
      <c r="AJ1405" s="38"/>
    </row>
    <row r="1406" spans="1:36" ht="16.2">
      <c r="A1406" s="42" t="s">
        <v>302</v>
      </c>
      <c r="B1406" s="42">
        <v>659371</v>
      </c>
      <c r="C1406" s="42" t="s">
        <v>653</v>
      </c>
      <c r="D1406" s="42">
        <v>13207587</v>
      </c>
      <c r="E1406" s="43" t="s">
        <v>654</v>
      </c>
      <c r="F1406" s="42" t="s">
        <v>674</v>
      </c>
      <c r="G1406" s="42" t="s">
        <v>195</v>
      </c>
      <c r="H1406" s="42"/>
      <c r="I1406" s="42"/>
      <c r="J1406" s="42">
        <v>13207587</v>
      </c>
      <c r="K1406" s="42"/>
      <c r="L1406" s="57">
        <v>45293</v>
      </c>
      <c r="M1406" s="57">
        <v>45293</v>
      </c>
      <c r="N1406" s="42" t="s">
        <v>656</v>
      </c>
      <c r="O1406" s="42">
        <v>0</v>
      </c>
      <c r="P1406" s="42">
        <v>20015139</v>
      </c>
      <c r="Q1406" s="42" t="s">
        <v>4190</v>
      </c>
      <c r="R1406" s="45">
        <v>410</v>
      </c>
      <c r="S1406" s="42">
        <v>0</v>
      </c>
      <c r="T1406" s="47" t="s">
        <v>198</v>
      </c>
      <c r="U1406" s="48" t="s">
        <v>199</v>
      </c>
      <c r="V1406" s="38"/>
      <c r="W1406" s="48" t="s">
        <v>195</v>
      </c>
      <c r="X1406" s="38" t="s">
        <v>308</v>
      </c>
      <c r="Y1406" s="49" t="s">
        <v>309</v>
      </c>
      <c r="Z1406" s="50" t="s">
        <v>4191</v>
      </c>
      <c r="AA1406" s="38"/>
      <c r="AB1406" s="38"/>
      <c r="AC1406" s="38"/>
      <c r="AD1406" s="51">
        <v>64</v>
      </c>
      <c r="AE1406" s="51">
        <v>64</v>
      </c>
      <c r="AF1406" s="48" t="s">
        <v>203</v>
      </c>
      <c r="AG1406" s="38" t="s">
        <v>204</v>
      </c>
      <c r="AH1406" s="52"/>
      <c r="AI1406" s="38"/>
      <c r="AJ1406" s="38"/>
    </row>
    <row r="1407" spans="1:36" ht="16.2">
      <c r="A1407" s="53" t="s">
        <v>302</v>
      </c>
      <c r="B1407" s="53">
        <v>659371</v>
      </c>
      <c r="C1407" s="53" t="s">
        <v>653</v>
      </c>
      <c r="D1407" s="53">
        <v>13207587</v>
      </c>
      <c r="E1407" s="54" t="s">
        <v>654</v>
      </c>
      <c r="F1407" s="53" t="s">
        <v>677</v>
      </c>
      <c r="G1407" s="53" t="s">
        <v>195</v>
      </c>
      <c r="H1407" s="53"/>
      <c r="I1407" s="53"/>
      <c r="J1407" s="53">
        <v>13207587</v>
      </c>
      <c r="K1407" s="53"/>
      <c r="L1407" s="58">
        <v>45293</v>
      </c>
      <c r="M1407" s="58">
        <v>45293</v>
      </c>
      <c r="N1407" s="53" t="s">
        <v>656</v>
      </c>
      <c r="O1407" s="53">
        <v>0</v>
      </c>
      <c r="P1407" s="53">
        <v>20015139</v>
      </c>
      <c r="Q1407" s="53" t="s">
        <v>4192</v>
      </c>
      <c r="R1407" s="45">
        <v>410</v>
      </c>
      <c r="S1407" s="53">
        <v>0</v>
      </c>
      <c r="T1407" s="47" t="s">
        <v>198</v>
      </c>
      <c r="U1407" s="48" t="s">
        <v>199</v>
      </c>
      <c r="V1407" s="38"/>
      <c r="W1407" s="48" t="s">
        <v>195</v>
      </c>
      <c r="X1407" s="38" t="s">
        <v>308</v>
      </c>
      <c r="Y1407" s="49" t="s">
        <v>309</v>
      </c>
      <c r="Z1407" s="50" t="s">
        <v>4193</v>
      </c>
      <c r="AA1407" s="38"/>
      <c r="AB1407" s="38"/>
      <c r="AC1407" s="38"/>
      <c r="AD1407" s="51">
        <v>64</v>
      </c>
      <c r="AE1407" s="51">
        <v>64</v>
      </c>
      <c r="AF1407" s="48" t="s">
        <v>203</v>
      </c>
      <c r="AG1407" s="38" t="s">
        <v>204</v>
      </c>
      <c r="AH1407" s="52"/>
      <c r="AI1407" s="38"/>
      <c r="AJ1407" s="38"/>
    </row>
    <row r="1408" spans="1:36" ht="16.2">
      <c r="A1408" s="42" t="s">
        <v>302</v>
      </c>
      <c r="B1408" s="42">
        <v>659371</v>
      </c>
      <c r="C1408" s="42" t="s">
        <v>653</v>
      </c>
      <c r="D1408" s="42">
        <v>13207587</v>
      </c>
      <c r="E1408" s="43" t="s">
        <v>654</v>
      </c>
      <c r="F1408" s="42" t="s">
        <v>680</v>
      </c>
      <c r="G1408" s="42" t="s">
        <v>195</v>
      </c>
      <c r="H1408" s="42"/>
      <c r="I1408" s="42"/>
      <c r="J1408" s="42">
        <v>13207587</v>
      </c>
      <c r="K1408" s="42"/>
      <c r="L1408" s="57">
        <v>45293</v>
      </c>
      <c r="M1408" s="57">
        <v>45293</v>
      </c>
      <c r="N1408" s="42" t="s">
        <v>656</v>
      </c>
      <c r="O1408" s="42">
        <v>0</v>
      </c>
      <c r="P1408" s="42">
        <v>20015139</v>
      </c>
      <c r="Q1408" s="42" t="s">
        <v>4194</v>
      </c>
      <c r="R1408" s="45">
        <v>410</v>
      </c>
      <c r="S1408" s="42">
        <v>0</v>
      </c>
      <c r="T1408" s="47" t="s">
        <v>198</v>
      </c>
      <c r="U1408" s="48" t="s">
        <v>199</v>
      </c>
      <c r="V1408" s="38"/>
      <c r="W1408" s="48" t="s">
        <v>195</v>
      </c>
      <c r="X1408" s="38" t="s">
        <v>308</v>
      </c>
      <c r="Y1408" s="49" t="s">
        <v>309</v>
      </c>
      <c r="Z1408" s="50" t="s">
        <v>4195</v>
      </c>
      <c r="AA1408" s="38"/>
      <c r="AB1408" s="38"/>
      <c r="AC1408" s="38"/>
      <c r="AD1408" s="51">
        <v>64</v>
      </c>
      <c r="AE1408" s="51">
        <v>64</v>
      </c>
      <c r="AF1408" s="48" t="s">
        <v>203</v>
      </c>
      <c r="AG1408" s="38" t="s">
        <v>204</v>
      </c>
      <c r="AH1408" s="52"/>
      <c r="AI1408" s="38"/>
      <c r="AJ1408" s="38"/>
    </row>
    <row r="1409" spans="1:36" ht="16.2">
      <c r="A1409" s="53" t="s">
        <v>302</v>
      </c>
      <c r="B1409" s="53">
        <v>659371</v>
      </c>
      <c r="C1409" s="53" t="s">
        <v>653</v>
      </c>
      <c r="D1409" s="53">
        <v>13207587</v>
      </c>
      <c r="E1409" s="54" t="s">
        <v>654</v>
      </c>
      <c r="F1409" s="53" t="s">
        <v>683</v>
      </c>
      <c r="G1409" s="53" t="s">
        <v>195</v>
      </c>
      <c r="H1409" s="53"/>
      <c r="I1409" s="53"/>
      <c r="J1409" s="53">
        <v>13207587</v>
      </c>
      <c r="K1409" s="53"/>
      <c r="L1409" s="58">
        <v>45293</v>
      </c>
      <c r="M1409" s="58">
        <v>45293</v>
      </c>
      <c r="N1409" s="53" t="s">
        <v>656</v>
      </c>
      <c r="O1409" s="53">
        <v>0</v>
      </c>
      <c r="P1409" s="53">
        <v>20015139</v>
      </c>
      <c r="Q1409" s="53" t="s">
        <v>4196</v>
      </c>
      <c r="R1409" s="45">
        <v>410</v>
      </c>
      <c r="S1409" s="53">
        <v>0</v>
      </c>
      <c r="T1409" s="47" t="s">
        <v>198</v>
      </c>
      <c r="U1409" s="48" t="s">
        <v>199</v>
      </c>
      <c r="V1409" s="38"/>
      <c r="W1409" s="48" t="s">
        <v>195</v>
      </c>
      <c r="X1409" s="38" t="s">
        <v>308</v>
      </c>
      <c r="Y1409" s="49" t="s">
        <v>309</v>
      </c>
      <c r="Z1409" s="50" t="s">
        <v>4197</v>
      </c>
      <c r="AA1409" s="38"/>
      <c r="AB1409" s="38"/>
      <c r="AC1409" s="38"/>
      <c r="AD1409" s="51">
        <v>64</v>
      </c>
      <c r="AE1409" s="51">
        <v>64</v>
      </c>
      <c r="AF1409" s="48" t="s">
        <v>203</v>
      </c>
      <c r="AG1409" s="38" t="s">
        <v>204</v>
      </c>
      <c r="AH1409" s="52"/>
      <c r="AI1409" s="38"/>
      <c r="AJ1409" s="38"/>
    </row>
    <row r="1410" spans="1:36" ht="16.2">
      <c r="A1410" s="42" t="s">
        <v>302</v>
      </c>
      <c r="B1410" s="42">
        <v>659371</v>
      </c>
      <c r="C1410" s="42" t="s">
        <v>653</v>
      </c>
      <c r="D1410" s="42">
        <v>13207587</v>
      </c>
      <c r="E1410" s="43" t="s">
        <v>654</v>
      </c>
      <c r="F1410" s="42" t="s">
        <v>686</v>
      </c>
      <c r="G1410" s="42" t="s">
        <v>195</v>
      </c>
      <c r="H1410" s="42"/>
      <c r="I1410" s="42"/>
      <c r="J1410" s="42">
        <v>13207587</v>
      </c>
      <c r="K1410" s="42"/>
      <c r="L1410" s="57">
        <v>45293</v>
      </c>
      <c r="M1410" s="57">
        <v>45293</v>
      </c>
      <c r="N1410" s="42" t="s">
        <v>656</v>
      </c>
      <c r="O1410" s="42">
        <v>0</v>
      </c>
      <c r="P1410" s="42">
        <v>20015139</v>
      </c>
      <c r="Q1410" s="42" t="s">
        <v>4198</v>
      </c>
      <c r="R1410" s="45">
        <v>410</v>
      </c>
      <c r="S1410" s="42">
        <v>0</v>
      </c>
      <c r="T1410" s="47" t="s">
        <v>198</v>
      </c>
      <c r="U1410" s="48" t="s">
        <v>199</v>
      </c>
      <c r="V1410" s="38"/>
      <c r="W1410" s="48" t="s">
        <v>195</v>
      </c>
      <c r="X1410" s="38" t="s">
        <v>308</v>
      </c>
      <c r="Y1410" s="49" t="s">
        <v>309</v>
      </c>
      <c r="Z1410" s="50" t="s">
        <v>4199</v>
      </c>
      <c r="AA1410" s="38"/>
      <c r="AB1410" s="38"/>
      <c r="AC1410" s="38"/>
      <c r="AD1410" s="51">
        <v>64</v>
      </c>
      <c r="AE1410" s="51">
        <v>64</v>
      </c>
      <c r="AF1410" s="48" t="s">
        <v>203</v>
      </c>
      <c r="AG1410" s="38" t="s">
        <v>204</v>
      </c>
      <c r="AH1410" s="52"/>
      <c r="AI1410" s="38"/>
      <c r="AJ1410" s="38"/>
    </row>
    <row r="1411" spans="1:36" ht="16.2">
      <c r="A1411" s="53" t="s">
        <v>302</v>
      </c>
      <c r="B1411" s="53">
        <v>659371</v>
      </c>
      <c r="C1411" s="53" t="s">
        <v>653</v>
      </c>
      <c r="D1411" s="53">
        <v>13207587</v>
      </c>
      <c r="E1411" s="54" t="s">
        <v>654</v>
      </c>
      <c r="F1411" s="53" t="s">
        <v>689</v>
      </c>
      <c r="G1411" s="53" t="s">
        <v>195</v>
      </c>
      <c r="H1411" s="53"/>
      <c r="I1411" s="53"/>
      <c r="J1411" s="53">
        <v>13207587</v>
      </c>
      <c r="K1411" s="53"/>
      <c r="L1411" s="58">
        <v>45293</v>
      </c>
      <c r="M1411" s="58">
        <v>45293</v>
      </c>
      <c r="N1411" s="53" t="s">
        <v>656</v>
      </c>
      <c r="O1411" s="53">
        <v>0</v>
      </c>
      <c r="P1411" s="53">
        <v>20015139</v>
      </c>
      <c r="Q1411" s="53" t="s">
        <v>4200</v>
      </c>
      <c r="R1411" s="45">
        <v>410</v>
      </c>
      <c r="S1411" s="53">
        <v>0</v>
      </c>
      <c r="T1411" s="47" t="s">
        <v>198</v>
      </c>
      <c r="U1411" s="48" t="s">
        <v>199</v>
      </c>
      <c r="V1411" s="38"/>
      <c r="W1411" s="48" t="s">
        <v>195</v>
      </c>
      <c r="X1411" s="38" t="s">
        <v>308</v>
      </c>
      <c r="Y1411" s="49" t="s">
        <v>309</v>
      </c>
      <c r="Z1411" s="50" t="s">
        <v>4201</v>
      </c>
      <c r="AA1411" s="38"/>
      <c r="AB1411" s="38"/>
      <c r="AC1411" s="38"/>
      <c r="AD1411" s="51">
        <v>64</v>
      </c>
      <c r="AE1411" s="51">
        <v>64</v>
      </c>
      <c r="AF1411" s="48" t="s">
        <v>203</v>
      </c>
      <c r="AG1411" s="38" t="s">
        <v>204</v>
      </c>
      <c r="AH1411" s="52"/>
      <c r="AI1411" s="38"/>
      <c r="AJ1411" s="38"/>
    </row>
    <row r="1412" spans="1:36" ht="16.2">
      <c r="A1412" s="42" t="s">
        <v>302</v>
      </c>
      <c r="B1412" s="42">
        <v>659371</v>
      </c>
      <c r="C1412" s="42" t="s">
        <v>653</v>
      </c>
      <c r="D1412" s="42">
        <v>13207587</v>
      </c>
      <c r="E1412" s="43" t="s">
        <v>654</v>
      </c>
      <c r="F1412" s="42" t="s">
        <v>692</v>
      </c>
      <c r="G1412" s="42" t="s">
        <v>195</v>
      </c>
      <c r="H1412" s="42"/>
      <c r="I1412" s="42"/>
      <c r="J1412" s="42">
        <v>13207587</v>
      </c>
      <c r="K1412" s="42"/>
      <c r="L1412" s="57">
        <v>45293</v>
      </c>
      <c r="M1412" s="57">
        <v>45293</v>
      </c>
      <c r="N1412" s="42" t="s">
        <v>656</v>
      </c>
      <c r="O1412" s="42">
        <v>0</v>
      </c>
      <c r="P1412" s="42">
        <v>20015139</v>
      </c>
      <c r="Q1412" s="42" t="s">
        <v>4202</v>
      </c>
      <c r="R1412" s="45">
        <v>410</v>
      </c>
      <c r="S1412" s="42">
        <v>0</v>
      </c>
      <c r="T1412" s="47" t="s">
        <v>198</v>
      </c>
      <c r="U1412" s="48" t="s">
        <v>199</v>
      </c>
      <c r="V1412" s="38"/>
      <c r="W1412" s="48" t="s">
        <v>195</v>
      </c>
      <c r="X1412" s="38" t="s">
        <v>308</v>
      </c>
      <c r="Y1412" s="49" t="s">
        <v>309</v>
      </c>
      <c r="Z1412" s="50" t="s">
        <v>4203</v>
      </c>
      <c r="AA1412" s="38"/>
      <c r="AB1412" s="38"/>
      <c r="AC1412" s="38"/>
      <c r="AD1412" s="51">
        <v>64</v>
      </c>
      <c r="AE1412" s="51">
        <v>64</v>
      </c>
      <c r="AF1412" s="48" t="s">
        <v>203</v>
      </c>
      <c r="AG1412" s="38" t="s">
        <v>204</v>
      </c>
      <c r="AH1412" s="52"/>
      <c r="AI1412" s="38"/>
      <c r="AJ1412" s="38"/>
    </row>
    <row r="1413" spans="1:36" ht="16.2">
      <c r="A1413" s="53" t="s">
        <v>302</v>
      </c>
      <c r="B1413" s="53">
        <v>659371</v>
      </c>
      <c r="C1413" s="53" t="s">
        <v>653</v>
      </c>
      <c r="D1413" s="53">
        <v>13207587</v>
      </c>
      <c r="E1413" s="54" t="s">
        <v>654</v>
      </c>
      <c r="F1413" s="53" t="s">
        <v>695</v>
      </c>
      <c r="G1413" s="53" t="s">
        <v>195</v>
      </c>
      <c r="H1413" s="53"/>
      <c r="I1413" s="53"/>
      <c r="J1413" s="53">
        <v>13207587</v>
      </c>
      <c r="K1413" s="53"/>
      <c r="L1413" s="58">
        <v>45293</v>
      </c>
      <c r="M1413" s="58">
        <v>45293</v>
      </c>
      <c r="N1413" s="53" t="s">
        <v>656</v>
      </c>
      <c r="O1413" s="53">
        <v>0</v>
      </c>
      <c r="P1413" s="53">
        <v>20015139</v>
      </c>
      <c r="Q1413" s="53" t="s">
        <v>4204</v>
      </c>
      <c r="R1413" s="45">
        <v>410</v>
      </c>
      <c r="S1413" s="53">
        <v>0</v>
      </c>
      <c r="T1413" s="47" t="s">
        <v>198</v>
      </c>
      <c r="U1413" s="48" t="s">
        <v>199</v>
      </c>
      <c r="V1413" s="38"/>
      <c r="W1413" s="48" t="s">
        <v>195</v>
      </c>
      <c r="X1413" s="38" t="s">
        <v>308</v>
      </c>
      <c r="Y1413" s="49" t="s">
        <v>309</v>
      </c>
      <c r="Z1413" s="50" t="s">
        <v>4205</v>
      </c>
      <c r="AA1413" s="38"/>
      <c r="AB1413" s="38"/>
      <c r="AC1413" s="38"/>
      <c r="AD1413" s="51">
        <v>64</v>
      </c>
      <c r="AE1413" s="51">
        <v>64</v>
      </c>
      <c r="AF1413" s="48" t="s">
        <v>203</v>
      </c>
      <c r="AG1413" s="38" t="s">
        <v>204</v>
      </c>
      <c r="AH1413" s="52"/>
      <c r="AI1413" s="38"/>
      <c r="AJ1413" s="38"/>
    </row>
    <row r="1414" spans="1:36" ht="16.2">
      <c r="A1414" s="42" t="s">
        <v>302</v>
      </c>
      <c r="B1414" s="42">
        <v>638555</v>
      </c>
      <c r="C1414" s="42" t="s">
        <v>1104</v>
      </c>
      <c r="D1414" s="42">
        <v>13207594</v>
      </c>
      <c r="E1414" s="43" t="s">
        <v>1105</v>
      </c>
      <c r="F1414" s="42" t="s">
        <v>4206</v>
      </c>
      <c r="G1414" s="42" t="s">
        <v>195</v>
      </c>
      <c r="H1414" s="42"/>
      <c r="I1414" s="42"/>
      <c r="J1414" s="42">
        <v>13207594</v>
      </c>
      <c r="K1414" s="42"/>
      <c r="L1414" s="57">
        <v>45293</v>
      </c>
      <c r="M1414" s="57">
        <v>45293</v>
      </c>
      <c r="N1414" s="42" t="s">
        <v>306</v>
      </c>
      <c r="O1414" s="42">
        <v>0</v>
      </c>
      <c r="P1414" s="42">
        <v>20009855</v>
      </c>
      <c r="Q1414" s="42" t="s">
        <v>4207</v>
      </c>
      <c r="R1414" s="45">
        <v>410</v>
      </c>
      <c r="S1414" s="42">
        <v>0</v>
      </c>
      <c r="T1414" s="47" t="s">
        <v>198</v>
      </c>
      <c r="U1414" s="48" t="s">
        <v>199</v>
      </c>
      <c r="V1414" s="38"/>
      <c r="W1414" s="48" t="s">
        <v>195</v>
      </c>
      <c r="X1414" s="38" t="s">
        <v>308</v>
      </c>
      <c r="Y1414" s="49" t="s">
        <v>309</v>
      </c>
      <c r="Z1414" s="50" t="s">
        <v>4208</v>
      </c>
      <c r="AA1414" s="38"/>
      <c r="AB1414" s="38"/>
      <c r="AC1414" s="38"/>
      <c r="AD1414" s="51">
        <v>146</v>
      </c>
      <c r="AE1414" s="51">
        <v>146</v>
      </c>
      <c r="AF1414" s="48" t="s">
        <v>203</v>
      </c>
      <c r="AG1414" s="38" t="s">
        <v>204</v>
      </c>
      <c r="AH1414" s="52"/>
      <c r="AI1414" s="38"/>
      <c r="AJ1414" s="38"/>
    </row>
    <row r="1415" spans="1:36" ht="16.2">
      <c r="A1415" s="53" t="s">
        <v>302</v>
      </c>
      <c r="B1415" s="53">
        <v>638555</v>
      </c>
      <c r="C1415" s="53" t="s">
        <v>1104</v>
      </c>
      <c r="D1415" s="53">
        <v>13207594</v>
      </c>
      <c r="E1415" s="54" t="s">
        <v>1105</v>
      </c>
      <c r="F1415" s="53" t="s">
        <v>4209</v>
      </c>
      <c r="G1415" s="53" t="s">
        <v>195</v>
      </c>
      <c r="H1415" s="53"/>
      <c r="I1415" s="53"/>
      <c r="J1415" s="53">
        <v>13207594</v>
      </c>
      <c r="K1415" s="53"/>
      <c r="L1415" s="58">
        <v>45293</v>
      </c>
      <c r="M1415" s="58">
        <v>45293</v>
      </c>
      <c r="N1415" s="53" t="s">
        <v>306</v>
      </c>
      <c r="O1415" s="53">
        <v>0</v>
      </c>
      <c r="P1415" s="53">
        <v>20009855</v>
      </c>
      <c r="Q1415" s="53" t="s">
        <v>4210</v>
      </c>
      <c r="R1415" s="45">
        <v>410</v>
      </c>
      <c r="S1415" s="53">
        <v>0</v>
      </c>
      <c r="T1415" s="47" t="s">
        <v>198</v>
      </c>
      <c r="U1415" s="48" t="s">
        <v>199</v>
      </c>
      <c r="V1415" s="38"/>
      <c r="W1415" s="48" t="s">
        <v>195</v>
      </c>
      <c r="X1415" s="38" t="s">
        <v>308</v>
      </c>
      <c r="Y1415" s="49" t="s">
        <v>309</v>
      </c>
      <c r="Z1415" s="50" t="s">
        <v>4211</v>
      </c>
      <c r="AA1415" s="38"/>
      <c r="AB1415" s="38"/>
      <c r="AC1415" s="38"/>
      <c r="AD1415" s="51">
        <v>146</v>
      </c>
      <c r="AE1415" s="51">
        <v>146</v>
      </c>
      <c r="AF1415" s="48" t="s">
        <v>203</v>
      </c>
      <c r="AG1415" s="38" t="s">
        <v>204</v>
      </c>
      <c r="AH1415" s="52"/>
      <c r="AI1415" s="38"/>
      <c r="AJ1415" s="38"/>
    </row>
    <row r="1416" spans="1:36" ht="16.2">
      <c r="A1416" s="42" t="s">
        <v>302</v>
      </c>
      <c r="B1416" s="42">
        <v>638555</v>
      </c>
      <c r="C1416" s="42" t="s">
        <v>1104</v>
      </c>
      <c r="D1416" s="42">
        <v>13207594</v>
      </c>
      <c r="E1416" s="43" t="s">
        <v>1105</v>
      </c>
      <c r="F1416" s="42" t="s">
        <v>4212</v>
      </c>
      <c r="G1416" s="42" t="s">
        <v>195</v>
      </c>
      <c r="H1416" s="42"/>
      <c r="I1416" s="42"/>
      <c r="J1416" s="42">
        <v>13207594</v>
      </c>
      <c r="K1416" s="42"/>
      <c r="L1416" s="57">
        <v>45293</v>
      </c>
      <c r="M1416" s="57">
        <v>45293</v>
      </c>
      <c r="N1416" s="42" t="s">
        <v>306</v>
      </c>
      <c r="O1416" s="46">
        <v>0.01</v>
      </c>
      <c r="P1416" s="42">
        <v>20009855</v>
      </c>
      <c r="Q1416" s="42" t="s">
        <v>4213</v>
      </c>
      <c r="R1416" s="45">
        <v>410</v>
      </c>
      <c r="S1416" s="42">
        <v>0</v>
      </c>
      <c r="T1416" s="47" t="s">
        <v>198</v>
      </c>
      <c r="U1416" s="48" t="s">
        <v>199</v>
      </c>
      <c r="V1416" s="38"/>
      <c r="W1416" s="48" t="s">
        <v>195</v>
      </c>
      <c r="X1416" s="38" t="s">
        <v>308</v>
      </c>
      <c r="Y1416" s="49" t="s">
        <v>309</v>
      </c>
      <c r="Z1416" s="50" t="s">
        <v>4214</v>
      </c>
      <c r="AA1416" s="38"/>
      <c r="AB1416" s="38"/>
      <c r="AC1416" s="38"/>
      <c r="AD1416" s="51">
        <v>146</v>
      </c>
      <c r="AE1416" s="51">
        <v>146</v>
      </c>
      <c r="AF1416" s="48" t="s">
        <v>203</v>
      </c>
      <c r="AG1416" s="38" t="s">
        <v>204</v>
      </c>
      <c r="AH1416" s="52"/>
      <c r="AI1416" s="38"/>
      <c r="AJ1416" s="38"/>
    </row>
    <row r="1417" spans="1:36" ht="16.2">
      <c r="A1417" s="53" t="s">
        <v>302</v>
      </c>
      <c r="B1417" s="53">
        <v>638555</v>
      </c>
      <c r="C1417" s="53" t="s">
        <v>1104</v>
      </c>
      <c r="D1417" s="53">
        <v>13207594</v>
      </c>
      <c r="E1417" s="54" t="s">
        <v>1105</v>
      </c>
      <c r="F1417" s="53" t="s">
        <v>4215</v>
      </c>
      <c r="G1417" s="53" t="s">
        <v>195</v>
      </c>
      <c r="H1417" s="53"/>
      <c r="I1417" s="53"/>
      <c r="J1417" s="53">
        <v>13207594</v>
      </c>
      <c r="K1417" s="53"/>
      <c r="L1417" s="58">
        <v>45293</v>
      </c>
      <c r="M1417" s="58">
        <v>45293</v>
      </c>
      <c r="N1417" s="53" t="s">
        <v>306</v>
      </c>
      <c r="O1417" s="56">
        <v>0.01</v>
      </c>
      <c r="P1417" s="53">
        <v>20009855</v>
      </c>
      <c r="Q1417" s="53" t="s">
        <v>4216</v>
      </c>
      <c r="R1417" s="45">
        <v>410</v>
      </c>
      <c r="S1417" s="53">
        <v>0</v>
      </c>
      <c r="T1417" s="47" t="s">
        <v>198</v>
      </c>
      <c r="U1417" s="48" t="s">
        <v>199</v>
      </c>
      <c r="V1417" s="38"/>
      <c r="W1417" s="48" t="s">
        <v>195</v>
      </c>
      <c r="X1417" s="38" t="s">
        <v>308</v>
      </c>
      <c r="Y1417" s="49" t="s">
        <v>309</v>
      </c>
      <c r="Z1417" s="50" t="s">
        <v>4217</v>
      </c>
      <c r="AA1417" s="38"/>
      <c r="AB1417" s="38"/>
      <c r="AC1417" s="38"/>
      <c r="AD1417" s="51">
        <v>146</v>
      </c>
      <c r="AE1417" s="51">
        <v>146</v>
      </c>
      <c r="AF1417" s="48" t="s">
        <v>203</v>
      </c>
      <c r="AG1417" s="38" t="s">
        <v>204</v>
      </c>
      <c r="AH1417" s="52"/>
      <c r="AI1417" s="38"/>
      <c r="AJ1417" s="38"/>
    </row>
    <row r="1418" spans="1:36" ht="16.2">
      <c r="A1418" s="42" t="s">
        <v>302</v>
      </c>
      <c r="B1418" s="42">
        <v>638555</v>
      </c>
      <c r="C1418" s="42" t="s">
        <v>1104</v>
      </c>
      <c r="D1418" s="42">
        <v>13207594</v>
      </c>
      <c r="E1418" s="43" t="s">
        <v>1105</v>
      </c>
      <c r="F1418" s="42" t="s">
        <v>4218</v>
      </c>
      <c r="G1418" s="42" t="s">
        <v>195</v>
      </c>
      <c r="H1418" s="42"/>
      <c r="I1418" s="42"/>
      <c r="J1418" s="42">
        <v>13207594</v>
      </c>
      <c r="K1418" s="42"/>
      <c r="L1418" s="57">
        <v>45293</v>
      </c>
      <c r="M1418" s="57">
        <v>45293</v>
      </c>
      <c r="N1418" s="42" t="s">
        <v>306</v>
      </c>
      <c r="O1418" s="46">
        <v>0.01</v>
      </c>
      <c r="P1418" s="42">
        <v>20009855</v>
      </c>
      <c r="Q1418" s="42" t="s">
        <v>4219</v>
      </c>
      <c r="R1418" s="45">
        <v>410</v>
      </c>
      <c r="S1418" s="42">
        <v>0</v>
      </c>
      <c r="T1418" s="47" t="s">
        <v>198</v>
      </c>
      <c r="U1418" s="48" t="s">
        <v>199</v>
      </c>
      <c r="V1418" s="38"/>
      <c r="W1418" s="48" t="s">
        <v>195</v>
      </c>
      <c r="X1418" s="38" t="s">
        <v>308</v>
      </c>
      <c r="Y1418" s="49" t="s">
        <v>309</v>
      </c>
      <c r="Z1418" s="50" t="s">
        <v>4220</v>
      </c>
      <c r="AA1418" s="38"/>
      <c r="AB1418" s="38"/>
      <c r="AC1418" s="38"/>
      <c r="AD1418" s="51">
        <v>146</v>
      </c>
      <c r="AE1418" s="51">
        <v>146</v>
      </c>
      <c r="AF1418" s="48" t="s">
        <v>203</v>
      </c>
      <c r="AG1418" s="38" t="s">
        <v>204</v>
      </c>
      <c r="AH1418" s="52"/>
      <c r="AI1418" s="38"/>
      <c r="AJ1418" s="38"/>
    </row>
    <row r="1419" spans="1:36" ht="16.2">
      <c r="A1419" s="53" t="s">
        <v>302</v>
      </c>
      <c r="B1419" s="53">
        <v>638555</v>
      </c>
      <c r="C1419" s="53" t="s">
        <v>1104</v>
      </c>
      <c r="D1419" s="53">
        <v>13207594</v>
      </c>
      <c r="E1419" s="54" t="s">
        <v>1105</v>
      </c>
      <c r="F1419" s="53" t="s">
        <v>4221</v>
      </c>
      <c r="G1419" s="53" t="s">
        <v>195</v>
      </c>
      <c r="H1419" s="53"/>
      <c r="I1419" s="53"/>
      <c r="J1419" s="53">
        <v>13207594</v>
      </c>
      <c r="K1419" s="53"/>
      <c r="L1419" s="58">
        <v>45293</v>
      </c>
      <c r="M1419" s="58">
        <v>45293</v>
      </c>
      <c r="N1419" s="53" t="s">
        <v>306</v>
      </c>
      <c r="O1419" s="56">
        <v>0.01</v>
      </c>
      <c r="P1419" s="53">
        <v>20009855</v>
      </c>
      <c r="Q1419" s="53" t="s">
        <v>4222</v>
      </c>
      <c r="R1419" s="45">
        <v>410</v>
      </c>
      <c r="S1419" s="53">
        <v>0</v>
      </c>
      <c r="T1419" s="47" t="s">
        <v>198</v>
      </c>
      <c r="U1419" s="48" t="s">
        <v>199</v>
      </c>
      <c r="V1419" s="38"/>
      <c r="W1419" s="48" t="s">
        <v>195</v>
      </c>
      <c r="X1419" s="38" t="s">
        <v>308</v>
      </c>
      <c r="Y1419" s="49" t="s">
        <v>309</v>
      </c>
      <c r="Z1419" s="50" t="s">
        <v>4223</v>
      </c>
      <c r="AA1419" s="38"/>
      <c r="AB1419" s="38"/>
      <c r="AC1419" s="38"/>
      <c r="AD1419" s="51">
        <v>146</v>
      </c>
      <c r="AE1419" s="51">
        <v>146</v>
      </c>
      <c r="AF1419" s="48" t="s">
        <v>203</v>
      </c>
      <c r="AG1419" s="38" t="s">
        <v>204</v>
      </c>
      <c r="AH1419" s="52"/>
      <c r="AI1419" s="38"/>
      <c r="AJ1419" s="38"/>
    </row>
    <row r="1420" spans="1:36" ht="16.2">
      <c r="A1420" s="42" t="s">
        <v>302</v>
      </c>
      <c r="B1420" s="42">
        <v>638555</v>
      </c>
      <c r="C1420" s="42" t="s">
        <v>1104</v>
      </c>
      <c r="D1420" s="42">
        <v>13207594</v>
      </c>
      <c r="E1420" s="43" t="s">
        <v>1105</v>
      </c>
      <c r="F1420" s="42" t="s">
        <v>4224</v>
      </c>
      <c r="G1420" s="42" t="s">
        <v>195</v>
      </c>
      <c r="H1420" s="42"/>
      <c r="I1420" s="42"/>
      <c r="J1420" s="42">
        <v>13207594</v>
      </c>
      <c r="K1420" s="42"/>
      <c r="L1420" s="57">
        <v>45293</v>
      </c>
      <c r="M1420" s="57">
        <v>45293</v>
      </c>
      <c r="N1420" s="42" t="s">
        <v>306</v>
      </c>
      <c r="O1420" s="42">
        <v>0</v>
      </c>
      <c r="P1420" s="42">
        <v>20009855</v>
      </c>
      <c r="Q1420" s="42" t="s">
        <v>4225</v>
      </c>
      <c r="R1420" s="45">
        <v>410</v>
      </c>
      <c r="S1420" s="42">
        <v>0</v>
      </c>
      <c r="T1420" s="47" t="s">
        <v>198</v>
      </c>
      <c r="U1420" s="48" t="s">
        <v>199</v>
      </c>
      <c r="V1420" s="38"/>
      <c r="W1420" s="48" t="s">
        <v>195</v>
      </c>
      <c r="X1420" s="38" t="s">
        <v>308</v>
      </c>
      <c r="Y1420" s="49" t="s">
        <v>309</v>
      </c>
      <c r="Z1420" s="50" t="s">
        <v>4226</v>
      </c>
      <c r="AA1420" s="38"/>
      <c r="AB1420" s="38"/>
      <c r="AC1420" s="38"/>
      <c r="AD1420" s="51">
        <v>146</v>
      </c>
      <c r="AE1420" s="51">
        <v>146</v>
      </c>
      <c r="AF1420" s="48" t="s">
        <v>203</v>
      </c>
      <c r="AG1420" s="38" t="s">
        <v>204</v>
      </c>
      <c r="AH1420" s="52"/>
      <c r="AI1420" s="38"/>
      <c r="AJ1420" s="38"/>
    </row>
    <row r="1421" spans="1:36" ht="16.2">
      <c r="A1421" s="53" t="s">
        <v>302</v>
      </c>
      <c r="B1421" s="53">
        <v>638555</v>
      </c>
      <c r="C1421" s="53" t="s">
        <v>1104</v>
      </c>
      <c r="D1421" s="53">
        <v>13207594</v>
      </c>
      <c r="E1421" s="54" t="s">
        <v>1105</v>
      </c>
      <c r="F1421" s="53" t="s">
        <v>4227</v>
      </c>
      <c r="G1421" s="53" t="s">
        <v>195</v>
      </c>
      <c r="H1421" s="53"/>
      <c r="I1421" s="53"/>
      <c r="J1421" s="53">
        <v>13207594</v>
      </c>
      <c r="K1421" s="53"/>
      <c r="L1421" s="58">
        <v>45293</v>
      </c>
      <c r="M1421" s="58">
        <v>45293</v>
      </c>
      <c r="N1421" s="53" t="s">
        <v>306</v>
      </c>
      <c r="O1421" s="53">
        <v>0</v>
      </c>
      <c r="P1421" s="53">
        <v>20009855</v>
      </c>
      <c r="Q1421" s="53" t="s">
        <v>4228</v>
      </c>
      <c r="R1421" s="45">
        <v>410</v>
      </c>
      <c r="S1421" s="53">
        <v>0</v>
      </c>
      <c r="T1421" s="47" t="s">
        <v>198</v>
      </c>
      <c r="U1421" s="48" t="s">
        <v>199</v>
      </c>
      <c r="V1421" s="38"/>
      <c r="W1421" s="48" t="s">
        <v>195</v>
      </c>
      <c r="X1421" s="38" t="s">
        <v>308</v>
      </c>
      <c r="Y1421" s="49" t="s">
        <v>309</v>
      </c>
      <c r="Z1421" s="50" t="s">
        <v>4229</v>
      </c>
      <c r="AA1421" s="38"/>
      <c r="AB1421" s="38"/>
      <c r="AC1421" s="38"/>
      <c r="AD1421" s="51">
        <v>146</v>
      </c>
      <c r="AE1421" s="51">
        <v>146</v>
      </c>
      <c r="AF1421" s="48" t="s">
        <v>203</v>
      </c>
      <c r="AG1421" s="38" t="s">
        <v>204</v>
      </c>
      <c r="AH1421" s="52"/>
      <c r="AI1421" s="38"/>
      <c r="AJ1421" s="38"/>
    </row>
    <row r="1422" spans="1:36" ht="16.2">
      <c r="A1422" s="42" t="s">
        <v>302</v>
      </c>
      <c r="B1422" s="42">
        <v>638555</v>
      </c>
      <c r="C1422" s="42" t="s">
        <v>1104</v>
      </c>
      <c r="D1422" s="42">
        <v>13207594</v>
      </c>
      <c r="E1422" s="43" t="s">
        <v>1105</v>
      </c>
      <c r="F1422" s="42" t="s">
        <v>4230</v>
      </c>
      <c r="G1422" s="42" t="s">
        <v>195</v>
      </c>
      <c r="H1422" s="42"/>
      <c r="I1422" s="42"/>
      <c r="J1422" s="42">
        <v>13207594</v>
      </c>
      <c r="K1422" s="42"/>
      <c r="L1422" s="57">
        <v>45293</v>
      </c>
      <c r="M1422" s="57">
        <v>45293</v>
      </c>
      <c r="N1422" s="42" t="s">
        <v>306</v>
      </c>
      <c r="O1422" s="42">
        <v>0</v>
      </c>
      <c r="P1422" s="42">
        <v>20009855</v>
      </c>
      <c r="Q1422" s="42" t="s">
        <v>4231</v>
      </c>
      <c r="R1422" s="45">
        <v>410</v>
      </c>
      <c r="S1422" s="42">
        <v>0</v>
      </c>
      <c r="T1422" s="47" t="s">
        <v>198</v>
      </c>
      <c r="U1422" s="48" t="s">
        <v>199</v>
      </c>
      <c r="V1422" s="38"/>
      <c r="W1422" s="48" t="s">
        <v>195</v>
      </c>
      <c r="X1422" s="38" t="s">
        <v>308</v>
      </c>
      <c r="Y1422" s="49" t="s">
        <v>309</v>
      </c>
      <c r="Z1422" s="50" t="s">
        <v>4232</v>
      </c>
      <c r="AA1422" s="38"/>
      <c r="AB1422" s="38"/>
      <c r="AC1422" s="38"/>
      <c r="AD1422" s="51">
        <v>146</v>
      </c>
      <c r="AE1422" s="51">
        <v>146</v>
      </c>
      <c r="AF1422" s="48" t="s">
        <v>203</v>
      </c>
      <c r="AG1422" s="38" t="s">
        <v>204</v>
      </c>
      <c r="AH1422" s="52"/>
      <c r="AI1422" s="38"/>
      <c r="AJ1422" s="38"/>
    </row>
    <row r="1423" spans="1:36" ht="16.2">
      <c r="A1423" s="53" t="s">
        <v>302</v>
      </c>
      <c r="B1423" s="53">
        <v>638555</v>
      </c>
      <c r="C1423" s="53" t="s">
        <v>1104</v>
      </c>
      <c r="D1423" s="53">
        <v>13207594</v>
      </c>
      <c r="E1423" s="54" t="s">
        <v>1105</v>
      </c>
      <c r="F1423" s="53" t="s">
        <v>4233</v>
      </c>
      <c r="G1423" s="53" t="s">
        <v>195</v>
      </c>
      <c r="H1423" s="53"/>
      <c r="I1423" s="53"/>
      <c r="J1423" s="53">
        <v>13207594</v>
      </c>
      <c r="K1423" s="53"/>
      <c r="L1423" s="58">
        <v>45293</v>
      </c>
      <c r="M1423" s="58">
        <v>45293</v>
      </c>
      <c r="N1423" s="53" t="s">
        <v>306</v>
      </c>
      <c r="O1423" s="53">
        <v>0</v>
      </c>
      <c r="P1423" s="53">
        <v>20009855</v>
      </c>
      <c r="Q1423" s="53" t="s">
        <v>4234</v>
      </c>
      <c r="R1423" s="45">
        <v>410</v>
      </c>
      <c r="S1423" s="53">
        <v>0</v>
      </c>
      <c r="T1423" s="47" t="s">
        <v>198</v>
      </c>
      <c r="U1423" s="48" t="s">
        <v>199</v>
      </c>
      <c r="V1423" s="38"/>
      <c r="W1423" s="48" t="s">
        <v>195</v>
      </c>
      <c r="X1423" s="38" t="s">
        <v>308</v>
      </c>
      <c r="Y1423" s="49" t="s">
        <v>309</v>
      </c>
      <c r="Z1423" s="50" t="s">
        <v>4235</v>
      </c>
      <c r="AA1423" s="38"/>
      <c r="AB1423" s="38"/>
      <c r="AC1423" s="38"/>
      <c r="AD1423" s="51">
        <v>146</v>
      </c>
      <c r="AE1423" s="51">
        <v>146</v>
      </c>
      <c r="AF1423" s="48" t="s">
        <v>203</v>
      </c>
      <c r="AG1423" s="38" t="s">
        <v>204</v>
      </c>
      <c r="AH1423" s="52"/>
      <c r="AI1423" s="38"/>
      <c r="AJ1423" s="38"/>
    </row>
    <row r="1424" spans="1:36" ht="16.2">
      <c r="A1424" s="42" t="s">
        <v>302</v>
      </c>
      <c r="B1424" s="42">
        <v>638555</v>
      </c>
      <c r="C1424" s="42" t="s">
        <v>1104</v>
      </c>
      <c r="D1424" s="42">
        <v>13207594</v>
      </c>
      <c r="E1424" s="43" t="s">
        <v>1105</v>
      </c>
      <c r="F1424" s="42" t="s">
        <v>4236</v>
      </c>
      <c r="G1424" s="42" t="s">
        <v>195</v>
      </c>
      <c r="H1424" s="42"/>
      <c r="I1424" s="42"/>
      <c r="J1424" s="42">
        <v>13207594</v>
      </c>
      <c r="K1424" s="42"/>
      <c r="L1424" s="57">
        <v>45293</v>
      </c>
      <c r="M1424" s="57">
        <v>45293</v>
      </c>
      <c r="N1424" s="42" t="s">
        <v>306</v>
      </c>
      <c r="O1424" s="42">
        <v>0</v>
      </c>
      <c r="P1424" s="42">
        <v>20009855</v>
      </c>
      <c r="Q1424" s="42" t="s">
        <v>4237</v>
      </c>
      <c r="R1424" s="45">
        <v>410</v>
      </c>
      <c r="S1424" s="42">
        <v>0</v>
      </c>
      <c r="T1424" s="47" t="s">
        <v>198</v>
      </c>
      <c r="U1424" s="48" t="s">
        <v>199</v>
      </c>
      <c r="V1424" s="38"/>
      <c r="W1424" s="48" t="s">
        <v>195</v>
      </c>
      <c r="X1424" s="38" t="s">
        <v>308</v>
      </c>
      <c r="Y1424" s="49" t="s">
        <v>309</v>
      </c>
      <c r="Z1424" s="50" t="s">
        <v>4238</v>
      </c>
      <c r="AA1424" s="38"/>
      <c r="AB1424" s="38"/>
      <c r="AC1424" s="38"/>
      <c r="AD1424" s="51">
        <v>146</v>
      </c>
      <c r="AE1424" s="51">
        <v>146</v>
      </c>
      <c r="AF1424" s="48" t="s">
        <v>203</v>
      </c>
      <c r="AG1424" s="38" t="s">
        <v>204</v>
      </c>
      <c r="AH1424" s="52"/>
      <c r="AI1424" s="38"/>
      <c r="AJ1424" s="38"/>
    </row>
    <row r="1425" spans="1:36" ht="16.2">
      <c r="A1425" s="53" t="s">
        <v>302</v>
      </c>
      <c r="B1425" s="53">
        <v>638555</v>
      </c>
      <c r="C1425" s="53" t="s">
        <v>1104</v>
      </c>
      <c r="D1425" s="53">
        <v>13207594</v>
      </c>
      <c r="E1425" s="54" t="s">
        <v>1105</v>
      </c>
      <c r="F1425" s="53" t="s">
        <v>4239</v>
      </c>
      <c r="G1425" s="53" t="s">
        <v>195</v>
      </c>
      <c r="H1425" s="53"/>
      <c r="I1425" s="53"/>
      <c r="J1425" s="53">
        <v>13207594</v>
      </c>
      <c r="K1425" s="53"/>
      <c r="L1425" s="58">
        <v>45293</v>
      </c>
      <c r="M1425" s="58">
        <v>45293</v>
      </c>
      <c r="N1425" s="53" t="s">
        <v>306</v>
      </c>
      <c r="O1425" s="53">
        <v>0</v>
      </c>
      <c r="P1425" s="53">
        <v>20009855</v>
      </c>
      <c r="Q1425" s="53" t="s">
        <v>4240</v>
      </c>
      <c r="R1425" s="45">
        <v>410</v>
      </c>
      <c r="S1425" s="53">
        <v>0</v>
      </c>
      <c r="T1425" s="47" t="s">
        <v>198</v>
      </c>
      <c r="U1425" s="48" t="s">
        <v>199</v>
      </c>
      <c r="V1425" s="38"/>
      <c r="W1425" s="48" t="s">
        <v>195</v>
      </c>
      <c r="X1425" s="38" t="s">
        <v>308</v>
      </c>
      <c r="Y1425" s="49" t="s">
        <v>309</v>
      </c>
      <c r="Z1425" s="50" t="s">
        <v>4241</v>
      </c>
      <c r="AA1425" s="38"/>
      <c r="AB1425" s="38"/>
      <c r="AC1425" s="38"/>
      <c r="AD1425" s="51">
        <v>146</v>
      </c>
      <c r="AE1425" s="51">
        <v>146</v>
      </c>
      <c r="AF1425" s="48" t="s">
        <v>203</v>
      </c>
      <c r="AG1425" s="38" t="s">
        <v>204</v>
      </c>
      <c r="AH1425" s="52"/>
      <c r="AI1425" s="38"/>
      <c r="AJ1425" s="38"/>
    </row>
    <row r="1426" spans="1:36" ht="16.2">
      <c r="A1426" s="42" t="s">
        <v>302</v>
      </c>
      <c r="B1426" s="42">
        <v>638555</v>
      </c>
      <c r="C1426" s="42" t="s">
        <v>1104</v>
      </c>
      <c r="D1426" s="42">
        <v>13207594</v>
      </c>
      <c r="E1426" s="43" t="s">
        <v>1105</v>
      </c>
      <c r="F1426" s="42" t="s">
        <v>4242</v>
      </c>
      <c r="G1426" s="42" t="s">
        <v>195</v>
      </c>
      <c r="H1426" s="42"/>
      <c r="I1426" s="42"/>
      <c r="J1426" s="42">
        <v>13207594</v>
      </c>
      <c r="K1426" s="42"/>
      <c r="L1426" s="57">
        <v>45293</v>
      </c>
      <c r="M1426" s="57">
        <v>45293</v>
      </c>
      <c r="N1426" s="42" t="s">
        <v>306</v>
      </c>
      <c r="O1426" s="42">
        <v>0</v>
      </c>
      <c r="P1426" s="42">
        <v>20009855</v>
      </c>
      <c r="Q1426" s="42" t="s">
        <v>4243</v>
      </c>
      <c r="R1426" s="45">
        <v>410</v>
      </c>
      <c r="S1426" s="42">
        <v>0</v>
      </c>
      <c r="T1426" s="47" t="s">
        <v>198</v>
      </c>
      <c r="U1426" s="48" t="s">
        <v>199</v>
      </c>
      <c r="V1426" s="38"/>
      <c r="W1426" s="48" t="s">
        <v>195</v>
      </c>
      <c r="X1426" s="38" t="s">
        <v>308</v>
      </c>
      <c r="Y1426" s="49" t="s">
        <v>309</v>
      </c>
      <c r="Z1426" s="50" t="s">
        <v>4244</v>
      </c>
      <c r="AA1426" s="38"/>
      <c r="AB1426" s="38"/>
      <c r="AC1426" s="38"/>
      <c r="AD1426" s="51">
        <v>146</v>
      </c>
      <c r="AE1426" s="51">
        <v>146</v>
      </c>
      <c r="AF1426" s="48" t="s">
        <v>203</v>
      </c>
      <c r="AG1426" s="38" t="s">
        <v>204</v>
      </c>
      <c r="AH1426" s="52"/>
      <c r="AI1426" s="38"/>
      <c r="AJ1426" s="38"/>
    </row>
    <row r="1427" spans="1:36" ht="16.2">
      <c r="A1427" s="53" t="s">
        <v>302</v>
      </c>
      <c r="B1427" s="53">
        <v>638555</v>
      </c>
      <c r="C1427" s="53" t="s">
        <v>1104</v>
      </c>
      <c r="D1427" s="53">
        <v>13207594</v>
      </c>
      <c r="E1427" s="54" t="s">
        <v>1105</v>
      </c>
      <c r="F1427" s="53" t="s">
        <v>1106</v>
      </c>
      <c r="G1427" s="53" t="s">
        <v>195</v>
      </c>
      <c r="H1427" s="53"/>
      <c r="I1427" s="53"/>
      <c r="J1427" s="53">
        <v>13207594</v>
      </c>
      <c r="K1427" s="53"/>
      <c r="L1427" s="58">
        <v>45293</v>
      </c>
      <c r="M1427" s="58">
        <v>45293</v>
      </c>
      <c r="N1427" s="53" t="s">
        <v>306</v>
      </c>
      <c r="O1427" s="53">
        <v>0</v>
      </c>
      <c r="P1427" s="53">
        <v>20009855</v>
      </c>
      <c r="Q1427" s="53" t="s">
        <v>4245</v>
      </c>
      <c r="R1427" s="45">
        <v>410</v>
      </c>
      <c r="S1427" s="53">
        <v>0</v>
      </c>
      <c r="T1427" s="47" t="s">
        <v>198</v>
      </c>
      <c r="U1427" s="48" t="s">
        <v>199</v>
      </c>
      <c r="V1427" s="38"/>
      <c r="W1427" s="48" t="s">
        <v>195</v>
      </c>
      <c r="X1427" s="38" t="s">
        <v>308</v>
      </c>
      <c r="Y1427" s="49" t="s">
        <v>309</v>
      </c>
      <c r="Z1427" s="50" t="s">
        <v>4246</v>
      </c>
      <c r="AA1427" s="38"/>
      <c r="AB1427" s="38"/>
      <c r="AC1427" s="38"/>
      <c r="AD1427" s="51">
        <v>146</v>
      </c>
      <c r="AE1427" s="51">
        <v>146</v>
      </c>
      <c r="AF1427" s="48" t="s">
        <v>203</v>
      </c>
      <c r="AG1427" s="38" t="s">
        <v>204</v>
      </c>
      <c r="AH1427" s="52"/>
      <c r="AI1427" s="38"/>
      <c r="AJ1427" s="38"/>
    </row>
    <row r="1428" spans="1:36" ht="16.2">
      <c r="A1428" s="42" t="s">
        <v>302</v>
      </c>
      <c r="B1428" s="42">
        <v>638556</v>
      </c>
      <c r="C1428" s="42" t="s">
        <v>1104</v>
      </c>
      <c r="D1428" s="42">
        <v>13207595</v>
      </c>
      <c r="E1428" s="43" t="s">
        <v>1105</v>
      </c>
      <c r="F1428" s="42" t="s">
        <v>1106</v>
      </c>
      <c r="G1428" s="42" t="s">
        <v>195</v>
      </c>
      <c r="H1428" s="42"/>
      <c r="I1428" s="42"/>
      <c r="J1428" s="42">
        <v>13207595</v>
      </c>
      <c r="K1428" s="42"/>
      <c r="L1428" s="57">
        <v>45293</v>
      </c>
      <c r="M1428" s="57">
        <v>45293</v>
      </c>
      <c r="N1428" s="42" t="s">
        <v>306</v>
      </c>
      <c r="O1428" s="42">
        <v>0</v>
      </c>
      <c r="P1428" s="42">
        <v>20009855</v>
      </c>
      <c r="Q1428" s="42" t="s">
        <v>4247</v>
      </c>
      <c r="R1428" s="45">
        <v>410</v>
      </c>
      <c r="S1428" s="42">
        <v>0</v>
      </c>
      <c r="T1428" s="47" t="s">
        <v>198</v>
      </c>
      <c r="U1428" s="48" t="s">
        <v>199</v>
      </c>
      <c r="V1428" s="38"/>
      <c r="W1428" s="48" t="s">
        <v>195</v>
      </c>
      <c r="X1428" s="38" t="s">
        <v>308</v>
      </c>
      <c r="Y1428" s="49" t="s">
        <v>309</v>
      </c>
      <c r="Z1428" s="50" t="s">
        <v>4248</v>
      </c>
      <c r="AA1428" s="38"/>
      <c r="AB1428" s="38"/>
      <c r="AC1428" s="38"/>
      <c r="AD1428" s="51">
        <v>146</v>
      </c>
      <c r="AE1428" s="51">
        <v>146</v>
      </c>
      <c r="AF1428" s="48" t="s">
        <v>203</v>
      </c>
      <c r="AG1428" s="38" t="s">
        <v>204</v>
      </c>
      <c r="AH1428" s="52"/>
      <c r="AI1428" s="38"/>
      <c r="AJ1428" s="38"/>
    </row>
    <row r="1429" spans="1:36" ht="16.2">
      <c r="A1429" s="53" t="s">
        <v>836</v>
      </c>
      <c r="B1429" s="53">
        <v>828266</v>
      </c>
      <c r="C1429" s="53" t="s">
        <v>2091</v>
      </c>
      <c r="D1429" s="53">
        <v>13207519</v>
      </c>
      <c r="E1429" s="54" t="s">
        <v>2092</v>
      </c>
      <c r="F1429" s="53" t="s">
        <v>2093</v>
      </c>
      <c r="G1429" s="53" t="s">
        <v>195</v>
      </c>
      <c r="H1429" s="53"/>
      <c r="I1429" s="53"/>
      <c r="J1429" s="53">
        <v>13207519</v>
      </c>
      <c r="K1429" s="53"/>
      <c r="L1429" s="58">
        <v>45293</v>
      </c>
      <c r="M1429" s="58">
        <v>45293</v>
      </c>
      <c r="N1429" s="53" t="s">
        <v>306</v>
      </c>
      <c r="O1429" s="53">
        <v>0</v>
      </c>
      <c r="P1429" s="53">
        <v>20009855</v>
      </c>
      <c r="Q1429" s="53" t="s">
        <v>4249</v>
      </c>
      <c r="R1429" s="45">
        <v>410</v>
      </c>
      <c r="S1429" s="53">
        <v>0</v>
      </c>
      <c r="T1429" s="47" t="s">
        <v>198</v>
      </c>
      <c r="U1429" s="48" t="s">
        <v>199</v>
      </c>
      <c r="V1429" s="38"/>
      <c r="W1429" s="48" t="s">
        <v>195</v>
      </c>
      <c r="X1429" s="38" t="s">
        <v>200</v>
      </c>
      <c r="Y1429" s="49" t="s">
        <v>201</v>
      </c>
      <c r="Z1429" s="50" t="s">
        <v>4250</v>
      </c>
      <c r="AA1429" s="38"/>
      <c r="AB1429" s="38"/>
      <c r="AC1429" s="38"/>
      <c r="AD1429" s="51">
        <v>146</v>
      </c>
      <c r="AE1429" s="51">
        <v>146</v>
      </c>
      <c r="AF1429" s="48" t="s">
        <v>203</v>
      </c>
      <c r="AG1429" s="38" t="s">
        <v>204</v>
      </c>
      <c r="AH1429" s="52"/>
      <c r="AI1429" s="38"/>
      <c r="AJ1429" s="38"/>
    </row>
    <row r="1430" spans="1:36" ht="16.2">
      <c r="A1430" s="42" t="s">
        <v>836</v>
      </c>
      <c r="B1430" s="42">
        <v>828266</v>
      </c>
      <c r="C1430" s="42" t="s">
        <v>2091</v>
      </c>
      <c r="D1430" s="42">
        <v>13207519</v>
      </c>
      <c r="E1430" s="43" t="s">
        <v>2092</v>
      </c>
      <c r="F1430" s="42" t="s">
        <v>2096</v>
      </c>
      <c r="G1430" s="42" t="s">
        <v>195</v>
      </c>
      <c r="H1430" s="42" t="s">
        <v>4251</v>
      </c>
      <c r="I1430" s="42"/>
      <c r="J1430" s="42">
        <v>13207519</v>
      </c>
      <c r="K1430" s="42"/>
      <c r="L1430" s="57">
        <v>45293</v>
      </c>
      <c r="M1430" s="57">
        <v>45293</v>
      </c>
      <c r="N1430" s="42" t="s">
        <v>306</v>
      </c>
      <c r="O1430" s="42">
        <v>0</v>
      </c>
      <c r="P1430" s="42">
        <v>20009855</v>
      </c>
      <c r="Q1430" s="42" t="s">
        <v>4252</v>
      </c>
      <c r="R1430" s="45">
        <v>410</v>
      </c>
      <c r="S1430" s="42">
        <v>0</v>
      </c>
      <c r="T1430" s="47" t="s">
        <v>198</v>
      </c>
      <c r="U1430" s="48" t="s">
        <v>199</v>
      </c>
      <c r="V1430" s="38"/>
      <c r="W1430" s="48" t="s">
        <v>195</v>
      </c>
      <c r="X1430" s="38" t="s">
        <v>200</v>
      </c>
      <c r="Y1430" s="49" t="s">
        <v>201</v>
      </c>
      <c r="Z1430" s="50" t="s">
        <v>4253</v>
      </c>
      <c r="AA1430" s="47" t="s">
        <v>4254</v>
      </c>
      <c r="AB1430" s="38"/>
      <c r="AC1430" s="38"/>
      <c r="AD1430" s="51">
        <v>146</v>
      </c>
      <c r="AE1430" s="51">
        <v>146</v>
      </c>
      <c r="AF1430" s="48" t="s">
        <v>203</v>
      </c>
      <c r="AG1430" s="38" t="s">
        <v>204</v>
      </c>
      <c r="AH1430" s="52"/>
      <c r="AI1430" s="38"/>
      <c r="AJ1430" s="38"/>
    </row>
    <row r="1431" spans="1:36" ht="16.2">
      <c r="A1431" s="53" t="s">
        <v>836</v>
      </c>
      <c r="B1431" s="53">
        <v>828266</v>
      </c>
      <c r="C1431" s="53" t="s">
        <v>2091</v>
      </c>
      <c r="D1431" s="53">
        <v>13207519</v>
      </c>
      <c r="E1431" s="54" t="s">
        <v>2092</v>
      </c>
      <c r="F1431" s="53" t="s">
        <v>1273</v>
      </c>
      <c r="G1431" s="53" t="s">
        <v>195</v>
      </c>
      <c r="H1431" s="53"/>
      <c r="I1431" s="53"/>
      <c r="J1431" s="53">
        <v>13207519</v>
      </c>
      <c r="K1431" s="53"/>
      <c r="L1431" s="58">
        <v>45293</v>
      </c>
      <c r="M1431" s="58">
        <v>45293</v>
      </c>
      <c r="N1431" s="53" t="s">
        <v>306</v>
      </c>
      <c r="O1431" s="53">
        <v>0</v>
      </c>
      <c r="P1431" s="53">
        <v>20009855</v>
      </c>
      <c r="Q1431" s="53" t="s">
        <v>4255</v>
      </c>
      <c r="R1431" s="45">
        <v>410</v>
      </c>
      <c r="S1431" s="53">
        <v>0</v>
      </c>
      <c r="T1431" s="47" t="s">
        <v>198</v>
      </c>
      <c r="U1431" s="48" t="s">
        <v>199</v>
      </c>
      <c r="V1431" s="38"/>
      <c r="W1431" s="48" t="s">
        <v>195</v>
      </c>
      <c r="X1431" s="38" t="s">
        <v>200</v>
      </c>
      <c r="Y1431" s="49" t="s">
        <v>201</v>
      </c>
      <c r="Z1431" s="50" t="s">
        <v>4256</v>
      </c>
      <c r="AA1431" s="38"/>
      <c r="AB1431" s="38"/>
      <c r="AC1431" s="38"/>
      <c r="AD1431" s="51">
        <v>146</v>
      </c>
      <c r="AE1431" s="51">
        <v>146</v>
      </c>
      <c r="AF1431" s="48" t="s">
        <v>203</v>
      </c>
      <c r="AG1431" s="38" t="s">
        <v>204</v>
      </c>
      <c r="AH1431" s="52"/>
      <c r="AI1431" s="38"/>
      <c r="AJ1431" s="38"/>
    </row>
    <row r="1432" spans="1:36" ht="16.2">
      <c r="A1432" s="42" t="s">
        <v>836</v>
      </c>
      <c r="B1432" s="42">
        <v>828266</v>
      </c>
      <c r="C1432" s="42" t="s">
        <v>2091</v>
      </c>
      <c r="D1432" s="42">
        <v>13207519</v>
      </c>
      <c r="E1432" s="43" t="s">
        <v>2092</v>
      </c>
      <c r="F1432" s="42" t="s">
        <v>2101</v>
      </c>
      <c r="G1432" s="42" t="s">
        <v>195</v>
      </c>
      <c r="H1432" s="42"/>
      <c r="I1432" s="42"/>
      <c r="J1432" s="42">
        <v>13207519</v>
      </c>
      <c r="K1432" s="42"/>
      <c r="L1432" s="57">
        <v>45293</v>
      </c>
      <c r="M1432" s="57">
        <v>45293</v>
      </c>
      <c r="N1432" s="42" t="s">
        <v>306</v>
      </c>
      <c r="O1432" s="42">
        <v>0</v>
      </c>
      <c r="P1432" s="42">
        <v>20009855</v>
      </c>
      <c r="Q1432" s="42" t="s">
        <v>4257</v>
      </c>
      <c r="R1432" s="45">
        <v>410</v>
      </c>
      <c r="S1432" s="42">
        <v>0</v>
      </c>
      <c r="T1432" s="47" t="s">
        <v>198</v>
      </c>
      <c r="U1432" s="48" t="s">
        <v>199</v>
      </c>
      <c r="V1432" s="38"/>
      <c r="W1432" s="48" t="s">
        <v>195</v>
      </c>
      <c r="X1432" s="38" t="s">
        <v>200</v>
      </c>
      <c r="Y1432" s="49" t="s">
        <v>201</v>
      </c>
      <c r="Z1432" s="50" t="s">
        <v>4258</v>
      </c>
      <c r="AA1432" s="38"/>
      <c r="AB1432" s="38"/>
      <c r="AC1432" s="38"/>
      <c r="AD1432" s="51">
        <v>146</v>
      </c>
      <c r="AE1432" s="51">
        <v>146</v>
      </c>
      <c r="AF1432" s="48" t="s">
        <v>203</v>
      </c>
      <c r="AG1432" s="38" t="s">
        <v>204</v>
      </c>
      <c r="AH1432" s="52"/>
      <c r="AI1432" s="38"/>
      <c r="AJ1432" s="38"/>
    </row>
    <row r="1433" spans="1:36" ht="16.2">
      <c r="A1433" s="53" t="s">
        <v>836</v>
      </c>
      <c r="B1433" s="53">
        <v>828266</v>
      </c>
      <c r="C1433" s="53" t="s">
        <v>2091</v>
      </c>
      <c r="D1433" s="53">
        <v>13207519</v>
      </c>
      <c r="E1433" s="54" t="s">
        <v>2092</v>
      </c>
      <c r="F1433" s="53" t="s">
        <v>293</v>
      </c>
      <c r="G1433" s="53" t="s">
        <v>195</v>
      </c>
      <c r="H1433" s="53"/>
      <c r="I1433" s="53"/>
      <c r="J1433" s="53">
        <v>13207519</v>
      </c>
      <c r="K1433" s="53"/>
      <c r="L1433" s="58">
        <v>45293</v>
      </c>
      <c r="M1433" s="58">
        <v>45293</v>
      </c>
      <c r="N1433" s="53" t="s">
        <v>306</v>
      </c>
      <c r="O1433" s="53">
        <v>0</v>
      </c>
      <c r="P1433" s="53">
        <v>20009855</v>
      </c>
      <c r="Q1433" s="53" t="s">
        <v>4259</v>
      </c>
      <c r="R1433" s="45">
        <v>410</v>
      </c>
      <c r="S1433" s="53">
        <v>0</v>
      </c>
      <c r="T1433" s="47" t="s">
        <v>198</v>
      </c>
      <c r="U1433" s="48" t="s">
        <v>199</v>
      </c>
      <c r="V1433" s="38"/>
      <c r="W1433" s="48" t="s">
        <v>195</v>
      </c>
      <c r="X1433" s="38" t="s">
        <v>200</v>
      </c>
      <c r="Y1433" s="49" t="s">
        <v>201</v>
      </c>
      <c r="Z1433" s="50" t="s">
        <v>4260</v>
      </c>
      <c r="AA1433" s="38"/>
      <c r="AB1433" s="38"/>
      <c r="AC1433" s="38"/>
      <c r="AD1433" s="51">
        <v>146</v>
      </c>
      <c r="AE1433" s="51">
        <v>146</v>
      </c>
      <c r="AF1433" s="48" t="s">
        <v>203</v>
      </c>
      <c r="AG1433" s="38" t="s">
        <v>204</v>
      </c>
      <c r="AH1433" s="52"/>
      <c r="AI1433" s="38"/>
      <c r="AJ1433" s="38"/>
    </row>
    <row r="1434" spans="1:36" ht="16.2">
      <c r="A1434" s="42" t="s">
        <v>836</v>
      </c>
      <c r="B1434" s="42">
        <v>828266</v>
      </c>
      <c r="C1434" s="42" t="s">
        <v>2091</v>
      </c>
      <c r="D1434" s="42">
        <v>13207519</v>
      </c>
      <c r="E1434" s="43" t="s">
        <v>2092</v>
      </c>
      <c r="F1434" s="42" t="s">
        <v>2106</v>
      </c>
      <c r="G1434" s="42" t="s">
        <v>195</v>
      </c>
      <c r="H1434" s="42"/>
      <c r="I1434" s="42"/>
      <c r="J1434" s="42">
        <v>13207519</v>
      </c>
      <c r="K1434" s="42"/>
      <c r="L1434" s="57">
        <v>45293</v>
      </c>
      <c r="M1434" s="57">
        <v>45293</v>
      </c>
      <c r="N1434" s="42" t="s">
        <v>306</v>
      </c>
      <c r="O1434" s="42">
        <v>0</v>
      </c>
      <c r="P1434" s="42">
        <v>20009855</v>
      </c>
      <c r="Q1434" s="42" t="s">
        <v>4261</v>
      </c>
      <c r="R1434" s="45">
        <v>410</v>
      </c>
      <c r="S1434" s="42">
        <v>0</v>
      </c>
      <c r="T1434" s="47" t="s">
        <v>198</v>
      </c>
      <c r="U1434" s="48" t="s">
        <v>199</v>
      </c>
      <c r="V1434" s="38"/>
      <c r="W1434" s="48" t="s">
        <v>195</v>
      </c>
      <c r="X1434" s="38" t="s">
        <v>200</v>
      </c>
      <c r="Y1434" s="49" t="s">
        <v>201</v>
      </c>
      <c r="Z1434" s="50" t="s">
        <v>4262</v>
      </c>
      <c r="AA1434" s="38"/>
      <c r="AB1434" s="38"/>
      <c r="AC1434" s="38"/>
      <c r="AD1434" s="51">
        <v>146</v>
      </c>
      <c r="AE1434" s="51">
        <v>146</v>
      </c>
      <c r="AF1434" s="48" t="s">
        <v>203</v>
      </c>
      <c r="AG1434" s="38" t="s">
        <v>204</v>
      </c>
      <c r="AH1434" s="52"/>
      <c r="AI1434" s="38"/>
      <c r="AJ1434" s="38"/>
    </row>
    <row r="1435" spans="1:36" ht="16.2">
      <c r="A1435" s="53" t="s">
        <v>836</v>
      </c>
      <c r="B1435" s="53">
        <v>828266</v>
      </c>
      <c r="C1435" s="53" t="s">
        <v>2091</v>
      </c>
      <c r="D1435" s="53">
        <v>13207519</v>
      </c>
      <c r="E1435" s="54" t="s">
        <v>2092</v>
      </c>
      <c r="F1435" s="53" t="s">
        <v>2109</v>
      </c>
      <c r="G1435" s="53" t="s">
        <v>195</v>
      </c>
      <c r="H1435" s="53"/>
      <c r="I1435" s="53"/>
      <c r="J1435" s="53">
        <v>13207519</v>
      </c>
      <c r="K1435" s="53"/>
      <c r="L1435" s="58">
        <v>45293</v>
      </c>
      <c r="M1435" s="58">
        <v>45293</v>
      </c>
      <c r="N1435" s="53" t="s">
        <v>306</v>
      </c>
      <c r="O1435" s="53">
        <v>0</v>
      </c>
      <c r="P1435" s="53">
        <v>20009855</v>
      </c>
      <c r="Q1435" s="53" t="s">
        <v>4263</v>
      </c>
      <c r="R1435" s="45">
        <v>410</v>
      </c>
      <c r="S1435" s="53">
        <v>0</v>
      </c>
      <c r="T1435" s="47" t="s">
        <v>198</v>
      </c>
      <c r="U1435" s="48" t="s">
        <v>199</v>
      </c>
      <c r="V1435" s="38"/>
      <c r="W1435" s="48" t="s">
        <v>195</v>
      </c>
      <c r="X1435" s="38" t="s">
        <v>200</v>
      </c>
      <c r="Y1435" s="49" t="s">
        <v>201</v>
      </c>
      <c r="Z1435" s="50" t="s">
        <v>4264</v>
      </c>
      <c r="AA1435" s="38"/>
      <c r="AB1435" s="38"/>
      <c r="AC1435" s="38"/>
      <c r="AD1435" s="51">
        <v>146</v>
      </c>
      <c r="AE1435" s="51">
        <v>146</v>
      </c>
      <c r="AF1435" s="48" t="s">
        <v>203</v>
      </c>
      <c r="AG1435" s="38" t="s">
        <v>204</v>
      </c>
      <c r="AH1435" s="52"/>
      <c r="AI1435" s="38"/>
      <c r="AJ1435" s="38"/>
    </row>
    <row r="1436" spans="1:36" ht="16.2">
      <c r="A1436" s="42" t="s">
        <v>836</v>
      </c>
      <c r="B1436" s="42">
        <v>828266</v>
      </c>
      <c r="C1436" s="42" t="s">
        <v>2091</v>
      </c>
      <c r="D1436" s="42">
        <v>13207519</v>
      </c>
      <c r="E1436" s="43" t="s">
        <v>2092</v>
      </c>
      <c r="F1436" s="42" t="s">
        <v>2112</v>
      </c>
      <c r="G1436" s="42" t="s">
        <v>195</v>
      </c>
      <c r="H1436" s="42"/>
      <c r="I1436" s="42"/>
      <c r="J1436" s="42">
        <v>13207519</v>
      </c>
      <c r="K1436" s="42"/>
      <c r="L1436" s="57">
        <v>45293</v>
      </c>
      <c r="M1436" s="57">
        <v>45293</v>
      </c>
      <c r="N1436" s="42" t="s">
        <v>306</v>
      </c>
      <c r="O1436" s="42">
        <v>0</v>
      </c>
      <c r="P1436" s="42">
        <v>200.9855</v>
      </c>
      <c r="Q1436" s="42" t="s">
        <v>4265</v>
      </c>
      <c r="R1436" s="45">
        <v>410</v>
      </c>
      <c r="S1436" s="42">
        <v>0</v>
      </c>
      <c r="T1436" s="47" t="s">
        <v>198</v>
      </c>
      <c r="U1436" s="48" t="s">
        <v>199</v>
      </c>
      <c r="V1436" s="38"/>
      <c r="W1436" s="48" t="s">
        <v>195</v>
      </c>
      <c r="X1436" s="38" t="s">
        <v>200</v>
      </c>
      <c r="Y1436" s="49" t="s">
        <v>201</v>
      </c>
      <c r="Z1436" s="50" t="s">
        <v>4266</v>
      </c>
      <c r="AA1436" s="38"/>
      <c r="AB1436" s="38"/>
      <c r="AC1436" s="38"/>
      <c r="AD1436" s="51">
        <v>146</v>
      </c>
      <c r="AE1436" s="51">
        <v>146</v>
      </c>
      <c r="AF1436" s="48" t="s">
        <v>203</v>
      </c>
      <c r="AG1436" s="38" t="s">
        <v>204</v>
      </c>
      <c r="AH1436" s="52"/>
      <c r="AI1436" s="38"/>
      <c r="AJ1436" s="38"/>
    </row>
    <row r="1437" spans="1:36" ht="16.2">
      <c r="A1437" s="53" t="s">
        <v>836</v>
      </c>
      <c r="B1437" s="53">
        <v>828266</v>
      </c>
      <c r="C1437" s="53" t="s">
        <v>2091</v>
      </c>
      <c r="D1437" s="53">
        <v>13207519</v>
      </c>
      <c r="E1437" s="54" t="s">
        <v>2092</v>
      </c>
      <c r="F1437" s="53" t="s">
        <v>2115</v>
      </c>
      <c r="G1437" s="53" t="s">
        <v>195</v>
      </c>
      <c r="H1437" s="53"/>
      <c r="I1437" s="53"/>
      <c r="J1437" s="53">
        <v>13207519</v>
      </c>
      <c r="K1437" s="53"/>
      <c r="L1437" s="58">
        <v>45293</v>
      </c>
      <c r="M1437" s="58">
        <v>45293</v>
      </c>
      <c r="N1437" s="53" t="s">
        <v>306</v>
      </c>
      <c r="O1437" s="53">
        <v>0</v>
      </c>
      <c r="P1437" s="53">
        <v>20009855</v>
      </c>
      <c r="Q1437" s="53" t="s">
        <v>4267</v>
      </c>
      <c r="R1437" s="45">
        <v>410</v>
      </c>
      <c r="S1437" s="53">
        <v>0</v>
      </c>
      <c r="T1437" s="47" t="s">
        <v>198</v>
      </c>
      <c r="U1437" s="48" t="s">
        <v>199</v>
      </c>
      <c r="V1437" s="38"/>
      <c r="W1437" s="48" t="s">
        <v>195</v>
      </c>
      <c r="X1437" s="38" t="s">
        <v>200</v>
      </c>
      <c r="Y1437" s="49" t="s">
        <v>201</v>
      </c>
      <c r="Z1437" s="50" t="s">
        <v>4268</v>
      </c>
      <c r="AA1437" s="38"/>
      <c r="AB1437" s="38"/>
      <c r="AC1437" s="38"/>
      <c r="AD1437" s="51">
        <v>146</v>
      </c>
      <c r="AE1437" s="51">
        <v>146</v>
      </c>
      <c r="AF1437" s="48" t="s">
        <v>203</v>
      </c>
      <c r="AG1437" s="38" t="s">
        <v>204</v>
      </c>
      <c r="AH1437" s="52"/>
      <c r="AI1437" s="38"/>
      <c r="AJ1437" s="38"/>
    </row>
    <row r="1438" spans="1:36" ht="16.2">
      <c r="A1438" s="42" t="s">
        <v>836</v>
      </c>
      <c r="B1438" s="42">
        <v>828266</v>
      </c>
      <c r="C1438" s="42" t="s">
        <v>2091</v>
      </c>
      <c r="D1438" s="42">
        <v>13207519</v>
      </c>
      <c r="E1438" s="43" t="s">
        <v>2092</v>
      </c>
      <c r="F1438" s="42" t="s">
        <v>2118</v>
      </c>
      <c r="G1438" s="42" t="s">
        <v>195</v>
      </c>
      <c r="H1438" s="42"/>
      <c r="I1438" s="42"/>
      <c r="J1438" s="42">
        <v>13207519</v>
      </c>
      <c r="K1438" s="42"/>
      <c r="L1438" s="57">
        <v>45293</v>
      </c>
      <c r="M1438" s="57">
        <v>45293</v>
      </c>
      <c r="N1438" s="42" t="s">
        <v>306</v>
      </c>
      <c r="O1438" s="42">
        <v>0</v>
      </c>
      <c r="P1438" s="42">
        <v>20009855</v>
      </c>
      <c r="Q1438" s="42" t="s">
        <v>4269</v>
      </c>
      <c r="R1438" s="45">
        <v>410</v>
      </c>
      <c r="S1438" s="42">
        <v>0</v>
      </c>
      <c r="T1438" s="47" t="s">
        <v>198</v>
      </c>
      <c r="U1438" s="48" t="s">
        <v>199</v>
      </c>
      <c r="V1438" s="38"/>
      <c r="W1438" s="48" t="s">
        <v>195</v>
      </c>
      <c r="X1438" s="38" t="s">
        <v>200</v>
      </c>
      <c r="Y1438" s="49" t="s">
        <v>201</v>
      </c>
      <c r="Z1438" s="50" t="s">
        <v>4270</v>
      </c>
      <c r="AA1438" s="38"/>
      <c r="AB1438" s="38"/>
      <c r="AC1438" s="38"/>
      <c r="AD1438" s="51">
        <v>146</v>
      </c>
      <c r="AE1438" s="51">
        <v>146</v>
      </c>
      <c r="AF1438" s="48" t="s">
        <v>203</v>
      </c>
      <c r="AG1438" s="38" t="s">
        <v>204</v>
      </c>
      <c r="AH1438" s="52"/>
      <c r="AI1438" s="38"/>
      <c r="AJ1438" s="38"/>
    </row>
    <row r="1439" spans="1:36" ht="16.2">
      <c r="A1439" s="53" t="s">
        <v>836</v>
      </c>
      <c r="B1439" s="53">
        <v>828266</v>
      </c>
      <c r="C1439" s="53" t="s">
        <v>2091</v>
      </c>
      <c r="D1439" s="53">
        <v>13207519</v>
      </c>
      <c r="E1439" s="54" t="s">
        <v>2092</v>
      </c>
      <c r="F1439" s="53" t="s">
        <v>2121</v>
      </c>
      <c r="G1439" s="53" t="s">
        <v>195</v>
      </c>
      <c r="H1439" s="53"/>
      <c r="I1439" s="53"/>
      <c r="J1439" s="53">
        <v>13207519</v>
      </c>
      <c r="K1439" s="53"/>
      <c r="L1439" s="58">
        <v>45293</v>
      </c>
      <c r="M1439" s="58">
        <v>45293</v>
      </c>
      <c r="N1439" s="53" t="s">
        <v>306</v>
      </c>
      <c r="O1439" s="53">
        <v>0</v>
      </c>
      <c r="P1439" s="53">
        <v>20009855</v>
      </c>
      <c r="Q1439" s="53" t="s">
        <v>4271</v>
      </c>
      <c r="R1439" s="45">
        <v>410</v>
      </c>
      <c r="S1439" s="53">
        <v>0</v>
      </c>
      <c r="T1439" s="47" t="s">
        <v>198</v>
      </c>
      <c r="U1439" s="48" t="s">
        <v>199</v>
      </c>
      <c r="V1439" s="38"/>
      <c r="W1439" s="48" t="s">
        <v>195</v>
      </c>
      <c r="X1439" s="38" t="s">
        <v>200</v>
      </c>
      <c r="Y1439" s="49" t="s">
        <v>201</v>
      </c>
      <c r="Z1439" s="50" t="s">
        <v>4272</v>
      </c>
      <c r="AA1439" s="38"/>
      <c r="AB1439" s="38"/>
      <c r="AC1439" s="38"/>
      <c r="AD1439" s="51">
        <v>146</v>
      </c>
      <c r="AE1439" s="51">
        <v>146</v>
      </c>
      <c r="AF1439" s="48" t="s">
        <v>203</v>
      </c>
      <c r="AG1439" s="38" t="s">
        <v>204</v>
      </c>
      <c r="AH1439" s="52"/>
      <c r="AI1439" s="38"/>
      <c r="AJ1439" s="38"/>
    </row>
    <row r="1440" spans="1:36" ht="16.2">
      <c r="A1440" s="42" t="s">
        <v>836</v>
      </c>
      <c r="B1440" s="42">
        <v>828266</v>
      </c>
      <c r="C1440" s="42" t="s">
        <v>2091</v>
      </c>
      <c r="D1440" s="42">
        <v>13207519</v>
      </c>
      <c r="E1440" s="43" t="s">
        <v>2092</v>
      </c>
      <c r="F1440" s="42" t="s">
        <v>2124</v>
      </c>
      <c r="G1440" s="42" t="s">
        <v>195</v>
      </c>
      <c r="H1440" s="42"/>
      <c r="I1440" s="42"/>
      <c r="J1440" s="42">
        <v>13207519</v>
      </c>
      <c r="K1440" s="42"/>
      <c r="L1440" s="57">
        <v>45293</v>
      </c>
      <c r="M1440" s="57">
        <v>45293</v>
      </c>
      <c r="N1440" s="42" t="s">
        <v>306</v>
      </c>
      <c r="O1440" s="42">
        <v>0</v>
      </c>
      <c r="P1440" s="42">
        <v>20009855</v>
      </c>
      <c r="Q1440" s="42" t="s">
        <v>4273</v>
      </c>
      <c r="R1440" s="45">
        <v>410</v>
      </c>
      <c r="S1440" s="42">
        <v>0</v>
      </c>
      <c r="T1440" s="47" t="s">
        <v>198</v>
      </c>
      <c r="U1440" s="48" t="s">
        <v>199</v>
      </c>
      <c r="V1440" s="38"/>
      <c r="W1440" s="48" t="s">
        <v>195</v>
      </c>
      <c r="X1440" s="38" t="s">
        <v>200</v>
      </c>
      <c r="Y1440" s="49" t="s">
        <v>201</v>
      </c>
      <c r="Z1440" s="50" t="s">
        <v>4274</v>
      </c>
      <c r="AA1440" s="38"/>
      <c r="AB1440" s="38"/>
      <c r="AC1440" s="38"/>
      <c r="AD1440" s="51">
        <v>146</v>
      </c>
      <c r="AE1440" s="51">
        <v>146</v>
      </c>
      <c r="AF1440" s="48" t="s">
        <v>203</v>
      </c>
      <c r="AG1440" s="38" t="s">
        <v>204</v>
      </c>
      <c r="AH1440" s="52"/>
      <c r="AI1440" s="38"/>
      <c r="AJ1440" s="38"/>
    </row>
    <row r="1441" spans="1:36" ht="16.2">
      <c r="A1441" s="53" t="s">
        <v>836</v>
      </c>
      <c r="B1441" s="53">
        <v>828266</v>
      </c>
      <c r="C1441" s="53" t="s">
        <v>2091</v>
      </c>
      <c r="D1441" s="53">
        <v>13207519</v>
      </c>
      <c r="E1441" s="54" t="s">
        <v>2092</v>
      </c>
      <c r="F1441" s="53" t="s">
        <v>2127</v>
      </c>
      <c r="G1441" s="53" t="s">
        <v>195</v>
      </c>
      <c r="H1441" s="53"/>
      <c r="I1441" s="53"/>
      <c r="J1441" s="53">
        <v>13207519</v>
      </c>
      <c r="K1441" s="53"/>
      <c r="L1441" s="58">
        <v>45293</v>
      </c>
      <c r="M1441" s="58">
        <v>45293</v>
      </c>
      <c r="N1441" s="53" t="s">
        <v>306</v>
      </c>
      <c r="O1441" s="53">
        <v>0</v>
      </c>
      <c r="P1441" s="53">
        <v>20009855</v>
      </c>
      <c r="Q1441" s="53" t="s">
        <v>4275</v>
      </c>
      <c r="R1441" s="45">
        <v>410</v>
      </c>
      <c r="S1441" s="53">
        <v>0</v>
      </c>
      <c r="T1441" s="47" t="s">
        <v>198</v>
      </c>
      <c r="U1441" s="48" t="s">
        <v>199</v>
      </c>
      <c r="V1441" s="38"/>
      <c r="W1441" s="48" t="s">
        <v>195</v>
      </c>
      <c r="X1441" s="38" t="s">
        <v>200</v>
      </c>
      <c r="Y1441" s="49" t="s">
        <v>201</v>
      </c>
      <c r="Z1441" s="50" t="s">
        <v>4276</v>
      </c>
      <c r="AA1441" s="38"/>
      <c r="AB1441" s="38"/>
      <c r="AC1441" s="38"/>
      <c r="AD1441" s="51">
        <v>146</v>
      </c>
      <c r="AE1441" s="51">
        <v>146</v>
      </c>
      <c r="AF1441" s="48" t="s">
        <v>203</v>
      </c>
      <c r="AG1441" s="38" t="s">
        <v>204</v>
      </c>
      <c r="AH1441" s="52"/>
      <c r="AI1441" s="38"/>
      <c r="AJ1441" s="38"/>
    </row>
    <row r="1442" spans="1:36" ht="16.2">
      <c r="A1442" s="42" t="s">
        <v>836</v>
      </c>
      <c r="B1442" s="42">
        <v>828266</v>
      </c>
      <c r="C1442" s="42" t="s">
        <v>2091</v>
      </c>
      <c r="D1442" s="42">
        <v>13207519</v>
      </c>
      <c r="E1442" s="43" t="s">
        <v>2092</v>
      </c>
      <c r="F1442" s="42" t="s">
        <v>2130</v>
      </c>
      <c r="G1442" s="42" t="s">
        <v>195</v>
      </c>
      <c r="H1442" s="42"/>
      <c r="I1442" s="42"/>
      <c r="J1442" s="42">
        <v>13207519</v>
      </c>
      <c r="K1442" s="42"/>
      <c r="L1442" s="57">
        <v>45293</v>
      </c>
      <c r="M1442" s="57">
        <v>45293</v>
      </c>
      <c r="N1442" s="42" t="s">
        <v>306</v>
      </c>
      <c r="O1442" s="42">
        <v>0</v>
      </c>
      <c r="P1442" s="42">
        <v>20009855</v>
      </c>
      <c r="Q1442" s="42" t="s">
        <v>4277</v>
      </c>
      <c r="R1442" s="45">
        <v>410</v>
      </c>
      <c r="S1442" s="42">
        <v>0</v>
      </c>
      <c r="T1442" s="47" t="s">
        <v>198</v>
      </c>
      <c r="U1442" s="48" t="s">
        <v>199</v>
      </c>
      <c r="V1442" s="38"/>
      <c r="W1442" s="48" t="s">
        <v>195</v>
      </c>
      <c r="X1442" s="38" t="s">
        <v>200</v>
      </c>
      <c r="Y1442" s="49" t="s">
        <v>201</v>
      </c>
      <c r="Z1442" s="50" t="s">
        <v>4278</v>
      </c>
      <c r="AA1442" s="38"/>
      <c r="AB1442" s="38"/>
      <c r="AC1442" s="38"/>
      <c r="AD1442" s="51">
        <v>146</v>
      </c>
      <c r="AE1442" s="51">
        <v>146</v>
      </c>
      <c r="AF1442" s="48" t="s">
        <v>203</v>
      </c>
      <c r="AG1442" s="38" t="s">
        <v>204</v>
      </c>
      <c r="AH1442" s="52"/>
      <c r="AI1442" s="38"/>
      <c r="AJ1442" s="38"/>
    </row>
    <row r="1443" spans="1:36" ht="16.2">
      <c r="A1443" s="53" t="s">
        <v>836</v>
      </c>
      <c r="B1443" s="53">
        <v>828266</v>
      </c>
      <c r="C1443" s="53" t="s">
        <v>2091</v>
      </c>
      <c r="D1443" s="53">
        <v>13207519</v>
      </c>
      <c r="E1443" s="54" t="s">
        <v>2092</v>
      </c>
      <c r="F1443" s="53" t="s">
        <v>2133</v>
      </c>
      <c r="G1443" s="53" t="s">
        <v>195</v>
      </c>
      <c r="H1443" s="53"/>
      <c r="I1443" s="53"/>
      <c r="J1443" s="53">
        <v>13207519</v>
      </c>
      <c r="K1443" s="53"/>
      <c r="L1443" s="58">
        <v>45293</v>
      </c>
      <c r="M1443" s="58">
        <v>45293</v>
      </c>
      <c r="N1443" s="53" t="s">
        <v>306</v>
      </c>
      <c r="O1443" s="53">
        <v>0</v>
      </c>
      <c r="P1443" s="53">
        <v>20009855</v>
      </c>
      <c r="Q1443" s="53" t="s">
        <v>4279</v>
      </c>
      <c r="R1443" s="45">
        <v>410</v>
      </c>
      <c r="S1443" s="53">
        <v>0</v>
      </c>
      <c r="T1443" s="47" t="s">
        <v>198</v>
      </c>
      <c r="U1443" s="48" t="s">
        <v>199</v>
      </c>
      <c r="V1443" s="38"/>
      <c r="W1443" s="48" t="s">
        <v>195</v>
      </c>
      <c r="X1443" s="38" t="s">
        <v>200</v>
      </c>
      <c r="Y1443" s="49" t="s">
        <v>201</v>
      </c>
      <c r="Z1443" s="50" t="s">
        <v>4280</v>
      </c>
      <c r="AA1443" s="38"/>
      <c r="AB1443" s="38"/>
      <c r="AC1443" s="38"/>
      <c r="AD1443" s="51">
        <v>146</v>
      </c>
      <c r="AE1443" s="51">
        <v>146</v>
      </c>
      <c r="AF1443" s="48" t="s">
        <v>203</v>
      </c>
      <c r="AG1443" s="38" t="s">
        <v>204</v>
      </c>
      <c r="AH1443" s="52"/>
      <c r="AI1443" s="38"/>
      <c r="AJ1443" s="38"/>
    </row>
    <row r="1444" spans="1:36" ht="16.2">
      <c r="A1444" s="42" t="s">
        <v>836</v>
      </c>
      <c r="B1444" s="42">
        <v>828266</v>
      </c>
      <c r="C1444" s="42" t="s">
        <v>2091</v>
      </c>
      <c r="D1444" s="42">
        <v>13207519</v>
      </c>
      <c r="E1444" s="43" t="s">
        <v>2092</v>
      </c>
      <c r="F1444" s="42" t="s">
        <v>2136</v>
      </c>
      <c r="G1444" s="42" t="s">
        <v>195</v>
      </c>
      <c r="H1444" s="42"/>
      <c r="I1444" s="42"/>
      <c r="J1444" s="42">
        <v>13207519</v>
      </c>
      <c r="K1444" s="42"/>
      <c r="L1444" s="57">
        <v>45293</v>
      </c>
      <c r="M1444" s="57">
        <v>45293</v>
      </c>
      <c r="N1444" s="42" t="s">
        <v>306</v>
      </c>
      <c r="O1444" s="42">
        <v>0</v>
      </c>
      <c r="P1444" s="42">
        <v>20009855</v>
      </c>
      <c r="Q1444" s="42" t="s">
        <v>4281</v>
      </c>
      <c r="R1444" s="45">
        <v>410</v>
      </c>
      <c r="S1444" s="42">
        <v>0</v>
      </c>
      <c r="T1444" s="47" t="s">
        <v>198</v>
      </c>
      <c r="U1444" s="48" t="s">
        <v>199</v>
      </c>
      <c r="V1444" s="38"/>
      <c r="W1444" s="48" t="s">
        <v>195</v>
      </c>
      <c r="X1444" s="38" t="s">
        <v>200</v>
      </c>
      <c r="Y1444" s="49" t="s">
        <v>201</v>
      </c>
      <c r="Z1444" s="50" t="s">
        <v>4282</v>
      </c>
      <c r="AA1444" s="38"/>
      <c r="AB1444" s="38"/>
      <c r="AC1444" s="38"/>
      <c r="AD1444" s="51">
        <v>146</v>
      </c>
      <c r="AE1444" s="51">
        <v>146</v>
      </c>
      <c r="AF1444" s="48" t="s">
        <v>203</v>
      </c>
      <c r="AG1444" s="38" t="s">
        <v>204</v>
      </c>
      <c r="AH1444" s="52"/>
      <c r="AI1444" s="38"/>
      <c r="AJ1444" s="38"/>
    </row>
    <row r="1445" spans="1:36" ht="16.2">
      <c r="A1445" s="53" t="s">
        <v>836</v>
      </c>
      <c r="B1445" s="53">
        <v>828266</v>
      </c>
      <c r="C1445" s="53" t="s">
        <v>2091</v>
      </c>
      <c r="D1445" s="53">
        <v>13207519</v>
      </c>
      <c r="E1445" s="54" t="s">
        <v>2092</v>
      </c>
      <c r="F1445" s="53" t="s">
        <v>2139</v>
      </c>
      <c r="G1445" s="53" t="s">
        <v>195</v>
      </c>
      <c r="H1445" s="53"/>
      <c r="I1445" s="53"/>
      <c r="J1445" s="53">
        <v>13207519</v>
      </c>
      <c r="K1445" s="53"/>
      <c r="L1445" s="58">
        <v>45293</v>
      </c>
      <c r="M1445" s="58">
        <v>45293</v>
      </c>
      <c r="N1445" s="53" t="s">
        <v>306</v>
      </c>
      <c r="O1445" s="53">
        <v>0</v>
      </c>
      <c r="P1445" s="53">
        <v>20009855</v>
      </c>
      <c r="Q1445" s="53" t="s">
        <v>4283</v>
      </c>
      <c r="R1445" s="45">
        <v>410</v>
      </c>
      <c r="S1445" s="53">
        <v>0</v>
      </c>
      <c r="T1445" s="47" t="s">
        <v>198</v>
      </c>
      <c r="U1445" s="48" t="s">
        <v>199</v>
      </c>
      <c r="V1445" s="38"/>
      <c r="W1445" s="48" t="s">
        <v>195</v>
      </c>
      <c r="X1445" s="38" t="s">
        <v>200</v>
      </c>
      <c r="Y1445" s="49" t="s">
        <v>201</v>
      </c>
      <c r="Z1445" s="50" t="s">
        <v>4284</v>
      </c>
      <c r="AA1445" s="38"/>
      <c r="AB1445" s="38"/>
      <c r="AC1445" s="38"/>
      <c r="AD1445" s="51">
        <v>146</v>
      </c>
      <c r="AE1445" s="51">
        <v>146</v>
      </c>
      <c r="AF1445" s="48" t="s">
        <v>203</v>
      </c>
      <c r="AG1445" s="38" t="s">
        <v>204</v>
      </c>
      <c r="AH1445" s="52"/>
      <c r="AI1445" s="38"/>
      <c r="AJ1445" s="38"/>
    </row>
    <row r="1446" spans="1:36" ht="16.2">
      <c r="A1446" s="42" t="s">
        <v>836</v>
      </c>
      <c r="B1446" s="42">
        <v>828266</v>
      </c>
      <c r="C1446" s="42" t="s">
        <v>2091</v>
      </c>
      <c r="D1446" s="42">
        <v>13207519</v>
      </c>
      <c r="E1446" s="43" t="s">
        <v>2092</v>
      </c>
      <c r="F1446" s="42" t="s">
        <v>2142</v>
      </c>
      <c r="G1446" s="42" t="s">
        <v>195</v>
      </c>
      <c r="H1446" s="42"/>
      <c r="I1446" s="42"/>
      <c r="J1446" s="42">
        <v>13207519</v>
      </c>
      <c r="K1446" s="42"/>
      <c r="L1446" s="57">
        <v>45293</v>
      </c>
      <c r="M1446" s="57">
        <v>45293</v>
      </c>
      <c r="N1446" s="42" t="s">
        <v>306</v>
      </c>
      <c r="O1446" s="42">
        <v>0</v>
      </c>
      <c r="P1446" s="42">
        <v>20009855</v>
      </c>
      <c r="Q1446" s="42" t="s">
        <v>4285</v>
      </c>
      <c r="R1446" s="45">
        <v>410</v>
      </c>
      <c r="S1446" s="42">
        <v>0</v>
      </c>
      <c r="T1446" s="47" t="s">
        <v>198</v>
      </c>
      <c r="U1446" s="48" t="s">
        <v>199</v>
      </c>
      <c r="V1446" s="38"/>
      <c r="W1446" s="48" t="s">
        <v>195</v>
      </c>
      <c r="X1446" s="38" t="s">
        <v>200</v>
      </c>
      <c r="Y1446" s="49" t="s">
        <v>201</v>
      </c>
      <c r="Z1446" s="50" t="s">
        <v>4286</v>
      </c>
      <c r="AA1446" s="38"/>
      <c r="AB1446" s="38"/>
      <c r="AC1446" s="38"/>
      <c r="AD1446" s="51">
        <v>146</v>
      </c>
      <c r="AE1446" s="51">
        <v>146</v>
      </c>
      <c r="AF1446" s="48" t="s">
        <v>203</v>
      </c>
      <c r="AG1446" s="38" t="s">
        <v>204</v>
      </c>
      <c r="AH1446" s="52"/>
      <c r="AI1446" s="38"/>
      <c r="AJ1446" s="38"/>
    </row>
    <row r="1447" spans="1:36" ht="16.2">
      <c r="A1447" s="53" t="s">
        <v>836</v>
      </c>
      <c r="B1447" s="53">
        <v>828266</v>
      </c>
      <c r="C1447" s="53" t="s">
        <v>2091</v>
      </c>
      <c r="D1447" s="53">
        <v>13207519</v>
      </c>
      <c r="E1447" s="54" t="s">
        <v>2092</v>
      </c>
      <c r="F1447" s="53" t="s">
        <v>2145</v>
      </c>
      <c r="G1447" s="53" t="s">
        <v>195</v>
      </c>
      <c r="H1447" s="53"/>
      <c r="I1447" s="53"/>
      <c r="J1447" s="53">
        <v>13207519</v>
      </c>
      <c r="K1447" s="53"/>
      <c r="L1447" s="58">
        <v>45293</v>
      </c>
      <c r="M1447" s="58">
        <v>45293</v>
      </c>
      <c r="N1447" s="53" t="s">
        <v>306</v>
      </c>
      <c r="O1447" s="53">
        <v>0</v>
      </c>
      <c r="P1447" s="53">
        <v>20009855</v>
      </c>
      <c r="Q1447" s="53" t="s">
        <v>4287</v>
      </c>
      <c r="R1447" s="45">
        <v>410</v>
      </c>
      <c r="S1447" s="53">
        <v>0</v>
      </c>
      <c r="T1447" s="47" t="s">
        <v>198</v>
      </c>
      <c r="U1447" s="48" t="s">
        <v>199</v>
      </c>
      <c r="V1447" s="38"/>
      <c r="W1447" s="48" t="s">
        <v>195</v>
      </c>
      <c r="X1447" s="38" t="s">
        <v>200</v>
      </c>
      <c r="Y1447" s="49" t="s">
        <v>201</v>
      </c>
      <c r="Z1447" s="50" t="s">
        <v>4288</v>
      </c>
      <c r="AA1447" s="38"/>
      <c r="AB1447" s="38"/>
      <c r="AC1447" s="38"/>
      <c r="AD1447" s="51">
        <v>146</v>
      </c>
      <c r="AE1447" s="51">
        <v>146</v>
      </c>
      <c r="AF1447" s="48" t="s">
        <v>203</v>
      </c>
      <c r="AG1447" s="38" t="s">
        <v>204</v>
      </c>
      <c r="AH1447" s="52"/>
      <c r="AI1447" s="38"/>
      <c r="AJ1447" s="38"/>
    </row>
    <row r="1448" spans="1:36" ht="16.2">
      <c r="A1448" s="42" t="s">
        <v>836</v>
      </c>
      <c r="B1448" s="42">
        <v>828266</v>
      </c>
      <c r="C1448" s="42" t="s">
        <v>2091</v>
      </c>
      <c r="D1448" s="42">
        <v>13207519</v>
      </c>
      <c r="E1448" s="43" t="s">
        <v>2092</v>
      </c>
      <c r="F1448" s="42" t="s">
        <v>2148</v>
      </c>
      <c r="G1448" s="42" t="s">
        <v>195</v>
      </c>
      <c r="H1448" s="42"/>
      <c r="I1448" s="42"/>
      <c r="J1448" s="42">
        <v>13207519</v>
      </c>
      <c r="K1448" s="42"/>
      <c r="L1448" s="57">
        <v>45293</v>
      </c>
      <c r="M1448" s="57">
        <v>45293</v>
      </c>
      <c r="N1448" s="42" t="s">
        <v>306</v>
      </c>
      <c r="O1448" s="42">
        <v>0</v>
      </c>
      <c r="P1448" s="42">
        <v>20009855</v>
      </c>
      <c r="Q1448" s="42" t="s">
        <v>4289</v>
      </c>
      <c r="R1448" s="45">
        <v>410</v>
      </c>
      <c r="S1448" s="42">
        <v>0</v>
      </c>
      <c r="T1448" s="47" t="s">
        <v>198</v>
      </c>
      <c r="U1448" s="48" t="s">
        <v>199</v>
      </c>
      <c r="V1448" s="38"/>
      <c r="W1448" s="48" t="s">
        <v>195</v>
      </c>
      <c r="X1448" s="38" t="s">
        <v>200</v>
      </c>
      <c r="Y1448" s="49" t="s">
        <v>201</v>
      </c>
      <c r="Z1448" s="50" t="s">
        <v>4290</v>
      </c>
      <c r="AA1448" s="38"/>
      <c r="AB1448" s="38"/>
      <c r="AC1448" s="38"/>
      <c r="AD1448" s="51">
        <v>146</v>
      </c>
      <c r="AE1448" s="51">
        <v>146</v>
      </c>
      <c r="AF1448" s="48" t="s">
        <v>203</v>
      </c>
      <c r="AG1448" s="38" t="s">
        <v>204</v>
      </c>
      <c r="AH1448" s="52"/>
      <c r="AI1448" s="38"/>
      <c r="AJ1448" s="38"/>
    </row>
    <row r="1449" spans="1:36" ht="16.2">
      <c r="A1449" s="53" t="s">
        <v>836</v>
      </c>
      <c r="B1449" s="53">
        <v>828266</v>
      </c>
      <c r="C1449" s="53" t="s">
        <v>2091</v>
      </c>
      <c r="D1449" s="53">
        <v>13207519</v>
      </c>
      <c r="E1449" s="54" t="s">
        <v>2092</v>
      </c>
      <c r="F1449" s="53" t="s">
        <v>2151</v>
      </c>
      <c r="G1449" s="53" t="s">
        <v>195</v>
      </c>
      <c r="H1449" s="53"/>
      <c r="I1449" s="53"/>
      <c r="J1449" s="53">
        <v>13207519</v>
      </c>
      <c r="K1449" s="53"/>
      <c r="L1449" s="58">
        <v>45293</v>
      </c>
      <c r="M1449" s="58">
        <v>45293</v>
      </c>
      <c r="N1449" s="53" t="s">
        <v>306</v>
      </c>
      <c r="O1449" s="53">
        <v>0</v>
      </c>
      <c r="P1449" s="53">
        <v>20009855</v>
      </c>
      <c r="Q1449" s="53" t="s">
        <v>4291</v>
      </c>
      <c r="R1449" s="45">
        <v>410</v>
      </c>
      <c r="S1449" s="53">
        <v>0</v>
      </c>
      <c r="T1449" s="47" t="s">
        <v>198</v>
      </c>
      <c r="U1449" s="48" t="s">
        <v>199</v>
      </c>
      <c r="V1449" s="38"/>
      <c r="W1449" s="48" t="s">
        <v>195</v>
      </c>
      <c r="X1449" s="38" t="s">
        <v>200</v>
      </c>
      <c r="Y1449" s="49" t="s">
        <v>201</v>
      </c>
      <c r="Z1449" s="50" t="s">
        <v>4292</v>
      </c>
      <c r="AA1449" s="38"/>
      <c r="AB1449" s="38"/>
      <c r="AC1449" s="38"/>
      <c r="AD1449" s="51">
        <v>146</v>
      </c>
      <c r="AE1449" s="51">
        <v>146</v>
      </c>
      <c r="AF1449" s="48" t="s">
        <v>203</v>
      </c>
      <c r="AG1449" s="38" t="s">
        <v>204</v>
      </c>
      <c r="AH1449" s="52"/>
      <c r="AI1449" s="38"/>
      <c r="AJ1449" s="38"/>
    </row>
    <row r="1450" spans="1:36" ht="16.2">
      <c r="A1450" s="42" t="s">
        <v>836</v>
      </c>
      <c r="B1450" s="42">
        <v>828266</v>
      </c>
      <c r="C1450" s="42" t="s">
        <v>2091</v>
      </c>
      <c r="D1450" s="42">
        <v>13207519</v>
      </c>
      <c r="E1450" s="43" t="s">
        <v>2092</v>
      </c>
      <c r="F1450" s="42" t="s">
        <v>2154</v>
      </c>
      <c r="G1450" s="42" t="s">
        <v>195</v>
      </c>
      <c r="H1450" s="42"/>
      <c r="I1450" s="42"/>
      <c r="J1450" s="42">
        <v>13207519</v>
      </c>
      <c r="K1450" s="42"/>
      <c r="L1450" s="57">
        <v>45293</v>
      </c>
      <c r="M1450" s="57">
        <v>45293</v>
      </c>
      <c r="N1450" s="42" t="s">
        <v>306</v>
      </c>
      <c r="O1450" s="42">
        <v>0</v>
      </c>
      <c r="P1450" s="42">
        <v>20009855</v>
      </c>
      <c r="Q1450" s="42" t="s">
        <v>4293</v>
      </c>
      <c r="R1450" s="45">
        <v>410</v>
      </c>
      <c r="S1450" s="42">
        <v>0</v>
      </c>
      <c r="T1450" s="47" t="s">
        <v>198</v>
      </c>
      <c r="U1450" s="48" t="s">
        <v>199</v>
      </c>
      <c r="V1450" s="38"/>
      <c r="W1450" s="48" t="s">
        <v>195</v>
      </c>
      <c r="X1450" s="38" t="s">
        <v>200</v>
      </c>
      <c r="Y1450" s="49" t="s">
        <v>201</v>
      </c>
      <c r="Z1450" s="50" t="s">
        <v>4294</v>
      </c>
      <c r="AA1450" s="38"/>
      <c r="AB1450" s="38"/>
      <c r="AC1450" s="38"/>
      <c r="AD1450" s="51">
        <v>146</v>
      </c>
      <c r="AE1450" s="51">
        <v>146</v>
      </c>
      <c r="AF1450" s="48" t="s">
        <v>203</v>
      </c>
      <c r="AG1450" s="38" t="s">
        <v>204</v>
      </c>
      <c r="AH1450" s="52"/>
      <c r="AI1450" s="38"/>
      <c r="AJ1450" s="38"/>
    </row>
    <row r="1451" spans="1:36" ht="16.2">
      <c r="A1451" s="53" t="s">
        <v>836</v>
      </c>
      <c r="B1451" s="53">
        <v>828266</v>
      </c>
      <c r="C1451" s="53" t="s">
        <v>2091</v>
      </c>
      <c r="D1451" s="53">
        <v>13207519</v>
      </c>
      <c r="E1451" s="54" t="s">
        <v>2092</v>
      </c>
      <c r="F1451" s="53" t="s">
        <v>2157</v>
      </c>
      <c r="G1451" s="53" t="s">
        <v>195</v>
      </c>
      <c r="H1451" s="53"/>
      <c r="I1451" s="53"/>
      <c r="J1451" s="53">
        <v>13207519</v>
      </c>
      <c r="K1451" s="53"/>
      <c r="L1451" s="58">
        <v>45293</v>
      </c>
      <c r="M1451" s="58">
        <v>45293</v>
      </c>
      <c r="N1451" s="53" t="s">
        <v>306</v>
      </c>
      <c r="O1451" s="53">
        <v>0</v>
      </c>
      <c r="P1451" s="53">
        <v>20009855</v>
      </c>
      <c r="Q1451" s="53" t="s">
        <v>4295</v>
      </c>
      <c r="R1451" s="45">
        <v>410</v>
      </c>
      <c r="S1451" s="53">
        <v>0</v>
      </c>
      <c r="T1451" s="47" t="s">
        <v>198</v>
      </c>
      <c r="U1451" s="48" t="s">
        <v>199</v>
      </c>
      <c r="V1451" s="38"/>
      <c r="W1451" s="48" t="s">
        <v>195</v>
      </c>
      <c r="X1451" s="38" t="s">
        <v>200</v>
      </c>
      <c r="Y1451" s="49" t="s">
        <v>201</v>
      </c>
      <c r="Z1451" s="50" t="s">
        <v>4296</v>
      </c>
      <c r="AA1451" s="38"/>
      <c r="AB1451" s="38"/>
      <c r="AC1451" s="38"/>
      <c r="AD1451" s="51">
        <v>146</v>
      </c>
      <c r="AE1451" s="51">
        <v>146</v>
      </c>
      <c r="AF1451" s="48" t="s">
        <v>203</v>
      </c>
      <c r="AG1451" s="38" t="s">
        <v>204</v>
      </c>
      <c r="AH1451" s="52"/>
      <c r="AI1451" s="38"/>
      <c r="AJ1451" s="38"/>
    </row>
    <row r="1452" spans="1:36" ht="16.2">
      <c r="A1452" s="42" t="s">
        <v>836</v>
      </c>
      <c r="B1452" s="42">
        <v>828266</v>
      </c>
      <c r="C1452" s="42" t="s">
        <v>2091</v>
      </c>
      <c r="D1452" s="42">
        <v>13207519</v>
      </c>
      <c r="E1452" s="43" t="s">
        <v>2092</v>
      </c>
      <c r="F1452" s="42" t="s">
        <v>260</v>
      </c>
      <c r="G1452" s="42" t="s">
        <v>195</v>
      </c>
      <c r="H1452" s="42"/>
      <c r="I1452" s="42"/>
      <c r="J1452" s="42">
        <v>13207519</v>
      </c>
      <c r="K1452" s="42"/>
      <c r="L1452" s="57">
        <v>45293</v>
      </c>
      <c r="M1452" s="57">
        <v>45293</v>
      </c>
      <c r="N1452" s="42" t="s">
        <v>306</v>
      </c>
      <c r="O1452" s="42">
        <v>0</v>
      </c>
      <c r="P1452" s="42">
        <v>20009855</v>
      </c>
      <c r="Q1452" s="42" t="s">
        <v>4297</v>
      </c>
      <c r="R1452" s="45">
        <v>410</v>
      </c>
      <c r="S1452" s="42">
        <v>0</v>
      </c>
      <c r="T1452" s="47" t="s">
        <v>198</v>
      </c>
      <c r="U1452" s="48" t="s">
        <v>199</v>
      </c>
      <c r="V1452" s="38"/>
      <c r="W1452" s="48" t="s">
        <v>195</v>
      </c>
      <c r="X1452" s="38" t="s">
        <v>200</v>
      </c>
      <c r="Y1452" s="49" t="s">
        <v>201</v>
      </c>
      <c r="Z1452" s="50" t="s">
        <v>4298</v>
      </c>
      <c r="AA1452" s="38"/>
      <c r="AB1452" s="38"/>
      <c r="AC1452" s="38"/>
      <c r="AD1452" s="51">
        <v>146</v>
      </c>
      <c r="AE1452" s="51">
        <v>146</v>
      </c>
      <c r="AF1452" s="48" t="s">
        <v>203</v>
      </c>
      <c r="AG1452" s="38" t="s">
        <v>204</v>
      </c>
      <c r="AH1452" s="52"/>
      <c r="AI1452" s="38"/>
      <c r="AJ1452" s="38"/>
    </row>
    <row r="1453" spans="1:36" ht="16.2">
      <c r="A1453" s="53" t="s">
        <v>836</v>
      </c>
      <c r="B1453" s="53">
        <v>828266</v>
      </c>
      <c r="C1453" s="53" t="s">
        <v>2091</v>
      </c>
      <c r="D1453" s="53">
        <v>13207519</v>
      </c>
      <c r="E1453" s="54" t="s">
        <v>2092</v>
      </c>
      <c r="F1453" s="53" t="s">
        <v>299</v>
      </c>
      <c r="G1453" s="53" t="s">
        <v>195</v>
      </c>
      <c r="H1453" s="53"/>
      <c r="I1453" s="53"/>
      <c r="J1453" s="53">
        <v>13207519</v>
      </c>
      <c r="K1453" s="53"/>
      <c r="L1453" s="58">
        <v>45293</v>
      </c>
      <c r="M1453" s="58">
        <v>45293</v>
      </c>
      <c r="N1453" s="53" t="s">
        <v>306</v>
      </c>
      <c r="O1453" s="53">
        <v>0</v>
      </c>
      <c r="P1453" s="53">
        <v>20009855</v>
      </c>
      <c r="Q1453" s="53" t="s">
        <v>4299</v>
      </c>
      <c r="R1453" s="45">
        <v>410</v>
      </c>
      <c r="S1453" s="53">
        <v>0</v>
      </c>
      <c r="T1453" s="47" t="s">
        <v>198</v>
      </c>
      <c r="U1453" s="48" t="s">
        <v>199</v>
      </c>
      <c r="V1453" s="38"/>
      <c r="W1453" s="48" t="s">
        <v>195</v>
      </c>
      <c r="X1453" s="38" t="s">
        <v>200</v>
      </c>
      <c r="Y1453" s="49" t="s">
        <v>201</v>
      </c>
      <c r="Z1453" s="50" t="s">
        <v>4300</v>
      </c>
      <c r="AA1453" s="38"/>
      <c r="AB1453" s="38"/>
      <c r="AC1453" s="38"/>
      <c r="AD1453" s="51">
        <v>146</v>
      </c>
      <c r="AE1453" s="51">
        <v>146</v>
      </c>
      <c r="AF1453" s="48" t="s">
        <v>203</v>
      </c>
      <c r="AG1453" s="38" t="s">
        <v>204</v>
      </c>
      <c r="AH1453" s="52"/>
      <c r="AI1453" s="38"/>
      <c r="AJ1453" s="38"/>
    </row>
    <row r="1454" spans="1:36" ht="16.2">
      <c r="A1454" s="42" t="s">
        <v>340</v>
      </c>
      <c r="B1454" s="42">
        <v>519561</v>
      </c>
      <c r="C1454" s="42" t="s">
        <v>54</v>
      </c>
      <c r="D1454" s="42">
        <v>13207630</v>
      </c>
      <c r="E1454" s="43" t="s">
        <v>4301</v>
      </c>
      <c r="F1454" s="42" t="s">
        <v>2444</v>
      </c>
      <c r="G1454" s="42" t="s">
        <v>195</v>
      </c>
      <c r="H1454" s="42" t="s">
        <v>4302</v>
      </c>
      <c r="I1454" s="42">
        <v>23671380</v>
      </c>
      <c r="J1454" s="42">
        <v>13207630</v>
      </c>
      <c r="K1454" s="42"/>
      <c r="L1454" s="57">
        <v>45293</v>
      </c>
      <c r="M1454" s="57">
        <v>45293</v>
      </c>
      <c r="N1454" s="42" t="s">
        <v>343</v>
      </c>
      <c r="O1454" s="42">
        <v>0</v>
      </c>
      <c r="P1454" s="42">
        <v>20009992</v>
      </c>
      <c r="Q1454" s="42" t="s">
        <v>4303</v>
      </c>
      <c r="R1454" s="45">
        <v>410</v>
      </c>
      <c r="S1454" s="42">
        <v>0</v>
      </c>
      <c r="T1454" s="47" t="s">
        <v>198</v>
      </c>
      <c r="U1454" s="48" t="s">
        <v>199</v>
      </c>
      <c r="V1454" s="38"/>
      <c r="W1454" s="48" t="s">
        <v>195</v>
      </c>
      <c r="X1454" s="38" t="s">
        <v>308</v>
      </c>
      <c r="Y1454" s="49" t="s">
        <v>309</v>
      </c>
      <c r="Z1454" s="50" t="s">
        <v>4304</v>
      </c>
      <c r="AA1454" s="47" t="s">
        <v>4305</v>
      </c>
      <c r="AB1454" s="47" t="s">
        <v>4306</v>
      </c>
      <c r="AC1454" s="38"/>
      <c r="AD1454" s="51">
        <v>40</v>
      </c>
      <c r="AE1454" s="51">
        <v>40</v>
      </c>
      <c r="AF1454" s="48" t="s">
        <v>203</v>
      </c>
      <c r="AG1454" s="38" t="s">
        <v>204</v>
      </c>
      <c r="AH1454" s="52"/>
      <c r="AI1454" s="38"/>
      <c r="AJ1454" s="38"/>
    </row>
    <row r="1455" spans="1:36" ht="16.2">
      <c r="A1455" s="53" t="s">
        <v>340</v>
      </c>
      <c r="B1455" s="53">
        <v>519561</v>
      </c>
      <c r="C1455" s="53" t="s">
        <v>54</v>
      </c>
      <c r="D1455" s="53">
        <v>13207630</v>
      </c>
      <c r="E1455" s="54" t="s">
        <v>4301</v>
      </c>
      <c r="F1455" s="53" t="s">
        <v>2448</v>
      </c>
      <c r="G1455" s="53" t="s">
        <v>195</v>
      </c>
      <c r="H1455" s="53"/>
      <c r="I1455" s="53"/>
      <c r="J1455" s="53">
        <v>13207630</v>
      </c>
      <c r="K1455" s="53"/>
      <c r="L1455" s="58">
        <v>45293</v>
      </c>
      <c r="M1455" s="58">
        <v>45293</v>
      </c>
      <c r="N1455" s="53" t="s">
        <v>343</v>
      </c>
      <c r="O1455" s="53">
        <v>0</v>
      </c>
      <c r="P1455" s="53">
        <v>20009992</v>
      </c>
      <c r="Q1455" s="53" t="s">
        <v>4307</v>
      </c>
      <c r="R1455" s="45">
        <v>410</v>
      </c>
      <c r="S1455" s="53">
        <v>0</v>
      </c>
      <c r="T1455" s="47" t="s">
        <v>198</v>
      </c>
      <c r="U1455" s="48" t="s">
        <v>199</v>
      </c>
      <c r="V1455" s="38"/>
      <c r="W1455" s="48" t="s">
        <v>195</v>
      </c>
      <c r="X1455" s="38" t="s">
        <v>308</v>
      </c>
      <c r="Y1455" s="49" t="s">
        <v>309</v>
      </c>
      <c r="Z1455" s="50" t="s">
        <v>4308</v>
      </c>
      <c r="AA1455" s="38"/>
      <c r="AB1455" s="38"/>
      <c r="AC1455" s="38"/>
      <c r="AD1455" s="51">
        <v>40</v>
      </c>
      <c r="AE1455" s="51">
        <v>40</v>
      </c>
      <c r="AF1455" s="48" t="s">
        <v>203</v>
      </c>
      <c r="AG1455" s="38" t="s">
        <v>204</v>
      </c>
      <c r="AH1455" s="52"/>
      <c r="AI1455" s="38"/>
      <c r="AJ1455" s="38"/>
    </row>
    <row r="1456" spans="1:36" ht="16.2">
      <c r="A1456" s="42" t="s">
        <v>340</v>
      </c>
      <c r="B1456" s="42">
        <v>519561</v>
      </c>
      <c r="C1456" s="42" t="s">
        <v>54</v>
      </c>
      <c r="D1456" s="42">
        <v>13207630</v>
      </c>
      <c r="E1456" s="43" t="s">
        <v>4301</v>
      </c>
      <c r="F1456" s="42" t="s">
        <v>4309</v>
      </c>
      <c r="G1456" s="42" t="s">
        <v>195</v>
      </c>
      <c r="H1456" s="42"/>
      <c r="I1456" s="42"/>
      <c r="J1456" s="42">
        <v>13207630</v>
      </c>
      <c r="K1456" s="42"/>
      <c r="L1456" s="57">
        <v>45293</v>
      </c>
      <c r="M1456" s="57">
        <v>45293</v>
      </c>
      <c r="N1456" s="42" t="s">
        <v>343</v>
      </c>
      <c r="O1456" s="42">
        <v>0</v>
      </c>
      <c r="P1456" s="42">
        <v>20009992</v>
      </c>
      <c r="Q1456" s="42" t="s">
        <v>4310</v>
      </c>
      <c r="R1456" s="45">
        <v>410</v>
      </c>
      <c r="S1456" s="42">
        <v>0</v>
      </c>
      <c r="T1456" s="47" t="s">
        <v>198</v>
      </c>
      <c r="U1456" s="48" t="s">
        <v>199</v>
      </c>
      <c r="V1456" s="38"/>
      <c r="W1456" s="48" t="s">
        <v>195</v>
      </c>
      <c r="X1456" s="38" t="s">
        <v>308</v>
      </c>
      <c r="Y1456" s="49" t="s">
        <v>309</v>
      </c>
      <c r="Z1456" s="50" t="s">
        <v>4311</v>
      </c>
      <c r="AA1456" s="38"/>
      <c r="AB1456" s="38"/>
      <c r="AC1456" s="38"/>
      <c r="AD1456" s="51">
        <v>40</v>
      </c>
      <c r="AE1456" s="51">
        <v>40</v>
      </c>
      <c r="AF1456" s="48" t="s">
        <v>203</v>
      </c>
      <c r="AG1456" s="38" t="s">
        <v>204</v>
      </c>
      <c r="AH1456" s="52"/>
      <c r="AI1456" s="38"/>
      <c r="AJ1456" s="38"/>
    </row>
    <row r="1457" spans="1:36" ht="16.2">
      <c r="A1457" s="53" t="s">
        <v>340</v>
      </c>
      <c r="B1457" s="53">
        <v>519561</v>
      </c>
      <c r="C1457" s="53" t="s">
        <v>54</v>
      </c>
      <c r="D1457" s="53">
        <v>13207630</v>
      </c>
      <c r="E1457" s="54" t="s">
        <v>4301</v>
      </c>
      <c r="F1457" s="53" t="s">
        <v>2454</v>
      </c>
      <c r="G1457" s="53" t="s">
        <v>195</v>
      </c>
      <c r="H1457" s="53"/>
      <c r="I1457" s="53"/>
      <c r="J1457" s="53">
        <v>13207630</v>
      </c>
      <c r="K1457" s="53"/>
      <c r="L1457" s="58">
        <v>45293</v>
      </c>
      <c r="M1457" s="58">
        <v>45293</v>
      </c>
      <c r="N1457" s="53" t="s">
        <v>343</v>
      </c>
      <c r="O1457" s="53">
        <v>0</v>
      </c>
      <c r="P1457" s="53">
        <v>20009992</v>
      </c>
      <c r="Q1457" s="53" t="s">
        <v>4312</v>
      </c>
      <c r="R1457" s="45">
        <v>410</v>
      </c>
      <c r="S1457" s="53">
        <v>0</v>
      </c>
      <c r="T1457" s="47" t="s">
        <v>198</v>
      </c>
      <c r="U1457" s="48" t="s">
        <v>199</v>
      </c>
      <c r="V1457" s="38"/>
      <c r="W1457" s="48" t="s">
        <v>195</v>
      </c>
      <c r="X1457" s="38" t="s">
        <v>308</v>
      </c>
      <c r="Y1457" s="49" t="s">
        <v>309</v>
      </c>
      <c r="Z1457" s="50" t="s">
        <v>4313</v>
      </c>
      <c r="AA1457" s="38"/>
      <c r="AB1457" s="38"/>
      <c r="AC1457" s="38"/>
      <c r="AD1457" s="51">
        <v>40</v>
      </c>
      <c r="AE1457" s="51">
        <v>40</v>
      </c>
      <c r="AF1457" s="48" t="s">
        <v>203</v>
      </c>
      <c r="AG1457" s="38" t="s">
        <v>204</v>
      </c>
      <c r="AH1457" s="52"/>
      <c r="AI1457" s="38"/>
      <c r="AJ1457" s="38"/>
    </row>
    <row r="1458" spans="1:36" ht="16.2">
      <c r="A1458" s="42" t="s">
        <v>340</v>
      </c>
      <c r="B1458" s="42">
        <v>519561</v>
      </c>
      <c r="C1458" s="42" t="s">
        <v>54</v>
      </c>
      <c r="D1458" s="42">
        <v>13207630</v>
      </c>
      <c r="E1458" s="43" t="s">
        <v>4301</v>
      </c>
      <c r="F1458" s="42" t="s">
        <v>1064</v>
      </c>
      <c r="G1458" s="42" t="s">
        <v>195</v>
      </c>
      <c r="H1458" s="42"/>
      <c r="I1458" s="42"/>
      <c r="J1458" s="42">
        <v>13207630</v>
      </c>
      <c r="K1458" s="42"/>
      <c r="L1458" s="57">
        <v>45293</v>
      </c>
      <c r="M1458" s="57">
        <v>45293</v>
      </c>
      <c r="N1458" s="42" t="s">
        <v>343</v>
      </c>
      <c r="O1458" s="42">
        <v>0</v>
      </c>
      <c r="P1458" s="42">
        <v>20009992</v>
      </c>
      <c r="Q1458" s="42" t="s">
        <v>4314</v>
      </c>
      <c r="R1458" s="45">
        <v>410</v>
      </c>
      <c r="S1458" s="42">
        <v>0</v>
      </c>
      <c r="T1458" s="47" t="s">
        <v>198</v>
      </c>
      <c r="U1458" s="48" t="s">
        <v>199</v>
      </c>
      <c r="V1458" s="38"/>
      <c r="W1458" s="48" t="s">
        <v>195</v>
      </c>
      <c r="X1458" s="38" t="s">
        <v>308</v>
      </c>
      <c r="Y1458" s="49" t="s">
        <v>309</v>
      </c>
      <c r="Z1458" s="50" t="s">
        <v>4315</v>
      </c>
      <c r="AA1458" s="38"/>
      <c r="AB1458" s="38"/>
      <c r="AC1458" s="38"/>
      <c r="AD1458" s="51">
        <v>40</v>
      </c>
      <c r="AE1458" s="51">
        <v>40</v>
      </c>
      <c r="AF1458" s="48" t="s">
        <v>203</v>
      </c>
      <c r="AG1458" s="38" t="s">
        <v>204</v>
      </c>
      <c r="AH1458" s="52"/>
      <c r="AI1458" s="38"/>
      <c r="AJ1458" s="38"/>
    </row>
    <row r="1459" spans="1:36" ht="16.2">
      <c r="A1459" s="53" t="s">
        <v>340</v>
      </c>
      <c r="B1459" s="53">
        <v>519561</v>
      </c>
      <c r="C1459" s="53" t="s">
        <v>54</v>
      </c>
      <c r="D1459" s="53">
        <v>13207630</v>
      </c>
      <c r="E1459" s="54" t="s">
        <v>4301</v>
      </c>
      <c r="F1459" s="53" t="s">
        <v>211</v>
      </c>
      <c r="G1459" s="53" t="s">
        <v>195</v>
      </c>
      <c r="H1459" s="53"/>
      <c r="I1459" s="53"/>
      <c r="J1459" s="53">
        <v>13207630</v>
      </c>
      <c r="K1459" s="53"/>
      <c r="L1459" s="58">
        <v>45293</v>
      </c>
      <c r="M1459" s="58">
        <v>45293</v>
      </c>
      <c r="N1459" s="53" t="s">
        <v>343</v>
      </c>
      <c r="O1459" s="53">
        <v>0</v>
      </c>
      <c r="P1459" s="53">
        <v>20009992</v>
      </c>
      <c r="Q1459" s="53" t="s">
        <v>4316</v>
      </c>
      <c r="R1459" s="45">
        <v>410</v>
      </c>
      <c r="S1459" s="53">
        <v>0</v>
      </c>
      <c r="T1459" s="47" t="s">
        <v>198</v>
      </c>
      <c r="U1459" s="48" t="s">
        <v>199</v>
      </c>
      <c r="V1459" s="38"/>
      <c r="W1459" s="48" t="s">
        <v>195</v>
      </c>
      <c r="X1459" s="38" t="s">
        <v>308</v>
      </c>
      <c r="Y1459" s="49" t="s">
        <v>309</v>
      </c>
      <c r="Z1459" s="50" t="s">
        <v>4317</v>
      </c>
      <c r="AA1459" s="38"/>
      <c r="AB1459" s="38"/>
      <c r="AC1459" s="38"/>
      <c r="AD1459" s="51">
        <v>40</v>
      </c>
      <c r="AE1459" s="51">
        <v>40</v>
      </c>
      <c r="AF1459" s="48" t="s">
        <v>203</v>
      </c>
      <c r="AG1459" s="38" t="s">
        <v>204</v>
      </c>
      <c r="AH1459" s="52"/>
      <c r="AI1459" s="38"/>
      <c r="AJ1459" s="38"/>
    </row>
    <row r="1460" spans="1:36" ht="16.2">
      <c r="A1460" s="42" t="s">
        <v>340</v>
      </c>
      <c r="B1460" s="42">
        <v>519561</v>
      </c>
      <c r="C1460" s="42" t="s">
        <v>54</v>
      </c>
      <c r="D1460" s="42">
        <v>13207630</v>
      </c>
      <c r="E1460" s="43" t="s">
        <v>4301</v>
      </c>
      <c r="F1460" s="42" t="s">
        <v>2461</v>
      </c>
      <c r="G1460" s="42" t="s">
        <v>195</v>
      </c>
      <c r="H1460" s="42"/>
      <c r="I1460" s="42"/>
      <c r="J1460" s="42">
        <v>13207630</v>
      </c>
      <c r="K1460" s="42"/>
      <c r="L1460" s="57">
        <v>45293</v>
      </c>
      <c r="M1460" s="57">
        <v>45293</v>
      </c>
      <c r="N1460" s="42" t="s">
        <v>343</v>
      </c>
      <c r="O1460" s="42">
        <v>0</v>
      </c>
      <c r="P1460" s="42">
        <v>20009992</v>
      </c>
      <c r="Q1460" s="42" t="s">
        <v>4318</v>
      </c>
      <c r="R1460" s="45">
        <v>410</v>
      </c>
      <c r="S1460" s="42">
        <v>0</v>
      </c>
      <c r="T1460" s="47" t="s">
        <v>198</v>
      </c>
      <c r="U1460" s="48" t="s">
        <v>199</v>
      </c>
      <c r="V1460" s="38"/>
      <c r="W1460" s="48" t="s">
        <v>195</v>
      </c>
      <c r="X1460" s="38" t="s">
        <v>308</v>
      </c>
      <c r="Y1460" s="49" t="s">
        <v>309</v>
      </c>
      <c r="Z1460" s="50" t="s">
        <v>4319</v>
      </c>
      <c r="AA1460" s="38"/>
      <c r="AB1460" s="38"/>
      <c r="AC1460" s="38"/>
      <c r="AD1460" s="51">
        <v>40</v>
      </c>
      <c r="AE1460" s="51">
        <v>40</v>
      </c>
      <c r="AF1460" s="48" t="s">
        <v>203</v>
      </c>
      <c r="AG1460" s="38" t="s">
        <v>204</v>
      </c>
      <c r="AH1460" s="52"/>
      <c r="AI1460" s="38"/>
      <c r="AJ1460" s="38"/>
    </row>
    <row r="1461" spans="1:36" ht="16.2">
      <c r="A1461" s="53" t="s">
        <v>340</v>
      </c>
      <c r="B1461" s="53">
        <v>519561</v>
      </c>
      <c r="C1461" s="53" t="s">
        <v>54</v>
      </c>
      <c r="D1461" s="53">
        <v>13207630</v>
      </c>
      <c r="E1461" s="54" t="s">
        <v>4301</v>
      </c>
      <c r="F1461" s="53" t="s">
        <v>2464</v>
      </c>
      <c r="G1461" s="53" t="s">
        <v>195</v>
      </c>
      <c r="H1461" s="53"/>
      <c r="I1461" s="53"/>
      <c r="J1461" s="53">
        <v>13207630</v>
      </c>
      <c r="K1461" s="53"/>
      <c r="L1461" s="55">
        <v>45293</v>
      </c>
      <c r="M1461" s="55">
        <v>45293</v>
      </c>
      <c r="N1461" s="53" t="s">
        <v>343</v>
      </c>
      <c r="O1461" s="53">
        <v>0</v>
      </c>
      <c r="P1461" s="53">
        <v>20009992</v>
      </c>
      <c r="Q1461" s="53" t="s">
        <v>4320</v>
      </c>
      <c r="R1461" s="45">
        <v>410</v>
      </c>
      <c r="S1461" s="53">
        <v>0</v>
      </c>
      <c r="T1461" s="47" t="s">
        <v>198</v>
      </c>
      <c r="U1461" s="48" t="s">
        <v>199</v>
      </c>
      <c r="V1461" s="38"/>
      <c r="W1461" s="48" t="s">
        <v>195</v>
      </c>
      <c r="X1461" s="38" t="s">
        <v>308</v>
      </c>
      <c r="Y1461" s="49" t="s">
        <v>309</v>
      </c>
      <c r="Z1461" s="50" t="s">
        <v>4321</v>
      </c>
      <c r="AA1461" s="38"/>
      <c r="AB1461" s="38"/>
      <c r="AC1461" s="38"/>
      <c r="AD1461" s="51">
        <v>40</v>
      </c>
      <c r="AE1461" s="51">
        <v>40</v>
      </c>
      <c r="AF1461" s="48" t="s">
        <v>203</v>
      </c>
      <c r="AG1461" s="38" t="s">
        <v>204</v>
      </c>
      <c r="AH1461" s="52"/>
      <c r="AI1461" s="38"/>
      <c r="AJ1461" s="38"/>
    </row>
    <row r="1462" spans="1:36" ht="16.2">
      <c r="A1462" s="42" t="s">
        <v>340</v>
      </c>
      <c r="B1462" s="42">
        <v>519561</v>
      </c>
      <c r="C1462" s="42" t="s">
        <v>54</v>
      </c>
      <c r="D1462" s="42">
        <v>13207630</v>
      </c>
      <c r="E1462" s="43" t="s">
        <v>4301</v>
      </c>
      <c r="F1462" s="42" t="s">
        <v>2467</v>
      </c>
      <c r="G1462" s="42" t="s">
        <v>195</v>
      </c>
      <c r="H1462" s="42" t="s">
        <v>4322</v>
      </c>
      <c r="I1462" s="42">
        <v>23803153</v>
      </c>
      <c r="J1462" s="42">
        <v>13207630</v>
      </c>
      <c r="K1462" s="42"/>
      <c r="L1462" s="44">
        <v>45293</v>
      </c>
      <c r="M1462" s="44">
        <v>45293</v>
      </c>
      <c r="N1462" s="42" t="s">
        <v>343</v>
      </c>
      <c r="O1462" s="42">
        <v>0</v>
      </c>
      <c r="P1462" s="42">
        <v>20009992</v>
      </c>
      <c r="Q1462" s="42" t="s">
        <v>4323</v>
      </c>
      <c r="R1462" s="45">
        <v>410</v>
      </c>
      <c r="S1462" s="42">
        <v>0</v>
      </c>
      <c r="T1462" s="47" t="s">
        <v>198</v>
      </c>
      <c r="U1462" s="48" t="s">
        <v>199</v>
      </c>
      <c r="V1462" s="38"/>
      <c r="W1462" s="48" t="s">
        <v>195</v>
      </c>
      <c r="X1462" s="38" t="s">
        <v>308</v>
      </c>
      <c r="Y1462" s="49" t="s">
        <v>309</v>
      </c>
      <c r="Z1462" s="50" t="s">
        <v>4324</v>
      </c>
      <c r="AA1462" s="47" t="s">
        <v>4325</v>
      </c>
      <c r="AB1462" s="38"/>
      <c r="AC1462" s="38"/>
      <c r="AD1462" s="51">
        <v>40</v>
      </c>
      <c r="AE1462" s="51">
        <v>40</v>
      </c>
      <c r="AF1462" s="48" t="s">
        <v>203</v>
      </c>
      <c r="AG1462" s="38" t="s">
        <v>204</v>
      </c>
      <c r="AH1462" s="52"/>
      <c r="AI1462" s="38"/>
      <c r="AJ1462" s="38"/>
    </row>
    <row r="1463" spans="1:36" ht="16.2">
      <c r="A1463" s="53" t="s">
        <v>340</v>
      </c>
      <c r="B1463" s="53">
        <v>519561</v>
      </c>
      <c r="C1463" s="53" t="s">
        <v>54</v>
      </c>
      <c r="D1463" s="53">
        <v>13207630</v>
      </c>
      <c r="E1463" s="54" t="s">
        <v>4301</v>
      </c>
      <c r="F1463" s="53" t="s">
        <v>2470</v>
      </c>
      <c r="G1463" s="53" t="s">
        <v>195</v>
      </c>
      <c r="H1463" s="53"/>
      <c r="I1463" s="53"/>
      <c r="J1463" s="53">
        <v>13207630</v>
      </c>
      <c r="K1463" s="53"/>
      <c r="L1463" s="55">
        <v>45293</v>
      </c>
      <c r="M1463" s="55">
        <v>45293</v>
      </c>
      <c r="N1463" s="53" t="s">
        <v>343</v>
      </c>
      <c r="O1463" s="53">
        <v>0</v>
      </c>
      <c r="P1463" s="53">
        <v>20009992</v>
      </c>
      <c r="Q1463" s="53" t="s">
        <v>4326</v>
      </c>
      <c r="R1463" s="45">
        <v>410</v>
      </c>
      <c r="S1463" s="53">
        <v>0</v>
      </c>
      <c r="T1463" s="47" t="s">
        <v>198</v>
      </c>
      <c r="U1463" s="48" t="s">
        <v>199</v>
      </c>
      <c r="V1463" s="38"/>
      <c r="W1463" s="48" t="s">
        <v>195</v>
      </c>
      <c r="X1463" s="38" t="s">
        <v>308</v>
      </c>
      <c r="Y1463" s="49" t="s">
        <v>309</v>
      </c>
      <c r="Z1463" s="50" t="s">
        <v>4327</v>
      </c>
      <c r="AA1463" s="38"/>
      <c r="AB1463" s="38"/>
      <c r="AC1463" s="38"/>
      <c r="AD1463" s="51">
        <v>40</v>
      </c>
      <c r="AE1463" s="51">
        <v>40</v>
      </c>
      <c r="AF1463" s="48" t="s">
        <v>203</v>
      </c>
      <c r="AG1463" s="38" t="s">
        <v>204</v>
      </c>
      <c r="AH1463" s="52"/>
      <c r="AI1463" s="38"/>
      <c r="AJ1463" s="38"/>
    </row>
    <row r="1464" spans="1:36" ht="16.2">
      <c r="A1464" s="42" t="s">
        <v>340</v>
      </c>
      <c r="B1464" s="42">
        <v>519561</v>
      </c>
      <c r="C1464" s="42" t="s">
        <v>54</v>
      </c>
      <c r="D1464" s="42">
        <v>13207630</v>
      </c>
      <c r="E1464" s="43" t="s">
        <v>4301</v>
      </c>
      <c r="F1464" s="42" t="s">
        <v>2473</v>
      </c>
      <c r="G1464" s="42" t="s">
        <v>195</v>
      </c>
      <c r="H1464" s="42"/>
      <c r="I1464" s="42"/>
      <c r="J1464" s="42">
        <v>13207630</v>
      </c>
      <c r="K1464" s="42"/>
      <c r="L1464" s="44">
        <v>45293</v>
      </c>
      <c r="M1464" s="44">
        <v>45293</v>
      </c>
      <c r="N1464" s="42" t="s">
        <v>343</v>
      </c>
      <c r="O1464" s="42">
        <v>0</v>
      </c>
      <c r="P1464" s="42">
        <v>20009992</v>
      </c>
      <c r="Q1464" s="42" t="s">
        <v>4328</v>
      </c>
      <c r="R1464" s="45">
        <v>410</v>
      </c>
      <c r="S1464" s="42">
        <v>0</v>
      </c>
      <c r="T1464" s="47" t="s">
        <v>198</v>
      </c>
      <c r="U1464" s="48" t="s">
        <v>199</v>
      </c>
      <c r="V1464" s="38"/>
      <c r="W1464" s="48" t="s">
        <v>195</v>
      </c>
      <c r="X1464" s="38" t="s">
        <v>308</v>
      </c>
      <c r="Y1464" s="49" t="s">
        <v>309</v>
      </c>
      <c r="Z1464" s="50" t="s">
        <v>4329</v>
      </c>
      <c r="AA1464" s="38"/>
      <c r="AB1464" s="38"/>
      <c r="AC1464" s="38"/>
      <c r="AD1464" s="51">
        <v>40</v>
      </c>
      <c r="AE1464" s="51">
        <v>40</v>
      </c>
      <c r="AF1464" s="48" t="s">
        <v>203</v>
      </c>
      <c r="AG1464" s="38" t="s">
        <v>204</v>
      </c>
      <c r="AH1464" s="52"/>
      <c r="AI1464" s="38"/>
      <c r="AJ1464" s="38"/>
    </row>
    <row r="1465" spans="1:36" ht="16.2">
      <c r="A1465" s="53" t="s">
        <v>340</v>
      </c>
      <c r="B1465" s="53">
        <v>519561</v>
      </c>
      <c r="C1465" s="53" t="s">
        <v>54</v>
      </c>
      <c r="D1465" s="53">
        <v>13207630</v>
      </c>
      <c r="E1465" s="54" t="s">
        <v>4301</v>
      </c>
      <c r="F1465" s="53" t="s">
        <v>1588</v>
      </c>
      <c r="G1465" s="53" t="s">
        <v>195</v>
      </c>
      <c r="H1465" s="53"/>
      <c r="I1465" s="53"/>
      <c r="J1465" s="53">
        <v>13207630</v>
      </c>
      <c r="K1465" s="53"/>
      <c r="L1465" s="55">
        <v>45293</v>
      </c>
      <c r="M1465" s="55">
        <v>45293</v>
      </c>
      <c r="N1465" s="53" t="s">
        <v>343</v>
      </c>
      <c r="O1465" s="53">
        <v>0</v>
      </c>
      <c r="P1465" s="53">
        <v>20009992</v>
      </c>
      <c r="Q1465" s="53" t="s">
        <v>4330</v>
      </c>
      <c r="R1465" s="45">
        <v>410</v>
      </c>
      <c r="S1465" s="53">
        <v>0</v>
      </c>
      <c r="T1465" s="47" t="s">
        <v>198</v>
      </c>
      <c r="U1465" s="48" t="s">
        <v>199</v>
      </c>
      <c r="V1465" s="38"/>
      <c r="W1465" s="48" t="s">
        <v>195</v>
      </c>
      <c r="X1465" s="38" t="s">
        <v>308</v>
      </c>
      <c r="Y1465" s="49" t="s">
        <v>309</v>
      </c>
      <c r="Z1465" s="50" t="s">
        <v>4331</v>
      </c>
      <c r="AA1465" s="38"/>
      <c r="AB1465" s="38"/>
      <c r="AC1465" s="38"/>
      <c r="AD1465" s="51">
        <v>40</v>
      </c>
      <c r="AE1465" s="51">
        <v>40</v>
      </c>
      <c r="AF1465" s="48" t="s">
        <v>203</v>
      </c>
      <c r="AG1465" s="38" t="s">
        <v>204</v>
      </c>
      <c r="AH1465" s="52"/>
      <c r="AI1465" s="38"/>
      <c r="AJ1465" s="38"/>
    </row>
    <row r="1466" spans="1:36" ht="16.2">
      <c r="A1466" s="42" t="s">
        <v>340</v>
      </c>
      <c r="B1466" s="42">
        <v>519561</v>
      </c>
      <c r="C1466" s="42" t="s">
        <v>54</v>
      </c>
      <c r="D1466" s="42">
        <v>13207630</v>
      </c>
      <c r="E1466" s="43" t="s">
        <v>4301</v>
      </c>
      <c r="F1466" s="42" t="s">
        <v>2478</v>
      </c>
      <c r="G1466" s="42" t="s">
        <v>195</v>
      </c>
      <c r="H1466" s="42"/>
      <c r="I1466" s="42"/>
      <c r="J1466" s="42">
        <v>13207630</v>
      </c>
      <c r="K1466" s="42"/>
      <c r="L1466" s="44">
        <v>45293</v>
      </c>
      <c r="M1466" s="44">
        <v>45293</v>
      </c>
      <c r="N1466" s="42" t="s">
        <v>343</v>
      </c>
      <c r="O1466" s="42">
        <v>0</v>
      </c>
      <c r="P1466" s="42">
        <v>20009992</v>
      </c>
      <c r="Q1466" s="42" t="s">
        <v>4332</v>
      </c>
      <c r="R1466" s="45">
        <v>410</v>
      </c>
      <c r="S1466" s="42">
        <v>0</v>
      </c>
      <c r="T1466" s="47" t="s">
        <v>198</v>
      </c>
      <c r="U1466" s="48" t="s">
        <v>199</v>
      </c>
      <c r="V1466" s="38"/>
      <c r="W1466" s="48" t="s">
        <v>195</v>
      </c>
      <c r="X1466" s="38" t="s">
        <v>308</v>
      </c>
      <c r="Y1466" s="49" t="s">
        <v>309</v>
      </c>
      <c r="Z1466" s="50" t="s">
        <v>4333</v>
      </c>
      <c r="AA1466" s="38"/>
      <c r="AB1466" s="38"/>
      <c r="AC1466" s="38"/>
      <c r="AD1466" s="51">
        <v>40</v>
      </c>
      <c r="AE1466" s="51">
        <v>40</v>
      </c>
      <c r="AF1466" s="48" t="s">
        <v>203</v>
      </c>
      <c r="AG1466" s="38" t="s">
        <v>204</v>
      </c>
      <c r="AH1466" s="52"/>
      <c r="AI1466" s="38"/>
      <c r="AJ1466" s="38"/>
    </row>
    <row r="1467" spans="1:36" ht="16.2">
      <c r="A1467" s="53" t="s">
        <v>340</v>
      </c>
      <c r="B1467" s="53">
        <v>519561</v>
      </c>
      <c r="C1467" s="53" t="s">
        <v>54</v>
      </c>
      <c r="D1467" s="53">
        <v>13207630</v>
      </c>
      <c r="E1467" s="54" t="s">
        <v>4301</v>
      </c>
      <c r="F1467" s="53" t="s">
        <v>2481</v>
      </c>
      <c r="G1467" s="53" t="s">
        <v>195</v>
      </c>
      <c r="H1467" s="53"/>
      <c r="I1467" s="53"/>
      <c r="J1467" s="53">
        <v>13207630</v>
      </c>
      <c r="K1467" s="53"/>
      <c r="L1467" s="55">
        <v>45293</v>
      </c>
      <c r="M1467" s="55">
        <v>45293</v>
      </c>
      <c r="N1467" s="53" t="s">
        <v>343</v>
      </c>
      <c r="O1467" s="53">
        <v>0</v>
      </c>
      <c r="P1467" s="53">
        <v>20009992</v>
      </c>
      <c r="Q1467" s="53" t="s">
        <v>4334</v>
      </c>
      <c r="R1467" s="45">
        <v>410</v>
      </c>
      <c r="S1467" s="53">
        <v>0</v>
      </c>
      <c r="T1467" s="47" t="s">
        <v>198</v>
      </c>
      <c r="U1467" s="48" t="s">
        <v>199</v>
      </c>
      <c r="V1467" s="38"/>
      <c r="W1467" s="48" t="s">
        <v>195</v>
      </c>
      <c r="X1467" s="38" t="s">
        <v>308</v>
      </c>
      <c r="Y1467" s="49" t="s">
        <v>309</v>
      </c>
      <c r="Z1467" s="50" t="s">
        <v>4335</v>
      </c>
      <c r="AA1467" s="38"/>
      <c r="AB1467" s="38"/>
      <c r="AC1467" s="38"/>
      <c r="AD1467" s="51">
        <v>40</v>
      </c>
      <c r="AE1467" s="51">
        <v>40</v>
      </c>
      <c r="AF1467" s="48" t="s">
        <v>203</v>
      </c>
      <c r="AG1467" s="38" t="s">
        <v>204</v>
      </c>
      <c r="AH1467" s="52"/>
      <c r="AI1467" s="38"/>
      <c r="AJ1467" s="38"/>
    </row>
    <row r="1468" spans="1:36" ht="16.2">
      <c r="A1468" s="42" t="s">
        <v>340</v>
      </c>
      <c r="B1468" s="42">
        <v>519561</v>
      </c>
      <c r="C1468" s="42" t="s">
        <v>54</v>
      </c>
      <c r="D1468" s="42">
        <v>13207630</v>
      </c>
      <c r="E1468" s="43" t="s">
        <v>4301</v>
      </c>
      <c r="F1468" s="42" t="s">
        <v>4336</v>
      </c>
      <c r="G1468" s="42" t="s">
        <v>195</v>
      </c>
      <c r="H1468" s="42" t="s">
        <v>4337</v>
      </c>
      <c r="I1468" s="42">
        <v>23671380</v>
      </c>
      <c r="J1468" s="42">
        <v>13207630</v>
      </c>
      <c r="K1468" s="42"/>
      <c r="L1468" s="44">
        <v>45293</v>
      </c>
      <c r="M1468" s="44">
        <v>45293</v>
      </c>
      <c r="N1468" s="42" t="s">
        <v>343</v>
      </c>
      <c r="O1468" s="42">
        <v>0</v>
      </c>
      <c r="P1468" s="42">
        <v>20009992</v>
      </c>
      <c r="Q1468" s="42" t="s">
        <v>4338</v>
      </c>
      <c r="R1468" s="45">
        <v>410</v>
      </c>
      <c r="S1468" s="42">
        <v>0</v>
      </c>
      <c r="T1468" s="47" t="s">
        <v>198</v>
      </c>
      <c r="U1468" s="48" t="s">
        <v>199</v>
      </c>
      <c r="V1468" s="38"/>
      <c r="W1468" s="48" t="s">
        <v>195</v>
      </c>
      <c r="X1468" s="38" t="s">
        <v>308</v>
      </c>
      <c r="Y1468" s="49" t="s">
        <v>309</v>
      </c>
      <c r="Z1468" s="50" t="s">
        <v>4339</v>
      </c>
      <c r="AA1468" s="47" t="s">
        <v>4340</v>
      </c>
      <c r="AB1468" s="47" t="s">
        <v>4341</v>
      </c>
      <c r="AC1468" s="38"/>
      <c r="AD1468" s="51">
        <v>40</v>
      </c>
      <c r="AE1468" s="51">
        <v>40</v>
      </c>
      <c r="AF1468" s="48" t="s">
        <v>203</v>
      </c>
      <c r="AG1468" s="38" t="s">
        <v>204</v>
      </c>
      <c r="AH1468" s="52"/>
      <c r="AI1468" s="38"/>
      <c r="AJ1468" s="38"/>
    </row>
    <row r="1469" spans="1:36" ht="16.2">
      <c r="A1469" s="53" t="s">
        <v>340</v>
      </c>
      <c r="B1469" s="53">
        <v>519561</v>
      </c>
      <c r="C1469" s="53" t="s">
        <v>54</v>
      </c>
      <c r="D1469" s="53">
        <v>13207630</v>
      </c>
      <c r="E1469" s="54" t="s">
        <v>4301</v>
      </c>
      <c r="F1469" s="53" t="s">
        <v>2487</v>
      </c>
      <c r="G1469" s="53" t="s">
        <v>195</v>
      </c>
      <c r="H1469" s="53"/>
      <c r="I1469" s="53"/>
      <c r="J1469" s="53">
        <v>13207630</v>
      </c>
      <c r="K1469" s="53"/>
      <c r="L1469" s="55">
        <v>45293</v>
      </c>
      <c r="M1469" s="55">
        <v>45293</v>
      </c>
      <c r="N1469" s="53" t="s">
        <v>343</v>
      </c>
      <c r="O1469" s="53">
        <v>0</v>
      </c>
      <c r="P1469" s="53">
        <v>20009992</v>
      </c>
      <c r="Q1469" s="53" t="s">
        <v>4342</v>
      </c>
      <c r="R1469" s="45">
        <v>410</v>
      </c>
      <c r="S1469" s="53">
        <v>0</v>
      </c>
      <c r="T1469" s="47" t="s">
        <v>198</v>
      </c>
      <c r="U1469" s="48" t="s">
        <v>199</v>
      </c>
      <c r="V1469" s="38"/>
      <c r="W1469" s="48" t="s">
        <v>195</v>
      </c>
      <c r="X1469" s="38" t="s">
        <v>308</v>
      </c>
      <c r="Y1469" s="49" t="s">
        <v>309</v>
      </c>
      <c r="Z1469" s="50" t="s">
        <v>4343</v>
      </c>
      <c r="AA1469" s="38"/>
      <c r="AB1469" s="38"/>
      <c r="AC1469" s="38"/>
      <c r="AD1469" s="51">
        <v>40</v>
      </c>
      <c r="AE1469" s="51">
        <v>40</v>
      </c>
      <c r="AF1469" s="48" t="s">
        <v>203</v>
      </c>
      <c r="AG1469" s="38" t="s">
        <v>204</v>
      </c>
      <c r="AH1469" s="52"/>
      <c r="AI1469" s="38"/>
      <c r="AJ1469" s="38"/>
    </row>
    <row r="1470" spans="1:36" ht="16.2">
      <c r="A1470" s="42" t="s">
        <v>340</v>
      </c>
      <c r="B1470" s="42">
        <v>519561</v>
      </c>
      <c r="C1470" s="42" t="s">
        <v>54</v>
      </c>
      <c r="D1470" s="42">
        <v>13207630</v>
      </c>
      <c r="E1470" s="43" t="s">
        <v>4301</v>
      </c>
      <c r="F1470" s="42" t="s">
        <v>2490</v>
      </c>
      <c r="G1470" s="42" t="s">
        <v>195</v>
      </c>
      <c r="H1470" s="42"/>
      <c r="I1470" s="42"/>
      <c r="J1470" s="42">
        <v>13207630</v>
      </c>
      <c r="K1470" s="42"/>
      <c r="L1470" s="44">
        <v>45293</v>
      </c>
      <c r="M1470" s="44">
        <v>45293</v>
      </c>
      <c r="N1470" s="42" t="s">
        <v>343</v>
      </c>
      <c r="O1470" s="42">
        <v>0</v>
      </c>
      <c r="P1470" s="42">
        <v>20009992</v>
      </c>
      <c r="Q1470" s="42" t="s">
        <v>4344</v>
      </c>
      <c r="R1470" s="45">
        <v>410</v>
      </c>
      <c r="S1470" s="42">
        <v>0</v>
      </c>
      <c r="T1470" s="47" t="s">
        <v>198</v>
      </c>
      <c r="U1470" s="48" t="s">
        <v>199</v>
      </c>
      <c r="V1470" s="38"/>
      <c r="W1470" s="48" t="s">
        <v>195</v>
      </c>
      <c r="X1470" s="38" t="s">
        <v>308</v>
      </c>
      <c r="Y1470" s="49" t="s">
        <v>309</v>
      </c>
      <c r="Z1470" s="50" t="s">
        <v>4345</v>
      </c>
      <c r="AA1470" s="38"/>
      <c r="AB1470" s="38"/>
      <c r="AC1470" s="38"/>
      <c r="AD1470" s="51">
        <v>40</v>
      </c>
      <c r="AE1470" s="51">
        <v>40</v>
      </c>
      <c r="AF1470" s="48" t="s">
        <v>203</v>
      </c>
      <c r="AG1470" s="38" t="s">
        <v>204</v>
      </c>
      <c r="AH1470" s="52"/>
      <c r="AI1470" s="38"/>
      <c r="AJ1470" s="38"/>
    </row>
    <row r="1471" spans="1:36" ht="16.2">
      <c r="A1471" s="53" t="s">
        <v>340</v>
      </c>
      <c r="B1471" s="53">
        <v>519561</v>
      </c>
      <c r="C1471" s="53" t="s">
        <v>54</v>
      </c>
      <c r="D1471" s="53">
        <v>13207630</v>
      </c>
      <c r="E1471" s="54" t="s">
        <v>4301</v>
      </c>
      <c r="F1471" s="53" t="s">
        <v>2493</v>
      </c>
      <c r="G1471" s="53" t="s">
        <v>195</v>
      </c>
      <c r="H1471" s="53"/>
      <c r="I1471" s="53"/>
      <c r="J1471" s="53">
        <v>13207630</v>
      </c>
      <c r="K1471" s="53"/>
      <c r="L1471" s="55">
        <v>45293</v>
      </c>
      <c r="M1471" s="55">
        <v>45293</v>
      </c>
      <c r="N1471" s="53" t="s">
        <v>343</v>
      </c>
      <c r="O1471" s="53">
        <v>0</v>
      </c>
      <c r="P1471" s="53">
        <v>20009992</v>
      </c>
      <c r="Q1471" s="53" t="s">
        <v>4346</v>
      </c>
      <c r="R1471" s="45">
        <v>410</v>
      </c>
      <c r="S1471" s="53">
        <v>0</v>
      </c>
      <c r="T1471" s="47" t="s">
        <v>198</v>
      </c>
      <c r="U1471" s="48" t="s">
        <v>199</v>
      </c>
      <c r="V1471" s="38"/>
      <c r="W1471" s="48" t="s">
        <v>195</v>
      </c>
      <c r="X1471" s="38" t="s">
        <v>308</v>
      </c>
      <c r="Y1471" s="49" t="s">
        <v>309</v>
      </c>
      <c r="Z1471" s="50" t="s">
        <v>4347</v>
      </c>
      <c r="AA1471" s="38"/>
      <c r="AB1471" s="38"/>
      <c r="AC1471" s="38"/>
      <c r="AD1471" s="51">
        <v>40</v>
      </c>
      <c r="AE1471" s="51">
        <v>40</v>
      </c>
      <c r="AF1471" s="48" t="s">
        <v>203</v>
      </c>
      <c r="AG1471" s="38" t="s">
        <v>204</v>
      </c>
      <c r="AH1471" s="52"/>
      <c r="AI1471" s="38"/>
      <c r="AJ1471" s="38"/>
    </row>
    <row r="1472" spans="1:36" ht="16.2">
      <c r="A1472" s="42" t="s">
        <v>340</v>
      </c>
      <c r="B1472" s="42">
        <v>519561</v>
      </c>
      <c r="C1472" s="42" t="s">
        <v>54</v>
      </c>
      <c r="D1472" s="42">
        <v>13207630</v>
      </c>
      <c r="E1472" s="43" t="s">
        <v>4301</v>
      </c>
      <c r="F1472" s="42" t="s">
        <v>4348</v>
      </c>
      <c r="G1472" s="42" t="s">
        <v>195</v>
      </c>
      <c r="H1472" s="42"/>
      <c r="I1472" s="42"/>
      <c r="J1472" s="42">
        <v>13207630</v>
      </c>
      <c r="K1472" s="42"/>
      <c r="L1472" s="44">
        <v>45293</v>
      </c>
      <c r="M1472" s="44">
        <v>45293</v>
      </c>
      <c r="N1472" s="42" t="s">
        <v>343</v>
      </c>
      <c r="O1472" s="42">
        <v>0</v>
      </c>
      <c r="P1472" s="42">
        <v>20009992</v>
      </c>
      <c r="Q1472" s="42" t="s">
        <v>4349</v>
      </c>
      <c r="R1472" s="45">
        <v>410</v>
      </c>
      <c r="S1472" s="42">
        <v>0</v>
      </c>
      <c r="T1472" s="47" t="s">
        <v>198</v>
      </c>
      <c r="U1472" s="48" t="s">
        <v>199</v>
      </c>
      <c r="V1472" s="38"/>
      <c r="W1472" s="48" t="s">
        <v>195</v>
      </c>
      <c r="X1472" s="38" t="s">
        <v>308</v>
      </c>
      <c r="Y1472" s="49" t="s">
        <v>309</v>
      </c>
      <c r="Z1472" s="50" t="s">
        <v>4350</v>
      </c>
      <c r="AA1472" s="38"/>
      <c r="AB1472" s="38"/>
      <c r="AC1472" s="38"/>
      <c r="AD1472" s="51">
        <v>40</v>
      </c>
      <c r="AE1472" s="51">
        <v>40</v>
      </c>
      <c r="AF1472" s="48" t="s">
        <v>203</v>
      </c>
      <c r="AG1472" s="38" t="s">
        <v>204</v>
      </c>
      <c r="AH1472" s="52"/>
      <c r="AI1472" s="38"/>
      <c r="AJ1472" s="38"/>
    </row>
    <row r="1473" spans="1:36" ht="16.2">
      <c r="A1473" s="53" t="s">
        <v>340</v>
      </c>
      <c r="B1473" s="53">
        <v>519561</v>
      </c>
      <c r="C1473" s="53" t="s">
        <v>54</v>
      </c>
      <c r="D1473" s="53">
        <v>13207630</v>
      </c>
      <c r="E1473" s="54" t="s">
        <v>4301</v>
      </c>
      <c r="F1473" s="53" t="s">
        <v>235</v>
      </c>
      <c r="G1473" s="53" t="s">
        <v>195</v>
      </c>
      <c r="H1473" s="53"/>
      <c r="I1473" s="53"/>
      <c r="J1473" s="53">
        <v>13207630</v>
      </c>
      <c r="K1473" s="53"/>
      <c r="L1473" s="55">
        <v>45293</v>
      </c>
      <c r="M1473" s="55">
        <v>45293</v>
      </c>
      <c r="N1473" s="53" t="s">
        <v>343</v>
      </c>
      <c r="O1473" s="53">
        <v>0</v>
      </c>
      <c r="P1473" s="53">
        <v>20009992</v>
      </c>
      <c r="Q1473" s="53" t="s">
        <v>4351</v>
      </c>
      <c r="R1473" s="45">
        <v>410</v>
      </c>
      <c r="S1473" s="53">
        <v>0</v>
      </c>
      <c r="T1473" s="47" t="s">
        <v>198</v>
      </c>
      <c r="U1473" s="48" t="s">
        <v>199</v>
      </c>
      <c r="V1473" s="38"/>
      <c r="W1473" s="48" t="s">
        <v>195</v>
      </c>
      <c r="X1473" s="38" t="s">
        <v>308</v>
      </c>
      <c r="Y1473" s="49" t="s">
        <v>309</v>
      </c>
      <c r="Z1473" s="50" t="s">
        <v>4352</v>
      </c>
      <c r="AA1473" s="38"/>
      <c r="AB1473" s="38"/>
      <c r="AC1473" s="38"/>
      <c r="AD1473" s="51">
        <v>40</v>
      </c>
      <c r="AE1473" s="51">
        <v>40</v>
      </c>
      <c r="AF1473" s="48" t="s">
        <v>203</v>
      </c>
      <c r="AG1473" s="38" t="s">
        <v>204</v>
      </c>
      <c r="AH1473" s="52"/>
      <c r="AI1473" s="38"/>
      <c r="AJ1473" s="38"/>
    </row>
    <row r="1474" spans="1:36" ht="16.2">
      <c r="A1474" s="42" t="s">
        <v>340</v>
      </c>
      <c r="B1474" s="42">
        <v>519561</v>
      </c>
      <c r="C1474" s="42" t="s">
        <v>54</v>
      </c>
      <c r="D1474" s="42">
        <v>13207630</v>
      </c>
      <c r="E1474" s="43" t="s">
        <v>4301</v>
      </c>
      <c r="F1474" s="42" t="s">
        <v>235</v>
      </c>
      <c r="G1474" s="42" t="s">
        <v>195</v>
      </c>
      <c r="H1474" s="42"/>
      <c r="I1474" s="42"/>
      <c r="J1474" s="42">
        <v>13207630</v>
      </c>
      <c r="K1474" s="42"/>
      <c r="L1474" s="44">
        <v>45293</v>
      </c>
      <c r="M1474" s="44">
        <v>45293</v>
      </c>
      <c r="N1474" s="42" t="s">
        <v>343</v>
      </c>
      <c r="O1474" s="42">
        <v>0</v>
      </c>
      <c r="P1474" s="42">
        <v>20009992</v>
      </c>
      <c r="Q1474" s="42" t="s">
        <v>4353</v>
      </c>
      <c r="R1474" s="45">
        <v>410</v>
      </c>
      <c r="S1474" s="42">
        <v>0</v>
      </c>
      <c r="T1474" s="47" t="s">
        <v>198</v>
      </c>
      <c r="U1474" s="48" t="s">
        <v>199</v>
      </c>
      <c r="V1474" s="38"/>
      <c r="W1474" s="48" t="s">
        <v>195</v>
      </c>
      <c r="X1474" s="38" t="s">
        <v>308</v>
      </c>
      <c r="Y1474" s="49" t="s">
        <v>309</v>
      </c>
      <c r="Z1474" s="50" t="s">
        <v>4354</v>
      </c>
      <c r="AA1474" s="38"/>
      <c r="AB1474" s="38"/>
      <c r="AC1474" s="38"/>
      <c r="AD1474" s="51">
        <v>40</v>
      </c>
      <c r="AE1474" s="51">
        <v>40</v>
      </c>
      <c r="AF1474" s="48" t="s">
        <v>203</v>
      </c>
      <c r="AG1474" s="38" t="s">
        <v>204</v>
      </c>
      <c r="AH1474" s="52"/>
      <c r="AI1474" s="38"/>
      <c r="AJ1474" s="38"/>
    </row>
    <row r="1475" spans="1:36" ht="16.2">
      <c r="A1475" s="53" t="s">
        <v>340</v>
      </c>
      <c r="B1475" s="53">
        <v>519561</v>
      </c>
      <c r="C1475" s="53" t="s">
        <v>54</v>
      </c>
      <c r="D1475" s="53">
        <v>13207630</v>
      </c>
      <c r="E1475" s="54" t="s">
        <v>4301</v>
      </c>
      <c r="F1475" s="53" t="s">
        <v>4355</v>
      </c>
      <c r="G1475" s="53" t="s">
        <v>195</v>
      </c>
      <c r="H1475" s="53"/>
      <c r="I1475" s="53"/>
      <c r="J1475" s="53">
        <v>13207630</v>
      </c>
      <c r="K1475" s="53"/>
      <c r="L1475" s="55">
        <v>45293</v>
      </c>
      <c r="M1475" s="55">
        <v>45293</v>
      </c>
      <c r="N1475" s="53" t="s">
        <v>343</v>
      </c>
      <c r="O1475" s="53">
        <v>0</v>
      </c>
      <c r="P1475" s="53">
        <v>20009992</v>
      </c>
      <c r="Q1475" s="53" t="s">
        <v>4356</v>
      </c>
      <c r="R1475" s="45">
        <v>410</v>
      </c>
      <c r="S1475" s="53">
        <v>0</v>
      </c>
      <c r="T1475" s="47" t="s">
        <v>198</v>
      </c>
      <c r="U1475" s="48" t="s">
        <v>199</v>
      </c>
      <c r="V1475" s="38"/>
      <c r="W1475" s="48" t="s">
        <v>195</v>
      </c>
      <c r="X1475" s="38" t="s">
        <v>308</v>
      </c>
      <c r="Y1475" s="49" t="s">
        <v>309</v>
      </c>
      <c r="Z1475" s="50" t="s">
        <v>4357</v>
      </c>
      <c r="AA1475" s="38"/>
      <c r="AB1475" s="38"/>
      <c r="AC1475" s="38"/>
      <c r="AD1475" s="51">
        <v>40</v>
      </c>
      <c r="AE1475" s="51">
        <v>40</v>
      </c>
      <c r="AF1475" s="48" t="s">
        <v>203</v>
      </c>
      <c r="AG1475" s="38" t="s">
        <v>204</v>
      </c>
      <c r="AH1475" s="52"/>
      <c r="AI1475" s="38"/>
      <c r="AJ1475" s="38"/>
    </row>
    <row r="1476" spans="1:36" ht="16.2">
      <c r="A1476" s="42" t="s">
        <v>340</v>
      </c>
      <c r="B1476" s="42">
        <v>519561</v>
      </c>
      <c r="C1476" s="42" t="s">
        <v>54</v>
      </c>
      <c r="D1476" s="42">
        <v>13207630</v>
      </c>
      <c r="E1476" s="43" t="s">
        <v>4301</v>
      </c>
      <c r="F1476" s="42" t="s">
        <v>4358</v>
      </c>
      <c r="G1476" s="42" t="s">
        <v>195</v>
      </c>
      <c r="H1476" s="42"/>
      <c r="I1476" s="42"/>
      <c r="J1476" s="42">
        <v>13207630</v>
      </c>
      <c r="K1476" s="42"/>
      <c r="L1476" s="44">
        <v>45293</v>
      </c>
      <c r="M1476" s="44">
        <v>45293</v>
      </c>
      <c r="N1476" s="42" t="s">
        <v>343</v>
      </c>
      <c r="O1476" s="42">
        <v>0</v>
      </c>
      <c r="P1476" s="42">
        <v>20009992</v>
      </c>
      <c r="Q1476" s="42" t="s">
        <v>4359</v>
      </c>
      <c r="R1476" s="45">
        <v>410</v>
      </c>
      <c r="S1476" s="42">
        <v>0</v>
      </c>
      <c r="T1476" s="47" t="s">
        <v>198</v>
      </c>
      <c r="U1476" s="48" t="s">
        <v>199</v>
      </c>
      <c r="V1476" s="38"/>
      <c r="W1476" s="48" t="s">
        <v>195</v>
      </c>
      <c r="X1476" s="38" t="s">
        <v>308</v>
      </c>
      <c r="Y1476" s="49" t="s">
        <v>309</v>
      </c>
      <c r="Z1476" s="50" t="s">
        <v>4360</v>
      </c>
      <c r="AA1476" s="38"/>
      <c r="AB1476" s="38"/>
      <c r="AC1476" s="38"/>
      <c r="AD1476" s="51">
        <v>40</v>
      </c>
      <c r="AE1476" s="51">
        <v>40</v>
      </c>
      <c r="AF1476" s="48" t="s">
        <v>203</v>
      </c>
      <c r="AG1476" s="38" t="s">
        <v>204</v>
      </c>
      <c r="AH1476" s="52"/>
      <c r="AI1476" s="38"/>
      <c r="AJ1476" s="38"/>
    </row>
    <row r="1477" spans="1:36" ht="16.2">
      <c r="A1477" s="53" t="s">
        <v>340</v>
      </c>
      <c r="B1477" s="53">
        <v>519561</v>
      </c>
      <c r="C1477" s="53" t="s">
        <v>54</v>
      </c>
      <c r="D1477" s="53">
        <v>13207630</v>
      </c>
      <c r="E1477" s="54" t="s">
        <v>4301</v>
      </c>
      <c r="F1477" s="53" t="s">
        <v>4361</v>
      </c>
      <c r="G1477" s="53" t="s">
        <v>195</v>
      </c>
      <c r="H1477" s="53" t="s">
        <v>4362</v>
      </c>
      <c r="I1477" s="53">
        <v>23631076</v>
      </c>
      <c r="J1477" s="53">
        <v>13207630</v>
      </c>
      <c r="K1477" s="53"/>
      <c r="L1477" s="55">
        <v>45293</v>
      </c>
      <c r="M1477" s="55">
        <v>45293</v>
      </c>
      <c r="N1477" s="53" t="s">
        <v>343</v>
      </c>
      <c r="O1477" s="53">
        <v>0</v>
      </c>
      <c r="P1477" s="53">
        <v>20009992</v>
      </c>
      <c r="Q1477" s="53" t="s">
        <v>4363</v>
      </c>
      <c r="R1477" s="45">
        <v>410</v>
      </c>
      <c r="S1477" s="53">
        <v>0</v>
      </c>
      <c r="T1477" s="47" t="s">
        <v>198</v>
      </c>
      <c r="U1477" s="48" t="s">
        <v>199</v>
      </c>
      <c r="V1477" s="38"/>
      <c r="W1477" s="48" t="s">
        <v>195</v>
      </c>
      <c r="X1477" s="38" t="s">
        <v>308</v>
      </c>
      <c r="Y1477" s="49" t="s">
        <v>309</v>
      </c>
      <c r="Z1477" s="50" t="s">
        <v>4364</v>
      </c>
      <c r="AA1477" s="47" t="s">
        <v>4365</v>
      </c>
      <c r="AB1477" s="38"/>
      <c r="AC1477" s="38"/>
      <c r="AD1477" s="51">
        <v>40</v>
      </c>
      <c r="AE1477" s="51">
        <v>40</v>
      </c>
      <c r="AF1477" s="48" t="s">
        <v>203</v>
      </c>
      <c r="AG1477" s="38" t="s">
        <v>204</v>
      </c>
      <c r="AH1477" s="52"/>
      <c r="AI1477" s="38"/>
      <c r="AJ1477" s="38"/>
    </row>
    <row r="1478" spans="1:36" ht="16.2">
      <c r="A1478" s="42" t="s">
        <v>340</v>
      </c>
      <c r="B1478" s="42">
        <v>519561</v>
      </c>
      <c r="C1478" s="42" t="s">
        <v>54</v>
      </c>
      <c r="D1478" s="42">
        <v>13207630</v>
      </c>
      <c r="E1478" s="43" t="s">
        <v>4301</v>
      </c>
      <c r="F1478" s="42" t="s">
        <v>4366</v>
      </c>
      <c r="G1478" s="42" t="s">
        <v>195</v>
      </c>
      <c r="H1478" s="42"/>
      <c r="I1478" s="42"/>
      <c r="J1478" s="42">
        <v>13207630</v>
      </c>
      <c r="K1478" s="42"/>
      <c r="L1478" s="44">
        <v>45293</v>
      </c>
      <c r="M1478" s="44">
        <v>45293</v>
      </c>
      <c r="N1478" s="42" t="s">
        <v>343</v>
      </c>
      <c r="O1478" s="42">
        <v>0</v>
      </c>
      <c r="P1478" s="42">
        <v>20009992</v>
      </c>
      <c r="Q1478" s="42" t="s">
        <v>4367</v>
      </c>
      <c r="R1478" s="45">
        <v>410</v>
      </c>
      <c r="S1478" s="42">
        <v>0</v>
      </c>
      <c r="T1478" s="47" t="s">
        <v>198</v>
      </c>
      <c r="U1478" s="48" t="s">
        <v>199</v>
      </c>
      <c r="V1478" s="38"/>
      <c r="W1478" s="48" t="s">
        <v>195</v>
      </c>
      <c r="X1478" s="38" t="s">
        <v>308</v>
      </c>
      <c r="Y1478" s="49" t="s">
        <v>309</v>
      </c>
      <c r="Z1478" s="50" t="s">
        <v>4368</v>
      </c>
      <c r="AA1478" s="38"/>
      <c r="AB1478" s="38"/>
      <c r="AC1478" s="38"/>
      <c r="AD1478" s="51">
        <v>40</v>
      </c>
      <c r="AE1478" s="51">
        <v>40</v>
      </c>
      <c r="AF1478" s="48" t="s">
        <v>203</v>
      </c>
      <c r="AG1478" s="38" t="s">
        <v>204</v>
      </c>
      <c r="AH1478" s="52"/>
      <c r="AI1478" s="38"/>
      <c r="AJ1478" s="38"/>
    </row>
    <row r="1479" spans="1:36" ht="16.2">
      <c r="A1479" s="53" t="s">
        <v>340</v>
      </c>
      <c r="B1479" s="53">
        <v>519561</v>
      </c>
      <c r="C1479" s="53" t="s">
        <v>54</v>
      </c>
      <c r="D1479" s="53">
        <v>13207630</v>
      </c>
      <c r="E1479" s="54" t="s">
        <v>4301</v>
      </c>
      <c r="F1479" s="53" t="s">
        <v>4369</v>
      </c>
      <c r="G1479" s="53" t="s">
        <v>195</v>
      </c>
      <c r="H1479" s="53"/>
      <c r="I1479" s="53"/>
      <c r="J1479" s="53">
        <v>13207630</v>
      </c>
      <c r="K1479" s="53"/>
      <c r="L1479" s="55">
        <v>45293</v>
      </c>
      <c r="M1479" s="55">
        <v>45293</v>
      </c>
      <c r="N1479" s="53" t="s">
        <v>343</v>
      </c>
      <c r="O1479" s="53">
        <v>0</v>
      </c>
      <c r="P1479" s="53">
        <v>20009992</v>
      </c>
      <c r="Q1479" s="53" t="s">
        <v>4370</v>
      </c>
      <c r="R1479" s="45">
        <v>410</v>
      </c>
      <c r="S1479" s="53">
        <v>0</v>
      </c>
      <c r="T1479" s="47" t="s">
        <v>198</v>
      </c>
      <c r="U1479" s="48" t="s">
        <v>199</v>
      </c>
      <c r="V1479" s="38"/>
      <c r="W1479" s="48" t="s">
        <v>195</v>
      </c>
      <c r="X1479" s="38" t="s">
        <v>308</v>
      </c>
      <c r="Y1479" s="49" t="s">
        <v>309</v>
      </c>
      <c r="Z1479" s="50" t="s">
        <v>4371</v>
      </c>
      <c r="AA1479" s="38"/>
      <c r="AB1479" s="38"/>
      <c r="AC1479" s="38"/>
      <c r="AD1479" s="51">
        <v>40</v>
      </c>
      <c r="AE1479" s="51">
        <v>40</v>
      </c>
      <c r="AF1479" s="48" t="s">
        <v>203</v>
      </c>
      <c r="AG1479" s="38" t="s">
        <v>204</v>
      </c>
      <c r="AH1479" s="52"/>
      <c r="AI1479" s="38"/>
      <c r="AJ1479" s="38"/>
    </row>
    <row r="1480" spans="1:36" ht="16.2">
      <c r="A1480" s="42" t="s">
        <v>340</v>
      </c>
      <c r="B1480" s="42">
        <v>519561</v>
      </c>
      <c r="C1480" s="42" t="s">
        <v>54</v>
      </c>
      <c r="D1480" s="42">
        <v>13207630</v>
      </c>
      <c r="E1480" s="43" t="s">
        <v>4301</v>
      </c>
      <c r="F1480" s="42" t="s">
        <v>4372</v>
      </c>
      <c r="G1480" s="42" t="s">
        <v>195</v>
      </c>
      <c r="H1480" s="42"/>
      <c r="I1480" s="42"/>
      <c r="J1480" s="42">
        <v>13207630</v>
      </c>
      <c r="K1480" s="42"/>
      <c r="L1480" s="44">
        <v>45293</v>
      </c>
      <c r="M1480" s="44">
        <v>45293</v>
      </c>
      <c r="N1480" s="42" t="s">
        <v>343</v>
      </c>
      <c r="O1480" s="42">
        <v>0</v>
      </c>
      <c r="P1480" s="42">
        <v>20009992</v>
      </c>
      <c r="Q1480" s="42" t="s">
        <v>4373</v>
      </c>
      <c r="R1480" s="45">
        <v>410</v>
      </c>
      <c r="S1480" s="42">
        <v>0</v>
      </c>
      <c r="T1480" s="47" t="s">
        <v>198</v>
      </c>
      <c r="U1480" s="48" t="s">
        <v>199</v>
      </c>
      <c r="V1480" s="38"/>
      <c r="W1480" s="48" t="s">
        <v>195</v>
      </c>
      <c r="X1480" s="38" t="s">
        <v>308</v>
      </c>
      <c r="Y1480" s="49" t="s">
        <v>309</v>
      </c>
      <c r="Z1480" s="50" t="s">
        <v>4374</v>
      </c>
      <c r="AA1480" s="38"/>
      <c r="AB1480" s="38"/>
      <c r="AC1480" s="38"/>
      <c r="AD1480" s="51">
        <v>40</v>
      </c>
      <c r="AE1480" s="51">
        <v>40</v>
      </c>
      <c r="AF1480" s="48" t="s">
        <v>203</v>
      </c>
      <c r="AG1480" s="38" t="s">
        <v>204</v>
      </c>
      <c r="AH1480" s="52"/>
      <c r="AI1480" s="38"/>
      <c r="AJ1480" s="38"/>
    </row>
    <row r="1481" spans="1:36" ht="16.2">
      <c r="A1481" s="53" t="s">
        <v>340</v>
      </c>
      <c r="B1481" s="53">
        <v>519561</v>
      </c>
      <c r="C1481" s="53" t="s">
        <v>54</v>
      </c>
      <c r="D1481" s="53">
        <v>13207630</v>
      </c>
      <c r="E1481" s="54" t="s">
        <v>4301</v>
      </c>
      <c r="F1481" s="53" t="s">
        <v>4375</v>
      </c>
      <c r="G1481" s="53" t="s">
        <v>195</v>
      </c>
      <c r="H1481" s="53" t="s">
        <v>4376</v>
      </c>
      <c r="I1481" s="53">
        <v>23631192</v>
      </c>
      <c r="J1481" s="53">
        <v>13207630</v>
      </c>
      <c r="K1481" s="53"/>
      <c r="L1481" s="55">
        <v>45293</v>
      </c>
      <c r="M1481" s="55">
        <v>45293</v>
      </c>
      <c r="N1481" s="53" t="s">
        <v>343</v>
      </c>
      <c r="O1481" s="53">
        <v>0</v>
      </c>
      <c r="P1481" s="53">
        <v>20009992</v>
      </c>
      <c r="Q1481" s="53" t="s">
        <v>4377</v>
      </c>
      <c r="R1481" s="45">
        <v>410</v>
      </c>
      <c r="S1481" s="53">
        <v>0</v>
      </c>
      <c r="T1481" s="47" t="s">
        <v>198</v>
      </c>
      <c r="U1481" s="48" t="s">
        <v>199</v>
      </c>
      <c r="V1481" s="38"/>
      <c r="W1481" s="48" t="s">
        <v>195</v>
      </c>
      <c r="X1481" s="38" t="s">
        <v>308</v>
      </c>
      <c r="Y1481" s="49" t="s">
        <v>309</v>
      </c>
      <c r="Z1481" s="50" t="s">
        <v>4378</v>
      </c>
      <c r="AA1481" s="47" t="s">
        <v>4379</v>
      </c>
      <c r="AB1481" s="38"/>
      <c r="AC1481" s="38"/>
      <c r="AD1481" s="51">
        <v>40</v>
      </c>
      <c r="AE1481" s="51">
        <v>40</v>
      </c>
      <c r="AF1481" s="48" t="s">
        <v>203</v>
      </c>
      <c r="AG1481" s="38" t="s">
        <v>204</v>
      </c>
      <c r="AH1481" s="52"/>
      <c r="AI1481" s="38"/>
      <c r="AJ1481" s="38"/>
    </row>
    <row r="1482" spans="1:36" ht="16.2">
      <c r="A1482" s="42" t="s">
        <v>340</v>
      </c>
      <c r="B1482" s="42">
        <v>519561</v>
      </c>
      <c r="C1482" s="42" t="s">
        <v>54</v>
      </c>
      <c r="D1482" s="42">
        <v>13207630</v>
      </c>
      <c r="E1482" s="43" t="s">
        <v>4301</v>
      </c>
      <c r="F1482" s="42" t="s">
        <v>4380</v>
      </c>
      <c r="G1482" s="42" t="s">
        <v>195</v>
      </c>
      <c r="H1482" s="42"/>
      <c r="I1482" s="42"/>
      <c r="J1482" s="42">
        <v>13207630</v>
      </c>
      <c r="K1482" s="42"/>
      <c r="L1482" s="44">
        <v>45293</v>
      </c>
      <c r="M1482" s="44">
        <v>45293</v>
      </c>
      <c r="N1482" s="42" t="s">
        <v>343</v>
      </c>
      <c r="O1482" s="42">
        <v>0</v>
      </c>
      <c r="P1482" s="42">
        <v>20009992</v>
      </c>
      <c r="Q1482" s="42" t="s">
        <v>4381</v>
      </c>
      <c r="R1482" s="45">
        <v>410</v>
      </c>
      <c r="S1482" s="42">
        <v>0</v>
      </c>
      <c r="T1482" s="47" t="s">
        <v>198</v>
      </c>
      <c r="U1482" s="48" t="s">
        <v>199</v>
      </c>
      <c r="V1482" s="38"/>
      <c r="W1482" s="48" t="s">
        <v>195</v>
      </c>
      <c r="X1482" s="38" t="s">
        <v>308</v>
      </c>
      <c r="Y1482" s="49" t="s">
        <v>309</v>
      </c>
      <c r="Z1482" s="50" t="s">
        <v>4382</v>
      </c>
      <c r="AA1482" s="38"/>
      <c r="AB1482" s="38"/>
      <c r="AC1482" s="38"/>
      <c r="AD1482" s="51">
        <v>40</v>
      </c>
      <c r="AE1482" s="51">
        <v>40</v>
      </c>
      <c r="AF1482" s="48" t="s">
        <v>203</v>
      </c>
      <c r="AG1482" s="38" t="s">
        <v>204</v>
      </c>
      <c r="AH1482" s="52"/>
      <c r="AI1482" s="38"/>
      <c r="AJ1482" s="38"/>
    </row>
    <row r="1483" spans="1:36" ht="16.2">
      <c r="A1483" s="53" t="s">
        <v>340</v>
      </c>
      <c r="B1483" s="53">
        <v>519561</v>
      </c>
      <c r="C1483" s="53" t="s">
        <v>54</v>
      </c>
      <c r="D1483" s="53">
        <v>13207630</v>
      </c>
      <c r="E1483" s="54" t="s">
        <v>4301</v>
      </c>
      <c r="F1483" s="53" t="s">
        <v>4383</v>
      </c>
      <c r="G1483" s="53" t="s">
        <v>195</v>
      </c>
      <c r="H1483" s="53" t="s">
        <v>4384</v>
      </c>
      <c r="I1483" s="53">
        <v>23631076</v>
      </c>
      <c r="J1483" s="53">
        <v>13207630</v>
      </c>
      <c r="K1483" s="53"/>
      <c r="L1483" s="55">
        <v>45293</v>
      </c>
      <c r="M1483" s="55">
        <v>45293</v>
      </c>
      <c r="N1483" s="53" t="s">
        <v>343</v>
      </c>
      <c r="O1483" s="53">
        <v>0</v>
      </c>
      <c r="P1483" s="53">
        <v>20009992</v>
      </c>
      <c r="Q1483" s="53" t="s">
        <v>4385</v>
      </c>
      <c r="R1483" s="45">
        <v>410</v>
      </c>
      <c r="S1483" s="53">
        <v>0</v>
      </c>
      <c r="T1483" s="47" t="s">
        <v>198</v>
      </c>
      <c r="U1483" s="48" t="s">
        <v>199</v>
      </c>
      <c r="V1483" s="38"/>
      <c r="W1483" s="48" t="s">
        <v>195</v>
      </c>
      <c r="X1483" s="38" t="s">
        <v>308</v>
      </c>
      <c r="Y1483" s="49" t="s">
        <v>309</v>
      </c>
      <c r="Z1483" s="50" t="s">
        <v>4386</v>
      </c>
      <c r="AA1483" s="47" t="s">
        <v>4387</v>
      </c>
      <c r="AB1483" s="38"/>
      <c r="AC1483" s="38"/>
      <c r="AD1483" s="51">
        <v>40</v>
      </c>
      <c r="AE1483" s="51">
        <v>40</v>
      </c>
      <c r="AF1483" s="48" t="s">
        <v>203</v>
      </c>
      <c r="AG1483" s="38" t="s">
        <v>204</v>
      </c>
      <c r="AH1483" s="52"/>
      <c r="AI1483" s="38"/>
      <c r="AJ1483" s="38"/>
    </row>
    <row r="1484" spans="1:36" ht="16.2">
      <c r="A1484" s="42" t="s">
        <v>302</v>
      </c>
      <c r="B1484" s="42">
        <v>709930</v>
      </c>
      <c r="C1484" s="42" t="s">
        <v>4388</v>
      </c>
      <c r="D1484" s="42">
        <v>13207614</v>
      </c>
      <c r="E1484" s="43" t="s">
        <v>3664</v>
      </c>
      <c r="F1484" s="42" t="s">
        <v>4389</v>
      </c>
      <c r="G1484" s="42" t="s">
        <v>195</v>
      </c>
      <c r="H1484" s="42"/>
      <c r="I1484" s="42"/>
      <c r="J1484" s="42">
        <v>13207614</v>
      </c>
      <c r="K1484" s="42"/>
      <c r="L1484" s="44">
        <v>45293</v>
      </c>
      <c r="M1484" s="44">
        <v>45293</v>
      </c>
      <c r="N1484" s="42" t="s">
        <v>306</v>
      </c>
      <c r="O1484" s="42">
        <v>0</v>
      </c>
      <c r="P1484" s="42">
        <v>20009855</v>
      </c>
      <c r="Q1484" s="42" t="s">
        <v>4390</v>
      </c>
      <c r="R1484" s="45">
        <v>410</v>
      </c>
      <c r="S1484" s="42">
        <v>0</v>
      </c>
      <c r="T1484" s="47" t="s">
        <v>198</v>
      </c>
      <c r="U1484" s="48" t="s">
        <v>199</v>
      </c>
      <c r="V1484" s="38"/>
      <c r="W1484" s="48" t="s">
        <v>195</v>
      </c>
      <c r="X1484" s="38" t="s">
        <v>308</v>
      </c>
      <c r="Y1484" s="49" t="s">
        <v>309</v>
      </c>
      <c r="Z1484" s="50" t="s">
        <v>4391</v>
      </c>
      <c r="AA1484" s="38"/>
      <c r="AB1484" s="38"/>
      <c r="AC1484" s="38"/>
      <c r="AD1484" s="51">
        <v>146</v>
      </c>
      <c r="AE1484" s="51">
        <v>146</v>
      </c>
      <c r="AF1484" s="48" t="s">
        <v>203</v>
      </c>
      <c r="AG1484" s="38" t="s">
        <v>204</v>
      </c>
      <c r="AH1484" s="52"/>
      <c r="AI1484" s="38"/>
      <c r="AJ1484" s="38"/>
    </row>
    <row r="1485" spans="1:36" ht="16.2">
      <c r="A1485" s="53" t="s">
        <v>302</v>
      </c>
      <c r="B1485" s="53">
        <v>709930</v>
      </c>
      <c r="C1485" s="53" t="s">
        <v>4388</v>
      </c>
      <c r="D1485" s="53">
        <v>13207614</v>
      </c>
      <c r="E1485" s="54" t="s">
        <v>3664</v>
      </c>
      <c r="F1485" s="53" t="s">
        <v>4392</v>
      </c>
      <c r="G1485" s="53" t="s">
        <v>195</v>
      </c>
      <c r="H1485" s="53"/>
      <c r="I1485" s="53"/>
      <c r="J1485" s="53">
        <v>13207614</v>
      </c>
      <c r="K1485" s="53"/>
      <c r="L1485" s="55">
        <v>45293</v>
      </c>
      <c r="M1485" s="55">
        <v>45293</v>
      </c>
      <c r="N1485" s="53" t="s">
        <v>306</v>
      </c>
      <c r="O1485" s="53">
        <v>0</v>
      </c>
      <c r="P1485" s="53">
        <v>20009855</v>
      </c>
      <c r="Q1485" s="53" t="s">
        <v>4393</v>
      </c>
      <c r="R1485" s="45">
        <v>410</v>
      </c>
      <c r="S1485" s="53">
        <v>0</v>
      </c>
      <c r="T1485" s="47" t="s">
        <v>198</v>
      </c>
      <c r="U1485" s="48" t="s">
        <v>199</v>
      </c>
      <c r="V1485" s="38"/>
      <c r="W1485" s="48" t="s">
        <v>195</v>
      </c>
      <c r="X1485" s="38" t="s">
        <v>308</v>
      </c>
      <c r="Y1485" s="49" t="s">
        <v>309</v>
      </c>
      <c r="Z1485" s="50" t="s">
        <v>4394</v>
      </c>
      <c r="AA1485" s="38"/>
      <c r="AB1485" s="38"/>
      <c r="AC1485" s="38"/>
      <c r="AD1485" s="51">
        <v>146</v>
      </c>
      <c r="AE1485" s="51">
        <v>146</v>
      </c>
      <c r="AF1485" s="48" t="s">
        <v>203</v>
      </c>
      <c r="AG1485" s="38" t="s">
        <v>204</v>
      </c>
      <c r="AH1485" s="52"/>
      <c r="AI1485" s="38"/>
      <c r="AJ1485" s="38"/>
    </row>
    <row r="1486" spans="1:36" ht="16.2">
      <c r="A1486" s="42" t="s">
        <v>302</v>
      </c>
      <c r="B1486" s="42">
        <v>709930</v>
      </c>
      <c r="C1486" s="42" t="s">
        <v>4388</v>
      </c>
      <c r="D1486" s="42">
        <v>13207614</v>
      </c>
      <c r="E1486" s="43" t="s">
        <v>3664</v>
      </c>
      <c r="F1486" s="42" t="s">
        <v>4395</v>
      </c>
      <c r="G1486" s="42" t="s">
        <v>195</v>
      </c>
      <c r="H1486" s="42"/>
      <c r="I1486" s="42"/>
      <c r="J1486" s="42">
        <v>13207614</v>
      </c>
      <c r="K1486" s="42"/>
      <c r="L1486" s="44">
        <v>45293</v>
      </c>
      <c r="M1486" s="44">
        <v>45293</v>
      </c>
      <c r="N1486" s="42" t="s">
        <v>306</v>
      </c>
      <c r="O1486" s="42">
        <v>0</v>
      </c>
      <c r="P1486" s="42">
        <v>20009855</v>
      </c>
      <c r="Q1486" s="42" t="s">
        <v>4396</v>
      </c>
      <c r="R1486" s="45">
        <v>410</v>
      </c>
      <c r="S1486" s="42">
        <v>0</v>
      </c>
      <c r="T1486" s="47" t="s">
        <v>198</v>
      </c>
      <c r="U1486" s="48" t="s">
        <v>199</v>
      </c>
      <c r="V1486" s="38"/>
      <c r="W1486" s="48" t="s">
        <v>195</v>
      </c>
      <c r="X1486" s="38" t="s">
        <v>308</v>
      </c>
      <c r="Y1486" s="49" t="s">
        <v>309</v>
      </c>
      <c r="Z1486" s="50" t="s">
        <v>4397</v>
      </c>
      <c r="AA1486" s="38"/>
      <c r="AB1486" s="38"/>
      <c r="AC1486" s="38"/>
      <c r="AD1486" s="51">
        <v>146</v>
      </c>
      <c r="AE1486" s="51">
        <v>146</v>
      </c>
      <c r="AF1486" s="48" t="s">
        <v>203</v>
      </c>
      <c r="AG1486" s="38" t="s">
        <v>204</v>
      </c>
      <c r="AH1486" s="52"/>
      <c r="AI1486" s="38"/>
      <c r="AJ1486" s="38"/>
    </row>
    <row r="1487" spans="1:36" ht="16.2">
      <c r="A1487" s="53" t="s">
        <v>302</v>
      </c>
      <c r="B1487" s="53">
        <v>709930</v>
      </c>
      <c r="C1487" s="53" t="s">
        <v>4388</v>
      </c>
      <c r="D1487" s="53">
        <v>13207614</v>
      </c>
      <c r="E1487" s="54" t="s">
        <v>3664</v>
      </c>
      <c r="F1487" s="53" t="s">
        <v>4398</v>
      </c>
      <c r="G1487" s="53" t="s">
        <v>195</v>
      </c>
      <c r="H1487" s="53"/>
      <c r="I1487" s="53"/>
      <c r="J1487" s="53">
        <v>13207614</v>
      </c>
      <c r="K1487" s="53"/>
      <c r="L1487" s="55">
        <v>45293</v>
      </c>
      <c r="M1487" s="55">
        <v>45293</v>
      </c>
      <c r="N1487" s="53" t="s">
        <v>306</v>
      </c>
      <c r="O1487" s="53">
        <v>0</v>
      </c>
      <c r="P1487" s="53">
        <v>20009855</v>
      </c>
      <c r="Q1487" s="53" t="s">
        <v>4399</v>
      </c>
      <c r="R1487" s="45">
        <v>410</v>
      </c>
      <c r="S1487" s="53">
        <v>0</v>
      </c>
      <c r="T1487" s="47" t="s">
        <v>198</v>
      </c>
      <c r="U1487" s="48" t="s">
        <v>199</v>
      </c>
      <c r="V1487" s="38"/>
      <c r="W1487" s="48" t="s">
        <v>195</v>
      </c>
      <c r="X1487" s="38" t="s">
        <v>308</v>
      </c>
      <c r="Y1487" s="49" t="s">
        <v>309</v>
      </c>
      <c r="Z1487" s="50" t="s">
        <v>4400</v>
      </c>
      <c r="AA1487" s="38"/>
      <c r="AB1487" s="38"/>
      <c r="AC1487" s="38"/>
      <c r="AD1487" s="51">
        <v>146</v>
      </c>
      <c r="AE1487" s="51">
        <v>146</v>
      </c>
      <c r="AF1487" s="48" t="s">
        <v>203</v>
      </c>
      <c r="AG1487" s="38" t="s">
        <v>204</v>
      </c>
      <c r="AH1487" s="52"/>
      <c r="AI1487" s="38"/>
      <c r="AJ1487" s="38"/>
    </row>
    <row r="1488" spans="1:36" ht="16.2">
      <c r="A1488" s="42" t="s">
        <v>302</v>
      </c>
      <c r="B1488" s="42">
        <v>709930</v>
      </c>
      <c r="C1488" s="42" t="s">
        <v>4388</v>
      </c>
      <c r="D1488" s="42">
        <v>13207614</v>
      </c>
      <c r="E1488" s="43" t="s">
        <v>3664</v>
      </c>
      <c r="F1488" s="42" t="s">
        <v>4401</v>
      </c>
      <c r="G1488" s="42" t="s">
        <v>195</v>
      </c>
      <c r="H1488" s="42"/>
      <c r="I1488" s="42"/>
      <c r="J1488" s="42">
        <v>13207614</v>
      </c>
      <c r="K1488" s="42"/>
      <c r="L1488" s="44">
        <v>45293</v>
      </c>
      <c r="M1488" s="44">
        <v>45293</v>
      </c>
      <c r="N1488" s="42" t="s">
        <v>306</v>
      </c>
      <c r="O1488" s="42">
        <v>0</v>
      </c>
      <c r="P1488" s="42">
        <v>20009855</v>
      </c>
      <c r="Q1488" s="42" t="s">
        <v>4402</v>
      </c>
      <c r="R1488" s="45">
        <v>410</v>
      </c>
      <c r="S1488" s="42">
        <v>0</v>
      </c>
      <c r="T1488" s="47" t="s">
        <v>198</v>
      </c>
      <c r="U1488" s="48" t="s">
        <v>199</v>
      </c>
      <c r="V1488" s="38"/>
      <c r="W1488" s="48" t="s">
        <v>195</v>
      </c>
      <c r="X1488" s="38" t="s">
        <v>308</v>
      </c>
      <c r="Y1488" s="49" t="s">
        <v>309</v>
      </c>
      <c r="Z1488" s="50" t="s">
        <v>4403</v>
      </c>
      <c r="AA1488" s="38"/>
      <c r="AB1488" s="38"/>
      <c r="AC1488" s="38"/>
      <c r="AD1488" s="51">
        <v>146</v>
      </c>
      <c r="AE1488" s="51">
        <v>146</v>
      </c>
      <c r="AF1488" s="48" t="s">
        <v>203</v>
      </c>
      <c r="AG1488" s="38" t="s">
        <v>204</v>
      </c>
      <c r="AH1488" s="52"/>
      <c r="AI1488" s="38"/>
      <c r="AJ1488" s="38"/>
    </row>
    <row r="1489" spans="1:36" ht="16.2">
      <c r="A1489" s="53" t="s">
        <v>302</v>
      </c>
      <c r="B1489" s="53">
        <v>709930</v>
      </c>
      <c r="C1489" s="53" t="s">
        <v>4388</v>
      </c>
      <c r="D1489" s="53">
        <v>13207614</v>
      </c>
      <c r="E1489" s="54" t="s">
        <v>3664</v>
      </c>
      <c r="F1489" s="53" t="s">
        <v>4404</v>
      </c>
      <c r="G1489" s="53" t="s">
        <v>195</v>
      </c>
      <c r="H1489" s="53"/>
      <c r="I1489" s="53"/>
      <c r="J1489" s="53">
        <v>13207614</v>
      </c>
      <c r="K1489" s="53"/>
      <c r="L1489" s="55">
        <v>45293</v>
      </c>
      <c r="M1489" s="55">
        <v>45293</v>
      </c>
      <c r="N1489" s="53" t="s">
        <v>306</v>
      </c>
      <c r="O1489" s="53">
        <v>0</v>
      </c>
      <c r="P1489" s="53">
        <v>20009855</v>
      </c>
      <c r="Q1489" s="53" t="s">
        <v>4405</v>
      </c>
      <c r="R1489" s="45">
        <v>410</v>
      </c>
      <c r="S1489" s="53">
        <v>0</v>
      </c>
      <c r="T1489" s="47" t="s">
        <v>198</v>
      </c>
      <c r="U1489" s="48" t="s">
        <v>199</v>
      </c>
      <c r="V1489" s="38"/>
      <c r="W1489" s="48" t="s">
        <v>195</v>
      </c>
      <c r="X1489" s="38" t="s">
        <v>308</v>
      </c>
      <c r="Y1489" s="49" t="s">
        <v>309</v>
      </c>
      <c r="Z1489" s="50" t="s">
        <v>4406</v>
      </c>
      <c r="AA1489" s="38"/>
      <c r="AB1489" s="38"/>
      <c r="AC1489" s="38"/>
      <c r="AD1489" s="51">
        <v>146</v>
      </c>
      <c r="AE1489" s="51">
        <v>146</v>
      </c>
      <c r="AF1489" s="48" t="s">
        <v>203</v>
      </c>
      <c r="AG1489" s="38" t="s">
        <v>204</v>
      </c>
      <c r="AH1489" s="52"/>
      <c r="AI1489" s="38"/>
      <c r="AJ1489" s="38"/>
    </row>
    <row r="1490" spans="1:36" ht="16.2">
      <c r="A1490" s="42" t="s">
        <v>302</v>
      </c>
      <c r="B1490" s="42">
        <v>709930</v>
      </c>
      <c r="C1490" s="42" t="s">
        <v>4388</v>
      </c>
      <c r="D1490" s="42">
        <v>13207614</v>
      </c>
      <c r="E1490" s="43" t="s">
        <v>3664</v>
      </c>
      <c r="F1490" s="42" t="s">
        <v>4407</v>
      </c>
      <c r="G1490" s="42" t="s">
        <v>195</v>
      </c>
      <c r="H1490" s="42"/>
      <c r="I1490" s="42"/>
      <c r="J1490" s="42">
        <v>13207614</v>
      </c>
      <c r="K1490" s="42"/>
      <c r="L1490" s="44">
        <v>45293</v>
      </c>
      <c r="M1490" s="44">
        <v>45293</v>
      </c>
      <c r="N1490" s="42" t="s">
        <v>306</v>
      </c>
      <c r="O1490" s="42">
        <v>0</v>
      </c>
      <c r="P1490" s="42">
        <v>20009855</v>
      </c>
      <c r="Q1490" s="42" t="s">
        <v>4408</v>
      </c>
      <c r="R1490" s="45">
        <v>410</v>
      </c>
      <c r="S1490" s="42">
        <v>0</v>
      </c>
      <c r="T1490" s="47" t="s">
        <v>198</v>
      </c>
      <c r="U1490" s="48" t="s">
        <v>199</v>
      </c>
      <c r="V1490" s="38"/>
      <c r="W1490" s="48" t="s">
        <v>195</v>
      </c>
      <c r="X1490" s="38" t="s">
        <v>308</v>
      </c>
      <c r="Y1490" s="49" t="s">
        <v>309</v>
      </c>
      <c r="Z1490" s="50" t="s">
        <v>4409</v>
      </c>
      <c r="AA1490" s="38"/>
      <c r="AB1490" s="38"/>
      <c r="AC1490" s="38"/>
      <c r="AD1490" s="51">
        <v>146</v>
      </c>
      <c r="AE1490" s="51">
        <v>146</v>
      </c>
      <c r="AF1490" s="48" t="s">
        <v>203</v>
      </c>
      <c r="AG1490" s="38" t="s">
        <v>204</v>
      </c>
      <c r="AH1490" s="52"/>
      <c r="AI1490" s="38"/>
      <c r="AJ1490" s="38"/>
    </row>
    <row r="1491" spans="1:36" ht="16.2">
      <c r="A1491" s="53" t="s">
        <v>302</v>
      </c>
      <c r="B1491" s="53">
        <v>709930</v>
      </c>
      <c r="C1491" s="53" t="s">
        <v>4388</v>
      </c>
      <c r="D1491" s="53">
        <v>13207614</v>
      </c>
      <c r="E1491" s="54" t="s">
        <v>3664</v>
      </c>
      <c r="F1491" s="53" t="s">
        <v>4410</v>
      </c>
      <c r="G1491" s="53" t="s">
        <v>195</v>
      </c>
      <c r="H1491" s="53"/>
      <c r="I1491" s="53"/>
      <c r="J1491" s="53">
        <v>13207614</v>
      </c>
      <c r="K1491" s="53"/>
      <c r="L1491" s="55">
        <v>45293</v>
      </c>
      <c r="M1491" s="55">
        <v>45293</v>
      </c>
      <c r="N1491" s="53" t="s">
        <v>306</v>
      </c>
      <c r="O1491" s="53">
        <v>0</v>
      </c>
      <c r="P1491" s="53">
        <v>20009855</v>
      </c>
      <c r="Q1491" s="53" t="s">
        <v>4411</v>
      </c>
      <c r="R1491" s="45">
        <v>410</v>
      </c>
      <c r="S1491" s="53">
        <v>0</v>
      </c>
      <c r="T1491" s="47" t="s">
        <v>198</v>
      </c>
      <c r="U1491" s="48" t="s">
        <v>199</v>
      </c>
      <c r="V1491" s="38"/>
      <c r="W1491" s="48" t="s">
        <v>195</v>
      </c>
      <c r="X1491" s="38" t="s">
        <v>308</v>
      </c>
      <c r="Y1491" s="49" t="s">
        <v>309</v>
      </c>
      <c r="Z1491" s="50" t="s">
        <v>4412</v>
      </c>
      <c r="AA1491" s="38"/>
      <c r="AB1491" s="38"/>
      <c r="AC1491" s="38"/>
      <c r="AD1491" s="51">
        <v>146</v>
      </c>
      <c r="AE1491" s="51">
        <v>146</v>
      </c>
      <c r="AF1491" s="48" t="s">
        <v>203</v>
      </c>
      <c r="AG1491" s="38" t="s">
        <v>204</v>
      </c>
      <c r="AH1491" s="52"/>
      <c r="AI1491" s="38"/>
      <c r="AJ1491" s="38"/>
    </row>
    <row r="1492" spans="1:36" ht="16.2">
      <c r="A1492" s="42" t="s">
        <v>302</v>
      </c>
      <c r="B1492" s="42">
        <v>709930</v>
      </c>
      <c r="C1492" s="42" t="s">
        <v>4388</v>
      </c>
      <c r="D1492" s="42">
        <v>13207614</v>
      </c>
      <c r="E1492" s="43" t="s">
        <v>3664</v>
      </c>
      <c r="F1492" s="42" t="s">
        <v>4413</v>
      </c>
      <c r="G1492" s="42" t="s">
        <v>195</v>
      </c>
      <c r="H1492" s="42"/>
      <c r="I1492" s="42"/>
      <c r="J1492" s="42">
        <v>13207614</v>
      </c>
      <c r="K1492" s="42"/>
      <c r="L1492" s="44">
        <v>45293</v>
      </c>
      <c r="M1492" s="44">
        <v>45293</v>
      </c>
      <c r="N1492" s="42" t="s">
        <v>306</v>
      </c>
      <c r="O1492" s="42">
        <v>0</v>
      </c>
      <c r="P1492" s="42">
        <v>20009855</v>
      </c>
      <c r="Q1492" s="42" t="s">
        <v>4414</v>
      </c>
      <c r="R1492" s="45">
        <v>410</v>
      </c>
      <c r="S1492" s="42">
        <v>0</v>
      </c>
      <c r="T1492" s="47" t="s">
        <v>198</v>
      </c>
      <c r="U1492" s="48" t="s">
        <v>199</v>
      </c>
      <c r="V1492" s="38"/>
      <c r="W1492" s="48" t="s">
        <v>195</v>
      </c>
      <c r="X1492" s="38" t="s">
        <v>308</v>
      </c>
      <c r="Y1492" s="49" t="s">
        <v>309</v>
      </c>
      <c r="Z1492" s="50" t="s">
        <v>4415</v>
      </c>
      <c r="AA1492" s="38"/>
      <c r="AB1492" s="38"/>
      <c r="AC1492" s="38"/>
      <c r="AD1492" s="51">
        <v>146</v>
      </c>
      <c r="AE1492" s="51">
        <v>146</v>
      </c>
      <c r="AF1492" s="48" t="s">
        <v>203</v>
      </c>
      <c r="AG1492" s="38" t="s">
        <v>204</v>
      </c>
      <c r="AH1492" s="52"/>
      <c r="AI1492" s="38"/>
      <c r="AJ1492" s="38"/>
    </row>
    <row r="1493" spans="1:36" ht="16.2">
      <c r="A1493" s="53" t="s">
        <v>302</v>
      </c>
      <c r="B1493" s="53">
        <v>709930</v>
      </c>
      <c r="C1493" s="53" t="s">
        <v>4388</v>
      </c>
      <c r="D1493" s="53">
        <v>13207614</v>
      </c>
      <c r="E1493" s="54" t="s">
        <v>3664</v>
      </c>
      <c r="F1493" s="53" t="s">
        <v>4416</v>
      </c>
      <c r="G1493" s="53" t="s">
        <v>195</v>
      </c>
      <c r="H1493" s="53"/>
      <c r="I1493" s="53"/>
      <c r="J1493" s="53">
        <v>13207614</v>
      </c>
      <c r="K1493" s="53"/>
      <c r="L1493" s="55">
        <v>45293</v>
      </c>
      <c r="M1493" s="55">
        <v>45293</v>
      </c>
      <c r="N1493" s="53" t="s">
        <v>306</v>
      </c>
      <c r="O1493" s="53">
        <v>0</v>
      </c>
      <c r="P1493" s="53">
        <v>20009855</v>
      </c>
      <c r="Q1493" s="53" t="s">
        <v>4417</v>
      </c>
      <c r="R1493" s="45">
        <v>410</v>
      </c>
      <c r="S1493" s="53">
        <v>0</v>
      </c>
      <c r="T1493" s="47" t="s">
        <v>198</v>
      </c>
      <c r="U1493" s="48" t="s">
        <v>199</v>
      </c>
      <c r="V1493" s="38"/>
      <c r="W1493" s="48" t="s">
        <v>195</v>
      </c>
      <c r="X1493" s="38" t="s">
        <v>308</v>
      </c>
      <c r="Y1493" s="49" t="s">
        <v>309</v>
      </c>
      <c r="Z1493" s="50" t="s">
        <v>4418</v>
      </c>
      <c r="AA1493" s="38"/>
      <c r="AB1493" s="38"/>
      <c r="AC1493" s="38"/>
      <c r="AD1493" s="51">
        <v>146</v>
      </c>
      <c r="AE1493" s="51">
        <v>146</v>
      </c>
      <c r="AF1493" s="48" t="s">
        <v>203</v>
      </c>
      <c r="AG1493" s="38" t="s">
        <v>204</v>
      </c>
      <c r="AH1493" s="52"/>
      <c r="AI1493" s="38"/>
      <c r="AJ1493" s="38"/>
    </row>
    <row r="1494" spans="1:36" ht="16.2">
      <c r="A1494" s="42" t="s">
        <v>857</v>
      </c>
      <c r="B1494" s="42">
        <v>90030304</v>
      </c>
      <c r="C1494" s="42" t="s">
        <v>4419</v>
      </c>
      <c r="D1494" s="42">
        <v>13207700</v>
      </c>
      <c r="E1494" s="43" t="s">
        <v>3345</v>
      </c>
      <c r="F1494" s="42" t="s">
        <v>4420</v>
      </c>
      <c r="G1494" s="42"/>
      <c r="H1494" s="42"/>
      <c r="I1494" s="42"/>
      <c r="J1494" s="42"/>
      <c r="K1494" s="42"/>
      <c r="L1494" s="44">
        <v>45293</v>
      </c>
      <c r="M1494" s="44">
        <v>45293</v>
      </c>
      <c r="N1494" s="42" t="s">
        <v>3347</v>
      </c>
      <c r="O1494" s="42">
        <v>0</v>
      </c>
      <c r="P1494" s="42"/>
      <c r="Q1494" s="42" t="s">
        <v>4421</v>
      </c>
      <c r="R1494" s="45">
        <v>410</v>
      </c>
      <c r="S1494" s="42">
        <v>0</v>
      </c>
      <c r="T1494" s="47" t="s">
        <v>401</v>
      </c>
      <c r="U1494" s="48" t="s">
        <v>199</v>
      </c>
      <c r="V1494" s="38"/>
      <c r="W1494" s="38"/>
      <c r="X1494" s="38" t="s">
        <v>426</v>
      </c>
      <c r="Y1494" s="49" t="s">
        <v>427</v>
      </c>
      <c r="Z1494" s="50" t="s">
        <v>4422</v>
      </c>
      <c r="AA1494" s="38"/>
      <c r="AB1494" s="38"/>
      <c r="AC1494" s="38"/>
      <c r="AD1494" s="51">
        <v>5</v>
      </c>
      <c r="AE1494" s="51">
        <v>4</v>
      </c>
      <c r="AF1494" s="48" t="s">
        <v>195</v>
      </c>
      <c r="AG1494" s="38" t="s">
        <v>403</v>
      </c>
      <c r="AH1494" s="52"/>
      <c r="AI1494" s="38"/>
      <c r="AJ1494" s="38"/>
    </row>
    <row r="1495" spans="1:36" ht="16.2">
      <c r="A1495" s="53" t="s">
        <v>857</v>
      </c>
      <c r="B1495" s="53">
        <v>90030304</v>
      </c>
      <c r="C1495" s="53" t="s">
        <v>4419</v>
      </c>
      <c r="D1495" s="53">
        <v>13207700</v>
      </c>
      <c r="E1495" s="54" t="s">
        <v>3345</v>
      </c>
      <c r="F1495" s="53" t="s">
        <v>4423</v>
      </c>
      <c r="G1495" s="53" t="s">
        <v>195</v>
      </c>
      <c r="H1495" s="53"/>
      <c r="I1495" s="53"/>
      <c r="J1495" s="53"/>
      <c r="K1495" s="53"/>
      <c r="L1495" s="55">
        <v>45293</v>
      </c>
      <c r="M1495" s="55">
        <v>45293</v>
      </c>
      <c r="N1495" s="53" t="s">
        <v>3347</v>
      </c>
      <c r="O1495" s="53">
        <v>0</v>
      </c>
      <c r="P1495" s="53">
        <v>279805</v>
      </c>
      <c r="Q1495" s="53" t="s">
        <v>4424</v>
      </c>
      <c r="R1495" s="45">
        <v>410</v>
      </c>
      <c r="S1495" s="53">
        <v>0</v>
      </c>
      <c r="T1495" s="47" t="s">
        <v>1792</v>
      </c>
      <c r="U1495" s="48" t="s">
        <v>199</v>
      </c>
      <c r="V1495" s="38"/>
      <c r="W1495" s="38"/>
      <c r="X1495" s="38" t="s">
        <v>426</v>
      </c>
      <c r="Y1495" s="49" t="s">
        <v>427</v>
      </c>
      <c r="Z1495" s="50" t="s">
        <v>4425</v>
      </c>
      <c r="AA1495" s="38"/>
      <c r="AB1495" s="38"/>
      <c r="AC1495" s="38"/>
      <c r="AD1495" s="51">
        <v>5</v>
      </c>
      <c r="AE1495" s="51">
        <v>4</v>
      </c>
      <c r="AF1495" s="48" t="s">
        <v>203</v>
      </c>
      <c r="AG1495" s="38" t="s">
        <v>204</v>
      </c>
      <c r="AH1495" s="52"/>
      <c r="AI1495" s="38"/>
      <c r="AJ1495" s="38"/>
    </row>
    <row r="1496" spans="1:36" ht="16.2">
      <c r="A1496" s="42" t="s">
        <v>857</v>
      </c>
      <c r="B1496" s="42">
        <v>90030304</v>
      </c>
      <c r="C1496" s="42" t="s">
        <v>4419</v>
      </c>
      <c r="D1496" s="42">
        <v>13207700</v>
      </c>
      <c r="E1496" s="43" t="s">
        <v>3345</v>
      </c>
      <c r="F1496" s="42" t="s">
        <v>4426</v>
      </c>
      <c r="G1496" s="42" t="s">
        <v>195</v>
      </c>
      <c r="H1496" s="42"/>
      <c r="I1496" s="42"/>
      <c r="J1496" s="42"/>
      <c r="K1496" s="42"/>
      <c r="L1496" s="44">
        <v>45293</v>
      </c>
      <c r="M1496" s="44">
        <v>45293</v>
      </c>
      <c r="N1496" s="42" t="s">
        <v>3347</v>
      </c>
      <c r="O1496" s="42">
        <v>0</v>
      </c>
      <c r="P1496" s="42">
        <v>279805</v>
      </c>
      <c r="Q1496" s="42" t="s">
        <v>4427</v>
      </c>
      <c r="R1496" s="45">
        <v>410</v>
      </c>
      <c r="S1496" s="42">
        <v>0</v>
      </c>
      <c r="T1496" s="47" t="s">
        <v>1792</v>
      </c>
      <c r="U1496" s="48" t="s">
        <v>199</v>
      </c>
      <c r="V1496" s="38"/>
      <c r="W1496" s="38"/>
      <c r="X1496" s="38" t="s">
        <v>426</v>
      </c>
      <c r="Y1496" s="49" t="s">
        <v>427</v>
      </c>
      <c r="Z1496" s="50" t="s">
        <v>4428</v>
      </c>
      <c r="AA1496" s="38"/>
      <c r="AB1496" s="38"/>
      <c r="AC1496" s="38"/>
      <c r="AD1496" s="51">
        <v>5</v>
      </c>
      <c r="AE1496" s="51">
        <v>4</v>
      </c>
      <c r="AF1496" s="48" t="s">
        <v>203</v>
      </c>
      <c r="AG1496" s="38" t="s">
        <v>204</v>
      </c>
      <c r="AH1496" s="52"/>
      <c r="AI1496" s="38"/>
      <c r="AJ1496" s="38"/>
    </row>
    <row r="1497" spans="1:36" ht="16.2">
      <c r="A1497" s="53" t="s">
        <v>857</v>
      </c>
      <c r="B1497" s="53">
        <v>90030304</v>
      </c>
      <c r="C1497" s="53" t="s">
        <v>4419</v>
      </c>
      <c r="D1497" s="53">
        <v>13207700</v>
      </c>
      <c r="E1497" s="54" t="s">
        <v>3345</v>
      </c>
      <c r="F1497" s="53" t="s">
        <v>4429</v>
      </c>
      <c r="G1497" s="53" t="s">
        <v>195</v>
      </c>
      <c r="H1497" s="53"/>
      <c r="I1497" s="53"/>
      <c r="J1497" s="53"/>
      <c r="K1497" s="53"/>
      <c r="L1497" s="55">
        <v>45293</v>
      </c>
      <c r="M1497" s="55">
        <v>45293</v>
      </c>
      <c r="N1497" s="53" t="s">
        <v>3347</v>
      </c>
      <c r="O1497" s="53">
        <v>0</v>
      </c>
      <c r="P1497" s="53">
        <v>279805</v>
      </c>
      <c r="Q1497" s="53" t="s">
        <v>4430</v>
      </c>
      <c r="R1497" s="45">
        <v>410</v>
      </c>
      <c r="S1497" s="53">
        <v>0</v>
      </c>
      <c r="T1497" s="47" t="s">
        <v>1792</v>
      </c>
      <c r="U1497" s="48" t="s">
        <v>199</v>
      </c>
      <c r="V1497" s="38"/>
      <c r="W1497" s="38"/>
      <c r="X1497" s="38" t="s">
        <v>426</v>
      </c>
      <c r="Y1497" s="49" t="s">
        <v>427</v>
      </c>
      <c r="Z1497" s="50" t="s">
        <v>4431</v>
      </c>
      <c r="AA1497" s="38"/>
      <c r="AB1497" s="38"/>
      <c r="AC1497" s="38"/>
      <c r="AD1497" s="51">
        <v>5</v>
      </c>
      <c r="AE1497" s="51">
        <v>4</v>
      </c>
      <c r="AF1497" s="48" t="s">
        <v>203</v>
      </c>
      <c r="AG1497" s="38" t="s">
        <v>204</v>
      </c>
      <c r="AH1497" s="52"/>
      <c r="AI1497" s="38"/>
      <c r="AJ1497" s="38"/>
    </row>
    <row r="1498" spans="1:36" ht="16.2">
      <c r="A1498" s="42" t="s">
        <v>302</v>
      </c>
      <c r="B1498" s="42">
        <v>638554</v>
      </c>
      <c r="C1498" s="42" t="s">
        <v>1104</v>
      </c>
      <c r="D1498" s="42">
        <v>13207593</v>
      </c>
      <c r="E1498" s="43" t="s">
        <v>1105</v>
      </c>
      <c r="F1498" s="42" t="s">
        <v>1110</v>
      </c>
      <c r="G1498" s="42" t="s">
        <v>195</v>
      </c>
      <c r="H1498" s="42"/>
      <c r="I1498" s="42"/>
      <c r="J1498" s="42">
        <v>13207593</v>
      </c>
      <c r="K1498" s="42"/>
      <c r="L1498" s="44">
        <v>45293</v>
      </c>
      <c r="M1498" s="44">
        <v>45293</v>
      </c>
      <c r="N1498" s="42" t="s">
        <v>306</v>
      </c>
      <c r="O1498" s="42">
        <v>0</v>
      </c>
      <c r="P1498" s="42">
        <v>20009855</v>
      </c>
      <c r="Q1498" s="42" t="s">
        <v>4432</v>
      </c>
      <c r="R1498" s="45">
        <v>410</v>
      </c>
      <c r="S1498" s="42">
        <v>0</v>
      </c>
      <c r="T1498" s="47" t="s">
        <v>198</v>
      </c>
      <c r="U1498" s="48" t="s">
        <v>199</v>
      </c>
      <c r="V1498" s="38"/>
      <c r="W1498" s="48" t="s">
        <v>195</v>
      </c>
      <c r="X1498" s="38" t="s">
        <v>308</v>
      </c>
      <c r="Y1498" s="49" t="s">
        <v>309</v>
      </c>
      <c r="Z1498" s="50" t="s">
        <v>4433</v>
      </c>
      <c r="AA1498" s="38"/>
      <c r="AB1498" s="38"/>
      <c r="AC1498" s="38"/>
      <c r="AD1498" s="51">
        <v>146</v>
      </c>
      <c r="AE1498" s="51">
        <v>146</v>
      </c>
      <c r="AF1498" s="48" t="s">
        <v>203</v>
      </c>
      <c r="AG1498" s="38" t="s">
        <v>204</v>
      </c>
      <c r="AH1498" s="52"/>
      <c r="AI1498" s="38"/>
      <c r="AJ1498" s="38"/>
    </row>
    <row r="1499" spans="1:36" ht="16.2">
      <c r="A1499" s="53" t="s">
        <v>302</v>
      </c>
      <c r="B1499" s="53">
        <v>638554</v>
      </c>
      <c r="C1499" s="53" t="s">
        <v>1104</v>
      </c>
      <c r="D1499" s="53">
        <v>13207593</v>
      </c>
      <c r="E1499" s="54" t="s">
        <v>1105</v>
      </c>
      <c r="F1499" s="53" t="s">
        <v>1113</v>
      </c>
      <c r="G1499" s="53" t="s">
        <v>195</v>
      </c>
      <c r="H1499" s="53"/>
      <c r="I1499" s="53"/>
      <c r="J1499" s="53">
        <v>13207593</v>
      </c>
      <c r="K1499" s="53"/>
      <c r="L1499" s="55">
        <v>45293</v>
      </c>
      <c r="M1499" s="55">
        <v>45293</v>
      </c>
      <c r="N1499" s="53" t="s">
        <v>306</v>
      </c>
      <c r="O1499" s="53">
        <v>0</v>
      </c>
      <c r="P1499" s="53">
        <v>20009855</v>
      </c>
      <c r="Q1499" s="53" t="s">
        <v>4434</v>
      </c>
      <c r="R1499" s="45">
        <v>410</v>
      </c>
      <c r="S1499" s="53">
        <v>0</v>
      </c>
      <c r="T1499" s="47" t="s">
        <v>198</v>
      </c>
      <c r="U1499" s="48" t="s">
        <v>199</v>
      </c>
      <c r="V1499" s="38"/>
      <c r="W1499" s="48" t="s">
        <v>195</v>
      </c>
      <c r="X1499" s="38" t="s">
        <v>308</v>
      </c>
      <c r="Y1499" s="49" t="s">
        <v>309</v>
      </c>
      <c r="Z1499" s="50" t="s">
        <v>4435</v>
      </c>
      <c r="AA1499" s="38"/>
      <c r="AB1499" s="38"/>
      <c r="AC1499" s="38"/>
      <c r="AD1499" s="51">
        <v>146</v>
      </c>
      <c r="AE1499" s="51">
        <v>146</v>
      </c>
      <c r="AF1499" s="48" t="s">
        <v>203</v>
      </c>
      <c r="AG1499" s="38" t="s">
        <v>204</v>
      </c>
      <c r="AH1499" s="52"/>
      <c r="AI1499" s="38"/>
      <c r="AJ1499" s="38"/>
    </row>
    <row r="1500" spans="1:36" ht="16.2">
      <c r="A1500" s="42" t="s">
        <v>302</v>
      </c>
      <c r="B1500" s="42">
        <v>638554</v>
      </c>
      <c r="C1500" s="42" t="s">
        <v>1104</v>
      </c>
      <c r="D1500" s="42">
        <v>13207593</v>
      </c>
      <c r="E1500" s="43" t="s">
        <v>1105</v>
      </c>
      <c r="F1500" s="42" t="s">
        <v>1116</v>
      </c>
      <c r="G1500" s="42" t="s">
        <v>195</v>
      </c>
      <c r="H1500" s="42"/>
      <c r="I1500" s="42"/>
      <c r="J1500" s="42">
        <v>13207593</v>
      </c>
      <c r="K1500" s="42"/>
      <c r="L1500" s="44">
        <v>45293</v>
      </c>
      <c r="M1500" s="44">
        <v>45293</v>
      </c>
      <c r="N1500" s="42" t="s">
        <v>306</v>
      </c>
      <c r="O1500" s="42">
        <v>0</v>
      </c>
      <c r="P1500" s="42">
        <v>20009855</v>
      </c>
      <c r="Q1500" s="42" t="s">
        <v>4436</v>
      </c>
      <c r="R1500" s="45">
        <v>410</v>
      </c>
      <c r="S1500" s="42">
        <v>0</v>
      </c>
      <c r="T1500" s="47" t="s">
        <v>198</v>
      </c>
      <c r="U1500" s="48" t="s">
        <v>199</v>
      </c>
      <c r="V1500" s="38"/>
      <c r="W1500" s="48" t="s">
        <v>195</v>
      </c>
      <c r="X1500" s="38" t="s">
        <v>308</v>
      </c>
      <c r="Y1500" s="49" t="s">
        <v>309</v>
      </c>
      <c r="Z1500" s="50" t="s">
        <v>4437</v>
      </c>
      <c r="AA1500" s="38"/>
      <c r="AB1500" s="38"/>
      <c r="AC1500" s="38"/>
      <c r="AD1500" s="51">
        <v>146</v>
      </c>
      <c r="AE1500" s="51">
        <v>146</v>
      </c>
      <c r="AF1500" s="48" t="s">
        <v>203</v>
      </c>
      <c r="AG1500" s="38" t="s">
        <v>204</v>
      </c>
      <c r="AH1500" s="52"/>
      <c r="AI1500" s="38"/>
      <c r="AJ1500" s="38"/>
    </row>
    <row r="1501" spans="1:36" ht="16.2">
      <c r="A1501" s="53" t="s">
        <v>302</v>
      </c>
      <c r="B1501" s="53">
        <v>638554</v>
      </c>
      <c r="C1501" s="53" t="s">
        <v>1104</v>
      </c>
      <c r="D1501" s="53">
        <v>13207593</v>
      </c>
      <c r="E1501" s="54" t="s">
        <v>1105</v>
      </c>
      <c r="F1501" s="53" t="s">
        <v>1119</v>
      </c>
      <c r="G1501" s="53" t="s">
        <v>195</v>
      </c>
      <c r="H1501" s="53"/>
      <c r="I1501" s="53"/>
      <c r="J1501" s="53">
        <v>13207593</v>
      </c>
      <c r="K1501" s="53"/>
      <c r="L1501" s="55">
        <v>45293</v>
      </c>
      <c r="M1501" s="55">
        <v>45293</v>
      </c>
      <c r="N1501" s="53" t="s">
        <v>306</v>
      </c>
      <c r="O1501" s="53">
        <v>0</v>
      </c>
      <c r="P1501" s="53">
        <v>20009855</v>
      </c>
      <c r="Q1501" s="53" t="s">
        <v>4438</v>
      </c>
      <c r="R1501" s="45">
        <v>410</v>
      </c>
      <c r="S1501" s="53">
        <v>0</v>
      </c>
      <c r="T1501" s="47" t="s">
        <v>198</v>
      </c>
      <c r="U1501" s="48" t="s">
        <v>199</v>
      </c>
      <c r="V1501" s="38"/>
      <c r="W1501" s="48" t="s">
        <v>195</v>
      </c>
      <c r="X1501" s="38" t="s">
        <v>308</v>
      </c>
      <c r="Y1501" s="49" t="s">
        <v>309</v>
      </c>
      <c r="Z1501" s="50" t="s">
        <v>4439</v>
      </c>
      <c r="AA1501" s="38"/>
      <c r="AB1501" s="38"/>
      <c r="AC1501" s="38"/>
      <c r="AD1501" s="51">
        <v>146</v>
      </c>
      <c r="AE1501" s="51">
        <v>146</v>
      </c>
      <c r="AF1501" s="48" t="s">
        <v>203</v>
      </c>
      <c r="AG1501" s="38" t="s">
        <v>204</v>
      </c>
      <c r="AH1501" s="52"/>
      <c r="AI1501" s="38"/>
      <c r="AJ1501" s="38"/>
    </row>
    <row r="1502" spans="1:36" ht="16.2">
      <c r="A1502" s="42" t="s">
        <v>302</v>
      </c>
      <c r="B1502" s="42">
        <v>638554</v>
      </c>
      <c r="C1502" s="42" t="s">
        <v>1104</v>
      </c>
      <c r="D1502" s="42">
        <v>13207593</v>
      </c>
      <c r="E1502" s="43" t="s">
        <v>1105</v>
      </c>
      <c r="F1502" s="42" t="s">
        <v>1064</v>
      </c>
      <c r="G1502" s="42" t="s">
        <v>195</v>
      </c>
      <c r="H1502" s="42"/>
      <c r="I1502" s="42"/>
      <c r="J1502" s="42">
        <v>13207593</v>
      </c>
      <c r="K1502" s="42"/>
      <c r="L1502" s="44">
        <v>45293</v>
      </c>
      <c r="M1502" s="44">
        <v>45293</v>
      </c>
      <c r="N1502" s="42" t="s">
        <v>306</v>
      </c>
      <c r="O1502" s="42">
        <v>0</v>
      </c>
      <c r="P1502" s="42">
        <v>20009855</v>
      </c>
      <c r="Q1502" s="42" t="s">
        <v>4440</v>
      </c>
      <c r="R1502" s="45">
        <v>410</v>
      </c>
      <c r="S1502" s="42">
        <v>0</v>
      </c>
      <c r="T1502" s="47" t="s">
        <v>198</v>
      </c>
      <c r="U1502" s="48" t="s">
        <v>199</v>
      </c>
      <c r="V1502" s="38"/>
      <c r="W1502" s="48" t="s">
        <v>195</v>
      </c>
      <c r="X1502" s="38" t="s">
        <v>308</v>
      </c>
      <c r="Y1502" s="49" t="s">
        <v>309</v>
      </c>
      <c r="Z1502" s="50" t="s">
        <v>4441</v>
      </c>
      <c r="AA1502" s="38"/>
      <c r="AB1502" s="38"/>
      <c r="AC1502" s="38"/>
      <c r="AD1502" s="51">
        <v>146</v>
      </c>
      <c r="AE1502" s="51">
        <v>146</v>
      </c>
      <c r="AF1502" s="48" t="s">
        <v>203</v>
      </c>
      <c r="AG1502" s="38" t="s">
        <v>204</v>
      </c>
      <c r="AH1502" s="52"/>
      <c r="AI1502" s="38"/>
      <c r="AJ1502" s="38"/>
    </row>
    <row r="1503" spans="1:36" ht="16.2">
      <c r="A1503" s="53" t="s">
        <v>302</v>
      </c>
      <c r="B1503" s="53">
        <v>638554</v>
      </c>
      <c r="C1503" s="53" t="s">
        <v>1104</v>
      </c>
      <c r="D1503" s="53">
        <v>13207593</v>
      </c>
      <c r="E1503" s="54" t="s">
        <v>1105</v>
      </c>
      <c r="F1503" s="53" t="s">
        <v>1124</v>
      </c>
      <c r="G1503" s="53" t="s">
        <v>195</v>
      </c>
      <c r="H1503" s="53"/>
      <c r="I1503" s="53"/>
      <c r="J1503" s="53">
        <v>13207593</v>
      </c>
      <c r="K1503" s="53"/>
      <c r="L1503" s="55">
        <v>45293</v>
      </c>
      <c r="M1503" s="55">
        <v>45293</v>
      </c>
      <c r="N1503" s="53" t="s">
        <v>306</v>
      </c>
      <c r="O1503" s="53">
        <v>0</v>
      </c>
      <c r="P1503" s="53">
        <v>20009855</v>
      </c>
      <c r="Q1503" s="53" t="s">
        <v>4442</v>
      </c>
      <c r="R1503" s="45">
        <v>410</v>
      </c>
      <c r="S1503" s="53">
        <v>0</v>
      </c>
      <c r="T1503" s="47" t="s">
        <v>198</v>
      </c>
      <c r="U1503" s="48" t="s">
        <v>199</v>
      </c>
      <c r="V1503" s="38"/>
      <c r="W1503" s="48" t="s">
        <v>195</v>
      </c>
      <c r="X1503" s="38" t="s">
        <v>308</v>
      </c>
      <c r="Y1503" s="49" t="s">
        <v>309</v>
      </c>
      <c r="Z1503" s="50" t="s">
        <v>4443</v>
      </c>
      <c r="AA1503" s="38"/>
      <c r="AB1503" s="38"/>
      <c r="AC1503" s="38"/>
      <c r="AD1503" s="51">
        <v>146</v>
      </c>
      <c r="AE1503" s="51">
        <v>146</v>
      </c>
      <c r="AF1503" s="48" t="s">
        <v>203</v>
      </c>
      <c r="AG1503" s="38" t="s">
        <v>204</v>
      </c>
      <c r="AH1503" s="52"/>
      <c r="AI1503" s="38"/>
      <c r="AJ1503" s="38"/>
    </row>
    <row r="1504" spans="1:36" ht="16.2">
      <c r="A1504" s="42" t="s">
        <v>302</v>
      </c>
      <c r="B1504" s="42">
        <v>638554</v>
      </c>
      <c r="C1504" s="42" t="s">
        <v>1104</v>
      </c>
      <c r="D1504" s="42">
        <v>13207593</v>
      </c>
      <c r="E1504" s="43" t="s">
        <v>1105</v>
      </c>
      <c r="F1504" s="42" t="s">
        <v>1127</v>
      </c>
      <c r="G1504" s="42" t="s">
        <v>195</v>
      </c>
      <c r="H1504" s="42"/>
      <c r="I1504" s="42"/>
      <c r="J1504" s="42">
        <v>13207593</v>
      </c>
      <c r="K1504" s="42"/>
      <c r="L1504" s="44">
        <v>45293</v>
      </c>
      <c r="M1504" s="44">
        <v>45293</v>
      </c>
      <c r="N1504" s="42" t="s">
        <v>306</v>
      </c>
      <c r="O1504" s="42">
        <v>0</v>
      </c>
      <c r="P1504" s="42">
        <v>20009855</v>
      </c>
      <c r="Q1504" s="42" t="s">
        <v>4444</v>
      </c>
      <c r="R1504" s="45">
        <v>410</v>
      </c>
      <c r="S1504" s="42">
        <v>0</v>
      </c>
      <c r="T1504" s="47" t="s">
        <v>198</v>
      </c>
      <c r="U1504" s="48" t="s">
        <v>199</v>
      </c>
      <c r="V1504" s="38"/>
      <c r="W1504" s="48" t="s">
        <v>195</v>
      </c>
      <c r="X1504" s="38" t="s">
        <v>308</v>
      </c>
      <c r="Y1504" s="49" t="s">
        <v>309</v>
      </c>
      <c r="Z1504" s="50" t="s">
        <v>4445</v>
      </c>
      <c r="AA1504" s="38"/>
      <c r="AB1504" s="38"/>
      <c r="AC1504" s="38"/>
      <c r="AD1504" s="51">
        <v>146</v>
      </c>
      <c r="AE1504" s="51">
        <v>146</v>
      </c>
      <c r="AF1504" s="48" t="s">
        <v>203</v>
      </c>
      <c r="AG1504" s="38" t="s">
        <v>204</v>
      </c>
      <c r="AH1504" s="52"/>
      <c r="AI1504" s="38"/>
      <c r="AJ1504" s="38"/>
    </row>
    <row r="1505" spans="1:36" ht="16.2">
      <c r="A1505" s="53" t="s">
        <v>302</v>
      </c>
      <c r="B1505" s="53">
        <v>638554</v>
      </c>
      <c r="C1505" s="53" t="s">
        <v>1104</v>
      </c>
      <c r="D1505" s="53">
        <v>13207593</v>
      </c>
      <c r="E1505" s="54" t="s">
        <v>1105</v>
      </c>
      <c r="F1505" s="53" t="s">
        <v>677</v>
      </c>
      <c r="G1505" s="53" t="s">
        <v>195</v>
      </c>
      <c r="H1505" s="53"/>
      <c r="I1505" s="53"/>
      <c r="J1505" s="53">
        <v>13207593</v>
      </c>
      <c r="K1505" s="53"/>
      <c r="L1505" s="55">
        <v>45293</v>
      </c>
      <c r="M1505" s="55">
        <v>45293</v>
      </c>
      <c r="N1505" s="53" t="s">
        <v>306</v>
      </c>
      <c r="O1505" s="53">
        <v>0</v>
      </c>
      <c r="P1505" s="53">
        <v>20009855</v>
      </c>
      <c r="Q1505" s="53" t="s">
        <v>4446</v>
      </c>
      <c r="R1505" s="45">
        <v>410</v>
      </c>
      <c r="S1505" s="53">
        <v>0</v>
      </c>
      <c r="T1505" s="47" t="s">
        <v>198</v>
      </c>
      <c r="U1505" s="48" t="s">
        <v>199</v>
      </c>
      <c r="V1505" s="38"/>
      <c r="W1505" s="48" t="s">
        <v>195</v>
      </c>
      <c r="X1505" s="38" t="s">
        <v>308</v>
      </c>
      <c r="Y1505" s="49" t="s">
        <v>309</v>
      </c>
      <c r="Z1505" s="50" t="s">
        <v>4447</v>
      </c>
      <c r="AA1505" s="38"/>
      <c r="AB1505" s="38"/>
      <c r="AC1505" s="38"/>
      <c r="AD1505" s="51">
        <v>146</v>
      </c>
      <c r="AE1505" s="51">
        <v>146</v>
      </c>
      <c r="AF1505" s="48" t="s">
        <v>203</v>
      </c>
      <c r="AG1505" s="38" t="s">
        <v>204</v>
      </c>
      <c r="AH1505" s="52"/>
      <c r="AI1505" s="38"/>
      <c r="AJ1505" s="38"/>
    </row>
    <row r="1506" spans="1:36" ht="16.2">
      <c r="A1506" s="42" t="s">
        <v>302</v>
      </c>
      <c r="B1506" s="42">
        <v>638554</v>
      </c>
      <c r="C1506" s="42" t="s">
        <v>1104</v>
      </c>
      <c r="D1506" s="42">
        <v>13207593</v>
      </c>
      <c r="E1506" s="43" t="s">
        <v>1105</v>
      </c>
      <c r="F1506" s="42" t="s">
        <v>1132</v>
      </c>
      <c r="G1506" s="42" t="s">
        <v>195</v>
      </c>
      <c r="H1506" s="42"/>
      <c r="I1506" s="42"/>
      <c r="J1506" s="42">
        <v>13207593</v>
      </c>
      <c r="K1506" s="42"/>
      <c r="L1506" s="44">
        <v>45293</v>
      </c>
      <c r="M1506" s="44">
        <v>45293</v>
      </c>
      <c r="N1506" s="42" t="s">
        <v>306</v>
      </c>
      <c r="O1506" s="42">
        <v>0</v>
      </c>
      <c r="P1506" s="42">
        <v>20009855</v>
      </c>
      <c r="Q1506" s="42" t="s">
        <v>4448</v>
      </c>
      <c r="R1506" s="45">
        <v>410</v>
      </c>
      <c r="S1506" s="42">
        <v>0</v>
      </c>
      <c r="T1506" s="47" t="s">
        <v>198</v>
      </c>
      <c r="U1506" s="48" t="s">
        <v>199</v>
      </c>
      <c r="V1506" s="38"/>
      <c r="W1506" s="48" t="s">
        <v>195</v>
      </c>
      <c r="X1506" s="38" t="s">
        <v>308</v>
      </c>
      <c r="Y1506" s="49" t="s">
        <v>309</v>
      </c>
      <c r="Z1506" s="50" t="s">
        <v>4449</v>
      </c>
      <c r="AA1506" s="38"/>
      <c r="AB1506" s="38"/>
      <c r="AC1506" s="38"/>
      <c r="AD1506" s="51">
        <v>146</v>
      </c>
      <c r="AE1506" s="51">
        <v>146</v>
      </c>
      <c r="AF1506" s="48" t="s">
        <v>203</v>
      </c>
      <c r="AG1506" s="38" t="s">
        <v>204</v>
      </c>
      <c r="AH1506" s="52"/>
      <c r="AI1506" s="38"/>
      <c r="AJ1506" s="38"/>
    </row>
    <row r="1507" spans="1:36" ht="16.2">
      <c r="A1507" s="53" t="s">
        <v>302</v>
      </c>
      <c r="B1507" s="53">
        <v>638554</v>
      </c>
      <c r="C1507" s="53" t="s">
        <v>1104</v>
      </c>
      <c r="D1507" s="53">
        <v>13207593</v>
      </c>
      <c r="E1507" s="54" t="s">
        <v>1105</v>
      </c>
      <c r="F1507" s="53" t="s">
        <v>1135</v>
      </c>
      <c r="G1507" s="53" t="s">
        <v>195</v>
      </c>
      <c r="H1507" s="53"/>
      <c r="I1507" s="53"/>
      <c r="J1507" s="53">
        <v>13207593</v>
      </c>
      <c r="K1507" s="53"/>
      <c r="L1507" s="55">
        <v>45293</v>
      </c>
      <c r="M1507" s="55">
        <v>45293</v>
      </c>
      <c r="N1507" s="53" t="s">
        <v>306</v>
      </c>
      <c r="O1507" s="53">
        <v>0</v>
      </c>
      <c r="P1507" s="53">
        <v>20009855</v>
      </c>
      <c r="Q1507" s="53" t="s">
        <v>4450</v>
      </c>
      <c r="R1507" s="45">
        <v>410</v>
      </c>
      <c r="S1507" s="53">
        <v>0</v>
      </c>
      <c r="T1507" s="47" t="s">
        <v>198</v>
      </c>
      <c r="U1507" s="48" t="s">
        <v>199</v>
      </c>
      <c r="V1507" s="38"/>
      <c r="W1507" s="48" t="s">
        <v>195</v>
      </c>
      <c r="X1507" s="38" t="s">
        <v>308</v>
      </c>
      <c r="Y1507" s="49" t="s">
        <v>309</v>
      </c>
      <c r="Z1507" s="50" t="s">
        <v>4451</v>
      </c>
      <c r="AA1507" s="38"/>
      <c r="AB1507" s="38"/>
      <c r="AC1507" s="38"/>
      <c r="AD1507" s="51">
        <v>146</v>
      </c>
      <c r="AE1507" s="51">
        <v>146</v>
      </c>
      <c r="AF1507" s="48" t="s">
        <v>203</v>
      </c>
      <c r="AG1507" s="38" t="s">
        <v>204</v>
      </c>
      <c r="AH1507" s="52"/>
      <c r="AI1507" s="38"/>
      <c r="AJ1507" s="38"/>
    </row>
    <row r="1508" spans="1:36" ht="16.2">
      <c r="A1508" s="42" t="s">
        <v>302</v>
      </c>
      <c r="B1508" s="42">
        <v>638554</v>
      </c>
      <c r="C1508" s="42" t="s">
        <v>1104</v>
      </c>
      <c r="D1508" s="42">
        <v>13207593</v>
      </c>
      <c r="E1508" s="43" t="s">
        <v>1105</v>
      </c>
      <c r="F1508" s="42" t="s">
        <v>1138</v>
      </c>
      <c r="G1508" s="42" t="s">
        <v>195</v>
      </c>
      <c r="H1508" s="42"/>
      <c r="I1508" s="42"/>
      <c r="J1508" s="42">
        <v>13207593</v>
      </c>
      <c r="K1508" s="42"/>
      <c r="L1508" s="44">
        <v>45293</v>
      </c>
      <c r="M1508" s="44">
        <v>45293</v>
      </c>
      <c r="N1508" s="42" t="s">
        <v>306</v>
      </c>
      <c r="O1508" s="42">
        <v>0</v>
      </c>
      <c r="P1508" s="42">
        <v>20009855</v>
      </c>
      <c r="Q1508" s="42" t="s">
        <v>4452</v>
      </c>
      <c r="R1508" s="45">
        <v>410</v>
      </c>
      <c r="S1508" s="42">
        <v>0</v>
      </c>
      <c r="T1508" s="47" t="s">
        <v>198</v>
      </c>
      <c r="U1508" s="48" t="s">
        <v>199</v>
      </c>
      <c r="V1508" s="38"/>
      <c r="W1508" s="48" t="s">
        <v>195</v>
      </c>
      <c r="X1508" s="38" t="s">
        <v>308</v>
      </c>
      <c r="Y1508" s="49" t="s">
        <v>309</v>
      </c>
      <c r="Z1508" s="50" t="s">
        <v>4453</v>
      </c>
      <c r="AA1508" s="38"/>
      <c r="AB1508" s="38"/>
      <c r="AC1508" s="38"/>
      <c r="AD1508" s="51">
        <v>146</v>
      </c>
      <c r="AE1508" s="51">
        <v>146</v>
      </c>
      <c r="AF1508" s="48" t="s">
        <v>203</v>
      </c>
      <c r="AG1508" s="38" t="s">
        <v>204</v>
      </c>
      <c r="AH1508" s="52"/>
      <c r="AI1508" s="38"/>
      <c r="AJ1508" s="38"/>
    </row>
    <row r="1509" spans="1:36" ht="16.2">
      <c r="A1509" s="53" t="s">
        <v>302</v>
      </c>
      <c r="B1509" s="53">
        <v>638554</v>
      </c>
      <c r="C1509" s="53" t="s">
        <v>1104</v>
      </c>
      <c r="D1509" s="53">
        <v>13207593</v>
      </c>
      <c r="E1509" s="54" t="s">
        <v>1105</v>
      </c>
      <c r="F1509" s="53" t="s">
        <v>756</v>
      </c>
      <c r="G1509" s="53" t="s">
        <v>195</v>
      </c>
      <c r="H1509" s="53"/>
      <c r="I1509" s="53"/>
      <c r="J1509" s="53">
        <v>13207593</v>
      </c>
      <c r="K1509" s="53"/>
      <c r="L1509" s="55">
        <v>45293</v>
      </c>
      <c r="M1509" s="55">
        <v>45293</v>
      </c>
      <c r="N1509" s="53" t="s">
        <v>306</v>
      </c>
      <c r="O1509" s="53">
        <v>0</v>
      </c>
      <c r="P1509" s="53">
        <v>20009855</v>
      </c>
      <c r="Q1509" s="53" t="s">
        <v>4454</v>
      </c>
      <c r="R1509" s="45">
        <v>410</v>
      </c>
      <c r="S1509" s="53">
        <v>0</v>
      </c>
      <c r="T1509" s="47" t="s">
        <v>198</v>
      </c>
      <c r="U1509" s="48" t="s">
        <v>199</v>
      </c>
      <c r="V1509" s="38"/>
      <c r="W1509" s="48" t="s">
        <v>195</v>
      </c>
      <c r="X1509" s="38" t="s">
        <v>308</v>
      </c>
      <c r="Y1509" s="49" t="s">
        <v>309</v>
      </c>
      <c r="Z1509" s="50" t="s">
        <v>4455</v>
      </c>
      <c r="AA1509" s="38"/>
      <c r="AB1509" s="38"/>
      <c r="AC1509" s="38"/>
      <c r="AD1509" s="51">
        <v>146</v>
      </c>
      <c r="AE1509" s="51">
        <v>146</v>
      </c>
      <c r="AF1509" s="48" t="s">
        <v>203</v>
      </c>
      <c r="AG1509" s="38" t="s">
        <v>204</v>
      </c>
      <c r="AH1509" s="52"/>
      <c r="AI1509" s="38"/>
      <c r="AJ1509" s="38"/>
    </row>
    <row r="1510" spans="1:36" ht="16.2">
      <c r="A1510" s="42" t="s">
        <v>302</v>
      </c>
      <c r="B1510" s="42">
        <v>638554</v>
      </c>
      <c r="C1510" s="42" t="s">
        <v>1104</v>
      </c>
      <c r="D1510" s="42">
        <v>13207593</v>
      </c>
      <c r="E1510" s="43" t="s">
        <v>1105</v>
      </c>
      <c r="F1510" s="42" t="s">
        <v>1143</v>
      </c>
      <c r="G1510" s="42" t="s">
        <v>195</v>
      </c>
      <c r="H1510" s="42"/>
      <c r="I1510" s="42"/>
      <c r="J1510" s="42">
        <v>13207593</v>
      </c>
      <c r="K1510" s="42"/>
      <c r="L1510" s="44">
        <v>45293</v>
      </c>
      <c r="M1510" s="44">
        <v>45293</v>
      </c>
      <c r="N1510" s="42" t="s">
        <v>306</v>
      </c>
      <c r="O1510" s="42">
        <v>0</v>
      </c>
      <c r="P1510" s="42">
        <v>20009855</v>
      </c>
      <c r="Q1510" s="42" t="s">
        <v>4456</v>
      </c>
      <c r="R1510" s="45">
        <v>410</v>
      </c>
      <c r="S1510" s="42">
        <v>0</v>
      </c>
      <c r="T1510" s="47" t="s">
        <v>198</v>
      </c>
      <c r="U1510" s="48" t="s">
        <v>199</v>
      </c>
      <c r="V1510" s="38"/>
      <c r="W1510" s="48" t="s">
        <v>195</v>
      </c>
      <c r="X1510" s="38" t="s">
        <v>308</v>
      </c>
      <c r="Y1510" s="49" t="s">
        <v>309</v>
      </c>
      <c r="Z1510" s="50" t="s">
        <v>4457</v>
      </c>
      <c r="AA1510" s="38"/>
      <c r="AB1510" s="38"/>
      <c r="AC1510" s="38"/>
      <c r="AD1510" s="51">
        <v>146</v>
      </c>
      <c r="AE1510" s="51">
        <v>146</v>
      </c>
      <c r="AF1510" s="48" t="s">
        <v>203</v>
      </c>
      <c r="AG1510" s="38" t="s">
        <v>204</v>
      </c>
      <c r="AH1510" s="52"/>
      <c r="AI1510" s="38"/>
      <c r="AJ1510" s="38"/>
    </row>
    <row r="1511" spans="1:36" ht="16.2">
      <c r="A1511" s="53" t="s">
        <v>302</v>
      </c>
      <c r="B1511" s="53">
        <v>638554</v>
      </c>
      <c r="C1511" s="53" t="s">
        <v>1104</v>
      </c>
      <c r="D1511" s="53">
        <v>13207593</v>
      </c>
      <c r="E1511" s="54" t="s">
        <v>1105</v>
      </c>
      <c r="F1511" s="53" t="s">
        <v>1146</v>
      </c>
      <c r="G1511" s="53" t="s">
        <v>195</v>
      </c>
      <c r="H1511" s="53"/>
      <c r="I1511" s="53"/>
      <c r="J1511" s="53">
        <v>13207593</v>
      </c>
      <c r="K1511" s="53"/>
      <c r="L1511" s="55">
        <v>45293</v>
      </c>
      <c r="M1511" s="55">
        <v>45293</v>
      </c>
      <c r="N1511" s="53" t="s">
        <v>306</v>
      </c>
      <c r="O1511" s="53">
        <v>0</v>
      </c>
      <c r="P1511" s="53">
        <v>20009855</v>
      </c>
      <c r="Q1511" s="53" t="s">
        <v>4458</v>
      </c>
      <c r="R1511" s="45">
        <v>410</v>
      </c>
      <c r="S1511" s="53">
        <v>0</v>
      </c>
      <c r="T1511" s="47" t="s">
        <v>198</v>
      </c>
      <c r="U1511" s="48" t="s">
        <v>199</v>
      </c>
      <c r="V1511" s="38"/>
      <c r="W1511" s="48" t="s">
        <v>195</v>
      </c>
      <c r="X1511" s="38" t="s">
        <v>308</v>
      </c>
      <c r="Y1511" s="49" t="s">
        <v>309</v>
      </c>
      <c r="Z1511" s="50" t="s">
        <v>4459</v>
      </c>
      <c r="AA1511" s="38"/>
      <c r="AB1511" s="38"/>
      <c r="AC1511" s="38"/>
      <c r="AD1511" s="51">
        <v>146</v>
      </c>
      <c r="AE1511" s="51">
        <v>146</v>
      </c>
      <c r="AF1511" s="48" t="s">
        <v>203</v>
      </c>
      <c r="AG1511" s="38" t="s">
        <v>204</v>
      </c>
      <c r="AH1511" s="52"/>
      <c r="AI1511" s="38"/>
      <c r="AJ1511" s="38"/>
    </row>
    <row r="1512" spans="1:36" ht="16.2">
      <c r="A1512" s="42" t="s">
        <v>302</v>
      </c>
      <c r="B1512" s="42">
        <v>638554</v>
      </c>
      <c r="C1512" s="42" t="s">
        <v>1104</v>
      </c>
      <c r="D1512" s="42">
        <v>13207593</v>
      </c>
      <c r="E1512" s="43" t="s">
        <v>1105</v>
      </c>
      <c r="F1512" s="42" t="s">
        <v>4460</v>
      </c>
      <c r="G1512" s="42" t="s">
        <v>195</v>
      </c>
      <c r="H1512" s="42"/>
      <c r="I1512" s="42"/>
      <c r="J1512" s="42">
        <v>13207593</v>
      </c>
      <c r="K1512" s="42"/>
      <c r="L1512" s="44">
        <v>45293</v>
      </c>
      <c r="M1512" s="44">
        <v>45293</v>
      </c>
      <c r="N1512" s="42" t="s">
        <v>306</v>
      </c>
      <c r="O1512" s="42">
        <v>0</v>
      </c>
      <c r="P1512" s="42">
        <v>20009855</v>
      </c>
      <c r="Q1512" s="42" t="s">
        <v>4461</v>
      </c>
      <c r="R1512" s="45">
        <v>410</v>
      </c>
      <c r="S1512" s="42">
        <v>0</v>
      </c>
      <c r="T1512" s="47" t="s">
        <v>198</v>
      </c>
      <c r="U1512" s="48" t="s">
        <v>199</v>
      </c>
      <c r="V1512" s="38"/>
      <c r="W1512" s="48" t="s">
        <v>195</v>
      </c>
      <c r="X1512" s="38" t="s">
        <v>308</v>
      </c>
      <c r="Y1512" s="49" t="s">
        <v>309</v>
      </c>
      <c r="Z1512" s="50" t="s">
        <v>4462</v>
      </c>
      <c r="AA1512" s="38"/>
      <c r="AB1512" s="38"/>
      <c r="AC1512" s="38"/>
      <c r="AD1512" s="51">
        <v>146</v>
      </c>
      <c r="AE1512" s="51">
        <v>146</v>
      </c>
      <c r="AF1512" s="48" t="s">
        <v>203</v>
      </c>
      <c r="AG1512" s="38" t="s">
        <v>204</v>
      </c>
      <c r="AH1512" s="52"/>
      <c r="AI1512" s="38"/>
      <c r="AJ1512" s="38"/>
    </row>
    <row r="1513" spans="1:36" ht="16.2">
      <c r="A1513" s="53" t="s">
        <v>311</v>
      </c>
      <c r="B1513" s="53">
        <v>638563</v>
      </c>
      <c r="C1513" s="53" t="s">
        <v>1104</v>
      </c>
      <c r="D1513" s="53">
        <v>13207619</v>
      </c>
      <c r="E1513" s="54" t="s">
        <v>1105</v>
      </c>
      <c r="F1513" s="53" t="s">
        <v>1110</v>
      </c>
      <c r="G1513" s="53" t="s">
        <v>195</v>
      </c>
      <c r="H1513" s="53"/>
      <c r="I1513" s="53"/>
      <c r="J1513" s="53">
        <v>13207619</v>
      </c>
      <c r="K1513" s="53"/>
      <c r="L1513" s="55">
        <v>45293</v>
      </c>
      <c r="M1513" s="55">
        <v>45293</v>
      </c>
      <c r="N1513" s="53" t="s">
        <v>315</v>
      </c>
      <c r="O1513" s="53">
        <v>0</v>
      </c>
      <c r="P1513" s="53">
        <v>20009908</v>
      </c>
      <c r="Q1513" s="53" t="s">
        <v>4463</v>
      </c>
      <c r="R1513" s="45">
        <v>410</v>
      </c>
      <c r="S1513" s="53">
        <v>0</v>
      </c>
      <c r="T1513" s="47" t="s">
        <v>198</v>
      </c>
      <c r="U1513" s="48" t="s">
        <v>199</v>
      </c>
      <c r="V1513" s="38"/>
      <c r="W1513" s="48" t="s">
        <v>195</v>
      </c>
      <c r="X1513" s="38" t="s">
        <v>308</v>
      </c>
      <c r="Y1513" s="49" t="s">
        <v>309</v>
      </c>
      <c r="Z1513" s="50" t="s">
        <v>4464</v>
      </c>
      <c r="AA1513" s="38"/>
      <c r="AB1513" s="38"/>
      <c r="AC1513" s="38"/>
      <c r="AD1513" s="51">
        <v>57</v>
      </c>
      <c r="AE1513" s="51">
        <v>57</v>
      </c>
      <c r="AF1513" s="48" t="s">
        <v>203</v>
      </c>
      <c r="AG1513" s="38" t="s">
        <v>204</v>
      </c>
      <c r="AH1513" s="52"/>
      <c r="AI1513" s="38"/>
      <c r="AJ1513" s="38"/>
    </row>
    <row r="1514" spans="1:36" ht="16.2">
      <c r="A1514" s="42" t="s">
        <v>311</v>
      </c>
      <c r="B1514" s="42">
        <v>638563</v>
      </c>
      <c r="C1514" s="42" t="s">
        <v>1104</v>
      </c>
      <c r="D1514" s="42">
        <v>13207619</v>
      </c>
      <c r="E1514" s="43" t="s">
        <v>1105</v>
      </c>
      <c r="F1514" s="42" t="s">
        <v>1113</v>
      </c>
      <c r="G1514" s="42" t="s">
        <v>195</v>
      </c>
      <c r="H1514" s="42"/>
      <c r="I1514" s="42"/>
      <c r="J1514" s="42">
        <v>13207619</v>
      </c>
      <c r="K1514" s="42"/>
      <c r="L1514" s="44">
        <v>45293</v>
      </c>
      <c r="M1514" s="44">
        <v>45293</v>
      </c>
      <c r="N1514" s="42" t="s">
        <v>315</v>
      </c>
      <c r="O1514" s="42">
        <v>0</v>
      </c>
      <c r="P1514" s="42">
        <v>20009908</v>
      </c>
      <c r="Q1514" s="42" t="s">
        <v>4465</v>
      </c>
      <c r="R1514" s="45">
        <v>410</v>
      </c>
      <c r="S1514" s="42">
        <v>0</v>
      </c>
      <c r="T1514" s="47" t="s">
        <v>198</v>
      </c>
      <c r="U1514" s="48" t="s">
        <v>199</v>
      </c>
      <c r="V1514" s="38"/>
      <c r="W1514" s="48" t="s">
        <v>195</v>
      </c>
      <c r="X1514" s="38" t="s">
        <v>308</v>
      </c>
      <c r="Y1514" s="49" t="s">
        <v>309</v>
      </c>
      <c r="Z1514" s="50" t="s">
        <v>4466</v>
      </c>
      <c r="AA1514" s="38"/>
      <c r="AB1514" s="38"/>
      <c r="AC1514" s="38"/>
      <c r="AD1514" s="51">
        <v>57</v>
      </c>
      <c r="AE1514" s="51">
        <v>57</v>
      </c>
      <c r="AF1514" s="48" t="s">
        <v>203</v>
      </c>
      <c r="AG1514" s="38" t="s">
        <v>204</v>
      </c>
      <c r="AH1514" s="52"/>
      <c r="AI1514" s="38"/>
      <c r="AJ1514" s="38"/>
    </row>
    <row r="1515" spans="1:36" ht="16.2">
      <c r="A1515" s="53" t="s">
        <v>311</v>
      </c>
      <c r="B1515" s="53">
        <v>638563</v>
      </c>
      <c r="C1515" s="53" t="s">
        <v>1104</v>
      </c>
      <c r="D1515" s="53">
        <v>13207619</v>
      </c>
      <c r="E1515" s="54" t="s">
        <v>1105</v>
      </c>
      <c r="F1515" s="53" t="s">
        <v>1116</v>
      </c>
      <c r="G1515" s="53" t="s">
        <v>195</v>
      </c>
      <c r="H1515" s="53"/>
      <c r="I1515" s="53"/>
      <c r="J1515" s="53">
        <v>13207619</v>
      </c>
      <c r="K1515" s="53"/>
      <c r="L1515" s="55">
        <v>45293</v>
      </c>
      <c r="M1515" s="55">
        <v>45293</v>
      </c>
      <c r="N1515" s="53" t="s">
        <v>315</v>
      </c>
      <c r="O1515" s="53">
        <v>0</v>
      </c>
      <c r="P1515" s="53">
        <v>20009908</v>
      </c>
      <c r="Q1515" s="53" t="s">
        <v>4467</v>
      </c>
      <c r="R1515" s="45">
        <v>410</v>
      </c>
      <c r="S1515" s="53">
        <v>0</v>
      </c>
      <c r="T1515" s="47" t="s">
        <v>198</v>
      </c>
      <c r="U1515" s="48" t="s">
        <v>199</v>
      </c>
      <c r="V1515" s="38"/>
      <c r="W1515" s="48" t="s">
        <v>195</v>
      </c>
      <c r="X1515" s="38" t="s">
        <v>308</v>
      </c>
      <c r="Y1515" s="49" t="s">
        <v>309</v>
      </c>
      <c r="Z1515" s="50" t="s">
        <v>4468</v>
      </c>
      <c r="AA1515" s="38"/>
      <c r="AB1515" s="38"/>
      <c r="AC1515" s="38"/>
      <c r="AD1515" s="51">
        <v>57</v>
      </c>
      <c r="AE1515" s="51">
        <v>57</v>
      </c>
      <c r="AF1515" s="48" t="s">
        <v>203</v>
      </c>
      <c r="AG1515" s="38" t="s">
        <v>204</v>
      </c>
      <c r="AH1515" s="52"/>
      <c r="AI1515" s="38"/>
      <c r="AJ1515" s="38"/>
    </row>
    <row r="1516" spans="1:36" ht="16.2">
      <c r="A1516" s="42" t="s">
        <v>311</v>
      </c>
      <c r="B1516" s="42">
        <v>638563</v>
      </c>
      <c r="C1516" s="42" t="s">
        <v>1104</v>
      </c>
      <c r="D1516" s="42">
        <v>13207619</v>
      </c>
      <c r="E1516" s="43" t="s">
        <v>1105</v>
      </c>
      <c r="F1516" s="42" t="s">
        <v>1119</v>
      </c>
      <c r="G1516" s="42" t="s">
        <v>195</v>
      </c>
      <c r="H1516" s="42"/>
      <c r="I1516" s="42"/>
      <c r="J1516" s="42">
        <v>13207619</v>
      </c>
      <c r="K1516" s="42"/>
      <c r="L1516" s="44">
        <v>45293</v>
      </c>
      <c r="M1516" s="44">
        <v>45293</v>
      </c>
      <c r="N1516" s="42" t="s">
        <v>315</v>
      </c>
      <c r="O1516" s="42">
        <v>0</v>
      </c>
      <c r="P1516" s="42">
        <v>20009908</v>
      </c>
      <c r="Q1516" s="42" t="s">
        <v>4469</v>
      </c>
      <c r="R1516" s="45">
        <v>410</v>
      </c>
      <c r="S1516" s="42">
        <v>0</v>
      </c>
      <c r="T1516" s="47" t="s">
        <v>198</v>
      </c>
      <c r="U1516" s="48" t="s">
        <v>199</v>
      </c>
      <c r="V1516" s="38"/>
      <c r="W1516" s="48" t="s">
        <v>195</v>
      </c>
      <c r="X1516" s="38" t="s">
        <v>308</v>
      </c>
      <c r="Y1516" s="49" t="s">
        <v>309</v>
      </c>
      <c r="Z1516" s="50" t="s">
        <v>4470</v>
      </c>
      <c r="AA1516" s="38"/>
      <c r="AB1516" s="38"/>
      <c r="AC1516" s="38"/>
      <c r="AD1516" s="51">
        <v>57</v>
      </c>
      <c r="AE1516" s="51">
        <v>57</v>
      </c>
      <c r="AF1516" s="48" t="s">
        <v>203</v>
      </c>
      <c r="AG1516" s="38" t="s">
        <v>204</v>
      </c>
      <c r="AH1516" s="52"/>
      <c r="AI1516" s="38"/>
      <c r="AJ1516" s="38"/>
    </row>
    <row r="1517" spans="1:36" ht="16.2">
      <c r="A1517" s="53" t="s">
        <v>311</v>
      </c>
      <c r="B1517" s="53">
        <v>638563</v>
      </c>
      <c r="C1517" s="53" t="s">
        <v>1104</v>
      </c>
      <c r="D1517" s="53">
        <v>13207619</v>
      </c>
      <c r="E1517" s="54" t="s">
        <v>1105</v>
      </c>
      <c r="F1517" s="53" t="s">
        <v>1064</v>
      </c>
      <c r="G1517" s="53" t="s">
        <v>195</v>
      </c>
      <c r="H1517" s="53"/>
      <c r="I1517" s="53"/>
      <c r="J1517" s="53">
        <v>13207619</v>
      </c>
      <c r="K1517" s="53"/>
      <c r="L1517" s="55">
        <v>45293</v>
      </c>
      <c r="M1517" s="55">
        <v>45293</v>
      </c>
      <c r="N1517" s="53" t="s">
        <v>315</v>
      </c>
      <c r="O1517" s="53">
        <v>0</v>
      </c>
      <c r="P1517" s="53">
        <v>20009908</v>
      </c>
      <c r="Q1517" s="53" t="s">
        <v>4471</v>
      </c>
      <c r="R1517" s="45">
        <v>410</v>
      </c>
      <c r="S1517" s="53">
        <v>0</v>
      </c>
      <c r="T1517" s="47" t="s">
        <v>198</v>
      </c>
      <c r="U1517" s="48" t="s">
        <v>199</v>
      </c>
      <c r="V1517" s="38"/>
      <c r="W1517" s="48" t="s">
        <v>195</v>
      </c>
      <c r="X1517" s="38" t="s">
        <v>308</v>
      </c>
      <c r="Y1517" s="49" t="s">
        <v>309</v>
      </c>
      <c r="Z1517" s="50" t="s">
        <v>4472</v>
      </c>
      <c r="AA1517" s="38"/>
      <c r="AB1517" s="38"/>
      <c r="AC1517" s="38"/>
      <c r="AD1517" s="51">
        <v>57</v>
      </c>
      <c r="AE1517" s="51">
        <v>57</v>
      </c>
      <c r="AF1517" s="48" t="s">
        <v>203</v>
      </c>
      <c r="AG1517" s="38" t="s">
        <v>204</v>
      </c>
      <c r="AH1517" s="52"/>
      <c r="AI1517" s="38"/>
      <c r="AJ1517" s="38"/>
    </row>
    <row r="1518" spans="1:36" ht="16.2">
      <c r="A1518" s="42" t="s">
        <v>311</v>
      </c>
      <c r="B1518" s="42">
        <v>638563</v>
      </c>
      <c r="C1518" s="42" t="s">
        <v>1104</v>
      </c>
      <c r="D1518" s="42">
        <v>13207619</v>
      </c>
      <c r="E1518" s="43" t="s">
        <v>1105</v>
      </c>
      <c r="F1518" s="42" t="s">
        <v>1124</v>
      </c>
      <c r="G1518" s="42" t="s">
        <v>195</v>
      </c>
      <c r="H1518" s="42"/>
      <c r="I1518" s="42"/>
      <c r="J1518" s="42">
        <v>13207619</v>
      </c>
      <c r="K1518" s="42"/>
      <c r="L1518" s="44">
        <v>45293</v>
      </c>
      <c r="M1518" s="44">
        <v>45293</v>
      </c>
      <c r="N1518" s="42" t="s">
        <v>315</v>
      </c>
      <c r="O1518" s="42">
        <v>0</v>
      </c>
      <c r="P1518" s="42">
        <v>20009908</v>
      </c>
      <c r="Q1518" s="42" t="s">
        <v>4473</v>
      </c>
      <c r="R1518" s="45">
        <v>410</v>
      </c>
      <c r="S1518" s="42">
        <v>0</v>
      </c>
      <c r="T1518" s="47" t="s">
        <v>198</v>
      </c>
      <c r="U1518" s="48" t="s">
        <v>199</v>
      </c>
      <c r="V1518" s="38"/>
      <c r="W1518" s="48" t="s">
        <v>195</v>
      </c>
      <c r="X1518" s="38" t="s">
        <v>308</v>
      </c>
      <c r="Y1518" s="49" t="s">
        <v>309</v>
      </c>
      <c r="Z1518" s="50" t="s">
        <v>4474</v>
      </c>
      <c r="AA1518" s="38"/>
      <c r="AB1518" s="38"/>
      <c r="AC1518" s="38"/>
      <c r="AD1518" s="51">
        <v>57</v>
      </c>
      <c r="AE1518" s="51">
        <v>57</v>
      </c>
      <c r="AF1518" s="48" t="s">
        <v>203</v>
      </c>
      <c r="AG1518" s="38" t="s">
        <v>204</v>
      </c>
      <c r="AH1518" s="52"/>
      <c r="AI1518" s="38"/>
      <c r="AJ1518" s="38"/>
    </row>
    <row r="1519" spans="1:36" ht="16.2">
      <c r="A1519" s="53" t="s">
        <v>311</v>
      </c>
      <c r="B1519" s="53">
        <v>638563</v>
      </c>
      <c r="C1519" s="53" t="s">
        <v>1104</v>
      </c>
      <c r="D1519" s="53">
        <v>13207619</v>
      </c>
      <c r="E1519" s="54" t="s">
        <v>1105</v>
      </c>
      <c r="F1519" s="53" t="s">
        <v>1127</v>
      </c>
      <c r="G1519" s="53" t="s">
        <v>195</v>
      </c>
      <c r="H1519" s="53"/>
      <c r="I1519" s="53"/>
      <c r="J1519" s="53">
        <v>13207619</v>
      </c>
      <c r="K1519" s="53"/>
      <c r="L1519" s="55">
        <v>45293</v>
      </c>
      <c r="M1519" s="55">
        <v>45293</v>
      </c>
      <c r="N1519" s="53" t="s">
        <v>315</v>
      </c>
      <c r="O1519" s="53">
        <v>0</v>
      </c>
      <c r="P1519" s="53">
        <v>20009908</v>
      </c>
      <c r="Q1519" s="53" t="s">
        <v>4475</v>
      </c>
      <c r="R1519" s="45">
        <v>410</v>
      </c>
      <c r="S1519" s="53">
        <v>0</v>
      </c>
      <c r="T1519" s="47" t="s">
        <v>198</v>
      </c>
      <c r="U1519" s="48" t="s">
        <v>199</v>
      </c>
      <c r="V1519" s="38"/>
      <c r="W1519" s="48" t="s">
        <v>195</v>
      </c>
      <c r="X1519" s="38" t="s">
        <v>308</v>
      </c>
      <c r="Y1519" s="49" t="s">
        <v>309</v>
      </c>
      <c r="Z1519" s="50" t="s">
        <v>4476</v>
      </c>
      <c r="AA1519" s="38"/>
      <c r="AB1519" s="38"/>
      <c r="AC1519" s="38"/>
      <c r="AD1519" s="51">
        <v>57</v>
      </c>
      <c r="AE1519" s="51">
        <v>57</v>
      </c>
      <c r="AF1519" s="48" t="s">
        <v>203</v>
      </c>
      <c r="AG1519" s="38" t="s">
        <v>204</v>
      </c>
      <c r="AH1519" s="52"/>
      <c r="AI1519" s="38"/>
      <c r="AJ1519" s="38"/>
    </row>
    <row r="1520" spans="1:36" ht="16.2">
      <c r="A1520" s="42" t="s">
        <v>311</v>
      </c>
      <c r="B1520" s="42">
        <v>638563</v>
      </c>
      <c r="C1520" s="42" t="s">
        <v>1104</v>
      </c>
      <c r="D1520" s="42">
        <v>13207619</v>
      </c>
      <c r="E1520" s="43" t="s">
        <v>1105</v>
      </c>
      <c r="F1520" s="42" t="s">
        <v>677</v>
      </c>
      <c r="G1520" s="42" t="s">
        <v>195</v>
      </c>
      <c r="H1520" s="42"/>
      <c r="I1520" s="42"/>
      <c r="J1520" s="42">
        <v>13207619</v>
      </c>
      <c r="K1520" s="42"/>
      <c r="L1520" s="44">
        <v>45293</v>
      </c>
      <c r="M1520" s="44">
        <v>45293</v>
      </c>
      <c r="N1520" s="42" t="s">
        <v>315</v>
      </c>
      <c r="O1520" s="42">
        <v>0</v>
      </c>
      <c r="P1520" s="42">
        <v>20009908</v>
      </c>
      <c r="Q1520" s="42" t="s">
        <v>4477</v>
      </c>
      <c r="R1520" s="45">
        <v>410</v>
      </c>
      <c r="S1520" s="42">
        <v>0</v>
      </c>
      <c r="T1520" s="47" t="s">
        <v>198</v>
      </c>
      <c r="U1520" s="48" t="s">
        <v>199</v>
      </c>
      <c r="V1520" s="38"/>
      <c r="W1520" s="48" t="s">
        <v>195</v>
      </c>
      <c r="X1520" s="38" t="s">
        <v>308</v>
      </c>
      <c r="Y1520" s="49" t="s">
        <v>309</v>
      </c>
      <c r="Z1520" s="50" t="s">
        <v>4478</v>
      </c>
      <c r="AA1520" s="38"/>
      <c r="AB1520" s="38"/>
      <c r="AC1520" s="38"/>
      <c r="AD1520" s="51">
        <v>57</v>
      </c>
      <c r="AE1520" s="51">
        <v>57</v>
      </c>
      <c r="AF1520" s="48" t="s">
        <v>203</v>
      </c>
      <c r="AG1520" s="38" t="s">
        <v>204</v>
      </c>
      <c r="AH1520" s="52"/>
      <c r="AI1520" s="38"/>
      <c r="AJ1520" s="38"/>
    </row>
    <row r="1521" spans="1:36" ht="16.2">
      <c r="A1521" s="53" t="s">
        <v>311</v>
      </c>
      <c r="B1521" s="53">
        <v>638563</v>
      </c>
      <c r="C1521" s="53" t="s">
        <v>1104</v>
      </c>
      <c r="D1521" s="53">
        <v>13207619</v>
      </c>
      <c r="E1521" s="54" t="s">
        <v>1105</v>
      </c>
      <c r="F1521" s="53" t="s">
        <v>1132</v>
      </c>
      <c r="G1521" s="53" t="s">
        <v>195</v>
      </c>
      <c r="H1521" s="53"/>
      <c r="I1521" s="53"/>
      <c r="J1521" s="53">
        <v>13207619</v>
      </c>
      <c r="K1521" s="53"/>
      <c r="L1521" s="55">
        <v>45293</v>
      </c>
      <c r="M1521" s="55">
        <v>45293</v>
      </c>
      <c r="N1521" s="53" t="s">
        <v>315</v>
      </c>
      <c r="O1521" s="53">
        <v>0</v>
      </c>
      <c r="P1521" s="53">
        <v>20009908</v>
      </c>
      <c r="Q1521" s="53" t="s">
        <v>4479</v>
      </c>
      <c r="R1521" s="45">
        <v>410</v>
      </c>
      <c r="S1521" s="53">
        <v>0</v>
      </c>
      <c r="T1521" s="47" t="s">
        <v>198</v>
      </c>
      <c r="U1521" s="48" t="s">
        <v>199</v>
      </c>
      <c r="V1521" s="38"/>
      <c r="W1521" s="48" t="s">
        <v>195</v>
      </c>
      <c r="X1521" s="38" t="s">
        <v>308</v>
      </c>
      <c r="Y1521" s="49" t="s">
        <v>309</v>
      </c>
      <c r="Z1521" s="50" t="s">
        <v>4480</v>
      </c>
      <c r="AA1521" s="38"/>
      <c r="AB1521" s="38"/>
      <c r="AC1521" s="38"/>
      <c r="AD1521" s="51">
        <v>57</v>
      </c>
      <c r="AE1521" s="51">
        <v>57</v>
      </c>
      <c r="AF1521" s="48" t="s">
        <v>203</v>
      </c>
      <c r="AG1521" s="38" t="s">
        <v>204</v>
      </c>
      <c r="AH1521" s="52"/>
      <c r="AI1521" s="38"/>
      <c r="AJ1521" s="38"/>
    </row>
    <row r="1522" spans="1:36" ht="16.2">
      <c r="A1522" s="42" t="s">
        <v>311</v>
      </c>
      <c r="B1522" s="42">
        <v>638563</v>
      </c>
      <c r="C1522" s="42" t="s">
        <v>1104</v>
      </c>
      <c r="D1522" s="42">
        <v>13207619</v>
      </c>
      <c r="E1522" s="43" t="s">
        <v>1105</v>
      </c>
      <c r="F1522" s="42" t="s">
        <v>1135</v>
      </c>
      <c r="G1522" s="42" t="s">
        <v>195</v>
      </c>
      <c r="H1522" s="42"/>
      <c r="I1522" s="42"/>
      <c r="J1522" s="42">
        <v>13207619</v>
      </c>
      <c r="K1522" s="42"/>
      <c r="L1522" s="44">
        <v>45293</v>
      </c>
      <c r="M1522" s="44">
        <v>45293</v>
      </c>
      <c r="N1522" s="42" t="s">
        <v>315</v>
      </c>
      <c r="O1522" s="42">
        <v>0</v>
      </c>
      <c r="P1522" s="42">
        <v>20009908</v>
      </c>
      <c r="Q1522" s="42" t="s">
        <v>4481</v>
      </c>
      <c r="R1522" s="45">
        <v>410</v>
      </c>
      <c r="S1522" s="42">
        <v>0</v>
      </c>
      <c r="T1522" s="47" t="s">
        <v>198</v>
      </c>
      <c r="U1522" s="48" t="s">
        <v>199</v>
      </c>
      <c r="V1522" s="38"/>
      <c r="W1522" s="48" t="s">
        <v>195</v>
      </c>
      <c r="X1522" s="38" t="s">
        <v>308</v>
      </c>
      <c r="Y1522" s="49" t="s">
        <v>309</v>
      </c>
      <c r="Z1522" s="50" t="s">
        <v>4482</v>
      </c>
      <c r="AA1522" s="38"/>
      <c r="AB1522" s="38"/>
      <c r="AC1522" s="38"/>
      <c r="AD1522" s="51">
        <v>57</v>
      </c>
      <c r="AE1522" s="51">
        <v>57</v>
      </c>
      <c r="AF1522" s="48" t="s">
        <v>203</v>
      </c>
      <c r="AG1522" s="38" t="s">
        <v>204</v>
      </c>
      <c r="AH1522" s="52"/>
      <c r="AI1522" s="38"/>
      <c r="AJ1522" s="38"/>
    </row>
    <row r="1523" spans="1:36" ht="16.2">
      <c r="A1523" s="53" t="s">
        <v>311</v>
      </c>
      <c r="B1523" s="53">
        <v>638563</v>
      </c>
      <c r="C1523" s="53" t="s">
        <v>1104</v>
      </c>
      <c r="D1523" s="53">
        <v>13207619</v>
      </c>
      <c r="E1523" s="54" t="s">
        <v>1105</v>
      </c>
      <c r="F1523" s="53" t="s">
        <v>1138</v>
      </c>
      <c r="G1523" s="53" t="s">
        <v>195</v>
      </c>
      <c r="H1523" s="53"/>
      <c r="I1523" s="53"/>
      <c r="J1523" s="53">
        <v>13207619</v>
      </c>
      <c r="K1523" s="53"/>
      <c r="L1523" s="55">
        <v>45293</v>
      </c>
      <c r="M1523" s="55">
        <v>45293</v>
      </c>
      <c r="N1523" s="53" t="s">
        <v>315</v>
      </c>
      <c r="O1523" s="53">
        <v>0</v>
      </c>
      <c r="P1523" s="53">
        <v>20009908</v>
      </c>
      <c r="Q1523" s="53" t="s">
        <v>4483</v>
      </c>
      <c r="R1523" s="45">
        <v>410</v>
      </c>
      <c r="S1523" s="53">
        <v>0</v>
      </c>
      <c r="T1523" s="47" t="s">
        <v>198</v>
      </c>
      <c r="U1523" s="48" t="s">
        <v>199</v>
      </c>
      <c r="V1523" s="38"/>
      <c r="W1523" s="48" t="s">
        <v>195</v>
      </c>
      <c r="X1523" s="38" t="s">
        <v>308</v>
      </c>
      <c r="Y1523" s="49" t="s">
        <v>309</v>
      </c>
      <c r="Z1523" s="50" t="s">
        <v>4484</v>
      </c>
      <c r="AA1523" s="38"/>
      <c r="AB1523" s="38"/>
      <c r="AC1523" s="38"/>
      <c r="AD1523" s="51">
        <v>57</v>
      </c>
      <c r="AE1523" s="51">
        <v>57</v>
      </c>
      <c r="AF1523" s="48" t="s">
        <v>203</v>
      </c>
      <c r="AG1523" s="38" t="s">
        <v>204</v>
      </c>
      <c r="AH1523" s="52"/>
      <c r="AI1523" s="38"/>
      <c r="AJ1523" s="38"/>
    </row>
    <row r="1524" spans="1:36" ht="16.2">
      <c r="A1524" s="42" t="s">
        <v>311</v>
      </c>
      <c r="B1524" s="42">
        <v>638563</v>
      </c>
      <c r="C1524" s="42" t="s">
        <v>1104</v>
      </c>
      <c r="D1524" s="42">
        <v>13207619</v>
      </c>
      <c r="E1524" s="43" t="s">
        <v>1105</v>
      </c>
      <c r="F1524" s="42" t="s">
        <v>756</v>
      </c>
      <c r="G1524" s="42" t="s">
        <v>195</v>
      </c>
      <c r="H1524" s="42"/>
      <c r="I1524" s="42"/>
      <c r="J1524" s="42">
        <v>13207619</v>
      </c>
      <c r="K1524" s="42"/>
      <c r="L1524" s="44">
        <v>45293</v>
      </c>
      <c r="M1524" s="44">
        <v>45293</v>
      </c>
      <c r="N1524" s="42" t="s">
        <v>315</v>
      </c>
      <c r="O1524" s="42">
        <v>0</v>
      </c>
      <c r="P1524" s="42">
        <v>20009908</v>
      </c>
      <c r="Q1524" s="42" t="s">
        <v>4485</v>
      </c>
      <c r="R1524" s="45">
        <v>410</v>
      </c>
      <c r="S1524" s="42">
        <v>0</v>
      </c>
      <c r="T1524" s="47" t="s">
        <v>198</v>
      </c>
      <c r="U1524" s="48" t="s">
        <v>199</v>
      </c>
      <c r="V1524" s="38"/>
      <c r="W1524" s="48" t="s">
        <v>195</v>
      </c>
      <c r="X1524" s="38" t="s">
        <v>308</v>
      </c>
      <c r="Y1524" s="49" t="s">
        <v>309</v>
      </c>
      <c r="Z1524" s="50" t="s">
        <v>4486</v>
      </c>
      <c r="AA1524" s="38"/>
      <c r="AB1524" s="38"/>
      <c r="AC1524" s="38"/>
      <c r="AD1524" s="51">
        <v>57</v>
      </c>
      <c r="AE1524" s="51">
        <v>57</v>
      </c>
      <c r="AF1524" s="48" t="s">
        <v>203</v>
      </c>
      <c r="AG1524" s="38" t="s">
        <v>204</v>
      </c>
      <c r="AH1524" s="52"/>
      <c r="AI1524" s="38"/>
      <c r="AJ1524" s="38"/>
    </row>
    <row r="1525" spans="1:36" ht="16.2">
      <c r="A1525" s="53" t="s">
        <v>311</v>
      </c>
      <c r="B1525" s="53">
        <v>638563</v>
      </c>
      <c r="C1525" s="53" t="s">
        <v>1104</v>
      </c>
      <c r="D1525" s="53">
        <v>13207619</v>
      </c>
      <c r="E1525" s="54" t="s">
        <v>1105</v>
      </c>
      <c r="F1525" s="53" t="s">
        <v>1143</v>
      </c>
      <c r="G1525" s="53" t="s">
        <v>195</v>
      </c>
      <c r="H1525" s="53"/>
      <c r="I1525" s="53"/>
      <c r="J1525" s="53">
        <v>13207619</v>
      </c>
      <c r="K1525" s="53"/>
      <c r="L1525" s="55">
        <v>45293</v>
      </c>
      <c r="M1525" s="55">
        <v>45293</v>
      </c>
      <c r="N1525" s="53" t="s">
        <v>315</v>
      </c>
      <c r="O1525" s="53">
        <v>0</v>
      </c>
      <c r="P1525" s="53">
        <v>20009908</v>
      </c>
      <c r="Q1525" s="53" t="s">
        <v>4487</v>
      </c>
      <c r="R1525" s="45">
        <v>410</v>
      </c>
      <c r="S1525" s="53">
        <v>0</v>
      </c>
      <c r="T1525" s="47" t="s">
        <v>198</v>
      </c>
      <c r="U1525" s="48" t="s">
        <v>199</v>
      </c>
      <c r="V1525" s="38"/>
      <c r="W1525" s="48" t="s">
        <v>195</v>
      </c>
      <c r="X1525" s="38" t="s">
        <v>308</v>
      </c>
      <c r="Y1525" s="49" t="s">
        <v>309</v>
      </c>
      <c r="Z1525" s="50" t="s">
        <v>4488</v>
      </c>
      <c r="AA1525" s="38"/>
      <c r="AB1525" s="38"/>
      <c r="AC1525" s="38"/>
      <c r="AD1525" s="51">
        <v>57</v>
      </c>
      <c r="AE1525" s="51">
        <v>57</v>
      </c>
      <c r="AF1525" s="48" t="s">
        <v>203</v>
      </c>
      <c r="AG1525" s="38" t="s">
        <v>204</v>
      </c>
      <c r="AH1525" s="52"/>
      <c r="AI1525" s="38"/>
      <c r="AJ1525" s="38"/>
    </row>
    <row r="1526" spans="1:36" ht="16.2">
      <c r="A1526" s="42" t="s">
        <v>311</v>
      </c>
      <c r="B1526" s="42">
        <v>638563</v>
      </c>
      <c r="C1526" s="42" t="s">
        <v>1104</v>
      </c>
      <c r="D1526" s="42">
        <v>13207619</v>
      </c>
      <c r="E1526" s="43" t="s">
        <v>1105</v>
      </c>
      <c r="F1526" s="42" t="s">
        <v>1146</v>
      </c>
      <c r="G1526" s="42" t="s">
        <v>195</v>
      </c>
      <c r="H1526" s="42"/>
      <c r="I1526" s="42"/>
      <c r="J1526" s="42">
        <v>13207619</v>
      </c>
      <c r="K1526" s="42"/>
      <c r="L1526" s="44">
        <v>45293</v>
      </c>
      <c r="M1526" s="44">
        <v>45293</v>
      </c>
      <c r="N1526" s="42" t="s">
        <v>315</v>
      </c>
      <c r="O1526" s="42">
        <v>0</v>
      </c>
      <c r="P1526" s="42">
        <v>20009908</v>
      </c>
      <c r="Q1526" s="42" t="s">
        <v>4489</v>
      </c>
      <c r="R1526" s="45">
        <v>410</v>
      </c>
      <c r="S1526" s="42">
        <v>0</v>
      </c>
      <c r="T1526" s="47" t="s">
        <v>198</v>
      </c>
      <c r="U1526" s="48" t="s">
        <v>199</v>
      </c>
      <c r="V1526" s="38"/>
      <c r="W1526" s="48" t="s">
        <v>195</v>
      </c>
      <c r="X1526" s="38" t="s">
        <v>308</v>
      </c>
      <c r="Y1526" s="49" t="s">
        <v>309</v>
      </c>
      <c r="Z1526" s="50" t="s">
        <v>4490</v>
      </c>
      <c r="AA1526" s="38"/>
      <c r="AB1526" s="38"/>
      <c r="AC1526" s="38"/>
      <c r="AD1526" s="51">
        <v>57</v>
      </c>
      <c r="AE1526" s="51">
        <v>57</v>
      </c>
      <c r="AF1526" s="48" t="s">
        <v>203</v>
      </c>
      <c r="AG1526" s="38" t="s">
        <v>204</v>
      </c>
      <c r="AH1526" s="52"/>
      <c r="AI1526" s="38"/>
      <c r="AJ1526" s="38"/>
    </row>
    <row r="1527" spans="1:36" ht="16.2">
      <c r="A1527" s="53" t="s">
        <v>311</v>
      </c>
      <c r="B1527" s="53">
        <v>638563</v>
      </c>
      <c r="C1527" s="53" t="s">
        <v>1104</v>
      </c>
      <c r="D1527" s="53">
        <v>13207619</v>
      </c>
      <c r="E1527" s="54" t="s">
        <v>1105</v>
      </c>
      <c r="F1527" s="53" t="s">
        <v>4460</v>
      </c>
      <c r="G1527" s="53" t="s">
        <v>195</v>
      </c>
      <c r="H1527" s="53"/>
      <c r="I1527" s="53"/>
      <c r="J1527" s="53">
        <v>13207619</v>
      </c>
      <c r="K1527" s="53"/>
      <c r="L1527" s="55">
        <v>45293</v>
      </c>
      <c r="M1527" s="55">
        <v>45293</v>
      </c>
      <c r="N1527" s="53" t="s">
        <v>315</v>
      </c>
      <c r="O1527" s="53">
        <v>0</v>
      </c>
      <c r="P1527" s="53">
        <v>20009908</v>
      </c>
      <c r="Q1527" s="53" t="s">
        <v>4491</v>
      </c>
      <c r="R1527" s="45">
        <v>410</v>
      </c>
      <c r="S1527" s="53">
        <v>0</v>
      </c>
      <c r="T1527" s="47" t="s">
        <v>198</v>
      </c>
      <c r="U1527" s="48" t="s">
        <v>199</v>
      </c>
      <c r="V1527" s="38"/>
      <c r="W1527" s="48" t="s">
        <v>195</v>
      </c>
      <c r="X1527" s="38" t="s">
        <v>308</v>
      </c>
      <c r="Y1527" s="49" t="s">
        <v>309</v>
      </c>
      <c r="Z1527" s="50" t="s">
        <v>4492</v>
      </c>
      <c r="AA1527" s="38"/>
      <c r="AB1527" s="38"/>
      <c r="AC1527" s="38"/>
      <c r="AD1527" s="51">
        <v>57</v>
      </c>
      <c r="AE1527" s="51">
        <v>57</v>
      </c>
      <c r="AF1527" s="48" t="s">
        <v>203</v>
      </c>
      <c r="AG1527" s="38" t="s">
        <v>204</v>
      </c>
      <c r="AH1527" s="52"/>
      <c r="AI1527" s="38"/>
      <c r="AJ1527" s="38"/>
    </row>
    <row r="1528" spans="1:36" ht="16.2">
      <c r="A1528" s="42" t="s">
        <v>340</v>
      </c>
      <c r="B1528" s="42">
        <v>51956101</v>
      </c>
      <c r="C1528" s="42" t="s">
        <v>3344</v>
      </c>
      <c r="D1528" s="42">
        <v>13207642</v>
      </c>
      <c r="E1528" s="43" t="s">
        <v>4493</v>
      </c>
      <c r="F1528" s="42" t="s">
        <v>4494</v>
      </c>
      <c r="G1528" s="42" t="s">
        <v>195</v>
      </c>
      <c r="H1528" s="42"/>
      <c r="I1528" s="42"/>
      <c r="J1528" s="42"/>
      <c r="K1528" s="42"/>
      <c r="L1528" s="44">
        <v>45293</v>
      </c>
      <c r="M1528" s="44">
        <v>45293</v>
      </c>
      <c r="N1528" s="42" t="s">
        <v>4495</v>
      </c>
      <c r="O1528" s="42">
        <v>0</v>
      </c>
      <c r="P1528" s="42"/>
      <c r="Q1528" s="42" t="s">
        <v>4496</v>
      </c>
      <c r="R1528" s="45">
        <v>410</v>
      </c>
      <c r="S1528" s="42">
        <v>0</v>
      </c>
      <c r="T1528" s="47" t="s">
        <v>1792</v>
      </c>
      <c r="U1528" s="48" t="s">
        <v>199</v>
      </c>
      <c r="V1528" s="38"/>
      <c r="W1528" s="38"/>
      <c r="X1528" s="38" t="s">
        <v>308</v>
      </c>
      <c r="Y1528" s="49" t="s">
        <v>309</v>
      </c>
      <c r="Z1528" s="50" t="s">
        <v>4497</v>
      </c>
      <c r="AA1528" s="38"/>
      <c r="AB1528" s="38"/>
      <c r="AC1528" s="38"/>
      <c r="AD1528" s="51">
        <v>5</v>
      </c>
      <c r="AE1528" s="51">
        <v>5</v>
      </c>
      <c r="AF1528" s="48" t="s">
        <v>203</v>
      </c>
      <c r="AG1528" s="38" t="s">
        <v>204</v>
      </c>
      <c r="AH1528" s="52"/>
      <c r="AI1528" s="38"/>
      <c r="AJ1528" s="38"/>
    </row>
    <row r="1529" spans="1:36" ht="16.2">
      <c r="A1529" s="53" t="s">
        <v>340</v>
      </c>
      <c r="B1529" s="53">
        <v>51956101</v>
      </c>
      <c r="C1529" s="53" t="s">
        <v>3344</v>
      </c>
      <c r="D1529" s="53">
        <v>13207642</v>
      </c>
      <c r="E1529" s="54" t="s">
        <v>4493</v>
      </c>
      <c r="F1529" s="53" t="s">
        <v>4420</v>
      </c>
      <c r="G1529" s="42" t="s">
        <v>195</v>
      </c>
      <c r="H1529" s="53"/>
      <c r="I1529" s="53"/>
      <c r="J1529" s="53"/>
      <c r="K1529" s="53"/>
      <c r="L1529" s="55">
        <v>45293</v>
      </c>
      <c r="M1529" s="55">
        <v>45293</v>
      </c>
      <c r="N1529" s="53" t="s">
        <v>4495</v>
      </c>
      <c r="O1529" s="53">
        <v>0</v>
      </c>
      <c r="P1529" s="53"/>
      <c r="Q1529" s="53" t="s">
        <v>4498</v>
      </c>
      <c r="R1529" s="45">
        <v>410</v>
      </c>
      <c r="S1529" s="53">
        <v>0</v>
      </c>
      <c r="T1529" s="47" t="s">
        <v>1792</v>
      </c>
      <c r="U1529" s="48" t="s">
        <v>199</v>
      </c>
      <c r="V1529" s="38"/>
      <c r="W1529" s="38"/>
      <c r="X1529" s="38" t="s">
        <v>308</v>
      </c>
      <c r="Y1529" s="49" t="s">
        <v>309</v>
      </c>
      <c r="Z1529" s="50" t="s">
        <v>4499</v>
      </c>
      <c r="AA1529" s="38"/>
      <c r="AB1529" s="38"/>
      <c r="AC1529" s="38"/>
      <c r="AD1529" s="51">
        <v>5</v>
      </c>
      <c r="AE1529" s="51">
        <v>5</v>
      </c>
      <c r="AF1529" s="48" t="s">
        <v>203</v>
      </c>
      <c r="AG1529" s="38" t="s">
        <v>204</v>
      </c>
      <c r="AH1529" s="52"/>
      <c r="AI1529" s="38"/>
      <c r="AJ1529" s="38"/>
    </row>
    <row r="1530" spans="1:36" ht="16.2">
      <c r="A1530" s="42" t="s">
        <v>340</v>
      </c>
      <c r="B1530" s="42">
        <v>51956101</v>
      </c>
      <c r="C1530" s="42" t="s">
        <v>3344</v>
      </c>
      <c r="D1530" s="42">
        <v>13207642</v>
      </c>
      <c r="E1530" s="43" t="s">
        <v>4493</v>
      </c>
      <c r="F1530" s="42" t="s">
        <v>4423</v>
      </c>
      <c r="G1530" s="42" t="s">
        <v>195</v>
      </c>
      <c r="H1530" s="42"/>
      <c r="I1530" s="42"/>
      <c r="J1530" s="42"/>
      <c r="K1530" s="42"/>
      <c r="L1530" s="44">
        <v>45293</v>
      </c>
      <c r="M1530" s="44">
        <v>45293</v>
      </c>
      <c r="N1530" s="42" t="s">
        <v>4495</v>
      </c>
      <c r="O1530" s="42">
        <v>0</v>
      </c>
      <c r="P1530" s="42"/>
      <c r="Q1530" s="42" t="s">
        <v>4500</v>
      </c>
      <c r="R1530" s="45">
        <v>410</v>
      </c>
      <c r="S1530" s="42">
        <v>0</v>
      </c>
      <c r="T1530" s="47" t="s">
        <v>1792</v>
      </c>
      <c r="U1530" s="48" t="s">
        <v>199</v>
      </c>
      <c r="V1530" s="38"/>
      <c r="W1530" s="38"/>
      <c r="X1530" s="38" t="s">
        <v>308</v>
      </c>
      <c r="Y1530" s="49" t="s">
        <v>309</v>
      </c>
      <c r="Z1530" s="50" t="s">
        <v>4501</v>
      </c>
      <c r="AA1530" s="38"/>
      <c r="AB1530" s="38"/>
      <c r="AC1530" s="38"/>
      <c r="AD1530" s="51">
        <v>5</v>
      </c>
      <c r="AE1530" s="51">
        <v>5</v>
      </c>
      <c r="AF1530" s="48" t="s">
        <v>203</v>
      </c>
      <c r="AG1530" s="38" t="s">
        <v>204</v>
      </c>
      <c r="AH1530" s="52"/>
      <c r="AI1530" s="38"/>
      <c r="AJ1530" s="38"/>
    </row>
    <row r="1531" spans="1:36" ht="16.2">
      <c r="A1531" s="53" t="s">
        <v>340</v>
      </c>
      <c r="B1531" s="53">
        <v>51956101</v>
      </c>
      <c r="C1531" s="53" t="s">
        <v>3344</v>
      </c>
      <c r="D1531" s="53">
        <v>13207642</v>
      </c>
      <c r="E1531" s="54" t="s">
        <v>4493</v>
      </c>
      <c r="F1531" s="53" t="s">
        <v>4426</v>
      </c>
      <c r="G1531" s="42" t="s">
        <v>195</v>
      </c>
      <c r="H1531" s="53"/>
      <c r="I1531" s="53"/>
      <c r="J1531" s="53"/>
      <c r="K1531" s="53"/>
      <c r="L1531" s="55">
        <v>45293</v>
      </c>
      <c r="M1531" s="55">
        <v>45293</v>
      </c>
      <c r="N1531" s="53" t="s">
        <v>4495</v>
      </c>
      <c r="O1531" s="53">
        <v>0</v>
      </c>
      <c r="P1531" s="53"/>
      <c r="Q1531" s="53" t="s">
        <v>4502</v>
      </c>
      <c r="R1531" s="45">
        <v>410</v>
      </c>
      <c r="S1531" s="53">
        <v>0</v>
      </c>
      <c r="T1531" s="47" t="s">
        <v>1792</v>
      </c>
      <c r="U1531" s="48" t="s">
        <v>199</v>
      </c>
      <c r="V1531" s="38"/>
      <c r="W1531" s="38"/>
      <c r="X1531" s="38" t="s">
        <v>308</v>
      </c>
      <c r="Y1531" s="49" t="s">
        <v>309</v>
      </c>
      <c r="Z1531" s="50" t="s">
        <v>4503</v>
      </c>
      <c r="AA1531" s="38"/>
      <c r="AB1531" s="38"/>
      <c r="AC1531" s="38"/>
      <c r="AD1531" s="51">
        <v>5</v>
      </c>
      <c r="AE1531" s="51">
        <v>5</v>
      </c>
      <c r="AF1531" s="48" t="s">
        <v>203</v>
      </c>
      <c r="AG1531" s="38" t="s">
        <v>204</v>
      </c>
      <c r="AH1531" s="52"/>
      <c r="AI1531" s="38"/>
      <c r="AJ1531" s="38"/>
    </row>
    <row r="1532" spans="1:36" ht="16.2">
      <c r="A1532" s="42" t="s">
        <v>340</v>
      </c>
      <c r="B1532" s="42">
        <v>51956101</v>
      </c>
      <c r="C1532" s="42" t="s">
        <v>3344</v>
      </c>
      <c r="D1532" s="42">
        <v>13207642</v>
      </c>
      <c r="E1532" s="43" t="s">
        <v>4493</v>
      </c>
      <c r="F1532" s="42" t="s">
        <v>4429</v>
      </c>
      <c r="G1532" s="42" t="s">
        <v>195</v>
      </c>
      <c r="H1532" s="42"/>
      <c r="I1532" s="42"/>
      <c r="J1532" s="42"/>
      <c r="K1532" s="42"/>
      <c r="L1532" s="44">
        <v>45293</v>
      </c>
      <c r="M1532" s="44">
        <v>45293</v>
      </c>
      <c r="N1532" s="42" t="s">
        <v>4495</v>
      </c>
      <c r="O1532" s="42">
        <v>0</v>
      </c>
      <c r="P1532" s="42"/>
      <c r="Q1532" s="42" t="s">
        <v>4504</v>
      </c>
      <c r="R1532" s="45">
        <v>410</v>
      </c>
      <c r="S1532" s="42">
        <v>0</v>
      </c>
      <c r="T1532" s="47" t="s">
        <v>1792</v>
      </c>
      <c r="U1532" s="48" t="s">
        <v>199</v>
      </c>
      <c r="V1532" s="38"/>
      <c r="W1532" s="38"/>
      <c r="X1532" s="38" t="s">
        <v>308</v>
      </c>
      <c r="Y1532" s="49" t="s">
        <v>309</v>
      </c>
      <c r="Z1532" s="50" t="s">
        <v>4505</v>
      </c>
      <c r="AA1532" s="38"/>
      <c r="AB1532" s="38"/>
      <c r="AC1532" s="38"/>
      <c r="AD1532" s="51">
        <v>5</v>
      </c>
      <c r="AE1532" s="51">
        <v>5</v>
      </c>
      <c r="AF1532" s="48" t="s">
        <v>203</v>
      </c>
      <c r="AG1532" s="38" t="s">
        <v>204</v>
      </c>
      <c r="AH1532" s="52"/>
      <c r="AI1532" s="38"/>
      <c r="AJ1532" s="38"/>
    </row>
    <row r="1533" spans="1:36" ht="16.2">
      <c r="A1533" s="53" t="s">
        <v>324</v>
      </c>
      <c r="B1533" s="53">
        <v>70948605</v>
      </c>
      <c r="C1533" s="53" t="s">
        <v>4506</v>
      </c>
      <c r="D1533" s="53">
        <v>13207627</v>
      </c>
      <c r="E1533" s="54" t="s">
        <v>326</v>
      </c>
      <c r="F1533" s="53" t="s">
        <v>4507</v>
      </c>
      <c r="G1533" s="53" t="s">
        <v>195</v>
      </c>
      <c r="H1533" s="53"/>
      <c r="I1533" s="53"/>
      <c r="J1533" s="53">
        <v>13207627</v>
      </c>
      <c r="K1533" s="53"/>
      <c r="L1533" s="55">
        <v>45293</v>
      </c>
      <c r="M1533" s="55">
        <v>45293</v>
      </c>
      <c r="N1533" s="53" t="s">
        <v>328</v>
      </c>
      <c r="O1533" s="53">
        <v>0</v>
      </c>
      <c r="P1533" s="53">
        <v>94539966</v>
      </c>
      <c r="Q1533" s="53" t="s">
        <v>4508</v>
      </c>
      <c r="R1533" s="45">
        <v>410</v>
      </c>
      <c r="S1533" s="53">
        <v>0</v>
      </c>
      <c r="T1533" s="47" t="s">
        <v>198</v>
      </c>
      <c r="U1533" s="48" t="s">
        <v>199</v>
      </c>
      <c r="V1533" s="38"/>
      <c r="W1533" s="48" t="s">
        <v>195</v>
      </c>
      <c r="X1533" s="38" t="s">
        <v>308</v>
      </c>
      <c r="Y1533" s="49" t="s">
        <v>309</v>
      </c>
      <c r="Z1533" s="50" t="s">
        <v>4509</v>
      </c>
      <c r="AA1533" s="38"/>
      <c r="AB1533" s="38"/>
      <c r="AC1533" s="38"/>
      <c r="AD1533" s="51">
        <v>19</v>
      </c>
      <c r="AE1533" s="51">
        <v>19</v>
      </c>
      <c r="AF1533" s="48" t="s">
        <v>203</v>
      </c>
      <c r="AG1533" s="38" t="s">
        <v>204</v>
      </c>
      <c r="AH1533" s="52"/>
      <c r="AI1533" s="38"/>
      <c r="AJ1533" s="38"/>
    </row>
    <row r="1534" spans="1:36" ht="16.2">
      <c r="A1534" s="42" t="s">
        <v>1908</v>
      </c>
      <c r="B1534" s="42">
        <v>830081</v>
      </c>
      <c r="C1534" s="42" t="s">
        <v>4510</v>
      </c>
      <c r="D1534" s="42">
        <v>13207685</v>
      </c>
      <c r="E1534" s="43" t="s">
        <v>4511</v>
      </c>
      <c r="F1534" s="42" t="s">
        <v>4512</v>
      </c>
      <c r="G1534" s="42" t="s">
        <v>195</v>
      </c>
      <c r="H1534" s="42"/>
      <c r="I1534" s="42"/>
      <c r="J1534" s="42">
        <v>13207685</v>
      </c>
      <c r="K1534" s="42"/>
      <c r="L1534" s="44">
        <v>45293</v>
      </c>
      <c r="M1534" s="44">
        <v>45293</v>
      </c>
      <c r="N1534" s="42" t="s">
        <v>823</v>
      </c>
      <c r="O1534" s="42">
        <v>0</v>
      </c>
      <c r="P1534" s="42">
        <v>20065447</v>
      </c>
      <c r="Q1534" s="42" t="s">
        <v>4513</v>
      </c>
      <c r="R1534" s="45">
        <v>410</v>
      </c>
      <c r="S1534" s="42">
        <v>0</v>
      </c>
      <c r="T1534" s="47" t="s">
        <v>198</v>
      </c>
      <c r="U1534" s="48" t="s">
        <v>199</v>
      </c>
      <c r="V1534" s="38"/>
      <c r="W1534" s="48" t="s">
        <v>195</v>
      </c>
      <c r="X1534" s="38" t="s">
        <v>426</v>
      </c>
      <c r="Y1534" s="49" t="s">
        <v>427</v>
      </c>
      <c r="Z1534" s="50" t="s">
        <v>4514</v>
      </c>
      <c r="AA1534" s="38"/>
      <c r="AB1534" s="38"/>
      <c r="AC1534" s="38"/>
      <c r="AD1534" s="51">
        <v>62</v>
      </c>
      <c r="AE1534" s="51">
        <v>62</v>
      </c>
      <c r="AF1534" s="48" t="s">
        <v>203</v>
      </c>
      <c r="AG1534" s="38" t="s">
        <v>204</v>
      </c>
      <c r="AH1534" s="52"/>
      <c r="AI1534" s="38"/>
      <c r="AJ1534" s="38"/>
    </row>
    <row r="1535" spans="1:36" ht="16.2">
      <c r="A1535" s="53" t="s">
        <v>1908</v>
      </c>
      <c r="B1535" s="53">
        <v>830081</v>
      </c>
      <c r="C1535" s="53" t="s">
        <v>4510</v>
      </c>
      <c r="D1535" s="53">
        <v>13207685</v>
      </c>
      <c r="E1535" s="54" t="s">
        <v>4511</v>
      </c>
      <c r="F1535" s="53" t="s">
        <v>4515</v>
      </c>
      <c r="G1535" s="53" t="s">
        <v>195</v>
      </c>
      <c r="H1535" s="53"/>
      <c r="I1535" s="53"/>
      <c r="J1535" s="53">
        <v>13207685</v>
      </c>
      <c r="K1535" s="53"/>
      <c r="L1535" s="55">
        <v>45293</v>
      </c>
      <c r="M1535" s="55">
        <v>45293</v>
      </c>
      <c r="N1535" s="53" t="s">
        <v>823</v>
      </c>
      <c r="O1535" s="53">
        <v>0</v>
      </c>
      <c r="P1535" s="53">
        <v>20065447</v>
      </c>
      <c r="Q1535" s="53" t="s">
        <v>4516</v>
      </c>
      <c r="R1535" s="45">
        <v>410</v>
      </c>
      <c r="S1535" s="53">
        <v>0</v>
      </c>
      <c r="T1535" s="47" t="s">
        <v>198</v>
      </c>
      <c r="U1535" s="48" t="s">
        <v>199</v>
      </c>
      <c r="V1535" s="38"/>
      <c r="W1535" s="48" t="s">
        <v>195</v>
      </c>
      <c r="X1535" s="38" t="s">
        <v>426</v>
      </c>
      <c r="Y1535" s="49" t="s">
        <v>427</v>
      </c>
      <c r="Z1535" s="50" t="s">
        <v>4517</v>
      </c>
      <c r="AA1535" s="38"/>
      <c r="AB1535" s="38"/>
      <c r="AC1535" s="38"/>
      <c r="AD1535" s="51">
        <v>62</v>
      </c>
      <c r="AE1535" s="51">
        <v>62</v>
      </c>
      <c r="AF1535" s="48" t="s">
        <v>203</v>
      </c>
      <c r="AG1535" s="38" t="s">
        <v>204</v>
      </c>
      <c r="AH1535" s="52"/>
      <c r="AI1535" s="38"/>
      <c r="AJ1535" s="38"/>
    </row>
    <row r="1536" spans="1:36" ht="16.2">
      <c r="A1536" s="42" t="s">
        <v>1908</v>
      </c>
      <c r="B1536" s="42">
        <v>830081</v>
      </c>
      <c r="C1536" s="42" t="s">
        <v>4510</v>
      </c>
      <c r="D1536" s="42">
        <v>13207685</v>
      </c>
      <c r="E1536" s="43" t="s">
        <v>4511</v>
      </c>
      <c r="F1536" s="42" t="s">
        <v>4518</v>
      </c>
      <c r="G1536" s="42" t="s">
        <v>195</v>
      </c>
      <c r="H1536" s="42"/>
      <c r="I1536" s="42"/>
      <c r="J1536" s="42">
        <v>13207685</v>
      </c>
      <c r="K1536" s="42"/>
      <c r="L1536" s="44">
        <v>45293</v>
      </c>
      <c r="M1536" s="44">
        <v>45293</v>
      </c>
      <c r="N1536" s="42" t="s">
        <v>823</v>
      </c>
      <c r="O1536" s="42">
        <v>0</v>
      </c>
      <c r="P1536" s="42">
        <v>20065447</v>
      </c>
      <c r="Q1536" s="42" t="s">
        <v>4519</v>
      </c>
      <c r="R1536" s="45">
        <v>410</v>
      </c>
      <c r="S1536" s="42">
        <v>0</v>
      </c>
      <c r="T1536" s="47" t="s">
        <v>198</v>
      </c>
      <c r="U1536" s="48" t="s">
        <v>199</v>
      </c>
      <c r="V1536" s="38"/>
      <c r="W1536" s="48" t="s">
        <v>195</v>
      </c>
      <c r="X1536" s="38" t="s">
        <v>426</v>
      </c>
      <c r="Y1536" s="49" t="s">
        <v>427</v>
      </c>
      <c r="Z1536" s="50" t="s">
        <v>4520</v>
      </c>
      <c r="AA1536" s="38"/>
      <c r="AB1536" s="38"/>
      <c r="AC1536" s="38"/>
      <c r="AD1536" s="51">
        <v>62</v>
      </c>
      <c r="AE1536" s="51">
        <v>62</v>
      </c>
      <c r="AF1536" s="48" t="s">
        <v>203</v>
      </c>
      <c r="AG1536" s="38" t="s">
        <v>204</v>
      </c>
      <c r="AH1536" s="52"/>
      <c r="AI1536" s="38"/>
      <c r="AJ1536" s="38"/>
    </row>
    <row r="1537" spans="1:36" ht="16.2">
      <c r="A1537" s="53" t="s">
        <v>1908</v>
      </c>
      <c r="B1537" s="53">
        <v>830081</v>
      </c>
      <c r="C1537" s="53" t="s">
        <v>4510</v>
      </c>
      <c r="D1537" s="53">
        <v>13207685</v>
      </c>
      <c r="E1537" s="54" t="s">
        <v>4511</v>
      </c>
      <c r="F1537" s="53" t="s">
        <v>4521</v>
      </c>
      <c r="G1537" s="53" t="s">
        <v>195</v>
      </c>
      <c r="H1537" s="53"/>
      <c r="I1537" s="53"/>
      <c r="J1537" s="53">
        <v>13207685</v>
      </c>
      <c r="K1537" s="53"/>
      <c r="L1537" s="55">
        <v>45293</v>
      </c>
      <c r="M1537" s="55">
        <v>45293</v>
      </c>
      <c r="N1537" s="53" t="s">
        <v>823</v>
      </c>
      <c r="O1537" s="53">
        <v>0</v>
      </c>
      <c r="P1537" s="53">
        <v>20065447</v>
      </c>
      <c r="Q1537" s="53" t="s">
        <v>4522</v>
      </c>
      <c r="R1537" s="45">
        <v>410</v>
      </c>
      <c r="S1537" s="53">
        <v>0</v>
      </c>
      <c r="T1537" s="47" t="s">
        <v>198</v>
      </c>
      <c r="U1537" s="48" t="s">
        <v>199</v>
      </c>
      <c r="V1537" s="38"/>
      <c r="W1537" s="48" t="s">
        <v>195</v>
      </c>
      <c r="X1537" s="38" t="s">
        <v>426</v>
      </c>
      <c r="Y1537" s="49" t="s">
        <v>427</v>
      </c>
      <c r="Z1537" s="50" t="s">
        <v>4523</v>
      </c>
      <c r="AA1537" s="38"/>
      <c r="AB1537" s="38"/>
      <c r="AC1537" s="38"/>
      <c r="AD1537" s="51">
        <v>62</v>
      </c>
      <c r="AE1537" s="51">
        <v>62</v>
      </c>
      <c r="AF1537" s="48" t="s">
        <v>203</v>
      </c>
      <c r="AG1537" s="38" t="s">
        <v>204</v>
      </c>
      <c r="AH1537" s="52"/>
      <c r="AI1537" s="38"/>
      <c r="AJ1537" s="38"/>
    </row>
    <row r="1538" spans="1:36" ht="16.2">
      <c r="A1538" s="42" t="s">
        <v>1908</v>
      </c>
      <c r="B1538" s="42">
        <v>830081</v>
      </c>
      <c r="C1538" s="42" t="s">
        <v>4510</v>
      </c>
      <c r="D1538" s="42">
        <v>13207685</v>
      </c>
      <c r="E1538" s="43" t="s">
        <v>4511</v>
      </c>
      <c r="F1538" s="42" t="s">
        <v>4524</v>
      </c>
      <c r="G1538" s="42" t="s">
        <v>195</v>
      </c>
      <c r="H1538" s="42"/>
      <c r="I1538" s="42"/>
      <c r="J1538" s="42">
        <v>13207685</v>
      </c>
      <c r="K1538" s="42"/>
      <c r="L1538" s="44">
        <v>45293</v>
      </c>
      <c r="M1538" s="44">
        <v>45293</v>
      </c>
      <c r="N1538" s="42" t="s">
        <v>823</v>
      </c>
      <c r="O1538" s="42">
        <v>0</v>
      </c>
      <c r="P1538" s="42">
        <v>20065447</v>
      </c>
      <c r="Q1538" s="42" t="s">
        <v>4525</v>
      </c>
      <c r="R1538" s="45">
        <v>410</v>
      </c>
      <c r="S1538" s="42">
        <v>0</v>
      </c>
      <c r="T1538" s="47" t="s">
        <v>198</v>
      </c>
      <c r="U1538" s="48" t="s">
        <v>199</v>
      </c>
      <c r="V1538" s="38"/>
      <c r="W1538" s="48" t="s">
        <v>195</v>
      </c>
      <c r="X1538" s="38" t="s">
        <v>426</v>
      </c>
      <c r="Y1538" s="49" t="s">
        <v>427</v>
      </c>
      <c r="Z1538" s="50" t="s">
        <v>4526</v>
      </c>
      <c r="AA1538" s="38"/>
      <c r="AB1538" s="38"/>
      <c r="AC1538" s="38"/>
      <c r="AD1538" s="51">
        <v>62</v>
      </c>
      <c r="AE1538" s="51">
        <v>62</v>
      </c>
      <c r="AF1538" s="48" t="s">
        <v>203</v>
      </c>
      <c r="AG1538" s="38" t="s">
        <v>204</v>
      </c>
      <c r="AH1538" s="52"/>
      <c r="AI1538" s="38"/>
      <c r="AJ1538" s="38"/>
    </row>
    <row r="1539" spans="1:36" ht="16.2">
      <c r="A1539" s="42" t="s">
        <v>302</v>
      </c>
      <c r="B1539" s="42">
        <v>659354</v>
      </c>
      <c r="C1539" s="42" t="s">
        <v>653</v>
      </c>
      <c r="D1539" s="42">
        <v>13214293</v>
      </c>
      <c r="E1539" s="43" t="s">
        <v>654</v>
      </c>
      <c r="F1539" s="42" t="s">
        <v>655</v>
      </c>
      <c r="G1539" s="42" t="s">
        <v>195</v>
      </c>
      <c r="H1539" s="42"/>
      <c r="I1539" s="42"/>
      <c r="J1539" s="42">
        <v>13214293</v>
      </c>
      <c r="K1539" s="42"/>
      <c r="L1539" s="44">
        <v>45299</v>
      </c>
      <c r="M1539" s="44">
        <v>45299</v>
      </c>
      <c r="N1539" s="42" t="s">
        <v>656</v>
      </c>
      <c r="O1539" s="42">
        <v>0</v>
      </c>
      <c r="P1539" s="42">
        <v>20015139</v>
      </c>
      <c r="Q1539" s="42"/>
      <c r="R1539" s="45">
        <v>410</v>
      </c>
      <c r="S1539" s="42">
        <v>0</v>
      </c>
      <c r="T1539" s="47" t="s">
        <v>198</v>
      </c>
      <c r="U1539" s="48" t="s">
        <v>199</v>
      </c>
      <c r="V1539" s="38"/>
      <c r="W1539" s="48" t="s">
        <v>195</v>
      </c>
      <c r="X1539" s="38" t="s">
        <v>308</v>
      </c>
      <c r="Y1539" s="49" t="s">
        <v>309</v>
      </c>
      <c r="Z1539" s="50" t="s">
        <v>4527</v>
      </c>
      <c r="AA1539" s="38"/>
      <c r="AB1539" s="38"/>
      <c r="AC1539" s="38"/>
      <c r="AD1539" s="51">
        <v>64</v>
      </c>
      <c r="AE1539" s="51">
        <v>64</v>
      </c>
      <c r="AF1539" s="48" t="s">
        <v>203</v>
      </c>
      <c r="AG1539" s="38" t="s">
        <v>204</v>
      </c>
      <c r="AH1539" s="52"/>
      <c r="AI1539" s="38"/>
      <c r="AJ1539" s="38"/>
    </row>
    <row r="1540" spans="1:36" ht="16.2">
      <c r="A1540" s="53" t="s">
        <v>302</v>
      </c>
      <c r="B1540" s="53">
        <v>659354</v>
      </c>
      <c r="C1540" s="53" t="s">
        <v>653</v>
      </c>
      <c r="D1540" s="53">
        <v>13214293</v>
      </c>
      <c r="E1540" s="54" t="s">
        <v>654</v>
      </c>
      <c r="F1540" s="53" t="s">
        <v>659</v>
      </c>
      <c r="G1540" s="53" t="s">
        <v>195</v>
      </c>
      <c r="H1540" s="53"/>
      <c r="I1540" s="53"/>
      <c r="J1540" s="53">
        <v>13214293</v>
      </c>
      <c r="K1540" s="53"/>
      <c r="L1540" s="44">
        <v>45299</v>
      </c>
      <c r="M1540" s="44">
        <v>45299</v>
      </c>
      <c r="N1540" s="53" t="s">
        <v>656</v>
      </c>
      <c r="O1540" s="53">
        <v>0</v>
      </c>
      <c r="P1540" s="53">
        <v>20015139</v>
      </c>
      <c r="Q1540" s="53"/>
      <c r="R1540" s="45">
        <v>410</v>
      </c>
      <c r="S1540" s="53">
        <v>0</v>
      </c>
      <c r="T1540" s="47" t="s">
        <v>198</v>
      </c>
      <c r="U1540" s="48" t="s">
        <v>199</v>
      </c>
      <c r="V1540" s="38"/>
      <c r="W1540" s="48" t="s">
        <v>195</v>
      </c>
      <c r="X1540" s="38" t="s">
        <v>308</v>
      </c>
      <c r="Y1540" s="49" t="s">
        <v>309</v>
      </c>
      <c r="Z1540" s="50" t="s">
        <v>4528</v>
      </c>
      <c r="AA1540" s="38"/>
      <c r="AB1540" s="38"/>
      <c r="AC1540" s="38"/>
      <c r="AD1540" s="51">
        <v>64</v>
      </c>
      <c r="AE1540" s="51">
        <v>64</v>
      </c>
      <c r="AF1540" s="48" t="s">
        <v>203</v>
      </c>
      <c r="AG1540" s="38" t="s">
        <v>204</v>
      </c>
      <c r="AH1540" s="52"/>
      <c r="AI1540" s="38"/>
      <c r="AJ1540" s="38"/>
    </row>
    <row r="1541" spans="1:36" ht="16.2">
      <c r="A1541" s="42" t="s">
        <v>302</v>
      </c>
      <c r="B1541" s="42">
        <v>659354</v>
      </c>
      <c r="C1541" s="42" t="s">
        <v>653</v>
      </c>
      <c r="D1541" s="42">
        <v>13214293</v>
      </c>
      <c r="E1541" s="43" t="s">
        <v>654</v>
      </c>
      <c r="F1541" s="42" t="s">
        <v>662</v>
      </c>
      <c r="G1541" s="42" t="s">
        <v>195</v>
      </c>
      <c r="H1541" s="42"/>
      <c r="I1541" s="42"/>
      <c r="J1541" s="42">
        <v>13214293</v>
      </c>
      <c r="K1541" s="42"/>
      <c r="L1541" s="44">
        <v>45299</v>
      </c>
      <c r="M1541" s="44">
        <v>45299</v>
      </c>
      <c r="N1541" s="42" t="s">
        <v>656</v>
      </c>
      <c r="O1541" s="42">
        <v>0</v>
      </c>
      <c r="P1541" s="42">
        <v>20015139</v>
      </c>
      <c r="Q1541" s="42"/>
      <c r="R1541" s="45">
        <v>410</v>
      </c>
      <c r="S1541" s="42">
        <v>0</v>
      </c>
      <c r="T1541" s="47" t="s">
        <v>198</v>
      </c>
      <c r="U1541" s="48" t="s">
        <v>199</v>
      </c>
      <c r="V1541" s="38"/>
      <c r="W1541" s="48" t="s">
        <v>195</v>
      </c>
      <c r="X1541" s="38" t="s">
        <v>308</v>
      </c>
      <c r="Y1541" s="49" t="s">
        <v>309</v>
      </c>
      <c r="Z1541" s="50" t="s">
        <v>4529</v>
      </c>
      <c r="AA1541" s="38"/>
      <c r="AB1541" s="38"/>
      <c r="AC1541" s="38"/>
      <c r="AD1541" s="51">
        <v>64</v>
      </c>
      <c r="AE1541" s="51">
        <v>64</v>
      </c>
      <c r="AF1541" s="48" t="s">
        <v>203</v>
      </c>
      <c r="AG1541" s="38" t="s">
        <v>204</v>
      </c>
      <c r="AH1541" s="52"/>
      <c r="AI1541" s="38"/>
      <c r="AJ1541" s="38"/>
    </row>
    <row r="1542" spans="1:36" ht="16.2">
      <c r="A1542" s="53" t="s">
        <v>302</v>
      </c>
      <c r="B1542" s="53">
        <v>659354</v>
      </c>
      <c r="C1542" s="53" t="s">
        <v>653</v>
      </c>
      <c r="D1542" s="53">
        <v>13214293</v>
      </c>
      <c r="E1542" s="54" t="s">
        <v>654</v>
      </c>
      <c r="F1542" s="53" t="s">
        <v>665</v>
      </c>
      <c r="G1542" s="53" t="s">
        <v>195</v>
      </c>
      <c r="H1542" s="53"/>
      <c r="I1542" s="53"/>
      <c r="J1542" s="53">
        <v>13214293</v>
      </c>
      <c r="K1542" s="53"/>
      <c r="L1542" s="44">
        <v>45299</v>
      </c>
      <c r="M1542" s="44">
        <v>45299</v>
      </c>
      <c r="N1542" s="53" t="s">
        <v>656</v>
      </c>
      <c r="O1542" s="53">
        <v>0</v>
      </c>
      <c r="P1542" s="53">
        <v>20015139</v>
      </c>
      <c r="Q1542" s="53"/>
      <c r="R1542" s="45">
        <v>410</v>
      </c>
      <c r="S1542" s="53">
        <v>0</v>
      </c>
      <c r="T1542" s="47" t="s">
        <v>198</v>
      </c>
      <c r="U1542" s="48" t="s">
        <v>199</v>
      </c>
      <c r="V1542" s="38"/>
      <c r="W1542" s="48" t="s">
        <v>195</v>
      </c>
      <c r="X1542" s="38" t="s">
        <v>308</v>
      </c>
      <c r="Y1542" s="49" t="s">
        <v>309</v>
      </c>
      <c r="Z1542" s="50" t="s">
        <v>4530</v>
      </c>
      <c r="AA1542" s="38"/>
      <c r="AB1542" s="38"/>
      <c r="AC1542" s="38"/>
      <c r="AD1542" s="51">
        <v>64</v>
      </c>
      <c r="AE1542" s="51">
        <v>64</v>
      </c>
      <c r="AF1542" s="48" t="s">
        <v>203</v>
      </c>
      <c r="AG1542" s="38" t="s">
        <v>204</v>
      </c>
      <c r="AH1542" s="52"/>
      <c r="AI1542" s="38"/>
      <c r="AJ1542" s="38"/>
    </row>
    <row r="1543" spans="1:36" ht="16.2">
      <c r="A1543" s="42" t="s">
        <v>302</v>
      </c>
      <c r="B1543" s="42">
        <v>659354</v>
      </c>
      <c r="C1543" s="42" t="s">
        <v>653</v>
      </c>
      <c r="D1543" s="42">
        <v>13214293</v>
      </c>
      <c r="E1543" s="43" t="s">
        <v>654</v>
      </c>
      <c r="F1543" s="42" t="s">
        <v>668</v>
      </c>
      <c r="G1543" s="42" t="s">
        <v>195</v>
      </c>
      <c r="H1543" s="42"/>
      <c r="I1543" s="42"/>
      <c r="J1543" s="42">
        <v>13214293</v>
      </c>
      <c r="K1543" s="42"/>
      <c r="L1543" s="44">
        <v>45299</v>
      </c>
      <c r="M1543" s="44">
        <v>45299</v>
      </c>
      <c r="N1543" s="42" t="s">
        <v>656</v>
      </c>
      <c r="O1543" s="42">
        <v>0</v>
      </c>
      <c r="P1543" s="42">
        <v>20015139</v>
      </c>
      <c r="Q1543" s="42"/>
      <c r="R1543" s="45">
        <v>410</v>
      </c>
      <c r="S1543" s="42">
        <v>0</v>
      </c>
      <c r="T1543" s="47" t="s">
        <v>198</v>
      </c>
      <c r="U1543" s="48" t="s">
        <v>199</v>
      </c>
      <c r="V1543" s="38"/>
      <c r="W1543" s="48" t="s">
        <v>195</v>
      </c>
      <c r="X1543" s="38" t="s">
        <v>308</v>
      </c>
      <c r="Y1543" s="49" t="s">
        <v>309</v>
      </c>
      <c r="Z1543" s="50" t="s">
        <v>4531</v>
      </c>
      <c r="AA1543" s="38"/>
      <c r="AB1543" s="38"/>
      <c r="AC1543" s="38"/>
      <c r="AD1543" s="51">
        <v>64</v>
      </c>
      <c r="AE1543" s="51">
        <v>64</v>
      </c>
      <c r="AF1543" s="48" t="s">
        <v>203</v>
      </c>
      <c r="AG1543" s="38" t="s">
        <v>204</v>
      </c>
      <c r="AH1543" s="52"/>
      <c r="AI1543" s="38"/>
      <c r="AJ1543" s="38"/>
    </row>
    <row r="1544" spans="1:36" ht="16.2">
      <c r="A1544" s="53" t="s">
        <v>302</v>
      </c>
      <c r="B1544" s="53">
        <v>659354</v>
      </c>
      <c r="C1544" s="53" t="s">
        <v>653</v>
      </c>
      <c r="D1544" s="53">
        <v>13214293</v>
      </c>
      <c r="E1544" s="54" t="s">
        <v>654</v>
      </c>
      <c r="F1544" s="53" t="s">
        <v>671</v>
      </c>
      <c r="G1544" s="53" t="s">
        <v>195</v>
      </c>
      <c r="H1544" s="53"/>
      <c r="I1544" s="53"/>
      <c r="J1544" s="53">
        <v>13214293</v>
      </c>
      <c r="K1544" s="53"/>
      <c r="L1544" s="44">
        <v>45299</v>
      </c>
      <c r="M1544" s="44">
        <v>45299</v>
      </c>
      <c r="N1544" s="53" t="s">
        <v>656</v>
      </c>
      <c r="O1544" s="53">
        <v>0</v>
      </c>
      <c r="P1544" s="53">
        <v>20015139</v>
      </c>
      <c r="Q1544" s="53"/>
      <c r="R1544" s="45">
        <v>410</v>
      </c>
      <c r="S1544" s="53">
        <v>0</v>
      </c>
      <c r="T1544" s="47" t="s">
        <v>198</v>
      </c>
      <c r="U1544" s="48" t="s">
        <v>199</v>
      </c>
      <c r="V1544" s="38"/>
      <c r="W1544" s="48" t="s">
        <v>195</v>
      </c>
      <c r="X1544" s="38" t="s">
        <v>308</v>
      </c>
      <c r="Y1544" s="49" t="s">
        <v>309</v>
      </c>
      <c r="Z1544" s="50" t="s">
        <v>4532</v>
      </c>
      <c r="AA1544" s="38"/>
      <c r="AB1544" s="38"/>
      <c r="AC1544" s="38"/>
      <c r="AD1544" s="51">
        <v>64</v>
      </c>
      <c r="AE1544" s="51">
        <v>64</v>
      </c>
      <c r="AF1544" s="48" t="s">
        <v>203</v>
      </c>
      <c r="AG1544" s="38" t="s">
        <v>204</v>
      </c>
      <c r="AH1544" s="52"/>
      <c r="AI1544" s="38"/>
      <c r="AJ1544" s="38"/>
    </row>
    <row r="1545" spans="1:36" ht="16.2">
      <c r="A1545" s="42" t="s">
        <v>302</v>
      </c>
      <c r="B1545" s="42">
        <v>659354</v>
      </c>
      <c r="C1545" s="42" t="s">
        <v>653</v>
      </c>
      <c r="D1545" s="42">
        <v>13214293</v>
      </c>
      <c r="E1545" s="43" t="s">
        <v>654</v>
      </c>
      <c r="F1545" s="42" t="s">
        <v>674</v>
      </c>
      <c r="G1545" s="42" t="s">
        <v>195</v>
      </c>
      <c r="H1545" s="42"/>
      <c r="I1545" s="42"/>
      <c r="J1545" s="42">
        <v>13214293</v>
      </c>
      <c r="K1545" s="42"/>
      <c r="L1545" s="44">
        <v>45299</v>
      </c>
      <c r="M1545" s="44">
        <v>45299</v>
      </c>
      <c r="N1545" s="42" t="s">
        <v>656</v>
      </c>
      <c r="O1545" s="42">
        <v>0</v>
      </c>
      <c r="P1545" s="42">
        <v>20015139</v>
      </c>
      <c r="Q1545" s="42"/>
      <c r="R1545" s="45">
        <v>410</v>
      </c>
      <c r="S1545" s="42">
        <v>0</v>
      </c>
      <c r="T1545" s="47" t="s">
        <v>198</v>
      </c>
      <c r="U1545" s="48" t="s">
        <v>199</v>
      </c>
      <c r="V1545" s="38"/>
      <c r="W1545" s="48" t="s">
        <v>195</v>
      </c>
      <c r="X1545" s="38" t="s">
        <v>308</v>
      </c>
      <c r="Y1545" s="49" t="s">
        <v>309</v>
      </c>
      <c r="Z1545" s="50" t="s">
        <v>4533</v>
      </c>
      <c r="AA1545" s="38"/>
      <c r="AB1545" s="38"/>
      <c r="AC1545" s="38"/>
      <c r="AD1545" s="51">
        <v>64</v>
      </c>
      <c r="AE1545" s="51">
        <v>64</v>
      </c>
      <c r="AF1545" s="48" t="s">
        <v>203</v>
      </c>
      <c r="AG1545" s="38" t="s">
        <v>204</v>
      </c>
      <c r="AH1545" s="52"/>
      <c r="AI1545" s="38"/>
      <c r="AJ1545" s="38"/>
    </row>
    <row r="1546" spans="1:36" ht="16.2">
      <c r="A1546" s="53" t="s">
        <v>302</v>
      </c>
      <c r="B1546" s="53">
        <v>659354</v>
      </c>
      <c r="C1546" s="53" t="s">
        <v>653</v>
      </c>
      <c r="D1546" s="53">
        <v>13214293</v>
      </c>
      <c r="E1546" s="54" t="s">
        <v>654</v>
      </c>
      <c r="F1546" s="53" t="s">
        <v>677</v>
      </c>
      <c r="G1546" s="53" t="s">
        <v>195</v>
      </c>
      <c r="H1546" s="53"/>
      <c r="I1546" s="53"/>
      <c r="J1546" s="53">
        <v>13214293</v>
      </c>
      <c r="K1546" s="53"/>
      <c r="L1546" s="44">
        <v>45299</v>
      </c>
      <c r="M1546" s="44">
        <v>45299</v>
      </c>
      <c r="N1546" s="53" t="s">
        <v>656</v>
      </c>
      <c r="O1546" s="53">
        <v>0</v>
      </c>
      <c r="P1546" s="53">
        <v>20015139</v>
      </c>
      <c r="Q1546" s="53"/>
      <c r="R1546" s="45">
        <v>410</v>
      </c>
      <c r="S1546" s="53">
        <v>0</v>
      </c>
      <c r="T1546" s="47" t="s">
        <v>198</v>
      </c>
      <c r="U1546" s="48" t="s">
        <v>199</v>
      </c>
      <c r="V1546" s="38"/>
      <c r="W1546" s="48" t="s">
        <v>195</v>
      </c>
      <c r="X1546" s="38" t="s">
        <v>308</v>
      </c>
      <c r="Y1546" s="49" t="s">
        <v>309</v>
      </c>
      <c r="Z1546" s="50" t="s">
        <v>4534</v>
      </c>
      <c r="AA1546" s="38"/>
      <c r="AB1546" s="38"/>
      <c r="AC1546" s="38"/>
      <c r="AD1546" s="51">
        <v>64</v>
      </c>
      <c r="AE1546" s="51">
        <v>64</v>
      </c>
      <c r="AF1546" s="48" t="s">
        <v>203</v>
      </c>
      <c r="AG1546" s="38" t="s">
        <v>204</v>
      </c>
      <c r="AH1546" s="52"/>
      <c r="AI1546" s="38"/>
      <c r="AJ1546" s="38"/>
    </row>
    <row r="1547" spans="1:36" ht="16.2">
      <c r="A1547" s="42" t="s">
        <v>302</v>
      </c>
      <c r="B1547" s="42">
        <v>659354</v>
      </c>
      <c r="C1547" s="42" t="s">
        <v>653</v>
      </c>
      <c r="D1547" s="42">
        <v>13214293</v>
      </c>
      <c r="E1547" s="43" t="s">
        <v>654</v>
      </c>
      <c r="F1547" s="42" t="s">
        <v>680</v>
      </c>
      <c r="G1547" s="42" t="s">
        <v>195</v>
      </c>
      <c r="H1547" s="42"/>
      <c r="I1547" s="42"/>
      <c r="J1547" s="42">
        <v>13214293</v>
      </c>
      <c r="K1547" s="42"/>
      <c r="L1547" s="44">
        <v>45299</v>
      </c>
      <c r="M1547" s="44">
        <v>45299</v>
      </c>
      <c r="N1547" s="42" t="s">
        <v>656</v>
      </c>
      <c r="O1547" s="42">
        <v>0</v>
      </c>
      <c r="P1547" s="42">
        <v>20015139</v>
      </c>
      <c r="Q1547" s="42"/>
      <c r="R1547" s="45">
        <v>410</v>
      </c>
      <c r="S1547" s="42">
        <v>0</v>
      </c>
      <c r="T1547" s="47" t="s">
        <v>198</v>
      </c>
      <c r="U1547" s="48" t="s">
        <v>199</v>
      </c>
      <c r="V1547" s="38"/>
      <c r="W1547" s="48" t="s">
        <v>195</v>
      </c>
      <c r="X1547" s="38" t="s">
        <v>308</v>
      </c>
      <c r="Y1547" s="49" t="s">
        <v>309</v>
      </c>
      <c r="Z1547" s="50" t="s">
        <v>4535</v>
      </c>
      <c r="AA1547" s="38"/>
      <c r="AB1547" s="38"/>
      <c r="AC1547" s="38"/>
      <c r="AD1547" s="51">
        <v>64</v>
      </c>
      <c r="AE1547" s="51">
        <v>64</v>
      </c>
      <c r="AF1547" s="48" t="s">
        <v>203</v>
      </c>
      <c r="AG1547" s="38" t="s">
        <v>204</v>
      </c>
      <c r="AH1547" s="52"/>
      <c r="AI1547" s="38"/>
      <c r="AJ1547" s="38"/>
    </row>
    <row r="1548" spans="1:36" ht="16.2">
      <c r="A1548" s="53" t="s">
        <v>302</v>
      </c>
      <c r="B1548" s="53">
        <v>659354</v>
      </c>
      <c r="C1548" s="53" t="s">
        <v>653</v>
      </c>
      <c r="D1548" s="53">
        <v>13214293</v>
      </c>
      <c r="E1548" s="54" t="s">
        <v>654</v>
      </c>
      <c r="F1548" s="53" t="s">
        <v>683</v>
      </c>
      <c r="G1548" s="53" t="s">
        <v>195</v>
      </c>
      <c r="H1548" s="53"/>
      <c r="I1548" s="53"/>
      <c r="J1548" s="53">
        <v>13214293</v>
      </c>
      <c r="K1548" s="53"/>
      <c r="L1548" s="44">
        <v>45299</v>
      </c>
      <c r="M1548" s="44">
        <v>45299</v>
      </c>
      <c r="N1548" s="53" t="s">
        <v>656</v>
      </c>
      <c r="O1548" s="53">
        <v>0</v>
      </c>
      <c r="P1548" s="53">
        <v>20015139</v>
      </c>
      <c r="Q1548" s="53"/>
      <c r="R1548" s="45">
        <v>410</v>
      </c>
      <c r="S1548" s="53">
        <v>0</v>
      </c>
      <c r="T1548" s="47" t="s">
        <v>198</v>
      </c>
      <c r="U1548" s="48" t="s">
        <v>199</v>
      </c>
      <c r="V1548" s="38"/>
      <c r="W1548" s="48" t="s">
        <v>195</v>
      </c>
      <c r="X1548" s="38" t="s">
        <v>308</v>
      </c>
      <c r="Y1548" s="49" t="s">
        <v>309</v>
      </c>
      <c r="Z1548" s="50" t="s">
        <v>4536</v>
      </c>
      <c r="AA1548" s="38"/>
      <c r="AB1548" s="38"/>
      <c r="AC1548" s="38"/>
      <c r="AD1548" s="51">
        <v>64</v>
      </c>
      <c r="AE1548" s="51">
        <v>64</v>
      </c>
      <c r="AF1548" s="48" t="s">
        <v>203</v>
      </c>
      <c r="AG1548" s="38" t="s">
        <v>204</v>
      </c>
      <c r="AH1548" s="52"/>
      <c r="AI1548" s="38"/>
      <c r="AJ1548" s="38"/>
    </row>
    <row r="1549" spans="1:36" ht="16.2">
      <c r="A1549" s="42" t="s">
        <v>302</v>
      </c>
      <c r="B1549" s="42">
        <v>659354</v>
      </c>
      <c r="C1549" s="42" t="s">
        <v>653</v>
      </c>
      <c r="D1549" s="42">
        <v>13214293</v>
      </c>
      <c r="E1549" s="43" t="s">
        <v>654</v>
      </c>
      <c r="F1549" s="42" t="s">
        <v>686</v>
      </c>
      <c r="G1549" s="42" t="s">
        <v>195</v>
      </c>
      <c r="H1549" s="42"/>
      <c r="I1549" s="42"/>
      <c r="J1549" s="42">
        <v>13214293</v>
      </c>
      <c r="K1549" s="42"/>
      <c r="L1549" s="44">
        <v>45299</v>
      </c>
      <c r="M1549" s="44">
        <v>45299</v>
      </c>
      <c r="N1549" s="42" t="s">
        <v>656</v>
      </c>
      <c r="O1549" s="42">
        <v>0</v>
      </c>
      <c r="P1549" s="42">
        <v>20015139</v>
      </c>
      <c r="Q1549" s="42"/>
      <c r="R1549" s="45">
        <v>410</v>
      </c>
      <c r="S1549" s="42">
        <v>0</v>
      </c>
      <c r="T1549" s="47" t="s">
        <v>198</v>
      </c>
      <c r="U1549" s="48" t="s">
        <v>199</v>
      </c>
      <c r="V1549" s="38"/>
      <c r="W1549" s="48" t="s">
        <v>195</v>
      </c>
      <c r="X1549" s="38" t="s">
        <v>308</v>
      </c>
      <c r="Y1549" s="49" t="s">
        <v>309</v>
      </c>
      <c r="Z1549" s="50" t="s">
        <v>4537</v>
      </c>
      <c r="AA1549" s="38"/>
      <c r="AB1549" s="38"/>
      <c r="AC1549" s="38"/>
      <c r="AD1549" s="51">
        <v>64</v>
      </c>
      <c r="AE1549" s="51">
        <v>64</v>
      </c>
      <c r="AF1549" s="48" t="s">
        <v>203</v>
      </c>
      <c r="AG1549" s="38" t="s">
        <v>204</v>
      </c>
      <c r="AH1549" s="52"/>
      <c r="AI1549" s="38"/>
      <c r="AJ1549" s="38"/>
    </row>
    <row r="1550" spans="1:36" ht="16.2">
      <c r="A1550" s="53" t="s">
        <v>302</v>
      </c>
      <c r="B1550" s="53">
        <v>659354</v>
      </c>
      <c r="C1550" s="53" t="s">
        <v>653</v>
      </c>
      <c r="D1550" s="53">
        <v>13214293</v>
      </c>
      <c r="E1550" s="54" t="s">
        <v>654</v>
      </c>
      <c r="F1550" s="53" t="s">
        <v>689</v>
      </c>
      <c r="G1550" s="53" t="s">
        <v>195</v>
      </c>
      <c r="H1550" s="53"/>
      <c r="I1550" s="53"/>
      <c r="J1550" s="53">
        <v>13214293</v>
      </c>
      <c r="K1550" s="53"/>
      <c r="L1550" s="44">
        <v>45299</v>
      </c>
      <c r="M1550" s="44">
        <v>45299</v>
      </c>
      <c r="N1550" s="53" t="s">
        <v>656</v>
      </c>
      <c r="O1550" s="53">
        <v>0</v>
      </c>
      <c r="P1550" s="53">
        <v>20015139</v>
      </c>
      <c r="Q1550" s="53"/>
      <c r="R1550" s="45">
        <v>410</v>
      </c>
      <c r="S1550" s="53">
        <v>0</v>
      </c>
      <c r="T1550" s="47" t="s">
        <v>198</v>
      </c>
      <c r="U1550" s="48" t="s">
        <v>199</v>
      </c>
      <c r="V1550" s="38"/>
      <c r="W1550" s="48" t="s">
        <v>195</v>
      </c>
      <c r="X1550" s="38" t="s">
        <v>308</v>
      </c>
      <c r="Y1550" s="49" t="s">
        <v>309</v>
      </c>
      <c r="Z1550" s="50" t="s">
        <v>4538</v>
      </c>
      <c r="AA1550" s="38"/>
      <c r="AB1550" s="38"/>
      <c r="AC1550" s="38"/>
      <c r="AD1550" s="51">
        <v>64</v>
      </c>
      <c r="AE1550" s="51">
        <v>64</v>
      </c>
      <c r="AF1550" s="48" t="s">
        <v>203</v>
      </c>
      <c r="AG1550" s="38" t="s">
        <v>204</v>
      </c>
      <c r="AH1550" s="52"/>
      <c r="AI1550" s="38"/>
      <c r="AJ1550" s="38"/>
    </row>
    <row r="1551" spans="1:36" ht="16.2">
      <c r="A1551" s="42" t="s">
        <v>302</v>
      </c>
      <c r="B1551" s="42">
        <v>659354</v>
      </c>
      <c r="C1551" s="42" t="s">
        <v>653</v>
      </c>
      <c r="D1551" s="42">
        <v>13214293</v>
      </c>
      <c r="E1551" s="43" t="s">
        <v>654</v>
      </c>
      <c r="F1551" s="42" t="s">
        <v>692</v>
      </c>
      <c r="G1551" s="42" t="s">
        <v>195</v>
      </c>
      <c r="H1551" s="42"/>
      <c r="I1551" s="42"/>
      <c r="J1551" s="42">
        <v>13214293</v>
      </c>
      <c r="K1551" s="42"/>
      <c r="L1551" s="44">
        <v>45299</v>
      </c>
      <c r="M1551" s="44">
        <v>45299</v>
      </c>
      <c r="N1551" s="42" t="s">
        <v>656</v>
      </c>
      <c r="O1551" s="42">
        <v>0</v>
      </c>
      <c r="P1551" s="42">
        <v>20015139</v>
      </c>
      <c r="Q1551" s="42"/>
      <c r="R1551" s="45">
        <v>410</v>
      </c>
      <c r="S1551" s="42">
        <v>0</v>
      </c>
      <c r="T1551" s="47" t="s">
        <v>198</v>
      </c>
      <c r="U1551" s="48" t="s">
        <v>199</v>
      </c>
      <c r="V1551" s="38"/>
      <c r="W1551" s="48" t="s">
        <v>195</v>
      </c>
      <c r="X1551" s="38" t="s">
        <v>308</v>
      </c>
      <c r="Y1551" s="49" t="s">
        <v>309</v>
      </c>
      <c r="Z1551" s="50" t="s">
        <v>4539</v>
      </c>
      <c r="AA1551" s="38"/>
      <c r="AB1551" s="38"/>
      <c r="AC1551" s="38"/>
      <c r="AD1551" s="51">
        <v>64</v>
      </c>
      <c r="AE1551" s="51">
        <v>64</v>
      </c>
      <c r="AF1551" s="48" t="s">
        <v>203</v>
      </c>
      <c r="AG1551" s="38" t="s">
        <v>204</v>
      </c>
      <c r="AH1551" s="52"/>
      <c r="AI1551" s="38"/>
      <c r="AJ1551" s="38"/>
    </row>
    <row r="1552" spans="1:36" ht="16.2">
      <c r="A1552" s="53" t="s">
        <v>302</v>
      </c>
      <c r="B1552" s="53">
        <v>659354</v>
      </c>
      <c r="C1552" s="53" t="s">
        <v>653</v>
      </c>
      <c r="D1552" s="53">
        <v>13214293</v>
      </c>
      <c r="E1552" s="54" t="s">
        <v>654</v>
      </c>
      <c r="F1552" s="53" t="s">
        <v>695</v>
      </c>
      <c r="G1552" s="53" t="s">
        <v>195</v>
      </c>
      <c r="H1552" s="53"/>
      <c r="I1552" s="53"/>
      <c r="J1552" s="53">
        <v>13214293</v>
      </c>
      <c r="K1552" s="53"/>
      <c r="L1552" s="44">
        <v>45299</v>
      </c>
      <c r="M1552" s="44">
        <v>45299</v>
      </c>
      <c r="N1552" s="53" t="s">
        <v>656</v>
      </c>
      <c r="O1552" s="53">
        <v>0</v>
      </c>
      <c r="P1552" s="53">
        <v>20015139</v>
      </c>
      <c r="Q1552" s="53"/>
      <c r="R1552" s="45">
        <v>410</v>
      </c>
      <c r="S1552" s="53">
        <v>0</v>
      </c>
      <c r="T1552" s="47" t="s">
        <v>198</v>
      </c>
      <c r="U1552" s="48" t="s">
        <v>199</v>
      </c>
      <c r="V1552" s="38"/>
      <c r="W1552" s="48" t="s">
        <v>195</v>
      </c>
      <c r="X1552" s="38" t="s">
        <v>308</v>
      </c>
      <c r="Y1552" s="49" t="s">
        <v>309</v>
      </c>
      <c r="Z1552" s="50" t="s">
        <v>4540</v>
      </c>
      <c r="AA1552" s="38"/>
      <c r="AB1552" s="38"/>
      <c r="AC1552" s="38"/>
      <c r="AD1552" s="51">
        <v>64</v>
      </c>
      <c r="AE1552" s="51">
        <v>64</v>
      </c>
      <c r="AF1552" s="48" t="s">
        <v>203</v>
      </c>
      <c r="AG1552" s="38" t="s">
        <v>204</v>
      </c>
      <c r="AH1552" s="52"/>
      <c r="AI1552" s="38"/>
      <c r="AJ1552" s="38"/>
    </row>
  </sheetData>
  <hyperlinks>
    <hyperlink ref="T2" r:id="rId1" xr:uid="{00000000-0004-0000-0B00-000000000000}"/>
    <hyperlink ref="T3" r:id="rId2" xr:uid="{00000000-0004-0000-0B00-000001000000}"/>
    <hyperlink ref="T4" r:id="rId3" xr:uid="{00000000-0004-0000-0B00-000002000000}"/>
    <hyperlink ref="T5" r:id="rId4" xr:uid="{00000000-0004-0000-0B00-000003000000}"/>
    <hyperlink ref="T6" r:id="rId5" xr:uid="{00000000-0004-0000-0B00-000004000000}"/>
    <hyperlink ref="AA6" r:id="rId6" xr:uid="{00000000-0004-0000-0B00-000005000000}"/>
    <hyperlink ref="T7" r:id="rId7" xr:uid="{00000000-0004-0000-0B00-000006000000}"/>
    <hyperlink ref="AA7" r:id="rId8" xr:uid="{00000000-0004-0000-0B00-000007000000}"/>
    <hyperlink ref="T8" r:id="rId9" xr:uid="{00000000-0004-0000-0B00-000008000000}"/>
    <hyperlink ref="T9" r:id="rId10" xr:uid="{00000000-0004-0000-0B00-000009000000}"/>
    <hyperlink ref="T10" r:id="rId11" xr:uid="{00000000-0004-0000-0B00-00000A000000}"/>
    <hyperlink ref="AA10" r:id="rId12" xr:uid="{00000000-0004-0000-0B00-00000B000000}"/>
    <hyperlink ref="T11" r:id="rId13" xr:uid="{00000000-0004-0000-0B00-00000C000000}"/>
    <hyperlink ref="T12" r:id="rId14" xr:uid="{00000000-0004-0000-0B00-00000D000000}"/>
    <hyperlink ref="T13" r:id="rId15" xr:uid="{00000000-0004-0000-0B00-00000E000000}"/>
    <hyperlink ref="T14" r:id="rId16" xr:uid="{00000000-0004-0000-0B00-00000F000000}"/>
    <hyperlink ref="T15" r:id="rId17" xr:uid="{00000000-0004-0000-0B00-000010000000}"/>
    <hyperlink ref="T16" r:id="rId18" xr:uid="{00000000-0004-0000-0B00-000011000000}"/>
    <hyperlink ref="T17" r:id="rId19" xr:uid="{00000000-0004-0000-0B00-000012000000}"/>
    <hyperlink ref="T18" r:id="rId20" xr:uid="{00000000-0004-0000-0B00-000013000000}"/>
    <hyperlink ref="T19" r:id="rId21" xr:uid="{00000000-0004-0000-0B00-000014000000}"/>
    <hyperlink ref="T20" r:id="rId22" xr:uid="{00000000-0004-0000-0B00-000015000000}"/>
    <hyperlink ref="T21" r:id="rId23" xr:uid="{00000000-0004-0000-0B00-000016000000}"/>
    <hyperlink ref="T22" r:id="rId24" xr:uid="{00000000-0004-0000-0B00-000017000000}"/>
    <hyperlink ref="T23" r:id="rId25" xr:uid="{00000000-0004-0000-0B00-000018000000}"/>
    <hyperlink ref="T24" r:id="rId26" xr:uid="{00000000-0004-0000-0B00-000019000000}"/>
    <hyperlink ref="T25" r:id="rId27" xr:uid="{00000000-0004-0000-0B00-00001A000000}"/>
    <hyperlink ref="T26" r:id="rId28" xr:uid="{00000000-0004-0000-0B00-00001B000000}"/>
    <hyperlink ref="T27" r:id="rId29" xr:uid="{00000000-0004-0000-0B00-00001C000000}"/>
    <hyperlink ref="T28" r:id="rId30" xr:uid="{00000000-0004-0000-0B00-00001D000000}"/>
    <hyperlink ref="T29" r:id="rId31" xr:uid="{00000000-0004-0000-0B00-00001E000000}"/>
    <hyperlink ref="T30" r:id="rId32" xr:uid="{00000000-0004-0000-0B00-00001F000000}"/>
    <hyperlink ref="T31" r:id="rId33" xr:uid="{00000000-0004-0000-0B00-000020000000}"/>
    <hyperlink ref="T32" r:id="rId34" xr:uid="{00000000-0004-0000-0B00-000021000000}"/>
    <hyperlink ref="T33" r:id="rId35" xr:uid="{00000000-0004-0000-0B00-000022000000}"/>
    <hyperlink ref="T34" r:id="rId36" xr:uid="{00000000-0004-0000-0B00-000023000000}"/>
    <hyperlink ref="T35" r:id="rId37" xr:uid="{00000000-0004-0000-0B00-000024000000}"/>
    <hyperlink ref="T36" r:id="rId38" xr:uid="{00000000-0004-0000-0B00-000025000000}"/>
    <hyperlink ref="AA36" r:id="rId39" xr:uid="{00000000-0004-0000-0B00-000026000000}"/>
    <hyperlink ref="AB36" r:id="rId40" xr:uid="{00000000-0004-0000-0B00-000027000000}"/>
    <hyperlink ref="T37" r:id="rId41" xr:uid="{00000000-0004-0000-0B00-000028000000}"/>
    <hyperlink ref="T38" r:id="rId42" xr:uid="{00000000-0004-0000-0B00-000029000000}"/>
    <hyperlink ref="T39" r:id="rId43" xr:uid="{00000000-0004-0000-0B00-00002A000000}"/>
    <hyperlink ref="T40" r:id="rId44" xr:uid="{00000000-0004-0000-0B00-00002B000000}"/>
    <hyperlink ref="T41" r:id="rId45" xr:uid="{00000000-0004-0000-0B00-00002C000000}"/>
    <hyperlink ref="T42" r:id="rId46" xr:uid="{00000000-0004-0000-0B00-00002D000000}"/>
    <hyperlink ref="T43" r:id="rId47" xr:uid="{00000000-0004-0000-0B00-00002E000000}"/>
    <hyperlink ref="T44" r:id="rId48" xr:uid="{00000000-0004-0000-0B00-00002F000000}"/>
    <hyperlink ref="T45" r:id="rId49" xr:uid="{00000000-0004-0000-0B00-000030000000}"/>
    <hyperlink ref="T46" r:id="rId50" xr:uid="{00000000-0004-0000-0B00-000031000000}"/>
    <hyperlink ref="T47" r:id="rId51" xr:uid="{00000000-0004-0000-0B00-000032000000}"/>
    <hyperlink ref="T48" r:id="rId52" xr:uid="{00000000-0004-0000-0B00-000033000000}"/>
    <hyperlink ref="T49" r:id="rId53" xr:uid="{00000000-0004-0000-0B00-000034000000}"/>
    <hyperlink ref="T50" r:id="rId54" xr:uid="{00000000-0004-0000-0B00-000035000000}"/>
    <hyperlink ref="T51" r:id="rId55" xr:uid="{00000000-0004-0000-0B00-000036000000}"/>
    <hyperlink ref="T52" r:id="rId56" xr:uid="{00000000-0004-0000-0B00-000037000000}"/>
    <hyperlink ref="T53" r:id="rId57" xr:uid="{00000000-0004-0000-0B00-000038000000}"/>
    <hyperlink ref="T54" r:id="rId58" xr:uid="{00000000-0004-0000-0B00-000039000000}"/>
    <hyperlink ref="T55" r:id="rId59" xr:uid="{00000000-0004-0000-0B00-00003A000000}"/>
    <hyperlink ref="T56" r:id="rId60" xr:uid="{00000000-0004-0000-0B00-00003B000000}"/>
    <hyperlink ref="T57" r:id="rId61" xr:uid="{00000000-0004-0000-0B00-00003C000000}"/>
    <hyperlink ref="T58" r:id="rId62" xr:uid="{00000000-0004-0000-0B00-00003D000000}"/>
    <hyperlink ref="T59" r:id="rId63" xr:uid="{00000000-0004-0000-0B00-00003E000000}"/>
    <hyperlink ref="T60" r:id="rId64" xr:uid="{00000000-0004-0000-0B00-00003F000000}"/>
    <hyperlink ref="T61" r:id="rId65" xr:uid="{00000000-0004-0000-0B00-000040000000}"/>
    <hyperlink ref="T62" r:id="rId66" xr:uid="{00000000-0004-0000-0B00-000041000000}"/>
    <hyperlink ref="T63" r:id="rId67" xr:uid="{00000000-0004-0000-0B00-000042000000}"/>
    <hyperlink ref="T64" r:id="rId68" xr:uid="{00000000-0004-0000-0B00-000043000000}"/>
    <hyperlink ref="T65" r:id="rId69" xr:uid="{00000000-0004-0000-0B00-000044000000}"/>
    <hyperlink ref="T66" r:id="rId70" xr:uid="{00000000-0004-0000-0B00-000045000000}"/>
    <hyperlink ref="T67" r:id="rId71" xr:uid="{00000000-0004-0000-0B00-000046000000}"/>
    <hyperlink ref="T68" r:id="rId72" xr:uid="{00000000-0004-0000-0B00-000047000000}"/>
    <hyperlink ref="T69" r:id="rId73" xr:uid="{00000000-0004-0000-0B00-000048000000}"/>
    <hyperlink ref="T70" r:id="rId74" xr:uid="{00000000-0004-0000-0B00-000049000000}"/>
    <hyperlink ref="T71" r:id="rId75" xr:uid="{00000000-0004-0000-0B00-00004A000000}"/>
    <hyperlink ref="T72" r:id="rId76" xr:uid="{00000000-0004-0000-0B00-00004B000000}"/>
    <hyperlink ref="T73" r:id="rId77" xr:uid="{00000000-0004-0000-0B00-00004C000000}"/>
    <hyperlink ref="T74" r:id="rId78" xr:uid="{00000000-0004-0000-0B00-00004D000000}"/>
    <hyperlink ref="T75" r:id="rId79" xr:uid="{00000000-0004-0000-0B00-00004E000000}"/>
    <hyperlink ref="T76" r:id="rId80" xr:uid="{00000000-0004-0000-0B00-00004F000000}"/>
    <hyperlink ref="T77" r:id="rId81" xr:uid="{00000000-0004-0000-0B00-000050000000}"/>
    <hyperlink ref="T78" r:id="rId82" xr:uid="{00000000-0004-0000-0B00-000051000000}"/>
    <hyperlink ref="T79" r:id="rId83" xr:uid="{00000000-0004-0000-0B00-000052000000}"/>
    <hyperlink ref="T80" r:id="rId84" xr:uid="{00000000-0004-0000-0B00-000053000000}"/>
    <hyperlink ref="T81" r:id="rId85" xr:uid="{00000000-0004-0000-0B00-000054000000}"/>
    <hyperlink ref="T82" r:id="rId86" xr:uid="{00000000-0004-0000-0B00-000055000000}"/>
    <hyperlink ref="T83" r:id="rId87" xr:uid="{00000000-0004-0000-0B00-000056000000}"/>
    <hyperlink ref="T84" r:id="rId88" xr:uid="{00000000-0004-0000-0B00-000057000000}"/>
    <hyperlink ref="T85" r:id="rId89" xr:uid="{00000000-0004-0000-0B00-000058000000}"/>
    <hyperlink ref="T86" r:id="rId90" xr:uid="{00000000-0004-0000-0B00-000059000000}"/>
    <hyperlink ref="T87" r:id="rId91" xr:uid="{00000000-0004-0000-0B00-00005A000000}"/>
    <hyperlink ref="T88" r:id="rId92" xr:uid="{00000000-0004-0000-0B00-00005B000000}"/>
    <hyperlink ref="T89" r:id="rId93" xr:uid="{00000000-0004-0000-0B00-00005C000000}"/>
    <hyperlink ref="T90" r:id="rId94" xr:uid="{00000000-0004-0000-0B00-00005D000000}"/>
    <hyperlink ref="T91" r:id="rId95" xr:uid="{00000000-0004-0000-0B00-00005E000000}"/>
    <hyperlink ref="T92" r:id="rId96" xr:uid="{00000000-0004-0000-0B00-00005F000000}"/>
    <hyperlink ref="T93" r:id="rId97" xr:uid="{00000000-0004-0000-0B00-000060000000}"/>
    <hyperlink ref="T94" r:id="rId98" xr:uid="{00000000-0004-0000-0B00-000061000000}"/>
    <hyperlink ref="T95" r:id="rId99" xr:uid="{00000000-0004-0000-0B00-000062000000}"/>
    <hyperlink ref="T96" r:id="rId100" xr:uid="{00000000-0004-0000-0B00-000063000000}"/>
    <hyperlink ref="T97" r:id="rId101" xr:uid="{00000000-0004-0000-0B00-000064000000}"/>
    <hyperlink ref="T98" r:id="rId102" xr:uid="{00000000-0004-0000-0B00-000065000000}"/>
    <hyperlink ref="T99" r:id="rId103" xr:uid="{00000000-0004-0000-0B00-000066000000}"/>
    <hyperlink ref="T100" r:id="rId104" xr:uid="{00000000-0004-0000-0B00-000067000000}"/>
    <hyperlink ref="AA100" r:id="rId105" xr:uid="{00000000-0004-0000-0B00-000068000000}"/>
    <hyperlink ref="AB100" r:id="rId106" xr:uid="{00000000-0004-0000-0B00-000069000000}"/>
    <hyperlink ref="T101" r:id="rId107" xr:uid="{00000000-0004-0000-0B00-00006A000000}"/>
    <hyperlink ref="AA101" r:id="rId108" xr:uid="{00000000-0004-0000-0B00-00006B000000}"/>
    <hyperlink ref="AB101" r:id="rId109" xr:uid="{00000000-0004-0000-0B00-00006C000000}"/>
    <hyperlink ref="T102" r:id="rId110" xr:uid="{00000000-0004-0000-0B00-00006D000000}"/>
    <hyperlink ref="AA102" r:id="rId111" xr:uid="{00000000-0004-0000-0B00-00006E000000}"/>
    <hyperlink ref="AB102" r:id="rId112" xr:uid="{00000000-0004-0000-0B00-00006F000000}"/>
    <hyperlink ref="T103" r:id="rId113" xr:uid="{00000000-0004-0000-0B00-000070000000}"/>
    <hyperlink ref="T104" r:id="rId114" xr:uid="{00000000-0004-0000-0B00-000071000000}"/>
    <hyperlink ref="T105" r:id="rId115" xr:uid="{00000000-0004-0000-0B00-000072000000}"/>
    <hyperlink ref="T106" r:id="rId116" xr:uid="{00000000-0004-0000-0B00-000073000000}"/>
    <hyperlink ref="T107" r:id="rId117" xr:uid="{00000000-0004-0000-0B00-000074000000}"/>
    <hyperlink ref="T108" r:id="rId118" xr:uid="{00000000-0004-0000-0B00-000075000000}"/>
    <hyperlink ref="T109" r:id="rId119" xr:uid="{00000000-0004-0000-0B00-000076000000}"/>
    <hyperlink ref="T110" r:id="rId120" xr:uid="{00000000-0004-0000-0B00-000077000000}"/>
    <hyperlink ref="T111" r:id="rId121" xr:uid="{00000000-0004-0000-0B00-000078000000}"/>
    <hyperlink ref="T112" r:id="rId122" xr:uid="{00000000-0004-0000-0B00-000079000000}"/>
    <hyperlink ref="T113" r:id="rId123" xr:uid="{00000000-0004-0000-0B00-00007A000000}"/>
    <hyperlink ref="T114" r:id="rId124" xr:uid="{00000000-0004-0000-0B00-00007B000000}"/>
    <hyperlink ref="T115" r:id="rId125" xr:uid="{00000000-0004-0000-0B00-00007C000000}"/>
    <hyperlink ref="T116" r:id="rId126" xr:uid="{00000000-0004-0000-0B00-00007D000000}"/>
    <hyperlink ref="T117" r:id="rId127" xr:uid="{00000000-0004-0000-0B00-00007E000000}"/>
    <hyperlink ref="T118" r:id="rId128" xr:uid="{00000000-0004-0000-0B00-00007F000000}"/>
    <hyperlink ref="T119" r:id="rId129" xr:uid="{00000000-0004-0000-0B00-000080000000}"/>
    <hyperlink ref="T120" r:id="rId130" xr:uid="{00000000-0004-0000-0B00-000081000000}"/>
    <hyperlink ref="T121" r:id="rId131" xr:uid="{00000000-0004-0000-0B00-000082000000}"/>
    <hyperlink ref="T122" r:id="rId132" xr:uid="{00000000-0004-0000-0B00-000083000000}"/>
    <hyperlink ref="AC122" r:id="rId133" xr:uid="{00000000-0004-0000-0B00-000084000000}"/>
    <hyperlink ref="T123" r:id="rId134" xr:uid="{00000000-0004-0000-0B00-000085000000}"/>
    <hyperlink ref="T124" r:id="rId135" xr:uid="{00000000-0004-0000-0B00-000086000000}"/>
    <hyperlink ref="T125" r:id="rId136" xr:uid="{00000000-0004-0000-0B00-000087000000}"/>
    <hyperlink ref="T126" r:id="rId137" xr:uid="{00000000-0004-0000-0B00-000088000000}"/>
    <hyperlink ref="T127" r:id="rId138" xr:uid="{00000000-0004-0000-0B00-000089000000}"/>
    <hyperlink ref="T128" r:id="rId139" xr:uid="{00000000-0004-0000-0B00-00008A000000}"/>
    <hyperlink ref="T129" r:id="rId140" xr:uid="{00000000-0004-0000-0B00-00008B000000}"/>
    <hyperlink ref="T130" r:id="rId141" xr:uid="{00000000-0004-0000-0B00-00008C000000}"/>
    <hyperlink ref="T131" r:id="rId142" xr:uid="{00000000-0004-0000-0B00-00008D000000}"/>
    <hyperlink ref="T132" r:id="rId143" xr:uid="{00000000-0004-0000-0B00-00008E000000}"/>
    <hyperlink ref="T133" r:id="rId144" xr:uid="{00000000-0004-0000-0B00-00008F000000}"/>
    <hyperlink ref="T134" r:id="rId145" xr:uid="{00000000-0004-0000-0B00-000090000000}"/>
    <hyperlink ref="T135" r:id="rId146" xr:uid="{00000000-0004-0000-0B00-000091000000}"/>
    <hyperlink ref="T136" r:id="rId147" xr:uid="{00000000-0004-0000-0B00-000092000000}"/>
    <hyperlink ref="T137" r:id="rId148" xr:uid="{00000000-0004-0000-0B00-000093000000}"/>
    <hyperlink ref="T138" r:id="rId149" xr:uid="{00000000-0004-0000-0B00-000094000000}"/>
    <hyperlink ref="T139" r:id="rId150" xr:uid="{00000000-0004-0000-0B00-000095000000}"/>
    <hyperlink ref="T140" r:id="rId151" xr:uid="{00000000-0004-0000-0B00-000096000000}"/>
    <hyperlink ref="T141" r:id="rId152" xr:uid="{00000000-0004-0000-0B00-000097000000}"/>
    <hyperlink ref="T142" r:id="rId153" xr:uid="{00000000-0004-0000-0B00-000098000000}"/>
    <hyperlink ref="T143" r:id="rId154" xr:uid="{00000000-0004-0000-0B00-000099000000}"/>
    <hyperlink ref="T144" r:id="rId155" xr:uid="{00000000-0004-0000-0B00-00009A000000}"/>
    <hyperlink ref="T145" r:id="rId156" xr:uid="{00000000-0004-0000-0B00-00009B000000}"/>
    <hyperlink ref="T146" r:id="rId157" xr:uid="{00000000-0004-0000-0B00-00009C000000}"/>
    <hyperlink ref="T147" r:id="rId158" xr:uid="{00000000-0004-0000-0B00-00009D000000}"/>
    <hyperlink ref="T148" r:id="rId159" xr:uid="{00000000-0004-0000-0B00-00009E000000}"/>
    <hyperlink ref="T149" r:id="rId160" xr:uid="{00000000-0004-0000-0B00-00009F000000}"/>
    <hyperlink ref="T150" r:id="rId161" xr:uid="{00000000-0004-0000-0B00-0000A0000000}"/>
    <hyperlink ref="T151" r:id="rId162" xr:uid="{00000000-0004-0000-0B00-0000A1000000}"/>
    <hyperlink ref="T152" r:id="rId163" xr:uid="{00000000-0004-0000-0B00-0000A2000000}"/>
    <hyperlink ref="T153" r:id="rId164" xr:uid="{00000000-0004-0000-0B00-0000A3000000}"/>
    <hyperlink ref="T154" r:id="rId165" xr:uid="{00000000-0004-0000-0B00-0000A4000000}"/>
    <hyperlink ref="T155" r:id="rId166" xr:uid="{00000000-0004-0000-0B00-0000A5000000}"/>
    <hyperlink ref="Z155" r:id="rId167" xr:uid="{00000000-0004-0000-0B00-0000A6000000}"/>
    <hyperlink ref="T156" r:id="rId168" xr:uid="{00000000-0004-0000-0B00-0000A7000000}"/>
    <hyperlink ref="T157" r:id="rId169" xr:uid="{00000000-0004-0000-0B00-0000A8000000}"/>
    <hyperlink ref="AA157" r:id="rId170" xr:uid="{00000000-0004-0000-0B00-0000A9000000}"/>
    <hyperlink ref="AB157" r:id="rId171" xr:uid="{00000000-0004-0000-0B00-0000AA000000}"/>
    <hyperlink ref="AC157" r:id="rId172" xr:uid="{00000000-0004-0000-0B00-0000AB000000}"/>
    <hyperlink ref="T158" r:id="rId173" xr:uid="{00000000-0004-0000-0B00-0000AC000000}"/>
    <hyperlink ref="T159" r:id="rId174" xr:uid="{00000000-0004-0000-0B00-0000AD000000}"/>
    <hyperlink ref="T160" r:id="rId175" xr:uid="{00000000-0004-0000-0B00-0000AE000000}"/>
    <hyperlink ref="T161" r:id="rId176" xr:uid="{00000000-0004-0000-0B00-0000AF000000}"/>
    <hyperlink ref="T162" r:id="rId177" xr:uid="{00000000-0004-0000-0B00-0000B0000000}"/>
    <hyperlink ref="T163" r:id="rId178" xr:uid="{00000000-0004-0000-0B00-0000B1000000}"/>
    <hyperlink ref="T164" r:id="rId179" xr:uid="{00000000-0004-0000-0B00-0000B2000000}"/>
    <hyperlink ref="T165" r:id="rId180" xr:uid="{00000000-0004-0000-0B00-0000B3000000}"/>
    <hyperlink ref="T166" r:id="rId181" xr:uid="{00000000-0004-0000-0B00-0000B4000000}"/>
    <hyperlink ref="T167" r:id="rId182" xr:uid="{00000000-0004-0000-0B00-0000B5000000}"/>
    <hyperlink ref="T168" r:id="rId183" xr:uid="{00000000-0004-0000-0B00-0000B6000000}"/>
    <hyperlink ref="T169" r:id="rId184" xr:uid="{00000000-0004-0000-0B00-0000B7000000}"/>
    <hyperlink ref="T170" r:id="rId185" xr:uid="{00000000-0004-0000-0B00-0000B8000000}"/>
    <hyperlink ref="T171" r:id="rId186" xr:uid="{00000000-0004-0000-0B00-0000B9000000}"/>
    <hyperlink ref="T172" r:id="rId187" xr:uid="{00000000-0004-0000-0B00-0000BA000000}"/>
    <hyperlink ref="T173" r:id="rId188" xr:uid="{00000000-0004-0000-0B00-0000BB000000}"/>
    <hyperlink ref="T174" r:id="rId189" xr:uid="{00000000-0004-0000-0B00-0000BC000000}"/>
    <hyperlink ref="T175" r:id="rId190" xr:uid="{00000000-0004-0000-0B00-0000BD000000}"/>
    <hyperlink ref="T176" r:id="rId191" xr:uid="{00000000-0004-0000-0B00-0000BE000000}"/>
    <hyperlink ref="T177" r:id="rId192" xr:uid="{00000000-0004-0000-0B00-0000BF000000}"/>
    <hyperlink ref="T178" r:id="rId193" xr:uid="{00000000-0004-0000-0B00-0000C0000000}"/>
    <hyperlink ref="T179" r:id="rId194" xr:uid="{00000000-0004-0000-0B00-0000C1000000}"/>
    <hyperlink ref="T180" r:id="rId195" xr:uid="{00000000-0004-0000-0B00-0000C2000000}"/>
    <hyperlink ref="T181" r:id="rId196" xr:uid="{00000000-0004-0000-0B00-0000C3000000}"/>
    <hyperlink ref="T182" r:id="rId197" xr:uid="{00000000-0004-0000-0B00-0000C4000000}"/>
    <hyperlink ref="T183" r:id="rId198" xr:uid="{00000000-0004-0000-0B00-0000C5000000}"/>
    <hyperlink ref="T184" r:id="rId199" xr:uid="{00000000-0004-0000-0B00-0000C6000000}"/>
    <hyperlink ref="T185" r:id="rId200" xr:uid="{00000000-0004-0000-0B00-0000C7000000}"/>
    <hyperlink ref="T186" r:id="rId201" xr:uid="{00000000-0004-0000-0B00-0000C8000000}"/>
    <hyperlink ref="T187" r:id="rId202" xr:uid="{00000000-0004-0000-0B00-0000C9000000}"/>
    <hyperlink ref="T188" r:id="rId203" xr:uid="{00000000-0004-0000-0B00-0000CA000000}"/>
    <hyperlink ref="T189" r:id="rId204" xr:uid="{00000000-0004-0000-0B00-0000CB000000}"/>
    <hyperlink ref="T190" r:id="rId205" xr:uid="{00000000-0004-0000-0B00-0000CC000000}"/>
    <hyperlink ref="T191" r:id="rId206" xr:uid="{00000000-0004-0000-0B00-0000CD000000}"/>
    <hyperlink ref="T192" r:id="rId207" xr:uid="{00000000-0004-0000-0B00-0000CE000000}"/>
    <hyperlink ref="T193" r:id="rId208" xr:uid="{00000000-0004-0000-0B00-0000CF000000}"/>
    <hyperlink ref="T194" r:id="rId209" xr:uid="{00000000-0004-0000-0B00-0000D0000000}"/>
    <hyperlink ref="T195" r:id="rId210" xr:uid="{00000000-0004-0000-0B00-0000D1000000}"/>
    <hyperlink ref="T196" r:id="rId211" xr:uid="{00000000-0004-0000-0B00-0000D2000000}"/>
    <hyperlink ref="T197" r:id="rId212" xr:uid="{00000000-0004-0000-0B00-0000D3000000}"/>
    <hyperlink ref="T198" r:id="rId213" xr:uid="{00000000-0004-0000-0B00-0000D4000000}"/>
    <hyperlink ref="T199" r:id="rId214" xr:uid="{00000000-0004-0000-0B00-0000D5000000}"/>
    <hyperlink ref="T200" r:id="rId215" xr:uid="{00000000-0004-0000-0B00-0000D6000000}"/>
    <hyperlink ref="T201" r:id="rId216" xr:uid="{00000000-0004-0000-0B00-0000D7000000}"/>
    <hyperlink ref="T202" r:id="rId217" xr:uid="{00000000-0004-0000-0B00-0000D8000000}"/>
    <hyperlink ref="T203" r:id="rId218" xr:uid="{00000000-0004-0000-0B00-0000D9000000}"/>
    <hyperlink ref="AA203" r:id="rId219" xr:uid="{00000000-0004-0000-0B00-0000DA000000}"/>
    <hyperlink ref="T204" r:id="rId220" xr:uid="{00000000-0004-0000-0B00-0000DB000000}"/>
    <hyperlink ref="T205" r:id="rId221" xr:uid="{00000000-0004-0000-0B00-0000DC000000}"/>
    <hyperlink ref="T206" r:id="rId222" xr:uid="{00000000-0004-0000-0B00-0000DD000000}"/>
    <hyperlink ref="T207" r:id="rId223" xr:uid="{00000000-0004-0000-0B00-0000DE000000}"/>
    <hyperlink ref="T208" r:id="rId224" xr:uid="{00000000-0004-0000-0B00-0000DF000000}"/>
    <hyperlink ref="T209" r:id="rId225" xr:uid="{00000000-0004-0000-0B00-0000E0000000}"/>
    <hyperlink ref="T210" r:id="rId226" xr:uid="{00000000-0004-0000-0B00-0000E1000000}"/>
    <hyperlink ref="T211" r:id="rId227" xr:uid="{00000000-0004-0000-0B00-0000E2000000}"/>
    <hyperlink ref="T212" r:id="rId228" xr:uid="{00000000-0004-0000-0B00-0000E3000000}"/>
    <hyperlink ref="T213" r:id="rId229" xr:uid="{00000000-0004-0000-0B00-0000E4000000}"/>
    <hyperlink ref="T214" r:id="rId230" xr:uid="{00000000-0004-0000-0B00-0000E5000000}"/>
    <hyperlink ref="T215" r:id="rId231" xr:uid="{00000000-0004-0000-0B00-0000E6000000}"/>
    <hyperlink ref="T216" r:id="rId232" xr:uid="{00000000-0004-0000-0B00-0000E7000000}"/>
    <hyperlink ref="T217" r:id="rId233" xr:uid="{00000000-0004-0000-0B00-0000E8000000}"/>
    <hyperlink ref="T218" r:id="rId234" xr:uid="{00000000-0004-0000-0B00-0000E9000000}"/>
    <hyperlink ref="T219" r:id="rId235" xr:uid="{00000000-0004-0000-0B00-0000EA000000}"/>
    <hyperlink ref="T220" r:id="rId236" xr:uid="{00000000-0004-0000-0B00-0000EB000000}"/>
    <hyperlink ref="T221" r:id="rId237" xr:uid="{00000000-0004-0000-0B00-0000EC000000}"/>
    <hyperlink ref="T222" r:id="rId238" xr:uid="{00000000-0004-0000-0B00-0000ED000000}"/>
    <hyperlink ref="T223" r:id="rId239" xr:uid="{00000000-0004-0000-0B00-0000EE000000}"/>
    <hyperlink ref="T224" r:id="rId240" xr:uid="{00000000-0004-0000-0B00-0000EF000000}"/>
    <hyperlink ref="T225" r:id="rId241" xr:uid="{00000000-0004-0000-0B00-0000F0000000}"/>
    <hyperlink ref="T226" r:id="rId242" xr:uid="{00000000-0004-0000-0B00-0000F1000000}"/>
    <hyperlink ref="T227" r:id="rId243" xr:uid="{00000000-0004-0000-0B00-0000F2000000}"/>
    <hyperlink ref="T228" r:id="rId244" xr:uid="{00000000-0004-0000-0B00-0000F3000000}"/>
    <hyperlink ref="T229" r:id="rId245" xr:uid="{00000000-0004-0000-0B00-0000F4000000}"/>
    <hyperlink ref="T230" r:id="rId246" xr:uid="{00000000-0004-0000-0B00-0000F5000000}"/>
    <hyperlink ref="T231" r:id="rId247" xr:uid="{00000000-0004-0000-0B00-0000F6000000}"/>
    <hyperlink ref="T232" r:id="rId248" xr:uid="{00000000-0004-0000-0B00-0000F7000000}"/>
    <hyperlink ref="T233" r:id="rId249" xr:uid="{00000000-0004-0000-0B00-0000F8000000}"/>
    <hyperlink ref="T234" r:id="rId250" xr:uid="{00000000-0004-0000-0B00-0000F9000000}"/>
    <hyperlink ref="T235" r:id="rId251" xr:uid="{00000000-0004-0000-0B00-0000FA000000}"/>
    <hyperlink ref="T236" r:id="rId252" xr:uid="{00000000-0004-0000-0B00-0000FB000000}"/>
    <hyperlink ref="T237" r:id="rId253" xr:uid="{00000000-0004-0000-0B00-0000FC000000}"/>
    <hyperlink ref="T238" r:id="rId254" xr:uid="{00000000-0004-0000-0B00-0000FD000000}"/>
    <hyperlink ref="T239" r:id="rId255" xr:uid="{00000000-0004-0000-0B00-0000FE000000}"/>
    <hyperlink ref="T240" r:id="rId256" xr:uid="{00000000-0004-0000-0B00-0000FF000000}"/>
    <hyperlink ref="T241" r:id="rId257" xr:uid="{00000000-0004-0000-0B00-000000010000}"/>
    <hyperlink ref="T242" r:id="rId258" xr:uid="{00000000-0004-0000-0B00-000001010000}"/>
    <hyperlink ref="T243" r:id="rId259" xr:uid="{00000000-0004-0000-0B00-000002010000}"/>
    <hyperlink ref="T244" r:id="rId260" xr:uid="{00000000-0004-0000-0B00-000003010000}"/>
    <hyperlink ref="T245" r:id="rId261" xr:uid="{00000000-0004-0000-0B00-000004010000}"/>
    <hyperlink ref="T246" r:id="rId262" xr:uid="{00000000-0004-0000-0B00-000005010000}"/>
    <hyperlink ref="T247" r:id="rId263" xr:uid="{00000000-0004-0000-0B00-000006010000}"/>
    <hyperlink ref="T248" r:id="rId264" xr:uid="{00000000-0004-0000-0B00-000007010000}"/>
    <hyperlink ref="T249" r:id="rId265" xr:uid="{00000000-0004-0000-0B00-000008010000}"/>
    <hyperlink ref="T250" r:id="rId266" xr:uid="{00000000-0004-0000-0B00-000009010000}"/>
    <hyperlink ref="T251" r:id="rId267" xr:uid="{00000000-0004-0000-0B00-00000A010000}"/>
    <hyperlink ref="T252" r:id="rId268" xr:uid="{00000000-0004-0000-0B00-00000B010000}"/>
    <hyperlink ref="T253" r:id="rId269" xr:uid="{00000000-0004-0000-0B00-00000C010000}"/>
    <hyperlink ref="T254" r:id="rId270" xr:uid="{00000000-0004-0000-0B00-00000D010000}"/>
    <hyperlink ref="T255" r:id="rId271" xr:uid="{00000000-0004-0000-0B00-00000E010000}"/>
    <hyperlink ref="T256" r:id="rId272" xr:uid="{00000000-0004-0000-0B00-00000F010000}"/>
    <hyperlink ref="T257" r:id="rId273" xr:uid="{00000000-0004-0000-0B00-000010010000}"/>
    <hyperlink ref="T258" r:id="rId274" xr:uid="{00000000-0004-0000-0B00-000011010000}"/>
    <hyperlink ref="T259" r:id="rId275" xr:uid="{00000000-0004-0000-0B00-000012010000}"/>
    <hyperlink ref="T260" r:id="rId276" xr:uid="{00000000-0004-0000-0B00-000013010000}"/>
    <hyperlink ref="T261" r:id="rId277" xr:uid="{00000000-0004-0000-0B00-000014010000}"/>
    <hyperlink ref="T262" r:id="rId278" xr:uid="{00000000-0004-0000-0B00-000015010000}"/>
    <hyperlink ref="T263" r:id="rId279" xr:uid="{00000000-0004-0000-0B00-000016010000}"/>
    <hyperlink ref="T264" r:id="rId280" xr:uid="{00000000-0004-0000-0B00-000017010000}"/>
    <hyperlink ref="T265" r:id="rId281" xr:uid="{00000000-0004-0000-0B00-000018010000}"/>
    <hyperlink ref="T266" r:id="rId282" xr:uid="{00000000-0004-0000-0B00-000019010000}"/>
    <hyperlink ref="T267" r:id="rId283" xr:uid="{00000000-0004-0000-0B00-00001A010000}"/>
    <hyperlink ref="T268" r:id="rId284" xr:uid="{00000000-0004-0000-0B00-00001B010000}"/>
    <hyperlink ref="T269" r:id="rId285" xr:uid="{00000000-0004-0000-0B00-00001C010000}"/>
    <hyperlink ref="T270" r:id="rId286" xr:uid="{00000000-0004-0000-0B00-00001D010000}"/>
    <hyperlink ref="T271" r:id="rId287" xr:uid="{00000000-0004-0000-0B00-00001E010000}"/>
    <hyperlink ref="T272" r:id="rId288" xr:uid="{00000000-0004-0000-0B00-00001F010000}"/>
    <hyperlink ref="T273" r:id="rId289" xr:uid="{00000000-0004-0000-0B00-000020010000}"/>
    <hyperlink ref="T274" r:id="rId290" xr:uid="{00000000-0004-0000-0B00-000021010000}"/>
    <hyperlink ref="T275" r:id="rId291" xr:uid="{00000000-0004-0000-0B00-000022010000}"/>
    <hyperlink ref="T276" r:id="rId292" xr:uid="{00000000-0004-0000-0B00-000023010000}"/>
    <hyperlink ref="T277" r:id="rId293" xr:uid="{00000000-0004-0000-0B00-000024010000}"/>
    <hyperlink ref="T278" r:id="rId294" xr:uid="{00000000-0004-0000-0B00-000025010000}"/>
    <hyperlink ref="T279" r:id="rId295" xr:uid="{00000000-0004-0000-0B00-000026010000}"/>
    <hyperlink ref="T280" r:id="rId296" xr:uid="{00000000-0004-0000-0B00-000027010000}"/>
    <hyperlink ref="T281" r:id="rId297" xr:uid="{00000000-0004-0000-0B00-000028010000}"/>
    <hyperlink ref="T282" r:id="rId298" xr:uid="{00000000-0004-0000-0B00-000029010000}"/>
    <hyperlink ref="T283" r:id="rId299" xr:uid="{00000000-0004-0000-0B00-00002A010000}"/>
    <hyperlink ref="T284" r:id="rId300" xr:uid="{00000000-0004-0000-0B00-00002B010000}"/>
    <hyperlink ref="T285" r:id="rId301" xr:uid="{00000000-0004-0000-0B00-00002C010000}"/>
    <hyperlink ref="T286" r:id="rId302" xr:uid="{00000000-0004-0000-0B00-00002D010000}"/>
    <hyperlink ref="T287" r:id="rId303" xr:uid="{00000000-0004-0000-0B00-00002E010000}"/>
    <hyperlink ref="T288" r:id="rId304" xr:uid="{00000000-0004-0000-0B00-00002F010000}"/>
    <hyperlink ref="T289" r:id="rId305" xr:uid="{00000000-0004-0000-0B00-000030010000}"/>
    <hyperlink ref="T290" r:id="rId306" xr:uid="{00000000-0004-0000-0B00-000031010000}"/>
    <hyperlink ref="T291" r:id="rId307" xr:uid="{00000000-0004-0000-0B00-000032010000}"/>
    <hyperlink ref="T292" r:id="rId308" xr:uid="{00000000-0004-0000-0B00-000033010000}"/>
    <hyperlink ref="T293" r:id="rId309" xr:uid="{00000000-0004-0000-0B00-000034010000}"/>
    <hyperlink ref="T294" r:id="rId310" xr:uid="{00000000-0004-0000-0B00-000035010000}"/>
    <hyperlink ref="T295" r:id="rId311" xr:uid="{00000000-0004-0000-0B00-000036010000}"/>
    <hyperlink ref="T296" r:id="rId312" xr:uid="{00000000-0004-0000-0B00-000037010000}"/>
    <hyperlink ref="T297" r:id="rId313" xr:uid="{00000000-0004-0000-0B00-000038010000}"/>
    <hyperlink ref="T298" r:id="rId314" xr:uid="{00000000-0004-0000-0B00-000039010000}"/>
    <hyperlink ref="T299" r:id="rId315" xr:uid="{00000000-0004-0000-0B00-00003A010000}"/>
    <hyperlink ref="T300" r:id="rId316" xr:uid="{00000000-0004-0000-0B00-00003B010000}"/>
    <hyperlink ref="T301" r:id="rId317" xr:uid="{00000000-0004-0000-0B00-00003C010000}"/>
    <hyperlink ref="T302" r:id="rId318" xr:uid="{00000000-0004-0000-0B00-00003D010000}"/>
    <hyperlink ref="T303" r:id="rId319" xr:uid="{00000000-0004-0000-0B00-00003E010000}"/>
    <hyperlink ref="T304" r:id="rId320" xr:uid="{00000000-0004-0000-0B00-00003F010000}"/>
    <hyperlink ref="T305" r:id="rId321" xr:uid="{00000000-0004-0000-0B00-000040010000}"/>
    <hyperlink ref="T306" r:id="rId322" xr:uid="{00000000-0004-0000-0B00-000041010000}"/>
    <hyperlink ref="T307" r:id="rId323" xr:uid="{00000000-0004-0000-0B00-000042010000}"/>
    <hyperlink ref="T308" r:id="rId324" xr:uid="{00000000-0004-0000-0B00-000043010000}"/>
    <hyperlink ref="T309" r:id="rId325" xr:uid="{00000000-0004-0000-0B00-000044010000}"/>
    <hyperlink ref="T310" r:id="rId326" xr:uid="{00000000-0004-0000-0B00-000045010000}"/>
    <hyperlink ref="T311" r:id="rId327" xr:uid="{00000000-0004-0000-0B00-000046010000}"/>
    <hyperlink ref="T312" r:id="rId328" xr:uid="{00000000-0004-0000-0B00-000047010000}"/>
    <hyperlink ref="T313" r:id="rId329" xr:uid="{00000000-0004-0000-0B00-000048010000}"/>
    <hyperlink ref="T314" r:id="rId330" xr:uid="{00000000-0004-0000-0B00-000049010000}"/>
    <hyperlink ref="T315" r:id="rId331" xr:uid="{00000000-0004-0000-0B00-00004A010000}"/>
    <hyperlink ref="T316" r:id="rId332" xr:uid="{00000000-0004-0000-0B00-00004B010000}"/>
    <hyperlink ref="T317" r:id="rId333" xr:uid="{00000000-0004-0000-0B00-00004C010000}"/>
    <hyperlink ref="T318" r:id="rId334" xr:uid="{00000000-0004-0000-0B00-00004D010000}"/>
    <hyperlink ref="T319" r:id="rId335" xr:uid="{00000000-0004-0000-0B00-00004E010000}"/>
    <hyperlink ref="T320" r:id="rId336" xr:uid="{00000000-0004-0000-0B00-00004F010000}"/>
    <hyperlink ref="T321" r:id="rId337" xr:uid="{00000000-0004-0000-0B00-000050010000}"/>
    <hyperlink ref="T322" r:id="rId338" xr:uid="{00000000-0004-0000-0B00-000051010000}"/>
    <hyperlink ref="T323" r:id="rId339" xr:uid="{00000000-0004-0000-0B00-000052010000}"/>
    <hyperlink ref="T324" r:id="rId340" xr:uid="{00000000-0004-0000-0B00-000053010000}"/>
    <hyperlink ref="T325" r:id="rId341" xr:uid="{00000000-0004-0000-0B00-000054010000}"/>
    <hyperlink ref="T326" r:id="rId342" xr:uid="{00000000-0004-0000-0B00-000055010000}"/>
    <hyperlink ref="T327" r:id="rId343" xr:uid="{00000000-0004-0000-0B00-000056010000}"/>
    <hyperlink ref="T328" r:id="rId344" xr:uid="{00000000-0004-0000-0B00-000057010000}"/>
    <hyperlink ref="T329" r:id="rId345" xr:uid="{00000000-0004-0000-0B00-000058010000}"/>
    <hyperlink ref="T330" r:id="rId346" xr:uid="{00000000-0004-0000-0B00-000059010000}"/>
    <hyperlink ref="T331" r:id="rId347" xr:uid="{00000000-0004-0000-0B00-00005A010000}"/>
    <hyperlink ref="T332" r:id="rId348" xr:uid="{00000000-0004-0000-0B00-00005B010000}"/>
    <hyperlink ref="T333" r:id="rId349" xr:uid="{00000000-0004-0000-0B00-00005C010000}"/>
    <hyperlink ref="T334" r:id="rId350" xr:uid="{00000000-0004-0000-0B00-00005D010000}"/>
    <hyperlink ref="T335" r:id="rId351" xr:uid="{00000000-0004-0000-0B00-00005E010000}"/>
    <hyperlink ref="T336" r:id="rId352" xr:uid="{00000000-0004-0000-0B00-00005F010000}"/>
    <hyperlink ref="T337" r:id="rId353" xr:uid="{00000000-0004-0000-0B00-000060010000}"/>
    <hyperlink ref="T338" r:id="rId354" xr:uid="{00000000-0004-0000-0B00-000061010000}"/>
    <hyperlink ref="T339" r:id="rId355" xr:uid="{00000000-0004-0000-0B00-000062010000}"/>
    <hyperlink ref="T340" r:id="rId356" xr:uid="{00000000-0004-0000-0B00-000063010000}"/>
    <hyperlink ref="T341" r:id="rId357" xr:uid="{00000000-0004-0000-0B00-000064010000}"/>
    <hyperlink ref="T342" r:id="rId358" xr:uid="{00000000-0004-0000-0B00-000065010000}"/>
    <hyperlink ref="T343" r:id="rId359" xr:uid="{00000000-0004-0000-0B00-000066010000}"/>
    <hyperlink ref="T344" r:id="rId360" xr:uid="{00000000-0004-0000-0B00-000067010000}"/>
    <hyperlink ref="T345" r:id="rId361" xr:uid="{00000000-0004-0000-0B00-000068010000}"/>
    <hyperlink ref="T346" r:id="rId362" xr:uid="{00000000-0004-0000-0B00-000069010000}"/>
    <hyperlink ref="T347" r:id="rId363" xr:uid="{00000000-0004-0000-0B00-00006A010000}"/>
    <hyperlink ref="T348" r:id="rId364" xr:uid="{00000000-0004-0000-0B00-00006B010000}"/>
    <hyperlink ref="T349" r:id="rId365" xr:uid="{00000000-0004-0000-0B00-00006C010000}"/>
    <hyperlink ref="T350" r:id="rId366" xr:uid="{00000000-0004-0000-0B00-00006D010000}"/>
    <hyperlink ref="T351" r:id="rId367" xr:uid="{00000000-0004-0000-0B00-00006E010000}"/>
    <hyperlink ref="T352" r:id="rId368" xr:uid="{00000000-0004-0000-0B00-00006F010000}"/>
    <hyperlink ref="T353" r:id="rId369" xr:uid="{00000000-0004-0000-0B00-000070010000}"/>
    <hyperlink ref="T354" r:id="rId370" xr:uid="{00000000-0004-0000-0B00-000071010000}"/>
    <hyperlink ref="T355" r:id="rId371" xr:uid="{00000000-0004-0000-0B00-000072010000}"/>
    <hyperlink ref="T356" r:id="rId372" xr:uid="{00000000-0004-0000-0B00-000073010000}"/>
    <hyperlink ref="T357" r:id="rId373" xr:uid="{00000000-0004-0000-0B00-000074010000}"/>
    <hyperlink ref="T358" r:id="rId374" xr:uid="{00000000-0004-0000-0B00-000075010000}"/>
    <hyperlink ref="T359" r:id="rId375" xr:uid="{00000000-0004-0000-0B00-000076010000}"/>
    <hyperlink ref="T360" r:id="rId376" xr:uid="{00000000-0004-0000-0B00-000077010000}"/>
    <hyperlink ref="T361" r:id="rId377" xr:uid="{00000000-0004-0000-0B00-000078010000}"/>
    <hyperlink ref="T362" r:id="rId378" xr:uid="{00000000-0004-0000-0B00-000079010000}"/>
    <hyperlink ref="T363" r:id="rId379" xr:uid="{00000000-0004-0000-0B00-00007A010000}"/>
    <hyperlink ref="T364" r:id="rId380" xr:uid="{00000000-0004-0000-0B00-00007B010000}"/>
    <hyperlink ref="T365" r:id="rId381" xr:uid="{00000000-0004-0000-0B00-00007C010000}"/>
    <hyperlink ref="T366" r:id="rId382" xr:uid="{00000000-0004-0000-0B00-00007D010000}"/>
    <hyperlink ref="T367" r:id="rId383" xr:uid="{00000000-0004-0000-0B00-00007E010000}"/>
    <hyperlink ref="T368" r:id="rId384" xr:uid="{00000000-0004-0000-0B00-00007F010000}"/>
    <hyperlink ref="T369" r:id="rId385" xr:uid="{00000000-0004-0000-0B00-000080010000}"/>
    <hyperlink ref="T370" r:id="rId386" xr:uid="{00000000-0004-0000-0B00-000081010000}"/>
    <hyperlink ref="T371" r:id="rId387" xr:uid="{00000000-0004-0000-0B00-000082010000}"/>
    <hyperlink ref="T372" r:id="rId388" xr:uid="{00000000-0004-0000-0B00-000083010000}"/>
    <hyperlink ref="T373" r:id="rId389" xr:uid="{00000000-0004-0000-0B00-000084010000}"/>
    <hyperlink ref="T374" r:id="rId390" xr:uid="{00000000-0004-0000-0B00-000085010000}"/>
    <hyperlink ref="T375" r:id="rId391" xr:uid="{00000000-0004-0000-0B00-000086010000}"/>
    <hyperlink ref="T376" r:id="rId392" xr:uid="{00000000-0004-0000-0B00-000087010000}"/>
    <hyperlink ref="T377" r:id="rId393" xr:uid="{00000000-0004-0000-0B00-000088010000}"/>
    <hyperlink ref="T378" r:id="rId394" xr:uid="{00000000-0004-0000-0B00-000089010000}"/>
    <hyperlink ref="T379" r:id="rId395" xr:uid="{00000000-0004-0000-0B00-00008A010000}"/>
    <hyperlink ref="T380" r:id="rId396" xr:uid="{00000000-0004-0000-0B00-00008B010000}"/>
    <hyperlink ref="T381" r:id="rId397" xr:uid="{00000000-0004-0000-0B00-00008C010000}"/>
    <hyperlink ref="T382" r:id="rId398" xr:uid="{00000000-0004-0000-0B00-00008D010000}"/>
    <hyperlink ref="T383" r:id="rId399" xr:uid="{00000000-0004-0000-0B00-00008E010000}"/>
    <hyperlink ref="T384" r:id="rId400" xr:uid="{00000000-0004-0000-0B00-00008F010000}"/>
    <hyperlink ref="T385" r:id="rId401" xr:uid="{00000000-0004-0000-0B00-000090010000}"/>
    <hyperlink ref="T386" r:id="rId402" xr:uid="{00000000-0004-0000-0B00-000091010000}"/>
    <hyperlink ref="T387" r:id="rId403" xr:uid="{00000000-0004-0000-0B00-000092010000}"/>
    <hyperlink ref="T388" r:id="rId404" xr:uid="{00000000-0004-0000-0B00-000093010000}"/>
    <hyperlink ref="T389" r:id="rId405" xr:uid="{00000000-0004-0000-0B00-000094010000}"/>
    <hyperlink ref="T390" r:id="rId406" xr:uid="{00000000-0004-0000-0B00-000095010000}"/>
    <hyperlink ref="T391" r:id="rId407" xr:uid="{00000000-0004-0000-0B00-000096010000}"/>
    <hyperlink ref="T392" r:id="rId408" xr:uid="{00000000-0004-0000-0B00-000097010000}"/>
    <hyperlink ref="T393" r:id="rId409" xr:uid="{00000000-0004-0000-0B00-000098010000}"/>
    <hyperlink ref="T394" r:id="rId410" xr:uid="{00000000-0004-0000-0B00-000099010000}"/>
    <hyperlink ref="T395" r:id="rId411" xr:uid="{00000000-0004-0000-0B00-00009A010000}"/>
    <hyperlink ref="T396" r:id="rId412" xr:uid="{00000000-0004-0000-0B00-00009B010000}"/>
    <hyperlink ref="T397" r:id="rId413" xr:uid="{00000000-0004-0000-0B00-00009C010000}"/>
    <hyperlink ref="T398" r:id="rId414" xr:uid="{00000000-0004-0000-0B00-00009D010000}"/>
    <hyperlink ref="T399" r:id="rId415" xr:uid="{00000000-0004-0000-0B00-00009E010000}"/>
    <hyperlink ref="T400" r:id="rId416" xr:uid="{00000000-0004-0000-0B00-00009F010000}"/>
    <hyperlink ref="T401" r:id="rId417" xr:uid="{00000000-0004-0000-0B00-0000A0010000}"/>
    <hyperlink ref="T402" r:id="rId418" xr:uid="{00000000-0004-0000-0B00-0000A1010000}"/>
    <hyperlink ref="T403" r:id="rId419" xr:uid="{00000000-0004-0000-0B00-0000A2010000}"/>
    <hyperlink ref="T404" r:id="rId420" xr:uid="{00000000-0004-0000-0B00-0000A3010000}"/>
    <hyperlink ref="T405" r:id="rId421" xr:uid="{00000000-0004-0000-0B00-0000A4010000}"/>
    <hyperlink ref="T406" r:id="rId422" xr:uid="{00000000-0004-0000-0B00-0000A5010000}"/>
    <hyperlink ref="T407" r:id="rId423" xr:uid="{00000000-0004-0000-0B00-0000A6010000}"/>
    <hyperlink ref="T408" r:id="rId424" xr:uid="{00000000-0004-0000-0B00-0000A7010000}"/>
    <hyperlink ref="T409" r:id="rId425" xr:uid="{00000000-0004-0000-0B00-0000A8010000}"/>
    <hyperlink ref="T410" r:id="rId426" xr:uid="{00000000-0004-0000-0B00-0000A9010000}"/>
    <hyperlink ref="T411" r:id="rId427" xr:uid="{00000000-0004-0000-0B00-0000AA010000}"/>
    <hyperlink ref="T412" r:id="rId428" xr:uid="{00000000-0004-0000-0B00-0000AB010000}"/>
    <hyperlink ref="T413" r:id="rId429" xr:uid="{00000000-0004-0000-0B00-0000AC010000}"/>
    <hyperlink ref="T414" r:id="rId430" xr:uid="{00000000-0004-0000-0B00-0000AD010000}"/>
    <hyperlink ref="T415" r:id="rId431" xr:uid="{00000000-0004-0000-0B00-0000AE010000}"/>
    <hyperlink ref="T416" r:id="rId432" xr:uid="{00000000-0004-0000-0B00-0000AF010000}"/>
    <hyperlink ref="T417" r:id="rId433" xr:uid="{00000000-0004-0000-0B00-0000B0010000}"/>
    <hyperlink ref="AA417" r:id="rId434" xr:uid="{00000000-0004-0000-0B00-0000B1010000}"/>
    <hyperlink ref="T418" r:id="rId435" xr:uid="{00000000-0004-0000-0B00-0000B2010000}"/>
    <hyperlink ref="T419" r:id="rId436" xr:uid="{00000000-0004-0000-0B00-0000B3010000}"/>
    <hyperlink ref="T420" r:id="rId437" xr:uid="{00000000-0004-0000-0B00-0000B4010000}"/>
    <hyperlink ref="T421" r:id="rId438" xr:uid="{00000000-0004-0000-0B00-0000B5010000}"/>
    <hyperlink ref="T422" r:id="rId439" xr:uid="{00000000-0004-0000-0B00-0000B6010000}"/>
    <hyperlink ref="T423" r:id="rId440" xr:uid="{00000000-0004-0000-0B00-0000B7010000}"/>
    <hyperlink ref="T424" r:id="rId441" xr:uid="{00000000-0004-0000-0B00-0000B8010000}"/>
    <hyperlink ref="T425" r:id="rId442" xr:uid="{00000000-0004-0000-0B00-0000B9010000}"/>
    <hyperlink ref="T426" r:id="rId443" xr:uid="{00000000-0004-0000-0B00-0000BA010000}"/>
    <hyperlink ref="T427" r:id="rId444" xr:uid="{00000000-0004-0000-0B00-0000BB010000}"/>
    <hyperlink ref="T428" r:id="rId445" xr:uid="{00000000-0004-0000-0B00-0000BC010000}"/>
    <hyperlink ref="T429" r:id="rId446" xr:uid="{00000000-0004-0000-0B00-0000BD010000}"/>
    <hyperlink ref="T430" r:id="rId447" xr:uid="{00000000-0004-0000-0B00-0000BE010000}"/>
    <hyperlink ref="Z430" r:id="rId448" xr:uid="{00000000-0004-0000-0B00-0000BF010000}"/>
    <hyperlink ref="AA430" r:id="rId449" xr:uid="{00000000-0004-0000-0B00-0000C0010000}"/>
    <hyperlink ref="T431" r:id="rId450" xr:uid="{00000000-0004-0000-0B00-0000C1010000}"/>
    <hyperlink ref="AA431" r:id="rId451" xr:uid="{00000000-0004-0000-0B00-0000C2010000}"/>
    <hyperlink ref="AB431" r:id="rId452" xr:uid="{00000000-0004-0000-0B00-0000C3010000}"/>
    <hyperlink ref="T432" r:id="rId453" xr:uid="{00000000-0004-0000-0B00-0000C4010000}"/>
    <hyperlink ref="T433" r:id="rId454" xr:uid="{00000000-0004-0000-0B00-0000C5010000}"/>
    <hyperlink ref="AA433" r:id="rId455" xr:uid="{00000000-0004-0000-0B00-0000C6010000}"/>
    <hyperlink ref="T434" r:id="rId456" xr:uid="{00000000-0004-0000-0B00-0000C7010000}"/>
    <hyperlink ref="T435" r:id="rId457" xr:uid="{00000000-0004-0000-0B00-0000C8010000}"/>
    <hyperlink ref="T436" r:id="rId458" xr:uid="{00000000-0004-0000-0B00-0000C9010000}"/>
    <hyperlink ref="T437" r:id="rId459" xr:uid="{00000000-0004-0000-0B00-0000CA010000}"/>
    <hyperlink ref="T438" r:id="rId460" xr:uid="{00000000-0004-0000-0B00-0000CB010000}"/>
    <hyperlink ref="T439" r:id="rId461" xr:uid="{00000000-0004-0000-0B00-0000CC010000}"/>
    <hyperlink ref="T440" r:id="rId462" xr:uid="{00000000-0004-0000-0B00-0000CD010000}"/>
    <hyperlink ref="T441" r:id="rId463" xr:uid="{00000000-0004-0000-0B00-0000CE010000}"/>
    <hyperlink ref="T442" r:id="rId464" xr:uid="{00000000-0004-0000-0B00-0000CF010000}"/>
    <hyperlink ref="T443" r:id="rId465" xr:uid="{00000000-0004-0000-0B00-0000D0010000}"/>
    <hyperlink ref="T444" r:id="rId466" xr:uid="{00000000-0004-0000-0B00-0000D1010000}"/>
    <hyperlink ref="T445" r:id="rId467" xr:uid="{00000000-0004-0000-0B00-0000D2010000}"/>
    <hyperlink ref="T446" r:id="rId468" xr:uid="{00000000-0004-0000-0B00-0000D3010000}"/>
    <hyperlink ref="T447" r:id="rId469" xr:uid="{00000000-0004-0000-0B00-0000D4010000}"/>
    <hyperlink ref="T448" r:id="rId470" xr:uid="{00000000-0004-0000-0B00-0000D5010000}"/>
    <hyperlink ref="T449" r:id="rId471" xr:uid="{00000000-0004-0000-0B00-0000D6010000}"/>
    <hyperlink ref="T450" r:id="rId472" xr:uid="{00000000-0004-0000-0B00-0000D7010000}"/>
    <hyperlink ref="T451" r:id="rId473" xr:uid="{00000000-0004-0000-0B00-0000D8010000}"/>
    <hyperlink ref="T452" r:id="rId474" xr:uid="{00000000-0004-0000-0B00-0000D9010000}"/>
    <hyperlink ref="AA452" r:id="rId475" xr:uid="{00000000-0004-0000-0B00-0000DA010000}"/>
    <hyperlink ref="AB452" r:id="rId476" xr:uid="{00000000-0004-0000-0B00-0000DB010000}"/>
    <hyperlink ref="T453" r:id="rId477" xr:uid="{00000000-0004-0000-0B00-0000DC010000}"/>
    <hyperlink ref="T454" r:id="rId478" xr:uid="{00000000-0004-0000-0B00-0000DD010000}"/>
    <hyperlink ref="T455" r:id="rId479" xr:uid="{00000000-0004-0000-0B00-0000DE010000}"/>
    <hyperlink ref="T456" r:id="rId480" xr:uid="{00000000-0004-0000-0B00-0000DF010000}"/>
    <hyperlink ref="T457" r:id="rId481" xr:uid="{00000000-0004-0000-0B00-0000E0010000}"/>
    <hyperlink ref="T458" r:id="rId482" xr:uid="{00000000-0004-0000-0B00-0000E1010000}"/>
    <hyperlink ref="T459" r:id="rId483" xr:uid="{00000000-0004-0000-0B00-0000E2010000}"/>
    <hyperlink ref="T460" r:id="rId484" xr:uid="{00000000-0004-0000-0B00-0000E3010000}"/>
    <hyperlink ref="T461" r:id="rId485" xr:uid="{00000000-0004-0000-0B00-0000E4010000}"/>
    <hyperlink ref="T462" r:id="rId486" xr:uid="{00000000-0004-0000-0B00-0000E5010000}"/>
    <hyperlink ref="T463" r:id="rId487" xr:uid="{00000000-0004-0000-0B00-0000E6010000}"/>
    <hyperlink ref="T464" r:id="rId488" xr:uid="{00000000-0004-0000-0B00-0000E7010000}"/>
    <hyperlink ref="T465" r:id="rId489" xr:uid="{00000000-0004-0000-0B00-0000E8010000}"/>
    <hyperlink ref="T466" r:id="rId490" xr:uid="{00000000-0004-0000-0B00-0000E9010000}"/>
    <hyperlink ref="T467" r:id="rId491" xr:uid="{00000000-0004-0000-0B00-0000EA010000}"/>
    <hyperlink ref="T468" r:id="rId492" xr:uid="{00000000-0004-0000-0B00-0000EB010000}"/>
    <hyperlink ref="T469" r:id="rId493" xr:uid="{00000000-0004-0000-0B00-0000EC010000}"/>
    <hyperlink ref="T470" r:id="rId494" xr:uid="{00000000-0004-0000-0B00-0000ED010000}"/>
    <hyperlink ref="T471" r:id="rId495" xr:uid="{00000000-0004-0000-0B00-0000EE010000}"/>
    <hyperlink ref="T472" r:id="rId496" xr:uid="{00000000-0004-0000-0B00-0000EF010000}"/>
    <hyperlink ref="T473" r:id="rId497" xr:uid="{00000000-0004-0000-0B00-0000F0010000}"/>
    <hyperlink ref="T474" r:id="rId498" xr:uid="{00000000-0004-0000-0B00-0000F1010000}"/>
    <hyperlink ref="T475" r:id="rId499" xr:uid="{00000000-0004-0000-0B00-0000F2010000}"/>
    <hyperlink ref="T476" r:id="rId500" xr:uid="{00000000-0004-0000-0B00-0000F3010000}"/>
    <hyperlink ref="T477" r:id="rId501" xr:uid="{00000000-0004-0000-0B00-0000F4010000}"/>
    <hyperlink ref="AA477" r:id="rId502" xr:uid="{00000000-0004-0000-0B00-0000F5010000}"/>
    <hyperlink ref="T478" r:id="rId503" xr:uid="{00000000-0004-0000-0B00-0000F6010000}"/>
    <hyperlink ref="T479" r:id="rId504" xr:uid="{00000000-0004-0000-0B00-0000F7010000}"/>
    <hyperlink ref="T480" r:id="rId505" xr:uid="{00000000-0004-0000-0B00-0000F8010000}"/>
    <hyperlink ref="T481" r:id="rId506" xr:uid="{00000000-0004-0000-0B00-0000F9010000}"/>
    <hyperlink ref="T482" r:id="rId507" xr:uid="{00000000-0004-0000-0B00-0000FA010000}"/>
    <hyperlink ref="T483" r:id="rId508" xr:uid="{00000000-0004-0000-0B00-0000FB010000}"/>
    <hyperlink ref="T484" r:id="rId509" xr:uid="{00000000-0004-0000-0B00-0000FC010000}"/>
    <hyperlink ref="T485" r:id="rId510" xr:uid="{00000000-0004-0000-0B00-0000FD010000}"/>
    <hyperlink ref="T486" r:id="rId511" xr:uid="{00000000-0004-0000-0B00-0000FE010000}"/>
    <hyperlink ref="T487" r:id="rId512" xr:uid="{00000000-0004-0000-0B00-0000FF010000}"/>
    <hyperlink ref="T488" r:id="rId513" xr:uid="{00000000-0004-0000-0B00-000000020000}"/>
    <hyperlink ref="T489" r:id="rId514" xr:uid="{00000000-0004-0000-0B00-000001020000}"/>
    <hyperlink ref="T490" r:id="rId515" xr:uid="{00000000-0004-0000-0B00-000002020000}"/>
    <hyperlink ref="AA490" r:id="rId516" xr:uid="{00000000-0004-0000-0B00-000003020000}"/>
    <hyperlink ref="T491" r:id="rId517" xr:uid="{00000000-0004-0000-0B00-000004020000}"/>
    <hyperlink ref="AA491" r:id="rId518" xr:uid="{00000000-0004-0000-0B00-000005020000}"/>
    <hyperlink ref="T492" r:id="rId519" xr:uid="{00000000-0004-0000-0B00-000006020000}"/>
    <hyperlink ref="T493" r:id="rId520" xr:uid="{00000000-0004-0000-0B00-000007020000}"/>
    <hyperlink ref="T494" r:id="rId521" xr:uid="{00000000-0004-0000-0B00-000008020000}"/>
    <hyperlink ref="T495" r:id="rId522" xr:uid="{00000000-0004-0000-0B00-000009020000}"/>
    <hyperlink ref="AA495" r:id="rId523" xr:uid="{00000000-0004-0000-0B00-00000A020000}"/>
    <hyperlink ref="T496" r:id="rId524" xr:uid="{00000000-0004-0000-0B00-00000B020000}"/>
    <hyperlink ref="AA496" r:id="rId525" xr:uid="{00000000-0004-0000-0B00-00000C020000}"/>
    <hyperlink ref="AB496" r:id="rId526" xr:uid="{00000000-0004-0000-0B00-00000D020000}"/>
    <hyperlink ref="T497" r:id="rId527" xr:uid="{00000000-0004-0000-0B00-00000E020000}"/>
    <hyperlink ref="T498" r:id="rId528" xr:uid="{00000000-0004-0000-0B00-00000F020000}"/>
    <hyperlink ref="AA498" r:id="rId529" xr:uid="{00000000-0004-0000-0B00-000010020000}"/>
    <hyperlink ref="T499" r:id="rId530" xr:uid="{00000000-0004-0000-0B00-000011020000}"/>
    <hyperlink ref="T500" r:id="rId531" xr:uid="{00000000-0004-0000-0B00-000012020000}"/>
    <hyperlink ref="T501" r:id="rId532" xr:uid="{00000000-0004-0000-0B00-000013020000}"/>
    <hyperlink ref="T502" r:id="rId533" xr:uid="{00000000-0004-0000-0B00-000014020000}"/>
    <hyperlink ref="T503" r:id="rId534" xr:uid="{00000000-0004-0000-0B00-000015020000}"/>
    <hyperlink ref="AA503" r:id="rId535" xr:uid="{00000000-0004-0000-0B00-000016020000}"/>
    <hyperlink ref="T504" r:id="rId536" xr:uid="{00000000-0004-0000-0B00-000017020000}"/>
    <hyperlink ref="T505" r:id="rId537" xr:uid="{00000000-0004-0000-0B00-000018020000}"/>
    <hyperlink ref="T506" r:id="rId538" xr:uid="{00000000-0004-0000-0B00-000019020000}"/>
    <hyperlink ref="T507" r:id="rId539" xr:uid="{00000000-0004-0000-0B00-00001A020000}"/>
    <hyperlink ref="AA507" r:id="rId540" xr:uid="{00000000-0004-0000-0B00-00001B020000}"/>
    <hyperlink ref="T508" r:id="rId541" xr:uid="{00000000-0004-0000-0B00-00001C020000}"/>
    <hyperlink ref="T509" r:id="rId542" xr:uid="{00000000-0004-0000-0B00-00001D020000}"/>
    <hyperlink ref="AA509" r:id="rId543" xr:uid="{00000000-0004-0000-0B00-00001E020000}"/>
    <hyperlink ref="T510" r:id="rId544" xr:uid="{00000000-0004-0000-0B00-00001F020000}"/>
    <hyperlink ref="T511" r:id="rId545" xr:uid="{00000000-0004-0000-0B00-000020020000}"/>
    <hyperlink ref="T512" r:id="rId546" xr:uid="{00000000-0004-0000-0B00-000021020000}"/>
    <hyperlink ref="T513" r:id="rId547" xr:uid="{00000000-0004-0000-0B00-000022020000}"/>
    <hyperlink ref="T514" r:id="rId548" xr:uid="{00000000-0004-0000-0B00-000023020000}"/>
    <hyperlink ref="T515" r:id="rId549" xr:uid="{00000000-0004-0000-0B00-000024020000}"/>
    <hyperlink ref="T516" r:id="rId550" xr:uid="{00000000-0004-0000-0B00-000025020000}"/>
    <hyperlink ref="T517" r:id="rId551" xr:uid="{00000000-0004-0000-0B00-000026020000}"/>
    <hyperlink ref="T518" r:id="rId552" xr:uid="{00000000-0004-0000-0B00-000027020000}"/>
    <hyperlink ref="T519" r:id="rId553" xr:uid="{00000000-0004-0000-0B00-000028020000}"/>
    <hyperlink ref="T520" r:id="rId554" xr:uid="{00000000-0004-0000-0B00-000029020000}"/>
    <hyperlink ref="T521" r:id="rId555" xr:uid="{00000000-0004-0000-0B00-00002A020000}"/>
    <hyperlink ref="T522" r:id="rId556" xr:uid="{00000000-0004-0000-0B00-00002B020000}"/>
    <hyperlink ref="T523" r:id="rId557" xr:uid="{00000000-0004-0000-0B00-00002C020000}"/>
    <hyperlink ref="T524" r:id="rId558" xr:uid="{00000000-0004-0000-0B00-00002D020000}"/>
    <hyperlink ref="T525" r:id="rId559" xr:uid="{00000000-0004-0000-0B00-00002E020000}"/>
    <hyperlink ref="T526" r:id="rId560" xr:uid="{00000000-0004-0000-0B00-00002F020000}"/>
    <hyperlink ref="T527" r:id="rId561" xr:uid="{00000000-0004-0000-0B00-000030020000}"/>
    <hyperlink ref="AA527" r:id="rId562" xr:uid="{00000000-0004-0000-0B00-000031020000}"/>
    <hyperlink ref="T528" r:id="rId563" xr:uid="{00000000-0004-0000-0B00-000032020000}"/>
    <hyperlink ref="T529" r:id="rId564" xr:uid="{00000000-0004-0000-0B00-000033020000}"/>
    <hyperlink ref="T530" r:id="rId565" xr:uid="{00000000-0004-0000-0B00-000034020000}"/>
    <hyperlink ref="T531" r:id="rId566" xr:uid="{00000000-0004-0000-0B00-000035020000}"/>
    <hyperlink ref="T532" r:id="rId567" xr:uid="{00000000-0004-0000-0B00-000036020000}"/>
    <hyperlink ref="T533" r:id="rId568" xr:uid="{00000000-0004-0000-0B00-000037020000}"/>
    <hyperlink ref="T534" r:id="rId569" xr:uid="{00000000-0004-0000-0B00-000038020000}"/>
    <hyperlink ref="T535" r:id="rId570" xr:uid="{00000000-0004-0000-0B00-000039020000}"/>
    <hyperlink ref="T536" r:id="rId571" xr:uid="{00000000-0004-0000-0B00-00003A020000}"/>
    <hyperlink ref="T537" r:id="rId572" xr:uid="{00000000-0004-0000-0B00-00003B020000}"/>
    <hyperlink ref="T538" r:id="rId573" xr:uid="{00000000-0004-0000-0B00-00003C020000}"/>
    <hyperlink ref="T539" r:id="rId574" xr:uid="{00000000-0004-0000-0B00-00003D020000}"/>
    <hyperlink ref="T540" r:id="rId575" xr:uid="{00000000-0004-0000-0B00-00003E020000}"/>
    <hyperlink ref="T541" r:id="rId576" xr:uid="{00000000-0004-0000-0B00-00003F020000}"/>
    <hyperlink ref="T542" r:id="rId577" xr:uid="{00000000-0004-0000-0B00-000040020000}"/>
    <hyperlink ref="T543" r:id="rId578" xr:uid="{00000000-0004-0000-0B00-000041020000}"/>
    <hyperlink ref="T544" r:id="rId579" xr:uid="{00000000-0004-0000-0B00-000042020000}"/>
    <hyperlink ref="T545" r:id="rId580" xr:uid="{00000000-0004-0000-0B00-000043020000}"/>
    <hyperlink ref="T546" r:id="rId581" xr:uid="{00000000-0004-0000-0B00-000044020000}"/>
    <hyperlink ref="T547" r:id="rId582" xr:uid="{00000000-0004-0000-0B00-000045020000}"/>
    <hyperlink ref="AA547" r:id="rId583" xr:uid="{00000000-0004-0000-0B00-000046020000}"/>
    <hyperlink ref="T548" r:id="rId584" xr:uid="{00000000-0004-0000-0B00-000047020000}"/>
    <hyperlink ref="T549" r:id="rId585" xr:uid="{00000000-0004-0000-0B00-000048020000}"/>
    <hyperlink ref="T550" r:id="rId586" xr:uid="{00000000-0004-0000-0B00-000049020000}"/>
    <hyperlink ref="T551" r:id="rId587" xr:uid="{00000000-0004-0000-0B00-00004A020000}"/>
    <hyperlink ref="T552" r:id="rId588" xr:uid="{00000000-0004-0000-0B00-00004B020000}"/>
    <hyperlink ref="T553" r:id="rId589" xr:uid="{00000000-0004-0000-0B00-00004C020000}"/>
    <hyperlink ref="T554" r:id="rId590" xr:uid="{00000000-0004-0000-0B00-00004D020000}"/>
    <hyperlink ref="T555" r:id="rId591" xr:uid="{00000000-0004-0000-0B00-00004E020000}"/>
    <hyperlink ref="T556" r:id="rId592" xr:uid="{00000000-0004-0000-0B00-00004F020000}"/>
    <hyperlink ref="T557" r:id="rId593" xr:uid="{00000000-0004-0000-0B00-000050020000}"/>
    <hyperlink ref="T558" r:id="rId594" xr:uid="{00000000-0004-0000-0B00-000051020000}"/>
    <hyperlink ref="T559" r:id="rId595" xr:uid="{00000000-0004-0000-0B00-000052020000}"/>
    <hyperlink ref="T560" r:id="rId596" xr:uid="{00000000-0004-0000-0B00-000053020000}"/>
    <hyperlink ref="T561" r:id="rId597" xr:uid="{00000000-0004-0000-0B00-000054020000}"/>
    <hyperlink ref="T562" r:id="rId598" xr:uid="{00000000-0004-0000-0B00-000055020000}"/>
    <hyperlink ref="T563" r:id="rId599" xr:uid="{00000000-0004-0000-0B00-000056020000}"/>
    <hyperlink ref="T564" r:id="rId600" xr:uid="{00000000-0004-0000-0B00-000057020000}"/>
    <hyperlink ref="T565" r:id="rId601" xr:uid="{00000000-0004-0000-0B00-000058020000}"/>
    <hyperlink ref="T566" r:id="rId602" xr:uid="{00000000-0004-0000-0B00-000059020000}"/>
    <hyperlink ref="T567" r:id="rId603" xr:uid="{00000000-0004-0000-0B00-00005A020000}"/>
    <hyperlink ref="T568" r:id="rId604" xr:uid="{00000000-0004-0000-0B00-00005B020000}"/>
    <hyperlink ref="T569" r:id="rId605" xr:uid="{00000000-0004-0000-0B00-00005C020000}"/>
    <hyperlink ref="T570" r:id="rId606" xr:uid="{00000000-0004-0000-0B00-00005D020000}"/>
    <hyperlink ref="T571" r:id="rId607" xr:uid="{00000000-0004-0000-0B00-00005E020000}"/>
    <hyperlink ref="T572" r:id="rId608" xr:uid="{00000000-0004-0000-0B00-00005F020000}"/>
    <hyperlink ref="T573" r:id="rId609" xr:uid="{00000000-0004-0000-0B00-000060020000}"/>
    <hyperlink ref="T574" r:id="rId610" xr:uid="{00000000-0004-0000-0B00-000061020000}"/>
    <hyperlink ref="T575" r:id="rId611" xr:uid="{00000000-0004-0000-0B00-000062020000}"/>
    <hyperlink ref="T576" r:id="rId612" xr:uid="{00000000-0004-0000-0B00-000063020000}"/>
    <hyperlink ref="T577" r:id="rId613" xr:uid="{00000000-0004-0000-0B00-000064020000}"/>
    <hyperlink ref="T578" r:id="rId614" xr:uid="{00000000-0004-0000-0B00-000065020000}"/>
    <hyperlink ref="T579" r:id="rId615" xr:uid="{00000000-0004-0000-0B00-000066020000}"/>
    <hyperlink ref="T580" r:id="rId616" xr:uid="{00000000-0004-0000-0B00-000067020000}"/>
    <hyperlink ref="T581" r:id="rId617" xr:uid="{00000000-0004-0000-0B00-000068020000}"/>
    <hyperlink ref="T582" r:id="rId618" xr:uid="{00000000-0004-0000-0B00-000069020000}"/>
    <hyperlink ref="T583" r:id="rId619" xr:uid="{00000000-0004-0000-0B00-00006A020000}"/>
    <hyperlink ref="T584" r:id="rId620" xr:uid="{00000000-0004-0000-0B00-00006B020000}"/>
    <hyperlink ref="T585" r:id="rId621" xr:uid="{00000000-0004-0000-0B00-00006C020000}"/>
    <hyperlink ref="T586" r:id="rId622" xr:uid="{00000000-0004-0000-0B00-00006D020000}"/>
    <hyperlink ref="T587" r:id="rId623" xr:uid="{00000000-0004-0000-0B00-00006E020000}"/>
    <hyperlink ref="T588" r:id="rId624" xr:uid="{00000000-0004-0000-0B00-00006F020000}"/>
    <hyperlink ref="T589" r:id="rId625" xr:uid="{00000000-0004-0000-0B00-000070020000}"/>
    <hyperlink ref="T590" r:id="rId626" xr:uid="{00000000-0004-0000-0B00-000071020000}"/>
    <hyperlink ref="T591" r:id="rId627" xr:uid="{00000000-0004-0000-0B00-000072020000}"/>
    <hyperlink ref="T592" r:id="rId628" xr:uid="{00000000-0004-0000-0B00-000073020000}"/>
    <hyperlink ref="T593" r:id="rId629" xr:uid="{00000000-0004-0000-0B00-000074020000}"/>
    <hyperlink ref="T594" r:id="rId630" xr:uid="{00000000-0004-0000-0B00-000075020000}"/>
    <hyperlink ref="T595" r:id="rId631" xr:uid="{00000000-0004-0000-0B00-000076020000}"/>
    <hyperlink ref="T596" r:id="rId632" xr:uid="{00000000-0004-0000-0B00-000077020000}"/>
    <hyperlink ref="T597" r:id="rId633" xr:uid="{00000000-0004-0000-0B00-000078020000}"/>
    <hyperlink ref="T598" r:id="rId634" xr:uid="{00000000-0004-0000-0B00-000079020000}"/>
    <hyperlink ref="T599" r:id="rId635" xr:uid="{00000000-0004-0000-0B00-00007A020000}"/>
    <hyperlink ref="T600" r:id="rId636" xr:uid="{00000000-0004-0000-0B00-00007B020000}"/>
    <hyperlink ref="T601" r:id="rId637" xr:uid="{00000000-0004-0000-0B00-00007C020000}"/>
    <hyperlink ref="T602" r:id="rId638" xr:uid="{00000000-0004-0000-0B00-00007D020000}"/>
    <hyperlink ref="T603" r:id="rId639" xr:uid="{00000000-0004-0000-0B00-00007E020000}"/>
    <hyperlink ref="T604" r:id="rId640" xr:uid="{00000000-0004-0000-0B00-00007F020000}"/>
    <hyperlink ref="T605" r:id="rId641" xr:uid="{00000000-0004-0000-0B00-000080020000}"/>
    <hyperlink ref="T606" r:id="rId642" xr:uid="{00000000-0004-0000-0B00-000081020000}"/>
    <hyperlink ref="T607" r:id="rId643" xr:uid="{00000000-0004-0000-0B00-000082020000}"/>
    <hyperlink ref="T608" r:id="rId644" xr:uid="{00000000-0004-0000-0B00-000083020000}"/>
    <hyperlink ref="T609" r:id="rId645" xr:uid="{00000000-0004-0000-0B00-000084020000}"/>
    <hyperlink ref="T610" r:id="rId646" xr:uid="{00000000-0004-0000-0B00-000085020000}"/>
    <hyperlink ref="T611" r:id="rId647" xr:uid="{00000000-0004-0000-0B00-000086020000}"/>
    <hyperlink ref="T612" r:id="rId648" xr:uid="{00000000-0004-0000-0B00-000087020000}"/>
    <hyperlink ref="T613" r:id="rId649" xr:uid="{00000000-0004-0000-0B00-000088020000}"/>
    <hyperlink ref="T614" r:id="rId650" xr:uid="{00000000-0004-0000-0B00-000089020000}"/>
    <hyperlink ref="T615" r:id="rId651" xr:uid="{00000000-0004-0000-0B00-00008A020000}"/>
    <hyperlink ref="T616" r:id="rId652" xr:uid="{00000000-0004-0000-0B00-00008B020000}"/>
    <hyperlink ref="T617" r:id="rId653" xr:uid="{00000000-0004-0000-0B00-00008C020000}"/>
    <hyperlink ref="T618" r:id="rId654" xr:uid="{00000000-0004-0000-0B00-00008D020000}"/>
    <hyperlink ref="T619" r:id="rId655" xr:uid="{00000000-0004-0000-0B00-00008E020000}"/>
    <hyperlink ref="T620" r:id="rId656" xr:uid="{00000000-0004-0000-0B00-00008F020000}"/>
    <hyperlink ref="T621" r:id="rId657" xr:uid="{00000000-0004-0000-0B00-000090020000}"/>
    <hyperlink ref="T622" r:id="rId658" xr:uid="{00000000-0004-0000-0B00-000091020000}"/>
    <hyperlink ref="T623" r:id="rId659" xr:uid="{00000000-0004-0000-0B00-000092020000}"/>
    <hyperlink ref="T624" r:id="rId660" xr:uid="{00000000-0004-0000-0B00-000093020000}"/>
    <hyperlink ref="T625" r:id="rId661" xr:uid="{00000000-0004-0000-0B00-000094020000}"/>
    <hyperlink ref="T626" r:id="rId662" xr:uid="{00000000-0004-0000-0B00-000095020000}"/>
    <hyperlink ref="T627" r:id="rId663" xr:uid="{00000000-0004-0000-0B00-000096020000}"/>
    <hyperlink ref="T628" r:id="rId664" xr:uid="{00000000-0004-0000-0B00-000097020000}"/>
    <hyperlink ref="T629" r:id="rId665" xr:uid="{00000000-0004-0000-0B00-000098020000}"/>
    <hyperlink ref="T630" r:id="rId666" xr:uid="{00000000-0004-0000-0B00-000099020000}"/>
    <hyperlink ref="T631" r:id="rId667" xr:uid="{00000000-0004-0000-0B00-00009A020000}"/>
    <hyperlink ref="T632" r:id="rId668" xr:uid="{00000000-0004-0000-0B00-00009B020000}"/>
    <hyperlink ref="T633" r:id="rId669" xr:uid="{00000000-0004-0000-0B00-00009C020000}"/>
    <hyperlink ref="T634" r:id="rId670" xr:uid="{00000000-0004-0000-0B00-00009D020000}"/>
    <hyperlink ref="T635" r:id="rId671" xr:uid="{00000000-0004-0000-0B00-00009E020000}"/>
    <hyperlink ref="T636" r:id="rId672" xr:uid="{00000000-0004-0000-0B00-00009F020000}"/>
    <hyperlink ref="T637" r:id="rId673" xr:uid="{00000000-0004-0000-0B00-0000A0020000}"/>
    <hyperlink ref="T638" r:id="rId674" xr:uid="{00000000-0004-0000-0B00-0000A1020000}"/>
    <hyperlink ref="T639" r:id="rId675" xr:uid="{00000000-0004-0000-0B00-0000A2020000}"/>
    <hyperlink ref="T640" r:id="rId676" xr:uid="{00000000-0004-0000-0B00-0000A3020000}"/>
    <hyperlink ref="T641" r:id="rId677" xr:uid="{00000000-0004-0000-0B00-0000A4020000}"/>
    <hyperlink ref="T642" r:id="rId678" xr:uid="{00000000-0004-0000-0B00-0000A5020000}"/>
    <hyperlink ref="T643" r:id="rId679" xr:uid="{00000000-0004-0000-0B00-0000A6020000}"/>
    <hyperlink ref="T644" r:id="rId680" xr:uid="{00000000-0004-0000-0B00-0000A7020000}"/>
    <hyperlink ref="T645" r:id="rId681" xr:uid="{00000000-0004-0000-0B00-0000A8020000}"/>
    <hyperlink ref="T646" r:id="rId682" xr:uid="{00000000-0004-0000-0B00-0000A9020000}"/>
    <hyperlink ref="T647" r:id="rId683" xr:uid="{00000000-0004-0000-0B00-0000AA020000}"/>
    <hyperlink ref="T648" r:id="rId684" xr:uid="{00000000-0004-0000-0B00-0000AB020000}"/>
    <hyperlink ref="T649" r:id="rId685" xr:uid="{00000000-0004-0000-0B00-0000AC020000}"/>
    <hyperlink ref="T650" r:id="rId686" xr:uid="{00000000-0004-0000-0B00-0000AD020000}"/>
    <hyperlink ref="T651" r:id="rId687" xr:uid="{00000000-0004-0000-0B00-0000AE020000}"/>
    <hyperlink ref="T652" r:id="rId688" xr:uid="{00000000-0004-0000-0B00-0000AF020000}"/>
    <hyperlink ref="T653" r:id="rId689" xr:uid="{00000000-0004-0000-0B00-0000B0020000}"/>
    <hyperlink ref="T654" r:id="rId690" xr:uid="{00000000-0004-0000-0B00-0000B1020000}"/>
    <hyperlink ref="T655" r:id="rId691" xr:uid="{00000000-0004-0000-0B00-0000B2020000}"/>
    <hyperlink ref="T656" r:id="rId692" xr:uid="{00000000-0004-0000-0B00-0000B3020000}"/>
    <hyperlink ref="T657" r:id="rId693" xr:uid="{00000000-0004-0000-0B00-0000B4020000}"/>
    <hyperlink ref="T658" r:id="rId694" xr:uid="{00000000-0004-0000-0B00-0000B5020000}"/>
    <hyperlink ref="T659" r:id="rId695" xr:uid="{00000000-0004-0000-0B00-0000B6020000}"/>
    <hyperlink ref="T660" r:id="rId696" xr:uid="{00000000-0004-0000-0B00-0000B7020000}"/>
    <hyperlink ref="T661" r:id="rId697" xr:uid="{00000000-0004-0000-0B00-0000B8020000}"/>
    <hyperlink ref="T662" r:id="rId698" xr:uid="{00000000-0004-0000-0B00-0000B9020000}"/>
    <hyperlink ref="T663" r:id="rId699" xr:uid="{00000000-0004-0000-0B00-0000BA020000}"/>
    <hyperlink ref="T664" r:id="rId700" xr:uid="{00000000-0004-0000-0B00-0000BB020000}"/>
    <hyperlink ref="T665" r:id="rId701" xr:uid="{00000000-0004-0000-0B00-0000BC020000}"/>
    <hyperlink ref="T666" r:id="rId702" xr:uid="{00000000-0004-0000-0B00-0000BD020000}"/>
    <hyperlink ref="T667" r:id="rId703" xr:uid="{00000000-0004-0000-0B00-0000BE020000}"/>
    <hyperlink ref="T668" r:id="rId704" xr:uid="{00000000-0004-0000-0B00-0000BF020000}"/>
    <hyperlink ref="T669" r:id="rId705" xr:uid="{00000000-0004-0000-0B00-0000C0020000}"/>
    <hyperlink ref="T670" r:id="rId706" xr:uid="{00000000-0004-0000-0B00-0000C1020000}"/>
    <hyperlink ref="T671" r:id="rId707" xr:uid="{00000000-0004-0000-0B00-0000C2020000}"/>
    <hyperlink ref="T672" r:id="rId708" xr:uid="{00000000-0004-0000-0B00-0000C3020000}"/>
    <hyperlink ref="T673" r:id="rId709" xr:uid="{00000000-0004-0000-0B00-0000C4020000}"/>
    <hyperlink ref="T674" r:id="rId710" xr:uid="{00000000-0004-0000-0B00-0000C5020000}"/>
    <hyperlink ref="T675" r:id="rId711" xr:uid="{00000000-0004-0000-0B00-0000C6020000}"/>
    <hyperlink ref="T676" r:id="rId712" xr:uid="{00000000-0004-0000-0B00-0000C7020000}"/>
    <hyperlink ref="T677" r:id="rId713" xr:uid="{00000000-0004-0000-0B00-0000C8020000}"/>
    <hyperlink ref="T678" r:id="rId714" xr:uid="{00000000-0004-0000-0B00-0000C9020000}"/>
    <hyperlink ref="T679" r:id="rId715" xr:uid="{00000000-0004-0000-0B00-0000CA020000}"/>
    <hyperlink ref="T680" r:id="rId716" xr:uid="{00000000-0004-0000-0B00-0000CB020000}"/>
    <hyperlink ref="T681" r:id="rId717" xr:uid="{00000000-0004-0000-0B00-0000CC020000}"/>
    <hyperlink ref="T682" r:id="rId718" xr:uid="{00000000-0004-0000-0B00-0000CD020000}"/>
    <hyperlink ref="T683" r:id="rId719" xr:uid="{00000000-0004-0000-0B00-0000CE020000}"/>
    <hyperlink ref="T684" r:id="rId720" xr:uid="{00000000-0004-0000-0B00-0000CF020000}"/>
    <hyperlink ref="T685" r:id="rId721" xr:uid="{00000000-0004-0000-0B00-0000D0020000}"/>
    <hyperlink ref="T686" r:id="rId722" xr:uid="{00000000-0004-0000-0B00-0000D1020000}"/>
    <hyperlink ref="T687" r:id="rId723" xr:uid="{00000000-0004-0000-0B00-0000D2020000}"/>
    <hyperlink ref="T688" r:id="rId724" xr:uid="{00000000-0004-0000-0B00-0000D3020000}"/>
    <hyperlink ref="T689" r:id="rId725" xr:uid="{00000000-0004-0000-0B00-0000D4020000}"/>
    <hyperlink ref="T690" r:id="rId726" xr:uid="{00000000-0004-0000-0B00-0000D5020000}"/>
    <hyperlink ref="T691" r:id="rId727" xr:uid="{00000000-0004-0000-0B00-0000D6020000}"/>
    <hyperlink ref="T692" r:id="rId728" xr:uid="{00000000-0004-0000-0B00-0000D7020000}"/>
    <hyperlink ref="T693" r:id="rId729" xr:uid="{00000000-0004-0000-0B00-0000D8020000}"/>
    <hyperlink ref="T694" r:id="rId730" xr:uid="{00000000-0004-0000-0B00-0000D9020000}"/>
    <hyperlink ref="T695" r:id="rId731" xr:uid="{00000000-0004-0000-0B00-0000DA020000}"/>
    <hyperlink ref="T696" r:id="rId732" xr:uid="{00000000-0004-0000-0B00-0000DB020000}"/>
    <hyperlink ref="T697" r:id="rId733" xr:uid="{00000000-0004-0000-0B00-0000DC020000}"/>
    <hyperlink ref="T698" r:id="rId734" xr:uid="{00000000-0004-0000-0B00-0000DD020000}"/>
    <hyperlink ref="T699" r:id="rId735" xr:uid="{00000000-0004-0000-0B00-0000DE020000}"/>
    <hyperlink ref="T700" r:id="rId736" xr:uid="{00000000-0004-0000-0B00-0000DF020000}"/>
    <hyperlink ref="T701" r:id="rId737" xr:uid="{00000000-0004-0000-0B00-0000E0020000}"/>
    <hyperlink ref="T702" r:id="rId738" xr:uid="{00000000-0004-0000-0B00-0000E1020000}"/>
    <hyperlink ref="T703" r:id="rId739" xr:uid="{00000000-0004-0000-0B00-0000E2020000}"/>
    <hyperlink ref="T704" r:id="rId740" xr:uid="{00000000-0004-0000-0B00-0000E3020000}"/>
    <hyperlink ref="T705" r:id="rId741" xr:uid="{00000000-0004-0000-0B00-0000E4020000}"/>
    <hyperlink ref="T706" r:id="rId742" xr:uid="{00000000-0004-0000-0B00-0000E5020000}"/>
    <hyperlink ref="T707" r:id="rId743" xr:uid="{00000000-0004-0000-0B00-0000E6020000}"/>
    <hyperlink ref="T708" r:id="rId744" xr:uid="{00000000-0004-0000-0B00-0000E7020000}"/>
    <hyperlink ref="T709" r:id="rId745" xr:uid="{00000000-0004-0000-0B00-0000E8020000}"/>
    <hyperlink ref="T710" r:id="rId746" xr:uid="{00000000-0004-0000-0B00-0000E9020000}"/>
    <hyperlink ref="T711" r:id="rId747" xr:uid="{00000000-0004-0000-0B00-0000EA020000}"/>
    <hyperlink ref="T712" r:id="rId748" xr:uid="{00000000-0004-0000-0B00-0000EB020000}"/>
    <hyperlink ref="T713" r:id="rId749" xr:uid="{00000000-0004-0000-0B00-0000EC020000}"/>
    <hyperlink ref="T714" r:id="rId750" xr:uid="{00000000-0004-0000-0B00-0000ED020000}"/>
    <hyperlink ref="T715" r:id="rId751" xr:uid="{00000000-0004-0000-0B00-0000EE020000}"/>
    <hyperlink ref="T716" r:id="rId752" xr:uid="{00000000-0004-0000-0B00-0000EF020000}"/>
    <hyperlink ref="T717" r:id="rId753" xr:uid="{00000000-0004-0000-0B00-0000F0020000}"/>
    <hyperlink ref="T718" r:id="rId754" xr:uid="{00000000-0004-0000-0B00-0000F1020000}"/>
    <hyperlink ref="T719" r:id="rId755" xr:uid="{00000000-0004-0000-0B00-0000F2020000}"/>
    <hyperlink ref="T720" r:id="rId756" xr:uid="{00000000-0004-0000-0B00-0000F3020000}"/>
    <hyperlink ref="T721" r:id="rId757" xr:uid="{00000000-0004-0000-0B00-0000F4020000}"/>
    <hyperlink ref="T722" r:id="rId758" xr:uid="{00000000-0004-0000-0B00-0000F5020000}"/>
    <hyperlink ref="T723" r:id="rId759" xr:uid="{00000000-0004-0000-0B00-0000F6020000}"/>
    <hyperlink ref="T724" r:id="rId760" xr:uid="{00000000-0004-0000-0B00-0000F7020000}"/>
    <hyperlink ref="T725" r:id="rId761" xr:uid="{00000000-0004-0000-0B00-0000F8020000}"/>
    <hyperlink ref="T726" r:id="rId762" xr:uid="{00000000-0004-0000-0B00-0000F9020000}"/>
    <hyperlink ref="T727" r:id="rId763" xr:uid="{00000000-0004-0000-0B00-0000FA020000}"/>
    <hyperlink ref="T728" r:id="rId764" xr:uid="{00000000-0004-0000-0B00-0000FB020000}"/>
    <hyperlink ref="T729" r:id="rId765" xr:uid="{00000000-0004-0000-0B00-0000FC020000}"/>
    <hyperlink ref="T730" r:id="rId766" xr:uid="{00000000-0004-0000-0B00-0000FD020000}"/>
    <hyperlink ref="T731" r:id="rId767" xr:uid="{00000000-0004-0000-0B00-0000FE020000}"/>
    <hyperlink ref="T732" r:id="rId768" xr:uid="{00000000-0004-0000-0B00-0000FF020000}"/>
    <hyperlink ref="AA732" r:id="rId769" xr:uid="{00000000-0004-0000-0B00-000000030000}"/>
    <hyperlink ref="T733" r:id="rId770" xr:uid="{00000000-0004-0000-0B00-000001030000}"/>
    <hyperlink ref="T734" r:id="rId771" xr:uid="{00000000-0004-0000-0B00-000002030000}"/>
    <hyperlink ref="T735" r:id="rId772" xr:uid="{00000000-0004-0000-0B00-000003030000}"/>
    <hyperlink ref="T736" r:id="rId773" xr:uid="{00000000-0004-0000-0B00-000004030000}"/>
    <hyperlink ref="T737" r:id="rId774" xr:uid="{00000000-0004-0000-0B00-000005030000}"/>
    <hyperlink ref="T738" r:id="rId775" xr:uid="{00000000-0004-0000-0B00-000006030000}"/>
    <hyperlink ref="T739" r:id="rId776" xr:uid="{00000000-0004-0000-0B00-000007030000}"/>
    <hyperlink ref="T740" r:id="rId777" xr:uid="{00000000-0004-0000-0B00-000008030000}"/>
    <hyperlink ref="T741" r:id="rId778" xr:uid="{00000000-0004-0000-0B00-000009030000}"/>
    <hyperlink ref="T742" r:id="rId779" xr:uid="{00000000-0004-0000-0B00-00000A030000}"/>
    <hyperlink ref="T743" r:id="rId780" xr:uid="{00000000-0004-0000-0B00-00000B030000}"/>
    <hyperlink ref="T744" r:id="rId781" xr:uid="{00000000-0004-0000-0B00-00000C030000}"/>
    <hyperlink ref="T745" r:id="rId782" xr:uid="{00000000-0004-0000-0B00-00000D030000}"/>
    <hyperlink ref="T746" r:id="rId783" xr:uid="{00000000-0004-0000-0B00-00000E030000}"/>
    <hyperlink ref="T747" r:id="rId784" xr:uid="{00000000-0004-0000-0B00-00000F030000}"/>
    <hyperlink ref="T748" r:id="rId785" xr:uid="{00000000-0004-0000-0B00-000010030000}"/>
    <hyperlink ref="T749" r:id="rId786" xr:uid="{00000000-0004-0000-0B00-000011030000}"/>
    <hyperlink ref="T750" r:id="rId787" xr:uid="{00000000-0004-0000-0B00-000012030000}"/>
    <hyperlink ref="T751" r:id="rId788" xr:uid="{00000000-0004-0000-0B00-000013030000}"/>
    <hyperlink ref="T752" r:id="rId789" xr:uid="{00000000-0004-0000-0B00-000014030000}"/>
    <hyperlink ref="T753" r:id="rId790" xr:uid="{00000000-0004-0000-0B00-000015030000}"/>
    <hyperlink ref="AA753" r:id="rId791" xr:uid="{00000000-0004-0000-0B00-000016030000}"/>
    <hyperlink ref="T754" r:id="rId792" xr:uid="{00000000-0004-0000-0B00-000017030000}"/>
    <hyperlink ref="T755" r:id="rId793" xr:uid="{00000000-0004-0000-0B00-000018030000}"/>
    <hyperlink ref="T756" r:id="rId794" xr:uid="{00000000-0004-0000-0B00-000019030000}"/>
    <hyperlink ref="T757" r:id="rId795" xr:uid="{00000000-0004-0000-0B00-00001A030000}"/>
    <hyperlink ref="T758" r:id="rId796" xr:uid="{00000000-0004-0000-0B00-00001B030000}"/>
    <hyperlink ref="T759" r:id="rId797" xr:uid="{00000000-0004-0000-0B00-00001C030000}"/>
    <hyperlink ref="T760" r:id="rId798" xr:uid="{00000000-0004-0000-0B00-00001D030000}"/>
    <hyperlink ref="T761" r:id="rId799" xr:uid="{00000000-0004-0000-0B00-00001E030000}"/>
    <hyperlink ref="T762" r:id="rId800" xr:uid="{00000000-0004-0000-0B00-00001F030000}"/>
    <hyperlink ref="T763" r:id="rId801" xr:uid="{00000000-0004-0000-0B00-000020030000}"/>
    <hyperlink ref="T764" r:id="rId802" xr:uid="{00000000-0004-0000-0B00-000021030000}"/>
    <hyperlink ref="T765" r:id="rId803" xr:uid="{00000000-0004-0000-0B00-000022030000}"/>
    <hyperlink ref="T766" r:id="rId804" xr:uid="{00000000-0004-0000-0B00-000023030000}"/>
    <hyperlink ref="T767" r:id="rId805" xr:uid="{00000000-0004-0000-0B00-000024030000}"/>
    <hyperlink ref="T768" r:id="rId806" xr:uid="{00000000-0004-0000-0B00-000025030000}"/>
    <hyperlink ref="T769" r:id="rId807" xr:uid="{00000000-0004-0000-0B00-000026030000}"/>
    <hyperlink ref="T770" r:id="rId808" xr:uid="{00000000-0004-0000-0B00-000027030000}"/>
    <hyperlink ref="T771" r:id="rId809" xr:uid="{00000000-0004-0000-0B00-000028030000}"/>
    <hyperlink ref="T772" r:id="rId810" xr:uid="{00000000-0004-0000-0B00-000029030000}"/>
    <hyperlink ref="T773" r:id="rId811" xr:uid="{00000000-0004-0000-0B00-00002A030000}"/>
    <hyperlink ref="T774" r:id="rId812" xr:uid="{00000000-0004-0000-0B00-00002B030000}"/>
    <hyperlink ref="T775" r:id="rId813" xr:uid="{00000000-0004-0000-0B00-00002C030000}"/>
    <hyperlink ref="T776" r:id="rId814" xr:uid="{00000000-0004-0000-0B00-00002D030000}"/>
    <hyperlink ref="T777" r:id="rId815" xr:uid="{00000000-0004-0000-0B00-00002E030000}"/>
    <hyperlink ref="T778" r:id="rId816" xr:uid="{00000000-0004-0000-0B00-00002F030000}"/>
    <hyperlink ref="T779" r:id="rId817" xr:uid="{00000000-0004-0000-0B00-000030030000}"/>
    <hyperlink ref="T780" r:id="rId818" xr:uid="{00000000-0004-0000-0B00-000031030000}"/>
    <hyperlink ref="T781" r:id="rId819" xr:uid="{00000000-0004-0000-0B00-000032030000}"/>
    <hyperlink ref="T782" r:id="rId820" xr:uid="{00000000-0004-0000-0B00-000033030000}"/>
    <hyperlink ref="T783" r:id="rId821" xr:uid="{00000000-0004-0000-0B00-000034030000}"/>
    <hyperlink ref="T784" r:id="rId822" xr:uid="{00000000-0004-0000-0B00-000035030000}"/>
    <hyperlink ref="T785" r:id="rId823" xr:uid="{00000000-0004-0000-0B00-000036030000}"/>
    <hyperlink ref="T786" r:id="rId824" xr:uid="{00000000-0004-0000-0B00-000037030000}"/>
    <hyperlink ref="T787" r:id="rId825" xr:uid="{00000000-0004-0000-0B00-000038030000}"/>
    <hyperlink ref="T788" r:id="rId826" xr:uid="{00000000-0004-0000-0B00-000039030000}"/>
    <hyperlink ref="T789" r:id="rId827" xr:uid="{00000000-0004-0000-0B00-00003A030000}"/>
    <hyperlink ref="T790" r:id="rId828" xr:uid="{00000000-0004-0000-0B00-00003B030000}"/>
    <hyperlink ref="T791" r:id="rId829" xr:uid="{00000000-0004-0000-0B00-00003C030000}"/>
    <hyperlink ref="T792" r:id="rId830" xr:uid="{00000000-0004-0000-0B00-00003D030000}"/>
    <hyperlink ref="T793" r:id="rId831" xr:uid="{00000000-0004-0000-0B00-00003E030000}"/>
    <hyperlink ref="T794" r:id="rId832" xr:uid="{00000000-0004-0000-0B00-00003F030000}"/>
    <hyperlink ref="T795" r:id="rId833" xr:uid="{00000000-0004-0000-0B00-000040030000}"/>
    <hyperlink ref="T796" r:id="rId834" xr:uid="{00000000-0004-0000-0B00-000041030000}"/>
    <hyperlink ref="T797" r:id="rId835" xr:uid="{00000000-0004-0000-0B00-000042030000}"/>
    <hyperlink ref="T798" r:id="rId836" xr:uid="{00000000-0004-0000-0B00-000043030000}"/>
    <hyperlink ref="T799" r:id="rId837" xr:uid="{00000000-0004-0000-0B00-000044030000}"/>
    <hyperlink ref="T800" r:id="rId838" xr:uid="{00000000-0004-0000-0B00-000045030000}"/>
    <hyperlink ref="T801" r:id="rId839" xr:uid="{00000000-0004-0000-0B00-000046030000}"/>
    <hyperlink ref="T802" r:id="rId840" xr:uid="{00000000-0004-0000-0B00-000047030000}"/>
    <hyperlink ref="T803" r:id="rId841" xr:uid="{00000000-0004-0000-0B00-000048030000}"/>
    <hyperlink ref="T804" r:id="rId842" xr:uid="{00000000-0004-0000-0B00-000049030000}"/>
    <hyperlink ref="T805" r:id="rId843" xr:uid="{00000000-0004-0000-0B00-00004A030000}"/>
    <hyperlink ref="T806" r:id="rId844" xr:uid="{00000000-0004-0000-0B00-00004B030000}"/>
    <hyperlink ref="T807" r:id="rId845" xr:uid="{00000000-0004-0000-0B00-00004C030000}"/>
    <hyperlink ref="T808" r:id="rId846" xr:uid="{00000000-0004-0000-0B00-00004D030000}"/>
    <hyperlink ref="T809" r:id="rId847" xr:uid="{00000000-0004-0000-0B00-00004E030000}"/>
    <hyperlink ref="T810" r:id="rId848" xr:uid="{00000000-0004-0000-0B00-00004F030000}"/>
    <hyperlink ref="T811" r:id="rId849" xr:uid="{00000000-0004-0000-0B00-000050030000}"/>
    <hyperlink ref="T812" r:id="rId850" xr:uid="{00000000-0004-0000-0B00-000051030000}"/>
    <hyperlink ref="T813" r:id="rId851" xr:uid="{00000000-0004-0000-0B00-000052030000}"/>
    <hyperlink ref="T814" r:id="rId852" xr:uid="{00000000-0004-0000-0B00-000053030000}"/>
    <hyperlink ref="T815" r:id="rId853" xr:uid="{00000000-0004-0000-0B00-000054030000}"/>
    <hyperlink ref="T816" r:id="rId854" xr:uid="{00000000-0004-0000-0B00-000055030000}"/>
    <hyperlink ref="T817" r:id="rId855" xr:uid="{00000000-0004-0000-0B00-000056030000}"/>
    <hyperlink ref="T818" r:id="rId856" xr:uid="{00000000-0004-0000-0B00-000057030000}"/>
    <hyperlink ref="T819" r:id="rId857" xr:uid="{00000000-0004-0000-0B00-000058030000}"/>
    <hyperlink ref="T820" r:id="rId858" xr:uid="{00000000-0004-0000-0B00-000059030000}"/>
    <hyperlink ref="T821" r:id="rId859" xr:uid="{00000000-0004-0000-0B00-00005A030000}"/>
    <hyperlink ref="T822" r:id="rId860" xr:uid="{00000000-0004-0000-0B00-00005B030000}"/>
    <hyperlink ref="T823" r:id="rId861" xr:uid="{00000000-0004-0000-0B00-00005C030000}"/>
    <hyperlink ref="T824" r:id="rId862" xr:uid="{00000000-0004-0000-0B00-00005D030000}"/>
    <hyperlink ref="T825" r:id="rId863" xr:uid="{00000000-0004-0000-0B00-00005E030000}"/>
    <hyperlink ref="T826" r:id="rId864" xr:uid="{00000000-0004-0000-0B00-00005F030000}"/>
    <hyperlink ref="T827" r:id="rId865" xr:uid="{00000000-0004-0000-0B00-000060030000}"/>
    <hyperlink ref="T828" r:id="rId866" xr:uid="{00000000-0004-0000-0B00-000061030000}"/>
    <hyperlink ref="T829" r:id="rId867" xr:uid="{00000000-0004-0000-0B00-000062030000}"/>
    <hyperlink ref="T830" r:id="rId868" xr:uid="{00000000-0004-0000-0B00-000063030000}"/>
    <hyperlink ref="T831" r:id="rId869" xr:uid="{00000000-0004-0000-0B00-000064030000}"/>
    <hyperlink ref="T832" r:id="rId870" xr:uid="{00000000-0004-0000-0B00-000065030000}"/>
    <hyperlink ref="T833" r:id="rId871" xr:uid="{00000000-0004-0000-0B00-000066030000}"/>
    <hyperlink ref="T834" r:id="rId872" xr:uid="{00000000-0004-0000-0B00-000067030000}"/>
    <hyperlink ref="T835" r:id="rId873" xr:uid="{00000000-0004-0000-0B00-000068030000}"/>
    <hyperlink ref="T836" r:id="rId874" xr:uid="{00000000-0004-0000-0B00-000069030000}"/>
    <hyperlink ref="T837" r:id="rId875" xr:uid="{00000000-0004-0000-0B00-00006A030000}"/>
    <hyperlink ref="T838" r:id="rId876" xr:uid="{00000000-0004-0000-0B00-00006B030000}"/>
    <hyperlink ref="T839" r:id="rId877" xr:uid="{00000000-0004-0000-0B00-00006C030000}"/>
    <hyperlink ref="T840" r:id="rId878" xr:uid="{00000000-0004-0000-0B00-00006D030000}"/>
    <hyperlink ref="T841" r:id="rId879" xr:uid="{00000000-0004-0000-0B00-00006E030000}"/>
    <hyperlink ref="T842" r:id="rId880" xr:uid="{00000000-0004-0000-0B00-00006F030000}"/>
    <hyperlink ref="T843" r:id="rId881" xr:uid="{00000000-0004-0000-0B00-000070030000}"/>
    <hyperlink ref="T844" r:id="rId882" xr:uid="{00000000-0004-0000-0B00-000071030000}"/>
    <hyperlink ref="T845" r:id="rId883" xr:uid="{00000000-0004-0000-0B00-000072030000}"/>
    <hyperlink ref="T846" r:id="rId884" xr:uid="{00000000-0004-0000-0B00-000073030000}"/>
    <hyperlink ref="T847" r:id="rId885" xr:uid="{00000000-0004-0000-0B00-000074030000}"/>
    <hyperlink ref="T848" r:id="rId886" xr:uid="{00000000-0004-0000-0B00-000075030000}"/>
    <hyperlink ref="T849" r:id="rId887" xr:uid="{00000000-0004-0000-0B00-000076030000}"/>
    <hyperlink ref="T850" r:id="rId888" xr:uid="{00000000-0004-0000-0B00-000077030000}"/>
    <hyperlink ref="T851" r:id="rId889" xr:uid="{00000000-0004-0000-0B00-000078030000}"/>
    <hyperlink ref="T852" r:id="rId890" xr:uid="{00000000-0004-0000-0B00-000079030000}"/>
    <hyperlink ref="T853" r:id="rId891" xr:uid="{00000000-0004-0000-0B00-00007A030000}"/>
    <hyperlink ref="T854" r:id="rId892" xr:uid="{00000000-0004-0000-0B00-00007B030000}"/>
    <hyperlink ref="T855" r:id="rId893" xr:uid="{00000000-0004-0000-0B00-00007C030000}"/>
    <hyperlink ref="T856" r:id="rId894" xr:uid="{00000000-0004-0000-0B00-00007D030000}"/>
    <hyperlink ref="T857" r:id="rId895" xr:uid="{00000000-0004-0000-0B00-00007E030000}"/>
    <hyperlink ref="T858" r:id="rId896" xr:uid="{00000000-0004-0000-0B00-00007F030000}"/>
    <hyperlink ref="T859" r:id="rId897" xr:uid="{00000000-0004-0000-0B00-000080030000}"/>
    <hyperlink ref="T860" r:id="rId898" xr:uid="{00000000-0004-0000-0B00-000081030000}"/>
    <hyperlink ref="T861" r:id="rId899" xr:uid="{00000000-0004-0000-0B00-000082030000}"/>
    <hyperlink ref="T862" r:id="rId900" xr:uid="{00000000-0004-0000-0B00-000083030000}"/>
    <hyperlink ref="T863" r:id="rId901" xr:uid="{00000000-0004-0000-0B00-000084030000}"/>
    <hyperlink ref="T864" r:id="rId902" xr:uid="{00000000-0004-0000-0B00-000085030000}"/>
    <hyperlink ref="T865" r:id="rId903" xr:uid="{00000000-0004-0000-0B00-000086030000}"/>
    <hyperlink ref="T866" r:id="rId904" xr:uid="{00000000-0004-0000-0B00-000087030000}"/>
    <hyperlink ref="T867" r:id="rId905" xr:uid="{00000000-0004-0000-0B00-000088030000}"/>
    <hyperlink ref="T868" r:id="rId906" xr:uid="{00000000-0004-0000-0B00-000089030000}"/>
    <hyperlink ref="T869" r:id="rId907" xr:uid="{00000000-0004-0000-0B00-00008A030000}"/>
    <hyperlink ref="T870" r:id="rId908" xr:uid="{00000000-0004-0000-0B00-00008B030000}"/>
    <hyperlink ref="T871" r:id="rId909" xr:uid="{00000000-0004-0000-0B00-00008C030000}"/>
    <hyperlink ref="AA871" r:id="rId910" xr:uid="{00000000-0004-0000-0B00-00008D030000}"/>
    <hyperlink ref="T872" r:id="rId911" xr:uid="{00000000-0004-0000-0B00-00008E030000}"/>
    <hyperlink ref="T873" r:id="rId912" xr:uid="{00000000-0004-0000-0B00-00008F030000}"/>
    <hyperlink ref="T874" r:id="rId913" xr:uid="{00000000-0004-0000-0B00-000090030000}"/>
    <hyperlink ref="AA874" r:id="rId914" xr:uid="{00000000-0004-0000-0B00-000091030000}"/>
    <hyperlink ref="T875" r:id="rId915" xr:uid="{00000000-0004-0000-0B00-000092030000}"/>
    <hyperlink ref="T876" r:id="rId916" xr:uid="{00000000-0004-0000-0B00-000093030000}"/>
    <hyperlink ref="T877" r:id="rId917" xr:uid="{00000000-0004-0000-0B00-000094030000}"/>
    <hyperlink ref="T878" r:id="rId918" xr:uid="{00000000-0004-0000-0B00-000095030000}"/>
    <hyperlink ref="T879" r:id="rId919" xr:uid="{00000000-0004-0000-0B00-000096030000}"/>
    <hyperlink ref="T880" r:id="rId920" xr:uid="{00000000-0004-0000-0B00-000097030000}"/>
    <hyperlink ref="T881" r:id="rId921" xr:uid="{00000000-0004-0000-0B00-000098030000}"/>
    <hyperlink ref="T882" r:id="rId922" xr:uid="{00000000-0004-0000-0B00-000099030000}"/>
    <hyperlink ref="T883" r:id="rId923" xr:uid="{00000000-0004-0000-0B00-00009A030000}"/>
    <hyperlink ref="T884" r:id="rId924" xr:uid="{00000000-0004-0000-0B00-00009B030000}"/>
    <hyperlink ref="T885" r:id="rId925" xr:uid="{00000000-0004-0000-0B00-00009C030000}"/>
    <hyperlink ref="T886" r:id="rId926" xr:uid="{00000000-0004-0000-0B00-00009D030000}"/>
    <hyperlink ref="T887" r:id="rId927" xr:uid="{00000000-0004-0000-0B00-00009E030000}"/>
    <hyperlink ref="T888" r:id="rId928" xr:uid="{00000000-0004-0000-0B00-00009F030000}"/>
    <hyperlink ref="T889" r:id="rId929" xr:uid="{00000000-0004-0000-0B00-0000A0030000}"/>
    <hyperlink ref="T890" r:id="rId930" xr:uid="{00000000-0004-0000-0B00-0000A1030000}"/>
    <hyperlink ref="T891" r:id="rId931" xr:uid="{00000000-0004-0000-0B00-0000A2030000}"/>
    <hyperlink ref="T892" r:id="rId932" xr:uid="{00000000-0004-0000-0B00-0000A3030000}"/>
    <hyperlink ref="T893" r:id="rId933" xr:uid="{00000000-0004-0000-0B00-0000A4030000}"/>
    <hyperlink ref="T894" r:id="rId934" xr:uid="{00000000-0004-0000-0B00-0000A5030000}"/>
    <hyperlink ref="T895" r:id="rId935" xr:uid="{00000000-0004-0000-0B00-0000A6030000}"/>
    <hyperlink ref="T896" r:id="rId936" xr:uid="{00000000-0004-0000-0B00-0000A7030000}"/>
    <hyperlink ref="T897" r:id="rId937" xr:uid="{00000000-0004-0000-0B00-0000A8030000}"/>
    <hyperlink ref="T898" r:id="rId938" xr:uid="{00000000-0004-0000-0B00-0000A9030000}"/>
    <hyperlink ref="T899" r:id="rId939" xr:uid="{00000000-0004-0000-0B00-0000AA030000}"/>
    <hyperlink ref="T900" r:id="rId940" xr:uid="{00000000-0004-0000-0B00-0000AB030000}"/>
    <hyperlink ref="T901" r:id="rId941" xr:uid="{00000000-0004-0000-0B00-0000AC030000}"/>
    <hyperlink ref="T902" r:id="rId942" xr:uid="{00000000-0004-0000-0B00-0000AD030000}"/>
    <hyperlink ref="T903" r:id="rId943" xr:uid="{00000000-0004-0000-0B00-0000AE030000}"/>
    <hyperlink ref="T904" r:id="rId944" xr:uid="{00000000-0004-0000-0B00-0000AF030000}"/>
    <hyperlink ref="T905" r:id="rId945" xr:uid="{00000000-0004-0000-0B00-0000B0030000}"/>
    <hyperlink ref="T906" r:id="rId946" xr:uid="{00000000-0004-0000-0B00-0000B1030000}"/>
    <hyperlink ref="T907" r:id="rId947" xr:uid="{00000000-0004-0000-0B00-0000B2030000}"/>
    <hyperlink ref="T908" r:id="rId948" xr:uid="{00000000-0004-0000-0B00-0000B3030000}"/>
    <hyperlink ref="T909" r:id="rId949" xr:uid="{00000000-0004-0000-0B00-0000B4030000}"/>
    <hyperlink ref="T910" r:id="rId950" xr:uid="{00000000-0004-0000-0B00-0000B5030000}"/>
    <hyperlink ref="T911" r:id="rId951" xr:uid="{00000000-0004-0000-0B00-0000B6030000}"/>
    <hyperlink ref="T912" r:id="rId952" xr:uid="{00000000-0004-0000-0B00-0000B7030000}"/>
    <hyperlink ref="T913" r:id="rId953" xr:uid="{00000000-0004-0000-0B00-0000B8030000}"/>
    <hyperlink ref="T914" r:id="rId954" xr:uid="{00000000-0004-0000-0B00-0000B9030000}"/>
    <hyperlink ref="T915" r:id="rId955" xr:uid="{00000000-0004-0000-0B00-0000BA030000}"/>
    <hyperlink ref="T916" r:id="rId956" xr:uid="{00000000-0004-0000-0B00-0000BB030000}"/>
    <hyperlink ref="AA916" r:id="rId957" xr:uid="{00000000-0004-0000-0B00-0000BC030000}"/>
    <hyperlink ref="T917" r:id="rId958" xr:uid="{00000000-0004-0000-0B00-0000BD030000}"/>
    <hyperlink ref="T918" r:id="rId959" xr:uid="{00000000-0004-0000-0B00-0000BE030000}"/>
    <hyperlink ref="T919" r:id="rId960" xr:uid="{00000000-0004-0000-0B00-0000BF030000}"/>
    <hyperlink ref="T920" r:id="rId961" xr:uid="{00000000-0004-0000-0B00-0000C0030000}"/>
    <hyperlink ref="T921" r:id="rId962" xr:uid="{00000000-0004-0000-0B00-0000C1030000}"/>
    <hyperlink ref="T922" r:id="rId963" xr:uid="{00000000-0004-0000-0B00-0000C2030000}"/>
    <hyperlink ref="T923" r:id="rId964" xr:uid="{00000000-0004-0000-0B00-0000C3030000}"/>
    <hyperlink ref="T924" r:id="rId965" xr:uid="{00000000-0004-0000-0B00-0000C4030000}"/>
    <hyperlink ref="T925" r:id="rId966" xr:uid="{00000000-0004-0000-0B00-0000C5030000}"/>
    <hyperlink ref="T926" r:id="rId967" xr:uid="{00000000-0004-0000-0B00-0000C6030000}"/>
    <hyperlink ref="T927" r:id="rId968" xr:uid="{00000000-0004-0000-0B00-0000C7030000}"/>
    <hyperlink ref="T928" r:id="rId969" xr:uid="{00000000-0004-0000-0B00-0000C8030000}"/>
    <hyperlink ref="T929" r:id="rId970" xr:uid="{00000000-0004-0000-0B00-0000C9030000}"/>
    <hyperlink ref="T930" r:id="rId971" xr:uid="{00000000-0004-0000-0B00-0000CA030000}"/>
    <hyperlink ref="T931" r:id="rId972" xr:uid="{00000000-0004-0000-0B00-0000CB030000}"/>
    <hyperlink ref="T932" r:id="rId973" xr:uid="{00000000-0004-0000-0B00-0000CC030000}"/>
    <hyperlink ref="T933" r:id="rId974" xr:uid="{00000000-0004-0000-0B00-0000CD030000}"/>
    <hyperlink ref="T934" r:id="rId975" xr:uid="{00000000-0004-0000-0B00-0000CE030000}"/>
    <hyperlink ref="T935" r:id="rId976" xr:uid="{00000000-0004-0000-0B00-0000CF030000}"/>
    <hyperlink ref="T936" r:id="rId977" xr:uid="{00000000-0004-0000-0B00-0000D0030000}"/>
    <hyperlink ref="T937" r:id="rId978" xr:uid="{00000000-0004-0000-0B00-0000D1030000}"/>
    <hyperlink ref="T938" r:id="rId979" xr:uid="{00000000-0004-0000-0B00-0000D2030000}"/>
    <hyperlink ref="T939" r:id="rId980" xr:uid="{00000000-0004-0000-0B00-0000D3030000}"/>
    <hyperlink ref="Z939" r:id="rId981" xr:uid="{00000000-0004-0000-0B00-0000D4030000}"/>
    <hyperlink ref="AA939" r:id="rId982" xr:uid="{00000000-0004-0000-0B00-0000D5030000}"/>
    <hyperlink ref="T940" r:id="rId983" xr:uid="{00000000-0004-0000-0B00-0000D6030000}"/>
    <hyperlink ref="T941" r:id="rId984" xr:uid="{00000000-0004-0000-0B00-0000D7030000}"/>
    <hyperlink ref="T942" r:id="rId985" xr:uid="{00000000-0004-0000-0B00-0000D8030000}"/>
    <hyperlink ref="T943" r:id="rId986" xr:uid="{00000000-0004-0000-0B00-0000D9030000}"/>
    <hyperlink ref="T944" r:id="rId987" xr:uid="{00000000-0004-0000-0B00-0000DA030000}"/>
    <hyperlink ref="T945" r:id="rId988" xr:uid="{00000000-0004-0000-0B00-0000DB030000}"/>
    <hyperlink ref="T946" r:id="rId989" xr:uid="{00000000-0004-0000-0B00-0000DC030000}"/>
    <hyperlink ref="T947" r:id="rId990" xr:uid="{00000000-0004-0000-0B00-0000DD030000}"/>
    <hyperlink ref="T948" r:id="rId991" xr:uid="{00000000-0004-0000-0B00-0000DE030000}"/>
    <hyperlink ref="T949" r:id="rId992" xr:uid="{00000000-0004-0000-0B00-0000DF030000}"/>
    <hyperlink ref="T950" r:id="rId993" xr:uid="{00000000-0004-0000-0B00-0000E0030000}"/>
    <hyperlink ref="T951" r:id="rId994" xr:uid="{00000000-0004-0000-0B00-0000E1030000}"/>
    <hyperlink ref="T952" r:id="rId995" xr:uid="{00000000-0004-0000-0B00-0000E2030000}"/>
    <hyperlink ref="T953" r:id="rId996" xr:uid="{00000000-0004-0000-0B00-0000E3030000}"/>
    <hyperlink ref="T954" r:id="rId997" xr:uid="{00000000-0004-0000-0B00-0000E4030000}"/>
    <hyperlink ref="T955" r:id="rId998" xr:uid="{00000000-0004-0000-0B00-0000E5030000}"/>
    <hyperlink ref="T956" r:id="rId999" xr:uid="{00000000-0004-0000-0B00-0000E6030000}"/>
    <hyperlink ref="T957" r:id="rId1000" xr:uid="{00000000-0004-0000-0B00-0000E7030000}"/>
    <hyperlink ref="T958" r:id="rId1001" xr:uid="{00000000-0004-0000-0B00-0000E8030000}"/>
    <hyperlink ref="T959" r:id="rId1002" xr:uid="{00000000-0004-0000-0B00-0000E9030000}"/>
    <hyperlink ref="T960" r:id="rId1003" xr:uid="{00000000-0004-0000-0B00-0000EA030000}"/>
    <hyperlink ref="T961" r:id="rId1004" xr:uid="{00000000-0004-0000-0B00-0000EB030000}"/>
    <hyperlink ref="T962" r:id="rId1005" xr:uid="{00000000-0004-0000-0B00-0000EC030000}"/>
    <hyperlink ref="T963" r:id="rId1006" xr:uid="{00000000-0004-0000-0B00-0000ED030000}"/>
    <hyperlink ref="T964" r:id="rId1007" xr:uid="{00000000-0004-0000-0B00-0000EE030000}"/>
    <hyperlink ref="T965" r:id="rId1008" xr:uid="{00000000-0004-0000-0B00-0000EF030000}"/>
    <hyperlink ref="T966" r:id="rId1009" xr:uid="{00000000-0004-0000-0B00-0000F0030000}"/>
    <hyperlink ref="T967" r:id="rId1010" xr:uid="{00000000-0004-0000-0B00-0000F1030000}"/>
    <hyperlink ref="T968" r:id="rId1011" xr:uid="{00000000-0004-0000-0B00-0000F2030000}"/>
    <hyperlink ref="T969" r:id="rId1012" xr:uid="{00000000-0004-0000-0B00-0000F3030000}"/>
    <hyperlink ref="T970" r:id="rId1013" xr:uid="{00000000-0004-0000-0B00-0000F4030000}"/>
    <hyperlink ref="T971" r:id="rId1014" xr:uid="{00000000-0004-0000-0B00-0000F5030000}"/>
    <hyperlink ref="T972" r:id="rId1015" xr:uid="{00000000-0004-0000-0B00-0000F6030000}"/>
    <hyperlink ref="T973" r:id="rId1016" xr:uid="{00000000-0004-0000-0B00-0000F7030000}"/>
    <hyperlink ref="T974" r:id="rId1017" xr:uid="{00000000-0004-0000-0B00-0000F8030000}"/>
    <hyperlink ref="T975" r:id="rId1018" xr:uid="{00000000-0004-0000-0B00-0000F9030000}"/>
    <hyperlink ref="T976" r:id="rId1019" xr:uid="{00000000-0004-0000-0B00-0000FA030000}"/>
    <hyperlink ref="T977" r:id="rId1020" xr:uid="{00000000-0004-0000-0B00-0000FB030000}"/>
    <hyperlink ref="T978" r:id="rId1021" xr:uid="{00000000-0004-0000-0B00-0000FC030000}"/>
    <hyperlink ref="T979" r:id="rId1022" xr:uid="{00000000-0004-0000-0B00-0000FD030000}"/>
    <hyperlink ref="T980" r:id="rId1023" xr:uid="{00000000-0004-0000-0B00-0000FE030000}"/>
    <hyperlink ref="T981" r:id="rId1024" xr:uid="{00000000-0004-0000-0B00-0000FF030000}"/>
    <hyperlink ref="T982" r:id="rId1025" xr:uid="{00000000-0004-0000-0B00-000000040000}"/>
    <hyperlink ref="T983" r:id="rId1026" xr:uid="{00000000-0004-0000-0B00-000001040000}"/>
    <hyperlink ref="T984" r:id="rId1027" xr:uid="{00000000-0004-0000-0B00-000002040000}"/>
    <hyperlink ref="T985" r:id="rId1028" xr:uid="{00000000-0004-0000-0B00-000003040000}"/>
    <hyperlink ref="T986" r:id="rId1029" xr:uid="{00000000-0004-0000-0B00-000004040000}"/>
    <hyperlink ref="T987" r:id="rId1030" xr:uid="{00000000-0004-0000-0B00-000005040000}"/>
    <hyperlink ref="T988" r:id="rId1031" xr:uid="{00000000-0004-0000-0B00-000006040000}"/>
    <hyperlink ref="T989" r:id="rId1032" xr:uid="{00000000-0004-0000-0B00-000007040000}"/>
    <hyperlink ref="T990" r:id="rId1033" xr:uid="{00000000-0004-0000-0B00-000008040000}"/>
    <hyperlink ref="T991" r:id="rId1034" xr:uid="{00000000-0004-0000-0B00-000009040000}"/>
    <hyperlink ref="T992" r:id="rId1035" xr:uid="{00000000-0004-0000-0B00-00000A040000}"/>
    <hyperlink ref="T993" r:id="rId1036" xr:uid="{00000000-0004-0000-0B00-00000B040000}"/>
    <hyperlink ref="T994" r:id="rId1037" xr:uid="{00000000-0004-0000-0B00-00000C040000}"/>
    <hyperlink ref="T995" r:id="rId1038" xr:uid="{00000000-0004-0000-0B00-00000D040000}"/>
    <hyperlink ref="T996" r:id="rId1039" xr:uid="{00000000-0004-0000-0B00-00000E040000}"/>
    <hyperlink ref="T997" r:id="rId1040" xr:uid="{00000000-0004-0000-0B00-00000F040000}"/>
    <hyperlink ref="T998" r:id="rId1041" xr:uid="{00000000-0004-0000-0B00-000010040000}"/>
    <hyperlink ref="T999" r:id="rId1042" xr:uid="{00000000-0004-0000-0B00-000011040000}"/>
    <hyperlink ref="T1000" r:id="rId1043" xr:uid="{00000000-0004-0000-0B00-000012040000}"/>
    <hyperlink ref="T1001" r:id="rId1044" xr:uid="{00000000-0004-0000-0B00-000013040000}"/>
    <hyperlink ref="T1002" r:id="rId1045" xr:uid="{00000000-0004-0000-0B00-000014040000}"/>
    <hyperlink ref="T1003" r:id="rId1046" xr:uid="{00000000-0004-0000-0B00-000015040000}"/>
    <hyperlink ref="T1004" r:id="rId1047" xr:uid="{00000000-0004-0000-0B00-000016040000}"/>
    <hyperlink ref="T1005" r:id="rId1048" xr:uid="{00000000-0004-0000-0B00-000017040000}"/>
    <hyperlink ref="T1006" r:id="rId1049" xr:uid="{00000000-0004-0000-0B00-000018040000}"/>
    <hyperlink ref="T1007" r:id="rId1050" xr:uid="{00000000-0004-0000-0B00-000019040000}"/>
    <hyperlink ref="T1008" r:id="rId1051" xr:uid="{00000000-0004-0000-0B00-00001A040000}"/>
    <hyperlink ref="T1009" r:id="rId1052" xr:uid="{00000000-0004-0000-0B00-00001B040000}"/>
    <hyperlink ref="T1010" r:id="rId1053" xr:uid="{00000000-0004-0000-0B00-00001C040000}"/>
    <hyperlink ref="T1011" r:id="rId1054" xr:uid="{00000000-0004-0000-0B00-00001D040000}"/>
    <hyperlink ref="T1012" r:id="rId1055" xr:uid="{00000000-0004-0000-0B00-00001E040000}"/>
    <hyperlink ref="T1013" r:id="rId1056" xr:uid="{00000000-0004-0000-0B00-00001F040000}"/>
    <hyperlink ref="T1014" r:id="rId1057" xr:uid="{00000000-0004-0000-0B00-000020040000}"/>
    <hyperlink ref="T1015" r:id="rId1058" xr:uid="{00000000-0004-0000-0B00-000021040000}"/>
    <hyperlink ref="T1016" r:id="rId1059" xr:uid="{00000000-0004-0000-0B00-000022040000}"/>
    <hyperlink ref="T1017" r:id="rId1060" xr:uid="{00000000-0004-0000-0B00-000023040000}"/>
    <hyperlink ref="T1018" r:id="rId1061" xr:uid="{00000000-0004-0000-0B00-000024040000}"/>
    <hyperlink ref="T1019" r:id="rId1062" xr:uid="{00000000-0004-0000-0B00-000025040000}"/>
    <hyperlink ref="T1020" r:id="rId1063" xr:uid="{00000000-0004-0000-0B00-000026040000}"/>
    <hyperlink ref="T1021" r:id="rId1064" xr:uid="{00000000-0004-0000-0B00-000027040000}"/>
    <hyperlink ref="T1022" r:id="rId1065" xr:uid="{00000000-0004-0000-0B00-000028040000}"/>
    <hyperlink ref="T1023" r:id="rId1066" xr:uid="{00000000-0004-0000-0B00-000029040000}"/>
    <hyperlink ref="T1024" r:id="rId1067" xr:uid="{00000000-0004-0000-0B00-00002A040000}"/>
    <hyperlink ref="T1025" r:id="rId1068" xr:uid="{00000000-0004-0000-0B00-00002B040000}"/>
    <hyperlink ref="T1026" r:id="rId1069" xr:uid="{00000000-0004-0000-0B00-00002C040000}"/>
    <hyperlink ref="T1027" r:id="rId1070" xr:uid="{00000000-0004-0000-0B00-00002D040000}"/>
    <hyperlink ref="T1028" r:id="rId1071" xr:uid="{00000000-0004-0000-0B00-00002E040000}"/>
    <hyperlink ref="T1029" r:id="rId1072" xr:uid="{00000000-0004-0000-0B00-00002F040000}"/>
    <hyperlink ref="T1030" r:id="rId1073" xr:uid="{00000000-0004-0000-0B00-000030040000}"/>
    <hyperlink ref="T1031" r:id="rId1074" xr:uid="{00000000-0004-0000-0B00-000031040000}"/>
    <hyperlink ref="T1032" r:id="rId1075" xr:uid="{00000000-0004-0000-0B00-000032040000}"/>
    <hyperlink ref="T1033" r:id="rId1076" xr:uid="{00000000-0004-0000-0B00-000033040000}"/>
    <hyperlink ref="T1034" r:id="rId1077" xr:uid="{00000000-0004-0000-0B00-000034040000}"/>
    <hyperlink ref="T1035" r:id="rId1078" xr:uid="{00000000-0004-0000-0B00-000035040000}"/>
    <hyperlink ref="T1036" r:id="rId1079" xr:uid="{00000000-0004-0000-0B00-000036040000}"/>
    <hyperlink ref="T1037" r:id="rId1080" xr:uid="{00000000-0004-0000-0B00-000037040000}"/>
    <hyperlink ref="T1038" r:id="rId1081" xr:uid="{00000000-0004-0000-0B00-000038040000}"/>
    <hyperlink ref="T1039" r:id="rId1082" xr:uid="{00000000-0004-0000-0B00-000039040000}"/>
    <hyperlink ref="T1040" r:id="rId1083" xr:uid="{00000000-0004-0000-0B00-00003A040000}"/>
    <hyperlink ref="T1041" r:id="rId1084" xr:uid="{00000000-0004-0000-0B00-00003B040000}"/>
    <hyperlink ref="T1042" r:id="rId1085" xr:uid="{00000000-0004-0000-0B00-00003C040000}"/>
    <hyperlink ref="T1043" r:id="rId1086" xr:uid="{00000000-0004-0000-0B00-00003D040000}"/>
    <hyperlink ref="T1044" r:id="rId1087" xr:uid="{00000000-0004-0000-0B00-00003E040000}"/>
    <hyperlink ref="T1045" r:id="rId1088" xr:uid="{00000000-0004-0000-0B00-00003F040000}"/>
    <hyperlink ref="T1046" r:id="rId1089" xr:uid="{00000000-0004-0000-0B00-000040040000}"/>
    <hyperlink ref="T1047" r:id="rId1090" xr:uid="{00000000-0004-0000-0B00-000041040000}"/>
    <hyperlink ref="T1048" r:id="rId1091" xr:uid="{00000000-0004-0000-0B00-000042040000}"/>
    <hyperlink ref="T1049" r:id="rId1092" xr:uid="{00000000-0004-0000-0B00-000043040000}"/>
    <hyperlink ref="T1050" r:id="rId1093" xr:uid="{00000000-0004-0000-0B00-000044040000}"/>
    <hyperlink ref="T1051" r:id="rId1094" xr:uid="{00000000-0004-0000-0B00-000045040000}"/>
    <hyperlink ref="T1052" r:id="rId1095" xr:uid="{00000000-0004-0000-0B00-000046040000}"/>
    <hyperlink ref="T1053" r:id="rId1096" xr:uid="{00000000-0004-0000-0B00-000047040000}"/>
    <hyperlink ref="T1054" r:id="rId1097" xr:uid="{00000000-0004-0000-0B00-000048040000}"/>
    <hyperlink ref="T1055" r:id="rId1098" xr:uid="{00000000-0004-0000-0B00-000049040000}"/>
    <hyperlink ref="T1056" r:id="rId1099" xr:uid="{00000000-0004-0000-0B00-00004A040000}"/>
    <hyperlink ref="T1057" r:id="rId1100" xr:uid="{00000000-0004-0000-0B00-00004B040000}"/>
    <hyperlink ref="T1058" r:id="rId1101" xr:uid="{00000000-0004-0000-0B00-00004C040000}"/>
    <hyperlink ref="T1059" r:id="rId1102" xr:uid="{00000000-0004-0000-0B00-00004D040000}"/>
    <hyperlink ref="T1060" r:id="rId1103" xr:uid="{00000000-0004-0000-0B00-00004E040000}"/>
    <hyperlink ref="T1061" r:id="rId1104" xr:uid="{00000000-0004-0000-0B00-00004F040000}"/>
    <hyperlink ref="T1062" r:id="rId1105" xr:uid="{00000000-0004-0000-0B00-000050040000}"/>
    <hyperlink ref="T1063" r:id="rId1106" xr:uid="{00000000-0004-0000-0B00-000051040000}"/>
    <hyperlink ref="T1064" r:id="rId1107" xr:uid="{00000000-0004-0000-0B00-000052040000}"/>
    <hyperlink ref="T1065" r:id="rId1108" xr:uid="{00000000-0004-0000-0B00-000053040000}"/>
    <hyperlink ref="T1066" r:id="rId1109" xr:uid="{00000000-0004-0000-0B00-000054040000}"/>
    <hyperlink ref="T1067" r:id="rId1110" xr:uid="{00000000-0004-0000-0B00-000055040000}"/>
    <hyperlink ref="T1068" r:id="rId1111" xr:uid="{00000000-0004-0000-0B00-000056040000}"/>
    <hyperlink ref="T1069" r:id="rId1112" xr:uid="{00000000-0004-0000-0B00-000057040000}"/>
    <hyperlink ref="T1070" r:id="rId1113" xr:uid="{00000000-0004-0000-0B00-000058040000}"/>
    <hyperlink ref="T1071" r:id="rId1114" xr:uid="{00000000-0004-0000-0B00-000059040000}"/>
    <hyperlink ref="T1072" r:id="rId1115" xr:uid="{00000000-0004-0000-0B00-00005A040000}"/>
    <hyperlink ref="T1073" r:id="rId1116" xr:uid="{00000000-0004-0000-0B00-00005B040000}"/>
    <hyperlink ref="T1074" r:id="rId1117" xr:uid="{00000000-0004-0000-0B00-00005C040000}"/>
    <hyperlink ref="T1075" r:id="rId1118" xr:uid="{00000000-0004-0000-0B00-00005D040000}"/>
    <hyperlink ref="T1076" r:id="rId1119" xr:uid="{00000000-0004-0000-0B00-00005E040000}"/>
    <hyperlink ref="AA1076" r:id="rId1120" xr:uid="{00000000-0004-0000-0B00-00005F040000}"/>
    <hyperlink ref="T1077" r:id="rId1121" xr:uid="{00000000-0004-0000-0B00-000060040000}"/>
    <hyperlink ref="T1078" r:id="rId1122" xr:uid="{00000000-0004-0000-0B00-000061040000}"/>
    <hyperlink ref="T1079" r:id="rId1123" xr:uid="{00000000-0004-0000-0B00-000062040000}"/>
    <hyperlink ref="T1080" r:id="rId1124" xr:uid="{00000000-0004-0000-0B00-000063040000}"/>
    <hyperlink ref="AA1080" r:id="rId1125" xr:uid="{00000000-0004-0000-0B00-000064040000}"/>
    <hyperlink ref="T1081" r:id="rId1126" xr:uid="{00000000-0004-0000-0B00-000065040000}"/>
    <hyperlink ref="AA1081" r:id="rId1127" xr:uid="{00000000-0004-0000-0B00-000066040000}"/>
    <hyperlink ref="T1082" r:id="rId1128" xr:uid="{00000000-0004-0000-0B00-000067040000}"/>
    <hyperlink ref="T1083" r:id="rId1129" xr:uid="{00000000-0004-0000-0B00-000068040000}"/>
    <hyperlink ref="T1084" r:id="rId1130" xr:uid="{00000000-0004-0000-0B00-000069040000}"/>
    <hyperlink ref="T1085" r:id="rId1131" xr:uid="{00000000-0004-0000-0B00-00006A040000}"/>
    <hyperlink ref="T1086" r:id="rId1132" xr:uid="{00000000-0004-0000-0B00-00006B040000}"/>
    <hyperlink ref="T1087" r:id="rId1133" xr:uid="{00000000-0004-0000-0B00-00006C040000}"/>
    <hyperlink ref="T1088" r:id="rId1134" xr:uid="{00000000-0004-0000-0B00-00006D040000}"/>
    <hyperlink ref="T1089" r:id="rId1135" xr:uid="{00000000-0004-0000-0B00-00006E040000}"/>
    <hyperlink ref="T1090" r:id="rId1136" xr:uid="{00000000-0004-0000-0B00-00006F040000}"/>
    <hyperlink ref="T1091" r:id="rId1137" xr:uid="{00000000-0004-0000-0B00-000070040000}"/>
    <hyperlink ref="T1092" r:id="rId1138" xr:uid="{00000000-0004-0000-0B00-000071040000}"/>
    <hyperlink ref="T1093" r:id="rId1139" xr:uid="{00000000-0004-0000-0B00-000072040000}"/>
    <hyperlink ref="T1094" r:id="rId1140" xr:uid="{00000000-0004-0000-0B00-000073040000}"/>
    <hyperlink ref="T1095" r:id="rId1141" xr:uid="{00000000-0004-0000-0B00-000074040000}"/>
    <hyperlink ref="T1096" r:id="rId1142" xr:uid="{00000000-0004-0000-0B00-000075040000}"/>
    <hyperlink ref="T1097" r:id="rId1143" xr:uid="{00000000-0004-0000-0B00-000076040000}"/>
    <hyperlink ref="T1098" r:id="rId1144" xr:uid="{00000000-0004-0000-0B00-000077040000}"/>
    <hyperlink ref="T1099" r:id="rId1145" xr:uid="{00000000-0004-0000-0B00-000078040000}"/>
    <hyperlink ref="T1100" r:id="rId1146" xr:uid="{00000000-0004-0000-0B00-000079040000}"/>
    <hyperlink ref="T1101" r:id="rId1147" xr:uid="{00000000-0004-0000-0B00-00007A040000}"/>
    <hyperlink ref="T1102" r:id="rId1148" xr:uid="{00000000-0004-0000-0B00-00007B040000}"/>
    <hyperlink ref="T1103" r:id="rId1149" xr:uid="{00000000-0004-0000-0B00-00007C040000}"/>
    <hyperlink ref="T1104" r:id="rId1150" xr:uid="{00000000-0004-0000-0B00-00007D040000}"/>
    <hyperlink ref="T1105" r:id="rId1151" xr:uid="{00000000-0004-0000-0B00-00007E040000}"/>
    <hyperlink ref="T1106" r:id="rId1152" xr:uid="{00000000-0004-0000-0B00-00007F040000}"/>
    <hyperlink ref="T1107" r:id="rId1153" xr:uid="{00000000-0004-0000-0B00-000080040000}"/>
    <hyperlink ref="T1108" r:id="rId1154" xr:uid="{00000000-0004-0000-0B00-000081040000}"/>
    <hyperlink ref="T1109" r:id="rId1155" xr:uid="{00000000-0004-0000-0B00-000082040000}"/>
    <hyperlink ref="T1110" r:id="rId1156" xr:uid="{00000000-0004-0000-0B00-000083040000}"/>
    <hyperlink ref="T1111" r:id="rId1157" xr:uid="{00000000-0004-0000-0B00-000084040000}"/>
    <hyperlink ref="T1112" r:id="rId1158" xr:uid="{00000000-0004-0000-0B00-000085040000}"/>
    <hyperlink ref="T1113" r:id="rId1159" xr:uid="{00000000-0004-0000-0B00-000086040000}"/>
    <hyperlink ref="T1114" r:id="rId1160" xr:uid="{00000000-0004-0000-0B00-000087040000}"/>
    <hyperlink ref="T1115" r:id="rId1161" xr:uid="{00000000-0004-0000-0B00-000088040000}"/>
    <hyperlink ref="T1116" r:id="rId1162" xr:uid="{00000000-0004-0000-0B00-000089040000}"/>
    <hyperlink ref="T1117" r:id="rId1163" xr:uid="{00000000-0004-0000-0B00-00008A040000}"/>
    <hyperlink ref="T1118" r:id="rId1164" xr:uid="{00000000-0004-0000-0B00-00008B040000}"/>
    <hyperlink ref="T1119" r:id="rId1165" xr:uid="{00000000-0004-0000-0B00-00008C040000}"/>
    <hyperlink ref="T1120" r:id="rId1166" xr:uid="{00000000-0004-0000-0B00-00008D040000}"/>
    <hyperlink ref="T1121" r:id="rId1167" xr:uid="{00000000-0004-0000-0B00-00008E040000}"/>
    <hyperlink ref="T1122" r:id="rId1168" xr:uid="{00000000-0004-0000-0B00-00008F040000}"/>
    <hyperlink ref="T1123" r:id="rId1169" xr:uid="{00000000-0004-0000-0B00-000090040000}"/>
    <hyperlink ref="T1124" r:id="rId1170" xr:uid="{00000000-0004-0000-0B00-000091040000}"/>
    <hyperlink ref="T1125" r:id="rId1171" xr:uid="{00000000-0004-0000-0B00-000092040000}"/>
    <hyperlink ref="T1126" r:id="rId1172" xr:uid="{00000000-0004-0000-0B00-000093040000}"/>
    <hyperlink ref="T1127" r:id="rId1173" xr:uid="{00000000-0004-0000-0B00-000094040000}"/>
    <hyperlink ref="T1128" r:id="rId1174" xr:uid="{00000000-0004-0000-0B00-000095040000}"/>
    <hyperlink ref="T1129" r:id="rId1175" xr:uid="{00000000-0004-0000-0B00-000096040000}"/>
    <hyperlink ref="T1130" r:id="rId1176" xr:uid="{00000000-0004-0000-0B00-000097040000}"/>
    <hyperlink ref="T1131" r:id="rId1177" xr:uid="{00000000-0004-0000-0B00-000098040000}"/>
    <hyperlink ref="T1132" r:id="rId1178" xr:uid="{00000000-0004-0000-0B00-000099040000}"/>
    <hyperlink ref="T1133" r:id="rId1179" xr:uid="{00000000-0004-0000-0B00-00009A040000}"/>
    <hyperlink ref="T1134" r:id="rId1180" xr:uid="{00000000-0004-0000-0B00-00009B040000}"/>
    <hyperlink ref="T1135" r:id="rId1181" xr:uid="{00000000-0004-0000-0B00-00009C040000}"/>
    <hyperlink ref="T1136" r:id="rId1182" xr:uid="{00000000-0004-0000-0B00-00009D040000}"/>
    <hyperlink ref="T1137" r:id="rId1183" xr:uid="{00000000-0004-0000-0B00-00009E040000}"/>
    <hyperlink ref="T1138" r:id="rId1184" xr:uid="{00000000-0004-0000-0B00-00009F040000}"/>
    <hyperlink ref="T1139" r:id="rId1185" xr:uid="{00000000-0004-0000-0B00-0000A0040000}"/>
    <hyperlink ref="T1140" r:id="rId1186" xr:uid="{00000000-0004-0000-0B00-0000A1040000}"/>
    <hyperlink ref="T1141" r:id="rId1187" xr:uid="{00000000-0004-0000-0B00-0000A2040000}"/>
    <hyperlink ref="T1142" r:id="rId1188" xr:uid="{00000000-0004-0000-0B00-0000A3040000}"/>
    <hyperlink ref="T1143" r:id="rId1189" xr:uid="{00000000-0004-0000-0B00-0000A4040000}"/>
    <hyperlink ref="T1144" r:id="rId1190" xr:uid="{00000000-0004-0000-0B00-0000A5040000}"/>
    <hyperlink ref="T1145" r:id="rId1191" xr:uid="{00000000-0004-0000-0B00-0000A6040000}"/>
    <hyperlink ref="T1146" r:id="rId1192" xr:uid="{00000000-0004-0000-0B00-0000A7040000}"/>
    <hyperlink ref="T1147" r:id="rId1193" xr:uid="{00000000-0004-0000-0B00-0000A8040000}"/>
    <hyperlink ref="T1148" r:id="rId1194" xr:uid="{00000000-0004-0000-0B00-0000A9040000}"/>
    <hyperlink ref="T1149" r:id="rId1195" xr:uid="{00000000-0004-0000-0B00-0000AA040000}"/>
    <hyperlink ref="T1150" r:id="rId1196" xr:uid="{00000000-0004-0000-0B00-0000AB040000}"/>
    <hyperlink ref="T1151" r:id="rId1197" xr:uid="{00000000-0004-0000-0B00-0000AC040000}"/>
    <hyperlink ref="T1152" r:id="rId1198" xr:uid="{00000000-0004-0000-0B00-0000AD040000}"/>
    <hyperlink ref="T1153" r:id="rId1199" xr:uid="{00000000-0004-0000-0B00-0000AE040000}"/>
    <hyperlink ref="T1154" r:id="rId1200" xr:uid="{00000000-0004-0000-0B00-0000AF040000}"/>
    <hyperlink ref="T1155" r:id="rId1201" xr:uid="{00000000-0004-0000-0B00-0000B0040000}"/>
    <hyperlink ref="T1156" r:id="rId1202" xr:uid="{00000000-0004-0000-0B00-0000B1040000}"/>
    <hyperlink ref="T1157" r:id="rId1203" xr:uid="{00000000-0004-0000-0B00-0000B2040000}"/>
    <hyperlink ref="T1158" r:id="rId1204" xr:uid="{00000000-0004-0000-0B00-0000B3040000}"/>
    <hyperlink ref="T1159" r:id="rId1205" xr:uid="{00000000-0004-0000-0B00-0000B4040000}"/>
    <hyperlink ref="T1160" r:id="rId1206" xr:uid="{00000000-0004-0000-0B00-0000B5040000}"/>
    <hyperlink ref="T1161" r:id="rId1207" xr:uid="{00000000-0004-0000-0B00-0000B6040000}"/>
    <hyperlink ref="T1162" r:id="rId1208" xr:uid="{00000000-0004-0000-0B00-0000B7040000}"/>
    <hyperlink ref="T1163" r:id="rId1209" xr:uid="{00000000-0004-0000-0B00-0000B8040000}"/>
    <hyperlink ref="T1164" r:id="rId1210" xr:uid="{00000000-0004-0000-0B00-0000B9040000}"/>
    <hyperlink ref="T1165" r:id="rId1211" xr:uid="{00000000-0004-0000-0B00-0000BA040000}"/>
    <hyperlink ref="T1166" r:id="rId1212" xr:uid="{00000000-0004-0000-0B00-0000BB040000}"/>
    <hyperlink ref="T1167" r:id="rId1213" xr:uid="{00000000-0004-0000-0B00-0000BC040000}"/>
    <hyperlink ref="T1168" r:id="rId1214" xr:uid="{00000000-0004-0000-0B00-0000BD040000}"/>
    <hyperlink ref="T1169" r:id="rId1215" xr:uid="{00000000-0004-0000-0B00-0000BE040000}"/>
    <hyperlink ref="T1170" r:id="rId1216" xr:uid="{00000000-0004-0000-0B00-0000BF040000}"/>
    <hyperlink ref="T1171" r:id="rId1217" xr:uid="{00000000-0004-0000-0B00-0000C0040000}"/>
    <hyperlink ref="T1172" r:id="rId1218" xr:uid="{00000000-0004-0000-0B00-0000C1040000}"/>
    <hyperlink ref="T1173" r:id="rId1219" xr:uid="{00000000-0004-0000-0B00-0000C2040000}"/>
    <hyperlink ref="T1174" r:id="rId1220" xr:uid="{00000000-0004-0000-0B00-0000C3040000}"/>
    <hyperlink ref="T1175" r:id="rId1221" xr:uid="{00000000-0004-0000-0B00-0000C4040000}"/>
    <hyperlink ref="T1176" r:id="rId1222" xr:uid="{00000000-0004-0000-0B00-0000C5040000}"/>
    <hyperlink ref="T1177" r:id="rId1223" xr:uid="{00000000-0004-0000-0B00-0000C6040000}"/>
    <hyperlink ref="T1178" r:id="rId1224" xr:uid="{00000000-0004-0000-0B00-0000C7040000}"/>
    <hyperlink ref="T1179" r:id="rId1225" xr:uid="{00000000-0004-0000-0B00-0000C8040000}"/>
    <hyperlink ref="T1180" r:id="rId1226" xr:uid="{00000000-0004-0000-0B00-0000C9040000}"/>
    <hyperlink ref="T1181" r:id="rId1227" xr:uid="{00000000-0004-0000-0B00-0000CA040000}"/>
    <hyperlink ref="T1182" r:id="rId1228" xr:uid="{00000000-0004-0000-0B00-0000CB040000}"/>
    <hyperlink ref="T1183" r:id="rId1229" xr:uid="{00000000-0004-0000-0B00-0000CC040000}"/>
    <hyperlink ref="T1184" r:id="rId1230" xr:uid="{00000000-0004-0000-0B00-0000CD040000}"/>
    <hyperlink ref="T1185" r:id="rId1231" xr:uid="{00000000-0004-0000-0B00-0000CE040000}"/>
    <hyperlink ref="T1186" r:id="rId1232" xr:uid="{00000000-0004-0000-0B00-0000CF040000}"/>
    <hyperlink ref="T1187" r:id="rId1233" xr:uid="{00000000-0004-0000-0B00-0000D0040000}"/>
    <hyperlink ref="T1188" r:id="rId1234" xr:uid="{00000000-0004-0000-0B00-0000D1040000}"/>
    <hyperlink ref="T1189" r:id="rId1235" xr:uid="{00000000-0004-0000-0B00-0000D2040000}"/>
    <hyperlink ref="T1190" r:id="rId1236" xr:uid="{00000000-0004-0000-0B00-0000D3040000}"/>
    <hyperlink ref="T1191" r:id="rId1237" xr:uid="{00000000-0004-0000-0B00-0000D4040000}"/>
    <hyperlink ref="T1192" r:id="rId1238" xr:uid="{00000000-0004-0000-0B00-0000D5040000}"/>
    <hyperlink ref="T1193" r:id="rId1239" xr:uid="{00000000-0004-0000-0B00-0000D6040000}"/>
    <hyperlink ref="T1194" r:id="rId1240" xr:uid="{00000000-0004-0000-0B00-0000D7040000}"/>
    <hyperlink ref="T1195" r:id="rId1241" xr:uid="{00000000-0004-0000-0B00-0000D8040000}"/>
    <hyperlink ref="T1196" r:id="rId1242" xr:uid="{00000000-0004-0000-0B00-0000D9040000}"/>
    <hyperlink ref="T1197" r:id="rId1243" xr:uid="{00000000-0004-0000-0B00-0000DA040000}"/>
    <hyperlink ref="T1198" r:id="rId1244" xr:uid="{00000000-0004-0000-0B00-0000DB040000}"/>
    <hyperlink ref="T1199" r:id="rId1245" xr:uid="{00000000-0004-0000-0B00-0000DC040000}"/>
    <hyperlink ref="T1200" r:id="rId1246" xr:uid="{00000000-0004-0000-0B00-0000DD040000}"/>
    <hyperlink ref="T1201" r:id="rId1247" xr:uid="{00000000-0004-0000-0B00-0000DE040000}"/>
    <hyperlink ref="T1202" r:id="rId1248" xr:uid="{00000000-0004-0000-0B00-0000DF040000}"/>
    <hyperlink ref="T1203" r:id="rId1249" xr:uid="{00000000-0004-0000-0B00-0000E0040000}"/>
    <hyperlink ref="T1204" r:id="rId1250" xr:uid="{00000000-0004-0000-0B00-0000E1040000}"/>
    <hyperlink ref="T1205" r:id="rId1251" xr:uid="{00000000-0004-0000-0B00-0000E2040000}"/>
    <hyperlink ref="T1206" r:id="rId1252" xr:uid="{00000000-0004-0000-0B00-0000E3040000}"/>
    <hyperlink ref="T1207" r:id="rId1253" xr:uid="{00000000-0004-0000-0B00-0000E4040000}"/>
    <hyperlink ref="T1208" r:id="rId1254" xr:uid="{00000000-0004-0000-0B00-0000E5040000}"/>
    <hyperlink ref="T1209" r:id="rId1255" xr:uid="{00000000-0004-0000-0B00-0000E6040000}"/>
    <hyperlink ref="T1210" r:id="rId1256" xr:uid="{00000000-0004-0000-0B00-0000E7040000}"/>
    <hyperlink ref="T1211" r:id="rId1257" xr:uid="{00000000-0004-0000-0B00-0000E8040000}"/>
    <hyperlink ref="T1212" r:id="rId1258" xr:uid="{00000000-0004-0000-0B00-0000E9040000}"/>
    <hyperlink ref="T1213" r:id="rId1259" xr:uid="{00000000-0004-0000-0B00-0000EA040000}"/>
    <hyperlink ref="T1214" r:id="rId1260" xr:uid="{00000000-0004-0000-0B00-0000EB040000}"/>
    <hyperlink ref="T1215" r:id="rId1261" xr:uid="{00000000-0004-0000-0B00-0000EC040000}"/>
    <hyperlink ref="AA1215" r:id="rId1262" xr:uid="{00000000-0004-0000-0B00-0000ED040000}"/>
    <hyperlink ref="T1216" r:id="rId1263" xr:uid="{00000000-0004-0000-0B00-0000EE040000}"/>
    <hyperlink ref="T1217" r:id="rId1264" xr:uid="{00000000-0004-0000-0B00-0000EF040000}"/>
    <hyperlink ref="T1218" r:id="rId1265" xr:uid="{00000000-0004-0000-0B00-0000F0040000}"/>
    <hyperlink ref="T1219" r:id="rId1266" xr:uid="{00000000-0004-0000-0B00-0000F1040000}"/>
    <hyperlink ref="T1220" r:id="rId1267" xr:uid="{00000000-0004-0000-0B00-0000F2040000}"/>
    <hyperlink ref="T1221" r:id="rId1268" xr:uid="{00000000-0004-0000-0B00-0000F3040000}"/>
    <hyperlink ref="T1222" r:id="rId1269" xr:uid="{00000000-0004-0000-0B00-0000F4040000}"/>
    <hyperlink ref="T1223" r:id="rId1270" xr:uid="{00000000-0004-0000-0B00-0000F5040000}"/>
    <hyperlink ref="T1224" r:id="rId1271" xr:uid="{00000000-0004-0000-0B00-0000F6040000}"/>
    <hyperlink ref="T1225" r:id="rId1272" xr:uid="{00000000-0004-0000-0B00-0000F7040000}"/>
    <hyperlink ref="T1226" r:id="rId1273" xr:uid="{00000000-0004-0000-0B00-0000F8040000}"/>
    <hyperlink ref="T1227" r:id="rId1274" xr:uid="{00000000-0004-0000-0B00-0000F9040000}"/>
    <hyperlink ref="T1228" r:id="rId1275" xr:uid="{00000000-0004-0000-0B00-0000FA040000}"/>
    <hyperlink ref="T1229" r:id="rId1276" xr:uid="{00000000-0004-0000-0B00-0000FB040000}"/>
    <hyperlink ref="T1230" r:id="rId1277" xr:uid="{00000000-0004-0000-0B00-0000FC040000}"/>
    <hyperlink ref="T1231" r:id="rId1278" xr:uid="{00000000-0004-0000-0B00-0000FD040000}"/>
    <hyperlink ref="T1232" r:id="rId1279" xr:uid="{00000000-0004-0000-0B00-0000FE040000}"/>
    <hyperlink ref="T1233" r:id="rId1280" xr:uid="{00000000-0004-0000-0B00-0000FF040000}"/>
    <hyperlink ref="T1234" r:id="rId1281" xr:uid="{00000000-0004-0000-0B00-000000050000}"/>
    <hyperlink ref="T1235" r:id="rId1282" xr:uid="{00000000-0004-0000-0B00-000001050000}"/>
    <hyperlink ref="T1236" r:id="rId1283" xr:uid="{00000000-0004-0000-0B00-000002050000}"/>
    <hyperlink ref="T1237" r:id="rId1284" xr:uid="{00000000-0004-0000-0B00-000003050000}"/>
    <hyperlink ref="T1238" r:id="rId1285" xr:uid="{00000000-0004-0000-0B00-000004050000}"/>
    <hyperlink ref="T1239" r:id="rId1286" xr:uid="{00000000-0004-0000-0B00-000005050000}"/>
    <hyperlink ref="T1240" r:id="rId1287" xr:uid="{00000000-0004-0000-0B00-000006050000}"/>
    <hyperlink ref="T1241" r:id="rId1288" xr:uid="{00000000-0004-0000-0B00-000007050000}"/>
    <hyperlink ref="T1242" r:id="rId1289" xr:uid="{00000000-0004-0000-0B00-000008050000}"/>
    <hyperlink ref="T1243" r:id="rId1290" xr:uid="{00000000-0004-0000-0B00-000009050000}"/>
    <hyperlink ref="T1244" r:id="rId1291" xr:uid="{00000000-0004-0000-0B00-00000A050000}"/>
    <hyperlink ref="T1245" r:id="rId1292" xr:uid="{00000000-0004-0000-0B00-00000B050000}"/>
    <hyperlink ref="T1246" r:id="rId1293" xr:uid="{00000000-0004-0000-0B00-00000C050000}"/>
    <hyperlink ref="T1247" r:id="rId1294" xr:uid="{00000000-0004-0000-0B00-00000D050000}"/>
    <hyperlink ref="T1248" r:id="rId1295" xr:uid="{00000000-0004-0000-0B00-00000E050000}"/>
    <hyperlink ref="T1249" r:id="rId1296" xr:uid="{00000000-0004-0000-0B00-00000F050000}"/>
    <hyperlink ref="T1250" r:id="rId1297" xr:uid="{00000000-0004-0000-0B00-000010050000}"/>
    <hyperlink ref="T1251" r:id="rId1298" xr:uid="{00000000-0004-0000-0B00-000011050000}"/>
    <hyperlink ref="T1252" r:id="rId1299" xr:uid="{00000000-0004-0000-0B00-000012050000}"/>
    <hyperlink ref="T1253" r:id="rId1300" xr:uid="{00000000-0004-0000-0B00-000013050000}"/>
    <hyperlink ref="T1254" r:id="rId1301" xr:uid="{00000000-0004-0000-0B00-000014050000}"/>
    <hyperlink ref="T1255" r:id="rId1302" xr:uid="{00000000-0004-0000-0B00-000015050000}"/>
    <hyperlink ref="T1256" r:id="rId1303" xr:uid="{00000000-0004-0000-0B00-000016050000}"/>
    <hyperlink ref="T1257" r:id="rId1304" xr:uid="{00000000-0004-0000-0B00-000017050000}"/>
    <hyperlink ref="T1258" r:id="rId1305" xr:uid="{00000000-0004-0000-0B00-000018050000}"/>
    <hyperlink ref="T1259" r:id="rId1306" xr:uid="{00000000-0004-0000-0B00-000019050000}"/>
    <hyperlink ref="T1260" r:id="rId1307" xr:uid="{00000000-0004-0000-0B00-00001A050000}"/>
    <hyperlink ref="T1261" r:id="rId1308" xr:uid="{00000000-0004-0000-0B00-00001B050000}"/>
    <hyperlink ref="T1262" r:id="rId1309" xr:uid="{00000000-0004-0000-0B00-00001C050000}"/>
    <hyperlink ref="T1263" r:id="rId1310" xr:uid="{00000000-0004-0000-0B00-00001D050000}"/>
    <hyperlink ref="AC1263" r:id="rId1311" xr:uid="{00000000-0004-0000-0B00-00001E050000}"/>
    <hyperlink ref="T1264" r:id="rId1312" xr:uid="{00000000-0004-0000-0B00-00001F050000}"/>
    <hyperlink ref="T1265" r:id="rId1313" xr:uid="{00000000-0004-0000-0B00-000020050000}"/>
    <hyperlink ref="T1266" r:id="rId1314" xr:uid="{00000000-0004-0000-0B00-000021050000}"/>
    <hyperlink ref="T1267" r:id="rId1315" xr:uid="{00000000-0004-0000-0B00-000022050000}"/>
    <hyperlink ref="T1268" r:id="rId1316" xr:uid="{00000000-0004-0000-0B00-000023050000}"/>
    <hyperlink ref="T1269" r:id="rId1317" xr:uid="{00000000-0004-0000-0B00-000024050000}"/>
    <hyperlink ref="T1270" r:id="rId1318" xr:uid="{00000000-0004-0000-0B00-000025050000}"/>
    <hyperlink ref="T1271" r:id="rId1319" xr:uid="{00000000-0004-0000-0B00-000026050000}"/>
    <hyperlink ref="T1272" r:id="rId1320" xr:uid="{00000000-0004-0000-0B00-000027050000}"/>
    <hyperlink ref="T1273" r:id="rId1321" xr:uid="{00000000-0004-0000-0B00-000028050000}"/>
    <hyperlink ref="T1274" r:id="rId1322" xr:uid="{00000000-0004-0000-0B00-000029050000}"/>
    <hyperlink ref="T1275" r:id="rId1323" xr:uid="{00000000-0004-0000-0B00-00002A050000}"/>
    <hyperlink ref="T1276" r:id="rId1324" xr:uid="{00000000-0004-0000-0B00-00002B050000}"/>
    <hyperlink ref="T1277" r:id="rId1325" xr:uid="{00000000-0004-0000-0B00-00002C050000}"/>
    <hyperlink ref="T1278" r:id="rId1326" xr:uid="{00000000-0004-0000-0B00-00002D050000}"/>
    <hyperlink ref="T1279" r:id="rId1327" xr:uid="{00000000-0004-0000-0B00-00002E050000}"/>
    <hyperlink ref="T1280" r:id="rId1328" xr:uid="{00000000-0004-0000-0B00-00002F050000}"/>
    <hyperlink ref="T1281" r:id="rId1329" xr:uid="{00000000-0004-0000-0B00-000030050000}"/>
    <hyperlink ref="T1282" r:id="rId1330" xr:uid="{00000000-0004-0000-0B00-000031050000}"/>
    <hyperlink ref="T1283" r:id="rId1331" xr:uid="{00000000-0004-0000-0B00-000032050000}"/>
    <hyperlink ref="T1284" r:id="rId1332" xr:uid="{00000000-0004-0000-0B00-000033050000}"/>
    <hyperlink ref="T1285" r:id="rId1333" xr:uid="{00000000-0004-0000-0B00-000034050000}"/>
    <hyperlink ref="AC1285" r:id="rId1334" xr:uid="{00000000-0004-0000-0B00-000035050000}"/>
    <hyperlink ref="T1286" r:id="rId1335" xr:uid="{00000000-0004-0000-0B00-000036050000}"/>
    <hyperlink ref="T1287" r:id="rId1336" xr:uid="{00000000-0004-0000-0B00-000037050000}"/>
    <hyperlink ref="T1288" r:id="rId1337" xr:uid="{00000000-0004-0000-0B00-000038050000}"/>
    <hyperlink ref="T1289" r:id="rId1338" xr:uid="{00000000-0004-0000-0B00-000039050000}"/>
    <hyperlink ref="T1290" r:id="rId1339" xr:uid="{00000000-0004-0000-0B00-00003A050000}"/>
    <hyperlink ref="T1291" r:id="rId1340" xr:uid="{00000000-0004-0000-0B00-00003B050000}"/>
    <hyperlink ref="T1292" r:id="rId1341" xr:uid="{00000000-0004-0000-0B00-00003C050000}"/>
    <hyperlink ref="T1293" r:id="rId1342" xr:uid="{00000000-0004-0000-0B00-00003D050000}"/>
    <hyperlink ref="T1294" r:id="rId1343" xr:uid="{00000000-0004-0000-0B00-00003E050000}"/>
    <hyperlink ref="T1295" r:id="rId1344" xr:uid="{00000000-0004-0000-0B00-00003F050000}"/>
    <hyperlink ref="T1296" r:id="rId1345" xr:uid="{00000000-0004-0000-0B00-000040050000}"/>
    <hyperlink ref="T1297" r:id="rId1346" xr:uid="{00000000-0004-0000-0B00-000041050000}"/>
    <hyperlink ref="T1298" r:id="rId1347" xr:uid="{00000000-0004-0000-0B00-000042050000}"/>
    <hyperlink ref="T1299" r:id="rId1348" xr:uid="{00000000-0004-0000-0B00-000043050000}"/>
    <hyperlink ref="T1300" r:id="rId1349" xr:uid="{00000000-0004-0000-0B00-000044050000}"/>
    <hyperlink ref="T1301" r:id="rId1350" xr:uid="{00000000-0004-0000-0B00-000045050000}"/>
    <hyperlink ref="T1302" r:id="rId1351" xr:uid="{00000000-0004-0000-0B00-000046050000}"/>
    <hyperlink ref="T1303" r:id="rId1352" xr:uid="{00000000-0004-0000-0B00-000047050000}"/>
    <hyperlink ref="T1304" r:id="rId1353" xr:uid="{00000000-0004-0000-0B00-000048050000}"/>
    <hyperlink ref="T1305" r:id="rId1354" xr:uid="{00000000-0004-0000-0B00-000049050000}"/>
    <hyperlink ref="T1306" r:id="rId1355" xr:uid="{00000000-0004-0000-0B00-00004A050000}"/>
    <hyperlink ref="T1307" r:id="rId1356" xr:uid="{00000000-0004-0000-0B00-00004B050000}"/>
    <hyperlink ref="T1308" r:id="rId1357" xr:uid="{00000000-0004-0000-0B00-00004C050000}"/>
    <hyperlink ref="T1309" r:id="rId1358" xr:uid="{00000000-0004-0000-0B00-00004D050000}"/>
    <hyperlink ref="T1310" r:id="rId1359" xr:uid="{00000000-0004-0000-0B00-00004E050000}"/>
    <hyperlink ref="T1311" r:id="rId1360" xr:uid="{00000000-0004-0000-0B00-00004F050000}"/>
    <hyperlink ref="T1312" r:id="rId1361" xr:uid="{00000000-0004-0000-0B00-000050050000}"/>
    <hyperlink ref="T1313" r:id="rId1362" xr:uid="{00000000-0004-0000-0B00-000051050000}"/>
    <hyperlink ref="T1314" r:id="rId1363" xr:uid="{00000000-0004-0000-0B00-000052050000}"/>
    <hyperlink ref="T1315" r:id="rId1364" xr:uid="{00000000-0004-0000-0B00-000053050000}"/>
    <hyperlink ref="T1316" r:id="rId1365" xr:uid="{00000000-0004-0000-0B00-000054050000}"/>
    <hyperlink ref="T1317" r:id="rId1366" xr:uid="{00000000-0004-0000-0B00-000055050000}"/>
    <hyperlink ref="T1318" r:id="rId1367" xr:uid="{00000000-0004-0000-0B00-000056050000}"/>
    <hyperlink ref="T1319" r:id="rId1368" xr:uid="{00000000-0004-0000-0B00-000057050000}"/>
    <hyperlink ref="T1320" r:id="rId1369" xr:uid="{00000000-0004-0000-0B00-000058050000}"/>
    <hyperlink ref="T1321" r:id="rId1370" xr:uid="{00000000-0004-0000-0B00-000059050000}"/>
    <hyperlink ref="T1322" r:id="rId1371" xr:uid="{00000000-0004-0000-0B00-00005A050000}"/>
    <hyperlink ref="T1323" r:id="rId1372" xr:uid="{00000000-0004-0000-0B00-00005B050000}"/>
    <hyperlink ref="T1324" r:id="rId1373" xr:uid="{00000000-0004-0000-0B00-00005C050000}"/>
    <hyperlink ref="T1325" r:id="rId1374" xr:uid="{00000000-0004-0000-0B00-00005D050000}"/>
    <hyperlink ref="T1326" r:id="rId1375" xr:uid="{00000000-0004-0000-0B00-00005E050000}"/>
    <hyperlink ref="T1327" r:id="rId1376" xr:uid="{00000000-0004-0000-0B00-00005F050000}"/>
    <hyperlink ref="T1328" r:id="rId1377" xr:uid="{00000000-0004-0000-0B00-000060050000}"/>
    <hyperlink ref="T1329" r:id="rId1378" xr:uid="{00000000-0004-0000-0B00-000061050000}"/>
    <hyperlink ref="T1330" r:id="rId1379" xr:uid="{00000000-0004-0000-0B00-000062050000}"/>
    <hyperlink ref="T1331" r:id="rId1380" xr:uid="{00000000-0004-0000-0B00-000063050000}"/>
    <hyperlink ref="T1332" r:id="rId1381" xr:uid="{00000000-0004-0000-0B00-000064050000}"/>
    <hyperlink ref="T1333" r:id="rId1382" xr:uid="{00000000-0004-0000-0B00-000065050000}"/>
    <hyperlink ref="T1334" r:id="rId1383" xr:uid="{00000000-0004-0000-0B00-000066050000}"/>
    <hyperlink ref="T1335" r:id="rId1384" xr:uid="{00000000-0004-0000-0B00-000067050000}"/>
    <hyperlink ref="T1336" r:id="rId1385" xr:uid="{00000000-0004-0000-0B00-000068050000}"/>
    <hyperlink ref="T1337" r:id="rId1386" xr:uid="{00000000-0004-0000-0B00-000069050000}"/>
    <hyperlink ref="T1338" r:id="rId1387" xr:uid="{00000000-0004-0000-0B00-00006A050000}"/>
    <hyperlink ref="T1339" r:id="rId1388" xr:uid="{00000000-0004-0000-0B00-00006B050000}"/>
    <hyperlink ref="T1340" r:id="rId1389" xr:uid="{00000000-0004-0000-0B00-00006C050000}"/>
    <hyperlink ref="AA1340" r:id="rId1390" xr:uid="{00000000-0004-0000-0B00-00006D050000}"/>
    <hyperlink ref="T1341" r:id="rId1391" xr:uid="{00000000-0004-0000-0B00-00006E050000}"/>
    <hyperlink ref="T1342" r:id="rId1392" xr:uid="{00000000-0004-0000-0B00-00006F050000}"/>
    <hyperlink ref="T1343" r:id="rId1393" xr:uid="{00000000-0004-0000-0B00-000070050000}"/>
    <hyperlink ref="T1344" r:id="rId1394" xr:uid="{00000000-0004-0000-0B00-000071050000}"/>
    <hyperlink ref="T1345" r:id="rId1395" xr:uid="{00000000-0004-0000-0B00-000072050000}"/>
    <hyperlink ref="T1346" r:id="rId1396" xr:uid="{00000000-0004-0000-0B00-000073050000}"/>
    <hyperlink ref="T1347" r:id="rId1397" xr:uid="{00000000-0004-0000-0B00-000074050000}"/>
    <hyperlink ref="T1348" r:id="rId1398" xr:uid="{00000000-0004-0000-0B00-000075050000}"/>
    <hyperlink ref="T1349" r:id="rId1399" xr:uid="{00000000-0004-0000-0B00-000076050000}"/>
    <hyperlink ref="T1350" r:id="rId1400" xr:uid="{00000000-0004-0000-0B00-000077050000}"/>
    <hyperlink ref="AA1350" r:id="rId1401" xr:uid="{00000000-0004-0000-0B00-000078050000}"/>
    <hyperlink ref="AB1350" r:id="rId1402" xr:uid="{00000000-0004-0000-0B00-000079050000}"/>
    <hyperlink ref="T1351" r:id="rId1403" xr:uid="{00000000-0004-0000-0B00-00007A050000}"/>
    <hyperlink ref="AA1351" r:id="rId1404" xr:uid="{00000000-0004-0000-0B00-00007B050000}"/>
    <hyperlink ref="AB1351" r:id="rId1405" xr:uid="{00000000-0004-0000-0B00-00007C050000}"/>
    <hyperlink ref="T1352" r:id="rId1406" xr:uid="{00000000-0004-0000-0B00-00007D050000}"/>
    <hyperlink ref="T1353" r:id="rId1407" xr:uid="{00000000-0004-0000-0B00-00007E050000}"/>
    <hyperlink ref="T1354" r:id="rId1408" xr:uid="{00000000-0004-0000-0B00-00007F050000}"/>
    <hyperlink ref="T1355" r:id="rId1409" xr:uid="{00000000-0004-0000-0B00-000080050000}"/>
    <hyperlink ref="T1356" r:id="rId1410" xr:uid="{00000000-0004-0000-0B00-000081050000}"/>
    <hyperlink ref="T1357" r:id="rId1411" xr:uid="{00000000-0004-0000-0B00-000082050000}"/>
    <hyperlink ref="T1358" r:id="rId1412" xr:uid="{00000000-0004-0000-0B00-000083050000}"/>
    <hyperlink ref="T1359" r:id="rId1413" xr:uid="{00000000-0004-0000-0B00-000084050000}"/>
    <hyperlink ref="T1360" r:id="rId1414" xr:uid="{00000000-0004-0000-0B00-000085050000}"/>
    <hyperlink ref="T1361" r:id="rId1415" xr:uid="{00000000-0004-0000-0B00-000086050000}"/>
    <hyperlink ref="T1362" r:id="rId1416" xr:uid="{00000000-0004-0000-0B00-000087050000}"/>
    <hyperlink ref="AA1362" r:id="rId1417" xr:uid="{00000000-0004-0000-0B00-000088050000}"/>
    <hyperlink ref="T1363" r:id="rId1418" xr:uid="{00000000-0004-0000-0B00-000089050000}"/>
    <hyperlink ref="T1364" r:id="rId1419" xr:uid="{00000000-0004-0000-0B00-00008A050000}"/>
    <hyperlink ref="T1365" r:id="rId1420" xr:uid="{00000000-0004-0000-0B00-00008B050000}"/>
    <hyperlink ref="T1366" r:id="rId1421" xr:uid="{00000000-0004-0000-0B00-00008C050000}"/>
    <hyperlink ref="T1367" r:id="rId1422" xr:uid="{00000000-0004-0000-0B00-00008D050000}"/>
    <hyperlink ref="T1368" r:id="rId1423" xr:uid="{00000000-0004-0000-0B00-00008E050000}"/>
    <hyperlink ref="T1369" r:id="rId1424" xr:uid="{00000000-0004-0000-0B00-00008F050000}"/>
    <hyperlink ref="T1370" r:id="rId1425" xr:uid="{00000000-0004-0000-0B00-000090050000}"/>
    <hyperlink ref="T1371" r:id="rId1426" xr:uid="{00000000-0004-0000-0B00-000091050000}"/>
    <hyperlink ref="T1372" r:id="rId1427" xr:uid="{00000000-0004-0000-0B00-000092050000}"/>
    <hyperlink ref="T1373" r:id="rId1428" xr:uid="{00000000-0004-0000-0B00-000093050000}"/>
    <hyperlink ref="T1374" r:id="rId1429" xr:uid="{00000000-0004-0000-0B00-000094050000}"/>
    <hyperlink ref="T1375" r:id="rId1430" xr:uid="{00000000-0004-0000-0B00-000095050000}"/>
    <hyperlink ref="T1376" r:id="rId1431" xr:uid="{00000000-0004-0000-0B00-000096050000}"/>
    <hyperlink ref="T1377" r:id="rId1432" xr:uid="{00000000-0004-0000-0B00-000097050000}"/>
    <hyperlink ref="T1378" r:id="rId1433" xr:uid="{00000000-0004-0000-0B00-000098050000}"/>
    <hyperlink ref="T1379" r:id="rId1434" xr:uid="{00000000-0004-0000-0B00-000099050000}"/>
    <hyperlink ref="T1380" r:id="rId1435" xr:uid="{00000000-0004-0000-0B00-00009A050000}"/>
    <hyperlink ref="T1381" r:id="rId1436" xr:uid="{00000000-0004-0000-0B00-00009B050000}"/>
    <hyperlink ref="T1382" r:id="rId1437" xr:uid="{00000000-0004-0000-0B00-00009C050000}"/>
    <hyperlink ref="T1383" r:id="rId1438" xr:uid="{00000000-0004-0000-0B00-00009D050000}"/>
    <hyperlink ref="T1384" r:id="rId1439" xr:uid="{00000000-0004-0000-0B00-00009E050000}"/>
    <hyperlink ref="T1385" r:id="rId1440" xr:uid="{00000000-0004-0000-0B00-00009F050000}"/>
    <hyperlink ref="T1386" r:id="rId1441" xr:uid="{00000000-0004-0000-0B00-0000A0050000}"/>
    <hyperlink ref="T1387" r:id="rId1442" xr:uid="{00000000-0004-0000-0B00-0000A1050000}"/>
    <hyperlink ref="T1388" r:id="rId1443" xr:uid="{00000000-0004-0000-0B00-0000A2050000}"/>
    <hyperlink ref="T1389" r:id="rId1444" xr:uid="{00000000-0004-0000-0B00-0000A3050000}"/>
    <hyperlink ref="T1390" r:id="rId1445" xr:uid="{00000000-0004-0000-0B00-0000A4050000}"/>
    <hyperlink ref="T1391" r:id="rId1446" xr:uid="{00000000-0004-0000-0B00-0000A5050000}"/>
    <hyperlink ref="T1392" r:id="rId1447" xr:uid="{00000000-0004-0000-0B00-0000A6050000}"/>
    <hyperlink ref="T1393" r:id="rId1448" xr:uid="{00000000-0004-0000-0B00-0000A7050000}"/>
    <hyperlink ref="T1394" r:id="rId1449" xr:uid="{00000000-0004-0000-0B00-0000A8050000}"/>
    <hyperlink ref="T1395" r:id="rId1450" xr:uid="{00000000-0004-0000-0B00-0000A9050000}"/>
    <hyperlink ref="T1396" r:id="rId1451" xr:uid="{00000000-0004-0000-0B00-0000AA050000}"/>
    <hyperlink ref="T1397" r:id="rId1452" xr:uid="{00000000-0004-0000-0B00-0000AB050000}"/>
    <hyperlink ref="T1398" r:id="rId1453" xr:uid="{00000000-0004-0000-0B00-0000AC050000}"/>
    <hyperlink ref="T1399" r:id="rId1454" xr:uid="{00000000-0004-0000-0B00-0000AD050000}"/>
    <hyperlink ref="T1400" r:id="rId1455" xr:uid="{00000000-0004-0000-0B00-0000AE050000}"/>
    <hyperlink ref="T1401" r:id="rId1456" xr:uid="{00000000-0004-0000-0B00-0000AF050000}"/>
    <hyperlink ref="T1402" r:id="rId1457" xr:uid="{00000000-0004-0000-0B00-0000B0050000}"/>
    <hyperlink ref="T1403" r:id="rId1458" xr:uid="{00000000-0004-0000-0B00-0000B1050000}"/>
    <hyperlink ref="T1404" r:id="rId1459" xr:uid="{00000000-0004-0000-0B00-0000B2050000}"/>
    <hyperlink ref="T1405" r:id="rId1460" xr:uid="{00000000-0004-0000-0B00-0000B3050000}"/>
    <hyperlink ref="T1406" r:id="rId1461" xr:uid="{00000000-0004-0000-0B00-0000B4050000}"/>
    <hyperlink ref="T1407" r:id="rId1462" xr:uid="{00000000-0004-0000-0B00-0000B5050000}"/>
    <hyperlink ref="T1408" r:id="rId1463" xr:uid="{00000000-0004-0000-0B00-0000B6050000}"/>
    <hyperlink ref="T1409" r:id="rId1464" xr:uid="{00000000-0004-0000-0B00-0000B7050000}"/>
    <hyperlink ref="T1410" r:id="rId1465" xr:uid="{00000000-0004-0000-0B00-0000B8050000}"/>
    <hyperlink ref="T1411" r:id="rId1466" xr:uid="{00000000-0004-0000-0B00-0000B9050000}"/>
    <hyperlink ref="T1412" r:id="rId1467" xr:uid="{00000000-0004-0000-0B00-0000BA050000}"/>
    <hyperlink ref="T1413" r:id="rId1468" xr:uid="{00000000-0004-0000-0B00-0000BB050000}"/>
    <hyperlink ref="T1414" r:id="rId1469" xr:uid="{00000000-0004-0000-0B00-0000BC050000}"/>
    <hyperlink ref="T1415" r:id="rId1470" xr:uid="{00000000-0004-0000-0B00-0000BD050000}"/>
    <hyperlink ref="T1416" r:id="rId1471" xr:uid="{00000000-0004-0000-0B00-0000BE050000}"/>
    <hyperlink ref="T1417" r:id="rId1472" xr:uid="{00000000-0004-0000-0B00-0000BF050000}"/>
    <hyperlink ref="T1418" r:id="rId1473" xr:uid="{00000000-0004-0000-0B00-0000C0050000}"/>
    <hyperlink ref="T1419" r:id="rId1474" xr:uid="{00000000-0004-0000-0B00-0000C1050000}"/>
    <hyperlink ref="T1420" r:id="rId1475" xr:uid="{00000000-0004-0000-0B00-0000C2050000}"/>
    <hyperlink ref="T1421" r:id="rId1476" xr:uid="{00000000-0004-0000-0B00-0000C3050000}"/>
    <hyperlink ref="T1422" r:id="rId1477" xr:uid="{00000000-0004-0000-0B00-0000C4050000}"/>
    <hyperlink ref="T1423" r:id="rId1478" xr:uid="{00000000-0004-0000-0B00-0000C5050000}"/>
    <hyperlink ref="T1424" r:id="rId1479" xr:uid="{00000000-0004-0000-0B00-0000C6050000}"/>
    <hyperlink ref="T1425" r:id="rId1480" xr:uid="{00000000-0004-0000-0B00-0000C7050000}"/>
    <hyperlink ref="T1426" r:id="rId1481" xr:uid="{00000000-0004-0000-0B00-0000C8050000}"/>
    <hyperlink ref="T1427" r:id="rId1482" xr:uid="{00000000-0004-0000-0B00-0000C9050000}"/>
    <hyperlink ref="T1428" r:id="rId1483" xr:uid="{00000000-0004-0000-0B00-0000CA050000}"/>
    <hyperlink ref="T1429" r:id="rId1484" xr:uid="{00000000-0004-0000-0B00-0000CB050000}"/>
    <hyperlink ref="T1430" r:id="rId1485" xr:uid="{00000000-0004-0000-0B00-0000CC050000}"/>
    <hyperlink ref="AA1430" r:id="rId1486" xr:uid="{00000000-0004-0000-0B00-0000CD050000}"/>
    <hyperlink ref="T1431" r:id="rId1487" xr:uid="{00000000-0004-0000-0B00-0000CE050000}"/>
    <hyperlink ref="T1432" r:id="rId1488" xr:uid="{00000000-0004-0000-0B00-0000CF050000}"/>
    <hyperlink ref="T1433" r:id="rId1489" xr:uid="{00000000-0004-0000-0B00-0000D0050000}"/>
    <hyperlink ref="T1434" r:id="rId1490" xr:uid="{00000000-0004-0000-0B00-0000D1050000}"/>
    <hyperlink ref="T1435" r:id="rId1491" xr:uid="{00000000-0004-0000-0B00-0000D2050000}"/>
    <hyperlink ref="T1436" r:id="rId1492" xr:uid="{00000000-0004-0000-0B00-0000D3050000}"/>
    <hyperlink ref="T1437" r:id="rId1493" xr:uid="{00000000-0004-0000-0B00-0000D4050000}"/>
    <hyperlink ref="T1438" r:id="rId1494" xr:uid="{00000000-0004-0000-0B00-0000D5050000}"/>
    <hyperlink ref="T1439" r:id="rId1495" xr:uid="{00000000-0004-0000-0B00-0000D6050000}"/>
    <hyperlink ref="T1440" r:id="rId1496" xr:uid="{00000000-0004-0000-0B00-0000D7050000}"/>
    <hyperlink ref="T1441" r:id="rId1497" xr:uid="{00000000-0004-0000-0B00-0000D8050000}"/>
    <hyperlink ref="T1442" r:id="rId1498" xr:uid="{00000000-0004-0000-0B00-0000D9050000}"/>
    <hyperlink ref="T1443" r:id="rId1499" xr:uid="{00000000-0004-0000-0B00-0000DA050000}"/>
    <hyperlink ref="T1444" r:id="rId1500" xr:uid="{00000000-0004-0000-0B00-0000DB050000}"/>
    <hyperlink ref="T1445" r:id="rId1501" xr:uid="{00000000-0004-0000-0B00-0000DC050000}"/>
    <hyperlink ref="T1446" r:id="rId1502" xr:uid="{00000000-0004-0000-0B00-0000DD050000}"/>
    <hyperlink ref="T1447" r:id="rId1503" xr:uid="{00000000-0004-0000-0B00-0000DE050000}"/>
    <hyperlink ref="T1448" r:id="rId1504" xr:uid="{00000000-0004-0000-0B00-0000DF050000}"/>
    <hyperlink ref="T1449" r:id="rId1505" xr:uid="{00000000-0004-0000-0B00-0000E0050000}"/>
    <hyperlink ref="T1450" r:id="rId1506" xr:uid="{00000000-0004-0000-0B00-0000E1050000}"/>
    <hyperlink ref="T1451" r:id="rId1507" xr:uid="{00000000-0004-0000-0B00-0000E2050000}"/>
    <hyperlink ref="T1452" r:id="rId1508" xr:uid="{00000000-0004-0000-0B00-0000E3050000}"/>
    <hyperlink ref="T1453" r:id="rId1509" xr:uid="{00000000-0004-0000-0B00-0000E4050000}"/>
    <hyperlink ref="T1454" r:id="rId1510" xr:uid="{00000000-0004-0000-0B00-0000E5050000}"/>
    <hyperlink ref="AA1454" r:id="rId1511" xr:uid="{00000000-0004-0000-0B00-0000E6050000}"/>
    <hyperlink ref="AB1454" r:id="rId1512" xr:uid="{00000000-0004-0000-0B00-0000E7050000}"/>
    <hyperlink ref="T1455" r:id="rId1513" xr:uid="{00000000-0004-0000-0B00-0000E8050000}"/>
    <hyperlink ref="T1456" r:id="rId1514" xr:uid="{00000000-0004-0000-0B00-0000E9050000}"/>
    <hyperlink ref="T1457" r:id="rId1515" xr:uid="{00000000-0004-0000-0B00-0000EA050000}"/>
    <hyperlink ref="T1458" r:id="rId1516" xr:uid="{00000000-0004-0000-0B00-0000EB050000}"/>
    <hyperlink ref="T1459" r:id="rId1517" xr:uid="{00000000-0004-0000-0B00-0000EC050000}"/>
    <hyperlink ref="T1460" r:id="rId1518" xr:uid="{00000000-0004-0000-0B00-0000ED050000}"/>
    <hyperlink ref="T1461" r:id="rId1519" xr:uid="{00000000-0004-0000-0B00-0000EE050000}"/>
    <hyperlink ref="T1462" r:id="rId1520" xr:uid="{00000000-0004-0000-0B00-0000EF050000}"/>
    <hyperlink ref="AA1462" r:id="rId1521" xr:uid="{00000000-0004-0000-0B00-0000F0050000}"/>
    <hyperlink ref="T1463" r:id="rId1522" xr:uid="{00000000-0004-0000-0B00-0000F1050000}"/>
    <hyperlink ref="T1464" r:id="rId1523" xr:uid="{00000000-0004-0000-0B00-0000F2050000}"/>
    <hyperlink ref="T1465" r:id="rId1524" xr:uid="{00000000-0004-0000-0B00-0000F3050000}"/>
    <hyperlink ref="T1466" r:id="rId1525" xr:uid="{00000000-0004-0000-0B00-0000F4050000}"/>
    <hyperlink ref="T1467" r:id="rId1526" xr:uid="{00000000-0004-0000-0B00-0000F5050000}"/>
    <hyperlink ref="T1468" r:id="rId1527" xr:uid="{00000000-0004-0000-0B00-0000F6050000}"/>
    <hyperlink ref="AA1468" r:id="rId1528" xr:uid="{00000000-0004-0000-0B00-0000F7050000}"/>
    <hyperlink ref="AB1468" r:id="rId1529" xr:uid="{00000000-0004-0000-0B00-0000F8050000}"/>
    <hyperlink ref="T1469" r:id="rId1530" xr:uid="{00000000-0004-0000-0B00-0000F9050000}"/>
    <hyperlink ref="T1470" r:id="rId1531" xr:uid="{00000000-0004-0000-0B00-0000FA050000}"/>
    <hyperlink ref="T1471" r:id="rId1532" xr:uid="{00000000-0004-0000-0B00-0000FB050000}"/>
    <hyperlink ref="T1472" r:id="rId1533" xr:uid="{00000000-0004-0000-0B00-0000FC050000}"/>
    <hyperlink ref="T1473" r:id="rId1534" xr:uid="{00000000-0004-0000-0B00-0000FD050000}"/>
    <hyperlink ref="T1474" r:id="rId1535" xr:uid="{00000000-0004-0000-0B00-0000FE050000}"/>
    <hyperlink ref="T1475" r:id="rId1536" xr:uid="{00000000-0004-0000-0B00-0000FF050000}"/>
    <hyperlink ref="T1476" r:id="rId1537" xr:uid="{00000000-0004-0000-0B00-000000060000}"/>
    <hyperlink ref="T1477" r:id="rId1538" xr:uid="{00000000-0004-0000-0B00-000001060000}"/>
    <hyperlink ref="AA1477" r:id="rId1539" xr:uid="{00000000-0004-0000-0B00-000002060000}"/>
    <hyperlink ref="T1478" r:id="rId1540" xr:uid="{00000000-0004-0000-0B00-000003060000}"/>
    <hyperlink ref="T1479" r:id="rId1541" xr:uid="{00000000-0004-0000-0B00-000004060000}"/>
    <hyperlink ref="T1480" r:id="rId1542" xr:uid="{00000000-0004-0000-0B00-000005060000}"/>
    <hyperlink ref="T1481" r:id="rId1543" xr:uid="{00000000-0004-0000-0B00-000006060000}"/>
    <hyperlink ref="AA1481" r:id="rId1544" xr:uid="{00000000-0004-0000-0B00-000007060000}"/>
    <hyperlink ref="T1482" r:id="rId1545" xr:uid="{00000000-0004-0000-0B00-000008060000}"/>
    <hyperlink ref="T1483" r:id="rId1546" xr:uid="{00000000-0004-0000-0B00-000009060000}"/>
    <hyperlink ref="AA1483" r:id="rId1547" xr:uid="{00000000-0004-0000-0B00-00000A060000}"/>
    <hyperlink ref="T1484" r:id="rId1548" xr:uid="{00000000-0004-0000-0B00-00000B060000}"/>
    <hyperlink ref="T1485" r:id="rId1549" xr:uid="{00000000-0004-0000-0B00-00000C060000}"/>
    <hyperlink ref="T1486" r:id="rId1550" xr:uid="{00000000-0004-0000-0B00-00000D060000}"/>
    <hyperlink ref="T1487" r:id="rId1551" xr:uid="{00000000-0004-0000-0B00-00000E060000}"/>
    <hyperlink ref="T1488" r:id="rId1552" xr:uid="{00000000-0004-0000-0B00-00000F060000}"/>
    <hyperlink ref="T1489" r:id="rId1553" xr:uid="{00000000-0004-0000-0B00-000010060000}"/>
    <hyperlink ref="T1490" r:id="rId1554" xr:uid="{00000000-0004-0000-0B00-000011060000}"/>
    <hyperlink ref="T1491" r:id="rId1555" xr:uid="{00000000-0004-0000-0B00-000012060000}"/>
    <hyperlink ref="T1492" r:id="rId1556" xr:uid="{00000000-0004-0000-0B00-000013060000}"/>
    <hyperlink ref="T1493" r:id="rId1557" xr:uid="{00000000-0004-0000-0B00-000014060000}"/>
    <hyperlink ref="T1494" r:id="rId1558" xr:uid="{00000000-0004-0000-0B00-000015060000}"/>
    <hyperlink ref="T1495" r:id="rId1559" xr:uid="{00000000-0004-0000-0B00-000016060000}"/>
    <hyperlink ref="T1496" r:id="rId1560" xr:uid="{00000000-0004-0000-0B00-000017060000}"/>
    <hyperlink ref="T1497" r:id="rId1561" xr:uid="{00000000-0004-0000-0B00-000018060000}"/>
    <hyperlink ref="T1498" r:id="rId1562" xr:uid="{00000000-0004-0000-0B00-000019060000}"/>
    <hyperlink ref="T1499" r:id="rId1563" xr:uid="{00000000-0004-0000-0B00-00001A060000}"/>
    <hyperlink ref="T1500" r:id="rId1564" xr:uid="{00000000-0004-0000-0B00-00001B060000}"/>
    <hyperlink ref="T1501" r:id="rId1565" xr:uid="{00000000-0004-0000-0B00-00001C060000}"/>
    <hyperlink ref="T1502" r:id="rId1566" xr:uid="{00000000-0004-0000-0B00-00001D060000}"/>
    <hyperlink ref="T1503" r:id="rId1567" xr:uid="{00000000-0004-0000-0B00-00001E060000}"/>
    <hyperlink ref="T1504" r:id="rId1568" xr:uid="{00000000-0004-0000-0B00-00001F060000}"/>
    <hyperlink ref="T1505" r:id="rId1569" xr:uid="{00000000-0004-0000-0B00-000020060000}"/>
    <hyperlink ref="T1506" r:id="rId1570" xr:uid="{00000000-0004-0000-0B00-000021060000}"/>
    <hyperlink ref="T1507" r:id="rId1571" xr:uid="{00000000-0004-0000-0B00-000022060000}"/>
    <hyperlink ref="T1508" r:id="rId1572" xr:uid="{00000000-0004-0000-0B00-000023060000}"/>
    <hyperlink ref="T1509" r:id="rId1573" xr:uid="{00000000-0004-0000-0B00-000024060000}"/>
    <hyperlink ref="T1510" r:id="rId1574" xr:uid="{00000000-0004-0000-0B00-000025060000}"/>
    <hyperlink ref="T1511" r:id="rId1575" xr:uid="{00000000-0004-0000-0B00-000026060000}"/>
    <hyperlink ref="T1512" r:id="rId1576" xr:uid="{00000000-0004-0000-0B00-000027060000}"/>
    <hyperlink ref="T1513" r:id="rId1577" xr:uid="{00000000-0004-0000-0B00-000028060000}"/>
    <hyperlink ref="T1514" r:id="rId1578" xr:uid="{00000000-0004-0000-0B00-000029060000}"/>
    <hyperlink ref="T1515" r:id="rId1579" xr:uid="{00000000-0004-0000-0B00-00002A060000}"/>
    <hyperlink ref="T1516" r:id="rId1580" xr:uid="{00000000-0004-0000-0B00-00002B060000}"/>
    <hyperlink ref="T1517" r:id="rId1581" xr:uid="{00000000-0004-0000-0B00-00002C060000}"/>
    <hyperlink ref="T1518" r:id="rId1582" xr:uid="{00000000-0004-0000-0B00-00002D060000}"/>
    <hyperlink ref="T1519" r:id="rId1583" xr:uid="{00000000-0004-0000-0B00-00002E060000}"/>
    <hyperlink ref="T1520" r:id="rId1584" xr:uid="{00000000-0004-0000-0B00-00002F060000}"/>
    <hyperlink ref="T1521" r:id="rId1585" xr:uid="{00000000-0004-0000-0B00-000030060000}"/>
    <hyperlink ref="T1522" r:id="rId1586" xr:uid="{00000000-0004-0000-0B00-000031060000}"/>
    <hyperlink ref="T1523" r:id="rId1587" xr:uid="{00000000-0004-0000-0B00-000032060000}"/>
    <hyperlink ref="T1524" r:id="rId1588" xr:uid="{00000000-0004-0000-0B00-000033060000}"/>
    <hyperlink ref="T1525" r:id="rId1589" xr:uid="{00000000-0004-0000-0B00-000034060000}"/>
    <hyperlink ref="T1526" r:id="rId1590" xr:uid="{00000000-0004-0000-0B00-000035060000}"/>
    <hyperlink ref="T1527" r:id="rId1591" xr:uid="{00000000-0004-0000-0B00-000036060000}"/>
    <hyperlink ref="T1528" r:id="rId1592" xr:uid="{00000000-0004-0000-0B00-000037060000}"/>
    <hyperlink ref="T1529" r:id="rId1593" xr:uid="{00000000-0004-0000-0B00-000038060000}"/>
    <hyperlink ref="T1530" r:id="rId1594" xr:uid="{00000000-0004-0000-0B00-000039060000}"/>
    <hyperlink ref="T1531" r:id="rId1595" xr:uid="{00000000-0004-0000-0B00-00003A060000}"/>
    <hyperlink ref="T1532" r:id="rId1596" xr:uid="{00000000-0004-0000-0B00-00003B060000}"/>
    <hyperlink ref="T1533" r:id="rId1597" xr:uid="{00000000-0004-0000-0B00-00003C060000}"/>
    <hyperlink ref="T1534" r:id="rId1598" xr:uid="{00000000-0004-0000-0B00-00003D060000}"/>
    <hyperlink ref="T1535" r:id="rId1599" xr:uid="{00000000-0004-0000-0B00-00003E060000}"/>
    <hyperlink ref="T1536" r:id="rId1600" xr:uid="{00000000-0004-0000-0B00-00003F060000}"/>
    <hyperlink ref="T1537" r:id="rId1601" xr:uid="{00000000-0004-0000-0B00-000040060000}"/>
    <hyperlink ref="T1538" r:id="rId1602" xr:uid="{00000000-0004-0000-0B00-000041060000}"/>
    <hyperlink ref="T1539" r:id="rId1603" xr:uid="{00000000-0004-0000-0B00-000042060000}"/>
    <hyperlink ref="T1540" r:id="rId1604" xr:uid="{00000000-0004-0000-0B00-000043060000}"/>
    <hyperlink ref="T1541" r:id="rId1605" xr:uid="{00000000-0004-0000-0B00-000044060000}"/>
    <hyperlink ref="T1542" r:id="rId1606" xr:uid="{00000000-0004-0000-0B00-000045060000}"/>
    <hyperlink ref="T1543" r:id="rId1607" xr:uid="{00000000-0004-0000-0B00-000046060000}"/>
    <hyperlink ref="T1544" r:id="rId1608" xr:uid="{00000000-0004-0000-0B00-000047060000}"/>
    <hyperlink ref="T1545" r:id="rId1609" xr:uid="{00000000-0004-0000-0B00-000048060000}"/>
    <hyperlink ref="T1546" r:id="rId1610" xr:uid="{00000000-0004-0000-0B00-000049060000}"/>
    <hyperlink ref="T1547" r:id="rId1611" xr:uid="{00000000-0004-0000-0B00-00004A060000}"/>
    <hyperlink ref="T1548" r:id="rId1612" xr:uid="{00000000-0004-0000-0B00-00004B060000}"/>
    <hyperlink ref="T1549" r:id="rId1613" xr:uid="{00000000-0004-0000-0B00-00004C060000}"/>
    <hyperlink ref="T1550" r:id="rId1614" xr:uid="{00000000-0004-0000-0B00-00004D060000}"/>
    <hyperlink ref="T1551" r:id="rId1615" xr:uid="{00000000-0004-0000-0B00-00004E060000}"/>
    <hyperlink ref="T1552" r:id="rId1616" xr:uid="{00000000-0004-0000-0B00-00004F06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H1539"/>
  <sheetViews>
    <sheetView workbookViewId="0"/>
  </sheetViews>
  <sheetFormatPr baseColWidth="10" defaultColWidth="12.6640625" defaultRowHeight="15.75" customHeight="1"/>
  <sheetData>
    <row r="1" spans="1:34">
      <c r="A1" s="61" t="str">
        <f ca="1">IFERROR(__xludf.DUMMYFUNCTION("QUERY(IMPORTRANGE(""https://docs.google.com/spreadsheets/d/1yIQawtPURpAfKN2c7pbvj8vebBir9_EGgVwIDePlv5w/edit?pli=1#gid=1101008617"", ""INSPECCIONES!A1:AH10000""), ""SELECT * WHERE Col1 IS NOT NULL"", 0)"),"Línea")</f>
        <v>Línea</v>
      </c>
      <c r="B1" s="5"/>
      <c r="C1" s="5" t="str">
        <f ca="1">IFERROR(__xludf.DUMMYFUNCTION("""COMPUTED_VALUE"""),"Equipo")</f>
        <v>Equipo</v>
      </c>
      <c r="D1" s="5"/>
      <c r="E1" s="5" t="str">
        <f ca="1">IFERROR(__xludf.DUMMYFUNCTION("""COMPUTED_VALUE"""),"Desc. Orden")</f>
        <v>Desc. Orden</v>
      </c>
      <c r="F1" s="5" t="str">
        <f ca="1">IFERROR(__xludf.DUMMYFUNCTION("""COMPUTED_VALUE"""),"Descripción")</f>
        <v>Descripción</v>
      </c>
      <c r="G1" s="5"/>
      <c r="H1" s="5" t="str">
        <f ca="1">IFERROR(__xludf.DUMMYFUNCTION("""COMPUTED_VALUE"""),"Observaciones")</f>
        <v>Observaciones</v>
      </c>
      <c r="I1" s="5" t="str">
        <f ca="1">IFERROR(__xludf.DUMMYFUNCTION("""COMPUTED_VALUE"""),"No. Aviso")</f>
        <v>No. Aviso</v>
      </c>
      <c r="J1" s="5"/>
      <c r="K1" s="5" t="str">
        <f ca="1">IFERROR(__xludf.DUMMYFUNCTION("""COMPUTED_VALUE"""),"No. de Solicitud.")</f>
        <v>No. de Solicitud.</v>
      </c>
      <c r="L1" s="18"/>
      <c r="M1" s="18"/>
      <c r="N1" s="5" t="str">
        <f ca="1">IFERROR(__xludf.DUMMYFUNCTION("""COMPUTED_VALUE"""),"Nombre")</f>
        <v>Nombre</v>
      </c>
      <c r="O1" s="2"/>
      <c r="P1" s="5"/>
      <c r="Q1" s="5" t="str">
        <f ca="1">IFERROR(__xludf.DUMMYFUNCTION("""COMPUTED_VALUE"""),"__PowerAppsId__")</f>
        <v>__PowerAppsId__</v>
      </c>
      <c r="R1" s="5"/>
      <c r="S1" s="62"/>
      <c r="T1" s="5" t="str">
        <f ca="1">IFERROR(__xludf.DUMMYFUNCTION("""COMPUTED_VALUE"""),"imagen")</f>
        <v>imagen</v>
      </c>
      <c r="U1" s="5" t="str">
        <f ca="1">IFERROR(__xludf.DUMMYFUNCTION("""COMPUTED_VALUE"""),"concatenar filtro")</f>
        <v>concatenar filtro</v>
      </c>
      <c r="V1" s="5" t="str">
        <f ca="1">IFERROR(__xludf.DUMMYFUNCTION("""COMPUTED_VALUE"""),"imagen equipo")</f>
        <v>imagen equipo</v>
      </c>
      <c r="W1" s="5"/>
      <c r="X1" s="5" t="str">
        <f ca="1">IFERROR(__xludf.DUMMYFUNCTION("""COMPUTED_VALUE"""),"PANICO")</f>
        <v>PANICO</v>
      </c>
      <c r="Y1" s="5" t="str">
        <f ca="1">IFERROR(__xludf.DUMMYFUNCTION("""COMPUTED_VALUE"""),"correo supervisor")</f>
        <v>correo supervisor</v>
      </c>
      <c r="Z1" s="5" t="str">
        <f ca="1">IFERROR(__xludf.DUMMYFUNCTION("""COMPUTED_VALUE"""),"🔒 Row ID")</f>
        <v>🔒 Row ID</v>
      </c>
      <c r="AA1" s="5" t="str">
        <f ca="1">IFERROR(__xludf.DUMMYFUNCTION("""COMPUTED_VALUE"""),"imagen 1 prueba")</f>
        <v>imagen 1 prueba</v>
      </c>
      <c r="AB1" s="5" t="str">
        <f ca="1">IFERROR(__xludf.DUMMYFUNCTION("""COMPUTED_VALUE"""),"imagene 2 prueba")</f>
        <v>imagene 2 prueba</v>
      </c>
      <c r="AC1" s="5" t="str">
        <f ca="1">IFERROR(__xludf.DUMMYFUNCTION("""COMPUTED_VALUE"""),"VIDEO PRUEVA")</f>
        <v>VIDEO PRUEVA</v>
      </c>
      <c r="AD1" s="5"/>
      <c r="AE1" s="5"/>
      <c r="AF1" s="5"/>
      <c r="AG1" s="5" t="str">
        <f ca="1">IFERROR(__xludf.DUMMYFUNCTION("""COMPUTED_VALUE"""),"EVALUACION PLANTA")</f>
        <v>EVALUACION PLANTA</v>
      </c>
      <c r="AH1" s="5" t="str">
        <f ca="1">IFERROR(__xludf.DUMMYFUNCTION("""COMPUTED_VALUE"""),"ESTADO")</f>
        <v>ESTADO</v>
      </c>
    </row>
    <row r="2" spans="1:34">
      <c r="A2" s="61" t="str">
        <f ca="1">IFERROR(__xludf.DUMMYFUNCTION("""COMPUTED_VALUE"""),"TRATAMIENTO DE AGUA PARA ENVASADO")</f>
        <v>TRATAMIENTO DE AGUA PARA ENVASADO</v>
      </c>
      <c r="B2" s="5">
        <f ca="1">IFERROR(__xludf.DUMMYFUNCTION("""COMPUTED_VALUE"""),70965319)</f>
        <v>70965319</v>
      </c>
      <c r="C2" s="5" t="str">
        <f ca="1">IFERROR(__xludf.DUMMYFUNCTION("""COMPUTED_VALUE"""),"FILTRO BANDA - TRAT PRIM")</f>
        <v>FILTRO BANDA - TRAT PRIM</v>
      </c>
      <c r="D2" s="5">
        <f ca="1">IFERROR(__xludf.DUMMYFUNCTION("""COMPUTED_VALUE"""),13247259)</f>
        <v>13247259</v>
      </c>
      <c r="E2" s="5" t="str">
        <f ca="1">IFERROR(__xludf.DUMMYFUNCTION("""COMPUTED_VALUE"""),"Inspeccione el chasis")</f>
        <v>Inspeccione el chasis</v>
      </c>
      <c r="F2" s="5" t="str">
        <f ca="1">IFERROR(__xludf.DUMMYFUNCTION("""COMPUTED_VALUE"""),"PLAN MTTO MEC FILTRO BANDA - TRAT PRIM")</f>
        <v>PLAN MTTO MEC FILTRO BANDA - TRAT PRIM</v>
      </c>
      <c r="G2" s="5" t="b">
        <f ca="1">IFERROR(__xludf.DUMMYFUNCTION("""COMPUTED_VALUE"""),TRUE)</f>
        <v>1</v>
      </c>
      <c r="H2" s="5"/>
      <c r="I2" s="5"/>
      <c r="J2" s="5">
        <f ca="1">IFERROR(__xludf.DUMMYFUNCTION("""COMPUTED_VALUE"""),13247259)</f>
        <v>13247259</v>
      </c>
      <c r="K2" s="5"/>
      <c r="L2" s="18">
        <f ca="1">IFERROR(__xludf.DUMMYFUNCTION("""COMPUTED_VALUE"""),45339)</f>
        <v>45339</v>
      </c>
      <c r="M2" s="18">
        <f ca="1">IFERROR(__xludf.DUMMYFUNCTION("""COMPUTED_VALUE"""),45339)</f>
        <v>45339</v>
      </c>
      <c r="N2" s="5" t="str">
        <f ca="1">IFERROR(__xludf.DUMMYFUNCTION("""COMPUTED_VALUE"""),"Guzman Palechor Miguel Angel")</f>
        <v>Guzman Palechor Miguel Angel</v>
      </c>
      <c r="O2" s="2">
        <f ca="1">IFERROR(__xludf.DUMMYFUNCTION("""COMPUTED_VALUE"""),1)</f>
        <v>1</v>
      </c>
      <c r="P2" s="5">
        <f ca="1">IFERROR(__xludf.DUMMYFUNCTION("""COMPUTED_VALUE"""),20009822)</f>
        <v>20009822</v>
      </c>
      <c r="Q2" s="5" t="str">
        <f ca="1">IFERROR(__xludf.DUMMYFUNCTION("""COMPUTED_VALUE"""),"hvu0ilDf8oU")</f>
        <v>hvu0ilDf8oU</v>
      </c>
      <c r="R2" s="5">
        <f ca="1">IFERROR(__xludf.DUMMYFUNCTION("""COMPUTED_VALUE"""),410)</f>
        <v>410</v>
      </c>
      <c r="S2" s="62">
        <f ca="1">IFERROR(__xludf.DUMMYFUNCTION("""COMPUTED_VALUE"""),1)</f>
        <v>1</v>
      </c>
      <c r="T2" s="63" t="str">
        <f ca="1">IFERROR(__xludf.DUMMYFUNCTION("""COMPUTED_VALUE"""),"https://storage.googleapis.com/glide-prod.appspot.com/uploads-v2/ly7o78grxPaC6KdgvbpS/pub/3aRdSog0vUtuqPE8AJKD.png")</f>
        <v>https://storage.googleapis.com/glide-prod.appspot.com/uploads-v2/ly7o78grxPaC6KdgvbpS/pub/3aRdSog0vUtuqPE8AJKD.png</v>
      </c>
      <c r="U2" s="5" t="str">
        <f ca="1">IFERROR(__xludf.DUMMYFUNCTION("""COMPUTED_VALUE"""),"TRATAMIENTO DE AGUA PARA ENVASADOFILTRO BANDA - TRAT PRIM")</f>
        <v>TRATAMIENTO DE AGUA PARA ENVASADOFILTRO BANDA - TRAT PRIM</v>
      </c>
      <c r="V2" s="5"/>
      <c r="W2" s="5" t="b">
        <f ca="1">IFERROR(__xludf.DUMMYFUNCTION("""COMPUTED_VALUE"""),TRUE)</f>
        <v>1</v>
      </c>
      <c r="X2" s="5" t="str">
        <f ca="1">IFERROR(__xludf.DUMMYFUNCTION("""COMPUTED_VALUE"""),"wmazorra@postobon.com.co,aprmttoyu@postobon.com.co,aprmyu@postobon.com.co,wmora@postobon.com.co,efzapata@postobon.com.co")</f>
        <v>wmazorra@postobon.com.co,aprmttoyu@postobon.com.co,aprmyu@postobon.com.co,wmora@postobon.com.co,efzapata@postobon.com.co</v>
      </c>
      <c r="Y2" s="5" t="str">
        <f ca="1">IFERROR(__xludf.DUMMYFUNCTION("""COMPUTED_VALUE"""),"wmazorra@postobon.com.co")</f>
        <v>wmazorra@postobon.com.co</v>
      </c>
      <c r="Z2" s="5" t="str">
        <f ca="1">IFERROR(__xludf.DUMMYFUNCTION("""COMPUTED_VALUE"""),"EreKVQ0DQg6nRGcP7I6FuQ")</f>
        <v>EreKVQ0DQg6nRGcP7I6FuQ</v>
      </c>
      <c r="AA2" s="5"/>
      <c r="AB2" s="5"/>
      <c r="AC2" s="5"/>
      <c r="AD2" s="5">
        <f ca="1">IFERROR(__xludf.DUMMYFUNCTION("""COMPUTED_VALUE"""),34)</f>
        <v>34</v>
      </c>
      <c r="AE2" s="5">
        <f ca="1">IFERROR(__xludf.DUMMYFUNCTION("""COMPUTED_VALUE"""),34)</f>
        <v>34</v>
      </c>
      <c r="AF2" s="5" t="b">
        <f ca="1">IFERROR(__xludf.DUMMYFUNCTION("""COMPUTED_VALUE"""),FALSE)</f>
        <v>0</v>
      </c>
      <c r="AG2" s="5" t="str">
        <f ca="1">IFERROR(__xludf.DUMMYFUNCTION("""COMPUTED_VALUE"""),"INSPECCIONES REALIZADAS")</f>
        <v>INSPECCIONES REALIZADAS</v>
      </c>
      <c r="AH2" s="5"/>
    </row>
    <row r="3" spans="1:34">
      <c r="A3" s="61" t="str">
        <f ca="1">IFERROR(__xludf.DUMMYFUNCTION("""COMPUTED_VALUE"""),"LINEA DE ENVASADO PET NO RETORNABLE")</f>
        <v>LINEA DE ENVASADO PET NO RETORNABLE</v>
      </c>
      <c r="B3" s="5">
        <f ca="1">IFERROR(__xludf.DUMMYFUNCTION("""COMPUTED_VALUE"""),599557)</f>
        <v>599557</v>
      </c>
      <c r="C3" s="5" t="str">
        <f ca="1">IFERROR(__xludf.DUMMYFUNCTION("""COMPUTED_VALUE"""),"INSPECTOR DE BOTELLA LLENA")</f>
        <v>INSPECTOR DE BOTELLA LLENA</v>
      </c>
      <c r="D3" s="5">
        <f ca="1">IFERROR(__xludf.DUMMYFUNCTION("""COMPUTED_VALUE"""),13247830)</f>
        <v>13247830</v>
      </c>
      <c r="E3" s="5" t="str">
        <f ca="1">IFERROR(__xludf.DUMMYFUNCTION("""COMPUTED_VALUE"""),"INSPECCION SEMANAL INSPECTOR DE BOTELLA")</f>
        <v>INSPECCION SEMANAL INSPECTOR DE BOTELLA</v>
      </c>
      <c r="F3" s="5" t="str">
        <f ca="1">IFERROR(__xludf.DUMMYFUNCTION("""COMPUTED_VALUE"""),"LIMPIEZ.GRAL(VIDRIOS,ESPEJOS,COMPUTADOR)")</f>
        <v>LIMPIEZ.GRAL(VIDRIOS,ESPEJOS,COMPUTADOR)</v>
      </c>
      <c r="G3" s="5" t="b">
        <f ca="1">IFERROR(__xludf.DUMMYFUNCTION("""COMPUTED_VALUE"""),TRUE)</f>
        <v>1</v>
      </c>
      <c r="H3" s="5"/>
      <c r="I3" s="5"/>
      <c r="J3" s="5">
        <f ca="1">IFERROR(__xludf.DUMMYFUNCTION("""COMPUTED_VALUE"""),13247830)</f>
        <v>13247830</v>
      </c>
      <c r="K3" s="5"/>
      <c r="L3" s="18">
        <f ca="1">IFERROR(__xludf.DUMMYFUNCTION("""COMPUTED_VALUE"""),45325)</f>
        <v>45325</v>
      </c>
      <c r="M3" s="18">
        <f ca="1">IFERROR(__xludf.DUMMYFUNCTION("""COMPUTED_VALUE"""),45325)</f>
        <v>45325</v>
      </c>
      <c r="N3" s="5" t="str">
        <f ca="1">IFERROR(__xludf.DUMMYFUNCTION("""COMPUTED_VALUE"""),"Montes Marmolejo Leonel F")</f>
        <v>Montes Marmolejo Leonel F</v>
      </c>
      <c r="O3" s="2">
        <f ca="1">IFERROR(__xludf.DUMMYFUNCTION("""COMPUTED_VALUE"""),0.01)</f>
        <v>0.01</v>
      </c>
      <c r="P3" s="5">
        <f ca="1">IFERROR(__xludf.DUMMYFUNCTION("""COMPUTED_VALUE"""),20009992)</f>
        <v>20009992</v>
      </c>
      <c r="Q3" s="5" t="str">
        <f ca="1">IFERROR(__xludf.DUMMYFUNCTION("""COMPUTED_VALUE"""),"xLyYqhkE890")</f>
        <v>xLyYqhkE890</v>
      </c>
      <c r="R3" s="5">
        <f ca="1">IFERROR(__xludf.DUMMYFUNCTION("""COMPUTED_VALUE"""),410)</f>
        <v>410</v>
      </c>
      <c r="S3" s="62">
        <f ca="1">IFERROR(__xludf.DUMMYFUNCTION("""COMPUTED_VALUE"""),0.01)</f>
        <v>0.01</v>
      </c>
      <c r="T3" s="63" t="str">
        <f ca="1">IFERROR(__xludf.DUMMYFUNCTION("""COMPUTED_VALUE"""),"https://storage.googleapis.com/glide-prod.appspot.com/uploads-v2/ly7o78grxPaC6KdgvbpS/pub/3aRdSog0vUtuqPE8AJKD.png")</f>
        <v>https://storage.googleapis.com/glide-prod.appspot.com/uploads-v2/ly7o78grxPaC6KdgvbpS/pub/3aRdSog0vUtuqPE8AJKD.png</v>
      </c>
      <c r="U3" s="5" t="str">
        <f ca="1">IFERROR(__xludf.DUMMYFUNCTION("""COMPUTED_VALUE"""),"LINEA DE ENVASADO PET NO RETORNABLEINSPECTOR DE BOTELLA LLENA")</f>
        <v>LINEA DE ENVASADO PET NO RETORNABLEINSPECTOR DE BOTELLA LLENA</v>
      </c>
      <c r="V3" s="5"/>
      <c r="W3" s="5" t="b">
        <f ca="1">IFERROR(__xludf.DUMMYFUNCTION("""COMPUTED_VALUE"""),TRUE)</f>
        <v>1</v>
      </c>
      <c r="X3" s="5" t="str">
        <f ca="1">IFERROR(__xludf.DUMMYFUNCTION("""COMPUTED_VALUE"""),"wguerra@postobon.com.co,aprmttoyu@postobon.com.co,aprmyu@postobon.com.co,wmora@postobon.com.co,efzapata@postobon.com.co")</f>
        <v>wguerra@postobon.com.co,aprmttoyu@postobon.com.co,aprmyu@postobon.com.co,wmora@postobon.com.co,efzapata@postobon.com.co</v>
      </c>
      <c r="Y3" s="5" t="str">
        <f ca="1">IFERROR(__xludf.DUMMYFUNCTION("""COMPUTED_VALUE"""),"wguerra@postobon.com.co")</f>
        <v>wguerra@postobon.com.co</v>
      </c>
      <c r="Z3" s="5" t="str">
        <f ca="1">IFERROR(__xludf.DUMMYFUNCTION("""COMPUTED_VALUE"""),"2tQxVoBXRfKhhAJBDOD-jg")</f>
        <v>2tQxVoBXRfKhhAJBDOD-jg</v>
      </c>
      <c r="AA3" s="5"/>
      <c r="AB3" s="5"/>
      <c r="AC3" s="5"/>
      <c r="AD3" s="5">
        <f ca="1">IFERROR(__xludf.DUMMYFUNCTION("""COMPUTED_VALUE"""),11)</f>
        <v>11</v>
      </c>
      <c r="AE3" s="5">
        <f ca="1">IFERROR(__xludf.DUMMYFUNCTION("""COMPUTED_VALUE"""),11)</f>
        <v>11</v>
      </c>
      <c r="AF3" s="5" t="b">
        <f ca="1">IFERROR(__xludf.DUMMYFUNCTION("""COMPUTED_VALUE"""),FALSE)</f>
        <v>0</v>
      </c>
      <c r="AG3" s="5" t="str">
        <f ca="1">IFERROR(__xludf.DUMMYFUNCTION("""COMPUTED_VALUE"""),"INSPECCIONES REALIZADAS")</f>
        <v>INSPECCIONES REALIZADAS</v>
      </c>
      <c r="AH3" s="5"/>
    </row>
    <row r="4" spans="1:34">
      <c r="A4" s="61" t="str">
        <f ca="1">IFERROR(__xludf.DUMMYFUNCTION("""COMPUTED_VALUE"""),"LINEA DE ENVASADO PET NO RETORNABLE")</f>
        <v>LINEA DE ENVASADO PET NO RETORNABLE</v>
      </c>
      <c r="B4" s="5">
        <f ca="1">IFERROR(__xludf.DUMMYFUNCTION("""COMPUTED_VALUE"""),599557)</f>
        <v>599557</v>
      </c>
      <c r="C4" s="5" t="str">
        <f ca="1">IFERROR(__xludf.DUMMYFUNCTION("""COMPUTED_VALUE"""),"INSPECTOR DE BOTELLA LLENA")</f>
        <v>INSPECTOR DE BOTELLA LLENA</v>
      </c>
      <c r="D4" s="5">
        <f ca="1">IFERROR(__xludf.DUMMYFUNCTION("""COMPUTED_VALUE"""),13247830)</f>
        <v>13247830</v>
      </c>
      <c r="E4" s="5" t="str">
        <f ca="1">IFERROR(__xludf.DUMMYFUNCTION("""COMPUTED_VALUE"""),"INSPECCION SEMANAL INSPECTOR DE BOTELLA")</f>
        <v>INSPECCION SEMANAL INSPECTOR DE BOTELLA</v>
      </c>
      <c r="F4" s="5" t="str">
        <f ca="1">IFERROR(__xludf.DUMMYFUNCTION("""COMPUTED_VALUE"""),"FUNC. FOTOCELDAS, SENSORES")</f>
        <v>FUNC. FOTOCELDAS, SENSORES</v>
      </c>
      <c r="G4" s="5" t="b">
        <f ca="1">IFERROR(__xludf.DUMMYFUNCTION("""COMPUTED_VALUE"""),TRUE)</f>
        <v>1</v>
      </c>
      <c r="H4" s="5" t="str">
        <f ca="1">IFERROR(__xludf.DUMMYFUNCTION("""COMPUTED_VALUE"""),"Máquina fuera de servicio, inhabilitada mal rechazo, se deben de desactivar las funciones desde pantalla llenadora con cada cambio de receta por qué pueden salir las botellas vacías.")</f>
        <v>Máquina fuera de servicio, inhabilitada mal rechazo, se deben de desactivar las funciones desde pantalla llenadora con cada cambio de receta por qué pueden salir las botellas vacías.</v>
      </c>
      <c r="I4" s="5"/>
      <c r="J4" s="5">
        <f ca="1">IFERROR(__xludf.DUMMYFUNCTION("""COMPUTED_VALUE"""),13247830)</f>
        <v>13247830</v>
      </c>
      <c r="K4" s="5"/>
      <c r="L4" s="18">
        <f ca="1">IFERROR(__xludf.DUMMYFUNCTION("""COMPUTED_VALUE"""),45325)</f>
        <v>45325</v>
      </c>
      <c r="M4" s="18">
        <f ca="1">IFERROR(__xludf.DUMMYFUNCTION("""COMPUTED_VALUE"""),45325)</f>
        <v>45325</v>
      </c>
      <c r="N4" s="5" t="str">
        <f ca="1">IFERROR(__xludf.DUMMYFUNCTION("""COMPUTED_VALUE"""),"Montes Marmolejo Leonel F")</f>
        <v>Montes Marmolejo Leonel F</v>
      </c>
      <c r="O4" s="2">
        <f ca="1">IFERROR(__xludf.DUMMYFUNCTION("""COMPUTED_VALUE"""),0.01)</f>
        <v>0.01</v>
      </c>
      <c r="P4" s="5">
        <f ca="1">IFERROR(__xludf.DUMMYFUNCTION("""COMPUTED_VALUE"""),20009992)</f>
        <v>20009992</v>
      </c>
      <c r="Q4" s="5" t="str">
        <f ca="1">IFERROR(__xludf.DUMMYFUNCTION("""COMPUTED_VALUE"""),"MC7gjpMEfAs")</f>
        <v>MC7gjpMEfAs</v>
      </c>
      <c r="R4" s="5">
        <f ca="1">IFERROR(__xludf.DUMMYFUNCTION("""COMPUTED_VALUE"""),410)</f>
        <v>410</v>
      </c>
      <c r="S4" s="62">
        <f ca="1">IFERROR(__xludf.DUMMYFUNCTION("""COMPUTED_VALUE"""),0.01)</f>
        <v>0.01</v>
      </c>
      <c r="T4" s="63" t="str">
        <f ca="1">IFERROR(__xludf.DUMMYFUNCTION("""COMPUTED_VALUE"""),"https://storage.googleapis.com/glide-prod.appspot.com/uploads-v2/ly7o78grxPaC6KdgvbpS/pub/3aRdSog0vUtuqPE8AJKD.png")</f>
        <v>https://storage.googleapis.com/glide-prod.appspot.com/uploads-v2/ly7o78grxPaC6KdgvbpS/pub/3aRdSog0vUtuqPE8AJKD.png</v>
      </c>
      <c r="U4" s="5" t="str">
        <f ca="1">IFERROR(__xludf.DUMMYFUNCTION("""COMPUTED_VALUE"""),"LINEA DE ENVASADO PET NO RETORNABLEINSPECTOR DE BOTELLA LLENA")</f>
        <v>LINEA DE ENVASADO PET NO RETORNABLEINSPECTOR DE BOTELLA LLENA</v>
      </c>
      <c r="V4" s="5"/>
      <c r="W4" s="5" t="b">
        <f ca="1">IFERROR(__xludf.DUMMYFUNCTION("""COMPUTED_VALUE"""),TRUE)</f>
        <v>1</v>
      </c>
      <c r="X4" s="5" t="str">
        <f ca="1">IFERROR(__xludf.DUMMYFUNCTION("""COMPUTED_VALUE"""),"wguerra@postobon.com.co,aprmttoyu@postobon.com.co,aprmyu@postobon.com.co,wmora@postobon.com.co,efzapata@postobon.com.co")</f>
        <v>wguerra@postobon.com.co,aprmttoyu@postobon.com.co,aprmyu@postobon.com.co,wmora@postobon.com.co,efzapata@postobon.com.co</v>
      </c>
      <c r="Y4" s="5" t="str">
        <f ca="1">IFERROR(__xludf.DUMMYFUNCTION("""COMPUTED_VALUE"""),"wguerra@postobon.com.co")</f>
        <v>wguerra@postobon.com.co</v>
      </c>
      <c r="Z4" s="5" t="str">
        <f ca="1">IFERROR(__xludf.DUMMYFUNCTION("""COMPUTED_VALUE"""),"2R1KSoupSAGeNiRob4WkuA")</f>
        <v>2R1KSoupSAGeNiRob4WkuA</v>
      </c>
      <c r="AA4" s="63" t="str">
        <f ca="1">IFERROR(__xludf.DUMMYFUNCTION("""COMPUTED_VALUE"""),"https://storage.googleapis.com/glide-prod.appspot.com/uploads-v2/ly7o78grxPaC6KdgvbpS/pub/xp9zOShZ902b8qpTVC5b.jpg")</f>
        <v>https://storage.googleapis.com/glide-prod.appspot.com/uploads-v2/ly7o78grxPaC6KdgvbpS/pub/xp9zOShZ902b8qpTVC5b.jpg</v>
      </c>
      <c r="AB4" s="63" t="str">
        <f ca="1">IFERROR(__xludf.DUMMYFUNCTION("""COMPUTED_VALUE"""),"https://storage.googleapis.com/glide-prod.appspot.com/uploads-v2/ly7o78grxPaC6KdgvbpS/pub/srfT3TT9684BbYK6YTcr.jpg")</f>
        <v>https://storage.googleapis.com/glide-prod.appspot.com/uploads-v2/ly7o78grxPaC6KdgvbpS/pub/srfT3TT9684BbYK6YTcr.jpg</v>
      </c>
      <c r="AC4" s="5"/>
      <c r="AD4" s="5">
        <f ca="1">IFERROR(__xludf.DUMMYFUNCTION("""COMPUTED_VALUE"""),11)</f>
        <v>11</v>
      </c>
      <c r="AE4" s="5">
        <f ca="1">IFERROR(__xludf.DUMMYFUNCTION("""COMPUTED_VALUE"""),11)</f>
        <v>11</v>
      </c>
      <c r="AF4" s="5" t="b">
        <f ca="1">IFERROR(__xludf.DUMMYFUNCTION("""COMPUTED_VALUE"""),FALSE)</f>
        <v>0</v>
      </c>
      <c r="AG4" s="5" t="str">
        <f ca="1">IFERROR(__xludf.DUMMYFUNCTION("""COMPUTED_VALUE"""),"INSPECCIONES REALIZADAS")</f>
        <v>INSPECCIONES REALIZADAS</v>
      </c>
      <c r="AH4" s="5"/>
    </row>
    <row r="5" spans="1:34">
      <c r="A5" s="61" t="str">
        <f ca="1">IFERROR(__xludf.DUMMYFUNCTION("""COMPUTED_VALUE"""),"LINEA DE ENVASADO PET NO RETORNABLE")</f>
        <v>LINEA DE ENVASADO PET NO RETORNABLE</v>
      </c>
      <c r="B5" s="5">
        <f ca="1">IFERROR(__xludf.DUMMYFUNCTION("""COMPUTED_VALUE"""),599557)</f>
        <v>599557</v>
      </c>
      <c r="C5" s="5" t="str">
        <f ca="1">IFERROR(__xludf.DUMMYFUNCTION("""COMPUTED_VALUE"""),"INSPECTOR DE BOTELLA LLENA")</f>
        <v>INSPECTOR DE BOTELLA LLENA</v>
      </c>
      <c r="D5" s="5">
        <f ca="1">IFERROR(__xludf.DUMMYFUNCTION("""COMPUTED_VALUE"""),13247830)</f>
        <v>13247830</v>
      </c>
      <c r="E5" s="5" t="str">
        <f ca="1">IFERROR(__xludf.DUMMYFUNCTION("""COMPUTED_VALUE"""),"INSPECCION SEMANAL INSPECTOR DE BOTELLA")</f>
        <v>INSPECCION SEMANAL INSPECTOR DE BOTELLA</v>
      </c>
      <c r="F5" s="5" t="str">
        <f ca="1">IFERROR(__xludf.DUMMYFUNCTION("""COMPUTED_VALUE"""),"INSP. UNIDAD MTTO AIRE(DRENAR AGUA)")</f>
        <v>INSP. UNIDAD MTTO AIRE(DRENAR AGUA)</v>
      </c>
      <c r="G5" s="5" t="b">
        <f ca="1">IFERROR(__xludf.DUMMYFUNCTION("""COMPUTED_VALUE"""),TRUE)</f>
        <v>1</v>
      </c>
      <c r="H5" s="5"/>
      <c r="I5" s="5"/>
      <c r="J5" s="5">
        <f ca="1">IFERROR(__xludf.DUMMYFUNCTION("""COMPUTED_VALUE"""),13247830)</f>
        <v>13247830</v>
      </c>
      <c r="K5" s="5"/>
      <c r="L5" s="18">
        <f ca="1">IFERROR(__xludf.DUMMYFUNCTION("""COMPUTED_VALUE"""),45325)</f>
        <v>45325</v>
      </c>
      <c r="M5" s="18">
        <f ca="1">IFERROR(__xludf.DUMMYFUNCTION("""COMPUTED_VALUE"""),45325)</f>
        <v>45325</v>
      </c>
      <c r="N5" s="5" t="str">
        <f ca="1">IFERROR(__xludf.DUMMYFUNCTION("""COMPUTED_VALUE"""),"Montes Marmolejo Leonel F")</f>
        <v>Montes Marmolejo Leonel F</v>
      </c>
      <c r="O5" s="2">
        <f ca="1">IFERROR(__xludf.DUMMYFUNCTION("""COMPUTED_VALUE"""),0.01)</f>
        <v>0.01</v>
      </c>
      <c r="P5" s="5">
        <f ca="1">IFERROR(__xludf.DUMMYFUNCTION("""COMPUTED_VALUE"""),20009992)</f>
        <v>20009992</v>
      </c>
      <c r="Q5" s="5" t="str">
        <f ca="1">IFERROR(__xludf.DUMMYFUNCTION("""COMPUTED_VALUE"""),"0SG_vnuEIHk")</f>
        <v>0SG_vnuEIHk</v>
      </c>
      <c r="R5" s="5">
        <f ca="1">IFERROR(__xludf.DUMMYFUNCTION("""COMPUTED_VALUE"""),410)</f>
        <v>410</v>
      </c>
      <c r="S5" s="62">
        <f ca="1">IFERROR(__xludf.DUMMYFUNCTION("""COMPUTED_VALUE"""),0.01)</f>
        <v>0.01</v>
      </c>
      <c r="T5" s="63" t="str">
        <f ca="1">IFERROR(__xludf.DUMMYFUNCTION("""COMPUTED_VALUE"""),"https://storage.googleapis.com/glide-prod.appspot.com/uploads-v2/ly7o78grxPaC6KdgvbpS/pub/3aRdSog0vUtuqPE8AJKD.png")</f>
        <v>https://storage.googleapis.com/glide-prod.appspot.com/uploads-v2/ly7o78grxPaC6KdgvbpS/pub/3aRdSog0vUtuqPE8AJKD.png</v>
      </c>
      <c r="U5" s="5" t="str">
        <f ca="1">IFERROR(__xludf.DUMMYFUNCTION("""COMPUTED_VALUE"""),"LINEA DE ENVASADO PET NO RETORNABLEINSPECTOR DE BOTELLA LLENA")</f>
        <v>LINEA DE ENVASADO PET NO RETORNABLEINSPECTOR DE BOTELLA LLENA</v>
      </c>
      <c r="V5" s="5"/>
      <c r="W5" s="5" t="b">
        <f ca="1">IFERROR(__xludf.DUMMYFUNCTION("""COMPUTED_VALUE"""),TRUE)</f>
        <v>1</v>
      </c>
      <c r="X5" s="5" t="str">
        <f ca="1">IFERROR(__xludf.DUMMYFUNCTION("""COMPUTED_VALUE"""),"wguerra@postobon.com.co,aprmttoyu@postobon.com.co,aprmyu@postobon.com.co,wmora@postobon.com.co,efzapata@postobon.com.co")</f>
        <v>wguerra@postobon.com.co,aprmttoyu@postobon.com.co,aprmyu@postobon.com.co,wmora@postobon.com.co,efzapata@postobon.com.co</v>
      </c>
      <c r="Y5" s="5" t="str">
        <f ca="1">IFERROR(__xludf.DUMMYFUNCTION("""COMPUTED_VALUE"""),"wguerra@postobon.com.co")</f>
        <v>wguerra@postobon.com.co</v>
      </c>
      <c r="Z5" s="5" t="str">
        <f ca="1">IFERROR(__xludf.DUMMYFUNCTION("""COMPUTED_VALUE"""),"Qmj00RQQRQChinCr43Mu1Q")</f>
        <v>Qmj00RQQRQChinCr43Mu1Q</v>
      </c>
      <c r="AA5" s="5"/>
      <c r="AB5" s="5"/>
      <c r="AC5" s="5"/>
      <c r="AD5" s="5">
        <f ca="1">IFERROR(__xludf.DUMMYFUNCTION("""COMPUTED_VALUE"""),11)</f>
        <v>11</v>
      </c>
      <c r="AE5" s="5">
        <f ca="1">IFERROR(__xludf.DUMMYFUNCTION("""COMPUTED_VALUE"""),11)</f>
        <v>11</v>
      </c>
      <c r="AF5" s="5" t="b">
        <f ca="1">IFERROR(__xludf.DUMMYFUNCTION("""COMPUTED_VALUE"""),FALSE)</f>
        <v>0</v>
      </c>
      <c r="AG5" s="5" t="str">
        <f ca="1">IFERROR(__xludf.DUMMYFUNCTION("""COMPUTED_VALUE"""),"INSPECCIONES REALIZADAS")</f>
        <v>INSPECCIONES REALIZADAS</v>
      </c>
      <c r="AH5" s="5"/>
    </row>
    <row r="6" spans="1:34">
      <c r="A6" s="61" t="str">
        <f ca="1">IFERROR(__xludf.DUMMYFUNCTION("""COMPUTED_VALUE"""),"LINEA DE ENVASADO PET NO RETORNABLE")</f>
        <v>LINEA DE ENVASADO PET NO RETORNABLE</v>
      </c>
      <c r="B6" s="5">
        <f ca="1">IFERROR(__xludf.DUMMYFUNCTION("""COMPUTED_VALUE"""),599557)</f>
        <v>599557</v>
      </c>
      <c r="C6" s="5" t="str">
        <f ca="1">IFERROR(__xludf.DUMMYFUNCTION("""COMPUTED_VALUE"""),"INSPECTOR DE BOTELLA LLENA")</f>
        <v>INSPECTOR DE BOTELLA LLENA</v>
      </c>
      <c r="D6" s="5">
        <f ca="1">IFERROR(__xludf.DUMMYFUNCTION("""COMPUTED_VALUE"""),13247830)</f>
        <v>13247830</v>
      </c>
      <c r="E6" s="5" t="str">
        <f ca="1">IFERROR(__xludf.DUMMYFUNCTION("""COMPUTED_VALUE"""),"INSPECCION SEMANAL INSPECTOR DE BOTELLA")</f>
        <v>INSPECCION SEMANAL INSPECTOR DE BOTELLA</v>
      </c>
      <c r="F6" s="5" t="str">
        <f ca="1">IFERROR(__xludf.DUMMYFUNCTION("""COMPUTED_VALUE"""),"INSP INTERCAMBIADOR Y REJILLA AIRE")</f>
        <v>INSP INTERCAMBIADOR Y REJILLA AIRE</v>
      </c>
      <c r="G6" s="5" t="b">
        <f ca="1">IFERROR(__xludf.DUMMYFUNCTION("""COMPUTED_VALUE"""),TRUE)</f>
        <v>1</v>
      </c>
      <c r="H6" s="5"/>
      <c r="I6" s="5"/>
      <c r="J6" s="5">
        <f ca="1">IFERROR(__xludf.DUMMYFUNCTION("""COMPUTED_VALUE"""),13247830)</f>
        <v>13247830</v>
      </c>
      <c r="K6" s="5"/>
      <c r="L6" s="18">
        <f ca="1">IFERROR(__xludf.DUMMYFUNCTION("""COMPUTED_VALUE"""),45325)</f>
        <v>45325</v>
      </c>
      <c r="M6" s="18">
        <f ca="1">IFERROR(__xludf.DUMMYFUNCTION("""COMPUTED_VALUE"""),45325)</f>
        <v>45325</v>
      </c>
      <c r="N6" s="5" t="str">
        <f ca="1">IFERROR(__xludf.DUMMYFUNCTION("""COMPUTED_VALUE"""),"Montes Marmolejo Leonel F")</f>
        <v>Montes Marmolejo Leonel F</v>
      </c>
      <c r="O6" s="2">
        <f ca="1">IFERROR(__xludf.DUMMYFUNCTION("""COMPUTED_VALUE"""),0.01)</f>
        <v>0.01</v>
      </c>
      <c r="P6" s="5">
        <f ca="1">IFERROR(__xludf.DUMMYFUNCTION("""COMPUTED_VALUE"""),20009992)</f>
        <v>20009992</v>
      </c>
      <c r="Q6" s="5" t="str">
        <f ca="1">IFERROR(__xludf.DUMMYFUNCTION("""COMPUTED_VALUE"""),"qn8V9L2AL6E")</f>
        <v>qn8V9L2AL6E</v>
      </c>
      <c r="R6" s="5">
        <f ca="1">IFERROR(__xludf.DUMMYFUNCTION("""COMPUTED_VALUE"""),410)</f>
        <v>410</v>
      </c>
      <c r="S6" s="62">
        <f ca="1">IFERROR(__xludf.DUMMYFUNCTION("""COMPUTED_VALUE"""),0.01)</f>
        <v>0.01</v>
      </c>
      <c r="T6" s="63" t="str">
        <f ca="1">IFERROR(__xludf.DUMMYFUNCTION("""COMPUTED_VALUE"""),"https://storage.googleapis.com/glide-prod.appspot.com/uploads-v2/ly7o78grxPaC6KdgvbpS/pub/3aRdSog0vUtuqPE8AJKD.png")</f>
        <v>https://storage.googleapis.com/glide-prod.appspot.com/uploads-v2/ly7o78grxPaC6KdgvbpS/pub/3aRdSog0vUtuqPE8AJKD.png</v>
      </c>
      <c r="U6" s="5" t="str">
        <f ca="1">IFERROR(__xludf.DUMMYFUNCTION("""COMPUTED_VALUE"""),"LINEA DE ENVASADO PET NO RETORNABLEINSPECTOR DE BOTELLA LLENA")</f>
        <v>LINEA DE ENVASADO PET NO RETORNABLEINSPECTOR DE BOTELLA LLENA</v>
      </c>
      <c r="V6" s="5"/>
      <c r="W6" s="5" t="b">
        <f ca="1">IFERROR(__xludf.DUMMYFUNCTION("""COMPUTED_VALUE"""),TRUE)</f>
        <v>1</v>
      </c>
      <c r="X6" s="5" t="str">
        <f ca="1">IFERROR(__xludf.DUMMYFUNCTION("""COMPUTED_VALUE"""),"wguerra@postobon.com.co,aprmttoyu@postobon.com.co,aprmyu@postobon.com.co,wmora@postobon.com.co,efzapata@postobon.com.co")</f>
        <v>wguerra@postobon.com.co,aprmttoyu@postobon.com.co,aprmyu@postobon.com.co,wmora@postobon.com.co,efzapata@postobon.com.co</v>
      </c>
      <c r="Y6" s="5" t="str">
        <f ca="1">IFERROR(__xludf.DUMMYFUNCTION("""COMPUTED_VALUE"""),"wguerra@postobon.com.co")</f>
        <v>wguerra@postobon.com.co</v>
      </c>
      <c r="Z6" s="5" t="str">
        <f ca="1">IFERROR(__xludf.DUMMYFUNCTION("""COMPUTED_VALUE"""),"xshXIgV-TJuOU9y8tjmcbg")</f>
        <v>xshXIgV-TJuOU9y8tjmcbg</v>
      </c>
      <c r="AA6" s="5"/>
      <c r="AB6" s="5"/>
      <c r="AC6" s="5"/>
      <c r="AD6" s="5">
        <f ca="1">IFERROR(__xludf.DUMMYFUNCTION("""COMPUTED_VALUE"""),11)</f>
        <v>11</v>
      </c>
      <c r="AE6" s="5">
        <f ca="1">IFERROR(__xludf.DUMMYFUNCTION("""COMPUTED_VALUE"""),11)</f>
        <v>11</v>
      </c>
      <c r="AF6" s="5" t="b">
        <f ca="1">IFERROR(__xludf.DUMMYFUNCTION("""COMPUTED_VALUE"""),FALSE)</f>
        <v>0</v>
      </c>
      <c r="AG6" s="5" t="str">
        <f ca="1">IFERROR(__xludf.DUMMYFUNCTION("""COMPUTED_VALUE"""),"INSPECCIONES REALIZADAS")</f>
        <v>INSPECCIONES REALIZADAS</v>
      </c>
      <c r="AH6" s="5"/>
    </row>
    <row r="7" spans="1:34">
      <c r="A7" s="61" t="str">
        <f ca="1">IFERROR(__xludf.DUMMYFUNCTION("""COMPUTED_VALUE"""),"LINEA DE ENVASADO PET NO RETORNABLE")</f>
        <v>LINEA DE ENVASADO PET NO RETORNABLE</v>
      </c>
      <c r="B7" s="5">
        <f ca="1">IFERROR(__xludf.DUMMYFUNCTION("""COMPUTED_VALUE"""),599557)</f>
        <v>599557</v>
      </c>
      <c r="C7" s="5" t="str">
        <f ca="1">IFERROR(__xludf.DUMMYFUNCTION("""COMPUTED_VALUE"""),"INSPECTOR DE BOTELLA LLENA")</f>
        <v>INSPECTOR DE BOTELLA LLENA</v>
      </c>
      <c r="D7" s="5">
        <f ca="1">IFERROR(__xludf.DUMMYFUNCTION("""COMPUTED_VALUE"""),13247830)</f>
        <v>13247830</v>
      </c>
      <c r="E7" s="5" t="str">
        <f ca="1">IFERROR(__xludf.DUMMYFUNCTION("""COMPUTED_VALUE"""),"INSPECCION SEMANAL INSPECTOR DE BOTELLA")</f>
        <v>INSPECCION SEMANAL INSPECTOR DE BOTELLA</v>
      </c>
      <c r="F7" s="5" t="str">
        <f ca="1">IFERROR(__xludf.DUMMYFUNCTION("""COMPUTED_VALUE"""),"INSP. FALTA DE TAPON")</f>
        <v>INSP. FALTA DE TAPON</v>
      </c>
      <c r="G7" s="5" t="b">
        <f ca="1">IFERROR(__xludf.DUMMYFUNCTION("""COMPUTED_VALUE"""),TRUE)</f>
        <v>1</v>
      </c>
      <c r="H7" s="5"/>
      <c r="I7" s="5"/>
      <c r="J7" s="5">
        <f ca="1">IFERROR(__xludf.DUMMYFUNCTION("""COMPUTED_VALUE"""),13247830)</f>
        <v>13247830</v>
      </c>
      <c r="K7" s="5"/>
      <c r="L7" s="18">
        <f ca="1">IFERROR(__xludf.DUMMYFUNCTION("""COMPUTED_VALUE"""),45325)</f>
        <v>45325</v>
      </c>
      <c r="M7" s="18">
        <f ca="1">IFERROR(__xludf.DUMMYFUNCTION("""COMPUTED_VALUE"""),45325)</f>
        <v>45325</v>
      </c>
      <c r="N7" s="5" t="str">
        <f ca="1">IFERROR(__xludf.DUMMYFUNCTION("""COMPUTED_VALUE"""),"Montes Marmolejo Leonel F")</f>
        <v>Montes Marmolejo Leonel F</v>
      </c>
      <c r="O7" s="2">
        <f ca="1">IFERROR(__xludf.DUMMYFUNCTION("""COMPUTED_VALUE"""),0.01)</f>
        <v>0.01</v>
      </c>
      <c r="P7" s="5">
        <f ca="1">IFERROR(__xludf.DUMMYFUNCTION("""COMPUTED_VALUE"""),20009992)</f>
        <v>20009992</v>
      </c>
      <c r="Q7" s="5" t="str">
        <f ca="1">IFERROR(__xludf.DUMMYFUNCTION("""COMPUTED_VALUE"""),"X0sgXeOvbXo")</f>
        <v>X0sgXeOvbXo</v>
      </c>
      <c r="R7" s="5">
        <f ca="1">IFERROR(__xludf.DUMMYFUNCTION("""COMPUTED_VALUE"""),410)</f>
        <v>410</v>
      </c>
      <c r="S7" s="62">
        <f ca="1">IFERROR(__xludf.DUMMYFUNCTION("""COMPUTED_VALUE"""),0.01)</f>
        <v>0.01</v>
      </c>
      <c r="T7" s="63" t="str">
        <f ca="1">IFERROR(__xludf.DUMMYFUNCTION("""COMPUTED_VALUE"""),"https://storage.googleapis.com/glide-prod.appspot.com/uploads-v2/ly7o78grxPaC6KdgvbpS/pub/3aRdSog0vUtuqPE8AJKD.png")</f>
        <v>https://storage.googleapis.com/glide-prod.appspot.com/uploads-v2/ly7o78grxPaC6KdgvbpS/pub/3aRdSog0vUtuqPE8AJKD.png</v>
      </c>
      <c r="U7" s="5" t="str">
        <f ca="1">IFERROR(__xludf.DUMMYFUNCTION("""COMPUTED_VALUE"""),"LINEA DE ENVASADO PET NO RETORNABLEINSPECTOR DE BOTELLA LLENA")</f>
        <v>LINEA DE ENVASADO PET NO RETORNABLEINSPECTOR DE BOTELLA LLENA</v>
      </c>
      <c r="V7" s="5"/>
      <c r="W7" s="5" t="b">
        <f ca="1">IFERROR(__xludf.DUMMYFUNCTION("""COMPUTED_VALUE"""),TRUE)</f>
        <v>1</v>
      </c>
      <c r="X7" s="5" t="str">
        <f ca="1">IFERROR(__xludf.DUMMYFUNCTION("""COMPUTED_VALUE"""),"wguerra@postobon.com.co,aprmttoyu@postobon.com.co,aprmyu@postobon.com.co,wmora@postobon.com.co,efzapata@postobon.com.co")</f>
        <v>wguerra@postobon.com.co,aprmttoyu@postobon.com.co,aprmyu@postobon.com.co,wmora@postobon.com.co,efzapata@postobon.com.co</v>
      </c>
      <c r="Y7" s="5" t="str">
        <f ca="1">IFERROR(__xludf.DUMMYFUNCTION("""COMPUTED_VALUE"""),"wguerra@postobon.com.co")</f>
        <v>wguerra@postobon.com.co</v>
      </c>
      <c r="Z7" s="5" t="str">
        <f ca="1">IFERROR(__xludf.DUMMYFUNCTION("""COMPUTED_VALUE"""),"dX6QS969Ru-aksPEDdw6hw")</f>
        <v>dX6QS969Ru-aksPEDdw6hw</v>
      </c>
      <c r="AA7" s="5"/>
      <c r="AB7" s="5"/>
      <c r="AC7" s="5"/>
      <c r="AD7" s="5">
        <f ca="1">IFERROR(__xludf.DUMMYFUNCTION("""COMPUTED_VALUE"""),11)</f>
        <v>11</v>
      </c>
      <c r="AE7" s="5">
        <f ca="1">IFERROR(__xludf.DUMMYFUNCTION("""COMPUTED_VALUE"""),11)</f>
        <v>11</v>
      </c>
      <c r="AF7" s="5" t="b">
        <f ca="1">IFERROR(__xludf.DUMMYFUNCTION("""COMPUTED_VALUE"""),FALSE)</f>
        <v>0</v>
      </c>
      <c r="AG7" s="5" t="str">
        <f ca="1">IFERROR(__xludf.DUMMYFUNCTION("""COMPUTED_VALUE"""),"INSPECCIONES REALIZADAS")</f>
        <v>INSPECCIONES REALIZADAS</v>
      </c>
      <c r="AH7" s="5"/>
    </row>
    <row r="8" spans="1:34">
      <c r="A8" s="61" t="str">
        <f ca="1">IFERROR(__xludf.DUMMYFUNCTION("""COMPUTED_VALUE"""),"LINEA DE ENVASADO PET NO RETORNABLE")</f>
        <v>LINEA DE ENVASADO PET NO RETORNABLE</v>
      </c>
      <c r="B8" s="5">
        <f ca="1">IFERROR(__xludf.DUMMYFUNCTION("""COMPUTED_VALUE"""),599557)</f>
        <v>599557</v>
      </c>
      <c r="C8" s="5" t="str">
        <f ca="1">IFERROR(__xludf.DUMMYFUNCTION("""COMPUTED_VALUE"""),"INSPECTOR DE BOTELLA LLENA")</f>
        <v>INSPECTOR DE BOTELLA LLENA</v>
      </c>
      <c r="D8" s="5">
        <f ca="1">IFERROR(__xludf.DUMMYFUNCTION("""COMPUTED_VALUE"""),13247830)</f>
        <v>13247830</v>
      </c>
      <c r="E8" s="5" t="str">
        <f ca="1">IFERROR(__xludf.DUMMYFUNCTION("""COMPUTED_VALUE"""),"INSPECCION SEMANAL INSPECTOR DE BOTELLA")</f>
        <v>INSPECCION SEMANAL INSPECTOR DE BOTELLA</v>
      </c>
      <c r="F8" s="5" t="str">
        <f ca="1">IFERROR(__xludf.DUMMYFUNCTION("""COMPUTED_VALUE"""),"INSP. SUBLLENADO")</f>
        <v>INSP. SUBLLENADO</v>
      </c>
      <c r="G8" s="5" t="b">
        <f ca="1">IFERROR(__xludf.DUMMYFUNCTION("""COMPUTED_VALUE"""),TRUE)</f>
        <v>1</v>
      </c>
      <c r="H8" s="5"/>
      <c r="I8" s="5"/>
      <c r="J8" s="5">
        <f ca="1">IFERROR(__xludf.DUMMYFUNCTION("""COMPUTED_VALUE"""),13247830)</f>
        <v>13247830</v>
      </c>
      <c r="K8" s="5"/>
      <c r="L8" s="18">
        <f ca="1">IFERROR(__xludf.DUMMYFUNCTION("""COMPUTED_VALUE"""),45325)</f>
        <v>45325</v>
      </c>
      <c r="M8" s="18">
        <f ca="1">IFERROR(__xludf.DUMMYFUNCTION("""COMPUTED_VALUE"""),45325)</f>
        <v>45325</v>
      </c>
      <c r="N8" s="5" t="str">
        <f ca="1">IFERROR(__xludf.DUMMYFUNCTION("""COMPUTED_VALUE"""),"Montes Marmolejo Leonel F")</f>
        <v>Montes Marmolejo Leonel F</v>
      </c>
      <c r="O8" s="2">
        <f ca="1">IFERROR(__xludf.DUMMYFUNCTION("""COMPUTED_VALUE"""),0.01)</f>
        <v>0.01</v>
      </c>
      <c r="P8" s="5">
        <f ca="1">IFERROR(__xludf.DUMMYFUNCTION("""COMPUTED_VALUE"""),20009992)</f>
        <v>20009992</v>
      </c>
      <c r="Q8" s="5" t="str">
        <f ca="1">IFERROR(__xludf.DUMMYFUNCTION("""COMPUTED_VALUE"""),"_bnSwDnvIc8")</f>
        <v>_bnSwDnvIc8</v>
      </c>
      <c r="R8" s="5">
        <f ca="1">IFERROR(__xludf.DUMMYFUNCTION("""COMPUTED_VALUE"""),410)</f>
        <v>410</v>
      </c>
      <c r="S8" s="62">
        <f ca="1">IFERROR(__xludf.DUMMYFUNCTION("""COMPUTED_VALUE"""),0.01)</f>
        <v>0.01</v>
      </c>
      <c r="T8" s="63" t="str">
        <f ca="1">IFERROR(__xludf.DUMMYFUNCTION("""COMPUTED_VALUE"""),"https://storage.googleapis.com/glide-prod.appspot.com/uploads-v2/ly7o78grxPaC6KdgvbpS/pub/3aRdSog0vUtuqPE8AJKD.png")</f>
        <v>https://storage.googleapis.com/glide-prod.appspot.com/uploads-v2/ly7o78grxPaC6KdgvbpS/pub/3aRdSog0vUtuqPE8AJKD.png</v>
      </c>
      <c r="U8" s="5" t="str">
        <f ca="1">IFERROR(__xludf.DUMMYFUNCTION("""COMPUTED_VALUE"""),"LINEA DE ENVASADO PET NO RETORNABLEINSPECTOR DE BOTELLA LLENA")</f>
        <v>LINEA DE ENVASADO PET NO RETORNABLEINSPECTOR DE BOTELLA LLENA</v>
      </c>
      <c r="V8" s="5"/>
      <c r="W8" s="5" t="b">
        <f ca="1">IFERROR(__xludf.DUMMYFUNCTION("""COMPUTED_VALUE"""),TRUE)</f>
        <v>1</v>
      </c>
      <c r="X8" s="5" t="str">
        <f ca="1">IFERROR(__xludf.DUMMYFUNCTION("""COMPUTED_VALUE"""),"wguerra@postobon.com.co,aprmttoyu@postobon.com.co,aprmyu@postobon.com.co,wmora@postobon.com.co,efzapata@postobon.com.co")</f>
        <v>wguerra@postobon.com.co,aprmttoyu@postobon.com.co,aprmyu@postobon.com.co,wmora@postobon.com.co,efzapata@postobon.com.co</v>
      </c>
      <c r="Y8" s="5" t="str">
        <f ca="1">IFERROR(__xludf.DUMMYFUNCTION("""COMPUTED_VALUE"""),"wguerra@postobon.com.co")</f>
        <v>wguerra@postobon.com.co</v>
      </c>
      <c r="Z8" s="5" t="str">
        <f ca="1">IFERROR(__xludf.DUMMYFUNCTION("""COMPUTED_VALUE"""),"lYd2AODOSCay2ztA8rxYVw")</f>
        <v>lYd2AODOSCay2ztA8rxYVw</v>
      </c>
      <c r="AA8" s="5"/>
      <c r="AB8" s="5"/>
      <c r="AC8" s="5"/>
      <c r="AD8" s="5">
        <f ca="1">IFERROR(__xludf.DUMMYFUNCTION("""COMPUTED_VALUE"""),11)</f>
        <v>11</v>
      </c>
      <c r="AE8" s="5">
        <f ca="1">IFERROR(__xludf.DUMMYFUNCTION("""COMPUTED_VALUE"""),11)</f>
        <v>11</v>
      </c>
      <c r="AF8" s="5" t="b">
        <f ca="1">IFERROR(__xludf.DUMMYFUNCTION("""COMPUTED_VALUE"""),FALSE)</f>
        <v>0</v>
      </c>
      <c r="AG8" s="5" t="str">
        <f ca="1">IFERROR(__xludf.DUMMYFUNCTION("""COMPUTED_VALUE"""),"INSPECCIONES REALIZADAS")</f>
        <v>INSPECCIONES REALIZADAS</v>
      </c>
      <c r="AH8" s="5"/>
    </row>
    <row r="9" spans="1:34">
      <c r="A9" s="61" t="str">
        <f ca="1">IFERROR(__xludf.DUMMYFUNCTION("""COMPUTED_VALUE"""),"LINEA DE ENVASADO PET NO RETORNABLE")</f>
        <v>LINEA DE ENVASADO PET NO RETORNABLE</v>
      </c>
      <c r="B9" s="5">
        <f ca="1">IFERROR(__xludf.DUMMYFUNCTION("""COMPUTED_VALUE"""),599557)</f>
        <v>599557</v>
      </c>
      <c r="C9" s="5" t="str">
        <f ca="1">IFERROR(__xludf.DUMMYFUNCTION("""COMPUTED_VALUE"""),"INSPECTOR DE BOTELLA LLENA")</f>
        <v>INSPECTOR DE BOTELLA LLENA</v>
      </c>
      <c r="D9" s="5">
        <f ca="1">IFERROR(__xludf.DUMMYFUNCTION("""COMPUTED_VALUE"""),13247830)</f>
        <v>13247830</v>
      </c>
      <c r="E9" s="5" t="str">
        <f ca="1">IFERROR(__xludf.DUMMYFUNCTION("""COMPUTED_VALUE"""),"INSPECCION SEMANAL INSPECTOR DE BOTELLA")</f>
        <v>INSPECCION SEMANAL INSPECTOR DE BOTELLA</v>
      </c>
      <c r="F9" s="5" t="str">
        <f ca="1">IFERROR(__xludf.DUMMYFUNCTION("""COMPUTED_VALUE"""),"FUNC.PANEL CONTROL")</f>
        <v>FUNC.PANEL CONTROL</v>
      </c>
      <c r="G9" s="5" t="b">
        <f ca="1">IFERROR(__xludf.DUMMYFUNCTION("""COMPUTED_VALUE"""),TRUE)</f>
        <v>1</v>
      </c>
      <c r="H9" s="5"/>
      <c r="I9" s="5"/>
      <c r="J9" s="5">
        <f ca="1">IFERROR(__xludf.DUMMYFUNCTION("""COMPUTED_VALUE"""),13247830)</f>
        <v>13247830</v>
      </c>
      <c r="K9" s="5"/>
      <c r="L9" s="18">
        <f ca="1">IFERROR(__xludf.DUMMYFUNCTION("""COMPUTED_VALUE"""),45325)</f>
        <v>45325</v>
      </c>
      <c r="M9" s="18">
        <f ca="1">IFERROR(__xludf.DUMMYFUNCTION("""COMPUTED_VALUE"""),45325)</f>
        <v>45325</v>
      </c>
      <c r="N9" s="5" t="str">
        <f ca="1">IFERROR(__xludf.DUMMYFUNCTION("""COMPUTED_VALUE"""),"Montes Marmolejo Leonel F")</f>
        <v>Montes Marmolejo Leonel F</v>
      </c>
      <c r="O9" s="2">
        <f ca="1">IFERROR(__xludf.DUMMYFUNCTION("""COMPUTED_VALUE"""),0.01)</f>
        <v>0.01</v>
      </c>
      <c r="P9" s="5">
        <f ca="1">IFERROR(__xludf.DUMMYFUNCTION("""COMPUTED_VALUE"""),20009992)</f>
        <v>20009992</v>
      </c>
      <c r="Q9" s="5" t="str">
        <f ca="1">IFERROR(__xludf.DUMMYFUNCTION("""COMPUTED_VALUE"""),"ulGDvSQ3LNo")</f>
        <v>ulGDvSQ3LNo</v>
      </c>
      <c r="R9" s="5">
        <f ca="1">IFERROR(__xludf.DUMMYFUNCTION("""COMPUTED_VALUE"""),410)</f>
        <v>410</v>
      </c>
      <c r="S9" s="62">
        <f ca="1">IFERROR(__xludf.DUMMYFUNCTION("""COMPUTED_VALUE"""),0.01)</f>
        <v>0.01</v>
      </c>
      <c r="T9" s="63" t="str">
        <f ca="1">IFERROR(__xludf.DUMMYFUNCTION("""COMPUTED_VALUE"""),"https://storage.googleapis.com/glide-prod.appspot.com/uploads-v2/ly7o78grxPaC6KdgvbpS/pub/3aRdSog0vUtuqPE8AJKD.png")</f>
        <v>https://storage.googleapis.com/glide-prod.appspot.com/uploads-v2/ly7o78grxPaC6KdgvbpS/pub/3aRdSog0vUtuqPE8AJKD.png</v>
      </c>
      <c r="U9" s="5" t="str">
        <f ca="1">IFERROR(__xludf.DUMMYFUNCTION("""COMPUTED_VALUE"""),"LINEA DE ENVASADO PET NO RETORNABLEINSPECTOR DE BOTELLA LLENA")</f>
        <v>LINEA DE ENVASADO PET NO RETORNABLEINSPECTOR DE BOTELLA LLENA</v>
      </c>
      <c r="V9" s="5"/>
      <c r="W9" s="5" t="b">
        <f ca="1">IFERROR(__xludf.DUMMYFUNCTION("""COMPUTED_VALUE"""),TRUE)</f>
        <v>1</v>
      </c>
      <c r="X9" s="5" t="str">
        <f ca="1">IFERROR(__xludf.DUMMYFUNCTION("""COMPUTED_VALUE"""),"wguerra@postobon.com.co,aprmttoyu@postobon.com.co,aprmyu@postobon.com.co,wmora@postobon.com.co,efzapata@postobon.com.co")</f>
        <v>wguerra@postobon.com.co,aprmttoyu@postobon.com.co,aprmyu@postobon.com.co,wmora@postobon.com.co,efzapata@postobon.com.co</v>
      </c>
      <c r="Y9" s="5" t="str">
        <f ca="1">IFERROR(__xludf.DUMMYFUNCTION("""COMPUTED_VALUE"""),"wguerra@postobon.com.co")</f>
        <v>wguerra@postobon.com.co</v>
      </c>
      <c r="Z9" s="5" t="str">
        <f ca="1">IFERROR(__xludf.DUMMYFUNCTION("""COMPUTED_VALUE"""),"ZO1y87raQWGXpAet.92FpA")</f>
        <v>ZO1y87raQWGXpAet.92FpA</v>
      </c>
      <c r="AA9" s="5"/>
      <c r="AB9" s="5"/>
      <c r="AC9" s="5"/>
      <c r="AD9" s="5">
        <f ca="1">IFERROR(__xludf.DUMMYFUNCTION("""COMPUTED_VALUE"""),11)</f>
        <v>11</v>
      </c>
      <c r="AE9" s="5">
        <f ca="1">IFERROR(__xludf.DUMMYFUNCTION("""COMPUTED_VALUE"""),11)</f>
        <v>11</v>
      </c>
      <c r="AF9" s="5" t="b">
        <f ca="1">IFERROR(__xludf.DUMMYFUNCTION("""COMPUTED_VALUE"""),FALSE)</f>
        <v>0</v>
      </c>
      <c r="AG9" s="5" t="str">
        <f ca="1">IFERROR(__xludf.DUMMYFUNCTION("""COMPUTED_VALUE"""),"INSPECCIONES REALIZADAS")</f>
        <v>INSPECCIONES REALIZADAS</v>
      </c>
      <c r="AH9" s="5"/>
    </row>
    <row r="10" spans="1:34">
      <c r="A10" s="61" t="str">
        <f ca="1">IFERROR(__xludf.DUMMYFUNCTION("""COMPUTED_VALUE"""),"LINEA DE ENVASADO PET NO RETORNABLE")</f>
        <v>LINEA DE ENVASADO PET NO RETORNABLE</v>
      </c>
      <c r="B10" s="5">
        <f ca="1">IFERROR(__xludf.DUMMYFUNCTION("""COMPUTED_VALUE"""),599557)</f>
        <v>599557</v>
      </c>
      <c r="C10" s="5" t="str">
        <f ca="1">IFERROR(__xludf.DUMMYFUNCTION("""COMPUTED_VALUE"""),"INSPECTOR DE BOTELLA LLENA")</f>
        <v>INSPECTOR DE BOTELLA LLENA</v>
      </c>
      <c r="D10" s="5">
        <f ca="1">IFERROR(__xludf.DUMMYFUNCTION("""COMPUTED_VALUE"""),13247830)</f>
        <v>13247830</v>
      </c>
      <c r="E10" s="5" t="str">
        <f ca="1">IFERROR(__xludf.DUMMYFUNCTION("""COMPUTED_VALUE"""),"INSPECCION SEMANAL INSPECTOR DE BOTELLA")</f>
        <v>INSPECCION SEMANAL INSPECTOR DE BOTELLA</v>
      </c>
      <c r="F10" s="5" t="str">
        <f ca="1">IFERROR(__xludf.DUMMYFUNCTION("""COMPUTED_VALUE"""),"UNIDAD DE CONTROL")</f>
        <v>UNIDAD DE CONTROL</v>
      </c>
      <c r="G10" s="5" t="b">
        <f ca="1">IFERROR(__xludf.DUMMYFUNCTION("""COMPUTED_VALUE"""),TRUE)</f>
        <v>1</v>
      </c>
      <c r="H10" s="5"/>
      <c r="I10" s="5"/>
      <c r="J10" s="5">
        <f ca="1">IFERROR(__xludf.DUMMYFUNCTION("""COMPUTED_VALUE"""),13247830)</f>
        <v>13247830</v>
      </c>
      <c r="K10" s="5"/>
      <c r="L10" s="18">
        <f ca="1">IFERROR(__xludf.DUMMYFUNCTION("""COMPUTED_VALUE"""),45325)</f>
        <v>45325</v>
      </c>
      <c r="M10" s="18">
        <f ca="1">IFERROR(__xludf.DUMMYFUNCTION("""COMPUTED_VALUE"""),45325)</f>
        <v>45325</v>
      </c>
      <c r="N10" s="5" t="str">
        <f ca="1">IFERROR(__xludf.DUMMYFUNCTION("""COMPUTED_VALUE"""),"Montes Marmolejo Leonel F")</f>
        <v>Montes Marmolejo Leonel F</v>
      </c>
      <c r="O10" s="2">
        <f ca="1">IFERROR(__xludf.DUMMYFUNCTION("""COMPUTED_VALUE"""),0.01)</f>
        <v>0.01</v>
      </c>
      <c r="P10" s="5">
        <f ca="1">IFERROR(__xludf.DUMMYFUNCTION("""COMPUTED_VALUE"""),20009992)</f>
        <v>20009992</v>
      </c>
      <c r="Q10" s="5" t="str">
        <f ca="1">IFERROR(__xludf.DUMMYFUNCTION("""COMPUTED_VALUE"""),"nQNGqFmzzaE")</f>
        <v>nQNGqFmzzaE</v>
      </c>
      <c r="R10" s="5">
        <f ca="1">IFERROR(__xludf.DUMMYFUNCTION("""COMPUTED_VALUE"""),410)</f>
        <v>410</v>
      </c>
      <c r="S10" s="62">
        <f ca="1">IFERROR(__xludf.DUMMYFUNCTION("""COMPUTED_VALUE"""),0.01)</f>
        <v>0.01</v>
      </c>
      <c r="T10" s="63" t="str">
        <f ca="1">IFERROR(__xludf.DUMMYFUNCTION("""COMPUTED_VALUE"""),"https://storage.googleapis.com/glide-prod.appspot.com/uploads-v2/ly7o78grxPaC6KdgvbpS/pub/3aRdSog0vUtuqPE8AJKD.png")</f>
        <v>https://storage.googleapis.com/glide-prod.appspot.com/uploads-v2/ly7o78grxPaC6KdgvbpS/pub/3aRdSog0vUtuqPE8AJKD.png</v>
      </c>
      <c r="U10" s="5" t="str">
        <f ca="1">IFERROR(__xludf.DUMMYFUNCTION("""COMPUTED_VALUE"""),"LINEA DE ENVASADO PET NO RETORNABLEINSPECTOR DE BOTELLA LLENA")</f>
        <v>LINEA DE ENVASADO PET NO RETORNABLEINSPECTOR DE BOTELLA LLENA</v>
      </c>
      <c r="V10" s="5"/>
      <c r="W10" s="5" t="b">
        <f ca="1">IFERROR(__xludf.DUMMYFUNCTION("""COMPUTED_VALUE"""),TRUE)</f>
        <v>1</v>
      </c>
      <c r="X10" s="5" t="str">
        <f ca="1">IFERROR(__xludf.DUMMYFUNCTION("""COMPUTED_VALUE"""),"wguerra@postobon.com.co,aprmttoyu@postobon.com.co,aprmyu@postobon.com.co,wmora@postobon.com.co,efzapata@postobon.com.co")</f>
        <v>wguerra@postobon.com.co,aprmttoyu@postobon.com.co,aprmyu@postobon.com.co,wmora@postobon.com.co,efzapata@postobon.com.co</v>
      </c>
      <c r="Y10" s="5" t="str">
        <f ca="1">IFERROR(__xludf.DUMMYFUNCTION("""COMPUTED_VALUE"""),"wguerra@postobon.com.co")</f>
        <v>wguerra@postobon.com.co</v>
      </c>
      <c r="Z10" s="5" t="str">
        <f ca="1">IFERROR(__xludf.DUMMYFUNCTION("""COMPUTED_VALUE"""),"uQmufS60SweAX2qHI5Z1kQ")</f>
        <v>uQmufS60SweAX2qHI5Z1kQ</v>
      </c>
      <c r="AA10" s="5"/>
      <c r="AB10" s="5"/>
      <c r="AC10" s="5"/>
      <c r="AD10" s="5">
        <f ca="1">IFERROR(__xludf.DUMMYFUNCTION("""COMPUTED_VALUE"""),11)</f>
        <v>11</v>
      </c>
      <c r="AE10" s="5">
        <f ca="1">IFERROR(__xludf.DUMMYFUNCTION("""COMPUTED_VALUE"""),11)</f>
        <v>11</v>
      </c>
      <c r="AF10" s="5" t="b">
        <f ca="1">IFERROR(__xludf.DUMMYFUNCTION("""COMPUTED_VALUE"""),FALSE)</f>
        <v>0</v>
      </c>
      <c r="AG10" s="5" t="str">
        <f ca="1">IFERROR(__xludf.DUMMYFUNCTION("""COMPUTED_VALUE"""),"INSPECCIONES REALIZADAS")</f>
        <v>INSPECCIONES REALIZADAS</v>
      </c>
      <c r="AH10" s="5"/>
    </row>
    <row r="11" spans="1:34">
      <c r="A11" s="61" t="str">
        <f ca="1">IFERROR(__xludf.DUMMYFUNCTION("""COMPUTED_VALUE"""),"LINEA DE ENVASADO PET NO RETORNABLE")</f>
        <v>LINEA DE ENVASADO PET NO RETORNABLE</v>
      </c>
      <c r="B11" s="5">
        <f ca="1">IFERROR(__xludf.DUMMYFUNCTION("""COMPUTED_VALUE"""),599557)</f>
        <v>599557</v>
      </c>
      <c r="C11" s="5" t="str">
        <f ca="1">IFERROR(__xludf.DUMMYFUNCTION("""COMPUTED_VALUE"""),"INSPECTOR DE BOTELLA LLENA")</f>
        <v>INSPECTOR DE BOTELLA LLENA</v>
      </c>
      <c r="D11" s="5">
        <f ca="1">IFERROR(__xludf.DUMMYFUNCTION("""COMPUTED_VALUE"""),13247830)</f>
        <v>13247830</v>
      </c>
      <c r="E11" s="5" t="str">
        <f ca="1">IFERROR(__xludf.DUMMYFUNCTION("""COMPUTED_VALUE"""),"INSPECCION SEMANAL INSPECTOR DE BOTELLA")</f>
        <v>INSPECCION SEMANAL INSPECTOR DE BOTELLA</v>
      </c>
      <c r="F11" s="5" t="str">
        <f ca="1">IFERROR(__xludf.DUMMYFUNCTION("""COMPUTED_VALUE"""),"INSP. TAPA TORCIDA")</f>
        <v>INSP. TAPA TORCIDA</v>
      </c>
      <c r="G11" s="5" t="b">
        <f ca="1">IFERROR(__xludf.DUMMYFUNCTION("""COMPUTED_VALUE"""),TRUE)</f>
        <v>1</v>
      </c>
      <c r="H11" s="5"/>
      <c r="I11" s="5"/>
      <c r="J11" s="5">
        <f ca="1">IFERROR(__xludf.DUMMYFUNCTION("""COMPUTED_VALUE"""),13247830)</f>
        <v>13247830</v>
      </c>
      <c r="K11" s="5"/>
      <c r="L11" s="18">
        <f ca="1">IFERROR(__xludf.DUMMYFUNCTION("""COMPUTED_VALUE"""),45325)</f>
        <v>45325</v>
      </c>
      <c r="M11" s="18">
        <f ca="1">IFERROR(__xludf.DUMMYFUNCTION("""COMPUTED_VALUE"""),45325)</f>
        <v>45325</v>
      </c>
      <c r="N11" s="5" t="str">
        <f ca="1">IFERROR(__xludf.DUMMYFUNCTION("""COMPUTED_VALUE"""),"Montes Marmolejo Leonel F")</f>
        <v>Montes Marmolejo Leonel F</v>
      </c>
      <c r="O11" s="2">
        <f ca="1">IFERROR(__xludf.DUMMYFUNCTION("""COMPUTED_VALUE"""),0.01)</f>
        <v>0.01</v>
      </c>
      <c r="P11" s="5">
        <f ca="1">IFERROR(__xludf.DUMMYFUNCTION("""COMPUTED_VALUE"""),20009992)</f>
        <v>20009992</v>
      </c>
      <c r="Q11" s="5" t="str">
        <f ca="1">IFERROR(__xludf.DUMMYFUNCTION("""COMPUTED_VALUE"""),"cMn1lnj2ki4")</f>
        <v>cMn1lnj2ki4</v>
      </c>
      <c r="R11" s="5">
        <f ca="1">IFERROR(__xludf.DUMMYFUNCTION("""COMPUTED_VALUE"""),410)</f>
        <v>410</v>
      </c>
      <c r="S11" s="62">
        <f ca="1">IFERROR(__xludf.DUMMYFUNCTION("""COMPUTED_VALUE"""),0.01)</f>
        <v>0.01</v>
      </c>
      <c r="T11" s="63" t="str">
        <f ca="1">IFERROR(__xludf.DUMMYFUNCTION("""COMPUTED_VALUE"""),"https://storage.googleapis.com/glide-prod.appspot.com/uploads-v2/ly7o78grxPaC6KdgvbpS/pub/3aRdSog0vUtuqPE8AJKD.png")</f>
        <v>https://storage.googleapis.com/glide-prod.appspot.com/uploads-v2/ly7o78grxPaC6KdgvbpS/pub/3aRdSog0vUtuqPE8AJKD.png</v>
      </c>
      <c r="U11" s="5" t="str">
        <f ca="1">IFERROR(__xludf.DUMMYFUNCTION("""COMPUTED_VALUE"""),"LINEA DE ENVASADO PET NO RETORNABLEINSPECTOR DE BOTELLA LLENA")</f>
        <v>LINEA DE ENVASADO PET NO RETORNABLEINSPECTOR DE BOTELLA LLENA</v>
      </c>
      <c r="V11" s="5"/>
      <c r="W11" s="5" t="b">
        <f ca="1">IFERROR(__xludf.DUMMYFUNCTION("""COMPUTED_VALUE"""),TRUE)</f>
        <v>1</v>
      </c>
      <c r="X11" s="5" t="str">
        <f ca="1">IFERROR(__xludf.DUMMYFUNCTION("""COMPUTED_VALUE"""),"wguerra@postobon.com.co,aprmttoyu@postobon.com.co,aprmyu@postobon.com.co,wmora@postobon.com.co,efzapata@postobon.com.co")</f>
        <v>wguerra@postobon.com.co,aprmttoyu@postobon.com.co,aprmyu@postobon.com.co,wmora@postobon.com.co,efzapata@postobon.com.co</v>
      </c>
      <c r="Y11" s="5" t="str">
        <f ca="1">IFERROR(__xludf.DUMMYFUNCTION("""COMPUTED_VALUE"""),"wguerra@postobon.com.co")</f>
        <v>wguerra@postobon.com.co</v>
      </c>
      <c r="Z11" s="5" t="str">
        <f ca="1">IFERROR(__xludf.DUMMYFUNCTION("""COMPUTED_VALUE"""),"w5yw5ke2QX6GL9m.Y4oavw")</f>
        <v>w5yw5ke2QX6GL9m.Y4oavw</v>
      </c>
      <c r="AA11" s="5"/>
      <c r="AB11" s="5"/>
      <c r="AC11" s="5"/>
      <c r="AD11" s="5">
        <f ca="1">IFERROR(__xludf.DUMMYFUNCTION("""COMPUTED_VALUE"""),11)</f>
        <v>11</v>
      </c>
      <c r="AE11" s="5">
        <f ca="1">IFERROR(__xludf.DUMMYFUNCTION("""COMPUTED_VALUE"""),11)</f>
        <v>11</v>
      </c>
      <c r="AF11" s="5" t="b">
        <f ca="1">IFERROR(__xludf.DUMMYFUNCTION("""COMPUTED_VALUE"""),FALSE)</f>
        <v>0</v>
      </c>
      <c r="AG11" s="5" t="str">
        <f ca="1">IFERROR(__xludf.DUMMYFUNCTION("""COMPUTED_VALUE"""),"INSPECCIONES REALIZADAS")</f>
        <v>INSPECCIONES REALIZADAS</v>
      </c>
      <c r="AH11" s="5"/>
    </row>
    <row r="12" spans="1:34">
      <c r="A12" s="61" t="str">
        <f ca="1">IFERROR(__xludf.DUMMYFUNCTION("""COMPUTED_VALUE"""),"LINEA DE ENVASADO PET NO RETORNABLE")</f>
        <v>LINEA DE ENVASADO PET NO RETORNABLE</v>
      </c>
      <c r="B12" s="5">
        <f ca="1">IFERROR(__xludf.DUMMYFUNCTION("""COMPUTED_VALUE"""),599557)</f>
        <v>599557</v>
      </c>
      <c r="C12" s="5" t="str">
        <f ca="1">IFERROR(__xludf.DUMMYFUNCTION("""COMPUTED_VALUE"""),"INSPECTOR DE BOTELLA LLENA")</f>
        <v>INSPECTOR DE BOTELLA LLENA</v>
      </c>
      <c r="D12" s="5">
        <f ca="1">IFERROR(__xludf.DUMMYFUNCTION("""COMPUTED_VALUE"""),13247830)</f>
        <v>13247830</v>
      </c>
      <c r="E12" s="5" t="str">
        <f ca="1">IFERROR(__xludf.DUMMYFUNCTION("""COMPUTED_VALUE"""),"INSPECCION SEMANAL INSPECTOR DE BOTELLA")</f>
        <v>INSPECCION SEMANAL INSPECTOR DE BOTELLA</v>
      </c>
      <c r="F12" s="5" t="str">
        <f ca="1">IFERROR(__xludf.DUMMYFUNCTION("""COMPUTED_VALUE"""),"INSP. TABLERO ELECTRICO/CLIMATIZADOR")</f>
        <v>INSP. TABLERO ELECTRICO/CLIMATIZADOR</v>
      </c>
      <c r="G12" s="5" t="b">
        <f ca="1">IFERROR(__xludf.DUMMYFUNCTION("""COMPUTED_VALUE"""),TRUE)</f>
        <v>1</v>
      </c>
      <c r="H12" s="5"/>
      <c r="I12" s="5"/>
      <c r="J12" s="5">
        <f ca="1">IFERROR(__xludf.DUMMYFUNCTION("""COMPUTED_VALUE"""),13247830)</f>
        <v>13247830</v>
      </c>
      <c r="K12" s="5"/>
      <c r="L12" s="18">
        <f ca="1">IFERROR(__xludf.DUMMYFUNCTION("""COMPUTED_VALUE"""),45325)</f>
        <v>45325</v>
      </c>
      <c r="M12" s="18">
        <f ca="1">IFERROR(__xludf.DUMMYFUNCTION("""COMPUTED_VALUE"""),45325)</f>
        <v>45325</v>
      </c>
      <c r="N12" s="5" t="str">
        <f ca="1">IFERROR(__xludf.DUMMYFUNCTION("""COMPUTED_VALUE"""),"Montes Marmolejo Leonel F")</f>
        <v>Montes Marmolejo Leonel F</v>
      </c>
      <c r="O12" s="2">
        <f ca="1">IFERROR(__xludf.DUMMYFUNCTION("""COMPUTED_VALUE"""),0.01)</f>
        <v>0.01</v>
      </c>
      <c r="P12" s="5">
        <f ca="1">IFERROR(__xludf.DUMMYFUNCTION("""COMPUTED_VALUE"""),20009992)</f>
        <v>20009992</v>
      </c>
      <c r="Q12" s="5" t="str">
        <f ca="1">IFERROR(__xludf.DUMMYFUNCTION("""COMPUTED_VALUE"""),"x-l4pteXKRI")</f>
        <v>x-l4pteXKRI</v>
      </c>
      <c r="R12" s="5">
        <f ca="1">IFERROR(__xludf.DUMMYFUNCTION("""COMPUTED_VALUE"""),410)</f>
        <v>410</v>
      </c>
      <c r="S12" s="62">
        <f ca="1">IFERROR(__xludf.DUMMYFUNCTION("""COMPUTED_VALUE"""),0.01)</f>
        <v>0.01</v>
      </c>
      <c r="T12" s="63" t="str">
        <f ca="1">IFERROR(__xludf.DUMMYFUNCTION("""COMPUTED_VALUE"""),"https://storage.googleapis.com/glide-prod.appspot.com/uploads-v2/ly7o78grxPaC6KdgvbpS/pub/3aRdSog0vUtuqPE8AJKD.png")</f>
        <v>https://storage.googleapis.com/glide-prod.appspot.com/uploads-v2/ly7o78grxPaC6KdgvbpS/pub/3aRdSog0vUtuqPE8AJKD.png</v>
      </c>
      <c r="U12" s="5" t="str">
        <f ca="1">IFERROR(__xludf.DUMMYFUNCTION("""COMPUTED_VALUE"""),"LINEA DE ENVASADO PET NO RETORNABLEINSPECTOR DE BOTELLA LLENA")</f>
        <v>LINEA DE ENVASADO PET NO RETORNABLEINSPECTOR DE BOTELLA LLENA</v>
      </c>
      <c r="V12" s="5"/>
      <c r="W12" s="5" t="b">
        <f ca="1">IFERROR(__xludf.DUMMYFUNCTION("""COMPUTED_VALUE"""),TRUE)</f>
        <v>1</v>
      </c>
      <c r="X12" s="5" t="str">
        <f ca="1">IFERROR(__xludf.DUMMYFUNCTION("""COMPUTED_VALUE"""),"wguerra@postobon.com.co,aprmttoyu@postobon.com.co,aprmyu@postobon.com.co,wmora@postobon.com.co,efzapata@postobon.com.co")</f>
        <v>wguerra@postobon.com.co,aprmttoyu@postobon.com.co,aprmyu@postobon.com.co,wmora@postobon.com.co,efzapata@postobon.com.co</v>
      </c>
      <c r="Y12" s="5" t="str">
        <f ca="1">IFERROR(__xludf.DUMMYFUNCTION("""COMPUTED_VALUE"""),"wguerra@postobon.com.co")</f>
        <v>wguerra@postobon.com.co</v>
      </c>
      <c r="Z12" s="5" t="str">
        <f ca="1">IFERROR(__xludf.DUMMYFUNCTION("""COMPUTED_VALUE"""),"obQlBIbnTzWCq7WJFLp0Jw")</f>
        <v>obQlBIbnTzWCq7WJFLp0Jw</v>
      </c>
      <c r="AA12" s="5"/>
      <c r="AB12" s="5"/>
      <c r="AC12" s="5"/>
      <c r="AD12" s="5">
        <f ca="1">IFERROR(__xludf.DUMMYFUNCTION("""COMPUTED_VALUE"""),11)</f>
        <v>11</v>
      </c>
      <c r="AE12" s="5">
        <f ca="1">IFERROR(__xludf.DUMMYFUNCTION("""COMPUTED_VALUE"""),11)</f>
        <v>11</v>
      </c>
      <c r="AF12" s="5" t="b">
        <f ca="1">IFERROR(__xludf.DUMMYFUNCTION("""COMPUTED_VALUE"""),FALSE)</f>
        <v>0</v>
      </c>
      <c r="AG12" s="5" t="str">
        <f ca="1">IFERROR(__xludf.DUMMYFUNCTION("""COMPUTED_VALUE"""),"INSPECCIONES REALIZADAS")</f>
        <v>INSPECCIONES REALIZADAS</v>
      </c>
      <c r="AH12" s="5"/>
    </row>
    <row r="13" spans="1:34">
      <c r="A13" s="5" t="str">
        <f ca="1">IFERROR(__xludf.DUMMYFUNCTION("""COMPUTED_VALUE"""),"LINEA DE ENVASADO TAMAÑO PERSONAL")</f>
        <v>LINEA DE ENVASADO TAMAÑO PERSONAL</v>
      </c>
      <c r="B13" s="5">
        <f ca="1">IFERROR(__xludf.DUMMYFUNCTION("""COMPUTED_VALUE"""),599558)</f>
        <v>599558</v>
      </c>
      <c r="C13" s="5" t="str">
        <f ca="1">IFERROR(__xludf.DUMMYFUNCTION("""COMPUTED_VALUE"""),"INSPECTOR ELECTRONICO")</f>
        <v>INSPECTOR ELECTRONICO</v>
      </c>
      <c r="D13" s="5">
        <f ca="1">IFERROR(__xludf.DUMMYFUNCTION("""COMPUTED_VALUE"""),13247626)</f>
        <v>13247626</v>
      </c>
      <c r="E13" s="5" t="str">
        <f ca="1">IFERROR(__xludf.DUMMYFUNCTION("""COMPUTED_VALUE"""),"INSPECCION SEMANAL INSPECTOR ELECTRONIC")</f>
        <v>INSPECCION SEMANAL INSPECTOR ELECTRONIC</v>
      </c>
      <c r="F13" s="5" t="str">
        <f ca="1">IFERROR(__xludf.DUMMYFUNCTION("""COMPUTED_VALUE"""),"Fugas de aire")</f>
        <v>Fugas de aire</v>
      </c>
      <c r="G13" s="5" t="b">
        <f ca="1">IFERROR(__xludf.DUMMYFUNCTION("""COMPUTED_VALUE"""),TRUE)</f>
        <v>1</v>
      </c>
      <c r="H13" s="5"/>
      <c r="I13" s="5"/>
      <c r="J13" s="5">
        <f ca="1">IFERROR(__xludf.DUMMYFUNCTION("""COMPUTED_VALUE"""),13247626)</f>
        <v>13247626</v>
      </c>
      <c r="K13" s="5"/>
      <c r="L13" s="18">
        <f ca="1">IFERROR(__xludf.DUMMYFUNCTION("""COMPUTED_VALUE"""),45325)</f>
        <v>45325</v>
      </c>
      <c r="M13" s="18">
        <f ca="1">IFERROR(__xludf.DUMMYFUNCTION("""COMPUTED_VALUE"""),45325)</f>
        <v>45325</v>
      </c>
      <c r="N13" s="5" t="str">
        <f ca="1">IFERROR(__xludf.DUMMYFUNCTION("""COMPUTED_VALUE"""),"Luis Barrero")</f>
        <v>Luis Barrero</v>
      </c>
      <c r="O13" s="2">
        <f ca="1">IFERROR(__xludf.DUMMYFUNCTION("""COMPUTED_VALUE"""),0.01)</f>
        <v>0.01</v>
      </c>
      <c r="P13" s="5">
        <f ca="1">IFERROR(__xludf.DUMMYFUNCTION("""COMPUTED_VALUE"""),20068360)</f>
        <v>20068360</v>
      </c>
      <c r="Q13" s="5" t="str">
        <f ca="1">IFERROR(__xludf.DUMMYFUNCTION("""COMPUTED_VALUE"""),"m_61wtWvmXI")</f>
        <v>m_61wtWvmXI</v>
      </c>
      <c r="R13" s="5">
        <f ca="1">IFERROR(__xludf.DUMMYFUNCTION("""COMPUTED_VALUE"""),410)</f>
        <v>410</v>
      </c>
      <c r="S13" s="62">
        <f ca="1">IFERROR(__xludf.DUMMYFUNCTION("""COMPUTED_VALUE"""),0.01)</f>
        <v>0.01</v>
      </c>
      <c r="T13" s="63" t="str">
        <f ca="1">IFERROR(__xludf.DUMMYFUNCTION("""COMPUTED_VALUE"""),"https://storage.googleapis.com/glide-prod.appspot.com/uploads-v2/ly7o78grxPaC6KdgvbpS/pub/3aRdSog0vUtuqPE8AJKD.png")</f>
        <v>https://storage.googleapis.com/glide-prod.appspot.com/uploads-v2/ly7o78grxPaC6KdgvbpS/pub/3aRdSog0vUtuqPE8AJKD.png</v>
      </c>
      <c r="U13" s="5" t="str">
        <f ca="1">IFERROR(__xludf.DUMMYFUNCTION("""COMPUTED_VALUE"""),"LINEA DE ENVASADO TAMAÑO PERSONALINSPECTOR ELECTRONICO")</f>
        <v>LINEA DE ENVASADO TAMAÑO PERSONALINSPECTOR ELECTRONICO</v>
      </c>
      <c r="V13" s="5"/>
      <c r="W13" s="5" t="b">
        <f ca="1">IFERROR(__xludf.DUMMYFUNCTION("""COMPUTED_VALUE"""),TRUE)</f>
        <v>1</v>
      </c>
      <c r="X13" s="5" t="str">
        <f ca="1">IFERROR(__xludf.DUMMYFUNCTION("""COMPUTED_VALUE"""),"wguerra@postobon.com.co,aprmttoyu@postobon.com.co,aprmyu@postobon.com.co,wmora@postobon.com.co,efzapata@postobon.com.co")</f>
        <v>wguerra@postobon.com.co,aprmttoyu@postobon.com.co,aprmyu@postobon.com.co,wmora@postobon.com.co,efzapata@postobon.com.co</v>
      </c>
      <c r="Y13" s="5" t="str">
        <f ca="1">IFERROR(__xludf.DUMMYFUNCTION("""COMPUTED_VALUE"""),"wguerra@postobon.com.co")</f>
        <v>wguerra@postobon.com.co</v>
      </c>
      <c r="Z13" s="5" t="str">
        <f ca="1">IFERROR(__xludf.DUMMYFUNCTION("""COMPUTED_VALUE"""),"n0Wq6AvNSy-j4VkgdSKJpg")</f>
        <v>n0Wq6AvNSy-j4VkgdSKJpg</v>
      </c>
      <c r="AA13" s="5"/>
      <c r="AB13" s="5"/>
      <c r="AC13" s="5"/>
      <c r="AD13" s="5">
        <f ca="1">IFERROR(__xludf.DUMMYFUNCTION("""COMPUTED_VALUE"""),20)</f>
        <v>20</v>
      </c>
      <c r="AE13" s="5">
        <f ca="1">IFERROR(__xludf.DUMMYFUNCTION("""COMPUTED_VALUE"""),20)</f>
        <v>20</v>
      </c>
      <c r="AF13" s="5" t="b">
        <f ca="1">IFERROR(__xludf.DUMMYFUNCTION("""COMPUTED_VALUE"""),FALSE)</f>
        <v>0</v>
      </c>
      <c r="AG13" s="5" t="str">
        <f ca="1">IFERROR(__xludf.DUMMYFUNCTION("""COMPUTED_VALUE"""),"INSPECCIONES REALIZADAS")</f>
        <v>INSPECCIONES REALIZADAS</v>
      </c>
      <c r="AH13" s="5"/>
    </row>
    <row r="14" spans="1:34">
      <c r="A14" s="5" t="str">
        <f ca="1">IFERROR(__xludf.DUMMYFUNCTION("""COMPUTED_VALUE"""),"LINEA DE ENVASADO TAMAÑO PERSONAL")</f>
        <v>LINEA DE ENVASADO TAMAÑO PERSONAL</v>
      </c>
      <c r="B14" s="5">
        <f ca="1">IFERROR(__xludf.DUMMYFUNCTION("""COMPUTED_VALUE"""),599558)</f>
        <v>599558</v>
      </c>
      <c r="C14" s="5" t="str">
        <f ca="1">IFERROR(__xludf.DUMMYFUNCTION("""COMPUTED_VALUE"""),"INSPECTOR ELECTRONICO")</f>
        <v>INSPECTOR ELECTRONICO</v>
      </c>
      <c r="D14" s="5">
        <f ca="1">IFERROR(__xludf.DUMMYFUNCTION("""COMPUTED_VALUE"""),13247626)</f>
        <v>13247626</v>
      </c>
      <c r="E14" s="5" t="str">
        <f ca="1">IFERROR(__xludf.DUMMYFUNCTION("""COMPUTED_VALUE"""),"INSPECCION SEMANAL INSPECTOR ELECTRONIC")</f>
        <v>INSPECCION SEMANAL INSPECTOR ELECTRONIC</v>
      </c>
      <c r="F14" s="5" t="str">
        <f ca="1">IFERROR(__xludf.DUMMYFUNCTION("""COMPUTED_VALUE"""),"Estado de correas y guías de manejo de botella")</f>
        <v>Estado de correas y guías de manejo de botella</v>
      </c>
      <c r="G14" s="5" t="b">
        <f ca="1">IFERROR(__xludf.DUMMYFUNCTION("""COMPUTED_VALUE"""),TRUE)</f>
        <v>1</v>
      </c>
      <c r="H14" s="5"/>
      <c r="I14" s="5"/>
      <c r="J14" s="5">
        <f ca="1">IFERROR(__xludf.DUMMYFUNCTION("""COMPUTED_VALUE"""),13247626)</f>
        <v>13247626</v>
      </c>
      <c r="K14" s="5"/>
      <c r="L14" s="18">
        <f ca="1">IFERROR(__xludf.DUMMYFUNCTION("""COMPUTED_VALUE"""),45325)</f>
        <v>45325</v>
      </c>
      <c r="M14" s="18">
        <f ca="1">IFERROR(__xludf.DUMMYFUNCTION("""COMPUTED_VALUE"""),45325)</f>
        <v>45325</v>
      </c>
      <c r="N14" s="5" t="str">
        <f ca="1">IFERROR(__xludf.DUMMYFUNCTION("""COMPUTED_VALUE"""),"Luis Barrero")</f>
        <v>Luis Barrero</v>
      </c>
      <c r="O14" s="2">
        <f ca="1">IFERROR(__xludf.DUMMYFUNCTION("""COMPUTED_VALUE"""),0.01)</f>
        <v>0.01</v>
      </c>
      <c r="P14" s="5">
        <f ca="1">IFERROR(__xludf.DUMMYFUNCTION("""COMPUTED_VALUE"""),20068360)</f>
        <v>20068360</v>
      </c>
      <c r="Q14" s="5" t="str">
        <f ca="1">IFERROR(__xludf.DUMMYFUNCTION("""COMPUTED_VALUE"""),"ZZdjtrFDCrI")</f>
        <v>ZZdjtrFDCrI</v>
      </c>
      <c r="R14" s="5">
        <f ca="1">IFERROR(__xludf.DUMMYFUNCTION("""COMPUTED_VALUE"""),410)</f>
        <v>410</v>
      </c>
      <c r="S14" s="62">
        <f ca="1">IFERROR(__xludf.DUMMYFUNCTION("""COMPUTED_VALUE"""),0.01)</f>
        <v>0.01</v>
      </c>
      <c r="T14" s="63" t="str">
        <f ca="1">IFERROR(__xludf.DUMMYFUNCTION("""COMPUTED_VALUE"""),"https://storage.googleapis.com/glide-prod.appspot.com/uploads-v2/ly7o78grxPaC6KdgvbpS/pub/3aRdSog0vUtuqPE8AJKD.png")</f>
        <v>https://storage.googleapis.com/glide-prod.appspot.com/uploads-v2/ly7o78grxPaC6KdgvbpS/pub/3aRdSog0vUtuqPE8AJKD.png</v>
      </c>
      <c r="U14" s="5" t="str">
        <f ca="1">IFERROR(__xludf.DUMMYFUNCTION("""COMPUTED_VALUE"""),"LINEA DE ENVASADO TAMAÑO PERSONALINSPECTOR ELECTRONICO")</f>
        <v>LINEA DE ENVASADO TAMAÑO PERSONALINSPECTOR ELECTRONICO</v>
      </c>
      <c r="V14" s="5"/>
      <c r="W14" s="5" t="b">
        <f ca="1">IFERROR(__xludf.DUMMYFUNCTION("""COMPUTED_VALUE"""),TRUE)</f>
        <v>1</v>
      </c>
      <c r="X14" s="5" t="str">
        <f ca="1">IFERROR(__xludf.DUMMYFUNCTION("""COMPUTED_VALUE"""),"wguerra@postobon.com.co,aprmttoyu@postobon.com.co,aprmyu@postobon.com.co,wmora@postobon.com.co,efzapata@postobon.com.co")</f>
        <v>wguerra@postobon.com.co,aprmttoyu@postobon.com.co,aprmyu@postobon.com.co,wmora@postobon.com.co,efzapata@postobon.com.co</v>
      </c>
      <c r="Y14" s="5" t="str">
        <f ca="1">IFERROR(__xludf.DUMMYFUNCTION("""COMPUTED_VALUE"""),"wguerra@postobon.com.co")</f>
        <v>wguerra@postobon.com.co</v>
      </c>
      <c r="Z14" s="5" t="str">
        <f ca="1">IFERROR(__xludf.DUMMYFUNCTION("""COMPUTED_VALUE"""),"Ur8Crt63T6eUNf6IY7UEyw")</f>
        <v>Ur8Crt63T6eUNf6IY7UEyw</v>
      </c>
      <c r="AA14" s="5"/>
      <c r="AB14" s="5"/>
      <c r="AC14" s="5"/>
      <c r="AD14" s="5">
        <f ca="1">IFERROR(__xludf.DUMMYFUNCTION("""COMPUTED_VALUE"""),20)</f>
        <v>20</v>
      </c>
      <c r="AE14" s="5">
        <f ca="1">IFERROR(__xludf.DUMMYFUNCTION("""COMPUTED_VALUE"""),20)</f>
        <v>20</v>
      </c>
      <c r="AF14" s="5" t="b">
        <f ca="1">IFERROR(__xludf.DUMMYFUNCTION("""COMPUTED_VALUE"""),FALSE)</f>
        <v>0</v>
      </c>
      <c r="AG14" s="5" t="str">
        <f ca="1">IFERROR(__xludf.DUMMYFUNCTION("""COMPUTED_VALUE"""),"INSPECCIONES REALIZADAS")</f>
        <v>INSPECCIONES REALIZADAS</v>
      </c>
      <c r="AH14" s="5"/>
    </row>
    <row r="15" spans="1:34">
      <c r="A15" s="5" t="str">
        <f ca="1">IFERROR(__xludf.DUMMYFUNCTION("""COMPUTED_VALUE"""),"LINEA DE ENVASADO TAMAÑO PERSONAL")</f>
        <v>LINEA DE ENVASADO TAMAÑO PERSONAL</v>
      </c>
      <c r="B15" s="5">
        <f ca="1">IFERROR(__xludf.DUMMYFUNCTION("""COMPUTED_VALUE"""),599558)</f>
        <v>599558</v>
      </c>
      <c r="C15" s="5" t="str">
        <f ca="1">IFERROR(__xludf.DUMMYFUNCTION("""COMPUTED_VALUE"""),"INSPECTOR ELECTRONICO")</f>
        <v>INSPECTOR ELECTRONICO</v>
      </c>
      <c r="D15" s="5">
        <f ca="1">IFERROR(__xludf.DUMMYFUNCTION("""COMPUTED_VALUE"""),13247626)</f>
        <v>13247626</v>
      </c>
      <c r="E15" s="5" t="str">
        <f ca="1">IFERROR(__xludf.DUMMYFUNCTION("""COMPUTED_VALUE"""),"INSPECCION SEMANAL INSPECTOR ELECTRONIC")</f>
        <v>INSPECCION SEMANAL INSPECTOR ELECTRONIC</v>
      </c>
      <c r="F15" s="5" t="str">
        <f ca="1">IFERROR(__xludf.DUMMYFUNCTION("""COMPUTED_VALUE"""),"Lubricación de piñones")</f>
        <v>Lubricación de piñones</v>
      </c>
      <c r="G15" s="5" t="b">
        <f ca="1">IFERROR(__xludf.DUMMYFUNCTION("""COMPUTED_VALUE"""),TRUE)</f>
        <v>1</v>
      </c>
      <c r="H15" s="5"/>
      <c r="I15" s="5"/>
      <c r="J15" s="5">
        <f ca="1">IFERROR(__xludf.DUMMYFUNCTION("""COMPUTED_VALUE"""),13247626)</f>
        <v>13247626</v>
      </c>
      <c r="K15" s="5"/>
      <c r="L15" s="18">
        <f ca="1">IFERROR(__xludf.DUMMYFUNCTION("""COMPUTED_VALUE"""),45325)</f>
        <v>45325</v>
      </c>
      <c r="M15" s="18">
        <f ca="1">IFERROR(__xludf.DUMMYFUNCTION("""COMPUTED_VALUE"""),45325)</f>
        <v>45325</v>
      </c>
      <c r="N15" s="5" t="str">
        <f ca="1">IFERROR(__xludf.DUMMYFUNCTION("""COMPUTED_VALUE"""),"Luis Barrero")</f>
        <v>Luis Barrero</v>
      </c>
      <c r="O15" s="2">
        <f ca="1">IFERROR(__xludf.DUMMYFUNCTION("""COMPUTED_VALUE"""),0.01)</f>
        <v>0.01</v>
      </c>
      <c r="P15" s="5">
        <f ca="1">IFERROR(__xludf.DUMMYFUNCTION("""COMPUTED_VALUE"""),20068360)</f>
        <v>20068360</v>
      </c>
      <c r="Q15" s="5" t="str">
        <f ca="1">IFERROR(__xludf.DUMMYFUNCTION("""COMPUTED_VALUE"""),"J8O2v0DO6Yo")</f>
        <v>J8O2v0DO6Yo</v>
      </c>
      <c r="R15" s="5">
        <f ca="1">IFERROR(__xludf.DUMMYFUNCTION("""COMPUTED_VALUE"""),410)</f>
        <v>410</v>
      </c>
      <c r="S15" s="62">
        <f ca="1">IFERROR(__xludf.DUMMYFUNCTION("""COMPUTED_VALUE"""),0.01)</f>
        <v>0.01</v>
      </c>
      <c r="T15" s="63" t="str">
        <f ca="1">IFERROR(__xludf.DUMMYFUNCTION("""COMPUTED_VALUE"""),"https://storage.googleapis.com/glide-prod.appspot.com/uploads-v2/ly7o78grxPaC6KdgvbpS/pub/3aRdSog0vUtuqPE8AJKD.png")</f>
        <v>https://storage.googleapis.com/glide-prod.appspot.com/uploads-v2/ly7o78grxPaC6KdgvbpS/pub/3aRdSog0vUtuqPE8AJKD.png</v>
      </c>
      <c r="U15" s="5" t="str">
        <f ca="1">IFERROR(__xludf.DUMMYFUNCTION("""COMPUTED_VALUE"""),"LINEA DE ENVASADO TAMAÑO PERSONALINSPECTOR ELECTRONICO")</f>
        <v>LINEA DE ENVASADO TAMAÑO PERSONALINSPECTOR ELECTRONICO</v>
      </c>
      <c r="V15" s="5"/>
      <c r="W15" s="5" t="b">
        <f ca="1">IFERROR(__xludf.DUMMYFUNCTION("""COMPUTED_VALUE"""),TRUE)</f>
        <v>1</v>
      </c>
      <c r="X15" s="5" t="str">
        <f ca="1">IFERROR(__xludf.DUMMYFUNCTION("""COMPUTED_VALUE"""),"wguerra@postobon.com.co,aprmttoyu@postobon.com.co,aprmyu@postobon.com.co,wmora@postobon.com.co,efzapata@postobon.com.co")</f>
        <v>wguerra@postobon.com.co,aprmttoyu@postobon.com.co,aprmyu@postobon.com.co,wmora@postobon.com.co,efzapata@postobon.com.co</v>
      </c>
      <c r="Y15" s="5" t="str">
        <f ca="1">IFERROR(__xludf.DUMMYFUNCTION("""COMPUTED_VALUE"""),"wguerra@postobon.com.co")</f>
        <v>wguerra@postobon.com.co</v>
      </c>
      <c r="Z15" s="5" t="str">
        <f ca="1">IFERROR(__xludf.DUMMYFUNCTION("""COMPUTED_VALUE"""),"tvx301otQgy61Y7HsrkG4w")</f>
        <v>tvx301otQgy61Y7HsrkG4w</v>
      </c>
      <c r="AA15" s="5"/>
      <c r="AB15" s="5"/>
      <c r="AC15" s="5"/>
      <c r="AD15" s="5">
        <f ca="1">IFERROR(__xludf.DUMMYFUNCTION("""COMPUTED_VALUE"""),20)</f>
        <v>20</v>
      </c>
      <c r="AE15" s="5">
        <f ca="1">IFERROR(__xludf.DUMMYFUNCTION("""COMPUTED_VALUE"""),20)</f>
        <v>20</v>
      </c>
      <c r="AF15" s="5" t="b">
        <f ca="1">IFERROR(__xludf.DUMMYFUNCTION("""COMPUTED_VALUE"""),FALSE)</f>
        <v>0</v>
      </c>
      <c r="AG15" s="5" t="str">
        <f ca="1">IFERROR(__xludf.DUMMYFUNCTION("""COMPUTED_VALUE"""),"INSPECCIONES REALIZADAS")</f>
        <v>INSPECCIONES REALIZADAS</v>
      </c>
      <c r="AH15" s="5"/>
    </row>
    <row r="16" spans="1:34">
      <c r="A16" s="5" t="str">
        <f ca="1">IFERROR(__xludf.DUMMYFUNCTION("""COMPUTED_VALUE"""),"LINEA DE ENVASADO TAMAÑO PERSONAL")</f>
        <v>LINEA DE ENVASADO TAMAÑO PERSONAL</v>
      </c>
      <c r="B16" s="5">
        <f ca="1">IFERROR(__xludf.DUMMYFUNCTION("""COMPUTED_VALUE"""),599558)</f>
        <v>599558</v>
      </c>
      <c r="C16" s="5" t="str">
        <f ca="1">IFERROR(__xludf.DUMMYFUNCTION("""COMPUTED_VALUE"""),"INSPECTOR ELECTRONICO")</f>
        <v>INSPECTOR ELECTRONICO</v>
      </c>
      <c r="D16" s="5">
        <f ca="1">IFERROR(__xludf.DUMMYFUNCTION("""COMPUTED_VALUE"""),13247626)</f>
        <v>13247626</v>
      </c>
      <c r="E16" s="5" t="str">
        <f ca="1">IFERROR(__xludf.DUMMYFUNCTION("""COMPUTED_VALUE"""),"INSPECCION SEMANAL INSPECTOR ELECTRONIC")</f>
        <v>INSPECCION SEMANAL INSPECTOR ELECTRONIC</v>
      </c>
      <c r="F16" s="5" t="str">
        <f ca="1">IFERROR(__xludf.DUMMYFUNCTION("""COMPUTED_VALUE"""),"Estado caja de transmisión")</f>
        <v>Estado caja de transmisión</v>
      </c>
      <c r="G16" s="5" t="b">
        <f ca="1">IFERROR(__xludf.DUMMYFUNCTION("""COMPUTED_VALUE"""),TRUE)</f>
        <v>1</v>
      </c>
      <c r="H16" s="5"/>
      <c r="I16" s="5"/>
      <c r="J16" s="5">
        <f ca="1">IFERROR(__xludf.DUMMYFUNCTION("""COMPUTED_VALUE"""),13247626)</f>
        <v>13247626</v>
      </c>
      <c r="K16" s="5"/>
      <c r="L16" s="18">
        <f ca="1">IFERROR(__xludf.DUMMYFUNCTION("""COMPUTED_VALUE"""),45325)</f>
        <v>45325</v>
      </c>
      <c r="M16" s="18">
        <f ca="1">IFERROR(__xludf.DUMMYFUNCTION("""COMPUTED_VALUE"""),45325)</f>
        <v>45325</v>
      </c>
      <c r="N16" s="5" t="str">
        <f ca="1">IFERROR(__xludf.DUMMYFUNCTION("""COMPUTED_VALUE"""),"Luis Barrero")</f>
        <v>Luis Barrero</v>
      </c>
      <c r="O16" s="2">
        <f ca="1">IFERROR(__xludf.DUMMYFUNCTION("""COMPUTED_VALUE"""),0.01)</f>
        <v>0.01</v>
      </c>
      <c r="P16" s="5">
        <f ca="1">IFERROR(__xludf.DUMMYFUNCTION("""COMPUTED_VALUE"""),20068360)</f>
        <v>20068360</v>
      </c>
      <c r="Q16" s="5" t="str">
        <f ca="1">IFERROR(__xludf.DUMMYFUNCTION("""COMPUTED_VALUE"""),"gdyTA5f-dHE")</f>
        <v>gdyTA5f-dHE</v>
      </c>
      <c r="R16" s="5">
        <f ca="1">IFERROR(__xludf.DUMMYFUNCTION("""COMPUTED_VALUE"""),410)</f>
        <v>410</v>
      </c>
      <c r="S16" s="62">
        <f ca="1">IFERROR(__xludf.DUMMYFUNCTION("""COMPUTED_VALUE"""),0.01)</f>
        <v>0.01</v>
      </c>
      <c r="T16" s="63" t="str">
        <f ca="1">IFERROR(__xludf.DUMMYFUNCTION("""COMPUTED_VALUE"""),"https://storage.googleapis.com/glide-prod.appspot.com/uploads-v2/ly7o78grxPaC6KdgvbpS/pub/3aRdSog0vUtuqPE8AJKD.png")</f>
        <v>https://storage.googleapis.com/glide-prod.appspot.com/uploads-v2/ly7o78grxPaC6KdgvbpS/pub/3aRdSog0vUtuqPE8AJKD.png</v>
      </c>
      <c r="U16" s="5" t="str">
        <f ca="1">IFERROR(__xludf.DUMMYFUNCTION("""COMPUTED_VALUE"""),"LINEA DE ENVASADO TAMAÑO PERSONALINSPECTOR ELECTRONICO")</f>
        <v>LINEA DE ENVASADO TAMAÑO PERSONALINSPECTOR ELECTRONICO</v>
      </c>
      <c r="V16" s="5"/>
      <c r="W16" s="5" t="b">
        <f ca="1">IFERROR(__xludf.DUMMYFUNCTION("""COMPUTED_VALUE"""),TRUE)</f>
        <v>1</v>
      </c>
      <c r="X16" s="5" t="str">
        <f ca="1">IFERROR(__xludf.DUMMYFUNCTION("""COMPUTED_VALUE"""),"wguerra@postobon.com.co,aprmttoyu@postobon.com.co,aprmyu@postobon.com.co,wmora@postobon.com.co,efzapata@postobon.com.co")</f>
        <v>wguerra@postobon.com.co,aprmttoyu@postobon.com.co,aprmyu@postobon.com.co,wmora@postobon.com.co,efzapata@postobon.com.co</v>
      </c>
      <c r="Y16" s="5" t="str">
        <f ca="1">IFERROR(__xludf.DUMMYFUNCTION("""COMPUTED_VALUE"""),"wguerra@postobon.com.co")</f>
        <v>wguerra@postobon.com.co</v>
      </c>
      <c r="Z16" s="5" t="str">
        <f ca="1">IFERROR(__xludf.DUMMYFUNCTION("""COMPUTED_VALUE"""),"NTYv3-d5QG2MRMd6hrwmgw")</f>
        <v>NTYv3-d5QG2MRMd6hrwmgw</v>
      </c>
      <c r="AA16" s="5"/>
      <c r="AB16" s="5"/>
      <c r="AC16" s="5"/>
      <c r="AD16" s="5">
        <f ca="1">IFERROR(__xludf.DUMMYFUNCTION("""COMPUTED_VALUE"""),20)</f>
        <v>20</v>
      </c>
      <c r="AE16" s="5">
        <f ca="1">IFERROR(__xludf.DUMMYFUNCTION("""COMPUTED_VALUE"""),20)</f>
        <v>20</v>
      </c>
      <c r="AF16" s="5" t="b">
        <f ca="1">IFERROR(__xludf.DUMMYFUNCTION("""COMPUTED_VALUE"""),FALSE)</f>
        <v>0</v>
      </c>
      <c r="AG16" s="5" t="str">
        <f ca="1">IFERROR(__xludf.DUMMYFUNCTION("""COMPUTED_VALUE"""),"INSPECCIONES REALIZADAS")</f>
        <v>INSPECCIONES REALIZADAS</v>
      </c>
      <c r="AH16" s="5"/>
    </row>
    <row r="17" spans="1:34">
      <c r="A17" s="5" t="str">
        <f ca="1">IFERROR(__xludf.DUMMYFUNCTION("""COMPUTED_VALUE"""),"LINEA DE ENVASADO TAMAÑO PERSONAL")</f>
        <v>LINEA DE ENVASADO TAMAÑO PERSONAL</v>
      </c>
      <c r="B17" s="5">
        <f ca="1">IFERROR(__xludf.DUMMYFUNCTION("""COMPUTED_VALUE"""),599558)</f>
        <v>599558</v>
      </c>
      <c r="C17" s="5" t="str">
        <f ca="1">IFERROR(__xludf.DUMMYFUNCTION("""COMPUTED_VALUE"""),"INSPECTOR ELECTRONICO")</f>
        <v>INSPECTOR ELECTRONICO</v>
      </c>
      <c r="D17" s="5">
        <f ca="1">IFERROR(__xludf.DUMMYFUNCTION("""COMPUTED_VALUE"""),13247626)</f>
        <v>13247626</v>
      </c>
      <c r="E17" s="5" t="str">
        <f ca="1">IFERROR(__xludf.DUMMYFUNCTION("""COMPUTED_VALUE"""),"INSPECCION SEMANAL INSPECTOR ELECTRONIC")</f>
        <v>INSPECCION SEMANAL INSPECTOR ELECTRONIC</v>
      </c>
      <c r="F17" s="5" t="str">
        <f ca="1">IFERROR(__xludf.DUMMYFUNCTION("""COMPUTED_VALUE"""),"Estado de correas de transmisión y poleas")</f>
        <v>Estado de correas de transmisión y poleas</v>
      </c>
      <c r="G17" s="5" t="b">
        <f ca="1">IFERROR(__xludf.DUMMYFUNCTION("""COMPUTED_VALUE"""),TRUE)</f>
        <v>1</v>
      </c>
      <c r="H17" s="5"/>
      <c r="I17" s="5"/>
      <c r="J17" s="5">
        <f ca="1">IFERROR(__xludf.DUMMYFUNCTION("""COMPUTED_VALUE"""),13247626)</f>
        <v>13247626</v>
      </c>
      <c r="K17" s="5"/>
      <c r="L17" s="18">
        <f ca="1">IFERROR(__xludf.DUMMYFUNCTION("""COMPUTED_VALUE"""),45325)</f>
        <v>45325</v>
      </c>
      <c r="M17" s="18">
        <f ca="1">IFERROR(__xludf.DUMMYFUNCTION("""COMPUTED_VALUE"""),45325)</f>
        <v>45325</v>
      </c>
      <c r="N17" s="5" t="str">
        <f ca="1">IFERROR(__xludf.DUMMYFUNCTION("""COMPUTED_VALUE"""),"Luis Barrero")</f>
        <v>Luis Barrero</v>
      </c>
      <c r="O17" s="2">
        <f ca="1">IFERROR(__xludf.DUMMYFUNCTION("""COMPUTED_VALUE"""),0.01)</f>
        <v>0.01</v>
      </c>
      <c r="P17" s="5">
        <f ca="1">IFERROR(__xludf.DUMMYFUNCTION("""COMPUTED_VALUE"""),20068360)</f>
        <v>20068360</v>
      </c>
      <c r="Q17" s="5" t="str">
        <f ca="1">IFERROR(__xludf.DUMMYFUNCTION("""COMPUTED_VALUE"""),"nYi2x6DFcis")</f>
        <v>nYi2x6DFcis</v>
      </c>
      <c r="R17" s="5">
        <f ca="1">IFERROR(__xludf.DUMMYFUNCTION("""COMPUTED_VALUE"""),410)</f>
        <v>410</v>
      </c>
      <c r="S17" s="62">
        <f ca="1">IFERROR(__xludf.DUMMYFUNCTION("""COMPUTED_VALUE"""),0.01)</f>
        <v>0.01</v>
      </c>
      <c r="T17" s="63" t="str">
        <f ca="1">IFERROR(__xludf.DUMMYFUNCTION("""COMPUTED_VALUE"""),"https://storage.googleapis.com/glide-prod.appspot.com/uploads-v2/ly7o78grxPaC6KdgvbpS/pub/3aRdSog0vUtuqPE8AJKD.png")</f>
        <v>https://storage.googleapis.com/glide-prod.appspot.com/uploads-v2/ly7o78grxPaC6KdgvbpS/pub/3aRdSog0vUtuqPE8AJKD.png</v>
      </c>
      <c r="U17" s="5" t="str">
        <f ca="1">IFERROR(__xludf.DUMMYFUNCTION("""COMPUTED_VALUE"""),"LINEA DE ENVASADO TAMAÑO PERSONALINSPECTOR ELECTRONICO")</f>
        <v>LINEA DE ENVASADO TAMAÑO PERSONALINSPECTOR ELECTRONICO</v>
      </c>
      <c r="V17" s="5"/>
      <c r="W17" s="5" t="b">
        <f ca="1">IFERROR(__xludf.DUMMYFUNCTION("""COMPUTED_VALUE"""),TRUE)</f>
        <v>1</v>
      </c>
      <c r="X17" s="5" t="str">
        <f ca="1">IFERROR(__xludf.DUMMYFUNCTION("""COMPUTED_VALUE"""),"wguerra@postobon.com.co,aprmttoyu@postobon.com.co,aprmyu@postobon.com.co,wmora@postobon.com.co,efzapata@postobon.com.co")</f>
        <v>wguerra@postobon.com.co,aprmttoyu@postobon.com.co,aprmyu@postobon.com.co,wmora@postobon.com.co,efzapata@postobon.com.co</v>
      </c>
      <c r="Y17" s="5" t="str">
        <f ca="1">IFERROR(__xludf.DUMMYFUNCTION("""COMPUTED_VALUE"""),"wguerra@postobon.com.co")</f>
        <v>wguerra@postobon.com.co</v>
      </c>
      <c r="Z17" s="5" t="str">
        <f ca="1">IFERROR(__xludf.DUMMYFUNCTION("""COMPUTED_VALUE"""),"PLfNrQ4ERBCUd35zGKITng")</f>
        <v>PLfNrQ4ERBCUd35zGKITng</v>
      </c>
      <c r="AA17" s="5"/>
      <c r="AB17" s="5"/>
      <c r="AC17" s="5"/>
      <c r="AD17" s="5">
        <f ca="1">IFERROR(__xludf.DUMMYFUNCTION("""COMPUTED_VALUE"""),20)</f>
        <v>20</v>
      </c>
      <c r="AE17" s="5">
        <f ca="1">IFERROR(__xludf.DUMMYFUNCTION("""COMPUTED_VALUE"""),20)</f>
        <v>20</v>
      </c>
      <c r="AF17" s="5" t="b">
        <f ca="1">IFERROR(__xludf.DUMMYFUNCTION("""COMPUTED_VALUE"""),FALSE)</f>
        <v>0</v>
      </c>
      <c r="AG17" s="5" t="str">
        <f ca="1">IFERROR(__xludf.DUMMYFUNCTION("""COMPUTED_VALUE"""),"INSPECCIONES REALIZADAS")</f>
        <v>INSPECCIONES REALIZADAS</v>
      </c>
      <c r="AH17" s="5"/>
    </row>
    <row r="18" spans="1:34">
      <c r="A18" s="5" t="str">
        <f ca="1">IFERROR(__xludf.DUMMYFUNCTION("""COMPUTED_VALUE"""),"LINEA DE ENVASADO TAMAÑO PERSONAL")</f>
        <v>LINEA DE ENVASADO TAMAÑO PERSONAL</v>
      </c>
      <c r="B18" s="5">
        <f ca="1">IFERROR(__xludf.DUMMYFUNCTION("""COMPUTED_VALUE"""),599558)</f>
        <v>599558</v>
      </c>
      <c r="C18" s="5" t="str">
        <f ca="1">IFERROR(__xludf.DUMMYFUNCTION("""COMPUTED_VALUE"""),"INSPECTOR ELECTRONICO")</f>
        <v>INSPECTOR ELECTRONICO</v>
      </c>
      <c r="D18" s="5">
        <f ca="1">IFERROR(__xludf.DUMMYFUNCTION("""COMPUTED_VALUE"""),13247626)</f>
        <v>13247626</v>
      </c>
      <c r="E18" s="5" t="str">
        <f ca="1">IFERROR(__xludf.DUMMYFUNCTION("""COMPUTED_VALUE"""),"INSPECCION SEMANAL INSPECTOR ELECTRONIC")</f>
        <v>INSPECCION SEMANAL INSPECTOR ELECTRONIC</v>
      </c>
      <c r="F18" s="5" t="str">
        <f ca="1">IFERROR(__xludf.DUMMYFUNCTION("""COMPUTED_VALUE"""),"Estado sistema de altura de caja")</f>
        <v>Estado sistema de altura de caja</v>
      </c>
      <c r="G18" s="5" t="b">
        <f ca="1">IFERROR(__xludf.DUMMYFUNCTION("""COMPUTED_VALUE"""),TRUE)</f>
        <v>1</v>
      </c>
      <c r="H18" s="5"/>
      <c r="I18" s="5"/>
      <c r="J18" s="5">
        <f ca="1">IFERROR(__xludf.DUMMYFUNCTION("""COMPUTED_VALUE"""),13247626)</f>
        <v>13247626</v>
      </c>
      <c r="K18" s="5"/>
      <c r="L18" s="18">
        <f ca="1">IFERROR(__xludf.DUMMYFUNCTION("""COMPUTED_VALUE"""),45325)</f>
        <v>45325</v>
      </c>
      <c r="M18" s="18">
        <f ca="1">IFERROR(__xludf.DUMMYFUNCTION("""COMPUTED_VALUE"""),45325)</f>
        <v>45325</v>
      </c>
      <c r="N18" s="5" t="str">
        <f ca="1">IFERROR(__xludf.DUMMYFUNCTION("""COMPUTED_VALUE"""),"Luis Barrero")</f>
        <v>Luis Barrero</v>
      </c>
      <c r="O18" s="2">
        <f ca="1">IFERROR(__xludf.DUMMYFUNCTION("""COMPUTED_VALUE"""),0.01)</f>
        <v>0.01</v>
      </c>
      <c r="P18" s="5">
        <f ca="1">IFERROR(__xludf.DUMMYFUNCTION("""COMPUTED_VALUE"""),20068360)</f>
        <v>20068360</v>
      </c>
      <c r="Q18" s="5" t="str">
        <f ca="1">IFERROR(__xludf.DUMMYFUNCTION("""COMPUTED_VALUE"""),"sGBXJIuUd4Y")</f>
        <v>sGBXJIuUd4Y</v>
      </c>
      <c r="R18" s="5">
        <f ca="1">IFERROR(__xludf.DUMMYFUNCTION("""COMPUTED_VALUE"""),410)</f>
        <v>410</v>
      </c>
      <c r="S18" s="62">
        <f ca="1">IFERROR(__xludf.DUMMYFUNCTION("""COMPUTED_VALUE"""),0.01)</f>
        <v>0.01</v>
      </c>
      <c r="T18" s="63" t="str">
        <f ca="1">IFERROR(__xludf.DUMMYFUNCTION("""COMPUTED_VALUE"""),"https://storage.googleapis.com/glide-prod.appspot.com/uploads-v2/ly7o78grxPaC6KdgvbpS/pub/3aRdSog0vUtuqPE8AJKD.png")</f>
        <v>https://storage.googleapis.com/glide-prod.appspot.com/uploads-v2/ly7o78grxPaC6KdgvbpS/pub/3aRdSog0vUtuqPE8AJKD.png</v>
      </c>
      <c r="U18" s="5" t="str">
        <f ca="1">IFERROR(__xludf.DUMMYFUNCTION("""COMPUTED_VALUE"""),"LINEA DE ENVASADO TAMAÑO PERSONALINSPECTOR ELECTRONICO")</f>
        <v>LINEA DE ENVASADO TAMAÑO PERSONALINSPECTOR ELECTRONICO</v>
      </c>
      <c r="V18" s="5"/>
      <c r="W18" s="5" t="b">
        <f ca="1">IFERROR(__xludf.DUMMYFUNCTION("""COMPUTED_VALUE"""),TRUE)</f>
        <v>1</v>
      </c>
      <c r="X18" s="5" t="str">
        <f ca="1">IFERROR(__xludf.DUMMYFUNCTION("""COMPUTED_VALUE"""),"wguerra@postobon.com.co,aprmttoyu@postobon.com.co,aprmyu@postobon.com.co,wmora@postobon.com.co,efzapata@postobon.com.co")</f>
        <v>wguerra@postobon.com.co,aprmttoyu@postobon.com.co,aprmyu@postobon.com.co,wmora@postobon.com.co,efzapata@postobon.com.co</v>
      </c>
      <c r="Y18" s="5" t="str">
        <f ca="1">IFERROR(__xludf.DUMMYFUNCTION("""COMPUTED_VALUE"""),"wguerra@postobon.com.co")</f>
        <v>wguerra@postobon.com.co</v>
      </c>
      <c r="Z18" s="5" t="str">
        <f ca="1">IFERROR(__xludf.DUMMYFUNCTION("""COMPUTED_VALUE"""),"YzZ3cZ7uRGqdUkzl665Gsg")</f>
        <v>YzZ3cZ7uRGqdUkzl665Gsg</v>
      </c>
      <c r="AA18" s="5"/>
      <c r="AB18" s="5"/>
      <c r="AC18" s="5"/>
      <c r="AD18" s="5">
        <f ca="1">IFERROR(__xludf.DUMMYFUNCTION("""COMPUTED_VALUE"""),20)</f>
        <v>20</v>
      </c>
      <c r="AE18" s="5">
        <f ca="1">IFERROR(__xludf.DUMMYFUNCTION("""COMPUTED_VALUE"""),20)</f>
        <v>20</v>
      </c>
      <c r="AF18" s="5" t="b">
        <f ca="1">IFERROR(__xludf.DUMMYFUNCTION("""COMPUTED_VALUE"""),FALSE)</f>
        <v>0</v>
      </c>
      <c r="AG18" s="5" t="str">
        <f ca="1">IFERROR(__xludf.DUMMYFUNCTION("""COMPUTED_VALUE"""),"INSPECCIONES REALIZADAS")</f>
        <v>INSPECCIONES REALIZADAS</v>
      </c>
      <c r="AH18" s="5"/>
    </row>
    <row r="19" spans="1:34">
      <c r="A19" s="5" t="str">
        <f ca="1">IFERROR(__xludf.DUMMYFUNCTION("""COMPUTED_VALUE"""),"LINEA DE ENVASADO TAMAÑO PERSONAL")</f>
        <v>LINEA DE ENVASADO TAMAÑO PERSONAL</v>
      </c>
      <c r="B19" s="5">
        <f ca="1">IFERROR(__xludf.DUMMYFUNCTION("""COMPUTED_VALUE"""),599558)</f>
        <v>599558</v>
      </c>
      <c r="C19" s="5" t="str">
        <f ca="1">IFERROR(__xludf.DUMMYFUNCTION("""COMPUTED_VALUE"""),"INSPECTOR ELECTRONICO")</f>
        <v>INSPECTOR ELECTRONICO</v>
      </c>
      <c r="D19" s="5">
        <f ca="1">IFERROR(__xludf.DUMMYFUNCTION("""COMPUTED_VALUE"""),13247626)</f>
        <v>13247626</v>
      </c>
      <c r="E19" s="5" t="str">
        <f ca="1">IFERROR(__xludf.DUMMYFUNCTION("""COMPUTED_VALUE"""),"INSPECCION SEMANAL INSPECTOR ELECTRONIC")</f>
        <v>INSPECCION SEMANAL INSPECTOR ELECTRONIC</v>
      </c>
      <c r="F19" s="5" t="str">
        <f ca="1">IFERROR(__xludf.DUMMYFUNCTION("""COMPUTED_VALUE"""),"Estado de sensores")</f>
        <v>Estado de sensores</v>
      </c>
      <c r="G19" s="5" t="b">
        <f ca="1">IFERROR(__xludf.DUMMYFUNCTION("""COMPUTED_VALUE"""),TRUE)</f>
        <v>1</v>
      </c>
      <c r="H19" s="5"/>
      <c r="I19" s="5"/>
      <c r="J19" s="5">
        <f ca="1">IFERROR(__xludf.DUMMYFUNCTION("""COMPUTED_VALUE"""),13247626)</f>
        <v>13247626</v>
      </c>
      <c r="K19" s="5"/>
      <c r="L19" s="18">
        <f ca="1">IFERROR(__xludf.DUMMYFUNCTION("""COMPUTED_VALUE"""),45325)</f>
        <v>45325</v>
      </c>
      <c r="M19" s="18">
        <f ca="1">IFERROR(__xludf.DUMMYFUNCTION("""COMPUTED_VALUE"""),45325)</f>
        <v>45325</v>
      </c>
      <c r="N19" s="5" t="str">
        <f ca="1">IFERROR(__xludf.DUMMYFUNCTION("""COMPUTED_VALUE"""),"Luis Barrero")</f>
        <v>Luis Barrero</v>
      </c>
      <c r="O19" s="2">
        <f ca="1">IFERROR(__xludf.DUMMYFUNCTION("""COMPUTED_VALUE"""),0.01)</f>
        <v>0.01</v>
      </c>
      <c r="P19" s="5">
        <f ca="1">IFERROR(__xludf.DUMMYFUNCTION("""COMPUTED_VALUE"""),20068360)</f>
        <v>20068360</v>
      </c>
      <c r="Q19" s="5" t="str">
        <f ca="1">IFERROR(__xludf.DUMMYFUNCTION("""COMPUTED_VALUE"""),"e-ts4fTpN_A")</f>
        <v>e-ts4fTpN_A</v>
      </c>
      <c r="R19" s="5">
        <f ca="1">IFERROR(__xludf.DUMMYFUNCTION("""COMPUTED_VALUE"""),410)</f>
        <v>410</v>
      </c>
      <c r="S19" s="62">
        <f ca="1">IFERROR(__xludf.DUMMYFUNCTION("""COMPUTED_VALUE"""),0.01)</f>
        <v>0.01</v>
      </c>
      <c r="T19" s="63" t="str">
        <f ca="1">IFERROR(__xludf.DUMMYFUNCTION("""COMPUTED_VALUE"""),"https://storage.googleapis.com/glide-prod.appspot.com/uploads-v2/ly7o78grxPaC6KdgvbpS/pub/3aRdSog0vUtuqPE8AJKD.png")</f>
        <v>https://storage.googleapis.com/glide-prod.appspot.com/uploads-v2/ly7o78grxPaC6KdgvbpS/pub/3aRdSog0vUtuqPE8AJKD.png</v>
      </c>
      <c r="U19" s="5" t="str">
        <f ca="1">IFERROR(__xludf.DUMMYFUNCTION("""COMPUTED_VALUE"""),"LINEA DE ENVASADO TAMAÑO PERSONALINSPECTOR ELECTRONICO")</f>
        <v>LINEA DE ENVASADO TAMAÑO PERSONALINSPECTOR ELECTRONICO</v>
      </c>
      <c r="V19" s="5"/>
      <c r="W19" s="5" t="b">
        <f ca="1">IFERROR(__xludf.DUMMYFUNCTION("""COMPUTED_VALUE"""),TRUE)</f>
        <v>1</v>
      </c>
      <c r="X19" s="5" t="str">
        <f ca="1">IFERROR(__xludf.DUMMYFUNCTION("""COMPUTED_VALUE"""),"wguerra@postobon.com.co,aprmttoyu@postobon.com.co,aprmyu@postobon.com.co,wmora@postobon.com.co,efzapata@postobon.com.co")</f>
        <v>wguerra@postobon.com.co,aprmttoyu@postobon.com.co,aprmyu@postobon.com.co,wmora@postobon.com.co,efzapata@postobon.com.co</v>
      </c>
      <c r="Y19" s="5" t="str">
        <f ca="1">IFERROR(__xludf.DUMMYFUNCTION("""COMPUTED_VALUE"""),"wguerra@postobon.com.co")</f>
        <v>wguerra@postobon.com.co</v>
      </c>
      <c r="Z19" s="5" t="str">
        <f ca="1">IFERROR(__xludf.DUMMYFUNCTION("""COMPUTED_VALUE"""),"Baore3-hT6CY8QcgwQUqpA")</f>
        <v>Baore3-hT6CY8QcgwQUqpA</v>
      </c>
      <c r="AA19" s="5"/>
      <c r="AB19" s="5"/>
      <c r="AC19" s="5"/>
      <c r="AD19" s="5">
        <f ca="1">IFERROR(__xludf.DUMMYFUNCTION("""COMPUTED_VALUE"""),20)</f>
        <v>20</v>
      </c>
      <c r="AE19" s="5">
        <f ca="1">IFERROR(__xludf.DUMMYFUNCTION("""COMPUTED_VALUE"""),20)</f>
        <v>20</v>
      </c>
      <c r="AF19" s="5" t="b">
        <f ca="1">IFERROR(__xludf.DUMMYFUNCTION("""COMPUTED_VALUE"""),FALSE)</f>
        <v>0</v>
      </c>
      <c r="AG19" s="5" t="str">
        <f ca="1">IFERROR(__xludf.DUMMYFUNCTION("""COMPUTED_VALUE"""),"INSPECCIONES REALIZADAS")</f>
        <v>INSPECCIONES REALIZADAS</v>
      </c>
      <c r="AH19" s="5"/>
    </row>
    <row r="20" spans="1:34">
      <c r="A20" s="5" t="str">
        <f ca="1">IFERROR(__xludf.DUMMYFUNCTION("""COMPUTED_VALUE"""),"LINEA DE ENVASADO TAMAÑO PERSONAL")</f>
        <v>LINEA DE ENVASADO TAMAÑO PERSONAL</v>
      </c>
      <c r="B20" s="5">
        <f ca="1">IFERROR(__xludf.DUMMYFUNCTION("""COMPUTED_VALUE"""),599558)</f>
        <v>599558</v>
      </c>
      <c r="C20" s="5" t="str">
        <f ca="1">IFERROR(__xludf.DUMMYFUNCTION("""COMPUTED_VALUE"""),"INSPECTOR ELECTRONICO")</f>
        <v>INSPECTOR ELECTRONICO</v>
      </c>
      <c r="D20" s="5">
        <f ca="1">IFERROR(__xludf.DUMMYFUNCTION("""COMPUTED_VALUE"""),13247626)</f>
        <v>13247626</v>
      </c>
      <c r="E20" s="5" t="str">
        <f ca="1">IFERROR(__xludf.DUMMYFUNCTION("""COMPUTED_VALUE"""),"INSPECCION SEMANAL INSPECTOR ELECTRONIC")</f>
        <v>INSPECCION SEMANAL INSPECTOR ELECTRONIC</v>
      </c>
      <c r="F20" s="5" t="str">
        <f ca="1">IFERROR(__xludf.DUMMYFUNCTION("""COMPUTED_VALUE"""),"Estado Instrumentos de medidas")</f>
        <v>Estado Instrumentos de medidas</v>
      </c>
      <c r="G20" s="5" t="b">
        <f ca="1">IFERROR(__xludf.DUMMYFUNCTION("""COMPUTED_VALUE"""),TRUE)</f>
        <v>1</v>
      </c>
      <c r="H20" s="5"/>
      <c r="I20" s="5"/>
      <c r="J20" s="5">
        <f ca="1">IFERROR(__xludf.DUMMYFUNCTION("""COMPUTED_VALUE"""),13247626)</f>
        <v>13247626</v>
      </c>
      <c r="K20" s="5"/>
      <c r="L20" s="18">
        <f ca="1">IFERROR(__xludf.DUMMYFUNCTION("""COMPUTED_VALUE"""),45325)</f>
        <v>45325</v>
      </c>
      <c r="M20" s="18">
        <f ca="1">IFERROR(__xludf.DUMMYFUNCTION("""COMPUTED_VALUE"""),45325)</f>
        <v>45325</v>
      </c>
      <c r="N20" s="5" t="str">
        <f ca="1">IFERROR(__xludf.DUMMYFUNCTION("""COMPUTED_VALUE"""),"Luis Barrero")</f>
        <v>Luis Barrero</v>
      </c>
      <c r="O20" s="2">
        <f ca="1">IFERROR(__xludf.DUMMYFUNCTION("""COMPUTED_VALUE"""),0.01)</f>
        <v>0.01</v>
      </c>
      <c r="P20" s="5">
        <f ca="1">IFERROR(__xludf.DUMMYFUNCTION("""COMPUTED_VALUE"""),20068360)</f>
        <v>20068360</v>
      </c>
      <c r="Q20" s="5" t="str">
        <f ca="1">IFERROR(__xludf.DUMMYFUNCTION("""COMPUTED_VALUE"""),"J-PcgH1bSXk")</f>
        <v>J-PcgH1bSXk</v>
      </c>
      <c r="R20" s="5">
        <f ca="1">IFERROR(__xludf.DUMMYFUNCTION("""COMPUTED_VALUE"""),410)</f>
        <v>410</v>
      </c>
      <c r="S20" s="62">
        <f ca="1">IFERROR(__xludf.DUMMYFUNCTION("""COMPUTED_VALUE"""),0.01)</f>
        <v>0.01</v>
      </c>
      <c r="T20" s="63" t="str">
        <f ca="1">IFERROR(__xludf.DUMMYFUNCTION("""COMPUTED_VALUE"""),"https://storage.googleapis.com/glide-prod.appspot.com/uploads-v2/ly7o78grxPaC6KdgvbpS/pub/3aRdSog0vUtuqPE8AJKD.png")</f>
        <v>https://storage.googleapis.com/glide-prod.appspot.com/uploads-v2/ly7o78grxPaC6KdgvbpS/pub/3aRdSog0vUtuqPE8AJKD.png</v>
      </c>
      <c r="U20" s="5" t="str">
        <f ca="1">IFERROR(__xludf.DUMMYFUNCTION("""COMPUTED_VALUE"""),"LINEA DE ENVASADO TAMAÑO PERSONALINSPECTOR ELECTRONICO")</f>
        <v>LINEA DE ENVASADO TAMAÑO PERSONALINSPECTOR ELECTRONICO</v>
      </c>
      <c r="V20" s="5"/>
      <c r="W20" s="5" t="b">
        <f ca="1">IFERROR(__xludf.DUMMYFUNCTION("""COMPUTED_VALUE"""),TRUE)</f>
        <v>1</v>
      </c>
      <c r="X20" s="5" t="str">
        <f ca="1">IFERROR(__xludf.DUMMYFUNCTION("""COMPUTED_VALUE"""),"wguerra@postobon.com.co,aprmttoyu@postobon.com.co,aprmyu@postobon.com.co,wmora@postobon.com.co,efzapata@postobon.com.co")</f>
        <v>wguerra@postobon.com.co,aprmttoyu@postobon.com.co,aprmyu@postobon.com.co,wmora@postobon.com.co,efzapata@postobon.com.co</v>
      </c>
      <c r="Y20" s="5" t="str">
        <f ca="1">IFERROR(__xludf.DUMMYFUNCTION("""COMPUTED_VALUE"""),"wguerra@postobon.com.co")</f>
        <v>wguerra@postobon.com.co</v>
      </c>
      <c r="Z20" s="5" t="str">
        <f ca="1">IFERROR(__xludf.DUMMYFUNCTION("""COMPUTED_VALUE"""),"SrBGUZbzSmCKTVUYJ5XW1Q")</f>
        <v>SrBGUZbzSmCKTVUYJ5XW1Q</v>
      </c>
      <c r="AA20" s="5"/>
      <c r="AB20" s="5"/>
      <c r="AC20" s="5"/>
      <c r="AD20" s="5">
        <f ca="1">IFERROR(__xludf.DUMMYFUNCTION("""COMPUTED_VALUE"""),20)</f>
        <v>20</v>
      </c>
      <c r="AE20" s="5">
        <f ca="1">IFERROR(__xludf.DUMMYFUNCTION("""COMPUTED_VALUE"""),20)</f>
        <v>20</v>
      </c>
      <c r="AF20" s="5" t="b">
        <f ca="1">IFERROR(__xludf.DUMMYFUNCTION("""COMPUTED_VALUE"""),FALSE)</f>
        <v>0</v>
      </c>
      <c r="AG20" s="5" t="str">
        <f ca="1">IFERROR(__xludf.DUMMYFUNCTION("""COMPUTED_VALUE"""),"INSPECCIONES REALIZADAS")</f>
        <v>INSPECCIONES REALIZADAS</v>
      </c>
      <c r="AH20" s="5"/>
    </row>
    <row r="21" spans="1:34">
      <c r="A21" s="5" t="str">
        <f ca="1">IFERROR(__xludf.DUMMYFUNCTION("""COMPUTED_VALUE"""),"LINEA DE ENVASADO TAMAÑO PERSONAL")</f>
        <v>LINEA DE ENVASADO TAMAÑO PERSONAL</v>
      </c>
      <c r="B21" s="5">
        <f ca="1">IFERROR(__xludf.DUMMYFUNCTION("""COMPUTED_VALUE"""),599558)</f>
        <v>599558</v>
      </c>
      <c r="C21" s="5" t="str">
        <f ca="1">IFERROR(__xludf.DUMMYFUNCTION("""COMPUTED_VALUE"""),"INSPECTOR ELECTRONICO")</f>
        <v>INSPECTOR ELECTRONICO</v>
      </c>
      <c r="D21" s="5">
        <f ca="1">IFERROR(__xludf.DUMMYFUNCTION("""COMPUTED_VALUE"""),13247626)</f>
        <v>13247626</v>
      </c>
      <c r="E21" s="5" t="str">
        <f ca="1">IFERROR(__xludf.DUMMYFUNCTION("""COMPUTED_VALUE"""),"INSPECCION SEMANAL INSPECTOR ELECTRONIC")</f>
        <v>INSPECCION SEMANAL INSPECTOR ELECTRONIC</v>
      </c>
      <c r="F21" s="5" t="str">
        <f ca="1">IFERROR(__xludf.DUMMYFUNCTION("""COMPUTED_VALUE"""),"Estado baliza")</f>
        <v>Estado baliza</v>
      </c>
      <c r="G21" s="5" t="b">
        <f ca="1">IFERROR(__xludf.DUMMYFUNCTION("""COMPUTED_VALUE"""),TRUE)</f>
        <v>1</v>
      </c>
      <c r="H21" s="5"/>
      <c r="I21" s="5"/>
      <c r="J21" s="5">
        <f ca="1">IFERROR(__xludf.DUMMYFUNCTION("""COMPUTED_VALUE"""),13247626)</f>
        <v>13247626</v>
      </c>
      <c r="K21" s="5"/>
      <c r="L21" s="18">
        <f ca="1">IFERROR(__xludf.DUMMYFUNCTION("""COMPUTED_VALUE"""),45325)</f>
        <v>45325</v>
      </c>
      <c r="M21" s="18">
        <f ca="1">IFERROR(__xludf.DUMMYFUNCTION("""COMPUTED_VALUE"""),45325)</f>
        <v>45325</v>
      </c>
      <c r="N21" s="5" t="str">
        <f ca="1">IFERROR(__xludf.DUMMYFUNCTION("""COMPUTED_VALUE"""),"Luis Barrero")</f>
        <v>Luis Barrero</v>
      </c>
      <c r="O21" s="2">
        <f ca="1">IFERROR(__xludf.DUMMYFUNCTION("""COMPUTED_VALUE"""),0.01)</f>
        <v>0.01</v>
      </c>
      <c r="P21" s="5">
        <f ca="1">IFERROR(__xludf.DUMMYFUNCTION("""COMPUTED_VALUE"""),20068360)</f>
        <v>20068360</v>
      </c>
      <c r="Q21" s="5" t="str">
        <f ca="1">IFERROR(__xludf.DUMMYFUNCTION("""COMPUTED_VALUE"""),"1WPb0fy83k0")</f>
        <v>1WPb0fy83k0</v>
      </c>
      <c r="R21" s="5">
        <f ca="1">IFERROR(__xludf.DUMMYFUNCTION("""COMPUTED_VALUE"""),410)</f>
        <v>410</v>
      </c>
      <c r="S21" s="62">
        <f ca="1">IFERROR(__xludf.DUMMYFUNCTION("""COMPUTED_VALUE"""),0.01)</f>
        <v>0.01</v>
      </c>
      <c r="T21" s="63" t="str">
        <f ca="1">IFERROR(__xludf.DUMMYFUNCTION("""COMPUTED_VALUE"""),"https://storage.googleapis.com/glide-prod.appspot.com/uploads-v2/ly7o78grxPaC6KdgvbpS/pub/3aRdSog0vUtuqPE8AJKD.png")</f>
        <v>https://storage.googleapis.com/glide-prod.appspot.com/uploads-v2/ly7o78grxPaC6KdgvbpS/pub/3aRdSog0vUtuqPE8AJKD.png</v>
      </c>
      <c r="U21" s="5" t="str">
        <f ca="1">IFERROR(__xludf.DUMMYFUNCTION("""COMPUTED_VALUE"""),"LINEA DE ENVASADO TAMAÑO PERSONALINSPECTOR ELECTRONICO")</f>
        <v>LINEA DE ENVASADO TAMAÑO PERSONALINSPECTOR ELECTRONICO</v>
      </c>
      <c r="V21" s="5"/>
      <c r="W21" s="5" t="b">
        <f ca="1">IFERROR(__xludf.DUMMYFUNCTION("""COMPUTED_VALUE"""),TRUE)</f>
        <v>1</v>
      </c>
      <c r="X21" s="5" t="str">
        <f ca="1">IFERROR(__xludf.DUMMYFUNCTION("""COMPUTED_VALUE"""),"wguerra@postobon.com.co,aprmttoyu@postobon.com.co,aprmyu@postobon.com.co,wmora@postobon.com.co,efzapata@postobon.com.co")</f>
        <v>wguerra@postobon.com.co,aprmttoyu@postobon.com.co,aprmyu@postobon.com.co,wmora@postobon.com.co,efzapata@postobon.com.co</v>
      </c>
      <c r="Y21" s="5" t="str">
        <f ca="1">IFERROR(__xludf.DUMMYFUNCTION("""COMPUTED_VALUE"""),"wguerra@postobon.com.co")</f>
        <v>wguerra@postobon.com.co</v>
      </c>
      <c r="Z21" s="5" t="str">
        <f ca="1">IFERROR(__xludf.DUMMYFUNCTION("""COMPUTED_VALUE"""),"m2Zv7yHJTKWz5ndBnDuz3w")</f>
        <v>m2Zv7yHJTKWz5ndBnDuz3w</v>
      </c>
      <c r="AA21" s="5"/>
      <c r="AB21" s="5"/>
      <c r="AC21" s="5"/>
      <c r="AD21" s="5">
        <f ca="1">IFERROR(__xludf.DUMMYFUNCTION("""COMPUTED_VALUE"""),20)</f>
        <v>20</v>
      </c>
      <c r="AE21" s="5">
        <f ca="1">IFERROR(__xludf.DUMMYFUNCTION("""COMPUTED_VALUE"""),20)</f>
        <v>20</v>
      </c>
      <c r="AF21" s="5" t="b">
        <f ca="1">IFERROR(__xludf.DUMMYFUNCTION("""COMPUTED_VALUE"""),FALSE)</f>
        <v>0</v>
      </c>
      <c r="AG21" s="5" t="str">
        <f ca="1">IFERROR(__xludf.DUMMYFUNCTION("""COMPUTED_VALUE"""),"INSPECCIONES REALIZADAS")</f>
        <v>INSPECCIONES REALIZADAS</v>
      </c>
      <c r="AH21" s="5"/>
    </row>
    <row r="22" spans="1:34">
      <c r="A22" s="5" t="str">
        <f ca="1">IFERROR(__xludf.DUMMYFUNCTION("""COMPUTED_VALUE"""),"LINEA DE ENVASADO TAMAÑO PERSONAL")</f>
        <v>LINEA DE ENVASADO TAMAÑO PERSONAL</v>
      </c>
      <c r="B22" s="5">
        <f ca="1">IFERROR(__xludf.DUMMYFUNCTION("""COMPUTED_VALUE"""),599558)</f>
        <v>599558</v>
      </c>
      <c r="C22" s="5" t="str">
        <f ca="1">IFERROR(__xludf.DUMMYFUNCTION("""COMPUTED_VALUE"""),"INSPECTOR ELECTRONICO")</f>
        <v>INSPECTOR ELECTRONICO</v>
      </c>
      <c r="D22" s="5">
        <f ca="1">IFERROR(__xludf.DUMMYFUNCTION("""COMPUTED_VALUE"""),13247626)</f>
        <v>13247626</v>
      </c>
      <c r="E22" s="5" t="str">
        <f ca="1">IFERROR(__xludf.DUMMYFUNCTION("""COMPUTED_VALUE"""),"INSPECCION SEMANAL INSPECTOR ELECTRONIC")</f>
        <v>INSPECCION SEMANAL INSPECTOR ELECTRONIC</v>
      </c>
      <c r="F22" s="5" t="str">
        <f ca="1">IFERROR(__xludf.DUMMYFUNCTION("""COMPUTED_VALUE"""),"Estado unidad de mantenimiento neumático")</f>
        <v>Estado unidad de mantenimiento neumático</v>
      </c>
      <c r="G22" s="5" t="b">
        <f ca="1">IFERROR(__xludf.DUMMYFUNCTION("""COMPUTED_VALUE"""),TRUE)</f>
        <v>1</v>
      </c>
      <c r="H22" s="5"/>
      <c r="I22" s="5"/>
      <c r="J22" s="5">
        <f ca="1">IFERROR(__xludf.DUMMYFUNCTION("""COMPUTED_VALUE"""),13247626)</f>
        <v>13247626</v>
      </c>
      <c r="K22" s="5"/>
      <c r="L22" s="18">
        <f ca="1">IFERROR(__xludf.DUMMYFUNCTION("""COMPUTED_VALUE"""),45325)</f>
        <v>45325</v>
      </c>
      <c r="M22" s="18">
        <f ca="1">IFERROR(__xludf.DUMMYFUNCTION("""COMPUTED_VALUE"""),45325)</f>
        <v>45325</v>
      </c>
      <c r="N22" s="5" t="str">
        <f ca="1">IFERROR(__xludf.DUMMYFUNCTION("""COMPUTED_VALUE"""),"Luis Barrero")</f>
        <v>Luis Barrero</v>
      </c>
      <c r="O22" s="2">
        <f ca="1">IFERROR(__xludf.DUMMYFUNCTION("""COMPUTED_VALUE"""),0.01)</f>
        <v>0.01</v>
      </c>
      <c r="P22" s="5">
        <f ca="1">IFERROR(__xludf.DUMMYFUNCTION("""COMPUTED_VALUE"""),20068360)</f>
        <v>20068360</v>
      </c>
      <c r="Q22" s="5" t="str">
        <f ca="1">IFERROR(__xludf.DUMMYFUNCTION("""COMPUTED_VALUE"""),"lyFVTlT01y8")</f>
        <v>lyFVTlT01y8</v>
      </c>
      <c r="R22" s="5">
        <f ca="1">IFERROR(__xludf.DUMMYFUNCTION("""COMPUTED_VALUE"""),410)</f>
        <v>410</v>
      </c>
      <c r="S22" s="62">
        <f ca="1">IFERROR(__xludf.DUMMYFUNCTION("""COMPUTED_VALUE"""),0.01)</f>
        <v>0.01</v>
      </c>
      <c r="T22" s="63" t="str">
        <f ca="1">IFERROR(__xludf.DUMMYFUNCTION("""COMPUTED_VALUE"""),"https://storage.googleapis.com/glide-prod.appspot.com/uploads-v2/ly7o78grxPaC6KdgvbpS/pub/3aRdSog0vUtuqPE8AJKD.png")</f>
        <v>https://storage.googleapis.com/glide-prod.appspot.com/uploads-v2/ly7o78grxPaC6KdgvbpS/pub/3aRdSog0vUtuqPE8AJKD.png</v>
      </c>
      <c r="U22" s="5" t="str">
        <f ca="1">IFERROR(__xludf.DUMMYFUNCTION("""COMPUTED_VALUE"""),"LINEA DE ENVASADO TAMAÑO PERSONALINSPECTOR ELECTRONICO")</f>
        <v>LINEA DE ENVASADO TAMAÑO PERSONALINSPECTOR ELECTRONICO</v>
      </c>
      <c r="V22" s="5"/>
      <c r="W22" s="5" t="b">
        <f ca="1">IFERROR(__xludf.DUMMYFUNCTION("""COMPUTED_VALUE"""),TRUE)</f>
        <v>1</v>
      </c>
      <c r="X22" s="5" t="str">
        <f ca="1">IFERROR(__xludf.DUMMYFUNCTION("""COMPUTED_VALUE"""),"wguerra@postobon.com.co,aprmttoyu@postobon.com.co,aprmyu@postobon.com.co,wmora@postobon.com.co,efzapata@postobon.com.co")</f>
        <v>wguerra@postobon.com.co,aprmttoyu@postobon.com.co,aprmyu@postobon.com.co,wmora@postobon.com.co,efzapata@postobon.com.co</v>
      </c>
      <c r="Y22" s="5" t="str">
        <f ca="1">IFERROR(__xludf.DUMMYFUNCTION("""COMPUTED_VALUE"""),"wguerra@postobon.com.co")</f>
        <v>wguerra@postobon.com.co</v>
      </c>
      <c r="Z22" s="5" t="str">
        <f ca="1">IFERROR(__xludf.DUMMYFUNCTION("""COMPUTED_VALUE"""),"UMMzUmIzRxO6ntxu.ZMJvg")</f>
        <v>UMMzUmIzRxO6ntxu.ZMJvg</v>
      </c>
      <c r="AA22" s="5"/>
      <c r="AB22" s="5"/>
      <c r="AC22" s="5"/>
      <c r="AD22" s="5">
        <f ca="1">IFERROR(__xludf.DUMMYFUNCTION("""COMPUTED_VALUE"""),20)</f>
        <v>20</v>
      </c>
      <c r="AE22" s="5">
        <f ca="1">IFERROR(__xludf.DUMMYFUNCTION("""COMPUTED_VALUE"""),20)</f>
        <v>20</v>
      </c>
      <c r="AF22" s="5" t="b">
        <f ca="1">IFERROR(__xludf.DUMMYFUNCTION("""COMPUTED_VALUE"""),FALSE)</f>
        <v>0</v>
      </c>
      <c r="AG22" s="5" t="str">
        <f ca="1">IFERROR(__xludf.DUMMYFUNCTION("""COMPUTED_VALUE"""),"INSPECCIONES REALIZADAS")</f>
        <v>INSPECCIONES REALIZADAS</v>
      </c>
      <c r="AH22" s="5"/>
    </row>
    <row r="23" spans="1:34">
      <c r="A23" s="5" t="str">
        <f ca="1">IFERROR(__xludf.DUMMYFUNCTION("""COMPUTED_VALUE"""),"LINEA DE ENVASADO TAMAÑO PERSONAL")</f>
        <v>LINEA DE ENVASADO TAMAÑO PERSONAL</v>
      </c>
      <c r="B23" s="5">
        <f ca="1">IFERROR(__xludf.DUMMYFUNCTION("""COMPUTED_VALUE"""),599558)</f>
        <v>599558</v>
      </c>
      <c r="C23" s="5" t="str">
        <f ca="1">IFERROR(__xludf.DUMMYFUNCTION("""COMPUTED_VALUE"""),"INSPECTOR ELECTRONICO")</f>
        <v>INSPECTOR ELECTRONICO</v>
      </c>
      <c r="D23" s="5">
        <f ca="1">IFERROR(__xludf.DUMMYFUNCTION("""COMPUTED_VALUE"""),13247626)</f>
        <v>13247626</v>
      </c>
      <c r="E23" s="5" t="str">
        <f ca="1">IFERROR(__xludf.DUMMYFUNCTION("""COMPUTED_VALUE"""),"INSPECCION SEMANAL INSPECTOR ELECTRONIC")</f>
        <v>INSPECCION SEMANAL INSPECTOR ELECTRONIC</v>
      </c>
      <c r="F23" s="5" t="str">
        <f ca="1">IFERROR(__xludf.DUMMYFUNCTION("""COMPUTED_VALUE"""),"Estado electroválvulas para soplado de fondo y flash de fondo")</f>
        <v>Estado electroválvulas para soplado de fondo y flash de fondo</v>
      </c>
      <c r="G23" s="5" t="b">
        <f ca="1">IFERROR(__xludf.DUMMYFUNCTION("""COMPUTED_VALUE"""),TRUE)</f>
        <v>1</v>
      </c>
      <c r="H23" s="5"/>
      <c r="I23" s="5"/>
      <c r="J23" s="5">
        <f ca="1">IFERROR(__xludf.DUMMYFUNCTION("""COMPUTED_VALUE"""),13247626)</f>
        <v>13247626</v>
      </c>
      <c r="K23" s="5"/>
      <c r="L23" s="18">
        <f ca="1">IFERROR(__xludf.DUMMYFUNCTION("""COMPUTED_VALUE"""),45325)</f>
        <v>45325</v>
      </c>
      <c r="M23" s="18">
        <f ca="1">IFERROR(__xludf.DUMMYFUNCTION("""COMPUTED_VALUE"""),45325)</f>
        <v>45325</v>
      </c>
      <c r="N23" s="5" t="str">
        <f ca="1">IFERROR(__xludf.DUMMYFUNCTION("""COMPUTED_VALUE"""),"Luis Barrero")</f>
        <v>Luis Barrero</v>
      </c>
      <c r="O23" s="2">
        <f ca="1">IFERROR(__xludf.DUMMYFUNCTION("""COMPUTED_VALUE"""),0.01)</f>
        <v>0.01</v>
      </c>
      <c r="P23" s="5">
        <f ca="1">IFERROR(__xludf.DUMMYFUNCTION("""COMPUTED_VALUE"""),20068360)</f>
        <v>20068360</v>
      </c>
      <c r="Q23" s="5" t="str">
        <f ca="1">IFERROR(__xludf.DUMMYFUNCTION("""COMPUTED_VALUE"""),"wcymV7_ufn4")</f>
        <v>wcymV7_ufn4</v>
      </c>
      <c r="R23" s="5">
        <f ca="1">IFERROR(__xludf.DUMMYFUNCTION("""COMPUTED_VALUE"""),410)</f>
        <v>410</v>
      </c>
      <c r="S23" s="62">
        <f ca="1">IFERROR(__xludf.DUMMYFUNCTION("""COMPUTED_VALUE"""),0.01)</f>
        <v>0.01</v>
      </c>
      <c r="T23" s="63" t="str">
        <f ca="1">IFERROR(__xludf.DUMMYFUNCTION("""COMPUTED_VALUE"""),"https://storage.googleapis.com/glide-prod.appspot.com/uploads-v2/ly7o78grxPaC6KdgvbpS/pub/3aRdSog0vUtuqPE8AJKD.png")</f>
        <v>https://storage.googleapis.com/glide-prod.appspot.com/uploads-v2/ly7o78grxPaC6KdgvbpS/pub/3aRdSog0vUtuqPE8AJKD.png</v>
      </c>
      <c r="U23" s="5" t="str">
        <f ca="1">IFERROR(__xludf.DUMMYFUNCTION("""COMPUTED_VALUE"""),"LINEA DE ENVASADO TAMAÑO PERSONALINSPECTOR ELECTRONICO")</f>
        <v>LINEA DE ENVASADO TAMAÑO PERSONALINSPECTOR ELECTRONICO</v>
      </c>
      <c r="V23" s="5"/>
      <c r="W23" s="5" t="b">
        <f ca="1">IFERROR(__xludf.DUMMYFUNCTION("""COMPUTED_VALUE"""),TRUE)</f>
        <v>1</v>
      </c>
      <c r="X23" s="5" t="str">
        <f ca="1">IFERROR(__xludf.DUMMYFUNCTION("""COMPUTED_VALUE"""),"wguerra@postobon.com.co,aprmttoyu@postobon.com.co,aprmyu@postobon.com.co,wmora@postobon.com.co,efzapata@postobon.com.co")</f>
        <v>wguerra@postobon.com.co,aprmttoyu@postobon.com.co,aprmyu@postobon.com.co,wmora@postobon.com.co,efzapata@postobon.com.co</v>
      </c>
      <c r="Y23" s="5" t="str">
        <f ca="1">IFERROR(__xludf.DUMMYFUNCTION("""COMPUTED_VALUE"""),"wguerra@postobon.com.co")</f>
        <v>wguerra@postobon.com.co</v>
      </c>
      <c r="Z23" s="5" t="str">
        <f ca="1">IFERROR(__xludf.DUMMYFUNCTION("""COMPUTED_VALUE"""),"4uNcRr5UQc65CFuKFf-0mw")</f>
        <v>4uNcRr5UQc65CFuKFf-0mw</v>
      </c>
      <c r="AA23" s="5"/>
      <c r="AB23" s="5"/>
      <c r="AC23" s="5"/>
      <c r="AD23" s="5">
        <f ca="1">IFERROR(__xludf.DUMMYFUNCTION("""COMPUTED_VALUE"""),20)</f>
        <v>20</v>
      </c>
      <c r="AE23" s="5">
        <f ca="1">IFERROR(__xludf.DUMMYFUNCTION("""COMPUTED_VALUE"""),20)</f>
        <v>20</v>
      </c>
      <c r="AF23" s="5" t="b">
        <f ca="1">IFERROR(__xludf.DUMMYFUNCTION("""COMPUTED_VALUE"""),FALSE)</f>
        <v>0</v>
      </c>
      <c r="AG23" s="5" t="str">
        <f ca="1">IFERROR(__xludf.DUMMYFUNCTION("""COMPUTED_VALUE"""),"INSPECCIONES REALIZADAS")</f>
        <v>INSPECCIONES REALIZADAS</v>
      </c>
      <c r="AH23" s="5"/>
    </row>
    <row r="24" spans="1:34">
      <c r="A24" s="5" t="str">
        <f ca="1">IFERROR(__xludf.DUMMYFUNCTION("""COMPUTED_VALUE"""),"LINEA DE ENVASADO TAMAÑO PERSONAL")</f>
        <v>LINEA DE ENVASADO TAMAÑO PERSONAL</v>
      </c>
      <c r="B24" s="5">
        <f ca="1">IFERROR(__xludf.DUMMYFUNCTION("""COMPUTED_VALUE"""),599558)</f>
        <v>599558</v>
      </c>
      <c r="C24" s="5" t="str">
        <f ca="1">IFERROR(__xludf.DUMMYFUNCTION("""COMPUTED_VALUE"""),"INSPECTOR ELECTRONICO")</f>
        <v>INSPECTOR ELECTRONICO</v>
      </c>
      <c r="D24" s="5">
        <f ca="1">IFERROR(__xludf.DUMMYFUNCTION("""COMPUTED_VALUE"""),13247626)</f>
        <v>13247626</v>
      </c>
      <c r="E24" s="5" t="str">
        <f ca="1">IFERROR(__xludf.DUMMYFUNCTION("""COMPUTED_VALUE"""),"INSPECCION SEMANAL INSPECTOR ELECTRONIC")</f>
        <v>INSPECCION SEMANAL INSPECTOR ELECTRONIC</v>
      </c>
      <c r="F24" s="5" t="str">
        <f ca="1">IFERROR(__xludf.DUMMYFUNCTION("""COMPUTED_VALUE"""),"Estado de vidrios y óptica")</f>
        <v>Estado de vidrios y óptica</v>
      </c>
      <c r="G24" s="5" t="b">
        <f ca="1">IFERROR(__xludf.DUMMYFUNCTION("""COMPUTED_VALUE"""),TRUE)</f>
        <v>1</v>
      </c>
      <c r="H24" s="5"/>
      <c r="I24" s="5"/>
      <c r="J24" s="5">
        <f ca="1">IFERROR(__xludf.DUMMYFUNCTION("""COMPUTED_VALUE"""),13247626)</f>
        <v>13247626</v>
      </c>
      <c r="K24" s="5"/>
      <c r="L24" s="18">
        <f ca="1">IFERROR(__xludf.DUMMYFUNCTION("""COMPUTED_VALUE"""),45325)</f>
        <v>45325</v>
      </c>
      <c r="M24" s="18">
        <f ca="1">IFERROR(__xludf.DUMMYFUNCTION("""COMPUTED_VALUE"""),45325)</f>
        <v>45325</v>
      </c>
      <c r="N24" s="5" t="str">
        <f ca="1">IFERROR(__xludf.DUMMYFUNCTION("""COMPUTED_VALUE"""),"Luis Barrero")</f>
        <v>Luis Barrero</v>
      </c>
      <c r="O24" s="2">
        <f ca="1">IFERROR(__xludf.DUMMYFUNCTION("""COMPUTED_VALUE"""),0.005)</f>
        <v>5.0000000000000001E-3</v>
      </c>
      <c r="P24" s="5">
        <f ca="1">IFERROR(__xludf.DUMMYFUNCTION("""COMPUTED_VALUE"""),20068360)</f>
        <v>20068360</v>
      </c>
      <c r="Q24" s="5" t="str">
        <f ca="1">IFERROR(__xludf.DUMMYFUNCTION("""COMPUTED_VALUE"""),"-3os877nEuE")</f>
        <v>-3os877nEuE</v>
      </c>
      <c r="R24" s="5">
        <f ca="1">IFERROR(__xludf.DUMMYFUNCTION("""COMPUTED_VALUE"""),410)</f>
        <v>410</v>
      </c>
      <c r="S24" s="62">
        <f ca="1">IFERROR(__xludf.DUMMYFUNCTION("""COMPUTED_VALUE"""),0.005)</f>
        <v>5.0000000000000001E-3</v>
      </c>
      <c r="T24" s="63" t="str">
        <f ca="1">IFERROR(__xludf.DUMMYFUNCTION("""COMPUTED_VALUE"""),"https://storage.googleapis.com/glide-prod.appspot.com/uploads-v2/ly7o78grxPaC6KdgvbpS/pub/3aRdSog0vUtuqPE8AJKD.png")</f>
        <v>https://storage.googleapis.com/glide-prod.appspot.com/uploads-v2/ly7o78grxPaC6KdgvbpS/pub/3aRdSog0vUtuqPE8AJKD.png</v>
      </c>
      <c r="U24" s="5" t="str">
        <f ca="1">IFERROR(__xludf.DUMMYFUNCTION("""COMPUTED_VALUE"""),"LINEA DE ENVASADO TAMAÑO PERSONALINSPECTOR ELECTRONICO")</f>
        <v>LINEA DE ENVASADO TAMAÑO PERSONALINSPECTOR ELECTRONICO</v>
      </c>
      <c r="V24" s="5"/>
      <c r="W24" s="5" t="b">
        <f ca="1">IFERROR(__xludf.DUMMYFUNCTION("""COMPUTED_VALUE"""),TRUE)</f>
        <v>1</v>
      </c>
      <c r="X24" s="5" t="str">
        <f ca="1">IFERROR(__xludf.DUMMYFUNCTION("""COMPUTED_VALUE"""),"wguerra@postobon.com.co,aprmttoyu@postobon.com.co,aprmyu@postobon.com.co,wmora@postobon.com.co,efzapata@postobon.com.co")</f>
        <v>wguerra@postobon.com.co,aprmttoyu@postobon.com.co,aprmyu@postobon.com.co,wmora@postobon.com.co,efzapata@postobon.com.co</v>
      </c>
      <c r="Y24" s="5" t="str">
        <f ca="1">IFERROR(__xludf.DUMMYFUNCTION("""COMPUTED_VALUE"""),"wguerra@postobon.com.co")</f>
        <v>wguerra@postobon.com.co</v>
      </c>
      <c r="Z24" s="5" t="str">
        <f ca="1">IFERROR(__xludf.DUMMYFUNCTION("""COMPUTED_VALUE"""),"QP9UEECoTRuF5.g4e1-yUQ")</f>
        <v>QP9UEECoTRuF5.g4e1-yUQ</v>
      </c>
      <c r="AA24" s="5"/>
      <c r="AB24" s="5"/>
      <c r="AC24" s="5"/>
      <c r="AD24" s="5">
        <f ca="1">IFERROR(__xludf.DUMMYFUNCTION("""COMPUTED_VALUE"""),20)</f>
        <v>20</v>
      </c>
      <c r="AE24" s="5">
        <f ca="1">IFERROR(__xludf.DUMMYFUNCTION("""COMPUTED_VALUE"""),20)</f>
        <v>20</v>
      </c>
      <c r="AF24" s="5" t="b">
        <f ca="1">IFERROR(__xludf.DUMMYFUNCTION("""COMPUTED_VALUE"""),FALSE)</f>
        <v>0</v>
      </c>
      <c r="AG24" s="5" t="str">
        <f ca="1">IFERROR(__xludf.DUMMYFUNCTION("""COMPUTED_VALUE"""),"INSPECCIONES REALIZADAS")</f>
        <v>INSPECCIONES REALIZADAS</v>
      </c>
      <c r="AH24" s="5"/>
    </row>
    <row r="25" spans="1:34">
      <c r="A25" s="5" t="str">
        <f ca="1">IFERROR(__xludf.DUMMYFUNCTION("""COMPUTED_VALUE"""),"LINEA DE ENVASADO TAMAÑO PERSONAL")</f>
        <v>LINEA DE ENVASADO TAMAÑO PERSONAL</v>
      </c>
      <c r="B25" s="5">
        <f ca="1">IFERROR(__xludf.DUMMYFUNCTION("""COMPUTED_VALUE"""),599558)</f>
        <v>599558</v>
      </c>
      <c r="C25" s="5" t="str">
        <f ca="1">IFERROR(__xludf.DUMMYFUNCTION("""COMPUTED_VALUE"""),"INSPECTOR ELECTRONICO")</f>
        <v>INSPECTOR ELECTRONICO</v>
      </c>
      <c r="D25" s="5">
        <f ca="1">IFERROR(__xludf.DUMMYFUNCTION("""COMPUTED_VALUE"""),13247626)</f>
        <v>13247626</v>
      </c>
      <c r="E25" s="5" t="str">
        <f ca="1">IFERROR(__xludf.DUMMYFUNCTION("""COMPUTED_VALUE"""),"INSPECCION SEMANAL INSPECTOR ELECTRONIC")</f>
        <v>INSPECCION SEMANAL INSPECTOR ELECTRONIC</v>
      </c>
      <c r="F25" s="5" t="str">
        <f ca="1">IFERROR(__xludf.DUMMYFUNCTION("""COMPUTED_VALUE"""),"Estado de botoneras de emergencia")</f>
        <v>Estado de botoneras de emergencia</v>
      </c>
      <c r="G25" s="5" t="b">
        <f ca="1">IFERROR(__xludf.DUMMYFUNCTION("""COMPUTED_VALUE"""),TRUE)</f>
        <v>1</v>
      </c>
      <c r="H25" s="5"/>
      <c r="I25" s="5"/>
      <c r="J25" s="5">
        <f ca="1">IFERROR(__xludf.DUMMYFUNCTION("""COMPUTED_VALUE"""),13247626)</f>
        <v>13247626</v>
      </c>
      <c r="K25" s="5"/>
      <c r="L25" s="18">
        <f ca="1">IFERROR(__xludf.DUMMYFUNCTION("""COMPUTED_VALUE"""),45325)</f>
        <v>45325</v>
      </c>
      <c r="M25" s="18">
        <f ca="1">IFERROR(__xludf.DUMMYFUNCTION("""COMPUTED_VALUE"""),45325)</f>
        <v>45325</v>
      </c>
      <c r="N25" s="5" t="str">
        <f ca="1">IFERROR(__xludf.DUMMYFUNCTION("""COMPUTED_VALUE"""),"Luis Barrero")</f>
        <v>Luis Barrero</v>
      </c>
      <c r="O25" s="2">
        <f ca="1">IFERROR(__xludf.DUMMYFUNCTION("""COMPUTED_VALUE"""),0.005)</f>
        <v>5.0000000000000001E-3</v>
      </c>
      <c r="P25" s="5">
        <f ca="1">IFERROR(__xludf.DUMMYFUNCTION("""COMPUTED_VALUE"""),20068360)</f>
        <v>20068360</v>
      </c>
      <c r="Q25" s="5" t="str">
        <f ca="1">IFERROR(__xludf.DUMMYFUNCTION("""COMPUTED_VALUE"""),"dOxWEN2Paf8")</f>
        <v>dOxWEN2Paf8</v>
      </c>
      <c r="R25" s="5">
        <f ca="1">IFERROR(__xludf.DUMMYFUNCTION("""COMPUTED_VALUE"""),410)</f>
        <v>410</v>
      </c>
      <c r="S25" s="62">
        <f ca="1">IFERROR(__xludf.DUMMYFUNCTION("""COMPUTED_VALUE"""),0.005)</f>
        <v>5.0000000000000001E-3</v>
      </c>
      <c r="T25" s="63" t="str">
        <f ca="1">IFERROR(__xludf.DUMMYFUNCTION("""COMPUTED_VALUE"""),"https://storage.googleapis.com/glide-prod.appspot.com/uploads-v2/ly7o78grxPaC6KdgvbpS/pub/3aRdSog0vUtuqPE8AJKD.png")</f>
        <v>https://storage.googleapis.com/glide-prod.appspot.com/uploads-v2/ly7o78grxPaC6KdgvbpS/pub/3aRdSog0vUtuqPE8AJKD.png</v>
      </c>
      <c r="U25" s="5" t="str">
        <f ca="1">IFERROR(__xludf.DUMMYFUNCTION("""COMPUTED_VALUE"""),"LINEA DE ENVASADO TAMAÑO PERSONALINSPECTOR ELECTRONICO")</f>
        <v>LINEA DE ENVASADO TAMAÑO PERSONALINSPECTOR ELECTRONICO</v>
      </c>
      <c r="V25" s="5"/>
      <c r="W25" s="5" t="b">
        <f ca="1">IFERROR(__xludf.DUMMYFUNCTION("""COMPUTED_VALUE"""),TRUE)</f>
        <v>1</v>
      </c>
      <c r="X25" s="5" t="str">
        <f ca="1">IFERROR(__xludf.DUMMYFUNCTION("""COMPUTED_VALUE"""),"wguerra@postobon.com.co,aprmttoyu@postobon.com.co,aprmyu@postobon.com.co,wmora@postobon.com.co,efzapata@postobon.com.co")</f>
        <v>wguerra@postobon.com.co,aprmttoyu@postobon.com.co,aprmyu@postobon.com.co,wmora@postobon.com.co,efzapata@postobon.com.co</v>
      </c>
      <c r="Y25" s="5" t="str">
        <f ca="1">IFERROR(__xludf.DUMMYFUNCTION("""COMPUTED_VALUE"""),"wguerra@postobon.com.co")</f>
        <v>wguerra@postobon.com.co</v>
      </c>
      <c r="Z25" s="5" t="str">
        <f ca="1">IFERROR(__xludf.DUMMYFUNCTION("""COMPUTED_VALUE"""),"g6ccNZPDSDGTNlf1ySs1Ow")</f>
        <v>g6ccNZPDSDGTNlf1ySs1Ow</v>
      </c>
      <c r="AA25" s="5"/>
      <c r="AB25" s="5"/>
      <c r="AC25" s="5"/>
      <c r="AD25" s="5">
        <f ca="1">IFERROR(__xludf.DUMMYFUNCTION("""COMPUTED_VALUE"""),20)</f>
        <v>20</v>
      </c>
      <c r="AE25" s="5">
        <f ca="1">IFERROR(__xludf.DUMMYFUNCTION("""COMPUTED_VALUE"""),20)</f>
        <v>20</v>
      </c>
      <c r="AF25" s="5" t="b">
        <f ca="1">IFERROR(__xludf.DUMMYFUNCTION("""COMPUTED_VALUE"""),FALSE)</f>
        <v>0</v>
      </c>
      <c r="AG25" s="5" t="str">
        <f ca="1">IFERROR(__xludf.DUMMYFUNCTION("""COMPUTED_VALUE"""),"INSPECCIONES REALIZADAS")</f>
        <v>INSPECCIONES REALIZADAS</v>
      </c>
      <c r="AH25" s="5"/>
    </row>
    <row r="26" spans="1:34">
      <c r="A26" s="5" t="str">
        <f ca="1">IFERROR(__xludf.DUMMYFUNCTION("""COMPUTED_VALUE"""),"LINEA DE ENVASADO TAMAÑO PERSONAL")</f>
        <v>LINEA DE ENVASADO TAMAÑO PERSONAL</v>
      </c>
      <c r="B26" s="5">
        <f ca="1">IFERROR(__xludf.DUMMYFUNCTION("""COMPUTED_VALUE"""),599558)</f>
        <v>599558</v>
      </c>
      <c r="C26" s="5" t="str">
        <f ca="1">IFERROR(__xludf.DUMMYFUNCTION("""COMPUTED_VALUE"""),"INSPECTOR ELECTRONICO")</f>
        <v>INSPECTOR ELECTRONICO</v>
      </c>
      <c r="D26" s="5">
        <f ca="1">IFERROR(__xludf.DUMMYFUNCTION("""COMPUTED_VALUE"""),13247626)</f>
        <v>13247626</v>
      </c>
      <c r="E26" s="5" t="str">
        <f ca="1">IFERROR(__xludf.DUMMYFUNCTION("""COMPUTED_VALUE"""),"INSPECCION SEMANAL INSPECTOR ELECTRONIC")</f>
        <v>INSPECCION SEMANAL INSPECTOR ELECTRONIC</v>
      </c>
      <c r="F26" s="5" t="str">
        <f ca="1">IFERROR(__xludf.DUMMYFUNCTION("""COMPUTED_VALUE"""),"Estado encoder")</f>
        <v>Estado encoder</v>
      </c>
      <c r="G26" s="5" t="b">
        <f ca="1">IFERROR(__xludf.DUMMYFUNCTION("""COMPUTED_VALUE"""),TRUE)</f>
        <v>1</v>
      </c>
      <c r="H26" s="5"/>
      <c r="I26" s="5"/>
      <c r="J26" s="5">
        <f ca="1">IFERROR(__xludf.DUMMYFUNCTION("""COMPUTED_VALUE"""),13247626)</f>
        <v>13247626</v>
      </c>
      <c r="K26" s="5"/>
      <c r="L26" s="18">
        <f ca="1">IFERROR(__xludf.DUMMYFUNCTION("""COMPUTED_VALUE"""),45325)</f>
        <v>45325</v>
      </c>
      <c r="M26" s="18">
        <f ca="1">IFERROR(__xludf.DUMMYFUNCTION("""COMPUTED_VALUE"""),45325)</f>
        <v>45325</v>
      </c>
      <c r="N26" s="5" t="str">
        <f ca="1">IFERROR(__xludf.DUMMYFUNCTION("""COMPUTED_VALUE"""),"Luis Barrero")</f>
        <v>Luis Barrero</v>
      </c>
      <c r="O26" s="2">
        <f ca="1">IFERROR(__xludf.DUMMYFUNCTION("""COMPUTED_VALUE"""),0.005)</f>
        <v>5.0000000000000001E-3</v>
      </c>
      <c r="P26" s="5">
        <f ca="1">IFERROR(__xludf.DUMMYFUNCTION("""COMPUTED_VALUE"""),20068360)</f>
        <v>20068360</v>
      </c>
      <c r="Q26" s="5" t="str">
        <f ca="1">IFERROR(__xludf.DUMMYFUNCTION("""COMPUTED_VALUE"""),"r8h9C83BCbc")</f>
        <v>r8h9C83BCbc</v>
      </c>
      <c r="R26" s="5">
        <f ca="1">IFERROR(__xludf.DUMMYFUNCTION("""COMPUTED_VALUE"""),410)</f>
        <v>410</v>
      </c>
      <c r="S26" s="62">
        <f ca="1">IFERROR(__xludf.DUMMYFUNCTION("""COMPUTED_VALUE"""),0.005)</f>
        <v>5.0000000000000001E-3</v>
      </c>
      <c r="T26" s="63" t="str">
        <f ca="1">IFERROR(__xludf.DUMMYFUNCTION("""COMPUTED_VALUE"""),"https://storage.googleapis.com/glide-prod.appspot.com/uploads-v2/ly7o78grxPaC6KdgvbpS/pub/3aRdSog0vUtuqPE8AJKD.png")</f>
        <v>https://storage.googleapis.com/glide-prod.appspot.com/uploads-v2/ly7o78grxPaC6KdgvbpS/pub/3aRdSog0vUtuqPE8AJKD.png</v>
      </c>
      <c r="U26" s="5" t="str">
        <f ca="1">IFERROR(__xludf.DUMMYFUNCTION("""COMPUTED_VALUE"""),"LINEA DE ENVASADO TAMAÑO PERSONALINSPECTOR ELECTRONICO")</f>
        <v>LINEA DE ENVASADO TAMAÑO PERSONALINSPECTOR ELECTRONICO</v>
      </c>
      <c r="V26" s="5"/>
      <c r="W26" s="5" t="b">
        <f ca="1">IFERROR(__xludf.DUMMYFUNCTION("""COMPUTED_VALUE"""),TRUE)</f>
        <v>1</v>
      </c>
      <c r="X26" s="5" t="str">
        <f ca="1">IFERROR(__xludf.DUMMYFUNCTION("""COMPUTED_VALUE"""),"wguerra@postobon.com.co,aprmttoyu@postobon.com.co,aprmyu@postobon.com.co,wmora@postobon.com.co,efzapata@postobon.com.co")</f>
        <v>wguerra@postobon.com.co,aprmttoyu@postobon.com.co,aprmyu@postobon.com.co,wmora@postobon.com.co,efzapata@postobon.com.co</v>
      </c>
      <c r="Y26" s="5" t="str">
        <f ca="1">IFERROR(__xludf.DUMMYFUNCTION("""COMPUTED_VALUE"""),"wguerra@postobon.com.co")</f>
        <v>wguerra@postobon.com.co</v>
      </c>
      <c r="Z26" s="5" t="str">
        <f ca="1">IFERROR(__xludf.DUMMYFUNCTION("""COMPUTED_VALUE"""),"3H3Two1eRJO7cK844qm4Sg")</f>
        <v>3H3Two1eRJO7cK844qm4Sg</v>
      </c>
      <c r="AA26" s="5"/>
      <c r="AB26" s="5"/>
      <c r="AC26" s="5"/>
      <c r="AD26" s="5">
        <f ca="1">IFERROR(__xludf.DUMMYFUNCTION("""COMPUTED_VALUE"""),20)</f>
        <v>20</v>
      </c>
      <c r="AE26" s="5">
        <f ca="1">IFERROR(__xludf.DUMMYFUNCTION("""COMPUTED_VALUE"""),20)</f>
        <v>20</v>
      </c>
      <c r="AF26" s="5" t="b">
        <f ca="1">IFERROR(__xludf.DUMMYFUNCTION("""COMPUTED_VALUE"""),FALSE)</f>
        <v>0</v>
      </c>
      <c r="AG26" s="5" t="str">
        <f ca="1">IFERROR(__xludf.DUMMYFUNCTION("""COMPUTED_VALUE"""),"INSPECCIONES REALIZADAS")</f>
        <v>INSPECCIONES REALIZADAS</v>
      </c>
      <c r="AH26" s="5"/>
    </row>
    <row r="27" spans="1:34">
      <c r="A27" s="5" t="str">
        <f ca="1">IFERROR(__xludf.DUMMYFUNCTION("""COMPUTED_VALUE"""),"LINEA DE ENVASADO TAMAÑO PERSONAL")</f>
        <v>LINEA DE ENVASADO TAMAÑO PERSONAL</v>
      </c>
      <c r="B27" s="5">
        <f ca="1">IFERROR(__xludf.DUMMYFUNCTION("""COMPUTED_VALUE"""),599558)</f>
        <v>599558</v>
      </c>
      <c r="C27" s="5" t="str">
        <f ca="1">IFERROR(__xludf.DUMMYFUNCTION("""COMPUTED_VALUE"""),"INSPECTOR ELECTRONICO")</f>
        <v>INSPECTOR ELECTRONICO</v>
      </c>
      <c r="D27" s="5">
        <f ca="1">IFERROR(__xludf.DUMMYFUNCTION("""COMPUTED_VALUE"""),13247626)</f>
        <v>13247626</v>
      </c>
      <c r="E27" s="5" t="str">
        <f ca="1">IFERROR(__xludf.DUMMYFUNCTION("""COMPUTED_VALUE"""),"INSPECCION SEMANAL INSPECTOR ELECTRONIC")</f>
        <v>INSPECCION SEMANAL INSPECTOR ELECTRONIC</v>
      </c>
      <c r="F27" s="5" t="str">
        <f ca="1">IFERROR(__xludf.DUMMYFUNCTION("""COMPUTED_VALUE"""),"Estado de flash")</f>
        <v>Estado de flash</v>
      </c>
      <c r="G27" s="5" t="b">
        <f ca="1">IFERROR(__xludf.DUMMYFUNCTION("""COMPUTED_VALUE"""),TRUE)</f>
        <v>1</v>
      </c>
      <c r="H27" s="5"/>
      <c r="I27" s="5"/>
      <c r="J27" s="5">
        <f ca="1">IFERROR(__xludf.DUMMYFUNCTION("""COMPUTED_VALUE"""),13247626)</f>
        <v>13247626</v>
      </c>
      <c r="K27" s="5"/>
      <c r="L27" s="18">
        <f ca="1">IFERROR(__xludf.DUMMYFUNCTION("""COMPUTED_VALUE"""),45325)</f>
        <v>45325</v>
      </c>
      <c r="M27" s="18">
        <f ca="1">IFERROR(__xludf.DUMMYFUNCTION("""COMPUTED_VALUE"""),45325)</f>
        <v>45325</v>
      </c>
      <c r="N27" s="5" t="str">
        <f ca="1">IFERROR(__xludf.DUMMYFUNCTION("""COMPUTED_VALUE"""),"Luis Barrero")</f>
        <v>Luis Barrero</v>
      </c>
      <c r="O27" s="2">
        <f ca="1">IFERROR(__xludf.DUMMYFUNCTION("""COMPUTED_VALUE"""),0.005)</f>
        <v>5.0000000000000001E-3</v>
      </c>
      <c r="P27" s="5">
        <f ca="1">IFERROR(__xludf.DUMMYFUNCTION("""COMPUTED_VALUE"""),20068360)</f>
        <v>20068360</v>
      </c>
      <c r="Q27" s="5" t="str">
        <f ca="1">IFERROR(__xludf.DUMMYFUNCTION("""COMPUTED_VALUE"""),"Nmt4CljMQIk")</f>
        <v>Nmt4CljMQIk</v>
      </c>
      <c r="R27" s="5">
        <f ca="1">IFERROR(__xludf.DUMMYFUNCTION("""COMPUTED_VALUE"""),410)</f>
        <v>410</v>
      </c>
      <c r="S27" s="62">
        <f ca="1">IFERROR(__xludf.DUMMYFUNCTION("""COMPUTED_VALUE"""),0.005)</f>
        <v>5.0000000000000001E-3</v>
      </c>
      <c r="T27" s="63" t="str">
        <f ca="1">IFERROR(__xludf.DUMMYFUNCTION("""COMPUTED_VALUE"""),"https://storage.googleapis.com/glide-prod.appspot.com/uploads-v2/ly7o78grxPaC6KdgvbpS/pub/3aRdSog0vUtuqPE8AJKD.png")</f>
        <v>https://storage.googleapis.com/glide-prod.appspot.com/uploads-v2/ly7o78grxPaC6KdgvbpS/pub/3aRdSog0vUtuqPE8AJKD.png</v>
      </c>
      <c r="U27" s="5" t="str">
        <f ca="1">IFERROR(__xludf.DUMMYFUNCTION("""COMPUTED_VALUE"""),"LINEA DE ENVASADO TAMAÑO PERSONALINSPECTOR ELECTRONICO")</f>
        <v>LINEA DE ENVASADO TAMAÑO PERSONALINSPECTOR ELECTRONICO</v>
      </c>
      <c r="V27" s="5"/>
      <c r="W27" s="5" t="b">
        <f ca="1">IFERROR(__xludf.DUMMYFUNCTION("""COMPUTED_VALUE"""),TRUE)</f>
        <v>1</v>
      </c>
      <c r="X27" s="5" t="str">
        <f ca="1">IFERROR(__xludf.DUMMYFUNCTION("""COMPUTED_VALUE"""),"wguerra@postobon.com.co,aprmttoyu@postobon.com.co,aprmyu@postobon.com.co,wmora@postobon.com.co,efzapata@postobon.com.co")</f>
        <v>wguerra@postobon.com.co,aprmttoyu@postobon.com.co,aprmyu@postobon.com.co,wmora@postobon.com.co,efzapata@postobon.com.co</v>
      </c>
      <c r="Y27" s="5" t="str">
        <f ca="1">IFERROR(__xludf.DUMMYFUNCTION("""COMPUTED_VALUE"""),"wguerra@postobon.com.co")</f>
        <v>wguerra@postobon.com.co</v>
      </c>
      <c r="Z27" s="5" t="str">
        <f ca="1">IFERROR(__xludf.DUMMYFUNCTION("""COMPUTED_VALUE"""),"FOFamveYSkySBmDiCBw9pQ")</f>
        <v>FOFamveYSkySBmDiCBw9pQ</v>
      </c>
      <c r="AA27" s="5"/>
      <c r="AB27" s="5"/>
      <c r="AC27" s="5"/>
      <c r="AD27" s="5">
        <f ca="1">IFERROR(__xludf.DUMMYFUNCTION("""COMPUTED_VALUE"""),20)</f>
        <v>20</v>
      </c>
      <c r="AE27" s="5">
        <f ca="1">IFERROR(__xludf.DUMMYFUNCTION("""COMPUTED_VALUE"""),20)</f>
        <v>20</v>
      </c>
      <c r="AF27" s="5" t="b">
        <f ca="1">IFERROR(__xludf.DUMMYFUNCTION("""COMPUTED_VALUE"""),FALSE)</f>
        <v>0</v>
      </c>
      <c r="AG27" s="5" t="str">
        <f ca="1">IFERROR(__xludf.DUMMYFUNCTION("""COMPUTED_VALUE"""),"INSPECCIONES REALIZADAS")</f>
        <v>INSPECCIONES REALIZADAS</v>
      </c>
      <c r="AH27" s="5"/>
    </row>
    <row r="28" spans="1:34">
      <c r="A28" s="5" t="str">
        <f ca="1">IFERROR(__xludf.DUMMYFUNCTION("""COMPUTED_VALUE"""),"LINEA DE ENVASADO TAMAÑO PERSONAL")</f>
        <v>LINEA DE ENVASADO TAMAÑO PERSONAL</v>
      </c>
      <c r="B28" s="5">
        <f ca="1">IFERROR(__xludf.DUMMYFUNCTION("""COMPUTED_VALUE"""),599558)</f>
        <v>599558</v>
      </c>
      <c r="C28" s="5" t="str">
        <f ca="1">IFERROR(__xludf.DUMMYFUNCTION("""COMPUTED_VALUE"""),"INSPECTOR ELECTRONICO")</f>
        <v>INSPECTOR ELECTRONICO</v>
      </c>
      <c r="D28" s="5">
        <f ca="1">IFERROR(__xludf.DUMMYFUNCTION("""COMPUTED_VALUE"""),13247626)</f>
        <v>13247626</v>
      </c>
      <c r="E28" s="5" t="str">
        <f ca="1">IFERROR(__xludf.DUMMYFUNCTION("""COMPUTED_VALUE"""),"INSPECCION SEMANAL INSPECTOR ELECTRONIC")</f>
        <v>INSPECCION SEMANAL INSPECTOR ELECTRONIC</v>
      </c>
      <c r="F28" s="5" t="str">
        <f ca="1">IFERROR(__xludf.DUMMYFUNCTION("""COMPUTED_VALUE"""),"Estado sistema de rechazo (pistones, segmentos, electroválvulas)")</f>
        <v>Estado sistema de rechazo (pistones, segmentos, electroválvulas)</v>
      </c>
      <c r="G28" s="5" t="b">
        <f ca="1">IFERROR(__xludf.DUMMYFUNCTION("""COMPUTED_VALUE"""),TRUE)</f>
        <v>1</v>
      </c>
      <c r="H28" s="5"/>
      <c r="I28" s="5"/>
      <c r="J28" s="5">
        <f ca="1">IFERROR(__xludf.DUMMYFUNCTION("""COMPUTED_VALUE"""),13247626)</f>
        <v>13247626</v>
      </c>
      <c r="K28" s="5"/>
      <c r="L28" s="18">
        <f ca="1">IFERROR(__xludf.DUMMYFUNCTION("""COMPUTED_VALUE"""),45325)</f>
        <v>45325</v>
      </c>
      <c r="M28" s="18">
        <f ca="1">IFERROR(__xludf.DUMMYFUNCTION("""COMPUTED_VALUE"""),45325)</f>
        <v>45325</v>
      </c>
      <c r="N28" s="5" t="str">
        <f ca="1">IFERROR(__xludf.DUMMYFUNCTION("""COMPUTED_VALUE"""),"Luis Barrero")</f>
        <v>Luis Barrero</v>
      </c>
      <c r="O28" s="2">
        <f ca="1">IFERROR(__xludf.DUMMYFUNCTION("""COMPUTED_VALUE"""),0.005)</f>
        <v>5.0000000000000001E-3</v>
      </c>
      <c r="P28" s="5">
        <f ca="1">IFERROR(__xludf.DUMMYFUNCTION("""COMPUTED_VALUE"""),20068360)</f>
        <v>20068360</v>
      </c>
      <c r="Q28" s="5" t="str">
        <f ca="1">IFERROR(__xludf.DUMMYFUNCTION("""COMPUTED_VALUE"""),"c6Wts6XvYnA")</f>
        <v>c6Wts6XvYnA</v>
      </c>
      <c r="R28" s="5">
        <f ca="1">IFERROR(__xludf.DUMMYFUNCTION("""COMPUTED_VALUE"""),410)</f>
        <v>410</v>
      </c>
      <c r="S28" s="62">
        <f ca="1">IFERROR(__xludf.DUMMYFUNCTION("""COMPUTED_VALUE"""),0.005)</f>
        <v>5.0000000000000001E-3</v>
      </c>
      <c r="T28" s="63" t="str">
        <f ca="1">IFERROR(__xludf.DUMMYFUNCTION("""COMPUTED_VALUE"""),"https://storage.googleapis.com/glide-prod.appspot.com/uploads-v2/ly7o78grxPaC6KdgvbpS/pub/3aRdSog0vUtuqPE8AJKD.png")</f>
        <v>https://storage.googleapis.com/glide-prod.appspot.com/uploads-v2/ly7o78grxPaC6KdgvbpS/pub/3aRdSog0vUtuqPE8AJKD.png</v>
      </c>
      <c r="U28" s="5" t="str">
        <f ca="1">IFERROR(__xludf.DUMMYFUNCTION("""COMPUTED_VALUE"""),"LINEA DE ENVASADO TAMAÑO PERSONALINSPECTOR ELECTRONICO")</f>
        <v>LINEA DE ENVASADO TAMAÑO PERSONALINSPECTOR ELECTRONICO</v>
      </c>
      <c r="V28" s="5"/>
      <c r="W28" s="5" t="b">
        <f ca="1">IFERROR(__xludf.DUMMYFUNCTION("""COMPUTED_VALUE"""),TRUE)</f>
        <v>1</v>
      </c>
      <c r="X28" s="5" t="str">
        <f ca="1">IFERROR(__xludf.DUMMYFUNCTION("""COMPUTED_VALUE"""),"wguerra@postobon.com.co,aprmttoyu@postobon.com.co,aprmyu@postobon.com.co,wmora@postobon.com.co,efzapata@postobon.com.co")</f>
        <v>wguerra@postobon.com.co,aprmttoyu@postobon.com.co,aprmyu@postobon.com.co,wmora@postobon.com.co,efzapata@postobon.com.co</v>
      </c>
      <c r="Y28" s="5" t="str">
        <f ca="1">IFERROR(__xludf.DUMMYFUNCTION("""COMPUTED_VALUE"""),"wguerra@postobon.com.co")</f>
        <v>wguerra@postobon.com.co</v>
      </c>
      <c r="Z28" s="5" t="str">
        <f ca="1">IFERROR(__xludf.DUMMYFUNCTION("""COMPUTED_VALUE"""),"T0OPCLzpTJCdaRuqP44wTA")</f>
        <v>T0OPCLzpTJCdaRuqP44wTA</v>
      </c>
      <c r="AA28" s="5"/>
      <c r="AB28" s="5"/>
      <c r="AC28" s="5"/>
      <c r="AD28" s="5">
        <f ca="1">IFERROR(__xludf.DUMMYFUNCTION("""COMPUTED_VALUE"""),20)</f>
        <v>20</v>
      </c>
      <c r="AE28" s="5">
        <f ca="1">IFERROR(__xludf.DUMMYFUNCTION("""COMPUTED_VALUE"""),20)</f>
        <v>20</v>
      </c>
      <c r="AF28" s="5" t="b">
        <f ca="1">IFERROR(__xludf.DUMMYFUNCTION("""COMPUTED_VALUE"""),FALSE)</f>
        <v>0</v>
      </c>
      <c r="AG28" s="5" t="str">
        <f ca="1">IFERROR(__xludf.DUMMYFUNCTION("""COMPUTED_VALUE"""),"INSPECCIONES REALIZADAS")</f>
        <v>INSPECCIONES REALIZADAS</v>
      </c>
      <c r="AH28" s="5"/>
    </row>
    <row r="29" spans="1:34">
      <c r="A29" s="5" t="str">
        <f ca="1">IFERROR(__xludf.DUMMYFUNCTION("""COMPUTED_VALUE"""),"LINEA DE ENVASADO TAMAÑO PERSONAL")</f>
        <v>LINEA DE ENVASADO TAMAÑO PERSONAL</v>
      </c>
      <c r="B29" s="5">
        <f ca="1">IFERROR(__xludf.DUMMYFUNCTION("""COMPUTED_VALUE"""),599558)</f>
        <v>599558</v>
      </c>
      <c r="C29" s="5" t="str">
        <f ca="1">IFERROR(__xludf.DUMMYFUNCTION("""COMPUTED_VALUE"""),"INSPECTOR ELECTRONICO")</f>
        <v>INSPECTOR ELECTRONICO</v>
      </c>
      <c r="D29" s="5">
        <f ca="1">IFERROR(__xludf.DUMMYFUNCTION("""COMPUTED_VALUE"""),13247626)</f>
        <v>13247626</v>
      </c>
      <c r="E29" s="5" t="str">
        <f ca="1">IFERROR(__xludf.DUMMYFUNCTION("""COMPUTED_VALUE"""),"INSPECCION SEMANAL INSPECTOR ELECTRONIC")</f>
        <v>INSPECCION SEMANAL INSPECTOR ELECTRONIC</v>
      </c>
      <c r="F29" s="5" t="str">
        <f ca="1">IFERROR(__xludf.DUMMYFUNCTION("""COMPUTED_VALUE"""),"Verificacion de botellas de prueba")</f>
        <v>Verificacion de botellas de prueba</v>
      </c>
      <c r="G29" s="5" t="b">
        <f ca="1">IFERROR(__xludf.DUMMYFUNCTION("""COMPUTED_VALUE"""),TRUE)</f>
        <v>1</v>
      </c>
      <c r="H29" s="5"/>
      <c r="I29" s="5"/>
      <c r="J29" s="5">
        <f ca="1">IFERROR(__xludf.DUMMYFUNCTION("""COMPUTED_VALUE"""),13247626)</f>
        <v>13247626</v>
      </c>
      <c r="K29" s="5"/>
      <c r="L29" s="18">
        <f ca="1">IFERROR(__xludf.DUMMYFUNCTION("""COMPUTED_VALUE"""),45325)</f>
        <v>45325</v>
      </c>
      <c r="M29" s="18">
        <f ca="1">IFERROR(__xludf.DUMMYFUNCTION("""COMPUTED_VALUE"""),45325)</f>
        <v>45325</v>
      </c>
      <c r="N29" s="5" t="str">
        <f ca="1">IFERROR(__xludf.DUMMYFUNCTION("""COMPUTED_VALUE"""),"Luis Barrero")</f>
        <v>Luis Barrero</v>
      </c>
      <c r="O29" s="2">
        <f ca="1">IFERROR(__xludf.DUMMYFUNCTION("""COMPUTED_VALUE"""),0.005)</f>
        <v>5.0000000000000001E-3</v>
      </c>
      <c r="P29" s="5">
        <f ca="1">IFERROR(__xludf.DUMMYFUNCTION("""COMPUTED_VALUE"""),20068360)</f>
        <v>20068360</v>
      </c>
      <c r="Q29" s="5" t="str">
        <f ca="1">IFERROR(__xludf.DUMMYFUNCTION("""COMPUTED_VALUE"""),"yJigqCt5Qhk")</f>
        <v>yJigqCt5Qhk</v>
      </c>
      <c r="R29" s="5">
        <f ca="1">IFERROR(__xludf.DUMMYFUNCTION("""COMPUTED_VALUE"""),410)</f>
        <v>410</v>
      </c>
      <c r="S29" s="62">
        <f ca="1">IFERROR(__xludf.DUMMYFUNCTION("""COMPUTED_VALUE"""),0.005)</f>
        <v>5.0000000000000001E-3</v>
      </c>
      <c r="T29" s="63" t="str">
        <f ca="1">IFERROR(__xludf.DUMMYFUNCTION("""COMPUTED_VALUE"""),"https://storage.googleapis.com/glide-prod.appspot.com/uploads-v2/ly7o78grxPaC6KdgvbpS/pub/3aRdSog0vUtuqPE8AJKD.png")</f>
        <v>https://storage.googleapis.com/glide-prod.appspot.com/uploads-v2/ly7o78grxPaC6KdgvbpS/pub/3aRdSog0vUtuqPE8AJKD.png</v>
      </c>
      <c r="U29" s="5" t="str">
        <f ca="1">IFERROR(__xludf.DUMMYFUNCTION("""COMPUTED_VALUE"""),"LINEA DE ENVASADO TAMAÑO PERSONALINSPECTOR ELECTRONICO")</f>
        <v>LINEA DE ENVASADO TAMAÑO PERSONALINSPECTOR ELECTRONICO</v>
      </c>
      <c r="V29" s="5"/>
      <c r="W29" s="5" t="b">
        <f ca="1">IFERROR(__xludf.DUMMYFUNCTION("""COMPUTED_VALUE"""),TRUE)</f>
        <v>1</v>
      </c>
      <c r="X29" s="5" t="str">
        <f ca="1">IFERROR(__xludf.DUMMYFUNCTION("""COMPUTED_VALUE"""),"wguerra@postobon.com.co,aprmttoyu@postobon.com.co,aprmyu@postobon.com.co,wmora@postobon.com.co,efzapata@postobon.com.co")</f>
        <v>wguerra@postobon.com.co,aprmttoyu@postobon.com.co,aprmyu@postobon.com.co,wmora@postobon.com.co,efzapata@postobon.com.co</v>
      </c>
      <c r="Y29" s="5" t="str">
        <f ca="1">IFERROR(__xludf.DUMMYFUNCTION("""COMPUTED_VALUE"""),"wguerra@postobon.com.co")</f>
        <v>wguerra@postobon.com.co</v>
      </c>
      <c r="Z29" s="5" t="str">
        <f ca="1">IFERROR(__xludf.DUMMYFUNCTION("""COMPUTED_VALUE"""),"eVjxKq1jR8C8texMJ7QNIg")</f>
        <v>eVjxKq1jR8C8texMJ7QNIg</v>
      </c>
      <c r="AA29" s="5"/>
      <c r="AB29" s="5"/>
      <c r="AC29" s="5"/>
      <c r="AD29" s="5">
        <f ca="1">IFERROR(__xludf.DUMMYFUNCTION("""COMPUTED_VALUE"""),20)</f>
        <v>20</v>
      </c>
      <c r="AE29" s="5">
        <f ca="1">IFERROR(__xludf.DUMMYFUNCTION("""COMPUTED_VALUE"""),20)</f>
        <v>20</v>
      </c>
      <c r="AF29" s="5" t="b">
        <f ca="1">IFERROR(__xludf.DUMMYFUNCTION("""COMPUTED_VALUE"""),FALSE)</f>
        <v>0</v>
      </c>
      <c r="AG29" s="5" t="str">
        <f ca="1">IFERROR(__xludf.DUMMYFUNCTION("""COMPUTED_VALUE"""),"INSPECCIONES REALIZADAS")</f>
        <v>INSPECCIONES REALIZADAS</v>
      </c>
      <c r="AH29" s="5"/>
    </row>
    <row r="30" spans="1:34">
      <c r="A30" s="5" t="str">
        <f ca="1">IFERROR(__xludf.DUMMYFUNCTION("""COMPUTED_VALUE"""),"LINEA DE ENVASADO TAMAÑO PERSONAL")</f>
        <v>LINEA DE ENVASADO TAMAÑO PERSONAL</v>
      </c>
      <c r="B30" s="5">
        <f ca="1">IFERROR(__xludf.DUMMYFUNCTION("""COMPUTED_VALUE"""),599558)</f>
        <v>599558</v>
      </c>
      <c r="C30" s="5" t="str">
        <f ca="1">IFERROR(__xludf.DUMMYFUNCTION("""COMPUTED_VALUE"""),"INSPECTOR ELECTRONICO")</f>
        <v>INSPECTOR ELECTRONICO</v>
      </c>
      <c r="D30" s="5">
        <f ca="1">IFERROR(__xludf.DUMMYFUNCTION("""COMPUTED_VALUE"""),13247626)</f>
        <v>13247626</v>
      </c>
      <c r="E30" s="5" t="str">
        <f ca="1">IFERROR(__xludf.DUMMYFUNCTION("""COMPUTED_VALUE"""),"INSPECCION SEMANAL INSPECTOR ELECTRONIC")</f>
        <v>INSPECCION SEMANAL INSPECTOR ELECTRONIC</v>
      </c>
      <c r="F30" s="5" t="str">
        <f ca="1">IFERROR(__xludf.DUMMYFUNCTION("""COMPUTED_VALUE"""),"Estado de tableros eléctricos de mando, control y potencia")</f>
        <v>Estado de tableros eléctricos de mando, control y potencia</v>
      </c>
      <c r="G30" s="5" t="b">
        <f ca="1">IFERROR(__xludf.DUMMYFUNCTION("""COMPUTED_VALUE"""),TRUE)</f>
        <v>1</v>
      </c>
      <c r="H30" s="5"/>
      <c r="I30" s="5"/>
      <c r="J30" s="5">
        <f ca="1">IFERROR(__xludf.DUMMYFUNCTION("""COMPUTED_VALUE"""),13247626)</f>
        <v>13247626</v>
      </c>
      <c r="K30" s="5"/>
      <c r="L30" s="18">
        <f ca="1">IFERROR(__xludf.DUMMYFUNCTION("""COMPUTED_VALUE"""),45325)</f>
        <v>45325</v>
      </c>
      <c r="M30" s="18">
        <f ca="1">IFERROR(__xludf.DUMMYFUNCTION("""COMPUTED_VALUE"""),45325)</f>
        <v>45325</v>
      </c>
      <c r="N30" s="5" t="str">
        <f ca="1">IFERROR(__xludf.DUMMYFUNCTION("""COMPUTED_VALUE"""),"Luis Barrero")</f>
        <v>Luis Barrero</v>
      </c>
      <c r="O30" s="2">
        <f ca="1">IFERROR(__xludf.DUMMYFUNCTION("""COMPUTED_VALUE"""),0.005)</f>
        <v>5.0000000000000001E-3</v>
      </c>
      <c r="P30" s="5">
        <f ca="1">IFERROR(__xludf.DUMMYFUNCTION("""COMPUTED_VALUE"""),20068360)</f>
        <v>20068360</v>
      </c>
      <c r="Q30" s="5" t="str">
        <f ca="1">IFERROR(__xludf.DUMMYFUNCTION("""COMPUTED_VALUE"""),"5mK8zGBTLGc")</f>
        <v>5mK8zGBTLGc</v>
      </c>
      <c r="R30" s="5">
        <f ca="1">IFERROR(__xludf.DUMMYFUNCTION("""COMPUTED_VALUE"""),410)</f>
        <v>410</v>
      </c>
      <c r="S30" s="62">
        <f ca="1">IFERROR(__xludf.DUMMYFUNCTION("""COMPUTED_VALUE"""),0.005)</f>
        <v>5.0000000000000001E-3</v>
      </c>
      <c r="T30" s="63" t="str">
        <f ca="1">IFERROR(__xludf.DUMMYFUNCTION("""COMPUTED_VALUE"""),"https://storage.googleapis.com/glide-prod.appspot.com/uploads-v2/ly7o78grxPaC6KdgvbpS/pub/3aRdSog0vUtuqPE8AJKD.png")</f>
        <v>https://storage.googleapis.com/glide-prod.appspot.com/uploads-v2/ly7o78grxPaC6KdgvbpS/pub/3aRdSog0vUtuqPE8AJKD.png</v>
      </c>
      <c r="U30" s="5" t="str">
        <f ca="1">IFERROR(__xludf.DUMMYFUNCTION("""COMPUTED_VALUE"""),"LINEA DE ENVASADO TAMAÑO PERSONALINSPECTOR ELECTRONICO")</f>
        <v>LINEA DE ENVASADO TAMAÑO PERSONALINSPECTOR ELECTRONICO</v>
      </c>
      <c r="V30" s="5"/>
      <c r="W30" s="5" t="b">
        <f ca="1">IFERROR(__xludf.DUMMYFUNCTION("""COMPUTED_VALUE"""),TRUE)</f>
        <v>1</v>
      </c>
      <c r="X30" s="5" t="str">
        <f ca="1">IFERROR(__xludf.DUMMYFUNCTION("""COMPUTED_VALUE"""),"wguerra@postobon.com.co,aprmttoyu@postobon.com.co,aprmyu@postobon.com.co,wmora@postobon.com.co,efzapata@postobon.com.co")</f>
        <v>wguerra@postobon.com.co,aprmttoyu@postobon.com.co,aprmyu@postobon.com.co,wmora@postobon.com.co,efzapata@postobon.com.co</v>
      </c>
      <c r="Y30" s="5" t="str">
        <f ca="1">IFERROR(__xludf.DUMMYFUNCTION("""COMPUTED_VALUE"""),"wguerra@postobon.com.co")</f>
        <v>wguerra@postobon.com.co</v>
      </c>
      <c r="Z30" s="5" t="str">
        <f ca="1">IFERROR(__xludf.DUMMYFUNCTION("""COMPUTED_VALUE"""),"Uzh4lRH7Qg656A8WNYW7gA")</f>
        <v>Uzh4lRH7Qg656A8WNYW7gA</v>
      </c>
      <c r="AA30" s="5"/>
      <c r="AB30" s="5"/>
      <c r="AC30" s="5"/>
      <c r="AD30" s="5">
        <f ca="1">IFERROR(__xludf.DUMMYFUNCTION("""COMPUTED_VALUE"""),20)</f>
        <v>20</v>
      </c>
      <c r="AE30" s="5">
        <f ca="1">IFERROR(__xludf.DUMMYFUNCTION("""COMPUTED_VALUE"""),20)</f>
        <v>20</v>
      </c>
      <c r="AF30" s="5" t="b">
        <f ca="1">IFERROR(__xludf.DUMMYFUNCTION("""COMPUTED_VALUE"""),FALSE)</f>
        <v>0</v>
      </c>
      <c r="AG30" s="5" t="str">
        <f ca="1">IFERROR(__xludf.DUMMYFUNCTION("""COMPUTED_VALUE"""),"INSPECCIONES REALIZADAS")</f>
        <v>INSPECCIONES REALIZADAS</v>
      </c>
      <c r="AH30" s="5"/>
    </row>
    <row r="31" spans="1:34">
      <c r="A31" s="5" t="str">
        <f ca="1">IFERROR(__xludf.DUMMYFUNCTION("""COMPUTED_VALUE"""),"LINEA DE ENVASADO TAMAÑO PERSONAL")</f>
        <v>LINEA DE ENVASADO TAMAÑO PERSONAL</v>
      </c>
      <c r="B31" s="5">
        <f ca="1">IFERROR(__xludf.DUMMYFUNCTION("""COMPUTED_VALUE"""),599558)</f>
        <v>599558</v>
      </c>
      <c r="C31" s="5" t="str">
        <f ca="1">IFERROR(__xludf.DUMMYFUNCTION("""COMPUTED_VALUE"""),"INSPECTOR ELECTRONICO")</f>
        <v>INSPECTOR ELECTRONICO</v>
      </c>
      <c r="D31" s="5">
        <f ca="1">IFERROR(__xludf.DUMMYFUNCTION("""COMPUTED_VALUE"""),13247626)</f>
        <v>13247626</v>
      </c>
      <c r="E31" s="5" t="str">
        <f ca="1">IFERROR(__xludf.DUMMYFUNCTION("""COMPUTED_VALUE"""),"INSPECCION SEMANAL INSPECTOR ELECTRONIC")</f>
        <v>INSPECCION SEMANAL INSPECTOR ELECTRONIC</v>
      </c>
      <c r="F31" s="5" t="str">
        <f ca="1">IFERROR(__xludf.DUMMYFUNCTION("""COMPUTED_VALUE"""),"Estado final View")</f>
        <v>Estado final View</v>
      </c>
      <c r="G31" s="5" t="b">
        <f ca="1">IFERROR(__xludf.DUMMYFUNCTION("""COMPUTED_VALUE"""),TRUE)</f>
        <v>1</v>
      </c>
      <c r="H31" s="5"/>
      <c r="I31" s="5"/>
      <c r="J31" s="5">
        <f ca="1">IFERROR(__xludf.DUMMYFUNCTION("""COMPUTED_VALUE"""),13247626)</f>
        <v>13247626</v>
      </c>
      <c r="K31" s="5"/>
      <c r="L31" s="18">
        <f ca="1">IFERROR(__xludf.DUMMYFUNCTION("""COMPUTED_VALUE"""),45325)</f>
        <v>45325</v>
      </c>
      <c r="M31" s="18">
        <f ca="1">IFERROR(__xludf.DUMMYFUNCTION("""COMPUTED_VALUE"""),45325)</f>
        <v>45325</v>
      </c>
      <c r="N31" s="5" t="str">
        <f ca="1">IFERROR(__xludf.DUMMYFUNCTION("""COMPUTED_VALUE"""),"Luis Barrero")</f>
        <v>Luis Barrero</v>
      </c>
      <c r="O31" s="2">
        <f ca="1">IFERROR(__xludf.DUMMYFUNCTION("""COMPUTED_VALUE"""),0.005)</f>
        <v>5.0000000000000001E-3</v>
      </c>
      <c r="P31" s="5">
        <f ca="1">IFERROR(__xludf.DUMMYFUNCTION("""COMPUTED_VALUE"""),20068360)</f>
        <v>20068360</v>
      </c>
      <c r="Q31" s="5" t="str">
        <f ca="1">IFERROR(__xludf.DUMMYFUNCTION("""COMPUTED_VALUE"""),"n1fZFlhsrQc")</f>
        <v>n1fZFlhsrQc</v>
      </c>
      <c r="R31" s="5">
        <f ca="1">IFERROR(__xludf.DUMMYFUNCTION("""COMPUTED_VALUE"""),410)</f>
        <v>410</v>
      </c>
      <c r="S31" s="62">
        <f ca="1">IFERROR(__xludf.DUMMYFUNCTION("""COMPUTED_VALUE"""),0.005)</f>
        <v>5.0000000000000001E-3</v>
      </c>
      <c r="T31" s="63" t="str">
        <f ca="1">IFERROR(__xludf.DUMMYFUNCTION("""COMPUTED_VALUE"""),"https://storage.googleapis.com/glide-prod.appspot.com/uploads-v2/ly7o78grxPaC6KdgvbpS/pub/3aRdSog0vUtuqPE8AJKD.png")</f>
        <v>https://storage.googleapis.com/glide-prod.appspot.com/uploads-v2/ly7o78grxPaC6KdgvbpS/pub/3aRdSog0vUtuqPE8AJKD.png</v>
      </c>
      <c r="U31" s="5" t="str">
        <f ca="1">IFERROR(__xludf.DUMMYFUNCTION("""COMPUTED_VALUE"""),"LINEA DE ENVASADO TAMAÑO PERSONALINSPECTOR ELECTRONICO")</f>
        <v>LINEA DE ENVASADO TAMAÑO PERSONALINSPECTOR ELECTRONICO</v>
      </c>
      <c r="V31" s="5"/>
      <c r="W31" s="5" t="b">
        <f ca="1">IFERROR(__xludf.DUMMYFUNCTION("""COMPUTED_VALUE"""),TRUE)</f>
        <v>1</v>
      </c>
      <c r="X31" s="5" t="str">
        <f ca="1">IFERROR(__xludf.DUMMYFUNCTION("""COMPUTED_VALUE"""),"wguerra@postobon.com.co,aprmttoyu@postobon.com.co,aprmyu@postobon.com.co,wmora@postobon.com.co,efzapata@postobon.com.co")</f>
        <v>wguerra@postobon.com.co,aprmttoyu@postobon.com.co,aprmyu@postobon.com.co,wmora@postobon.com.co,efzapata@postobon.com.co</v>
      </c>
      <c r="Y31" s="5" t="str">
        <f ca="1">IFERROR(__xludf.DUMMYFUNCTION("""COMPUTED_VALUE"""),"wguerra@postobon.com.co")</f>
        <v>wguerra@postobon.com.co</v>
      </c>
      <c r="Z31" s="5" t="str">
        <f ca="1">IFERROR(__xludf.DUMMYFUNCTION("""COMPUTED_VALUE"""),"PMwXV4hlQ9qfDVSNEDseNg")</f>
        <v>PMwXV4hlQ9qfDVSNEDseNg</v>
      </c>
      <c r="AA31" s="5"/>
      <c r="AB31" s="5"/>
      <c r="AC31" s="5"/>
      <c r="AD31" s="5">
        <f ca="1">IFERROR(__xludf.DUMMYFUNCTION("""COMPUTED_VALUE"""),20)</f>
        <v>20</v>
      </c>
      <c r="AE31" s="5">
        <f ca="1">IFERROR(__xludf.DUMMYFUNCTION("""COMPUTED_VALUE"""),20)</f>
        <v>20</v>
      </c>
      <c r="AF31" s="5" t="b">
        <f ca="1">IFERROR(__xludf.DUMMYFUNCTION("""COMPUTED_VALUE"""),FALSE)</f>
        <v>0</v>
      </c>
      <c r="AG31" s="5" t="str">
        <f ca="1">IFERROR(__xludf.DUMMYFUNCTION("""COMPUTED_VALUE"""),"INSPECCIONES REALIZADAS")</f>
        <v>INSPECCIONES REALIZADAS</v>
      </c>
      <c r="AH31" s="5"/>
    </row>
    <row r="32" spans="1:34">
      <c r="A32" s="5" t="str">
        <f ca="1">IFERROR(__xludf.DUMMYFUNCTION("""COMPUTED_VALUE"""),"LINEA DE ENVASADO TAMAÑO PERSONAL")</f>
        <v>LINEA DE ENVASADO TAMAÑO PERSONAL</v>
      </c>
      <c r="B32" s="5">
        <f ca="1">IFERROR(__xludf.DUMMYFUNCTION("""COMPUTED_VALUE"""),599558)</f>
        <v>599558</v>
      </c>
      <c r="C32" s="5" t="str">
        <f ca="1">IFERROR(__xludf.DUMMYFUNCTION("""COMPUTED_VALUE"""),"INSPECTOR ELECTRONICO")</f>
        <v>INSPECTOR ELECTRONICO</v>
      </c>
      <c r="D32" s="5">
        <f ca="1">IFERROR(__xludf.DUMMYFUNCTION("""COMPUTED_VALUE"""),13247626)</f>
        <v>13247626</v>
      </c>
      <c r="E32" s="5" t="str">
        <f ca="1">IFERROR(__xludf.DUMMYFUNCTION("""COMPUTED_VALUE"""),"INSPECCION SEMANAL INSPECTOR ELECTRONIC")</f>
        <v>INSPECCION SEMANAL INSPECTOR ELECTRONIC</v>
      </c>
      <c r="F32" s="5" t="str">
        <f ca="1">IFERROR(__xludf.DUMMYFUNCTION("""COMPUTED_VALUE"""),"Estado y limpieza de extractor y/o climatizador tablero eléctrico.")</f>
        <v>Estado y limpieza de extractor y/o climatizador tablero eléctrico.</v>
      </c>
      <c r="G32" s="5" t="b">
        <f ca="1">IFERROR(__xludf.DUMMYFUNCTION("""COMPUTED_VALUE"""),TRUE)</f>
        <v>1</v>
      </c>
      <c r="H32" s="5"/>
      <c r="I32" s="5"/>
      <c r="J32" s="5">
        <f ca="1">IFERROR(__xludf.DUMMYFUNCTION("""COMPUTED_VALUE"""),13247626)</f>
        <v>13247626</v>
      </c>
      <c r="K32" s="5"/>
      <c r="L32" s="18">
        <f ca="1">IFERROR(__xludf.DUMMYFUNCTION("""COMPUTED_VALUE"""),45325)</f>
        <v>45325</v>
      </c>
      <c r="M32" s="18">
        <f ca="1">IFERROR(__xludf.DUMMYFUNCTION("""COMPUTED_VALUE"""),45325)</f>
        <v>45325</v>
      </c>
      <c r="N32" s="5" t="str">
        <f ca="1">IFERROR(__xludf.DUMMYFUNCTION("""COMPUTED_VALUE"""),"Luis Barrero")</f>
        <v>Luis Barrero</v>
      </c>
      <c r="O32" s="2">
        <f ca="1">IFERROR(__xludf.DUMMYFUNCTION("""COMPUTED_VALUE"""),0.005)</f>
        <v>5.0000000000000001E-3</v>
      </c>
      <c r="P32" s="5">
        <f ca="1">IFERROR(__xludf.DUMMYFUNCTION("""COMPUTED_VALUE"""),20068360)</f>
        <v>20068360</v>
      </c>
      <c r="Q32" s="5" t="str">
        <f ca="1">IFERROR(__xludf.DUMMYFUNCTION("""COMPUTED_VALUE"""),"xWbVuE9ZimM")</f>
        <v>xWbVuE9ZimM</v>
      </c>
      <c r="R32" s="5">
        <f ca="1">IFERROR(__xludf.DUMMYFUNCTION("""COMPUTED_VALUE"""),410)</f>
        <v>410</v>
      </c>
      <c r="S32" s="62">
        <f ca="1">IFERROR(__xludf.DUMMYFUNCTION("""COMPUTED_VALUE"""),0.005)</f>
        <v>5.0000000000000001E-3</v>
      </c>
      <c r="T32" s="63" t="str">
        <f ca="1">IFERROR(__xludf.DUMMYFUNCTION("""COMPUTED_VALUE"""),"https://storage.googleapis.com/glide-prod.appspot.com/uploads-v2/ly7o78grxPaC6KdgvbpS/pub/3aRdSog0vUtuqPE8AJKD.png")</f>
        <v>https://storage.googleapis.com/glide-prod.appspot.com/uploads-v2/ly7o78grxPaC6KdgvbpS/pub/3aRdSog0vUtuqPE8AJKD.png</v>
      </c>
      <c r="U32" s="5" t="str">
        <f ca="1">IFERROR(__xludf.DUMMYFUNCTION("""COMPUTED_VALUE"""),"LINEA DE ENVASADO TAMAÑO PERSONALINSPECTOR ELECTRONICO")</f>
        <v>LINEA DE ENVASADO TAMAÑO PERSONALINSPECTOR ELECTRONICO</v>
      </c>
      <c r="V32" s="5"/>
      <c r="W32" s="5" t="b">
        <f ca="1">IFERROR(__xludf.DUMMYFUNCTION("""COMPUTED_VALUE"""),TRUE)</f>
        <v>1</v>
      </c>
      <c r="X32" s="5" t="str">
        <f ca="1">IFERROR(__xludf.DUMMYFUNCTION("""COMPUTED_VALUE"""),"wguerra@postobon.com.co,aprmttoyu@postobon.com.co,aprmyu@postobon.com.co,wmora@postobon.com.co,efzapata@postobon.com.co")</f>
        <v>wguerra@postobon.com.co,aprmttoyu@postobon.com.co,aprmyu@postobon.com.co,wmora@postobon.com.co,efzapata@postobon.com.co</v>
      </c>
      <c r="Y32" s="5" t="str">
        <f ca="1">IFERROR(__xludf.DUMMYFUNCTION("""COMPUTED_VALUE"""),"wguerra@postobon.com.co")</f>
        <v>wguerra@postobon.com.co</v>
      </c>
      <c r="Z32" s="5" t="str">
        <f ca="1">IFERROR(__xludf.DUMMYFUNCTION("""COMPUTED_VALUE"""),"a.-MXxreCQtGHfNrDwwWNWg")</f>
        <v>a.-MXxreCQtGHfNrDwwWNWg</v>
      </c>
      <c r="AA32" s="5"/>
      <c r="AB32" s="5"/>
      <c r="AC32" s="5"/>
      <c r="AD32" s="5">
        <f ca="1">IFERROR(__xludf.DUMMYFUNCTION("""COMPUTED_VALUE"""),20)</f>
        <v>20</v>
      </c>
      <c r="AE32" s="5">
        <f ca="1">IFERROR(__xludf.DUMMYFUNCTION("""COMPUTED_VALUE"""),20)</f>
        <v>20</v>
      </c>
      <c r="AF32" s="5" t="b">
        <f ca="1">IFERROR(__xludf.DUMMYFUNCTION("""COMPUTED_VALUE"""),FALSE)</f>
        <v>0</v>
      </c>
      <c r="AG32" s="5" t="str">
        <f ca="1">IFERROR(__xludf.DUMMYFUNCTION("""COMPUTED_VALUE"""),"INSPECCIONES REALIZADAS")</f>
        <v>INSPECCIONES REALIZADAS</v>
      </c>
      <c r="AH32" s="5"/>
    </row>
    <row r="33" spans="1:34">
      <c r="A33" s="5" t="str">
        <f ca="1">IFERROR(__xludf.DUMMYFUNCTION("""COMPUTED_VALUE"""),"EQUIPOS PARA SERVICIOS INDUSTRIALES")</f>
        <v>EQUIPOS PARA SERVICIOS INDUSTRIALES</v>
      </c>
      <c r="B33" s="5">
        <f ca="1">IFERROR(__xludf.DUMMYFUNCTION("""COMPUTED_VALUE"""),698412)</f>
        <v>698412</v>
      </c>
      <c r="C33" s="5" t="str">
        <f ca="1">IFERROR(__xludf.DUMMYFUNCTION("""COMPUTED_VALUE"""),"INTERCAMBIADOR")</f>
        <v>INTERCAMBIADOR</v>
      </c>
      <c r="D33" s="5">
        <f ca="1">IFERROR(__xludf.DUMMYFUNCTION("""COMPUTED_VALUE"""),13247496)</f>
        <v>13247496</v>
      </c>
      <c r="E33" s="5" t="str">
        <f ca="1">IFERROR(__xludf.DUMMYFUNCTION("""COMPUTED_VALUE"""),"INSPECCION SEMANAL INTERCAMBIADOR")</f>
        <v>INSPECCION SEMANAL INTERCAMBIADOR</v>
      </c>
      <c r="F33" s="5" t="str">
        <f ca="1">IFERROR(__xludf.DUMMYFUNCTION("""COMPUTED_VALUE"""),"PLAN MTTO MEC INTERCAMBIADOR 698412")</f>
        <v>PLAN MTTO MEC INTERCAMBIADOR 698412</v>
      </c>
      <c r="G33" s="5" t="b">
        <f ca="1">IFERROR(__xludf.DUMMYFUNCTION("""COMPUTED_VALUE"""),TRUE)</f>
        <v>1</v>
      </c>
      <c r="H33" s="5"/>
      <c r="I33" s="5"/>
      <c r="J33" s="5">
        <f ca="1">IFERROR(__xludf.DUMMYFUNCTION("""COMPUTED_VALUE"""),13247496)</f>
        <v>13247496</v>
      </c>
      <c r="K33" s="5"/>
      <c r="L33" s="18">
        <f ca="1">IFERROR(__xludf.DUMMYFUNCTION("""COMPUTED_VALUE"""),45324)</f>
        <v>45324</v>
      </c>
      <c r="M33" s="18">
        <f ca="1">IFERROR(__xludf.DUMMYFUNCTION("""COMPUTED_VALUE"""),45324)</f>
        <v>45324</v>
      </c>
      <c r="N33" s="5" t="str">
        <f ca="1">IFERROR(__xludf.DUMMYFUNCTION("""COMPUTED_VALUE"""),"Henao William")</f>
        <v>Henao William</v>
      </c>
      <c r="O33" s="2">
        <f ca="1">IFERROR(__xludf.DUMMYFUNCTION("""COMPUTED_VALUE"""),0.1)</f>
        <v>0.1</v>
      </c>
      <c r="P33" s="5">
        <f ca="1">IFERROR(__xludf.DUMMYFUNCTION("""COMPUTED_VALUE"""),20009827)</f>
        <v>20009827</v>
      </c>
      <c r="Q33" s="5" t="str">
        <f ca="1">IFERROR(__xludf.DUMMYFUNCTION("""COMPUTED_VALUE"""),"mbJsYYLlcpk")</f>
        <v>mbJsYYLlcpk</v>
      </c>
      <c r="R33" s="5">
        <f ca="1">IFERROR(__xludf.DUMMYFUNCTION("""COMPUTED_VALUE"""),410)</f>
        <v>410</v>
      </c>
      <c r="S33" s="62">
        <f ca="1">IFERROR(__xludf.DUMMYFUNCTION("""COMPUTED_VALUE"""),0.1)</f>
        <v>0.1</v>
      </c>
      <c r="T33" s="63" t="str">
        <f ca="1">IFERROR(__xludf.DUMMYFUNCTION("""COMPUTED_VALUE"""),"https://storage.googleapis.com/glide-prod.appspot.com/uploads-v2/ly7o78grxPaC6KdgvbpS/pub/3aRdSog0vUtuqPE8AJKD.png")</f>
        <v>https://storage.googleapis.com/glide-prod.appspot.com/uploads-v2/ly7o78grxPaC6KdgvbpS/pub/3aRdSog0vUtuqPE8AJKD.png</v>
      </c>
      <c r="U33" s="5" t="str">
        <f ca="1">IFERROR(__xludf.DUMMYFUNCTION("""COMPUTED_VALUE"""),"EQUIPOS PARA SERVICIOS INDUSTRIALESINTERCAMBIADOR")</f>
        <v>EQUIPOS PARA SERVICIOS INDUSTRIALESINTERCAMBIADOR</v>
      </c>
      <c r="V33" s="5"/>
      <c r="W33" s="5" t="b">
        <f ca="1">IFERROR(__xludf.DUMMYFUNCTION("""COMPUTED_VALUE"""),TRUE)</f>
        <v>1</v>
      </c>
      <c r="X33" s="5" t="str">
        <f ca="1">IFERROR(__xludf.DUMMYFUNCTION("""COMPUTED_VALUE"""),"wmazorra@postobon.com.co,aprmttoyu@postobon.com.co,aprmyu@postobon.com.co,wmora@postobon.com.co,efzapata@postobon.com.co")</f>
        <v>wmazorra@postobon.com.co,aprmttoyu@postobon.com.co,aprmyu@postobon.com.co,wmora@postobon.com.co,efzapata@postobon.com.co</v>
      </c>
      <c r="Y33" s="5" t="str">
        <f ca="1">IFERROR(__xludf.DUMMYFUNCTION("""COMPUTED_VALUE"""),"wmazorra@postobon.com.co")</f>
        <v>wmazorra@postobon.com.co</v>
      </c>
      <c r="Z33" s="5" t="str">
        <f ca="1">IFERROR(__xludf.DUMMYFUNCTION("""COMPUTED_VALUE"""),"altxN7jSQA2yHHbcUpCqKg")</f>
        <v>altxN7jSQA2yHHbcUpCqKg</v>
      </c>
      <c r="AA33" s="5"/>
      <c r="AB33" s="5"/>
      <c r="AC33" s="5"/>
      <c r="AD33" s="5">
        <f ca="1">IFERROR(__xludf.DUMMYFUNCTION("""COMPUTED_VALUE"""),78)</f>
        <v>78</v>
      </c>
      <c r="AE33" s="5">
        <f ca="1">IFERROR(__xludf.DUMMYFUNCTION("""COMPUTED_VALUE"""),77)</f>
        <v>77</v>
      </c>
      <c r="AF33" s="5" t="b">
        <f ca="1">IFERROR(__xludf.DUMMYFUNCTION("""COMPUTED_VALUE"""),FALSE)</f>
        <v>0</v>
      </c>
      <c r="AG33" s="5" t="str">
        <f ca="1">IFERROR(__xludf.DUMMYFUNCTION("""COMPUTED_VALUE"""),"INSPECCIONES REALIZADAS")</f>
        <v>INSPECCIONES REALIZADAS</v>
      </c>
      <c r="AH33" s="5"/>
    </row>
    <row r="34" spans="1:34">
      <c r="A34" s="5" t="str">
        <f ca="1">IFERROR(__xludf.DUMMYFUNCTION("""COMPUTED_VALUE"""),"EQUIPOS PARA SERVICIOS INDUSTRIALES JUGO")</f>
        <v>EQUIPOS PARA SERVICIOS INDUSTRIALES JUGO</v>
      </c>
      <c r="B34" s="5">
        <f ca="1">IFERROR(__xludf.DUMMYFUNCTION("""COMPUTED_VALUE"""),698413)</f>
        <v>698413</v>
      </c>
      <c r="C34" s="5" t="str">
        <f ca="1">IFERROR(__xludf.DUMMYFUNCTION("""COMPUTED_VALUE"""),"INTERCAMBIADOR DE CALOR No. 1 JUGOS")</f>
        <v>INTERCAMBIADOR DE CALOR No. 1 JUGOS</v>
      </c>
      <c r="D34" s="5">
        <f ca="1">IFERROR(__xludf.DUMMYFUNCTION("""COMPUTED_VALUE"""),13247543)</f>
        <v>13247543</v>
      </c>
      <c r="E34" s="5" t="str">
        <f ca="1">IFERROR(__xludf.DUMMYFUNCTION("""COMPUTED_VALUE"""),"INSPECCION SEMANAL INTERCAMBIADOR DE CA")</f>
        <v>INSPECCION SEMANAL INTERCAMBIADOR DE CA</v>
      </c>
      <c r="F34" s="5" t="str">
        <f ca="1">IFERROR(__xludf.DUMMYFUNCTION("""COMPUTED_VALUE"""),"PLAN MTTO MEC INTERC CALOR 1 JUG 698413")</f>
        <v>PLAN MTTO MEC INTERC CALOR 1 JUG 698413</v>
      </c>
      <c r="G34" s="5"/>
      <c r="H34" s="5"/>
      <c r="I34" s="5"/>
      <c r="J34" s="5"/>
      <c r="K34" s="5"/>
      <c r="L34" s="18">
        <f ca="1">IFERROR(__xludf.DUMMYFUNCTION("""COMPUTED_VALUE"""),45325)</f>
        <v>45325</v>
      </c>
      <c r="M34" s="18">
        <f ca="1">IFERROR(__xludf.DUMMYFUNCTION("""COMPUTED_VALUE"""),45325)</f>
        <v>45325</v>
      </c>
      <c r="N34" s="5" t="str">
        <f ca="1">IFERROR(__xludf.DUMMYFUNCTION("""COMPUTED_VALUE"""),"Lopez Raul")</f>
        <v>Lopez Raul</v>
      </c>
      <c r="O34" s="2">
        <f ca="1">IFERROR(__xludf.DUMMYFUNCTION("""COMPUTED_VALUE"""),0.1)</f>
        <v>0.1</v>
      </c>
      <c r="P34" s="5"/>
      <c r="Q34" s="5" t="str">
        <f ca="1">IFERROR(__xludf.DUMMYFUNCTION("""COMPUTED_VALUE"""),"bGgfyhPQMZ8")</f>
        <v>bGgfyhPQMZ8</v>
      </c>
      <c r="R34" s="5">
        <f ca="1">IFERROR(__xludf.DUMMYFUNCTION("""COMPUTED_VALUE"""),410)</f>
        <v>410</v>
      </c>
      <c r="S34" s="62">
        <f ca="1">IFERROR(__xludf.DUMMYFUNCTION("""COMPUTED_VALUE"""),0.1)</f>
        <v>0.1</v>
      </c>
      <c r="T34" s="63" t="str">
        <f ca="1">IFERROR(__xludf.DUMMYFUNCTION("""COMPUTED_VALUE"""),"https://storage.googleapis.com/glide-prod.appspot.com/uploads-v2/ly7o78grxPaC6KdgvbpS/pub/UliJWgpEaBovaFmXi6OW.png")</f>
        <v>https://storage.googleapis.com/glide-prod.appspot.com/uploads-v2/ly7o78grxPaC6KdgvbpS/pub/UliJWgpEaBovaFmXi6OW.png</v>
      </c>
      <c r="U34" s="5" t="str">
        <f ca="1">IFERROR(__xludf.DUMMYFUNCTION("""COMPUTED_VALUE"""),"EQUIPOS PARA SERVICIOS INDUSTRIALES JUGOINTERCAMBIADOR DE CALOR No. 1 JUGOS")</f>
        <v>EQUIPOS PARA SERVICIOS INDUSTRIALES JUGOINTERCAMBIADOR DE CALOR No. 1 JUGOS</v>
      </c>
      <c r="V34" s="5"/>
      <c r="W34" s="5"/>
      <c r="X34" s="5" t="str">
        <f ca="1">IFERROR(__xludf.DUMMYFUNCTION("""COMPUTED_VALUE"""),"wmazorra@postobon.com.co,aprmttoyu@postobon.com.co,aprmyu@postobon.com.co,wmora@postobon.com.co,efzapata@postobon.com.co")</f>
        <v>wmazorra@postobon.com.co,aprmttoyu@postobon.com.co,aprmyu@postobon.com.co,wmora@postobon.com.co,efzapata@postobon.com.co</v>
      </c>
      <c r="Y34" s="5" t="str">
        <f ca="1">IFERROR(__xludf.DUMMYFUNCTION("""COMPUTED_VALUE"""),"wmazorra@postobon.com.co")</f>
        <v>wmazorra@postobon.com.co</v>
      </c>
      <c r="Z34" s="5" t="str">
        <f ca="1">IFERROR(__xludf.DUMMYFUNCTION("""COMPUTED_VALUE"""),"yXCMBf86RAyC3g7W0U9KRA")</f>
        <v>yXCMBf86RAyC3g7W0U9KRA</v>
      </c>
      <c r="AA34" s="5"/>
      <c r="AB34" s="5"/>
      <c r="AC34" s="5"/>
      <c r="AD34" s="5">
        <f ca="1">IFERROR(__xludf.DUMMYFUNCTION("""COMPUTED_VALUE"""),57)</f>
        <v>57</v>
      </c>
      <c r="AE34" s="5">
        <f ca="1">IFERROR(__xludf.DUMMYFUNCTION("""COMPUTED_VALUE"""),0)</f>
        <v>0</v>
      </c>
      <c r="AF34" s="5" t="b">
        <f ca="1">IFERROR(__xludf.DUMMYFUNCTION("""COMPUTED_VALUE"""),TRUE)</f>
        <v>1</v>
      </c>
      <c r="AG34" s="5" t="str">
        <f ca="1">IFERROR(__xludf.DUMMYFUNCTION("""COMPUTED_VALUE"""),"INSPECCIONES SIN REALIZAR")</f>
        <v>INSPECCIONES SIN REALIZAR</v>
      </c>
      <c r="AH34" s="5"/>
    </row>
    <row r="35" spans="1:34">
      <c r="A35" s="5" t="str">
        <f ca="1">IFERROR(__xludf.DUMMYFUNCTION("""COMPUTED_VALUE"""),"EQUIPOS PARA SERVICIOS INDUSTRIALES")</f>
        <v>EQUIPOS PARA SERVICIOS INDUSTRIALES</v>
      </c>
      <c r="B35" s="5">
        <f ca="1">IFERROR(__xludf.DUMMYFUNCTION("""COMPUTED_VALUE"""),698433)</f>
        <v>698433</v>
      </c>
      <c r="C35" s="5" t="str">
        <f ca="1">IFERROR(__xludf.DUMMYFUNCTION("""COMPUTED_VALUE"""),"INTERCAMBIADOR DE PLACAS")</f>
        <v>INTERCAMBIADOR DE PLACAS</v>
      </c>
      <c r="D35" s="5">
        <f ca="1">IFERROR(__xludf.DUMMYFUNCTION("""COMPUTED_VALUE"""),13247250)</f>
        <v>13247250</v>
      </c>
      <c r="E35" s="5" t="str">
        <f ca="1">IFERROR(__xludf.DUMMYFUNCTION("""COMPUTED_VALUE"""),"INSPECCION SEMANAL INTERCAMBIADOR REFRI")</f>
        <v>INSPECCION SEMANAL INTERCAMBIADOR REFRI</v>
      </c>
      <c r="F35" s="5" t="str">
        <f ca="1">IFERROR(__xludf.DUMMYFUNCTION("""COMPUTED_VALUE"""),"PLAN MTTO INTERCAMBIADOR DE PLACAS")</f>
        <v>PLAN MTTO INTERCAMBIADOR DE PLACAS</v>
      </c>
      <c r="G35" s="5" t="b">
        <f ca="1">IFERROR(__xludf.DUMMYFUNCTION("""COMPUTED_VALUE"""),TRUE)</f>
        <v>1</v>
      </c>
      <c r="H35" s="5"/>
      <c r="I35" s="5"/>
      <c r="J35" s="5">
        <f ca="1">IFERROR(__xludf.DUMMYFUNCTION("""COMPUTED_VALUE"""),13247250)</f>
        <v>13247250</v>
      </c>
      <c r="K35" s="5"/>
      <c r="L35" s="18">
        <f ca="1">IFERROR(__xludf.DUMMYFUNCTION("""COMPUTED_VALUE"""),45324)</f>
        <v>45324</v>
      </c>
      <c r="M35" s="18">
        <f ca="1">IFERROR(__xludf.DUMMYFUNCTION("""COMPUTED_VALUE"""),45324)</f>
        <v>45324</v>
      </c>
      <c r="N35" s="5" t="str">
        <f ca="1">IFERROR(__xludf.DUMMYFUNCTION("""COMPUTED_VALUE"""),"CALDERON CORTES JULIAN DAVID")</f>
        <v>CALDERON CORTES JULIAN DAVID</v>
      </c>
      <c r="O35" s="2">
        <f ca="1">IFERROR(__xludf.DUMMYFUNCTION("""COMPUTED_VALUE"""),0.1)</f>
        <v>0.1</v>
      </c>
      <c r="P35" s="5">
        <f ca="1">IFERROR(__xludf.DUMMYFUNCTION("""COMPUTED_VALUE"""),20065035)</f>
        <v>20065035</v>
      </c>
      <c r="Q35" s="5" t="str">
        <f ca="1">IFERROR(__xludf.DUMMYFUNCTION("""COMPUTED_VALUE"""),"Htli_ZTZ56w")</f>
        <v>Htli_ZTZ56w</v>
      </c>
      <c r="R35" s="5">
        <f ca="1">IFERROR(__xludf.DUMMYFUNCTION("""COMPUTED_VALUE"""),410)</f>
        <v>410</v>
      </c>
      <c r="S35" s="62">
        <f ca="1">IFERROR(__xludf.DUMMYFUNCTION("""COMPUTED_VALUE"""),0.1)</f>
        <v>0.1</v>
      </c>
      <c r="T35" s="63" t="str">
        <f ca="1">IFERROR(__xludf.DUMMYFUNCTION("""COMPUTED_VALUE"""),"https://storage.googleapis.com/glide-prod.appspot.com/uploads-v2/ly7o78grxPaC6KdgvbpS/pub/3aRdSog0vUtuqPE8AJKD.png")</f>
        <v>https://storage.googleapis.com/glide-prod.appspot.com/uploads-v2/ly7o78grxPaC6KdgvbpS/pub/3aRdSog0vUtuqPE8AJKD.png</v>
      </c>
      <c r="U35" s="5" t="str">
        <f ca="1">IFERROR(__xludf.DUMMYFUNCTION("""COMPUTED_VALUE"""),"EQUIPOS PARA SERVICIOS INDUSTRIALESINTERCAMBIADOR DE PLACAS")</f>
        <v>EQUIPOS PARA SERVICIOS INDUSTRIALESINTERCAMBIADOR DE PLACAS</v>
      </c>
      <c r="V35" s="5"/>
      <c r="W35" s="5" t="b">
        <f ca="1">IFERROR(__xludf.DUMMYFUNCTION("""COMPUTED_VALUE"""),TRUE)</f>
        <v>1</v>
      </c>
      <c r="X35" s="5" t="str">
        <f ca="1">IFERROR(__xludf.DUMMYFUNCTION("""COMPUTED_VALUE"""),"wmazorra@postobon.com.co,aprmttoyu@postobon.com.co,aprmyu@postobon.com.co,wmora@postobon.com.co,efzapata@postobon.com.co")</f>
        <v>wmazorra@postobon.com.co,aprmttoyu@postobon.com.co,aprmyu@postobon.com.co,wmora@postobon.com.co,efzapata@postobon.com.co</v>
      </c>
      <c r="Y35" s="5" t="str">
        <f ca="1">IFERROR(__xludf.DUMMYFUNCTION("""COMPUTED_VALUE"""),"wmazorra@postobon.com.co")</f>
        <v>wmazorra@postobon.com.co</v>
      </c>
      <c r="Z35" s="5" t="str">
        <f ca="1">IFERROR(__xludf.DUMMYFUNCTION("""COMPUTED_VALUE"""),"xuCfJvbDSBWMY6ihBLp0pg")</f>
        <v>xuCfJvbDSBWMY6ihBLp0pg</v>
      </c>
      <c r="AA35" s="5"/>
      <c r="AB35" s="5"/>
      <c r="AC35" s="5"/>
      <c r="AD35" s="5">
        <f ca="1">IFERROR(__xludf.DUMMYFUNCTION("""COMPUTED_VALUE"""),1)</f>
        <v>1</v>
      </c>
      <c r="AE35" s="5">
        <f ca="1">IFERROR(__xludf.DUMMYFUNCTION("""COMPUTED_VALUE"""),1)</f>
        <v>1</v>
      </c>
      <c r="AF35" s="5" t="b">
        <f ca="1">IFERROR(__xludf.DUMMYFUNCTION("""COMPUTED_VALUE"""),FALSE)</f>
        <v>0</v>
      </c>
      <c r="AG35" s="5" t="str">
        <f ca="1">IFERROR(__xludf.DUMMYFUNCTION("""COMPUTED_VALUE"""),"INSPECCIONES REALIZADAS")</f>
        <v>INSPECCIONES REALIZADAS</v>
      </c>
      <c r="AH35" s="5"/>
    </row>
    <row r="36" spans="1:34">
      <c r="A36" s="5" t="str">
        <f ca="1">IFERROR(__xludf.DUMMYFUNCTION("""COMPUTED_VALUE"""),"BOMBAS DE SERVICIO PROCESO")</f>
        <v>BOMBAS DE SERVICIO PROCESO</v>
      </c>
      <c r="B36" s="5">
        <f ca="1">IFERROR(__xludf.DUMMYFUNCTION("""COMPUTED_VALUE"""),70948900)</f>
        <v>70948900</v>
      </c>
      <c r="C36" s="5" t="str">
        <f ca="1">IFERROR(__xludf.DUMMYFUNCTION("""COMPUTED_VALUE"""),"BOMBA AGUA SUAVIZADA")</f>
        <v>BOMBA AGUA SUAVIZADA</v>
      </c>
      <c r="D36" s="5">
        <f ca="1">IFERROR(__xludf.DUMMYFUNCTION("""COMPUTED_VALUE"""),13247398)</f>
        <v>13247398</v>
      </c>
      <c r="E36" s="5" t="str">
        <f ca="1">IFERROR(__xludf.DUMMYFUNCTION("""COMPUTED_VALUE"""),"INSPECCION SEMANAL AGUA SUAVIZADA")</f>
        <v>INSPECCION SEMANAL AGUA SUAVIZADA</v>
      </c>
      <c r="F36" s="5" t="str">
        <f ca="1">IFERROR(__xludf.DUMMYFUNCTION("""COMPUTED_VALUE"""),"PLAN MTTO MEC BOMBA AGUA SUAVIZ 70948900")</f>
        <v>PLAN MTTO MEC BOMBA AGUA SUAVIZ 70948900</v>
      </c>
      <c r="G36" s="5" t="b">
        <f ca="1">IFERROR(__xludf.DUMMYFUNCTION("""COMPUTED_VALUE"""),TRUE)</f>
        <v>1</v>
      </c>
      <c r="H36" s="5"/>
      <c r="I36" s="5"/>
      <c r="J36" s="5">
        <f ca="1">IFERROR(__xludf.DUMMYFUNCTION("""COMPUTED_VALUE"""),13247398)</f>
        <v>13247398</v>
      </c>
      <c r="K36" s="5"/>
      <c r="L36" s="18">
        <f ca="1">IFERROR(__xludf.DUMMYFUNCTION("""COMPUTED_VALUE"""),45324)</f>
        <v>45324</v>
      </c>
      <c r="M36" s="18">
        <f ca="1">IFERROR(__xludf.DUMMYFUNCTION("""COMPUTED_VALUE"""),45324)</f>
        <v>45324</v>
      </c>
      <c r="N36" s="5" t="str">
        <f ca="1">IFERROR(__xludf.DUMMYFUNCTION("""COMPUTED_VALUE"""),"John Edier Gomez Zuñiga")</f>
        <v>John Edier Gomez Zuñiga</v>
      </c>
      <c r="O36" s="2">
        <f ca="1">IFERROR(__xludf.DUMMYFUNCTION("""COMPUTED_VALUE"""),0.1)</f>
        <v>0.1</v>
      </c>
      <c r="P36" s="5">
        <f ca="1">IFERROR(__xludf.DUMMYFUNCTION("""COMPUTED_VALUE"""),94539966)</f>
        <v>94539966</v>
      </c>
      <c r="Q36" s="5" t="str">
        <f ca="1">IFERROR(__xludf.DUMMYFUNCTION("""COMPUTED_VALUE"""),"1ByEyw0TvMA")</f>
        <v>1ByEyw0TvMA</v>
      </c>
      <c r="R36" s="5">
        <f ca="1">IFERROR(__xludf.DUMMYFUNCTION("""COMPUTED_VALUE"""),410)</f>
        <v>410</v>
      </c>
      <c r="S36" s="62">
        <f ca="1">IFERROR(__xludf.DUMMYFUNCTION("""COMPUTED_VALUE"""),0.1)</f>
        <v>0.1</v>
      </c>
      <c r="T36" s="63" t="str">
        <f ca="1">IFERROR(__xludf.DUMMYFUNCTION("""COMPUTED_VALUE"""),"https://storage.googleapis.com/glide-prod.appspot.com/uploads-v2/ly7o78grxPaC6KdgvbpS/pub/3aRdSog0vUtuqPE8AJKD.png")</f>
        <v>https://storage.googleapis.com/glide-prod.appspot.com/uploads-v2/ly7o78grxPaC6KdgvbpS/pub/3aRdSog0vUtuqPE8AJKD.png</v>
      </c>
      <c r="U36" s="5" t="str">
        <f ca="1">IFERROR(__xludf.DUMMYFUNCTION("""COMPUTED_VALUE"""),"BOMBAS DE SERVICIO PROCESOBOMBA AGUA SUAVIZADA")</f>
        <v>BOMBAS DE SERVICIO PROCESOBOMBA AGUA SUAVIZADA</v>
      </c>
      <c r="V36" s="5"/>
      <c r="W36" s="5" t="b">
        <f ca="1">IFERROR(__xludf.DUMMYFUNCTION("""COMPUTED_VALUE"""),TRUE)</f>
        <v>1</v>
      </c>
      <c r="X36" s="5" t="str">
        <f ca="1">IFERROR(__xludf.DUMMYFUNCTION("""COMPUTED_VALUE"""),"wmazorra@postobon.com.co,aprmttoyu@postobon.com.co,aprmyu@postobon.com.co,wmora@postobon.com.co,efzapata@postobon.com.co")</f>
        <v>wmazorra@postobon.com.co,aprmttoyu@postobon.com.co,aprmyu@postobon.com.co,wmora@postobon.com.co,efzapata@postobon.com.co</v>
      </c>
      <c r="Y36" s="5" t="str">
        <f ca="1">IFERROR(__xludf.DUMMYFUNCTION("""COMPUTED_VALUE"""),"wmazorra@postobon.com.co")</f>
        <v>wmazorra@postobon.com.co</v>
      </c>
      <c r="Z36" s="5" t="str">
        <f ca="1">IFERROR(__xludf.DUMMYFUNCTION("""COMPUTED_VALUE"""),"Sr92JX0uQ1e0NqsKBIa3yA")</f>
        <v>Sr92JX0uQ1e0NqsKBIa3yA</v>
      </c>
      <c r="AA36" s="5"/>
      <c r="AB36" s="5"/>
      <c r="AC36" s="5"/>
      <c r="AD36" s="5">
        <f ca="1">IFERROR(__xludf.DUMMYFUNCTION("""COMPUTED_VALUE"""),19)</f>
        <v>19</v>
      </c>
      <c r="AE36" s="5">
        <f ca="1">IFERROR(__xludf.DUMMYFUNCTION("""COMPUTED_VALUE"""),19)</f>
        <v>19</v>
      </c>
      <c r="AF36" s="5" t="b">
        <f ca="1">IFERROR(__xludf.DUMMYFUNCTION("""COMPUTED_VALUE"""),FALSE)</f>
        <v>0</v>
      </c>
      <c r="AG36" s="5" t="str">
        <f ca="1">IFERROR(__xludf.DUMMYFUNCTION("""COMPUTED_VALUE"""),"INSPECCIONES REALIZADAS")</f>
        <v>INSPECCIONES REALIZADAS</v>
      </c>
      <c r="AH36" s="5"/>
    </row>
    <row r="37" spans="1:34">
      <c r="A37" s="5" t="str">
        <f ca="1">IFERROR(__xludf.DUMMYFUNCTION("""COMPUTED_VALUE"""),"BOMBAS DE SERVICIO PROCESO")</f>
        <v>BOMBAS DE SERVICIO PROCESO</v>
      </c>
      <c r="B37" s="5">
        <f ca="1">IFERROR(__xludf.DUMMYFUNCTION("""COMPUTED_VALUE"""),70948901)</f>
        <v>70948901</v>
      </c>
      <c r="C37" s="5" t="str">
        <f ca="1">IFERROR(__xludf.DUMMYFUNCTION("""COMPUTED_VALUE"""),"BOMBA AGUA SUAVIZADA")</f>
        <v>BOMBA AGUA SUAVIZADA</v>
      </c>
      <c r="D37" s="5">
        <f ca="1">IFERROR(__xludf.DUMMYFUNCTION("""COMPUTED_VALUE"""),13247400)</f>
        <v>13247400</v>
      </c>
      <c r="E37" s="5" t="str">
        <f ca="1">IFERROR(__xludf.DUMMYFUNCTION("""COMPUTED_VALUE"""),"INSPECCION SEMANAL AGUA SUAVIZADA")</f>
        <v>INSPECCION SEMANAL AGUA SUAVIZADA</v>
      </c>
      <c r="F37" s="5" t="str">
        <f ca="1">IFERROR(__xludf.DUMMYFUNCTION("""COMPUTED_VALUE"""),"PLAN MTTO MEC BOMBA AGUA SUAVIZ 70948901")</f>
        <v>PLAN MTTO MEC BOMBA AGUA SUAVIZ 70948901</v>
      </c>
      <c r="G37" s="5" t="b">
        <f ca="1">IFERROR(__xludf.DUMMYFUNCTION("""COMPUTED_VALUE"""),TRUE)</f>
        <v>1</v>
      </c>
      <c r="H37" s="5" t="str">
        <f ca="1">IFERROR(__xludf.DUMMYFUNCTION("""COMPUTED_VALUE"""),"Bomba se retira para reparación pendiente por instalar
")</f>
        <v xml:space="preserve">Bomba se retira para reparación pendiente por instalar
</v>
      </c>
      <c r="I37" s="5"/>
      <c r="J37" s="5">
        <f ca="1">IFERROR(__xludf.DUMMYFUNCTION("""COMPUTED_VALUE"""),13247400)</f>
        <v>13247400</v>
      </c>
      <c r="K37" s="5"/>
      <c r="L37" s="18">
        <f ca="1">IFERROR(__xludf.DUMMYFUNCTION("""COMPUTED_VALUE"""),45324)</f>
        <v>45324</v>
      </c>
      <c r="M37" s="18">
        <f ca="1">IFERROR(__xludf.DUMMYFUNCTION("""COMPUTED_VALUE"""),45324)</f>
        <v>45324</v>
      </c>
      <c r="N37" s="5" t="str">
        <f ca="1">IFERROR(__xludf.DUMMYFUNCTION("""COMPUTED_VALUE"""),"John Edier Gomez Zuñiga")</f>
        <v>John Edier Gomez Zuñiga</v>
      </c>
      <c r="O37" s="2">
        <f ca="1">IFERROR(__xludf.DUMMYFUNCTION("""COMPUTED_VALUE"""),0.1)</f>
        <v>0.1</v>
      </c>
      <c r="P37" s="5">
        <f ca="1">IFERROR(__xludf.DUMMYFUNCTION("""COMPUTED_VALUE"""),94539966)</f>
        <v>94539966</v>
      </c>
      <c r="Q37" s="5" t="str">
        <f ca="1">IFERROR(__xludf.DUMMYFUNCTION("""COMPUTED_VALUE"""),"8RVvrNMMuqM")</f>
        <v>8RVvrNMMuqM</v>
      </c>
      <c r="R37" s="5">
        <f ca="1">IFERROR(__xludf.DUMMYFUNCTION("""COMPUTED_VALUE"""),410)</f>
        <v>410</v>
      </c>
      <c r="S37" s="62">
        <f ca="1">IFERROR(__xludf.DUMMYFUNCTION("""COMPUTED_VALUE"""),0.1)</f>
        <v>0.1</v>
      </c>
      <c r="T37" s="63" t="str">
        <f ca="1">IFERROR(__xludf.DUMMYFUNCTION("""COMPUTED_VALUE"""),"https://storage.googleapis.com/glide-prod.appspot.com/uploads-v2/ly7o78grxPaC6KdgvbpS/pub/3aRdSog0vUtuqPE8AJKD.png")</f>
        <v>https://storage.googleapis.com/glide-prod.appspot.com/uploads-v2/ly7o78grxPaC6KdgvbpS/pub/3aRdSog0vUtuqPE8AJKD.png</v>
      </c>
      <c r="U37" s="5" t="str">
        <f ca="1">IFERROR(__xludf.DUMMYFUNCTION("""COMPUTED_VALUE"""),"BOMBAS DE SERVICIO PROCESOBOMBA AGUA SUAVIZADA")</f>
        <v>BOMBAS DE SERVICIO PROCESOBOMBA AGUA SUAVIZADA</v>
      </c>
      <c r="V37" s="5"/>
      <c r="W37" s="5" t="b">
        <f ca="1">IFERROR(__xludf.DUMMYFUNCTION("""COMPUTED_VALUE"""),TRUE)</f>
        <v>1</v>
      </c>
      <c r="X37" s="5" t="str">
        <f ca="1">IFERROR(__xludf.DUMMYFUNCTION("""COMPUTED_VALUE"""),"wmazorra@postobon.com.co,aprmttoyu@postobon.com.co,aprmyu@postobon.com.co,wmora@postobon.com.co,efzapata@postobon.com.co")</f>
        <v>wmazorra@postobon.com.co,aprmttoyu@postobon.com.co,aprmyu@postobon.com.co,wmora@postobon.com.co,efzapata@postobon.com.co</v>
      </c>
      <c r="Y37" s="5" t="str">
        <f ca="1">IFERROR(__xludf.DUMMYFUNCTION("""COMPUTED_VALUE"""),"wmazorra@postobon.com.co")</f>
        <v>wmazorra@postobon.com.co</v>
      </c>
      <c r="Z37" s="5" t="str">
        <f ca="1">IFERROR(__xludf.DUMMYFUNCTION("""COMPUTED_VALUE"""),"SaprUwa8TMaL0nEUUnjdCw")</f>
        <v>SaprUwa8TMaL0nEUUnjdCw</v>
      </c>
      <c r="AA37" s="63" t="str">
        <f ca="1">IFERROR(__xludf.DUMMYFUNCTION("""COMPUTED_VALUE"""),"https://storage.googleapis.com/glide-prod.appspot.com/uploads-v2/ly7o78grxPaC6KdgvbpS/pub/fPhKiK7lcvDeIXMt9vSa.jpg")</f>
        <v>https://storage.googleapis.com/glide-prod.appspot.com/uploads-v2/ly7o78grxPaC6KdgvbpS/pub/fPhKiK7lcvDeIXMt9vSa.jpg</v>
      </c>
      <c r="AB37" s="63" t="str">
        <f ca="1">IFERROR(__xludf.DUMMYFUNCTION("""COMPUTED_VALUE"""),"https://storage.googleapis.com/glide-prod.appspot.com/uploads-v2/ly7o78grxPaC6KdgvbpS/pub/EZKRNHxWDD70kvHQBf5F.jpg")</f>
        <v>https://storage.googleapis.com/glide-prod.appspot.com/uploads-v2/ly7o78grxPaC6KdgvbpS/pub/EZKRNHxWDD70kvHQBf5F.jpg</v>
      </c>
      <c r="AC37" s="5"/>
      <c r="AD37" s="5">
        <f ca="1">IFERROR(__xludf.DUMMYFUNCTION("""COMPUTED_VALUE"""),19)</f>
        <v>19</v>
      </c>
      <c r="AE37" s="5">
        <f ca="1">IFERROR(__xludf.DUMMYFUNCTION("""COMPUTED_VALUE"""),19)</f>
        <v>19</v>
      </c>
      <c r="AF37" s="5" t="b">
        <f ca="1">IFERROR(__xludf.DUMMYFUNCTION("""COMPUTED_VALUE"""),FALSE)</f>
        <v>0</v>
      </c>
      <c r="AG37" s="5" t="str">
        <f ca="1">IFERROR(__xludf.DUMMYFUNCTION("""COMPUTED_VALUE"""),"INSPECCIONES REALIZADAS")</f>
        <v>INSPECCIONES REALIZADAS</v>
      </c>
      <c r="AH37" s="5"/>
    </row>
    <row r="38" spans="1:34">
      <c r="A38" s="5" t="str">
        <f ca="1">IFERROR(__xludf.DUMMYFUNCTION("""COMPUTED_VALUE"""),"BOMBAS DE SERVICIO PROCESO")</f>
        <v>BOMBAS DE SERVICIO PROCESO</v>
      </c>
      <c r="B38" s="5">
        <f ca="1">IFERROR(__xludf.DUMMYFUNCTION("""COMPUTED_VALUE"""),70948902)</f>
        <v>70948902</v>
      </c>
      <c r="C38" s="5" t="str">
        <f ca="1">IFERROR(__xludf.DUMMYFUNCTION("""COMPUTED_VALUE"""),"BOMBA AGUA SUAVIZADA")</f>
        <v>BOMBA AGUA SUAVIZADA</v>
      </c>
      <c r="D38" s="5">
        <f ca="1">IFERROR(__xludf.DUMMYFUNCTION("""COMPUTED_VALUE"""),13247402)</f>
        <v>13247402</v>
      </c>
      <c r="E38" s="5" t="str">
        <f ca="1">IFERROR(__xludf.DUMMYFUNCTION("""COMPUTED_VALUE"""),"INSPECCION SEMANAL AGUA SUAVIZADA")</f>
        <v>INSPECCION SEMANAL AGUA SUAVIZADA</v>
      </c>
      <c r="F38" s="5" t="str">
        <f ca="1">IFERROR(__xludf.DUMMYFUNCTION("""COMPUTED_VALUE"""),"PLAN MTTO MEC BOMBA AGUA SUAVI 70948902")</f>
        <v>PLAN MTTO MEC BOMBA AGUA SUAVI 70948902</v>
      </c>
      <c r="G38" s="5" t="b">
        <f ca="1">IFERROR(__xludf.DUMMYFUNCTION("""COMPUTED_VALUE"""),TRUE)</f>
        <v>1</v>
      </c>
      <c r="H38" s="5"/>
      <c r="I38" s="5"/>
      <c r="J38" s="5">
        <f ca="1">IFERROR(__xludf.DUMMYFUNCTION("""COMPUTED_VALUE"""),13247402)</f>
        <v>13247402</v>
      </c>
      <c r="K38" s="5"/>
      <c r="L38" s="18">
        <f ca="1">IFERROR(__xludf.DUMMYFUNCTION("""COMPUTED_VALUE"""),45324)</f>
        <v>45324</v>
      </c>
      <c r="M38" s="18">
        <f ca="1">IFERROR(__xludf.DUMMYFUNCTION("""COMPUTED_VALUE"""),45324)</f>
        <v>45324</v>
      </c>
      <c r="N38" s="5" t="str">
        <f ca="1">IFERROR(__xludf.DUMMYFUNCTION("""COMPUTED_VALUE"""),"John Edier Gomez Zuñiga")</f>
        <v>John Edier Gomez Zuñiga</v>
      </c>
      <c r="O38" s="2">
        <f ca="1">IFERROR(__xludf.DUMMYFUNCTION("""COMPUTED_VALUE"""),0.1)</f>
        <v>0.1</v>
      </c>
      <c r="P38" s="5">
        <f ca="1">IFERROR(__xludf.DUMMYFUNCTION("""COMPUTED_VALUE"""),94539966)</f>
        <v>94539966</v>
      </c>
      <c r="Q38" s="5" t="str">
        <f ca="1">IFERROR(__xludf.DUMMYFUNCTION("""COMPUTED_VALUE"""),"wz5F0XGuYag")</f>
        <v>wz5F0XGuYag</v>
      </c>
      <c r="R38" s="5">
        <f ca="1">IFERROR(__xludf.DUMMYFUNCTION("""COMPUTED_VALUE"""),410)</f>
        <v>410</v>
      </c>
      <c r="S38" s="62">
        <f ca="1">IFERROR(__xludf.DUMMYFUNCTION("""COMPUTED_VALUE"""),0.1)</f>
        <v>0.1</v>
      </c>
      <c r="T38" s="63" t="str">
        <f ca="1">IFERROR(__xludf.DUMMYFUNCTION("""COMPUTED_VALUE"""),"https://storage.googleapis.com/glide-prod.appspot.com/uploads-v2/ly7o78grxPaC6KdgvbpS/pub/3aRdSog0vUtuqPE8AJKD.png")</f>
        <v>https://storage.googleapis.com/glide-prod.appspot.com/uploads-v2/ly7o78grxPaC6KdgvbpS/pub/3aRdSog0vUtuqPE8AJKD.png</v>
      </c>
      <c r="U38" s="5" t="str">
        <f ca="1">IFERROR(__xludf.DUMMYFUNCTION("""COMPUTED_VALUE"""),"BOMBAS DE SERVICIO PROCESOBOMBA AGUA SUAVIZADA")</f>
        <v>BOMBAS DE SERVICIO PROCESOBOMBA AGUA SUAVIZADA</v>
      </c>
      <c r="V38" s="5"/>
      <c r="W38" s="5" t="b">
        <f ca="1">IFERROR(__xludf.DUMMYFUNCTION("""COMPUTED_VALUE"""),TRUE)</f>
        <v>1</v>
      </c>
      <c r="X38" s="5" t="str">
        <f ca="1">IFERROR(__xludf.DUMMYFUNCTION("""COMPUTED_VALUE"""),"wmazorra@postobon.com.co,aprmttoyu@postobon.com.co,aprmyu@postobon.com.co,wmora@postobon.com.co,efzapata@postobon.com.co")</f>
        <v>wmazorra@postobon.com.co,aprmttoyu@postobon.com.co,aprmyu@postobon.com.co,wmora@postobon.com.co,efzapata@postobon.com.co</v>
      </c>
      <c r="Y38" s="5" t="str">
        <f ca="1">IFERROR(__xludf.DUMMYFUNCTION("""COMPUTED_VALUE"""),"wmazorra@postobon.com.co")</f>
        <v>wmazorra@postobon.com.co</v>
      </c>
      <c r="Z38" s="5" t="str">
        <f ca="1">IFERROR(__xludf.DUMMYFUNCTION("""COMPUTED_VALUE"""),"b29oCE4RQNa0xrp01jUNZg")</f>
        <v>b29oCE4RQNa0xrp01jUNZg</v>
      </c>
      <c r="AA38" s="5"/>
      <c r="AB38" s="5"/>
      <c r="AC38" s="5"/>
      <c r="AD38" s="5">
        <f ca="1">IFERROR(__xludf.DUMMYFUNCTION("""COMPUTED_VALUE"""),19)</f>
        <v>19</v>
      </c>
      <c r="AE38" s="5">
        <f ca="1">IFERROR(__xludf.DUMMYFUNCTION("""COMPUTED_VALUE"""),19)</f>
        <v>19</v>
      </c>
      <c r="AF38" s="5" t="b">
        <f ca="1">IFERROR(__xludf.DUMMYFUNCTION("""COMPUTED_VALUE"""),FALSE)</f>
        <v>0</v>
      </c>
      <c r="AG38" s="5" t="str">
        <f ca="1">IFERROR(__xludf.DUMMYFUNCTION("""COMPUTED_VALUE"""),"INSPECCIONES REALIZADAS")</f>
        <v>INSPECCIONES REALIZADAS</v>
      </c>
      <c r="AH38" s="5"/>
    </row>
    <row r="39" spans="1:34">
      <c r="A39" s="5" t="str">
        <f ca="1">IFERROR(__xludf.DUMMYFUNCTION("""COMPUTED_VALUE"""),"LINEA PET CSD - LINEA 10")</f>
        <v>LINEA PET CSD - LINEA 10</v>
      </c>
      <c r="B39" s="5">
        <f ca="1">IFERROR(__xludf.DUMMYFUNCTION("""COMPUTED_VALUE"""),829703)</f>
        <v>829703</v>
      </c>
      <c r="C39" s="5" t="str">
        <f ca="1">IFERROR(__xludf.DUMMYFUNCTION("""COMPUTED_VALUE"""),"ALIMENTADOR DE TAPA PLASTICA")</f>
        <v>ALIMENTADOR DE TAPA PLASTICA</v>
      </c>
      <c r="D39" s="5">
        <f ca="1">IFERROR(__xludf.DUMMYFUNCTION("""COMPUTED_VALUE"""),13247585)</f>
        <v>13247585</v>
      </c>
      <c r="E39" s="5" t="str">
        <f ca="1">IFERROR(__xludf.DUMMYFUNCTION("""COMPUTED_VALUE"""),"INSPECCION SEMANAL ALIMENTADOR DE TAPA P")</f>
        <v>INSPECCION SEMANAL ALIMENTADOR DE TAPA P</v>
      </c>
      <c r="F39" s="5" t="str">
        <f ca="1">IFERROR(__xludf.DUMMYFUNCTION("""COMPUTED_VALUE"""),"REVISION CORREAS TRANSMISION")</f>
        <v>REVISION CORREAS TRANSMISION</v>
      </c>
      <c r="G39" s="5" t="b">
        <f ca="1">IFERROR(__xludf.DUMMYFUNCTION("""COMPUTED_VALUE"""),TRUE)</f>
        <v>1</v>
      </c>
      <c r="H39" s="5"/>
      <c r="I39" s="5"/>
      <c r="J39" s="5">
        <f ca="1">IFERROR(__xludf.DUMMYFUNCTION("""COMPUTED_VALUE"""),13247585)</f>
        <v>13247585</v>
      </c>
      <c r="K39" s="5"/>
      <c r="L39" s="18">
        <f ca="1">IFERROR(__xludf.DUMMYFUNCTION("""COMPUTED_VALUE"""),45324)</f>
        <v>45324</v>
      </c>
      <c r="M39" s="18">
        <f ca="1">IFERROR(__xludf.DUMMYFUNCTION("""COMPUTED_VALUE"""),45324)</f>
        <v>45324</v>
      </c>
      <c r="N39" s="5" t="str">
        <f ca="1">IFERROR(__xludf.DUMMYFUNCTION("""COMPUTED_VALUE"""),"Bolaños Camacho Luis Miguel")</f>
        <v>Bolaños Camacho Luis Miguel</v>
      </c>
      <c r="O39" s="2">
        <f ca="1">IFERROR(__xludf.DUMMYFUNCTION("""COMPUTED_VALUE"""),0.016666667)</f>
        <v>1.6666667E-2</v>
      </c>
      <c r="P39" s="5">
        <f ca="1">IFERROR(__xludf.DUMMYFUNCTION("""COMPUTED_VALUE"""),20032893)</f>
        <v>20032893</v>
      </c>
      <c r="Q39" s="5" t="str">
        <f ca="1">IFERROR(__xludf.DUMMYFUNCTION("""COMPUTED_VALUE"""),"vo8gbdZ_rYs")</f>
        <v>vo8gbdZ_rYs</v>
      </c>
      <c r="R39" s="5">
        <f ca="1">IFERROR(__xludf.DUMMYFUNCTION("""COMPUTED_VALUE"""),410)</f>
        <v>410</v>
      </c>
      <c r="S39" s="62">
        <f ca="1">IFERROR(__xludf.DUMMYFUNCTION("""COMPUTED_VALUE"""),0.016666667)</f>
        <v>1.6666667E-2</v>
      </c>
      <c r="T39" s="63" t="str">
        <f ca="1">IFERROR(__xludf.DUMMYFUNCTION("""COMPUTED_VALUE"""),"https://storage.googleapis.com/glide-prod.appspot.com/uploads-v2/ly7o78grxPaC6KdgvbpS/pub/3aRdSog0vUtuqPE8AJKD.png")</f>
        <v>https://storage.googleapis.com/glide-prod.appspot.com/uploads-v2/ly7o78grxPaC6KdgvbpS/pub/3aRdSog0vUtuqPE8AJKD.png</v>
      </c>
      <c r="U39" s="5" t="str">
        <f ca="1">IFERROR(__xludf.DUMMYFUNCTION("""COMPUTED_VALUE"""),"LINEA PET CSD - LINEA 10ALIMENTADOR DE TAPA PLASTICA")</f>
        <v>LINEA PET CSD - LINEA 10ALIMENTADOR DE TAPA PLASTICA</v>
      </c>
      <c r="V39" s="5"/>
      <c r="W39" s="5" t="b">
        <f ca="1">IFERROR(__xludf.DUMMYFUNCTION("""COMPUTED_VALUE"""),TRUE)</f>
        <v>1</v>
      </c>
      <c r="X39" s="5" t="str">
        <f ca="1">IFERROR(__xludf.DUMMYFUNCTION("""COMPUTED_VALUE"""),"wmazorra@postobon.com.co,aprmttoyu@postobon.com.co,aprmyu@postobon.com.co,wmora@postobon.com.co,efzapata@postobon.com.co")</f>
        <v>wmazorra@postobon.com.co,aprmttoyu@postobon.com.co,aprmyu@postobon.com.co,wmora@postobon.com.co,efzapata@postobon.com.co</v>
      </c>
      <c r="Y39" s="5" t="str">
        <f ca="1">IFERROR(__xludf.DUMMYFUNCTION("""COMPUTED_VALUE"""),"wmazorra@postobon.com.co")</f>
        <v>wmazorra@postobon.com.co</v>
      </c>
      <c r="Z39" s="5" t="str">
        <f ca="1">IFERROR(__xludf.DUMMYFUNCTION("""COMPUTED_VALUE"""),"d4mdNU3JQjKif1OihOhB3g")</f>
        <v>d4mdNU3JQjKif1OihOhB3g</v>
      </c>
      <c r="AA39" s="5"/>
      <c r="AB39" s="5"/>
      <c r="AC39" s="5"/>
      <c r="AD39" s="5">
        <f ca="1">IFERROR(__xludf.DUMMYFUNCTION("""COMPUTED_VALUE"""),10)</f>
        <v>10</v>
      </c>
      <c r="AE39" s="5">
        <f ca="1">IFERROR(__xludf.DUMMYFUNCTION("""COMPUTED_VALUE"""),10)</f>
        <v>10</v>
      </c>
      <c r="AF39" s="5" t="b">
        <f ca="1">IFERROR(__xludf.DUMMYFUNCTION("""COMPUTED_VALUE"""),FALSE)</f>
        <v>0</v>
      </c>
      <c r="AG39" s="5" t="str">
        <f ca="1">IFERROR(__xludf.DUMMYFUNCTION("""COMPUTED_VALUE"""),"INSPECCIONES REALIZADAS")</f>
        <v>INSPECCIONES REALIZADAS</v>
      </c>
      <c r="AH39" s="5"/>
    </row>
    <row r="40" spans="1:34">
      <c r="A40" s="5" t="str">
        <f ca="1">IFERROR(__xludf.DUMMYFUNCTION("""COMPUTED_VALUE"""),"LINEA PET CSD - LINEA 10")</f>
        <v>LINEA PET CSD - LINEA 10</v>
      </c>
      <c r="B40" s="5">
        <f ca="1">IFERROR(__xludf.DUMMYFUNCTION("""COMPUTED_VALUE"""),829703)</f>
        <v>829703</v>
      </c>
      <c r="C40" s="5" t="str">
        <f ca="1">IFERROR(__xludf.DUMMYFUNCTION("""COMPUTED_VALUE"""),"ALIMENTADOR DE TAPA PLASTICA")</f>
        <v>ALIMENTADOR DE TAPA PLASTICA</v>
      </c>
      <c r="D40" s="5">
        <f ca="1">IFERROR(__xludf.DUMMYFUNCTION("""COMPUTED_VALUE"""),13247585)</f>
        <v>13247585</v>
      </c>
      <c r="E40" s="5" t="str">
        <f ca="1">IFERROR(__xludf.DUMMYFUNCTION("""COMPUTED_VALUE"""),"INSPECCION SEMANAL ALIMENTADOR DE TAPA P")</f>
        <v>INSPECCION SEMANAL ALIMENTADOR DE TAPA P</v>
      </c>
      <c r="F40" s="5" t="str">
        <f ca="1">IFERROR(__xludf.DUMMYFUNCTION("""COMPUTED_VALUE"""),"REVISION CADENA DE TRANSPORTE")</f>
        <v>REVISION CADENA DE TRANSPORTE</v>
      </c>
      <c r="G40" s="5" t="b">
        <f ca="1">IFERROR(__xludf.DUMMYFUNCTION("""COMPUTED_VALUE"""),TRUE)</f>
        <v>1</v>
      </c>
      <c r="H40" s="5"/>
      <c r="I40" s="5"/>
      <c r="J40" s="5">
        <f ca="1">IFERROR(__xludf.DUMMYFUNCTION("""COMPUTED_VALUE"""),13247585)</f>
        <v>13247585</v>
      </c>
      <c r="K40" s="5"/>
      <c r="L40" s="18">
        <f ca="1">IFERROR(__xludf.DUMMYFUNCTION("""COMPUTED_VALUE"""),45324)</f>
        <v>45324</v>
      </c>
      <c r="M40" s="18">
        <f ca="1">IFERROR(__xludf.DUMMYFUNCTION("""COMPUTED_VALUE"""),45324)</f>
        <v>45324</v>
      </c>
      <c r="N40" s="5" t="str">
        <f ca="1">IFERROR(__xludf.DUMMYFUNCTION("""COMPUTED_VALUE"""),"Bolaños Camacho Luis Miguel")</f>
        <v>Bolaños Camacho Luis Miguel</v>
      </c>
      <c r="O40" s="2">
        <f ca="1">IFERROR(__xludf.DUMMYFUNCTION("""COMPUTED_VALUE"""),0.016666667)</f>
        <v>1.6666667E-2</v>
      </c>
      <c r="P40" s="5">
        <f ca="1">IFERROR(__xludf.DUMMYFUNCTION("""COMPUTED_VALUE"""),20032893)</f>
        <v>20032893</v>
      </c>
      <c r="Q40" s="5" t="str">
        <f ca="1">IFERROR(__xludf.DUMMYFUNCTION("""COMPUTED_VALUE"""),"F7oU4kjXrz8")</f>
        <v>F7oU4kjXrz8</v>
      </c>
      <c r="R40" s="5">
        <f ca="1">IFERROR(__xludf.DUMMYFUNCTION("""COMPUTED_VALUE"""),410)</f>
        <v>410</v>
      </c>
      <c r="S40" s="62">
        <f ca="1">IFERROR(__xludf.DUMMYFUNCTION("""COMPUTED_VALUE"""),0.016666667)</f>
        <v>1.6666667E-2</v>
      </c>
      <c r="T40" s="63" t="str">
        <f ca="1">IFERROR(__xludf.DUMMYFUNCTION("""COMPUTED_VALUE"""),"https://storage.googleapis.com/glide-prod.appspot.com/uploads-v2/ly7o78grxPaC6KdgvbpS/pub/3aRdSog0vUtuqPE8AJKD.png")</f>
        <v>https://storage.googleapis.com/glide-prod.appspot.com/uploads-v2/ly7o78grxPaC6KdgvbpS/pub/3aRdSog0vUtuqPE8AJKD.png</v>
      </c>
      <c r="U40" s="5" t="str">
        <f ca="1">IFERROR(__xludf.DUMMYFUNCTION("""COMPUTED_VALUE"""),"LINEA PET CSD - LINEA 10ALIMENTADOR DE TAPA PLASTICA")</f>
        <v>LINEA PET CSD - LINEA 10ALIMENTADOR DE TAPA PLASTICA</v>
      </c>
      <c r="V40" s="5"/>
      <c r="W40" s="5" t="b">
        <f ca="1">IFERROR(__xludf.DUMMYFUNCTION("""COMPUTED_VALUE"""),TRUE)</f>
        <v>1</v>
      </c>
      <c r="X40" s="5" t="str">
        <f ca="1">IFERROR(__xludf.DUMMYFUNCTION("""COMPUTED_VALUE"""),"wmazorra@postobon.com.co,aprmttoyu@postobon.com.co,aprmyu@postobon.com.co,wmora@postobon.com.co,efzapata@postobon.com.co")</f>
        <v>wmazorra@postobon.com.co,aprmttoyu@postobon.com.co,aprmyu@postobon.com.co,wmora@postobon.com.co,efzapata@postobon.com.co</v>
      </c>
      <c r="Y40" s="5" t="str">
        <f ca="1">IFERROR(__xludf.DUMMYFUNCTION("""COMPUTED_VALUE"""),"wmazorra@postobon.com.co")</f>
        <v>wmazorra@postobon.com.co</v>
      </c>
      <c r="Z40" s="5" t="str">
        <f ca="1">IFERROR(__xludf.DUMMYFUNCTION("""COMPUTED_VALUE"""),"YBqCxGIIR3K91b-aJCQQqA")</f>
        <v>YBqCxGIIR3K91b-aJCQQqA</v>
      </c>
      <c r="AA40" s="5"/>
      <c r="AB40" s="5"/>
      <c r="AC40" s="5"/>
      <c r="AD40" s="5">
        <f ca="1">IFERROR(__xludf.DUMMYFUNCTION("""COMPUTED_VALUE"""),10)</f>
        <v>10</v>
      </c>
      <c r="AE40" s="5">
        <f ca="1">IFERROR(__xludf.DUMMYFUNCTION("""COMPUTED_VALUE"""),10)</f>
        <v>10</v>
      </c>
      <c r="AF40" s="5" t="b">
        <f ca="1">IFERROR(__xludf.DUMMYFUNCTION("""COMPUTED_VALUE"""),FALSE)</f>
        <v>0</v>
      </c>
      <c r="AG40" s="5" t="str">
        <f ca="1">IFERROR(__xludf.DUMMYFUNCTION("""COMPUTED_VALUE"""),"INSPECCIONES REALIZADAS")</f>
        <v>INSPECCIONES REALIZADAS</v>
      </c>
      <c r="AH40" s="5"/>
    </row>
    <row r="41" spans="1:34">
      <c r="A41" s="5" t="str">
        <f ca="1">IFERROR(__xludf.DUMMYFUNCTION("""COMPUTED_VALUE"""),"LINEA PET CSD - LINEA 10")</f>
        <v>LINEA PET CSD - LINEA 10</v>
      </c>
      <c r="B41" s="5">
        <f ca="1">IFERROR(__xludf.DUMMYFUNCTION("""COMPUTED_VALUE"""),829703)</f>
        <v>829703</v>
      </c>
      <c r="C41" s="5" t="str">
        <f ca="1">IFERROR(__xludf.DUMMYFUNCTION("""COMPUTED_VALUE"""),"ALIMENTADOR DE TAPA PLASTICA")</f>
        <v>ALIMENTADOR DE TAPA PLASTICA</v>
      </c>
      <c r="D41" s="5">
        <f ca="1">IFERROR(__xludf.DUMMYFUNCTION("""COMPUTED_VALUE"""),13247585)</f>
        <v>13247585</v>
      </c>
      <c r="E41" s="5" t="str">
        <f ca="1">IFERROR(__xludf.DUMMYFUNCTION("""COMPUTED_VALUE"""),"INSPECCION SEMANAL ALIMENTADOR DE TAPA P")</f>
        <v>INSPECCION SEMANAL ALIMENTADOR DE TAPA P</v>
      </c>
      <c r="F41" s="5" t="str">
        <f ca="1">IFERROR(__xludf.DUMMYFUNCTION("""COMPUTED_VALUE"""),"ESTADO DE CANGILONES")</f>
        <v>ESTADO DE CANGILONES</v>
      </c>
      <c r="G41" s="5" t="b">
        <f ca="1">IFERROR(__xludf.DUMMYFUNCTION("""COMPUTED_VALUE"""),TRUE)</f>
        <v>1</v>
      </c>
      <c r="H41" s="5"/>
      <c r="I41" s="5"/>
      <c r="J41" s="5">
        <f ca="1">IFERROR(__xludf.DUMMYFUNCTION("""COMPUTED_VALUE"""),13247585)</f>
        <v>13247585</v>
      </c>
      <c r="K41" s="5"/>
      <c r="L41" s="18">
        <f ca="1">IFERROR(__xludf.DUMMYFUNCTION("""COMPUTED_VALUE"""),45324)</f>
        <v>45324</v>
      </c>
      <c r="M41" s="18">
        <f ca="1">IFERROR(__xludf.DUMMYFUNCTION("""COMPUTED_VALUE"""),45324)</f>
        <v>45324</v>
      </c>
      <c r="N41" s="5" t="str">
        <f ca="1">IFERROR(__xludf.DUMMYFUNCTION("""COMPUTED_VALUE"""),"Bolaños Camacho Luis Miguel")</f>
        <v>Bolaños Camacho Luis Miguel</v>
      </c>
      <c r="O41" s="2">
        <f ca="1">IFERROR(__xludf.DUMMYFUNCTION("""COMPUTED_VALUE"""),0.016666667)</f>
        <v>1.6666667E-2</v>
      </c>
      <c r="P41" s="5">
        <f ca="1">IFERROR(__xludf.DUMMYFUNCTION("""COMPUTED_VALUE"""),20032893)</f>
        <v>20032893</v>
      </c>
      <c r="Q41" s="5" t="str">
        <f ca="1">IFERROR(__xludf.DUMMYFUNCTION("""COMPUTED_VALUE"""),"GQJAK1YEn2k")</f>
        <v>GQJAK1YEn2k</v>
      </c>
      <c r="R41" s="5">
        <f ca="1">IFERROR(__xludf.DUMMYFUNCTION("""COMPUTED_VALUE"""),410)</f>
        <v>410</v>
      </c>
      <c r="S41" s="62">
        <f ca="1">IFERROR(__xludf.DUMMYFUNCTION("""COMPUTED_VALUE"""),0.016666667)</f>
        <v>1.6666667E-2</v>
      </c>
      <c r="T41" s="63" t="str">
        <f ca="1">IFERROR(__xludf.DUMMYFUNCTION("""COMPUTED_VALUE"""),"https://storage.googleapis.com/glide-prod.appspot.com/uploads-v2/ly7o78grxPaC6KdgvbpS/pub/3aRdSog0vUtuqPE8AJKD.png")</f>
        <v>https://storage.googleapis.com/glide-prod.appspot.com/uploads-v2/ly7o78grxPaC6KdgvbpS/pub/3aRdSog0vUtuqPE8AJKD.png</v>
      </c>
      <c r="U41" s="5" t="str">
        <f ca="1">IFERROR(__xludf.DUMMYFUNCTION("""COMPUTED_VALUE"""),"LINEA PET CSD - LINEA 10ALIMENTADOR DE TAPA PLASTICA")</f>
        <v>LINEA PET CSD - LINEA 10ALIMENTADOR DE TAPA PLASTICA</v>
      </c>
      <c r="V41" s="5"/>
      <c r="W41" s="5" t="b">
        <f ca="1">IFERROR(__xludf.DUMMYFUNCTION("""COMPUTED_VALUE"""),TRUE)</f>
        <v>1</v>
      </c>
      <c r="X41" s="5" t="str">
        <f ca="1">IFERROR(__xludf.DUMMYFUNCTION("""COMPUTED_VALUE"""),"wmazorra@postobon.com.co,aprmttoyu@postobon.com.co,aprmyu@postobon.com.co,wmora@postobon.com.co,efzapata@postobon.com.co")</f>
        <v>wmazorra@postobon.com.co,aprmttoyu@postobon.com.co,aprmyu@postobon.com.co,wmora@postobon.com.co,efzapata@postobon.com.co</v>
      </c>
      <c r="Y41" s="5" t="str">
        <f ca="1">IFERROR(__xludf.DUMMYFUNCTION("""COMPUTED_VALUE"""),"wmazorra@postobon.com.co")</f>
        <v>wmazorra@postobon.com.co</v>
      </c>
      <c r="Z41" s="5" t="str">
        <f ca="1">IFERROR(__xludf.DUMMYFUNCTION("""COMPUTED_VALUE"""),"dThDitbjQ-WTsGW9Avfkdg")</f>
        <v>dThDitbjQ-WTsGW9Avfkdg</v>
      </c>
      <c r="AA41" s="5"/>
      <c r="AB41" s="5"/>
      <c r="AC41" s="5"/>
      <c r="AD41" s="5">
        <f ca="1">IFERROR(__xludf.DUMMYFUNCTION("""COMPUTED_VALUE"""),10)</f>
        <v>10</v>
      </c>
      <c r="AE41" s="5">
        <f ca="1">IFERROR(__xludf.DUMMYFUNCTION("""COMPUTED_VALUE"""),10)</f>
        <v>10</v>
      </c>
      <c r="AF41" s="5" t="b">
        <f ca="1">IFERROR(__xludf.DUMMYFUNCTION("""COMPUTED_VALUE"""),FALSE)</f>
        <v>0</v>
      </c>
      <c r="AG41" s="5" t="str">
        <f ca="1">IFERROR(__xludf.DUMMYFUNCTION("""COMPUTED_VALUE"""),"INSPECCIONES REALIZADAS")</f>
        <v>INSPECCIONES REALIZADAS</v>
      </c>
      <c r="AH41" s="5"/>
    </row>
    <row r="42" spans="1:34">
      <c r="A42" s="5" t="str">
        <f ca="1">IFERROR(__xludf.DUMMYFUNCTION("""COMPUTED_VALUE"""),"LINEA PET CSD - LINEA 10")</f>
        <v>LINEA PET CSD - LINEA 10</v>
      </c>
      <c r="B42" s="5">
        <f ca="1">IFERROR(__xludf.DUMMYFUNCTION("""COMPUTED_VALUE"""),829703)</f>
        <v>829703</v>
      </c>
      <c r="C42" s="5" t="str">
        <f ca="1">IFERROR(__xludf.DUMMYFUNCTION("""COMPUTED_VALUE"""),"ALIMENTADOR DE TAPA PLASTICA")</f>
        <v>ALIMENTADOR DE TAPA PLASTICA</v>
      </c>
      <c r="D42" s="5">
        <f ca="1">IFERROR(__xludf.DUMMYFUNCTION("""COMPUTED_VALUE"""),13247585)</f>
        <v>13247585</v>
      </c>
      <c r="E42" s="5" t="str">
        <f ca="1">IFERROR(__xludf.DUMMYFUNCTION("""COMPUTED_VALUE"""),"INSPECCION SEMANAL ALIMENTADOR DE TAPA P")</f>
        <v>INSPECCION SEMANAL ALIMENTADOR DE TAPA P</v>
      </c>
      <c r="F42" s="5" t="str">
        <f ca="1">IFERROR(__xludf.DUMMYFUNCTION("""COMPUTED_VALUE"""),"ESTADO SENSORES")</f>
        <v>ESTADO SENSORES</v>
      </c>
      <c r="G42" s="5" t="b">
        <f ca="1">IFERROR(__xludf.DUMMYFUNCTION("""COMPUTED_VALUE"""),TRUE)</f>
        <v>1</v>
      </c>
      <c r="H42" s="5"/>
      <c r="I42" s="5"/>
      <c r="J42" s="5">
        <f ca="1">IFERROR(__xludf.DUMMYFUNCTION("""COMPUTED_VALUE"""),13247585)</f>
        <v>13247585</v>
      </c>
      <c r="K42" s="5"/>
      <c r="L42" s="18">
        <f ca="1">IFERROR(__xludf.DUMMYFUNCTION("""COMPUTED_VALUE"""),45324)</f>
        <v>45324</v>
      </c>
      <c r="M42" s="18">
        <f ca="1">IFERROR(__xludf.DUMMYFUNCTION("""COMPUTED_VALUE"""),45324)</f>
        <v>45324</v>
      </c>
      <c r="N42" s="5" t="str">
        <f ca="1">IFERROR(__xludf.DUMMYFUNCTION("""COMPUTED_VALUE"""),"Bolaños Camacho Luis Miguel")</f>
        <v>Bolaños Camacho Luis Miguel</v>
      </c>
      <c r="O42" s="2">
        <f ca="1">IFERROR(__xludf.DUMMYFUNCTION("""COMPUTED_VALUE"""),0.016666667)</f>
        <v>1.6666667E-2</v>
      </c>
      <c r="P42" s="5">
        <f ca="1">IFERROR(__xludf.DUMMYFUNCTION("""COMPUTED_VALUE"""),20032893)</f>
        <v>20032893</v>
      </c>
      <c r="Q42" s="5" t="str">
        <f ca="1">IFERROR(__xludf.DUMMYFUNCTION("""COMPUTED_VALUE"""),"5XPoziqZJ7M")</f>
        <v>5XPoziqZJ7M</v>
      </c>
      <c r="R42" s="5">
        <f ca="1">IFERROR(__xludf.DUMMYFUNCTION("""COMPUTED_VALUE"""),410)</f>
        <v>410</v>
      </c>
      <c r="S42" s="62">
        <f ca="1">IFERROR(__xludf.DUMMYFUNCTION("""COMPUTED_VALUE"""),0.016666667)</f>
        <v>1.6666667E-2</v>
      </c>
      <c r="T42" s="63" t="str">
        <f ca="1">IFERROR(__xludf.DUMMYFUNCTION("""COMPUTED_VALUE"""),"https://storage.googleapis.com/glide-prod.appspot.com/uploads-v2/ly7o78grxPaC6KdgvbpS/pub/3aRdSog0vUtuqPE8AJKD.png")</f>
        <v>https://storage.googleapis.com/glide-prod.appspot.com/uploads-v2/ly7o78grxPaC6KdgvbpS/pub/3aRdSog0vUtuqPE8AJKD.png</v>
      </c>
      <c r="U42" s="5" t="str">
        <f ca="1">IFERROR(__xludf.DUMMYFUNCTION("""COMPUTED_VALUE"""),"LINEA PET CSD - LINEA 10ALIMENTADOR DE TAPA PLASTICA")</f>
        <v>LINEA PET CSD - LINEA 10ALIMENTADOR DE TAPA PLASTICA</v>
      </c>
      <c r="V42" s="5"/>
      <c r="W42" s="5" t="b">
        <f ca="1">IFERROR(__xludf.DUMMYFUNCTION("""COMPUTED_VALUE"""),TRUE)</f>
        <v>1</v>
      </c>
      <c r="X42" s="5" t="str">
        <f ca="1">IFERROR(__xludf.DUMMYFUNCTION("""COMPUTED_VALUE"""),"wmazorra@postobon.com.co,aprmttoyu@postobon.com.co,aprmyu@postobon.com.co,wmora@postobon.com.co,efzapata@postobon.com.co")</f>
        <v>wmazorra@postobon.com.co,aprmttoyu@postobon.com.co,aprmyu@postobon.com.co,wmora@postobon.com.co,efzapata@postobon.com.co</v>
      </c>
      <c r="Y42" s="5" t="str">
        <f ca="1">IFERROR(__xludf.DUMMYFUNCTION("""COMPUTED_VALUE"""),"wmazorra@postobon.com.co")</f>
        <v>wmazorra@postobon.com.co</v>
      </c>
      <c r="Z42" s="5" t="str">
        <f ca="1">IFERROR(__xludf.DUMMYFUNCTION("""COMPUTED_VALUE"""),"BTL9HT1jQVe3onZfhhpTLw")</f>
        <v>BTL9HT1jQVe3onZfhhpTLw</v>
      </c>
      <c r="AA42" s="5"/>
      <c r="AB42" s="5"/>
      <c r="AC42" s="5"/>
      <c r="AD42" s="5">
        <f ca="1">IFERROR(__xludf.DUMMYFUNCTION("""COMPUTED_VALUE"""),10)</f>
        <v>10</v>
      </c>
      <c r="AE42" s="5">
        <f ca="1">IFERROR(__xludf.DUMMYFUNCTION("""COMPUTED_VALUE"""),10)</f>
        <v>10</v>
      </c>
      <c r="AF42" s="5" t="b">
        <f ca="1">IFERROR(__xludf.DUMMYFUNCTION("""COMPUTED_VALUE"""),FALSE)</f>
        <v>0</v>
      </c>
      <c r="AG42" s="5" t="str">
        <f ca="1">IFERROR(__xludf.DUMMYFUNCTION("""COMPUTED_VALUE"""),"INSPECCIONES REALIZADAS")</f>
        <v>INSPECCIONES REALIZADAS</v>
      </c>
      <c r="AH42" s="5"/>
    </row>
    <row r="43" spans="1:34">
      <c r="A43" s="5" t="str">
        <f ca="1">IFERROR(__xludf.DUMMYFUNCTION("""COMPUTED_VALUE"""),"LINEA PET CSD - LINEA 10")</f>
        <v>LINEA PET CSD - LINEA 10</v>
      </c>
      <c r="B43" s="5">
        <f ca="1">IFERROR(__xludf.DUMMYFUNCTION("""COMPUTED_VALUE"""),829703)</f>
        <v>829703</v>
      </c>
      <c r="C43" s="5" t="str">
        <f ca="1">IFERROR(__xludf.DUMMYFUNCTION("""COMPUTED_VALUE"""),"ALIMENTADOR DE TAPA PLASTICA")</f>
        <v>ALIMENTADOR DE TAPA PLASTICA</v>
      </c>
      <c r="D43" s="5">
        <f ca="1">IFERROR(__xludf.DUMMYFUNCTION("""COMPUTED_VALUE"""),13247585)</f>
        <v>13247585</v>
      </c>
      <c r="E43" s="5" t="str">
        <f ca="1">IFERROR(__xludf.DUMMYFUNCTION("""COMPUTED_VALUE"""),"INSPECCION SEMANAL ALIMENTADOR DE TAPA P")</f>
        <v>INSPECCION SEMANAL ALIMENTADOR DE TAPA P</v>
      </c>
      <c r="F43" s="5" t="str">
        <f ca="1">IFERROR(__xludf.DUMMYFUNCTION("""COMPUTED_VALUE"""),"FUNCIONAMIENTO INSPECCION TAPA")</f>
        <v>FUNCIONAMIENTO INSPECCION TAPA</v>
      </c>
      <c r="G43" s="5" t="b">
        <f ca="1">IFERROR(__xludf.DUMMYFUNCTION("""COMPUTED_VALUE"""),TRUE)</f>
        <v>1</v>
      </c>
      <c r="H43" s="5"/>
      <c r="I43" s="5"/>
      <c r="J43" s="5">
        <f ca="1">IFERROR(__xludf.DUMMYFUNCTION("""COMPUTED_VALUE"""),13247585)</f>
        <v>13247585</v>
      </c>
      <c r="K43" s="5"/>
      <c r="L43" s="18">
        <f ca="1">IFERROR(__xludf.DUMMYFUNCTION("""COMPUTED_VALUE"""),45324)</f>
        <v>45324</v>
      </c>
      <c r="M43" s="18">
        <f ca="1">IFERROR(__xludf.DUMMYFUNCTION("""COMPUTED_VALUE"""),45324)</f>
        <v>45324</v>
      </c>
      <c r="N43" s="5" t="str">
        <f ca="1">IFERROR(__xludf.DUMMYFUNCTION("""COMPUTED_VALUE"""),"Bolaños Camacho Luis Miguel")</f>
        <v>Bolaños Camacho Luis Miguel</v>
      </c>
      <c r="O43" s="2">
        <f ca="1">IFERROR(__xludf.DUMMYFUNCTION("""COMPUTED_VALUE"""),0.016666667)</f>
        <v>1.6666667E-2</v>
      </c>
      <c r="P43" s="5">
        <f ca="1">IFERROR(__xludf.DUMMYFUNCTION("""COMPUTED_VALUE"""),20032893)</f>
        <v>20032893</v>
      </c>
      <c r="Q43" s="5" t="str">
        <f ca="1">IFERROR(__xludf.DUMMYFUNCTION("""COMPUTED_VALUE"""),"8hEJqT5AKHI")</f>
        <v>8hEJqT5AKHI</v>
      </c>
      <c r="R43" s="5">
        <f ca="1">IFERROR(__xludf.DUMMYFUNCTION("""COMPUTED_VALUE"""),410)</f>
        <v>410</v>
      </c>
      <c r="S43" s="62">
        <f ca="1">IFERROR(__xludf.DUMMYFUNCTION("""COMPUTED_VALUE"""),0.016666667)</f>
        <v>1.6666667E-2</v>
      </c>
      <c r="T43" s="63" t="str">
        <f ca="1">IFERROR(__xludf.DUMMYFUNCTION("""COMPUTED_VALUE"""),"https://storage.googleapis.com/glide-prod.appspot.com/uploads-v2/ly7o78grxPaC6KdgvbpS/pub/3aRdSog0vUtuqPE8AJKD.png")</f>
        <v>https://storage.googleapis.com/glide-prod.appspot.com/uploads-v2/ly7o78grxPaC6KdgvbpS/pub/3aRdSog0vUtuqPE8AJKD.png</v>
      </c>
      <c r="U43" s="5" t="str">
        <f ca="1">IFERROR(__xludf.DUMMYFUNCTION("""COMPUTED_VALUE"""),"LINEA PET CSD - LINEA 10ALIMENTADOR DE TAPA PLASTICA")</f>
        <v>LINEA PET CSD - LINEA 10ALIMENTADOR DE TAPA PLASTICA</v>
      </c>
      <c r="V43" s="5"/>
      <c r="W43" s="5" t="b">
        <f ca="1">IFERROR(__xludf.DUMMYFUNCTION("""COMPUTED_VALUE"""),TRUE)</f>
        <v>1</v>
      </c>
      <c r="X43" s="5" t="str">
        <f ca="1">IFERROR(__xludf.DUMMYFUNCTION("""COMPUTED_VALUE"""),"wmazorra@postobon.com.co,aprmttoyu@postobon.com.co,aprmyu@postobon.com.co,wmora@postobon.com.co,efzapata@postobon.com.co")</f>
        <v>wmazorra@postobon.com.co,aprmttoyu@postobon.com.co,aprmyu@postobon.com.co,wmora@postobon.com.co,efzapata@postobon.com.co</v>
      </c>
      <c r="Y43" s="5" t="str">
        <f ca="1">IFERROR(__xludf.DUMMYFUNCTION("""COMPUTED_VALUE"""),"wmazorra@postobon.com.co")</f>
        <v>wmazorra@postobon.com.co</v>
      </c>
      <c r="Z43" s="5" t="str">
        <f ca="1">IFERROR(__xludf.DUMMYFUNCTION("""COMPUTED_VALUE"""),"QddXp2BYTjm1tbPjl2Vbzw")</f>
        <v>QddXp2BYTjm1tbPjl2Vbzw</v>
      </c>
      <c r="AA43" s="5"/>
      <c r="AB43" s="5"/>
      <c r="AC43" s="5"/>
      <c r="AD43" s="5">
        <f ca="1">IFERROR(__xludf.DUMMYFUNCTION("""COMPUTED_VALUE"""),10)</f>
        <v>10</v>
      </c>
      <c r="AE43" s="5">
        <f ca="1">IFERROR(__xludf.DUMMYFUNCTION("""COMPUTED_VALUE"""),10)</f>
        <v>10</v>
      </c>
      <c r="AF43" s="5" t="b">
        <f ca="1">IFERROR(__xludf.DUMMYFUNCTION("""COMPUTED_VALUE"""),FALSE)</f>
        <v>0</v>
      </c>
      <c r="AG43" s="5" t="str">
        <f ca="1">IFERROR(__xludf.DUMMYFUNCTION("""COMPUTED_VALUE"""),"INSPECCIONES REALIZADAS")</f>
        <v>INSPECCIONES REALIZADAS</v>
      </c>
      <c r="AH43" s="5" t="str">
        <f ca="1">IFERROR(__xludf.DUMMYFUNCTION("""COMPUTED_VALUE"""),"EN TRAMITE")</f>
        <v>EN TRAMITE</v>
      </c>
    </row>
    <row r="44" spans="1:34">
      <c r="A44" s="5" t="str">
        <f ca="1">IFERROR(__xludf.DUMMYFUNCTION("""COMPUTED_VALUE"""),"LINEA PET CSD - LINEA 10")</f>
        <v>LINEA PET CSD - LINEA 10</v>
      </c>
      <c r="B44" s="5">
        <f ca="1">IFERROR(__xludf.DUMMYFUNCTION("""COMPUTED_VALUE"""),829703)</f>
        <v>829703</v>
      </c>
      <c r="C44" s="5" t="str">
        <f ca="1">IFERROR(__xludf.DUMMYFUNCTION("""COMPUTED_VALUE"""),"ALIMENTADOR DE TAPA PLASTICA")</f>
        <v>ALIMENTADOR DE TAPA PLASTICA</v>
      </c>
      <c r="D44" s="5">
        <f ca="1">IFERROR(__xludf.DUMMYFUNCTION("""COMPUTED_VALUE"""),13247585)</f>
        <v>13247585</v>
      </c>
      <c r="E44" s="5" t="str">
        <f ca="1">IFERROR(__xludf.DUMMYFUNCTION("""COMPUTED_VALUE"""),"INSPECCION SEMANAL ALIMENTADOR DE TAPA P")</f>
        <v>INSPECCION SEMANAL ALIMENTADOR DE TAPA P</v>
      </c>
      <c r="F44" s="5" t="str">
        <f ca="1">IFERROR(__xludf.DUMMYFUNCTION("""COMPUTED_VALUE"""),"ESTADO ACRILICOS Y PUERTAS")</f>
        <v>ESTADO ACRILICOS Y PUERTAS</v>
      </c>
      <c r="G44" s="5" t="b">
        <f ca="1">IFERROR(__xludf.DUMMYFUNCTION("""COMPUTED_VALUE"""),TRUE)</f>
        <v>1</v>
      </c>
      <c r="H44" s="5"/>
      <c r="I44" s="5"/>
      <c r="J44" s="5">
        <f ca="1">IFERROR(__xludf.DUMMYFUNCTION("""COMPUTED_VALUE"""),13247585)</f>
        <v>13247585</v>
      </c>
      <c r="K44" s="5"/>
      <c r="L44" s="18">
        <f ca="1">IFERROR(__xludf.DUMMYFUNCTION("""COMPUTED_VALUE"""),45324)</f>
        <v>45324</v>
      </c>
      <c r="M44" s="18">
        <f ca="1">IFERROR(__xludf.DUMMYFUNCTION("""COMPUTED_VALUE"""),45324)</f>
        <v>45324</v>
      </c>
      <c r="N44" s="5" t="str">
        <f ca="1">IFERROR(__xludf.DUMMYFUNCTION("""COMPUTED_VALUE"""),"Bolaños Camacho Luis Miguel")</f>
        <v>Bolaños Camacho Luis Miguel</v>
      </c>
      <c r="O44" s="2">
        <f ca="1">IFERROR(__xludf.DUMMYFUNCTION("""COMPUTED_VALUE"""),0.016666667)</f>
        <v>1.6666667E-2</v>
      </c>
      <c r="P44" s="5">
        <f ca="1">IFERROR(__xludf.DUMMYFUNCTION("""COMPUTED_VALUE"""),20032893)</f>
        <v>20032893</v>
      </c>
      <c r="Q44" s="5" t="str">
        <f ca="1">IFERROR(__xludf.DUMMYFUNCTION("""COMPUTED_VALUE"""),"2L8IqszXaNg")</f>
        <v>2L8IqszXaNg</v>
      </c>
      <c r="R44" s="5">
        <f ca="1">IFERROR(__xludf.DUMMYFUNCTION("""COMPUTED_VALUE"""),410)</f>
        <v>410</v>
      </c>
      <c r="S44" s="62">
        <f ca="1">IFERROR(__xludf.DUMMYFUNCTION("""COMPUTED_VALUE"""),0.016666667)</f>
        <v>1.6666667E-2</v>
      </c>
      <c r="T44" s="63" t="str">
        <f ca="1">IFERROR(__xludf.DUMMYFUNCTION("""COMPUTED_VALUE"""),"https://storage.googleapis.com/glide-prod.appspot.com/uploads-v2/ly7o78grxPaC6KdgvbpS/pub/3aRdSog0vUtuqPE8AJKD.png")</f>
        <v>https://storage.googleapis.com/glide-prod.appspot.com/uploads-v2/ly7o78grxPaC6KdgvbpS/pub/3aRdSog0vUtuqPE8AJKD.png</v>
      </c>
      <c r="U44" s="5" t="str">
        <f ca="1">IFERROR(__xludf.DUMMYFUNCTION("""COMPUTED_VALUE"""),"LINEA PET CSD - LINEA 10ALIMENTADOR DE TAPA PLASTICA")</f>
        <v>LINEA PET CSD - LINEA 10ALIMENTADOR DE TAPA PLASTICA</v>
      </c>
      <c r="V44" s="5"/>
      <c r="W44" s="5" t="b">
        <f ca="1">IFERROR(__xludf.DUMMYFUNCTION("""COMPUTED_VALUE"""),TRUE)</f>
        <v>1</v>
      </c>
      <c r="X44" s="5" t="str">
        <f ca="1">IFERROR(__xludf.DUMMYFUNCTION("""COMPUTED_VALUE"""),"wmazorra@postobon.com.co,aprmttoyu@postobon.com.co,aprmyu@postobon.com.co,wmora@postobon.com.co,efzapata@postobon.com.co")</f>
        <v>wmazorra@postobon.com.co,aprmttoyu@postobon.com.co,aprmyu@postobon.com.co,wmora@postobon.com.co,efzapata@postobon.com.co</v>
      </c>
      <c r="Y44" s="5" t="str">
        <f ca="1">IFERROR(__xludf.DUMMYFUNCTION("""COMPUTED_VALUE"""),"wmazorra@postobon.com.co")</f>
        <v>wmazorra@postobon.com.co</v>
      </c>
      <c r="Z44" s="5" t="str">
        <f ca="1">IFERROR(__xludf.DUMMYFUNCTION("""COMPUTED_VALUE"""),"8cCTZnFQT2WM2egp6acvAw")</f>
        <v>8cCTZnFQT2WM2egp6acvAw</v>
      </c>
      <c r="AA44" s="5"/>
      <c r="AB44" s="5"/>
      <c r="AC44" s="5"/>
      <c r="AD44" s="5">
        <f ca="1">IFERROR(__xludf.DUMMYFUNCTION("""COMPUTED_VALUE"""),10)</f>
        <v>10</v>
      </c>
      <c r="AE44" s="5">
        <f ca="1">IFERROR(__xludf.DUMMYFUNCTION("""COMPUTED_VALUE"""),10)</f>
        <v>10</v>
      </c>
      <c r="AF44" s="5" t="b">
        <f ca="1">IFERROR(__xludf.DUMMYFUNCTION("""COMPUTED_VALUE"""),FALSE)</f>
        <v>0</v>
      </c>
      <c r="AG44" s="5" t="str">
        <f ca="1">IFERROR(__xludf.DUMMYFUNCTION("""COMPUTED_VALUE"""),"INSPECCIONES REALIZADAS")</f>
        <v>INSPECCIONES REALIZADAS</v>
      </c>
      <c r="AH44" s="5"/>
    </row>
    <row r="45" spans="1:34">
      <c r="A45" s="5" t="str">
        <f ca="1">IFERROR(__xludf.DUMMYFUNCTION("""COMPUTED_VALUE"""),"LINEA DE ENVASADO PET NO RETORNABLE")</f>
        <v>LINEA DE ENVASADO PET NO RETORNABLE</v>
      </c>
      <c r="B45" s="5">
        <f ca="1">IFERROR(__xludf.DUMMYFUNCTION("""COMPUTED_VALUE"""),900231)</f>
        <v>900231</v>
      </c>
      <c r="C45" s="5" t="str">
        <f ca="1">IFERROR(__xludf.DUMMYFUNCTION("""COMPUTED_VALUE"""),"ALMACEN DE PALETS")</f>
        <v>ALMACEN DE PALETS</v>
      </c>
      <c r="D45" s="5">
        <f ca="1">IFERROR(__xludf.DUMMYFUNCTION("""COMPUTED_VALUE"""),13247812)</f>
        <v>13247812</v>
      </c>
      <c r="E45" s="5" t="str">
        <f ca="1">IFERROR(__xludf.DUMMYFUNCTION("""COMPUTED_VALUE"""),"INSPECCION SEMANAL ALMACEN DE PALETS")</f>
        <v>INSPECCION SEMANAL ALMACEN DE PALETS</v>
      </c>
      <c r="F45" s="5" t="str">
        <f ca="1">IFERROR(__xludf.DUMMYFUNCTION("""COMPUTED_VALUE"""),"INSP FUNC MOTORES")</f>
        <v>INSP FUNC MOTORES</v>
      </c>
      <c r="G45" s="5" t="b">
        <f ca="1">IFERROR(__xludf.DUMMYFUNCTION("""COMPUTED_VALUE"""),TRUE)</f>
        <v>1</v>
      </c>
      <c r="H45" s="5"/>
      <c r="I45" s="5"/>
      <c r="J45" s="5">
        <f ca="1">IFERROR(__xludf.DUMMYFUNCTION("""COMPUTED_VALUE"""),13247812)</f>
        <v>13247812</v>
      </c>
      <c r="K45" s="5"/>
      <c r="L45" s="18">
        <f ca="1">IFERROR(__xludf.DUMMYFUNCTION("""COMPUTED_VALUE"""),45325)</f>
        <v>45325</v>
      </c>
      <c r="M45" s="18">
        <f ca="1">IFERROR(__xludf.DUMMYFUNCTION("""COMPUTED_VALUE"""),45325)</f>
        <v>45325</v>
      </c>
      <c r="N45" s="5" t="str">
        <f ca="1">IFERROR(__xludf.DUMMYFUNCTION("""COMPUTED_VALUE"""),"Héctor Toro")</f>
        <v>Héctor Toro</v>
      </c>
      <c r="O45" s="2">
        <f ca="1">IFERROR(__xludf.DUMMYFUNCTION("""COMPUTED_VALUE"""),0.009090909)</f>
        <v>9.0909089999999994E-3</v>
      </c>
      <c r="P45" s="5">
        <f ca="1">IFERROR(__xludf.DUMMYFUNCTION("""COMPUTED_VALUE"""),20062740)</f>
        <v>20062740</v>
      </c>
      <c r="Q45" s="5" t="str">
        <f ca="1">IFERROR(__xludf.DUMMYFUNCTION("""COMPUTED_VALUE"""),"5aq98Oi6Io0")</f>
        <v>5aq98Oi6Io0</v>
      </c>
      <c r="R45" s="5">
        <f ca="1">IFERROR(__xludf.DUMMYFUNCTION("""COMPUTED_VALUE"""),410)</f>
        <v>410</v>
      </c>
      <c r="S45" s="62">
        <f ca="1">IFERROR(__xludf.DUMMYFUNCTION("""COMPUTED_VALUE"""),0.009090909)</f>
        <v>9.0909089999999994E-3</v>
      </c>
      <c r="T45" s="63" t="str">
        <f ca="1">IFERROR(__xludf.DUMMYFUNCTION("""COMPUTED_VALUE"""),"https://storage.googleapis.com/glide-prod.appspot.com/uploads-v2/ly7o78grxPaC6KdgvbpS/pub/3aRdSog0vUtuqPE8AJKD.png")</f>
        <v>https://storage.googleapis.com/glide-prod.appspot.com/uploads-v2/ly7o78grxPaC6KdgvbpS/pub/3aRdSog0vUtuqPE8AJKD.png</v>
      </c>
      <c r="U45" s="5" t="str">
        <f ca="1">IFERROR(__xludf.DUMMYFUNCTION("""COMPUTED_VALUE"""),"LINEA DE ENVASADO PET NO RETORNABLEALMACEN DE PALETS")</f>
        <v>LINEA DE ENVASADO PET NO RETORNABLEALMACEN DE PALETS</v>
      </c>
      <c r="V45" s="5"/>
      <c r="W45" s="5" t="b">
        <f ca="1">IFERROR(__xludf.DUMMYFUNCTION("""COMPUTED_VALUE"""),TRUE)</f>
        <v>1</v>
      </c>
      <c r="X45" s="5" t="str">
        <f ca="1">IFERROR(__xludf.DUMMYFUNCTION("""COMPUTED_VALUE"""),"wguerra@postobon.com.co,aprmttoyu@postobon.com.co,aprmyu@postobon.com.co,wmora@postobon.com.co,efzapata@postobon.com.co")</f>
        <v>wguerra@postobon.com.co,aprmttoyu@postobon.com.co,aprmyu@postobon.com.co,wmora@postobon.com.co,efzapata@postobon.com.co</v>
      </c>
      <c r="Y45" s="5" t="str">
        <f ca="1">IFERROR(__xludf.DUMMYFUNCTION("""COMPUTED_VALUE"""),"wguerra@postobon.com.co")</f>
        <v>wguerra@postobon.com.co</v>
      </c>
      <c r="Z45" s="5" t="str">
        <f ca="1">IFERROR(__xludf.DUMMYFUNCTION("""COMPUTED_VALUE"""),"zdw9BpEjQ2Ca-Rw2oNhFqw")</f>
        <v>zdw9BpEjQ2Ca-Rw2oNhFqw</v>
      </c>
      <c r="AA45" s="5"/>
      <c r="AB45" s="5"/>
      <c r="AC45" s="5"/>
      <c r="AD45" s="5">
        <f ca="1">IFERROR(__xludf.DUMMYFUNCTION("""COMPUTED_VALUE"""),12)</f>
        <v>12</v>
      </c>
      <c r="AE45" s="5">
        <f ca="1">IFERROR(__xludf.DUMMYFUNCTION("""COMPUTED_VALUE"""),12)</f>
        <v>12</v>
      </c>
      <c r="AF45" s="5" t="b">
        <f ca="1">IFERROR(__xludf.DUMMYFUNCTION("""COMPUTED_VALUE"""),FALSE)</f>
        <v>0</v>
      </c>
      <c r="AG45" s="5" t="str">
        <f ca="1">IFERROR(__xludf.DUMMYFUNCTION("""COMPUTED_VALUE"""),"INSPECCIONES REALIZADAS")</f>
        <v>INSPECCIONES REALIZADAS</v>
      </c>
      <c r="AH45" s="5"/>
    </row>
    <row r="46" spans="1:34">
      <c r="A46" s="5" t="str">
        <f ca="1">IFERROR(__xludf.DUMMYFUNCTION("""COMPUTED_VALUE"""),"LINEA DE ENVASADO PET NO RETORNABLE")</f>
        <v>LINEA DE ENVASADO PET NO RETORNABLE</v>
      </c>
      <c r="B46" s="5">
        <f ca="1">IFERROR(__xludf.DUMMYFUNCTION("""COMPUTED_VALUE"""),900231)</f>
        <v>900231</v>
      </c>
      <c r="C46" s="5" t="str">
        <f ca="1">IFERROR(__xludf.DUMMYFUNCTION("""COMPUTED_VALUE"""),"ALMACEN DE PALETS")</f>
        <v>ALMACEN DE PALETS</v>
      </c>
      <c r="D46" s="5">
        <f ca="1">IFERROR(__xludf.DUMMYFUNCTION("""COMPUTED_VALUE"""),13247812)</f>
        <v>13247812</v>
      </c>
      <c r="E46" s="5" t="str">
        <f ca="1">IFERROR(__xludf.DUMMYFUNCTION("""COMPUTED_VALUE"""),"INSPECCION SEMANAL ALMACEN DE PALETS")</f>
        <v>INSPECCION SEMANAL ALMACEN DE PALETS</v>
      </c>
      <c r="F46" s="5" t="str">
        <f ca="1">IFERROR(__xludf.DUMMYFUNCTION("""COMPUTED_VALUE"""),"ESTADO TENSION CADENAS ELEVACION")</f>
        <v>ESTADO TENSION CADENAS ELEVACION</v>
      </c>
      <c r="G46" s="5" t="b">
        <f ca="1">IFERROR(__xludf.DUMMYFUNCTION("""COMPUTED_VALUE"""),TRUE)</f>
        <v>1</v>
      </c>
      <c r="H46" s="5"/>
      <c r="I46" s="5"/>
      <c r="J46" s="5">
        <f ca="1">IFERROR(__xludf.DUMMYFUNCTION("""COMPUTED_VALUE"""),13247812)</f>
        <v>13247812</v>
      </c>
      <c r="K46" s="5"/>
      <c r="L46" s="18">
        <f ca="1">IFERROR(__xludf.DUMMYFUNCTION("""COMPUTED_VALUE"""),45325)</f>
        <v>45325</v>
      </c>
      <c r="M46" s="18">
        <f ca="1">IFERROR(__xludf.DUMMYFUNCTION("""COMPUTED_VALUE"""),45325)</f>
        <v>45325</v>
      </c>
      <c r="N46" s="5" t="str">
        <f ca="1">IFERROR(__xludf.DUMMYFUNCTION("""COMPUTED_VALUE"""),"Héctor Toro")</f>
        <v>Héctor Toro</v>
      </c>
      <c r="O46" s="2">
        <f ca="1">IFERROR(__xludf.DUMMYFUNCTION("""COMPUTED_VALUE"""),0.009090909)</f>
        <v>9.0909089999999994E-3</v>
      </c>
      <c r="P46" s="5">
        <f ca="1">IFERROR(__xludf.DUMMYFUNCTION("""COMPUTED_VALUE"""),20062740)</f>
        <v>20062740</v>
      </c>
      <c r="Q46" s="5" t="str">
        <f ca="1">IFERROR(__xludf.DUMMYFUNCTION("""COMPUTED_VALUE"""),"rLHLP3BSUyo")</f>
        <v>rLHLP3BSUyo</v>
      </c>
      <c r="R46" s="5">
        <f ca="1">IFERROR(__xludf.DUMMYFUNCTION("""COMPUTED_VALUE"""),410)</f>
        <v>410</v>
      </c>
      <c r="S46" s="62">
        <f ca="1">IFERROR(__xludf.DUMMYFUNCTION("""COMPUTED_VALUE"""),0.009090909)</f>
        <v>9.0909089999999994E-3</v>
      </c>
      <c r="T46" s="63" t="str">
        <f ca="1">IFERROR(__xludf.DUMMYFUNCTION("""COMPUTED_VALUE"""),"https://storage.googleapis.com/glide-prod.appspot.com/uploads-v2/ly7o78grxPaC6KdgvbpS/pub/3aRdSog0vUtuqPE8AJKD.png")</f>
        <v>https://storage.googleapis.com/glide-prod.appspot.com/uploads-v2/ly7o78grxPaC6KdgvbpS/pub/3aRdSog0vUtuqPE8AJKD.png</v>
      </c>
      <c r="U46" s="5" t="str">
        <f ca="1">IFERROR(__xludf.DUMMYFUNCTION("""COMPUTED_VALUE"""),"LINEA DE ENVASADO PET NO RETORNABLEALMACEN DE PALETS")</f>
        <v>LINEA DE ENVASADO PET NO RETORNABLEALMACEN DE PALETS</v>
      </c>
      <c r="V46" s="5"/>
      <c r="W46" s="5" t="b">
        <f ca="1">IFERROR(__xludf.DUMMYFUNCTION("""COMPUTED_VALUE"""),TRUE)</f>
        <v>1</v>
      </c>
      <c r="X46" s="5" t="str">
        <f ca="1">IFERROR(__xludf.DUMMYFUNCTION("""COMPUTED_VALUE"""),"wguerra@postobon.com.co,aprmttoyu@postobon.com.co,aprmyu@postobon.com.co,wmora@postobon.com.co,efzapata@postobon.com.co")</f>
        <v>wguerra@postobon.com.co,aprmttoyu@postobon.com.co,aprmyu@postobon.com.co,wmora@postobon.com.co,efzapata@postobon.com.co</v>
      </c>
      <c r="Y46" s="5" t="str">
        <f ca="1">IFERROR(__xludf.DUMMYFUNCTION("""COMPUTED_VALUE"""),"wguerra@postobon.com.co")</f>
        <v>wguerra@postobon.com.co</v>
      </c>
      <c r="Z46" s="5" t="str">
        <f ca="1">IFERROR(__xludf.DUMMYFUNCTION("""COMPUTED_VALUE"""),"xnCH.dQ9RpiQ0Lwp8UOEkQ")</f>
        <v>xnCH.dQ9RpiQ0Lwp8UOEkQ</v>
      </c>
      <c r="AA46" s="5"/>
      <c r="AB46" s="5"/>
      <c r="AC46" s="5"/>
      <c r="AD46" s="5">
        <f ca="1">IFERROR(__xludf.DUMMYFUNCTION("""COMPUTED_VALUE"""),12)</f>
        <v>12</v>
      </c>
      <c r="AE46" s="5">
        <f ca="1">IFERROR(__xludf.DUMMYFUNCTION("""COMPUTED_VALUE"""),12)</f>
        <v>12</v>
      </c>
      <c r="AF46" s="5" t="b">
        <f ca="1">IFERROR(__xludf.DUMMYFUNCTION("""COMPUTED_VALUE"""),FALSE)</f>
        <v>0</v>
      </c>
      <c r="AG46" s="5" t="str">
        <f ca="1">IFERROR(__xludf.DUMMYFUNCTION("""COMPUTED_VALUE"""),"INSPECCIONES REALIZADAS")</f>
        <v>INSPECCIONES REALIZADAS</v>
      </c>
      <c r="AH46" s="5"/>
    </row>
    <row r="47" spans="1:34">
      <c r="A47" s="5" t="str">
        <f ca="1">IFERROR(__xludf.DUMMYFUNCTION("""COMPUTED_VALUE"""),"LINEA DE ENVASADO PET NO RETORNABLE")</f>
        <v>LINEA DE ENVASADO PET NO RETORNABLE</v>
      </c>
      <c r="B47" s="5">
        <f ca="1">IFERROR(__xludf.DUMMYFUNCTION("""COMPUTED_VALUE"""),900231)</f>
        <v>900231</v>
      </c>
      <c r="C47" s="5" t="str">
        <f ca="1">IFERROR(__xludf.DUMMYFUNCTION("""COMPUTED_VALUE"""),"ALMACEN DE PALETS")</f>
        <v>ALMACEN DE PALETS</v>
      </c>
      <c r="D47" s="5">
        <f ca="1">IFERROR(__xludf.DUMMYFUNCTION("""COMPUTED_VALUE"""),13247812)</f>
        <v>13247812</v>
      </c>
      <c r="E47" s="5" t="str">
        <f ca="1">IFERROR(__xludf.DUMMYFUNCTION("""COMPUTED_VALUE"""),"INSPECCION SEMANAL ALMACEN DE PALETS")</f>
        <v>INSPECCION SEMANAL ALMACEN DE PALETS</v>
      </c>
      <c r="F47" s="5" t="str">
        <f ca="1">IFERROR(__xludf.DUMMYFUNCTION("""COMPUTED_VALUE"""),"ESTADO SENSORES(MICRO,INDUCTIVO)")</f>
        <v>ESTADO SENSORES(MICRO,INDUCTIVO)</v>
      </c>
      <c r="G47" s="5" t="b">
        <f ca="1">IFERROR(__xludf.DUMMYFUNCTION("""COMPUTED_VALUE"""),TRUE)</f>
        <v>1</v>
      </c>
      <c r="H47" s="5"/>
      <c r="I47" s="5"/>
      <c r="J47" s="5">
        <f ca="1">IFERROR(__xludf.DUMMYFUNCTION("""COMPUTED_VALUE"""),13247812)</f>
        <v>13247812</v>
      </c>
      <c r="K47" s="5"/>
      <c r="L47" s="18">
        <f ca="1">IFERROR(__xludf.DUMMYFUNCTION("""COMPUTED_VALUE"""),45325)</f>
        <v>45325</v>
      </c>
      <c r="M47" s="18">
        <f ca="1">IFERROR(__xludf.DUMMYFUNCTION("""COMPUTED_VALUE"""),45325)</f>
        <v>45325</v>
      </c>
      <c r="N47" s="5" t="str">
        <f ca="1">IFERROR(__xludf.DUMMYFUNCTION("""COMPUTED_VALUE"""),"Héctor Toro")</f>
        <v>Héctor Toro</v>
      </c>
      <c r="O47" s="2">
        <f ca="1">IFERROR(__xludf.DUMMYFUNCTION("""COMPUTED_VALUE"""),0.009090909)</f>
        <v>9.0909089999999994E-3</v>
      </c>
      <c r="P47" s="5">
        <f ca="1">IFERROR(__xludf.DUMMYFUNCTION("""COMPUTED_VALUE"""),20062740)</f>
        <v>20062740</v>
      </c>
      <c r="Q47" s="5" t="str">
        <f ca="1">IFERROR(__xludf.DUMMYFUNCTION("""COMPUTED_VALUE"""),"-nGCecygqMA")</f>
        <v>-nGCecygqMA</v>
      </c>
      <c r="R47" s="5">
        <f ca="1">IFERROR(__xludf.DUMMYFUNCTION("""COMPUTED_VALUE"""),410)</f>
        <v>410</v>
      </c>
      <c r="S47" s="62">
        <f ca="1">IFERROR(__xludf.DUMMYFUNCTION("""COMPUTED_VALUE"""),0.009090909)</f>
        <v>9.0909089999999994E-3</v>
      </c>
      <c r="T47" s="63" t="str">
        <f ca="1">IFERROR(__xludf.DUMMYFUNCTION("""COMPUTED_VALUE"""),"https://storage.googleapis.com/glide-prod.appspot.com/uploads-v2/ly7o78grxPaC6KdgvbpS/pub/3aRdSog0vUtuqPE8AJKD.png")</f>
        <v>https://storage.googleapis.com/glide-prod.appspot.com/uploads-v2/ly7o78grxPaC6KdgvbpS/pub/3aRdSog0vUtuqPE8AJKD.png</v>
      </c>
      <c r="U47" s="5" t="str">
        <f ca="1">IFERROR(__xludf.DUMMYFUNCTION("""COMPUTED_VALUE"""),"LINEA DE ENVASADO PET NO RETORNABLEALMACEN DE PALETS")</f>
        <v>LINEA DE ENVASADO PET NO RETORNABLEALMACEN DE PALETS</v>
      </c>
      <c r="V47" s="5"/>
      <c r="W47" s="5" t="b">
        <f ca="1">IFERROR(__xludf.DUMMYFUNCTION("""COMPUTED_VALUE"""),TRUE)</f>
        <v>1</v>
      </c>
      <c r="X47" s="5" t="str">
        <f ca="1">IFERROR(__xludf.DUMMYFUNCTION("""COMPUTED_VALUE"""),"wguerra@postobon.com.co,aprmttoyu@postobon.com.co,aprmyu@postobon.com.co,wmora@postobon.com.co,efzapata@postobon.com.co")</f>
        <v>wguerra@postobon.com.co,aprmttoyu@postobon.com.co,aprmyu@postobon.com.co,wmora@postobon.com.co,efzapata@postobon.com.co</v>
      </c>
      <c r="Y47" s="5" t="str">
        <f ca="1">IFERROR(__xludf.DUMMYFUNCTION("""COMPUTED_VALUE"""),"wguerra@postobon.com.co")</f>
        <v>wguerra@postobon.com.co</v>
      </c>
      <c r="Z47" s="5" t="str">
        <f ca="1">IFERROR(__xludf.DUMMYFUNCTION("""COMPUTED_VALUE"""),"X6Kb1lXISGapP2laKeonFA")</f>
        <v>X6Kb1lXISGapP2laKeonFA</v>
      </c>
      <c r="AA47" s="5"/>
      <c r="AB47" s="5"/>
      <c r="AC47" s="5"/>
      <c r="AD47" s="5">
        <f ca="1">IFERROR(__xludf.DUMMYFUNCTION("""COMPUTED_VALUE"""),12)</f>
        <v>12</v>
      </c>
      <c r="AE47" s="5">
        <f ca="1">IFERROR(__xludf.DUMMYFUNCTION("""COMPUTED_VALUE"""),12)</f>
        <v>12</v>
      </c>
      <c r="AF47" s="5" t="b">
        <f ca="1">IFERROR(__xludf.DUMMYFUNCTION("""COMPUTED_VALUE"""),FALSE)</f>
        <v>0</v>
      </c>
      <c r="AG47" s="5" t="str">
        <f ca="1">IFERROR(__xludf.DUMMYFUNCTION("""COMPUTED_VALUE"""),"INSPECCIONES REALIZADAS")</f>
        <v>INSPECCIONES REALIZADAS</v>
      </c>
      <c r="AH47" s="5"/>
    </row>
    <row r="48" spans="1:34">
      <c r="A48" s="5" t="str">
        <f ca="1">IFERROR(__xludf.DUMMYFUNCTION("""COMPUTED_VALUE"""),"LINEA DE ENVASADO PET NO RETORNABLE")</f>
        <v>LINEA DE ENVASADO PET NO RETORNABLE</v>
      </c>
      <c r="B48" s="5">
        <f ca="1">IFERROR(__xludf.DUMMYFUNCTION("""COMPUTED_VALUE"""),900231)</f>
        <v>900231</v>
      </c>
      <c r="C48" s="5" t="str">
        <f ca="1">IFERROR(__xludf.DUMMYFUNCTION("""COMPUTED_VALUE"""),"ALMACEN DE PALETS")</f>
        <v>ALMACEN DE PALETS</v>
      </c>
      <c r="D48" s="5">
        <f ca="1">IFERROR(__xludf.DUMMYFUNCTION("""COMPUTED_VALUE"""),13247812)</f>
        <v>13247812</v>
      </c>
      <c r="E48" s="5" t="str">
        <f ca="1">IFERROR(__xludf.DUMMYFUNCTION("""COMPUTED_VALUE"""),"INSPECCION SEMANAL ALMACEN DE PALETS")</f>
        <v>INSPECCION SEMANAL ALMACEN DE PALETS</v>
      </c>
      <c r="F48" s="5" t="str">
        <f ca="1">IFERROR(__xludf.DUMMYFUNCTION("""COMPUTED_VALUE"""),"ESTADO CARRO TRASLACION ESTIBAS")</f>
        <v>ESTADO CARRO TRASLACION ESTIBAS</v>
      </c>
      <c r="G48" s="5" t="b">
        <f ca="1">IFERROR(__xludf.DUMMYFUNCTION("""COMPUTED_VALUE"""),TRUE)</f>
        <v>1</v>
      </c>
      <c r="H48" s="5"/>
      <c r="I48" s="5"/>
      <c r="J48" s="5">
        <f ca="1">IFERROR(__xludf.DUMMYFUNCTION("""COMPUTED_VALUE"""),13247812)</f>
        <v>13247812</v>
      </c>
      <c r="K48" s="5"/>
      <c r="L48" s="18">
        <f ca="1">IFERROR(__xludf.DUMMYFUNCTION("""COMPUTED_VALUE"""),45325)</f>
        <v>45325</v>
      </c>
      <c r="M48" s="18">
        <f ca="1">IFERROR(__xludf.DUMMYFUNCTION("""COMPUTED_VALUE"""),45325)</f>
        <v>45325</v>
      </c>
      <c r="N48" s="5" t="str">
        <f ca="1">IFERROR(__xludf.DUMMYFUNCTION("""COMPUTED_VALUE"""),"Héctor Toro")</f>
        <v>Héctor Toro</v>
      </c>
      <c r="O48" s="2">
        <f ca="1">IFERROR(__xludf.DUMMYFUNCTION("""COMPUTED_VALUE"""),0.009090909)</f>
        <v>9.0909089999999994E-3</v>
      </c>
      <c r="P48" s="5">
        <f ca="1">IFERROR(__xludf.DUMMYFUNCTION("""COMPUTED_VALUE"""),20062740)</f>
        <v>20062740</v>
      </c>
      <c r="Q48" s="5" t="str">
        <f ca="1">IFERROR(__xludf.DUMMYFUNCTION("""COMPUTED_VALUE"""),"Fgj0yblKwCQ")</f>
        <v>Fgj0yblKwCQ</v>
      </c>
      <c r="R48" s="5">
        <f ca="1">IFERROR(__xludf.DUMMYFUNCTION("""COMPUTED_VALUE"""),410)</f>
        <v>410</v>
      </c>
      <c r="S48" s="62">
        <f ca="1">IFERROR(__xludf.DUMMYFUNCTION("""COMPUTED_VALUE"""),0.009090909)</f>
        <v>9.0909089999999994E-3</v>
      </c>
      <c r="T48" s="63" t="str">
        <f ca="1">IFERROR(__xludf.DUMMYFUNCTION("""COMPUTED_VALUE"""),"https://storage.googleapis.com/glide-prod.appspot.com/uploads-v2/ly7o78grxPaC6KdgvbpS/pub/3aRdSog0vUtuqPE8AJKD.png")</f>
        <v>https://storage.googleapis.com/glide-prod.appspot.com/uploads-v2/ly7o78grxPaC6KdgvbpS/pub/3aRdSog0vUtuqPE8AJKD.png</v>
      </c>
      <c r="U48" s="5" t="str">
        <f ca="1">IFERROR(__xludf.DUMMYFUNCTION("""COMPUTED_VALUE"""),"LINEA DE ENVASADO PET NO RETORNABLEALMACEN DE PALETS")</f>
        <v>LINEA DE ENVASADO PET NO RETORNABLEALMACEN DE PALETS</v>
      </c>
      <c r="V48" s="5"/>
      <c r="W48" s="5" t="b">
        <f ca="1">IFERROR(__xludf.DUMMYFUNCTION("""COMPUTED_VALUE"""),TRUE)</f>
        <v>1</v>
      </c>
      <c r="X48" s="5" t="str">
        <f ca="1">IFERROR(__xludf.DUMMYFUNCTION("""COMPUTED_VALUE"""),"wguerra@postobon.com.co,aprmttoyu@postobon.com.co,aprmyu@postobon.com.co,wmora@postobon.com.co,efzapata@postobon.com.co")</f>
        <v>wguerra@postobon.com.co,aprmttoyu@postobon.com.co,aprmyu@postobon.com.co,wmora@postobon.com.co,efzapata@postobon.com.co</v>
      </c>
      <c r="Y48" s="5" t="str">
        <f ca="1">IFERROR(__xludf.DUMMYFUNCTION("""COMPUTED_VALUE"""),"wguerra@postobon.com.co")</f>
        <v>wguerra@postobon.com.co</v>
      </c>
      <c r="Z48" s="5" t="str">
        <f ca="1">IFERROR(__xludf.DUMMYFUNCTION("""COMPUTED_VALUE"""),"e2DkxdzfRoWSAvIqe7Razg")</f>
        <v>e2DkxdzfRoWSAvIqe7Razg</v>
      </c>
      <c r="AA48" s="5"/>
      <c r="AB48" s="5"/>
      <c r="AC48" s="5"/>
      <c r="AD48" s="5">
        <f ca="1">IFERROR(__xludf.DUMMYFUNCTION("""COMPUTED_VALUE"""),12)</f>
        <v>12</v>
      </c>
      <c r="AE48" s="5">
        <f ca="1">IFERROR(__xludf.DUMMYFUNCTION("""COMPUTED_VALUE"""),12)</f>
        <v>12</v>
      </c>
      <c r="AF48" s="5" t="b">
        <f ca="1">IFERROR(__xludf.DUMMYFUNCTION("""COMPUTED_VALUE"""),FALSE)</f>
        <v>0</v>
      </c>
      <c r="AG48" s="5" t="str">
        <f ca="1">IFERROR(__xludf.DUMMYFUNCTION("""COMPUTED_VALUE"""),"INSPECCIONES REALIZADAS")</f>
        <v>INSPECCIONES REALIZADAS</v>
      </c>
      <c r="AH48" s="5"/>
    </row>
    <row r="49" spans="1:34">
      <c r="A49" s="5" t="str">
        <f ca="1">IFERROR(__xludf.DUMMYFUNCTION("""COMPUTED_VALUE"""),"LINEA DE ENVASADO PET NO RETORNABLE")</f>
        <v>LINEA DE ENVASADO PET NO RETORNABLE</v>
      </c>
      <c r="B49" s="5">
        <f ca="1">IFERROR(__xludf.DUMMYFUNCTION("""COMPUTED_VALUE"""),900231)</f>
        <v>900231</v>
      </c>
      <c r="C49" s="5" t="str">
        <f ca="1">IFERROR(__xludf.DUMMYFUNCTION("""COMPUTED_VALUE"""),"ALMACEN DE PALETS")</f>
        <v>ALMACEN DE PALETS</v>
      </c>
      <c r="D49" s="5">
        <f ca="1">IFERROR(__xludf.DUMMYFUNCTION("""COMPUTED_VALUE"""),13247812)</f>
        <v>13247812</v>
      </c>
      <c r="E49" s="5" t="str">
        <f ca="1">IFERROR(__xludf.DUMMYFUNCTION("""COMPUTED_VALUE"""),"INSPECCION SEMANAL ALMACEN DE PALETS")</f>
        <v>INSPECCION SEMANAL ALMACEN DE PALETS</v>
      </c>
      <c r="F49" s="5" t="str">
        <f ca="1">IFERROR(__xludf.DUMMYFUNCTION("""COMPUTED_VALUE"""),"ESTADO RODILLOS MECANISMO TRASLACION")</f>
        <v>ESTADO RODILLOS MECANISMO TRASLACION</v>
      </c>
      <c r="G49" s="5" t="b">
        <f ca="1">IFERROR(__xludf.DUMMYFUNCTION("""COMPUTED_VALUE"""),TRUE)</f>
        <v>1</v>
      </c>
      <c r="H49" s="5"/>
      <c r="I49" s="5"/>
      <c r="J49" s="5">
        <f ca="1">IFERROR(__xludf.DUMMYFUNCTION("""COMPUTED_VALUE"""),13247812)</f>
        <v>13247812</v>
      </c>
      <c r="K49" s="5"/>
      <c r="L49" s="18">
        <f ca="1">IFERROR(__xludf.DUMMYFUNCTION("""COMPUTED_VALUE"""),45325)</f>
        <v>45325</v>
      </c>
      <c r="M49" s="18">
        <f ca="1">IFERROR(__xludf.DUMMYFUNCTION("""COMPUTED_VALUE"""),45325)</f>
        <v>45325</v>
      </c>
      <c r="N49" s="5" t="str">
        <f ca="1">IFERROR(__xludf.DUMMYFUNCTION("""COMPUTED_VALUE"""),"Héctor Toro")</f>
        <v>Héctor Toro</v>
      </c>
      <c r="O49" s="2">
        <f ca="1">IFERROR(__xludf.DUMMYFUNCTION("""COMPUTED_VALUE"""),0.009090909)</f>
        <v>9.0909089999999994E-3</v>
      </c>
      <c r="P49" s="5">
        <f ca="1">IFERROR(__xludf.DUMMYFUNCTION("""COMPUTED_VALUE"""),20062740)</f>
        <v>20062740</v>
      </c>
      <c r="Q49" s="5" t="str">
        <f ca="1">IFERROR(__xludf.DUMMYFUNCTION("""COMPUTED_VALUE"""),"6pkm2LBxNuo")</f>
        <v>6pkm2LBxNuo</v>
      </c>
      <c r="R49" s="5">
        <f ca="1">IFERROR(__xludf.DUMMYFUNCTION("""COMPUTED_VALUE"""),410)</f>
        <v>410</v>
      </c>
      <c r="S49" s="62">
        <f ca="1">IFERROR(__xludf.DUMMYFUNCTION("""COMPUTED_VALUE"""),0.009090909)</f>
        <v>9.0909089999999994E-3</v>
      </c>
      <c r="T49" s="63" t="str">
        <f ca="1">IFERROR(__xludf.DUMMYFUNCTION("""COMPUTED_VALUE"""),"https://storage.googleapis.com/glide-prod.appspot.com/uploads-v2/ly7o78grxPaC6KdgvbpS/pub/3aRdSog0vUtuqPE8AJKD.png")</f>
        <v>https://storage.googleapis.com/glide-prod.appspot.com/uploads-v2/ly7o78grxPaC6KdgvbpS/pub/3aRdSog0vUtuqPE8AJKD.png</v>
      </c>
      <c r="U49" s="5" t="str">
        <f ca="1">IFERROR(__xludf.DUMMYFUNCTION("""COMPUTED_VALUE"""),"LINEA DE ENVASADO PET NO RETORNABLEALMACEN DE PALETS")</f>
        <v>LINEA DE ENVASADO PET NO RETORNABLEALMACEN DE PALETS</v>
      </c>
      <c r="V49" s="5"/>
      <c r="W49" s="5" t="b">
        <f ca="1">IFERROR(__xludf.DUMMYFUNCTION("""COMPUTED_VALUE"""),TRUE)</f>
        <v>1</v>
      </c>
      <c r="X49" s="5" t="str">
        <f ca="1">IFERROR(__xludf.DUMMYFUNCTION("""COMPUTED_VALUE"""),"wguerra@postobon.com.co,aprmttoyu@postobon.com.co,aprmyu@postobon.com.co,wmora@postobon.com.co,efzapata@postobon.com.co")</f>
        <v>wguerra@postobon.com.co,aprmttoyu@postobon.com.co,aprmyu@postobon.com.co,wmora@postobon.com.co,efzapata@postobon.com.co</v>
      </c>
      <c r="Y49" s="5" t="str">
        <f ca="1">IFERROR(__xludf.DUMMYFUNCTION("""COMPUTED_VALUE"""),"wguerra@postobon.com.co")</f>
        <v>wguerra@postobon.com.co</v>
      </c>
      <c r="Z49" s="5" t="str">
        <f ca="1">IFERROR(__xludf.DUMMYFUNCTION("""COMPUTED_VALUE"""),"35SKh0L.T4acvnr1dAlrvA")</f>
        <v>35SKh0L.T4acvnr1dAlrvA</v>
      </c>
      <c r="AA49" s="5"/>
      <c r="AB49" s="5"/>
      <c r="AC49" s="5"/>
      <c r="AD49" s="5">
        <f ca="1">IFERROR(__xludf.DUMMYFUNCTION("""COMPUTED_VALUE"""),12)</f>
        <v>12</v>
      </c>
      <c r="AE49" s="5">
        <f ca="1">IFERROR(__xludf.DUMMYFUNCTION("""COMPUTED_VALUE"""),12)</f>
        <v>12</v>
      </c>
      <c r="AF49" s="5" t="b">
        <f ca="1">IFERROR(__xludf.DUMMYFUNCTION("""COMPUTED_VALUE"""),FALSE)</f>
        <v>0</v>
      </c>
      <c r="AG49" s="5" t="str">
        <f ca="1">IFERROR(__xludf.DUMMYFUNCTION("""COMPUTED_VALUE"""),"INSPECCIONES REALIZADAS")</f>
        <v>INSPECCIONES REALIZADAS</v>
      </c>
      <c r="AH49" s="5"/>
    </row>
    <row r="50" spans="1:34">
      <c r="A50" s="5" t="str">
        <f ca="1">IFERROR(__xludf.DUMMYFUNCTION("""COMPUTED_VALUE"""),"LINEA DE ENVASADO PET NO RETORNABLE")</f>
        <v>LINEA DE ENVASADO PET NO RETORNABLE</v>
      </c>
      <c r="B50" s="5">
        <f ca="1">IFERROR(__xludf.DUMMYFUNCTION("""COMPUTED_VALUE"""),900231)</f>
        <v>900231</v>
      </c>
      <c r="C50" s="5" t="str">
        <f ca="1">IFERROR(__xludf.DUMMYFUNCTION("""COMPUTED_VALUE"""),"ALMACEN DE PALETS")</f>
        <v>ALMACEN DE PALETS</v>
      </c>
      <c r="D50" s="5">
        <f ca="1">IFERROR(__xludf.DUMMYFUNCTION("""COMPUTED_VALUE"""),13247812)</f>
        <v>13247812</v>
      </c>
      <c r="E50" s="5" t="str">
        <f ca="1">IFERROR(__xludf.DUMMYFUNCTION("""COMPUTED_VALUE"""),"INSPECCION SEMANAL ALMACEN DE PALETS")</f>
        <v>INSPECCION SEMANAL ALMACEN DE PALETS</v>
      </c>
      <c r="F50" s="5" t="str">
        <f ca="1">IFERROR(__xludf.DUMMYFUNCTION("""COMPUTED_VALUE"""),"INSP INTERCAMBIADOR Y REJILLA AIRE")</f>
        <v>INSP INTERCAMBIADOR Y REJILLA AIRE</v>
      </c>
      <c r="G50" s="5" t="b">
        <f ca="1">IFERROR(__xludf.DUMMYFUNCTION("""COMPUTED_VALUE"""),TRUE)</f>
        <v>1</v>
      </c>
      <c r="H50" s="5"/>
      <c r="I50" s="5"/>
      <c r="J50" s="5">
        <f ca="1">IFERROR(__xludf.DUMMYFUNCTION("""COMPUTED_VALUE"""),13247812)</f>
        <v>13247812</v>
      </c>
      <c r="K50" s="5"/>
      <c r="L50" s="18">
        <f ca="1">IFERROR(__xludf.DUMMYFUNCTION("""COMPUTED_VALUE"""),45325)</f>
        <v>45325</v>
      </c>
      <c r="M50" s="18">
        <f ca="1">IFERROR(__xludf.DUMMYFUNCTION("""COMPUTED_VALUE"""),45325)</f>
        <v>45325</v>
      </c>
      <c r="N50" s="5" t="str">
        <f ca="1">IFERROR(__xludf.DUMMYFUNCTION("""COMPUTED_VALUE"""),"Héctor Toro")</f>
        <v>Héctor Toro</v>
      </c>
      <c r="O50" s="2">
        <f ca="1">IFERROR(__xludf.DUMMYFUNCTION("""COMPUTED_VALUE"""),0.009090909)</f>
        <v>9.0909089999999994E-3</v>
      </c>
      <c r="P50" s="5">
        <f ca="1">IFERROR(__xludf.DUMMYFUNCTION("""COMPUTED_VALUE"""),20062740)</f>
        <v>20062740</v>
      </c>
      <c r="Q50" s="5" t="str">
        <f ca="1">IFERROR(__xludf.DUMMYFUNCTION("""COMPUTED_VALUE"""),"C1BNslyTiJE")</f>
        <v>C1BNslyTiJE</v>
      </c>
      <c r="R50" s="5">
        <f ca="1">IFERROR(__xludf.DUMMYFUNCTION("""COMPUTED_VALUE"""),410)</f>
        <v>410</v>
      </c>
      <c r="S50" s="62">
        <f ca="1">IFERROR(__xludf.DUMMYFUNCTION("""COMPUTED_VALUE"""),0.009090909)</f>
        <v>9.0909089999999994E-3</v>
      </c>
      <c r="T50" s="63" t="str">
        <f ca="1">IFERROR(__xludf.DUMMYFUNCTION("""COMPUTED_VALUE"""),"https://storage.googleapis.com/glide-prod.appspot.com/uploads-v2/ly7o78grxPaC6KdgvbpS/pub/3aRdSog0vUtuqPE8AJKD.png")</f>
        <v>https://storage.googleapis.com/glide-prod.appspot.com/uploads-v2/ly7o78grxPaC6KdgvbpS/pub/3aRdSog0vUtuqPE8AJKD.png</v>
      </c>
      <c r="U50" s="5" t="str">
        <f ca="1">IFERROR(__xludf.DUMMYFUNCTION("""COMPUTED_VALUE"""),"LINEA DE ENVASADO PET NO RETORNABLEALMACEN DE PALETS")</f>
        <v>LINEA DE ENVASADO PET NO RETORNABLEALMACEN DE PALETS</v>
      </c>
      <c r="V50" s="5"/>
      <c r="W50" s="5" t="b">
        <f ca="1">IFERROR(__xludf.DUMMYFUNCTION("""COMPUTED_VALUE"""),TRUE)</f>
        <v>1</v>
      </c>
      <c r="X50" s="5" t="str">
        <f ca="1">IFERROR(__xludf.DUMMYFUNCTION("""COMPUTED_VALUE"""),"wguerra@postobon.com.co,aprmttoyu@postobon.com.co,aprmyu@postobon.com.co,wmora@postobon.com.co,efzapata@postobon.com.co")</f>
        <v>wguerra@postobon.com.co,aprmttoyu@postobon.com.co,aprmyu@postobon.com.co,wmora@postobon.com.co,efzapata@postobon.com.co</v>
      </c>
      <c r="Y50" s="5" t="str">
        <f ca="1">IFERROR(__xludf.DUMMYFUNCTION("""COMPUTED_VALUE"""),"wguerra@postobon.com.co")</f>
        <v>wguerra@postobon.com.co</v>
      </c>
      <c r="Z50" s="5" t="str">
        <f ca="1">IFERROR(__xludf.DUMMYFUNCTION("""COMPUTED_VALUE"""),"W2WWKhH0QIC8OkQ5Urgh.g")</f>
        <v>W2WWKhH0QIC8OkQ5Urgh.g</v>
      </c>
      <c r="AA50" s="5"/>
      <c r="AB50" s="5"/>
      <c r="AC50" s="5"/>
      <c r="AD50" s="5">
        <f ca="1">IFERROR(__xludf.DUMMYFUNCTION("""COMPUTED_VALUE"""),12)</f>
        <v>12</v>
      </c>
      <c r="AE50" s="5">
        <f ca="1">IFERROR(__xludf.DUMMYFUNCTION("""COMPUTED_VALUE"""),12)</f>
        <v>12</v>
      </c>
      <c r="AF50" s="5" t="b">
        <f ca="1">IFERROR(__xludf.DUMMYFUNCTION("""COMPUTED_VALUE"""),FALSE)</f>
        <v>0</v>
      </c>
      <c r="AG50" s="5" t="str">
        <f ca="1">IFERROR(__xludf.DUMMYFUNCTION("""COMPUTED_VALUE"""),"INSPECCIONES REALIZADAS")</f>
        <v>INSPECCIONES REALIZADAS</v>
      </c>
      <c r="AH50" s="5"/>
    </row>
    <row r="51" spans="1:34">
      <c r="A51" s="5" t="str">
        <f ca="1">IFERROR(__xludf.DUMMYFUNCTION("""COMPUTED_VALUE"""),"LINEA DE ENVASADO PET NO RETORNABLE")</f>
        <v>LINEA DE ENVASADO PET NO RETORNABLE</v>
      </c>
      <c r="B51" s="5">
        <f ca="1">IFERROR(__xludf.DUMMYFUNCTION("""COMPUTED_VALUE"""),900231)</f>
        <v>900231</v>
      </c>
      <c r="C51" s="5" t="str">
        <f ca="1">IFERROR(__xludf.DUMMYFUNCTION("""COMPUTED_VALUE"""),"ALMACEN DE PALETS")</f>
        <v>ALMACEN DE PALETS</v>
      </c>
      <c r="D51" s="5">
        <f ca="1">IFERROR(__xludf.DUMMYFUNCTION("""COMPUTED_VALUE"""),13247812)</f>
        <v>13247812</v>
      </c>
      <c r="E51" s="5" t="str">
        <f ca="1">IFERROR(__xludf.DUMMYFUNCTION("""COMPUTED_VALUE"""),"INSPECCION SEMANAL ALMACEN DE PALETS")</f>
        <v>INSPECCION SEMANAL ALMACEN DE PALETS</v>
      </c>
      <c r="F51" s="5" t="str">
        <f ca="1">IFERROR(__xludf.DUMMYFUNCTION("""COMPUTED_VALUE"""),"INSP TABLERO ELECTRICO/CLIMATIZADOR")</f>
        <v>INSP TABLERO ELECTRICO/CLIMATIZADOR</v>
      </c>
      <c r="G51" s="5" t="b">
        <f ca="1">IFERROR(__xludf.DUMMYFUNCTION("""COMPUTED_VALUE"""),TRUE)</f>
        <v>1</v>
      </c>
      <c r="H51" s="5"/>
      <c r="I51" s="5"/>
      <c r="J51" s="5">
        <f ca="1">IFERROR(__xludf.DUMMYFUNCTION("""COMPUTED_VALUE"""),13247812)</f>
        <v>13247812</v>
      </c>
      <c r="K51" s="5"/>
      <c r="L51" s="18">
        <f ca="1">IFERROR(__xludf.DUMMYFUNCTION("""COMPUTED_VALUE"""),45325)</f>
        <v>45325</v>
      </c>
      <c r="M51" s="18">
        <f ca="1">IFERROR(__xludf.DUMMYFUNCTION("""COMPUTED_VALUE"""),45325)</f>
        <v>45325</v>
      </c>
      <c r="N51" s="5" t="str">
        <f ca="1">IFERROR(__xludf.DUMMYFUNCTION("""COMPUTED_VALUE"""),"Héctor Toro")</f>
        <v>Héctor Toro</v>
      </c>
      <c r="O51" s="2">
        <f ca="1">IFERROR(__xludf.DUMMYFUNCTION("""COMPUTED_VALUE"""),0.009090909)</f>
        <v>9.0909089999999994E-3</v>
      </c>
      <c r="P51" s="5">
        <f ca="1">IFERROR(__xludf.DUMMYFUNCTION("""COMPUTED_VALUE"""),20062740)</f>
        <v>20062740</v>
      </c>
      <c r="Q51" s="5" t="str">
        <f ca="1">IFERROR(__xludf.DUMMYFUNCTION("""COMPUTED_VALUE"""),"KQNSjflwh88")</f>
        <v>KQNSjflwh88</v>
      </c>
      <c r="R51" s="5">
        <f ca="1">IFERROR(__xludf.DUMMYFUNCTION("""COMPUTED_VALUE"""),410)</f>
        <v>410</v>
      </c>
      <c r="S51" s="62">
        <f ca="1">IFERROR(__xludf.DUMMYFUNCTION("""COMPUTED_VALUE"""),0.009090909)</f>
        <v>9.0909089999999994E-3</v>
      </c>
      <c r="T51" s="63" t="str">
        <f ca="1">IFERROR(__xludf.DUMMYFUNCTION("""COMPUTED_VALUE"""),"https://storage.googleapis.com/glide-prod.appspot.com/uploads-v2/ly7o78grxPaC6KdgvbpS/pub/3aRdSog0vUtuqPE8AJKD.png")</f>
        <v>https://storage.googleapis.com/glide-prod.appspot.com/uploads-v2/ly7o78grxPaC6KdgvbpS/pub/3aRdSog0vUtuqPE8AJKD.png</v>
      </c>
      <c r="U51" s="5" t="str">
        <f ca="1">IFERROR(__xludf.DUMMYFUNCTION("""COMPUTED_VALUE"""),"LINEA DE ENVASADO PET NO RETORNABLEALMACEN DE PALETS")</f>
        <v>LINEA DE ENVASADO PET NO RETORNABLEALMACEN DE PALETS</v>
      </c>
      <c r="V51" s="5"/>
      <c r="W51" s="5" t="b">
        <f ca="1">IFERROR(__xludf.DUMMYFUNCTION("""COMPUTED_VALUE"""),TRUE)</f>
        <v>1</v>
      </c>
      <c r="X51" s="5" t="str">
        <f ca="1">IFERROR(__xludf.DUMMYFUNCTION("""COMPUTED_VALUE"""),"wguerra@postobon.com.co,aprmttoyu@postobon.com.co,aprmyu@postobon.com.co,wmora@postobon.com.co,efzapata@postobon.com.co")</f>
        <v>wguerra@postobon.com.co,aprmttoyu@postobon.com.co,aprmyu@postobon.com.co,wmora@postobon.com.co,efzapata@postobon.com.co</v>
      </c>
      <c r="Y51" s="5" t="str">
        <f ca="1">IFERROR(__xludf.DUMMYFUNCTION("""COMPUTED_VALUE"""),"wguerra@postobon.com.co")</f>
        <v>wguerra@postobon.com.co</v>
      </c>
      <c r="Z51" s="5" t="str">
        <f ca="1">IFERROR(__xludf.DUMMYFUNCTION("""COMPUTED_VALUE"""),"59ttxKeTR9qC8iiBaqPejQ")</f>
        <v>59ttxKeTR9qC8iiBaqPejQ</v>
      </c>
      <c r="AA51" s="5"/>
      <c r="AB51" s="5"/>
      <c r="AC51" s="5"/>
      <c r="AD51" s="5">
        <f ca="1">IFERROR(__xludf.DUMMYFUNCTION("""COMPUTED_VALUE"""),12)</f>
        <v>12</v>
      </c>
      <c r="AE51" s="5">
        <f ca="1">IFERROR(__xludf.DUMMYFUNCTION("""COMPUTED_VALUE"""),12)</f>
        <v>12</v>
      </c>
      <c r="AF51" s="5" t="b">
        <f ca="1">IFERROR(__xludf.DUMMYFUNCTION("""COMPUTED_VALUE"""),FALSE)</f>
        <v>0</v>
      </c>
      <c r="AG51" s="5" t="str">
        <f ca="1">IFERROR(__xludf.DUMMYFUNCTION("""COMPUTED_VALUE"""),"INSPECCIONES REALIZADAS")</f>
        <v>INSPECCIONES REALIZADAS</v>
      </c>
      <c r="AH51" s="5"/>
    </row>
    <row r="52" spans="1:34">
      <c r="A52" s="5" t="str">
        <f ca="1">IFERROR(__xludf.DUMMYFUNCTION("""COMPUTED_VALUE"""),"LINEA DE ENVASADO PET NO RETORNABLE")</f>
        <v>LINEA DE ENVASADO PET NO RETORNABLE</v>
      </c>
      <c r="B52" s="5">
        <f ca="1">IFERROR(__xludf.DUMMYFUNCTION("""COMPUTED_VALUE"""),900231)</f>
        <v>900231</v>
      </c>
      <c r="C52" s="5" t="str">
        <f ca="1">IFERROR(__xludf.DUMMYFUNCTION("""COMPUTED_VALUE"""),"ALMACEN DE PALETS")</f>
        <v>ALMACEN DE PALETS</v>
      </c>
      <c r="D52" s="5">
        <f ca="1">IFERROR(__xludf.DUMMYFUNCTION("""COMPUTED_VALUE"""),13247812)</f>
        <v>13247812</v>
      </c>
      <c r="E52" s="5" t="str">
        <f ca="1">IFERROR(__xludf.DUMMYFUNCTION("""COMPUTED_VALUE"""),"INSPECCION SEMANAL ALMACEN DE PALETS")</f>
        <v>INSPECCION SEMANAL ALMACEN DE PALETS</v>
      </c>
      <c r="F52" s="5" t="str">
        <f ca="1">IFERROR(__xludf.DUMMYFUNCTION("""COMPUTED_VALUE"""),"ESTADO DE RODILLOS TRANSPORTE ESTIBAS")</f>
        <v>ESTADO DE RODILLOS TRANSPORTE ESTIBAS</v>
      </c>
      <c r="G52" s="5" t="b">
        <f ca="1">IFERROR(__xludf.DUMMYFUNCTION("""COMPUTED_VALUE"""),TRUE)</f>
        <v>1</v>
      </c>
      <c r="H52" s="5"/>
      <c r="I52" s="5"/>
      <c r="J52" s="5">
        <f ca="1">IFERROR(__xludf.DUMMYFUNCTION("""COMPUTED_VALUE"""),13247812)</f>
        <v>13247812</v>
      </c>
      <c r="K52" s="5"/>
      <c r="L52" s="18">
        <f ca="1">IFERROR(__xludf.DUMMYFUNCTION("""COMPUTED_VALUE"""),45325)</f>
        <v>45325</v>
      </c>
      <c r="M52" s="18">
        <f ca="1">IFERROR(__xludf.DUMMYFUNCTION("""COMPUTED_VALUE"""),45325)</f>
        <v>45325</v>
      </c>
      <c r="N52" s="5" t="str">
        <f ca="1">IFERROR(__xludf.DUMMYFUNCTION("""COMPUTED_VALUE"""),"Héctor Toro")</f>
        <v>Héctor Toro</v>
      </c>
      <c r="O52" s="2">
        <f ca="1">IFERROR(__xludf.DUMMYFUNCTION("""COMPUTED_VALUE"""),0.009090909)</f>
        <v>9.0909089999999994E-3</v>
      </c>
      <c r="P52" s="5">
        <f ca="1">IFERROR(__xludf.DUMMYFUNCTION("""COMPUTED_VALUE"""),20062740)</f>
        <v>20062740</v>
      </c>
      <c r="Q52" s="5" t="str">
        <f ca="1">IFERROR(__xludf.DUMMYFUNCTION("""COMPUTED_VALUE"""),"t4GUGLPAdEE")</f>
        <v>t4GUGLPAdEE</v>
      </c>
      <c r="R52" s="5">
        <f ca="1">IFERROR(__xludf.DUMMYFUNCTION("""COMPUTED_VALUE"""),410)</f>
        <v>410</v>
      </c>
      <c r="S52" s="62">
        <f ca="1">IFERROR(__xludf.DUMMYFUNCTION("""COMPUTED_VALUE"""),0.009090909)</f>
        <v>9.0909089999999994E-3</v>
      </c>
      <c r="T52" s="63" t="str">
        <f ca="1">IFERROR(__xludf.DUMMYFUNCTION("""COMPUTED_VALUE"""),"https://storage.googleapis.com/glide-prod.appspot.com/uploads-v2/ly7o78grxPaC6KdgvbpS/pub/3aRdSog0vUtuqPE8AJKD.png")</f>
        <v>https://storage.googleapis.com/glide-prod.appspot.com/uploads-v2/ly7o78grxPaC6KdgvbpS/pub/3aRdSog0vUtuqPE8AJKD.png</v>
      </c>
      <c r="U52" s="5" t="str">
        <f ca="1">IFERROR(__xludf.DUMMYFUNCTION("""COMPUTED_VALUE"""),"LINEA DE ENVASADO PET NO RETORNABLEALMACEN DE PALETS")</f>
        <v>LINEA DE ENVASADO PET NO RETORNABLEALMACEN DE PALETS</v>
      </c>
      <c r="V52" s="5"/>
      <c r="W52" s="5" t="b">
        <f ca="1">IFERROR(__xludf.DUMMYFUNCTION("""COMPUTED_VALUE"""),TRUE)</f>
        <v>1</v>
      </c>
      <c r="X52" s="5" t="str">
        <f ca="1">IFERROR(__xludf.DUMMYFUNCTION("""COMPUTED_VALUE"""),"wguerra@postobon.com.co,aprmttoyu@postobon.com.co,aprmyu@postobon.com.co,wmora@postobon.com.co,efzapata@postobon.com.co")</f>
        <v>wguerra@postobon.com.co,aprmttoyu@postobon.com.co,aprmyu@postobon.com.co,wmora@postobon.com.co,efzapata@postobon.com.co</v>
      </c>
      <c r="Y52" s="5" t="str">
        <f ca="1">IFERROR(__xludf.DUMMYFUNCTION("""COMPUTED_VALUE"""),"wguerra@postobon.com.co")</f>
        <v>wguerra@postobon.com.co</v>
      </c>
      <c r="Z52" s="5" t="str">
        <f ca="1">IFERROR(__xludf.DUMMYFUNCTION("""COMPUTED_VALUE"""),"V6UKZvq8ROmUHG0mW-.JXw")</f>
        <v>V6UKZvq8ROmUHG0mW-.JXw</v>
      </c>
      <c r="AA52" s="5"/>
      <c r="AB52" s="5"/>
      <c r="AC52" s="5"/>
      <c r="AD52" s="5">
        <f ca="1">IFERROR(__xludf.DUMMYFUNCTION("""COMPUTED_VALUE"""),12)</f>
        <v>12</v>
      </c>
      <c r="AE52" s="5">
        <f ca="1">IFERROR(__xludf.DUMMYFUNCTION("""COMPUTED_VALUE"""),12)</f>
        <v>12</v>
      </c>
      <c r="AF52" s="5" t="b">
        <f ca="1">IFERROR(__xludf.DUMMYFUNCTION("""COMPUTED_VALUE"""),FALSE)</f>
        <v>0</v>
      </c>
      <c r="AG52" s="5" t="str">
        <f ca="1">IFERROR(__xludf.DUMMYFUNCTION("""COMPUTED_VALUE"""),"INSPECCIONES REALIZADAS")</f>
        <v>INSPECCIONES REALIZADAS</v>
      </c>
      <c r="AH52" s="5"/>
    </row>
    <row r="53" spans="1:34">
      <c r="A53" s="5" t="str">
        <f ca="1">IFERROR(__xludf.DUMMYFUNCTION("""COMPUTED_VALUE"""),"LINEA DE ENVASADO PET NO RETORNABLE")</f>
        <v>LINEA DE ENVASADO PET NO RETORNABLE</v>
      </c>
      <c r="B53" s="5">
        <f ca="1">IFERROR(__xludf.DUMMYFUNCTION("""COMPUTED_VALUE"""),900231)</f>
        <v>900231</v>
      </c>
      <c r="C53" s="5" t="str">
        <f ca="1">IFERROR(__xludf.DUMMYFUNCTION("""COMPUTED_VALUE"""),"ALMACEN DE PALETS")</f>
        <v>ALMACEN DE PALETS</v>
      </c>
      <c r="D53" s="5">
        <f ca="1">IFERROR(__xludf.DUMMYFUNCTION("""COMPUTED_VALUE"""),13247812)</f>
        <v>13247812</v>
      </c>
      <c r="E53" s="5" t="str">
        <f ca="1">IFERROR(__xludf.DUMMYFUNCTION("""COMPUTED_VALUE"""),"INSPECCION SEMANAL ALMACEN DE PALETS")</f>
        <v>INSPECCION SEMANAL ALMACEN DE PALETS</v>
      </c>
      <c r="F53" s="5" t="str">
        <f ca="1">IFERROR(__xludf.DUMMYFUNCTION("""COMPUTED_VALUE"""),"ESTADO DE CADENAS RODILLAS TRANSPORTE ESTIBAS")</f>
        <v>ESTADO DE CADENAS RODILLAS TRANSPORTE ESTIBAS</v>
      </c>
      <c r="G53" s="5" t="b">
        <f ca="1">IFERROR(__xludf.DUMMYFUNCTION("""COMPUTED_VALUE"""),TRUE)</f>
        <v>1</v>
      </c>
      <c r="H53" s="5"/>
      <c r="I53" s="5"/>
      <c r="J53" s="5">
        <f ca="1">IFERROR(__xludf.DUMMYFUNCTION("""COMPUTED_VALUE"""),13247812)</f>
        <v>13247812</v>
      </c>
      <c r="K53" s="5"/>
      <c r="L53" s="18">
        <f ca="1">IFERROR(__xludf.DUMMYFUNCTION("""COMPUTED_VALUE"""),45325)</f>
        <v>45325</v>
      </c>
      <c r="M53" s="18">
        <f ca="1">IFERROR(__xludf.DUMMYFUNCTION("""COMPUTED_VALUE"""),45325)</f>
        <v>45325</v>
      </c>
      <c r="N53" s="5" t="str">
        <f ca="1">IFERROR(__xludf.DUMMYFUNCTION("""COMPUTED_VALUE"""),"Héctor Toro")</f>
        <v>Héctor Toro</v>
      </c>
      <c r="O53" s="2">
        <f ca="1">IFERROR(__xludf.DUMMYFUNCTION("""COMPUTED_VALUE"""),0.009090909)</f>
        <v>9.0909089999999994E-3</v>
      </c>
      <c r="P53" s="5">
        <f ca="1">IFERROR(__xludf.DUMMYFUNCTION("""COMPUTED_VALUE"""),20062740)</f>
        <v>20062740</v>
      </c>
      <c r="Q53" s="5" t="str">
        <f ca="1">IFERROR(__xludf.DUMMYFUNCTION("""COMPUTED_VALUE"""),"BnHavQfi9jY")</f>
        <v>BnHavQfi9jY</v>
      </c>
      <c r="R53" s="5">
        <f ca="1">IFERROR(__xludf.DUMMYFUNCTION("""COMPUTED_VALUE"""),410)</f>
        <v>410</v>
      </c>
      <c r="S53" s="62">
        <f ca="1">IFERROR(__xludf.DUMMYFUNCTION("""COMPUTED_VALUE"""),0.009090909)</f>
        <v>9.0909089999999994E-3</v>
      </c>
      <c r="T53" s="63" t="str">
        <f ca="1">IFERROR(__xludf.DUMMYFUNCTION("""COMPUTED_VALUE"""),"https://storage.googleapis.com/glide-prod.appspot.com/uploads-v2/ly7o78grxPaC6KdgvbpS/pub/3aRdSog0vUtuqPE8AJKD.png")</f>
        <v>https://storage.googleapis.com/glide-prod.appspot.com/uploads-v2/ly7o78grxPaC6KdgvbpS/pub/3aRdSog0vUtuqPE8AJKD.png</v>
      </c>
      <c r="U53" s="5" t="str">
        <f ca="1">IFERROR(__xludf.DUMMYFUNCTION("""COMPUTED_VALUE"""),"LINEA DE ENVASADO PET NO RETORNABLEALMACEN DE PALETS")</f>
        <v>LINEA DE ENVASADO PET NO RETORNABLEALMACEN DE PALETS</v>
      </c>
      <c r="V53" s="5"/>
      <c r="W53" s="5" t="b">
        <f ca="1">IFERROR(__xludf.DUMMYFUNCTION("""COMPUTED_VALUE"""),TRUE)</f>
        <v>1</v>
      </c>
      <c r="X53" s="5" t="str">
        <f ca="1">IFERROR(__xludf.DUMMYFUNCTION("""COMPUTED_VALUE"""),"wguerra@postobon.com.co,aprmttoyu@postobon.com.co,aprmyu@postobon.com.co,wmora@postobon.com.co,efzapata@postobon.com.co")</f>
        <v>wguerra@postobon.com.co,aprmttoyu@postobon.com.co,aprmyu@postobon.com.co,wmora@postobon.com.co,efzapata@postobon.com.co</v>
      </c>
      <c r="Y53" s="5" t="str">
        <f ca="1">IFERROR(__xludf.DUMMYFUNCTION("""COMPUTED_VALUE"""),"wguerra@postobon.com.co")</f>
        <v>wguerra@postobon.com.co</v>
      </c>
      <c r="Z53" s="5" t="str">
        <f ca="1">IFERROR(__xludf.DUMMYFUNCTION("""COMPUTED_VALUE"""),"iTk3nuU9SPK.SOL2fjkJRw")</f>
        <v>iTk3nuU9SPK.SOL2fjkJRw</v>
      </c>
      <c r="AA53" s="5"/>
      <c r="AB53" s="5"/>
      <c r="AC53" s="5"/>
      <c r="AD53" s="5">
        <f ca="1">IFERROR(__xludf.DUMMYFUNCTION("""COMPUTED_VALUE"""),12)</f>
        <v>12</v>
      </c>
      <c r="AE53" s="5">
        <f ca="1">IFERROR(__xludf.DUMMYFUNCTION("""COMPUTED_VALUE"""),12)</f>
        <v>12</v>
      </c>
      <c r="AF53" s="5" t="b">
        <f ca="1">IFERROR(__xludf.DUMMYFUNCTION("""COMPUTED_VALUE"""),FALSE)</f>
        <v>0</v>
      </c>
      <c r="AG53" s="5" t="str">
        <f ca="1">IFERROR(__xludf.DUMMYFUNCTION("""COMPUTED_VALUE"""),"INSPECCIONES REALIZADAS")</f>
        <v>INSPECCIONES REALIZADAS</v>
      </c>
      <c r="AH53" s="5"/>
    </row>
    <row r="54" spans="1:34">
      <c r="A54" s="5" t="str">
        <f ca="1">IFERROR(__xludf.DUMMYFUNCTION("""COMPUTED_VALUE"""),"LINEA DE ENVASADO PET NO RETORNABLE")</f>
        <v>LINEA DE ENVASADO PET NO RETORNABLE</v>
      </c>
      <c r="B54" s="5">
        <f ca="1">IFERROR(__xludf.DUMMYFUNCTION("""COMPUTED_VALUE"""),900231)</f>
        <v>900231</v>
      </c>
      <c r="C54" s="5" t="str">
        <f ca="1">IFERROR(__xludf.DUMMYFUNCTION("""COMPUTED_VALUE"""),"ALMACEN DE PALETS")</f>
        <v>ALMACEN DE PALETS</v>
      </c>
      <c r="D54" s="5">
        <f ca="1">IFERROR(__xludf.DUMMYFUNCTION("""COMPUTED_VALUE"""),13247812)</f>
        <v>13247812</v>
      </c>
      <c r="E54" s="5" t="str">
        <f ca="1">IFERROR(__xludf.DUMMYFUNCTION("""COMPUTED_VALUE"""),"INSPECCION SEMANAL ALMACEN DE PALETS")</f>
        <v>INSPECCION SEMANAL ALMACEN DE PALETS</v>
      </c>
      <c r="F54" s="5" t="str">
        <f ca="1">IFERROR(__xludf.DUMMYFUNCTION("""COMPUTED_VALUE"""),"ESTADO DE SENSORES DE ACUMULACIÓN")</f>
        <v>ESTADO DE SENSORES DE ACUMULACIÓN</v>
      </c>
      <c r="G54" s="5" t="b">
        <f ca="1">IFERROR(__xludf.DUMMYFUNCTION("""COMPUTED_VALUE"""),TRUE)</f>
        <v>1</v>
      </c>
      <c r="H54" s="5"/>
      <c r="I54" s="5"/>
      <c r="J54" s="5">
        <f ca="1">IFERROR(__xludf.DUMMYFUNCTION("""COMPUTED_VALUE"""),13247812)</f>
        <v>13247812</v>
      </c>
      <c r="K54" s="5"/>
      <c r="L54" s="18">
        <f ca="1">IFERROR(__xludf.DUMMYFUNCTION("""COMPUTED_VALUE"""),45325)</f>
        <v>45325</v>
      </c>
      <c r="M54" s="18">
        <f ca="1">IFERROR(__xludf.DUMMYFUNCTION("""COMPUTED_VALUE"""),45325)</f>
        <v>45325</v>
      </c>
      <c r="N54" s="5" t="str">
        <f ca="1">IFERROR(__xludf.DUMMYFUNCTION("""COMPUTED_VALUE"""),"Héctor Toro")</f>
        <v>Héctor Toro</v>
      </c>
      <c r="O54" s="2">
        <f ca="1">IFERROR(__xludf.DUMMYFUNCTION("""COMPUTED_VALUE"""),0.009090909)</f>
        <v>9.0909089999999994E-3</v>
      </c>
      <c r="P54" s="5">
        <f ca="1">IFERROR(__xludf.DUMMYFUNCTION("""COMPUTED_VALUE"""),20062740)</f>
        <v>20062740</v>
      </c>
      <c r="Q54" s="5" t="str">
        <f ca="1">IFERROR(__xludf.DUMMYFUNCTION("""COMPUTED_VALUE"""),"l-PtIrJm23c")</f>
        <v>l-PtIrJm23c</v>
      </c>
      <c r="R54" s="5">
        <f ca="1">IFERROR(__xludf.DUMMYFUNCTION("""COMPUTED_VALUE"""),410)</f>
        <v>410</v>
      </c>
      <c r="S54" s="62">
        <f ca="1">IFERROR(__xludf.DUMMYFUNCTION("""COMPUTED_VALUE"""),0.009090909)</f>
        <v>9.0909089999999994E-3</v>
      </c>
      <c r="T54" s="63" t="str">
        <f ca="1">IFERROR(__xludf.DUMMYFUNCTION("""COMPUTED_VALUE"""),"https://storage.googleapis.com/glide-prod.appspot.com/uploads-v2/ly7o78grxPaC6KdgvbpS/pub/3aRdSog0vUtuqPE8AJKD.png")</f>
        <v>https://storage.googleapis.com/glide-prod.appspot.com/uploads-v2/ly7o78grxPaC6KdgvbpS/pub/3aRdSog0vUtuqPE8AJKD.png</v>
      </c>
      <c r="U54" s="5" t="str">
        <f ca="1">IFERROR(__xludf.DUMMYFUNCTION("""COMPUTED_VALUE"""),"LINEA DE ENVASADO PET NO RETORNABLEALMACEN DE PALETS")</f>
        <v>LINEA DE ENVASADO PET NO RETORNABLEALMACEN DE PALETS</v>
      </c>
      <c r="V54" s="5"/>
      <c r="W54" s="5" t="b">
        <f ca="1">IFERROR(__xludf.DUMMYFUNCTION("""COMPUTED_VALUE"""),TRUE)</f>
        <v>1</v>
      </c>
      <c r="X54" s="5" t="str">
        <f ca="1">IFERROR(__xludf.DUMMYFUNCTION("""COMPUTED_VALUE"""),"wguerra@postobon.com.co,aprmttoyu@postobon.com.co,aprmyu@postobon.com.co,wmora@postobon.com.co,efzapata@postobon.com.co")</f>
        <v>wguerra@postobon.com.co,aprmttoyu@postobon.com.co,aprmyu@postobon.com.co,wmora@postobon.com.co,efzapata@postobon.com.co</v>
      </c>
      <c r="Y54" s="5" t="str">
        <f ca="1">IFERROR(__xludf.DUMMYFUNCTION("""COMPUTED_VALUE"""),"wguerra@postobon.com.co")</f>
        <v>wguerra@postobon.com.co</v>
      </c>
      <c r="Z54" s="5" t="str">
        <f ca="1">IFERROR(__xludf.DUMMYFUNCTION("""COMPUTED_VALUE"""),"dkHu4wb-SqaBLKh3ajMV0g")</f>
        <v>dkHu4wb-SqaBLKh3ajMV0g</v>
      </c>
      <c r="AA54" s="5"/>
      <c r="AB54" s="5"/>
      <c r="AC54" s="5"/>
      <c r="AD54" s="5">
        <f ca="1">IFERROR(__xludf.DUMMYFUNCTION("""COMPUTED_VALUE"""),12)</f>
        <v>12</v>
      </c>
      <c r="AE54" s="5">
        <f ca="1">IFERROR(__xludf.DUMMYFUNCTION("""COMPUTED_VALUE"""),12)</f>
        <v>12</v>
      </c>
      <c r="AF54" s="5" t="b">
        <f ca="1">IFERROR(__xludf.DUMMYFUNCTION("""COMPUTED_VALUE"""),FALSE)</f>
        <v>0</v>
      </c>
      <c r="AG54" s="5" t="str">
        <f ca="1">IFERROR(__xludf.DUMMYFUNCTION("""COMPUTED_VALUE"""),"INSPECCIONES REALIZADAS")</f>
        <v>INSPECCIONES REALIZADAS</v>
      </c>
      <c r="AH54" s="5"/>
    </row>
    <row r="55" spans="1:34">
      <c r="A55" s="5" t="str">
        <f ca="1">IFERROR(__xludf.DUMMYFUNCTION("""COMPUTED_VALUE"""),"LINEA DE ENVASADO PET NO RETORNABLE")</f>
        <v>LINEA DE ENVASADO PET NO RETORNABLE</v>
      </c>
      <c r="B55" s="5">
        <f ca="1">IFERROR(__xludf.DUMMYFUNCTION("""COMPUTED_VALUE"""),900231)</f>
        <v>900231</v>
      </c>
      <c r="C55" s="5" t="str">
        <f ca="1">IFERROR(__xludf.DUMMYFUNCTION("""COMPUTED_VALUE"""),"ALMACEN DE PALETS")</f>
        <v>ALMACEN DE PALETS</v>
      </c>
      <c r="D55" s="5">
        <f ca="1">IFERROR(__xludf.DUMMYFUNCTION("""COMPUTED_VALUE"""),13247812)</f>
        <v>13247812</v>
      </c>
      <c r="E55" s="5" t="str">
        <f ca="1">IFERROR(__xludf.DUMMYFUNCTION("""COMPUTED_VALUE"""),"INSPECCION SEMANAL ALMACEN DE PALETS")</f>
        <v>INSPECCION SEMANAL ALMACEN DE PALETS</v>
      </c>
      <c r="F55" s="5" t="str">
        <f ca="1">IFERROR(__xludf.DUMMYFUNCTION("""COMPUTED_VALUE"""),"ESTADO DE MAQUINA ROBO-PAC")</f>
        <v>ESTADO DE MAQUINA ROBO-PAC</v>
      </c>
      <c r="G55" s="5" t="b">
        <f ca="1">IFERROR(__xludf.DUMMYFUNCTION("""COMPUTED_VALUE"""),TRUE)</f>
        <v>1</v>
      </c>
      <c r="H55" s="5"/>
      <c r="I55" s="5"/>
      <c r="J55" s="5">
        <f ca="1">IFERROR(__xludf.DUMMYFUNCTION("""COMPUTED_VALUE"""),13247812)</f>
        <v>13247812</v>
      </c>
      <c r="K55" s="5"/>
      <c r="L55" s="18">
        <f ca="1">IFERROR(__xludf.DUMMYFUNCTION("""COMPUTED_VALUE"""),45325)</f>
        <v>45325</v>
      </c>
      <c r="M55" s="18">
        <f ca="1">IFERROR(__xludf.DUMMYFUNCTION("""COMPUTED_VALUE"""),45325)</f>
        <v>45325</v>
      </c>
      <c r="N55" s="5" t="str">
        <f ca="1">IFERROR(__xludf.DUMMYFUNCTION("""COMPUTED_VALUE"""),"Héctor Toro")</f>
        <v>Héctor Toro</v>
      </c>
      <c r="O55" s="2">
        <f ca="1">IFERROR(__xludf.DUMMYFUNCTION("""COMPUTED_VALUE"""),0.009090909)</f>
        <v>9.0909089999999994E-3</v>
      </c>
      <c r="P55" s="5">
        <f ca="1">IFERROR(__xludf.DUMMYFUNCTION("""COMPUTED_VALUE"""),20062740)</f>
        <v>20062740</v>
      </c>
      <c r="Q55" s="5" t="str">
        <f ca="1">IFERROR(__xludf.DUMMYFUNCTION("""COMPUTED_VALUE"""),"bPXp_8Mk4r0")</f>
        <v>bPXp_8Mk4r0</v>
      </c>
      <c r="R55" s="5">
        <f ca="1">IFERROR(__xludf.DUMMYFUNCTION("""COMPUTED_VALUE"""),410)</f>
        <v>410</v>
      </c>
      <c r="S55" s="62">
        <f ca="1">IFERROR(__xludf.DUMMYFUNCTION("""COMPUTED_VALUE"""),0.009090909)</f>
        <v>9.0909089999999994E-3</v>
      </c>
      <c r="T55" s="63" t="str">
        <f ca="1">IFERROR(__xludf.DUMMYFUNCTION("""COMPUTED_VALUE"""),"https://storage.googleapis.com/glide-prod.appspot.com/uploads-v2/ly7o78grxPaC6KdgvbpS/pub/3aRdSog0vUtuqPE8AJKD.png")</f>
        <v>https://storage.googleapis.com/glide-prod.appspot.com/uploads-v2/ly7o78grxPaC6KdgvbpS/pub/3aRdSog0vUtuqPE8AJKD.png</v>
      </c>
      <c r="U55" s="5" t="str">
        <f ca="1">IFERROR(__xludf.DUMMYFUNCTION("""COMPUTED_VALUE"""),"LINEA DE ENVASADO PET NO RETORNABLEALMACEN DE PALETS")</f>
        <v>LINEA DE ENVASADO PET NO RETORNABLEALMACEN DE PALETS</v>
      </c>
      <c r="V55" s="5"/>
      <c r="W55" s="5" t="b">
        <f ca="1">IFERROR(__xludf.DUMMYFUNCTION("""COMPUTED_VALUE"""),TRUE)</f>
        <v>1</v>
      </c>
      <c r="X55" s="5" t="str">
        <f ca="1">IFERROR(__xludf.DUMMYFUNCTION("""COMPUTED_VALUE"""),"wguerra@postobon.com.co,aprmttoyu@postobon.com.co,aprmyu@postobon.com.co,wmora@postobon.com.co,efzapata@postobon.com.co")</f>
        <v>wguerra@postobon.com.co,aprmttoyu@postobon.com.co,aprmyu@postobon.com.co,wmora@postobon.com.co,efzapata@postobon.com.co</v>
      </c>
      <c r="Y55" s="5" t="str">
        <f ca="1">IFERROR(__xludf.DUMMYFUNCTION("""COMPUTED_VALUE"""),"wguerra@postobon.com.co")</f>
        <v>wguerra@postobon.com.co</v>
      </c>
      <c r="Z55" s="5" t="str">
        <f ca="1">IFERROR(__xludf.DUMMYFUNCTION("""COMPUTED_VALUE"""),"7vR9BSImT.qpAetVbwIvNg")</f>
        <v>7vR9BSImT.qpAetVbwIvNg</v>
      </c>
      <c r="AA55" s="5"/>
      <c r="AB55" s="5"/>
      <c r="AC55" s="5"/>
      <c r="AD55" s="5">
        <f ca="1">IFERROR(__xludf.DUMMYFUNCTION("""COMPUTED_VALUE"""),12)</f>
        <v>12</v>
      </c>
      <c r="AE55" s="5">
        <f ca="1">IFERROR(__xludf.DUMMYFUNCTION("""COMPUTED_VALUE"""),12)</f>
        <v>12</v>
      </c>
      <c r="AF55" s="5" t="b">
        <f ca="1">IFERROR(__xludf.DUMMYFUNCTION("""COMPUTED_VALUE"""),FALSE)</f>
        <v>0</v>
      </c>
      <c r="AG55" s="5" t="str">
        <f ca="1">IFERROR(__xludf.DUMMYFUNCTION("""COMPUTED_VALUE"""),"INSPECCIONES REALIZADAS")</f>
        <v>INSPECCIONES REALIZADAS</v>
      </c>
      <c r="AH55" s="5"/>
    </row>
    <row r="56" spans="1:34">
      <c r="A56" s="5" t="str">
        <f ca="1">IFERROR(__xludf.DUMMYFUNCTION("""COMPUTED_VALUE"""),"LINEA DE ENVASADO PET NO RETORNABLE")</f>
        <v>LINEA DE ENVASADO PET NO RETORNABLE</v>
      </c>
      <c r="B56" s="5">
        <f ca="1">IFERROR(__xludf.DUMMYFUNCTION("""COMPUTED_VALUE"""),71031602)</f>
        <v>71031602</v>
      </c>
      <c r="C56" s="5" t="str">
        <f ca="1">IFERROR(__xludf.DUMMYFUNCTION("""COMPUTED_VALUE"""),"APLICADOR DE ADHESIVO HOTMELT SERIE C")</f>
        <v>APLICADOR DE ADHESIVO HOTMELT SERIE C</v>
      </c>
      <c r="D56" s="5">
        <f ca="1">IFERROR(__xludf.DUMMYFUNCTION("""COMPUTED_VALUE"""),13247215)</f>
        <v>13247215</v>
      </c>
      <c r="E56" s="5" t="str">
        <f ca="1">IFERROR(__xludf.DUMMYFUNCTION("""COMPUTED_VALUE"""),"INSPECCION SEMANAL APLICADOR DE ADHESIVO")</f>
        <v>INSPECCION SEMANAL APLICADOR DE ADHESIVO</v>
      </c>
      <c r="F56" s="5" t="str">
        <f ca="1">IFERROR(__xludf.DUMMYFUNCTION("""COMPUTED_VALUE"""),"PLAN MTTO APLICADOR ADHESIVO L1 71031602")</f>
        <v>PLAN MTTO APLICADOR ADHESIVO L1 71031602</v>
      </c>
      <c r="G56" s="5" t="b">
        <f ca="1">IFERROR(__xludf.DUMMYFUNCTION("""COMPUTED_VALUE"""),TRUE)</f>
        <v>1</v>
      </c>
      <c r="H56" s="5"/>
      <c r="I56" s="5"/>
      <c r="J56" s="5">
        <f ca="1">IFERROR(__xludf.DUMMYFUNCTION("""COMPUTED_VALUE"""),13247215)</f>
        <v>13247215</v>
      </c>
      <c r="K56" s="5"/>
      <c r="L56" s="18">
        <f ca="1">IFERROR(__xludf.DUMMYFUNCTION("""COMPUTED_VALUE"""),45324)</f>
        <v>45324</v>
      </c>
      <c r="M56" s="18">
        <f ca="1">IFERROR(__xludf.DUMMYFUNCTION("""COMPUTED_VALUE"""),45324)</f>
        <v>45324</v>
      </c>
      <c r="N56" s="5" t="str">
        <f ca="1">IFERROR(__xludf.DUMMYFUNCTION("""COMPUTED_VALUE"""),"Pedroza Barrera Diego Fernando")</f>
        <v>Pedroza Barrera Diego Fernando</v>
      </c>
      <c r="O56" s="2">
        <f ca="1">IFERROR(__xludf.DUMMYFUNCTION("""COMPUTED_VALUE"""),0.1)</f>
        <v>0.1</v>
      </c>
      <c r="P56" s="5">
        <f ca="1">IFERROR(__xludf.DUMMYFUNCTION("""COMPUTED_VALUE"""),20010075)</f>
        <v>20010075</v>
      </c>
      <c r="Q56" s="5" t="str">
        <f ca="1">IFERROR(__xludf.DUMMYFUNCTION("""COMPUTED_VALUE"""),"vdjZC4OSNhU")</f>
        <v>vdjZC4OSNhU</v>
      </c>
      <c r="R56" s="5">
        <f ca="1">IFERROR(__xludf.DUMMYFUNCTION("""COMPUTED_VALUE"""),410)</f>
        <v>410</v>
      </c>
      <c r="S56" s="62">
        <f ca="1">IFERROR(__xludf.DUMMYFUNCTION("""COMPUTED_VALUE"""),0.1)</f>
        <v>0.1</v>
      </c>
      <c r="T56" s="63" t="str">
        <f ca="1">IFERROR(__xludf.DUMMYFUNCTION("""COMPUTED_VALUE"""),"https://storage.googleapis.com/glide-prod.appspot.com/uploads-v2/ly7o78grxPaC6KdgvbpS/pub/3aRdSog0vUtuqPE8AJKD.png")</f>
        <v>https://storage.googleapis.com/glide-prod.appspot.com/uploads-v2/ly7o78grxPaC6KdgvbpS/pub/3aRdSog0vUtuqPE8AJKD.png</v>
      </c>
      <c r="U56" s="5" t="str">
        <f ca="1">IFERROR(__xludf.DUMMYFUNCTION("""COMPUTED_VALUE"""),"LINEA DE ENVASADO PET NO RETORNABLEAPLICADOR DE ADHESIVO HOTMELT SERIE C")</f>
        <v>LINEA DE ENVASADO PET NO RETORNABLEAPLICADOR DE ADHESIVO HOTMELT SERIE C</v>
      </c>
      <c r="V56" s="5"/>
      <c r="W56" s="5" t="b">
        <f ca="1">IFERROR(__xludf.DUMMYFUNCTION("""COMPUTED_VALUE"""),TRUE)</f>
        <v>1</v>
      </c>
      <c r="X56" s="5" t="str">
        <f ca="1">IFERROR(__xludf.DUMMYFUNCTION("""COMPUTED_VALUE"""),"wguerra@postobon.com.co,aprmttoyu@postobon.com.co,aprmyu@postobon.com.co,wmora@postobon.com.co,efzapata@postobon.com.co")</f>
        <v>wguerra@postobon.com.co,aprmttoyu@postobon.com.co,aprmyu@postobon.com.co,wmora@postobon.com.co,efzapata@postobon.com.co</v>
      </c>
      <c r="Y56" s="5" t="str">
        <f ca="1">IFERROR(__xludf.DUMMYFUNCTION("""COMPUTED_VALUE"""),"wguerra@postobon.com.co")</f>
        <v>wguerra@postobon.com.co</v>
      </c>
      <c r="Z56" s="5" t="str">
        <f ca="1">IFERROR(__xludf.DUMMYFUNCTION("""COMPUTED_VALUE"""),"r8Zsh44PQGWMbH5qAK1-Lg")</f>
        <v>r8Zsh44PQGWMbH5qAK1-Lg</v>
      </c>
      <c r="AA56" s="5"/>
      <c r="AB56" s="5"/>
      <c r="AC56" s="5"/>
      <c r="AD56" s="5">
        <f ca="1">IFERROR(__xludf.DUMMYFUNCTION("""COMPUTED_VALUE"""),1)</f>
        <v>1</v>
      </c>
      <c r="AE56" s="5">
        <f ca="1">IFERROR(__xludf.DUMMYFUNCTION("""COMPUTED_VALUE"""),1)</f>
        <v>1</v>
      </c>
      <c r="AF56" s="5" t="b">
        <f ca="1">IFERROR(__xludf.DUMMYFUNCTION("""COMPUTED_VALUE"""),FALSE)</f>
        <v>0</v>
      </c>
      <c r="AG56" s="5" t="str">
        <f ca="1">IFERROR(__xludf.DUMMYFUNCTION("""COMPUTED_VALUE"""),"INSPECCIONES REALIZADAS")</f>
        <v>INSPECCIONES REALIZADAS</v>
      </c>
      <c r="AH56" s="5"/>
    </row>
    <row r="57" spans="1:34">
      <c r="A57" s="5" t="str">
        <f ca="1">IFERROR(__xludf.DUMMYFUNCTION("""COMPUTED_VALUE"""),"LINEA ENVASADO BAG IN BOX DISPENSADORES")</f>
        <v>LINEA ENVASADO BAG IN BOX DISPENSADORES</v>
      </c>
      <c r="B57" s="5">
        <f ca="1">IFERROR(__xludf.DUMMYFUNCTION("""COMPUTED_VALUE"""),71017402)</f>
        <v>71017402</v>
      </c>
      <c r="C57" s="5" t="str">
        <f ca="1">IFERROR(__xludf.DUMMYFUNCTION("""COMPUTED_VALUE"""),"APLICADOR DE HOT MELT")</f>
        <v>APLICADOR DE HOT MELT</v>
      </c>
      <c r="D57" s="5">
        <f ca="1">IFERROR(__xludf.DUMMYFUNCTION("""COMPUTED_VALUE"""),13247790)</f>
        <v>13247790</v>
      </c>
      <c r="E57" s="5" t="str">
        <f ca="1">IFERROR(__xludf.DUMMYFUNCTION("""COMPUTED_VALUE"""),"INSPECCION SEMANAL APLICADOR DE HOT MELT")</f>
        <v>INSPECCION SEMANAL APLICADOR DE HOT MELT</v>
      </c>
      <c r="F57" s="5" t="str">
        <f ca="1">IFERROR(__xludf.DUMMYFUNCTION("""COMPUTED_VALUE"""),"REVISION ESTADO PISTOLA")</f>
        <v>REVISION ESTADO PISTOLA</v>
      </c>
      <c r="G57" s="5" t="b">
        <f ca="1">IFERROR(__xludf.DUMMYFUNCTION("""COMPUTED_VALUE"""),TRUE)</f>
        <v>1</v>
      </c>
      <c r="H57" s="5"/>
      <c r="I57" s="5"/>
      <c r="J57" s="5">
        <f ca="1">IFERROR(__xludf.DUMMYFUNCTION("""COMPUTED_VALUE"""),13247790)</f>
        <v>13247790</v>
      </c>
      <c r="K57" s="5"/>
      <c r="L57" s="18">
        <f ca="1">IFERROR(__xludf.DUMMYFUNCTION("""COMPUTED_VALUE"""),45325)</f>
        <v>45325</v>
      </c>
      <c r="M57" s="18">
        <f ca="1">IFERROR(__xludf.DUMMYFUNCTION("""COMPUTED_VALUE"""),45325)</f>
        <v>45325</v>
      </c>
      <c r="N57" s="5" t="str">
        <f ca="1">IFERROR(__xludf.DUMMYFUNCTION("""COMPUTED_VALUE"""),"MARIO ALBERTO MARTÍNEZ MORA")</f>
        <v>MARIO ALBERTO MARTÍNEZ MORA</v>
      </c>
      <c r="O57" s="2">
        <f ca="1">IFERROR(__xludf.DUMMYFUNCTION("""COMPUTED_VALUE"""),0.025)</f>
        <v>2.5000000000000001E-2</v>
      </c>
      <c r="P57" s="5">
        <f ca="1">IFERROR(__xludf.DUMMYFUNCTION("""COMPUTED_VALUE"""),94542837)</f>
        <v>94542837</v>
      </c>
      <c r="Q57" s="5" t="str">
        <f ca="1">IFERROR(__xludf.DUMMYFUNCTION("""COMPUTED_VALUE"""),"zta8F1R5U3g")</f>
        <v>zta8F1R5U3g</v>
      </c>
      <c r="R57" s="5">
        <f ca="1">IFERROR(__xludf.DUMMYFUNCTION("""COMPUTED_VALUE"""),410)</f>
        <v>410</v>
      </c>
      <c r="S57" s="62">
        <f ca="1">IFERROR(__xludf.DUMMYFUNCTION("""COMPUTED_VALUE"""),0.025)</f>
        <v>2.5000000000000001E-2</v>
      </c>
      <c r="T57" s="63" t="str">
        <f ca="1">IFERROR(__xludf.DUMMYFUNCTION("""COMPUTED_VALUE"""),"https://storage.googleapis.com/glide-prod.appspot.com/uploads-v2/ly7o78grxPaC6KdgvbpS/pub/3aRdSog0vUtuqPE8AJKD.png")</f>
        <v>https://storage.googleapis.com/glide-prod.appspot.com/uploads-v2/ly7o78grxPaC6KdgvbpS/pub/3aRdSog0vUtuqPE8AJKD.png</v>
      </c>
      <c r="U57" s="5" t="str">
        <f ca="1">IFERROR(__xludf.DUMMYFUNCTION("""COMPUTED_VALUE"""),"LINEA ENVASADO BAG IN BOX DISPENSADORESAPLICADOR DE HOT MELT")</f>
        <v>LINEA ENVASADO BAG IN BOX DISPENSADORESAPLICADOR DE HOT MELT</v>
      </c>
      <c r="V57" s="5"/>
      <c r="W57" s="5" t="b">
        <f ca="1">IFERROR(__xludf.DUMMYFUNCTION("""COMPUTED_VALUE"""),TRUE)</f>
        <v>1</v>
      </c>
      <c r="X57" s="5" t="str">
        <f ca="1">IFERROR(__xludf.DUMMYFUNCTION("""COMPUTED_VALUE"""),"wguerra@postobon.com.co,aprmttoyu@postobon.com.co,aprmyu@postobon.com.co,wmora@postobon.com.co,efzapata@postobon.com.co")</f>
        <v>wguerra@postobon.com.co,aprmttoyu@postobon.com.co,aprmyu@postobon.com.co,wmora@postobon.com.co,efzapata@postobon.com.co</v>
      </c>
      <c r="Y57" s="5" t="str">
        <f ca="1">IFERROR(__xludf.DUMMYFUNCTION("""COMPUTED_VALUE"""),"wguerra@postobon.com.co")</f>
        <v>wguerra@postobon.com.co</v>
      </c>
      <c r="Z57" s="5" t="str">
        <f ca="1">IFERROR(__xludf.DUMMYFUNCTION("""COMPUTED_VALUE"""),"3z3U16xtSC6mmXSSJfg5-A")</f>
        <v>3z3U16xtSC6mmXSSJfg5-A</v>
      </c>
      <c r="AA57" s="5"/>
      <c r="AB57" s="5"/>
      <c r="AC57" s="5"/>
      <c r="AD57" s="5">
        <f ca="1">IFERROR(__xludf.DUMMYFUNCTION("""COMPUTED_VALUE"""),65)</f>
        <v>65</v>
      </c>
      <c r="AE57" s="5">
        <f ca="1">IFERROR(__xludf.DUMMYFUNCTION("""COMPUTED_VALUE"""),65)</f>
        <v>65</v>
      </c>
      <c r="AF57" s="5" t="b">
        <f ca="1">IFERROR(__xludf.DUMMYFUNCTION("""COMPUTED_VALUE"""),FALSE)</f>
        <v>0</v>
      </c>
      <c r="AG57" s="5" t="str">
        <f ca="1">IFERROR(__xludf.DUMMYFUNCTION("""COMPUTED_VALUE"""),"INSPECCIONES REALIZADAS")</f>
        <v>INSPECCIONES REALIZADAS</v>
      </c>
      <c r="AH57" s="5"/>
    </row>
    <row r="58" spans="1:34">
      <c r="A58" s="5" t="str">
        <f ca="1">IFERROR(__xludf.DUMMYFUNCTION("""COMPUTED_VALUE"""),"LINEA ENVASADO BAG IN BOX DISPENSADORES")</f>
        <v>LINEA ENVASADO BAG IN BOX DISPENSADORES</v>
      </c>
      <c r="B58" s="5">
        <f ca="1">IFERROR(__xludf.DUMMYFUNCTION("""COMPUTED_VALUE"""),71017402)</f>
        <v>71017402</v>
      </c>
      <c r="C58" s="5" t="str">
        <f ca="1">IFERROR(__xludf.DUMMYFUNCTION("""COMPUTED_VALUE"""),"APLICADOR DE HOT MELT")</f>
        <v>APLICADOR DE HOT MELT</v>
      </c>
      <c r="D58" s="5">
        <f ca="1">IFERROR(__xludf.DUMMYFUNCTION("""COMPUTED_VALUE"""),13247790)</f>
        <v>13247790</v>
      </c>
      <c r="E58" s="5" t="str">
        <f ca="1">IFERROR(__xludf.DUMMYFUNCTION("""COMPUTED_VALUE"""),"INSPECCION SEMANAL APLICADOR DE HOT MELT")</f>
        <v>INSPECCION SEMANAL APLICADOR DE HOT MELT</v>
      </c>
      <c r="F58" s="5" t="str">
        <f ca="1">IFERROR(__xludf.DUMMYFUNCTION("""COMPUTED_VALUE"""),"INSPECCION ESTADO TANQUE")</f>
        <v>INSPECCION ESTADO TANQUE</v>
      </c>
      <c r="G58" s="5" t="b">
        <f ca="1">IFERROR(__xludf.DUMMYFUNCTION("""COMPUTED_VALUE"""),TRUE)</f>
        <v>1</v>
      </c>
      <c r="H58" s="5"/>
      <c r="I58" s="5"/>
      <c r="J58" s="5">
        <f ca="1">IFERROR(__xludf.DUMMYFUNCTION("""COMPUTED_VALUE"""),13247790)</f>
        <v>13247790</v>
      </c>
      <c r="K58" s="5"/>
      <c r="L58" s="18">
        <f ca="1">IFERROR(__xludf.DUMMYFUNCTION("""COMPUTED_VALUE"""),45325)</f>
        <v>45325</v>
      </c>
      <c r="M58" s="18">
        <f ca="1">IFERROR(__xludf.DUMMYFUNCTION("""COMPUTED_VALUE"""),45325)</f>
        <v>45325</v>
      </c>
      <c r="N58" s="5" t="str">
        <f ca="1">IFERROR(__xludf.DUMMYFUNCTION("""COMPUTED_VALUE"""),"MARIO ALBERTO MARTÍNEZ MORA")</f>
        <v>MARIO ALBERTO MARTÍNEZ MORA</v>
      </c>
      <c r="O58" s="2">
        <f ca="1">IFERROR(__xludf.DUMMYFUNCTION("""COMPUTED_VALUE"""),0.025)</f>
        <v>2.5000000000000001E-2</v>
      </c>
      <c r="P58" s="5">
        <f ca="1">IFERROR(__xludf.DUMMYFUNCTION("""COMPUTED_VALUE"""),94542837)</f>
        <v>94542837</v>
      </c>
      <c r="Q58" s="5" t="str">
        <f ca="1">IFERROR(__xludf.DUMMYFUNCTION("""COMPUTED_VALUE"""),"Llsq2CdVD4M")</f>
        <v>Llsq2CdVD4M</v>
      </c>
      <c r="R58" s="5">
        <f ca="1">IFERROR(__xludf.DUMMYFUNCTION("""COMPUTED_VALUE"""),410)</f>
        <v>410</v>
      </c>
      <c r="S58" s="62">
        <f ca="1">IFERROR(__xludf.DUMMYFUNCTION("""COMPUTED_VALUE"""),0.025)</f>
        <v>2.5000000000000001E-2</v>
      </c>
      <c r="T58" s="63" t="str">
        <f ca="1">IFERROR(__xludf.DUMMYFUNCTION("""COMPUTED_VALUE"""),"https://storage.googleapis.com/glide-prod.appspot.com/uploads-v2/ly7o78grxPaC6KdgvbpS/pub/3aRdSog0vUtuqPE8AJKD.png")</f>
        <v>https://storage.googleapis.com/glide-prod.appspot.com/uploads-v2/ly7o78grxPaC6KdgvbpS/pub/3aRdSog0vUtuqPE8AJKD.png</v>
      </c>
      <c r="U58" s="5" t="str">
        <f ca="1">IFERROR(__xludf.DUMMYFUNCTION("""COMPUTED_VALUE"""),"LINEA ENVASADO BAG IN BOX DISPENSADORESAPLICADOR DE HOT MELT")</f>
        <v>LINEA ENVASADO BAG IN BOX DISPENSADORESAPLICADOR DE HOT MELT</v>
      </c>
      <c r="V58" s="5"/>
      <c r="W58" s="5" t="b">
        <f ca="1">IFERROR(__xludf.DUMMYFUNCTION("""COMPUTED_VALUE"""),TRUE)</f>
        <v>1</v>
      </c>
      <c r="X58" s="5" t="str">
        <f ca="1">IFERROR(__xludf.DUMMYFUNCTION("""COMPUTED_VALUE"""),"wguerra@postobon.com.co,aprmttoyu@postobon.com.co,aprmyu@postobon.com.co,wmora@postobon.com.co,efzapata@postobon.com.co")</f>
        <v>wguerra@postobon.com.co,aprmttoyu@postobon.com.co,aprmyu@postobon.com.co,wmora@postobon.com.co,efzapata@postobon.com.co</v>
      </c>
      <c r="Y58" s="5" t="str">
        <f ca="1">IFERROR(__xludf.DUMMYFUNCTION("""COMPUTED_VALUE"""),"wguerra@postobon.com.co")</f>
        <v>wguerra@postobon.com.co</v>
      </c>
      <c r="Z58" s="5" t="str">
        <f ca="1">IFERROR(__xludf.DUMMYFUNCTION("""COMPUTED_VALUE"""),"E9sBxfh-T2SKg-SOGjhu7A")</f>
        <v>E9sBxfh-T2SKg-SOGjhu7A</v>
      </c>
      <c r="AA58" s="5"/>
      <c r="AB58" s="5"/>
      <c r="AC58" s="5"/>
      <c r="AD58" s="5">
        <f ca="1">IFERROR(__xludf.DUMMYFUNCTION("""COMPUTED_VALUE"""),65)</f>
        <v>65</v>
      </c>
      <c r="AE58" s="5">
        <f ca="1">IFERROR(__xludf.DUMMYFUNCTION("""COMPUTED_VALUE"""),65)</f>
        <v>65</v>
      </c>
      <c r="AF58" s="5" t="b">
        <f ca="1">IFERROR(__xludf.DUMMYFUNCTION("""COMPUTED_VALUE"""),FALSE)</f>
        <v>0</v>
      </c>
      <c r="AG58" s="5" t="str">
        <f ca="1">IFERROR(__xludf.DUMMYFUNCTION("""COMPUTED_VALUE"""),"INSPECCIONES REALIZADAS")</f>
        <v>INSPECCIONES REALIZADAS</v>
      </c>
      <c r="AH58" s="5"/>
    </row>
    <row r="59" spans="1:34">
      <c r="A59" s="5" t="str">
        <f ca="1">IFERROR(__xludf.DUMMYFUNCTION("""COMPUTED_VALUE"""),"LINEA ENVASADO BAG IN BOX DISPENSADORES")</f>
        <v>LINEA ENVASADO BAG IN BOX DISPENSADORES</v>
      </c>
      <c r="B59" s="5">
        <f ca="1">IFERROR(__xludf.DUMMYFUNCTION("""COMPUTED_VALUE"""),71017402)</f>
        <v>71017402</v>
      </c>
      <c r="C59" s="5" t="str">
        <f ca="1">IFERROR(__xludf.DUMMYFUNCTION("""COMPUTED_VALUE"""),"APLICADOR DE HOT MELT")</f>
        <v>APLICADOR DE HOT MELT</v>
      </c>
      <c r="D59" s="5">
        <f ca="1">IFERROR(__xludf.DUMMYFUNCTION("""COMPUTED_VALUE"""),13247790)</f>
        <v>13247790</v>
      </c>
      <c r="E59" s="5" t="str">
        <f ca="1">IFERROR(__xludf.DUMMYFUNCTION("""COMPUTED_VALUE"""),"INSPECCION SEMANAL APLICADOR DE HOT MELT")</f>
        <v>INSPECCION SEMANAL APLICADOR DE HOT MELT</v>
      </c>
      <c r="F59" s="5" t="str">
        <f ca="1">IFERROR(__xludf.DUMMYFUNCTION("""COMPUTED_VALUE"""),"VERIFICAR ESTADO MANGUERA")</f>
        <v>VERIFICAR ESTADO MANGUERA</v>
      </c>
      <c r="G59" s="5" t="b">
        <f ca="1">IFERROR(__xludf.DUMMYFUNCTION("""COMPUTED_VALUE"""),TRUE)</f>
        <v>1</v>
      </c>
      <c r="H59" s="5"/>
      <c r="I59" s="5"/>
      <c r="J59" s="5">
        <f ca="1">IFERROR(__xludf.DUMMYFUNCTION("""COMPUTED_VALUE"""),13247790)</f>
        <v>13247790</v>
      </c>
      <c r="K59" s="5"/>
      <c r="L59" s="18">
        <f ca="1">IFERROR(__xludf.DUMMYFUNCTION("""COMPUTED_VALUE"""),45325)</f>
        <v>45325</v>
      </c>
      <c r="M59" s="18">
        <f ca="1">IFERROR(__xludf.DUMMYFUNCTION("""COMPUTED_VALUE"""),45325)</f>
        <v>45325</v>
      </c>
      <c r="N59" s="5" t="str">
        <f ca="1">IFERROR(__xludf.DUMMYFUNCTION("""COMPUTED_VALUE"""),"MARIO ALBERTO MARTÍNEZ MORA")</f>
        <v>MARIO ALBERTO MARTÍNEZ MORA</v>
      </c>
      <c r="O59" s="2">
        <f ca="1">IFERROR(__xludf.DUMMYFUNCTION("""COMPUTED_VALUE"""),0.025)</f>
        <v>2.5000000000000001E-2</v>
      </c>
      <c r="P59" s="5">
        <f ca="1">IFERROR(__xludf.DUMMYFUNCTION("""COMPUTED_VALUE"""),94542837)</f>
        <v>94542837</v>
      </c>
      <c r="Q59" s="5" t="str">
        <f ca="1">IFERROR(__xludf.DUMMYFUNCTION("""COMPUTED_VALUE"""),"KAApLkWT8RI")</f>
        <v>KAApLkWT8RI</v>
      </c>
      <c r="R59" s="5">
        <f ca="1">IFERROR(__xludf.DUMMYFUNCTION("""COMPUTED_VALUE"""),410)</f>
        <v>410</v>
      </c>
      <c r="S59" s="62">
        <f ca="1">IFERROR(__xludf.DUMMYFUNCTION("""COMPUTED_VALUE"""),0.025)</f>
        <v>2.5000000000000001E-2</v>
      </c>
      <c r="T59" s="63" t="str">
        <f ca="1">IFERROR(__xludf.DUMMYFUNCTION("""COMPUTED_VALUE"""),"https://storage.googleapis.com/glide-prod.appspot.com/uploads-v2/ly7o78grxPaC6KdgvbpS/pub/3aRdSog0vUtuqPE8AJKD.png")</f>
        <v>https://storage.googleapis.com/glide-prod.appspot.com/uploads-v2/ly7o78grxPaC6KdgvbpS/pub/3aRdSog0vUtuqPE8AJKD.png</v>
      </c>
      <c r="U59" s="5" t="str">
        <f ca="1">IFERROR(__xludf.DUMMYFUNCTION("""COMPUTED_VALUE"""),"LINEA ENVASADO BAG IN BOX DISPENSADORESAPLICADOR DE HOT MELT")</f>
        <v>LINEA ENVASADO BAG IN BOX DISPENSADORESAPLICADOR DE HOT MELT</v>
      </c>
      <c r="V59" s="5"/>
      <c r="W59" s="5" t="b">
        <f ca="1">IFERROR(__xludf.DUMMYFUNCTION("""COMPUTED_VALUE"""),TRUE)</f>
        <v>1</v>
      </c>
      <c r="X59" s="5" t="str">
        <f ca="1">IFERROR(__xludf.DUMMYFUNCTION("""COMPUTED_VALUE"""),"wguerra@postobon.com.co,aprmttoyu@postobon.com.co,aprmyu@postobon.com.co,wmora@postobon.com.co,efzapata@postobon.com.co")</f>
        <v>wguerra@postobon.com.co,aprmttoyu@postobon.com.co,aprmyu@postobon.com.co,wmora@postobon.com.co,efzapata@postobon.com.co</v>
      </c>
      <c r="Y59" s="5" t="str">
        <f ca="1">IFERROR(__xludf.DUMMYFUNCTION("""COMPUTED_VALUE"""),"wguerra@postobon.com.co")</f>
        <v>wguerra@postobon.com.co</v>
      </c>
      <c r="Z59" s="5" t="str">
        <f ca="1">IFERROR(__xludf.DUMMYFUNCTION("""COMPUTED_VALUE"""),"FFUOqfojQ.i9dCKivVTrvA")</f>
        <v>FFUOqfojQ.i9dCKivVTrvA</v>
      </c>
      <c r="AA59" s="5"/>
      <c r="AB59" s="5"/>
      <c r="AC59" s="5"/>
      <c r="AD59" s="5">
        <f ca="1">IFERROR(__xludf.DUMMYFUNCTION("""COMPUTED_VALUE"""),65)</f>
        <v>65</v>
      </c>
      <c r="AE59" s="5">
        <f ca="1">IFERROR(__xludf.DUMMYFUNCTION("""COMPUTED_VALUE"""),65)</f>
        <v>65</v>
      </c>
      <c r="AF59" s="5" t="b">
        <f ca="1">IFERROR(__xludf.DUMMYFUNCTION("""COMPUTED_VALUE"""),FALSE)</f>
        <v>0</v>
      </c>
      <c r="AG59" s="5" t="str">
        <f ca="1">IFERROR(__xludf.DUMMYFUNCTION("""COMPUTED_VALUE"""),"INSPECCIONES REALIZADAS")</f>
        <v>INSPECCIONES REALIZADAS</v>
      </c>
      <c r="AH59" s="5"/>
    </row>
    <row r="60" spans="1:34">
      <c r="A60" s="5" t="str">
        <f ca="1">IFERROR(__xludf.DUMMYFUNCTION("""COMPUTED_VALUE"""),"LINEA ENVASADO BAG IN BOX DISPENSADORES")</f>
        <v>LINEA ENVASADO BAG IN BOX DISPENSADORES</v>
      </c>
      <c r="B60" s="5">
        <f ca="1">IFERROR(__xludf.DUMMYFUNCTION("""COMPUTED_VALUE"""),71017402)</f>
        <v>71017402</v>
      </c>
      <c r="C60" s="5" t="str">
        <f ca="1">IFERROR(__xludf.DUMMYFUNCTION("""COMPUTED_VALUE"""),"APLICADOR DE HOT MELT")</f>
        <v>APLICADOR DE HOT MELT</v>
      </c>
      <c r="D60" s="5">
        <f ca="1">IFERROR(__xludf.DUMMYFUNCTION("""COMPUTED_VALUE"""),13247790)</f>
        <v>13247790</v>
      </c>
      <c r="E60" s="5" t="str">
        <f ca="1">IFERROR(__xludf.DUMMYFUNCTION("""COMPUTED_VALUE"""),"INSPECCION SEMANAL APLICADOR DE HOT MELT")</f>
        <v>INSPECCION SEMANAL APLICADOR DE HOT MELT</v>
      </c>
      <c r="F60" s="5" t="str">
        <f ca="1">IFERROR(__xludf.DUMMYFUNCTION("""COMPUTED_VALUE"""),"REVISAR APLICACIÓN PEGANTE")</f>
        <v>REVISAR APLICACIÓN PEGANTE</v>
      </c>
      <c r="G60" s="5" t="b">
        <f ca="1">IFERROR(__xludf.DUMMYFUNCTION("""COMPUTED_VALUE"""),TRUE)</f>
        <v>1</v>
      </c>
      <c r="H60" s="5"/>
      <c r="I60" s="5"/>
      <c r="J60" s="5">
        <f ca="1">IFERROR(__xludf.DUMMYFUNCTION("""COMPUTED_VALUE"""),13247790)</f>
        <v>13247790</v>
      </c>
      <c r="K60" s="5"/>
      <c r="L60" s="18">
        <f ca="1">IFERROR(__xludf.DUMMYFUNCTION("""COMPUTED_VALUE"""),45325)</f>
        <v>45325</v>
      </c>
      <c r="M60" s="18">
        <f ca="1">IFERROR(__xludf.DUMMYFUNCTION("""COMPUTED_VALUE"""),45325)</f>
        <v>45325</v>
      </c>
      <c r="N60" s="5" t="str">
        <f ca="1">IFERROR(__xludf.DUMMYFUNCTION("""COMPUTED_VALUE"""),"MARIO ALBERTO MARTÍNEZ MORA")</f>
        <v>MARIO ALBERTO MARTÍNEZ MORA</v>
      </c>
      <c r="O60" s="2">
        <f ca="1">IFERROR(__xludf.DUMMYFUNCTION("""COMPUTED_VALUE"""),0.025)</f>
        <v>2.5000000000000001E-2</v>
      </c>
      <c r="P60" s="5">
        <f ca="1">IFERROR(__xludf.DUMMYFUNCTION("""COMPUTED_VALUE"""),94542837)</f>
        <v>94542837</v>
      </c>
      <c r="Q60" s="5" t="str">
        <f ca="1">IFERROR(__xludf.DUMMYFUNCTION("""COMPUTED_VALUE"""),"DUhwJpCspS0")</f>
        <v>DUhwJpCspS0</v>
      </c>
      <c r="R60" s="5">
        <f ca="1">IFERROR(__xludf.DUMMYFUNCTION("""COMPUTED_VALUE"""),410)</f>
        <v>410</v>
      </c>
      <c r="S60" s="62">
        <f ca="1">IFERROR(__xludf.DUMMYFUNCTION("""COMPUTED_VALUE"""),0.025)</f>
        <v>2.5000000000000001E-2</v>
      </c>
      <c r="T60" s="63" t="str">
        <f ca="1">IFERROR(__xludf.DUMMYFUNCTION("""COMPUTED_VALUE"""),"https://storage.googleapis.com/glide-prod.appspot.com/uploads-v2/ly7o78grxPaC6KdgvbpS/pub/3aRdSog0vUtuqPE8AJKD.png")</f>
        <v>https://storage.googleapis.com/glide-prod.appspot.com/uploads-v2/ly7o78grxPaC6KdgvbpS/pub/3aRdSog0vUtuqPE8AJKD.png</v>
      </c>
      <c r="U60" s="5" t="str">
        <f ca="1">IFERROR(__xludf.DUMMYFUNCTION("""COMPUTED_VALUE"""),"LINEA ENVASADO BAG IN BOX DISPENSADORESAPLICADOR DE HOT MELT")</f>
        <v>LINEA ENVASADO BAG IN BOX DISPENSADORESAPLICADOR DE HOT MELT</v>
      </c>
      <c r="V60" s="5"/>
      <c r="W60" s="5" t="b">
        <f ca="1">IFERROR(__xludf.DUMMYFUNCTION("""COMPUTED_VALUE"""),TRUE)</f>
        <v>1</v>
      </c>
      <c r="X60" s="5" t="str">
        <f ca="1">IFERROR(__xludf.DUMMYFUNCTION("""COMPUTED_VALUE"""),"wguerra@postobon.com.co,aprmttoyu@postobon.com.co,aprmyu@postobon.com.co,wmora@postobon.com.co,efzapata@postobon.com.co")</f>
        <v>wguerra@postobon.com.co,aprmttoyu@postobon.com.co,aprmyu@postobon.com.co,wmora@postobon.com.co,efzapata@postobon.com.co</v>
      </c>
      <c r="Y60" s="5" t="str">
        <f ca="1">IFERROR(__xludf.DUMMYFUNCTION("""COMPUTED_VALUE"""),"wguerra@postobon.com.co")</f>
        <v>wguerra@postobon.com.co</v>
      </c>
      <c r="Z60" s="5" t="str">
        <f ca="1">IFERROR(__xludf.DUMMYFUNCTION("""COMPUTED_VALUE"""),"yGzj.1U2Sk6yljzDfqcIkw")</f>
        <v>yGzj.1U2Sk6yljzDfqcIkw</v>
      </c>
      <c r="AA60" s="5"/>
      <c r="AB60" s="5"/>
      <c r="AC60" s="5"/>
      <c r="AD60" s="5">
        <f ca="1">IFERROR(__xludf.DUMMYFUNCTION("""COMPUTED_VALUE"""),65)</f>
        <v>65</v>
      </c>
      <c r="AE60" s="5">
        <f ca="1">IFERROR(__xludf.DUMMYFUNCTION("""COMPUTED_VALUE"""),65)</f>
        <v>65</v>
      </c>
      <c r="AF60" s="5" t="b">
        <f ca="1">IFERROR(__xludf.DUMMYFUNCTION("""COMPUTED_VALUE"""),FALSE)</f>
        <v>0</v>
      </c>
      <c r="AG60" s="5" t="str">
        <f ca="1">IFERROR(__xludf.DUMMYFUNCTION("""COMPUTED_VALUE"""),"INSPECCIONES REALIZADAS")</f>
        <v>INSPECCIONES REALIZADAS</v>
      </c>
      <c r="AH60" s="5"/>
    </row>
    <row r="61" spans="1:34">
      <c r="A61" s="5" t="str">
        <f ca="1">IFERROR(__xludf.DUMMYFUNCTION("""COMPUTED_VALUE"""),"LINEA PARA EL LLENADO DE BOLSAS")</f>
        <v>LINEA PARA EL LLENADO DE BOLSAS</v>
      </c>
      <c r="B61" s="5">
        <f ca="1">IFERROR(__xludf.DUMMYFUNCTION("""COMPUTED_VALUE"""),589619)</f>
        <v>589619</v>
      </c>
      <c r="C61" s="5" t="str">
        <f ca="1">IFERROR(__xludf.DUMMYFUNCTION("""COMPUTED_VALUE"""),"CODIFICADOR PARA BOLSA 5 LT")</f>
        <v>CODIFICADOR PARA BOLSA 5 LT</v>
      </c>
      <c r="D61" s="5">
        <f ca="1">IFERROR(__xludf.DUMMYFUNCTION("""COMPUTED_VALUE"""),13247705)</f>
        <v>13247705</v>
      </c>
      <c r="E61" s="5" t="str">
        <f ca="1">IFERROR(__xludf.DUMMYFUNCTION("""COMPUTED_VALUE"""),"INSPECCION SEMANAL BOLSA 5L")</f>
        <v>INSPECCION SEMANAL BOLSA 5L</v>
      </c>
      <c r="F61" s="5" t="str">
        <f ca="1">IFERROR(__xludf.DUMMYFUNCTION("""COMPUTED_VALUE"""),"VERIFICAR CODIFICACION")</f>
        <v>VERIFICAR CODIFICACION</v>
      </c>
      <c r="G61" s="5" t="b">
        <f ca="1">IFERROR(__xludf.DUMMYFUNCTION("""COMPUTED_VALUE"""),TRUE)</f>
        <v>1</v>
      </c>
      <c r="H61" s="5"/>
      <c r="I61" s="5"/>
      <c r="J61" s="5">
        <f ca="1">IFERROR(__xludf.DUMMYFUNCTION("""COMPUTED_VALUE"""),13247705)</f>
        <v>13247705</v>
      </c>
      <c r="K61" s="5"/>
      <c r="L61" s="18">
        <f ca="1">IFERROR(__xludf.DUMMYFUNCTION("""COMPUTED_VALUE"""),45324)</f>
        <v>45324</v>
      </c>
      <c r="M61" s="18">
        <f ca="1">IFERROR(__xludf.DUMMYFUNCTION("""COMPUTED_VALUE"""),45324)</f>
        <v>45324</v>
      </c>
      <c r="N61" s="5" t="str">
        <f ca="1">IFERROR(__xludf.DUMMYFUNCTION("""COMPUTED_VALUE"""),"ESTEBAN POTOSI ISAZA")</f>
        <v>ESTEBAN POTOSI ISAZA</v>
      </c>
      <c r="O61" s="2">
        <f ca="1">IFERROR(__xludf.DUMMYFUNCTION("""COMPUTED_VALUE"""),0.033333333)</f>
        <v>3.3333333E-2</v>
      </c>
      <c r="P61" s="5">
        <f ca="1">IFERROR(__xludf.DUMMYFUNCTION("""COMPUTED_VALUE"""),20076884)</f>
        <v>20076884</v>
      </c>
      <c r="Q61" s="5" t="str">
        <f ca="1">IFERROR(__xludf.DUMMYFUNCTION("""COMPUTED_VALUE"""),"zl6-2aU66Vc")</f>
        <v>zl6-2aU66Vc</v>
      </c>
      <c r="R61" s="5">
        <f ca="1">IFERROR(__xludf.DUMMYFUNCTION("""COMPUTED_VALUE"""),410)</f>
        <v>410</v>
      </c>
      <c r="S61" s="62">
        <f ca="1">IFERROR(__xludf.DUMMYFUNCTION("""COMPUTED_VALUE"""),0.033333333)</f>
        <v>3.3333333E-2</v>
      </c>
      <c r="T61" s="63" t="str">
        <f ca="1">IFERROR(__xludf.DUMMYFUNCTION("""COMPUTED_VALUE"""),"https://storage.googleapis.com/glide-prod.appspot.com/uploads-v2/ly7o78grxPaC6KdgvbpS/pub/3aRdSog0vUtuqPE8AJKD.png")</f>
        <v>https://storage.googleapis.com/glide-prod.appspot.com/uploads-v2/ly7o78grxPaC6KdgvbpS/pub/3aRdSog0vUtuqPE8AJKD.png</v>
      </c>
      <c r="U61" s="5" t="str">
        <f ca="1">IFERROR(__xludf.DUMMYFUNCTION("""COMPUTED_VALUE"""),"LINEA PARA EL LLENADO DE BOLSASCODIFICADOR PARA BOLSA 5 LT")</f>
        <v>LINEA PARA EL LLENADO DE BOLSASCODIFICADOR PARA BOLSA 5 LT</v>
      </c>
      <c r="V61" s="5"/>
      <c r="W61" s="5" t="b">
        <f ca="1">IFERROR(__xludf.DUMMYFUNCTION("""COMPUTED_VALUE"""),TRUE)</f>
        <v>1</v>
      </c>
      <c r="X61" s="5" t="str">
        <f ca="1">IFERROR(__xludf.DUMMYFUNCTION("""COMPUTED_VALUE"""),"achavezi@postobon.com.co,aprmttoyu@postobon.com.co,aprmyu@postobon.com.co,wmora@postobon.com.co,efzapata@postobon.com.co")</f>
        <v>achavezi@postobon.com.co,aprmttoyu@postobon.com.co,aprmyu@postobon.com.co,wmora@postobon.com.co,efzapata@postobon.com.co</v>
      </c>
      <c r="Y61" s="5" t="str">
        <f ca="1">IFERROR(__xludf.DUMMYFUNCTION("""COMPUTED_VALUE"""),"achavezi@postobon.com.co")</f>
        <v>achavezi@postobon.com.co</v>
      </c>
      <c r="Z61" s="5" t="str">
        <f ca="1">IFERROR(__xludf.DUMMYFUNCTION("""COMPUTED_VALUE"""),"o5IODJ73SfaZwHOmxLUEnA")</f>
        <v>o5IODJ73SfaZwHOmxLUEnA</v>
      </c>
      <c r="AA61" s="5"/>
      <c r="AB61" s="5"/>
      <c r="AC61" s="5"/>
      <c r="AD61" s="5">
        <f ca="1">IFERROR(__xludf.DUMMYFUNCTION("""COMPUTED_VALUE"""),70)</f>
        <v>70</v>
      </c>
      <c r="AE61" s="5">
        <f ca="1">IFERROR(__xludf.DUMMYFUNCTION("""COMPUTED_VALUE"""),70)</f>
        <v>70</v>
      </c>
      <c r="AF61" s="5" t="b">
        <f ca="1">IFERROR(__xludf.DUMMYFUNCTION("""COMPUTED_VALUE"""),FALSE)</f>
        <v>0</v>
      </c>
      <c r="AG61" s="5" t="str">
        <f ca="1">IFERROR(__xludf.DUMMYFUNCTION("""COMPUTED_VALUE"""),"INSPECCIONES REALIZADAS")</f>
        <v>INSPECCIONES REALIZADAS</v>
      </c>
      <c r="AH61" s="5"/>
    </row>
    <row r="62" spans="1:34">
      <c r="A62" s="5" t="str">
        <f ca="1">IFERROR(__xludf.DUMMYFUNCTION("""COMPUTED_VALUE"""),"LINEA PARA EL LLENADO DE BOLSAS")</f>
        <v>LINEA PARA EL LLENADO DE BOLSAS</v>
      </c>
      <c r="B62" s="5">
        <f ca="1">IFERROR(__xludf.DUMMYFUNCTION("""COMPUTED_VALUE"""),589619)</f>
        <v>589619</v>
      </c>
      <c r="C62" s="5" t="str">
        <f ca="1">IFERROR(__xludf.DUMMYFUNCTION("""COMPUTED_VALUE"""),"CODIFICADOR PARA BOLSA 5 LT")</f>
        <v>CODIFICADOR PARA BOLSA 5 LT</v>
      </c>
      <c r="D62" s="5">
        <f ca="1">IFERROR(__xludf.DUMMYFUNCTION("""COMPUTED_VALUE"""),13247705)</f>
        <v>13247705</v>
      </c>
      <c r="E62" s="5" t="str">
        <f ca="1">IFERROR(__xludf.DUMMYFUNCTION("""COMPUTED_VALUE"""),"INSPECCION SEMANAL BOLSA 5L")</f>
        <v>INSPECCION SEMANAL BOLSA 5L</v>
      </c>
      <c r="F62" s="5" t="str">
        <f ca="1">IFERROR(__xludf.DUMMYFUNCTION("""COMPUTED_VALUE"""),"INSPECCIONAR ESTADO ALMOHADILLAS")</f>
        <v>INSPECCIONAR ESTADO ALMOHADILLAS</v>
      </c>
      <c r="G62" s="5" t="b">
        <f ca="1">IFERROR(__xludf.DUMMYFUNCTION("""COMPUTED_VALUE"""),TRUE)</f>
        <v>1</v>
      </c>
      <c r="H62" s="5"/>
      <c r="I62" s="5"/>
      <c r="J62" s="5">
        <f ca="1">IFERROR(__xludf.DUMMYFUNCTION("""COMPUTED_VALUE"""),13247705)</f>
        <v>13247705</v>
      </c>
      <c r="K62" s="5"/>
      <c r="L62" s="18">
        <f ca="1">IFERROR(__xludf.DUMMYFUNCTION("""COMPUTED_VALUE"""),45324)</f>
        <v>45324</v>
      </c>
      <c r="M62" s="18">
        <f ca="1">IFERROR(__xludf.DUMMYFUNCTION("""COMPUTED_VALUE"""),45324)</f>
        <v>45324</v>
      </c>
      <c r="N62" s="5" t="str">
        <f ca="1">IFERROR(__xludf.DUMMYFUNCTION("""COMPUTED_VALUE"""),"ESTEBAN POTOSI ISAZA")</f>
        <v>ESTEBAN POTOSI ISAZA</v>
      </c>
      <c r="O62" s="2">
        <f ca="1">IFERROR(__xludf.DUMMYFUNCTION("""COMPUTED_VALUE"""),0.033333333)</f>
        <v>3.3333333E-2</v>
      </c>
      <c r="P62" s="5">
        <f ca="1">IFERROR(__xludf.DUMMYFUNCTION("""COMPUTED_VALUE"""),20076884)</f>
        <v>20076884</v>
      </c>
      <c r="Q62" s="5" t="str">
        <f ca="1">IFERROR(__xludf.DUMMYFUNCTION("""COMPUTED_VALUE"""),"i52XpsHaSoE")</f>
        <v>i52XpsHaSoE</v>
      </c>
      <c r="R62" s="5">
        <f ca="1">IFERROR(__xludf.DUMMYFUNCTION("""COMPUTED_VALUE"""),410)</f>
        <v>410</v>
      </c>
      <c r="S62" s="62">
        <f ca="1">IFERROR(__xludf.DUMMYFUNCTION("""COMPUTED_VALUE"""),0.033333333)</f>
        <v>3.3333333E-2</v>
      </c>
      <c r="T62" s="63" t="str">
        <f ca="1">IFERROR(__xludf.DUMMYFUNCTION("""COMPUTED_VALUE"""),"https://storage.googleapis.com/glide-prod.appspot.com/uploads-v2/ly7o78grxPaC6KdgvbpS/pub/3aRdSog0vUtuqPE8AJKD.png")</f>
        <v>https://storage.googleapis.com/glide-prod.appspot.com/uploads-v2/ly7o78grxPaC6KdgvbpS/pub/3aRdSog0vUtuqPE8AJKD.png</v>
      </c>
      <c r="U62" s="5" t="str">
        <f ca="1">IFERROR(__xludf.DUMMYFUNCTION("""COMPUTED_VALUE"""),"LINEA PARA EL LLENADO DE BOLSASCODIFICADOR PARA BOLSA 5 LT")</f>
        <v>LINEA PARA EL LLENADO DE BOLSASCODIFICADOR PARA BOLSA 5 LT</v>
      </c>
      <c r="V62" s="5"/>
      <c r="W62" s="5" t="b">
        <f ca="1">IFERROR(__xludf.DUMMYFUNCTION("""COMPUTED_VALUE"""),TRUE)</f>
        <v>1</v>
      </c>
      <c r="X62" s="5" t="str">
        <f ca="1">IFERROR(__xludf.DUMMYFUNCTION("""COMPUTED_VALUE"""),"achavezi@postobon.com.co,aprmttoyu@postobon.com.co,aprmyu@postobon.com.co,wmora@postobon.com.co,efzapata@postobon.com.co")</f>
        <v>achavezi@postobon.com.co,aprmttoyu@postobon.com.co,aprmyu@postobon.com.co,wmora@postobon.com.co,efzapata@postobon.com.co</v>
      </c>
      <c r="Y62" s="5" t="str">
        <f ca="1">IFERROR(__xludf.DUMMYFUNCTION("""COMPUTED_VALUE"""),"achavezi@postobon.com.co")</f>
        <v>achavezi@postobon.com.co</v>
      </c>
      <c r="Z62" s="5" t="str">
        <f ca="1">IFERROR(__xludf.DUMMYFUNCTION("""COMPUTED_VALUE"""),"KmWl9nm2SWuv-7CuhtFKSg")</f>
        <v>KmWl9nm2SWuv-7CuhtFKSg</v>
      </c>
      <c r="AA62" s="5"/>
      <c r="AB62" s="5"/>
      <c r="AC62" s="5"/>
      <c r="AD62" s="5">
        <f ca="1">IFERROR(__xludf.DUMMYFUNCTION("""COMPUTED_VALUE"""),70)</f>
        <v>70</v>
      </c>
      <c r="AE62" s="5">
        <f ca="1">IFERROR(__xludf.DUMMYFUNCTION("""COMPUTED_VALUE"""),70)</f>
        <v>70</v>
      </c>
      <c r="AF62" s="5" t="b">
        <f ca="1">IFERROR(__xludf.DUMMYFUNCTION("""COMPUTED_VALUE"""),FALSE)</f>
        <v>0</v>
      </c>
      <c r="AG62" s="5" t="str">
        <f ca="1">IFERROR(__xludf.DUMMYFUNCTION("""COMPUTED_VALUE"""),"INSPECCIONES REALIZADAS")</f>
        <v>INSPECCIONES REALIZADAS</v>
      </c>
      <c r="AH62" s="5"/>
    </row>
    <row r="63" spans="1:34">
      <c r="A63" s="5" t="str">
        <f ca="1">IFERROR(__xludf.DUMMYFUNCTION("""COMPUTED_VALUE"""),"LINEA PARA EL LLENADO DE BOLSAS")</f>
        <v>LINEA PARA EL LLENADO DE BOLSAS</v>
      </c>
      <c r="B63" s="5">
        <f ca="1">IFERROR(__xludf.DUMMYFUNCTION("""COMPUTED_VALUE"""),589619)</f>
        <v>589619</v>
      </c>
      <c r="C63" s="5" t="str">
        <f ca="1">IFERROR(__xludf.DUMMYFUNCTION("""COMPUTED_VALUE"""),"CODIFICADOR PARA BOLSA 5 LT")</f>
        <v>CODIFICADOR PARA BOLSA 5 LT</v>
      </c>
      <c r="D63" s="5">
        <f ca="1">IFERROR(__xludf.DUMMYFUNCTION("""COMPUTED_VALUE"""),13247705)</f>
        <v>13247705</v>
      </c>
      <c r="E63" s="5" t="str">
        <f ca="1">IFERROR(__xludf.DUMMYFUNCTION("""COMPUTED_VALUE"""),"INSPECCION SEMANAL BOLSA 5L")</f>
        <v>INSPECCION SEMANAL BOLSA 5L</v>
      </c>
      <c r="F63" s="5" t="str">
        <f ca="1">IFERROR(__xludf.DUMMYFUNCTION("""COMPUTED_VALUE"""),"INSPECCIONAR CABEZAL DE IMPRESIÓN")</f>
        <v>INSPECCIONAR CABEZAL DE IMPRESIÓN</v>
      </c>
      <c r="G63" s="5" t="b">
        <f ca="1">IFERROR(__xludf.DUMMYFUNCTION("""COMPUTED_VALUE"""),TRUE)</f>
        <v>1</v>
      </c>
      <c r="H63" s="5"/>
      <c r="I63" s="5"/>
      <c r="J63" s="5">
        <f ca="1">IFERROR(__xludf.DUMMYFUNCTION("""COMPUTED_VALUE"""),13247705)</f>
        <v>13247705</v>
      </c>
      <c r="K63" s="5"/>
      <c r="L63" s="18">
        <f ca="1">IFERROR(__xludf.DUMMYFUNCTION("""COMPUTED_VALUE"""),45324)</f>
        <v>45324</v>
      </c>
      <c r="M63" s="18">
        <f ca="1">IFERROR(__xludf.DUMMYFUNCTION("""COMPUTED_VALUE"""),45324)</f>
        <v>45324</v>
      </c>
      <c r="N63" s="5" t="str">
        <f ca="1">IFERROR(__xludf.DUMMYFUNCTION("""COMPUTED_VALUE"""),"ESTEBAN POTOSI ISAZA")</f>
        <v>ESTEBAN POTOSI ISAZA</v>
      </c>
      <c r="O63" s="2">
        <f ca="1">IFERROR(__xludf.DUMMYFUNCTION("""COMPUTED_VALUE"""),0.033333333)</f>
        <v>3.3333333E-2</v>
      </c>
      <c r="P63" s="5">
        <f ca="1">IFERROR(__xludf.DUMMYFUNCTION("""COMPUTED_VALUE"""),20076884)</f>
        <v>20076884</v>
      </c>
      <c r="Q63" s="5" t="str">
        <f ca="1">IFERROR(__xludf.DUMMYFUNCTION("""COMPUTED_VALUE"""),"NBjwFCSF9T0")</f>
        <v>NBjwFCSF9T0</v>
      </c>
      <c r="R63" s="5">
        <f ca="1">IFERROR(__xludf.DUMMYFUNCTION("""COMPUTED_VALUE"""),410)</f>
        <v>410</v>
      </c>
      <c r="S63" s="62">
        <f ca="1">IFERROR(__xludf.DUMMYFUNCTION("""COMPUTED_VALUE"""),0.033333333)</f>
        <v>3.3333333E-2</v>
      </c>
      <c r="T63" s="63" t="str">
        <f ca="1">IFERROR(__xludf.DUMMYFUNCTION("""COMPUTED_VALUE"""),"https://storage.googleapis.com/glide-prod.appspot.com/uploads-v2/ly7o78grxPaC6KdgvbpS/pub/3aRdSog0vUtuqPE8AJKD.png")</f>
        <v>https://storage.googleapis.com/glide-prod.appspot.com/uploads-v2/ly7o78grxPaC6KdgvbpS/pub/3aRdSog0vUtuqPE8AJKD.png</v>
      </c>
      <c r="U63" s="5" t="str">
        <f ca="1">IFERROR(__xludf.DUMMYFUNCTION("""COMPUTED_VALUE"""),"LINEA PARA EL LLENADO DE BOLSASCODIFICADOR PARA BOLSA 5 LT")</f>
        <v>LINEA PARA EL LLENADO DE BOLSASCODIFICADOR PARA BOLSA 5 LT</v>
      </c>
      <c r="V63" s="5"/>
      <c r="W63" s="5" t="b">
        <f ca="1">IFERROR(__xludf.DUMMYFUNCTION("""COMPUTED_VALUE"""),TRUE)</f>
        <v>1</v>
      </c>
      <c r="X63" s="5" t="str">
        <f ca="1">IFERROR(__xludf.DUMMYFUNCTION("""COMPUTED_VALUE"""),"achavezi@postobon.com.co,aprmttoyu@postobon.com.co,aprmyu@postobon.com.co,wmora@postobon.com.co,efzapata@postobon.com.co")</f>
        <v>achavezi@postobon.com.co,aprmttoyu@postobon.com.co,aprmyu@postobon.com.co,wmora@postobon.com.co,efzapata@postobon.com.co</v>
      </c>
      <c r="Y63" s="5" t="str">
        <f ca="1">IFERROR(__xludf.DUMMYFUNCTION("""COMPUTED_VALUE"""),"achavezi@postobon.com.co")</f>
        <v>achavezi@postobon.com.co</v>
      </c>
      <c r="Z63" s="5" t="str">
        <f ca="1">IFERROR(__xludf.DUMMYFUNCTION("""COMPUTED_VALUE"""),"pYI1LFdsRTadCjAChakwVQ")</f>
        <v>pYI1LFdsRTadCjAChakwVQ</v>
      </c>
      <c r="AA63" s="5"/>
      <c r="AB63" s="5"/>
      <c r="AC63" s="5"/>
      <c r="AD63" s="5">
        <f ca="1">IFERROR(__xludf.DUMMYFUNCTION("""COMPUTED_VALUE"""),70)</f>
        <v>70</v>
      </c>
      <c r="AE63" s="5">
        <f ca="1">IFERROR(__xludf.DUMMYFUNCTION("""COMPUTED_VALUE"""),70)</f>
        <v>70</v>
      </c>
      <c r="AF63" s="5" t="b">
        <f ca="1">IFERROR(__xludf.DUMMYFUNCTION("""COMPUTED_VALUE"""),FALSE)</f>
        <v>0</v>
      </c>
      <c r="AG63" s="5" t="str">
        <f ca="1">IFERROR(__xludf.DUMMYFUNCTION("""COMPUTED_VALUE"""),"INSPECCIONES REALIZADAS")</f>
        <v>INSPECCIONES REALIZADAS</v>
      </c>
      <c r="AH63" s="5"/>
    </row>
    <row r="64" spans="1:34">
      <c r="A64" s="5" t="str">
        <f ca="1">IFERROR(__xludf.DUMMYFUNCTION("""COMPUTED_VALUE"""),"LINEA PARA EL LLENADO DE BOLSAS")</f>
        <v>LINEA PARA EL LLENADO DE BOLSAS</v>
      </c>
      <c r="B64" s="5">
        <f ca="1">IFERROR(__xludf.DUMMYFUNCTION("""COMPUTED_VALUE"""),710200)</f>
        <v>710200</v>
      </c>
      <c r="C64" s="5" t="str">
        <f ca="1">IFERROR(__xludf.DUMMYFUNCTION("""COMPUTED_VALUE"""),"LLENADORA DE BOLSAS LINEA 4")</f>
        <v>LLENADORA DE BOLSAS LINEA 4</v>
      </c>
      <c r="D64" s="5">
        <f ca="1">IFERROR(__xludf.DUMMYFUNCTION("""COMPUTED_VALUE"""),13247713)</f>
        <v>13247713</v>
      </c>
      <c r="E64" s="5" t="str">
        <f ca="1">IFERROR(__xludf.DUMMYFUNCTION("""COMPUTED_VALUE"""),"INSPECCION SEMANAL BOLSA 360 Y 600 ML")</f>
        <v>INSPECCION SEMANAL BOLSA 360 Y 600 ML</v>
      </c>
      <c r="F64" s="5" t="str">
        <f ca="1">IFERROR(__xludf.DUMMYFUNCTION("""COMPUTED_VALUE"""),"INS. ESTADO TANQUE DE LLENADO")</f>
        <v>INS. ESTADO TANQUE DE LLENADO</v>
      </c>
      <c r="G64" s="5" t="b">
        <f ca="1">IFERROR(__xludf.DUMMYFUNCTION("""COMPUTED_VALUE"""),TRUE)</f>
        <v>1</v>
      </c>
      <c r="H64" s="5"/>
      <c r="I64" s="5"/>
      <c r="J64" s="5">
        <f ca="1">IFERROR(__xludf.DUMMYFUNCTION("""COMPUTED_VALUE"""),13247713)</f>
        <v>13247713</v>
      </c>
      <c r="K64" s="5"/>
      <c r="L64" s="18">
        <f ca="1">IFERROR(__xludf.DUMMYFUNCTION("""COMPUTED_VALUE"""),45324)</f>
        <v>45324</v>
      </c>
      <c r="M64" s="18">
        <f ca="1">IFERROR(__xludf.DUMMYFUNCTION("""COMPUTED_VALUE"""),45324)</f>
        <v>45324</v>
      </c>
      <c r="N64" s="5" t="str">
        <f ca="1">IFERROR(__xludf.DUMMYFUNCTION("""COMPUTED_VALUE"""),"ESTEBAN POTOSI ISAZA")</f>
        <v>ESTEBAN POTOSI ISAZA</v>
      </c>
      <c r="O64" s="2">
        <f ca="1">IFERROR(__xludf.DUMMYFUNCTION("""COMPUTED_VALUE"""),0.005555556)</f>
        <v>5.5555559999999997E-3</v>
      </c>
      <c r="P64" s="5">
        <f ca="1">IFERROR(__xludf.DUMMYFUNCTION("""COMPUTED_VALUE"""),20076884)</f>
        <v>20076884</v>
      </c>
      <c r="Q64" s="5" t="str">
        <f ca="1">IFERROR(__xludf.DUMMYFUNCTION("""COMPUTED_VALUE"""),"YY5b_G8Z6f4")</f>
        <v>YY5b_G8Z6f4</v>
      </c>
      <c r="R64" s="5">
        <f ca="1">IFERROR(__xludf.DUMMYFUNCTION("""COMPUTED_VALUE"""),410)</f>
        <v>410</v>
      </c>
      <c r="S64" s="62">
        <f ca="1">IFERROR(__xludf.DUMMYFUNCTION("""COMPUTED_VALUE"""),0.005555556)</f>
        <v>5.5555559999999997E-3</v>
      </c>
      <c r="T64" s="63" t="str">
        <f ca="1">IFERROR(__xludf.DUMMYFUNCTION("""COMPUTED_VALUE"""),"https://storage.googleapis.com/glide-prod.appspot.com/uploads-v2/ly7o78grxPaC6KdgvbpS/pub/3aRdSog0vUtuqPE8AJKD.png")</f>
        <v>https://storage.googleapis.com/glide-prod.appspot.com/uploads-v2/ly7o78grxPaC6KdgvbpS/pub/3aRdSog0vUtuqPE8AJKD.png</v>
      </c>
      <c r="U64" s="5" t="str">
        <f ca="1">IFERROR(__xludf.DUMMYFUNCTION("""COMPUTED_VALUE"""),"LINEA PARA EL LLENADO DE BOLSASLLENADORA DE BOLSAS LINEA 4")</f>
        <v>LINEA PARA EL LLENADO DE BOLSASLLENADORA DE BOLSAS LINEA 4</v>
      </c>
      <c r="V64" s="5"/>
      <c r="W64" s="5" t="b">
        <f ca="1">IFERROR(__xludf.DUMMYFUNCTION("""COMPUTED_VALUE"""),TRUE)</f>
        <v>1</v>
      </c>
      <c r="X64" s="5" t="str">
        <f ca="1">IFERROR(__xludf.DUMMYFUNCTION("""COMPUTED_VALUE"""),"achavezi@postobon.com.co,aprmttoyu@postobon.com.co,aprmyu@postobon.com.co,wmora@postobon.com.co,efzapata@postobon.com.co")</f>
        <v>achavezi@postobon.com.co,aprmttoyu@postobon.com.co,aprmyu@postobon.com.co,wmora@postobon.com.co,efzapata@postobon.com.co</v>
      </c>
      <c r="Y64" s="5" t="str">
        <f ca="1">IFERROR(__xludf.DUMMYFUNCTION("""COMPUTED_VALUE"""),"achavezi@postobon.com.co")</f>
        <v>achavezi@postobon.com.co</v>
      </c>
      <c r="Z64" s="5" t="str">
        <f ca="1">IFERROR(__xludf.DUMMYFUNCTION("""COMPUTED_VALUE"""),"w0OgenYPRjunpTdqvV.FtQ")</f>
        <v>w0OgenYPRjunpTdqvV.FtQ</v>
      </c>
      <c r="AA64" s="5"/>
      <c r="AB64" s="5"/>
      <c r="AC64" s="5"/>
      <c r="AD64" s="5">
        <f ca="1">IFERROR(__xludf.DUMMYFUNCTION("""COMPUTED_VALUE"""),70)</f>
        <v>70</v>
      </c>
      <c r="AE64" s="5">
        <f ca="1">IFERROR(__xludf.DUMMYFUNCTION("""COMPUTED_VALUE"""),70)</f>
        <v>70</v>
      </c>
      <c r="AF64" s="5" t="b">
        <f ca="1">IFERROR(__xludf.DUMMYFUNCTION("""COMPUTED_VALUE"""),FALSE)</f>
        <v>0</v>
      </c>
      <c r="AG64" s="5" t="str">
        <f ca="1">IFERROR(__xludf.DUMMYFUNCTION("""COMPUTED_VALUE"""),"INSPECCIONES REALIZADAS")</f>
        <v>INSPECCIONES REALIZADAS</v>
      </c>
      <c r="AH64" s="5"/>
    </row>
    <row r="65" spans="1:34">
      <c r="A65" s="5" t="str">
        <f ca="1">IFERROR(__xludf.DUMMYFUNCTION("""COMPUTED_VALUE"""),"LINEA PARA EL LLENADO DE BOLSAS")</f>
        <v>LINEA PARA EL LLENADO DE BOLSAS</v>
      </c>
      <c r="B65" s="5">
        <f ca="1">IFERROR(__xludf.DUMMYFUNCTION("""COMPUTED_VALUE"""),710200)</f>
        <v>710200</v>
      </c>
      <c r="C65" s="5" t="str">
        <f ca="1">IFERROR(__xludf.DUMMYFUNCTION("""COMPUTED_VALUE"""),"LLENADORA DE BOLSAS LINEA 4")</f>
        <v>LLENADORA DE BOLSAS LINEA 4</v>
      </c>
      <c r="D65" s="5">
        <f ca="1">IFERROR(__xludf.DUMMYFUNCTION("""COMPUTED_VALUE"""),13247713)</f>
        <v>13247713</v>
      </c>
      <c r="E65" s="5" t="str">
        <f ca="1">IFERROR(__xludf.DUMMYFUNCTION("""COMPUTED_VALUE"""),"INSPECCION SEMANAL BOLSA 360 Y 600 ML")</f>
        <v>INSPECCION SEMANAL BOLSA 360 Y 600 ML</v>
      </c>
      <c r="F65" s="5" t="str">
        <f ca="1">IFERROR(__xludf.DUMMYFUNCTION("""COMPUTED_VALUE"""),"FUNC VALVULA LLENADO TANQUE")</f>
        <v>FUNC VALVULA LLENADO TANQUE</v>
      </c>
      <c r="G65" s="5" t="b">
        <f ca="1">IFERROR(__xludf.DUMMYFUNCTION("""COMPUTED_VALUE"""),TRUE)</f>
        <v>1</v>
      </c>
      <c r="H65" s="5"/>
      <c r="I65" s="5"/>
      <c r="J65" s="5">
        <f ca="1">IFERROR(__xludf.DUMMYFUNCTION("""COMPUTED_VALUE"""),13247713)</f>
        <v>13247713</v>
      </c>
      <c r="K65" s="5"/>
      <c r="L65" s="18">
        <f ca="1">IFERROR(__xludf.DUMMYFUNCTION("""COMPUTED_VALUE"""),45324)</f>
        <v>45324</v>
      </c>
      <c r="M65" s="18">
        <f ca="1">IFERROR(__xludf.DUMMYFUNCTION("""COMPUTED_VALUE"""),45324)</f>
        <v>45324</v>
      </c>
      <c r="N65" s="5" t="str">
        <f ca="1">IFERROR(__xludf.DUMMYFUNCTION("""COMPUTED_VALUE"""),"ESTEBAN POTOSI ISAZA")</f>
        <v>ESTEBAN POTOSI ISAZA</v>
      </c>
      <c r="O65" s="2">
        <f ca="1">IFERROR(__xludf.DUMMYFUNCTION("""COMPUTED_VALUE"""),0.005555556)</f>
        <v>5.5555559999999997E-3</v>
      </c>
      <c r="P65" s="5">
        <f ca="1">IFERROR(__xludf.DUMMYFUNCTION("""COMPUTED_VALUE"""),20076884)</f>
        <v>20076884</v>
      </c>
      <c r="Q65" s="5" t="str">
        <f ca="1">IFERROR(__xludf.DUMMYFUNCTION("""COMPUTED_VALUE"""),"-gpbKzcpjE0")</f>
        <v>-gpbKzcpjE0</v>
      </c>
      <c r="R65" s="5">
        <f ca="1">IFERROR(__xludf.DUMMYFUNCTION("""COMPUTED_VALUE"""),410)</f>
        <v>410</v>
      </c>
      <c r="S65" s="62">
        <f ca="1">IFERROR(__xludf.DUMMYFUNCTION("""COMPUTED_VALUE"""),0.005555556)</f>
        <v>5.5555559999999997E-3</v>
      </c>
      <c r="T65" s="63" t="str">
        <f ca="1">IFERROR(__xludf.DUMMYFUNCTION("""COMPUTED_VALUE"""),"https://storage.googleapis.com/glide-prod.appspot.com/uploads-v2/ly7o78grxPaC6KdgvbpS/pub/3aRdSog0vUtuqPE8AJKD.png")</f>
        <v>https://storage.googleapis.com/glide-prod.appspot.com/uploads-v2/ly7o78grxPaC6KdgvbpS/pub/3aRdSog0vUtuqPE8AJKD.png</v>
      </c>
      <c r="U65" s="5" t="str">
        <f ca="1">IFERROR(__xludf.DUMMYFUNCTION("""COMPUTED_VALUE"""),"LINEA PARA EL LLENADO DE BOLSASLLENADORA DE BOLSAS LINEA 4")</f>
        <v>LINEA PARA EL LLENADO DE BOLSASLLENADORA DE BOLSAS LINEA 4</v>
      </c>
      <c r="V65" s="5"/>
      <c r="W65" s="5" t="b">
        <f ca="1">IFERROR(__xludf.DUMMYFUNCTION("""COMPUTED_VALUE"""),TRUE)</f>
        <v>1</v>
      </c>
      <c r="X65" s="5" t="str">
        <f ca="1">IFERROR(__xludf.DUMMYFUNCTION("""COMPUTED_VALUE"""),"achavezi@postobon.com.co,aprmttoyu@postobon.com.co,aprmyu@postobon.com.co,wmora@postobon.com.co,efzapata@postobon.com.co")</f>
        <v>achavezi@postobon.com.co,aprmttoyu@postobon.com.co,aprmyu@postobon.com.co,wmora@postobon.com.co,efzapata@postobon.com.co</v>
      </c>
      <c r="Y65" s="5" t="str">
        <f ca="1">IFERROR(__xludf.DUMMYFUNCTION("""COMPUTED_VALUE"""),"achavezi@postobon.com.co")</f>
        <v>achavezi@postobon.com.co</v>
      </c>
      <c r="Z65" s="5" t="str">
        <f ca="1">IFERROR(__xludf.DUMMYFUNCTION("""COMPUTED_VALUE"""),"Asnj5s3vQPec8xOu3Aa32A")</f>
        <v>Asnj5s3vQPec8xOu3Aa32A</v>
      </c>
      <c r="AA65" s="5"/>
      <c r="AB65" s="5"/>
      <c r="AC65" s="5"/>
      <c r="AD65" s="5">
        <f ca="1">IFERROR(__xludf.DUMMYFUNCTION("""COMPUTED_VALUE"""),70)</f>
        <v>70</v>
      </c>
      <c r="AE65" s="5">
        <f ca="1">IFERROR(__xludf.DUMMYFUNCTION("""COMPUTED_VALUE"""),70)</f>
        <v>70</v>
      </c>
      <c r="AF65" s="5" t="b">
        <f ca="1">IFERROR(__xludf.DUMMYFUNCTION("""COMPUTED_VALUE"""),FALSE)</f>
        <v>0</v>
      </c>
      <c r="AG65" s="5" t="str">
        <f ca="1">IFERROR(__xludf.DUMMYFUNCTION("""COMPUTED_VALUE"""),"INSPECCIONES REALIZADAS")</f>
        <v>INSPECCIONES REALIZADAS</v>
      </c>
      <c r="AH65" s="5"/>
    </row>
    <row r="66" spans="1:34">
      <c r="A66" s="5" t="str">
        <f ca="1">IFERROR(__xludf.DUMMYFUNCTION("""COMPUTED_VALUE"""),"LINEA PARA EL LLENADO DE BOLSAS")</f>
        <v>LINEA PARA EL LLENADO DE BOLSAS</v>
      </c>
      <c r="B66" s="5">
        <f ca="1">IFERROR(__xludf.DUMMYFUNCTION("""COMPUTED_VALUE"""),710200)</f>
        <v>710200</v>
      </c>
      <c r="C66" s="5" t="str">
        <f ca="1">IFERROR(__xludf.DUMMYFUNCTION("""COMPUTED_VALUE"""),"LLENADORA DE BOLSAS LINEA 4")</f>
        <v>LLENADORA DE BOLSAS LINEA 4</v>
      </c>
      <c r="D66" s="5">
        <f ca="1">IFERROR(__xludf.DUMMYFUNCTION("""COMPUTED_VALUE"""),13247713)</f>
        <v>13247713</v>
      </c>
      <c r="E66" s="5" t="str">
        <f ca="1">IFERROR(__xludf.DUMMYFUNCTION("""COMPUTED_VALUE"""),"INSPECCION SEMANAL BOLSA 360 Y 600 ML")</f>
        <v>INSPECCION SEMANAL BOLSA 360 Y 600 ML</v>
      </c>
      <c r="F66" s="5" t="str">
        <f ca="1">IFERROR(__xludf.DUMMYFUNCTION("""COMPUTED_VALUE"""),"INSP MECANISMO SELLADO HORIZ/VERTIC")</f>
        <v>INSP MECANISMO SELLADO HORIZ/VERTIC</v>
      </c>
      <c r="G66" s="5" t="b">
        <f ca="1">IFERROR(__xludf.DUMMYFUNCTION("""COMPUTED_VALUE"""),TRUE)</f>
        <v>1</v>
      </c>
      <c r="H66" s="5"/>
      <c r="I66" s="5"/>
      <c r="J66" s="5">
        <f ca="1">IFERROR(__xludf.DUMMYFUNCTION("""COMPUTED_VALUE"""),13247713)</f>
        <v>13247713</v>
      </c>
      <c r="K66" s="5"/>
      <c r="L66" s="18">
        <f ca="1">IFERROR(__xludf.DUMMYFUNCTION("""COMPUTED_VALUE"""),45324)</f>
        <v>45324</v>
      </c>
      <c r="M66" s="18">
        <f ca="1">IFERROR(__xludf.DUMMYFUNCTION("""COMPUTED_VALUE"""),45324)</f>
        <v>45324</v>
      </c>
      <c r="N66" s="5" t="str">
        <f ca="1">IFERROR(__xludf.DUMMYFUNCTION("""COMPUTED_VALUE"""),"ESTEBAN POTOSI ISAZA")</f>
        <v>ESTEBAN POTOSI ISAZA</v>
      </c>
      <c r="O66" s="2">
        <f ca="1">IFERROR(__xludf.DUMMYFUNCTION("""COMPUTED_VALUE"""),0.005555556)</f>
        <v>5.5555559999999997E-3</v>
      </c>
      <c r="P66" s="5">
        <f ca="1">IFERROR(__xludf.DUMMYFUNCTION("""COMPUTED_VALUE"""),20076884)</f>
        <v>20076884</v>
      </c>
      <c r="Q66" s="5" t="str">
        <f ca="1">IFERROR(__xludf.DUMMYFUNCTION("""COMPUTED_VALUE"""),"FAxR65tWD14")</f>
        <v>FAxR65tWD14</v>
      </c>
      <c r="R66" s="5">
        <f ca="1">IFERROR(__xludf.DUMMYFUNCTION("""COMPUTED_VALUE"""),410)</f>
        <v>410</v>
      </c>
      <c r="S66" s="62">
        <f ca="1">IFERROR(__xludf.DUMMYFUNCTION("""COMPUTED_VALUE"""),0.005555556)</f>
        <v>5.5555559999999997E-3</v>
      </c>
      <c r="T66" s="63" t="str">
        <f ca="1">IFERROR(__xludf.DUMMYFUNCTION("""COMPUTED_VALUE"""),"https://storage.googleapis.com/glide-prod.appspot.com/uploads-v2/ly7o78grxPaC6KdgvbpS/pub/3aRdSog0vUtuqPE8AJKD.png")</f>
        <v>https://storage.googleapis.com/glide-prod.appspot.com/uploads-v2/ly7o78grxPaC6KdgvbpS/pub/3aRdSog0vUtuqPE8AJKD.png</v>
      </c>
      <c r="U66" s="5" t="str">
        <f ca="1">IFERROR(__xludf.DUMMYFUNCTION("""COMPUTED_VALUE"""),"LINEA PARA EL LLENADO DE BOLSASLLENADORA DE BOLSAS LINEA 4")</f>
        <v>LINEA PARA EL LLENADO DE BOLSASLLENADORA DE BOLSAS LINEA 4</v>
      </c>
      <c r="V66" s="5"/>
      <c r="W66" s="5" t="b">
        <f ca="1">IFERROR(__xludf.DUMMYFUNCTION("""COMPUTED_VALUE"""),TRUE)</f>
        <v>1</v>
      </c>
      <c r="X66" s="5" t="str">
        <f ca="1">IFERROR(__xludf.DUMMYFUNCTION("""COMPUTED_VALUE"""),"achavezi@postobon.com.co,aprmttoyu@postobon.com.co,aprmyu@postobon.com.co,wmora@postobon.com.co,efzapata@postobon.com.co")</f>
        <v>achavezi@postobon.com.co,aprmttoyu@postobon.com.co,aprmyu@postobon.com.co,wmora@postobon.com.co,efzapata@postobon.com.co</v>
      </c>
      <c r="Y66" s="5" t="str">
        <f ca="1">IFERROR(__xludf.DUMMYFUNCTION("""COMPUTED_VALUE"""),"achavezi@postobon.com.co")</f>
        <v>achavezi@postobon.com.co</v>
      </c>
      <c r="Z66" s="5" t="str">
        <f ca="1">IFERROR(__xludf.DUMMYFUNCTION("""COMPUTED_VALUE"""),"MdPFjssWROWMeMECTIVgOg")</f>
        <v>MdPFjssWROWMeMECTIVgOg</v>
      </c>
      <c r="AA66" s="5"/>
      <c r="AB66" s="5"/>
      <c r="AC66" s="5"/>
      <c r="AD66" s="5">
        <f ca="1">IFERROR(__xludf.DUMMYFUNCTION("""COMPUTED_VALUE"""),70)</f>
        <v>70</v>
      </c>
      <c r="AE66" s="5">
        <f ca="1">IFERROR(__xludf.DUMMYFUNCTION("""COMPUTED_VALUE"""),70)</f>
        <v>70</v>
      </c>
      <c r="AF66" s="5" t="b">
        <f ca="1">IFERROR(__xludf.DUMMYFUNCTION("""COMPUTED_VALUE"""),FALSE)</f>
        <v>0</v>
      </c>
      <c r="AG66" s="5" t="str">
        <f ca="1">IFERROR(__xludf.DUMMYFUNCTION("""COMPUTED_VALUE"""),"INSPECCIONES REALIZADAS")</f>
        <v>INSPECCIONES REALIZADAS</v>
      </c>
      <c r="AH66" s="5"/>
    </row>
    <row r="67" spans="1:34">
      <c r="A67" s="5" t="str">
        <f ca="1">IFERROR(__xludf.DUMMYFUNCTION("""COMPUTED_VALUE"""),"LINEA PARA EL LLENADO DE BOLSAS")</f>
        <v>LINEA PARA EL LLENADO DE BOLSAS</v>
      </c>
      <c r="B67" s="5">
        <f ca="1">IFERROR(__xludf.DUMMYFUNCTION("""COMPUTED_VALUE"""),710200)</f>
        <v>710200</v>
      </c>
      <c r="C67" s="5" t="str">
        <f ca="1">IFERROR(__xludf.DUMMYFUNCTION("""COMPUTED_VALUE"""),"LLENADORA DE BOLSAS LINEA 4")</f>
        <v>LLENADORA DE BOLSAS LINEA 4</v>
      </c>
      <c r="D67" s="5">
        <f ca="1">IFERROR(__xludf.DUMMYFUNCTION("""COMPUTED_VALUE"""),13247713)</f>
        <v>13247713</v>
      </c>
      <c r="E67" s="5" t="str">
        <f ca="1">IFERROR(__xludf.DUMMYFUNCTION("""COMPUTED_VALUE"""),"INSPECCION SEMANAL BOLSA 360 Y 600 ML")</f>
        <v>INSPECCION SEMANAL BOLSA 360 Y 600 ML</v>
      </c>
      <c r="F67" s="5" t="str">
        <f ca="1">IFERROR(__xludf.DUMMYFUNCTION("""COMPUTED_VALUE"""),"INSP SISTEMA NEUMATICO(CILINDRO)")</f>
        <v>INSP SISTEMA NEUMATICO(CILINDRO)</v>
      </c>
      <c r="G67" s="5" t="b">
        <f ca="1">IFERROR(__xludf.DUMMYFUNCTION("""COMPUTED_VALUE"""),TRUE)</f>
        <v>1</v>
      </c>
      <c r="H67" s="5"/>
      <c r="I67" s="5"/>
      <c r="J67" s="5">
        <f ca="1">IFERROR(__xludf.DUMMYFUNCTION("""COMPUTED_VALUE"""),13247713)</f>
        <v>13247713</v>
      </c>
      <c r="K67" s="5"/>
      <c r="L67" s="18">
        <f ca="1">IFERROR(__xludf.DUMMYFUNCTION("""COMPUTED_VALUE"""),45324)</f>
        <v>45324</v>
      </c>
      <c r="M67" s="18">
        <f ca="1">IFERROR(__xludf.DUMMYFUNCTION("""COMPUTED_VALUE"""),45324)</f>
        <v>45324</v>
      </c>
      <c r="N67" s="5" t="str">
        <f ca="1">IFERROR(__xludf.DUMMYFUNCTION("""COMPUTED_VALUE"""),"ESTEBAN POTOSI ISAZA")</f>
        <v>ESTEBAN POTOSI ISAZA</v>
      </c>
      <c r="O67" s="2">
        <f ca="1">IFERROR(__xludf.DUMMYFUNCTION("""COMPUTED_VALUE"""),0.005555556)</f>
        <v>5.5555559999999997E-3</v>
      </c>
      <c r="P67" s="5">
        <f ca="1">IFERROR(__xludf.DUMMYFUNCTION("""COMPUTED_VALUE"""),20076884)</f>
        <v>20076884</v>
      </c>
      <c r="Q67" s="5" t="str">
        <f ca="1">IFERROR(__xludf.DUMMYFUNCTION("""COMPUTED_VALUE"""),"tkImeyJ4B-s")</f>
        <v>tkImeyJ4B-s</v>
      </c>
      <c r="R67" s="5">
        <f ca="1">IFERROR(__xludf.DUMMYFUNCTION("""COMPUTED_VALUE"""),410)</f>
        <v>410</v>
      </c>
      <c r="S67" s="62">
        <f ca="1">IFERROR(__xludf.DUMMYFUNCTION("""COMPUTED_VALUE"""),0.005555556)</f>
        <v>5.5555559999999997E-3</v>
      </c>
      <c r="T67" s="63" t="str">
        <f ca="1">IFERROR(__xludf.DUMMYFUNCTION("""COMPUTED_VALUE"""),"https://storage.googleapis.com/glide-prod.appspot.com/uploads-v2/ly7o78grxPaC6KdgvbpS/pub/3aRdSog0vUtuqPE8AJKD.png")</f>
        <v>https://storage.googleapis.com/glide-prod.appspot.com/uploads-v2/ly7o78grxPaC6KdgvbpS/pub/3aRdSog0vUtuqPE8AJKD.png</v>
      </c>
      <c r="U67" s="5" t="str">
        <f ca="1">IFERROR(__xludf.DUMMYFUNCTION("""COMPUTED_VALUE"""),"LINEA PARA EL LLENADO DE BOLSASLLENADORA DE BOLSAS LINEA 4")</f>
        <v>LINEA PARA EL LLENADO DE BOLSASLLENADORA DE BOLSAS LINEA 4</v>
      </c>
      <c r="V67" s="5"/>
      <c r="W67" s="5" t="b">
        <f ca="1">IFERROR(__xludf.DUMMYFUNCTION("""COMPUTED_VALUE"""),TRUE)</f>
        <v>1</v>
      </c>
      <c r="X67" s="5" t="str">
        <f ca="1">IFERROR(__xludf.DUMMYFUNCTION("""COMPUTED_VALUE"""),"achavezi@postobon.com.co,aprmttoyu@postobon.com.co,aprmyu@postobon.com.co,wmora@postobon.com.co,efzapata@postobon.com.co")</f>
        <v>achavezi@postobon.com.co,aprmttoyu@postobon.com.co,aprmyu@postobon.com.co,wmora@postobon.com.co,efzapata@postobon.com.co</v>
      </c>
      <c r="Y67" s="5" t="str">
        <f ca="1">IFERROR(__xludf.DUMMYFUNCTION("""COMPUTED_VALUE"""),"achavezi@postobon.com.co")</f>
        <v>achavezi@postobon.com.co</v>
      </c>
      <c r="Z67" s="5" t="str">
        <f ca="1">IFERROR(__xludf.DUMMYFUNCTION("""COMPUTED_VALUE"""),"XxKyW4weTbyOCv75p3lG2w")</f>
        <v>XxKyW4weTbyOCv75p3lG2w</v>
      </c>
      <c r="AA67" s="5"/>
      <c r="AB67" s="5"/>
      <c r="AC67" s="5"/>
      <c r="AD67" s="5">
        <f ca="1">IFERROR(__xludf.DUMMYFUNCTION("""COMPUTED_VALUE"""),70)</f>
        <v>70</v>
      </c>
      <c r="AE67" s="5">
        <f ca="1">IFERROR(__xludf.DUMMYFUNCTION("""COMPUTED_VALUE"""),70)</f>
        <v>70</v>
      </c>
      <c r="AF67" s="5" t="b">
        <f ca="1">IFERROR(__xludf.DUMMYFUNCTION("""COMPUTED_VALUE"""),FALSE)</f>
        <v>0</v>
      </c>
      <c r="AG67" s="5" t="str">
        <f ca="1">IFERROR(__xludf.DUMMYFUNCTION("""COMPUTED_VALUE"""),"INSPECCIONES REALIZADAS")</f>
        <v>INSPECCIONES REALIZADAS</v>
      </c>
      <c r="AH67" s="5"/>
    </row>
    <row r="68" spans="1:34">
      <c r="A68" s="5" t="str">
        <f ca="1">IFERROR(__xludf.DUMMYFUNCTION("""COMPUTED_VALUE"""),"LINEA PARA EL LLENADO DE BOLSAS")</f>
        <v>LINEA PARA EL LLENADO DE BOLSAS</v>
      </c>
      <c r="B68" s="5">
        <f ca="1">IFERROR(__xludf.DUMMYFUNCTION("""COMPUTED_VALUE"""),710200)</f>
        <v>710200</v>
      </c>
      <c r="C68" s="5" t="str">
        <f ca="1">IFERROR(__xludf.DUMMYFUNCTION("""COMPUTED_VALUE"""),"LLENADORA DE BOLSAS LINEA 4")</f>
        <v>LLENADORA DE BOLSAS LINEA 4</v>
      </c>
      <c r="D68" s="5">
        <f ca="1">IFERROR(__xludf.DUMMYFUNCTION("""COMPUTED_VALUE"""),13247713)</f>
        <v>13247713</v>
      </c>
      <c r="E68" s="5" t="str">
        <f ca="1">IFERROR(__xludf.DUMMYFUNCTION("""COMPUTED_VALUE"""),"INSPECCION SEMANAL BOLSA 360 Y 600 ML")</f>
        <v>INSPECCION SEMANAL BOLSA 360 Y 600 ML</v>
      </c>
      <c r="F68" s="5" t="str">
        <f ca="1">IFERROR(__xludf.DUMMYFUNCTION("""COMPUTED_VALUE"""),"FUNC REFRIGERACION RESISTENCIAS")</f>
        <v>FUNC REFRIGERACION RESISTENCIAS</v>
      </c>
      <c r="G68" s="5" t="b">
        <f ca="1">IFERROR(__xludf.DUMMYFUNCTION("""COMPUTED_VALUE"""),TRUE)</f>
        <v>1</v>
      </c>
      <c r="H68" s="5"/>
      <c r="I68" s="5"/>
      <c r="J68" s="5">
        <f ca="1">IFERROR(__xludf.DUMMYFUNCTION("""COMPUTED_VALUE"""),13247713)</f>
        <v>13247713</v>
      </c>
      <c r="K68" s="5"/>
      <c r="L68" s="18">
        <f ca="1">IFERROR(__xludf.DUMMYFUNCTION("""COMPUTED_VALUE"""),45324)</f>
        <v>45324</v>
      </c>
      <c r="M68" s="18">
        <f ca="1">IFERROR(__xludf.DUMMYFUNCTION("""COMPUTED_VALUE"""),45324)</f>
        <v>45324</v>
      </c>
      <c r="N68" s="5" t="str">
        <f ca="1">IFERROR(__xludf.DUMMYFUNCTION("""COMPUTED_VALUE"""),"ESTEBAN POTOSI ISAZA")</f>
        <v>ESTEBAN POTOSI ISAZA</v>
      </c>
      <c r="O68" s="2">
        <f ca="1">IFERROR(__xludf.DUMMYFUNCTION("""COMPUTED_VALUE"""),0.005555556)</f>
        <v>5.5555559999999997E-3</v>
      </c>
      <c r="P68" s="5">
        <f ca="1">IFERROR(__xludf.DUMMYFUNCTION("""COMPUTED_VALUE"""),20076884)</f>
        <v>20076884</v>
      </c>
      <c r="Q68" s="5" t="str">
        <f ca="1">IFERROR(__xludf.DUMMYFUNCTION("""COMPUTED_VALUE"""),"_TN1JKYpTak")</f>
        <v>_TN1JKYpTak</v>
      </c>
      <c r="R68" s="5">
        <f ca="1">IFERROR(__xludf.DUMMYFUNCTION("""COMPUTED_VALUE"""),410)</f>
        <v>410</v>
      </c>
      <c r="S68" s="62">
        <f ca="1">IFERROR(__xludf.DUMMYFUNCTION("""COMPUTED_VALUE"""),0.005555556)</f>
        <v>5.5555559999999997E-3</v>
      </c>
      <c r="T68" s="63" t="str">
        <f ca="1">IFERROR(__xludf.DUMMYFUNCTION("""COMPUTED_VALUE"""),"https://storage.googleapis.com/glide-prod.appspot.com/uploads-v2/ly7o78grxPaC6KdgvbpS/pub/3aRdSog0vUtuqPE8AJKD.png")</f>
        <v>https://storage.googleapis.com/glide-prod.appspot.com/uploads-v2/ly7o78grxPaC6KdgvbpS/pub/3aRdSog0vUtuqPE8AJKD.png</v>
      </c>
      <c r="U68" s="5" t="str">
        <f ca="1">IFERROR(__xludf.DUMMYFUNCTION("""COMPUTED_VALUE"""),"LINEA PARA EL LLENADO DE BOLSASLLENADORA DE BOLSAS LINEA 4")</f>
        <v>LINEA PARA EL LLENADO DE BOLSASLLENADORA DE BOLSAS LINEA 4</v>
      </c>
      <c r="V68" s="5"/>
      <c r="W68" s="5" t="b">
        <f ca="1">IFERROR(__xludf.DUMMYFUNCTION("""COMPUTED_VALUE"""),TRUE)</f>
        <v>1</v>
      </c>
      <c r="X68" s="5" t="str">
        <f ca="1">IFERROR(__xludf.DUMMYFUNCTION("""COMPUTED_VALUE"""),"achavezi@postobon.com.co,aprmttoyu@postobon.com.co,aprmyu@postobon.com.co,wmora@postobon.com.co,efzapata@postobon.com.co")</f>
        <v>achavezi@postobon.com.co,aprmttoyu@postobon.com.co,aprmyu@postobon.com.co,wmora@postobon.com.co,efzapata@postobon.com.co</v>
      </c>
      <c r="Y68" s="5" t="str">
        <f ca="1">IFERROR(__xludf.DUMMYFUNCTION("""COMPUTED_VALUE"""),"achavezi@postobon.com.co")</f>
        <v>achavezi@postobon.com.co</v>
      </c>
      <c r="Z68" s="5" t="str">
        <f ca="1">IFERROR(__xludf.DUMMYFUNCTION("""COMPUTED_VALUE"""),"WqxuixNMS2i6kmBIlc3.IA")</f>
        <v>WqxuixNMS2i6kmBIlc3.IA</v>
      </c>
      <c r="AA68" s="5"/>
      <c r="AB68" s="5"/>
      <c r="AC68" s="5"/>
      <c r="AD68" s="5">
        <f ca="1">IFERROR(__xludf.DUMMYFUNCTION("""COMPUTED_VALUE"""),70)</f>
        <v>70</v>
      </c>
      <c r="AE68" s="5">
        <f ca="1">IFERROR(__xludf.DUMMYFUNCTION("""COMPUTED_VALUE"""),70)</f>
        <v>70</v>
      </c>
      <c r="AF68" s="5" t="b">
        <f ca="1">IFERROR(__xludf.DUMMYFUNCTION("""COMPUTED_VALUE"""),FALSE)</f>
        <v>0</v>
      </c>
      <c r="AG68" s="5" t="str">
        <f ca="1">IFERROR(__xludf.DUMMYFUNCTION("""COMPUTED_VALUE"""),"INSPECCIONES REALIZADAS")</f>
        <v>INSPECCIONES REALIZADAS</v>
      </c>
      <c r="AH68" s="5"/>
    </row>
    <row r="69" spans="1:34">
      <c r="A69" s="5" t="str">
        <f ca="1">IFERROR(__xludf.DUMMYFUNCTION("""COMPUTED_VALUE"""),"LINEA PARA EL LLENADO DE BOLSAS")</f>
        <v>LINEA PARA EL LLENADO DE BOLSAS</v>
      </c>
      <c r="B69" s="5">
        <f ca="1">IFERROR(__xludf.DUMMYFUNCTION("""COMPUTED_VALUE"""),710200)</f>
        <v>710200</v>
      </c>
      <c r="C69" s="5" t="str">
        <f ca="1">IFERROR(__xludf.DUMMYFUNCTION("""COMPUTED_VALUE"""),"LLENADORA DE BOLSAS LINEA 4")</f>
        <v>LLENADORA DE BOLSAS LINEA 4</v>
      </c>
      <c r="D69" s="5">
        <f ca="1">IFERROR(__xludf.DUMMYFUNCTION("""COMPUTED_VALUE"""),13247713)</f>
        <v>13247713</v>
      </c>
      <c r="E69" s="5" t="str">
        <f ca="1">IFERROR(__xludf.DUMMYFUNCTION("""COMPUTED_VALUE"""),"INSPECCION SEMANAL BOLSA 360 Y 600 ML")</f>
        <v>INSPECCION SEMANAL BOLSA 360 Y 600 ML</v>
      </c>
      <c r="F69" s="5" t="str">
        <f ca="1">IFERROR(__xludf.DUMMYFUNCTION("""COMPUTED_VALUE"""),"ESTADO VALVULA LLENADO")</f>
        <v>ESTADO VALVULA LLENADO</v>
      </c>
      <c r="G69" s="5" t="b">
        <f ca="1">IFERROR(__xludf.DUMMYFUNCTION("""COMPUTED_VALUE"""),TRUE)</f>
        <v>1</v>
      </c>
      <c r="H69" s="5"/>
      <c r="I69" s="5"/>
      <c r="J69" s="5">
        <f ca="1">IFERROR(__xludf.DUMMYFUNCTION("""COMPUTED_VALUE"""),13247713)</f>
        <v>13247713</v>
      </c>
      <c r="K69" s="5"/>
      <c r="L69" s="18">
        <f ca="1">IFERROR(__xludf.DUMMYFUNCTION("""COMPUTED_VALUE"""),45324)</f>
        <v>45324</v>
      </c>
      <c r="M69" s="18">
        <f ca="1">IFERROR(__xludf.DUMMYFUNCTION("""COMPUTED_VALUE"""),45324)</f>
        <v>45324</v>
      </c>
      <c r="N69" s="5" t="str">
        <f ca="1">IFERROR(__xludf.DUMMYFUNCTION("""COMPUTED_VALUE"""),"ESTEBAN POTOSI ISAZA")</f>
        <v>ESTEBAN POTOSI ISAZA</v>
      </c>
      <c r="O69" s="2">
        <f ca="1">IFERROR(__xludf.DUMMYFUNCTION("""COMPUTED_VALUE"""),0.005555556)</f>
        <v>5.5555559999999997E-3</v>
      </c>
      <c r="P69" s="5">
        <f ca="1">IFERROR(__xludf.DUMMYFUNCTION("""COMPUTED_VALUE"""),20076884)</f>
        <v>20076884</v>
      </c>
      <c r="Q69" s="5" t="str">
        <f ca="1">IFERROR(__xludf.DUMMYFUNCTION("""COMPUTED_VALUE"""),"AhrBnBSIO90")</f>
        <v>AhrBnBSIO90</v>
      </c>
      <c r="R69" s="5">
        <f ca="1">IFERROR(__xludf.DUMMYFUNCTION("""COMPUTED_VALUE"""),410)</f>
        <v>410</v>
      </c>
      <c r="S69" s="62">
        <f ca="1">IFERROR(__xludf.DUMMYFUNCTION("""COMPUTED_VALUE"""),0.005555556)</f>
        <v>5.5555559999999997E-3</v>
      </c>
      <c r="T69" s="63" t="str">
        <f ca="1">IFERROR(__xludf.DUMMYFUNCTION("""COMPUTED_VALUE"""),"https://storage.googleapis.com/glide-prod.appspot.com/uploads-v2/ly7o78grxPaC6KdgvbpS/pub/3aRdSog0vUtuqPE8AJKD.png")</f>
        <v>https://storage.googleapis.com/glide-prod.appspot.com/uploads-v2/ly7o78grxPaC6KdgvbpS/pub/3aRdSog0vUtuqPE8AJKD.png</v>
      </c>
      <c r="U69" s="5" t="str">
        <f ca="1">IFERROR(__xludf.DUMMYFUNCTION("""COMPUTED_VALUE"""),"LINEA PARA EL LLENADO DE BOLSASLLENADORA DE BOLSAS LINEA 4")</f>
        <v>LINEA PARA EL LLENADO DE BOLSASLLENADORA DE BOLSAS LINEA 4</v>
      </c>
      <c r="V69" s="5"/>
      <c r="W69" s="5" t="b">
        <f ca="1">IFERROR(__xludf.DUMMYFUNCTION("""COMPUTED_VALUE"""),TRUE)</f>
        <v>1</v>
      </c>
      <c r="X69" s="5" t="str">
        <f ca="1">IFERROR(__xludf.DUMMYFUNCTION("""COMPUTED_VALUE"""),"achavezi@postobon.com.co,aprmttoyu@postobon.com.co,aprmyu@postobon.com.co,wmora@postobon.com.co,efzapata@postobon.com.co")</f>
        <v>achavezi@postobon.com.co,aprmttoyu@postobon.com.co,aprmyu@postobon.com.co,wmora@postobon.com.co,efzapata@postobon.com.co</v>
      </c>
      <c r="Y69" s="5" t="str">
        <f ca="1">IFERROR(__xludf.DUMMYFUNCTION("""COMPUTED_VALUE"""),"achavezi@postobon.com.co")</f>
        <v>achavezi@postobon.com.co</v>
      </c>
      <c r="Z69" s="5" t="str">
        <f ca="1">IFERROR(__xludf.DUMMYFUNCTION("""COMPUTED_VALUE"""),"VNI-7Gg9QZ2dhKr4RPHP1w")</f>
        <v>VNI-7Gg9QZ2dhKr4RPHP1w</v>
      </c>
      <c r="AA69" s="5"/>
      <c r="AB69" s="5"/>
      <c r="AC69" s="5"/>
      <c r="AD69" s="5">
        <f ca="1">IFERROR(__xludf.DUMMYFUNCTION("""COMPUTED_VALUE"""),70)</f>
        <v>70</v>
      </c>
      <c r="AE69" s="5">
        <f ca="1">IFERROR(__xludf.DUMMYFUNCTION("""COMPUTED_VALUE"""),70)</f>
        <v>70</v>
      </c>
      <c r="AF69" s="5" t="b">
        <f ca="1">IFERROR(__xludf.DUMMYFUNCTION("""COMPUTED_VALUE"""),FALSE)</f>
        <v>0</v>
      </c>
      <c r="AG69" s="5" t="str">
        <f ca="1">IFERROR(__xludf.DUMMYFUNCTION("""COMPUTED_VALUE"""),"INSPECCIONES REALIZADAS")</f>
        <v>INSPECCIONES REALIZADAS</v>
      </c>
      <c r="AH69" s="5"/>
    </row>
    <row r="70" spans="1:34">
      <c r="A70" s="5" t="str">
        <f ca="1">IFERROR(__xludf.DUMMYFUNCTION("""COMPUTED_VALUE"""),"LINEA PARA EL LLENADO DE BOLSAS")</f>
        <v>LINEA PARA EL LLENADO DE BOLSAS</v>
      </c>
      <c r="B70" s="5">
        <f ca="1">IFERROR(__xludf.DUMMYFUNCTION("""COMPUTED_VALUE"""),710200)</f>
        <v>710200</v>
      </c>
      <c r="C70" s="5" t="str">
        <f ca="1">IFERROR(__xludf.DUMMYFUNCTION("""COMPUTED_VALUE"""),"LLENADORA DE BOLSAS LINEA 4")</f>
        <v>LLENADORA DE BOLSAS LINEA 4</v>
      </c>
      <c r="D70" s="5">
        <f ca="1">IFERROR(__xludf.DUMMYFUNCTION("""COMPUTED_VALUE"""),13247713)</f>
        <v>13247713</v>
      </c>
      <c r="E70" s="5" t="str">
        <f ca="1">IFERROR(__xludf.DUMMYFUNCTION("""COMPUTED_VALUE"""),"INSPECCION SEMANAL BOLSA 360 Y 600 ML")</f>
        <v>INSPECCION SEMANAL BOLSA 360 Y 600 ML</v>
      </c>
      <c r="F70" s="5" t="str">
        <f ca="1">IFERROR(__xludf.DUMMYFUNCTION("""COMPUTED_VALUE"""),"FUNC SISTEMA ARRASTRE BOLSA")</f>
        <v>FUNC SISTEMA ARRASTRE BOLSA</v>
      </c>
      <c r="G70" s="5" t="b">
        <f ca="1">IFERROR(__xludf.DUMMYFUNCTION("""COMPUTED_VALUE"""),TRUE)</f>
        <v>1</v>
      </c>
      <c r="H70" s="5"/>
      <c r="I70" s="5"/>
      <c r="J70" s="5">
        <f ca="1">IFERROR(__xludf.DUMMYFUNCTION("""COMPUTED_VALUE"""),13247713)</f>
        <v>13247713</v>
      </c>
      <c r="K70" s="5"/>
      <c r="L70" s="18">
        <f ca="1">IFERROR(__xludf.DUMMYFUNCTION("""COMPUTED_VALUE"""),45324)</f>
        <v>45324</v>
      </c>
      <c r="M70" s="18">
        <f ca="1">IFERROR(__xludf.DUMMYFUNCTION("""COMPUTED_VALUE"""),45324)</f>
        <v>45324</v>
      </c>
      <c r="N70" s="5" t="str">
        <f ca="1">IFERROR(__xludf.DUMMYFUNCTION("""COMPUTED_VALUE"""),"ESTEBAN POTOSI ISAZA")</f>
        <v>ESTEBAN POTOSI ISAZA</v>
      </c>
      <c r="O70" s="2">
        <f ca="1">IFERROR(__xludf.DUMMYFUNCTION("""COMPUTED_VALUE"""),0.005555556)</f>
        <v>5.5555559999999997E-3</v>
      </c>
      <c r="P70" s="5">
        <f ca="1">IFERROR(__xludf.DUMMYFUNCTION("""COMPUTED_VALUE"""),20076884)</f>
        <v>20076884</v>
      </c>
      <c r="Q70" s="5" t="str">
        <f ca="1">IFERROR(__xludf.DUMMYFUNCTION("""COMPUTED_VALUE"""),"4NfJXwGahHE")</f>
        <v>4NfJXwGahHE</v>
      </c>
      <c r="R70" s="5">
        <f ca="1">IFERROR(__xludf.DUMMYFUNCTION("""COMPUTED_VALUE"""),410)</f>
        <v>410</v>
      </c>
      <c r="S70" s="62">
        <f ca="1">IFERROR(__xludf.DUMMYFUNCTION("""COMPUTED_VALUE"""),0.005555556)</f>
        <v>5.5555559999999997E-3</v>
      </c>
      <c r="T70" s="63" t="str">
        <f ca="1">IFERROR(__xludf.DUMMYFUNCTION("""COMPUTED_VALUE"""),"https://storage.googleapis.com/glide-prod.appspot.com/uploads-v2/ly7o78grxPaC6KdgvbpS/pub/3aRdSog0vUtuqPE8AJKD.png")</f>
        <v>https://storage.googleapis.com/glide-prod.appspot.com/uploads-v2/ly7o78grxPaC6KdgvbpS/pub/3aRdSog0vUtuqPE8AJKD.png</v>
      </c>
      <c r="U70" s="5" t="str">
        <f ca="1">IFERROR(__xludf.DUMMYFUNCTION("""COMPUTED_VALUE"""),"LINEA PARA EL LLENADO DE BOLSASLLENADORA DE BOLSAS LINEA 4")</f>
        <v>LINEA PARA EL LLENADO DE BOLSASLLENADORA DE BOLSAS LINEA 4</v>
      </c>
      <c r="V70" s="5"/>
      <c r="W70" s="5" t="b">
        <f ca="1">IFERROR(__xludf.DUMMYFUNCTION("""COMPUTED_VALUE"""),TRUE)</f>
        <v>1</v>
      </c>
      <c r="X70" s="5" t="str">
        <f ca="1">IFERROR(__xludf.DUMMYFUNCTION("""COMPUTED_VALUE"""),"achavezi@postobon.com.co,aprmttoyu@postobon.com.co,aprmyu@postobon.com.co,wmora@postobon.com.co,efzapata@postobon.com.co")</f>
        <v>achavezi@postobon.com.co,aprmttoyu@postobon.com.co,aprmyu@postobon.com.co,wmora@postobon.com.co,efzapata@postobon.com.co</v>
      </c>
      <c r="Y70" s="5" t="str">
        <f ca="1">IFERROR(__xludf.DUMMYFUNCTION("""COMPUTED_VALUE"""),"achavezi@postobon.com.co")</f>
        <v>achavezi@postobon.com.co</v>
      </c>
      <c r="Z70" s="5" t="str">
        <f ca="1">IFERROR(__xludf.DUMMYFUNCTION("""COMPUTED_VALUE"""),"J6iCyQfiRUKhQHT8eGAPlQ")</f>
        <v>J6iCyQfiRUKhQHT8eGAPlQ</v>
      </c>
      <c r="AA70" s="5"/>
      <c r="AB70" s="5"/>
      <c r="AC70" s="5"/>
      <c r="AD70" s="5">
        <f ca="1">IFERROR(__xludf.DUMMYFUNCTION("""COMPUTED_VALUE"""),70)</f>
        <v>70</v>
      </c>
      <c r="AE70" s="5">
        <f ca="1">IFERROR(__xludf.DUMMYFUNCTION("""COMPUTED_VALUE"""),70)</f>
        <v>70</v>
      </c>
      <c r="AF70" s="5" t="b">
        <f ca="1">IFERROR(__xludf.DUMMYFUNCTION("""COMPUTED_VALUE"""),FALSE)</f>
        <v>0</v>
      </c>
      <c r="AG70" s="5" t="str">
        <f ca="1">IFERROR(__xludf.DUMMYFUNCTION("""COMPUTED_VALUE"""),"INSPECCIONES REALIZADAS")</f>
        <v>INSPECCIONES REALIZADAS</v>
      </c>
      <c r="AH70" s="5"/>
    </row>
    <row r="71" spans="1:34">
      <c r="A71" s="5" t="str">
        <f ca="1">IFERROR(__xludf.DUMMYFUNCTION("""COMPUTED_VALUE"""),"LINEA PARA EL LLENADO DE BOLSAS")</f>
        <v>LINEA PARA EL LLENADO DE BOLSAS</v>
      </c>
      <c r="B71" s="5">
        <f ca="1">IFERROR(__xludf.DUMMYFUNCTION("""COMPUTED_VALUE"""),710200)</f>
        <v>710200</v>
      </c>
      <c r="C71" s="5" t="str">
        <f ca="1">IFERROR(__xludf.DUMMYFUNCTION("""COMPUTED_VALUE"""),"LLENADORA DE BOLSAS LINEA 4")</f>
        <v>LLENADORA DE BOLSAS LINEA 4</v>
      </c>
      <c r="D71" s="5">
        <f ca="1">IFERROR(__xludf.DUMMYFUNCTION("""COMPUTED_VALUE"""),13247713)</f>
        <v>13247713</v>
      </c>
      <c r="E71" s="5" t="str">
        <f ca="1">IFERROR(__xludf.DUMMYFUNCTION("""COMPUTED_VALUE"""),"INSPECCION SEMANAL BOLSA 360 Y 600 ML")</f>
        <v>INSPECCION SEMANAL BOLSA 360 Y 600 ML</v>
      </c>
      <c r="F71" s="5" t="str">
        <f ca="1">IFERROR(__xludf.DUMMYFUNCTION("""COMPUTED_VALUE"""),"ESTADO BANDA DE MOTOR ARRASTRE")</f>
        <v>ESTADO BANDA DE MOTOR ARRASTRE</v>
      </c>
      <c r="G71" s="5" t="b">
        <f ca="1">IFERROR(__xludf.DUMMYFUNCTION("""COMPUTED_VALUE"""),TRUE)</f>
        <v>1</v>
      </c>
      <c r="H71" s="5"/>
      <c r="I71" s="5"/>
      <c r="J71" s="5">
        <f ca="1">IFERROR(__xludf.DUMMYFUNCTION("""COMPUTED_VALUE"""),13247713)</f>
        <v>13247713</v>
      </c>
      <c r="K71" s="5"/>
      <c r="L71" s="18">
        <f ca="1">IFERROR(__xludf.DUMMYFUNCTION("""COMPUTED_VALUE"""),45324)</f>
        <v>45324</v>
      </c>
      <c r="M71" s="18">
        <f ca="1">IFERROR(__xludf.DUMMYFUNCTION("""COMPUTED_VALUE"""),45324)</f>
        <v>45324</v>
      </c>
      <c r="N71" s="5" t="str">
        <f ca="1">IFERROR(__xludf.DUMMYFUNCTION("""COMPUTED_VALUE"""),"ESTEBAN POTOSI ISAZA")</f>
        <v>ESTEBAN POTOSI ISAZA</v>
      </c>
      <c r="O71" s="2">
        <f ca="1">IFERROR(__xludf.DUMMYFUNCTION("""COMPUTED_VALUE"""),0.005555556)</f>
        <v>5.5555559999999997E-3</v>
      </c>
      <c r="P71" s="5">
        <f ca="1">IFERROR(__xludf.DUMMYFUNCTION("""COMPUTED_VALUE"""),20076884)</f>
        <v>20076884</v>
      </c>
      <c r="Q71" s="5" t="str">
        <f ca="1">IFERROR(__xludf.DUMMYFUNCTION("""COMPUTED_VALUE"""),"EEdha0oI3lQ")</f>
        <v>EEdha0oI3lQ</v>
      </c>
      <c r="R71" s="5">
        <f ca="1">IFERROR(__xludf.DUMMYFUNCTION("""COMPUTED_VALUE"""),410)</f>
        <v>410</v>
      </c>
      <c r="S71" s="62">
        <f ca="1">IFERROR(__xludf.DUMMYFUNCTION("""COMPUTED_VALUE"""),0.005555556)</f>
        <v>5.5555559999999997E-3</v>
      </c>
      <c r="T71" s="63" t="str">
        <f ca="1">IFERROR(__xludf.DUMMYFUNCTION("""COMPUTED_VALUE"""),"https://storage.googleapis.com/glide-prod.appspot.com/uploads-v2/ly7o78grxPaC6KdgvbpS/pub/3aRdSog0vUtuqPE8AJKD.png")</f>
        <v>https://storage.googleapis.com/glide-prod.appspot.com/uploads-v2/ly7o78grxPaC6KdgvbpS/pub/3aRdSog0vUtuqPE8AJKD.png</v>
      </c>
      <c r="U71" s="5" t="str">
        <f ca="1">IFERROR(__xludf.DUMMYFUNCTION("""COMPUTED_VALUE"""),"LINEA PARA EL LLENADO DE BOLSASLLENADORA DE BOLSAS LINEA 4")</f>
        <v>LINEA PARA EL LLENADO DE BOLSASLLENADORA DE BOLSAS LINEA 4</v>
      </c>
      <c r="V71" s="5"/>
      <c r="W71" s="5" t="b">
        <f ca="1">IFERROR(__xludf.DUMMYFUNCTION("""COMPUTED_VALUE"""),TRUE)</f>
        <v>1</v>
      </c>
      <c r="X71" s="5" t="str">
        <f ca="1">IFERROR(__xludf.DUMMYFUNCTION("""COMPUTED_VALUE"""),"achavezi@postobon.com.co,aprmttoyu@postobon.com.co,aprmyu@postobon.com.co,wmora@postobon.com.co,efzapata@postobon.com.co")</f>
        <v>achavezi@postobon.com.co,aprmttoyu@postobon.com.co,aprmyu@postobon.com.co,wmora@postobon.com.co,efzapata@postobon.com.co</v>
      </c>
      <c r="Y71" s="5" t="str">
        <f ca="1">IFERROR(__xludf.DUMMYFUNCTION("""COMPUTED_VALUE"""),"achavezi@postobon.com.co")</f>
        <v>achavezi@postobon.com.co</v>
      </c>
      <c r="Z71" s="5" t="str">
        <f ca="1">IFERROR(__xludf.DUMMYFUNCTION("""COMPUTED_VALUE"""),"IWK7moQSS6uo4XS4FpET-A")</f>
        <v>IWK7moQSS6uo4XS4FpET-A</v>
      </c>
      <c r="AA71" s="5"/>
      <c r="AB71" s="5"/>
      <c r="AC71" s="5"/>
      <c r="AD71" s="5">
        <f ca="1">IFERROR(__xludf.DUMMYFUNCTION("""COMPUTED_VALUE"""),70)</f>
        <v>70</v>
      </c>
      <c r="AE71" s="5">
        <f ca="1">IFERROR(__xludf.DUMMYFUNCTION("""COMPUTED_VALUE"""),70)</f>
        <v>70</v>
      </c>
      <c r="AF71" s="5" t="b">
        <f ca="1">IFERROR(__xludf.DUMMYFUNCTION("""COMPUTED_VALUE"""),FALSE)</f>
        <v>0</v>
      </c>
      <c r="AG71" s="5" t="str">
        <f ca="1">IFERROR(__xludf.DUMMYFUNCTION("""COMPUTED_VALUE"""),"INSPECCIONES REALIZADAS")</f>
        <v>INSPECCIONES REALIZADAS</v>
      </c>
      <c r="AH71" s="5"/>
    </row>
    <row r="72" spans="1:34">
      <c r="A72" s="5" t="str">
        <f ca="1">IFERROR(__xludf.DUMMYFUNCTION("""COMPUTED_VALUE"""),"LINEA PARA EL LLENADO DE BOLSAS")</f>
        <v>LINEA PARA EL LLENADO DE BOLSAS</v>
      </c>
      <c r="B72" s="5">
        <f ca="1">IFERROR(__xludf.DUMMYFUNCTION("""COMPUTED_VALUE"""),710200)</f>
        <v>710200</v>
      </c>
      <c r="C72" s="5" t="str">
        <f ca="1">IFERROR(__xludf.DUMMYFUNCTION("""COMPUTED_VALUE"""),"LLENADORA DE BOLSAS LINEA 4")</f>
        <v>LLENADORA DE BOLSAS LINEA 4</v>
      </c>
      <c r="D72" s="5">
        <f ca="1">IFERROR(__xludf.DUMMYFUNCTION("""COMPUTED_VALUE"""),13247713)</f>
        <v>13247713</v>
      </c>
      <c r="E72" s="5" t="str">
        <f ca="1">IFERROR(__xludf.DUMMYFUNCTION("""COMPUTED_VALUE"""),"INSPECCION SEMANAL BOLSA 360 Y 600 ML")</f>
        <v>INSPECCION SEMANAL BOLSA 360 Y 600 ML</v>
      </c>
      <c r="F72" s="5" t="str">
        <f ca="1">IFERROR(__xludf.DUMMYFUNCTION("""COMPUTED_VALUE"""),"FUNC MOTORES ARRASTRE BOLSA")</f>
        <v>FUNC MOTORES ARRASTRE BOLSA</v>
      </c>
      <c r="G72" s="5" t="b">
        <f ca="1">IFERROR(__xludf.DUMMYFUNCTION("""COMPUTED_VALUE"""),TRUE)</f>
        <v>1</v>
      </c>
      <c r="H72" s="5"/>
      <c r="I72" s="5"/>
      <c r="J72" s="5">
        <f ca="1">IFERROR(__xludf.DUMMYFUNCTION("""COMPUTED_VALUE"""),13247713)</f>
        <v>13247713</v>
      </c>
      <c r="K72" s="5"/>
      <c r="L72" s="18">
        <f ca="1">IFERROR(__xludf.DUMMYFUNCTION("""COMPUTED_VALUE"""),45324)</f>
        <v>45324</v>
      </c>
      <c r="M72" s="18">
        <f ca="1">IFERROR(__xludf.DUMMYFUNCTION("""COMPUTED_VALUE"""),45324)</f>
        <v>45324</v>
      </c>
      <c r="N72" s="5" t="str">
        <f ca="1">IFERROR(__xludf.DUMMYFUNCTION("""COMPUTED_VALUE"""),"ESTEBAN POTOSI ISAZA")</f>
        <v>ESTEBAN POTOSI ISAZA</v>
      </c>
      <c r="O72" s="2">
        <f ca="1">IFERROR(__xludf.DUMMYFUNCTION("""COMPUTED_VALUE"""),0.005555556)</f>
        <v>5.5555559999999997E-3</v>
      </c>
      <c r="P72" s="5">
        <f ca="1">IFERROR(__xludf.DUMMYFUNCTION("""COMPUTED_VALUE"""),20076884)</f>
        <v>20076884</v>
      </c>
      <c r="Q72" s="5" t="str">
        <f ca="1">IFERROR(__xludf.DUMMYFUNCTION("""COMPUTED_VALUE"""),"yFZDTW7CRJA")</f>
        <v>yFZDTW7CRJA</v>
      </c>
      <c r="R72" s="5">
        <f ca="1">IFERROR(__xludf.DUMMYFUNCTION("""COMPUTED_VALUE"""),410)</f>
        <v>410</v>
      </c>
      <c r="S72" s="62">
        <f ca="1">IFERROR(__xludf.DUMMYFUNCTION("""COMPUTED_VALUE"""),0.005555556)</f>
        <v>5.5555559999999997E-3</v>
      </c>
      <c r="T72" s="63" t="str">
        <f ca="1">IFERROR(__xludf.DUMMYFUNCTION("""COMPUTED_VALUE"""),"https://storage.googleapis.com/glide-prod.appspot.com/uploads-v2/ly7o78grxPaC6KdgvbpS/pub/3aRdSog0vUtuqPE8AJKD.png")</f>
        <v>https://storage.googleapis.com/glide-prod.appspot.com/uploads-v2/ly7o78grxPaC6KdgvbpS/pub/3aRdSog0vUtuqPE8AJKD.png</v>
      </c>
      <c r="U72" s="5" t="str">
        <f ca="1">IFERROR(__xludf.DUMMYFUNCTION("""COMPUTED_VALUE"""),"LINEA PARA EL LLENADO DE BOLSASLLENADORA DE BOLSAS LINEA 4")</f>
        <v>LINEA PARA EL LLENADO DE BOLSASLLENADORA DE BOLSAS LINEA 4</v>
      </c>
      <c r="V72" s="5"/>
      <c r="W72" s="5" t="b">
        <f ca="1">IFERROR(__xludf.DUMMYFUNCTION("""COMPUTED_VALUE"""),TRUE)</f>
        <v>1</v>
      </c>
      <c r="X72" s="5" t="str">
        <f ca="1">IFERROR(__xludf.DUMMYFUNCTION("""COMPUTED_VALUE"""),"achavezi@postobon.com.co,aprmttoyu@postobon.com.co,aprmyu@postobon.com.co,wmora@postobon.com.co,efzapata@postobon.com.co")</f>
        <v>achavezi@postobon.com.co,aprmttoyu@postobon.com.co,aprmyu@postobon.com.co,wmora@postobon.com.co,efzapata@postobon.com.co</v>
      </c>
      <c r="Y72" s="5" t="str">
        <f ca="1">IFERROR(__xludf.DUMMYFUNCTION("""COMPUTED_VALUE"""),"achavezi@postobon.com.co")</f>
        <v>achavezi@postobon.com.co</v>
      </c>
      <c r="Z72" s="5" t="str">
        <f ca="1">IFERROR(__xludf.DUMMYFUNCTION("""COMPUTED_VALUE"""),"laQ30VhkRwCq6yFLquUQUw")</f>
        <v>laQ30VhkRwCq6yFLquUQUw</v>
      </c>
      <c r="AA72" s="5"/>
      <c r="AB72" s="5"/>
      <c r="AC72" s="5"/>
      <c r="AD72" s="5">
        <f ca="1">IFERROR(__xludf.DUMMYFUNCTION("""COMPUTED_VALUE"""),70)</f>
        <v>70</v>
      </c>
      <c r="AE72" s="5">
        <f ca="1">IFERROR(__xludf.DUMMYFUNCTION("""COMPUTED_VALUE"""),70)</f>
        <v>70</v>
      </c>
      <c r="AF72" s="5" t="b">
        <f ca="1">IFERROR(__xludf.DUMMYFUNCTION("""COMPUTED_VALUE"""),FALSE)</f>
        <v>0</v>
      </c>
      <c r="AG72" s="5" t="str">
        <f ca="1">IFERROR(__xludf.DUMMYFUNCTION("""COMPUTED_VALUE"""),"INSPECCIONES REALIZADAS")</f>
        <v>INSPECCIONES REALIZADAS</v>
      </c>
      <c r="AH72" s="5"/>
    </row>
    <row r="73" spans="1:34">
      <c r="A73" s="5" t="str">
        <f ca="1">IFERROR(__xludf.DUMMYFUNCTION("""COMPUTED_VALUE"""),"LINEA PARA EL LLENADO DE BOLSAS")</f>
        <v>LINEA PARA EL LLENADO DE BOLSAS</v>
      </c>
      <c r="B73" s="5">
        <f ca="1">IFERROR(__xludf.DUMMYFUNCTION("""COMPUTED_VALUE"""),710200)</f>
        <v>710200</v>
      </c>
      <c r="C73" s="5" t="str">
        <f ca="1">IFERROR(__xludf.DUMMYFUNCTION("""COMPUTED_VALUE"""),"LLENADORA DE BOLSAS LINEA 4")</f>
        <v>LLENADORA DE BOLSAS LINEA 4</v>
      </c>
      <c r="D73" s="5">
        <f ca="1">IFERROR(__xludf.DUMMYFUNCTION("""COMPUTED_VALUE"""),13247713)</f>
        <v>13247713</v>
      </c>
      <c r="E73" s="5" t="str">
        <f ca="1">IFERROR(__xludf.DUMMYFUNCTION("""COMPUTED_VALUE"""),"INSPECCION SEMANAL BOLSA 360 Y 600 ML")</f>
        <v>INSPECCION SEMANAL BOLSA 360 Y 600 ML</v>
      </c>
      <c r="F73" s="5" t="str">
        <f ca="1">IFERROR(__xludf.DUMMYFUNCTION("""COMPUTED_VALUE"""),"FUNC MOTORES SELLADO BOLSA")</f>
        <v>FUNC MOTORES SELLADO BOLSA</v>
      </c>
      <c r="G73" s="5" t="b">
        <f ca="1">IFERROR(__xludf.DUMMYFUNCTION("""COMPUTED_VALUE"""),TRUE)</f>
        <v>1</v>
      </c>
      <c r="H73" s="5"/>
      <c r="I73" s="5"/>
      <c r="J73" s="5">
        <f ca="1">IFERROR(__xludf.DUMMYFUNCTION("""COMPUTED_VALUE"""),13247713)</f>
        <v>13247713</v>
      </c>
      <c r="K73" s="5"/>
      <c r="L73" s="18">
        <f ca="1">IFERROR(__xludf.DUMMYFUNCTION("""COMPUTED_VALUE"""),45324)</f>
        <v>45324</v>
      </c>
      <c r="M73" s="18">
        <f ca="1">IFERROR(__xludf.DUMMYFUNCTION("""COMPUTED_VALUE"""),45324)</f>
        <v>45324</v>
      </c>
      <c r="N73" s="5" t="str">
        <f ca="1">IFERROR(__xludf.DUMMYFUNCTION("""COMPUTED_VALUE"""),"ESTEBAN POTOSI ISAZA")</f>
        <v>ESTEBAN POTOSI ISAZA</v>
      </c>
      <c r="O73" s="2">
        <f ca="1">IFERROR(__xludf.DUMMYFUNCTION("""COMPUTED_VALUE"""),0.005555556)</f>
        <v>5.5555559999999997E-3</v>
      </c>
      <c r="P73" s="5">
        <f ca="1">IFERROR(__xludf.DUMMYFUNCTION("""COMPUTED_VALUE"""),20076884)</f>
        <v>20076884</v>
      </c>
      <c r="Q73" s="5" t="str">
        <f ca="1">IFERROR(__xludf.DUMMYFUNCTION("""COMPUTED_VALUE"""),"es8wIc1Hz3U")</f>
        <v>es8wIc1Hz3U</v>
      </c>
      <c r="R73" s="5">
        <f ca="1">IFERROR(__xludf.DUMMYFUNCTION("""COMPUTED_VALUE"""),410)</f>
        <v>410</v>
      </c>
      <c r="S73" s="62">
        <f ca="1">IFERROR(__xludf.DUMMYFUNCTION("""COMPUTED_VALUE"""),0.005555556)</f>
        <v>5.5555559999999997E-3</v>
      </c>
      <c r="T73" s="63" t="str">
        <f ca="1">IFERROR(__xludf.DUMMYFUNCTION("""COMPUTED_VALUE"""),"https://storage.googleapis.com/glide-prod.appspot.com/uploads-v2/ly7o78grxPaC6KdgvbpS/pub/3aRdSog0vUtuqPE8AJKD.png")</f>
        <v>https://storage.googleapis.com/glide-prod.appspot.com/uploads-v2/ly7o78grxPaC6KdgvbpS/pub/3aRdSog0vUtuqPE8AJKD.png</v>
      </c>
      <c r="U73" s="5" t="str">
        <f ca="1">IFERROR(__xludf.DUMMYFUNCTION("""COMPUTED_VALUE"""),"LINEA PARA EL LLENADO DE BOLSASLLENADORA DE BOLSAS LINEA 4")</f>
        <v>LINEA PARA EL LLENADO DE BOLSASLLENADORA DE BOLSAS LINEA 4</v>
      </c>
      <c r="V73" s="5"/>
      <c r="W73" s="5" t="b">
        <f ca="1">IFERROR(__xludf.DUMMYFUNCTION("""COMPUTED_VALUE"""),TRUE)</f>
        <v>1</v>
      </c>
      <c r="X73" s="5" t="str">
        <f ca="1">IFERROR(__xludf.DUMMYFUNCTION("""COMPUTED_VALUE"""),"achavezi@postobon.com.co,aprmttoyu@postobon.com.co,aprmyu@postobon.com.co,wmora@postobon.com.co,efzapata@postobon.com.co")</f>
        <v>achavezi@postobon.com.co,aprmttoyu@postobon.com.co,aprmyu@postobon.com.co,wmora@postobon.com.co,efzapata@postobon.com.co</v>
      </c>
      <c r="Y73" s="5" t="str">
        <f ca="1">IFERROR(__xludf.DUMMYFUNCTION("""COMPUTED_VALUE"""),"achavezi@postobon.com.co")</f>
        <v>achavezi@postobon.com.co</v>
      </c>
      <c r="Z73" s="5" t="str">
        <f ca="1">IFERROR(__xludf.DUMMYFUNCTION("""COMPUTED_VALUE"""),"05S8NAS5RfeBr9VFRhJaiw")</f>
        <v>05S8NAS5RfeBr9VFRhJaiw</v>
      </c>
      <c r="AA73" s="5"/>
      <c r="AB73" s="5"/>
      <c r="AC73" s="5"/>
      <c r="AD73" s="5">
        <f ca="1">IFERROR(__xludf.DUMMYFUNCTION("""COMPUTED_VALUE"""),70)</f>
        <v>70</v>
      </c>
      <c r="AE73" s="5">
        <f ca="1">IFERROR(__xludf.DUMMYFUNCTION("""COMPUTED_VALUE"""),70)</f>
        <v>70</v>
      </c>
      <c r="AF73" s="5" t="b">
        <f ca="1">IFERROR(__xludf.DUMMYFUNCTION("""COMPUTED_VALUE"""),FALSE)</f>
        <v>0</v>
      </c>
      <c r="AG73" s="5" t="str">
        <f ca="1">IFERROR(__xludf.DUMMYFUNCTION("""COMPUTED_VALUE"""),"INSPECCIONES REALIZADAS")</f>
        <v>INSPECCIONES REALIZADAS</v>
      </c>
      <c r="AH73" s="5"/>
    </row>
    <row r="74" spans="1:34">
      <c r="A74" s="5" t="str">
        <f ca="1">IFERROR(__xludf.DUMMYFUNCTION("""COMPUTED_VALUE"""),"LINEA PARA EL LLENADO DE BOLSAS")</f>
        <v>LINEA PARA EL LLENADO DE BOLSAS</v>
      </c>
      <c r="B74" s="5">
        <f ca="1">IFERROR(__xludf.DUMMYFUNCTION("""COMPUTED_VALUE"""),710200)</f>
        <v>710200</v>
      </c>
      <c r="C74" s="5" t="str">
        <f ca="1">IFERROR(__xludf.DUMMYFUNCTION("""COMPUTED_VALUE"""),"LLENADORA DE BOLSAS LINEA 4")</f>
        <v>LLENADORA DE BOLSAS LINEA 4</v>
      </c>
      <c r="D74" s="5">
        <f ca="1">IFERROR(__xludf.DUMMYFUNCTION("""COMPUTED_VALUE"""),13247713)</f>
        <v>13247713</v>
      </c>
      <c r="E74" s="5" t="str">
        <f ca="1">IFERROR(__xludf.DUMMYFUNCTION("""COMPUTED_VALUE"""),"INSPECCION SEMANAL BOLSA 360 Y 600 ML")</f>
        <v>INSPECCION SEMANAL BOLSA 360 Y 600 ML</v>
      </c>
      <c r="F74" s="5" t="str">
        <f ca="1">IFERROR(__xludf.DUMMYFUNCTION("""COMPUTED_VALUE"""),"ESTADO LEVA-RODILLO SELLADO-CORTE")</f>
        <v>ESTADO LEVA-RODILLO SELLADO-CORTE</v>
      </c>
      <c r="G74" s="5" t="b">
        <f ca="1">IFERROR(__xludf.DUMMYFUNCTION("""COMPUTED_VALUE"""),TRUE)</f>
        <v>1</v>
      </c>
      <c r="H74" s="5"/>
      <c r="I74" s="5"/>
      <c r="J74" s="5">
        <f ca="1">IFERROR(__xludf.DUMMYFUNCTION("""COMPUTED_VALUE"""),13247713)</f>
        <v>13247713</v>
      </c>
      <c r="K74" s="5"/>
      <c r="L74" s="18">
        <f ca="1">IFERROR(__xludf.DUMMYFUNCTION("""COMPUTED_VALUE"""),45324)</f>
        <v>45324</v>
      </c>
      <c r="M74" s="18">
        <f ca="1">IFERROR(__xludf.DUMMYFUNCTION("""COMPUTED_VALUE"""),45324)</f>
        <v>45324</v>
      </c>
      <c r="N74" s="5" t="str">
        <f ca="1">IFERROR(__xludf.DUMMYFUNCTION("""COMPUTED_VALUE"""),"ESTEBAN POTOSI ISAZA")</f>
        <v>ESTEBAN POTOSI ISAZA</v>
      </c>
      <c r="O74" s="2">
        <f ca="1">IFERROR(__xludf.DUMMYFUNCTION("""COMPUTED_VALUE"""),0.005555556)</f>
        <v>5.5555559999999997E-3</v>
      </c>
      <c r="P74" s="5">
        <f ca="1">IFERROR(__xludf.DUMMYFUNCTION("""COMPUTED_VALUE"""),20076884)</f>
        <v>20076884</v>
      </c>
      <c r="Q74" s="5" t="str">
        <f ca="1">IFERROR(__xludf.DUMMYFUNCTION("""COMPUTED_VALUE"""),"p_01SYQuW1w")</f>
        <v>p_01SYQuW1w</v>
      </c>
      <c r="R74" s="5">
        <f ca="1">IFERROR(__xludf.DUMMYFUNCTION("""COMPUTED_VALUE"""),410)</f>
        <v>410</v>
      </c>
      <c r="S74" s="62">
        <f ca="1">IFERROR(__xludf.DUMMYFUNCTION("""COMPUTED_VALUE"""),0.005555556)</f>
        <v>5.5555559999999997E-3</v>
      </c>
      <c r="T74" s="63" t="str">
        <f ca="1">IFERROR(__xludf.DUMMYFUNCTION("""COMPUTED_VALUE"""),"https://storage.googleapis.com/glide-prod.appspot.com/uploads-v2/ly7o78grxPaC6KdgvbpS/pub/3aRdSog0vUtuqPE8AJKD.png")</f>
        <v>https://storage.googleapis.com/glide-prod.appspot.com/uploads-v2/ly7o78grxPaC6KdgvbpS/pub/3aRdSog0vUtuqPE8AJKD.png</v>
      </c>
      <c r="U74" s="5" t="str">
        <f ca="1">IFERROR(__xludf.DUMMYFUNCTION("""COMPUTED_VALUE"""),"LINEA PARA EL LLENADO DE BOLSASLLENADORA DE BOLSAS LINEA 4")</f>
        <v>LINEA PARA EL LLENADO DE BOLSASLLENADORA DE BOLSAS LINEA 4</v>
      </c>
      <c r="V74" s="5"/>
      <c r="W74" s="5" t="b">
        <f ca="1">IFERROR(__xludf.DUMMYFUNCTION("""COMPUTED_VALUE"""),TRUE)</f>
        <v>1</v>
      </c>
      <c r="X74" s="5" t="str">
        <f ca="1">IFERROR(__xludf.DUMMYFUNCTION("""COMPUTED_VALUE"""),"achavezi@postobon.com.co,aprmttoyu@postobon.com.co,aprmyu@postobon.com.co,wmora@postobon.com.co,efzapata@postobon.com.co")</f>
        <v>achavezi@postobon.com.co,aprmttoyu@postobon.com.co,aprmyu@postobon.com.co,wmora@postobon.com.co,efzapata@postobon.com.co</v>
      </c>
      <c r="Y74" s="5" t="str">
        <f ca="1">IFERROR(__xludf.DUMMYFUNCTION("""COMPUTED_VALUE"""),"achavezi@postobon.com.co")</f>
        <v>achavezi@postobon.com.co</v>
      </c>
      <c r="Z74" s="5" t="str">
        <f ca="1">IFERROR(__xludf.DUMMYFUNCTION("""COMPUTED_VALUE"""),"k8bHy5FNRA6X6f7RtRLL7A")</f>
        <v>k8bHy5FNRA6X6f7RtRLL7A</v>
      </c>
      <c r="AA74" s="5"/>
      <c r="AB74" s="5"/>
      <c r="AC74" s="5"/>
      <c r="AD74" s="5">
        <f ca="1">IFERROR(__xludf.DUMMYFUNCTION("""COMPUTED_VALUE"""),70)</f>
        <v>70</v>
      </c>
      <c r="AE74" s="5">
        <f ca="1">IFERROR(__xludf.DUMMYFUNCTION("""COMPUTED_VALUE"""),70)</f>
        <v>70</v>
      </c>
      <c r="AF74" s="5" t="b">
        <f ca="1">IFERROR(__xludf.DUMMYFUNCTION("""COMPUTED_VALUE"""),FALSE)</f>
        <v>0</v>
      </c>
      <c r="AG74" s="5" t="str">
        <f ca="1">IFERROR(__xludf.DUMMYFUNCTION("""COMPUTED_VALUE"""),"INSPECCIONES REALIZADAS")</f>
        <v>INSPECCIONES REALIZADAS</v>
      </c>
      <c r="AH74" s="5"/>
    </row>
    <row r="75" spans="1:34">
      <c r="A75" s="5" t="str">
        <f ca="1">IFERROR(__xludf.DUMMYFUNCTION("""COMPUTED_VALUE"""),"LINEA PARA EL LLENADO DE BOLSAS")</f>
        <v>LINEA PARA EL LLENADO DE BOLSAS</v>
      </c>
      <c r="B75" s="5">
        <f ca="1">IFERROR(__xludf.DUMMYFUNCTION("""COMPUTED_VALUE"""),710200)</f>
        <v>710200</v>
      </c>
      <c r="C75" s="5" t="str">
        <f ca="1">IFERROR(__xludf.DUMMYFUNCTION("""COMPUTED_VALUE"""),"LLENADORA DE BOLSAS LINEA 4")</f>
        <v>LLENADORA DE BOLSAS LINEA 4</v>
      </c>
      <c r="D75" s="5">
        <f ca="1">IFERROR(__xludf.DUMMYFUNCTION("""COMPUTED_VALUE"""),13247713)</f>
        <v>13247713</v>
      </c>
      <c r="E75" s="5" t="str">
        <f ca="1">IFERROR(__xludf.DUMMYFUNCTION("""COMPUTED_VALUE"""),"INSPECCION SEMANAL BOLSA 360 Y 600 ML")</f>
        <v>INSPECCION SEMANAL BOLSA 360 Y 600 ML</v>
      </c>
      <c r="F75" s="5" t="str">
        <f ca="1">IFERROR(__xludf.DUMMYFUNCTION("""COMPUTED_VALUE"""),"ESTADO TABLERO ELECTRICO")</f>
        <v>ESTADO TABLERO ELECTRICO</v>
      </c>
      <c r="G75" s="5" t="b">
        <f ca="1">IFERROR(__xludf.DUMMYFUNCTION("""COMPUTED_VALUE"""),TRUE)</f>
        <v>1</v>
      </c>
      <c r="H75" s="5"/>
      <c r="I75" s="5"/>
      <c r="J75" s="5">
        <f ca="1">IFERROR(__xludf.DUMMYFUNCTION("""COMPUTED_VALUE"""),13247713)</f>
        <v>13247713</v>
      </c>
      <c r="K75" s="5"/>
      <c r="L75" s="18">
        <f ca="1">IFERROR(__xludf.DUMMYFUNCTION("""COMPUTED_VALUE"""),45324)</f>
        <v>45324</v>
      </c>
      <c r="M75" s="18">
        <f ca="1">IFERROR(__xludf.DUMMYFUNCTION("""COMPUTED_VALUE"""),45324)</f>
        <v>45324</v>
      </c>
      <c r="N75" s="5" t="str">
        <f ca="1">IFERROR(__xludf.DUMMYFUNCTION("""COMPUTED_VALUE"""),"ESTEBAN POTOSI ISAZA")</f>
        <v>ESTEBAN POTOSI ISAZA</v>
      </c>
      <c r="O75" s="2">
        <f ca="1">IFERROR(__xludf.DUMMYFUNCTION("""COMPUTED_VALUE"""),0.005555556)</f>
        <v>5.5555559999999997E-3</v>
      </c>
      <c r="P75" s="5">
        <f ca="1">IFERROR(__xludf.DUMMYFUNCTION("""COMPUTED_VALUE"""),20076884)</f>
        <v>20076884</v>
      </c>
      <c r="Q75" s="5" t="str">
        <f ca="1">IFERROR(__xludf.DUMMYFUNCTION("""COMPUTED_VALUE"""),"xaB8etdQNDs")</f>
        <v>xaB8etdQNDs</v>
      </c>
      <c r="R75" s="5">
        <f ca="1">IFERROR(__xludf.DUMMYFUNCTION("""COMPUTED_VALUE"""),410)</f>
        <v>410</v>
      </c>
      <c r="S75" s="62">
        <f ca="1">IFERROR(__xludf.DUMMYFUNCTION("""COMPUTED_VALUE"""),0.005555556)</f>
        <v>5.5555559999999997E-3</v>
      </c>
      <c r="T75" s="63" t="str">
        <f ca="1">IFERROR(__xludf.DUMMYFUNCTION("""COMPUTED_VALUE"""),"https://storage.googleapis.com/glide-prod.appspot.com/uploads-v2/ly7o78grxPaC6KdgvbpS/pub/3aRdSog0vUtuqPE8AJKD.png")</f>
        <v>https://storage.googleapis.com/glide-prod.appspot.com/uploads-v2/ly7o78grxPaC6KdgvbpS/pub/3aRdSog0vUtuqPE8AJKD.png</v>
      </c>
      <c r="U75" s="5" t="str">
        <f ca="1">IFERROR(__xludf.DUMMYFUNCTION("""COMPUTED_VALUE"""),"LINEA PARA EL LLENADO DE BOLSASLLENADORA DE BOLSAS LINEA 4")</f>
        <v>LINEA PARA EL LLENADO DE BOLSASLLENADORA DE BOLSAS LINEA 4</v>
      </c>
      <c r="V75" s="5"/>
      <c r="W75" s="5" t="b">
        <f ca="1">IFERROR(__xludf.DUMMYFUNCTION("""COMPUTED_VALUE"""),TRUE)</f>
        <v>1</v>
      </c>
      <c r="X75" s="5" t="str">
        <f ca="1">IFERROR(__xludf.DUMMYFUNCTION("""COMPUTED_VALUE"""),"achavezi@postobon.com.co,aprmttoyu@postobon.com.co,aprmyu@postobon.com.co,wmora@postobon.com.co,efzapata@postobon.com.co")</f>
        <v>achavezi@postobon.com.co,aprmttoyu@postobon.com.co,aprmyu@postobon.com.co,wmora@postobon.com.co,efzapata@postobon.com.co</v>
      </c>
      <c r="Y75" s="5" t="str">
        <f ca="1">IFERROR(__xludf.DUMMYFUNCTION("""COMPUTED_VALUE"""),"achavezi@postobon.com.co")</f>
        <v>achavezi@postobon.com.co</v>
      </c>
      <c r="Z75" s="5" t="str">
        <f ca="1">IFERROR(__xludf.DUMMYFUNCTION("""COMPUTED_VALUE"""),"03y7E9N-RQmlRcCUa4XlaA")</f>
        <v>03y7E9N-RQmlRcCUa4XlaA</v>
      </c>
      <c r="AA75" s="5"/>
      <c r="AB75" s="5"/>
      <c r="AC75" s="5"/>
      <c r="AD75" s="5">
        <f ca="1">IFERROR(__xludf.DUMMYFUNCTION("""COMPUTED_VALUE"""),70)</f>
        <v>70</v>
      </c>
      <c r="AE75" s="5">
        <f ca="1">IFERROR(__xludf.DUMMYFUNCTION("""COMPUTED_VALUE"""),70)</f>
        <v>70</v>
      </c>
      <c r="AF75" s="5" t="b">
        <f ca="1">IFERROR(__xludf.DUMMYFUNCTION("""COMPUTED_VALUE"""),FALSE)</f>
        <v>0</v>
      </c>
      <c r="AG75" s="5" t="str">
        <f ca="1">IFERROR(__xludf.DUMMYFUNCTION("""COMPUTED_VALUE"""),"INSPECCIONES REALIZADAS")</f>
        <v>INSPECCIONES REALIZADAS</v>
      </c>
      <c r="AH75" s="5"/>
    </row>
    <row r="76" spans="1:34">
      <c r="A76" s="5" t="str">
        <f ca="1">IFERROR(__xludf.DUMMYFUNCTION("""COMPUTED_VALUE"""),"LINEA PARA EL LLENADO DE BOLSAS")</f>
        <v>LINEA PARA EL LLENADO DE BOLSAS</v>
      </c>
      <c r="B76" s="5">
        <f ca="1">IFERROR(__xludf.DUMMYFUNCTION("""COMPUTED_VALUE"""),710200)</f>
        <v>710200</v>
      </c>
      <c r="C76" s="5" t="str">
        <f ca="1">IFERROR(__xludf.DUMMYFUNCTION("""COMPUTED_VALUE"""),"LLENADORA DE BOLSAS LINEA 4")</f>
        <v>LLENADORA DE BOLSAS LINEA 4</v>
      </c>
      <c r="D76" s="5">
        <f ca="1">IFERROR(__xludf.DUMMYFUNCTION("""COMPUTED_VALUE"""),13247713)</f>
        <v>13247713</v>
      </c>
      <c r="E76" s="5" t="str">
        <f ca="1">IFERROR(__xludf.DUMMYFUNCTION("""COMPUTED_VALUE"""),"INSPECCION SEMANAL BOLSA 360 Y 600 ML")</f>
        <v>INSPECCION SEMANAL BOLSA 360 Y 600 ML</v>
      </c>
      <c r="F76" s="5" t="str">
        <f ca="1">IFERROR(__xludf.DUMMYFUNCTION("""COMPUTED_VALUE"""),"FUNC RODILLOS LOCOS")</f>
        <v>FUNC RODILLOS LOCOS</v>
      </c>
      <c r="G76" s="5" t="b">
        <f ca="1">IFERROR(__xludf.DUMMYFUNCTION("""COMPUTED_VALUE"""),TRUE)</f>
        <v>1</v>
      </c>
      <c r="H76" s="5"/>
      <c r="I76" s="5"/>
      <c r="J76" s="5">
        <f ca="1">IFERROR(__xludf.DUMMYFUNCTION("""COMPUTED_VALUE"""),13247713)</f>
        <v>13247713</v>
      </c>
      <c r="K76" s="5"/>
      <c r="L76" s="18">
        <f ca="1">IFERROR(__xludf.DUMMYFUNCTION("""COMPUTED_VALUE"""),45324)</f>
        <v>45324</v>
      </c>
      <c r="M76" s="18">
        <f ca="1">IFERROR(__xludf.DUMMYFUNCTION("""COMPUTED_VALUE"""),45324)</f>
        <v>45324</v>
      </c>
      <c r="N76" s="5" t="str">
        <f ca="1">IFERROR(__xludf.DUMMYFUNCTION("""COMPUTED_VALUE"""),"ESTEBAN POTOSI ISAZA")</f>
        <v>ESTEBAN POTOSI ISAZA</v>
      </c>
      <c r="O76" s="2">
        <f ca="1">IFERROR(__xludf.DUMMYFUNCTION("""COMPUTED_VALUE"""),0.005555556)</f>
        <v>5.5555559999999997E-3</v>
      </c>
      <c r="P76" s="5">
        <f ca="1">IFERROR(__xludf.DUMMYFUNCTION("""COMPUTED_VALUE"""),20076884)</f>
        <v>20076884</v>
      </c>
      <c r="Q76" s="5" t="str">
        <f ca="1">IFERROR(__xludf.DUMMYFUNCTION("""COMPUTED_VALUE"""),"xdy8El-ONME")</f>
        <v>xdy8El-ONME</v>
      </c>
      <c r="R76" s="5">
        <f ca="1">IFERROR(__xludf.DUMMYFUNCTION("""COMPUTED_VALUE"""),410)</f>
        <v>410</v>
      </c>
      <c r="S76" s="62">
        <f ca="1">IFERROR(__xludf.DUMMYFUNCTION("""COMPUTED_VALUE"""),0.005555556)</f>
        <v>5.5555559999999997E-3</v>
      </c>
      <c r="T76" s="63" t="str">
        <f ca="1">IFERROR(__xludf.DUMMYFUNCTION("""COMPUTED_VALUE"""),"https://storage.googleapis.com/glide-prod.appspot.com/uploads-v2/ly7o78grxPaC6KdgvbpS/pub/3aRdSog0vUtuqPE8AJKD.png")</f>
        <v>https://storage.googleapis.com/glide-prod.appspot.com/uploads-v2/ly7o78grxPaC6KdgvbpS/pub/3aRdSog0vUtuqPE8AJKD.png</v>
      </c>
      <c r="U76" s="5" t="str">
        <f ca="1">IFERROR(__xludf.DUMMYFUNCTION("""COMPUTED_VALUE"""),"LINEA PARA EL LLENADO DE BOLSASLLENADORA DE BOLSAS LINEA 4")</f>
        <v>LINEA PARA EL LLENADO DE BOLSASLLENADORA DE BOLSAS LINEA 4</v>
      </c>
      <c r="V76" s="5"/>
      <c r="W76" s="5" t="b">
        <f ca="1">IFERROR(__xludf.DUMMYFUNCTION("""COMPUTED_VALUE"""),TRUE)</f>
        <v>1</v>
      </c>
      <c r="X76" s="5" t="str">
        <f ca="1">IFERROR(__xludf.DUMMYFUNCTION("""COMPUTED_VALUE"""),"achavezi@postobon.com.co,aprmttoyu@postobon.com.co,aprmyu@postobon.com.co,wmora@postobon.com.co,efzapata@postobon.com.co")</f>
        <v>achavezi@postobon.com.co,aprmttoyu@postobon.com.co,aprmyu@postobon.com.co,wmora@postobon.com.co,efzapata@postobon.com.co</v>
      </c>
      <c r="Y76" s="5" t="str">
        <f ca="1">IFERROR(__xludf.DUMMYFUNCTION("""COMPUTED_VALUE"""),"achavezi@postobon.com.co")</f>
        <v>achavezi@postobon.com.co</v>
      </c>
      <c r="Z76" s="5" t="str">
        <f ca="1">IFERROR(__xludf.DUMMYFUNCTION("""COMPUTED_VALUE"""),"JUrt4hlJQMOdwWLilgNSnw")</f>
        <v>JUrt4hlJQMOdwWLilgNSnw</v>
      </c>
      <c r="AA76" s="5"/>
      <c r="AB76" s="5"/>
      <c r="AC76" s="5"/>
      <c r="AD76" s="5">
        <f ca="1">IFERROR(__xludf.DUMMYFUNCTION("""COMPUTED_VALUE"""),70)</f>
        <v>70</v>
      </c>
      <c r="AE76" s="5">
        <f ca="1">IFERROR(__xludf.DUMMYFUNCTION("""COMPUTED_VALUE"""),70)</f>
        <v>70</v>
      </c>
      <c r="AF76" s="5" t="b">
        <f ca="1">IFERROR(__xludf.DUMMYFUNCTION("""COMPUTED_VALUE"""),FALSE)</f>
        <v>0</v>
      </c>
      <c r="AG76" s="5" t="str">
        <f ca="1">IFERROR(__xludf.DUMMYFUNCTION("""COMPUTED_VALUE"""),"INSPECCIONES REALIZADAS")</f>
        <v>INSPECCIONES REALIZADAS</v>
      </c>
      <c r="AH76" s="5"/>
    </row>
    <row r="77" spans="1:34">
      <c r="A77" s="5" t="str">
        <f ca="1">IFERROR(__xludf.DUMMYFUNCTION("""COMPUTED_VALUE"""),"LINEA PARA EL LLENADO DE BOLSAS")</f>
        <v>LINEA PARA EL LLENADO DE BOLSAS</v>
      </c>
      <c r="B77" s="5">
        <f ca="1">IFERROR(__xludf.DUMMYFUNCTION("""COMPUTED_VALUE"""),710200)</f>
        <v>710200</v>
      </c>
      <c r="C77" s="5" t="str">
        <f ca="1">IFERROR(__xludf.DUMMYFUNCTION("""COMPUTED_VALUE"""),"LLENADORA DE BOLSAS LINEA 4")</f>
        <v>LLENADORA DE BOLSAS LINEA 4</v>
      </c>
      <c r="D77" s="5">
        <f ca="1">IFERROR(__xludf.DUMMYFUNCTION("""COMPUTED_VALUE"""),13247713)</f>
        <v>13247713</v>
      </c>
      <c r="E77" s="5" t="str">
        <f ca="1">IFERROR(__xludf.DUMMYFUNCTION("""COMPUTED_VALUE"""),"INSPECCION SEMANAL BOLSA 360 Y 600 ML")</f>
        <v>INSPECCION SEMANAL BOLSA 360 Y 600 ML</v>
      </c>
      <c r="F77" s="5" t="str">
        <f ca="1">IFERROR(__xludf.DUMMYFUNCTION("""COMPUTED_VALUE"""),"FUNC RESISTENCIA EMPALME ROLLOS")</f>
        <v>FUNC RESISTENCIA EMPALME ROLLOS</v>
      </c>
      <c r="G77" s="5" t="b">
        <f ca="1">IFERROR(__xludf.DUMMYFUNCTION("""COMPUTED_VALUE"""),TRUE)</f>
        <v>1</v>
      </c>
      <c r="H77" s="5"/>
      <c r="I77" s="5"/>
      <c r="J77" s="5">
        <f ca="1">IFERROR(__xludf.DUMMYFUNCTION("""COMPUTED_VALUE"""),13247713)</f>
        <v>13247713</v>
      </c>
      <c r="K77" s="5"/>
      <c r="L77" s="18">
        <f ca="1">IFERROR(__xludf.DUMMYFUNCTION("""COMPUTED_VALUE"""),45324)</f>
        <v>45324</v>
      </c>
      <c r="M77" s="18">
        <f ca="1">IFERROR(__xludf.DUMMYFUNCTION("""COMPUTED_VALUE"""),45324)</f>
        <v>45324</v>
      </c>
      <c r="N77" s="5" t="str">
        <f ca="1">IFERROR(__xludf.DUMMYFUNCTION("""COMPUTED_VALUE"""),"ESTEBAN POTOSI ISAZA")</f>
        <v>ESTEBAN POTOSI ISAZA</v>
      </c>
      <c r="O77" s="2">
        <f ca="1">IFERROR(__xludf.DUMMYFUNCTION("""COMPUTED_VALUE"""),0.005555556)</f>
        <v>5.5555559999999997E-3</v>
      </c>
      <c r="P77" s="5">
        <f ca="1">IFERROR(__xludf.DUMMYFUNCTION("""COMPUTED_VALUE"""),20076884)</f>
        <v>20076884</v>
      </c>
      <c r="Q77" s="5" t="str">
        <f ca="1">IFERROR(__xludf.DUMMYFUNCTION("""COMPUTED_VALUE"""),"WkjuV5n6hQY")</f>
        <v>WkjuV5n6hQY</v>
      </c>
      <c r="R77" s="5">
        <f ca="1">IFERROR(__xludf.DUMMYFUNCTION("""COMPUTED_VALUE"""),410)</f>
        <v>410</v>
      </c>
      <c r="S77" s="62">
        <f ca="1">IFERROR(__xludf.DUMMYFUNCTION("""COMPUTED_VALUE"""),0.005555556)</f>
        <v>5.5555559999999997E-3</v>
      </c>
      <c r="T77" s="63" t="str">
        <f ca="1">IFERROR(__xludf.DUMMYFUNCTION("""COMPUTED_VALUE"""),"https://storage.googleapis.com/glide-prod.appspot.com/uploads-v2/ly7o78grxPaC6KdgvbpS/pub/3aRdSog0vUtuqPE8AJKD.png")</f>
        <v>https://storage.googleapis.com/glide-prod.appspot.com/uploads-v2/ly7o78grxPaC6KdgvbpS/pub/3aRdSog0vUtuqPE8AJKD.png</v>
      </c>
      <c r="U77" s="5" t="str">
        <f ca="1">IFERROR(__xludf.DUMMYFUNCTION("""COMPUTED_VALUE"""),"LINEA PARA EL LLENADO DE BOLSASLLENADORA DE BOLSAS LINEA 4")</f>
        <v>LINEA PARA EL LLENADO DE BOLSASLLENADORA DE BOLSAS LINEA 4</v>
      </c>
      <c r="V77" s="5"/>
      <c r="W77" s="5" t="b">
        <f ca="1">IFERROR(__xludf.DUMMYFUNCTION("""COMPUTED_VALUE"""),TRUE)</f>
        <v>1</v>
      </c>
      <c r="X77" s="5" t="str">
        <f ca="1">IFERROR(__xludf.DUMMYFUNCTION("""COMPUTED_VALUE"""),"achavezi@postobon.com.co,aprmttoyu@postobon.com.co,aprmyu@postobon.com.co,wmora@postobon.com.co,efzapata@postobon.com.co")</f>
        <v>achavezi@postobon.com.co,aprmttoyu@postobon.com.co,aprmyu@postobon.com.co,wmora@postobon.com.co,efzapata@postobon.com.co</v>
      </c>
      <c r="Y77" s="5" t="str">
        <f ca="1">IFERROR(__xludf.DUMMYFUNCTION("""COMPUTED_VALUE"""),"achavezi@postobon.com.co")</f>
        <v>achavezi@postobon.com.co</v>
      </c>
      <c r="Z77" s="5" t="str">
        <f ca="1">IFERROR(__xludf.DUMMYFUNCTION("""COMPUTED_VALUE"""),"RBmVXDgSSsKrzAuwnJxJYg")</f>
        <v>RBmVXDgSSsKrzAuwnJxJYg</v>
      </c>
      <c r="AA77" s="5"/>
      <c r="AB77" s="5"/>
      <c r="AC77" s="5"/>
      <c r="AD77" s="5">
        <f ca="1">IFERROR(__xludf.DUMMYFUNCTION("""COMPUTED_VALUE"""),70)</f>
        <v>70</v>
      </c>
      <c r="AE77" s="5">
        <f ca="1">IFERROR(__xludf.DUMMYFUNCTION("""COMPUTED_VALUE"""),70)</f>
        <v>70</v>
      </c>
      <c r="AF77" s="5" t="b">
        <f ca="1">IFERROR(__xludf.DUMMYFUNCTION("""COMPUTED_VALUE"""),FALSE)</f>
        <v>0</v>
      </c>
      <c r="AG77" s="5" t="str">
        <f ca="1">IFERROR(__xludf.DUMMYFUNCTION("""COMPUTED_VALUE"""),"INSPECCIONES REALIZADAS")</f>
        <v>INSPECCIONES REALIZADAS</v>
      </c>
      <c r="AH77" s="5"/>
    </row>
    <row r="78" spans="1:34">
      <c r="A78" s="5" t="str">
        <f ca="1">IFERROR(__xludf.DUMMYFUNCTION("""COMPUTED_VALUE"""),"LINEA PARA EL LLENADO DE BOLSAS")</f>
        <v>LINEA PARA EL LLENADO DE BOLSAS</v>
      </c>
      <c r="B78" s="5">
        <f ca="1">IFERROR(__xludf.DUMMYFUNCTION("""COMPUTED_VALUE"""),710200)</f>
        <v>710200</v>
      </c>
      <c r="C78" s="5" t="str">
        <f ca="1">IFERROR(__xludf.DUMMYFUNCTION("""COMPUTED_VALUE"""),"LLENADORA DE BOLSAS LINEA 4")</f>
        <v>LLENADORA DE BOLSAS LINEA 4</v>
      </c>
      <c r="D78" s="5">
        <f ca="1">IFERROR(__xludf.DUMMYFUNCTION("""COMPUTED_VALUE"""),13247713)</f>
        <v>13247713</v>
      </c>
      <c r="E78" s="5" t="str">
        <f ca="1">IFERROR(__xludf.DUMMYFUNCTION("""COMPUTED_VALUE"""),"INSPECCION SEMANAL BOLSA 360 Y 600 ML")</f>
        <v>INSPECCION SEMANAL BOLSA 360 Y 600 ML</v>
      </c>
      <c r="F78" s="5" t="str">
        <f ca="1">IFERROR(__xludf.DUMMYFUNCTION("""COMPUTED_VALUE"""),"INSP FUGAS FLUIDOS")</f>
        <v>INSP FUGAS FLUIDOS</v>
      </c>
      <c r="G78" s="5" t="b">
        <f ca="1">IFERROR(__xludf.DUMMYFUNCTION("""COMPUTED_VALUE"""),TRUE)</f>
        <v>1</v>
      </c>
      <c r="H78" s="5"/>
      <c r="I78" s="5"/>
      <c r="J78" s="5">
        <f ca="1">IFERROR(__xludf.DUMMYFUNCTION("""COMPUTED_VALUE"""),13247713)</f>
        <v>13247713</v>
      </c>
      <c r="K78" s="5"/>
      <c r="L78" s="18">
        <f ca="1">IFERROR(__xludf.DUMMYFUNCTION("""COMPUTED_VALUE"""),45324)</f>
        <v>45324</v>
      </c>
      <c r="M78" s="18">
        <f ca="1">IFERROR(__xludf.DUMMYFUNCTION("""COMPUTED_VALUE"""),45324)</f>
        <v>45324</v>
      </c>
      <c r="N78" s="5" t="str">
        <f ca="1">IFERROR(__xludf.DUMMYFUNCTION("""COMPUTED_VALUE"""),"ESTEBAN POTOSI ISAZA")</f>
        <v>ESTEBAN POTOSI ISAZA</v>
      </c>
      <c r="O78" s="2">
        <f ca="1">IFERROR(__xludf.DUMMYFUNCTION("""COMPUTED_VALUE"""),0.005555556)</f>
        <v>5.5555559999999997E-3</v>
      </c>
      <c r="P78" s="5">
        <f ca="1">IFERROR(__xludf.DUMMYFUNCTION("""COMPUTED_VALUE"""),20076884)</f>
        <v>20076884</v>
      </c>
      <c r="Q78" s="5" t="str">
        <f ca="1">IFERROR(__xludf.DUMMYFUNCTION("""COMPUTED_VALUE"""),"tvyUw79Z8do")</f>
        <v>tvyUw79Z8do</v>
      </c>
      <c r="R78" s="5">
        <f ca="1">IFERROR(__xludf.DUMMYFUNCTION("""COMPUTED_VALUE"""),410)</f>
        <v>410</v>
      </c>
      <c r="S78" s="62">
        <f ca="1">IFERROR(__xludf.DUMMYFUNCTION("""COMPUTED_VALUE"""),0.005555556)</f>
        <v>5.5555559999999997E-3</v>
      </c>
      <c r="T78" s="63" t="str">
        <f ca="1">IFERROR(__xludf.DUMMYFUNCTION("""COMPUTED_VALUE"""),"https://storage.googleapis.com/glide-prod.appspot.com/uploads-v2/ly7o78grxPaC6KdgvbpS/pub/3aRdSog0vUtuqPE8AJKD.png")</f>
        <v>https://storage.googleapis.com/glide-prod.appspot.com/uploads-v2/ly7o78grxPaC6KdgvbpS/pub/3aRdSog0vUtuqPE8AJKD.png</v>
      </c>
      <c r="U78" s="5" t="str">
        <f ca="1">IFERROR(__xludf.DUMMYFUNCTION("""COMPUTED_VALUE"""),"LINEA PARA EL LLENADO DE BOLSASLLENADORA DE BOLSAS LINEA 4")</f>
        <v>LINEA PARA EL LLENADO DE BOLSASLLENADORA DE BOLSAS LINEA 4</v>
      </c>
      <c r="V78" s="5"/>
      <c r="W78" s="5" t="b">
        <f ca="1">IFERROR(__xludf.DUMMYFUNCTION("""COMPUTED_VALUE"""),TRUE)</f>
        <v>1</v>
      </c>
      <c r="X78" s="5" t="str">
        <f ca="1">IFERROR(__xludf.DUMMYFUNCTION("""COMPUTED_VALUE"""),"achavezi@postobon.com.co,aprmttoyu@postobon.com.co,aprmyu@postobon.com.co,wmora@postobon.com.co,efzapata@postobon.com.co")</f>
        <v>achavezi@postobon.com.co,aprmttoyu@postobon.com.co,aprmyu@postobon.com.co,wmora@postobon.com.co,efzapata@postobon.com.co</v>
      </c>
      <c r="Y78" s="5" t="str">
        <f ca="1">IFERROR(__xludf.DUMMYFUNCTION("""COMPUTED_VALUE"""),"achavezi@postobon.com.co")</f>
        <v>achavezi@postobon.com.co</v>
      </c>
      <c r="Z78" s="5" t="str">
        <f ca="1">IFERROR(__xludf.DUMMYFUNCTION("""COMPUTED_VALUE"""),"REqOR0zuSeC30GYTAupoaw")</f>
        <v>REqOR0zuSeC30GYTAupoaw</v>
      </c>
      <c r="AA78" s="5"/>
      <c r="AB78" s="5"/>
      <c r="AC78" s="5"/>
      <c r="AD78" s="5">
        <f ca="1">IFERROR(__xludf.DUMMYFUNCTION("""COMPUTED_VALUE"""),70)</f>
        <v>70</v>
      </c>
      <c r="AE78" s="5">
        <f ca="1">IFERROR(__xludf.DUMMYFUNCTION("""COMPUTED_VALUE"""),70)</f>
        <v>70</v>
      </c>
      <c r="AF78" s="5" t="b">
        <f ca="1">IFERROR(__xludf.DUMMYFUNCTION("""COMPUTED_VALUE"""),FALSE)</f>
        <v>0</v>
      </c>
      <c r="AG78" s="5" t="str">
        <f ca="1">IFERROR(__xludf.DUMMYFUNCTION("""COMPUTED_VALUE"""),"INSPECCIONES REALIZADAS")</f>
        <v>INSPECCIONES REALIZADAS</v>
      </c>
      <c r="AH78" s="5"/>
    </row>
    <row r="79" spans="1:34">
      <c r="A79" s="5" t="str">
        <f ca="1">IFERROR(__xludf.DUMMYFUNCTION("""COMPUTED_VALUE"""),"LINEA PARA EL LLENADO DE BOLSAS")</f>
        <v>LINEA PARA EL LLENADO DE BOLSAS</v>
      </c>
      <c r="B79" s="5">
        <f ca="1">IFERROR(__xludf.DUMMYFUNCTION("""COMPUTED_VALUE"""),710200)</f>
        <v>710200</v>
      </c>
      <c r="C79" s="5" t="str">
        <f ca="1">IFERROR(__xludf.DUMMYFUNCTION("""COMPUTED_VALUE"""),"LLENADORA DE BOLSAS LINEA 4")</f>
        <v>LLENADORA DE BOLSAS LINEA 4</v>
      </c>
      <c r="D79" s="5">
        <f ca="1">IFERROR(__xludf.DUMMYFUNCTION("""COMPUTED_VALUE"""),13247713)</f>
        <v>13247713</v>
      </c>
      <c r="E79" s="5" t="str">
        <f ca="1">IFERROR(__xludf.DUMMYFUNCTION("""COMPUTED_VALUE"""),"INSPECCION SEMANAL BOLSA 360 Y 600 ML")</f>
        <v>INSPECCION SEMANAL BOLSA 360 Y 600 ML</v>
      </c>
      <c r="F79" s="5" t="str">
        <f ca="1">IFERROR(__xludf.DUMMYFUNCTION("""COMPUTED_VALUE"""),"INSP FUNC. BOMBA REFRIG. MORDAZAS")</f>
        <v>INSP FUNC. BOMBA REFRIG. MORDAZAS</v>
      </c>
      <c r="G79" s="5" t="b">
        <f ca="1">IFERROR(__xludf.DUMMYFUNCTION("""COMPUTED_VALUE"""),TRUE)</f>
        <v>1</v>
      </c>
      <c r="H79" s="5"/>
      <c r="I79" s="5"/>
      <c r="J79" s="5">
        <f ca="1">IFERROR(__xludf.DUMMYFUNCTION("""COMPUTED_VALUE"""),13247713)</f>
        <v>13247713</v>
      </c>
      <c r="K79" s="5"/>
      <c r="L79" s="18">
        <f ca="1">IFERROR(__xludf.DUMMYFUNCTION("""COMPUTED_VALUE"""),45324)</f>
        <v>45324</v>
      </c>
      <c r="M79" s="18">
        <f ca="1">IFERROR(__xludf.DUMMYFUNCTION("""COMPUTED_VALUE"""),45324)</f>
        <v>45324</v>
      </c>
      <c r="N79" s="5" t="str">
        <f ca="1">IFERROR(__xludf.DUMMYFUNCTION("""COMPUTED_VALUE"""),"ESTEBAN POTOSI ISAZA")</f>
        <v>ESTEBAN POTOSI ISAZA</v>
      </c>
      <c r="O79" s="2">
        <f ca="1">IFERROR(__xludf.DUMMYFUNCTION("""COMPUTED_VALUE"""),0.005555556)</f>
        <v>5.5555559999999997E-3</v>
      </c>
      <c r="P79" s="5">
        <f ca="1">IFERROR(__xludf.DUMMYFUNCTION("""COMPUTED_VALUE"""),20076884)</f>
        <v>20076884</v>
      </c>
      <c r="Q79" s="5" t="str">
        <f ca="1">IFERROR(__xludf.DUMMYFUNCTION("""COMPUTED_VALUE"""),"I0zs3VHS6eA")</f>
        <v>I0zs3VHS6eA</v>
      </c>
      <c r="R79" s="5">
        <f ca="1">IFERROR(__xludf.DUMMYFUNCTION("""COMPUTED_VALUE"""),410)</f>
        <v>410</v>
      </c>
      <c r="S79" s="62">
        <f ca="1">IFERROR(__xludf.DUMMYFUNCTION("""COMPUTED_VALUE"""),0.005555556)</f>
        <v>5.5555559999999997E-3</v>
      </c>
      <c r="T79" s="63" t="str">
        <f ca="1">IFERROR(__xludf.DUMMYFUNCTION("""COMPUTED_VALUE"""),"https://storage.googleapis.com/glide-prod.appspot.com/uploads-v2/ly7o78grxPaC6KdgvbpS/pub/3aRdSog0vUtuqPE8AJKD.png")</f>
        <v>https://storage.googleapis.com/glide-prod.appspot.com/uploads-v2/ly7o78grxPaC6KdgvbpS/pub/3aRdSog0vUtuqPE8AJKD.png</v>
      </c>
      <c r="U79" s="5" t="str">
        <f ca="1">IFERROR(__xludf.DUMMYFUNCTION("""COMPUTED_VALUE"""),"LINEA PARA EL LLENADO DE BOLSASLLENADORA DE BOLSAS LINEA 4")</f>
        <v>LINEA PARA EL LLENADO DE BOLSASLLENADORA DE BOLSAS LINEA 4</v>
      </c>
      <c r="V79" s="5"/>
      <c r="W79" s="5" t="b">
        <f ca="1">IFERROR(__xludf.DUMMYFUNCTION("""COMPUTED_VALUE"""),TRUE)</f>
        <v>1</v>
      </c>
      <c r="X79" s="5" t="str">
        <f ca="1">IFERROR(__xludf.DUMMYFUNCTION("""COMPUTED_VALUE"""),"achavezi@postobon.com.co,aprmttoyu@postobon.com.co,aprmyu@postobon.com.co,wmora@postobon.com.co,efzapata@postobon.com.co")</f>
        <v>achavezi@postobon.com.co,aprmttoyu@postobon.com.co,aprmyu@postobon.com.co,wmora@postobon.com.co,efzapata@postobon.com.co</v>
      </c>
      <c r="Y79" s="5" t="str">
        <f ca="1">IFERROR(__xludf.DUMMYFUNCTION("""COMPUTED_VALUE"""),"achavezi@postobon.com.co")</f>
        <v>achavezi@postobon.com.co</v>
      </c>
      <c r="Z79" s="5" t="str">
        <f ca="1">IFERROR(__xludf.DUMMYFUNCTION("""COMPUTED_VALUE"""),"SLGklRsZTn6k4GVgNz.1Kg")</f>
        <v>SLGklRsZTn6k4GVgNz.1Kg</v>
      </c>
      <c r="AA79" s="5"/>
      <c r="AB79" s="5"/>
      <c r="AC79" s="5"/>
      <c r="AD79" s="5">
        <f ca="1">IFERROR(__xludf.DUMMYFUNCTION("""COMPUTED_VALUE"""),70)</f>
        <v>70</v>
      </c>
      <c r="AE79" s="5">
        <f ca="1">IFERROR(__xludf.DUMMYFUNCTION("""COMPUTED_VALUE"""),70)</f>
        <v>70</v>
      </c>
      <c r="AF79" s="5" t="b">
        <f ca="1">IFERROR(__xludf.DUMMYFUNCTION("""COMPUTED_VALUE"""),FALSE)</f>
        <v>0</v>
      </c>
      <c r="AG79" s="5" t="str">
        <f ca="1">IFERROR(__xludf.DUMMYFUNCTION("""COMPUTED_VALUE"""),"INSPECCIONES REALIZADAS")</f>
        <v>INSPECCIONES REALIZADAS</v>
      </c>
      <c r="AH79" s="5"/>
    </row>
    <row r="80" spans="1:34">
      <c r="A80" s="5" t="str">
        <f ca="1">IFERROR(__xludf.DUMMYFUNCTION("""COMPUTED_VALUE"""),"LINEA PARA EL LLENADO DE BOLSAS")</f>
        <v>LINEA PARA EL LLENADO DE BOLSAS</v>
      </c>
      <c r="B80" s="5">
        <f ca="1">IFERROR(__xludf.DUMMYFUNCTION("""COMPUTED_VALUE"""),710200)</f>
        <v>710200</v>
      </c>
      <c r="C80" s="5" t="str">
        <f ca="1">IFERROR(__xludf.DUMMYFUNCTION("""COMPUTED_VALUE"""),"LLENADORA DE BOLSAS LINEA 4")</f>
        <v>LLENADORA DE BOLSAS LINEA 4</v>
      </c>
      <c r="D80" s="5">
        <f ca="1">IFERROR(__xludf.DUMMYFUNCTION("""COMPUTED_VALUE"""),13247713)</f>
        <v>13247713</v>
      </c>
      <c r="E80" s="5" t="str">
        <f ca="1">IFERROR(__xludf.DUMMYFUNCTION("""COMPUTED_VALUE"""),"INSPECCION SEMANAL BOLSA 360 Y 600 ML")</f>
        <v>INSPECCION SEMANAL BOLSA 360 Y 600 ML</v>
      </c>
      <c r="F80" s="5" t="str">
        <f ca="1">IFERROR(__xludf.DUMMYFUNCTION("""COMPUTED_VALUE"""),"SENSOR DE NIVEL TANQUE")</f>
        <v>SENSOR DE NIVEL TANQUE</v>
      </c>
      <c r="G80" s="5" t="b">
        <f ca="1">IFERROR(__xludf.DUMMYFUNCTION("""COMPUTED_VALUE"""),TRUE)</f>
        <v>1</v>
      </c>
      <c r="H80" s="5"/>
      <c r="I80" s="5"/>
      <c r="J80" s="5">
        <f ca="1">IFERROR(__xludf.DUMMYFUNCTION("""COMPUTED_VALUE"""),13247713)</f>
        <v>13247713</v>
      </c>
      <c r="K80" s="5"/>
      <c r="L80" s="18">
        <f ca="1">IFERROR(__xludf.DUMMYFUNCTION("""COMPUTED_VALUE"""),45324)</f>
        <v>45324</v>
      </c>
      <c r="M80" s="18">
        <f ca="1">IFERROR(__xludf.DUMMYFUNCTION("""COMPUTED_VALUE"""),45324)</f>
        <v>45324</v>
      </c>
      <c r="N80" s="5" t="str">
        <f ca="1">IFERROR(__xludf.DUMMYFUNCTION("""COMPUTED_VALUE"""),"ESTEBAN POTOSI ISAZA")</f>
        <v>ESTEBAN POTOSI ISAZA</v>
      </c>
      <c r="O80" s="2">
        <f ca="1">IFERROR(__xludf.DUMMYFUNCTION("""COMPUTED_VALUE"""),0.005555556)</f>
        <v>5.5555559999999997E-3</v>
      </c>
      <c r="P80" s="5">
        <f ca="1">IFERROR(__xludf.DUMMYFUNCTION("""COMPUTED_VALUE"""),20076884)</f>
        <v>20076884</v>
      </c>
      <c r="Q80" s="5" t="str">
        <f ca="1">IFERROR(__xludf.DUMMYFUNCTION("""COMPUTED_VALUE"""),"MdkBeyIRVN0")</f>
        <v>MdkBeyIRVN0</v>
      </c>
      <c r="R80" s="5">
        <f ca="1">IFERROR(__xludf.DUMMYFUNCTION("""COMPUTED_VALUE"""),410)</f>
        <v>410</v>
      </c>
      <c r="S80" s="62">
        <f ca="1">IFERROR(__xludf.DUMMYFUNCTION("""COMPUTED_VALUE"""),0.005555556)</f>
        <v>5.5555559999999997E-3</v>
      </c>
      <c r="T80" s="63" t="str">
        <f ca="1">IFERROR(__xludf.DUMMYFUNCTION("""COMPUTED_VALUE"""),"https://storage.googleapis.com/glide-prod.appspot.com/uploads-v2/ly7o78grxPaC6KdgvbpS/pub/3aRdSog0vUtuqPE8AJKD.png")</f>
        <v>https://storage.googleapis.com/glide-prod.appspot.com/uploads-v2/ly7o78grxPaC6KdgvbpS/pub/3aRdSog0vUtuqPE8AJKD.png</v>
      </c>
      <c r="U80" s="5" t="str">
        <f ca="1">IFERROR(__xludf.DUMMYFUNCTION("""COMPUTED_VALUE"""),"LINEA PARA EL LLENADO DE BOLSASLLENADORA DE BOLSAS LINEA 4")</f>
        <v>LINEA PARA EL LLENADO DE BOLSASLLENADORA DE BOLSAS LINEA 4</v>
      </c>
      <c r="V80" s="5"/>
      <c r="W80" s="5" t="b">
        <f ca="1">IFERROR(__xludf.DUMMYFUNCTION("""COMPUTED_VALUE"""),TRUE)</f>
        <v>1</v>
      </c>
      <c r="X80" s="5" t="str">
        <f ca="1">IFERROR(__xludf.DUMMYFUNCTION("""COMPUTED_VALUE"""),"achavezi@postobon.com.co,aprmttoyu@postobon.com.co,aprmyu@postobon.com.co,wmora@postobon.com.co,efzapata@postobon.com.co")</f>
        <v>achavezi@postobon.com.co,aprmttoyu@postobon.com.co,aprmyu@postobon.com.co,wmora@postobon.com.co,efzapata@postobon.com.co</v>
      </c>
      <c r="Y80" s="5" t="str">
        <f ca="1">IFERROR(__xludf.DUMMYFUNCTION("""COMPUTED_VALUE"""),"achavezi@postobon.com.co")</f>
        <v>achavezi@postobon.com.co</v>
      </c>
      <c r="Z80" s="5" t="str">
        <f ca="1">IFERROR(__xludf.DUMMYFUNCTION("""COMPUTED_VALUE"""),"490OZGyIT4O8i6Earz0YfA")</f>
        <v>490OZGyIT4O8i6Earz0YfA</v>
      </c>
      <c r="AA80" s="5"/>
      <c r="AB80" s="5"/>
      <c r="AC80" s="5"/>
      <c r="AD80" s="5">
        <f ca="1">IFERROR(__xludf.DUMMYFUNCTION("""COMPUTED_VALUE"""),70)</f>
        <v>70</v>
      </c>
      <c r="AE80" s="5">
        <f ca="1">IFERROR(__xludf.DUMMYFUNCTION("""COMPUTED_VALUE"""),70)</f>
        <v>70</v>
      </c>
      <c r="AF80" s="5" t="b">
        <f ca="1">IFERROR(__xludf.DUMMYFUNCTION("""COMPUTED_VALUE"""),FALSE)</f>
        <v>0</v>
      </c>
      <c r="AG80" s="5" t="str">
        <f ca="1">IFERROR(__xludf.DUMMYFUNCTION("""COMPUTED_VALUE"""),"INSPECCIONES REALIZADAS")</f>
        <v>INSPECCIONES REALIZADAS</v>
      </c>
      <c r="AH80" s="5"/>
    </row>
    <row r="81" spans="1:34">
      <c r="A81" s="5" t="str">
        <f ca="1">IFERROR(__xludf.DUMMYFUNCTION("""COMPUTED_VALUE"""),"LINEA PARA EL LLENADO DE BOLSAS")</f>
        <v>LINEA PARA EL LLENADO DE BOLSAS</v>
      </c>
      <c r="B81" s="5">
        <f ca="1">IFERROR(__xludf.DUMMYFUNCTION("""COMPUTED_VALUE"""),710200)</f>
        <v>710200</v>
      </c>
      <c r="C81" s="5" t="str">
        <f ca="1">IFERROR(__xludf.DUMMYFUNCTION("""COMPUTED_VALUE"""),"LLENADORA DE BOLSAS LINEA 4")</f>
        <v>LLENADORA DE BOLSAS LINEA 4</v>
      </c>
      <c r="D81" s="5">
        <f ca="1">IFERROR(__xludf.DUMMYFUNCTION("""COMPUTED_VALUE"""),13247713)</f>
        <v>13247713</v>
      </c>
      <c r="E81" s="5" t="str">
        <f ca="1">IFERROR(__xludf.DUMMYFUNCTION("""COMPUTED_VALUE"""),"INSPECCION SEMANAL BOLSA 360 Y 600 ML")</f>
        <v>INSPECCION SEMANAL BOLSA 360 Y 600 ML</v>
      </c>
      <c r="F81" s="5" t="str">
        <f ca="1">IFERROR(__xludf.DUMMYFUNCTION("""COMPUTED_VALUE"""),"REV/CAMBIO LAMPARAS 9000 H")</f>
        <v>REV/CAMBIO LAMPARAS 9000 H</v>
      </c>
      <c r="G81" s="5" t="b">
        <f ca="1">IFERROR(__xludf.DUMMYFUNCTION("""COMPUTED_VALUE"""),TRUE)</f>
        <v>1</v>
      </c>
      <c r="H81" s="5"/>
      <c r="I81" s="5"/>
      <c r="J81" s="5">
        <f ca="1">IFERROR(__xludf.DUMMYFUNCTION("""COMPUTED_VALUE"""),13247713)</f>
        <v>13247713</v>
      </c>
      <c r="K81" s="5"/>
      <c r="L81" s="18">
        <f ca="1">IFERROR(__xludf.DUMMYFUNCTION("""COMPUTED_VALUE"""),45324)</f>
        <v>45324</v>
      </c>
      <c r="M81" s="18">
        <f ca="1">IFERROR(__xludf.DUMMYFUNCTION("""COMPUTED_VALUE"""),45324)</f>
        <v>45324</v>
      </c>
      <c r="N81" s="5" t="str">
        <f ca="1">IFERROR(__xludf.DUMMYFUNCTION("""COMPUTED_VALUE"""),"ESTEBAN POTOSI ISAZA")</f>
        <v>ESTEBAN POTOSI ISAZA</v>
      </c>
      <c r="O81" s="2">
        <f ca="1">IFERROR(__xludf.DUMMYFUNCTION("""COMPUTED_VALUE"""),0.005555556)</f>
        <v>5.5555559999999997E-3</v>
      </c>
      <c r="P81" s="5">
        <f ca="1">IFERROR(__xludf.DUMMYFUNCTION("""COMPUTED_VALUE"""),20076884)</f>
        <v>20076884</v>
      </c>
      <c r="Q81" s="5" t="str">
        <f ca="1">IFERROR(__xludf.DUMMYFUNCTION("""COMPUTED_VALUE"""),"YBiPo1Lff60")</f>
        <v>YBiPo1Lff60</v>
      </c>
      <c r="R81" s="5">
        <f ca="1">IFERROR(__xludf.DUMMYFUNCTION("""COMPUTED_VALUE"""),410)</f>
        <v>410</v>
      </c>
      <c r="S81" s="62">
        <f ca="1">IFERROR(__xludf.DUMMYFUNCTION("""COMPUTED_VALUE"""),0.005555556)</f>
        <v>5.5555559999999997E-3</v>
      </c>
      <c r="T81" s="63" t="str">
        <f ca="1">IFERROR(__xludf.DUMMYFUNCTION("""COMPUTED_VALUE"""),"https://storage.googleapis.com/glide-prod.appspot.com/uploads-v2/ly7o78grxPaC6KdgvbpS/pub/3aRdSog0vUtuqPE8AJKD.png")</f>
        <v>https://storage.googleapis.com/glide-prod.appspot.com/uploads-v2/ly7o78grxPaC6KdgvbpS/pub/3aRdSog0vUtuqPE8AJKD.png</v>
      </c>
      <c r="U81" s="5" t="str">
        <f ca="1">IFERROR(__xludf.DUMMYFUNCTION("""COMPUTED_VALUE"""),"LINEA PARA EL LLENADO DE BOLSASLLENADORA DE BOLSAS LINEA 4")</f>
        <v>LINEA PARA EL LLENADO DE BOLSASLLENADORA DE BOLSAS LINEA 4</v>
      </c>
      <c r="V81" s="5"/>
      <c r="W81" s="5" t="b">
        <f ca="1">IFERROR(__xludf.DUMMYFUNCTION("""COMPUTED_VALUE"""),TRUE)</f>
        <v>1</v>
      </c>
      <c r="X81" s="5" t="str">
        <f ca="1">IFERROR(__xludf.DUMMYFUNCTION("""COMPUTED_VALUE"""),"achavezi@postobon.com.co,aprmttoyu@postobon.com.co,aprmyu@postobon.com.co,wmora@postobon.com.co,efzapata@postobon.com.co")</f>
        <v>achavezi@postobon.com.co,aprmttoyu@postobon.com.co,aprmyu@postobon.com.co,wmora@postobon.com.co,efzapata@postobon.com.co</v>
      </c>
      <c r="Y81" s="5" t="str">
        <f ca="1">IFERROR(__xludf.DUMMYFUNCTION("""COMPUTED_VALUE"""),"achavezi@postobon.com.co")</f>
        <v>achavezi@postobon.com.co</v>
      </c>
      <c r="Z81" s="5" t="str">
        <f ca="1">IFERROR(__xludf.DUMMYFUNCTION("""COMPUTED_VALUE"""),"u9XzESL1S-mQETmf2AJG6A")</f>
        <v>u9XzESL1S-mQETmf2AJG6A</v>
      </c>
      <c r="AA81" s="5"/>
      <c r="AB81" s="5"/>
      <c r="AC81" s="5"/>
      <c r="AD81" s="5">
        <f ca="1">IFERROR(__xludf.DUMMYFUNCTION("""COMPUTED_VALUE"""),70)</f>
        <v>70</v>
      </c>
      <c r="AE81" s="5">
        <f ca="1">IFERROR(__xludf.DUMMYFUNCTION("""COMPUTED_VALUE"""),70)</f>
        <v>70</v>
      </c>
      <c r="AF81" s="5" t="b">
        <f ca="1">IFERROR(__xludf.DUMMYFUNCTION("""COMPUTED_VALUE"""),FALSE)</f>
        <v>0</v>
      </c>
      <c r="AG81" s="5" t="str">
        <f ca="1">IFERROR(__xludf.DUMMYFUNCTION("""COMPUTED_VALUE"""),"INSPECCIONES REALIZADAS")</f>
        <v>INSPECCIONES REALIZADAS</v>
      </c>
      <c r="AH81" s="5"/>
    </row>
    <row r="82" spans="1:34">
      <c r="A82" s="5" t="str">
        <f ca="1">IFERROR(__xludf.DUMMYFUNCTION("""COMPUTED_VALUE"""),"LINEA PARA EL LLENADO DE BOLSAS")</f>
        <v>LINEA PARA EL LLENADO DE BOLSAS</v>
      </c>
      <c r="B82" s="5">
        <f ca="1">IFERROR(__xludf.DUMMYFUNCTION("""COMPUTED_VALUE"""),710199)</f>
        <v>710199</v>
      </c>
      <c r="C82" s="5" t="str">
        <f ca="1">IFERROR(__xludf.DUMMYFUNCTION("""COMPUTED_VALUE"""),"LLENADORA DE BOLSAS LINEA 5")</f>
        <v>LLENADORA DE BOLSAS LINEA 5</v>
      </c>
      <c r="D82" s="5">
        <f ca="1">IFERROR(__xludf.DUMMYFUNCTION("""COMPUTED_VALUE"""),13247715)</f>
        <v>13247715</v>
      </c>
      <c r="E82" s="5" t="str">
        <f ca="1">IFERROR(__xludf.DUMMYFUNCTION("""COMPUTED_VALUE"""),"INSPECCION SEMANAL BOLSAS LINEA 5")</f>
        <v>INSPECCION SEMANAL BOLSAS LINEA 5</v>
      </c>
      <c r="F82" s="5" t="str">
        <f ca="1">IFERROR(__xludf.DUMMYFUNCTION("""COMPUTED_VALUE"""),"INS. ESTADO TANQUE DE LLENADO")</f>
        <v>INS. ESTADO TANQUE DE LLENADO</v>
      </c>
      <c r="G82" s="5" t="b">
        <f ca="1">IFERROR(__xludf.DUMMYFUNCTION("""COMPUTED_VALUE"""),TRUE)</f>
        <v>1</v>
      </c>
      <c r="H82" s="5"/>
      <c r="I82" s="5"/>
      <c r="J82" s="5">
        <f ca="1">IFERROR(__xludf.DUMMYFUNCTION("""COMPUTED_VALUE"""),13247715)</f>
        <v>13247715</v>
      </c>
      <c r="K82" s="5"/>
      <c r="L82" s="18">
        <f ca="1">IFERROR(__xludf.DUMMYFUNCTION("""COMPUTED_VALUE"""),45324)</f>
        <v>45324</v>
      </c>
      <c r="M82" s="18">
        <f ca="1">IFERROR(__xludf.DUMMYFUNCTION("""COMPUTED_VALUE"""),45324)</f>
        <v>45324</v>
      </c>
      <c r="N82" s="5" t="str">
        <f ca="1">IFERROR(__xludf.DUMMYFUNCTION("""COMPUTED_VALUE"""),"ESTEBAN POTOSI ISAZA")</f>
        <v>ESTEBAN POTOSI ISAZA</v>
      </c>
      <c r="O82" s="2">
        <f ca="1">IFERROR(__xludf.DUMMYFUNCTION("""COMPUTED_VALUE"""),0.005263158)</f>
        <v>5.2631580000000004E-3</v>
      </c>
      <c r="P82" s="5">
        <f ca="1">IFERROR(__xludf.DUMMYFUNCTION("""COMPUTED_VALUE"""),20076884)</f>
        <v>20076884</v>
      </c>
      <c r="Q82" s="5" t="str">
        <f ca="1">IFERROR(__xludf.DUMMYFUNCTION("""COMPUTED_VALUE"""),"2M6FeuOt9kE")</f>
        <v>2M6FeuOt9kE</v>
      </c>
      <c r="R82" s="5">
        <f ca="1">IFERROR(__xludf.DUMMYFUNCTION("""COMPUTED_VALUE"""),410)</f>
        <v>410</v>
      </c>
      <c r="S82" s="62">
        <f ca="1">IFERROR(__xludf.DUMMYFUNCTION("""COMPUTED_VALUE"""),0.005263158)</f>
        <v>5.2631580000000004E-3</v>
      </c>
      <c r="T82" s="63" t="str">
        <f ca="1">IFERROR(__xludf.DUMMYFUNCTION("""COMPUTED_VALUE"""),"https://storage.googleapis.com/glide-prod.appspot.com/uploads-v2/ly7o78grxPaC6KdgvbpS/pub/3aRdSog0vUtuqPE8AJKD.png")</f>
        <v>https://storage.googleapis.com/glide-prod.appspot.com/uploads-v2/ly7o78grxPaC6KdgvbpS/pub/3aRdSog0vUtuqPE8AJKD.png</v>
      </c>
      <c r="U82" s="5" t="str">
        <f ca="1">IFERROR(__xludf.DUMMYFUNCTION("""COMPUTED_VALUE"""),"LINEA PARA EL LLENADO DE BOLSASLLENADORA DE BOLSAS LINEA 5")</f>
        <v>LINEA PARA EL LLENADO DE BOLSASLLENADORA DE BOLSAS LINEA 5</v>
      </c>
      <c r="V82" s="5"/>
      <c r="W82" s="5" t="b">
        <f ca="1">IFERROR(__xludf.DUMMYFUNCTION("""COMPUTED_VALUE"""),TRUE)</f>
        <v>1</v>
      </c>
      <c r="X82" s="5" t="str">
        <f ca="1">IFERROR(__xludf.DUMMYFUNCTION("""COMPUTED_VALUE"""),"achavezi@postobon.com.co,aprmttoyu@postobon.com.co,aprmyu@postobon.com.co,wmora@postobon.com.co,efzapata@postobon.com.co")</f>
        <v>achavezi@postobon.com.co,aprmttoyu@postobon.com.co,aprmyu@postobon.com.co,wmora@postobon.com.co,efzapata@postobon.com.co</v>
      </c>
      <c r="Y82" s="5" t="str">
        <f ca="1">IFERROR(__xludf.DUMMYFUNCTION("""COMPUTED_VALUE"""),"achavezi@postobon.com.co")</f>
        <v>achavezi@postobon.com.co</v>
      </c>
      <c r="Z82" s="5" t="str">
        <f ca="1">IFERROR(__xludf.DUMMYFUNCTION("""COMPUTED_VALUE"""),"B-b3nLfySSKSNnZw193h5A")</f>
        <v>B-b3nLfySSKSNnZw193h5A</v>
      </c>
      <c r="AA82" s="5"/>
      <c r="AB82" s="5"/>
      <c r="AC82" s="5"/>
      <c r="AD82" s="5">
        <f ca="1">IFERROR(__xludf.DUMMYFUNCTION("""COMPUTED_VALUE"""),70)</f>
        <v>70</v>
      </c>
      <c r="AE82" s="5">
        <f ca="1">IFERROR(__xludf.DUMMYFUNCTION("""COMPUTED_VALUE"""),70)</f>
        <v>70</v>
      </c>
      <c r="AF82" s="5" t="b">
        <f ca="1">IFERROR(__xludf.DUMMYFUNCTION("""COMPUTED_VALUE"""),FALSE)</f>
        <v>0</v>
      </c>
      <c r="AG82" s="5" t="str">
        <f ca="1">IFERROR(__xludf.DUMMYFUNCTION("""COMPUTED_VALUE"""),"INSPECCIONES REALIZADAS")</f>
        <v>INSPECCIONES REALIZADAS</v>
      </c>
      <c r="AH82" s="5"/>
    </row>
    <row r="83" spans="1:34">
      <c r="A83" s="5" t="str">
        <f ca="1">IFERROR(__xludf.DUMMYFUNCTION("""COMPUTED_VALUE"""),"LINEA PARA EL LLENADO DE BOLSAS")</f>
        <v>LINEA PARA EL LLENADO DE BOLSAS</v>
      </c>
      <c r="B83" s="5">
        <f ca="1">IFERROR(__xludf.DUMMYFUNCTION("""COMPUTED_VALUE"""),710199)</f>
        <v>710199</v>
      </c>
      <c r="C83" s="5" t="str">
        <f ca="1">IFERROR(__xludf.DUMMYFUNCTION("""COMPUTED_VALUE"""),"LLENADORA DE BOLSAS LINEA 5")</f>
        <v>LLENADORA DE BOLSAS LINEA 5</v>
      </c>
      <c r="D83" s="5">
        <f ca="1">IFERROR(__xludf.DUMMYFUNCTION("""COMPUTED_VALUE"""),13247715)</f>
        <v>13247715</v>
      </c>
      <c r="E83" s="5" t="str">
        <f ca="1">IFERROR(__xludf.DUMMYFUNCTION("""COMPUTED_VALUE"""),"INSPECCION SEMANAL BOLSAS LINEA 5")</f>
        <v>INSPECCION SEMANAL BOLSAS LINEA 5</v>
      </c>
      <c r="F83" s="5" t="str">
        <f ca="1">IFERROR(__xludf.DUMMYFUNCTION("""COMPUTED_VALUE"""),"FUNC VALVULA LLENADO TANQUE")</f>
        <v>FUNC VALVULA LLENADO TANQUE</v>
      </c>
      <c r="G83" s="5" t="b">
        <f ca="1">IFERROR(__xludf.DUMMYFUNCTION("""COMPUTED_VALUE"""),TRUE)</f>
        <v>1</v>
      </c>
      <c r="H83" s="5"/>
      <c r="I83" s="5"/>
      <c r="J83" s="5">
        <f ca="1">IFERROR(__xludf.DUMMYFUNCTION("""COMPUTED_VALUE"""),13247715)</f>
        <v>13247715</v>
      </c>
      <c r="K83" s="5"/>
      <c r="L83" s="18">
        <f ca="1">IFERROR(__xludf.DUMMYFUNCTION("""COMPUTED_VALUE"""),45324)</f>
        <v>45324</v>
      </c>
      <c r="M83" s="18">
        <f ca="1">IFERROR(__xludf.DUMMYFUNCTION("""COMPUTED_VALUE"""),45324)</f>
        <v>45324</v>
      </c>
      <c r="N83" s="5" t="str">
        <f ca="1">IFERROR(__xludf.DUMMYFUNCTION("""COMPUTED_VALUE"""),"ESTEBAN POTOSI ISAZA")</f>
        <v>ESTEBAN POTOSI ISAZA</v>
      </c>
      <c r="O83" s="2">
        <f ca="1">IFERROR(__xludf.DUMMYFUNCTION("""COMPUTED_VALUE"""),0.005263158)</f>
        <v>5.2631580000000004E-3</v>
      </c>
      <c r="P83" s="5">
        <f ca="1">IFERROR(__xludf.DUMMYFUNCTION("""COMPUTED_VALUE"""),20076884)</f>
        <v>20076884</v>
      </c>
      <c r="Q83" s="5" t="str">
        <f ca="1">IFERROR(__xludf.DUMMYFUNCTION("""COMPUTED_VALUE"""),"kRz3ZRx7XAI")</f>
        <v>kRz3ZRx7XAI</v>
      </c>
      <c r="R83" s="5">
        <f ca="1">IFERROR(__xludf.DUMMYFUNCTION("""COMPUTED_VALUE"""),410)</f>
        <v>410</v>
      </c>
      <c r="S83" s="62">
        <f ca="1">IFERROR(__xludf.DUMMYFUNCTION("""COMPUTED_VALUE"""),0.005263158)</f>
        <v>5.2631580000000004E-3</v>
      </c>
      <c r="T83" s="63" t="str">
        <f ca="1">IFERROR(__xludf.DUMMYFUNCTION("""COMPUTED_VALUE"""),"https://storage.googleapis.com/glide-prod.appspot.com/uploads-v2/ly7o78grxPaC6KdgvbpS/pub/3aRdSog0vUtuqPE8AJKD.png")</f>
        <v>https://storage.googleapis.com/glide-prod.appspot.com/uploads-v2/ly7o78grxPaC6KdgvbpS/pub/3aRdSog0vUtuqPE8AJKD.png</v>
      </c>
      <c r="U83" s="5" t="str">
        <f ca="1">IFERROR(__xludf.DUMMYFUNCTION("""COMPUTED_VALUE"""),"LINEA PARA EL LLENADO DE BOLSASLLENADORA DE BOLSAS LINEA 5")</f>
        <v>LINEA PARA EL LLENADO DE BOLSASLLENADORA DE BOLSAS LINEA 5</v>
      </c>
      <c r="V83" s="5"/>
      <c r="W83" s="5" t="b">
        <f ca="1">IFERROR(__xludf.DUMMYFUNCTION("""COMPUTED_VALUE"""),TRUE)</f>
        <v>1</v>
      </c>
      <c r="X83" s="5" t="str">
        <f ca="1">IFERROR(__xludf.DUMMYFUNCTION("""COMPUTED_VALUE"""),"achavezi@postobon.com.co,aprmttoyu@postobon.com.co,aprmyu@postobon.com.co,wmora@postobon.com.co,efzapata@postobon.com.co")</f>
        <v>achavezi@postobon.com.co,aprmttoyu@postobon.com.co,aprmyu@postobon.com.co,wmora@postobon.com.co,efzapata@postobon.com.co</v>
      </c>
      <c r="Y83" s="5" t="str">
        <f ca="1">IFERROR(__xludf.DUMMYFUNCTION("""COMPUTED_VALUE"""),"achavezi@postobon.com.co")</f>
        <v>achavezi@postobon.com.co</v>
      </c>
      <c r="Z83" s="5" t="str">
        <f ca="1">IFERROR(__xludf.DUMMYFUNCTION("""COMPUTED_VALUE"""),"Nl5qfMD3Q.KrbQFPpGRbSA")</f>
        <v>Nl5qfMD3Q.KrbQFPpGRbSA</v>
      </c>
      <c r="AA83" s="5"/>
      <c r="AB83" s="5"/>
      <c r="AC83" s="5"/>
      <c r="AD83" s="5">
        <f ca="1">IFERROR(__xludf.DUMMYFUNCTION("""COMPUTED_VALUE"""),70)</f>
        <v>70</v>
      </c>
      <c r="AE83" s="5">
        <f ca="1">IFERROR(__xludf.DUMMYFUNCTION("""COMPUTED_VALUE"""),70)</f>
        <v>70</v>
      </c>
      <c r="AF83" s="5" t="b">
        <f ca="1">IFERROR(__xludf.DUMMYFUNCTION("""COMPUTED_VALUE"""),FALSE)</f>
        <v>0</v>
      </c>
      <c r="AG83" s="5" t="str">
        <f ca="1">IFERROR(__xludf.DUMMYFUNCTION("""COMPUTED_VALUE"""),"INSPECCIONES REALIZADAS")</f>
        <v>INSPECCIONES REALIZADAS</v>
      </c>
      <c r="AH83" s="5"/>
    </row>
    <row r="84" spans="1:34">
      <c r="A84" s="5" t="str">
        <f ca="1">IFERROR(__xludf.DUMMYFUNCTION("""COMPUTED_VALUE"""),"LINEA PARA EL LLENADO DE BOLSAS")</f>
        <v>LINEA PARA EL LLENADO DE BOLSAS</v>
      </c>
      <c r="B84" s="5">
        <f ca="1">IFERROR(__xludf.DUMMYFUNCTION("""COMPUTED_VALUE"""),710199)</f>
        <v>710199</v>
      </c>
      <c r="C84" s="5" t="str">
        <f ca="1">IFERROR(__xludf.DUMMYFUNCTION("""COMPUTED_VALUE"""),"LLENADORA DE BOLSAS LINEA 5")</f>
        <v>LLENADORA DE BOLSAS LINEA 5</v>
      </c>
      <c r="D84" s="5">
        <f ca="1">IFERROR(__xludf.DUMMYFUNCTION("""COMPUTED_VALUE"""),13247715)</f>
        <v>13247715</v>
      </c>
      <c r="E84" s="5" t="str">
        <f ca="1">IFERROR(__xludf.DUMMYFUNCTION("""COMPUTED_VALUE"""),"INSPECCION SEMANAL BOLSAS LINEA 5")</f>
        <v>INSPECCION SEMANAL BOLSAS LINEA 5</v>
      </c>
      <c r="F84" s="5" t="str">
        <f ca="1">IFERROR(__xludf.DUMMYFUNCTION("""COMPUTED_VALUE"""),"INSP MECANISMO SELLADO HORIZ/VERTIC")</f>
        <v>INSP MECANISMO SELLADO HORIZ/VERTIC</v>
      </c>
      <c r="G84" s="5" t="b">
        <f ca="1">IFERROR(__xludf.DUMMYFUNCTION("""COMPUTED_VALUE"""),TRUE)</f>
        <v>1</v>
      </c>
      <c r="H84" s="5"/>
      <c r="I84" s="5"/>
      <c r="J84" s="5">
        <f ca="1">IFERROR(__xludf.DUMMYFUNCTION("""COMPUTED_VALUE"""),13247715)</f>
        <v>13247715</v>
      </c>
      <c r="K84" s="5"/>
      <c r="L84" s="18">
        <f ca="1">IFERROR(__xludf.DUMMYFUNCTION("""COMPUTED_VALUE"""),45324)</f>
        <v>45324</v>
      </c>
      <c r="M84" s="18">
        <f ca="1">IFERROR(__xludf.DUMMYFUNCTION("""COMPUTED_VALUE"""),45324)</f>
        <v>45324</v>
      </c>
      <c r="N84" s="5" t="str">
        <f ca="1">IFERROR(__xludf.DUMMYFUNCTION("""COMPUTED_VALUE"""),"ESTEBAN POTOSI ISAZA")</f>
        <v>ESTEBAN POTOSI ISAZA</v>
      </c>
      <c r="O84" s="2">
        <f ca="1">IFERROR(__xludf.DUMMYFUNCTION("""COMPUTED_VALUE"""),0.005263158)</f>
        <v>5.2631580000000004E-3</v>
      </c>
      <c r="P84" s="5">
        <f ca="1">IFERROR(__xludf.DUMMYFUNCTION("""COMPUTED_VALUE"""),20076884)</f>
        <v>20076884</v>
      </c>
      <c r="Q84" s="5" t="str">
        <f ca="1">IFERROR(__xludf.DUMMYFUNCTION("""COMPUTED_VALUE"""),"XaL1EUhfk9Y")</f>
        <v>XaL1EUhfk9Y</v>
      </c>
      <c r="R84" s="5">
        <f ca="1">IFERROR(__xludf.DUMMYFUNCTION("""COMPUTED_VALUE"""),410)</f>
        <v>410</v>
      </c>
      <c r="S84" s="62">
        <f ca="1">IFERROR(__xludf.DUMMYFUNCTION("""COMPUTED_VALUE"""),0.005263158)</f>
        <v>5.2631580000000004E-3</v>
      </c>
      <c r="T84" s="63" t="str">
        <f ca="1">IFERROR(__xludf.DUMMYFUNCTION("""COMPUTED_VALUE"""),"https://storage.googleapis.com/glide-prod.appspot.com/uploads-v2/ly7o78grxPaC6KdgvbpS/pub/3aRdSog0vUtuqPE8AJKD.png")</f>
        <v>https://storage.googleapis.com/glide-prod.appspot.com/uploads-v2/ly7o78grxPaC6KdgvbpS/pub/3aRdSog0vUtuqPE8AJKD.png</v>
      </c>
      <c r="U84" s="5" t="str">
        <f ca="1">IFERROR(__xludf.DUMMYFUNCTION("""COMPUTED_VALUE"""),"LINEA PARA EL LLENADO DE BOLSASLLENADORA DE BOLSAS LINEA 5")</f>
        <v>LINEA PARA EL LLENADO DE BOLSASLLENADORA DE BOLSAS LINEA 5</v>
      </c>
      <c r="V84" s="5"/>
      <c r="W84" s="5" t="b">
        <f ca="1">IFERROR(__xludf.DUMMYFUNCTION("""COMPUTED_VALUE"""),TRUE)</f>
        <v>1</v>
      </c>
      <c r="X84" s="5" t="str">
        <f ca="1">IFERROR(__xludf.DUMMYFUNCTION("""COMPUTED_VALUE"""),"achavezi@postobon.com.co,aprmttoyu@postobon.com.co,aprmyu@postobon.com.co,wmora@postobon.com.co,efzapata@postobon.com.co")</f>
        <v>achavezi@postobon.com.co,aprmttoyu@postobon.com.co,aprmyu@postobon.com.co,wmora@postobon.com.co,efzapata@postobon.com.co</v>
      </c>
      <c r="Y84" s="5" t="str">
        <f ca="1">IFERROR(__xludf.DUMMYFUNCTION("""COMPUTED_VALUE"""),"achavezi@postobon.com.co")</f>
        <v>achavezi@postobon.com.co</v>
      </c>
      <c r="Z84" s="5" t="str">
        <f ca="1">IFERROR(__xludf.DUMMYFUNCTION("""COMPUTED_VALUE"""),"zLjhPdaaRJ6SdCIuDRspqw")</f>
        <v>zLjhPdaaRJ6SdCIuDRspqw</v>
      </c>
      <c r="AA84" s="5"/>
      <c r="AB84" s="5"/>
      <c r="AC84" s="5"/>
      <c r="AD84" s="5">
        <f ca="1">IFERROR(__xludf.DUMMYFUNCTION("""COMPUTED_VALUE"""),70)</f>
        <v>70</v>
      </c>
      <c r="AE84" s="5">
        <f ca="1">IFERROR(__xludf.DUMMYFUNCTION("""COMPUTED_VALUE"""),70)</f>
        <v>70</v>
      </c>
      <c r="AF84" s="5" t="b">
        <f ca="1">IFERROR(__xludf.DUMMYFUNCTION("""COMPUTED_VALUE"""),FALSE)</f>
        <v>0</v>
      </c>
      <c r="AG84" s="5" t="str">
        <f ca="1">IFERROR(__xludf.DUMMYFUNCTION("""COMPUTED_VALUE"""),"INSPECCIONES REALIZADAS")</f>
        <v>INSPECCIONES REALIZADAS</v>
      </c>
      <c r="AH84" s="5"/>
    </row>
    <row r="85" spans="1:34">
      <c r="A85" s="5" t="str">
        <f ca="1">IFERROR(__xludf.DUMMYFUNCTION("""COMPUTED_VALUE"""),"LINEA PARA EL LLENADO DE BOLSAS")</f>
        <v>LINEA PARA EL LLENADO DE BOLSAS</v>
      </c>
      <c r="B85" s="5">
        <f ca="1">IFERROR(__xludf.DUMMYFUNCTION("""COMPUTED_VALUE"""),710199)</f>
        <v>710199</v>
      </c>
      <c r="C85" s="5" t="str">
        <f ca="1">IFERROR(__xludf.DUMMYFUNCTION("""COMPUTED_VALUE"""),"LLENADORA DE BOLSAS LINEA 5")</f>
        <v>LLENADORA DE BOLSAS LINEA 5</v>
      </c>
      <c r="D85" s="5">
        <f ca="1">IFERROR(__xludf.DUMMYFUNCTION("""COMPUTED_VALUE"""),13247715)</f>
        <v>13247715</v>
      </c>
      <c r="E85" s="5" t="str">
        <f ca="1">IFERROR(__xludf.DUMMYFUNCTION("""COMPUTED_VALUE"""),"INSPECCION SEMANAL BOLSAS LINEA 5")</f>
        <v>INSPECCION SEMANAL BOLSAS LINEA 5</v>
      </c>
      <c r="F85" s="5" t="str">
        <f ca="1">IFERROR(__xludf.DUMMYFUNCTION("""COMPUTED_VALUE"""),"INSP SISTEMA NEUMATICO(CILINDRO)")</f>
        <v>INSP SISTEMA NEUMATICO(CILINDRO)</v>
      </c>
      <c r="G85" s="5" t="b">
        <f ca="1">IFERROR(__xludf.DUMMYFUNCTION("""COMPUTED_VALUE"""),TRUE)</f>
        <v>1</v>
      </c>
      <c r="H85" s="5"/>
      <c r="I85" s="5"/>
      <c r="J85" s="5">
        <f ca="1">IFERROR(__xludf.DUMMYFUNCTION("""COMPUTED_VALUE"""),13247715)</f>
        <v>13247715</v>
      </c>
      <c r="K85" s="5"/>
      <c r="L85" s="18">
        <f ca="1">IFERROR(__xludf.DUMMYFUNCTION("""COMPUTED_VALUE"""),45324)</f>
        <v>45324</v>
      </c>
      <c r="M85" s="18">
        <f ca="1">IFERROR(__xludf.DUMMYFUNCTION("""COMPUTED_VALUE"""),45324)</f>
        <v>45324</v>
      </c>
      <c r="N85" s="5" t="str">
        <f ca="1">IFERROR(__xludf.DUMMYFUNCTION("""COMPUTED_VALUE"""),"ESTEBAN POTOSI ISAZA")</f>
        <v>ESTEBAN POTOSI ISAZA</v>
      </c>
      <c r="O85" s="2">
        <f ca="1">IFERROR(__xludf.DUMMYFUNCTION("""COMPUTED_VALUE"""),0.005263158)</f>
        <v>5.2631580000000004E-3</v>
      </c>
      <c r="P85" s="5">
        <f ca="1">IFERROR(__xludf.DUMMYFUNCTION("""COMPUTED_VALUE"""),20076884)</f>
        <v>20076884</v>
      </c>
      <c r="Q85" s="5" t="str">
        <f ca="1">IFERROR(__xludf.DUMMYFUNCTION("""COMPUTED_VALUE"""),"ggwHHo9sltk")</f>
        <v>ggwHHo9sltk</v>
      </c>
      <c r="R85" s="5">
        <f ca="1">IFERROR(__xludf.DUMMYFUNCTION("""COMPUTED_VALUE"""),410)</f>
        <v>410</v>
      </c>
      <c r="S85" s="62">
        <f ca="1">IFERROR(__xludf.DUMMYFUNCTION("""COMPUTED_VALUE"""),0.005263158)</f>
        <v>5.2631580000000004E-3</v>
      </c>
      <c r="T85" s="63" t="str">
        <f ca="1">IFERROR(__xludf.DUMMYFUNCTION("""COMPUTED_VALUE"""),"https://storage.googleapis.com/glide-prod.appspot.com/uploads-v2/ly7o78grxPaC6KdgvbpS/pub/3aRdSog0vUtuqPE8AJKD.png")</f>
        <v>https://storage.googleapis.com/glide-prod.appspot.com/uploads-v2/ly7o78grxPaC6KdgvbpS/pub/3aRdSog0vUtuqPE8AJKD.png</v>
      </c>
      <c r="U85" s="5" t="str">
        <f ca="1">IFERROR(__xludf.DUMMYFUNCTION("""COMPUTED_VALUE"""),"LINEA PARA EL LLENADO DE BOLSASLLENADORA DE BOLSAS LINEA 5")</f>
        <v>LINEA PARA EL LLENADO DE BOLSASLLENADORA DE BOLSAS LINEA 5</v>
      </c>
      <c r="V85" s="5"/>
      <c r="W85" s="5" t="b">
        <f ca="1">IFERROR(__xludf.DUMMYFUNCTION("""COMPUTED_VALUE"""),TRUE)</f>
        <v>1</v>
      </c>
      <c r="X85" s="5" t="str">
        <f ca="1">IFERROR(__xludf.DUMMYFUNCTION("""COMPUTED_VALUE"""),"achavezi@postobon.com.co,aprmttoyu@postobon.com.co,aprmyu@postobon.com.co,wmora@postobon.com.co,efzapata@postobon.com.co")</f>
        <v>achavezi@postobon.com.co,aprmttoyu@postobon.com.co,aprmyu@postobon.com.co,wmora@postobon.com.co,efzapata@postobon.com.co</v>
      </c>
      <c r="Y85" s="5" t="str">
        <f ca="1">IFERROR(__xludf.DUMMYFUNCTION("""COMPUTED_VALUE"""),"achavezi@postobon.com.co")</f>
        <v>achavezi@postobon.com.co</v>
      </c>
      <c r="Z85" s="5" t="str">
        <f ca="1">IFERROR(__xludf.DUMMYFUNCTION("""COMPUTED_VALUE"""),"4HUmu-6CRGC6asSOm2Al0Q")</f>
        <v>4HUmu-6CRGC6asSOm2Al0Q</v>
      </c>
      <c r="AA85" s="5"/>
      <c r="AB85" s="5"/>
      <c r="AC85" s="5"/>
      <c r="AD85" s="5">
        <f ca="1">IFERROR(__xludf.DUMMYFUNCTION("""COMPUTED_VALUE"""),70)</f>
        <v>70</v>
      </c>
      <c r="AE85" s="5">
        <f ca="1">IFERROR(__xludf.DUMMYFUNCTION("""COMPUTED_VALUE"""),70)</f>
        <v>70</v>
      </c>
      <c r="AF85" s="5" t="b">
        <f ca="1">IFERROR(__xludf.DUMMYFUNCTION("""COMPUTED_VALUE"""),FALSE)</f>
        <v>0</v>
      </c>
      <c r="AG85" s="5" t="str">
        <f ca="1">IFERROR(__xludf.DUMMYFUNCTION("""COMPUTED_VALUE"""),"INSPECCIONES REALIZADAS")</f>
        <v>INSPECCIONES REALIZADAS</v>
      </c>
      <c r="AH85" s="5"/>
    </row>
    <row r="86" spans="1:34">
      <c r="A86" s="5" t="str">
        <f ca="1">IFERROR(__xludf.DUMMYFUNCTION("""COMPUTED_VALUE"""),"LINEA PARA EL LLENADO DE BOLSAS")</f>
        <v>LINEA PARA EL LLENADO DE BOLSAS</v>
      </c>
      <c r="B86" s="5">
        <f ca="1">IFERROR(__xludf.DUMMYFUNCTION("""COMPUTED_VALUE"""),710199)</f>
        <v>710199</v>
      </c>
      <c r="C86" s="5" t="str">
        <f ca="1">IFERROR(__xludf.DUMMYFUNCTION("""COMPUTED_VALUE"""),"LLENADORA DE BOLSAS LINEA 5")</f>
        <v>LLENADORA DE BOLSAS LINEA 5</v>
      </c>
      <c r="D86" s="5">
        <f ca="1">IFERROR(__xludf.DUMMYFUNCTION("""COMPUTED_VALUE"""),13247715)</f>
        <v>13247715</v>
      </c>
      <c r="E86" s="5" t="str">
        <f ca="1">IFERROR(__xludf.DUMMYFUNCTION("""COMPUTED_VALUE"""),"INSPECCION SEMANAL BOLSAS LINEA 5")</f>
        <v>INSPECCION SEMANAL BOLSAS LINEA 5</v>
      </c>
      <c r="F86" s="5" t="str">
        <f ca="1">IFERROR(__xludf.DUMMYFUNCTION("""COMPUTED_VALUE"""),"FUNC REFRIGERACION RESISTENCIAS")</f>
        <v>FUNC REFRIGERACION RESISTENCIAS</v>
      </c>
      <c r="G86" s="5" t="b">
        <f ca="1">IFERROR(__xludf.DUMMYFUNCTION("""COMPUTED_VALUE"""),TRUE)</f>
        <v>1</v>
      </c>
      <c r="H86" s="5"/>
      <c r="I86" s="5"/>
      <c r="J86" s="5">
        <f ca="1">IFERROR(__xludf.DUMMYFUNCTION("""COMPUTED_VALUE"""),13247715)</f>
        <v>13247715</v>
      </c>
      <c r="K86" s="5"/>
      <c r="L86" s="18">
        <f ca="1">IFERROR(__xludf.DUMMYFUNCTION("""COMPUTED_VALUE"""),45324)</f>
        <v>45324</v>
      </c>
      <c r="M86" s="18">
        <f ca="1">IFERROR(__xludf.DUMMYFUNCTION("""COMPUTED_VALUE"""),45324)</f>
        <v>45324</v>
      </c>
      <c r="N86" s="5" t="str">
        <f ca="1">IFERROR(__xludf.DUMMYFUNCTION("""COMPUTED_VALUE"""),"ESTEBAN POTOSI ISAZA")</f>
        <v>ESTEBAN POTOSI ISAZA</v>
      </c>
      <c r="O86" s="2">
        <f ca="1">IFERROR(__xludf.DUMMYFUNCTION("""COMPUTED_VALUE"""),0.005263158)</f>
        <v>5.2631580000000004E-3</v>
      </c>
      <c r="P86" s="5">
        <f ca="1">IFERROR(__xludf.DUMMYFUNCTION("""COMPUTED_VALUE"""),20076884)</f>
        <v>20076884</v>
      </c>
      <c r="Q86" s="5" t="str">
        <f ca="1">IFERROR(__xludf.DUMMYFUNCTION("""COMPUTED_VALUE"""),"Jm20osbKZgs")</f>
        <v>Jm20osbKZgs</v>
      </c>
      <c r="R86" s="5">
        <f ca="1">IFERROR(__xludf.DUMMYFUNCTION("""COMPUTED_VALUE"""),410)</f>
        <v>410</v>
      </c>
      <c r="S86" s="62">
        <f ca="1">IFERROR(__xludf.DUMMYFUNCTION("""COMPUTED_VALUE"""),0.005263158)</f>
        <v>5.2631580000000004E-3</v>
      </c>
      <c r="T86" s="63" t="str">
        <f ca="1">IFERROR(__xludf.DUMMYFUNCTION("""COMPUTED_VALUE"""),"https://storage.googleapis.com/glide-prod.appspot.com/uploads-v2/ly7o78grxPaC6KdgvbpS/pub/3aRdSog0vUtuqPE8AJKD.png")</f>
        <v>https://storage.googleapis.com/glide-prod.appspot.com/uploads-v2/ly7o78grxPaC6KdgvbpS/pub/3aRdSog0vUtuqPE8AJKD.png</v>
      </c>
      <c r="U86" s="5" t="str">
        <f ca="1">IFERROR(__xludf.DUMMYFUNCTION("""COMPUTED_VALUE"""),"LINEA PARA EL LLENADO DE BOLSASLLENADORA DE BOLSAS LINEA 5")</f>
        <v>LINEA PARA EL LLENADO DE BOLSASLLENADORA DE BOLSAS LINEA 5</v>
      </c>
      <c r="V86" s="5"/>
      <c r="W86" s="5" t="b">
        <f ca="1">IFERROR(__xludf.DUMMYFUNCTION("""COMPUTED_VALUE"""),TRUE)</f>
        <v>1</v>
      </c>
      <c r="X86" s="5" t="str">
        <f ca="1">IFERROR(__xludf.DUMMYFUNCTION("""COMPUTED_VALUE"""),"achavezi@postobon.com.co,aprmttoyu@postobon.com.co,aprmyu@postobon.com.co,wmora@postobon.com.co,efzapata@postobon.com.co")</f>
        <v>achavezi@postobon.com.co,aprmttoyu@postobon.com.co,aprmyu@postobon.com.co,wmora@postobon.com.co,efzapata@postobon.com.co</v>
      </c>
      <c r="Y86" s="5" t="str">
        <f ca="1">IFERROR(__xludf.DUMMYFUNCTION("""COMPUTED_VALUE"""),"achavezi@postobon.com.co")</f>
        <v>achavezi@postobon.com.co</v>
      </c>
      <c r="Z86" s="5" t="str">
        <f ca="1">IFERROR(__xludf.DUMMYFUNCTION("""COMPUTED_VALUE"""),"JRU84AmuRZeroZ..PIqoXA")</f>
        <v>JRU84AmuRZeroZ..PIqoXA</v>
      </c>
      <c r="AA86" s="5"/>
      <c r="AB86" s="5"/>
      <c r="AC86" s="5"/>
      <c r="AD86" s="5">
        <f ca="1">IFERROR(__xludf.DUMMYFUNCTION("""COMPUTED_VALUE"""),70)</f>
        <v>70</v>
      </c>
      <c r="AE86" s="5">
        <f ca="1">IFERROR(__xludf.DUMMYFUNCTION("""COMPUTED_VALUE"""),70)</f>
        <v>70</v>
      </c>
      <c r="AF86" s="5" t="b">
        <f ca="1">IFERROR(__xludf.DUMMYFUNCTION("""COMPUTED_VALUE"""),FALSE)</f>
        <v>0</v>
      </c>
      <c r="AG86" s="5" t="str">
        <f ca="1">IFERROR(__xludf.DUMMYFUNCTION("""COMPUTED_VALUE"""),"INSPECCIONES REALIZADAS")</f>
        <v>INSPECCIONES REALIZADAS</v>
      </c>
      <c r="AH86" s="5"/>
    </row>
    <row r="87" spans="1:34">
      <c r="A87" s="5" t="str">
        <f ca="1">IFERROR(__xludf.DUMMYFUNCTION("""COMPUTED_VALUE"""),"LINEA PARA EL LLENADO DE BOLSAS")</f>
        <v>LINEA PARA EL LLENADO DE BOLSAS</v>
      </c>
      <c r="B87" s="5">
        <f ca="1">IFERROR(__xludf.DUMMYFUNCTION("""COMPUTED_VALUE"""),710199)</f>
        <v>710199</v>
      </c>
      <c r="C87" s="5" t="str">
        <f ca="1">IFERROR(__xludf.DUMMYFUNCTION("""COMPUTED_VALUE"""),"LLENADORA DE BOLSAS LINEA 5")</f>
        <v>LLENADORA DE BOLSAS LINEA 5</v>
      </c>
      <c r="D87" s="5">
        <f ca="1">IFERROR(__xludf.DUMMYFUNCTION("""COMPUTED_VALUE"""),13247715)</f>
        <v>13247715</v>
      </c>
      <c r="E87" s="5" t="str">
        <f ca="1">IFERROR(__xludf.DUMMYFUNCTION("""COMPUTED_VALUE"""),"INSPECCION SEMANAL BOLSAS LINEA 5")</f>
        <v>INSPECCION SEMANAL BOLSAS LINEA 5</v>
      </c>
      <c r="F87" s="5" t="str">
        <f ca="1">IFERROR(__xludf.DUMMYFUNCTION("""COMPUTED_VALUE"""),"ESTADO VALVULA LLENADO")</f>
        <v>ESTADO VALVULA LLENADO</v>
      </c>
      <c r="G87" s="5" t="b">
        <f ca="1">IFERROR(__xludf.DUMMYFUNCTION("""COMPUTED_VALUE"""),TRUE)</f>
        <v>1</v>
      </c>
      <c r="H87" s="5"/>
      <c r="I87" s="5"/>
      <c r="J87" s="5">
        <f ca="1">IFERROR(__xludf.DUMMYFUNCTION("""COMPUTED_VALUE"""),13247715)</f>
        <v>13247715</v>
      </c>
      <c r="K87" s="5"/>
      <c r="L87" s="18">
        <f ca="1">IFERROR(__xludf.DUMMYFUNCTION("""COMPUTED_VALUE"""),45324)</f>
        <v>45324</v>
      </c>
      <c r="M87" s="18">
        <f ca="1">IFERROR(__xludf.DUMMYFUNCTION("""COMPUTED_VALUE"""),45324)</f>
        <v>45324</v>
      </c>
      <c r="N87" s="5" t="str">
        <f ca="1">IFERROR(__xludf.DUMMYFUNCTION("""COMPUTED_VALUE"""),"ESTEBAN POTOSI ISAZA")</f>
        <v>ESTEBAN POTOSI ISAZA</v>
      </c>
      <c r="O87" s="2">
        <f ca="1">IFERROR(__xludf.DUMMYFUNCTION("""COMPUTED_VALUE"""),0.005263158)</f>
        <v>5.2631580000000004E-3</v>
      </c>
      <c r="P87" s="5">
        <f ca="1">IFERROR(__xludf.DUMMYFUNCTION("""COMPUTED_VALUE"""),20076884)</f>
        <v>20076884</v>
      </c>
      <c r="Q87" s="5" t="str">
        <f ca="1">IFERROR(__xludf.DUMMYFUNCTION("""COMPUTED_VALUE"""),"QdTKkT_zhtQ")</f>
        <v>QdTKkT_zhtQ</v>
      </c>
      <c r="R87" s="5">
        <f ca="1">IFERROR(__xludf.DUMMYFUNCTION("""COMPUTED_VALUE"""),410)</f>
        <v>410</v>
      </c>
      <c r="S87" s="62">
        <f ca="1">IFERROR(__xludf.DUMMYFUNCTION("""COMPUTED_VALUE"""),0.005263158)</f>
        <v>5.2631580000000004E-3</v>
      </c>
      <c r="T87" s="63" t="str">
        <f ca="1">IFERROR(__xludf.DUMMYFUNCTION("""COMPUTED_VALUE"""),"https://storage.googleapis.com/glide-prod.appspot.com/uploads-v2/ly7o78grxPaC6KdgvbpS/pub/3aRdSog0vUtuqPE8AJKD.png")</f>
        <v>https://storage.googleapis.com/glide-prod.appspot.com/uploads-v2/ly7o78grxPaC6KdgvbpS/pub/3aRdSog0vUtuqPE8AJKD.png</v>
      </c>
      <c r="U87" s="5" t="str">
        <f ca="1">IFERROR(__xludf.DUMMYFUNCTION("""COMPUTED_VALUE"""),"LINEA PARA EL LLENADO DE BOLSASLLENADORA DE BOLSAS LINEA 5")</f>
        <v>LINEA PARA EL LLENADO DE BOLSASLLENADORA DE BOLSAS LINEA 5</v>
      </c>
      <c r="V87" s="5"/>
      <c r="W87" s="5" t="b">
        <f ca="1">IFERROR(__xludf.DUMMYFUNCTION("""COMPUTED_VALUE"""),TRUE)</f>
        <v>1</v>
      </c>
      <c r="X87" s="5" t="str">
        <f ca="1">IFERROR(__xludf.DUMMYFUNCTION("""COMPUTED_VALUE"""),"achavezi@postobon.com.co,aprmttoyu@postobon.com.co,aprmyu@postobon.com.co,wmora@postobon.com.co,efzapata@postobon.com.co")</f>
        <v>achavezi@postobon.com.co,aprmttoyu@postobon.com.co,aprmyu@postobon.com.co,wmora@postobon.com.co,efzapata@postobon.com.co</v>
      </c>
      <c r="Y87" s="5" t="str">
        <f ca="1">IFERROR(__xludf.DUMMYFUNCTION("""COMPUTED_VALUE"""),"achavezi@postobon.com.co")</f>
        <v>achavezi@postobon.com.co</v>
      </c>
      <c r="Z87" s="5" t="str">
        <f ca="1">IFERROR(__xludf.DUMMYFUNCTION("""COMPUTED_VALUE"""),"DrA8JpBYRWG07xi7nY9sjQ")</f>
        <v>DrA8JpBYRWG07xi7nY9sjQ</v>
      </c>
      <c r="AA87" s="5"/>
      <c r="AB87" s="5"/>
      <c r="AC87" s="5"/>
      <c r="AD87" s="5">
        <f ca="1">IFERROR(__xludf.DUMMYFUNCTION("""COMPUTED_VALUE"""),70)</f>
        <v>70</v>
      </c>
      <c r="AE87" s="5">
        <f ca="1">IFERROR(__xludf.DUMMYFUNCTION("""COMPUTED_VALUE"""),70)</f>
        <v>70</v>
      </c>
      <c r="AF87" s="5" t="b">
        <f ca="1">IFERROR(__xludf.DUMMYFUNCTION("""COMPUTED_VALUE"""),FALSE)</f>
        <v>0</v>
      </c>
      <c r="AG87" s="5" t="str">
        <f ca="1">IFERROR(__xludf.DUMMYFUNCTION("""COMPUTED_VALUE"""),"INSPECCIONES REALIZADAS")</f>
        <v>INSPECCIONES REALIZADAS</v>
      </c>
      <c r="AH87" s="5"/>
    </row>
    <row r="88" spans="1:34">
      <c r="A88" s="5" t="str">
        <f ca="1">IFERROR(__xludf.DUMMYFUNCTION("""COMPUTED_VALUE"""),"LINEA PARA EL LLENADO DE BOLSAS")</f>
        <v>LINEA PARA EL LLENADO DE BOLSAS</v>
      </c>
      <c r="B88" s="5">
        <f ca="1">IFERROR(__xludf.DUMMYFUNCTION("""COMPUTED_VALUE"""),710199)</f>
        <v>710199</v>
      </c>
      <c r="C88" s="5" t="str">
        <f ca="1">IFERROR(__xludf.DUMMYFUNCTION("""COMPUTED_VALUE"""),"LLENADORA DE BOLSAS LINEA 5")</f>
        <v>LLENADORA DE BOLSAS LINEA 5</v>
      </c>
      <c r="D88" s="5">
        <f ca="1">IFERROR(__xludf.DUMMYFUNCTION("""COMPUTED_VALUE"""),13247715)</f>
        <v>13247715</v>
      </c>
      <c r="E88" s="5" t="str">
        <f ca="1">IFERROR(__xludf.DUMMYFUNCTION("""COMPUTED_VALUE"""),"INSPECCION SEMANAL BOLSAS LINEA 5")</f>
        <v>INSPECCION SEMANAL BOLSAS LINEA 5</v>
      </c>
      <c r="F88" s="5" t="str">
        <f ca="1">IFERROR(__xludf.DUMMYFUNCTION("""COMPUTED_VALUE"""),"FUNC SISTEMA ARRASTRE BOLSA")</f>
        <v>FUNC SISTEMA ARRASTRE BOLSA</v>
      </c>
      <c r="G88" s="5" t="b">
        <f ca="1">IFERROR(__xludf.DUMMYFUNCTION("""COMPUTED_VALUE"""),TRUE)</f>
        <v>1</v>
      </c>
      <c r="H88" s="5"/>
      <c r="I88" s="5"/>
      <c r="J88" s="5">
        <f ca="1">IFERROR(__xludf.DUMMYFUNCTION("""COMPUTED_VALUE"""),13247715)</f>
        <v>13247715</v>
      </c>
      <c r="K88" s="5"/>
      <c r="L88" s="18">
        <f ca="1">IFERROR(__xludf.DUMMYFUNCTION("""COMPUTED_VALUE"""),45324)</f>
        <v>45324</v>
      </c>
      <c r="M88" s="18">
        <f ca="1">IFERROR(__xludf.DUMMYFUNCTION("""COMPUTED_VALUE"""),45324)</f>
        <v>45324</v>
      </c>
      <c r="N88" s="5" t="str">
        <f ca="1">IFERROR(__xludf.DUMMYFUNCTION("""COMPUTED_VALUE"""),"ESTEBAN POTOSI ISAZA")</f>
        <v>ESTEBAN POTOSI ISAZA</v>
      </c>
      <c r="O88" s="2">
        <f ca="1">IFERROR(__xludf.DUMMYFUNCTION("""COMPUTED_VALUE"""),0.005263158)</f>
        <v>5.2631580000000004E-3</v>
      </c>
      <c r="P88" s="5">
        <f ca="1">IFERROR(__xludf.DUMMYFUNCTION("""COMPUTED_VALUE"""),20076884)</f>
        <v>20076884</v>
      </c>
      <c r="Q88" s="5" t="str">
        <f ca="1">IFERROR(__xludf.DUMMYFUNCTION("""COMPUTED_VALUE"""),"PlJYxzVqlvw")</f>
        <v>PlJYxzVqlvw</v>
      </c>
      <c r="R88" s="5">
        <f ca="1">IFERROR(__xludf.DUMMYFUNCTION("""COMPUTED_VALUE"""),410)</f>
        <v>410</v>
      </c>
      <c r="S88" s="62">
        <f ca="1">IFERROR(__xludf.DUMMYFUNCTION("""COMPUTED_VALUE"""),0.005263158)</f>
        <v>5.2631580000000004E-3</v>
      </c>
      <c r="T88" s="63" t="str">
        <f ca="1">IFERROR(__xludf.DUMMYFUNCTION("""COMPUTED_VALUE"""),"https://storage.googleapis.com/glide-prod.appspot.com/uploads-v2/ly7o78grxPaC6KdgvbpS/pub/3aRdSog0vUtuqPE8AJKD.png")</f>
        <v>https://storage.googleapis.com/glide-prod.appspot.com/uploads-v2/ly7o78grxPaC6KdgvbpS/pub/3aRdSog0vUtuqPE8AJKD.png</v>
      </c>
      <c r="U88" s="5" t="str">
        <f ca="1">IFERROR(__xludf.DUMMYFUNCTION("""COMPUTED_VALUE"""),"LINEA PARA EL LLENADO DE BOLSASLLENADORA DE BOLSAS LINEA 5")</f>
        <v>LINEA PARA EL LLENADO DE BOLSASLLENADORA DE BOLSAS LINEA 5</v>
      </c>
      <c r="V88" s="5"/>
      <c r="W88" s="5" t="b">
        <f ca="1">IFERROR(__xludf.DUMMYFUNCTION("""COMPUTED_VALUE"""),TRUE)</f>
        <v>1</v>
      </c>
      <c r="X88" s="5" t="str">
        <f ca="1">IFERROR(__xludf.DUMMYFUNCTION("""COMPUTED_VALUE"""),"achavezi@postobon.com.co,aprmttoyu@postobon.com.co,aprmyu@postobon.com.co,wmora@postobon.com.co,efzapata@postobon.com.co")</f>
        <v>achavezi@postobon.com.co,aprmttoyu@postobon.com.co,aprmyu@postobon.com.co,wmora@postobon.com.co,efzapata@postobon.com.co</v>
      </c>
      <c r="Y88" s="5" t="str">
        <f ca="1">IFERROR(__xludf.DUMMYFUNCTION("""COMPUTED_VALUE"""),"achavezi@postobon.com.co")</f>
        <v>achavezi@postobon.com.co</v>
      </c>
      <c r="Z88" s="5" t="str">
        <f ca="1">IFERROR(__xludf.DUMMYFUNCTION("""COMPUTED_VALUE"""),"b.OStpDSQAi4OXk8QY6VQg")</f>
        <v>b.OStpDSQAi4OXk8QY6VQg</v>
      </c>
      <c r="AA88" s="5"/>
      <c r="AB88" s="5"/>
      <c r="AC88" s="5"/>
      <c r="AD88" s="5">
        <f ca="1">IFERROR(__xludf.DUMMYFUNCTION("""COMPUTED_VALUE"""),70)</f>
        <v>70</v>
      </c>
      <c r="AE88" s="5">
        <f ca="1">IFERROR(__xludf.DUMMYFUNCTION("""COMPUTED_VALUE"""),70)</f>
        <v>70</v>
      </c>
      <c r="AF88" s="5" t="b">
        <f ca="1">IFERROR(__xludf.DUMMYFUNCTION("""COMPUTED_VALUE"""),FALSE)</f>
        <v>0</v>
      </c>
      <c r="AG88" s="5" t="str">
        <f ca="1">IFERROR(__xludf.DUMMYFUNCTION("""COMPUTED_VALUE"""),"INSPECCIONES REALIZADAS")</f>
        <v>INSPECCIONES REALIZADAS</v>
      </c>
      <c r="AH88" s="5"/>
    </row>
    <row r="89" spans="1:34">
      <c r="A89" s="5" t="str">
        <f ca="1">IFERROR(__xludf.DUMMYFUNCTION("""COMPUTED_VALUE"""),"LINEA PARA EL LLENADO DE BOLSAS")</f>
        <v>LINEA PARA EL LLENADO DE BOLSAS</v>
      </c>
      <c r="B89" s="5">
        <f ca="1">IFERROR(__xludf.DUMMYFUNCTION("""COMPUTED_VALUE"""),710199)</f>
        <v>710199</v>
      </c>
      <c r="C89" s="5" t="str">
        <f ca="1">IFERROR(__xludf.DUMMYFUNCTION("""COMPUTED_VALUE"""),"LLENADORA DE BOLSAS LINEA 5")</f>
        <v>LLENADORA DE BOLSAS LINEA 5</v>
      </c>
      <c r="D89" s="5">
        <f ca="1">IFERROR(__xludf.DUMMYFUNCTION("""COMPUTED_VALUE"""),13247715)</f>
        <v>13247715</v>
      </c>
      <c r="E89" s="5" t="str">
        <f ca="1">IFERROR(__xludf.DUMMYFUNCTION("""COMPUTED_VALUE"""),"INSPECCION SEMANAL BOLSAS LINEA 5")</f>
        <v>INSPECCION SEMANAL BOLSAS LINEA 5</v>
      </c>
      <c r="F89" s="5" t="str">
        <f ca="1">IFERROR(__xludf.DUMMYFUNCTION("""COMPUTED_VALUE"""),"ESTADO BANDA DE MOTOR ARRASTRE")</f>
        <v>ESTADO BANDA DE MOTOR ARRASTRE</v>
      </c>
      <c r="G89" s="5" t="b">
        <f ca="1">IFERROR(__xludf.DUMMYFUNCTION("""COMPUTED_VALUE"""),TRUE)</f>
        <v>1</v>
      </c>
      <c r="H89" s="5"/>
      <c r="I89" s="5"/>
      <c r="J89" s="5">
        <f ca="1">IFERROR(__xludf.DUMMYFUNCTION("""COMPUTED_VALUE"""),13247715)</f>
        <v>13247715</v>
      </c>
      <c r="K89" s="5"/>
      <c r="L89" s="18">
        <f ca="1">IFERROR(__xludf.DUMMYFUNCTION("""COMPUTED_VALUE"""),45324)</f>
        <v>45324</v>
      </c>
      <c r="M89" s="18">
        <f ca="1">IFERROR(__xludf.DUMMYFUNCTION("""COMPUTED_VALUE"""),45324)</f>
        <v>45324</v>
      </c>
      <c r="N89" s="5" t="str">
        <f ca="1">IFERROR(__xludf.DUMMYFUNCTION("""COMPUTED_VALUE"""),"ESTEBAN POTOSI ISAZA")</f>
        <v>ESTEBAN POTOSI ISAZA</v>
      </c>
      <c r="O89" s="2">
        <f ca="1">IFERROR(__xludf.DUMMYFUNCTION("""COMPUTED_VALUE"""),0.005263158)</f>
        <v>5.2631580000000004E-3</v>
      </c>
      <c r="P89" s="5">
        <f ca="1">IFERROR(__xludf.DUMMYFUNCTION("""COMPUTED_VALUE"""),20076884)</f>
        <v>20076884</v>
      </c>
      <c r="Q89" s="5" t="str">
        <f ca="1">IFERROR(__xludf.DUMMYFUNCTION("""COMPUTED_VALUE"""),"wbHguA2UTlo")</f>
        <v>wbHguA2UTlo</v>
      </c>
      <c r="R89" s="5">
        <f ca="1">IFERROR(__xludf.DUMMYFUNCTION("""COMPUTED_VALUE"""),410)</f>
        <v>410</v>
      </c>
      <c r="S89" s="62">
        <f ca="1">IFERROR(__xludf.DUMMYFUNCTION("""COMPUTED_VALUE"""),0.005263158)</f>
        <v>5.2631580000000004E-3</v>
      </c>
      <c r="T89" s="63" t="str">
        <f ca="1">IFERROR(__xludf.DUMMYFUNCTION("""COMPUTED_VALUE"""),"https://storage.googleapis.com/glide-prod.appspot.com/uploads-v2/ly7o78grxPaC6KdgvbpS/pub/3aRdSog0vUtuqPE8AJKD.png")</f>
        <v>https://storage.googleapis.com/glide-prod.appspot.com/uploads-v2/ly7o78grxPaC6KdgvbpS/pub/3aRdSog0vUtuqPE8AJKD.png</v>
      </c>
      <c r="U89" s="5" t="str">
        <f ca="1">IFERROR(__xludf.DUMMYFUNCTION("""COMPUTED_VALUE"""),"LINEA PARA EL LLENADO DE BOLSASLLENADORA DE BOLSAS LINEA 5")</f>
        <v>LINEA PARA EL LLENADO DE BOLSASLLENADORA DE BOLSAS LINEA 5</v>
      </c>
      <c r="V89" s="5"/>
      <c r="W89" s="5" t="b">
        <f ca="1">IFERROR(__xludf.DUMMYFUNCTION("""COMPUTED_VALUE"""),TRUE)</f>
        <v>1</v>
      </c>
      <c r="X89" s="5" t="str">
        <f ca="1">IFERROR(__xludf.DUMMYFUNCTION("""COMPUTED_VALUE"""),"achavezi@postobon.com.co,aprmttoyu@postobon.com.co,aprmyu@postobon.com.co,wmora@postobon.com.co,efzapata@postobon.com.co")</f>
        <v>achavezi@postobon.com.co,aprmttoyu@postobon.com.co,aprmyu@postobon.com.co,wmora@postobon.com.co,efzapata@postobon.com.co</v>
      </c>
      <c r="Y89" s="5" t="str">
        <f ca="1">IFERROR(__xludf.DUMMYFUNCTION("""COMPUTED_VALUE"""),"achavezi@postobon.com.co")</f>
        <v>achavezi@postobon.com.co</v>
      </c>
      <c r="Z89" s="5" t="str">
        <f ca="1">IFERROR(__xludf.DUMMYFUNCTION("""COMPUTED_VALUE"""),"5vvu2C3bSTWnKuyKmpe-1w")</f>
        <v>5vvu2C3bSTWnKuyKmpe-1w</v>
      </c>
      <c r="AA89" s="5"/>
      <c r="AB89" s="5"/>
      <c r="AC89" s="5"/>
      <c r="AD89" s="5">
        <f ca="1">IFERROR(__xludf.DUMMYFUNCTION("""COMPUTED_VALUE"""),70)</f>
        <v>70</v>
      </c>
      <c r="AE89" s="5">
        <f ca="1">IFERROR(__xludf.DUMMYFUNCTION("""COMPUTED_VALUE"""),70)</f>
        <v>70</v>
      </c>
      <c r="AF89" s="5" t="b">
        <f ca="1">IFERROR(__xludf.DUMMYFUNCTION("""COMPUTED_VALUE"""),FALSE)</f>
        <v>0</v>
      </c>
      <c r="AG89" s="5" t="str">
        <f ca="1">IFERROR(__xludf.DUMMYFUNCTION("""COMPUTED_VALUE"""),"INSPECCIONES REALIZADAS")</f>
        <v>INSPECCIONES REALIZADAS</v>
      </c>
      <c r="AH89" s="5"/>
    </row>
    <row r="90" spans="1:34">
      <c r="A90" s="5" t="str">
        <f ca="1">IFERROR(__xludf.DUMMYFUNCTION("""COMPUTED_VALUE"""),"LINEA PARA EL LLENADO DE BOLSAS")</f>
        <v>LINEA PARA EL LLENADO DE BOLSAS</v>
      </c>
      <c r="B90" s="5">
        <f ca="1">IFERROR(__xludf.DUMMYFUNCTION("""COMPUTED_VALUE"""),710199)</f>
        <v>710199</v>
      </c>
      <c r="C90" s="5" t="str">
        <f ca="1">IFERROR(__xludf.DUMMYFUNCTION("""COMPUTED_VALUE"""),"LLENADORA DE BOLSAS LINEA 5")</f>
        <v>LLENADORA DE BOLSAS LINEA 5</v>
      </c>
      <c r="D90" s="5">
        <f ca="1">IFERROR(__xludf.DUMMYFUNCTION("""COMPUTED_VALUE"""),13247715)</f>
        <v>13247715</v>
      </c>
      <c r="E90" s="5" t="str">
        <f ca="1">IFERROR(__xludf.DUMMYFUNCTION("""COMPUTED_VALUE"""),"INSPECCION SEMANAL BOLSAS LINEA 5")</f>
        <v>INSPECCION SEMANAL BOLSAS LINEA 5</v>
      </c>
      <c r="F90" s="5" t="str">
        <f ca="1">IFERROR(__xludf.DUMMYFUNCTION("""COMPUTED_VALUE"""),"FUNC MOTORES ARRASTRE BOLSA")</f>
        <v>FUNC MOTORES ARRASTRE BOLSA</v>
      </c>
      <c r="G90" s="5" t="b">
        <f ca="1">IFERROR(__xludf.DUMMYFUNCTION("""COMPUTED_VALUE"""),TRUE)</f>
        <v>1</v>
      </c>
      <c r="H90" s="5"/>
      <c r="I90" s="5"/>
      <c r="J90" s="5">
        <f ca="1">IFERROR(__xludf.DUMMYFUNCTION("""COMPUTED_VALUE"""),13247715)</f>
        <v>13247715</v>
      </c>
      <c r="K90" s="5"/>
      <c r="L90" s="18">
        <f ca="1">IFERROR(__xludf.DUMMYFUNCTION("""COMPUTED_VALUE"""),45324)</f>
        <v>45324</v>
      </c>
      <c r="M90" s="18">
        <f ca="1">IFERROR(__xludf.DUMMYFUNCTION("""COMPUTED_VALUE"""),45324)</f>
        <v>45324</v>
      </c>
      <c r="N90" s="5" t="str">
        <f ca="1">IFERROR(__xludf.DUMMYFUNCTION("""COMPUTED_VALUE"""),"ESTEBAN POTOSI ISAZA")</f>
        <v>ESTEBAN POTOSI ISAZA</v>
      </c>
      <c r="O90" s="2">
        <f ca="1">IFERROR(__xludf.DUMMYFUNCTION("""COMPUTED_VALUE"""),0.005263158)</f>
        <v>5.2631580000000004E-3</v>
      </c>
      <c r="P90" s="5">
        <f ca="1">IFERROR(__xludf.DUMMYFUNCTION("""COMPUTED_VALUE"""),20076884)</f>
        <v>20076884</v>
      </c>
      <c r="Q90" s="5" t="str">
        <f ca="1">IFERROR(__xludf.DUMMYFUNCTION("""COMPUTED_VALUE"""),"-XzIySZFSdQ")</f>
        <v>-XzIySZFSdQ</v>
      </c>
      <c r="R90" s="5">
        <f ca="1">IFERROR(__xludf.DUMMYFUNCTION("""COMPUTED_VALUE"""),410)</f>
        <v>410</v>
      </c>
      <c r="S90" s="62">
        <f ca="1">IFERROR(__xludf.DUMMYFUNCTION("""COMPUTED_VALUE"""),0.005263158)</f>
        <v>5.2631580000000004E-3</v>
      </c>
      <c r="T90" s="63" t="str">
        <f ca="1">IFERROR(__xludf.DUMMYFUNCTION("""COMPUTED_VALUE"""),"https://storage.googleapis.com/glide-prod.appspot.com/uploads-v2/ly7o78grxPaC6KdgvbpS/pub/3aRdSog0vUtuqPE8AJKD.png")</f>
        <v>https://storage.googleapis.com/glide-prod.appspot.com/uploads-v2/ly7o78grxPaC6KdgvbpS/pub/3aRdSog0vUtuqPE8AJKD.png</v>
      </c>
      <c r="U90" s="5" t="str">
        <f ca="1">IFERROR(__xludf.DUMMYFUNCTION("""COMPUTED_VALUE"""),"LINEA PARA EL LLENADO DE BOLSASLLENADORA DE BOLSAS LINEA 5")</f>
        <v>LINEA PARA EL LLENADO DE BOLSASLLENADORA DE BOLSAS LINEA 5</v>
      </c>
      <c r="V90" s="5"/>
      <c r="W90" s="5" t="b">
        <f ca="1">IFERROR(__xludf.DUMMYFUNCTION("""COMPUTED_VALUE"""),TRUE)</f>
        <v>1</v>
      </c>
      <c r="X90" s="5" t="str">
        <f ca="1">IFERROR(__xludf.DUMMYFUNCTION("""COMPUTED_VALUE"""),"achavezi@postobon.com.co,aprmttoyu@postobon.com.co,aprmyu@postobon.com.co,wmora@postobon.com.co,efzapata@postobon.com.co")</f>
        <v>achavezi@postobon.com.co,aprmttoyu@postobon.com.co,aprmyu@postobon.com.co,wmora@postobon.com.co,efzapata@postobon.com.co</v>
      </c>
      <c r="Y90" s="5" t="str">
        <f ca="1">IFERROR(__xludf.DUMMYFUNCTION("""COMPUTED_VALUE"""),"achavezi@postobon.com.co")</f>
        <v>achavezi@postobon.com.co</v>
      </c>
      <c r="Z90" s="5" t="str">
        <f ca="1">IFERROR(__xludf.DUMMYFUNCTION("""COMPUTED_VALUE"""),"zZzvkssOTjK2INvFMaQi5A")</f>
        <v>zZzvkssOTjK2INvFMaQi5A</v>
      </c>
      <c r="AA90" s="5"/>
      <c r="AB90" s="5"/>
      <c r="AC90" s="5"/>
      <c r="AD90" s="5">
        <f ca="1">IFERROR(__xludf.DUMMYFUNCTION("""COMPUTED_VALUE"""),70)</f>
        <v>70</v>
      </c>
      <c r="AE90" s="5">
        <f ca="1">IFERROR(__xludf.DUMMYFUNCTION("""COMPUTED_VALUE"""),70)</f>
        <v>70</v>
      </c>
      <c r="AF90" s="5" t="b">
        <f ca="1">IFERROR(__xludf.DUMMYFUNCTION("""COMPUTED_VALUE"""),FALSE)</f>
        <v>0</v>
      </c>
      <c r="AG90" s="5" t="str">
        <f ca="1">IFERROR(__xludf.DUMMYFUNCTION("""COMPUTED_VALUE"""),"INSPECCIONES REALIZADAS")</f>
        <v>INSPECCIONES REALIZADAS</v>
      </c>
      <c r="AH90" s="5"/>
    </row>
    <row r="91" spans="1:34">
      <c r="A91" s="5" t="str">
        <f ca="1">IFERROR(__xludf.DUMMYFUNCTION("""COMPUTED_VALUE"""),"LINEA PARA EL LLENADO DE BOLSAS")</f>
        <v>LINEA PARA EL LLENADO DE BOLSAS</v>
      </c>
      <c r="B91" s="5">
        <f ca="1">IFERROR(__xludf.DUMMYFUNCTION("""COMPUTED_VALUE"""),710199)</f>
        <v>710199</v>
      </c>
      <c r="C91" s="5" t="str">
        <f ca="1">IFERROR(__xludf.DUMMYFUNCTION("""COMPUTED_VALUE"""),"LLENADORA DE BOLSAS LINEA 5")</f>
        <v>LLENADORA DE BOLSAS LINEA 5</v>
      </c>
      <c r="D91" s="5">
        <f ca="1">IFERROR(__xludf.DUMMYFUNCTION("""COMPUTED_VALUE"""),13247715)</f>
        <v>13247715</v>
      </c>
      <c r="E91" s="5" t="str">
        <f ca="1">IFERROR(__xludf.DUMMYFUNCTION("""COMPUTED_VALUE"""),"INSPECCION SEMANAL BOLSAS LINEA 5")</f>
        <v>INSPECCION SEMANAL BOLSAS LINEA 5</v>
      </c>
      <c r="F91" s="5" t="str">
        <f ca="1">IFERROR(__xludf.DUMMYFUNCTION("""COMPUTED_VALUE"""),"FUNC MOTORES SELLADO BOLSA")</f>
        <v>FUNC MOTORES SELLADO BOLSA</v>
      </c>
      <c r="G91" s="5" t="b">
        <f ca="1">IFERROR(__xludf.DUMMYFUNCTION("""COMPUTED_VALUE"""),TRUE)</f>
        <v>1</v>
      </c>
      <c r="H91" s="5"/>
      <c r="I91" s="5"/>
      <c r="J91" s="5">
        <f ca="1">IFERROR(__xludf.DUMMYFUNCTION("""COMPUTED_VALUE"""),13247715)</f>
        <v>13247715</v>
      </c>
      <c r="K91" s="5"/>
      <c r="L91" s="18">
        <f ca="1">IFERROR(__xludf.DUMMYFUNCTION("""COMPUTED_VALUE"""),45324)</f>
        <v>45324</v>
      </c>
      <c r="M91" s="18">
        <f ca="1">IFERROR(__xludf.DUMMYFUNCTION("""COMPUTED_VALUE"""),45324)</f>
        <v>45324</v>
      </c>
      <c r="N91" s="5" t="str">
        <f ca="1">IFERROR(__xludf.DUMMYFUNCTION("""COMPUTED_VALUE"""),"ESTEBAN POTOSI ISAZA")</f>
        <v>ESTEBAN POTOSI ISAZA</v>
      </c>
      <c r="O91" s="2">
        <f ca="1">IFERROR(__xludf.DUMMYFUNCTION("""COMPUTED_VALUE"""),0.005263158)</f>
        <v>5.2631580000000004E-3</v>
      </c>
      <c r="P91" s="5">
        <f ca="1">IFERROR(__xludf.DUMMYFUNCTION("""COMPUTED_VALUE"""),20076884)</f>
        <v>20076884</v>
      </c>
      <c r="Q91" s="5" t="str">
        <f ca="1">IFERROR(__xludf.DUMMYFUNCTION("""COMPUTED_VALUE"""),"OEIh7AlF7a4")</f>
        <v>OEIh7AlF7a4</v>
      </c>
      <c r="R91" s="5">
        <f ca="1">IFERROR(__xludf.DUMMYFUNCTION("""COMPUTED_VALUE"""),410)</f>
        <v>410</v>
      </c>
      <c r="S91" s="62">
        <f ca="1">IFERROR(__xludf.DUMMYFUNCTION("""COMPUTED_VALUE"""),0.005263158)</f>
        <v>5.2631580000000004E-3</v>
      </c>
      <c r="T91" s="63" t="str">
        <f ca="1">IFERROR(__xludf.DUMMYFUNCTION("""COMPUTED_VALUE"""),"https://storage.googleapis.com/glide-prod.appspot.com/uploads-v2/ly7o78grxPaC6KdgvbpS/pub/3aRdSog0vUtuqPE8AJKD.png")</f>
        <v>https://storage.googleapis.com/glide-prod.appspot.com/uploads-v2/ly7o78grxPaC6KdgvbpS/pub/3aRdSog0vUtuqPE8AJKD.png</v>
      </c>
      <c r="U91" s="5" t="str">
        <f ca="1">IFERROR(__xludf.DUMMYFUNCTION("""COMPUTED_VALUE"""),"LINEA PARA EL LLENADO DE BOLSASLLENADORA DE BOLSAS LINEA 5")</f>
        <v>LINEA PARA EL LLENADO DE BOLSASLLENADORA DE BOLSAS LINEA 5</v>
      </c>
      <c r="V91" s="5"/>
      <c r="W91" s="5" t="b">
        <f ca="1">IFERROR(__xludf.DUMMYFUNCTION("""COMPUTED_VALUE"""),TRUE)</f>
        <v>1</v>
      </c>
      <c r="X91" s="5" t="str">
        <f ca="1">IFERROR(__xludf.DUMMYFUNCTION("""COMPUTED_VALUE"""),"achavezi@postobon.com.co,aprmttoyu@postobon.com.co,aprmyu@postobon.com.co,wmora@postobon.com.co,efzapata@postobon.com.co")</f>
        <v>achavezi@postobon.com.co,aprmttoyu@postobon.com.co,aprmyu@postobon.com.co,wmora@postobon.com.co,efzapata@postobon.com.co</v>
      </c>
      <c r="Y91" s="5" t="str">
        <f ca="1">IFERROR(__xludf.DUMMYFUNCTION("""COMPUTED_VALUE"""),"achavezi@postobon.com.co")</f>
        <v>achavezi@postobon.com.co</v>
      </c>
      <c r="Z91" s="5" t="str">
        <f ca="1">IFERROR(__xludf.DUMMYFUNCTION("""COMPUTED_VALUE"""),"Nl0tSS0IS1ua06QLLb8M3w")</f>
        <v>Nl0tSS0IS1ua06QLLb8M3w</v>
      </c>
      <c r="AA91" s="5"/>
      <c r="AB91" s="5"/>
      <c r="AC91" s="5"/>
      <c r="AD91" s="5">
        <f ca="1">IFERROR(__xludf.DUMMYFUNCTION("""COMPUTED_VALUE"""),70)</f>
        <v>70</v>
      </c>
      <c r="AE91" s="5">
        <f ca="1">IFERROR(__xludf.DUMMYFUNCTION("""COMPUTED_VALUE"""),70)</f>
        <v>70</v>
      </c>
      <c r="AF91" s="5" t="b">
        <f ca="1">IFERROR(__xludf.DUMMYFUNCTION("""COMPUTED_VALUE"""),FALSE)</f>
        <v>0</v>
      </c>
      <c r="AG91" s="5" t="str">
        <f ca="1">IFERROR(__xludf.DUMMYFUNCTION("""COMPUTED_VALUE"""),"INSPECCIONES REALIZADAS")</f>
        <v>INSPECCIONES REALIZADAS</v>
      </c>
      <c r="AH91" s="5"/>
    </row>
    <row r="92" spans="1:34">
      <c r="A92" s="5" t="str">
        <f ca="1">IFERROR(__xludf.DUMMYFUNCTION("""COMPUTED_VALUE"""),"LINEA PARA EL LLENADO DE BOLSAS")</f>
        <v>LINEA PARA EL LLENADO DE BOLSAS</v>
      </c>
      <c r="B92" s="5">
        <f ca="1">IFERROR(__xludf.DUMMYFUNCTION("""COMPUTED_VALUE"""),710199)</f>
        <v>710199</v>
      </c>
      <c r="C92" s="5" t="str">
        <f ca="1">IFERROR(__xludf.DUMMYFUNCTION("""COMPUTED_VALUE"""),"LLENADORA DE BOLSAS LINEA 5")</f>
        <v>LLENADORA DE BOLSAS LINEA 5</v>
      </c>
      <c r="D92" s="5">
        <f ca="1">IFERROR(__xludf.DUMMYFUNCTION("""COMPUTED_VALUE"""),13247715)</f>
        <v>13247715</v>
      </c>
      <c r="E92" s="5" t="str">
        <f ca="1">IFERROR(__xludf.DUMMYFUNCTION("""COMPUTED_VALUE"""),"INSPECCION SEMANAL BOLSAS LINEA 5")</f>
        <v>INSPECCION SEMANAL BOLSAS LINEA 5</v>
      </c>
      <c r="F92" s="5" t="str">
        <f ca="1">IFERROR(__xludf.DUMMYFUNCTION("""COMPUTED_VALUE"""),"ESTADO LEVA-RODILLO SELLADO-CORTE")</f>
        <v>ESTADO LEVA-RODILLO SELLADO-CORTE</v>
      </c>
      <c r="G92" s="5" t="b">
        <f ca="1">IFERROR(__xludf.DUMMYFUNCTION("""COMPUTED_VALUE"""),TRUE)</f>
        <v>1</v>
      </c>
      <c r="H92" s="5"/>
      <c r="I92" s="5"/>
      <c r="J92" s="5">
        <f ca="1">IFERROR(__xludf.DUMMYFUNCTION("""COMPUTED_VALUE"""),13247715)</f>
        <v>13247715</v>
      </c>
      <c r="K92" s="5"/>
      <c r="L92" s="18">
        <f ca="1">IFERROR(__xludf.DUMMYFUNCTION("""COMPUTED_VALUE"""),45324)</f>
        <v>45324</v>
      </c>
      <c r="M92" s="18">
        <f ca="1">IFERROR(__xludf.DUMMYFUNCTION("""COMPUTED_VALUE"""),45324)</f>
        <v>45324</v>
      </c>
      <c r="N92" s="5" t="str">
        <f ca="1">IFERROR(__xludf.DUMMYFUNCTION("""COMPUTED_VALUE"""),"ESTEBAN POTOSI ISAZA")</f>
        <v>ESTEBAN POTOSI ISAZA</v>
      </c>
      <c r="O92" s="2">
        <f ca="1">IFERROR(__xludf.DUMMYFUNCTION("""COMPUTED_VALUE"""),0.005263158)</f>
        <v>5.2631580000000004E-3</v>
      </c>
      <c r="P92" s="5">
        <f ca="1">IFERROR(__xludf.DUMMYFUNCTION("""COMPUTED_VALUE"""),20076884)</f>
        <v>20076884</v>
      </c>
      <c r="Q92" s="5" t="str">
        <f ca="1">IFERROR(__xludf.DUMMYFUNCTION("""COMPUTED_VALUE"""),"xmmF6M1Iw4Y")</f>
        <v>xmmF6M1Iw4Y</v>
      </c>
      <c r="R92" s="5">
        <f ca="1">IFERROR(__xludf.DUMMYFUNCTION("""COMPUTED_VALUE"""),410)</f>
        <v>410</v>
      </c>
      <c r="S92" s="62">
        <f ca="1">IFERROR(__xludf.DUMMYFUNCTION("""COMPUTED_VALUE"""),0.005263158)</f>
        <v>5.2631580000000004E-3</v>
      </c>
      <c r="T92" s="63" t="str">
        <f ca="1">IFERROR(__xludf.DUMMYFUNCTION("""COMPUTED_VALUE"""),"https://storage.googleapis.com/glide-prod.appspot.com/uploads-v2/ly7o78grxPaC6KdgvbpS/pub/3aRdSog0vUtuqPE8AJKD.png")</f>
        <v>https://storage.googleapis.com/glide-prod.appspot.com/uploads-v2/ly7o78grxPaC6KdgvbpS/pub/3aRdSog0vUtuqPE8AJKD.png</v>
      </c>
      <c r="U92" s="5" t="str">
        <f ca="1">IFERROR(__xludf.DUMMYFUNCTION("""COMPUTED_VALUE"""),"LINEA PARA EL LLENADO DE BOLSASLLENADORA DE BOLSAS LINEA 5")</f>
        <v>LINEA PARA EL LLENADO DE BOLSASLLENADORA DE BOLSAS LINEA 5</v>
      </c>
      <c r="V92" s="5"/>
      <c r="W92" s="5" t="b">
        <f ca="1">IFERROR(__xludf.DUMMYFUNCTION("""COMPUTED_VALUE"""),TRUE)</f>
        <v>1</v>
      </c>
      <c r="X92" s="5" t="str">
        <f ca="1">IFERROR(__xludf.DUMMYFUNCTION("""COMPUTED_VALUE"""),"achavezi@postobon.com.co,aprmttoyu@postobon.com.co,aprmyu@postobon.com.co,wmora@postobon.com.co,efzapata@postobon.com.co")</f>
        <v>achavezi@postobon.com.co,aprmttoyu@postobon.com.co,aprmyu@postobon.com.co,wmora@postobon.com.co,efzapata@postobon.com.co</v>
      </c>
      <c r="Y92" s="5" t="str">
        <f ca="1">IFERROR(__xludf.DUMMYFUNCTION("""COMPUTED_VALUE"""),"achavezi@postobon.com.co")</f>
        <v>achavezi@postobon.com.co</v>
      </c>
      <c r="Z92" s="5" t="str">
        <f ca="1">IFERROR(__xludf.DUMMYFUNCTION("""COMPUTED_VALUE"""),"ReLU-TtoR8mtFNRgMOmLRQ")</f>
        <v>ReLU-TtoR8mtFNRgMOmLRQ</v>
      </c>
      <c r="AA92" s="5"/>
      <c r="AB92" s="5"/>
      <c r="AC92" s="5"/>
      <c r="AD92" s="5">
        <f ca="1">IFERROR(__xludf.DUMMYFUNCTION("""COMPUTED_VALUE"""),70)</f>
        <v>70</v>
      </c>
      <c r="AE92" s="5">
        <f ca="1">IFERROR(__xludf.DUMMYFUNCTION("""COMPUTED_VALUE"""),70)</f>
        <v>70</v>
      </c>
      <c r="AF92" s="5" t="b">
        <f ca="1">IFERROR(__xludf.DUMMYFUNCTION("""COMPUTED_VALUE"""),FALSE)</f>
        <v>0</v>
      </c>
      <c r="AG92" s="5" t="str">
        <f ca="1">IFERROR(__xludf.DUMMYFUNCTION("""COMPUTED_VALUE"""),"INSPECCIONES REALIZADAS")</f>
        <v>INSPECCIONES REALIZADAS</v>
      </c>
      <c r="AH92" s="5"/>
    </row>
    <row r="93" spans="1:34">
      <c r="A93" s="5" t="str">
        <f ca="1">IFERROR(__xludf.DUMMYFUNCTION("""COMPUTED_VALUE"""),"LINEA PARA EL LLENADO DE BOLSAS")</f>
        <v>LINEA PARA EL LLENADO DE BOLSAS</v>
      </c>
      <c r="B93" s="5">
        <f ca="1">IFERROR(__xludf.DUMMYFUNCTION("""COMPUTED_VALUE"""),710199)</f>
        <v>710199</v>
      </c>
      <c r="C93" s="5" t="str">
        <f ca="1">IFERROR(__xludf.DUMMYFUNCTION("""COMPUTED_VALUE"""),"LLENADORA DE BOLSAS LINEA 5")</f>
        <v>LLENADORA DE BOLSAS LINEA 5</v>
      </c>
      <c r="D93" s="5">
        <f ca="1">IFERROR(__xludf.DUMMYFUNCTION("""COMPUTED_VALUE"""),13247715)</f>
        <v>13247715</v>
      </c>
      <c r="E93" s="5" t="str">
        <f ca="1">IFERROR(__xludf.DUMMYFUNCTION("""COMPUTED_VALUE"""),"INSPECCION SEMANAL BOLSAS LINEA 5")</f>
        <v>INSPECCION SEMANAL BOLSAS LINEA 5</v>
      </c>
      <c r="F93" s="5" t="str">
        <f ca="1">IFERROR(__xludf.DUMMYFUNCTION("""COMPUTED_VALUE"""),"ESTADO TABLERO ELECTRICO")</f>
        <v>ESTADO TABLERO ELECTRICO</v>
      </c>
      <c r="G93" s="5" t="b">
        <f ca="1">IFERROR(__xludf.DUMMYFUNCTION("""COMPUTED_VALUE"""),TRUE)</f>
        <v>1</v>
      </c>
      <c r="H93" s="5"/>
      <c r="I93" s="5"/>
      <c r="J93" s="5">
        <f ca="1">IFERROR(__xludf.DUMMYFUNCTION("""COMPUTED_VALUE"""),13247715)</f>
        <v>13247715</v>
      </c>
      <c r="K93" s="5"/>
      <c r="L93" s="18">
        <f ca="1">IFERROR(__xludf.DUMMYFUNCTION("""COMPUTED_VALUE"""),45324)</f>
        <v>45324</v>
      </c>
      <c r="M93" s="18">
        <f ca="1">IFERROR(__xludf.DUMMYFUNCTION("""COMPUTED_VALUE"""),45324)</f>
        <v>45324</v>
      </c>
      <c r="N93" s="5" t="str">
        <f ca="1">IFERROR(__xludf.DUMMYFUNCTION("""COMPUTED_VALUE"""),"ESTEBAN POTOSI ISAZA")</f>
        <v>ESTEBAN POTOSI ISAZA</v>
      </c>
      <c r="O93" s="2">
        <f ca="1">IFERROR(__xludf.DUMMYFUNCTION("""COMPUTED_VALUE"""),0.005263158)</f>
        <v>5.2631580000000004E-3</v>
      </c>
      <c r="P93" s="5">
        <f ca="1">IFERROR(__xludf.DUMMYFUNCTION("""COMPUTED_VALUE"""),20076884)</f>
        <v>20076884</v>
      </c>
      <c r="Q93" s="5" t="str">
        <f ca="1">IFERROR(__xludf.DUMMYFUNCTION("""COMPUTED_VALUE"""),"TpGno0clrAs")</f>
        <v>TpGno0clrAs</v>
      </c>
      <c r="R93" s="5">
        <f ca="1">IFERROR(__xludf.DUMMYFUNCTION("""COMPUTED_VALUE"""),410)</f>
        <v>410</v>
      </c>
      <c r="S93" s="62">
        <f ca="1">IFERROR(__xludf.DUMMYFUNCTION("""COMPUTED_VALUE"""),0.005263158)</f>
        <v>5.2631580000000004E-3</v>
      </c>
      <c r="T93" s="63" t="str">
        <f ca="1">IFERROR(__xludf.DUMMYFUNCTION("""COMPUTED_VALUE"""),"https://storage.googleapis.com/glide-prod.appspot.com/uploads-v2/ly7o78grxPaC6KdgvbpS/pub/3aRdSog0vUtuqPE8AJKD.png")</f>
        <v>https://storage.googleapis.com/glide-prod.appspot.com/uploads-v2/ly7o78grxPaC6KdgvbpS/pub/3aRdSog0vUtuqPE8AJKD.png</v>
      </c>
      <c r="U93" s="5" t="str">
        <f ca="1">IFERROR(__xludf.DUMMYFUNCTION("""COMPUTED_VALUE"""),"LINEA PARA EL LLENADO DE BOLSASLLENADORA DE BOLSAS LINEA 5")</f>
        <v>LINEA PARA EL LLENADO DE BOLSASLLENADORA DE BOLSAS LINEA 5</v>
      </c>
      <c r="V93" s="5"/>
      <c r="W93" s="5" t="b">
        <f ca="1">IFERROR(__xludf.DUMMYFUNCTION("""COMPUTED_VALUE"""),TRUE)</f>
        <v>1</v>
      </c>
      <c r="X93" s="5" t="str">
        <f ca="1">IFERROR(__xludf.DUMMYFUNCTION("""COMPUTED_VALUE"""),"achavezi@postobon.com.co,aprmttoyu@postobon.com.co,aprmyu@postobon.com.co,wmora@postobon.com.co,efzapata@postobon.com.co")</f>
        <v>achavezi@postobon.com.co,aprmttoyu@postobon.com.co,aprmyu@postobon.com.co,wmora@postobon.com.co,efzapata@postobon.com.co</v>
      </c>
      <c r="Y93" s="5" t="str">
        <f ca="1">IFERROR(__xludf.DUMMYFUNCTION("""COMPUTED_VALUE"""),"achavezi@postobon.com.co")</f>
        <v>achavezi@postobon.com.co</v>
      </c>
      <c r="Z93" s="5" t="str">
        <f ca="1">IFERROR(__xludf.DUMMYFUNCTION("""COMPUTED_VALUE"""),"7u1r40MFS6ef0PmXOUV5xw")</f>
        <v>7u1r40MFS6ef0PmXOUV5xw</v>
      </c>
      <c r="AA93" s="5"/>
      <c r="AB93" s="5"/>
      <c r="AC93" s="5"/>
      <c r="AD93" s="5">
        <f ca="1">IFERROR(__xludf.DUMMYFUNCTION("""COMPUTED_VALUE"""),70)</f>
        <v>70</v>
      </c>
      <c r="AE93" s="5">
        <f ca="1">IFERROR(__xludf.DUMMYFUNCTION("""COMPUTED_VALUE"""),70)</f>
        <v>70</v>
      </c>
      <c r="AF93" s="5" t="b">
        <f ca="1">IFERROR(__xludf.DUMMYFUNCTION("""COMPUTED_VALUE"""),FALSE)</f>
        <v>0</v>
      </c>
      <c r="AG93" s="5" t="str">
        <f ca="1">IFERROR(__xludf.DUMMYFUNCTION("""COMPUTED_VALUE"""),"INSPECCIONES REALIZADAS")</f>
        <v>INSPECCIONES REALIZADAS</v>
      </c>
      <c r="AH93" s="5"/>
    </row>
    <row r="94" spans="1:34">
      <c r="A94" s="5" t="str">
        <f ca="1">IFERROR(__xludf.DUMMYFUNCTION("""COMPUTED_VALUE"""),"LINEA PARA EL LLENADO DE BOLSAS")</f>
        <v>LINEA PARA EL LLENADO DE BOLSAS</v>
      </c>
      <c r="B94" s="5">
        <f ca="1">IFERROR(__xludf.DUMMYFUNCTION("""COMPUTED_VALUE"""),710199)</f>
        <v>710199</v>
      </c>
      <c r="C94" s="5" t="str">
        <f ca="1">IFERROR(__xludf.DUMMYFUNCTION("""COMPUTED_VALUE"""),"LLENADORA DE BOLSAS LINEA 5")</f>
        <v>LLENADORA DE BOLSAS LINEA 5</v>
      </c>
      <c r="D94" s="5">
        <f ca="1">IFERROR(__xludf.DUMMYFUNCTION("""COMPUTED_VALUE"""),13247715)</f>
        <v>13247715</v>
      </c>
      <c r="E94" s="5" t="str">
        <f ca="1">IFERROR(__xludf.DUMMYFUNCTION("""COMPUTED_VALUE"""),"INSPECCION SEMANAL BOLSAS LINEA 5")</f>
        <v>INSPECCION SEMANAL BOLSAS LINEA 5</v>
      </c>
      <c r="F94" s="5" t="str">
        <f ca="1">IFERROR(__xludf.DUMMYFUNCTION("""COMPUTED_VALUE"""),"INSP CABEZAL DE IMPRESIÓN/RODILLOS LOCOS")</f>
        <v>INSP CABEZAL DE IMPRESIÓN/RODILLOS LOCOS</v>
      </c>
      <c r="G94" s="5" t="b">
        <f ca="1">IFERROR(__xludf.DUMMYFUNCTION("""COMPUTED_VALUE"""),TRUE)</f>
        <v>1</v>
      </c>
      <c r="H94" s="5"/>
      <c r="I94" s="5"/>
      <c r="J94" s="5">
        <f ca="1">IFERROR(__xludf.DUMMYFUNCTION("""COMPUTED_VALUE"""),13247715)</f>
        <v>13247715</v>
      </c>
      <c r="K94" s="5"/>
      <c r="L94" s="18">
        <f ca="1">IFERROR(__xludf.DUMMYFUNCTION("""COMPUTED_VALUE"""),45324)</f>
        <v>45324</v>
      </c>
      <c r="M94" s="18">
        <f ca="1">IFERROR(__xludf.DUMMYFUNCTION("""COMPUTED_VALUE"""),45324)</f>
        <v>45324</v>
      </c>
      <c r="N94" s="5" t="str">
        <f ca="1">IFERROR(__xludf.DUMMYFUNCTION("""COMPUTED_VALUE"""),"ESTEBAN POTOSI ISAZA")</f>
        <v>ESTEBAN POTOSI ISAZA</v>
      </c>
      <c r="O94" s="2">
        <f ca="1">IFERROR(__xludf.DUMMYFUNCTION("""COMPUTED_VALUE"""),0.005263158)</f>
        <v>5.2631580000000004E-3</v>
      </c>
      <c r="P94" s="5">
        <f ca="1">IFERROR(__xludf.DUMMYFUNCTION("""COMPUTED_VALUE"""),20076884)</f>
        <v>20076884</v>
      </c>
      <c r="Q94" s="5" t="str">
        <f ca="1">IFERROR(__xludf.DUMMYFUNCTION("""COMPUTED_VALUE"""),"kCUrMyxRsbQ")</f>
        <v>kCUrMyxRsbQ</v>
      </c>
      <c r="R94" s="5">
        <f ca="1">IFERROR(__xludf.DUMMYFUNCTION("""COMPUTED_VALUE"""),410)</f>
        <v>410</v>
      </c>
      <c r="S94" s="62">
        <f ca="1">IFERROR(__xludf.DUMMYFUNCTION("""COMPUTED_VALUE"""),0.005263158)</f>
        <v>5.2631580000000004E-3</v>
      </c>
      <c r="T94" s="63" t="str">
        <f ca="1">IFERROR(__xludf.DUMMYFUNCTION("""COMPUTED_VALUE"""),"https://storage.googleapis.com/glide-prod.appspot.com/uploads-v2/ly7o78grxPaC6KdgvbpS/pub/3aRdSog0vUtuqPE8AJKD.png")</f>
        <v>https://storage.googleapis.com/glide-prod.appspot.com/uploads-v2/ly7o78grxPaC6KdgvbpS/pub/3aRdSog0vUtuqPE8AJKD.png</v>
      </c>
      <c r="U94" s="5" t="str">
        <f ca="1">IFERROR(__xludf.DUMMYFUNCTION("""COMPUTED_VALUE"""),"LINEA PARA EL LLENADO DE BOLSASLLENADORA DE BOLSAS LINEA 5")</f>
        <v>LINEA PARA EL LLENADO DE BOLSASLLENADORA DE BOLSAS LINEA 5</v>
      </c>
      <c r="V94" s="5"/>
      <c r="W94" s="5" t="b">
        <f ca="1">IFERROR(__xludf.DUMMYFUNCTION("""COMPUTED_VALUE"""),TRUE)</f>
        <v>1</v>
      </c>
      <c r="X94" s="5" t="str">
        <f ca="1">IFERROR(__xludf.DUMMYFUNCTION("""COMPUTED_VALUE"""),"achavezi@postobon.com.co,aprmttoyu@postobon.com.co,aprmyu@postobon.com.co,wmora@postobon.com.co,efzapata@postobon.com.co")</f>
        <v>achavezi@postobon.com.co,aprmttoyu@postobon.com.co,aprmyu@postobon.com.co,wmora@postobon.com.co,efzapata@postobon.com.co</v>
      </c>
      <c r="Y94" s="5" t="str">
        <f ca="1">IFERROR(__xludf.DUMMYFUNCTION("""COMPUTED_VALUE"""),"achavezi@postobon.com.co")</f>
        <v>achavezi@postobon.com.co</v>
      </c>
      <c r="Z94" s="5" t="str">
        <f ca="1">IFERROR(__xludf.DUMMYFUNCTION("""COMPUTED_VALUE"""),"QZW4Uu1KT1eGAPYsu5vx9g")</f>
        <v>QZW4Uu1KT1eGAPYsu5vx9g</v>
      </c>
      <c r="AA94" s="5"/>
      <c r="AB94" s="5"/>
      <c r="AC94" s="5"/>
      <c r="AD94" s="5">
        <f ca="1">IFERROR(__xludf.DUMMYFUNCTION("""COMPUTED_VALUE"""),70)</f>
        <v>70</v>
      </c>
      <c r="AE94" s="5">
        <f ca="1">IFERROR(__xludf.DUMMYFUNCTION("""COMPUTED_VALUE"""),70)</f>
        <v>70</v>
      </c>
      <c r="AF94" s="5" t="b">
        <f ca="1">IFERROR(__xludf.DUMMYFUNCTION("""COMPUTED_VALUE"""),FALSE)</f>
        <v>0</v>
      </c>
      <c r="AG94" s="5" t="str">
        <f ca="1">IFERROR(__xludf.DUMMYFUNCTION("""COMPUTED_VALUE"""),"INSPECCIONES REALIZADAS")</f>
        <v>INSPECCIONES REALIZADAS</v>
      </c>
      <c r="AH94" s="5"/>
    </row>
    <row r="95" spans="1:34">
      <c r="A95" s="5" t="str">
        <f ca="1">IFERROR(__xludf.DUMMYFUNCTION("""COMPUTED_VALUE"""),"LINEA PARA EL LLENADO DE BOLSAS")</f>
        <v>LINEA PARA EL LLENADO DE BOLSAS</v>
      </c>
      <c r="B95" s="5">
        <f ca="1">IFERROR(__xludf.DUMMYFUNCTION("""COMPUTED_VALUE"""),710199)</f>
        <v>710199</v>
      </c>
      <c r="C95" s="5" t="str">
        <f ca="1">IFERROR(__xludf.DUMMYFUNCTION("""COMPUTED_VALUE"""),"LLENADORA DE BOLSAS LINEA 5")</f>
        <v>LLENADORA DE BOLSAS LINEA 5</v>
      </c>
      <c r="D95" s="5">
        <f ca="1">IFERROR(__xludf.DUMMYFUNCTION("""COMPUTED_VALUE"""),13247715)</f>
        <v>13247715</v>
      </c>
      <c r="E95" s="5" t="str">
        <f ca="1">IFERROR(__xludf.DUMMYFUNCTION("""COMPUTED_VALUE"""),"INSPECCION SEMANAL BOLSAS LINEA 5")</f>
        <v>INSPECCION SEMANAL BOLSAS LINEA 5</v>
      </c>
      <c r="F95" s="5" t="str">
        <f ca="1">IFERROR(__xludf.DUMMYFUNCTION("""COMPUTED_VALUE"""),"FUNC RESISTENCIA EMPALME ROLLOS")</f>
        <v>FUNC RESISTENCIA EMPALME ROLLOS</v>
      </c>
      <c r="G95" s="5" t="b">
        <f ca="1">IFERROR(__xludf.DUMMYFUNCTION("""COMPUTED_VALUE"""),TRUE)</f>
        <v>1</v>
      </c>
      <c r="H95" s="5"/>
      <c r="I95" s="5"/>
      <c r="J95" s="5">
        <f ca="1">IFERROR(__xludf.DUMMYFUNCTION("""COMPUTED_VALUE"""),13247715)</f>
        <v>13247715</v>
      </c>
      <c r="K95" s="5"/>
      <c r="L95" s="18">
        <f ca="1">IFERROR(__xludf.DUMMYFUNCTION("""COMPUTED_VALUE"""),45324)</f>
        <v>45324</v>
      </c>
      <c r="M95" s="18">
        <f ca="1">IFERROR(__xludf.DUMMYFUNCTION("""COMPUTED_VALUE"""),45324)</f>
        <v>45324</v>
      </c>
      <c r="N95" s="5" t="str">
        <f ca="1">IFERROR(__xludf.DUMMYFUNCTION("""COMPUTED_VALUE"""),"ESTEBAN POTOSI ISAZA")</f>
        <v>ESTEBAN POTOSI ISAZA</v>
      </c>
      <c r="O95" s="2">
        <f ca="1">IFERROR(__xludf.DUMMYFUNCTION("""COMPUTED_VALUE"""),0.005263158)</f>
        <v>5.2631580000000004E-3</v>
      </c>
      <c r="P95" s="5">
        <f ca="1">IFERROR(__xludf.DUMMYFUNCTION("""COMPUTED_VALUE"""),20076884)</f>
        <v>20076884</v>
      </c>
      <c r="Q95" s="5" t="str">
        <f ca="1">IFERROR(__xludf.DUMMYFUNCTION("""COMPUTED_VALUE"""),"LO8Lv--vgRQ")</f>
        <v>LO8Lv--vgRQ</v>
      </c>
      <c r="R95" s="5">
        <f ca="1">IFERROR(__xludf.DUMMYFUNCTION("""COMPUTED_VALUE"""),410)</f>
        <v>410</v>
      </c>
      <c r="S95" s="62">
        <f ca="1">IFERROR(__xludf.DUMMYFUNCTION("""COMPUTED_VALUE"""),0.005263158)</f>
        <v>5.2631580000000004E-3</v>
      </c>
      <c r="T95" s="63" t="str">
        <f ca="1">IFERROR(__xludf.DUMMYFUNCTION("""COMPUTED_VALUE"""),"https://storage.googleapis.com/glide-prod.appspot.com/uploads-v2/ly7o78grxPaC6KdgvbpS/pub/3aRdSog0vUtuqPE8AJKD.png")</f>
        <v>https://storage.googleapis.com/glide-prod.appspot.com/uploads-v2/ly7o78grxPaC6KdgvbpS/pub/3aRdSog0vUtuqPE8AJKD.png</v>
      </c>
      <c r="U95" s="5" t="str">
        <f ca="1">IFERROR(__xludf.DUMMYFUNCTION("""COMPUTED_VALUE"""),"LINEA PARA EL LLENADO DE BOLSASLLENADORA DE BOLSAS LINEA 5")</f>
        <v>LINEA PARA EL LLENADO DE BOLSASLLENADORA DE BOLSAS LINEA 5</v>
      </c>
      <c r="V95" s="5"/>
      <c r="W95" s="5" t="b">
        <f ca="1">IFERROR(__xludf.DUMMYFUNCTION("""COMPUTED_VALUE"""),TRUE)</f>
        <v>1</v>
      </c>
      <c r="X95" s="5" t="str">
        <f ca="1">IFERROR(__xludf.DUMMYFUNCTION("""COMPUTED_VALUE"""),"achavezi@postobon.com.co,aprmttoyu@postobon.com.co,aprmyu@postobon.com.co,wmora@postobon.com.co,efzapata@postobon.com.co")</f>
        <v>achavezi@postobon.com.co,aprmttoyu@postobon.com.co,aprmyu@postobon.com.co,wmora@postobon.com.co,efzapata@postobon.com.co</v>
      </c>
      <c r="Y95" s="5" t="str">
        <f ca="1">IFERROR(__xludf.DUMMYFUNCTION("""COMPUTED_VALUE"""),"achavezi@postobon.com.co")</f>
        <v>achavezi@postobon.com.co</v>
      </c>
      <c r="Z95" s="5" t="str">
        <f ca="1">IFERROR(__xludf.DUMMYFUNCTION("""COMPUTED_VALUE"""),"kmaGF3z8TnyPwglPPJRoQg")</f>
        <v>kmaGF3z8TnyPwglPPJRoQg</v>
      </c>
      <c r="AA95" s="5"/>
      <c r="AB95" s="5"/>
      <c r="AC95" s="5"/>
      <c r="AD95" s="5">
        <f ca="1">IFERROR(__xludf.DUMMYFUNCTION("""COMPUTED_VALUE"""),70)</f>
        <v>70</v>
      </c>
      <c r="AE95" s="5">
        <f ca="1">IFERROR(__xludf.DUMMYFUNCTION("""COMPUTED_VALUE"""),70)</f>
        <v>70</v>
      </c>
      <c r="AF95" s="5" t="b">
        <f ca="1">IFERROR(__xludf.DUMMYFUNCTION("""COMPUTED_VALUE"""),FALSE)</f>
        <v>0</v>
      </c>
      <c r="AG95" s="5" t="str">
        <f ca="1">IFERROR(__xludf.DUMMYFUNCTION("""COMPUTED_VALUE"""),"INSPECCIONES REALIZADAS")</f>
        <v>INSPECCIONES REALIZADAS</v>
      </c>
      <c r="AH95" s="5"/>
    </row>
    <row r="96" spans="1:34">
      <c r="A96" s="5" t="str">
        <f ca="1">IFERROR(__xludf.DUMMYFUNCTION("""COMPUTED_VALUE"""),"LINEA PARA EL LLENADO DE BOLSAS")</f>
        <v>LINEA PARA EL LLENADO DE BOLSAS</v>
      </c>
      <c r="B96" s="5">
        <f ca="1">IFERROR(__xludf.DUMMYFUNCTION("""COMPUTED_VALUE"""),710199)</f>
        <v>710199</v>
      </c>
      <c r="C96" s="5" t="str">
        <f ca="1">IFERROR(__xludf.DUMMYFUNCTION("""COMPUTED_VALUE"""),"LLENADORA DE BOLSAS LINEA 5")</f>
        <v>LLENADORA DE BOLSAS LINEA 5</v>
      </c>
      <c r="D96" s="5">
        <f ca="1">IFERROR(__xludf.DUMMYFUNCTION("""COMPUTED_VALUE"""),13247715)</f>
        <v>13247715</v>
      </c>
      <c r="E96" s="5" t="str">
        <f ca="1">IFERROR(__xludf.DUMMYFUNCTION("""COMPUTED_VALUE"""),"INSPECCION SEMANAL BOLSAS LINEA 5")</f>
        <v>INSPECCION SEMANAL BOLSAS LINEA 5</v>
      </c>
      <c r="F96" s="5" t="str">
        <f ca="1">IFERROR(__xludf.DUMMYFUNCTION("""COMPUTED_VALUE"""),"INSP FUGAS FLUIDOS")</f>
        <v>INSP FUGAS FLUIDOS</v>
      </c>
      <c r="G96" s="5" t="b">
        <f ca="1">IFERROR(__xludf.DUMMYFUNCTION("""COMPUTED_VALUE"""),TRUE)</f>
        <v>1</v>
      </c>
      <c r="H96" s="5"/>
      <c r="I96" s="5"/>
      <c r="J96" s="5">
        <f ca="1">IFERROR(__xludf.DUMMYFUNCTION("""COMPUTED_VALUE"""),13247715)</f>
        <v>13247715</v>
      </c>
      <c r="K96" s="5"/>
      <c r="L96" s="18">
        <f ca="1">IFERROR(__xludf.DUMMYFUNCTION("""COMPUTED_VALUE"""),45324)</f>
        <v>45324</v>
      </c>
      <c r="M96" s="18">
        <f ca="1">IFERROR(__xludf.DUMMYFUNCTION("""COMPUTED_VALUE"""),45324)</f>
        <v>45324</v>
      </c>
      <c r="N96" s="5" t="str">
        <f ca="1">IFERROR(__xludf.DUMMYFUNCTION("""COMPUTED_VALUE"""),"ESTEBAN POTOSI ISAZA")</f>
        <v>ESTEBAN POTOSI ISAZA</v>
      </c>
      <c r="O96" s="2">
        <f ca="1">IFERROR(__xludf.DUMMYFUNCTION("""COMPUTED_VALUE"""),0.005263158)</f>
        <v>5.2631580000000004E-3</v>
      </c>
      <c r="P96" s="5">
        <f ca="1">IFERROR(__xludf.DUMMYFUNCTION("""COMPUTED_VALUE"""),20076884)</f>
        <v>20076884</v>
      </c>
      <c r="Q96" s="5" t="str">
        <f ca="1">IFERROR(__xludf.DUMMYFUNCTION("""COMPUTED_VALUE"""),"t9hLxlw4gBM")</f>
        <v>t9hLxlw4gBM</v>
      </c>
      <c r="R96" s="5">
        <f ca="1">IFERROR(__xludf.DUMMYFUNCTION("""COMPUTED_VALUE"""),410)</f>
        <v>410</v>
      </c>
      <c r="S96" s="62">
        <f ca="1">IFERROR(__xludf.DUMMYFUNCTION("""COMPUTED_VALUE"""),0.005263158)</f>
        <v>5.2631580000000004E-3</v>
      </c>
      <c r="T96" s="63" t="str">
        <f ca="1">IFERROR(__xludf.DUMMYFUNCTION("""COMPUTED_VALUE"""),"https://storage.googleapis.com/glide-prod.appspot.com/uploads-v2/ly7o78grxPaC6KdgvbpS/pub/3aRdSog0vUtuqPE8AJKD.png")</f>
        <v>https://storage.googleapis.com/glide-prod.appspot.com/uploads-v2/ly7o78grxPaC6KdgvbpS/pub/3aRdSog0vUtuqPE8AJKD.png</v>
      </c>
      <c r="U96" s="5" t="str">
        <f ca="1">IFERROR(__xludf.DUMMYFUNCTION("""COMPUTED_VALUE"""),"LINEA PARA EL LLENADO DE BOLSASLLENADORA DE BOLSAS LINEA 5")</f>
        <v>LINEA PARA EL LLENADO DE BOLSASLLENADORA DE BOLSAS LINEA 5</v>
      </c>
      <c r="V96" s="5"/>
      <c r="W96" s="5" t="b">
        <f ca="1">IFERROR(__xludf.DUMMYFUNCTION("""COMPUTED_VALUE"""),TRUE)</f>
        <v>1</v>
      </c>
      <c r="X96" s="5" t="str">
        <f ca="1">IFERROR(__xludf.DUMMYFUNCTION("""COMPUTED_VALUE"""),"achavezi@postobon.com.co,aprmttoyu@postobon.com.co,aprmyu@postobon.com.co,wmora@postobon.com.co,efzapata@postobon.com.co")</f>
        <v>achavezi@postobon.com.co,aprmttoyu@postobon.com.co,aprmyu@postobon.com.co,wmora@postobon.com.co,efzapata@postobon.com.co</v>
      </c>
      <c r="Y96" s="5" t="str">
        <f ca="1">IFERROR(__xludf.DUMMYFUNCTION("""COMPUTED_VALUE"""),"achavezi@postobon.com.co")</f>
        <v>achavezi@postobon.com.co</v>
      </c>
      <c r="Z96" s="5" t="str">
        <f ca="1">IFERROR(__xludf.DUMMYFUNCTION("""COMPUTED_VALUE"""),"AXAqfqjxSyaQMr7R3x5bKw")</f>
        <v>AXAqfqjxSyaQMr7R3x5bKw</v>
      </c>
      <c r="AA96" s="5"/>
      <c r="AB96" s="5"/>
      <c r="AC96" s="5"/>
      <c r="AD96" s="5">
        <f ca="1">IFERROR(__xludf.DUMMYFUNCTION("""COMPUTED_VALUE"""),70)</f>
        <v>70</v>
      </c>
      <c r="AE96" s="5">
        <f ca="1">IFERROR(__xludf.DUMMYFUNCTION("""COMPUTED_VALUE"""),70)</f>
        <v>70</v>
      </c>
      <c r="AF96" s="5" t="b">
        <f ca="1">IFERROR(__xludf.DUMMYFUNCTION("""COMPUTED_VALUE"""),FALSE)</f>
        <v>0</v>
      </c>
      <c r="AG96" s="5" t="str">
        <f ca="1">IFERROR(__xludf.DUMMYFUNCTION("""COMPUTED_VALUE"""),"INSPECCIONES REALIZADAS")</f>
        <v>INSPECCIONES REALIZADAS</v>
      </c>
      <c r="AH96" s="5"/>
    </row>
    <row r="97" spans="1:34">
      <c r="A97" s="5" t="str">
        <f ca="1">IFERROR(__xludf.DUMMYFUNCTION("""COMPUTED_VALUE"""),"LINEA PARA EL LLENADO DE BOLSAS")</f>
        <v>LINEA PARA EL LLENADO DE BOLSAS</v>
      </c>
      <c r="B97" s="5">
        <f ca="1">IFERROR(__xludf.DUMMYFUNCTION("""COMPUTED_VALUE"""),710199)</f>
        <v>710199</v>
      </c>
      <c r="C97" s="5" t="str">
        <f ca="1">IFERROR(__xludf.DUMMYFUNCTION("""COMPUTED_VALUE"""),"LLENADORA DE BOLSAS LINEA 5")</f>
        <v>LLENADORA DE BOLSAS LINEA 5</v>
      </c>
      <c r="D97" s="5">
        <f ca="1">IFERROR(__xludf.DUMMYFUNCTION("""COMPUTED_VALUE"""),13247715)</f>
        <v>13247715</v>
      </c>
      <c r="E97" s="5" t="str">
        <f ca="1">IFERROR(__xludf.DUMMYFUNCTION("""COMPUTED_VALUE"""),"INSPECCION SEMANAL BOLSAS LINEA 5")</f>
        <v>INSPECCION SEMANAL BOLSAS LINEA 5</v>
      </c>
      <c r="F97" s="5" t="str">
        <f ca="1">IFERROR(__xludf.DUMMYFUNCTION("""COMPUTED_VALUE"""),"INSP FUNC. BOMBA REFRIG. MORDAZAS")</f>
        <v>INSP FUNC. BOMBA REFRIG. MORDAZAS</v>
      </c>
      <c r="G97" s="5" t="b">
        <f ca="1">IFERROR(__xludf.DUMMYFUNCTION("""COMPUTED_VALUE"""),TRUE)</f>
        <v>1</v>
      </c>
      <c r="H97" s="5"/>
      <c r="I97" s="5"/>
      <c r="J97" s="5">
        <f ca="1">IFERROR(__xludf.DUMMYFUNCTION("""COMPUTED_VALUE"""),13247715)</f>
        <v>13247715</v>
      </c>
      <c r="K97" s="5"/>
      <c r="L97" s="18">
        <f ca="1">IFERROR(__xludf.DUMMYFUNCTION("""COMPUTED_VALUE"""),45324)</f>
        <v>45324</v>
      </c>
      <c r="M97" s="18">
        <f ca="1">IFERROR(__xludf.DUMMYFUNCTION("""COMPUTED_VALUE"""),45324)</f>
        <v>45324</v>
      </c>
      <c r="N97" s="5" t="str">
        <f ca="1">IFERROR(__xludf.DUMMYFUNCTION("""COMPUTED_VALUE"""),"ESTEBAN POTOSI ISAZA")</f>
        <v>ESTEBAN POTOSI ISAZA</v>
      </c>
      <c r="O97" s="2">
        <f ca="1">IFERROR(__xludf.DUMMYFUNCTION("""COMPUTED_VALUE"""),0.005263158)</f>
        <v>5.2631580000000004E-3</v>
      </c>
      <c r="P97" s="5">
        <f ca="1">IFERROR(__xludf.DUMMYFUNCTION("""COMPUTED_VALUE"""),20076884)</f>
        <v>20076884</v>
      </c>
      <c r="Q97" s="5" t="str">
        <f ca="1">IFERROR(__xludf.DUMMYFUNCTION("""COMPUTED_VALUE"""),"uYaFTyDsbOM")</f>
        <v>uYaFTyDsbOM</v>
      </c>
      <c r="R97" s="5">
        <f ca="1">IFERROR(__xludf.DUMMYFUNCTION("""COMPUTED_VALUE"""),410)</f>
        <v>410</v>
      </c>
      <c r="S97" s="62">
        <f ca="1">IFERROR(__xludf.DUMMYFUNCTION("""COMPUTED_VALUE"""),0.005263158)</f>
        <v>5.2631580000000004E-3</v>
      </c>
      <c r="T97" s="63" t="str">
        <f ca="1">IFERROR(__xludf.DUMMYFUNCTION("""COMPUTED_VALUE"""),"https://storage.googleapis.com/glide-prod.appspot.com/uploads-v2/ly7o78grxPaC6KdgvbpS/pub/3aRdSog0vUtuqPE8AJKD.png")</f>
        <v>https://storage.googleapis.com/glide-prod.appspot.com/uploads-v2/ly7o78grxPaC6KdgvbpS/pub/3aRdSog0vUtuqPE8AJKD.png</v>
      </c>
      <c r="U97" s="5" t="str">
        <f ca="1">IFERROR(__xludf.DUMMYFUNCTION("""COMPUTED_VALUE"""),"LINEA PARA EL LLENADO DE BOLSASLLENADORA DE BOLSAS LINEA 5")</f>
        <v>LINEA PARA EL LLENADO DE BOLSASLLENADORA DE BOLSAS LINEA 5</v>
      </c>
      <c r="V97" s="5"/>
      <c r="W97" s="5" t="b">
        <f ca="1">IFERROR(__xludf.DUMMYFUNCTION("""COMPUTED_VALUE"""),TRUE)</f>
        <v>1</v>
      </c>
      <c r="X97" s="5" t="str">
        <f ca="1">IFERROR(__xludf.DUMMYFUNCTION("""COMPUTED_VALUE"""),"achavezi@postobon.com.co,aprmttoyu@postobon.com.co,aprmyu@postobon.com.co,wmora@postobon.com.co,efzapata@postobon.com.co")</f>
        <v>achavezi@postobon.com.co,aprmttoyu@postobon.com.co,aprmyu@postobon.com.co,wmora@postobon.com.co,efzapata@postobon.com.co</v>
      </c>
      <c r="Y97" s="5" t="str">
        <f ca="1">IFERROR(__xludf.DUMMYFUNCTION("""COMPUTED_VALUE"""),"achavezi@postobon.com.co")</f>
        <v>achavezi@postobon.com.co</v>
      </c>
      <c r="Z97" s="5" t="str">
        <f ca="1">IFERROR(__xludf.DUMMYFUNCTION("""COMPUTED_VALUE"""),"kM1wEWWdSeOKPhc4Q75mIw")</f>
        <v>kM1wEWWdSeOKPhc4Q75mIw</v>
      </c>
      <c r="AA97" s="5"/>
      <c r="AB97" s="5"/>
      <c r="AC97" s="5"/>
      <c r="AD97" s="5">
        <f ca="1">IFERROR(__xludf.DUMMYFUNCTION("""COMPUTED_VALUE"""),70)</f>
        <v>70</v>
      </c>
      <c r="AE97" s="5">
        <f ca="1">IFERROR(__xludf.DUMMYFUNCTION("""COMPUTED_VALUE"""),70)</f>
        <v>70</v>
      </c>
      <c r="AF97" s="5" t="b">
        <f ca="1">IFERROR(__xludf.DUMMYFUNCTION("""COMPUTED_VALUE"""),FALSE)</f>
        <v>0</v>
      </c>
      <c r="AG97" s="5" t="str">
        <f ca="1">IFERROR(__xludf.DUMMYFUNCTION("""COMPUTED_VALUE"""),"INSPECCIONES REALIZADAS")</f>
        <v>INSPECCIONES REALIZADAS</v>
      </c>
      <c r="AH97" s="5"/>
    </row>
    <row r="98" spans="1:34">
      <c r="A98" s="5" t="str">
        <f ca="1">IFERROR(__xludf.DUMMYFUNCTION("""COMPUTED_VALUE"""),"LINEA PARA EL LLENADO DE BOLSAS")</f>
        <v>LINEA PARA EL LLENADO DE BOLSAS</v>
      </c>
      <c r="B98" s="5">
        <f ca="1">IFERROR(__xludf.DUMMYFUNCTION("""COMPUTED_VALUE"""),710199)</f>
        <v>710199</v>
      </c>
      <c r="C98" s="5" t="str">
        <f ca="1">IFERROR(__xludf.DUMMYFUNCTION("""COMPUTED_VALUE"""),"LLENADORA DE BOLSAS LINEA 5")</f>
        <v>LLENADORA DE BOLSAS LINEA 5</v>
      </c>
      <c r="D98" s="5">
        <f ca="1">IFERROR(__xludf.DUMMYFUNCTION("""COMPUTED_VALUE"""),13247715)</f>
        <v>13247715</v>
      </c>
      <c r="E98" s="5" t="str">
        <f ca="1">IFERROR(__xludf.DUMMYFUNCTION("""COMPUTED_VALUE"""),"INSPECCION SEMANAL BOLSAS LINEA 5")</f>
        <v>INSPECCION SEMANAL BOLSAS LINEA 5</v>
      </c>
      <c r="F98" s="5" t="str">
        <f ca="1">IFERROR(__xludf.DUMMYFUNCTION("""COMPUTED_VALUE"""),"INSP. FOTOCELDA")</f>
        <v>INSP. FOTOCELDA</v>
      </c>
      <c r="G98" s="5" t="b">
        <f ca="1">IFERROR(__xludf.DUMMYFUNCTION("""COMPUTED_VALUE"""),TRUE)</f>
        <v>1</v>
      </c>
      <c r="H98" s="5"/>
      <c r="I98" s="5"/>
      <c r="J98" s="5">
        <f ca="1">IFERROR(__xludf.DUMMYFUNCTION("""COMPUTED_VALUE"""),13247715)</f>
        <v>13247715</v>
      </c>
      <c r="K98" s="5"/>
      <c r="L98" s="18">
        <f ca="1">IFERROR(__xludf.DUMMYFUNCTION("""COMPUTED_VALUE"""),45324)</f>
        <v>45324</v>
      </c>
      <c r="M98" s="18">
        <f ca="1">IFERROR(__xludf.DUMMYFUNCTION("""COMPUTED_VALUE"""),45324)</f>
        <v>45324</v>
      </c>
      <c r="N98" s="5" t="str">
        <f ca="1">IFERROR(__xludf.DUMMYFUNCTION("""COMPUTED_VALUE"""),"ESTEBAN POTOSI ISAZA")</f>
        <v>ESTEBAN POTOSI ISAZA</v>
      </c>
      <c r="O98" s="2">
        <f ca="1">IFERROR(__xludf.DUMMYFUNCTION("""COMPUTED_VALUE"""),0.005263158)</f>
        <v>5.2631580000000004E-3</v>
      </c>
      <c r="P98" s="5">
        <f ca="1">IFERROR(__xludf.DUMMYFUNCTION("""COMPUTED_VALUE"""),20076884)</f>
        <v>20076884</v>
      </c>
      <c r="Q98" s="5" t="str">
        <f ca="1">IFERROR(__xludf.DUMMYFUNCTION("""COMPUTED_VALUE"""),"bhWFnwFzeD8")</f>
        <v>bhWFnwFzeD8</v>
      </c>
      <c r="R98" s="5">
        <f ca="1">IFERROR(__xludf.DUMMYFUNCTION("""COMPUTED_VALUE"""),410)</f>
        <v>410</v>
      </c>
      <c r="S98" s="62">
        <f ca="1">IFERROR(__xludf.DUMMYFUNCTION("""COMPUTED_VALUE"""),0.005263158)</f>
        <v>5.2631580000000004E-3</v>
      </c>
      <c r="T98" s="63" t="str">
        <f ca="1">IFERROR(__xludf.DUMMYFUNCTION("""COMPUTED_VALUE"""),"https://storage.googleapis.com/glide-prod.appspot.com/uploads-v2/ly7o78grxPaC6KdgvbpS/pub/3aRdSog0vUtuqPE8AJKD.png")</f>
        <v>https://storage.googleapis.com/glide-prod.appspot.com/uploads-v2/ly7o78grxPaC6KdgvbpS/pub/3aRdSog0vUtuqPE8AJKD.png</v>
      </c>
      <c r="U98" s="5" t="str">
        <f ca="1">IFERROR(__xludf.DUMMYFUNCTION("""COMPUTED_VALUE"""),"LINEA PARA EL LLENADO DE BOLSASLLENADORA DE BOLSAS LINEA 5")</f>
        <v>LINEA PARA EL LLENADO DE BOLSASLLENADORA DE BOLSAS LINEA 5</v>
      </c>
      <c r="V98" s="5"/>
      <c r="W98" s="5" t="b">
        <f ca="1">IFERROR(__xludf.DUMMYFUNCTION("""COMPUTED_VALUE"""),TRUE)</f>
        <v>1</v>
      </c>
      <c r="X98" s="5" t="str">
        <f ca="1">IFERROR(__xludf.DUMMYFUNCTION("""COMPUTED_VALUE"""),"achavezi@postobon.com.co,aprmttoyu@postobon.com.co,aprmyu@postobon.com.co,wmora@postobon.com.co,efzapata@postobon.com.co")</f>
        <v>achavezi@postobon.com.co,aprmttoyu@postobon.com.co,aprmyu@postobon.com.co,wmora@postobon.com.co,efzapata@postobon.com.co</v>
      </c>
      <c r="Y98" s="5" t="str">
        <f ca="1">IFERROR(__xludf.DUMMYFUNCTION("""COMPUTED_VALUE"""),"achavezi@postobon.com.co")</f>
        <v>achavezi@postobon.com.co</v>
      </c>
      <c r="Z98" s="5" t="str">
        <f ca="1">IFERROR(__xludf.DUMMYFUNCTION("""COMPUTED_VALUE"""),"2Tw4PsSHTw6L8zYwrygGDg")</f>
        <v>2Tw4PsSHTw6L8zYwrygGDg</v>
      </c>
      <c r="AA98" s="5"/>
      <c r="AB98" s="5"/>
      <c r="AC98" s="5"/>
      <c r="AD98" s="5">
        <f ca="1">IFERROR(__xludf.DUMMYFUNCTION("""COMPUTED_VALUE"""),70)</f>
        <v>70</v>
      </c>
      <c r="AE98" s="5">
        <f ca="1">IFERROR(__xludf.DUMMYFUNCTION("""COMPUTED_VALUE"""),70)</f>
        <v>70</v>
      </c>
      <c r="AF98" s="5" t="b">
        <f ca="1">IFERROR(__xludf.DUMMYFUNCTION("""COMPUTED_VALUE"""),FALSE)</f>
        <v>0</v>
      </c>
      <c r="AG98" s="5" t="str">
        <f ca="1">IFERROR(__xludf.DUMMYFUNCTION("""COMPUTED_VALUE"""),"INSPECCIONES REALIZADAS")</f>
        <v>INSPECCIONES REALIZADAS</v>
      </c>
      <c r="AH98" s="5"/>
    </row>
    <row r="99" spans="1:34">
      <c r="A99" s="5" t="str">
        <f ca="1">IFERROR(__xludf.DUMMYFUNCTION("""COMPUTED_VALUE"""),"LINEA PARA EL LLENADO DE BOLSAS")</f>
        <v>LINEA PARA EL LLENADO DE BOLSAS</v>
      </c>
      <c r="B99" s="5">
        <f ca="1">IFERROR(__xludf.DUMMYFUNCTION("""COMPUTED_VALUE"""),710199)</f>
        <v>710199</v>
      </c>
      <c r="C99" s="5" t="str">
        <f ca="1">IFERROR(__xludf.DUMMYFUNCTION("""COMPUTED_VALUE"""),"LLENADORA DE BOLSAS LINEA 5")</f>
        <v>LLENADORA DE BOLSAS LINEA 5</v>
      </c>
      <c r="D99" s="5">
        <f ca="1">IFERROR(__xludf.DUMMYFUNCTION("""COMPUTED_VALUE"""),13247715)</f>
        <v>13247715</v>
      </c>
      <c r="E99" s="5" t="str">
        <f ca="1">IFERROR(__xludf.DUMMYFUNCTION("""COMPUTED_VALUE"""),"INSPECCION SEMANAL BOLSAS LINEA 5")</f>
        <v>INSPECCION SEMANAL BOLSAS LINEA 5</v>
      </c>
      <c r="F99" s="5" t="str">
        <f ca="1">IFERROR(__xludf.DUMMYFUNCTION("""COMPUTED_VALUE"""),"SENSOR DE NIVEL TANQUE")</f>
        <v>SENSOR DE NIVEL TANQUE</v>
      </c>
      <c r="G99" s="5" t="b">
        <f ca="1">IFERROR(__xludf.DUMMYFUNCTION("""COMPUTED_VALUE"""),TRUE)</f>
        <v>1</v>
      </c>
      <c r="H99" s="5"/>
      <c r="I99" s="5"/>
      <c r="J99" s="5">
        <f ca="1">IFERROR(__xludf.DUMMYFUNCTION("""COMPUTED_VALUE"""),13247715)</f>
        <v>13247715</v>
      </c>
      <c r="K99" s="5"/>
      <c r="L99" s="18">
        <f ca="1">IFERROR(__xludf.DUMMYFUNCTION("""COMPUTED_VALUE"""),45324)</f>
        <v>45324</v>
      </c>
      <c r="M99" s="18">
        <f ca="1">IFERROR(__xludf.DUMMYFUNCTION("""COMPUTED_VALUE"""),45324)</f>
        <v>45324</v>
      </c>
      <c r="N99" s="5" t="str">
        <f ca="1">IFERROR(__xludf.DUMMYFUNCTION("""COMPUTED_VALUE"""),"ESTEBAN POTOSI ISAZA")</f>
        <v>ESTEBAN POTOSI ISAZA</v>
      </c>
      <c r="O99" s="2">
        <f ca="1">IFERROR(__xludf.DUMMYFUNCTION("""COMPUTED_VALUE"""),0.005263158)</f>
        <v>5.2631580000000004E-3</v>
      </c>
      <c r="P99" s="5">
        <f ca="1">IFERROR(__xludf.DUMMYFUNCTION("""COMPUTED_VALUE"""),20076884)</f>
        <v>20076884</v>
      </c>
      <c r="Q99" s="5" t="str">
        <f ca="1">IFERROR(__xludf.DUMMYFUNCTION("""COMPUTED_VALUE"""),"6iuChmHF9T0")</f>
        <v>6iuChmHF9T0</v>
      </c>
      <c r="R99" s="5">
        <f ca="1">IFERROR(__xludf.DUMMYFUNCTION("""COMPUTED_VALUE"""),410)</f>
        <v>410</v>
      </c>
      <c r="S99" s="62">
        <f ca="1">IFERROR(__xludf.DUMMYFUNCTION("""COMPUTED_VALUE"""),0.005263158)</f>
        <v>5.2631580000000004E-3</v>
      </c>
      <c r="T99" s="63" t="str">
        <f ca="1">IFERROR(__xludf.DUMMYFUNCTION("""COMPUTED_VALUE"""),"https://storage.googleapis.com/glide-prod.appspot.com/uploads-v2/ly7o78grxPaC6KdgvbpS/pub/3aRdSog0vUtuqPE8AJKD.png")</f>
        <v>https://storage.googleapis.com/glide-prod.appspot.com/uploads-v2/ly7o78grxPaC6KdgvbpS/pub/3aRdSog0vUtuqPE8AJKD.png</v>
      </c>
      <c r="U99" s="5" t="str">
        <f ca="1">IFERROR(__xludf.DUMMYFUNCTION("""COMPUTED_VALUE"""),"LINEA PARA EL LLENADO DE BOLSASLLENADORA DE BOLSAS LINEA 5")</f>
        <v>LINEA PARA EL LLENADO DE BOLSASLLENADORA DE BOLSAS LINEA 5</v>
      </c>
      <c r="V99" s="5"/>
      <c r="W99" s="5" t="b">
        <f ca="1">IFERROR(__xludf.DUMMYFUNCTION("""COMPUTED_VALUE"""),TRUE)</f>
        <v>1</v>
      </c>
      <c r="X99" s="5" t="str">
        <f ca="1">IFERROR(__xludf.DUMMYFUNCTION("""COMPUTED_VALUE"""),"achavezi@postobon.com.co,aprmttoyu@postobon.com.co,aprmyu@postobon.com.co,wmora@postobon.com.co,efzapata@postobon.com.co")</f>
        <v>achavezi@postobon.com.co,aprmttoyu@postobon.com.co,aprmyu@postobon.com.co,wmora@postobon.com.co,efzapata@postobon.com.co</v>
      </c>
      <c r="Y99" s="5" t="str">
        <f ca="1">IFERROR(__xludf.DUMMYFUNCTION("""COMPUTED_VALUE"""),"achavezi@postobon.com.co")</f>
        <v>achavezi@postobon.com.co</v>
      </c>
      <c r="Z99" s="5" t="str">
        <f ca="1">IFERROR(__xludf.DUMMYFUNCTION("""COMPUTED_VALUE"""),"QhFyMQpBTLm-8D-nBYdFZw")</f>
        <v>QhFyMQpBTLm-8D-nBYdFZw</v>
      </c>
      <c r="AA99" s="5"/>
      <c r="AB99" s="5"/>
      <c r="AC99" s="5"/>
      <c r="AD99" s="5">
        <f ca="1">IFERROR(__xludf.DUMMYFUNCTION("""COMPUTED_VALUE"""),70)</f>
        <v>70</v>
      </c>
      <c r="AE99" s="5">
        <f ca="1">IFERROR(__xludf.DUMMYFUNCTION("""COMPUTED_VALUE"""),70)</f>
        <v>70</v>
      </c>
      <c r="AF99" s="5" t="b">
        <f ca="1">IFERROR(__xludf.DUMMYFUNCTION("""COMPUTED_VALUE"""),FALSE)</f>
        <v>0</v>
      </c>
      <c r="AG99" s="5" t="str">
        <f ca="1">IFERROR(__xludf.DUMMYFUNCTION("""COMPUTED_VALUE"""),"INSPECCIONES REALIZADAS")</f>
        <v>INSPECCIONES REALIZADAS</v>
      </c>
      <c r="AH99" s="5"/>
    </row>
    <row r="100" spans="1:34">
      <c r="A100" s="5" t="str">
        <f ca="1">IFERROR(__xludf.DUMMYFUNCTION("""COMPUTED_VALUE"""),"LINEA PARA EL LLENADO DE BOLSAS")</f>
        <v>LINEA PARA EL LLENADO DE BOLSAS</v>
      </c>
      <c r="B100" s="5">
        <f ca="1">IFERROR(__xludf.DUMMYFUNCTION("""COMPUTED_VALUE"""),710199)</f>
        <v>710199</v>
      </c>
      <c r="C100" s="5" t="str">
        <f ca="1">IFERROR(__xludf.DUMMYFUNCTION("""COMPUTED_VALUE"""),"LLENADORA DE BOLSAS LINEA 5")</f>
        <v>LLENADORA DE BOLSAS LINEA 5</v>
      </c>
      <c r="D100" s="5">
        <f ca="1">IFERROR(__xludf.DUMMYFUNCTION("""COMPUTED_VALUE"""),13247715)</f>
        <v>13247715</v>
      </c>
      <c r="E100" s="5" t="str">
        <f ca="1">IFERROR(__xludf.DUMMYFUNCTION("""COMPUTED_VALUE"""),"INSPECCION SEMANAL BOLSAS LINEA 5")</f>
        <v>INSPECCION SEMANAL BOLSAS LINEA 5</v>
      </c>
      <c r="F100" s="5" t="str">
        <f ca="1">IFERROR(__xludf.DUMMYFUNCTION("""COMPUTED_VALUE"""),"REV/CAMBIO LAMPARAS 9000 H")</f>
        <v>REV/CAMBIO LAMPARAS 9000 H</v>
      </c>
      <c r="G100" s="5" t="b">
        <f ca="1">IFERROR(__xludf.DUMMYFUNCTION("""COMPUTED_VALUE"""),TRUE)</f>
        <v>1</v>
      </c>
      <c r="H100" s="5"/>
      <c r="I100" s="5"/>
      <c r="J100" s="5">
        <f ca="1">IFERROR(__xludf.DUMMYFUNCTION("""COMPUTED_VALUE"""),13247715)</f>
        <v>13247715</v>
      </c>
      <c r="K100" s="5"/>
      <c r="L100" s="18">
        <f ca="1">IFERROR(__xludf.DUMMYFUNCTION("""COMPUTED_VALUE"""),45324)</f>
        <v>45324</v>
      </c>
      <c r="M100" s="18">
        <f ca="1">IFERROR(__xludf.DUMMYFUNCTION("""COMPUTED_VALUE"""),45324)</f>
        <v>45324</v>
      </c>
      <c r="N100" s="5" t="str">
        <f ca="1">IFERROR(__xludf.DUMMYFUNCTION("""COMPUTED_VALUE"""),"ESTEBAN POTOSI ISAZA")</f>
        <v>ESTEBAN POTOSI ISAZA</v>
      </c>
      <c r="O100" s="2">
        <f ca="1">IFERROR(__xludf.DUMMYFUNCTION("""COMPUTED_VALUE"""),0.005263158)</f>
        <v>5.2631580000000004E-3</v>
      </c>
      <c r="P100" s="5">
        <f ca="1">IFERROR(__xludf.DUMMYFUNCTION("""COMPUTED_VALUE"""),20076884)</f>
        <v>20076884</v>
      </c>
      <c r="Q100" s="5" t="str">
        <f ca="1">IFERROR(__xludf.DUMMYFUNCTION("""COMPUTED_VALUE"""),"fb2QsrLoFwQ")</f>
        <v>fb2QsrLoFwQ</v>
      </c>
      <c r="R100" s="5">
        <f ca="1">IFERROR(__xludf.DUMMYFUNCTION("""COMPUTED_VALUE"""),410)</f>
        <v>410</v>
      </c>
      <c r="S100" s="62">
        <f ca="1">IFERROR(__xludf.DUMMYFUNCTION("""COMPUTED_VALUE"""),0.005263158)</f>
        <v>5.2631580000000004E-3</v>
      </c>
      <c r="T100" s="63" t="str">
        <f ca="1">IFERROR(__xludf.DUMMYFUNCTION("""COMPUTED_VALUE"""),"https://storage.googleapis.com/glide-prod.appspot.com/uploads-v2/ly7o78grxPaC6KdgvbpS/pub/3aRdSog0vUtuqPE8AJKD.png")</f>
        <v>https://storage.googleapis.com/glide-prod.appspot.com/uploads-v2/ly7o78grxPaC6KdgvbpS/pub/3aRdSog0vUtuqPE8AJKD.png</v>
      </c>
      <c r="U100" s="5" t="str">
        <f ca="1">IFERROR(__xludf.DUMMYFUNCTION("""COMPUTED_VALUE"""),"LINEA PARA EL LLENADO DE BOLSASLLENADORA DE BOLSAS LINEA 5")</f>
        <v>LINEA PARA EL LLENADO DE BOLSASLLENADORA DE BOLSAS LINEA 5</v>
      </c>
      <c r="V100" s="5"/>
      <c r="W100" s="5" t="b">
        <f ca="1">IFERROR(__xludf.DUMMYFUNCTION("""COMPUTED_VALUE"""),TRUE)</f>
        <v>1</v>
      </c>
      <c r="X100" s="5" t="str">
        <f ca="1">IFERROR(__xludf.DUMMYFUNCTION("""COMPUTED_VALUE"""),"achavezi@postobon.com.co,aprmttoyu@postobon.com.co,aprmyu@postobon.com.co,wmora@postobon.com.co,efzapata@postobon.com.co")</f>
        <v>achavezi@postobon.com.co,aprmttoyu@postobon.com.co,aprmyu@postobon.com.co,wmora@postobon.com.co,efzapata@postobon.com.co</v>
      </c>
      <c r="Y100" s="5" t="str">
        <f ca="1">IFERROR(__xludf.DUMMYFUNCTION("""COMPUTED_VALUE"""),"achavezi@postobon.com.co")</f>
        <v>achavezi@postobon.com.co</v>
      </c>
      <c r="Z100" s="5" t="str">
        <f ca="1">IFERROR(__xludf.DUMMYFUNCTION("""COMPUTED_VALUE"""),"n6q7SSeLQTKxF14B9AEzVg")</f>
        <v>n6q7SSeLQTKxF14B9AEzVg</v>
      </c>
      <c r="AA100" s="5"/>
      <c r="AB100" s="5"/>
      <c r="AC100" s="5"/>
      <c r="AD100" s="5">
        <f ca="1">IFERROR(__xludf.DUMMYFUNCTION("""COMPUTED_VALUE"""),70)</f>
        <v>70</v>
      </c>
      <c r="AE100" s="5">
        <f ca="1">IFERROR(__xludf.DUMMYFUNCTION("""COMPUTED_VALUE"""),70)</f>
        <v>70</v>
      </c>
      <c r="AF100" s="5" t="b">
        <f ca="1">IFERROR(__xludf.DUMMYFUNCTION("""COMPUTED_VALUE"""),FALSE)</f>
        <v>0</v>
      </c>
      <c r="AG100" s="5" t="str">
        <f ca="1">IFERROR(__xludf.DUMMYFUNCTION("""COMPUTED_VALUE"""),"INSPECCIONES REALIZADAS")</f>
        <v>INSPECCIONES REALIZADAS</v>
      </c>
      <c r="AH100" s="5"/>
    </row>
    <row r="101" spans="1:34">
      <c r="A101" s="5" t="str">
        <f ca="1">IFERROR(__xludf.DUMMYFUNCTION("""COMPUTED_VALUE"""),"BOMBAS DE SERVICIO PROCESO")</f>
        <v>BOMBAS DE SERVICIO PROCESO</v>
      </c>
      <c r="B101" s="5">
        <f ca="1">IFERROR(__xludf.DUMMYFUNCTION("""COMPUTED_VALUE"""),70948903)</f>
        <v>70948903</v>
      </c>
      <c r="C101" s="5" t="str">
        <f ca="1">IFERROR(__xludf.DUMMYFUNCTION("""COMPUTED_VALUE"""),"BOMBA AGUA CRISTAL")</f>
        <v>BOMBA AGUA CRISTAL</v>
      </c>
      <c r="D101" s="5">
        <f ca="1">IFERROR(__xludf.DUMMYFUNCTION("""COMPUTED_VALUE"""),13247373)</f>
        <v>13247373</v>
      </c>
      <c r="E101" s="5" t="str">
        <f ca="1">IFERROR(__xludf.DUMMYFUNCTION("""COMPUTED_VALUE"""),"INSPECCION SEMANAL BOMBA AGUA CRISTAL")</f>
        <v>INSPECCION SEMANAL BOMBA AGUA CRISTAL</v>
      </c>
      <c r="F101" s="5" t="str">
        <f ca="1">IFERROR(__xludf.DUMMYFUNCTION("""COMPUTED_VALUE"""),"PLAN MTTO MEC BOMBA AGUA CRISTAL 7094890")</f>
        <v>PLAN MTTO MEC BOMBA AGUA CRISTAL 7094890</v>
      </c>
      <c r="G101" s="5" t="b">
        <f ca="1">IFERROR(__xludf.DUMMYFUNCTION("""COMPUTED_VALUE"""),TRUE)</f>
        <v>1</v>
      </c>
      <c r="H101" s="5"/>
      <c r="I101" s="5"/>
      <c r="J101" s="5">
        <f ca="1">IFERROR(__xludf.DUMMYFUNCTION("""COMPUTED_VALUE"""),13247373)</f>
        <v>13247373</v>
      </c>
      <c r="K101" s="5"/>
      <c r="L101" s="18">
        <f ca="1">IFERROR(__xludf.DUMMYFUNCTION("""COMPUTED_VALUE"""),45325)</f>
        <v>45325</v>
      </c>
      <c r="M101" s="18">
        <f ca="1">IFERROR(__xludf.DUMMYFUNCTION("""COMPUTED_VALUE"""),45325)</f>
        <v>45325</v>
      </c>
      <c r="N101" s="5" t="str">
        <f ca="1">IFERROR(__xludf.DUMMYFUNCTION("""COMPUTED_VALUE"""),"John Edier Gomez Zuñiga")</f>
        <v>John Edier Gomez Zuñiga</v>
      </c>
      <c r="O101" s="2">
        <f ca="1">IFERROR(__xludf.DUMMYFUNCTION("""COMPUTED_VALUE"""),0.1)</f>
        <v>0.1</v>
      </c>
      <c r="P101" s="5">
        <f ca="1">IFERROR(__xludf.DUMMYFUNCTION("""COMPUTED_VALUE"""),94539966)</f>
        <v>94539966</v>
      </c>
      <c r="Q101" s="5" t="str">
        <f ca="1">IFERROR(__xludf.DUMMYFUNCTION("""COMPUTED_VALUE"""),"uuw8UfjvKZg")</f>
        <v>uuw8UfjvKZg</v>
      </c>
      <c r="R101" s="5">
        <f ca="1">IFERROR(__xludf.DUMMYFUNCTION("""COMPUTED_VALUE"""),410)</f>
        <v>410</v>
      </c>
      <c r="S101" s="62">
        <f ca="1">IFERROR(__xludf.DUMMYFUNCTION("""COMPUTED_VALUE"""),0.1)</f>
        <v>0.1</v>
      </c>
      <c r="T101" s="63" t="str">
        <f ca="1">IFERROR(__xludf.DUMMYFUNCTION("""COMPUTED_VALUE"""),"https://storage.googleapis.com/glide-prod.appspot.com/uploads-v2/ly7o78grxPaC6KdgvbpS/pub/3aRdSog0vUtuqPE8AJKD.png")</f>
        <v>https://storage.googleapis.com/glide-prod.appspot.com/uploads-v2/ly7o78grxPaC6KdgvbpS/pub/3aRdSog0vUtuqPE8AJKD.png</v>
      </c>
      <c r="U101" s="5" t="str">
        <f ca="1">IFERROR(__xludf.DUMMYFUNCTION("""COMPUTED_VALUE"""),"BOMBAS DE SERVICIO PROCESOBOMBA AGUA CRISTAL")</f>
        <v>BOMBAS DE SERVICIO PROCESOBOMBA AGUA CRISTAL</v>
      </c>
      <c r="V101" s="5"/>
      <c r="W101" s="5" t="b">
        <f ca="1">IFERROR(__xludf.DUMMYFUNCTION("""COMPUTED_VALUE"""),TRUE)</f>
        <v>1</v>
      </c>
      <c r="X101" s="5" t="str">
        <f ca="1">IFERROR(__xludf.DUMMYFUNCTION("""COMPUTED_VALUE"""),"wmazorra@postobon.com.co,aprmttoyu@postobon.com.co,aprmyu@postobon.com.co,wmora@postobon.com.co,efzapata@postobon.com.co")</f>
        <v>wmazorra@postobon.com.co,aprmttoyu@postobon.com.co,aprmyu@postobon.com.co,wmora@postobon.com.co,efzapata@postobon.com.co</v>
      </c>
      <c r="Y101" s="5" t="str">
        <f ca="1">IFERROR(__xludf.DUMMYFUNCTION("""COMPUTED_VALUE"""),"wmazorra@postobon.com.co")</f>
        <v>wmazorra@postobon.com.co</v>
      </c>
      <c r="Z101" s="5" t="str">
        <f ca="1">IFERROR(__xludf.DUMMYFUNCTION("""COMPUTED_VALUE"""),"B-F3oIlQTGmBV6B53YcsYA")</f>
        <v>B-F3oIlQTGmBV6B53YcsYA</v>
      </c>
      <c r="AA101" s="5"/>
      <c r="AB101" s="5"/>
      <c r="AC101" s="5"/>
      <c r="AD101" s="5">
        <f ca="1">IFERROR(__xludf.DUMMYFUNCTION("""COMPUTED_VALUE"""),19)</f>
        <v>19</v>
      </c>
      <c r="AE101" s="5">
        <f ca="1">IFERROR(__xludf.DUMMYFUNCTION("""COMPUTED_VALUE"""),19)</f>
        <v>19</v>
      </c>
      <c r="AF101" s="5" t="b">
        <f ca="1">IFERROR(__xludf.DUMMYFUNCTION("""COMPUTED_VALUE"""),FALSE)</f>
        <v>0</v>
      </c>
      <c r="AG101" s="5" t="str">
        <f ca="1">IFERROR(__xludf.DUMMYFUNCTION("""COMPUTED_VALUE"""),"INSPECCIONES REALIZADAS")</f>
        <v>INSPECCIONES REALIZADAS</v>
      </c>
      <c r="AH101" s="5"/>
    </row>
    <row r="102" spans="1:34">
      <c r="A102" s="5" t="str">
        <f ca="1">IFERROR(__xludf.DUMMYFUNCTION("""COMPUTED_VALUE"""),"BOMBAS DE SERVICIO PROCESO")</f>
        <v>BOMBAS DE SERVICIO PROCESO</v>
      </c>
      <c r="B102" s="5">
        <f ca="1">IFERROR(__xludf.DUMMYFUNCTION("""COMPUTED_VALUE"""),70948904)</f>
        <v>70948904</v>
      </c>
      <c r="C102" s="5" t="str">
        <f ca="1">IFERROR(__xludf.DUMMYFUNCTION("""COMPUTED_VALUE"""),"BOMBA AGUA CRISTAL")</f>
        <v>BOMBA AGUA CRISTAL</v>
      </c>
      <c r="D102" s="5">
        <f ca="1">IFERROR(__xludf.DUMMYFUNCTION("""COMPUTED_VALUE"""),13247375)</f>
        <v>13247375</v>
      </c>
      <c r="E102" s="5" t="str">
        <f ca="1">IFERROR(__xludf.DUMMYFUNCTION("""COMPUTED_VALUE"""),"INSPECCION SEMANAL BOMBA AGUA CRISTAL")</f>
        <v>INSPECCION SEMANAL BOMBA AGUA CRISTAL</v>
      </c>
      <c r="F102" s="5" t="str">
        <f ca="1">IFERROR(__xludf.DUMMYFUNCTION("""COMPUTED_VALUE"""),"PLAN MTTO MEC BOMBA AGUA CRISTAL70948904")</f>
        <v>PLAN MTTO MEC BOMBA AGUA CRISTAL70948904</v>
      </c>
      <c r="G102" s="5" t="b">
        <f ca="1">IFERROR(__xludf.DUMMYFUNCTION("""COMPUTED_VALUE"""),TRUE)</f>
        <v>1</v>
      </c>
      <c r="H102" s="5" t="str">
        <f ca="1">IFERROR(__xludf.DUMMYFUNCTION("""COMPUTED_VALUE"""),"Bomba con novedad o problema en el checker descarga que provoca gran fuga de líquido ")</f>
        <v xml:space="preserve">Bomba con novedad o problema en el checker descarga que provoca gran fuga de líquido </v>
      </c>
      <c r="I102" s="5"/>
      <c r="J102" s="5">
        <f ca="1">IFERROR(__xludf.DUMMYFUNCTION("""COMPUTED_VALUE"""),13247375)</f>
        <v>13247375</v>
      </c>
      <c r="K102" s="5"/>
      <c r="L102" s="18">
        <f ca="1">IFERROR(__xludf.DUMMYFUNCTION("""COMPUTED_VALUE"""),45325)</f>
        <v>45325</v>
      </c>
      <c r="M102" s="18">
        <f ca="1">IFERROR(__xludf.DUMMYFUNCTION("""COMPUTED_VALUE"""),45325)</f>
        <v>45325</v>
      </c>
      <c r="N102" s="5" t="str">
        <f ca="1">IFERROR(__xludf.DUMMYFUNCTION("""COMPUTED_VALUE"""),"John Edier Gomez Zuñiga")</f>
        <v>John Edier Gomez Zuñiga</v>
      </c>
      <c r="O102" s="2">
        <f ca="1">IFERROR(__xludf.DUMMYFUNCTION("""COMPUTED_VALUE"""),0.1)</f>
        <v>0.1</v>
      </c>
      <c r="P102" s="5">
        <f ca="1">IFERROR(__xludf.DUMMYFUNCTION("""COMPUTED_VALUE"""),94539966)</f>
        <v>94539966</v>
      </c>
      <c r="Q102" s="5" t="str">
        <f ca="1">IFERROR(__xludf.DUMMYFUNCTION("""COMPUTED_VALUE"""),"2qK3AQAb-RY")</f>
        <v>2qK3AQAb-RY</v>
      </c>
      <c r="R102" s="5">
        <f ca="1">IFERROR(__xludf.DUMMYFUNCTION("""COMPUTED_VALUE"""),410)</f>
        <v>410</v>
      </c>
      <c r="S102" s="62">
        <f ca="1">IFERROR(__xludf.DUMMYFUNCTION("""COMPUTED_VALUE"""),0.1)</f>
        <v>0.1</v>
      </c>
      <c r="T102" s="63" t="str">
        <f ca="1">IFERROR(__xludf.DUMMYFUNCTION("""COMPUTED_VALUE"""),"https://storage.googleapis.com/glide-prod.appspot.com/uploads-v2/ly7o78grxPaC6KdgvbpS/pub/3aRdSog0vUtuqPE8AJKD.png")</f>
        <v>https://storage.googleapis.com/glide-prod.appspot.com/uploads-v2/ly7o78grxPaC6KdgvbpS/pub/3aRdSog0vUtuqPE8AJKD.png</v>
      </c>
      <c r="U102" s="5" t="str">
        <f ca="1">IFERROR(__xludf.DUMMYFUNCTION("""COMPUTED_VALUE"""),"BOMBAS DE SERVICIO PROCESOBOMBA AGUA CRISTAL")</f>
        <v>BOMBAS DE SERVICIO PROCESOBOMBA AGUA CRISTAL</v>
      </c>
      <c r="V102" s="5"/>
      <c r="W102" s="5" t="b">
        <f ca="1">IFERROR(__xludf.DUMMYFUNCTION("""COMPUTED_VALUE"""),TRUE)</f>
        <v>1</v>
      </c>
      <c r="X102" s="5" t="str">
        <f ca="1">IFERROR(__xludf.DUMMYFUNCTION("""COMPUTED_VALUE"""),"wmazorra@postobon.com.co,aprmttoyu@postobon.com.co,aprmyu@postobon.com.co,wmora@postobon.com.co,efzapata@postobon.com.co")</f>
        <v>wmazorra@postobon.com.co,aprmttoyu@postobon.com.co,aprmyu@postobon.com.co,wmora@postobon.com.co,efzapata@postobon.com.co</v>
      </c>
      <c r="Y102" s="5" t="str">
        <f ca="1">IFERROR(__xludf.DUMMYFUNCTION("""COMPUTED_VALUE"""),"wmazorra@postobon.com.co")</f>
        <v>wmazorra@postobon.com.co</v>
      </c>
      <c r="Z102" s="5" t="str">
        <f ca="1">IFERROR(__xludf.DUMMYFUNCTION("""COMPUTED_VALUE"""),"Uf-.HBQDRiCIZ.9ypQheiw")</f>
        <v>Uf-.HBQDRiCIZ.9ypQheiw</v>
      </c>
      <c r="AA102" s="63" t="str">
        <f ca="1">IFERROR(__xludf.DUMMYFUNCTION("""COMPUTED_VALUE"""),"https://storage.googleapis.com/glide-prod.appspot.com/uploads-v2/ly7o78grxPaC6KdgvbpS/pub/4tLgxdryofTWVyW5QRpn.jpg")</f>
        <v>https://storage.googleapis.com/glide-prod.appspot.com/uploads-v2/ly7o78grxPaC6KdgvbpS/pub/4tLgxdryofTWVyW5QRpn.jpg</v>
      </c>
      <c r="AB102" s="63" t="str">
        <f ca="1">IFERROR(__xludf.DUMMYFUNCTION("""COMPUTED_VALUE"""),"https://storage.googleapis.com/glide-prod.appspot.com/uploads-v2/ly7o78grxPaC6KdgvbpS/pub/Flll83kWZ3IFsGqKHsF6.jpg")</f>
        <v>https://storage.googleapis.com/glide-prod.appspot.com/uploads-v2/ly7o78grxPaC6KdgvbpS/pub/Flll83kWZ3IFsGqKHsF6.jpg</v>
      </c>
      <c r="AC102" s="5"/>
      <c r="AD102" s="5">
        <f ca="1">IFERROR(__xludf.DUMMYFUNCTION("""COMPUTED_VALUE"""),19)</f>
        <v>19</v>
      </c>
      <c r="AE102" s="5">
        <f ca="1">IFERROR(__xludf.DUMMYFUNCTION("""COMPUTED_VALUE"""),19)</f>
        <v>19</v>
      </c>
      <c r="AF102" s="5" t="b">
        <f ca="1">IFERROR(__xludf.DUMMYFUNCTION("""COMPUTED_VALUE"""),FALSE)</f>
        <v>0</v>
      </c>
      <c r="AG102" s="5" t="str">
        <f ca="1">IFERROR(__xludf.DUMMYFUNCTION("""COMPUTED_VALUE"""),"INSPECCIONES REALIZADAS")</f>
        <v>INSPECCIONES REALIZADAS</v>
      </c>
      <c r="AH102" s="5"/>
    </row>
    <row r="103" spans="1:34">
      <c r="A103" s="5" t="str">
        <f ca="1">IFERROR(__xludf.DUMMYFUNCTION("""COMPUTED_VALUE"""),"BOMBAS DE SERVICIO PROCESO")</f>
        <v>BOMBAS DE SERVICIO PROCESO</v>
      </c>
      <c r="B103" s="5">
        <f ca="1">IFERROR(__xludf.DUMMYFUNCTION("""COMPUTED_VALUE"""),70948907)</f>
        <v>70948907</v>
      </c>
      <c r="C103" s="5" t="str">
        <f ca="1">IFERROR(__xludf.DUMMYFUNCTION("""COMPUTED_VALUE"""),"BOMBA AGUA PRODUCTO")</f>
        <v>BOMBA AGUA PRODUCTO</v>
      </c>
      <c r="D103" s="5">
        <f ca="1">IFERROR(__xludf.DUMMYFUNCTION("""COMPUTED_VALUE"""),13247381)</f>
        <v>13247381</v>
      </c>
      <c r="E103" s="5" t="str">
        <f ca="1">IFERROR(__xludf.DUMMYFUNCTION("""COMPUTED_VALUE"""),"INSPECCION SEMANAL BOMBA AGUA PRODUCTO")</f>
        <v>INSPECCION SEMANAL BOMBA AGUA PRODUCTO</v>
      </c>
      <c r="F103" s="5" t="str">
        <f ca="1">IFERROR(__xludf.DUMMYFUNCTION("""COMPUTED_VALUE"""),"PLAN MTTO MEC BOMBA AGUA PRODUCT70948907")</f>
        <v>PLAN MTTO MEC BOMBA AGUA PRODUCT70948907</v>
      </c>
      <c r="G103" s="5" t="b">
        <f ca="1">IFERROR(__xludf.DUMMYFUNCTION("""COMPUTED_VALUE"""),TRUE)</f>
        <v>1</v>
      </c>
      <c r="H103" s="5"/>
      <c r="I103" s="5"/>
      <c r="J103" s="5">
        <f ca="1">IFERROR(__xludf.DUMMYFUNCTION("""COMPUTED_VALUE"""),13247381)</f>
        <v>13247381</v>
      </c>
      <c r="K103" s="5"/>
      <c r="L103" s="18">
        <f ca="1">IFERROR(__xludf.DUMMYFUNCTION("""COMPUTED_VALUE"""),45325)</f>
        <v>45325</v>
      </c>
      <c r="M103" s="18">
        <f ca="1">IFERROR(__xludf.DUMMYFUNCTION("""COMPUTED_VALUE"""),45325)</f>
        <v>45325</v>
      </c>
      <c r="N103" s="5" t="str">
        <f ca="1">IFERROR(__xludf.DUMMYFUNCTION("""COMPUTED_VALUE"""),"John Edier Gomez Zuñiga")</f>
        <v>John Edier Gomez Zuñiga</v>
      </c>
      <c r="O103" s="2">
        <f ca="1">IFERROR(__xludf.DUMMYFUNCTION("""COMPUTED_VALUE"""),0.1)</f>
        <v>0.1</v>
      </c>
      <c r="P103" s="5">
        <f ca="1">IFERROR(__xludf.DUMMYFUNCTION("""COMPUTED_VALUE"""),94539966)</f>
        <v>94539966</v>
      </c>
      <c r="Q103" s="5" t="str">
        <f ca="1">IFERROR(__xludf.DUMMYFUNCTION("""COMPUTED_VALUE"""),"U_oTVqVZ8V8")</f>
        <v>U_oTVqVZ8V8</v>
      </c>
      <c r="R103" s="5">
        <f ca="1">IFERROR(__xludf.DUMMYFUNCTION("""COMPUTED_VALUE"""),410)</f>
        <v>410</v>
      </c>
      <c r="S103" s="62">
        <f ca="1">IFERROR(__xludf.DUMMYFUNCTION("""COMPUTED_VALUE"""),0.1)</f>
        <v>0.1</v>
      </c>
      <c r="T103" s="63" t="str">
        <f ca="1">IFERROR(__xludf.DUMMYFUNCTION("""COMPUTED_VALUE"""),"https://storage.googleapis.com/glide-prod.appspot.com/uploads-v2/ly7o78grxPaC6KdgvbpS/pub/3aRdSog0vUtuqPE8AJKD.png")</f>
        <v>https://storage.googleapis.com/glide-prod.appspot.com/uploads-v2/ly7o78grxPaC6KdgvbpS/pub/3aRdSog0vUtuqPE8AJKD.png</v>
      </c>
      <c r="U103" s="5" t="str">
        <f ca="1">IFERROR(__xludf.DUMMYFUNCTION("""COMPUTED_VALUE"""),"BOMBAS DE SERVICIO PROCESOBOMBA AGUA PRODUCTO")</f>
        <v>BOMBAS DE SERVICIO PROCESOBOMBA AGUA PRODUCTO</v>
      </c>
      <c r="V103" s="5"/>
      <c r="W103" s="5" t="b">
        <f ca="1">IFERROR(__xludf.DUMMYFUNCTION("""COMPUTED_VALUE"""),TRUE)</f>
        <v>1</v>
      </c>
      <c r="X103" s="5" t="str">
        <f ca="1">IFERROR(__xludf.DUMMYFUNCTION("""COMPUTED_VALUE"""),"wmazorra@postobon.com.co,aprmttoyu@postobon.com.co,aprmyu@postobon.com.co,wmora@postobon.com.co,efzapata@postobon.com.co")</f>
        <v>wmazorra@postobon.com.co,aprmttoyu@postobon.com.co,aprmyu@postobon.com.co,wmora@postobon.com.co,efzapata@postobon.com.co</v>
      </c>
      <c r="Y103" s="5" t="str">
        <f ca="1">IFERROR(__xludf.DUMMYFUNCTION("""COMPUTED_VALUE"""),"wmazorra@postobon.com.co")</f>
        <v>wmazorra@postobon.com.co</v>
      </c>
      <c r="Z103" s="5" t="str">
        <f ca="1">IFERROR(__xludf.DUMMYFUNCTION("""COMPUTED_VALUE"""),"wxXA2wz-SZaMcuv0Ay89zw")</f>
        <v>wxXA2wz-SZaMcuv0Ay89zw</v>
      </c>
      <c r="AA103" s="5"/>
      <c r="AB103" s="5"/>
      <c r="AC103" s="5"/>
      <c r="AD103" s="5">
        <f ca="1">IFERROR(__xludf.DUMMYFUNCTION("""COMPUTED_VALUE"""),19)</f>
        <v>19</v>
      </c>
      <c r="AE103" s="5">
        <f ca="1">IFERROR(__xludf.DUMMYFUNCTION("""COMPUTED_VALUE"""),19)</f>
        <v>19</v>
      </c>
      <c r="AF103" s="5" t="b">
        <f ca="1">IFERROR(__xludf.DUMMYFUNCTION("""COMPUTED_VALUE"""),FALSE)</f>
        <v>0</v>
      </c>
      <c r="AG103" s="5" t="str">
        <f ca="1">IFERROR(__xludf.DUMMYFUNCTION("""COMPUTED_VALUE"""),"INSPECCIONES REALIZADAS")</f>
        <v>INSPECCIONES REALIZADAS</v>
      </c>
      <c r="AH103" s="5"/>
    </row>
    <row r="104" spans="1:34">
      <c r="A104" s="5" t="str">
        <f ca="1">IFERROR(__xludf.DUMMYFUNCTION("""COMPUTED_VALUE"""),"BOMBAS DE SERVICIO PROCESO")</f>
        <v>BOMBAS DE SERVICIO PROCESO</v>
      </c>
      <c r="B104" s="5">
        <f ca="1">IFERROR(__xludf.DUMMYFUNCTION("""COMPUTED_VALUE"""),70948905)</f>
        <v>70948905</v>
      </c>
      <c r="C104" s="5" t="str">
        <f ca="1">IFERROR(__xludf.DUMMYFUNCTION("""COMPUTED_VALUE"""),"BOMBA AGUA PRODUCTO")</f>
        <v>BOMBA AGUA PRODUCTO</v>
      </c>
      <c r="D104" s="5">
        <f ca="1">IFERROR(__xludf.DUMMYFUNCTION("""COMPUTED_VALUE"""),13247377)</f>
        <v>13247377</v>
      </c>
      <c r="E104" s="5" t="str">
        <f ca="1">IFERROR(__xludf.DUMMYFUNCTION("""COMPUTED_VALUE"""),"INSPECCION SEMANAL BOMBA AGUA PRODUCTO")</f>
        <v>INSPECCION SEMANAL BOMBA AGUA PRODUCTO</v>
      </c>
      <c r="F104" s="5" t="str">
        <f ca="1">IFERROR(__xludf.DUMMYFUNCTION("""COMPUTED_VALUE"""),"PLAN MTTO MEC BOMBA AGUA PRODUCT70948905")</f>
        <v>PLAN MTTO MEC BOMBA AGUA PRODUCT70948905</v>
      </c>
      <c r="G104" s="5" t="b">
        <f ca="1">IFERROR(__xludf.DUMMYFUNCTION("""COMPUTED_VALUE"""),TRUE)</f>
        <v>1</v>
      </c>
      <c r="H104" s="5" t="str">
        <f ca="1">IFERROR(__xludf.DUMMYFUNCTION("""COMPUTED_VALUE"""),"Bomba con fuga de líquido por el sello mecánico de la voluta")</f>
        <v>Bomba con fuga de líquido por el sello mecánico de la voluta</v>
      </c>
      <c r="I104" s="5"/>
      <c r="J104" s="5">
        <f ca="1">IFERROR(__xludf.DUMMYFUNCTION("""COMPUTED_VALUE"""),13247377)</f>
        <v>13247377</v>
      </c>
      <c r="K104" s="5"/>
      <c r="L104" s="18">
        <f ca="1">IFERROR(__xludf.DUMMYFUNCTION("""COMPUTED_VALUE"""),45325)</f>
        <v>45325</v>
      </c>
      <c r="M104" s="18">
        <f ca="1">IFERROR(__xludf.DUMMYFUNCTION("""COMPUTED_VALUE"""),45325)</f>
        <v>45325</v>
      </c>
      <c r="N104" s="5" t="str">
        <f ca="1">IFERROR(__xludf.DUMMYFUNCTION("""COMPUTED_VALUE"""),"John Edier Gomez Zuñiga")</f>
        <v>John Edier Gomez Zuñiga</v>
      </c>
      <c r="O104" s="2">
        <f ca="1">IFERROR(__xludf.DUMMYFUNCTION("""COMPUTED_VALUE"""),0.1)</f>
        <v>0.1</v>
      </c>
      <c r="P104" s="5">
        <f ca="1">IFERROR(__xludf.DUMMYFUNCTION("""COMPUTED_VALUE"""),94539966)</f>
        <v>94539966</v>
      </c>
      <c r="Q104" s="5" t="str">
        <f ca="1">IFERROR(__xludf.DUMMYFUNCTION("""COMPUTED_VALUE"""),"Fk-iquM448g")</f>
        <v>Fk-iquM448g</v>
      </c>
      <c r="R104" s="5">
        <f ca="1">IFERROR(__xludf.DUMMYFUNCTION("""COMPUTED_VALUE"""),410)</f>
        <v>410</v>
      </c>
      <c r="S104" s="62">
        <f ca="1">IFERROR(__xludf.DUMMYFUNCTION("""COMPUTED_VALUE"""),0.1)</f>
        <v>0.1</v>
      </c>
      <c r="T104" s="63" t="str">
        <f ca="1">IFERROR(__xludf.DUMMYFUNCTION("""COMPUTED_VALUE"""),"https://storage.googleapis.com/glide-prod.appspot.com/uploads-v2/ly7o78grxPaC6KdgvbpS/pub/3aRdSog0vUtuqPE8AJKD.png")</f>
        <v>https://storage.googleapis.com/glide-prod.appspot.com/uploads-v2/ly7o78grxPaC6KdgvbpS/pub/3aRdSog0vUtuqPE8AJKD.png</v>
      </c>
      <c r="U104" s="5" t="str">
        <f ca="1">IFERROR(__xludf.DUMMYFUNCTION("""COMPUTED_VALUE"""),"BOMBAS DE SERVICIO PROCESOBOMBA AGUA PRODUCTO")</f>
        <v>BOMBAS DE SERVICIO PROCESOBOMBA AGUA PRODUCTO</v>
      </c>
      <c r="V104" s="5"/>
      <c r="W104" s="5" t="b">
        <f ca="1">IFERROR(__xludf.DUMMYFUNCTION("""COMPUTED_VALUE"""),TRUE)</f>
        <v>1</v>
      </c>
      <c r="X104" s="5" t="str">
        <f ca="1">IFERROR(__xludf.DUMMYFUNCTION("""COMPUTED_VALUE"""),"wmazorra@postobon.com.co,aprmttoyu@postobon.com.co,aprmyu@postobon.com.co,wmora@postobon.com.co,efzapata@postobon.com.co")</f>
        <v>wmazorra@postobon.com.co,aprmttoyu@postobon.com.co,aprmyu@postobon.com.co,wmora@postobon.com.co,efzapata@postobon.com.co</v>
      </c>
      <c r="Y104" s="5" t="str">
        <f ca="1">IFERROR(__xludf.DUMMYFUNCTION("""COMPUTED_VALUE"""),"wmazorra@postobon.com.co")</f>
        <v>wmazorra@postobon.com.co</v>
      </c>
      <c r="Z104" s="5" t="str">
        <f ca="1">IFERROR(__xludf.DUMMYFUNCTION("""COMPUTED_VALUE"""),"j89r5Sn1Qh2.0durUbfsQQ")</f>
        <v>j89r5Sn1Qh2.0durUbfsQQ</v>
      </c>
      <c r="AA104" s="63" t="str">
        <f ca="1">IFERROR(__xludf.DUMMYFUNCTION("""COMPUTED_VALUE"""),"https://storage.googleapis.com/glide-prod.appspot.com/uploads-v2/ly7o78grxPaC6KdgvbpS/pub/pIBYoaypyaNdgEjLUymT.jpg")</f>
        <v>https://storage.googleapis.com/glide-prod.appspot.com/uploads-v2/ly7o78grxPaC6KdgvbpS/pub/pIBYoaypyaNdgEjLUymT.jpg</v>
      </c>
      <c r="AB104" s="63" t="str">
        <f ca="1">IFERROR(__xludf.DUMMYFUNCTION("""COMPUTED_VALUE"""),"https://storage.googleapis.com/glide-prod.appspot.com/uploads-v2/ly7o78grxPaC6KdgvbpS/pub/QUugpdJDbVvO9LJC4smY.jpg")</f>
        <v>https://storage.googleapis.com/glide-prod.appspot.com/uploads-v2/ly7o78grxPaC6KdgvbpS/pub/QUugpdJDbVvO9LJC4smY.jpg</v>
      </c>
      <c r="AC104" s="5"/>
      <c r="AD104" s="5">
        <f ca="1">IFERROR(__xludf.DUMMYFUNCTION("""COMPUTED_VALUE"""),19)</f>
        <v>19</v>
      </c>
      <c r="AE104" s="5">
        <f ca="1">IFERROR(__xludf.DUMMYFUNCTION("""COMPUTED_VALUE"""),19)</f>
        <v>19</v>
      </c>
      <c r="AF104" s="5" t="b">
        <f ca="1">IFERROR(__xludf.DUMMYFUNCTION("""COMPUTED_VALUE"""),FALSE)</f>
        <v>0</v>
      </c>
      <c r="AG104" s="5" t="str">
        <f ca="1">IFERROR(__xludf.DUMMYFUNCTION("""COMPUTED_VALUE"""),"INSPECCIONES REALIZADAS")</f>
        <v>INSPECCIONES REALIZADAS</v>
      </c>
      <c r="AH104" s="5"/>
    </row>
    <row r="105" spans="1:34">
      <c r="A105" s="5" t="str">
        <f ca="1">IFERROR(__xludf.DUMMYFUNCTION("""COMPUTED_VALUE"""),"BOMBAS DE SERVICIO PROCESO")</f>
        <v>BOMBAS DE SERVICIO PROCESO</v>
      </c>
      <c r="B105" s="5">
        <f ca="1">IFERROR(__xludf.DUMMYFUNCTION("""COMPUTED_VALUE"""),70948906)</f>
        <v>70948906</v>
      </c>
      <c r="C105" s="5" t="str">
        <f ca="1">IFERROR(__xludf.DUMMYFUNCTION("""COMPUTED_VALUE"""),"BOMBA AGUA PRODUCTO")</f>
        <v>BOMBA AGUA PRODUCTO</v>
      </c>
      <c r="D105" s="5">
        <f ca="1">IFERROR(__xludf.DUMMYFUNCTION("""COMPUTED_VALUE"""),13247379)</f>
        <v>13247379</v>
      </c>
      <c r="E105" s="5" t="str">
        <f ca="1">IFERROR(__xludf.DUMMYFUNCTION("""COMPUTED_VALUE"""),"INSPECCION SEMANAL BOMBA AGUA PRODUCTO")</f>
        <v>INSPECCION SEMANAL BOMBA AGUA PRODUCTO</v>
      </c>
      <c r="F105" s="5" t="str">
        <f ca="1">IFERROR(__xludf.DUMMYFUNCTION("""COMPUTED_VALUE"""),"PLAN MTTO MEC BOMBA AGUA PRODUCT70948906")</f>
        <v>PLAN MTTO MEC BOMBA AGUA PRODUCT70948906</v>
      </c>
      <c r="G105" s="5" t="b">
        <f ca="1">IFERROR(__xludf.DUMMYFUNCTION("""COMPUTED_VALUE"""),TRUE)</f>
        <v>1</v>
      </c>
      <c r="H105" s="5"/>
      <c r="I105" s="5"/>
      <c r="J105" s="5">
        <f ca="1">IFERROR(__xludf.DUMMYFUNCTION("""COMPUTED_VALUE"""),13247379)</f>
        <v>13247379</v>
      </c>
      <c r="K105" s="5"/>
      <c r="L105" s="18">
        <f ca="1">IFERROR(__xludf.DUMMYFUNCTION("""COMPUTED_VALUE"""),45325)</f>
        <v>45325</v>
      </c>
      <c r="M105" s="18">
        <f ca="1">IFERROR(__xludf.DUMMYFUNCTION("""COMPUTED_VALUE"""),45325)</f>
        <v>45325</v>
      </c>
      <c r="N105" s="5" t="str">
        <f ca="1">IFERROR(__xludf.DUMMYFUNCTION("""COMPUTED_VALUE"""),"John Edier Gomez Zuñiga")</f>
        <v>John Edier Gomez Zuñiga</v>
      </c>
      <c r="O105" s="2">
        <f ca="1">IFERROR(__xludf.DUMMYFUNCTION("""COMPUTED_VALUE"""),0.1)</f>
        <v>0.1</v>
      </c>
      <c r="P105" s="5">
        <f ca="1">IFERROR(__xludf.DUMMYFUNCTION("""COMPUTED_VALUE"""),94539966)</f>
        <v>94539966</v>
      </c>
      <c r="Q105" s="5" t="str">
        <f ca="1">IFERROR(__xludf.DUMMYFUNCTION("""COMPUTED_VALUE"""),"W6RlgploJ9o")</f>
        <v>W6RlgploJ9o</v>
      </c>
      <c r="R105" s="5">
        <f ca="1">IFERROR(__xludf.DUMMYFUNCTION("""COMPUTED_VALUE"""),410)</f>
        <v>410</v>
      </c>
      <c r="S105" s="62">
        <f ca="1">IFERROR(__xludf.DUMMYFUNCTION("""COMPUTED_VALUE"""),0.1)</f>
        <v>0.1</v>
      </c>
      <c r="T105" s="63" t="str">
        <f ca="1">IFERROR(__xludf.DUMMYFUNCTION("""COMPUTED_VALUE"""),"https://storage.googleapis.com/glide-prod.appspot.com/uploads-v2/ly7o78grxPaC6KdgvbpS/pub/3aRdSog0vUtuqPE8AJKD.png")</f>
        <v>https://storage.googleapis.com/glide-prod.appspot.com/uploads-v2/ly7o78grxPaC6KdgvbpS/pub/3aRdSog0vUtuqPE8AJKD.png</v>
      </c>
      <c r="U105" s="5" t="str">
        <f ca="1">IFERROR(__xludf.DUMMYFUNCTION("""COMPUTED_VALUE"""),"BOMBAS DE SERVICIO PROCESOBOMBA AGUA PRODUCTO")</f>
        <v>BOMBAS DE SERVICIO PROCESOBOMBA AGUA PRODUCTO</v>
      </c>
      <c r="V105" s="5"/>
      <c r="W105" s="5" t="b">
        <f ca="1">IFERROR(__xludf.DUMMYFUNCTION("""COMPUTED_VALUE"""),TRUE)</f>
        <v>1</v>
      </c>
      <c r="X105" s="5" t="str">
        <f ca="1">IFERROR(__xludf.DUMMYFUNCTION("""COMPUTED_VALUE"""),"wmazorra@postobon.com.co,aprmttoyu@postobon.com.co,aprmyu@postobon.com.co,wmora@postobon.com.co,efzapata@postobon.com.co")</f>
        <v>wmazorra@postobon.com.co,aprmttoyu@postobon.com.co,aprmyu@postobon.com.co,wmora@postobon.com.co,efzapata@postobon.com.co</v>
      </c>
      <c r="Y105" s="5" t="str">
        <f ca="1">IFERROR(__xludf.DUMMYFUNCTION("""COMPUTED_VALUE"""),"wmazorra@postobon.com.co")</f>
        <v>wmazorra@postobon.com.co</v>
      </c>
      <c r="Z105" s="5" t="str">
        <f ca="1">IFERROR(__xludf.DUMMYFUNCTION("""COMPUTED_VALUE"""),"hBV4vfEtRiy22l6m-e.ivg")</f>
        <v>hBV4vfEtRiy22l6m-e.ivg</v>
      </c>
      <c r="AA105" s="5"/>
      <c r="AB105" s="5"/>
      <c r="AC105" s="5"/>
      <c r="AD105" s="5">
        <f ca="1">IFERROR(__xludf.DUMMYFUNCTION("""COMPUTED_VALUE"""),19)</f>
        <v>19</v>
      </c>
      <c r="AE105" s="5">
        <f ca="1">IFERROR(__xludf.DUMMYFUNCTION("""COMPUTED_VALUE"""),19)</f>
        <v>19</v>
      </c>
      <c r="AF105" s="5" t="b">
        <f ca="1">IFERROR(__xludf.DUMMYFUNCTION("""COMPUTED_VALUE"""),FALSE)</f>
        <v>0</v>
      </c>
      <c r="AG105" s="5" t="str">
        <f ca="1">IFERROR(__xludf.DUMMYFUNCTION("""COMPUTED_VALUE"""),"INSPECCIONES REALIZADAS")</f>
        <v>INSPECCIONES REALIZADAS</v>
      </c>
      <c r="AH105" s="5"/>
    </row>
    <row r="106" spans="1:34">
      <c r="A106" s="5" t="str">
        <f ca="1">IFERROR(__xludf.DUMMYFUNCTION("""COMPUTED_VALUE"""),"BOMBAS DE SERVICIO PROCESO")</f>
        <v>BOMBAS DE SERVICIO PROCESO</v>
      </c>
      <c r="B106" s="5">
        <f ca="1">IFERROR(__xludf.DUMMYFUNCTION("""COMPUTED_VALUE"""),70948908)</f>
        <v>70948908</v>
      </c>
      <c r="C106" s="5" t="str">
        <f ca="1">IFERROR(__xludf.DUMMYFUNCTION("""COMPUTED_VALUE"""),"BOMBA AGUA PRODUCTO")</f>
        <v>BOMBA AGUA PRODUCTO</v>
      </c>
      <c r="D106" s="5">
        <f ca="1">IFERROR(__xludf.DUMMYFUNCTION("""COMPUTED_VALUE"""),13247383)</f>
        <v>13247383</v>
      </c>
      <c r="E106" s="5" t="str">
        <f ca="1">IFERROR(__xludf.DUMMYFUNCTION("""COMPUTED_VALUE"""),"INSPECCION SEMANAL BOMBA AGUA PRODUCTO")</f>
        <v>INSPECCION SEMANAL BOMBA AGUA PRODUCTO</v>
      </c>
      <c r="F106" s="5" t="str">
        <f ca="1">IFERROR(__xludf.DUMMYFUNCTION("""COMPUTED_VALUE"""),"PLAN MTTO MEC BOMBA AGUA PRODUCT70948908")</f>
        <v>PLAN MTTO MEC BOMBA AGUA PRODUCT70948908</v>
      </c>
      <c r="G106" s="5" t="b">
        <f ca="1">IFERROR(__xludf.DUMMYFUNCTION("""COMPUTED_VALUE"""),TRUE)</f>
        <v>1</v>
      </c>
      <c r="H106" s="5"/>
      <c r="I106" s="5"/>
      <c r="J106" s="5">
        <f ca="1">IFERROR(__xludf.DUMMYFUNCTION("""COMPUTED_VALUE"""),13247383)</f>
        <v>13247383</v>
      </c>
      <c r="K106" s="5"/>
      <c r="L106" s="18">
        <f ca="1">IFERROR(__xludf.DUMMYFUNCTION("""COMPUTED_VALUE"""),45325)</f>
        <v>45325</v>
      </c>
      <c r="M106" s="18">
        <f ca="1">IFERROR(__xludf.DUMMYFUNCTION("""COMPUTED_VALUE"""),45325)</f>
        <v>45325</v>
      </c>
      <c r="N106" s="5" t="str">
        <f ca="1">IFERROR(__xludf.DUMMYFUNCTION("""COMPUTED_VALUE"""),"John Edier Gomez Zuñiga")</f>
        <v>John Edier Gomez Zuñiga</v>
      </c>
      <c r="O106" s="2">
        <f ca="1">IFERROR(__xludf.DUMMYFUNCTION("""COMPUTED_VALUE"""),0.1)</f>
        <v>0.1</v>
      </c>
      <c r="P106" s="5">
        <f ca="1">IFERROR(__xludf.DUMMYFUNCTION("""COMPUTED_VALUE"""),94539966)</f>
        <v>94539966</v>
      </c>
      <c r="Q106" s="5" t="str">
        <f ca="1">IFERROR(__xludf.DUMMYFUNCTION("""COMPUTED_VALUE"""),"7ec5nPGaJkY")</f>
        <v>7ec5nPGaJkY</v>
      </c>
      <c r="R106" s="5">
        <f ca="1">IFERROR(__xludf.DUMMYFUNCTION("""COMPUTED_VALUE"""),410)</f>
        <v>410</v>
      </c>
      <c r="S106" s="62">
        <f ca="1">IFERROR(__xludf.DUMMYFUNCTION("""COMPUTED_VALUE"""),0.1)</f>
        <v>0.1</v>
      </c>
      <c r="T106" s="63" t="str">
        <f ca="1">IFERROR(__xludf.DUMMYFUNCTION("""COMPUTED_VALUE"""),"https://storage.googleapis.com/glide-prod.appspot.com/uploads-v2/ly7o78grxPaC6KdgvbpS/pub/3aRdSog0vUtuqPE8AJKD.png")</f>
        <v>https://storage.googleapis.com/glide-prod.appspot.com/uploads-v2/ly7o78grxPaC6KdgvbpS/pub/3aRdSog0vUtuqPE8AJKD.png</v>
      </c>
      <c r="U106" s="5" t="str">
        <f ca="1">IFERROR(__xludf.DUMMYFUNCTION("""COMPUTED_VALUE"""),"BOMBAS DE SERVICIO PROCESOBOMBA AGUA PRODUCTO")</f>
        <v>BOMBAS DE SERVICIO PROCESOBOMBA AGUA PRODUCTO</v>
      </c>
      <c r="V106" s="5"/>
      <c r="W106" s="5" t="b">
        <f ca="1">IFERROR(__xludf.DUMMYFUNCTION("""COMPUTED_VALUE"""),TRUE)</f>
        <v>1</v>
      </c>
      <c r="X106" s="5" t="str">
        <f ca="1">IFERROR(__xludf.DUMMYFUNCTION("""COMPUTED_VALUE"""),"wmazorra@postobon.com.co,aprmttoyu@postobon.com.co,aprmyu@postobon.com.co,wmora@postobon.com.co,efzapata@postobon.com.co")</f>
        <v>wmazorra@postobon.com.co,aprmttoyu@postobon.com.co,aprmyu@postobon.com.co,wmora@postobon.com.co,efzapata@postobon.com.co</v>
      </c>
      <c r="Y106" s="5" t="str">
        <f ca="1">IFERROR(__xludf.DUMMYFUNCTION("""COMPUTED_VALUE"""),"wmazorra@postobon.com.co")</f>
        <v>wmazorra@postobon.com.co</v>
      </c>
      <c r="Z106" s="5" t="str">
        <f ca="1">IFERROR(__xludf.DUMMYFUNCTION("""COMPUTED_VALUE"""),"BU.eVzprTwWym3rtBDPxNg")</f>
        <v>BU.eVzprTwWym3rtBDPxNg</v>
      </c>
      <c r="AA106" s="5"/>
      <c r="AB106" s="5"/>
      <c r="AC106" s="5"/>
      <c r="AD106" s="5">
        <f ca="1">IFERROR(__xludf.DUMMYFUNCTION("""COMPUTED_VALUE"""),19)</f>
        <v>19</v>
      </c>
      <c r="AE106" s="5">
        <f ca="1">IFERROR(__xludf.DUMMYFUNCTION("""COMPUTED_VALUE"""),19)</f>
        <v>19</v>
      </c>
      <c r="AF106" s="5" t="b">
        <f ca="1">IFERROR(__xludf.DUMMYFUNCTION("""COMPUTED_VALUE"""),FALSE)</f>
        <v>0</v>
      </c>
      <c r="AG106" s="5" t="str">
        <f ca="1">IFERROR(__xludf.DUMMYFUNCTION("""COMPUTED_VALUE"""),"INSPECCIONES REALIZADAS")</f>
        <v>INSPECCIONES REALIZADAS</v>
      </c>
      <c r="AH106" s="5"/>
    </row>
    <row r="107" spans="1:34">
      <c r="A107" s="5" t="str">
        <f ca="1">IFERROR(__xludf.DUMMYFUNCTION("""COMPUTED_VALUE"""),"BOMBAS DE SERVICIO PROCESO")</f>
        <v>BOMBAS DE SERVICIO PROCESO</v>
      </c>
      <c r="B107" s="5">
        <f ca="1">IFERROR(__xludf.DUMMYFUNCTION("""COMPUTED_VALUE"""),70948913)</f>
        <v>70948913</v>
      </c>
      <c r="C107" s="5" t="str">
        <f ca="1">IFERROR(__xludf.DUMMYFUNCTION("""COMPUTED_VALUE"""),"BOMBA AGUA SERVICIOS EDIFICIOS ADMINIS")</f>
        <v>BOMBA AGUA SERVICIOS EDIFICIOS ADMINIS</v>
      </c>
      <c r="D107" s="5">
        <f ca="1">IFERROR(__xludf.DUMMYFUNCTION("""COMPUTED_VALUE"""),13247388)</f>
        <v>13247388</v>
      </c>
      <c r="E107" s="5" t="str">
        <f ca="1">IFERROR(__xludf.DUMMYFUNCTION("""COMPUTED_VALUE"""),"INSPECCION SEMANAL BOMBA EDIF ADMI")</f>
        <v>INSPECCION SEMANAL BOMBA EDIF ADMI</v>
      </c>
      <c r="F107" s="5" t="str">
        <f ca="1">IFERROR(__xludf.DUMMYFUNCTION("""COMPUTED_VALUE"""),"PLAN MTTO MEC BOMBA SERV EDI 70948913")</f>
        <v>PLAN MTTO MEC BOMBA SERV EDI 70948913</v>
      </c>
      <c r="G107" s="5" t="b">
        <f ca="1">IFERROR(__xludf.DUMMYFUNCTION("""COMPUTED_VALUE"""),TRUE)</f>
        <v>1</v>
      </c>
      <c r="H107" s="5"/>
      <c r="I107" s="5"/>
      <c r="J107" s="5">
        <f ca="1">IFERROR(__xludf.DUMMYFUNCTION("""COMPUTED_VALUE"""),13247388)</f>
        <v>13247388</v>
      </c>
      <c r="K107" s="5"/>
      <c r="L107" s="18">
        <f ca="1">IFERROR(__xludf.DUMMYFUNCTION("""COMPUTED_VALUE"""),45324)</f>
        <v>45324</v>
      </c>
      <c r="M107" s="18">
        <f ca="1">IFERROR(__xludf.DUMMYFUNCTION("""COMPUTED_VALUE"""),45324)</f>
        <v>45324</v>
      </c>
      <c r="N107" s="5" t="str">
        <f ca="1">IFERROR(__xludf.DUMMYFUNCTION("""COMPUTED_VALUE"""),"John Edier Gomez Zuñiga")</f>
        <v>John Edier Gomez Zuñiga</v>
      </c>
      <c r="O107" s="2">
        <f ca="1">IFERROR(__xludf.DUMMYFUNCTION("""COMPUTED_VALUE"""),0.1)</f>
        <v>0.1</v>
      </c>
      <c r="P107" s="5">
        <f ca="1">IFERROR(__xludf.DUMMYFUNCTION("""COMPUTED_VALUE"""),94539966)</f>
        <v>94539966</v>
      </c>
      <c r="Q107" s="5" t="str">
        <f ca="1">IFERROR(__xludf.DUMMYFUNCTION("""COMPUTED_VALUE"""),"wD4H9lwWk14")</f>
        <v>wD4H9lwWk14</v>
      </c>
      <c r="R107" s="5">
        <f ca="1">IFERROR(__xludf.DUMMYFUNCTION("""COMPUTED_VALUE"""),410)</f>
        <v>410</v>
      </c>
      <c r="S107" s="62">
        <f ca="1">IFERROR(__xludf.DUMMYFUNCTION("""COMPUTED_VALUE"""),0.1)</f>
        <v>0.1</v>
      </c>
      <c r="T107" s="63" t="str">
        <f ca="1">IFERROR(__xludf.DUMMYFUNCTION("""COMPUTED_VALUE"""),"https://storage.googleapis.com/glide-prod.appspot.com/uploads-v2/ly7o78grxPaC6KdgvbpS/pub/3aRdSog0vUtuqPE8AJKD.png")</f>
        <v>https://storage.googleapis.com/glide-prod.appspot.com/uploads-v2/ly7o78grxPaC6KdgvbpS/pub/3aRdSog0vUtuqPE8AJKD.png</v>
      </c>
      <c r="U107" s="5" t="str">
        <f ca="1">IFERROR(__xludf.DUMMYFUNCTION("""COMPUTED_VALUE"""),"BOMBAS DE SERVICIO PROCESOBOMBA AGUA SERVICIOS EDIFICIOS ADMINIS")</f>
        <v>BOMBAS DE SERVICIO PROCESOBOMBA AGUA SERVICIOS EDIFICIOS ADMINIS</v>
      </c>
      <c r="V107" s="5"/>
      <c r="W107" s="5" t="b">
        <f ca="1">IFERROR(__xludf.DUMMYFUNCTION("""COMPUTED_VALUE"""),TRUE)</f>
        <v>1</v>
      </c>
      <c r="X107" s="5" t="str">
        <f ca="1">IFERROR(__xludf.DUMMYFUNCTION("""COMPUTED_VALUE"""),"wmazorra@postobon.com.co,aprmttoyu@postobon.com.co,aprmyu@postobon.com.co,wmora@postobon.com.co,efzapata@postobon.com.co")</f>
        <v>wmazorra@postobon.com.co,aprmttoyu@postobon.com.co,aprmyu@postobon.com.co,wmora@postobon.com.co,efzapata@postobon.com.co</v>
      </c>
      <c r="Y107" s="5" t="str">
        <f ca="1">IFERROR(__xludf.DUMMYFUNCTION("""COMPUTED_VALUE"""),"wmazorra@postobon.com.co")</f>
        <v>wmazorra@postobon.com.co</v>
      </c>
      <c r="Z107" s="5" t="str">
        <f ca="1">IFERROR(__xludf.DUMMYFUNCTION("""COMPUTED_VALUE"""),"BNxTLgETQ.WzXV7DHGQ9jQ")</f>
        <v>BNxTLgETQ.WzXV7DHGQ9jQ</v>
      </c>
      <c r="AA107" s="5"/>
      <c r="AB107" s="5"/>
      <c r="AC107" s="5"/>
      <c r="AD107" s="5">
        <f ca="1">IFERROR(__xludf.DUMMYFUNCTION("""COMPUTED_VALUE"""),19)</f>
        <v>19</v>
      </c>
      <c r="AE107" s="5">
        <f ca="1">IFERROR(__xludf.DUMMYFUNCTION("""COMPUTED_VALUE"""),19)</f>
        <v>19</v>
      </c>
      <c r="AF107" s="5" t="b">
        <f ca="1">IFERROR(__xludf.DUMMYFUNCTION("""COMPUTED_VALUE"""),FALSE)</f>
        <v>0</v>
      </c>
      <c r="AG107" s="5" t="str">
        <f ca="1">IFERROR(__xludf.DUMMYFUNCTION("""COMPUTED_VALUE"""),"INSPECCIONES REALIZADAS")</f>
        <v>INSPECCIONES REALIZADAS</v>
      </c>
      <c r="AH107" s="5"/>
    </row>
    <row r="108" spans="1:34">
      <c r="A108" s="5" t="str">
        <f ca="1">IFERROR(__xludf.DUMMYFUNCTION("""COMPUTED_VALUE"""),"BOMBAS DE SERVICIO PROCESO")</f>
        <v>BOMBAS DE SERVICIO PROCESO</v>
      </c>
      <c r="B108" s="5">
        <f ca="1">IFERROR(__xludf.DUMMYFUNCTION("""COMPUTED_VALUE"""),70948914)</f>
        <v>70948914</v>
      </c>
      <c r="C108" s="5" t="str">
        <f ca="1">IFERROR(__xludf.DUMMYFUNCTION("""COMPUTED_VALUE"""),"BOMBA AGUA SERVICIOS EDIFICIOS ADMINIS")</f>
        <v>BOMBA AGUA SERVICIOS EDIFICIOS ADMINIS</v>
      </c>
      <c r="D108" s="5">
        <f ca="1">IFERROR(__xludf.DUMMYFUNCTION("""COMPUTED_VALUE"""),13247391)</f>
        <v>13247391</v>
      </c>
      <c r="E108" s="5" t="str">
        <f ca="1">IFERROR(__xludf.DUMMYFUNCTION("""COMPUTED_VALUE"""),"INSPECCION SEMANAL BOMBA EDIF ADMI")</f>
        <v>INSPECCION SEMANAL BOMBA EDIF ADMI</v>
      </c>
      <c r="F108" s="5" t="str">
        <f ca="1">IFERROR(__xludf.DUMMYFUNCTION("""COMPUTED_VALUE"""),"PLAN MTTO MEC BOMBA SERV EDI 70948914")</f>
        <v>PLAN MTTO MEC BOMBA SERV EDI 70948914</v>
      </c>
      <c r="G108" s="5" t="b">
        <f ca="1">IFERROR(__xludf.DUMMYFUNCTION("""COMPUTED_VALUE"""),TRUE)</f>
        <v>1</v>
      </c>
      <c r="H108" s="5"/>
      <c r="I108" s="5"/>
      <c r="J108" s="5">
        <f ca="1">IFERROR(__xludf.DUMMYFUNCTION("""COMPUTED_VALUE"""),13247391)</f>
        <v>13247391</v>
      </c>
      <c r="K108" s="5"/>
      <c r="L108" s="18">
        <f ca="1">IFERROR(__xludf.DUMMYFUNCTION("""COMPUTED_VALUE"""),45325)</f>
        <v>45325</v>
      </c>
      <c r="M108" s="18">
        <f ca="1">IFERROR(__xludf.DUMMYFUNCTION("""COMPUTED_VALUE"""),45325)</f>
        <v>45325</v>
      </c>
      <c r="N108" s="5" t="str">
        <f ca="1">IFERROR(__xludf.DUMMYFUNCTION("""COMPUTED_VALUE"""),"John Edier Gomez Zuñiga")</f>
        <v>John Edier Gomez Zuñiga</v>
      </c>
      <c r="O108" s="2">
        <f ca="1">IFERROR(__xludf.DUMMYFUNCTION("""COMPUTED_VALUE"""),0.1)</f>
        <v>0.1</v>
      </c>
      <c r="P108" s="5">
        <f ca="1">IFERROR(__xludf.DUMMYFUNCTION("""COMPUTED_VALUE"""),94539966)</f>
        <v>94539966</v>
      </c>
      <c r="Q108" s="5" t="str">
        <f ca="1">IFERROR(__xludf.DUMMYFUNCTION("""COMPUTED_VALUE"""),"Bt0qWIhlEG4")</f>
        <v>Bt0qWIhlEG4</v>
      </c>
      <c r="R108" s="5">
        <f ca="1">IFERROR(__xludf.DUMMYFUNCTION("""COMPUTED_VALUE"""),410)</f>
        <v>410</v>
      </c>
      <c r="S108" s="62">
        <f ca="1">IFERROR(__xludf.DUMMYFUNCTION("""COMPUTED_VALUE"""),0.1)</f>
        <v>0.1</v>
      </c>
      <c r="T108" s="63" t="str">
        <f ca="1">IFERROR(__xludf.DUMMYFUNCTION("""COMPUTED_VALUE"""),"https://storage.googleapis.com/glide-prod.appspot.com/uploads-v2/ly7o78grxPaC6KdgvbpS/pub/3aRdSog0vUtuqPE8AJKD.png")</f>
        <v>https://storage.googleapis.com/glide-prod.appspot.com/uploads-v2/ly7o78grxPaC6KdgvbpS/pub/3aRdSog0vUtuqPE8AJKD.png</v>
      </c>
      <c r="U108" s="5" t="str">
        <f ca="1">IFERROR(__xludf.DUMMYFUNCTION("""COMPUTED_VALUE"""),"BOMBAS DE SERVICIO PROCESOBOMBA AGUA SERVICIOS EDIFICIOS ADMINIS")</f>
        <v>BOMBAS DE SERVICIO PROCESOBOMBA AGUA SERVICIOS EDIFICIOS ADMINIS</v>
      </c>
      <c r="V108" s="5"/>
      <c r="W108" s="5" t="b">
        <f ca="1">IFERROR(__xludf.DUMMYFUNCTION("""COMPUTED_VALUE"""),TRUE)</f>
        <v>1</v>
      </c>
      <c r="X108" s="5" t="str">
        <f ca="1">IFERROR(__xludf.DUMMYFUNCTION("""COMPUTED_VALUE"""),"wmazorra@postobon.com.co,aprmttoyu@postobon.com.co,aprmyu@postobon.com.co,wmora@postobon.com.co,efzapata@postobon.com.co")</f>
        <v>wmazorra@postobon.com.co,aprmttoyu@postobon.com.co,aprmyu@postobon.com.co,wmora@postobon.com.co,efzapata@postobon.com.co</v>
      </c>
      <c r="Y108" s="5" t="str">
        <f ca="1">IFERROR(__xludf.DUMMYFUNCTION("""COMPUTED_VALUE"""),"wmazorra@postobon.com.co")</f>
        <v>wmazorra@postobon.com.co</v>
      </c>
      <c r="Z108" s="5" t="str">
        <f ca="1">IFERROR(__xludf.DUMMYFUNCTION("""COMPUTED_VALUE"""),"QGk4-r0.Qj2YVwoZ.lzzSA")</f>
        <v>QGk4-r0.Qj2YVwoZ.lzzSA</v>
      </c>
      <c r="AA108" s="5"/>
      <c r="AB108" s="5"/>
      <c r="AC108" s="5"/>
      <c r="AD108" s="5">
        <f ca="1">IFERROR(__xludf.DUMMYFUNCTION("""COMPUTED_VALUE"""),19)</f>
        <v>19</v>
      </c>
      <c r="AE108" s="5">
        <f ca="1">IFERROR(__xludf.DUMMYFUNCTION("""COMPUTED_VALUE"""),19)</f>
        <v>19</v>
      </c>
      <c r="AF108" s="5" t="b">
        <f ca="1">IFERROR(__xludf.DUMMYFUNCTION("""COMPUTED_VALUE"""),FALSE)</f>
        <v>0</v>
      </c>
      <c r="AG108" s="5" t="str">
        <f ca="1">IFERROR(__xludf.DUMMYFUNCTION("""COMPUTED_VALUE"""),"INSPECCIONES REALIZADAS")</f>
        <v>INSPECCIONES REALIZADAS</v>
      </c>
      <c r="AH108" s="5"/>
    </row>
    <row r="109" spans="1:34">
      <c r="A109" s="5" t="str">
        <f ca="1">IFERROR(__xludf.DUMMYFUNCTION("""COMPUTED_VALUE"""),"TRATAMIENTO DE AGUA PARA ENVASADO")</f>
        <v>TRATAMIENTO DE AGUA PARA ENVASADO</v>
      </c>
      <c r="B109" s="5">
        <f ca="1">IFERROR(__xludf.DUMMYFUNCTION("""COMPUTED_VALUE"""),70948930)</f>
        <v>70948930</v>
      </c>
      <c r="C109" s="5" t="str">
        <f ca="1">IFERROR(__xludf.DUMMYFUNCTION("""COMPUTED_VALUE"""),"BOMBA AGUA RETROLAVADO FILTRO ARENA")</f>
        <v>BOMBA AGUA RETROLAVADO FILTRO ARENA</v>
      </c>
      <c r="D109" s="5">
        <f ca="1">IFERROR(__xludf.DUMMYFUNCTION("""COMPUTED_VALUE"""),13247384)</f>
        <v>13247384</v>
      </c>
      <c r="E109" s="5" t="str">
        <f ca="1">IFERROR(__xludf.DUMMYFUNCTION("""COMPUTED_VALUE"""),"INSPECCION SEMANAL BOMBA RETRO FILTRO AR")</f>
        <v>INSPECCION SEMANAL BOMBA RETRO FILTRO AR</v>
      </c>
      <c r="F109" s="5" t="str">
        <f ca="1">IFERROR(__xludf.DUMMYFUNCTION("""COMPUTED_VALUE"""),"PLAN MTTO MEC BOMBA FILTRO ARENA70948908")</f>
        <v>PLAN MTTO MEC BOMBA FILTRO ARENA70948908</v>
      </c>
      <c r="G109" s="5" t="b">
        <f ca="1">IFERROR(__xludf.DUMMYFUNCTION("""COMPUTED_VALUE"""),TRUE)</f>
        <v>1</v>
      </c>
      <c r="H109" s="5"/>
      <c r="I109" s="5"/>
      <c r="J109" s="5">
        <f ca="1">IFERROR(__xludf.DUMMYFUNCTION("""COMPUTED_VALUE"""),13247384)</f>
        <v>13247384</v>
      </c>
      <c r="K109" s="5"/>
      <c r="L109" s="18">
        <f ca="1">IFERROR(__xludf.DUMMYFUNCTION("""COMPUTED_VALUE"""),45324)</f>
        <v>45324</v>
      </c>
      <c r="M109" s="18">
        <f ca="1">IFERROR(__xludf.DUMMYFUNCTION("""COMPUTED_VALUE"""),45324)</f>
        <v>45324</v>
      </c>
      <c r="N109" s="5" t="str">
        <f ca="1">IFERROR(__xludf.DUMMYFUNCTION("""COMPUTED_VALUE"""),"John Edier Gomez Zuñiga")</f>
        <v>John Edier Gomez Zuñiga</v>
      </c>
      <c r="O109" s="2">
        <f ca="1">IFERROR(__xludf.DUMMYFUNCTION("""COMPUTED_VALUE"""),0.1)</f>
        <v>0.1</v>
      </c>
      <c r="P109" s="5">
        <f ca="1">IFERROR(__xludf.DUMMYFUNCTION("""COMPUTED_VALUE"""),94539966)</f>
        <v>94539966</v>
      </c>
      <c r="Q109" s="5" t="str">
        <f ca="1">IFERROR(__xludf.DUMMYFUNCTION("""COMPUTED_VALUE"""),"6KyOWYxdgro")</f>
        <v>6KyOWYxdgro</v>
      </c>
      <c r="R109" s="5">
        <f ca="1">IFERROR(__xludf.DUMMYFUNCTION("""COMPUTED_VALUE"""),410)</f>
        <v>410</v>
      </c>
      <c r="S109" s="62">
        <f ca="1">IFERROR(__xludf.DUMMYFUNCTION("""COMPUTED_VALUE"""),0.1)</f>
        <v>0.1</v>
      </c>
      <c r="T109" s="63" t="str">
        <f ca="1">IFERROR(__xludf.DUMMYFUNCTION("""COMPUTED_VALUE"""),"https://storage.googleapis.com/glide-prod.appspot.com/uploads-v2/ly7o78grxPaC6KdgvbpS/pub/3aRdSog0vUtuqPE8AJKD.png")</f>
        <v>https://storage.googleapis.com/glide-prod.appspot.com/uploads-v2/ly7o78grxPaC6KdgvbpS/pub/3aRdSog0vUtuqPE8AJKD.png</v>
      </c>
      <c r="U109" s="5" t="str">
        <f ca="1">IFERROR(__xludf.DUMMYFUNCTION("""COMPUTED_VALUE"""),"TRATAMIENTO DE AGUA PARA ENVASADOBOMBA AGUA RETROLAVADO FILTRO ARENA")</f>
        <v>TRATAMIENTO DE AGUA PARA ENVASADOBOMBA AGUA RETROLAVADO FILTRO ARENA</v>
      </c>
      <c r="V109" s="5"/>
      <c r="W109" s="5" t="b">
        <f ca="1">IFERROR(__xludf.DUMMYFUNCTION("""COMPUTED_VALUE"""),TRUE)</f>
        <v>1</v>
      </c>
      <c r="X109" s="5" t="str">
        <f ca="1">IFERROR(__xludf.DUMMYFUNCTION("""COMPUTED_VALUE"""),"wmazorra@postobon.com.co,aprmttoyu@postobon.com.co,aprmyu@postobon.com.co,wmora@postobon.com.co,efzapata@postobon.com.co")</f>
        <v>wmazorra@postobon.com.co,aprmttoyu@postobon.com.co,aprmyu@postobon.com.co,wmora@postobon.com.co,efzapata@postobon.com.co</v>
      </c>
      <c r="Y109" s="5" t="str">
        <f ca="1">IFERROR(__xludf.DUMMYFUNCTION("""COMPUTED_VALUE"""),"wmazorra@postobon.com.co")</f>
        <v>wmazorra@postobon.com.co</v>
      </c>
      <c r="Z109" s="5" t="str">
        <f ca="1">IFERROR(__xludf.DUMMYFUNCTION("""COMPUTED_VALUE"""),"r5IUjIG.T46UX8BD9.E-mQ")</f>
        <v>r5IUjIG.T46UX8BD9.E-mQ</v>
      </c>
      <c r="AA109" s="5"/>
      <c r="AB109" s="5"/>
      <c r="AC109" s="5"/>
      <c r="AD109" s="5">
        <f ca="1">IFERROR(__xludf.DUMMYFUNCTION("""COMPUTED_VALUE"""),19)</f>
        <v>19</v>
      </c>
      <c r="AE109" s="5">
        <f ca="1">IFERROR(__xludf.DUMMYFUNCTION("""COMPUTED_VALUE"""),19)</f>
        <v>19</v>
      </c>
      <c r="AF109" s="5" t="b">
        <f ca="1">IFERROR(__xludf.DUMMYFUNCTION("""COMPUTED_VALUE"""),FALSE)</f>
        <v>0</v>
      </c>
      <c r="AG109" s="5" t="str">
        <f ca="1">IFERROR(__xludf.DUMMYFUNCTION("""COMPUTED_VALUE"""),"INSPECCIONES REALIZADAS")</f>
        <v>INSPECCIONES REALIZADAS</v>
      </c>
      <c r="AH109" s="5"/>
    </row>
    <row r="110" spans="1:34">
      <c r="A110" s="5" t="str">
        <f ca="1">IFERROR(__xludf.DUMMYFUNCTION("""COMPUTED_VALUE"""),"EQUIPOS PARA PREPARACION DE JARABE")</f>
        <v>EQUIPOS PARA PREPARACION DE JARABE</v>
      </c>
      <c r="B110" s="5">
        <f ca="1">IFERROR(__xludf.DUMMYFUNCTION("""COMPUTED_VALUE"""),69963405)</f>
        <v>69963405</v>
      </c>
      <c r="C110" s="5" t="str">
        <f ca="1">IFERROR(__xludf.DUMMYFUNCTION("""COMPUTED_VALUE"""),"TANQUE DE JARABE")</f>
        <v>TANQUE DE JARABE</v>
      </c>
      <c r="D110" s="5">
        <f ca="1">IFERROR(__xludf.DUMMYFUNCTION("""COMPUTED_VALUE"""),13247446)</f>
        <v>13247446</v>
      </c>
      <c r="E110" s="5" t="str">
        <f ca="1">IFERROR(__xludf.DUMMYFUNCTION("""COMPUTED_VALUE"""),"INSPECCION SEMANAL BOMBA Tanque Jarabe 2")</f>
        <v>INSPECCION SEMANAL BOMBA Tanque Jarabe 2</v>
      </c>
      <c r="F110" s="5" t="str">
        <f ca="1">IFERROR(__xludf.DUMMYFUNCTION("""COMPUTED_VALUE"""),"REVISAR ESTADO TANQUE,TUBERIAS, VALVULAS")</f>
        <v>REVISAR ESTADO TANQUE,TUBERIAS, VALVULAS</v>
      </c>
      <c r="G110" s="5" t="b">
        <f ca="1">IFERROR(__xludf.DUMMYFUNCTION("""COMPUTED_VALUE"""),TRUE)</f>
        <v>1</v>
      </c>
      <c r="H110" s="5"/>
      <c r="I110" s="5"/>
      <c r="J110" s="5">
        <f ca="1">IFERROR(__xludf.DUMMYFUNCTION("""COMPUTED_VALUE"""),13247446)</f>
        <v>13247446</v>
      </c>
      <c r="K110" s="5"/>
      <c r="L110" s="18">
        <f ca="1">IFERROR(__xludf.DUMMYFUNCTION("""COMPUTED_VALUE"""),45324)</f>
        <v>45324</v>
      </c>
      <c r="M110" s="18">
        <f ca="1">IFERROR(__xludf.DUMMYFUNCTION("""COMPUTED_VALUE"""),45324)</f>
        <v>45324</v>
      </c>
      <c r="N110" s="5" t="str">
        <f ca="1">IFERROR(__xludf.DUMMYFUNCTION("""COMPUTED_VALUE"""),"Moreno Pernia Bladimir")</f>
        <v>Moreno Pernia Bladimir</v>
      </c>
      <c r="O110" s="2">
        <f ca="1">IFERROR(__xludf.DUMMYFUNCTION("""COMPUTED_VALUE"""),0.02)</f>
        <v>0.02</v>
      </c>
      <c r="P110" s="5">
        <f ca="1">IFERROR(__xludf.DUMMYFUNCTION("""COMPUTED_VALUE"""),20010003)</f>
        <v>20010003</v>
      </c>
      <c r="Q110" s="5" t="str">
        <f ca="1">IFERROR(__xludf.DUMMYFUNCTION("""COMPUTED_VALUE"""),"XRJro2GIbpI")</f>
        <v>XRJro2GIbpI</v>
      </c>
      <c r="R110" s="5">
        <f ca="1">IFERROR(__xludf.DUMMYFUNCTION("""COMPUTED_VALUE"""),410)</f>
        <v>410</v>
      </c>
      <c r="S110" s="62">
        <f ca="1">IFERROR(__xludf.DUMMYFUNCTION("""COMPUTED_VALUE"""),0.02)</f>
        <v>0.02</v>
      </c>
      <c r="T110" s="63" t="str">
        <f ca="1">IFERROR(__xludf.DUMMYFUNCTION("""COMPUTED_VALUE"""),"https://storage.googleapis.com/glide-prod.appspot.com/uploads-v2/ly7o78grxPaC6KdgvbpS/pub/3aRdSog0vUtuqPE8AJKD.png")</f>
        <v>https://storage.googleapis.com/glide-prod.appspot.com/uploads-v2/ly7o78grxPaC6KdgvbpS/pub/3aRdSog0vUtuqPE8AJKD.png</v>
      </c>
      <c r="U110" s="5" t="str">
        <f ca="1">IFERROR(__xludf.DUMMYFUNCTION("""COMPUTED_VALUE"""),"EQUIPOS PARA PREPARACION DE JARABETANQUE DE JARABE")</f>
        <v>EQUIPOS PARA PREPARACION DE JARABETANQUE DE JARABE</v>
      </c>
      <c r="V110" s="5"/>
      <c r="W110" s="5" t="b">
        <f ca="1">IFERROR(__xludf.DUMMYFUNCTION("""COMPUTED_VALUE"""),TRUE)</f>
        <v>1</v>
      </c>
      <c r="X110" s="5" t="str">
        <f ca="1">IFERROR(__xludf.DUMMYFUNCTION("""COMPUTED_VALUE"""),"efzapata@postobon.com.co,aprmttoyu@postobon.com.co,aprmyu@postobon.com.co,wmora@postobon.com.co,efzapata@postobon.com.co")</f>
        <v>efzapata@postobon.com.co,aprmttoyu@postobon.com.co,aprmyu@postobon.com.co,wmora@postobon.com.co,efzapata@postobon.com.co</v>
      </c>
      <c r="Y110" s="5" t="str">
        <f ca="1">IFERROR(__xludf.DUMMYFUNCTION("""COMPUTED_VALUE"""),"efzapata@postobon.com.co")</f>
        <v>efzapata@postobon.com.co</v>
      </c>
      <c r="Z110" s="5" t="str">
        <f ca="1">IFERROR(__xludf.DUMMYFUNCTION("""COMPUTED_VALUE"""),"JgwU4Z.hSSutQr.yxEhPTw")</f>
        <v>JgwU4Z.hSSutQr.yxEhPTw</v>
      </c>
      <c r="AA110" s="5"/>
      <c r="AB110" s="5"/>
      <c r="AC110" s="5"/>
      <c r="AD110" s="5">
        <f ca="1">IFERROR(__xludf.DUMMYFUNCTION("""COMPUTED_VALUE"""),35)</f>
        <v>35</v>
      </c>
      <c r="AE110" s="5">
        <f ca="1">IFERROR(__xludf.DUMMYFUNCTION("""COMPUTED_VALUE"""),35)</f>
        <v>35</v>
      </c>
      <c r="AF110" s="5" t="b">
        <f ca="1">IFERROR(__xludf.DUMMYFUNCTION("""COMPUTED_VALUE"""),FALSE)</f>
        <v>0</v>
      </c>
      <c r="AG110" s="5" t="str">
        <f ca="1">IFERROR(__xludf.DUMMYFUNCTION("""COMPUTED_VALUE"""),"INSPECCIONES REALIZADAS")</f>
        <v>INSPECCIONES REALIZADAS</v>
      </c>
      <c r="AH110" s="5"/>
    </row>
    <row r="111" spans="1:34">
      <c r="A111" s="5" t="str">
        <f ca="1">IFERROR(__xludf.DUMMYFUNCTION("""COMPUTED_VALUE"""),"EQUIPOS PARA PREPARACION DE JARABE")</f>
        <v>EQUIPOS PARA PREPARACION DE JARABE</v>
      </c>
      <c r="B111" s="5">
        <f ca="1">IFERROR(__xludf.DUMMYFUNCTION("""COMPUTED_VALUE"""),69963405)</f>
        <v>69963405</v>
      </c>
      <c r="C111" s="5" t="str">
        <f ca="1">IFERROR(__xludf.DUMMYFUNCTION("""COMPUTED_VALUE"""),"TANQUE DE JARABE")</f>
        <v>TANQUE DE JARABE</v>
      </c>
      <c r="D111" s="5">
        <f ca="1">IFERROR(__xludf.DUMMYFUNCTION("""COMPUTED_VALUE"""),13247446)</f>
        <v>13247446</v>
      </c>
      <c r="E111" s="5" t="str">
        <f ca="1">IFERROR(__xludf.DUMMYFUNCTION("""COMPUTED_VALUE"""),"INSPECCION SEMANAL BOMBA Tanque Jarabe 2")</f>
        <v>INSPECCION SEMANAL BOMBA Tanque Jarabe 2</v>
      </c>
      <c r="F111" s="5" t="str">
        <f ca="1">IFERROR(__xludf.DUMMYFUNCTION("""COMPUTED_VALUE"""),"INSP. BOMBAS EN GENERAL")</f>
        <v>INSP. BOMBAS EN GENERAL</v>
      </c>
      <c r="G111" s="5" t="b">
        <f ca="1">IFERROR(__xludf.DUMMYFUNCTION("""COMPUTED_VALUE"""),TRUE)</f>
        <v>1</v>
      </c>
      <c r="H111" s="5"/>
      <c r="I111" s="5"/>
      <c r="J111" s="5">
        <f ca="1">IFERROR(__xludf.DUMMYFUNCTION("""COMPUTED_VALUE"""),13247446)</f>
        <v>13247446</v>
      </c>
      <c r="K111" s="5"/>
      <c r="L111" s="18">
        <f ca="1">IFERROR(__xludf.DUMMYFUNCTION("""COMPUTED_VALUE"""),45324)</f>
        <v>45324</v>
      </c>
      <c r="M111" s="18">
        <f ca="1">IFERROR(__xludf.DUMMYFUNCTION("""COMPUTED_VALUE"""),45324)</f>
        <v>45324</v>
      </c>
      <c r="N111" s="5" t="str">
        <f ca="1">IFERROR(__xludf.DUMMYFUNCTION("""COMPUTED_VALUE"""),"Moreno Pernia Bladimir")</f>
        <v>Moreno Pernia Bladimir</v>
      </c>
      <c r="O111" s="2">
        <f ca="1">IFERROR(__xludf.DUMMYFUNCTION("""COMPUTED_VALUE"""),0.02)</f>
        <v>0.02</v>
      </c>
      <c r="P111" s="5">
        <f ca="1">IFERROR(__xludf.DUMMYFUNCTION("""COMPUTED_VALUE"""),20010003)</f>
        <v>20010003</v>
      </c>
      <c r="Q111" s="5" t="str">
        <f ca="1">IFERROR(__xludf.DUMMYFUNCTION("""COMPUTED_VALUE"""),"ivBXruYvp2o")</f>
        <v>ivBXruYvp2o</v>
      </c>
      <c r="R111" s="5">
        <f ca="1">IFERROR(__xludf.DUMMYFUNCTION("""COMPUTED_VALUE"""),410)</f>
        <v>410</v>
      </c>
      <c r="S111" s="62">
        <f ca="1">IFERROR(__xludf.DUMMYFUNCTION("""COMPUTED_VALUE"""),0.02)</f>
        <v>0.02</v>
      </c>
      <c r="T111" s="63" t="str">
        <f ca="1">IFERROR(__xludf.DUMMYFUNCTION("""COMPUTED_VALUE"""),"https://storage.googleapis.com/glide-prod.appspot.com/uploads-v2/ly7o78grxPaC6KdgvbpS/pub/3aRdSog0vUtuqPE8AJKD.png")</f>
        <v>https://storage.googleapis.com/glide-prod.appspot.com/uploads-v2/ly7o78grxPaC6KdgvbpS/pub/3aRdSog0vUtuqPE8AJKD.png</v>
      </c>
      <c r="U111" s="5" t="str">
        <f ca="1">IFERROR(__xludf.DUMMYFUNCTION("""COMPUTED_VALUE"""),"EQUIPOS PARA PREPARACION DE JARABETANQUE DE JARABE")</f>
        <v>EQUIPOS PARA PREPARACION DE JARABETANQUE DE JARABE</v>
      </c>
      <c r="V111" s="5"/>
      <c r="W111" s="5" t="b">
        <f ca="1">IFERROR(__xludf.DUMMYFUNCTION("""COMPUTED_VALUE"""),TRUE)</f>
        <v>1</v>
      </c>
      <c r="X111" s="5" t="str">
        <f ca="1">IFERROR(__xludf.DUMMYFUNCTION("""COMPUTED_VALUE"""),"efzapata@postobon.com.co,aprmttoyu@postobon.com.co,aprmyu@postobon.com.co,wmora@postobon.com.co,efzapata@postobon.com.co")</f>
        <v>efzapata@postobon.com.co,aprmttoyu@postobon.com.co,aprmyu@postobon.com.co,wmora@postobon.com.co,efzapata@postobon.com.co</v>
      </c>
      <c r="Y111" s="5" t="str">
        <f ca="1">IFERROR(__xludf.DUMMYFUNCTION("""COMPUTED_VALUE"""),"efzapata@postobon.com.co")</f>
        <v>efzapata@postobon.com.co</v>
      </c>
      <c r="Z111" s="5" t="str">
        <f ca="1">IFERROR(__xludf.DUMMYFUNCTION("""COMPUTED_VALUE"""),"f7uHYkwST0SRr78V9sRxZA")</f>
        <v>f7uHYkwST0SRr78V9sRxZA</v>
      </c>
      <c r="AA111" s="5"/>
      <c r="AB111" s="5"/>
      <c r="AC111" s="5"/>
      <c r="AD111" s="5">
        <f ca="1">IFERROR(__xludf.DUMMYFUNCTION("""COMPUTED_VALUE"""),35)</f>
        <v>35</v>
      </c>
      <c r="AE111" s="5">
        <f ca="1">IFERROR(__xludf.DUMMYFUNCTION("""COMPUTED_VALUE"""),35)</f>
        <v>35</v>
      </c>
      <c r="AF111" s="5" t="b">
        <f ca="1">IFERROR(__xludf.DUMMYFUNCTION("""COMPUTED_VALUE"""),FALSE)</f>
        <v>0</v>
      </c>
      <c r="AG111" s="5" t="str">
        <f ca="1">IFERROR(__xludf.DUMMYFUNCTION("""COMPUTED_VALUE"""),"INSPECCIONES REALIZADAS")</f>
        <v>INSPECCIONES REALIZADAS</v>
      </c>
      <c r="AH111" s="5"/>
    </row>
    <row r="112" spans="1:34">
      <c r="A112" s="5" t="str">
        <f ca="1">IFERROR(__xludf.DUMMYFUNCTION("""COMPUTED_VALUE"""),"EQUIPOS PARA PREPARACION DE JARABE")</f>
        <v>EQUIPOS PARA PREPARACION DE JARABE</v>
      </c>
      <c r="B112" s="5">
        <f ca="1">IFERROR(__xludf.DUMMYFUNCTION("""COMPUTED_VALUE"""),69963405)</f>
        <v>69963405</v>
      </c>
      <c r="C112" s="5" t="str">
        <f ca="1">IFERROR(__xludf.DUMMYFUNCTION("""COMPUTED_VALUE"""),"TANQUE DE JARABE")</f>
        <v>TANQUE DE JARABE</v>
      </c>
      <c r="D112" s="5">
        <f ca="1">IFERROR(__xludf.DUMMYFUNCTION("""COMPUTED_VALUE"""),13247446)</f>
        <v>13247446</v>
      </c>
      <c r="E112" s="5" t="str">
        <f ca="1">IFERROR(__xludf.DUMMYFUNCTION("""COMPUTED_VALUE"""),"INSPECCION SEMANAL BOMBA Tanque Jarabe 2")</f>
        <v>INSPECCION SEMANAL BOMBA Tanque Jarabe 2</v>
      </c>
      <c r="F112" s="5" t="str">
        <f ca="1">IFERROR(__xludf.DUMMYFUNCTION("""COMPUTED_VALUE"""),"ESCAPES FLUIDOS(AGUA,AIRE,JARABE)")</f>
        <v>ESCAPES FLUIDOS(AGUA,AIRE,JARABE)</v>
      </c>
      <c r="G112" s="5" t="b">
        <f ca="1">IFERROR(__xludf.DUMMYFUNCTION("""COMPUTED_VALUE"""),TRUE)</f>
        <v>1</v>
      </c>
      <c r="H112" s="5"/>
      <c r="I112" s="5"/>
      <c r="J112" s="5">
        <f ca="1">IFERROR(__xludf.DUMMYFUNCTION("""COMPUTED_VALUE"""),13247446)</f>
        <v>13247446</v>
      </c>
      <c r="K112" s="5"/>
      <c r="L112" s="18">
        <f ca="1">IFERROR(__xludf.DUMMYFUNCTION("""COMPUTED_VALUE"""),45324)</f>
        <v>45324</v>
      </c>
      <c r="M112" s="18">
        <f ca="1">IFERROR(__xludf.DUMMYFUNCTION("""COMPUTED_VALUE"""),45324)</f>
        <v>45324</v>
      </c>
      <c r="N112" s="5" t="str">
        <f ca="1">IFERROR(__xludf.DUMMYFUNCTION("""COMPUTED_VALUE"""),"Moreno Pernia Bladimir")</f>
        <v>Moreno Pernia Bladimir</v>
      </c>
      <c r="O112" s="2">
        <f ca="1">IFERROR(__xludf.DUMMYFUNCTION("""COMPUTED_VALUE"""),0.02)</f>
        <v>0.02</v>
      </c>
      <c r="P112" s="5">
        <f ca="1">IFERROR(__xludf.DUMMYFUNCTION("""COMPUTED_VALUE"""),20010003)</f>
        <v>20010003</v>
      </c>
      <c r="Q112" s="5" t="str">
        <f ca="1">IFERROR(__xludf.DUMMYFUNCTION("""COMPUTED_VALUE"""),"_1i28_SJX6w")</f>
        <v>_1i28_SJX6w</v>
      </c>
      <c r="R112" s="5">
        <f ca="1">IFERROR(__xludf.DUMMYFUNCTION("""COMPUTED_VALUE"""),410)</f>
        <v>410</v>
      </c>
      <c r="S112" s="62">
        <f ca="1">IFERROR(__xludf.DUMMYFUNCTION("""COMPUTED_VALUE"""),0.02)</f>
        <v>0.02</v>
      </c>
      <c r="T112" s="63" t="str">
        <f ca="1">IFERROR(__xludf.DUMMYFUNCTION("""COMPUTED_VALUE"""),"https://storage.googleapis.com/glide-prod.appspot.com/uploads-v2/ly7o78grxPaC6KdgvbpS/pub/3aRdSog0vUtuqPE8AJKD.png")</f>
        <v>https://storage.googleapis.com/glide-prod.appspot.com/uploads-v2/ly7o78grxPaC6KdgvbpS/pub/3aRdSog0vUtuqPE8AJKD.png</v>
      </c>
      <c r="U112" s="5" t="str">
        <f ca="1">IFERROR(__xludf.DUMMYFUNCTION("""COMPUTED_VALUE"""),"EQUIPOS PARA PREPARACION DE JARABETANQUE DE JARABE")</f>
        <v>EQUIPOS PARA PREPARACION DE JARABETANQUE DE JARABE</v>
      </c>
      <c r="V112" s="5"/>
      <c r="W112" s="5" t="b">
        <f ca="1">IFERROR(__xludf.DUMMYFUNCTION("""COMPUTED_VALUE"""),TRUE)</f>
        <v>1</v>
      </c>
      <c r="X112" s="5" t="str">
        <f ca="1">IFERROR(__xludf.DUMMYFUNCTION("""COMPUTED_VALUE"""),"efzapata@postobon.com.co,aprmttoyu@postobon.com.co,aprmyu@postobon.com.co,wmora@postobon.com.co,efzapata@postobon.com.co")</f>
        <v>efzapata@postobon.com.co,aprmttoyu@postobon.com.co,aprmyu@postobon.com.co,wmora@postobon.com.co,efzapata@postobon.com.co</v>
      </c>
      <c r="Y112" s="5" t="str">
        <f ca="1">IFERROR(__xludf.DUMMYFUNCTION("""COMPUTED_VALUE"""),"efzapata@postobon.com.co")</f>
        <v>efzapata@postobon.com.co</v>
      </c>
      <c r="Z112" s="5" t="str">
        <f ca="1">IFERROR(__xludf.DUMMYFUNCTION("""COMPUTED_VALUE"""),"G-78ARaIRe-yxKZQ.k5QCw")</f>
        <v>G-78ARaIRe-yxKZQ.k5QCw</v>
      </c>
      <c r="AA112" s="5"/>
      <c r="AB112" s="5"/>
      <c r="AC112" s="5"/>
      <c r="AD112" s="5">
        <f ca="1">IFERROR(__xludf.DUMMYFUNCTION("""COMPUTED_VALUE"""),35)</f>
        <v>35</v>
      </c>
      <c r="AE112" s="5">
        <f ca="1">IFERROR(__xludf.DUMMYFUNCTION("""COMPUTED_VALUE"""),35)</f>
        <v>35</v>
      </c>
      <c r="AF112" s="5" t="b">
        <f ca="1">IFERROR(__xludf.DUMMYFUNCTION("""COMPUTED_VALUE"""),FALSE)</f>
        <v>0</v>
      </c>
      <c r="AG112" s="5" t="str">
        <f ca="1">IFERROR(__xludf.DUMMYFUNCTION("""COMPUTED_VALUE"""),"INSPECCIONES REALIZADAS")</f>
        <v>INSPECCIONES REALIZADAS</v>
      </c>
      <c r="AH112" s="5"/>
    </row>
    <row r="113" spans="1:34">
      <c r="A113" s="5" t="str">
        <f ca="1">IFERROR(__xludf.DUMMYFUNCTION("""COMPUTED_VALUE"""),"EQUIPOS PARA PREPARACION DE JARABE")</f>
        <v>EQUIPOS PARA PREPARACION DE JARABE</v>
      </c>
      <c r="B113" s="5">
        <f ca="1">IFERROR(__xludf.DUMMYFUNCTION("""COMPUTED_VALUE"""),69963405)</f>
        <v>69963405</v>
      </c>
      <c r="C113" s="5" t="str">
        <f ca="1">IFERROR(__xludf.DUMMYFUNCTION("""COMPUTED_VALUE"""),"TANQUE DE JARABE")</f>
        <v>TANQUE DE JARABE</v>
      </c>
      <c r="D113" s="5">
        <f ca="1">IFERROR(__xludf.DUMMYFUNCTION("""COMPUTED_VALUE"""),13247446)</f>
        <v>13247446</v>
      </c>
      <c r="E113" s="5" t="str">
        <f ca="1">IFERROR(__xludf.DUMMYFUNCTION("""COMPUTED_VALUE"""),"INSPECCION SEMANAL BOMBA Tanque Jarabe 2")</f>
        <v>INSPECCION SEMANAL BOMBA Tanque Jarabe 2</v>
      </c>
      <c r="F113" s="5" t="str">
        <f ca="1">IFERROR(__xludf.DUMMYFUNCTION("""COMPUTED_VALUE"""),"VERIFICAR ESTADO PIEZAS TANQUES (QUE LAS PIEZAS ESTEN COMPLETAS Y EN BUEN ESTADO)")</f>
        <v>VERIFICAR ESTADO PIEZAS TANQUES (QUE LAS PIEZAS ESTEN COMPLETAS Y EN BUEN ESTADO)</v>
      </c>
      <c r="G113" s="5" t="b">
        <f ca="1">IFERROR(__xludf.DUMMYFUNCTION("""COMPUTED_VALUE"""),TRUE)</f>
        <v>1</v>
      </c>
      <c r="H113" s="5"/>
      <c r="I113" s="5"/>
      <c r="J113" s="5">
        <f ca="1">IFERROR(__xludf.DUMMYFUNCTION("""COMPUTED_VALUE"""),13247446)</f>
        <v>13247446</v>
      </c>
      <c r="K113" s="5"/>
      <c r="L113" s="18">
        <f ca="1">IFERROR(__xludf.DUMMYFUNCTION("""COMPUTED_VALUE"""),45324)</f>
        <v>45324</v>
      </c>
      <c r="M113" s="18">
        <f ca="1">IFERROR(__xludf.DUMMYFUNCTION("""COMPUTED_VALUE"""),45324)</f>
        <v>45324</v>
      </c>
      <c r="N113" s="5" t="str">
        <f ca="1">IFERROR(__xludf.DUMMYFUNCTION("""COMPUTED_VALUE"""),"Moreno Pernia Bladimir")</f>
        <v>Moreno Pernia Bladimir</v>
      </c>
      <c r="O113" s="2">
        <f ca="1">IFERROR(__xludf.DUMMYFUNCTION("""COMPUTED_VALUE"""),0.02)</f>
        <v>0.02</v>
      </c>
      <c r="P113" s="5">
        <f ca="1">IFERROR(__xludf.DUMMYFUNCTION("""COMPUTED_VALUE"""),20010003)</f>
        <v>20010003</v>
      </c>
      <c r="Q113" s="5" t="str">
        <f ca="1">IFERROR(__xludf.DUMMYFUNCTION("""COMPUTED_VALUE"""),"L_wiTQvqBHg")</f>
        <v>L_wiTQvqBHg</v>
      </c>
      <c r="R113" s="5">
        <f ca="1">IFERROR(__xludf.DUMMYFUNCTION("""COMPUTED_VALUE"""),410)</f>
        <v>410</v>
      </c>
      <c r="S113" s="62">
        <f ca="1">IFERROR(__xludf.DUMMYFUNCTION("""COMPUTED_VALUE"""),0.02)</f>
        <v>0.02</v>
      </c>
      <c r="T113" s="63" t="str">
        <f ca="1">IFERROR(__xludf.DUMMYFUNCTION("""COMPUTED_VALUE"""),"https://storage.googleapis.com/glide-prod.appspot.com/uploads-v2/ly7o78grxPaC6KdgvbpS/pub/3aRdSog0vUtuqPE8AJKD.png")</f>
        <v>https://storage.googleapis.com/glide-prod.appspot.com/uploads-v2/ly7o78grxPaC6KdgvbpS/pub/3aRdSog0vUtuqPE8AJKD.png</v>
      </c>
      <c r="U113" s="5" t="str">
        <f ca="1">IFERROR(__xludf.DUMMYFUNCTION("""COMPUTED_VALUE"""),"EQUIPOS PARA PREPARACION DE JARABETANQUE DE JARABE")</f>
        <v>EQUIPOS PARA PREPARACION DE JARABETANQUE DE JARABE</v>
      </c>
      <c r="V113" s="5"/>
      <c r="W113" s="5" t="b">
        <f ca="1">IFERROR(__xludf.DUMMYFUNCTION("""COMPUTED_VALUE"""),TRUE)</f>
        <v>1</v>
      </c>
      <c r="X113" s="5" t="str">
        <f ca="1">IFERROR(__xludf.DUMMYFUNCTION("""COMPUTED_VALUE"""),"efzapata@postobon.com.co,aprmttoyu@postobon.com.co,aprmyu@postobon.com.co,wmora@postobon.com.co,efzapata@postobon.com.co")</f>
        <v>efzapata@postobon.com.co,aprmttoyu@postobon.com.co,aprmyu@postobon.com.co,wmora@postobon.com.co,efzapata@postobon.com.co</v>
      </c>
      <c r="Y113" s="5" t="str">
        <f ca="1">IFERROR(__xludf.DUMMYFUNCTION("""COMPUTED_VALUE"""),"efzapata@postobon.com.co")</f>
        <v>efzapata@postobon.com.co</v>
      </c>
      <c r="Z113" s="5" t="str">
        <f ca="1">IFERROR(__xludf.DUMMYFUNCTION("""COMPUTED_VALUE"""),"Y4-GZMjEQPeN37K8FYJC3w")</f>
        <v>Y4-GZMjEQPeN37K8FYJC3w</v>
      </c>
      <c r="AA113" s="5"/>
      <c r="AB113" s="5"/>
      <c r="AC113" s="5"/>
      <c r="AD113" s="5">
        <f ca="1">IFERROR(__xludf.DUMMYFUNCTION("""COMPUTED_VALUE"""),35)</f>
        <v>35</v>
      </c>
      <c r="AE113" s="5">
        <f ca="1">IFERROR(__xludf.DUMMYFUNCTION("""COMPUTED_VALUE"""),35)</f>
        <v>35</v>
      </c>
      <c r="AF113" s="5" t="b">
        <f ca="1">IFERROR(__xludf.DUMMYFUNCTION("""COMPUTED_VALUE"""),FALSE)</f>
        <v>0</v>
      </c>
      <c r="AG113" s="5" t="str">
        <f ca="1">IFERROR(__xludf.DUMMYFUNCTION("""COMPUTED_VALUE"""),"INSPECCIONES REALIZADAS")</f>
        <v>INSPECCIONES REALIZADAS</v>
      </c>
      <c r="AH113" s="5"/>
    </row>
    <row r="114" spans="1:34">
      <c r="A114" s="5" t="str">
        <f ca="1">IFERROR(__xludf.DUMMYFUNCTION("""COMPUTED_VALUE"""),"EQUIPOS PARA PREPARACION DE JARABE")</f>
        <v>EQUIPOS PARA PREPARACION DE JARABE</v>
      </c>
      <c r="B114" s="5">
        <f ca="1">IFERROR(__xludf.DUMMYFUNCTION("""COMPUTED_VALUE"""),69963405)</f>
        <v>69963405</v>
      </c>
      <c r="C114" s="5" t="str">
        <f ca="1">IFERROR(__xludf.DUMMYFUNCTION("""COMPUTED_VALUE"""),"TANQUE DE JARABE")</f>
        <v>TANQUE DE JARABE</v>
      </c>
      <c r="D114" s="5">
        <f ca="1">IFERROR(__xludf.DUMMYFUNCTION("""COMPUTED_VALUE"""),13247446)</f>
        <v>13247446</v>
      </c>
      <c r="E114" s="5" t="str">
        <f ca="1">IFERROR(__xludf.DUMMYFUNCTION("""COMPUTED_VALUE"""),"INSPECCION SEMANAL BOMBA Tanque Jarabe 2")</f>
        <v>INSPECCION SEMANAL BOMBA Tanque Jarabe 2</v>
      </c>
      <c r="F114" s="5" t="str">
        <f ca="1">IFERROR(__xludf.DUMMYFUNCTION("""COMPUTED_VALUE"""),"MTTO MEC TK JARABE 2 JARABE TERMINADO")</f>
        <v>MTTO MEC TK JARABE 2 JARABE TERMINADO</v>
      </c>
      <c r="G114" s="5" t="b">
        <f ca="1">IFERROR(__xludf.DUMMYFUNCTION("""COMPUTED_VALUE"""),TRUE)</f>
        <v>1</v>
      </c>
      <c r="H114" s="5"/>
      <c r="I114" s="5"/>
      <c r="J114" s="5">
        <f ca="1">IFERROR(__xludf.DUMMYFUNCTION("""COMPUTED_VALUE"""),13247446)</f>
        <v>13247446</v>
      </c>
      <c r="K114" s="5"/>
      <c r="L114" s="18">
        <f ca="1">IFERROR(__xludf.DUMMYFUNCTION("""COMPUTED_VALUE"""),45324)</f>
        <v>45324</v>
      </c>
      <c r="M114" s="18">
        <f ca="1">IFERROR(__xludf.DUMMYFUNCTION("""COMPUTED_VALUE"""),45324)</f>
        <v>45324</v>
      </c>
      <c r="N114" s="5" t="str">
        <f ca="1">IFERROR(__xludf.DUMMYFUNCTION("""COMPUTED_VALUE"""),"Moreno Pernia Bladimir")</f>
        <v>Moreno Pernia Bladimir</v>
      </c>
      <c r="O114" s="2">
        <f ca="1">IFERROR(__xludf.DUMMYFUNCTION("""COMPUTED_VALUE"""),0.02)</f>
        <v>0.02</v>
      </c>
      <c r="P114" s="5">
        <f ca="1">IFERROR(__xludf.DUMMYFUNCTION("""COMPUTED_VALUE"""),20010003)</f>
        <v>20010003</v>
      </c>
      <c r="Q114" s="5" t="str">
        <f ca="1">IFERROR(__xludf.DUMMYFUNCTION("""COMPUTED_VALUE"""),"oIvAA_5zUFI")</f>
        <v>oIvAA_5zUFI</v>
      </c>
      <c r="R114" s="5">
        <f ca="1">IFERROR(__xludf.DUMMYFUNCTION("""COMPUTED_VALUE"""),410)</f>
        <v>410</v>
      </c>
      <c r="S114" s="62">
        <f ca="1">IFERROR(__xludf.DUMMYFUNCTION("""COMPUTED_VALUE"""),0.02)</f>
        <v>0.02</v>
      </c>
      <c r="T114" s="63" t="str">
        <f ca="1">IFERROR(__xludf.DUMMYFUNCTION("""COMPUTED_VALUE"""),"https://storage.googleapis.com/glide-prod.appspot.com/uploads-v2/ly7o78grxPaC6KdgvbpS/pub/3aRdSog0vUtuqPE8AJKD.png")</f>
        <v>https://storage.googleapis.com/glide-prod.appspot.com/uploads-v2/ly7o78grxPaC6KdgvbpS/pub/3aRdSog0vUtuqPE8AJKD.png</v>
      </c>
      <c r="U114" s="5" t="str">
        <f ca="1">IFERROR(__xludf.DUMMYFUNCTION("""COMPUTED_VALUE"""),"EQUIPOS PARA PREPARACION DE JARABETANQUE DE JARABE")</f>
        <v>EQUIPOS PARA PREPARACION DE JARABETANQUE DE JARABE</v>
      </c>
      <c r="V114" s="5"/>
      <c r="W114" s="5" t="b">
        <f ca="1">IFERROR(__xludf.DUMMYFUNCTION("""COMPUTED_VALUE"""),TRUE)</f>
        <v>1</v>
      </c>
      <c r="X114" s="5" t="str">
        <f ca="1">IFERROR(__xludf.DUMMYFUNCTION("""COMPUTED_VALUE"""),"efzapata@postobon.com.co,aprmttoyu@postobon.com.co,aprmyu@postobon.com.co,wmora@postobon.com.co,efzapata@postobon.com.co")</f>
        <v>efzapata@postobon.com.co,aprmttoyu@postobon.com.co,aprmyu@postobon.com.co,wmora@postobon.com.co,efzapata@postobon.com.co</v>
      </c>
      <c r="Y114" s="5" t="str">
        <f ca="1">IFERROR(__xludf.DUMMYFUNCTION("""COMPUTED_VALUE"""),"efzapata@postobon.com.co")</f>
        <v>efzapata@postobon.com.co</v>
      </c>
      <c r="Z114" s="5" t="str">
        <f ca="1">IFERROR(__xludf.DUMMYFUNCTION("""COMPUTED_VALUE"""),"KxV1veGDTS6rvLX.2vPPYw")</f>
        <v>KxV1veGDTS6rvLX.2vPPYw</v>
      </c>
      <c r="AA114" s="5"/>
      <c r="AB114" s="5"/>
      <c r="AC114" s="5"/>
      <c r="AD114" s="5">
        <f ca="1">IFERROR(__xludf.DUMMYFUNCTION("""COMPUTED_VALUE"""),35)</f>
        <v>35</v>
      </c>
      <c r="AE114" s="5">
        <f ca="1">IFERROR(__xludf.DUMMYFUNCTION("""COMPUTED_VALUE"""),35)</f>
        <v>35</v>
      </c>
      <c r="AF114" s="5" t="b">
        <f ca="1">IFERROR(__xludf.DUMMYFUNCTION("""COMPUTED_VALUE"""),FALSE)</f>
        <v>0</v>
      </c>
      <c r="AG114" s="5" t="str">
        <f ca="1">IFERROR(__xludf.DUMMYFUNCTION("""COMPUTED_VALUE"""),"INSPECCIONES REALIZADAS")</f>
        <v>INSPECCIONES REALIZADAS</v>
      </c>
      <c r="AH114" s="5"/>
    </row>
    <row r="115" spans="1:34">
      <c r="A115" s="5" t="str">
        <f ca="1">IFERROR(__xludf.DUMMYFUNCTION("""COMPUTED_VALUE"""),"EQUIPOS PARA SERVICIOS INDUSTRIALES")</f>
        <v>EQUIPOS PARA SERVICIOS INDUSTRIALES</v>
      </c>
      <c r="B115" s="5">
        <f ca="1">IFERROR(__xludf.DUMMYFUNCTION("""COMPUTED_VALUE"""),69841202)</f>
        <v>69841202</v>
      </c>
      <c r="C115" s="5" t="str">
        <f ca="1">IFERROR(__xludf.DUMMYFUNCTION("""COMPUTED_VALUE"""),"BOMBAS DE AGUA FRIA")</f>
        <v>BOMBAS DE AGUA FRIA</v>
      </c>
      <c r="D115" s="5">
        <f ca="1">IFERROR(__xludf.DUMMYFUNCTION("""COMPUTED_VALUE"""),13247469)</f>
        <v>13247469</v>
      </c>
      <c r="E115" s="5" t="str">
        <f ca="1">IFERROR(__xludf.DUMMYFUNCTION("""COMPUTED_VALUE"""),"INSPECCION SEMANAL BOMBAS DE AGUA FRIA")</f>
        <v>INSPECCION SEMANAL BOMBAS DE AGUA FRIA</v>
      </c>
      <c r="F115" s="5" t="str">
        <f ca="1">IFERROR(__xludf.DUMMYFUNCTION("""COMPUTED_VALUE"""),"PLAN MTTO MEC BOMBAS AGUA FRIA 69841202")</f>
        <v>PLAN MTTO MEC BOMBAS AGUA FRIA 69841202</v>
      </c>
      <c r="G115" s="5" t="b">
        <f ca="1">IFERROR(__xludf.DUMMYFUNCTION("""COMPUTED_VALUE"""),TRUE)</f>
        <v>1</v>
      </c>
      <c r="H115" s="5"/>
      <c r="I115" s="5"/>
      <c r="J115" s="5">
        <f ca="1">IFERROR(__xludf.DUMMYFUNCTION("""COMPUTED_VALUE"""),13247469)</f>
        <v>13247469</v>
      </c>
      <c r="K115" s="5"/>
      <c r="L115" s="18">
        <f ca="1">IFERROR(__xludf.DUMMYFUNCTION("""COMPUTED_VALUE"""),45325)</f>
        <v>45325</v>
      </c>
      <c r="M115" s="18">
        <f ca="1">IFERROR(__xludf.DUMMYFUNCTION("""COMPUTED_VALUE"""),45325)</f>
        <v>45325</v>
      </c>
      <c r="N115" s="5" t="str">
        <f ca="1">IFERROR(__xludf.DUMMYFUNCTION("""COMPUTED_VALUE"""),"Guzman Palechor Miguel Angel")</f>
        <v>Guzman Palechor Miguel Angel</v>
      </c>
      <c r="O115" s="2">
        <f ca="1">IFERROR(__xludf.DUMMYFUNCTION("""COMPUTED_VALUE"""),0.1)</f>
        <v>0.1</v>
      </c>
      <c r="P115" s="5">
        <f ca="1">IFERROR(__xludf.DUMMYFUNCTION("""COMPUTED_VALUE"""),20009822)</f>
        <v>20009822</v>
      </c>
      <c r="Q115" s="5" t="str">
        <f ca="1">IFERROR(__xludf.DUMMYFUNCTION("""COMPUTED_VALUE"""),"Aj3j_3a9OnQ")</f>
        <v>Aj3j_3a9OnQ</v>
      </c>
      <c r="R115" s="5">
        <f ca="1">IFERROR(__xludf.DUMMYFUNCTION("""COMPUTED_VALUE"""),410)</f>
        <v>410</v>
      </c>
      <c r="S115" s="62">
        <f ca="1">IFERROR(__xludf.DUMMYFUNCTION("""COMPUTED_VALUE"""),0.1)</f>
        <v>0.1</v>
      </c>
      <c r="T115" s="63" t="str">
        <f ca="1">IFERROR(__xludf.DUMMYFUNCTION("""COMPUTED_VALUE"""),"https://storage.googleapis.com/glide-prod.appspot.com/uploads-v2/ly7o78grxPaC6KdgvbpS/pub/3aRdSog0vUtuqPE8AJKD.png")</f>
        <v>https://storage.googleapis.com/glide-prod.appspot.com/uploads-v2/ly7o78grxPaC6KdgvbpS/pub/3aRdSog0vUtuqPE8AJKD.png</v>
      </c>
      <c r="U115" s="5" t="str">
        <f ca="1">IFERROR(__xludf.DUMMYFUNCTION("""COMPUTED_VALUE"""),"EQUIPOS PARA SERVICIOS INDUSTRIALESBOMBAS DE AGUA FRIA")</f>
        <v>EQUIPOS PARA SERVICIOS INDUSTRIALESBOMBAS DE AGUA FRIA</v>
      </c>
      <c r="V115" s="5"/>
      <c r="W115" s="5" t="b">
        <f ca="1">IFERROR(__xludf.DUMMYFUNCTION("""COMPUTED_VALUE"""),TRUE)</f>
        <v>1</v>
      </c>
      <c r="X115" s="5" t="str">
        <f ca="1">IFERROR(__xludf.DUMMYFUNCTION("""COMPUTED_VALUE"""),"wmazorra@postobon.com.co,aprmttoyu@postobon.com.co,aprmyu@postobon.com.co,wmora@postobon.com.co,efzapata@postobon.com.co")</f>
        <v>wmazorra@postobon.com.co,aprmttoyu@postobon.com.co,aprmyu@postobon.com.co,wmora@postobon.com.co,efzapata@postobon.com.co</v>
      </c>
      <c r="Y115" s="5" t="str">
        <f ca="1">IFERROR(__xludf.DUMMYFUNCTION("""COMPUTED_VALUE"""),"wmazorra@postobon.com.co")</f>
        <v>wmazorra@postobon.com.co</v>
      </c>
      <c r="Z115" s="5" t="str">
        <f ca="1">IFERROR(__xludf.DUMMYFUNCTION("""COMPUTED_VALUE"""),"hOherkVjSB-3.cYoh0DjPg")</f>
        <v>hOherkVjSB-3.cYoh0DjPg</v>
      </c>
      <c r="AA115" s="5"/>
      <c r="AB115" s="5"/>
      <c r="AC115" s="5"/>
      <c r="AD115" s="5">
        <f ca="1">IFERROR(__xludf.DUMMYFUNCTION("""COMPUTED_VALUE"""),34)</f>
        <v>34</v>
      </c>
      <c r="AE115" s="5">
        <f ca="1">IFERROR(__xludf.DUMMYFUNCTION("""COMPUTED_VALUE"""),34)</f>
        <v>34</v>
      </c>
      <c r="AF115" s="5" t="b">
        <f ca="1">IFERROR(__xludf.DUMMYFUNCTION("""COMPUTED_VALUE"""),FALSE)</f>
        <v>0</v>
      </c>
      <c r="AG115" s="5" t="str">
        <f ca="1">IFERROR(__xludf.DUMMYFUNCTION("""COMPUTED_VALUE"""),"INSPECCIONES REALIZADAS")</f>
        <v>INSPECCIONES REALIZADAS</v>
      </c>
      <c r="AH115" s="5"/>
    </row>
    <row r="116" spans="1:34">
      <c r="A116" s="5" t="str">
        <f ca="1">IFERROR(__xludf.DUMMYFUNCTION("""COMPUTED_VALUE"""),"EQUIPOS PARA SERVICIOS INDUSTRIALES")</f>
        <v>EQUIPOS PARA SERVICIOS INDUSTRIALES</v>
      </c>
      <c r="B116" s="5">
        <f ca="1">IFERROR(__xludf.DUMMYFUNCTION("""COMPUTED_VALUE"""),69841203)</f>
        <v>69841203</v>
      </c>
      <c r="C116" s="5" t="str">
        <f ca="1">IFERROR(__xludf.DUMMYFUNCTION("""COMPUTED_VALUE"""),"BOMBAS DE GLICOL")</f>
        <v>BOMBAS DE GLICOL</v>
      </c>
      <c r="D116" s="5">
        <f ca="1">IFERROR(__xludf.DUMMYFUNCTION("""COMPUTED_VALUE"""),13247470)</f>
        <v>13247470</v>
      </c>
      <c r="E116" s="5" t="str">
        <f ca="1">IFERROR(__xludf.DUMMYFUNCTION("""COMPUTED_VALUE"""),"INSPECCION SEMANAL BOMBAS DE GLICOL")</f>
        <v>INSPECCION SEMANAL BOMBAS DE GLICOL</v>
      </c>
      <c r="F116" s="5" t="str">
        <f ca="1">IFERROR(__xludf.DUMMYFUNCTION("""COMPUTED_VALUE"""),"PLAN MTTO MEC BOMBAS GLICOL 69841203")</f>
        <v>PLAN MTTO MEC BOMBAS GLICOL 69841203</v>
      </c>
      <c r="G116" s="5" t="b">
        <f ca="1">IFERROR(__xludf.DUMMYFUNCTION("""COMPUTED_VALUE"""),TRUE)</f>
        <v>1</v>
      </c>
      <c r="H116" s="5"/>
      <c r="I116" s="5"/>
      <c r="J116" s="5">
        <f ca="1">IFERROR(__xludf.DUMMYFUNCTION("""COMPUTED_VALUE"""),13247470)</f>
        <v>13247470</v>
      </c>
      <c r="K116" s="5"/>
      <c r="L116" s="18">
        <f ca="1">IFERROR(__xludf.DUMMYFUNCTION("""COMPUTED_VALUE"""),45324)</f>
        <v>45324</v>
      </c>
      <c r="M116" s="18">
        <f ca="1">IFERROR(__xludf.DUMMYFUNCTION("""COMPUTED_VALUE"""),45324)</f>
        <v>45324</v>
      </c>
      <c r="N116" s="5" t="str">
        <f ca="1">IFERROR(__xludf.DUMMYFUNCTION("""COMPUTED_VALUE"""),"Guzman Palechor Miguel Angel")</f>
        <v>Guzman Palechor Miguel Angel</v>
      </c>
      <c r="O116" s="2">
        <f ca="1">IFERROR(__xludf.DUMMYFUNCTION("""COMPUTED_VALUE"""),0.1)</f>
        <v>0.1</v>
      </c>
      <c r="P116" s="5">
        <f ca="1">IFERROR(__xludf.DUMMYFUNCTION("""COMPUTED_VALUE"""),20009822)</f>
        <v>20009822</v>
      </c>
      <c r="Q116" s="5" t="str">
        <f ca="1">IFERROR(__xludf.DUMMYFUNCTION("""COMPUTED_VALUE"""),"euQeY05yvDw")</f>
        <v>euQeY05yvDw</v>
      </c>
      <c r="R116" s="5">
        <f ca="1">IFERROR(__xludf.DUMMYFUNCTION("""COMPUTED_VALUE"""),410)</f>
        <v>410</v>
      </c>
      <c r="S116" s="62">
        <f ca="1">IFERROR(__xludf.DUMMYFUNCTION("""COMPUTED_VALUE"""),0.1)</f>
        <v>0.1</v>
      </c>
      <c r="T116" s="63" t="str">
        <f ca="1">IFERROR(__xludf.DUMMYFUNCTION("""COMPUTED_VALUE"""),"https://storage.googleapis.com/glide-prod.appspot.com/uploads-v2/ly7o78grxPaC6KdgvbpS/pub/3aRdSog0vUtuqPE8AJKD.png")</f>
        <v>https://storage.googleapis.com/glide-prod.appspot.com/uploads-v2/ly7o78grxPaC6KdgvbpS/pub/3aRdSog0vUtuqPE8AJKD.png</v>
      </c>
      <c r="U116" s="5" t="str">
        <f ca="1">IFERROR(__xludf.DUMMYFUNCTION("""COMPUTED_VALUE"""),"EQUIPOS PARA SERVICIOS INDUSTRIALESBOMBAS DE GLICOL")</f>
        <v>EQUIPOS PARA SERVICIOS INDUSTRIALESBOMBAS DE GLICOL</v>
      </c>
      <c r="V116" s="5"/>
      <c r="W116" s="5" t="b">
        <f ca="1">IFERROR(__xludf.DUMMYFUNCTION("""COMPUTED_VALUE"""),TRUE)</f>
        <v>1</v>
      </c>
      <c r="X116" s="5" t="str">
        <f ca="1">IFERROR(__xludf.DUMMYFUNCTION("""COMPUTED_VALUE"""),"wmazorra@postobon.com.co,aprmttoyu@postobon.com.co,aprmyu@postobon.com.co,wmora@postobon.com.co,efzapata@postobon.com.co")</f>
        <v>wmazorra@postobon.com.co,aprmttoyu@postobon.com.co,aprmyu@postobon.com.co,wmora@postobon.com.co,efzapata@postobon.com.co</v>
      </c>
      <c r="Y116" s="5" t="str">
        <f ca="1">IFERROR(__xludf.DUMMYFUNCTION("""COMPUTED_VALUE"""),"wmazorra@postobon.com.co")</f>
        <v>wmazorra@postobon.com.co</v>
      </c>
      <c r="Z116" s="5" t="str">
        <f ca="1">IFERROR(__xludf.DUMMYFUNCTION("""COMPUTED_VALUE"""),"SxoXrfbHT3iTUkiVuQ8vcg")</f>
        <v>SxoXrfbHT3iTUkiVuQ8vcg</v>
      </c>
      <c r="AA116" s="5"/>
      <c r="AB116" s="5"/>
      <c r="AC116" s="5"/>
      <c r="AD116" s="5">
        <f ca="1">IFERROR(__xludf.DUMMYFUNCTION("""COMPUTED_VALUE"""),34)</f>
        <v>34</v>
      </c>
      <c r="AE116" s="5">
        <f ca="1">IFERROR(__xludf.DUMMYFUNCTION("""COMPUTED_VALUE"""),34)</f>
        <v>34</v>
      </c>
      <c r="AF116" s="5" t="b">
        <f ca="1">IFERROR(__xludf.DUMMYFUNCTION("""COMPUTED_VALUE"""),FALSE)</f>
        <v>0</v>
      </c>
      <c r="AG116" s="5" t="str">
        <f ca="1">IFERROR(__xludf.DUMMYFUNCTION("""COMPUTED_VALUE"""),"INSPECCIONES REALIZADAS")</f>
        <v>INSPECCIONES REALIZADAS</v>
      </c>
      <c r="AH116" s="5"/>
    </row>
    <row r="117" spans="1:34">
      <c r="A117" s="5" t="str">
        <f ca="1">IFERROR(__xludf.DUMMYFUNCTION("""COMPUTED_VALUE"""),"EQUIPOS PARA PREPARACION DE JARABE")</f>
        <v>EQUIPOS PARA PREPARACION DE JARABE</v>
      </c>
      <c r="B117" s="5">
        <f ca="1">IFERROR(__xludf.DUMMYFUNCTION("""COMPUTED_VALUE"""),69963490)</f>
        <v>69963490</v>
      </c>
      <c r="C117" s="5" t="str">
        <f ca="1">IFERROR(__xludf.DUMMYFUNCTION("""COMPUTED_VALUE"""),"BOMBAS JARABE TERMINADO")</f>
        <v>BOMBAS JARABE TERMINADO</v>
      </c>
      <c r="D117" s="5">
        <f ca="1">IFERROR(__xludf.DUMMYFUNCTION("""COMPUTED_VALUE"""),13247442)</f>
        <v>13247442</v>
      </c>
      <c r="E117" s="5" t="str">
        <f ca="1">IFERROR(__xludf.DUMMYFUNCTION("""COMPUTED_VALUE"""),"INSPECCION SEMANAL BOMBAS JARABE TERMINA")</f>
        <v>INSPECCION SEMANAL BOMBAS JARABE TERMINA</v>
      </c>
      <c r="F117" s="5" t="str">
        <f ca="1">IFERROR(__xludf.DUMMYFUNCTION("""COMPUTED_VALUE"""),"VERIFICAR FUNCIONAMIENTO BOMBAS")</f>
        <v>VERIFICAR FUNCIONAMIENTO BOMBAS</v>
      </c>
      <c r="G117" s="5" t="b">
        <f ca="1">IFERROR(__xludf.DUMMYFUNCTION("""COMPUTED_VALUE"""),TRUE)</f>
        <v>1</v>
      </c>
      <c r="H117" s="5"/>
      <c r="I117" s="5"/>
      <c r="J117" s="5">
        <f ca="1">IFERROR(__xludf.DUMMYFUNCTION("""COMPUTED_VALUE"""),13247442)</f>
        <v>13247442</v>
      </c>
      <c r="K117" s="5"/>
      <c r="L117" s="18">
        <f ca="1">IFERROR(__xludf.DUMMYFUNCTION("""COMPUTED_VALUE"""),45324)</f>
        <v>45324</v>
      </c>
      <c r="M117" s="18">
        <f ca="1">IFERROR(__xludf.DUMMYFUNCTION("""COMPUTED_VALUE"""),45324)</f>
        <v>45324</v>
      </c>
      <c r="N117" s="5" t="str">
        <f ca="1">IFERROR(__xludf.DUMMYFUNCTION("""COMPUTED_VALUE"""),"Rivas Mena Carlos Danny")</f>
        <v>Rivas Mena Carlos Danny</v>
      </c>
      <c r="O117" s="2">
        <f ca="1">IFERROR(__xludf.DUMMYFUNCTION("""COMPUTED_VALUE"""),0.025)</f>
        <v>2.5000000000000001E-2</v>
      </c>
      <c r="P117" s="5">
        <f ca="1">IFERROR(__xludf.DUMMYFUNCTION("""COMPUTED_VALUE"""),20016283)</f>
        <v>20016283</v>
      </c>
      <c r="Q117" s="5" t="str">
        <f ca="1">IFERROR(__xludf.DUMMYFUNCTION("""COMPUTED_VALUE"""),"4dQiITAjC-E")</f>
        <v>4dQiITAjC-E</v>
      </c>
      <c r="R117" s="5">
        <f ca="1">IFERROR(__xludf.DUMMYFUNCTION("""COMPUTED_VALUE"""),410)</f>
        <v>410</v>
      </c>
      <c r="S117" s="62">
        <f ca="1">IFERROR(__xludf.DUMMYFUNCTION("""COMPUTED_VALUE"""),0.025)</f>
        <v>2.5000000000000001E-2</v>
      </c>
      <c r="T117" s="63" t="str">
        <f ca="1">IFERROR(__xludf.DUMMYFUNCTION("""COMPUTED_VALUE"""),"https://storage.googleapis.com/glide-prod.appspot.com/uploads-v2/ly7o78grxPaC6KdgvbpS/pub/3aRdSog0vUtuqPE8AJKD.png")</f>
        <v>https://storage.googleapis.com/glide-prod.appspot.com/uploads-v2/ly7o78grxPaC6KdgvbpS/pub/3aRdSog0vUtuqPE8AJKD.png</v>
      </c>
      <c r="U117" s="5" t="str">
        <f ca="1">IFERROR(__xludf.DUMMYFUNCTION("""COMPUTED_VALUE"""),"EQUIPOS PARA PREPARACION DE JARABEBOMBAS JARABE TERMINADO")</f>
        <v>EQUIPOS PARA PREPARACION DE JARABEBOMBAS JARABE TERMINADO</v>
      </c>
      <c r="V117" s="5"/>
      <c r="W117" s="5" t="b">
        <f ca="1">IFERROR(__xludf.DUMMYFUNCTION("""COMPUTED_VALUE"""),TRUE)</f>
        <v>1</v>
      </c>
      <c r="X117" s="5" t="str">
        <f ca="1">IFERROR(__xludf.DUMMYFUNCTION("""COMPUTED_VALUE"""),"efzapata@postobon.com.co,aprmttoyu@postobon.com.co,aprmyu@postobon.com.co,wmora@postobon.com.co,efzapata@postobon.com.co")</f>
        <v>efzapata@postobon.com.co,aprmttoyu@postobon.com.co,aprmyu@postobon.com.co,wmora@postobon.com.co,efzapata@postobon.com.co</v>
      </c>
      <c r="Y117" s="5" t="str">
        <f ca="1">IFERROR(__xludf.DUMMYFUNCTION("""COMPUTED_VALUE"""),"efzapata@postobon.com.co")</f>
        <v>efzapata@postobon.com.co</v>
      </c>
      <c r="Z117" s="5" t="str">
        <f ca="1">IFERROR(__xludf.DUMMYFUNCTION("""COMPUTED_VALUE"""),"fADrel3PQayb.ZXC4TBD-A")</f>
        <v>fADrel3PQayb.ZXC4TBD-A</v>
      </c>
      <c r="AA117" s="5"/>
      <c r="AB117" s="5"/>
      <c r="AC117" s="5"/>
      <c r="AD117" s="5">
        <f ca="1">IFERROR(__xludf.DUMMYFUNCTION("""COMPUTED_VALUE"""),24)</f>
        <v>24</v>
      </c>
      <c r="AE117" s="5">
        <f ca="1">IFERROR(__xludf.DUMMYFUNCTION("""COMPUTED_VALUE"""),24)</f>
        <v>24</v>
      </c>
      <c r="AF117" s="5" t="b">
        <f ca="1">IFERROR(__xludf.DUMMYFUNCTION("""COMPUTED_VALUE"""),FALSE)</f>
        <v>0</v>
      </c>
      <c r="AG117" s="5" t="str">
        <f ca="1">IFERROR(__xludf.DUMMYFUNCTION("""COMPUTED_VALUE"""),"INSPECCIONES REALIZADAS")</f>
        <v>INSPECCIONES REALIZADAS</v>
      </c>
      <c r="AH117" s="5"/>
    </row>
    <row r="118" spans="1:34">
      <c r="A118" s="5" t="str">
        <f ca="1">IFERROR(__xludf.DUMMYFUNCTION("""COMPUTED_VALUE"""),"EQUIPOS PARA PREPARACION DE JARABE")</f>
        <v>EQUIPOS PARA PREPARACION DE JARABE</v>
      </c>
      <c r="B118" s="5">
        <f ca="1">IFERROR(__xludf.DUMMYFUNCTION("""COMPUTED_VALUE"""),69963490)</f>
        <v>69963490</v>
      </c>
      <c r="C118" s="5" t="str">
        <f ca="1">IFERROR(__xludf.DUMMYFUNCTION("""COMPUTED_VALUE"""),"BOMBAS JARABE TERMINADO")</f>
        <v>BOMBAS JARABE TERMINADO</v>
      </c>
      <c r="D118" s="5">
        <f ca="1">IFERROR(__xludf.DUMMYFUNCTION("""COMPUTED_VALUE"""),13247442)</f>
        <v>13247442</v>
      </c>
      <c r="E118" s="5" t="str">
        <f ca="1">IFERROR(__xludf.DUMMYFUNCTION("""COMPUTED_VALUE"""),"INSPECCION SEMANAL BOMBAS JARABE TERMINA")</f>
        <v>INSPECCION SEMANAL BOMBAS JARABE TERMINA</v>
      </c>
      <c r="F118" s="5" t="str">
        <f ca="1">IFERROR(__xludf.DUMMYFUNCTION("""COMPUTED_VALUE"""),"REVISAR ESTADO Y FUGAS")</f>
        <v>REVISAR ESTADO Y FUGAS</v>
      </c>
      <c r="G118" s="5" t="b">
        <f ca="1">IFERROR(__xludf.DUMMYFUNCTION("""COMPUTED_VALUE"""),TRUE)</f>
        <v>1</v>
      </c>
      <c r="H118" s="5"/>
      <c r="I118" s="5"/>
      <c r="J118" s="5">
        <f ca="1">IFERROR(__xludf.DUMMYFUNCTION("""COMPUTED_VALUE"""),13247442)</f>
        <v>13247442</v>
      </c>
      <c r="K118" s="5"/>
      <c r="L118" s="18">
        <f ca="1">IFERROR(__xludf.DUMMYFUNCTION("""COMPUTED_VALUE"""),45324)</f>
        <v>45324</v>
      </c>
      <c r="M118" s="18">
        <f ca="1">IFERROR(__xludf.DUMMYFUNCTION("""COMPUTED_VALUE"""),45324)</f>
        <v>45324</v>
      </c>
      <c r="N118" s="5" t="str">
        <f ca="1">IFERROR(__xludf.DUMMYFUNCTION("""COMPUTED_VALUE"""),"Rivas Mena Carlos Danny")</f>
        <v>Rivas Mena Carlos Danny</v>
      </c>
      <c r="O118" s="2">
        <f ca="1">IFERROR(__xludf.DUMMYFUNCTION("""COMPUTED_VALUE"""),0.025)</f>
        <v>2.5000000000000001E-2</v>
      </c>
      <c r="P118" s="5">
        <f ca="1">IFERROR(__xludf.DUMMYFUNCTION("""COMPUTED_VALUE"""),20016283)</f>
        <v>20016283</v>
      </c>
      <c r="Q118" s="5" t="str">
        <f ca="1">IFERROR(__xludf.DUMMYFUNCTION("""COMPUTED_VALUE"""),"jV9-8Xw2t0U")</f>
        <v>jV9-8Xw2t0U</v>
      </c>
      <c r="R118" s="5">
        <f ca="1">IFERROR(__xludf.DUMMYFUNCTION("""COMPUTED_VALUE"""),410)</f>
        <v>410</v>
      </c>
      <c r="S118" s="62">
        <f ca="1">IFERROR(__xludf.DUMMYFUNCTION("""COMPUTED_VALUE"""),0.025)</f>
        <v>2.5000000000000001E-2</v>
      </c>
      <c r="T118" s="63" t="str">
        <f ca="1">IFERROR(__xludf.DUMMYFUNCTION("""COMPUTED_VALUE"""),"https://storage.googleapis.com/glide-prod.appspot.com/uploads-v2/ly7o78grxPaC6KdgvbpS/pub/3aRdSog0vUtuqPE8AJKD.png")</f>
        <v>https://storage.googleapis.com/glide-prod.appspot.com/uploads-v2/ly7o78grxPaC6KdgvbpS/pub/3aRdSog0vUtuqPE8AJKD.png</v>
      </c>
      <c r="U118" s="5" t="str">
        <f ca="1">IFERROR(__xludf.DUMMYFUNCTION("""COMPUTED_VALUE"""),"EQUIPOS PARA PREPARACION DE JARABEBOMBAS JARABE TERMINADO")</f>
        <v>EQUIPOS PARA PREPARACION DE JARABEBOMBAS JARABE TERMINADO</v>
      </c>
      <c r="V118" s="5"/>
      <c r="W118" s="5" t="b">
        <f ca="1">IFERROR(__xludf.DUMMYFUNCTION("""COMPUTED_VALUE"""),TRUE)</f>
        <v>1</v>
      </c>
      <c r="X118" s="5" t="str">
        <f ca="1">IFERROR(__xludf.DUMMYFUNCTION("""COMPUTED_VALUE"""),"efzapata@postobon.com.co,aprmttoyu@postobon.com.co,aprmyu@postobon.com.co,wmora@postobon.com.co,efzapata@postobon.com.co")</f>
        <v>efzapata@postobon.com.co,aprmttoyu@postobon.com.co,aprmyu@postobon.com.co,wmora@postobon.com.co,efzapata@postobon.com.co</v>
      </c>
      <c r="Y118" s="5" t="str">
        <f ca="1">IFERROR(__xludf.DUMMYFUNCTION("""COMPUTED_VALUE"""),"efzapata@postobon.com.co")</f>
        <v>efzapata@postobon.com.co</v>
      </c>
      <c r="Z118" s="5" t="str">
        <f ca="1">IFERROR(__xludf.DUMMYFUNCTION("""COMPUTED_VALUE"""),"XlCd7Q1VSj-2Lt9n3rfhgQ")</f>
        <v>XlCd7Q1VSj-2Lt9n3rfhgQ</v>
      </c>
      <c r="AA118" s="5"/>
      <c r="AB118" s="5"/>
      <c r="AC118" s="5"/>
      <c r="AD118" s="5">
        <f ca="1">IFERROR(__xludf.DUMMYFUNCTION("""COMPUTED_VALUE"""),24)</f>
        <v>24</v>
      </c>
      <c r="AE118" s="5">
        <f ca="1">IFERROR(__xludf.DUMMYFUNCTION("""COMPUTED_VALUE"""),24)</f>
        <v>24</v>
      </c>
      <c r="AF118" s="5" t="b">
        <f ca="1">IFERROR(__xludf.DUMMYFUNCTION("""COMPUTED_VALUE"""),FALSE)</f>
        <v>0</v>
      </c>
      <c r="AG118" s="5" t="str">
        <f ca="1">IFERROR(__xludf.DUMMYFUNCTION("""COMPUTED_VALUE"""),"INSPECCIONES REALIZADAS")</f>
        <v>INSPECCIONES REALIZADAS</v>
      </c>
      <c r="AH118" s="5"/>
    </row>
    <row r="119" spans="1:34">
      <c r="A119" s="5" t="str">
        <f ca="1">IFERROR(__xludf.DUMMYFUNCTION("""COMPUTED_VALUE"""),"EQUIPOS PARA PREPARACION DE JARABE")</f>
        <v>EQUIPOS PARA PREPARACION DE JARABE</v>
      </c>
      <c r="B119" s="5">
        <f ca="1">IFERROR(__xludf.DUMMYFUNCTION("""COMPUTED_VALUE"""),69963490)</f>
        <v>69963490</v>
      </c>
      <c r="C119" s="5" t="str">
        <f ca="1">IFERROR(__xludf.DUMMYFUNCTION("""COMPUTED_VALUE"""),"BOMBAS JARABE TERMINADO")</f>
        <v>BOMBAS JARABE TERMINADO</v>
      </c>
      <c r="D119" s="5">
        <f ca="1">IFERROR(__xludf.DUMMYFUNCTION("""COMPUTED_VALUE"""),13247442)</f>
        <v>13247442</v>
      </c>
      <c r="E119" s="5" t="str">
        <f ca="1">IFERROR(__xludf.DUMMYFUNCTION("""COMPUTED_VALUE"""),"INSPECCION SEMANAL BOMBAS JARABE TERMINA")</f>
        <v>INSPECCION SEMANAL BOMBAS JARABE TERMINA</v>
      </c>
      <c r="F119" s="5" t="str">
        <f ca="1">IFERROR(__xludf.DUMMYFUNCTION("""COMPUTED_VALUE"""),"VERIFICAR ESTADO PIEZAS TANQUES (QUE LAS PIEZAS ESTEN COMPLETAS Y EN BUEN ESTADO)")</f>
        <v>VERIFICAR ESTADO PIEZAS TANQUES (QUE LAS PIEZAS ESTEN COMPLETAS Y EN BUEN ESTADO)</v>
      </c>
      <c r="G119" s="5" t="b">
        <f ca="1">IFERROR(__xludf.DUMMYFUNCTION("""COMPUTED_VALUE"""),TRUE)</f>
        <v>1</v>
      </c>
      <c r="H119" s="5"/>
      <c r="I119" s="5"/>
      <c r="J119" s="5">
        <f ca="1">IFERROR(__xludf.DUMMYFUNCTION("""COMPUTED_VALUE"""),13247442)</f>
        <v>13247442</v>
      </c>
      <c r="K119" s="5"/>
      <c r="L119" s="18">
        <f ca="1">IFERROR(__xludf.DUMMYFUNCTION("""COMPUTED_VALUE"""),45324)</f>
        <v>45324</v>
      </c>
      <c r="M119" s="18">
        <f ca="1">IFERROR(__xludf.DUMMYFUNCTION("""COMPUTED_VALUE"""),45324)</f>
        <v>45324</v>
      </c>
      <c r="N119" s="5" t="str">
        <f ca="1">IFERROR(__xludf.DUMMYFUNCTION("""COMPUTED_VALUE"""),"Rivas Mena Carlos Danny")</f>
        <v>Rivas Mena Carlos Danny</v>
      </c>
      <c r="O119" s="2">
        <f ca="1">IFERROR(__xludf.DUMMYFUNCTION("""COMPUTED_VALUE"""),0.025)</f>
        <v>2.5000000000000001E-2</v>
      </c>
      <c r="P119" s="5">
        <f ca="1">IFERROR(__xludf.DUMMYFUNCTION("""COMPUTED_VALUE"""),20016283)</f>
        <v>20016283</v>
      </c>
      <c r="Q119" s="5" t="str">
        <f ca="1">IFERROR(__xludf.DUMMYFUNCTION("""COMPUTED_VALUE"""),"bXlSM9sqBN4")</f>
        <v>bXlSM9sqBN4</v>
      </c>
      <c r="R119" s="5">
        <f ca="1">IFERROR(__xludf.DUMMYFUNCTION("""COMPUTED_VALUE"""),410)</f>
        <v>410</v>
      </c>
      <c r="S119" s="62">
        <f ca="1">IFERROR(__xludf.DUMMYFUNCTION("""COMPUTED_VALUE"""),0.025)</f>
        <v>2.5000000000000001E-2</v>
      </c>
      <c r="T119" s="63" t="str">
        <f ca="1">IFERROR(__xludf.DUMMYFUNCTION("""COMPUTED_VALUE"""),"https://storage.googleapis.com/glide-prod.appspot.com/uploads-v2/ly7o78grxPaC6KdgvbpS/pub/3aRdSog0vUtuqPE8AJKD.png")</f>
        <v>https://storage.googleapis.com/glide-prod.appspot.com/uploads-v2/ly7o78grxPaC6KdgvbpS/pub/3aRdSog0vUtuqPE8AJKD.png</v>
      </c>
      <c r="U119" s="5" t="str">
        <f ca="1">IFERROR(__xludf.DUMMYFUNCTION("""COMPUTED_VALUE"""),"EQUIPOS PARA PREPARACION DE JARABEBOMBAS JARABE TERMINADO")</f>
        <v>EQUIPOS PARA PREPARACION DE JARABEBOMBAS JARABE TERMINADO</v>
      </c>
      <c r="V119" s="5"/>
      <c r="W119" s="5" t="b">
        <f ca="1">IFERROR(__xludf.DUMMYFUNCTION("""COMPUTED_VALUE"""),TRUE)</f>
        <v>1</v>
      </c>
      <c r="X119" s="5" t="str">
        <f ca="1">IFERROR(__xludf.DUMMYFUNCTION("""COMPUTED_VALUE"""),"efzapata@postobon.com.co,aprmttoyu@postobon.com.co,aprmyu@postobon.com.co,wmora@postobon.com.co,efzapata@postobon.com.co")</f>
        <v>efzapata@postobon.com.co,aprmttoyu@postobon.com.co,aprmyu@postobon.com.co,wmora@postobon.com.co,efzapata@postobon.com.co</v>
      </c>
      <c r="Y119" s="5" t="str">
        <f ca="1">IFERROR(__xludf.DUMMYFUNCTION("""COMPUTED_VALUE"""),"efzapata@postobon.com.co")</f>
        <v>efzapata@postobon.com.co</v>
      </c>
      <c r="Z119" s="5" t="str">
        <f ca="1">IFERROR(__xludf.DUMMYFUNCTION("""COMPUTED_VALUE"""),"MTWC9hRlSUarCOnj3UADvg")</f>
        <v>MTWC9hRlSUarCOnj3UADvg</v>
      </c>
      <c r="AA119" s="5"/>
      <c r="AB119" s="5"/>
      <c r="AC119" s="5"/>
      <c r="AD119" s="5">
        <f ca="1">IFERROR(__xludf.DUMMYFUNCTION("""COMPUTED_VALUE"""),24)</f>
        <v>24</v>
      </c>
      <c r="AE119" s="5">
        <f ca="1">IFERROR(__xludf.DUMMYFUNCTION("""COMPUTED_VALUE"""),24)</f>
        <v>24</v>
      </c>
      <c r="AF119" s="5" t="b">
        <f ca="1">IFERROR(__xludf.DUMMYFUNCTION("""COMPUTED_VALUE"""),FALSE)</f>
        <v>0</v>
      </c>
      <c r="AG119" s="5" t="str">
        <f ca="1">IFERROR(__xludf.DUMMYFUNCTION("""COMPUTED_VALUE"""),"INSPECCIONES REALIZADAS")</f>
        <v>INSPECCIONES REALIZADAS</v>
      </c>
      <c r="AH119" s="5"/>
    </row>
    <row r="120" spans="1:34">
      <c r="A120" s="5" t="str">
        <f ca="1">IFERROR(__xludf.DUMMYFUNCTION("""COMPUTED_VALUE"""),"EQUIPOS PARA PREPARACION DE JARABE")</f>
        <v>EQUIPOS PARA PREPARACION DE JARABE</v>
      </c>
      <c r="B120" s="5">
        <f ca="1">IFERROR(__xludf.DUMMYFUNCTION("""COMPUTED_VALUE"""),69963490)</f>
        <v>69963490</v>
      </c>
      <c r="C120" s="5" t="str">
        <f ca="1">IFERROR(__xludf.DUMMYFUNCTION("""COMPUTED_VALUE"""),"BOMBAS JARABE TERMINADO")</f>
        <v>BOMBAS JARABE TERMINADO</v>
      </c>
      <c r="D120" s="5">
        <f ca="1">IFERROR(__xludf.DUMMYFUNCTION("""COMPUTED_VALUE"""),13247442)</f>
        <v>13247442</v>
      </c>
      <c r="E120" s="5" t="str">
        <f ca="1">IFERROR(__xludf.DUMMYFUNCTION("""COMPUTED_VALUE"""),"INSPECCION SEMANAL BOMBAS JARABE TERMINA")</f>
        <v>INSPECCION SEMANAL BOMBAS JARABE TERMINA</v>
      </c>
      <c r="F120" s="5" t="str">
        <f ca="1">IFERROR(__xludf.DUMMYFUNCTION("""COMPUTED_VALUE"""),"PLAN MTTO MEC BOMBAS JARAB TERM 69963490")</f>
        <v>PLAN MTTO MEC BOMBAS JARAB TERM 69963490</v>
      </c>
      <c r="G120" s="5" t="b">
        <f ca="1">IFERROR(__xludf.DUMMYFUNCTION("""COMPUTED_VALUE"""),TRUE)</f>
        <v>1</v>
      </c>
      <c r="H120" s="5"/>
      <c r="I120" s="5"/>
      <c r="J120" s="5">
        <f ca="1">IFERROR(__xludf.DUMMYFUNCTION("""COMPUTED_VALUE"""),13247442)</f>
        <v>13247442</v>
      </c>
      <c r="K120" s="5"/>
      <c r="L120" s="18">
        <f ca="1">IFERROR(__xludf.DUMMYFUNCTION("""COMPUTED_VALUE"""),45324)</f>
        <v>45324</v>
      </c>
      <c r="M120" s="18">
        <f ca="1">IFERROR(__xludf.DUMMYFUNCTION("""COMPUTED_VALUE"""),45324)</f>
        <v>45324</v>
      </c>
      <c r="N120" s="5" t="str">
        <f ca="1">IFERROR(__xludf.DUMMYFUNCTION("""COMPUTED_VALUE"""),"Rivas Mena Carlos Danny")</f>
        <v>Rivas Mena Carlos Danny</v>
      </c>
      <c r="O120" s="2">
        <f ca="1">IFERROR(__xludf.DUMMYFUNCTION("""COMPUTED_VALUE"""),0.025)</f>
        <v>2.5000000000000001E-2</v>
      </c>
      <c r="P120" s="5">
        <f ca="1">IFERROR(__xludf.DUMMYFUNCTION("""COMPUTED_VALUE"""),20016283)</f>
        <v>20016283</v>
      </c>
      <c r="Q120" s="5" t="str">
        <f ca="1">IFERROR(__xludf.DUMMYFUNCTION("""COMPUTED_VALUE"""),"mphCCIESfpA")</f>
        <v>mphCCIESfpA</v>
      </c>
      <c r="R120" s="5">
        <f ca="1">IFERROR(__xludf.DUMMYFUNCTION("""COMPUTED_VALUE"""),410)</f>
        <v>410</v>
      </c>
      <c r="S120" s="62">
        <f ca="1">IFERROR(__xludf.DUMMYFUNCTION("""COMPUTED_VALUE"""),0.025)</f>
        <v>2.5000000000000001E-2</v>
      </c>
      <c r="T120" s="63" t="str">
        <f ca="1">IFERROR(__xludf.DUMMYFUNCTION("""COMPUTED_VALUE"""),"https://storage.googleapis.com/glide-prod.appspot.com/uploads-v2/ly7o78grxPaC6KdgvbpS/pub/3aRdSog0vUtuqPE8AJKD.png")</f>
        <v>https://storage.googleapis.com/glide-prod.appspot.com/uploads-v2/ly7o78grxPaC6KdgvbpS/pub/3aRdSog0vUtuqPE8AJKD.png</v>
      </c>
      <c r="U120" s="5" t="str">
        <f ca="1">IFERROR(__xludf.DUMMYFUNCTION("""COMPUTED_VALUE"""),"EQUIPOS PARA PREPARACION DE JARABEBOMBAS JARABE TERMINADO")</f>
        <v>EQUIPOS PARA PREPARACION DE JARABEBOMBAS JARABE TERMINADO</v>
      </c>
      <c r="V120" s="5"/>
      <c r="W120" s="5" t="b">
        <f ca="1">IFERROR(__xludf.DUMMYFUNCTION("""COMPUTED_VALUE"""),TRUE)</f>
        <v>1</v>
      </c>
      <c r="X120" s="5" t="str">
        <f ca="1">IFERROR(__xludf.DUMMYFUNCTION("""COMPUTED_VALUE"""),"efzapata@postobon.com.co,aprmttoyu@postobon.com.co,aprmyu@postobon.com.co,wmora@postobon.com.co,efzapata@postobon.com.co")</f>
        <v>efzapata@postobon.com.co,aprmttoyu@postobon.com.co,aprmyu@postobon.com.co,wmora@postobon.com.co,efzapata@postobon.com.co</v>
      </c>
      <c r="Y120" s="5" t="str">
        <f ca="1">IFERROR(__xludf.DUMMYFUNCTION("""COMPUTED_VALUE"""),"efzapata@postobon.com.co")</f>
        <v>efzapata@postobon.com.co</v>
      </c>
      <c r="Z120" s="5" t="str">
        <f ca="1">IFERROR(__xludf.DUMMYFUNCTION("""COMPUTED_VALUE"""),"HgeWmVf6RNqfBGACpA.9wQ")</f>
        <v>HgeWmVf6RNqfBGACpA.9wQ</v>
      </c>
      <c r="AA120" s="5"/>
      <c r="AB120" s="5"/>
      <c r="AC120" s="5"/>
      <c r="AD120" s="5">
        <f ca="1">IFERROR(__xludf.DUMMYFUNCTION("""COMPUTED_VALUE"""),24)</f>
        <v>24</v>
      </c>
      <c r="AE120" s="5">
        <f ca="1">IFERROR(__xludf.DUMMYFUNCTION("""COMPUTED_VALUE"""),24)</f>
        <v>24</v>
      </c>
      <c r="AF120" s="5" t="b">
        <f ca="1">IFERROR(__xludf.DUMMYFUNCTION("""COMPUTED_VALUE"""),FALSE)</f>
        <v>0</v>
      </c>
      <c r="AG120" s="5" t="str">
        <f ca="1">IFERROR(__xludf.DUMMYFUNCTION("""COMPUTED_VALUE"""),"INSPECCIONES REALIZADAS")</f>
        <v>INSPECCIONES REALIZADAS</v>
      </c>
      <c r="AH120" s="5"/>
    </row>
    <row r="121" spans="1:34">
      <c r="A121" s="5" t="str">
        <f ca="1">IFERROR(__xludf.DUMMYFUNCTION("""COMPUTED_VALUE"""),"LINEA PARA EL LLENADO DE BOLSAS")</f>
        <v>LINEA PARA EL LLENADO DE BOLSAS</v>
      </c>
      <c r="B121" s="5">
        <f ca="1">IFERROR(__xludf.DUMMYFUNCTION("""COMPUTED_VALUE"""),560026)</f>
        <v>560026</v>
      </c>
      <c r="C121" s="5" t="str">
        <f ca="1">IFERROR(__xludf.DUMMYFUNCTION("""COMPUTED_VALUE"""),"LAVADORA DE CAJAS PLASTICAS")</f>
        <v>LAVADORA DE CAJAS PLASTICAS</v>
      </c>
      <c r="D121" s="5">
        <f ca="1">IFERROR(__xludf.DUMMYFUNCTION("""COMPUTED_VALUE"""),13247712)</f>
        <v>13247712</v>
      </c>
      <c r="E121" s="5" t="str">
        <f ca="1">IFERROR(__xludf.DUMMYFUNCTION("""COMPUTED_VALUE"""),"INSPECCION SEMANAL CAJAS PLASTICAS")</f>
        <v>INSPECCION SEMANAL CAJAS PLASTICAS</v>
      </c>
      <c r="F121" s="5" t="str">
        <f ca="1">IFERROR(__xludf.DUMMYFUNCTION("""COMPUTED_VALUE"""),"VERIFICAR PRESION CHORROS INTERNOS")</f>
        <v>VERIFICAR PRESION CHORROS INTERNOS</v>
      </c>
      <c r="G121" s="5" t="b">
        <f ca="1">IFERROR(__xludf.DUMMYFUNCTION("""COMPUTED_VALUE"""),TRUE)</f>
        <v>1</v>
      </c>
      <c r="H121" s="5"/>
      <c r="I121" s="5"/>
      <c r="J121" s="5">
        <f ca="1">IFERROR(__xludf.DUMMYFUNCTION("""COMPUTED_VALUE"""),13247712)</f>
        <v>13247712</v>
      </c>
      <c r="K121" s="5"/>
      <c r="L121" s="18">
        <f ca="1">IFERROR(__xludf.DUMMYFUNCTION("""COMPUTED_VALUE"""),45325)</f>
        <v>45325</v>
      </c>
      <c r="M121" s="18">
        <f ca="1">IFERROR(__xludf.DUMMYFUNCTION("""COMPUTED_VALUE"""),45325)</f>
        <v>45325</v>
      </c>
      <c r="N121" s="5" t="str">
        <f ca="1">IFERROR(__xludf.DUMMYFUNCTION("""COMPUTED_VALUE"""),"ESTEBAN POTOSI ISAZA")</f>
        <v>ESTEBAN POTOSI ISAZA</v>
      </c>
      <c r="O121" s="2">
        <f ca="1">IFERROR(__xludf.DUMMYFUNCTION("""COMPUTED_VALUE"""),0.011111111)</f>
        <v>1.1111111E-2</v>
      </c>
      <c r="P121" s="5">
        <f ca="1">IFERROR(__xludf.DUMMYFUNCTION("""COMPUTED_VALUE"""),20076884)</f>
        <v>20076884</v>
      </c>
      <c r="Q121" s="5" t="str">
        <f ca="1">IFERROR(__xludf.DUMMYFUNCTION("""COMPUTED_VALUE"""),"JzlJovinzFA")</f>
        <v>JzlJovinzFA</v>
      </c>
      <c r="R121" s="5">
        <f ca="1">IFERROR(__xludf.DUMMYFUNCTION("""COMPUTED_VALUE"""),410)</f>
        <v>410</v>
      </c>
      <c r="S121" s="62">
        <f ca="1">IFERROR(__xludf.DUMMYFUNCTION("""COMPUTED_VALUE"""),0.011111111)</f>
        <v>1.1111111E-2</v>
      </c>
      <c r="T121" s="63" t="str">
        <f ca="1">IFERROR(__xludf.DUMMYFUNCTION("""COMPUTED_VALUE"""),"https://storage.googleapis.com/glide-prod.appspot.com/uploads-v2/ly7o78grxPaC6KdgvbpS/pub/3aRdSog0vUtuqPE8AJKD.png")</f>
        <v>https://storage.googleapis.com/glide-prod.appspot.com/uploads-v2/ly7o78grxPaC6KdgvbpS/pub/3aRdSog0vUtuqPE8AJKD.png</v>
      </c>
      <c r="U121" s="5" t="str">
        <f ca="1">IFERROR(__xludf.DUMMYFUNCTION("""COMPUTED_VALUE"""),"LINEA PARA EL LLENADO DE BOLSASLAVADORA DE CAJAS PLASTICAS")</f>
        <v>LINEA PARA EL LLENADO DE BOLSASLAVADORA DE CAJAS PLASTICAS</v>
      </c>
      <c r="V121" s="5"/>
      <c r="W121" s="5" t="b">
        <f ca="1">IFERROR(__xludf.DUMMYFUNCTION("""COMPUTED_VALUE"""),TRUE)</f>
        <v>1</v>
      </c>
      <c r="X121" s="5" t="str">
        <f ca="1">IFERROR(__xludf.DUMMYFUNCTION("""COMPUTED_VALUE"""),"achavezi@postobon.com.co,aprmttoyu@postobon.com.co,aprmyu@postobon.com.co,wmora@postobon.com.co,efzapata@postobon.com.co")</f>
        <v>achavezi@postobon.com.co,aprmttoyu@postobon.com.co,aprmyu@postobon.com.co,wmora@postobon.com.co,efzapata@postobon.com.co</v>
      </c>
      <c r="Y121" s="5" t="str">
        <f ca="1">IFERROR(__xludf.DUMMYFUNCTION("""COMPUTED_VALUE"""),"achavezi@postobon.com.co")</f>
        <v>achavezi@postobon.com.co</v>
      </c>
      <c r="Z121" s="5" t="str">
        <f ca="1">IFERROR(__xludf.DUMMYFUNCTION("""COMPUTED_VALUE"""),"icsBBmoHTCGPRxdIB5f2bw")</f>
        <v>icsBBmoHTCGPRxdIB5f2bw</v>
      </c>
      <c r="AA121" s="5"/>
      <c r="AB121" s="5"/>
      <c r="AC121" s="5"/>
      <c r="AD121" s="5">
        <f ca="1">IFERROR(__xludf.DUMMYFUNCTION("""COMPUTED_VALUE"""),70)</f>
        <v>70</v>
      </c>
      <c r="AE121" s="5">
        <f ca="1">IFERROR(__xludf.DUMMYFUNCTION("""COMPUTED_VALUE"""),70)</f>
        <v>70</v>
      </c>
      <c r="AF121" s="5" t="b">
        <f ca="1">IFERROR(__xludf.DUMMYFUNCTION("""COMPUTED_VALUE"""),FALSE)</f>
        <v>0</v>
      </c>
      <c r="AG121" s="5" t="str">
        <f ca="1">IFERROR(__xludf.DUMMYFUNCTION("""COMPUTED_VALUE"""),"INSPECCIONES REALIZADAS")</f>
        <v>INSPECCIONES REALIZADAS</v>
      </c>
      <c r="AH121" s="5"/>
    </row>
    <row r="122" spans="1:34">
      <c r="A122" s="5" t="str">
        <f ca="1">IFERROR(__xludf.DUMMYFUNCTION("""COMPUTED_VALUE"""),"LINEA PARA EL LLENADO DE BOLSAS")</f>
        <v>LINEA PARA EL LLENADO DE BOLSAS</v>
      </c>
      <c r="B122" s="5">
        <f ca="1">IFERROR(__xludf.DUMMYFUNCTION("""COMPUTED_VALUE"""),560026)</f>
        <v>560026</v>
      </c>
      <c r="C122" s="5" t="str">
        <f ca="1">IFERROR(__xludf.DUMMYFUNCTION("""COMPUTED_VALUE"""),"LAVADORA DE CAJAS PLASTICAS")</f>
        <v>LAVADORA DE CAJAS PLASTICAS</v>
      </c>
      <c r="D122" s="5">
        <f ca="1">IFERROR(__xludf.DUMMYFUNCTION("""COMPUTED_VALUE"""),13247712)</f>
        <v>13247712</v>
      </c>
      <c r="E122" s="5" t="str">
        <f ca="1">IFERROR(__xludf.DUMMYFUNCTION("""COMPUTED_VALUE"""),"INSPECCION SEMANAL CAJAS PLASTICAS")</f>
        <v>INSPECCION SEMANAL CAJAS PLASTICAS</v>
      </c>
      <c r="F122" s="5" t="str">
        <f ca="1">IFERROR(__xludf.DUMMYFUNCTION("""COMPUTED_VALUE"""),"INSP SENSORES NIVEL")</f>
        <v>INSP SENSORES NIVEL</v>
      </c>
      <c r="G122" s="5" t="b">
        <f ca="1">IFERROR(__xludf.DUMMYFUNCTION("""COMPUTED_VALUE"""),TRUE)</f>
        <v>1</v>
      </c>
      <c r="H122" s="5"/>
      <c r="I122" s="5"/>
      <c r="J122" s="5">
        <f ca="1">IFERROR(__xludf.DUMMYFUNCTION("""COMPUTED_VALUE"""),13247712)</f>
        <v>13247712</v>
      </c>
      <c r="K122" s="5"/>
      <c r="L122" s="18">
        <f ca="1">IFERROR(__xludf.DUMMYFUNCTION("""COMPUTED_VALUE"""),45325)</f>
        <v>45325</v>
      </c>
      <c r="M122" s="18">
        <f ca="1">IFERROR(__xludf.DUMMYFUNCTION("""COMPUTED_VALUE"""),45325)</f>
        <v>45325</v>
      </c>
      <c r="N122" s="5" t="str">
        <f ca="1">IFERROR(__xludf.DUMMYFUNCTION("""COMPUTED_VALUE"""),"ESTEBAN POTOSI ISAZA")</f>
        <v>ESTEBAN POTOSI ISAZA</v>
      </c>
      <c r="O122" s="2">
        <f ca="1">IFERROR(__xludf.DUMMYFUNCTION("""COMPUTED_VALUE"""),0.011111111)</f>
        <v>1.1111111E-2</v>
      </c>
      <c r="P122" s="5">
        <f ca="1">IFERROR(__xludf.DUMMYFUNCTION("""COMPUTED_VALUE"""),20076884)</f>
        <v>20076884</v>
      </c>
      <c r="Q122" s="5" t="str">
        <f ca="1">IFERROR(__xludf.DUMMYFUNCTION("""COMPUTED_VALUE"""),"VWux4Pgawas")</f>
        <v>VWux4Pgawas</v>
      </c>
      <c r="R122" s="5">
        <f ca="1">IFERROR(__xludf.DUMMYFUNCTION("""COMPUTED_VALUE"""),410)</f>
        <v>410</v>
      </c>
      <c r="S122" s="62">
        <f ca="1">IFERROR(__xludf.DUMMYFUNCTION("""COMPUTED_VALUE"""),0.011111111)</f>
        <v>1.1111111E-2</v>
      </c>
      <c r="T122" s="63" t="str">
        <f ca="1">IFERROR(__xludf.DUMMYFUNCTION("""COMPUTED_VALUE"""),"https://storage.googleapis.com/glide-prod.appspot.com/uploads-v2/ly7o78grxPaC6KdgvbpS/pub/3aRdSog0vUtuqPE8AJKD.png")</f>
        <v>https://storage.googleapis.com/glide-prod.appspot.com/uploads-v2/ly7o78grxPaC6KdgvbpS/pub/3aRdSog0vUtuqPE8AJKD.png</v>
      </c>
      <c r="U122" s="5" t="str">
        <f ca="1">IFERROR(__xludf.DUMMYFUNCTION("""COMPUTED_VALUE"""),"LINEA PARA EL LLENADO DE BOLSASLAVADORA DE CAJAS PLASTICAS")</f>
        <v>LINEA PARA EL LLENADO DE BOLSASLAVADORA DE CAJAS PLASTICAS</v>
      </c>
      <c r="V122" s="5"/>
      <c r="W122" s="5" t="b">
        <f ca="1">IFERROR(__xludf.DUMMYFUNCTION("""COMPUTED_VALUE"""),TRUE)</f>
        <v>1</v>
      </c>
      <c r="X122" s="5" t="str">
        <f ca="1">IFERROR(__xludf.DUMMYFUNCTION("""COMPUTED_VALUE"""),"achavezi@postobon.com.co,aprmttoyu@postobon.com.co,aprmyu@postobon.com.co,wmora@postobon.com.co,efzapata@postobon.com.co")</f>
        <v>achavezi@postobon.com.co,aprmttoyu@postobon.com.co,aprmyu@postobon.com.co,wmora@postobon.com.co,efzapata@postobon.com.co</v>
      </c>
      <c r="Y122" s="5" t="str">
        <f ca="1">IFERROR(__xludf.DUMMYFUNCTION("""COMPUTED_VALUE"""),"achavezi@postobon.com.co")</f>
        <v>achavezi@postobon.com.co</v>
      </c>
      <c r="Z122" s="5" t="str">
        <f ca="1">IFERROR(__xludf.DUMMYFUNCTION("""COMPUTED_VALUE"""),"erTWw1HcS5eo6YAXzYsvjA")</f>
        <v>erTWw1HcS5eo6YAXzYsvjA</v>
      </c>
      <c r="AA122" s="5"/>
      <c r="AB122" s="5"/>
      <c r="AC122" s="5"/>
      <c r="AD122" s="5">
        <f ca="1">IFERROR(__xludf.DUMMYFUNCTION("""COMPUTED_VALUE"""),70)</f>
        <v>70</v>
      </c>
      <c r="AE122" s="5">
        <f ca="1">IFERROR(__xludf.DUMMYFUNCTION("""COMPUTED_VALUE"""),70)</f>
        <v>70</v>
      </c>
      <c r="AF122" s="5" t="b">
        <f ca="1">IFERROR(__xludf.DUMMYFUNCTION("""COMPUTED_VALUE"""),FALSE)</f>
        <v>0</v>
      </c>
      <c r="AG122" s="5" t="str">
        <f ca="1">IFERROR(__xludf.DUMMYFUNCTION("""COMPUTED_VALUE"""),"INSPECCIONES REALIZADAS")</f>
        <v>INSPECCIONES REALIZADAS</v>
      </c>
      <c r="AH122" s="5"/>
    </row>
    <row r="123" spans="1:34">
      <c r="A123" s="5" t="str">
        <f ca="1">IFERROR(__xludf.DUMMYFUNCTION("""COMPUTED_VALUE"""),"LINEA PARA EL LLENADO DE BOLSAS")</f>
        <v>LINEA PARA EL LLENADO DE BOLSAS</v>
      </c>
      <c r="B123" s="5">
        <f ca="1">IFERROR(__xludf.DUMMYFUNCTION("""COMPUTED_VALUE"""),560026)</f>
        <v>560026</v>
      </c>
      <c r="C123" s="5" t="str">
        <f ca="1">IFERROR(__xludf.DUMMYFUNCTION("""COMPUTED_VALUE"""),"LAVADORA DE CAJAS PLASTICAS")</f>
        <v>LAVADORA DE CAJAS PLASTICAS</v>
      </c>
      <c r="D123" s="5">
        <f ca="1">IFERROR(__xludf.DUMMYFUNCTION("""COMPUTED_VALUE"""),13247712)</f>
        <v>13247712</v>
      </c>
      <c r="E123" s="5" t="str">
        <f ca="1">IFERROR(__xludf.DUMMYFUNCTION("""COMPUTED_VALUE"""),"INSPECCION SEMANAL CAJAS PLASTICAS")</f>
        <v>INSPECCION SEMANAL CAJAS PLASTICAS</v>
      </c>
      <c r="F123" s="5" t="str">
        <f ca="1">IFERROR(__xludf.DUMMYFUNCTION("""COMPUTED_VALUE"""),"FUNC TERMOMETROS")</f>
        <v>FUNC TERMOMETROS</v>
      </c>
      <c r="G123" s="5" t="b">
        <f ca="1">IFERROR(__xludf.DUMMYFUNCTION("""COMPUTED_VALUE"""),TRUE)</f>
        <v>1</v>
      </c>
      <c r="H123" s="5"/>
      <c r="I123" s="5"/>
      <c r="J123" s="5">
        <f ca="1">IFERROR(__xludf.DUMMYFUNCTION("""COMPUTED_VALUE"""),13247712)</f>
        <v>13247712</v>
      </c>
      <c r="K123" s="5"/>
      <c r="L123" s="18">
        <f ca="1">IFERROR(__xludf.DUMMYFUNCTION("""COMPUTED_VALUE"""),45325)</f>
        <v>45325</v>
      </c>
      <c r="M123" s="18">
        <f ca="1">IFERROR(__xludf.DUMMYFUNCTION("""COMPUTED_VALUE"""),45325)</f>
        <v>45325</v>
      </c>
      <c r="N123" s="5" t="str">
        <f ca="1">IFERROR(__xludf.DUMMYFUNCTION("""COMPUTED_VALUE"""),"ESTEBAN POTOSI ISAZA")</f>
        <v>ESTEBAN POTOSI ISAZA</v>
      </c>
      <c r="O123" s="2">
        <f ca="1">IFERROR(__xludf.DUMMYFUNCTION("""COMPUTED_VALUE"""),0.011111111)</f>
        <v>1.1111111E-2</v>
      </c>
      <c r="P123" s="5">
        <f ca="1">IFERROR(__xludf.DUMMYFUNCTION("""COMPUTED_VALUE"""),20076884)</f>
        <v>20076884</v>
      </c>
      <c r="Q123" s="5" t="str">
        <f ca="1">IFERROR(__xludf.DUMMYFUNCTION("""COMPUTED_VALUE"""),"pTLPN6QiCtQ")</f>
        <v>pTLPN6QiCtQ</v>
      </c>
      <c r="R123" s="5">
        <f ca="1">IFERROR(__xludf.DUMMYFUNCTION("""COMPUTED_VALUE"""),410)</f>
        <v>410</v>
      </c>
      <c r="S123" s="62">
        <f ca="1">IFERROR(__xludf.DUMMYFUNCTION("""COMPUTED_VALUE"""),0.011111111)</f>
        <v>1.1111111E-2</v>
      </c>
      <c r="T123" s="63" t="str">
        <f ca="1">IFERROR(__xludf.DUMMYFUNCTION("""COMPUTED_VALUE"""),"https://storage.googleapis.com/glide-prod.appspot.com/uploads-v2/ly7o78grxPaC6KdgvbpS/pub/3aRdSog0vUtuqPE8AJKD.png")</f>
        <v>https://storage.googleapis.com/glide-prod.appspot.com/uploads-v2/ly7o78grxPaC6KdgvbpS/pub/3aRdSog0vUtuqPE8AJKD.png</v>
      </c>
      <c r="U123" s="5" t="str">
        <f ca="1">IFERROR(__xludf.DUMMYFUNCTION("""COMPUTED_VALUE"""),"LINEA PARA EL LLENADO DE BOLSASLAVADORA DE CAJAS PLASTICAS")</f>
        <v>LINEA PARA EL LLENADO DE BOLSASLAVADORA DE CAJAS PLASTICAS</v>
      </c>
      <c r="V123" s="5"/>
      <c r="W123" s="5" t="b">
        <f ca="1">IFERROR(__xludf.DUMMYFUNCTION("""COMPUTED_VALUE"""),TRUE)</f>
        <v>1</v>
      </c>
      <c r="X123" s="5" t="str">
        <f ca="1">IFERROR(__xludf.DUMMYFUNCTION("""COMPUTED_VALUE"""),"achavezi@postobon.com.co,aprmttoyu@postobon.com.co,aprmyu@postobon.com.co,wmora@postobon.com.co,efzapata@postobon.com.co")</f>
        <v>achavezi@postobon.com.co,aprmttoyu@postobon.com.co,aprmyu@postobon.com.co,wmora@postobon.com.co,efzapata@postobon.com.co</v>
      </c>
      <c r="Y123" s="5" t="str">
        <f ca="1">IFERROR(__xludf.DUMMYFUNCTION("""COMPUTED_VALUE"""),"achavezi@postobon.com.co")</f>
        <v>achavezi@postobon.com.co</v>
      </c>
      <c r="Z123" s="5" t="str">
        <f ca="1">IFERROR(__xludf.DUMMYFUNCTION("""COMPUTED_VALUE"""),"a-.kpLKTeQxSYQIalzp5yRA")</f>
        <v>a-.kpLKTeQxSYQIalzp5yRA</v>
      </c>
      <c r="AA123" s="5"/>
      <c r="AB123" s="5"/>
      <c r="AC123" s="5"/>
      <c r="AD123" s="5">
        <f ca="1">IFERROR(__xludf.DUMMYFUNCTION("""COMPUTED_VALUE"""),70)</f>
        <v>70</v>
      </c>
      <c r="AE123" s="5">
        <f ca="1">IFERROR(__xludf.DUMMYFUNCTION("""COMPUTED_VALUE"""),70)</f>
        <v>70</v>
      </c>
      <c r="AF123" s="5" t="b">
        <f ca="1">IFERROR(__xludf.DUMMYFUNCTION("""COMPUTED_VALUE"""),FALSE)</f>
        <v>0</v>
      </c>
      <c r="AG123" s="5" t="str">
        <f ca="1">IFERROR(__xludf.DUMMYFUNCTION("""COMPUTED_VALUE"""),"INSPECCIONES REALIZADAS")</f>
        <v>INSPECCIONES REALIZADAS</v>
      </c>
      <c r="AH123" s="5"/>
    </row>
    <row r="124" spans="1:34">
      <c r="A124" s="5" t="str">
        <f ca="1">IFERROR(__xludf.DUMMYFUNCTION("""COMPUTED_VALUE"""),"LINEA PARA EL LLENADO DE BOLSAS")</f>
        <v>LINEA PARA EL LLENADO DE BOLSAS</v>
      </c>
      <c r="B124" s="5">
        <f ca="1">IFERROR(__xludf.DUMMYFUNCTION("""COMPUTED_VALUE"""),560026)</f>
        <v>560026</v>
      </c>
      <c r="C124" s="5" t="str">
        <f ca="1">IFERROR(__xludf.DUMMYFUNCTION("""COMPUTED_VALUE"""),"LAVADORA DE CAJAS PLASTICAS")</f>
        <v>LAVADORA DE CAJAS PLASTICAS</v>
      </c>
      <c r="D124" s="5">
        <f ca="1">IFERROR(__xludf.DUMMYFUNCTION("""COMPUTED_VALUE"""),13247712)</f>
        <v>13247712</v>
      </c>
      <c r="E124" s="5" t="str">
        <f ca="1">IFERROR(__xludf.DUMMYFUNCTION("""COMPUTED_VALUE"""),"INSPECCION SEMANAL CAJAS PLASTICAS")</f>
        <v>INSPECCION SEMANAL CAJAS PLASTICAS</v>
      </c>
      <c r="F124" s="5" t="str">
        <f ca="1">IFERROR(__xludf.DUMMYFUNCTION("""COMPUTED_VALUE"""),"INSP SISTEMA NEUMATICO(VALVULAS,UNIDAD MTTO)")</f>
        <v>INSP SISTEMA NEUMATICO(VALVULAS,UNIDAD MTTO)</v>
      </c>
      <c r="G124" s="5" t="b">
        <f ca="1">IFERROR(__xludf.DUMMYFUNCTION("""COMPUTED_VALUE"""),TRUE)</f>
        <v>1</v>
      </c>
      <c r="H124" s="5"/>
      <c r="I124" s="5"/>
      <c r="J124" s="5">
        <f ca="1">IFERROR(__xludf.DUMMYFUNCTION("""COMPUTED_VALUE"""),13247712)</f>
        <v>13247712</v>
      </c>
      <c r="K124" s="5"/>
      <c r="L124" s="18">
        <f ca="1">IFERROR(__xludf.DUMMYFUNCTION("""COMPUTED_VALUE"""),45325)</f>
        <v>45325</v>
      </c>
      <c r="M124" s="18">
        <f ca="1">IFERROR(__xludf.DUMMYFUNCTION("""COMPUTED_VALUE"""),45325)</f>
        <v>45325</v>
      </c>
      <c r="N124" s="5" t="str">
        <f ca="1">IFERROR(__xludf.DUMMYFUNCTION("""COMPUTED_VALUE"""),"ESTEBAN POTOSI ISAZA")</f>
        <v>ESTEBAN POTOSI ISAZA</v>
      </c>
      <c r="O124" s="2">
        <f ca="1">IFERROR(__xludf.DUMMYFUNCTION("""COMPUTED_VALUE"""),0.011111111)</f>
        <v>1.1111111E-2</v>
      </c>
      <c r="P124" s="5">
        <f ca="1">IFERROR(__xludf.DUMMYFUNCTION("""COMPUTED_VALUE"""),20076884)</f>
        <v>20076884</v>
      </c>
      <c r="Q124" s="5" t="str">
        <f ca="1">IFERROR(__xludf.DUMMYFUNCTION("""COMPUTED_VALUE"""),"VEYdIt9_Rho")</f>
        <v>VEYdIt9_Rho</v>
      </c>
      <c r="R124" s="5">
        <f ca="1">IFERROR(__xludf.DUMMYFUNCTION("""COMPUTED_VALUE"""),410)</f>
        <v>410</v>
      </c>
      <c r="S124" s="62">
        <f ca="1">IFERROR(__xludf.DUMMYFUNCTION("""COMPUTED_VALUE"""),0.011111111)</f>
        <v>1.1111111E-2</v>
      </c>
      <c r="T124" s="63" t="str">
        <f ca="1">IFERROR(__xludf.DUMMYFUNCTION("""COMPUTED_VALUE"""),"https://storage.googleapis.com/glide-prod.appspot.com/uploads-v2/ly7o78grxPaC6KdgvbpS/pub/3aRdSog0vUtuqPE8AJKD.png")</f>
        <v>https://storage.googleapis.com/glide-prod.appspot.com/uploads-v2/ly7o78grxPaC6KdgvbpS/pub/3aRdSog0vUtuqPE8AJKD.png</v>
      </c>
      <c r="U124" s="5" t="str">
        <f ca="1">IFERROR(__xludf.DUMMYFUNCTION("""COMPUTED_VALUE"""),"LINEA PARA EL LLENADO DE BOLSASLAVADORA DE CAJAS PLASTICAS")</f>
        <v>LINEA PARA EL LLENADO DE BOLSASLAVADORA DE CAJAS PLASTICAS</v>
      </c>
      <c r="V124" s="5"/>
      <c r="W124" s="5" t="b">
        <f ca="1">IFERROR(__xludf.DUMMYFUNCTION("""COMPUTED_VALUE"""),TRUE)</f>
        <v>1</v>
      </c>
      <c r="X124" s="5" t="str">
        <f ca="1">IFERROR(__xludf.DUMMYFUNCTION("""COMPUTED_VALUE"""),"achavezi@postobon.com.co,aprmttoyu@postobon.com.co,aprmyu@postobon.com.co,wmora@postobon.com.co,efzapata@postobon.com.co")</f>
        <v>achavezi@postobon.com.co,aprmttoyu@postobon.com.co,aprmyu@postobon.com.co,wmora@postobon.com.co,efzapata@postobon.com.co</v>
      </c>
      <c r="Y124" s="5" t="str">
        <f ca="1">IFERROR(__xludf.DUMMYFUNCTION("""COMPUTED_VALUE"""),"achavezi@postobon.com.co")</f>
        <v>achavezi@postobon.com.co</v>
      </c>
      <c r="Z124" s="5" t="str">
        <f ca="1">IFERROR(__xludf.DUMMYFUNCTION("""COMPUTED_VALUE"""),"lJEpdOpiRAiFc8uhIgynMA")</f>
        <v>lJEpdOpiRAiFc8uhIgynMA</v>
      </c>
      <c r="AA124" s="5"/>
      <c r="AB124" s="5"/>
      <c r="AC124" s="5"/>
      <c r="AD124" s="5">
        <f ca="1">IFERROR(__xludf.DUMMYFUNCTION("""COMPUTED_VALUE"""),70)</f>
        <v>70</v>
      </c>
      <c r="AE124" s="5">
        <f ca="1">IFERROR(__xludf.DUMMYFUNCTION("""COMPUTED_VALUE"""),70)</f>
        <v>70</v>
      </c>
      <c r="AF124" s="5" t="b">
        <f ca="1">IFERROR(__xludf.DUMMYFUNCTION("""COMPUTED_VALUE"""),FALSE)</f>
        <v>0</v>
      </c>
      <c r="AG124" s="5" t="str">
        <f ca="1">IFERROR(__xludf.DUMMYFUNCTION("""COMPUTED_VALUE"""),"INSPECCIONES REALIZADAS")</f>
        <v>INSPECCIONES REALIZADAS</v>
      </c>
      <c r="AH124" s="5"/>
    </row>
    <row r="125" spans="1:34">
      <c r="A125" s="5" t="str">
        <f ca="1">IFERROR(__xludf.DUMMYFUNCTION("""COMPUTED_VALUE"""),"LINEA PARA EL LLENADO DE BOLSAS")</f>
        <v>LINEA PARA EL LLENADO DE BOLSAS</v>
      </c>
      <c r="B125" s="5">
        <f ca="1">IFERROR(__xludf.DUMMYFUNCTION("""COMPUTED_VALUE"""),560026)</f>
        <v>560026</v>
      </c>
      <c r="C125" s="5" t="str">
        <f ca="1">IFERROR(__xludf.DUMMYFUNCTION("""COMPUTED_VALUE"""),"LAVADORA DE CAJAS PLASTICAS")</f>
        <v>LAVADORA DE CAJAS PLASTICAS</v>
      </c>
      <c r="D125" s="5">
        <f ca="1">IFERROR(__xludf.DUMMYFUNCTION("""COMPUTED_VALUE"""),13247712)</f>
        <v>13247712</v>
      </c>
      <c r="E125" s="5" t="str">
        <f ca="1">IFERROR(__xludf.DUMMYFUNCTION("""COMPUTED_VALUE"""),"INSPECCION SEMANAL CAJAS PLASTICAS")</f>
        <v>INSPECCION SEMANAL CAJAS PLASTICAS</v>
      </c>
      <c r="F125" s="5" t="str">
        <f ca="1">IFERROR(__xludf.DUMMYFUNCTION("""COMPUTED_VALUE"""),"ESTADO TRANSPORTADOR INTERNO")</f>
        <v>ESTADO TRANSPORTADOR INTERNO</v>
      </c>
      <c r="G125" s="5" t="b">
        <f ca="1">IFERROR(__xludf.DUMMYFUNCTION("""COMPUTED_VALUE"""),TRUE)</f>
        <v>1</v>
      </c>
      <c r="H125" s="5"/>
      <c r="I125" s="5"/>
      <c r="J125" s="5">
        <f ca="1">IFERROR(__xludf.DUMMYFUNCTION("""COMPUTED_VALUE"""),13247712)</f>
        <v>13247712</v>
      </c>
      <c r="K125" s="5"/>
      <c r="L125" s="18">
        <f ca="1">IFERROR(__xludf.DUMMYFUNCTION("""COMPUTED_VALUE"""),45325)</f>
        <v>45325</v>
      </c>
      <c r="M125" s="18">
        <f ca="1">IFERROR(__xludf.DUMMYFUNCTION("""COMPUTED_VALUE"""),45325)</f>
        <v>45325</v>
      </c>
      <c r="N125" s="5" t="str">
        <f ca="1">IFERROR(__xludf.DUMMYFUNCTION("""COMPUTED_VALUE"""),"ESTEBAN POTOSI ISAZA")</f>
        <v>ESTEBAN POTOSI ISAZA</v>
      </c>
      <c r="O125" s="2">
        <f ca="1">IFERROR(__xludf.DUMMYFUNCTION("""COMPUTED_VALUE"""),0.011111111)</f>
        <v>1.1111111E-2</v>
      </c>
      <c r="P125" s="5">
        <f ca="1">IFERROR(__xludf.DUMMYFUNCTION("""COMPUTED_VALUE"""),20076884)</f>
        <v>20076884</v>
      </c>
      <c r="Q125" s="5" t="str">
        <f ca="1">IFERROR(__xludf.DUMMYFUNCTION("""COMPUTED_VALUE"""),"RGKzl1dYg8o")</f>
        <v>RGKzl1dYg8o</v>
      </c>
      <c r="R125" s="5">
        <f ca="1">IFERROR(__xludf.DUMMYFUNCTION("""COMPUTED_VALUE"""),410)</f>
        <v>410</v>
      </c>
      <c r="S125" s="62">
        <f ca="1">IFERROR(__xludf.DUMMYFUNCTION("""COMPUTED_VALUE"""),0.011111111)</f>
        <v>1.1111111E-2</v>
      </c>
      <c r="T125" s="63" t="str">
        <f ca="1">IFERROR(__xludf.DUMMYFUNCTION("""COMPUTED_VALUE"""),"https://storage.googleapis.com/glide-prod.appspot.com/uploads-v2/ly7o78grxPaC6KdgvbpS/pub/3aRdSog0vUtuqPE8AJKD.png")</f>
        <v>https://storage.googleapis.com/glide-prod.appspot.com/uploads-v2/ly7o78grxPaC6KdgvbpS/pub/3aRdSog0vUtuqPE8AJKD.png</v>
      </c>
      <c r="U125" s="5" t="str">
        <f ca="1">IFERROR(__xludf.DUMMYFUNCTION("""COMPUTED_VALUE"""),"LINEA PARA EL LLENADO DE BOLSASLAVADORA DE CAJAS PLASTICAS")</f>
        <v>LINEA PARA EL LLENADO DE BOLSASLAVADORA DE CAJAS PLASTICAS</v>
      </c>
      <c r="V125" s="5"/>
      <c r="W125" s="5" t="b">
        <f ca="1">IFERROR(__xludf.DUMMYFUNCTION("""COMPUTED_VALUE"""),TRUE)</f>
        <v>1</v>
      </c>
      <c r="X125" s="5" t="str">
        <f ca="1">IFERROR(__xludf.DUMMYFUNCTION("""COMPUTED_VALUE"""),"achavezi@postobon.com.co,aprmttoyu@postobon.com.co,aprmyu@postobon.com.co,wmora@postobon.com.co,efzapata@postobon.com.co")</f>
        <v>achavezi@postobon.com.co,aprmttoyu@postobon.com.co,aprmyu@postobon.com.co,wmora@postobon.com.co,efzapata@postobon.com.co</v>
      </c>
      <c r="Y125" s="5" t="str">
        <f ca="1">IFERROR(__xludf.DUMMYFUNCTION("""COMPUTED_VALUE"""),"achavezi@postobon.com.co")</f>
        <v>achavezi@postobon.com.co</v>
      </c>
      <c r="Z125" s="5" t="str">
        <f ca="1">IFERROR(__xludf.DUMMYFUNCTION("""COMPUTED_VALUE"""),"5puVpT3tT9mXAjqUHEqU4w")</f>
        <v>5puVpT3tT9mXAjqUHEqU4w</v>
      </c>
      <c r="AA125" s="5"/>
      <c r="AB125" s="5"/>
      <c r="AC125" s="5"/>
      <c r="AD125" s="5">
        <f ca="1">IFERROR(__xludf.DUMMYFUNCTION("""COMPUTED_VALUE"""),70)</f>
        <v>70</v>
      </c>
      <c r="AE125" s="5">
        <f ca="1">IFERROR(__xludf.DUMMYFUNCTION("""COMPUTED_VALUE"""),70)</f>
        <v>70</v>
      </c>
      <c r="AF125" s="5" t="b">
        <f ca="1">IFERROR(__xludf.DUMMYFUNCTION("""COMPUTED_VALUE"""),FALSE)</f>
        <v>0</v>
      </c>
      <c r="AG125" s="5" t="str">
        <f ca="1">IFERROR(__xludf.DUMMYFUNCTION("""COMPUTED_VALUE"""),"INSPECCIONES REALIZADAS")</f>
        <v>INSPECCIONES REALIZADAS</v>
      </c>
      <c r="AH125" s="5"/>
    </row>
    <row r="126" spans="1:34">
      <c r="A126" s="5" t="str">
        <f ca="1">IFERROR(__xludf.DUMMYFUNCTION("""COMPUTED_VALUE"""),"LINEA PARA EL LLENADO DE BOLSAS")</f>
        <v>LINEA PARA EL LLENADO DE BOLSAS</v>
      </c>
      <c r="B126" s="5">
        <f ca="1">IFERROR(__xludf.DUMMYFUNCTION("""COMPUTED_VALUE"""),560026)</f>
        <v>560026</v>
      </c>
      <c r="C126" s="5" t="str">
        <f ca="1">IFERROR(__xludf.DUMMYFUNCTION("""COMPUTED_VALUE"""),"LAVADORA DE CAJAS PLASTICAS")</f>
        <v>LAVADORA DE CAJAS PLASTICAS</v>
      </c>
      <c r="D126" s="5">
        <f ca="1">IFERROR(__xludf.DUMMYFUNCTION("""COMPUTED_VALUE"""),13247712)</f>
        <v>13247712</v>
      </c>
      <c r="E126" s="5" t="str">
        <f ca="1">IFERROR(__xludf.DUMMYFUNCTION("""COMPUTED_VALUE"""),"INSPECCION SEMANAL CAJAS PLASTICAS")</f>
        <v>INSPECCION SEMANAL CAJAS PLASTICAS</v>
      </c>
      <c r="F126" s="5" t="str">
        <f ca="1">IFERROR(__xludf.DUMMYFUNCTION("""COMPUTED_VALUE"""),"FUNC BOMBA LAVADO-ENJUAGUE")</f>
        <v>FUNC BOMBA LAVADO-ENJUAGUE</v>
      </c>
      <c r="G126" s="5" t="b">
        <f ca="1">IFERROR(__xludf.DUMMYFUNCTION("""COMPUTED_VALUE"""),TRUE)</f>
        <v>1</v>
      </c>
      <c r="H126" s="5"/>
      <c r="I126" s="5"/>
      <c r="J126" s="5">
        <f ca="1">IFERROR(__xludf.DUMMYFUNCTION("""COMPUTED_VALUE"""),13247712)</f>
        <v>13247712</v>
      </c>
      <c r="K126" s="5"/>
      <c r="L126" s="18">
        <f ca="1">IFERROR(__xludf.DUMMYFUNCTION("""COMPUTED_VALUE"""),45325)</f>
        <v>45325</v>
      </c>
      <c r="M126" s="18">
        <f ca="1">IFERROR(__xludf.DUMMYFUNCTION("""COMPUTED_VALUE"""),45325)</f>
        <v>45325</v>
      </c>
      <c r="N126" s="5" t="str">
        <f ca="1">IFERROR(__xludf.DUMMYFUNCTION("""COMPUTED_VALUE"""),"ESTEBAN POTOSI ISAZA")</f>
        <v>ESTEBAN POTOSI ISAZA</v>
      </c>
      <c r="O126" s="2">
        <f ca="1">IFERROR(__xludf.DUMMYFUNCTION("""COMPUTED_VALUE"""),0.011111111)</f>
        <v>1.1111111E-2</v>
      </c>
      <c r="P126" s="5">
        <f ca="1">IFERROR(__xludf.DUMMYFUNCTION("""COMPUTED_VALUE"""),20076884)</f>
        <v>20076884</v>
      </c>
      <c r="Q126" s="5" t="str">
        <f ca="1">IFERROR(__xludf.DUMMYFUNCTION("""COMPUTED_VALUE"""),"bQkD2jIRM0w")</f>
        <v>bQkD2jIRM0w</v>
      </c>
      <c r="R126" s="5">
        <f ca="1">IFERROR(__xludf.DUMMYFUNCTION("""COMPUTED_VALUE"""),410)</f>
        <v>410</v>
      </c>
      <c r="S126" s="62">
        <f ca="1">IFERROR(__xludf.DUMMYFUNCTION("""COMPUTED_VALUE"""),0.011111111)</f>
        <v>1.1111111E-2</v>
      </c>
      <c r="T126" s="63" t="str">
        <f ca="1">IFERROR(__xludf.DUMMYFUNCTION("""COMPUTED_VALUE"""),"https://storage.googleapis.com/glide-prod.appspot.com/uploads-v2/ly7o78grxPaC6KdgvbpS/pub/3aRdSog0vUtuqPE8AJKD.png")</f>
        <v>https://storage.googleapis.com/glide-prod.appspot.com/uploads-v2/ly7o78grxPaC6KdgvbpS/pub/3aRdSog0vUtuqPE8AJKD.png</v>
      </c>
      <c r="U126" s="5" t="str">
        <f ca="1">IFERROR(__xludf.DUMMYFUNCTION("""COMPUTED_VALUE"""),"LINEA PARA EL LLENADO DE BOLSASLAVADORA DE CAJAS PLASTICAS")</f>
        <v>LINEA PARA EL LLENADO DE BOLSASLAVADORA DE CAJAS PLASTICAS</v>
      </c>
      <c r="V126" s="5"/>
      <c r="W126" s="5" t="b">
        <f ca="1">IFERROR(__xludf.DUMMYFUNCTION("""COMPUTED_VALUE"""),TRUE)</f>
        <v>1</v>
      </c>
      <c r="X126" s="5" t="str">
        <f ca="1">IFERROR(__xludf.DUMMYFUNCTION("""COMPUTED_VALUE"""),"achavezi@postobon.com.co,aprmttoyu@postobon.com.co,aprmyu@postobon.com.co,wmora@postobon.com.co,efzapata@postobon.com.co")</f>
        <v>achavezi@postobon.com.co,aprmttoyu@postobon.com.co,aprmyu@postobon.com.co,wmora@postobon.com.co,efzapata@postobon.com.co</v>
      </c>
      <c r="Y126" s="5" t="str">
        <f ca="1">IFERROR(__xludf.DUMMYFUNCTION("""COMPUTED_VALUE"""),"achavezi@postobon.com.co")</f>
        <v>achavezi@postobon.com.co</v>
      </c>
      <c r="Z126" s="5" t="str">
        <f ca="1">IFERROR(__xludf.DUMMYFUNCTION("""COMPUTED_VALUE"""),"2PaMCSMOQjarsdtzGkPTHw")</f>
        <v>2PaMCSMOQjarsdtzGkPTHw</v>
      </c>
      <c r="AA126" s="5"/>
      <c r="AB126" s="5"/>
      <c r="AC126" s="5"/>
      <c r="AD126" s="5">
        <f ca="1">IFERROR(__xludf.DUMMYFUNCTION("""COMPUTED_VALUE"""),70)</f>
        <v>70</v>
      </c>
      <c r="AE126" s="5">
        <f ca="1">IFERROR(__xludf.DUMMYFUNCTION("""COMPUTED_VALUE"""),70)</f>
        <v>70</v>
      </c>
      <c r="AF126" s="5" t="b">
        <f ca="1">IFERROR(__xludf.DUMMYFUNCTION("""COMPUTED_VALUE"""),FALSE)</f>
        <v>0</v>
      </c>
      <c r="AG126" s="5" t="str">
        <f ca="1">IFERROR(__xludf.DUMMYFUNCTION("""COMPUTED_VALUE"""),"INSPECCIONES REALIZADAS")</f>
        <v>INSPECCIONES REALIZADAS</v>
      </c>
      <c r="AH126" s="5"/>
    </row>
    <row r="127" spans="1:34">
      <c r="A127" s="5" t="str">
        <f ca="1">IFERROR(__xludf.DUMMYFUNCTION("""COMPUTED_VALUE"""),"LINEA PARA EL LLENADO DE BOLSAS")</f>
        <v>LINEA PARA EL LLENADO DE BOLSAS</v>
      </c>
      <c r="B127" s="5">
        <f ca="1">IFERROR(__xludf.DUMMYFUNCTION("""COMPUTED_VALUE"""),560026)</f>
        <v>560026</v>
      </c>
      <c r="C127" s="5" t="str">
        <f ca="1">IFERROR(__xludf.DUMMYFUNCTION("""COMPUTED_VALUE"""),"LAVADORA DE CAJAS PLASTICAS")</f>
        <v>LAVADORA DE CAJAS PLASTICAS</v>
      </c>
      <c r="D127" s="5">
        <f ca="1">IFERROR(__xludf.DUMMYFUNCTION("""COMPUTED_VALUE"""),13247712)</f>
        <v>13247712</v>
      </c>
      <c r="E127" s="5" t="str">
        <f ca="1">IFERROR(__xludf.DUMMYFUNCTION("""COMPUTED_VALUE"""),"INSPECCION SEMANAL CAJAS PLASTICAS")</f>
        <v>INSPECCION SEMANAL CAJAS PLASTICAS</v>
      </c>
      <c r="F127" s="5" t="str">
        <f ca="1">IFERROR(__xludf.DUMMYFUNCTION("""COMPUTED_VALUE"""),"INSP FUGA FLUIDOS")</f>
        <v>INSP FUGA FLUIDOS</v>
      </c>
      <c r="G127" s="5" t="b">
        <f ca="1">IFERROR(__xludf.DUMMYFUNCTION("""COMPUTED_VALUE"""),TRUE)</f>
        <v>1</v>
      </c>
      <c r="H127" s="5"/>
      <c r="I127" s="5"/>
      <c r="J127" s="5">
        <f ca="1">IFERROR(__xludf.DUMMYFUNCTION("""COMPUTED_VALUE"""),13247712)</f>
        <v>13247712</v>
      </c>
      <c r="K127" s="5"/>
      <c r="L127" s="18">
        <f ca="1">IFERROR(__xludf.DUMMYFUNCTION("""COMPUTED_VALUE"""),45325)</f>
        <v>45325</v>
      </c>
      <c r="M127" s="18">
        <f ca="1">IFERROR(__xludf.DUMMYFUNCTION("""COMPUTED_VALUE"""),45325)</f>
        <v>45325</v>
      </c>
      <c r="N127" s="5" t="str">
        <f ca="1">IFERROR(__xludf.DUMMYFUNCTION("""COMPUTED_VALUE"""),"ESTEBAN POTOSI ISAZA")</f>
        <v>ESTEBAN POTOSI ISAZA</v>
      </c>
      <c r="O127" s="2">
        <f ca="1">IFERROR(__xludf.DUMMYFUNCTION("""COMPUTED_VALUE"""),0.011111111)</f>
        <v>1.1111111E-2</v>
      </c>
      <c r="P127" s="5">
        <f ca="1">IFERROR(__xludf.DUMMYFUNCTION("""COMPUTED_VALUE"""),20076884)</f>
        <v>20076884</v>
      </c>
      <c r="Q127" s="5" t="str">
        <f ca="1">IFERROR(__xludf.DUMMYFUNCTION("""COMPUTED_VALUE"""),"2LkHnIOEUKE")</f>
        <v>2LkHnIOEUKE</v>
      </c>
      <c r="R127" s="5">
        <f ca="1">IFERROR(__xludf.DUMMYFUNCTION("""COMPUTED_VALUE"""),410)</f>
        <v>410</v>
      </c>
      <c r="S127" s="62">
        <f ca="1">IFERROR(__xludf.DUMMYFUNCTION("""COMPUTED_VALUE"""),0.011111111)</f>
        <v>1.1111111E-2</v>
      </c>
      <c r="T127" s="63" t="str">
        <f ca="1">IFERROR(__xludf.DUMMYFUNCTION("""COMPUTED_VALUE"""),"https://storage.googleapis.com/glide-prod.appspot.com/uploads-v2/ly7o78grxPaC6KdgvbpS/pub/3aRdSog0vUtuqPE8AJKD.png")</f>
        <v>https://storage.googleapis.com/glide-prod.appspot.com/uploads-v2/ly7o78grxPaC6KdgvbpS/pub/3aRdSog0vUtuqPE8AJKD.png</v>
      </c>
      <c r="U127" s="5" t="str">
        <f ca="1">IFERROR(__xludf.DUMMYFUNCTION("""COMPUTED_VALUE"""),"LINEA PARA EL LLENADO DE BOLSASLAVADORA DE CAJAS PLASTICAS")</f>
        <v>LINEA PARA EL LLENADO DE BOLSASLAVADORA DE CAJAS PLASTICAS</v>
      </c>
      <c r="V127" s="5"/>
      <c r="W127" s="5" t="b">
        <f ca="1">IFERROR(__xludf.DUMMYFUNCTION("""COMPUTED_VALUE"""),TRUE)</f>
        <v>1</v>
      </c>
      <c r="X127" s="5" t="str">
        <f ca="1">IFERROR(__xludf.DUMMYFUNCTION("""COMPUTED_VALUE"""),"achavezi@postobon.com.co,aprmttoyu@postobon.com.co,aprmyu@postobon.com.co,wmora@postobon.com.co,efzapata@postobon.com.co")</f>
        <v>achavezi@postobon.com.co,aprmttoyu@postobon.com.co,aprmyu@postobon.com.co,wmora@postobon.com.co,efzapata@postobon.com.co</v>
      </c>
      <c r="Y127" s="5" t="str">
        <f ca="1">IFERROR(__xludf.DUMMYFUNCTION("""COMPUTED_VALUE"""),"achavezi@postobon.com.co")</f>
        <v>achavezi@postobon.com.co</v>
      </c>
      <c r="Z127" s="5" t="str">
        <f ca="1">IFERROR(__xludf.DUMMYFUNCTION("""COMPUTED_VALUE"""),"MSnsAf8KTCeHbKv9Sb6vrg")</f>
        <v>MSnsAf8KTCeHbKv9Sb6vrg</v>
      </c>
      <c r="AA127" s="5"/>
      <c r="AB127" s="5"/>
      <c r="AC127" s="5"/>
      <c r="AD127" s="5">
        <f ca="1">IFERROR(__xludf.DUMMYFUNCTION("""COMPUTED_VALUE"""),70)</f>
        <v>70</v>
      </c>
      <c r="AE127" s="5">
        <f ca="1">IFERROR(__xludf.DUMMYFUNCTION("""COMPUTED_VALUE"""),70)</f>
        <v>70</v>
      </c>
      <c r="AF127" s="5" t="b">
        <f ca="1">IFERROR(__xludf.DUMMYFUNCTION("""COMPUTED_VALUE"""),FALSE)</f>
        <v>0</v>
      </c>
      <c r="AG127" s="5" t="str">
        <f ca="1">IFERROR(__xludf.DUMMYFUNCTION("""COMPUTED_VALUE"""),"INSPECCIONES REALIZADAS")</f>
        <v>INSPECCIONES REALIZADAS</v>
      </c>
      <c r="AH127" s="5"/>
    </row>
    <row r="128" spans="1:34">
      <c r="A128" s="5" t="str">
        <f ca="1">IFERROR(__xludf.DUMMYFUNCTION("""COMPUTED_VALUE"""),"LINEA PARA EL LLENADO DE BOLSAS")</f>
        <v>LINEA PARA EL LLENADO DE BOLSAS</v>
      </c>
      <c r="B128" s="5">
        <f ca="1">IFERROR(__xludf.DUMMYFUNCTION("""COMPUTED_VALUE"""),560026)</f>
        <v>560026</v>
      </c>
      <c r="C128" s="5" t="str">
        <f ca="1">IFERROR(__xludf.DUMMYFUNCTION("""COMPUTED_VALUE"""),"LAVADORA DE CAJAS PLASTICAS")</f>
        <v>LAVADORA DE CAJAS PLASTICAS</v>
      </c>
      <c r="D128" s="5">
        <f ca="1">IFERROR(__xludf.DUMMYFUNCTION("""COMPUTED_VALUE"""),13247712)</f>
        <v>13247712</v>
      </c>
      <c r="E128" s="5" t="str">
        <f ca="1">IFERROR(__xludf.DUMMYFUNCTION("""COMPUTED_VALUE"""),"INSPECCION SEMANAL CAJAS PLASTICAS")</f>
        <v>INSPECCION SEMANAL CAJAS PLASTICAS</v>
      </c>
      <c r="F128" s="5" t="str">
        <f ca="1">IFERROR(__xludf.DUMMYFUNCTION("""COMPUTED_VALUE"""),"ESTADO TRANSPORTADORES")</f>
        <v>ESTADO TRANSPORTADORES</v>
      </c>
      <c r="G128" s="5" t="b">
        <f ca="1">IFERROR(__xludf.DUMMYFUNCTION("""COMPUTED_VALUE"""),TRUE)</f>
        <v>1</v>
      </c>
      <c r="H128" s="5"/>
      <c r="I128" s="5"/>
      <c r="J128" s="5">
        <f ca="1">IFERROR(__xludf.DUMMYFUNCTION("""COMPUTED_VALUE"""),13247712)</f>
        <v>13247712</v>
      </c>
      <c r="K128" s="5"/>
      <c r="L128" s="18">
        <f ca="1">IFERROR(__xludf.DUMMYFUNCTION("""COMPUTED_VALUE"""),45325)</f>
        <v>45325</v>
      </c>
      <c r="M128" s="18">
        <f ca="1">IFERROR(__xludf.DUMMYFUNCTION("""COMPUTED_VALUE"""),45325)</f>
        <v>45325</v>
      </c>
      <c r="N128" s="5" t="str">
        <f ca="1">IFERROR(__xludf.DUMMYFUNCTION("""COMPUTED_VALUE"""),"ESTEBAN POTOSI ISAZA")</f>
        <v>ESTEBAN POTOSI ISAZA</v>
      </c>
      <c r="O128" s="2">
        <f ca="1">IFERROR(__xludf.DUMMYFUNCTION("""COMPUTED_VALUE"""),0.011111111)</f>
        <v>1.1111111E-2</v>
      </c>
      <c r="P128" s="5">
        <f ca="1">IFERROR(__xludf.DUMMYFUNCTION("""COMPUTED_VALUE"""),20076884)</f>
        <v>20076884</v>
      </c>
      <c r="Q128" s="5" t="str">
        <f ca="1">IFERROR(__xludf.DUMMYFUNCTION("""COMPUTED_VALUE"""),"SGaMXqlzaOM")</f>
        <v>SGaMXqlzaOM</v>
      </c>
      <c r="R128" s="5">
        <f ca="1">IFERROR(__xludf.DUMMYFUNCTION("""COMPUTED_VALUE"""),410)</f>
        <v>410</v>
      </c>
      <c r="S128" s="62">
        <f ca="1">IFERROR(__xludf.DUMMYFUNCTION("""COMPUTED_VALUE"""),0.011111111)</f>
        <v>1.1111111E-2</v>
      </c>
      <c r="T128" s="63" t="str">
        <f ca="1">IFERROR(__xludf.DUMMYFUNCTION("""COMPUTED_VALUE"""),"https://storage.googleapis.com/glide-prod.appspot.com/uploads-v2/ly7o78grxPaC6KdgvbpS/pub/3aRdSog0vUtuqPE8AJKD.png")</f>
        <v>https://storage.googleapis.com/glide-prod.appspot.com/uploads-v2/ly7o78grxPaC6KdgvbpS/pub/3aRdSog0vUtuqPE8AJKD.png</v>
      </c>
      <c r="U128" s="5" t="str">
        <f ca="1">IFERROR(__xludf.DUMMYFUNCTION("""COMPUTED_VALUE"""),"LINEA PARA EL LLENADO DE BOLSASLAVADORA DE CAJAS PLASTICAS")</f>
        <v>LINEA PARA EL LLENADO DE BOLSASLAVADORA DE CAJAS PLASTICAS</v>
      </c>
      <c r="V128" s="5"/>
      <c r="W128" s="5" t="b">
        <f ca="1">IFERROR(__xludf.DUMMYFUNCTION("""COMPUTED_VALUE"""),TRUE)</f>
        <v>1</v>
      </c>
      <c r="X128" s="5" t="str">
        <f ca="1">IFERROR(__xludf.DUMMYFUNCTION("""COMPUTED_VALUE"""),"achavezi@postobon.com.co,aprmttoyu@postobon.com.co,aprmyu@postobon.com.co,wmora@postobon.com.co,efzapata@postobon.com.co")</f>
        <v>achavezi@postobon.com.co,aprmttoyu@postobon.com.co,aprmyu@postobon.com.co,wmora@postobon.com.co,efzapata@postobon.com.co</v>
      </c>
      <c r="Y128" s="5" t="str">
        <f ca="1">IFERROR(__xludf.DUMMYFUNCTION("""COMPUTED_VALUE"""),"achavezi@postobon.com.co")</f>
        <v>achavezi@postobon.com.co</v>
      </c>
      <c r="Z128" s="5" t="str">
        <f ca="1">IFERROR(__xludf.DUMMYFUNCTION("""COMPUTED_VALUE"""),"F3lFUS1ESLGy6-qJ4wBltQ")</f>
        <v>F3lFUS1ESLGy6-qJ4wBltQ</v>
      </c>
      <c r="AA128" s="5"/>
      <c r="AB128" s="5"/>
      <c r="AC128" s="5"/>
      <c r="AD128" s="5">
        <f ca="1">IFERROR(__xludf.DUMMYFUNCTION("""COMPUTED_VALUE"""),70)</f>
        <v>70</v>
      </c>
      <c r="AE128" s="5">
        <f ca="1">IFERROR(__xludf.DUMMYFUNCTION("""COMPUTED_VALUE"""),70)</f>
        <v>70</v>
      </c>
      <c r="AF128" s="5" t="b">
        <f ca="1">IFERROR(__xludf.DUMMYFUNCTION("""COMPUTED_VALUE"""),FALSE)</f>
        <v>0</v>
      </c>
      <c r="AG128" s="5" t="str">
        <f ca="1">IFERROR(__xludf.DUMMYFUNCTION("""COMPUTED_VALUE"""),"INSPECCIONES REALIZADAS")</f>
        <v>INSPECCIONES REALIZADAS</v>
      </c>
      <c r="AH128" s="5"/>
    </row>
    <row r="129" spans="1:34">
      <c r="A129" s="5" t="str">
        <f ca="1">IFERROR(__xludf.DUMMYFUNCTION("""COMPUTED_VALUE"""),"LINEA PARA EL LLENADO DE BOLSAS")</f>
        <v>LINEA PARA EL LLENADO DE BOLSAS</v>
      </c>
      <c r="B129" s="5">
        <f ca="1">IFERROR(__xludf.DUMMYFUNCTION("""COMPUTED_VALUE"""),560026)</f>
        <v>560026</v>
      </c>
      <c r="C129" s="5" t="str">
        <f ca="1">IFERROR(__xludf.DUMMYFUNCTION("""COMPUTED_VALUE"""),"LAVADORA DE CAJAS PLASTICAS")</f>
        <v>LAVADORA DE CAJAS PLASTICAS</v>
      </c>
      <c r="D129" s="5">
        <f ca="1">IFERROR(__xludf.DUMMYFUNCTION("""COMPUTED_VALUE"""),13247712)</f>
        <v>13247712</v>
      </c>
      <c r="E129" s="5" t="str">
        <f ca="1">IFERROR(__xludf.DUMMYFUNCTION("""COMPUTED_VALUE"""),"INSPECCION SEMANAL CAJAS PLASTICAS")</f>
        <v>INSPECCION SEMANAL CAJAS PLASTICAS</v>
      </c>
      <c r="F129" s="5" t="str">
        <f ca="1">IFERROR(__xludf.DUMMYFUNCTION("""COMPUTED_VALUE"""),"ESTADO MALLAS TANQUES")</f>
        <v>ESTADO MALLAS TANQUES</v>
      </c>
      <c r="G129" s="5" t="b">
        <f ca="1">IFERROR(__xludf.DUMMYFUNCTION("""COMPUTED_VALUE"""),TRUE)</f>
        <v>1</v>
      </c>
      <c r="H129" s="5"/>
      <c r="I129" s="5"/>
      <c r="J129" s="5">
        <f ca="1">IFERROR(__xludf.DUMMYFUNCTION("""COMPUTED_VALUE"""),13247712)</f>
        <v>13247712</v>
      </c>
      <c r="K129" s="5"/>
      <c r="L129" s="18">
        <f ca="1">IFERROR(__xludf.DUMMYFUNCTION("""COMPUTED_VALUE"""),45325)</f>
        <v>45325</v>
      </c>
      <c r="M129" s="18">
        <f ca="1">IFERROR(__xludf.DUMMYFUNCTION("""COMPUTED_VALUE"""),45325)</f>
        <v>45325</v>
      </c>
      <c r="N129" s="5" t="str">
        <f ca="1">IFERROR(__xludf.DUMMYFUNCTION("""COMPUTED_VALUE"""),"ESTEBAN POTOSI ISAZA")</f>
        <v>ESTEBAN POTOSI ISAZA</v>
      </c>
      <c r="O129" s="2">
        <f ca="1">IFERROR(__xludf.DUMMYFUNCTION("""COMPUTED_VALUE"""),0.011111111)</f>
        <v>1.1111111E-2</v>
      </c>
      <c r="P129" s="5">
        <f ca="1">IFERROR(__xludf.DUMMYFUNCTION("""COMPUTED_VALUE"""),20076884)</f>
        <v>20076884</v>
      </c>
      <c r="Q129" s="5" t="str">
        <f ca="1">IFERROR(__xludf.DUMMYFUNCTION("""COMPUTED_VALUE"""),"L9dx2i3Fsnc")</f>
        <v>L9dx2i3Fsnc</v>
      </c>
      <c r="R129" s="5">
        <f ca="1">IFERROR(__xludf.DUMMYFUNCTION("""COMPUTED_VALUE"""),410)</f>
        <v>410</v>
      </c>
      <c r="S129" s="62">
        <f ca="1">IFERROR(__xludf.DUMMYFUNCTION("""COMPUTED_VALUE"""),0.011111111)</f>
        <v>1.1111111E-2</v>
      </c>
      <c r="T129" s="63" t="str">
        <f ca="1">IFERROR(__xludf.DUMMYFUNCTION("""COMPUTED_VALUE"""),"https://storage.googleapis.com/glide-prod.appspot.com/uploads-v2/ly7o78grxPaC6KdgvbpS/pub/3aRdSog0vUtuqPE8AJKD.png")</f>
        <v>https://storage.googleapis.com/glide-prod.appspot.com/uploads-v2/ly7o78grxPaC6KdgvbpS/pub/3aRdSog0vUtuqPE8AJKD.png</v>
      </c>
      <c r="U129" s="5" t="str">
        <f ca="1">IFERROR(__xludf.DUMMYFUNCTION("""COMPUTED_VALUE"""),"LINEA PARA EL LLENADO DE BOLSASLAVADORA DE CAJAS PLASTICAS")</f>
        <v>LINEA PARA EL LLENADO DE BOLSASLAVADORA DE CAJAS PLASTICAS</v>
      </c>
      <c r="V129" s="5"/>
      <c r="W129" s="5" t="b">
        <f ca="1">IFERROR(__xludf.DUMMYFUNCTION("""COMPUTED_VALUE"""),TRUE)</f>
        <v>1</v>
      </c>
      <c r="X129" s="5" t="str">
        <f ca="1">IFERROR(__xludf.DUMMYFUNCTION("""COMPUTED_VALUE"""),"achavezi@postobon.com.co,aprmttoyu@postobon.com.co,aprmyu@postobon.com.co,wmora@postobon.com.co,efzapata@postobon.com.co")</f>
        <v>achavezi@postobon.com.co,aprmttoyu@postobon.com.co,aprmyu@postobon.com.co,wmora@postobon.com.co,efzapata@postobon.com.co</v>
      </c>
      <c r="Y129" s="5" t="str">
        <f ca="1">IFERROR(__xludf.DUMMYFUNCTION("""COMPUTED_VALUE"""),"achavezi@postobon.com.co")</f>
        <v>achavezi@postobon.com.co</v>
      </c>
      <c r="Z129" s="5" t="str">
        <f ca="1">IFERROR(__xludf.DUMMYFUNCTION("""COMPUTED_VALUE"""),"sbTg6kYcTiiAEQRRmJrm7Q")</f>
        <v>sbTg6kYcTiiAEQRRmJrm7Q</v>
      </c>
      <c r="AA129" s="5"/>
      <c r="AB129" s="5"/>
      <c r="AC129" s="5"/>
      <c r="AD129" s="5">
        <f ca="1">IFERROR(__xludf.DUMMYFUNCTION("""COMPUTED_VALUE"""),70)</f>
        <v>70</v>
      </c>
      <c r="AE129" s="5">
        <f ca="1">IFERROR(__xludf.DUMMYFUNCTION("""COMPUTED_VALUE"""),70)</f>
        <v>70</v>
      </c>
      <c r="AF129" s="5" t="b">
        <f ca="1">IFERROR(__xludf.DUMMYFUNCTION("""COMPUTED_VALUE"""),FALSE)</f>
        <v>0</v>
      </c>
      <c r="AG129" s="5" t="str">
        <f ca="1">IFERROR(__xludf.DUMMYFUNCTION("""COMPUTED_VALUE"""),"INSPECCIONES REALIZADAS")</f>
        <v>INSPECCIONES REALIZADAS</v>
      </c>
      <c r="AH129" s="5"/>
    </row>
    <row r="130" spans="1:34">
      <c r="A130" s="5" t="str">
        <f ca="1">IFERROR(__xludf.DUMMYFUNCTION("""COMPUTED_VALUE"""),"EQUIPOS PARA SERVICIOS INDUSTRIALES")</f>
        <v>EQUIPOS PARA SERVICIOS INDUSTRIALES</v>
      </c>
      <c r="B130" s="5">
        <f ca="1">IFERROR(__xludf.DUMMYFUNCTION("""COMPUTED_VALUE"""),659354)</f>
        <v>659354</v>
      </c>
      <c r="C130" s="5" t="str">
        <f ca="1">IFERROR(__xludf.DUMMYFUNCTION("""COMPUTED_VALUE"""),"CALDERA DE 300 BHP")</f>
        <v>CALDERA DE 300 BHP</v>
      </c>
      <c r="D130" s="5">
        <f ca="1">IFERROR(__xludf.DUMMYFUNCTION("""COMPUTED_VALUE"""),13247181)</f>
        <v>13247181</v>
      </c>
      <c r="E130" s="5" t="str">
        <f ca="1">IFERROR(__xludf.DUMMYFUNCTION("""COMPUTED_VALUE"""),"INSPECCION SEMANAL CALDERA DE 300 BHP")</f>
        <v>INSPECCION SEMANAL CALDERA DE 300 BHP</v>
      </c>
      <c r="F130" s="5" t="str">
        <f ca="1">IFERROR(__xludf.DUMMYFUNCTION("""COMPUTED_VALUE"""),"INSTRUMENTOS MEDICION")</f>
        <v>INSTRUMENTOS MEDICION</v>
      </c>
      <c r="G130" s="5" t="b">
        <f ca="1">IFERROR(__xludf.DUMMYFUNCTION("""COMPUTED_VALUE"""),TRUE)</f>
        <v>1</v>
      </c>
      <c r="H130" s="5"/>
      <c r="I130" s="5"/>
      <c r="J130" s="5">
        <f ca="1">IFERROR(__xludf.DUMMYFUNCTION("""COMPUTED_VALUE"""),13247181)</f>
        <v>13247181</v>
      </c>
      <c r="K130" s="5"/>
      <c r="L130" s="18">
        <f ca="1">IFERROR(__xludf.DUMMYFUNCTION("""COMPUTED_VALUE"""),45327)</f>
        <v>45327</v>
      </c>
      <c r="M130" s="18">
        <f ca="1">IFERROR(__xludf.DUMMYFUNCTION("""COMPUTED_VALUE"""),45327)</f>
        <v>45327</v>
      </c>
      <c r="N130" s="5" t="str">
        <f ca="1">IFERROR(__xludf.DUMMYFUNCTION("""COMPUTED_VALUE"""),"Valencia Hector")</f>
        <v>Valencia Hector</v>
      </c>
      <c r="O130" s="2">
        <f ca="1">IFERROR(__xludf.DUMMYFUNCTION("""COMPUTED_VALUE"""),0.007142857)</f>
        <v>7.1428569999999999E-3</v>
      </c>
      <c r="P130" s="5">
        <f ca="1">IFERROR(__xludf.DUMMYFUNCTION("""COMPUTED_VALUE"""),20015139)</f>
        <v>20015139</v>
      </c>
      <c r="Q130" s="5" t="str">
        <f ca="1">IFERROR(__xludf.DUMMYFUNCTION("""COMPUTED_VALUE"""),"w2ILKYq3vUE")</f>
        <v>w2ILKYq3vUE</v>
      </c>
      <c r="R130" s="5">
        <f ca="1">IFERROR(__xludf.DUMMYFUNCTION("""COMPUTED_VALUE"""),410)</f>
        <v>410</v>
      </c>
      <c r="S130" s="62">
        <f ca="1">IFERROR(__xludf.DUMMYFUNCTION("""COMPUTED_VALUE"""),0.007142857)</f>
        <v>7.1428569999999999E-3</v>
      </c>
      <c r="T130" s="63" t="str">
        <f ca="1">IFERROR(__xludf.DUMMYFUNCTION("""COMPUTED_VALUE"""),"https://storage.googleapis.com/glide-prod.appspot.com/uploads-v2/ly7o78grxPaC6KdgvbpS/pub/3aRdSog0vUtuqPE8AJKD.png")</f>
        <v>https://storage.googleapis.com/glide-prod.appspot.com/uploads-v2/ly7o78grxPaC6KdgvbpS/pub/3aRdSog0vUtuqPE8AJKD.png</v>
      </c>
      <c r="U130" s="5" t="str">
        <f ca="1">IFERROR(__xludf.DUMMYFUNCTION("""COMPUTED_VALUE"""),"EQUIPOS PARA SERVICIOS INDUSTRIALESCALDERA DE 300 BHP")</f>
        <v>EQUIPOS PARA SERVICIOS INDUSTRIALESCALDERA DE 300 BHP</v>
      </c>
      <c r="V130" s="5"/>
      <c r="W130" s="5" t="b">
        <f ca="1">IFERROR(__xludf.DUMMYFUNCTION("""COMPUTED_VALUE"""),TRUE)</f>
        <v>1</v>
      </c>
      <c r="X130" s="5" t="str">
        <f ca="1">IFERROR(__xludf.DUMMYFUNCTION("""COMPUTED_VALUE"""),"wmazorra@postobon.com.co,aprmttoyu@postobon.com.co,aprmyu@postobon.com.co,wmora@postobon.com.co,efzapata@postobon.com.co")</f>
        <v>wmazorra@postobon.com.co,aprmttoyu@postobon.com.co,aprmyu@postobon.com.co,wmora@postobon.com.co,efzapata@postobon.com.co</v>
      </c>
      <c r="Y130" s="5" t="str">
        <f ca="1">IFERROR(__xludf.DUMMYFUNCTION("""COMPUTED_VALUE"""),"wmazorra@postobon.com.co")</f>
        <v>wmazorra@postobon.com.co</v>
      </c>
      <c r="Z130" s="5" t="str">
        <f ca="1">IFERROR(__xludf.DUMMYFUNCTION("""COMPUTED_VALUE"""),"feJ5Fw1lS6aZYB4I9i0EKg")</f>
        <v>feJ5Fw1lS6aZYB4I9i0EKg</v>
      </c>
      <c r="AA130" s="5"/>
      <c r="AB130" s="5"/>
      <c r="AC130" s="5"/>
      <c r="AD130" s="5">
        <f ca="1">IFERROR(__xludf.DUMMYFUNCTION("""COMPUTED_VALUE"""),50)</f>
        <v>50</v>
      </c>
      <c r="AE130" s="5">
        <f ca="1">IFERROR(__xludf.DUMMYFUNCTION("""COMPUTED_VALUE"""),50)</f>
        <v>50</v>
      </c>
      <c r="AF130" s="5" t="b">
        <f ca="1">IFERROR(__xludf.DUMMYFUNCTION("""COMPUTED_VALUE"""),FALSE)</f>
        <v>0</v>
      </c>
      <c r="AG130" s="5" t="str">
        <f ca="1">IFERROR(__xludf.DUMMYFUNCTION("""COMPUTED_VALUE"""),"INSPECCIONES REALIZADAS")</f>
        <v>INSPECCIONES REALIZADAS</v>
      </c>
      <c r="AH130" s="5"/>
    </row>
    <row r="131" spans="1:34">
      <c r="A131" s="5" t="str">
        <f ca="1">IFERROR(__xludf.DUMMYFUNCTION("""COMPUTED_VALUE"""),"EQUIPOS PARA SERVICIOS INDUSTRIALES")</f>
        <v>EQUIPOS PARA SERVICIOS INDUSTRIALES</v>
      </c>
      <c r="B131" s="5">
        <f ca="1">IFERROR(__xludf.DUMMYFUNCTION("""COMPUTED_VALUE"""),659354)</f>
        <v>659354</v>
      </c>
      <c r="C131" s="5" t="str">
        <f ca="1">IFERROR(__xludf.DUMMYFUNCTION("""COMPUTED_VALUE"""),"CALDERA DE 300 BHP")</f>
        <v>CALDERA DE 300 BHP</v>
      </c>
      <c r="D131" s="5">
        <f ca="1">IFERROR(__xludf.DUMMYFUNCTION("""COMPUTED_VALUE"""),13247181)</f>
        <v>13247181</v>
      </c>
      <c r="E131" s="5" t="str">
        <f ca="1">IFERROR(__xludf.DUMMYFUNCTION("""COMPUTED_VALUE"""),"INSPECCION SEMANAL CALDERA DE 300 BHP")</f>
        <v>INSPECCION SEMANAL CALDERA DE 300 BHP</v>
      </c>
      <c r="F131" s="5" t="str">
        <f ca="1">IFERROR(__xludf.DUMMYFUNCTION("""COMPUTED_VALUE"""),"MOTOBOMBAS: AGUA, DOSIFICADOR")</f>
        <v>MOTOBOMBAS: AGUA, DOSIFICADOR</v>
      </c>
      <c r="G131" s="5" t="b">
        <f ca="1">IFERROR(__xludf.DUMMYFUNCTION("""COMPUTED_VALUE"""),TRUE)</f>
        <v>1</v>
      </c>
      <c r="H131" s="5"/>
      <c r="I131" s="5"/>
      <c r="J131" s="5">
        <f ca="1">IFERROR(__xludf.DUMMYFUNCTION("""COMPUTED_VALUE"""),13247181)</f>
        <v>13247181</v>
      </c>
      <c r="K131" s="5"/>
      <c r="L131" s="18">
        <f ca="1">IFERROR(__xludf.DUMMYFUNCTION("""COMPUTED_VALUE"""),45327)</f>
        <v>45327</v>
      </c>
      <c r="M131" s="18">
        <f ca="1">IFERROR(__xludf.DUMMYFUNCTION("""COMPUTED_VALUE"""),45327)</f>
        <v>45327</v>
      </c>
      <c r="N131" s="5" t="str">
        <f ca="1">IFERROR(__xludf.DUMMYFUNCTION("""COMPUTED_VALUE"""),"Valencia Hector")</f>
        <v>Valencia Hector</v>
      </c>
      <c r="O131" s="2">
        <f ca="1">IFERROR(__xludf.DUMMYFUNCTION("""COMPUTED_VALUE"""),0.007142857)</f>
        <v>7.1428569999999999E-3</v>
      </c>
      <c r="P131" s="5">
        <f ca="1">IFERROR(__xludf.DUMMYFUNCTION("""COMPUTED_VALUE"""),20015139)</f>
        <v>20015139</v>
      </c>
      <c r="Q131" s="5" t="str">
        <f ca="1">IFERROR(__xludf.DUMMYFUNCTION("""COMPUTED_VALUE"""),"rQ60xvk-EfU")</f>
        <v>rQ60xvk-EfU</v>
      </c>
      <c r="R131" s="5">
        <f ca="1">IFERROR(__xludf.DUMMYFUNCTION("""COMPUTED_VALUE"""),410)</f>
        <v>410</v>
      </c>
      <c r="S131" s="62">
        <f ca="1">IFERROR(__xludf.DUMMYFUNCTION("""COMPUTED_VALUE"""),0.007142857)</f>
        <v>7.1428569999999999E-3</v>
      </c>
      <c r="T131" s="63" t="str">
        <f ca="1">IFERROR(__xludf.DUMMYFUNCTION("""COMPUTED_VALUE"""),"https://storage.googleapis.com/glide-prod.appspot.com/uploads-v2/ly7o78grxPaC6KdgvbpS/pub/3aRdSog0vUtuqPE8AJKD.png")</f>
        <v>https://storage.googleapis.com/glide-prod.appspot.com/uploads-v2/ly7o78grxPaC6KdgvbpS/pub/3aRdSog0vUtuqPE8AJKD.png</v>
      </c>
      <c r="U131" s="5" t="str">
        <f ca="1">IFERROR(__xludf.DUMMYFUNCTION("""COMPUTED_VALUE"""),"EQUIPOS PARA SERVICIOS INDUSTRIALESCALDERA DE 300 BHP")</f>
        <v>EQUIPOS PARA SERVICIOS INDUSTRIALESCALDERA DE 300 BHP</v>
      </c>
      <c r="V131" s="5"/>
      <c r="W131" s="5" t="b">
        <f ca="1">IFERROR(__xludf.DUMMYFUNCTION("""COMPUTED_VALUE"""),TRUE)</f>
        <v>1</v>
      </c>
      <c r="X131" s="5" t="str">
        <f ca="1">IFERROR(__xludf.DUMMYFUNCTION("""COMPUTED_VALUE"""),"wmazorra@postobon.com.co,aprmttoyu@postobon.com.co,aprmyu@postobon.com.co,wmora@postobon.com.co,efzapata@postobon.com.co")</f>
        <v>wmazorra@postobon.com.co,aprmttoyu@postobon.com.co,aprmyu@postobon.com.co,wmora@postobon.com.co,efzapata@postobon.com.co</v>
      </c>
      <c r="Y131" s="5" t="str">
        <f ca="1">IFERROR(__xludf.DUMMYFUNCTION("""COMPUTED_VALUE"""),"wmazorra@postobon.com.co")</f>
        <v>wmazorra@postobon.com.co</v>
      </c>
      <c r="Z131" s="5" t="str">
        <f ca="1">IFERROR(__xludf.DUMMYFUNCTION("""COMPUTED_VALUE"""),"qFoZQer8T3afgojejMFGHw")</f>
        <v>qFoZQer8T3afgojejMFGHw</v>
      </c>
      <c r="AA131" s="5"/>
      <c r="AB131" s="5"/>
      <c r="AC131" s="5"/>
      <c r="AD131" s="5">
        <f ca="1">IFERROR(__xludf.DUMMYFUNCTION("""COMPUTED_VALUE"""),50)</f>
        <v>50</v>
      </c>
      <c r="AE131" s="5">
        <f ca="1">IFERROR(__xludf.DUMMYFUNCTION("""COMPUTED_VALUE"""),50)</f>
        <v>50</v>
      </c>
      <c r="AF131" s="5" t="b">
        <f ca="1">IFERROR(__xludf.DUMMYFUNCTION("""COMPUTED_VALUE"""),FALSE)</f>
        <v>0</v>
      </c>
      <c r="AG131" s="5" t="str">
        <f ca="1">IFERROR(__xludf.DUMMYFUNCTION("""COMPUTED_VALUE"""),"INSPECCIONES REALIZADAS")</f>
        <v>INSPECCIONES REALIZADAS</v>
      </c>
      <c r="AH131" s="5"/>
    </row>
    <row r="132" spans="1:34">
      <c r="A132" s="5" t="str">
        <f ca="1">IFERROR(__xludf.DUMMYFUNCTION("""COMPUTED_VALUE"""),"EQUIPOS PARA SERVICIOS INDUSTRIALES")</f>
        <v>EQUIPOS PARA SERVICIOS INDUSTRIALES</v>
      </c>
      <c r="B132" s="5">
        <f ca="1">IFERROR(__xludf.DUMMYFUNCTION("""COMPUTED_VALUE"""),659354)</f>
        <v>659354</v>
      </c>
      <c r="C132" s="5" t="str">
        <f ca="1">IFERROR(__xludf.DUMMYFUNCTION("""COMPUTED_VALUE"""),"CALDERA DE 300 BHP")</f>
        <v>CALDERA DE 300 BHP</v>
      </c>
      <c r="D132" s="5">
        <f ca="1">IFERROR(__xludf.DUMMYFUNCTION("""COMPUTED_VALUE"""),13247181)</f>
        <v>13247181</v>
      </c>
      <c r="E132" s="5" t="str">
        <f ca="1">IFERROR(__xludf.DUMMYFUNCTION("""COMPUTED_VALUE"""),"INSPECCION SEMANAL CALDERA DE 300 BHP")</f>
        <v>INSPECCION SEMANAL CALDERA DE 300 BHP</v>
      </c>
      <c r="F132" s="5" t="str">
        <f ca="1">IFERROR(__xludf.DUMMYFUNCTION("""COMPUTED_VALUE"""),"VENTILADOR")</f>
        <v>VENTILADOR</v>
      </c>
      <c r="G132" s="5" t="b">
        <f ca="1">IFERROR(__xludf.DUMMYFUNCTION("""COMPUTED_VALUE"""),TRUE)</f>
        <v>1</v>
      </c>
      <c r="H132" s="5"/>
      <c r="I132" s="5"/>
      <c r="J132" s="5">
        <f ca="1">IFERROR(__xludf.DUMMYFUNCTION("""COMPUTED_VALUE"""),13247181)</f>
        <v>13247181</v>
      </c>
      <c r="K132" s="5"/>
      <c r="L132" s="18">
        <f ca="1">IFERROR(__xludf.DUMMYFUNCTION("""COMPUTED_VALUE"""),45327)</f>
        <v>45327</v>
      </c>
      <c r="M132" s="18">
        <f ca="1">IFERROR(__xludf.DUMMYFUNCTION("""COMPUTED_VALUE"""),45327)</f>
        <v>45327</v>
      </c>
      <c r="N132" s="5" t="str">
        <f ca="1">IFERROR(__xludf.DUMMYFUNCTION("""COMPUTED_VALUE"""),"Valencia Hector")</f>
        <v>Valencia Hector</v>
      </c>
      <c r="O132" s="2">
        <f ca="1">IFERROR(__xludf.DUMMYFUNCTION("""COMPUTED_VALUE"""),0.007142857)</f>
        <v>7.1428569999999999E-3</v>
      </c>
      <c r="P132" s="5">
        <f ca="1">IFERROR(__xludf.DUMMYFUNCTION("""COMPUTED_VALUE"""),20015139)</f>
        <v>20015139</v>
      </c>
      <c r="Q132" s="5" t="str">
        <f ca="1">IFERROR(__xludf.DUMMYFUNCTION("""COMPUTED_VALUE"""),"gmgOX4or7Aw")</f>
        <v>gmgOX4or7Aw</v>
      </c>
      <c r="R132" s="5">
        <f ca="1">IFERROR(__xludf.DUMMYFUNCTION("""COMPUTED_VALUE"""),410)</f>
        <v>410</v>
      </c>
      <c r="S132" s="62">
        <f ca="1">IFERROR(__xludf.DUMMYFUNCTION("""COMPUTED_VALUE"""),0.007142857)</f>
        <v>7.1428569999999999E-3</v>
      </c>
      <c r="T132" s="63" t="str">
        <f ca="1">IFERROR(__xludf.DUMMYFUNCTION("""COMPUTED_VALUE"""),"https://storage.googleapis.com/glide-prod.appspot.com/uploads-v2/ly7o78grxPaC6KdgvbpS/pub/3aRdSog0vUtuqPE8AJKD.png")</f>
        <v>https://storage.googleapis.com/glide-prod.appspot.com/uploads-v2/ly7o78grxPaC6KdgvbpS/pub/3aRdSog0vUtuqPE8AJKD.png</v>
      </c>
      <c r="U132" s="5" t="str">
        <f ca="1">IFERROR(__xludf.DUMMYFUNCTION("""COMPUTED_VALUE"""),"EQUIPOS PARA SERVICIOS INDUSTRIALESCALDERA DE 300 BHP")</f>
        <v>EQUIPOS PARA SERVICIOS INDUSTRIALESCALDERA DE 300 BHP</v>
      </c>
      <c r="V132" s="5"/>
      <c r="W132" s="5" t="b">
        <f ca="1">IFERROR(__xludf.DUMMYFUNCTION("""COMPUTED_VALUE"""),TRUE)</f>
        <v>1</v>
      </c>
      <c r="X132" s="5" t="str">
        <f ca="1">IFERROR(__xludf.DUMMYFUNCTION("""COMPUTED_VALUE"""),"wmazorra@postobon.com.co,aprmttoyu@postobon.com.co,aprmyu@postobon.com.co,wmora@postobon.com.co,efzapata@postobon.com.co")</f>
        <v>wmazorra@postobon.com.co,aprmttoyu@postobon.com.co,aprmyu@postobon.com.co,wmora@postobon.com.co,efzapata@postobon.com.co</v>
      </c>
      <c r="Y132" s="5" t="str">
        <f ca="1">IFERROR(__xludf.DUMMYFUNCTION("""COMPUTED_VALUE"""),"wmazorra@postobon.com.co")</f>
        <v>wmazorra@postobon.com.co</v>
      </c>
      <c r="Z132" s="5" t="str">
        <f ca="1">IFERROR(__xludf.DUMMYFUNCTION("""COMPUTED_VALUE"""),"UEAtAZVAQbWyPq-jUIN2Jg")</f>
        <v>UEAtAZVAQbWyPq-jUIN2Jg</v>
      </c>
      <c r="AA132" s="5"/>
      <c r="AB132" s="5"/>
      <c r="AC132" s="5"/>
      <c r="AD132" s="5">
        <f ca="1">IFERROR(__xludf.DUMMYFUNCTION("""COMPUTED_VALUE"""),50)</f>
        <v>50</v>
      </c>
      <c r="AE132" s="5">
        <f ca="1">IFERROR(__xludf.DUMMYFUNCTION("""COMPUTED_VALUE"""),50)</f>
        <v>50</v>
      </c>
      <c r="AF132" s="5" t="b">
        <f ca="1">IFERROR(__xludf.DUMMYFUNCTION("""COMPUTED_VALUE"""),FALSE)</f>
        <v>0</v>
      </c>
      <c r="AG132" s="5" t="str">
        <f ca="1">IFERROR(__xludf.DUMMYFUNCTION("""COMPUTED_VALUE"""),"INSPECCIONES REALIZADAS")</f>
        <v>INSPECCIONES REALIZADAS</v>
      </c>
      <c r="AH132" s="5"/>
    </row>
    <row r="133" spans="1:34">
      <c r="A133" s="5" t="str">
        <f ca="1">IFERROR(__xludf.DUMMYFUNCTION("""COMPUTED_VALUE"""),"EQUIPOS PARA SERVICIOS INDUSTRIALES")</f>
        <v>EQUIPOS PARA SERVICIOS INDUSTRIALES</v>
      </c>
      <c r="B133" s="5">
        <f ca="1">IFERROR(__xludf.DUMMYFUNCTION("""COMPUTED_VALUE"""),659354)</f>
        <v>659354</v>
      </c>
      <c r="C133" s="5" t="str">
        <f ca="1">IFERROR(__xludf.DUMMYFUNCTION("""COMPUTED_VALUE"""),"CALDERA DE 300 BHP")</f>
        <v>CALDERA DE 300 BHP</v>
      </c>
      <c r="D133" s="5">
        <f ca="1">IFERROR(__xludf.DUMMYFUNCTION("""COMPUTED_VALUE"""),13247181)</f>
        <v>13247181</v>
      </c>
      <c r="E133" s="5" t="str">
        <f ca="1">IFERROR(__xludf.DUMMYFUNCTION("""COMPUTED_VALUE"""),"INSPECCION SEMANAL CALDERA DE 300 BHP")</f>
        <v>INSPECCION SEMANAL CALDERA DE 300 BHP</v>
      </c>
      <c r="F133" s="5" t="str">
        <f ca="1">IFERROR(__xludf.DUMMYFUNCTION("""COMPUTED_VALUE"""),"ESCAPES FLUIDOS: GAS, VAPOR")</f>
        <v>ESCAPES FLUIDOS: GAS, VAPOR</v>
      </c>
      <c r="G133" s="5" t="b">
        <f ca="1">IFERROR(__xludf.DUMMYFUNCTION("""COMPUTED_VALUE"""),TRUE)</f>
        <v>1</v>
      </c>
      <c r="H133" s="5"/>
      <c r="I133" s="5"/>
      <c r="J133" s="5">
        <f ca="1">IFERROR(__xludf.DUMMYFUNCTION("""COMPUTED_VALUE"""),13247181)</f>
        <v>13247181</v>
      </c>
      <c r="K133" s="5"/>
      <c r="L133" s="18">
        <f ca="1">IFERROR(__xludf.DUMMYFUNCTION("""COMPUTED_VALUE"""),45327)</f>
        <v>45327</v>
      </c>
      <c r="M133" s="18">
        <f ca="1">IFERROR(__xludf.DUMMYFUNCTION("""COMPUTED_VALUE"""),45327)</f>
        <v>45327</v>
      </c>
      <c r="N133" s="5" t="str">
        <f ca="1">IFERROR(__xludf.DUMMYFUNCTION("""COMPUTED_VALUE"""),"Valencia Hector")</f>
        <v>Valencia Hector</v>
      </c>
      <c r="O133" s="2">
        <f ca="1">IFERROR(__xludf.DUMMYFUNCTION("""COMPUTED_VALUE"""),0.007142857)</f>
        <v>7.1428569999999999E-3</v>
      </c>
      <c r="P133" s="5">
        <f ca="1">IFERROR(__xludf.DUMMYFUNCTION("""COMPUTED_VALUE"""),20015139)</f>
        <v>20015139</v>
      </c>
      <c r="Q133" s="5" t="str">
        <f ca="1">IFERROR(__xludf.DUMMYFUNCTION("""COMPUTED_VALUE"""),"YzwggVvETnI")</f>
        <v>YzwggVvETnI</v>
      </c>
      <c r="R133" s="5">
        <f ca="1">IFERROR(__xludf.DUMMYFUNCTION("""COMPUTED_VALUE"""),410)</f>
        <v>410</v>
      </c>
      <c r="S133" s="62">
        <f ca="1">IFERROR(__xludf.DUMMYFUNCTION("""COMPUTED_VALUE"""),0.007142857)</f>
        <v>7.1428569999999999E-3</v>
      </c>
      <c r="T133" s="63" t="str">
        <f ca="1">IFERROR(__xludf.DUMMYFUNCTION("""COMPUTED_VALUE"""),"https://storage.googleapis.com/glide-prod.appspot.com/uploads-v2/ly7o78grxPaC6KdgvbpS/pub/3aRdSog0vUtuqPE8AJKD.png")</f>
        <v>https://storage.googleapis.com/glide-prod.appspot.com/uploads-v2/ly7o78grxPaC6KdgvbpS/pub/3aRdSog0vUtuqPE8AJKD.png</v>
      </c>
      <c r="U133" s="5" t="str">
        <f ca="1">IFERROR(__xludf.DUMMYFUNCTION("""COMPUTED_VALUE"""),"EQUIPOS PARA SERVICIOS INDUSTRIALESCALDERA DE 300 BHP")</f>
        <v>EQUIPOS PARA SERVICIOS INDUSTRIALESCALDERA DE 300 BHP</v>
      </c>
      <c r="V133" s="5"/>
      <c r="W133" s="5" t="b">
        <f ca="1">IFERROR(__xludf.DUMMYFUNCTION("""COMPUTED_VALUE"""),TRUE)</f>
        <v>1</v>
      </c>
      <c r="X133" s="5" t="str">
        <f ca="1">IFERROR(__xludf.DUMMYFUNCTION("""COMPUTED_VALUE"""),"wmazorra@postobon.com.co,aprmttoyu@postobon.com.co,aprmyu@postobon.com.co,wmora@postobon.com.co,efzapata@postobon.com.co")</f>
        <v>wmazorra@postobon.com.co,aprmttoyu@postobon.com.co,aprmyu@postobon.com.co,wmora@postobon.com.co,efzapata@postobon.com.co</v>
      </c>
      <c r="Y133" s="5" t="str">
        <f ca="1">IFERROR(__xludf.DUMMYFUNCTION("""COMPUTED_VALUE"""),"wmazorra@postobon.com.co")</f>
        <v>wmazorra@postobon.com.co</v>
      </c>
      <c r="Z133" s="5" t="str">
        <f ca="1">IFERROR(__xludf.DUMMYFUNCTION("""COMPUTED_VALUE"""),"IxN66rBwShKA0R48yun0Sg")</f>
        <v>IxN66rBwShKA0R48yun0Sg</v>
      </c>
      <c r="AA133" s="5"/>
      <c r="AB133" s="5"/>
      <c r="AC133" s="5"/>
      <c r="AD133" s="5">
        <f ca="1">IFERROR(__xludf.DUMMYFUNCTION("""COMPUTED_VALUE"""),50)</f>
        <v>50</v>
      </c>
      <c r="AE133" s="5">
        <f ca="1">IFERROR(__xludf.DUMMYFUNCTION("""COMPUTED_VALUE"""),50)</f>
        <v>50</v>
      </c>
      <c r="AF133" s="5" t="b">
        <f ca="1">IFERROR(__xludf.DUMMYFUNCTION("""COMPUTED_VALUE"""),FALSE)</f>
        <v>0</v>
      </c>
      <c r="AG133" s="5" t="str">
        <f ca="1">IFERROR(__xludf.DUMMYFUNCTION("""COMPUTED_VALUE"""),"INSPECCIONES REALIZADAS")</f>
        <v>INSPECCIONES REALIZADAS</v>
      </c>
      <c r="AH133" s="5"/>
    </row>
    <row r="134" spans="1:34">
      <c r="A134" s="5" t="str">
        <f ca="1">IFERROR(__xludf.DUMMYFUNCTION("""COMPUTED_VALUE"""),"EQUIPOS PARA SERVICIOS INDUSTRIALES")</f>
        <v>EQUIPOS PARA SERVICIOS INDUSTRIALES</v>
      </c>
      <c r="B134" s="5">
        <f ca="1">IFERROR(__xludf.DUMMYFUNCTION("""COMPUTED_VALUE"""),659354)</f>
        <v>659354</v>
      </c>
      <c r="C134" s="5" t="str">
        <f ca="1">IFERROR(__xludf.DUMMYFUNCTION("""COMPUTED_VALUE"""),"CALDERA DE 300 BHP")</f>
        <v>CALDERA DE 300 BHP</v>
      </c>
      <c r="D134" s="5">
        <f ca="1">IFERROR(__xludf.DUMMYFUNCTION("""COMPUTED_VALUE"""),13247181)</f>
        <v>13247181</v>
      </c>
      <c r="E134" s="5" t="str">
        <f ca="1">IFERROR(__xludf.DUMMYFUNCTION("""COMPUTED_VALUE"""),"INSPECCION SEMANAL CALDERA DE 300 BHP")</f>
        <v>INSPECCION SEMANAL CALDERA DE 300 BHP</v>
      </c>
      <c r="F134" s="5" t="str">
        <f ca="1">IFERROR(__xludf.DUMMYFUNCTION("""COMPUTED_VALUE"""),"VALVULAS, ELECTROVALVULAS")</f>
        <v>VALVULAS, ELECTROVALVULAS</v>
      </c>
      <c r="G134" s="5" t="b">
        <f ca="1">IFERROR(__xludf.DUMMYFUNCTION("""COMPUTED_VALUE"""),TRUE)</f>
        <v>1</v>
      </c>
      <c r="H134" s="5"/>
      <c r="I134" s="5"/>
      <c r="J134" s="5">
        <f ca="1">IFERROR(__xludf.DUMMYFUNCTION("""COMPUTED_VALUE"""),13247181)</f>
        <v>13247181</v>
      </c>
      <c r="K134" s="5"/>
      <c r="L134" s="18">
        <f ca="1">IFERROR(__xludf.DUMMYFUNCTION("""COMPUTED_VALUE"""),45327)</f>
        <v>45327</v>
      </c>
      <c r="M134" s="18">
        <f ca="1">IFERROR(__xludf.DUMMYFUNCTION("""COMPUTED_VALUE"""),45327)</f>
        <v>45327</v>
      </c>
      <c r="N134" s="5" t="str">
        <f ca="1">IFERROR(__xludf.DUMMYFUNCTION("""COMPUTED_VALUE"""),"Valencia Hector")</f>
        <v>Valencia Hector</v>
      </c>
      <c r="O134" s="2">
        <f ca="1">IFERROR(__xludf.DUMMYFUNCTION("""COMPUTED_VALUE"""),0.007142857)</f>
        <v>7.1428569999999999E-3</v>
      </c>
      <c r="P134" s="5">
        <f ca="1">IFERROR(__xludf.DUMMYFUNCTION("""COMPUTED_VALUE"""),20015139)</f>
        <v>20015139</v>
      </c>
      <c r="Q134" s="5" t="str">
        <f ca="1">IFERROR(__xludf.DUMMYFUNCTION("""COMPUTED_VALUE"""),"hc6UhHdGCSg")</f>
        <v>hc6UhHdGCSg</v>
      </c>
      <c r="R134" s="5">
        <f ca="1">IFERROR(__xludf.DUMMYFUNCTION("""COMPUTED_VALUE"""),410)</f>
        <v>410</v>
      </c>
      <c r="S134" s="62">
        <f ca="1">IFERROR(__xludf.DUMMYFUNCTION("""COMPUTED_VALUE"""),0.007142857)</f>
        <v>7.1428569999999999E-3</v>
      </c>
      <c r="T134" s="63" t="str">
        <f ca="1">IFERROR(__xludf.DUMMYFUNCTION("""COMPUTED_VALUE"""),"https://storage.googleapis.com/glide-prod.appspot.com/uploads-v2/ly7o78grxPaC6KdgvbpS/pub/3aRdSog0vUtuqPE8AJKD.png")</f>
        <v>https://storage.googleapis.com/glide-prod.appspot.com/uploads-v2/ly7o78grxPaC6KdgvbpS/pub/3aRdSog0vUtuqPE8AJKD.png</v>
      </c>
      <c r="U134" s="5" t="str">
        <f ca="1">IFERROR(__xludf.DUMMYFUNCTION("""COMPUTED_VALUE"""),"EQUIPOS PARA SERVICIOS INDUSTRIALESCALDERA DE 300 BHP")</f>
        <v>EQUIPOS PARA SERVICIOS INDUSTRIALESCALDERA DE 300 BHP</v>
      </c>
      <c r="V134" s="5"/>
      <c r="W134" s="5" t="b">
        <f ca="1">IFERROR(__xludf.DUMMYFUNCTION("""COMPUTED_VALUE"""),TRUE)</f>
        <v>1</v>
      </c>
      <c r="X134" s="5" t="str">
        <f ca="1">IFERROR(__xludf.DUMMYFUNCTION("""COMPUTED_VALUE"""),"wmazorra@postobon.com.co,aprmttoyu@postobon.com.co,aprmyu@postobon.com.co,wmora@postobon.com.co,efzapata@postobon.com.co")</f>
        <v>wmazorra@postobon.com.co,aprmttoyu@postobon.com.co,aprmyu@postobon.com.co,wmora@postobon.com.co,efzapata@postobon.com.co</v>
      </c>
      <c r="Y134" s="5" t="str">
        <f ca="1">IFERROR(__xludf.DUMMYFUNCTION("""COMPUTED_VALUE"""),"wmazorra@postobon.com.co")</f>
        <v>wmazorra@postobon.com.co</v>
      </c>
      <c r="Z134" s="5" t="str">
        <f ca="1">IFERROR(__xludf.DUMMYFUNCTION("""COMPUTED_VALUE"""),"bi4BLxUhTNekYkSEsS5APA")</f>
        <v>bi4BLxUhTNekYkSEsS5APA</v>
      </c>
      <c r="AA134" s="5"/>
      <c r="AB134" s="5"/>
      <c r="AC134" s="5"/>
      <c r="AD134" s="5">
        <f ca="1">IFERROR(__xludf.DUMMYFUNCTION("""COMPUTED_VALUE"""),50)</f>
        <v>50</v>
      </c>
      <c r="AE134" s="5">
        <f ca="1">IFERROR(__xludf.DUMMYFUNCTION("""COMPUTED_VALUE"""),50)</f>
        <v>50</v>
      </c>
      <c r="AF134" s="5" t="b">
        <f ca="1">IFERROR(__xludf.DUMMYFUNCTION("""COMPUTED_VALUE"""),FALSE)</f>
        <v>0</v>
      </c>
      <c r="AG134" s="5" t="str">
        <f ca="1">IFERROR(__xludf.DUMMYFUNCTION("""COMPUTED_VALUE"""),"INSPECCIONES REALIZADAS")</f>
        <v>INSPECCIONES REALIZADAS</v>
      </c>
      <c r="AH134" s="5"/>
    </row>
    <row r="135" spans="1:34">
      <c r="A135" s="5" t="str">
        <f ca="1">IFERROR(__xludf.DUMMYFUNCTION("""COMPUTED_VALUE"""),"EQUIPOS PARA SERVICIOS INDUSTRIALES")</f>
        <v>EQUIPOS PARA SERVICIOS INDUSTRIALES</v>
      </c>
      <c r="B135" s="5">
        <f ca="1">IFERROR(__xludf.DUMMYFUNCTION("""COMPUTED_VALUE"""),659354)</f>
        <v>659354</v>
      </c>
      <c r="C135" s="5" t="str">
        <f ca="1">IFERROR(__xludf.DUMMYFUNCTION("""COMPUTED_VALUE"""),"CALDERA DE 300 BHP")</f>
        <v>CALDERA DE 300 BHP</v>
      </c>
      <c r="D135" s="5">
        <f ca="1">IFERROR(__xludf.DUMMYFUNCTION("""COMPUTED_VALUE"""),13247181)</f>
        <v>13247181</v>
      </c>
      <c r="E135" s="5" t="str">
        <f ca="1">IFERROR(__xludf.DUMMYFUNCTION("""COMPUTED_VALUE"""),"INSPECCION SEMANAL CALDERA DE 300 BHP")</f>
        <v>INSPECCION SEMANAL CALDERA DE 300 BHP</v>
      </c>
      <c r="F135" s="5" t="str">
        <f ca="1">IFERROR(__xludf.DUMMYFUNCTION("""COMPUTED_VALUE"""),"TUBERIAS, CHEQUES")</f>
        <v>TUBERIAS, CHEQUES</v>
      </c>
      <c r="G135" s="5" t="b">
        <f ca="1">IFERROR(__xludf.DUMMYFUNCTION("""COMPUTED_VALUE"""),TRUE)</f>
        <v>1</v>
      </c>
      <c r="H135" s="5"/>
      <c r="I135" s="5"/>
      <c r="J135" s="5">
        <f ca="1">IFERROR(__xludf.DUMMYFUNCTION("""COMPUTED_VALUE"""),13247181)</f>
        <v>13247181</v>
      </c>
      <c r="K135" s="5"/>
      <c r="L135" s="18">
        <f ca="1">IFERROR(__xludf.DUMMYFUNCTION("""COMPUTED_VALUE"""),45327)</f>
        <v>45327</v>
      </c>
      <c r="M135" s="18">
        <f ca="1">IFERROR(__xludf.DUMMYFUNCTION("""COMPUTED_VALUE"""),45327)</f>
        <v>45327</v>
      </c>
      <c r="N135" s="5" t="str">
        <f ca="1">IFERROR(__xludf.DUMMYFUNCTION("""COMPUTED_VALUE"""),"Valencia Hector")</f>
        <v>Valencia Hector</v>
      </c>
      <c r="O135" s="2">
        <f ca="1">IFERROR(__xludf.DUMMYFUNCTION("""COMPUTED_VALUE"""),0.007142857)</f>
        <v>7.1428569999999999E-3</v>
      </c>
      <c r="P135" s="5">
        <f ca="1">IFERROR(__xludf.DUMMYFUNCTION("""COMPUTED_VALUE"""),20015139)</f>
        <v>20015139</v>
      </c>
      <c r="Q135" s="5" t="str">
        <f ca="1">IFERROR(__xludf.DUMMYFUNCTION("""COMPUTED_VALUE"""),"g2x7bPXX5mQ")</f>
        <v>g2x7bPXX5mQ</v>
      </c>
      <c r="R135" s="5">
        <f ca="1">IFERROR(__xludf.DUMMYFUNCTION("""COMPUTED_VALUE"""),410)</f>
        <v>410</v>
      </c>
      <c r="S135" s="62">
        <f ca="1">IFERROR(__xludf.DUMMYFUNCTION("""COMPUTED_VALUE"""),0.007142857)</f>
        <v>7.1428569999999999E-3</v>
      </c>
      <c r="T135" s="63" t="str">
        <f ca="1">IFERROR(__xludf.DUMMYFUNCTION("""COMPUTED_VALUE"""),"https://storage.googleapis.com/glide-prod.appspot.com/uploads-v2/ly7o78grxPaC6KdgvbpS/pub/3aRdSog0vUtuqPE8AJKD.png")</f>
        <v>https://storage.googleapis.com/glide-prod.appspot.com/uploads-v2/ly7o78grxPaC6KdgvbpS/pub/3aRdSog0vUtuqPE8AJKD.png</v>
      </c>
      <c r="U135" s="5" t="str">
        <f ca="1">IFERROR(__xludf.DUMMYFUNCTION("""COMPUTED_VALUE"""),"EQUIPOS PARA SERVICIOS INDUSTRIALESCALDERA DE 300 BHP")</f>
        <v>EQUIPOS PARA SERVICIOS INDUSTRIALESCALDERA DE 300 BHP</v>
      </c>
      <c r="V135" s="5"/>
      <c r="W135" s="5" t="b">
        <f ca="1">IFERROR(__xludf.DUMMYFUNCTION("""COMPUTED_VALUE"""),TRUE)</f>
        <v>1</v>
      </c>
      <c r="X135" s="5" t="str">
        <f ca="1">IFERROR(__xludf.DUMMYFUNCTION("""COMPUTED_VALUE"""),"wmazorra@postobon.com.co,aprmttoyu@postobon.com.co,aprmyu@postobon.com.co,wmora@postobon.com.co,efzapata@postobon.com.co")</f>
        <v>wmazorra@postobon.com.co,aprmttoyu@postobon.com.co,aprmyu@postobon.com.co,wmora@postobon.com.co,efzapata@postobon.com.co</v>
      </c>
      <c r="Y135" s="5" t="str">
        <f ca="1">IFERROR(__xludf.DUMMYFUNCTION("""COMPUTED_VALUE"""),"wmazorra@postobon.com.co")</f>
        <v>wmazorra@postobon.com.co</v>
      </c>
      <c r="Z135" s="5" t="str">
        <f ca="1">IFERROR(__xludf.DUMMYFUNCTION("""COMPUTED_VALUE"""),"YvCE0kBEQr-yy1WdQ3uQRw")</f>
        <v>YvCE0kBEQr-yy1WdQ3uQRw</v>
      </c>
      <c r="AA135" s="5"/>
      <c r="AB135" s="5"/>
      <c r="AC135" s="5"/>
      <c r="AD135" s="5">
        <f ca="1">IFERROR(__xludf.DUMMYFUNCTION("""COMPUTED_VALUE"""),50)</f>
        <v>50</v>
      </c>
      <c r="AE135" s="5">
        <f ca="1">IFERROR(__xludf.DUMMYFUNCTION("""COMPUTED_VALUE"""),50)</f>
        <v>50</v>
      </c>
      <c r="AF135" s="5" t="b">
        <f ca="1">IFERROR(__xludf.DUMMYFUNCTION("""COMPUTED_VALUE"""),FALSE)</f>
        <v>0</v>
      </c>
      <c r="AG135" s="5" t="str">
        <f ca="1">IFERROR(__xludf.DUMMYFUNCTION("""COMPUTED_VALUE"""),"INSPECCIONES REALIZADAS")</f>
        <v>INSPECCIONES REALIZADAS</v>
      </c>
      <c r="AH135" s="5"/>
    </row>
    <row r="136" spans="1:34">
      <c r="A136" s="5" t="str">
        <f ca="1">IFERROR(__xludf.DUMMYFUNCTION("""COMPUTED_VALUE"""),"EQUIPOS PARA SERVICIOS INDUSTRIALES")</f>
        <v>EQUIPOS PARA SERVICIOS INDUSTRIALES</v>
      </c>
      <c r="B136" s="5">
        <f ca="1">IFERROR(__xludf.DUMMYFUNCTION("""COMPUTED_VALUE"""),659354)</f>
        <v>659354</v>
      </c>
      <c r="C136" s="5" t="str">
        <f ca="1">IFERROR(__xludf.DUMMYFUNCTION("""COMPUTED_VALUE"""),"CALDERA DE 300 BHP")</f>
        <v>CALDERA DE 300 BHP</v>
      </c>
      <c r="D136" s="5">
        <f ca="1">IFERROR(__xludf.DUMMYFUNCTION("""COMPUTED_VALUE"""),13247181)</f>
        <v>13247181</v>
      </c>
      <c r="E136" s="5" t="str">
        <f ca="1">IFERROR(__xludf.DUMMYFUNCTION("""COMPUTED_VALUE"""),"INSPECCION SEMANAL CALDERA DE 300 BHP")</f>
        <v>INSPECCION SEMANAL CALDERA DE 300 BHP</v>
      </c>
      <c r="F136" s="5" t="str">
        <f ca="1">IFERROR(__xludf.DUMMYFUNCTION("""COMPUTED_VALUE"""),"VALVULAS DE SEGURIDAD")</f>
        <v>VALVULAS DE SEGURIDAD</v>
      </c>
      <c r="G136" s="5" t="b">
        <f ca="1">IFERROR(__xludf.DUMMYFUNCTION("""COMPUTED_VALUE"""),TRUE)</f>
        <v>1</v>
      </c>
      <c r="H136" s="5"/>
      <c r="I136" s="5"/>
      <c r="J136" s="5">
        <f ca="1">IFERROR(__xludf.DUMMYFUNCTION("""COMPUTED_VALUE"""),13247181)</f>
        <v>13247181</v>
      </c>
      <c r="K136" s="5"/>
      <c r="L136" s="18">
        <f ca="1">IFERROR(__xludf.DUMMYFUNCTION("""COMPUTED_VALUE"""),45327)</f>
        <v>45327</v>
      </c>
      <c r="M136" s="18">
        <f ca="1">IFERROR(__xludf.DUMMYFUNCTION("""COMPUTED_VALUE"""),45327)</f>
        <v>45327</v>
      </c>
      <c r="N136" s="5" t="str">
        <f ca="1">IFERROR(__xludf.DUMMYFUNCTION("""COMPUTED_VALUE"""),"Valencia Hector")</f>
        <v>Valencia Hector</v>
      </c>
      <c r="O136" s="2">
        <f ca="1">IFERROR(__xludf.DUMMYFUNCTION("""COMPUTED_VALUE"""),0.007142857)</f>
        <v>7.1428569999999999E-3</v>
      </c>
      <c r="P136" s="5">
        <f ca="1">IFERROR(__xludf.DUMMYFUNCTION("""COMPUTED_VALUE"""),20015139)</f>
        <v>20015139</v>
      </c>
      <c r="Q136" s="5" t="str">
        <f ca="1">IFERROR(__xludf.DUMMYFUNCTION("""COMPUTED_VALUE"""),"m2Ix_z_N1j4")</f>
        <v>m2Ix_z_N1j4</v>
      </c>
      <c r="R136" s="5">
        <f ca="1">IFERROR(__xludf.DUMMYFUNCTION("""COMPUTED_VALUE"""),410)</f>
        <v>410</v>
      </c>
      <c r="S136" s="62">
        <f ca="1">IFERROR(__xludf.DUMMYFUNCTION("""COMPUTED_VALUE"""),0.007142857)</f>
        <v>7.1428569999999999E-3</v>
      </c>
      <c r="T136" s="63" t="str">
        <f ca="1">IFERROR(__xludf.DUMMYFUNCTION("""COMPUTED_VALUE"""),"https://storage.googleapis.com/glide-prod.appspot.com/uploads-v2/ly7o78grxPaC6KdgvbpS/pub/3aRdSog0vUtuqPE8AJKD.png")</f>
        <v>https://storage.googleapis.com/glide-prod.appspot.com/uploads-v2/ly7o78grxPaC6KdgvbpS/pub/3aRdSog0vUtuqPE8AJKD.png</v>
      </c>
      <c r="U136" s="5" t="str">
        <f ca="1">IFERROR(__xludf.DUMMYFUNCTION("""COMPUTED_VALUE"""),"EQUIPOS PARA SERVICIOS INDUSTRIALESCALDERA DE 300 BHP")</f>
        <v>EQUIPOS PARA SERVICIOS INDUSTRIALESCALDERA DE 300 BHP</v>
      </c>
      <c r="V136" s="5"/>
      <c r="W136" s="5" t="b">
        <f ca="1">IFERROR(__xludf.DUMMYFUNCTION("""COMPUTED_VALUE"""),TRUE)</f>
        <v>1</v>
      </c>
      <c r="X136" s="5" t="str">
        <f ca="1">IFERROR(__xludf.DUMMYFUNCTION("""COMPUTED_VALUE"""),"wmazorra@postobon.com.co,aprmttoyu@postobon.com.co,aprmyu@postobon.com.co,wmora@postobon.com.co,efzapata@postobon.com.co")</f>
        <v>wmazorra@postobon.com.co,aprmttoyu@postobon.com.co,aprmyu@postobon.com.co,wmora@postobon.com.co,efzapata@postobon.com.co</v>
      </c>
      <c r="Y136" s="5" t="str">
        <f ca="1">IFERROR(__xludf.DUMMYFUNCTION("""COMPUTED_VALUE"""),"wmazorra@postobon.com.co")</f>
        <v>wmazorra@postobon.com.co</v>
      </c>
      <c r="Z136" s="5" t="str">
        <f ca="1">IFERROR(__xludf.DUMMYFUNCTION("""COMPUTED_VALUE"""),"F6FB6MwVQcSdiJ3z0UjikA")</f>
        <v>F6FB6MwVQcSdiJ3z0UjikA</v>
      </c>
      <c r="AA136" s="5"/>
      <c r="AB136" s="5"/>
      <c r="AC136" s="5"/>
      <c r="AD136" s="5">
        <f ca="1">IFERROR(__xludf.DUMMYFUNCTION("""COMPUTED_VALUE"""),50)</f>
        <v>50</v>
      </c>
      <c r="AE136" s="5">
        <f ca="1">IFERROR(__xludf.DUMMYFUNCTION("""COMPUTED_VALUE"""),50)</f>
        <v>50</v>
      </c>
      <c r="AF136" s="5" t="b">
        <f ca="1">IFERROR(__xludf.DUMMYFUNCTION("""COMPUTED_VALUE"""),FALSE)</f>
        <v>0</v>
      </c>
      <c r="AG136" s="5" t="str">
        <f ca="1">IFERROR(__xludf.DUMMYFUNCTION("""COMPUTED_VALUE"""),"INSPECCIONES REALIZADAS")</f>
        <v>INSPECCIONES REALIZADAS</v>
      </c>
      <c r="AH136" s="5"/>
    </row>
    <row r="137" spans="1:34">
      <c r="A137" s="5" t="str">
        <f ca="1">IFERROR(__xludf.DUMMYFUNCTION("""COMPUTED_VALUE"""),"EQUIPOS PARA SERVICIOS INDUSTRIALES")</f>
        <v>EQUIPOS PARA SERVICIOS INDUSTRIALES</v>
      </c>
      <c r="B137" s="5">
        <f ca="1">IFERROR(__xludf.DUMMYFUNCTION("""COMPUTED_VALUE"""),659354)</f>
        <v>659354</v>
      </c>
      <c r="C137" s="5" t="str">
        <f ca="1">IFERROR(__xludf.DUMMYFUNCTION("""COMPUTED_VALUE"""),"CALDERA DE 300 BHP")</f>
        <v>CALDERA DE 300 BHP</v>
      </c>
      <c r="D137" s="5">
        <f ca="1">IFERROR(__xludf.DUMMYFUNCTION("""COMPUTED_VALUE"""),13247181)</f>
        <v>13247181</v>
      </c>
      <c r="E137" s="5" t="str">
        <f ca="1">IFERROR(__xludf.DUMMYFUNCTION("""COMPUTED_VALUE"""),"INSPECCION SEMANAL CALDERA DE 300 BHP")</f>
        <v>INSPECCION SEMANAL CALDERA DE 300 BHP</v>
      </c>
      <c r="F137" s="5" t="str">
        <f ca="1">IFERROR(__xludf.DUMMYFUNCTION("""COMPUTED_VALUE"""),"ESTADO GRAL, PINTURA")</f>
        <v>ESTADO GRAL, PINTURA</v>
      </c>
      <c r="G137" s="5" t="b">
        <f ca="1">IFERROR(__xludf.DUMMYFUNCTION("""COMPUTED_VALUE"""),TRUE)</f>
        <v>1</v>
      </c>
      <c r="H137" s="5"/>
      <c r="I137" s="5"/>
      <c r="J137" s="5">
        <f ca="1">IFERROR(__xludf.DUMMYFUNCTION("""COMPUTED_VALUE"""),13247181)</f>
        <v>13247181</v>
      </c>
      <c r="K137" s="5"/>
      <c r="L137" s="18">
        <f ca="1">IFERROR(__xludf.DUMMYFUNCTION("""COMPUTED_VALUE"""),45327)</f>
        <v>45327</v>
      </c>
      <c r="M137" s="18">
        <f ca="1">IFERROR(__xludf.DUMMYFUNCTION("""COMPUTED_VALUE"""),45327)</f>
        <v>45327</v>
      </c>
      <c r="N137" s="5" t="str">
        <f ca="1">IFERROR(__xludf.DUMMYFUNCTION("""COMPUTED_VALUE"""),"Valencia Hector")</f>
        <v>Valencia Hector</v>
      </c>
      <c r="O137" s="2">
        <f ca="1">IFERROR(__xludf.DUMMYFUNCTION("""COMPUTED_VALUE"""),0.007142857)</f>
        <v>7.1428569999999999E-3</v>
      </c>
      <c r="P137" s="5">
        <f ca="1">IFERROR(__xludf.DUMMYFUNCTION("""COMPUTED_VALUE"""),20015139)</f>
        <v>20015139</v>
      </c>
      <c r="Q137" s="5" t="str">
        <f ca="1">IFERROR(__xludf.DUMMYFUNCTION("""COMPUTED_VALUE"""),"w7_dY-tu7Cc")</f>
        <v>w7_dY-tu7Cc</v>
      </c>
      <c r="R137" s="5">
        <f ca="1">IFERROR(__xludf.DUMMYFUNCTION("""COMPUTED_VALUE"""),410)</f>
        <v>410</v>
      </c>
      <c r="S137" s="62">
        <f ca="1">IFERROR(__xludf.DUMMYFUNCTION("""COMPUTED_VALUE"""),0.007142857)</f>
        <v>7.1428569999999999E-3</v>
      </c>
      <c r="T137" s="63" t="str">
        <f ca="1">IFERROR(__xludf.DUMMYFUNCTION("""COMPUTED_VALUE"""),"https://storage.googleapis.com/glide-prod.appspot.com/uploads-v2/ly7o78grxPaC6KdgvbpS/pub/3aRdSog0vUtuqPE8AJKD.png")</f>
        <v>https://storage.googleapis.com/glide-prod.appspot.com/uploads-v2/ly7o78grxPaC6KdgvbpS/pub/3aRdSog0vUtuqPE8AJKD.png</v>
      </c>
      <c r="U137" s="5" t="str">
        <f ca="1">IFERROR(__xludf.DUMMYFUNCTION("""COMPUTED_VALUE"""),"EQUIPOS PARA SERVICIOS INDUSTRIALESCALDERA DE 300 BHP")</f>
        <v>EQUIPOS PARA SERVICIOS INDUSTRIALESCALDERA DE 300 BHP</v>
      </c>
      <c r="V137" s="5"/>
      <c r="W137" s="5" t="b">
        <f ca="1">IFERROR(__xludf.DUMMYFUNCTION("""COMPUTED_VALUE"""),TRUE)</f>
        <v>1</v>
      </c>
      <c r="X137" s="5" t="str">
        <f ca="1">IFERROR(__xludf.DUMMYFUNCTION("""COMPUTED_VALUE"""),"wmazorra@postobon.com.co,aprmttoyu@postobon.com.co,aprmyu@postobon.com.co,wmora@postobon.com.co,efzapata@postobon.com.co")</f>
        <v>wmazorra@postobon.com.co,aprmttoyu@postobon.com.co,aprmyu@postobon.com.co,wmora@postobon.com.co,efzapata@postobon.com.co</v>
      </c>
      <c r="Y137" s="5" t="str">
        <f ca="1">IFERROR(__xludf.DUMMYFUNCTION("""COMPUTED_VALUE"""),"wmazorra@postobon.com.co")</f>
        <v>wmazorra@postobon.com.co</v>
      </c>
      <c r="Z137" s="5" t="str">
        <f ca="1">IFERROR(__xludf.DUMMYFUNCTION("""COMPUTED_VALUE"""),"14erLO6jSPWjS-GC8qiKPg")</f>
        <v>14erLO6jSPWjS-GC8qiKPg</v>
      </c>
      <c r="AA137" s="5"/>
      <c r="AB137" s="5"/>
      <c r="AC137" s="5"/>
      <c r="AD137" s="5">
        <f ca="1">IFERROR(__xludf.DUMMYFUNCTION("""COMPUTED_VALUE"""),50)</f>
        <v>50</v>
      </c>
      <c r="AE137" s="5">
        <f ca="1">IFERROR(__xludf.DUMMYFUNCTION("""COMPUTED_VALUE"""),50)</f>
        <v>50</v>
      </c>
      <c r="AF137" s="5" t="b">
        <f ca="1">IFERROR(__xludf.DUMMYFUNCTION("""COMPUTED_VALUE"""),FALSE)</f>
        <v>0</v>
      </c>
      <c r="AG137" s="5" t="str">
        <f ca="1">IFERROR(__xludf.DUMMYFUNCTION("""COMPUTED_VALUE"""),"INSPECCIONES REALIZADAS")</f>
        <v>INSPECCIONES REALIZADAS</v>
      </c>
      <c r="AH137" s="5"/>
    </row>
    <row r="138" spans="1:34">
      <c r="A138" s="5" t="str">
        <f ca="1">IFERROR(__xludf.DUMMYFUNCTION("""COMPUTED_VALUE"""),"EQUIPOS PARA SERVICIOS INDUSTRIALES")</f>
        <v>EQUIPOS PARA SERVICIOS INDUSTRIALES</v>
      </c>
      <c r="B138" s="5">
        <f ca="1">IFERROR(__xludf.DUMMYFUNCTION("""COMPUTED_VALUE"""),659354)</f>
        <v>659354</v>
      </c>
      <c r="C138" s="5" t="str">
        <f ca="1">IFERROR(__xludf.DUMMYFUNCTION("""COMPUTED_VALUE"""),"CALDERA DE 300 BHP")</f>
        <v>CALDERA DE 300 BHP</v>
      </c>
      <c r="D138" s="5">
        <f ca="1">IFERROR(__xludf.DUMMYFUNCTION("""COMPUTED_VALUE"""),13247181)</f>
        <v>13247181</v>
      </c>
      <c r="E138" s="5" t="str">
        <f ca="1">IFERROR(__xludf.DUMMYFUNCTION("""COMPUTED_VALUE"""),"INSPECCION SEMANAL CALDERA DE 300 BHP")</f>
        <v>INSPECCION SEMANAL CALDERA DE 300 BHP</v>
      </c>
      <c r="F138" s="5" t="str">
        <f ca="1">IFERROR(__xludf.DUMMYFUNCTION("""COMPUTED_VALUE"""),"VISOR Y MIRILLA")</f>
        <v>VISOR Y MIRILLA</v>
      </c>
      <c r="G138" s="5" t="b">
        <f ca="1">IFERROR(__xludf.DUMMYFUNCTION("""COMPUTED_VALUE"""),TRUE)</f>
        <v>1</v>
      </c>
      <c r="H138" s="5"/>
      <c r="I138" s="5"/>
      <c r="J138" s="5">
        <f ca="1">IFERROR(__xludf.DUMMYFUNCTION("""COMPUTED_VALUE"""),13247181)</f>
        <v>13247181</v>
      </c>
      <c r="K138" s="5"/>
      <c r="L138" s="18">
        <f ca="1">IFERROR(__xludf.DUMMYFUNCTION("""COMPUTED_VALUE"""),45327)</f>
        <v>45327</v>
      </c>
      <c r="M138" s="18">
        <f ca="1">IFERROR(__xludf.DUMMYFUNCTION("""COMPUTED_VALUE"""),45327)</f>
        <v>45327</v>
      </c>
      <c r="N138" s="5" t="str">
        <f ca="1">IFERROR(__xludf.DUMMYFUNCTION("""COMPUTED_VALUE"""),"Valencia Hector")</f>
        <v>Valencia Hector</v>
      </c>
      <c r="O138" s="2">
        <f ca="1">IFERROR(__xludf.DUMMYFUNCTION("""COMPUTED_VALUE"""),0.007142857)</f>
        <v>7.1428569999999999E-3</v>
      </c>
      <c r="P138" s="5">
        <f ca="1">IFERROR(__xludf.DUMMYFUNCTION("""COMPUTED_VALUE"""),20015139)</f>
        <v>20015139</v>
      </c>
      <c r="Q138" s="5" t="str">
        <f ca="1">IFERROR(__xludf.DUMMYFUNCTION("""COMPUTED_VALUE"""),"_BIm6_FBmkg")</f>
        <v>_BIm6_FBmkg</v>
      </c>
      <c r="R138" s="5">
        <f ca="1">IFERROR(__xludf.DUMMYFUNCTION("""COMPUTED_VALUE"""),410)</f>
        <v>410</v>
      </c>
      <c r="S138" s="62">
        <f ca="1">IFERROR(__xludf.DUMMYFUNCTION("""COMPUTED_VALUE"""),0.007142857)</f>
        <v>7.1428569999999999E-3</v>
      </c>
      <c r="T138" s="63" t="str">
        <f ca="1">IFERROR(__xludf.DUMMYFUNCTION("""COMPUTED_VALUE"""),"https://storage.googleapis.com/glide-prod.appspot.com/uploads-v2/ly7o78grxPaC6KdgvbpS/pub/3aRdSog0vUtuqPE8AJKD.png")</f>
        <v>https://storage.googleapis.com/glide-prod.appspot.com/uploads-v2/ly7o78grxPaC6KdgvbpS/pub/3aRdSog0vUtuqPE8AJKD.png</v>
      </c>
      <c r="U138" s="5" t="str">
        <f ca="1">IFERROR(__xludf.DUMMYFUNCTION("""COMPUTED_VALUE"""),"EQUIPOS PARA SERVICIOS INDUSTRIALESCALDERA DE 300 BHP")</f>
        <v>EQUIPOS PARA SERVICIOS INDUSTRIALESCALDERA DE 300 BHP</v>
      </c>
      <c r="V138" s="5"/>
      <c r="W138" s="5" t="b">
        <f ca="1">IFERROR(__xludf.DUMMYFUNCTION("""COMPUTED_VALUE"""),TRUE)</f>
        <v>1</v>
      </c>
      <c r="X138" s="5" t="str">
        <f ca="1">IFERROR(__xludf.DUMMYFUNCTION("""COMPUTED_VALUE"""),"wmazorra@postobon.com.co,aprmttoyu@postobon.com.co,aprmyu@postobon.com.co,wmora@postobon.com.co,efzapata@postobon.com.co")</f>
        <v>wmazorra@postobon.com.co,aprmttoyu@postobon.com.co,aprmyu@postobon.com.co,wmora@postobon.com.co,efzapata@postobon.com.co</v>
      </c>
      <c r="Y138" s="5" t="str">
        <f ca="1">IFERROR(__xludf.DUMMYFUNCTION("""COMPUTED_VALUE"""),"wmazorra@postobon.com.co")</f>
        <v>wmazorra@postobon.com.co</v>
      </c>
      <c r="Z138" s="5" t="str">
        <f ca="1">IFERROR(__xludf.DUMMYFUNCTION("""COMPUTED_VALUE"""),"vmcHSSZsTv2M8s07RS2OsA")</f>
        <v>vmcHSSZsTv2M8s07RS2OsA</v>
      </c>
      <c r="AA138" s="5"/>
      <c r="AB138" s="5"/>
      <c r="AC138" s="5"/>
      <c r="AD138" s="5">
        <f ca="1">IFERROR(__xludf.DUMMYFUNCTION("""COMPUTED_VALUE"""),50)</f>
        <v>50</v>
      </c>
      <c r="AE138" s="5">
        <f ca="1">IFERROR(__xludf.DUMMYFUNCTION("""COMPUTED_VALUE"""),50)</f>
        <v>50</v>
      </c>
      <c r="AF138" s="5" t="b">
        <f ca="1">IFERROR(__xludf.DUMMYFUNCTION("""COMPUTED_VALUE"""),FALSE)</f>
        <v>0</v>
      </c>
      <c r="AG138" s="5" t="str">
        <f ca="1">IFERROR(__xludf.DUMMYFUNCTION("""COMPUTED_VALUE"""),"INSPECCIONES REALIZADAS")</f>
        <v>INSPECCIONES REALIZADAS</v>
      </c>
      <c r="AH138" s="5"/>
    </row>
    <row r="139" spans="1:34">
      <c r="A139" s="5" t="str">
        <f ca="1">IFERROR(__xludf.DUMMYFUNCTION("""COMPUTED_VALUE"""),"EQUIPOS PARA SERVICIOS INDUSTRIALES")</f>
        <v>EQUIPOS PARA SERVICIOS INDUSTRIALES</v>
      </c>
      <c r="B139" s="5">
        <f ca="1">IFERROR(__xludf.DUMMYFUNCTION("""COMPUTED_VALUE"""),659354)</f>
        <v>659354</v>
      </c>
      <c r="C139" s="5" t="str">
        <f ca="1">IFERROR(__xludf.DUMMYFUNCTION("""COMPUTED_VALUE"""),"CALDERA DE 300 BHP")</f>
        <v>CALDERA DE 300 BHP</v>
      </c>
      <c r="D139" s="5">
        <f ca="1">IFERROR(__xludf.DUMMYFUNCTION("""COMPUTED_VALUE"""),13247181)</f>
        <v>13247181</v>
      </c>
      <c r="E139" s="5" t="str">
        <f ca="1">IFERROR(__xludf.DUMMYFUNCTION("""COMPUTED_VALUE"""),"INSPECCION SEMANAL CALDERA DE 300 BHP")</f>
        <v>INSPECCION SEMANAL CALDERA DE 300 BHP</v>
      </c>
      <c r="F139" s="5" t="str">
        <f ca="1">IFERROR(__xludf.DUMMYFUNCTION("""COMPUTED_VALUE"""),"VALVULAS DE PURGA")</f>
        <v>VALVULAS DE PURGA</v>
      </c>
      <c r="G139" s="5" t="b">
        <f ca="1">IFERROR(__xludf.DUMMYFUNCTION("""COMPUTED_VALUE"""),TRUE)</f>
        <v>1</v>
      </c>
      <c r="H139" s="5"/>
      <c r="I139" s="5"/>
      <c r="J139" s="5">
        <f ca="1">IFERROR(__xludf.DUMMYFUNCTION("""COMPUTED_VALUE"""),13247181)</f>
        <v>13247181</v>
      </c>
      <c r="K139" s="5"/>
      <c r="L139" s="18">
        <f ca="1">IFERROR(__xludf.DUMMYFUNCTION("""COMPUTED_VALUE"""),45327)</f>
        <v>45327</v>
      </c>
      <c r="M139" s="18">
        <f ca="1">IFERROR(__xludf.DUMMYFUNCTION("""COMPUTED_VALUE"""),45327)</f>
        <v>45327</v>
      </c>
      <c r="N139" s="5" t="str">
        <f ca="1">IFERROR(__xludf.DUMMYFUNCTION("""COMPUTED_VALUE"""),"Valencia Hector")</f>
        <v>Valencia Hector</v>
      </c>
      <c r="O139" s="2">
        <f ca="1">IFERROR(__xludf.DUMMYFUNCTION("""COMPUTED_VALUE"""),0.007142857)</f>
        <v>7.1428569999999999E-3</v>
      </c>
      <c r="P139" s="5">
        <f ca="1">IFERROR(__xludf.DUMMYFUNCTION("""COMPUTED_VALUE"""),20015139)</f>
        <v>20015139</v>
      </c>
      <c r="Q139" s="5" t="str">
        <f ca="1">IFERROR(__xludf.DUMMYFUNCTION("""COMPUTED_VALUE"""),"FvABJtK2Pwg")</f>
        <v>FvABJtK2Pwg</v>
      </c>
      <c r="R139" s="5">
        <f ca="1">IFERROR(__xludf.DUMMYFUNCTION("""COMPUTED_VALUE"""),410)</f>
        <v>410</v>
      </c>
      <c r="S139" s="62">
        <f ca="1">IFERROR(__xludf.DUMMYFUNCTION("""COMPUTED_VALUE"""),0.007142857)</f>
        <v>7.1428569999999999E-3</v>
      </c>
      <c r="T139" s="63" t="str">
        <f ca="1">IFERROR(__xludf.DUMMYFUNCTION("""COMPUTED_VALUE"""),"https://storage.googleapis.com/glide-prod.appspot.com/uploads-v2/ly7o78grxPaC6KdgvbpS/pub/3aRdSog0vUtuqPE8AJKD.png")</f>
        <v>https://storage.googleapis.com/glide-prod.appspot.com/uploads-v2/ly7o78grxPaC6KdgvbpS/pub/3aRdSog0vUtuqPE8AJKD.png</v>
      </c>
      <c r="U139" s="5" t="str">
        <f ca="1">IFERROR(__xludf.DUMMYFUNCTION("""COMPUTED_VALUE"""),"EQUIPOS PARA SERVICIOS INDUSTRIALESCALDERA DE 300 BHP")</f>
        <v>EQUIPOS PARA SERVICIOS INDUSTRIALESCALDERA DE 300 BHP</v>
      </c>
      <c r="V139" s="5"/>
      <c r="W139" s="5" t="b">
        <f ca="1">IFERROR(__xludf.DUMMYFUNCTION("""COMPUTED_VALUE"""),TRUE)</f>
        <v>1</v>
      </c>
      <c r="X139" s="5" t="str">
        <f ca="1">IFERROR(__xludf.DUMMYFUNCTION("""COMPUTED_VALUE"""),"wmazorra@postobon.com.co,aprmttoyu@postobon.com.co,aprmyu@postobon.com.co,wmora@postobon.com.co,efzapata@postobon.com.co")</f>
        <v>wmazorra@postobon.com.co,aprmttoyu@postobon.com.co,aprmyu@postobon.com.co,wmora@postobon.com.co,efzapata@postobon.com.co</v>
      </c>
      <c r="Y139" s="5" t="str">
        <f ca="1">IFERROR(__xludf.DUMMYFUNCTION("""COMPUTED_VALUE"""),"wmazorra@postobon.com.co")</f>
        <v>wmazorra@postobon.com.co</v>
      </c>
      <c r="Z139" s="5" t="str">
        <f ca="1">IFERROR(__xludf.DUMMYFUNCTION("""COMPUTED_VALUE"""),"8e8w0AcdRuupFAqie--OkA")</f>
        <v>8e8w0AcdRuupFAqie--OkA</v>
      </c>
      <c r="AA139" s="5"/>
      <c r="AB139" s="5"/>
      <c r="AC139" s="5"/>
      <c r="AD139" s="5">
        <f ca="1">IFERROR(__xludf.DUMMYFUNCTION("""COMPUTED_VALUE"""),50)</f>
        <v>50</v>
      </c>
      <c r="AE139" s="5">
        <f ca="1">IFERROR(__xludf.DUMMYFUNCTION("""COMPUTED_VALUE"""),50)</f>
        <v>50</v>
      </c>
      <c r="AF139" s="5" t="b">
        <f ca="1">IFERROR(__xludf.DUMMYFUNCTION("""COMPUTED_VALUE"""),FALSE)</f>
        <v>0</v>
      </c>
      <c r="AG139" s="5" t="str">
        <f ca="1">IFERROR(__xludf.DUMMYFUNCTION("""COMPUTED_VALUE"""),"INSPECCIONES REALIZADAS")</f>
        <v>INSPECCIONES REALIZADAS</v>
      </c>
      <c r="AH139" s="5"/>
    </row>
    <row r="140" spans="1:34">
      <c r="A140" s="5" t="str">
        <f ca="1">IFERROR(__xludf.DUMMYFUNCTION("""COMPUTED_VALUE"""),"EQUIPOS PARA SERVICIOS INDUSTRIALES")</f>
        <v>EQUIPOS PARA SERVICIOS INDUSTRIALES</v>
      </c>
      <c r="B140" s="5">
        <f ca="1">IFERROR(__xludf.DUMMYFUNCTION("""COMPUTED_VALUE"""),659354)</f>
        <v>659354</v>
      </c>
      <c r="C140" s="5" t="str">
        <f ca="1">IFERROR(__xludf.DUMMYFUNCTION("""COMPUTED_VALUE"""),"CALDERA DE 300 BHP")</f>
        <v>CALDERA DE 300 BHP</v>
      </c>
      <c r="D140" s="5">
        <f ca="1">IFERROR(__xludf.DUMMYFUNCTION("""COMPUTED_VALUE"""),13247181)</f>
        <v>13247181</v>
      </c>
      <c r="E140" s="5" t="str">
        <f ca="1">IFERROR(__xludf.DUMMYFUNCTION("""COMPUTED_VALUE"""),"INSPECCION SEMANAL CALDERA DE 300 BHP")</f>
        <v>INSPECCION SEMANAL CALDERA DE 300 BHP</v>
      </c>
      <c r="F140" s="5" t="str">
        <f ca="1">IFERROR(__xludf.DUMMYFUNCTION("""COMPUTED_VALUE"""),"VALVULA MODULADORA")</f>
        <v>VALVULA MODULADORA</v>
      </c>
      <c r="G140" s="5" t="b">
        <f ca="1">IFERROR(__xludf.DUMMYFUNCTION("""COMPUTED_VALUE"""),TRUE)</f>
        <v>1</v>
      </c>
      <c r="H140" s="5"/>
      <c r="I140" s="5"/>
      <c r="J140" s="5">
        <f ca="1">IFERROR(__xludf.DUMMYFUNCTION("""COMPUTED_VALUE"""),13247181)</f>
        <v>13247181</v>
      </c>
      <c r="K140" s="5"/>
      <c r="L140" s="18">
        <f ca="1">IFERROR(__xludf.DUMMYFUNCTION("""COMPUTED_VALUE"""),45327)</f>
        <v>45327</v>
      </c>
      <c r="M140" s="18">
        <f ca="1">IFERROR(__xludf.DUMMYFUNCTION("""COMPUTED_VALUE"""),45327)</f>
        <v>45327</v>
      </c>
      <c r="N140" s="5" t="str">
        <f ca="1">IFERROR(__xludf.DUMMYFUNCTION("""COMPUTED_VALUE"""),"Valencia Hector")</f>
        <v>Valencia Hector</v>
      </c>
      <c r="O140" s="2">
        <f ca="1">IFERROR(__xludf.DUMMYFUNCTION("""COMPUTED_VALUE"""),0.007142857)</f>
        <v>7.1428569999999999E-3</v>
      </c>
      <c r="P140" s="5">
        <f ca="1">IFERROR(__xludf.DUMMYFUNCTION("""COMPUTED_VALUE"""),20015139)</f>
        <v>20015139</v>
      </c>
      <c r="Q140" s="5" t="str">
        <f ca="1">IFERROR(__xludf.DUMMYFUNCTION("""COMPUTED_VALUE"""),"6geSraFWLpI")</f>
        <v>6geSraFWLpI</v>
      </c>
      <c r="R140" s="5">
        <f ca="1">IFERROR(__xludf.DUMMYFUNCTION("""COMPUTED_VALUE"""),410)</f>
        <v>410</v>
      </c>
      <c r="S140" s="62">
        <f ca="1">IFERROR(__xludf.DUMMYFUNCTION("""COMPUTED_VALUE"""),0.007142857)</f>
        <v>7.1428569999999999E-3</v>
      </c>
      <c r="T140" s="63" t="str">
        <f ca="1">IFERROR(__xludf.DUMMYFUNCTION("""COMPUTED_VALUE"""),"https://storage.googleapis.com/glide-prod.appspot.com/uploads-v2/ly7o78grxPaC6KdgvbpS/pub/3aRdSog0vUtuqPE8AJKD.png")</f>
        <v>https://storage.googleapis.com/glide-prod.appspot.com/uploads-v2/ly7o78grxPaC6KdgvbpS/pub/3aRdSog0vUtuqPE8AJKD.png</v>
      </c>
      <c r="U140" s="5" t="str">
        <f ca="1">IFERROR(__xludf.DUMMYFUNCTION("""COMPUTED_VALUE"""),"EQUIPOS PARA SERVICIOS INDUSTRIALESCALDERA DE 300 BHP")</f>
        <v>EQUIPOS PARA SERVICIOS INDUSTRIALESCALDERA DE 300 BHP</v>
      </c>
      <c r="V140" s="5"/>
      <c r="W140" s="5" t="b">
        <f ca="1">IFERROR(__xludf.DUMMYFUNCTION("""COMPUTED_VALUE"""),TRUE)</f>
        <v>1</v>
      </c>
      <c r="X140" s="5" t="str">
        <f ca="1">IFERROR(__xludf.DUMMYFUNCTION("""COMPUTED_VALUE"""),"wmazorra@postobon.com.co,aprmttoyu@postobon.com.co,aprmyu@postobon.com.co,wmora@postobon.com.co,efzapata@postobon.com.co")</f>
        <v>wmazorra@postobon.com.co,aprmttoyu@postobon.com.co,aprmyu@postobon.com.co,wmora@postobon.com.co,efzapata@postobon.com.co</v>
      </c>
      <c r="Y140" s="5" t="str">
        <f ca="1">IFERROR(__xludf.DUMMYFUNCTION("""COMPUTED_VALUE"""),"wmazorra@postobon.com.co")</f>
        <v>wmazorra@postobon.com.co</v>
      </c>
      <c r="Z140" s="5" t="str">
        <f ca="1">IFERROR(__xludf.DUMMYFUNCTION("""COMPUTED_VALUE"""),"osvU5v7sRPqdOb6vZDQ2LQ")</f>
        <v>osvU5v7sRPqdOb6vZDQ2LQ</v>
      </c>
      <c r="AA140" s="5"/>
      <c r="AB140" s="5"/>
      <c r="AC140" s="5"/>
      <c r="AD140" s="5">
        <f ca="1">IFERROR(__xludf.DUMMYFUNCTION("""COMPUTED_VALUE"""),50)</f>
        <v>50</v>
      </c>
      <c r="AE140" s="5">
        <f ca="1">IFERROR(__xludf.DUMMYFUNCTION("""COMPUTED_VALUE"""),50)</f>
        <v>50</v>
      </c>
      <c r="AF140" s="5" t="b">
        <f ca="1">IFERROR(__xludf.DUMMYFUNCTION("""COMPUTED_VALUE"""),FALSE)</f>
        <v>0</v>
      </c>
      <c r="AG140" s="5" t="str">
        <f ca="1">IFERROR(__xludf.DUMMYFUNCTION("""COMPUTED_VALUE"""),"INSPECCIONES REALIZADAS")</f>
        <v>INSPECCIONES REALIZADAS</v>
      </c>
      <c r="AH140" s="5"/>
    </row>
    <row r="141" spans="1:34">
      <c r="A141" s="5" t="str">
        <f ca="1">IFERROR(__xludf.DUMMYFUNCTION("""COMPUTED_VALUE"""),"EQUIPOS PARA SERVICIOS INDUSTRIALES")</f>
        <v>EQUIPOS PARA SERVICIOS INDUSTRIALES</v>
      </c>
      <c r="B141" s="5">
        <f ca="1">IFERROR(__xludf.DUMMYFUNCTION("""COMPUTED_VALUE"""),659354)</f>
        <v>659354</v>
      </c>
      <c r="C141" s="5" t="str">
        <f ca="1">IFERROR(__xludf.DUMMYFUNCTION("""COMPUTED_VALUE"""),"CALDERA DE 300 BHP")</f>
        <v>CALDERA DE 300 BHP</v>
      </c>
      <c r="D141" s="5">
        <f ca="1">IFERROR(__xludf.DUMMYFUNCTION("""COMPUTED_VALUE"""),13247181)</f>
        <v>13247181</v>
      </c>
      <c r="E141" s="5" t="str">
        <f ca="1">IFERROR(__xludf.DUMMYFUNCTION("""COMPUTED_VALUE"""),"INSPECCION SEMANAL CALDERA DE 300 BHP")</f>
        <v>INSPECCION SEMANAL CALDERA DE 300 BHP</v>
      </c>
      <c r="F141" s="5" t="str">
        <f ca="1">IFERROR(__xludf.DUMMYFUNCTION("""COMPUTED_VALUE"""),"VALVULAS REGULADORAS GAS")</f>
        <v>VALVULAS REGULADORAS GAS</v>
      </c>
      <c r="G141" s="5" t="b">
        <f ca="1">IFERROR(__xludf.DUMMYFUNCTION("""COMPUTED_VALUE"""),TRUE)</f>
        <v>1</v>
      </c>
      <c r="H141" s="5"/>
      <c r="I141" s="5"/>
      <c r="J141" s="5">
        <f ca="1">IFERROR(__xludf.DUMMYFUNCTION("""COMPUTED_VALUE"""),13247181)</f>
        <v>13247181</v>
      </c>
      <c r="K141" s="5"/>
      <c r="L141" s="18">
        <f ca="1">IFERROR(__xludf.DUMMYFUNCTION("""COMPUTED_VALUE"""),45327)</f>
        <v>45327</v>
      </c>
      <c r="M141" s="18">
        <f ca="1">IFERROR(__xludf.DUMMYFUNCTION("""COMPUTED_VALUE"""),45327)</f>
        <v>45327</v>
      </c>
      <c r="N141" s="5" t="str">
        <f ca="1">IFERROR(__xludf.DUMMYFUNCTION("""COMPUTED_VALUE"""),"Valencia Hector")</f>
        <v>Valencia Hector</v>
      </c>
      <c r="O141" s="2">
        <f ca="1">IFERROR(__xludf.DUMMYFUNCTION("""COMPUTED_VALUE"""),0.007142857)</f>
        <v>7.1428569999999999E-3</v>
      </c>
      <c r="P141" s="5">
        <f ca="1">IFERROR(__xludf.DUMMYFUNCTION("""COMPUTED_VALUE"""),20015139)</f>
        <v>20015139</v>
      </c>
      <c r="Q141" s="5" t="str">
        <f ca="1">IFERROR(__xludf.DUMMYFUNCTION("""COMPUTED_VALUE"""),"53iN-2vy7So")</f>
        <v>53iN-2vy7So</v>
      </c>
      <c r="R141" s="5">
        <f ca="1">IFERROR(__xludf.DUMMYFUNCTION("""COMPUTED_VALUE"""),410)</f>
        <v>410</v>
      </c>
      <c r="S141" s="62">
        <f ca="1">IFERROR(__xludf.DUMMYFUNCTION("""COMPUTED_VALUE"""),0.007142857)</f>
        <v>7.1428569999999999E-3</v>
      </c>
      <c r="T141" s="63" t="str">
        <f ca="1">IFERROR(__xludf.DUMMYFUNCTION("""COMPUTED_VALUE"""),"https://storage.googleapis.com/glide-prod.appspot.com/uploads-v2/ly7o78grxPaC6KdgvbpS/pub/3aRdSog0vUtuqPE8AJKD.png")</f>
        <v>https://storage.googleapis.com/glide-prod.appspot.com/uploads-v2/ly7o78grxPaC6KdgvbpS/pub/3aRdSog0vUtuqPE8AJKD.png</v>
      </c>
      <c r="U141" s="5" t="str">
        <f ca="1">IFERROR(__xludf.DUMMYFUNCTION("""COMPUTED_VALUE"""),"EQUIPOS PARA SERVICIOS INDUSTRIALESCALDERA DE 300 BHP")</f>
        <v>EQUIPOS PARA SERVICIOS INDUSTRIALESCALDERA DE 300 BHP</v>
      </c>
      <c r="V141" s="5"/>
      <c r="W141" s="5" t="b">
        <f ca="1">IFERROR(__xludf.DUMMYFUNCTION("""COMPUTED_VALUE"""),TRUE)</f>
        <v>1</v>
      </c>
      <c r="X141" s="5" t="str">
        <f ca="1">IFERROR(__xludf.DUMMYFUNCTION("""COMPUTED_VALUE"""),"wmazorra@postobon.com.co,aprmttoyu@postobon.com.co,aprmyu@postobon.com.co,wmora@postobon.com.co,efzapata@postobon.com.co")</f>
        <v>wmazorra@postobon.com.co,aprmttoyu@postobon.com.co,aprmyu@postobon.com.co,wmora@postobon.com.co,efzapata@postobon.com.co</v>
      </c>
      <c r="Y141" s="5" t="str">
        <f ca="1">IFERROR(__xludf.DUMMYFUNCTION("""COMPUTED_VALUE"""),"wmazorra@postobon.com.co")</f>
        <v>wmazorra@postobon.com.co</v>
      </c>
      <c r="Z141" s="5" t="str">
        <f ca="1">IFERROR(__xludf.DUMMYFUNCTION("""COMPUTED_VALUE"""),"1yh7R2RZTn6GqP3LC3MA9g")</f>
        <v>1yh7R2RZTn6GqP3LC3MA9g</v>
      </c>
      <c r="AA141" s="5"/>
      <c r="AB141" s="5"/>
      <c r="AC141" s="5"/>
      <c r="AD141" s="5">
        <f ca="1">IFERROR(__xludf.DUMMYFUNCTION("""COMPUTED_VALUE"""),50)</f>
        <v>50</v>
      </c>
      <c r="AE141" s="5">
        <f ca="1">IFERROR(__xludf.DUMMYFUNCTION("""COMPUTED_VALUE"""),50)</f>
        <v>50</v>
      </c>
      <c r="AF141" s="5" t="b">
        <f ca="1">IFERROR(__xludf.DUMMYFUNCTION("""COMPUTED_VALUE"""),FALSE)</f>
        <v>0</v>
      </c>
      <c r="AG141" s="5" t="str">
        <f ca="1">IFERROR(__xludf.DUMMYFUNCTION("""COMPUTED_VALUE"""),"INSPECCIONES REALIZADAS")</f>
        <v>INSPECCIONES REALIZADAS</v>
      </c>
      <c r="AH141" s="5"/>
    </row>
    <row r="142" spans="1:34">
      <c r="A142" s="5" t="str">
        <f ca="1">IFERROR(__xludf.DUMMYFUNCTION("""COMPUTED_VALUE"""),"EQUIPOS PARA SERVICIOS INDUSTRIALES")</f>
        <v>EQUIPOS PARA SERVICIOS INDUSTRIALES</v>
      </c>
      <c r="B142" s="5">
        <f ca="1">IFERROR(__xludf.DUMMYFUNCTION("""COMPUTED_VALUE"""),659354)</f>
        <v>659354</v>
      </c>
      <c r="C142" s="5" t="str">
        <f ca="1">IFERROR(__xludf.DUMMYFUNCTION("""COMPUTED_VALUE"""),"CALDERA DE 300 BHP")</f>
        <v>CALDERA DE 300 BHP</v>
      </c>
      <c r="D142" s="5">
        <f ca="1">IFERROR(__xludf.DUMMYFUNCTION("""COMPUTED_VALUE"""),13247181)</f>
        <v>13247181</v>
      </c>
      <c r="E142" s="5" t="str">
        <f ca="1">IFERROR(__xludf.DUMMYFUNCTION("""COMPUTED_VALUE"""),"INSPECCION SEMANAL CALDERA DE 300 BHP")</f>
        <v>INSPECCION SEMANAL CALDERA DE 300 BHP</v>
      </c>
      <c r="F142" s="5" t="str">
        <f ca="1">IFERROR(__xludf.DUMMYFUNCTION("""COMPUTED_VALUE"""),"QUEMADOR")</f>
        <v>QUEMADOR</v>
      </c>
      <c r="G142" s="5" t="b">
        <f ca="1">IFERROR(__xludf.DUMMYFUNCTION("""COMPUTED_VALUE"""),TRUE)</f>
        <v>1</v>
      </c>
      <c r="H142" s="5"/>
      <c r="I142" s="5"/>
      <c r="J142" s="5">
        <f ca="1">IFERROR(__xludf.DUMMYFUNCTION("""COMPUTED_VALUE"""),13247181)</f>
        <v>13247181</v>
      </c>
      <c r="K142" s="5"/>
      <c r="L142" s="18">
        <f ca="1">IFERROR(__xludf.DUMMYFUNCTION("""COMPUTED_VALUE"""),45327)</f>
        <v>45327</v>
      </c>
      <c r="M142" s="18">
        <f ca="1">IFERROR(__xludf.DUMMYFUNCTION("""COMPUTED_VALUE"""),45327)</f>
        <v>45327</v>
      </c>
      <c r="N142" s="5" t="str">
        <f ca="1">IFERROR(__xludf.DUMMYFUNCTION("""COMPUTED_VALUE"""),"Valencia Hector")</f>
        <v>Valencia Hector</v>
      </c>
      <c r="O142" s="2">
        <f ca="1">IFERROR(__xludf.DUMMYFUNCTION("""COMPUTED_VALUE"""),0.007142857)</f>
        <v>7.1428569999999999E-3</v>
      </c>
      <c r="P142" s="5">
        <f ca="1">IFERROR(__xludf.DUMMYFUNCTION("""COMPUTED_VALUE"""),20015139)</f>
        <v>20015139</v>
      </c>
      <c r="Q142" s="5" t="str">
        <f ca="1">IFERROR(__xludf.DUMMYFUNCTION("""COMPUTED_VALUE"""),"_Ss4IfL5Yms")</f>
        <v>_Ss4IfL5Yms</v>
      </c>
      <c r="R142" s="5">
        <f ca="1">IFERROR(__xludf.DUMMYFUNCTION("""COMPUTED_VALUE"""),410)</f>
        <v>410</v>
      </c>
      <c r="S142" s="62">
        <f ca="1">IFERROR(__xludf.DUMMYFUNCTION("""COMPUTED_VALUE"""),0.007142857)</f>
        <v>7.1428569999999999E-3</v>
      </c>
      <c r="T142" s="63" t="str">
        <f ca="1">IFERROR(__xludf.DUMMYFUNCTION("""COMPUTED_VALUE"""),"https://storage.googleapis.com/glide-prod.appspot.com/uploads-v2/ly7o78grxPaC6KdgvbpS/pub/3aRdSog0vUtuqPE8AJKD.png")</f>
        <v>https://storage.googleapis.com/glide-prod.appspot.com/uploads-v2/ly7o78grxPaC6KdgvbpS/pub/3aRdSog0vUtuqPE8AJKD.png</v>
      </c>
      <c r="U142" s="5" t="str">
        <f ca="1">IFERROR(__xludf.DUMMYFUNCTION("""COMPUTED_VALUE"""),"EQUIPOS PARA SERVICIOS INDUSTRIALESCALDERA DE 300 BHP")</f>
        <v>EQUIPOS PARA SERVICIOS INDUSTRIALESCALDERA DE 300 BHP</v>
      </c>
      <c r="V142" s="5"/>
      <c r="W142" s="5" t="b">
        <f ca="1">IFERROR(__xludf.DUMMYFUNCTION("""COMPUTED_VALUE"""),TRUE)</f>
        <v>1</v>
      </c>
      <c r="X142" s="5" t="str">
        <f ca="1">IFERROR(__xludf.DUMMYFUNCTION("""COMPUTED_VALUE"""),"wmazorra@postobon.com.co,aprmttoyu@postobon.com.co,aprmyu@postobon.com.co,wmora@postobon.com.co,efzapata@postobon.com.co")</f>
        <v>wmazorra@postobon.com.co,aprmttoyu@postobon.com.co,aprmyu@postobon.com.co,wmora@postobon.com.co,efzapata@postobon.com.co</v>
      </c>
      <c r="Y142" s="5" t="str">
        <f ca="1">IFERROR(__xludf.DUMMYFUNCTION("""COMPUTED_VALUE"""),"wmazorra@postobon.com.co")</f>
        <v>wmazorra@postobon.com.co</v>
      </c>
      <c r="Z142" s="5" t="str">
        <f ca="1">IFERROR(__xludf.DUMMYFUNCTION("""COMPUTED_VALUE"""),"Ozxd8qj0S3mVcfuxK.8FUg")</f>
        <v>Ozxd8qj0S3mVcfuxK.8FUg</v>
      </c>
      <c r="AA142" s="5"/>
      <c r="AB142" s="5"/>
      <c r="AC142" s="5"/>
      <c r="AD142" s="5">
        <f ca="1">IFERROR(__xludf.DUMMYFUNCTION("""COMPUTED_VALUE"""),50)</f>
        <v>50</v>
      </c>
      <c r="AE142" s="5">
        <f ca="1">IFERROR(__xludf.DUMMYFUNCTION("""COMPUTED_VALUE"""),50)</f>
        <v>50</v>
      </c>
      <c r="AF142" s="5" t="b">
        <f ca="1">IFERROR(__xludf.DUMMYFUNCTION("""COMPUTED_VALUE"""),FALSE)</f>
        <v>0</v>
      </c>
      <c r="AG142" s="5" t="str">
        <f ca="1">IFERROR(__xludf.DUMMYFUNCTION("""COMPUTED_VALUE"""),"INSPECCIONES REALIZADAS")</f>
        <v>INSPECCIONES REALIZADAS</v>
      </c>
      <c r="AH142" s="5"/>
    </row>
    <row r="143" spans="1:34">
      <c r="A143" s="5" t="str">
        <f ca="1">IFERROR(__xludf.DUMMYFUNCTION("""COMPUTED_VALUE"""),"EQUIPOS PARA SERVICIOS INDUSTRIALES")</f>
        <v>EQUIPOS PARA SERVICIOS INDUSTRIALES</v>
      </c>
      <c r="B143" s="5">
        <f ca="1">IFERROR(__xludf.DUMMYFUNCTION("""COMPUTED_VALUE"""),659354)</f>
        <v>659354</v>
      </c>
      <c r="C143" s="5" t="str">
        <f ca="1">IFERROR(__xludf.DUMMYFUNCTION("""COMPUTED_VALUE"""),"CALDERA DE 300 BHP")</f>
        <v>CALDERA DE 300 BHP</v>
      </c>
      <c r="D143" s="5">
        <f ca="1">IFERROR(__xludf.DUMMYFUNCTION("""COMPUTED_VALUE"""),13247181)</f>
        <v>13247181</v>
      </c>
      <c r="E143" s="5" t="str">
        <f ca="1">IFERROR(__xludf.DUMMYFUNCTION("""COMPUTED_VALUE"""),"INSPECCION SEMANAL CALDERA DE 300 BHP")</f>
        <v>INSPECCION SEMANAL CALDERA DE 300 BHP</v>
      </c>
      <c r="F143" s="5" t="str">
        <f ca="1">IFERROR(__xludf.DUMMYFUNCTION("""COMPUTED_VALUE"""),"TABLERO DE CONTROL/CLIMATIZADOR")</f>
        <v>TABLERO DE CONTROL/CLIMATIZADOR</v>
      </c>
      <c r="G143" s="5" t="b">
        <f ca="1">IFERROR(__xludf.DUMMYFUNCTION("""COMPUTED_VALUE"""),TRUE)</f>
        <v>1</v>
      </c>
      <c r="H143" s="5"/>
      <c r="I143" s="5"/>
      <c r="J143" s="5">
        <f ca="1">IFERROR(__xludf.DUMMYFUNCTION("""COMPUTED_VALUE"""),13247181)</f>
        <v>13247181</v>
      </c>
      <c r="K143" s="5"/>
      <c r="L143" s="18">
        <f ca="1">IFERROR(__xludf.DUMMYFUNCTION("""COMPUTED_VALUE"""),45327)</f>
        <v>45327</v>
      </c>
      <c r="M143" s="18">
        <f ca="1">IFERROR(__xludf.DUMMYFUNCTION("""COMPUTED_VALUE"""),45327)</f>
        <v>45327</v>
      </c>
      <c r="N143" s="5" t="str">
        <f ca="1">IFERROR(__xludf.DUMMYFUNCTION("""COMPUTED_VALUE"""),"Valencia Hector")</f>
        <v>Valencia Hector</v>
      </c>
      <c r="O143" s="2">
        <f ca="1">IFERROR(__xludf.DUMMYFUNCTION("""COMPUTED_VALUE"""),0.007142857)</f>
        <v>7.1428569999999999E-3</v>
      </c>
      <c r="P143" s="5">
        <f ca="1">IFERROR(__xludf.DUMMYFUNCTION("""COMPUTED_VALUE"""),20015139)</f>
        <v>20015139</v>
      </c>
      <c r="Q143" s="5" t="str">
        <f ca="1">IFERROR(__xludf.DUMMYFUNCTION("""COMPUTED_VALUE"""),"nPXmusaQIoM")</f>
        <v>nPXmusaQIoM</v>
      </c>
      <c r="R143" s="5">
        <f ca="1">IFERROR(__xludf.DUMMYFUNCTION("""COMPUTED_VALUE"""),410)</f>
        <v>410</v>
      </c>
      <c r="S143" s="62">
        <f ca="1">IFERROR(__xludf.DUMMYFUNCTION("""COMPUTED_VALUE"""),0.007142857)</f>
        <v>7.1428569999999999E-3</v>
      </c>
      <c r="T143" s="63" t="str">
        <f ca="1">IFERROR(__xludf.DUMMYFUNCTION("""COMPUTED_VALUE"""),"https://storage.googleapis.com/glide-prod.appspot.com/uploads-v2/ly7o78grxPaC6KdgvbpS/pub/3aRdSog0vUtuqPE8AJKD.png")</f>
        <v>https://storage.googleapis.com/glide-prod.appspot.com/uploads-v2/ly7o78grxPaC6KdgvbpS/pub/3aRdSog0vUtuqPE8AJKD.png</v>
      </c>
      <c r="U143" s="5" t="str">
        <f ca="1">IFERROR(__xludf.DUMMYFUNCTION("""COMPUTED_VALUE"""),"EQUIPOS PARA SERVICIOS INDUSTRIALESCALDERA DE 300 BHP")</f>
        <v>EQUIPOS PARA SERVICIOS INDUSTRIALESCALDERA DE 300 BHP</v>
      </c>
      <c r="V143" s="5"/>
      <c r="W143" s="5" t="b">
        <f ca="1">IFERROR(__xludf.DUMMYFUNCTION("""COMPUTED_VALUE"""),TRUE)</f>
        <v>1</v>
      </c>
      <c r="X143" s="5" t="str">
        <f ca="1">IFERROR(__xludf.DUMMYFUNCTION("""COMPUTED_VALUE"""),"wmazorra@postobon.com.co,aprmttoyu@postobon.com.co,aprmyu@postobon.com.co,wmora@postobon.com.co,efzapata@postobon.com.co")</f>
        <v>wmazorra@postobon.com.co,aprmttoyu@postobon.com.co,aprmyu@postobon.com.co,wmora@postobon.com.co,efzapata@postobon.com.co</v>
      </c>
      <c r="Y143" s="5" t="str">
        <f ca="1">IFERROR(__xludf.DUMMYFUNCTION("""COMPUTED_VALUE"""),"wmazorra@postobon.com.co")</f>
        <v>wmazorra@postobon.com.co</v>
      </c>
      <c r="Z143" s="5" t="str">
        <f ca="1">IFERROR(__xludf.DUMMYFUNCTION("""COMPUTED_VALUE"""),"kMNO.BkdRGmFjQF9g.NYIg")</f>
        <v>kMNO.BkdRGmFjQF9g.NYIg</v>
      </c>
      <c r="AA143" s="5"/>
      <c r="AB143" s="5"/>
      <c r="AC143" s="5"/>
      <c r="AD143" s="5">
        <f ca="1">IFERROR(__xludf.DUMMYFUNCTION("""COMPUTED_VALUE"""),50)</f>
        <v>50</v>
      </c>
      <c r="AE143" s="5">
        <f ca="1">IFERROR(__xludf.DUMMYFUNCTION("""COMPUTED_VALUE"""),50)</f>
        <v>50</v>
      </c>
      <c r="AF143" s="5" t="b">
        <f ca="1">IFERROR(__xludf.DUMMYFUNCTION("""COMPUTED_VALUE"""),FALSE)</f>
        <v>0</v>
      </c>
      <c r="AG143" s="5" t="str">
        <f ca="1">IFERROR(__xludf.DUMMYFUNCTION("""COMPUTED_VALUE"""),"INSPECCIONES REALIZADAS")</f>
        <v>INSPECCIONES REALIZADAS</v>
      </c>
      <c r="AH143" s="5"/>
    </row>
    <row r="144" spans="1:34">
      <c r="A144" s="5" t="str">
        <f ca="1">IFERROR(__xludf.DUMMYFUNCTION("""COMPUTED_VALUE"""),"EQUIPOS PARA SERVICIOS INDUSTRIALES")</f>
        <v>EQUIPOS PARA SERVICIOS INDUSTRIALES</v>
      </c>
      <c r="B144" s="5">
        <f ca="1">IFERROR(__xludf.DUMMYFUNCTION("""COMPUTED_VALUE"""),659370)</f>
        <v>659370</v>
      </c>
      <c r="C144" s="5" t="str">
        <f ca="1">IFERROR(__xludf.DUMMYFUNCTION("""COMPUTED_VALUE"""),"CALDERA DE 300 BHP")</f>
        <v>CALDERA DE 300 BHP</v>
      </c>
      <c r="D144" s="5">
        <f ca="1">IFERROR(__xludf.DUMMYFUNCTION("""COMPUTED_VALUE"""),13247474)</f>
        <v>13247474</v>
      </c>
      <c r="E144" s="5" t="str">
        <f ca="1">IFERROR(__xludf.DUMMYFUNCTION("""COMPUTED_VALUE"""),"INSPECCION SEMANAL CALDERA DE 300 BHP")</f>
        <v>INSPECCION SEMANAL CALDERA DE 300 BHP</v>
      </c>
      <c r="F144" s="5" t="str">
        <f ca="1">IFERROR(__xludf.DUMMYFUNCTION("""COMPUTED_VALUE"""),"INSTRUMENTOS MEDICION")</f>
        <v>INSTRUMENTOS MEDICION</v>
      </c>
      <c r="G144" s="5" t="b">
        <f ca="1">IFERROR(__xludf.DUMMYFUNCTION("""COMPUTED_VALUE"""),TRUE)</f>
        <v>1</v>
      </c>
      <c r="H144" s="5"/>
      <c r="I144" s="5"/>
      <c r="J144" s="5">
        <f ca="1">IFERROR(__xludf.DUMMYFUNCTION("""COMPUTED_VALUE"""),13247474)</f>
        <v>13247474</v>
      </c>
      <c r="K144" s="5"/>
      <c r="L144" s="18">
        <f ca="1">IFERROR(__xludf.DUMMYFUNCTION("""COMPUTED_VALUE"""),45324)</f>
        <v>45324</v>
      </c>
      <c r="M144" s="18">
        <f ca="1">IFERROR(__xludf.DUMMYFUNCTION("""COMPUTED_VALUE"""),45324)</f>
        <v>45324</v>
      </c>
      <c r="N144" s="5" t="str">
        <f ca="1">IFERROR(__xludf.DUMMYFUNCTION("""COMPUTED_VALUE"""),"Valencia Hector")</f>
        <v>Valencia Hector</v>
      </c>
      <c r="O144" s="2">
        <f ca="1">IFERROR(__xludf.DUMMYFUNCTION("""COMPUTED_VALUE"""),0.007142857)</f>
        <v>7.1428569999999999E-3</v>
      </c>
      <c r="P144" s="5">
        <f ca="1">IFERROR(__xludf.DUMMYFUNCTION("""COMPUTED_VALUE"""),20015139)</f>
        <v>20015139</v>
      </c>
      <c r="Q144" s="5" t="str">
        <f ca="1">IFERROR(__xludf.DUMMYFUNCTION("""COMPUTED_VALUE"""),"DYYHcbY6L1I")</f>
        <v>DYYHcbY6L1I</v>
      </c>
      <c r="R144" s="5">
        <f ca="1">IFERROR(__xludf.DUMMYFUNCTION("""COMPUTED_VALUE"""),410)</f>
        <v>410</v>
      </c>
      <c r="S144" s="62">
        <f ca="1">IFERROR(__xludf.DUMMYFUNCTION("""COMPUTED_VALUE"""),0.007142857)</f>
        <v>7.1428569999999999E-3</v>
      </c>
      <c r="T144" s="63" t="str">
        <f ca="1">IFERROR(__xludf.DUMMYFUNCTION("""COMPUTED_VALUE"""),"https://storage.googleapis.com/glide-prod.appspot.com/uploads-v2/ly7o78grxPaC6KdgvbpS/pub/3aRdSog0vUtuqPE8AJKD.png")</f>
        <v>https://storage.googleapis.com/glide-prod.appspot.com/uploads-v2/ly7o78grxPaC6KdgvbpS/pub/3aRdSog0vUtuqPE8AJKD.png</v>
      </c>
      <c r="U144" s="5" t="str">
        <f ca="1">IFERROR(__xludf.DUMMYFUNCTION("""COMPUTED_VALUE"""),"EQUIPOS PARA SERVICIOS INDUSTRIALESCALDERA DE 300 BHP")</f>
        <v>EQUIPOS PARA SERVICIOS INDUSTRIALESCALDERA DE 300 BHP</v>
      </c>
      <c r="V144" s="5"/>
      <c r="W144" s="5" t="b">
        <f ca="1">IFERROR(__xludf.DUMMYFUNCTION("""COMPUTED_VALUE"""),TRUE)</f>
        <v>1</v>
      </c>
      <c r="X144" s="5" t="str">
        <f ca="1">IFERROR(__xludf.DUMMYFUNCTION("""COMPUTED_VALUE"""),"wmazorra@postobon.com.co,aprmttoyu@postobon.com.co,aprmyu@postobon.com.co,wmora@postobon.com.co,efzapata@postobon.com.co")</f>
        <v>wmazorra@postobon.com.co,aprmttoyu@postobon.com.co,aprmyu@postobon.com.co,wmora@postobon.com.co,efzapata@postobon.com.co</v>
      </c>
      <c r="Y144" s="5" t="str">
        <f ca="1">IFERROR(__xludf.DUMMYFUNCTION("""COMPUTED_VALUE"""),"wmazorra@postobon.com.co")</f>
        <v>wmazorra@postobon.com.co</v>
      </c>
      <c r="Z144" s="5" t="str">
        <f ca="1">IFERROR(__xludf.DUMMYFUNCTION("""COMPUTED_VALUE"""),"bEK.6yKuT6GhNGE6ZxJlZg")</f>
        <v>bEK.6yKuT6GhNGE6ZxJlZg</v>
      </c>
      <c r="AA144" s="5"/>
      <c r="AB144" s="5"/>
      <c r="AC144" s="5"/>
      <c r="AD144" s="5">
        <f ca="1">IFERROR(__xludf.DUMMYFUNCTION("""COMPUTED_VALUE"""),50)</f>
        <v>50</v>
      </c>
      <c r="AE144" s="5">
        <f ca="1">IFERROR(__xludf.DUMMYFUNCTION("""COMPUTED_VALUE"""),50)</f>
        <v>50</v>
      </c>
      <c r="AF144" s="5" t="b">
        <f ca="1">IFERROR(__xludf.DUMMYFUNCTION("""COMPUTED_VALUE"""),FALSE)</f>
        <v>0</v>
      </c>
      <c r="AG144" s="5" t="str">
        <f ca="1">IFERROR(__xludf.DUMMYFUNCTION("""COMPUTED_VALUE"""),"INSPECCIONES REALIZADAS")</f>
        <v>INSPECCIONES REALIZADAS</v>
      </c>
      <c r="AH144" s="5"/>
    </row>
    <row r="145" spans="1:34">
      <c r="A145" s="5" t="str">
        <f ca="1">IFERROR(__xludf.DUMMYFUNCTION("""COMPUTED_VALUE"""),"EQUIPOS PARA SERVICIOS INDUSTRIALES")</f>
        <v>EQUIPOS PARA SERVICIOS INDUSTRIALES</v>
      </c>
      <c r="B145" s="5">
        <f ca="1">IFERROR(__xludf.DUMMYFUNCTION("""COMPUTED_VALUE"""),659370)</f>
        <v>659370</v>
      </c>
      <c r="C145" s="5" t="str">
        <f ca="1">IFERROR(__xludf.DUMMYFUNCTION("""COMPUTED_VALUE"""),"CALDERA DE 300 BHP")</f>
        <v>CALDERA DE 300 BHP</v>
      </c>
      <c r="D145" s="5">
        <f ca="1">IFERROR(__xludf.DUMMYFUNCTION("""COMPUTED_VALUE"""),13247474)</f>
        <v>13247474</v>
      </c>
      <c r="E145" s="5" t="str">
        <f ca="1">IFERROR(__xludf.DUMMYFUNCTION("""COMPUTED_VALUE"""),"INSPECCION SEMANAL CALDERA DE 300 BHP")</f>
        <v>INSPECCION SEMANAL CALDERA DE 300 BHP</v>
      </c>
      <c r="F145" s="5" t="str">
        <f ca="1">IFERROR(__xludf.DUMMYFUNCTION("""COMPUTED_VALUE"""),"MOTOBOMBAS: AGUA, DOSIFICADOR")</f>
        <v>MOTOBOMBAS: AGUA, DOSIFICADOR</v>
      </c>
      <c r="G145" s="5" t="b">
        <f ca="1">IFERROR(__xludf.DUMMYFUNCTION("""COMPUTED_VALUE"""),TRUE)</f>
        <v>1</v>
      </c>
      <c r="H145" s="5"/>
      <c r="I145" s="5"/>
      <c r="J145" s="5">
        <f ca="1">IFERROR(__xludf.DUMMYFUNCTION("""COMPUTED_VALUE"""),13247474)</f>
        <v>13247474</v>
      </c>
      <c r="K145" s="5"/>
      <c r="L145" s="18">
        <f ca="1">IFERROR(__xludf.DUMMYFUNCTION("""COMPUTED_VALUE"""),45324)</f>
        <v>45324</v>
      </c>
      <c r="M145" s="18">
        <f ca="1">IFERROR(__xludf.DUMMYFUNCTION("""COMPUTED_VALUE"""),45324)</f>
        <v>45324</v>
      </c>
      <c r="N145" s="5" t="str">
        <f ca="1">IFERROR(__xludf.DUMMYFUNCTION("""COMPUTED_VALUE"""),"Valencia Hector")</f>
        <v>Valencia Hector</v>
      </c>
      <c r="O145" s="2">
        <f ca="1">IFERROR(__xludf.DUMMYFUNCTION("""COMPUTED_VALUE"""),0.007142857)</f>
        <v>7.1428569999999999E-3</v>
      </c>
      <c r="P145" s="5">
        <f ca="1">IFERROR(__xludf.DUMMYFUNCTION("""COMPUTED_VALUE"""),20015139)</f>
        <v>20015139</v>
      </c>
      <c r="Q145" s="5" t="str">
        <f ca="1">IFERROR(__xludf.DUMMYFUNCTION("""COMPUTED_VALUE"""),"OOv0NNI9li0")</f>
        <v>OOv0NNI9li0</v>
      </c>
      <c r="R145" s="5">
        <f ca="1">IFERROR(__xludf.DUMMYFUNCTION("""COMPUTED_VALUE"""),410)</f>
        <v>410</v>
      </c>
      <c r="S145" s="62">
        <f ca="1">IFERROR(__xludf.DUMMYFUNCTION("""COMPUTED_VALUE"""),0.007142857)</f>
        <v>7.1428569999999999E-3</v>
      </c>
      <c r="T145" s="63" t="str">
        <f ca="1">IFERROR(__xludf.DUMMYFUNCTION("""COMPUTED_VALUE"""),"https://storage.googleapis.com/glide-prod.appspot.com/uploads-v2/ly7o78grxPaC6KdgvbpS/pub/3aRdSog0vUtuqPE8AJKD.png")</f>
        <v>https://storage.googleapis.com/glide-prod.appspot.com/uploads-v2/ly7o78grxPaC6KdgvbpS/pub/3aRdSog0vUtuqPE8AJKD.png</v>
      </c>
      <c r="U145" s="5" t="str">
        <f ca="1">IFERROR(__xludf.DUMMYFUNCTION("""COMPUTED_VALUE"""),"EQUIPOS PARA SERVICIOS INDUSTRIALESCALDERA DE 300 BHP")</f>
        <v>EQUIPOS PARA SERVICIOS INDUSTRIALESCALDERA DE 300 BHP</v>
      </c>
      <c r="V145" s="5"/>
      <c r="W145" s="5" t="b">
        <f ca="1">IFERROR(__xludf.DUMMYFUNCTION("""COMPUTED_VALUE"""),TRUE)</f>
        <v>1</v>
      </c>
      <c r="X145" s="5" t="str">
        <f ca="1">IFERROR(__xludf.DUMMYFUNCTION("""COMPUTED_VALUE"""),"wmazorra@postobon.com.co,aprmttoyu@postobon.com.co,aprmyu@postobon.com.co,wmora@postobon.com.co,efzapata@postobon.com.co")</f>
        <v>wmazorra@postobon.com.co,aprmttoyu@postobon.com.co,aprmyu@postobon.com.co,wmora@postobon.com.co,efzapata@postobon.com.co</v>
      </c>
      <c r="Y145" s="5" t="str">
        <f ca="1">IFERROR(__xludf.DUMMYFUNCTION("""COMPUTED_VALUE"""),"wmazorra@postobon.com.co")</f>
        <v>wmazorra@postobon.com.co</v>
      </c>
      <c r="Z145" s="5" t="str">
        <f ca="1">IFERROR(__xludf.DUMMYFUNCTION("""COMPUTED_VALUE"""),"E6XolEb7ToW7fRen3Ux5Mw")</f>
        <v>E6XolEb7ToW7fRen3Ux5Mw</v>
      </c>
      <c r="AA145" s="5"/>
      <c r="AB145" s="5"/>
      <c r="AC145" s="5"/>
      <c r="AD145" s="5">
        <f ca="1">IFERROR(__xludf.DUMMYFUNCTION("""COMPUTED_VALUE"""),50)</f>
        <v>50</v>
      </c>
      <c r="AE145" s="5">
        <f ca="1">IFERROR(__xludf.DUMMYFUNCTION("""COMPUTED_VALUE"""),50)</f>
        <v>50</v>
      </c>
      <c r="AF145" s="5" t="b">
        <f ca="1">IFERROR(__xludf.DUMMYFUNCTION("""COMPUTED_VALUE"""),FALSE)</f>
        <v>0</v>
      </c>
      <c r="AG145" s="5" t="str">
        <f ca="1">IFERROR(__xludf.DUMMYFUNCTION("""COMPUTED_VALUE"""),"INSPECCIONES REALIZADAS")</f>
        <v>INSPECCIONES REALIZADAS</v>
      </c>
      <c r="AH145" s="5"/>
    </row>
    <row r="146" spans="1:34">
      <c r="A146" s="5" t="str">
        <f ca="1">IFERROR(__xludf.DUMMYFUNCTION("""COMPUTED_VALUE"""),"EQUIPOS PARA SERVICIOS INDUSTRIALES")</f>
        <v>EQUIPOS PARA SERVICIOS INDUSTRIALES</v>
      </c>
      <c r="B146" s="5">
        <f ca="1">IFERROR(__xludf.DUMMYFUNCTION("""COMPUTED_VALUE"""),659370)</f>
        <v>659370</v>
      </c>
      <c r="C146" s="5" t="str">
        <f ca="1">IFERROR(__xludf.DUMMYFUNCTION("""COMPUTED_VALUE"""),"CALDERA DE 300 BHP")</f>
        <v>CALDERA DE 300 BHP</v>
      </c>
      <c r="D146" s="5">
        <f ca="1">IFERROR(__xludf.DUMMYFUNCTION("""COMPUTED_VALUE"""),13247474)</f>
        <v>13247474</v>
      </c>
      <c r="E146" s="5" t="str">
        <f ca="1">IFERROR(__xludf.DUMMYFUNCTION("""COMPUTED_VALUE"""),"INSPECCION SEMANAL CALDERA DE 300 BHP")</f>
        <v>INSPECCION SEMANAL CALDERA DE 300 BHP</v>
      </c>
      <c r="F146" s="5" t="str">
        <f ca="1">IFERROR(__xludf.DUMMYFUNCTION("""COMPUTED_VALUE"""),"VENTILADOR")</f>
        <v>VENTILADOR</v>
      </c>
      <c r="G146" s="5" t="b">
        <f ca="1">IFERROR(__xludf.DUMMYFUNCTION("""COMPUTED_VALUE"""),TRUE)</f>
        <v>1</v>
      </c>
      <c r="H146" s="5"/>
      <c r="I146" s="5"/>
      <c r="J146" s="5">
        <f ca="1">IFERROR(__xludf.DUMMYFUNCTION("""COMPUTED_VALUE"""),13247474)</f>
        <v>13247474</v>
      </c>
      <c r="K146" s="5"/>
      <c r="L146" s="18">
        <f ca="1">IFERROR(__xludf.DUMMYFUNCTION("""COMPUTED_VALUE"""),45324)</f>
        <v>45324</v>
      </c>
      <c r="M146" s="18">
        <f ca="1">IFERROR(__xludf.DUMMYFUNCTION("""COMPUTED_VALUE"""),45324)</f>
        <v>45324</v>
      </c>
      <c r="N146" s="5" t="str">
        <f ca="1">IFERROR(__xludf.DUMMYFUNCTION("""COMPUTED_VALUE"""),"Valencia Hector")</f>
        <v>Valencia Hector</v>
      </c>
      <c r="O146" s="2">
        <f ca="1">IFERROR(__xludf.DUMMYFUNCTION("""COMPUTED_VALUE"""),0.007142857)</f>
        <v>7.1428569999999999E-3</v>
      </c>
      <c r="P146" s="5">
        <f ca="1">IFERROR(__xludf.DUMMYFUNCTION("""COMPUTED_VALUE"""),20015139)</f>
        <v>20015139</v>
      </c>
      <c r="Q146" s="5" t="str">
        <f ca="1">IFERROR(__xludf.DUMMYFUNCTION("""COMPUTED_VALUE"""),"pARrfthBPTg")</f>
        <v>pARrfthBPTg</v>
      </c>
      <c r="R146" s="5">
        <f ca="1">IFERROR(__xludf.DUMMYFUNCTION("""COMPUTED_VALUE"""),410)</f>
        <v>410</v>
      </c>
      <c r="S146" s="62">
        <f ca="1">IFERROR(__xludf.DUMMYFUNCTION("""COMPUTED_VALUE"""),0.007142857)</f>
        <v>7.1428569999999999E-3</v>
      </c>
      <c r="T146" s="63" t="str">
        <f ca="1">IFERROR(__xludf.DUMMYFUNCTION("""COMPUTED_VALUE"""),"https://storage.googleapis.com/glide-prod.appspot.com/uploads-v2/ly7o78grxPaC6KdgvbpS/pub/3aRdSog0vUtuqPE8AJKD.png")</f>
        <v>https://storage.googleapis.com/glide-prod.appspot.com/uploads-v2/ly7o78grxPaC6KdgvbpS/pub/3aRdSog0vUtuqPE8AJKD.png</v>
      </c>
      <c r="U146" s="5" t="str">
        <f ca="1">IFERROR(__xludf.DUMMYFUNCTION("""COMPUTED_VALUE"""),"EQUIPOS PARA SERVICIOS INDUSTRIALESCALDERA DE 300 BHP")</f>
        <v>EQUIPOS PARA SERVICIOS INDUSTRIALESCALDERA DE 300 BHP</v>
      </c>
      <c r="V146" s="5"/>
      <c r="W146" s="5" t="b">
        <f ca="1">IFERROR(__xludf.DUMMYFUNCTION("""COMPUTED_VALUE"""),TRUE)</f>
        <v>1</v>
      </c>
      <c r="X146" s="5" t="str">
        <f ca="1">IFERROR(__xludf.DUMMYFUNCTION("""COMPUTED_VALUE"""),"wmazorra@postobon.com.co,aprmttoyu@postobon.com.co,aprmyu@postobon.com.co,wmora@postobon.com.co,efzapata@postobon.com.co")</f>
        <v>wmazorra@postobon.com.co,aprmttoyu@postobon.com.co,aprmyu@postobon.com.co,wmora@postobon.com.co,efzapata@postobon.com.co</v>
      </c>
      <c r="Y146" s="5" t="str">
        <f ca="1">IFERROR(__xludf.DUMMYFUNCTION("""COMPUTED_VALUE"""),"wmazorra@postobon.com.co")</f>
        <v>wmazorra@postobon.com.co</v>
      </c>
      <c r="Z146" s="5" t="str">
        <f ca="1">IFERROR(__xludf.DUMMYFUNCTION("""COMPUTED_VALUE"""),"gp908SMdROK5o7W-yoHksw")</f>
        <v>gp908SMdROK5o7W-yoHksw</v>
      </c>
      <c r="AA146" s="5"/>
      <c r="AB146" s="5"/>
      <c r="AC146" s="5"/>
      <c r="AD146" s="5">
        <f ca="1">IFERROR(__xludf.DUMMYFUNCTION("""COMPUTED_VALUE"""),50)</f>
        <v>50</v>
      </c>
      <c r="AE146" s="5">
        <f ca="1">IFERROR(__xludf.DUMMYFUNCTION("""COMPUTED_VALUE"""),50)</f>
        <v>50</v>
      </c>
      <c r="AF146" s="5" t="b">
        <f ca="1">IFERROR(__xludf.DUMMYFUNCTION("""COMPUTED_VALUE"""),FALSE)</f>
        <v>0</v>
      </c>
      <c r="AG146" s="5" t="str">
        <f ca="1">IFERROR(__xludf.DUMMYFUNCTION("""COMPUTED_VALUE"""),"INSPECCIONES REALIZADAS")</f>
        <v>INSPECCIONES REALIZADAS</v>
      </c>
      <c r="AH146" s="5"/>
    </row>
    <row r="147" spans="1:34">
      <c r="A147" s="5" t="str">
        <f ca="1">IFERROR(__xludf.DUMMYFUNCTION("""COMPUTED_VALUE"""),"EQUIPOS PARA SERVICIOS INDUSTRIALES")</f>
        <v>EQUIPOS PARA SERVICIOS INDUSTRIALES</v>
      </c>
      <c r="B147" s="5">
        <f ca="1">IFERROR(__xludf.DUMMYFUNCTION("""COMPUTED_VALUE"""),659370)</f>
        <v>659370</v>
      </c>
      <c r="C147" s="5" t="str">
        <f ca="1">IFERROR(__xludf.DUMMYFUNCTION("""COMPUTED_VALUE"""),"CALDERA DE 300 BHP")</f>
        <v>CALDERA DE 300 BHP</v>
      </c>
      <c r="D147" s="5">
        <f ca="1">IFERROR(__xludf.DUMMYFUNCTION("""COMPUTED_VALUE"""),13247474)</f>
        <v>13247474</v>
      </c>
      <c r="E147" s="5" t="str">
        <f ca="1">IFERROR(__xludf.DUMMYFUNCTION("""COMPUTED_VALUE"""),"INSPECCION SEMANAL CALDERA DE 300 BHP")</f>
        <v>INSPECCION SEMANAL CALDERA DE 300 BHP</v>
      </c>
      <c r="F147" s="5" t="str">
        <f ca="1">IFERROR(__xludf.DUMMYFUNCTION("""COMPUTED_VALUE"""),"ESCAPES FLUIDOS: GAS, VAPOR")</f>
        <v>ESCAPES FLUIDOS: GAS, VAPOR</v>
      </c>
      <c r="G147" s="5" t="b">
        <f ca="1">IFERROR(__xludf.DUMMYFUNCTION("""COMPUTED_VALUE"""),TRUE)</f>
        <v>1</v>
      </c>
      <c r="H147" s="5"/>
      <c r="I147" s="5"/>
      <c r="J147" s="5">
        <f ca="1">IFERROR(__xludf.DUMMYFUNCTION("""COMPUTED_VALUE"""),13247474)</f>
        <v>13247474</v>
      </c>
      <c r="K147" s="5"/>
      <c r="L147" s="18">
        <f ca="1">IFERROR(__xludf.DUMMYFUNCTION("""COMPUTED_VALUE"""),45324)</f>
        <v>45324</v>
      </c>
      <c r="M147" s="18">
        <f ca="1">IFERROR(__xludf.DUMMYFUNCTION("""COMPUTED_VALUE"""),45324)</f>
        <v>45324</v>
      </c>
      <c r="N147" s="5" t="str">
        <f ca="1">IFERROR(__xludf.DUMMYFUNCTION("""COMPUTED_VALUE"""),"Valencia Hector")</f>
        <v>Valencia Hector</v>
      </c>
      <c r="O147" s="2">
        <f ca="1">IFERROR(__xludf.DUMMYFUNCTION("""COMPUTED_VALUE"""),0.007142857)</f>
        <v>7.1428569999999999E-3</v>
      </c>
      <c r="P147" s="5">
        <f ca="1">IFERROR(__xludf.DUMMYFUNCTION("""COMPUTED_VALUE"""),20015139)</f>
        <v>20015139</v>
      </c>
      <c r="Q147" s="5" t="str">
        <f ca="1">IFERROR(__xludf.DUMMYFUNCTION("""COMPUTED_VALUE"""),"_hs-TMF9XIU")</f>
        <v>_hs-TMF9XIU</v>
      </c>
      <c r="R147" s="5">
        <f ca="1">IFERROR(__xludf.DUMMYFUNCTION("""COMPUTED_VALUE"""),410)</f>
        <v>410</v>
      </c>
      <c r="S147" s="62">
        <f ca="1">IFERROR(__xludf.DUMMYFUNCTION("""COMPUTED_VALUE"""),0.007142857)</f>
        <v>7.1428569999999999E-3</v>
      </c>
      <c r="T147" s="63" t="str">
        <f ca="1">IFERROR(__xludf.DUMMYFUNCTION("""COMPUTED_VALUE"""),"https://storage.googleapis.com/glide-prod.appspot.com/uploads-v2/ly7o78grxPaC6KdgvbpS/pub/3aRdSog0vUtuqPE8AJKD.png")</f>
        <v>https://storage.googleapis.com/glide-prod.appspot.com/uploads-v2/ly7o78grxPaC6KdgvbpS/pub/3aRdSog0vUtuqPE8AJKD.png</v>
      </c>
      <c r="U147" s="5" t="str">
        <f ca="1">IFERROR(__xludf.DUMMYFUNCTION("""COMPUTED_VALUE"""),"EQUIPOS PARA SERVICIOS INDUSTRIALESCALDERA DE 300 BHP")</f>
        <v>EQUIPOS PARA SERVICIOS INDUSTRIALESCALDERA DE 300 BHP</v>
      </c>
      <c r="V147" s="5"/>
      <c r="W147" s="5" t="b">
        <f ca="1">IFERROR(__xludf.DUMMYFUNCTION("""COMPUTED_VALUE"""),TRUE)</f>
        <v>1</v>
      </c>
      <c r="X147" s="5" t="str">
        <f ca="1">IFERROR(__xludf.DUMMYFUNCTION("""COMPUTED_VALUE"""),"wmazorra@postobon.com.co,aprmttoyu@postobon.com.co,aprmyu@postobon.com.co,wmora@postobon.com.co,efzapata@postobon.com.co")</f>
        <v>wmazorra@postobon.com.co,aprmttoyu@postobon.com.co,aprmyu@postobon.com.co,wmora@postobon.com.co,efzapata@postobon.com.co</v>
      </c>
      <c r="Y147" s="5" t="str">
        <f ca="1">IFERROR(__xludf.DUMMYFUNCTION("""COMPUTED_VALUE"""),"wmazorra@postobon.com.co")</f>
        <v>wmazorra@postobon.com.co</v>
      </c>
      <c r="Z147" s="5" t="str">
        <f ca="1">IFERROR(__xludf.DUMMYFUNCTION("""COMPUTED_VALUE"""),"J.mMedbSQAudScDqx4JHjg")</f>
        <v>J.mMedbSQAudScDqx4JHjg</v>
      </c>
      <c r="AA147" s="5"/>
      <c r="AB147" s="5"/>
      <c r="AC147" s="5"/>
      <c r="AD147" s="5">
        <f ca="1">IFERROR(__xludf.DUMMYFUNCTION("""COMPUTED_VALUE"""),50)</f>
        <v>50</v>
      </c>
      <c r="AE147" s="5">
        <f ca="1">IFERROR(__xludf.DUMMYFUNCTION("""COMPUTED_VALUE"""),50)</f>
        <v>50</v>
      </c>
      <c r="AF147" s="5" t="b">
        <f ca="1">IFERROR(__xludf.DUMMYFUNCTION("""COMPUTED_VALUE"""),FALSE)</f>
        <v>0</v>
      </c>
      <c r="AG147" s="5" t="str">
        <f ca="1">IFERROR(__xludf.DUMMYFUNCTION("""COMPUTED_VALUE"""),"INSPECCIONES REALIZADAS")</f>
        <v>INSPECCIONES REALIZADAS</v>
      </c>
      <c r="AH147" s="5"/>
    </row>
    <row r="148" spans="1:34">
      <c r="A148" s="5" t="str">
        <f ca="1">IFERROR(__xludf.DUMMYFUNCTION("""COMPUTED_VALUE"""),"EQUIPOS PARA SERVICIOS INDUSTRIALES")</f>
        <v>EQUIPOS PARA SERVICIOS INDUSTRIALES</v>
      </c>
      <c r="B148" s="5">
        <f ca="1">IFERROR(__xludf.DUMMYFUNCTION("""COMPUTED_VALUE"""),659370)</f>
        <v>659370</v>
      </c>
      <c r="C148" s="5" t="str">
        <f ca="1">IFERROR(__xludf.DUMMYFUNCTION("""COMPUTED_VALUE"""),"CALDERA DE 300 BHP")</f>
        <v>CALDERA DE 300 BHP</v>
      </c>
      <c r="D148" s="5">
        <f ca="1">IFERROR(__xludf.DUMMYFUNCTION("""COMPUTED_VALUE"""),13247474)</f>
        <v>13247474</v>
      </c>
      <c r="E148" s="5" t="str">
        <f ca="1">IFERROR(__xludf.DUMMYFUNCTION("""COMPUTED_VALUE"""),"INSPECCION SEMANAL CALDERA DE 300 BHP")</f>
        <v>INSPECCION SEMANAL CALDERA DE 300 BHP</v>
      </c>
      <c r="F148" s="5" t="str">
        <f ca="1">IFERROR(__xludf.DUMMYFUNCTION("""COMPUTED_VALUE"""),"VALVULAS, ELECTROVALVULAS")</f>
        <v>VALVULAS, ELECTROVALVULAS</v>
      </c>
      <c r="G148" s="5" t="b">
        <f ca="1">IFERROR(__xludf.DUMMYFUNCTION("""COMPUTED_VALUE"""),TRUE)</f>
        <v>1</v>
      </c>
      <c r="H148" s="5"/>
      <c r="I148" s="5"/>
      <c r="J148" s="5">
        <f ca="1">IFERROR(__xludf.DUMMYFUNCTION("""COMPUTED_VALUE"""),13247474)</f>
        <v>13247474</v>
      </c>
      <c r="K148" s="5"/>
      <c r="L148" s="18">
        <f ca="1">IFERROR(__xludf.DUMMYFUNCTION("""COMPUTED_VALUE"""),45324)</f>
        <v>45324</v>
      </c>
      <c r="M148" s="18">
        <f ca="1">IFERROR(__xludf.DUMMYFUNCTION("""COMPUTED_VALUE"""),45324)</f>
        <v>45324</v>
      </c>
      <c r="N148" s="5" t="str">
        <f ca="1">IFERROR(__xludf.DUMMYFUNCTION("""COMPUTED_VALUE"""),"Valencia Hector")</f>
        <v>Valencia Hector</v>
      </c>
      <c r="O148" s="2">
        <f ca="1">IFERROR(__xludf.DUMMYFUNCTION("""COMPUTED_VALUE"""),0.007142857)</f>
        <v>7.1428569999999999E-3</v>
      </c>
      <c r="P148" s="5">
        <f ca="1">IFERROR(__xludf.DUMMYFUNCTION("""COMPUTED_VALUE"""),20015139)</f>
        <v>20015139</v>
      </c>
      <c r="Q148" s="5" t="str">
        <f ca="1">IFERROR(__xludf.DUMMYFUNCTION("""COMPUTED_VALUE"""),"uvhoEC1GtA4")</f>
        <v>uvhoEC1GtA4</v>
      </c>
      <c r="R148" s="5">
        <f ca="1">IFERROR(__xludf.DUMMYFUNCTION("""COMPUTED_VALUE"""),410)</f>
        <v>410</v>
      </c>
      <c r="S148" s="62">
        <f ca="1">IFERROR(__xludf.DUMMYFUNCTION("""COMPUTED_VALUE"""),0.007142857)</f>
        <v>7.1428569999999999E-3</v>
      </c>
      <c r="T148" s="63" t="str">
        <f ca="1">IFERROR(__xludf.DUMMYFUNCTION("""COMPUTED_VALUE"""),"https://storage.googleapis.com/glide-prod.appspot.com/uploads-v2/ly7o78grxPaC6KdgvbpS/pub/3aRdSog0vUtuqPE8AJKD.png")</f>
        <v>https://storage.googleapis.com/glide-prod.appspot.com/uploads-v2/ly7o78grxPaC6KdgvbpS/pub/3aRdSog0vUtuqPE8AJKD.png</v>
      </c>
      <c r="U148" s="5" t="str">
        <f ca="1">IFERROR(__xludf.DUMMYFUNCTION("""COMPUTED_VALUE"""),"EQUIPOS PARA SERVICIOS INDUSTRIALESCALDERA DE 300 BHP")</f>
        <v>EQUIPOS PARA SERVICIOS INDUSTRIALESCALDERA DE 300 BHP</v>
      </c>
      <c r="V148" s="5"/>
      <c r="W148" s="5" t="b">
        <f ca="1">IFERROR(__xludf.DUMMYFUNCTION("""COMPUTED_VALUE"""),TRUE)</f>
        <v>1</v>
      </c>
      <c r="X148" s="5" t="str">
        <f ca="1">IFERROR(__xludf.DUMMYFUNCTION("""COMPUTED_VALUE"""),"wmazorra@postobon.com.co,aprmttoyu@postobon.com.co,aprmyu@postobon.com.co,wmora@postobon.com.co,efzapata@postobon.com.co")</f>
        <v>wmazorra@postobon.com.co,aprmttoyu@postobon.com.co,aprmyu@postobon.com.co,wmora@postobon.com.co,efzapata@postobon.com.co</v>
      </c>
      <c r="Y148" s="5" t="str">
        <f ca="1">IFERROR(__xludf.DUMMYFUNCTION("""COMPUTED_VALUE"""),"wmazorra@postobon.com.co")</f>
        <v>wmazorra@postobon.com.co</v>
      </c>
      <c r="Z148" s="5" t="str">
        <f ca="1">IFERROR(__xludf.DUMMYFUNCTION("""COMPUTED_VALUE"""),"A7yEoMuMRfm6hhZs0BYPVw")</f>
        <v>A7yEoMuMRfm6hhZs0BYPVw</v>
      </c>
      <c r="AA148" s="5"/>
      <c r="AB148" s="5"/>
      <c r="AC148" s="5"/>
      <c r="AD148" s="5">
        <f ca="1">IFERROR(__xludf.DUMMYFUNCTION("""COMPUTED_VALUE"""),50)</f>
        <v>50</v>
      </c>
      <c r="AE148" s="5">
        <f ca="1">IFERROR(__xludf.DUMMYFUNCTION("""COMPUTED_VALUE"""),50)</f>
        <v>50</v>
      </c>
      <c r="AF148" s="5" t="b">
        <f ca="1">IFERROR(__xludf.DUMMYFUNCTION("""COMPUTED_VALUE"""),FALSE)</f>
        <v>0</v>
      </c>
      <c r="AG148" s="5" t="str">
        <f ca="1">IFERROR(__xludf.DUMMYFUNCTION("""COMPUTED_VALUE"""),"INSPECCIONES REALIZADAS")</f>
        <v>INSPECCIONES REALIZADAS</v>
      </c>
      <c r="AH148" s="5"/>
    </row>
    <row r="149" spans="1:34">
      <c r="A149" s="5" t="str">
        <f ca="1">IFERROR(__xludf.DUMMYFUNCTION("""COMPUTED_VALUE"""),"EQUIPOS PARA SERVICIOS INDUSTRIALES")</f>
        <v>EQUIPOS PARA SERVICIOS INDUSTRIALES</v>
      </c>
      <c r="B149" s="5">
        <f ca="1">IFERROR(__xludf.DUMMYFUNCTION("""COMPUTED_VALUE"""),659370)</f>
        <v>659370</v>
      </c>
      <c r="C149" s="5" t="str">
        <f ca="1">IFERROR(__xludf.DUMMYFUNCTION("""COMPUTED_VALUE"""),"CALDERA DE 300 BHP")</f>
        <v>CALDERA DE 300 BHP</v>
      </c>
      <c r="D149" s="5">
        <f ca="1">IFERROR(__xludf.DUMMYFUNCTION("""COMPUTED_VALUE"""),13247474)</f>
        <v>13247474</v>
      </c>
      <c r="E149" s="5" t="str">
        <f ca="1">IFERROR(__xludf.DUMMYFUNCTION("""COMPUTED_VALUE"""),"INSPECCION SEMANAL CALDERA DE 300 BHP")</f>
        <v>INSPECCION SEMANAL CALDERA DE 300 BHP</v>
      </c>
      <c r="F149" s="5" t="str">
        <f ca="1">IFERROR(__xludf.DUMMYFUNCTION("""COMPUTED_VALUE"""),"TUBERIAS, CHEQUES")</f>
        <v>TUBERIAS, CHEQUES</v>
      </c>
      <c r="G149" s="5" t="b">
        <f ca="1">IFERROR(__xludf.DUMMYFUNCTION("""COMPUTED_VALUE"""),TRUE)</f>
        <v>1</v>
      </c>
      <c r="H149" s="5"/>
      <c r="I149" s="5"/>
      <c r="J149" s="5">
        <f ca="1">IFERROR(__xludf.DUMMYFUNCTION("""COMPUTED_VALUE"""),13247474)</f>
        <v>13247474</v>
      </c>
      <c r="K149" s="5"/>
      <c r="L149" s="18">
        <f ca="1">IFERROR(__xludf.DUMMYFUNCTION("""COMPUTED_VALUE"""),45324)</f>
        <v>45324</v>
      </c>
      <c r="M149" s="18">
        <f ca="1">IFERROR(__xludf.DUMMYFUNCTION("""COMPUTED_VALUE"""),45324)</f>
        <v>45324</v>
      </c>
      <c r="N149" s="5" t="str">
        <f ca="1">IFERROR(__xludf.DUMMYFUNCTION("""COMPUTED_VALUE"""),"Valencia Hector")</f>
        <v>Valencia Hector</v>
      </c>
      <c r="O149" s="2">
        <f ca="1">IFERROR(__xludf.DUMMYFUNCTION("""COMPUTED_VALUE"""),0.007142857)</f>
        <v>7.1428569999999999E-3</v>
      </c>
      <c r="P149" s="5">
        <f ca="1">IFERROR(__xludf.DUMMYFUNCTION("""COMPUTED_VALUE"""),20015139)</f>
        <v>20015139</v>
      </c>
      <c r="Q149" s="5" t="str">
        <f ca="1">IFERROR(__xludf.DUMMYFUNCTION("""COMPUTED_VALUE"""),"dImcquqqfhs")</f>
        <v>dImcquqqfhs</v>
      </c>
      <c r="R149" s="5">
        <f ca="1">IFERROR(__xludf.DUMMYFUNCTION("""COMPUTED_VALUE"""),410)</f>
        <v>410</v>
      </c>
      <c r="S149" s="62">
        <f ca="1">IFERROR(__xludf.DUMMYFUNCTION("""COMPUTED_VALUE"""),0.007142857)</f>
        <v>7.1428569999999999E-3</v>
      </c>
      <c r="T149" s="63" t="str">
        <f ca="1">IFERROR(__xludf.DUMMYFUNCTION("""COMPUTED_VALUE"""),"https://storage.googleapis.com/glide-prod.appspot.com/uploads-v2/ly7o78grxPaC6KdgvbpS/pub/3aRdSog0vUtuqPE8AJKD.png")</f>
        <v>https://storage.googleapis.com/glide-prod.appspot.com/uploads-v2/ly7o78grxPaC6KdgvbpS/pub/3aRdSog0vUtuqPE8AJKD.png</v>
      </c>
      <c r="U149" s="5" t="str">
        <f ca="1">IFERROR(__xludf.DUMMYFUNCTION("""COMPUTED_VALUE"""),"EQUIPOS PARA SERVICIOS INDUSTRIALESCALDERA DE 300 BHP")</f>
        <v>EQUIPOS PARA SERVICIOS INDUSTRIALESCALDERA DE 300 BHP</v>
      </c>
      <c r="V149" s="5"/>
      <c r="W149" s="5" t="b">
        <f ca="1">IFERROR(__xludf.DUMMYFUNCTION("""COMPUTED_VALUE"""),TRUE)</f>
        <v>1</v>
      </c>
      <c r="X149" s="5" t="str">
        <f ca="1">IFERROR(__xludf.DUMMYFUNCTION("""COMPUTED_VALUE"""),"wmazorra@postobon.com.co,aprmttoyu@postobon.com.co,aprmyu@postobon.com.co,wmora@postobon.com.co,efzapata@postobon.com.co")</f>
        <v>wmazorra@postobon.com.co,aprmttoyu@postobon.com.co,aprmyu@postobon.com.co,wmora@postobon.com.co,efzapata@postobon.com.co</v>
      </c>
      <c r="Y149" s="5" t="str">
        <f ca="1">IFERROR(__xludf.DUMMYFUNCTION("""COMPUTED_VALUE"""),"wmazorra@postobon.com.co")</f>
        <v>wmazorra@postobon.com.co</v>
      </c>
      <c r="Z149" s="5" t="str">
        <f ca="1">IFERROR(__xludf.DUMMYFUNCTION("""COMPUTED_VALUE"""),"cQoNZVksSOu7z-TjPNvLlw")</f>
        <v>cQoNZVksSOu7z-TjPNvLlw</v>
      </c>
      <c r="AA149" s="5"/>
      <c r="AB149" s="5"/>
      <c r="AC149" s="5"/>
      <c r="AD149" s="5">
        <f ca="1">IFERROR(__xludf.DUMMYFUNCTION("""COMPUTED_VALUE"""),50)</f>
        <v>50</v>
      </c>
      <c r="AE149" s="5">
        <f ca="1">IFERROR(__xludf.DUMMYFUNCTION("""COMPUTED_VALUE"""),50)</f>
        <v>50</v>
      </c>
      <c r="AF149" s="5" t="b">
        <f ca="1">IFERROR(__xludf.DUMMYFUNCTION("""COMPUTED_VALUE"""),FALSE)</f>
        <v>0</v>
      </c>
      <c r="AG149" s="5" t="str">
        <f ca="1">IFERROR(__xludf.DUMMYFUNCTION("""COMPUTED_VALUE"""),"INSPECCIONES REALIZADAS")</f>
        <v>INSPECCIONES REALIZADAS</v>
      </c>
      <c r="AH149" s="5"/>
    </row>
    <row r="150" spans="1:34">
      <c r="A150" s="5" t="str">
        <f ca="1">IFERROR(__xludf.DUMMYFUNCTION("""COMPUTED_VALUE"""),"EQUIPOS PARA SERVICIOS INDUSTRIALES")</f>
        <v>EQUIPOS PARA SERVICIOS INDUSTRIALES</v>
      </c>
      <c r="B150" s="5">
        <f ca="1">IFERROR(__xludf.DUMMYFUNCTION("""COMPUTED_VALUE"""),659370)</f>
        <v>659370</v>
      </c>
      <c r="C150" s="5" t="str">
        <f ca="1">IFERROR(__xludf.DUMMYFUNCTION("""COMPUTED_VALUE"""),"CALDERA DE 300 BHP")</f>
        <v>CALDERA DE 300 BHP</v>
      </c>
      <c r="D150" s="5">
        <f ca="1">IFERROR(__xludf.DUMMYFUNCTION("""COMPUTED_VALUE"""),13247474)</f>
        <v>13247474</v>
      </c>
      <c r="E150" s="5" t="str">
        <f ca="1">IFERROR(__xludf.DUMMYFUNCTION("""COMPUTED_VALUE"""),"INSPECCION SEMANAL CALDERA DE 300 BHP")</f>
        <v>INSPECCION SEMANAL CALDERA DE 300 BHP</v>
      </c>
      <c r="F150" s="5" t="str">
        <f ca="1">IFERROR(__xludf.DUMMYFUNCTION("""COMPUTED_VALUE"""),"VALVULAS DE SEGURIDAD")</f>
        <v>VALVULAS DE SEGURIDAD</v>
      </c>
      <c r="G150" s="5" t="b">
        <f ca="1">IFERROR(__xludf.DUMMYFUNCTION("""COMPUTED_VALUE"""),TRUE)</f>
        <v>1</v>
      </c>
      <c r="H150" s="5"/>
      <c r="I150" s="5"/>
      <c r="J150" s="5">
        <f ca="1">IFERROR(__xludf.DUMMYFUNCTION("""COMPUTED_VALUE"""),13247474)</f>
        <v>13247474</v>
      </c>
      <c r="K150" s="5"/>
      <c r="L150" s="18">
        <f ca="1">IFERROR(__xludf.DUMMYFUNCTION("""COMPUTED_VALUE"""),45324)</f>
        <v>45324</v>
      </c>
      <c r="M150" s="18">
        <f ca="1">IFERROR(__xludf.DUMMYFUNCTION("""COMPUTED_VALUE"""),45324)</f>
        <v>45324</v>
      </c>
      <c r="N150" s="5" t="str">
        <f ca="1">IFERROR(__xludf.DUMMYFUNCTION("""COMPUTED_VALUE"""),"Valencia Hector")</f>
        <v>Valencia Hector</v>
      </c>
      <c r="O150" s="2">
        <f ca="1">IFERROR(__xludf.DUMMYFUNCTION("""COMPUTED_VALUE"""),0.007142857)</f>
        <v>7.1428569999999999E-3</v>
      </c>
      <c r="P150" s="5">
        <f ca="1">IFERROR(__xludf.DUMMYFUNCTION("""COMPUTED_VALUE"""),20015139)</f>
        <v>20015139</v>
      </c>
      <c r="Q150" s="5" t="str">
        <f ca="1">IFERROR(__xludf.DUMMYFUNCTION("""COMPUTED_VALUE"""),"elPUgTyAvmI")</f>
        <v>elPUgTyAvmI</v>
      </c>
      <c r="R150" s="5">
        <f ca="1">IFERROR(__xludf.DUMMYFUNCTION("""COMPUTED_VALUE"""),410)</f>
        <v>410</v>
      </c>
      <c r="S150" s="62">
        <f ca="1">IFERROR(__xludf.DUMMYFUNCTION("""COMPUTED_VALUE"""),0.007142857)</f>
        <v>7.1428569999999999E-3</v>
      </c>
      <c r="T150" s="63" t="str">
        <f ca="1">IFERROR(__xludf.DUMMYFUNCTION("""COMPUTED_VALUE"""),"https://storage.googleapis.com/glide-prod.appspot.com/uploads-v2/ly7o78grxPaC6KdgvbpS/pub/3aRdSog0vUtuqPE8AJKD.png")</f>
        <v>https://storage.googleapis.com/glide-prod.appspot.com/uploads-v2/ly7o78grxPaC6KdgvbpS/pub/3aRdSog0vUtuqPE8AJKD.png</v>
      </c>
      <c r="U150" s="5" t="str">
        <f ca="1">IFERROR(__xludf.DUMMYFUNCTION("""COMPUTED_VALUE"""),"EQUIPOS PARA SERVICIOS INDUSTRIALESCALDERA DE 300 BHP")</f>
        <v>EQUIPOS PARA SERVICIOS INDUSTRIALESCALDERA DE 300 BHP</v>
      </c>
      <c r="V150" s="5"/>
      <c r="W150" s="5" t="b">
        <f ca="1">IFERROR(__xludf.DUMMYFUNCTION("""COMPUTED_VALUE"""),TRUE)</f>
        <v>1</v>
      </c>
      <c r="X150" s="5" t="str">
        <f ca="1">IFERROR(__xludf.DUMMYFUNCTION("""COMPUTED_VALUE"""),"wmazorra@postobon.com.co,aprmttoyu@postobon.com.co,aprmyu@postobon.com.co,wmora@postobon.com.co,efzapata@postobon.com.co")</f>
        <v>wmazorra@postobon.com.co,aprmttoyu@postobon.com.co,aprmyu@postobon.com.co,wmora@postobon.com.co,efzapata@postobon.com.co</v>
      </c>
      <c r="Y150" s="5" t="str">
        <f ca="1">IFERROR(__xludf.DUMMYFUNCTION("""COMPUTED_VALUE"""),"wmazorra@postobon.com.co")</f>
        <v>wmazorra@postobon.com.co</v>
      </c>
      <c r="Z150" s="5" t="str">
        <f ca="1">IFERROR(__xludf.DUMMYFUNCTION("""COMPUTED_VALUE"""),"iQ6GvhlSRKiAxpc4lbKrsg")</f>
        <v>iQ6GvhlSRKiAxpc4lbKrsg</v>
      </c>
      <c r="AA150" s="5"/>
      <c r="AB150" s="5"/>
      <c r="AC150" s="5"/>
      <c r="AD150" s="5">
        <f ca="1">IFERROR(__xludf.DUMMYFUNCTION("""COMPUTED_VALUE"""),50)</f>
        <v>50</v>
      </c>
      <c r="AE150" s="5">
        <f ca="1">IFERROR(__xludf.DUMMYFUNCTION("""COMPUTED_VALUE"""),50)</f>
        <v>50</v>
      </c>
      <c r="AF150" s="5" t="b">
        <f ca="1">IFERROR(__xludf.DUMMYFUNCTION("""COMPUTED_VALUE"""),FALSE)</f>
        <v>0</v>
      </c>
      <c r="AG150" s="5" t="str">
        <f ca="1">IFERROR(__xludf.DUMMYFUNCTION("""COMPUTED_VALUE"""),"INSPECCIONES REALIZADAS")</f>
        <v>INSPECCIONES REALIZADAS</v>
      </c>
      <c r="AH150" s="5"/>
    </row>
    <row r="151" spans="1:34">
      <c r="A151" s="5" t="str">
        <f ca="1">IFERROR(__xludf.DUMMYFUNCTION("""COMPUTED_VALUE"""),"EQUIPOS PARA SERVICIOS INDUSTRIALES")</f>
        <v>EQUIPOS PARA SERVICIOS INDUSTRIALES</v>
      </c>
      <c r="B151" s="5">
        <f ca="1">IFERROR(__xludf.DUMMYFUNCTION("""COMPUTED_VALUE"""),659370)</f>
        <v>659370</v>
      </c>
      <c r="C151" s="5" t="str">
        <f ca="1">IFERROR(__xludf.DUMMYFUNCTION("""COMPUTED_VALUE"""),"CALDERA DE 300 BHP")</f>
        <v>CALDERA DE 300 BHP</v>
      </c>
      <c r="D151" s="5">
        <f ca="1">IFERROR(__xludf.DUMMYFUNCTION("""COMPUTED_VALUE"""),13247474)</f>
        <v>13247474</v>
      </c>
      <c r="E151" s="5" t="str">
        <f ca="1">IFERROR(__xludf.DUMMYFUNCTION("""COMPUTED_VALUE"""),"INSPECCION SEMANAL CALDERA DE 300 BHP")</f>
        <v>INSPECCION SEMANAL CALDERA DE 300 BHP</v>
      </c>
      <c r="F151" s="5" t="str">
        <f ca="1">IFERROR(__xludf.DUMMYFUNCTION("""COMPUTED_VALUE"""),"ESTADO GRAL, PINTURA")</f>
        <v>ESTADO GRAL, PINTURA</v>
      </c>
      <c r="G151" s="5" t="b">
        <f ca="1">IFERROR(__xludf.DUMMYFUNCTION("""COMPUTED_VALUE"""),TRUE)</f>
        <v>1</v>
      </c>
      <c r="H151" s="5"/>
      <c r="I151" s="5"/>
      <c r="J151" s="5">
        <f ca="1">IFERROR(__xludf.DUMMYFUNCTION("""COMPUTED_VALUE"""),13247474)</f>
        <v>13247474</v>
      </c>
      <c r="K151" s="5"/>
      <c r="L151" s="18">
        <f ca="1">IFERROR(__xludf.DUMMYFUNCTION("""COMPUTED_VALUE"""),45324)</f>
        <v>45324</v>
      </c>
      <c r="M151" s="18">
        <f ca="1">IFERROR(__xludf.DUMMYFUNCTION("""COMPUTED_VALUE"""),45324)</f>
        <v>45324</v>
      </c>
      <c r="N151" s="5" t="str">
        <f ca="1">IFERROR(__xludf.DUMMYFUNCTION("""COMPUTED_VALUE"""),"Valencia Hector")</f>
        <v>Valencia Hector</v>
      </c>
      <c r="O151" s="2">
        <f ca="1">IFERROR(__xludf.DUMMYFUNCTION("""COMPUTED_VALUE"""),0.007142857)</f>
        <v>7.1428569999999999E-3</v>
      </c>
      <c r="P151" s="5">
        <f ca="1">IFERROR(__xludf.DUMMYFUNCTION("""COMPUTED_VALUE"""),20015139)</f>
        <v>20015139</v>
      </c>
      <c r="Q151" s="5" t="str">
        <f ca="1">IFERROR(__xludf.DUMMYFUNCTION("""COMPUTED_VALUE"""),"AcJU6-ScBfE")</f>
        <v>AcJU6-ScBfE</v>
      </c>
      <c r="R151" s="5">
        <f ca="1">IFERROR(__xludf.DUMMYFUNCTION("""COMPUTED_VALUE"""),410)</f>
        <v>410</v>
      </c>
      <c r="S151" s="62">
        <f ca="1">IFERROR(__xludf.DUMMYFUNCTION("""COMPUTED_VALUE"""),0.007142857)</f>
        <v>7.1428569999999999E-3</v>
      </c>
      <c r="T151" s="63" t="str">
        <f ca="1">IFERROR(__xludf.DUMMYFUNCTION("""COMPUTED_VALUE"""),"https://storage.googleapis.com/glide-prod.appspot.com/uploads-v2/ly7o78grxPaC6KdgvbpS/pub/3aRdSog0vUtuqPE8AJKD.png")</f>
        <v>https://storage.googleapis.com/glide-prod.appspot.com/uploads-v2/ly7o78grxPaC6KdgvbpS/pub/3aRdSog0vUtuqPE8AJKD.png</v>
      </c>
      <c r="U151" s="5" t="str">
        <f ca="1">IFERROR(__xludf.DUMMYFUNCTION("""COMPUTED_VALUE"""),"EQUIPOS PARA SERVICIOS INDUSTRIALESCALDERA DE 300 BHP")</f>
        <v>EQUIPOS PARA SERVICIOS INDUSTRIALESCALDERA DE 300 BHP</v>
      </c>
      <c r="V151" s="5"/>
      <c r="W151" s="5" t="b">
        <f ca="1">IFERROR(__xludf.DUMMYFUNCTION("""COMPUTED_VALUE"""),TRUE)</f>
        <v>1</v>
      </c>
      <c r="X151" s="5" t="str">
        <f ca="1">IFERROR(__xludf.DUMMYFUNCTION("""COMPUTED_VALUE"""),"wmazorra@postobon.com.co,aprmttoyu@postobon.com.co,aprmyu@postobon.com.co,wmora@postobon.com.co,efzapata@postobon.com.co")</f>
        <v>wmazorra@postobon.com.co,aprmttoyu@postobon.com.co,aprmyu@postobon.com.co,wmora@postobon.com.co,efzapata@postobon.com.co</v>
      </c>
      <c r="Y151" s="5" t="str">
        <f ca="1">IFERROR(__xludf.DUMMYFUNCTION("""COMPUTED_VALUE"""),"wmazorra@postobon.com.co")</f>
        <v>wmazorra@postobon.com.co</v>
      </c>
      <c r="Z151" s="5" t="str">
        <f ca="1">IFERROR(__xludf.DUMMYFUNCTION("""COMPUTED_VALUE"""),"MagnuhljR9OulbBIycuQYA")</f>
        <v>MagnuhljR9OulbBIycuQYA</v>
      </c>
      <c r="AA151" s="5"/>
      <c r="AB151" s="5"/>
      <c r="AC151" s="5"/>
      <c r="AD151" s="5">
        <f ca="1">IFERROR(__xludf.DUMMYFUNCTION("""COMPUTED_VALUE"""),50)</f>
        <v>50</v>
      </c>
      <c r="AE151" s="5">
        <f ca="1">IFERROR(__xludf.DUMMYFUNCTION("""COMPUTED_VALUE"""),50)</f>
        <v>50</v>
      </c>
      <c r="AF151" s="5" t="b">
        <f ca="1">IFERROR(__xludf.DUMMYFUNCTION("""COMPUTED_VALUE"""),FALSE)</f>
        <v>0</v>
      </c>
      <c r="AG151" s="5" t="str">
        <f ca="1">IFERROR(__xludf.DUMMYFUNCTION("""COMPUTED_VALUE"""),"INSPECCIONES REALIZADAS")</f>
        <v>INSPECCIONES REALIZADAS</v>
      </c>
      <c r="AH151" s="5"/>
    </row>
    <row r="152" spans="1:34">
      <c r="A152" s="5" t="str">
        <f ca="1">IFERROR(__xludf.DUMMYFUNCTION("""COMPUTED_VALUE"""),"EQUIPOS PARA SERVICIOS INDUSTRIALES")</f>
        <v>EQUIPOS PARA SERVICIOS INDUSTRIALES</v>
      </c>
      <c r="B152" s="5">
        <f ca="1">IFERROR(__xludf.DUMMYFUNCTION("""COMPUTED_VALUE"""),659370)</f>
        <v>659370</v>
      </c>
      <c r="C152" s="5" t="str">
        <f ca="1">IFERROR(__xludf.DUMMYFUNCTION("""COMPUTED_VALUE"""),"CALDERA DE 300 BHP")</f>
        <v>CALDERA DE 300 BHP</v>
      </c>
      <c r="D152" s="5">
        <f ca="1">IFERROR(__xludf.DUMMYFUNCTION("""COMPUTED_VALUE"""),13247474)</f>
        <v>13247474</v>
      </c>
      <c r="E152" s="5" t="str">
        <f ca="1">IFERROR(__xludf.DUMMYFUNCTION("""COMPUTED_VALUE"""),"INSPECCION SEMANAL CALDERA DE 300 BHP")</f>
        <v>INSPECCION SEMANAL CALDERA DE 300 BHP</v>
      </c>
      <c r="F152" s="5" t="str">
        <f ca="1">IFERROR(__xludf.DUMMYFUNCTION("""COMPUTED_VALUE"""),"VISOR Y MIRILLA")</f>
        <v>VISOR Y MIRILLA</v>
      </c>
      <c r="G152" s="5" t="b">
        <f ca="1">IFERROR(__xludf.DUMMYFUNCTION("""COMPUTED_VALUE"""),TRUE)</f>
        <v>1</v>
      </c>
      <c r="H152" s="5"/>
      <c r="I152" s="5"/>
      <c r="J152" s="5">
        <f ca="1">IFERROR(__xludf.DUMMYFUNCTION("""COMPUTED_VALUE"""),13247474)</f>
        <v>13247474</v>
      </c>
      <c r="K152" s="5"/>
      <c r="L152" s="18">
        <f ca="1">IFERROR(__xludf.DUMMYFUNCTION("""COMPUTED_VALUE"""),45324)</f>
        <v>45324</v>
      </c>
      <c r="M152" s="18">
        <f ca="1">IFERROR(__xludf.DUMMYFUNCTION("""COMPUTED_VALUE"""),45324)</f>
        <v>45324</v>
      </c>
      <c r="N152" s="5" t="str">
        <f ca="1">IFERROR(__xludf.DUMMYFUNCTION("""COMPUTED_VALUE"""),"Valencia Hector")</f>
        <v>Valencia Hector</v>
      </c>
      <c r="O152" s="2">
        <f ca="1">IFERROR(__xludf.DUMMYFUNCTION("""COMPUTED_VALUE"""),0.007142857)</f>
        <v>7.1428569999999999E-3</v>
      </c>
      <c r="P152" s="5">
        <f ca="1">IFERROR(__xludf.DUMMYFUNCTION("""COMPUTED_VALUE"""),20015139)</f>
        <v>20015139</v>
      </c>
      <c r="Q152" s="5" t="str">
        <f ca="1">IFERROR(__xludf.DUMMYFUNCTION("""COMPUTED_VALUE"""),"ZbyLHWn16zo")</f>
        <v>ZbyLHWn16zo</v>
      </c>
      <c r="R152" s="5">
        <f ca="1">IFERROR(__xludf.DUMMYFUNCTION("""COMPUTED_VALUE"""),410)</f>
        <v>410</v>
      </c>
      <c r="S152" s="62">
        <f ca="1">IFERROR(__xludf.DUMMYFUNCTION("""COMPUTED_VALUE"""),0.007142857)</f>
        <v>7.1428569999999999E-3</v>
      </c>
      <c r="T152" s="63" t="str">
        <f ca="1">IFERROR(__xludf.DUMMYFUNCTION("""COMPUTED_VALUE"""),"https://storage.googleapis.com/glide-prod.appspot.com/uploads-v2/ly7o78grxPaC6KdgvbpS/pub/3aRdSog0vUtuqPE8AJKD.png")</f>
        <v>https://storage.googleapis.com/glide-prod.appspot.com/uploads-v2/ly7o78grxPaC6KdgvbpS/pub/3aRdSog0vUtuqPE8AJKD.png</v>
      </c>
      <c r="U152" s="5" t="str">
        <f ca="1">IFERROR(__xludf.DUMMYFUNCTION("""COMPUTED_VALUE"""),"EQUIPOS PARA SERVICIOS INDUSTRIALESCALDERA DE 300 BHP")</f>
        <v>EQUIPOS PARA SERVICIOS INDUSTRIALESCALDERA DE 300 BHP</v>
      </c>
      <c r="V152" s="5"/>
      <c r="W152" s="5" t="b">
        <f ca="1">IFERROR(__xludf.DUMMYFUNCTION("""COMPUTED_VALUE"""),TRUE)</f>
        <v>1</v>
      </c>
      <c r="X152" s="5" t="str">
        <f ca="1">IFERROR(__xludf.DUMMYFUNCTION("""COMPUTED_VALUE"""),"wmazorra@postobon.com.co,aprmttoyu@postobon.com.co,aprmyu@postobon.com.co,wmora@postobon.com.co,efzapata@postobon.com.co")</f>
        <v>wmazorra@postobon.com.co,aprmttoyu@postobon.com.co,aprmyu@postobon.com.co,wmora@postobon.com.co,efzapata@postobon.com.co</v>
      </c>
      <c r="Y152" s="5" t="str">
        <f ca="1">IFERROR(__xludf.DUMMYFUNCTION("""COMPUTED_VALUE"""),"wmazorra@postobon.com.co")</f>
        <v>wmazorra@postobon.com.co</v>
      </c>
      <c r="Z152" s="5" t="str">
        <f ca="1">IFERROR(__xludf.DUMMYFUNCTION("""COMPUTED_VALUE"""),"5RO8Fj..QyK1YOkWaKtvAw")</f>
        <v>5RO8Fj..QyK1YOkWaKtvAw</v>
      </c>
      <c r="AA152" s="5"/>
      <c r="AB152" s="5"/>
      <c r="AC152" s="5"/>
      <c r="AD152" s="5">
        <f ca="1">IFERROR(__xludf.DUMMYFUNCTION("""COMPUTED_VALUE"""),50)</f>
        <v>50</v>
      </c>
      <c r="AE152" s="5">
        <f ca="1">IFERROR(__xludf.DUMMYFUNCTION("""COMPUTED_VALUE"""),50)</f>
        <v>50</v>
      </c>
      <c r="AF152" s="5" t="b">
        <f ca="1">IFERROR(__xludf.DUMMYFUNCTION("""COMPUTED_VALUE"""),FALSE)</f>
        <v>0</v>
      </c>
      <c r="AG152" s="5" t="str">
        <f ca="1">IFERROR(__xludf.DUMMYFUNCTION("""COMPUTED_VALUE"""),"INSPECCIONES REALIZADAS")</f>
        <v>INSPECCIONES REALIZADAS</v>
      </c>
      <c r="AH152" s="5"/>
    </row>
    <row r="153" spans="1:34">
      <c r="A153" s="5" t="str">
        <f ca="1">IFERROR(__xludf.DUMMYFUNCTION("""COMPUTED_VALUE"""),"EQUIPOS PARA SERVICIOS INDUSTRIALES")</f>
        <v>EQUIPOS PARA SERVICIOS INDUSTRIALES</v>
      </c>
      <c r="B153" s="5">
        <f ca="1">IFERROR(__xludf.DUMMYFUNCTION("""COMPUTED_VALUE"""),659370)</f>
        <v>659370</v>
      </c>
      <c r="C153" s="5" t="str">
        <f ca="1">IFERROR(__xludf.DUMMYFUNCTION("""COMPUTED_VALUE"""),"CALDERA DE 300 BHP")</f>
        <v>CALDERA DE 300 BHP</v>
      </c>
      <c r="D153" s="5">
        <f ca="1">IFERROR(__xludf.DUMMYFUNCTION("""COMPUTED_VALUE"""),13247474)</f>
        <v>13247474</v>
      </c>
      <c r="E153" s="5" t="str">
        <f ca="1">IFERROR(__xludf.DUMMYFUNCTION("""COMPUTED_VALUE"""),"INSPECCION SEMANAL CALDERA DE 300 BHP")</f>
        <v>INSPECCION SEMANAL CALDERA DE 300 BHP</v>
      </c>
      <c r="F153" s="5" t="str">
        <f ca="1">IFERROR(__xludf.DUMMYFUNCTION("""COMPUTED_VALUE"""),"VALVULAS DE PURGA")</f>
        <v>VALVULAS DE PURGA</v>
      </c>
      <c r="G153" s="5" t="b">
        <f ca="1">IFERROR(__xludf.DUMMYFUNCTION("""COMPUTED_VALUE"""),TRUE)</f>
        <v>1</v>
      </c>
      <c r="H153" s="5"/>
      <c r="I153" s="5"/>
      <c r="J153" s="5">
        <f ca="1">IFERROR(__xludf.DUMMYFUNCTION("""COMPUTED_VALUE"""),13247474)</f>
        <v>13247474</v>
      </c>
      <c r="K153" s="5"/>
      <c r="L153" s="18">
        <f ca="1">IFERROR(__xludf.DUMMYFUNCTION("""COMPUTED_VALUE"""),45324)</f>
        <v>45324</v>
      </c>
      <c r="M153" s="18">
        <f ca="1">IFERROR(__xludf.DUMMYFUNCTION("""COMPUTED_VALUE"""),45324)</f>
        <v>45324</v>
      </c>
      <c r="N153" s="5" t="str">
        <f ca="1">IFERROR(__xludf.DUMMYFUNCTION("""COMPUTED_VALUE"""),"Valencia Hector")</f>
        <v>Valencia Hector</v>
      </c>
      <c r="O153" s="2">
        <f ca="1">IFERROR(__xludf.DUMMYFUNCTION("""COMPUTED_VALUE"""),0.007142857)</f>
        <v>7.1428569999999999E-3</v>
      </c>
      <c r="P153" s="5">
        <f ca="1">IFERROR(__xludf.DUMMYFUNCTION("""COMPUTED_VALUE"""),20015139)</f>
        <v>20015139</v>
      </c>
      <c r="Q153" s="5" t="str">
        <f ca="1">IFERROR(__xludf.DUMMYFUNCTION("""COMPUTED_VALUE"""),"mn2vS7eKSIg")</f>
        <v>mn2vS7eKSIg</v>
      </c>
      <c r="R153" s="5">
        <f ca="1">IFERROR(__xludf.DUMMYFUNCTION("""COMPUTED_VALUE"""),410)</f>
        <v>410</v>
      </c>
      <c r="S153" s="62">
        <f ca="1">IFERROR(__xludf.DUMMYFUNCTION("""COMPUTED_VALUE"""),0.007142857)</f>
        <v>7.1428569999999999E-3</v>
      </c>
      <c r="T153" s="63" t="str">
        <f ca="1">IFERROR(__xludf.DUMMYFUNCTION("""COMPUTED_VALUE"""),"https://storage.googleapis.com/glide-prod.appspot.com/uploads-v2/ly7o78grxPaC6KdgvbpS/pub/3aRdSog0vUtuqPE8AJKD.png")</f>
        <v>https://storage.googleapis.com/glide-prod.appspot.com/uploads-v2/ly7o78grxPaC6KdgvbpS/pub/3aRdSog0vUtuqPE8AJKD.png</v>
      </c>
      <c r="U153" s="5" t="str">
        <f ca="1">IFERROR(__xludf.DUMMYFUNCTION("""COMPUTED_VALUE"""),"EQUIPOS PARA SERVICIOS INDUSTRIALESCALDERA DE 300 BHP")</f>
        <v>EQUIPOS PARA SERVICIOS INDUSTRIALESCALDERA DE 300 BHP</v>
      </c>
      <c r="V153" s="5"/>
      <c r="W153" s="5" t="b">
        <f ca="1">IFERROR(__xludf.DUMMYFUNCTION("""COMPUTED_VALUE"""),TRUE)</f>
        <v>1</v>
      </c>
      <c r="X153" s="5" t="str">
        <f ca="1">IFERROR(__xludf.DUMMYFUNCTION("""COMPUTED_VALUE"""),"wmazorra@postobon.com.co,aprmttoyu@postobon.com.co,aprmyu@postobon.com.co,wmora@postobon.com.co,efzapata@postobon.com.co")</f>
        <v>wmazorra@postobon.com.co,aprmttoyu@postobon.com.co,aprmyu@postobon.com.co,wmora@postobon.com.co,efzapata@postobon.com.co</v>
      </c>
      <c r="Y153" s="5" t="str">
        <f ca="1">IFERROR(__xludf.DUMMYFUNCTION("""COMPUTED_VALUE"""),"wmazorra@postobon.com.co")</f>
        <v>wmazorra@postobon.com.co</v>
      </c>
      <c r="Z153" s="5" t="str">
        <f ca="1">IFERROR(__xludf.DUMMYFUNCTION("""COMPUTED_VALUE"""),"R3oyHsa3QIuqxUUUFOc5rw")</f>
        <v>R3oyHsa3QIuqxUUUFOc5rw</v>
      </c>
      <c r="AA153" s="5"/>
      <c r="AB153" s="5"/>
      <c r="AC153" s="5"/>
      <c r="AD153" s="5">
        <f ca="1">IFERROR(__xludf.DUMMYFUNCTION("""COMPUTED_VALUE"""),50)</f>
        <v>50</v>
      </c>
      <c r="AE153" s="5">
        <f ca="1">IFERROR(__xludf.DUMMYFUNCTION("""COMPUTED_VALUE"""),50)</f>
        <v>50</v>
      </c>
      <c r="AF153" s="5" t="b">
        <f ca="1">IFERROR(__xludf.DUMMYFUNCTION("""COMPUTED_VALUE"""),FALSE)</f>
        <v>0</v>
      </c>
      <c r="AG153" s="5" t="str">
        <f ca="1">IFERROR(__xludf.DUMMYFUNCTION("""COMPUTED_VALUE"""),"INSPECCIONES REALIZADAS")</f>
        <v>INSPECCIONES REALIZADAS</v>
      </c>
      <c r="AH153" s="5"/>
    </row>
    <row r="154" spans="1:34">
      <c r="A154" s="5" t="str">
        <f ca="1">IFERROR(__xludf.DUMMYFUNCTION("""COMPUTED_VALUE"""),"EQUIPOS PARA SERVICIOS INDUSTRIALES")</f>
        <v>EQUIPOS PARA SERVICIOS INDUSTRIALES</v>
      </c>
      <c r="B154" s="5">
        <f ca="1">IFERROR(__xludf.DUMMYFUNCTION("""COMPUTED_VALUE"""),659370)</f>
        <v>659370</v>
      </c>
      <c r="C154" s="5" t="str">
        <f ca="1">IFERROR(__xludf.DUMMYFUNCTION("""COMPUTED_VALUE"""),"CALDERA DE 300 BHP")</f>
        <v>CALDERA DE 300 BHP</v>
      </c>
      <c r="D154" s="5">
        <f ca="1">IFERROR(__xludf.DUMMYFUNCTION("""COMPUTED_VALUE"""),13247474)</f>
        <v>13247474</v>
      </c>
      <c r="E154" s="5" t="str">
        <f ca="1">IFERROR(__xludf.DUMMYFUNCTION("""COMPUTED_VALUE"""),"INSPECCION SEMANAL CALDERA DE 300 BHP")</f>
        <v>INSPECCION SEMANAL CALDERA DE 300 BHP</v>
      </c>
      <c r="F154" s="5" t="str">
        <f ca="1">IFERROR(__xludf.DUMMYFUNCTION("""COMPUTED_VALUE"""),"VALVULA MODULADORA")</f>
        <v>VALVULA MODULADORA</v>
      </c>
      <c r="G154" s="5" t="b">
        <f ca="1">IFERROR(__xludf.DUMMYFUNCTION("""COMPUTED_VALUE"""),TRUE)</f>
        <v>1</v>
      </c>
      <c r="H154" s="5"/>
      <c r="I154" s="5"/>
      <c r="J154" s="5">
        <f ca="1">IFERROR(__xludf.DUMMYFUNCTION("""COMPUTED_VALUE"""),13247474)</f>
        <v>13247474</v>
      </c>
      <c r="K154" s="5"/>
      <c r="L154" s="18">
        <f ca="1">IFERROR(__xludf.DUMMYFUNCTION("""COMPUTED_VALUE"""),45324)</f>
        <v>45324</v>
      </c>
      <c r="M154" s="18">
        <f ca="1">IFERROR(__xludf.DUMMYFUNCTION("""COMPUTED_VALUE"""),45324)</f>
        <v>45324</v>
      </c>
      <c r="N154" s="5" t="str">
        <f ca="1">IFERROR(__xludf.DUMMYFUNCTION("""COMPUTED_VALUE"""),"Valencia Hector")</f>
        <v>Valencia Hector</v>
      </c>
      <c r="O154" s="2">
        <f ca="1">IFERROR(__xludf.DUMMYFUNCTION("""COMPUTED_VALUE"""),0.007142857)</f>
        <v>7.1428569999999999E-3</v>
      </c>
      <c r="P154" s="5">
        <f ca="1">IFERROR(__xludf.DUMMYFUNCTION("""COMPUTED_VALUE"""),20015139)</f>
        <v>20015139</v>
      </c>
      <c r="Q154" s="5" t="str">
        <f ca="1">IFERROR(__xludf.DUMMYFUNCTION("""COMPUTED_VALUE"""),"A9Ja09oIujU")</f>
        <v>A9Ja09oIujU</v>
      </c>
      <c r="R154" s="5">
        <f ca="1">IFERROR(__xludf.DUMMYFUNCTION("""COMPUTED_VALUE"""),410)</f>
        <v>410</v>
      </c>
      <c r="S154" s="62">
        <f ca="1">IFERROR(__xludf.DUMMYFUNCTION("""COMPUTED_VALUE"""),0.007142857)</f>
        <v>7.1428569999999999E-3</v>
      </c>
      <c r="T154" s="63" t="str">
        <f ca="1">IFERROR(__xludf.DUMMYFUNCTION("""COMPUTED_VALUE"""),"https://storage.googleapis.com/glide-prod.appspot.com/uploads-v2/ly7o78grxPaC6KdgvbpS/pub/3aRdSog0vUtuqPE8AJKD.png")</f>
        <v>https://storage.googleapis.com/glide-prod.appspot.com/uploads-v2/ly7o78grxPaC6KdgvbpS/pub/3aRdSog0vUtuqPE8AJKD.png</v>
      </c>
      <c r="U154" s="5" t="str">
        <f ca="1">IFERROR(__xludf.DUMMYFUNCTION("""COMPUTED_VALUE"""),"EQUIPOS PARA SERVICIOS INDUSTRIALESCALDERA DE 300 BHP")</f>
        <v>EQUIPOS PARA SERVICIOS INDUSTRIALESCALDERA DE 300 BHP</v>
      </c>
      <c r="V154" s="5"/>
      <c r="W154" s="5" t="b">
        <f ca="1">IFERROR(__xludf.DUMMYFUNCTION("""COMPUTED_VALUE"""),TRUE)</f>
        <v>1</v>
      </c>
      <c r="X154" s="5" t="str">
        <f ca="1">IFERROR(__xludf.DUMMYFUNCTION("""COMPUTED_VALUE"""),"wmazorra@postobon.com.co,aprmttoyu@postobon.com.co,aprmyu@postobon.com.co,wmora@postobon.com.co,efzapata@postobon.com.co")</f>
        <v>wmazorra@postobon.com.co,aprmttoyu@postobon.com.co,aprmyu@postobon.com.co,wmora@postobon.com.co,efzapata@postobon.com.co</v>
      </c>
      <c r="Y154" s="5" t="str">
        <f ca="1">IFERROR(__xludf.DUMMYFUNCTION("""COMPUTED_VALUE"""),"wmazorra@postobon.com.co")</f>
        <v>wmazorra@postobon.com.co</v>
      </c>
      <c r="Z154" s="5" t="str">
        <f ca="1">IFERROR(__xludf.DUMMYFUNCTION("""COMPUTED_VALUE"""),"eyjtQKHtQlOwQUxZ8nA79g")</f>
        <v>eyjtQKHtQlOwQUxZ8nA79g</v>
      </c>
      <c r="AA154" s="5"/>
      <c r="AB154" s="5"/>
      <c r="AC154" s="5"/>
      <c r="AD154" s="5">
        <f ca="1">IFERROR(__xludf.DUMMYFUNCTION("""COMPUTED_VALUE"""),50)</f>
        <v>50</v>
      </c>
      <c r="AE154" s="5">
        <f ca="1">IFERROR(__xludf.DUMMYFUNCTION("""COMPUTED_VALUE"""),50)</f>
        <v>50</v>
      </c>
      <c r="AF154" s="5" t="b">
        <f ca="1">IFERROR(__xludf.DUMMYFUNCTION("""COMPUTED_VALUE"""),FALSE)</f>
        <v>0</v>
      </c>
      <c r="AG154" s="5" t="str">
        <f ca="1">IFERROR(__xludf.DUMMYFUNCTION("""COMPUTED_VALUE"""),"INSPECCIONES REALIZADAS")</f>
        <v>INSPECCIONES REALIZADAS</v>
      </c>
      <c r="AH154" s="5"/>
    </row>
    <row r="155" spans="1:34">
      <c r="A155" s="5" t="str">
        <f ca="1">IFERROR(__xludf.DUMMYFUNCTION("""COMPUTED_VALUE"""),"EQUIPOS PARA SERVICIOS INDUSTRIALES")</f>
        <v>EQUIPOS PARA SERVICIOS INDUSTRIALES</v>
      </c>
      <c r="B155" s="5">
        <f ca="1">IFERROR(__xludf.DUMMYFUNCTION("""COMPUTED_VALUE"""),659370)</f>
        <v>659370</v>
      </c>
      <c r="C155" s="5" t="str">
        <f ca="1">IFERROR(__xludf.DUMMYFUNCTION("""COMPUTED_VALUE"""),"CALDERA DE 300 BHP")</f>
        <v>CALDERA DE 300 BHP</v>
      </c>
      <c r="D155" s="5">
        <f ca="1">IFERROR(__xludf.DUMMYFUNCTION("""COMPUTED_VALUE"""),13247474)</f>
        <v>13247474</v>
      </c>
      <c r="E155" s="5" t="str">
        <f ca="1">IFERROR(__xludf.DUMMYFUNCTION("""COMPUTED_VALUE"""),"INSPECCION SEMANAL CALDERA DE 300 BHP")</f>
        <v>INSPECCION SEMANAL CALDERA DE 300 BHP</v>
      </c>
      <c r="F155" s="5" t="str">
        <f ca="1">IFERROR(__xludf.DUMMYFUNCTION("""COMPUTED_VALUE"""),"VALVULAS REGULADORAS GAS")</f>
        <v>VALVULAS REGULADORAS GAS</v>
      </c>
      <c r="G155" s="5" t="b">
        <f ca="1">IFERROR(__xludf.DUMMYFUNCTION("""COMPUTED_VALUE"""),TRUE)</f>
        <v>1</v>
      </c>
      <c r="H155" s="5"/>
      <c r="I155" s="5"/>
      <c r="J155" s="5">
        <f ca="1">IFERROR(__xludf.DUMMYFUNCTION("""COMPUTED_VALUE"""),13247474)</f>
        <v>13247474</v>
      </c>
      <c r="K155" s="5"/>
      <c r="L155" s="18">
        <f ca="1">IFERROR(__xludf.DUMMYFUNCTION("""COMPUTED_VALUE"""),45324)</f>
        <v>45324</v>
      </c>
      <c r="M155" s="18">
        <f ca="1">IFERROR(__xludf.DUMMYFUNCTION("""COMPUTED_VALUE"""),45324)</f>
        <v>45324</v>
      </c>
      <c r="N155" s="5" t="str">
        <f ca="1">IFERROR(__xludf.DUMMYFUNCTION("""COMPUTED_VALUE"""),"Valencia Hector")</f>
        <v>Valencia Hector</v>
      </c>
      <c r="O155" s="2">
        <f ca="1">IFERROR(__xludf.DUMMYFUNCTION("""COMPUTED_VALUE"""),0.007142857)</f>
        <v>7.1428569999999999E-3</v>
      </c>
      <c r="P155" s="5">
        <f ca="1">IFERROR(__xludf.DUMMYFUNCTION("""COMPUTED_VALUE"""),20015139)</f>
        <v>20015139</v>
      </c>
      <c r="Q155" s="5" t="str">
        <f ca="1">IFERROR(__xludf.DUMMYFUNCTION("""COMPUTED_VALUE"""),"AlOJ3WL5Hf0")</f>
        <v>AlOJ3WL5Hf0</v>
      </c>
      <c r="R155" s="5">
        <f ca="1">IFERROR(__xludf.DUMMYFUNCTION("""COMPUTED_VALUE"""),410)</f>
        <v>410</v>
      </c>
      <c r="S155" s="62">
        <f ca="1">IFERROR(__xludf.DUMMYFUNCTION("""COMPUTED_VALUE"""),0.007142857)</f>
        <v>7.1428569999999999E-3</v>
      </c>
      <c r="T155" s="63" t="str">
        <f ca="1">IFERROR(__xludf.DUMMYFUNCTION("""COMPUTED_VALUE"""),"https://storage.googleapis.com/glide-prod.appspot.com/uploads-v2/ly7o78grxPaC6KdgvbpS/pub/3aRdSog0vUtuqPE8AJKD.png")</f>
        <v>https://storage.googleapis.com/glide-prod.appspot.com/uploads-v2/ly7o78grxPaC6KdgvbpS/pub/3aRdSog0vUtuqPE8AJKD.png</v>
      </c>
      <c r="U155" s="5" t="str">
        <f ca="1">IFERROR(__xludf.DUMMYFUNCTION("""COMPUTED_VALUE"""),"EQUIPOS PARA SERVICIOS INDUSTRIALESCALDERA DE 300 BHP")</f>
        <v>EQUIPOS PARA SERVICIOS INDUSTRIALESCALDERA DE 300 BHP</v>
      </c>
      <c r="V155" s="5"/>
      <c r="W155" s="5" t="b">
        <f ca="1">IFERROR(__xludf.DUMMYFUNCTION("""COMPUTED_VALUE"""),TRUE)</f>
        <v>1</v>
      </c>
      <c r="X155" s="5" t="str">
        <f ca="1">IFERROR(__xludf.DUMMYFUNCTION("""COMPUTED_VALUE"""),"wmazorra@postobon.com.co,aprmttoyu@postobon.com.co,aprmyu@postobon.com.co,wmora@postobon.com.co,efzapata@postobon.com.co")</f>
        <v>wmazorra@postobon.com.co,aprmttoyu@postobon.com.co,aprmyu@postobon.com.co,wmora@postobon.com.co,efzapata@postobon.com.co</v>
      </c>
      <c r="Y155" s="5" t="str">
        <f ca="1">IFERROR(__xludf.DUMMYFUNCTION("""COMPUTED_VALUE"""),"wmazorra@postobon.com.co")</f>
        <v>wmazorra@postobon.com.co</v>
      </c>
      <c r="Z155" s="63" t="str">
        <f ca="1">IFERROR(__xludf.DUMMYFUNCTION("""COMPUTED_VALUE"""),"CvyokSnYSYmPwdpU5Lg.Kg")</f>
        <v>CvyokSnYSYmPwdpU5Lg.Kg</v>
      </c>
      <c r="AA155" s="5"/>
      <c r="AB155" s="5"/>
      <c r="AC155" s="5"/>
      <c r="AD155" s="5">
        <f ca="1">IFERROR(__xludf.DUMMYFUNCTION("""COMPUTED_VALUE"""),50)</f>
        <v>50</v>
      </c>
      <c r="AE155" s="5">
        <f ca="1">IFERROR(__xludf.DUMMYFUNCTION("""COMPUTED_VALUE"""),50)</f>
        <v>50</v>
      </c>
      <c r="AF155" s="5" t="b">
        <f ca="1">IFERROR(__xludf.DUMMYFUNCTION("""COMPUTED_VALUE"""),FALSE)</f>
        <v>0</v>
      </c>
      <c r="AG155" s="5" t="str">
        <f ca="1">IFERROR(__xludf.DUMMYFUNCTION("""COMPUTED_VALUE"""),"INSPECCIONES REALIZADAS")</f>
        <v>INSPECCIONES REALIZADAS</v>
      </c>
      <c r="AH155" s="5"/>
    </row>
    <row r="156" spans="1:34">
      <c r="A156" s="5" t="str">
        <f ca="1">IFERROR(__xludf.DUMMYFUNCTION("""COMPUTED_VALUE"""),"EQUIPOS PARA SERVICIOS INDUSTRIALES")</f>
        <v>EQUIPOS PARA SERVICIOS INDUSTRIALES</v>
      </c>
      <c r="B156" s="5">
        <f ca="1">IFERROR(__xludf.DUMMYFUNCTION("""COMPUTED_VALUE"""),659370)</f>
        <v>659370</v>
      </c>
      <c r="C156" s="5" t="str">
        <f ca="1">IFERROR(__xludf.DUMMYFUNCTION("""COMPUTED_VALUE"""),"CALDERA DE 300 BHP")</f>
        <v>CALDERA DE 300 BHP</v>
      </c>
      <c r="D156" s="5">
        <f ca="1">IFERROR(__xludf.DUMMYFUNCTION("""COMPUTED_VALUE"""),13247474)</f>
        <v>13247474</v>
      </c>
      <c r="E156" s="5" t="str">
        <f ca="1">IFERROR(__xludf.DUMMYFUNCTION("""COMPUTED_VALUE"""),"INSPECCION SEMANAL CALDERA DE 300 BHP")</f>
        <v>INSPECCION SEMANAL CALDERA DE 300 BHP</v>
      </c>
      <c r="F156" s="5" t="str">
        <f ca="1">IFERROR(__xludf.DUMMYFUNCTION("""COMPUTED_VALUE"""),"QUEMADOR")</f>
        <v>QUEMADOR</v>
      </c>
      <c r="G156" s="5" t="b">
        <f ca="1">IFERROR(__xludf.DUMMYFUNCTION("""COMPUTED_VALUE"""),TRUE)</f>
        <v>1</v>
      </c>
      <c r="H156" s="5"/>
      <c r="I156" s="5"/>
      <c r="J156" s="5">
        <f ca="1">IFERROR(__xludf.DUMMYFUNCTION("""COMPUTED_VALUE"""),13247474)</f>
        <v>13247474</v>
      </c>
      <c r="K156" s="5"/>
      <c r="L156" s="18">
        <f ca="1">IFERROR(__xludf.DUMMYFUNCTION("""COMPUTED_VALUE"""),45324)</f>
        <v>45324</v>
      </c>
      <c r="M156" s="18">
        <f ca="1">IFERROR(__xludf.DUMMYFUNCTION("""COMPUTED_VALUE"""),45324)</f>
        <v>45324</v>
      </c>
      <c r="N156" s="5" t="str">
        <f ca="1">IFERROR(__xludf.DUMMYFUNCTION("""COMPUTED_VALUE"""),"Valencia Hector")</f>
        <v>Valencia Hector</v>
      </c>
      <c r="O156" s="2">
        <f ca="1">IFERROR(__xludf.DUMMYFUNCTION("""COMPUTED_VALUE"""),0.007142857)</f>
        <v>7.1428569999999999E-3</v>
      </c>
      <c r="P156" s="5">
        <f ca="1">IFERROR(__xludf.DUMMYFUNCTION("""COMPUTED_VALUE"""),20015139)</f>
        <v>20015139</v>
      </c>
      <c r="Q156" s="5" t="str">
        <f ca="1">IFERROR(__xludf.DUMMYFUNCTION("""COMPUTED_VALUE"""),"ZLM22x5UySs")</f>
        <v>ZLM22x5UySs</v>
      </c>
      <c r="R156" s="5">
        <f ca="1">IFERROR(__xludf.DUMMYFUNCTION("""COMPUTED_VALUE"""),410)</f>
        <v>410</v>
      </c>
      <c r="S156" s="62">
        <f ca="1">IFERROR(__xludf.DUMMYFUNCTION("""COMPUTED_VALUE"""),0.007142857)</f>
        <v>7.1428569999999999E-3</v>
      </c>
      <c r="T156" s="63" t="str">
        <f ca="1">IFERROR(__xludf.DUMMYFUNCTION("""COMPUTED_VALUE"""),"https://storage.googleapis.com/glide-prod.appspot.com/uploads-v2/ly7o78grxPaC6KdgvbpS/pub/3aRdSog0vUtuqPE8AJKD.png")</f>
        <v>https://storage.googleapis.com/glide-prod.appspot.com/uploads-v2/ly7o78grxPaC6KdgvbpS/pub/3aRdSog0vUtuqPE8AJKD.png</v>
      </c>
      <c r="U156" s="5" t="str">
        <f ca="1">IFERROR(__xludf.DUMMYFUNCTION("""COMPUTED_VALUE"""),"EQUIPOS PARA SERVICIOS INDUSTRIALESCALDERA DE 300 BHP")</f>
        <v>EQUIPOS PARA SERVICIOS INDUSTRIALESCALDERA DE 300 BHP</v>
      </c>
      <c r="V156" s="5"/>
      <c r="W156" s="5" t="b">
        <f ca="1">IFERROR(__xludf.DUMMYFUNCTION("""COMPUTED_VALUE"""),TRUE)</f>
        <v>1</v>
      </c>
      <c r="X156" s="5" t="str">
        <f ca="1">IFERROR(__xludf.DUMMYFUNCTION("""COMPUTED_VALUE"""),"wmazorra@postobon.com.co,aprmttoyu@postobon.com.co,aprmyu@postobon.com.co,wmora@postobon.com.co,efzapata@postobon.com.co")</f>
        <v>wmazorra@postobon.com.co,aprmttoyu@postobon.com.co,aprmyu@postobon.com.co,wmora@postobon.com.co,efzapata@postobon.com.co</v>
      </c>
      <c r="Y156" s="5" t="str">
        <f ca="1">IFERROR(__xludf.DUMMYFUNCTION("""COMPUTED_VALUE"""),"wmazorra@postobon.com.co")</f>
        <v>wmazorra@postobon.com.co</v>
      </c>
      <c r="Z156" s="5" t="str">
        <f ca="1">IFERROR(__xludf.DUMMYFUNCTION("""COMPUTED_VALUE"""),"iW7bN9yeT1CGX4GgMEyjzQ")</f>
        <v>iW7bN9yeT1CGX4GgMEyjzQ</v>
      </c>
      <c r="AA156" s="5"/>
      <c r="AB156" s="5"/>
      <c r="AC156" s="5"/>
      <c r="AD156" s="5">
        <f ca="1">IFERROR(__xludf.DUMMYFUNCTION("""COMPUTED_VALUE"""),50)</f>
        <v>50</v>
      </c>
      <c r="AE156" s="5">
        <f ca="1">IFERROR(__xludf.DUMMYFUNCTION("""COMPUTED_VALUE"""),50)</f>
        <v>50</v>
      </c>
      <c r="AF156" s="5" t="b">
        <f ca="1">IFERROR(__xludf.DUMMYFUNCTION("""COMPUTED_VALUE"""),FALSE)</f>
        <v>0</v>
      </c>
      <c r="AG156" s="5" t="str">
        <f ca="1">IFERROR(__xludf.DUMMYFUNCTION("""COMPUTED_VALUE"""),"INSPECCIONES REALIZADAS")</f>
        <v>INSPECCIONES REALIZADAS</v>
      </c>
      <c r="AH156" s="5"/>
    </row>
    <row r="157" spans="1:34">
      <c r="A157" s="5" t="str">
        <f ca="1">IFERROR(__xludf.DUMMYFUNCTION("""COMPUTED_VALUE"""),"EQUIPOS PARA SERVICIOS INDUSTRIALES")</f>
        <v>EQUIPOS PARA SERVICIOS INDUSTRIALES</v>
      </c>
      <c r="B157" s="5">
        <f ca="1">IFERROR(__xludf.DUMMYFUNCTION("""COMPUTED_VALUE"""),659370)</f>
        <v>659370</v>
      </c>
      <c r="C157" s="5" t="str">
        <f ca="1">IFERROR(__xludf.DUMMYFUNCTION("""COMPUTED_VALUE"""),"CALDERA DE 300 BHP")</f>
        <v>CALDERA DE 300 BHP</v>
      </c>
      <c r="D157" s="5">
        <f ca="1">IFERROR(__xludf.DUMMYFUNCTION("""COMPUTED_VALUE"""),13247474)</f>
        <v>13247474</v>
      </c>
      <c r="E157" s="5" t="str">
        <f ca="1">IFERROR(__xludf.DUMMYFUNCTION("""COMPUTED_VALUE"""),"INSPECCION SEMANAL CALDERA DE 300 BHP")</f>
        <v>INSPECCION SEMANAL CALDERA DE 300 BHP</v>
      </c>
      <c r="F157" s="5" t="str">
        <f ca="1">IFERROR(__xludf.DUMMYFUNCTION("""COMPUTED_VALUE"""),"TABLERO DE CONTROL/CLIMATIZADOR")</f>
        <v>TABLERO DE CONTROL/CLIMATIZADOR</v>
      </c>
      <c r="G157" s="5" t="b">
        <f ca="1">IFERROR(__xludf.DUMMYFUNCTION("""COMPUTED_VALUE"""),TRUE)</f>
        <v>1</v>
      </c>
      <c r="H157" s="5"/>
      <c r="I157" s="5"/>
      <c r="J157" s="5">
        <f ca="1">IFERROR(__xludf.DUMMYFUNCTION("""COMPUTED_VALUE"""),13247474)</f>
        <v>13247474</v>
      </c>
      <c r="K157" s="5"/>
      <c r="L157" s="18">
        <f ca="1">IFERROR(__xludf.DUMMYFUNCTION("""COMPUTED_VALUE"""),45324)</f>
        <v>45324</v>
      </c>
      <c r="M157" s="18">
        <f ca="1">IFERROR(__xludf.DUMMYFUNCTION("""COMPUTED_VALUE"""),45324)</f>
        <v>45324</v>
      </c>
      <c r="N157" s="5" t="str">
        <f ca="1">IFERROR(__xludf.DUMMYFUNCTION("""COMPUTED_VALUE"""),"Valencia Hector")</f>
        <v>Valencia Hector</v>
      </c>
      <c r="O157" s="2">
        <f ca="1">IFERROR(__xludf.DUMMYFUNCTION("""COMPUTED_VALUE"""),0.007142857)</f>
        <v>7.1428569999999999E-3</v>
      </c>
      <c r="P157" s="5">
        <f ca="1">IFERROR(__xludf.DUMMYFUNCTION("""COMPUTED_VALUE"""),20015139)</f>
        <v>20015139</v>
      </c>
      <c r="Q157" s="5" t="str">
        <f ca="1">IFERROR(__xludf.DUMMYFUNCTION("""COMPUTED_VALUE"""),"HSnae48BHWo")</f>
        <v>HSnae48BHWo</v>
      </c>
      <c r="R157" s="5">
        <f ca="1">IFERROR(__xludf.DUMMYFUNCTION("""COMPUTED_VALUE"""),410)</f>
        <v>410</v>
      </c>
      <c r="S157" s="62">
        <f ca="1">IFERROR(__xludf.DUMMYFUNCTION("""COMPUTED_VALUE"""),0.007142857)</f>
        <v>7.1428569999999999E-3</v>
      </c>
      <c r="T157" s="63" t="str">
        <f ca="1">IFERROR(__xludf.DUMMYFUNCTION("""COMPUTED_VALUE"""),"https://storage.googleapis.com/glide-prod.appspot.com/uploads-v2/ly7o78grxPaC6KdgvbpS/pub/3aRdSog0vUtuqPE8AJKD.png")</f>
        <v>https://storage.googleapis.com/glide-prod.appspot.com/uploads-v2/ly7o78grxPaC6KdgvbpS/pub/3aRdSog0vUtuqPE8AJKD.png</v>
      </c>
      <c r="U157" s="5" t="str">
        <f ca="1">IFERROR(__xludf.DUMMYFUNCTION("""COMPUTED_VALUE"""),"EQUIPOS PARA SERVICIOS INDUSTRIALESCALDERA DE 300 BHP")</f>
        <v>EQUIPOS PARA SERVICIOS INDUSTRIALESCALDERA DE 300 BHP</v>
      </c>
      <c r="V157" s="5"/>
      <c r="W157" s="5" t="b">
        <f ca="1">IFERROR(__xludf.DUMMYFUNCTION("""COMPUTED_VALUE"""),TRUE)</f>
        <v>1</v>
      </c>
      <c r="X157" s="5" t="str">
        <f ca="1">IFERROR(__xludf.DUMMYFUNCTION("""COMPUTED_VALUE"""),"wmazorra@postobon.com.co,aprmttoyu@postobon.com.co,aprmyu@postobon.com.co,wmora@postobon.com.co,efzapata@postobon.com.co")</f>
        <v>wmazorra@postobon.com.co,aprmttoyu@postobon.com.co,aprmyu@postobon.com.co,wmora@postobon.com.co,efzapata@postobon.com.co</v>
      </c>
      <c r="Y157" s="5" t="str">
        <f ca="1">IFERROR(__xludf.DUMMYFUNCTION("""COMPUTED_VALUE"""),"wmazorra@postobon.com.co")</f>
        <v>wmazorra@postobon.com.co</v>
      </c>
      <c r="Z157" s="5" t="str">
        <f ca="1">IFERROR(__xludf.DUMMYFUNCTION("""COMPUTED_VALUE"""),"G20j09qNTkyqpnrQFC9cYA")</f>
        <v>G20j09qNTkyqpnrQFC9cYA</v>
      </c>
      <c r="AA157" s="5"/>
      <c r="AB157" s="5"/>
      <c r="AC157" s="5"/>
      <c r="AD157" s="5">
        <f ca="1">IFERROR(__xludf.DUMMYFUNCTION("""COMPUTED_VALUE"""),50)</f>
        <v>50</v>
      </c>
      <c r="AE157" s="5">
        <f ca="1">IFERROR(__xludf.DUMMYFUNCTION("""COMPUTED_VALUE"""),50)</f>
        <v>50</v>
      </c>
      <c r="AF157" s="5" t="b">
        <f ca="1">IFERROR(__xludf.DUMMYFUNCTION("""COMPUTED_VALUE"""),FALSE)</f>
        <v>0</v>
      </c>
      <c r="AG157" s="5" t="str">
        <f ca="1">IFERROR(__xludf.DUMMYFUNCTION("""COMPUTED_VALUE"""),"INSPECCIONES REALIZADAS")</f>
        <v>INSPECCIONES REALIZADAS</v>
      </c>
      <c r="AH157" s="5"/>
    </row>
    <row r="158" spans="1:34">
      <c r="A158" s="5" t="str">
        <f ca="1">IFERROR(__xludf.DUMMYFUNCTION("""COMPUTED_VALUE"""),"LINEA PET CSD - LINEA 10")</f>
        <v>LINEA PET CSD - LINEA 10</v>
      </c>
      <c r="B158" s="5">
        <f ca="1">IFERROR(__xludf.DUMMYFUNCTION("""COMPUTED_VALUE"""),829011)</f>
        <v>829011</v>
      </c>
      <c r="C158" s="5" t="str">
        <f ca="1">IFERROR(__xludf.DUMMYFUNCTION("""COMPUTED_VALUE"""),"CARBOENFRIADOR DE BEBIDAS")</f>
        <v>CARBOENFRIADOR DE BEBIDAS</v>
      </c>
      <c r="D158" s="5">
        <f ca="1">IFERROR(__xludf.DUMMYFUNCTION("""COMPUTED_VALUE"""),13247593)</f>
        <v>13247593</v>
      </c>
      <c r="E158" s="5" t="str">
        <f ca="1">IFERROR(__xludf.DUMMYFUNCTION("""COMPUTED_VALUE"""),"INSPECCION SEMANAL CARBOENFRIADOR DE BEB")</f>
        <v>INSPECCION SEMANAL CARBOENFRIADOR DE BEB</v>
      </c>
      <c r="F158" s="5" t="str">
        <f ca="1">IFERROR(__xludf.DUMMYFUNCTION("""COMPUTED_VALUE"""),"ESTADO INSTRUMENTOS")</f>
        <v>ESTADO INSTRUMENTOS</v>
      </c>
      <c r="G158" s="5" t="b">
        <f ca="1">IFERROR(__xludf.DUMMYFUNCTION("""COMPUTED_VALUE"""),TRUE)</f>
        <v>1</v>
      </c>
      <c r="H158" s="5" t="str">
        <f ca="1">IFERROR(__xludf.DUMMYFUNCTION("""COMPUTED_VALUE"""),"Válvula Q185 refrigeración simulada por actuador pendiente para cambio ")</f>
        <v xml:space="preserve">Válvula Q185 refrigeración simulada por actuador pendiente para cambio </v>
      </c>
      <c r="I158" s="5"/>
      <c r="J158" s="5">
        <f ca="1">IFERROR(__xludf.DUMMYFUNCTION("""COMPUTED_VALUE"""),13247593)</f>
        <v>13247593</v>
      </c>
      <c r="K158" s="5"/>
      <c r="L158" s="18">
        <f ca="1">IFERROR(__xludf.DUMMYFUNCTION("""COMPUTED_VALUE"""),45324)</f>
        <v>45324</v>
      </c>
      <c r="M158" s="18">
        <f ca="1">IFERROR(__xludf.DUMMYFUNCTION("""COMPUTED_VALUE"""),45324)</f>
        <v>45324</v>
      </c>
      <c r="N158" s="5" t="str">
        <f ca="1">IFERROR(__xludf.DUMMYFUNCTION("""COMPUTED_VALUE"""),"Correa Jose Antonio")</f>
        <v>Correa Jose Antonio</v>
      </c>
      <c r="O158" s="2">
        <f ca="1">IFERROR(__xludf.DUMMYFUNCTION("""COMPUTED_VALUE"""),0.011111111)</f>
        <v>1.1111111E-2</v>
      </c>
      <c r="P158" s="5">
        <f ca="1">IFERROR(__xludf.DUMMYFUNCTION("""COMPUTED_VALUE"""),20022138)</f>
        <v>20022138</v>
      </c>
      <c r="Q158" s="5" t="str">
        <f ca="1">IFERROR(__xludf.DUMMYFUNCTION("""COMPUTED_VALUE"""),"wHZX4WxX_LE")</f>
        <v>wHZX4WxX_LE</v>
      </c>
      <c r="R158" s="5">
        <f ca="1">IFERROR(__xludf.DUMMYFUNCTION("""COMPUTED_VALUE"""),410)</f>
        <v>410</v>
      </c>
      <c r="S158" s="62">
        <f ca="1">IFERROR(__xludf.DUMMYFUNCTION("""COMPUTED_VALUE"""),0.011111111)</f>
        <v>1.1111111E-2</v>
      </c>
      <c r="T158" s="63" t="str">
        <f ca="1">IFERROR(__xludf.DUMMYFUNCTION("""COMPUTED_VALUE"""),"https://storage.googleapis.com/glide-prod.appspot.com/uploads-v2/ly7o78grxPaC6KdgvbpS/pub/3aRdSog0vUtuqPE8AJKD.png")</f>
        <v>https://storage.googleapis.com/glide-prod.appspot.com/uploads-v2/ly7o78grxPaC6KdgvbpS/pub/3aRdSog0vUtuqPE8AJKD.png</v>
      </c>
      <c r="U158" s="5" t="str">
        <f ca="1">IFERROR(__xludf.DUMMYFUNCTION("""COMPUTED_VALUE"""),"LINEA PET CSD - LINEA 10CARBOENFRIADOR DE BEBIDAS")</f>
        <v>LINEA PET CSD - LINEA 10CARBOENFRIADOR DE BEBIDAS</v>
      </c>
      <c r="V158" s="5"/>
      <c r="W158" s="5" t="b">
        <f ca="1">IFERROR(__xludf.DUMMYFUNCTION("""COMPUTED_VALUE"""),TRUE)</f>
        <v>1</v>
      </c>
      <c r="X158" s="5" t="str">
        <f ca="1">IFERROR(__xludf.DUMMYFUNCTION("""COMPUTED_VALUE"""),"wmazorra@postobon.com.co,aprmttoyu@postobon.com.co,aprmyu@postobon.com.co,wmora@postobon.com.co,efzapata@postobon.com.co")</f>
        <v>wmazorra@postobon.com.co,aprmttoyu@postobon.com.co,aprmyu@postobon.com.co,wmora@postobon.com.co,efzapata@postobon.com.co</v>
      </c>
      <c r="Y158" s="5" t="str">
        <f ca="1">IFERROR(__xludf.DUMMYFUNCTION("""COMPUTED_VALUE"""),"wmazorra@postobon.com.co")</f>
        <v>wmazorra@postobon.com.co</v>
      </c>
      <c r="Z158" s="5" t="str">
        <f ca="1">IFERROR(__xludf.DUMMYFUNCTION("""COMPUTED_VALUE"""),"GeDhzHkSSIapFANNtfBgvQ")</f>
        <v>GeDhzHkSSIapFANNtfBgvQ</v>
      </c>
      <c r="AA158" s="5"/>
      <c r="AB158" s="5"/>
      <c r="AC158" s="5"/>
      <c r="AD158" s="5">
        <f ca="1">IFERROR(__xludf.DUMMYFUNCTION("""COMPUTED_VALUE"""),9)</f>
        <v>9</v>
      </c>
      <c r="AE158" s="5">
        <f ca="1">IFERROR(__xludf.DUMMYFUNCTION("""COMPUTED_VALUE"""),9)</f>
        <v>9</v>
      </c>
      <c r="AF158" s="5" t="b">
        <f ca="1">IFERROR(__xludf.DUMMYFUNCTION("""COMPUTED_VALUE"""),FALSE)</f>
        <v>0</v>
      </c>
      <c r="AG158" s="5" t="str">
        <f ca="1">IFERROR(__xludf.DUMMYFUNCTION("""COMPUTED_VALUE"""),"INSPECCIONES REALIZADAS")</f>
        <v>INSPECCIONES REALIZADAS</v>
      </c>
      <c r="AH158" s="5"/>
    </row>
    <row r="159" spans="1:34">
      <c r="A159" s="5" t="str">
        <f ca="1">IFERROR(__xludf.DUMMYFUNCTION("""COMPUTED_VALUE"""),"LINEA PET CSD - LINEA 10")</f>
        <v>LINEA PET CSD - LINEA 10</v>
      </c>
      <c r="B159" s="5">
        <f ca="1">IFERROR(__xludf.DUMMYFUNCTION("""COMPUTED_VALUE"""),829011)</f>
        <v>829011</v>
      </c>
      <c r="C159" s="5" t="str">
        <f ca="1">IFERROR(__xludf.DUMMYFUNCTION("""COMPUTED_VALUE"""),"CARBOENFRIADOR DE BEBIDAS")</f>
        <v>CARBOENFRIADOR DE BEBIDAS</v>
      </c>
      <c r="D159" s="5">
        <f ca="1">IFERROR(__xludf.DUMMYFUNCTION("""COMPUTED_VALUE"""),13247593)</f>
        <v>13247593</v>
      </c>
      <c r="E159" s="5" t="str">
        <f ca="1">IFERROR(__xludf.DUMMYFUNCTION("""COMPUTED_VALUE"""),"INSPECCION SEMANAL CARBOENFRIADOR DE BEB")</f>
        <v>INSPECCION SEMANAL CARBOENFRIADOR DE BEB</v>
      </c>
      <c r="F159" s="5" t="str">
        <f ca="1">IFERROR(__xludf.DUMMYFUNCTION("""COMPUTED_VALUE"""),"ESCAPES FLUIDOS(AIRE,CO2,AGUA)")</f>
        <v>ESCAPES FLUIDOS(AIRE,CO2,AGUA)</v>
      </c>
      <c r="G159" s="5" t="b">
        <f ca="1">IFERROR(__xludf.DUMMYFUNCTION("""COMPUTED_VALUE"""),TRUE)</f>
        <v>1</v>
      </c>
      <c r="H159" s="5" t="str">
        <f ca="1">IFERROR(__xludf.DUMMYFUNCTION("""COMPUTED_VALUE"""),"Válvula Q104 entrada tanque agua con fuga ")</f>
        <v xml:space="preserve">Válvula Q104 entrada tanque agua con fuga </v>
      </c>
      <c r="I159" s="5"/>
      <c r="J159" s="5">
        <f ca="1">IFERROR(__xludf.DUMMYFUNCTION("""COMPUTED_VALUE"""),13247593)</f>
        <v>13247593</v>
      </c>
      <c r="K159" s="5"/>
      <c r="L159" s="18">
        <f ca="1">IFERROR(__xludf.DUMMYFUNCTION("""COMPUTED_VALUE"""),45324)</f>
        <v>45324</v>
      </c>
      <c r="M159" s="18">
        <f ca="1">IFERROR(__xludf.DUMMYFUNCTION("""COMPUTED_VALUE"""),45324)</f>
        <v>45324</v>
      </c>
      <c r="N159" s="5" t="str">
        <f ca="1">IFERROR(__xludf.DUMMYFUNCTION("""COMPUTED_VALUE"""),"Correa Jose Antonio")</f>
        <v>Correa Jose Antonio</v>
      </c>
      <c r="O159" s="2">
        <f ca="1">IFERROR(__xludf.DUMMYFUNCTION("""COMPUTED_VALUE"""),0.011111111)</f>
        <v>1.1111111E-2</v>
      </c>
      <c r="P159" s="5">
        <f ca="1">IFERROR(__xludf.DUMMYFUNCTION("""COMPUTED_VALUE"""),20022138)</f>
        <v>20022138</v>
      </c>
      <c r="Q159" s="5" t="str">
        <f ca="1">IFERROR(__xludf.DUMMYFUNCTION("""COMPUTED_VALUE"""),"o15nt1Muk2Q")</f>
        <v>o15nt1Muk2Q</v>
      </c>
      <c r="R159" s="5">
        <f ca="1">IFERROR(__xludf.DUMMYFUNCTION("""COMPUTED_VALUE"""),410)</f>
        <v>410</v>
      </c>
      <c r="S159" s="62">
        <f ca="1">IFERROR(__xludf.DUMMYFUNCTION("""COMPUTED_VALUE"""),0.011111111)</f>
        <v>1.1111111E-2</v>
      </c>
      <c r="T159" s="63" t="str">
        <f ca="1">IFERROR(__xludf.DUMMYFUNCTION("""COMPUTED_VALUE"""),"https://storage.googleapis.com/glide-prod.appspot.com/uploads-v2/ly7o78grxPaC6KdgvbpS/pub/3aRdSog0vUtuqPE8AJKD.png")</f>
        <v>https://storage.googleapis.com/glide-prod.appspot.com/uploads-v2/ly7o78grxPaC6KdgvbpS/pub/3aRdSog0vUtuqPE8AJKD.png</v>
      </c>
      <c r="U159" s="5" t="str">
        <f ca="1">IFERROR(__xludf.DUMMYFUNCTION("""COMPUTED_VALUE"""),"LINEA PET CSD - LINEA 10CARBOENFRIADOR DE BEBIDAS")</f>
        <v>LINEA PET CSD - LINEA 10CARBOENFRIADOR DE BEBIDAS</v>
      </c>
      <c r="V159" s="5"/>
      <c r="W159" s="5" t="b">
        <f ca="1">IFERROR(__xludf.DUMMYFUNCTION("""COMPUTED_VALUE"""),TRUE)</f>
        <v>1</v>
      </c>
      <c r="X159" s="5" t="str">
        <f ca="1">IFERROR(__xludf.DUMMYFUNCTION("""COMPUTED_VALUE"""),"wmazorra@postobon.com.co,aprmttoyu@postobon.com.co,aprmyu@postobon.com.co,wmora@postobon.com.co,efzapata@postobon.com.co")</f>
        <v>wmazorra@postobon.com.co,aprmttoyu@postobon.com.co,aprmyu@postobon.com.co,wmora@postobon.com.co,efzapata@postobon.com.co</v>
      </c>
      <c r="Y159" s="5" t="str">
        <f ca="1">IFERROR(__xludf.DUMMYFUNCTION("""COMPUTED_VALUE"""),"wmazorra@postobon.com.co")</f>
        <v>wmazorra@postobon.com.co</v>
      </c>
      <c r="Z159" s="5" t="str">
        <f ca="1">IFERROR(__xludf.DUMMYFUNCTION("""COMPUTED_VALUE"""),"y12zyiMPTWCMwJ1YuiFJJg")</f>
        <v>y12zyiMPTWCMwJ1YuiFJJg</v>
      </c>
      <c r="AA159" s="5"/>
      <c r="AB159" s="5"/>
      <c r="AC159" s="5"/>
      <c r="AD159" s="5">
        <f ca="1">IFERROR(__xludf.DUMMYFUNCTION("""COMPUTED_VALUE"""),9)</f>
        <v>9</v>
      </c>
      <c r="AE159" s="5">
        <f ca="1">IFERROR(__xludf.DUMMYFUNCTION("""COMPUTED_VALUE"""),9)</f>
        <v>9</v>
      </c>
      <c r="AF159" s="5" t="b">
        <f ca="1">IFERROR(__xludf.DUMMYFUNCTION("""COMPUTED_VALUE"""),FALSE)</f>
        <v>0</v>
      </c>
      <c r="AG159" s="5" t="str">
        <f ca="1">IFERROR(__xludf.DUMMYFUNCTION("""COMPUTED_VALUE"""),"INSPECCIONES REALIZADAS")</f>
        <v>INSPECCIONES REALIZADAS</v>
      </c>
      <c r="AH159" s="5"/>
    </row>
    <row r="160" spans="1:34">
      <c r="A160" s="5" t="str">
        <f ca="1">IFERROR(__xludf.DUMMYFUNCTION("""COMPUTED_VALUE"""),"LINEA PET CSD - LINEA 10")</f>
        <v>LINEA PET CSD - LINEA 10</v>
      </c>
      <c r="B160" s="5">
        <f ca="1">IFERROR(__xludf.DUMMYFUNCTION("""COMPUTED_VALUE"""),829011)</f>
        <v>829011</v>
      </c>
      <c r="C160" s="5" t="str">
        <f ca="1">IFERROR(__xludf.DUMMYFUNCTION("""COMPUTED_VALUE"""),"CARBOENFRIADOR DE BEBIDAS")</f>
        <v>CARBOENFRIADOR DE BEBIDAS</v>
      </c>
      <c r="D160" s="5">
        <f ca="1">IFERROR(__xludf.DUMMYFUNCTION("""COMPUTED_VALUE"""),13247593)</f>
        <v>13247593</v>
      </c>
      <c r="E160" s="5" t="str">
        <f ca="1">IFERROR(__xludf.DUMMYFUNCTION("""COMPUTED_VALUE"""),"INSPECCION SEMANAL CARBOENFRIADOR DE BEB")</f>
        <v>INSPECCION SEMANAL CARBOENFRIADOR DE BEB</v>
      </c>
      <c r="F160" s="5" t="str">
        <f ca="1">IFERROR(__xludf.DUMMYFUNCTION("""COMPUTED_VALUE"""),"ESTADO TUBERIA")</f>
        <v>ESTADO TUBERIA</v>
      </c>
      <c r="G160" s="5" t="b">
        <f ca="1">IFERROR(__xludf.DUMMYFUNCTION("""COMPUTED_VALUE"""),TRUE)</f>
        <v>1</v>
      </c>
      <c r="H160" s="5"/>
      <c r="I160" s="5"/>
      <c r="J160" s="5">
        <f ca="1">IFERROR(__xludf.DUMMYFUNCTION("""COMPUTED_VALUE"""),13247593)</f>
        <v>13247593</v>
      </c>
      <c r="K160" s="5"/>
      <c r="L160" s="18">
        <f ca="1">IFERROR(__xludf.DUMMYFUNCTION("""COMPUTED_VALUE"""),45324)</f>
        <v>45324</v>
      </c>
      <c r="M160" s="18">
        <f ca="1">IFERROR(__xludf.DUMMYFUNCTION("""COMPUTED_VALUE"""),45324)</f>
        <v>45324</v>
      </c>
      <c r="N160" s="5" t="str">
        <f ca="1">IFERROR(__xludf.DUMMYFUNCTION("""COMPUTED_VALUE"""),"Correa Jose Antonio")</f>
        <v>Correa Jose Antonio</v>
      </c>
      <c r="O160" s="2">
        <f ca="1">IFERROR(__xludf.DUMMYFUNCTION("""COMPUTED_VALUE"""),0.011111111)</f>
        <v>1.1111111E-2</v>
      </c>
      <c r="P160" s="5">
        <f ca="1">IFERROR(__xludf.DUMMYFUNCTION("""COMPUTED_VALUE"""),20022138)</f>
        <v>20022138</v>
      </c>
      <c r="Q160" s="5" t="str">
        <f ca="1">IFERROR(__xludf.DUMMYFUNCTION("""COMPUTED_VALUE"""),"FpvShD1GVQU")</f>
        <v>FpvShD1GVQU</v>
      </c>
      <c r="R160" s="5">
        <f ca="1">IFERROR(__xludf.DUMMYFUNCTION("""COMPUTED_VALUE"""),410)</f>
        <v>410</v>
      </c>
      <c r="S160" s="62">
        <f ca="1">IFERROR(__xludf.DUMMYFUNCTION("""COMPUTED_VALUE"""),0.011111111)</f>
        <v>1.1111111E-2</v>
      </c>
      <c r="T160" s="63" t="str">
        <f ca="1">IFERROR(__xludf.DUMMYFUNCTION("""COMPUTED_VALUE"""),"https://storage.googleapis.com/glide-prod.appspot.com/uploads-v2/ly7o78grxPaC6KdgvbpS/pub/3aRdSog0vUtuqPE8AJKD.png")</f>
        <v>https://storage.googleapis.com/glide-prod.appspot.com/uploads-v2/ly7o78grxPaC6KdgvbpS/pub/3aRdSog0vUtuqPE8AJKD.png</v>
      </c>
      <c r="U160" s="5" t="str">
        <f ca="1">IFERROR(__xludf.DUMMYFUNCTION("""COMPUTED_VALUE"""),"LINEA PET CSD - LINEA 10CARBOENFRIADOR DE BEBIDAS")</f>
        <v>LINEA PET CSD - LINEA 10CARBOENFRIADOR DE BEBIDAS</v>
      </c>
      <c r="V160" s="5"/>
      <c r="W160" s="5" t="b">
        <f ca="1">IFERROR(__xludf.DUMMYFUNCTION("""COMPUTED_VALUE"""),TRUE)</f>
        <v>1</v>
      </c>
      <c r="X160" s="5" t="str">
        <f ca="1">IFERROR(__xludf.DUMMYFUNCTION("""COMPUTED_VALUE"""),"wmazorra@postobon.com.co,aprmttoyu@postobon.com.co,aprmyu@postobon.com.co,wmora@postobon.com.co,efzapata@postobon.com.co")</f>
        <v>wmazorra@postobon.com.co,aprmttoyu@postobon.com.co,aprmyu@postobon.com.co,wmora@postobon.com.co,efzapata@postobon.com.co</v>
      </c>
      <c r="Y160" s="5" t="str">
        <f ca="1">IFERROR(__xludf.DUMMYFUNCTION("""COMPUTED_VALUE"""),"wmazorra@postobon.com.co")</f>
        <v>wmazorra@postobon.com.co</v>
      </c>
      <c r="Z160" s="5" t="str">
        <f ca="1">IFERROR(__xludf.DUMMYFUNCTION("""COMPUTED_VALUE"""),"u1FQZongTwybOhfYCV97Gw")</f>
        <v>u1FQZongTwybOhfYCV97Gw</v>
      </c>
      <c r="AA160" s="5"/>
      <c r="AB160" s="5"/>
      <c r="AC160" s="5"/>
      <c r="AD160" s="5">
        <f ca="1">IFERROR(__xludf.DUMMYFUNCTION("""COMPUTED_VALUE"""),9)</f>
        <v>9</v>
      </c>
      <c r="AE160" s="5">
        <f ca="1">IFERROR(__xludf.DUMMYFUNCTION("""COMPUTED_VALUE"""),9)</f>
        <v>9</v>
      </c>
      <c r="AF160" s="5" t="b">
        <f ca="1">IFERROR(__xludf.DUMMYFUNCTION("""COMPUTED_VALUE"""),FALSE)</f>
        <v>0</v>
      </c>
      <c r="AG160" s="5" t="str">
        <f ca="1">IFERROR(__xludf.DUMMYFUNCTION("""COMPUTED_VALUE"""),"INSPECCIONES REALIZADAS")</f>
        <v>INSPECCIONES REALIZADAS</v>
      </c>
      <c r="AH160" s="5"/>
    </row>
    <row r="161" spans="1:34">
      <c r="A161" s="5" t="str">
        <f ca="1">IFERROR(__xludf.DUMMYFUNCTION("""COMPUTED_VALUE"""),"LINEA PET CSD - LINEA 10")</f>
        <v>LINEA PET CSD - LINEA 10</v>
      </c>
      <c r="B161" s="5">
        <f ca="1">IFERROR(__xludf.DUMMYFUNCTION("""COMPUTED_VALUE"""),829011)</f>
        <v>829011</v>
      </c>
      <c r="C161" s="5" t="str">
        <f ca="1">IFERROR(__xludf.DUMMYFUNCTION("""COMPUTED_VALUE"""),"CARBOENFRIADOR DE BEBIDAS")</f>
        <v>CARBOENFRIADOR DE BEBIDAS</v>
      </c>
      <c r="D161" s="5">
        <f ca="1">IFERROR(__xludf.DUMMYFUNCTION("""COMPUTED_VALUE"""),13247593)</f>
        <v>13247593</v>
      </c>
      <c r="E161" s="5" t="str">
        <f ca="1">IFERROR(__xludf.DUMMYFUNCTION("""COMPUTED_VALUE"""),"INSPECCION SEMANAL CARBOENFRIADOR DE BEB")</f>
        <v>INSPECCION SEMANAL CARBOENFRIADOR DE BEB</v>
      </c>
      <c r="F161" s="5" t="str">
        <f ca="1">IFERROR(__xludf.DUMMYFUNCTION("""COMPUTED_VALUE"""),"ESTADO DE BOMBAS")</f>
        <v>ESTADO DE BOMBAS</v>
      </c>
      <c r="G161" s="5" t="b">
        <f ca="1">IFERROR(__xludf.DUMMYFUNCTION("""COMPUTED_VALUE"""),TRUE)</f>
        <v>1</v>
      </c>
      <c r="H161" s="5"/>
      <c r="I161" s="5"/>
      <c r="J161" s="5">
        <f ca="1">IFERROR(__xludf.DUMMYFUNCTION("""COMPUTED_VALUE"""),13247593)</f>
        <v>13247593</v>
      </c>
      <c r="K161" s="5"/>
      <c r="L161" s="18">
        <f ca="1">IFERROR(__xludf.DUMMYFUNCTION("""COMPUTED_VALUE"""),45324)</f>
        <v>45324</v>
      </c>
      <c r="M161" s="18">
        <f ca="1">IFERROR(__xludf.DUMMYFUNCTION("""COMPUTED_VALUE"""),45324)</f>
        <v>45324</v>
      </c>
      <c r="N161" s="5" t="str">
        <f ca="1">IFERROR(__xludf.DUMMYFUNCTION("""COMPUTED_VALUE"""),"Correa Jose Antonio")</f>
        <v>Correa Jose Antonio</v>
      </c>
      <c r="O161" s="2">
        <f ca="1">IFERROR(__xludf.DUMMYFUNCTION("""COMPUTED_VALUE"""),0.011111111)</f>
        <v>1.1111111E-2</v>
      </c>
      <c r="P161" s="5">
        <f ca="1">IFERROR(__xludf.DUMMYFUNCTION("""COMPUTED_VALUE"""),20022138)</f>
        <v>20022138</v>
      </c>
      <c r="Q161" s="5" t="str">
        <f ca="1">IFERROR(__xludf.DUMMYFUNCTION("""COMPUTED_VALUE"""),"dxTzGfCXEE0")</f>
        <v>dxTzGfCXEE0</v>
      </c>
      <c r="R161" s="5">
        <f ca="1">IFERROR(__xludf.DUMMYFUNCTION("""COMPUTED_VALUE"""),410)</f>
        <v>410</v>
      </c>
      <c r="S161" s="62">
        <f ca="1">IFERROR(__xludf.DUMMYFUNCTION("""COMPUTED_VALUE"""),0.011111111)</f>
        <v>1.1111111E-2</v>
      </c>
      <c r="T161" s="63" t="str">
        <f ca="1">IFERROR(__xludf.DUMMYFUNCTION("""COMPUTED_VALUE"""),"https://storage.googleapis.com/glide-prod.appspot.com/uploads-v2/ly7o78grxPaC6KdgvbpS/pub/3aRdSog0vUtuqPE8AJKD.png")</f>
        <v>https://storage.googleapis.com/glide-prod.appspot.com/uploads-v2/ly7o78grxPaC6KdgvbpS/pub/3aRdSog0vUtuqPE8AJKD.png</v>
      </c>
      <c r="U161" s="5" t="str">
        <f ca="1">IFERROR(__xludf.DUMMYFUNCTION("""COMPUTED_VALUE"""),"LINEA PET CSD - LINEA 10CARBOENFRIADOR DE BEBIDAS")</f>
        <v>LINEA PET CSD - LINEA 10CARBOENFRIADOR DE BEBIDAS</v>
      </c>
      <c r="V161" s="5"/>
      <c r="W161" s="5" t="b">
        <f ca="1">IFERROR(__xludf.DUMMYFUNCTION("""COMPUTED_VALUE"""),TRUE)</f>
        <v>1</v>
      </c>
      <c r="X161" s="5" t="str">
        <f ca="1">IFERROR(__xludf.DUMMYFUNCTION("""COMPUTED_VALUE"""),"wmazorra@postobon.com.co,aprmttoyu@postobon.com.co,aprmyu@postobon.com.co,wmora@postobon.com.co,efzapata@postobon.com.co")</f>
        <v>wmazorra@postobon.com.co,aprmttoyu@postobon.com.co,aprmyu@postobon.com.co,wmora@postobon.com.co,efzapata@postobon.com.co</v>
      </c>
      <c r="Y161" s="5" t="str">
        <f ca="1">IFERROR(__xludf.DUMMYFUNCTION("""COMPUTED_VALUE"""),"wmazorra@postobon.com.co")</f>
        <v>wmazorra@postobon.com.co</v>
      </c>
      <c r="Z161" s="5" t="str">
        <f ca="1">IFERROR(__xludf.DUMMYFUNCTION("""COMPUTED_VALUE"""),"6c26XZY9SaCJ5Gc.tuJO7A")</f>
        <v>6c26XZY9SaCJ5Gc.tuJO7A</v>
      </c>
      <c r="AA161" s="5"/>
      <c r="AB161" s="5"/>
      <c r="AC161" s="5"/>
      <c r="AD161" s="5">
        <f ca="1">IFERROR(__xludf.DUMMYFUNCTION("""COMPUTED_VALUE"""),9)</f>
        <v>9</v>
      </c>
      <c r="AE161" s="5">
        <f ca="1">IFERROR(__xludf.DUMMYFUNCTION("""COMPUTED_VALUE"""),9)</f>
        <v>9</v>
      </c>
      <c r="AF161" s="5" t="b">
        <f ca="1">IFERROR(__xludf.DUMMYFUNCTION("""COMPUTED_VALUE"""),FALSE)</f>
        <v>0</v>
      </c>
      <c r="AG161" s="5" t="str">
        <f ca="1">IFERROR(__xludf.DUMMYFUNCTION("""COMPUTED_VALUE"""),"INSPECCIONES REALIZADAS")</f>
        <v>INSPECCIONES REALIZADAS</v>
      </c>
      <c r="AH161" s="5"/>
    </row>
    <row r="162" spans="1:34">
      <c r="A162" s="5" t="str">
        <f ca="1">IFERROR(__xludf.DUMMYFUNCTION("""COMPUTED_VALUE"""),"LINEA PET CSD - LINEA 10")</f>
        <v>LINEA PET CSD - LINEA 10</v>
      </c>
      <c r="B162" s="5">
        <f ca="1">IFERROR(__xludf.DUMMYFUNCTION("""COMPUTED_VALUE"""),829011)</f>
        <v>829011</v>
      </c>
      <c r="C162" s="5" t="str">
        <f ca="1">IFERROR(__xludf.DUMMYFUNCTION("""COMPUTED_VALUE"""),"CARBOENFRIADOR DE BEBIDAS")</f>
        <v>CARBOENFRIADOR DE BEBIDAS</v>
      </c>
      <c r="D162" s="5">
        <f ca="1">IFERROR(__xludf.DUMMYFUNCTION("""COMPUTED_VALUE"""),13247593)</f>
        <v>13247593</v>
      </c>
      <c r="E162" s="5" t="str">
        <f ca="1">IFERROR(__xludf.DUMMYFUNCTION("""COMPUTED_VALUE"""),"INSPECCION SEMANAL CARBOENFRIADOR DE BEB")</f>
        <v>INSPECCION SEMANAL CARBOENFRIADOR DE BEB</v>
      </c>
      <c r="F162" s="5" t="str">
        <f ca="1">IFERROR(__xludf.DUMMYFUNCTION("""COMPUTED_VALUE"""),"ESTADO INTERFAZ VISUAL CONTROL")</f>
        <v>ESTADO INTERFAZ VISUAL CONTROL</v>
      </c>
      <c r="G162" s="5" t="b">
        <f ca="1">IFERROR(__xludf.DUMMYFUNCTION("""COMPUTED_VALUE"""),TRUE)</f>
        <v>1</v>
      </c>
      <c r="H162" s="5"/>
      <c r="I162" s="5"/>
      <c r="J162" s="5">
        <f ca="1">IFERROR(__xludf.DUMMYFUNCTION("""COMPUTED_VALUE"""),13247593)</f>
        <v>13247593</v>
      </c>
      <c r="K162" s="5"/>
      <c r="L162" s="18">
        <f ca="1">IFERROR(__xludf.DUMMYFUNCTION("""COMPUTED_VALUE"""),45324)</f>
        <v>45324</v>
      </c>
      <c r="M162" s="18">
        <f ca="1">IFERROR(__xludf.DUMMYFUNCTION("""COMPUTED_VALUE"""),45324)</f>
        <v>45324</v>
      </c>
      <c r="N162" s="5" t="str">
        <f ca="1">IFERROR(__xludf.DUMMYFUNCTION("""COMPUTED_VALUE"""),"Correa Jose Antonio")</f>
        <v>Correa Jose Antonio</v>
      </c>
      <c r="O162" s="2">
        <f ca="1">IFERROR(__xludf.DUMMYFUNCTION("""COMPUTED_VALUE"""),0.011111111)</f>
        <v>1.1111111E-2</v>
      </c>
      <c r="P162" s="5">
        <f ca="1">IFERROR(__xludf.DUMMYFUNCTION("""COMPUTED_VALUE"""),20022138)</f>
        <v>20022138</v>
      </c>
      <c r="Q162" s="5" t="str">
        <f ca="1">IFERROR(__xludf.DUMMYFUNCTION("""COMPUTED_VALUE"""),"fskq9oG2X_g")</f>
        <v>fskq9oG2X_g</v>
      </c>
      <c r="R162" s="5">
        <f ca="1">IFERROR(__xludf.DUMMYFUNCTION("""COMPUTED_VALUE"""),410)</f>
        <v>410</v>
      </c>
      <c r="S162" s="62">
        <f ca="1">IFERROR(__xludf.DUMMYFUNCTION("""COMPUTED_VALUE"""),0.011111111)</f>
        <v>1.1111111E-2</v>
      </c>
      <c r="T162" s="63" t="str">
        <f ca="1">IFERROR(__xludf.DUMMYFUNCTION("""COMPUTED_VALUE"""),"https://storage.googleapis.com/glide-prod.appspot.com/uploads-v2/ly7o78grxPaC6KdgvbpS/pub/3aRdSog0vUtuqPE8AJKD.png")</f>
        <v>https://storage.googleapis.com/glide-prod.appspot.com/uploads-v2/ly7o78grxPaC6KdgvbpS/pub/3aRdSog0vUtuqPE8AJKD.png</v>
      </c>
      <c r="U162" s="5" t="str">
        <f ca="1">IFERROR(__xludf.DUMMYFUNCTION("""COMPUTED_VALUE"""),"LINEA PET CSD - LINEA 10CARBOENFRIADOR DE BEBIDAS")</f>
        <v>LINEA PET CSD - LINEA 10CARBOENFRIADOR DE BEBIDAS</v>
      </c>
      <c r="V162" s="5"/>
      <c r="W162" s="5" t="b">
        <f ca="1">IFERROR(__xludf.DUMMYFUNCTION("""COMPUTED_VALUE"""),TRUE)</f>
        <v>1</v>
      </c>
      <c r="X162" s="5" t="str">
        <f ca="1">IFERROR(__xludf.DUMMYFUNCTION("""COMPUTED_VALUE"""),"wmazorra@postobon.com.co,aprmttoyu@postobon.com.co,aprmyu@postobon.com.co,wmora@postobon.com.co,efzapata@postobon.com.co")</f>
        <v>wmazorra@postobon.com.co,aprmttoyu@postobon.com.co,aprmyu@postobon.com.co,wmora@postobon.com.co,efzapata@postobon.com.co</v>
      </c>
      <c r="Y162" s="5" t="str">
        <f ca="1">IFERROR(__xludf.DUMMYFUNCTION("""COMPUTED_VALUE"""),"wmazorra@postobon.com.co")</f>
        <v>wmazorra@postobon.com.co</v>
      </c>
      <c r="Z162" s="5" t="str">
        <f ca="1">IFERROR(__xludf.DUMMYFUNCTION("""COMPUTED_VALUE"""),"SurwXIOFQy6aNKFSvE6NAw")</f>
        <v>SurwXIOFQy6aNKFSvE6NAw</v>
      </c>
      <c r="AA162" s="5"/>
      <c r="AB162" s="5"/>
      <c r="AC162" s="5"/>
      <c r="AD162" s="5">
        <f ca="1">IFERROR(__xludf.DUMMYFUNCTION("""COMPUTED_VALUE"""),9)</f>
        <v>9</v>
      </c>
      <c r="AE162" s="5">
        <f ca="1">IFERROR(__xludf.DUMMYFUNCTION("""COMPUTED_VALUE"""),9)</f>
        <v>9</v>
      </c>
      <c r="AF162" s="5" t="b">
        <f ca="1">IFERROR(__xludf.DUMMYFUNCTION("""COMPUTED_VALUE"""),FALSE)</f>
        <v>0</v>
      </c>
      <c r="AG162" s="5" t="str">
        <f ca="1">IFERROR(__xludf.DUMMYFUNCTION("""COMPUTED_VALUE"""),"INSPECCIONES REALIZADAS")</f>
        <v>INSPECCIONES REALIZADAS</v>
      </c>
      <c r="AH162" s="5"/>
    </row>
    <row r="163" spans="1:34">
      <c r="A163" s="5" t="str">
        <f ca="1">IFERROR(__xludf.DUMMYFUNCTION("""COMPUTED_VALUE"""),"LINEA PET CSD - LINEA 10")</f>
        <v>LINEA PET CSD - LINEA 10</v>
      </c>
      <c r="B163" s="5">
        <f ca="1">IFERROR(__xludf.DUMMYFUNCTION("""COMPUTED_VALUE"""),829011)</f>
        <v>829011</v>
      </c>
      <c r="C163" s="5" t="str">
        <f ca="1">IFERROR(__xludf.DUMMYFUNCTION("""COMPUTED_VALUE"""),"CARBOENFRIADOR DE BEBIDAS")</f>
        <v>CARBOENFRIADOR DE BEBIDAS</v>
      </c>
      <c r="D163" s="5">
        <f ca="1">IFERROR(__xludf.DUMMYFUNCTION("""COMPUTED_VALUE"""),13247593)</f>
        <v>13247593</v>
      </c>
      <c r="E163" s="5" t="str">
        <f ca="1">IFERROR(__xludf.DUMMYFUNCTION("""COMPUTED_VALUE"""),"INSPECCION SEMANAL CARBOENFRIADOR DE BEB")</f>
        <v>INSPECCION SEMANAL CARBOENFRIADOR DE BEB</v>
      </c>
      <c r="F163" s="5" t="str">
        <f ca="1">IFERROR(__xludf.DUMMYFUNCTION("""COMPUTED_VALUE"""),"INSP INTERCAMBIADOR Y REJILLA AIRE")</f>
        <v>INSP INTERCAMBIADOR Y REJILLA AIRE</v>
      </c>
      <c r="G163" s="5" t="b">
        <f ca="1">IFERROR(__xludf.DUMMYFUNCTION("""COMPUTED_VALUE"""),TRUE)</f>
        <v>1</v>
      </c>
      <c r="H163" s="5"/>
      <c r="I163" s="5"/>
      <c r="J163" s="5">
        <f ca="1">IFERROR(__xludf.DUMMYFUNCTION("""COMPUTED_VALUE"""),13247593)</f>
        <v>13247593</v>
      </c>
      <c r="K163" s="5"/>
      <c r="L163" s="18">
        <f ca="1">IFERROR(__xludf.DUMMYFUNCTION("""COMPUTED_VALUE"""),45324)</f>
        <v>45324</v>
      </c>
      <c r="M163" s="18">
        <f ca="1">IFERROR(__xludf.DUMMYFUNCTION("""COMPUTED_VALUE"""),45324)</f>
        <v>45324</v>
      </c>
      <c r="N163" s="5" t="str">
        <f ca="1">IFERROR(__xludf.DUMMYFUNCTION("""COMPUTED_VALUE"""),"Correa Jose Antonio")</f>
        <v>Correa Jose Antonio</v>
      </c>
      <c r="O163" s="2">
        <f ca="1">IFERROR(__xludf.DUMMYFUNCTION("""COMPUTED_VALUE"""),0.011111111)</f>
        <v>1.1111111E-2</v>
      </c>
      <c r="P163" s="5">
        <f ca="1">IFERROR(__xludf.DUMMYFUNCTION("""COMPUTED_VALUE"""),20022138)</f>
        <v>20022138</v>
      </c>
      <c r="Q163" s="5" t="str">
        <f ca="1">IFERROR(__xludf.DUMMYFUNCTION("""COMPUTED_VALUE"""),"cgEpSaAEaRo")</f>
        <v>cgEpSaAEaRo</v>
      </c>
      <c r="R163" s="5">
        <f ca="1">IFERROR(__xludf.DUMMYFUNCTION("""COMPUTED_VALUE"""),410)</f>
        <v>410</v>
      </c>
      <c r="S163" s="62">
        <f ca="1">IFERROR(__xludf.DUMMYFUNCTION("""COMPUTED_VALUE"""),0.011111111)</f>
        <v>1.1111111E-2</v>
      </c>
      <c r="T163" s="63" t="str">
        <f ca="1">IFERROR(__xludf.DUMMYFUNCTION("""COMPUTED_VALUE"""),"https://storage.googleapis.com/glide-prod.appspot.com/uploads-v2/ly7o78grxPaC6KdgvbpS/pub/3aRdSog0vUtuqPE8AJKD.png")</f>
        <v>https://storage.googleapis.com/glide-prod.appspot.com/uploads-v2/ly7o78grxPaC6KdgvbpS/pub/3aRdSog0vUtuqPE8AJKD.png</v>
      </c>
      <c r="U163" s="5" t="str">
        <f ca="1">IFERROR(__xludf.DUMMYFUNCTION("""COMPUTED_VALUE"""),"LINEA PET CSD - LINEA 10CARBOENFRIADOR DE BEBIDAS")</f>
        <v>LINEA PET CSD - LINEA 10CARBOENFRIADOR DE BEBIDAS</v>
      </c>
      <c r="V163" s="5"/>
      <c r="W163" s="5" t="b">
        <f ca="1">IFERROR(__xludf.DUMMYFUNCTION("""COMPUTED_VALUE"""),TRUE)</f>
        <v>1</v>
      </c>
      <c r="X163" s="5" t="str">
        <f ca="1">IFERROR(__xludf.DUMMYFUNCTION("""COMPUTED_VALUE"""),"wmazorra@postobon.com.co,aprmttoyu@postobon.com.co,aprmyu@postobon.com.co,wmora@postobon.com.co,efzapata@postobon.com.co")</f>
        <v>wmazorra@postobon.com.co,aprmttoyu@postobon.com.co,aprmyu@postobon.com.co,wmora@postobon.com.co,efzapata@postobon.com.co</v>
      </c>
      <c r="Y163" s="5" t="str">
        <f ca="1">IFERROR(__xludf.DUMMYFUNCTION("""COMPUTED_VALUE"""),"wmazorra@postobon.com.co")</f>
        <v>wmazorra@postobon.com.co</v>
      </c>
      <c r="Z163" s="5" t="str">
        <f ca="1">IFERROR(__xludf.DUMMYFUNCTION("""COMPUTED_VALUE"""),"durgaT0LT-Sj1fdzmkvQbw")</f>
        <v>durgaT0LT-Sj1fdzmkvQbw</v>
      </c>
      <c r="AA163" s="5"/>
      <c r="AB163" s="5"/>
      <c r="AC163" s="5"/>
      <c r="AD163" s="5">
        <f ca="1">IFERROR(__xludf.DUMMYFUNCTION("""COMPUTED_VALUE"""),9)</f>
        <v>9</v>
      </c>
      <c r="AE163" s="5">
        <f ca="1">IFERROR(__xludf.DUMMYFUNCTION("""COMPUTED_VALUE"""),9)</f>
        <v>9</v>
      </c>
      <c r="AF163" s="5" t="b">
        <f ca="1">IFERROR(__xludf.DUMMYFUNCTION("""COMPUTED_VALUE"""),FALSE)</f>
        <v>0</v>
      </c>
      <c r="AG163" s="5" t="str">
        <f ca="1">IFERROR(__xludf.DUMMYFUNCTION("""COMPUTED_VALUE"""),"INSPECCIONES REALIZADAS")</f>
        <v>INSPECCIONES REALIZADAS</v>
      </c>
      <c r="AH163" s="5"/>
    </row>
    <row r="164" spans="1:34">
      <c r="A164" s="5" t="str">
        <f ca="1">IFERROR(__xludf.DUMMYFUNCTION("""COMPUTED_VALUE"""),"LINEA PET CSD - LINEA 10")</f>
        <v>LINEA PET CSD - LINEA 10</v>
      </c>
      <c r="B164" s="5">
        <f ca="1">IFERROR(__xludf.DUMMYFUNCTION("""COMPUTED_VALUE"""),829011)</f>
        <v>829011</v>
      </c>
      <c r="C164" s="5" t="str">
        <f ca="1">IFERROR(__xludf.DUMMYFUNCTION("""COMPUTED_VALUE"""),"CARBOENFRIADOR DE BEBIDAS")</f>
        <v>CARBOENFRIADOR DE BEBIDAS</v>
      </c>
      <c r="D164" s="5">
        <f ca="1">IFERROR(__xludf.DUMMYFUNCTION("""COMPUTED_VALUE"""),13247593)</f>
        <v>13247593</v>
      </c>
      <c r="E164" s="5" t="str">
        <f ca="1">IFERROR(__xludf.DUMMYFUNCTION("""COMPUTED_VALUE"""),"INSPECCION SEMANAL CARBOENFRIADOR DE BEB")</f>
        <v>INSPECCION SEMANAL CARBOENFRIADOR DE BEB</v>
      </c>
      <c r="F164" s="5" t="str">
        <f ca="1">IFERROR(__xludf.DUMMYFUNCTION("""COMPUTED_VALUE"""),"PRESION AIRE DE TRABAJO")</f>
        <v>PRESION AIRE DE TRABAJO</v>
      </c>
      <c r="G164" s="5" t="b">
        <f ca="1">IFERROR(__xludf.DUMMYFUNCTION("""COMPUTED_VALUE"""),TRUE)</f>
        <v>1</v>
      </c>
      <c r="H164" s="5"/>
      <c r="I164" s="5"/>
      <c r="J164" s="5">
        <f ca="1">IFERROR(__xludf.DUMMYFUNCTION("""COMPUTED_VALUE"""),13247593)</f>
        <v>13247593</v>
      </c>
      <c r="K164" s="5"/>
      <c r="L164" s="18">
        <f ca="1">IFERROR(__xludf.DUMMYFUNCTION("""COMPUTED_VALUE"""),45324)</f>
        <v>45324</v>
      </c>
      <c r="M164" s="18">
        <f ca="1">IFERROR(__xludf.DUMMYFUNCTION("""COMPUTED_VALUE"""),45324)</f>
        <v>45324</v>
      </c>
      <c r="N164" s="5" t="str">
        <f ca="1">IFERROR(__xludf.DUMMYFUNCTION("""COMPUTED_VALUE"""),"Correa Jose Antonio")</f>
        <v>Correa Jose Antonio</v>
      </c>
      <c r="O164" s="2">
        <f ca="1">IFERROR(__xludf.DUMMYFUNCTION("""COMPUTED_VALUE"""),0.011111111)</f>
        <v>1.1111111E-2</v>
      </c>
      <c r="P164" s="5">
        <f ca="1">IFERROR(__xludf.DUMMYFUNCTION("""COMPUTED_VALUE"""),20022138)</f>
        <v>20022138</v>
      </c>
      <c r="Q164" s="5" t="str">
        <f ca="1">IFERROR(__xludf.DUMMYFUNCTION("""COMPUTED_VALUE"""),"yxsDKqaJnjE")</f>
        <v>yxsDKqaJnjE</v>
      </c>
      <c r="R164" s="5">
        <f ca="1">IFERROR(__xludf.DUMMYFUNCTION("""COMPUTED_VALUE"""),410)</f>
        <v>410</v>
      </c>
      <c r="S164" s="62">
        <f ca="1">IFERROR(__xludf.DUMMYFUNCTION("""COMPUTED_VALUE"""),0.011111111)</f>
        <v>1.1111111E-2</v>
      </c>
      <c r="T164" s="63" t="str">
        <f ca="1">IFERROR(__xludf.DUMMYFUNCTION("""COMPUTED_VALUE"""),"https://storage.googleapis.com/glide-prod.appspot.com/uploads-v2/ly7o78grxPaC6KdgvbpS/pub/3aRdSog0vUtuqPE8AJKD.png")</f>
        <v>https://storage.googleapis.com/glide-prod.appspot.com/uploads-v2/ly7o78grxPaC6KdgvbpS/pub/3aRdSog0vUtuqPE8AJKD.png</v>
      </c>
      <c r="U164" s="5" t="str">
        <f ca="1">IFERROR(__xludf.DUMMYFUNCTION("""COMPUTED_VALUE"""),"LINEA PET CSD - LINEA 10CARBOENFRIADOR DE BEBIDAS")</f>
        <v>LINEA PET CSD - LINEA 10CARBOENFRIADOR DE BEBIDAS</v>
      </c>
      <c r="V164" s="5"/>
      <c r="W164" s="5" t="b">
        <f ca="1">IFERROR(__xludf.DUMMYFUNCTION("""COMPUTED_VALUE"""),TRUE)</f>
        <v>1</v>
      </c>
      <c r="X164" s="5" t="str">
        <f ca="1">IFERROR(__xludf.DUMMYFUNCTION("""COMPUTED_VALUE"""),"wmazorra@postobon.com.co,aprmttoyu@postobon.com.co,aprmyu@postobon.com.co,wmora@postobon.com.co,efzapata@postobon.com.co")</f>
        <v>wmazorra@postobon.com.co,aprmttoyu@postobon.com.co,aprmyu@postobon.com.co,wmora@postobon.com.co,efzapata@postobon.com.co</v>
      </c>
      <c r="Y164" s="5" t="str">
        <f ca="1">IFERROR(__xludf.DUMMYFUNCTION("""COMPUTED_VALUE"""),"wmazorra@postobon.com.co")</f>
        <v>wmazorra@postobon.com.co</v>
      </c>
      <c r="Z164" s="5" t="str">
        <f ca="1">IFERROR(__xludf.DUMMYFUNCTION("""COMPUTED_VALUE"""),"ajZuIPB6QK2Yu6g4IcXoSw")</f>
        <v>ajZuIPB6QK2Yu6g4IcXoSw</v>
      </c>
      <c r="AA164" s="5"/>
      <c r="AB164" s="5"/>
      <c r="AC164" s="5"/>
      <c r="AD164" s="5">
        <f ca="1">IFERROR(__xludf.DUMMYFUNCTION("""COMPUTED_VALUE"""),9)</f>
        <v>9</v>
      </c>
      <c r="AE164" s="5">
        <f ca="1">IFERROR(__xludf.DUMMYFUNCTION("""COMPUTED_VALUE"""),9)</f>
        <v>9</v>
      </c>
      <c r="AF164" s="5" t="b">
        <f ca="1">IFERROR(__xludf.DUMMYFUNCTION("""COMPUTED_VALUE"""),FALSE)</f>
        <v>0</v>
      </c>
      <c r="AG164" s="5" t="str">
        <f ca="1">IFERROR(__xludf.DUMMYFUNCTION("""COMPUTED_VALUE"""),"INSPECCIONES REALIZADAS")</f>
        <v>INSPECCIONES REALIZADAS</v>
      </c>
      <c r="AH164" s="5"/>
    </row>
    <row r="165" spans="1:34">
      <c r="A165" s="5" t="str">
        <f ca="1">IFERROR(__xludf.DUMMYFUNCTION("""COMPUTED_VALUE"""),"LINEA PET CSD - LINEA 10")</f>
        <v>LINEA PET CSD - LINEA 10</v>
      </c>
      <c r="B165" s="5">
        <f ca="1">IFERROR(__xludf.DUMMYFUNCTION("""COMPUTED_VALUE"""),829011)</f>
        <v>829011</v>
      </c>
      <c r="C165" s="5" t="str">
        <f ca="1">IFERROR(__xludf.DUMMYFUNCTION("""COMPUTED_VALUE"""),"CARBOENFRIADOR DE BEBIDAS")</f>
        <v>CARBOENFRIADOR DE BEBIDAS</v>
      </c>
      <c r="D165" s="5">
        <f ca="1">IFERROR(__xludf.DUMMYFUNCTION("""COMPUTED_VALUE"""),13247593)</f>
        <v>13247593</v>
      </c>
      <c r="E165" s="5" t="str">
        <f ca="1">IFERROR(__xludf.DUMMYFUNCTION("""COMPUTED_VALUE"""),"INSPECCION SEMANAL CARBOENFRIADOR DE BEB")</f>
        <v>INSPECCION SEMANAL CARBOENFRIADOR DE BEB</v>
      </c>
      <c r="F165" s="5" t="str">
        <f ca="1">IFERROR(__xludf.DUMMYFUNCTION("""COMPUTED_VALUE"""),"LIMPIEZA ASPECTO GRAL")</f>
        <v>LIMPIEZA ASPECTO GRAL</v>
      </c>
      <c r="G165" s="5" t="b">
        <f ca="1">IFERROR(__xludf.DUMMYFUNCTION("""COMPUTED_VALUE"""),TRUE)</f>
        <v>1</v>
      </c>
      <c r="H165" s="5"/>
      <c r="I165" s="5"/>
      <c r="J165" s="5">
        <f ca="1">IFERROR(__xludf.DUMMYFUNCTION("""COMPUTED_VALUE"""),13247593)</f>
        <v>13247593</v>
      </c>
      <c r="K165" s="5"/>
      <c r="L165" s="18">
        <f ca="1">IFERROR(__xludf.DUMMYFUNCTION("""COMPUTED_VALUE"""),45324)</f>
        <v>45324</v>
      </c>
      <c r="M165" s="18">
        <f ca="1">IFERROR(__xludf.DUMMYFUNCTION("""COMPUTED_VALUE"""),45324)</f>
        <v>45324</v>
      </c>
      <c r="N165" s="5" t="str">
        <f ca="1">IFERROR(__xludf.DUMMYFUNCTION("""COMPUTED_VALUE"""),"Correa Jose Antonio")</f>
        <v>Correa Jose Antonio</v>
      </c>
      <c r="O165" s="2">
        <f ca="1">IFERROR(__xludf.DUMMYFUNCTION("""COMPUTED_VALUE"""),0.011111111)</f>
        <v>1.1111111E-2</v>
      </c>
      <c r="P165" s="5">
        <f ca="1">IFERROR(__xludf.DUMMYFUNCTION("""COMPUTED_VALUE"""),20022138)</f>
        <v>20022138</v>
      </c>
      <c r="Q165" s="5" t="str">
        <f ca="1">IFERROR(__xludf.DUMMYFUNCTION("""COMPUTED_VALUE"""),"bDJRG8Obkoc")</f>
        <v>bDJRG8Obkoc</v>
      </c>
      <c r="R165" s="5">
        <f ca="1">IFERROR(__xludf.DUMMYFUNCTION("""COMPUTED_VALUE"""),410)</f>
        <v>410</v>
      </c>
      <c r="S165" s="62">
        <f ca="1">IFERROR(__xludf.DUMMYFUNCTION("""COMPUTED_VALUE"""),0.011111111)</f>
        <v>1.1111111E-2</v>
      </c>
      <c r="T165" s="63" t="str">
        <f ca="1">IFERROR(__xludf.DUMMYFUNCTION("""COMPUTED_VALUE"""),"https://storage.googleapis.com/glide-prod.appspot.com/uploads-v2/ly7o78grxPaC6KdgvbpS/pub/3aRdSog0vUtuqPE8AJKD.png")</f>
        <v>https://storage.googleapis.com/glide-prod.appspot.com/uploads-v2/ly7o78grxPaC6KdgvbpS/pub/3aRdSog0vUtuqPE8AJKD.png</v>
      </c>
      <c r="U165" s="5" t="str">
        <f ca="1">IFERROR(__xludf.DUMMYFUNCTION("""COMPUTED_VALUE"""),"LINEA PET CSD - LINEA 10CARBOENFRIADOR DE BEBIDAS")</f>
        <v>LINEA PET CSD - LINEA 10CARBOENFRIADOR DE BEBIDAS</v>
      </c>
      <c r="V165" s="5"/>
      <c r="W165" s="5" t="b">
        <f ca="1">IFERROR(__xludf.DUMMYFUNCTION("""COMPUTED_VALUE"""),TRUE)</f>
        <v>1</v>
      </c>
      <c r="X165" s="5" t="str">
        <f ca="1">IFERROR(__xludf.DUMMYFUNCTION("""COMPUTED_VALUE"""),"wmazorra@postobon.com.co,aprmttoyu@postobon.com.co,aprmyu@postobon.com.co,wmora@postobon.com.co,efzapata@postobon.com.co")</f>
        <v>wmazorra@postobon.com.co,aprmttoyu@postobon.com.co,aprmyu@postobon.com.co,wmora@postobon.com.co,efzapata@postobon.com.co</v>
      </c>
      <c r="Y165" s="5" t="str">
        <f ca="1">IFERROR(__xludf.DUMMYFUNCTION("""COMPUTED_VALUE"""),"wmazorra@postobon.com.co")</f>
        <v>wmazorra@postobon.com.co</v>
      </c>
      <c r="Z165" s="5" t="str">
        <f ca="1">IFERROR(__xludf.DUMMYFUNCTION("""COMPUTED_VALUE"""),"T3wHzEy9RJa6336KxxJD2g")</f>
        <v>T3wHzEy9RJa6336KxxJD2g</v>
      </c>
      <c r="AA165" s="5"/>
      <c r="AB165" s="5"/>
      <c r="AC165" s="5"/>
      <c r="AD165" s="5">
        <f ca="1">IFERROR(__xludf.DUMMYFUNCTION("""COMPUTED_VALUE"""),9)</f>
        <v>9</v>
      </c>
      <c r="AE165" s="5">
        <f ca="1">IFERROR(__xludf.DUMMYFUNCTION("""COMPUTED_VALUE"""),9)</f>
        <v>9</v>
      </c>
      <c r="AF165" s="5" t="b">
        <f ca="1">IFERROR(__xludf.DUMMYFUNCTION("""COMPUTED_VALUE"""),FALSE)</f>
        <v>0</v>
      </c>
      <c r="AG165" s="5" t="str">
        <f ca="1">IFERROR(__xludf.DUMMYFUNCTION("""COMPUTED_VALUE"""),"INSPECCIONES REALIZADAS")</f>
        <v>INSPECCIONES REALIZADAS</v>
      </c>
      <c r="AH165" s="5"/>
    </row>
    <row r="166" spans="1:34">
      <c r="A166" s="5" t="str">
        <f ca="1">IFERROR(__xludf.DUMMYFUNCTION("""COMPUTED_VALUE"""),"LINEA PET CSD - LINEA 10")</f>
        <v>LINEA PET CSD - LINEA 10</v>
      </c>
      <c r="B166" s="5">
        <f ca="1">IFERROR(__xludf.DUMMYFUNCTION("""COMPUTED_VALUE"""),829011)</f>
        <v>829011</v>
      </c>
      <c r="C166" s="5" t="str">
        <f ca="1">IFERROR(__xludf.DUMMYFUNCTION("""COMPUTED_VALUE"""),"CARBOENFRIADOR DE BEBIDAS")</f>
        <v>CARBOENFRIADOR DE BEBIDAS</v>
      </c>
      <c r="D166" s="5">
        <f ca="1">IFERROR(__xludf.DUMMYFUNCTION("""COMPUTED_VALUE"""),13247593)</f>
        <v>13247593</v>
      </c>
      <c r="E166" s="5" t="str">
        <f ca="1">IFERROR(__xludf.DUMMYFUNCTION("""COMPUTED_VALUE"""),"INSPECCION SEMANAL CARBOENFRIADOR DE BEB")</f>
        <v>INSPECCION SEMANAL CARBOENFRIADOR DE BEB</v>
      </c>
      <c r="F166" s="5" t="str">
        <f ca="1">IFERROR(__xludf.DUMMYFUNCTION("""COMPUTED_VALUE"""),"TABLERO ELECTRICO/CLIMATIZADOR")</f>
        <v>TABLERO ELECTRICO/CLIMATIZADOR</v>
      </c>
      <c r="G166" s="5" t="b">
        <f ca="1">IFERROR(__xludf.DUMMYFUNCTION("""COMPUTED_VALUE"""),TRUE)</f>
        <v>1</v>
      </c>
      <c r="H166" s="5"/>
      <c r="I166" s="5"/>
      <c r="J166" s="5">
        <f ca="1">IFERROR(__xludf.DUMMYFUNCTION("""COMPUTED_VALUE"""),13247593)</f>
        <v>13247593</v>
      </c>
      <c r="K166" s="5"/>
      <c r="L166" s="18">
        <f ca="1">IFERROR(__xludf.DUMMYFUNCTION("""COMPUTED_VALUE"""),45324)</f>
        <v>45324</v>
      </c>
      <c r="M166" s="18">
        <f ca="1">IFERROR(__xludf.DUMMYFUNCTION("""COMPUTED_VALUE"""),45324)</f>
        <v>45324</v>
      </c>
      <c r="N166" s="5" t="str">
        <f ca="1">IFERROR(__xludf.DUMMYFUNCTION("""COMPUTED_VALUE"""),"Correa Jose Antonio")</f>
        <v>Correa Jose Antonio</v>
      </c>
      <c r="O166" s="2">
        <f ca="1">IFERROR(__xludf.DUMMYFUNCTION("""COMPUTED_VALUE"""),0.011111111)</f>
        <v>1.1111111E-2</v>
      </c>
      <c r="P166" s="5">
        <f ca="1">IFERROR(__xludf.DUMMYFUNCTION("""COMPUTED_VALUE"""),20022138)</f>
        <v>20022138</v>
      </c>
      <c r="Q166" s="5" t="str">
        <f ca="1">IFERROR(__xludf.DUMMYFUNCTION("""COMPUTED_VALUE"""),"tiH0vdwMCKU")</f>
        <v>tiH0vdwMCKU</v>
      </c>
      <c r="R166" s="5">
        <f ca="1">IFERROR(__xludf.DUMMYFUNCTION("""COMPUTED_VALUE"""),410)</f>
        <v>410</v>
      </c>
      <c r="S166" s="62">
        <f ca="1">IFERROR(__xludf.DUMMYFUNCTION("""COMPUTED_VALUE"""),0.011111111)</f>
        <v>1.1111111E-2</v>
      </c>
      <c r="T166" s="63" t="str">
        <f ca="1">IFERROR(__xludf.DUMMYFUNCTION("""COMPUTED_VALUE"""),"https://storage.googleapis.com/glide-prod.appspot.com/uploads-v2/ly7o78grxPaC6KdgvbpS/pub/3aRdSog0vUtuqPE8AJKD.png")</f>
        <v>https://storage.googleapis.com/glide-prod.appspot.com/uploads-v2/ly7o78grxPaC6KdgvbpS/pub/3aRdSog0vUtuqPE8AJKD.png</v>
      </c>
      <c r="U166" s="5" t="str">
        <f ca="1">IFERROR(__xludf.DUMMYFUNCTION("""COMPUTED_VALUE"""),"LINEA PET CSD - LINEA 10CARBOENFRIADOR DE BEBIDAS")</f>
        <v>LINEA PET CSD - LINEA 10CARBOENFRIADOR DE BEBIDAS</v>
      </c>
      <c r="V166" s="5"/>
      <c r="W166" s="5" t="b">
        <f ca="1">IFERROR(__xludf.DUMMYFUNCTION("""COMPUTED_VALUE"""),TRUE)</f>
        <v>1</v>
      </c>
      <c r="X166" s="5" t="str">
        <f ca="1">IFERROR(__xludf.DUMMYFUNCTION("""COMPUTED_VALUE"""),"wmazorra@postobon.com.co,aprmttoyu@postobon.com.co,aprmyu@postobon.com.co,wmora@postobon.com.co,efzapata@postobon.com.co")</f>
        <v>wmazorra@postobon.com.co,aprmttoyu@postobon.com.co,aprmyu@postobon.com.co,wmora@postobon.com.co,efzapata@postobon.com.co</v>
      </c>
      <c r="Y166" s="5" t="str">
        <f ca="1">IFERROR(__xludf.DUMMYFUNCTION("""COMPUTED_VALUE"""),"wmazorra@postobon.com.co")</f>
        <v>wmazorra@postobon.com.co</v>
      </c>
      <c r="Z166" s="5" t="str">
        <f ca="1">IFERROR(__xludf.DUMMYFUNCTION("""COMPUTED_VALUE"""),"EoX-6DVOSYCeIWv4cAvjbQ")</f>
        <v>EoX-6DVOSYCeIWv4cAvjbQ</v>
      </c>
      <c r="AA166" s="5"/>
      <c r="AB166" s="5"/>
      <c r="AC166" s="5"/>
      <c r="AD166" s="5">
        <f ca="1">IFERROR(__xludf.DUMMYFUNCTION("""COMPUTED_VALUE"""),9)</f>
        <v>9</v>
      </c>
      <c r="AE166" s="5">
        <f ca="1">IFERROR(__xludf.DUMMYFUNCTION("""COMPUTED_VALUE"""),9)</f>
        <v>9</v>
      </c>
      <c r="AF166" s="5" t="b">
        <f ca="1">IFERROR(__xludf.DUMMYFUNCTION("""COMPUTED_VALUE"""),FALSE)</f>
        <v>0</v>
      </c>
      <c r="AG166" s="5" t="str">
        <f ca="1">IFERROR(__xludf.DUMMYFUNCTION("""COMPUTED_VALUE"""),"INSPECCIONES REALIZADAS")</f>
        <v>INSPECCIONES REALIZADAS</v>
      </c>
      <c r="AH166" s="5"/>
    </row>
    <row r="167" spans="1:34">
      <c r="A167" s="5" t="str">
        <f ca="1">IFERROR(__xludf.DUMMYFUNCTION("""COMPUTED_VALUE"""),"EQUIPOS ALTA Y BAJA TENSION ELECTRICA")</f>
        <v>EQUIPOS ALTA Y BAJA TENSION ELECTRICA</v>
      </c>
      <c r="B167" s="5">
        <f ca="1">IFERROR(__xludf.DUMMYFUNCTION("""COMPUTED_VALUE"""),74928605)</f>
        <v>74928605</v>
      </c>
      <c r="C167" s="5" t="str">
        <f ca="1">IFERROR(__xludf.DUMMYFUNCTION("""COMPUTED_VALUE"""),"CELDA DE ALTA +K01")</f>
        <v>CELDA DE ALTA +K01</v>
      </c>
      <c r="D167" s="5">
        <f ca="1">IFERROR(__xludf.DUMMYFUNCTION("""COMPUTED_VALUE"""),13247406)</f>
        <v>13247406</v>
      </c>
      <c r="E167" s="5" t="str">
        <f ca="1">IFERROR(__xludf.DUMMYFUNCTION("""COMPUTED_VALUE"""),"INSPECCION SEMANAL CELDA DE ALTA +K01")</f>
        <v>INSPECCION SEMANAL CELDA DE ALTA +K01</v>
      </c>
      <c r="F167" s="5" t="str">
        <f ca="1">IFERROR(__xludf.DUMMYFUNCTION("""COMPUTED_VALUE"""),"PLAN MTTO CELDA DE ALTA +K01 7428605")</f>
        <v>PLAN MTTO CELDA DE ALTA +K01 7428605</v>
      </c>
      <c r="G167" s="5" t="b">
        <f ca="1">IFERROR(__xludf.DUMMYFUNCTION("""COMPUTED_VALUE"""),TRUE)</f>
        <v>1</v>
      </c>
      <c r="H167" s="5"/>
      <c r="I167" s="5"/>
      <c r="J167" s="5">
        <f ca="1">IFERROR(__xludf.DUMMYFUNCTION("""COMPUTED_VALUE"""),13247406)</f>
        <v>13247406</v>
      </c>
      <c r="K167" s="5"/>
      <c r="L167" s="18">
        <f ca="1">IFERROR(__xludf.DUMMYFUNCTION("""COMPUTED_VALUE"""),45324)</f>
        <v>45324</v>
      </c>
      <c r="M167" s="18">
        <f ca="1">IFERROR(__xludf.DUMMYFUNCTION("""COMPUTED_VALUE"""),45324)</f>
        <v>45324</v>
      </c>
      <c r="N167" s="5" t="str">
        <f ca="1">IFERROR(__xludf.DUMMYFUNCTION("""COMPUTED_VALUE"""),"MUÑOZ VALENCIA JEFFERSON")</f>
        <v>MUÑOZ VALENCIA JEFFERSON</v>
      </c>
      <c r="O167" s="2">
        <f ca="1">IFERROR(__xludf.DUMMYFUNCTION("""COMPUTED_VALUE"""),0.1)</f>
        <v>0.1</v>
      </c>
      <c r="P167" s="5">
        <f ca="1">IFERROR(__xludf.DUMMYFUNCTION("""COMPUTED_VALUE"""),20062055)</f>
        <v>20062055</v>
      </c>
      <c r="Q167" s="5" t="str">
        <f ca="1">IFERROR(__xludf.DUMMYFUNCTION("""COMPUTED_VALUE"""),"R7p4lV0VCZA")</f>
        <v>R7p4lV0VCZA</v>
      </c>
      <c r="R167" s="5">
        <f ca="1">IFERROR(__xludf.DUMMYFUNCTION("""COMPUTED_VALUE"""),410)</f>
        <v>410</v>
      </c>
      <c r="S167" s="62">
        <f ca="1">IFERROR(__xludf.DUMMYFUNCTION("""COMPUTED_VALUE"""),0.1)</f>
        <v>0.1</v>
      </c>
      <c r="T167" s="63" t="str">
        <f ca="1">IFERROR(__xludf.DUMMYFUNCTION("""COMPUTED_VALUE"""),"https://storage.googleapis.com/glide-prod.appspot.com/uploads-v2/ly7o78grxPaC6KdgvbpS/pub/3aRdSog0vUtuqPE8AJKD.png")</f>
        <v>https://storage.googleapis.com/glide-prod.appspot.com/uploads-v2/ly7o78grxPaC6KdgvbpS/pub/3aRdSog0vUtuqPE8AJKD.png</v>
      </c>
      <c r="U167" s="5" t="str">
        <f ca="1">IFERROR(__xludf.DUMMYFUNCTION("""COMPUTED_VALUE"""),"EQUIPOS ALTA Y BAJA TENSION ELECTRICACELDA DE ALTA +K01")</f>
        <v>EQUIPOS ALTA Y BAJA TENSION ELECTRICACELDA DE ALTA +K01</v>
      </c>
      <c r="V167" s="5"/>
      <c r="W167" s="5" t="b">
        <f ca="1">IFERROR(__xludf.DUMMYFUNCTION("""COMPUTED_VALUE"""),TRUE)</f>
        <v>1</v>
      </c>
      <c r="X167" s="5" t="str">
        <f ca="1">IFERROR(__xludf.DUMMYFUNCTION("""COMPUTED_VALUE"""),"wmazorra@postobon.com.co,aprmttoyu@postobon.com.co,aprmyu@postobon.com.co,wmora@postobon.com.co,efzapata@postobon.com.co")</f>
        <v>wmazorra@postobon.com.co,aprmttoyu@postobon.com.co,aprmyu@postobon.com.co,wmora@postobon.com.co,efzapata@postobon.com.co</v>
      </c>
      <c r="Y167" s="5" t="str">
        <f ca="1">IFERROR(__xludf.DUMMYFUNCTION("""COMPUTED_VALUE"""),"wmazorra@postobon.com.co")</f>
        <v>wmazorra@postobon.com.co</v>
      </c>
      <c r="Z167" s="5" t="str">
        <f ca="1">IFERROR(__xludf.DUMMYFUNCTION("""COMPUTED_VALUE"""),"QLVpvjLSQHifY7jvFBMb6g")</f>
        <v>QLVpvjLSQHifY7jvFBMb6g</v>
      </c>
      <c r="AA167" s="5"/>
      <c r="AB167" s="5"/>
      <c r="AC167" s="5"/>
      <c r="AD167" s="5">
        <f ca="1">IFERROR(__xludf.DUMMYFUNCTION("""COMPUTED_VALUE"""),58)</f>
        <v>58</v>
      </c>
      <c r="AE167" s="5">
        <f ca="1">IFERROR(__xludf.DUMMYFUNCTION("""COMPUTED_VALUE"""),58)</f>
        <v>58</v>
      </c>
      <c r="AF167" s="5" t="b">
        <f ca="1">IFERROR(__xludf.DUMMYFUNCTION("""COMPUTED_VALUE"""),FALSE)</f>
        <v>0</v>
      </c>
      <c r="AG167" s="5" t="str">
        <f ca="1">IFERROR(__xludf.DUMMYFUNCTION("""COMPUTED_VALUE"""),"INSPECCIONES REALIZADAS")</f>
        <v>INSPECCIONES REALIZADAS</v>
      </c>
      <c r="AH167" s="5"/>
    </row>
    <row r="168" spans="1:34">
      <c r="A168" s="5" t="str">
        <f ca="1">IFERROR(__xludf.DUMMYFUNCTION("""COMPUTED_VALUE"""),"EQUIPOS ALTA Y BAJA TENSION ELECTRICA")</f>
        <v>EQUIPOS ALTA Y BAJA TENSION ELECTRICA</v>
      </c>
      <c r="B168" s="5">
        <f ca="1">IFERROR(__xludf.DUMMYFUNCTION("""COMPUTED_VALUE"""),74928606)</f>
        <v>74928606</v>
      </c>
      <c r="C168" s="5" t="str">
        <f ca="1">IFERROR(__xludf.DUMMYFUNCTION("""COMPUTED_VALUE"""),"CELDA DE ALTA +K02")</f>
        <v>CELDA DE ALTA +K02</v>
      </c>
      <c r="D168" s="5">
        <f ca="1">IFERROR(__xludf.DUMMYFUNCTION("""COMPUTED_VALUE"""),13247409)</f>
        <v>13247409</v>
      </c>
      <c r="E168" s="5" t="str">
        <f ca="1">IFERROR(__xludf.DUMMYFUNCTION("""COMPUTED_VALUE"""),"INSPECCION SEMANAL CELDA DE ALTA +K02")</f>
        <v>INSPECCION SEMANAL CELDA DE ALTA +K02</v>
      </c>
      <c r="F168" s="5" t="str">
        <f ca="1">IFERROR(__xludf.DUMMYFUNCTION("""COMPUTED_VALUE"""),"PLAN MTTO CELDA DE ALTA +K02 74928606")</f>
        <v>PLAN MTTO CELDA DE ALTA +K02 74928606</v>
      </c>
      <c r="G168" s="5" t="b">
        <f ca="1">IFERROR(__xludf.DUMMYFUNCTION("""COMPUTED_VALUE"""),TRUE)</f>
        <v>1</v>
      </c>
      <c r="H168" s="5"/>
      <c r="I168" s="5"/>
      <c r="J168" s="5">
        <f ca="1">IFERROR(__xludf.DUMMYFUNCTION("""COMPUTED_VALUE"""),13247409)</f>
        <v>13247409</v>
      </c>
      <c r="K168" s="5"/>
      <c r="L168" s="18">
        <f ca="1">IFERROR(__xludf.DUMMYFUNCTION("""COMPUTED_VALUE"""),45325)</f>
        <v>45325</v>
      </c>
      <c r="M168" s="18">
        <f ca="1">IFERROR(__xludf.DUMMYFUNCTION("""COMPUTED_VALUE"""),45325)</f>
        <v>45325</v>
      </c>
      <c r="N168" s="5" t="str">
        <f ca="1">IFERROR(__xludf.DUMMYFUNCTION("""COMPUTED_VALUE"""),"MUÑOZ VALENCIA JEFFERSON")</f>
        <v>MUÑOZ VALENCIA JEFFERSON</v>
      </c>
      <c r="O168" s="2">
        <f ca="1">IFERROR(__xludf.DUMMYFUNCTION("""COMPUTED_VALUE"""),0.1)</f>
        <v>0.1</v>
      </c>
      <c r="P168" s="5">
        <f ca="1">IFERROR(__xludf.DUMMYFUNCTION("""COMPUTED_VALUE"""),20062055)</f>
        <v>20062055</v>
      </c>
      <c r="Q168" s="5" t="str">
        <f ca="1">IFERROR(__xludf.DUMMYFUNCTION("""COMPUTED_VALUE"""),"RG0Kg8MKmto")</f>
        <v>RG0Kg8MKmto</v>
      </c>
      <c r="R168" s="5">
        <f ca="1">IFERROR(__xludf.DUMMYFUNCTION("""COMPUTED_VALUE"""),410)</f>
        <v>410</v>
      </c>
      <c r="S168" s="62">
        <f ca="1">IFERROR(__xludf.DUMMYFUNCTION("""COMPUTED_VALUE"""),0.1)</f>
        <v>0.1</v>
      </c>
      <c r="T168" s="63" t="str">
        <f ca="1">IFERROR(__xludf.DUMMYFUNCTION("""COMPUTED_VALUE"""),"https://storage.googleapis.com/glide-prod.appspot.com/uploads-v2/ly7o78grxPaC6KdgvbpS/pub/3aRdSog0vUtuqPE8AJKD.png")</f>
        <v>https://storage.googleapis.com/glide-prod.appspot.com/uploads-v2/ly7o78grxPaC6KdgvbpS/pub/3aRdSog0vUtuqPE8AJKD.png</v>
      </c>
      <c r="U168" s="5" t="str">
        <f ca="1">IFERROR(__xludf.DUMMYFUNCTION("""COMPUTED_VALUE"""),"EQUIPOS ALTA Y BAJA TENSION ELECTRICACELDA DE ALTA +K02")</f>
        <v>EQUIPOS ALTA Y BAJA TENSION ELECTRICACELDA DE ALTA +K02</v>
      </c>
      <c r="V168" s="5"/>
      <c r="W168" s="5" t="b">
        <f ca="1">IFERROR(__xludf.DUMMYFUNCTION("""COMPUTED_VALUE"""),TRUE)</f>
        <v>1</v>
      </c>
      <c r="X168" s="5" t="str">
        <f ca="1">IFERROR(__xludf.DUMMYFUNCTION("""COMPUTED_VALUE"""),"wmazorra@postobon.com.co,aprmttoyu@postobon.com.co,aprmyu@postobon.com.co,wmora@postobon.com.co,efzapata@postobon.com.co")</f>
        <v>wmazorra@postobon.com.co,aprmttoyu@postobon.com.co,aprmyu@postobon.com.co,wmora@postobon.com.co,efzapata@postobon.com.co</v>
      </c>
      <c r="Y168" s="5" t="str">
        <f ca="1">IFERROR(__xludf.DUMMYFUNCTION("""COMPUTED_VALUE"""),"wmazorra@postobon.com.co")</f>
        <v>wmazorra@postobon.com.co</v>
      </c>
      <c r="Z168" s="5" t="str">
        <f ca="1">IFERROR(__xludf.DUMMYFUNCTION("""COMPUTED_VALUE"""),"G9mZzxmWTqGx928PPDJvsQ")</f>
        <v>G9mZzxmWTqGx928PPDJvsQ</v>
      </c>
      <c r="AA168" s="5"/>
      <c r="AB168" s="5"/>
      <c r="AC168" s="5"/>
      <c r="AD168" s="5">
        <f ca="1">IFERROR(__xludf.DUMMYFUNCTION("""COMPUTED_VALUE"""),58)</f>
        <v>58</v>
      </c>
      <c r="AE168" s="5">
        <f ca="1">IFERROR(__xludf.DUMMYFUNCTION("""COMPUTED_VALUE"""),58)</f>
        <v>58</v>
      </c>
      <c r="AF168" s="5" t="b">
        <f ca="1">IFERROR(__xludf.DUMMYFUNCTION("""COMPUTED_VALUE"""),FALSE)</f>
        <v>0</v>
      </c>
      <c r="AG168" s="5" t="str">
        <f ca="1">IFERROR(__xludf.DUMMYFUNCTION("""COMPUTED_VALUE"""),"INSPECCIONES REALIZADAS")</f>
        <v>INSPECCIONES REALIZADAS</v>
      </c>
      <c r="AH168" s="5"/>
    </row>
    <row r="169" spans="1:34">
      <c r="A169" s="5" t="str">
        <f ca="1">IFERROR(__xludf.DUMMYFUNCTION("""COMPUTED_VALUE"""),"EQUIPOS ALTA Y BAJA TENSION ELECTRICA")</f>
        <v>EQUIPOS ALTA Y BAJA TENSION ELECTRICA</v>
      </c>
      <c r="B169" s="5">
        <f ca="1">IFERROR(__xludf.DUMMYFUNCTION("""COMPUTED_VALUE"""),74928607)</f>
        <v>74928607</v>
      </c>
      <c r="C169" s="5" t="str">
        <f ca="1">IFERROR(__xludf.DUMMYFUNCTION("""COMPUTED_VALUE"""),"CELDA DE ALTA +K03")</f>
        <v>CELDA DE ALTA +K03</v>
      </c>
      <c r="D169" s="5">
        <f ca="1">IFERROR(__xludf.DUMMYFUNCTION("""COMPUTED_VALUE"""),13247411)</f>
        <v>13247411</v>
      </c>
      <c r="E169" s="5" t="str">
        <f ca="1">IFERROR(__xludf.DUMMYFUNCTION("""COMPUTED_VALUE"""),"INSPECCION SEMANAL CELDA DE ALTA +K03")</f>
        <v>INSPECCION SEMANAL CELDA DE ALTA +K03</v>
      </c>
      <c r="F169" s="5" t="str">
        <f ca="1">IFERROR(__xludf.DUMMYFUNCTION("""COMPUTED_VALUE"""),"PLAN MTTO CELDA DE ALTA +K03 74928607")</f>
        <v>PLAN MTTO CELDA DE ALTA +K03 74928607</v>
      </c>
      <c r="G169" s="5" t="b">
        <f ca="1">IFERROR(__xludf.DUMMYFUNCTION("""COMPUTED_VALUE"""),TRUE)</f>
        <v>1</v>
      </c>
      <c r="H169" s="5"/>
      <c r="I169" s="5"/>
      <c r="J169" s="5">
        <f ca="1">IFERROR(__xludf.DUMMYFUNCTION("""COMPUTED_VALUE"""),13247411)</f>
        <v>13247411</v>
      </c>
      <c r="K169" s="5"/>
      <c r="L169" s="18">
        <f ca="1">IFERROR(__xludf.DUMMYFUNCTION("""COMPUTED_VALUE"""),45325)</f>
        <v>45325</v>
      </c>
      <c r="M169" s="18">
        <f ca="1">IFERROR(__xludf.DUMMYFUNCTION("""COMPUTED_VALUE"""),45325)</f>
        <v>45325</v>
      </c>
      <c r="N169" s="5" t="str">
        <f ca="1">IFERROR(__xludf.DUMMYFUNCTION("""COMPUTED_VALUE"""),"MUÑOZ VALENCIA JEFFERSON")</f>
        <v>MUÑOZ VALENCIA JEFFERSON</v>
      </c>
      <c r="O169" s="2">
        <f ca="1">IFERROR(__xludf.DUMMYFUNCTION("""COMPUTED_VALUE"""),0.1)</f>
        <v>0.1</v>
      </c>
      <c r="P169" s="5">
        <f ca="1">IFERROR(__xludf.DUMMYFUNCTION("""COMPUTED_VALUE"""),20062055)</f>
        <v>20062055</v>
      </c>
      <c r="Q169" s="5" t="str">
        <f ca="1">IFERROR(__xludf.DUMMYFUNCTION("""COMPUTED_VALUE"""),"VTP8blmg4IE")</f>
        <v>VTP8blmg4IE</v>
      </c>
      <c r="R169" s="5">
        <f ca="1">IFERROR(__xludf.DUMMYFUNCTION("""COMPUTED_VALUE"""),410)</f>
        <v>410</v>
      </c>
      <c r="S169" s="62">
        <f ca="1">IFERROR(__xludf.DUMMYFUNCTION("""COMPUTED_VALUE"""),0.1)</f>
        <v>0.1</v>
      </c>
      <c r="T169" s="63" t="str">
        <f ca="1">IFERROR(__xludf.DUMMYFUNCTION("""COMPUTED_VALUE"""),"https://storage.googleapis.com/glide-prod.appspot.com/uploads-v2/ly7o78grxPaC6KdgvbpS/pub/3aRdSog0vUtuqPE8AJKD.png")</f>
        <v>https://storage.googleapis.com/glide-prod.appspot.com/uploads-v2/ly7o78grxPaC6KdgvbpS/pub/3aRdSog0vUtuqPE8AJKD.png</v>
      </c>
      <c r="U169" s="5" t="str">
        <f ca="1">IFERROR(__xludf.DUMMYFUNCTION("""COMPUTED_VALUE"""),"EQUIPOS ALTA Y BAJA TENSION ELECTRICACELDA DE ALTA +K03")</f>
        <v>EQUIPOS ALTA Y BAJA TENSION ELECTRICACELDA DE ALTA +K03</v>
      </c>
      <c r="V169" s="5"/>
      <c r="W169" s="5" t="b">
        <f ca="1">IFERROR(__xludf.DUMMYFUNCTION("""COMPUTED_VALUE"""),TRUE)</f>
        <v>1</v>
      </c>
      <c r="X169" s="5" t="str">
        <f ca="1">IFERROR(__xludf.DUMMYFUNCTION("""COMPUTED_VALUE"""),"wmazorra@postobon.com.co,aprmttoyu@postobon.com.co,aprmyu@postobon.com.co,wmora@postobon.com.co,efzapata@postobon.com.co")</f>
        <v>wmazorra@postobon.com.co,aprmttoyu@postobon.com.co,aprmyu@postobon.com.co,wmora@postobon.com.co,efzapata@postobon.com.co</v>
      </c>
      <c r="Y169" s="5" t="str">
        <f ca="1">IFERROR(__xludf.DUMMYFUNCTION("""COMPUTED_VALUE"""),"wmazorra@postobon.com.co")</f>
        <v>wmazorra@postobon.com.co</v>
      </c>
      <c r="Z169" s="5" t="str">
        <f ca="1">IFERROR(__xludf.DUMMYFUNCTION("""COMPUTED_VALUE"""),"X7kDwiW6R.Kq5DI2DmAZ1g")</f>
        <v>X7kDwiW6R.Kq5DI2DmAZ1g</v>
      </c>
      <c r="AA169" s="5"/>
      <c r="AB169" s="5"/>
      <c r="AC169" s="5"/>
      <c r="AD169" s="5">
        <f ca="1">IFERROR(__xludf.DUMMYFUNCTION("""COMPUTED_VALUE"""),58)</f>
        <v>58</v>
      </c>
      <c r="AE169" s="5">
        <f ca="1">IFERROR(__xludf.DUMMYFUNCTION("""COMPUTED_VALUE"""),58)</f>
        <v>58</v>
      </c>
      <c r="AF169" s="5" t="b">
        <f ca="1">IFERROR(__xludf.DUMMYFUNCTION("""COMPUTED_VALUE"""),FALSE)</f>
        <v>0</v>
      </c>
      <c r="AG169" s="5" t="str">
        <f ca="1">IFERROR(__xludf.DUMMYFUNCTION("""COMPUTED_VALUE"""),"INSPECCIONES REALIZADAS")</f>
        <v>INSPECCIONES REALIZADAS</v>
      </c>
      <c r="AH169" s="5"/>
    </row>
    <row r="170" spans="1:34">
      <c r="A170" s="5" t="str">
        <f ca="1">IFERROR(__xludf.DUMMYFUNCTION("""COMPUTED_VALUE"""),"EQUIPOS ALTA Y BAJA TENSION ELECTRICA")</f>
        <v>EQUIPOS ALTA Y BAJA TENSION ELECTRICA</v>
      </c>
      <c r="B170" s="5">
        <f ca="1">IFERROR(__xludf.DUMMYFUNCTION("""COMPUTED_VALUE"""),74928608)</f>
        <v>74928608</v>
      </c>
      <c r="C170" s="5" t="str">
        <f ca="1">IFERROR(__xludf.DUMMYFUNCTION("""COMPUTED_VALUE"""),"CELDA DE ALTA +K04")</f>
        <v>CELDA DE ALTA +K04</v>
      </c>
      <c r="D170" s="5">
        <f ca="1">IFERROR(__xludf.DUMMYFUNCTION("""COMPUTED_VALUE"""),13247412)</f>
        <v>13247412</v>
      </c>
      <c r="E170" s="5" t="str">
        <f ca="1">IFERROR(__xludf.DUMMYFUNCTION("""COMPUTED_VALUE"""),"INSPECCION SEMANAL CELDA DE ALTA +K04")</f>
        <v>INSPECCION SEMANAL CELDA DE ALTA +K04</v>
      </c>
      <c r="F170" s="5" t="str">
        <f ca="1">IFERROR(__xludf.DUMMYFUNCTION("""COMPUTED_VALUE"""),"PLAN MTTO CELDA DE ALTA +K04 74928608")</f>
        <v>PLAN MTTO CELDA DE ALTA +K04 74928608</v>
      </c>
      <c r="G170" s="5" t="b">
        <f ca="1">IFERROR(__xludf.DUMMYFUNCTION("""COMPUTED_VALUE"""),TRUE)</f>
        <v>1</v>
      </c>
      <c r="H170" s="5"/>
      <c r="I170" s="5"/>
      <c r="J170" s="5">
        <f ca="1">IFERROR(__xludf.DUMMYFUNCTION("""COMPUTED_VALUE"""),13247412)</f>
        <v>13247412</v>
      </c>
      <c r="K170" s="5"/>
      <c r="L170" s="18">
        <f ca="1">IFERROR(__xludf.DUMMYFUNCTION("""COMPUTED_VALUE"""),45324)</f>
        <v>45324</v>
      </c>
      <c r="M170" s="18">
        <f ca="1">IFERROR(__xludf.DUMMYFUNCTION("""COMPUTED_VALUE"""),45324)</f>
        <v>45324</v>
      </c>
      <c r="N170" s="5" t="str">
        <f ca="1">IFERROR(__xludf.DUMMYFUNCTION("""COMPUTED_VALUE"""),"MUÑOZ VALENCIA JEFFERSON")</f>
        <v>MUÑOZ VALENCIA JEFFERSON</v>
      </c>
      <c r="O170" s="2">
        <f ca="1">IFERROR(__xludf.DUMMYFUNCTION("""COMPUTED_VALUE"""),0.1)</f>
        <v>0.1</v>
      </c>
      <c r="P170" s="5">
        <f ca="1">IFERROR(__xludf.DUMMYFUNCTION("""COMPUTED_VALUE"""),20062055)</f>
        <v>20062055</v>
      </c>
      <c r="Q170" s="5" t="str">
        <f ca="1">IFERROR(__xludf.DUMMYFUNCTION("""COMPUTED_VALUE"""),"pwc5M4nitYk")</f>
        <v>pwc5M4nitYk</v>
      </c>
      <c r="R170" s="5">
        <f ca="1">IFERROR(__xludf.DUMMYFUNCTION("""COMPUTED_VALUE"""),410)</f>
        <v>410</v>
      </c>
      <c r="S170" s="62">
        <f ca="1">IFERROR(__xludf.DUMMYFUNCTION("""COMPUTED_VALUE"""),0.1)</f>
        <v>0.1</v>
      </c>
      <c r="T170" s="63" t="str">
        <f ca="1">IFERROR(__xludf.DUMMYFUNCTION("""COMPUTED_VALUE"""),"https://storage.googleapis.com/glide-prod.appspot.com/uploads-v2/ly7o78grxPaC6KdgvbpS/pub/3aRdSog0vUtuqPE8AJKD.png")</f>
        <v>https://storage.googleapis.com/glide-prod.appspot.com/uploads-v2/ly7o78grxPaC6KdgvbpS/pub/3aRdSog0vUtuqPE8AJKD.png</v>
      </c>
      <c r="U170" s="5" t="str">
        <f ca="1">IFERROR(__xludf.DUMMYFUNCTION("""COMPUTED_VALUE"""),"EQUIPOS ALTA Y BAJA TENSION ELECTRICACELDA DE ALTA +K04")</f>
        <v>EQUIPOS ALTA Y BAJA TENSION ELECTRICACELDA DE ALTA +K04</v>
      </c>
      <c r="V170" s="5"/>
      <c r="W170" s="5" t="b">
        <f ca="1">IFERROR(__xludf.DUMMYFUNCTION("""COMPUTED_VALUE"""),TRUE)</f>
        <v>1</v>
      </c>
      <c r="X170" s="5" t="str">
        <f ca="1">IFERROR(__xludf.DUMMYFUNCTION("""COMPUTED_VALUE"""),"wmazorra@postobon.com.co,aprmttoyu@postobon.com.co,aprmyu@postobon.com.co,wmora@postobon.com.co,efzapata@postobon.com.co")</f>
        <v>wmazorra@postobon.com.co,aprmttoyu@postobon.com.co,aprmyu@postobon.com.co,wmora@postobon.com.co,efzapata@postobon.com.co</v>
      </c>
      <c r="Y170" s="5" t="str">
        <f ca="1">IFERROR(__xludf.DUMMYFUNCTION("""COMPUTED_VALUE"""),"wmazorra@postobon.com.co")</f>
        <v>wmazorra@postobon.com.co</v>
      </c>
      <c r="Z170" s="5" t="str">
        <f ca="1">IFERROR(__xludf.DUMMYFUNCTION("""COMPUTED_VALUE"""),"5wYuJbKsSiqacXFcgNs32g")</f>
        <v>5wYuJbKsSiqacXFcgNs32g</v>
      </c>
      <c r="AA170" s="5"/>
      <c r="AB170" s="5"/>
      <c r="AC170" s="5"/>
      <c r="AD170" s="5">
        <f ca="1">IFERROR(__xludf.DUMMYFUNCTION("""COMPUTED_VALUE"""),58)</f>
        <v>58</v>
      </c>
      <c r="AE170" s="5">
        <f ca="1">IFERROR(__xludf.DUMMYFUNCTION("""COMPUTED_VALUE"""),58)</f>
        <v>58</v>
      </c>
      <c r="AF170" s="5" t="b">
        <f ca="1">IFERROR(__xludf.DUMMYFUNCTION("""COMPUTED_VALUE"""),FALSE)</f>
        <v>0</v>
      </c>
      <c r="AG170" s="5" t="str">
        <f ca="1">IFERROR(__xludf.DUMMYFUNCTION("""COMPUTED_VALUE"""),"INSPECCIONES REALIZADAS")</f>
        <v>INSPECCIONES REALIZADAS</v>
      </c>
      <c r="AH170" s="5"/>
    </row>
    <row r="171" spans="1:34">
      <c r="A171" s="5" t="str">
        <f ca="1">IFERROR(__xludf.DUMMYFUNCTION("""COMPUTED_VALUE"""),"EQUIPOS ALTA Y BAJA TENSION ELECTRICA")</f>
        <v>EQUIPOS ALTA Y BAJA TENSION ELECTRICA</v>
      </c>
      <c r="B171" s="5">
        <f ca="1">IFERROR(__xludf.DUMMYFUNCTION("""COMPUTED_VALUE"""),74928609)</f>
        <v>74928609</v>
      </c>
      <c r="C171" s="5" t="str">
        <f ca="1">IFERROR(__xludf.DUMMYFUNCTION("""COMPUTED_VALUE"""),"CELDA DE ALTA +K05")</f>
        <v>CELDA DE ALTA +K05</v>
      </c>
      <c r="D171" s="5">
        <f ca="1">IFERROR(__xludf.DUMMYFUNCTION("""COMPUTED_VALUE"""),13247414)</f>
        <v>13247414</v>
      </c>
      <c r="E171" s="5" t="str">
        <f ca="1">IFERROR(__xludf.DUMMYFUNCTION("""COMPUTED_VALUE"""),"INSPECCION SEMANAL CELDA DE ALTA +K05")</f>
        <v>INSPECCION SEMANAL CELDA DE ALTA +K05</v>
      </c>
      <c r="F171" s="5" t="str">
        <f ca="1">IFERROR(__xludf.DUMMYFUNCTION("""COMPUTED_VALUE"""),"PLAN MTTO CELDA DE ALTA +K05 74928609")</f>
        <v>PLAN MTTO CELDA DE ALTA +K05 74928609</v>
      </c>
      <c r="G171" s="5" t="b">
        <f ca="1">IFERROR(__xludf.DUMMYFUNCTION("""COMPUTED_VALUE"""),TRUE)</f>
        <v>1</v>
      </c>
      <c r="H171" s="5"/>
      <c r="I171" s="5"/>
      <c r="J171" s="5">
        <f ca="1">IFERROR(__xludf.DUMMYFUNCTION("""COMPUTED_VALUE"""),13247414)</f>
        <v>13247414</v>
      </c>
      <c r="K171" s="5"/>
      <c r="L171" s="18">
        <f ca="1">IFERROR(__xludf.DUMMYFUNCTION("""COMPUTED_VALUE"""),45324)</f>
        <v>45324</v>
      </c>
      <c r="M171" s="18">
        <f ca="1">IFERROR(__xludf.DUMMYFUNCTION("""COMPUTED_VALUE"""),45324)</f>
        <v>45324</v>
      </c>
      <c r="N171" s="5" t="str">
        <f ca="1">IFERROR(__xludf.DUMMYFUNCTION("""COMPUTED_VALUE"""),"MUÑOZ VALENCIA JEFFERSON")</f>
        <v>MUÑOZ VALENCIA JEFFERSON</v>
      </c>
      <c r="O171" s="2">
        <f ca="1">IFERROR(__xludf.DUMMYFUNCTION("""COMPUTED_VALUE"""),0.1)</f>
        <v>0.1</v>
      </c>
      <c r="P171" s="5">
        <f ca="1">IFERROR(__xludf.DUMMYFUNCTION("""COMPUTED_VALUE"""),20062055)</f>
        <v>20062055</v>
      </c>
      <c r="Q171" s="5" t="str">
        <f ca="1">IFERROR(__xludf.DUMMYFUNCTION("""COMPUTED_VALUE"""),"YesF-njcHdU")</f>
        <v>YesF-njcHdU</v>
      </c>
      <c r="R171" s="5">
        <f ca="1">IFERROR(__xludf.DUMMYFUNCTION("""COMPUTED_VALUE"""),410)</f>
        <v>410</v>
      </c>
      <c r="S171" s="62">
        <f ca="1">IFERROR(__xludf.DUMMYFUNCTION("""COMPUTED_VALUE"""),0.1)</f>
        <v>0.1</v>
      </c>
      <c r="T171" s="63" t="str">
        <f ca="1">IFERROR(__xludf.DUMMYFUNCTION("""COMPUTED_VALUE"""),"https://storage.googleapis.com/glide-prod.appspot.com/uploads-v2/ly7o78grxPaC6KdgvbpS/pub/3aRdSog0vUtuqPE8AJKD.png")</f>
        <v>https://storage.googleapis.com/glide-prod.appspot.com/uploads-v2/ly7o78grxPaC6KdgvbpS/pub/3aRdSog0vUtuqPE8AJKD.png</v>
      </c>
      <c r="U171" s="5" t="str">
        <f ca="1">IFERROR(__xludf.DUMMYFUNCTION("""COMPUTED_VALUE"""),"EQUIPOS ALTA Y BAJA TENSION ELECTRICACELDA DE ALTA +K05")</f>
        <v>EQUIPOS ALTA Y BAJA TENSION ELECTRICACELDA DE ALTA +K05</v>
      </c>
      <c r="V171" s="5"/>
      <c r="W171" s="5" t="b">
        <f ca="1">IFERROR(__xludf.DUMMYFUNCTION("""COMPUTED_VALUE"""),TRUE)</f>
        <v>1</v>
      </c>
      <c r="X171" s="5" t="str">
        <f ca="1">IFERROR(__xludf.DUMMYFUNCTION("""COMPUTED_VALUE"""),"wmazorra@postobon.com.co,aprmttoyu@postobon.com.co,aprmyu@postobon.com.co,wmora@postobon.com.co,efzapata@postobon.com.co")</f>
        <v>wmazorra@postobon.com.co,aprmttoyu@postobon.com.co,aprmyu@postobon.com.co,wmora@postobon.com.co,efzapata@postobon.com.co</v>
      </c>
      <c r="Y171" s="5" t="str">
        <f ca="1">IFERROR(__xludf.DUMMYFUNCTION("""COMPUTED_VALUE"""),"wmazorra@postobon.com.co")</f>
        <v>wmazorra@postobon.com.co</v>
      </c>
      <c r="Z171" s="5" t="str">
        <f ca="1">IFERROR(__xludf.DUMMYFUNCTION("""COMPUTED_VALUE"""),"VamqqbTTROGGMiC5G-NYWg")</f>
        <v>VamqqbTTROGGMiC5G-NYWg</v>
      </c>
      <c r="AA171" s="5"/>
      <c r="AB171" s="5"/>
      <c r="AC171" s="5"/>
      <c r="AD171" s="5">
        <f ca="1">IFERROR(__xludf.DUMMYFUNCTION("""COMPUTED_VALUE"""),58)</f>
        <v>58</v>
      </c>
      <c r="AE171" s="5">
        <f ca="1">IFERROR(__xludf.DUMMYFUNCTION("""COMPUTED_VALUE"""),58)</f>
        <v>58</v>
      </c>
      <c r="AF171" s="5" t="b">
        <f ca="1">IFERROR(__xludf.DUMMYFUNCTION("""COMPUTED_VALUE"""),FALSE)</f>
        <v>0</v>
      </c>
      <c r="AG171" s="5" t="str">
        <f ca="1">IFERROR(__xludf.DUMMYFUNCTION("""COMPUTED_VALUE"""),"INSPECCIONES REALIZADAS")</f>
        <v>INSPECCIONES REALIZADAS</v>
      </c>
      <c r="AH171" s="5"/>
    </row>
    <row r="172" spans="1:34">
      <c r="A172" s="5" t="str">
        <f ca="1">IFERROR(__xludf.DUMMYFUNCTION("""COMPUTED_VALUE"""),"EQUIPOS ALTA Y BAJA TENSION ELECTRICA")</f>
        <v>EQUIPOS ALTA Y BAJA TENSION ELECTRICA</v>
      </c>
      <c r="B172" s="5">
        <f ca="1">IFERROR(__xludf.DUMMYFUNCTION("""COMPUTED_VALUE"""),74928610)</f>
        <v>74928610</v>
      </c>
      <c r="C172" s="5" t="str">
        <f ca="1">IFERROR(__xludf.DUMMYFUNCTION("""COMPUTED_VALUE"""),"CELDA DE ALTA +K06")</f>
        <v>CELDA DE ALTA +K06</v>
      </c>
      <c r="D172" s="5">
        <f ca="1">IFERROR(__xludf.DUMMYFUNCTION("""COMPUTED_VALUE"""),13247416)</f>
        <v>13247416</v>
      </c>
      <c r="E172" s="5" t="str">
        <f ca="1">IFERROR(__xludf.DUMMYFUNCTION("""COMPUTED_VALUE"""),"INSPECCION SEMANAL CELDA DE ALTA +K06")</f>
        <v>INSPECCION SEMANAL CELDA DE ALTA +K06</v>
      </c>
      <c r="F172" s="5" t="str">
        <f ca="1">IFERROR(__xludf.DUMMYFUNCTION("""COMPUTED_VALUE"""),"PLAN MTTO CELDA DE ALTA +K06 74928610")</f>
        <v>PLAN MTTO CELDA DE ALTA +K06 74928610</v>
      </c>
      <c r="G172" s="5" t="b">
        <f ca="1">IFERROR(__xludf.DUMMYFUNCTION("""COMPUTED_VALUE"""),TRUE)</f>
        <v>1</v>
      </c>
      <c r="H172" s="5"/>
      <c r="I172" s="5"/>
      <c r="J172" s="5">
        <f ca="1">IFERROR(__xludf.DUMMYFUNCTION("""COMPUTED_VALUE"""),13247416)</f>
        <v>13247416</v>
      </c>
      <c r="K172" s="5"/>
      <c r="L172" s="18">
        <f ca="1">IFERROR(__xludf.DUMMYFUNCTION("""COMPUTED_VALUE"""),45324)</f>
        <v>45324</v>
      </c>
      <c r="M172" s="18">
        <f ca="1">IFERROR(__xludf.DUMMYFUNCTION("""COMPUTED_VALUE"""),45324)</f>
        <v>45324</v>
      </c>
      <c r="N172" s="5" t="str">
        <f ca="1">IFERROR(__xludf.DUMMYFUNCTION("""COMPUTED_VALUE"""),"MUÑOZ VALENCIA JEFFERSON")</f>
        <v>MUÑOZ VALENCIA JEFFERSON</v>
      </c>
      <c r="O172" s="2">
        <f ca="1">IFERROR(__xludf.DUMMYFUNCTION("""COMPUTED_VALUE"""),0.1)</f>
        <v>0.1</v>
      </c>
      <c r="P172" s="5">
        <f ca="1">IFERROR(__xludf.DUMMYFUNCTION("""COMPUTED_VALUE"""),20062055)</f>
        <v>20062055</v>
      </c>
      <c r="Q172" s="5" t="str">
        <f ca="1">IFERROR(__xludf.DUMMYFUNCTION("""COMPUTED_VALUE"""),"ItEG4B3-Kh8")</f>
        <v>ItEG4B3-Kh8</v>
      </c>
      <c r="R172" s="5">
        <f ca="1">IFERROR(__xludf.DUMMYFUNCTION("""COMPUTED_VALUE"""),410)</f>
        <v>410</v>
      </c>
      <c r="S172" s="62">
        <f ca="1">IFERROR(__xludf.DUMMYFUNCTION("""COMPUTED_VALUE"""),0.1)</f>
        <v>0.1</v>
      </c>
      <c r="T172" s="63" t="str">
        <f ca="1">IFERROR(__xludf.DUMMYFUNCTION("""COMPUTED_VALUE"""),"https://storage.googleapis.com/glide-prod.appspot.com/uploads-v2/ly7o78grxPaC6KdgvbpS/pub/3aRdSog0vUtuqPE8AJKD.png")</f>
        <v>https://storage.googleapis.com/glide-prod.appspot.com/uploads-v2/ly7o78grxPaC6KdgvbpS/pub/3aRdSog0vUtuqPE8AJKD.png</v>
      </c>
      <c r="U172" s="5" t="str">
        <f ca="1">IFERROR(__xludf.DUMMYFUNCTION("""COMPUTED_VALUE"""),"EQUIPOS ALTA Y BAJA TENSION ELECTRICACELDA DE ALTA +K06")</f>
        <v>EQUIPOS ALTA Y BAJA TENSION ELECTRICACELDA DE ALTA +K06</v>
      </c>
      <c r="V172" s="5"/>
      <c r="W172" s="5" t="b">
        <f ca="1">IFERROR(__xludf.DUMMYFUNCTION("""COMPUTED_VALUE"""),TRUE)</f>
        <v>1</v>
      </c>
      <c r="X172" s="5" t="str">
        <f ca="1">IFERROR(__xludf.DUMMYFUNCTION("""COMPUTED_VALUE"""),"wmazorra@postobon.com.co,aprmttoyu@postobon.com.co,aprmyu@postobon.com.co,wmora@postobon.com.co,efzapata@postobon.com.co")</f>
        <v>wmazorra@postobon.com.co,aprmttoyu@postobon.com.co,aprmyu@postobon.com.co,wmora@postobon.com.co,efzapata@postobon.com.co</v>
      </c>
      <c r="Y172" s="5" t="str">
        <f ca="1">IFERROR(__xludf.DUMMYFUNCTION("""COMPUTED_VALUE"""),"wmazorra@postobon.com.co")</f>
        <v>wmazorra@postobon.com.co</v>
      </c>
      <c r="Z172" s="5" t="str">
        <f ca="1">IFERROR(__xludf.DUMMYFUNCTION("""COMPUTED_VALUE"""),"zvpPLLnBQYGrNuBXS5yK7Q")</f>
        <v>zvpPLLnBQYGrNuBXS5yK7Q</v>
      </c>
      <c r="AA172" s="5"/>
      <c r="AB172" s="5"/>
      <c r="AC172" s="5"/>
      <c r="AD172" s="5">
        <f ca="1">IFERROR(__xludf.DUMMYFUNCTION("""COMPUTED_VALUE"""),58)</f>
        <v>58</v>
      </c>
      <c r="AE172" s="5">
        <f ca="1">IFERROR(__xludf.DUMMYFUNCTION("""COMPUTED_VALUE"""),58)</f>
        <v>58</v>
      </c>
      <c r="AF172" s="5" t="b">
        <f ca="1">IFERROR(__xludf.DUMMYFUNCTION("""COMPUTED_VALUE"""),FALSE)</f>
        <v>0</v>
      </c>
      <c r="AG172" s="5" t="str">
        <f ca="1">IFERROR(__xludf.DUMMYFUNCTION("""COMPUTED_VALUE"""),"INSPECCIONES REALIZADAS")</f>
        <v>INSPECCIONES REALIZADAS</v>
      </c>
      <c r="AH172" s="5"/>
    </row>
    <row r="173" spans="1:34">
      <c r="A173" s="5" t="str">
        <f ca="1">IFERROR(__xludf.DUMMYFUNCTION("""COMPUTED_VALUE"""),"EQUIPOS ALTA Y BAJA TENSION ELECTRICA")</f>
        <v>EQUIPOS ALTA Y BAJA TENSION ELECTRICA</v>
      </c>
      <c r="B173" s="5">
        <f ca="1">IFERROR(__xludf.DUMMYFUNCTION("""COMPUTED_VALUE"""),74928611)</f>
        <v>74928611</v>
      </c>
      <c r="C173" s="5" t="str">
        <f ca="1">IFERROR(__xludf.DUMMYFUNCTION("""COMPUTED_VALUE"""),"CELDA DE ALTA +K07")</f>
        <v>CELDA DE ALTA +K07</v>
      </c>
      <c r="D173" s="5">
        <f ca="1">IFERROR(__xludf.DUMMYFUNCTION("""COMPUTED_VALUE"""),13247419)</f>
        <v>13247419</v>
      </c>
      <c r="E173" s="5" t="str">
        <f ca="1">IFERROR(__xludf.DUMMYFUNCTION("""COMPUTED_VALUE"""),"INSPECCION SEMANAL CELDA DE ALTA +K07")</f>
        <v>INSPECCION SEMANAL CELDA DE ALTA +K07</v>
      </c>
      <c r="F173" s="5" t="str">
        <f ca="1">IFERROR(__xludf.DUMMYFUNCTION("""COMPUTED_VALUE"""),"PLAN MTTO CELDA DE ALTA +K07 74928611")</f>
        <v>PLAN MTTO CELDA DE ALTA +K07 74928611</v>
      </c>
      <c r="G173" s="5" t="b">
        <f ca="1">IFERROR(__xludf.DUMMYFUNCTION("""COMPUTED_VALUE"""),TRUE)</f>
        <v>1</v>
      </c>
      <c r="H173" s="5"/>
      <c r="I173" s="5"/>
      <c r="J173" s="5">
        <f ca="1">IFERROR(__xludf.DUMMYFUNCTION("""COMPUTED_VALUE"""),13247419)</f>
        <v>13247419</v>
      </c>
      <c r="K173" s="5"/>
      <c r="L173" s="18">
        <f ca="1">IFERROR(__xludf.DUMMYFUNCTION("""COMPUTED_VALUE"""),45325)</f>
        <v>45325</v>
      </c>
      <c r="M173" s="18">
        <f ca="1">IFERROR(__xludf.DUMMYFUNCTION("""COMPUTED_VALUE"""),45325)</f>
        <v>45325</v>
      </c>
      <c r="N173" s="5" t="str">
        <f ca="1">IFERROR(__xludf.DUMMYFUNCTION("""COMPUTED_VALUE"""),"MUÑOZ VALENCIA JEFFERSON")</f>
        <v>MUÑOZ VALENCIA JEFFERSON</v>
      </c>
      <c r="O173" s="2">
        <f ca="1">IFERROR(__xludf.DUMMYFUNCTION("""COMPUTED_VALUE"""),0.1)</f>
        <v>0.1</v>
      </c>
      <c r="P173" s="5">
        <f ca="1">IFERROR(__xludf.DUMMYFUNCTION("""COMPUTED_VALUE"""),20062055)</f>
        <v>20062055</v>
      </c>
      <c r="Q173" s="5" t="str">
        <f ca="1">IFERROR(__xludf.DUMMYFUNCTION("""COMPUTED_VALUE"""),"HLA6-7-pNuk")</f>
        <v>HLA6-7-pNuk</v>
      </c>
      <c r="R173" s="5">
        <f ca="1">IFERROR(__xludf.DUMMYFUNCTION("""COMPUTED_VALUE"""),410)</f>
        <v>410</v>
      </c>
      <c r="S173" s="62">
        <f ca="1">IFERROR(__xludf.DUMMYFUNCTION("""COMPUTED_VALUE"""),0.1)</f>
        <v>0.1</v>
      </c>
      <c r="T173" s="63" t="str">
        <f ca="1">IFERROR(__xludf.DUMMYFUNCTION("""COMPUTED_VALUE"""),"https://storage.googleapis.com/glide-prod.appspot.com/uploads-v2/ly7o78grxPaC6KdgvbpS/pub/3aRdSog0vUtuqPE8AJKD.png")</f>
        <v>https://storage.googleapis.com/glide-prod.appspot.com/uploads-v2/ly7o78grxPaC6KdgvbpS/pub/3aRdSog0vUtuqPE8AJKD.png</v>
      </c>
      <c r="U173" s="5" t="str">
        <f ca="1">IFERROR(__xludf.DUMMYFUNCTION("""COMPUTED_VALUE"""),"EQUIPOS ALTA Y BAJA TENSION ELECTRICACELDA DE ALTA +K07")</f>
        <v>EQUIPOS ALTA Y BAJA TENSION ELECTRICACELDA DE ALTA +K07</v>
      </c>
      <c r="V173" s="5"/>
      <c r="W173" s="5" t="b">
        <f ca="1">IFERROR(__xludf.DUMMYFUNCTION("""COMPUTED_VALUE"""),TRUE)</f>
        <v>1</v>
      </c>
      <c r="X173" s="5" t="str">
        <f ca="1">IFERROR(__xludf.DUMMYFUNCTION("""COMPUTED_VALUE"""),"wmazorra@postobon.com.co,aprmttoyu@postobon.com.co,aprmyu@postobon.com.co,wmora@postobon.com.co,efzapata@postobon.com.co")</f>
        <v>wmazorra@postobon.com.co,aprmttoyu@postobon.com.co,aprmyu@postobon.com.co,wmora@postobon.com.co,efzapata@postobon.com.co</v>
      </c>
      <c r="Y173" s="5" t="str">
        <f ca="1">IFERROR(__xludf.DUMMYFUNCTION("""COMPUTED_VALUE"""),"wmazorra@postobon.com.co")</f>
        <v>wmazorra@postobon.com.co</v>
      </c>
      <c r="Z173" s="5" t="str">
        <f ca="1">IFERROR(__xludf.DUMMYFUNCTION("""COMPUTED_VALUE"""),"AbOVMY3fQsSkoB8TtWFQaA")</f>
        <v>AbOVMY3fQsSkoB8TtWFQaA</v>
      </c>
      <c r="AA173" s="5"/>
      <c r="AB173" s="5"/>
      <c r="AC173" s="5"/>
      <c r="AD173" s="5">
        <f ca="1">IFERROR(__xludf.DUMMYFUNCTION("""COMPUTED_VALUE"""),58)</f>
        <v>58</v>
      </c>
      <c r="AE173" s="5">
        <f ca="1">IFERROR(__xludf.DUMMYFUNCTION("""COMPUTED_VALUE"""),58)</f>
        <v>58</v>
      </c>
      <c r="AF173" s="5" t="b">
        <f ca="1">IFERROR(__xludf.DUMMYFUNCTION("""COMPUTED_VALUE"""),FALSE)</f>
        <v>0</v>
      </c>
      <c r="AG173" s="5" t="str">
        <f ca="1">IFERROR(__xludf.DUMMYFUNCTION("""COMPUTED_VALUE"""),"INSPECCIONES REALIZADAS")</f>
        <v>INSPECCIONES REALIZADAS</v>
      </c>
      <c r="AH173" s="5"/>
    </row>
    <row r="174" spans="1:34">
      <c r="A174" s="5" t="str">
        <f ca="1">IFERROR(__xludf.DUMMYFUNCTION("""COMPUTED_VALUE"""),"EQUIPOS ALTA Y BAJA TENSION ELECTRICA")</f>
        <v>EQUIPOS ALTA Y BAJA TENSION ELECTRICA</v>
      </c>
      <c r="B174" s="5">
        <f ca="1">IFERROR(__xludf.DUMMYFUNCTION("""COMPUTED_VALUE"""),74928612)</f>
        <v>74928612</v>
      </c>
      <c r="C174" s="5" t="str">
        <f ca="1">IFERROR(__xludf.DUMMYFUNCTION("""COMPUTED_VALUE"""),"CELDA DE ALTA +K08")</f>
        <v>CELDA DE ALTA +K08</v>
      </c>
      <c r="D174" s="5">
        <f ca="1">IFERROR(__xludf.DUMMYFUNCTION("""COMPUTED_VALUE"""),13247420)</f>
        <v>13247420</v>
      </c>
      <c r="E174" s="5" t="str">
        <f ca="1">IFERROR(__xludf.DUMMYFUNCTION("""COMPUTED_VALUE"""),"INSPECCION SEMANAL CELDA DE ALTA +K08")</f>
        <v>INSPECCION SEMANAL CELDA DE ALTA +K08</v>
      </c>
      <c r="F174" s="5" t="str">
        <f ca="1">IFERROR(__xludf.DUMMYFUNCTION("""COMPUTED_VALUE"""),"PLAN MTTO CELDA DE ALTA +K08 74928612")</f>
        <v>PLAN MTTO CELDA DE ALTA +K08 74928612</v>
      </c>
      <c r="G174" s="5" t="b">
        <f ca="1">IFERROR(__xludf.DUMMYFUNCTION("""COMPUTED_VALUE"""),TRUE)</f>
        <v>1</v>
      </c>
      <c r="H174" s="5"/>
      <c r="I174" s="5"/>
      <c r="J174" s="5">
        <f ca="1">IFERROR(__xludf.DUMMYFUNCTION("""COMPUTED_VALUE"""),13247420)</f>
        <v>13247420</v>
      </c>
      <c r="K174" s="5"/>
      <c r="L174" s="18">
        <f ca="1">IFERROR(__xludf.DUMMYFUNCTION("""COMPUTED_VALUE"""),45324)</f>
        <v>45324</v>
      </c>
      <c r="M174" s="18">
        <f ca="1">IFERROR(__xludf.DUMMYFUNCTION("""COMPUTED_VALUE"""),45324)</f>
        <v>45324</v>
      </c>
      <c r="N174" s="5" t="str">
        <f ca="1">IFERROR(__xludf.DUMMYFUNCTION("""COMPUTED_VALUE"""),"MUÑOZ VALENCIA JEFFERSON")</f>
        <v>MUÑOZ VALENCIA JEFFERSON</v>
      </c>
      <c r="O174" s="2">
        <f ca="1">IFERROR(__xludf.DUMMYFUNCTION("""COMPUTED_VALUE"""),0.1)</f>
        <v>0.1</v>
      </c>
      <c r="P174" s="5">
        <f ca="1">IFERROR(__xludf.DUMMYFUNCTION("""COMPUTED_VALUE"""),20062055)</f>
        <v>20062055</v>
      </c>
      <c r="Q174" s="5" t="str">
        <f ca="1">IFERROR(__xludf.DUMMYFUNCTION("""COMPUTED_VALUE"""),"dtDnlZGYkEA")</f>
        <v>dtDnlZGYkEA</v>
      </c>
      <c r="R174" s="5">
        <f ca="1">IFERROR(__xludf.DUMMYFUNCTION("""COMPUTED_VALUE"""),410)</f>
        <v>410</v>
      </c>
      <c r="S174" s="62">
        <f ca="1">IFERROR(__xludf.DUMMYFUNCTION("""COMPUTED_VALUE"""),0.1)</f>
        <v>0.1</v>
      </c>
      <c r="T174" s="63" t="str">
        <f ca="1">IFERROR(__xludf.DUMMYFUNCTION("""COMPUTED_VALUE"""),"https://storage.googleapis.com/glide-prod.appspot.com/uploads-v2/ly7o78grxPaC6KdgvbpS/pub/3aRdSog0vUtuqPE8AJKD.png")</f>
        <v>https://storage.googleapis.com/glide-prod.appspot.com/uploads-v2/ly7o78grxPaC6KdgvbpS/pub/3aRdSog0vUtuqPE8AJKD.png</v>
      </c>
      <c r="U174" s="5" t="str">
        <f ca="1">IFERROR(__xludf.DUMMYFUNCTION("""COMPUTED_VALUE"""),"EQUIPOS ALTA Y BAJA TENSION ELECTRICACELDA DE ALTA +K08")</f>
        <v>EQUIPOS ALTA Y BAJA TENSION ELECTRICACELDA DE ALTA +K08</v>
      </c>
      <c r="V174" s="5"/>
      <c r="W174" s="5" t="b">
        <f ca="1">IFERROR(__xludf.DUMMYFUNCTION("""COMPUTED_VALUE"""),TRUE)</f>
        <v>1</v>
      </c>
      <c r="X174" s="5" t="str">
        <f ca="1">IFERROR(__xludf.DUMMYFUNCTION("""COMPUTED_VALUE"""),"wmazorra@postobon.com.co,aprmttoyu@postobon.com.co,aprmyu@postobon.com.co,wmora@postobon.com.co,efzapata@postobon.com.co")</f>
        <v>wmazorra@postobon.com.co,aprmttoyu@postobon.com.co,aprmyu@postobon.com.co,wmora@postobon.com.co,efzapata@postobon.com.co</v>
      </c>
      <c r="Y174" s="5" t="str">
        <f ca="1">IFERROR(__xludf.DUMMYFUNCTION("""COMPUTED_VALUE"""),"wmazorra@postobon.com.co")</f>
        <v>wmazorra@postobon.com.co</v>
      </c>
      <c r="Z174" s="5" t="str">
        <f ca="1">IFERROR(__xludf.DUMMYFUNCTION("""COMPUTED_VALUE"""),"r.3oanZ4SeyjWKhVARZEpA")</f>
        <v>r.3oanZ4SeyjWKhVARZEpA</v>
      </c>
      <c r="AA174" s="5"/>
      <c r="AB174" s="5"/>
      <c r="AC174" s="5"/>
      <c r="AD174" s="5">
        <f ca="1">IFERROR(__xludf.DUMMYFUNCTION("""COMPUTED_VALUE"""),58)</f>
        <v>58</v>
      </c>
      <c r="AE174" s="5">
        <f ca="1">IFERROR(__xludf.DUMMYFUNCTION("""COMPUTED_VALUE"""),58)</f>
        <v>58</v>
      </c>
      <c r="AF174" s="5" t="b">
        <f ca="1">IFERROR(__xludf.DUMMYFUNCTION("""COMPUTED_VALUE"""),FALSE)</f>
        <v>0</v>
      </c>
      <c r="AG174" s="5" t="str">
        <f ca="1">IFERROR(__xludf.DUMMYFUNCTION("""COMPUTED_VALUE"""),"INSPECCIONES REALIZADAS")</f>
        <v>INSPECCIONES REALIZADAS</v>
      </c>
      <c r="AH174" s="5"/>
    </row>
    <row r="175" spans="1:34">
      <c r="A175" s="5" t="str">
        <f ca="1">IFERROR(__xludf.DUMMYFUNCTION("""COMPUTED_VALUE"""),"EQUIPOS ALTA Y BAJA TENSION ELECTRICA")</f>
        <v>EQUIPOS ALTA Y BAJA TENSION ELECTRICA</v>
      </c>
      <c r="B175" s="5">
        <f ca="1">IFERROR(__xludf.DUMMYFUNCTION("""COMPUTED_VALUE"""),74928617)</f>
        <v>74928617</v>
      </c>
      <c r="C175" s="5" t="str">
        <f ca="1">IFERROR(__xludf.DUMMYFUNCTION("""COMPUTED_VALUE"""),"CELDA DE ALTA +K09")</f>
        <v>CELDA DE ALTA +K09</v>
      </c>
      <c r="D175" s="5">
        <f ca="1">IFERROR(__xludf.DUMMYFUNCTION("""COMPUTED_VALUE"""),13247422)</f>
        <v>13247422</v>
      </c>
      <c r="E175" s="5" t="str">
        <f ca="1">IFERROR(__xludf.DUMMYFUNCTION("""COMPUTED_VALUE"""),"INSPECCION SEMANAL CELDA DE ALTA +K09")</f>
        <v>INSPECCION SEMANAL CELDA DE ALTA +K09</v>
      </c>
      <c r="F175" s="5" t="str">
        <f ca="1">IFERROR(__xludf.DUMMYFUNCTION("""COMPUTED_VALUE"""),"PLAN MTTO CELDA DE ALTA +K09 74928617")</f>
        <v>PLAN MTTO CELDA DE ALTA +K09 74928617</v>
      </c>
      <c r="G175" s="5" t="b">
        <f ca="1">IFERROR(__xludf.DUMMYFUNCTION("""COMPUTED_VALUE"""),TRUE)</f>
        <v>1</v>
      </c>
      <c r="H175" s="5"/>
      <c r="I175" s="5"/>
      <c r="J175" s="5">
        <f ca="1">IFERROR(__xludf.DUMMYFUNCTION("""COMPUTED_VALUE"""),13247422)</f>
        <v>13247422</v>
      </c>
      <c r="K175" s="5"/>
      <c r="L175" s="18">
        <f ca="1">IFERROR(__xludf.DUMMYFUNCTION("""COMPUTED_VALUE"""),45324)</f>
        <v>45324</v>
      </c>
      <c r="M175" s="18">
        <f ca="1">IFERROR(__xludf.DUMMYFUNCTION("""COMPUTED_VALUE"""),45324)</f>
        <v>45324</v>
      </c>
      <c r="N175" s="5" t="str">
        <f ca="1">IFERROR(__xludf.DUMMYFUNCTION("""COMPUTED_VALUE"""),"MUÑOZ VALENCIA JEFFERSON")</f>
        <v>MUÑOZ VALENCIA JEFFERSON</v>
      </c>
      <c r="O175" s="2">
        <f ca="1">IFERROR(__xludf.DUMMYFUNCTION("""COMPUTED_VALUE"""),0.1)</f>
        <v>0.1</v>
      </c>
      <c r="P175" s="5">
        <f ca="1">IFERROR(__xludf.DUMMYFUNCTION("""COMPUTED_VALUE"""),20062055)</f>
        <v>20062055</v>
      </c>
      <c r="Q175" s="5" t="str">
        <f ca="1">IFERROR(__xludf.DUMMYFUNCTION("""COMPUTED_VALUE"""),"t_J6yqTErOc")</f>
        <v>t_J6yqTErOc</v>
      </c>
      <c r="R175" s="5">
        <f ca="1">IFERROR(__xludf.DUMMYFUNCTION("""COMPUTED_VALUE"""),410)</f>
        <v>410</v>
      </c>
      <c r="S175" s="62">
        <f ca="1">IFERROR(__xludf.DUMMYFUNCTION("""COMPUTED_VALUE"""),0.1)</f>
        <v>0.1</v>
      </c>
      <c r="T175" s="63" t="str">
        <f ca="1">IFERROR(__xludf.DUMMYFUNCTION("""COMPUTED_VALUE"""),"https://storage.googleapis.com/glide-prod.appspot.com/uploads-v2/ly7o78grxPaC6KdgvbpS/pub/3aRdSog0vUtuqPE8AJKD.png")</f>
        <v>https://storage.googleapis.com/glide-prod.appspot.com/uploads-v2/ly7o78grxPaC6KdgvbpS/pub/3aRdSog0vUtuqPE8AJKD.png</v>
      </c>
      <c r="U175" s="5" t="str">
        <f ca="1">IFERROR(__xludf.DUMMYFUNCTION("""COMPUTED_VALUE"""),"EQUIPOS ALTA Y BAJA TENSION ELECTRICACELDA DE ALTA +K09")</f>
        <v>EQUIPOS ALTA Y BAJA TENSION ELECTRICACELDA DE ALTA +K09</v>
      </c>
      <c r="V175" s="5"/>
      <c r="W175" s="5" t="b">
        <f ca="1">IFERROR(__xludf.DUMMYFUNCTION("""COMPUTED_VALUE"""),TRUE)</f>
        <v>1</v>
      </c>
      <c r="X175" s="5" t="str">
        <f ca="1">IFERROR(__xludf.DUMMYFUNCTION("""COMPUTED_VALUE"""),"wmazorra@postobon.com.co,aprmttoyu@postobon.com.co,aprmyu@postobon.com.co,wmora@postobon.com.co,efzapata@postobon.com.co")</f>
        <v>wmazorra@postobon.com.co,aprmttoyu@postobon.com.co,aprmyu@postobon.com.co,wmora@postobon.com.co,efzapata@postobon.com.co</v>
      </c>
      <c r="Y175" s="5" t="str">
        <f ca="1">IFERROR(__xludf.DUMMYFUNCTION("""COMPUTED_VALUE"""),"wmazorra@postobon.com.co")</f>
        <v>wmazorra@postobon.com.co</v>
      </c>
      <c r="Z175" s="5" t="str">
        <f ca="1">IFERROR(__xludf.DUMMYFUNCTION("""COMPUTED_VALUE"""),"Pkneum7cQF2.vgtsYWk04A")</f>
        <v>Pkneum7cQF2.vgtsYWk04A</v>
      </c>
      <c r="AA175" s="5"/>
      <c r="AB175" s="5"/>
      <c r="AC175" s="5"/>
      <c r="AD175" s="5">
        <f ca="1">IFERROR(__xludf.DUMMYFUNCTION("""COMPUTED_VALUE"""),58)</f>
        <v>58</v>
      </c>
      <c r="AE175" s="5">
        <f ca="1">IFERROR(__xludf.DUMMYFUNCTION("""COMPUTED_VALUE"""),58)</f>
        <v>58</v>
      </c>
      <c r="AF175" s="5" t="b">
        <f ca="1">IFERROR(__xludf.DUMMYFUNCTION("""COMPUTED_VALUE"""),FALSE)</f>
        <v>0</v>
      </c>
      <c r="AG175" s="5" t="str">
        <f ca="1">IFERROR(__xludf.DUMMYFUNCTION("""COMPUTED_VALUE"""),"INSPECCIONES REALIZADAS")</f>
        <v>INSPECCIONES REALIZADAS</v>
      </c>
      <c r="AH175" s="5"/>
    </row>
    <row r="176" spans="1:34">
      <c r="A176" s="5" t="str">
        <f ca="1">IFERROR(__xludf.DUMMYFUNCTION("""COMPUTED_VALUE"""),"EQUIPOS ALTA Y BAJA TENSION ELECTRICA")</f>
        <v>EQUIPOS ALTA Y BAJA TENSION ELECTRICA</v>
      </c>
      <c r="B176" s="5">
        <f ca="1">IFERROR(__xludf.DUMMYFUNCTION("""COMPUTED_VALUE"""),74928614)</f>
        <v>74928614</v>
      </c>
      <c r="C176" s="5" t="str">
        <f ca="1">IFERROR(__xludf.DUMMYFUNCTION("""COMPUTED_VALUE"""),"CELDA DISTRIB. BAJA TDP-2")</f>
        <v>CELDA DISTRIB. BAJA TDP-2</v>
      </c>
      <c r="D176" s="5">
        <f ca="1">IFERROR(__xludf.DUMMYFUNCTION("""COMPUTED_VALUE"""),13247427)</f>
        <v>13247427</v>
      </c>
      <c r="E176" s="5" t="str">
        <f ca="1">IFERROR(__xludf.DUMMYFUNCTION("""COMPUTED_VALUE"""),"INSPECCION SEMANAL CELDA DISTRIB. BAJA T")</f>
        <v>INSPECCION SEMANAL CELDA DISTRIB. BAJA T</v>
      </c>
      <c r="F176" s="5" t="str">
        <f ca="1">IFERROR(__xludf.DUMMYFUNCTION("""COMPUTED_VALUE"""),"PLAN MTTO CELDA BAJA TDP-2 74928614")</f>
        <v>PLAN MTTO CELDA BAJA TDP-2 74928614</v>
      </c>
      <c r="G176" s="5" t="b">
        <f ca="1">IFERROR(__xludf.DUMMYFUNCTION("""COMPUTED_VALUE"""),TRUE)</f>
        <v>1</v>
      </c>
      <c r="H176" s="5"/>
      <c r="I176" s="5"/>
      <c r="J176" s="5">
        <f ca="1">IFERROR(__xludf.DUMMYFUNCTION("""COMPUTED_VALUE"""),13247427)</f>
        <v>13247427</v>
      </c>
      <c r="K176" s="5"/>
      <c r="L176" s="18">
        <f ca="1">IFERROR(__xludf.DUMMYFUNCTION("""COMPUTED_VALUE"""),45325)</f>
        <v>45325</v>
      </c>
      <c r="M176" s="18">
        <f ca="1">IFERROR(__xludf.DUMMYFUNCTION("""COMPUTED_VALUE"""),45325)</f>
        <v>45325</v>
      </c>
      <c r="N176" s="5" t="str">
        <f ca="1">IFERROR(__xludf.DUMMYFUNCTION("""COMPUTED_VALUE"""),"MUÑOZ VALENCIA JEFFERSON")</f>
        <v>MUÑOZ VALENCIA JEFFERSON</v>
      </c>
      <c r="O176" s="2">
        <f ca="1">IFERROR(__xludf.DUMMYFUNCTION("""COMPUTED_VALUE"""),0.1)</f>
        <v>0.1</v>
      </c>
      <c r="P176" s="5">
        <f ca="1">IFERROR(__xludf.DUMMYFUNCTION("""COMPUTED_VALUE"""),20062055)</f>
        <v>20062055</v>
      </c>
      <c r="Q176" s="5" t="str">
        <f ca="1">IFERROR(__xludf.DUMMYFUNCTION("""COMPUTED_VALUE"""),"DTzFV1EWufg")</f>
        <v>DTzFV1EWufg</v>
      </c>
      <c r="R176" s="5">
        <f ca="1">IFERROR(__xludf.DUMMYFUNCTION("""COMPUTED_VALUE"""),410)</f>
        <v>410</v>
      </c>
      <c r="S176" s="62">
        <f ca="1">IFERROR(__xludf.DUMMYFUNCTION("""COMPUTED_VALUE"""),0.1)</f>
        <v>0.1</v>
      </c>
      <c r="T176" s="63" t="str">
        <f ca="1">IFERROR(__xludf.DUMMYFUNCTION("""COMPUTED_VALUE"""),"https://storage.googleapis.com/glide-prod.appspot.com/uploads-v2/ly7o78grxPaC6KdgvbpS/pub/3aRdSog0vUtuqPE8AJKD.png")</f>
        <v>https://storage.googleapis.com/glide-prod.appspot.com/uploads-v2/ly7o78grxPaC6KdgvbpS/pub/3aRdSog0vUtuqPE8AJKD.png</v>
      </c>
      <c r="U176" s="5" t="str">
        <f ca="1">IFERROR(__xludf.DUMMYFUNCTION("""COMPUTED_VALUE"""),"EQUIPOS ALTA Y BAJA TENSION ELECTRICACELDA DISTRIB. BAJA TDP-2")</f>
        <v>EQUIPOS ALTA Y BAJA TENSION ELECTRICACELDA DISTRIB. BAJA TDP-2</v>
      </c>
      <c r="V176" s="5"/>
      <c r="W176" s="5" t="b">
        <f ca="1">IFERROR(__xludf.DUMMYFUNCTION("""COMPUTED_VALUE"""),TRUE)</f>
        <v>1</v>
      </c>
      <c r="X176" s="5" t="str">
        <f ca="1">IFERROR(__xludf.DUMMYFUNCTION("""COMPUTED_VALUE"""),"wmazorra@postobon.com.co,aprmttoyu@postobon.com.co,aprmyu@postobon.com.co,wmora@postobon.com.co,efzapata@postobon.com.co")</f>
        <v>wmazorra@postobon.com.co,aprmttoyu@postobon.com.co,aprmyu@postobon.com.co,wmora@postobon.com.co,efzapata@postobon.com.co</v>
      </c>
      <c r="Y176" s="5" t="str">
        <f ca="1">IFERROR(__xludf.DUMMYFUNCTION("""COMPUTED_VALUE"""),"wmazorra@postobon.com.co")</f>
        <v>wmazorra@postobon.com.co</v>
      </c>
      <c r="Z176" s="5" t="str">
        <f ca="1">IFERROR(__xludf.DUMMYFUNCTION("""COMPUTED_VALUE"""),"tDeY6nnRSmi2pFn0Qhy.Ow")</f>
        <v>tDeY6nnRSmi2pFn0Qhy.Ow</v>
      </c>
      <c r="AA176" s="5"/>
      <c r="AB176" s="5"/>
      <c r="AC176" s="5"/>
      <c r="AD176" s="5">
        <f ca="1">IFERROR(__xludf.DUMMYFUNCTION("""COMPUTED_VALUE"""),58)</f>
        <v>58</v>
      </c>
      <c r="AE176" s="5">
        <f ca="1">IFERROR(__xludf.DUMMYFUNCTION("""COMPUTED_VALUE"""),58)</f>
        <v>58</v>
      </c>
      <c r="AF176" s="5" t="b">
        <f ca="1">IFERROR(__xludf.DUMMYFUNCTION("""COMPUTED_VALUE"""),FALSE)</f>
        <v>0</v>
      </c>
      <c r="AG176" s="5" t="str">
        <f ca="1">IFERROR(__xludf.DUMMYFUNCTION("""COMPUTED_VALUE"""),"INSPECCIONES REALIZADAS")</f>
        <v>INSPECCIONES REALIZADAS</v>
      </c>
      <c r="AH176" s="5"/>
    </row>
    <row r="177" spans="1:34">
      <c r="A177" s="5" t="str">
        <f ca="1">IFERROR(__xludf.DUMMYFUNCTION("""COMPUTED_VALUE"""),"EQUIPOS ALTA Y BAJA TENSION ELECTRICA")</f>
        <v>EQUIPOS ALTA Y BAJA TENSION ELECTRICA</v>
      </c>
      <c r="B177" s="5">
        <f ca="1">IFERROR(__xludf.DUMMYFUNCTION("""COMPUTED_VALUE"""),74928615)</f>
        <v>74928615</v>
      </c>
      <c r="C177" s="5" t="str">
        <f ca="1">IFERROR(__xludf.DUMMYFUNCTION("""COMPUTED_VALUE"""),"CELDA DISTRIB. BAJA TDP-3")</f>
        <v>CELDA DISTRIB. BAJA TDP-3</v>
      </c>
      <c r="D177" s="5">
        <f ca="1">IFERROR(__xludf.DUMMYFUNCTION("""COMPUTED_VALUE"""),13247428)</f>
        <v>13247428</v>
      </c>
      <c r="E177" s="5" t="str">
        <f ca="1">IFERROR(__xludf.DUMMYFUNCTION("""COMPUTED_VALUE"""),"INSPECCION SEMANAL CELDA DISTRIB. BAJA T")</f>
        <v>INSPECCION SEMANAL CELDA DISTRIB. BAJA T</v>
      </c>
      <c r="F177" s="5" t="str">
        <f ca="1">IFERROR(__xludf.DUMMYFUNCTION("""COMPUTED_VALUE"""),"PLAN MTTO CELDA BAJA TDP-3 74928615")</f>
        <v>PLAN MTTO CELDA BAJA TDP-3 74928615</v>
      </c>
      <c r="G177" s="5" t="b">
        <f ca="1">IFERROR(__xludf.DUMMYFUNCTION("""COMPUTED_VALUE"""),TRUE)</f>
        <v>1</v>
      </c>
      <c r="H177" s="5"/>
      <c r="I177" s="5"/>
      <c r="J177" s="5">
        <f ca="1">IFERROR(__xludf.DUMMYFUNCTION("""COMPUTED_VALUE"""),13247428)</f>
        <v>13247428</v>
      </c>
      <c r="K177" s="5"/>
      <c r="L177" s="18">
        <f ca="1">IFERROR(__xludf.DUMMYFUNCTION("""COMPUTED_VALUE"""),45324)</f>
        <v>45324</v>
      </c>
      <c r="M177" s="18">
        <f ca="1">IFERROR(__xludf.DUMMYFUNCTION("""COMPUTED_VALUE"""),45324)</f>
        <v>45324</v>
      </c>
      <c r="N177" s="5" t="str">
        <f ca="1">IFERROR(__xludf.DUMMYFUNCTION("""COMPUTED_VALUE"""),"MUÑOZ VALENCIA JEFFERSON")</f>
        <v>MUÑOZ VALENCIA JEFFERSON</v>
      </c>
      <c r="O177" s="2">
        <f ca="1">IFERROR(__xludf.DUMMYFUNCTION("""COMPUTED_VALUE"""),0.1)</f>
        <v>0.1</v>
      </c>
      <c r="P177" s="5">
        <f ca="1">IFERROR(__xludf.DUMMYFUNCTION("""COMPUTED_VALUE"""),20062055)</f>
        <v>20062055</v>
      </c>
      <c r="Q177" s="5" t="str">
        <f ca="1">IFERROR(__xludf.DUMMYFUNCTION("""COMPUTED_VALUE"""),"QXOaBA4qh5w")</f>
        <v>QXOaBA4qh5w</v>
      </c>
      <c r="R177" s="5">
        <f ca="1">IFERROR(__xludf.DUMMYFUNCTION("""COMPUTED_VALUE"""),410)</f>
        <v>410</v>
      </c>
      <c r="S177" s="62">
        <f ca="1">IFERROR(__xludf.DUMMYFUNCTION("""COMPUTED_VALUE"""),0.1)</f>
        <v>0.1</v>
      </c>
      <c r="T177" s="63" t="str">
        <f ca="1">IFERROR(__xludf.DUMMYFUNCTION("""COMPUTED_VALUE"""),"https://storage.googleapis.com/glide-prod.appspot.com/uploads-v2/ly7o78grxPaC6KdgvbpS/pub/3aRdSog0vUtuqPE8AJKD.png")</f>
        <v>https://storage.googleapis.com/glide-prod.appspot.com/uploads-v2/ly7o78grxPaC6KdgvbpS/pub/3aRdSog0vUtuqPE8AJKD.png</v>
      </c>
      <c r="U177" s="5" t="str">
        <f ca="1">IFERROR(__xludf.DUMMYFUNCTION("""COMPUTED_VALUE"""),"EQUIPOS ALTA Y BAJA TENSION ELECTRICACELDA DISTRIB. BAJA TDP-3")</f>
        <v>EQUIPOS ALTA Y BAJA TENSION ELECTRICACELDA DISTRIB. BAJA TDP-3</v>
      </c>
      <c r="V177" s="5"/>
      <c r="W177" s="5" t="b">
        <f ca="1">IFERROR(__xludf.DUMMYFUNCTION("""COMPUTED_VALUE"""),TRUE)</f>
        <v>1</v>
      </c>
      <c r="X177" s="5" t="str">
        <f ca="1">IFERROR(__xludf.DUMMYFUNCTION("""COMPUTED_VALUE"""),"wmazorra@postobon.com.co,aprmttoyu@postobon.com.co,aprmyu@postobon.com.co,wmora@postobon.com.co,efzapata@postobon.com.co")</f>
        <v>wmazorra@postobon.com.co,aprmttoyu@postobon.com.co,aprmyu@postobon.com.co,wmora@postobon.com.co,efzapata@postobon.com.co</v>
      </c>
      <c r="Y177" s="5" t="str">
        <f ca="1">IFERROR(__xludf.DUMMYFUNCTION("""COMPUTED_VALUE"""),"wmazorra@postobon.com.co")</f>
        <v>wmazorra@postobon.com.co</v>
      </c>
      <c r="Z177" s="5" t="str">
        <f ca="1">IFERROR(__xludf.DUMMYFUNCTION("""COMPUTED_VALUE"""),"LyCKqLJaRdSBLX1il5DIlw")</f>
        <v>LyCKqLJaRdSBLX1il5DIlw</v>
      </c>
      <c r="AA177" s="5"/>
      <c r="AB177" s="5"/>
      <c r="AC177" s="5"/>
      <c r="AD177" s="5">
        <f ca="1">IFERROR(__xludf.DUMMYFUNCTION("""COMPUTED_VALUE"""),58)</f>
        <v>58</v>
      </c>
      <c r="AE177" s="5">
        <f ca="1">IFERROR(__xludf.DUMMYFUNCTION("""COMPUTED_VALUE"""),58)</f>
        <v>58</v>
      </c>
      <c r="AF177" s="5" t="b">
        <f ca="1">IFERROR(__xludf.DUMMYFUNCTION("""COMPUTED_VALUE"""),FALSE)</f>
        <v>0</v>
      </c>
      <c r="AG177" s="5" t="str">
        <f ca="1">IFERROR(__xludf.DUMMYFUNCTION("""COMPUTED_VALUE"""),"INSPECCIONES REALIZADAS")</f>
        <v>INSPECCIONES REALIZADAS</v>
      </c>
      <c r="AH177" s="5"/>
    </row>
    <row r="178" spans="1:34">
      <c r="A178" s="5" t="str">
        <f ca="1">IFERROR(__xludf.DUMMYFUNCTION("""COMPUTED_VALUE"""),"EQUIPOS ALTA Y BAJA TENSION ELECTRICA")</f>
        <v>EQUIPOS ALTA Y BAJA TENSION ELECTRICA</v>
      </c>
      <c r="B178" s="5">
        <f ca="1">IFERROR(__xludf.DUMMYFUNCTION("""COMPUTED_VALUE"""),74928613)</f>
        <v>74928613</v>
      </c>
      <c r="C178" s="5" t="str">
        <f ca="1">IFERROR(__xludf.DUMMYFUNCTION("""COMPUTED_VALUE"""),"CELDA DISTRIB. BAJA TDP-1")</f>
        <v>CELDA DISTRIB. BAJA TDP-1</v>
      </c>
      <c r="D178" s="5">
        <f ca="1">IFERROR(__xludf.DUMMYFUNCTION("""COMPUTED_VALUE"""),13247425)</f>
        <v>13247425</v>
      </c>
      <c r="E178" s="5" t="str">
        <f ca="1">IFERROR(__xludf.DUMMYFUNCTION("""COMPUTED_VALUE"""),"INSPECCION SEMANAL CELDA DISTRIB. BAJA T")</f>
        <v>INSPECCION SEMANAL CELDA DISTRIB. BAJA T</v>
      </c>
      <c r="F178" s="5" t="str">
        <f ca="1">IFERROR(__xludf.DUMMYFUNCTION("""COMPUTED_VALUE"""),"PLAN MTTO CELDA TDP-1 74928613")</f>
        <v>PLAN MTTO CELDA TDP-1 74928613</v>
      </c>
      <c r="G178" s="5" t="b">
        <f ca="1">IFERROR(__xludf.DUMMYFUNCTION("""COMPUTED_VALUE"""),TRUE)</f>
        <v>1</v>
      </c>
      <c r="H178" s="5"/>
      <c r="I178" s="5"/>
      <c r="J178" s="5">
        <f ca="1">IFERROR(__xludf.DUMMYFUNCTION("""COMPUTED_VALUE"""),13247425)</f>
        <v>13247425</v>
      </c>
      <c r="K178" s="5"/>
      <c r="L178" s="18">
        <f ca="1">IFERROR(__xludf.DUMMYFUNCTION("""COMPUTED_VALUE"""),45325)</f>
        <v>45325</v>
      </c>
      <c r="M178" s="18">
        <f ca="1">IFERROR(__xludf.DUMMYFUNCTION("""COMPUTED_VALUE"""),45325)</f>
        <v>45325</v>
      </c>
      <c r="N178" s="5" t="str">
        <f ca="1">IFERROR(__xludf.DUMMYFUNCTION("""COMPUTED_VALUE"""),"MUÑOZ VALENCIA JEFFERSON")</f>
        <v>MUÑOZ VALENCIA JEFFERSON</v>
      </c>
      <c r="O178" s="2">
        <f ca="1">IFERROR(__xludf.DUMMYFUNCTION("""COMPUTED_VALUE"""),0.1)</f>
        <v>0.1</v>
      </c>
      <c r="P178" s="5">
        <f ca="1">IFERROR(__xludf.DUMMYFUNCTION("""COMPUTED_VALUE"""),20062055)</f>
        <v>20062055</v>
      </c>
      <c r="Q178" s="5" t="str">
        <f ca="1">IFERROR(__xludf.DUMMYFUNCTION("""COMPUTED_VALUE"""),"UIzoYv3Knb8")</f>
        <v>UIzoYv3Knb8</v>
      </c>
      <c r="R178" s="5">
        <f ca="1">IFERROR(__xludf.DUMMYFUNCTION("""COMPUTED_VALUE"""),410)</f>
        <v>410</v>
      </c>
      <c r="S178" s="62">
        <f ca="1">IFERROR(__xludf.DUMMYFUNCTION("""COMPUTED_VALUE"""),0.1)</f>
        <v>0.1</v>
      </c>
      <c r="T178" s="63" t="str">
        <f ca="1">IFERROR(__xludf.DUMMYFUNCTION("""COMPUTED_VALUE"""),"https://storage.googleapis.com/glide-prod.appspot.com/uploads-v2/ly7o78grxPaC6KdgvbpS/pub/3aRdSog0vUtuqPE8AJKD.png")</f>
        <v>https://storage.googleapis.com/glide-prod.appspot.com/uploads-v2/ly7o78grxPaC6KdgvbpS/pub/3aRdSog0vUtuqPE8AJKD.png</v>
      </c>
      <c r="U178" s="5" t="str">
        <f ca="1">IFERROR(__xludf.DUMMYFUNCTION("""COMPUTED_VALUE"""),"EQUIPOS ALTA Y BAJA TENSION ELECTRICACELDA DISTRIB. BAJA TDP-1")</f>
        <v>EQUIPOS ALTA Y BAJA TENSION ELECTRICACELDA DISTRIB. BAJA TDP-1</v>
      </c>
      <c r="V178" s="5"/>
      <c r="W178" s="5" t="b">
        <f ca="1">IFERROR(__xludf.DUMMYFUNCTION("""COMPUTED_VALUE"""),TRUE)</f>
        <v>1</v>
      </c>
      <c r="X178" s="5" t="str">
        <f ca="1">IFERROR(__xludf.DUMMYFUNCTION("""COMPUTED_VALUE"""),"wmazorra@postobon.com.co,aprmttoyu@postobon.com.co,aprmyu@postobon.com.co,wmora@postobon.com.co,efzapata@postobon.com.co")</f>
        <v>wmazorra@postobon.com.co,aprmttoyu@postobon.com.co,aprmyu@postobon.com.co,wmora@postobon.com.co,efzapata@postobon.com.co</v>
      </c>
      <c r="Y178" s="5" t="str">
        <f ca="1">IFERROR(__xludf.DUMMYFUNCTION("""COMPUTED_VALUE"""),"wmazorra@postobon.com.co")</f>
        <v>wmazorra@postobon.com.co</v>
      </c>
      <c r="Z178" s="5" t="str">
        <f ca="1">IFERROR(__xludf.DUMMYFUNCTION("""COMPUTED_VALUE"""),"0wUjYS8SRRy71YyJw0FXLQ")</f>
        <v>0wUjYS8SRRy71YyJw0FXLQ</v>
      </c>
      <c r="AA178" s="5"/>
      <c r="AB178" s="5"/>
      <c r="AC178" s="5"/>
      <c r="AD178" s="5">
        <f ca="1">IFERROR(__xludf.DUMMYFUNCTION("""COMPUTED_VALUE"""),58)</f>
        <v>58</v>
      </c>
      <c r="AE178" s="5">
        <f ca="1">IFERROR(__xludf.DUMMYFUNCTION("""COMPUTED_VALUE"""),58)</f>
        <v>58</v>
      </c>
      <c r="AF178" s="5" t="b">
        <f ca="1">IFERROR(__xludf.DUMMYFUNCTION("""COMPUTED_VALUE"""),FALSE)</f>
        <v>0</v>
      </c>
      <c r="AG178" s="5" t="str">
        <f ca="1">IFERROR(__xludf.DUMMYFUNCTION("""COMPUTED_VALUE"""),"INSPECCIONES REALIZADAS")</f>
        <v>INSPECCIONES REALIZADAS</v>
      </c>
      <c r="AH178" s="5"/>
    </row>
    <row r="179" spans="1:34">
      <c r="A179" s="5" t="str">
        <f ca="1">IFERROR(__xludf.DUMMYFUNCTION("""COMPUTED_VALUE"""),"LINEA PARA EL LLENADO DE GARRAFAS")</f>
        <v>LINEA PARA EL LLENADO DE GARRAFAS</v>
      </c>
      <c r="B179" s="5">
        <f ca="1">IFERROR(__xludf.DUMMYFUNCTION("""COMPUTED_VALUE"""),71951102)</f>
        <v>71951102</v>
      </c>
      <c r="C179" s="5" t="str">
        <f ca="1">IFERROR(__xludf.DUMMYFUNCTION("""COMPUTED_VALUE"""),"CODIFICADOR")</f>
        <v>CODIFICADOR</v>
      </c>
      <c r="D179" s="5">
        <f ca="1">IFERROR(__xludf.DUMMYFUNCTION("""COMPUTED_VALUE"""),13247723)</f>
        <v>13247723</v>
      </c>
      <c r="E179" s="5" t="str">
        <f ca="1">IFERROR(__xludf.DUMMYFUNCTION("""COMPUTED_VALUE"""),"INSPECCION SEMANAL CODIFICADOR")</f>
        <v>INSPECCION SEMANAL CODIFICADOR</v>
      </c>
      <c r="F179" s="5" t="str">
        <f ca="1">IFERROR(__xludf.DUMMYFUNCTION("""COMPUTED_VALUE"""),"PLAN MTTO ELE CODIFICAD GARRAFA 71951102")</f>
        <v>PLAN MTTO ELE CODIFICAD GARRAFA 71951102</v>
      </c>
      <c r="G179" s="5" t="b">
        <f ca="1">IFERROR(__xludf.DUMMYFUNCTION("""COMPUTED_VALUE"""),TRUE)</f>
        <v>1</v>
      </c>
      <c r="H179" s="5"/>
      <c r="I179" s="5"/>
      <c r="J179" s="5">
        <f ca="1">IFERROR(__xludf.DUMMYFUNCTION("""COMPUTED_VALUE"""),13247723)</f>
        <v>13247723</v>
      </c>
      <c r="K179" s="5"/>
      <c r="L179" s="18">
        <f ca="1">IFERROR(__xludf.DUMMYFUNCTION("""COMPUTED_VALUE"""),45324)</f>
        <v>45324</v>
      </c>
      <c r="M179" s="18">
        <f ca="1">IFERROR(__xludf.DUMMYFUNCTION("""COMPUTED_VALUE"""),45324)</f>
        <v>45324</v>
      </c>
      <c r="N179" s="5" t="str">
        <f ca="1">IFERROR(__xludf.DUMMYFUNCTION("""COMPUTED_VALUE"""),"Víctor David Burbano Gómez")</f>
        <v>Víctor David Burbano Gómez</v>
      </c>
      <c r="O179" s="2">
        <f ca="1">IFERROR(__xludf.DUMMYFUNCTION("""COMPUTED_VALUE"""),0.1)</f>
        <v>0.1</v>
      </c>
      <c r="P179" s="5">
        <f ca="1">IFERROR(__xludf.DUMMYFUNCTION("""COMPUTED_VALUE"""),20065447)</f>
        <v>20065447</v>
      </c>
      <c r="Q179" s="5" t="str">
        <f ca="1">IFERROR(__xludf.DUMMYFUNCTION("""COMPUTED_VALUE"""),"H8AqqH6BSXI")</f>
        <v>H8AqqH6BSXI</v>
      </c>
      <c r="R179" s="5">
        <f ca="1">IFERROR(__xludf.DUMMYFUNCTION("""COMPUTED_VALUE"""),410)</f>
        <v>410</v>
      </c>
      <c r="S179" s="62">
        <f ca="1">IFERROR(__xludf.DUMMYFUNCTION("""COMPUTED_VALUE"""),0.1)</f>
        <v>0.1</v>
      </c>
      <c r="T179" s="63" t="str">
        <f ca="1">IFERROR(__xludf.DUMMYFUNCTION("""COMPUTED_VALUE"""),"https://storage.googleapis.com/glide-prod.appspot.com/uploads-v2/ly7o78grxPaC6KdgvbpS/pub/yvtCGRAPIbS0tVLIlehH.png")</f>
        <v>https://storage.googleapis.com/glide-prod.appspot.com/uploads-v2/ly7o78grxPaC6KdgvbpS/pub/yvtCGRAPIbS0tVLIlehH.png</v>
      </c>
      <c r="U179" s="5" t="str">
        <f ca="1">IFERROR(__xludf.DUMMYFUNCTION("""COMPUTED_VALUE"""),"LINEA PARA EL LLENADO DE GARRAFASCODIFICADOR")</f>
        <v>LINEA PARA EL LLENADO DE GARRAFASCODIFICADOR</v>
      </c>
      <c r="V179" s="5"/>
      <c r="W179" s="5"/>
      <c r="X179" s="5" t="str">
        <f ca="1">IFERROR(__xludf.DUMMYFUNCTION("""COMPUTED_VALUE"""),"achavezi@postobon.com.co,aprmttoyu@postobon.com.co,aprmyu@postobon.com.co,wmora@postobon.com.co,efzapata@postobon.com.co")</f>
        <v>achavezi@postobon.com.co,aprmttoyu@postobon.com.co,aprmyu@postobon.com.co,wmora@postobon.com.co,efzapata@postobon.com.co</v>
      </c>
      <c r="Y179" s="5" t="str">
        <f ca="1">IFERROR(__xludf.DUMMYFUNCTION("""COMPUTED_VALUE"""),"achavezi@postobon.com.co")</f>
        <v>achavezi@postobon.com.co</v>
      </c>
      <c r="Z179" s="5" t="str">
        <f ca="1">IFERROR(__xludf.DUMMYFUNCTION("""COMPUTED_VALUE"""),"OaVYITUjT7-DDUyyEqTDsw")</f>
        <v>OaVYITUjT7-DDUyyEqTDsw</v>
      </c>
      <c r="AA179" s="5"/>
      <c r="AB179" s="5"/>
      <c r="AC179" s="5"/>
      <c r="AD179" s="5">
        <f ca="1">IFERROR(__xludf.DUMMYFUNCTION("""COMPUTED_VALUE"""),62)</f>
        <v>62</v>
      </c>
      <c r="AE179" s="5">
        <f ca="1">IFERROR(__xludf.DUMMYFUNCTION("""COMPUTED_VALUE"""),62)</f>
        <v>62</v>
      </c>
      <c r="AF179" s="5" t="b">
        <f ca="1">IFERROR(__xludf.DUMMYFUNCTION("""COMPUTED_VALUE"""),FALSE)</f>
        <v>0</v>
      </c>
      <c r="AG179" s="5" t="str">
        <f ca="1">IFERROR(__xludf.DUMMYFUNCTION("""COMPUTED_VALUE"""),"INSPECCIONES REALIZADAS")</f>
        <v>INSPECCIONES REALIZADAS</v>
      </c>
      <c r="AH179" s="5"/>
    </row>
    <row r="180" spans="1:34">
      <c r="A180" s="5" t="str">
        <f ca="1">IFERROR(__xludf.DUMMYFUNCTION("""COMPUTED_VALUE"""),"LINEA ENVASADO BAG IN BOX DISPENSADORES")</f>
        <v>LINEA ENVASADO BAG IN BOX DISPENSADORES</v>
      </c>
      <c r="B180" s="5">
        <f ca="1">IFERROR(__xludf.DUMMYFUNCTION("""COMPUTED_VALUE"""),589648)</f>
        <v>589648</v>
      </c>
      <c r="C180" s="5" t="str">
        <f ca="1">IFERROR(__xludf.DUMMYFUNCTION("""COMPUTED_VALUE"""),"CODIFICADOR")</f>
        <v>CODIFICADOR</v>
      </c>
      <c r="D180" s="5">
        <f ca="1">IFERROR(__xludf.DUMMYFUNCTION("""COMPUTED_VALUE"""),13247796)</f>
        <v>13247796</v>
      </c>
      <c r="E180" s="5" t="str">
        <f ca="1">IFERROR(__xludf.DUMMYFUNCTION("""COMPUTED_VALUE"""),"INSPECCION SEMANAL CODIFICADOR")</f>
        <v>INSPECCION SEMANAL CODIFICADOR</v>
      </c>
      <c r="F180" s="5" t="str">
        <f ca="1">IFERROR(__xludf.DUMMYFUNCTION("""COMPUTED_VALUE"""),"PLAN MTTO ELE CODIFICADOR BAG IN BOX DIS")</f>
        <v>PLAN MTTO ELE CODIFICADOR BAG IN BOX DIS</v>
      </c>
      <c r="G180" s="5" t="b">
        <f ca="1">IFERROR(__xludf.DUMMYFUNCTION("""COMPUTED_VALUE"""),TRUE)</f>
        <v>1</v>
      </c>
      <c r="H180" s="5"/>
      <c r="I180" s="5"/>
      <c r="J180" s="5">
        <f ca="1">IFERROR(__xludf.DUMMYFUNCTION("""COMPUTED_VALUE"""),13247796)</f>
        <v>13247796</v>
      </c>
      <c r="K180" s="5"/>
      <c r="L180" s="18">
        <f ca="1">IFERROR(__xludf.DUMMYFUNCTION("""COMPUTED_VALUE"""),45325)</f>
        <v>45325</v>
      </c>
      <c r="M180" s="18">
        <f ca="1">IFERROR(__xludf.DUMMYFUNCTION("""COMPUTED_VALUE"""),45325)</f>
        <v>45325</v>
      </c>
      <c r="N180" s="5" t="str">
        <f ca="1">IFERROR(__xludf.DUMMYFUNCTION("""COMPUTED_VALUE"""),"MARIO ALBERTO MARTÍNEZ MORA")</f>
        <v>MARIO ALBERTO MARTÍNEZ MORA</v>
      </c>
      <c r="O180" s="2">
        <f ca="1">IFERROR(__xludf.DUMMYFUNCTION("""COMPUTED_VALUE"""),0.1)</f>
        <v>0.1</v>
      </c>
      <c r="P180" s="5">
        <f ca="1">IFERROR(__xludf.DUMMYFUNCTION("""COMPUTED_VALUE"""),94542837)</f>
        <v>94542837</v>
      </c>
      <c r="Q180" s="5" t="str">
        <f ca="1">IFERROR(__xludf.DUMMYFUNCTION("""COMPUTED_VALUE"""),"dvSopJZ74LQ")</f>
        <v>dvSopJZ74LQ</v>
      </c>
      <c r="R180" s="5">
        <f ca="1">IFERROR(__xludf.DUMMYFUNCTION("""COMPUTED_VALUE"""),410)</f>
        <v>410</v>
      </c>
      <c r="S180" s="62">
        <f ca="1">IFERROR(__xludf.DUMMYFUNCTION("""COMPUTED_VALUE"""),0.1)</f>
        <v>0.1</v>
      </c>
      <c r="T180" s="63" t="str">
        <f ca="1">IFERROR(__xludf.DUMMYFUNCTION("""COMPUTED_VALUE"""),"https://storage.googleapis.com/glide-prod.appspot.com/uploads-v2/ly7o78grxPaC6KdgvbpS/pub/3aRdSog0vUtuqPE8AJKD.png")</f>
        <v>https://storage.googleapis.com/glide-prod.appspot.com/uploads-v2/ly7o78grxPaC6KdgvbpS/pub/3aRdSog0vUtuqPE8AJKD.png</v>
      </c>
      <c r="U180" s="5" t="str">
        <f ca="1">IFERROR(__xludf.DUMMYFUNCTION("""COMPUTED_VALUE"""),"LINEA ENVASADO BAG IN BOX DISPENSADORESCODIFICADOR")</f>
        <v>LINEA ENVASADO BAG IN BOX DISPENSADORESCODIFICADOR</v>
      </c>
      <c r="V180" s="5"/>
      <c r="W180" s="5" t="b">
        <f ca="1">IFERROR(__xludf.DUMMYFUNCTION("""COMPUTED_VALUE"""),TRUE)</f>
        <v>1</v>
      </c>
      <c r="X180" s="5" t="str">
        <f ca="1">IFERROR(__xludf.DUMMYFUNCTION("""COMPUTED_VALUE"""),"wguerra@postobon.com.co,aprmttoyu@postobon.com.co,aprmyu@postobon.com.co,wmora@postobon.com.co,efzapata@postobon.com.co")</f>
        <v>wguerra@postobon.com.co,aprmttoyu@postobon.com.co,aprmyu@postobon.com.co,wmora@postobon.com.co,efzapata@postobon.com.co</v>
      </c>
      <c r="Y180" s="5" t="str">
        <f ca="1">IFERROR(__xludf.DUMMYFUNCTION("""COMPUTED_VALUE"""),"wguerra@postobon.com.co")</f>
        <v>wguerra@postobon.com.co</v>
      </c>
      <c r="Z180" s="5" t="str">
        <f ca="1">IFERROR(__xludf.DUMMYFUNCTION("""COMPUTED_VALUE"""),"h7Uv31M0S12R8u7RanEfxA")</f>
        <v>h7Uv31M0S12R8u7RanEfxA</v>
      </c>
      <c r="AA180" s="5"/>
      <c r="AB180" s="5"/>
      <c r="AC180" s="5"/>
      <c r="AD180" s="5">
        <f ca="1">IFERROR(__xludf.DUMMYFUNCTION("""COMPUTED_VALUE"""),65)</f>
        <v>65</v>
      </c>
      <c r="AE180" s="5">
        <f ca="1">IFERROR(__xludf.DUMMYFUNCTION("""COMPUTED_VALUE"""),65)</f>
        <v>65</v>
      </c>
      <c r="AF180" s="5" t="b">
        <f ca="1">IFERROR(__xludf.DUMMYFUNCTION("""COMPUTED_VALUE"""),FALSE)</f>
        <v>0</v>
      </c>
      <c r="AG180" s="5" t="str">
        <f ca="1">IFERROR(__xludf.DUMMYFUNCTION("""COMPUTED_VALUE"""),"INSPECCIONES REALIZADAS")</f>
        <v>INSPECCIONES REALIZADAS</v>
      </c>
      <c r="AH180" s="5"/>
    </row>
    <row r="181" spans="1:34">
      <c r="A181" s="5" t="str">
        <f ca="1">IFERROR(__xludf.DUMMYFUNCTION("""COMPUTED_VALUE"""),"LINEA ENVASADO BAG IN BOX DISPENSADORES")</f>
        <v>LINEA ENVASADO BAG IN BOX DISPENSADORES</v>
      </c>
      <c r="B181" s="5">
        <f ca="1">IFERROR(__xludf.DUMMYFUNCTION("""COMPUTED_VALUE"""),71012801)</f>
        <v>71012801</v>
      </c>
      <c r="C181" s="5" t="str">
        <f ca="1">IFERROR(__xludf.DUMMYFUNCTION("""COMPUTED_VALUE"""),"CODIFICADOR")</f>
        <v>CODIFICADOR</v>
      </c>
      <c r="D181" s="5">
        <f ca="1">IFERROR(__xludf.DUMMYFUNCTION("""COMPUTED_VALUE"""),13247792)</f>
        <v>13247792</v>
      </c>
      <c r="E181" s="5" t="str">
        <f ca="1">IFERROR(__xludf.DUMMYFUNCTION("""COMPUTED_VALUE"""),"INSPECCION SEMANAL Codificador")</f>
        <v>INSPECCION SEMANAL Codificador</v>
      </c>
      <c r="F181" s="5" t="str">
        <f ca="1">IFERROR(__xludf.DUMMYFUNCTION("""COMPUTED_VALUE"""),"FUNCIONAMIENTO CODIFICACION")</f>
        <v>FUNCIONAMIENTO CODIFICACION</v>
      </c>
      <c r="G181" s="5" t="b">
        <f ca="1">IFERROR(__xludf.DUMMYFUNCTION("""COMPUTED_VALUE"""),TRUE)</f>
        <v>1</v>
      </c>
      <c r="H181" s="5"/>
      <c r="I181" s="5"/>
      <c r="J181" s="5">
        <f ca="1">IFERROR(__xludf.DUMMYFUNCTION("""COMPUTED_VALUE"""),13247792)</f>
        <v>13247792</v>
      </c>
      <c r="K181" s="5"/>
      <c r="L181" s="18">
        <f ca="1">IFERROR(__xludf.DUMMYFUNCTION("""COMPUTED_VALUE"""),45325)</f>
        <v>45325</v>
      </c>
      <c r="M181" s="18">
        <f ca="1">IFERROR(__xludf.DUMMYFUNCTION("""COMPUTED_VALUE"""),45325)</f>
        <v>45325</v>
      </c>
      <c r="N181" s="5" t="str">
        <f ca="1">IFERROR(__xludf.DUMMYFUNCTION("""COMPUTED_VALUE"""),"MARIO ALBERTO MARTÍNEZ MORA")</f>
        <v>MARIO ALBERTO MARTÍNEZ MORA</v>
      </c>
      <c r="O181" s="2">
        <f ca="1">IFERROR(__xludf.DUMMYFUNCTION("""COMPUTED_VALUE"""),0.05)</f>
        <v>0.05</v>
      </c>
      <c r="P181" s="5">
        <f ca="1">IFERROR(__xludf.DUMMYFUNCTION("""COMPUTED_VALUE"""),94542837)</f>
        <v>94542837</v>
      </c>
      <c r="Q181" s="5" t="str">
        <f ca="1">IFERROR(__xludf.DUMMYFUNCTION("""COMPUTED_VALUE"""),"ameFVIvtCcI")</f>
        <v>ameFVIvtCcI</v>
      </c>
      <c r="R181" s="5">
        <f ca="1">IFERROR(__xludf.DUMMYFUNCTION("""COMPUTED_VALUE"""),410)</f>
        <v>410</v>
      </c>
      <c r="S181" s="62">
        <f ca="1">IFERROR(__xludf.DUMMYFUNCTION("""COMPUTED_VALUE"""),0.05)</f>
        <v>0.05</v>
      </c>
      <c r="T181" s="63" t="str">
        <f ca="1">IFERROR(__xludf.DUMMYFUNCTION("""COMPUTED_VALUE"""),"https://storage.googleapis.com/glide-prod.appspot.com/uploads-v2/ly7o78grxPaC6KdgvbpS/pub/3aRdSog0vUtuqPE8AJKD.png")</f>
        <v>https://storage.googleapis.com/glide-prod.appspot.com/uploads-v2/ly7o78grxPaC6KdgvbpS/pub/3aRdSog0vUtuqPE8AJKD.png</v>
      </c>
      <c r="U181" s="5" t="str">
        <f ca="1">IFERROR(__xludf.DUMMYFUNCTION("""COMPUTED_VALUE"""),"LINEA ENVASADO BAG IN BOX DISPENSADORESCODIFICADOR")</f>
        <v>LINEA ENVASADO BAG IN BOX DISPENSADORESCODIFICADOR</v>
      </c>
      <c r="V181" s="5"/>
      <c r="W181" s="5" t="b">
        <f ca="1">IFERROR(__xludf.DUMMYFUNCTION("""COMPUTED_VALUE"""),TRUE)</f>
        <v>1</v>
      </c>
      <c r="X181" s="5" t="str">
        <f ca="1">IFERROR(__xludf.DUMMYFUNCTION("""COMPUTED_VALUE"""),"wguerra@postobon.com.co,aprmttoyu@postobon.com.co,aprmyu@postobon.com.co,wmora@postobon.com.co,efzapata@postobon.com.co")</f>
        <v>wguerra@postobon.com.co,aprmttoyu@postobon.com.co,aprmyu@postobon.com.co,wmora@postobon.com.co,efzapata@postobon.com.co</v>
      </c>
      <c r="Y181" s="5" t="str">
        <f ca="1">IFERROR(__xludf.DUMMYFUNCTION("""COMPUTED_VALUE"""),"wguerra@postobon.com.co")</f>
        <v>wguerra@postobon.com.co</v>
      </c>
      <c r="Z181" s="5" t="str">
        <f ca="1">IFERROR(__xludf.DUMMYFUNCTION("""COMPUTED_VALUE"""),"vmJcliOrSnSd5m9UjuYfKw")</f>
        <v>vmJcliOrSnSd5m9UjuYfKw</v>
      </c>
      <c r="AA181" s="5"/>
      <c r="AB181" s="5"/>
      <c r="AC181" s="5"/>
      <c r="AD181" s="5">
        <f ca="1">IFERROR(__xludf.DUMMYFUNCTION("""COMPUTED_VALUE"""),65)</f>
        <v>65</v>
      </c>
      <c r="AE181" s="5">
        <f ca="1">IFERROR(__xludf.DUMMYFUNCTION("""COMPUTED_VALUE"""),65)</f>
        <v>65</v>
      </c>
      <c r="AF181" s="5" t="b">
        <f ca="1">IFERROR(__xludf.DUMMYFUNCTION("""COMPUTED_VALUE"""),FALSE)</f>
        <v>0</v>
      </c>
      <c r="AG181" s="5" t="str">
        <f ca="1">IFERROR(__xludf.DUMMYFUNCTION("""COMPUTED_VALUE"""),"INSPECCIONES REALIZADAS")</f>
        <v>INSPECCIONES REALIZADAS</v>
      </c>
      <c r="AH181" s="5"/>
    </row>
    <row r="182" spans="1:34">
      <c r="A182" s="5" t="str">
        <f ca="1">IFERROR(__xludf.DUMMYFUNCTION("""COMPUTED_VALUE"""),"LINEA ENVASADO BAG IN BOX DISPENSADORES")</f>
        <v>LINEA ENVASADO BAG IN BOX DISPENSADORES</v>
      </c>
      <c r="B182" s="5">
        <f ca="1">IFERROR(__xludf.DUMMYFUNCTION("""COMPUTED_VALUE"""),71012801)</f>
        <v>71012801</v>
      </c>
      <c r="C182" s="5" t="str">
        <f ca="1">IFERROR(__xludf.DUMMYFUNCTION("""COMPUTED_VALUE"""),"CODIFICADOR")</f>
        <v>CODIFICADOR</v>
      </c>
      <c r="D182" s="5">
        <f ca="1">IFERROR(__xludf.DUMMYFUNCTION("""COMPUTED_VALUE"""),13247792)</f>
        <v>13247792</v>
      </c>
      <c r="E182" s="5" t="str">
        <f ca="1">IFERROR(__xludf.DUMMYFUNCTION("""COMPUTED_VALUE"""),"INSPECCION SEMANAL Codificador")</f>
        <v>INSPECCION SEMANAL Codificador</v>
      </c>
      <c r="F182" s="5" t="str">
        <f ca="1">IFERROR(__xludf.DUMMYFUNCTION("""COMPUTED_VALUE"""),"ESTADO APLICADOR TERMICO")</f>
        <v>ESTADO APLICADOR TERMICO</v>
      </c>
      <c r="G182" s="5" t="b">
        <f ca="1">IFERROR(__xludf.DUMMYFUNCTION("""COMPUTED_VALUE"""),TRUE)</f>
        <v>1</v>
      </c>
      <c r="H182" s="5"/>
      <c r="I182" s="5"/>
      <c r="J182" s="5">
        <f ca="1">IFERROR(__xludf.DUMMYFUNCTION("""COMPUTED_VALUE"""),13247792)</f>
        <v>13247792</v>
      </c>
      <c r="K182" s="5"/>
      <c r="L182" s="18">
        <f ca="1">IFERROR(__xludf.DUMMYFUNCTION("""COMPUTED_VALUE"""),45325)</f>
        <v>45325</v>
      </c>
      <c r="M182" s="18">
        <f ca="1">IFERROR(__xludf.DUMMYFUNCTION("""COMPUTED_VALUE"""),45325)</f>
        <v>45325</v>
      </c>
      <c r="N182" s="5" t="str">
        <f ca="1">IFERROR(__xludf.DUMMYFUNCTION("""COMPUTED_VALUE"""),"MARIO ALBERTO MARTÍNEZ MORA")</f>
        <v>MARIO ALBERTO MARTÍNEZ MORA</v>
      </c>
      <c r="O182" s="2">
        <f ca="1">IFERROR(__xludf.DUMMYFUNCTION("""COMPUTED_VALUE"""),0.05)</f>
        <v>0.05</v>
      </c>
      <c r="P182" s="5">
        <f ca="1">IFERROR(__xludf.DUMMYFUNCTION("""COMPUTED_VALUE"""),94542837)</f>
        <v>94542837</v>
      </c>
      <c r="Q182" s="5" t="str">
        <f ca="1">IFERROR(__xludf.DUMMYFUNCTION("""COMPUTED_VALUE"""),"BZc0vmsME_4")</f>
        <v>BZc0vmsME_4</v>
      </c>
      <c r="R182" s="5">
        <f ca="1">IFERROR(__xludf.DUMMYFUNCTION("""COMPUTED_VALUE"""),410)</f>
        <v>410</v>
      </c>
      <c r="S182" s="62">
        <f ca="1">IFERROR(__xludf.DUMMYFUNCTION("""COMPUTED_VALUE"""),0.05)</f>
        <v>0.05</v>
      </c>
      <c r="T182" s="63" t="str">
        <f ca="1">IFERROR(__xludf.DUMMYFUNCTION("""COMPUTED_VALUE"""),"https://storage.googleapis.com/glide-prod.appspot.com/uploads-v2/ly7o78grxPaC6KdgvbpS/pub/3aRdSog0vUtuqPE8AJKD.png")</f>
        <v>https://storage.googleapis.com/glide-prod.appspot.com/uploads-v2/ly7o78grxPaC6KdgvbpS/pub/3aRdSog0vUtuqPE8AJKD.png</v>
      </c>
      <c r="U182" s="5" t="str">
        <f ca="1">IFERROR(__xludf.DUMMYFUNCTION("""COMPUTED_VALUE"""),"LINEA ENVASADO BAG IN BOX DISPENSADORESCODIFICADOR")</f>
        <v>LINEA ENVASADO BAG IN BOX DISPENSADORESCODIFICADOR</v>
      </c>
      <c r="V182" s="5"/>
      <c r="W182" s="5" t="b">
        <f ca="1">IFERROR(__xludf.DUMMYFUNCTION("""COMPUTED_VALUE"""),TRUE)</f>
        <v>1</v>
      </c>
      <c r="X182" s="5" t="str">
        <f ca="1">IFERROR(__xludf.DUMMYFUNCTION("""COMPUTED_VALUE"""),"wguerra@postobon.com.co,aprmttoyu@postobon.com.co,aprmyu@postobon.com.co,wmora@postobon.com.co,efzapata@postobon.com.co")</f>
        <v>wguerra@postobon.com.co,aprmttoyu@postobon.com.co,aprmyu@postobon.com.co,wmora@postobon.com.co,efzapata@postobon.com.co</v>
      </c>
      <c r="Y182" s="5" t="str">
        <f ca="1">IFERROR(__xludf.DUMMYFUNCTION("""COMPUTED_VALUE"""),"wguerra@postobon.com.co")</f>
        <v>wguerra@postobon.com.co</v>
      </c>
      <c r="Z182" s="5" t="str">
        <f ca="1">IFERROR(__xludf.DUMMYFUNCTION("""COMPUTED_VALUE"""),"AtNDR2I8RYaG7uqzSdTEBw")</f>
        <v>AtNDR2I8RYaG7uqzSdTEBw</v>
      </c>
      <c r="AA182" s="5"/>
      <c r="AB182" s="5"/>
      <c r="AC182" s="5"/>
      <c r="AD182" s="5">
        <f ca="1">IFERROR(__xludf.DUMMYFUNCTION("""COMPUTED_VALUE"""),65)</f>
        <v>65</v>
      </c>
      <c r="AE182" s="5">
        <f ca="1">IFERROR(__xludf.DUMMYFUNCTION("""COMPUTED_VALUE"""),65)</f>
        <v>65</v>
      </c>
      <c r="AF182" s="5" t="b">
        <f ca="1">IFERROR(__xludf.DUMMYFUNCTION("""COMPUTED_VALUE"""),FALSE)</f>
        <v>0</v>
      </c>
      <c r="AG182" s="5" t="str">
        <f ca="1">IFERROR(__xludf.DUMMYFUNCTION("""COMPUTED_VALUE"""),"INSPECCIONES REALIZADAS")</f>
        <v>INSPECCIONES REALIZADAS</v>
      </c>
      <c r="AH182" s="5"/>
    </row>
    <row r="183" spans="1:34">
      <c r="A183" s="5" t="str">
        <f ca="1">IFERROR(__xludf.DUMMYFUNCTION("""COMPUTED_VALUE"""),"LINEA DE ENVASADO FAMILIAR Y PRB")</f>
        <v>LINEA DE ENVASADO FAMILIAR Y PRB</v>
      </c>
      <c r="B183" s="5">
        <f ca="1">IFERROR(__xludf.DUMMYFUNCTION("""COMPUTED_VALUE"""),82964402)</f>
        <v>82964402</v>
      </c>
      <c r="C183" s="5" t="str">
        <f ca="1">IFERROR(__xludf.DUMMYFUNCTION("""COMPUTED_VALUE"""),"CODIFICADOR proveniente de Cartagena")</f>
        <v>CODIFICADOR proveniente de Cartagena</v>
      </c>
      <c r="D183" s="5">
        <f ca="1">IFERROR(__xludf.DUMMYFUNCTION("""COMPUTED_VALUE"""),13247288)</f>
        <v>13247288</v>
      </c>
      <c r="E183" s="5" t="str">
        <f ca="1">IFERROR(__xludf.DUMMYFUNCTION("""COMPUTED_VALUE"""),"INSPECCION SEMANAL CODIFICADOR")</f>
        <v>INSPECCION SEMANAL CODIFICADOR</v>
      </c>
      <c r="F183" s="5" t="str">
        <f ca="1">IFERROR(__xludf.DUMMYFUNCTION("""COMPUTED_VALUE"""),"Mtto codificador de botellas exel 170i")</f>
        <v>Mtto codificador de botellas exel 170i</v>
      </c>
      <c r="G183" s="5" t="b">
        <f ca="1">IFERROR(__xludf.DUMMYFUNCTION("""COMPUTED_VALUE"""),TRUE)</f>
        <v>1</v>
      </c>
      <c r="H183" s="5"/>
      <c r="I183" s="5"/>
      <c r="J183" s="5">
        <f ca="1">IFERROR(__xludf.DUMMYFUNCTION("""COMPUTED_VALUE"""),13247288)</f>
        <v>13247288</v>
      </c>
      <c r="K183" s="5"/>
      <c r="L183" s="18">
        <f ca="1">IFERROR(__xludf.DUMMYFUNCTION("""COMPUTED_VALUE"""),45325)</f>
        <v>45325</v>
      </c>
      <c r="M183" s="18">
        <f ca="1">IFERROR(__xludf.DUMMYFUNCTION("""COMPUTED_VALUE"""),45325)</f>
        <v>45325</v>
      </c>
      <c r="N183" s="5" t="str">
        <f ca="1">IFERROR(__xludf.DUMMYFUNCTION("""COMPUTED_VALUE"""),"Andrés Felipe Pérez Polania")</f>
        <v>Andrés Felipe Pérez Polania</v>
      </c>
      <c r="O183" s="2">
        <f ca="1">IFERROR(__xludf.DUMMYFUNCTION("""COMPUTED_VALUE"""),0.1)</f>
        <v>0.1</v>
      </c>
      <c r="P183" s="5">
        <f ca="1">IFERROR(__xludf.DUMMYFUNCTION("""COMPUTED_VALUE"""),1919044)</f>
        <v>1919044</v>
      </c>
      <c r="Q183" s="5" t="str">
        <f ca="1">IFERROR(__xludf.DUMMYFUNCTION("""COMPUTED_VALUE"""),"tTycKcLfq9s")</f>
        <v>tTycKcLfq9s</v>
      </c>
      <c r="R183" s="5">
        <f ca="1">IFERROR(__xludf.DUMMYFUNCTION("""COMPUTED_VALUE"""),410)</f>
        <v>410</v>
      </c>
      <c r="S183" s="62">
        <f ca="1">IFERROR(__xludf.DUMMYFUNCTION("""COMPUTED_VALUE"""),0.1)</f>
        <v>0.1</v>
      </c>
      <c r="T183" s="63" t="str">
        <f ca="1">IFERROR(__xludf.DUMMYFUNCTION("""COMPUTED_VALUE"""),"https://storage.googleapis.com/glide-prod.appspot.com/uploads-v2/ly7o78grxPaC6KdgvbpS/pub/3aRdSog0vUtuqPE8AJKD.png")</f>
        <v>https://storage.googleapis.com/glide-prod.appspot.com/uploads-v2/ly7o78grxPaC6KdgvbpS/pub/3aRdSog0vUtuqPE8AJKD.png</v>
      </c>
      <c r="U183" s="5" t="str">
        <f ca="1">IFERROR(__xludf.DUMMYFUNCTION("""COMPUTED_VALUE"""),"LINEA DE ENVASADO FAMILIAR Y PRBCODIFICADOR proveniente de Cartagena")</f>
        <v>LINEA DE ENVASADO FAMILIAR Y PRBCODIFICADOR proveniente de Cartagena</v>
      </c>
      <c r="V183" s="5"/>
      <c r="W183" s="5" t="b">
        <f ca="1">IFERROR(__xludf.DUMMYFUNCTION("""COMPUTED_VALUE"""),TRUE)</f>
        <v>1</v>
      </c>
      <c r="X183" s="5" t="str">
        <f ca="1">IFERROR(__xludf.DUMMYFUNCTION("""COMPUTED_VALUE"""),"wguerra@postobon.com.co,aprmttoyu@postobon.com.co,aprmyu@postobon.com.co,wmora@postobon.com.co,efzapata@postobon.com.co")</f>
        <v>wguerra@postobon.com.co,aprmttoyu@postobon.com.co,aprmyu@postobon.com.co,wmora@postobon.com.co,efzapata@postobon.com.co</v>
      </c>
      <c r="Y183" s="5" t="str">
        <f ca="1">IFERROR(__xludf.DUMMYFUNCTION("""COMPUTED_VALUE"""),"wguerra@postobon.com.co")</f>
        <v>wguerra@postobon.com.co</v>
      </c>
      <c r="Z183" s="5" t="str">
        <f ca="1">IFERROR(__xludf.DUMMYFUNCTION("""COMPUTED_VALUE"""),"0XqyqSrmQ0iNjjluHXoZ.A")</f>
        <v>0XqyqSrmQ0iNjjluHXoZ.A</v>
      </c>
      <c r="AA183" s="5"/>
      <c r="AB183" s="5"/>
      <c r="AC183" s="5"/>
      <c r="AD183" s="5">
        <f ca="1">IFERROR(__xludf.DUMMYFUNCTION("""COMPUTED_VALUE"""),63)</f>
        <v>63</v>
      </c>
      <c r="AE183" s="5">
        <f ca="1">IFERROR(__xludf.DUMMYFUNCTION("""COMPUTED_VALUE"""),63)</f>
        <v>63</v>
      </c>
      <c r="AF183" s="5" t="b">
        <f ca="1">IFERROR(__xludf.DUMMYFUNCTION("""COMPUTED_VALUE"""),FALSE)</f>
        <v>0</v>
      </c>
      <c r="AG183" s="5" t="str">
        <f ca="1">IFERROR(__xludf.DUMMYFUNCTION("""COMPUTED_VALUE"""),"INSPECCIONES REALIZADAS")</f>
        <v>INSPECCIONES REALIZADAS</v>
      </c>
      <c r="AH183" s="5"/>
    </row>
    <row r="184" spans="1:34">
      <c r="A184" s="5" t="str">
        <f ca="1">IFERROR(__xludf.DUMMYFUNCTION("""COMPUTED_VALUE"""),"LINEA PARA EL LLENADO DE BOLSAS")</f>
        <v>LINEA PARA EL LLENADO DE BOLSAS</v>
      </c>
      <c r="B184" s="5">
        <f ca="1">IFERROR(__xludf.DUMMYFUNCTION("""COMPUTED_VALUE"""),589617)</f>
        <v>589617</v>
      </c>
      <c r="C184" s="5" t="str">
        <f ca="1">IFERROR(__xludf.DUMMYFUNCTION("""COMPUTED_VALUE"""),"CODIFICADOR PARA BOLSA 360 Y 600")</f>
        <v>CODIFICADOR PARA BOLSA 360 Y 600</v>
      </c>
      <c r="D184" s="5">
        <f ca="1">IFERROR(__xludf.DUMMYFUNCTION("""COMPUTED_VALUE"""),13247702)</f>
        <v>13247702</v>
      </c>
      <c r="E184" s="5" t="str">
        <f ca="1">IFERROR(__xludf.DUMMYFUNCTION("""COMPUTED_VALUE"""),"INSPECCION SEMANAL CODIFICADOR BOLSA 36")</f>
        <v>INSPECCION SEMANAL CODIFICADOR BOLSA 36</v>
      </c>
      <c r="F184" s="5" t="str">
        <f ca="1">IFERROR(__xludf.DUMMYFUNCTION("""COMPUTED_VALUE"""),"VERIFICAR CODIFICACION")</f>
        <v>VERIFICAR CODIFICACION</v>
      </c>
      <c r="G184" s="5" t="b">
        <f ca="1">IFERROR(__xludf.DUMMYFUNCTION("""COMPUTED_VALUE"""),TRUE)</f>
        <v>1</v>
      </c>
      <c r="H184" s="5"/>
      <c r="I184" s="5"/>
      <c r="J184" s="5">
        <f ca="1">IFERROR(__xludf.DUMMYFUNCTION("""COMPUTED_VALUE"""),13247702)</f>
        <v>13247702</v>
      </c>
      <c r="K184" s="5"/>
      <c r="L184" s="18">
        <f ca="1">IFERROR(__xludf.DUMMYFUNCTION("""COMPUTED_VALUE"""),45325)</f>
        <v>45325</v>
      </c>
      <c r="M184" s="18">
        <f ca="1">IFERROR(__xludf.DUMMYFUNCTION("""COMPUTED_VALUE"""),45325)</f>
        <v>45325</v>
      </c>
      <c r="N184" s="5" t="str">
        <f ca="1">IFERROR(__xludf.DUMMYFUNCTION("""COMPUTED_VALUE"""),"ESTEBAN POTOSI ISAZA")</f>
        <v>ESTEBAN POTOSI ISAZA</v>
      </c>
      <c r="O184" s="2">
        <f ca="1">IFERROR(__xludf.DUMMYFUNCTION("""COMPUTED_VALUE"""),0.033333333)</f>
        <v>3.3333333E-2</v>
      </c>
      <c r="P184" s="5">
        <f ca="1">IFERROR(__xludf.DUMMYFUNCTION("""COMPUTED_VALUE"""),20076884)</f>
        <v>20076884</v>
      </c>
      <c r="Q184" s="5" t="str">
        <f ca="1">IFERROR(__xludf.DUMMYFUNCTION("""COMPUTED_VALUE"""),"4GsOL6kVuy0")</f>
        <v>4GsOL6kVuy0</v>
      </c>
      <c r="R184" s="5">
        <f ca="1">IFERROR(__xludf.DUMMYFUNCTION("""COMPUTED_VALUE"""),410)</f>
        <v>410</v>
      </c>
      <c r="S184" s="62">
        <f ca="1">IFERROR(__xludf.DUMMYFUNCTION("""COMPUTED_VALUE"""),0.033333333)</f>
        <v>3.3333333E-2</v>
      </c>
      <c r="T184" s="63" t="str">
        <f ca="1">IFERROR(__xludf.DUMMYFUNCTION("""COMPUTED_VALUE"""),"https://storage.googleapis.com/glide-prod.appspot.com/uploads-v2/ly7o78grxPaC6KdgvbpS/pub/3aRdSog0vUtuqPE8AJKD.png")</f>
        <v>https://storage.googleapis.com/glide-prod.appspot.com/uploads-v2/ly7o78grxPaC6KdgvbpS/pub/3aRdSog0vUtuqPE8AJKD.png</v>
      </c>
      <c r="U184" s="5" t="str">
        <f ca="1">IFERROR(__xludf.DUMMYFUNCTION("""COMPUTED_VALUE"""),"LINEA PARA EL LLENADO DE BOLSASCODIFICADOR PARA BOLSA 360 Y 600")</f>
        <v>LINEA PARA EL LLENADO DE BOLSASCODIFICADOR PARA BOLSA 360 Y 600</v>
      </c>
      <c r="V184" s="5"/>
      <c r="W184" s="5" t="b">
        <f ca="1">IFERROR(__xludf.DUMMYFUNCTION("""COMPUTED_VALUE"""),TRUE)</f>
        <v>1</v>
      </c>
      <c r="X184" s="5" t="str">
        <f ca="1">IFERROR(__xludf.DUMMYFUNCTION("""COMPUTED_VALUE"""),"achavezi@postobon.com.co,aprmttoyu@postobon.com.co,aprmyu@postobon.com.co,wmora@postobon.com.co,efzapata@postobon.com.co")</f>
        <v>achavezi@postobon.com.co,aprmttoyu@postobon.com.co,aprmyu@postobon.com.co,wmora@postobon.com.co,efzapata@postobon.com.co</v>
      </c>
      <c r="Y184" s="5" t="str">
        <f ca="1">IFERROR(__xludf.DUMMYFUNCTION("""COMPUTED_VALUE"""),"achavezi@postobon.com.co")</f>
        <v>achavezi@postobon.com.co</v>
      </c>
      <c r="Z184" s="5" t="str">
        <f ca="1">IFERROR(__xludf.DUMMYFUNCTION("""COMPUTED_VALUE"""),"vN9Oc3jrSHe3D0EwVc7Cwg")</f>
        <v>vN9Oc3jrSHe3D0EwVc7Cwg</v>
      </c>
      <c r="AA184" s="5"/>
      <c r="AB184" s="5"/>
      <c r="AC184" s="5"/>
      <c r="AD184" s="5">
        <f ca="1">IFERROR(__xludf.DUMMYFUNCTION("""COMPUTED_VALUE"""),70)</f>
        <v>70</v>
      </c>
      <c r="AE184" s="5">
        <f ca="1">IFERROR(__xludf.DUMMYFUNCTION("""COMPUTED_VALUE"""),70)</f>
        <v>70</v>
      </c>
      <c r="AF184" s="5" t="b">
        <f ca="1">IFERROR(__xludf.DUMMYFUNCTION("""COMPUTED_VALUE"""),FALSE)</f>
        <v>0</v>
      </c>
      <c r="AG184" s="5" t="str">
        <f ca="1">IFERROR(__xludf.DUMMYFUNCTION("""COMPUTED_VALUE"""),"INSPECCIONES REALIZADAS")</f>
        <v>INSPECCIONES REALIZADAS</v>
      </c>
      <c r="AH184" s="5"/>
    </row>
    <row r="185" spans="1:34">
      <c r="A185" s="5" t="str">
        <f ca="1">IFERROR(__xludf.DUMMYFUNCTION("""COMPUTED_VALUE"""),"LINEA PARA EL LLENADO DE BOLSAS")</f>
        <v>LINEA PARA EL LLENADO DE BOLSAS</v>
      </c>
      <c r="B185" s="5">
        <f ca="1">IFERROR(__xludf.DUMMYFUNCTION("""COMPUTED_VALUE"""),589617)</f>
        <v>589617</v>
      </c>
      <c r="C185" s="5" t="str">
        <f ca="1">IFERROR(__xludf.DUMMYFUNCTION("""COMPUTED_VALUE"""),"CODIFICADOR PARA BOLSA 360 Y 600")</f>
        <v>CODIFICADOR PARA BOLSA 360 Y 600</v>
      </c>
      <c r="D185" s="5">
        <f ca="1">IFERROR(__xludf.DUMMYFUNCTION("""COMPUTED_VALUE"""),13247702)</f>
        <v>13247702</v>
      </c>
      <c r="E185" s="5" t="str">
        <f ca="1">IFERROR(__xludf.DUMMYFUNCTION("""COMPUTED_VALUE"""),"INSPECCION SEMANAL CODIFICADOR BOLSA 36")</f>
        <v>INSPECCION SEMANAL CODIFICADOR BOLSA 36</v>
      </c>
      <c r="F185" s="5" t="str">
        <f ca="1">IFERROR(__xludf.DUMMYFUNCTION("""COMPUTED_VALUE"""),"INSPECCIONAR ESTADO ALMOHADILLAS")</f>
        <v>INSPECCIONAR ESTADO ALMOHADILLAS</v>
      </c>
      <c r="G185" s="5" t="b">
        <f ca="1">IFERROR(__xludf.DUMMYFUNCTION("""COMPUTED_VALUE"""),TRUE)</f>
        <v>1</v>
      </c>
      <c r="H185" s="5"/>
      <c r="I185" s="5"/>
      <c r="J185" s="5">
        <f ca="1">IFERROR(__xludf.DUMMYFUNCTION("""COMPUTED_VALUE"""),13247702)</f>
        <v>13247702</v>
      </c>
      <c r="K185" s="5"/>
      <c r="L185" s="18">
        <f ca="1">IFERROR(__xludf.DUMMYFUNCTION("""COMPUTED_VALUE"""),45325)</f>
        <v>45325</v>
      </c>
      <c r="M185" s="18">
        <f ca="1">IFERROR(__xludf.DUMMYFUNCTION("""COMPUTED_VALUE"""),45325)</f>
        <v>45325</v>
      </c>
      <c r="N185" s="5" t="str">
        <f ca="1">IFERROR(__xludf.DUMMYFUNCTION("""COMPUTED_VALUE"""),"ESTEBAN POTOSI ISAZA")</f>
        <v>ESTEBAN POTOSI ISAZA</v>
      </c>
      <c r="O185" s="2">
        <f ca="1">IFERROR(__xludf.DUMMYFUNCTION("""COMPUTED_VALUE"""),0.033333333)</f>
        <v>3.3333333E-2</v>
      </c>
      <c r="P185" s="5">
        <f ca="1">IFERROR(__xludf.DUMMYFUNCTION("""COMPUTED_VALUE"""),20076884)</f>
        <v>20076884</v>
      </c>
      <c r="Q185" s="5" t="str">
        <f ca="1">IFERROR(__xludf.DUMMYFUNCTION("""COMPUTED_VALUE"""),"mZnjATJmqYY")</f>
        <v>mZnjATJmqYY</v>
      </c>
      <c r="R185" s="5">
        <f ca="1">IFERROR(__xludf.DUMMYFUNCTION("""COMPUTED_VALUE"""),410)</f>
        <v>410</v>
      </c>
      <c r="S185" s="62">
        <f ca="1">IFERROR(__xludf.DUMMYFUNCTION("""COMPUTED_VALUE"""),0.033333333)</f>
        <v>3.3333333E-2</v>
      </c>
      <c r="T185" s="63" t="str">
        <f ca="1">IFERROR(__xludf.DUMMYFUNCTION("""COMPUTED_VALUE"""),"https://storage.googleapis.com/glide-prod.appspot.com/uploads-v2/ly7o78grxPaC6KdgvbpS/pub/3aRdSog0vUtuqPE8AJKD.png")</f>
        <v>https://storage.googleapis.com/glide-prod.appspot.com/uploads-v2/ly7o78grxPaC6KdgvbpS/pub/3aRdSog0vUtuqPE8AJKD.png</v>
      </c>
      <c r="U185" s="5" t="str">
        <f ca="1">IFERROR(__xludf.DUMMYFUNCTION("""COMPUTED_VALUE"""),"LINEA PARA EL LLENADO DE BOLSASCODIFICADOR PARA BOLSA 360 Y 600")</f>
        <v>LINEA PARA EL LLENADO DE BOLSASCODIFICADOR PARA BOLSA 360 Y 600</v>
      </c>
      <c r="V185" s="5"/>
      <c r="W185" s="5" t="b">
        <f ca="1">IFERROR(__xludf.DUMMYFUNCTION("""COMPUTED_VALUE"""),TRUE)</f>
        <v>1</v>
      </c>
      <c r="X185" s="5" t="str">
        <f ca="1">IFERROR(__xludf.DUMMYFUNCTION("""COMPUTED_VALUE"""),"achavezi@postobon.com.co,aprmttoyu@postobon.com.co,aprmyu@postobon.com.co,wmora@postobon.com.co,efzapata@postobon.com.co")</f>
        <v>achavezi@postobon.com.co,aprmttoyu@postobon.com.co,aprmyu@postobon.com.co,wmora@postobon.com.co,efzapata@postobon.com.co</v>
      </c>
      <c r="Y185" s="5" t="str">
        <f ca="1">IFERROR(__xludf.DUMMYFUNCTION("""COMPUTED_VALUE"""),"achavezi@postobon.com.co")</f>
        <v>achavezi@postobon.com.co</v>
      </c>
      <c r="Z185" s="5" t="str">
        <f ca="1">IFERROR(__xludf.DUMMYFUNCTION("""COMPUTED_VALUE"""),"cw25uBerQKa50JQUs.pJ4Q")</f>
        <v>cw25uBerQKa50JQUs.pJ4Q</v>
      </c>
      <c r="AA185" s="5"/>
      <c r="AB185" s="5"/>
      <c r="AC185" s="5"/>
      <c r="AD185" s="5">
        <f ca="1">IFERROR(__xludf.DUMMYFUNCTION("""COMPUTED_VALUE"""),70)</f>
        <v>70</v>
      </c>
      <c r="AE185" s="5">
        <f ca="1">IFERROR(__xludf.DUMMYFUNCTION("""COMPUTED_VALUE"""),70)</f>
        <v>70</v>
      </c>
      <c r="AF185" s="5" t="b">
        <f ca="1">IFERROR(__xludf.DUMMYFUNCTION("""COMPUTED_VALUE"""),FALSE)</f>
        <v>0</v>
      </c>
      <c r="AG185" s="5" t="str">
        <f ca="1">IFERROR(__xludf.DUMMYFUNCTION("""COMPUTED_VALUE"""),"INSPECCIONES REALIZADAS")</f>
        <v>INSPECCIONES REALIZADAS</v>
      </c>
      <c r="AH185" s="5"/>
    </row>
    <row r="186" spans="1:34">
      <c r="A186" s="5" t="str">
        <f ca="1">IFERROR(__xludf.DUMMYFUNCTION("""COMPUTED_VALUE"""),"LINEA PARA EL LLENADO DE BOLSAS")</f>
        <v>LINEA PARA EL LLENADO DE BOLSAS</v>
      </c>
      <c r="B186" s="5">
        <f ca="1">IFERROR(__xludf.DUMMYFUNCTION("""COMPUTED_VALUE"""),589617)</f>
        <v>589617</v>
      </c>
      <c r="C186" s="5" t="str">
        <f ca="1">IFERROR(__xludf.DUMMYFUNCTION("""COMPUTED_VALUE"""),"CODIFICADOR PARA BOLSA 360 Y 600")</f>
        <v>CODIFICADOR PARA BOLSA 360 Y 600</v>
      </c>
      <c r="D186" s="5">
        <f ca="1">IFERROR(__xludf.DUMMYFUNCTION("""COMPUTED_VALUE"""),13247702)</f>
        <v>13247702</v>
      </c>
      <c r="E186" s="5" t="str">
        <f ca="1">IFERROR(__xludf.DUMMYFUNCTION("""COMPUTED_VALUE"""),"INSPECCION SEMANAL CODIFICADOR BOLSA 36")</f>
        <v>INSPECCION SEMANAL CODIFICADOR BOLSA 36</v>
      </c>
      <c r="F186" s="5" t="str">
        <f ca="1">IFERROR(__xludf.DUMMYFUNCTION("""COMPUTED_VALUE"""),"INSPECCIONAR CABEZAL DE IMPRESIÓN")</f>
        <v>INSPECCIONAR CABEZAL DE IMPRESIÓN</v>
      </c>
      <c r="G186" s="5" t="b">
        <f ca="1">IFERROR(__xludf.DUMMYFUNCTION("""COMPUTED_VALUE"""),TRUE)</f>
        <v>1</v>
      </c>
      <c r="H186" s="5"/>
      <c r="I186" s="5"/>
      <c r="J186" s="5">
        <f ca="1">IFERROR(__xludf.DUMMYFUNCTION("""COMPUTED_VALUE"""),13247702)</f>
        <v>13247702</v>
      </c>
      <c r="K186" s="5"/>
      <c r="L186" s="18">
        <f ca="1">IFERROR(__xludf.DUMMYFUNCTION("""COMPUTED_VALUE"""),45325)</f>
        <v>45325</v>
      </c>
      <c r="M186" s="18">
        <f ca="1">IFERROR(__xludf.DUMMYFUNCTION("""COMPUTED_VALUE"""),45325)</f>
        <v>45325</v>
      </c>
      <c r="N186" s="5" t="str">
        <f ca="1">IFERROR(__xludf.DUMMYFUNCTION("""COMPUTED_VALUE"""),"ESTEBAN POTOSI ISAZA")</f>
        <v>ESTEBAN POTOSI ISAZA</v>
      </c>
      <c r="O186" s="2">
        <f ca="1">IFERROR(__xludf.DUMMYFUNCTION("""COMPUTED_VALUE"""),0.033333333)</f>
        <v>3.3333333E-2</v>
      </c>
      <c r="P186" s="5">
        <f ca="1">IFERROR(__xludf.DUMMYFUNCTION("""COMPUTED_VALUE"""),20076884)</f>
        <v>20076884</v>
      </c>
      <c r="Q186" s="5" t="str">
        <f ca="1">IFERROR(__xludf.DUMMYFUNCTION("""COMPUTED_VALUE"""),"L3-yUzLPBoE")</f>
        <v>L3-yUzLPBoE</v>
      </c>
      <c r="R186" s="5">
        <f ca="1">IFERROR(__xludf.DUMMYFUNCTION("""COMPUTED_VALUE"""),410)</f>
        <v>410</v>
      </c>
      <c r="S186" s="62">
        <f ca="1">IFERROR(__xludf.DUMMYFUNCTION("""COMPUTED_VALUE"""),0.033333333)</f>
        <v>3.3333333E-2</v>
      </c>
      <c r="T186" s="63" t="str">
        <f ca="1">IFERROR(__xludf.DUMMYFUNCTION("""COMPUTED_VALUE"""),"https://storage.googleapis.com/glide-prod.appspot.com/uploads-v2/ly7o78grxPaC6KdgvbpS/pub/3aRdSog0vUtuqPE8AJKD.png")</f>
        <v>https://storage.googleapis.com/glide-prod.appspot.com/uploads-v2/ly7o78grxPaC6KdgvbpS/pub/3aRdSog0vUtuqPE8AJKD.png</v>
      </c>
      <c r="U186" s="5" t="str">
        <f ca="1">IFERROR(__xludf.DUMMYFUNCTION("""COMPUTED_VALUE"""),"LINEA PARA EL LLENADO DE BOLSASCODIFICADOR PARA BOLSA 360 Y 600")</f>
        <v>LINEA PARA EL LLENADO DE BOLSASCODIFICADOR PARA BOLSA 360 Y 600</v>
      </c>
      <c r="V186" s="5"/>
      <c r="W186" s="5" t="b">
        <f ca="1">IFERROR(__xludf.DUMMYFUNCTION("""COMPUTED_VALUE"""),TRUE)</f>
        <v>1</v>
      </c>
      <c r="X186" s="5" t="str">
        <f ca="1">IFERROR(__xludf.DUMMYFUNCTION("""COMPUTED_VALUE"""),"achavezi@postobon.com.co,aprmttoyu@postobon.com.co,aprmyu@postobon.com.co,wmora@postobon.com.co,efzapata@postobon.com.co")</f>
        <v>achavezi@postobon.com.co,aprmttoyu@postobon.com.co,aprmyu@postobon.com.co,wmora@postobon.com.co,efzapata@postobon.com.co</v>
      </c>
      <c r="Y186" s="5" t="str">
        <f ca="1">IFERROR(__xludf.DUMMYFUNCTION("""COMPUTED_VALUE"""),"achavezi@postobon.com.co")</f>
        <v>achavezi@postobon.com.co</v>
      </c>
      <c r="Z186" s="5" t="str">
        <f ca="1">IFERROR(__xludf.DUMMYFUNCTION("""COMPUTED_VALUE"""),"TBpb9HFJQWCbzbRKndXHTA")</f>
        <v>TBpb9HFJQWCbzbRKndXHTA</v>
      </c>
      <c r="AA186" s="5"/>
      <c r="AB186" s="5"/>
      <c r="AC186" s="5"/>
      <c r="AD186" s="5">
        <f ca="1">IFERROR(__xludf.DUMMYFUNCTION("""COMPUTED_VALUE"""),70)</f>
        <v>70</v>
      </c>
      <c r="AE186" s="5">
        <f ca="1">IFERROR(__xludf.DUMMYFUNCTION("""COMPUTED_VALUE"""),70)</f>
        <v>70</v>
      </c>
      <c r="AF186" s="5" t="b">
        <f ca="1">IFERROR(__xludf.DUMMYFUNCTION("""COMPUTED_VALUE"""),FALSE)</f>
        <v>0</v>
      </c>
      <c r="AG186" s="5" t="str">
        <f ca="1">IFERROR(__xludf.DUMMYFUNCTION("""COMPUTED_VALUE"""),"INSPECCIONES REALIZADAS")</f>
        <v>INSPECCIONES REALIZADAS</v>
      </c>
      <c r="AH186" s="5"/>
    </row>
    <row r="187" spans="1:34">
      <c r="A187" s="5" t="str">
        <f ca="1">IFERROR(__xludf.DUMMYFUNCTION("""COMPUTED_VALUE"""),"LINEA PARA EL LLENADO DE BOLSAS")</f>
        <v>LINEA PARA EL LLENADO DE BOLSAS</v>
      </c>
      <c r="B187" s="5">
        <f ca="1">IFERROR(__xludf.DUMMYFUNCTION("""COMPUTED_VALUE"""),589618)</f>
        <v>589618</v>
      </c>
      <c r="C187" s="5" t="str">
        <f ca="1">IFERROR(__xludf.DUMMYFUNCTION("""COMPUTED_VALUE"""),"CODIFICADOR PARA BOLSA 360 Y 600")</f>
        <v>CODIFICADOR PARA BOLSA 360 Y 600</v>
      </c>
      <c r="D187" s="5">
        <f ca="1">IFERROR(__xludf.DUMMYFUNCTION("""COMPUTED_VALUE"""),13247703)</f>
        <v>13247703</v>
      </c>
      <c r="E187" s="5" t="str">
        <f ca="1">IFERROR(__xludf.DUMMYFUNCTION("""COMPUTED_VALUE"""),"INSPECCION SEMANAL CODIFICADOR BOLSA 60")</f>
        <v>INSPECCION SEMANAL CODIFICADOR BOLSA 60</v>
      </c>
      <c r="F187" s="5" t="str">
        <f ca="1">IFERROR(__xludf.DUMMYFUNCTION("""COMPUTED_VALUE"""),"VERIFICAR CODIFICACION")</f>
        <v>VERIFICAR CODIFICACION</v>
      </c>
      <c r="G187" s="5" t="b">
        <f ca="1">IFERROR(__xludf.DUMMYFUNCTION("""COMPUTED_VALUE"""),TRUE)</f>
        <v>1</v>
      </c>
      <c r="H187" s="5"/>
      <c r="I187" s="5"/>
      <c r="J187" s="5">
        <f ca="1">IFERROR(__xludf.DUMMYFUNCTION("""COMPUTED_VALUE"""),13247703)</f>
        <v>13247703</v>
      </c>
      <c r="K187" s="5"/>
      <c r="L187" s="18">
        <f ca="1">IFERROR(__xludf.DUMMYFUNCTION("""COMPUTED_VALUE"""),45324)</f>
        <v>45324</v>
      </c>
      <c r="M187" s="18">
        <f ca="1">IFERROR(__xludf.DUMMYFUNCTION("""COMPUTED_VALUE"""),45324)</f>
        <v>45324</v>
      </c>
      <c r="N187" s="5" t="str">
        <f ca="1">IFERROR(__xludf.DUMMYFUNCTION("""COMPUTED_VALUE"""),"ESTEBAN POTOSI ISAZA")</f>
        <v>ESTEBAN POTOSI ISAZA</v>
      </c>
      <c r="O187" s="2">
        <f ca="1">IFERROR(__xludf.DUMMYFUNCTION("""COMPUTED_VALUE"""),0.033333333)</f>
        <v>3.3333333E-2</v>
      </c>
      <c r="P187" s="5">
        <f ca="1">IFERROR(__xludf.DUMMYFUNCTION("""COMPUTED_VALUE"""),20076884)</f>
        <v>20076884</v>
      </c>
      <c r="Q187" s="5" t="str">
        <f ca="1">IFERROR(__xludf.DUMMYFUNCTION("""COMPUTED_VALUE"""),"_NTqEc0MMk0")</f>
        <v>_NTqEc0MMk0</v>
      </c>
      <c r="R187" s="5">
        <f ca="1">IFERROR(__xludf.DUMMYFUNCTION("""COMPUTED_VALUE"""),410)</f>
        <v>410</v>
      </c>
      <c r="S187" s="62">
        <f ca="1">IFERROR(__xludf.DUMMYFUNCTION("""COMPUTED_VALUE"""),0.033333333)</f>
        <v>3.3333333E-2</v>
      </c>
      <c r="T187" s="63" t="str">
        <f ca="1">IFERROR(__xludf.DUMMYFUNCTION("""COMPUTED_VALUE"""),"https://storage.googleapis.com/glide-prod.appspot.com/uploads-v2/ly7o78grxPaC6KdgvbpS/pub/3aRdSog0vUtuqPE8AJKD.png")</f>
        <v>https://storage.googleapis.com/glide-prod.appspot.com/uploads-v2/ly7o78grxPaC6KdgvbpS/pub/3aRdSog0vUtuqPE8AJKD.png</v>
      </c>
      <c r="U187" s="5" t="str">
        <f ca="1">IFERROR(__xludf.DUMMYFUNCTION("""COMPUTED_VALUE"""),"LINEA PARA EL LLENADO DE BOLSASCODIFICADOR PARA BOLSA 360 Y 600")</f>
        <v>LINEA PARA EL LLENADO DE BOLSASCODIFICADOR PARA BOLSA 360 Y 600</v>
      </c>
      <c r="V187" s="5"/>
      <c r="W187" s="5" t="b">
        <f ca="1">IFERROR(__xludf.DUMMYFUNCTION("""COMPUTED_VALUE"""),TRUE)</f>
        <v>1</v>
      </c>
      <c r="X187" s="5" t="str">
        <f ca="1">IFERROR(__xludf.DUMMYFUNCTION("""COMPUTED_VALUE"""),"achavezi@postobon.com.co,aprmttoyu@postobon.com.co,aprmyu@postobon.com.co,wmora@postobon.com.co,efzapata@postobon.com.co")</f>
        <v>achavezi@postobon.com.co,aprmttoyu@postobon.com.co,aprmyu@postobon.com.co,wmora@postobon.com.co,efzapata@postobon.com.co</v>
      </c>
      <c r="Y187" s="5" t="str">
        <f ca="1">IFERROR(__xludf.DUMMYFUNCTION("""COMPUTED_VALUE"""),"achavezi@postobon.com.co")</f>
        <v>achavezi@postobon.com.co</v>
      </c>
      <c r="Z187" s="5" t="str">
        <f ca="1">IFERROR(__xludf.DUMMYFUNCTION("""COMPUTED_VALUE"""),"gD7kOX0xQ9egP7nNsCBotA")</f>
        <v>gD7kOX0xQ9egP7nNsCBotA</v>
      </c>
      <c r="AA187" s="5"/>
      <c r="AB187" s="5"/>
      <c r="AC187" s="5"/>
      <c r="AD187" s="5">
        <f ca="1">IFERROR(__xludf.DUMMYFUNCTION("""COMPUTED_VALUE"""),70)</f>
        <v>70</v>
      </c>
      <c r="AE187" s="5">
        <f ca="1">IFERROR(__xludf.DUMMYFUNCTION("""COMPUTED_VALUE"""),70)</f>
        <v>70</v>
      </c>
      <c r="AF187" s="5" t="b">
        <f ca="1">IFERROR(__xludf.DUMMYFUNCTION("""COMPUTED_VALUE"""),FALSE)</f>
        <v>0</v>
      </c>
      <c r="AG187" s="5" t="str">
        <f ca="1">IFERROR(__xludf.DUMMYFUNCTION("""COMPUTED_VALUE"""),"INSPECCIONES REALIZADAS")</f>
        <v>INSPECCIONES REALIZADAS</v>
      </c>
      <c r="AH187" s="5"/>
    </row>
    <row r="188" spans="1:34">
      <c r="A188" s="5" t="str">
        <f ca="1">IFERROR(__xludf.DUMMYFUNCTION("""COMPUTED_VALUE"""),"LINEA PARA EL LLENADO DE BOLSAS")</f>
        <v>LINEA PARA EL LLENADO DE BOLSAS</v>
      </c>
      <c r="B188" s="5">
        <f ca="1">IFERROR(__xludf.DUMMYFUNCTION("""COMPUTED_VALUE"""),589618)</f>
        <v>589618</v>
      </c>
      <c r="C188" s="5" t="str">
        <f ca="1">IFERROR(__xludf.DUMMYFUNCTION("""COMPUTED_VALUE"""),"CODIFICADOR PARA BOLSA 360 Y 600")</f>
        <v>CODIFICADOR PARA BOLSA 360 Y 600</v>
      </c>
      <c r="D188" s="5">
        <f ca="1">IFERROR(__xludf.DUMMYFUNCTION("""COMPUTED_VALUE"""),13247703)</f>
        <v>13247703</v>
      </c>
      <c r="E188" s="5" t="str">
        <f ca="1">IFERROR(__xludf.DUMMYFUNCTION("""COMPUTED_VALUE"""),"INSPECCION SEMANAL CODIFICADOR BOLSA 60")</f>
        <v>INSPECCION SEMANAL CODIFICADOR BOLSA 60</v>
      </c>
      <c r="F188" s="5" t="str">
        <f ca="1">IFERROR(__xludf.DUMMYFUNCTION("""COMPUTED_VALUE"""),"INSPECCIONAR ESTADO ALMOHADILLAS")</f>
        <v>INSPECCIONAR ESTADO ALMOHADILLAS</v>
      </c>
      <c r="G188" s="5" t="b">
        <f ca="1">IFERROR(__xludf.DUMMYFUNCTION("""COMPUTED_VALUE"""),TRUE)</f>
        <v>1</v>
      </c>
      <c r="H188" s="5"/>
      <c r="I188" s="5"/>
      <c r="J188" s="5">
        <f ca="1">IFERROR(__xludf.DUMMYFUNCTION("""COMPUTED_VALUE"""),13247703)</f>
        <v>13247703</v>
      </c>
      <c r="K188" s="5"/>
      <c r="L188" s="18">
        <f ca="1">IFERROR(__xludf.DUMMYFUNCTION("""COMPUTED_VALUE"""),45324)</f>
        <v>45324</v>
      </c>
      <c r="M188" s="18">
        <f ca="1">IFERROR(__xludf.DUMMYFUNCTION("""COMPUTED_VALUE"""),45324)</f>
        <v>45324</v>
      </c>
      <c r="N188" s="5" t="str">
        <f ca="1">IFERROR(__xludf.DUMMYFUNCTION("""COMPUTED_VALUE"""),"ESTEBAN POTOSI ISAZA")</f>
        <v>ESTEBAN POTOSI ISAZA</v>
      </c>
      <c r="O188" s="2">
        <f ca="1">IFERROR(__xludf.DUMMYFUNCTION("""COMPUTED_VALUE"""),0.033333333)</f>
        <v>3.3333333E-2</v>
      </c>
      <c r="P188" s="5">
        <f ca="1">IFERROR(__xludf.DUMMYFUNCTION("""COMPUTED_VALUE"""),20076884)</f>
        <v>20076884</v>
      </c>
      <c r="Q188" s="5" t="str">
        <f ca="1">IFERROR(__xludf.DUMMYFUNCTION("""COMPUTED_VALUE"""),"Bv4KSq0ZB1k")</f>
        <v>Bv4KSq0ZB1k</v>
      </c>
      <c r="R188" s="5">
        <f ca="1">IFERROR(__xludf.DUMMYFUNCTION("""COMPUTED_VALUE"""),410)</f>
        <v>410</v>
      </c>
      <c r="S188" s="62">
        <f ca="1">IFERROR(__xludf.DUMMYFUNCTION("""COMPUTED_VALUE"""),0.033333333)</f>
        <v>3.3333333E-2</v>
      </c>
      <c r="T188" s="63" t="str">
        <f ca="1">IFERROR(__xludf.DUMMYFUNCTION("""COMPUTED_VALUE"""),"https://storage.googleapis.com/glide-prod.appspot.com/uploads-v2/ly7o78grxPaC6KdgvbpS/pub/3aRdSog0vUtuqPE8AJKD.png")</f>
        <v>https://storage.googleapis.com/glide-prod.appspot.com/uploads-v2/ly7o78grxPaC6KdgvbpS/pub/3aRdSog0vUtuqPE8AJKD.png</v>
      </c>
      <c r="U188" s="5" t="str">
        <f ca="1">IFERROR(__xludf.DUMMYFUNCTION("""COMPUTED_VALUE"""),"LINEA PARA EL LLENADO DE BOLSASCODIFICADOR PARA BOLSA 360 Y 600")</f>
        <v>LINEA PARA EL LLENADO DE BOLSASCODIFICADOR PARA BOLSA 360 Y 600</v>
      </c>
      <c r="V188" s="5"/>
      <c r="W188" s="5" t="b">
        <f ca="1">IFERROR(__xludf.DUMMYFUNCTION("""COMPUTED_VALUE"""),TRUE)</f>
        <v>1</v>
      </c>
      <c r="X188" s="5" t="str">
        <f ca="1">IFERROR(__xludf.DUMMYFUNCTION("""COMPUTED_VALUE"""),"achavezi@postobon.com.co,aprmttoyu@postobon.com.co,aprmyu@postobon.com.co,wmora@postobon.com.co,efzapata@postobon.com.co")</f>
        <v>achavezi@postobon.com.co,aprmttoyu@postobon.com.co,aprmyu@postobon.com.co,wmora@postobon.com.co,efzapata@postobon.com.co</v>
      </c>
      <c r="Y188" s="5" t="str">
        <f ca="1">IFERROR(__xludf.DUMMYFUNCTION("""COMPUTED_VALUE"""),"achavezi@postobon.com.co")</f>
        <v>achavezi@postobon.com.co</v>
      </c>
      <c r="Z188" s="5" t="str">
        <f ca="1">IFERROR(__xludf.DUMMYFUNCTION("""COMPUTED_VALUE"""),"rzvAJW-sTbmjdgl5DKQw0g")</f>
        <v>rzvAJW-sTbmjdgl5DKQw0g</v>
      </c>
      <c r="AA188" s="5"/>
      <c r="AB188" s="5"/>
      <c r="AC188" s="5"/>
      <c r="AD188" s="5">
        <f ca="1">IFERROR(__xludf.DUMMYFUNCTION("""COMPUTED_VALUE"""),70)</f>
        <v>70</v>
      </c>
      <c r="AE188" s="5">
        <f ca="1">IFERROR(__xludf.DUMMYFUNCTION("""COMPUTED_VALUE"""),70)</f>
        <v>70</v>
      </c>
      <c r="AF188" s="5" t="b">
        <f ca="1">IFERROR(__xludf.DUMMYFUNCTION("""COMPUTED_VALUE"""),FALSE)</f>
        <v>0</v>
      </c>
      <c r="AG188" s="5" t="str">
        <f ca="1">IFERROR(__xludf.DUMMYFUNCTION("""COMPUTED_VALUE"""),"INSPECCIONES REALIZADAS")</f>
        <v>INSPECCIONES REALIZADAS</v>
      </c>
      <c r="AH188" s="5"/>
    </row>
    <row r="189" spans="1:34">
      <c r="A189" s="5" t="str">
        <f ca="1">IFERROR(__xludf.DUMMYFUNCTION("""COMPUTED_VALUE"""),"LINEA PARA EL LLENADO DE BOLSAS")</f>
        <v>LINEA PARA EL LLENADO DE BOLSAS</v>
      </c>
      <c r="B189" s="5">
        <f ca="1">IFERROR(__xludf.DUMMYFUNCTION("""COMPUTED_VALUE"""),589618)</f>
        <v>589618</v>
      </c>
      <c r="C189" s="5" t="str">
        <f ca="1">IFERROR(__xludf.DUMMYFUNCTION("""COMPUTED_VALUE"""),"CODIFICADOR PARA BOLSA 360 Y 600")</f>
        <v>CODIFICADOR PARA BOLSA 360 Y 600</v>
      </c>
      <c r="D189" s="5">
        <f ca="1">IFERROR(__xludf.DUMMYFUNCTION("""COMPUTED_VALUE"""),13247703)</f>
        <v>13247703</v>
      </c>
      <c r="E189" s="5" t="str">
        <f ca="1">IFERROR(__xludf.DUMMYFUNCTION("""COMPUTED_VALUE"""),"INSPECCION SEMANAL CODIFICADOR BOLSA 60")</f>
        <v>INSPECCION SEMANAL CODIFICADOR BOLSA 60</v>
      </c>
      <c r="F189" s="5" t="str">
        <f ca="1">IFERROR(__xludf.DUMMYFUNCTION("""COMPUTED_VALUE"""),"INSPECCIONAR CABEZAL DE IMPRESIÓN")</f>
        <v>INSPECCIONAR CABEZAL DE IMPRESIÓN</v>
      </c>
      <c r="G189" s="5" t="b">
        <f ca="1">IFERROR(__xludf.DUMMYFUNCTION("""COMPUTED_VALUE"""),TRUE)</f>
        <v>1</v>
      </c>
      <c r="H189" s="5"/>
      <c r="I189" s="5"/>
      <c r="J189" s="5">
        <f ca="1">IFERROR(__xludf.DUMMYFUNCTION("""COMPUTED_VALUE"""),13247703)</f>
        <v>13247703</v>
      </c>
      <c r="K189" s="5"/>
      <c r="L189" s="18">
        <f ca="1">IFERROR(__xludf.DUMMYFUNCTION("""COMPUTED_VALUE"""),45324)</f>
        <v>45324</v>
      </c>
      <c r="M189" s="18">
        <f ca="1">IFERROR(__xludf.DUMMYFUNCTION("""COMPUTED_VALUE"""),45324)</f>
        <v>45324</v>
      </c>
      <c r="N189" s="5" t="str">
        <f ca="1">IFERROR(__xludf.DUMMYFUNCTION("""COMPUTED_VALUE"""),"ESTEBAN POTOSI ISAZA")</f>
        <v>ESTEBAN POTOSI ISAZA</v>
      </c>
      <c r="O189" s="2">
        <f ca="1">IFERROR(__xludf.DUMMYFUNCTION("""COMPUTED_VALUE"""),0.033333333)</f>
        <v>3.3333333E-2</v>
      </c>
      <c r="P189" s="5">
        <f ca="1">IFERROR(__xludf.DUMMYFUNCTION("""COMPUTED_VALUE"""),20076884)</f>
        <v>20076884</v>
      </c>
      <c r="Q189" s="5" t="str">
        <f ca="1">IFERROR(__xludf.DUMMYFUNCTION("""COMPUTED_VALUE"""),"sxlPMdDTCVI")</f>
        <v>sxlPMdDTCVI</v>
      </c>
      <c r="R189" s="5">
        <f ca="1">IFERROR(__xludf.DUMMYFUNCTION("""COMPUTED_VALUE"""),410)</f>
        <v>410</v>
      </c>
      <c r="S189" s="62">
        <f ca="1">IFERROR(__xludf.DUMMYFUNCTION("""COMPUTED_VALUE"""),0.033333333)</f>
        <v>3.3333333E-2</v>
      </c>
      <c r="T189" s="63" t="str">
        <f ca="1">IFERROR(__xludf.DUMMYFUNCTION("""COMPUTED_VALUE"""),"https://storage.googleapis.com/glide-prod.appspot.com/uploads-v2/ly7o78grxPaC6KdgvbpS/pub/3aRdSog0vUtuqPE8AJKD.png")</f>
        <v>https://storage.googleapis.com/glide-prod.appspot.com/uploads-v2/ly7o78grxPaC6KdgvbpS/pub/3aRdSog0vUtuqPE8AJKD.png</v>
      </c>
      <c r="U189" s="5" t="str">
        <f ca="1">IFERROR(__xludf.DUMMYFUNCTION("""COMPUTED_VALUE"""),"LINEA PARA EL LLENADO DE BOLSASCODIFICADOR PARA BOLSA 360 Y 600")</f>
        <v>LINEA PARA EL LLENADO DE BOLSASCODIFICADOR PARA BOLSA 360 Y 600</v>
      </c>
      <c r="V189" s="5"/>
      <c r="W189" s="5" t="b">
        <f ca="1">IFERROR(__xludf.DUMMYFUNCTION("""COMPUTED_VALUE"""),TRUE)</f>
        <v>1</v>
      </c>
      <c r="X189" s="5" t="str">
        <f ca="1">IFERROR(__xludf.DUMMYFUNCTION("""COMPUTED_VALUE"""),"achavezi@postobon.com.co,aprmttoyu@postobon.com.co,aprmyu@postobon.com.co,wmora@postobon.com.co,efzapata@postobon.com.co")</f>
        <v>achavezi@postobon.com.co,aprmttoyu@postobon.com.co,aprmyu@postobon.com.co,wmora@postobon.com.co,efzapata@postobon.com.co</v>
      </c>
      <c r="Y189" s="5" t="str">
        <f ca="1">IFERROR(__xludf.DUMMYFUNCTION("""COMPUTED_VALUE"""),"achavezi@postobon.com.co")</f>
        <v>achavezi@postobon.com.co</v>
      </c>
      <c r="Z189" s="5" t="str">
        <f ca="1">IFERROR(__xludf.DUMMYFUNCTION("""COMPUTED_VALUE"""),"tANQ2NQUQGuQPyD6yaUigw")</f>
        <v>tANQ2NQUQGuQPyD6yaUigw</v>
      </c>
      <c r="AA189" s="5"/>
      <c r="AB189" s="5"/>
      <c r="AC189" s="5"/>
      <c r="AD189" s="5">
        <f ca="1">IFERROR(__xludf.DUMMYFUNCTION("""COMPUTED_VALUE"""),70)</f>
        <v>70</v>
      </c>
      <c r="AE189" s="5">
        <f ca="1">IFERROR(__xludf.DUMMYFUNCTION("""COMPUTED_VALUE"""),70)</f>
        <v>70</v>
      </c>
      <c r="AF189" s="5" t="b">
        <f ca="1">IFERROR(__xludf.DUMMYFUNCTION("""COMPUTED_VALUE"""),FALSE)</f>
        <v>0</v>
      </c>
      <c r="AG189" s="5" t="str">
        <f ca="1">IFERROR(__xludf.DUMMYFUNCTION("""COMPUTED_VALUE"""),"INSPECCIONES REALIZADAS")</f>
        <v>INSPECCIONES REALIZADAS</v>
      </c>
      <c r="AH189" s="5"/>
    </row>
    <row r="190" spans="1:34">
      <c r="A190" s="5" t="str">
        <f ca="1">IFERROR(__xludf.DUMMYFUNCTION("""COMPUTED_VALUE"""),"LINEA DE ENVASADO JUGOS PET HOT FILL")</f>
        <v>LINEA DE ENVASADO JUGOS PET HOT FILL</v>
      </c>
      <c r="B190" s="5">
        <f ca="1">IFERROR(__xludf.DUMMYFUNCTION("""COMPUTED_VALUE"""),82965901)</f>
        <v>82965901</v>
      </c>
      <c r="C190" s="5" t="str">
        <f ca="1">IFERROR(__xludf.DUMMYFUNCTION("""COMPUTED_VALUE"""),"CODIFICADOR DE BOTELLAS LINEA JUGOS")</f>
        <v>CODIFICADOR DE BOTELLAS LINEA JUGOS</v>
      </c>
      <c r="D190" s="5">
        <f ca="1">IFERROR(__xludf.DUMMYFUNCTION("""COMPUTED_VALUE"""),13247747)</f>
        <v>13247747</v>
      </c>
      <c r="E190" s="5" t="str">
        <f ca="1">IFERROR(__xludf.DUMMYFUNCTION("""COMPUTED_VALUE"""),"INSPECCION SEMANAL CODIFICADOR IMAGE L8")</f>
        <v>INSPECCION SEMANAL CODIFICADOR IMAGE L8</v>
      </c>
      <c r="F190" s="5" t="str">
        <f ca="1">IFERROR(__xludf.DUMMYFUNCTION("""COMPUTED_VALUE"""),"INSPECCIÓN SISTEMA NEUMÁTICO")</f>
        <v>INSPECCIÓN SISTEMA NEUMÁTICO</v>
      </c>
      <c r="G190" s="5"/>
      <c r="H190" s="5"/>
      <c r="I190" s="5"/>
      <c r="J190" s="5"/>
      <c r="K190" s="5"/>
      <c r="L190" s="18">
        <f ca="1">IFERROR(__xludf.DUMMYFUNCTION("""COMPUTED_VALUE"""),45325)</f>
        <v>45325</v>
      </c>
      <c r="M190" s="18">
        <f ca="1">IFERROR(__xludf.DUMMYFUNCTION("""COMPUTED_VALUE"""),45325)</f>
        <v>45325</v>
      </c>
      <c r="N190" s="5" t="str">
        <f ca="1">IFERROR(__xludf.DUMMYFUNCTION("""COMPUTED_VALUE"""),"Álvaro Celeita Muñoz")</f>
        <v>Álvaro Celeita Muñoz</v>
      </c>
      <c r="O190" s="2">
        <f ca="1">IFERROR(__xludf.DUMMYFUNCTION("""COMPUTED_VALUE"""),0.014285714)</f>
        <v>1.4285714E-2</v>
      </c>
      <c r="P190" s="5"/>
      <c r="Q190" s="5" t="str">
        <f ca="1">IFERROR(__xludf.DUMMYFUNCTION("""COMPUTED_VALUE"""),"nJHvy_QzJJM")</f>
        <v>nJHvy_QzJJM</v>
      </c>
      <c r="R190" s="5">
        <f ca="1">IFERROR(__xludf.DUMMYFUNCTION("""COMPUTED_VALUE"""),410)</f>
        <v>410</v>
      </c>
      <c r="S190" s="62">
        <f ca="1">IFERROR(__xludf.DUMMYFUNCTION("""COMPUTED_VALUE"""),0.014285714)</f>
        <v>1.4285714E-2</v>
      </c>
      <c r="T190" s="63" t="str">
        <f ca="1">IFERROR(__xludf.DUMMYFUNCTION("""COMPUTED_VALUE"""),"https://storage.googleapis.com/glide-prod.appspot.com/uploads-v2/ly7o78grxPaC6KdgvbpS/pub/UliJWgpEaBovaFmXi6OW.png")</f>
        <v>https://storage.googleapis.com/glide-prod.appspot.com/uploads-v2/ly7o78grxPaC6KdgvbpS/pub/UliJWgpEaBovaFmXi6OW.png</v>
      </c>
      <c r="U190" s="5" t="str">
        <f ca="1">IFERROR(__xludf.DUMMYFUNCTION("""COMPUTED_VALUE"""),"LINEA DE ENVASADO JUGOS PET HOT FILLCODIFICADOR DE BOTELLAS LINEA JUGOS")</f>
        <v>LINEA DE ENVASADO JUGOS PET HOT FILLCODIFICADOR DE BOTELLAS LINEA JUGOS</v>
      </c>
      <c r="V190" s="5"/>
      <c r="W190" s="5"/>
      <c r="X190" s="5" t="str">
        <f ca="1">IFERROR(__xludf.DUMMYFUNCTION("""COMPUTED_VALUE"""),"achavezi@postobon.com.co,aprmttoyu@postobon.com.co,aprmyu@postobon.com.co,wmora@postobon.com.co,efzapata@postobon.com.co")</f>
        <v>achavezi@postobon.com.co,aprmttoyu@postobon.com.co,aprmyu@postobon.com.co,wmora@postobon.com.co,efzapata@postobon.com.co</v>
      </c>
      <c r="Y190" s="5" t="str">
        <f ca="1">IFERROR(__xludf.DUMMYFUNCTION("""COMPUTED_VALUE"""),"achavezi@postobon.com.co")</f>
        <v>achavezi@postobon.com.co</v>
      </c>
      <c r="Z190" s="5" t="str">
        <f ca="1">IFERROR(__xludf.DUMMYFUNCTION("""COMPUTED_VALUE"""),"ft37HlnjQxWuKjUoFwakXA")</f>
        <v>ft37HlnjQxWuKjUoFwakXA</v>
      </c>
      <c r="AA190" s="5"/>
      <c r="AB190" s="5"/>
      <c r="AC190" s="5"/>
      <c r="AD190" s="5">
        <f ca="1">IFERROR(__xludf.DUMMYFUNCTION("""COMPUTED_VALUE"""),14)</f>
        <v>14</v>
      </c>
      <c r="AE190" s="5">
        <f ca="1">IFERROR(__xludf.DUMMYFUNCTION("""COMPUTED_VALUE"""),0)</f>
        <v>0</v>
      </c>
      <c r="AF190" s="5" t="b">
        <f ca="1">IFERROR(__xludf.DUMMYFUNCTION("""COMPUTED_VALUE"""),TRUE)</f>
        <v>1</v>
      </c>
      <c r="AG190" s="5" t="str">
        <f ca="1">IFERROR(__xludf.DUMMYFUNCTION("""COMPUTED_VALUE"""),"INSPECCIONES SIN REALIZAR")</f>
        <v>INSPECCIONES SIN REALIZAR</v>
      </c>
      <c r="AH190" s="5"/>
    </row>
    <row r="191" spans="1:34">
      <c r="A191" s="5" t="str">
        <f ca="1">IFERROR(__xludf.DUMMYFUNCTION("""COMPUTED_VALUE"""),"LINEA DE ENVASADO JUGOS PET HOT FILL")</f>
        <v>LINEA DE ENVASADO JUGOS PET HOT FILL</v>
      </c>
      <c r="B191" s="5">
        <f ca="1">IFERROR(__xludf.DUMMYFUNCTION("""COMPUTED_VALUE"""),82965901)</f>
        <v>82965901</v>
      </c>
      <c r="C191" s="5" t="str">
        <f ca="1">IFERROR(__xludf.DUMMYFUNCTION("""COMPUTED_VALUE"""),"CODIFICADOR DE BOTELLAS LINEA JUGOS")</f>
        <v>CODIFICADOR DE BOTELLAS LINEA JUGOS</v>
      </c>
      <c r="D191" s="5">
        <f ca="1">IFERROR(__xludf.DUMMYFUNCTION("""COMPUTED_VALUE"""),13247747)</f>
        <v>13247747</v>
      </c>
      <c r="E191" s="5" t="str">
        <f ca="1">IFERROR(__xludf.DUMMYFUNCTION("""COMPUTED_VALUE"""),"INSPECCION SEMANAL CODIFICADOR IMAGE L8")</f>
        <v>INSPECCION SEMANAL CODIFICADOR IMAGE L8</v>
      </c>
      <c r="F191" s="5" t="str">
        <f ca="1">IFERROR(__xludf.DUMMYFUNCTION("""COMPUTED_VALUE"""),"VERIFICAR ESTADO FILTRO VACIO")</f>
        <v>VERIFICAR ESTADO FILTRO VACIO</v>
      </c>
      <c r="G191" s="5"/>
      <c r="H191" s="5"/>
      <c r="I191" s="5"/>
      <c r="J191" s="5"/>
      <c r="K191" s="5"/>
      <c r="L191" s="18">
        <f ca="1">IFERROR(__xludf.DUMMYFUNCTION("""COMPUTED_VALUE"""),45325)</f>
        <v>45325</v>
      </c>
      <c r="M191" s="18">
        <f ca="1">IFERROR(__xludf.DUMMYFUNCTION("""COMPUTED_VALUE"""),45325)</f>
        <v>45325</v>
      </c>
      <c r="N191" s="5" t="str">
        <f ca="1">IFERROR(__xludf.DUMMYFUNCTION("""COMPUTED_VALUE"""),"Álvaro Celeita Muñoz")</f>
        <v>Álvaro Celeita Muñoz</v>
      </c>
      <c r="O191" s="2">
        <f ca="1">IFERROR(__xludf.DUMMYFUNCTION("""COMPUTED_VALUE"""),0.014285714)</f>
        <v>1.4285714E-2</v>
      </c>
      <c r="P191" s="5"/>
      <c r="Q191" s="5" t="str">
        <f ca="1">IFERROR(__xludf.DUMMYFUNCTION("""COMPUTED_VALUE"""),"r4pJiYGdpbg")</f>
        <v>r4pJiYGdpbg</v>
      </c>
      <c r="R191" s="5">
        <f ca="1">IFERROR(__xludf.DUMMYFUNCTION("""COMPUTED_VALUE"""),410)</f>
        <v>410</v>
      </c>
      <c r="S191" s="62">
        <f ca="1">IFERROR(__xludf.DUMMYFUNCTION("""COMPUTED_VALUE"""),0.014285714)</f>
        <v>1.4285714E-2</v>
      </c>
      <c r="T191" s="63" t="str">
        <f ca="1">IFERROR(__xludf.DUMMYFUNCTION("""COMPUTED_VALUE"""),"https://storage.googleapis.com/glide-prod.appspot.com/uploads-v2/ly7o78grxPaC6KdgvbpS/pub/UliJWgpEaBovaFmXi6OW.png")</f>
        <v>https://storage.googleapis.com/glide-prod.appspot.com/uploads-v2/ly7o78grxPaC6KdgvbpS/pub/UliJWgpEaBovaFmXi6OW.png</v>
      </c>
      <c r="U191" s="5" t="str">
        <f ca="1">IFERROR(__xludf.DUMMYFUNCTION("""COMPUTED_VALUE"""),"LINEA DE ENVASADO JUGOS PET HOT FILLCODIFICADOR DE BOTELLAS LINEA JUGOS")</f>
        <v>LINEA DE ENVASADO JUGOS PET HOT FILLCODIFICADOR DE BOTELLAS LINEA JUGOS</v>
      </c>
      <c r="V191" s="5"/>
      <c r="W191" s="5"/>
      <c r="X191" s="5" t="str">
        <f ca="1">IFERROR(__xludf.DUMMYFUNCTION("""COMPUTED_VALUE"""),"achavezi@postobon.com.co,aprmttoyu@postobon.com.co,aprmyu@postobon.com.co,wmora@postobon.com.co,efzapata@postobon.com.co")</f>
        <v>achavezi@postobon.com.co,aprmttoyu@postobon.com.co,aprmyu@postobon.com.co,wmora@postobon.com.co,efzapata@postobon.com.co</v>
      </c>
      <c r="Y191" s="5" t="str">
        <f ca="1">IFERROR(__xludf.DUMMYFUNCTION("""COMPUTED_VALUE"""),"achavezi@postobon.com.co")</f>
        <v>achavezi@postobon.com.co</v>
      </c>
      <c r="Z191" s="5" t="str">
        <f ca="1">IFERROR(__xludf.DUMMYFUNCTION("""COMPUTED_VALUE"""),"Y4u3S6S0QkC2S9KiXR8mzQ")</f>
        <v>Y4u3S6S0QkC2S9KiXR8mzQ</v>
      </c>
      <c r="AA191" s="5"/>
      <c r="AB191" s="5"/>
      <c r="AC191" s="5"/>
      <c r="AD191" s="5">
        <f ca="1">IFERROR(__xludf.DUMMYFUNCTION("""COMPUTED_VALUE"""),14)</f>
        <v>14</v>
      </c>
      <c r="AE191" s="5">
        <f ca="1">IFERROR(__xludf.DUMMYFUNCTION("""COMPUTED_VALUE"""),0)</f>
        <v>0</v>
      </c>
      <c r="AF191" s="5" t="b">
        <f ca="1">IFERROR(__xludf.DUMMYFUNCTION("""COMPUTED_VALUE"""),TRUE)</f>
        <v>1</v>
      </c>
      <c r="AG191" s="5" t="str">
        <f ca="1">IFERROR(__xludf.DUMMYFUNCTION("""COMPUTED_VALUE"""),"INSPECCIONES SIN REALIZAR")</f>
        <v>INSPECCIONES SIN REALIZAR</v>
      </c>
      <c r="AH191" s="5"/>
    </row>
    <row r="192" spans="1:34">
      <c r="A192" s="5" t="str">
        <f ca="1">IFERROR(__xludf.DUMMYFUNCTION("""COMPUTED_VALUE"""),"LINEA DE ENVASADO JUGOS PET HOT FILL")</f>
        <v>LINEA DE ENVASADO JUGOS PET HOT FILL</v>
      </c>
      <c r="B192" s="5">
        <f ca="1">IFERROR(__xludf.DUMMYFUNCTION("""COMPUTED_VALUE"""),82965901)</f>
        <v>82965901</v>
      </c>
      <c r="C192" s="5" t="str">
        <f ca="1">IFERROR(__xludf.DUMMYFUNCTION("""COMPUTED_VALUE"""),"CODIFICADOR DE BOTELLAS LINEA JUGOS")</f>
        <v>CODIFICADOR DE BOTELLAS LINEA JUGOS</v>
      </c>
      <c r="D192" s="5">
        <f ca="1">IFERROR(__xludf.DUMMYFUNCTION("""COMPUTED_VALUE"""),13247747)</f>
        <v>13247747</v>
      </c>
      <c r="E192" s="5" t="str">
        <f ca="1">IFERROR(__xludf.DUMMYFUNCTION("""COMPUTED_VALUE"""),"INSPECCION SEMANAL CODIFICADOR IMAGE L8")</f>
        <v>INSPECCION SEMANAL CODIFICADOR IMAGE L8</v>
      </c>
      <c r="F192" s="5" t="str">
        <f ca="1">IFERROR(__xludf.DUMMYFUNCTION("""COMPUTED_VALUE"""),"INSP. INTERCAMB. Y REJILLA DE AIRE")</f>
        <v>INSP. INTERCAMB. Y REJILLA DE AIRE</v>
      </c>
      <c r="G192" s="5"/>
      <c r="H192" s="5"/>
      <c r="I192" s="5"/>
      <c r="J192" s="5"/>
      <c r="K192" s="5"/>
      <c r="L192" s="18">
        <f ca="1">IFERROR(__xludf.DUMMYFUNCTION("""COMPUTED_VALUE"""),45325)</f>
        <v>45325</v>
      </c>
      <c r="M192" s="18">
        <f ca="1">IFERROR(__xludf.DUMMYFUNCTION("""COMPUTED_VALUE"""),45325)</f>
        <v>45325</v>
      </c>
      <c r="N192" s="5" t="str">
        <f ca="1">IFERROR(__xludf.DUMMYFUNCTION("""COMPUTED_VALUE"""),"Álvaro Celeita Muñoz")</f>
        <v>Álvaro Celeita Muñoz</v>
      </c>
      <c r="O192" s="2">
        <f ca="1">IFERROR(__xludf.DUMMYFUNCTION("""COMPUTED_VALUE"""),0.014285714)</f>
        <v>1.4285714E-2</v>
      </c>
      <c r="P192" s="5"/>
      <c r="Q192" s="5" t="str">
        <f ca="1">IFERROR(__xludf.DUMMYFUNCTION("""COMPUTED_VALUE"""),"urQ6n0QiSso")</f>
        <v>urQ6n0QiSso</v>
      </c>
      <c r="R192" s="5">
        <f ca="1">IFERROR(__xludf.DUMMYFUNCTION("""COMPUTED_VALUE"""),410)</f>
        <v>410</v>
      </c>
      <c r="S192" s="62">
        <f ca="1">IFERROR(__xludf.DUMMYFUNCTION("""COMPUTED_VALUE"""),0.014285714)</f>
        <v>1.4285714E-2</v>
      </c>
      <c r="T192" s="63" t="str">
        <f ca="1">IFERROR(__xludf.DUMMYFUNCTION("""COMPUTED_VALUE"""),"https://storage.googleapis.com/glide-prod.appspot.com/uploads-v2/ly7o78grxPaC6KdgvbpS/pub/UliJWgpEaBovaFmXi6OW.png")</f>
        <v>https://storage.googleapis.com/glide-prod.appspot.com/uploads-v2/ly7o78grxPaC6KdgvbpS/pub/UliJWgpEaBovaFmXi6OW.png</v>
      </c>
      <c r="U192" s="5" t="str">
        <f ca="1">IFERROR(__xludf.DUMMYFUNCTION("""COMPUTED_VALUE"""),"LINEA DE ENVASADO JUGOS PET HOT FILLCODIFICADOR DE BOTELLAS LINEA JUGOS")</f>
        <v>LINEA DE ENVASADO JUGOS PET HOT FILLCODIFICADOR DE BOTELLAS LINEA JUGOS</v>
      </c>
      <c r="V192" s="5"/>
      <c r="W192" s="5"/>
      <c r="X192" s="5" t="str">
        <f ca="1">IFERROR(__xludf.DUMMYFUNCTION("""COMPUTED_VALUE"""),"achavezi@postobon.com.co,aprmttoyu@postobon.com.co,aprmyu@postobon.com.co,wmora@postobon.com.co,efzapata@postobon.com.co")</f>
        <v>achavezi@postobon.com.co,aprmttoyu@postobon.com.co,aprmyu@postobon.com.co,wmora@postobon.com.co,efzapata@postobon.com.co</v>
      </c>
      <c r="Y192" s="5" t="str">
        <f ca="1">IFERROR(__xludf.DUMMYFUNCTION("""COMPUTED_VALUE"""),"achavezi@postobon.com.co")</f>
        <v>achavezi@postobon.com.co</v>
      </c>
      <c r="Z192" s="5" t="str">
        <f ca="1">IFERROR(__xludf.DUMMYFUNCTION("""COMPUTED_VALUE"""),"uKmaFW9RRBmSkaPyNetq9A")</f>
        <v>uKmaFW9RRBmSkaPyNetq9A</v>
      </c>
      <c r="AA192" s="5"/>
      <c r="AB192" s="5"/>
      <c r="AC192" s="5"/>
      <c r="AD192" s="5">
        <f ca="1">IFERROR(__xludf.DUMMYFUNCTION("""COMPUTED_VALUE"""),14)</f>
        <v>14</v>
      </c>
      <c r="AE192" s="5">
        <f ca="1">IFERROR(__xludf.DUMMYFUNCTION("""COMPUTED_VALUE"""),0)</f>
        <v>0</v>
      </c>
      <c r="AF192" s="5" t="b">
        <f ca="1">IFERROR(__xludf.DUMMYFUNCTION("""COMPUTED_VALUE"""),TRUE)</f>
        <v>1</v>
      </c>
      <c r="AG192" s="5" t="str">
        <f ca="1">IFERROR(__xludf.DUMMYFUNCTION("""COMPUTED_VALUE"""),"INSPECCIONES SIN REALIZAR")</f>
        <v>INSPECCIONES SIN REALIZAR</v>
      </c>
      <c r="AH192" s="5"/>
    </row>
    <row r="193" spans="1:34">
      <c r="A193" s="5" t="str">
        <f ca="1">IFERROR(__xludf.DUMMYFUNCTION("""COMPUTED_VALUE"""),"LINEA DE ENVASADO JUGOS PET HOT FILL")</f>
        <v>LINEA DE ENVASADO JUGOS PET HOT FILL</v>
      </c>
      <c r="B193" s="5">
        <f ca="1">IFERROR(__xludf.DUMMYFUNCTION("""COMPUTED_VALUE"""),82965901)</f>
        <v>82965901</v>
      </c>
      <c r="C193" s="5" t="str">
        <f ca="1">IFERROR(__xludf.DUMMYFUNCTION("""COMPUTED_VALUE"""),"CODIFICADOR DE BOTELLAS LINEA JUGOS")</f>
        <v>CODIFICADOR DE BOTELLAS LINEA JUGOS</v>
      </c>
      <c r="D193" s="5">
        <f ca="1">IFERROR(__xludf.DUMMYFUNCTION("""COMPUTED_VALUE"""),13247747)</f>
        <v>13247747</v>
      </c>
      <c r="E193" s="5" t="str">
        <f ca="1">IFERROR(__xludf.DUMMYFUNCTION("""COMPUTED_VALUE"""),"INSPECCION SEMANAL CODIFICADOR IMAGE L8")</f>
        <v>INSPECCION SEMANAL CODIFICADOR IMAGE L8</v>
      </c>
      <c r="F193" s="5" t="str">
        <f ca="1">IFERROR(__xludf.DUMMYFUNCTION("""COMPUTED_VALUE"""),"LASER")</f>
        <v>LASER</v>
      </c>
      <c r="G193" s="5"/>
      <c r="H193" s="5"/>
      <c r="I193" s="5"/>
      <c r="J193" s="5"/>
      <c r="K193" s="5"/>
      <c r="L193" s="18">
        <f ca="1">IFERROR(__xludf.DUMMYFUNCTION("""COMPUTED_VALUE"""),45325)</f>
        <v>45325</v>
      </c>
      <c r="M193" s="18">
        <f ca="1">IFERROR(__xludf.DUMMYFUNCTION("""COMPUTED_VALUE"""),45325)</f>
        <v>45325</v>
      </c>
      <c r="N193" s="5" t="str">
        <f ca="1">IFERROR(__xludf.DUMMYFUNCTION("""COMPUTED_VALUE"""),"Álvaro Celeita Muñoz")</f>
        <v>Álvaro Celeita Muñoz</v>
      </c>
      <c r="O193" s="2">
        <f ca="1">IFERROR(__xludf.DUMMYFUNCTION("""COMPUTED_VALUE"""),0.014285714)</f>
        <v>1.4285714E-2</v>
      </c>
      <c r="P193" s="5"/>
      <c r="Q193" s="5" t="str">
        <f ca="1">IFERROR(__xludf.DUMMYFUNCTION("""COMPUTED_VALUE"""),"fQsrktAAW6Y")</f>
        <v>fQsrktAAW6Y</v>
      </c>
      <c r="R193" s="5">
        <f ca="1">IFERROR(__xludf.DUMMYFUNCTION("""COMPUTED_VALUE"""),410)</f>
        <v>410</v>
      </c>
      <c r="S193" s="62">
        <f ca="1">IFERROR(__xludf.DUMMYFUNCTION("""COMPUTED_VALUE"""),0.014285714)</f>
        <v>1.4285714E-2</v>
      </c>
      <c r="T193" s="63" t="str">
        <f ca="1">IFERROR(__xludf.DUMMYFUNCTION("""COMPUTED_VALUE"""),"https://storage.googleapis.com/glide-prod.appspot.com/uploads-v2/ly7o78grxPaC6KdgvbpS/pub/UliJWgpEaBovaFmXi6OW.png")</f>
        <v>https://storage.googleapis.com/glide-prod.appspot.com/uploads-v2/ly7o78grxPaC6KdgvbpS/pub/UliJWgpEaBovaFmXi6OW.png</v>
      </c>
      <c r="U193" s="5" t="str">
        <f ca="1">IFERROR(__xludf.DUMMYFUNCTION("""COMPUTED_VALUE"""),"LINEA DE ENVASADO JUGOS PET HOT FILLCODIFICADOR DE BOTELLAS LINEA JUGOS")</f>
        <v>LINEA DE ENVASADO JUGOS PET HOT FILLCODIFICADOR DE BOTELLAS LINEA JUGOS</v>
      </c>
      <c r="V193" s="5"/>
      <c r="W193" s="5"/>
      <c r="X193" s="5" t="str">
        <f ca="1">IFERROR(__xludf.DUMMYFUNCTION("""COMPUTED_VALUE"""),"achavezi@postobon.com.co,aprmttoyu@postobon.com.co,aprmyu@postobon.com.co,wmora@postobon.com.co,efzapata@postobon.com.co")</f>
        <v>achavezi@postobon.com.co,aprmttoyu@postobon.com.co,aprmyu@postobon.com.co,wmora@postobon.com.co,efzapata@postobon.com.co</v>
      </c>
      <c r="Y193" s="5" t="str">
        <f ca="1">IFERROR(__xludf.DUMMYFUNCTION("""COMPUTED_VALUE"""),"achavezi@postobon.com.co")</f>
        <v>achavezi@postobon.com.co</v>
      </c>
      <c r="Z193" s="5" t="str">
        <f ca="1">IFERROR(__xludf.DUMMYFUNCTION("""COMPUTED_VALUE"""),"wRayvVYdSFmGL1VMD2UsXw")</f>
        <v>wRayvVYdSFmGL1VMD2UsXw</v>
      </c>
      <c r="AA193" s="5"/>
      <c r="AB193" s="5"/>
      <c r="AC193" s="5"/>
      <c r="AD193" s="5">
        <f ca="1">IFERROR(__xludf.DUMMYFUNCTION("""COMPUTED_VALUE"""),14)</f>
        <v>14</v>
      </c>
      <c r="AE193" s="5">
        <f ca="1">IFERROR(__xludf.DUMMYFUNCTION("""COMPUTED_VALUE"""),0)</f>
        <v>0</v>
      </c>
      <c r="AF193" s="5" t="b">
        <f ca="1">IFERROR(__xludf.DUMMYFUNCTION("""COMPUTED_VALUE"""),TRUE)</f>
        <v>1</v>
      </c>
      <c r="AG193" s="5" t="str">
        <f ca="1">IFERROR(__xludf.DUMMYFUNCTION("""COMPUTED_VALUE"""),"INSPECCIONES SIN REALIZAR")</f>
        <v>INSPECCIONES SIN REALIZAR</v>
      </c>
      <c r="AH193" s="5"/>
    </row>
    <row r="194" spans="1:34">
      <c r="A194" s="5" t="str">
        <f ca="1">IFERROR(__xludf.DUMMYFUNCTION("""COMPUTED_VALUE"""),"LINEA DE ENVASADO JUGOS PET HOT FILL")</f>
        <v>LINEA DE ENVASADO JUGOS PET HOT FILL</v>
      </c>
      <c r="B194" s="5">
        <f ca="1">IFERROR(__xludf.DUMMYFUNCTION("""COMPUTED_VALUE"""),82965901)</f>
        <v>82965901</v>
      </c>
      <c r="C194" s="5" t="str">
        <f ca="1">IFERROR(__xludf.DUMMYFUNCTION("""COMPUTED_VALUE"""),"CODIFICADOR DE BOTELLAS LINEA JUGOS")</f>
        <v>CODIFICADOR DE BOTELLAS LINEA JUGOS</v>
      </c>
      <c r="D194" s="5">
        <f ca="1">IFERROR(__xludf.DUMMYFUNCTION("""COMPUTED_VALUE"""),13247747)</f>
        <v>13247747</v>
      </c>
      <c r="E194" s="5" t="str">
        <f ca="1">IFERROR(__xludf.DUMMYFUNCTION("""COMPUTED_VALUE"""),"INSPECCION SEMANAL CODIFICADOR IMAGE L8")</f>
        <v>INSPECCION SEMANAL CODIFICADOR IMAGE L8</v>
      </c>
      <c r="F194" s="5" t="str">
        <f ca="1">IFERROR(__xludf.DUMMYFUNCTION("""COMPUTED_VALUE"""),"REVISION FUNCIONAMIENTO")</f>
        <v>REVISION FUNCIONAMIENTO</v>
      </c>
      <c r="G194" s="5"/>
      <c r="H194" s="5"/>
      <c r="I194" s="5"/>
      <c r="J194" s="5"/>
      <c r="K194" s="5"/>
      <c r="L194" s="18">
        <f ca="1">IFERROR(__xludf.DUMMYFUNCTION("""COMPUTED_VALUE"""),45325)</f>
        <v>45325</v>
      </c>
      <c r="M194" s="18">
        <f ca="1">IFERROR(__xludf.DUMMYFUNCTION("""COMPUTED_VALUE"""),45325)</f>
        <v>45325</v>
      </c>
      <c r="N194" s="5" t="str">
        <f ca="1">IFERROR(__xludf.DUMMYFUNCTION("""COMPUTED_VALUE"""),"Álvaro Celeita Muñoz")</f>
        <v>Álvaro Celeita Muñoz</v>
      </c>
      <c r="O194" s="2">
        <f ca="1">IFERROR(__xludf.DUMMYFUNCTION("""COMPUTED_VALUE"""),0.014285714)</f>
        <v>1.4285714E-2</v>
      </c>
      <c r="P194" s="5"/>
      <c r="Q194" s="5" t="str">
        <f ca="1">IFERROR(__xludf.DUMMYFUNCTION("""COMPUTED_VALUE"""),"vJJSBjHBAEQ")</f>
        <v>vJJSBjHBAEQ</v>
      </c>
      <c r="R194" s="5">
        <f ca="1">IFERROR(__xludf.DUMMYFUNCTION("""COMPUTED_VALUE"""),410)</f>
        <v>410</v>
      </c>
      <c r="S194" s="62">
        <f ca="1">IFERROR(__xludf.DUMMYFUNCTION("""COMPUTED_VALUE"""),0.014285714)</f>
        <v>1.4285714E-2</v>
      </c>
      <c r="T194" s="63" t="str">
        <f ca="1">IFERROR(__xludf.DUMMYFUNCTION("""COMPUTED_VALUE"""),"https://storage.googleapis.com/glide-prod.appspot.com/uploads-v2/ly7o78grxPaC6KdgvbpS/pub/UliJWgpEaBovaFmXi6OW.png")</f>
        <v>https://storage.googleapis.com/glide-prod.appspot.com/uploads-v2/ly7o78grxPaC6KdgvbpS/pub/UliJWgpEaBovaFmXi6OW.png</v>
      </c>
      <c r="U194" s="5" t="str">
        <f ca="1">IFERROR(__xludf.DUMMYFUNCTION("""COMPUTED_VALUE"""),"LINEA DE ENVASADO JUGOS PET HOT FILLCODIFICADOR DE BOTELLAS LINEA JUGOS")</f>
        <v>LINEA DE ENVASADO JUGOS PET HOT FILLCODIFICADOR DE BOTELLAS LINEA JUGOS</v>
      </c>
      <c r="V194" s="5"/>
      <c r="W194" s="5"/>
      <c r="X194" s="5" t="str">
        <f ca="1">IFERROR(__xludf.DUMMYFUNCTION("""COMPUTED_VALUE"""),"achavezi@postobon.com.co,aprmttoyu@postobon.com.co,aprmyu@postobon.com.co,wmora@postobon.com.co,efzapata@postobon.com.co")</f>
        <v>achavezi@postobon.com.co,aprmttoyu@postobon.com.co,aprmyu@postobon.com.co,wmora@postobon.com.co,efzapata@postobon.com.co</v>
      </c>
      <c r="Y194" s="5" t="str">
        <f ca="1">IFERROR(__xludf.DUMMYFUNCTION("""COMPUTED_VALUE"""),"achavezi@postobon.com.co")</f>
        <v>achavezi@postobon.com.co</v>
      </c>
      <c r="Z194" s="5" t="str">
        <f ca="1">IFERROR(__xludf.DUMMYFUNCTION("""COMPUTED_VALUE"""),"VPdFwt7zTXKWnE9flxwt5w")</f>
        <v>VPdFwt7zTXKWnE9flxwt5w</v>
      </c>
      <c r="AA194" s="5"/>
      <c r="AB194" s="5"/>
      <c r="AC194" s="5"/>
      <c r="AD194" s="5">
        <f ca="1">IFERROR(__xludf.DUMMYFUNCTION("""COMPUTED_VALUE"""),14)</f>
        <v>14</v>
      </c>
      <c r="AE194" s="5">
        <f ca="1">IFERROR(__xludf.DUMMYFUNCTION("""COMPUTED_VALUE"""),0)</f>
        <v>0</v>
      </c>
      <c r="AF194" s="5" t="b">
        <f ca="1">IFERROR(__xludf.DUMMYFUNCTION("""COMPUTED_VALUE"""),TRUE)</f>
        <v>1</v>
      </c>
      <c r="AG194" s="5" t="str">
        <f ca="1">IFERROR(__xludf.DUMMYFUNCTION("""COMPUTED_VALUE"""),"INSPECCIONES SIN REALIZAR")</f>
        <v>INSPECCIONES SIN REALIZAR</v>
      </c>
      <c r="AH194" s="5"/>
    </row>
    <row r="195" spans="1:34">
      <c r="A195" s="5" t="str">
        <f ca="1">IFERROR(__xludf.DUMMYFUNCTION("""COMPUTED_VALUE"""),"LINEA DE ENVASADO JUGOS PET HOT FILL")</f>
        <v>LINEA DE ENVASADO JUGOS PET HOT FILL</v>
      </c>
      <c r="B195" s="5">
        <f ca="1">IFERROR(__xludf.DUMMYFUNCTION("""COMPUTED_VALUE"""),82965901)</f>
        <v>82965901</v>
      </c>
      <c r="C195" s="5" t="str">
        <f ca="1">IFERROR(__xludf.DUMMYFUNCTION("""COMPUTED_VALUE"""),"CODIFICADOR DE BOTELLAS LINEA JUGOS")</f>
        <v>CODIFICADOR DE BOTELLAS LINEA JUGOS</v>
      </c>
      <c r="D195" s="5">
        <f ca="1">IFERROR(__xludf.DUMMYFUNCTION("""COMPUTED_VALUE"""),13247747)</f>
        <v>13247747</v>
      </c>
      <c r="E195" s="5" t="str">
        <f ca="1">IFERROR(__xludf.DUMMYFUNCTION("""COMPUTED_VALUE"""),"INSPECCION SEMANAL CODIFICADOR IMAGE L8")</f>
        <v>INSPECCION SEMANAL CODIFICADOR IMAGE L8</v>
      </c>
      <c r="F195" s="5" t="str">
        <f ca="1">IFERROR(__xludf.DUMMYFUNCTION("""COMPUTED_VALUE"""),"INSPECCION FILTROS AIRE")</f>
        <v>INSPECCION FILTROS AIRE</v>
      </c>
      <c r="G195" s="5"/>
      <c r="H195" s="5"/>
      <c r="I195" s="5"/>
      <c r="J195" s="5"/>
      <c r="K195" s="5"/>
      <c r="L195" s="18">
        <f ca="1">IFERROR(__xludf.DUMMYFUNCTION("""COMPUTED_VALUE"""),45325)</f>
        <v>45325</v>
      </c>
      <c r="M195" s="18">
        <f ca="1">IFERROR(__xludf.DUMMYFUNCTION("""COMPUTED_VALUE"""),45325)</f>
        <v>45325</v>
      </c>
      <c r="N195" s="5" t="str">
        <f ca="1">IFERROR(__xludf.DUMMYFUNCTION("""COMPUTED_VALUE"""),"Álvaro Celeita Muñoz")</f>
        <v>Álvaro Celeita Muñoz</v>
      </c>
      <c r="O195" s="2">
        <f ca="1">IFERROR(__xludf.DUMMYFUNCTION("""COMPUTED_VALUE"""),0.014285714)</f>
        <v>1.4285714E-2</v>
      </c>
      <c r="P195" s="5"/>
      <c r="Q195" s="5" t="str">
        <f ca="1">IFERROR(__xludf.DUMMYFUNCTION("""COMPUTED_VALUE"""),"snY9KzOwS0c")</f>
        <v>snY9KzOwS0c</v>
      </c>
      <c r="R195" s="5">
        <f ca="1">IFERROR(__xludf.DUMMYFUNCTION("""COMPUTED_VALUE"""),410)</f>
        <v>410</v>
      </c>
      <c r="S195" s="62">
        <f ca="1">IFERROR(__xludf.DUMMYFUNCTION("""COMPUTED_VALUE"""),0.014285714)</f>
        <v>1.4285714E-2</v>
      </c>
      <c r="T195" s="63" t="str">
        <f ca="1">IFERROR(__xludf.DUMMYFUNCTION("""COMPUTED_VALUE"""),"https://storage.googleapis.com/glide-prod.appspot.com/uploads-v2/ly7o78grxPaC6KdgvbpS/pub/UliJWgpEaBovaFmXi6OW.png")</f>
        <v>https://storage.googleapis.com/glide-prod.appspot.com/uploads-v2/ly7o78grxPaC6KdgvbpS/pub/UliJWgpEaBovaFmXi6OW.png</v>
      </c>
      <c r="U195" s="5" t="str">
        <f ca="1">IFERROR(__xludf.DUMMYFUNCTION("""COMPUTED_VALUE"""),"LINEA DE ENVASADO JUGOS PET HOT FILLCODIFICADOR DE BOTELLAS LINEA JUGOS")</f>
        <v>LINEA DE ENVASADO JUGOS PET HOT FILLCODIFICADOR DE BOTELLAS LINEA JUGOS</v>
      </c>
      <c r="V195" s="5"/>
      <c r="W195" s="5"/>
      <c r="X195" s="5" t="str">
        <f ca="1">IFERROR(__xludf.DUMMYFUNCTION("""COMPUTED_VALUE"""),"achavezi@postobon.com.co,aprmttoyu@postobon.com.co,aprmyu@postobon.com.co,wmora@postobon.com.co,efzapata@postobon.com.co")</f>
        <v>achavezi@postobon.com.co,aprmttoyu@postobon.com.co,aprmyu@postobon.com.co,wmora@postobon.com.co,efzapata@postobon.com.co</v>
      </c>
      <c r="Y195" s="5" t="str">
        <f ca="1">IFERROR(__xludf.DUMMYFUNCTION("""COMPUTED_VALUE"""),"achavezi@postobon.com.co")</f>
        <v>achavezi@postobon.com.co</v>
      </c>
      <c r="Z195" s="5" t="str">
        <f ca="1">IFERROR(__xludf.DUMMYFUNCTION("""COMPUTED_VALUE"""),"UMBaysXtSs23VZKW3D0jSQ")</f>
        <v>UMBaysXtSs23VZKW3D0jSQ</v>
      </c>
      <c r="AA195" s="5"/>
      <c r="AB195" s="5"/>
      <c r="AC195" s="5"/>
      <c r="AD195" s="5">
        <f ca="1">IFERROR(__xludf.DUMMYFUNCTION("""COMPUTED_VALUE"""),14)</f>
        <v>14</v>
      </c>
      <c r="AE195" s="5">
        <f ca="1">IFERROR(__xludf.DUMMYFUNCTION("""COMPUTED_VALUE"""),0)</f>
        <v>0</v>
      </c>
      <c r="AF195" s="5" t="b">
        <f ca="1">IFERROR(__xludf.DUMMYFUNCTION("""COMPUTED_VALUE"""),TRUE)</f>
        <v>1</v>
      </c>
      <c r="AG195" s="5" t="str">
        <f ca="1">IFERROR(__xludf.DUMMYFUNCTION("""COMPUTED_VALUE"""),"INSPECCIONES SIN REALIZAR")</f>
        <v>INSPECCIONES SIN REALIZAR</v>
      </c>
      <c r="AH195" s="5"/>
    </row>
    <row r="196" spans="1:34">
      <c r="A196" s="5" t="str">
        <f ca="1">IFERROR(__xludf.DUMMYFUNCTION("""COMPUTED_VALUE"""),"LINEA DE ENVASADO JUGOS PET HOT FILL")</f>
        <v>LINEA DE ENVASADO JUGOS PET HOT FILL</v>
      </c>
      <c r="B196" s="5">
        <f ca="1">IFERROR(__xludf.DUMMYFUNCTION("""COMPUTED_VALUE"""),82965901)</f>
        <v>82965901</v>
      </c>
      <c r="C196" s="5" t="str">
        <f ca="1">IFERROR(__xludf.DUMMYFUNCTION("""COMPUTED_VALUE"""),"CODIFICADOR DE BOTELLAS LINEA JUGOS")</f>
        <v>CODIFICADOR DE BOTELLAS LINEA JUGOS</v>
      </c>
      <c r="D196" s="5">
        <f ca="1">IFERROR(__xludf.DUMMYFUNCTION("""COMPUTED_VALUE"""),13247747)</f>
        <v>13247747</v>
      </c>
      <c r="E196" s="5" t="str">
        <f ca="1">IFERROR(__xludf.DUMMYFUNCTION("""COMPUTED_VALUE"""),"INSPECCION SEMANAL CODIFICADOR IMAGE L8")</f>
        <v>INSPECCION SEMANAL CODIFICADOR IMAGE L8</v>
      </c>
      <c r="F196" s="5" t="str">
        <f ca="1">IFERROR(__xludf.DUMMYFUNCTION("""COMPUTED_VALUE"""),"INSPECCION LENTE")</f>
        <v>INSPECCION LENTE</v>
      </c>
      <c r="G196" s="5"/>
      <c r="H196" s="5"/>
      <c r="I196" s="5"/>
      <c r="J196" s="5"/>
      <c r="K196" s="5"/>
      <c r="L196" s="18">
        <f ca="1">IFERROR(__xludf.DUMMYFUNCTION("""COMPUTED_VALUE"""),45325)</f>
        <v>45325</v>
      </c>
      <c r="M196" s="18">
        <f ca="1">IFERROR(__xludf.DUMMYFUNCTION("""COMPUTED_VALUE"""),45325)</f>
        <v>45325</v>
      </c>
      <c r="N196" s="5" t="str">
        <f ca="1">IFERROR(__xludf.DUMMYFUNCTION("""COMPUTED_VALUE"""),"Álvaro Celeita Muñoz")</f>
        <v>Álvaro Celeita Muñoz</v>
      </c>
      <c r="O196" s="2">
        <f ca="1">IFERROR(__xludf.DUMMYFUNCTION("""COMPUTED_VALUE"""),0.014285714)</f>
        <v>1.4285714E-2</v>
      </c>
      <c r="P196" s="5"/>
      <c r="Q196" s="5" t="str">
        <f ca="1">IFERROR(__xludf.DUMMYFUNCTION("""COMPUTED_VALUE"""),"YxsrTsh2ALs")</f>
        <v>YxsrTsh2ALs</v>
      </c>
      <c r="R196" s="5">
        <f ca="1">IFERROR(__xludf.DUMMYFUNCTION("""COMPUTED_VALUE"""),410)</f>
        <v>410</v>
      </c>
      <c r="S196" s="62">
        <f ca="1">IFERROR(__xludf.DUMMYFUNCTION("""COMPUTED_VALUE"""),0.014285714)</f>
        <v>1.4285714E-2</v>
      </c>
      <c r="T196" s="63" t="str">
        <f ca="1">IFERROR(__xludf.DUMMYFUNCTION("""COMPUTED_VALUE"""),"https://storage.googleapis.com/glide-prod.appspot.com/uploads-v2/ly7o78grxPaC6KdgvbpS/pub/UliJWgpEaBovaFmXi6OW.png")</f>
        <v>https://storage.googleapis.com/glide-prod.appspot.com/uploads-v2/ly7o78grxPaC6KdgvbpS/pub/UliJWgpEaBovaFmXi6OW.png</v>
      </c>
      <c r="U196" s="5" t="str">
        <f ca="1">IFERROR(__xludf.DUMMYFUNCTION("""COMPUTED_VALUE"""),"LINEA DE ENVASADO JUGOS PET HOT FILLCODIFICADOR DE BOTELLAS LINEA JUGOS")</f>
        <v>LINEA DE ENVASADO JUGOS PET HOT FILLCODIFICADOR DE BOTELLAS LINEA JUGOS</v>
      </c>
      <c r="V196" s="5"/>
      <c r="W196" s="5"/>
      <c r="X196" s="5" t="str">
        <f ca="1">IFERROR(__xludf.DUMMYFUNCTION("""COMPUTED_VALUE"""),"achavezi@postobon.com.co,aprmttoyu@postobon.com.co,aprmyu@postobon.com.co,wmora@postobon.com.co,efzapata@postobon.com.co")</f>
        <v>achavezi@postobon.com.co,aprmttoyu@postobon.com.co,aprmyu@postobon.com.co,wmora@postobon.com.co,efzapata@postobon.com.co</v>
      </c>
      <c r="Y196" s="5" t="str">
        <f ca="1">IFERROR(__xludf.DUMMYFUNCTION("""COMPUTED_VALUE"""),"achavezi@postobon.com.co")</f>
        <v>achavezi@postobon.com.co</v>
      </c>
      <c r="Z196" s="5" t="str">
        <f ca="1">IFERROR(__xludf.DUMMYFUNCTION("""COMPUTED_VALUE"""),"IkWNJkxqQpqgHclXw85IDg")</f>
        <v>IkWNJkxqQpqgHclXw85IDg</v>
      </c>
      <c r="AA196" s="5"/>
      <c r="AB196" s="5"/>
      <c r="AC196" s="5"/>
      <c r="AD196" s="5">
        <f ca="1">IFERROR(__xludf.DUMMYFUNCTION("""COMPUTED_VALUE"""),14)</f>
        <v>14</v>
      </c>
      <c r="AE196" s="5">
        <f ca="1">IFERROR(__xludf.DUMMYFUNCTION("""COMPUTED_VALUE"""),0)</f>
        <v>0</v>
      </c>
      <c r="AF196" s="5" t="b">
        <f ca="1">IFERROR(__xludf.DUMMYFUNCTION("""COMPUTED_VALUE"""),TRUE)</f>
        <v>1</v>
      </c>
      <c r="AG196" s="5" t="str">
        <f ca="1">IFERROR(__xludf.DUMMYFUNCTION("""COMPUTED_VALUE"""),"INSPECCIONES SIN REALIZAR")</f>
        <v>INSPECCIONES SIN REALIZAR</v>
      </c>
      <c r="AH196" s="5"/>
    </row>
    <row r="197" spans="1:34">
      <c r="A197" s="5" t="str">
        <f ca="1">IFERROR(__xludf.DUMMYFUNCTION("""COMPUTED_VALUE"""),"LINEA DE ENVASADO JUGOS PET HOT FILL")</f>
        <v>LINEA DE ENVASADO JUGOS PET HOT FILL</v>
      </c>
      <c r="B197" s="5">
        <f ca="1">IFERROR(__xludf.DUMMYFUNCTION("""COMPUTED_VALUE"""),82964103)</f>
        <v>82964103</v>
      </c>
      <c r="C197" s="5" t="str">
        <f ca="1">IFERROR(__xludf.DUMMYFUNCTION("""COMPUTED_VALUE"""),"CODIFICADOR LASER")</f>
        <v>CODIFICADOR LASER</v>
      </c>
      <c r="D197" s="5">
        <f ca="1">IFERROR(__xludf.DUMMYFUNCTION("""COMPUTED_VALUE"""),13247748)</f>
        <v>13247748</v>
      </c>
      <c r="E197" s="5" t="str">
        <f ca="1">IFERROR(__xludf.DUMMYFUNCTION("""COMPUTED_VALUE"""),"INSPECCION SEMANAL Codificador Laser")</f>
        <v>INSPECCION SEMANAL Codificador Laser</v>
      </c>
      <c r="F197" s="5" t="str">
        <f ca="1">IFERROR(__xludf.DUMMYFUNCTION("""COMPUTED_VALUE"""),"INSPECCIÓN SISTEMA NEUMÁTICO")</f>
        <v>INSPECCIÓN SISTEMA NEUMÁTICO</v>
      </c>
      <c r="G197" s="5"/>
      <c r="H197" s="5"/>
      <c r="I197" s="5"/>
      <c r="J197" s="5"/>
      <c r="K197" s="5"/>
      <c r="L197" s="18">
        <f ca="1">IFERROR(__xludf.DUMMYFUNCTION("""COMPUTED_VALUE"""),45324)</f>
        <v>45324</v>
      </c>
      <c r="M197" s="18">
        <f ca="1">IFERROR(__xludf.DUMMYFUNCTION("""COMPUTED_VALUE"""),45324)</f>
        <v>45324</v>
      </c>
      <c r="N197" s="5" t="str">
        <f ca="1">IFERROR(__xludf.DUMMYFUNCTION("""COMPUTED_VALUE"""),"Álvaro Celeita Muñoz")</f>
        <v>Álvaro Celeita Muñoz</v>
      </c>
      <c r="O197" s="2">
        <f ca="1">IFERROR(__xludf.DUMMYFUNCTION("""COMPUTED_VALUE"""),0.014285714)</f>
        <v>1.4285714E-2</v>
      </c>
      <c r="P197" s="5"/>
      <c r="Q197" s="5" t="str">
        <f ca="1">IFERROR(__xludf.DUMMYFUNCTION("""COMPUTED_VALUE"""),"w4LC4TICKGI")</f>
        <v>w4LC4TICKGI</v>
      </c>
      <c r="R197" s="5">
        <f ca="1">IFERROR(__xludf.DUMMYFUNCTION("""COMPUTED_VALUE"""),410)</f>
        <v>410</v>
      </c>
      <c r="S197" s="62">
        <f ca="1">IFERROR(__xludf.DUMMYFUNCTION("""COMPUTED_VALUE"""),0.014285714)</f>
        <v>1.4285714E-2</v>
      </c>
      <c r="T197" s="63" t="str">
        <f ca="1">IFERROR(__xludf.DUMMYFUNCTION("""COMPUTED_VALUE"""),"https://storage.googleapis.com/glide-prod.appspot.com/uploads-v2/ly7o78grxPaC6KdgvbpS/pub/UliJWgpEaBovaFmXi6OW.png")</f>
        <v>https://storage.googleapis.com/glide-prod.appspot.com/uploads-v2/ly7o78grxPaC6KdgvbpS/pub/UliJWgpEaBovaFmXi6OW.png</v>
      </c>
      <c r="U197" s="5" t="str">
        <f ca="1">IFERROR(__xludf.DUMMYFUNCTION("""COMPUTED_VALUE"""),"LINEA DE ENVASADO JUGOS PET HOT FILLCODIFICADOR LASER")</f>
        <v>LINEA DE ENVASADO JUGOS PET HOT FILLCODIFICADOR LASER</v>
      </c>
      <c r="V197" s="5"/>
      <c r="W197" s="5"/>
      <c r="X197" s="5" t="str">
        <f ca="1">IFERROR(__xludf.DUMMYFUNCTION("""COMPUTED_VALUE"""),"achavezi@postobon.com.co,aprmttoyu@postobon.com.co,aprmyu@postobon.com.co,wmora@postobon.com.co,efzapata@postobon.com.co")</f>
        <v>achavezi@postobon.com.co,aprmttoyu@postobon.com.co,aprmyu@postobon.com.co,wmora@postobon.com.co,efzapata@postobon.com.co</v>
      </c>
      <c r="Y197" s="5" t="str">
        <f ca="1">IFERROR(__xludf.DUMMYFUNCTION("""COMPUTED_VALUE"""),"achavezi@postobon.com.co")</f>
        <v>achavezi@postobon.com.co</v>
      </c>
      <c r="Z197" s="5" t="str">
        <f ca="1">IFERROR(__xludf.DUMMYFUNCTION("""COMPUTED_VALUE"""),"ZMsxiEsVTzSz2EasL5KtFQ")</f>
        <v>ZMsxiEsVTzSz2EasL5KtFQ</v>
      </c>
      <c r="AA197" s="5"/>
      <c r="AB197" s="5"/>
      <c r="AC197" s="5"/>
      <c r="AD197" s="5">
        <f ca="1">IFERROR(__xludf.DUMMYFUNCTION("""COMPUTED_VALUE"""),14)</f>
        <v>14</v>
      </c>
      <c r="AE197" s="5">
        <f ca="1">IFERROR(__xludf.DUMMYFUNCTION("""COMPUTED_VALUE"""),0)</f>
        <v>0</v>
      </c>
      <c r="AF197" s="5" t="b">
        <f ca="1">IFERROR(__xludf.DUMMYFUNCTION("""COMPUTED_VALUE"""),TRUE)</f>
        <v>1</v>
      </c>
      <c r="AG197" s="5" t="str">
        <f ca="1">IFERROR(__xludf.DUMMYFUNCTION("""COMPUTED_VALUE"""),"INSPECCIONES SIN REALIZAR")</f>
        <v>INSPECCIONES SIN REALIZAR</v>
      </c>
      <c r="AH197" s="5"/>
    </row>
    <row r="198" spans="1:34">
      <c r="A198" s="5" t="str">
        <f ca="1">IFERROR(__xludf.DUMMYFUNCTION("""COMPUTED_VALUE"""),"LINEA DE ENVASADO JUGOS PET HOT FILL")</f>
        <v>LINEA DE ENVASADO JUGOS PET HOT FILL</v>
      </c>
      <c r="B198" s="5">
        <f ca="1">IFERROR(__xludf.DUMMYFUNCTION("""COMPUTED_VALUE"""),82964103)</f>
        <v>82964103</v>
      </c>
      <c r="C198" s="5" t="str">
        <f ca="1">IFERROR(__xludf.DUMMYFUNCTION("""COMPUTED_VALUE"""),"CODIFICADOR LASER")</f>
        <v>CODIFICADOR LASER</v>
      </c>
      <c r="D198" s="5">
        <f ca="1">IFERROR(__xludf.DUMMYFUNCTION("""COMPUTED_VALUE"""),13247748)</f>
        <v>13247748</v>
      </c>
      <c r="E198" s="5" t="str">
        <f ca="1">IFERROR(__xludf.DUMMYFUNCTION("""COMPUTED_VALUE"""),"INSPECCION SEMANAL Codificador Laser")</f>
        <v>INSPECCION SEMANAL Codificador Laser</v>
      </c>
      <c r="F198" s="5" t="str">
        <f ca="1">IFERROR(__xludf.DUMMYFUNCTION("""COMPUTED_VALUE"""),"VERIFICAR ESTADO FILTRO VACIO")</f>
        <v>VERIFICAR ESTADO FILTRO VACIO</v>
      </c>
      <c r="G198" s="5"/>
      <c r="H198" s="5"/>
      <c r="I198" s="5"/>
      <c r="J198" s="5"/>
      <c r="K198" s="5"/>
      <c r="L198" s="18">
        <f ca="1">IFERROR(__xludf.DUMMYFUNCTION("""COMPUTED_VALUE"""),45324)</f>
        <v>45324</v>
      </c>
      <c r="M198" s="18">
        <f ca="1">IFERROR(__xludf.DUMMYFUNCTION("""COMPUTED_VALUE"""),45324)</f>
        <v>45324</v>
      </c>
      <c r="N198" s="5" t="str">
        <f ca="1">IFERROR(__xludf.DUMMYFUNCTION("""COMPUTED_VALUE"""),"Álvaro Celeita Muñoz")</f>
        <v>Álvaro Celeita Muñoz</v>
      </c>
      <c r="O198" s="2">
        <f ca="1">IFERROR(__xludf.DUMMYFUNCTION("""COMPUTED_VALUE"""),0.014285714)</f>
        <v>1.4285714E-2</v>
      </c>
      <c r="P198" s="5"/>
      <c r="Q198" s="5" t="str">
        <f ca="1">IFERROR(__xludf.DUMMYFUNCTION("""COMPUTED_VALUE"""),"dhFBSE_eBTs")</f>
        <v>dhFBSE_eBTs</v>
      </c>
      <c r="R198" s="5">
        <f ca="1">IFERROR(__xludf.DUMMYFUNCTION("""COMPUTED_VALUE"""),410)</f>
        <v>410</v>
      </c>
      <c r="S198" s="62">
        <f ca="1">IFERROR(__xludf.DUMMYFUNCTION("""COMPUTED_VALUE"""),0.014285714)</f>
        <v>1.4285714E-2</v>
      </c>
      <c r="T198" s="63" t="str">
        <f ca="1">IFERROR(__xludf.DUMMYFUNCTION("""COMPUTED_VALUE"""),"https://storage.googleapis.com/glide-prod.appspot.com/uploads-v2/ly7o78grxPaC6KdgvbpS/pub/UliJWgpEaBovaFmXi6OW.png")</f>
        <v>https://storage.googleapis.com/glide-prod.appspot.com/uploads-v2/ly7o78grxPaC6KdgvbpS/pub/UliJWgpEaBovaFmXi6OW.png</v>
      </c>
      <c r="U198" s="5" t="str">
        <f ca="1">IFERROR(__xludf.DUMMYFUNCTION("""COMPUTED_VALUE"""),"LINEA DE ENVASADO JUGOS PET HOT FILLCODIFICADOR LASER")</f>
        <v>LINEA DE ENVASADO JUGOS PET HOT FILLCODIFICADOR LASER</v>
      </c>
      <c r="V198" s="5"/>
      <c r="W198" s="5"/>
      <c r="X198" s="5" t="str">
        <f ca="1">IFERROR(__xludf.DUMMYFUNCTION("""COMPUTED_VALUE"""),"achavezi@postobon.com.co,aprmttoyu@postobon.com.co,aprmyu@postobon.com.co,wmora@postobon.com.co,efzapata@postobon.com.co")</f>
        <v>achavezi@postobon.com.co,aprmttoyu@postobon.com.co,aprmyu@postobon.com.co,wmora@postobon.com.co,efzapata@postobon.com.co</v>
      </c>
      <c r="Y198" s="5" t="str">
        <f ca="1">IFERROR(__xludf.DUMMYFUNCTION("""COMPUTED_VALUE"""),"achavezi@postobon.com.co")</f>
        <v>achavezi@postobon.com.co</v>
      </c>
      <c r="Z198" s="5" t="str">
        <f ca="1">IFERROR(__xludf.DUMMYFUNCTION("""COMPUTED_VALUE"""),"miwx3vc4STeW3HN3xaK8Pg")</f>
        <v>miwx3vc4STeW3HN3xaK8Pg</v>
      </c>
      <c r="AA198" s="5"/>
      <c r="AB198" s="5"/>
      <c r="AC198" s="5"/>
      <c r="AD198" s="5">
        <f ca="1">IFERROR(__xludf.DUMMYFUNCTION("""COMPUTED_VALUE"""),14)</f>
        <v>14</v>
      </c>
      <c r="AE198" s="5">
        <f ca="1">IFERROR(__xludf.DUMMYFUNCTION("""COMPUTED_VALUE"""),0)</f>
        <v>0</v>
      </c>
      <c r="AF198" s="5" t="b">
        <f ca="1">IFERROR(__xludf.DUMMYFUNCTION("""COMPUTED_VALUE"""),TRUE)</f>
        <v>1</v>
      </c>
      <c r="AG198" s="5" t="str">
        <f ca="1">IFERROR(__xludf.DUMMYFUNCTION("""COMPUTED_VALUE"""),"INSPECCIONES SIN REALIZAR")</f>
        <v>INSPECCIONES SIN REALIZAR</v>
      </c>
      <c r="AH198" s="5"/>
    </row>
    <row r="199" spans="1:34">
      <c r="A199" s="5" t="str">
        <f ca="1">IFERROR(__xludf.DUMMYFUNCTION("""COMPUTED_VALUE"""),"LINEA DE ENVASADO JUGOS PET HOT FILL")</f>
        <v>LINEA DE ENVASADO JUGOS PET HOT FILL</v>
      </c>
      <c r="B199" s="5">
        <f ca="1">IFERROR(__xludf.DUMMYFUNCTION("""COMPUTED_VALUE"""),82964103)</f>
        <v>82964103</v>
      </c>
      <c r="C199" s="5" t="str">
        <f ca="1">IFERROR(__xludf.DUMMYFUNCTION("""COMPUTED_VALUE"""),"CODIFICADOR LASER")</f>
        <v>CODIFICADOR LASER</v>
      </c>
      <c r="D199" s="5">
        <f ca="1">IFERROR(__xludf.DUMMYFUNCTION("""COMPUTED_VALUE"""),13247748)</f>
        <v>13247748</v>
      </c>
      <c r="E199" s="5" t="str">
        <f ca="1">IFERROR(__xludf.DUMMYFUNCTION("""COMPUTED_VALUE"""),"INSPECCION SEMANAL Codificador Laser")</f>
        <v>INSPECCION SEMANAL Codificador Laser</v>
      </c>
      <c r="F199" s="5" t="str">
        <f ca="1">IFERROR(__xludf.DUMMYFUNCTION("""COMPUTED_VALUE"""),"INSP. INTERCAMB. Y REJILLA DE AIRE")</f>
        <v>INSP. INTERCAMB. Y REJILLA DE AIRE</v>
      </c>
      <c r="G199" s="5"/>
      <c r="H199" s="5"/>
      <c r="I199" s="5"/>
      <c r="J199" s="5"/>
      <c r="K199" s="5"/>
      <c r="L199" s="18">
        <f ca="1">IFERROR(__xludf.DUMMYFUNCTION("""COMPUTED_VALUE"""),45324)</f>
        <v>45324</v>
      </c>
      <c r="M199" s="18">
        <f ca="1">IFERROR(__xludf.DUMMYFUNCTION("""COMPUTED_VALUE"""),45324)</f>
        <v>45324</v>
      </c>
      <c r="N199" s="5" t="str">
        <f ca="1">IFERROR(__xludf.DUMMYFUNCTION("""COMPUTED_VALUE"""),"Álvaro Celeita Muñoz")</f>
        <v>Álvaro Celeita Muñoz</v>
      </c>
      <c r="O199" s="2">
        <f ca="1">IFERROR(__xludf.DUMMYFUNCTION("""COMPUTED_VALUE"""),0.014285714)</f>
        <v>1.4285714E-2</v>
      </c>
      <c r="P199" s="5"/>
      <c r="Q199" s="5" t="str">
        <f ca="1">IFERROR(__xludf.DUMMYFUNCTION("""COMPUTED_VALUE"""),"86y-7BvVObQ")</f>
        <v>86y-7BvVObQ</v>
      </c>
      <c r="R199" s="5">
        <f ca="1">IFERROR(__xludf.DUMMYFUNCTION("""COMPUTED_VALUE"""),410)</f>
        <v>410</v>
      </c>
      <c r="S199" s="62">
        <f ca="1">IFERROR(__xludf.DUMMYFUNCTION("""COMPUTED_VALUE"""),0.014285714)</f>
        <v>1.4285714E-2</v>
      </c>
      <c r="T199" s="63" t="str">
        <f ca="1">IFERROR(__xludf.DUMMYFUNCTION("""COMPUTED_VALUE"""),"https://storage.googleapis.com/glide-prod.appspot.com/uploads-v2/ly7o78grxPaC6KdgvbpS/pub/UliJWgpEaBovaFmXi6OW.png")</f>
        <v>https://storage.googleapis.com/glide-prod.appspot.com/uploads-v2/ly7o78grxPaC6KdgvbpS/pub/UliJWgpEaBovaFmXi6OW.png</v>
      </c>
      <c r="U199" s="5" t="str">
        <f ca="1">IFERROR(__xludf.DUMMYFUNCTION("""COMPUTED_VALUE"""),"LINEA DE ENVASADO JUGOS PET HOT FILLCODIFICADOR LASER")</f>
        <v>LINEA DE ENVASADO JUGOS PET HOT FILLCODIFICADOR LASER</v>
      </c>
      <c r="V199" s="5"/>
      <c r="W199" s="5"/>
      <c r="X199" s="5" t="str">
        <f ca="1">IFERROR(__xludf.DUMMYFUNCTION("""COMPUTED_VALUE"""),"achavezi@postobon.com.co,aprmttoyu@postobon.com.co,aprmyu@postobon.com.co,wmora@postobon.com.co,efzapata@postobon.com.co")</f>
        <v>achavezi@postobon.com.co,aprmttoyu@postobon.com.co,aprmyu@postobon.com.co,wmora@postobon.com.co,efzapata@postobon.com.co</v>
      </c>
      <c r="Y199" s="5" t="str">
        <f ca="1">IFERROR(__xludf.DUMMYFUNCTION("""COMPUTED_VALUE"""),"achavezi@postobon.com.co")</f>
        <v>achavezi@postobon.com.co</v>
      </c>
      <c r="Z199" s="5" t="str">
        <f ca="1">IFERROR(__xludf.DUMMYFUNCTION("""COMPUTED_VALUE"""),"xY-ej8x1RVWRFpufUhTFUg")</f>
        <v>xY-ej8x1RVWRFpufUhTFUg</v>
      </c>
      <c r="AA199" s="5"/>
      <c r="AB199" s="5"/>
      <c r="AC199" s="5"/>
      <c r="AD199" s="5">
        <f ca="1">IFERROR(__xludf.DUMMYFUNCTION("""COMPUTED_VALUE"""),14)</f>
        <v>14</v>
      </c>
      <c r="AE199" s="5">
        <f ca="1">IFERROR(__xludf.DUMMYFUNCTION("""COMPUTED_VALUE"""),0)</f>
        <v>0</v>
      </c>
      <c r="AF199" s="5" t="b">
        <f ca="1">IFERROR(__xludf.DUMMYFUNCTION("""COMPUTED_VALUE"""),TRUE)</f>
        <v>1</v>
      </c>
      <c r="AG199" s="5" t="str">
        <f ca="1">IFERROR(__xludf.DUMMYFUNCTION("""COMPUTED_VALUE"""),"INSPECCIONES SIN REALIZAR")</f>
        <v>INSPECCIONES SIN REALIZAR</v>
      </c>
      <c r="AH199" s="5"/>
    </row>
    <row r="200" spans="1:34">
      <c r="A200" s="5" t="str">
        <f ca="1">IFERROR(__xludf.DUMMYFUNCTION("""COMPUTED_VALUE"""),"LINEA DE ENVASADO JUGOS PET HOT FILL")</f>
        <v>LINEA DE ENVASADO JUGOS PET HOT FILL</v>
      </c>
      <c r="B200" s="5">
        <f ca="1">IFERROR(__xludf.DUMMYFUNCTION("""COMPUTED_VALUE"""),82964103)</f>
        <v>82964103</v>
      </c>
      <c r="C200" s="5" t="str">
        <f ca="1">IFERROR(__xludf.DUMMYFUNCTION("""COMPUTED_VALUE"""),"CODIFICADOR LASER")</f>
        <v>CODIFICADOR LASER</v>
      </c>
      <c r="D200" s="5">
        <f ca="1">IFERROR(__xludf.DUMMYFUNCTION("""COMPUTED_VALUE"""),13247748)</f>
        <v>13247748</v>
      </c>
      <c r="E200" s="5" t="str">
        <f ca="1">IFERROR(__xludf.DUMMYFUNCTION("""COMPUTED_VALUE"""),"INSPECCION SEMANAL Codificador Laser")</f>
        <v>INSPECCION SEMANAL Codificador Laser</v>
      </c>
      <c r="F200" s="5" t="str">
        <f ca="1">IFERROR(__xludf.DUMMYFUNCTION("""COMPUTED_VALUE"""),"LASER")</f>
        <v>LASER</v>
      </c>
      <c r="G200" s="5"/>
      <c r="H200" s="5"/>
      <c r="I200" s="5"/>
      <c r="J200" s="5"/>
      <c r="K200" s="5"/>
      <c r="L200" s="18">
        <f ca="1">IFERROR(__xludf.DUMMYFUNCTION("""COMPUTED_VALUE"""),45324)</f>
        <v>45324</v>
      </c>
      <c r="M200" s="18">
        <f ca="1">IFERROR(__xludf.DUMMYFUNCTION("""COMPUTED_VALUE"""),45324)</f>
        <v>45324</v>
      </c>
      <c r="N200" s="5" t="str">
        <f ca="1">IFERROR(__xludf.DUMMYFUNCTION("""COMPUTED_VALUE"""),"Álvaro Celeita Muñoz")</f>
        <v>Álvaro Celeita Muñoz</v>
      </c>
      <c r="O200" s="2">
        <f ca="1">IFERROR(__xludf.DUMMYFUNCTION("""COMPUTED_VALUE"""),0.014285714)</f>
        <v>1.4285714E-2</v>
      </c>
      <c r="P200" s="5"/>
      <c r="Q200" s="5" t="str">
        <f ca="1">IFERROR(__xludf.DUMMYFUNCTION("""COMPUTED_VALUE"""),"T9B-MBKPBrM")</f>
        <v>T9B-MBKPBrM</v>
      </c>
      <c r="R200" s="5">
        <f ca="1">IFERROR(__xludf.DUMMYFUNCTION("""COMPUTED_VALUE"""),410)</f>
        <v>410</v>
      </c>
      <c r="S200" s="62">
        <f ca="1">IFERROR(__xludf.DUMMYFUNCTION("""COMPUTED_VALUE"""),0.014285714)</f>
        <v>1.4285714E-2</v>
      </c>
      <c r="T200" s="63" t="str">
        <f ca="1">IFERROR(__xludf.DUMMYFUNCTION("""COMPUTED_VALUE"""),"https://storage.googleapis.com/glide-prod.appspot.com/uploads-v2/ly7o78grxPaC6KdgvbpS/pub/UliJWgpEaBovaFmXi6OW.png")</f>
        <v>https://storage.googleapis.com/glide-prod.appspot.com/uploads-v2/ly7o78grxPaC6KdgvbpS/pub/UliJWgpEaBovaFmXi6OW.png</v>
      </c>
      <c r="U200" s="5" t="str">
        <f ca="1">IFERROR(__xludf.DUMMYFUNCTION("""COMPUTED_VALUE"""),"LINEA DE ENVASADO JUGOS PET HOT FILLCODIFICADOR LASER")</f>
        <v>LINEA DE ENVASADO JUGOS PET HOT FILLCODIFICADOR LASER</v>
      </c>
      <c r="V200" s="5"/>
      <c r="W200" s="5"/>
      <c r="X200" s="5" t="str">
        <f ca="1">IFERROR(__xludf.DUMMYFUNCTION("""COMPUTED_VALUE"""),"achavezi@postobon.com.co,aprmttoyu@postobon.com.co,aprmyu@postobon.com.co,wmora@postobon.com.co,efzapata@postobon.com.co")</f>
        <v>achavezi@postobon.com.co,aprmttoyu@postobon.com.co,aprmyu@postobon.com.co,wmora@postobon.com.co,efzapata@postobon.com.co</v>
      </c>
      <c r="Y200" s="5" t="str">
        <f ca="1">IFERROR(__xludf.DUMMYFUNCTION("""COMPUTED_VALUE"""),"achavezi@postobon.com.co")</f>
        <v>achavezi@postobon.com.co</v>
      </c>
      <c r="Z200" s="5" t="str">
        <f ca="1">IFERROR(__xludf.DUMMYFUNCTION("""COMPUTED_VALUE"""),"XZrafMxPQWmBGPr9aS4Y.Q")</f>
        <v>XZrafMxPQWmBGPr9aS4Y.Q</v>
      </c>
      <c r="AA200" s="5"/>
      <c r="AB200" s="5"/>
      <c r="AC200" s="5"/>
      <c r="AD200" s="5">
        <f ca="1">IFERROR(__xludf.DUMMYFUNCTION("""COMPUTED_VALUE"""),14)</f>
        <v>14</v>
      </c>
      <c r="AE200" s="5">
        <f ca="1">IFERROR(__xludf.DUMMYFUNCTION("""COMPUTED_VALUE"""),0)</f>
        <v>0</v>
      </c>
      <c r="AF200" s="5" t="b">
        <f ca="1">IFERROR(__xludf.DUMMYFUNCTION("""COMPUTED_VALUE"""),TRUE)</f>
        <v>1</v>
      </c>
      <c r="AG200" s="5" t="str">
        <f ca="1">IFERROR(__xludf.DUMMYFUNCTION("""COMPUTED_VALUE"""),"INSPECCIONES SIN REALIZAR")</f>
        <v>INSPECCIONES SIN REALIZAR</v>
      </c>
      <c r="AH200" s="5"/>
    </row>
    <row r="201" spans="1:34">
      <c r="A201" s="5" t="str">
        <f ca="1">IFERROR(__xludf.DUMMYFUNCTION("""COMPUTED_VALUE"""),"LINEA DE ENVASADO JUGOS PET HOT FILL")</f>
        <v>LINEA DE ENVASADO JUGOS PET HOT FILL</v>
      </c>
      <c r="B201" s="5">
        <f ca="1">IFERROR(__xludf.DUMMYFUNCTION("""COMPUTED_VALUE"""),82964103)</f>
        <v>82964103</v>
      </c>
      <c r="C201" s="5" t="str">
        <f ca="1">IFERROR(__xludf.DUMMYFUNCTION("""COMPUTED_VALUE"""),"CODIFICADOR LASER")</f>
        <v>CODIFICADOR LASER</v>
      </c>
      <c r="D201" s="5">
        <f ca="1">IFERROR(__xludf.DUMMYFUNCTION("""COMPUTED_VALUE"""),13247748)</f>
        <v>13247748</v>
      </c>
      <c r="E201" s="5" t="str">
        <f ca="1">IFERROR(__xludf.DUMMYFUNCTION("""COMPUTED_VALUE"""),"INSPECCION SEMANAL Codificador Laser")</f>
        <v>INSPECCION SEMANAL Codificador Laser</v>
      </c>
      <c r="F201" s="5" t="str">
        <f ca="1">IFERROR(__xludf.DUMMYFUNCTION("""COMPUTED_VALUE"""),"REVISION FUNCIONAMIENTO")</f>
        <v>REVISION FUNCIONAMIENTO</v>
      </c>
      <c r="G201" s="5"/>
      <c r="H201" s="5"/>
      <c r="I201" s="5"/>
      <c r="J201" s="5"/>
      <c r="K201" s="5"/>
      <c r="L201" s="18">
        <f ca="1">IFERROR(__xludf.DUMMYFUNCTION("""COMPUTED_VALUE"""),45324)</f>
        <v>45324</v>
      </c>
      <c r="M201" s="18">
        <f ca="1">IFERROR(__xludf.DUMMYFUNCTION("""COMPUTED_VALUE"""),45324)</f>
        <v>45324</v>
      </c>
      <c r="N201" s="5" t="str">
        <f ca="1">IFERROR(__xludf.DUMMYFUNCTION("""COMPUTED_VALUE"""),"Álvaro Celeita Muñoz")</f>
        <v>Álvaro Celeita Muñoz</v>
      </c>
      <c r="O201" s="2">
        <f ca="1">IFERROR(__xludf.DUMMYFUNCTION("""COMPUTED_VALUE"""),0.014285714)</f>
        <v>1.4285714E-2</v>
      </c>
      <c r="P201" s="5"/>
      <c r="Q201" s="5" t="str">
        <f ca="1">IFERROR(__xludf.DUMMYFUNCTION("""COMPUTED_VALUE"""),"77a-B3jVg9Q")</f>
        <v>77a-B3jVg9Q</v>
      </c>
      <c r="R201" s="5">
        <f ca="1">IFERROR(__xludf.DUMMYFUNCTION("""COMPUTED_VALUE"""),410)</f>
        <v>410</v>
      </c>
      <c r="S201" s="62">
        <f ca="1">IFERROR(__xludf.DUMMYFUNCTION("""COMPUTED_VALUE"""),0.014285714)</f>
        <v>1.4285714E-2</v>
      </c>
      <c r="T201" s="63" t="str">
        <f ca="1">IFERROR(__xludf.DUMMYFUNCTION("""COMPUTED_VALUE"""),"https://storage.googleapis.com/glide-prod.appspot.com/uploads-v2/ly7o78grxPaC6KdgvbpS/pub/UliJWgpEaBovaFmXi6OW.png")</f>
        <v>https://storage.googleapis.com/glide-prod.appspot.com/uploads-v2/ly7o78grxPaC6KdgvbpS/pub/UliJWgpEaBovaFmXi6OW.png</v>
      </c>
      <c r="U201" s="5" t="str">
        <f ca="1">IFERROR(__xludf.DUMMYFUNCTION("""COMPUTED_VALUE"""),"LINEA DE ENVASADO JUGOS PET HOT FILLCODIFICADOR LASER")</f>
        <v>LINEA DE ENVASADO JUGOS PET HOT FILLCODIFICADOR LASER</v>
      </c>
      <c r="V201" s="5"/>
      <c r="W201" s="5"/>
      <c r="X201" s="5" t="str">
        <f ca="1">IFERROR(__xludf.DUMMYFUNCTION("""COMPUTED_VALUE"""),"achavezi@postobon.com.co,aprmttoyu@postobon.com.co,aprmyu@postobon.com.co,wmora@postobon.com.co,efzapata@postobon.com.co")</f>
        <v>achavezi@postobon.com.co,aprmttoyu@postobon.com.co,aprmyu@postobon.com.co,wmora@postobon.com.co,efzapata@postobon.com.co</v>
      </c>
      <c r="Y201" s="5" t="str">
        <f ca="1">IFERROR(__xludf.DUMMYFUNCTION("""COMPUTED_VALUE"""),"achavezi@postobon.com.co")</f>
        <v>achavezi@postobon.com.co</v>
      </c>
      <c r="Z201" s="5" t="str">
        <f ca="1">IFERROR(__xludf.DUMMYFUNCTION("""COMPUTED_VALUE"""),"vGSscf1.S5-Aq.05Ib-zpA")</f>
        <v>vGSscf1.S5-Aq.05Ib-zpA</v>
      </c>
      <c r="AA201" s="5"/>
      <c r="AB201" s="5"/>
      <c r="AC201" s="5"/>
      <c r="AD201" s="5">
        <f ca="1">IFERROR(__xludf.DUMMYFUNCTION("""COMPUTED_VALUE"""),14)</f>
        <v>14</v>
      </c>
      <c r="AE201" s="5">
        <f ca="1">IFERROR(__xludf.DUMMYFUNCTION("""COMPUTED_VALUE"""),0)</f>
        <v>0</v>
      </c>
      <c r="AF201" s="5" t="b">
        <f ca="1">IFERROR(__xludf.DUMMYFUNCTION("""COMPUTED_VALUE"""),TRUE)</f>
        <v>1</v>
      </c>
      <c r="AG201" s="5" t="str">
        <f ca="1">IFERROR(__xludf.DUMMYFUNCTION("""COMPUTED_VALUE"""),"INSPECCIONES SIN REALIZAR")</f>
        <v>INSPECCIONES SIN REALIZAR</v>
      </c>
      <c r="AH201" s="5"/>
    </row>
    <row r="202" spans="1:34">
      <c r="A202" s="5" t="str">
        <f ca="1">IFERROR(__xludf.DUMMYFUNCTION("""COMPUTED_VALUE"""),"LINEA DE ENVASADO JUGOS PET HOT FILL")</f>
        <v>LINEA DE ENVASADO JUGOS PET HOT FILL</v>
      </c>
      <c r="B202" s="5">
        <f ca="1">IFERROR(__xludf.DUMMYFUNCTION("""COMPUTED_VALUE"""),82964103)</f>
        <v>82964103</v>
      </c>
      <c r="C202" s="5" t="str">
        <f ca="1">IFERROR(__xludf.DUMMYFUNCTION("""COMPUTED_VALUE"""),"CODIFICADOR LASER")</f>
        <v>CODIFICADOR LASER</v>
      </c>
      <c r="D202" s="5">
        <f ca="1">IFERROR(__xludf.DUMMYFUNCTION("""COMPUTED_VALUE"""),13247748)</f>
        <v>13247748</v>
      </c>
      <c r="E202" s="5" t="str">
        <f ca="1">IFERROR(__xludf.DUMMYFUNCTION("""COMPUTED_VALUE"""),"INSPECCION SEMANAL Codificador Laser")</f>
        <v>INSPECCION SEMANAL Codificador Laser</v>
      </c>
      <c r="F202" s="5" t="str">
        <f ca="1">IFERROR(__xludf.DUMMYFUNCTION("""COMPUTED_VALUE"""),"INSPECCION FILTROS AIRE")</f>
        <v>INSPECCION FILTROS AIRE</v>
      </c>
      <c r="G202" s="5"/>
      <c r="H202" s="5"/>
      <c r="I202" s="5"/>
      <c r="J202" s="5"/>
      <c r="K202" s="5"/>
      <c r="L202" s="18">
        <f ca="1">IFERROR(__xludf.DUMMYFUNCTION("""COMPUTED_VALUE"""),45324)</f>
        <v>45324</v>
      </c>
      <c r="M202" s="18">
        <f ca="1">IFERROR(__xludf.DUMMYFUNCTION("""COMPUTED_VALUE"""),45324)</f>
        <v>45324</v>
      </c>
      <c r="N202" s="5" t="str">
        <f ca="1">IFERROR(__xludf.DUMMYFUNCTION("""COMPUTED_VALUE"""),"Álvaro Celeita Muñoz")</f>
        <v>Álvaro Celeita Muñoz</v>
      </c>
      <c r="O202" s="2">
        <f ca="1">IFERROR(__xludf.DUMMYFUNCTION("""COMPUTED_VALUE"""),0.014285714)</f>
        <v>1.4285714E-2</v>
      </c>
      <c r="P202" s="5"/>
      <c r="Q202" s="5" t="str">
        <f ca="1">IFERROR(__xludf.DUMMYFUNCTION("""COMPUTED_VALUE"""),"cNzxbjM-jUM")</f>
        <v>cNzxbjM-jUM</v>
      </c>
      <c r="R202" s="5">
        <f ca="1">IFERROR(__xludf.DUMMYFUNCTION("""COMPUTED_VALUE"""),410)</f>
        <v>410</v>
      </c>
      <c r="S202" s="62">
        <f ca="1">IFERROR(__xludf.DUMMYFUNCTION("""COMPUTED_VALUE"""),0.014285714)</f>
        <v>1.4285714E-2</v>
      </c>
      <c r="T202" s="63" t="str">
        <f ca="1">IFERROR(__xludf.DUMMYFUNCTION("""COMPUTED_VALUE"""),"https://storage.googleapis.com/glide-prod.appspot.com/uploads-v2/ly7o78grxPaC6KdgvbpS/pub/UliJWgpEaBovaFmXi6OW.png")</f>
        <v>https://storage.googleapis.com/glide-prod.appspot.com/uploads-v2/ly7o78grxPaC6KdgvbpS/pub/UliJWgpEaBovaFmXi6OW.png</v>
      </c>
      <c r="U202" s="5" t="str">
        <f ca="1">IFERROR(__xludf.DUMMYFUNCTION("""COMPUTED_VALUE"""),"LINEA DE ENVASADO JUGOS PET HOT FILLCODIFICADOR LASER")</f>
        <v>LINEA DE ENVASADO JUGOS PET HOT FILLCODIFICADOR LASER</v>
      </c>
      <c r="V202" s="5"/>
      <c r="W202" s="5"/>
      <c r="X202" s="5" t="str">
        <f ca="1">IFERROR(__xludf.DUMMYFUNCTION("""COMPUTED_VALUE"""),"achavezi@postobon.com.co,aprmttoyu@postobon.com.co,aprmyu@postobon.com.co,wmora@postobon.com.co,efzapata@postobon.com.co")</f>
        <v>achavezi@postobon.com.co,aprmttoyu@postobon.com.co,aprmyu@postobon.com.co,wmora@postobon.com.co,efzapata@postobon.com.co</v>
      </c>
      <c r="Y202" s="5" t="str">
        <f ca="1">IFERROR(__xludf.DUMMYFUNCTION("""COMPUTED_VALUE"""),"achavezi@postobon.com.co")</f>
        <v>achavezi@postobon.com.co</v>
      </c>
      <c r="Z202" s="5" t="str">
        <f ca="1">IFERROR(__xludf.DUMMYFUNCTION("""COMPUTED_VALUE"""),"EgcvpL0pScqjws9ovDS54A")</f>
        <v>EgcvpL0pScqjws9ovDS54A</v>
      </c>
      <c r="AA202" s="5"/>
      <c r="AB202" s="5"/>
      <c r="AC202" s="5"/>
      <c r="AD202" s="5">
        <f ca="1">IFERROR(__xludf.DUMMYFUNCTION("""COMPUTED_VALUE"""),14)</f>
        <v>14</v>
      </c>
      <c r="AE202" s="5">
        <f ca="1">IFERROR(__xludf.DUMMYFUNCTION("""COMPUTED_VALUE"""),0)</f>
        <v>0</v>
      </c>
      <c r="AF202" s="5" t="b">
        <f ca="1">IFERROR(__xludf.DUMMYFUNCTION("""COMPUTED_VALUE"""),TRUE)</f>
        <v>1</v>
      </c>
      <c r="AG202" s="5" t="str">
        <f ca="1">IFERROR(__xludf.DUMMYFUNCTION("""COMPUTED_VALUE"""),"INSPECCIONES SIN REALIZAR")</f>
        <v>INSPECCIONES SIN REALIZAR</v>
      </c>
      <c r="AH202" s="5"/>
    </row>
    <row r="203" spans="1:34">
      <c r="A203" s="5" t="str">
        <f ca="1">IFERROR(__xludf.DUMMYFUNCTION("""COMPUTED_VALUE"""),"LINEA DE ENVASADO JUGOS PET HOT FILL")</f>
        <v>LINEA DE ENVASADO JUGOS PET HOT FILL</v>
      </c>
      <c r="B203" s="5">
        <f ca="1">IFERROR(__xludf.DUMMYFUNCTION("""COMPUTED_VALUE"""),82964103)</f>
        <v>82964103</v>
      </c>
      <c r="C203" s="5" t="str">
        <f ca="1">IFERROR(__xludf.DUMMYFUNCTION("""COMPUTED_VALUE"""),"CODIFICADOR LASER")</f>
        <v>CODIFICADOR LASER</v>
      </c>
      <c r="D203" s="5">
        <f ca="1">IFERROR(__xludf.DUMMYFUNCTION("""COMPUTED_VALUE"""),13247748)</f>
        <v>13247748</v>
      </c>
      <c r="E203" s="5" t="str">
        <f ca="1">IFERROR(__xludf.DUMMYFUNCTION("""COMPUTED_VALUE"""),"INSPECCION SEMANAL Codificador Laser")</f>
        <v>INSPECCION SEMANAL Codificador Laser</v>
      </c>
      <c r="F203" s="5" t="str">
        <f ca="1">IFERROR(__xludf.DUMMYFUNCTION("""COMPUTED_VALUE"""),"INSPECCION LENTE")</f>
        <v>INSPECCION LENTE</v>
      </c>
      <c r="G203" s="5"/>
      <c r="H203" s="5"/>
      <c r="I203" s="5"/>
      <c r="J203" s="5"/>
      <c r="K203" s="5"/>
      <c r="L203" s="18">
        <f ca="1">IFERROR(__xludf.DUMMYFUNCTION("""COMPUTED_VALUE"""),45324)</f>
        <v>45324</v>
      </c>
      <c r="M203" s="18">
        <f ca="1">IFERROR(__xludf.DUMMYFUNCTION("""COMPUTED_VALUE"""),45324)</f>
        <v>45324</v>
      </c>
      <c r="N203" s="5" t="str">
        <f ca="1">IFERROR(__xludf.DUMMYFUNCTION("""COMPUTED_VALUE"""),"Álvaro Celeita Muñoz")</f>
        <v>Álvaro Celeita Muñoz</v>
      </c>
      <c r="O203" s="2">
        <f ca="1">IFERROR(__xludf.DUMMYFUNCTION("""COMPUTED_VALUE"""),0.014285714)</f>
        <v>1.4285714E-2</v>
      </c>
      <c r="P203" s="5"/>
      <c r="Q203" s="5" t="str">
        <f ca="1">IFERROR(__xludf.DUMMYFUNCTION("""COMPUTED_VALUE"""),"dBzr9MNms4I")</f>
        <v>dBzr9MNms4I</v>
      </c>
      <c r="R203" s="5">
        <f ca="1">IFERROR(__xludf.DUMMYFUNCTION("""COMPUTED_VALUE"""),410)</f>
        <v>410</v>
      </c>
      <c r="S203" s="62">
        <f ca="1">IFERROR(__xludf.DUMMYFUNCTION("""COMPUTED_VALUE"""),0.014285714)</f>
        <v>1.4285714E-2</v>
      </c>
      <c r="T203" s="63" t="str">
        <f ca="1">IFERROR(__xludf.DUMMYFUNCTION("""COMPUTED_VALUE"""),"https://storage.googleapis.com/glide-prod.appspot.com/uploads-v2/ly7o78grxPaC6KdgvbpS/pub/UliJWgpEaBovaFmXi6OW.png")</f>
        <v>https://storage.googleapis.com/glide-prod.appspot.com/uploads-v2/ly7o78grxPaC6KdgvbpS/pub/UliJWgpEaBovaFmXi6OW.png</v>
      </c>
      <c r="U203" s="5" t="str">
        <f ca="1">IFERROR(__xludf.DUMMYFUNCTION("""COMPUTED_VALUE"""),"LINEA DE ENVASADO JUGOS PET HOT FILLCODIFICADOR LASER")</f>
        <v>LINEA DE ENVASADO JUGOS PET HOT FILLCODIFICADOR LASER</v>
      </c>
      <c r="V203" s="5"/>
      <c r="W203" s="5"/>
      <c r="X203" s="5" t="str">
        <f ca="1">IFERROR(__xludf.DUMMYFUNCTION("""COMPUTED_VALUE"""),"achavezi@postobon.com.co,aprmttoyu@postobon.com.co,aprmyu@postobon.com.co,wmora@postobon.com.co,efzapata@postobon.com.co")</f>
        <v>achavezi@postobon.com.co,aprmttoyu@postobon.com.co,aprmyu@postobon.com.co,wmora@postobon.com.co,efzapata@postobon.com.co</v>
      </c>
      <c r="Y203" s="5" t="str">
        <f ca="1">IFERROR(__xludf.DUMMYFUNCTION("""COMPUTED_VALUE"""),"achavezi@postobon.com.co")</f>
        <v>achavezi@postobon.com.co</v>
      </c>
      <c r="Z203" s="5" t="str">
        <f ca="1">IFERROR(__xludf.DUMMYFUNCTION("""COMPUTED_VALUE"""),"TxgYvmEqTgejERriVCDvGw")</f>
        <v>TxgYvmEqTgejERriVCDvGw</v>
      </c>
      <c r="AA203" s="5"/>
      <c r="AB203" s="5"/>
      <c r="AC203" s="5"/>
      <c r="AD203" s="5">
        <f ca="1">IFERROR(__xludf.DUMMYFUNCTION("""COMPUTED_VALUE"""),14)</f>
        <v>14</v>
      </c>
      <c r="AE203" s="5">
        <f ca="1">IFERROR(__xludf.DUMMYFUNCTION("""COMPUTED_VALUE"""),0)</f>
        <v>0</v>
      </c>
      <c r="AF203" s="5" t="b">
        <f ca="1">IFERROR(__xludf.DUMMYFUNCTION("""COMPUTED_VALUE"""),TRUE)</f>
        <v>1</v>
      </c>
      <c r="AG203" s="5" t="str">
        <f ca="1">IFERROR(__xludf.DUMMYFUNCTION("""COMPUTED_VALUE"""),"INSPECCIONES SIN REALIZAR")</f>
        <v>INSPECCIONES SIN REALIZAR</v>
      </c>
      <c r="AH203" s="5"/>
    </row>
    <row r="204" spans="1:34">
      <c r="A204" s="5" t="str">
        <f ca="1">IFERROR(__xludf.DUMMYFUNCTION("""COMPUTED_VALUE"""),"LINEA DE ENVASADO PET NO RETORNABLE")</f>
        <v>LINEA DE ENVASADO PET NO RETORNABLE</v>
      </c>
      <c r="B204" s="5">
        <f ca="1">IFERROR(__xludf.DUMMYFUNCTION("""COMPUTED_VALUE"""),82964102)</f>
        <v>82964102</v>
      </c>
      <c r="C204" s="5" t="str">
        <f ca="1">IFERROR(__xludf.DUMMYFUNCTION("""COMPUTED_VALUE"""),"CODIFICADOR LASER")</f>
        <v>CODIFICADOR LASER</v>
      </c>
      <c r="D204" s="5">
        <f ca="1">IFERROR(__xludf.DUMMYFUNCTION("""COMPUTED_VALUE"""),13247816)</f>
        <v>13247816</v>
      </c>
      <c r="E204" s="5" t="str">
        <f ca="1">IFERROR(__xludf.DUMMYFUNCTION("""COMPUTED_VALUE"""),"INSPECCION SEMANAL CODIFICADOR LASER")</f>
        <v>INSPECCION SEMANAL CODIFICADOR LASER</v>
      </c>
      <c r="F204" s="5" t="str">
        <f ca="1">IFERROR(__xludf.DUMMYFUNCTION("""COMPUTED_VALUE"""),"REVISION FUNCIONAMIENTO")</f>
        <v>REVISION FUNCIONAMIENTO</v>
      </c>
      <c r="G204" s="5" t="b">
        <f ca="1">IFERROR(__xludf.DUMMYFUNCTION("""COMPUTED_VALUE"""),TRUE)</f>
        <v>1</v>
      </c>
      <c r="H204" s="5" t="str">
        <f ca="1">IFERROR(__xludf.DUMMYFUNCTION("""COMPUTED_VALUE"""),"Equipo fuera de Trabajo. Actualmente se esta trabajando con el codificador de Tinta.")</f>
        <v>Equipo fuera de Trabajo. Actualmente se esta trabajando con el codificador de Tinta.</v>
      </c>
      <c r="I204" s="5"/>
      <c r="J204" s="5">
        <f ca="1">IFERROR(__xludf.DUMMYFUNCTION("""COMPUTED_VALUE"""),13247816)</f>
        <v>13247816</v>
      </c>
      <c r="K204" s="5"/>
      <c r="L204" s="18">
        <f ca="1">IFERROR(__xludf.DUMMYFUNCTION("""COMPUTED_VALUE"""),45325)</f>
        <v>45325</v>
      </c>
      <c r="M204" s="18">
        <f ca="1">IFERROR(__xludf.DUMMYFUNCTION("""COMPUTED_VALUE"""),45325)</f>
        <v>45325</v>
      </c>
      <c r="N204" s="5" t="str">
        <f ca="1">IFERROR(__xludf.DUMMYFUNCTION("""COMPUTED_VALUE"""),"Peña Quiñonez Andres Gilberto")</f>
        <v>Peña Quiñonez Andres Gilberto</v>
      </c>
      <c r="O204" s="2">
        <f ca="1">IFERROR(__xludf.DUMMYFUNCTION("""COMPUTED_VALUE"""),0.033333333)</f>
        <v>3.3333333E-2</v>
      </c>
      <c r="P204" s="5">
        <f ca="1">IFERROR(__xludf.DUMMYFUNCTION("""COMPUTED_VALUE"""),20010079)</f>
        <v>20010079</v>
      </c>
      <c r="Q204" s="5" t="str">
        <f ca="1">IFERROR(__xludf.DUMMYFUNCTION("""COMPUTED_VALUE"""),"mZoHJMwXc4A")</f>
        <v>mZoHJMwXc4A</v>
      </c>
      <c r="R204" s="5">
        <f ca="1">IFERROR(__xludf.DUMMYFUNCTION("""COMPUTED_VALUE"""),410)</f>
        <v>410</v>
      </c>
      <c r="S204" s="62">
        <f ca="1">IFERROR(__xludf.DUMMYFUNCTION("""COMPUTED_VALUE"""),0.033333333)</f>
        <v>3.3333333E-2</v>
      </c>
      <c r="T204" s="63" t="str">
        <f ca="1">IFERROR(__xludf.DUMMYFUNCTION("""COMPUTED_VALUE"""),"https://storage.googleapis.com/glide-prod.appspot.com/uploads-v2/ly7o78grxPaC6KdgvbpS/pub/3aRdSog0vUtuqPE8AJKD.png")</f>
        <v>https://storage.googleapis.com/glide-prod.appspot.com/uploads-v2/ly7o78grxPaC6KdgvbpS/pub/3aRdSog0vUtuqPE8AJKD.png</v>
      </c>
      <c r="U204" s="5" t="str">
        <f ca="1">IFERROR(__xludf.DUMMYFUNCTION("""COMPUTED_VALUE"""),"LINEA DE ENVASADO PET NO RETORNABLECODIFICADOR LASER")</f>
        <v>LINEA DE ENVASADO PET NO RETORNABLECODIFICADOR LASER</v>
      </c>
      <c r="V204" s="5"/>
      <c r="W204" s="5" t="b">
        <f ca="1">IFERROR(__xludf.DUMMYFUNCTION("""COMPUTED_VALUE"""),TRUE)</f>
        <v>1</v>
      </c>
      <c r="X204" s="5" t="str">
        <f ca="1">IFERROR(__xludf.DUMMYFUNCTION("""COMPUTED_VALUE"""),"wguerra@postobon.com.co,aprmttoyu@postobon.com.co,aprmyu@postobon.com.co,wmora@postobon.com.co,efzapata@postobon.com.co")</f>
        <v>wguerra@postobon.com.co,aprmttoyu@postobon.com.co,aprmyu@postobon.com.co,wmora@postobon.com.co,efzapata@postobon.com.co</v>
      </c>
      <c r="Y204" s="5" t="str">
        <f ca="1">IFERROR(__xludf.DUMMYFUNCTION("""COMPUTED_VALUE"""),"wguerra@postobon.com.co")</f>
        <v>wguerra@postobon.com.co</v>
      </c>
      <c r="Z204" s="5" t="str">
        <f ca="1">IFERROR(__xludf.DUMMYFUNCTION("""COMPUTED_VALUE"""),"r3wp8kWUTzWIo75j6ZmqZA")</f>
        <v>r3wp8kWUTzWIo75j6ZmqZA</v>
      </c>
      <c r="AA204" s="63" t="str">
        <f ca="1">IFERROR(__xludf.DUMMYFUNCTION("""COMPUTED_VALUE"""),"https://storage.googleapis.com/glide-prod.appspot.com/uploads-v2/ly7o78grxPaC6KdgvbpS/pub/09YP5jCLFLYZguHEFFR3.jpg")</f>
        <v>https://storage.googleapis.com/glide-prod.appspot.com/uploads-v2/ly7o78grxPaC6KdgvbpS/pub/09YP5jCLFLYZguHEFFR3.jpg</v>
      </c>
      <c r="AB204" s="5"/>
      <c r="AC204" s="5"/>
      <c r="AD204" s="5">
        <f ca="1">IFERROR(__xludf.DUMMYFUNCTION("""COMPUTED_VALUE"""),3)</f>
        <v>3</v>
      </c>
      <c r="AE204" s="5">
        <f ca="1">IFERROR(__xludf.DUMMYFUNCTION("""COMPUTED_VALUE"""),3)</f>
        <v>3</v>
      </c>
      <c r="AF204" s="5" t="b">
        <f ca="1">IFERROR(__xludf.DUMMYFUNCTION("""COMPUTED_VALUE"""),FALSE)</f>
        <v>0</v>
      </c>
      <c r="AG204" s="5" t="str">
        <f ca="1">IFERROR(__xludf.DUMMYFUNCTION("""COMPUTED_VALUE"""),"INSPECCIONES REALIZADAS")</f>
        <v>INSPECCIONES REALIZADAS</v>
      </c>
      <c r="AH204" s="5"/>
    </row>
    <row r="205" spans="1:34">
      <c r="A205" s="5" t="str">
        <f ca="1">IFERROR(__xludf.DUMMYFUNCTION("""COMPUTED_VALUE"""),"LINEA DE ENVASADO PET NO RETORNABLE")</f>
        <v>LINEA DE ENVASADO PET NO RETORNABLE</v>
      </c>
      <c r="B205" s="5">
        <f ca="1">IFERROR(__xludf.DUMMYFUNCTION("""COMPUTED_VALUE"""),82964102)</f>
        <v>82964102</v>
      </c>
      <c r="C205" s="5" t="str">
        <f ca="1">IFERROR(__xludf.DUMMYFUNCTION("""COMPUTED_VALUE"""),"CODIFICADOR LASER")</f>
        <v>CODIFICADOR LASER</v>
      </c>
      <c r="D205" s="5">
        <f ca="1">IFERROR(__xludf.DUMMYFUNCTION("""COMPUTED_VALUE"""),13247816)</f>
        <v>13247816</v>
      </c>
      <c r="E205" s="5" t="str">
        <f ca="1">IFERROR(__xludf.DUMMYFUNCTION("""COMPUTED_VALUE"""),"INSPECCION SEMANAL CODIFICADOR LASER")</f>
        <v>INSPECCION SEMANAL CODIFICADOR LASER</v>
      </c>
      <c r="F205" s="5" t="str">
        <f ca="1">IFERROR(__xludf.DUMMYFUNCTION("""COMPUTED_VALUE"""),"INSPECCION FILTROS AIRE")</f>
        <v>INSPECCION FILTROS AIRE</v>
      </c>
      <c r="G205" s="5" t="b">
        <f ca="1">IFERROR(__xludf.DUMMYFUNCTION("""COMPUTED_VALUE"""),TRUE)</f>
        <v>1</v>
      </c>
      <c r="H205" s="5"/>
      <c r="I205" s="5"/>
      <c r="J205" s="5">
        <f ca="1">IFERROR(__xludf.DUMMYFUNCTION("""COMPUTED_VALUE"""),13247816)</f>
        <v>13247816</v>
      </c>
      <c r="K205" s="5"/>
      <c r="L205" s="18">
        <f ca="1">IFERROR(__xludf.DUMMYFUNCTION("""COMPUTED_VALUE"""),45325)</f>
        <v>45325</v>
      </c>
      <c r="M205" s="18">
        <f ca="1">IFERROR(__xludf.DUMMYFUNCTION("""COMPUTED_VALUE"""),45325)</f>
        <v>45325</v>
      </c>
      <c r="N205" s="5" t="str">
        <f ca="1">IFERROR(__xludf.DUMMYFUNCTION("""COMPUTED_VALUE"""),"Peña Quiñonez Andres Gilberto")</f>
        <v>Peña Quiñonez Andres Gilberto</v>
      </c>
      <c r="O205" s="2">
        <f ca="1">IFERROR(__xludf.DUMMYFUNCTION("""COMPUTED_VALUE"""),0.033333333)</f>
        <v>3.3333333E-2</v>
      </c>
      <c r="P205" s="5">
        <f ca="1">IFERROR(__xludf.DUMMYFUNCTION("""COMPUTED_VALUE"""),20010079)</f>
        <v>20010079</v>
      </c>
      <c r="Q205" s="5" t="str">
        <f ca="1">IFERROR(__xludf.DUMMYFUNCTION("""COMPUTED_VALUE"""),"Dhq7btbnkjU")</f>
        <v>Dhq7btbnkjU</v>
      </c>
      <c r="R205" s="5">
        <f ca="1">IFERROR(__xludf.DUMMYFUNCTION("""COMPUTED_VALUE"""),410)</f>
        <v>410</v>
      </c>
      <c r="S205" s="62">
        <f ca="1">IFERROR(__xludf.DUMMYFUNCTION("""COMPUTED_VALUE"""),0.033333333)</f>
        <v>3.3333333E-2</v>
      </c>
      <c r="T205" s="63" t="str">
        <f ca="1">IFERROR(__xludf.DUMMYFUNCTION("""COMPUTED_VALUE"""),"https://storage.googleapis.com/glide-prod.appspot.com/uploads-v2/ly7o78grxPaC6KdgvbpS/pub/3aRdSog0vUtuqPE8AJKD.png")</f>
        <v>https://storage.googleapis.com/glide-prod.appspot.com/uploads-v2/ly7o78grxPaC6KdgvbpS/pub/3aRdSog0vUtuqPE8AJKD.png</v>
      </c>
      <c r="U205" s="5" t="str">
        <f ca="1">IFERROR(__xludf.DUMMYFUNCTION("""COMPUTED_VALUE"""),"LINEA DE ENVASADO PET NO RETORNABLECODIFICADOR LASER")</f>
        <v>LINEA DE ENVASADO PET NO RETORNABLECODIFICADOR LASER</v>
      </c>
      <c r="V205" s="5"/>
      <c r="W205" s="5" t="b">
        <f ca="1">IFERROR(__xludf.DUMMYFUNCTION("""COMPUTED_VALUE"""),TRUE)</f>
        <v>1</v>
      </c>
      <c r="X205" s="5" t="str">
        <f ca="1">IFERROR(__xludf.DUMMYFUNCTION("""COMPUTED_VALUE"""),"wguerra@postobon.com.co,aprmttoyu@postobon.com.co,aprmyu@postobon.com.co,wmora@postobon.com.co,efzapata@postobon.com.co")</f>
        <v>wguerra@postobon.com.co,aprmttoyu@postobon.com.co,aprmyu@postobon.com.co,wmora@postobon.com.co,efzapata@postobon.com.co</v>
      </c>
      <c r="Y205" s="5" t="str">
        <f ca="1">IFERROR(__xludf.DUMMYFUNCTION("""COMPUTED_VALUE"""),"wguerra@postobon.com.co")</f>
        <v>wguerra@postobon.com.co</v>
      </c>
      <c r="Z205" s="5" t="str">
        <f ca="1">IFERROR(__xludf.DUMMYFUNCTION("""COMPUTED_VALUE"""),"huIprXaXQvet7IZ4Qo7sHg")</f>
        <v>huIprXaXQvet7IZ4Qo7sHg</v>
      </c>
      <c r="AA205" s="5"/>
      <c r="AB205" s="5"/>
      <c r="AC205" s="5"/>
      <c r="AD205" s="5">
        <f ca="1">IFERROR(__xludf.DUMMYFUNCTION("""COMPUTED_VALUE"""),3)</f>
        <v>3</v>
      </c>
      <c r="AE205" s="5">
        <f ca="1">IFERROR(__xludf.DUMMYFUNCTION("""COMPUTED_VALUE"""),3)</f>
        <v>3</v>
      </c>
      <c r="AF205" s="5" t="b">
        <f ca="1">IFERROR(__xludf.DUMMYFUNCTION("""COMPUTED_VALUE"""),FALSE)</f>
        <v>0</v>
      </c>
      <c r="AG205" s="5" t="str">
        <f ca="1">IFERROR(__xludf.DUMMYFUNCTION("""COMPUTED_VALUE"""),"INSPECCIONES REALIZADAS")</f>
        <v>INSPECCIONES REALIZADAS</v>
      </c>
      <c r="AH205" s="5"/>
    </row>
    <row r="206" spans="1:34">
      <c r="A206" s="5" t="str">
        <f ca="1">IFERROR(__xludf.DUMMYFUNCTION("""COMPUTED_VALUE"""),"LINEA DE ENVASADO PET NO RETORNABLE")</f>
        <v>LINEA DE ENVASADO PET NO RETORNABLE</v>
      </c>
      <c r="B206" s="5">
        <f ca="1">IFERROR(__xludf.DUMMYFUNCTION("""COMPUTED_VALUE"""),82964102)</f>
        <v>82964102</v>
      </c>
      <c r="C206" s="5" t="str">
        <f ca="1">IFERROR(__xludf.DUMMYFUNCTION("""COMPUTED_VALUE"""),"CODIFICADOR LASER")</f>
        <v>CODIFICADOR LASER</v>
      </c>
      <c r="D206" s="5">
        <f ca="1">IFERROR(__xludf.DUMMYFUNCTION("""COMPUTED_VALUE"""),13247816)</f>
        <v>13247816</v>
      </c>
      <c r="E206" s="5" t="str">
        <f ca="1">IFERROR(__xludf.DUMMYFUNCTION("""COMPUTED_VALUE"""),"INSPECCION SEMANAL CODIFICADOR LASER")</f>
        <v>INSPECCION SEMANAL CODIFICADOR LASER</v>
      </c>
      <c r="F206" s="5" t="str">
        <f ca="1">IFERROR(__xludf.DUMMYFUNCTION("""COMPUTED_VALUE"""),"INSPECCION LENTE")</f>
        <v>INSPECCION LENTE</v>
      </c>
      <c r="G206" s="5" t="b">
        <f ca="1">IFERROR(__xludf.DUMMYFUNCTION("""COMPUTED_VALUE"""),TRUE)</f>
        <v>1</v>
      </c>
      <c r="H206" s="5"/>
      <c r="I206" s="5"/>
      <c r="J206" s="5">
        <f ca="1">IFERROR(__xludf.DUMMYFUNCTION("""COMPUTED_VALUE"""),13247816)</f>
        <v>13247816</v>
      </c>
      <c r="K206" s="5"/>
      <c r="L206" s="18">
        <f ca="1">IFERROR(__xludf.DUMMYFUNCTION("""COMPUTED_VALUE"""),45325)</f>
        <v>45325</v>
      </c>
      <c r="M206" s="18">
        <f ca="1">IFERROR(__xludf.DUMMYFUNCTION("""COMPUTED_VALUE"""),45325)</f>
        <v>45325</v>
      </c>
      <c r="N206" s="5" t="str">
        <f ca="1">IFERROR(__xludf.DUMMYFUNCTION("""COMPUTED_VALUE"""),"Peña Quiñonez Andres Gilberto")</f>
        <v>Peña Quiñonez Andres Gilberto</v>
      </c>
      <c r="O206" s="2">
        <f ca="1">IFERROR(__xludf.DUMMYFUNCTION("""COMPUTED_VALUE"""),0.033333333)</f>
        <v>3.3333333E-2</v>
      </c>
      <c r="P206" s="5">
        <f ca="1">IFERROR(__xludf.DUMMYFUNCTION("""COMPUTED_VALUE"""),20010079)</f>
        <v>20010079</v>
      </c>
      <c r="Q206" s="5" t="str">
        <f ca="1">IFERROR(__xludf.DUMMYFUNCTION("""COMPUTED_VALUE"""),"Nofk0xiux5k")</f>
        <v>Nofk0xiux5k</v>
      </c>
      <c r="R206" s="5">
        <f ca="1">IFERROR(__xludf.DUMMYFUNCTION("""COMPUTED_VALUE"""),410)</f>
        <v>410</v>
      </c>
      <c r="S206" s="62">
        <f ca="1">IFERROR(__xludf.DUMMYFUNCTION("""COMPUTED_VALUE"""),0.033333333)</f>
        <v>3.3333333E-2</v>
      </c>
      <c r="T206" s="63" t="str">
        <f ca="1">IFERROR(__xludf.DUMMYFUNCTION("""COMPUTED_VALUE"""),"https://storage.googleapis.com/glide-prod.appspot.com/uploads-v2/ly7o78grxPaC6KdgvbpS/pub/3aRdSog0vUtuqPE8AJKD.png")</f>
        <v>https://storage.googleapis.com/glide-prod.appspot.com/uploads-v2/ly7o78grxPaC6KdgvbpS/pub/3aRdSog0vUtuqPE8AJKD.png</v>
      </c>
      <c r="U206" s="5" t="str">
        <f ca="1">IFERROR(__xludf.DUMMYFUNCTION("""COMPUTED_VALUE"""),"LINEA DE ENVASADO PET NO RETORNABLECODIFICADOR LASER")</f>
        <v>LINEA DE ENVASADO PET NO RETORNABLECODIFICADOR LASER</v>
      </c>
      <c r="V206" s="5"/>
      <c r="W206" s="5" t="b">
        <f ca="1">IFERROR(__xludf.DUMMYFUNCTION("""COMPUTED_VALUE"""),TRUE)</f>
        <v>1</v>
      </c>
      <c r="X206" s="5" t="str">
        <f ca="1">IFERROR(__xludf.DUMMYFUNCTION("""COMPUTED_VALUE"""),"wguerra@postobon.com.co,aprmttoyu@postobon.com.co,aprmyu@postobon.com.co,wmora@postobon.com.co,efzapata@postobon.com.co")</f>
        <v>wguerra@postobon.com.co,aprmttoyu@postobon.com.co,aprmyu@postobon.com.co,wmora@postobon.com.co,efzapata@postobon.com.co</v>
      </c>
      <c r="Y206" s="5" t="str">
        <f ca="1">IFERROR(__xludf.DUMMYFUNCTION("""COMPUTED_VALUE"""),"wguerra@postobon.com.co")</f>
        <v>wguerra@postobon.com.co</v>
      </c>
      <c r="Z206" s="5" t="str">
        <f ca="1">IFERROR(__xludf.DUMMYFUNCTION("""COMPUTED_VALUE"""),"pHU3yXtuS3u7wWsfPTfh6A")</f>
        <v>pHU3yXtuS3u7wWsfPTfh6A</v>
      </c>
      <c r="AA206" s="5"/>
      <c r="AB206" s="5"/>
      <c r="AC206" s="5"/>
      <c r="AD206" s="5">
        <f ca="1">IFERROR(__xludf.DUMMYFUNCTION("""COMPUTED_VALUE"""),3)</f>
        <v>3</v>
      </c>
      <c r="AE206" s="5">
        <f ca="1">IFERROR(__xludf.DUMMYFUNCTION("""COMPUTED_VALUE"""),3)</f>
        <v>3</v>
      </c>
      <c r="AF206" s="5" t="b">
        <f ca="1">IFERROR(__xludf.DUMMYFUNCTION("""COMPUTED_VALUE"""),FALSE)</f>
        <v>0</v>
      </c>
      <c r="AG206" s="5" t="str">
        <f ca="1">IFERROR(__xludf.DUMMYFUNCTION("""COMPUTED_VALUE"""),"INSPECCIONES REALIZADAS")</f>
        <v>INSPECCIONES REALIZADAS</v>
      </c>
      <c r="AH206" s="5"/>
    </row>
    <row r="207" spans="1:34">
      <c r="A207" s="5" t="str">
        <f ca="1">IFERROR(__xludf.DUMMYFUNCTION("""COMPUTED_VALUE"""),"LINEA PET CSD - LINEA 10")</f>
        <v>LINEA PET CSD - LINEA 10</v>
      </c>
      <c r="B207" s="5">
        <f ca="1">IFERROR(__xludf.DUMMYFUNCTION("""COMPUTED_VALUE"""),589658)</f>
        <v>589658</v>
      </c>
      <c r="C207" s="5" t="str">
        <f ca="1">IFERROR(__xludf.DUMMYFUNCTION("""COMPUTED_VALUE"""),"CODIFICADOR LASER DE ENVASE")</f>
        <v>CODIFICADOR LASER DE ENVASE</v>
      </c>
      <c r="D207" s="5">
        <f ca="1">IFERROR(__xludf.DUMMYFUNCTION("""COMPUTED_VALUE"""),13247595)</f>
        <v>13247595</v>
      </c>
      <c r="E207" s="5" t="str">
        <f ca="1">IFERROR(__xludf.DUMMYFUNCTION("""COMPUTED_VALUE"""),"INSPECCION SEMANAL CODIFICADOR LASER DE")</f>
        <v>INSPECCION SEMANAL CODIFICADOR LASER DE</v>
      </c>
      <c r="F207" s="5" t="str">
        <f ca="1">IFERROR(__xludf.DUMMYFUNCTION("""COMPUTED_VALUE"""),"REVISION FUNCIONAMIENTO")</f>
        <v>REVISION FUNCIONAMIENTO</v>
      </c>
      <c r="G207" s="5" t="b">
        <f ca="1">IFERROR(__xludf.DUMMYFUNCTION("""COMPUTED_VALUE"""),TRUE)</f>
        <v>1</v>
      </c>
      <c r="H207" s="5"/>
      <c r="I207" s="5"/>
      <c r="J207" s="5">
        <f ca="1">IFERROR(__xludf.DUMMYFUNCTION("""COMPUTED_VALUE"""),13247595)</f>
        <v>13247595</v>
      </c>
      <c r="K207" s="5"/>
      <c r="L207" s="18">
        <f ca="1">IFERROR(__xludf.DUMMYFUNCTION("""COMPUTED_VALUE"""),45324)</f>
        <v>45324</v>
      </c>
      <c r="M207" s="18">
        <f ca="1">IFERROR(__xludf.DUMMYFUNCTION("""COMPUTED_VALUE"""),45324)</f>
        <v>45324</v>
      </c>
      <c r="N207" s="5" t="str">
        <f ca="1">IFERROR(__xludf.DUMMYFUNCTION("""COMPUTED_VALUE"""),"Bolaños Camacho Luis Miguel")</f>
        <v>Bolaños Camacho Luis Miguel</v>
      </c>
      <c r="O207" s="2">
        <f ca="1">IFERROR(__xludf.DUMMYFUNCTION("""COMPUTED_VALUE"""),0.033333333)</f>
        <v>3.3333333E-2</v>
      </c>
      <c r="P207" s="5">
        <f ca="1">IFERROR(__xludf.DUMMYFUNCTION("""COMPUTED_VALUE"""),20032893)</f>
        <v>20032893</v>
      </c>
      <c r="Q207" s="5" t="str">
        <f ca="1">IFERROR(__xludf.DUMMYFUNCTION("""COMPUTED_VALUE"""),"Hz2NlBx-MeA")</f>
        <v>Hz2NlBx-MeA</v>
      </c>
      <c r="R207" s="5">
        <f ca="1">IFERROR(__xludf.DUMMYFUNCTION("""COMPUTED_VALUE"""),410)</f>
        <v>410</v>
      </c>
      <c r="S207" s="62">
        <f ca="1">IFERROR(__xludf.DUMMYFUNCTION("""COMPUTED_VALUE"""),0.033333333)</f>
        <v>3.3333333E-2</v>
      </c>
      <c r="T207" s="63" t="str">
        <f ca="1">IFERROR(__xludf.DUMMYFUNCTION("""COMPUTED_VALUE"""),"https://storage.googleapis.com/glide-prod.appspot.com/uploads-v2/ly7o78grxPaC6KdgvbpS/pub/3aRdSog0vUtuqPE8AJKD.png")</f>
        <v>https://storage.googleapis.com/glide-prod.appspot.com/uploads-v2/ly7o78grxPaC6KdgvbpS/pub/3aRdSog0vUtuqPE8AJKD.png</v>
      </c>
      <c r="U207" s="5" t="str">
        <f ca="1">IFERROR(__xludf.DUMMYFUNCTION("""COMPUTED_VALUE"""),"LINEA PET CSD - LINEA 10CODIFICADOR LASER DE ENVASE")</f>
        <v>LINEA PET CSD - LINEA 10CODIFICADOR LASER DE ENVASE</v>
      </c>
      <c r="V207" s="5"/>
      <c r="W207" s="5" t="b">
        <f ca="1">IFERROR(__xludf.DUMMYFUNCTION("""COMPUTED_VALUE"""),TRUE)</f>
        <v>1</v>
      </c>
      <c r="X207" s="5" t="str">
        <f ca="1">IFERROR(__xludf.DUMMYFUNCTION("""COMPUTED_VALUE"""),"wmazorra@postobon.com.co,aprmttoyu@postobon.com.co,aprmyu@postobon.com.co,wmora@postobon.com.co,efzapata@postobon.com.co")</f>
        <v>wmazorra@postobon.com.co,aprmttoyu@postobon.com.co,aprmyu@postobon.com.co,wmora@postobon.com.co,efzapata@postobon.com.co</v>
      </c>
      <c r="Y207" s="5" t="str">
        <f ca="1">IFERROR(__xludf.DUMMYFUNCTION("""COMPUTED_VALUE"""),"wmazorra@postobon.com.co")</f>
        <v>wmazorra@postobon.com.co</v>
      </c>
      <c r="Z207" s="5" t="str">
        <f ca="1">IFERROR(__xludf.DUMMYFUNCTION("""COMPUTED_VALUE"""),"SCMGHlBKRjuB9qOdaoyklA")</f>
        <v>SCMGHlBKRjuB9qOdaoyklA</v>
      </c>
      <c r="AA207" s="5"/>
      <c r="AB207" s="5"/>
      <c r="AC207" s="5"/>
      <c r="AD207" s="5">
        <f ca="1">IFERROR(__xludf.DUMMYFUNCTION("""COMPUTED_VALUE"""),10)</f>
        <v>10</v>
      </c>
      <c r="AE207" s="5">
        <f ca="1">IFERROR(__xludf.DUMMYFUNCTION("""COMPUTED_VALUE"""),10)</f>
        <v>10</v>
      </c>
      <c r="AF207" s="5" t="b">
        <f ca="1">IFERROR(__xludf.DUMMYFUNCTION("""COMPUTED_VALUE"""),FALSE)</f>
        <v>0</v>
      </c>
      <c r="AG207" s="5" t="str">
        <f ca="1">IFERROR(__xludf.DUMMYFUNCTION("""COMPUTED_VALUE"""),"INSPECCIONES REALIZADAS")</f>
        <v>INSPECCIONES REALIZADAS</v>
      </c>
      <c r="AH207" s="5"/>
    </row>
    <row r="208" spans="1:34">
      <c r="A208" s="5" t="str">
        <f ca="1">IFERROR(__xludf.DUMMYFUNCTION("""COMPUTED_VALUE"""),"LINEA PET CSD - LINEA 10")</f>
        <v>LINEA PET CSD - LINEA 10</v>
      </c>
      <c r="B208" s="5">
        <f ca="1">IFERROR(__xludf.DUMMYFUNCTION("""COMPUTED_VALUE"""),589658)</f>
        <v>589658</v>
      </c>
      <c r="C208" s="5" t="str">
        <f ca="1">IFERROR(__xludf.DUMMYFUNCTION("""COMPUTED_VALUE"""),"CODIFICADOR LASER DE ENVASE")</f>
        <v>CODIFICADOR LASER DE ENVASE</v>
      </c>
      <c r="D208" s="5">
        <f ca="1">IFERROR(__xludf.DUMMYFUNCTION("""COMPUTED_VALUE"""),13247595)</f>
        <v>13247595</v>
      </c>
      <c r="E208" s="5" t="str">
        <f ca="1">IFERROR(__xludf.DUMMYFUNCTION("""COMPUTED_VALUE"""),"INSPECCION SEMANAL CODIFICADOR LASER DE")</f>
        <v>INSPECCION SEMANAL CODIFICADOR LASER DE</v>
      </c>
      <c r="F208" s="5" t="str">
        <f ca="1">IFERROR(__xludf.DUMMYFUNCTION("""COMPUTED_VALUE"""),"INSPECCION FILTROS AIRE")</f>
        <v>INSPECCION FILTROS AIRE</v>
      </c>
      <c r="G208" s="5" t="b">
        <f ca="1">IFERROR(__xludf.DUMMYFUNCTION("""COMPUTED_VALUE"""),TRUE)</f>
        <v>1</v>
      </c>
      <c r="H208" s="5"/>
      <c r="I208" s="5"/>
      <c r="J208" s="5">
        <f ca="1">IFERROR(__xludf.DUMMYFUNCTION("""COMPUTED_VALUE"""),13247595)</f>
        <v>13247595</v>
      </c>
      <c r="K208" s="5"/>
      <c r="L208" s="18">
        <f ca="1">IFERROR(__xludf.DUMMYFUNCTION("""COMPUTED_VALUE"""),45324)</f>
        <v>45324</v>
      </c>
      <c r="M208" s="18">
        <f ca="1">IFERROR(__xludf.DUMMYFUNCTION("""COMPUTED_VALUE"""),45324)</f>
        <v>45324</v>
      </c>
      <c r="N208" s="5" t="str">
        <f ca="1">IFERROR(__xludf.DUMMYFUNCTION("""COMPUTED_VALUE"""),"Bolaños Camacho Luis Miguel")</f>
        <v>Bolaños Camacho Luis Miguel</v>
      </c>
      <c r="O208" s="2">
        <f ca="1">IFERROR(__xludf.DUMMYFUNCTION("""COMPUTED_VALUE"""),0.033333333)</f>
        <v>3.3333333E-2</v>
      </c>
      <c r="P208" s="5">
        <f ca="1">IFERROR(__xludf.DUMMYFUNCTION("""COMPUTED_VALUE"""),20032893)</f>
        <v>20032893</v>
      </c>
      <c r="Q208" s="5" t="str">
        <f ca="1">IFERROR(__xludf.DUMMYFUNCTION("""COMPUTED_VALUE"""),"XM4OtNSj-bU")</f>
        <v>XM4OtNSj-bU</v>
      </c>
      <c r="R208" s="5">
        <f ca="1">IFERROR(__xludf.DUMMYFUNCTION("""COMPUTED_VALUE"""),410)</f>
        <v>410</v>
      </c>
      <c r="S208" s="62">
        <f ca="1">IFERROR(__xludf.DUMMYFUNCTION("""COMPUTED_VALUE"""),0.033333333)</f>
        <v>3.3333333E-2</v>
      </c>
      <c r="T208" s="63" t="str">
        <f ca="1">IFERROR(__xludf.DUMMYFUNCTION("""COMPUTED_VALUE"""),"https://storage.googleapis.com/glide-prod.appspot.com/uploads-v2/ly7o78grxPaC6KdgvbpS/pub/3aRdSog0vUtuqPE8AJKD.png")</f>
        <v>https://storage.googleapis.com/glide-prod.appspot.com/uploads-v2/ly7o78grxPaC6KdgvbpS/pub/3aRdSog0vUtuqPE8AJKD.png</v>
      </c>
      <c r="U208" s="5" t="str">
        <f ca="1">IFERROR(__xludf.DUMMYFUNCTION("""COMPUTED_VALUE"""),"LINEA PET CSD - LINEA 10CODIFICADOR LASER DE ENVASE")</f>
        <v>LINEA PET CSD - LINEA 10CODIFICADOR LASER DE ENVASE</v>
      </c>
      <c r="V208" s="5"/>
      <c r="W208" s="5" t="b">
        <f ca="1">IFERROR(__xludf.DUMMYFUNCTION("""COMPUTED_VALUE"""),TRUE)</f>
        <v>1</v>
      </c>
      <c r="X208" s="5" t="str">
        <f ca="1">IFERROR(__xludf.DUMMYFUNCTION("""COMPUTED_VALUE"""),"wmazorra@postobon.com.co,aprmttoyu@postobon.com.co,aprmyu@postobon.com.co,wmora@postobon.com.co,efzapata@postobon.com.co")</f>
        <v>wmazorra@postobon.com.co,aprmttoyu@postobon.com.co,aprmyu@postobon.com.co,wmora@postobon.com.co,efzapata@postobon.com.co</v>
      </c>
      <c r="Y208" s="5" t="str">
        <f ca="1">IFERROR(__xludf.DUMMYFUNCTION("""COMPUTED_VALUE"""),"wmazorra@postobon.com.co")</f>
        <v>wmazorra@postobon.com.co</v>
      </c>
      <c r="Z208" s="5" t="str">
        <f ca="1">IFERROR(__xludf.DUMMYFUNCTION("""COMPUTED_VALUE"""),"Zw07RMZkSNWEI6FQyQVmbQ")</f>
        <v>Zw07RMZkSNWEI6FQyQVmbQ</v>
      </c>
      <c r="AA208" s="5"/>
      <c r="AB208" s="5"/>
      <c r="AC208" s="5"/>
      <c r="AD208" s="5">
        <f ca="1">IFERROR(__xludf.DUMMYFUNCTION("""COMPUTED_VALUE"""),10)</f>
        <v>10</v>
      </c>
      <c r="AE208" s="5">
        <f ca="1">IFERROR(__xludf.DUMMYFUNCTION("""COMPUTED_VALUE"""),10)</f>
        <v>10</v>
      </c>
      <c r="AF208" s="5" t="b">
        <f ca="1">IFERROR(__xludf.DUMMYFUNCTION("""COMPUTED_VALUE"""),FALSE)</f>
        <v>0</v>
      </c>
      <c r="AG208" s="5" t="str">
        <f ca="1">IFERROR(__xludf.DUMMYFUNCTION("""COMPUTED_VALUE"""),"INSPECCIONES REALIZADAS")</f>
        <v>INSPECCIONES REALIZADAS</v>
      </c>
      <c r="AH208" s="5"/>
    </row>
    <row r="209" spans="1:34">
      <c r="A209" s="5" t="str">
        <f ca="1">IFERROR(__xludf.DUMMYFUNCTION("""COMPUTED_VALUE"""),"LINEA PET CSD - LINEA 10")</f>
        <v>LINEA PET CSD - LINEA 10</v>
      </c>
      <c r="B209" s="5">
        <f ca="1">IFERROR(__xludf.DUMMYFUNCTION("""COMPUTED_VALUE"""),589658)</f>
        <v>589658</v>
      </c>
      <c r="C209" s="5" t="str">
        <f ca="1">IFERROR(__xludf.DUMMYFUNCTION("""COMPUTED_VALUE"""),"CODIFICADOR LASER DE ENVASE")</f>
        <v>CODIFICADOR LASER DE ENVASE</v>
      </c>
      <c r="D209" s="5">
        <f ca="1">IFERROR(__xludf.DUMMYFUNCTION("""COMPUTED_VALUE"""),13247595)</f>
        <v>13247595</v>
      </c>
      <c r="E209" s="5" t="str">
        <f ca="1">IFERROR(__xludf.DUMMYFUNCTION("""COMPUTED_VALUE"""),"INSPECCION SEMANAL CODIFICADOR LASER DE")</f>
        <v>INSPECCION SEMANAL CODIFICADOR LASER DE</v>
      </c>
      <c r="F209" s="5" t="str">
        <f ca="1">IFERROR(__xludf.DUMMYFUNCTION("""COMPUTED_VALUE"""),"INSPECCION LENTE")</f>
        <v>INSPECCION LENTE</v>
      </c>
      <c r="G209" s="5" t="b">
        <f ca="1">IFERROR(__xludf.DUMMYFUNCTION("""COMPUTED_VALUE"""),TRUE)</f>
        <v>1</v>
      </c>
      <c r="H209" s="5"/>
      <c r="I209" s="5"/>
      <c r="J209" s="5">
        <f ca="1">IFERROR(__xludf.DUMMYFUNCTION("""COMPUTED_VALUE"""),13247595)</f>
        <v>13247595</v>
      </c>
      <c r="K209" s="5"/>
      <c r="L209" s="18">
        <f ca="1">IFERROR(__xludf.DUMMYFUNCTION("""COMPUTED_VALUE"""),45324)</f>
        <v>45324</v>
      </c>
      <c r="M209" s="18">
        <f ca="1">IFERROR(__xludf.DUMMYFUNCTION("""COMPUTED_VALUE"""),45324)</f>
        <v>45324</v>
      </c>
      <c r="N209" s="5" t="str">
        <f ca="1">IFERROR(__xludf.DUMMYFUNCTION("""COMPUTED_VALUE"""),"Bolaños Camacho Luis Miguel")</f>
        <v>Bolaños Camacho Luis Miguel</v>
      </c>
      <c r="O209" s="2">
        <f ca="1">IFERROR(__xludf.DUMMYFUNCTION("""COMPUTED_VALUE"""),0.033333333)</f>
        <v>3.3333333E-2</v>
      </c>
      <c r="P209" s="5">
        <f ca="1">IFERROR(__xludf.DUMMYFUNCTION("""COMPUTED_VALUE"""),20032893)</f>
        <v>20032893</v>
      </c>
      <c r="Q209" s="5" t="str">
        <f ca="1">IFERROR(__xludf.DUMMYFUNCTION("""COMPUTED_VALUE"""),"TWBGoGKAJB8")</f>
        <v>TWBGoGKAJB8</v>
      </c>
      <c r="R209" s="5">
        <f ca="1">IFERROR(__xludf.DUMMYFUNCTION("""COMPUTED_VALUE"""),410)</f>
        <v>410</v>
      </c>
      <c r="S209" s="62">
        <f ca="1">IFERROR(__xludf.DUMMYFUNCTION("""COMPUTED_VALUE"""),0.033333333)</f>
        <v>3.3333333E-2</v>
      </c>
      <c r="T209" s="63" t="str">
        <f ca="1">IFERROR(__xludf.DUMMYFUNCTION("""COMPUTED_VALUE"""),"https://storage.googleapis.com/glide-prod.appspot.com/uploads-v2/ly7o78grxPaC6KdgvbpS/pub/3aRdSog0vUtuqPE8AJKD.png")</f>
        <v>https://storage.googleapis.com/glide-prod.appspot.com/uploads-v2/ly7o78grxPaC6KdgvbpS/pub/3aRdSog0vUtuqPE8AJKD.png</v>
      </c>
      <c r="U209" s="5" t="str">
        <f ca="1">IFERROR(__xludf.DUMMYFUNCTION("""COMPUTED_VALUE"""),"LINEA PET CSD - LINEA 10CODIFICADOR LASER DE ENVASE")</f>
        <v>LINEA PET CSD - LINEA 10CODIFICADOR LASER DE ENVASE</v>
      </c>
      <c r="V209" s="5"/>
      <c r="W209" s="5" t="b">
        <f ca="1">IFERROR(__xludf.DUMMYFUNCTION("""COMPUTED_VALUE"""),TRUE)</f>
        <v>1</v>
      </c>
      <c r="X209" s="5" t="str">
        <f ca="1">IFERROR(__xludf.DUMMYFUNCTION("""COMPUTED_VALUE"""),"wmazorra@postobon.com.co,aprmttoyu@postobon.com.co,aprmyu@postobon.com.co,wmora@postobon.com.co,efzapata@postobon.com.co")</f>
        <v>wmazorra@postobon.com.co,aprmttoyu@postobon.com.co,aprmyu@postobon.com.co,wmora@postobon.com.co,efzapata@postobon.com.co</v>
      </c>
      <c r="Y209" s="5" t="str">
        <f ca="1">IFERROR(__xludf.DUMMYFUNCTION("""COMPUTED_VALUE"""),"wmazorra@postobon.com.co")</f>
        <v>wmazorra@postobon.com.co</v>
      </c>
      <c r="Z209" s="5" t="str">
        <f ca="1">IFERROR(__xludf.DUMMYFUNCTION("""COMPUTED_VALUE"""),"GvDXJf8xRrevc7a6OUUqLA")</f>
        <v>GvDXJf8xRrevc7a6OUUqLA</v>
      </c>
      <c r="AA209" s="5"/>
      <c r="AB209" s="5"/>
      <c r="AC209" s="5"/>
      <c r="AD209" s="5">
        <f ca="1">IFERROR(__xludf.DUMMYFUNCTION("""COMPUTED_VALUE"""),10)</f>
        <v>10</v>
      </c>
      <c r="AE209" s="5">
        <f ca="1">IFERROR(__xludf.DUMMYFUNCTION("""COMPUTED_VALUE"""),10)</f>
        <v>10</v>
      </c>
      <c r="AF209" s="5" t="b">
        <f ca="1">IFERROR(__xludf.DUMMYFUNCTION("""COMPUTED_VALUE"""),FALSE)</f>
        <v>0</v>
      </c>
      <c r="AG209" s="5" t="str">
        <f ca="1">IFERROR(__xludf.DUMMYFUNCTION("""COMPUTED_VALUE"""),"INSPECCIONES REALIZADAS")</f>
        <v>INSPECCIONES REALIZADAS</v>
      </c>
      <c r="AH209" s="5"/>
    </row>
    <row r="210" spans="1:34">
      <c r="A210" s="5" t="str">
        <f ca="1">IFERROR(__xludf.DUMMYFUNCTION("""COMPUTED_VALUE"""),"EQUIPOS PARA SERVICIOS INDUSTRIALES")</f>
        <v>EQUIPOS PARA SERVICIOS INDUSTRIALES</v>
      </c>
      <c r="B210" s="5">
        <f ca="1">IFERROR(__xludf.DUMMYFUNCTION("""COMPUTED_VALUE"""),649544)</f>
        <v>649544</v>
      </c>
      <c r="C210" s="5" t="str">
        <f ca="1">IFERROR(__xludf.DUMMYFUNCTION("""COMPUTED_VALUE"""),"COMPRESOR AIRE 3")</f>
        <v>COMPRESOR AIRE 3</v>
      </c>
      <c r="D210" s="5">
        <f ca="1">IFERROR(__xludf.DUMMYFUNCTION("""COMPUTED_VALUE"""),13247481)</f>
        <v>13247481</v>
      </c>
      <c r="E210" s="5" t="str">
        <f ca="1">IFERROR(__xludf.DUMMYFUNCTION("""COMPUTED_VALUE"""),"INSPECCION SEMANAL COMPRESOR AIRE 3")</f>
        <v>INSPECCION SEMANAL COMPRESOR AIRE 3</v>
      </c>
      <c r="F210" s="5" t="str">
        <f ca="1">IFERROR(__xludf.DUMMYFUNCTION("""COMPUTED_VALUE"""),"INSP NIVEL ACEITE (1/2 A 3/4)")</f>
        <v>INSP NIVEL ACEITE (1/2 A 3/4)</v>
      </c>
      <c r="G210" s="5" t="b">
        <f ca="1">IFERROR(__xludf.DUMMYFUNCTION("""COMPUTED_VALUE"""),TRUE)</f>
        <v>1</v>
      </c>
      <c r="H210" s="5"/>
      <c r="I210" s="5"/>
      <c r="J210" s="5">
        <f ca="1">IFERROR(__xludf.DUMMYFUNCTION("""COMPUTED_VALUE"""),13247481)</f>
        <v>13247481</v>
      </c>
      <c r="K210" s="5"/>
      <c r="L210" s="18">
        <f ca="1">IFERROR(__xludf.DUMMYFUNCTION("""COMPUTED_VALUE"""),45325)</f>
        <v>45325</v>
      </c>
      <c r="M210" s="18">
        <f ca="1">IFERROR(__xludf.DUMMYFUNCTION("""COMPUTED_VALUE"""),45325)</f>
        <v>45325</v>
      </c>
      <c r="N210" s="5" t="str">
        <f ca="1">IFERROR(__xludf.DUMMYFUNCTION("""COMPUTED_VALUE"""),"MARIO ALBERTO MARTÍNEZ MORA")</f>
        <v>MARIO ALBERTO MARTÍNEZ MORA</v>
      </c>
      <c r="O210" s="2">
        <f ca="1">IFERROR(__xludf.DUMMYFUNCTION("""COMPUTED_VALUE"""),0.008333333)</f>
        <v>8.3333330000000001E-3</v>
      </c>
      <c r="P210" s="5">
        <f ca="1">IFERROR(__xludf.DUMMYFUNCTION("""COMPUTED_VALUE"""),94542837)</f>
        <v>94542837</v>
      </c>
      <c r="Q210" s="5" t="str">
        <f ca="1">IFERROR(__xludf.DUMMYFUNCTION("""COMPUTED_VALUE"""),"1xTWSOd74fM")</f>
        <v>1xTWSOd74fM</v>
      </c>
      <c r="R210" s="5">
        <f ca="1">IFERROR(__xludf.DUMMYFUNCTION("""COMPUTED_VALUE"""),410)</f>
        <v>410</v>
      </c>
      <c r="S210" s="62">
        <f ca="1">IFERROR(__xludf.DUMMYFUNCTION("""COMPUTED_VALUE"""),0.008333333)</f>
        <v>8.3333330000000001E-3</v>
      </c>
      <c r="T210" s="63" t="str">
        <f ca="1">IFERROR(__xludf.DUMMYFUNCTION("""COMPUTED_VALUE"""),"https://storage.googleapis.com/glide-prod.appspot.com/uploads-v2/ly7o78grxPaC6KdgvbpS/pub/3aRdSog0vUtuqPE8AJKD.png")</f>
        <v>https://storage.googleapis.com/glide-prod.appspot.com/uploads-v2/ly7o78grxPaC6KdgvbpS/pub/3aRdSog0vUtuqPE8AJKD.png</v>
      </c>
      <c r="U210" s="5" t="str">
        <f ca="1">IFERROR(__xludf.DUMMYFUNCTION("""COMPUTED_VALUE"""),"EQUIPOS PARA SERVICIOS INDUSTRIALESCOMPRESOR AIRE 3")</f>
        <v>EQUIPOS PARA SERVICIOS INDUSTRIALESCOMPRESOR AIRE 3</v>
      </c>
      <c r="V210" s="5"/>
      <c r="W210" s="5" t="b">
        <f ca="1">IFERROR(__xludf.DUMMYFUNCTION("""COMPUTED_VALUE"""),TRUE)</f>
        <v>1</v>
      </c>
      <c r="X210" s="5" t="str">
        <f ca="1">IFERROR(__xludf.DUMMYFUNCTION("""COMPUTED_VALUE"""),"wmazorra@postobon.com.co,aprmttoyu@postobon.com.co,aprmyu@postobon.com.co,wmora@postobon.com.co,efzapata@postobon.com.co")</f>
        <v>wmazorra@postobon.com.co,aprmttoyu@postobon.com.co,aprmyu@postobon.com.co,wmora@postobon.com.co,efzapata@postobon.com.co</v>
      </c>
      <c r="Y210" s="5" t="str">
        <f ca="1">IFERROR(__xludf.DUMMYFUNCTION("""COMPUTED_VALUE"""),"wmazorra@postobon.com.co")</f>
        <v>wmazorra@postobon.com.co</v>
      </c>
      <c r="Z210" s="5" t="str">
        <f ca="1">IFERROR(__xludf.DUMMYFUNCTION("""COMPUTED_VALUE"""),"cbotXqd3RRuQw8xNYbKmPw")</f>
        <v>cbotXqd3RRuQw8xNYbKmPw</v>
      </c>
      <c r="AA210" s="5"/>
      <c r="AB210" s="5"/>
      <c r="AC210" s="5"/>
      <c r="AD210" s="5">
        <f ca="1">IFERROR(__xludf.DUMMYFUNCTION("""COMPUTED_VALUE"""),65)</f>
        <v>65</v>
      </c>
      <c r="AE210" s="5">
        <f ca="1">IFERROR(__xludf.DUMMYFUNCTION("""COMPUTED_VALUE"""),65)</f>
        <v>65</v>
      </c>
      <c r="AF210" s="5" t="b">
        <f ca="1">IFERROR(__xludf.DUMMYFUNCTION("""COMPUTED_VALUE"""),FALSE)</f>
        <v>0</v>
      </c>
      <c r="AG210" s="5" t="str">
        <f ca="1">IFERROR(__xludf.DUMMYFUNCTION("""COMPUTED_VALUE"""),"INSPECCIONES REALIZADAS")</f>
        <v>INSPECCIONES REALIZADAS</v>
      </c>
      <c r="AH210" s="5"/>
    </row>
    <row r="211" spans="1:34">
      <c r="A211" s="5" t="str">
        <f ca="1">IFERROR(__xludf.DUMMYFUNCTION("""COMPUTED_VALUE"""),"EQUIPOS PARA SERVICIOS INDUSTRIALES")</f>
        <v>EQUIPOS PARA SERVICIOS INDUSTRIALES</v>
      </c>
      <c r="B211" s="5">
        <f ca="1">IFERROR(__xludf.DUMMYFUNCTION("""COMPUTED_VALUE"""),649544)</f>
        <v>649544</v>
      </c>
      <c r="C211" s="5" t="str">
        <f ca="1">IFERROR(__xludf.DUMMYFUNCTION("""COMPUTED_VALUE"""),"COMPRESOR AIRE 3")</f>
        <v>COMPRESOR AIRE 3</v>
      </c>
      <c r="D211" s="5">
        <f ca="1">IFERROR(__xludf.DUMMYFUNCTION("""COMPUTED_VALUE"""),13247481)</f>
        <v>13247481</v>
      </c>
      <c r="E211" s="5" t="str">
        <f ca="1">IFERROR(__xludf.DUMMYFUNCTION("""COMPUTED_VALUE"""),"INSPECCION SEMANAL COMPRESOR AIRE 3")</f>
        <v>INSPECCION SEMANAL COMPRESOR AIRE 3</v>
      </c>
      <c r="F211" s="5" t="str">
        <f ca="1">IFERROR(__xludf.DUMMYFUNCTION("""COMPUTED_VALUE"""),"INSP TEMP ACEITE (&gt;49 ºc)")</f>
        <v>INSP TEMP ACEITE (&gt;49 ºc)</v>
      </c>
      <c r="G211" s="5" t="b">
        <f ca="1">IFERROR(__xludf.DUMMYFUNCTION("""COMPUTED_VALUE"""),TRUE)</f>
        <v>1</v>
      </c>
      <c r="H211" s="5"/>
      <c r="I211" s="5"/>
      <c r="J211" s="5">
        <f ca="1">IFERROR(__xludf.DUMMYFUNCTION("""COMPUTED_VALUE"""),13247481)</f>
        <v>13247481</v>
      </c>
      <c r="K211" s="5"/>
      <c r="L211" s="18">
        <f ca="1">IFERROR(__xludf.DUMMYFUNCTION("""COMPUTED_VALUE"""),45325)</f>
        <v>45325</v>
      </c>
      <c r="M211" s="18">
        <f ca="1">IFERROR(__xludf.DUMMYFUNCTION("""COMPUTED_VALUE"""),45325)</f>
        <v>45325</v>
      </c>
      <c r="N211" s="5" t="str">
        <f ca="1">IFERROR(__xludf.DUMMYFUNCTION("""COMPUTED_VALUE"""),"MARIO ALBERTO MARTÍNEZ MORA")</f>
        <v>MARIO ALBERTO MARTÍNEZ MORA</v>
      </c>
      <c r="O211" s="2">
        <f ca="1">IFERROR(__xludf.DUMMYFUNCTION("""COMPUTED_VALUE"""),0.008333333)</f>
        <v>8.3333330000000001E-3</v>
      </c>
      <c r="P211" s="5">
        <f ca="1">IFERROR(__xludf.DUMMYFUNCTION("""COMPUTED_VALUE"""),94542837)</f>
        <v>94542837</v>
      </c>
      <c r="Q211" s="5" t="str">
        <f ca="1">IFERROR(__xludf.DUMMYFUNCTION("""COMPUTED_VALUE"""),"15buoOVYB-Q")</f>
        <v>15buoOVYB-Q</v>
      </c>
      <c r="R211" s="5">
        <f ca="1">IFERROR(__xludf.DUMMYFUNCTION("""COMPUTED_VALUE"""),410)</f>
        <v>410</v>
      </c>
      <c r="S211" s="62">
        <f ca="1">IFERROR(__xludf.DUMMYFUNCTION("""COMPUTED_VALUE"""),0.008333333)</f>
        <v>8.3333330000000001E-3</v>
      </c>
      <c r="T211" s="63" t="str">
        <f ca="1">IFERROR(__xludf.DUMMYFUNCTION("""COMPUTED_VALUE"""),"https://storage.googleapis.com/glide-prod.appspot.com/uploads-v2/ly7o78grxPaC6KdgvbpS/pub/3aRdSog0vUtuqPE8AJKD.png")</f>
        <v>https://storage.googleapis.com/glide-prod.appspot.com/uploads-v2/ly7o78grxPaC6KdgvbpS/pub/3aRdSog0vUtuqPE8AJKD.png</v>
      </c>
      <c r="U211" s="5" t="str">
        <f ca="1">IFERROR(__xludf.DUMMYFUNCTION("""COMPUTED_VALUE"""),"EQUIPOS PARA SERVICIOS INDUSTRIALESCOMPRESOR AIRE 3")</f>
        <v>EQUIPOS PARA SERVICIOS INDUSTRIALESCOMPRESOR AIRE 3</v>
      </c>
      <c r="V211" s="5"/>
      <c r="W211" s="5" t="b">
        <f ca="1">IFERROR(__xludf.DUMMYFUNCTION("""COMPUTED_VALUE"""),TRUE)</f>
        <v>1</v>
      </c>
      <c r="X211" s="5" t="str">
        <f ca="1">IFERROR(__xludf.DUMMYFUNCTION("""COMPUTED_VALUE"""),"wmazorra@postobon.com.co,aprmttoyu@postobon.com.co,aprmyu@postobon.com.co,wmora@postobon.com.co,efzapata@postobon.com.co")</f>
        <v>wmazorra@postobon.com.co,aprmttoyu@postobon.com.co,aprmyu@postobon.com.co,wmora@postobon.com.co,efzapata@postobon.com.co</v>
      </c>
      <c r="Y211" s="5" t="str">
        <f ca="1">IFERROR(__xludf.DUMMYFUNCTION("""COMPUTED_VALUE"""),"wmazorra@postobon.com.co")</f>
        <v>wmazorra@postobon.com.co</v>
      </c>
      <c r="Z211" s="5" t="str">
        <f ca="1">IFERROR(__xludf.DUMMYFUNCTION("""COMPUTED_VALUE"""),"BZExNW2hSZKgL0DoDAaMpg")</f>
        <v>BZExNW2hSZKgL0DoDAaMpg</v>
      </c>
      <c r="AA211" s="5"/>
      <c r="AB211" s="5"/>
      <c r="AC211" s="5"/>
      <c r="AD211" s="5">
        <f ca="1">IFERROR(__xludf.DUMMYFUNCTION("""COMPUTED_VALUE"""),65)</f>
        <v>65</v>
      </c>
      <c r="AE211" s="5">
        <f ca="1">IFERROR(__xludf.DUMMYFUNCTION("""COMPUTED_VALUE"""),65)</f>
        <v>65</v>
      </c>
      <c r="AF211" s="5" t="b">
        <f ca="1">IFERROR(__xludf.DUMMYFUNCTION("""COMPUTED_VALUE"""),FALSE)</f>
        <v>0</v>
      </c>
      <c r="AG211" s="5" t="str">
        <f ca="1">IFERROR(__xludf.DUMMYFUNCTION("""COMPUTED_VALUE"""),"INSPECCIONES REALIZADAS")</f>
        <v>INSPECCIONES REALIZADAS</v>
      </c>
      <c r="AH211" s="5"/>
    </row>
    <row r="212" spans="1:34">
      <c r="A212" s="5" t="str">
        <f ca="1">IFERROR(__xludf.DUMMYFUNCTION("""COMPUTED_VALUE"""),"EQUIPOS PARA SERVICIOS INDUSTRIALES")</f>
        <v>EQUIPOS PARA SERVICIOS INDUSTRIALES</v>
      </c>
      <c r="B212" s="5">
        <f ca="1">IFERROR(__xludf.DUMMYFUNCTION("""COMPUTED_VALUE"""),649544)</f>
        <v>649544</v>
      </c>
      <c r="C212" s="5" t="str">
        <f ca="1">IFERROR(__xludf.DUMMYFUNCTION("""COMPUTED_VALUE"""),"COMPRESOR AIRE 3")</f>
        <v>COMPRESOR AIRE 3</v>
      </c>
      <c r="D212" s="5">
        <f ca="1">IFERROR(__xludf.DUMMYFUNCTION("""COMPUTED_VALUE"""),13247481)</f>
        <v>13247481</v>
      </c>
      <c r="E212" s="5" t="str">
        <f ca="1">IFERROR(__xludf.DUMMYFUNCTION("""COMPUTED_VALUE"""),"INSPECCION SEMANAL COMPRESOR AIRE 3")</f>
        <v>INSPECCION SEMANAL COMPRESOR AIRE 3</v>
      </c>
      <c r="F212" s="5" t="str">
        <f ca="1">IFERROR(__xludf.DUMMYFUNCTION("""COMPUTED_VALUE"""),"INSP CAIDA PRESION FILTRO ACEITE(&lt;0,9 BAR O 13PSI)")</f>
        <v>INSP CAIDA PRESION FILTRO ACEITE(&lt;0,9 BAR O 13PSI)</v>
      </c>
      <c r="G212" s="5" t="b">
        <f ca="1">IFERROR(__xludf.DUMMYFUNCTION("""COMPUTED_VALUE"""),TRUE)</f>
        <v>1</v>
      </c>
      <c r="H212" s="5"/>
      <c r="I212" s="5"/>
      <c r="J212" s="5">
        <f ca="1">IFERROR(__xludf.DUMMYFUNCTION("""COMPUTED_VALUE"""),13247481)</f>
        <v>13247481</v>
      </c>
      <c r="K212" s="5"/>
      <c r="L212" s="18">
        <f ca="1">IFERROR(__xludf.DUMMYFUNCTION("""COMPUTED_VALUE"""),45325)</f>
        <v>45325</v>
      </c>
      <c r="M212" s="18">
        <f ca="1">IFERROR(__xludf.DUMMYFUNCTION("""COMPUTED_VALUE"""),45325)</f>
        <v>45325</v>
      </c>
      <c r="N212" s="5" t="str">
        <f ca="1">IFERROR(__xludf.DUMMYFUNCTION("""COMPUTED_VALUE"""),"MARIO ALBERTO MARTÍNEZ MORA")</f>
        <v>MARIO ALBERTO MARTÍNEZ MORA</v>
      </c>
      <c r="O212" s="2">
        <f ca="1">IFERROR(__xludf.DUMMYFUNCTION("""COMPUTED_VALUE"""),0.008333333)</f>
        <v>8.3333330000000001E-3</v>
      </c>
      <c r="P212" s="5">
        <f ca="1">IFERROR(__xludf.DUMMYFUNCTION("""COMPUTED_VALUE"""),94542837)</f>
        <v>94542837</v>
      </c>
      <c r="Q212" s="5" t="str">
        <f ca="1">IFERROR(__xludf.DUMMYFUNCTION("""COMPUTED_VALUE"""),"Iq3cB8hj580")</f>
        <v>Iq3cB8hj580</v>
      </c>
      <c r="R212" s="5">
        <f ca="1">IFERROR(__xludf.DUMMYFUNCTION("""COMPUTED_VALUE"""),410)</f>
        <v>410</v>
      </c>
      <c r="S212" s="62">
        <f ca="1">IFERROR(__xludf.DUMMYFUNCTION("""COMPUTED_VALUE"""),0.008333333)</f>
        <v>8.3333330000000001E-3</v>
      </c>
      <c r="T212" s="63" t="str">
        <f ca="1">IFERROR(__xludf.DUMMYFUNCTION("""COMPUTED_VALUE"""),"https://storage.googleapis.com/glide-prod.appspot.com/uploads-v2/ly7o78grxPaC6KdgvbpS/pub/3aRdSog0vUtuqPE8AJKD.png")</f>
        <v>https://storage.googleapis.com/glide-prod.appspot.com/uploads-v2/ly7o78grxPaC6KdgvbpS/pub/3aRdSog0vUtuqPE8AJKD.png</v>
      </c>
      <c r="U212" s="5" t="str">
        <f ca="1">IFERROR(__xludf.DUMMYFUNCTION("""COMPUTED_VALUE"""),"EQUIPOS PARA SERVICIOS INDUSTRIALESCOMPRESOR AIRE 3")</f>
        <v>EQUIPOS PARA SERVICIOS INDUSTRIALESCOMPRESOR AIRE 3</v>
      </c>
      <c r="V212" s="5"/>
      <c r="W212" s="5" t="b">
        <f ca="1">IFERROR(__xludf.DUMMYFUNCTION("""COMPUTED_VALUE"""),TRUE)</f>
        <v>1</v>
      </c>
      <c r="X212" s="5" t="str">
        <f ca="1">IFERROR(__xludf.DUMMYFUNCTION("""COMPUTED_VALUE"""),"wmazorra@postobon.com.co,aprmttoyu@postobon.com.co,aprmyu@postobon.com.co,wmora@postobon.com.co,efzapata@postobon.com.co")</f>
        <v>wmazorra@postobon.com.co,aprmttoyu@postobon.com.co,aprmyu@postobon.com.co,wmora@postobon.com.co,efzapata@postobon.com.co</v>
      </c>
      <c r="Y212" s="5" t="str">
        <f ca="1">IFERROR(__xludf.DUMMYFUNCTION("""COMPUTED_VALUE"""),"wmazorra@postobon.com.co")</f>
        <v>wmazorra@postobon.com.co</v>
      </c>
      <c r="Z212" s="5" t="str">
        <f ca="1">IFERROR(__xludf.DUMMYFUNCTION("""COMPUTED_VALUE"""),"mHbbYFlBQta2Y4oK.z4LrQ")</f>
        <v>mHbbYFlBQta2Y4oK.z4LrQ</v>
      </c>
      <c r="AA212" s="5"/>
      <c r="AB212" s="5"/>
      <c r="AC212" s="5"/>
      <c r="AD212" s="5">
        <f ca="1">IFERROR(__xludf.DUMMYFUNCTION("""COMPUTED_VALUE"""),65)</f>
        <v>65</v>
      </c>
      <c r="AE212" s="5">
        <f ca="1">IFERROR(__xludf.DUMMYFUNCTION("""COMPUTED_VALUE"""),65)</f>
        <v>65</v>
      </c>
      <c r="AF212" s="5" t="b">
        <f ca="1">IFERROR(__xludf.DUMMYFUNCTION("""COMPUTED_VALUE"""),FALSE)</f>
        <v>0</v>
      </c>
      <c r="AG212" s="5" t="str">
        <f ca="1">IFERROR(__xludf.DUMMYFUNCTION("""COMPUTED_VALUE"""),"INSPECCIONES REALIZADAS")</f>
        <v>INSPECCIONES REALIZADAS</v>
      </c>
      <c r="AH212" s="5"/>
    </row>
    <row r="213" spans="1:34">
      <c r="A213" s="5" t="str">
        <f ca="1">IFERROR(__xludf.DUMMYFUNCTION("""COMPUTED_VALUE"""),"EQUIPOS PARA SERVICIOS INDUSTRIALES")</f>
        <v>EQUIPOS PARA SERVICIOS INDUSTRIALES</v>
      </c>
      <c r="B213" s="5">
        <f ca="1">IFERROR(__xludf.DUMMYFUNCTION("""COMPUTED_VALUE"""),649544)</f>
        <v>649544</v>
      </c>
      <c r="C213" s="5" t="str">
        <f ca="1">IFERROR(__xludf.DUMMYFUNCTION("""COMPUTED_VALUE"""),"COMPRESOR AIRE 3")</f>
        <v>COMPRESOR AIRE 3</v>
      </c>
      <c r="D213" s="5">
        <f ca="1">IFERROR(__xludf.DUMMYFUNCTION("""COMPUTED_VALUE"""),13247481)</f>
        <v>13247481</v>
      </c>
      <c r="E213" s="5" t="str">
        <f ca="1">IFERROR(__xludf.DUMMYFUNCTION("""COMPUTED_VALUE"""),"INSPECCION SEMANAL COMPRESOR AIRE 3")</f>
        <v>INSPECCION SEMANAL COMPRESOR AIRE 3</v>
      </c>
      <c r="F213" s="5" t="str">
        <f ca="1">IFERROR(__xludf.DUMMYFUNCTION("""COMPUTED_VALUE"""),"VERIFICAR FUNC DESAGUE CONDENSADO")</f>
        <v>VERIFICAR FUNC DESAGUE CONDENSADO</v>
      </c>
      <c r="G213" s="5" t="b">
        <f ca="1">IFERROR(__xludf.DUMMYFUNCTION("""COMPUTED_VALUE"""),TRUE)</f>
        <v>1</v>
      </c>
      <c r="H213" s="5"/>
      <c r="I213" s="5"/>
      <c r="J213" s="5">
        <f ca="1">IFERROR(__xludf.DUMMYFUNCTION("""COMPUTED_VALUE"""),13247481)</f>
        <v>13247481</v>
      </c>
      <c r="K213" s="5"/>
      <c r="L213" s="18">
        <f ca="1">IFERROR(__xludf.DUMMYFUNCTION("""COMPUTED_VALUE"""),45325)</f>
        <v>45325</v>
      </c>
      <c r="M213" s="18">
        <f ca="1">IFERROR(__xludf.DUMMYFUNCTION("""COMPUTED_VALUE"""),45325)</f>
        <v>45325</v>
      </c>
      <c r="N213" s="5" t="str">
        <f ca="1">IFERROR(__xludf.DUMMYFUNCTION("""COMPUTED_VALUE"""),"MARIO ALBERTO MARTÍNEZ MORA")</f>
        <v>MARIO ALBERTO MARTÍNEZ MORA</v>
      </c>
      <c r="O213" s="2">
        <f ca="1">IFERROR(__xludf.DUMMYFUNCTION("""COMPUTED_VALUE"""),0.008333333)</f>
        <v>8.3333330000000001E-3</v>
      </c>
      <c r="P213" s="5">
        <f ca="1">IFERROR(__xludf.DUMMYFUNCTION("""COMPUTED_VALUE"""),94542837)</f>
        <v>94542837</v>
      </c>
      <c r="Q213" s="5" t="str">
        <f ca="1">IFERROR(__xludf.DUMMYFUNCTION("""COMPUTED_VALUE"""),"8caLTLMx_yI")</f>
        <v>8caLTLMx_yI</v>
      </c>
      <c r="R213" s="5">
        <f ca="1">IFERROR(__xludf.DUMMYFUNCTION("""COMPUTED_VALUE"""),410)</f>
        <v>410</v>
      </c>
      <c r="S213" s="62">
        <f ca="1">IFERROR(__xludf.DUMMYFUNCTION("""COMPUTED_VALUE"""),0.008333333)</f>
        <v>8.3333330000000001E-3</v>
      </c>
      <c r="T213" s="63" t="str">
        <f ca="1">IFERROR(__xludf.DUMMYFUNCTION("""COMPUTED_VALUE"""),"https://storage.googleapis.com/glide-prod.appspot.com/uploads-v2/ly7o78grxPaC6KdgvbpS/pub/3aRdSog0vUtuqPE8AJKD.png")</f>
        <v>https://storage.googleapis.com/glide-prod.appspot.com/uploads-v2/ly7o78grxPaC6KdgvbpS/pub/3aRdSog0vUtuqPE8AJKD.png</v>
      </c>
      <c r="U213" s="5" t="str">
        <f ca="1">IFERROR(__xludf.DUMMYFUNCTION("""COMPUTED_VALUE"""),"EQUIPOS PARA SERVICIOS INDUSTRIALESCOMPRESOR AIRE 3")</f>
        <v>EQUIPOS PARA SERVICIOS INDUSTRIALESCOMPRESOR AIRE 3</v>
      </c>
      <c r="V213" s="5"/>
      <c r="W213" s="5" t="b">
        <f ca="1">IFERROR(__xludf.DUMMYFUNCTION("""COMPUTED_VALUE"""),TRUE)</f>
        <v>1</v>
      </c>
      <c r="X213" s="5" t="str">
        <f ca="1">IFERROR(__xludf.DUMMYFUNCTION("""COMPUTED_VALUE"""),"wmazorra@postobon.com.co,aprmttoyu@postobon.com.co,aprmyu@postobon.com.co,wmora@postobon.com.co,efzapata@postobon.com.co")</f>
        <v>wmazorra@postobon.com.co,aprmttoyu@postobon.com.co,aprmyu@postobon.com.co,wmora@postobon.com.co,efzapata@postobon.com.co</v>
      </c>
      <c r="Y213" s="5" t="str">
        <f ca="1">IFERROR(__xludf.DUMMYFUNCTION("""COMPUTED_VALUE"""),"wmazorra@postobon.com.co")</f>
        <v>wmazorra@postobon.com.co</v>
      </c>
      <c r="Z213" s="5" t="str">
        <f ca="1">IFERROR(__xludf.DUMMYFUNCTION("""COMPUTED_VALUE"""),"gdBGZHvsQ8WpLV5zetMqxQ")</f>
        <v>gdBGZHvsQ8WpLV5zetMqxQ</v>
      </c>
      <c r="AA213" s="5"/>
      <c r="AB213" s="5"/>
      <c r="AC213" s="5"/>
      <c r="AD213" s="5">
        <f ca="1">IFERROR(__xludf.DUMMYFUNCTION("""COMPUTED_VALUE"""),65)</f>
        <v>65</v>
      </c>
      <c r="AE213" s="5">
        <f ca="1">IFERROR(__xludf.DUMMYFUNCTION("""COMPUTED_VALUE"""),65)</f>
        <v>65</v>
      </c>
      <c r="AF213" s="5" t="b">
        <f ca="1">IFERROR(__xludf.DUMMYFUNCTION("""COMPUTED_VALUE"""),FALSE)</f>
        <v>0</v>
      </c>
      <c r="AG213" s="5" t="str">
        <f ca="1">IFERROR(__xludf.DUMMYFUNCTION("""COMPUTED_VALUE"""),"INSPECCIONES REALIZADAS")</f>
        <v>INSPECCIONES REALIZADAS</v>
      </c>
      <c r="AH213" s="5"/>
    </row>
    <row r="214" spans="1:34">
      <c r="A214" s="5" t="str">
        <f ca="1">IFERROR(__xludf.DUMMYFUNCTION("""COMPUTED_VALUE"""),"EQUIPOS PARA SERVICIOS INDUSTRIALES")</f>
        <v>EQUIPOS PARA SERVICIOS INDUSTRIALES</v>
      </c>
      <c r="B214" s="5">
        <f ca="1">IFERROR(__xludf.DUMMYFUNCTION("""COMPUTED_VALUE"""),649544)</f>
        <v>649544</v>
      </c>
      <c r="C214" s="5" t="str">
        <f ca="1">IFERROR(__xludf.DUMMYFUNCTION("""COMPUTED_VALUE"""),"COMPRESOR AIRE 3")</f>
        <v>COMPRESOR AIRE 3</v>
      </c>
      <c r="D214" s="5">
        <f ca="1">IFERROR(__xludf.DUMMYFUNCTION("""COMPUTED_VALUE"""),13247481)</f>
        <v>13247481</v>
      </c>
      <c r="E214" s="5" t="str">
        <f ca="1">IFERROR(__xludf.DUMMYFUNCTION("""COMPUTED_VALUE"""),"INSPECCION SEMANAL COMPRESOR AIRE 3")</f>
        <v>INSPECCION SEMANAL COMPRESOR AIRE 3</v>
      </c>
      <c r="F214" s="5" t="str">
        <f ca="1">IFERROR(__xludf.DUMMYFUNCTION("""COMPUTED_VALUE"""),"PRESION DIFERENCIAL FILTRO AIRE(NO&gt;0,048BAR-0,7PSI)")</f>
        <v>PRESION DIFERENCIAL FILTRO AIRE(NO&gt;0,048BAR-0,7PSI)</v>
      </c>
      <c r="G214" s="5" t="b">
        <f ca="1">IFERROR(__xludf.DUMMYFUNCTION("""COMPUTED_VALUE"""),TRUE)</f>
        <v>1</v>
      </c>
      <c r="H214" s="5"/>
      <c r="I214" s="5"/>
      <c r="J214" s="5">
        <f ca="1">IFERROR(__xludf.DUMMYFUNCTION("""COMPUTED_VALUE"""),13247481)</f>
        <v>13247481</v>
      </c>
      <c r="K214" s="5"/>
      <c r="L214" s="18">
        <f ca="1">IFERROR(__xludf.DUMMYFUNCTION("""COMPUTED_VALUE"""),45325)</f>
        <v>45325</v>
      </c>
      <c r="M214" s="18">
        <f ca="1">IFERROR(__xludf.DUMMYFUNCTION("""COMPUTED_VALUE"""),45325)</f>
        <v>45325</v>
      </c>
      <c r="N214" s="5" t="str">
        <f ca="1">IFERROR(__xludf.DUMMYFUNCTION("""COMPUTED_VALUE"""),"MARIO ALBERTO MARTÍNEZ MORA")</f>
        <v>MARIO ALBERTO MARTÍNEZ MORA</v>
      </c>
      <c r="O214" s="2">
        <f ca="1">IFERROR(__xludf.DUMMYFUNCTION("""COMPUTED_VALUE"""),0.008333333)</f>
        <v>8.3333330000000001E-3</v>
      </c>
      <c r="P214" s="5">
        <f ca="1">IFERROR(__xludf.DUMMYFUNCTION("""COMPUTED_VALUE"""),94542837)</f>
        <v>94542837</v>
      </c>
      <c r="Q214" s="5" t="str">
        <f ca="1">IFERROR(__xludf.DUMMYFUNCTION("""COMPUTED_VALUE"""),"XFj0Rm_r9a8")</f>
        <v>XFj0Rm_r9a8</v>
      </c>
      <c r="R214" s="5">
        <f ca="1">IFERROR(__xludf.DUMMYFUNCTION("""COMPUTED_VALUE"""),410)</f>
        <v>410</v>
      </c>
      <c r="S214" s="62">
        <f ca="1">IFERROR(__xludf.DUMMYFUNCTION("""COMPUTED_VALUE"""),0.008333333)</f>
        <v>8.3333330000000001E-3</v>
      </c>
      <c r="T214" s="63" t="str">
        <f ca="1">IFERROR(__xludf.DUMMYFUNCTION("""COMPUTED_VALUE"""),"https://storage.googleapis.com/glide-prod.appspot.com/uploads-v2/ly7o78grxPaC6KdgvbpS/pub/3aRdSog0vUtuqPE8AJKD.png")</f>
        <v>https://storage.googleapis.com/glide-prod.appspot.com/uploads-v2/ly7o78grxPaC6KdgvbpS/pub/3aRdSog0vUtuqPE8AJKD.png</v>
      </c>
      <c r="U214" s="5" t="str">
        <f ca="1">IFERROR(__xludf.DUMMYFUNCTION("""COMPUTED_VALUE"""),"EQUIPOS PARA SERVICIOS INDUSTRIALESCOMPRESOR AIRE 3")</f>
        <v>EQUIPOS PARA SERVICIOS INDUSTRIALESCOMPRESOR AIRE 3</v>
      </c>
      <c r="V214" s="5"/>
      <c r="W214" s="5" t="b">
        <f ca="1">IFERROR(__xludf.DUMMYFUNCTION("""COMPUTED_VALUE"""),TRUE)</f>
        <v>1</v>
      </c>
      <c r="X214" s="5" t="str">
        <f ca="1">IFERROR(__xludf.DUMMYFUNCTION("""COMPUTED_VALUE"""),"wmazorra@postobon.com.co,aprmttoyu@postobon.com.co,aprmyu@postobon.com.co,wmora@postobon.com.co,efzapata@postobon.com.co")</f>
        <v>wmazorra@postobon.com.co,aprmttoyu@postobon.com.co,aprmyu@postobon.com.co,wmora@postobon.com.co,efzapata@postobon.com.co</v>
      </c>
      <c r="Y214" s="5" t="str">
        <f ca="1">IFERROR(__xludf.DUMMYFUNCTION("""COMPUTED_VALUE"""),"wmazorra@postobon.com.co")</f>
        <v>wmazorra@postobon.com.co</v>
      </c>
      <c r="Z214" s="5" t="str">
        <f ca="1">IFERROR(__xludf.DUMMYFUNCTION("""COMPUTED_VALUE"""),"3c9qCvEmRt-M6OfE0QLJSg")</f>
        <v>3c9qCvEmRt-M6OfE0QLJSg</v>
      </c>
      <c r="AA214" s="5"/>
      <c r="AB214" s="5"/>
      <c r="AC214" s="5"/>
      <c r="AD214" s="5">
        <f ca="1">IFERROR(__xludf.DUMMYFUNCTION("""COMPUTED_VALUE"""),65)</f>
        <v>65</v>
      </c>
      <c r="AE214" s="5">
        <f ca="1">IFERROR(__xludf.DUMMYFUNCTION("""COMPUTED_VALUE"""),65)</f>
        <v>65</v>
      </c>
      <c r="AF214" s="5" t="b">
        <f ca="1">IFERROR(__xludf.DUMMYFUNCTION("""COMPUTED_VALUE"""),FALSE)</f>
        <v>0</v>
      </c>
      <c r="AG214" s="5" t="str">
        <f ca="1">IFERROR(__xludf.DUMMYFUNCTION("""COMPUTED_VALUE"""),"INSPECCIONES REALIZADAS")</f>
        <v>INSPECCIONES REALIZADAS</v>
      </c>
      <c r="AH214" s="5"/>
    </row>
    <row r="215" spans="1:34">
      <c r="A215" s="5" t="str">
        <f ca="1">IFERROR(__xludf.DUMMYFUNCTION("""COMPUTED_VALUE"""),"EQUIPOS PARA SERVICIOS INDUSTRIALES")</f>
        <v>EQUIPOS PARA SERVICIOS INDUSTRIALES</v>
      </c>
      <c r="B215" s="5">
        <f ca="1">IFERROR(__xludf.DUMMYFUNCTION("""COMPUTED_VALUE"""),649544)</f>
        <v>649544</v>
      </c>
      <c r="C215" s="5" t="str">
        <f ca="1">IFERROR(__xludf.DUMMYFUNCTION("""COMPUTED_VALUE"""),"COMPRESOR AIRE 3")</f>
        <v>COMPRESOR AIRE 3</v>
      </c>
      <c r="D215" s="5">
        <f ca="1">IFERROR(__xludf.DUMMYFUNCTION("""COMPUTED_VALUE"""),13247481)</f>
        <v>13247481</v>
      </c>
      <c r="E215" s="5" t="str">
        <f ca="1">IFERROR(__xludf.DUMMYFUNCTION("""COMPUTED_VALUE"""),"INSPECCION SEMANAL COMPRESOR AIRE 3")</f>
        <v>INSPECCION SEMANAL COMPRESOR AIRE 3</v>
      </c>
      <c r="F215" s="5" t="str">
        <f ca="1">IFERROR(__xludf.DUMMYFUNCTION("""COMPUTED_VALUE"""),"REV. ACUMULACION ENFRIADOR(CUERPO EXTRAÑO)")</f>
        <v>REV. ACUMULACION ENFRIADOR(CUERPO EXTRAÑO)</v>
      </c>
      <c r="G215" s="5" t="b">
        <f ca="1">IFERROR(__xludf.DUMMYFUNCTION("""COMPUTED_VALUE"""),TRUE)</f>
        <v>1</v>
      </c>
      <c r="H215" s="5"/>
      <c r="I215" s="5"/>
      <c r="J215" s="5">
        <f ca="1">IFERROR(__xludf.DUMMYFUNCTION("""COMPUTED_VALUE"""),13247481)</f>
        <v>13247481</v>
      </c>
      <c r="K215" s="5"/>
      <c r="L215" s="18">
        <f ca="1">IFERROR(__xludf.DUMMYFUNCTION("""COMPUTED_VALUE"""),45325)</f>
        <v>45325</v>
      </c>
      <c r="M215" s="18">
        <f ca="1">IFERROR(__xludf.DUMMYFUNCTION("""COMPUTED_VALUE"""),45325)</f>
        <v>45325</v>
      </c>
      <c r="N215" s="5" t="str">
        <f ca="1">IFERROR(__xludf.DUMMYFUNCTION("""COMPUTED_VALUE"""),"MARIO ALBERTO MARTÍNEZ MORA")</f>
        <v>MARIO ALBERTO MARTÍNEZ MORA</v>
      </c>
      <c r="O215" s="2">
        <f ca="1">IFERROR(__xludf.DUMMYFUNCTION("""COMPUTED_VALUE"""),0.008333333)</f>
        <v>8.3333330000000001E-3</v>
      </c>
      <c r="P215" s="5">
        <f ca="1">IFERROR(__xludf.DUMMYFUNCTION("""COMPUTED_VALUE"""),94542837)</f>
        <v>94542837</v>
      </c>
      <c r="Q215" s="5" t="str">
        <f ca="1">IFERROR(__xludf.DUMMYFUNCTION("""COMPUTED_VALUE"""),"ES5rqEuRLqU")</f>
        <v>ES5rqEuRLqU</v>
      </c>
      <c r="R215" s="5">
        <f ca="1">IFERROR(__xludf.DUMMYFUNCTION("""COMPUTED_VALUE"""),410)</f>
        <v>410</v>
      </c>
      <c r="S215" s="62">
        <f ca="1">IFERROR(__xludf.DUMMYFUNCTION("""COMPUTED_VALUE"""),0.008333333)</f>
        <v>8.3333330000000001E-3</v>
      </c>
      <c r="T215" s="63" t="str">
        <f ca="1">IFERROR(__xludf.DUMMYFUNCTION("""COMPUTED_VALUE"""),"https://storage.googleapis.com/glide-prod.appspot.com/uploads-v2/ly7o78grxPaC6KdgvbpS/pub/3aRdSog0vUtuqPE8AJKD.png")</f>
        <v>https://storage.googleapis.com/glide-prod.appspot.com/uploads-v2/ly7o78grxPaC6KdgvbpS/pub/3aRdSog0vUtuqPE8AJKD.png</v>
      </c>
      <c r="U215" s="5" t="str">
        <f ca="1">IFERROR(__xludf.DUMMYFUNCTION("""COMPUTED_VALUE"""),"EQUIPOS PARA SERVICIOS INDUSTRIALESCOMPRESOR AIRE 3")</f>
        <v>EQUIPOS PARA SERVICIOS INDUSTRIALESCOMPRESOR AIRE 3</v>
      </c>
      <c r="V215" s="5"/>
      <c r="W215" s="5" t="b">
        <f ca="1">IFERROR(__xludf.DUMMYFUNCTION("""COMPUTED_VALUE"""),TRUE)</f>
        <v>1</v>
      </c>
      <c r="X215" s="5" t="str">
        <f ca="1">IFERROR(__xludf.DUMMYFUNCTION("""COMPUTED_VALUE"""),"wmazorra@postobon.com.co,aprmttoyu@postobon.com.co,aprmyu@postobon.com.co,wmora@postobon.com.co,efzapata@postobon.com.co")</f>
        <v>wmazorra@postobon.com.co,aprmttoyu@postobon.com.co,aprmyu@postobon.com.co,wmora@postobon.com.co,efzapata@postobon.com.co</v>
      </c>
      <c r="Y215" s="5" t="str">
        <f ca="1">IFERROR(__xludf.DUMMYFUNCTION("""COMPUTED_VALUE"""),"wmazorra@postobon.com.co")</f>
        <v>wmazorra@postobon.com.co</v>
      </c>
      <c r="Z215" s="5" t="str">
        <f ca="1">IFERROR(__xludf.DUMMYFUNCTION("""COMPUTED_VALUE"""),"IDODPwrfTNSBQzQRKodcSQ")</f>
        <v>IDODPwrfTNSBQzQRKodcSQ</v>
      </c>
      <c r="AA215" s="5"/>
      <c r="AB215" s="5"/>
      <c r="AC215" s="5"/>
      <c r="AD215" s="5">
        <f ca="1">IFERROR(__xludf.DUMMYFUNCTION("""COMPUTED_VALUE"""),65)</f>
        <v>65</v>
      </c>
      <c r="AE215" s="5">
        <f ca="1">IFERROR(__xludf.DUMMYFUNCTION("""COMPUTED_VALUE"""),65)</f>
        <v>65</v>
      </c>
      <c r="AF215" s="5" t="b">
        <f ca="1">IFERROR(__xludf.DUMMYFUNCTION("""COMPUTED_VALUE"""),FALSE)</f>
        <v>0</v>
      </c>
      <c r="AG215" s="5" t="str">
        <f ca="1">IFERROR(__xludf.DUMMYFUNCTION("""COMPUTED_VALUE"""),"INSPECCIONES REALIZADAS")</f>
        <v>INSPECCIONES REALIZADAS</v>
      </c>
      <c r="AH215" s="5"/>
    </row>
    <row r="216" spans="1:34">
      <c r="A216" s="5" t="str">
        <f ca="1">IFERROR(__xludf.DUMMYFUNCTION("""COMPUTED_VALUE"""),"EQUIPOS PARA SERVICIOS INDUSTRIALES")</f>
        <v>EQUIPOS PARA SERVICIOS INDUSTRIALES</v>
      </c>
      <c r="B216" s="5">
        <f ca="1">IFERROR(__xludf.DUMMYFUNCTION("""COMPUTED_VALUE"""),649544)</f>
        <v>649544</v>
      </c>
      <c r="C216" s="5" t="str">
        <f ca="1">IFERROR(__xludf.DUMMYFUNCTION("""COMPUTED_VALUE"""),"COMPRESOR AIRE 3")</f>
        <v>COMPRESOR AIRE 3</v>
      </c>
      <c r="D216" s="5">
        <f ca="1">IFERROR(__xludf.DUMMYFUNCTION("""COMPUTED_VALUE"""),13247481)</f>
        <v>13247481</v>
      </c>
      <c r="E216" s="5" t="str">
        <f ca="1">IFERROR(__xludf.DUMMYFUNCTION("""COMPUTED_VALUE"""),"INSPECCION SEMANAL COMPRESOR AIRE 3")</f>
        <v>INSPECCION SEMANAL COMPRESOR AIRE 3</v>
      </c>
      <c r="F216" s="5" t="str">
        <f ca="1">IFERROR(__xludf.DUMMYFUNCTION("""COMPUTED_VALUE"""),"RUIDO ANORMAL")</f>
        <v>RUIDO ANORMAL</v>
      </c>
      <c r="G216" s="5" t="b">
        <f ca="1">IFERROR(__xludf.DUMMYFUNCTION("""COMPUTED_VALUE"""),TRUE)</f>
        <v>1</v>
      </c>
      <c r="H216" s="5"/>
      <c r="I216" s="5"/>
      <c r="J216" s="5">
        <f ca="1">IFERROR(__xludf.DUMMYFUNCTION("""COMPUTED_VALUE"""),13247481)</f>
        <v>13247481</v>
      </c>
      <c r="K216" s="5"/>
      <c r="L216" s="18">
        <f ca="1">IFERROR(__xludf.DUMMYFUNCTION("""COMPUTED_VALUE"""),45325)</f>
        <v>45325</v>
      </c>
      <c r="M216" s="18">
        <f ca="1">IFERROR(__xludf.DUMMYFUNCTION("""COMPUTED_VALUE"""),45325)</f>
        <v>45325</v>
      </c>
      <c r="N216" s="5" t="str">
        <f ca="1">IFERROR(__xludf.DUMMYFUNCTION("""COMPUTED_VALUE"""),"MARIO ALBERTO MARTÍNEZ MORA")</f>
        <v>MARIO ALBERTO MARTÍNEZ MORA</v>
      </c>
      <c r="O216" s="2">
        <f ca="1">IFERROR(__xludf.DUMMYFUNCTION("""COMPUTED_VALUE"""),0.008333333)</f>
        <v>8.3333330000000001E-3</v>
      </c>
      <c r="P216" s="5">
        <f ca="1">IFERROR(__xludf.DUMMYFUNCTION("""COMPUTED_VALUE"""),94542837)</f>
        <v>94542837</v>
      </c>
      <c r="Q216" s="5" t="str">
        <f ca="1">IFERROR(__xludf.DUMMYFUNCTION("""COMPUTED_VALUE"""),"lAe16re6Kz4")</f>
        <v>lAe16re6Kz4</v>
      </c>
      <c r="R216" s="5">
        <f ca="1">IFERROR(__xludf.DUMMYFUNCTION("""COMPUTED_VALUE"""),410)</f>
        <v>410</v>
      </c>
      <c r="S216" s="62">
        <f ca="1">IFERROR(__xludf.DUMMYFUNCTION("""COMPUTED_VALUE"""),0.008333333)</f>
        <v>8.3333330000000001E-3</v>
      </c>
      <c r="T216" s="63" t="str">
        <f ca="1">IFERROR(__xludf.DUMMYFUNCTION("""COMPUTED_VALUE"""),"https://storage.googleapis.com/glide-prod.appspot.com/uploads-v2/ly7o78grxPaC6KdgvbpS/pub/3aRdSog0vUtuqPE8AJKD.png")</f>
        <v>https://storage.googleapis.com/glide-prod.appspot.com/uploads-v2/ly7o78grxPaC6KdgvbpS/pub/3aRdSog0vUtuqPE8AJKD.png</v>
      </c>
      <c r="U216" s="5" t="str">
        <f ca="1">IFERROR(__xludf.DUMMYFUNCTION("""COMPUTED_VALUE"""),"EQUIPOS PARA SERVICIOS INDUSTRIALESCOMPRESOR AIRE 3")</f>
        <v>EQUIPOS PARA SERVICIOS INDUSTRIALESCOMPRESOR AIRE 3</v>
      </c>
      <c r="V216" s="5"/>
      <c r="W216" s="5" t="b">
        <f ca="1">IFERROR(__xludf.DUMMYFUNCTION("""COMPUTED_VALUE"""),TRUE)</f>
        <v>1</v>
      </c>
      <c r="X216" s="5" t="str">
        <f ca="1">IFERROR(__xludf.DUMMYFUNCTION("""COMPUTED_VALUE"""),"wmazorra@postobon.com.co,aprmttoyu@postobon.com.co,aprmyu@postobon.com.co,wmora@postobon.com.co,efzapata@postobon.com.co")</f>
        <v>wmazorra@postobon.com.co,aprmttoyu@postobon.com.co,aprmyu@postobon.com.co,wmora@postobon.com.co,efzapata@postobon.com.co</v>
      </c>
      <c r="Y216" s="5" t="str">
        <f ca="1">IFERROR(__xludf.DUMMYFUNCTION("""COMPUTED_VALUE"""),"wmazorra@postobon.com.co")</f>
        <v>wmazorra@postobon.com.co</v>
      </c>
      <c r="Z216" s="5" t="str">
        <f ca="1">IFERROR(__xludf.DUMMYFUNCTION("""COMPUTED_VALUE"""),"dCma.SE7QGCVZ0zglynUoA")</f>
        <v>dCma.SE7QGCVZ0zglynUoA</v>
      </c>
      <c r="AA216" s="5"/>
      <c r="AB216" s="5"/>
      <c r="AC216" s="5"/>
      <c r="AD216" s="5">
        <f ca="1">IFERROR(__xludf.DUMMYFUNCTION("""COMPUTED_VALUE"""),65)</f>
        <v>65</v>
      </c>
      <c r="AE216" s="5">
        <f ca="1">IFERROR(__xludf.DUMMYFUNCTION("""COMPUTED_VALUE"""),65)</f>
        <v>65</v>
      </c>
      <c r="AF216" s="5" t="b">
        <f ca="1">IFERROR(__xludf.DUMMYFUNCTION("""COMPUTED_VALUE"""),FALSE)</f>
        <v>0</v>
      </c>
      <c r="AG216" s="5" t="str">
        <f ca="1">IFERROR(__xludf.DUMMYFUNCTION("""COMPUTED_VALUE"""),"INSPECCIONES REALIZADAS")</f>
        <v>INSPECCIONES REALIZADAS</v>
      </c>
      <c r="AH216" s="5"/>
    </row>
    <row r="217" spans="1:34">
      <c r="A217" s="5" t="str">
        <f ca="1">IFERROR(__xludf.DUMMYFUNCTION("""COMPUTED_VALUE"""),"EQUIPOS PARA SERVICIOS INDUSTRIALES")</f>
        <v>EQUIPOS PARA SERVICIOS INDUSTRIALES</v>
      </c>
      <c r="B217" s="5">
        <f ca="1">IFERROR(__xludf.DUMMYFUNCTION("""COMPUTED_VALUE"""),649544)</f>
        <v>649544</v>
      </c>
      <c r="C217" s="5" t="str">
        <f ca="1">IFERROR(__xludf.DUMMYFUNCTION("""COMPUTED_VALUE"""),"COMPRESOR AIRE 3")</f>
        <v>COMPRESOR AIRE 3</v>
      </c>
      <c r="D217" s="5">
        <f ca="1">IFERROR(__xludf.DUMMYFUNCTION("""COMPUTED_VALUE"""),13247481)</f>
        <v>13247481</v>
      </c>
      <c r="E217" s="5" t="str">
        <f ca="1">IFERROR(__xludf.DUMMYFUNCTION("""COMPUTED_VALUE"""),"INSPECCION SEMANAL COMPRESOR AIRE 3")</f>
        <v>INSPECCION SEMANAL COMPRESOR AIRE 3</v>
      </c>
      <c r="F217" s="5" t="str">
        <f ca="1">IFERROR(__xludf.DUMMYFUNCTION("""COMPUTED_VALUE"""),"ESTADO INSTRUMENTACION")</f>
        <v>ESTADO INSTRUMENTACION</v>
      </c>
      <c r="G217" s="5" t="b">
        <f ca="1">IFERROR(__xludf.DUMMYFUNCTION("""COMPUTED_VALUE"""),TRUE)</f>
        <v>1</v>
      </c>
      <c r="H217" s="5"/>
      <c r="I217" s="5"/>
      <c r="J217" s="5">
        <f ca="1">IFERROR(__xludf.DUMMYFUNCTION("""COMPUTED_VALUE"""),13247481)</f>
        <v>13247481</v>
      </c>
      <c r="K217" s="5"/>
      <c r="L217" s="18">
        <f ca="1">IFERROR(__xludf.DUMMYFUNCTION("""COMPUTED_VALUE"""),45325)</f>
        <v>45325</v>
      </c>
      <c r="M217" s="18">
        <f ca="1">IFERROR(__xludf.DUMMYFUNCTION("""COMPUTED_VALUE"""),45325)</f>
        <v>45325</v>
      </c>
      <c r="N217" s="5" t="str">
        <f ca="1">IFERROR(__xludf.DUMMYFUNCTION("""COMPUTED_VALUE"""),"MARIO ALBERTO MARTÍNEZ MORA")</f>
        <v>MARIO ALBERTO MARTÍNEZ MORA</v>
      </c>
      <c r="O217" s="2">
        <f ca="1">IFERROR(__xludf.DUMMYFUNCTION("""COMPUTED_VALUE"""),0.008333333)</f>
        <v>8.3333330000000001E-3</v>
      </c>
      <c r="P217" s="5">
        <f ca="1">IFERROR(__xludf.DUMMYFUNCTION("""COMPUTED_VALUE"""),94542837)</f>
        <v>94542837</v>
      </c>
      <c r="Q217" s="5" t="str">
        <f ca="1">IFERROR(__xludf.DUMMYFUNCTION("""COMPUTED_VALUE"""),"e1UWnyNZKSE")</f>
        <v>e1UWnyNZKSE</v>
      </c>
      <c r="R217" s="5">
        <f ca="1">IFERROR(__xludf.DUMMYFUNCTION("""COMPUTED_VALUE"""),410)</f>
        <v>410</v>
      </c>
      <c r="S217" s="62">
        <f ca="1">IFERROR(__xludf.DUMMYFUNCTION("""COMPUTED_VALUE"""),0.008333333)</f>
        <v>8.3333330000000001E-3</v>
      </c>
      <c r="T217" s="63" t="str">
        <f ca="1">IFERROR(__xludf.DUMMYFUNCTION("""COMPUTED_VALUE"""),"https://storage.googleapis.com/glide-prod.appspot.com/uploads-v2/ly7o78grxPaC6KdgvbpS/pub/3aRdSog0vUtuqPE8AJKD.png")</f>
        <v>https://storage.googleapis.com/glide-prod.appspot.com/uploads-v2/ly7o78grxPaC6KdgvbpS/pub/3aRdSog0vUtuqPE8AJKD.png</v>
      </c>
      <c r="U217" s="5" t="str">
        <f ca="1">IFERROR(__xludf.DUMMYFUNCTION("""COMPUTED_VALUE"""),"EQUIPOS PARA SERVICIOS INDUSTRIALESCOMPRESOR AIRE 3")</f>
        <v>EQUIPOS PARA SERVICIOS INDUSTRIALESCOMPRESOR AIRE 3</v>
      </c>
      <c r="V217" s="5"/>
      <c r="W217" s="5" t="b">
        <f ca="1">IFERROR(__xludf.DUMMYFUNCTION("""COMPUTED_VALUE"""),TRUE)</f>
        <v>1</v>
      </c>
      <c r="X217" s="5" t="str">
        <f ca="1">IFERROR(__xludf.DUMMYFUNCTION("""COMPUTED_VALUE"""),"wmazorra@postobon.com.co,aprmttoyu@postobon.com.co,aprmyu@postobon.com.co,wmora@postobon.com.co,efzapata@postobon.com.co")</f>
        <v>wmazorra@postobon.com.co,aprmttoyu@postobon.com.co,aprmyu@postobon.com.co,wmora@postobon.com.co,efzapata@postobon.com.co</v>
      </c>
      <c r="Y217" s="5" t="str">
        <f ca="1">IFERROR(__xludf.DUMMYFUNCTION("""COMPUTED_VALUE"""),"wmazorra@postobon.com.co")</f>
        <v>wmazorra@postobon.com.co</v>
      </c>
      <c r="Z217" s="5" t="str">
        <f ca="1">IFERROR(__xludf.DUMMYFUNCTION("""COMPUTED_VALUE"""),"cfYRUd8fSIiXRgRwys.pQQ")</f>
        <v>cfYRUd8fSIiXRgRwys.pQQ</v>
      </c>
      <c r="AA217" s="5"/>
      <c r="AB217" s="5"/>
      <c r="AC217" s="5"/>
      <c r="AD217" s="5">
        <f ca="1">IFERROR(__xludf.DUMMYFUNCTION("""COMPUTED_VALUE"""),65)</f>
        <v>65</v>
      </c>
      <c r="AE217" s="5">
        <f ca="1">IFERROR(__xludf.DUMMYFUNCTION("""COMPUTED_VALUE"""),65)</f>
        <v>65</v>
      </c>
      <c r="AF217" s="5" t="b">
        <f ca="1">IFERROR(__xludf.DUMMYFUNCTION("""COMPUTED_VALUE"""),FALSE)</f>
        <v>0</v>
      </c>
      <c r="AG217" s="5" t="str">
        <f ca="1">IFERROR(__xludf.DUMMYFUNCTION("""COMPUTED_VALUE"""),"INSPECCIONES REALIZADAS")</f>
        <v>INSPECCIONES REALIZADAS</v>
      </c>
      <c r="AH217" s="5"/>
    </row>
    <row r="218" spans="1:34">
      <c r="A218" s="5" t="str">
        <f ca="1">IFERROR(__xludf.DUMMYFUNCTION("""COMPUTED_VALUE"""),"EQUIPOS PARA SERVICIOS INDUSTRIALES")</f>
        <v>EQUIPOS PARA SERVICIOS INDUSTRIALES</v>
      </c>
      <c r="B218" s="5">
        <f ca="1">IFERROR(__xludf.DUMMYFUNCTION("""COMPUTED_VALUE"""),649544)</f>
        <v>649544</v>
      </c>
      <c r="C218" s="5" t="str">
        <f ca="1">IFERROR(__xludf.DUMMYFUNCTION("""COMPUTED_VALUE"""),"COMPRESOR AIRE 3")</f>
        <v>COMPRESOR AIRE 3</v>
      </c>
      <c r="D218" s="5">
        <f ca="1">IFERROR(__xludf.DUMMYFUNCTION("""COMPUTED_VALUE"""),13247481)</f>
        <v>13247481</v>
      </c>
      <c r="E218" s="5" t="str">
        <f ca="1">IFERROR(__xludf.DUMMYFUNCTION("""COMPUTED_VALUE"""),"INSPECCION SEMANAL COMPRESOR AIRE 3")</f>
        <v>INSPECCION SEMANAL COMPRESOR AIRE 3</v>
      </c>
      <c r="F218" s="5" t="str">
        <f ca="1">IFERROR(__xludf.DUMMYFUNCTION("""COMPUTED_VALUE"""),"ESCAPE FLUIDOS(AIRE,AGUA,ACEITE)")</f>
        <v>ESCAPE FLUIDOS(AIRE,AGUA,ACEITE)</v>
      </c>
      <c r="G218" s="5" t="b">
        <f ca="1">IFERROR(__xludf.DUMMYFUNCTION("""COMPUTED_VALUE"""),TRUE)</f>
        <v>1</v>
      </c>
      <c r="H218" s="5"/>
      <c r="I218" s="5"/>
      <c r="J218" s="5">
        <f ca="1">IFERROR(__xludf.DUMMYFUNCTION("""COMPUTED_VALUE"""),13247481)</f>
        <v>13247481</v>
      </c>
      <c r="K218" s="5"/>
      <c r="L218" s="18">
        <f ca="1">IFERROR(__xludf.DUMMYFUNCTION("""COMPUTED_VALUE"""),45325)</f>
        <v>45325</v>
      </c>
      <c r="M218" s="18">
        <f ca="1">IFERROR(__xludf.DUMMYFUNCTION("""COMPUTED_VALUE"""),45325)</f>
        <v>45325</v>
      </c>
      <c r="N218" s="5" t="str">
        <f ca="1">IFERROR(__xludf.DUMMYFUNCTION("""COMPUTED_VALUE"""),"MARIO ALBERTO MARTÍNEZ MORA")</f>
        <v>MARIO ALBERTO MARTÍNEZ MORA</v>
      </c>
      <c r="O218" s="2">
        <f ca="1">IFERROR(__xludf.DUMMYFUNCTION("""COMPUTED_VALUE"""),0.008333333)</f>
        <v>8.3333330000000001E-3</v>
      </c>
      <c r="P218" s="5">
        <f ca="1">IFERROR(__xludf.DUMMYFUNCTION("""COMPUTED_VALUE"""),94542837)</f>
        <v>94542837</v>
      </c>
      <c r="Q218" s="5" t="str">
        <f ca="1">IFERROR(__xludf.DUMMYFUNCTION("""COMPUTED_VALUE"""),"mlL3ezE5nEk")</f>
        <v>mlL3ezE5nEk</v>
      </c>
      <c r="R218" s="5">
        <f ca="1">IFERROR(__xludf.DUMMYFUNCTION("""COMPUTED_VALUE"""),410)</f>
        <v>410</v>
      </c>
      <c r="S218" s="62">
        <f ca="1">IFERROR(__xludf.DUMMYFUNCTION("""COMPUTED_VALUE"""),0.008333333)</f>
        <v>8.3333330000000001E-3</v>
      </c>
      <c r="T218" s="63" t="str">
        <f ca="1">IFERROR(__xludf.DUMMYFUNCTION("""COMPUTED_VALUE"""),"https://storage.googleapis.com/glide-prod.appspot.com/uploads-v2/ly7o78grxPaC6KdgvbpS/pub/3aRdSog0vUtuqPE8AJKD.png")</f>
        <v>https://storage.googleapis.com/glide-prod.appspot.com/uploads-v2/ly7o78grxPaC6KdgvbpS/pub/3aRdSog0vUtuqPE8AJKD.png</v>
      </c>
      <c r="U218" s="5" t="str">
        <f ca="1">IFERROR(__xludf.DUMMYFUNCTION("""COMPUTED_VALUE"""),"EQUIPOS PARA SERVICIOS INDUSTRIALESCOMPRESOR AIRE 3")</f>
        <v>EQUIPOS PARA SERVICIOS INDUSTRIALESCOMPRESOR AIRE 3</v>
      </c>
      <c r="V218" s="5"/>
      <c r="W218" s="5" t="b">
        <f ca="1">IFERROR(__xludf.DUMMYFUNCTION("""COMPUTED_VALUE"""),TRUE)</f>
        <v>1</v>
      </c>
      <c r="X218" s="5" t="str">
        <f ca="1">IFERROR(__xludf.DUMMYFUNCTION("""COMPUTED_VALUE"""),"wmazorra@postobon.com.co,aprmttoyu@postobon.com.co,aprmyu@postobon.com.co,wmora@postobon.com.co,efzapata@postobon.com.co")</f>
        <v>wmazorra@postobon.com.co,aprmttoyu@postobon.com.co,aprmyu@postobon.com.co,wmora@postobon.com.co,efzapata@postobon.com.co</v>
      </c>
      <c r="Y218" s="5" t="str">
        <f ca="1">IFERROR(__xludf.DUMMYFUNCTION("""COMPUTED_VALUE"""),"wmazorra@postobon.com.co")</f>
        <v>wmazorra@postobon.com.co</v>
      </c>
      <c r="Z218" s="5" t="str">
        <f ca="1">IFERROR(__xludf.DUMMYFUNCTION("""COMPUTED_VALUE"""),"GZLMkQkfQTOhoynpI1-C8g")</f>
        <v>GZLMkQkfQTOhoynpI1-C8g</v>
      </c>
      <c r="AA218" s="5"/>
      <c r="AB218" s="5"/>
      <c r="AC218" s="5"/>
      <c r="AD218" s="5">
        <f ca="1">IFERROR(__xludf.DUMMYFUNCTION("""COMPUTED_VALUE"""),65)</f>
        <v>65</v>
      </c>
      <c r="AE218" s="5">
        <f ca="1">IFERROR(__xludf.DUMMYFUNCTION("""COMPUTED_VALUE"""),65)</f>
        <v>65</v>
      </c>
      <c r="AF218" s="5" t="b">
        <f ca="1">IFERROR(__xludf.DUMMYFUNCTION("""COMPUTED_VALUE"""),FALSE)</f>
        <v>0</v>
      </c>
      <c r="AG218" s="5" t="str">
        <f ca="1">IFERROR(__xludf.DUMMYFUNCTION("""COMPUTED_VALUE"""),"INSPECCIONES REALIZADAS")</f>
        <v>INSPECCIONES REALIZADAS</v>
      </c>
      <c r="AH218" s="5"/>
    </row>
    <row r="219" spans="1:34">
      <c r="A219" s="5" t="str">
        <f ca="1">IFERROR(__xludf.DUMMYFUNCTION("""COMPUTED_VALUE"""),"EQUIPOS PARA SERVICIOS INDUSTRIALES")</f>
        <v>EQUIPOS PARA SERVICIOS INDUSTRIALES</v>
      </c>
      <c r="B219" s="5">
        <f ca="1">IFERROR(__xludf.DUMMYFUNCTION("""COMPUTED_VALUE"""),649544)</f>
        <v>649544</v>
      </c>
      <c r="C219" s="5" t="str">
        <f ca="1">IFERROR(__xludf.DUMMYFUNCTION("""COMPUTED_VALUE"""),"COMPRESOR AIRE 3")</f>
        <v>COMPRESOR AIRE 3</v>
      </c>
      <c r="D219" s="5">
        <f ca="1">IFERROR(__xludf.DUMMYFUNCTION("""COMPUTED_VALUE"""),13247481)</f>
        <v>13247481</v>
      </c>
      <c r="E219" s="5" t="str">
        <f ca="1">IFERROR(__xludf.DUMMYFUNCTION("""COMPUTED_VALUE"""),"INSPECCION SEMANAL COMPRESOR AIRE 3")</f>
        <v>INSPECCION SEMANAL COMPRESOR AIRE 3</v>
      </c>
      <c r="F219" s="5" t="str">
        <f ca="1">IFERROR(__xludf.DUMMYFUNCTION("""COMPUTED_VALUE"""),"ESTADO GRAL PINTURA")</f>
        <v>ESTADO GRAL PINTURA</v>
      </c>
      <c r="G219" s="5" t="b">
        <f ca="1">IFERROR(__xludf.DUMMYFUNCTION("""COMPUTED_VALUE"""),TRUE)</f>
        <v>1</v>
      </c>
      <c r="H219" s="5"/>
      <c r="I219" s="5"/>
      <c r="J219" s="5">
        <f ca="1">IFERROR(__xludf.DUMMYFUNCTION("""COMPUTED_VALUE"""),13247481)</f>
        <v>13247481</v>
      </c>
      <c r="K219" s="5"/>
      <c r="L219" s="18">
        <f ca="1">IFERROR(__xludf.DUMMYFUNCTION("""COMPUTED_VALUE"""),45325)</f>
        <v>45325</v>
      </c>
      <c r="M219" s="18">
        <f ca="1">IFERROR(__xludf.DUMMYFUNCTION("""COMPUTED_VALUE"""),45325)</f>
        <v>45325</v>
      </c>
      <c r="N219" s="5" t="str">
        <f ca="1">IFERROR(__xludf.DUMMYFUNCTION("""COMPUTED_VALUE"""),"MARIO ALBERTO MARTÍNEZ MORA")</f>
        <v>MARIO ALBERTO MARTÍNEZ MORA</v>
      </c>
      <c r="O219" s="2">
        <f ca="1">IFERROR(__xludf.DUMMYFUNCTION("""COMPUTED_VALUE"""),0.008333333)</f>
        <v>8.3333330000000001E-3</v>
      </c>
      <c r="P219" s="5">
        <f ca="1">IFERROR(__xludf.DUMMYFUNCTION("""COMPUTED_VALUE"""),94542837)</f>
        <v>94542837</v>
      </c>
      <c r="Q219" s="5" t="str">
        <f ca="1">IFERROR(__xludf.DUMMYFUNCTION("""COMPUTED_VALUE"""),"l3PcfDVK2ww")</f>
        <v>l3PcfDVK2ww</v>
      </c>
      <c r="R219" s="5">
        <f ca="1">IFERROR(__xludf.DUMMYFUNCTION("""COMPUTED_VALUE"""),410)</f>
        <v>410</v>
      </c>
      <c r="S219" s="62">
        <f ca="1">IFERROR(__xludf.DUMMYFUNCTION("""COMPUTED_VALUE"""),0.008333333)</f>
        <v>8.3333330000000001E-3</v>
      </c>
      <c r="T219" s="63" t="str">
        <f ca="1">IFERROR(__xludf.DUMMYFUNCTION("""COMPUTED_VALUE"""),"https://storage.googleapis.com/glide-prod.appspot.com/uploads-v2/ly7o78grxPaC6KdgvbpS/pub/3aRdSog0vUtuqPE8AJKD.png")</f>
        <v>https://storage.googleapis.com/glide-prod.appspot.com/uploads-v2/ly7o78grxPaC6KdgvbpS/pub/3aRdSog0vUtuqPE8AJKD.png</v>
      </c>
      <c r="U219" s="5" t="str">
        <f ca="1">IFERROR(__xludf.DUMMYFUNCTION("""COMPUTED_VALUE"""),"EQUIPOS PARA SERVICIOS INDUSTRIALESCOMPRESOR AIRE 3")</f>
        <v>EQUIPOS PARA SERVICIOS INDUSTRIALESCOMPRESOR AIRE 3</v>
      </c>
      <c r="V219" s="5"/>
      <c r="W219" s="5" t="b">
        <f ca="1">IFERROR(__xludf.DUMMYFUNCTION("""COMPUTED_VALUE"""),TRUE)</f>
        <v>1</v>
      </c>
      <c r="X219" s="5" t="str">
        <f ca="1">IFERROR(__xludf.DUMMYFUNCTION("""COMPUTED_VALUE"""),"wmazorra@postobon.com.co,aprmttoyu@postobon.com.co,aprmyu@postobon.com.co,wmora@postobon.com.co,efzapata@postobon.com.co")</f>
        <v>wmazorra@postobon.com.co,aprmttoyu@postobon.com.co,aprmyu@postobon.com.co,wmora@postobon.com.co,efzapata@postobon.com.co</v>
      </c>
      <c r="Y219" s="5" t="str">
        <f ca="1">IFERROR(__xludf.DUMMYFUNCTION("""COMPUTED_VALUE"""),"wmazorra@postobon.com.co")</f>
        <v>wmazorra@postobon.com.co</v>
      </c>
      <c r="Z219" s="5" t="str">
        <f ca="1">IFERROR(__xludf.DUMMYFUNCTION("""COMPUTED_VALUE"""),"PoJYGMPyQAagN02ScX2Zgw")</f>
        <v>PoJYGMPyQAagN02ScX2Zgw</v>
      </c>
      <c r="AA219" s="5"/>
      <c r="AB219" s="5"/>
      <c r="AC219" s="5"/>
      <c r="AD219" s="5">
        <f ca="1">IFERROR(__xludf.DUMMYFUNCTION("""COMPUTED_VALUE"""),65)</f>
        <v>65</v>
      </c>
      <c r="AE219" s="5">
        <f ca="1">IFERROR(__xludf.DUMMYFUNCTION("""COMPUTED_VALUE"""),65)</f>
        <v>65</v>
      </c>
      <c r="AF219" s="5" t="b">
        <f ca="1">IFERROR(__xludf.DUMMYFUNCTION("""COMPUTED_VALUE"""),FALSE)</f>
        <v>0</v>
      </c>
      <c r="AG219" s="5" t="str">
        <f ca="1">IFERROR(__xludf.DUMMYFUNCTION("""COMPUTED_VALUE"""),"INSPECCIONES REALIZADAS")</f>
        <v>INSPECCIONES REALIZADAS</v>
      </c>
      <c r="AH219" s="5"/>
    </row>
    <row r="220" spans="1:34">
      <c r="A220" s="5" t="str">
        <f ca="1">IFERROR(__xludf.DUMMYFUNCTION("""COMPUTED_VALUE"""),"EQUIPOS PARA SERVICIOS INDUSTRIALES")</f>
        <v>EQUIPOS PARA SERVICIOS INDUSTRIALES</v>
      </c>
      <c r="B220" s="5">
        <f ca="1">IFERROR(__xludf.DUMMYFUNCTION("""COMPUTED_VALUE"""),649544)</f>
        <v>649544</v>
      </c>
      <c r="C220" s="5" t="str">
        <f ca="1">IFERROR(__xludf.DUMMYFUNCTION("""COMPUTED_VALUE"""),"COMPRESOR AIRE 3")</f>
        <v>COMPRESOR AIRE 3</v>
      </c>
      <c r="D220" s="5">
        <f ca="1">IFERROR(__xludf.DUMMYFUNCTION("""COMPUTED_VALUE"""),13247481)</f>
        <v>13247481</v>
      </c>
      <c r="E220" s="5" t="str">
        <f ca="1">IFERROR(__xludf.DUMMYFUNCTION("""COMPUTED_VALUE"""),"INSPECCION SEMANAL COMPRESOR AIRE 3")</f>
        <v>INSPECCION SEMANAL COMPRESOR AIRE 3</v>
      </c>
      <c r="F220" s="5" t="str">
        <f ca="1">IFERROR(__xludf.DUMMYFUNCTION("""COMPUTED_VALUE"""),"INSP. TABLERO ELECTRICO/CLIMATIZADOR")</f>
        <v>INSP. TABLERO ELECTRICO/CLIMATIZADOR</v>
      </c>
      <c r="G220" s="5" t="b">
        <f ca="1">IFERROR(__xludf.DUMMYFUNCTION("""COMPUTED_VALUE"""),TRUE)</f>
        <v>1</v>
      </c>
      <c r="H220" s="5"/>
      <c r="I220" s="5"/>
      <c r="J220" s="5">
        <f ca="1">IFERROR(__xludf.DUMMYFUNCTION("""COMPUTED_VALUE"""),13247481)</f>
        <v>13247481</v>
      </c>
      <c r="K220" s="5"/>
      <c r="L220" s="18">
        <f ca="1">IFERROR(__xludf.DUMMYFUNCTION("""COMPUTED_VALUE"""),45325)</f>
        <v>45325</v>
      </c>
      <c r="M220" s="18">
        <f ca="1">IFERROR(__xludf.DUMMYFUNCTION("""COMPUTED_VALUE"""),45325)</f>
        <v>45325</v>
      </c>
      <c r="N220" s="5" t="str">
        <f ca="1">IFERROR(__xludf.DUMMYFUNCTION("""COMPUTED_VALUE"""),"MARIO ALBERTO MARTÍNEZ MORA")</f>
        <v>MARIO ALBERTO MARTÍNEZ MORA</v>
      </c>
      <c r="O220" s="2">
        <f ca="1">IFERROR(__xludf.DUMMYFUNCTION("""COMPUTED_VALUE"""),0.008333333)</f>
        <v>8.3333330000000001E-3</v>
      </c>
      <c r="P220" s="5">
        <f ca="1">IFERROR(__xludf.DUMMYFUNCTION("""COMPUTED_VALUE"""),94542837)</f>
        <v>94542837</v>
      </c>
      <c r="Q220" s="5" t="str">
        <f ca="1">IFERROR(__xludf.DUMMYFUNCTION("""COMPUTED_VALUE"""),"kVbJSq6y8Mg")</f>
        <v>kVbJSq6y8Mg</v>
      </c>
      <c r="R220" s="5">
        <f ca="1">IFERROR(__xludf.DUMMYFUNCTION("""COMPUTED_VALUE"""),410)</f>
        <v>410</v>
      </c>
      <c r="S220" s="62">
        <f ca="1">IFERROR(__xludf.DUMMYFUNCTION("""COMPUTED_VALUE"""),0.008333333)</f>
        <v>8.3333330000000001E-3</v>
      </c>
      <c r="T220" s="63" t="str">
        <f ca="1">IFERROR(__xludf.DUMMYFUNCTION("""COMPUTED_VALUE"""),"https://storage.googleapis.com/glide-prod.appspot.com/uploads-v2/ly7o78grxPaC6KdgvbpS/pub/3aRdSog0vUtuqPE8AJKD.png")</f>
        <v>https://storage.googleapis.com/glide-prod.appspot.com/uploads-v2/ly7o78grxPaC6KdgvbpS/pub/3aRdSog0vUtuqPE8AJKD.png</v>
      </c>
      <c r="U220" s="5" t="str">
        <f ca="1">IFERROR(__xludf.DUMMYFUNCTION("""COMPUTED_VALUE"""),"EQUIPOS PARA SERVICIOS INDUSTRIALESCOMPRESOR AIRE 3")</f>
        <v>EQUIPOS PARA SERVICIOS INDUSTRIALESCOMPRESOR AIRE 3</v>
      </c>
      <c r="V220" s="5"/>
      <c r="W220" s="5" t="b">
        <f ca="1">IFERROR(__xludf.DUMMYFUNCTION("""COMPUTED_VALUE"""),TRUE)</f>
        <v>1</v>
      </c>
      <c r="X220" s="5" t="str">
        <f ca="1">IFERROR(__xludf.DUMMYFUNCTION("""COMPUTED_VALUE"""),"wmazorra@postobon.com.co,aprmttoyu@postobon.com.co,aprmyu@postobon.com.co,wmora@postobon.com.co,efzapata@postobon.com.co")</f>
        <v>wmazorra@postobon.com.co,aprmttoyu@postobon.com.co,aprmyu@postobon.com.co,wmora@postobon.com.co,efzapata@postobon.com.co</v>
      </c>
      <c r="Y220" s="5" t="str">
        <f ca="1">IFERROR(__xludf.DUMMYFUNCTION("""COMPUTED_VALUE"""),"wmazorra@postobon.com.co")</f>
        <v>wmazorra@postobon.com.co</v>
      </c>
      <c r="Z220" s="5" t="str">
        <f ca="1">IFERROR(__xludf.DUMMYFUNCTION("""COMPUTED_VALUE"""),"G96OrHzSQe6G43K45Q7Law")</f>
        <v>G96OrHzSQe6G43K45Q7Law</v>
      </c>
      <c r="AA220" s="5"/>
      <c r="AB220" s="5"/>
      <c r="AC220" s="5"/>
      <c r="AD220" s="5">
        <f ca="1">IFERROR(__xludf.DUMMYFUNCTION("""COMPUTED_VALUE"""),65)</f>
        <v>65</v>
      </c>
      <c r="AE220" s="5">
        <f ca="1">IFERROR(__xludf.DUMMYFUNCTION("""COMPUTED_VALUE"""),65)</f>
        <v>65</v>
      </c>
      <c r="AF220" s="5" t="b">
        <f ca="1">IFERROR(__xludf.DUMMYFUNCTION("""COMPUTED_VALUE"""),FALSE)</f>
        <v>0</v>
      </c>
      <c r="AG220" s="5" t="str">
        <f ca="1">IFERROR(__xludf.DUMMYFUNCTION("""COMPUTED_VALUE"""),"INSPECCIONES REALIZADAS")</f>
        <v>INSPECCIONES REALIZADAS</v>
      </c>
      <c r="AH220" s="5"/>
    </row>
    <row r="221" spans="1:34">
      <c r="A221" s="5" t="str">
        <f ca="1">IFERROR(__xludf.DUMMYFUNCTION("""COMPUTED_VALUE"""),"EQUIPOS PARA SERVICIOS INDUSTRIALES")</f>
        <v>EQUIPOS PARA SERVICIOS INDUSTRIALES</v>
      </c>
      <c r="B221" s="5">
        <f ca="1">IFERROR(__xludf.DUMMYFUNCTION("""COMPUTED_VALUE"""),649544)</f>
        <v>649544</v>
      </c>
      <c r="C221" s="5" t="str">
        <f ca="1">IFERROR(__xludf.DUMMYFUNCTION("""COMPUTED_VALUE"""),"COMPRESOR AIRE 3")</f>
        <v>COMPRESOR AIRE 3</v>
      </c>
      <c r="D221" s="5">
        <f ca="1">IFERROR(__xludf.DUMMYFUNCTION("""COMPUTED_VALUE"""),13247481)</f>
        <v>13247481</v>
      </c>
      <c r="E221" s="5" t="str">
        <f ca="1">IFERROR(__xludf.DUMMYFUNCTION("""COMPUTED_VALUE"""),"INSPECCION SEMANAL COMPRESOR AIRE 3")</f>
        <v>INSPECCION SEMANAL COMPRESOR AIRE 3</v>
      </c>
      <c r="F221" s="5" t="str">
        <f ca="1">IFERROR(__xludf.DUMMYFUNCTION("""COMPUTED_VALUE"""),"ESTADO DEL SECADOR")</f>
        <v>ESTADO DEL SECADOR</v>
      </c>
      <c r="G221" s="5" t="b">
        <f ca="1">IFERROR(__xludf.DUMMYFUNCTION("""COMPUTED_VALUE"""),TRUE)</f>
        <v>1</v>
      </c>
      <c r="H221" s="5"/>
      <c r="I221" s="5"/>
      <c r="J221" s="5">
        <f ca="1">IFERROR(__xludf.DUMMYFUNCTION("""COMPUTED_VALUE"""),13247481)</f>
        <v>13247481</v>
      </c>
      <c r="K221" s="5"/>
      <c r="L221" s="18">
        <f ca="1">IFERROR(__xludf.DUMMYFUNCTION("""COMPUTED_VALUE"""),45325)</f>
        <v>45325</v>
      </c>
      <c r="M221" s="18">
        <f ca="1">IFERROR(__xludf.DUMMYFUNCTION("""COMPUTED_VALUE"""),45325)</f>
        <v>45325</v>
      </c>
      <c r="N221" s="5" t="str">
        <f ca="1">IFERROR(__xludf.DUMMYFUNCTION("""COMPUTED_VALUE"""),"MARIO ALBERTO MARTÍNEZ MORA")</f>
        <v>MARIO ALBERTO MARTÍNEZ MORA</v>
      </c>
      <c r="O221" s="2">
        <f ca="1">IFERROR(__xludf.DUMMYFUNCTION("""COMPUTED_VALUE"""),0.008333333)</f>
        <v>8.3333330000000001E-3</v>
      </c>
      <c r="P221" s="5">
        <f ca="1">IFERROR(__xludf.DUMMYFUNCTION("""COMPUTED_VALUE"""),94542837)</f>
        <v>94542837</v>
      </c>
      <c r="Q221" s="5" t="str">
        <f ca="1">IFERROR(__xludf.DUMMYFUNCTION("""COMPUTED_VALUE"""),"U0rIwjdnO2Q")</f>
        <v>U0rIwjdnO2Q</v>
      </c>
      <c r="R221" s="5">
        <f ca="1">IFERROR(__xludf.DUMMYFUNCTION("""COMPUTED_VALUE"""),410)</f>
        <v>410</v>
      </c>
      <c r="S221" s="62">
        <f ca="1">IFERROR(__xludf.DUMMYFUNCTION("""COMPUTED_VALUE"""),0.008333333)</f>
        <v>8.3333330000000001E-3</v>
      </c>
      <c r="T221" s="63" t="str">
        <f ca="1">IFERROR(__xludf.DUMMYFUNCTION("""COMPUTED_VALUE"""),"https://storage.googleapis.com/glide-prod.appspot.com/uploads-v2/ly7o78grxPaC6KdgvbpS/pub/3aRdSog0vUtuqPE8AJKD.png")</f>
        <v>https://storage.googleapis.com/glide-prod.appspot.com/uploads-v2/ly7o78grxPaC6KdgvbpS/pub/3aRdSog0vUtuqPE8AJKD.png</v>
      </c>
      <c r="U221" s="5" t="str">
        <f ca="1">IFERROR(__xludf.DUMMYFUNCTION("""COMPUTED_VALUE"""),"EQUIPOS PARA SERVICIOS INDUSTRIALESCOMPRESOR AIRE 3")</f>
        <v>EQUIPOS PARA SERVICIOS INDUSTRIALESCOMPRESOR AIRE 3</v>
      </c>
      <c r="V221" s="5"/>
      <c r="W221" s="5" t="b">
        <f ca="1">IFERROR(__xludf.DUMMYFUNCTION("""COMPUTED_VALUE"""),TRUE)</f>
        <v>1</v>
      </c>
      <c r="X221" s="5" t="str">
        <f ca="1">IFERROR(__xludf.DUMMYFUNCTION("""COMPUTED_VALUE"""),"wmazorra@postobon.com.co,aprmttoyu@postobon.com.co,aprmyu@postobon.com.co,wmora@postobon.com.co,efzapata@postobon.com.co")</f>
        <v>wmazorra@postobon.com.co,aprmttoyu@postobon.com.co,aprmyu@postobon.com.co,wmora@postobon.com.co,efzapata@postobon.com.co</v>
      </c>
      <c r="Y221" s="5" t="str">
        <f ca="1">IFERROR(__xludf.DUMMYFUNCTION("""COMPUTED_VALUE"""),"wmazorra@postobon.com.co")</f>
        <v>wmazorra@postobon.com.co</v>
      </c>
      <c r="Z221" s="5" t="str">
        <f ca="1">IFERROR(__xludf.DUMMYFUNCTION("""COMPUTED_VALUE"""),"YkqyVXvARa-RZkjadDw2dA")</f>
        <v>YkqyVXvARa-RZkjadDw2dA</v>
      </c>
      <c r="AA221" s="5"/>
      <c r="AB221" s="5"/>
      <c r="AC221" s="5"/>
      <c r="AD221" s="5">
        <f ca="1">IFERROR(__xludf.DUMMYFUNCTION("""COMPUTED_VALUE"""),65)</f>
        <v>65</v>
      </c>
      <c r="AE221" s="5">
        <f ca="1">IFERROR(__xludf.DUMMYFUNCTION("""COMPUTED_VALUE"""),65)</f>
        <v>65</v>
      </c>
      <c r="AF221" s="5" t="b">
        <f ca="1">IFERROR(__xludf.DUMMYFUNCTION("""COMPUTED_VALUE"""),FALSE)</f>
        <v>0</v>
      </c>
      <c r="AG221" s="5" t="str">
        <f ca="1">IFERROR(__xludf.DUMMYFUNCTION("""COMPUTED_VALUE"""),"INSPECCIONES REALIZADAS")</f>
        <v>INSPECCIONES REALIZADAS</v>
      </c>
      <c r="AH221" s="5"/>
    </row>
    <row r="222" spans="1:34">
      <c r="A222" s="5" t="str">
        <f ca="1">IFERROR(__xludf.DUMMYFUNCTION("""COMPUTED_VALUE"""),"EQUIPOS PARA SERVICIOS INDUSTRIALES")</f>
        <v>EQUIPOS PARA SERVICIOS INDUSTRIALES</v>
      </c>
      <c r="B222" s="5">
        <f ca="1">IFERROR(__xludf.DUMMYFUNCTION("""COMPUTED_VALUE"""),649543)</f>
        <v>649543</v>
      </c>
      <c r="C222" s="5" t="str">
        <f ca="1">IFERROR(__xludf.DUMMYFUNCTION("""COMPUTED_VALUE"""),"COMPRESOR AIRE 2")</f>
        <v>COMPRESOR AIRE 2</v>
      </c>
      <c r="D222" s="5">
        <f ca="1">IFERROR(__xludf.DUMMYFUNCTION("""COMPUTED_VALUE"""),13247478)</f>
        <v>13247478</v>
      </c>
      <c r="E222" s="5" t="str">
        <f ca="1">IFERROR(__xludf.DUMMYFUNCTION("""COMPUTED_VALUE"""),"INSPECCION SEMANAL COMPRESOR AIRE SIERRA")</f>
        <v>INSPECCION SEMANAL COMPRESOR AIRE SIERRA</v>
      </c>
      <c r="F222" s="5" t="str">
        <f ca="1">IFERROR(__xludf.DUMMYFUNCTION("""COMPUTED_VALUE"""),"INSP NIVEL ACEITE (1/2 A 3/4)")</f>
        <v>INSP NIVEL ACEITE (1/2 A 3/4)</v>
      </c>
      <c r="G222" s="5" t="b">
        <f ca="1">IFERROR(__xludf.DUMMYFUNCTION("""COMPUTED_VALUE"""),TRUE)</f>
        <v>1</v>
      </c>
      <c r="H222" s="5"/>
      <c r="I222" s="5"/>
      <c r="J222" s="5">
        <f ca="1">IFERROR(__xludf.DUMMYFUNCTION("""COMPUTED_VALUE"""),13247478)</f>
        <v>13247478</v>
      </c>
      <c r="K222" s="5"/>
      <c r="L222" s="18">
        <f ca="1">IFERROR(__xludf.DUMMYFUNCTION("""COMPUTED_VALUE"""),45324)</f>
        <v>45324</v>
      </c>
      <c r="M222" s="18">
        <f ca="1">IFERROR(__xludf.DUMMYFUNCTION("""COMPUTED_VALUE"""),45324)</f>
        <v>45324</v>
      </c>
      <c r="N222" s="5" t="str">
        <f ca="1">IFERROR(__xludf.DUMMYFUNCTION("""COMPUTED_VALUE"""),"MARIO ALBERTO MARTÍNEZ MORA")</f>
        <v>MARIO ALBERTO MARTÍNEZ MORA</v>
      </c>
      <c r="O222" s="2">
        <f ca="1">IFERROR(__xludf.DUMMYFUNCTION("""COMPUTED_VALUE"""),0.008333333)</f>
        <v>8.3333330000000001E-3</v>
      </c>
      <c r="P222" s="5">
        <f ca="1">IFERROR(__xludf.DUMMYFUNCTION("""COMPUTED_VALUE"""),94542837)</f>
        <v>94542837</v>
      </c>
      <c r="Q222" s="5" t="str">
        <f ca="1">IFERROR(__xludf.DUMMYFUNCTION("""COMPUTED_VALUE"""),"TaMMzsoA08s")</f>
        <v>TaMMzsoA08s</v>
      </c>
      <c r="R222" s="5">
        <f ca="1">IFERROR(__xludf.DUMMYFUNCTION("""COMPUTED_VALUE"""),410)</f>
        <v>410</v>
      </c>
      <c r="S222" s="62">
        <f ca="1">IFERROR(__xludf.DUMMYFUNCTION("""COMPUTED_VALUE"""),0.008333333)</f>
        <v>8.3333330000000001E-3</v>
      </c>
      <c r="T222" s="63" t="str">
        <f ca="1">IFERROR(__xludf.DUMMYFUNCTION("""COMPUTED_VALUE"""),"https://storage.googleapis.com/glide-prod.appspot.com/uploads-v2/ly7o78grxPaC6KdgvbpS/pub/3aRdSog0vUtuqPE8AJKD.png")</f>
        <v>https://storage.googleapis.com/glide-prod.appspot.com/uploads-v2/ly7o78grxPaC6KdgvbpS/pub/3aRdSog0vUtuqPE8AJKD.png</v>
      </c>
      <c r="U222" s="5" t="str">
        <f ca="1">IFERROR(__xludf.DUMMYFUNCTION("""COMPUTED_VALUE"""),"EQUIPOS PARA SERVICIOS INDUSTRIALESCOMPRESOR AIRE 2")</f>
        <v>EQUIPOS PARA SERVICIOS INDUSTRIALESCOMPRESOR AIRE 2</v>
      </c>
      <c r="V222" s="5"/>
      <c r="W222" s="5" t="b">
        <f ca="1">IFERROR(__xludf.DUMMYFUNCTION("""COMPUTED_VALUE"""),TRUE)</f>
        <v>1</v>
      </c>
      <c r="X222" s="5" t="str">
        <f ca="1">IFERROR(__xludf.DUMMYFUNCTION("""COMPUTED_VALUE"""),"wmazorra@postobon.com.co,aprmttoyu@postobon.com.co,aprmyu@postobon.com.co,wmora@postobon.com.co,efzapata@postobon.com.co")</f>
        <v>wmazorra@postobon.com.co,aprmttoyu@postobon.com.co,aprmyu@postobon.com.co,wmora@postobon.com.co,efzapata@postobon.com.co</v>
      </c>
      <c r="Y222" s="5" t="str">
        <f ca="1">IFERROR(__xludf.DUMMYFUNCTION("""COMPUTED_VALUE"""),"wmazorra@postobon.com.co")</f>
        <v>wmazorra@postobon.com.co</v>
      </c>
      <c r="Z222" s="5" t="str">
        <f ca="1">IFERROR(__xludf.DUMMYFUNCTION("""COMPUTED_VALUE"""),"zkkzaI9WS0itMvaWb92RbQ")</f>
        <v>zkkzaI9WS0itMvaWb92RbQ</v>
      </c>
      <c r="AA222" s="5"/>
      <c r="AB222" s="5"/>
      <c r="AC222" s="5"/>
      <c r="AD222" s="5">
        <f ca="1">IFERROR(__xludf.DUMMYFUNCTION("""COMPUTED_VALUE"""),65)</f>
        <v>65</v>
      </c>
      <c r="AE222" s="5">
        <f ca="1">IFERROR(__xludf.DUMMYFUNCTION("""COMPUTED_VALUE"""),65)</f>
        <v>65</v>
      </c>
      <c r="AF222" s="5" t="b">
        <f ca="1">IFERROR(__xludf.DUMMYFUNCTION("""COMPUTED_VALUE"""),FALSE)</f>
        <v>0</v>
      </c>
      <c r="AG222" s="5" t="str">
        <f ca="1">IFERROR(__xludf.DUMMYFUNCTION("""COMPUTED_VALUE"""),"INSPECCIONES REALIZADAS")</f>
        <v>INSPECCIONES REALIZADAS</v>
      </c>
      <c r="AH222" s="5"/>
    </row>
    <row r="223" spans="1:34">
      <c r="A223" s="5" t="str">
        <f ca="1">IFERROR(__xludf.DUMMYFUNCTION("""COMPUTED_VALUE"""),"EQUIPOS PARA SERVICIOS INDUSTRIALES")</f>
        <v>EQUIPOS PARA SERVICIOS INDUSTRIALES</v>
      </c>
      <c r="B223" s="5">
        <f ca="1">IFERROR(__xludf.DUMMYFUNCTION("""COMPUTED_VALUE"""),649543)</f>
        <v>649543</v>
      </c>
      <c r="C223" s="5" t="str">
        <f ca="1">IFERROR(__xludf.DUMMYFUNCTION("""COMPUTED_VALUE"""),"COMPRESOR AIRE 2")</f>
        <v>COMPRESOR AIRE 2</v>
      </c>
      <c r="D223" s="5">
        <f ca="1">IFERROR(__xludf.DUMMYFUNCTION("""COMPUTED_VALUE"""),13247478)</f>
        <v>13247478</v>
      </c>
      <c r="E223" s="5" t="str">
        <f ca="1">IFERROR(__xludf.DUMMYFUNCTION("""COMPUTED_VALUE"""),"INSPECCION SEMANAL COMPRESOR AIRE SIERRA")</f>
        <v>INSPECCION SEMANAL COMPRESOR AIRE SIERRA</v>
      </c>
      <c r="F223" s="5" t="str">
        <f ca="1">IFERROR(__xludf.DUMMYFUNCTION("""COMPUTED_VALUE"""),"INSP TEMP ACEITE (&gt;49 ºc)")</f>
        <v>INSP TEMP ACEITE (&gt;49 ºc)</v>
      </c>
      <c r="G223" s="5" t="b">
        <f ca="1">IFERROR(__xludf.DUMMYFUNCTION("""COMPUTED_VALUE"""),TRUE)</f>
        <v>1</v>
      </c>
      <c r="H223" s="5"/>
      <c r="I223" s="5"/>
      <c r="J223" s="5">
        <f ca="1">IFERROR(__xludf.DUMMYFUNCTION("""COMPUTED_VALUE"""),13247478)</f>
        <v>13247478</v>
      </c>
      <c r="K223" s="5"/>
      <c r="L223" s="18">
        <f ca="1">IFERROR(__xludf.DUMMYFUNCTION("""COMPUTED_VALUE"""),45324)</f>
        <v>45324</v>
      </c>
      <c r="M223" s="18">
        <f ca="1">IFERROR(__xludf.DUMMYFUNCTION("""COMPUTED_VALUE"""),45324)</f>
        <v>45324</v>
      </c>
      <c r="N223" s="5" t="str">
        <f ca="1">IFERROR(__xludf.DUMMYFUNCTION("""COMPUTED_VALUE"""),"MARIO ALBERTO MARTÍNEZ MORA")</f>
        <v>MARIO ALBERTO MARTÍNEZ MORA</v>
      </c>
      <c r="O223" s="2">
        <f ca="1">IFERROR(__xludf.DUMMYFUNCTION("""COMPUTED_VALUE"""),0.008333333)</f>
        <v>8.3333330000000001E-3</v>
      </c>
      <c r="P223" s="5">
        <f ca="1">IFERROR(__xludf.DUMMYFUNCTION("""COMPUTED_VALUE"""),94542837)</f>
        <v>94542837</v>
      </c>
      <c r="Q223" s="5" t="str">
        <f ca="1">IFERROR(__xludf.DUMMYFUNCTION("""COMPUTED_VALUE"""),"CfRS5aNp_JI")</f>
        <v>CfRS5aNp_JI</v>
      </c>
      <c r="R223" s="5">
        <f ca="1">IFERROR(__xludf.DUMMYFUNCTION("""COMPUTED_VALUE"""),410)</f>
        <v>410</v>
      </c>
      <c r="S223" s="62">
        <f ca="1">IFERROR(__xludf.DUMMYFUNCTION("""COMPUTED_VALUE"""),0.008333333)</f>
        <v>8.3333330000000001E-3</v>
      </c>
      <c r="T223" s="63" t="str">
        <f ca="1">IFERROR(__xludf.DUMMYFUNCTION("""COMPUTED_VALUE"""),"https://storage.googleapis.com/glide-prod.appspot.com/uploads-v2/ly7o78grxPaC6KdgvbpS/pub/3aRdSog0vUtuqPE8AJKD.png")</f>
        <v>https://storage.googleapis.com/glide-prod.appspot.com/uploads-v2/ly7o78grxPaC6KdgvbpS/pub/3aRdSog0vUtuqPE8AJKD.png</v>
      </c>
      <c r="U223" s="5" t="str">
        <f ca="1">IFERROR(__xludf.DUMMYFUNCTION("""COMPUTED_VALUE"""),"EQUIPOS PARA SERVICIOS INDUSTRIALESCOMPRESOR AIRE 2")</f>
        <v>EQUIPOS PARA SERVICIOS INDUSTRIALESCOMPRESOR AIRE 2</v>
      </c>
      <c r="V223" s="5"/>
      <c r="W223" s="5" t="b">
        <f ca="1">IFERROR(__xludf.DUMMYFUNCTION("""COMPUTED_VALUE"""),TRUE)</f>
        <v>1</v>
      </c>
      <c r="X223" s="5" t="str">
        <f ca="1">IFERROR(__xludf.DUMMYFUNCTION("""COMPUTED_VALUE"""),"wmazorra@postobon.com.co,aprmttoyu@postobon.com.co,aprmyu@postobon.com.co,wmora@postobon.com.co,efzapata@postobon.com.co")</f>
        <v>wmazorra@postobon.com.co,aprmttoyu@postobon.com.co,aprmyu@postobon.com.co,wmora@postobon.com.co,efzapata@postobon.com.co</v>
      </c>
      <c r="Y223" s="5" t="str">
        <f ca="1">IFERROR(__xludf.DUMMYFUNCTION("""COMPUTED_VALUE"""),"wmazorra@postobon.com.co")</f>
        <v>wmazorra@postobon.com.co</v>
      </c>
      <c r="Z223" s="5" t="str">
        <f ca="1">IFERROR(__xludf.DUMMYFUNCTION("""COMPUTED_VALUE"""),"IuW5CEmGSVWomXVfv2y28w")</f>
        <v>IuW5CEmGSVWomXVfv2y28w</v>
      </c>
      <c r="AA223" s="5"/>
      <c r="AB223" s="5"/>
      <c r="AC223" s="5"/>
      <c r="AD223" s="5">
        <f ca="1">IFERROR(__xludf.DUMMYFUNCTION("""COMPUTED_VALUE"""),65)</f>
        <v>65</v>
      </c>
      <c r="AE223" s="5">
        <f ca="1">IFERROR(__xludf.DUMMYFUNCTION("""COMPUTED_VALUE"""),65)</f>
        <v>65</v>
      </c>
      <c r="AF223" s="5" t="b">
        <f ca="1">IFERROR(__xludf.DUMMYFUNCTION("""COMPUTED_VALUE"""),FALSE)</f>
        <v>0</v>
      </c>
      <c r="AG223" s="5" t="str">
        <f ca="1">IFERROR(__xludf.DUMMYFUNCTION("""COMPUTED_VALUE"""),"INSPECCIONES REALIZADAS")</f>
        <v>INSPECCIONES REALIZADAS</v>
      </c>
      <c r="AH223" s="5"/>
    </row>
    <row r="224" spans="1:34">
      <c r="A224" s="5" t="str">
        <f ca="1">IFERROR(__xludf.DUMMYFUNCTION("""COMPUTED_VALUE"""),"EQUIPOS PARA SERVICIOS INDUSTRIALES")</f>
        <v>EQUIPOS PARA SERVICIOS INDUSTRIALES</v>
      </c>
      <c r="B224" s="5">
        <f ca="1">IFERROR(__xludf.DUMMYFUNCTION("""COMPUTED_VALUE"""),649543)</f>
        <v>649543</v>
      </c>
      <c r="C224" s="5" t="str">
        <f ca="1">IFERROR(__xludf.DUMMYFUNCTION("""COMPUTED_VALUE"""),"COMPRESOR AIRE 2")</f>
        <v>COMPRESOR AIRE 2</v>
      </c>
      <c r="D224" s="5">
        <f ca="1">IFERROR(__xludf.DUMMYFUNCTION("""COMPUTED_VALUE"""),13247478)</f>
        <v>13247478</v>
      </c>
      <c r="E224" s="5" t="str">
        <f ca="1">IFERROR(__xludf.DUMMYFUNCTION("""COMPUTED_VALUE"""),"INSPECCION SEMANAL COMPRESOR AIRE SIERRA")</f>
        <v>INSPECCION SEMANAL COMPRESOR AIRE SIERRA</v>
      </c>
      <c r="F224" s="5" t="str">
        <f ca="1">IFERROR(__xludf.DUMMYFUNCTION("""COMPUTED_VALUE"""),"INSP CAIDA PRESION FILTRO ACEITE(&lt;0,9 BAR O 13PSI)")</f>
        <v>INSP CAIDA PRESION FILTRO ACEITE(&lt;0,9 BAR O 13PSI)</v>
      </c>
      <c r="G224" s="5" t="b">
        <f ca="1">IFERROR(__xludf.DUMMYFUNCTION("""COMPUTED_VALUE"""),TRUE)</f>
        <v>1</v>
      </c>
      <c r="H224" s="5"/>
      <c r="I224" s="5"/>
      <c r="J224" s="5">
        <f ca="1">IFERROR(__xludf.DUMMYFUNCTION("""COMPUTED_VALUE"""),13247478)</f>
        <v>13247478</v>
      </c>
      <c r="K224" s="5"/>
      <c r="L224" s="18">
        <f ca="1">IFERROR(__xludf.DUMMYFUNCTION("""COMPUTED_VALUE"""),45324)</f>
        <v>45324</v>
      </c>
      <c r="M224" s="18">
        <f ca="1">IFERROR(__xludf.DUMMYFUNCTION("""COMPUTED_VALUE"""),45324)</f>
        <v>45324</v>
      </c>
      <c r="N224" s="5" t="str">
        <f ca="1">IFERROR(__xludf.DUMMYFUNCTION("""COMPUTED_VALUE"""),"MARIO ALBERTO MARTÍNEZ MORA")</f>
        <v>MARIO ALBERTO MARTÍNEZ MORA</v>
      </c>
      <c r="O224" s="2">
        <f ca="1">IFERROR(__xludf.DUMMYFUNCTION("""COMPUTED_VALUE"""),0.008333333)</f>
        <v>8.3333330000000001E-3</v>
      </c>
      <c r="P224" s="5">
        <f ca="1">IFERROR(__xludf.DUMMYFUNCTION("""COMPUTED_VALUE"""),94542837)</f>
        <v>94542837</v>
      </c>
      <c r="Q224" s="5" t="str">
        <f ca="1">IFERROR(__xludf.DUMMYFUNCTION("""COMPUTED_VALUE"""),"_G-OLOMlt3A")</f>
        <v>_G-OLOMlt3A</v>
      </c>
      <c r="R224" s="5">
        <f ca="1">IFERROR(__xludf.DUMMYFUNCTION("""COMPUTED_VALUE"""),410)</f>
        <v>410</v>
      </c>
      <c r="S224" s="62">
        <f ca="1">IFERROR(__xludf.DUMMYFUNCTION("""COMPUTED_VALUE"""),0.008333333)</f>
        <v>8.3333330000000001E-3</v>
      </c>
      <c r="T224" s="63" t="str">
        <f ca="1">IFERROR(__xludf.DUMMYFUNCTION("""COMPUTED_VALUE"""),"https://storage.googleapis.com/glide-prod.appspot.com/uploads-v2/ly7o78grxPaC6KdgvbpS/pub/3aRdSog0vUtuqPE8AJKD.png")</f>
        <v>https://storage.googleapis.com/glide-prod.appspot.com/uploads-v2/ly7o78grxPaC6KdgvbpS/pub/3aRdSog0vUtuqPE8AJKD.png</v>
      </c>
      <c r="U224" s="5" t="str">
        <f ca="1">IFERROR(__xludf.DUMMYFUNCTION("""COMPUTED_VALUE"""),"EQUIPOS PARA SERVICIOS INDUSTRIALESCOMPRESOR AIRE 2")</f>
        <v>EQUIPOS PARA SERVICIOS INDUSTRIALESCOMPRESOR AIRE 2</v>
      </c>
      <c r="V224" s="5"/>
      <c r="W224" s="5" t="b">
        <f ca="1">IFERROR(__xludf.DUMMYFUNCTION("""COMPUTED_VALUE"""),TRUE)</f>
        <v>1</v>
      </c>
      <c r="X224" s="5" t="str">
        <f ca="1">IFERROR(__xludf.DUMMYFUNCTION("""COMPUTED_VALUE"""),"wmazorra@postobon.com.co,aprmttoyu@postobon.com.co,aprmyu@postobon.com.co,wmora@postobon.com.co,efzapata@postobon.com.co")</f>
        <v>wmazorra@postobon.com.co,aprmttoyu@postobon.com.co,aprmyu@postobon.com.co,wmora@postobon.com.co,efzapata@postobon.com.co</v>
      </c>
      <c r="Y224" s="5" t="str">
        <f ca="1">IFERROR(__xludf.DUMMYFUNCTION("""COMPUTED_VALUE"""),"wmazorra@postobon.com.co")</f>
        <v>wmazorra@postobon.com.co</v>
      </c>
      <c r="Z224" s="5" t="str">
        <f ca="1">IFERROR(__xludf.DUMMYFUNCTION("""COMPUTED_VALUE"""),"nsBg0GjTSTKlWdTwVun98A")</f>
        <v>nsBg0GjTSTKlWdTwVun98A</v>
      </c>
      <c r="AA224" s="5"/>
      <c r="AB224" s="5"/>
      <c r="AC224" s="5"/>
      <c r="AD224" s="5">
        <f ca="1">IFERROR(__xludf.DUMMYFUNCTION("""COMPUTED_VALUE"""),65)</f>
        <v>65</v>
      </c>
      <c r="AE224" s="5">
        <f ca="1">IFERROR(__xludf.DUMMYFUNCTION("""COMPUTED_VALUE"""),65)</f>
        <v>65</v>
      </c>
      <c r="AF224" s="5" t="b">
        <f ca="1">IFERROR(__xludf.DUMMYFUNCTION("""COMPUTED_VALUE"""),FALSE)</f>
        <v>0</v>
      </c>
      <c r="AG224" s="5" t="str">
        <f ca="1">IFERROR(__xludf.DUMMYFUNCTION("""COMPUTED_VALUE"""),"INSPECCIONES REALIZADAS")</f>
        <v>INSPECCIONES REALIZADAS</v>
      </c>
      <c r="AH224" s="5"/>
    </row>
    <row r="225" spans="1:34">
      <c r="A225" s="5" t="str">
        <f ca="1">IFERROR(__xludf.DUMMYFUNCTION("""COMPUTED_VALUE"""),"EQUIPOS PARA SERVICIOS INDUSTRIALES")</f>
        <v>EQUIPOS PARA SERVICIOS INDUSTRIALES</v>
      </c>
      <c r="B225" s="5">
        <f ca="1">IFERROR(__xludf.DUMMYFUNCTION("""COMPUTED_VALUE"""),649543)</f>
        <v>649543</v>
      </c>
      <c r="C225" s="5" t="str">
        <f ca="1">IFERROR(__xludf.DUMMYFUNCTION("""COMPUTED_VALUE"""),"COMPRESOR AIRE 2")</f>
        <v>COMPRESOR AIRE 2</v>
      </c>
      <c r="D225" s="5">
        <f ca="1">IFERROR(__xludf.DUMMYFUNCTION("""COMPUTED_VALUE"""),13247478)</f>
        <v>13247478</v>
      </c>
      <c r="E225" s="5" t="str">
        <f ca="1">IFERROR(__xludf.DUMMYFUNCTION("""COMPUTED_VALUE"""),"INSPECCION SEMANAL COMPRESOR AIRE SIERRA")</f>
        <v>INSPECCION SEMANAL COMPRESOR AIRE SIERRA</v>
      </c>
      <c r="F225" s="5" t="str">
        <f ca="1">IFERROR(__xludf.DUMMYFUNCTION("""COMPUTED_VALUE"""),"VERIFICAR FUNC DESAGUE CONDENSADO")</f>
        <v>VERIFICAR FUNC DESAGUE CONDENSADO</v>
      </c>
      <c r="G225" s="5" t="b">
        <f ca="1">IFERROR(__xludf.DUMMYFUNCTION("""COMPUTED_VALUE"""),TRUE)</f>
        <v>1</v>
      </c>
      <c r="H225" s="5"/>
      <c r="I225" s="5"/>
      <c r="J225" s="5">
        <f ca="1">IFERROR(__xludf.DUMMYFUNCTION("""COMPUTED_VALUE"""),13247478)</f>
        <v>13247478</v>
      </c>
      <c r="K225" s="5"/>
      <c r="L225" s="18">
        <f ca="1">IFERROR(__xludf.DUMMYFUNCTION("""COMPUTED_VALUE"""),45324)</f>
        <v>45324</v>
      </c>
      <c r="M225" s="18">
        <f ca="1">IFERROR(__xludf.DUMMYFUNCTION("""COMPUTED_VALUE"""),45324)</f>
        <v>45324</v>
      </c>
      <c r="N225" s="5" t="str">
        <f ca="1">IFERROR(__xludf.DUMMYFUNCTION("""COMPUTED_VALUE"""),"MARIO ALBERTO MARTÍNEZ MORA")</f>
        <v>MARIO ALBERTO MARTÍNEZ MORA</v>
      </c>
      <c r="O225" s="2">
        <f ca="1">IFERROR(__xludf.DUMMYFUNCTION("""COMPUTED_VALUE"""),0.008333333)</f>
        <v>8.3333330000000001E-3</v>
      </c>
      <c r="P225" s="5">
        <f ca="1">IFERROR(__xludf.DUMMYFUNCTION("""COMPUTED_VALUE"""),94542837)</f>
        <v>94542837</v>
      </c>
      <c r="Q225" s="5" t="str">
        <f ca="1">IFERROR(__xludf.DUMMYFUNCTION("""COMPUTED_VALUE"""),"Qr7OH20hUU4")</f>
        <v>Qr7OH20hUU4</v>
      </c>
      <c r="R225" s="5">
        <f ca="1">IFERROR(__xludf.DUMMYFUNCTION("""COMPUTED_VALUE"""),410)</f>
        <v>410</v>
      </c>
      <c r="S225" s="62">
        <f ca="1">IFERROR(__xludf.DUMMYFUNCTION("""COMPUTED_VALUE"""),0.008333333)</f>
        <v>8.3333330000000001E-3</v>
      </c>
      <c r="T225" s="63" t="str">
        <f ca="1">IFERROR(__xludf.DUMMYFUNCTION("""COMPUTED_VALUE"""),"https://storage.googleapis.com/glide-prod.appspot.com/uploads-v2/ly7o78grxPaC6KdgvbpS/pub/3aRdSog0vUtuqPE8AJKD.png")</f>
        <v>https://storage.googleapis.com/glide-prod.appspot.com/uploads-v2/ly7o78grxPaC6KdgvbpS/pub/3aRdSog0vUtuqPE8AJKD.png</v>
      </c>
      <c r="U225" s="5" t="str">
        <f ca="1">IFERROR(__xludf.DUMMYFUNCTION("""COMPUTED_VALUE"""),"EQUIPOS PARA SERVICIOS INDUSTRIALESCOMPRESOR AIRE 2")</f>
        <v>EQUIPOS PARA SERVICIOS INDUSTRIALESCOMPRESOR AIRE 2</v>
      </c>
      <c r="V225" s="5"/>
      <c r="W225" s="5" t="b">
        <f ca="1">IFERROR(__xludf.DUMMYFUNCTION("""COMPUTED_VALUE"""),TRUE)</f>
        <v>1</v>
      </c>
      <c r="X225" s="5" t="str">
        <f ca="1">IFERROR(__xludf.DUMMYFUNCTION("""COMPUTED_VALUE"""),"wmazorra@postobon.com.co,aprmttoyu@postobon.com.co,aprmyu@postobon.com.co,wmora@postobon.com.co,efzapata@postobon.com.co")</f>
        <v>wmazorra@postobon.com.co,aprmttoyu@postobon.com.co,aprmyu@postobon.com.co,wmora@postobon.com.co,efzapata@postobon.com.co</v>
      </c>
      <c r="Y225" s="5" t="str">
        <f ca="1">IFERROR(__xludf.DUMMYFUNCTION("""COMPUTED_VALUE"""),"wmazorra@postobon.com.co")</f>
        <v>wmazorra@postobon.com.co</v>
      </c>
      <c r="Z225" s="5" t="str">
        <f ca="1">IFERROR(__xludf.DUMMYFUNCTION("""COMPUTED_VALUE"""),"a-HmMMoCFQ-ytCItNKoiT3A")</f>
        <v>a-HmMMoCFQ-ytCItNKoiT3A</v>
      </c>
      <c r="AA225" s="5"/>
      <c r="AB225" s="5"/>
      <c r="AC225" s="5"/>
      <c r="AD225" s="5">
        <f ca="1">IFERROR(__xludf.DUMMYFUNCTION("""COMPUTED_VALUE"""),65)</f>
        <v>65</v>
      </c>
      <c r="AE225" s="5">
        <f ca="1">IFERROR(__xludf.DUMMYFUNCTION("""COMPUTED_VALUE"""),65)</f>
        <v>65</v>
      </c>
      <c r="AF225" s="5" t="b">
        <f ca="1">IFERROR(__xludf.DUMMYFUNCTION("""COMPUTED_VALUE"""),FALSE)</f>
        <v>0</v>
      </c>
      <c r="AG225" s="5" t="str">
        <f ca="1">IFERROR(__xludf.DUMMYFUNCTION("""COMPUTED_VALUE"""),"INSPECCIONES REALIZADAS")</f>
        <v>INSPECCIONES REALIZADAS</v>
      </c>
      <c r="AH225" s="5"/>
    </row>
    <row r="226" spans="1:34">
      <c r="A226" s="5" t="str">
        <f ca="1">IFERROR(__xludf.DUMMYFUNCTION("""COMPUTED_VALUE"""),"EQUIPOS PARA SERVICIOS INDUSTRIALES")</f>
        <v>EQUIPOS PARA SERVICIOS INDUSTRIALES</v>
      </c>
      <c r="B226" s="5">
        <f ca="1">IFERROR(__xludf.DUMMYFUNCTION("""COMPUTED_VALUE"""),649543)</f>
        <v>649543</v>
      </c>
      <c r="C226" s="5" t="str">
        <f ca="1">IFERROR(__xludf.DUMMYFUNCTION("""COMPUTED_VALUE"""),"COMPRESOR AIRE 2")</f>
        <v>COMPRESOR AIRE 2</v>
      </c>
      <c r="D226" s="5">
        <f ca="1">IFERROR(__xludf.DUMMYFUNCTION("""COMPUTED_VALUE"""),13247478)</f>
        <v>13247478</v>
      </c>
      <c r="E226" s="5" t="str">
        <f ca="1">IFERROR(__xludf.DUMMYFUNCTION("""COMPUTED_VALUE"""),"INSPECCION SEMANAL COMPRESOR AIRE SIERRA")</f>
        <v>INSPECCION SEMANAL COMPRESOR AIRE SIERRA</v>
      </c>
      <c r="F226" s="5" t="str">
        <f ca="1">IFERROR(__xludf.DUMMYFUNCTION("""COMPUTED_VALUE"""),"PRESION DIFERENCIAL FILTRO AIRE(NO&gt;0,048BAR-0,7PSI)")</f>
        <v>PRESION DIFERENCIAL FILTRO AIRE(NO&gt;0,048BAR-0,7PSI)</v>
      </c>
      <c r="G226" s="5" t="b">
        <f ca="1">IFERROR(__xludf.DUMMYFUNCTION("""COMPUTED_VALUE"""),TRUE)</f>
        <v>1</v>
      </c>
      <c r="H226" s="5"/>
      <c r="I226" s="5"/>
      <c r="J226" s="5">
        <f ca="1">IFERROR(__xludf.DUMMYFUNCTION("""COMPUTED_VALUE"""),13247478)</f>
        <v>13247478</v>
      </c>
      <c r="K226" s="5"/>
      <c r="L226" s="18">
        <f ca="1">IFERROR(__xludf.DUMMYFUNCTION("""COMPUTED_VALUE"""),45324)</f>
        <v>45324</v>
      </c>
      <c r="M226" s="18">
        <f ca="1">IFERROR(__xludf.DUMMYFUNCTION("""COMPUTED_VALUE"""),45324)</f>
        <v>45324</v>
      </c>
      <c r="N226" s="5" t="str">
        <f ca="1">IFERROR(__xludf.DUMMYFUNCTION("""COMPUTED_VALUE"""),"MARIO ALBERTO MARTÍNEZ MORA")</f>
        <v>MARIO ALBERTO MARTÍNEZ MORA</v>
      </c>
      <c r="O226" s="2">
        <f ca="1">IFERROR(__xludf.DUMMYFUNCTION("""COMPUTED_VALUE"""),0.008333333)</f>
        <v>8.3333330000000001E-3</v>
      </c>
      <c r="P226" s="5">
        <f ca="1">IFERROR(__xludf.DUMMYFUNCTION("""COMPUTED_VALUE"""),94542837)</f>
        <v>94542837</v>
      </c>
      <c r="Q226" s="5" t="str">
        <f ca="1">IFERROR(__xludf.DUMMYFUNCTION("""COMPUTED_VALUE"""),"z6o_it1Y0Qg")</f>
        <v>z6o_it1Y0Qg</v>
      </c>
      <c r="R226" s="5">
        <f ca="1">IFERROR(__xludf.DUMMYFUNCTION("""COMPUTED_VALUE"""),410)</f>
        <v>410</v>
      </c>
      <c r="S226" s="62">
        <f ca="1">IFERROR(__xludf.DUMMYFUNCTION("""COMPUTED_VALUE"""),0.008333333)</f>
        <v>8.3333330000000001E-3</v>
      </c>
      <c r="T226" s="63" t="str">
        <f ca="1">IFERROR(__xludf.DUMMYFUNCTION("""COMPUTED_VALUE"""),"https://storage.googleapis.com/glide-prod.appspot.com/uploads-v2/ly7o78grxPaC6KdgvbpS/pub/3aRdSog0vUtuqPE8AJKD.png")</f>
        <v>https://storage.googleapis.com/glide-prod.appspot.com/uploads-v2/ly7o78grxPaC6KdgvbpS/pub/3aRdSog0vUtuqPE8AJKD.png</v>
      </c>
      <c r="U226" s="5" t="str">
        <f ca="1">IFERROR(__xludf.DUMMYFUNCTION("""COMPUTED_VALUE"""),"EQUIPOS PARA SERVICIOS INDUSTRIALESCOMPRESOR AIRE 2")</f>
        <v>EQUIPOS PARA SERVICIOS INDUSTRIALESCOMPRESOR AIRE 2</v>
      </c>
      <c r="V226" s="5"/>
      <c r="W226" s="5" t="b">
        <f ca="1">IFERROR(__xludf.DUMMYFUNCTION("""COMPUTED_VALUE"""),TRUE)</f>
        <v>1</v>
      </c>
      <c r="X226" s="5" t="str">
        <f ca="1">IFERROR(__xludf.DUMMYFUNCTION("""COMPUTED_VALUE"""),"wmazorra@postobon.com.co,aprmttoyu@postobon.com.co,aprmyu@postobon.com.co,wmora@postobon.com.co,efzapata@postobon.com.co")</f>
        <v>wmazorra@postobon.com.co,aprmttoyu@postobon.com.co,aprmyu@postobon.com.co,wmora@postobon.com.co,efzapata@postobon.com.co</v>
      </c>
      <c r="Y226" s="5" t="str">
        <f ca="1">IFERROR(__xludf.DUMMYFUNCTION("""COMPUTED_VALUE"""),"wmazorra@postobon.com.co")</f>
        <v>wmazorra@postobon.com.co</v>
      </c>
      <c r="Z226" s="5" t="str">
        <f ca="1">IFERROR(__xludf.DUMMYFUNCTION("""COMPUTED_VALUE"""),"H.VEjkdgSKmVxsLMy-BwZg")</f>
        <v>H.VEjkdgSKmVxsLMy-BwZg</v>
      </c>
      <c r="AA226" s="5"/>
      <c r="AB226" s="5"/>
      <c r="AC226" s="5"/>
      <c r="AD226" s="5">
        <f ca="1">IFERROR(__xludf.DUMMYFUNCTION("""COMPUTED_VALUE"""),65)</f>
        <v>65</v>
      </c>
      <c r="AE226" s="5">
        <f ca="1">IFERROR(__xludf.DUMMYFUNCTION("""COMPUTED_VALUE"""),65)</f>
        <v>65</v>
      </c>
      <c r="AF226" s="5" t="b">
        <f ca="1">IFERROR(__xludf.DUMMYFUNCTION("""COMPUTED_VALUE"""),FALSE)</f>
        <v>0</v>
      </c>
      <c r="AG226" s="5" t="str">
        <f ca="1">IFERROR(__xludf.DUMMYFUNCTION("""COMPUTED_VALUE"""),"INSPECCIONES REALIZADAS")</f>
        <v>INSPECCIONES REALIZADAS</v>
      </c>
      <c r="AH226" s="5"/>
    </row>
    <row r="227" spans="1:34">
      <c r="A227" s="5" t="str">
        <f ca="1">IFERROR(__xludf.DUMMYFUNCTION("""COMPUTED_VALUE"""),"EQUIPOS PARA SERVICIOS INDUSTRIALES")</f>
        <v>EQUIPOS PARA SERVICIOS INDUSTRIALES</v>
      </c>
      <c r="B227" s="5">
        <f ca="1">IFERROR(__xludf.DUMMYFUNCTION("""COMPUTED_VALUE"""),649543)</f>
        <v>649543</v>
      </c>
      <c r="C227" s="5" t="str">
        <f ca="1">IFERROR(__xludf.DUMMYFUNCTION("""COMPUTED_VALUE"""),"COMPRESOR AIRE 2")</f>
        <v>COMPRESOR AIRE 2</v>
      </c>
      <c r="D227" s="5">
        <f ca="1">IFERROR(__xludf.DUMMYFUNCTION("""COMPUTED_VALUE"""),13247478)</f>
        <v>13247478</v>
      </c>
      <c r="E227" s="5" t="str">
        <f ca="1">IFERROR(__xludf.DUMMYFUNCTION("""COMPUTED_VALUE"""),"INSPECCION SEMANAL COMPRESOR AIRE SIERRA")</f>
        <v>INSPECCION SEMANAL COMPRESOR AIRE SIERRA</v>
      </c>
      <c r="F227" s="5" t="str">
        <f ca="1">IFERROR(__xludf.DUMMYFUNCTION("""COMPUTED_VALUE"""),"REV. ACUMULACION ENFRIADOR(CUERPO EXTRAÑO)")</f>
        <v>REV. ACUMULACION ENFRIADOR(CUERPO EXTRAÑO)</v>
      </c>
      <c r="G227" s="5" t="b">
        <f ca="1">IFERROR(__xludf.DUMMYFUNCTION("""COMPUTED_VALUE"""),TRUE)</f>
        <v>1</v>
      </c>
      <c r="H227" s="5"/>
      <c r="I227" s="5"/>
      <c r="J227" s="5">
        <f ca="1">IFERROR(__xludf.DUMMYFUNCTION("""COMPUTED_VALUE"""),13247478)</f>
        <v>13247478</v>
      </c>
      <c r="K227" s="5"/>
      <c r="L227" s="18">
        <f ca="1">IFERROR(__xludf.DUMMYFUNCTION("""COMPUTED_VALUE"""),45324)</f>
        <v>45324</v>
      </c>
      <c r="M227" s="18">
        <f ca="1">IFERROR(__xludf.DUMMYFUNCTION("""COMPUTED_VALUE"""),45324)</f>
        <v>45324</v>
      </c>
      <c r="N227" s="5" t="str">
        <f ca="1">IFERROR(__xludf.DUMMYFUNCTION("""COMPUTED_VALUE"""),"MARIO ALBERTO MARTÍNEZ MORA")</f>
        <v>MARIO ALBERTO MARTÍNEZ MORA</v>
      </c>
      <c r="O227" s="2">
        <f ca="1">IFERROR(__xludf.DUMMYFUNCTION("""COMPUTED_VALUE"""),0.008333333)</f>
        <v>8.3333330000000001E-3</v>
      </c>
      <c r="P227" s="5">
        <f ca="1">IFERROR(__xludf.DUMMYFUNCTION("""COMPUTED_VALUE"""),94542837)</f>
        <v>94542837</v>
      </c>
      <c r="Q227" s="5" t="str">
        <f ca="1">IFERROR(__xludf.DUMMYFUNCTION("""COMPUTED_VALUE"""),"6cqwjEnH81Y")</f>
        <v>6cqwjEnH81Y</v>
      </c>
      <c r="R227" s="5">
        <f ca="1">IFERROR(__xludf.DUMMYFUNCTION("""COMPUTED_VALUE"""),410)</f>
        <v>410</v>
      </c>
      <c r="S227" s="62">
        <f ca="1">IFERROR(__xludf.DUMMYFUNCTION("""COMPUTED_VALUE"""),0.008333333)</f>
        <v>8.3333330000000001E-3</v>
      </c>
      <c r="T227" s="63" t="str">
        <f ca="1">IFERROR(__xludf.DUMMYFUNCTION("""COMPUTED_VALUE"""),"https://storage.googleapis.com/glide-prod.appspot.com/uploads-v2/ly7o78grxPaC6KdgvbpS/pub/3aRdSog0vUtuqPE8AJKD.png")</f>
        <v>https://storage.googleapis.com/glide-prod.appspot.com/uploads-v2/ly7o78grxPaC6KdgvbpS/pub/3aRdSog0vUtuqPE8AJKD.png</v>
      </c>
      <c r="U227" s="5" t="str">
        <f ca="1">IFERROR(__xludf.DUMMYFUNCTION("""COMPUTED_VALUE"""),"EQUIPOS PARA SERVICIOS INDUSTRIALESCOMPRESOR AIRE 2")</f>
        <v>EQUIPOS PARA SERVICIOS INDUSTRIALESCOMPRESOR AIRE 2</v>
      </c>
      <c r="V227" s="5"/>
      <c r="W227" s="5" t="b">
        <f ca="1">IFERROR(__xludf.DUMMYFUNCTION("""COMPUTED_VALUE"""),TRUE)</f>
        <v>1</v>
      </c>
      <c r="X227" s="5" t="str">
        <f ca="1">IFERROR(__xludf.DUMMYFUNCTION("""COMPUTED_VALUE"""),"wmazorra@postobon.com.co,aprmttoyu@postobon.com.co,aprmyu@postobon.com.co,wmora@postobon.com.co,efzapata@postobon.com.co")</f>
        <v>wmazorra@postobon.com.co,aprmttoyu@postobon.com.co,aprmyu@postobon.com.co,wmora@postobon.com.co,efzapata@postobon.com.co</v>
      </c>
      <c r="Y227" s="5" t="str">
        <f ca="1">IFERROR(__xludf.DUMMYFUNCTION("""COMPUTED_VALUE"""),"wmazorra@postobon.com.co")</f>
        <v>wmazorra@postobon.com.co</v>
      </c>
      <c r="Z227" s="5" t="str">
        <f ca="1">IFERROR(__xludf.DUMMYFUNCTION("""COMPUTED_VALUE"""),"RbqqY1-dTYujQybNMy0vcA")</f>
        <v>RbqqY1-dTYujQybNMy0vcA</v>
      </c>
      <c r="AA227" s="5"/>
      <c r="AB227" s="5"/>
      <c r="AC227" s="5"/>
      <c r="AD227" s="5">
        <f ca="1">IFERROR(__xludf.DUMMYFUNCTION("""COMPUTED_VALUE"""),65)</f>
        <v>65</v>
      </c>
      <c r="AE227" s="5">
        <f ca="1">IFERROR(__xludf.DUMMYFUNCTION("""COMPUTED_VALUE"""),65)</f>
        <v>65</v>
      </c>
      <c r="AF227" s="5" t="b">
        <f ca="1">IFERROR(__xludf.DUMMYFUNCTION("""COMPUTED_VALUE"""),FALSE)</f>
        <v>0</v>
      </c>
      <c r="AG227" s="5" t="str">
        <f ca="1">IFERROR(__xludf.DUMMYFUNCTION("""COMPUTED_VALUE"""),"INSPECCIONES REALIZADAS")</f>
        <v>INSPECCIONES REALIZADAS</v>
      </c>
      <c r="AH227" s="5"/>
    </row>
    <row r="228" spans="1:34">
      <c r="A228" s="5" t="str">
        <f ca="1">IFERROR(__xludf.DUMMYFUNCTION("""COMPUTED_VALUE"""),"EQUIPOS PARA SERVICIOS INDUSTRIALES")</f>
        <v>EQUIPOS PARA SERVICIOS INDUSTRIALES</v>
      </c>
      <c r="B228" s="5">
        <f ca="1">IFERROR(__xludf.DUMMYFUNCTION("""COMPUTED_VALUE"""),649543)</f>
        <v>649543</v>
      </c>
      <c r="C228" s="5" t="str">
        <f ca="1">IFERROR(__xludf.DUMMYFUNCTION("""COMPUTED_VALUE"""),"COMPRESOR AIRE 2")</f>
        <v>COMPRESOR AIRE 2</v>
      </c>
      <c r="D228" s="5">
        <f ca="1">IFERROR(__xludf.DUMMYFUNCTION("""COMPUTED_VALUE"""),13247478)</f>
        <v>13247478</v>
      </c>
      <c r="E228" s="5" t="str">
        <f ca="1">IFERROR(__xludf.DUMMYFUNCTION("""COMPUTED_VALUE"""),"INSPECCION SEMANAL COMPRESOR AIRE SIERRA")</f>
        <v>INSPECCION SEMANAL COMPRESOR AIRE SIERRA</v>
      </c>
      <c r="F228" s="5" t="str">
        <f ca="1">IFERROR(__xludf.DUMMYFUNCTION("""COMPUTED_VALUE"""),"RUIDO ANORMAL")</f>
        <v>RUIDO ANORMAL</v>
      </c>
      <c r="G228" s="5" t="b">
        <f ca="1">IFERROR(__xludf.DUMMYFUNCTION("""COMPUTED_VALUE"""),TRUE)</f>
        <v>1</v>
      </c>
      <c r="H228" s="5"/>
      <c r="I228" s="5"/>
      <c r="J228" s="5">
        <f ca="1">IFERROR(__xludf.DUMMYFUNCTION("""COMPUTED_VALUE"""),13247478)</f>
        <v>13247478</v>
      </c>
      <c r="K228" s="5"/>
      <c r="L228" s="18">
        <f ca="1">IFERROR(__xludf.DUMMYFUNCTION("""COMPUTED_VALUE"""),45324)</f>
        <v>45324</v>
      </c>
      <c r="M228" s="18">
        <f ca="1">IFERROR(__xludf.DUMMYFUNCTION("""COMPUTED_VALUE"""),45324)</f>
        <v>45324</v>
      </c>
      <c r="N228" s="5" t="str">
        <f ca="1">IFERROR(__xludf.DUMMYFUNCTION("""COMPUTED_VALUE"""),"MARIO ALBERTO MARTÍNEZ MORA")</f>
        <v>MARIO ALBERTO MARTÍNEZ MORA</v>
      </c>
      <c r="O228" s="2">
        <f ca="1">IFERROR(__xludf.DUMMYFUNCTION("""COMPUTED_VALUE"""),0.008333333)</f>
        <v>8.3333330000000001E-3</v>
      </c>
      <c r="P228" s="5">
        <f ca="1">IFERROR(__xludf.DUMMYFUNCTION("""COMPUTED_VALUE"""),94542837)</f>
        <v>94542837</v>
      </c>
      <c r="Q228" s="5" t="str">
        <f ca="1">IFERROR(__xludf.DUMMYFUNCTION("""COMPUTED_VALUE"""),"YtAlscRHMEE")</f>
        <v>YtAlscRHMEE</v>
      </c>
      <c r="R228" s="5">
        <f ca="1">IFERROR(__xludf.DUMMYFUNCTION("""COMPUTED_VALUE"""),410)</f>
        <v>410</v>
      </c>
      <c r="S228" s="62">
        <f ca="1">IFERROR(__xludf.DUMMYFUNCTION("""COMPUTED_VALUE"""),0.008333333)</f>
        <v>8.3333330000000001E-3</v>
      </c>
      <c r="T228" s="63" t="str">
        <f ca="1">IFERROR(__xludf.DUMMYFUNCTION("""COMPUTED_VALUE"""),"https://storage.googleapis.com/glide-prod.appspot.com/uploads-v2/ly7o78grxPaC6KdgvbpS/pub/3aRdSog0vUtuqPE8AJKD.png")</f>
        <v>https://storage.googleapis.com/glide-prod.appspot.com/uploads-v2/ly7o78grxPaC6KdgvbpS/pub/3aRdSog0vUtuqPE8AJKD.png</v>
      </c>
      <c r="U228" s="5" t="str">
        <f ca="1">IFERROR(__xludf.DUMMYFUNCTION("""COMPUTED_VALUE"""),"EQUIPOS PARA SERVICIOS INDUSTRIALESCOMPRESOR AIRE 2")</f>
        <v>EQUIPOS PARA SERVICIOS INDUSTRIALESCOMPRESOR AIRE 2</v>
      </c>
      <c r="V228" s="5"/>
      <c r="W228" s="5" t="b">
        <f ca="1">IFERROR(__xludf.DUMMYFUNCTION("""COMPUTED_VALUE"""),TRUE)</f>
        <v>1</v>
      </c>
      <c r="X228" s="5" t="str">
        <f ca="1">IFERROR(__xludf.DUMMYFUNCTION("""COMPUTED_VALUE"""),"wmazorra@postobon.com.co,aprmttoyu@postobon.com.co,aprmyu@postobon.com.co,wmora@postobon.com.co,efzapata@postobon.com.co")</f>
        <v>wmazorra@postobon.com.co,aprmttoyu@postobon.com.co,aprmyu@postobon.com.co,wmora@postobon.com.co,efzapata@postobon.com.co</v>
      </c>
      <c r="Y228" s="5" t="str">
        <f ca="1">IFERROR(__xludf.DUMMYFUNCTION("""COMPUTED_VALUE"""),"wmazorra@postobon.com.co")</f>
        <v>wmazorra@postobon.com.co</v>
      </c>
      <c r="Z228" s="5" t="str">
        <f ca="1">IFERROR(__xludf.DUMMYFUNCTION("""COMPUTED_VALUE"""),"XXrSUJo6TtmxC5D1GGcpxw")</f>
        <v>XXrSUJo6TtmxC5D1GGcpxw</v>
      </c>
      <c r="AA228" s="5"/>
      <c r="AB228" s="5"/>
      <c r="AC228" s="5"/>
      <c r="AD228" s="5">
        <f ca="1">IFERROR(__xludf.DUMMYFUNCTION("""COMPUTED_VALUE"""),65)</f>
        <v>65</v>
      </c>
      <c r="AE228" s="5">
        <f ca="1">IFERROR(__xludf.DUMMYFUNCTION("""COMPUTED_VALUE"""),65)</f>
        <v>65</v>
      </c>
      <c r="AF228" s="5" t="b">
        <f ca="1">IFERROR(__xludf.DUMMYFUNCTION("""COMPUTED_VALUE"""),FALSE)</f>
        <v>0</v>
      </c>
      <c r="AG228" s="5" t="str">
        <f ca="1">IFERROR(__xludf.DUMMYFUNCTION("""COMPUTED_VALUE"""),"INSPECCIONES REALIZADAS")</f>
        <v>INSPECCIONES REALIZADAS</v>
      </c>
      <c r="AH228" s="5"/>
    </row>
    <row r="229" spans="1:34">
      <c r="A229" s="5" t="str">
        <f ca="1">IFERROR(__xludf.DUMMYFUNCTION("""COMPUTED_VALUE"""),"EQUIPOS PARA SERVICIOS INDUSTRIALES")</f>
        <v>EQUIPOS PARA SERVICIOS INDUSTRIALES</v>
      </c>
      <c r="B229" s="5">
        <f ca="1">IFERROR(__xludf.DUMMYFUNCTION("""COMPUTED_VALUE"""),649543)</f>
        <v>649543</v>
      </c>
      <c r="C229" s="5" t="str">
        <f ca="1">IFERROR(__xludf.DUMMYFUNCTION("""COMPUTED_VALUE"""),"COMPRESOR AIRE 2")</f>
        <v>COMPRESOR AIRE 2</v>
      </c>
      <c r="D229" s="5">
        <f ca="1">IFERROR(__xludf.DUMMYFUNCTION("""COMPUTED_VALUE"""),13247478)</f>
        <v>13247478</v>
      </c>
      <c r="E229" s="5" t="str">
        <f ca="1">IFERROR(__xludf.DUMMYFUNCTION("""COMPUTED_VALUE"""),"INSPECCION SEMANAL COMPRESOR AIRE SIERRA")</f>
        <v>INSPECCION SEMANAL COMPRESOR AIRE SIERRA</v>
      </c>
      <c r="F229" s="5" t="str">
        <f ca="1">IFERROR(__xludf.DUMMYFUNCTION("""COMPUTED_VALUE"""),"ESTADO INSTRUMENTACION")</f>
        <v>ESTADO INSTRUMENTACION</v>
      </c>
      <c r="G229" s="5" t="b">
        <f ca="1">IFERROR(__xludf.DUMMYFUNCTION("""COMPUTED_VALUE"""),TRUE)</f>
        <v>1</v>
      </c>
      <c r="H229" s="5"/>
      <c r="I229" s="5"/>
      <c r="J229" s="5">
        <f ca="1">IFERROR(__xludf.DUMMYFUNCTION("""COMPUTED_VALUE"""),13247478)</f>
        <v>13247478</v>
      </c>
      <c r="K229" s="5"/>
      <c r="L229" s="18">
        <f ca="1">IFERROR(__xludf.DUMMYFUNCTION("""COMPUTED_VALUE"""),45324)</f>
        <v>45324</v>
      </c>
      <c r="M229" s="18">
        <f ca="1">IFERROR(__xludf.DUMMYFUNCTION("""COMPUTED_VALUE"""),45324)</f>
        <v>45324</v>
      </c>
      <c r="N229" s="5" t="str">
        <f ca="1">IFERROR(__xludf.DUMMYFUNCTION("""COMPUTED_VALUE"""),"MARIO ALBERTO MARTÍNEZ MORA")</f>
        <v>MARIO ALBERTO MARTÍNEZ MORA</v>
      </c>
      <c r="O229" s="2">
        <f ca="1">IFERROR(__xludf.DUMMYFUNCTION("""COMPUTED_VALUE"""),0.008333333)</f>
        <v>8.3333330000000001E-3</v>
      </c>
      <c r="P229" s="5">
        <f ca="1">IFERROR(__xludf.DUMMYFUNCTION("""COMPUTED_VALUE"""),94542837)</f>
        <v>94542837</v>
      </c>
      <c r="Q229" s="5" t="str">
        <f ca="1">IFERROR(__xludf.DUMMYFUNCTION("""COMPUTED_VALUE"""),"QDncO_753xE")</f>
        <v>QDncO_753xE</v>
      </c>
      <c r="R229" s="5">
        <f ca="1">IFERROR(__xludf.DUMMYFUNCTION("""COMPUTED_VALUE"""),410)</f>
        <v>410</v>
      </c>
      <c r="S229" s="62">
        <f ca="1">IFERROR(__xludf.DUMMYFUNCTION("""COMPUTED_VALUE"""),0.008333333)</f>
        <v>8.3333330000000001E-3</v>
      </c>
      <c r="T229" s="63" t="str">
        <f ca="1">IFERROR(__xludf.DUMMYFUNCTION("""COMPUTED_VALUE"""),"https://storage.googleapis.com/glide-prod.appspot.com/uploads-v2/ly7o78grxPaC6KdgvbpS/pub/3aRdSog0vUtuqPE8AJKD.png")</f>
        <v>https://storage.googleapis.com/glide-prod.appspot.com/uploads-v2/ly7o78grxPaC6KdgvbpS/pub/3aRdSog0vUtuqPE8AJKD.png</v>
      </c>
      <c r="U229" s="5" t="str">
        <f ca="1">IFERROR(__xludf.DUMMYFUNCTION("""COMPUTED_VALUE"""),"EQUIPOS PARA SERVICIOS INDUSTRIALESCOMPRESOR AIRE 2")</f>
        <v>EQUIPOS PARA SERVICIOS INDUSTRIALESCOMPRESOR AIRE 2</v>
      </c>
      <c r="V229" s="5"/>
      <c r="W229" s="5" t="b">
        <f ca="1">IFERROR(__xludf.DUMMYFUNCTION("""COMPUTED_VALUE"""),TRUE)</f>
        <v>1</v>
      </c>
      <c r="X229" s="5" t="str">
        <f ca="1">IFERROR(__xludf.DUMMYFUNCTION("""COMPUTED_VALUE"""),"wmazorra@postobon.com.co,aprmttoyu@postobon.com.co,aprmyu@postobon.com.co,wmora@postobon.com.co,efzapata@postobon.com.co")</f>
        <v>wmazorra@postobon.com.co,aprmttoyu@postobon.com.co,aprmyu@postobon.com.co,wmora@postobon.com.co,efzapata@postobon.com.co</v>
      </c>
      <c r="Y229" s="5" t="str">
        <f ca="1">IFERROR(__xludf.DUMMYFUNCTION("""COMPUTED_VALUE"""),"wmazorra@postobon.com.co")</f>
        <v>wmazorra@postobon.com.co</v>
      </c>
      <c r="Z229" s="5" t="str">
        <f ca="1">IFERROR(__xludf.DUMMYFUNCTION("""COMPUTED_VALUE"""),"vPjB2Os4S.CoRnYwWEGn9A")</f>
        <v>vPjB2Os4S.CoRnYwWEGn9A</v>
      </c>
      <c r="AA229" s="5"/>
      <c r="AB229" s="5"/>
      <c r="AC229" s="5"/>
      <c r="AD229" s="5">
        <f ca="1">IFERROR(__xludf.DUMMYFUNCTION("""COMPUTED_VALUE"""),65)</f>
        <v>65</v>
      </c>
      <c r="AE229" s="5">
        <f ca="1">IFERROR(__xludf.DUMMYFUNCTION("""COMPUTED_VALUE"""),65)</f>
        <v>65</v>
      </c>
      <c r="AF229" s="5" t="b">
        <f ca="1">IFERROR(__xludf.DUMMYFUNCTION("""COMPUTED_VALUE"""),FALSE)</f>
        <v>0</v>
      </c>
      <c r="AG229" s="5" t="str">
        <f ca="1">IFERROR(__xludf.DUMMYFUNCTION("""COMPUTED_VALUE"""),"INSPECCIONES REALIZADAS")</f>
        <v>INSPECCIONES REALIZADAS</v>
      </c>
      <c r="AH229" s="5"/>
    </row>
    <row r="230" spans="1:34">
      <c r="A230" s="5" t="str">
        <f ca="1">IFERROR(__xludf.DUMMYFUNCTION("""COMPUTED_VALUE"""),"EQUIPOS PARA SERVICIOS INDUSTRIALES")</f>
        <v>EQUIPOS PARA SERVICIOS INDUSTRIALES</v>
      </c>
      <c r="B230" s="5">
        <f ca="1">IFERROR(__xludf.DUMMYFUNCTION("""COMPUTED_VALUE"""),649543)</f>
        <v>649543</v>
      </c>
      <c r="C230" s="5" t="str">
        <f ca="1">IFERROR(__xludf.DUMMYFUNCTION("""COMPUTED_VALUE"""),"COMPRESOR AIRE 2")</f>
        <v>COMPRESOR AIRE 2</v>
      </c>
      <c r="D230" s="5">
        <f ca="1">IFERROR(__xludf.DUMMYFUNCTION("""COMPUTED_VALUE"""),13247478)</f>
        <v>13247478</v>
      </c>
      <c r="E230" s="5" t="str">
        <f ca="1">IFERROR(__xludf.DUMMYFUNCTION("""COMPUTED_VALUE"""),"INSPECCION SEMANAL COMPRESOR AIRE SIERRA")</f>
        <v>INSPECCION SEMANAL COMPRESOR AIRE SIERRA</v>
      </c>
      <c r="F230" s="5" t="str">
        <f ca="1">IFERROR(__xludf.DUMMYFUNCTION("""COMPUTED_VALUE"""),"ESCAPE FLUIDOS(AIRE,AGUA,ACEITE)")</f>
        <v>ESCAPE FLUIDOS(AIRE,AGUA,ACEITE)</v>
      </c>
      <c r="G230" s="5" t="b">
        <f ca="1">IFERROR(__xludf.DUMMYFUNCTION("""COMPUTED_VALUE"""),TRUE)</f>
        <v>1</v>
      </c>
      <c r="H230" s="5"/>
      <c r="I230" s="5"/>
      <c r="J230" s="5">
        <f ca="1">IFERROR(__xludf.DUMMYFUNCTION("""COMPUTED_VALUE"""),13247478)</f>
        <v>13247478</v>
      </c>
      <c r="K230" s="5"/>
      <c r="L230" s="18">
        <f ca="1">IFERROR(__xludf.DUMMYFUNCTION("""COMPUTED_VALUE"""),45324)</f>
        <v>45324</v>
      </c>
      <c r="M230" s="18">
        <f ca="1">IFERROR(__xludf.DUMMYFUNCTION("""COMPUTED_VALUE"""),45324)</f>
        <v>45324</v>
      </c>
      <c r="N230" s="5" t="str">
        <f ca="1">IFERROR(__xludf.DUMMYFUNCTION("""COMPUTED_VALUE"""),"MARIO ALBERTO MARTÍNEZ MORA")</f>
        <v>MARIO ALBERTO MARTÍNEZ MORA</v>
      </c>
      <c r="O230" s="2">
        <f ca="1">IFERROR(__xludf.DUMMYFUNCTION("""COMPUTED_VALUE"""),0.008333333)</f>
        <v>8.3333330000000001E-3</v>
      </c>
      <c r="P230" s="5">
        <f ca="1">IFERROR(__xludf.DUMMYFUNCTION("""COMPUTED_VALUE"""),94542837)</f>
        <v>94542837</v>
      </c>
      <c r="Q230" s="5" t="str">
        <f ca="1">IFERROR(__xludf.DUMMYFUNCTION("""COMPUTED_VALUE"""),"ZuYJ0-dXbvQ")</f>
        <v>ZuYJ0-dXbvQ</v>
      </c>
      <c r="R230" s="5">
        <f ca="1">IFERROR(__xludf.DUMMYFUNCTION("""COMPUTED_VALUE"""),410)</f>
        <v>410</v>
      </c>
      <c r="S230" s="62">
        <f ca="1">IFERROR(__xludf.DUMMYFUNCTION("""COMPUTED_VALUE"""),0.008333333)</f>
        <v>8.3333330000000001E-3</v>
      </c>
      <c r="T230" s="63" t="str">
        <f ca="1">IFERROR(__xludf.DUMMYFUNCTION("""COMPUTED_VALUE"""),"https://storage.googleapis.com/glide-prod.appspot.com/uploads-v2/ly7o78grxPaC6KdgvbpS/pub/3aRdSog0vUtuqPE8AJKD.png")</f>
        <v>https://storage.googleapis.com/glide-prod.appspot.com/uploads-v2/ly7o78grxPaC6KdgvbpS/pub/3aRdSog0vUtuqPE8AJKD.png</v>
      </c>
      <c r="U230" s="5" t="str">
        <f ca="1">IFERROR(__xludf.DUMMYFUNCTION("""COMPUTED_VALUE"""),"EQUIPOS PARA SERVICIOS INDUSTRIALESCOMPRESOR AIRE 2")</f>
        <v>EQUIPOS PARA SERVICIOS INDUSTRIALESCOMPRESOR AIRE 2</v>
      </c>
      <c r="V230" s="5"/>
      <c r="W230" s="5" t="b">
        <f ca="1">IFERROR(__xludf.DUMMYFUNCTION("""COMPUTED_VALUE"""),TRUE)</f>
        <v>1</v>
      </c>
      <c r="X230" s="5" t="str">
        <f ca="1">IFERROR(__xludf.DUMMYFUNCTION("""COMPUTED_VALUE"""),"wmazorra@postobon.com.co,aprmttoyu@postobon.com.co,aprmyu@postobon.com.co,wmora@postobon.com.co,efzapata@postobon.com.co")</f>
        <v>wmazorra@postobon.com.co,aprmttoyu@postobon.com.co,aprmyu@postobon.com.co,wmora@postobon.com.co,efzapata@postobon.com.co</v>
      </c>
      <c r="Y230" s="5" t="str">
        <f ca="1">IFERROR(__xludf.DUMMYFUNCTION("""COMPUTED_VALUE"""),"wmazorra@postobon.com.co")</f>
        <v>wmazorra@postobon.com.co</v>
      </c>
      <c r="Z230" s="5" t="str">
        <f ca="1">IFERROR(__xludf.DUMMYFUNCTION("""COMPUTED_VALUE"""),"G6mf1j1YRN6RvzsiTW4lpA")</f>
        <v>G6mf1j1YRN6RvzsiTW4lpA</v>
      </c>
      <c r="AA230" s="5"/>
      <c r="AB230" s="5"/>
      <c r="AC230" s="5"/>
      <c r="AD230" s="5">
        <f ca="1">IFERROR(__xludf.DUMMYFUNCTION("""COMPUTED_VALUE"""),65)</f>
        <v>65</v>
      </c>
      <c r="AE230" s="5">
        <f ca="1">IFERROR(__xludf.DUMMYFUNCTION("""COMPUTED_VALUE"""),65)</f>
        <v>65</v>
      </c>
      <c r="AF230" s="5" t="b">
        <f ca="1">IFERROR(__xludf.DUMMYFUNCTION("""COMPUTED_VALUE"""),FALSE)</f>
        <v>0</v>
      </c>
      <c r="AG230" s="5" t="str">
        <f ca="1">IFERROR(__xludf.DUMMYFUNCTION("""COMPUTED_VALUE"""),"INSPECCIONES REALIZADAS")</f>
        <v>INSPECCIONES REALIZADAS</v>
      </c>
      <c r="AH230" s="5"/>
    </row>
    <row r="231" spans="1:34">
      <c r="A231" s="5" t="str">
        <f ca="1">IFERROR(__xludf.DUMMYFUNCTION("""COMPUTED_VALUE"""),"EQUIPOS PARA SERVICIOS INDUSTRIALES")</f>
        <v>EQUIPOS PARA SERVICIOS INDUSTRIALES</v>
      </c>
      <c r="B231" s="5">
        <f ca="1">IFERROR(__xludf.DUMMYFUNCTION("""COMPUTED_VALUE"""),649543)</f>
        <v>649543</v>
      </c>
      <c r="C231" s="5" t="str">
        <f ca="1">IFERROR(__xludf.DUMMYFUNCTION("""COMPUTED_VALUE"""),"COMPRESOR AIRE 2")</f>
        <v>COMPRESOR AIRE 2</v>
      </c>
      <c r="D231" s="5">
        <f ca="1">IFERROR(__xludf.DUMMYFUNCTION("""COMPUTED_VALUE"""),13247478)</f>
        <v>13247478</v>
      </c>
      <c r="E231" s="5" t="str">
        <f ca="1">IFERROR(__xludf.DUMMYFUNCTION("""COMPUTED_VALUE"""),"INSPECCION SEMANAL COMPRESOR AIRE SIERRA")</f>
        <v>INSPECCION SEMANAL COMPRESOR AIRE SIERRA</v>
      </c>
      <c r="F231" s="5" t="str">
        <f ca="1">IFERROR(__xludf.DUMMYFUNCTION("""COMPUTED_VALUE"""),"ESTADO GRAL PINTURA")</f>
        <v>ESTADO GRAL PINTURA</v>
      </c>
      <c r="G231" s="5" t="b">
        <f ca="1">IFERROR(__xludf.DUMMYFUNCTION("""COMPUTED_VALUE"""),TRUE)</f>
        <v>1</v>
      </c>
      <c r="H231" s="5"/>
      <c r="I231" s="5"/>
      <c r="J231" s="5">
        <f ca="1">IFERROR(__xludf.DUMMYFUNCTION("""COMPUTED_VALUE"""),13247478)</f>
        <v>13247478</v>
      </c>
      <c r="K231" s="5"/>
      <c r="L231" s="18">
        <f ca="1">IFERROR(__xludf.DUMMYFUNCTION("""COMPUTED_VALUE"""),45324)</f>
        <v>45324</v>
      </c>
      <c r="M231" s="18">
        <f ca="1">IFERROR(__xludf.DUMMYFUNCTION("""COMPUTED_VALUE"""),45324)</f>
        <v>45324</v>
      </c>
      <c r="N231" s="5" t="str">
        <f ca="1">IFERROR(__xludf.DUMMYFUNCTION("""COMPUTED_VALUE"""),"MARIO ALBERTO MARTÍNEZ MORA")</f>
        <v>MARIO ALBERTO MARTÍNEZ MORA</v>
      </c>
      <c r="O231" s="2">
        <f ca="1">IFERROR(__xludf.DUMMYFUNCTION("""COMPUTED_VALUE"""),0.008333333)</f>
        <v>8.3333330000000001E-3</v>
      </c>
      <c r="P231" s="5">
        <f ca="1">IFERROR(__xludf.DUMMYFUNCTION("""COMPUTED_VALUE"""),94542837)</f>
        <v>94542837</v>
      </c>
      <c r="Q231" s="5" t="str">
        <f ca="1">IFERROR(__xludf.DUMMYFUNCTION("""COMPUTED_VALUE"""),"itpknU8PtAU")</f>
        <v>itpknU8PtAU</v>
      </c>
      <c r="R231" s="5">
        <f ca="1">IFERROR(__xludf.DUMMYFUNCTION("""COMPUTED_VALUE"""),410)</f>
        <v>410</v>
      </c>
      <c r="S231" s="62">
        <f ca="1">IFERROR(__xludf.DUMMYFUNCTION("""COMPUTED_VALUE"""),0.008333333)</f>
        <v>8.3333330000000001E-3</v>
      </c>
      <c r="T231" s="63" t="str">
        <f ca="1">IFERROR(__xludf.DUMMYFUNCTION("""COMPUTED_VALUE"""),"https://storage.googleapis.com/glide-prod.appspot.com/uploads-v2/ly7o78grxPaC6KdgvbpS/pub/3aRdSog0vUtuqPE8AJKD.png")</f>
        <v>https://storage.googleapis.com/glide-prod.appspot.com/uploads-v2/ly7o78grxPaC6KdgvbpS/pub/3aRdSog0vUtuqPE8AJKD.png</v>
      </c>
      <c r="U231" s="5" t="str">
        <f ca="1">IFERROR(__xludf.DUMMYFUNCTION("""COMPUTED_VALUE"""),"EQUIPOS PARA SERVICIOS INDUSTRIALESCOMPRESOR AIRE 2")</f>
        <v>EQUIPOS PARA SERVICIOS INDUSTRIALESCOMPRESOR AIRE 2</v>
      </c>
      <c r="V231" s="5"/>
      <c r="W231" s="5" t="b">
        <f ca="1">IFERROR(__xludf.DUMMYFUNCTION("""COMPUTED_VALUE"""),TRUE)</f>
        <v>1</v>
      </c>
      <c r="X231" s="5" t="str">
        <f ca="1">IFERROR(__xludf.DUMMYFUNCTION("""COMPUTED_VALUE"""),"wmazorra@postobon.com.co,aprmttoyu@postobon.com.co,aprmyu@postobon.com.co,wmora@postobon.com.co,efzapata@postobon.com.co")</f>
        <v>wmazorra@postobon.com.co,aprmttoyu@postobon.com.co,aprmyu@postobon.com.co,wmora@postobon.com.co,efzapata@postobon.com.co</v>
      </c>
      <c r="Y231" s="5" t="str">
        <f ca="1">IFERROR(__xludf.DUMMYFUNCTION("""COMPUTED_VALUE"""),"wmazorra@postobon.com.co")</f>
        <v>wmazorra@postobon.com.co</v>
      </c>
      <c r="Z231" s="5" t="str">
        <f ca="1">IFERROR(__xludf.DUMMYFUNCTION("""COMPUTED_VALUE"""),"9r0JsDm9QbGq.joQfGGLFw")</f>
        <v>9r0JsDm9QbGq.joQfGGLFw</v>
      </c>
      <c r="AA231" s="5"/>
      <c r="AB231" s="5"/>
      <c r="AC231" s="5"/>
      <c r="AD231" s="5">
        <f ca="1">IFERROR(__xludf.DUMMYFUNCTION("""COMPUTED_VALUE"""),65)</f>
        <v>65</v>
      </c>
      <c r="AE231" s="5">
        <f ca="1">IFERROR(__xludf.DUMMYFUNCTION("""COMPUTED_VALUE"""),65)</f>
        <v>65</v>
      </c>
      <c r="AF231" s="5" t="b">
        <f ca="1">IFERROR(__xludf.DUMMYFUNCTION("""COMPUTED_VALUE"""),FALSE)</f>
        <v>0</v>
      </c>
      <c r="AG231" s="5" t="str">
        <f ca="1">IFERROR(__xludf.DUMMYFUNCTION("""COMPUTED_VALUE"""),"INSPECCIONES REALIZADAS")</f>
        <v>INSPECCIONES REALIZADAS</v>
      </c>
      <c r="AH231" s="5"/>
    </row>
    <row r="232" spans="1:34">
      <c r="A232" s="5" t="str">
        <f ca="1">IFERROR(__xludf.DUMMYFUNCTION("""COMPUTED_VALUE"""),"EQUIPOS PARA SERVICIOS INDUSTRIALES")</f>
        <v>EQUIPOS PARA SERVICIOS INDUSTRIALES</v>
      </c>
      <c r="B232" s="5">
        <f ca="1">IFERROR(__xludf.DUMMYFUNCTION("""COMPUTED_VALUE"""),649543)</f>
        <v>649543</v>
      </c>
      <c r="C232" s="5" t="str">
        <f ca="1">IFERROR(__xludf.DUMMYFUNCTION("""COMPUTED_VALUE"""),"COMPRESOR AIRE 2")</f>
        <v>COMPRESOR AIRE 2</v>
      </c>
      <c r="D232" s="5">
        <f ca="1">IFERROR(__xludf.DUMMYFUNCTION("""COMPUTED_VALUE"""),13247478)</f>
        <v>13247478</v>
      </c>
      <c r="E232" s="5" t="str">
        <f ca="1">IFERROR(__xludf.DUMMYFUNCTION("""COMPUTED_VALUE"""),"INSPECCION SEMANAL COMPRESOR AIRE SIERRA")</f>
        <v>INSPECCION SEMANAL COMPRESOR AIRE SIERRA</v>
      </c>
      <c r="F232" s="5" t="str">
        <f ca="1">IFERROR(__xludf.DUMMYFUNCTION("""COMPUTED_VALUE"""),"INSP. TABLERO ELECTRICO/CLIMATIZADOR")</f>
        <v>INSP. TABLERO ELECTRICO/CLIMATIZADOR</v>
      </c>
      <c r="G232" s="5" t="b">
        <f ca="1">IFERROR(__xludf.DUMMYFUNCTION("""COMPUTED_VALUE"""),TRUE)</f>
        <v>1</v>
      </c>
      <c r="H232" s="5"/>
      <c r="I232" s="5"/>
      <c r="J232" s="5">
        <f ca="1">IFERROR(__xludf.DUMMYFUNCTION("""COMPUTED_VALUE"""),13247478)</f>
        <v>13247478</v>
      </c>
      <c r="K232" s="5"/>
      <c r="L232" s="18">
        <f ca="1">IFERROR(__xludf.DUMMYFUNCTION("""COMPUTED_VALUE"""),45324)</f>
        <v>45324</v>
      </c>
      <c r="M232" s="18">
        <f ca="1">IFERROR(__xludf.DUMMYFUNCTION("""COMPUTED_VALUE"""),45324)</f>
        <v>45324</v>
      </c>
      <c r="N232" s="5" t="str">
        <f ca="1">IFERROR(__xludf.DUMMYFUNCTION("""COMPUTED_VALUE"""),"MARIO ALBERTO MARTÍNEZ MORA")</f>
        <v>MARIO ALBERTO MARTÍNEZ MORA</v>
      </c>
      <c r="O232" s="2">
        <f ca="1">IFERROR(__xludf.DUMMYFUNCTION("""COMPUTED_VALUE"""),0.008333333)</f>
        <v>8.3333330000000001E-3</v>
      </c>
      <c r="P232" s="5">
        <f ca="1">IFERROR(__xludf.DUMMYFUNCTION("""COMPUTED_VALUE"""),94542837)</f>
        <v>94542837</v>
      </c>
      <c r="Q232" s="5" t="str">
        <f ca="1">IFERROR(__xludf.DUMMYFUNCTION("""COMPUTED_VALUE"""),"Xu-YaNkhOK0")</f>
        <v>Xu-YaNkhOK0</v>
      </c>
      <c r="R232" s="5">
        <f ca="1">IFERROR(__xludf.DUMMYFUNCTION("""COMPUTED_VALUE"""),410)</f>
        <v>410</v>
      </c>
      <c r="S232" s="62">
        <f ca="1">IFERROR(__xludf.DUMMYFUNCTION("""COMPUTED_VALUE"""),0.008333333)</f>
        <v>8.3333330000000001E-3</v>
      </c>
      <c r="T232" s="63" t="str">
        <f ca="1">IFERROR(__xludf.DUMMYFUNCTION("""COMPUTED_VALUE"""),"https://storage.googleapis.com/glide-prod.appspot.com/uploads-v2/ly7o78grxPaC6KdgvbpS/pub/3aRdSog0vUtuqPE8AJKD.png")</f>
        <v>https://storage.googleapis.com/glide-prod.appspot.com/uploads-v2/ly7o78grxPaC6KdgvbpS/pub/3aRdSog0vUtuqPE8AJKD.png</v>
      </c>
      <c r="U232" s="5" t="str">
        <f ca="1">IFERROR(__xludf.DUMMYFUNCTION("""COMPUTED_VALUE"""),"EQUIPOS PARA SERVICIOS INDUSTRIALESCOMPRESOR AIRE 2")</f>
        <v>EQUIPOS PARA SERVICIOS INDUSTRIALESCOMPRESOR AIRE 2</v>
      </c>
      <c r="V232" s="5"/>
      <c r="W232" s="5" t="b">
        <f ca="1">IFERROR(__xludf.DUMMYFUNCTION("""COMPUTED_VALUE"""),TRUE)</f>
        <v>1</v>
      </c>
      <c r="X232" s="5" t="str">
        <f ca="1">IFERROR(__xludf.DUMMYFUNCTION("""COMPUTED_VALUE"""),"wmazorra@postobon.com.co,aprmttoyu@postobon.com.co,aprmyu@postobon.com.co,wmora@postobon.com.co,efzapata@postobon.com.co")</f>
        <v>wmazorra@postobon.com.co,aprmttoyu@postobon.com.co,aprmyu@postobon.com.co,wmora@postobon.com.co,efzapata@postobon.com.co</v>
      </c>
      <c r="Y232" s="5" t="str">
        <f ca="1">IFERROR(__xludf.DUMMYFUNCTION("""COMPUTED_VALUE"""),"wmazorra@postobon.com.co")</f>
        <v>wmazorra@postobon.com.co</v>
      </c>
      <c r="Z232" s="5" t="str">
        <f ca="1">IFERROR(__xludf.DUMMYFUNCTION("""COMPUTED_VALUE"""),"53OY3PSCSZ-BsmA1Crafhw")</f>
        <v>53OY3PSCSZ-BsmA1Crafhw</v>
      </c>
      <c r="AA232" s="5"/>
      <c r="AB232" s="5"/>
      <c r="AC232" s="5"/>
      <c r="AD232" s="5">
        <f ca="1">IFERROR(__xludf.DUMMYFUNCTION("""COMPUTED_VALUE"""),65)</f>
        <v>65</v>
      </c>
      <c r="AE232" s="5">
        <f ca="1">IFERROR(__xludf.DUMMYFUNCTION("""COMPUTED_VALUE"""),65)</f>
        <v>65</v>
      </c>
      <c r="AF232" s="5" t="b">
        <f ca="1">IFERROR(__xludf.DUMMYFUNCTION("""COMPUTED_VALUE"""),FALSE)</f>
        <v>0</v>
      </c>
      <c r="AG232" s="5" t="str">
        <f ca="1">IFERROR(__xludf.DUMMYFUNCTION("""COMPUTED_VALUE"""),"INSPECCIONES REALIZADAS")</f>
        <v>INSPECCIONES REALIZADAS</v>
      </c>
      <c r="AH232" s="5"/>
    </row>
    <row r="233" spans="1:34">
      <c r="A233" s="5" t="str">
        <f ca="1">IFERROR(__xludf.DUMMYFUNCTION("""COMPUTED_VALUE"""),"EQUIPOS PARA SERVICIOS INDUSTRIALES")</f>
        <v>EQUIPOS PARA SERVICIOS INDUSTRIALES</v>
      </c>
      <c r="B233" s="5">
        <f ca="1">IFERROR(__xludf.DUMMYFUNCTION("""COMPUTED_VALUE"""),649543)</f>
        <v>649543</v>
      </c>
      <c r="C233" s="5" t="str">
        <f ca="1">IFERROR(__xludf.DUMMYFUNCTION("""COMPUTED_VALUE"""),"COMPRESOR AIRE 2")</f>
        <v>COMPRESOR AIRE 2</v>
      </c>
      <c r="D233" s="5">
        <f ca="1">IFERROR(__xludf.DUMMYFUNCTION("""COMPUTED_VALUE"""),13247478)</f>
        <v>13247478</v>
      </c>
      <c r="E233" s="5" t="str">
        <f ca="1">IFERROR(__xludf.DUMMYFUNCTION("""COMPUTED_VALUE"""),"INSPECCION SEMANAL COMPRESOR AIRE SIERRA")</f>
        <v>INSPECCION SEMANAL COMPRESOR AIRE SIERRA</v>
      </c>
      <c r="F233" s="5" t="str">
        <f ca="1">IFERROR(__xludf.DUMMYFUNCTION("""COMPUTED_VALUE"""),"ESTADO DEL SECADOR")</f>
        <v>ESTADO DEL SECADOR</v>
      </c>
      <c r="G233" s="5" t="b">
        <f ca="1">IFERROR(__xludf.DUMMYFUNCTION("""COMPUTED_VALUE"""),TRUE)</f>
        <v>1</v>
      </c>
      <c r="H233" s="5"/>
      <c r="I233" s="5"/>
      <c r="J233" s="5">
        <f ca="1">IFERROR(__xludf.DUMMYFUNCTION("""COMPUTED_VALUE"""),13247478)</f>
        <v>13247478</v>
      </c>
      <c r="K233" s="5"/>
      <c r="L233" s="18">
        <f ca="1">IFERROR(__xludf.DUMMYFUNCTION("""COMPUTED_VALUE"""),45324)</f>
        <v>45324</v>
      </c>
      <c r="M233" s="18">
        <f ca="1">IFERROR(__xludf.DUMMYFUNCTION("""COMPUTED_VALUE"""),45324)</f>
        <v>45324</v>
      </c>
      <c r="N233" s="5" t="str">
        <f ca="1">IFERROR(__xludf.DUMMYFUNCTION("""COMPUTED_VALUE"""),"MARIO ALBERTO MARTÍNEZ MORA")</f>
        <v>MARIO ALBERTO MARTÍNEZ MORA</v>
      </c>
      <c r="O233" s="2">
        <f ca="1">IFERROR(__xludf.DUMMYFUNCTION("""COMPUTED_VALUE"""),0.008333333)</f>
        <v>8.3333330000000001E-3</v>
      </c>
      <c r="P233" s="5">
        <f ca="1">IFERROR(__xludf.DUMMYFUNCTION("""COMPUTED_VALUE"""),94542837)</f>
        <v>94542837</v>
      </c>
      <c r="Q233" s="5" t="str">
        <f ca="1">IFERROR(__xludf.DUMMYFUNCTION("""COMPUTED_VALUE"""),"9053bBNIgv4")</f>
        <v>9053bBNIgv4</v>
      </c>
      <c r="R233" s="5">
        <f ca="1">IFERROR(__xludf.DUMMYFUNCTION("""COMPUTED_VALUE"""),410)</f>
        <v>410</v>
      </c>
      <c r="S233" s="62">
        <f ca="1">IFERROR(__xludf.DUMMYFUNCTION("""COMPUTED_VALUE"""),0.008333333)</f>
        <v>8.3333330000000001E-3</v>
      </c>
      <c r="T233" s="63" t="str">
        <f ca="1">IFERROR(__xludf.DUMMYFUNCTION("""COMPUTED_VALUE"""),"https://storage.googleapis.com/glide-prod.appspot.com/uploads-v2/ly7o78grxPaC6KdgvbpS/pub/3aRdSog0vUtuqPE8AJKD.png")</f>
        <v>https://storage.googleapis.com/glide-prod.appspot.com/uploads-v2/ly7o78grxPaC6KdgvbpS/pub/3aRdSog0vUtuqPE8AJKD.png</v>
      </c>
      <c r="U233" s="5" t="str">
        <f ca="1">IFERROR(__xludf.DUMMYFUNCTION("""COMPUTED_VALUE"""),"EQUIPOS PARA SERVICIOS INDUSTRIALESCOMPRESOR AIRE 2")</f>
        <v>EQUIPOS PARA SERVICIOS INDUSTRIALESCOMPRESOR AIRE 2</v>
      </c>
      <c r="V233" s="5"/>
      <c r="W233" s="5" t="b">
        <f ca="1">IFERROR(__xludf.DUMMYFUNCTION("""COMPUTED_VALUE"""),TRUE)</f>
        <v>1</v>
      </c>
      <c r="X233" s="5" t="str">
        <f ca="1">IFERROR(__xludf.DUMMYFUNCTION("""COMPUTED_VALUE"""),"wmazorra@postobon.com.co,aprmttoyu@postobon.com.co,aprmyu@postobon.com.co,wmora@postobon.com.co,efzapata@postobon.com.co")</f>
        <v>wmazorra@postobon.com.co,aprmttoyu@postobon.com.co,aprmyu@postobon.com.co,wmora@postobon.com.co,efzapata@postobon.com.co</v>
      </c>
      <c r="Y233" s="5" t="str">
        <f ca="1">IFERROR(__xludf.DUMMYFUNCTION("""COMPUTED_VALUE"""),"wmazorra@postobon.com.co")</f>
        <v>wmazorra@postobon.com.co</v>
      </c>
      <c r="Z233" s="5" t="str">
        <f ca="1">IFERROR(__xludf.DUMMYFUNCTION("""COMPUTED_VALUE"""),"zKRCz5VPTcmc0wHF9gNWiQ")</f>
        <v>zKRCz5VPTcmc0wHF9gNWiQ</v>
      </c>
      <c r="AA233" s="5"/>
      <c r="AB233" s="5"/>
      <c r="AC233" s="5"/>
      <c r="AD233" s="5">
        <f ca="1">IFERROR(__xludf.DUMMYFUNCTION("""COMPUTED_VALUE"""),65)</f>
        <v>65</v>
      </c>
      <c r="AE233" s="5">
        <f ca="1">IFERROR(__xludf.DUMMYFUNCTION("""COMPUTED_VALUE"""),65)</f>
        <v>65</v>
      </c>
      <c r="AF233" s="5" t="b">
        <f ca="1">IFERROR(__xludf.DUMMYFUNCTION("""COMPUTED_VALUE"""),FALSE)</f>
        <v>0</v>
      </c>
      <c r="AG233" s="5" t="str">
        <f ca="1">IFERROR(__xludf.DUMMYFUNCTION("""COMPUTED_VALUE"""),"INSPECCIONES REALIZADAS")</f>
        <v>INSPECCIONES REALIZADAS</v>
      </c>
      <c r="AH233" s="5"/>
    </row>
    <row r="234" spans="1:34">
      <c r="A234" s="5" t="str">
        <f ca="1">IFERROR(__xludf.DUMMYFUNCTION("""COMPUTED_VALUE"""),"EQUIPOS PARA SERVICIOS INDUSTRIALES JUGO")</f>
        <v>EQUIPOS PARA SERVICIOS INDUSTRIALES JUGO</v>
      </c>
      <c r="B234" s="5">
        <f ca="1">IFERROR(__xludf.DUMMYFUNCTION("""COMPUTED_VALUE"""),829059)</f>
        <v>829059</v>
      </c>
      <c r="C234" s="5" t="str">
        <f ca="1">IFERROR(__xludf.DUMMYFUNCTION("""COMPUTED_VALUE"""),"COMPRESOR DE REFRIGERACION No. 2 JUGOS")</f>
        <v>COMPRESOR DE REFRIGERACION No. 2 JUGOS</v>
      </c>
      <c r="D234" s="5">
        <f ca="1">IFERROR(__xludf.DUMMYFUNCTION("""COMPUTED_VALUE"""),13247537)</f>
        <v>13247537</v>
      </c>
      <c r="E234" s="5" t="str">
        <f ca="1">IFERROR(__xludf.DUMMYFUNCTION("""COMPUTED_VALUE"""),"INSPECCION SEMANAL COMPRESOR DE REFRIGER")</f>
        <v>INSPECCION SEMANAL COMPRESOR DE REFRIGER</v>
      </c>
      <c r="F234" s="5" t="str">
        <f ca="1">IFERROR(__xludf.DUMMYFUNCTION("""COMPUTED_VALUE"""),"PLAN MTTO MEC COMPRESOR REFRIG Nº2 JUGOS")</f>
        <v>PLAN MTTO MEC COMPRESOR REFRIG Nº2 JUGOS</v>
      </c>
      <c r="G234" s="5"/>
      <c r="H234" s="5"/>
      <c r="I234" s="5"/>
      <c r="J234" s="5"/>
      <c r="K234" s="5"/>
      <c r="L234" s="18">
        <f ca="1">IFERROR(__xludf.DUMMYFUNCTION("""COMPUTED_VALUE"""),45325)</f>
        <v>45325</v>
      </c>
      <c r="M234" s="18">
        <f ca="1">IFERROR(__xludf.DUMMYFUNCTION("""COMPUTED_VALUE"""),45325)</f>
        <v>45325</v>
      </c>
      <c r="N234" s="5" t="str">
        <f ca="1">IFERROR(__xludf.DUMMYFUNCTION("""COMPUTED_VALUE"""),"Lopez Raul")</f>
        <v>Lopez Raul</v>
      </c>
      <c r="O234" s="2">
        <f ca="1">IFERROR(__xludf.DUMMYFUNCTION("""COMPUTED_VALUE"""),0.1)</f>
        <v>0.1</v>
      </c>
      <c r="P234" s="5"/>
      <c r="Q234" s="5" t="str">
        <f ca="1">IFERROR(__xludf.DUMMYFUNCTION("""COMPUTED_VALUE"""),"YSc1SbeAw5w")</f>
        <v>YSc1SbeAw5w</v>
      </c>
      <c r="R234" s="5">
        <f ca="1">IFERROR(__xludf.DUMMYFUNCTION("""COMPUTED_VALUE"""),410)</f>
        <v>410</v>
      </c>
      <c r="S234" s="62">
        <f ca="1">IFERROR(__xludf.DUMMYFUNCTION("""COMPUTED_VALUE"""),0.1)</f>
        <v>0.1</v>
      </c>
      <c r="T234" s="63" t="str">
        <f ca="1">IFERROR(__xludf.DUMMYFUNCTION("""COMPUTED_VALUE"""),"https://storage.googleapis.com/glide-prod.appspot.com/uploads-v2/ly7o78grxPaC6KdgvbpS/pub/UliJWgpEaBovaFmXi6OW.png")</f>
        <v>https://storage.googleapis.com/glide-prod.appspot.com/uploads-v2/ly7o78grxPaC6KdgvbpS/pub/UliJWgpEaBovaFmXi6OW.png</v>
      </c>
      <c r="U234" s="5" t="str">
        <f ca="1">IFERROR(__xludf.DUMMYFUNCTION("""COMPUTED_VALUE"""),"EQUIPOS PARA SERVICIOS INDUSTRIALES JUGOCOMPRESOR DE REFRIGERACION No. 2 JUGOS")</f>
        <v>EQUIPOS PARA SERVICIOS INDUSTRIALES JUGOCOMPRESOR DE REFRIGERACION No. 2 JUGOS</v>
      </c>
      <c r="V234" s="5"/>
      <c r="W234" s="5"/>
      <c r="X234" s="5" t="str">
        <f ca="1">IFERROR(__xludf.DUMMYFUNCTION("""COMPUTED_VALUE"""),"wmazorra@postobon.com.co,aprmttoyu@postobon.com.co,aprmyu@postobon.com.co,wmora@postobon.com.co,efzapata@postobon.com.co")</f>
        <v>wmazorra@postobon.com.co,aprmttoyu@postobon.com.co,aprmyu@postobon.com.co,wmora@postobon.com.co,efzapata@postobon.com.co</v>
      </c>
      <c r="Y234" s="5" t="str">
        <f ca="1">IFERROR(__xludf.DUMMYFUNCTION("""COMPUTED_VALUE"""),"wmazorra@postobon.com.co")</f>
        <v>wmazorra@postobon.com.co</v>
      </c>
      <c r="Z234" s="5" t="str">
        <f ca="1">IFERROR(__xludf.DUMMYFUNCTION("""COMPUTED_VALUE"""),"xhb4mQgHQjW.TVLiJiRaKA")</f>
        <v>xhb4mQgHQjW.TVLiJiRaKA</v>
      </c>
      <c r="AA234" s="5"/>
      <c r="AB234" s="5"/>
      <c r="AC234" s="5"/>
      <c r="AD234" s="5">
        <f ca="1">IFERROR(__xludf.DUMMYFUNCTION("""COMPUTED_VALUE"""),57)</f>
        <v>57</v>
      </c>
      <c r="AE234" s="5">
        <f ca="1">IFERROR(__xludf.DUMMYFUNCTION("""COMPUTED_VALUE"""),0)</f>
        <v>0</v>
      </c>
      <c r="AF234" s="5" t="b">
        <f ca="1">IFERROR(__xludf.DUMMYFUNCTION("""COMPUTED_VALUE"""),TRUE)</f>
        <v>1</v>
      </c>
      <c r="AG234" s="5" t="str">
        <f ca="1">IFERROR(__xludf.DUMMYFUNCTION("""COMPUTED_VALUE"""),"INSPECCIONES SIN REALIZAR")</f>
        <v>INSPECCIONES SIN REALIZAR</v>
      </c>
      <c r="AH234" s="5"/>
    </row>
    <row r="235" spans="1:34">
      <c r="A235" s="5" t="str">
        <f ca="1">IFERROR(__xludf.DUMMYFUNCTION("""COMPUTED_VALUE"""),"EQUIPOS PARA SERVICIOS INDUSTRIALES JUGO")</f>
        <v>EQUIPOS PARA SERVICIOS INDUSTRIALES JUGO</v>
      </c>
      <c r="B235" s="5">
        <f ca="1">IFERROR(__xludf.DUMMYFUNCTION("""COMPUTED_VALUE"""),829058)</f>
        <v>829058</v>
      </c>
      <c r="C235" s="5" t="str">
        <f ca="1">IFERROR(__xludf.DUMMYFUNCTION("""COMPUTED_VALUE"""),"COMPRESOR DE REFRIGERACION No. 1 JUGOS")</f>
        <v>COMPRESOR DE REFRIGERACION No. 1 JUGOS</v>
      </c>
      <c r="D235" s="5">
        <f ca="1">IFERROR(__xludf.DUMMYFUNCTION("""COMPUTED_VALUE"""),13247534)</f>
        <v>13247534</v>
      </c>
      <c r="E235" s="5" t="str">
        <f ca="1">IFERROR(__xludf.DUMMYFUNCTION("""COMPUTED_VALUE"""),"INSPECCION SEMANAL COMPRESOR DE REFRIGER")</f>
        <v>INSPECCION SEMANAL COMPRESOR DE REFRIGER</v>
      </c>
      <c r="F235" s="5" t="str">
        <f ca="1">IFERROR(__xludf.DUMMYFUNCTION("""COMPUTED_VALUE"""),"REVISAR PRESIONES Y TEMPERA")</f>
        <v>REVISAR PRESIONES Y TEMPERA</v>
      </c>
      <c r="G235" s="5"/>
      <c r="H235" s="5"/>
      <c r="I235" s="5"/>
      <c r="J235" s="5"/>
      <c r="K235" s="5"/>
      <c r="L235" s="18">
        <f ca="1">IFERROR(__xludf.DUMMYFUNCTION("""COMPUTED_VALUE"""),45324)</f>
        <v>45324</v>
      </c>
      <c r="M235" s="18">
        <f ca="1">IFERROR(__xludf.DUMMYFUNCTION("""COMPUTED_VALUE"""),45324)</f>
        <v>45324</v>
      </c>
      <c r="N235" s="5" t="str">
        <f ca="1">IFERROR(__xludf.DUMMYFUNCTION("""COMPUTED_VALUE"""),"Lopez Raul")</f>
        <v>Lopez Raul</v>
      </c>
      <c r="O235" s="2">
        <f ca="1">IFERROR(__xludf.DUMMYFUNCTION("""COMPUTED_VALUE"""),0.007142857)</f>
        <v>7.1428569999999999E-3</v>
      </c>
      <c r="P235" s="5"/>
      <c r="Q235" s="5" t="str">
        <f ca="1">IFERROR(__xludf.DUMMYFUNCTION("""COMPUTED_VALUE"""),"ejuluwzhlqU")</f>
        <v>ejuluwzhlqU</v>
      </c>
      <c r="R235" s="5">
        <f ca="1">IFERROR(__xludf.DUMMYFUNCTION("""COMPUTED_VALUE"""),410)</f>
        <v>410</v>
      </c>
      <c r="S235" s="62">
        <f ca="1">IFERROR(__xludf.DUMMYFUNCTION("""COMPUTED_VALUE"""),0.007142857)</f>
        <v>7.1428569999999999E-3</v>
      </c>
      <c r="T235" s="63" t="str">
        <f ca="1">IFERROR(__xludf.DUMMYFUNCTION("""COMPUTED_VALUE"""),"https://storage.googleapis.com/glide-prod.appspot.com/uploads-v2/ly7o78grxPaC6KdgvbpS/pub/UliJWgpEaBovaFmXi6OW.png")</f>
        <v>https://storage.googleapis.com/glide-prod.appspot.com/uploads-v2/ly7o78grxPaC6KdgvbpS/pub/UliJWgpEaBovaFmXi6OW.png</v>
      </c>
      <c r="U235" s="5" t="str">
        <f ca="1">IFERROR(__xludf.DUMMYFUNCTION("""COMPUTED_VALUE"""),"EQUIPOS PARA SERVICIOS INDUSTRIALES JUGOCOMPRESOR DE REFRIGERACION No. 1 JUGOS")</f>
        <v>EQUIPOS PARA SERVICIOS INDUSTRIALES JUGOCOMPRESOR DE REFRIGERACION No. 1 JUGOS</v>
      </c>
      <c r="V235" s="5"/>
      <c r="W235" s="5"/>
      <c r="X235" s="5" t="str">
        <f ca="1">IFERROR(__xludf.DUMMYFUNCTION("""COMPUTED_VALUE"""),"wmazorra@postobon.com.co,aprmttoyu@postobon.com.co,aprmyu@postobon.com.co,wmora@postobon.com.co,efzapata@postobon.com.co")</f>
        <v>wmazorra@postobon.com.co,aprmttoyu@postobon.com.co,aprmyu@postobon.com.co,wmora@postobon.com.co,efzapata@postobon.com.co</v>
      </c>
      <c r="Y235" s="5" t="str">
        <f ca="1">IFERROR(__xludf.DUMMYFUNCTION("""COMPUTED_VALUE"""),"wmazorra@postobon.com.co")</f>
        <v>wmazorra@postobon.com.co</v>
      </c>
      <c r="Z235" s="5" t="str">
        <f ca="1">IFERROR(__xludf.DUMMYFUNCTION("""COMPUTED_VALUE"""),"HfIdFSpWRUq9r0aJk85hkw")</f>
        <v>HfIdFSpWRUq9r0aJk85hkw</v>
      </c>
      <c r="AA235" s="5"/>
      <c r="AB235" s="5"/>
      <c r="AC235" s="5"/>
      <c r="AD235" s="5">
        <f ca="1">IFERROR(__xludf.DUMMYFUNCTION("""COMPUTED_VALUE"""),57)</f>
        <v>57</v>
      </c>
      <c r="AE235" s="5">
        <f ca="1">IFERROR(__xludf.DUMMYFUNCTION("""COMPUTED_VALUE"""),0)</f>
        <v>0</v>
      </c>
      <c r="AF235" s="5" t="b">
        <f ca="1">IFERROR(__xludf.DUMMYFUNCTION("""COMPUTED_VALUE"""),TRUE)</f>
        <v>1</v>
      </c>
      <c r="AG235" s="5" t="str">
        <f ca="1">IFERROR(__xludf.DUMMYFUNCTION("""COMPUTED_VALUE"""),"INSPECCIONES SIN REALIZAR")</f>
        <v>INSPECCIONES SIN REALIZAR</v>
      </c>
      <c r="AH235" s="5"/>
    </row>
    <row r="236" spans="1:34">
      <c r="A236" s="5" t="str">
        <f ca="1">IFERROR(__xludf.DUMMYFUNCTION("""COMPUTED_VALUE"""),"EQUIPOS PARA SERVICIOS INDUSTRIALES JUGO")</f>
        <v>EQUIPOS PARA SERVICIOS INDUSTRIALES JUGO</v>
      </c>
      <c r="B236" s="5">
        <f ca="1">IFERROR(__xludf.DUMMYFUNCTION("""COMPUTED_VALUE"""),829058)</f>
        <v>829058</v>
      </c>
      <c r="C236" s="5" t="str">
        <f ca="1">IFERROR(__xludf.DUMMYFUNCTION("""COMPUTED_VALUE"""),"COMPRESOR DE REFRIGERACION No. 1 JUGOS")</f>
        <v>COMPRESOR DE REFRIGERACION No. 1 JUGOS</v>
      </c>
      <c r="D236" s="5">
        <f ca="1">IFERROR(__xludf.DUMMYFUNCTION("""COMPUTED_VALUE"""),13247534)</f>
        <v>13247534</v>
      </c>
      <c r="E236" s="5" t="str">
        <f ca="1">IFERROR(__xludf.DUMMYFUNCTION("""COMPUTED_VALUE"""),"INSPECCION SEMANAL COMPRESOR DE REFRIGER")</f>
        <v>INSPECCION SEMANAL COMPRESOR DE REFRIGER</v>
      </c>
      <c r="F236" s="5" t="str">
        <f ca="1">IFERROR(__xludf.DUMMYFUNCTION("""COMPUTED_VALUE"""),"REVISAR CAIDA PRESION FILTRO&lt;10psi")</f>
        <v>REVISAR CAIDA PRESION FILTRO&lt;10psi</v>
      </c>
      <c r="G236" s="5"/>
      <c r="H236" s="5"/>
      <c r="I236" s="5"/>
      <c r="J236" s="5"/>
      <c r="K236" s="5"/>
      <c r="L236" s="18">
        <f ca="1">IFERROR(__xludf.DUMMYFUNCTION("""COMPUTED_VALUE"""),45324)</f>
        <v>45324</v>
      </c>
      <c r="M236" s="18">
        <f ca="1">IFERROR(__xludf.DUMMYFUNCTION("""COMPUTED_VALUE"""),45324)</f>
        <v>45324</v>
      </c>
      <c r="N236" s="5" t="str">
        <f ca="1">IFERROR(__xludf.DUMMYFUNCTION("""COMPUTED_VALUE"""),"Lopez Raul")</f>
        <v>Lopez Raul</v>
      </c>
      <c r="O236" s="2">
        <f ca="1">IFERROR(__xludf.DUMMYFUNCTION("""COMPUTED_VALUE"""),0.007142857)</f>
        <v>7.1428569999999999E-3</v>
      </c>
      <c r="P236" s="5"/>
      <c r="Q236" s="5" t="str">
        <f ca="1">IFERROR(__xludf.DUMMYFUNCTION("""COMPUTED_VALUE"""),"qWAQ3wsg1L0")</f>
        <v>qWAQ3wsg1L0</v>
      </c>
      <c r="R236" s="5">
        <f ca="1">IFERROR(__xludf.DUMMYFUNCTION("""COMPUTED_VALUE"""),410)</f>
        <v>410</v>
      </c>
      <c r="S236" s="62">
        <f ca="1">IFERROR(__xludf.DUMMYFUNCTION("""COMPUTED_VALUE"""),0.007142857)</f>
        <v>7.1428569999999999E-3</v>
      </c>
      <c r="T236" s="63" t="str">
        <f ca="1">IFERROR(__xludf.DUMMYFUNCTION("""COMPUTED_VALUE"""),"https://storage.googleapis.com/glide-prod.appspot.com/uploads-v2/ly7o78grxPaC6KdgvbpS/pub/UliJWgpEaBovaFmXi6OW.png")</f>
        <v>https://storage.googleapis.com/glide-prod.appspot.com/uploads-v2/ly7o78grxPaC6KdgvbpS/pub/UliJWgpEaBovaFmXi6OW.png</v>
      </c>
      <c r="U236" s="5" t="str">
        <f ca="1">IFERROR(__xludf.DUMMYFUNCTION("""COMPUTED_VALUE"""),"EQUIPOS PARA SERVICIOS INDUSTRIALES JUGOCOMPRESOR DE REFRIGERACION No. 1 JUGOS")</f>
        <v>EQUIPOS PARA SERVICIOS INDUSTRIALES JUGOCOMPRESOR DE REFRIGERACION No. 1 JUGOS</v>
      </c>
      <c r="V236" s="5"/>
      <c r="W236" s="5"/>
      <c r="X236" s="5" t="str">
        <f ca="1">IFERROR(__xludf.DUMMYFUNCTION("""COMPUTED_VALUE"""),"wmazorra@postobon.com.co,aprmttoyu@postobon.com.co,aprmyu@postobon.com.co,wmora@postobon.com.co,efzapata@postobon.com.co")</f>
        <v>wmazorra@postobon.com.co,aprmttoyu@postobon.com.co,aprmyu@postobon.com.co,wmora@postobon.com.co,efzapata@postobon.com.co</v>
      </c>
      <c r="Y236" s="5" t="str">
        <f ca="1">IFERROR(__xludf.DUMMYFUNCTION("""COMPUTED_VALUE"""),"wmazorra@postobon.com.co")</f>
        <v>wmazorra@postobon.com.co</v>
      </c>
      <c r="Z236" s="5" t="str">
        <f ca="1">IFERROR(__xludf.DUMMYFUNCTION("""COMPUTED_VALUE"""),"FaR92MNaTL63uakDFBy2VQ")</f>
        <v>FaR92MNaTL63uakDFBy2VQ</v>
      </c>
      <c r="AA236" s="5"/>
      <c r="AB236" s="5"/>
      <c r="AC236" s="5"/>
      <c r="AD236" s="5">
        <f ca="1">IFERROR(__xludf.DUMMYFUNCTION("""COMPUTED_VALUE"""),57)</f>
        <v>57</v>
      </c>
      <c r="AE236" s="5">
        <f ca="1">IFERROR(__xludf.DUMMYFUNCTION("""COMPUTED_VALUE"""),0)</f>
        <v>0</v>
      </c>
      <c r="AF236" s="5" t="b">
        <f ca="1">IFERROR(__xludf.DUMMYFUNCTION("""COMPUTED_VALUE"""),TRUE)</f>
        <v>1</v>
      </c>
      <c r="AG236" s="5" t="str">
        <f ca="1">IFERROR(__xludf.DUMMYFUNCTION("""COMPUTED_VALUE"""),"INSPECCIONES SIN REALIZAR")</f>
        <v>INSPECCIONES SIN REALIZAR</v>
      </c>
      <c r="AH236" s="5"/>
    </row>
    <row r="237" spans="1:34">
      <c r="A237" s="5" t="str">
        <f ca="1">IFERROR(__xludf.DUMMYFUNCTION("""COMPUTED_VALUE"""),"EQUIPOS PARA SERVICIOS INDUSTRIALES JUGO")</f>
        <v>EQUIPOS PARA SERVICIOS INDUSTRIALES JUGO</v>
      </c>
      <c r="B237" s="5">
        <f ca="1">IFERROR(__xludf.DUMMYFUNCTION("""COMPUTED_VALUE"""),829058)</f>
        <v>829058</v>
      </c>
      <c r="C237" s="5" t="str">
        <f ca="1">IFERROR(__xludf.DUMMYFUNCTION("""COMPUTED_VALUE"""),"COMPRESOR DE REFRIGERACION No. 1 JUGOS")</f>
        <v>COMPRESOR DE REFRIGERACION No. 1 JUGOS</v>
      </c>
      <c r="D237" s="5">
        <f ca="1">IFERROR(__xludf.DUMMYFUNCTION("""COMPUTED_VALUE"""),13247534)</f>
        <v>13247534</v>
      </c>
      <c r="E237" s="5" t="str">
        <f ca="1">IFERROR(__xludf.DUMMYFUNCTION("""COMPUTED_VALUE"""),"INSPECCION SEMANAL COMPRESOR DE REFRIGER")</f>
        <v>INSPECCION SEMANAL COMPRESOR DE REFRIGER</v>
      </c>
      <c r="F237" s="5" t="str">
        <f ca="1">IFERROR(__xludf.DUMMYFUNCTION("""COMPUTED_VALUE"""),"REVISAR RUIDOS ANORMALES")</f>
        <v>REVISAR RUIDOS ANORMALES</v>
      </c>
      <c r="G237" s="5"/>
      <c r="H237" s="5"/>
      <c r="I237" s="5"/>
      <c r="J237" s="5"/>
      <c r="K237" s="5"/>
      <c r="L237" s="18">
        <f ca="1">IFERROR(__xludf.DUMMYFUNCTION("""COMPUTED_VALUE"""),45324)</f>
        <v>45324</v>
      </c>
      <c r="M237" s="18">
        <f ca="1">IFERROR(__xludf.DUMMYFUNCTION("""COMPUTED_VALUE"""),45324)</f>
        <v>45324</v>
      </c>
      <c r="N237" s="5" t="str">
        <f ca="1">IFERROR(__xludf.DUMMYFUNCTION("""COMPUTED_VALUE"""),"Lopez Raul")</f>
        <v>Lopez Raul</v>
      </c>
      <c r="O237" s="2">
        <f ca="1">IFERROR(__xludf.DUMMYFUNCTION("""COMPUTED_VALUE"""),0.007142857)</f>
        <v>7.1428569999999999E-3</v>
      </c>
      <c r="P237" s="5"/>
      <c r="Q237" s="5" t="str">
        <f ca="1">IFERROR(__xludf.DUMMYFUNCTION("""COMPUTED_VALUE"""),"uJwY5ycLQU4")</f>
        <v>uJwY5ycLQU4</v>
      </c>
      <c r="R237" s="5">
        <f ca="1">IFERROR(__xludf.DUMMYFUNCTION("""COMPUTED_VALUE"""),410)</f>
        <v>410</v>
      </c>
      <c r="S237" s="62">
        <f ca="1">IFERROR(__xludf.DUMMYFUNCTION("""COMPUTED_VALUE"""),0.007142857)</f>
        <v>7.1428569999999999E-3</v>
      </c>
      <c r="T237" s="63" t="str">
        <f ca="1">IFERROR(__xludf.DUMMYFUNCTION("""COMPUTED_VALUE"""),"https://storage.googleapis.com/glide-prod.appspot.com/uploads-v2/ly7o78grxPaC6KdgvbpS/pub/UliJWgpEaBovaFmXi6OW.png")</f>
        <v>https://storage.googleapis.com/glide-prod.appspot.com/uploads-v2/ly7o78grxPaC6KdgvbpS/pub/UliJWgpEaBovaFmXi6OW.png</v>
      </c>
      <c r="U237" s="5" t="str">
        <f ca="1">IFERROR(__xludf.DUMMYFUNCTION("""COMPUTED_VALUE"""),"EQUIPOS PARA SERVICIOS INDUSTRIALES JUGOCOMPRESOR DE REFRIGERACION No. 1 JUGOS")</f>
        <v>EQUIPOS PARA SERVICIOS INDUSTRIALES JUGOCOMPRESOR DE REFRIGERACION No. 1 JUGOS</v>
      </c>
      <c r="V237" s="5"/>
      <c r="W237" s="5"/>
      <c r="X237" s="5" t="str">
        <f ca="1">IFERROR(__xludf.DUMMYFUNCTION("""COMPUTED_VALUE"""),"wmazorra@postobon.com.co,aprmttoyu@postobon.com.co,aprmyu@postobon.com.co,wmora@postobon.com.co,efzapata@postobon.com.co")</f>
        <v>wmazorra@postobon.com.co,aprmttoyu@postobon.com.co,aprmyu@postobon.com.co,wmora@postobon.com.co,efzapata@postobon.com.co</v>
      </c>
      <c r="Y237" s="5" t="str">
        <f ca="1">IFERROR(__xludf.DUMMYFUNCTION("""COMPUTED_VALUE"""),"wmazorra@postobon.com.co")</f>
        <v>wmazorra@postobon.com.co</v>
      </c>
      <c r="Z237" s="5" t="str">
        <f ca="1">IFERROR(__xludf.DUMMYFUNCTION("""COMPUTED_VALUE"""),"CatM0PY6SFeJ0MiSXySXOw")</f>
        <v>CatM0PY6SFeJ0MiSXySXOw</v>
      </c>
      <c r="AA237" s="5"/>
      <c r="AB237" s="5"/>
      <c r="AC237" s="5"/>
      <c r="AD237" s="5">
        <f ca="1">IFERROR(__xludf.DUMMYFUNCTION("""COMPUTED_VALUE"""),57)</f>
        <v>57</v>
      </c>
      <c r="AE237" s="5">
        <f ca="1">IFERROR(__xludf.DUMMYFUNCTION("""COMPUTED_VALUE"""),0)</f>
        <v>0</v>
      </c>
      <c r="AF237" s="5" t="b">
        <f ca="1">IFERROR(__xludf.DUMMYFUNCTION("""COMPUTED_VALUE"""),TRUE)</f>
        <v>1</v>
      </c>
      <c r="AG237" s="5" t="str">
        <f ca="1">IFERROR(__xludf.DUMMYFUNCTION("""COMPUTED_VALUE"""),"INSPECCIONES SIN REALIZAR")</f>
        <v>INSPECCIONES SIN REALIZAR</v>
      </c>
      <c r="AH237" s="5"/>
    </row>
    <row r="238" spans="1:34">
      <c r="A238" s="5" t="str">
        <f ca="1">IFERROR(__xludf.DUMMYFUNCTION("""COMPUTED_VALUE"""),"EQUIPOS PARA SERVICIOS INDUSTRIALES JUGO")</f>
        <v>EQUIPOS PARA SERVICIOS INDUSTRIALES JUGO</v>
      </c>
      <c r="B238" s="5">
        <f ca="1">IFERROR(__xludf.DUMMYFUNCTION("""COMPUTED_VALUE"""),829058)</f>
        <v>829058</v>
      </c>
      <c r="C238" s="5" t="str">
        <f ca="1">IFERROR(__xludf.DUMMYFUNCTION("""COMPUTED_VALUE"""),"COMPRESOR DE REFRIGERACION No. 1 JUGOS")</f>
        <v>COMPRESOR DE REFRIGERACION No. 1 JUGOS</v>
      </c>
      <c r="D238" s="5">
        <f ca="1">IFERROR(__xludf.DUMMYFUNCTION("""COMPUTED_VALUE"""),13247534)</f>
        <v>13247534</v>
      </c>
      <c r="E238" s="5" t="str">
        <f ca="1">IFERROR(__xludf.DUMMYFUNCTION("""COMPUTED_VALUE"""),"INSPECCION SEMANAL COMPRESOR DE REFRIGER")</f>
        <v>INSPECCION SEMANAL COMPRESOR DE REFRIGER</v>
      </c>
      <c r="F238" s="5" t="str">
        <f ca="1">IFERROR(__xludf.DUMMYFUNCTION("""COMPUTED_VALUE"""),"INSP FUGA ACEITE (10 GOTAS/MIN ES NORMAL)")</f>
        <v>INSP FUGA ACEITE (10 GOTAS/MIN ES NORMAL)</v>
      </c>
      <c r="G238" s="5"/>
      <c r="H238" s="5"/>
      <c r="I238" s="5"/>
      <c r="J238" s="5"/>
      <c r="K238" s="5"/>
      <c r="L238" s="18">
        <f ca="1">IFERROR(__xludf.DUMMYFUNCTION("""COMPUTED_VALUE"""),45324)</f>
        <v>45324</v>
      </c>
      <c r="M238" s="18">
        <f ca="1">IFERROR(__xludf.DUMMYFUNCTION("""COMPUTED_VALUE"""),45324)</f>
        <v>45324</v>
      </c>
      <c r="N238" s="5" t="str">
        <f ca="1">IFERROR(__xludf.DUMMYFUNCTION("""COMPUTED_VALUE"""),"Lopez Raul")</f>
        <v>Lopez Raul</v>
      </c>
      <c r="O238" s="2">
        <f ca="1">IFERROR(__xludf.DUMMYFUNCTION("""COMPUTED_VALUE"""),0.007142857)</f>
        <v>7.1428569999999999E-3</v>
      </c>
      <c r="P238" s="5"/>
      <c r="Q238" s="5" t="str">
        <f ca="1">IFERROR(__xludf.DUMMYFUNCTION("""COMPUTED_VALUE"""),"IjZlxFPnbRo")</f>
        <v>IjZlxFPnbRo</v>
      </c>
      <c r="R238" s="5">
        <f ca="1">IFERROR(__xludf.DUMMYFUNCTION("""COMPUTED_VALUE"""),410)</f>
        <v>410</v>
      </c>
      <c r="S238" s="62">
        <f ca="1">IFERROR(__xludf.DUMMYFUNCTION("""COMPUTED_VALUE"""),0.007142857)</f>
        <v>7.1428569999999999E-3</v>
      </c>
      <c r="T238" s="63" t="str">
        <f ca="1">IFERROR(__xludf.DUMMYFUNCTION("""COMPUTED_VALUE"""),"https://storage.googleapis.com/glide-prod.appspot.com/uploads-v2/ly7o78grxPaC6KdgvbpS/pub/UliJWgpEaBovaFmXi6OW.png")</f>
        <v>https://storage.googleapis.com/glide-prod.appspot.com/uploads-v2/ly7o78grxPaC6KdgvbpS/pub/UliJWgpEaBovaFmXi6OW.png</v>
      </c>
      <c r="U238" s="5" t="str">
        <f ca="1">IFERROR(__xludf.DUMMYFUNCTION("""COMPUTED_VALUE"""),"EQUIPOS PARA SERVICIOS INDUSTRIALES JUGOCOMPRESOR DE REFRIGERACION No. 1 JUGOS")</f>
        <v>EQUIPOS PARA SERVICIOS INDUSTRIALES JUGOCOMPRESOR DE REFRIGERACION No. 1 JUGOS</v>
      </c>
      <c r="V238" s="5"/>
      <c r="W238" s="5"/>
      <c r="X238" s="5" t="str">
        <f ca="1">IFERROR(__xludf.DUMMYFUNCTION("""COMPUTED_VALUE"""),"wmazorra@postobon.com.co,aprmttoyu@postobon.com.co,aprmyu@postobon.com.co,wmora@postobon.com.co,efzapata@postobon.com.co")</f>
        <v>wmazorra@postobon.com.co,aprmttoyu@postobon.com.co,aprmyu@postobon.com.co,wmora@postobon.com.co,efzapata@postobon.com.co</v>
      </c>
      <c r="Y238" s="5" t="str">
        <f ca="1">IFERROR(__xludf.DUMMYFUNCTION("""COMPUTED_VALUE"""),"wmazorra@postobon.com.co")</f>
        <v>wmazorra@postobon.com.co</v>
      </c>
      <c r="Z238" s="5" t="str">
        <f ca="1">IFERROR(__xludf.DUMMYFUNCTION("""COMPUTED_VALUE"""),"UDJ4FNJISGahW34Om1HkXw")</f>
        <v>UDJ4FNJISGahW34Om1HkXw</v>
      </c>
      <c r="AA238" s="5"/>
      <c r="AB238" s="5"/>
      <c r="AC238" s="5"/>
      <c r="AD238" s="5">
        <f ca="1">IFERROR(__xludf.DUMMYFUNCTION("""COMPUTED_VALUE"""),57)</f>
        <v>57</v>
      </c>
      <c r="AE238" s="5">
        <f ca="1">IFERROR(__xludf.DUMMYFUNCTION("""COMPUTED_VALUE"""),0)</f>
        <v>0</v>
      </c>
      <c r="AF238" s="5" t="b">
        <f ca="1">IFERROR(__xludf.DUMMYFUNCTION("""COMPUTED_VALUE"""),TRUE)</f>
        <v>1</v>
      </c>
      <c r="AG238" s="5" t="str">
        <f ca="1">IFERROR(__xludf.DUMMYFUNCTION("""COMPUTED_VALUE"""),"INSPECCIONES SIN REALIZAR")</f>
        <v>INSPECCIONES SIN REALIZAR</v>
      </c>
      <c r="AH238" s="5"/>
    </row>
    <row r="239" spans="1:34">
      <c r="A239" s="5" t="str">
        <f ca="1">IFERROR(__xludf.DUMMYFUNCTION("""COMPUTED_VALUE"""),"EQUIPOS PARA SERVICIOS INDUSTRIALES JUGO")</f>
        <v>EQUIPOS PARA SERVICIOS INDUSTRIALES JUGO</v>
      </c>
      <c r="B239" s="5">
        <f ca="1">IFERROR(__xludf.DUMMYFUNCTION("""COMPUTED_VALUE"""),829058)</f>
        <v>829058</v>
      </c>
      <c r="C239" s="5" t="str">
        <f ca="1">IFERROR(__xludf.DUMMYFUNCTION("""COMPUTED_VALUE"""),"COMPRESOR DE REFRIGERACION No. 1 JUGOS")</f>
        <v>COMPRESOR DE REFRIGERACION No. 1 JUGOS</v>
      </c>
      <c r="D239" s="5">
        <f ca="1">IFERROR(__xludf.DUMMYFUNCTION("""COMPUTED_VALUE"""),13247534)</f>
        <v>13247534</v>
      </c>
      <c r="E239" s="5" t="str">
        <f ca="1">IFERROR(__xludf.DUMMYFUNCTION("""COMPUTED_VALUE"""),"INSPECCION SEMANAL COMPRESOR DE REFRIGER")</f>
        <v>INSPECCION SEMANAL COMPRESOR DE REFRIGER</v>
      </c>
      <c r="F239" s="5" t="str">
        <f ca="1">IFERROR(__xludf.DUMMYFUNCTION("""COMPUTED_VALUE"""),"REVISAR NIVELES ACEITE")</f>
        <v>REVISAR NIVELES ACEITE</v>
      </c>
      <c r="G239" s="5"/>
      <c r="H239" s="5"/>
      <c r="I239" s="5"/>
      <c r="J239" s="5"/>
      <c r="K239" s="5"/>
      <c r="L239" s="18">
        <f ca="1">IFERROR(__xludf.DUMMYFUNCTION("""COMPUTED_VALUE"""),45324)</f>
        <v>45324</v>
      </c>
      <c r="M239" s="18">
        <f ca="1">IFERROR(__xludf.DUMMYFUNCTION("""COMPUTED_VALUE"""),45324)</f>
        <v>45324</v>
      </c>
      <c r="N239" s="5" t="str">
        <f ca="1">IFERROR(__xludf.DUMMYFUNCTION("""COMPUTED_VALUE"""),"Lopez Raul")</f>
        <v>Lopez Raul</v>
      </c>
      <c r="O239" s="2">
        <f ca="1">IFERROR(__xludf.DUMMYFUNCTION("""COMPUTED_VALUE"""),0.007142857)</f>
        <v>7.1428569999999999E-3</v>
      </c>
      <c r="P239" s="5"/>
      <c r="Q239" s="5" t="str">
        <f ca="1">IFERROR(__xludf.DUMMYFUNCTION("""COMPUTED_VALUE"""),"H5sBh-1SW-8")</f>
        <v>H5sBh-1SW-8</v>
      </c>
      <c r="R239" s="5">
        <f ca="1">IFERROR(__xludf.DUMMYFUNCTION("""COMPUTED_VALUE"""),410)</f>
        <v>410</v>
      </c>
      <c r="S239" s="62">
        <f ca="1">IFERROR(__xludf.DUMMYFUNCTION("""COMPUTED_VALUE"""),0.007142857)</f>
        <v>7.1428569999999999E-3</v>
      </c>
      <c r="T239" s="63" t="str">
        <f ca="1">IFERROR(__xludf.DUMMYFUNCTION("""COMPUTED_VALUE"""),"https://storage.googleapis.com/glide-prod.appspot.com/uploads-v2/ly7o78grxPaC6KdgvbpS/pub/UliJWgpEaBovaFmXi6OW.png")</f>
        <v>https://storage.googleapis.com/glide-prod.appspot.com/uploads-v2/ly7o78grxPaC6KdgvbpS/pub/UliJWgpEaBovaFmXi6OW.png</v>
      </c>
      <c r="U239" s="5" t="str">
        <f ca="1">IFERROR(__xludf.DUMMYFUNCTION("""COMPUTED_VALUE"""),"EQUIPOS PARA SERVICIOS INDUSTRIALES JUGOCOMPRESOR DE REFRIGERACION No. 1 JUGOS")</f>
        <v>EQUIPOS PARA SERVICIOS INDUSTRIALES JUGOCOMPRESOR DE REFRIGERACION No. 1 JUGOS</v>
      </c>
      <c r="V239" s="5"/>
      <c r="W239" s="5"/>
      <c r="X239" s="5" t="str">
        <f ca="1">IFERROR(__xludf.DUMMYFUNCTION("""COMPUTED_VALUE"""),"wmazorra@postobon.com.co,aprmttoyu@postobon.com.co,aprmyu@postobon.com.co,wmora@postobon.com.co,efzapata@postobon.com.co")</f>
        <v>wmazorra@postobon.com.co,aprmttoyu@postobon.com.co,aprmyu@postobon.com.co,wmora@postobon.com.co,efzapata@postobon.com.co</v>
      </c>
      <c r="Y239" s="5" t="str">
        <f ca="1">IFERROR(__xludf.DUMMYFUNCTION("""COMPUTED_VALUE"""),"wmazorra@postobon.com.co")</f>
        <v>wmazorra@postobon.com.co</v>
      </c>
      <c r="Z239" s="5" t="str">
        <f ca="1">IFERROR(__xludf.DUMMYFUNCTION("""COMPUTED_VALUE"""),"2yAb1D5uQpG.epMCvbeSvw")</f>
        <v>2yAb1D5uQpG.epMCvbeSvw</v>
      </c>
      <c r="AA239" s="5"/>
      <c r="AB239" s="5"/>
      <c r="AC239" s="5"/>
      <c r="AD239" s="5">
        <f ca="1">IFERROR(__xludf.DUMMYFUNCTION("""COMPUTED_VALUE"""),57)</f>
        <v>57</v>
      </c>
      <c r="AE239" s="5">
        <f ca="1">IFERROR(__xludf.DUMMYFUNCTION("""COMPUTED_VALUE"""),0)</f>
        <v>0</v>
      </c>
      <c r="AF239" s="5" t="b">
        <f ca="1">IFERROR(__xludf.DUMMYFUNCTION("""COMPUTED_VALUE"""),TRUE)</f>
        <v>1</v>
      </c>
      <c r="AG239" s="5" t="str">
        <f ca="1">IFERROR(__xludf.DUMMYFUNCTION("""COMPUTED_VALUE"""),"INSPECCIONES SIN REALIZAR")</f>
        <v>INSPECCIONES SIN REALIZAR</v>
      </c>
      <c r="AH239" s="5"/>
    </row>
    <row r="240" spans="1:34">
      <c r="A240" s="5" t="str">
        <f ca="1">IFERROR(__xludf.DUMMYFUNCTION("""COMPUTED_VALUE"""),"EQUIPOS PARA SERVICIOS INDUSTRIALES JUGO")</f>
        <v>EQUIPOS PARA SERVICIOS INDUSTRIALES JUGO</v>
      </c>
      <c r="B240" s="5">
        <f ca="1">IFERROR(__xludf.DUMMYFUNCTION("""COMPUTED_VALUE"""),829058)</f>
        <v>829058</v>
      </c>
      <c r="C240" s="5" t="str">
        <f ca="1">IFERROR(__xludf.DUMMYFUNCTION("""COMPUTED_VALUE"""),"COMPRESOR DE REFRIGERACION No. 1 JUGOS")</f>
        <v>COMPRESOR DE REFRIGERACION No. 1 JUGOS</v>
      </c>
      <c r="D240" s="5">
        <f ca="1">IFERROR(__xludf.DUMMYFUNCTION("""COMPUTED_VALUE"""),13247534)</f>
        <v>13247534</v>
      </c>
      <c r="E240" s="5" t="str">
        <f ca="1">IFERROR(__xludf.DUMMYFUNCTION("""COMPUTED_VALUE"""),"INSPECCION SEMANAL COMPRESOR DE REFRIGER")</f>
        <v>INSPECCION SEMANAL COMPRESOR DE REFRIGER</v>
      </c>
      <c r="F240" s="5" t="str">
        <f ca="1">IFERROR(__xludf.DUMMYFUNCTION("""COMPUTED_VALUE"""),"REVISAR TABLERO ELECTRICO")</f>
        <v>REVISAR TABLERO ELECTRICO</v>
      </c>
      <c r="G240" s="5"/>
      <c r="H240" s="5"/>
      <c r="I240" s="5"/>
      <c r="J240" s="5"/>
      <c r="K240" s="5"/>
      <c r="L240" s="18">
        <f ca="1">IFERROR(__xludf.DUMMYFUNCTION("""COMPUTED_VALUE"""),45324)</f>
        <v>45324</v>
      </c>
      <c r="M240" s="18">
        <f ca="1">IFERROR(__xludf.DUMMYFUNCTION("""COMPUTED_VALUE"""),45324)</f>
        <v>45324</v>
      </c>
      <c r="N240" s="5" t="str">
        <f ca="1">IFERROR(__xludf.DUMMYFUNCTION("""COMPUTED_VALUE"""),"Lopez Raul")</f>
        <v>Lopez Raul</v>
      </c>
      <c r="O240" s="2">
        <f ca="1">IFERROR(__xludf.DUMMYFUNCTION("""COMPUTED_VALUE"""),0.007142857)</f>
        <v>7.1428569999999999E-3</v>
      </c>
      <c r="P240" s="5"/>
      <c r="Q240" s="5" t="str">
        <f ca="1">IFERROR(__xludf.DUMMYFUNCTION("""COMPUTED_VALUE"""),"0l7JMFgpfSU")</f>
        <v>0l7JMFgpfSU</v>
      </c>
      <c r="R240" s="5">
        <f ca="1">IFERROR(__xludf.DUMMYFUNCTION("""COMPUTED_VALUE"""),410)</f>
        <v>410</v>
      </c>
      <c r="S240" s="62">
        <f ca="1">IFERROR(__xludf.DUMMYFUNCTION("""COMPUTED_VALUE"""),0.007142857)</f>
        <v>7.1428569999999999E-3</v>
      </c>
      <c r="T240" s="63" t="str">
        <f ca="1">IFERROR(__xludf.DUMMYFUNCTION("""COMPUTED_VALUE"""),"https://storage.googleapis.com/glide-prod.appspot.com/uploads-v2/ly7o78grxPaC6KdgvbpS/pub/UliJWgpEaBovaFmXi6OW.png")</f>
        <v>https://storage.googleapis.com/glide-prod.appspot.com/uploads-v2/ly7o78grxPaC6KdgvbpS/pub/UliJWgpEaBovaFmXi6OW.png</v>
      </c>
      <c r="U240" s="5" t="str">
        <f ca="1">IFERROR(__xludf.DUMMYFUNCTION("""COMPUTED_VALUE"""),"EQUIPOS PARA SERVICIOS INDUSTRIALES JUGOCOMPRESOR DE REFRIGERACION No. 1 JUGOS")</f>
        <v>EQUIPOS PARA SERVICIOS INDUSTRIALES JUGOCOMPRESOR DE REFRIGERACION No. 1 JUGOS</v>
      </c>
      <c r="V240" s="5"/>
      <c r="W240" s="5"/>
      <c r="X240" s="5" t="str">
        <f ca="1">IFERROR(__xludf.DUMMYFUNCTION("""COMPUTED_VALUE"""),"wmazorra@postobon.com.co,aprmttoyu@postobon.com.co,aprmyu@postobon.com.co,wmora@postobon.com.co,efzapata@postobon.com.co")</f>
        <v>wmazorra@postobon.com.co,aprmttoyu@postobon.com.co,aprmyu@postobon.com.co,wmora@postobon.com.co,efzapata@postobon.com.co</v>
      </c>
      <c r="Y240" s="5" t="str">
        <f ca="1">IFERROR(__xludf.DUMMYFUNCTION("""COMPUTED_VALUE"""),"wmazorra@postobon.com.co")</f>
        <v>wmazorra@postobon.com.co</v>
      </c>
      <c r="Z240" s="5" t="str">
        <f ca="1">IFERROR(__xludf.DUMMYFUNCTION("""COMPUTED_VALUE"""),"dqBB1xlXQiqyeug48iStwg")</f>
        <v>dqBB1xlXQiqyeug48iStwg</v>
      </c>
      <c r="AA240" s="5"/>
      <c r="AB240" s="5"/>
      <c r="AC240" s="5"/>
      <c r="AD240" s="5">
        <f ca="1">IFERROR(__xludf.DUMMYFUNCTION("""COMPUTED_VALUE"""),57)</f>
        <v>57</v>
      </c>
      <c r="AE240" s="5">
        <f ca="1">IFERROR(__xludf.DUMMYFUNCTION("""COMPUTED_VALUE"""),0)</f>
        <v>0</v>
      </c>
      <c r="AF240" s="5" t="b">
        <f ca="1">IFERROR(__xludf.DUMMYFUNCTION("""COMPUTED_VALUE"""),TRUE)</f>
        <v>1</v>
      </c>
      <c r="AG240" s="5" t="str">
        <f ca="1">IFERROR(__xludf.DUMMYFUNCTION("""COMPUTED_VALUE"""),"INSPECCIONES SIN REALIZAR")</f>
        <v>INSPECCIONES SIN REALIZAR</v>
      </c>
      <c r="AH240" s="5"/>
    </row>
    <row r="241" spans="1:34">
      <c r="A241" s="5" t="str">
        <f ca="1">IFERROR(__xludf.DUMMYFUNCTION("""COMPUTED_VALUE"""),"EQUIPOS PARA SERVICIOS INDUSTRIALES JUGO")</f>
        <v>EQUIPOS PARA SERVICIOS INDUSTRIALES JUGO</v>
      </c>
      <c r="B241" s="5">
        <f ca="1">IFERROR(__xludf.DUMMYFUNCTION("""COMPUTED_VALUE"""),829058)</f>
        <v>829058</v>
      </c>
      <c r="C241" s="5" t="str">
        <f ca="1">IFERROR(__xludf.DUMMYFUNCTION("""COMPUTED_VALUE"""),"COMPRESOR DE REFRIGERACION No. 1 JUGOS")</f>
        <v>COMPRESOR DE REFRIGERACION No. 1 JUGOS</v>
      </c>
      <c r="D241" s="5">
        <f ca="1">IFERROR(__xludf.DUMMYFUNCTION("""COMPUTED_VALUE"""),13247534)</f>
        <v>13247534</v>
      </c>
      <c r="E241" s="5" t="str">
        <f ca="1">IFERROR(__xludf.DUMMYFUNCTION("""COMPUTED_VALUE"""),"INSPECCION SEMANAL COMPRESOR DE REFRIGER")</f>
        <v>INSPECCION SEMANAL COMPRESOR DE REFRIGER</v>
      </c>
      <c r="F241" s="5" t="str">
        <f ca="1">IFERROR(__xludf.DUMMYFUNCTION("""COMPUTED_VALUE"""),"REVISAR NIVEL REFRIG TANQUE")</f>
        <v>REVISAR NIVEL REFRIG TANQUE</v>
      </c>
      <c r="G241" s="5"/>
      <c r="H241" s="5"/>
      <c r="I241" s="5"/>
      <c r="J241" s="5"/>
      <c r="K241" s="5"/>
      <c r="L241" s="18">
        <f ca="1">IFERROR(__xludf.DUMMYFUNCTION("""COMPUTED_VALUE"""),45324)</f>
        <v>45324</v>
      </c>
      <c r="M241" s="18">
        <f ca="1">IFERROR(__xludf.DUMMYFUNCTION("""COMPUTED_VALUE"""),45324)</f>
        <v>45324</v>
      </c>
      <c r="N241" s="5" t="str">
        <f ca="1">IFERROR(__xludf.DUMMYFUNCTION("""COMPUTED_VALUE"""),"Lopez Raul")</f>
        <v>Lopez Raul</v>
      </c>
      <c r="O241" s="2">
        <f ca="1">IFERROR(__xludf.DUMMYFUNCTION("""COMPUTED_VALUE"""),0.007142857)</f>
        <v>7.1428569999999999E-3</v>
      </c>
      <c r="P241" s="5"/>
      <c r="Q241" s="5" t="str">
        <f ca="1">IFERROR(__xludf.DUMMYFUNCTION("""COMPUTED_VALUE"""),"Kv7qiNwBTp4")</f>
        <v>Kv7qiNwBTp4</v>
      </c>
      <c r="R241" s="5">
        <f ca="1">IFERROR(__xludf.DUMMYFUNCTION("""COMPUTED_VALUE"""),410)</f>
        <v>410</v>
      </c>
      <c r="S241" s="62">
        <f ca="1">IFERROR(__xludf.DUMMYFUNCTION("""COMPUTED_VALUE"""),0.007142857)</f>
        <v>7.1428569999999999E-3</v>
      </c>
      <c r="T241" s="63" t="str">
        <f ca="1">IFERROR(__xludf.DUMMYFUNCTION("""COMPUTED_VALUE"""),"https://storage.googleapis.com/glide-prod.appspot.com/uploads-v2/ly7o78grxPaC6KdgvbpS/pub/UliJWgpEaBovaFmXi6OW.png")</f>
        <v>https://storage.googleapis.com/glide-prod.appspot.com/uploads-v2/ly7o78grxPaC6KdgvbpS/pub/UliJWgpEaBovaFmXi6OW.png</v>
      </c>
      <c r="U241" s="5" t="str">
        <f ca="1">IFERROR(__xludf.DUMMYFUNCTION("""COMPUTED_VALUE"""),"EQUIPOS PARA SERVICIOS INDUSTRIALES JUGOCOMPRESOR DE REFRIGERACION No. 1 JUGOS")</f>
        <v>EQUIPOS PARA SERVICIOS INDUSTRIALES JUGOCOMPRESOR DE REFRIGERACION No. 1 JUGOS</v>
      </c>
      <c r="V241" s="5"/>
      <c r="W241" s="5"/>
      <c r="X241" s="5" t="str">
        <f ca="1">IFERROR(__xludf.DUMMYFUNCTION("""COMPUTED_VALUE"""),"wmazorra@postobon.com.co,aprmttoyu@postobon.com.co,aprmyu@postobon.com.co,wmora@postobon.com.co,efzapata@postobon.com.co")</f>
        <v>wmazorra@postobon.com.co,aprmttoyu@postobon.com.co,aprmyu@postobon.com.co,wmora@postobon.com.co,efzapata@postobon.com.co</v>
      </c>
      <c r="Y241" s="5" t="str">
        <f ca="1">IFERROR(__xludf.DUMMYFUNCTION("""COMPUTED_VALUE"""),"wmazorra@postobon.com.co")</f>
        <v>wmazorra@postobon.com.co</v>
      </c>
      <c r="Z241" s="5" t="str">
        <f ca="1">IFERROR(__xludf.DUMMYFUNCTION("""COMPUTED_VALUE"""),"f1hE64uySKa3p-DY-ex8DQ")</f>
        <v>f1hE64uySKa3p-DY-ex8DQ</v>
      </c>
      <c r="AA241" s="5"/>
      <c r="AB241" s="5"/>
      <c r="AC241" s="5"/>
      <c r="AD241" s="5">
        <f ca="1">IFERROR(__xludf.DUMMYFUNCTION("""COMPUTED_VALUE"""),57)</f>
        <v>57</v>
      </c>
      <c r="AE241" s="5">
        <f ca="1">IFERROR(__xludf.DUMMYFUNCTION("""COMPUTED_VALUE"""),0)</f>
        <v>0</v>
      </c>
      <c r="AF241" s="5" t="b">
        <f ca="1">IFERROR(__xludf.DUMMYFUNCTION("""COMPUTED_VALUE"""),TRUE)</f>
        <v>1</v>
      </c>
      <c r="AG241" s="5" t="str">
        <f ca="1">IFERROR(__xludf.DUMMYFUNCTION("""COMPUTED_VALUE"""),"INSPECCIONES SIN REALIZAR")</f>
        <v>INSPECCIONES SIN REALIZAR</v>
      </c>
      <c r="AH241" s="5"/>
    </row>
    <row r="242" spans="1:34">
      <c r="A242" s="5" t="str">
        <f ca="1">IFERROR(__xludf.DUMMYFUNCTION("""COMPUTED_VALUE"""),"EQUIPOS PARA SERVICIOS INDUSTRIALES JUGO")</f>
        <v>EQUIPOS PARA SERVICIOS INDUSTRIALES JUGO</v>
      </c>
      <c r="B242" s="5">
        <f ca="1">IFERROR(__xludf.DUMMYFUNCTION("""COMPUTED_VALUE"""),829058)</f>
        <v>829058</v>
      </c>
      <c r="C242" s="5" t="str">
        <f ca="1">IFERROR(__xludf.DUMMYFUNCTION("""COMPUTED_VALUE"""),"COMPRESOR DE REFRIGERACION No. 1 JUGOS")</f>
        <v>COMPRESOR DE REFRIGERACION No. 1 JUGOS</v>
      </c>
      <c r="D242" s="5">
        <f ca="1">IFERROR(__xludf.DUMMYFUNCTION("""COMPUTED_VALUE"""),13247534)</f>
        <v>13247534</v>
      </c>
      <c r="E242" s="5" t="str">
        <f ca="1">IFERROR(__xludf.DUMMYFUNCTION("""COMPUTED_VALUE"""),"INSPECCION SEMANAL COMPRESOR DE REFRIGER")</f>
        <v>INSPECCION SEMANAL COMPRESOR DE REFRIGER</v>
      </c>
      <c r="F242" s="5" t="str">
        <f ca="1">IFERROR(__xludf.DUMMYFUNCTION("""COMPUTED_VALUE"""),"INSP. ALINEACION ACOPLE")</f>
        <v>INSP. ALINEACION ACOPLE</v>
      </c>
      <c r="G242" s="5"/>
      <c r="H242" s="5"/>
      <c r="I242" s="5"/>
      <c r="J242" s="5"/>
      <c r="K242" s="5"/>
      <c r="L242" s="18">
        <f ca="1">IFERROR(__xludf.DUMMYFUNCTION("""COMPUTED_VALUE"""),45324)</f>
        <v>45324</v>
      </c>
      <c r="M242" s="18">
        <f ca="1">IFERROR(__xludf.DUMMYFUNCTION("""COMPUTED_VALUE"""),45324)</f>
        <v>45324</v>
      </c>
      <c r="N242" s="5" t="str">
        <f ca="1">IFERROR(__xludf.DUMMYFUNCTION("""COMPUTED_VALUE"""),"Lopez Raul")</f>
        <v>Lopez Raul</v>
      </c>
      <c r="O242" s="2">
        <f ca="1">IFERROR(__xludf.DUMMYFUNCTION("""COMPUTED_VALUE"""),0.007142857)</f>
        <v>7.1428569999999999E-3</v>
      </c>
      <c r="P242" s="5"/>
      <c r="Q242" s="5" t="str">
        <f ca="1">IFERROR(__xludf.DUMMYFUNCTION("""COMPUTED_VALUE"""),"wbQr8udYnR4")</f>
        <v>wbQr8udYnR4</v>
      </c>
      <c r="R242" s="5">
        <f ca="1">IFERROR(__xludf.DUMMYFUNCTION("""COMPUTED_VALUE"""),410)</f>
        <v>410</v>
      </c>
      <c r="S242" s="62">
        <f ca="1">IFERROR(__xludf.DUMMYFUNCTION("""COMPUTED_VALUE"""),0.007142857)</f>
        <v>7.1428569999999999E-3</v>
      </c>
      <c r="T242" s="63" t="str">
        <f ca="1">IFERROR(__xludf.DUMMYFUNCTION("""COMPUTED_VALUE"""),"https://storage.googleapis.com/glide-prod.appspot.com/uploads-v2/ly7o78grxPaC6KdgvbpS/pub/UliJWgpEaBovaFmXi6OW.png")</f>
        <v>https://storage.googleapis.com/glide-prod.appspot.com/uploads-v2/ly7o78grxPaC6KdgvbpS/pub/UliJWgpEaBovaFmXi6OW.png</v>
      </c>
      <c r="U242" s="5" t="str">
        <f ca="1">IFERROR(__xludf.DUMMYFUNCTION("""COMPUTED_VALUE"""),"EQUIPOS PARA SERVICIOS INDUSTRIALES JUGOCOMPRESOR DE REFRIGERACION No. 1 JUGOS")</f>
        <v>EQUIPOS PARA SERVICIOS INDUSTRIALES JUGOCOMPRESOR DE REFRIGERACION No. 1 JUGOS</v>
      </c>
      <c r="V242" s="5"/>
      <c r="W242" s="5"/>
      <c r="X242" s="5" t="str">
        <f ca="1">IFERROR(__xludf.DUMMYFUNCTION("""COMPUTED_VALUE"""),"wmazorra@postobon.com.co,aprmttoyu@postobon.com.co,aprmyu@postobon.com.co,wmora@postobon.com.co,efzapata@postobon.com.co")</f>
        <v>wmazorra@postobon.com.co,aprmttoyu@postobon.com.co,aprmyu@postobon.com.co,wmora@postobon.com.co,efzapata@postobon.com.co</v>
      </c>
      <c r="Y242" s="5" t="str">
        <f ca="1">IFERROR(__xludf.DUMMYFUNCTION("""COMPUTED_VALUE"""),"wmazorra@postobon.com.co")</f>
        <v>wmazorra@postobon.com.co</v>
      </c>
      <c r="Z242" s="5" t="str">
        <f ca="1">IFERROR(__xludf.DUMMYFUNCTION("""COMPUTED_VALUE"""),"6QJ2446LTAmPN.4HIBv0og")</f>
        <v>6QJ2446LTAmPN.4HIBv0og</v>
      </c>
      <c r="AA242" s="5"/>
      <c r="AB242" s="5"/>
      <c r="AC242" s="5"/>
      <c r="AD242" s="5">
        <f ca="1">IFERROR(__xludf.DUMMYFUNCTION("""COMPUTED_VALUE"""),57)</f>
        <v>57</v>
      </c>
      <c r="AE242" s="5">
        <f ca="1">IFERROR(__xludf.DUMMYFUNCTION("""COMPUTED_VALUE"""),0)</f>
        <v>0</v>
      </c>
      <c r="AF242" s="5" t="b">
        <f ca="1">IFERROR(__xludf.DUMMYFUNCTION("""COMPUTED_VALUE"""),TRUE)</f>
        <v>1</v>
      </c>
      <c r="AG242" s="5" t="str">
        <f ca="1">IFERROR(__xludf.DUMMYFUNCTION("""COMPUTED_VALUE"""),"INSPECCIONES SIN REALIZAR")</f>
        <v>INSPECCIONES SIN REALIZAR</v>
      </c>
      <c r="AH242" s="5"/>
    </row>
    <row r="243" spans="1:34">
      <c r="A243" s="5" t="str">
        <f ca="1">IFERROR(__xludf.DUMMYFUNCTION("""COMPUTED_VALUE"""),"EQUIPOS PARA SERVICIOS INDUSTRIALES JUGO")</f>
        <v>EQUIPOS PARA SERVICIOS INDUSTRIALES JUGO</v>
      </c>
      <c r="B243" s="5">
        <f ca="1">IFERROR(__xludf.DUMMYFUNCTION("""COMPUTED_VALUE"""),829058)</f>
        <v>829058</v>
      </c>
      <c r="C243" s="5" t="str">
        <f ca="1">IFERROR(__xludf.DUMMYFUNCTION("""COMPUTED_VALUE"""),"COMPRESOR DE REFRIGERACION No. 1 JUGOS")</f>
        <v>COMPRESOR DE REFRIGERACION No. 1 JUGOS</v>
      </c>
      <c r="D243" s="5">
        <f ca="1">IFERROR(__xludf.DUMMYFUNCTION("""COMPUTED_VALUE"""),13247534)</f>
        <v>13247534</v>
      </c>
      <c r="E243" s="5" t="str">
        <f ca="1">IFERROR(__xludf.DUMMYFUNCTION("""COMPUTED_VALUE"""),"INSPECCION SEMANAL COMPRESOR DE REFRIGER")</f>
        <v>INSPECCION SEMANAL COMPRESOR DE REFRIGER</v>
      </c>
      <c r="F243" s="5" t="str">
        <f ca="1">IFERROR(__xludf.DUMMYFUNCTION("""COMPUTED_VALUE"""),"REV. CALIBRACION TRANSDUCTOR Y RTD")</f>
        <v>REV. CALIBRACION TRANSDUCTOR Y RTD</v>
      </c>
      <c r="G243" s="5"/>
      <c r="H243" s="5"/>
      <c r="I243" s="5"/>
      <c r="J243" s="5"/>
      <c r="K243" s="5"/>
      <c r="L243" s="18">
        <f ca="1">IFERROR(__xludf.DUMMYFUNCTION("""COMPUTED_VALUE"""),45324)</f>
        <v>45324</v>
      </c>
      <c r="M243" s="18">
        <f ca="1">IFERROR(__xludf.DUMMYFUNCTION("""COMPUTED_VALUE"""),45324)</f>
        <v>45324</v>
      </c>
      <c r="N243" s="5" t="str">
        <f ca="1">IFERROR(__xludf.DUMMYFUNCTION("""COMPUTED_VALUE"""),"Lopez Raul")</f>
        <v>Lopez Raul</v>
      </c>
      <c r="O243" s="2">
        <f ca="1">IFERROR(__xludf.DUMMYFUNCTION("""COMPUTED_VALUE"""),0.007142857)</f>
        <v>7.1428569999999999E-3</v>
      </c>
      <c r="P243" s="5"/>
      <c r="Q243" s="5" t="str">
        <f ca="1">IFERROR(__xludf.DUMMYFUNCTION("""COMPUTED_VALUE"""),"ra71pUpd1mU")</f>
        <v>ra71pUpd1mU</v>
      </c>
      <c r="R243" s="5">
        <f ca="1">IFERROR(__xludf.DUMMYFUNCTION("""COMPUTED_VALUE"""),410)</f>
        <v>410</v>
      </c>
      <c r="S243" s="62">
        <f ca="1">IFERROR(__xludf.DUMMYFUNCTION("""COMPUTED_VALUE"""),0.007142857)</f>
        <v>7.1428569999999999E-3</v>
      </c>
      <c r="T243" s="63" t="str">
        <f ca="1">IFERROR(__xludf.DUMMYFUNCTION("""COMPUTED_VALUE"""),"https://storage.googleapis.com/glide-prod.appspot.com/uploads-v2/ly7o78grxPaC6KdgvbpS/pub/UliJWgpEaBovaFmXi6OW.png")</f>
        <v>https://storage.googleapis.com/glide-prod.appspot.com/uploads-v2/ly7o78grxPaC6KdgvbpS/pub/UliJWgpEaBovaFmXi6OW.png</v>
      </c>
      <c r="U243" s="5" t="str">
        <f ca="1">IFERROR(__xludf.DUMMYFUNCTION("""COMPUTED_VALUE"""),"EQUIPOS PARA SERVICIOS INDUSTRIALES JUGOCOMPRESOR DE REFRIGERACION No. 1 JUGOS")</f>
        <v>EQUIPOS PARA SERVICIOS INDUSTRIALES JUGOCOMPRESOR DE REFRIGERACION No. 1 JUGOS</v>
      </c>
      <c r="V243" s="5"/>
      <c r="W243" s="5"/>
      <c r="X243" s="5" t="str">
        <f ca="1">IFERROR(__xludf.DUMMYFUNCTION("""COMPUTED_VALUE"""),"wmazorra@postobon.com.co,aprmttoyu@postobon.com.co,aprmyu@postobon.com.co,wmora@postobon.com.co,efzapata@postobon.com.co")</f>
        <v>wmazorra@postobon.com.co,aprmttoyu@postobon.com.co,aprmyu@postobon.com.co,wmora@postobon.com.co,efzapata@postobon.com.co</v>
      </c>
      <c r="Y243" s="5" t="str">
        <f ca="1">IFERROR(__xludf.DUMMYFUNCTION("""COMPUTED_VALUE"""),"wmazorra@postobon.com.co")</f>
        <v>wmazorra@postobon.com.co</v>
      </c>
      <c r="Z243" s="5" t="str">
        <f ca="1">IFERROR(__xludf.DUMMYFUNCTION("""COMPUTED_VALUE"""),"Tv9exRHmTbmlAPKI2-5y2w")</f>
        <v>Tv9exRHmTbmlAPKI2-5y2w</v>
      </c>
      <c r="AA243" s="5"/>
      <c r="AB243" s="5"/>
      <c r="AC243" s="5"/>
      <c r="AD243" s="5">
        <f ca="1">IFERROR(__xludf.DUMMYFUNCTION("""COMPUTED_VALUE"""),57)</f>
        <v>57</v>
      </c>
      <c r="AE243" s="5">
        <f ca="1">IFERROR(__xludf.DUMMYFUNCTION("""COMPUTED_VALUE"""),0)</f>
        <v>0</v>
      </c>
      <c r="AF243" s="5" t="b">
        <f ca="1">IFERROR(__xludf.DUMMYFUNCTION("""COMPUTED_VALUE"""),TRUE)</f>
        <v>1</v>
      </c>
      <c r="AG243" s="5" t="str">
        <f ca="1">IFERROR(__xludf.DUMMYFUNCTION("""COMPUTED_VALUE"""),"INSPECCIONES SIN REALIZAR")</f>
        <v>INSPECCIONES SIN REALIZAR</v>
      </c>
      <c r="AH243" s="5"/>
    </row>
    <row r="244" spans="1:34">
      <c r="A244" s="5" t="str">
        <f ca="1">IFERROR(__xludf.DUMMYFUNCTION("""COMPUTED_VALUE"""),"EQUIPOS PARA SERVICIOS INDUSTRIALES JUGO")</f>
        <v>EQUIPOS PARA SERVICIOS INDUSTRIALES JUGO</v>
      </c>
      <c r="B244" s="5">
        <f ca="1">IFERROR(__xludf.DUMMYFUNCTION("""COMPUTED_VALUE"""),829058)</f>
        <v>829058</v>
      </c>
      <c r="C244" s="5" t="str">
        <f ca="1">IFERROR(__xludf.DUMMYFUNCTION("""COMPUTED_VALUE"""),"COMPRESOR DE REFRIGERACION No. 1 JUGOS")</f>
        <v>COMPRESOR DE REFRIGERACION No. 1 JUGOS</v>
      </c>
      <c r="D244" s="5">
        <f ca="1">IFERROR(__xludf.DUMMYFUNCTION("""COMPUTED_VALUE"""),13247534)</f>
        <v>13247534</v>
      </c>
      <c r="E244" s="5" t="str">
        <f ca="1">IFERROR(__xludf.DUMMYFUNCTION("""COMPUTED_VALUE"""),"INSPECCION SEMANAL COMPRESOR DE REFRIGER")</f>
        <v>INSPECCION SEMANAL COMPRESOR DE REFRIGER</v>
      </c>
      <c r="F244" s="5" t="str">
        <f ca="1">IFERROR(__xludf.DUMMYFUNCTION("""COMPUTED_VALUE"""),"REVISION PRESION Y TEMPERATURA")</f>
        <v>REVISION PRESION Y TEMPERATURA</v>
      </c>
      <c r="G244" s="5"/>
      <c r="H244" s="5"/>
      <c r="I244" s="5"/>
      <c r="J244" s="5"/>
      <c r="K244" s="5"/>
      <c r="L244" s="18">
        <f ca="1">IFERROR(__xludf.DUMMYFUNCTION("""COMPUTED_VALUE"""),45324)</f>
        <v>45324</v>
      </c>
      <c r="M244" s="18">
        <f ca="1">IFERROR(__xludf.DUMMYFUNCTION("""COMPUTED_VALUE"""),45324)</f>
        <v>45324</v>
      </c>
      <c r="N244" s="5" t="str">
        <f ca="1">IFERROR(__xludf.DUMMYFUNCTION("""COMPUTED_VALUE"""),"Lopez Raul")</f>
        <v>Lopez Raul</v>
      </c>
      <c r="O244" s="2">
        <f ca="1">IFERROR(__xludf.DUMMYFUNCTION("""COMPUTED_VALUE"""),0.007142857)</f>
        <v>7.1428569999999999E-3</v>
      </c>
      <c r="P244" s="5"/>
      <c r="Q244" s="5" t="str">
        <f ca="1">IFERROR(__xludf.DUMMYFUNCTION("""COMPUTED_VALUE"""),"9ECDpegyA9o")</f>
        <v>9ECDpegyA9o</v>
      </c>
      <c r="R244" s="5">
        <f ca="1">IFERROR(__xludf.DUMMYFUNCTION("""COMPUTED_VALUE"""),410)</f>
        <v>410</v>
      </c>
      <c r="S244" s="62">
        <f ca="1">IFERROR(__xludf.DUMMYFUNCTION("""COMPUTED_VALUE"""),0.007142857)</f>
        <v>7.1428569999999999E-3</v>
      </c>
      <c r="T244" s="63" t="str">
        <f ca="1">IFERROR(__xludf.DUMMYFUNCTION("""COMPUTED_VALUE"""),"https://storage.googleapis.com/glide-prod.appspot.com/uploads-v2/ly7o78grxPaC6KdgvbpS/pub/UliJWgpEaBovaFmXi6OW.png")</f>
        <v>https://storage.googleapis.com/glide-prod.appspot.com/uploads-v2/ly7o78grxPaC6KdgvbpS/pub/UliJWgpEaBovaFmXi6OW.png</v>
      </c>
      <c r="U244" s="5" t="str">
        <f ca="1">IFERROR(__xludf.DUMMYFUNCTION("""COMPUTED_VALUE"""),"EQUIPOS PARA SERVICIOS INDUSTRIALES JUGOCOMPRESOR DE REFRIGERACION No. 1 JUGOS")</f>
        <v>EQUIPOS PARA SERVICIOS INDUSTRIALES JUGOCOMPRESOR DE REFRIGERACION No. 1 JUGOS</v>
      </c>
      <c r="V244" s="5"/>
      <c r="W244" s="5"/>
      <c r="X244" s="5" t="str">
        <f ca="1">IFERROR(__xludf.DUMMYFUNCTION("""COMPUTED_VALUE"""),"wmazorra@postobon.com.co,aprmttoyu@postobon.com.co,aprmyu@postobon.com.co,wmora@postobon.com.co,efzapata@postobon.com.co")</f>
        <v>wmazorra@postobon.com.co,aprmttoyu@postobon.com.co,aprmyu@postobon.com.co,wmora@postobon.com.co,efzapata@postobon.com.co</v>
      </c>
      <c r="Y244" s="5" t="str">
        <f ca="1">IFERROR(__xludf.DUMMYFUNCTION("""COMPUTED_VALUE"""),"wmazorra@postobon.com.co")</f>
        <v>wmazorra@postobon.com.co</v>
      </c>
      <c r="Z244" s="5" t="str">
        <f ca="1">IFERROR(__xludf.DUMMYFUNCTION("""COMPUTED_VALUE"""),"Yd5nx2GdQJyoJDMsX7NpkA")</f>
        <v>Yd5nx2GdQJyoJDMsX7NpkA</v>
      </c>
      <c r="AA244" s="5"/>
      <c r="AB244" s="5"/>
      <c r="AC244" s="5"/>
      <c r="AD244" s="5">
        <f ca="1">IFERROR(__xludf.DUMMYFUNCTION("""COMPUTED_VALUE"""),57)</f>
        <v>57</v>
      </c>
      <c r="AE244" s="5">
        <f ca="1">IFERROR(__xludf.DUMMYFUNCTION("""COMPUTED_VALUE"""),0)</f>
        <v>0</v>
      </c>
      <c r="AF244" s="5" t="b">
        <f ca="1">IFERROR(__xludf.DUMMYFUNCTION("""COMPUTED_VALUE"""),TRUE)</f>
        <v>1</v>
      </c>
      <c r="AG244" s="5" t="str">
        <f ca="1">IFERROR(__xludf.DUMMYFUNCTION("""COMPUTED_VALUE"""),"INSPECCIONES SIN REALIZAR")</f>
        <v>INSPECCIONES SIN REALIZAR</v>
      </c>
      <c r="AH244" s="5"/>
    </row>
    <row r="245" spans="1:34">
      <c r="A245" s="5" t="str">
        <f ca="1">IFERROR(__xludf.DUMMYFUNCTION("""COMPUTED_VALUE"""),"EQUIPOS PARA SERVICIOS INDUSTRIALES JUGO")</f>
        <v>EQUIPOS PARA SERVICIOS INDUSTRIALES JUGO</v>
      </c>
      <c r="B245" s="5">
        <f ca="1">IFERROR(__xludf.DUMMYFUNCTION("""COMPUTED_VALUE"""),829058)</f>
        <v>829058</v>
      </c>
      <c r="C245" s="5" t="str">
        <f ca="1">IFERROR(__xludf.DUMMYFUNCTION("""COMPUTED_VALUE"""),"COMPRESOR DE REFRIGERACION No. 1 JUGOS")</f>
        <v>COMPRESOR DE REFRIGERACION No. 1 JUGOS</v>
      </c>
      <c r="D245" s="5">
        <f ca="1">IFERROR(__xludf.DUMMYFUNCTION("""COMPUTED_VALUE"""),13247534)</f>
        <v>13247534</v>
      </c>
      <c r="E245" s="5" t="str">
        <f ca="1">IFERROR(__xludf.DUMMYFUNCTION("""COMPUTED_VALUE"""),"INSPECCION SEMANAL COMPRESOR DE REFRIGER")</f>
        <v>INSPECCION SEMANAL COMPRESOR DE REFRIGER</v>
      </c>
      <c r="F245" s="5" t="str">
        <f ca="1">IFERROR(__xludf.DUMMYFUNCTION("""COMPUTED_VALUE"""),"VERIF. VALVULAS DE SEGURIDAD")</f>
        <v>VERIF. VALVULAS DE SEGURIDAD</v>
      </c>
      <c r="G245" s="5"/>
      <c r="H245" s="5"/>
      <c r="I245" s="5"/>
      <c r="J245" s="5"/>
      <c r="K245" s="5"/>
      <c r="L245" s="18">
        <f ca="1">IFERROR(__xludf.DUMMYFUNCTION("""COMPUTED_VALUE"""),45324)</f>
        <v>45324</v>
      </c>
      <c r="M245" s="18">
        <f ca="1">IFERROR(__xludf.DUMMYFUNCTION("""COMPUTED_VALUE"""),45324)</f>
        <v>45324</v>
      </c>
      <c r="N245" s="5" t="str">
        <f ca="1">IFERROR(__xludf.DUMMYFUNCTION("""COMPUTED_VALUE"""),"Lopez Raul")</f>
        <v>Lopez Raul</v>
      </c>
      <c r="O245" s="2">
        <f ca="1">IFERROR(__xludf.DUMMYFUNCTION("""COMPUTED_VALUE"""),0.007142857)</f>
        <v>7.1428569999999999E-3</v>
      </c>
      <c r="P245" s="5"/>
      <c r="Q245" s="5" t="str">
        <f ca="1">IFERROR(__xludf.DUMMYFUNCTION("""COMPUTED_VALUE"""),"-gjbLdnP30U")</f>
        <v>-gjbLdnP30U</v>
      </c>
      <c r="R245" s="5">
        <f ca="1">IFERROR(__xludf.DUMMYFUNCTION("""COMPUTED_VALUE"""),410)</f>
        <v>410</v>
      </c>
      <c r="S245" s="62">
        <f ca="1">IFERROR(__xludf.DUMMYFUNCTION("""COMPUTED_VALUE"""),0.007142857)</f>
        <v>7.1428569999999999E-3</v>
      </c>
      <c r="T245" s="63" t="str">
        <f ca="1">IFERROR(__xludf.DUMMYFUNCTION("""COMPUTED_VALUE"""),"https://storage.googleapis.com/glide-prod.appspot.com/uploads-v2/ly7o78grxPaC6KdgvbpS/pub/UliJWgpEaBovaFmXi6OW.png")</f>
        <v>https://storage.googleapis.com/glide-prod.appspot.com/uploads-v2/ly7o78grxPaC6KdgvbpS/pub/UliJWgpEaBovaFmXi6OW.png</v>
      </c>
      <c r="U245" s="5" t="str">
        <f ca="1">IFERROR(__xludf.DUMMYFUNCTION("""COMPUTED_VALUE"""),"EQUIPOS PARA SERVICIOS INDUSTRIALES JUGOCOMPRESOR DE REFRIGERACION No. 1 JUGOS")</f>
        <v>EQUIPOS PARA SERVICIOS INDUSTRIALES JUGOCOMPRESOR DE REFRIGERACION No. 1 JUGOS</v>
      </c>
      <c r="V245" s="5"/>
      <c r="W245" s="5"/>
      <c r="X245" s="5" t="str">
        <f ca="1">IFERROR(__xludf.DUMMYFUNCTION("""COMPUTED_VALUE"""),"wmazorra@postobon.com.co,aprmttoyu@postobon.com.co,aprmyu@postobon.com.co,wmora@postobon.com.co,efzapata@postobon.com.co")</f>
        <v>wmazorra@postobon.com.co,aprmttoyu@postobon.com.co,aprmyu@postobon.com.co,wmora@postobon.com.co,efzapata@postobon.com.co</v>
      </c>
      <c r="Y245" s="5" t="str">
        <f ca="1">IFERROR(__xludf.DUMMYFUNCTION("""COMPUTED_VALUE"""),"wmazorra@postobon.com.co")</f>
        <v>wmazorra@postobon.com.co</v>
      </c>
      <c r="Z245" s="5" t="str">
        <f ca="1">IFERROR(__xludf.DUMMYFUNCTION("""COMPUTED_VALUE"""),"m3t1l8pbTd6vAI3zCFsECw")</f>
        <v>m3t1l8pbTd6vAI3zCFsECw</v>
      </c>
      <c r="AA245" s="5"/>
      <c r="AB245" s="5"/>
      <c r="AC245" s="5"/>
      <c r="AD245" s="5">
        <f ca="1">IFERROR(__xludf.DUMMYFUNCTION("""COMPUTED_VALUE"""),57)</f>
        <v>57</v>
      </c>
      <c r="AE245" s="5">
        <f ca="1">IFERROR(__xludf.DUMMYFUNCTION("""COMPUTED_VALUE"""),0)</f>
        <v>0</v>
      </c>
      <c r="AF245" s="5" t="b">
        <f ca="1">IFERROR(__xludf.DUMMYFUNCTION("""COMPUTED_VALUE"""),TRUE)</f>
        <v>1</v>
      </c>
      <c r="AG245" s="5" t="str">
        <f ca="1">IFERROR(__xludf.DUMMYFUNCTION("""COMPUTED_VALUE"""),"INSPECCIONES SIN REALIZAR")</f>
        <v>INSPECCIONES SIN REALIZAR</v>
      </c>
      <c r="AH245" s="5"/>
    </row>
    <row r="246" spans="1:34">
      <c r="A246" s="5" t="str">
        <f ca="1">IFERROR(__xludf.DUMMYFUNCTION("""COMPUTED_VALUE"""),"EQUIPOS PARA SERVICIOS INDUSTRIALES JUGO")</f>
        <v>EQUIPOS PARA SERVICIOS INDUSTRIALES JUGO</v>
      </c>
      <c r="B246" s="5">
        <f ca="1">IFERROR(__xludf.DUMMYFUNCTION("""COMPUTED_VALUE"""),829058)</f>
        <v>829058</v>
      </c>
      <c r="C246" s="5" t="str">
        <f ca="1">IFERROR(__xludf.DUMMYFUNCTION("""COMPUTED_VALUE"""),"COMPRESOR DE REFRIGERACION No. 1 JUGOS")</f>
        <v>COMPRESOR DE REFRIGERACION No. 1 JUGOS</v>
      </c>
      <c r="D246" s="5">
        <f ca="1">IFERROR(__xludf.DUMMYFUNCTION("""COMPUTED_VALUE"""),13247534)</f>
        <v>13247534</v>
      </c>
      <c r="E246" s="5" t="str">
        <f ca="1">IFERROR(__xludf.DUMMYFUNCTION("""COMPUTED_VALUE"""),"INSPECCION SEMANAL COMPRESOR DE REFRIGER")</f>
        <v>INSPECCION SEMANAL COMPRESOR DE REFRIGER</v>
      </c>
      <c r="F246" s="5" t="str">
        <f ca="1">IFERROR(__xludf.DUMMYFUNCTION("""COMPUTED_VALUE"""),"ESTADO DEL TANQUE")</f>
        <v>ESTADO DEL TANQUE</v>
      </c>
      <c r="G246" s="5"/>
      <c r="H246" s="5"/>
      <c r="I246" s="5"/>
      <c r="J246" s="5"/>
      <c r="K246" s="5"/>
      <c r="L246" s="18">
        <f ca="1">IFERROR(__xludf.DUMMYFUNCTION("""COMPUTED_VALUE"""),45324)</f>
        <v>45324</v>
      </c>
      <c r="M246" s="18">
        <f ca="1">IFERROR(__xludf.DUMMYFUNCTION("""COMPUTED_VALUE"""),45324)</f>
        <v>45324</v>
      </c>
      <c r="N246" s="5" t="str">
        <f ca="1">IFERROR(__xludf.DUMMYFUNCTION("""COMPUTED_VALUE"""),"Lopez Raul")</f>
        <v>Lopez Raul</v>
      </c>
      <c r="O246" s="2">
        <f ca="1">IFERROR(__xludf.DUMMYFUNCTION("""COMPUTED_VALUE"""),0.007142857)</f>
        <v>7.1428569999999999E-3</v>
      </c>
      <c r="P246" s="5"/>
      <c r="Q246" s="5" t="str">
        <f ca="1">IFERROR(__xludf.DUMMYFUNCTION("""COMPUTED_VALUE"""),"F2PMf0LNSVk")</f>
        <v>F2PMf0LNSVk</v>
      </c>
      <c r="R246" s="5">
        <f ca="1">IFERROR(__xludf.DUMMYFUNCTION("""COMPUTED_VALUE"""),410)</f>
        <v>410</v>
      </c>
      <c r="S246" s="62">
        <f ca="1">IFERROR(__xludf.DUMMYFUNCTION("""COMPUTED_VALUE"""),0.007142857)</f>
        <v>7.1428569999999999E-3</v>
      </c>
      <c r="T246" s="63" t="str">
        <f ca="1">IFERROR(__xludf.DUMMYFUNCTION("""COMPUTED_VALUE"""),"https://storage.googleapis.com/glide-prod.appspot.com/uploads-v2/ly7o78grxPaC6KdgvbpS/pub/UliJWgpEaBovaFmXi6OW.png")</f>
        <v>https://storage.googleapis.com/glide-prod.appspot.com/uploads-v2/ly7o78grxPaC6KdgvbpS/pub/UliJWgpEaBovaFmXi6OW.png</v>
      </c>
      <c r="U246" s="5" t="str">
        <f ca="1">IFERROR(__xludf.DUMMYFUNCTION("""COMPUTED_VALUE"""),"EQUIPOS PARA SERVICIOS INDUSTRIALES JUGOCOMPRESOR DE REFRIGERACION No. 1 JUGOS")</f>
        <v>EQUIPOS PARA SERVICIOS INDUSTRIALES JUGOCOMPRESOR DE REFRIGERACION No. 1 JUGOS</v>
      </c>
      <c r="V246" s="5"/>
      <c r="W246" s="5"/>
      <c r="X246" s="5" t="str">
        <f ca="1">IFERROR(__xludf.DUMMYFUNCTION("""COMPUTED_VALUE"""),"wmazorra@postobon.com.co,aprmttoyu@postobon.com.co,aprmyu@postobon.com.co,wmora@postobon.com.co,efzapata@postobon.com.co")</f>
        <v>wmazorra@postobon.com.co,aprmttoyu@postobon.com.co,aprmyu@postobon.com.co,wmora@postobon.com.co,efzapata@postobon.com.co</v>
      </c>
      <c r="Y246" s="5" t="str">
        <f ca="1">IFERROR(__xludf.DUMMYFUNCTION("""COMPUTED_VALUE"""),"wmazorra@postobon.com.co")</f>
        <v>wmazorra@postobon.com.co</v>
      </c>
      <c r="Z246" s="5" t="str">
        <f ca="1">IFERROR(__xludf.DUMMYFUNCTION("""COMPUTED_VALUE"""),"SJ6tkNOZSAuXvr-tvVdMcA")</f>
        <v>SJ6tkNOZSAuXvr-tvVdMcA</v>
      </c>
      <c r="AA246" s="5"/>
      <c r="AB246" s="5"/>
      <c r="AC246" s="5"/>
      <c r="AD246" s="5">
        <f ca="1">IFERROR(__xludf.DUMMYFUNCTION("""COMPUTED_VALUE"""),57)</f>
        <v>57</v>
      </c>
      <c r="AE246" s="5">
        <f ca="1">IFERROR(__xludf.DUMMYFUNCTION("""COMPUTED_VALUE"""),0)</f>
        <v>0</v>
      </c>
      <c r="AF246" s="5" t="b">
        <f ca="1">IFERROR(__xludf.DUMMYFUNCTION("""COMPUTED_VALUE"""),TRUE)</f>
        <v>1</v>
      </c>
      <c r="AG246" s="5" t="str">
        <f ca="1">IFERROR(__xludf.DUMMYFUNCTION("""COMPUTED_VALUE"""),"INSPECCIONES SIN REALIZAR")</f>
        <v>INSPECCIONES SIN REALIZAR</v>
      </c>
      <c r="AH246" s="5"/>
    </row>
    <row r="247" spans="1:34">
      <c r="A247" s="5" t="str">
        <f ca="1">IFERROR(__xludf.DUMMYFUNCTION("""COMPUTED_VALUE"""),"EQUIPOS PARA SERVICIOS INDUSTRIALES JUGO")</f>
        <v>EQUIPOS PARA SERVICIOS INDUSTRIALES JUGO</v>
      </c>
      <c r="B247" s="5">
        <f ca="1">IFERROR(__xludf.DUMMYFUNCTION("""COMPUTED_VALUE"""),829058)</f>
        <v>829058</v>
      </c>
      <c r="C247" s="5" t="str">
        <f ca="1">IFERROR(__xludf.DUMMYFUNCTION("""COMPUTED_VALUE"""),"COMPRESOR DE REFRIGERACION No. 1 JUGOS")</f>
        <v>COMPRESOR DE REFRIGERACION No. 1 JUGOS</v>
      </c>
      <c r="D247" s="5">
        <f ca="1">IFERROR(__xludf.DUMMYFUNCTION("""COMPUTED_VALUE"""),13247534)</f>
        <v>13247534</v>
      </c>
      <c r="E247" s="5" t="str">
        <f ca="1">IFERROR(__xludf.DUMMYFUNCTION("""COMPUTED_VALUE"""),"INSPECCION SEMANAL COMPRESOR DE REFRIGER")</f>
        <v>INSPECCION SEMANAL COMPRESOR DE REFRIGER</v>
      </c>
      <c r="F247" s="5" t="str">
        <f ca="1">IFERROR(__xludf.DUMMYFUNCTION("""COMPUTED_VALUE"""),"ESTADO DE ILUMINACION")</f>
        <v>ESTADO DE ILUMINACION</v>
      </c>
      <c r="G247" s="5"/>
      <c r="H247" s="5"/>
      <c r="I247" s="5"/>
      <c r="J247" s="5"/>
      <c r="K247" s="5"/>
      <c r="L247" s="18">
        <f ca="1">IFERROR(__xludf.DUMMYFUNCTION("""COMPUTED_VALUE"""),45324)</f>
        <v>45324</v>
      </c>
      <c r="M247" s="18">
        <f ca="1">IFERROR(__xludf.DUMMYFUNCTION("""COMPUTED_VALUE"""),45324)</f>
        <v>45324</v>
      </c>
      <c r="N247" s="5" t="str">
        <f ca="1">IFERROR(__xludf.DUMMYFUNCTION("""COMPUTED_VALUE"""),"Lopez Raul")</f>
        <v>Lopez Raul</v>
      </c>
      <c r="O247" s="2">
        <f ca="1">IFERROR(__xludf.DUMMYFUNCTION("""COMPUTED_VALUE"""),0.007142857)</f>
        <v>7.1428569999999999E-3</v>
      </c>
      <c r="P247" s="5"/>
      <c r="Q247" s="5" t="str">
        <f ca="1">IFERROR(__xludf.DUMMYFUNCTION("""COMPUTED_VALUE"""),"VFkHqSDnXXk")</f>
        <v>VFkHqSDnXXk</v>
      </c>
      <c r="R247" s="5">
        <f ca="1">IFERROR(__xludf.DUMMYFUNCTION("""COMPUTED_VALUE"""),410)</f>
        <v>410</v>
      </c>
      <c r="S247" s="62">
        <f ca="1">IFERROR(__xludf.DUMMYFUNCTION("""COMPUTED_VALUE"""),0.007142857)</f>
        <v>7.1428569999999999E-3</v>
      </c>
      <c r="T247" s="63" t="str">
        <f ca="1">IFERROR(__xludf.DUMMYFUNCTION("""COMPUTED_VALUE"""),"https://storage.googleapis.com/glide-prod.appspot.com/uploads-v2/ly7o78grxPaC6KdgvbpS/pub/UliJWgpEaBovaFmXi6OW.png")</f>
        <v>https://storage.googleapis.com/glide-prod.appspot.com/uploads-v2/ly7o78grxPaC6KdgvbpS/pub/UliJWgpEaBovaFmXi6OW.png</v>
      </c>
      <c r="U247" s="5" t="str">
        <f ca="1">IFERROR(__xludf.DUMMYFUNCTION("""COMPUTED_VALUE"""),"EQUIPOS PARA SERVICIOS INDUSTRIALES JUGOCOMPRESOR DE REFRIGERACION No. 1 JUGOS")</f>
        <v>EQUIPOS PARA SERVICIOS INDUSTRIALES JUGOCOMPRESOR DE REFRIGERACION No. 1 JUGOS</v>
      </c>
      <c r="V247" s="5"/>
      <c r="W247" s="5"/>
      <c r="X247" s="5" t="str">
        <f ca="1">IFERROR(__xludf.DUMMYFUNCTION("""COMPUTED_VALUE"""),"wmazorra@postobon.com.co,aprmttoyu@postobon.com.co,aprmyu@postobon.com.co,wmora@postobon.com.co,efzapata@postobon.com.co")</f>
        <v>wmazorra@postobon.com.co,aprmttoyu@postobon.com.co,aprmyu@postobon.com.co,wmora@postobon.com.co,efzapata@postobon.com.co</v>
      </c>
      <c r="Y247" s="5" t="str">
        <f ca="1">IFERROR(__xludf.DUMMYFUNCTION("""COMPUTED_VALUE"""),"wmazorra@postobon.com.co")</f>
        <v>wmazorra@postobon.com.co</v>
      </c>
      <c r="Z247" s="5" t="str">
        <f ca="1">IFERROR(__xludf.DUMMYFUNCTION("""COMPUTED_VALUE"""),"C8K3W5.GSRC1CqWnAxR9Lg")</f>
        <v>C8K3W5.GSRC1CqWnAxR9Lg</v>
      </c>
      <c r="AA247" s="5"/>
      <c r="AB247" s="5"/>
      <c r="AC247" s="5"/>
      <c r="AD247" s="5">
        <f ca="1">IFERROR(__xludf.DUMMYFUNCTION("""COMPUTED_VALUE"""),57)</f>
        <v>57</v>
      </c>
      <c r="AE247" s="5">
        <f ca="1">IFERROR(__xludf.DUMMYFUNCTION("""COMPUTED_VALUE"""),0)</f>
        <v>0</v>
      </c>
      <c r="AF247" s="5" t="b">
        <f ca="1">IFERROR(__xludf.DUMMYFUNCTION("""COMPUTED_VALUE"""),TRUE)</f>
        <v>1</v>
      </c>
      <c r="AG247" s="5" t="str">
        <f ca="1">IFERROR(__xludf.DUMMYFUNCTION("""COMPUTED_VALUE"""),"INSPECCIONES SIN REALIZAR")</f>
        <v>INSPECCIONES SIN REALIZAR</v>
      </c>
      <c r="AH247" s="5"/>
    </row>
    <row r="248" spans="1:34">
      <c r="A248" s="5" t="str">
        <f ca="1">IFERROR(__xludf.DUMMYFUNCTION("""COMPUTED_VALUE"""),"EQUIPOS PARA SERVICIOS INDUSTRIALES JUGO")</f>
        <v>EQUIPOS PARA SERVICIOS INDUSTRIALES JUGO</v>
      </c>
      <c r="B248" s="5">
        <f ca="1">IFERROR(__xludf.DUMMYFUNCTION("""COMPUTED_VALUE"""),829058)</f>
        <v>829058</v>
      </c>
      <c r="C248" s="5" t="str">
        <f ca="1">IFERROR(__xludf.DUMMYFUNCTION("""COMPUTED_VALUE"""),"COMPRESOR DE REFRIGERACION No. 1 JUGOS")</f>
        <v>COMPRESOR DE REFRIGERACION No. 1 JUGOS</v>
      </c>
      <c r="D248" s="5">
        <f ca="1">IFERROR(__xludf.DUMMYFUNCTION("""COMPUTED_VALUE"""),13247534)</f>
        <v>13247534</v>
      </c>
      <c r="E248" s="5" t="str">
        <f ca="1">IFERROR(__xludf.DUMMYFUNCTION("""COMPUTED_VALUE"""),"INSPECCION SEMANAL COMPRESOR DE REFRIGER")</f>
        <v>INSPECCION SEMANAL COMPRESOR DE REFRIGER</v>
      </c>
      <c r="F248" s="5" t="str">
        <f ca="1">IFERROR(__xludf.DUMMYFUNCTION("""COMPUTED_VALUE"""),"INSP. TABLERO ELECTRICO/CLIMATIZADOR")</f>
        <v>INSP. TABLERO ELECTRICO/CLIMATIZADOR</v>
      </c>
      <c r="G248" s="5"/>
      <c r="H248" s="5"/>
      <c r="I248" s="5"/>
      <c r="J248" s="5"/>
      <c r="K248" s="5"/>
      <c r="L248" s="18">
        <f ca="1">IFERROR(__xludf.DUMMYFUNCTION("""COMPUTED_VALUE"""),45324)</f>
        <v>45324</v>
      </c>
      <c r="M248" s="18">
        <f ca="1">IFERROR(__xludf.DUMMYFUNCTION("""COMPUTED_VALUE"""),45324)</f>
        <v>45324</v>
      </c>
      <c r="N248" s="5" t="str">
        <f ca="1">IFERROR(__xludf.DUMMYFUNCTION("""COMPUTED_VALUE"""),"Lopez Raul")</f>
        <v>Lopez Raul</v>
      </c>
      <c r="O248" s="2">
        <f ca="1">IFERROR(__xludf.DUMMYFUNCTION("""COMPUTED_VALUE"""),0.007142857)</f>
        <v>7.1428569999999999E-3</v>
      </c>
      <c r="P248" s="5"/>
      <c r="Q248" s="5" t="str">
        <f ca="1">IFERROR(__xludf.DUMMYFUNCTION("""COMPUTED_VALUE"""),"Ob6ofIcpPzw")</f>
        <v>Ob6ofIcpPzw</v>
      </c>
      <c r="R248" s="5">
        <f ca="1">IFERROR(__xludf.DUMMYFUNCTION("""COMPUTED_VALUE"""),410)</f>
        <v>410</v>
      </c>
      <c r="S248" s="62">
        <f ca="1">IFERROR(__xludf.DUMMYFUNCTION("""COMPUTED_VALUE"""),0.007142857)</f>
        <v>7.1428569999999999E-3</v>
      </c>
      <c r="T248" s="63" t="str">
        <f ca="1">IFERROR(__xludf.DUMMYFUNCTION("""COMPUTED_VALUE"""),"https://storage.googleapis.com/glide-prod.appspot.com/uploads-v2/ly7o78grxPaC6KdgvbpS/pub/UliJWgpEaBovaFmXi6OW.png")</f>
        <v>https://storage.googleapis.com/glide-prod.appspot.com/uploads-v2/ly7o78grxPaC6KdgvbpS/pub/UliJWgpEaBovaFmXi6OW.png</v>
      </c>
      <c r="U248" s="5" t="str">
        <f ca="1">IFERROR(__xludf.DUMMYFUNCTION("""COMPUTED_VALUE"""),"EQUIPOS PARA SERVICIOS INDUSTRIALES JUGOCOMPRESOR DE REFRIGERACION No. 1 JUGOS")</f>
        <v>EQUIPOS PARA SERVICIOS INDUSTRIALES JUGOCOMPRESOR DE REFRIGERACION No. 1 JUGOS</v>
      </c>
      <c r="V248" s="5"/>
      <c r="W248" s="5"/>
      <c r="X248" s="5" t="str">
        <f ca="1">IFERROR(__xludf.DUMMYFUNCTION("""COMPUTED_VALUE"""),"wmazorra@postobon.com.co,aprmttoyu@postobon.com.co,aprmyu@postobon.com.co,wmora@postobon.com.co,efzapata@postobon.com.co")</f>
        <v>wmazorra@postobon.com.co,aprmttoyu@postobon.com.co,aprmyu@postobon.com.co,wmora@postobon.com.co,efzapata@postobon.com.co</v>
      </c>
      <c r="Y248" s="5" t="str">
        <f ca="1">IFERROR(__xludf.DUMMYFUNCTION("""COMPUTED_VALUE"""),"wmazorra@postobon.com.co")</f>
        <v>wmazorra@postobon.com.co</v>
      </c>
      <c r="Z248" s="5" t="str">
        <f ca="1">IFERROR(__xludf.DUMMYFUNCTION("""COMPUTED_VALUE"""),"LM8yoaj5SqW5IfIVitEdUg")</f>
        <v>LM8yoaj5SqW5IfIVitEdUg</v>
      </c>
      <c r="AA248" s="5"/>
      <c r="AB248" s="5"/>
      <c r="AC248" s="5"/>
      <c r="AD248" s="5">
        <f ca="1">IFERROR(__xludf.DUMMYFUNCTION("""COMPUTED_VALUE"""),57)</f>
        <v>57</v>
      </c>
      <c r="AE248" s="5">
        <f ca="1">IFERROR(__xludf.DUMMYFUNCTION("""COMPUTED_VALUE"""),0)</f>
        <v>0</v>
      </c>
      <c r="AF248" s="5" t="b">
        <f ca="1">IFERROR(__xludf.DUMMYFUNCTION("""COMPUTED_VALUE"""),TRUE)</f>
        <v>1</v>
      </c>
      <c r="AG248" s="5" t="str">
        <f ca="1">IFERROR(__xludf.DUMMYFUNCTION("""COMPUTED_VALUE"""),"INSPECCIONES SIN REALIZAR")</f>
        <v>INSPECCIONES SIN REALIZAR</v>
      </c>
      <c r="AH248" s="5"/>
    </row>
    <row r="249" spans="1:34">
      <c r="A249" s="5" t="str">
        <f ca="1">IFERROR(__xludf.DUMMYFUNCTION("""COMPUTED_VALUE"""),"EQUIPOS PARA SERVICIOS INDUSTRIALES JUGO")</f>
        <v>EQUIPOS PARA SERVICIOS INDUSTRIALES JUGO</v>
      </c>
      <c r="B249" s="5">
        <f ca="1">IFERROR(__xludf.DUMMYFUNCTION("""COMPUTED_VALUE"""),829060)</f>
        <v>829060</v>
      </c>
      <c r="C249" s="5" t="str">
        <f ca="1">IFERROR(__xludf.DUMMYFUNCTION("""COMPUTED_VALUE"""),"COMPRESOR DE REFRIGERACION No. 3 JUGOS")</f>
        <v>COMPRESOR DE REFRIGERACION No. 3 JUGOS</v>
      </c>
      <c r="D249" s="5">
        <f ca="1">IFERROR(__xludf.DUMMYFUNCTION("""COMPUTED_VALUE"""),13247539)</f>
        <v>13247539</v>
      </c>
      <c r="E249" s="5" t="str">
        <f ca="1">IFERROR(__xludf.DUMMYFUNCTION("""COMPUTED_VALUE"""),"INSPECCION SEMANAL COMPRESOR DE REFRIGER")</f>
        <v>INSPECCION SEMANAL COMPRESOR DE REFRIGER</v>
      </c>
      <c r="F249" s="5" t="str">
        <f ca="1">IFERROR(__xludf.DUMMYFUNCTION("""COMPUTED_VALUE"""),"PLAN MTTO MEC COMPRESOR REFRIG Nº3 JUGOS")</f>
        <v>PLAN MTTO MEC COMPRESOR REFRIG Nº3 JUGOS</v>
      </c>
      <c r="G249" s="5"/>
      <c r="H249" s="5"/>
      <c r="I249" s="5"/>
      <c r="J249" s="5"/>
      <c r="K249" s="5"/>
      <c r="L249" s="18">
        <f ca="1">IFERROR(__xludf.DUMMYFUNCTION("""COMPUTED_VALUE"""),45325)</f>
        <v>45325</v>
      </c>
      <c r="M249" s="18">
        <f ca="1">IFERROR(__xludf.DUMMYFUNCTION("""COMPUTED_VALUE"""),45325)</f>
        <v>45325</v>
      </c>
      <c r="N249" s="5" t="str">
        <f ca="1">IFERROR(__xludf.DUMMYFUNCTION("""COMPUTED_VALUE"""),"Lopez Raul")</f>
        <v>Lopez Raul</v>
      </c>
      <c r="O249" s="2">
        <f ca="1">IFERROR(__xludf.DUMMYFUNCTION("""COMPUTED_VALUE"""),0.1)</f>
        <v>0.1</v>
      </c>
      <c r="P249" s="5"/>
      <c r="Q249" s="5" t="str">
        <f ca="1">IFERROR(__xludf.DUMMYFUNCTION("""COMPUTED_VALUE"""),"Gho8ykzJj_I")</f>
        <v>Gho8ykzJj_I</v>
      </c>
      <c r="R249" s="5">
        <f ca="1">IFERROR(__xludf.DUMMYFUNCTION("""COMPUTED_VALUE"""),410)</f>
        <v>410</v>
      </c>
      <c r="S249" s="62">
        <f ca="1">IFERROR(__xludf.DUMMYFUNCTION("""COMPUTED_VALUE"""),0.1)</f>
        <v>0.1</v>
      </c>
      <c r="T249" s="63" t="str">
        <f ca="1">IFERROR(__xludf.DUMMYFUNCTION("""COMPUTED_VALUE"""),"https://storage.googleapis.com/glide-prod.appspot.com/uploads-v2/ly7o78grxPaC6KdgvbpS/pub/UliJWgpEaBovaFmXi6OW.png")</f>
        <v>https://storage.googleapis.com/glide-prod.appspot.com/uploads-v2/ly7o78grxPaC6KdgvbpS/pub/UliJWgpEaBovaFmXi6OW.png</v>
      </c>
      <c r="U249" s="5" t="str">
        <f ca="1">IFERROR(__xludf.DUMMYFUNCTION("""COMPUTED_VALUE"""),"EQUIPOS PARA SERVICIOS INDUSTRIALES JUGOCOMPRESOR DE REFRIGERACION No. 3 JUGOS")</f>
        <v>EQUIPOS PARA SERVICIOS INDUSTRIALES JUGOCOMPRESOR DE REFRIGERACION No. 3 JUGOS</v>
      </c>
      <c r="V249" s="5"/>
      <c r="W249" s="5"/>
      <c r="X249" s="5" t="str">
        <f ca="1">IFERROR(__xludf.DUMMYFUNCTION("""COMPUTED_VALUE"""),"wmazorra@postobon.com.co,aprmttoyu@postobon.com.co,aprmyu@postobon.com.co,wmora@postobon.com.co,efzapata@postobon.com.co")</f>
        <v>wmazorra@postobon.com.co,aprmttoyu@postobon.com.co,aprmyu@postobon.com.co,wmora@postobon.com.co,efzapata@postobon.com.co</v>
      </c>
      <c r="Y249" s="5" t="str">
        <f ca="1">IFERROR(__xludf.DUMMYFUNCTION("""COMPUTED_VALUE"""),"wmazorra@postobon.com.co")</f>
        <v>wmazorra@postobon.com.co</v>
      </c>
      <c r="Z249" s="5" t="str">
        <f ca="1">IFERROR(__xludf.DUMMYFUNCTION("""COMPUTED_VALUE"""),"gMGFEYfcT.im8dOYMOhimg")</f>
        <v>gMGFEYfcT.im8dOYMOhimg</v>
      </c>
      <c r="AA249" s="5"/>
      <c r="AB249" s="5"/>
      <c r="AC249" s="5"/>
      <c r="AD249" s="5">
        <f ca="1">IFERROR(__xludf.DUMMYFUNCTION("""COMPUTED_VALUE"""),57)</f>
        <v>57</v>
      </c>
      <c r="AE249" s="5">
        <f ca="1">IFERROR(__xludf.DUMMYFUNCTION("""COMPUTED_VALUE"""),0)</f>
        <v>0</v>
      </c>
      <c r="AF249" s="5" t="b">
        <f ca="1">IFERROR(__xludf.DUMMYFUNCTION("""COMPUTED_VALUE"""),TRUE)</f>
        <v>1</v>
      </c>
      <c r="AG249" s="5" t="str">
        <f ca="1">IFERROR(__xludf.DUMMYFUNCTION("""COMPUTED_VALUE"""),"INSPECCIONES SIN REALIZAR")</f>
        <v>INSPECCIONES SIN REALIZAR</v>
      </c>
      <c r="AH249" s="5"/>
    </row>
    <row r="250" spans="1:34">
      <c r="A250" s="5" t="str">
        <f ca="1">IFERROR(__xludf.DUMMYFUNCTION("""COMPUTED_VALUE"""),"EQUIPOS PARA SERVICIOS INDUSTRIALES")</f>
        <v>EQUIPOS PARA SERVICIOS INDUSTRIALES</v>
      </c>
      <c r="B250" s="5">
        <f ca="1">IFERROR(__xludf.DUMMYFUNCTION("""COMPUTED_VALUE"""),629054)</f>
        <v>629054</v>
      </c>
      <c r="C250" s="5" t="str">
        <f ca="1">IFERROR(__xludf.DUMMYFUNCTION("""COMPUTED_VALUE"""),"COMPRESOR REFRIGERACION RECIPROCANTE 4")</f>
        <v>COMPRESOR REFRIGERACION RECIPROCANTE 4</v>
      </c>
      <c r="D250" s="5">
        <f ca="1">IFERROR(__xludf.DUMMYFUNCTION("""COMPUTED_VALUE"""),13247486)</f>
        <v>13247486</v>
      </c>
      <c r="E250" s="5" t="str">
        <f ca="1">IFERROR(__xludf.DUMMYFUNCTION("""COMPUTED_VALUE"""),"INSPECCION SEMANAL COMPRESOR REFRIGERACI")</f>
        <v>INSPECCION SEMANAL COMPRESOR REFRIGERACI</v>
      </c>
      <c r="F250" s="5" t="str">
        <f ca="1">IFERROR(__xludf.DUMMYFUNCTION("""COMPUTED_VALUE"""),"NIVEL ACEITE")</f>
        <v>NIVEL ACEITE</v>
      </c>
      <c r="G250" s="5" t="b">
        <f ca="1">IFERROR(__xludf.DUMMYFUNCTION("""COMPUTED_VALUE"""),TRUE)</f>
        <v>1</v>
      </c>
      <c r="H250" s="5"/>
      <c r="I250" s="5"/>
      <c r="J250" s="5">
        <f ca="1">IFERROR(__xludf.DUMMYFUNCTION("""COMPUTED_VALUE"""),13247486)</f>
        <v>13247486</v>
      </c>
      <c r="K250" s="5"/>
      <c r="L250" s="18">
        <f ca="1">IFERROR(__xludf.DUMMYFUNCTION("""COMPUTED_VALUE"""),45324)</f>
        <v>45324</v>
      </c>
      <c r="M250" s="18">
        <f ca="1">IFERROR(__xludf.DUMMYFUNCTION("""COMPUTED_VALUE"""),45324)</f>
        <v>45324</v>
      </c>
      <c r="N250" s="5" t="str">
        <f ca="1">IFERROR(__xludf.DUMMYFUNCTION("""COMPUTED_VALUE"""),"MUÑOZ VALENCIA JEFFERSON")</f>
        <v>MUÑOZ VALENCIA JEFFERSON</v>
      </c>
      <c r="O250" s="2">
        <f ca="1">IFERROR(__xludf.DUMMYFUNCTION("""COMPUTED_VALUE"""),0.007142857)</f>
        <v>7.1428569999999999E-3</v>
      </c>
      <c r="P250" s="5">
        <f ca="1">IFERROR(__xludf.DUMMYFUNCTION("""COMPUTED_VALUE"""),20062055)</f>
        <v>20062055</v>
      </c>
      <c r="Q250" s="5" t="str">
        <f ca="1">IFERROR(__xludf.DUMMYFUNCTION("""COMPUTED_VALUE"""),"0N91VozmSHg")</f>
        <v>0N91VozmSHg</v>
      </c>
      <c r="R250" s="5">
        <f ca="1">IFERROR(__xludf.DUMMYFUNCTION("""COMPUTED_VALUE"""),410)</f>
        <v>410</v>
      </c>
      <c r="S250" s="62">
        <f ca="1">IFERROR(__xludf.DUMMYFUNCTION("""COMPUTED_VALUE"""),0.007142857)</f>
        <v>7.1428569999999999E-3</v>
      </c>
      <c r="T250" s="63" t="str">
        <f ca="1">IFERROR(__xludf.DUMMYFUNCTION("""COMPUTED_VALUE"""),"https://storage.googleapis.com/glide-prod.appspot.com/uploads-v2/ly7o78grxPaC6KdgvbpS/pub/3aRdSog0vUtuqPE8AJKD.png")</f>
        <v>https://storage.googleapis.com/glide-prod.appspot.com/uploads-v2/ly7o78grxPaC6KdgvbpS/pub/3aRdSog0vUtuqPE8AJKD.png</v>
      </c>
      <c r="U250" s="5" t="str">
        <f ca="1">IFERROR(__xludf.DUMMYFUNCTION("""COMPUTED_VALUE"""),"EQUIPOS PARA SERVICIOS INDUSTRIALESCOMPRESOR REFRIGERACION RECIPROCANTE 4")</f>
        <v>EQUIPOS PARA SERVICIOS INDUSTRIALESCOMPRESOR REFRIGERACION RECIPROCANTE 4</v>
      </c>
      <c r="V250" s="5"/>
      <c r="W250" s="5" t="b">
        <f ca="1">IFERROR(__xludf.DUMMYFUNCTION("""COMPUTED_VALUE"""),TRUE)</f>
        <v>1</v>
      </c>
      <c r="X250" s="5" t="str">
        <f ca="1">IFERROR(__xludf.DUMMYFUNCTION("""COMPUTED_VALUE"""),"wmazorra@postobon.com.co,aprmttoyu@postobon.com.co,aprmyu@postobon.com.co,wmora@postobon.com.co,efzapata@postobon.com.co")</f>
        <v>wmazorra@postobon.com.co,aprmttoyu@postobon.com.co,aprmyu@postobon.com.co,wmora@postobon.com.co,efzapata@postobon.com.co</v>
      </c>
      <c r="Y250" s="5" t="str">
        <f ca="1">IFERROR(__xludf.DUMMYFUNCTION("""COMPUTED_VALUE"""),"wmazorra@postobon.com.co")</f>
        <v>wmazorra@postobon.com.co</v>
      </c>
      <c r="Z250" s="5" t="str">
        <f ca="1">IFERROR(__xludf.DUMMYFUNCTION("""COMPUTED_VALUE"""),"iThUnBPSRcuOrn9XlU0qdQ")</f>
        <v>iThUnBPSRcuOrn9XlU0qdQ</v>
      </c>
      <c r="AA250" s="5"/>
      <c r="AB250" s="5"/>
      <c r="AC250" s="5"/>
      <c r="AD250" s="5">
        <f ca="1">IFERROR(__xludf.DUMMYFUNCTION("""COMPUTED_VALUE"""),58)</f>
        <v>58</v>
      </c>
      <c r="AE250" s="5">
        <f ca="1">IFERROR(__xludf.DUMMYFUNCTION("""COMPUTED_VALUE"""),58)</f>
        <v>58</v>
      </c>
      <c r="AF250" s="5" t="b">
        <f ca="1">IFERROR(__xludf.DUMMYFUNCTION("""COMPUTED_VALUE"""),FALSE)</f>
        <v>0</v>
      </c>
      <c r="AG250" s="5" t="str">
        <f ca="1">IFERROR(__xludf.DUMMYFUNCTION("""COMPUTED_VALUE"""),"INSPECCIONES REALIZADAS")</f>
        <v>INSPECCIONES REALIZADAS</v>
      </c>
      <c r="AH250" s="5"/>
    </row>
    <row r="251" spans="1:34">
      <c r="A251" s="5" t="str">
        <f ca="1">IFERROR(__xludf.DUMMYFUNCTION("""COMPUTED_VALUE"""),"EQUIPOS PARA SERVICIOS INDUSTRIALES")</f>
        <v>EQUIPOS PARA SERVICIOS INDUSTRIALES</v>
      </c>
      <c r="B251" s="5">
        <f ca="1">IFERROR(__xludf.DUMMYFUNCTION("""COMPUTED_VALUE"""),629054)</f>
        <v>629054</v>
      </c>
      <c r="C251" s="5" t="str">
        <f ca="1">IFERROR(__xludf.DUMMYFUNCTION("""COMPUTED_VALUE"""),"COMPRESOR REFRIGERACION RECIPROCANTE 4")</f>
        <v>COMPRESOR REFRIGERACION RECIPROCANTE 4</v>
      </c>
      <c r="D251" s="5">
        <f ca="1">IFERROR(__xludf.DUMMYFUNCTION("""COMPUTED_VALUE"""),13247486)</f>
        <v>13247486</v>
      </c>
      <c r="E251" s="5" t="str">
        <f ca="1">IFERROR(__xludf.DUMMYFUNCTION("""COMPUTED_VALUE"""),"INSPECCION SEMANAL COMPRESOR REFRIGERACI")</f>
        <v>INSPECCION SEMANAL COMPRESOR REFRIGERACI</v>
      </c>
      <c r="F251" s="5" t="str">
        <f ca="1">IFERROR(__xludf.DUMMYFUNCTION("""COMPUTED_VALUE"""),"TEMPERATURA ACEITE")</f>
        <v>TEMPERATURA ACEITE</v>
      </c>
      <c r="G251" s="5" t="b">
        <f ca="1">IFERROR(__xludf.DUMMYFUNCTION("""COMPUTED_VALUE"""),TRUE)</f>
        <v>1</v>
      </c>
      <c r="H251" s="5"/>
      <c r="I251" s="5"/>
      <c r="J251" s="5">
        <f ca="1">IFERROR(__xludf.DUMMYFUNCTION("""COMPUTED_VALUE"""),13247486)</f>
        <v>13247486</v>
      </c>
      <c r="K251" s="5"/>
      <c r="L251" s="18">
        <f ca="1">IFERROR(__xludf.DUMMYFUNCTION("""COMPUTED_VALUE"""),45324)</f>
        <v>45324</v>
      </c>
      <c r="M251" s="18">
        <f ca="1">IFERROR(__xludf.DUMMYFUNCTION("""COMPUTED_VALUE"""),45324)</f>
        <v>45324</v>
      </c>
      <c r="N251" s="5" t="str">
        <f ca="1">IFERROR(__xludf.DUMMYFUNCTION("""COMPUTED_VALUE"""),"MUÑOZ VALENCIA JEFFERSON")</f>
        <v>MUÑOZ VALENCIA JEFFERSON</v>
      </c>
      <c r="O251" s="2">
        <f ca="1">IFERROR(__xludf.DUMMYFUNCTION("""COMPUTED_VALUE"""),0.007142857)</f>
        <v>7.1428569999999999E-3</v>
      </c>
      <c r="P251" s="5">
        <f ca="1">IFERROR(__xludf.DUMMYFUNCTION("""COMPUTED_VALUE"""),20062055)</f>
        <v>20062055</v>
      </c>
      <c r="Q251" s="5" t="str">
        <f ca="1">IFERROR(__xludf.DUMMYFUNCTION("""COMPUTED_VALUE"""),"BZaC_3osDlg")</f>
        <v>BZaC_3osDlg</v>
      </c>
      <c r="R251" s="5">
        <f ca="1">IFERROR(__xludf.DUMMYFUNCTION("""COMPUTED_VALUE"""),410)</f>
        <v>410</v>
      </c>
      <c r="S251" s="62">
        <f ca="1">IFERROR(__xludf.DUMMYFUNCTION("""COMPUTED_VALUE"""),0.007142857)</f>
        <v>7.1428569999999999E-3</v>
      </c>
      <c r="T251" s="63" t="str">
        <f ca="1">IFERROR(__xludf.DUMMYFUNCTION("""COMPUTED_VALUE"""),"https://storage.googleapis.com/glide-prod.appspot.com/uploads-v2/ly7o78grxPaC6KdgvbpS/pub/3aRdSog0vUtuqPE8AJKD.png")</f>
        <v>https://storage.googleapis.com/glide-prod.appspot.com/uploads-v2/ly7o78grxPaC6KdgvbpS/pub/3aRdSog0vUtuqPE8AJKD.png</v>
      </c>
      <c r="U251" s="5" t="str">
        <f ca="1">IFERROR(__xludf.DUMMYFUNCTION("""COMPUTED_VALUE"""),"EQUIPOS PARA SERVICIOS INDUSTRIALESCOMPRESOR REFRIGERACION RECIPROCANTE 4")</f>
        <v>EQUIPOS PARA SERVICIOS INDUSTRIALESCOMPRESOR REFRIGERACION RECIPROCANTE 4</v>
      </c>
      <c r="V251" s="5"/>
      <c r="W251" s="5" t="b">
        <f ca="1">IFERROR(__xludf.DUMMYFUNCTION("""COMPUTED_VALUE"""),TRUE)</f>
        <v>1</v>
      </c>
      <c r="X251" s="5" t="str">
        <f ca="1">IFERROR(__xludf.DUMMYFUNCTION("""COMPUTED_VALUE"""),"wmazorra@postobon.com.co,aprmttoyu@postobon.com.co,aprmyu@postobon.com.co,wmora@postobon.com.co,efzapata@postobon.com.co")</f>
        <v>wmazorra@postobon.com.co,aprmttoyu@postobon.com.co,aprmyu@postobon.com.co,wmora@postobon.com.co,efzapata@postobon.com.co</v>
      </c>
      <c r="Y251" s="5" t="str">
        <f ca="1">IFERROR(__xludf.DUMMYFUNCTION("""COMPUTED_VALUE"""),"wmazorra@postobon.com.co")</f>
        <v>wmazorra@postobon.com.co</v>
      </c>
      <c r="Z251" s="5" t="str">
        <f ca="1">IFERROR(__xludf.DUMMYFUNCTION("""COMPUTED_VALUE"""),"B9NAq0Y5QL6GwFQVUy1dYw")</f>
        <v>B9NAq0Y5QL6GwFQVUy1dYw</v>
      </c>
      <c r="AA251" s="5"/>
      <c r="AB251" s="5"/>
      <c r="AC251" s="5"/>
      <c r="AD251" s="5">
        <f ca="1">IFERROR(__xludf.DUMMYFUNCTION("""COMPUTED_VALUE"""),58)</f>
        <v>58</v>
      </c>
      <c r="AE251" s="5">
        <f ca="1">IFERROR(__xludf.DUMMYFUNCTION("""COMPUTED_VALUE"""),58)</f>
        <v>58</v>
      </c>
      <c r="AF251" s="5" t="b">
        <f ca="1">IFERROR(__xludf.DUMMYFUNCTION("""COMPUTED_VALUE"""),FALSE)</f>
        <v>0</v>
      </c>
      <c r="AG251" s="5" t="str">
        <f ca="1">IFERROR(__xludf.DUMMYFUNCTION("""COMPUTED_VALUE"""),"INSPECCIONES REALIZADAS")</f>
        <v>INSPECCIONES REALIZADAS</v>
      </c>
      <c r="AH251" s="5"/>
    </row>
    <row r="252" spans="1:34">
      <c r="A252" s="5" t="str">
        <f ca="1">IFERROR(__xludf.DUMMYFUNCTION("""COMPUTED_VALUE"""),"EQUIPOS PARA SERVICIOS INDUSTRIALES")</f>
        <v>EQUIPOS PARA SERVICIOS INDUSTRIALES</v>
      </c>
      <c r="B252" s="5">
        <f ca="1">IFERROR(__xludf.DUMMYFUNCTION("""COMPUTED_VALUE"""),629054)</f>
        <v>629054</v>
      </c>
      <c r="C252" s="5" t="str">
        <f ca="1">IFERROR(__xludf.DUMMYFUNCTION("""COMPUTED_VALUE"""),"COMPRESOR REFRIGERACION RECIPROCANTE 4")</f>
        <v>COMPRESOR REFRIGERACION RECIPROCANTE 4</v>
      </c>
      <c r="D252" s="5">
        <f ca="1">IFERROR(__xludf.DUMMYFUNCTION("""COMPUTED_VALUE"""),13247486)</f>
        <v>13247486</v>
      </c>
      <c r="E252" s="5" t="str">
        <f ca="1">IFERROR(__xludf.DUMMYFUNCTION("""COMPUTED_VALUE"""),"INSPECCION SEMANAL COMPRESOR REFRIGERACI")</f>
        <v>INSPECCION SEMANAL COMPRESOR REFRIGERACI</v>
      </c>
      <c r="F252" s="5" t="str">
        <f ca="1">IFERROR(__xludf.DUMMYFUNCTION("""COMPUTED_VALUE"""),"ESCAPES AMONIACO")</f>
        <v>ESCAPES AMONIACO</v>
      </c>
      <c r="G252" s="5" t="b">
        <f ca="1">IFERROR(__xludf.DUMMYFUNCTION("""COMPUTED_VALUE"""),TRUE)</f>
        <v>1</v>
      </c>
      <c r="H252" s="5"/>
      <c r="I252" s="5"/>
      <c r="J252" s="5">
        <f ca="1">IFERROR(__xludf.DUMMYFUNCTION("""COMPUTED_VALUE"""),13247486)</f>
        <v>13247486</v>
      </c>
      <c r="K252" s="5"/>
      <c r="L252" s="18">
        <f ca="1">IFERROR(__xludf.DUMMYFUNCTION("""COMPUTED_VALUE"""),45324)</f>
        <v>45324</v>
      </c>
      <c r="M252" s="18">
        <f ca="1">IFERROR(__xludf.DUMMYFUNCTION("""COMPUTED_VALUE"""),45324)</f>
        <v>45324</v>
      </c>
      <c r="N252" s="5" t="str">
        <f ca="1">IFERROR(__xludf.DUMMYFUNCTION("""COMPUTED_VALUE"""),"MUÑOZ VALENCIA JEFFERSON")</f>
        <v>MUÑOZ VALENCIA JEFFERSON</v>
      </c>
      <c r="O252" s="2">
        <f ca="1">IFERROR(__xludf.DUMMYFUNCTION("""COMPUTED_VALUE"""),0.007142857)</f>
        <v>7.1428569999999999E-3</v>
      </c>
      <c r="P252" s="5">
        <f ca="1">IFERROR(__xludf.DUMMYFUNCTION("""COMPUTED_VALUE"""),20062055)</f>
        <v>20062055</v>
      </c>
      <c r="Q252" s="5" t="str">
        <f ca="1">IFERROR(__xludf.DUMMYFUNCTION("""COMPUTED_VALUE"""),"9C3LTarEHIc")</f>
        <v>9C3LTarEHIc</v>
      </c>
      <c r="R252" s="5">
        <f ca="1">IFERROR(__xludf.DUMMYFUNCTION("""COMPUTED_VALUE"""),410)</f>
        <v>410</v>
      </c>
      <c r="S252" s="62">
        <f ca="1">IFERROR(__xludf.DUMMYFUNCTION("""COMPUTED_VALUE"""),0.007142857)</f>
        <v>7.1428569999999999E-3</v>
      </c>
      <c r="T252" s="63" t="str">
        <f ca="1">IFERROR(__xludf.DUMMYFUNCTION("""COMPUTED_VALUE"""),"https://storage.googleapis.com/glide-prod.appspot.com/uploads-v2/ly7o78grxPaC6KdgvbpS/pub/3aRdSog0vUtuqPE8AJKD.png")</f>
        <v>https://storage.googleapis.com/glide-prod.appspot.com/uploads-v2/ly7o78grxPaC6KdgvbpS/pub/3aRdSog0vUtuqPE8AJKD.png</v>
      </c>
      <c r="U252" s="5" t="str">
        <f ca="1">IFERROR(__xludf.DUMMYFUNCTION("""COMPUTED_VALUE"""),"EQUIPOS PARA SERVICIOS INDUSTRIALESCOMPRESOR REFRIGERACION RECIPROCANTE 4")</f>
        <v>EQUIPOS PARA SERVICIOS INDUSTRIALESCOMPRESOR REFRIGERACION RECIPROCANTE 4</v>
      </c>
      <c r="V252" s="5"/>
      <c r="W252" s="5" t="b">
        <f ca="1">IFERROR(__xludf.DUMMYFUNCTION("""COMPUTED_VALUE"""),TRUE)</f>
        <v>1</v>
      </c>
      <c r="X252" s="5" t="str">
        <f ca="1">IFERROR(__xludf.DUMMYFUNCTION("""COMPUTED_VALUE"""),"wmazorra@postobon.com.co,aprmttoyu@postobon.com.co,aprmyu@postobon.com.co,wmora@postobon.com.co,efzapata@postobon.com.co")</f>
        <v>wmazorra@postobon.com.co,aprmttoyu@postobon.com.co,aprmyu@postobon.com.co,wmora@postobon.com.co,efzapata@postobon.com.co</v>
      </c>
      <c r="Y252" s="5" t="str">
        <f ca="1">IFERROR(__xludf.DUMMYFUNCTION("""COMPUTED_VALUE"""),"wmazorra@postobon.com.co")</f>
        <v>wmazorra@postobon.com.co</v>
      </c>
      <c r="Z252" s="5" t="str">
        <f ca="1">IFERROR(__xludf.DUMMYFUNCTION("""COMPUTED_VALUE"""),"cNkSy7duTCWDhbZWxgBOMw")</f>
        <v>cNkSy7duTCWDhbZWxgBOMw</v>
      </c>
      <c r="AA252" s="5"/>
      <c r="AB252" s="5"/>
      <c r="AC252" s="5"/>
      <c r="AD252" s="5">
        <f ca="1">IFERROR(__xludf.DUMMYFUNCTION("""COMPUTED_VALUE"""),58)</f>
        <v>58</v>
      </c>
      <c r="AE252" s="5">
        <f ca="1">IFERROR(__xludf.DUMMYFUNCTION("""COMPUTED_VALUE"""),58)</f>
        <v>58</v>
      </c>
      <c r="AF252" s="5" t="b">
        <f ca="1">IFERROR(__xludf.DUMMYFUNCTION("""COMPUTED_VALUE"""),FALSE)</f>
        <v>0</v>
      </c>
      <c r="AG252" s="5" t="str">
        <f ca="1">IFERROR(__xludf.DUMMYFUNCTION("""COMPUTED_VALUE"""),"INSPECCIONES REALIZADAS")</f>
        <v>INSPECCIONES REALIZADAS</v>
      </c>
      <c r="AH252" s="5"/>
    </row>
    <row r="253" spans="1:34">
      <c r="A253" s="5" t="str">
        <f ca="1">IFERROR(__xludf.DUMMYFUNCTION("""COMPUTED_VALUE"""),"EQUIPOS PARA SERVICIOS INDUSTRIALES")</f>
        <v>EQUIPOS PARA SERVICIOS INDUSTRIALES</v>
      </c>
      <c r="B253" s="5">
        <f ca="1">IFERROR(__xludf.DUMMYFUNCTION("""COMPUTED_VALUE"""),629054)</f>
        <v>629054</v>
      </c>
      <c r="C253" s="5" t="str">
        <f ca="1">IFERROR(__xludf.DUMMYFUNCTION("""COMPUTED_VALUE"""),"COMPRESOR REFRIGERACION RECIPROCANTE 4")</f>
        <v>COMPRESOR REFRIGERACION RECIPROCANTE 4</v>
      </c>
      <c r="D253" s="5">
        <f ca="1">IFERROR(__xludf.DUMMYFUNCTION("""COMPUTED_VALUE"""),13247486)</f>
        <v>13247486</v>
      </c>
      <c r="E253" s="5" t="str">
        <f ca="1">IFERROR(__xludf.DUMMYFUNCTION("""COMPUTED_VALUE"""),"INSPECCION SEMANAL COMPRESOR REFRIGERACI")</f>
        <v>INSPECCION SEMANAL COMPRESOR REFRIGERACI</v>
      </c>
      <c r="F253" s="5" t="str">
        <f ca="1">IFERROR(__xludf.DUMMYFUNCTION("""COMPUTED_VALUE"""),"AGUA PARA ENFRIAMIENTO")</f>
        <v>AGUA PARA ENFRIAMIENTO</v>
      </c>
      <c r="G253" s="5" t="b">
        <f ca="1">IFERROR(__xludf.DUMMYFUNCTION("""COMPUTED_VALUE"""),TRUE)</f>
        <v>1</v>
      </c>
      <c r="H253" s="5"/>
      <c r="I253" s="5"/>
      <c r="J253" s="5">
        <f ca="1">IFERROR(__xludf.DUMMYFUNCTION("""COMPUTED_VALUE"""),13247486)</f>
        <v>13247486</v>
      </c>
      <c r="K253" s="5"/>
      <c r="L253" s="18">
        <f ca="1">IFERROR(__xludf.DUMMYFUNCTION("""COMPUTED_VALUE"""),45324)</f>
        <v>45324</v>
      </c>
      <c r="M253" s="18">
        <f ca="1">IFERROR(__xludf.DUMMYFUNCTION("""COMPUTED_VALUE"""),45324)</f>
        <v>45324</v>
      </c>
      <c r="N253" s="5" t="str">
        <f ca="1">IFERROR(__xludf.DUMMYFUNCTION("""COMPUTED_VALUE"""),"MUÑOZ VALENCIA JEFFERSON")</f>
        <v>MUÑOZ VALENCIA JEFFERSON</v>
      </c>
      <c r="O253" s="2">
        <f ca="1">IFERROR(__xludf.DUMMYFUNCTION("""COMPUTED_VALUE"""),0.007142857)</f>
        <v>7.1428569999999999E-3</v>
      </c>
      <c r="P253" s="5">
        <f ca="1">IFERROR(__xludf.DUMMYFUNCTION("""COMPUTED_VALUE"""),20062055)</f>
        <v>20062055</v>
      </c>
      <c r="Q253" s="5" t="str">
        <f ca="1">IFERROR(__xludf.DUMMYFUNCTION("""COMPUTED_VALUE"""),"VGzDJ3SIurk")</f>
        <v>VGzDJ3SIurk</v>
      </c>
      <c r="R253" s="5">
        <f ca="1">IFERROR(__xludf.DUMMYFUNCTION("""COMPUTED_VALUE"""),410)</f>
        <v>410</v>
      </c>
      <c r="S253" s="62">
        <f ca="1">IFERROR(__xludf.DUMMYFUNCTION("""COMPUTED_VALUE"""),0.007142857)</f>
        <v>7.1428569999999999E-3</v>
      </c>
      <c r="T253" s="63" t="str">
        <f ca="1">IFERROR(__xludf.DUMMYFUNCTION("""COMPUTED_VALUE"""),"https://storage.googleapis.com/glide-prod.appspot.com/uploads-v2/ly7o78grxPaC6KdgvbpS/pub/3aRdSog0vUtuqPE8AJKD.png")</f>
        <v>https://storage.googleapis.com/glide-prod.appspot.com/uploads-v2/ly7o78grxPaC6KdgvbpS/pub/3aRdSog0vUtuqPE8AJKD.png</v>
      </c>
      <c r="U253" s="5" t="str">
        <f ca="1">IFERROR(__xludf.DUMMYFUNCTION("""COMPUTED_VALUE"""),"EQUIPOS PARA SERVICIOS INDUSTRIALESCOMPRESOR REFRIGERACION RECIPROCANTE 4")</f>
        <v>EQUIPOS PARA SERVICIOS INDUSTRIALESCOMPRESOR REFRIGERACION RECIPROCANTE 4</v>
      </c>
      <c r="V253" s="5"/>
      <c r="W253" s="5" t="b">
        <f ca="1">IFERROR(__xludf.DUMMYFUNCTION("""COMPUTED_VALUE"""),TRUE)</f>
        <v>1</v>
      </c>
      <c r="X253" s="5" t="str">
        <f ca="1">IFERROR(__xludf.DUMMYFUNCTION("""COMPUTED_VALUE"""),"wmazorra@postobon.com.co,aprmttoyu@postobon.com.co,aprmyu@postobon.com.co,wmora@postobon.com.co,efzapata@postobon.com.co")</f>
        <v>wmazorra@postobon.com.co,aprmttoyu@postobon.com.co,aprmyu@postobon.com.co,wmora@postobon.com.co,efzapata@postobon.com.co</v>
      </c>
      <c r="Y253" s="5" t="str">
        <f ca="1">IFERROR(__xludf.DUMMYFUNCTION("""COMPUTED_VALUE"""),"wmazorra@postobon.com.co")</f>
        <v>wmazorra@postobon.com.co</v>
      </c>
      <c r="Z253" s="5" t="str">
        <f ca="1">IFERROR(__xludf.DUMMYFUNCTION("""COMPUTED_VALUE"""),"YlTWQ0H2R1uV03geFSPdfw")</f>
        <v>YlTWQ0H2R1uV03geFSPdfw</v>
      </c>
      <c r="AA253" s="5"/>
      <c r="AB253" s="5"/>
      <c r="AC253" s="5"/>
      <c r="AD253" s="5">
        <f ca="1">IFERROR(__xludf.DUMMYFUNCTION("""COMPUTED_VALUE"""),58)</f>
        <v>58</v>
      </c>
      <c r="AE253" s="5">
        <f ca="1">IFERROR(__xludf.DUMMYFUNCTION("""COMPUTED_VALUE"""),58)</f>
        <v>58</v>
      </c>
      <c r="AF253" s="5" t="b">
        <f ca="1">IFERROR(__xludf.DUMMYFUNCTION("""COMPUTED_VALUE"""),FALSE)</f>
        <v>0</v>
      </c>
      <c r="AG253" s="5" t="str">
        <f ca="1">IFERROR(__xludf.DUMMYFUNCTION("""COMPUTED_VALUE"""),"INSPECCIONES REALIZADAS")</f>
        <v>INSPECCIONES REALIZADAS</v>
      </c>
      <c r="AH253" s="5"/>
    </row>
    <row r="254" spans="1:34">
      <c r="A254" s="5" t="str">
        <f ca="1">IFERROR(__xludf.DUMMYFUNCTION("""COMPUTED_VALUE"""),"EQUIPOS PARA SERVICIOS INDUSTRIALES")</f>
        <v>EQUIPOS PARA SERVICIOS INDUSTRIALES</v>
      </c>
      <c r="B254" s="5">
        <f ca="1">IFERROR(__xludf.DUMMYFUNCTION("""COMPUTED_VALUE"""),629054)</f>
        <v>629054</v>
      </c>
      <c r="C254" s="5" t="str">
        <f ca="1">IFERROR(__xludf.DUMMYFUNCTION("""COMPUTED_VALUE"""),"COMPRESOR REFRIGERACION RECIPROCANTE 4")</f>
        <v>COMPRESOR REFRIGERACION RECIPROCANTE 4</v>
      </c>
      <c r="D254" s="5">
        <f ca="1">IFERROR(__xludf.DUMMYFUNCTION("""COMPUTED_VALUE"""),13247486)</f>
        <v>13247486</v>
      </c>
      <c r="E254" s="5" t="str">
        <f ca="1">IFERROR(__xludf.DUMMYFUNCTION("""COMPUTED_VALUE"""),"INSPECCION SEMANAL COMPRESOR REFRIGERACI")</f>
        <v>INSPECCION SEMANAL COMPRESOR REFRIGERACI</v>
      </c>
      <c r="F254" s="5" t="str">
        <f ca="1">IFERROR(__xludf.DUMMYFUNCTION("""COMPUTED_VALUE"""),"PRESION: SUCCION, DESCARGA")</f>
        <v>PRESION: SUCCION, DESCARGA</v>
      </c>
      <c r="G254" s="5" t="b">
        <f ca="1">IFERROR(__xludf.DUMMYFUNCTION("""COMPUTED_VALUE"""),TRUE)</f>
        <v>1</v>
      </c>
      <c r="H254" s="5"/>
      <c r="I254" s="5"/>
      <c r="J254" s="5">
        <f ca="1">IFERROR(__xludf.DUMMYFUNCTION("""COMPUTED_VALUE"""),13247486)</f>
        <v>13247486</v>
      </c>
      <c r="K254" s="5"/>
      <c r="L254" s="18">
        <f ca="1">IFERROR(__xludf.DUMMYFUNCTION("""COMPUTED_VALUE"""),45324)</f>
        <v>45324</v>
      </c>
      <c r="M254" s="18">
        <f ca="1">IFERROR(__xludf.DUMMYFUNCTION("""COMPUTED_VALUE"""),45324)</f>
        <v>45324</v>
      </c>
      <c r="N254" s="5" t="str">
        <f ca="1">IFERROR(__xludf.DUMMYFUNCTION("""COMPUTED_VALUE"""),"MUÑOZ VALENCIA JEFFERSON")</f>
        <v>MUÑOZ VALENCIA JEFFERSON</v>
      </c>
      <c r="O254" s="2">
        <f ca="1">IFERROR(__xludf.DUMMYFUNCTION("""COMPUTED_VALUE"""),0.007142857)</f>
        <v>7.1428569999999999E-3</v>
      </c>
      <c r="P254" s="5">
        <f ca="1">IFERROR(__xludf.DUMMYFUNCTION("""COMPUTED_VALUE"""),20062055)</f>
        <v>20062055</v>
      </c>
      <c r="Q254" s="5" t="str">
        <f ca="1">IFERROR(__xludf.DUMMYFUNCTION("""COMPUTED_VALUE"""),"C5RsQ9BeFr0")</f>
        <v>C5RsQ9BeFr0</v>
      </c>
      <c r="R254" s="5">
        <f ca="1">IFERROR(__xludf.DUMMYFUNCTION("""COMPUTED_VALUE"""),410)</f>
        <v>410</v>
      </c>
      <c r="S254" s="62">
        <f ca="1">IFERROR(__xludf.DUMMYFUNCTION("""COMPUTED_VALUE"""),0.007142857)</f>
        <v>7.1428569999999999E-3</v>
      </c>
      <c r="T254" s="63" t="str">
        <f ca="1">IFERROR(__xludf.DUMMYFUNCTION("""COMPUTED_VALUE"""),"https://storage.googleapis.com/glide-prod.appspot.com/uploads-v2/ly7o78grxPaC6KdgvbpS/pub/3aRdSog0vUtuqPE8AJKD.png")</f>
        <v>https://storage.googleapis.com/glide-prod.appspot.com/uploads-v2/ly7o78grxPaC6KdgvbpS/pub/3aRdSog0vUtuqPE8AJKD.png</v>
      </c>
      <c r="U254" s="5" t="str">
        <f ca="1">IFERROR(__xludf.DUMMYFUNCTION("""COMPUTED_VALUE"""),"EQUIPOS PARA SERVICIOS INDUSTRIALESCOMPRESOR REFRIGERACION RECIPROCANTE 4")</f>
        <v>EQUIPOS PARA SERVICIOS INDUSTRIALESCOMPRESOR REFRIGERACION RECIPROCANTE 4</v>
      </c>
      <c r="V254" s="5"/>
      <c r="W254" s="5" t="b">
        <f ca="1">IFERROR(__xludf.DUMMYFUNCTION("""COMPUTED_VALUE"""),TRUE)</f>
        <v>1</v>
      </c>
      <c r="X254" s="5" t="str">
        <f ca="1">IFERROR(__xludf.DUMMYFUNCTION("""COMPUTED_VALUE"""),"wmazorra@postobon.com.co,aprmttoyu@postobon.com.co,aprmyu@postobon.com.co,wmora@postobon.com.co,efzapata@postobon.com.co")</f>
        <v>wmazorra@postobon.com.co,aprmttoyu@postobon.com.co,aprmyu@postobon.com.co,wmora@postobon.com.co,efzapata@postobon.com.co</v>
      </c>
      <c r="Y254" s="5" t="str">
        <f ca="1">IFERROR(__xludf.DUMMYFUNCTION("""COMPUTED_VALUE"""),"wmazorra@postobon.com.co")</f>
        <v>wmazorra@postobon.com.co</v>
      </c>
      <c r="Z254" s="5" t="str">
        <f ca="1">IFERROR(__xludf.DUMMYFUNCTION("""COMPUTED_VALUE"""),"p3hFUC1UQeuHl5Tco2-Fhg")</f>
        <v>p3hFUC1UQeuHl5Tco2-Fhg</v>
      </c>
      <c r="AA254" s="5"/>
      <c r="AB254" s="5"/>
      <c r="AC254" s="5"/>
      <c r="AD254" s="5">
        <f ca="1">IFERROR(__xludf.DUMMYFUNCTION("""COMPUTED_VALUE"""),58)</f>
        <v>58</v>
      </c>
      <c r="AE254" s="5">
        <f ca="1">IFERROR(__xludf.DUMMYFUNCTION("""COMPUTED_VALUE"""),58)</f>
        <v>58</v>
      </c>
      <c r="AF254" s="5" t="b">
        <f ca="1">IFERROR(__xludf.DUMMYFUNCTION("""COMPUTED_VALUE"""),FALSE)</f>
        <v>0</v>
      </c>
      <c r="AG254" s="5" t="str">
        <f ca="1">IFERROR(__xludf.DUMMYFUNCTION("""COMPUTED_VALUE"""),"INSPECCIONES REALIZADAS")</f>
        <v>INSPECCIONES REALIZADAS</v>
      </c>
      <c r="AH254" s="5"/>
    </row>
    <row r="255" spans="1:34">
      <c r="A255" s="5" t="str">
        <f ca="1">IFERROR(__xludf.DUMMYFUNCTION("""COMPUTED_VALUE"""),"EQUIPOS PARA SERVICIOS INDUSTRIALES")</f>
        <v>EQUIPOS PARA SERVICIOS INDUSTRIALES</v>
      </c>
      <c r="B255" s="5">
        <f ca="1">IFERROR(__xludf.DUMMYFUNCTION("""COMPUTED_VALUE"""),629054)</f>
        <v>629054</v>
      </c>
      <c r="C255" s="5" t="str">
        <f ca="1">IFERROR(__xludf.DUMMYFUNCTION("""COMPUTED_VALUE"""),"COMPRESOR REFRIGERACION RECIPROCANTE 4")</f>
        <v>COMPRESOR REFRIGERACION RECIPROCANTE 4</v>
      </c>
      <c r="D255" s="5">
        <f ca="1">IFERROR(__xludf.DUMMYFUNCTION("""COMPUTED_VALUE"""),13247486)</f>
        <v>13247486</v>
      </c>
      <c r="E255" s="5" t="str">
        <f ca="1">IFERROR(__xludf.DUMMYFUNCTION("""COMPUTED_VALUE"""),"INSPECCION SEMANAL COMPRESOR REFRIGERACI")</f>
        <v>INSPECCION SEMANAL COMPRESOR REFRIGERACI</v>
      </c>
      <c r="F255" s="5" t="str">
        <f ca="1">IFERROR(__xludf.DUMMYFUNCTION("""COMPUTED_VALUE"""),"PRESION ACEITE")</f>
        <v>PRESION ACEITE</v>
      </c>
      <c r="G255" s="5" t="b">
        <f ca="1">IFERROR(__xludf.DUMMYFUNCTION("""COMPUTED_VALUE"""),TRUE)</f>
        <v>1</v>
      </c>
      <c r="H255" s="5"/>
      <c r="I255" s="5"/>
      <c r="J255" s="5">
        <f ca="1">IFERROR(__xludf.DUMMYFUNCTION("""COMPUTED_VALUE"""),13247486)</f>
        <v>13247486</v>
      </c>
      <c r="K255" s="5"/>
      <c r="L255" s="18">
        <f ca="1">IFERROR(__xludf.DUMMYFUNCTION("""COMPUTED_VALUE"""),45324)</f>
        <v>45324</v>
      </c>
      <c r="M255" s="18">
        <f ca="1">IFERROR(__xludf.DUMMYFUNCTION("""COMPUTED_VALUE"""),45324)</f>
        <v>45324</v>
      </c>
      <c r="N255" s="5" t="str">
        <f ca="1">IFERROR(__xludf.DUMMYFUNCTION("""COMPUTED_VALUE"""),"MUÑOZ VALENCIA JEFFERSON")</f>
        <v>MUÑOZ VALENCIA JEFFERSON</v>
      </c>
      <c r="O255" s="2">
        <f ca="1">IFERROR(__xludf.DUMMYFUNCTION("""COMPUTED_VALUE"""),0.007142857)</f>
        <v>7.1428569999999999E-3</v>
      </c>
      <c r="P255" s="5">
        <f ca="1">IFERROR(__xludf.DUMMYFUNCTION("""COMPUTED_VALUE"""),20062055)</f>
        <v>20062055</v>
      </c>
      <c r="Q255" s="5" t="str">
        <f ca="1">IFERROR(__xludf.DUMMYFUNCTION("""COMPUTED_VALUE"""),"7S5cCLoJVOY")</f>
        <v>7S5cCLoJVOY</v>
      </c>
      <c r="R255" s="5">
        <f ca="1">IFERROR(__xludf.DUMMYFUNCTION("""COMPUTED_VALUE"""),410)</f>
        <v>410</v>
      </c>
      <c r="S255" s="62">
        <f ca="1">IFERROR(__xludf.DUMMYFUNCTION("""COMPUTED_VALUE"""),0.007142857)</f>
        <v>7.1428569999999999E-3</v>
      </c>
      <c r="T255" s="63" t="str">
        <f ca="1">IFERROR(__xludf.DUMMYFUNCTION("""COMPUTED_VALUE"""),"https://storage.googleapis.com/glide-prod.appspot.com/uploads-v2/ly7o78grxPaC6KdgvbpS/pub/3aRdSog0vUtuqPE8AJKD.png")</f>
        <v>https://storage.googleapis.com/glide-prod.appspot.com/uploads-v2/ly7o78grxPaC6KdgvbpS/pub/3aRdSog0vUtuqPE8AJKD.png</v>
      </c>
      <c r="U255" s="5" t="str">
        <f ca="1">IFERROR(__xludf.DUMMYFUNCTION("""COMPUTED_VALUE"""),"EQUIPOS PARA SERVICIOS INDUSTRIALESCOMPRESOR REFRIGERACION RECIPROCANTE 4")</f>
        <v>EQUIPOS PARA SERVICIOS INDUSTRIALESCOMPRESOR REFRIGERACION RECIPROCANTE 4</v>
      </c>
      <c r="V255" s="5"/>
      <c r="W255" s="5" t="b">
        <f ca="1">IFERROR(__xludf.DUMMYFUNCTION("""COMPUTED_VALUE"""),TRUE)</f>
        <v>1</v>
      </c>
      <c r="X255" s="5" t="str">
        <f ca="1">IFERROR(__xludf.DUMMYFUNCTION("""COMPUTED_VALUE"""),"wmazorra@postobon.com.co,aprmttoyu@postobon.com.co,aprmyu@postobon.com.co,wmora@postobon.com.co,efzapata@postobon.com.co")</f>
        <v>wmazorra@postobon.com.co,aprmttoyu@postobon.com.co,aprmyu@postobon.com.co,wmora@postobon.com.co,efzapata@postobon.com.co</v>
      </c>
      <c r="Y255" s="5" t="str">
        <f ca="1">IFERROR(__xludf.DUMMYFUNCTION("""COMPUTED_VALUE"""),"wmazorra@postobon.com.co")</f>
        <v>wmazorra@postobon.com.co</v>
      </c>
      <c r="Z255" s="5" t="str">
        <f ca="1">IFERROR(__xludf.DUMMYFUNCTION("""COMPUTED_VALUE"""),"UW9Laxi5TB2QcBL1DqCKEg")</f>
        <v>UW9Laxi5TB2QcBL1DqCKEg</v>
      </c>
      <c r="AA255" s="5"/>
      <c r="AB255" s="5"/>
      <c r="AC255" s="5"/>
      <c r="AD255" s="5">
        <f ca="1">IFERROR(__xludf.DUMMYFUNCTION("""COMPUTED_VALUE"""),58)</f>
        <v>58</v>
      </c>
      <c r="AE255" s="5">
        <f ca="1">IFERROR(__xludf.DUMMYFUNCTION("""COMPUTED_VALUE"""),58)</f>
        <v>58</v>
      </c>
      <c r="AF255" s="5" t="b">
        <f ca="1">IFERROR(__xludf.DUMMYFUNCTION("""COMPUTED_VALUE"""),FALSE)</f>
        <v>0</v>
      </c>
      <c r="AG255" s="5" t="str">
        <f ca="1">IFERROR(__xludf.DUMMYFUNCTION("""COMPUTED_VALUE"""),"INSPECCIONES REALIZADAS")</f>
        <v>INSPECCIONES REALIZADAS</v>
      </c>
      <c r="AH255" s="5"/>
    </row>
    <row r="256" spans="1:34">
      <c r="A256" s="5" t="str">
        <f ca="1">IFERROR(__xludf.DUMMYFUNCTION("""COMPUTED_VALUE"""),"EQUIPOS PARA SERVICIOS INDUSTRIALES")</f>
        <v>EQUIPOS PARA SERVICIOS INDUSTRIALES</v>
      </c>
      <c r="B256" s="5">
        <f ca="1">IFERROR(__xludf.DUMMYFUNCTION("""COMPUTED_VALUE"""),629054)</f>
        <v>629054</v>
      </c>
      <c r="C256" s="5" t="str">
        <f ca="1">IFERROR(__xludf.DUMMYFUNCTION("""COMPUTED_VALUE"""),"COMPRESOR REFRIGERACION RECIPROCANTE 4")</f>
        <v>COMPRESOR REFRIGERACION RECIPROCANTE 4</v>
      </c>
      <c r="D256" s="5">
        <f ca="1">IFERROR(__xludf.DUMMYFUNCTION("""COMPUTED_VALUE"""),13247486)</f>
        <v>13247486</v>
      </c>
      <c r="E256" s="5" t="str">
        <f ca="1">IFERROR(__xludf.DUMMYFUNCTION("""COMPUTED_VALUE"""),"INSPECCION SEMANAL COMPRESOR REFRIGERACI")</f>
        <v>INSPECCION SEMANAL COMPRESOR REFRIGERACI</v>
      </c>
      <c r="F256" s="5" t="str">
        <f ca="1">IFERROR(__xludf.DUMMYFUNCTION("""COMPUTED_VALUE"""),"RUIDO")</f>
        <v>RUIDO</v>
      </c>
      <c r="G256" s="5" t="b">
        <f ca="1">IFERROR(__xludf.DUMMYFUNCTION("""COMPUTED_VALUE"""),TRUE)</f>
        <v>1</v>
      </c>
      <c r="H256" s="5"/>
      <c r="I256" s="5"/>
      <c r="J256" s="5">
        <f ca="1">IFERROR(__xludf.DUMMYFUNCTION("""COMPUTED_VALUE"""),13247486)</f>
        <v>13247486</v>
      </c>
      <c r="K256" s="5"/>
      <c r="L256" s="18">
        <f ca="1">IFERROR(__xludf.DUMMYFUNCTION("""COMPUTED_VALUE"""),45324)</f>
        <v>45324</v>
      </c>
      <c r="M256" s="18">
        <f ca="1">IFERROR(__xludf.DUMMYFUNCTION("""COMPUTED_VALUE"""),45324)</f>
        <v>45324</v>
      </c>
      <c r="N256" s="5" t="str">
        <f ca="1">IFERROR(__xludf.DUMMYFUNCTION("""COMPUTED_VALUE"""),"MUÑOZ VALENCIA JEFFERSON")</f>
        <v>MUÑOZ VALENCIA JEFFERSON</v>
      </c>
      <c r="O256" s="2">
        <f ca="1">IFERROR(__xludf.DUMMYFUNCTION("""COMPUTED_VALUE"""),0.007142857)</f>
        <v>7.1428569999999999E-3</v>
      </c>
      <c r="P256" s="5">
        <f ca="1">IFERROR(__xludf.DUMMYFUNCTION("""COMPUTED_VALUE"""),20062055)</f>
        <v>20062055</v>
      </c>
      <c r="Q256" s="5" t="str">
        <f ca="1">IFERROR(__xludf.DUMMYFUNCTION("""COMPUTED_VALUE"""),"hxyOkK6oW0k")</f>
        <v>hxyOkK6oW0k</v>
      </c>
      <c r="R256" s="5">
        <f ca="1">IFERROR(__xludf.DUMMYFUNCTION("""COMPUTED_VALUE"""),410)</f>
        <v>410</v>
      </c>
      <c r="S256" s="62">
        <f ca="1">IFERROR(__xludf.DUMMYFUNCTION("""COMPUTED_VALUE"""),0.007142857)</f>
        <v>7.1428569999999999E-3</v>
      </c>
      <c r="T256" s="63" t="str">
        <f ca="1">IFERROR(__xludf.DUMMYFUNCTION("""COMPUTED_VALUE"""),"https://storage.googleapis.com/glide-prod.appspot.com/uploads-v2/ly7o78grxPaC6KdgvbpS/pub/3aRdSog0vUtuqPE8AJKD.png")</f>
        <v>https://storage.googleapis.com/glide-prod.appspot.com/uploads-v2/ly7o78grxPaC6KdgvbpS/pub/3aRdSog0vUtuqPE8AJKD.png</v>
      </c>
      <c r="U256" s="5" t="str">
        <f ca="1">IFERROR(__xludf.DUMMYFUNCTION("""COMPUTED_VALUE"""),"EQUIPOS PARA SERVICIOS INDUSTRIALESCOMPRESOR REFRIGERACION RECIPROCANTE 4")</f>
        <v>EQUIPOS PARA SERVICIOS INDUSTRIALESCOMPRESOR REFRIGERACION RECIPROCANTE 4</v>
      </c>
      <c r="V256" s="5"/>
      <c r="W256" s="5" t="b">
        <f ca="1">IFERROR(__xludf.DUMMYFUNCTION("""COMPUTED_VALUE"""),TRUE)</f>
        <v>1</v>
      </c>
      <c r="X256" s="5" t="str">
        <f ca="1">IFERROR(__xludf.DUMMYFUNCTION("""COMPUTED_VALUE"""),"wmazorra@postobon.com.co,aprmttoyu@postobon.com.co,aprmyu@postobon.com.co,wmora@postobon.com.co,efzapata@postobon.com.co")</f>
        <v>wmazorra@postobon.com.co,aprmttoyu@postobon.com.co,aprmyu@postobon.com.co,wmora@postobon.com.co,efzapata@postobon.com.co</v>
      </c>
      <c r="Y256" s="5" t="str">
        <f ca="1">IFERROR(__xludf.DUMMYFUNCTION("""COMPUTED_VALUE"""),"wmazorra@postobon.com.co")</f>
        <v>wmazorra@postobon.com.co</v>
      </c>
      <c r="Z256" s="5" t="str">
        <f ca="1">IFERROR(__xludf.DUMMYFUNCTION("""COMPUTED_VALUE"""),"2k-MDG7ZQuGuVC8w-R3Oag")</f>
        <v>2k-MDG7ZQuGuVC8w-R3Oag</v>
      </c>
      <c r="AA256" s="5"/>
      <c r="AB256" s="5"/>
      <c r="AC256" s="5"/>
      <c r="AD256" s="5">
        <f ca="1">IFERROR(__xludf.DUMMYFUNCTION("""COMPUTED_VALUE"""),58)</f>
        <v>58</v>
      </c>
      <c r="AE256" s="5">
        <f ca="1">IFERROR(__xludf.DUMMYFUNCTION("""COMPUTED_VALUE"""),58)</f>
        <v>58</v>
      </c>
      <c r="AF256" s="5" t="b">
        <f ca="1">IFERROR(__xludf.DUMMYFUNCTION("""COMPUTED_VALUE"""),FALSE)</f>
        <v>0</v>
      </c>
      <c r="AG256" s="5" t="str">
        <f ca="1">IFERROR(__xludf.DUMMYFUNCTION("""COMPUTED_VALUE"""),"INSPECCIONES REALIZADAS")</f>
        <v>INSPECCIONES REALIZADAS</v>
      </c>
      <c r="AH256" s="5"/>
    </row>
    <row r="257" spans="1:34">
      <c r="A257" s="5" t="str">
        <f ca="1">IFERROR(__xludf.DUMMYFUNCTION("""COMPUTED_VALUE"""),"EQUIPOS PARA SERVICIOS INDUSTRIALES")</f>
        <v>EQUIPOS PARA SERVICIOS INDUSTRIALES</v>
      </c>
      <c r="B257" s="5">
        <f ca="1">IFERROR(__xludf.DUMMYFUNCTION("""COMPUTED_VALUE"""),629054)</f>
        <v>629054</v>
      </c>
      <c r="C257" s="5" t="str">
        <f ca="1">IFERROR(__xludf.DUMMYFUNCTION("""COMPUTED_VALUE"""),"COMPRESOR REFRIGERACION RECIPROCANTE 4")</f>
        <v>COMPRESOR REFRIGERACION RECIPROCANTE 4</v>
      </c>
      <c r="D257" s="5">
        <f ca="1">IFERROR(__xludf.DUMMYFUNCTION("""COMPUTED_VALUE"""),13247486)</f>
        <v>13247486</v>
      </c>
      <c r="E257" s="5" t="str">
        <f ca="1">IFERROR(__xludf.DUMMYFUNCTION("""COMPUTED_VALUE"""),"INSPECCION SEMANAL COMPRESOR REFRIGERACI")</f>
        <v>INSPECCION SEMANAL COMPRESOR REFRIGERACI</v>
      </c>
      <c r="F257" s="5" t="str">
        <f ca="1">IFERROR(__xludf.DUMMYFUNCTION("""COMPUTED_VALUE"""),"ESTADO POLEAS, CORREAS")</f>
        <v>ESTADO POLEAS, CORREAS</v>
      </c>
      <c r="G257" s="5" t="b">
        <f ca="1">IFERROR(__xludf.DUMMYFUNCTION("""COMPUTED_VALUE"""),TRUE)</f>
        <v>1</v>
      </c>
      <c r="H257" s="5"/>
      <c r="I257" s="5"/>
      <c r="J257" s="5">
        <f ca="1">IFERROR(__xludf.DUMMYFUNCTION("""COMPUTED_VALUE"""),13247486)</f>
        <v>13247486</v>
      </c>
      <c r="K257" s="5"/>
      <c r="L257" s="18">
        <f ca="1">IFERROR(__xludf.DUMMYFUNCTION("""COMPUTED_VALUE"""),45324)</f>
        <v>45324</v>
      </c>
      <c r="M257" s="18">
        <f ca="1">IFERROR(__xludf.DUMMYFUNCTION("""COMPUTED_VALUE"""),45324)</f>
        <v>45324</v>
      </c>
      <c r="N257" s="5" t="str">
        <f ca="1">IFERROR(__xludf.DUMMYFUNCTION("""COMPUTED_VALUE"""),"MUÑOZ VALENCIA JEFFERSON")</f>
        <v>MUÑOZ VALENCIA JEFFERSON</v>
      </c>
      <c r="O257" s="2">
        <f ca="1">IFERROR(__xludf.DUMMYFUNCTION("""COMPUTED_VALUE"""),0.007142857)</f>
        <v>7.1428569999999999E-3</v>
      </c>
      <c r="P257" s="5">
        <f ca="1">IFERROR(__xludf.DUMMYFUNCTION("""COMPUTED_VALUE"""),20062055)</f>
        <v>20062055</v>
      </c>
      <c r="Q257" s="5" t="str">
        <f ca="1">IFERROR(__xludf.DUMMYFUNCTION("""COMPUTED_VALUE"""),"dT3YGqS6JlY")</f>
        <v>dT3YGqS6JlY</v>
      </c>
      <c r="R257" s="5">
        <f ca="1">IFERROR(__xludf.DUMMYFUNCTION("""COMPUTED_VALUE"""),410)</f>
        <v>410</v>
      </c>
      <c r="S257" s="62">
        <f ca="1">IFERROR(__xludf.DUMMYFUNCTION("""COMPUTED_VALUE"""),0.007142857)</f>
        <v>7.1428569999999999E-3</v>
      </c>
      <c r="T257" s="63" t="str">
        <f ca="1">IFERROR(__xludf.DUMMYFUNCTION("""COMPUTED_VALUE"""),"https://storage.googleapis.com/glide-prod.appspot.com/uploads-v2/ly7o78grxPaC6KdgvbpS/pub/3aRdSog0vUtuqPE8AJKD.png")</f>
        <v>https://storage.googleapis.com/glide-prod.appspot.com/uploads-v2/ly7o78grxPaC6KdgvbpS/pub/3aRdSog0vUtuqPE8AJKD.png</v>
      </c>
      <c r="U257" s="5" t="str">
        <f ca="1">IFERROR(__xludf.DUMMYFUNCTION("""COMPUTED_VALUE"""),"EQUIPOS PARA SERVICIOS INDUSTRIALESCOMPRESOR REFRIGERACION RECIPROCANTE 4")</f>
        <v>EQUIPOS PARA SERVICIOS INDUSTRIALESCOMPRESOR REFRIGERACION RECIPROCANTE 4</v>
      </c>
      <c r="V257" s="5"/>
      <c r="W257" s="5" t="b">
        <f ca="1">IFERROR(__xludf.DUMMYFUNCTION("""COMPUTED_VALUE"""),TRUE)</f>
        <v>1</v>
      </c>
      <c r="X257" s="5" t="str">
        <f ca="1">IFERROR(__xludf.DUMMYFUNCTION("""COMPUTED_VALUE"""),"wmazorra@postobon.com.co,aprmttoyu@postobon.com.co,aprmyu@postobon.com.co,wmora@postobon.com.co,efzapata@postobon.com.co")</f>
        <v>wmazorra@postobon.com.co,aprmttoyu@postobon.com.co,aprmyu@postobon.com.co,wmora@postobon.com.co,efzapata@postobon.com.co</v>
      </c>
      <c r="Y257" s="5" t="str">
        <f ca="1">IFERROR(__xludf.DUMMYFUNCTION("""COMPUTED_VALUE"""),"wmazorra@postobon.com.co")</f>
        <v>wmazorra@postobon.com.co</v>
      </c>
      <c r="Z257" s="5" t="str">
        <f ca="1">IFERROR(__xludf.DUMMYFUNCTION("""COMPUTED_VALUE"""),"Y8TKz9dHShGyH.tcRQ4Rkg")</f>
        <v>Y8TKz9dHShGyH.tcRQ4Rkg</v>
      </c>
      <c r="AA257" s="5"/>
      <c r="AB257" s="5"/>
      <c r="AC257" s="5"/>
      <c r="AD257" s="5">
        <f ca="1">IFERROR(__xludf.DUMMYFUNCTION("""COMPUTED_VALUE"""),58)</f>
        <v>58</v>
      </c>
      <c r="AE257" s="5">
        <f ca="1">IFERROR(__xludf.DUMMYFUNCTION("""COMPUTED_VALUE"""),58)</f>
        <v>58</v>
      </c>
      <c r="AF257" s="5" t="b">
        <f ca="1">IFERROR(__xludf.DUMMYFUNCTION("""COMPUTED_VALUE"""),FALSE)</f>
        <v>0</v>
      </c>
      <c r="AG257" s="5" t="str">
        <f ca="1">IFERROR(__xludf.DUMMYFUNCTION("""COMPUTED_VALUE"""),"INSPECCIONES REALIZADAS")</f>
        <v>INSPECCIONES REALIZADAS</v>
      </c>
      <c r="AH257" s="5"/>
    </row>
    <row r="258" spans="1:34">
      <c r="A258" s="5" t="str">
        <f ca="1">IFERROR(__xludf.DUMMYFUNCTION("""COMPUTED_VALUE"""),"EQUIPOS PARA SERVICIOS INDUSTRIALES")</f>
        <v>EQUIPOS PARA SERVICIOS INDUSTRIALES</v>
      </c>
      <c r="B258" s="5">
        <f ca="1">IFERROR(__xludf.DUMMYFUNCTION("""COMPUTED_VALUE"""),629054)</f>
        <v>629054</v>
      </c>
      <c r="C258" s="5" t="str">
        <f ca="1">IFERROR(__xludf.DUMMYFUNCTION("""COMPUTED_VALUE"""),"COMPRESOR REFRIGERACION RECIPROCANTE 4")</f>
        <v>COMPRESOR REFRIGERACION RECIPROCANTE 4</v>
      </c>
      <c r="D258" s="5">
        <f ca="1">IFERROR(__xludf.DUMMYFUNCTION("""COMPUTED_VALUE"""),13247486)</f>
        <v>13247486</v>
      </c>
      <c r="E258" s="5" t="str">
        <f ca="1">IFERROR(__xludf.DUMMYFUNCTION("""COMPUTED_VALUE"""),"INSPECCION SEMANAL COMPRESOR REFRIGERACI")</f>
        <v>INSPECCION SEMANAL COMPRESOR REFRIGERACI</v>
      </c>
      <c r="F258" s="5" t="str">
        <f ca="1">IFERROR(__xludf.DUMMYFUNCTION("""COMPUTED_VALUE"""),"GUARDA TRANSMISION")</f>
        <v>GUARDA TRANSMISION</v>
      </c>
      <c r="G258" s="5" t="b">
        <f ca="1">IFERROR(__xludf.DUMMYFUNCTION("""COMPUTED_VALUE"""),TRUE)</f>
        <v>1</v>
      </c>
      <c r="H258" s="5"/>
      <c r="I258" s="5"/>
      <c r="J258" s="5">
        <f ca="1">IFERROR(__xludf.DUMMYFUNCTION("""COMPUTED_VALUE"""),13247486)</f>
        <v>13247486</v>
      </c>
      <c r="K258" s="5"/>
      <c r="L258" s="18">
        <f ca="1">IFERROR(__xludf.DUMMYFUNCTION("""COMPUTED_VALUE"""),45324)</f>
        <v>45324</v>
      </c>
      <c r="M258" s="18">
        <f ca="1">IFERROR(__xludf.DUMMYFUNCTION("""COMPUTED_VALUE"""),45324)</f>
        <v>45324</v>
      </c>
      <c r="N258" s="5" t="str">
        <f ca="1">IFERROR(__xludf.DUMMYFUNCTION("""COMPUTED_VALUE"""),"MUÑOZ VALENCIA JEFFERSON")</f>
        <v>MUÑOZ VALENCIA JEFFERSON</v>
      </c>
      <c r="O258" s="2">
        <f ca="1">IFERROR(__xludf.DUMMYFUNCTION("""COMPUTED_VALUE"""),0.007142857)</f>
        <v>7.1428569999999999E-3</v>
      </c>
      <c r="P258" s="5">
        <f ca="1">IFERROR(__xludf.DUMMYFUNCTION("""COMPUTED_VALUE"""),20062055)</f>
        <v>20062055</v>
      </c>
      <c r="Q258" s="5" t="str">
        <f ca="1">IFERROR(__xludf.DUMMYFUNCTION("""COMPUTED_VALUE"""),"FkngTD9jLQs")</f>
        <v>FkngTD9jLQs</v>
      </c>
      <c r="R258" s="5">
        <f ca="1">IFERROR(__xludf.DUMMYFUNCTION("""COMPUTED_VALUE"""),410)</f>
        <v>410</v>
      </c>
      <c r="S258" s="62">
        <f ca="1">IFERROR(__xludf.DUMMYFUNCTION("""COMPUTED_VALUE"""),0.007142857)</f>
        <v>7.1428569999999999E-3</v>
      </c>
      <c r="T258" s="63" t="str">
        <f ca="1">IFERROR(__xludf.DUMMYFUNCTION("""COMPUTED_VALUE"""),"https://storage.googleapis.com/glide-prod.appspot.com/uploads-v2/ly7o78grxPaC6KdgvbpS/pub/3aRdSog0vUtuqPE8AJKD.png")</f>
        <v>https://storage.googleapis.com/glide-prod.appspot.com/uploads-v2/ly7o78grxPaC6KdgvbpS/pub/3aRdSog0vUtuqPE8AJKD.png</v>
      </c>
      <c r="U258" s="5" t="str">
        <f ca="1">IFERROR(__xludf.DUMMYFUNCTION("""COMPUTED_VALUE"""),"EQUIPOS PARA SERVICIOS INDUSTRIALESCOMPRESOR REFRIGERACION RECIPROCANTE 4")</f>
        <v>EQUIPOS PARA SERVICIOS INDUSTRIALESCOMPRESOR REFRIGERACION RECIPROCANTE 4</v>
      </c>
      <c r="V258" s="5"/>
      <c r="W258" s="5" t="b">
        <f ca="1">IFERROR(__xludf.DUMMYFUNCTION("""COMPUTED_VALUE"""),TRUE)</f>
        <v>1</v>
      </c>
      <c r="X258" s="5" t="str">
        <f ca="1">IFERROR(__xludf.DUMMYFUNCTION("""COMPUTED_VALUE"""),"wmazorra@postobon.com.co,aprmttoyu@postobon.com.co,aprmyu@postobon.com.co,wmora@postobon.com.co,efzapata@postobon.com.co")</f>
        <v>wmazorra@postobon.com.co,aprmttoyu@postobon.com.co,aprmyu@postobon.com.co,wmora@postobon.com.co,efzapata@postobon.com.co</v>
      </c>
      <c r="Y258" s="5" t="str">
        <f ca="1">IFERROR(__xludf.DUMMYFUNCTION("""COMPUTED_VALUE"""),"wmazorra@postobon.com.co")</f>
        <v>wmazorra@postobon.com.co</v>
      </c>
      <c r="Z258" s="5" t="str">
        <f ca="1">IFERROR(__xludf.DUMMYFUNCTION("""COMPUTED_VALUE"""),"mFke1rZdRI6-WhFfRjZdqQ")</f>
        <v>mFke1rZdRI6-WhFfRjZdqQ</v>
      </c>
      <c r="AA258" s="5"/>
      <c r="AB258" s="5"/>
      <c r="AC258" s="5"/>
      <c r="AD258" s="5">
        <f ca="1">IFERROR(__xludf.DUMMYFUNCTION("""COMPUTED_VALUE"""),58)</f>
        <v>58</v>
      </c>
      <c r="AE258" s="5">
        <f ca="1">IFERROR(__xludf.DUMMYFUNCTION("""COMPUTED_VALUE"""),58)</f>
        <v>58</v>
      </c>
      <c r="AF258" s="5" t="b">
        <f ca="1">IFERROR(__xludf.DUMMYFUNCTION("""COMPUTED_VALUE"""),FALSE)</f>
        <v>0</v>
      </c>
      <c r="AG258" s="5" t="str">
        <f ca="1">IFERROR(__xludf.DUMMYFUNCTION("""COMPUTED_VALUE"""),"INSPECCIONES REALIZADAS")</f>
        <v>INSPECCIONES REALIZADAS</v>
      </c>
      <c r="AH258" s="5"/>
    </row>
    <row r="259" spans="1:34">
      <c r="A259" s="5" t="str">
        <f ca="1">IFERROR(__xludf.DUMMYFUNCTION("""COMPUTED_VALUE"""),"EQUIPOS PARA SERVICIOS INDUSTRIALES")</f>
        <v>EQUIPOS PARA SERVICIOS INDUSTRIALES</v>
      </c>
      <c r="B259" s="5">
        <f ca="1">IFERROR(__xludf.DUMMYFUNCTION("""COMPUTED_VALUE"""),629054)</f>
        <v>629054</v>
      </c>
      <c r="C259" s="5" t="str">
        <f ca="1">IFERROR(__xludf.DUMMYFUNCTION("""COMPUTED_VALUE"""),"COMPRESOR REFRIGERACION RECIPROCANTE 4")</f>
        <v>COMPRESOR REFRIGERACION RECIPROCANTE 4</v>
      </c>
      <c r="D259" s="5">
        <f ca="1">IFERROR(__xludf.DUMMYFUNCTION("""COMPUTED_VALUE"""),13247486)</f>
        <v>13247486</v>
      </c>
      <c r="E259" s="5" t="str">
        <f ca="1">IFERROR(__xludf.DUMMYFUNCTION("""COMPUTED_VALUE"""),"INSPECCION SEMANAL COMPRESOR REFRIGERACI")</f>
        <v>INSPECCION SEMANAL COMPRESOR REFRIGERACI</v>
      </c>
      <c r="F259" s="5" t="str">
        <f ca="1">IFERROR(__xludf.DUMMYFUNCTION("""COMPUTED_VALUE"""),"ELECTROVALVULAS DESCARGADOS")</f>
        <v>ELECTROVALVULAS DESCARGADOS</v>
      </c>
      <c r="G259" s="5" t="b">
        <f ca="1">IFERROR(__xludf.DUMMYFUNCTION("""COMPUTED_VALUE"""),TRUE)</f>
        <v>1</v>
      </c>
      <c r="H259" s="5"/>
      <c r="I259" s="5"/>
      <c r="J259" s="5">
        <f ca="1">IFERROR(__xludf.DUMMYFUNCTION("""COMPUTED_VALUE"""),13247486)</f>
        <v>13247486</v>
      </c>
      <c r="K259" s="5"/>
      <c r="L259" s="18">
        <f ca="1">IFERROR(__xludf.DUMMYFUNCTION("""COMPUTED_VALUE"""),45324)</f>
        <v>45324</v>
      </c>
      <c r="M259" s="18">
        <f ca="1">IFERROR(__xludf.DUMMYFUNCTION("""COMPUTED_VALUE"""),45324)</f>
        <v>45324</v>
      </c>
      <c r="N259" s="5" t="str">
        <f ca="1">IFERROR(__xludf.DUMMYFUNCTION("""COMPUTED_VALUE"""),"MUÑOZ VALENCIA JEFFERSON")</f>
        <v>MUÑOZ VALENCIA JEFFERSON</v>
      </c>
      <c r="O259" s="2">
        <f ca="1">IFERROR(__xludf.DUMMYFUNCTION("""COMPUTED_VALUE"""),0.007142857)</f>
        <v>7.1428569999999999E-3</v>
      </c>
      <c r="P259" s="5">
        <f ca="1">IFERROR(__xludf.DUMMYFUNCTION("""COMPUTED_VALUE"""),20062055)</f>
        <v>20062055</v>
      </c>
      <c r="Q259" s="5" t="str">
        <f ca="1">IFERROR(__xludf.DUMMYFUNCTION("""COMPUTED_VALUE"""),"voUDMinBbwc")</f>
        <v>voUDMinBbwc</v>
      </c>
      <c r="R259" s="5">
        <f ca="1">IFERROR(__xludf.DUMMYFUNCTION("""COMPUTED_VALUE"""),410)</f>
        <v>410</v>
      </c>
      <c r="S259" s="62">
        <f ca="1">IFERROR(__xludf.DUMMYFUNCTION("""COMPUTED_VALUE"""),0.007142857)</f>
        <v>7.1428569999999999E-3</v>
      </c>
      <c r="T259" s="63" t="str">
        <f ca="1">IFERROR(__xludf.DUMMYFUNCTION("""COMPUTED_VALUE"""),"https://storage.googleapis.com/glide-prod.appspot.com/uploads-v2/ly7o78grxPaC6KdgvbpS/pub/3aRdSog0vUtuqPE8AJKD.png")</f>
        <v>https://storage.googleapis.com/glide-prod.appspot.com/uploads-v2/ly7o78grxPaC6KdgvbpS/pub/3aRdSog0vUtuqPE8AJKD.png</v>
      </c>
      <c r="U259" s="5" t="str">
        <f ca="1">IFERROR(__xludf.DUMMYFUNCTION("""COMPUTED_VALUE"""),"EQUIPOS PARA SERVICIOS INDUSTRIALESCOMPRESOR REFRIGERACION RECIPROCANTE 4")</f>
        <v>EQUIPOS PARA SERVICIOS INDUSTRIALESCOMPRESOR REFRIGERACION RECIPROCANTE 4</v>
      </c>
      <c r="V259" s="5"/>
      <c r="W259" s="5" t="b">
        <f ca="1">IFERROR(__xludf.DUMMYFUNCTION("""COMPUTED_VALUE"""),TRUE)</f>
        <v>1</v>
      </c>
      <c r="X259" s="5" t="str">
        <f ca="1">IFERROR(__xludf.DUMMYFUNCTION("""COMPUTED_VALUE"""),"wmazorra@postobon.com.co,aprmttoyu@postobon.com.co,aprmyu@postobon.com.co,wmora@postobon.com.co,efzapata@postobon.com.co")</f>
        <v>wmazorra@postobon.com.co,aprmttoyu@postobon.com.co,aprmyu@postobon.com.co,wmora@postobon.com.co,efzapata@postobon.com.co</v>
      </c>
      <c r="Y259" s="5" t="str">
        <f ca="1">IFERROR(__xludf.DUMMYFUNCTION("""COMPUTED_VALUE"""),"wmazorra@postobon.com.co")</f>
        <v>wmazorra@postobon.com.co</v>
      </c>
      <c r="Z259" s="5" t="str">
        <f ca="1">IFERROR(__xludf.DUMMYFUNCTION("""COMPUTED_VALUE"""),"0m6LmhhbR5-LSwoeH1.3Eg")</f>
        <v>0m6LmhhbR5-LSwoeH1.3Eg</v>
      </c>
      <c r="AA259" s="5"/>
      <c r="AB259" s="5"/>
      <c r="AC259" s="5"/>
      <c r="AD259" s="5">
        <f ca="1">IFERROR(__xludf.DUMMYFUNCTION("""COMPUTED_VALUE"""),58)</f>
        <v>58</v>
      </c>
      <c r="AE259" s="5">
        <f ca="1">IFERROR(__xludf.DUMMYFUNCTION("""COMPUTED_VALUE"""),58)</f>
        <v>58</v>
      </c>
      <c r="AF259" s="5" t="b">
        <f ca="1">IFERROR(__xludf.DUMMYFUNCTION("""COMPUTED_VALUE"""),FALSE)</f>
        <v>0</v>
      </c>
      <c r="AG259" s="5" t="str">
        <f ca="1">IFERROR(__xludf.DUMMYFUNCTION("""COMPUTED_VALUE"""),"INSPECCIONES REALIZADAS")</f>
        <v>INSPECCIONES REALIZADAS</v>
      </c>
      <c r="AH259" s="5"/>
    </row>
    <row r="260" spans="1:34">
      <c r="A260" s="5" t="str">
        <f ca="1">IFERROR(__xludf.DUMMYFUNCTION("""COMPUTED_VALUE"""),"EQUIPOS PARA SERVICIOS INDUSTRIALES")</f>
        <v>EQUIPOS PARA SERVICIOS INDUSTRIALES</v>
      </c>
      <c r="B260" s="5">
        <f ca="1">IFERROR(__xludf.DUMMYFUNCTION("""COMPUTED_VALUE"""),629054)</f>
        <v>629054</v>
      </c>
      <c r="C260" s="5" t="str">
        <f ca="1">IFERROR(__xludf.DUMMYFUNCTION("""COMPUTED_VALUE"""),"COMPRESOR REFRIGERACION RECIPROCANTE 4")</f>
        <v>COMPRESOR REFRIGERACION RECIPROCANTE 4</v>
      </c>
      <c r="D260" s="5">
        <f ca="1">IFERROR(__xludf.DUMMYFUNCTION("""COMPUTED_VALUE"""),13247486)</f>
        <v>13247486</v>
      </c>
      <c r="E260" s="5" t="str">
        <f ca="1">IFERROR(__xludf.DUMMYFUNCTION("""COMPUTED_VALUE"""),"INSPECCION SEMANAL COMPRESOR REFRIGERACI")</f>
        <v>INSPECCION SEMANAL COMPRESOR REFRIGERACI</v>
      </c>
      <c r="F260" s="5" t="str">
        <f ca="1">IFERROR(__xludf.DUMMYFUNCTION("""COMPUTED_VALUE"""),"BOMBA ACEITE")</f>
        <v>BOMBA ACEITE</v>
      </c>
      <c r="G260" s="5" t="b">
        <f ca="1">IFERROR(__xludf.DUMMYFUNCTION("""COMPUTED_VALUE"""),TRUE)</f>
        <v>1</v>
      </c>
      <c r="H260" s="5"/>
      <c r="I260" s="5"/>
      <c r="J260" s="5">
        <f ca="1">IFERROR(__xludf.DUMMYFUNCTION("""COMPUTED_VALUE"""),13247486)</f>
        <v>13247486</v>
      </c>
      <c r="K260" s="5"/>
      <c r="L260" s="18">
        <f ca="1">IFERROR(__xludf.DUMMYFUNCTION("""COMPUTED_VALUE"""),45324)</f>
        <v>45324</v>
      </c>
      <c r="M260" s="18">
        <f ca="1">IFERROR(__xludf.DUMMYFUNCTION("""COMPUTED_VALUE"""),45324)</f>
        <v>45324</v>
      </c>
      <c r="N260" s="5" t="str">
        <f ca="1">IFERROR(__xludf.DUMMYFUNCTION("""COMPUTED_VALUE"""),"MUÑOZ VALENCIA JEFFERSON")</f>
        <v>MUÑOZ VALENCIA JEFFERSON</v>
      </c>
      <c r="O260" s="2">
        <f ca="1">IFERROR(__xludf.DUMMYFUNCTION("""COMPUTED_VALUE"""),0.007142857)</f>
        <v>7.1428569999999999E-3</v>
      </c>
      <c r="P260" s="5">
        <f ca="1">IFERROR(__xludf.DUMMYFUNCTION("""COMPUTED_VALUE"""),20062055)</f>
        <v>20062055</v>
      </c>
      <c r="Q260" s="5" t="str">
        <f ca="1">IFERROR(__xludf.DUMMYFUNCTION("""COMPUTED_VALUE"""),"becwU9JGy-8")</f>
        <v>becwU9JGy-8</v>
      </c>
      <c r="R260" s="5">
        <f ca="1">IFERROR(__xludf.DUMMYFUNCTION("""COMPUTED_VALUE"""),410)</f>
        <v>410</v>
      </c>
      <c r="S260" s="62">
        <f ca="1">IFERROR(__xludf.DUMMYFUNCTION("""COMPUTED_VALUE"""),0.007142857)</f>
        <v>7.1428569999999999E-3</v>
      </c>
      <c r="T260" s="63" t="str">
        <f ca="1">IFERROR(__xludf.DUMMYFUNCTION("""COMPUTED_VALUE"""),"https://storage.googleapis.com/glide-prod.appspot.com/uploads-v2/ly7o78grxPaC6KdgvbpS/pub/3aRdSog0vUtuqPE8AJKD.png")</f>
        <v>https://storage.googleapis.com/glide-prod.appspot.com/uploads-v2/ly7o78grxPaC6KdgvbpS/pub/3aRdSog0vUtuqPE8AJKD.png</v>
      </c>
      <c r="U260" s="5" t="str">
        <f ca="1">IFERROR(__xludf.DUMMYFUNCTION("""COMPUTED_VALUE"""),"EQUIPOS PARA SERVICIOS INDUSTRIALESCOMPRESOR REFRIGERACION RECIPROCANTE 4")</f>
        <v>EQUIPOS PARA SERVICIOS INDUSTRIALESCOMPRESOR REFRIGERACION RECIPROCANTE 4</v>
      </c>
      <c r="V260" s="5"/>
      <c r="W260" s="5" t="b">
        <f ca="1">IFERROR(__xludf.DUMMYFUNCTION("""COMPUTED_VALUE"""),TRUE)</f>
        <v>1</v>
      </c>
      <c r="X260" s="5" t="str">
        <f ca="1">IFERROR(__xludf.DUMMYFUNCTION("""COMPUTED_VALUE"""),"wmazorra@postobon.com.co,aprmttoyu@postobon.com.co,aprmyu@postobon.com.co,wmora@postobon.com.co,efzapata@postobon.com.co")</f>
        <v>wmazorra@postobon.com.co,aprmttoyu@postobon.com.co,aprmyu@postobon.com.co,wmora@postobon.com.co,efzapata@postobon.com.co</v>
      </c>
      <c r="Y260" s="5" t="str">
        <f ca="1">IFERROR(__xludf.DUMMYFUNCTION("""COMPUTED_VALUE"""),"wmazorra@postobon.com.co")</f>
        <v>wmazorra@postobon.com.co</v>
      </c>
      <c r="Z260" s="5" t="str">
        <f ca="1">IFERROR(__xludf.DUMMYFUNCTION("""COMPUTED_VALUE"""),"r5bqCPT8S4SUJh14iDLW1A")</f>
        <v>r5bqCPT8S4SUJh14iDLW1A</v>
      </c>
      <c r="AA260" s="5"/>
      <c r="AB260" s="5"/>
      <c r="AC260" s="5"/>
      <c r="AD260" s="5">
        <f ca="1">IFERROR(__xludf.DUMMYFUNCTION("""COMPUTED_VALUE"""),58)</f>
        <v>58</v>
      </c>
      <c r="AE260" s="5">
        <f ca="1">IFERROR(__xludf.DUMMYFUNCTION("""COMPUTED_VALUE"""),58)</f>
        <v>58</v>
      </c>
      <c r="AF260" s="5" t="b">
        <f ca="1">IFERROR(__xludf.DUMMYFUNCTION("""COMPUTED_VALUE"""),FALSE)</f>
        <v>0</v>
      </c>
      <c r="AG260" s="5" t="str">
        <f ca="1">IFERROR(__xludf.DUMMYFUNCTION("""COMPUTED_VALUE"""),"INSPECCIONES REALIZADAS")</f>
        <v>INSPECCIONES REALIZADAS</v>
      </c>
      <c r="AH260" s="5"/>
    </row>
    <row r="261" spans="1:34">
      <c r="A261" s="5" t="str">
        <f ca="1">IFERROR(__xludf.DUMMYFUNCTION("""COMPUTED_VALUE"""),"EQUIPOS PARA SERVICIOS INDUSTRIALES")</f>
        <v>EQUIPOS PARA SERVICIOS INDUSTRIALES</v>
      </c>
      <c r="B261" s="5">
        <f ca="1">IFERROR(__xludf.DUMMYFUNCTION("""COMPUTED_VALUE"""),629054)</f>
        <v>629054</v>
      </c>
      <c r="C261" s="5" t="str">
        <f ca="1">IFERROR(__xludf.DUMMYFUNCTION("""COMPUTED_VALUE"""),"COMPRESOR REFRIGERACION RECIPROCANTE 4")</f>
        <v>COMPRESOR REFRIGERACION RECIPROCANTE 4</v>
      </c>
      <c r="D261" s="5">
        <f ca="1">IFERROR(__xludf.DUMMYFUNCTION("""COMPUTED_VALUE"""),13247486)</f>
        <v>13247486</v>
      </c>
      <c r="E261" s="5" t="str">
        <f ca="1">IFERROR(__xludf.DUMMYFUNCTION("""COMPUTED_VALUE"""),"INSPECCION SEMANAL COMPRESOR REFRIGERACI")</f>
        <v>INSPECCION SEMANAL COMPRESOR REFRIGERACI</v>
      </c>
      <c r="F261" s="5" t="str">
        <f ca="1">IFERROR(__xludf.DUMMYFUNCTION("""COMPUTED_VALUE"""),"INSTRUMENTACION")</f>
        <v>INSTRUMENTACION</v>
      </c>
      <c r="G261" s="5" t="b">
        <f ca="1">IFERROR(__xludf.DUMMYFUNCTION("""COMPUTED_VALUE"""),TRUE)</f>
        <v>1</v>
      </c>
      <c r="H261" s="5"/>
      <c r="I261" s="5"/>
      <c r="J261" s="5">
        <f ca="1">IFERROR(__xludf.DUMMYFUNCTION("""COMPUTED_VALUE"""),13247486)</f>
        <v>13247486</v>
      </c>
      <c r="K261" s="5"/>
      <c r="L261" s="18">
        <f ca="1">IFERROR(__xludf.DUMMYFUNCTION("""COMPUTED_VALUE"""),45324)</f>
        <v>45324</v>
      </c>
      <c r="M261" s="18">
        <f ca="1">IFERROR(__xludf.DUMMYFUNCTION("""COMPUTED_VALUE"""),45324)</f>
        <v>45324</v>
      </c>
      <c r="N261" s="5" t="str">
        <f ca="1">IFERROR(__xludf.DUMMYFUNCTION("""COMPUTED_VALUE"""),"MUÑOZ VALENCIA JEFFERSON")</f>
        <v>MUÑOZ VALENCIA JEFFERSON</v>
      </c>
      <c r="O261" s="2">
        <f ca="1">IFERROR(__xludf.DUMMYFUNCTION("""COMPUTED_VALUE"""),0.007142857)</f>
        <v>7.1428569999999999E-3</v>
      </c>
      <c r="P261" s="5">
        <f ca="1">IFERROR(__xludf.DUMMYFUNCTION("""COMPUTED_VALUE"""),20062055)</f>
        <v>20062055</v>
      </c>
      <c r="Q261" s="5" t="str">
        <f ca="1">IFERROR(__xludf.DUMMYFUNCTION("""COMPUTED_VALUE"""),"Ru3XR8leC-Q")</f>
        <v>Ru3XR8leC-Q</v>
      </c>
      <c r="R261" s="5">
        <f ca="1">IFERROR(__xludf.DUMMYFUNCTION("""COMPUTED_VALUE"""),410)</f>
        <v>410</v>
      </c>
      <c r="S261" s="62">
        <f ca="1">IFERROR(__xludf.DUMMYFUNCTION("""COMPUTED_VALUE"""),0.007142857)</f>
        <v>7.1428569999999999E-3</v>
      </c>
      <c r="T261" s="63" t="str">
        <f ca="1">IFERROR(__xludf.DUMMYFUNCTION("""COMPUTED_VALUE"""),"https://storage.googleapis.com/glide-prod.appspot.com/uploads-v2/ly7o78grxPaC6KdgvbpS/pub/3aRdSog0vUtuqPE8AJKD.png")</f>
        <v>https://storage.googleapis.com/glide-prod.appspot.com/uploads-v2/ly7o78grxPaC6KdgvbpS/pub/3aRdSog0vUtuqPE8AJKD.png</v>
      </c>
      <c r="U261" s="5" t="str">
        <f ca="1">IFERROR(__xludf.DUMMYFUNCTION("""COMPUTED_VALUE"""),"EQUIPOS PARA SERVICIOS INDUSTRIALESCOMPRESOR REFRIGERACION RECIPROCANTE 4")</f>
        <v>EQUIPOS PARA SERVICIOS INDUSTRIALESCOMPRESOR REFRIGERACION RECIPROCANTE 4</v>
      </c>
      <c r="V261" s="5"/>
      <c r="W261" s="5" t="b">
        <f ca="1">IFERROR(__xludf.DUMMYFUNCTION("""COMPUTED_VALUE"""),TRUE)</f>
        <v>1</v>
      </c>
      <c r="X261" s="5" t="str">
        <f ca="1">IFERROR(__xludf.DUMMYFUNCTION("""COMPUTED_VALUE"""),"wmazorra@postobon.com.co,aprmttoyu@postobon.com.co,aprmyu@postobon.com.co,wmora@postobon.com.co,efzapata@postobon.com.co")</f>
        <v>wmazorra@postobon.com.co,aprmttoyu@postobon.com.co,aprmyu@postobon.com.co,wmora@postobon.com.co,efzapata@postobon.com.co</v>
      </c>
      <c r="Y261" s="5" t="str">
        <f ca="1">IFERROR(__xludf.DUMMYFUNCTION("""COMPUTED_VALUE"""),"wmazorra@postobon.com.co")</f>
        <v>wmazorra@postobon.com.co</v>
      </c>
      <c r="Z261" s="5" t="str">
        <f ca="1">IFERROR(__xludf.DUMMYFUNCTION("""COMPUTED_VALUE"""),"Vnv.ylZwQyuoK3fOAD3Imw")</f>
        <v>Vnv.ylZwQyuoK3fOAD3Imw</v>
      </c>
      <c r="AA261" s="5"/>
      <c r="AB261" s="5"/>
      <c r="AC261" s="5"/>
      <c r="AD261" s="5">
        <f ca="1">IFERROR(__xludf.DUMMYFUNCTION("""COMPUTED_VALUE"""),58)</f>
        <v>58</v>
      </c>
      <c r="AE261" s="5">
        <f ca="1">IFERROR(__xludf.DUMMYFUNCTION("""COMPUTED_VALUE"""),58)</f>
        <v>58</v>
      </c>
      <c r="AF261" s="5" t="b">
        <f ca="1">IFERROR(__xludf.DUMMYFUNCTION("""COMPUTED_VALUE"""),FALSE)</f>
        <v>0</v>
      </c>
      <c r="AG261" s="5" t="str">
        <f ca="1">IFERROR(__xludf.DUMMYFUNCTION("""COMPUTED_VALUE"""),"INSPECCIONES REALIZADAS")</f>
        <v>INSPECCIONES REALIZADAS</v>
      </c>
      <c r="AH261" s="5"/>
    </row>
    <row r="262" spans="1:34">
      <c r="A262" s="5" t="str">
        <f ca="1">IFERROR(__xludf.DUMMYFUNCTION("""COMPUTED_VALUE"""),"EQUIPOS PARA SERVICIOS INDUSTRIALES")</f>
        <v>EQUIPOS PARA SERVICIOS INDUSTRIALES</v>
      </c>
      <c r="B262" s="5">
        <f ca="1">IFERROR(__xludf.DUMMYFUNCTION("""COMPUTED_VALUE"""),629054)</f>
        <v>629054</v>
      </c>
      <c r="C262" s="5" t="str">
        <f ca="1">IFERROR(__xludf.DUMMYFUNCTION("""COMPUTED_VALUE"""),"COMPRESOR REFRIGERACION RECIPROCANTE 4")</f>
        <v>COMPRESOR REFRIGERACION RECIPROCANTE 4</v>
      </c>
      <c r="D262" s="5">
        <f ca="1">IFERROR(__xludf.DUMMYFUNCTION("""COMPUTED_VALUE"""),13247486)</f>
        <v>13247486</v>
      </c>
      <c r="E262" s="5" t="str">
        <f ca="1">IFERROR(__xludf.DUMMYFUNCTION("""COMPUTED_VALUE"""),"INSPECCION SEMANAL COMPRESOR REFRIGERACI")</f>
        <v>INSPECCION SEMANAL COMPRESOR REFRIGERACI</v>
      </c>
      <c r="F262" s="5" t="str">
        <f ca="1">IFERROR(__xludf.DUMMYFUNCTION("""COMPUTED_VALUE"""),"ESTADO GRAL PINTURA")</f>
        <v>ESTADO GRAL PINTURA</v>
      </c>
      <c r="G262" s="5" t="b">
        <f ca="1">IFERROR(__xludf.DUMMYFUNCTION("""COMPUTED_VALUE"""),TRUE)</f>
        <v>1</v>
      </c>
      <c r="H262" s="5"/>
      <c r="I262" s="5"/>
      <c r="J262" s="5">
        <f ca="1">IFERROR(__xludf.DUMMYFUNCTION("""COMPUTED_VALUE"""),13247486)</f>
        <v>13247486</v>
      </c>
      <c r="K262" s="5"/>
      <c r="L262" s="18">
        <f ca="1">IFERROR(__xludf.DUMMYFUNCTION("""COMPUTED_VALUE"""),45324)</f>
        <v>45324</v>
      </c>
      <c r="M262" s="18">
        <f ca="1">IFERROR(__xludf.DUMMYFUNCTION("""COMPUTED_VALUE"""),45324)</f>
        <v>45324</v>
      </c>
      <c r="N262" s="5" t="str">
        <f ca="1">IFERROR(__xludf.DUMMYFUNCTION("""COMPUTED_VALUE"""),"MUÑOZ VALENCIA JEFFERSON")</f>
        <v>MUÑOZ VALENCIA JEFFERSON</v>
      </c>
      <c r="O262" s="2">
        <f ca="1">IFERROR(__xludf.DUMMYFUNCTION("""COMPUTED_VALUE"""),0.007142857)</f>
        <v>7.1428569999999999E-3</v>
      </c>
      <c r="P262" s="5">
        <f ca="1">IFERROR(__xludf.DUMMYFUNCTION("""COMPUTED_VALUE"""),20062055)</f>
        <v>20062055</v>
      </c>
      <c r="Q262" s="5" t="str">
        <f ca="1">IFERROR(__xludf.DUMMYFUNCTION("""COMPUTED_VALUE"""),"_rgexjNjLkI")</f>
        <v>_rgexjNjLkI</v>
      </c>
      <c r="R262" s="5">
        <f ca="1">IFERROR(__xludf.DUMMYFUNCTION("""COMPUTED_VALUE"""),410)</f>
        <v>410</v>
      </c>
      <c r="S262" s="62">
        <f ca="1">IFERROR(__xludf.DUMMYFUNCTION("""COMPUTED_VALUE"""),0.007142857)</f>
        <v>7.1428569999999999E-3</v>
      </c>
      <c r="T262" s="63" t="str">
        <f ca="1">IFERROR(__xludf.DUMMYFUNCTION("""COMPUTED_VALUE"""),"https://storage.googleapis.com/glide-prod.appspot.com/uploads-v2/ly7o78grxPaC6KdgvbpS/pub/3aRdSog0vUtuqPE8AJKD.png")</f>
        <v>https://storage.googleapis.com/glide-prod.appspot.com/uploads-v2/ly7o78grxPaC6KdgvbpS/pub/3aRdSog0vUtuqPE8AJKD.png</v>
      </c>
      <c r="U262" s="5" t="str">
        <f ca="1">IFERROR(__xludf.DUMMYFUNCTION("""COMPUTED_VALUE"""),"EQUIPOS PARA SERVICIOS INDUSTRIALESCOMPRESOR REFRIGERACION RECIPROCANTE 4")</f>
        <v>EQUIPOS PARA SERVICIOS INDUSTRIALESCOMPRESOR REFRIGERACION RECIPROCANTE 4</v>
      </c>
      <c r="V262" s="5"/>
      <c r="W262" s="5" t="b">
        <f ca="1">IFERROR(__xludf.DUMMYFUNCTION("""COMPUTED_VALUE"""),TRUE)</f>
        <v>1</v>
      </c>
      <c r="X262" s="5" t="str">
        <f ca="1">IFERROR(__xludf.DUMMYFUNCTION("""COMPUTED_VALUE"""),"wmazorra@postobon.com.co,aprmttoyu@postobon.com.co,aprmyu@postobon.com.co,wmora@postobon.com.co,efzapata@postobon.com.co")</f>
        <v>wmazorra@postobon.com.co,aprmttoyu@postobon.com.co,aprmyu@postobon.com.co,wmora@postobon.com.co,efzapata@postobon.com.co</v>
      </c>
      <c r="Y262" s="5" t="str">
        <f ca="1">IFERROR(__xludf.DUMMYFUNCTION("""COMPUTED_VALUE"""),"wmazorra@postobon.com.co")</f>
        <v>wmazorra@postobon.com.co</v>
      </c>
      <c r="Z262" s="5" t="str">
        <f ca="1">IFERROR(__xludf.DUMMYFUNCTION("""COMPUTED_VALUE"""),"p0FeZMi0TwC634Lq-PlRew")</f>
        <v>p0FeZMi0TwC634Lq-PlRew</v>
      </c>
      <c r="AA262" s="5"/>
      <c r="AB262" s="5"/>
      <c r="AC262" s="5"/>
      <c r="AD262" s="5">
        <f ca="1">IFERROR(__xludf.DUMMYFUNCTION("""COMPUTED_VALUE"""),58)</f>
        <v>58</v>
      </c>
      <c r="AE262" s="5">
        <f ca="1">IFERROR(__xludf.DUMMYFUNCTION("""COMPUTED_VALUE"""),58)</f>
        <v>58</v>
      </c>
      <c r="AF262" s="5" t="b">
        <f ca="1">IFERROR(__xludf.DUMMYFUNCTION("""COMPUTED_VALUE"""),FALSE)</f>
        <v>0</v>
      </c>
      <c r="AG262" s="5" t="str">
        <f ca="1">IFERROR(__xludf.DUMMYFUNCTION("""COMPUTED_VALUE"""),"INSPECCIONES REALIZADAS")</f>
        <v>INSPECCIONES REALIZADAS</v>
      </c>
      <c r="AH262" s="5"/>
    </row>
    <row r="263" spans="1:34">
      <c r="A263" s="5" t="str">
        <f ca="1">IFERROR(__xludf.DUMMYFUNCTION("""COMPUTED_VALUE"""),"EQUIPOS PARA SERVICIOS INDUSTRIALES")</f>
        <v>EQUIPOS PARA SERVICIOS INDUSTRIALES</v>
      </c>
      <c r="B263" s="5">
        <f ca="1">IFERROR(__xludf.DUMMYFUNCTION("""COMPUTED_VALUE"""),629054)</f>
        <v>629054</v>
      </c>
      <c r="C263" s="5" t="str">
        <f ca="1">IFERROR(__xludf.DUMMYFUNCTION("""COMPUTED_VALUE"""),"COMPRESOR REFRIGERACION RECIPROCANTE 4")</f>
        <v>COMPRESOR REFRIGERACION RECIPROCANTE 4</v>
      </c>
      <c r="D263" s="5">
        <f ca="1">IFERROR(__xludf.DUMMYFUNCTION("""COMPUTED_VALUE"""),13247486)</f>
        <v>13247486</v>
      </c>
      <c r="E263" s="5" t="str">
        <f ca="1">IFERROR(__xludf.DUMMYFUNCTION("""COMPUTED_VALUE"""),"INSPECCION SEMANAL COMPRESOR REFRIGERACI")</f>
        <v>INSPECCION SEMANAL COMPRESOR REFRIGERACI</v>
      </c>
      <c r="F263" s="5" t="str">
        <f ca="1">IFERROR(__xludf.DUMMYFUNCTION("""COMPUTED_VALUE"""),"INSP. TABLERO ELECTRICO/CLIMATIZADOR")</f>
        <v>INSP. TABLERO ELECTRICO/CLIMATIZADOR</v>
      </c>
      <c r="G263" s="5" t="b">
        <f ca="1">IFERROR(__xludf.DUMMYFUNCTION("""COMPUTED_VALUE"""),TRUE)</f>
        <v>1</v>
      </c>
      <c r="H263" s="5"/>
      <c r="I263" s="5"/>
      <c r="J263" s="5">
        <f ca="1">IFERROR(__xludf.DUMMYFUNCTION("""COMPUTED_VALUE"""),13247486)</f>
        <v>13247486</v>
      </c>
      <c r="K263" s="5"/>
      <c r="L263" s="18">
        <f ca="1">IFERROR(__xludf.DUMMYFUNCTION("""COMPUTED_VALUE"""),45324)</f>
        <v>45324</v>
      </c>
      <c r="M263" s="18">
        <f ca="1">IFERROR(__xludf.DUMMYFUNCTION("""COMPUTED_VALUE"""),45324)</f>
        <v>45324</v>
      </c>
      <c r="N263" s="5" t="str">
        <f ca="1">IFERROR(__xludf.DUMMYFUNCTION("""COMPUTED_VALUE"""),"MUÑOZ VALENCIA JEFFERSON")</f>
        <v>MUÑOZ VALENCIA JEFFERSON</v>
      </c>
      <c r="O263" s="2">
        <f ca="1">IFERROR(__xludf.DUMMYFUNCTION("""COMPUTED_VALUE"""),0.007142857)</f>
        <v>7.1428569999999999E-3</v>
      </c>
      <c r="P263" s="5">
        <f ca="1">IFERROR(__xludf.DUMMYFUNCTION("""COMPUTED_VALUE"""),20062055)</f>
        <v>20062055</v>
      </c>
      <c r="Q263" s="5" t="str">
        <f ca="1">IFERROR(__xludf.DUMMYFUNCTION("""COMPUTED_VALUE"""),"zhVyIAIbo98")</f>
        <v>zhVyIAIbo98</v>
      </c>
      <c r="R263" s="5">
        <f ca="1">IFERROR(__xludf.DUMMYFUNCTION("""COMPUTED_VALUE"""),410)</f>
        <v>410</v>
      </c>
      <c r="S263" s="62">
        <f ca="1">IFERROR(__xludf.DUMMYFUNCTION("""COMPUTED_VALUE"""),0.007142857)</f>
        <v>7.1428569999999999E-3</v>
      </c>
      <c r="T263" s="63" t="str">
        <f ca="1">IFERROR(__xludf.DUMMYFUNCTION("""COMPUTED_VALUE"""),"https://storage.googleapis.com/glide-prod.appspot.com/uploads-v2/ly7o78grxPaC6KdgvbpS/pub/3aRdSog0vUtuqPE8AJKD.png")</f>
        <v>https://storage.googleapis.com/glide-prod.appspot.com/uploads-v2/ly7o78grxPaC6KdgvbpS/pub/3aRdSog0vUtuqPE8AJKD.png</v>
      </c>
      <c r="U263" s="5" t="str">
        <f ca="1">IFERROR(__xludf.DUMMYFUNCTION("""COMPUTED_VALUE"""),"EQUIPOS PARA SERVICIOS INDUSTRIALESCOMPRESOR REFRIGERACION RECIPROCANTE 4")</f>
        <v>EQUIPOS PARA SERVICIOS INDUSTRIALESCOMPRESOR REFRIGERACION RECIPROCANTE 4</v>
      </c>
      <c r="V263" s="5"/>
      <c r="W263" s="5" t="b">
        <f ca="1">IFERROR(__xludf.DUMMYFUNCTION("""COMPUTED_VALUE"""),TRUE)</f>
        <v>1</v>
      </c>
      <c r="X263" s="5" t="str">
        <f ca="1">IFERROR(__xludf.DUMMYFUNCTION("""COMPUTED_VALUE"""),"wmazorra@postobon.com.co,aprmttoyu@postobon.com.co,aprmyu@postobon.com.co,wmora@postobon.com.co,efzapata@postobon.com.co")</f>
        <v>wmazorra@postobon.com.co,aprmttoyu@postobon.com.co,aprmyu@postobon.com.co,wmora@postobon.com.co,efzapata@postobon.com.co</v>
      </c>
      <c r="Y263" s="5" t="str">
        <f ca="1">IFERROR(__xludf.DUMMYFUNCTION("""COMPUTED_VALUE"""),"wmazorra@postobon.com.co")</f>
        <v>wmazorra@postobon.com.co</v>
      </c>
      <c r="Z263" s="5" t="str">
        <f ca="1">IFERROR(__xludf.DUMMYFUNCTION("""COMPUTED_VALUE"""),"KxBQPErARWaxNFo5hpes1A")</f>
        <v>KxBQPErARWaxNFo5hpes1A</v>
      </c>
      <c r="AA263" s="5"/>
      <c r="AB263" s="5"/>
      <c r="AC263" s="5"/>
      <c r="AD263" s="5">
        <f ca="1">IFERROR(__xludf.DUMMYFUNCTION("""COMPUTED_VALUE"""),58)</f>
        <v>58</v>
      </c>
      <c r="AE263" s="5">
        <f ca="1">IFERROR(__xludf.DUMMYFUNCTION("""COMPUTED_VALUE"""),58)</f>
        <v>58</v>
      </c>
      <c r="AF263" s="5" t="b">
        <f ca="1">IFERROR(__xludf.DUMMYFUNCTION("""COMPUTED_VALUE"""),FALSE)</f>
        <v>0</v>
      </c>
      <c r="AG263" s="5" t="str">
        <f ca="1">IFERROR(__xludf.DUMMYFUNCTION("""COMPUTED_VALUE"""),"INSPECCIONES REALIZADAS")</f>
        <v>INSPECCIONES REALIZADAS</v>
      </c>
      <c r="AH263" s="5"/>
    </row>
    <row r="264" spans="1:34">
      <c r="A264" s="5" t="str">
        <f ca="1">IFERROR(__xludf.DUMMYFUNCTION("""COMPUTED_VALUE"""),"EQUIPOS PARA SERVICIOS INDUSTRIALES")</f>
        <v>EQUIPOS PARA SERVICIOS INDUSTRIALES</v>
      </c>
      <c r="B264" s="5">
        <f ca="1">IFERROR(__xludf.DUMMYFUNCTION("""COMPUTED_VALUE"""),628831)</f>
        <v>628831</v>
      </c>
      <c r="C264" s="5" t="str">
        <f ca="1">IFERROR(__xludf.DUMMYFUNCTION("""COMPUTED_VALUE"""),"COMPRESOR REFRIGERACION RECIPROCANTE 2")</f>
        <v>COMPRESOR REFRIGERACION RECIPROCANTE 2</v>
      </c>
      <c r="D264" s="5">
        <f ca="1">IFERROR(__xludf.DUMMYFUNCTION("""COMPUTED_VALUE"""),13247482)</f>
        <v>13247482</v>
      </c>
      <c r="E264" s="5" t="str">
        <f ca="1">IFERROR(__xludf.DUMMYFUNCTION("""COMPUTED_VALUE"""),"INSPECCION SEMANAL COMPRESOR REFRIGERACI")</f>
        <v>INSPECCION SEMANAL COMPRESOR REFRIGERACI</v>
      </c>
      <c r="F264" s="5" t="str">
        <f ca="1">IFERROR(__xludf.DUMMYFUNCTION("""COMPUTED_VALUE"""),"NIVEL ACEITE")</f>
        <v>NIVEL ACEITE</v>
      </c>
      <c r="G264" s="5" t="b">
        <f ca="1">IFERROR(__xludf.DUMMYFUNCTION("""COMPUTED_VALUE"""),TRUE)</f>
        <v>1</v>
      </c>
      <c r="H264" s="5"/>
      <c r="I264" s="5"/>
      <c r="J264" s="5">
        <f ca="1">IFERROR(__xludf.DUMMYFUNCTION("""COMPUTED_VALUE"""),13247482)</f>
        <v>13247482</v>
      </c>
      <c r="K264" s="5"/>
      <c r="L264" s="18">
        <f ca="1">IFERROR(__xludf.DUMMYFUNCTION("""COMPUTED_VALUE"""),45324)</f>
        <v>45324</v>
      </c>
      <c r="M264" s="18">
        <f ca="1">IFERROR(__xludf.DUMMYFUNCTION("""COMPUTED_VALUE"""),45324)</f>
        <v>45324</v>
      </c>
      <c r="N264" s="5" t="str">
        <f ca="1">IFERROR(__xludf.DUMMYFUNCTION("""COMPUTED_VALUE"""),"MUÑOZ VALENCIA JEFFERSON")</f>
        <v>MUÑOZ VALENCIA JEFFERSON</v>
      </c>
      <c r="O264" s="2">
        <f ca="1">IFERROR(__xludf.DUMMYFUNCTION("""COMPUTED_VALUE"""),0.007142857)</f>
        <v>7.1428569999999999E-3</v>
      </c>
      <c r="P264" s="5">
        <f ca="1">IFERROR(__xludf.DUMMYFUNCTION("""COMPUTED_VALUE"""),20062055)</f>
        <v>20062055</v>
      </c>
      <c r="Q264" s="5" t="str">
        <f ca="1">IFERROR(__xludf.DUMMYFUNCTION("""COMPUTED_VALUE"""),"bo567vpc2P0")</f>
        <v>bo567vpc2P0</v>
      </c>
      <c r="R264" s="5">
        <f ca="1">IFERROR(__xludf.DUMMYFUNCTION("""COMPUTED_VALUE"""),410)</f>
        <v>410</v>
      </c>
      <c r="S264" s="62">
        <f ca="1">IFERROR(__xludf.DUMMYFUNCTION("""COMPUTED_VALUE"""),0.007142857)</f>
        <v>7.1428569999999999E-3</v>
      </c>
      <c r="T264" s="63" t="str">
        <f ca="1">IFERROR(__xludf.DUMMYFUNCTION("""COMPUTED_VALUE"""),"https://storage.googleapis.com/glide-prod.appspot.com/uploads-v2/ly7o78grxPaC6KdgvbpS/pub/3aRdSog0vUtuqPE8AJKD.png")</f>
        <v>https://storage.googleapis.com/glide-prod.appspot.com/uploads-v2/ly7o78grxPaC6KdgvbpS/pub/3aRdSog0vUtuqPE8AJKD.png</v>
      </c>
      <c r="U264" s="5" t="str">
        <f ca="1">IFERROR(__xludf.DUMMYFUNCTION("""COMPUTED_VALUE"""),"EQUIPOS PARA SERVICIOS INDUSTRIALESCOMPRESOR REFRIGERACION RECIPROCANTE 2")</f>
        <v>EQUIPOS PARA SERVICIOS INDUSTRIALESCOMPRESOR REFRIGERACION RECIPROCANTE 2</v>
      </c>
      <c r="V264" s="5"/>
      <c r="W264" s="5" t="b">
        <f ca="1">IFERROR(__xludf.DUMMYFUNCTION("""COMPUTED_VALUE"""),TRUE)</f>
        <v>1</v>
      </c>
      <c r="X264" s="5" t="str">
        <f ca="1">IFERROR(__xludf.DUMMYFUNCTION("""COMPUTED_VALUE"""),"wmazorra@postobon.com.co,aprmttoyu@postobon.com.co,aprmyu@postobon.com.co,wmora@postobon.com.co,efzapata@postobon.com.co")</f>
        <v>wmazorra@postobon.com.co,aprmttoyu@postobon.com.co,aprmyu@postobon.com.co,wmora@postobon.com.co,efzapata@postobon.com.co</v>
      </c>
      <c r="Y264" s="5" t="str">
        <f ca="1">IFERROR(__xludf.DUMMYFUNCTION("""COMPUTED_VALUE"""),"wmazorra@postobon.com.co")</f>
        <v>wmazorra@postobon.com.co</v>
      </c>
      <c r="Z264" s="5" t="str">
        <f ca="1">IFERROR(__xludf.DUMMYFUNCTION("""COMPUTED_VALUE"""),"CsjQGVJ1QyKcJgeDgiduag")</f>
        <v>CsjQGVJ1QyKcJgeDgiduag</v>
      </c>
      <c r="AA264" s="5"/>
      <c r="AB264" s="5"/>
      <c r="AC264" s="5"/>
      <c r="AD264" s="5">
        <f ca="1">IFERROR(__xludf.DUMMYFUNCTION("""COMPUTED_VALUE"""),58)</f>
        <v>58</v>
      </c>
      <c r="AE264" s="5">
        <f ca="1">IFERROR(__xludf.DUMMYFUNCTION("""COMPUTED_VALUE"""),58)</f>
        <v>58</v>
      </c>
      <c r="AF264" s="5" t="b">
        <f ca="1">IFERROR(__xludf.DUMMYFUNCTION("""COMPUTED_VALUE"""),FALSE)</f>
        <v>0</v>
      </c>
      <c r="AG264" s="5" t="str">
        <f ca="1">IFERROR(__xludf.DUMMYFUNCTION("""COMPUTED_VALUE"""),"INSPECCIONES REALIZADAS")</f>
        <v>INSPECCIONES REALIZADAS</v>
      </c>
      <c r="AH264" s="5"/>
    </row>
    <row r="265" spans="1:34">
      <c r="A265" s="5" t="str">
        <f ca="1">IFERROR(__xludf.DUMMYFUNCTION("""COMPUTED_VALUE"""),"EQUIPOS PARA SERVICIOS INDUSTRIALES")</f>
        <v>EQUIPOS PARA SERVICIOS INDUSTRIALES</v>
      </c>
      <c r="B265" s="5">
        <f ca="1">IFERROR(__xludf.DUMMYFUNCTION("""COMPUTED_VALUE"""),628831)</f>
        <v>628831</v>
      </c>
      <c r="C265" s="5" t="str">
        <f ca="1">IFERROR(__xludf.DUMMYFUNCTION("""COMPUTED_VALUE"""),"COMPRESOR REFRIGERACION RECIPROCANTE 2")</f>
        <v>COMPRESOR REFRIGERACION RECIPROCANTE 2</v>
      </c>
      <c r="D265" s="5">
        <f ca="1">IFERROR(__xludf.DUMMYFUNCTION("""COMPUTED_VALUE"""),13247482)</f>
        <v>13247482</v>
      </c>
      <c r="E265" s="5" t="str">
        <f ca="1">IFERROR(__xludf.DUMMYFUNCTION("""COMPUTED_VALUE"""),"INSPECCION SEMANAL COMPRESOR REFRIGERACI")</f>
        <v>INSPECCION SEMANAL COMPRESOR REFRIGERACI</v>
      </c>
      <c r="F265" s="5" t="str">
        <f ca="1">IFERROR(__xludf.DUMMYFUNCTION("""COMPUTED_VALUE"""),"TEMPERATURA ACEITE")</f>
        <v>TEMPERATURA ACEITE</v>
      </c>
      <c r="G265" s="5" t="b">
        <f ca="1">IFERROR(__xludf.DUMMYFUNCTION("""COMPUTED_VALUE"""),TRUE)</f>
        <v>1</v>
      </c>
      <c r="H265" s="5"/>
      <c r="I265" s="5"/>
      <c r="J265" s="5">
        <f ca="1">IFERROR(__xludf.DUMMYFUNCTION("""COMPUTED_VALUE"""),13247482)</f>
        <v>13247482</v>
      </c>
      <c r="K265" s="5"/>
      <c r="L265" s="18">
        <f ca="1">IFERROR(__xludf.DUMMYFUNCTION("""COMPUTED_VALUE"""),45324)</f>
        <v>45324</v>
      </c>
      <c r="M265" s="18">
        <f ca="1">IFERROR(__xludf.DUMMYFUNCTION("""COMPUTED_VALUE"""),45324)</f>
        <v>45324</v>
      </c>
      <c r="N265" s="5" t="str">
        <f ca="1">IFERROR(__xludf.DUMMYFUNCTION("""COMPUTED_VALUE"""),"MUÑOZ VALENCIA JEFFERSON")</f>
        <v>MUÑOZ VALENCIA JEFFERSON</v>
      </c>
      <c r="O265" s="2">
        <f ca="1">IFERROR(__xludf.DUMMYFUNCTION("""COMPUTED_VALUE"""),0.007142857)</f>
        <v>7.1428569999999999E-3</v>
      </c>
      <c r="P265" s="5">
        <f ca="1">IFERROR(__xludf.DUMMYFUNCTION("""COMPUTED_VALUE"""),20062055)</f>
        <v>20062055</v>
      </c>
      <c r="Q265" s="5" t="str">
        <f ca="1">IFERROR(__xludf.DUMMYFUNCTION("""COMPUTED_VALUE"""),"Ioa4fObimlo")</f>
        <v>Ioa4fObimlo</v>
      </c>
      <c r="R265" s="5">
        <f ca="1">IFERROR(__xludf.DUMMYFUNCTION("""COMPUTED_VALUE"""),410)</f>
        <v>410</v>
      </c>
      <c r="S265" s="62">
        <f ca="1">IFERROR(__xludf.DUMMYFUNCTION("""COMPUTED_VALUE"""),0.007142857)</f>
        <v>7.1428569999999999E-3</v>
      </c>
      <c r="T265" s="63" t="str">
        <f ca="1">IFERROR(__xludf.DUMMYFUNCTION("""COMPUTED_VALUE"""),"https://storage.googleapis.com/glide-prod.appspot.com/uploads-v2/ly7o78grxPaC6KdgvbpS/pub/3aRdSog0vUtuqPE8AJKD.png")</f>
        <v>https://storage.googleapis.com/glide-prod.appspot.com/uploads-v2/ly7o78grxPaC6KdgvbpS/pub/3aRdSog0vUtuqPE8AJKD.png</v>
      </c>
      <c r="U265" s="5" t="str">
        <f ca="1">IFERROR(__xludf.DUMMYFUNCTION("""COMPUTED_VALUE"""),"EQUIPOS PARA SERVICIOS INDUSTRIALESCOMPRESOR REFRIGERACION RECIPROCANTE 2")</f>
        <v>EQUIPOS PARA SERVICIOS INDUSTRIALESCOMPRESOR REFRIGERACION RECIPROCANTE 2</v>
      </c>
      <c r="V265" s="5"/>
      <c r="W265" s="5" t="b">
        <f ca="1">IFERROR(__xludf.DUMMYFUNCTION("""COMPUTED_VALUE"""),TRUE)</f>
        <v>1</v>
      </c>
      <c r="X265" s="5" t="str">
        <f ca="1">IFERROR(__xludf.DUMMYFUNCTION("""COMPUTED_VALUE"""),"wmazorra@postobon.com.co,aprmttoyu@postobon.com.co,aprmyu@postobon.com.co,wmora@postobon.com.co,efzapata@postobon.com.co")</f>
        <v>wmazorra@postobon.com.co,aprmttoyu@postobon.com.co,aprmyu@postobon.com.co,wmora@postobon.com.co,efzapata@postobon.com.co</v>
      </c>
      <c r="Y265" s="5" t="str">
        <f ca="1">IFERROR(__xludf.DUMMYFUNCTION("""COMPUTED_VALUE"""),"wmazorra@postobon.com.co")</f>
        <v>wmazorra@postobon.com.co</v>
      </c>
      <c r="Z265" s="5" t="str">
        <f ca="1">IFERROR(__xludf.DUMMYFUNCTION("""COMPUTED_VALUE"""),"RZ1im6X-S8SmejAYZUTdgA")</f>
        <v>RZ1im6X-S8SmejAYZUTdgA</v>
      </c>
      <c r="AA265" s="5"/>
      <c r="AB265" s="5"/>
      <c r="AC265" s="5"/>
      <c r="AD265" s="5">
        <f ca="1">IFERROR(__xludf.DUMMYFUNCTION("""COMPUTED_VALUE"""),58)</f>
        <v>58</v>
      </c>
      <c r="AE265" s="5">
        <f ca="1">IFERROR(__xludf.DUMMYFUNCTION("""COMPUTED_VALUE"""),58)</f>
        <v>58</v>
      </c>
      <c r="AF265" s="5" t="b">
        <f ca="1">IFERROR(__xludf.DUMMYFUNCTION("""COMPUTED_VALUE"""),FALSE)</f>
        <v>0</v>
      </c>
      <c r="AG265" s="5" t="str">
        <f ca="1">IFERROR(__xludf.DUMMYFUNCTION("""COMPUTED_VALUE"""),"INSPECCIONES REALIZADAS")</f>
        <v>INSPECCIONES REALIZADAS</v>
      </c>
      <c r="AH265" s="5"/>
    </row>
    <row r="266" spans="1:34">
      <c r="A266" s="5" t="str">
        <f ca="1">IFERROR(__xludf.DUMMYFUNCTION("""COMPUTED_VALUE"""),"EQUIPOS PARA SERVICIOS INDUSTRIALES")</f>
        <v>EQUIPOS PARA SERVICIOS INDUSTRIALES</v>
      </c>
      <c r="B266" s="5">
        <f ca="1">IFERROR(__xludf.DUMMYFUNCTION("""COMPUTED_VALUE"""),628831)</f>
        <v>628831</v>
      </c>
      <c r="C266" s="5" t="str">
        <f ca="1">IFERROR(__xludf.DUMMYFUNCTION("""COMPUTED_VALUE"""),"COMPRESOR REFRIGERACION RECIPROCANTE 2")</f>
        <v>COMPRESOR REFRIGERACION RECIPROCANTE 2</v>
      </c>
      <c r="D266" s="5">
        <f ca="1">IFERROR(__xludf.DUMMYFUNCTION("""COMPUTED_VALUE"""),13247482)</f>
        <v>13247482</v>
      </c>
      <c r="E266" s="5" t="str">
        <f ca="1">IFERROR(__xludf.DUMMYFUNCTION("""COMPUTED_VALUE"""),"INSPECCION SEMANAL COMPRESOR REFRIGERACI")</f>
        <v>INSPECCION SEMANAL COMPRESOR REFRIGERACI</v>
      </c>
      <c r="F266" s="5" t="str">
        <f ca="1">IFERROR(__xludf.DUMMYFUNCTION("""COMPUTED_VALUE"""),"ESCAPES AMONIACO")</f>
        <v>ESCAPES AMONIACO</v>
      </c>
      <c r="G266" s="5" t="b">
        <f ca="1">IFERROR(__xludf.DUMMYFUNCTION("""COMPUTED_VALUE"""),TRUE)</f>
        <v>1</v>
      </c>
      <c r="H266" s="5"/>
      <c r="I266" s="5"/>
      <c r="J266" s="5">
        <f ca="1">IFERROR(__xludf.DUMMYFUNCTION("""COMPUTED_VALUE"""),13247482)</f>
        <v>13247482</v>
      </c>
      <c r="K266" s="5"/>
      <c r="L266" s="18">
        <f ca="1">IFERROR(__xludf.DUMMYFUNCTION("""COMPUTED_VALUE"""),45324)</f>
        <v>45324</v>
      </c>
      <c r="M266" s="18">
        <f ca="1">IFERROR(__xludf.DUMMYFUNCTION("""COMPUTED_VALUE"""),45324)</f>
        <v>45324</v>
      </c>
      <c r="N266" s="5" t="str">
        <f ca="1">IFERROR(__xludf.DUMMYFUNCTION("""COMPUTED_VALUE"""),"MUÑOZ VALENCIA JEFFERSON")</f>
        <v>MUÑOZ VALENCIA JEFFERSON</v>
      </c>
      <c r="O266" s="2">
        <f ca="1">IFERROR(__xludf.DUMMYFUNCTION("""COMPUTED_VALUE"""),0.007142857)</f>
        <v>7.1428569999999999E-3</v>
      </c>
      <c r="P266" s="5">
        <f ca="1">IFERROR(__xludf.DUMMYFUNCTION("""COMPUTED_VALUE"""),20062055)</f>
        <v>20062055</v>
      </c>
      <c r="Q266" s="5" t="str">
        <f ca="1">IFERROR(__xludf.DUMMYFUNCTION("""COMPUTED_VALUE"""),"S2GPtduJMTc")</f>
        <v>S2GPtduJMTc</v>
      </c>
      <c r="R266" s="5">
        <f ca="1">IFERROR(__xludf.DUMMYFUNCTION("""COMPUTED_VALUE"""),410)</f>
        <v>410</v>
      </c>
      <c r="S266" s="62">
        <f ca="1">IFERROR(__xludf.DUMMYFUNCTION("""COMPUTED_VALUE"""),0.007142857)</f>
        <v>7.1428569999999999E-3</v>
      </c>
      <c r="T266" s="63" t="str">
        <f ca="1">IFERROR(__xludf.DUMMYFUNCTION("""COMPUTED_VALUE"""),"https://storage.googleapis.com/glide-prod.appspot.com/uploads-v2/ly7o78grxPaC6KdgvbpS/pub/3aRdSog0vUtuqPE8AJKD.png")</f>
        <v>https://storage.googleapis.com/glide-prod.appspot.com/uploads-v2/ly7o78grxPaC6KdgvbpS/pub/3aRdSog0vUtuqPE8AJKD.png</v>
      </c>
      <c r="U266" s="5" t="str">
        <f ca="1">IFERROR(__xludf.DUMMYFUNCTION("""COMPUTED_VALUE"""),"EQUIPOS PARA SERVICIOS INDUSTRIALESCOMPRESOR REFRIGERACION RECIPROCANTE 2")</f>
        <v>EQUIPOS PARA SERVICIOS INDUSTRIALESCOMPRESOR REFRIGERACION RECIPROCANTE 2</v>
      </c>
      <c r="V266" s="5"/>
      <c r="W266" s="5" t="b">
        <f ca="1">IFERROR(__xludf.DUMMYFUNCTION("""COMPUTED_VALUE"""),TRUE)</f>
        <v>1</v>
      </c>
      <c r="X266" s="5" t="str">
        <f ca="1">IFERROR(__xludf.DUMMYFUNCTION("""COMPUTED_VALUE"""),"wmazorra@postobon.com.co,aprmttoyu@postobon.com.co,aprmyu@postobon.com.co,wmora@postobon.com.co,efzapata@postobon.com.co")</f>
        <v>wmazorra@postobon.com.co,aprmttoyu@postobon.com.co,aprmyu@postobon.com.co,wmora@postobon.com.co,efzapata@postobon.com.co</v>
      </c>
      <c r="Y266" s="5" t="str">
        <f ca="1">IFERROR(__xludf.DUMMYFUNCTION("""COMPUTED_VALUE"""),"wmazorra@postobon.com.co")</f>
        <v>wmazorra@postobon.com.co</v>
      </c>
      <c r="Z266" s="5" t="str">
        <f ca="1">IFERROR(__xludf.DUMMYFUNCTION("""COMPUTED_VALUE"""),"fSUkj-h.S5G-8Yaq71rs5A")</f>
        <v>fSUkj-h.S5G-8Yaq71rs5A</v>
      </c>
      <c r="AA266" s="5"/>
      <c r="AB266" s="5"/>
      <c r="AC266" s="5"/>
      <c r="AD266" s="5">
        <f ca="1">IFERROR(__xludf.DUMMYFUNCTION("""COMPUTED_VALUE"""),58)</f>
        <v>58</v>
      </c>
      <c r="AE266" s="5">
        <f ca="1">IFERROR(__xludf.DUMMYFUNCTION("""COMPUTED_VALUE"""),58)</f>
        <v>58</v>
      </c>
      <c r="AF266" s="5" t="b">
        <f ca="1">IFERROR(__xludf.DUMMYFUNCTION("""COMPUTED_VALUE"""),FALSE)</f>
        <v>0</v>
      </c>
      <c r="AG266" s="5" t="str">
        <f ca="1">IFERROR(__xludf.DUMMYFUNCTION("""COMPUTED_VALUE"""),"INSPECCIONES REALIZADAS")</f>
        <v>INSPECCIONES REALIZADAS</v>
      </c>
      <c r="AH266" s="5"/>
    </row>
    <row r="267" spans="1:34">
      <c r="A267" s="5" t="str">
        <f ca="1">IFERROR(__xludf.DUMMYFUNCTION("""COMPUTED_VALUE"""),"EQUIPOS PARA SERVICIOS INDUSTRIALES")</f>
        <v>EQUIPOS PARA SERVICIOS INDUSTRIALES</v>
      </c>
      <c r="B267" s="5">
        <f ca="1">IFERROR(__xludf.DUMMYFUNCTION("""COMPUTED_VALUE"""),628831)</f>
        <v>628831</v>
      </c>
      <c r="C267" s="5" t="str">
        <f ca="1">IFERROR(__xludf.DUMMYFUNCTION("""COMPUTED_VALUE"""),"COMPRESOR REFRIGERACION RECIPROCANTE 2")</f>
        <v>COMPRESOR REFRIGERACION RECIPROCANTE 2</v>
      </c>
      <c r="D267" s="5">
        <f ca="1">IFERROR(__xludf.DUMMYFUNCTION("""COMPUTED_VALUE"""),13247482)</f>
        <v>13247482</v>
      </c>
      <c r="E267" s="5" t="str">
        <f ca="1">IFERROR(__xludf.DUMMYFUNCTION("""COMPUTED_VALUE"""),"INSPECCION SEMANAL COMPRESOR REFRIGERACI")</f>
        <v>INSPECCION SEMANAL COMPRESOR REFRIGERACI</v>
      </c>
      <c r="F267" s="5" t="str">
        <f ca="1">IFERROR(__xludf.DUMMYFUNCTION("""COMPUTED_VALUE"""),"AGUA PARA ENFRIAMIENTO")</f>
        <v>AGUA PARA ENFRIAMIENTO</v>
      </c>
      <c r="G267" s="5" t="b">
        <f ca="1">IFERROR(__xludf.DUMMYFUNCTION("""COMPUTED_VALUE"""),TRUE)</f>
        <v>1</v>
      </c>
      <c r="H267" s="5"/>
      <c r="I267" s="5"/>
      <c r="J267" s="5">
        <f ca="1">IFERROR(__xludf.DUMMYFUNCTION("""COMPUTED_VALUE"""),13247482)</f>
        <v>13247482</v>
      </c>
      <c r="K267" s="5"/>
      <c r="L267" s="18">
        <f ca="1">IFERROR(__xludf.DUMMYFUNCTION("""COMPUTED_VALUE"""),45324)</f>
        <v>45324</v>
      </c>
      <c r="M267" s="18">
        <f ca="1">IFERROR(__xludf.DUMMYFUNCTION("""COMPUTED_VALUE"""),45324)</f>
        <v>45324</v>
      </c>
      <c r="N267" s="5" t="str">
        <f ca="1">IFERROR(__xludf.DUMMYFUNCTION("""COMPUTED_VALUE"""),"MUÑOZ VALENCIA JEFFERSON")</f>
        <v>MUÑOZ VALENCIA JEFFERSON</v>
      </c>
      <c r="O267" s="2">
        <f ca="1">IFERROR(__xludf.DUMMYFUNCTION("""COMPUTED_VALUE"""),0.007142857)</f>
        <v>7.1428569999999999E-3</v>
      </c>
      <c r="P267" s="5">
        <f ca="1">IFERROR(__xludf.DUMMYFUNCTION("""COMPUTED_VALUE"""),20062055)</f>
        <v>20062055</v>
      </c>
      <c r="Q267" s="5" t="str">
        <f ca="1">IFERROR(__xludf.DUMMYFUNCTION("""COMPUTED_VALUE"""),"3Z-UvFknEzc")</f>
        <v>3Z-UvFknEzc</v>
      </c>
      <c r="R267" s="5">
        <f ca="1">IFERROR(__xludf.DUMMYFUNCTION("""COMPUTED_VALUE"""),410)</f>
        <v>410</v>
      </c>
      <c r="S267" s="62">
        <f ca="1">IFERROR(__xludf.DUMMYFUNCTION("""COMPUTED_VALUE"""),0.007142857)</f>
        <v>7.1428569999999999E-3</v>
      </c>
      <c r="T267" s="63" t="str">
        <f ca="1">IFERROR(__xludf.DUMMYFUNCTION("""COMPUTED_VALUE"""),"https://storage.googleapis.com/glide-prod.appspot.com/uploads-v2/ly7o78grxPaC6KdgvbpS/pub/3aRdSog0vUtuqPE8AJKD.png")</f>
        <v>https://storage.googleapis.com/glide-prod.appspot.com/uploads-v2/ly7o78grxPaC6KdgvbpS/pub/3aRdSog0vUtuqPE8AJKD.png</v>
      </c>
      <c r="U267" s="5" t="str">
        <f ca="1">IFERROR(__xludf.DUMMYFUNCTION("""COMPUTED_VALUE"""),"EQUIPOS PARA SERVICIOS INDUSTRIALESCOMPRESOR REFRIGERACION RECIPROCANTE 2")</f>
        <v>EQUIPOS PARA SERVICIOS INDUSTRIALESCOMPRESOR REFRIGERACION RECIPROCANTE 2</v>
      </c>
      <c r="V267" s="5"/>
      <c r="W267" s="5" t="b">
        <f ca="1">IFERROR(__xludf.DUMMYFUNCTION("""COMPUTED_VALUE"""),TRUE)</f>
        <v>1</v>
      </c>
      <c r="X267" s="5" t="str">
        <f ca="1">IFERROR(__xludf.DUMMYFUNCTION("""COMPUTED_VALUE"""),"wmazorra@postobon.com.co,aprmttoyu@postobon.com.co,aprmyu@postobon.com.co,wmora@postobon.com.co,efzapata@postobon.com.co")</f>
        <v>wmazorra@postobon.com.co,aprmttoyu@postobon.com.co,aprmyu@postobon.com.co,wmora@postobon.com.co,efzapata@postobon.com.co</v>
      </c>
      <c r="Y267" s="5" t="str">
        <f ca="1">IFERROR(__xludf.DUMMYFUNCTION("""COMPUTED_VALUE"""),"wmazorra@postobon.com.co")</f>
        <v>wmazorra@postobon.com.co</v>
      </c>
      <c r="Z267" s="5" t="str">
        <f ca="1">IFERROR(__xludf.DUMMYFUNCTION("""COMPUTED_VALUE"""),"jFDaz5veREWXjO7CuEXcfA")</f>
        <v>jFDaz5veREWXjO7CuEXcfA</v>
      </c>
      <c r="AA267" s="5"/>
      <c r="AB267" s="5"/>
      <c r="AC267" s="5"/>
      <c r="AD267" s="5">
        <f ca="1">IFERROR(__xludf.DUMMYFUNCTION("""COMPUTED_VALUE"""),58)</f>
        <v>58</v>
      </c>
      <c r="AE267" s="5">
        <f ca="1">IFERROR(__xludf.DUMMYFUNCTION("""COMPUTED_VALUE"""),58)</f>
        <v>58</v>
      </c>
      <c r="AF267" s="5" t="b">
        <f ca="1">IFERROR(__xludf.DUMMYFUNCTION("""COMPUTED_VALUE"""),FALSE)</f>
        <v>0</v>
      </c>
      <c r="AG267" s="5" t="str">
        <f ca="1">IFERROR(__xludf.DUMMYFUNCTION("""COMPUTED_VALUE"""),"INSPECCIONES REALIZADAS")</f>
        <v>INSPECCIONES REALIZADAS</v>
      </c>
      <c r="AH267" s="5"/>
    </row>
    <row r="268" spans="1:34">
      <c r="A268" s="5" t="str">
        <f ca="1">IFERROR(__xludf.DUMMYFUNCTION("""COMPUTED_VALUE"""),"EQUIPOS PARA SERVICIOS INDUSTRIALES")</f>
        <v>EQUIPOS PARA SERVICIOS INDUSTRIALES</v>
      </c>
      <c r="B268" s="5">
        <f ca="1">IFERROR(__xludf.DUMMYFUNCTION("""COMPUTED_VALUE"""),628831)</f>
        <v>628831</v>
      </c>
      <c r="C268" s="5" t="str">
        <f ca="1">IFERROR(__xludf.DUMMYFUNCTION("""COMPUTED_VALUE"""),"COMPRESOR REFRIGERACION RECIPROCANTE 2")</f>
        <v>COMPRESOR REFRIGERACION RECIPROCANTE 2</v>
      </c>
      <c r="D268" s="5">
        <f ca="1">IFERROR(__xludf.DUMMYFUNCTION("""COMPUTED_VALUE"""),13247482)</f>
        <v>13247482</v>
      </c>
      <c r="E268" s="5" t="str">
        <f ca="1">IFERROR(__xludf.DUMMYFUNCTION("""COMPUTED_VALUE"""),"INSPECCION SEMANAL COMPRESOR REFRIGERACI")</f>
        <v>INSPECCION SEMANAL COMPRESOR REFRIGERACI</v>
      </c>
      <c r="F268" s="5" t="str">
        <f ca="1">IFERROR(__xludf.DUMMYFUNCTION("""COMPUTED_VALUE"""),"PRESION: SUCCION, DESCARGA")</f>
        <v>PRESION: SUCCION, DESCARGA</v>
      </c>
      <c r="G268" s="5" t="b">
        <f ca="1">IFERROR(__xludf.DUMMYFUNCTION("""COMPUTED_VALUE"""),TRUE)</f>
        <v>1</v>
      </c>
      <c r="H268" s="5"/>
      <c r="I268" s="5"/>
      <c r="J268" s="5">
        <f ca="1">IFERROR(__xludf.DUMMYFUNCTION("""COMPUTED_VALUE"""),13247482)</f>
        <v>13247482</v>
      </c>
      <c r="K268" s="5"/>
      <c r="L268" s="18">
        <f ca="1">IFERROR(__xludf.DUMMYFUNCTION("""COMPUTED_VALUE"""),45324)</f>
        <v>45324</v>
      </c>
      <c r="M268" s="18">
        <f ca="1">IFERROR(__xludf.DUMMYFUNCTION("""COMPUTED_VALUE"""),45324)</f>
        <v>45324</v>
      </c>
      <c r="N268" s="5" t="str">
        <f ca="1">IFERROR(__xludf.DUMMYFUNCTION("""COMPUTED_VALUE"""),"MUÑOZ VALENCIA JEFFERSON")</f>
        <v>MUÑOZ VALENCIA JEFFERSON</v>
      </c>
      <c r="O268" s="2">
        <f ca="1">IFERROR(__xludf.DUMMYFUNCTION("""COMPUTED_VALUE"""),0.007142857)</f>
        <v>7.1428569999999999E-3</v>
      </c>
      <c r="P268" s="5">
        <f ca="1">IFERROR(__xludf.DUMMYFUNCTION("""COMPUTED_VALUE"""),20062055)</f>
        <v>20062055</v>
      </c>
      <c r="Q268" s="5" t="str">
        <f ca="1">IFERROR(__xludf.DUMMYFUNCTION("""COMPUTED_VALUE"""),"hbL10Mp_ogg")</f>
        <v>hbL10Mp_ogg</v>
      </c>
      <c r="R268" s="5">
        <f ca="1">IFERROR(__xludf.DUMMYFUNCTION("""COMPUTED_VALUE"""),410)</f>
        <v>410</v>
      </c>
      <c r="S268" s="62">
        <f ca="1">IFERROR(__xludf.DUMMYFUNCTION("""COMPUTED_VALUE"""),0.007142857)</f>
        <v>7.1428569999999999E-3</v>
      </c>
      <c r="T268" s="63" t="str">
        <f ca="1">IFERROR(__xludf.DUMMYFUNCTION("""COMPUTED_VALUE"""),"https://storage.googleapis.com/glide-prod.appspot.com/uploads-v2/ly7o78grxPaC6KdgvbpS/pub/3aRdSog0vUtuqPE8AJKD.png")</f>
        <v>https://storage.googleapis.com/glide-prod.appspot.com/uploads-v2/ly7o78grxPaC6KdgvbpS/pub/3aRdSog0vUtuqPE8AJKD.png</v>
      </c>
      <c r="U268" s="5" t="str">
        <f ca="1">IFERROR(__xludf.DUMMYFUNCTION("""COMPUTED_VALUE"""),"EQUIPOS PARA SERVICIOS INDUSTRIALESCOMPRESOR REFRIGERACION RECIPROCANTE 2")</f>
        <v>EQUIPOS PARA SERVICIOS INDUSTRIALESCOMPRESOR REFRIGERACION RECIPROCANTE 2</v>
      </c>
      <c r="V268" s="5"/>
      <c r="W268" s="5" t="b">
        <f ca="1">IFERROR(__xludf.DUMMYFUNCTION("""COMPUTED_VALUE"""),TRUE)</f>
        <v>1</v>
      </c>
      <c r="X268" s="5" t="str">
        <f ca="1">IFERROR(__xludf.DUMMYFUNCTION("""COMPUTED_VALUE"""),"wmazorra@postobon.com.co,aprmttoyu@postobon.com.co,aprmyu@postobon.com.co,wmora@postobon.com.co,efzapata@postobon.com.co")</f>
        <v>wmazorra@postobon.com.co,aprmttoyu@postobon.com.co,aprmyu@postobon.com.co,wmora@postobon.com.co,efzapata@postobon.com.co</v>
      </c>
      <c r="Y268" s="5" t="str">
        <f ca="1">IFERROR(__xludf.DUMMYFUNCTION("""COMPUTED_VALUE"""),"wmazorra@postobon.com.co")</f>
        <v>wmazorra@postobon.com.co</v>
      </c>
      <c r="Z268" s="5" t="str">
        <f ca="1">IFERROR(__xludf.DUMMYFUNCTION("""COMPUTED_VALUE"""),"6wtKN9LnTWid5ivAT0r-aw")</f>
        <v>6wtKN9LnTWid5ivAT0r-aw</v>
      </c>
      <c r="AA268" s="5"/>
      <c r="AB268" s="5"/>
      <c r="AC268" s="5"/>
      <c r="AD268" s="5">
        <f ca="1">IFERROR(__xludf.DUMMYFUNCTION("""COMPUTED_VALUE"""),58)</f>
        <v>58</v>
      </c>
      <c r="AE268" s="5">
        <f ca="1">IFERROR(__xludf.DUMMYFUNCTION("""COMPUTED_VALUE"""),58)</f>
        <v>58</v>
      </c>
      <c r="AF268" s="5" t="b">
        <f ca="1">IFERROR(__xludf.DUMMYFUNCTION("""COMPUTED_VALUE"""),FALSE)</f>
        <v>0</v>
      </c>
      <c r="AG268" s="5" t="str">
        <f ca="1">IFERROR(__xludf.DUMMYFUNCTION("""COMPUTED_VALUE"""),"INSPECCIONES REALIZADAS")</f>
        <v>INSPECCIONES REALIZADAS</v>
      </c>
      <c r="AH268" s="5"/>
    </row>
    <row r="269" spans="1:34">
      <c r="A269" s="5" t="str">
        <f ca="1">IFERROR(__xludf.DUMMYFUNCTION("""COMPUTED_VALUE"""),"EQUIPOS PARA SERVICIOS INDUSTRIALES")</f>
        <v>EQUIPOS PARA SERVICIOS INDUSTRIALES</v>
      </c>
      <c r="B269" s="5">
        <f ca="1">IFERROR(__xludf.DUMMYFUNCTION("""COMPUTED_VALUE"""),628831)</f>
        <v>628831</v>
      </c>
      <c r="C269" s="5" t="str">
        <f ca="1">IFERROR(__xludf.DUMMYFUNCTION("""COMPUTED_VALUE"""),"COMPRESOR REFRIGERACION RECIPROCANTE 2")</f>
        <v>COMPRESOR REFRIGERACION RECIPROCANTE 2</v>
      </c>
      <c r="D269" s="5">
        <f ca="1">IFERROR(__xludf.DUMMYFUNCTION("""COMPUTED_VALUE"""),13247482)</f>
        <v>13247482</v>
      </c>
      <c r="E269" s="5" t="str">
        <f ca="1">IFERROR(__xludf.DUMMYFUNCTION("""COMPUTED_VALUE"""),"INSPECCION SEMANAL COMPRESOR REFRIGERACI")</f>
        <v>INSPECCION SEMANAL COMPRESOR REFRIGERACI</v>
      </c>
      <c r="F269" s="5" t="str">
        <f ca="1">IFERROR(__xludf.DUMMYFUNCTION("""COMPUTED_VALUE"""),"PRESION ACEITE")</f>
        <v>PRESION ACEITE</v>
      </c>
      <c r="G269" s="5" t="b">
        <f ca="1">IFERROR(__xludf.DUMMYFUNCTION("""COMPUTED_VALUE"""),TRUE)</f>
        <v>1</v>
      </c>
      <c r="H269" s="5"/>
      <c r="I269" s="5"/>
      <c r="J269" s="5">
        <f ca="1">IFERROR(__xludf.DUMMYFUNCTION("""COMPUTED_VALUE"""),13247482)</f>
        <v>13247482</v>
      </c>
      <c r="K269" s="5"/>
      <c r="L269" s="18">
        <f ca="1">IFERROR(__xludf.DUMMYFUNCTION("""COMPUTED_VALUE"""),45324)</f>
        <v>45324</v>
      </c>
      <c r="M269" s="18">
        <f ca="1">IFERROR(__xludf.DUMMYFUNCTION("""COMPUTED_VALUE"""),45324)</f>
        <v>45324</v>
      </c>
      <c r="N269" s="5" t="str">
        <f ca="1">IFERROR(__xludf.DUMMYFUNCTION("""COMPUTED_VALUE"""),"MUÑOZ VALENCIA JEFFERSON")</f>
        <v>MUÑOZ VALENCIA JEFFERSON</v>
      </c>
      <c r="O269" s="2">
        <f ca="1">IFERROR(__xludf.DUMMYFUNCTION("""COMPUTED_VALUE"""),0.007142857)</f>
        <v>7.1428569999999999E-3</v>
      </c>
      <c r="P269" s="5">
        <f ca="1">IFERROR(__xludf.DUMMYFUNCTION("""COMPUTED_VALUE"""),20062055)</f>
        <v>20062055</v>
      </c>
      <c r="Q269" s="5" t="str">
        <f ca="1">IFERROR(__xludf.DUMMYFUNCTION("""COMPUTED_VALUE"""),"4LOo3lPWp08")</f>
        <v>4LOo3lPWp08</v>
      </c>
      <c r="R269" s="5">
        <f ca="1">IFERROR(__xludf.DUMMYFUNCTION("""COMPUTED_VALUE"""),410)</f>
        <v>410</v>
      </c>
      <c r="S269" s="62">
        <f ca="1">IFERROR(__xludf.DUMMYFUNCTION("""COMPUTED_VALUE"""),0.007142857)</f>
        <v>7.1428569999999999E-3</v>
      </c>
      <c r="T269" s="63" t="str">
        <f ca="1">IFERROR(__xludf.DUMMYFUNCTION("""COMPUTED_VALUE"""),"https://storage.googleapis.com/glide-prod.appspot.com/uploads-v2/ly7o78grxPaC6KdgvbpS/pub/3aRdSog0vUtuqPE8AJKD.png")</f>
        <v>https://storage.googleapis.com/glide-prod.appspot.com/uploads-v2/ly7o78grxPaC6KdgvbpS/pub/3aRdSog0vUtuqPE8AJKD.png</v>
      </c>
      <c r="U269" s="5" t="str">
        <f ca="1">IFERROR(__xludf.DUMMYFUNCTION("""COMPUTED_VALUE"""),"EQUIPOS PARA SERVICIOS INDUSTRIALESCOMPRESOR REFRIGERACION RECIPROCANTE 2")</f>
        <v>EQUIPOS PARA SERVICIOS INDUSTRIALESCOMPRESOR REFRIGERACION RECIPROCANTE 2</v>
      </c>
      <c r="V269" s="5"/>
      <c r="W269" s="5" t="b">
        <f ca="1">IFERROR(__xludf.DUMMYFUNCTION("""COMPUTED_VALUE"""),TRUE)</f>
        <v>1</v>
      </c>
      <c r="X269" s="5" t="str">
        <f ca="1">IFERROR(__xludf.DUMMYFUNCTION("""COMPUTED_VALUE"""),"wmazorra@postobon.com.co,aprmttoyu@postobon.com.co,aprmyu@postobon.com.co,wmora@postobon.com.co,efzapata@postobon.com.co")</f>
        <v>wmazorra@postobon.com.co,aprmttoyu@postobon.com.co,aprmyu@postobon.com.co,wmora@postobon.com.co,efzapata@postobon.com.co</v>
      </c>
      <c r="Y269" s="5" t="str">
        <f ca="1">IFERROR(__xludf.DUMMYFUNCTION("""COMPUTED_VALUE"""),"wmazorra@postobon.com.co")</f>
        <v>wmazorra@postobon.com.co</v>
      </c>
      <c r="Z269" s="5" t="str">
        <f ca="1">IFERROR(__xludf.DUMMYFUNCTION("""COMPUTED_VALUE"""),"eBfsTyRQQU6tj3BQj14Z1Q")</f>
        <v>eBfsTyRQQU6tj3BQj14Z1Q</v>
      </c>
      <c r="AA269" s="5"/>
      <c r="AB269" s="5"/>
      <c r="AC269" s="5"/>
      <c r="AD269" s="5">
        <f ca="1">IFERROR(__xludf.DUMMYFUNCTION("""COMPUTED_VALUE"""),58)</f>
        <v>58</v>
      </c>
      <c r="AE269" s="5">
        <f ca="1">IFERROR(__xludf.DUMMYFUNCTION("""COMPUTED_VALUE"""),58)</f>
        <v>58</v>
      </c>
      <c r="AF269" s="5" t="b">
        <f ca="1">IFERROR(__xludf.DUMMYFUNCTION("""COMPUTED_VALUE"""),FALSE)</f>
        <v>0</v>
      </c>
      <c r="AG269" s="5" t="str">
        <f ca="1">IFERROR(__xludf.DUMMYFUNCTION("""COMPUTED_VALUE"""),"INSPECCIONES REALIZADAS")</f>
        <v>INSPECCIONES REALIZADAS</v>
      </c>
      <c r="AH269" s="5"/>
    </row>
    <row r="270" spans="1:34">
      <c r="A270" s="5" t="str">
        <f ca="1">IFERROR(__xludf.DUMMYFUNCTION("""COMPUTED_VALUE"""),"EQUIPOS PARA SERVICIOS INDUSTRIALES")</f>
        <v>EQUIPOS PARA SERVICIOS INDUSTRIALES</v>
      </c>
      <c r="B270" s="5">
        <f ca="1">IFERROR(__xludf.DUMMYFUNCTION("""COMPUTED_VALUE"""),628831)</f>
        <v>628831</v>
      </c>
      <c r="C270" s="5" t="str">
        <f ca="1">IFERROR(__xludf.DUMMYFUNCTION("""COMPUTED_VALUE"""),"COMPRESOR REFRIGERACION RECIPROCANTE 2")</f>
        <v>COMPRESOR REFRIGERACION RECIPROCANTE 2</v>
      </c>
      <c r="D270" s="5">
        <f ca="1">IFERROR(__xludf.DUMMYFUNCTION("""COMPUTED_VALUE"""),13247482)</f>
        <v>13247482</v>
      </c>
      <c r="E270" s="5" t="str">
        <f ca="1">IFERROR(__xludf.DUMMYFUNCTION("""COMPUTED_VALUE"""),"INSPECCION SEMANAL COMPRESOR REFRIGERACI")</f>
        <v>INSPECCION SEMANAL COMPRESOR REFRIGERACI</v>
      </c>
      <c r="F270" s="5" t="str">
        <f ca="1">IFERROR(__xludf.DUMMYFUNCTION("""COMPUTED_VALUE"""),"RUIDO")</f>
        <v>RUIDO</v>
      </c>
      <c r="G270" s="5" t="b">
        <f ca="1">IFERROR(__xludf.DUMMYFUNCTION("""COMPUTED_VALUE"""),TRUE)</f>
        <v>1</v>
      </c>
      <c r="H270" s="5"/>
      <c r="I270" s="5"/>
      <c r="J270" s="5">
        <f ca="1">IFERROR(__xludf.DUMMYFUNCTION("""COMPUTED_VALUE"""),13247482)</f>
        <v>13247482</v>
      </c>
      <c r="K270" s="5"/>
      <c r="L270" s="18">
        <f ca="1">IFERROR(__xludf.DUMMYFUNCTION("""COMPUTED_VALUE"""),45324)</f>
        <v>45324</v>
      </c>
      <c r="M270" s="18">
        <f ca="1">IFERROR(__xludf.DUMMYFUNCTION("""COMPUTED_VALUE"""),45324)</f>
        <v>45324</v>
      </c>
      <c r="N270" s="5" t="str">
        <f ca="1">IFERROR(__xludf.DUMMYFUNCTION("""COMPUTED_VALUE"""),"MUÑOZ VALENCIA JEFFERSON")</f>
        <v>MUÑOZ VALENCIA JEFFERSON</v>
      </c>
      <c r="O270" s="2">
        <f ca="1">IFERROR(__xludf.DUMMYFUNCTION("""COMPUTED_VALUE"""),0.007142857)</f>
        <v>7.1428569999999999E-3</v>
      </c>
      <c r="P270" s="5">
        <f ca="1">IFERROR(__xludf.DUMMYFUNCTION("""COMPUTED_VALUE"""),20062055)</f>
        <v>20062055</v>
      </c>
      <c r="Q270" s="5" t="str">
        <f ca="1">IFERROR(__xludf.DUMMYFUNCTION("""COMPUTED_VALUE"""),"rGPPMIzaChw")</f>
        <v>rGPPMIzaChw</v>
      </c>
      <c r="R270" s="5">
        <f ca="1">IFERROR(__xludf.DUMMYFUNCTION("""COMPUTED_VALUE"""),410)</f>
        <v>410</v>
      </c>
      <c r="S270" s="62">
        <f ca="1">IFERROR(__xludf.DUMMYFUNCTION("""COMPUTED_VALUE"""),0.007142857)</f>
        <v>7.1428569999999999E-3</v>
      </c>
      <c r="T270" s="63" t="str">
        <f ca="1">IFERROR(__xludf.DUMMYFUNCTION("""COMPUTED_VALUE"""),"https://storage.googleapis.com/glide-prod.appspot.com/uploads-v2/ly7o78grxPaC6KdgvbpS/pub/3aRdSog0vUtuqPE8AJKD.png")</f>
        <v>https://storage.googleapis.com/glide-prod.appspot.com/uploads-v2/ly7o78grxPaC6KdgvbpS/pub/3aRdSog0vUtuqPE8AJKD.png</v>
      </c>
      <c r="U270" s="5" t="str">
        <f ca="1">IFERROR(__xludf.DUMMYFUNCTION("""COMPUTED_VALUE"""),"EQUIPOS PARA SERVICIOS INDUSTRIALESCOMPRESOR REFRIGERACION RECIPROCANTE 2")</f>
        <v>EQUIPOS PARA SERVICIOS INDUSTRIALESCOMPRESOR REFRIGERACION RECIPROCANTE 2</v>
      </c>
      <c r="V270" s="5"/>
      <c r="W270" s="5" t="b">
        <f ca="1">IFERROR(__xludf.DUMMYFUNCTION("""COMPUTED_VALUE"""),TRUE)</f>
        <v>1</v>
      </c>
      <c r="X270" s="5" t="str">
        <f ca="1">IFERROR(__xludf.DUMMYFUNCTION("""COMPUTED_VALUE"""),"wmazorra@postobon.com.co,aprmttoyu@postobon.com.co,aprmyu@postobon.com.co,wmora@postobon.com.co,efzapata@postobon.com.co")</f>
        <v>wmazorra@postobon.com.co,aprmttoyu@postobon.com.co,aprmyu@postobon.com.co,wmora@postobon.com.co,efzapata@postobon.com.co</v>
      </c>
      <c r="Y270" s="5" t="str">
        <f ca="1">IFERROR(__xludf.DUMMYFUNCTION("""COMPUTED_VALUE"""),"wmazorra@postobon.com.co")</f>
        <v>wmazorra@postobon.com.co</v>
      </c>
      <c r="Z270" s="5" t="str">
        <f ca="1">IFERROR(__xludf.DUMMYFUNCTION("""COMPUTED_VALUE"""),"JidnhEqFR4iNUZxiAt2-Jw")</f>
        <v>JidnhEqFR4iNUZxiAt2-Jw</v>
      </c>
      <c r="AA270" s="5"/>
      <c r="AB270" s="5"/>
      <c r="AC270" s="5"/>
      <c r="AD270" s="5">
        <f ca="1">IFERROR(__xludf.DUMMYFUNCTION("""COMPUTED_VALUE"""),58)</f>
        <v>58</v>
      </c>
      <c r="AE270" s="5">
        <f ca="1">IFERROR(__xludf.DUMMYFUNCTION("""COMPUTED_VALUE"""),58)</f>
        <v>58</v>
      </c>
      <c r="AF270" s="5" t="b">
        <f ca="1">IFERROR(__xludf.DUMMYFUNCTION("""COMPUTED_VALUE"""),FALSE)</f>
        <v>0</v>
      </c>
      <c r="AG270" s="5" t="str">
        <f ca="1">IFERROR(__xludf.DUMMYFUNCTION("""COMPUTED_VALUE"""),"INSPECCIONES REALIZADAS")</f>
        <v>INSPECCIONES REALIZADAS</v>
      </c>
      <c r="AH270" s="5"/>
    </row>
    <row r="271" spans="1:34">
      <c r="A271" s="5" t="str">
        <f ca="1">IFERROR(__xludf.DUMMYFUNCTION("""COMPUTED_VALUE"""),"EQUIPOS PARA SERVICIOS INDUSTRIALES")</f>
        <v>EQUIPOS PARA SERVICIOS INDUSTRIALES</v>
      </c>
      <c r="B271" s="5">
        <f ca="1">IFERROR(__xludf.DUMMYFUNCTION("""COMPUTED_VALUE"""),628831)</f>
        <v>628831</v>
      </c>
      <c r="C271" s="5" t="str">
        <f ca="1">IFERROR(__xludf.DUMMYFUNCTION("""COMPUTED_VALUE"""),"COMPRESOR REFRIGERACION RECIPROCANTE 2")</f>
        <v>COMPRESOR REFRIGERACION RECIPROCANTE 2</v>
      </c>
      <c r="D271" s="5">
        <f ca="1">IFERROR(__xludf.DUMMYFUNCTION("""COMPUTED_VALUE"""),13247482)</f>
        <v>13247482</v>
      </c>
      <c r="E271" s="5" t="str">
        <f ca="1">IFERROR(__xludf.DUMMYFUNCTION("""COMPUTED_VALUE"""),"INSPECCION SEMANAL COMPRESOR REFRIGERACI")</f>
        <v>INSPECCION SEMANAL COMPRESOR REFRIGERACI</v>
      </c>
      <c r="F271" s="5" t="str">
        <f ca="1">IFERROR(__xludf.DUMMYFUNCTION("""COMPUTED_VALUE"""),"ESTADO POLEAS, CORREAS")</f>
        <v>ESTADO POLEAS, CORREAS</v>
      </c>
      <c r="G271" s="5" t="b">
        <f ca="1">IFERROR(__xludf.DUMMYFUNCTION("""COMPUTED_VALUE"""),TRUE)</f>
        <v>1</v>
      </c>
      <c r="H271" s="5"/>
      <c r="I271" s="5"/>
      <c r="J271" s="5">
        <f ca="1">IFERROR(__xludf.DUMMYFUNCTION("""COMPUTED_VALUE"""),13247482)</f>
        <v>13247482</v>
      </c>
      <c r="K271" s="5"/>
      <c r="L271" s="18">
        <f ca="1">IFERROR(__xludf.DUMMYFUNCTION("""COMPUTED_VALUE"""),45324)</f>
        <v>45324</v>
      </c>
      <c r="M271" s="18">
        <f ca="1">IFERROR(__xludf.DUMMYFUNCTION("""COMPUTED_VALUE"""),45324)</f>
        <v>45324</v>
      </c>
      <c r="N271" s="5" t="str">
        <f ca="1">IFERROR(__xludf.DUMMYFUNCTION("""COMPUTED_VALUE"""),"MUÑOZ VALENCIA JEFFERSON")</f>
        <v>MUÑOZ VALENCIA JEFFERSON</v>
      </c>
      <c r="O271" s="2">
        <f ca="1">IFERROR(__xludf.DUMMYFUNCTION("""COMPUTED_VALUE"""),0.007142857)</f>
        <v>7.1428569999999999E-3</v>
      </c>
      <c r="P271" s="5">
        <f ca="1">IFERROR(__xludf.DUMMYFUNCTION("""COMPUTED_VALUE"""),20062055)</f>
        <v>20062055</v>
      </c>
      <c r="Q271" s="5" t="str">
        <f ca="1">IFERROR(__xludf.DUMMYFUNCTION("""COMPUTED_VALUE"""),"gGZ6_Pi1Lnk")</f>
        <v>gGZ6_Pi1Lnk</v>
      </c>
      <c r="R271" s="5">
        <f ca="1">IFERROR(__xludf.DUMMYFUNCTION("""COMPUTED_VALUE"""),410)</f>
        <v>410</v>
      </c>
      <c r="S271" s="62">
        <f ca="1">IFERROR(__xludf.DUMMYFUNCTION("""COMPUTED_VALUE"""),0.007142857)</f>
        <v>7.1428569999999999E-3</v>
      </c>
      <c r="T271" s="63" t="str">
        <f ca="1">IFERROR(__xludf.DUMMYFUNCTION("""COMPUTED_VALUE"""),"https://storage.googleapis.com/glide-prod.appspot.com/uploads-v2/ly7o78grxPaC6KdgvbpS/pub/3aRdSog0vUtuqPE8AJKD.png")</f>
        <v>https://storage.googleapis.com/glide-prod.appspot.com/uploads-v2/ly7o78grxPaC6KdgvbpS/pub/3aRdSog0vUtuqPE8AJKD.png</v>
      </c>
      <c r="U271" s="5" t="str">
        <f ca="1">IFERROR(__xludf.DUMMYFUNCTION("""COMPUTED_VALUE"""),"EQUIPOS PARA SERVICIOS INDUSTRIALESCOMPRESOR REFRIGERACION RECIPROCANTE 2")</f>
        <v>EQUIPOS PARA SERVICIOS INDUSTRIALESCOMPRESOR REFRIGERACION RECIPROCANTE 2</v>
      </c>
      <c r="V271" s="5"/>
      <c r="W271" s="5" t="b">
        <f ca="1">IFERROR(__xludf.DUMMYFUNCTION("""COMPUTED_VALUE"""),TRUE)</f>
        <v>1</v>
      </c>
      <c r="X271" s="5" t="str">
        <f ca="1">IFERROR(__xludf.DUMMYFUNCTION("""COMPUTED_VALUE"""),"wmazorra@postobon.com.co,aprmttoyu@postobon.com.co,aprmyu@postobon.com.co,wmora@postobon.com.co,efzapata@postobon.com.co")</f>
        <v>wmazorra@postobon.com.co,aprmttoyu@postobon.com.co,aprmyu@postobon.com.co,wmora@postobon.com.co,efzapata@postobon.com.co</v>
      </c>
      <c r="Y271" s="5" t="str">
        <f ca="1">IFERROR(__xludf.DUMMYFUNCTION("""COMPUTED_VALUE"""),"wmazorra@postobon.com.co")</f>
        <v>wmazorra@postobon.com.co</v>
      </c>
      <c r="Z271" s="5" t="str">
        <f ca="1">IFERROR(__xludf.DUMMYFUNCTION("""COMPUTED_VALUE"""),"XzR5SF6UQwK5xTefWIgMKw")</f>
        <v>XzR5SF6UQwK5xTefWIgMKw</v>
      </c>
      <c r="AA271" s="5"/>
      <c r="AB271" s="5"/>
      <c r="AC271" s="5"/>
      <c r="AD271" s="5">
        <f ca="1">IFERROR(__xludf.DUMMYFUNCTION("""COMPUTED_VALUE"""),58)</f>
        <v>58</v>
      </c>
      <c r="AE271" s="5">
        <f ca="1">IFERROR(__xludf.DUMMYFUNCTION("""COMPUTED_VALUE"""),58)</f>
        <v>58</v>
      </c>
      <c r="AF271" s="5" t="b">
        <f ca="1">IFERROR(__xludf.DUMMYFUNCTION("""COMPUTED_VALUE"""),FALSE)</f>
        <v>0</v>
      </c>
      <c r="AG271" s="5" t="str">
        <f ca="1">IFERROR(__xludf.DUMMYFUNCTION("""COMPUTED_VALUE"""),"INSPECCIONES REALIZADAS")</f>
        <v>INSPECCIONES REALIZADAS</v>
      </c>
      <c r="AH271" s="5"/>
    </row>
    <row r="272" spans="1:34">
      <c r="A272" s="5" t="str">
        <f ca="1">IFERROR(__xludf.DUMMYFUNCTION("""COMPUTED_VALUE"""),"EQUIPOS PARA SERVICIOS INDUSTRIALES")</f>
        <v>EQUIPOS PARA SERVICIOS INDUSTRIALES</v>
      </c>
      <c r="B272" s="5">
        <f ca="1">IFERROR(__xludf.DUMMYFUNCTION("""COMPUTED_VALUE"""),628831)</f>
        <v>628831</v>
      </c>
      <c r="C272" s="5" t="str">
        <f ca="1">IFERROR(__xludf.DUMMYFUNCTION("""COMPUTED_VALUE"""),"COMPRESOR REFRIGERACION RECIPROCANTE 2")</f>
        <v>COMPRESOR REFRIGERACION RECIPROCANTE 2</v>
      </c>
      <c r="D272" s="5">
        <f ca="1">IFERROR(__xludf.DUMMYFUNCTION("""COMPUTED_VALUE"""),13247482)</f>
        <v>13247482</v>
      </c>
      <c r="E272" s="5" t="str">
        <f ca="1">IFERROR(__xludf.DUMMYFUNCTION("""COMPUTED_VALUE"""),"INSPECCION SEMANAL COMPRESOR REFRIGERACI")</f>
        <v>INSPECCION SEMANAL COMPRESOR REFRIGERACI</v>
      </c>
      <c r="F272" s="5" t="str">
        <f ca="1">IFERROR(__xludf.DUMMYFUNCTION("""COMPUTED_VALUE"""),"GUARDA TRANSMISION")</f>
        <v>GUARDA TRANSMISION</v>
      </c>
      <c r="G272" s="5" t="b">
        <f ca="1">IFERROR(__xludf.DUMMYFUNCTION("""COMPUTED_VALUE"""),TRUE)</f>
        <v>1</v>
      </c>
      <c r="H272" s="5"/>
      <c r="I272" s="5"/>
      <c r="J272" s="5">
        <f ca="1">IFERROR(__xludf.DUMMYFUNCTION("""COMPUTED_VALUE"""),13247482)</f>
        <v>13247482</v>
      </c>
      <c r="K272" s="5"/>
      <c r="L272" s="18">
        <f ca="1">IFERROR(__xludf.DUMMYFUNCTION("""COMPUTED_VALUE"""),45324)</f>
        <v>45324</v>
      </c>
      <c r="M272" s="18">
        <f ca="1">IFERROR(__xludf.DUMMYFUNCTION("""COMPUTED_VALUE"""),45324)</f>
        <v>45324</v>
      </c>
      <c r="N272" s="5" t="str">
        <f ca="1">IFERROR(__xludf.DUMMYFUNCTION("""COMPUTED_VALUE"""),"MUÑOZ VALENCIA JEFFERSON")</f>
        <v>MUÑOZ VALENCIA JEFFERSON</v>
      </c>
      <c r="O272" s="2">
        <f ca="1">IFERROR(__xludf.DUMMYFUNCTION("""COMPUTED_VALUE"""),0.007142857)</f>
        <v>7.1428569999999999E-3</v>
      </c>
      <c r="P272" s="5">
        <f ca="1">IFERROR(__xludf.DUMMYFUNCTION("""COMPUTED_VALUE"""),20062055)</f>
        <v>20062055</v>
      </c>
      <c r="Q272" s="5" t="str">
        <f ca="1">IFERROR(__xludf.DUMMYFUNCTION("""COMPUTED_VALUE"""),"2hBGg7CPumU")</f>
        <v>2hBGg7CPumU</v>
      </c>
      <c r="R272" s="5">
        <f ca="1">IFERROR(__xludf.DUMMYFUNCTION("""COMPUTED_VALUE"""),410)</f>
        <v>410</v>
      </c>
      <c r="S272" s="62">
        <f ca="1">IFERROR(__xludf.DUMMYFUNCTION("""COMPUTED_VALUE"""),0.007142857)</f>
        <v>7.1428569999999999E-3</v>
      </c>
      <c r="T272" s="63" t="str">
        <f ca="1">IFERROR(__xludf.DUMMYFUNCTION("""COMPUTED_VALUE"""),"https://storage.googleapis.com/glide-prod.appspot.com/uploads-v2/ly7o78grxPaC6KdgvbpS/pub/3aRdSog0vUtuqPE8AJKD.png")</f>
        <v>https://storage.googleapis.com/glide-prod.appspot.com/uploads-v2/ly7o78grxPaC6KdgvbpS/pub/3aRdSog0vUtuqPE8AJKD.png</v>
      </c>
      <c r="U272" s="5" t="str">
        <f ca="1">IFERROR(__xludf.DUMMYFUNCTION("""COMPUTED_VALUE"""),"EQUIPOS PARA SERVICIOS INDUSTRIALESCOMPRESOR REFRIGERACION RECIPROCANTE 2")</f>
        <v>EQUIPOS PARA SERVICIOS INDUSTRIALESCOMPRESOR REFRIGERACION RECIPROCANTE 2</v>
      </c>
      <c r="V272" s="5"/>
      <c r="W272" s="5" t="b">
        <f ca="1">IFERROR(__xludf.DUMMYFUNCTION("""COMPUTED_VALUE"""),TRUE)</f>
        <v>1</v>
      </c>
      <c r="X272" s="5" t="str">
        <f ca="1">IFERROR(__xludf.DUMMYFUNCTION("""COMPUTED_VALUE"""),"wmazorra@postobon.com.co,aprmttoyu@postobon.com.co,aprmyu@postobon.com.co,wmora@postobon.com.co,efzapata@postobon.com.co")</f>
        <v>wmazorra@postobon.com.co,aprmttoyu@postobon.com.co,aprmyu@postobon.com.co,wmora@postobon.com.co,efzapata@postobon.com.co</v>
      </c>
      <c r="Y272" s="5" t="str">
        <f ca="1">IFERROR(__xludf.DUMMYFUNCTION("""COMPUTED_VALUE"""),"wmazorra@postobon.com.co")</f>
        <v>wmazorra@postobon.com.co</v>
      </c>
      <c r="Z272" s="5" t="str">
        <f ca="1">IFERROR(__xludf.DUMMYFUNCTION("""COMPUTED_VALUE"""),"5aPwOscITlu5XhB5BOe3Hw")</f>
        <v>5aPwOscITlu5XhB5BOe3Hw</v>
      </c>
      <c r="AA272" s="5"/>
      <c r="AB272" s="5"/>
      <c r="AC272" s="5"/>
      <c r="AD272" s="5">
        <f ca="1">IFERROR(__xludf.DUMMYFUNCTION("""COMPUTED_VALUE"""),58)</f>
        <v>58</v>
      </c>
      <c r="AE272" s="5">
        <f ca="1">IFERROR(__xludf.DUMMYFUNCTION("""COMPUTED_VALUE"""),58)</f>
        <v>58</v>
      </c>
      <c r="AF272" s="5" t="b">
        <f ca="1">IFERROR(__xludf.DUMMYFUNCTION("""COMPUTED_VALUE"""),FALSE)</f>
        <v>0</v>
      </c>
      <c r="AG272" s="5" t="str">
        <f ca="1">IFERROR(__xludf.DUMMYFUNCTION("""COMPUTED_VALUE"""),"INSPECCIONES REALIZADAS")</f>
        <v>INSPECCIONES REALIZADAS</v>
      </c>
      <c r="AH272" s="5"/>
    </row>
    <row r="273" spans="1:34">
      <c r="A273" s="5" t="str">
        <f ca="1">IFERROR(__xludf.DUMMYFUNCTION("""COMPUTED_VALUE"""),"EQUIPOS PARA SERVICIOS INDUSTRIALES")</f>
        <v>EQUIPOS PARA SERVICIOS INDUSTRIALES</v>
      </c>
      <c r="B273" s="5">
        <f ca="1">IFERROR(__xludf.DUMMYFUNCTION("""COMPUTED_VALUE"""),628831)</f>
        <v>628831</v>
      </c>
      <c r="C273" s="5" t="str">
        <f ca="1">IFERROR(__xludf.DUMMYFUNCTION("""COMPUTED_VALUE"""),"COMPRESOR REFRIGERACION RECIPROCANTE 2")</f>
        <v>COMPRESOR REFRIGERACION RECIPROCANTE 2</v>
      </c>
      <c r="D273" s="5">
        <f ca="1">IFERROR(__xludf.DUMMYFUNCTION("""COMPUTED_VALUE"""),13247482)</f>
        <v>13247482</v>
      </c>
      <c r="E273" s="5" t="str">
        <f ca="1">IFERROR(__xludf.DUMMYFUNCTION("""COMPUTED_VALUE"""),"INSPECCION SEMANAL COMPRESOR REFRIGERACI")</f>
        <v>INSPECCION SEMANAL COMPRESOR REFRIGERACI</v>
      </c>
      <c r="F273" s="5" t="str">
        <f ca="1">IFERROR(__xludf.DUMMYFUNCTION("""COMPUTED_VALUE"""),"ELECTROVALVULAS DESCARGADOS")</f>
        <v>ELECTROVALVULAS DESCARGADOS</v>
      </c>
      <c r="G273" s="5" t="b">
        <f ca="1">IFERROR(__xludf.DUMMYFUNCTION("""COMPUTED_VALUE"""),TRUE)</f>
        <v>1</v>
      </c>
      <c r="H273" s="5"/>
      <c r="I273" s="5"/>
      <c r="J273" s="5">
        <f ca="1">IFERROR(__xludf.DUMMYFUNCTION("""COMPUTED_VALUE"""),13247482)</f>
        <v>13247482</v>
      </c>
      <c r="K273" s="5"/>
      <c r="L273" s="18">
        <f ca="1">IFERROR(__xludf.DUMMYFUNCTION("""COMPUTED_VALUE"""),45324)</f>
        <v>45324</v>
      </c>
      <c r="M273" s="18">
        <f ca="1">IFERROR(__xludf.DUMMYFUNCTION("""COMPUTED_VALUE"""),45324)</f>
        <v>45324</v>
      </c>
      <c r="N273" s="5" t="str">
        <f ca="1">IFERROR(__xludf.DUMMYFUNCTION("""COMPUTED_VALUE"""),"MUÑOZ VALENCIA JEFFERSON")</f>
        <v>MUÑOZ VALENCIA JEFFERSON</v>
      </c>
      <c r="O273" s="2">
        <f ca="1">IFERROR(__xludf.DUMMYFUNCTION("""COMPUTED_VALUE"""),0.007142857)</f>
        <v>7.1428569999999999E-3</v>
      </c>
      <c r="P273" s="5">
        <f ca="1">IFERROR(__xludf.DUMMYFUNCTION("""COMPUTED_VALUE"""),20062055)</f>
        <v>20062055</v>
      </c>
      <c r="Q273" s="5" t="str">
        <f ca="1">IFERROR(__xludf.DUMMYFUNCTION("""COMPUTED_VALUE"""),"v6WPBRfsthM")</f>
        <v>v6WPBRfsthM</v>
      </c>
      <c r="R273" s="5">
        <f ca="1">IFERROR(__xludf.DUMMYFUNCTION("""COMPUTED_VALUE"""),410)</f>
        <v>410</v>
      </c>
      <c r="S273" s="62">
        <f ca="1">IFERROR(__xludf.DUMMYFUNCTION("""COMPUTED_VALUE"""),0.007142857)</f>
        <v>7.1428569999999999E-3</v>
      </c>
      <c r="T273" s="63" t="str">
        <f ca="1">IFERROR(__xludf.DUMMYFUNCTION("""COMPUTED_VALUE"""),"https://storage.googleapis.com/glide-prod.appspot.com/uploads-v2/ly7o78grxPaC6KdgvbpS/pub/3aRdSog0vUtuqPE8AJKD.png")</f>
        <v>https://storage.googleapis.com/glide-prod.appspot.com/uploads-v2/ly7o78grxPaC6KdgvbpS/pub/3aRdSog0vUtuqPE8AJKD.png</v>
      </c>
      <c r="U273" s="5" t="str">
        <f ca="1">IFERROR(__xludf.DUMMYFUNCTION("""COMPUTED_VALUE"""),"EQUIPOS PARA SERVICIOS INDUSTRIALESCOMPRESOR REFRIGERACION RECIPROCANTE 2")</f>
        <v>EQUIPOS PARA SERVICIOS INDUSTRIALESCOMPRESOR REFRIGERACION RECIPROCANTE 2</v>
      </c>
      <c r="V273" s="5"/>
      <c r="W273" s="5" t="b">
        <f ca="1">IFERROR(__xludf.DUMMYFUNCTION("""COMPUTED_VALUE"""),TRUE)</f>
        <v>1</v>
      </c>
      <c r="X273" s="5" t="str">
        <f ca="1">IFERROR(__xludf.DUMMYFUNCTION("""COMPUTED_VALUE"""),"wmazorra@postobon.com.co,aprmttoyu@postobon.com.co,aprmyu@postobon.com.co,wmora@postobon.com.co,efzapata@postobon.com.co")</f>
        <v>wmazorra@postobon.com.co,aprmttoyu@postobon.com.co,aprmyu@postobon.com.co,wmora@postobon.com.co,efzapata@postobon.com.co</v>
      </c>
      <c r="Y273" s="5" t="str">
        <f ca="1">IFERROR(__xludf.DUMMYFUNCTION("""COMPUTED_VALUE"""),"wmazorra@postobon.com.co")</f>
        <v>wmazorra@postobon.com.co</v>
      </c>
      <c r="Z273" s="5" t="str">
        <f ca="1">IFERROR(__xludf.DUMMYFUNCTION("""COMPUTED_VALUE"""),"LgLFTPSaQ-24wzevD6nCXA")</f>
        <v>LgLFTPSaQ-24wzevD6nCXA</v>
      </c>
      <c r="AA273" s="5"/>
      <c r="AB273" s="5"/>
      <c r="AC273" s="5"/>
      <c r="AD273" s="5">
        <f ca="1">IFERROR(__xludf.DUMMYFUNCTION("""COMPUTED_VALUE"""),58)</f>
        <v>58</v>
      </c>
      <c r="AE273" s="5">
        <f ca="1">IFERROR(__xludf.DUMMYFUNCTION("""COMPUTED_VALUE"""),58)</f>
        <v>58</v>
      </c>
      <c r="AF273" s="5" t="b">
        <f ca="1">IFERROR(__xludf.DUMMYFUNCTION("""COMPUTED_VALUE"""),FALSE)</f>
        <v>0</v>
      </c>
      <c r="AG273" s="5" t="str">
        <f ca="1">IFERROR(__xludf.DUMMYFUNCTION("""COMPUTED_VALUE"""),"INSPECCIONES REALIZADAS")</f>
        <v>INSPECCIONES REALIZADAS</v>
      </c>
      <c r="AH273" s="5"/>
    </row>
    <row r="274" spans="1:34">
      <c r="A274" s="5" t="str">
        <f ca="1">IFERROR(__xludf.DUMMYFUNCTION("""COMPUTED_VALUE"""),"EQUIPOS PARA SERVICIOS INDUSTRIALES")</f>
        <v>EQUIPOS PARA SERVICIOS INDUSTRIALES</v>
      </c>
      <c r="B274" s="5">
        <f ca="1">IFERROR(__xludf.DUMMYFUNCTION("""COMPUTED_VALUE"""),628831)</f>
        <v>628831</v>
      </c>
      <c r="C274" s="5" t="str">
        <f ca="1">IFERROR(__xludf.DUMMYFUNCTION("""COMPUTED_VALUE"""),"COMPRESOR REFRIGERACION RECIPROCANTE 2")</f>
        <v>COMPRESOR REFRIGERACION RECIPROCANTE 2</v>
      </c>
      <c r="D274" s="5">
        <f ca="1">IFERROR(__xludf.DUMMYFUNCTION("""COMPUTED_VALUE"""),13247482)</f>
        <v>13247482</v>
      </c>
      <c r="E274" s="5" t="str">
        <f ca="1">IFERROR(__xludf.DUMMYFUNCTION("""COMPUTED_VALUE"""),"INSPECCION SEMANAL COMPRESOR REFRIGERACI")</f>
        <v>INSPECCION SEMANAL COMPRESOR REFRIGERACI</v>
      </c>
      <c r="F274" s="5" t="str">
        <f ca="1">IFERROR(__xludf.DUMMYFUNCTION("""COMPUTED_VALUE"""),"BOMBA ACEITE")</f>
        <v>BOMBA ACEITE</v>
      </c>
      <c r="G274" s="5" t="b">
        <f ca="1">IFERROR(__xludf.DUMMYFUNCTION("""COMPUTED_VALUE"""),TRUE)</f>
        <v>1</v>
      </c>
      <c r="H274" s="5"/>
      <c r="I274" s="5"/>
      <c r="J274" s="5">
        <f ca="1">IFERROR(__xludf.DUMMYFUNCTION("""COMPUTED_VALUE"""),13247482)</f>
        <v>13247482</v>
      </c>
      <c r="K274" s="5"/>
      <c r="L274" s="18">
        <f ca="1">IFERROR(__xludf.DUMMYFUNCTION("""COMPUTED_VALUE"""),45324)</f>
        <v>45324</v>
      </c>
      <c r="M274" s="18">
        <f ca="1">IFERROR(__xludf.DUMMYFUNCTION("""COMPUTED_VALUE"""),45324)</f>
        <v>45324</v>
      </c>
      <c r="N274" s="5" t="str">
        <f ca="1">IFERROR(__xludf.DUMMYFUNCTION("""COMPUTED_VALUE"""),"MUÑOZ VALENCIA JEFFERSON")</f>
        <v>MUÑOZ VALENCIA JEFFERSON</v>
      </c>
      <c r="O274" s="2">
        <f ca="1">IFERROR(__xludf.DUMMYFUNCTION("""COMPUTED_VALUE"""),0.007142857)</f>
        <v>7.1428569999999999E-3</v>
      </c>
      <c r="P274" s="5">
        <f ca="1">IFERROR(__xludf.DUMMYFUNCTION("""COMPUTED_VALUE"""),20062055)</f>
        <v>20062055</v>
      </c>
      <c r="Q274" s="5" t="str">
        <f ca="1">IFERROR(__xludf.DUMMYFUNCTION("""COMPUTED_VALUE"""),"q8fqb85UwDo")</f>
        <v>q8fqb85UwDo</v>
      </c>
      <c r="R274" s="5">
        <f ca="1">IFERROR(__xludf.DUMMYFUNCTION("""COMPUTED_VALUE"""),410)</f>
        <v>410</v>
      </c>
      <c r="S274" s="62">
        <f ca="1">IFERROR(__xludf.DUMMYFUNCTION("""COMPUTED_VALUE"""),0.007142857)</f>
        <v>7.1428569999999999E-3</v>
      </c>
      <c r="T274" s="63" t="str">
        <f ca="1">IFERROR(__xludf.DUMMYFUNCTION("""COMPUTED_VALUE"""),"https://storage.googleapis.com/glide-prod.appspot.com/uploads-v2/ly7o78grxPaC6KdgvbpS/pub/3aRdSog0vUtuqPE8AJKD.png")</f>
        <v>https://storage.googleapis.com/glide-prod.appspot.com/uploads-v2/ly7o78grxPaC6KdgvbpS/pub/3aRdSog0vUtuqPE8AJKD.png</v>
      </c>
      <c r="U274" s="5" t="str">
        <f ca="1">IFERROR(__xludf.DUMMYFUNCTION("""COMPUTED_VALUE"""),"EQUIPOS PARA SERVICIOS INDUSTRIALESCOMPRESOR REFRIGERACION RECIPROCANTE 2")</f>
        <v>EQUIPOS PARA SERVICIOS INDUSTRIALESCOMPRESOR REFRIGERACION RECIPROCANTE 2</v>
      </c>
      <c r="V274" s="5"/>
      <c r="W274" s="5" t="b">
        <f ca="1">IFERROR(__xludf.DUMMYFUNCTION("""COMPUTED_VALUE"""),TRUE)</f>
        <v>1</v>
      </c>
      <c r="X274" s="5" t="str">
        <f ca="1">IFERROR(__xludf.DUMMYFUNCTION("""COMPUTED_VALUE"""),"wmazorra@postobon.com.co,aprmttoyu@postobon.com.co,aprmyu@postobon.com.co,wmora@postobon.com.co,efzapata@postobon.com.co")</f>
        <v>wmazorra@postobon.com.co,aprmttoyu@postobon.com.co,aprmyu@postobon.com.co,wmora@postobon.com.co,efzapata@postobon.com.co</v>
      </c>
      <c r="Y274" s="5" t="str">
        <f ca="1">IFERROR(__xludf.DUMMYFUNCTION("""COMPUTED_VALUE"""),"wmazorra@postobon.com.co")</f>
        <v>wmazorra@postobon.com.co</v>
      </c>
      <c r="Z274" s="5" t="str">
        <f ca="1">IFERROR(__xludf.DUMMYFUNCTION("""COMPUTED_VALUE"""),"RWfo4vFRQkOEaL1zA4DcXA")</f>
        <v>RWfo4vFRQkOEaL1zA4DcXA</v>
      </c>
      <c r="AA274" s="5"/>
      <c r="AB274" s="5"/>
      <c r="AC274" s="5"/>
      <c r="AD274" s="5">
        <f ca="1">IFERROR(__xludf.DUMMYFUNCTION("""COMPUTED_VALUE"""),58)</f>
        <v>58</v>
      </c>
      <c r="AE274" s="5">
        <f ca="1">IFERROR(__xludf.DUMMYFUNCTION("""COMPUTED_VALUE"""),58)</f>
        <v>58</v>
      </c>
      <c r="AF274" s="5" t="b">
        <f ca="1">IFERROR(__xludf.DUMMYFUNCTION("""COMPUTED_VALUE"""),FALSE)</f>
        <v>0</v>
      </c>
      <c r="AG274" s="5" t="str">
        <f ca="1">IFERROR(__xludf.DUMMYFUNCTION("""COMPUTED_VALUE"""),"INSPECCIONES REALIZADAS")</f>
        <v>INSPECCIONES REALIZADAS</v>
      </c>
      <c r="AH274" s="5"/>
    </row>
    <row r="275" spans="1:34">
      <c r="A275" s="5" t="str">
        <f ca="1">IFERROR(__xludf.DUMMYFUNCTION("""COMPUTED_VALUE"""),"EQUIPOS PARA SERVICIOS INDUSTRIALES")</f>
        <v>EQUIPOS PARA SERVICIOS INDUSTRIALES</v>
      </c>
      <c r="B275" s="5">
        <f ca="1">IFERROR(__xludf.DUMMYFUNCTION("""COMPUTED_VALUE"""),628831)</f>
        <v>628831</v>
      </c>
      <c r="C275" s="5" t="str">
        <f ca="1">IFERROR(__xludf.DUMMYFUNCTION("""COMPUTED_VALUE"""),"COMPRESOR REFRIGERACION RECIPROCANTE 2")</f>
        <v>COMPRESOR REFRIGERACION RECIPROCANTE 2</v>
      </c>
      <c r="D275" s="5">
        <f ca="1">IFERROR(__xludf.DUMMYFUNCTION("""COMPUTED_VALUE"""),13247482)</f>
        <v>13247482</v>
      </c>
      <c r="E275" s="5" t="str">
        <f ca="1">IFERROR(__xludf.DUMMYFUNCTION("""COMPUTED_VALUE"""),"INSPECCION SEMANAL COMPRESOR REFRIGERACI")</f>
        <v>INSPECCION SEMANAL COMPRESOR REFRIGERACI</v>
      </c>
      <c r="F275" s="5" t="str">
        <f ca="1">IFERROR(__xludf.DUMMYFUNCTION("""COMPUTED_VALUE"""),"INSTRUMENTACION")</f>
        <v>INSTRUMENTACION</v>
      </c>
      <c r="G275" s="5" t="b">
        <f ca="1">IFERROR(__xludf.DUMMYFUNCTION("""COMPUTED_VALUE"""),TRUE)</f>
        <v>1</v>
      </c>
      <c r="H275" s="5"/>
      <c r="I275" s="5"/>
      <c r="J275" s="5">
        <f ca="1">IFERROR(__xludf.DUMMYFUNCTION("""COMPUTED_VALUE"""),13247482)</f>
        <v>13247482</v>
      </c>
      <c r="K275" s="5"/>
      <c r="L275" s="18">
        <f ca="1">IFERROR(__xludf.DUMMYFUNCTION("""COMPUTED_VALUE"""),45324)</f>
        <v>45324</v>
      </c>
      <c r="M275" s="18">
        <f ca="1">IFERROR(__xludf.DUMMYFUNCTION("""COMPUTED_VALUE"""),45324)</f>
        <v>45324</v>
      </c>
      <c r="N275" s="5" t="str">
        <f ca="1">IFERROR(__xludf.DUMMYFUNCTION("""COMPUTED_VALUE"""),"MUÑOZ VALENCIA JEFFERSON")</f>
        <v>MUÑOZ VALENCIA JEFFERSON</v>
      </c>
      <c r="O275" s="2">
        <f ca="1">IFERROR(__xludf.DUMMYFUNCTION("""COMPUTED_VALUE"""),0.007142857)</f>
        <v>7.1428569999999999E-3</v>
      </c>
      <c r="P275" s="5">
        <f ca="1">IFERROR(__xludf.DUMMYFUNCTION("""COMPUTED_VALUE"""),20062055)</f>
        <v>20062055</v>
      </c>
      <c r="Q275" s="5" t="str">
        <f ca="1">IFERROR(__xludf.DUMMYFUNCTION("""COMPUTED_VALUE"""),"S5u3qajeOvM")</f>
        <v>S5u3qajeOvM</v>
      </c>
      <c r="R275" s="5">
        <f ca="1">IFERROR(__xludf.DUMMYFUNCTION("""COMPUTED_VALUE"""),410)</f>
        <v>410</v>
      </c>
      <c r="S275" s="62">
        <f ca="1">IFERROR(__xludf.DUMMYFUNCTION("""COMPUTED_VALUE"""),0.007142857)</f>
        <v>7.1428569999999999E-3</v>
      </c>
      <c r="T275" s="63" t="str">
        <f ca="1">IFERROR(__xludf.DUMMYFUNCTION("""COMPUTED_VALUE"""),"https://storage.googleapis.com/glide-prod.appspot.com/uploads-v2/ly7o78grxPaC6KdgvbpS/pub/3aRdSog0vUtuqPE8AJKD.png")</f>
        <v>https://storage.googleapis.com/glide-prod.appspot.com/uploads-v2/ly7o78grxPaC6KdgvbpS/pub/3aRdSog0vUtuqPE8AJKD.png</v>
      </c>
      <c r="U275" s="5" t="str">
        <f ca="1">IFERROR(__xludf.DUMMYFUNCTION("""COMPUTED_VALUE"""),"EQUIPOS PARA SERVICIOS INDUSTRIALESCOMPRESOR REFRIGERACION RECIPROCANTE 2")</f>
        <v>EQUIPOS PARA SERVICIOS INDUSTRIALESCOMPRESOR REFRIGERACION RECIPROCANTE 2</v>
      </c>
      <c r="V275" s="5"/>
      <c r="W275" s="5" t="b">
        <f ca="1">IFERROR(__xludf.DUMMYFUNCTION("""COMPUTED_VALUE"""),TRUE)</f>
        <v>1</v>
      </c>
      <c r="X275" s="5" t="str">
        <f ca="1">IFERROR(__xludf.DUMMYFUNCTION("""COMPUTED_VALUE"""),"wmazorra@postobon.com.co,aprmttoyu@postobon.com.co,aprmyu@postobon.com.co,wmora@postobon.com.co,efzapata@postobon.com.co")</f>
        <v>wmazorra@postobon.com.co,aprmttoyu@postobon.com.co,aprmyu@postobon.com.co,wmora@postobon.com.co,efzapata@postobon.com.co</v>
      </c>
      <c r="Y275" s="5" t="str">
        <f ca="1">IFERROR(__xludf.DUMMYFUNCTION("""COMPUTED_VALUE"""),"wmazorra@postobon.com.co")</f>
        <v>wmazorra@postobon.com.co</v>
      </c>
      <c r="Z275" s="5" t="str">
        <f ca="1">IFERROR(__xludf.DUMMYFUNCTION("""COMPUTED_VALUE"""),"8oG2npHwRpW0FIrS62gBGw")</f>
        <v>8oG2npHwRpW0FIrS62gBGw</v>
      </c>
      <c r="AA275" s="5"/>
      <c r="AB275" s="5"/>
      <c r="AC275" s="5"/>
      <c r="AD275" s="5">
        <f ca="1">IFERROR(__xludf.DUMMYFUNCTION("""COMPUTED_VALUE"""),58)</f>
        <v>58</v>
      </c>
      <c r="AE275" s="5">
        <f ca="1">IFERROR(__xludf.DUMMYFUNCTION("""COMPUTED_VALUE"""),58)</f>
        <v>58</v>
      </c>
      <c r="AF275" s="5" t="b">
        <f ca="1">IFERROR(__xludf.DUMMYFUNCTION("""COMPUTED_VALUE"""),FALSE)</f>
        <v>0</v>
      </c>
      <c r="AG275" s="5" t="str">
        <f ca="1">IFERROR(__xludf.DUMMYFUNCTION("""COMPUTED_VALUE"""),"INSPECCIONES REALIZADAS")</f>
        <v>INSPECCIONES REALIZADAS</v>
      </c>
      <c r="AH275" s="5"/>
    </row>
    <row r="276" spans="1:34">
      <c r="A276" s="5" t="str">
        <f ca="1">IFERROR(__xludf.DUMMYFUNCTION("""COMPUTED_VALUE"""),"EQUIPOS PARA SERVICIOS INDUSTRIALES")</f>
        <v>EQUIPOS PARA SERVICIOS INDUSTRIALES</v>
      </c>
      <c r="B276" s="5">
        <f ca="1">IFERROR(__xludf.DUMMYFUNCTION("""COMPUTED_VALUE"""),628831)</f>
        <v>628831</v>
      </c>
      <c r="C276" s="5" t="str">
        <f ca="1">IFERROR(__xludf.DUMMYFUNCTION("""COMPUTED_VALUE"""),"COMPRESOR REFRIGERACION RECIPROCANTE 2")</f>
        <v>COMPRESOR REFRIGERACION RECIPROCANTE 2</v>
      </c>
      <c r="D276" s="5">
        <f ca="1">IFERROR(__xludf.DUMMYFUNCTION("""COMPUTED_VALUE"""),13247482)</f>
        <v>13247482</v>
      </c>
      <c r="E276" s="5" t="str">
        <f ca="1">IFERROR(__xludf.DUMMYFUNCTION("""COMPUTED_VALUE"""),"INSPECCION SEMANAL COMPRESOR REFRIGERACI")</f>
        <v>INSPECCION SEMANAL COMPRESOR REFRIGERACI</v>
      </c>
      <c r="F276" s="5" t="str">
        <f ca="1">IFERROR(__xludf.DUMMYFUNCTION("""COMPUTED_VALUE"""),"ESTADO GRAL PINTURA")</f>
        <v>ESTADO GRAL PINTURA</v>
      </c>
      <c r="G276" s="5" t="b">
        <f ca="1">IFERROR(__xludf.DUMMYFUNCTION("""COMPUTED_VALUE"""),TRUE)</f>
        <v>1</v>
      </c>
      <c r="H276" s="5"/>
      <c r="I276" s="5"/>
      <c r="J276" s="5">
        <f ca="1">IFERROR(__xludf.DUMMYFUNCTION("""COMPUTED_VALUE"""),13247482)</f>
        <v>13247482</v>
      </c>
      <c r="K276" s="5"/>
      <c r="L276" s="18">
        <f ca="1">IFERROR(__xludf.DUMMYFUNCTION("""COMPUTED_VALUE"""),45324)</f>
        <v>45324</v>
      </c>
      <c r="M276" s="18">
        <f ca="1">IFERROR(__xludf.DUMMYFUNCTION("""COMPUTED_VALUE"""),45324)</f>
        <v>45324</v>
      </c>
      <c r="N276" s="5" t="str">
        <f ca="1">IFERROR(__xludf.DUMMYFUNCTION("""COMPUTED_VALUE"""),"MUÑOZ VALENCIA JEFFERSON")</f>
        <v>MUÑOZ VALENCIA JEFFERSON</v>
      </c>
      <c r="O276" s="2">
        <f ca="1">IFERROR(__xludf.DUMMYFUNCTION("""COMPUTED_VALUE"""),0.007142857)</f>
        <v>7.1428569999999999E-3</v>
      </c>
      <c r="P276" s="5">
        <f ca="1">IFERROR(__xludf.DUMMYFUNCTION("""COMPUTED_VALUE"""),20062055)</f>
        <v>20062055</v>
      </c>
      <c r="Q276" s="5" t="str">
        <f ca="1">IFERROR(__xludf.DUMMYFUNCTION("""COMPUTED_VALUE"""),"WQqZ9robHUc")</f>
        <v>WQqZ9robHUc</v>
      </c>
      <c r="R276" s="5">
        <f ca="1">IFERROR(__xludf.DUMMYFUNCTION("""COMPUTED_VALUE"""),410)</f>
        <v>410</v>
      </c>
      <c r="S276" s="62">
        <f ca="1">IFERROR(__xludf.DUMMYFUNCTION("""COMPUTED_VALUE"""),0.007142857)</f>
        <v>7.1428569999999999E-3</v>
      </c>
      <c r="T276" s="63" t="str">
        <f ca="1">IFERROR(__xludf.DUMMYFUNCTION("""COMPUTED_VALUE"""),"https://storage.googleapis.com/glide-prod.appspot.com/uploads-v2/ly7o78grxPaC6KdgvbpS/pub/3aRdSog0vUtuqPE8AJKD.png")</f>
        <v>https://storage.googleapis.com/glide-prod.appspot.com/uploads-v2/ly7o78grxPaC6KdgvbpS/pub/3aRdSog0vUtuqPE8AJKD.png</v>
      </c>
      <c r="U276" s="5" t="str">
        <f ca="1">IFERROR(__xludf.DUMMYFUNCTION("""COMPUTED_VALUE"""),"EQUIPOS PARA SERVICIOS INDUSTRIALESCOMPRESOR REFRIGERACION RECIPROCANTE 2")</f>
        <v>EQUIPOS PARA SERVICIOS INDUSTRIALESCOMPRESOR REFRIGERACION RECIPROCANTE 2</v>
      </c>
      <c r="V276" s="5"/>
      <c r="W276" s="5" t="b">
        <f ca="1">IFERROR(__xludf.DUMMYFUNCTION("""COMPUTED_VALUE"""),TRUE)</f>
        <v>1</v>
      </c>
      <c r="X276" s="5" t="str">
        <f ca="1">IFERROR(__xludf.DUMMYFUNCTION("""COMPUTED_VALUE"""),"wmazorra@postobon.com.co,aprmttoyu@postobon.com.co,aprmyu@postobon.com.co,wmora@postobon.com.co,efzapata@postobon.com.co")</f>
        <v>wmazorra@postobon.com.co,aprmttoyu@postobon.com.co,aprmyu@postobon.com.co,wmora@postobon.com.co,efzapata@postobon.com.co</v>
      </c>
      <c r="Y276" s="5" t="str">
        <f ca="1">IFERROR(__xludf.DUMMYFUNCTION("""COMPUTED_VALUE"""),"wmazorra@postobon.com.co")</f>
        <v>wmazorra@postobon.com.co</v>
      </c>
      <c r="Z276" s="5" t="str">
        <f ca="1">IFERROR(__xludf.DUMMYFUNCTION("""COMPUTED_VALUE"""),"2y15ev6lTOuoTWU7.tdVJQ")</f>
        <v>2y15ev6lTOuoTWU7.tdVJQ</v>
      </c>
      <c r="AA276" s="5"/>
      <c r="AB276" s="5"/>
      <c r="AC276" s="5"/>
      <c r="AD276" s="5">
        <f ca="1">IFERROR(__xludf.DUMMYFUNCTION("""COMPUTED_VALUE"""),58)</f>
        <v>58</v>
      </c>
      <c r="AE276" s="5">
        <f ca="1">IFERROR(__xludf.DUMMYFUNCTION("""COMPUTED_VALUE"""),58)</f>
        <v>58</v>
      </c>
      <c r="AF276" s="5" t="b">
        <f ca="1">IFERROR(__xludf.DUMMYFUNCTION("""COMPUTED_VALUE"""),FALSE)</f>
        <v>0</v>
      </c>
      <c r="AG276" s="5" t="str">
        <f ca="1">IFERROR(__xludf.DUMMYFUNCTION("""COMPUTED_VALUE"""),"INSPECCIONES REALIZADAS")</f>
        <v>INSPECCIONES REALIZADAS</v>
      </c>
      <c r="AH276" s="5"/>
    </row>
    <row r="277" spans="1:34">
      <c r="A277" s="5" t="str">
        <f ca="1">IFERROR(__xludf.DUMMYFUNCTION("""COMPUTED_VALUE"""),"EQUIPOS PARA SERVICIOS INDUSTRIALES")</f>
        <v>EQUIPOS PARA SERVICIOS INDUSTRIALES</v>
      </c>
      <c r="B277" s="5">
        <f ca="1">IFERROR(__xludf.DUMMYFUNCTION("""COMPUTED_VALUE"""),628831)</f>
        <v>628831</v>
      </c>
      <c r="C277" s="5" t="str">
        <f ca="1">IFERROR(__xludf.DUMMYFUNCTION("""COMPUTED_VALUE"""),"COMPRESOR REFRIGERACION RECIPROCANTE 2")</f>
        <v>COMPRESOR REFRIGERACION RECIPROCANTE 2</v>
      </c>
      <c r="D277" s="5">
        <f ca="1">IFERROR(__xludf.DUMMYFUNCTION("""COMPUTED_VALUE"""),13247482)</f>
        <v>13247482</v>
      </c>
      <c r="E277" s="5" t="str">
        <f ca="1">IFERROR(__xludf.DUMMYFUNCTION("""COMPUTED_VALUE"""),"INSPECCION SEMANAL COMPRESOR REFRIGERACI")</f>
        <v>INSPECCION SEMANAL COMPRESOR REFRIGERACI</v>
      </c>
      <c r="F277" s="5" t="str">
        <f ca="1">IFERROR(__xludf.DUMMYFUNCTION("""COMPUTED_VALUE"""),"INSP. TABLERO ELECTRICO/CLIMATIZADOR")</f>
        <v>INSP. TABLERO ELECTRICO/CLIMATIZADOR</v>
      </c>
      <c r="G277" s="5" t="b">
        <f ca="1">IFERROR(__xludf.DUMMYFUNCTION("""COMPUTED_VALUE"""),TRUE)</f>
        <v>1</v>
      </c>
      <c r="H277" s="5"/>
      <c r="I277" s="5"/>
      <c r="J277" s="5">
        <f ca="1">IFERROR(__xludf.DUMMYFUNCTION("""COMPUTED_VALUE"""),13247482)</f>
        <v>13247482</v>
      </c>
      <c r="K277" s="5"/>
      <c r="L277" s="18">
        <f ca="1">IFERROR(__xludf.DUMMYFUNCTION("""COMPUTED_VALUE"""),45324)</f>
        <v>45324</v>
      </c>
      <c r="M277" s="18">
        <f ca="1">IFERROR(__xludf.DUMMYFUNCTION("""COMPUTED_VALUE"""),45324)</f>
        <v>45324</v>
      </c>
      <c r="N277" s="5" t="str">
        <f ca="1">IFERROR(__xludf.DUMMYFUNCTION("""COMPUTED_VALUE"""),"MUÑOZ VALENCIA JEFFERSON")</f>
        <v>MUÑOZ VALENCIA JEFFERSON</v>
      </c>
      <c r="O277" s="2">
        <f ca="1">IFERROR(__xludf.DUMMYFUNCTION("""COMPUTED_VALUE"""),0.007142857)</f>
        <v>7.1428569999999999E-3</v>
      </c>
      <c r="P277" s="5">
        <f ca="1">IFERROR(__xludf.DUMMYFUNCTION("""COMPUTED_VALUE"""),20062055)</f>
        <v>20062055</v>
      </c>
      <c r="Q277" s="5" t="str">
        <f ca="1">IFERROR(__xludf.DUMMYFUNCTION("""COMPUTED_VALUE"""),"8HzTQmHVWQo")</f>
        <v>8HzTQmHVWQo</v>
      </c>
      <c r="R277" s="5">
        <f ca="1">IFERROR(__xludf.DUMMYFUNCTION("""COMPUTED_VALUE"""),410)</f>
        <v>410</v>
      </c>
      <c r="S277" s="62">
        <f ca="1">IFERROR(__xludf.DUMMYFUNCTION("""COMPUTED_VALUE"""),0.007142857)</f>
        <v>7.1428569999999999E-3</v>
      </c>
      <c r="T277" s="63" t="str">
        <f ca="1">IFERROR(__xludf.DUMMYFUNCTION("""COMPUTED_VALUE"""),"https://storage.googleapis.com/glide-prod.appspot.com/uploads-v2/ly7o78grxPaC6KdgvbpS/pub/3aRdSog0vUtuqPE8AJKD.png")</f>
        <v>https://storage.googleapis.com/glide-prod.appspot.com/uploads-v2/ly7o78grxPaC6KdgvbpS/pub/3aRdSog0vUtuqPE8AJKD.png</v>
      </c>
      <c r="U277" s="5" t="str">
        <f ca="1">IFERROR(__xludf.DUMMYFUNCTION("""COMPUTED_VALUE"""),"EQUIPOS PARA SERVICIOS INDUSTRIALESCOMPRESOR REFRIGERACION RECIPROCANTE 2")</f>
        <v>EQUIPOS PARA SERVICIOS INDUSTRIALESCOMPRESOR REFRIGERACION RECIPROCANTE 2</v>
      </c>
      <c r="V277" s="5"/>
      <c r="W277" s="5" t="b">
        <f ca="1">IFERROR(__xludf.DUMMYFUNCTION("""COMPUTED_VALUE"""),TRUE)</f>
        <v>1</v>
      </c>
      <c r="X277" s="5" t="str">
        <f ca="1">IFERROR(__xludf.DUMMYFUNCTION("""COMPUTED_VALUE"""),"wmazorra@postobon.com.co,aprmttoyu@postobon.com.co,aprmyu@postobon.com.co,wmora@postobon.com.co,efzapata@postobon.com.co")</f>
        <v>wmazorra@postobon.com.co,aprmttoyu@postobon.com.co,aprmyu@postobon.com.co,wmora@postobon.com.co,efzapata@postobon.com.co</v>
      </c>
      <c r="Y277" s="5" t="str">
        <f ca="1">IFERROR(__xludf.DUMMYFUNCTION("""COMPUTED_VALUE"""),"wmazorra@postobon.com.co")</f>
        <v>wmazorra@postobon.com.co</v>
      </c>
      <c r="Z277" s="5" t="str">
        <f ca="1">IFERROR(__xludf.DUMMYFUNCTION("""COMPUTED_VALUE"""),"s5tBq9puTFaWKVvFQVWuDw")</f>
        <v>s5tBq9puTFaWKVvFQVWuDw</v>
      </c>
      <c r="AA277" s="5"/>
      <c r="AB277" s="5"/>
      <c r="AC277" s="5"/>
      <c r="AD277" s="5">
        <f ca="1">IFERROR(__xludf.DUMMYFUNCTION("""COMPUTED_VALUE"""),58)</f>
        <v>58</v>
      </c>
      <c r="AE277" s="5">
        <f ca="1">IFERROR(__xludf.DUMMYFUNCTION("""COMPUTED_VALUE"""),58)</f>
        <v>58</v>
      </c>
      <c r="AF277" s="5" t="b">
        <f ca="1">IFERROR(__xludf.DUMMYFUNCTION("""COMPUTED_VALUE"""),FALSE)</f>
        <v>0</v>
      </c>
      <c r="AG277" s="5" t="str">
        <f ca="1">IFERROR(__xludf.DUMMYFUNCTION("""COMPUTED_VALUE"""),"INSPECCIONES REALIZADAS")</f>
        <v>INSPECCIONES REALIZADAS</v>
      </c>
      <c r="AH277" s="5"/>
    </row>
    <row r="278" spans="1:34">
      <c r="A278" s="5" t="str">
        <f ca="1">IFERROR(__xludf.DUMMYFUNCTION("""COMPUTED_VALUE"""),"EQUIPOS PARA SERVICIOS INDUSTRIALES")</f>
        <v>EQUIPOS PARA SERVICIOS INDUSTRIALES</v>
      </c>
      <c r="B278" s="5">
        <f ca="1">IFERROR(__xludf.DUMMYFUNCTION("""COMPUTED_VALUE"""),628832)</f>
        <v>628832</v>
      </c>
      <c r="C278" s="5" t="str">
        <f ca="1">IFERROR(__xludf.DUMMYFUNCTION("""COMPUTED_VALUE"""),"COMPRESOR DE REFRIGERACION")</f>
        <v>COMPRESOR DE REFRIGERACION</v>
      </c>
      <c r="D278" s="5">
        <f ca="1">IFERROR(__xludf.DUMMYFUNCTION("""COMPUTED_VALUE"""),13247484)</f>
        <v>13247484</v>
      </c>
      <c r="E278" s="5" t="str">
        <f ca="1">IFERROR(__xludf.DUMMYFUNCTION("""COMPUTED_VALUE"""),"INSPECCION SEMANAL COMPRESOR REFRIGERACI")</f>
        <v>INSPECCION SEMANAL COMPRESOR REFRIGERACI</v>
      </c>
      <c r="F278" s="5" t="str">
        <f ca="1">IFERROR(__xludf.DUMMYFUNCTION("""COMPUTED_VALUE"""),"PLAN DE MTTO MEC COMPRESOR REFRIG 1")</f>
        <v>PLAN DE MTTO MEC COMPRESOR REFRIG 1</v>
      </c>
      <c r="G278" s="5" t="b">
        <f ca="1">IFERROR(__xludf.DUMMYFUNCTION("""COMPUTED_VALUE"""),TRUE)</f>
        <v>1</v>
      </c>
      <c r="H278" s="5"/>
      <c r="I278" s="5"/>
      <c r="J278" s="5">
        <f ca="1">IFERROR(__xludf.DUMMYFUNCTION("""COMPUTED_VALUE"""),13247484)</f>
        <v>13247484</v>
      </c>
      <c r="K278" s="5"/>
      <c r="L278" s="18">
        <f ca="1">IFERROR(__xludf.DUMMYFUNCTION("""COMPUTED_VALUE"""),45324)</f>
        <v>45324</v>
      </c>
      <c r="M278" s="18">
        <f ca="1">IFERROR(__xludf.DUMMYFUNCTION("""COMPUTED_VALUE"""),45324)</f>
        <v>45324</v>
      </c>
      <c r="N278" s="5" t="str">
        <f ca="1">IFERROR(__xludf.DUMMYFUNCTION("""COMPUTED_VALUE"""),"MUÑOZ VALENCIA JEFFERSON")</f>
        <v>MUÑOZ VALENCIA JEFFERSON</v>
      </c>
      <c r="O278" s="2">
        <f ca="1">IFERROR(__xludf.DUMMYFUNCTION("""COMPUTED_VALUE"""),0.1)</f>
        <v>0.1</v>
      </c>
      <c r="P278" s="5">
        <f ca="1">IFERROR(__xludf.DUMMYFUNCTION("""COMPUTED_VALUE"""),20062055)</f>
        <v>20062055</v>
      </c>
      <c r="Q278" s="5" t="str">
        <f ca="1">IFERROR(__xludf.DUMMYFUNCTION("""COMPUTED_VALUE"""),"WBGGsmQoXaE")</f>
        <v>WBGGsmQoXaE</v>
      </c>
      <c r="R278" s="5">
        <f ca="1">IFERROR(__xludf.DUMMYFUNCTION("""COMPUTED_VALUE"""),410)</f>
        <v>410</v>
      </c>
      <c r="S278" s="62">
        <f ca="1">IFERROR(__xludf.DUMMYFUNCTION("""COMPUTED_VALUE"""),0.1)</f>
        <v>0.1</v>
      </c>
      <c r="T278" s="63" t="str">
        <f ca="1">IFERROR(__xludf.DUMMYFUNCTION("""COMPUTED_VALUE"""),"https://storage.googleapis.com/glide-prod.appspot.com/uploads-v2/ly7o78grxPaC6KdgvbpS/pub/3aRdSog0vUtuqPE8AJKD.png")</f>
        <v>https://storage.googleapis.com/glide-prod.appspot.com/uploads-v2/ly7o78grxPaC6KdgvbpS/pub/3aRdSog0vUtuqPE8AJKD.png</v>
      </c>
      <c r="U278" s="5" t="str">
        <f ca="1">IFERROR(__xludf.DUMMYFUNCTION("""COMPUTED_VALUE"""),"EQUIPOS PARA SERVICIOS INDUSTRIALESCOMPRESOR DE REFRIGERACION")</f>
        <v>EQUIPOS PARA SERVICIOS INDUSTRIALESCOMPRESOR DE REFRIGERACION</v>
      </c>
      <c r="V278" s="5"/>
      <c r="W278" s="5" t="b">
        <f ca="1">IFERROR(__xludf.DUMMYFUNCTION("""COMPUTED_VALUE"""),TRUE)</f>
        <v>1</v>
      </c>
      <c r="X278" s="5" t="str">
        <f ca="1">IFERROR(__xludf.DUMMYFUNCTION("""COMPUTED_VALUE"""),"wmazorra@postobon.com.co,aprmttoyu@postobon.com.co,aprmyu@postobon.com.co,wmora@postobon.com.co,efzapata@postobon.com.co")</f>
        <v>wmazorra@postobon.com.co,aprmttoyu@postobon.com.co,aprmyu@postobon.com.co,wmora@postobon.com.co,efzapata@postobon.com.co</v>
      </c>
      <c r="Y278" s="5" t="str">
        <f ca="1">IFERROR(__xludf.DUMMYFUNCTION("""COMPUTED_VALUE"""),"wmazorra@postobon.com.co")</f>
        <v>wmazorra@postobon.com.co</v>
      </c>
      <c r="Z278" s="5" t="str">
        <f ca="1">IFERROR(__xludf.DUMMYFUNCTION("""COMPUTED_VALUE"""),"8j-P-mZLT1KUY0vrT1939Q")</f>
        <v>8j-P-mZLT1KUY0vrT1939Q</v>
      </c>
      <c r="AA278" s="5"/>
      <c r="AB278" s="5"/>
      <c r="AC278" s="5"/>
      <c r="AD278" s="5">
        <f ca="1">IFERROR(__xludf.DUMMYFUNCTION("""COMPUTED_VALUE"""),58)</f>
        <v>58</v>
      </c>
      <c r="AE278" s="5">
        <f ca="1">IFERROR(__xludf.DUMMYFUNCTION("""COMPUTED_VALUE"""),58)</f>
        <v>58</v>
      </c>
      <c r="AF278" s="5" t="b">
        <f ca="1">IFERROR(__xludf.DUMMYFUNCTION("""COMPUTED_VALUE"""),FALSE)</f>
        <v>0</v>
      </c>
      <c r="AG278" s="5" t="str">
        <f ca="1">IFERROR(__xludf.DUMMYFUNCTION("""COMPUTED_VALUE"""),"INSPECCIONES REALIZADAS")</f>
        <v>INSPECCIONES REALIZADAS</v>
      </c>
      <c r="AH278" s="5"/>
    </row>
    <row r="279" spans="1:34">
      <c r="A279" s="5" t="str">
        <f ca="1">IFERROR(__xludf.DUMMYFUNCTION("""COMPUTED_VALUE"""),"EQUIPOS PARA SERVICIOS INDUSTRIALES")</f>
        <v>EQUIPOS PARA SERVICIOS INDUSTRIALES</v>
      </c>
      <c r="B279" s="5">
        <f ca="1">IFERROR(__xludf.DUMMYFUNCTION("""COMPUTED_VALUE"""),638554)</f>
        <v>638554</v>
      </c>
      <c r="C279" s="5" t="str">
        <f ca="1">IFERROR(__xludf.DUMMYFUNCTION("""COMPUTED_VALUE"""),"CONDENSADOR EVAPORATIVO")</f>
        <v>CONDENSADOR EVAPORATIVO</v>
      </c>
      <c r="D279" s="5">
        <f ca="1">IFERROR(__xludf.DUMMYFUNCTION("""COMPUTED_VALUE"""),13247488)</f>
        <v>13247488</v>
      </c>
      <c r="E279" s="5" t="str">
        <f ca="1">IFERROR(__xludf.DUMMYFUNCTION("""COMPUTED_VALUE"""),"INSPECCION SEMANAL CONDENSADOR EVAPORATI")</f>
        <v>INSPECCION SEMANAL CONDENSADOR EVAPORATI</v>
      </c>
      <c r="F279" s="5" t="str">
        <f ca="1">IFERROR(__xludf.DUMMYFUNCTION("""COMPUTED_VALUE"""),"PLAN MTTO MEC CONDENSADOR EVAP GASEOSA")</f>
        <v>PLAN MTTO MEC CONDENSADOR EVAP GASEOSA</v>
      </c>
      <c r="G279" s="5" t="b">
        <f ca="1">IFERROR(__xludf.DUMMYFUNCTION("""COMPUTED_VALUE"""),TRUE)</f>
        <v>1</v>
      </c>
      <c r="H279" s="5"/>
      <c r="I279" s="5"/>
      <c r="J279" s="5">
        <f ca="1">IFERROR(__xludf.DUMMYFUNCTION("""COMPUTED_VALUE"""),13247488)</f>
        <v>13247488</v>
      </c>
      <c r="K279" s="5"/>
      <c r="L279" s="18">
        <f ca="1">IFERROR(__xludf.DUMMYFUNCTION("""COMPUTED_VALUE"""),45324)</f>
        <v>45324</v>
      </c>
      <c r="M279" s="18">
        <f ca="1">IFERROR(__xludf.DUMMYFUNCTION("""COMPUTED_VALUE"""),45324)</f>
        <v>45324</v>
      </c>
      <c r="N279" s="5" t="str">
        <f ca="1">IFERROR(__xludf.DUMMYFUNCTION("""COMPUTED_VALUE"""),"Henao William")</f>
        <v>Henao William</v>
      </c>
      <c r="O279" s="2">
        <f ca="1">IFERROR(__xludf.DUMMYFUNCTION("""COMPUTED_VALUE"""),0.00625)</f>
        <v>6.2500000000000003E-3</v>
      </c>
      <c r="P279" s="5">
        <f ca="1">IFERROR(__xludf.DUMMYFUNCTION("""COMPUTED_VALUE"""),20009827)</f>
        <v>20009827</v>
      </c>
      <c r="Q279" s="5" t="str">
        <f ca="1">IFERROR(__xludf.DUMMYFUNCTION("""COMPUTED_VALUE"""),"6Qqlf9aRkuY")</f>
        <v>6Qqlf9aRkuY</v>
      </c>
      <c r="R279" s="5">
        <f ca="1">IFERROR(__xludf.DUMMYFUNCTION("""COMPUTED_VALUE"""),410)</f>
        <v>410</v>
      </c>
      <c r="S279" s="62">
        <f ca="1">IFERROR(__xludf.DUMMYFUNCTION("""COMPUTED_VALUE"""),0.00625)</f>
        <v>6.2500000000000003E-3</v>
      </c>
      <c r="T279" s="63" t="str">
        <f ca="1">IFERROR(__xludf.DUMMYFUNCTION("""COMPUTED_VALUE"""),"https://storage.googleapis.com/glide-prod.appspot.com/uploads-v2/ly7o78grxPaC6KdgvbpS/pub/3aRdSog0vUtuqPE8AJKD.png")</f>
        <v>https://storage.googleapis.com/glide-prod.appspot.com/uploads-v2/ly7o78grxPaC6KdgvbpS/pub/3aRdSog0vUtuqPE8AJKD.png</v>
      </c>
      <c r="U279" s="5" t="str">
        <f ca="1">IFERROR(__xludf.DUMMYFUNCTION("""COMPUTED_VALUE"""),"EQUIPOS PARA SERVICIOS INDUSTRIALESCONDENSADOR EVAPORATIVO")</f>
        <v>EQUIPOS PARA SERVICIOS INDUSTRIALESCONDENSADOR EVAPORATIVO</v>
      </c>
      <c r="V279" s="5"/>
      <c r="W279" s="5" t="b">
        <f ca="1">IFERROR(__xludf.DUMMYFUNCTION("""COMPUTED_VALUE"""),TRUE)</f>
        <v>1</v>
      </c>
      <c r="X279" s="5" t="str">
        <f ca="1">IFERROR(__xludf.DUMMYFUNCTION("""COMPUTED_VALUE"""),"wmazorra@postobon.com.co,aprmttoyu@postobon.com.co,aprmyu@postobon.com.co,wmora@postobon.com.co,efzapata@postobon.com.co")</f>
        <v>wmazorra@postobon.com.co,aprmttoyu@postobon.com.co,aprmyu@postobon.com.co,wmora@postobon.com.co,efzapata@postobon.com.co</v>
      </c>
      <c r="Y279" s="5" t="str">
        <f ca="1">IFERROR(__xludf.DUMMYFUNCTION("""COMPUTED_VALUE"""),"wmazorra@postobon.com.co")</f>
        <v>wmazorra@postobon.com.co</v>
      </c>
      <c r="Z279" s="5" t="str">
        <f ca="1">IFERROR(__xludf.DUMMYFUNCTION("""COMPUTED_VALUE"""),"HqQ1WX9JRrew7CYGAR7Tcg")</f>
        <v>HqQ1WX9JRrew7CYGAR7Tcg</v>
      </c>
      <c r="AA279" s="5"/>
      <c r="AB279" s="5"/>
      <c r="AC279" s="5"/>
      <c r="AD279" s="5">
        <f ca="1">IFERROR(__xludf.DUMMYFUNCTION("""COMPUTED_VALUE"""),78)</f>
        <v>78</v>
      </c>
      <c r="AE279" s="5">
        <f ca="1">IFERROR(__xludf.DUMMYFUNCTION("""COMPUTED_VALUE"""),77)</f>
        <v>77</v>
      </c>
      <c r="AF279" s="5" t="b">
        <f ca="1">IFERROR(__xludf.DUMMYFUNCTION("""COMPUTED_VALUE"""),FALSE)</f>
        <v>0</v>
      </c>
      <c r="AG279" s="5" t="str">
        <f ca="1">IFERROR(__xludf.DUMMYFUNCTION("""COMPUTED_VALUE"""),"INSPECCIONES REALIZADAS")</f>
        <v>INSPECCIONES REALIZADAS</v>
      </c>
      <c r="AH279" s="5"/>
    </row>
    <row r="280" spans="1:34">
      <c r="A280" s="5" t="str">
        <f ca="1">IFERROR(__xludf.DUMMYFUNCTION("""COMPUTED_VALUE"""),"EQUIPOS PARA SERVICIOS INDUSTRIALES JUGO")</f>
        <v>EQUIPOS PARA SERVICIOS INDUSTRIALES JUGO</v>
      </c>
      <c r="B280" s="5">
        <f ca="1">IFERROR(__xludf.DUMMYFUNCTION("""COMPUTED_VALUE"""),638563)</f>
        <v>638563</v>
      </c>
      <c r="C280" s="5" t="str">
        <f ca="1">IFERROR(__xludf.DUMMYFUNCTION("""COMPUTED_VALUE"""),"CONDENSADOR EVAPORATIIVO JUGOS")</f>
        <v>CONDENSADOR EVAPORATIIVO JUGOS</v>
      </c>
      <c r="D280" s="5">
        <f ca="1">IFERROR(__xludf.DUMMYFUNCTION("""COMPUTED_VALUE"""),13247541)</f>
        <v>13247541</v>
      </c>
      <c r="E280" s="5" t="str">
        <f ca="1">IFERROR(__xludf.DUMMYFUNCTION("""COMPUTED_VALUE"""),"INSPECCION SEMANAL CONDENSADOR EVAPORATI")</f>
        <v>INSPECCION SEMANAL CONDENSADOR EVAPORATI</v>
      </c>
      <c r="F280" s="5" t="str">
        <f ca="1">IFERROR(__xludf.DUMMYFUNCTION("""COMPUTED_VALUE"""),"INSP. SECCION TRANSF. CALOR")</f>
        <v>INSP. SECCION TRANSF. CALOR</v>
      </c>
      <c r="G280" s="5"/>
      <c r="H280" s="5"/>
      <c r="I280" s="5"/>
      <c r="J280" s="5"/>
      <c r="K280" s="5"/>
      <c r="L280" s="18">
        <f ca="1">IFERROR(__xludf.DUMMYFUNCTION("""COMPUTED_VALUE"""),45325)</f>
        <v>45325</v>
      </c>
      <c r="M280" s="18">
        <f ca="1">IFERROR(__xludf.DUMMYFUNCTION("""COMPUTED_VALUE"""),45325)</f>
        <v>45325</v>
      </c>
      <c r="N280" s="5" t="str">
        <f ca="1">IFERROR(__xludf.DUMMYFUNCTION("""COMPUTED_VALUE"""),"Lopez Raul")</f>
        <v>Lopez Raul</v>
      </c>
      <c r="O280" s="2">
        <f ca="1">IFERROR(__xludf.DUMMYFUNCTION("""COMPUTED_VALUE"""),0.003448276)</f>
        <v>3.4482760000000001E-3</v>
      </c>
      <c r="P280" s="5"/>
      <c r="Q280" s="5" t="str">
        <f ca="1">IFERROR(__xludf.DUMMYFUNCTION("""COMPUTED_VALUE"""),"jo9sjkH0B6A")</f>
        <v>jo9sjkH0B6A</v>
      </c>
      <c r="R280" s="5">
        <f ca="1">IFERROR(__xludf.DUMMYFUNCTION("""COMPUTED_VALUE"""),410)</f>
        <v>410</v>
      </c>
      <c r="S280" s="62">
        <f ca="1">IFERROR(__xludf.DUMMYFUNCTION("""COMPUTED_VALUE"""),0.003448276)</f>
        <v>3.4482760000000001E-3</v>
      </c>
      <c r="T280" s="63" t="str">
        <f ca="1">IFERROR(__xludf.DUMMYFUNCTION("""COMPUTED_VALUE"""),"https://storage.googleapis.com/glide-prod.appspot.com/uploads-v2/ly7o78grxPaC6KdgvbpS/pub/UliJWgpEaBovaFmXi6OW.png")</f>
        <v>https://storage.googleapis.com/glide-prod.appspot.com/uploads-v2/ly7o78grxPaC6KdgvbpS/pub/UliJWgpEaBovaFmXi6OW.png</v>
      </c>
      <c r="U280" s="5" t="str">
        <f ca="1">IFERROR(__xludf.DUMMYFUNCTION("""COMPUTED_VALUE"""),"EQUIPOS PARA SERVICIOS INDUSTRIALES JUGOCONDENSADOR EVAPORATIIVO JUGOS")</f>
        <v>EQUIPOS PARA SERVICIOS INDUSTRIALES JUGOCONDENSADOR EVAPORATIIVO JUGOS</v>
      </c>
      <c r="V280" s="5"/>
      <c r="W280" s="5"/>
      <c r="X280" s="5" t="str">
        <f ca="1">IFERROR(__xludf.DUMMYFUNCTION("""COMPUTED_VALUE"""),"wmazorra@postobon.com.co,aprmttoyu@postobon.com.co,aprmyu@postobon.com.co,wmora@postobon.com.co,efzapata@postobon.com.co")</f>
        <v>wmazorra@postobon.com.co,aprmttoyu@postobon.com.co,aprmyu@postobon.com.co,wmora@postobon.com.co,efzapata@postobon.com.co</v>
      </c>
      <c r="Y280" s="5" t="str">
        <f ca="1">IFERROR(__xludf.DUMMYFUNCTION("""COMPUTED_VALUE"""),"wmazorra@postobon.com.co")</f>
        <v>wmazorra@postobon.com.co</v>
      </c>
      <c r="Z280" s="5" t="str">
        <f ca="1">IFERROR(__xludf.DUMMYFUNCTION("""COMPUTED_VALUE"""),"EPh-UfL2SGqFeqQzH6jNMQ")</f>
        <v>EPh-UfL2SGqFeqQzH6jNMQ</v>
      </c>
      <c r="AA280" s="5"/>
      <c r="AB280" s="5"/>
      <c r="AC280" s="5"/>
      <c r="AD280" s="5">
        <f ca="1">IFERROR(__xludf.DUMMYFUNCTION("""COMPUTED_VALUE"""),57)</f>
        <v>57</v>
      </c>
      <c r="AE280" s="5">
        <f ca="1">IFERROR(__xludf.DUMMYFUNCTION("""COMPUTED_VALUE"""),0)</f>
        <v>0</v>
      </c>
      <c r="AF280" s="5" t="b">
        <f ca="1">IFERROR(__xludf.DUMMYFUNCTION("""COMPUTED_VALUE"""),TRUE)</f>
        <v>1</v>
      </c>
      <c r="AG280" s="5" t="str">
        <f ca="1">IFERROR(__xludf.DUMMYFUNCTION("""COMPUTED_VALUE"""),"INSPECCIONES SIN REALIZAR")</f>
        <v>INSPECCIONES SIN REALIZAR</v>
      </c>
      <c r="AH280" s="5"/>
    </row>
    <row r="281" spans="1:34">
      <c r="A281" s="5" t="str">
        <f ca="1">IFERROR(__xludf.DUMMYFUNCTION("""COMPUTED_VALUE"""),"EQUIPOS PARA SERVICIOS INDUSTRIALES JUGO")</f>
        <v>EQUIPOS PARA SERVICIOS INDUSTRIALES JUGO</v>
      </c>
      <c r="B281" s="5">
        <f ca="1">IFERROR(__xludf.DUMMYFUNCTION("""COMPUTED_VALUE"""),638563)</f>
        <v>638563</v>
      </c>
      <c r="C281" s="5" t="str">
        <f ca="1">IFERROR(__xludf.DUMMYFUNCTION("""COMPUTED_VALUE"""),"CONDENSADOR EVAPORATIIVO JUGOS")</f>
        <v>CONDENSADOR EVAPORATIIVO JUGOS</v>
      </c>
      <c r="D281" s="5">
        <f ca="1">IFERROR(__xludf.DUMMYFUNCTION("""COMPUTED_VALUE"""),13247541)</f>
        <v>13247541</v>
      </c>
      <c r="E281" s="5" t="str">
        <f ca="1">IFERROR(__xludf.DUMMYFUNCTION("""COMPUTED_VALUE"""),"INSPECCION SEMANAL CONDENSADOR EVAPORATI")</f>
        <v>INSPECCION SEMANAL CONDENSADOR EVAPORATI</v>
      </c>
      <c r="F281" s="5" t="str">
        <f ca="1">IFERROR(__xludf.DUMMYFUNCTION("""COMPUTED_VALUE"""),"INSP. BOQUILLAS ASPERSION")</f>
        <v>INSP. BOQUILLAS ASPERSION</v>
      </c>
      <c r="G281" s="5"/>
      <c r="H281" s="5"/>
      <c r="I281" s="5"/>
      <c r="J281" s="5"/>
      <c r="K281" s="5"/>
      <c r="L281" s="18">
        <f ca="1">IFERROR(__xludf.DUMMYFUNCTION("""COMPUTED_VALUE"""),45325)</f>
        <v>45325</v>
      </c>
      <c r="M281" s="18">
        <f ca="1">IFERROR(__xludf.DUMMYFUNCTION("""COMPUTED_VALUE"""),45325)</f>
        <v>45325</v>
      </c>
      <c r="N281" s="5" t="str">
        <f ca="1">IFERROR(__xludf.DUMMYFUNCTION("""COMPUTED_VALUE"""),"Lopez Raul")</f>
        <v>Lopez Raul</v>
      </c>
      <c r="O281" s="2">
        <f ca="1">IFERROR(__xludf.DUMMYFUNCTION("""COMPUTED_VALUE"""),0.003448276)</f>
        <v>3.4482760000000001E-3</v>
      </c>
      <c r="P281" s="5"/>
      <c r="Q281" s="5" t="str">
        <f ca="1">IFERROR(__xludf.DUMMYFUNCTION("""COMPUTED_VALUE"""),"WhQoxKQH5sU")</f>
        <v>WhQoxKQH5sU</v>
      </c>
      <c r="R281" s="5">
        <f ca="1">IFERROR(__xludf.DUMMYFUNCTION("""COMPUTED_VALUE"""),410)</f>
        <v>410</v>
      </c>
      <c r="S281" s="62">
        <f ca="1">IFERROR(__xludf.DUMMYFUNCTION("""COMPUTED_VALUE"""),0.003448276)</f>
        <v>3.4482760000000001E-3</v>
      </c>
      <c r="T281" s="63" t="str">
        <f ca="1">IFERROR(__xludf.DUMMYFUNCTION("""COMPUTED_VALUE"""),"https://storage.googleapis.com/glide-prod.appspot.com/uploads-v2/ly7o78grxPaC6KdgvbpS/pub/UliJWgpEaBovaFmXi6OW.png")</f>
        <v>https://storage.googleapis.com/glide-prod.appspot.com/uploads-v2/ly7o78grxPaC6KdgvbpS/pub/UliJWgpEaBovaFmXi6OW.png</v>
      </c>
      <c r="U281" s="5" t="str">
        <f ca="1">IFERROR(__xludf.DUMMYFUNCTION("""COMPUTED_VALUE"""),"EQUIPOS PARA SERVICIOS INDUSTRIALES JUGOCONDENSADOR EVAPORATIIVO JUGOS")</f>
        <v>EQUIPOS PARA SERVICIOS INDUSTRIALES JUGOCONDENSADOR EVAPORATIIVO JUGOS</v>
      </c>
      <c r="V281" s="5"/>
      <c r="W281" s="5"/>
      <c r="X281" s="5" t="str">
        <f ca="1">IFERROR(__xludf.DUMMYFUNCTION("""COMPUTED_VALUE"""),"wmazorra@postobon.com.co,aprmttoyu@postobon.com.co,aprmyu@postobon.com.co,wmora@postobon.com.co,efzapata@postobon.com.co")</f>
        <v>wmazorra@postobon.com.co,aprmttoyu@postobon.com.co,aprmyu@postobon.com.co,wmora@postobon.com.co,efzapata@postobon.com.co</v>
      </c>
      <c r="Y281" s="5" t="str">
        <f ca="1">IFERROR(__xludf.DUMMYFUNCTION("""COMPUTED_VALUE"""),"wmazorra@postobon.com.co")</f>
        <v>wmazorra@postobon.com.co</v>
      </c>
      <c r="Z281" s="5" t="str">
        <f ca="1">IFERROR(__xludf.DUMMYFUNCTION("""COMPUTED_VALUE"""),"xM3lZwzXTR-0pKkmc4I6Og")</f>
        <v>xM3lZwzXTR-0pKkmc4I6Og</v>
      </c>
      <c r="AA281" s="5"/>
      <c r="AB281" s="5"/>
      <c r="AC281" s="5"/>
      <c r="AD281" s="5">
        <f ca="1">IFERROR(__xludf.DUMMYFUNCTION("""COMPUTED_VALUE"""),57)</f>
        <v>57</v>
      </c>
      <c r="AE281" s="5">
        <f ca="1">IFERROR(__xludf.DUMMYFUNCTION("""COMPUTED_VALUE"""),0)</f>
        <v>0</v>
      </c>
      <c r="AF281" s="5" t="b">
        <f ca="1">IFERROR(__xludf.DUMMYFUNCTION("""COMPUTED_VALUE"""),TRUE)</f>
        <v>1</v>
      </c>
      <c r="AG281" s="5" t="str">
        <f ca="1">IFERROR(__xludf.DUMMYFUNCTION("""COMPUTED_VALUE"""),"INSPECCIONES SIN REALIZAR")</f>
        <v>INSPECCIONES SIN REALIZAR</v>
      </c>
      <c r="AH281" s="5"/>
    </row>
    <row r="282" spans="1:34">
      <c r="A282" s="5" t="str">
        <f ca="1">IFERROR(__xludf.DUMMYFUNCTION("""COMPUTED_VALUE"""),"EQUIPOS PARA SERVICIOS INDUSTRIALES JUGO")</f>
        <v>EQUIPOS PARA SERVICIOS INDUSTRIALES JUGO</v>
      </c>
      <c r="B282" s="5">
        <f ca="1">IFERROR(__xludf.DUMMYFUNCTION("""COMPUTED_VALUE"""),638563)</f>
        <v>638563</v>
      </c>
      <c r="C282" s="5" t="str">
        <f ca="1">IFERROR(__xludf.DUMMYFUNCTION("""COMPUTED_VALUE"""),"CONDENSADOR EVAPORATIIVO JUGOS")</f>
        <v>CONDENSADOR EVAPORATIIVO JUGOS</v>
      </c>
      <c r="D282" s="5">
        <f ca="1">IFERROR(__xludf.DUMMYFUNCTION("""COMPUTED_VALUE"""),13247541)</f>
        <v>13247541</v>
      </c>
      <c r="E282" s="5" t="str">
        <f ca="1">IFERROR(__xludf.DUMMYFUNCTION("""COMPUTED_VALUE"""),"INSPECCION SEMANAL CONDENSADOR EVAPORATI")</f>
        <v>INSPECCION SEMANAL CONDENSADOR EVAPORATI</v>
      </c>
      <c r="F282" s="5" t="str">
        <f ca="1">IFERROR(__xludf.DUMMYFUNCTION("""COMPUTED_VALUE"""),"ESTADO MOTOBOMBAS")</f>
        <v>ESTADO MOTOBOMBAS</v>
      </c>
      <c r="G282" s="5"/>
      <c r="H282" s="5"/>
      <c r="I282" s="5"/>
      <c r="J282" s="5"/>
      <c r="K282" s="5"/>
      <c r="L282" s="18">
        <f ca="1">IFERROR(__xludf.DUMMYFUNCTION("""COMPUTED_VALUE"""),45325)</f>
        <v>45325</v>
      </c>
      <c r="M282" s="18">
        <f ca="1">IFERROR(__xludf.DUMMYFUNCTION("""COMPUTED_VALUE"""),45325)</f>
        <v>45325</v>
      </c>
      <c r="N282" s="5" t="str">
        <f ca="1">IFERROR(__xludf.DUMMYFUNCTION("""COMPUTED_VALUE"""),"Lopez Raul")</f>
        <v>Lopez Raul</v>
      </c>
      <c r="O282" s="2">
        <f ca="1">IFERROR(__xludf.DUMMYFUNCTION("""COMPUTED_VALUE"""),0.003448276)</f>
        <v>3.4482760000000001E-3</v>
      </c>
      <c r="P282" s="5"/>
      <c r="Q282" s="5" t="str">
        <f ca="1">IFERROR(__xludf.DUMMYFUNCTION("""COMPUTED_VALUE"""),"M0SU_F2lxOA")</f>
        <v>M0SU_F2lxOA</v>
      </c>
      <c r="R282" s="5">
        <f ca="1">IFERROR(__xludf.DUMMYFUNCTION("""COMPUTED_VALUE"""),410)</f>
        <v>410</v>
      </c>
      <c r="S282" s="62">
        <f ca="1">IFERROR(__xludf.DUMMYFUNCTION("""COMPUTED_VALUE"""),0.003448276)</f>
        <v>3.4482760000000001E-3</v>
      </c>
      <c r="T282" s="63" t="str">
        <f ca="1">IFERROR(__xludf.DUMMYFUNCTION("""COMPUTED_VALUE"""),"https://storage.googleapis.com/glide-prod.appspot.com/uploads-v2/ly7o78grxPaC6KdgvbpS/pub/UliJWgpEaBovaFmXi6OW.png")</f>
        <v>https://storage.googleapis.com/glide-prod.appspot.com/uploads-v2/ly7o78grxPaC6KdgvbpS/pub/UliJWgpEaBovaFmXi6OW.png</v>
      </c>
      <c r="U282" s="5" t="str">
        <f ca="1">IFERROR(__xludf.DUMMYFUNCTION("""COMPUTED_VALUE"""),"EQUIPOS PARA SERVICIOS INDUSTRIALES JUGOCONDENSADOR EVAPORATIIVO JUGOS")</f>
        <v>EQUIPOS PARA SERVICIOS INDUSTRIALES JUGOCONDENSADOR EVAPORATIIVO JUGOS</v>
      </c>
      <c r="V282" s="5"/>
      <c r="W282" s="5"/>
      <c r="X282" s="5" t="str">
        <f ca="1">IFERROR(__xludf.DUMMYFUNCTION("""COMPUTED_VALUE"""),"wmazorra@postobon.com.co,aprmttoyu@postobon.com.co,aprmyu@postobon.com.co,wmora@postobon.com.co,efzapata@postobon.com.co")</f>
        <v>wmazorra@postobon.com.co,aprmttoyu@postobon.com.co,aprmyu@postobon.com.co,wmora@postobon.com.co,efzapata@postobon.com.co</v>
      </c>
      <c r="Y282" s="5" t="str">
        <f ca="1">IFERROR(__xludf.DUMMYFUNCTION("""COMPUTED_VALUE"""),"wmazorra@postobon.com.co")</f>
        <v>wmazorra@postobon.com.co</v>
      </c>
      <c r="Z282" s="5" t="str">
        <f ca="1">IFERROR(__xludf.DUMMYFUNCTION("""COMPUTED_VALUE"""),"QjJB0lu9RbWAyJvNKPseMQ")</f>
        <v>QjJB0lu9RbWAyJvNKPseMQ</v>
      </c>
      <c r="AA282" s="5"/>
      <c r="AB282" s="5"/>
      <c r="AC282" s="5"/>
      <c r="AD282" s="5">
        <f ca="1">IFERROR(__xludf.DUMMYFUNCTION("""COMPUTED_VALUE"""),57)</f>
        <v>57</v>
      </c>
      <c r="AE282" s="5">
        <f ca="1">IFERROR(__xludf.DUMMYFUNCTION("""COMPUTED_VALUE"""),0)</f>
        <v>0</v>
      </c>
      <c r="AF282" s="5" t="b">
        <f ca="1">IFERROR(__xludf.DUMMYFUNCTION("""COMPUTED_VALUE"""),TRUE)</f>
        <v>1</v>
      </c>
      <c r="AG282" s="5" t="str">
        <f ca="1">IFERROR(__xludf.DUMMYFUNCTION("""COMPUTED_VALUE"""),"INSPECCIONES SIN REALIZAR")</f>
        <v>INSPECCIONES SIN REALIZAR</v>
      </c>
      <c r="AH282" s="5"/>
    </row>
    <row r="283" spans="1:34">
      <c r="A283" s="5" t="str">
        <f ca="1">IFERROR(__xludf.DUMMYFUNCTION("""COMPUTED_VALUE"""),"EQUIPOS PARA SERVICIOS INDUSTRIALES JUGO")</f>
        <v>EQUIPOS PARA SERVICIOS INDUSTRIALES JUGO</v>
      </c>
      <c r="B283" s="5">
        <f ca="1">IFERROR(__xludf.DUMMYFUNCTION("""COMPUTED_VALUE"""),638563)</f>
        <v>638563</v>
      </c>
      <c r="C283" s="5" t="str">
        <f ca="1">IFERROR(__xludf.DUMMYFUNCTION("""COMPUTED_VALUE"""),"CONDENSADOR EVAPORATIIVO JUGOS")</f>
        <v>CONDENSADOR EVAPORATIIVO JUGOS</v>
      </c>
      <c r="D283" s="5">
        <f ca="1">IFERROR(__xludf.DUMMYFUNCTION("""COMPUTED_VALUE"""),13247541)</f>
        <v>13247541</v>
      </c>
      <c r="E283" s="5" t="str">
        <f ca="1">IFERROR(__xludf.DUMMYFUNCTION("""COMPUTED_VALUE"""),"INSPECCION SEMANAL CONDENSADOR EVAPORATI")</f>
        <v>INSPECCION SEMANAL CONDENSADOR EVAPORATI</v>
      </c>
      <c r="F283" s="5" t="str">
        <f ca="1">IFERROR(__xludf.DUMMYFUNCTION("""COMPUTED_VALUE"""),"ESTADO VENTILADORES")</f>
        <v>ESTADO VENTILADORES</v>
      </c>
      <c r="G283" s="5"/>
      <c r="H283" s="5"/>
      <c r="I283" s="5"/>
      <c r="J283" s="5"/>
      <c r="K283" s="5"/>
      <c r="L283" s="18">
        <f ca="1">IFERROR(__xludf.DUMMYFUNCTION("""COMPUTED_VALUE"""),45325)</f>
        <v>45325</v>
      </c>
      <c r="M283" s="18">
        <f ca="1">IFERROR(__xludf.DUMMYFUNCTION("""COMPUTED_VALUE"""),45325)</f>
        <v>45325</v>
      </c>
      <c r="N283" s="5" t="str">
        <f ca="1">IFERROR(__xludf.DUMMYFUNCTION("""COMPUTED_VALUE"""),"Lopez Raul")</f>
        <v>Lopez Raul</v>
      </c>
      <c r="O283" s="2">
        <f ca="1">IFERROR(__xludf.DUMMYFUNCTION("""COMPUTED_VALUE"""),0.003448276)</f>
        <v>3.4482760000000001E-3</v>
      </c>
      <c r="P283" s="5"/>
      <c r="Q283" s="5" t="str">
        <f ca="1">IFERROR(__xludf.DUMMYFUNCTION("""COMPUTED_VALUE"""),"v2mBzfo-kFg")</f>
        <v>v2mBzfo-kFg</v>
      </c>
      <c r="R283" s="5">
        <f ca="1">IFERROR(__xludf.DUMMYFUNCTION("""COMPUTED_VALUE"""),410)</f>
        <v>410</v>
      </c>
      <c r="S283" s="62">
        <f ca="1">IFERROR(__xludf.DUMMYFUNCTION("""COMPUTED_VALUE"""),0.003448276)</f>
        <v>3.4482760000000001E-3</v>
      </c>
      <c r="T283" s="63" t="str">
        <f ca="1">IFERROR(__xludf.DUMMYFUNCTION("""COMPUTED_VALUE"""),"https://storage.googleapis.com/glide-prod.appspot.com/uploads-v2/ly7o78grxPaC6KdgvbpS/pub/UliJWgpEaBovaFmXi6OW.png")</f>
        <v>https://storage.googleapis.com/glide-prod.appspot.com/uploads-v2/ly7o78grxPaC6KdgvbpS/pub/UliJWgpEaBovaFmXi6OW.png</v>
      </c>
      <c r="U283" s="5" t="str">
        <f ca="1">IFERROR(__xludf.DUMMYFUNCTION("""COMPUTED_VALUE"""),"EQUIPOS PARA SERVICIOS INDUSTRIALES JUGOCONDENSADOR EVAPORATIIVO JUGOS")</f>
        <v>EQUIPOS PARA SERVICIOS INDUSTRIALES JUGOCONDENSADOR EVAPORATIIVO JUGOS</v>
      </c>
      <c r="V283" s="5"/>
      <c r="W283" s="5"/>
      <c r="X283" s="5" t="str">
        <f ca="1">IFERROR(__xludf.DUMMYFUNCTION("""COMPUTED_VALUE"""),"wmazorra@postobon.com.co,aprmttoyu@postobon.com.co,aprmyu@postobon.com.co,wmora@postobon.com.co,efzapata@postobon.com.co")</f>
        <v>wmazorra@postobon.com.co,aprmttoyu@postobon.com.co,aprmyu@postobon.com.co,wmora@postobon.com.co,efzapata@postobon.com.co</v>
      </c>
      <c r="Y283" s="5" t="str">
        <f ca="1">IFERROR(__xludf.DUMMYFUNCTION("""COMPUTED_VALUE"""),"wmazorra@postobon.com.co")</f>
        <v>wmazorra@postobon.com.co</v>
      </c>
      <c r="Z283" s="5" t="str">
        <f ca="1">IFERROR(__xludf.DUMMYFUNCTION("""COMPUTED_VALUE"""),"fMF-XNT9ShiwCSVbMgRKCQ")</f>
        <v>fMF-XNT9ShiwCSVbMgRKCQ</v>
      </c>
      <c r="AA283" s="5"/>
      <c r="AB283" s="5"/>
      <c r="AC283" s="5"/>
      <c r="AD283" s="5">
        <f ca="1">IFERROR(__xludf.DUMMYFUNCTION("""COMPUTED_VALUE"""),57)</f>
        <v>57</v>
      </c>
      <c r="AE283" s="5">
        <f ca="1">IFERROR(__xludf.DUMMYFUNCTION("""COMPUTED_VALUE"""),0)</f>
        <v>0</v>
      </c>
      <c r="AF283" s="5" t="b">
        <f ca="1">IFERROR(__xludf.DUMMYFUNCTION("""COMPUTED_VALUE"""),TRUE)</f>
        <v>1</v>
      </c>
      <c r="AG283" s="5" t="str">
        <f ca="1">IFERROR(__xludf.DUMMYFUNCTION("""COMPUTED_VALUE"""),"INSPECCIONES SIN REALIZAR")</f>
        <v>INSPECCIONES SIN REALIZAR</v>
      </c>
      <c r="AH283" s="5"/>
    </row>
    <row r="284" spans="1:34">
      <c r="A284" s="5" t="str">
        <f ca="1">IFERROR(__xludf.DUMMYFUNCTION("""COMPUTED_VALUE"""),"EQUIPOS PARA SERVICIOS INDUSTRIALES JUGO")</f>
        <v>EQUIPOS PARA SERVICIOS INDUSTRIALES JUGO</v>
      </c>
      <c r="B284" s="5">
        <f ca="1">IFERROR(__xludf.DUMMYFUNCTION("""COMPUTED_VALUE"""),638563)</f>
        <v>638563</v>
      </c>
      <c r="C284" s="5" t="str">
        <f ca="1">IFERROR(__xludf.DUMMYFUNCTION("""COMPUTED_VALUE"""),"CONDENSADOR EVAPORATIIVO JUGOS")</f>
        <v>CONDENSADOR EVAPORATIIVO JUGOS</v>
      </c>
      <c r="D284" s="5">
        <f ca="1">IFERROR(__xludf.DUMMYFUNCTION("""COMPUTED_VALUE"""),13247541)</f>
        <v>13247541</v>
      </c>
      <c r="E284" s="5" t="str">
        <f ca="1">IFERROR(__xludf.DUMMYFUNCTION("""COMPUTED_VALUE"""),"INSPECCION SEMANAL CONDENSADOR EVAPORATI")</f>
        <v>INSPECCION SEMANAL CONDENSADOR EVAPORATI</v>
      </c>
      <c r="F284" s="5" t="str">
        <f ca="1">IFERROR(__xludf.DUMMYFUNCTION("""COMPUTED_VALUE"""),"INSTRUMENTACION")</f>
        <v>INSTRUMENTACION</v>
      </c>
      <c r="G284" s="5"/>
      <c r="H284" s="5"/>
      <c r="I284" s="5"/>
      <c r="J284" s="5"/>
      <c r="K284" s="5"/>
      <c r="L284" s="18">
        <f ca="1">IFERROR(__xludf.DUMMYFUNCTION("""COMPUTED_VALUE"""),45325)</f>
        <v>45325</v>
      </c>
      <c r="M284" s="18">
        <f ca="1">IFERROR(__xludf.DUMMYFUNCTION("""COMPUTED_VALUE"""),45325)</f>
        <v>45325</v>
      </c>
      <c r="N284" s="5" t="str">
        <f ca="1">IFERROR(__xludf.DUMMYFUNCTION("""COMPUTED_VALUE"""),"Lopez Raul")</f>
        <v>Lopez Raul</v>
      </c>
      <c r="O284" s="2">
        <f ca="1">IFERROR(__xludf.DUMMYFUNCTION("""COMPUTED_VALUE"""),0.003448276)</f>
        <v>3.4482760000000001E-3</v>
      </c>
      <c r="P284" s="5"/>
      <c r="Q284" s="5" t="str">
        <f ca="1">IFERROR(__xludf.DUMMYFUNCTION("""COMPUTED_VALUE"""),"JOKTiHMkfpE")</f>
        <v>JOKTiHMkfpE</v>
      </c>
      <c r="R284" s="5">
        <f ca="1">IFERROR(__xludf.DUMMYFUNCTION("""COMPUTED_VALUE"""),410)</f>
        <v>410</v>
      </c>
      <c r="S284" s="62">
        <f ca="1">IFERROR(__xludf.DUMMYFUNCTION("""COMPUTED_VALUE"""),0.003448276)</f>
        <v>3.4482760000000001E-3</v>
      </c>
      <c r="T284" s="63" t="str">
        <f ca="1">IFERROR(__xludf.DUMMYFUNCTION("""COMPUTED_VALUE"""),"https://storage.googleapis.com/glide-prod.appspot.com/uploads-v2/ly7o78grxPaC6KdgvbpS/pub/UliJWgpEaBovaFmXi6OW.png")</f>
        <v>https://storage.googleapis.com/glide-prod.appspot.com/uploads-v2/ly7o78grxPaC6KdgvbpS/pub/UliJWgpEaBovaFmXi6OW.png</v>
      </c>
      <c r="U284" s="5" t="str">
        <f ca="1">IFERROR(__xludf.DUMMYFUNCTION("""COMPUTED_VALUE"""),"EQUIPOS PARA SERVICIOS INDUSTRIALES JUGOCONDENSADOR EVAPORATIIVO JUGOS")</f>
        <v>EQUIPOS PARA SERVICIOS INDUSTRIALES JUGOCONDENSADOR EVAPORATIIVO JUGOS</v>
      </c>
      <c r="V284" s="5"/>
      <c r="W284" s="5"/>
      <c r="X284" s="5" t="str">
        <f ca="1">IFERROR(__xludf.DUMMYFUNCTION("""COMPUTED_VALUE"""),"wmazorra@postobon.com.co,aprmttoyu@postobon.com.co,aprmyu@postobon.com.co,wmora@postobon.com.co,efzapata@postobon.com.co")</f>
        <v>wmazorra@postobon.com.co,aprmttoyu@postobon.com.co,aprmyu@postobon.com.co,wmora@postobon.com.co,efzapata@postobon.com.co</v>
      </c>
      <c r="Y284" s="5" t="str">
        <f ca="1">IFERROR(__xludf.DUMMYFUNCTION("""COMPUTED_VALUE"""),"wmazorra@postobon.com.co")</f>
        <v>wmazorra@postobon.com.co</v>
      </c>
      <c r="Z284" s="5" t="str">
        <f ca="1">IFERROR(__xludf.DUMMYFUNCTION("""COMPUTED_VALUE"""),"ytwSzAUbTbubqBgYl2JoTQ")</f>
        <v>ytwSzAUbTbubqBgYl2JoTQ</v>
      </c>
      <c r="AA284" s="5"/>
      <c r="AB284" s="5"/>
      <c r="AC284" s="5"/>
      <c r="AD284" s="5">
        <f ca="1">IFERROR(__xludf.DUMMYFUNCTION("""COMPUTED_VALUE"""),57)</f>
        <v>57</v>
      </c>
      <c r="AE284" s="5">
        <f ca="1">IFERROR(__xludf.DUMMYFUNCTION("""COMPUTED_VALUE"""),0)</f>
        <v>0</v>
      </c>
      <c r="AF284" s="5" t="b">
        <f ca="1">IFERROR(__xludf.DUMMYFUNCTION("""COMPUTED_VALUE"""),TRUE)</f>
        <v>1</v>
      </c>
      <c r="AG284" s="5" t="str">
        <f ca="1">IFERROR(__xludf.DUMMYFUNCTION("""COMPUTED_VALUE"""),"INSPECCIONES SIN REALIZAR")</f>
        <v>INSPECCIONES SIN REALIZAR</v>
      </c>
      <c r="AH284" s="5"/>
    </row>
    <row r="285" spans="1:34">
      <c r="A285" s="5" t="str">
        <f ca="1">IFERROR(__xludf.DUMMYFUNCTION("""COMPUTED_VALUE"""),"EQUIPOS PARA SERVICIOS INDUSTRIALES JUGO")</f>
        <v>EQUIPOS PARA SERVICIOS INDUSTRIALES JUGO</v>
      </c>
      <c r="B285" s="5">
        <f ca="1">IFERROR(__xludf.DUMMYFUNCTION("""COMPUTED_VALUE"""),638563)</f>
        <v>638563</v>
      </c>
      <c r="C285" s="5" t="str">
        <f ca="1">IFERROR(__xludf.DUMMYFUNCTION("""COMPUTED_VALUE"""),"CONDENSADOR EVAPORATIIVO JUGOS")</f>
        <v>CONDENSADOR EVAPORATIIVO JUGOS</v>
      </c>
      <c r="D285" s="5">
        <f ca="1">IFERROR(__xludf.DUMMYFUNCTION("""COMPUTED_VALUE"""),13247541)</f>
        <v>13247541</v>
      </c>
      <c r="E285" s="5" t="str">
        <f ca="1">IFERROR(__xludf.DUMMYFUNCTION("""COMPUTED_VALUE"""),"INSPECCION SEMANAL CONDENSADOR EVAPORATI")</f>
        <v>INSPECCION SEMANAL CONDENSADOR EVAPORATI</v>
      </c>
      <c r="F285" s="5" t="str">
        <f ca="1">IFERROR(__xludf.DUMMYFUNCTION("""COMPUTED_VALUE"""),"VALVULAS SEGURIDAD")</f>
        <v>VALVULAS SEGURIDAD</v>
      </c>
      <c r="G285" s="5"/>
      <c r="H285" s="5"/>
      <c r="I285" s="5"/>
      <c r="J285" s="5"/>
      <c r="K285" s="5"/>
      <c r="L285" s="18">
        <f ca="1">IFERROR(__xludf.DUMMYFUNCTION("""COMPUTED_VALUE"""),45325)</f>
        <v>45325</v>
      </c>
      <c r="M285" s="18">
        <f ca="1">IFERROR(__xludf.DUMMYFUNCTION("""COMPUTED_VALUE"""),45325)</f>
        <v>45325</v>
      </c>
      <c r="N285" s="5" t="str">
        <f ca="1">IFERROR(__xludf.DUMMYFUNCTION("""COMPUTED_VALUE"""),"Lopez Raul")</f>
        <v>Lopez Raul</v>
      </c>
      <c r="O285" s="2">
        <f ca="1">IFERROR(__xludf.DUMMYFUNCTION("""COMPUTED_VALUE"""),0.003448276)</f>
        <v>3.4482760000000001E-3</v>
      </c>
      <c r="P285" s="5"/>
      <c r="Q285" s="5" t="str">
        <f ca="1">IFERROR(__xludf.DUMMYFUNCTION("""COMPUTED_VALUE"""),"LPOFn1NpH6s")</f>
        <v>LPOFn1NpH6s</v>
      </c>
      <c r="R285" s="5">
        <f ca="1">IFERROR(__xludf.DUMMYFUNCTION("""COMPUTED_VALUE"""),410)</f>
        <v>410</v>
      </c>
      <c r="S285" s="62">
        <f ca="1">IFERROR(__xludf.DUMMYFUNCTION("""COMPUTED_VALUE"""),0.003448276)</f>
        <v>3.4482760000000001E-3</v>
      </c>
      <c r="T285" s="63" t="str">
        <f ca="1">IFERROR(__xludf.DUMMYFUNCTION("""COMPUTED_VALUE"""),"https://storage.googleapis.com/glide-prod.appspot.com/uploads-v2/ly7o78grxPaC6KdgvbpS/pub/UliJWgpEaBovaFmXi6OW.png")</f>
        <v>https://storage.googleapis.com/glide-prod.appspot.com/uploads-v2/ly7o78grxPaC6KdgvbpS/pub/UliJWgpEaBovaFmXi6OW.png</v>
      </c>
      <c r="U285" s="5" t="str">
        <f ca="1">IFERROR(__xludf.DUMMYFUNCTION("""COMPUTED_VALUE"""),"EQUIPOS PARA SERVICIOS INDUSTRIALES JUGOCONDENSADOR EVAPORATIIVO JUGOS")</f>
        <v>EQUIPOS PARA SERVICIOS INDUSTRIALES JUGOCONDENSADOR EVAPORATIIVO JUGOS</v>
      </c>
      <c r="V285" s="5"/>
      <c r="W285" s="5"/>
      <c r="X285" s="5" t="str">
        <f ca="1">IFERROR(__xludf.DUMMYFUNCTION("""COMPUTED_VALUE"""),"wmazorra@postobon.com.co,aprmttoyu@postobon.com.co,aprmyu@postobon.com.co,wmora@postobon.com.co,efzapata@postobon.com.co")</f>
        <v>wmazorra@postobon.com.co,aprmttoyu@postobon.com.co,aprmyu@postobon.com.co,wmora@postobon.com.co,efzapata@postobon.com.co</v>
      </c>
      <c r="Y285" s="5" t="str">
        <f ca="1">IFERROR(__xludf.DUMMYFUNCTION("""COMPUTED_VALUE"""),"wmazorra@postobon.com.co")</f>
        <v>wmazorra@postobon.com.co</v>
      </c>
      <c r="Z285" s="5" t="str">
        <f ca="1">IFERROR(__xludf.DUMMYFUNCTION("""COMPUTED_VALUE"""),"9RjOmBx8SGOB7AxJDI-I.w")</f>
        <v>9RjOmBx8SGOB7AxJDI-I.w</v>
      </c>
      <c r="AA285" s="5"/>
      <c r="AB285" s="5"/>
      <c r="AC285" s="5"/>
      <c r="AD285" s="5">
        <f ca="1">IFERROR(__xludf.DUMMYFUNCTION("""COMPUTED_VALUE"""),57)</f>
        <v>57</v>
      </c>
      <c r="AE285" s="5">
        <f ca="1">IFERROR(__xludf.DUMMYFUNCTION("""COMPUTED_VALUE"""),0)</f>
        <v>0</v>
      </c>
      <c r="AF285" s="5" t="b">
        <f ca="1">IFERROR(__xludf.DUMMYFUNCTION("""COMPUTED_VALUE"""),TRUE)</f>
        <v>1</v>
      </c>
      <c r="AG285" s="5" t="str">
        <f ca="1">IFERROR(__xludf.DUMMYFUNCTION("""COMPUTED_VALUE"""),"INSPECCIONES SIN REALIZAR")</f>
        <v>INSPECCIONES SIN REALIZAR</v>
      </c>
      <c r="AH285" s="5"/>
    </row>
    <row r="286" spans="1:34">
      <c r="A286" s="5" t="str">
        <f ca="1">IFERROR(__xludf.DUMMYFUNCTION("""COMPUTED_VALUE"""),"EQUIPOS PARA SERVICIOS INDUSTRIALES JUGO")</f>
        <v>EQUIPOS PARA SERVICIOS INDUSTRIALES JUGO</v>
      </c>
      <c r="B286" s="5">
        <f ca="1">IFERROR(__xludf.DUMMYFUNCTION("""COMPUTED_VALUE"""),638563)</f>
        <v>638563</v>
      </c>
      <c r="C286" s="5" t="str">
        <f ca="1">IFERROR(__xludf.DUMMYFUNCTION("""COMPUTED_VALUE"""),"CONDENSADOR EVAPORATIIVO JUGOS")</f>
        <v>CONDENSADOR EVAPORATIIVO JUGOS</v>
      </c>
      <c r="D286" s="5">
        <f ca="1">IFERROR(__xludf.DUMMYFUNCTION("""COMPUTED_VALUE"""),13247541)</f>
        <v>13247541</v>
      </c>
      <c r="E286" s="5" t="str">
        <f ca="1">IFERROR(__xludf.DUMMYFUNCTION("""COMPUTED_VALUE"""),"INSPECCION SEMANAL CONDENSADOR EVAPORATI")</f>
        <v>INSPECCION SEMANAL CONDENSADOR EVAPORATI</v>
      </c>
      <c r="F286" s="5" t="str">
        <f ca="1">IFERROR(__xludf.DUMMYFUNCTION("""COMPUTED_VALUE"""),"ESTADO DE DEFLECTORES")</f>
        <v>ESTADO DE DEFLECTORES</v>
      </c>
      <c r="G286" s="5"/>
      <c r="H286" s="5"/>
      <c r="I286" s="5"/>
      <c r="J286" s="5"/>
      <c r="K286" s="5"/>
      <c r="L286" s="18">
        <f ca="1">IFERROR(__xludf.DUMMYFUNCTION("""COMPUTED_VALUE"""),45325)</f>
        <v>45325</v>
      </c>
      <c r="M286" s="18">
        <f ca="1">IFERROR(__xludf.DUMMYFUNCTION("""COMPUTED_VALUE"""),45325)</f>
        <v>45325</v>
      </c>
      <c r="N286" s="5" t="str">
        <f ca="1">IFERROR(__xludf.DUMMYFUNCTION("""COMPUTED_VALUE"""),"Lopez Raul")</f>
        <v>Lopez Raul</v>
      </c>
      <c r="O286" s="2">
        <f ca="1">IFERROR(__xludf.DUMMYFUNCTION("""COMPUTED_VALUE"""),0.003448276)</f>
        <v>3.4482760000000001E-3</v>
      </c>
      <c r="P286" s="5"/>
      <c r="Q286" s="5" t="str">
        <f ca="1">IFERROR(__xludf.DUMMYFUNCTION("""COMPUTED_VALUE"""),"BCY9zrK2f9E")</f>
        <v>BCY9zrK2f9E</v>
      </c>
      <c r="R286" s="5">
        <f ca="1">IFERROR(__xludf.DUMMYFUNCTION("""COMPUTED_VALUE"""),410)</f>
        <v>410</v>
      </c>
      <c r="S286" s="62">
        <f ca="1">IFERROR(__xludf.DUMMYFUNCTION("""COMPUTED_VALUE"""),0.003448276)</f>
        <v>3.4482760000000001E-3</v>
      </c>
      <c r="T286" s="63" t="str">
        <f ca="1">IFERROR(__xludf.DUMMYFUNCTION("""COMPUTED_VALUE"""),"https://storage.googleapis.com/glide-prod.appspot.com/uploads-v2/ly7o78grxPaC6KdgvbpS/pub/UliJWgpEaBovaFmXi6OW.png")</f>
        <v>https://storage.googleapis.com/glide-prod.appspot.com/uploads-v2/ly7o78grxPaC6KdgvbpS/pub/UliJWgpEaBovaFmXi6OW.png</v>
      </c>
      <c r="U286" s="5" t="str">
        <f ca="1">IFERROR(__xludf.DUMMYFUNCTION("""COMPUTED_VALUE"""),"EQUIPOS PARA SERVICIOS INDUSTRIALES JUGOCONDENSADOR EVAPORATIIVO JUGOS")</f>
        <v>EQUIPOS PARA SERVICIOS INDUSTRIALES JUGOCONDENSADOR EVAPORATIIVO JUGOS</v>
      </c>
      <c r="V286" s="5"/>
      <c r="W286" s="5"/>
      <c r="X286" s="5" t="str">
        <f ca="1">IFERROR(__xludf.DUMMYFUNCTION("""COMPUTED_VALUE"""),"wmazorra@postobon.com.co,aprmttoyu@postobon.com.co,aprmyu@postobon.com.co,wmora@postobon.com.co,efzapata@postobon.com.co")</f>
        <v>wmazorra@postobon.com.co,aprmttoyu@postobon.com.co,aprmyu@postobon.com.co,wmora@postobon.com.co,efzapata@postobon.com.co</v>
      </c>
      <c r="Y286" s="5" t="str">
        <f ca="1">IFERROR(__xludf.DUMMYFUNCTION("""COMPUTED_VALUE"""),"wmazorra@postobon.com.co")</f>
        <v>wmazorra@postobon.com.co</v>
      </c>
      <c r="Z286" s="5" t="str">
        <f ca="1">IFERROR(__xludf.DUMMYFUNCTION("""COMPUTED_VALUE"""),"Kjd0iw6cTHqbziiaOYQlAQ")</f>
        <v>Kjd0iw6cTHqbziiaOYQlAQ</v>
      </c>
      <c r="AA286" s="5"/>
      <c r="AB286" s="5"/>
      <c r="AC286" s="5"/>
      <c r="AD286" s="5">
        <f ca="1">IFERROR(__xludf.DUMMYFUNCTION("""COMPUTED_VALUE"""),57)</f>
        <v>57</v>
      </c>
      <c r="AE286" s="5">
        <f ca="1">IFERROR(__xludf.DUMMYFUNCTION("""COMPUTED_VALUE"""),0)</f>
        <v>0</v>
      </c>
      <c r="AF286" s="5" t="b">
        <f ca="1">IFERROR(__xludf.DUMMYFUNCTION("""COMPUTED_VALUE"""),TRUE)</f>
        <v>1</v>
      </c>
      <c r="AG286" s="5" t="str">
        <f ca="1">IFERROR(__xludf.DUMMYFUNCTION("""COMPUTED_VALUE"""),"INSPECCIONES SIN REALIZAR")</f>
        <v>INSPECCIONES SIN REALIZAR</v>
      </c>
      <c r="AH286" s="5"/>
    </row>
    <row r="287" spans="1:34">
      <c r="A287" s="5" t="str">
        <f ca="1">IFERROR(__xludf.DUMMYFUNCTION("""COMPUTED_VALUE"""),"EQUIPOS PARA SERVICIOS INDUSTRIALES JUGO")</f>
        <v>EQUIPOS PARA SERVICIOS INDUSTRIALES JUGO</v>
      </c>
      <c r="B287" s="5">
        <f ca="1">IFERROR(__xludf.DUMMYFUNCTION("""COMPUTED_VALUE"""),638563)</f>
        <v>638563</v>
      </c>
      <c r="C287" s="5" t="str">
        <f ca="1">IFERROR(__xludf.DUMMYFUNCTION("""COMPUTED_VALUE"""),"CONDENSADOR EVAPORATIIVO JUGOS")</f>
        <v>CONDENSADOR EVAPORATIIVO JUGOS</v>
      </c>
      <c r="D287" s="5">
        <f ca="1">IFERROR(__xludf.DUMMYFUNCTION("""COMPUTED_VALUE"""),13247541)</f>
        <v>13247541</v>
      </c>
      <c r="E287" s="5" t="str">
        <f ca="1">IFERROR(__xludf.DUMMYFUNCTION("""COMPUTED_VALUE"""),"INSPECCION SEMANAL CONDENSADOR EVAPORATI")</f>
        <v>INSPECCION SEMANAL CONDENSADOR EVAPORATI</v>
      </c>
      <c r="F287" s="5" t="str">
        <f ca="1">IFERROR(__xludf.DUMMYFUNCTION("""COMPUTED_VALUE"""),"ESTADO GRAL, PINTURA")</f>
        <v>ESTADO GRAL, PINTURA</v>
      </c>
      <c r="G287" s="5"/>
      <c r="H287" s="5"/>
      <c r="I287" s="5"/>
      <c r="J287" s="5"/>
      <c r="K287" s="5"/>
      <c r="L287" s="18">
        <f ca="1">IFERROR(__xludf.DUMMYFUNCTION("""COMPUTED_VALUE"""),45325)</f>
        <v>45325</v>
      </c>
      <c r="M287" s="18">
        <f ca="1">IFERROR(__xludf.DUMMYFUNCTION("""COMPUTED_VALUE"""),45325)</f>
        <v>45325</v>
      </c>
      <c r="N287" s="5" t="str">
        <f ca="1">IFERROR(__xludf.DUMMYFUNCTION("""COMPUTED_VALUE"""),"Lopez Raul")</f>
        <v>Lopez Raul</v>
      </c>
      <c r="O287" s="2">
        <f ca="1">IFERROR(__xludf.DUMMYFUNCTION("""COMPUTED_VALUE"""),0.003448276)</f>
        <v>3.4482760000000001E-3</v>
      </c>
      <c r="P287" s="5"/>
      <c r="Q287" s="5" t="str">
        <f ca="1">IFERROR(__xludf.DUMMYFUNCTION("""COMPUTED_VALUE"""),"6xh2jlYWh8A")</f>
        <v>6xh2jlYWh8A</v>
      </c>
      <c r="R287" s="5">
        <f ca="1">IFERROR(__xludf.DUMMYFUNCTION("""COMPUTED_VALUE"""),410)</f>
        <v>410</v>
      </c>
      <c r="S287" s="62">
        <f ca="1">IFERROR(__xludf.DUMMYFUNCTION("""COMPUTED_VALUE"""),0.003448276)</f>
        <v>3.4482760000000001E-3</v>
      </c>
      <c r="T287" s="63" t="str">
        <f ca="1">IFERROR(__xludf.DUMMYFUNCTION("""COMPUTED_VALUE"""),"https://storage.googleapis.com/glide-prod.appspot.com/uploads-v2/ly7o78grxPaC6KdgvbpS/pub/UliJWgpEaBovaFmXi6OW.png")</f>
        <v>https://storage.googleapis.com/glide-prod.appspot.com/uploads-v2/ly7o78grxPaC6KdgvbpS/pub/UliJWgpEaBovaFmXi6OW.png</v>
      </c>
      <c r="U287" s="5" t="str">
        <f ca="1">IFERROR(__xludf.DUMMYFUNCTION("""COMPUTED_VALUE"""),"EQUIPOS PARA SERVICIOS INDUSTRIALES JUGOCONDENSADOR EVAPORATIIVO JUGOS")</f>
        <v>EQUIPOS PARA SERVICIOS INDUSTRIALES JUGOCONDENSADOR EVAPORATIIVO JUGOS</v>
      </c>
      <c r="V287" s="5"/>
      <c r="W287" s="5"/>
      <c r="X287" s="5" t="str">
        <f ca="1">IFERROR(__xludf.DUMMYFUNCTION("""COMPUTED_VALUE"""),"wmazorra@postobon.com.co,aprmttoyu@postobon.com.co,aprmyu@postobon.com.co,wmora@postobon.com.co,efzapata@postobon.com.co")</f>
        <v>wmazorra@postobon.com.co,aprmttoyu@postobon.com.co,aprmyu@postobon.com.co,wmora@postobon.com.co,efzapata@postobon.com.co</v>
      </c>
      <c r="Y287" s="5" t="str">
        <f ca="1">IFERROR(__xludf.DUMMYFUNCTION("""COMPUTED_VALUE"""),"wmazorra@postobon.com.co")</f>
        <v>wmazorra@postobon.com.co</v>
      </c>
      <c r="Z287" s="5" t="str">
        <f ca="1">IFERROR(__xludf.DUMMYFUNCTION("""COMPUTED_VALUE"""),"VqKIjnn8R-uGJBZ5F5LZgQ")</f>
        <v>VqKIjnn8R-uGJBZ5F5LZgQ</v>
      </c>
      <c r="AA287" s="5"/>
      <c r="AB287" s="5"/>
      <c r="AC287" s="5"/>
      <c r="AD287" s="5">
        <f ca="1">IFERROR(__xludf.DUMMYFUNCTION("""COMPUTED_VALUE"""),57)</f>
        <v>57</v>
      </c>
      <c r="AE287" s="5">
        <f ca="1">IFERROR(__xludf.DUMMYFUNCTION("""COMPUTED_VALUE"""),0)</f>
        <v>0</v>
      </c>
      <c r="AF287" s="5" t="b">
        <f ca="1">IFERROR(__xludf.DUMMYFUNCTION("""COMPUTED_VALUE"""),TRUE)</f>
        <v>1</v>
      </c>
      <c r="AG287" s="5" t="str">
        <f ca="1">IFERROR(__xludf.DUMMYFUNCTION("""COMPUTED_VALUE"""),"INSPECCIONES SIN REALIZAR")</f>
        <v>INSPECCIONES SIN REALIZAR</v>
      </c>
      <c r="AH287" s="5"/>
    </row>
    <row r="288" spans="1:34">
      <c r="A288" s="5" t="str">
        <f ca="1">IFERROR(__xludf.DUMMYFUNCTION("""COMPUTED_VALUE"""),"EQUIPOS PARA SERVICIOS INDUSTRIALES JUGO")</f>
        <v>EQUIPOS PARA SERVICIOS INDUSTRIALES JUGO</v>
      </c>
      <c r="B288" s="5">
        <f ca="1">IFERROR(__xludf.DUMMYFUNCTION("""COMPUTED_VALUE"""),638563)</f>
        <v>638563</v>
      </c>
      <c r="C288" s="5" t="str">
        <f ca="1">IFERROR(__xludf.DUMMYFUNCTION("""COMPUTED_VALUE"""),"CONDENSADOR EVAPORATIIVO JUGOS")</f>
        <v>CONDENSADOR EVAPORATIIVO JUGOS</v>
      </c>
      <c r="D288" s="5">
        <f ca="1">IFERROR(__xludf.DUMMYFUNCTION("""COMPUTED_VALUE"""),13247541)</f>
        <v>13247541</v>
      </c>
      <c r="E288" s="5" t="str">
        <f ca="1">IFERROR(__xludf.DUMMYFUNCTION("""COMPUTED_VALUE"""),"INSPECCION SEMANAL CONDENSADOR EVAPORATI")</f>
        <v>INSPECCION SEMANAL CONDENSADOR EVAPORATI</v>
      </c>
      <c r="F288" s="5" t="str">
        <f ca="1">IFERROR(__xludf.DUMMYFUNCTION("""COMPUTED_VALUE"""),"ESTADO TANQUE RECIBIDOR")</f>
        <v>ESTADO TANQUE RECIBIDOR</v>
      </c>
      <c r="G288" s="5"/>
      <c r="H288" s="5"/>
      <c r="I288" s="5"/>
      <c r="J288" s="5"/>
      <c r="K288" s="5"/>
      <c r="L288" s="18">
        <f ca="1">IFERROR(__xludf.DUMMYFUNCTION("""COMPUTED_VALUE"""),45325)</f>
        <v>45325</v>
      </c>
      <c r="M288" s="18">
        <f ca="1">IFERROR(__xludf.DUMMYFUNCTION("""COMPUTED_VALUE"""),45325)</f>
        <v>45325</v>
      </c>
      <c r="N288" s="5" t="str">
        <f ca="1">IFERROR(__xludf.DUMMYFUNCTION("""COMPUTED_VALUE"""),"Lopez Raul")</f>
        <v>Lopez Raul</v>
      </c>
      <c r="O288" s="2">
        <f ca="1">IFERROR(__xludf.DUMMYFUNCTION("""COMPUTED_VALUE"""),0.003448276)</f>
        <v>3.4482760000000001E-3</v>
      </c>
      <c r="P288" s="5"/>
      <c r="Q288" s="5" t="str">
        <f ca="1">IFERROR(__xludf.DUMMYFUNCTION("""COMPUTED_VALUE"""),"QSokxwYVWgo")</f>
        <v>QSokxwYVWgo</v>
      </c>
      <c r="R288" s="5">
        <f ca="1">IFERROR(__xludf.DUMMYFUNCTION("""COMPUTED_VALUE"""),410)</f>
        <v>410</v>
      </c>
      <c r="S288" s="62">
        <f ca="1">IFERROR(__xludf.DUMMYFUNCTION("""COMPUTED_VALUE"""),0.003448276)</f>
        <v>3.4482760000000001E-3</v>
      </c>
      <c r="T288" s="63" t="str">
        <f ca="1">IFERROR(__xludf.DUMMYFUNCTION("""COMPUTED_VALUE"""),"https://storage.googleapis.com/glide-prod.appspot.com/uploads-v2/ly7o78grxPaC6KdgvbpS/pub/UliJWgpEaBovaFmXi6OW.png")</f>
        <v>https://storage.googleapis.com/glide-prod.appspot.com/uploads-v2/ly7o78grxPaC6KdgvbpS/pub/UliJWgpEaBovaFmXi6OW.png</v>
      </c>
      <c r="U288" s="5" t="str">
        <f ca="1">IFERROR(__xludf.DUMMYFUNCTION("""COMPUTED_VALUE"""),"EQUIPOS PARA SERVICIOS INDUSTRIALES JUGOCONDENSADOR EVAPORATIIVO JUGOS")</f>
        <v>EQUIPOS PARA SERVICIOS INDUSTRIALES JUGOCONDENSADOR EVAPORATIIVO JUGOS</v>
      </c>
      <c r="V288" s="5"/>
      <c r="W288" s="5"/>
      <c r="X288" s="5" t="str">
        <f ca="1">IFERROR(__xludf.DUMMYFUNCTION("""COMPUTED_VALUE"""),"wmazorra@postobon.com.co,aprmttoyu@postobon.com.co,aprmyu@postobon.com.co,wmora@postobon.com.co,efzapata@postobon.com.co")</f>
        <v>wmazorra@postobon.com.co,aprmttoyu@postobon.com.co,aprmyu@postobon.com.co,wmora@postobon.com.co,efzapata@postobon.com.co</v>
      </c>
      <c r="Y288" s="5" t="str">
        <f ca="1">IFERROR(__xludf.DUMMYFUNCTION("""COMPUTED_VALUE"""),"wmazorra@postobon.com.co")</f>
        <v>wmazorra@postobon.com.co</v>
      </c>
      <c r="Z288" s="5" t="str">
        <f ca="1">IFERROR(__xludf.DUMMYFUNCTION("""COMPUTED_VALUE"""),"9yS.1zCOTfuU1EubYkxkfA")</f>
        <v>9yS.1zCOTfuU1EubYkxkfA</v>
      </c>
      <c r="AA288" s="5"/>
      <c r="AB288" s="5"/>
      <c r="AC288" s="5"/>
      <c r="AD288" s="5">
        <f ca="1">IFERROR(__xludf.DUMMYFUNCTION("""COMPUTED_VALUE"""),57)</f>
        <v>57</v>
      </c>
      <c r="AE288" s="5">
        <f ca="1">IFERROR(__xludf.DUMMYFUNCTION("""COMPUTED_VALUE"""),0)</f>
        <v>0</v>
      </c>
      <c r="AF288" s="5" t="b">
        <f ca="1">IFERROR(__xludf.DUMMYFUNCTION("""COMPUTED_VALUE"""),TRUE)</f>
        <v>1</v>
      </c>
      <c r="AG288" s="5" t="str">
        <f ca="1">IFERROR(__xludf.DUMMYFUNCTION("""COMPUTED_VALUE"""),"INSPECCIONES SIN REALIZAR")</f>
        <v>INSPECCIONES SIN REALIZAR</v>
      </c>
      <c r="AH288" s="5"/>
    </row>
    <row r="289" spans="1:34">
      <c r="A289" s="5" t="str">
        <f ca="1">IFERROR(__xludf.DUMMYFUNCTION("""COMPUTED_VALUE"""),"EQUIPOS PARA SERVICIOS INDUSTRIALES JUGO")</f>
        <v>EQUIPOS PARA SERVICIOS INDUSTRIALES JUGO</v>
      </c>
      <c r="B289" s="5">
        <f ca="1">IFERROR(__xludf.DUMMYFUNCTION("""COMPUTED_VALUE"""),638563)</f>
        <v>638563</v>
      </c>
      <c r="C289" s="5" t="str">
        <f ca="1">IFERROR(__xludf.DUMMYFUNCTION("""COMPUTED_VALUE"""),"CONDENSADOR EVAPORATIIVO JUGOS")</f>
        <v>CONDENSADOR EVAPORATIIVO JUGOS</v>
      </c>
      <c r="D289" s="5">
        <f ca="1">IFERROR(__xludf.DUMMYFUNCTION("""COMPUTED_VALUE"""),13247541)</f>
        <v>13247541</v>
      </c>
      <c r="E289" s="5" t="str">
        <f ca="1">IFERROR(__xludf.DUMMYFUNCTION("""COMPUTED_VALUE"""),"INSPECCION SEMANAL CONDENSADOR EVAPORATI")</f>
        <v>INSPECCION SEMANAL CONDENSADOR EVAPORATI</v>
      </c>
      <c r="F289" s="5" t="str">
        <f ca="1">IFERROR(__xludf.DUMMYFUNCTION("""COMPUTED_VALUE"""),"ESTADO EJE VENTILADOR")</f>
        <v>ESTADO EJE VENTILADOR</v>
      </c>
      <c r="G289" s="5"/>
      <c r="H289" s="5"/>
      <c r="I289" s="5"/>
      <c r="J289" s="5"/>
      <c r="K289" s="5"/>
      <c r="L289" s="18">
        <f ca="1">IFERROR(__xludf.DUMMYFUNCTION("""COMPUTED_VALUE"""),45325)</f>
        <v>45325</v>
      </c>
      <c r="M289" s="18">
        <f ca="1">IFERROR(__xludf.DUMMYFUNCTION("""COMPUTED_VALUE"""),45325)</f>
        <v>45325</v>
      </c>
      <c r="N289" s="5" t="str">
        <f ca="1">IFERROR(__xludf.DUMMYFUNCTION("""COMPUTED_VALUE"""),"Lopez Raul")</f>
        <v>Lopez Raul</v>
      </c>
      <c r="O289" s="2">
        <f ca="1">IFERROR(__xludf.DUMMYFUNCTION("""COMPUTED_VALUE"""),0.003448276)</f>
        <v>3.4482760000000001E-3</v>
      </c>
      <c r="P289" s="5"/>
      <c r="Q289" s="5" t="str">
        <f ca="1">IFERROR(__xludf.DUMMYFUNCTION("""COMPUTED_VALUE"""),"WASnYtXmn_g")</f>
        <v>WASnYtXmn_g</v>
      </c>
      <c r="R289" s="5">
        <f ca="1">IFERROR(__xludf.DUMMYFUNCTION("""COMPUTED_VALUE"""),410)</f>
        <v>410</v>
      </c>
      <c r="S289" s="62">
        <f ca="1">IFERROR(__xludf.DUMMYFUNCTION("""COMPUTED_VALUE"""),0.003448276)</f>
        <v>3.4482760000000001E-3</v>
      </c>
      <c r="T289" s="63" t="str">
        <f ca="1">IFERROR(__xludf.DUMMYFUNCTION("""COMPUTED_VALUE"""),"https://storage.googleapis.com/glide-prod.appspot.com/uploads-v2/ly7o78grxPaC6KdgvbpS/pub/UliJWgpEaBovaFmXi6OW.png")</f>
        <v>https://storage.googleapis.com/glide-prod.appspot.com/uploads-v2/ly7o78grxPaC6KdgvbpS/pub/UliJWgpEaBovaFmXi6OW.png</v>
      </c>
      <c r="U289" s="5" t="str">
        <f ca="1">IFERROR(__xludf.DUMMYFUNCTION("""COMPUTED_VALUE"""),"EQUIPOS PARA SERVICIOS INDUSTRIALES JUGOCONDENSADOR EVAPORATIIVO JUGOS")</f>
        <v>EQUIPOS PARA SERVICIOS INDUSTRIALES JUGOCONDENSADOR EVAPORATIIVO JUGOS</v>
      </c>
      <c r="V289" s="5"/>
      <c r="W289" s="5"/>
      <c r="X289" s="5" t="str">
        <f ca="1">IFERROR(__xludf.DUMMYFUNCTION("""COMPUTED_VALUE"""),"wmazorra@postobon.com.co,aprmttoyu@postobon.com.co,aprmyu@postobon.com.co,wmora@postobon.com.co,efzapata@postobon.com.co")</f>
        <v>wmazorra@postobon.com.co,aprmttoyu@postobon.com.co,aprmyu@postobon.com.co,wmora@postobon.com.co,efzapata@postobon.com.co</v>
      </c>
      <c r="Y289" s="5" t="str">
        <f ca="1">IFERROR(__xludf.DUMMYFUNCTION("""COMPUTED_VALUE"""),"wmazorra@postobon.com.co")</f>
        <v>wmazorra@postobon.com.co</v>
      </c>
      <c r="Z289" s="5" t="str">
        <f ca="1">IFERROR(__xludf.DUMMYFUNCTION("""COMPUTED_VALUE"""),"8s80Rg9ESUWX0QtIptkuaA")</f>
        <v>8s80Rg9ESUWX0QtIptkuaA</v>
      </c>
      <c r="AA289" s="5"/>
      <c r="AB289" s="5"/>
      <c r="AC289" s="5"/>
      <c r="AD289" s="5">
        <f ca="1">IFERROR(__xludf.DUMMYFUNCTION("""COMPUTED_VALUE"""),57)</f>
        <v>57</v>
      </c>
      <c r="AE289" s="5">
        <f ca="1">IFERROR(__xludf.DUMMYFUNCTION("""COMPUTED_VALUE"""),0)</f>
        <v>0</v>
      </c>
      <c r="AF289" s="5" t="b">
        <f ca="1">IFERROR(__xludf.DUMMYFUNCTION("""COMPUTED_VALUE"""),TRUE)</f>
        <v>1</v>
      </c>
      <c r="AG289" s="5" t="str">
        <f ca="1">IFERROR(__xludf.DUMMYFUNCTION("""COMPUTED_VALUE"""),"INSPECCIONES SIN REALIZAR")</f>
        <v>INSPECCIONES SIN REALIZAR</v>
      </c>
      <c r="AH289" s="5"/>
    </row>
    <row r="290" spans="1:34">
      <c r="A290" s="5" t="str">
        <f ca="1">IFERROR(__xludf.DUMMYFUNCTION("""COMPUTED_VALUE"""),"EQUIPOS PARA SERVICIOS INDUSTRIALES JUGO")</f>
        <v>EQUIPOS PARA SERVICIOS INDUSTRIALES JUGO</v>
      </c>
      <c r="B290" s="5">
        <f ca="1">IFERROR(__xludf.DUMMYFUNCTION("""COMPUTED_VALUE"""),638563)</f>
        <v>638563</v>
      </c>
      <c r="C290" s="5" t="str">
        <f ca="1">IFERROR(__xludf.DUMMYFUNCTION("""COMPUTED_VALUE"""),"CONDENSADOR EVAPORATIIVO JUGOS")</f>
        <v>CONDENSADOR EVAPORATIIVO JUGOS</v>
      </c>
      <c r="D290" s="5">
        <f ca="1">IFERROR(__xludf.DUMMYFUNCTION("""COMPUTED_VALUE"""),13247541)</f>
        <v>13247541</v>
      </c>
      <c r="E290" s="5" t="str">
        <f ca="1">IFERROR(__xludf.DUMMYFUNCTION("""COMPUTED_VALUE"""),"INSPECCION SEMANAL CONDENSADOR EVAPORATI")</f>
        <v>INSPECCION SEMANAL CONDENSADOR EVAPORATI</v>
      </c>
      <c r="F290" s="5" t="str">
        <f ca="1">IFERROR(__xludf.DUMMYFUNCTION("""COMPUTED_VALUE"""),"CHUMACERAS")</f>
        <v>CHUMACERAS</v>
      </c>
      <c r="G290" s="5"/>
      <c r="H290" s="5"/>
      <c r="I290" s="5"/>
      <c r="J290" s="5"/>
      <c r="K290" s="5"/>
      <c r="L290" s="18">
        <f ca="1">IFERROR(__xludf.DUMMYFUNCTION("""COMPUTED_VALUE"""),45325)</f>
        <v>45325</v>
      </c>
      <c r="M290" s="18">
        <f ca="1">IFERROR(__xludf.DUMMYFUNCTION("""COMPUTED_VALUE"""),45325)</f>
        <v>45325</v>
      </c>
      <c r="N290" s="5" t="str">
        <f ca="1">IFERROR(__xludf.DUMMYFUNCTION("""COMPUTED_VALUE"""),"Lopez Raul")</f>
        <v>Lopez Raul</v>
      </c>
      <c r="O290" s="2">
        <f ca="1">IFERROR(__xludf.DUMMYFUNCTION("""COMPUTED_VALUE"""),0.003448276)</f>
        <v>3.4482760000000001E-3</v>
      </c>
      <c r="P290" s="5"/>
      <c r="Q290" s="5" t="str">
        <f ca="1">IFERROR(__xludf.DUMMYFUNCTION("""COMPUTED_VALUE"""),"HKtv_c-qdHM")</f>
        <v>HKtv_c-qdHM</v>
      </c>
      <c r="R290" s="5">
        <f ca="1">IFERROR(__xludf.DUMMYFUNCTION("""COMPUTED_VALUE"""),410)</f>
        <v>410</v>
      </c>
      <c r="S290" s="62">
        <f ca="1">IFERROR(__xludf.DUMMYFUNCTION("""COMPUTED_VALUE"""),0.003448276)</f>
        <v>3.4482760000000001E-3</v>
      </c>
      <c r="T290" s="63" t="str">
        <f ca="1">IFERROR(__xludf.DUMMYFUNCTION("""COMPUTED_VALUE"""),"https://storage.googleapis.com/glide-prod.appspot.com/uploads-v2/ly7o78grxPaC6KdgvbpS/pub/UliJWgpEaBovaFmXi6OW.png")</f>
        <v>https://storage.googleapis.com/glide-prod.appspot.com/uploads-v2/ly7o78grxPaC6KdgvbpS/pub/UliJWgpEaBovaFmXi6OW.png</v>
      </c>
      <c r="U290" s="5" t="str">
        <f ca="1">IFERROR(__xludf.DUMMYFUNCTION("""COMPUTED_VALUE"""),"EQUIPOS PARA SERVICIOS INDUSTRIALES JUGOCONDENSADOR EVAPORATIIVO JUGOS")</f>
        <v>EQUIPOS PARA SERVICIOS INDUSTRIALES JUGOCONDENSADOR EVAPORATIIVO JUGOS</v>
      </c>
      <c r="V290" s="5"/>
      <c r="W290" s="5"/>
      <c r="X290" s="5" t="str">
        <f ca="1">IFERROR(__xludf.DUMMYFUNCTION("""COMPUTED_VALUE"""),"wmazorra@postobon.com.co,aprmttoyu@postobon.com.co,aprmyu@postobon.com.co,wmora@postobon.com.co,efzapata@postobon.com.co")</f>
        <v>wmazorra@postobon.com.co,aprmttoyu@postobon.com.co,aprmyu@postobon.com.co,wmora@postobon.com.co,efzapata@postobon.com.co</v>
      </c>
      <c r="Y290" s="5" t="str">
        <f ca="1">IFERROR(__xludf.DUMMYFUNCTION("""COMPUTED_VALUE"""),"wmazorra@postobon.com.co")</f>
        <v>wmazorra@postobon.com.co</v>
      </c>
      <c r="Z290" s="5" t="str">
        <f ca="1">IFERROR(__xludf.DUMMYFUNCTION("""COMPUTED_VALUE"""),"gFcgGRlSSe2qedkN5.qqCw")</f>
        <v>gFcgGRlSSe2qedkN5.qqCw</v>
      </c>
      <c r="AA290" s="5"/>
      <c r="AB290" s="5"/>
      <c r="AC290" s="5"/>
      <c r="AD290" s="5">
        <f ca="1">IFERROR(__xludf.DUMMYFUNCTION("""COMPUTED_VALUE"""),57)</f>
        <v>57</v>
      </c>
      <c r="AE290" s="5">
        <f ca="1">IFERROR(__xludf.DUMMYFUNCTION("""COMPUTED_VALUE"""),0)</f>
        <v>0</v>
      </c>
      <c r="AF290" s="5" t="b">
        <f ca="1">IFERROR(__xludf.DUMMYFUNCTION("""COMPUTED_VALUE"""),TRUE)</f>
        <v>1</v>
      </c>
      <c r="AG290" s="5" t="str">
        <f ca="1">IFERROR(__xludf.DUMMYFUNCTION("""COMPUTED_VALUE"""),"INSPECCIONES SIN REALIZAR")</f>
        <v>INSPECCIONES SIN REALIZAR</v>
      </c>
      <c r="AH290" s="5"/>
    </row>
    <row r="291" spans="1:34">
      <c r="A291" s="5" t="str">
        <f ca="1">IFERROR(__xludf.DUMMYFUNCTION("""COMPUTED_VALUE"""),"EQUIPOS PARA SERVICIOS INDUSTRIALES JUGO")</f>
        <v>EQUIPOS PARA SERVICIOS INDUSTRIALES JUGO</v>
      </c>
      <c r="B291" s="5">
        <f ca="1">IFERROR(__xludf.DUMMYFUNCTION("""COMPUTED_VALUE"""),638563)</f>
        <v>638563</v>
      </c>
      <c r="C291" s="5" t="str">
        <f ca="1">IFERROR(__xludf.DUMMYFUNCTION("""COMPUTED_VALUE"""),"CONDENSADOR EVAPORATIIVO JUGOS")</f>
        <v>CONDENSADOR EVAPORATIIVO JUGOS</v>
      </c>
      <c r="D291" s="5">
        <f ca="1">IFERROR(__xludf.DUMMYFUNCTION("""COMPUTED_VALUE"""),13247541)</f>
        <v>13247541</v>
      </c>
      <c r="E291" s="5" t="str">
        <f ca="1">IFERROR(__xludf.DUMMYFUNCTION("""COMPUTED_VALUE"""),"INSPECCION SEMANAL CONDENSADOR EVAPORATI")</f>
        <v>INSPECCION SEMANAL CONDENSADOR EVAPORATI</v>
      </c>
      <c r="F291" s="5" t="str">
        <f ca="1">IFERROR(__xludf.DUMMYFUNCTION("""COMPUTED_VALUE"""),"TABLERO ELECTRICO/CLIMATIZADOR")</f>
        <v>TABLERO ELECTRICO/CLIMATIZADOR</v>
      </c>
      <c r="G291" s="5"/>
      <c r="H291" s="5"/>
      <c r="I291" s="5"/>
      <c r="J291" s="5"/>
      <c r="K291" s="5"/>
      <c r="L291" s="18">
        <f ca="1">IFERROR(__xludf.DUMMYFUNCTION("""COMPUTED_VALUE"""),45325)</f>
        <v>45325</v>
      </c>
      <c r="M291" s="18">
        <f ca="1">IFERROR(__xludf.DUMMYFUNCTION("""COMPUTED_VALUE"""),45325)</f>
        <v>45325</v>
      </c>
      <c r="N291" s="5" t="str">
        <f ca="1">IFERROR(__xludf.DUMMYFUNCTION("""COMPUTED_VALUE"""),"Lopez Raul")</f>
        <v>Lopez Raul</v>
      </c>
      <c r="O291" s="2">
        <f ca="1">IFERROR(__xludf.DUMMYFUNCTION("""COMPUTED_VALUE"""),0.003448276)</f>
        <v>3.4482760000000001E-3</v>
      </c>
      <c r="P291" s="5"/>
      <c r="Q291" s="5" t="str">
        <f ca="1">IFERROR(__xludf.DUMMYFUNCTION("""COMPUTED_VALUE"""),"hpftMCA7ReE")</f>
        <v>hpftMCA7ReE</v>
      </c>
      <c r="R291" s="5">
        <f ca="1">IFERROR(__xludf.DUMMYFUNCTION("""COMPUTED_VALUE"""),410)</f>
        <v>410</v>
      </c>
      <c r="S291" s="62">
        <f ca="1">IFERROR(__xludf.DUMMYFUNCTION("""COMPUTED_VALUE"""),0.003448276)</f>
        <v>3.4482760000000001E-3</v>
      </c>
      <c r="T291" s="63" t="str">
        <f ca="1">IFERROR(__xludf.DUMMYFUNCTION("""COMPUTED_VALUE"""),"https://storage.googleapis.com/glide-prod.appspot.com/uploads-v2/ly7o78grxPaC6KdgvbpS/pub/UliJWgpEaBovaFmXi6OW.png")</f>
        <v>https://storage.googleapis.com/glide-prod.appspot.com/uploads-v2/ly7o78grxPaC6KdgvbpS/pub/UliJWgpEaBovaFmXi6OW.png</v>
      </c>
      <c r="U291" s="5" t="str">
        <f ca="1">IFERROR(__xludf.DUMMYFUNCTION("""COMPUTED_VALUE"""),"EQUIPOS PARA SERVICIOS INDUSTRIALES JUGOCONDENSADOR EVAPORATIIVO JUGOS")</f>
        <v>EQUIPOS PARA SERVICIOS INDUSTRIALES JUGOCONDENSADOR EVAPORATIIVO JUGOS</v>
      </c>
      <c r="V291" s="5"/>
      <c r="W291" s="5"/>
      <c r="X291" s="5" t="str">
        <f ca="1">IFERROR(__xludf.DUMMYFUNCTION("""COMPUTED_VALUE"""),"wmazorra@postobon.com.co,aprmttoyu@postobon.com.co,aprmyu@postobon.com.co,wmora@postobon.com.co,efzapata@postobon.com.co")</f>
        <v>wmazorra@postobon.com.co,aprmttoyu@postobon.com.co,aprmyu@postobon.com.co,wmora@postobon.com.co,efzapata@postobon.com.co</v>
      </c>
      <c r="Y291" s="5" t="str">
        <f ca="1">IFERROR(__xludf.DUMMYFUNCTION("""COMPUTED_VALUE"""),"wmazorra@postobon.com.co")</f>
        <v>wmazorra@postobon.com.co</v>
      </c>
      <c r="Z291" s="5" t="str">
        <f ca="1">IFERROR(__xludf.DUMMYFUNCTION("""COMPUTED_VALUE"""),"9xrhJGefTJGkFgKnvXIiCA")</f>
        <v>9xrhJGefTJGkFgKnvXIiCA</v>
      </c>
      <c r="AA291" s="5"/>
      <c r="AB291" s="5"/>
      <c r="AC291" s="5"/>
      <c r="AD291" s="5">
        <f ca="1">IFERROR(__xludf.DUMMYFUNCTION("""COMPUTED_VALUE"""),57)</f>
        <v>57</v>
      </c>
      <c r="AE291" s="5">
        <f ca="1">IFERROR(__xludf.DUMMYFUNCTION("""COMPUTED_VALUE"""),0)</f>
        <v>0</v>
      </c>
      <c r="AF291" s="5" t="b">
        <f ca="1">IFERROR(__xludf.DUMMYFUNCTION("""COMPUTED_VALUE"""),TRUE)</f>
        <v>1</v>
      </c>
      <c r="AG291" s="5" t="str">
        <f ca="1">IFERROR(__xludf.DUMMYFUNCTION("""COMPUTED_VALUE"""),"INSPECCIONES SIN REALIZAR")</f>
        <v>INSPECCIONES SIN REALIZAR</v>
      </c>
      <c r="AH291" s="5"/>
    </row>
    <row r="292" spans="1:34">
      <c r="A292" s="5" t="str">
        <f ca="1">IFERROR(__xludf.DUMMYFUNCTION("""COMPUTED_VALUE"""),"EQUIPOS PARA SERVICIOS INDUSTRIALES JUGO")</f>
        <v>EQUIPOS PARA SERVICIOS INDUSTRIALES JUGO</v>
      </c>
      <c r="B292" s="5">
        <f ca="1">IFERROR(__xludf.DUMMYFUNCTION("""COMPUTED_VALUE"""),638563)</f>
        <v>638563</v>
      </c>
      <c r="C292" s="5" t="str">
        <f ca="1">IFERROR(__xludf.DUMMYFUNCTION("""COMPUTED_VALUE"""),"CONDENSADOR EVAPORATIIVO JUGOS")</f>
        <v>CONDENSADOR EVAPORATIIVO JUGOS</v>
      </c>
      <c r="D292" s="5">
        <f ca="1">IFERROR(__xludf.DUMMYFUNCTION("""COMPUTED_VALUE"""),13247541)</f>
        <v>13247541</v>
      </c>
      <c r="E292" s="5" t="str">
        <f ca="1">IFERROR(__xludf.DUMMYFUNCTION("""COMPUTED_VALUE"""),"INSPECCION SEMANAL CONDENSADOR EVAPORATI")</f>
        <v>INSPECCION SEMANAL CONDENSADOR EVAPORATI</v>
      </c>
      <c r="F292" s="5" t="str">
        <f ca="1">IFERROR(__xludf.DUMMYFUNCTION("""COMPUTED_VALUE"""),"ESTADO CORREAS VENTILADOR")</f>
        <v>ESTADO CORREAS VENTILADOR</v>
      </c>
      <c r="G292" s="5"/>
      <c r="H292" s="5"/>
      <c r="I292" s="5"/>
      <c r="J292" s="5"/>
      <c r="K292" s="5"/>
      <c r="L292" s="18">
        <f ca="1">IFERROR(__xludf.DUMMYFUNCTION("""COMPUTED_VALUE"""),45325)</f>
        <v>45325</v>
      </c>
      <c r="M292" s="18">
        <f ca="1">IFERROR(__xludf.DUMMYFUNCTION("""COMPUTED_VALUE"""),45325)</f>
        <v>45325</v>
      </c>
      <c r="N292" s="5" t="str">
        <f ca="1">IFERROR(__xludf.DUMMYFUNCTION("""COMPUTED_VALUE"""),"Lopez Raul")</f>
        <v>Lopez Raul</v>
      </c>
      <c r="O292" s="2">
        <f ca="1">IFERROR(__xludf.DUMMYFUNCTION("""COMPUTED_VALUE"""),0.003448276)</f>
        <v>3.4482760000000001E-3</v>
      </c>
      <c r="P292" s="5"/>
      <c r="Q292" s="5" t="str">
        <f ca="1">IFERROR(__xludf.DUMMYFUNCTION("""COMPUTED_VALUE"""),"NCCAzCwhZE8")</f>
        <v>NCCAzCwhZE8</v>
      </c>
      <c r="R292" s="5">
        <f ca="1">IFERROR(__xludf.DUMMYFUNCTION("""COMPUTED_VALUE"""),410)</f>
        <v>410</v>
      </c>
      <c r="S292" s="62">
        <f ca="1">IFERROR(__xludf.DUMMYFUNCTION("""COMPUTED_VALUE"""),0.003448276)</f>
        <v>3.4482760000000001E-3</v>
      </c>
      <c r="T292" s="63" t="str">
        <f ca="1">IFERROR(__xludf.DUMMYFUNCTION("""COMPUTED_VALUE"""),"https://storage.googleapis.com/glide-prod.appspot.com/uploads-v2/ly7o78grxPaC6KdgvbpS/pub/UliJWgpEaBovaFmXi6OW.png")</f>
        <v>https://storage.googleapis.com/glide-prod.appspot.com/uploads-v2/ly7o78grxPaC6KdgvbpS/pub/UliJWgpEaBovaFmXi6OW.png</v>
      </c>
      <c r="U292" s="5" t="str">
        <f ca="1">IFERROR(__xludf.DUMMYFUNCTION("""COMPUTED_VALUE"""),"EQUIPOS PARA SERVICIOS INDUSTRIALES JUGOCONDENSADOR EVAPORATIIVO JUGOS")</f>
        <v>EQUIPOS PARA SERVICIOS INDUSTRIALES JUGOCONDENSADOR EVAPORATIIVO JUGOS</v>
      </c>
      <c r="V292" s="5"/>
      <c r="W292" s="5"/>
      <c r="X292" s="5" t="str">
        <f ca="1">IFERROR(__xludf.DUMMYFUNCTION("""COMPUTED_VALUE"""),"wmazorra@postobon.com.co,aprmttoyu@postobon.com.co,aprmyu@postobon.com.co,wmora@postobon.com.co,efzapata@postobon.com.co")</f>
        <v>wmazorra@postobon.com.co,aprmttoyu@postobon.com.co,aprmyu@postobon.com.co,wmora@postobon.com.co,efzapata@postobon.com.co</v>
      </c>
      <c r="Y292" s="5" t="str">
        <f ca="1">IFERROR(__xludf.DUMMYFUNCTION("""COMPUTED_VALUE"""),"wmazorra@postobon.com.co")</f>
        <v>wmazorra@postobon.com.co</v>
      </c>
      <c r="Z292" s="5" t="str">
        <f ca="1">IFERROR(__xludf.DUMMYFUNCTION("""COMPUTED_VALUE"""),"zBN6JaeoQmagfwoM68zS5A")</f>
        <v>zBN6JaeoQmagfwoM68zS5A</v>
      </c>
      <c r="AA292" s="5"/>
      <c r="AB292" s="5"/>
      <c r="AC292" s="5"/>
      <c r="AD292" s="5">
        <f ca="1">IFERROR(__xludf.DUMMYFUNCTION("""COMPUTED_VALUE"""),57)</f>
        <v>57</v>
      </c>
      <c r="AE292" s="5">
        <f ca="1">IFERROR(__xludf.DUMMYFUNCTION("""COMPUTED_VALUE"""),0)</f>
        <v>0</v>
      </c>
      <c r="AF292" s="5" t="b">
        <f ca="1">IFERROR(__xludf.DUMMYFUNCTION("""COMPUTED_VALUE"""),TRUE)</f>
        <v>1</v>
      </c>
      <c r="AG292" s="5" t="str">
        <f ca="1">IFERROR(__xludf.DUMMYFUNCTION("""COMPUTED_VALUE"""),"INSPECCIONES SIN REALIZAR")</f>
        <v>INSPECCIONES SIN REALIZAR</v>
      </c>
      <c r="AH292" s="5"/>
    </row>
    <row r="293" spans="1:34">
      <c r="A293" s="5" t="str">
        <f ca="1">IFERROR(__xludf.DUMMYFUNCTION("""COMPUTED_VALUE"""),"EQUIPOS PARA SERVICIOS INDUSTRIALES JUGO")</f>
        <v>EQUIPOS PARA SERVICIOS INDUSTRIALES JUGO</v>
      </c>
      <c r="B293" s="5">
        <f ca="1">IFERROR(__xludf.DUMMYFUNCTION("""COMPUTED_VALUE"""),638563)</f>
        <v>638563</v>
      </c>
      <c r="C293" s="5" t="str">
        <f ca="1">IFERROR(__xludf.DUMMYFUNCTION("""COMPUTED_VALUE"""),"CONDENSADOR EVAPORATIIVO JUGOS")</f>
        <v>CONDENSADOR EVAPORATIIVO JUGOS</v>
      </c>
      <c r="D293" s="5">
        <f ca="1">IFERROR(__xludf.DUMMYFUNCTION("""COMPUTED_VALUE"""),13247541)</f>
        <v>13247541</v>
      </c>
      <c r="E293" s="5" t="str">
        <f ca="1">IFERROR(__xludf.DUMMYFUNCTION("""COMPUTED_VALUE"""),"INSPECCION SEMANAL CONDENSADOR EVAPORATI")</f>
        <v>INSPECCION SEMANAL CONDENSADOR EVAPORATI</v>
      </c>
      <c r="F293" s="5" t="str">
        <f ca="1">IFERROR(__xludf.DUMMYFUNCTION("""COMPUTED_VALUE"""),"INSP FUGAS AGUA, REFRIGERANTE SERPENTIN")</f>
        <v>INSP FUGAS AGUA, REFRIGERANTE SERPENTIN</v>
      </c>
      <c r="G293" s="5"/>
      <c r="H293" s="5"/>
      <c r="I293" s="5"/>
      <c r="J293" s="5"/>
      <c r="K293" s="5"/>
      <c r="L293" s="18">
        <f ca="1">IFERROR(__xludf.DUMMYFUNCTION("""COMPUTED_VALUE"""),45325)</f>
        <v>45325</v>
      </c>
      <c r="M293" s="18">
        <f ca="1">IFERROR(__xludf.DUMMYFUNCTION("""COMPUTED_VALUE"""),45325)</f>
        <v>45325</v>
      </c>
      <c r="N293" s="5" t="str">
        <f ca="1">IFERROR(__xludf.DUMMYFUNCTION("""COMPUTED_VALUE"""),"Lopez Raul")</f>
        <v>Lopez Raul</v>
      </c>
      <c r="O293" s="2">
        <f ca="1">IFERROR(__xludf.DUMMYFUNCTION("""COMPUTED_VALUE"""),0.003448276)</f>
        <v>3.4482760000000001E-3</v>
      </c>
      <c r="P293" s="5"/>
      <c r="Q293" s="5" t="str">
        <f ca="1">IFERROR(__xludf.DUMMYFUNCTION("""COMPUTED_VALUE"""),"I5dB1OhSBqs")</f>
        <v>I5dB1OhSBqs</v>
      </c>
      <c r="R293" s="5">
        <f ca="1">IFERROR(__xludf.DUMMYFUNCTION("""COMPUTED_VALUE"""),410)</f>
        <v>410</v>
      </c>
      <c r="S293" s="62">
        <f ca="1">IFERROR(__xludf.DUMMYFUNCTION("""COMPUTED_VALUE"""),0.003448276)</f>
        <v>3.4482760000000001E-3</v>
      </c>
      <c r="T293" s="63" t="str">
        <f ca="1">IFERROR(__xludf.DUMMYFUNCTION("""COMPUTED_VALUE"""),"https://storage.googleapis.com/glide-prod.appspot.com/uploads-v2/ly7o78grxPaC6KdgvbpS/pub/UliJWgpEaBovaFmXi6OW.png")</f>
        <v>https://storage.googleapis.com/glide-prod.appspot.com/uploads-v2/ly7o78grxPaC6KdgvbpS/pub/UliJWgpEaBovaFmXi6OW.png</v>
      </c>
      <c r="U293" s="5" t="str">
        <f ca="1">IFERROR(__xludf.DUMMYFUNCTION("""COMPUTED_VALUE"""),"EQUIPOS PARA SERVICIOS INDUSTRIALES JUGOCONDENSADOR EVAPORATIIVO JUGOS")</f>
        <v>EQUIPOS PARA SERVICIOS INDUSTRIALES JUGOCONDENSADOR EVAPORATIIVO JUGOS</v>
      </c>
      <c r="V293" s="5"/>
      <c r="W293" s="5"/>
      <c r="X293" s="5" t="str">
        <f ca="1">IFERROR(__xludf.DUMMYFUNCTION("""COMPUTED_VALUE"""),"wmazorra@postobon.com.co,aprmttoyu@postobon.com.co,aprmyu@postobon.com.co,wmora@postobon.com.co,efzapata@postobon.com.co")</f>
        <v>wmazorra@postobon.com.co,aprmttoyu@postobon.com.co,aprmyu@postobon.com.co,wmora@postobon.com.co,efzapata@postobon.com.co</v>
      </c>
      <c r="Y293" s="5" t="str">
        <f ca="1">IFERROR(__xludf.DUMMYFUNCTION("""COMPUTED_VALUE"""),"wmazorra@postobon.com.co")</f>
        <v>wmazorra@postobon.com.co</v>
      </c>
      <c r="Z293" s="5" t="str">
        <f ca="1">IFERROR(__xludf.DUMMYFUNCTION("""COMPUTED_VALUE"""),"c84EyKghRxKJsZPrifY87A")</f>
        <v>c84EyKghRxKJsZPrifY87A</v>
      </c>
      <c r="AA293" s="5"/>
      <c r="AB293" s="5"/>
      <c r="AC293" s="5"/>
      <c r="AD293" s="5">
        <f ca="1">IFERROR(__xludf.DUMMYFUNCTION("""COMPUTED_VALUE"""),57)</f>
        <v>57</v>
      </c>
      <c r="AE293" s="5">
        <f ca="1">IFERROR(__xludf.DUMMYFUNCTION("""COMPUTED_VALUE"""),0)</f>
        <v>0</v>
      </c>
      <c r="AF293" s="5" t="b">
        <f ca="1">IFERROR(__xludf.DUMMYFUNCTION("""COMPUTED_VALUE"""),TRUE)</f>
        <v>1</v>
      </c>
      <c r="AG293" s="5" t="str">
        <f ca="1">IFERROR(__xludf.DUMMYFUNCTION("""COMPUTED_VALUE"""),"INSPECCIONES SIN REALIZAR")</f>
        <v>INSPECCIONES SIN REALIZAR</v>
      </c>
      <c r="AH293" s="5"/>
    </row>
    <row r="294" spans="1:34">
      <c r="A294" s="5" t="str">
        <f ca="1">IFERROR(__xludf.DUMMYFUNCTION("""COMPUTED_VALUE"""),"LINEA DE ENVASADO JUGOS PET HOT FILL")</f>
        <v>LINEA DE ENVASADO JUGOS PET HOT FILL</v>
      </c>
      <c r="B294" s="5">
        <f ca="1">IFERROR(__xludf.DUMMYFUNCTION("""COMPUTED_VALUE"""),669450)</f>
        <v>669450</v>
      </c>
      <c r="C294" s="5" t="str">
        <f ca="1">IFERROR(__xludf.DUMMYFUNCTION("""COMPUTED_VALUE"""),"ENFRIADOR")</f>
        <v>ENFRIADOR</v>
      </c>
      <c r="D294" s="5">
        <f ca="1">IFERROR(__xludf.DUMMYFUNCTION("""COMPUTED_VALUE"""),13247752)</f>
        <v>13247752</v>
      </c>
      <c r="E294" s="5" t="str">
        <f ca="1">IFERROR(__xludf.DUMMYFUNCTION("""COMPUTED_VALUE"""),"INSPECCION SEMANAL COOLER")</f>
        <v>INSPECCION SEMANAL COOLER</v>
      </c>
      <c r="F294" s="5" t="str">
        <f ca="1">IFERROR(__xludf.DUMMYFUNCTION("""COMPUTED_VALUE"""),"ESTADO CUERPO PRINCIPAL")</f>
        <v>ESTADO CUERPO PRINCIPAL</v>
      </c>
      <c r="G294" s="5" t="b">
        <f ca="1">IFERROR(__xludf.DUMMYFUNCTION("""COMPUTED_VALUE"""),TRUE)</f>
        <v>1</v>
      </c>
      <c r="H294" s="5"/>
      <c r="I294" s="5"/>
      <c r="J294" s="5">
        <f ca="1">IFERROR(__xludf.DUMMYFUNCTION("""COMPUTED_VALUE"""),13247752)</f>
        <v>13247752</v>
      </c>
      <c r="K294" s="5"/>
      <c r="L294" s="18">
        <f ca="1">IFERROR(__xludf.DUMMYFUNCTION("""COMPUTED_VALUE"""),45324)</f>
        <v>45324</v>
      </c>
      <c r="M294" s="18">
        <f ca="1">IFERROR(__xludf.DUMMYFUNCTION("""COMPUTED_VALUE"""),45324)</f>
        <v>45324</v>
      </c>
      <c r="N294" s="5" t="str">
        <f ca="1">IFERROR(__xludf.DUMMYFUNCTION("""COMPUTED_VALUE"""),"Vanegas Guependo Hermes")</f>
        <v>Vanegas Guependo Hermes</v>
      </c>
      <c r="O294" s="2">
        <f ca="1">IFERROR(__xludf.DUMMYFUNCTION("""COMPUTED_VALUE"""),0.008333333)</f>
        <v>8.3333330000000001E-3</v>
      </c>
      <c r="P294" s="5">
        <f ca="1">IFERROR(__xludf.DUMMYFUNCTION("""COMPUTED_VALUE"""),20010206)</f>
        <v>20010206</v>
      </c>
      <c r="Q294" s="5" t="str">
        <f ca="1">IFERROR(__xludf.DUMMYFUNCTION("""COMPUTED_VALUE"""),"R00lJDJTdb8")</f>
        <v>R00lJDJTdb8</v>
      </c>
      <c r="R294" s="5">
        <f ca="1">IFERROR(__xludf.DUMMYFUNCTION("""COMPUTED_VALUE"""),410)</f>
        <v>410</v>
      </c>
      <c r="S294" s="62">
        <f ca="1">IFERROR(__xludf.DUMMYFUNCTION("""COMPUTED_VALUE"""),0.008333333)</f>
        <v>8.3333330000000001E-3</v>
      </c>
      <c r="T294" s="63" t="str">
        <f ca="1">IFERROR(__xludf.DUMMYFUNCTION("""COMPUTED_VALUE"""),"https://storage.googleapis.com/glide-prod.appspot.com/uploads-v2/ly7o78grxPaC6KdgvbpS/pub/3aRdSog0vUtuqPE8AJKD.png")</f>
        <v>https://storage.googleapis.com/glide-prod.appspot.com/uploads-v2/ly7o78grxPaC6KdgvbpS/pub/3aRdSog0vUtuqPE8AJKD.png</v>
      </c>
      <c r="U294" s="5" t="str">
        <f ca="1">IFERROR(__xludf.DUMMYFUNCTION("""COMPUTED_VALUE"""),"LINEA DE ENVASADO JUGOS PET HOT FILLENFRIADOR")</f>
        <v>LINEA DE ENVASADO JUGOS PET HOT FILLENFRIADOR</v>
      </c>
      <c r="V294" s="5"/>
      <c r="W294" s="5" t="b">
        <f ca="1">IFERROR(__xludf.DUMMYFUNCTION("""COMPUTED_VALUE"""),TRUE)</f>
        <v>1</v>
      </c>
      <c r="X294" s="5" t="str">
        <f ca="1">IFERROR(__xludf.DUMMYFUNCTION("""COMPUTED_VALUE"""),"achavezi@postobon.com.co,aprmttoyu@postobon.com.co,aprmyu@postobon.com.co,wmora@postobon.com.co,efzapata@postobon.com.co")</f>
        <v>achavezi@postobon.com.co,aprmttoyu@postobon.com.co,aprmyu@postobon.com.co,wmora@postobon.com.co,efzapata@postobon.com.co</v>
      </c>
      <c r="Y294" s="5" t="str">
        <f ca="1">IFERROR(__xludf.DUMMYFUNCTION("""COMPUTED_VALUE"""),"achavezi@postobon.com.co")</f>
        <v>achavezi@postobon.com.co</v>
      </c>
      <c r="Z294" s="5" t="str">
        <f ca="1">IFERROR(__xludf.DUMMYFUNCTION("""COMPUTED_VALUE"""),"Uuj6BH3CSW2-HTUZasR2Fg")</f>
        <v>Uuj6BH3CSW2-HTUZasR2Fg</v>
      </c>
      <c r="AA294" s="5"/>
      <c r="AB294" s="5"/>
      <c r="AC294" s="5"/>
      <c r="AD294" s="5">
        <f ca="1">IFERROR(__xludf.DUMMYFUNCTION("""COMPUTED_VALUE"""),29)</f>
        <v>29</v>
      </c>
      <c r="AE294" s="5">
        <f ca="1">IFERROR(__xludf.DUMMYFUNCTION("""COMPUTED_VALUE"""),29)</f>
        <v>29</v>
      </c>
      <c r="AF294" s="5" t="b">
        <f ca="1">IFERROR(__xludf.DUMMYFUNCTION("""COMPUTED_VALUE"""),FALSE)</f>
        <v>0</v>
      </c>
      <c r="AG294" s="5" t="str">
        <f ca="1">IFERROR(__xludf.DUMMYFUNCTION("""COMPUTED_VALUE"""),"INSPECCIONES REALIZADAS")</f>
        <v>INSPECCIONES REALIZADAS</v>
      </c>
      <c r="AH294" s="5"/>
    </row>
    <row r="295" spans="1:34">
      <c r="A295" s="5" t="str">
        <f ca="1">IFERROR(__xludf.DUMMYFUNCTION("""COMPUTED_VALUE"""),"LINEA DE ENVASADO JUGOS PET HOT FILL")</f>
        <v>LINEA DE ENVASADO JUGOS PET HOT FILL</v>
      </c>
      <c r="B295" s="5">
        <f ca="1">IFERROR(__xludf.DUMMYFUNCTION("""COMPUTED_VALUE"""),669450)</f>
        <v>669450</v>
      </c>
      <c r="C295" s="5" t="str">
        <f ca="1">IFERROR(__xludf.DUMMYFUNCTION("""COMPUTED_VALUE"""),"ENFRIADOR")</f>
        <v>ENFRIADOR</v>
      </c>
      <c r="D295" s="5">
        <f ca="1">IFERROR(__xludf.DUMMYFUNCTION("""COMPUTED_VALUE"""),13247752)</f>
        <v>13247752</v>
      </c>
      <c r="E295" s="5" t="str">
        <f ca="1">IFERROR(__xludf.DUMMYFUNCTION("""COMPUTED_VALUE"""),"INSPECCION SEMANAL COOLER")</f>
        <v>INSPECCION SEMANAL COOLER</v>
      </c>
      <c r="F295" s="5" t="str">
        <f ca="1">IFERROR(__xludf.DUMMYFUNCTION("""COMPUTED_VALUE"""),"ESTADO BANDA TRANSPORTADORA")</f>
        <v>ESTADO BANDA TRANSPORTADORA</v>
      </c>
      <c r="G295" s="5" t="b">
        <f ca="1">IFERROR(__xludf.DUMMYFUNCTION("""COMPUTED_VALUE"""),TRUE)</f>
        <v>1</v>
      </c>
      <c r="H295" s="5" t="str">
        <f ca="1">IFERROR(__xludf.DUMMYFUNCTION("""COMPUTED_VALUE"""),"Banda del cooler tiene un tramó de eslabones dañados y por ende a la salida se caen las botellas en ese tramó ")</f>
        <v xml:space="preserve">Banda del cooler tiene un tramó de eslabones dañados y por ende a la salida se caen las botellas en ese tramó </v>
      </c>
      <c r="I295" s="5"/>
      <c r="J295" s="5">
        <f ca="1">IFERROR(__xludf.DUMMYFUNCTION("""COMPUTED_VALUE"""),13247752)</f>
        <v>13247752</v>
      </c>
      <c r="K295" s="5"/>
      <c r="L295" s="18">
        <f ca="1">IFERROR(__xludf.DUMMYFUNCTION("""COMPUTED_VALUE"""),45324)</f>
        <v>45324</v>
      </c>
      <c r="M295" s="18">
        <f ca="1">IFERROR(__xludf.DUMMYFUNCTION("""COMPUTED_VALUE"""),45324)</f>
        <v>45324</v>
      </c>
      <c r="N295" s="5" t="str">
        <f ca="1">IFERROR(__xludf.DUMMYFUNCTION("""COMPUTED_VALUE"""),"Vanegas Guependo Hermes")</f>
        <v>Vanegas Guependo Hermes</v>
      </c>
      <c r="O295" s="2">
        <f ca="1">IFERROR(__xludf.DUMMYFUNCTION("""COMPUTED_VALUE"""),0.008333333)</f>
        <v>8.3333330000000001E-3</v>
      </c>
      <c r="P295" s="5">
        <f ca="1">IFERROR(__xludf.DUMMYFUNCTION("""COMPUTED_VALUE"""),20010206)</f>
        <v>20010206</v>
      </c>
      <c r="Q295" s="5" t="str">
        <f ca="1">IFERROR(__xludf.DUMMYFUNCTION("""COMPUTED_VALUE"""),"cI6KicKVPyo")</f>
        <v>cI6KicKVPyo</v>
      </c>
      <c r="R295" s="5">
        <f ca="1">IFERROR(__xludf.DUMMYFUNCTION("""COMPUTED_VALUE"""),410)</f>
        <v>410</v>
      </c>
      <c r="S295" s="62">
        <f ca="1">IFERROR(__xludf.DUMMYFUNCTION("""COMPUTED_VALUE"""),0.008333333)</f>
        <v>8.3333330000000001E-3</v>
      </c>
      <c r="T295" s="63" t="str">
        <f ca="1">IFERROR(__xludf.DUMMYFUNCTION("""COMPUTED_VALUE"""),"https://storage.googleapis.com/glide-prod.appspot.com/uploads-v2/ly7o78grxPaC6KdgvbpS/pub/3aRdSog0vUtuqPE8AJKD.png")</f>
        <v>https://storage.googleapis.com/glide-prod.appspot.com/uploads-v2/ly7o78grxPaC6KdgvbpS/pub/3aRdSog0vUtuqPE8AJKD.png</v>
      </c>
      <c r="U295" s="5" t="str">
        <f ca="1">IFERROR(__xludf.DUMMYFUNCTION("""COMPUTED_VALUE"""),"LINEA DE ENVASADO JUGOS PET HOT FILLENFRIADOR")</f>
        <v>LINEA DE ENVASADO JUGOS PET HOT FILLENFRIADOR</v>
      </c>
      <c r="V295" s="5"/>
      <c r="W295" s="5" t="b">
        <f ca="1">IFERROR(__xludf.DUMMYFUNCTION("""COMPUTED_VALUE"""),TRUE)</f>
        <v>1</v>
      </c>
      <c r="X295" s="5" t="str">
        <f ca="1">IFERROR(__xludf.DUMMYFUNCTION("""COMPUTED_VALUE"""),"achavezi@postobon.com.co,aprmttoyu@postobon.com.co,aprmyu@postobon.com.co,wmora@postobon.com.co,efzapata@postobon.com.co")</f>
        <v>achavezi@postobon.com.co,aprmttoyu@postobon.com.co,aprmyu@postobon.com.co,wmora@postobon.com.co,efzapata@postobon.com.co</v>
      </c>
      <c r="Y295" s="5" t="str">
        <f ca="1">IFERROR(__xludf.DUMMYFUNCTION("""COMPUTED_VALUE"""),"achavezi@postobon.com.co")</f>
        <v>achavezi@postobon.com.co</v>
      </c>
      <c r="Z295" s="5" t="str">
        <f ca="1">IFERROR(__xludf.DUMMYFUNCTION("""COMPUTED_VALUE"""),"lOJ0iWHIS5aylSFDsi6mWA")</f>
        <v>lOJ0iWHIS5aylSFDsi6mWA</v>
      </c>
      <c r="AA295" s="63" t="str">
        <f ca="1">IFERROR(__xludf.DUMMYFUNCTION("""COMPUTED_VALUE"""),"https://storage.googleapis.com/glide-prod.appspot.com/uploads-v2/ly7o78grxPaC6KdgvbpS/pub/UZ2rPBV5farhJR9WO4YI.jpg")</f>
        <v>https://storage.googleapis.com/glide-prod.appspot.com/uploads-v2/ly7o78grxPaC6KdgvbpS/pub/UZ2rPBV5farhJR9WO4YI.jpg</v>
      </c>
      <c r="AB295" s="5"/>
      <c r="AC295" s="5"/>
      <c r="AD295" s="5">
        <f ca="1">IFERROR(__xludf.DUMMYFUNCTION("""COMPUTED_VALUE"""),29)</f>
        <v>29</v>
      </c>
      <c r="AE295" s="5">
        <f ca="1">IFERROR(__xludf.DUMMYFUNCTION("""COMPUTED_VALUE"""),29)</f>
        <v>29</v>
      </c>
      <c r="AF295" s="5" t="b">
        <f ca="1">IFERROR(__xludf.DUMMYFUNCTION("""COMPUTED_VALUE"""),FALSE)</f>
        <v>0</v>
      </c>
      <c r="AG295" s="5" t="str">
        <f ca="1">IFERROR(__xludf.DUMMYFUNCTION("""COMPUTED_VALUE"""),"INSPECCIONES REALIZADAS")</f>
        <v>INSPECCIONES REALIZADAS</v>
      </c>
      <c r="AH295" s="5"/>
    </row>
    <row r="296" spans="1:34">
      <c r="A296" s="5" t="str">
        <f ca="1">IFERROR(__xludf.DUMMYFUNCTION("""COMPUTED_VALUE"""),"LINEA DE ENVASADO JUGOS PET HOT FILL")</f>
        <v>LINEA DE ENVASADO JUGOS PET HOT FILL</v>
      </c>
      <c r="B296" s="5">
        <f ca="1">IFERROR(__xludf.DUMMYFUNCTION("""COMPUTED_VALUE"""),669450)</f>
        <v>669450</v>
      </c>
      <c r="C296" s="5" t="str">
        <f ca="1">IFERROR(__xludf.DUMMYFUNCTION("""COMPUTED_VALUE"""),"ENFRIADOR")</f>
        <v>ENFRIADOR</v>
      </c>
      <c r="D296" s="5">
        <f ca="1">IFERROR(__xludf.DUMMYFUNCTION("""COMPUTED_VALUE"""),13247752)</f>
        <v>13247752</v>
      </c>
      <c r="E296" s="5" t="str">
        <f ca="1">IFERROR(__xludf.DUMMYFUNCTION("""COMPUTED_VALUE"""),"INSPECCION SEMANAL COOLER")</f>
        <v>INSPECCION SEMANAL COOLER</v>
      </c>
      <c r="F296" s="5" t="str">
        <f ca="1">IFERROR(__xludf.DUMMYFUNCTION("""COMPUTED_VALUE"""),"INSP. MOTO REDUCTOR")</f>
        <v>INSP. MOTO REDUCTOR</v>
      </c>
      <c r="G296" s="5" t="b">
        <f ca="1">IFERROR(__xludf.DUMMYFUNCTION("""COMPUTED_VALUE"""),TRUE)</f>
        <v>1</v>
      </c>
      <c r="H296" s="5"/>
      <c r="I296" s="5"/>
      <c r="J296" s="5">
        <f ca="1">IFERROR(__xludf.DUMMYFUNCTION("""COMPUTED_VALUE"""),13247752)</f>
        <v>13247752</v>
      </c>
      <c r="K296" s="5"/>
      <c r="L296" s="18">
        <f ca="1">IFERROR(__xludf.DUMMYFUNCTION("""COMPUTED_VALUE"""),45324)</f>
        <v>45324</v>
      </c>
      <c r="M296" s="18">
        <f ca="1">IFERROR(__xludf.DUMMYFUNCTION("""COMPUTED_VALUE"""),45324)</f>
        <v>45324</v>
      </c>
      <c r="N296" s="5" t="str">
        <f ca="1">IFERROR(__xludf.DUMMYFUNCTION("""COMPUTED_VALUE"""),"Vanegas Guependo Hermes")</f>
        <v>Vanegas Guependo Hermes</v>
      </c>
      <c r="O296" s="2">
        <f ca="1">IFERROR(__xludf.DUMMYFUNCTION("""COMPUTED_VALUE"""),0.008333333)</f>
        <v>8.3333330000000001E-3</v>
      </c>
      <c r="P296" s="5">
        <f ca="1">IFERROR(__xludf.DUMMYFUNCTION("""COMPUTED_VALUE"""),20010206)</f>
        <v>20010206</v>
      </c>
      <c r="Q296" s="5" t="str">
        <f ca="1">IFERROR(__xludf.DUMMYFUNCTION("""COMPUTED_VALUE"""),"aID77qcEMLY")</f>
        <v>aID77qcEMLY</v>
      </c>
      <c r="R296" s="5">
        <f ca="1">IFERROR(__xludf.DUMMYFUNCTION("""COMPUTED_VALUE"""),410)</f>
        <v>410</v>
      </c>
      <c r="S296" s="62">
        <f ca="1">IFERROR(__xludf.DUMMYFUNCTION("""COMPUTED_VALUE"""),0.008333333)</f>
        <v>8.3333330000000001E-3</v>
      </c>
      <c r="T296" s="63" t="str">
        <f ca="1">IFERROR(__xludf.DUMMYFUNCTION("""COMPUTED_VALUE"""),"https://storage.googleapis.com/glide-prod.appspot.com/uploads-v2/ly7o78grxPaC6KdgvbpS/pub/3aRdSog0vUtuqPE8AJKD.png")</f>
        <v>https://storage.googleapis.com/glide-prod.appspot.com/uploads-v2/ly7o78grxPaC6KdgvbpS/pub/3aRdSog0vUtuqPE8AJKD.png</v>
      </c>
      <c r="U296" s="5" t="str">
        <f ca="1">IFERROR(__xludf.DUMMYFUNCTION("""COMPUTED_VALUE"""),"LINEA DE ENVASADO JUGOS PET HOT FILLENFRIADOR")</f>
        <v>LINEA DE ENVASADO JUGOS PET HOT FILLENFRIADOR</v>
      </c>
      <c r="V296" s="5"/>
      <c r="W296" s="5" t="b">
        <f ca="1">IFERROR(__xludf.DUMMYFUNCTION("""COMPUTED_VALUE"""),TRUE)</f>
        <v>1</v>
      </c>
      <c r="X296" s="5" t="str">
        <f ca="1">IFERROR(__xludf.DUMMYFUNCTION("""COMPUTED_VALUE"""),"achavezi@postobon.com.co,aprmttoyu@postobon.com.co,aprmyu@postobon.com.co,wmora@postobon.com.co,efzapata@postobon.com.co")</f>
        <v>achavezi@postobon.com.co,aprmttoyu@postobon.com.co,aprmyu@postobon.com.co,wmora@postobon.com.co,efzapata@postobon.com.co</v>
      </c>
      <c r="Y296" s="5" t="str">
        <f ca="1">IFERROR(__xludf.DUMMYFUNCTION("""COMPUTED_VALUE"""),"achavezi@postobon.com.co")</f>
        <v>achavezi@postobon.com.co</v>
      </c>
      <c r="Z296" s="5" t="str">
        <f ca="1">IFERROR(__xludf.DUMMYFUNCTION("""COMPUTED_VALUE"""),"RDyArvNbTcOS2ip3eNS0lw")</f>
        <v>RDyArvNbTcOS2ip3eNS0lw</v>
      </c>
      <c r="AA296" s="5"/>
      <c r="AB296" s="5"/>
      <c r="AC296" s="5"/>
      <c r="AD296" s="5">
        <f ca="1">IFERROR(__xludf.DUMMYFUNCTION("""COMPUTED_VALUE"""),29)</f>
        <v>29</v>
      </c>
      <c r="AE296" s="5">
        <f ca="1">IFERROR(__xludf.DUMMYFUNCTION("""COMPUTED_VALUE"""),29)</f>
        <v>29</v>
      </c>
      <c r="AF296" s="5" t="b">
        <f ca="1">IFERROR(__xludf.DUMMYFUNCTION("""COMPUTED_VALUE"""),FALSE)</f>
        <v>0</v>
      </c>
      <c r="AG296" s="5" t="str">
        <f ca="1">IFERROR(__xludf.DUMMYFUNCTION("""COMPUTED_VALUE"""),"INSPECCIONES REALIZADAS")</f>
        <v>INSPECCIONES REALIZADAS</v>
      </c>
      <c r="AH296" s="5"/>
    </row>
    <row r="297" spans="1:34">
      <c r="A297" s="5" t="str">
        <f ca="1">IFERROR(__xludf.DUMMYFUNCTION("""COMPUTED_VALUE"""),"LINEA DE ENVASADO JUGOS PET HOT FILL")</f>
        <v>LINEA DE ENVASADO JUGOS PET HOT FILL</v>
      </c>
      <c r="B297" s="5">
        <f ca="1">IFERROR(__xludf.DUMMYFUNCTION("""COMPUTED_VALUE"""),669450)</f>
        <v>669450</v>
      </c>
      <c r="C297" s="5" t="str">
        <f ca="1">IFERROR(__xludf.DUMMYFUNCTION("""COMPUTED_VALUE"""),"ENFRIADOR")</f>
        <v>ENFRIADOR</v>
      </c>
      <c r="D297" s="5">
        <f ca="1">IFERROR(__xludf.DUMMYFUNCTION("""COMPUTED_VALUE"""),13247752)</f>
        <v>13247752</v>
      </c>
      <c r="E297" s="5" t="str">
        <f ca="1">IFERROR(__xludf.DUMMYFUNCTION("""COMPUTED_VALUE"""),"INSPECCION SEMANAL COOLER")</f>
        <v>INSPECCION SEMANAL COOLER</v>
      </c>
      <c r="F297" s="5" t="str">
        <f ca="1">IFERROR(__xludf.DUMMYFUNCTION("""COMPUTED_VALUE"""),"INSP. VALVULA REGULADORA")</f>
        <v>INSP. VALVULA REGULADORA</v>
      </c>
      <c r="G297" s="5" t="b">
        <f ca="1">IFERROR(__xludf.DUMMYFUNCTION("""COMPUTED_VALUE"""),TRUE)</f>
        <v>1</v>
      </c>
      <c r="H297" s="5"/>
      <c r="I297" s="5"/>
      <c r="J297" s="5">
        <f ca="1">IFERROR(__xludf.DUMMYFUNCTION("""COMPUTED_VALUE"""),13247752)</f>
        <v>13247752</v>
      </c>
      <c r="K297" s="5"/>
      <c r="L297" s="18">
        <f ca="1">IFERROR(__xludf.DUMMYFUNCTION("""COMPUTED_VALUE"""),45324)</f>
        <v>45324</v>
      </c>
      <c r="M297" s="18">
        <f ca="1">IFERROR(__xludf.DUMMYFUNCTION("""COMPUTED_VALUE"""),45324)</f>
        <v>45324</v>
      </c>
      <c r="N297" s="5" t="str">
        <f ca="1">IFERROR(__xludf.DUMMYFUNCTION("""COMPUTED_VALUE"""),"Vanegas Guependo Hermes")</f>
        <v>Vanegas Guependo Hermes</v>
      </c>
      <c r="O297" s="2">
        <f ca="1">IFERROR(__xludf.DUMMYFUNCTION("""COMPUTED_VALUE"""),0.008333333)</f>
        <v>8.3333330000000001E-3</v>
      </c>
      <c r="P297" s="5">
        <f ca="1">IFERROR(__xludf.DUMMYFUNCTION("""COMPUTED_VALUE"""),20010206)</f>
        <v>20010206</v>
      </c>
      <c r="Q297" s="5" t="str">
        <f ca="1">IFERROR(__xludf.DUMMYFUNCTION("""COMPUTED_VALUE"""),"L1tg_eiEarg")</f>
        <v>L1tg_eiEarg</v>
      </c>
      <c r="R297" s="5">
        <f ca="1">IFERROR(__xludf.DUMMYFUNCTION("""COMPUTED_VALUE"""),410)</f>
        <v>410</v>
      </c>
      <c r="S297" s="62">
        <f ca="1">IFERROR(__xludf.DUMMYFUNCTION("""COMPUTED_VALUE"""),0.008333333)</f>
        <v>8.3333330000000001E-3</v>
      </c>
      <c r="T297" s="63" t="str">
        <f ca="1">IFERROR(__xludf.DUMMYFUNCTION("""COMPUTED_VALUE"""),"https://storage.googleapis.com/glide-prod.appspot.com/uploads-v2/ly7o78grxPaC6KdgvbpS/pub/3aRdSog0vUtuqPE8AJKD.png")</f>
        <v>https://storage.googleapis.com/glide-prod.appspot.com/uploads-v2/ly7o78grxPaC6KdgvbpS/pub/3aRdSog0vUtuqPE8AJKD.png</v>
      </c>
      <c r="U297" s="5" t="str">
        <f ca="1">IFERROR(__xludf.DUMMYFUNCTION("""COMPUTED_VALUE"""),"LINEA DE ENVASADO JUGOS PET HOT FILLENFRIADOR")</f>
        <v>LINEA DE ENVASADO JUGOS PET HOT FILLENFRIADOR</v>
      </c>
      <c r="V297" s="5"/>
      <c r="W297" s="5" t="b">
        <f ca="1">IFERROR(__xludf.DUMMYFUNCTION("""COMPUTED_VALUE"""),TRUE)</f>
        <v>1</v>
      </c>
      <c r="X297" s="5" t="str">
        <f ca="1">IFERROR(__xludf.DUMMYFUNCTION("""COMPUTED_VALUE"""),"achavezi@postobon.com.co,aprmttoyu@postobon.com.co,aprmyu@postobon.com.co,wmora@postobon.com.co,efzapata@postobon.com.co")</f>
        <v>achavezi@postobon.com.co,aprmttoyu@postobon.com.co,aprmyu@postobon.com.co,wmora@postobon.com.co,efzapata@postobon.com.co</v>
      </c>
      <c r="Y297" s="5" t="str">
        <f ca="1">IFERROR(__xludf.DUMMYFUNCTION("""COMPUTED_VALUE"""),"achavezi@postobon.com.co")</f>
        <v>achavezi@postobon.com.co</v>
      </c>
      <c r="Z297" s="5" t="str">
        <f ca="1">IFERROR(__xludf.DUMMYFUNCTION("""COMPUTED_VALUE"""),"4RkyYCCmR7WvkdsVHtJALQ")</f>
        <v>4RkyYCCmR7WvkdsVHtJALQ</v>
      </c>
      <c r="AA297" s="5"/>
      <c r="AB297" s="5"/>
      <c r="AC297" s="5"/>
      <c r="AD297" s="5">
        <f ca="1">IFERROR(__xludf.DUMMYFUNCTION("""COMPUTED_VALUE"""),29)</f>
        <v>29</v>
      </c>
      <c r="AE297" s="5">
        <f ca="1">IFERROR(__xludf.DUMMYFUNCTION("""COMPUTED_VALUE"""),29)</f>
        <v>29</v>
      </c>
      <c r="AF297" s="5" t="b">
        <f ca="1">IFERROR(__xludf.DUMMYFUNCTION("""COMPUTED_VALUE"""),FALSE)</f>
        <v>0</v>
      </c>
      <c r="AG297" s="5" t="str">
        <f ca="1">IFERROR(__xludf.DUMMYFUNCTION("""COMPUTED_VALUE"""),"INSPECCIONES REALIZADAS")</f>
        <v>INSPECCIONES REALIZADAS</v>
      </c>
      <c r="AH297" s="5"/>
    </row>
    <row r="298" spans="1:34">
      <c r="A298" s="5" t="str">
        <f ca="1">IFERROR(__xludf.DUMMYFUNCTION("""COMPUTED_VALUE"""),"LINEA DE ENVASADO JUGOS PET HOT FILL")</f>
        <v>LINEA DE ENVASADO JUGOS PET HOT FILL</v>
      </c>
      <c r="B298" s="5">
        <f ca="1">IFERROR(__xludf.DUMMYFUNCTION("""COMPUTED_VALUE"""),669450)</f>
        <v>669450</v>
      </c>
      <c r="C298" s="5" t="str">
        <f ca="1">IFERROR(__xludf.DUMMYFUNCTION("""COMPUTED_VALUE"""),"ENFRIADOR")</f>
        <v>ENFRIADOR</v>
      </c>
      <c r="D298" s="5">
        <f ca="1">IFERROR(__xludf.DUMMYFUNCTION("""COMPUTED_VALUE"""),13247752)</f>
        <v>13247752</v>
      </c>
      <c r="E298" s="5" t="str">
        <f ca="1">IFERROR(__xludf.DUMMYFUNCTION("""COMPUTED_VALUE"""),"INSPECCION SEMANAL COOLER")</f>
        <v>INSPECCION SEMANAL COOLER</v>
      </c>
      <c r="F298" s="5" t="str">
        <f ca="1">IFERROR(__xludf.DUMMYFUNCTION("""COMPUTED_VALUE"""),"VERIF. INSTRUMENTACION")</f>
        <v>VERIF. INSTRUMENTACION</v>
      </c>
      <c r="G298" s="5" t="b">
        <f ca="1">IFERROR(__xludf.DUMMYFUNCTION("""COMPUTED_VALUE"""),TRUE)</f>
        <v>1</v>
      </c>
      <c r="H298" s="5"/>
      <c r="I298" s="5"/>
      <c r="J298" s="5">
        <f ca="1">IFERROR(__xludf.DUMMYFUNCTION("""COMPUTED_VALUE"""),13247752)</f>
        <v>13247752</v>
      </c>
      <c r="K298" s="5"/>
      <c r="L298" s="18">
        <f ca="1">IFERROR(__xludf.DUMMYFUNCTION("""COMPUTED_VALUE"""),45324)</f>
        <v>45324</v>
      </c>
      <c r="M298" s="18">
        <f ca="1">IFERROR(__xludf.DUMMYFUNCTION("""COMPUTED_VALUE"""),45324)</f>
        <v>45324</v>
      </c>
      <c r="N298" s="5" t="str">
        <f ca="1">IFERROR(__xludf.DUMMYFUNCTION("""COMPUTED_VALUE"""),"Vanegas Guependo Hermes")</f>
        <v>Vanegas Guependo Hermes</v>
      </c>
      <c r="O298" s="2">
        <f ca="1">IFERROR(__xludf.DUMMYFUNCTION("""COMPUTED_VALUE"""),0.008333333)</f>
        <v>8.3333330000000001E-3</v>
      </c>
      <c r="P298" s="5">
        <f ca="1">IFERROR(__xludf.DUMMYFUNCTION("""COMPUTED_VALUE"""),20010206)</f>
        <v>20010206</v>
      </c>
      <c r="Q298" s="5" t="str">
        <f ca="1">IFERROR(__xludf.DUMMYFUNCTION("""COMPUTED_VALUE"""),"VU4Eq9X_3fk")</f>
        <v>VU4Eq9X_3fk</v>
      </c>
      <c r="R298" s="5">
        <f ca="1">IFERROR(__xludf.DUMMYFUNCTION("""COMPUTED_VALUE"""),410)</f>
        <v>410</v>
      </c>
      <c r="S298" s="62">
        <f ca="1">IFERROR(__xludf.DUMMYFUNCTION("""COMPUTED_VALUE"""),0.008333333)</f>
        <v>8.3333330000000001E-3</v>
      </c>
      <c r="T298" s="63" t="str">
        <f ca="1">IFERROR(__xludf.DUMMYFUNCTION("""COMPUTED_VALUE"""),"https://storage.googleapis.com/glide-prod.appspot.com/uploads-v2/ly7o78grxPaC6KdgvbpS/pub/3aRdSog0vUtuqPE8AJKD.png")</f>
        <v>https://storage.googleapis.com/glide-prod.appspot.com/uploads-v2/ly7o78grxPaC6KdgvbpS/pub/3aRdSog0vUtuqPE8AJKD.png</v>
      </c>
      <c r="U298" s="5" t="str">
        <f ca="1">IFERROR(__xludf.DUMMYFUNCTION("""COMPUTED_VALUE"""),"LINEA DE ENVASADO JUGOS PET HOT FILLENFRIADOR")</f>
        <v>LINEA DE ENVASADO JUGOS PET HOT FILLENFRIADOR</v>
      </c>
      <c r="V298" s="5"/>
      <c r="W298" s="5" t="b">
        <f ca="1">IFERROR(__xludf.DUMMYFUNCTION("""COMPUTED_VALUE"""),TRUE)</f>
        <v>1</v>
      </c>
      <c r="X298" s="5" t="str">
        <f ca="1">IFERROR(__xludf.DUMMYFUNCTION("""COMPUTED_VALUE"""),"achavezi@postobon.com.co,aprmttoyu@postobon.com.co,aprmyu@postobon.com.co,wmora@postobon.com.co,efzapata@postobon.com.co")</f>
        <v>achavezi@postobon.com.co,aprmttoyu@postobon.com.co,aprmyu@postobon.com.co,wmora@postobon.com.co,efzapata@postobon.com.co</v>
      </c>
      <c r="Y298" s="5" t="str">
        <f ca="1">IFERROR(__xludf.DUMMYFUNCTION("""COMPUTED_VALUE"""),"achavezi@postobon.com.co")</f>
        <v>achavezi@postobon.com.co</v>
      </c>
      <c r="Z298" s="5" t="str">
        <f ca="1">IFERROR(__xludf.DUMMYFUNCTION("""COMPUTED_VALUE"""),"lJ8h5sLCTN6vbzk64ZpeMw")</f>
        <v>lJ8h5sLCTN6vbzk64ZpeMw</v>
      </c>
      <c r="AA298" s="5"/>
      <c r="AB298" s="5"/>
      <c r="AC298" s="5"/>
      <c r="AD298" s="5">
        <f ca="1">IFERROR(__xludf.DUMMYFUNCTION("""COMPUTED_VALUE"""),29)</f>
        <v>29</v>
      </c>
      <c r="AE298" s="5">
        <f ca="1">IFERROR(__xludf.DUMMYFUNCTION("""COMPUTED_VALUE"""),29)</f>
        <v>29</v>
      </c>
      <c r="AF298" s="5" t="b">
        <f ca="1">IFERROR(__xludf.DUMMYFUNCTION("""COMPUTED_VALUE"""),FALSE)</f>
        <v>0</v>
      </c>
      <c r="AG298" s="5" t="str">
        <f ca="1">IFERROR(__xludf.DUMMYFUNCTION("""COMPUTED_VALUE"""),"INSPECCIONES REALIZADAS")</f>
        <v>INSPECCIONES REALIZADAS</v>
      </c>
      <c r="AH298" s="5"/>
    </row>
    <row r="299" spans="1:34">
      <c r="A299" s="5" t="str">
        <f ca="1">IFERROR(__xludf.DUMMYFUNCTION("""COMPUTED_VALUE"""),"LINEA DE ENVASADO JUGOS PET HOT FILL")</f>
        <v>LINEA DE ENVASADO JUGOS PET HOT FILL</v>
      </c>
      <c r="B299" s="5">
        <f ca="1">IFERROR(__xludf.DUMMYFUNCTION("""COMPUTED_VALUE"""),669450)</f>
        <v>669450</v>
      </c>
      <c r="C299" s="5" t="str">
        <f ca="1">IFERROR(__xludf.DUMMYFUNCTION("""COMPUTED_VALUE"""),"ENFRIADOR")</f>
        <v>ENFRIADOR</v>
      </c>
      <c r="D299" s="5">
        <f ca="1">IFERROR(__xludf.DUMMYFUNCTION("""COMPUTED_VALUE"""),13247752)</f>
        <v>13247752</v>
      </c>
      <c r="E299" s="5" t="str">
        <f ca="1">IFERROR(__xludf.DUMMYFUNCTION("""COMPUTED_VALUE"""),"INSPECCION SEMANAL COOLER")</f>
        <v>INSPECCION SEMANAL COOLER</v>
      </c>
      <c r="F299" s="5" t="str">
        <f ca="1">IFERROR(__xludf.DUMMYFUNCTION("""COMPUTED_VALUE"""),"INSP. FUGAS DE FLUIDOS")</f>
        <v>INSP. FUGAS DE FLUIDOS</v>
      </c>
      <c r="G299" s="5" t="b">
        <f ca="1">IFERROR(__xludf.DUMMYFUNCTION("""COMPUTED_VALUE"""),TRUE)</f>
        <v>1</v>
      </c>
      <c r="H299" s="5"/>
      <c r="I299" s="5"/>
      <c r="J299" s="5">
        <f ca="1">IFERROR(__xludf.DUMMYFUNCTION("""COMPUTED_VALUE"""),13247752)</f>
        <v>13247752</v>
      </c>
      <c r="K299" s="5"/>
      <c r="L299" s="18">
        <f ca="1">IFERROR(__xludf.DUMMYFUNCTION("""COMPUTED_VALUE"""),45324)</f>
        <v>45324</v>
      </c>
      <c r="M299" s="18">
        <f ca="1">IFERROR(__xludf.DUMMYFUNCTION("""COMPUTED_VALUE"""),45324)</f>
        <v>45324</v>
      </c>
      <c r="N299" s="5" t="str">
        <f ca="1">IFERROR(__xludf.DUMMYFUNCTION("""COMPUTED_VALUE"""),"Vanegas Guependo Hermes")</f>
        <v>Vanegas Guependo Hermes</v>
      </c>
      <c r="O299" s="2">
        <f ca="1">IFERROR(__xludf.DUMMYFUNCTION("""COMPUTED_VALUE"""),0.008333333)</f>
        <v>8.3333330000000001E-3</v>
      </c>
      <c r="P299" s="5">
        <f ca="1">IFERROR(__xludf.DUMMYFUNCTION("""COMPUTED_VALUE"""),20010206)</f>
        <v>20010206</v>
      </c>
      <c r="Q299" s="5" t="str">
        <f ca="1">IFERROR(__xludf.DUMMYFUNCTION("""COMPUTED_VALUE"""),"BlRYc7Z0dHY")</f>
        <v>BlRYc7Z0dHY</v>
      </c>
      <c r="R299" s="5">
        <f ca="1">IFERROR(__xludf.DUMMYFUNCTION("""COMPUTED_VALUE"""),410)</f>
        <v>410</v>
      </c>
      <c r="S299" s="62">
        <f ca="1">IFERROR(__xludf.DUMMYFUNCTION("""COMPUTED_VALUE"""),0.008333333)</f>
        <v>8.3333330000000001E-3</v>
      </c>
      <c r="T299" s="63" t="str">
        <f ca="1">IFERROR(__xludf.DUMMYFUNCTION("""COMPUTED_VALUE"""),"https://storage.googleapis.com/glide-prod.appspot.com/uploads-v2/ly7o78grxPaC6KdgvbpS/pub/3aRdSog0vUtuqPE8AJKD.png")</f>
        <v>https://storage.googleapis.com/glide-prod.appspot.com/uploads-v2/ly7o78grxPaC6KdgvbpS/pub/3aRdSog0vUtuqPE8AJKD.png</v>
      </c>
      <c r="U299" s="5" t="str">
        <f ca="1">IFERROR(__xludf.DUMMYFUNCTION("""COMPUTED_VALUE"""),"LINEA DE ENVASADO JUGOS PET HOT FILLENFRIADOR")</f>
        <v>LINEA DE ENVASADO JUGOS PET HOT FILLENFRIADOR</v>
      </c>
      <c r="V299" s="5"/>
      <c r="W299" s="5" t="b">
        <f ca="1">IFERROR(__xludf.DUMMYFUNCTION("""COMPUTED_VALUE"""),TRUE)</f>
        <v>1</v>
      </c>
      <c r="X299" s="5" t="str">
        <f ca="1">IFERROR(__xludf.DUMMYFUNCTION("""COMPUTED_VALUE"""),"achavezi@postobon.com.co,aprmttoyu@postobon.com.co,aprmyu@postobon.com.co,wmora@postobon.com.co,efzapata@postobon.com.co")</f>
        <v>achavezi@postobon.com.co,aprmttoyu@postobon.com.co,aprmyu@postobon.com.co,wmora@postobon.com.co,efzapata@postobon.com.co</v>
      </c>
      <c r="Y299" s="5" t="str">
        <f ca="1">IFERROR(__xludf.DUMMYFUNCTION("""COMPUTED_VALUE"""),"achavezi@postobon.com.co")</f>
        <v>achavezi@postobon.com.co</v>
      </c>
      <c r="Z299" s="5" t="str">
        <f ca="1">IFERROR(__xludf.DUMMYFUNCTION("""COMPUTED_VALUE"""),"45pjNssHQIuFsGYdFtERfw")</f>
        <v>45pjNssHQIuFsGYdFtERfw</v>
      </c>
      <c r="AA299" s="5"/>
      <c r="AB299" s="5"/>
      <c r="AC299" s="5"/>
      <c r="AD299" s="5">
        <f ca="1">IFERROR(__xludf.DUMMYFUNCTION("""COMPUTED_VALUE"""),29)</f>
        <v>29</v>
      </c>
      <c r="AE299" s="5">
        <f ca="1">IFERROR(__xludf.DUMMYFUNCTION("""COMPUTED_VALUE"""),29)</f>
        <v>29</v>
      </c>
      <c r="AF299" s="5" t="b">
        <f ca="1">IFERROR(__xludf.DUMMYFUNCTION("""COMPUTED_VALUE"""),FALSE)</f>
        <v>0</v>
      </c>
      <c r="AG299" s="5" t="str">
        <f ca="1">IFERROR(__xludf.DUMMYFUNCTION("""COMPUTED_VALUE"""),"INSPECCIONES REALIZADAS")</f>
        <v>INSPECCIONES REALIZADAS</v>
      </c>
      <c r="AH299" s="5"/>
    </row>
    <row r="300" spans="1:34">
      <c r="A300" s="5" t="str">
        <f ca="1">IFERROR(__xludf.DUMMYFUNCTION("""COMPUTED_VALUE"""),"LINEA DE ENVASADO JUGOS PET HOT FILL")</f>
        <v>LINEA DE ENVASADO JUGOS PET HOT FILL</v>
      </c>
      <c r="B300" s="5">
        <f ca="1">IFERROR(__xludf.DUMMYFUNCTION("""COMPUTED_VALUE"""),669450)</f>
        <v>669450</v>
      </c>
      <c r="C300" s="5" t="str">
        <f ca="1">IFERROR(__xludf.DUMMYFUNCTION("""COMPUTED_VALUE"""),"ENFRIADOR")</f>
        <v>ENFRIADOR</v>
      </c>
      <c r="D300" s="5">
        <f ca="1">IFERROR(__xludf.DUMMYFUNCTION("""COMPUTED_VALUE"""),13247752)</f>
        <v>13247752</v>
      </c>
      <c r="E300" s="5" t="str">
        <f ca="1">IFERROR(__xludf.DUMMYFUNCTION("""COMPUTED_VALUE"""),"INSPECCION SEMANAL COOLER")</f>
        <v>INSPECCION SEMANAL COOLER</v>
      </c>
      <c r="F300" s="5" t="str">
        <f ca="1">IFERROR(__xludf.DUMMYFUNCTION("""COMPUTED_VALUE"""),"INSP. DE TUBERIA")</f>
        <v>INSP. DE TUBERIA</v>
      </c>
      <c r="G300" s="5" t="b">
        <f ca="1">IFERROR(__xludf.DUMMYFUNCTION("""COMPUTED_VALUE"""),TRUE)</f>
        <v>1</v>
      </c>
      <c r="H300" s="5"/>
      <c r="I300" s="5"/>
      <c r="J300" s="5">
        <f ca="1">IFERROR(__xludf.DUMMYFUNCTION("""COMPUTED_VALUE"""),13247752)</f>
        <v>13247752</v>
      </c>
      <c r="K300" s="5"/>
      <c r="L300" s="18">
        <f ca="1">IFERROR(__xludf.DUMMYFUNCTION("""COMPUTED_VALUE"""),45324)</f>
        <v>45324</v>
      </c>
      <c r="M300" s="18">
        <f ca="1">IFERROR(__xludf.DUMMYFUNCTION("""COMPUTED_VALUE"""),45324)</f>
        <v>45324</v>
      </c>
      <c r="N300" s="5" t="str">
        <f ca="1">IFERROR(__xludf.DUMMYFUNCTION("""COMPUTED_VALUE"""),"Vanegas Guependo Hermes")</f>
        <v>Vanegas Guependo Hermes</v>
      </c>
      <c r="O300" s="2">
        <f ca="1">IFERROR(__xludf.DUMMYFUNCTION("""COMPUTED_VALUE"""),0.008333333)</f>
        <v>8.3333330000000001E-3</v>
      </c>
      <c r="P300" s="5">
        <f ca="1">IFERROR(__xludf.DUMMYFUNCTION("""COMPUTED_VALUE"""),20010206)</f>
        <v>20010206</v>
      </c>
      <c r="Q300" s="5" t="str">
        <f ca="1">IFERROR(__xludf.DUMMYFUNCTION("""COMPUTED_VALUE"""),"DAvQxnsCMvQ")</f>
        <v>DAvQxnsCMvQ</v>
      </c>
      <c r="R300" s="5">
        <f ca="1">IFERROR(__xludf.DUMMYFUNCTION("""COMPUTED_VALUE"""),410)</f>
        <v>410</v>
      </c>
      <c r="S300" s="62">
        <f ca="1">IFERROR(__xludf.DUMMYFUNCTION("""COMPUTED_VALUE"""),0.008333333)</f>
        <v>8.3333330000000001E-3</v>
      </c>
      <c r="T300" s="63" t="str">
        <f ca="1">IFERROR(__xludf.DUMMYFUNCTION("""COMPUTED_VALUE"""),"https://storage.googleapis.com/glide-prod.appspot.com/uploads-v2/ly7o78grxPaC6KdgvbpS/pub/3aRdSog0vUtuqPE8AJKD.png")</f>
        <v>https://storage.googleapis.com/glide-prod.appspot.com/uploads-v2/ly7o78grxPaC6KdgvbpS/pub/3aRdSog0vUtuqPE8AJKD.png</v>
      </c>
      <c r="U300" s="5" t="str">
        <f ca="1">IFERROR(__xludf.DUMMYFUNCTION("""COMPUTED_VALUE"""),"LINEA DE ENVASADO JUGOS PET HOT FILLENFRIADOR")</f>
        <v>LINEA DE ENVASADO JUGOS PET HOT FILLENFRIADOR</v>
      </c>
      <c r="V300" s="5"/>
      <c r="W300" s="5" t="b">
        <f ca="1">IFERROR(__xludf.DUMMYFUNCTION("""COMPUTED_VALUE"""),TRUE)</f>
        <v>1</v>
      </c>
      <c r="X300" s="5" t="str">
        <f ca="1">IFERROR(__xludf.DUMMYFUNCTION("""COMPUTED_VALUE"""),"achavezi@postobon.com.co,aprmttoyu@postobon.com.co,aprmyu@postobon.com.co,wmora@postobon.com.co,efzapata@postobon.com.co")</f>
        <v>achavezi@postobon.com.co,aprmttoyu@postobon.com.co,aprmyu@postobon.com.co,wmora@postobon.com.co,efzapata@postobon.com.co</v>
      </c>
      <c r="Y300" s="5" t="str">
        <f ca="1">IFERROR(__xludf.DUMMYFUNCTION("""COMPUTED_VALUE"""),"achavezi@postobon.com.co")</f>
        <v>achavezi@postobon.com.co</v>
      </c>
      <c r="Z300" s="5" t="str">
        <f ca="1">IFERROR(__xludf.DUMMYFUNCTION("""COMPUTED_VALUE"""),"8CXvZxm6RY6iE1HVE.OKvg")</f>
        <v>8CXvZxm6RY6iE1HVE.OKvg</v>
      </c>
      <c r="AA300" s="5"/>
      <c r="AB300" s="5"/>
      <c r="AC300" s="5"/>
      <c r="AD300" s="5">
        <f ca="1">IFERROR(__xludf.DUMMYFUNCTION("""COMPUTED_VALUE"""),29)</f>
        <v>29</v>
      </c>
      <c r="AE300" s="5">
        <f ca="1">IFERROR(__xludf.DUMMYFUNCTION("""COMPUTED_VALUE"""),29)</f>
        <v>29</v>
      </c>
      <c r="AF300" s="5" t="b">
        <f ca="1">IFERROR(__xludf.DUMMYFUNCTION("""COMPUTED_VALUE"""),FALSE)</f>
        <v>0</v>
      </c>
      <c r="AG300" s="5" t="str">
        <f ca="1">IFERROR(__xludf.DUMMYFUNCTION("""COMPUTED_VALUE"""),"INSPECCIONES REALIZADAS")</f>
        <v>INSPECCIONES REALIZADAS</v>
      </c>
      <c r="AH300" s="5"/>
    </row>
    <row r="301" spans="1:34">
      <c r="A301" s="5" t="str">
        <f ca="1">IFERROR(__xludf.DUMMYFUNCTION("""COMPUTED_VALUE"""),"LINEA DE ENVASADO JUGOS PET HOT FILL")</f>
        <v>LINEA DE ENVASADO JUGOS PET HOT FILL</v>
      </c>
      <c r="B301" s="5">
        <f ca="1">IFERROR(__xludf.DUMMYFUNCTION("""COMPUTED_VALUE"""),669450)</f>
        <v>669450</v>
      </c>
      <c r="C301" s="5" t="str">
        <f ca="1">IFERROR(__xludf.DUMMYFUNCTION("""COMPUTED_VALUE"""),"ENFRIADOR")</f>
        <v>ENFRIADOR</v>
      </c>
      <c r="D301" s="5">
        <f ca="1">IFERROR(__xludf.DUMMYFUNCTION("""COMPUTED_VALUE"""),13247752)</f>
        <v>13247752</v>
      </c>
      <c r="E301" s="5" t="str">
        <f ca="1">IFERROR(__xludf.DUMMYFUNCTION("""COMPUTED_VALUE"""),"INSPECCION SEMANAL COOLER")</f>
        <v>INSPECCION SEMANAL COOLER</v>
      </c>
      <c r="F301" s="5" t="str">
        <f ca="1">IFERROR(__xludf.DUMMYFUNCTION("""COMPUTED_VALUE"""),"ESTADO DE GUIAS INTERNAS")</f>
        <v>ESTADO DE GUIAS INTERNAS</v>
      </c>
      <c r="G301" s="5" t="b">
        <f ca="1">IFERROR(__xludf.DUMMYFUNCTION("""COMPUTED_VALUE"""),TRUE)</f>
        <v>1</v>
      </c>
      <c r="H301" s="5"/>
      <c r="I301" s="5"/>
      <c r="J301" s="5">
        <f ca="1">IFERROR(__xludf.DUMMYFUNCTION("""COMPUTED_VALUE"""),13247752)</f>
        <v>13247752</v>
      </c>
      <c r="K301" s="5"/>
      <c r="L301" s="18">
        <f ca="1">IFERROR(__xludf.DUMMYFUNCTION("""COMPUTED_VALUE"""),45324)</f>
        <v>45324</v>
      </c>
      <c r="M301" s="18">
        <f ca="1">IFERROR(__xludf.DUMMYFUNCTION("""COMPUTED_VALUE"""),45324)</f>
        <v>45324</v>
      </c>
      <c r="N301" s="5" t="str">
        <f ca="1">IFERROR(__xludf.DUMMYFUNCTION("""COMPUTED_VALUE"""),"Vanegas Guependo Hermes")</f>
        <v>Vanegas Guependo Hermes</v>
      </c>
      <c r="O301" s="2">
        <f ca="1">IFERROR(__xludf.DUMMYFUNCTION("""COMPUTED_VALUE"""),0.008333333)</f>
        <v>8.3333330000000001E-3</v>
      </c>
      <c r="P301" s="5">
        <f ca="1">IFERROR(__xludf.DUMMYFUNCTION("""COMPUTED_VALUE"""),20010206)</f>
        <v>20010206</v>
      </c>
      <c r="Q301" s="5" t="str">
        <f ca="1">IFERROR(__xludf.DUMMYFUNCTION("""COMPUTED_VALUE"""),"xrWBco-JNsc")</f>
        <v>xrWBco-JNsc</v>
      </c>
      <c r="R301" s="5">
        <f ca="1">IFERROR(__xludf.DUMMYFUNCTION("""COMPUTED_VALUE"""),410)</f>
        <v>410</v>
      </c>
      <c r="S301" s="62">
        <f ca="1">IFERROR(__xludf.DUMMYFUNCTION("""COMPUTED_VALUE"""),0.008333333)</f>
        <v>8.3333330000000001E-3</v>
      </c>
      <c r="T301" s="63" t="str">
        <f ca="1">IFERROR(__xludf.DUMMYFUNCTION("""COMPUTED_VALUE"""),"https://storage.googleapis.com/glide-prod.appspot.com/uploads-v2/ly7o78grxPaC6KdgvbpS/pub/3aRdSog0vUtuqPE8AJKD.png")</f>
        <v>https://storage.googleapis.com/glide-prod.appspot.com/uploads-v2/ly7o78grxPaC6KdgvbpS/pub/3aRdSog0vUtuqPE8AJKD.png</v>
      </c>
      <c r="U301" s="5" t="str">
        <f ca="1">IFERROR(__xludf.DUMMYFUNCTION("""COMPUTED_VALUE"""),"LINEA DE ENVASADO JUGOS PET HOT FILLENFRIADOR")</f>
        <v>LINEA DE ENVASADO JUGOS PET HOT FILLENFRIADOR</v>
      </c>
      <c r="V301" s="5"/>
      <c r="W301" s="5" t="b">
        <f ca="1">IFERROR(__xludf.DUMMYFUNCTION("""COMPUTED_VALUE"""),TRUE)</f>
        <v>1</v>
      </c>
      <c r="X301" s="5" t="str">
        <f ca="1">IFERROR(__xludf.DUMMYFUNCTION("""COMPUTED_VALUE"""),"achavezi@postobon.com.co,aprmttoyu@postobon.com.co,aprmyu@postobon.com.co,wmora@postobon.com.co,efzapata@postobon.com.co")</f>
        <v>achavezi@postobon.com.co,aprmttoyu@postobon.com.co,aprmyu@postobon.com.co,wmora@postobon.com.co,efzapata@postobon.com.co</v>
      </c>
      <c r="Y301" s="5" t="str">
        <f ca="1">IFERROR(__xludf.DUMMYFUNCTION("""COMPUTED_VALUE"""),"achavezi@postobon.com.co")</f>
        <v>achavezi@postobon.com.co</v>
      </c>
      <c r="Z301" s="5" t="str">
        <f ca="1">IFERROR(__xludf.DUMMYFUNCTION("""COMPUTED_VALUE"""),"quq.3LHsQWawci7XjeY-Ww")</f>
        <v>quq.3LHsQWawci7XjeY-Ww</v>
      </c>
      <c r="AA301" s="5"/>
      <c r="AB301" s="5"/>
      <c r="AC301" s="5"/>
      <c r="AD301" s="5">
        <f ca="1">IFERROR(__xludf.DUMMYFUNCTION("""COMPUTED_VALUE"""),29)</f>
        <v>29</v>
      </c>
      <c r="AE301" s="5">
        <f ca="1">IFERROR(__xludf.DUMMYFUNCTION("""COMPUTED_VALUE"""),29)</f>
        <v>29</v>
      </c>
      <c r="AF301" s="5" t="b">
        <f ca="1">IFERROR(__xludf.DUMMYFUNCTION("""COMPUTED_VALUE"""),FALSE)</f>
        <v>0</v>
      </c>
      <c r="AG301" s="5" t="str">
        <f ca="1">IFERROR(__xludf.DUMMYFUNCTION("""COMPUTED_VALUE"""),"INSPECCIONES REALIZADAS")</f>
        <v>INSPECCIONES REALIZADAS</v>
      </c>
      <c r="AH301" s="5"/>
    </row>
    <row r="302" spans="1:34">
      <c r="A302" s="5" t="str">
        <f ca="1">IFERROR(__xludf.DUMMYFUNCTION("""COMPUTED_VALUE"""),"LINEA DE ENVASADO JUGOS PET HOT FILL")</f>
        <v>LINEA DE ENVASADO JUGOS PET HOT FILL</v>
      </c>
      <c r="B302" s="5">
        <f ca="1">IFERROR(__xludf.DUMMYFUNCTION("""COMPUTED_VALUE"""),669450)</f>
        <v>669450</v>
      </c>
      <c r="C302" s="5" t="str">
        <f ca="1">IFERROR(__xludf.DUMMYFUNCTION("""COMPUTED_VALUE"""),"ENFRIADOR")</f>
        <v>ENFRIADOR</v>
      </c>
      <c r="D302" s="5">
        <f ca="1">IFERROR(__xludf.DUMMYFUNCTION("""COMPUTED_VALUE"""),13247752)</f>
        <v>13247752</v>
      </c>
      <c r="E302" s="5" t="str">
        <f ca="1">IFERROR(__xludf.DUMMYFUNCTION("""COMPUTED_VALUE"""),"INSPECCION SEMANAL COOLER")</f>
        <v>INSPECCION SEMANAL COOLER</v>
      </c>
      <c r="F302" s="5" t="str">
        <f ca="1">IFERROR(__xludf.DUMMYFUNCTION("""COMPUTED_VALUE"""),"INSP. TABLERO ELECTRICO/CLIMATIZADOR")</f>
        <v>INSP. TABLERO ELECTRICO/CLIMATIZADOR</v>
      </c>
      <c r="G302" s="5" t="b">
        <f ca="1">IFERROR(__xludf.DUMMYFUNCTION("""COMPUTED_VALUE"""),TRUE)</f>
        <v>1</v>
      </c>
      <c r="H302" s="5"/>
      <c r="I302" s="5"/>
      <c r="J302" s="5">
        <f ca="1">IFERROR(__xludf.DUMMYFUNCTION("""COMPUTED_VALUE"""),13247752)</f>
        <v>13247752</v>
      </c>
      <c r="K302" s="5"/>
      <c r="L302" s="18">
        <f ca="1">IFERROR(__xludf.DUMMYFUNCTION("""COMPUTED_VALUE"""),45324)</f>
        <v>45324</v>
      </c>
      <c r="M302" s="18">
        <f ca="1">IFERROR(__xludf.DUMMYFUNCTION("""COMPUTED_VALUE"""),45324)</f>
        <v>45324</v>
      </c>
      <c r="N302" s="5" t="str">
        <f ca="1">IFERROR(__xludf.DUMMYFUNCTION("""COMPUTED_VALUE"""),"Vanegas Guependo Hermes")</f>
        <v>Vanegas Guependo Hermes</v>
      </c>
      <c r="O302" s="2">
        <f ca="1">IFERROR(__xludf.DUMMYFUNCTION("""COMPUTED_VALUE"""),0.008333333)</f>
        <v>8.3333330000000001E-3</v>
      </c>
      <c r="P302" s="5">
        <f ca="1">IFERROR(__xludf.DUMMYFUNCTION("""COMPUTED_VALUE"""),20010206)</f>
        <v>20010206</v>
      </c>
      <c r="Q302" s="5" t="str">
        <f ca="1">IFERROR(__xludf.DUMMYFUNCTION("""COMPUTED_VALUE"""),"oRlSFZdwS_I")</f>
        <v>oRlSFZdwS_I</v>
      </c>
      <c r="R302" s="5">
        <f ca="1">IFERROR(__xludf.DUMMYFUNCTION("""COMPUTED_VALUE"""),410)</f>
        <v>410</v>
      </c>
      <c r="S302" s="62">
        <f ca="1">IFERROR(__xludf.DUMMYFUNCTION("""COMPUTED_VALUE"""),0.008333333)</f>
        <v>8.3333330000000001E-3</v>
      </c>
      <c r="T302" s="63" t="str">
        <f ca="1">IFERROR(__xludf.DUMMYFUNCTION("""COMPUTED_VALUE"""),"https://storage.googleapis.com/glide-prod.appspot.com/uploads-v2/ly7o78grxPaC6KdgvbpS/pub/3aRdSog0vUtuqPE8AJKD.png")</f>
        <v>https://storage.googleapis.com/glide-prod.appspot.com/uploads-v2/ly7o78grxPaC6KdgvbpS/pub/3aRdSog0vUtuqPE8AJKD.png</v>
      </c>
      <c r="U302" s="5" t="str">
        <f ca="1">IFERROR(__xludf.DUMMYFUNCTION("""COMPUTED_VALUE"""),"LINEA DE ENVASADO JUGOS PET HOT FILLENFRIADOR")</f>
        <v>LINEA DE ENVASADO JUGOS PET HOT FILLENFRIADOR</v>
      </c>
      <c r="V302" s="5"/>
      <c r="W302" s="5" t="b">
        <f ca="1">IFERROR(__xludf.DUMMYFUNCTION("""COMPUTED_VALUE"""),TRUE)</f>
        <v>1</v>
      </c>
      <c r="X302" s="5" t="str">
        <f ca="1">IFERROR(__xludf.DUMMYFUNCTION("""COMPUTED_VALUE"""),"achavezi@postobon.com.co,aprmttoyu@postobon.com.co,aprmyu@postobon.com.co,wmora@postobon.com.co,efzapata@postobon.com.co")</f>
        <v>achavezi@postobon.com.co,aprmttoyu@postobon.com.co,aprmyu@postobon.com.co,wmora@postobon.com.co,efzapata@postobon.com.co</v>
      </c>
      <c r="Y302" s="5" t="str">
        <f ca="1">IFERROR(__xludf.DUMMYFUNCTION("""COMPUTED_VALUE"""),"achavezi@postobon.com.co")</f>
        <v>achavezi@postobon.com.co</v>
      </c>
      <c r="Z302" s="5" t="str">
        <f ca="1">IFERROR(__xludf.DUMMYFUNCTION("""COMPUTED_VALUE"""),"wKBx60UBTMWkKhSj7ZYqHg")</f>
        <v>wKBx60UBTMWkKhSj7ZYqHg</v>
      </c>
      <c r="AA302" s="5"/>
      <c r="AB302" s="5"/>
      <c r="AC302" s="5"/>
      <c r="AD302" s="5">
        <f ca="1">IFERROR(__xludf.DUMMYFUNCTION("""COMPUTED_VALUE"""),29)</f>
        <v>29</v>
      </c>
      <c r="AE302" s="5">
        <f ca="1">IFERROR(__xludf.DUMMYFUNCTION("""COMPUTED_VALUE"""),29)</f>
        <v>29</v>
      </c>
      <c r="AF302" s="5" t="b">
        <f ca="1">IFERROR(__xludf.DUMMYFUNCTION("""COMPUTED_VALUE"""),FALSE)</f>
        <v>0</v>
      </c>
      <c r="AG302" s="5" t="str">
        <f ca="1">IFERROR(__xludf.DUMMYFUNCTION("""COMPUTED_VALUE"""),"INSPECCIONES REALIZADAS")</f>
        <v>INSPECCIONES REALIZADAS</v>
      </c>
      <c r="AH302" s="5"/>
    </row>
    <row r="303" spans="1:34">
      <c r="A303" s="5" t="str">
        <f ca="1">IFERROR(__xludf.DUMMYFUNCTION("""COMPUTED_VALUE"""),"LINEA DE ENVASADO JUGOS PET HOT FILL")</f>
        <v>LINEA DE ENVASADO JUGOS PET HOT FILL</v>
      </c>
      <c r="B303" s="5">
        <f ca="1">IFERROR(__xludf.DUMMYFUNCTION("""COMPUTED_VALUE"""),669450)</f>
        <v>669450</v>
      </c>
      <c r="C303" s="5" t="str">
        <f ca="1">IFERROR(__xludf.DUMMYFUNCTION("""COMPUTED_VALUE"""),"ENFRIADOR")</f>
        <v>ENFRIADOR</v>
      </c>
      <c r="D303" s="5">
        <f ca="1">IFERROR(__xludf.DUMMYFUNCTION("""COMPUTED_VALUE"""),13247752)</f>
        <v>13247752</v>
      </c>
      <c r="E303" s="5" t="str">
        <f ca="1">IFERROR(__xludf.DUMMYFUNCTION("""COMPUTED_VALUE"""),"INSPECCION SEMANAL COOLER")</f>
        <v>INSPECCION SEMANAL COOLER</v>
      </c>
      <c r="F303" s="5" t="str">
        <f ca="1">IFERROR(__xludf.DUMMYFUNCTION("""COMPUTED_VALUE"""),"INSP. INTERCAMBIADOR DE CALOR")</f>
        <v>INSP. INTERCAMBIADOR DE CALOR</v>
      </c>
      <c r="G303" s="5" t="b">
        <f ca="1">IFERROR(__xludf.DUMMYFUNCTION("""COMPUTED_VALUE"""),TRUE)</f>
        <v>1</v>
      </c>
      <c r="H303" s="5"/>
      <c r="I303" s="5"/>
      <c r="J303" s="5">
        <f ca="1">IFERROR(__xludf.DUMMYFUNCTION("""COMPUTED_VALUE"""),13247752)</f>
        <v>13247752</v>
      </c>
      <c r="K303" s="5"/>
      <c r="L303" s="18">
        <f ca="1">IFERROR(__xludf.DUMMYFUNCTION("""COMPUTED_VALUE"""),45324)</f>
        <v>45324</v>
      </c>
      <c r="M303" s="18">
        <f ca="1">IFERROR(__xludf.DUMMYFUNCTION("""COMPUTED_VALUE"""),45324)</f>
        <v>45324</v>
      </c>
      <c r="N303" s="5" t="str">
        <f ca="1">IFERROR(__xludf.DUMMYFUNCTION("""COMPUTED_VALUE"""),"Vanegas Guependo Hermes")</f>
        <v>Vanegas Guependo Hermes</v>
      </c>
      <c r="O303" s="2">
        <f ca="1">IFERROR(__xludf.DUMMYFUNCTION("""COMPUTED_VALUE"""),0.008333333)</f>
        <v>8.3333330000000001E-3</v>
      </c>
      <c r="P303" s="5">
        <f ca="1">IFERROR(__xludf.DUMMYFUNCTION("""COMPUTED_VALUE"""),20010206)</f>
        <v>20010206</v>
      </c>
      <c r="Q303" s="5" t="str">
        <f ca="1">IFERROR(__xludf.DUMMYFUNCTION("""COMPUTED_VALUE"""),"5WtXs3i5Z6M")</f>
        <v>5WtXs3i5Z6M</v>
      </c>
      <c r="R303" s="5">
        <f ca="1">IFERROR(__xludf.DUMMYFUNCTION("""COMPUTED_VALUE"""),410)</f>
        <v>410</v>
      </c>
      <c r="S303" s="62">
        <f ca="1">IFERROR(__xludf.DUMMYFUNCTION("""COMPUTED_VALUE"""),0.008333333)</f>
        <v>8.3333330000000001E-3</v>
      </c>
      <c r="T303" s="63" t="str">
        <f ca="1">IFERROR(__xludf.DUMMYFUNCTION("""COMPUTED_VALUE"""),"https://storage.googleapis.com/glide-prod.appspot.com/uploads-v2/ly7o78grxPaC6KdgvbpS/pub/3aRdSog0vUtuqPE8AJKD.png")</f>
        <v>https://storage.googleapis.com/glide-prod.appspot.com/uploads-v2/ly7o78grxPaC6KdgvbpS/pub/3aRdSog0vUtuqPE8AJKD.png</v>
      </c>
      <c r="U303" s="5" t="str">
        <f ca="1">IFERROR(__xludf.DUMMYFUNCTION("""COMPUTED_VALUE"""),"LINEA DE ENVASADO JUGOS PET HOT FILLENFRIADOR")</f>
        <v>LINEA DE ENVASADO JUGOS PET HOT FILLENFRIADOR</v>
      </c>
      <c r="V303" s="5"/>
      <c r="W303" s="5" t="b">
        <f ca="1">IFERROR(__xludf.DUMMYFUNCTION("""COMPUTED_VALUE"""),TRUE)</f>
        <v>1</v>
      </c>
      <c r="X303" s="5" t="str">
        <f ca="1">IFERROR(__xludf.DUMMYFUNCTION("""COMPUTED_VALUE"""),"achavezi@postobon.com.co,aprmttoyu@postobon.com.co,aprmyu@postobon.com.co,wmora@postobon.com.co,efzapata@postobon.com.co")</f>
        <v>achavezi@postobon.com.co,aprmttoyu@postobon.com.co,aprmyu@postobon.com.co,wmora@postobon.com.co,efzapata@postobon.com.co</v>
      </c>
      <c r="Y303" s="5" t="str">
        <f ca="1">IFERROR(__xludf.DUMMYFUNCTION("""COMPUTED_VALUE"""),"achavezi@postobon.com.co")</f>
        <v>achavezi@postobon.com.co</v>
      </c>
      <c r="Z303" s="5" t="str">
        <f ca="1">IFERROR(__xludf.DUMMYFUNCTION("""COMPUTED_VALUE"""),"oOrlcCA4Tgmg7WoSTpJZgw")</f>
        <v>oOrlcCA4Tgmg7WoSTpJZgw</v>
      </c>
      <c r="AA303" s="5"/>
      <c r="AB303" s="5"/>
      <c r="AC303" s="5"/>
      <c r="AD303" s="5">
        <f ca="1">IFERROR(__xludf.DUMMYFUNCTION("""COMPUTED_VALUE"""),29)</f>
        <v>29</v>
      </c>
      <c r="AE303" s="5">
        <f ca="1">IFERROR(__xludf.DUMMYFUNCTION("""COMPUTED_VALUE"""),29)</f>
        <v>29</v>
      </c>
      <c r="AF303" s="5" t="b">
        <f ca="1">IFERROR(__xludf.DUMMYFUNCTION("""COMPUTED_VALUE"""),FALSE)</f>
        <v>0</v>
      </c>
      <c r="AG303" s="5" t="str">
        <f ca="1">IFERROR(__xludf.DUMMYFUNCTION("""COMPUTED_VALUE"""),"INSPECCIONES REALIZADAS")</f>
        <v>INSPECCIONES REALIZADAS</v>
      </c>
      <c r="AH303" s="5"/>
    </row>
    <row r="304" spans="1:34">
      <c r="A304" s="5" t="str">
        <f ca="1">IFERROR(__xludf.DUMMYFUNCTION("""COMPUTED_VALUE"""),"LINEA DE ENVASADO JUGOS PET HOT FILL")</f>
        <v>LINEA DE ENVASADO JUGOS PET HOT FILL</v>
      </c>
      <c r="B304" s="5">
        <f ca="1">IFERROR(__xludf.DUMMYFUNCTION("""COMPUTED_VALUE"""),669450)</f>
        <v>669450</v>
      </c>
      <c r="C304" s="5" t="str">
        <f ca="1">IFERROR(__xludf.DUMMYFUNCTION("""COMPUTED_VALUE"""),"ENFRIADOR")</f>
        <v>ENFRIADOR</v>
      </c>
      <c r="D304" s="5">
        <f ca="1">IFERROR(__xludf.DUMMYFUNCTION("""COMPUTED_VALUE"""),13247752)</f>
        <v>13247752</v>
      </c>
      <c r="E304" s="5" t="str">
        <f ca="1">IFERROR(__xludf.DUMMYFUNCTION("""COMPUTED_VALUE"""),"INSPECCION SEMANAL COOLER")</f>
        <v>INSPECCION SEMANAL COOLER</v>
      </c>
      <c r="F304" s="5" t="str">
        <f ca="1">IFERROR(__xludf.DUMMYFUNCTION("""COMPUTED_VALUE"""),"ESTADO BOMBAS")</f>
        <v>ESTADO BOMBAS</v>
      </c>
      <c r="G304" s="5" t="b">
        <f ca="1">IFERROR(__xludf.DUMMYFUNCTION("""COMPUTED_VALUE"""),TRUE)</f>
        <v>1</v>
      </c>
      <c r="H304" s="5"/>
      <c r="I304" s="5"/>
      <c r="J304" s="5">
        <f ca="1">IFERROR(__xludf.DUMMYFUNCTION("""COMPUTED_VALUE"""),13247752)</f>
        <v>13247752</v>
      </c>
      <c r="K304" s="5"/>
      <c r="L304" s="18">
        <f ca="1">IFERROR(__xludf.DUMMYFUNCTION("""COMPUTED_VALUE"""),45324)</f>
        <v>45324</v>
      </c>
      <c r="M304" s="18">
        <f ca="1">IFERROR(__xludf.DUMMYFUNCTION("""COMPUTED_VALUE"""),45324)</f>
        <v>45324</v>
      </c>
      <c r="N304" s="5" t="str">
        <f ca="1">IFERROR(__xludf.DUMMYFUNCTION("""COMPUTED_VALUE"""),"Vanegas Guependo Hermes")</f>
        <v>Vanegas Guependo Hermes</v>
      </c>
      <c r="O304" s="2">
        <f ca="1">IFERROR(__xludf.DUMMYFUNCTION("""COMPUTED_VALUE"""),0.008333333)</f>
        <v>8.3333330000000001E-3</v>
      </c>
      <c r="P304" s="5">
        <f ca="1">IFERROR(__xludf.DUMMYFUNCTION("""COMPUTED_VALUE"""),20010206)</f>
        <v>20010206</v>
      </c>
      <c r="Q304" s="5" t="str">
        <f ca="1">IFERROR(__xludf.DUMMYFUNCTION("""COMPUTED_VALUE"""),"ctWquMhFTec")</f>
        <v>ctWquMhFTec</v>
      </c>
      <c r="R304" s="5">
        <f ca="1">IFERROR(__xludf.DUMMYFUNCTION("""COMPUTED_VALUE"""),410)</f>
        <v>410</v>
      </c>
      <c r="S304" s="62">
        <f ca="1">IFERROR(__xludf.DUMMYFUNCTION("""COMPUTED_VALUE"""),0.008333333)</f>
        <v>8.3333330000000001E-3</v>
      </c>
      <c r="T304" s="63" t="str">
        <f ca="1">IFERROR(__xludf.DUMMYFUNCTION("""COMPUTED_VALUE"""),"https://storage.googleapis.com/glide-prod.appspot.com/uploads-v2/ly7o78grxPaC6KdgvbpS/pub/3aRdSog0vUtuqPE8AJKD.png")</f>
        <v>https://storage.googleapis.com/glide-prod.appspot.com/uploads-v2/ly7o78grxPaC6KdgvbpS/pub/3aRdSog0vUtuqPE8AJKD.png</v>
      </c>
      <c r="U304" s="5" t="str">
        <f ca="1">IFERROR(__xludf.DUMMYFUNCTION("""COMPUTED_VALUE"""),"LINEA DE ENVASADO JUGOS PET HOT FILLENFRIADOR")</f>
        <v>LINEA DE ENVASADO JUGOS PET HOT FILLENFRIADOR</v>
      </c>
      <c r="V304" s="5"/>
      <c r="W304" s="5" t="b">
        <f ca="1">IFERROR(__xludf.DUMMYFUNCTION("""COMPUTED_VALUE"""),TRUE)</f>
        <v>1</v>
      </c>
      <c r="X304" s="5" t="str">
        <f ca="1">IFERROR(__xludf.DUMMYFUNCTION("""COMPUTED_VALUE"""),"achavezi@postobon.com.co,aprmttoyu@postobon.com.co,aprmyu@postobon.com.co,wmora@postobon.com.co,efzapata@postobon.com.co")</f>
        <v>achavezi@postobon.com.co,aprmttoyu@postobon.com.co,aprmyu@postobon.com.co,wmora@postobon.com.co,efzapata@postobon.com.co</v>
      </c>
      <c r="Y304" s="5" t="str">
        <f ca="1">IFERROR(__xludf.DUMMYFUNCTION("""COMPUTED_VALUE"""),"achavezi@postobon.com.co")</f>
        <v>achavezi@postobon.com.co</v>
      </c>
      <c r="Z304" s="5" t="str">
        <f ca="1">IFERROR(__xludf.DUMMYFUNCTION("""COMPUTED_VALUE"""),"M3VW5-t9R-u-xdSIAHjFHw")</f>
        <v>M3VW5-t9R-u-xdSIAHjFHw</v>
      </c>
      <c r="AA304" s="5"/>
      <c r="AB304" s="5"/>
      <c r="AC304" s="5"/>
      <c r="AD304" s="5">
        <f ca="1">IFERROR(__xludf.DUMMYFUNCTION("""COMPUTED_VALUE"""),29)</f>
        <v>29</v>
      </c>
      <c r="AE304" s="5">
        <f ca="1">IFERROR(__xludf.DUMMYFUNCTION("""COMPUTED_VALUE"""),29)</f>
        <v>29</v>
      </c>
      <c r="AF304" s="5" t="b">
        <f ca="1">IFERROR(__xludf.DUMMYFUNCTION("""COMPUTED_VALUE"""),FALSE)</f>
        <v>0</v>
      </c>
      <c r="AG304" s="5" t="str">
        <f ca="1">IFERROR(__xludf.DUMMYFUNCTION("""COMPUTED_VALUE"""),"INSPECCIONES REALIZADAS")</f>
        <v>INSPECCIONES REALIZADAS</v>
      </c>
      <c r="AH304" s="5"/>
    </row>
    <row r="305" spans="1:34">
      <c r="A305" s="5" t="str">
        <f ca="1">IFERROR(__xludf.DUMMYFUNCTION("""COMPUTED_VALUE"""),"LINEA DE ENVASADO JUGOS PET HOT FILL")</f>
        <v>LINEA DE ENVASADO JUGOS PET HOT FILL</v>
      </c>
      <c r="B305" s="5">
        <f ca="1">IFERROR(__xludf.DUMMYFUNCTION("""COMPUTED_VALUE"""),669450)</f>
        <v>669450</v>
      </c>
      <c r="C305" s="5" t="str">
        <f ca="1">IFERROR(__xludf.DUMMYFUNCTION("""COMPUTED_VALUE"""),"ENFRIADOR")</f>
        <v>ENFRIADOR</v>
      </c>
      <c r="D305" s="5">
        <f ca="1">IFERROR(__xludf.DUMMYFUNCTION("""COMPUTED_VALUE"""),13247752)</f>
        <v>13247752</v>
      </c>
      <c r="E305" s="5" t="str">
        <f ca="1">IFERROR(__xludf.DUMMYFUNCTION("""COMPUTED_VALUE"""),"INSPECCION SEMANAL COOLER")</f>
        <v>INSPECCION SEMANAL COOLER</v>
      </c>
      <c r="F305" s="5" t="str">
        <f ca="1">IFERROR(__xludf.DUMMYFUNCTION("""COMPUTED_VALUE"""),"ESTADO BOQUILLAS ROCIADORAS")</f>
        <v>ESTADO BOQUILLAS ROCIADORAS</v>
      </c>
      <c r="G305" s="5" t="b">
        <f ca="1">IFERROR(__xludf.DUMMYFUNCTION("""COMPUTED_VALUE"""),TRUE)</f>
        <v>1</v>
      </c>
      <c r="H305" s="5"/>
      <c r="I305" s="5"/>
      <c r="J305" s="5">
        <f ca="1">IFERROR(__xludf.DUMMYFUNCTION("""COMPUTED_VALUE"""),13247752)</f>
        <v>13247752</v>
      </c>
      <c r="K305" s="5"/>
      <c r="L305" s="18">
        <f ca="1">IFERROR(__xludf.DUMMYFUNCTION("""COMPUTED_VALUE"""),45324)</f>
        <v>45324</v>
      </c>
      <c r="M305" s="18">
        <f ca="1">IFERROR(__xludf.DUMMYFUNCTION("""COMPUTED_VALUE"""),45324)</f>
        <v>45324</v>
      </c>
      <c r="N305" s="5" t="str">
        <f ca="1">IFERROR(__xludf.DUMMYFUNCTION("""COMPUTED_VALUE"""),"Vanegas Guependo Hermes")</f>
        <v>Vanegas Guependo Hermes</v>
      </c>
      <c r="O305" s="2">
        <f ca="1">IFERROR(__xludf.DUMMYFUNCTION("""COMPUTED_VALUE"""),0.008333333)</f>
        <v>8.3333330000000001E-3</v>
      </c>
      <c r="P305" s="5">
        <f ca="1">IFERROR(__xludf.DUMMYFUNCTION("""COMPUTED_VALUE"""),20010206)</f>
        <v>20010206</v>
      </c>
      <c r="Q305" s="5" t="str">
        <f ca="1">IFERROR(__xludf.DUMMYFUNCTION("""COMPUTED_VALUE"""),"ZUCej3SIALk")</f>
        <v>ZUCej3SIALk</v>
      </c>
      <c r="R305" s="5">
        <f ca="1">IFERROR(__xludf.DUMMYFUNCTION("""COMPUTED_VALUE"""),410)</f>
        <v>410</v>
      </c>
      <c r="S305" s="62">
        <f ca="1">IFERROR(__xludf.DUMMYFUNCTION("""COMPUTED_VALUE"""),0.008333333)</f>
        <v>8.3333330000000001E-3</v>
      </c>
      <c r="T305" s="63" t="str">
        <f ca="1">IFERROR(__xludf.DUMMYFUNCTION("""COMPUTED_VALUE"""),"https://storage.googleapis.com/glide-prod.appspot.com/uploads-v2/ly7o78grxPaC6KdgvbpS/pub/3aRdSog0vUtuqPE8AJKD.png")</f>
        <v>https://storage.googleapis.com/glide-prod.appspot.com/uploads-v2/ly7o78grxPaC6KdgvbpS/pub/3aRdSog0vUtuqPE8AJKD.png</v>
      </c>
      <c r="U305" s="5" t="str">
        <f ca="1">IFERROR(__xludf.DUMMYFUNCTION("""COMPUTED_VALUE"""),"LINEA DE ENVASADO JUGOS PET HOT FILLENFRIADOR")</f>
        <v>LINEA DE ENVASADO JUGOS PET HOT FILLENFRIADOR</v>
      </c>
      <c r="V305" s="5"/>
      <c r="W305" s="5" t="b">
        <f ca="1">IFERROR(__xludf.DUMMYFUNCTION("""COMPUTED_VALUE"""),TRUE)</f>
        <v>1</v>
      </c>
      <c r="X305" s="5" t="str">
        <f ca="1">IFERROR(__xludf.DUMMYFUNCTION("""COMPUTED_VALUE"""),"achavezi@postobon.com.co,aprmttoyu@postobon.com.co,aprmyu@postobon.com.co,wmora@postobon.com.co,efzapata@postobon.com.co")</f>
        <v>achavezi@postobon.com.co,aprmttoyu@postobon.com.co,aprmyu@postobon.com.co,wmora@postobon.com.co,efzapata@postobon.com.co</v>
      </c>
      <c r="Y305" s="5" t="str">
        <f ca="1">IFERROR(__xludf.DUMMYFUNCTION("""COMPUTED_VALUE"""),"achavezi@postobon.com.co")</f>
        <v>achavezi@postobon.com.co</v>
      </c>
      <c r="Z305" s="5" t="str">
        <f ca="1">IFERROR(__xludf.DUMMYFUNCTION("""COMPUTED_VALUE"""),"2QbXyt8VQpis9ocvTr.YKg")</f>
        <v>2QbXyt8VQpis9ocvTr.YKg</v>
      </c>
      <c r="AA305" s="5"/>
      <c r="AB305" s="5"/>
      <c r="AC305" s="5"/>
      <c r="AD305" s="5">
        <f ca="1">IFERROR(__xludf.DUMMYFUNCTION("""COMPUTED_VALUE"""),29)</f>
        <v>29</v>
      </c>
      <c r="AE305" s="5">
        <f ca="1">IFERROR(__xludf.DUMMYFUNCTION("""COMPUTED_VALUE"""),29)</f>
        <v>29</v>
      </c>
      <c r="AF305" s="5" t="b">
        <f ca="1">IFERROR(__xludf.DUMMYFUNCTION("""COMPUTED_VALUE"""),FALSE)</f>
        <v>0</v>
      </c>
      <c r="AG305" s="5" t="str">
        <f ca="1">IFERROR(__xludf.DUMMYFUNCTION("""COMPUTED_VALUE"""),"INSPECCIONES REALIZADAS")</f>
        <v>INSPECCIONES REALIZADAS</v>
      </c>
      <c r="AH305" s="5"/>
    </row>
    <row r="306" spans="1:34">
      <c r="A306" s="5" t="str">
        <f ca="1">IFERROR(__xludf.DUMMYFUNCTION("""COMPUTED_VALUE"""),"LINEA DE ENVASADO FAMILIAR Y PRB")</f>
        <v>LINEA DE ENVASADO FAMILIAR Y PRB</v>
      </c>
      <c r="B306" s="5">
        <f ca="1">IFERROR(__xludf.DUMMYFUNCTION("""COMPUTED_VALUE"""),828083)</f>
        <v>828083</v>
      </c>
      <c r="C306" s="5" t="str">
        <f ca="1">IFERROR(__xludf.DUMMYFUNCTION("""COMPUTED_VALUE"""),"DESCAPSULADORA")</f>
        <v>DESCAPSULADORA</v>
      </c>
      <c r="D306" s="5">
        <f ca="1">IFERROR(__xludf.DUMMYFUNCTION("""COMPUTED_VALUE"""),13247267)</f>
        <v>13247267</v>
      </c>
      <c r="E306" s="5" t="str">
        <f ca="1">IFERROR(__xludf.DUMMYFUNCTION("""COMPUTED_VALUE"""),"INSPECCION SEMANAL DESCAPSULADORA")</f>
        <v>INSPECCION SEMANAL DESCAPSULADORA</v>
      </c>
      <c r="F306" s="5" t="str">
        <f ca="1">IFERROR(__xludf.DUMMYFUNCTION("""COMPUTED_VALUE"""),"Fugas de aire o aceite")</f>
        <v>Fugas de aire o aceite</v>
      </c>
      <c r="G306" s="5" t="b">
        <f ca="1">IFERROR(__xludf.DUMMYFUNCTION("""COMPUTED_VALUE"""),TRUE)</f>
        <v>1</v>
      </c>
      <c r="H306" s="5"/>
      <c r="I306" s="5"/>
      <c r="J306" s="5">
        <f ca="1">IFERROR(__xludf.DUMMYFUNCTION("""COMPUTED_VALUE"""),13247267)</f>
        <v>13247267</v>
      </c>
      <c r="K306" s="5"/>
      <c r="L306" s="18">
        <f ca="1">IFERROR(__xludf.DUMMYFUNCTION("""COMPUTED_VALUE"""),45324)</f>
        <v>45324</v>
      </c>
      <c r="M306" s="18">
        <f ca="1">IFERROR(__xludf.DUMMYFUNCTION("""COMPUTED_VALUE"""),45324)</f>
        <v>45324</v>
      </c>
      <c r="N306" s="5" t="str">
        <f ca="1">IFERROR(__xludf.DUMMYFUNCTION("""COMPUTED_VALUE"""),"Paz Paz Jhon Estiven")</f>
        <v>Paz Paz Jhon Estiven</v>
      </c>
      <c r="O306" s="2">
        <f ca="1">IFERROR(__xludf.DUMMYFUNCTION("""COMPUTED_VALUE"""),0.005555556)</f>
        <v>5.5555559999999997E-3</v>
      </c>
      <c r="P306" s="5">
        <f ca="1">IFERROR(__xludf.DUMMYFUNCTION("""COMPUTED_VALUE"""),20031102)</f>
        <v>20031102</v>
      </c>
      <c r="Q306" s="5" t="str">
        <f ca="1">IFERROR(__xludf.DUMMYFUNCTION("""COMPUTED_VALUE"""),"cZWPigkVgaY")</f>
        <v>cZWPigkVgaY</v>
      </c>
      <c r="R306" s="5">
        <f ca="1">IFERROR(__xludf.DUMMYFUNCTION("""COMPUTED_VALUE"""),410)</f>
        <v>410</v>
      </c>
      <c r="S306" s="62">
        <f ca="1">IFERROR(__xludf.DUMMYFUNCTION("""COMPUTED_VALUE"""),0.005555556)</f>
        <v>5.5555559999999997E-3</v>
      </c>
      <c r="T306" s="63" t="str">
        <f ca="1">IFERROR(__xludf.DUMMYFUNCTION("""COMPUTED_VALUE"""),"https://storage.googleapis.com/glide-prod.appspot.com/uploads-v2/ly7o78grxPaC6KdgvbpS/pub/3aRdSog0vUtuqPE8AJKD.png")</f>
        <v>https://storage.googleapis.com/glide-prod.appspot.com/uploads-v2/ly7o78grxPaC6KdgvbpS/pub/3aRdSog0vUtuqPE8AJKD.png</v>
      </c>
      <c r="U306" s="5" t="str">
        <f ca="1">IFERROR(__xludf.DUMMYFUNCTION("""COMPUTED_VALUE"""),"LINEA DE ENVASADO FAMILIAR Y PRBDESCAPSULADORA")</f>
        <v>LINEA DE ENVASADO FAMILIAR Y PRBDESCAPSULADORA</v>
      </c>
      <c r="V306" s="5"/>
      <c r="W306" s="5" t="b">
        <f ca="1">IFERROR(__xludf.DUMMYFUNCTION("""COMPUTED_VALUE"""),TRUE)</f>
        <v>1</v>
      </c>
      <c r="X306" s="5" t="str">
        <f ca="1">IFERROR(__xludf.DUMMYFUNCTION("""COMPUTED_VALUE"""),"wguerra@postobon.com.co,aprmttoyu@postobon.com.co,aprmyu@postobon.com.co,wmora@postobon.com.co,efzapata@postobon.com.co")</f>
        <v>wguerra@postobon.com.co,aprmttoyu@postobon.com.co,aprmyu@postobon.com.co,wmora@postobon.com.co,efzapata@postobon.com.co</v>
      </c>
      <c r="Y306" s="5" t="str">
        <f ca="1">IFERROR(__xludf.DUMMYFUNCTION("""COMPUTED_VALUE"""),"wguerra@postobon.com.co")</f>
        <v>wguerra@postobon.com.co</v>
      </c>
      <c r="Z306" s="5" t="str">
        <f ca="1">IFERROR(__xludf.DUMMYFUNCTION("""COMPUTED_VALUE"""),"Tuav7bCLQ.KemRXuMRbR8A")</f>
        <v>Tuav7bCLQ.KemRXuMRbR8A</v>
      </c>
      <c r="AA306" s="5"/>
      <c r="AB306" s="5"/>
      <c r="AC306" s="5"/>
      <c r="AD306" s="5">
        <f ca="1">IFERROR(__xludf.DUMMYFUNCTION("""COMPUTED_VALUE"""),62)</f>
        <v>62</v>
      </c>
      <c r="AE306" s="5">
        <f ca="1">IFERROR(__xludf.DUMMYFUNCTION("""COMPUTED_VALUE"""),62)</f>
        <v>62</v>
      </c>
      <c r="AF306" s="5" t="b">
        <f ca="1">IFERROR(__xludf.DUMMYFUNCTION("""COMPUTED_VALUE"""),FALSE)</f>
        <v>0</v>
      </c>
      <c r="AG306" s="5" t="str">
        <f ca="1">IFERROR(__xludf.DUMMYFUNCTION("""COMPUTED_VALUE"""),"INSPECCIONES REALIZADAS")</f>
        <v>INSPECCIONES REALIZADAS</v>
      </c>
      <c r="AH306" s="5"/>
    </row>
    <row r="307" spans="1:34">
      <c r="A307" s="5" t="str">
        <f ca="1">IFERROR(__xludf.DUMMYFUNCTION("""COMPUTED_VALUE"""),"LINEA DE ENVASADO FAMILIAR Y PRB")</f>
        <v>LINEA DE ENVASADO FAMILIAR Y PRB</v>
      </c>
      <c r="B307" s="5">
        <f ca="1">IFERROR(__xludf.DUMMYFUNCTION("""COMPUTED_VALUE"""),828083)</f>
        <v>828083</v>
      </c>
      <c r="C307" s="5" t="str">
        <f ca="1">IFERROR(__xludf.DUMMYFUNCTION("""COMPUTED_VALUE"""),"DESCAPSULADORA")</f>
        <v>DESCAPSULADORA</v>
      </c>
      <c r="D307" s="5">
        <f ca="1">IFERROR(__xludf.DUMMYFUNCTION("""COMPUTED_VALUE"""),13247267)</f>
        <v>13247267</v>
      </c>
      <c r="E307" s="5" t="str">
        <f ca="1">IFERROR(__xludf.DUMMYFUNCTION("""COMPUTED_VALUE"""),"INSPECCION SEMANAL DESCAPSULADORA")</f>
        <v>INSPECCION SEMANAL DESCAPSULADORA</v>
      </c>
      <c r="F307" s="5" t="str">
        <f ca="1">IFERROR(__xludf.DUMMYFUNCTION("""COMPUTED_VALUE"""),"Estado Instrumentos de medidas")</f>
        <v>Estado Instrumentos de medidas</v>
      </c>
      <c r="G307" s="5" t="b">
        <f ca="1">IFERROR(__xludf.DUMMYFUNCTION("""COMPUTED_VALUE"""),TRUE)</f>
        <v>1</v>
      </c>
      <c r="H307" s="5"/>
      <c r="I307" s="5"/>
      <c r="J307" s="5">
        <f ca="1">IFERROR(__xludf.DUMMYFUNCTION("""COMPUTED_VALUE"""),13247267)</f>
        <v>13247267</v>
      </c>
      <c r="K307" s="5"/>
      <c r="L307" s="18">
        <f ca="1">IFERROR(__xludf.DUMMYFUNCTION("""COMPUTED_VALUE"""),45324)</f>
        <v>45324</v>
      </c>
      <c r="M307" s="18">
        <f ca="1">IFERROR(__xludf.DUMMYFUNCTION("""COMPUTED_VALUE"""),45324)</f>
        <v>45324</v>
      </c>
      <c r="N307" s="5" t="str">
        <f ca="1">IFERROR(__xludf.DUMMYFUNCTION("""COMPUTED_VALUE"""),"Paz Paz Jhon Estiven")</f>
        <v>Paz Paz Jhon Estiven</v>
      </c>
      <c r="O307" s="2">
        <f ca="1">IFERROR(__xludf.DUMMYFUNCTION("""COMPUTED_VALUE"""),0.005555556)</f>
        <v>5.5555559999999997E-3</v>
      </c>
      <c r="P307" s="5">
        <f ca="1">IFERROR(__xludf.DUMMYFUNCTION("""COMPUTED_VALUE"""),20031102)</f>
        <v>20031102</v>
      </c>
      <c r="Q307" s="5" t="str">
        <f ca="1">IFERROR(__xludf.DUMMYFUNCTION("""COMPUTED_VALUE"""),"0qhldc22VrI")</f>
        <v>0qhldc22VrI</v>
      </c>
      <c r="R307" s="5">
        <f ca="1">IFERROR(__xludf.DUMMYFUNCTION("""COMPUTED_VALUE"""),410)</f>
        <v>410</v>
      </c>
      <c r="S307" s="62">
        <f ca="1">IFERROR(__xludf.DUMMYFUNCTION("""COMPUTED_VALUE"""),0.005555556)</f>
        <v>5.5555559999999997E-3</v>
      </c>
      <c r="T307" s="63" t="str">
        <f ca="1">IFERROR(__xludf.DUMMYFUNCTION("""COMPUTED_VALUE"""),"https://storage.googleapis.com/glide-prod.appspot.com/uploads-v2/ly7o78grxPaC6KdgvbpS/pub/3aRdSog0vUtuqPE8AJKD.png")</f>
        <v>https://storage.googleapis.com/glide-prod.appspot.com/uploads-v2/ly7o78grxPaC6KdgvbpS/pub/3aRdSog0vUtuqPE8AJKD.png</v>
      </c>
      <c r="U307" s="5" t="str">
        <f ca="1">IFERROR(__xludf.DUMMYFUNCTION("""COMPUTED_VALUE"""),"LINEA DE ENVASADO FAMILIAR Y PRBDESCAPSULADORA")</f>
        <v>LINEA DE ENVASADO FAMILIAR Y PRBDESCAPSULADORA</v>
      </c>
      <c r="V307" s="5"/>
      <c r="W307" s="5" t="b">
        <f ca="1">IFERROR(__xludf.DUMMYFUNCTION("""COMPUTED_VALUE"""),TRUE)</f>
        <v>1</v>
      </c>
      <c r="X307" s="5" t="str">
        <f ca="1">IFERROR(__xludf.DUMMYFUNCTION("""COMPUTED_VALUE"""),"wguerra@postobon.com.co,aprmttoyu@postobon.com.co,aprmyu@postobon.com.co,wmora@postobon.com.co,efzapata@postobon.com.co")</f>
        <v>wguerra@postobon.com.co,aprmttoyu@postobon.com.co,aprmyu@postobon.com.co,wmora@postobon.com.co,efzapata@postobon.com.co</v>
      </c>
      <c r="Y307" s="5" t="str">
        <f ca="1">IFERROR(__xludf.DUMMYFUNCTION("""COMPUTED_VALUE"""),"wguerra@postobon.com.co")</f>
        <v>wguerra@postobon.com.co</v>
      </c>
      <c r="Z307" s="5" t="str">
        <f ca="1">IFERROR(__xludf.DUMMYFUNCTION("""COMPUTED_VALUE"""),"bV113WVsQ.2VGpE7FVNWPQ")</f>
        <v>bV113WVsQ.2VGpE7FVNWPQ</v>
      </c>
      <c r="AA307" s="5"/>
      <c r="AB307" s="5"/>
      <c r="AC307" s="5"/>
      <c r="AD307" s="5">
        <f ca="1">IFERROR(__xludf.DUMMYFUNCTION("""COMPUTED_VALUE"""),62)</f>
        <v>62</v>
      </c>
      <c r="AE307" s="5">
        <f ca="1">IFERROR(__xludf.DUMMYFUNCTION("""COMPUTED_VALUE"""),62)</f>
        <v>62</v>
      </c>
      <c r="AF307" s="5" t="b">
        <f ca="1">IFERROR(__xludf.DUMMYFUNCTION("""COMPUTED_VALUE"""),FALSE)</f>
        <v>0</v>
      </c>
      <c r="AG307" s="5" t="str">
        <f ca="1">IFERROR(__xludf.DUMMYFUNCTION("""COMPUTED_VALUE"""),"INSPECCIONES REALIZADAS")</f>
        <v>INSPECCIONES REALIZADAS</v>
      </c>
      <c r="AH307" s="5"/>
    </row>
    <row r="308" spans="1:34">
      <c r="A308" s="5" t="str">
        <f ca="1">IFERROR(__xludf.DUMMYFUNCTION("""COMPUTED_VALUE"""),"LINEA DE ENVASADO FAMILIAR Y PRB")</f>
        <v>LINEA DE ENVASADO FAMILIAR Y PRB</v>
      </c>
      <c r="B308" s="5">
        <f ca="1">IFERROR(__xludf.DUMMYFUNCTION("""COMPUTED_VALUE"""),828083)</f>
        <v>828083</v>
      </c>
      <c r="C308" s="5" t="str">
        <f ca="1">IFERROR(__xludf.DUMMYFUNCTION("""COMPUTED_VALUE"""),"DESCAPSULADORA")</f>
        <v>DESCAPSULADORA</v>
      </c>
      <c r="D308" s="5">
        <f ca="1">IFERROR(__xludf.DUMMYFUNCTION("""COMPUTED_VALUE"""),13247267)</f>
        <v>13247267</v>
      </c>
      <c r="E308" s="5" t="str">
        <f ca="1">IFERROR(__xludf.DUMMYFUNCTION("""COMPUTED_VALUE"""),"INSPECCION SEMANAL DESCAPSULADORA")</f>
        <v>INSPECCION SEMANAL DESCAPSULADORA</v>
      </c>
      <c r="F308" s="5" t="str">
        <f ca="1">IFERROR(__xludf.DUMMYFUNCTION("""COMPUTED_VALUE"""),"Estado de pintura")</f>
        <v>Estado de pintura</v>
      </c>
      <c r="G308" s="5" t="b">
        <f ca="1">IFERROR(__xludf.DUMMYFUNCTION("""COMPUTED_VALUE"""),TRUE)</f>
        <v>1</v>
      </c>
      <c r="H308" s="5"/>
      <c r="I308" s="5"/>
      <c r="J308" s="5">
        <f ca="1">IFERROR(__xludf.DUMMYFUNCTION("""COMPUTED_VALUE"""),13247267)</f>
        <v>13247267</v>
      </c>
      <c r="K308" s="5"/>
      <c r="L308" s="18">
        <f ca="1">IFERROR(__xludf.DUMMYFUNCTION("""COMPUTED_VALUE"""),45324)</f>
        <v>45324</v>
      </c>
      <c r="M308" s="18">
        <f ca="1">IFERROR(__xludf.DUMMYFUNCTION("""COMPUTED_VALUE"""),45324)</f>
        <v>45324</v>
      </c>
      <c r="N308" s="5" t="str">
        <f ca="1">IFERROR(__xludf.DUMMYFUNCTION("""COMPUTED_VALUE"""),"Paz Paz Jhon Estiven")</f>
        <v>Paz Paz Jhon Estiven</v>
      </c>
      <c r="O308" s="2">
        <f ca="1">IFERROR(__xludf.DUMMYFUNCTION("""COMPUTED_VALUE"""),0.005555556)</f>
        <v>5.5555559999999997E-3</v>
      </c>
      <c r="P308" s="5">
        <f ca="1">IFERROR(__xludf.DUMMYFUNCTION("""COMPUTED_VALUE"""),20031102)</f>
        <v>20031102</v>
      </c>
      <c r="Q308" s="5" t="str">
        <f ca="1">IFERROR(__xludf.DUMMYFUNCTION("""COMPUTED_VALUE"""),"M8fMU8IBMMw")</f>
        <v>M8fMU8IBMMw</v>
      </c>
      <c r="R308" s="5">
        <f ca="1">IFERROR(__xludf.DUMMYFUNCTION("""COMPUTED_VALUE"""),410)</f>
        <v>410</v>
      </c>
      <c r="S308" s="62">
        <f ca="1">IFERROR(__xludf.DUMMYFUNCTION("""COMPUTED_VALUE"""),0.005555556)</f>
        <v>5.5555559999999997E-3</v>
      </c>
      <c r="T308" s="63" t="str">
        <f ca="1">IFERROR(__xludf.DUMMYFUNCTION("""COMPUTED_VALUE"""),"https://storage.googleapis.com/glide-prod.appspot.com/uploads-v2/ly7o78grxPaC6KdgvbpS/pub/3aRdSog0vUtuqPE8AJKD.png")</f>
        <v>https://storage.googleapis.com/glide-prod.appspot.com/uploads-v2/ly7o78grxPaC6KdgvbpS/pub/3aRdSog0vUtuqPE8AJKD.png</v>
      </c>
      <c r="U308" s="5" t="str">
        <f ca="1">IFERROR(__xludf.DUMMYFUNCTION("""COMPUTED_VALUE"""),"LINEA DE ENVASADO FAMILIAR Y PRBDESCAPSULADORA")</f>
        <v>LINEA DE ENVASADO FAMILIAR Y PRBDESCAPSULADORA</v>
      </c>
      <c r="V308" s="5"/>
      <c r="W308" s="5" t="b">
        <f ca="1">IFERROR(__xludf.DUMMYFUNCTION("""COMPUTED_VALUE"""),TRUE)</f>
        <v>1</v>
      </c>
      <c r="X308" s="5" t="str">
        <f ca="1">IFERROR(__xludf.DUMMYFUNCTION("""COMPUTED_VALUE"""),"wguerra@postobon.com.co,aprmttoyu@postobon.com.co,aprmyu@postobon.com.co,wmora@postobon.com.co,efzapata@postobon.com.co")</f>
        <v>wguerra@postobon.com.co,aprmttoyu@postobon.com.co,aprmyu@postobon.com.co,wmora@postobon.com.co,efzapata@postobon.com.co</v>
      </c>
      <c r="Y308" s="5" t="str">
        <f ca="1">IFERROR(__xludf.DUMMYFUNCTION("""COMPUTED_VALUE"""),"wguerra@postobon.com.co")</f>
        <v>wguerra@postobon.com.co</v>
      </c>
      <c r="Z308" s="5" t="str">
        <f ca="1">IFERROR(__xludf.DUMMYFUNCTION("""COMPUTED_VALUE"""),"FoXF9Wu8Sz-.j3j-vScM4g")</f>
        <v>FoXF9Wu8Sz-.j3j-vScM4g</v>
      </c>
      <c r="AA308" s="5"/>
      <c r="AB308" s="5"/>
      <c r="AC308" s="5"/>
      <c r="AD308" s="5">
        <f ca="1">IFERROR(__xludf.DUMMYFUNCTION("""COMPUTED_VALUE"""),62)</f>
        <v>62</v>
      </c>
      <c r="AE308" s="5">
        <f ca="1">IFERROR(__xludf.DUMMYFUNCTION("""COMPUTED_VALUE"""),62)</f>
        <v>62</v>
      </c>
      <c r="AF308" s="5" t="b">
        <f ca="1">IFERROR(__xludf.DUMMYFUNCTION("""COMPUTED_VALUE"""),FALSE)</f>
        <v>0</v>
      </c>
      <c r="AG308" s="5" t="str">
        <f ca="1">IFERROR(__xludf.DUMMYFUNCTION("""COMPUTED_VALUE"""),"INSPECCIONES REALIZADAS")</f>
        <v>INSPECCIONES REALIZADAS</v>
      </c>
      <c r="AH308" s="5"/>
    </row>
    <row r="309" spans="1:34">
      <c r="A309" s="5" t="str">
        <f ca="1">IFERROR(__xludf.DUMMYFUNCTION("""COMPUTED_VALUE"""),"LINEA DE ENVASADO FAMILIAR Y PRB")</f>
        <v>LINEA DE ENVASADO FAMILIAR Y PRB</v>
      </c>
      <c r="B309" s="5">
        <f ca="1">IFERROR(__xludf.DUMMYFUNCTION("""COMPUTED_VALUE"""),828083)</f>
        <v>828083</v>
      </c>
      <c r="C309" s="5" t="str">
        <f ca="1">IFERROR(__xludf.DUMMYFUNCTION("""COMPUTED_VALUE"""),"DESCAPSULADORA")</f>
        <v>DESCAPSULADORA</v>
      </c>
      <c r="D309" s="5">
        <f ca="1">IFERROR(__xludf.DUMMYFUNCTION("""COMPUTED_VALUE"""),13247267)</f>
        <v>13247267</v>
      </c>
      <c r="E309" s="5" t="str">
        <f ca="1">IFERROR(__xludf.DUMMYFUNCTION("""COMPUTED_VALUE"""),"INSPECCION SEMANAL DESCAPSULADORA")</f>
        <v>INSPECCION SEMANAL DESCAPSULADORA</v>
      </c>
      <c r="F309" s="5" t="str">
        <f ca="1">IFERROR(__xludf.DUMMYFUNCTION("""COMPUTED_VALUE"""),"Estado de motores")</f>
        <v>Estado de motores</v>
      </c>
      <c r="G309" s="5" t="b">
        <f ca="1">IFERROR(__xludf.DUMMYFUNCTION("""COMPUTED_VALUE"""),TRUE)</f>
        <v>1</v>
      </c>
      <c r="H309" s="5"/>
      <c r="I309" s="5"/>
      <c r="J309" s="5">
        <f ca="1">IFERROR(__xludf.DUMMYFUNCTION("""COMPUTED_VALUE"""),13247267)</f>
        <v>13247267</v>
      </c>
      <c r="K309" s="5"/>
      <c r="L309" s="18">
        <f ca="1">IFERROR(__xludf.DUMMYFUNCTION("""COMPUTED_VALUE"""),45324)</f>
        <v>45324</v>
      </c>
      <c r="M309" s="18">
        <f ca="1">IFERROR(__xludf.DUMMYFUNCTION("""COMPUTED_VALUE"""),45324)</f>
        <v>45324</v>
      </c>
      <c r="N309" s="5" t="str">
        <f ca="1">IFERROR(__xludf.DUMMYFUNCTION("""COMPUTED_VALUE"""),"Paz Paz Jhon Estiven")</f>
        <v>Paz Paz Jhon Estiven</v>
      </c>
      <c r="O309" s="2">
        <f ca="1">IFERROR(__xludf.DUMMYFUNCTION("""COMPUTED_VALUE"""),0.005555556)</f>
        <v>5.5555559999999997E-3</v>
      </c>
      <c r="P309" s="5">
        <f ca="1">IFERROR(__xludf.DUMMYFUNCTION("""COMPUTED_VALUE"""),20031102)</f>
        <v>20031102</v>
      </c>
      <c r="Q309" s="5" t="str">
        <f ca="1">IFERROR(__xludf.DUMMYFUNCTION("""COMPUTED_VALUE"""),"ZqZ8EChp1qU")</f>
        <v>ZqZ8EChp1qU</v>
      </c>
      <c r="R309" s="5">
        <f ca="1">IFERROR(__xludf.DUMMYFUNCTION("""COMPUTED_VALUE"""),410)</f>
        <v>410</v>
      </c>
      <c r="S309" s="62">
        <f ca="1">IFERROR(__xludf.DUMMYFUNCTION("""COMPUTED_VALUE"""),0.005555556)</f>
        <v>5.5555559999999997E-3</v>
      </c>
      <c r="T309" s="63" t="str">
        <f ca="1">IFERROR(__xludf.DUMMYFUNCTION("""COMPUTED_VALUE"""),"https://storage.googleapis.com/glide-prod.appspot.com/uploads-v2/ly7o78grxPaC6KdgvbpS/pub/3aRdSog0vUtuqPE8AJKD.png")</f>
        <v>https://storage.googleapis.com/glide-prod.appspot.com/uploads-v2/ly7o78grxPaC6KdgvbpS/pub/3aRdSog0vUtuqPE8AJKD.png</v>
      </c>
      <c r="U309" s="5" t="str">
        <f ca="1">IFERROR(__xludf.DUMMYFUNCTION("""COMPUTED_VALUE"""),"LINEA DE ENVASADO FAMILIAR Y PRBDESCAPSULADORA")</f>
        <v>LINEA DE ENVASADO FAMILIAR Y PRBDESCAPSULADORA</v>
      </c>
      <c r="V309" s="5"/>
      <c r="W309" s="5" t="b">
        <f ca="1">IFERROR(__xludf.DUMMYFUNCTION("""COMPUTED_VALUE"""),TRUE)</f>
        <v>1</v>
      </c>
      <c r="X309" s="5" t="str">
        <f ca="1">IFERROR(__xludf.DUMMYFUNCTION("""COMPUTED_VALUE"""),"wguerra@postobon.com.co,aprmttoyu@postobon.com.co,aprmyu@postobon.com.co,wmora@postobon.com.co,efzapata@postobon.com.co")</f>
        <v>wguerra@postobon.com.co,aprmttoyu@postobon.com.co,aprmyu@postobon.com.co,wmora@postobon.com.co,efzapata@postobon.com.co</v>
      </c>
      <c r="Y309" s="5" t="str">
        <f ca="1">IFERROR(__xludf.DUMMYFUNCTION("""COMPUTED_VALUE"""),"wguerra@postobon.com.co")</f>
        <v>wguerra@postobon.com.co</v>
      </c>
      <c r="Z309" s="5" t="str">
        <f ca="1">IFERROR(__xludf.DUMMYFUNCTION("""COMPUTED_VALUE"""),"a-tZGlfdmSEmHdBocff4a8Q")</f>
        <v>a-tZGlfdmSEmHdBocff4a8Q</v>
      </c>
      <c r="AA309" s="5"/>
      <c r="AB309" s="5"/>
      <c r="AC309" s="5"/>
      <c r="AD309" s="5">
        <f ca="1">IFERROR(__xludf.DUMMYFUNCTION("""COMPUTED_VALUE"""),62)</f>
        <v>62</v>
      </c>
      <c r="AE309" s="5">
        <f ca="1">IFERROR(__xludf.DUMMYFUNCTION("""COMPUTED_VALUE"""),62)</f>
        <v>62</v>
      </c>
      <c r="AF309" s="5" t="b">
        <f ca="1">IFERROR(__xludf.DUMMYFUNCTION("""COMPUTED_VALUE"""),FALSE)</f>
        <v>0</v>
      </c>
      <c r="AG309" s="5" t="str">
        <f ca="1">IFERROR(__xludf.DUMMYFUNCTION("""COMPUTED_VALUE"""),"INSPECCIONES REALIZADAS")</f>
        <v>INSPECCIONES REALIZADAS</v>
      </c>
      <c r="AH309" s="5"/>
    </row>
    <row r="310" spans="1:34">
      <c r="A310" s="5" t="str">
        <f ca="1">IFERROR(__xludf.DUMMYFUNCTION("""COMPUTED_VALUE"""),"LINEA DE ENVASADO FAMILIAR Y PRB")</f>
        <v>LINEA DE ENVASADO FAMILIAR Y PRB</v>
      </c>
      <c r="B310" s="5">
        <f ca="1">IFERROR(__xludf.DUMMYFUNCTION("""COMPUTED_VALUE"""),828083)</f>
        <v>828083</v>
      </c>
      <c r="C310" s="5" t="str">
        <f ca="1">IFERROR(__xludf.DUMMYFUNCTION("""COMPUTED_VALUE"""),"DESCAPSULADORA")</f>
        <v>DESCAPSULADORA</v>
      </c>
      <c r="D310" s="5">
        <f ca="1">IFERROR(__xludf.DUMMYFUNCTION("""COMPUTED_VALUE"""),13247267)</f>
        <v>13247267</v>
      </c>
      <c r="E310" s="5" t="str">
        <f ca="1">IFERROR(__xludf.DUMMYFUNCTION("""COMPUTED_VALUE"""),"INSPECCION SEMANAL DESCAPSULADORA")</f>
        <v>INSPECCION SEMANAL DESCAPSULADORA</v>
      </c>
      <c r="F310" s="5" t="str">
        <f ca="1">IFERROR(__xludf.DUMMYFUNCTION("""COMPUTED_VALUE"""),"Estado mandril retractil desenroscador")</f>
        <v>Estado mandril retractil desenroscador</v>
      </c>
      <c r="G310" s="5" t="b">
        <f ca="1">IFERROR(__xludf.DUMMYFUNCTION("""COMPUTED_VALUE"""),TRUE)</f>
        <v>1</v>
      </c>
      <c r="H310" s="5"/>
      <c r="I310" s="5"/>
      <c r="J310" s="5">
        <f ca="1">IFERROR(__xludf.DUMMYFUNCTION("""COMPUTED_VALUE"""),13247267)</f>
        <v>13247267</v>
      </c>
      <c r="K310" s="5"/>
      <c r="L310" s="18">
        <f ca="1">IFERROR(__xludf.DUMMYFUNCTION("""COMPUTED_VALUE"""),45324)</f>
        <v>45324</v>
      </c>
      <c r="M310" s="18">
        <f ca="1">IFERROR(__xludf.DUMMYFUNCTION("""COMPUTED_VALUE"""),45324)</f>
        <v>45324</v>
      </c>
      <c r="N310" s="5" t="str">
        <f ca="1">IFERROR(__xludf.DUMMYFUNCTION("""COMPUTED_VALUE"""),"Paz Paz Jhon Estiven")</f>
        <v>Paz Paz Jhon Estiven</v>
      </c>
      <c r="O310" s="2">
        <f ca="1">IFERROR(__xludf.DUMMYFUNCTION("""COMPUTED_VALUE"""),0.005555556)</f>
        <v>5.5555559999999997E-3</v>
      </c>
      <c r="P310" s="5">
        <f ca="1">IFERROR(__xludf.DUMMYFUNCTION("""COMPUTED_VALUE"""),20031102)</f>
        <v>20031102</v>
      </c>
      <c r="Q310" s="5" t="str">
        <f ca="1">IFERROR(__xludf.DUMMYFUNCTION("""COMPUTED_VALUE"""),"TbmkiM6ZzqE")</f>
        <v>TbmkiM6ZzqE</v>
      </c>
      <c r="R310" s="5">
        <f ca="1">IFERROR(__xludf.DUMMYFUNCTION("""COMPUTED_VALUE"""),410)</f>
        <v>410</v>
      </c>
      <c r="S310" s="62">
        <f ca="1">IFERROR(__xludf.DUMMYFUNCTION("""COMPUTED_VALUE"""),0.005555556)</f>
        <v>5.5555559999999997E-3</v>
      </c>
      <c r="T310" s="63" t="str">
        <f ca="1">IFERROR(__xludf.DUMMYFUNCTION("""COMPUTED_VALUE"""),"https://storage.googleapis.com/glide-prod.appspot.com/uploads-v2/ly7o78grxPaC6KdgvbpS/pub/3aRdSog0vUtuqPE8AJKD.png")</f>
        <v>https://storage.googleapis.com/glide-prod.appspot.com/uploads-v2/ly7o78grxPaC6KdgvbpS/pub/3aRdSog0vUtuqPE8AJKD.png</v>
      </c>
      <c r="U310" s="5" t="str">
        <f ca="1">IFERROR(__xludf.DUMMYFUNCTION("""COMPUTED_VALUE"""),"LINEA DE ENVASADO FAMILIAR Y PRBDESCAPSULADORA")</f>
        <v>LINEA DE ENVASADO FAMILIAR Y PRBDESCAPSULADORA</v>
      </c>
      <c r="V310" s="5"/>
      <c r="W310" s="5" t="b">
        <f ca="1">IFERROR(__xludf.DUMMYFUNCTION("""COMPUTED_VALUE"""),TRUE)</f>
        <v>1</v>
      </c>
      <c r="X310" s="5" t="str">
        <f ca="1">IFERROR(__xludf.DUMMYFUNCTION("""COMPUTED_VALUE"""),"wguerra@postobon.com.co,aprmttoyu@postobon.com.co,aprmyu@postobon.com.co,wmora@postobon.com.co,efzapata@postobon.com.co")</f>
        <v>wguerra@postobon.com.co,aprmttoyu@postobon.com.co,aprmyu@postobon.com.co,wmora@postobon.com.co,efzapata@postobon.com.co</v>
      </c>
      <c r="Y310" s="5" t="str">
        <f ca="1">IFERROR(__xludf.DUMMYFUNCTION("""COMPUTED_VALUE"""),"wguerra@postobon.com.co")</f>
        <v>wguerra@postobon.com.co</v>
      </c>
      <c r="Z310" s="5" t="str">
        <f ca="1">IFERROR(__xludf.DUMMYFUNCTION("""COMPUTED_VALUE"""),"NRhAt0vBSaSig5WY4HPmLw")</f>
        <v>NRhAt0vBSaSig5WY4HPmLw</v>
      </c>
      <c r="AA310" s="5"/>
      <c r="AB310" s="5"/>
      <c r="AC310" s="5"/>
      <c r="AD310" s="5">
        <f ca="1">IFERROR(__xludf.DUMMYFUNCTION("""COMPUTED_VALUE"""),62)</f>
        <v>62</v>
      </c>
      <c r="AE310" s="5">
        <f ca="1">IFERROR(__xludf.DUMMYFUNCTION("""COMPUTED_VALUE"""),62)</f>
        <v>62</v>
      </c>
      <c r="AF310" s="5" t="b">
        <f ca="1">IFERROR(__xludf.DUMMYFUNCTION("""COMPUTED_VALUE"""),FALSE)</f>
        <v>0</v>
      </c>
      <c r="AG310" s="5" t="str">
        <f ca="1">IFERROR(__xludf.DUMMYFUNCTION("""COMPUTED_VALUE"""),"INSPECCIONES REALIZADAS")</f>
        <v>INSPECCIONES REALIZADAS</v>
      </c>
      <c r="AH310" s="5"/>
    </row>
    <row r="311" spans="1:34">
      <c r="A311" s="5" t="str">
        <f ca="1">IFERROR(__xludf.DUMMYFUNCTION("""COMPUTED_VALUE"""),"LINEA DE ENVASADO FAMILIAR Y PRB")</f>
        <v>LINEA DE ENVASADO FAMILIAR Y PRB</v>
      </c>
      <c r="B311" s="5">
        <f ca="1">IFERROR(__xludf.DUMMYFUNCTION("""COMPUTED_VALUE"""),828083)</f>
        <v>828083</v>
      </c>
      <c r="C311" s="5" t="str">
        <f ca="1">IFERROR(__xludf.DUMMYFUNCTION("""COMPUTED_VALUE"""),"DESCAPSULADORA")</f>
        <v>DESCAPSULADORA</v>
      </c>
      <c r="D311" s="5">
        <f ca="1">IFERROR(__xludf.DUMMYFUNCTION("""COMPUTED_VALUE"""),13247267)</f>
        <v>13247267</v>
      </c>
      <c r="E311" s="5" t="str">
        <f ca="1">IFERROR(__xludf.DUMMYFUNCTION("""COMPUTED_VALUE"""),"INSPECCION SEMANAL DESCAPSULADORA")</f>
        <v>INSPECCION SEMANAL DESCAPSULADORA</v>
      </c>
      <c r="F311" s="5" t="str">
        <f ca="1">IFERROR(__xludf.DUMMYFUNCTION("""COMPUTED_VALUE"""),"Estado del posicionador")</f>
        <v>Estado del posicionador</v>
      </c>
      <c r="G311" s="5" t="b">
        <f ca="1">IFERROR(__xludf.DUMMYFUNCTION("""COMPUTED_VALUE"""),TRUE)</f>
        <v>1</v>
      </c>
      <c r="H311" s="5"/>
      <c r="I311" s="5"/>
      <c r="J311" s="5">
        <f ca="1">IFERROR(__xludf.DUMMYFUNCTION("""COMPUTED_VALUE"""),13247267)</f>
        <v>13247267</v>
      </c>
      <c r="K311" s="5"/>
      <c r="L311" s="18">
        <f ca="1">IFERROR(__xludf.DUMMYFUNCTION("""COMPUTED_VALUE"""),45324)</f>
        <v>45324</v>
      </c>
      <c r="M311" s="18">
        <f ca="1">IFERROR(__xludf.DUMMYFUNCTION("""COMPUTED_VALUE"""),45324)</f>
        <v>45324</v>
      </c>
      <c r="N311" s="5" t="str">
        <f ca="1">IFERROR(__xludf.DUMMYFUNCTION("""COMPUTED_VALUE"""),"Paz Paz Jhon Estiven")</f>
        <v>Paz Paz Jhon Estiven</v>
      </c>
      <c r="O311" s="2">
        <f ca="1">IFERROR(__xludf.DUMMYFUNCTION("""COMPUTED_VALUE"""),0.005555556)</f>
        <v>5.5555559999999997E-3</v>
      </c>
      <c r="P311" s="5">
        <f ca="1">IFERROR(__xludf.DUMMYFUNCTION("""COMPUTED_VALUE"""),20031102)</f>
        <v>20031102</v>
      </c>
      <c r="Q311" s="5" t="str">
        <f ca="1">IFERROR(__xludf.DUMMYFUNCTION("""COMPUTED_VALUE"""),"aHXLE4-73-k")</f>
        <v>aHXLE4-73-k</v>
      </c>
      <c r="R311" s="5">
        <f ca="1">IFERROR(__xludf.DUMMYFUNCTION("""COMPUTED_VALUE"""),410)</f>
        <v>410</v>
      </c>
      <c r="S311" s="62">
        <f ca="1">IFERROR(__xludf.DUMMYFUNCTION("""COMPUTED_VALUE"""),0.005555556)</f>
        <v>5.5555559999999997E-3</v>
      </c>
      <c r="T311" s="63" t="str">
        <f ca="1">IFERROR(__xludf.DUMMYFUNCTION("""COMPUTED_VALUE"""),"https://storage.googleapis.com/glide-prod.appspot.com/uploads-v2/ly7o78grxPaC6KdgvbpS/pub/3aRdSog0vUtuqPE8AJKD.png")</f>
        <v>https://storage.googleapis.com/glide-prod.appspot.com/uploads-v2/ly7o78grxPaC6KdgvbpS/pub/3aRdSog0vUtuqPE8AJKD.png</v>
      </c>
      <c r="U311" s="5" t="str">
        <f ca="1">IFERROR(__xludf.DUMMYFUNCTION("""COMPUTED_VALUE"""),"LINEA DE ENVASADO FAMILIAR Y PRBDESCAPSULADORA")</f>
        <v>LINEA DE ENVASADO FAMILIAR Y PRBDESCAPSULADORA</v>
      </c>
      <c r="V311" s="5"/>
      <c r="W311" s="5" t="b">
        <f ca="1">IFERROR(__xludf.DUMMYFUNCTION("""COMPUTED_VALUE"""),TRUE)</f>
        <v>1</v>
      </c>
      <c r="X311" s="5" t="str">
        <f ca="1">IFERROR(__xludf.DUMMYFUNCTION("""COMPUTED_VALUE"""),"wguerra@postobon.com.co,aprmttoyu@postobon.com.co,aprmyu@postobon.com.co,wmora@postobon.com.co,efzapata@postobon.com.co")</f>
        <v>wguerra@postobon.com.co,aprmttoyu@postobon.com.co,aprmyu@postobon.com.co,wmora@postobon.com.co,efzapata@postobon.com.co</v>
      </c>
      <c r="Y311" s="5" t="str">
        <f ca="1">IFERROR(__xludf.DUMMYFUNCTION("""COMPUTED_VALUE"""),"wguerra@postobon.com.co")</f>
        <v>wguerra@postobon.com.co</v>
      </c>
      <c r="Z311" s="5" t="str">
        <f ca="1">IFERROR(__xludf.DUMMYFUNCTION("""COMPUTED_VALUE"""),"Qx02vN1kRManOmvelGyYwg")</f>
        <v>Qx02vN1kRManOmvelGyYwg</v>
      </c>
      <c r="AA311" s="5"/>
      <c r="AB311" s="5"/>
      <c r="AC311" s="5"/>
      <c r="AD311" s="5">
        <f ca="1">IFERROR(__xludf.DUMMYFUNCTION("""COMPUTED_VALUE"""),62)</f>
        <v>62</v>
      </c>
      <c r="AE311" s="5">
        <f ca="1">IFERROR(__xludf.DUMMYFUNCTION("""COMPUTED_VALUE"""),62)</f>
        <v>62</v>
      </c>
      <c r="AF311" s="5" t="b">
        <f ca="1">IFERROR(__xludf.DUMMYFUNCTION("""COMPUTED_VALUE"""),FALSE)</f>
        <v>0</v>
      </c>
      <c r="AG311" s="5" t="str">
        <f ca="1">IFERROR(__xludf.DUMMYFUNCTION("""COMPUTED_VALUE"""),"INSPECCIONES REALIZADAS")</f>
        <v>INSPECCIONES REALIZADAS</v>
      </c>
      <c r="AH311" s="5"/>
    </row>
    <row r="312" spans="1:34">
      <c r="A312" s="5" t="str">
        <f ca="1">IFERROR(__xludf.DUMMYFUNCTION("""COMPUTED_VALUE"""),"LINEA DE ENVASADO FAMILIAR Y PRB")</f>
        <v>LINEA DE ENVASADO FAMILIAR Y PRB</v>
      </c>
      <c r="B312" s="5">
        <f ca="1">IFERROR(__xludf.DUMMYFUNCTION("""COMPUTED_VALUE"""),828083)</f>
        <v>828083</v>
      </c>
      <c r="C312" s="5" t="str">
        <f ca="1">IFERROR(__xludf.DUMMYFUNCTION("""COMPUTED_VALUE"""),"DESCAPSULADORA")</f>
        <v>DESCAPSULADORA</v>
      </c>
      <c r="D312" s="5">
        <f ca="1">IFERROR(__xludf.DUMMYFUNCTION("""COMPUTED_VALUE"""),13247267)</f>
        <v>13247267</v>
      </c>
      <c r="E312" s="5" t="str">
        <f ca="1">IFERROR(__xludf.DUMMYFUNCTION("""COMPUTED_VALUE"""),"INSPECCION SEMANAL DESCAPSULADORA")</f>
        <v>INSPECCION SEMANAL DESCAPSULADORA</v>
      </c>
      <c r="F312" s="5" t="str">
        <f ca="1">IFERROR(__xludf.DUMMYFUNCTION("""COMPUTED_VALUE"""),"Estado de guías plásticas y estrellas de transferencia")</f>
        <v>Estado de guías plásticas y estrellas de transferencia</v>
      </c>
      <c r="G312" s="5" t="b">
        <f ca="1">IFERROR(__xludf.DUMMYFUNCTION("""COMPUTED_VALUE"""),TRUE)</f>
        <v>1</v>
      </c>
      <c r="H312" s="5"/>
      <c r="I312" s="5"/>
      <c r="J312" s="5">
        <f ca="1">IFERROR(__xludf.DUMMYFUNCTION("""COMPUTED_VALUE"""),13247267)</f>
        <v>13247267</v>
      </c>
      <c r="K312" s="5"/>
      <c r="L312" s="18">
        <f ca="1">IFERROR(__xludf.DUMMYFUNCTION("""COMPUTED_VALUE"""),45324)</f>
        <v>45324</v>
      </c>
      <c r="M312" s="18">
        <f ca="1">IFERROR(__xludf.DUMMYFUNCTION("""COMPUTED_VALUE"""),45324)</f>
        <v>45324</v>
      </c>
      <c r="N312" s="5" t="str">
        <f ca="1">IFERROR(__xludf.DUMMYFUNCTION("""COMPUTED_VALUE"""),"Paz Paz Jhon Estiven")</f>
        <v>Paz Paz Jhon Estiven</v>
      </c>
      <c r="O312" s="2">
        <f ca="1">IFERROR(__xludf.DUMMYFUNCTION("""COMPUTED_VALUE"""),0.005555556)</f>
        <v>5.5555559999999997E-3</v>
      </c>
      <c r="P312" s="5">
        <f ca="1">IFERROR(__xludf.DUMMYFUNCTION("""COMPUTED_VALUE"""),20031102)</f>
        <v>20031102</v>
      </c>
      <c r="Q312" s="5" t="str">
        <f ca="1">IFERROR(__xludf.DUMMYFUNCTION("""COMPUTED_VALUE"""),"NuBc4TiXZW0")</f>
        <v>NuBc4TiXZW0</v>
      </c>
      <c r="R312" s="5">
        <f ca="1">IFERROR(__xludf.DUMMYFUNCTION("""COMPUTED_VALUE"""),410)</f>
        <v>410</v>
      </c>
      <c r="S312" s="62">
        <f ca="1">IFERROR(__xludf.DUMMYFUNCTION("""COMPUTED_VALUE"""),0.005555556)</f>
        <v>5.5555559999999997E-3</v>
      </c>
      <c r="T312" s="63" t="str">
        <f ca="1">IFERROR(__xludf.DUMMYFUNCTION("""COMPUTED_VALUE"""),"https://storage.googleapis.com/glide-prod.appspot.com/uploads-v2/ly7o78grxPaC6KdgvbpS/pub/3aRdSog0vUtuqPE8AJKD.png")</f>
        <v>https://storage.googleapis.com/glide-prod.appspot.com/uploads-v2/ly7o78grxPaC6KdgvbpS/pub/3aRdSog0vUtuqPE8AJKD.png</v>
      </c>
      <c r="U312" s="5" t="str">
        <f ca="1">IFERROR(__xludf.DUMMYFUNCTION("""COMPUTED_VALUE"""),"LINEA DE ENVASADO FAMILIAR Y PRBDESCAPSULADORA")</f>
        <v>LINEA DE ENVASADO FAMILIAR Y PRBDESCAPSULADORA</v>
      </c>
      <c r="V312" s="5"/>
      <c r="W312" s="5" t="b">
        <f ca="1">IFERROR(__xludf.DUMMYFUNCTION("""COMPUTED_VALUE"""),TRUE)</f>
        <v>1</v>
      </c>
      <c r="X312" s="5" t="str">
        <f ca="1">IFERROR(__xludf.DUMMYFUNCTION("""COMPUTED_VALUE"""),"wguerra@postobon.com.co,aprmttoyu@postobon.com.co,aprmyu@postobon.com.co,wmora@postobon.com.co,efzapata@postobon.com.co")</f>
        <v>wguerra@postobon.com.co,aprmttoyu@postobon.com.co,aprmyu@postobon.com.co,wmora@postobon.com.co,efzapata@postobon.com.co</v>
      </c>
      <c r="Y312" s="5" t="str">
        <f ca="1">IFERROR(__xludf.DUMMYFUNCTION("""COMPUTED_VALUE"""),"wguerra@postobon.com.co")</f>
        <v>wguerra@postobon.com.co</v>
      </c>
      <c r="Z312" s="5" t="str">
        <f ca="1">IFERROR(__xludf.DUMMYFUNCTION("""COMPUTED_VALUE"""),"A-l1JLs7S-6k-.gti6cR.A")</f>
        <v>A-l1JLs7S-6k-.gti6cR.A</v>
      </c>
      <c r="AA312" s="5"/>
      <c r="AB312" s="5"/>
      <c r="AC312" s="5"/>
      <c r="AD312" s="5">
        <f ca="1">IFERROR(__xludf.DUMMYFUNCTION("""COMPUTED_VALUE"""),62)</f>
        <v>62</v>
      </c>
      <c r="AE312" s="5">
        <f ca="1">IFERROR(__xludf.DUMMYFUNCTION("""COMPUTED_VALUE"""),62)</f>
        <v>62</v>
      </c>
      <c r="AF312" s="5" t="b">
        <f ca="1">IFERROR(__xludf.DUMMYFUNCTION("""COMPUTED_VALUE"""),FALSE)</f>
        <v>0</v>
      </c>
      <c r="AG312" s="5" t="str">
        <f ca="1">IFERROR(__xludf.DUMMYFUNCTION("""COMPUTED_VALUE"""),"INSPECCIONES REALIZADAS")</f>
        <v>INSPECCIONES REALIZADAS</v>
      </c>
      <c r="AH312" s="5"/>
    </row>
    <row r="313" spans="1:34">
      <c r="A313" s="5" t="str">
        <f ca="1">IFERROR(__xludf.DUMMYFUNCTION("""COMPUTED_VALUE"""),"LINEA DE ENVASADO FAMILIAR Y PRB")</f>
        <v>LINEA DE ENVASADO FAMILIAR Y PRB</v>
      </c>
      <c r="B313" s="5">
        <f ca="1">IFERROR(__xludf.DUMMYFUNCTION("""COMPUTED_VALUE"""),828083)</f>
        <v>828083</v>
      </c>
      <c r="C313" s="5" t="str">
        <f ca="1">IFERROR(__xludf.DUMMYFUNCTION("""COMPUTED_VALUE"""),"DESCAPSULADORA")</f>
        <v>DESCAPSULADORA</v>
      </c>
      <c r="D313" s="5">
        <f ca="1">IFERROR(__xludf.DUMMYFUNCTION("""COMPUTED_VALUE"""),13247267)</f>
        <v>13247267</v>
      </c>
      <c r="E313" s="5" t="str">
        <f ca="1">IFERROR(__xludf.DUMMYFUNCTION("""COMPUTED_VALUE"""),"INSPECCION SEMANAL DESCAPSULADORA")</f>
        <v>INSPECCION SEMANAL DESCAPSULADORA</v>
      </c>
      <c r="F313" s="5" t="str">
        <f ca="1">IFERROR(__xludf.DUMMYFUNCTION("""COMPUTED_VALUE"""),"Estado tornillo sin fin")</f>
        <v>Estado tornillo sin fin</v>
      </c>
      <c r="G313" s="5" t="b">
        <f ca="1">IFERROR(__xludf.DUMMYFUNCTION("""COMPUTED_VALUE"""),TRUE)</f>
        <v>1</v>
      </c>
      <c r="H313" s="5"/>
      <c r="I313" s="5"/>
      <c r="J313" s="5">
        <f ca="1">IFERROR(__xludf.DUMMYFUNCTION("""COMPUTED_VALUE"""),13247267)</f>
        <v>13247267</v>
      </c>
      <c r="K313" s="5"/>
      <c r="L313" s="18">
        <f ca="1">IFERROR(__xludf.DUMMYFUNCTION("""COMPUTED_VALUE"""),45324)</f>
        <v>45324</v>
      </c>
      <c r="M313" s="18">
        <f ca="1">IFERROR(__xludf.DUMMYFUNCTION("""COMPUTED_VALUE"""),45324)</f>
        <v>45324</v>
      </c>
      <c r="N313" s="5" t="str">
        <f ca="1">IFERROR(__xludf.DUMMYFUNCTION("""COMPUTED_VALUE"""),"Paz Paz Jhon Estiven")</f>
        <v>Paz Paz Jhon Estiven</v>
      </c>
      <c r="O313" s="2">
        <f ca="1">IFERROR(__xludf.DUMMYFUNCTION("""COMPUTED_VALUE"""),0.005555556)</f>
        <v>5.5555559999999997E-3</v>
      </c>
      <c r="P313" s="5">
        <f ca="1">IFERROR(__xludf.DUMMYFUNCTION("""COMPUTED_VALUE"""),20031102)</f>
        <v>20031102</v>
      </c>
      <c r="Q313" s="5" t="str">
        <f ca="1">IFERROR(__xludf.DUMMYFUNCTION("""COMPUTED_VALUE"""),"7iukDZBtjK8")</f>
        <v>7iukDZBtjK8</v>
      </c>
      <c r="R313" s="5">
        <f ca="1">IFERROR(__xludf.DUMMYFUNCTION("""COMPUTED_VALUE"""),410)</f>
        <v>410</v>
      </c>
      <c r="S313" s="62">
        <f ca="1">IFERROR(__xludf.DUMMYFUNCTION("""COMPUTED_VALUE"""),0.005555556)</f>
        <v>5.5555559999999997E-3</v>
      </c>
      <c r="T313" s="63" t="str">
        <f ca="1">IFERROR(__xludf.DUMMYFUNCTION("""COMPUTED_VALUE"""),"https://storage.googleapis.com/glide-prod.appspot.com/uploads-v2/ly7o78grxPaC6KdgvbpS/pub/3aRdSog0vUtuqPE8AJKD.png")</f>
        <v>https://storage.googleapis.com/glide-prod.appspot.com/uploads-v2/ly7o78grxPaC6KdgvbpS/pub/3aRdSog0vUtuqPE8AJKD.png</v>
      </c>
      <c r="U313" s="5" t="str">
        <f ca="1">IFERROR(__xludf.DUMMYFUNCTION("""COMPUTED_VALUE"""),"LINEA DE ENVASADO FAMILIAR Y PRBDESCAPSULADORA")</f>
        <v>LINEA DE ENVASADO FAMILIAR Y PRBDESCAPSULADORA</v>
      </c>
      <c r="V313" s="5"/>
      <c r="W313" s="5" t="b">
        <f ca="1">IFERROR(__xludf.DUMMYFUNCTION("""COMPUTED_VALUE"""),TRUE)</f>
        <v>1</v>
      </c>
      <c r="X313" s="5" t="str">
        <f ca="1">IFERROR(__xludf.DUMMYFUNCTION("""COMPUTED_VALUE"""),"wguerra@postobon.com.co,aprmttoyu@postobon.com.co,aprmyu@postobon.com.co,wmora@postobon.com.co,efzapata@postobon.com.co")</f>
        <v>wguerra@postobon.com.co,aprmttoyu@postobon.com.co,aprmyu@postobon.com.co,wmora@postobon.com.co,efzapata@postobon.com.co</v>
      </c>
      <c r="Y313" s="5" t="str">
        <f ca="1">IFERROR(__xludf.DUMMYFUNCTION("""COMPUTED_VALUE"""),"wguerra@postobon.com.co")</f>
        <v>wguerra@postobon.com.co</v>
      </c>
      <c r="Z313" s="5" t="str">
        <f ca="1">IFERROR(__xludf.DUMMYFUNCTION("""COMPUTED_VALUE"""),"vBH9v1IdQq2s.MQlU6JFIw")</f>
        <v>vBH9v1IdQq2s.MQlU6JFIw</v>
      </c>
      <c r="AA313" s="5"/>
      <c r="AB313" s="5"/>
      <c r="AC313" s="5"/>
      <c r="AD313" s="5">
        <f ca="1">IFERROR(__xludf.DUMMYFUNCTION("""COMPUTED_VALUE"""),62)</f>
        <v>62</v>
      </c>
      <c r="AE313" s="5">
        <f ca="1">IFERROR(__xludf.DUMMYFUNCTION("""COMPUTED_VALUE"""),62)</f>
        <v>62</v>
      </c>
      <c r="AF313" s="5" t="b">
        <f ca="1">IFERROR(__xludf.DUMMYFUNCTION("""COMPUTED_VALUE"""),FALSE)</f>
        <v>0</v>
      </c>
      <c r="AG313" s="5" t="str">
        <f ca="1">IFERROR(__xludf.DUMMYFUNCTION("""COMPUTED_VALUE"""),"INSPECCIONES REALIZADAS")</f>
        <v>INSPECCIONES REALIZADAS</v>
      </c>
      <c r="AH313" s="5"/>
    </row>
    <row r="314" spans="1:34">
      <c r="A314" s="5" t="str">
        <f ca="1">IFERROR(__xludf.DUMMYFUNCTION("""COMPUTED_VALUE"""),"LINEA DE ENVASADO FAMILIAR Y PRB")</f>
        <v>LINEA DE ENVASADO FAMILIAR Y PRB</v>
      </c>
      <c r="B314" s="5">
        <f ca="1">IFERROR(__xludf.DUMMYFUNCTION("""COMPUTED_VALUE"""),828083)</f>
        <v>828083</v>
      </c>
      <c r="C314" s="5" t="str">
        <f ca="1">IFERROR(__xludf.DUMMYFUNCTION("""COMPUTED_VALUE"""),"DESCAPSULADORA")</f>
        <v>DESCAPSULADORA</v>
      </c>
      <c r="D314" s="5">
        <f ca="1">IFERROR(__xludf.DUMMYFUNCTION("""COMPUTED_VALUE"""),13247267)</f>
        <v>13247267</v>
      </c>
      <c r="E314" s="5" t="str">
        <f ca="1">IFERROR(__xludf.DUMMYFUNCTION("""COMPUTED_VALUE"""),"INSPECCION SEMANAL DESCAPSULADORA")</f>
        <v>INSPECCION SEMANAL DESCAPSULADORA</v>
      </c>
      <c r="F314" s="5" t="str">
        <f ca="1">IFERROR(__xludf.DUMMYFUNCTION("""COMPUTED_VALUE"""),"Estado de sistema de lubricacion")</f>
        <v>Estado de sistema de lubricacion</v>
      </c>
      <c r="G314" s="5" t="b">
        <f ca="1">IFERROR(__xludf.DUMMYFUNCTION("""COMPUTED_VALUE"""),TRUE)</f>
        <v>1</v>
      </c>
      <c r="H314" s="5"/>
      <c r="I314" s="5"/>
      <c r="J314" s="5">
        <f ca="1">IFERROR(__xludf.DUMMYFUNCTION("""COMPUTED_VALUE"""),13247267)</f>
        <v>13247267</v>
      </c>
      <c r="K314" s="5"/>
      <c r="L314" s="18">
        <f ca="1">IFERROR(__xludf.DUMMYFUNCTION("""COMPUTED_VALUE"""),45324)</f>
        <v>45324</v>
      </c>
      <c r="M314" s="18">
        <f ca="1">IFERROR(__xludf.DUMMYFUNCTION("""COMPUTED_VALUE"""),45324)</f>
        <v>45324</v>
      </c>
      <c r="N314" s="5" t="str">
        <f ca="1">IFERROR(__xludf.DUMMYFUNCTION("""COMPUTED_VALUE"""),"Paz Paz Jhon Estiven")</f>
        <v>Paz Paz Jhon Estiven</v>
      </c>
      <c r="O314" s="2">
        <f ca="1">IFERROR(__xludf.DUMMYFUNCTION("""COMPUTED_VALUE"""),0.005555556)</f>
        <v>5.5555559999999997E-3</v>
      </c>
      <c r="P314" s="5">
        <f ca="1">IFERROR(__xludf.DUMMYFUNCTION("""COMPUTED_VALUE"""),20031102)</f>
        <v>20031102</v>
      </c>
      <c r="Q314" s="5" t="str">
        <f ca="1">IFERROR(__xludf.DUMMYFUNCTION("""COMPUTED_VALUE"""),"o8GRoImkdvw")</f>
        <v>o8GRoImkdvw</v>
      </c>
      <c r="R314" s="5">
        <f ca="1">IFERROR(__xludf.DUMMYFUNCTION("""COMPUTED_VALUE"""),410)</f>
        <v>410</v>
      </c>
      <c r="S314" s="62">
        <f ca="1">IFERROR(__xludf.DUMMYFUNCTION("""COMPUTED_VALUE"""),0.005555556)</f>
        <v>5.5555559999999997E-3</v>
      </c>
      <c r="T314" s="63" t="str">
        <f ca="1">IFERROR(__xludf.DUMMYFUNCTION("""COMPUTED_VALUE"""),"https://storage.googleapis.com/glide-prod.appspot.com/uploads-v2/ly7o78grxPaC6KdgvbpS/pub/3aRdSog0vUtuqPE8AJKD.png")</f>
        <v>https://storage.googleapis.com/glide-prod.appspot.com/uploads-v2/ly7o78grxPaC6KdgvbpS/pub/3aRdSog0vUtuqPE8AJKD.png</v>
      </c>
      <c r="U314" s="5" t="str">
        <f ca="1">IFERROR(__xludf.DUMMYFUNCTION("""COMPUTED_VALUE"""),"LINEA DE ENVASADO FAMILIAR Y PRBDESCAPSULADORA")</f>
        <v>LINEA DE ENVASADO FAMILIAR Y PRBDESCAPSULADORA</v>
      </c>
      <c r="V314" s="5"/>
      <c r="W314" s="5" t="b">
        <f ca="1">IFERROR(__xludf.DUMMYFUNCTION("""COMPUTED_VALUE"""),TRUE)</f>
        <v>1</v>
      </c>
      <c r="X314" s="5" t="str">
        <f ca="1">IFERROR(__xludf.DUMMYFUNCTION("""COMPUTED_VALUE"""),"wguerra@postobon.com.co,aprmttoyu@postobon.com.co,aprmyu@postobon.com.co,wmora@postobon.com.co,efzapata@postobon.com.co")</f>
        <v>wguerra@postobon.com.co,aprmttoyu@postobon.com.co,aprmyu@postobon.com.co,wmora@postobon.com.co,efzapata@postobon.com.co</v>
      </c>
      <c r="Y314" s="5" t="str">
        <f ca="1">IFERROR(__xludf.DUMMYFUNCTION("""COMPUTED_VALUE"""),"wguerra@postobon.com.co")</f>
        <v>wguerra@postobon.com.co</v>
      </c>
      <c r="Z314" s="5" t="str">
        <f ca="1">IFERROR(__xludf.DUMMYFUNCTION("""COMPUTED_VALUE"""),"AwnSabOgShugaKy0FVMv9g")</f>
        <v>AwnSabOgShugaKy0FVMv9g</v>
      </c>
      <c r="AA314" s="5"/>
      <c r="AB314" s="5"/>
      <c r="AC314" s="5"/>
      <c r="AD314" s="5">
        <f ca="1">IFERROR(__xludf.DUMMYFUNCTION("""COMPUTED_VALUE"""),62)</f>
        <v>62</v>
      </c>
      <c r="AE314" s="5">
        <f ca="1">IFERROR(__xludf.DUMMYFUNCTION("""COMPUTED_VALUE"""),62)</f>
        <v>62</v>
      </c>
      <c r="AF314" s="5" t="b">
        <f ca="1">IFERROR(__xludf.DUMMYFUNCTION("""COMPUTED_VALUE"""),FALSE)</f>
        <v>0</v>
      </c>
      <c r="AG314" s="5" t="str">
        <f ca="1">IFERROR(__xludf.DUMMYFUNCTION("""COMPUTED_VALUE"""),"INSPECCIONES REALIZADAS")</f>
        <v>INSPECCIONES REALIZADAS</v>
      </c>
      <c r="AH314" s="5"/>
    </row>
    <row r="315" spans="1:34">
      <c r="A315" s="5" t="str">
        <f ca="1">IFERROR(__xludf.DUMMYFUNCTION("""COMPUTED_VALUE"""),"LINEA DE ENVASADO FAMILIAR Y PRB")</f>
        <v>LINEA DE ENVASADO FAMILIAR Y PRB</v>
      </c>
      <c r="B315" s="5">
        <f ca="1">IFERROR(__xludf.DUMMYFUNCTION("""COMPUTED_VALUE"""),828083)</f>
        <v>828083</v>
      </c>
      <c r="C315" s="5" t="str">
        <f ca="1">IFERROR(__xludf.DUMMYFUNCTION("""COMPUTED_VALUE"""),"DESCAPSULADORA")</f>
        <v>DESCAPSULADORA</v>
      </c>
      <c r="D315" s="5">
        <f ca="1">IFERROR(__xludf.DUMMYFUNCTION("""COMPUTED_VALUE"""),13247267)</f>
        <v>13247267</v>
      </c>
      <c r="E315" s="5" t="str">
        <f ca="1">IFERROR(__xludf.DUMMYFUNCTION("""COMPUTED_VALUE"""),"INSPECCION SEMANAL DESCAPSULADORA")</f>
        <v>INSPECCION SEMANAL DESCAPSULADORA</v>
      </c>
      <c r="F315" s="5" t="str">
        <f ca="1">IFERROR(__xludf.DUMMYFUNCTION("""COMPUTED_VALUE"""),"Estado unidad de mantenimiento neumatica")</f>
        <v>Estado unidad de mantenimiento neumatica</v>
      </c>
      <c r="G315" s="5" t="b">
        <f ca="1">IFERROR(__xludf.DUMMYFUNCTION("""COMPUTED_VALUE"""),TRUE)</f>
        <v>1</v>
      </c>
      <c r="H315" s="5"/>
      <c r="I315" s="5"/>
      <c r="J315" s="5">
        <f ca="1">IFERROR(__xludf.DUMMYFUNCTION("""COMPUTED_VALUE"""),13247267)</f>
        <v>13247267</v>
      </c>
      <c r="K315" s="5"/>
      <c r="L315" s="18">
        <f ca="1">IFERROR(__xludf.DUMMYFUNCTION("""COMPUTED_VALUE"""),45324)</f>
        <v>45324</v>
      </c>
      <c r="M315" s="18">
        <f ca="1">IFERROR(__xludf.DUMMYFUNCTION("""COMPUTED_VALUE"""),45324)</f>
        <v>45324</v>
      </c>
      <c r="N315" s="5" t="str">
        <f ca="1">IFERROR(__xludf.DUMMYFUNCTION("""COMPUTED_VALUE"""),"Paz Paz Jhon Estiven")</f>
        <v>Paz Paz Jhon Estiven</v>
      </c>
      <c r="O315" s="2">
        <f ca="1">IFERROR(__xludf.DUMMYFUNCTION("""COMPUTED_VALUE"""),0.005555556)</f>
        <v>5.5555559999999997E-3</v>
      </c>
      <c r="P315" s="5">
        <f ca="1">IFERROR(__xludf.DUMMYFUNCTION("""COMPUTED_VALUE"""),20031102)</f>
        <v>20031102</v>
      </c>
      <c r="Q315" s="5" t="str">
        <f ca="1">IFERROR(__xludf.DUMMYFUNCTION("""COMPUTED_VALUE"""),"7-6wZOCLHRA")</f>
        <v>7-6wZOCLHRA</v>
      </c>
      <c r="R315" s="5">
        <f ca="1">IFERROR(__xludf.DUMMYFUNCTION("""COMPUTED_VALUE"""),410)</f>
        <v>410</v>
      </c>
      <c r="S315" s="62">
        <f ca="1">IFERROR(__xludf.DUMMYFUNCTION("""COMPUTED_VALUE"""),0.005555556)</f>
        <v>5.5555559999999997E-3</v>
      </c>
      <c r="T315" s="63" t="str">
        <f ca="1">IFERROR(__xludf.DUMMYFUNCTION("""COMPUTED_VALUE"""),"https://storage.googleapis.com/glide-prod.appspot.com/uploads-v2/ly7o78grxPaC6KdgvbpS/pub/3aRdSog0vUtuqPE8AJKD.png")</f>
        <v>https://storage.googleapis.com/glide-prod.appspot.com/uploads-v2/ly7o78grxPaC6KdgvbpS/pub/3aRdSog0vUtuqPE8AJKD.png</v>
      </c>
      <c r="U315" s="5" t="str">
        <f ca="1">IFERROR(__xludf.DUMMYFUNCTION("""COMPUTED_VALUE"""),"LINEA DE ENVASADO FAMILIAR Y PRBDESCAPSULADORA")</f>
        <v>LINEA DE ENVASADO FAMILIAR Y PRBDESCAPSULADORA</v>
      </c>
      <c r="V315" s="5"/>
      <c r="W315" s="5" t="b">
        <f ca="1">IFERROR(__xludf.DUMMYFUNCTION("""COMPUTED_VALUE"""),TRUE)</f>
        <v>1</v>
      </c>
      <c r="X315" s="5" t="str">
        <f ca="1">IFERROR(__xludf.DUMMYFUNCTION("""COMPUTED_VALUE"""),"wguerra@postobon.com.co,aprmttoyu@postobon.com.co,aprmyu@postobon.com.co,wmora@postobon.com.co,efzapata@postobon.com.co")</f>
        <v>wguerra@postobon.com.co,aprmttoyu@postobon.com.co,aprmyu@postobon.com.co,wmora@postobon.com.co,efzapata@postobon.com.co</v>
      </c>
      <c r="Y315" s="5" t="str">
        <f ca="1">IFERROR(__xludf.DUMMYFUNCTION("""COMPUTED_VALUE"""),"wguerra@postobon.com.co")</f>
        <v>wguerra@postobon.com.co</v>
      </c>
      <c r="Z315" s="5" t="str">
        <f ca="1">IFERROR(__xludf.DUMMYFUNCTION("""COMPUTED_VALUE"""),"xGtD70ewR3yYKlxkU8CxxQ")</f>
        <v>xGtD70ewR3yYKlxkU8CxxQ</v>
      </c>
      <c r="AA315" s="5"/>
      <c r="AB315" s="5"/>
      <c r="AC315" s="5"/>
      <c r="AD315" s="5">
        <f ca="1">IFERROR(__xludf.DUMMYFUNCTION("""COMPUTED_VALUE"""),62)</f>
        <v>62</v>
      </c>
      <c r="AE315" s="5">
        <f ca="1">IFERROR(__xludf.DUMMYFUNCTION("""COMPUTED_VALUE"""),62)</f>
        <v>62</v>
      </c>
      <c r="AF315" s="5" t="b">
        <f ca="1">IFERROR(__xludf.DUMMYFUNCTION("""COMPUTED_VALUE"""),FALSE)</f>
        <v>0</v>
      </c>
      <c r="AG315" s="5" t="str">
        <f ca="1">IFERROR(__xludf.DUMMYFUNCTION("""COMPUTED_VALUE"""),"INSPECCIONES REALIZADAS")</f>
        <v>INSPECCIONES REALIZADAS</v>
      </c>
      <c r="AH315" s="5"/>
    </row>
    <row r="316" spans="1:34">
      <c r="A316" s="5" t="str">
        <f ca="1">IFERROR(__xludf.DUMMYFUNCTION("""COMPUTED_VALUE"""),"LINEA DE ENVASADO FAMILIAR Y PRB")</f>
        <v>LINEA DE ENVASADO FAMILIAR Y PRB</v>
      </c>
      <c r="B316" s="5">
        <f ca="1">IFERROR(__xludf.DUMMYFUNCTION("""COMPUTED_VALUE"""),828083)</f>
        <v>828083</v>
      </c>
      <c r="C316" s="5" t="str">
        <f ca="1">IFERROR(__xludf.DUMMYFUNCTION("""COMPUTED_VALUE"""),"DESCAPSULADORA")</f>
        <v>DESCAPSULADORA</v>
      </c>
      <c r="D316" s="5">
        <f ca="1">IFERROR(__xludf.DUMMYFUNCTION("""COMPUTED_VALUE"""),13247267)</f>
        <v>13247267</v>
      </c>
      <c r="E316" s="5" t="str">
        <f ca="1">IFERROR(__xludf.DUMMYFUNCTION("""COMPUTED_VALUE"""),"INSPECCION SEMANAL DESCAPSULADORA")</f>
        <v>INSPECCION SEMANAL DESCAPSULADORA</v>
      </c>
      <c r="F316" s="5" t="str">
        <f ca="1">IFERROR(__xludf.DUMMYFUNCTION("""COMPUTED_VALUE"""),"Estado de tableros eléctricos de mando, control y potencia")</f>
        <v>Estado de tableros eléctricos de mando, control y potencia</v>
      </c>
      <c r="G316" s="5" t="b">
        <f ca="1">IFERROR(__xludf.DUMMYFUNCTION("""COMPUTED_VALUE"""),TRUE)</f>
        <v>1</v>
      </c>
      <c r="H316" s="5"/>
      <c r="I316" s="5"/>
      <c r="J316" s="5">
        <f ca="1">IFERROR(__xludf.DUMMYFUNCTION("""COMPUTED_VALUE"""),13247267)</f>
        <v>13247267</v>
      </c>
      <c r="K316" s="5"/>
      <c r="L316" s="18">
        <f ca="1">IFERROR(__xludf.DUMMYFUNCTION("""COMPUTED_VALUE"""),45324)</f>
        <v>45324</v>
      </c>
      <c r="M316" s="18">
        <f ca="1">IFERROR(__xludf.DUMMYFUNCTION("""COMPUTED_VALUE"""),45324)</f>
        <v>45324</v>
      </c>
      <c r="N316" s="5" t="str">
        <f ca="1">IFERROR(__xludf.DUMMYFUNCTION("""COMPUTED_VALUE"""),"Paz Paz Jhon Estiven")</f>
        <v>Paz Paz Jhon Estiven</v>
      </c>
      <c r="O316" s="2">
        <f ca="1">IFERROR(__xludf.DUMMYFUNCTION("""COMPUTED_VALUE"""),0.005555556)</f>
        <v>5.5555559999999997E-3</v>
      </c>
      <c r="P316" s="5">
        <f ca="1">IFERROR(__xludf.DUMMYFUNCTION("""COMPUTED_VALUE"""),20031102)</f>
        <v>20031102</v>
      </c>
      <c r="Q316" s="5" t="str">
        <f ca="1">IFERROR(__xludf.DUMMYFUNCTION("""COMPUTED_VALUE"""),"uj0RJYmsOCE")</f>
        <v>uj0RJYmsOCE</v>
      </c>
      <c r="R316" s="5">
        <f ca="1">IFERROR(__xludf.DUMMYFUNCTION("""COMPUTED_VALUE"""),410)</f>
        <v>410</v>
      </c>
      <c r="S316" s="62">
        <f ca="1">IFERROR(__xludf.DUMMYFUNCTION("""COMPUTED_VALUE"""),0.005555556)</f>
        <v>5.5555559999999997E-3</v>
      </c>
      <c r="T316" s="63" t="str">
        <f ca="1">IFERROR(__xludf.DUMMYFUNCTION("""COMPUTED_VALUE"""),"https://storage.googleapis.com/glide-prod.appspot.com/uploads-v2/ly7o78grxPaC6KdgvbpS/pub/3aRdSog0vUtuqPE8AJKD.png")</f>
        <v>https://storage.googleapis.com/glide-prod.appspot.com/uploads-v2/ly7o78grxPaC6KdgvbpS/pub/3aRdSog0vUtuqPE8AJKD.png</v>
      </c>
      <c r="U316" s="5" t="str">
        <f ca="1">IFERROR(__xludf.DUMMYFUNCTION("""COMPUTED_VALUE"""),"LINEA DE ENVASADO FAMILIAR Y PRBDESCAPSULADORA")</f>
        <v>LINEA DE ENVASADO FAMILIAR Y PRBDESCAPSULADORA</v>
      </c>
      <c r="V316" s="5"/>
      <c r="W316" s="5" t="b">
        <f ca="1">IFERROR(__xludf.DUMMYFUNCTION("""COMPUTED_VALUE"""),TRUE)</f>
        <v>1</v>
      </c>
      <c r="X316" s="5" t="str">
        <f ca="1">IFERROR(__xludf.DUMMYFUNCTION("""COMPUTED_VALUE"""),"wguerra@postobon.com.co,aprmttoyu@postobon.com.co,aprmyu@postobon.com.co,wmora@postobon.com.co,efzapata@postobon.com.co")</f>
        <v>wguerra@postobon.com.co,aprmttoyu@postobon.com.co,aprmyu@postobon.com.co,wmora@postobon.com.co,efzapata@postobon.com.co</v>
      </c>
      <c r="Y316" s="5" t="str">
        <f ca="1">IFERROR(__xludf.DUMMYFUNCTION("""COMPUTED_VALUE"""),"wguerra@postobon.com.co")</f>
        <v>wguerra@postobon.com.co</v>
      </c>
      <c r="Z316" s="5" t="str">
        <f ca="1">IFERROR(__xludf.DUMMYFUNCTION("""COMPUTED_VALUE"""),"Cwlwk3cJTrGlYueGeP.kMw")</f>
        <v>Cwlwk3cJTrGlYueGeP.kMw</v>
      </c>
      <c r="AA316" s="5"/>
      <c r="AB316" s="5"/>
      <c r="AC316" s="5"/>
      <c r="AD316" s="5">
        <f ca="1">IFERROR(__xludf.DUMMYFUNCTION("""COMPUTED_VALUE"""),62)</f>
        <v>62</v>
      </c>
      <c r="AE316" s="5">
        <f ca="1">IFERROR(__xludf.DUMMYFUNCTION("""COMPUTED_VALUE"""),62)</f>
        <v>62</v>
      </c>
      <c r="AF316" s="5" t="b">
        <f ca="1">IFERROR(__xludf.DUMMYFUNCTION("""COMPUTED_VALUE"""),FALSE)</f>
        <v>0</v>
      </c>
      <c r="AG316" s="5" t="str">
        <f ca="1">IFERROR(__xludf.DUMMYFUNCTION("""COMPUTED_VALUE"""),"INSPECCIONES REALIZADAS")</f>
        <v>INSPECCIONES REALIZADAS</v>
      </c>
      <c r="AH316" s="5"/>
    </row>
    <row r="317" spans="1:34">
      <c r="A317" s="5" t="str">
        <f ca="1">IFERROR(__xludf.DUMMYFUNCTION("""COMPUTED_VALUE"""),"LINEA DE ENVASADO FAMILIAR Y PRB")</f>
        <v>LINEA DE ENVASADO FAMILIAR Y PRB</v>
      </c>
      <c r="B317" s="5">
        <f ca="1">IFERROR(__xludf.DUMMYFUNCTION("""COMPUTED_VALUE"""),828083)</f>
        <v>828083</v>
      </c>
      <c r="C317" s="5" t="str">
        <f ca="1">IFERROR(__xludf.DUMMYFUNCTION("""COMPUTED_VALUE"""),"DESCAPSULADORA")</f>
        <v>DESCAPSULADORA</v>
      </c>
      <c r="D317" s="5">
        <f ca="1">IFERROR(__xludf.DUMMYFUNCTION("""COMPUTED_VALUE"""),13247267)</f>
        <v>13247267</v>
      </c>
      <c r="E317" s="5" t="str">
        <f ca="1">IFERROR(__xludf.DUMMYFUNCTION("""COMPUTED_VALUE"""),"INSPECCION SEMANAL DESCAPSULADORA")</f>
        <v>INSPECCION SEMANAL DESCAPSULADORA</v>
      </c>
      <c r="F317" s="5" t="str">
        <f ca="1">IFERROR(__xludf.DUMMYFUNCTION("""COMPUTED_VALUE"""),"Estado de sistema expulsión de tapas")</f>
        <v>Estado de sistema expulsión de tapas</v>
      </c>
      <c r="G317" s="5" t="b">
        <f ca="1">IFERROR(__xludf.DUMMYFUNCTION("""COMPUTED_VALUE"""),TRUE)</f>
        <v>1</v>
      </c>
      <c r="H317" s="5"/>
      <c r="I317" s="5"/>
      <c r="J317" s="5">
        <f ca="1">IFERROR(__xludf.DUMMYFUNCTION("""COMPUTED_VALUE"""),13247267)</f>
        <v>13247267</v>
      </c>
      <c r="K317" s="5"/>
      <c r="L317" s="18">
        <f ca="1">IFERROR(__xludf.DUMMYFUNCTION("""COMPUTED_VALUE"""),45324)</f>
        <v>45324</v>
      </c>
      <c r="M317" s="18">
        <f ca="1">IFERROR(__xludf.DUMMYFUNCTION("""COMPUTED_VALUE"""),45324)</f>
        <v>45324</v>
      </c>
      <c r="N317" s="5" t="str">
        <f ca="1">IFERROR(__xludf.DUMMYFUNCTION("""COMPUTED_VALUE"""),"Paz Paz Jhon Estiven")</f>
        <v>Paz Paz Jhon Estiven</v>
      </c>
      <c r="O317" s="2">
        <f ca="1">IFERROR(__xludf.DUMMYFUNCTION("""COMPUTED_VALUE"""),0.005555556)</f>
        <v>5.5555559999999997E-3</v>
      </c>
      <c r="P317" s="5">
        <f ca="1">IFERROR(__xludf.DUMMYFUNCTION("""COMPUTED_VALUE"""),20031102)</f>
        <v>20031102</v>
      </c>
      <c r="Q317" s="5" t="str">
        <f ca="1">IFERROR(__xludf.DUMMYFUNCTION("""COMPUTED_VALUE"""),"ekKY9u9JQSg")</f>
        <v>ekKY9u9JQSg</v>
      </c>
      <c r="R317" s="5">
        <f ca="1">IFERROR(__xludf.DUMMYFUNCTION("""COMPUTED_VALUE"""),410)</f>
        <v>410</v>
      </c>
      <c r="S317" s="62">
        <f ca="1">IFERROR(__xludf.DUMMYFUNCTION("""COMPUTED_VALUE"""),0.005555556)</f>
        <v>5.5555559999999997E-3</v>
      </c>
      <c r="T317" s="63" t="str">
        <f ca="1">IFERROR(__xludf.DUMMYFUNCTION("""COMPUTED_VALUE"""),"https://storage.googleapis.com/glide-prod.appspot.com/uploads-v2/ly7o78grxPaC6KdgvbpS/pub/3aRdSog0vUtuqPE8AJKD.png")</f>
        <v>https://storage.googleapis.com/glide-prod.appspot.com/uploads-v2/ly7o78grxPaC6KdgvbpS/pub/3aRdSog0vUtuqPE8AJKD.png</v>
      </c>
      <c r="U317" s="5" t="str">
        <f ca="1">IFERROR(__xludf.DUMMYFUNCTION("""COMPUTED_VALUE"""),"LINEA DE ENVASADO FAMILIAR Y PRBDESCAPSULADORA")</f>
        <v>LINEA DE ENVASADO FAMILIAR Y PRBDESCAPSULADORA</v>
      </c>
      <c r="V317" s="5"/>
      <c r="W317" s="5" t="b">
        <f ca="1">IFERROR(__xludf.DUMMYFUNCTION("""COMPUTED_VALUE"""),TRUE)</f>
        <v>1</v>
      </c>
      <c r="X317" s="5" t="str">
        <f ca="1">IFERROR(__xludf.DUMMYFUNCTION("""COMPUTED_VALUE"""),"wguerra@postobon.com.co,aprmttoyu@postobon.com.co,aprmyu@postobon.com.co,wmora@postobon.com.co,efzapata@postobon.com.co")</f>
        <v>wguerra@postobon.com.co,aprmttoyu@postobon.com.co,aprmyu@postobon.com.co,wmora@postobon.com.co,efzapata@postobon.com.co</v>
      </c>
      <c r="Y317" s="5" t="str">
        <f ca="1">IFERROR(__xludf.DUMMYFUNCTION("""COMPUTED_VALUE"""),"wguerra@postobon.com.co")</f>
        <v>wguerra@postobon.com.co</v>
      </c>
      <c r="Z317" s="5" t="str">
        <f ca="1">IFERROR(__xludf.DUMMYFUNCTION("""COMPUTED_VALUE"""),"EJGfh4zLSwa5JoISztcI0g")</f>
        <v>EJGfh4zLSwa5JoISztcI0g</v>
      </c>
      <c r="AA317" s="5"/>
      <c r="AB317" s="5"/>
      <c r="AC317" s="5"/>
      <c r="AD317" s="5">
        <f ca="1">IFERROR(__xludf.DUMMYFUNCTION("""COMPUTED_VALUE"""),62)</f>
        <v>62</v>
      </c>
      <c r="AE317" s="5">
        <f ca="1">IFERROR(__xludf.DUMMYFUNCTION("""COMPUTED_VALUE"""),62)</f>
        <v>62</v>
      </c>
      <c r="AF317" s="5" t="b">
        <f ca="1">IFERROR(__xludf.DUMMYFUNCTION("""COMPUTED_VALUE"""),FALSE)</f>
        <v>0</v>
      </c>
      <c r="AG317" s="5" t="str">
        <f ca="1">IFERROR(__xludf.DUMMYFUNCTION("""COMPUTED_VALUE"""),"INSPECCIONES REALIZADAS")</f>
        <v>INSPECCIONES REALIZADAS</v>
      </c>
      <c r="AH317" s="5"/>
    </row>
    <row r="318" spans="1:34">
      <c r="A318" s="5" t="str">
        <f ca="1">IFERROR(__xludf.DUMMYFUNCTION("""COMPUTED_VALUE"""),"LINEA DE ENVASADO FAMILIAR Y PRB")</f>
        <v>LINEA DE ENVASADO FAMILIAR Y PRB</v>
      </c>
      <c r="B318" s="5">
        <f ca="1">IFERROR(__xludf.DUMMYFUNCTION("""COMPUTED_VALUE"""),828083)</f>
        <v>828083</v>
      </c>
      <c r="C318" s="5" t="str">
        <f ca="1">IFERROR(__xludf.DUMMYFUNCTION("""COMPUTED_VALUE"""),"DESCAPSULADORA")</f>
        <v>DESCAPSULADORA</v>
      </c>
      <c r="D318" s="5">
        <f ca="1">IFERROR(__xludf.DUMMYFUNCTION("""COMPUTED_VALUE"""),13247267)</f>
        <v>13247267</v>
      </c>
      <c r="E318" s="5" t="str">
        <f ca="1">IFERROR(__xludf.DUMMYFUNCTION("""COMPUTED_VALUE"""),"INSPECCION SEMANAL DESCAPSULADORA")</f>
        <v>INSPECCION SEMANAL DESCAPSULADORA</v>
      </c>
      <c r="F318" s="5" t="str">
        <f ca="1">IFERROR(__xludf.DUMMYFUNCTION("""COMPUTED_VALUE"""),"Estado de cabezales")</f>
        <v>Estado de cabezales</v>
      </c>
      <c r="G318" s="5" t="b">
        <f ca="1">IFERROR(__xludf.DUMMYFUNCTION("""COMPUTED_VALUE"""),TRUE)</f>
        <v>1</v>
      </c>
      <c r="H318" s="5"/>
      <c r="I318" s="5"/>
      <c r="J318" s="5">
        <f ca="1">IFERROR(__xludf.DUMMYFUNCTION("""COMPUTED_VALUE"""),13247267)</f>
        <v>13247267</v>
      </c>
      <c r="K318" s="5"/>
      <c r="L318" s="18">
        <f ca="1">IFERROR(__xludf.DUMMYFUNCTION("""COMPUTED_VALUE"""),45324)</f>
        <v>45324</v>
      </c>
      <c r="M318" s="18">
        <f ca="1">IFERROR(__xludf.DUMMYFUNCTION("""COMPUTED_VALUE"""),45324)</f>
        <v>45324</v>
      </c>
      <c r="N318" s="5" t="str">
        <f ca="1">IFERROR(__xludf.DUMMYFUNCTION("""COMPUTED_VALUE"""),"Paz Paz Jhon Estiven")</f>
        <v>Paz Paz Jhon Estiven</v>
      </c>
      <c r="O318" s="2">
        <f ca="1">IFERROR(__xludf.DUMMYFUNCTION("""COMPUTED_VALUE"""),0.005555556)</f>
        <v>5.5555559999999997E-3</v>
      </c>
      <c r="P318" s="5">
        <f ca="1">IFERROR(__xludf.DUMMYFUNCTION("""COMPUTED_VALUE"""),20031102)</f>
        <v>20031102</v>
      </c>
      <c r="Q318" s="5" t="str">
        <f ca="1">IFERROR(__xludf.DUMMYFUNCTION("""COMPUTED_VALUE"""),"OZyZjlYxOFo")</f>
        <v>OZyZjlYxOFo</v>
      </c>
      <c r="R318" s="5">
        <f ca="1">IFERROR(__xludf.DUMMYFUNCTION("""COMPUTED_VALUE"""),410)</f>
        <v>410</v>
      </c>
      <c r="S318" s="62">
        <f ca="1">IFERROR(__xludf.DUMMYFUNCTION("""COMPUTED_VALUE"""),0.005555556)</f>
        <v>5.5555559999999997E-3</v>
      </c>
      <c r="T318" s="63" t="str">
        <f ca="1">IFERROR(__xludf.DUMMYFUNCTION("""COMPUTED_VALUE"""),"https://storage.googleapis.com/glide-prod.appspot.com/uploads-v2/ly7o78grxPaC6KdgvbpS/pub/3aRdSog0vUtuqPE8AJKD.png")</f>
        <v>https://storage.googleapis.com/glide-prod.appspot.com/uploads-v2/ly7o78grxPaC6KdgvbpS/pub/3aRdSog0vUtuqPE8AJKD.png</v>
      </c>
      <c r="U318" s="5" t="str">
        <f ca="1">IFERROR(__xludf.DUMMYFUNCTION("""COMPUTED_VALUE"""),"LINEA DE ENVASADO FAMILIAR Y PRBDESCAPSULADORA")</f>
        <v>LINEA DE ENVASADO FAMILIAR Y PRBDESCAPSULADORA</v>
      </c>
      <c r="V318" s="5"/>
      <c r="W318" s="5" t="b">
        <f ca="1">IFERROR(__xludf.DUMMYFUNCTION("""COMPUTED_VALUE"""),TRUE)</f>
        <v>1</v>
      </c>
      <c r="X318" s="5" t="str">
        <f ca="1">IFERROR(__xludf.DUMMYFUNCTION("""COMPUTED_VALUE"""),"wguerra@postobon.com.co,aprmttoyu@postobon.com.co,aprmyu@postobon.com.co,wmora@postobon.com.co,efzapata@postobon.com.co")</f>
        <v>wguerra@postobon.com.co,aprmttoyu@postobon.com.co,aprmyu@postobon.com.co,wmora@postobon.com.co,efzapata@postobon.com.co</v>
      </c>
      <c r="Y318" s="5" t="str">
        <f ca="1">IFERROR(__xludf.DUMMYFUNCTION("""COMPUTED_VALUE"""),"wguerra@postobon.com.co")</f>
        <v>wguerra@postobon.com.co</v>
      </c>
      <c r="Z318" s="5" t="str">
        <f ca="1">IFERROR(__xludf.DUMMYFUNCTION("""COMPUTED_VALUE"""),"WOJT81cZRROnkxEm19XE6w")</f>
        <v>WOJT81cZRROnkxEm19XE6w</v>
      </c>
      <c r="AA318" s="5"/>
      <c r="AB318" s="5"/>
      <c r="AC318" s="5"/>
      <c r="AD318" s="5">
        <f ca="1">IFERROR(__xludf.DUMMYFUNCTION("""COMPUTED_VALUE"""),62)</f>
        <v>62</v>
      </c>
      <c r="AE318" s="5">
        <f ca="1">IFERROR(__xludf.DUMMYFUNCTION("""COMPUTED_VALUE"""),62)</f>
        <v>62</v>
      </c>
      <c r="AF318" s="5" t="b">
        <f ca="1">IFERROR(__xludf.DUMMYFUNCTION("""COMPUTED_VALUE"""),FALSE)</f>
        <v>0</v>
      </c>
      <c r="AG318" s="5" t="str">
        <f ca="1">IFERROR(__xludf.DUMMYFUNCTION("""COMPUTED_VALUE"""),"INSPECCIONES REALIZADAS")</f>
        <v>INSPECCIONES REALIZADAS</v>
      </c>
      <c r="AH318" s="5"/>
    </row>
    <row r="319" spans="1:34">
      <c r="A319" s="5" t="str">
        <f ca="1">IFERROR(__xludf.DUMMYFUNCTION("""COMPUTED_VALUE"""),"LINEA DE ENVASADO FAMILIAR Y PRB")</f>
        <v>LINEA DE ENVASADO FAMILIAR Y PRB</v>
      </c>
      <c r="B319" s="5">
        <f ca="1">IFERROR(__xludf.DUMMYFUNCTION("""COMPUTED_VALUE"""),828083)</f>
        <v>828083</v>
      </c>
      <c r="C319" s="5" t="str">
        <f ca="1">IFERROR(__xludf.DUMMYFUNCTION("""COMPUTED_VALUE"""),"DESCAPSULADORA")</f>
        <v>DESCAPSULADORA</v>
      </c>
      <c r="D319" s="5">
        <f ca="1">IFERROR(__xludf.DUMMYFUNCTION("""COMPUTED_VALUE"""),13247267)</f>
        <v>13247267</v>
      </c>
      <c r="E319" s="5" t="str">
        <f ca="1">IFERROR(__xludf.DUMMYFUNCTION("""COMPUTED_VALUE"""),"INSPECCION SEMANAL DESCAPSULADORA")</f>
        <v>INSPECCION SEMANAL DESCAPSULADORA</v>
      </c>
      <c r="F319" s="5" t="str">
        <f ca="1">IFERROR(__xludf.DUMMYFUNCTION("""COMPUTED_VALUE"""),"Estado electrovalvulas")</f>
        <v>Estado electrovalvulas</v>
      </c>
      <c r="G319" s="5" t="b">
        <f ca="1">IFERROR(__xludf.DUMMYFUNCTION("""COMPUTED_VALUE"""),TRUE)</f>
        <v>1</v>
      </c>
      <c r="H319" s="5"/>
      <c r="I319" s="5"/>
      <c r="J319" s="5">
        <f ca="1">IFERROR(__xludf.DUMMYFUNCTION("""COMPUTED_VALUE"""),13247267)</f>
        <v>13247267</v>
      </c>
      <c r="K319" s="5"/>
      <c r="L319" s="18">
        <f ca="1">IFERROR(__xludf.DUMMYFUNCTION("""COMPUTED_VALUE"""),45324)</f>
        <v>45324</v>
      </c>
      <c r="M319" s="18">
        <f ca="1">IFERROR(__xludf.DUMMYFUNCTION("""COMPUTED_VALUE"""),45324)</f>
        <v>45324</v>
      </c>
      <c r="N319" s="5" t="str">
        <f ca="1">IFERROR(__xludf.DUMMYFUNCTION("""COMPUTED_VALUE"""),"Paz Paz Jhon Estiven")</f>
        <v>Paz Paz Jhon Estiven</v>
      </c>
      <c r="O319" s="2">
        <f ca="1">IFERROR(__xludf.DUMMYFUNCTION("""COMPUTED_VALUE"""),0.005555556)</f>
        <v>5.5555559999999997E-3</v>
      </c>
      <c r="P319" s="5">
        <f ca="1">IFERROR(__xludf.DUMMYFUNCTION("""COMPUTED_VALUE"""),20031102)</f>
        <v>20031102</v>
      </c>
      <c r="Q319" s="5" t="str">
        <f ca="1">IFERROR(__xludf.DUMMYFUNCTION("""COMPUTED_VALUE"""),"sfptsNG4c94")</f>
        <v>sfptsNG4c94</v>
      </c>
      <c r="R319" s="5">
        <f ca="1">IFERROR(__xludf.DUMMYFUNCTION("""COMPUTED_VALUE"""),410)</f>
        <v>410</v>
      </c>
      <c r="S319" s="62">
        <f ca="1">IFERROR(__xludf.DUMMYFUNCTION("""COMPUTED_VALUE"""),0.005555556)</f>
        <v>5.5555559999999997E-3</v>
      </c>
      <c r="T319" s="63" t="str">
        <f ca="1">IFERROR(__xludf.DUMMYFUNCTION("""COMPUTED_VALUE"""),"https://storage.googleapis.com/glide-prod.appspot.com/uploads-v2/ly7o78grxPaC6KdgvbpS/pub/3aRdSog0vUtuqPE8AJKD.png")</f>
        <v>https://storage.googleapis.com/glide-prod.appspot.com/uploads-v2/ly7o78grxPaC6KdgvbpS/pub/3aRdSog0vUtuqPE8AJKD.png</v>
      </c>
      <c r="U319" s="5" t="str">
        <f ca="1">IFERROR(__xludf.DUMMYFUNCTION("""COMPUTED_VALUE"""),"LINEA DE ENVASADO FAMILIAR Y PRBDESCAPSULADORA")</f>
        <v>LINEA DE ENVASADO FAMILIAR Y PRBDESCAPSULADORA</v>
      </c>
      <c r="V319" s="5"/>
      <c r="W319" s="5" t="b">
        <f ca="1">IFERROR(__xludf.DUMMYFUNCTION("""COMPUTED_VALUE"""),TRUE)</f>
        <v>1</v>
      </c>
      <c r="X319" s="5" t="str">
        <f ca="1">IFERROR(__xludf.DUMMYFUNCTION("""COMPUTED_VALUE"""),"wguerra@postobon.com.co,aprmttoyu@postobon.com.co,aprmyu@postobon.com.co,wmora@postobon.com.co,efzapata@postobon.com.co")</f>
        <v>wguerra@postobon.com.co,aprmttoyu@postobon.com.co,aprmyu@postobon.com.co,wmora@postobon.com.co,efzapata@postobon.com.co</v>
      </c>
      <c r="Y319" s="5" t="str">
        <f ca="1">IFERROR(__xludf.DUMMYFUNCTION("""COMPUTED_VALUE"""),"wguerra@postobon.com.co")</f>
        <v>wguerra@postobon.com.co</v>
      </c>
      <c r="Z319" s="5" t="str">
        <f ca="1">IFERROR(__xludf.DUMMYFUNCTION("""COMPUTED_VALUE"""),"4vY4LjjzTT6QfrO8ySGffg")</f>
        <v>4vY4LjjzTT6QfrO8ySGffg</v>
      </c>
      <c r="AA319" s="5"/>
      <c r="AB319" s="5"/>
      <c r="AC319" s="5"/>
      <c r="AD319" s="5">
        <f ca="1">IFERROR(__xludf.DUMMYFUNCTION("""COMPUTED_VALUE"""),62)</f>
        <v>62</v>
      </c>
      <c r="AE319" s="5">
        <f ca="1">IFERROR(__xludf.DUMMYFUNCTION("""COMPUTED_VALUE"""),62)</f>
        <v>62</v>
      </c>
      <c r="AF319" s="5" t="b">
        <f ca="1">IFERROR(__xludf.DUMMYFUNCTION("""COMPUTED_VALUE"""),FALSE)</f>
        <v>0</v>
      </c>
      <c r="AG319" s="5" t="str">
        <f ca="1">IFERROR(__xludf.DUMMYFUNCTION("""COMPUTED_VALUE"""),"INSPECCIONES REALIZADAS")</f>
        <v>INSPECCIONES REALIZADAS</v>
      </c>
      <c r="AH319" s="5"/>
    </row>
    <row r="320" spans="1:34">
      <c r="A320" s="5" t="str">
        <f ca="1">IFERROR(__xludf.DUMMYFUNCTION("""COMPUTED_VALUE"""),"LINEA DE ENVASADO FAMILIAR Y PRB")</f>
        <v>LINEA DE ENVASADO FAMILIAR Y PRB</v>
      </c>
      <c r="B320" s="5">
        <f ca="1">IFERROR(__xludf.DUMMYFUNCTION("""COMPUTED_VALUE"""),828083)</f>
        <v>828083</v>
      </c>
      <c r="C320" s="5" t="str">
        <f ca="1">IFERROR(__xludf.DUMMYFUNCTION("""COMPUTED_VALUE"""),"DESCAPSULADORA")</f>
        <v>DESCAPSULADORA</v>
      </c>
      <c r="D320" s="5">
        <f ca="1">IFERROR(__xludf.DUMMYFUNCTION("""COMPUTED_VALUE"""),13247267)</f>
        <v>13247267</v>
      </c>
      <c r="E320" s="5" t="str">
        <f ca="1">IFERROR(__xludf.DUMMYFUNCTION("""COMPUTED_VALUE"""),"INSPECCION SEMANAL DESCAPSULADORA")</f>
        <v>INSPECCION SEMANAL DESCAPSULADORA</v>
      </c>
      <c r="F320" s="5" t="str">
        <f ca="1">IFERROR(__xludf.DUMMYFUNCTION("""COMPUTED_VALUE"""),"Estado Piñoneria")</f>
        <v>Estado Piñoneria</v>
      </c>
      <c r="G320" s="5" t="b">
        <f ca="1">IFERROR(__xludf.DUMMYFUNCTION("""COMPUTED_VALUE"""),TRUE)</f>
        <v>1</v>
      </c>
      <c r="H320" s="5"/>
      <c r="I320" s="5"/>
      <c r="J320" s="5">
        <f ca="1">IFERROR(__xludf.DUMMYFUNCTION("""COMPUTED_VALUE"""),13247267)</f>
        <v>13247267</v>
      </c>
      <c r="K320" s="5"/>
      <c r="L320" s="18">
        <f ca="1">IFERROR(__xludf.DUMMYFUNCTION("""COMPUTED_VALUE"""),45324)</f>
        <v>45324</v>
      </c>
      <c r="M320" s="18">
        <f ca="1">IFERROR(__xludf.DUMMYFUNCTION("""COMPUTED_VALUE"""),45324)</f>
        <v>45324</v>
      </c>
      <c r="N320" s="5" t="str">
        <f ca="1">IFERROR(__xludf.DUMMYFUNCTION("""COMPUTED_VALUE"""),"Paz Paz Jhon Estiven")</f>
        <v>Paz Paz Jhon Estiven</v>
      </c>
      <c r="O320" s="2">
        <f ca="1">IFERROR(__xludf.DUMMYFUNCTION("""COMPUTED_VALUE"""),0.005555556)</f>
        <v>5.5555559999999997E-3</v>
      </c>
      <c r="P320" s="5">
        <f ca="1">IFERROR(__xludf.DUMMYFUNCTION("""COMPUTED_VALUE"""),20031102)</f>
        <v>20031102</v>
      </c>
      <c r="Q320" s="5" t="str">
        <f ca="1">IFERROR(__xludf.DUMMYFUNCTION("""COMPUTED_VALUE"""),"HBjjG7UZ7n8")</f>
        <v>HBjjG7UZ7n8</v>
      </c>
      <c r="R320" s="5">
        <f ca="1">IFERROR(__xludf.DUMMYFUNCTION("""COMPUTED_VALUE"""),410)</f>
        <v>410</v>
      </c>
      <c r="S320" s="62">
        <f ca="1">IFERROR(__xludf.DUMMYFUNCTION("""COMPUTED_VALUE"""),0.005555556)</f>
        <v>5.5555559999999997E-3</v>
      </c>
      <c r="T320" s="63" t="str">
        <f ca="1">IFERROR(__xludf.DUMMYFUNCTION("""COMPUTED_VALUE"""),"https://storage.googleapis.com/glide-prod.appspot.com/uploads-v2/ly7o78grxPaC6KdgvbpS/pub/3aRdSog0vUtuqPE8AJKD.png")</f>
        <v>https://storage.googleapis.com/glide-prod.appspot.com/uploads-v2/ly7o78grxPaC6KdgvbpS/pub/3aRdSog0vUtuqPE8AJKD.png</v>
      </c>
      <c r="U320" s="5" t="str">
        <f ca="1">IFERROR(__xludf.DUMMYFUNCTION("""COMPUTED_VALUE"""),"LINEA DE ENVASADO FAMILIAR Y PRBDESCAPSULADORA")</f>
        <v>LINEA DE ENVASADO FAMILIAR Y PRBDESCAPSULADORA</v>
      </c>
      <c r="V320" s="5"/>
      <c r="W320" s="5" t="b">
        <f ca="1">IFERROR(__xludf.DUMMYFUNCTION("""COMPUTED_VALUE"""),TRUE)</f>
        <v>1</v>
      </c>
      <c r="X320" s="5" t="str">
        <f ca="1">IFERROR(__xludf.DUMMYFUNCTION("""COMPUTED_VALUE"""),"wguerra@postobon.com.co,aprmttoyu@postobon.com.co,aprmyu@postobon.com.co,wmora@postobon.com.co,efzapata@postobon.com.co")</f>
        <v>wguerra@postobon.com.co,aprmttoyu@postobon.com.co,aprmyu@postobon.com.co,wmora@postobon.com.co,efzapata@postobon.com.co</v>
      </c>
      <c r="Y320" s="5" t="str">
        <f ca="1">IFERROR(__xludf.DUMMYFUNCTION("""COMPUTED_VALUE"""),"wguerra@postobon.com.co")</f>
        <v>wguerra@postobon.com.co</v>
      </c>
      <c r="Z320" s="5" t="str">
        <f ca="1">IFERROR(__xludf.DUMMYFUNCTION("""COMPUTED_VALUE"""),"UGOE31rRQnOR9TJOrXlx-w")</f>
        <v>UGOE31rRQnOR9TJOrXlx-w</v>
      </c>
      <c r="AA320" s="5"/>
      <c r="AB320" s="5"/>
      <c r="AC320" s="5"/>
      <c r="AD320" s="5">
        <f ca="1">IFERROR(__xludf.DUMMYFUNCTION("""COMPUTED_VALUE"""),62)</f>
        <v>62</v>
      </c>
      <c r="AE320" s="5">
        <f ca="1">IFERROR(__xludf.DUMMYFUNCTION("""COMPUTED_VALUE"""),62)</f>
        <v>62</v>
      </c>
      <c r="AF320" s="5" t="b">
        <f ca="1">IFERROR(__xludf.DUMMYFUNCTION("""COMPUTED_VALUE"""),FALSE)</f>
        <v>0</v>
      </c>
      <c r="AG320" s="5" t="str">
        <f ca="1">IFERROR(__xludf.DUMMYFUNCTION("""COMPUTED_VALUE"""),"INSPECCIONES REALIZADAS")</f>
        <v>INSPECCIONES REALIZADAS</v>
      </c>
      <c r="AH320" s="5"/>
    </row>
    <row r="321" spans="1:34">
      <c r="A321" s="5" t="str">
        <f ca="1">IFERROR(__xludf.DUMMYFUNCTION("""COMPUTED_VALUE"""),"LINEA DE ENVASADO FAMILIAR Y PRB")</f>
        <v>LINEA DE ENVASADO FAMILIAR Y PRB</v>
      </c>
      <c r="B321" s="5">
        <f ca="1">IFERROR(__xludf.DUMMYFUNCTION("""COMPUTED_VALUE"""),828083)</f>
        <v>828083</v>
      </c>
      <c r="C321" s="5" t="str">
        <f ca="1">IFERROR(__xludf.DUMMYFUNCTION("""COMPUTED_VALUE"""),"DESCAPSULADORA")</f>
        <v>DESCAPSULADORA</v>
      </c>
      <c r="D321" s="5">
        <f ca="1">IFERROR(__xludf.DUMMYFUNCTION("""COMPUTED_VALUE"""),13247267)</f>
        <v>13247267</v>
      </c>
      <c r="E321" s="5" t="str">
        <f ca="1">IFERROR(__xludf.DUMMYFUNCTION("""COMPUTED_VALUE"""),"INSPECCION SEMANAL DESCAPSULADORA")</f>
        <v>INSPECCION SEMANAL DESCAPSULADORA</v>
      </c>
      <c r="F321" s="5" t="str">
        <f ca="1">IFERROR(__xludf.DUMMYFUNCTION("""COMPUTED_VALUE"""),"Estado de correas y poleas de transmisión")</f>
        <v>Estado de correas y poleas de transmisión</v>
      </c>
      <c r="G321" s="5" t="b">
        <f ca="1">IFERROR(__xludf.DUMMYFUNCTION("""COMPUTED_VALUE"""),TRUE)</f>
        <v>1</v>
      </c>
      <c r="H321" s="5"/>
      <c r="I321" s="5"/>
      <c r="J321" s="5">
        <f ca="1">IFERROR(__xludf.DUMMYFUNCTION("""COMPUTED_VALUE"""),13247267)</f>
        <v>13247267</v>
      </c>
      <c r="K321" s="5"/>
      <c r="L321" s="18">
        <f ca="1">IFERROR(__xludf.DUMMYFUNCTION("""COMPUTED_VALUE"""),45324)</f>
        <v>45324</v>
      </c>
      <c r="M321" s="18">
        <f ca="1">IFERROR(__xludf.DUMMYFUNCTION("""COMPUTED_VALUE"""),45324)</f>
        <v>45324</v>
      </c>
      <c r="N321" s="5" t="str">
        <f ca="1">IFERROR(__xludf.DUMMYFUNCTION("""COMPUTED_VALUE"""),"Paz Paz Jhon Estiven")</f>
        <v>Paz Paz Jhon Estiven</v>
      </c>
      <c r="O321" s="2">
        <f ca="1">IFERROR(__xludf.DUMMYFUNCTION("""COMPUTED_VALUE"""),0.005555556)</f>
        <v>5.5555559999999997E-3</v>
      </c>
      <c r="P321" s="5">
        <f ca="1">IFERROR(__xludf.DUMMYFUNCTION("""COMPUTED_VALUE"""),20031102)</f>
        <v>20031102</v>
      </c>
      <c r="Q321" s="5" t="str">
        <f ca="1">IFERROR(__xludf.DUMMYFUNCTION("""COMPUTED_VALUE"""),"RlTqnVat7Is")</f>
        <v>RlTqnVat7Is</v>
      </c>
      <c r="R321" s="5">
        <f ca="1">IFERROR(__xludf.DUMMYFUNCTION("""COMPUTED_VALUE"""),410)</f>
        <v>410</v>
      </c>
      <c r="S321" s="62">
        <f ca="1">IFERROR(__xludf.DUMMYFUNCTION("""COMPUTED_VALUE"""),0.005555556)</f>
        <v>5.5555559999999997E-3</v>
      </c>
      <c r="T321" s="63" t="str">
        <f ca="1">IFERROR(__xludf.DUMMYFUNCTION("""COMPUTED_VALUE"""),"https://storage.googleapis.com/glide-prod.appspot.com/uploads-v2/ly7o78grxPaC6KdgvbpS/pub/3aRdSog0vUtuqPE8AJKD.png")</f>
        <v>https://storage.googleapis.com/glide-prod.appspot.com/uploads-v2/ly7o78grxPaC6KdgvbpS/pub/3aRdSog0vUtuqPE8AJKD.png</v>
      </c>
      <c r="U321" s="5" t="str">
        <f ca="1">IFERROR(__xludf.DUMMYFUNCTION("""COMPUTED_VALUE"""),"LINEA DE ENVASADO FAMILIAR Y PRBDESCAPSULADORA")</f>
        <v>LINEA DE ENVASADO FAMILIAR Y PRBDESCAPSULADORA</v>
      </c>
      <c r="V321" s="5"/>
      <c r="W321" s="5" t="b">
        <f ca="1">IFERROR(__xludf.DUMMYFUNCTION("""COMPUTED_VALUE"""),TRUE)</f>
        <v>1</v>
      </c>
      <c r="X321" s="5" t="str">
        <f ca="1">IFERROR(__xludf.DUMMYFUNCTION("""COMPUTED_VALUE"""),"wguerra@postobon.com.co,aprmttoyu@postobon.com.co,aprmyu@postobon.com.co,wmora@postobon.com.co,efzapata@postobon.com.co")</f>
        <v>wguerra@postobon.com.co,aprmttoyu@postobon.com.co,aprmyu@postobon.com.co,wmora@postobon.com.co,efzapata@postobon.com.co</v>
      </c>
      <c r="Y321" s="5" t="str">
        <f ca="1">IFERROR(__xludf.DUMMYFUNCTION("""COMPUTED_VALUE"""),"wguerra@postobon.com.co")</f>
        <v>wguerra@postobon.com.co</v>
      </c>
      <c r="Z321" s="5" t="str">
        <f ca="1">IFERROR(__xludf.DUMMYFUNCTION("""COMPUTED_VALUE"""),"Jq7qAMqFSr2zBGHw61nAFw")</f>
        <v>Jq7qAMqFSr2zBGHw61nAFw</v>
      </c>
      <c r="AA321" s="5"/>
      <c r="AB321" s="5"/>
      <c r="AC321" s="5"/>
      <c r="AD321" s="5">
        <f ca="1">IFERROR(__xludf.DUMMYFUNCTION("""COMPUTED_VALUE"""),62)</f>
        <v>62</v>
      </c>
      <c r="AE321" s="5">
        <f ca="1">IFERROR(__xludf.DUMMYFUNCTION("""COMPUTED_VALUE"""),62)</f>
        <v>62</v>
      </c>
      <c r="AF321" s="5" t="b">
        <f ca="1">IFERROR(__xludf.DUMMYFUNCTION("""COMPUTED_VALUE"""),FALSE)</f>
        <v>0</v>
      </c>
      <c r="AG321" s="5" t="str">
        <f ca="1">IFERROR(__xludf.DUMMYFUNCTION("""COMPUTED_VALUE"""),"INSPECCIONES REALIZADAS")</f>
        <v>INSPECCIONES REALIZADAS</v>
      </c>
      <c r="AH321" s="5"/>
    </row>
    <row r="322" spans="1:34">
      <c r="A322" s="5" t="str">
        <f ca="1">IFERROR(__xludf.DUMMYFUNCTION("""COMPUTED_VALUE"""),"LINEA DE ENVASADO FAMILIAR Y PRB")</f>
        <v>LINEA DE ENVASADO FAMILIAR Y PRB</v>
      </c>
      <c r="B322" s="5">
        <f ca="1">IFERROR(__xludf.DUMMYFUNCTION("""COMPUTED_VALUE"""),828083)</f>
        <v>828083</v>
      </c>
      <c r="C322" s="5" t="str">
        <f ca="1">IFERROR(__xludf.DUMMYFUNCTION("""COMPUTED_VALUE"""),"DESCAPSULADORA")</f>
        <v>DESCAPSULADORA</v>
      </c>
      <c r="D322" s="5">
        <f ca="1">IFERROR(__xludf.DUMMYFUNCTION("""COMPUTED_VALUE"""),13247267)</f>
        <v>13247267</v>
      </c>
      <c r="E322" s="5" t="str">
        <f ca="1">IFERROR(__xludf.DUMMYFUNCTION("""COMPUTED_VALUE"""),"INSPECCION SEMANAL DESCAPSULADORA")</f>
        <v>INSPECCION SEMANAL DESCAPSULADORA</v>
      </c>
      <c r="F322" s="5" t="str">
        <f ca="1">IFERROR(__xludf.DUMMYFUNCTION("""COMPUTED_VALUE"""),"Estado de sensores")</f>
        <v>Estado de sensores</v>
      </c>
      <c r="G322" s="5" t="b">
        <f ca="1">IFERROR(__xludf.DUMMYFUNCTION("""COMPUTED_VALUE"""),TRUE)</f>
        <v>1</v>
      </c>
      <c r="H322" s="5"/>
      <c r="I322" s="5"/>
      <c r="J322" s="5">
        <f ca="1">IFERROR(__xludf.DUMMYFUNCTION("""COMPUTED_VALUE"""),13247267)</f>
        <v>13247267</v>
      </c>
      <c r="K322" s="5"/>
      <c r="L322" s="18">
        <f ca="1">IFERROR(__xludf.DUMMYFUNCTION("""COMPUTED_VALUE"""),45324)</f>
        <v>45324</v>
      </c>
      <c r="M322" s="18">
        <f ca="1">IFERROR(__xludf.DUMMYFUNCTION("""COMPUTED_VALUE"""),45324)</f>
        <v>45324</v>
      </c>
      <c r="N322" s="5" t="str">
        <f ca="1">IFERROR(__xludf.DUMMYFUNCTION("""COMPUTED_VALUE"""),"Paz Paz Jhon Estiven")</f>
        <v>Paz Paz Jhon Estiven</v>
      </c>
      <c r="O322" s="2">
        <f ca="1">IFERROR(__xludf.DUMMYFUNCTION("""COMPUTED_VALUE"""),0.005555556)</f>
        <v>5.5555559999999997E-3</v>
      </c>
      <c r="P322" s="5">
        <f ca="1">IFERROR(__xludf.DUMMYFUNCTION("""COMPUTED_VALUE"""),20031102)</f>
        <v>20031102</v>
      </c>
      <c r="Q322" s="5" t="str">
        <f ca="1">IFERROR(__xludf.DUMMYFUNCTION("""COMPUTED_VALUE"""),"lwV5CtIO5H4")</f>
        <v>lwV5CtIO5H4</v>
      </c>
      <c r="R322" s="5">
        <f ca="1">IFERROR(__xludf.DUMMYFUNCTION("""COMPUTED_VALUE"""),410)</f>
        <v>410</v>
      </c>
      <c r="S322" s="62">
        <f ca="1">IFERROR(__xludf.DUMMYFUNCTION("""COMPUTED_VALUE"""),0.005555556)</f>
        <v>5.5555559999999997E-3</v>
      </c>
      <c r="T322" s="63" t="str">
        <f ca="1">IFERROR(__xludf.DUMMYFUNCTION("""COMPUTED_VALUE"""),"https://storage.googleapis.com/glide-prod.appspot.com/uploads-v2/ly7o78grxPaC6KdgvbpS/pub/3aRdSog0vUtuqPE8AJKD.png")</f>
        <v>https://storage.googleapis.com/glide-prod.appspot.com/uploads-v2/ly7o78grxPaC6KdgvbpS/pub/3aRdSog0vUtuqPE8AJKD.png</v>
      </c>
      <c r="U322" s="5" t="str">
        <f ca="1">IFERROR(__xludf.DUMMYFUNCTION("""COMPUTED_VALUE"""),"LINEA DE ENVASADO FAMILIAR Y PRBDESCAPSULADORA")</f>
        <v>LINEA DE ENVASADO FAMILIAR Y PRBDESCAPSULADORA</v>
      </c>
      <c r="V322" s="5"/>
      <c r="W322" s="5" t="b">
        <f ca="1">IFERROR(__xludf.DUMMYFUNCTION("""COMPUTED_VALUE"""),TRUE)</f>
        <v>1</v>
      </c>
      <c r="X322" s="5" t="str">
        <f ca="1">IFERROR(__xludf.DUMMYFUNCTION("""COMPUTED_VALUE"""),"wguerra@postobon.com.co,aprmttoyu@postobon.com.co,aprmyu@postobon.com.co,wmora@postobon.com.co,efzapata@postobon.com.co")</f>
        <v>wguerra@postobon.com.co,aprmttoyu@postobon.com.co,aprmyu@postobon.com.co,wmora@postobon.com.co,efzapata@postobon.com.co</v>
      </c>
      <c r="Y322" s="5" t="str">
        <f ca="1">IFERROR(__xludf.DUMMYFUNCTION("""COMPUTED_VALUE"""),"wguerra@postobon.com.co")</f>
        <v>wguerra@postobon.com.co</v>
      </c>
      <c r="Z322" s="5" t="str">
        <f ca="1">IFERROR(__xludf.DUMMYFUNCTION("""COMPUTED_VALUE"""),"WtRsHoWlQXOp7v8DhaLe-w")</f>
        <v>WtRsHoWlQXOp7v8DhaLe-w</v>
      </c>
      <c r="AA322" s="5"/>
      <c r="AB322" s="5"/>
      <c r="AC322" s="5"/>
      <c r="AD322" s="5">
        <f ca="1">IFERROR(__xludf.DUMMYFUNCTION("""COMPUTED_VALUE"""),62)</f>
        <v>62</v>
      </c>
      <c r="AE322" s="5">
        <f ca="1">IFERROR(__xludf.DUMMYFUNCTION("""COMPUTED_VALUE"""),62)</f>
        <v>62</v>
      </c>
      <c r="AF322" s="5" t="b">
        <f ca="1">IFERROR(__xludf.DUMMYFUNCTION("""COMPUTED_VALUE"""),FALSE)</f>
        <v>0</v>
      </c>
      <c r="AG322" s="5" t="str">
        <f ca="1">IFERROR(__xludf.DUMMYFUNCTION("""COMPUTED_VALUE"""),"INSPECCIONES REALIZADAS")</f>
        <v>INSPECCIONES REALIZADAS</v>
      </c>
      <c r="AH322" s="5"/>
    </row>
    <row r="323" spans="1:34">
      <c r="A323" s="5" t="str">
        <f ca="1">IFERROR(__xludf.DUMMYFUNCTION("""COMPUTED_VALUE"""),"LINEA DE ENVASADO FAMILIAR Y PRB")</f>
        <v>LINEA DE ENVASADO FAMILIAR Y PRB</v>
      </c>
      <c r="B323" s="5">
        <f ca="1">IFERROR(__xludf.DUMMYFUNCTION("""COMPUTED_VALUE"""),828083)</f>
        <v>828083</v>
      </c>
      <c r="C323" s="5" t="str">
        <f ca="1">IFERROR(__xludf.DUMMYFUNCTION("""COMPUTED_VALUE"""),"DESCAPSULADORA")</f>
        <v>DESCAPSULADORA</v>
      </c>
      <c r="D323" s="5">
        <f ca="1">IFERROR(__xludf.DUMMYFUNCTION("""COMPUTED_VALUE"""),13247267)</f>
        <v>13247267</v>
      </c>
      <c r="E323" s="5" t="str">
        <f ca="1">IFERROR(__xludf.DUMMYFUNCTION("""COMPUTED_VALUE"""),"INSPECCION SEMANAL DESCAPSULADORA")</f>
        <v>INSPECCION SEMANAL DESCAPSULADORA</v>
      </c>
      <c r="F323" s="5" t="str">
        <f ca="1">IFERROR(__xludf.DUMMYFUNCTION("""COMPUTED_VALUE"""),"Estado y limpieza de extractor y/o climatizador tablero eléctrico")</f>
        <v>Estado y limpieza de extractor y/o climatizador tablero eléctrico</v>
      </c>
      <c r="G323" s="5" t="b">
        <f ca="1">IFERROR(__xludf.DUMMYFUNCTION("""COMPUTED_VALUE"""),TRUE)</f>
        <v>1</v>
      </c>
      <c r="H323" s="5"/>
      <c r="I323" s="5"/>
      <c r="J323" s="5">
        <f ca="1">IFERROR(__xludf.DUMMYFUNCTION("""COMPUTED_VALUE"""),13247267)</f>
        <v>13247267</v>
      </c>
      <c r="K323" s="5"/>
      <c r="L323" s="18">
        <f ca="1">IFERROR(__xludf.DUMMYFUNCTION("""COMPUTED_VALUE"""),45324)</f>
        <v>45324</v>
      </c>
      <c r="M323" s="18">
        <f ca="1">IFERROR(__xludf.DUMMYFUNCTION("""COMPUTED_VALUE"""),45324)</f>
        <v>45324</v>
      </c>
      <c r="N323" s="5" t="str">
        <f ca="1">IFERROR(__xludf.DUMMYFUNCTION("""COMPUTED_VALUE"""),"Paz Paz Jhon Estiven")</f>
        <v>Paz Paz Jhon Estiven</v>
      </c>
      <c r="O323" s="2">
        <f ca="1">IFERROR(__xludf.DUMMYFUNCTION("""COMPUTED_VALUE"""),0.005555556)</f>
        <v>5.5555559999999997E-3</v>
      </c>
      <c r="P323" s="5">
        <f ca="1">IFERROR(__xludf.DUMMYFUNCTION("""COMPUTED_VALUE"""),20031102)</f>
        <v>20031102</v>
      </c>
      <c r="Q323" s="5" t="str">
        <f ca="1">IFERROR(__xludf.DUMMYFUNCTION("""COMPUTED_VALUE"""),"tHgVggPo0VU")</f>
        <v>tHgVggPo0VU</v>
      </c>
      <c r="R323" s="5">
        <f ca="1">IFERROR(__xludf.DUMMYFUNCTION("""COMPUTED_VALUE"""),410)</f>
        <v>410</v>
      </c>
      <c r="S323" s="62">
        <f ca="1">IFERROR(__xludf.DUMMYFUNCTION("""COMPUTED_VALUE"""),0.005555556)</f>
        <v>5.5555559999999997E-3</v>
      </c>
      <c r="T323" s="63" t="str">
        <f ca="1">IFERROR(__xludf.DUMMYFUNCTION("""COMPUTED_VALUE"""),"https://storage.googleapis.com/glide-prod.appspot.com/uploads-v2/ly7o78grxPaC6KdgvbpS/pub/3aRdSog0vUtuqPE8AJKD.png")</f>
        <v>https://storage.googleapis.com/glide-prod.appspot.com/uploads-v2/ly7o78grxPaC6KdgvbpS/pub/3aRdSog0vUtuqPE8AJKD.png</v>
      </c>
      <c r="U323" s="5" t="str">
        <f ca="1">IFERROR(__xludf.DUMMYFUNCTION("""COMPUTED_VALUE"""),"LINEA DE ENVASADO FAMILIAR Y PRBDESCAPSULADORA")</f>
        <v>LINEA DE ENVASADO FAMILIAR Y PRBDESCAPSULADORA</v>
      </c>
      <c r="V323" s="5"/>
      <c r="W323" s="5" t="b">
        <f ca="1">IFERROR(__xludf.DUMMYFUNCTION("""COMPUTED_VALUE"""),TRUE)</f>
        <v>1</v>
      </c>
      <c r="X323" s="5" t="str">
        <f ca="1">IFERROR(__xludf.DUMMYFUNCTION("""COMPUTED_VALUE"""),"wguerra@postobon.com.co,aprmttoyu@postobon.com.co,aprmyu@postobon.com.co,wmora@postobon.com.co,efzapata@postobon.com.co")</f>
        <v>wguerra@postobon.com.co,aprmttoyu@postobon.com.co,aprmyu@postobon.com.co,wmora@postobon.com.co,efzapata@postobon.com.co</v>
      </c>
      <c r="Y323" s="5" t="str">
        <f ca="1">IFERROR(__xludf.DUMMYFUNCTION("""COMPUTED_VALUE"""),"wguerra@postobon.com.co")</f>
        <v>wguerra@postobon.com.co</v>
      </c>
      <c r="Z323" s="5" t="str">
        <f ca="1">IFERROR(__xludf.DUMMYFUNCTION("""COMPUTED_VALUE"""),"oQtG.3ffTlOw9p0opqo7jw")</f>
        <v>oQtG.3ffTlOw9p0opqo7jw</v>
      </c>
      <c r="AA323" s="5"/>
      <c r="AB323" s="5"/>
      <c r="AC323" s="5"/>
      <c r="AD323" s="5">
        <f ca="1">IFERROR(__xludf.DUMMYFUNCTION("""COMPUTED_VALUE"""),62)</f>
        <v>62</v>
      </c>
      <c r="AE323" s="5">
        <f ca="1">IFERROR(__xludf.DUMMYFUNCTION("""COMPUTED_VALUE"""),62)</f>
        <v>62</v>
      </c>
      <c r="AF323" s="5" t="b">
        <f ca="1">IFERROR(__xludf.DUMMYFUNCTION("""COMPUTED_VALUE"""),FALSE)</f>
        <v>0</v>
      </c>
      <c r="AG323" s="5" t="str">
        <f ca="1">IFERROR(__xludf.DUMMYFUNCTION("""COMPUTED_VALUE"""),"INSPECCIONES REALIZADAS")</f>
        <v>INSPECCIONES REALIZADAS</v>
      </c>
      <c r="AH323" s="5"/>
    </row>
    <row r="324" spans="1:34">
      <c r="A324" s="5" t="str">
        <f ca="1">IFERROR(__xludf.DUMMYFUNCTION("""COMPUTED_VALUE"""),"LINEA DE ENVASADO TAMAÑO PERSONAL")</f>
        <v>LINEA DE ENVASADO TAMAÑO PERSONAL</v>
      </c>
      <c r="B324" s="5">
        <f ca="1">IFERROR(__xludf.DUMMYFUNCTION("""COMPUTED_VALUE"""),558034)</f>
        <v>558034</v>
      </c>
      <c r="C324" s="5" t="str">
        <f ca="1">IFERROR(__xludf.DUMMYFUNCTION("""COMPUTED_VALUE"""),"DESEMPACADORA")</f>
        <v>DESEMPACADORA</v>
      </c>
      <c r="D324" s="5">
        <f ca="1">IFERROR(__xludf.DUMMYFUNCTION("""COMPUTED_VALUE"""),13247620)</f>
        <v>13247620</v>
      </c>
      <c r="E324" s="5" t="str">
        <f ca="1">IFERROR(__xludf.DUMMYFUNCTION("""COMPUTED_VALUE"""),"INSPECCION SEMANAL DESEMPACADORA")</f>
        <v>INSPECCION SEMANAL DESEMPACADORA</v>
      </c>
      <c r="F324" s="5" t="str">
        <f ca="1">IFERROR(__xludf.DUMMYFUNCTION("""COMPUTED_VALUE"""),"Fugas de aire o aceite")</f>
        <v>Fugas de aire o aceite</v>
      </c>
      <c r="G324" s="5" t="b">
        <f ca="1">IFERROR(__xludf.DUMMYFUNCTION("""COMPUTED_VALUE"""),TRUE)</f>
        <v>1</v>
      </c>
      <c r="H324" s="5"/>
      <c r="I324" s="5"/>
      <c r="J324" s="5">
        <f ca="1">IFERROR(__xludf.DUMMYFUNCTION("""COMPUTED_VALUE"""),13247620)</f>
        <v>13247620</v>
      </c>
      <c r="K324" s="5"/>
      <c r="L324" s="18">
        <f ca="1">IFERROR(__xludf.DUMMYFUNCTION("""COMPUTED_VALUE"""),45325)</f>
        <v>45325</v>
      </c>
      <c r="M324" s="18">
        <f ca="1">IFERROR(__xludf.DUMMYFUNCTION("""COMPUTED_VALUE"""),45325)</f>
        <v>45325</v>
      </c>
      <c r="N324" s="5" t="str">
        <f ca="1">IFERROR(__xludf.DUMMYFUNCTION("""COMPUTED_VALUE"""),"Andrés Felipe Pérez Polania")</f>
        <v>Andrés Felipe Pérez Polania</v>
      </c>
      <c r="O324" s="2">
        <f ca="1">IFERROR(__xludf.DUMMYFUNCTION("""COMPUTED_VALUE"""),0.005555556)</f>
        <v>5.5555559999999997E-3</v>
      </c>
      <c r="P324" s="5">
        <f ca="1">IFERROR(__xludf.DUMMYFUNCTION("""COMPUTED_VALUE"""),1919044)</f>
        <v>1919044</v>
      </c>
      <c r="Q324" s="5" t="str">
        <f ca="1">IFERROR(__xludf.DUMMYFUNCTION("""COMPUTED_VALUE"""),"2rniLz0As_o")</f>
        <v>2rniLz0As_o</v>
      </c>
      <c r="R324" s="5">
        <f ca="1">IFERROR(__xludf.DUMMYFUNCTION("""COMPUTED_VALUE"""),410)</f>
        <v>410</v>
      </c>
      <c r="S324" s="62">
        <f ca="1">IFERROR(__xludf.DUMMYFUNCTION("""COMPUTED_VALUE"""),0.005555556)</f>
        <v>5.5555559999999997E-3</v>
      </c>
      <c r="T324" s="63" t="str">
        <f ca="1">IFERROR(__xludf.DUMMYFUNCTION("""COMPUTED_VALUE"""),"https://storage.googleapis.com/glide-prod.appspot.com/uploads-v2/ly7o78grxPaC6KdgvbpS/pub/3aRdSog0vUtuqPE8AJKD.png")</f>
        <v>https://storage.googleapis.com/glide-prod.appspot.com/uploads-v2/ly7o78grxPaC6KdgvbpS/pub/3aRdSog0vUtuqPE8AJKD.png</v>
      </c>
      <c r="U324" s="5" t="str">
        <f ca="1">IFERROR(__xludf.DUMMYFUNCTION("""COMPUTED_VALUE"""),"LINEA DE ENVASADO TAMAÑO PERSONALDESEMPACADORA")</f>
        <v>LINEA DE ENVASADO TAMAÑO PERSONALDESEMPACADORA</v>
      </c>
      <c r="V324" s="5"/>
      <c r="W324" s="5" t="b">
        <f ca="1">IFERROR(__xludf.DUMMYFUNCTION("""COMPUTED_VALUE"""),TRUE)</f>
        <v>1</v>
      </c>
      <c r="X324" s="5" t="str">
        <f ca="1">IFERROR(__xludf.DUMMYFUNCTION("""COMPUTED_VALUE"""),"wguerra@postobon.com.co,aprmttoyu@postobon.com.co,aprmyu@postobon.com.co,wmora@postobon.com.co,efzapata@postobon.com.co")</f>
        <v>wguerra@postobon.com.co,aprmttoyu@postobon.com.co,aprmyu@postobon.com.co,wmora@postobon.com.co,efzapata@postobon.com.co</v>
      </c>
      <c r="Y324" s="5" t="str">
        <f ca="1">IFERROR(__xludf.DUMMYFUNCTION("""COMPUTED_VALUE"""),"wguerra@postobon.com.co")</f>
        <v>wguerra@postobon.com.co</v>
      </c>
      <c r="Z324" s="5" t="str">
        <f ca="1">IFERROR(__xludf.DUMMYFUNCTION("""COMPUTED_VALUE"""),"7kFYqjyPSlqgInclO1Ib.w")</f>
        <v>7kFYqjyPSlqgInclO1Ib.w</v>
      </c>
      <c r="AA324" s="5"/>
      <c r="AB324" s="5"/>
      <c r="AC324" s="5"/>
      <c r="AD324" s="5">
        <f ca="1">IFERROR(__xludf.DUMMYFUNCTION("""COMPUTED_VALUE"""),63)</f>
        <v>63</v>
      </c>
      <c r="AE324" s="5">
        <f ca="1">IFERROR(__xludf.DUMMYFUNCTION("""COMPUTED_VALUE"""),63)</f>
        <v>63</v>
      </c>
      <c r="AF324" s="5" t="b">
        <f ca="1">IFERROR(__xludf.DUMMYFUNCTION("""COMPUTED_VALUE"""),FALSE)</f>
        <v>0</v>
      </c>
      <c r="AG324" s="5" t="str">
        <f ca="1">IFERROR(__xludf.DUMMYFUNCTION("""COMPUTED_VALUE"""),"INSPECCIONES REALIZADAS")</f>
        <v>INSPECCIONES REALIZADAS</v>
      </c>
      <c r="AH324" s="5"/>
    </row>
    <row r="325" spans="1:34">
      <c r="A325" s="5" t="str">
        <f ca="1">IFERROR(__xludf.DUMMYFUNCTION("""COMPUTED_VALUE"""),"LINEA DE ENVASADO TAMAÑO PERSONAL")</f>
        <v>LINEA DE ENVASADO TAMAÑO PERSONAL</v>
      </c>
      <c r="B325" s="5">
        <f ca="1">IFERROR(__xludf.DUMMYFUNCTION("""COMPUTED_VALUE"""),558034)</f>
        <v>558034</v>
      </c>
      <c r="C325" s="5" t="str">
        <f ca="1">IFERROR(__xludf.DUMMYFUNCTION("""COMPUTED_VALUE"""),"DESEMPACADORA")</f>
        <v>DESEMPACADORA</v>
      </c>
      <c r="D325" s="5">
        <f ca="1">IFERROR(__xludf.DUMMYFUNCTION("""COMPUTED_VALUE"""),13247620)</f>
        <v>13247620</v>
      </c>
      <c r="E325" s="5" t="str">
        <f ca="1">IFERROR(__xludf.DUMMYFUNCTION("""COMPUTED_VALUE"""),"INSPECCION SEMANAL DESEMPACADORA")</f>
        <v>INSPECCION SEMANAL DESEMPACADORA</v>
      </c>
      <c r="F325" s="5" t="str">
        <f ca="1">IFERROR(__xludf.DUMMYFUNCTION("""COMPUTED_VALUE"""),"Estado de pintura")</f>
        <v>Estado de pintura</v>
      </c>
      <c r="G325" s="5" t="b">
        <f ca="1">IFERROR(__xludf.DUMMYFUNCTION("""COMPUTED_VALUE"""),TRUE)</f>
        <v>1</v>
      </c>
      <c r="H325" s="5"/>
      <c r="I325" s="5"/>
      <c r="J325" s="5">
        <f ca="1">IFERROR(__xludf.DUMMYFUNCTION("""COMPUTED_VALUE"""),13247620)</f>
        <v>13247620</v>
      </c>
      <c r="K325" s="5"/>
      <c r="L325" s="18">
        <f ca="1">IFERROR(__xludf.DUMMYFUNCTION("""COMPUTED_VALUE"""),45325)</f>
        <v>45325</v>
      </c>
      <c r="M325" s="18">
        <f ca="1">IFERROR(__xludf.DUMMYFUNCTION("""COMPUTED_VALUE"""),45325)</f>
        <v>45325</v>
      </c>
      <c r="N325" s="5" t="str">
        <f ca="1">IFERROR(__xludf.DUMMYFUNCTION("""COMPUTED_VALUE"""),"Andrés Felipe Pérez Polania")</f>
        <v>Andrés Felipe Pérez Polania</v>
      </c>
      <c r="O325" s="2">
        <f ca="1">IFERROR(__xludf.DUMMYFUNCTION("""COMPUTED_VALUE"""),0.005555556)</f>
        <v>5.5555559999999997E-3</v>
      </c>
      <c r="P325" s="5">
        <f ca="1">IFERROR(__xludf.DUMMYFUNCTION("""COMPUTED_VALUE"""),1919044)</f>
        <v>1919044</v>
      </c>
      <c r="Q325" s="5" t="str">
        <f ca="1">IFERROR(__xludf.DUMMYFUNCTION("""COMPUTED_VALUE"""),"RF57tkaZ3J0")</f>
        <v>RF57tkaZ3J0</v>
      </c>
      <c r="R325" s="5">
        <f ca="1">IFERROR(__xludf.DUMMYFUNCTION("""COMPUTED_VALUE"""),410)</f>
        <v>410</v>
      </c>
      <c r="S325" s="62">
        <f ca="1">IFERROR(__xludf.DUMMYFUNCTION("""COMPUTED_VALUE"""),0.005555556)</f>
        <v>5.5555559999999997E-3</v>
      </c>
      <c r="T325" s="63" t="str">
        <f ca="1">IFERROR(__xludf.DUMMYFUNCTION("""COMPUTED_VALUE"""),"https://storage.googleapis.com/glide-prod.appspot.com/uploads-v2/ly7o78grxPaC6KdgvbpS/pub/3aRdSog0vUtuqPE8AJKD.png")</f>
        <v>https://storage.googleapis.com/glide-prod.appspot.com/uploads-v2/ly7o78grxPaC6KdgvbpS/pub/3aRdSog0vUtuqPE8AJKD.png</v>
      </c>
      <c r="U325" s="5" t="str">
        <f ca="1">IFERROR(__xludf.DUMMYFUNCTION("""COMPUTED_VALUE"""),"LINEA DE ENVASADO TAMAÑO PERSONALDESEMPACADORA")</f>
        <v>LINEA DE ENVASADO TAMAÑO PERSONALDESEMPACADORA</v>
      </c>
      <c r="V325" s="5"/>
      <c r="W325" s="5" t="b">
        <f ca="1">IFERROR(__xludf.DUMMYFUNCTION("""COMPUTED_VALUE"""),TRUE)</f>
        <v>1</v>
      </c>
      <c r="X325" s="5" t="str">
        <f ca="1">IFERROR(__xludf.DUMMYFUNCTION("""COMPUTED_VALUE"""),"wguerra@postobon.com.co,aprmttoyu@postobon.com.co,aprmyu@postobon.com.co,wmora@postobon.com.co,efzapata@postobon.com.co")</f>
        <v>wguerra@postobon.com.co,aprmttoyu@postobon.com.co,aprmyu@postobon.com.co,wmora@postobon.com.co,efzapata@postobon.com.co</v>
      </c>
      <c r="Y325" s="5" t="str">
        <f ca="1">IFERROR(__xludf.DUMMYFUNCTION("""COMPUTED_VALUE"""),"wguerra@postobon.com.co")</f>
        <v>wguerra@postobon.com.co</v>
      </c>
      <c r="Z325" s="5" t="str">
        <f ca="1">IFERROR(__xludf.DUMMYFUNCTION("""COMPUTED_VALUE"""),"XpHByhiKQ0i1dCptrhBY0A")</f>
        <v>XpHByhiKQ0i1dCptrhBY0A</v>
      </c>
      <c r="AA325" s="5"/>
      <c r="AB325" s="5"/>
      <c r="AC325" s="5"/>
      <c r="AD325" s="5">
        <f ca="1">IFERROR(__xludf.DUMMYFUNCTION("""COMPUTED_VALUE"""),63)</f>
        <v>63</v>
      </c>
      <c r="AE325" s="5">
        <f ca="1">IFERROR(__xludf.DUMMYFUNCTION("""COMPUTED_VALUE"""),63)</f>
        <v>63</v>
      </c>
      <c r="AF325" s="5" t="b">
        <f ca="1">IFERROR(__xludf.DUMMYFUNCTION("""COMPUTED_VALUE"""),FALSE)</f>
        <v>0</v>
      </c>
      <c r="AG325" s="5" t="str">
        <f ca="1">IFERROR(__xludf.DUMMYFUNCTION("""COMPUTED_VALUE"""),"INSPECCIONES REALIZADAS")</f>
        <v>INSPECCIONES REALIZADAS</v>
      </c>
      <c r="AH325" s="5"/>
    </row>
    <row r="326" spans="1:34">
      <c r="A326" s="5" t="str">
        <f ca="1">IFERROR(__xludf.DUMMYFUNCTION("""COMPUTED_VALUE"""),"LINEA DE ENVASADO TAMAÑO PERSONAL")</f>
        <v>LINEA DE ENVASADO TAMAÑO PERSONAL</v>
      </c>
      <c r="B326" s="5">
        <f ca="1">IFERROR(__xludf.DUMMYFUNCTION("""COMPUTED_VALUE"""),558034)</f>
        <v>558034</v>
      </c>
      <c r="C326" s="5" t="str">
        <f ca="1">IFERROR(__xludf.DUMMYFUNCTION("""COMPUTED_VALUE"""),"DESEMPACADORA")</f>
        <v>DESEMPACADORA</v>
      </c>
      <c r="D326" s="5">
        <f ca="1">IFERROR(__xludf.DUMMYFUNCTION("""COMPUTED_VALUE"""),13247620)</f>
        <v>13247620</v>
      </c>
      <c r="E326" s="5" t="str">
        <f ca="1">IFERROR(__xludf.DUMMYFUNCTION("""COMPUTED_VALUE"""),"INSPECCION SEMANAL DESEMPACADORA")</f>
        <v>INSPECCION SEMANAL DESEMPACADORA</v>
      </c>
      <c r="F326" s="5" t="str">
        <f ca="1">IFERROR(__xludf.DUMMYFUNCTION("""COMPUTED_VALUE"""),"Estado de las membranas y cabezote")</f>
        <v>Estado de las membranas y cabezote</v>
      </c>
      <c r="G326" s="5" t="b">
        <f ca="1">IFERROR(__xludf.DUMMYFUNCTION("""COMPUTED_VALUE"""),TRUE)</f>
        <v>1</v>
      </c>
      <c r="H326" s="5"/>
      <c r="I326" s="5"/>
      <c r="J326" s="5">
        <f ca="1">IFERROR(__xludf.DUMMYFUNCTION("""COMPUTED_VALUE"""),13247620)</f>
        <v>13247620</v>
      </c>
      <c r="K326" s="5"/>
      <c r="L326" s="18">
        <f ca="1">IFERROR(__xludf.DUMMYFUNCTION("""COMPUTED_VALUE"""),45325)</f>
        <v>45325</v>
      </c>
      <c r="M326" s="18">
        <f ca="1">IFERROR(__xludf.DUMMYFUNCTION("""COMPUTED_VALUE"""),45325)</f>
        <v>45325</v>
      </c>
      <c r="N326" s="5" t="str">
        <f ca="1">IFERROR(__xludf.DUMMYFUNCTION("""COMPUTED_VALUE"""),"Andrés Felipe Pérez Polania")</f>
        <v>Andrés Felipe Pérez Polania</v>
      </c>
      <c r="O326" s="2">
        <f ca="1">IFERROR(__xludf.DUMMYFUNCTION("""COMPUTED_VALUE"""),0.005555556)</f>
        <v>5.5555559999999997E-3</v>
      </c>
      <c r="P326" s="5">
        <f ca="1">IFERROR(__xludf.DUMMYFUNCTION("""COMPUTED_VALUE"""),1919044)</f>
        <v>1919044</v>
      </c>
      <c r="Q326" s="5" t="str">
        <f ca="1">IFERROR(__xludf.DUMMYFUNCTION("""COMPUTED_VALUE"""),"QvpL9CM5JnA")</f>
        <v>QvpL9CM5JnA</v>
      </c>
      <c r="R326" s="5">
        <f ca="1">IFERROR(__xludf.DUMMYFUNCTION("""COMPUTED_VALUE"""),410)</f>
        <v>410</v>
      </c>
      <c r="S326" s="62">
        <f ca="1">IFERROR(__xludf.DUMMYFUNCTION("""COMPUTED_VALUE"""),0.005555556)</f>
        <v>5.5555559999999997E-3</v>
      </c>
      <c r="T326" s="63" t="str">
        <f ca="1">IFERROR(__xludf.DUMMYFUNCTION("""COMPUTED_VALUE"""),"https://storage.googleapis.com/glide-prod.appspot.com/uploads-v2/ly7o78grxPaC6KdgvbpS/pub/3aRdSog0vUtuqPE8AJKD.png")</f>
        <v>https://storage.googleapis.com/glide-prod.appspot.com/uploads-v2/ly7o78grxPaC6KdgvbpS/pub/3aRdSog0vUtuqPE8AJKD.png</v>
      </c>
      <c r="U326" s="5" t="str">
        <f ca="1">IFERROR(__xludf.DUMMYFUNCTION("""COMPUTED_VALUE"""),"LINEA DE ENVASADO TAMAÑO PERSONALDESEMPACADORA")</f>
        <v>LINEA DE ENVASADO TAMAÑO PERSONALDESEMPACADORA</v>
      </c>
      <c r="V326" s="5"/>
      <c r="W326" s="5" t="b">
        <f ca="1">IFERROR(__xludf.DUMMYFUNCTION("""COMPUTED_VALUE"""),TRUE)</f>
        <v>1</v>
      </c>
      <c r="X326" s="5" t="str">
        <f ca="1">IFERROR(__xludf.DUMMYFUNCTION("""COMPUTED_VALUE"""),"wguerra@postobon.com.co,aprmttoyu@postobon.com.co,aprmyu@postobon.com.co,wmora@postobon.com.co,efzapata@postobon.com.co")</f>
        <v>wguerra@postobon.com.co,aprmttoyu@postobon.com.co,aprmyu@postobon.com.co,wmora@postobon.com.co,efzapata@postobon.com.co</v>
      </c>
      <c r="Y326" s="5" t="str">
        <f ca="1">IFERROR(__xludf.DUMMYFUNCTION("""COMPUTED_VALUE"""),"wguerra@postobon.com.co")</f>
        <v>wguerra@postobon.com.co</v>
      </c>
      <c r="Z326" s="5" t="str">
        <f ca="1">IFERROR(__xludf.DUMMYFUNCTION("""COMPUTED_VALUE"""),"S49f7OlJSSerntLe5kZQuw")</f>
        <v>S49f7OlJSSerntLe5kZQuw</v>
      </c>
      <c r="AA326" s="5"/>
      <c r="AB326" s="5"/>
      <c r="AC326" s="5"/>
      <c r="AD326" s="5">
        <f ca="1">IFERROR(__xludf.DUMMYFUNCTION("""COMPUTED_VALUE"""),63)</f>
        <v>63</v>
      </c>
      <c r="AE326" s="5">
        <f ca="1">IFERROR(__xludf.DUMMYFUNCTION("""COMPUTED_VALUE"""),63)</f>
        <v>63</v>
      </c>
      <c r="AF326" s="5" t="b">
        <f ca="1">IFERROR(__xludf.DUMMYFUNCTION("""COMPUTED_VALUE"""),FALSE)</f>
        <v>0</v>
      </c>
      <c r="AG326" s="5" t="str">
        <f ca="1">IFERROR(__xludf.DUMMYFUNCTION("""COMPUTED_VALUE"""),"INSPECCIONES REALIZADAS")</f>
        <v>INSPECCIONES REALIZADAS</v>
      </c>
      <c r="AH326" s="5"/>
    </row>
    <row r="327" spans="1:34">
      <c r="A327" s="5" t="str">
        <f ca="1">IFERROR(__xludf.DUMMYFUNCTION("""COMPUTED_VALUE"""),"LINEA DE ENVASADO TAMAÑO PERSONAL")</f>
        <v>LINEA DE ENVASADO TAMAÑO PERSONAL</v>
      </c>
      <c r="B327" s="5">
        <f ca="1">IFERROR(__xludf.DUMMYFUNCTION("""COMPUTED_VALUE"""),558034)</f>
        <v>558034</v>
      </c>
      <c r="C327" s="5" t="str">
        <f ca="1">IFERROR(__xludf.DUMMYFUNCTION("""COMPUTED_VALUE"""),"DESEMPACADORA")</f>
        <v>DESEMPACADORA</v>
      </c>
      <c r="D327" s="5">
        <f ca="1">IFERROR(__xludf.DUMMYFUNCTION("""COMPUTED_VALUE"""),13247620)</f>
        <v>13247620</v>
      </c>
      <c r="E327" s="5" t="str">
        <f ca="1">IFERROR(__xludf.DUMMYFUNCTION("""COMPUTED_VALUE"""),"INSPECCION SEMANAL DESEMPACADORA")</f>
        <v>INSPECCION SEMANAL DESEMPACADORA</v>
      </c>
      <c r="F327" s="5" t="str">
        <f ca="1">IFERROR(__xludf.DUMMYFUNCTION("""COMPUTED_VALUE"""),"Estado de tableros eléctricos de mando, control y potencia")</f>
        <v>Estado de tableros eléctricos de mando, control y potencia</v>
      </c>
      <c r="G327" s="5" t="b">
        <f ca="1">IFERROR(__xludf.DUMMYFUNCTION("""COMPUTED_VALUE"""),TRUE)</f>
        <v>1</v>
      </c>
      <c r="H327" s="5"/>
      <c r="I327" s="5"/>
      <c r="J327" s="5">
        <f ca="1">IFERROR(__xludf.DUMMYFUNCTION("""COMPUTED_VALUE"""),13247620)</f>
        <v>13247620</v>
      </c>
      <c r="K327" s="5"/>
      <c r="L327" s="18">
        <f ca="1">IFERROR(__xludf.DUMMYFUNCTION("""COMPUTED_VALUE"""),45325)</f>
        <v>45325</v>
      </c>
      <c r="M327" s="18">
        <f ca="1">IFERROR(__xludf.DUMMYFUNCTION("""COMPUTED_VALUE"""),45325)</f>
        <v>45325</v>
      </c>
      <c r="N327" s="5" t="str">
        <f ca="1">IFERROR(__xludf.DUMMYFUNCTION("""COMPUTED_VALUE"""),"Andrés Felipe Pérez Polania")</f>
        <v>Andrés Felipe Pérez Polania</v>
      </c>
      <c r="O327" s="2">
        <f ca="1">IFERROR(__xludf.DUMMYFUNCTION("""COMPUTED_VALUE"""),0.005555556)</f>
        <v>5.5555559999999997E-3</v>
      </c>
      <c r="P327" s="5">
        <f ca="1">IFERROR(__xludf.DUMMYFUNCTION("""COMPUTED_VALUE"""),1919044)</f>
        <v>1919044</v>
      </c>
      <c r="Q327" s="5" t="str">
        <f ca="1">IFERROR(__xludf.DUMMYFUNCTION("""COMPUTED_VALUE"""),"jT4gIDSVqEo")</f>
        <v>jT4gIDSVqEo</v>
      </c>
      <c r="R327" s="5">
        <f ca="1">IFERROR(__xludf.DUMMYFUNCTION("""COMPUTED_VALUE"""),410)</f>
        <v>410</v>
      </c>
      <c r="S327" s="62">
        <f ca="1">IFERROR(__xludf.DUMMYFUNCTION("""COMPUTED_VALUE"""),0.005555556)</f>
        <v>5.5555559999999997E-3</v>
      </c>
      <c r="T327" s="63" t="str">
        <f ca="1">IFERROR(__xludf.DUMMYFUNCTION("""COMPUTED_VALUE"""),"https://storage.googleapis.com/glide-prod.appspot.com/uploads-v2/ly7o78grxPaC6KdgvbpS/pub/3aRdSog0vUtuqPE8AJKD.png")</f>
        <v>https://storage.googleapis.com/glide-prod.appspot.com/uploads-v2/ly7o78grxPaC6KdgvbpS/pub/3aRdSog0vUtuqPE8AJKD.png</v>
      </c>
      <c r="U327" s="5" t="str">
        <f ca="1">IFERROR(__xludf.DUMMYFUNCTION("""COMPUTED_VALUE"""),"LINEA DE ENVASADO TAMAÑO PERSONALDESEMPACADORA")</f>
        <v>LINEA DE ENVASADO TAMAÑO PERSONALDESEMPACADORA</v>
      </c>
      <c r="V327" s="5"/>
      <c r="W327" s="5" t="b">
        <f ca="1">IFERROR(__xludf.DUMMYFUNCTION("""COMPUTED_VALUE"""),TRUE)</f>
        <v>1</v>
      </c>
      <c r="X327" s="5" t="str">
        <f ca="1">IFERROR(__xludf.DUMMYFUNCTION("""COMPUTED_VALUE"""),"wguerra@postobon.com.co,aprmttoyu@postobon.com.co,aprmyu@postobon.com.co,wmora@postobon.com.co,efzapata@postobon.com.co")</f>
        <v>wguerra@postobon.com.co,aprmttoyu@postobon.com.co,aprmyu@postobon.com.co,wmora@postobon.com.co,efzapata@postobon.com.co</v>
      </c>
      <c r="Y327" s="5" t="str">
        <f ca="1">IFERROR(__xludf.DUMMYFUNCTION("""COMPUTED_VALUE"""),"wguerra@postobon.com.co")</f>
        <v>wguerra@postobon.com.co</v>
      </c>
      <c r="Z327" s="5" t="str">
        <f ca="1">IFERROR(__xludf.DUMMYFUNCTION("""COMPUTED_VALUE"""),"5svwEjSLQdelK6BdygYKxw")</f>
        <v>5svwEjSLQdelK6BdygYKxw</v>
      </c>
      <c r="AA327" s="5"/>
      <c r="AB327" s="5"/>
      <c r="AC327" s="5"/>
      <c r="AD327" s="5">
        <f ca="1">IFERROR(__xludf.DUMMYFUNCTION("""COMPUTED_VALUE"""),63)</f>
        <v>63</v>
      </c>
      <c r="AE327" s="5">
        <f ca="1">IFERROR(__xludf.DUMMYFUNCTION("""COMPUTED_VALUE"""),63)</f>
        <v>63</v>
      </c>
      <c r="AF327" s="5" t="b">
        <f ca="1">IFERROR(__xludf.DUMMYFUNCTION("""COMPUTED_VALUE"""),FALSE)</f>
        <v>0</v>
      </c>
      <c r="AG327" s="5" t="str">
        <f ca="1">IFERROR(__xludf.DUMMYFUNCTION("""COMPUTED_VALUE"""),"INSPECCIONES REALIZADAS")</f>
        <v>INSPECCIONES REALIZADAS</v>
      </c>
      <c r="AH327" s="5" t="str">
        <f ca="1">IFERROR(__xludf.DUMMYFUNCTION("""COMPUTED_VALUE"""),"EN TRAMITE")</f>
        <v>EN TRAMITE</v>
      </c>
    </row>
    <row r="328" spans="1:34">
      <c r="A328" s="5" t="str">
        <f ca="1">IFERROR(__xludf.DUMMYFUNCTION("""COMPUTED_VALUE"""),"LINEA DE ENVASADO TAMAÑO PERSONAL")</f>
        <v>LINEA DE ENVASADO TAMAÑO PERSONAL</v>
      </c>
      <c r="B328" s="5">
        <f ca="1">IFERROR(__xludf.DUMMYFUNCTION("""COMPUTED_VALUE"""),558034)</f>
        <v>558034</v>
      </c>
      <c r="C328" s="5" t="str">
        <f ca="1">IFERROR(__xludf.DUMMYFUNCTION("""COMPUTED_VALUE"""),"DESEMPACADORA")</f>
        <v>DESEMPACADORA</v>
      </c>
      <c r="D328" s="5">
        <f ca="1">IFERROR(__xludf.DUMMYFUNCTION("""COMPUTED_VALUE"""),13247620)</f>
        <v>13247620</v>
      </c>
      <c r="E328" s="5" t="str">
        <f ca="1">IFERROR(__xludf.DUMMYFUNCTION("""COMPUTED_VALUE"""),"INSPECCION SEMANAL DESEMPACADORA")</f>
        <v>INSPECCION SEMANAL DESEMPACADORA</v>
      </c>
      <c r="F328" s="5" t="str">
        <f ca="1">IFERROR(__xludf.DUMMYFUNCTION("""COMPUTED_VALUE"""),"Estado mecánico general (chasis, pantógrafo, guardas, rotulas, bujes, pasadores, chumaceras y rodamientos)")</f>
        <v>Estado mecánico general (chasis, pantógrafo, guardas, rotulas, bujes, pasadores, chumaceras y rodamientos)</v>
      </c>
      <c r="G328" s="5" t="b">
        <f ca="1">IFERROR(__xludf.DUMMYFUNCTION("""COMPUTED_VALUE"""),TRUE)</f>
        <v>1</v>
      </c>
      <c r="H328" s="5"/>
      <c r="I328" s="5"/>
      <c r="J328" s="5">
        <f ca="1">IFERROR(__xludf.DUMMYFUNCTION("""COMPUTED_VALUE"""),13247620)</f>
        <v>13247620</v>
      </c>
      <c r="K328" s="5"/>
      <c r="L328" s="18">
        <f ca="1">IFERROR(__xludf.DUMMYFUNCTION("""COMPUTED_VALUE"""),45325)</f>
        <v>45325</v>
      </c>
      <c r="M328" s="18">
        <f ca="1">IFERROR(__xludf.DUMMYFUNCTION("""COMPUTED_VALUE"""),45325)</f>
        <v>45325</v>
      </c>
      <c r="N328" s="5" t="str">
        <f ca="1">IFERROR(__xludf.DUMMYFUNCTION("""COMPUTED_VALUE"""),"Andrés Felipe Pérez Polania")</f>
        <v>Andrés Felipe Pérez Polania</v>
      </c>
      <c r="O328" s="2">
        <f ca="1">IFERROR(__xludf.DUMMYFUNCTION("""COMPUTED_VALUE"""),0.005555556)</f>
        <v>5.5555559999999997E-3</v>
      </c>
      <c r="P328" s="5">
        <f ca="1">IFERROR(__xludf.DUMMYFUNCTION("""COMPUTED_VALUE"""),1919044)</f>
        <v>1919044</v>
      </c>
      <c r="Q328" s="5" t="str">
        <f ca="1">IFERROR(__xludf.DUMMYFUNCTION("""COMPUTED_VALUE"""),"HpHdQAxSkw0")</f>
        <v>HpHdQAxSkw0</v>
      </c>
      <c r="R328" s="5">
        <f ca="1">IFERROR(__xludf.DUMMYFUNCTION("""COMPUTED_VALUE"""),410)</f>
        <v>410</v>
      </c>
      <c r="S328" s="62">
        <f ca="1">IFERROR(__xludf.DUMMYFUNCTION("""COMPUTED_VALUE"""),0.005555556)</f>
        <v>5.5555559999999997E-3</v>
      </c>
      <c r="T328" s="63" t="str">
        <f ca="1">IFERROR(__xludf.DUMMYFUNCTION("""COMPUTED_VALUE"""),"https://storage.googleapis.com/glide-prod.appspot.com/uploads-v2/ly7o78grxPaC6KdgvbpS/pub/3aRdSog0vUtuqPE8AJKD.png")</f>
        <v>https://storage.googleapis.com/glide-prod.appspot.com/uploads-v2/ly7o78grxPaC6KdgvbpS/pub/3aRdSog0vUtuqPE8AJKD.png</v>
      </c>
      <c r="U328" s="5" t="str">
        <f ca="1">IFERROR(__xludf.DUMMYFUNCTION("""COMPUTED_VALUE"""),"LINEA DE ENVASADO TAMAÑO PERSONALDESEMPACADORA")</f>
        <v>LINEA DE ENVASADO TAMAÑO PERSONALDESEMPACADORA</v>
      </c>
      <c r="V328" s="5"/>
      <c r="W328" s="5" t="b">
        <f ca="1">IFERROR(__xludf.DUMMYFUNCTION("""COMPUTED_VALUE"""),TRUE)</f>
        <v>1</v>
      </c>
      <c r="X328" s="5" t="str">
        <f ca="1">IFERROR(__xludf.DUMMYFUNCTION("""COMPUTED_VALUE"""),"wguerra@postobon.com.co,aprmttoyu@postobon.com.co,aprmyu@postobon.com.co,wmora@postobon.com.co,efzapata@postobon.com.co")</f>
        <v>wguerra@postobon.com.co,aprmttoyu@postobon.com.co,aprmyu@postobon.com.co,wmora@postobon.com.co,efzapata@postobon.com.co</v>
      </c>
      <c r="Y328" s="5" t="str">
        <f ca="1">IFERROR(__xludf.DUMMYFUNCTION("""COMPUTED_VALUE"""),"wguerra@postobon.com.co")</f>
        <v>wguerra@postobon.com.co</v>
      </c>
      <c r="Z328" s="5" t="str">
        <f ca="1">IFERROR(__xludf.DUMMYFUNCTION("""COMPUTED_VALUE"""),"uM74aym7RyajlDhOsq8lnw")</f>
        <v>uM74aym7RyajlDhOsq8lnw</v>
      </c>
      <c r="AA328" s="5"/>
      <c r="AB328" s="5"/>
      <c r="AC328" s="5"/>
      <c r="AD328" s="5">
        <f ca="1">IFERROR(__xludf.DUMMYFUNCTION("""COMPUTED_VALUE"""),63)</f>
        <v>63</v>
      </c>
      <c r="AE328" s="5">
        <f ca="1">IFERROR(__xludf.DUMMYFUNCTION("""COMPUTED_VALUE"""),63)</f>
        <v>63</v>
      </c>
      <c r="AF328" s="5" t="b">
        <f ca="1">IFERROR(__xludf.DUMMYFUNCTION("""COMPUTED_VALUE"""),FALSE)</f>
        <v>0</v>
      </c>
      <c r="AG328" s="5" t="str">
        <f ca="1">IFERROR(__xludf.DUMMYFUNCTION("""COMPUTED_VALUE"""),"INSPECCIONES REALIZADAS")</f>
        <v>INSPECCIONES REALIZADAS</v>
      </c>
      <c r="AH328" s="5"/>
    </row>
    <row r="329" spans="1:34">
      <c r="A329" s="5" t="str">
        <f ca="1">IFERROR(__xludf.DUMMYFUNCTION("""COMPUTED_VALUE"""),"LINEA DE ENVASADO TAMAÑO PERSONAL")</f>
        <v>LINEA DE ENVASADO TAMAÑO PERSONAL</v>
      </c>
      <c r="B329" s="5">
        <f ca="1">IFERROR(__xludf.DUMMYFUNCTION("""COMPUTED_VALUE"""),558034)</f>
        <v>558034</v>
      </c>
      <c r="C329" s="5" t="str">
        <f ca="1">IFERROR(__xludf.DUMMYFUNCTION("""COMPUTED_VALUE"""),"DESEMPACADORA")</f>
        <v>DESEMPACADORA</v>
      </c>
      <c r="D329" s="5">
        <f ca="1">IFERROR(__xludf.DUMMYFUNCTION("""COMPUTED_VALUE"""),13247620)</f>
        <v>13247620</v>
      </c>
      <c r="E329" s="5" t="str">
        <f ca="1">IFERROR(__xludf.DUMMYFUNCTION("""COMPUTED_VALUE"""),"INSPECCION SEMANAL DESEMPACADORA")</f>
        <v>INSPECCION SEMANAL DESEMPACADORA</v>
      </c>
      <c r="F329" s="5" t="str">
        <f ca="1">IFERROR(__xludf.DUMMYFUNCTION("""COMPUTED_VALUE"""),"Estado de cadenas de transmision")</f>
        <v>Estado de cadenas de transmision</v>
      </c>
      <c r="G329" s="5" t="b">
        <f ca="1">IFERROR(__xludf.DUMMYFUNCTION("""COMPUTED_VALUE"""),TRUE)</f>
        <v>1</v>
      </c>
      <c r="H329" s="5"/>
      <c r="I329" s="5"/>
      <c r="J329" s="5">
        <f ca="1">IFERROR(__xludf.DUMMYFUNCTION("""COMPUTED_VALUE"""),13247620)</f>
        <v>13247620</v>
      </c>
      <c r="K329" s="5"/>
      <c r="L329" s="18">
        <f ca="1">IFERROR(__xludf.DUMMYFUNCTION("""COMPUTED_VALUE"""),45325)</f>
        <v>45325</v>
      </c>
      <c r="M329" s="18">
        <f ca="1">IFERROR(__xludf.DUMMYFUNCTION("""COMPUTED_VALUE"""),45325)</f>
        <v>45325</v>
      </c>
      <c r="N329" s="5" t="str">
        <f ca="1">IFERROR(__xludf.DUMMYFUNCTION("""COMPUTED_VALUE"""),"Andrés Felipe Pérez Polania")</f>
        <v>Andrés Felipe Pérez Polania</v>
      </c>
      <c r="O329" s="2">
        <f ca="1">IFERROR(__xludf.DUMMYFUNCTION("""COMPUTED_VALUE"""),0.005555556)</f>
        <v>5.5555559999999997E-3</v>
      </c>
      <c r="P329" s="5">
        <f ca="1">IFERROR(__xludf.DUMMYFUNCTION("""COMPUTED_VALUE"""),1919044)</f>
        <v>1919044</v>
      </c>
      <c r="Q329" s="5" t="str">
        <f ca="1">IFERROR(__xludf.DUMMYFUNCTION("""COMPUTED_VALUE"""),"K2RCFbBjmNE")</f>
        <v>K2RCFbBjmNE</v>
      </c>
      <c r="R329" s="5">
        <f ca="1">IFERROR(__xludf.DUMMYFUNCTION("""COMPUTED_VALUE"""),410)</f>
        <v>410</v>
      </c>
      <c r="S329" s="62">
        <f ca="1">IFERROR(__xludf.DUMMYFUNCTION("""COMPUTED_VALUE"""),0.005555556)</f>
        <v>5.5555559999999997E-3</v>
      </c>
      <c r="T329" s="63" t="str">
        <f ca="1">IFERROR(__xludf.DUMMYFUNCTION("""COMPUTED_VALUE"""),"https://storage.googleapis.com/glide-prod.appspot.com/uploads-v2/ly7o78grxPaC6KdgvbpS/pub/3aRdSog0vUtuqPE8AJKD.png")</f>
        <v>https://storage.googleapis.com/glide-prod.appspot.com/uploads-v2/ly7o78grxPaC6KdgvbpS/pub/3aRdSog0vUtuqPE8AJKD.png</v>
      </c>
      <c r="U329" s="5" t="str">
        <f ca="1">IFERROR(__xludf.DUMMYFUNCTION("""COMPUTED_VALUE"""),"LINEA DE ENVASADO TAMAÑO PERSONALDESEMPACADORA")</f>
        <v>LINEA DE ENVASADO TAMAÑO PERSONALDESEMPACADORA</v>
      </c>
      <c r="V329" s="5"/>
      <c r="W329" s="5" t="b">
        <f ca="1">IFERROR(__xludf.DUMMYFUNCTION("""COMPUTED_VALUE"""),TRUE)</f>
        <v>1</v>
      </c>
      <c r="X329" s="5" t="str">
        <f ca="1">IFERROR(__xludf.DUMMYFUNCTION("""COMPUTED_VALUE"""),"wguerra@postobon.com.co,aprmttoyu@postobon.com.co,aprmyu@postobon.com.co,wmora@postobon.com.co,efzapata@postobon.com.co")</f>
        <v>wguerra@postobon.com.co,aprmttoyu@postobon.com.co,aprmyu@postobon.com.co,wmora@postobon.com.co,efzapata@postobon.com.co</v>
      </c>
      <c r="Y329" s="5" t="str">
        <f ca="1">IFERROR(__xludf.DUMMYFUNCTION("""COMPUTED_VALUE"""),"wguerra@postobon.com.co")</f>
        <v>wguerra@postobon.com.co</v>
      </c>
      <c r="Z329" s="5" t="str">
        <f ca="1">IFERROR(__xludf.DUMMYFUNCTION("""COMPUTED_VALUE"""),"9OYnlp9KTpq2l8kVepPR-w")</f>
        <v>9OYnlp9KTpq2l8kVepPR-w</v>
      </c>
      <c r="AA329" s="5"/>
      <c r="AB329" s="5"/>
      <c r="AC329" s="5"/>
      <c r="AD329" s="5">
        <f ca="1">IFERROR(__xludf.DUMMYFUNCTION("""COMPUTED_VALUE"""),63)</f>
        <v>63</v>
      </c>
      <c r="AE329" s="5">
        <f ca="1">IFERROR(__xludf.DUMMYFUNCTION("""COMPUTED_VALUE"""),63)</f>
        <v>63</v>
      </c>
      <c r="AF329" s="5" t="b">
        <f ca="1">IFERROR(__xludf.DUMMYFUNCTION("""COMPUTED_VALUE"""),FALSE)</f>
        <v>0</v>
      </c>
      <c r="AG329" s="5" t="str">
        <f ca="1">IFERROR(__xludf.DUMMYFUNCTION("""COMPUTED_VALUE"""),"INSPECCIONES REALIZADAS")</f>
        <v>INSPECCIONES REALIZADAS</v>
      </c>
      <c r="AH329" s="5"/>
    </row>
    <row r="330" spans="1:34">
      <c r="A330" s="5" t="str">
        <f ca="1">IFERROR(__xludf.DUMMYFUNCTION("""COMPUTED_VALUE"""),"LINEA DE ENVASADO TAMAÑO PERSONAL")</f>
        <v>LINEA DE ENVASADO TAMAÑO PERSONAL</v>
      </c>
      <c r="B330" s="5">
        <f ca="1">IFERROR(__xludf.DUMMYFUNCTION("""COMPUTED_VALUE"""),558034)</f>
        <v>558034</v>
      </c>
      <c r="C330" s="5" t="str">
        <f ca="1">IFERROR(__xludf.DUMMYFUNCTION("""COMPUTED_VALUE"""),"DESEMPACADORA")</f>
        <v>DESEMPACADORA</v>
      </c>
      <c r="D330" s="5">
        <f ca="1">IFERROR(__xludf.DUMMYFUNCTION("""COMPUTED_VALUE"""),13247620)</f>
        <v>13247620</v>
      </c>
      <c r="E330" s="5" t="str">
        <f ca="1">IFERROR(__xludf.DUMMYFUNCTION("""COMPUTED_VALUE"""),"INSPECCION SEMANAL DESEMPACADORA")</f>
        <v>INSPECCION SEMANAL DESEMPACADORA</v>
      </c>
      <c r="F330" s="5" t="str">
        <f ca="1">IFERROR(__xludf.DUMMYFUNCTION("""COMPUTED_VALUE"""),"Estado de cadenas table top y piñones")</f>
        <v>Estado de cadenas table top y piñones</v>
      </c>
      <c r="G330" s="5" t="b">
        <f ca="1">IFERROR(__xludf.DUMMYFUNCTION("""COMPUTED_VALUE"""),TRUE)</f>
        <v>1</v>
      </c>
      <c r="H330" s="5"/>
      <c r="I330" s="5"/>
      <c r="J330" s="5">
        <f ca="1">IFERROR(__xludf.DUMMYFUNCTION("""COMPUTED_VALUE"""),13247620)</f>
        <v>13247620</v>
      </c>
      <c r="K330" s="5"/>
      <c r="L330" s="18">
        <f ca="1">IFERROR(__xludf.DUMMYFUNCTION("""COMPUTED_VALUE"""),45325)</f>
        <v>45325</v>
      </c>
      <c r="M330" s="18">
        <f ca="1">IFERROR(__xludf.DUMMYFUNCTION("""COMPUTED_VALUE"""),45325)</f>
        <v>45325</v>
      </c>
      <c r="N330" s="5" t="str">
        <f ca="1">IFERROR(__xludf.DUMMYFUNCTION("""COMPUTED_VALUE"""),"Andrés Felipe Pérez Polania")</f>
        <v>Andrés Felipe Pérez Polania</v>
      </c>
      <c r="O330" s="2">
        <f ca="1">IFERROR(__xludf.DUMMYFUNCTION("""COMPUTED_VALUE"""),0.005555556)</f>
        <v>5.5555559999999997E-3</v>
      </c>
      <c r="P330" s="5">
        <f ca="1">IFERROR(__xludf.DUMMYFUNCTION("""COMPUTED_VALUE"""),1919044)</f>
        <v>1919044</v>
      </c>
      <c r="Q330" s="5" t="str">
        <f ca="1">IFERROR(__xludf.DUMMYFUNCTION("""COMPUTED_VALUE"""),"sfeiqL-aKos")</f>
        <v>sfeiqL-aKos</v>
      </c>
      <c r="R330" s="5">
        <f ca="1">IFERROR(__xludf.DUMMYFUNCTION("""COMPUTED_VALUE"""),410)</f>
        <v>410</v>
      </c>
      <c r="S330" s="62">
        <f ca="1">IFERROR(__xludf.DUMMYFUNCTION("""COMPUTED_VALUE"""),0.005555556)</f>
        <v>5.5555559999999997E-3</v>
      </c>
      <c r="T330" s="63" t="str">
        <f ca="1">IFERROR(__xludf.DUMMYFUNCTION("""COMPUTED_VALUE"""),"https://storage.googleapis.com/glide-prod.appspot.com/uploads-v2/ly7o78grxPaC6KdgvbpS/pub/3aRdSog0vUtuqPE8AJKD.png")</f>
        <v>https://storage.googleapis.com/glide-prod.appspot.com/uploads-v2/ly7o78grxPaC6KdgvbpS/pub/3aRdSog0vUtuqPE8AJKD.png</v>
      </c>
      <c r="U330" s="5" t="str">
        <f ca="1">IFERROR(__xludf.DUMMYFUNCTION("""COMPUTED_VALUE"""),"LINEA DE ENVASADO TAMAÑO PERSONALDESEMPACADORA")</f>
        <v>LINEA DE ENVASADO TAMAÑO PERSONALDESEMPACADORA</v>
      </c>
      <c r="V330" s="5"/>
      <c r="W330" s="5" t="b">
        <f ca="1">IFERROR(__xludf.DUMMYFUNCTION("""COMPUTED_VALUE"""),TRUE)</f>
        <v>1</v>
      </c>
      <c r="X330" s="5" t="str">
        <f ca="1">IFERROR(__xludf.DUMMYFUNCTION("""COMPUTED_VALUE"""),"wguerra@postobon.com.co,aprmttoyu@postobon.com.co,aprmyu@postobon.com.co,wmora@postobon.com.co,efzapata@postobon.com.co")</f>
        <v>wguerra@postobon.com.co,aprmttoyu@postobon.com.co,aprmyu@postobon.com.co,wmora@postobon.com.co,efzapata@postobon.com.co</v>
      </c>
      <c r="Y330" s="5" t="str">
        <f ca="1">IFERROR(__xludf.DUMMYFUNCTION("""COMPUTED_VALUE"""),"wguerra@postobon.com.co")</f>
        <v>wguerra@postobon.com.co</v>
      </c>
      <c r="Z330" s="5" t="str">
        <f ca="1">IFERROR(__xludf.DUMMYFUNCTION("""COMPUTED_VALUE"""),"TXO9.uOVTnqtf5m5x3kyDw")</f>
        <v>TXO9.uOVTnqtf5m5x3kyDw</v>
      </c>
      <c r="AA330" s="5"/>
      <c r="AB330" s="5"/>
      <c r="AC330" s="5"/>
      <c r="AD330" s="5">
        <f ca="1">IFERROR(__xludf.DUMMYFUNCTION("""COMPUTED_VALUE"""),63)</f>
        <v>63</v>
      </c>
      <c r="AE330" s="5">
        <f ca="1">IFERROR(__xludf.DUMMYFUNCTION("""COMPUTED_VALUE"""),63)</f>
        <v>63</v>
      </c>
      <c r="AF330" s="5" t="b">
        <f ca="1">IFERROR(__xludf.DUMMYFUNCTION("""COMPUTED_VALUE"""),FALSE)</f>
        <v>0</v>
      </c>
      <c r="AG330" s="5" t="str">
        <f ca="1">IFERROR(__xludf.DUMMYFUNCTION("""COMPUTED_VALUE"""),"INSPECCIONES REALIZADAS")</f>
        <v>INSPECCIONES REALIZADAS</v>
      </c>
      <c r="AH330" s="5"/>
    </row>
    <row r="331" spans="1:34">
      <c r="A331" s="5" t="str">
        <f ca="1">IFERROR(__xludf.DUMMYFUNCTION("""COMPUTED_VALUE"""),"LINEA DE ENVASADO TAMAÑO PERSONAL")</f>
        <v>LINEA DE ENVASADO TAMAÑO PERSONAL</v>
      </c>
      <c r="B331" s="5">
        <f ca="1">IFERROR(__xludf.DUMMYFUNCTION("""COMPUTED_VALUE"""),558034)</f>
        <v>558034</v>
      </c>
      <c r="C331" s="5" t="str">
        <f ca="1">IFERROR(__xludf.DUMMYFUNCTION("""COMPUTED_VALUE"""),"DESEMPACADORA")</f>
        <v>DESEMPACADORA</v>
      </c>
      <c r="D331" s="5">
        <f ca="1">IFERROR(__xludf.DUMMYFUNCTION("""COMPUTED_VALUE"""),13247620)</f>
        <v>13247620</v>
      </c>
      <c r="E331" s="5" t="str">
        <f ca="1">IFERROR(__xludf.DUMMYFUNCTION("""COMPUTED_VALUE"""),"INSPECCION SEMANAL DESEMPACADORA")</f>
        <v>INSPECCION SEMANAL DESEMPACADORA</v>
      </c>
      <c r="F331" s="5" t="str">
        <f ca="1">IFERROR(__xludf.DUMMYFUNCTION("""COMPUTED_VALUE"""),"Estado unidad de mantenimiento neumatica")</f>
        <v>Estado unidad de mantenimiento neumatica</v>
      </c>
      <c r="G331" s="5" t="b">
        <f ca="1">IFERROR(__xludf.DUMMYFUNCTION("""COMPUTED_VALUE"""),TRUE)</f>
        <v>1</v>
      </c>
      <c r="H331" s="5"/>
      <c r="I331" s="5"/>
      <c r="J331" s="5">
        <f ca="1">IFERROR(__xludf.DUMMYFUNCTION("""COMPUTED_VALUE"""),13247620)</f>
        <v>13247620</v>
      </c>
      <c r="K331" s="5"/>
      <c r="L331" s="18">
        <f ca="1">IFERROR(__xludf.DUMMYFUNCTION("""COMPUTED_VALUE"""),45325)</f>
        <v>45325</v>
      </c>
      <c r="M331" s="18">
        <f ca="1">IFERROR(__xludf.DUMMYFUNCTION("""COMPUTED_VALUE"""),45325)</f>
        <v>45325</v>
      </c>
      <c r="N331" s="5" t="str">
        <f ca="1">IFERROR(__xludf.DUMMYFUNCTION("""COMPUTED_VALUE"""),"Andrés Felipe Pérez Polania")</f>
        <v>Andrés Felipe Pérez Polania</v>
      </c>
      <c r="O331" s="2">
        <f ca="1">IFERROR(__xludf.DUMMYFUNCTION("""COMPUTED_VALUE"""),0.005555556)</f>
        <v>5.5555559999999997E-3</v>
      </c>
      <c r="P331" s="5">
        <f ca="1">IFERROR(__xludf.DUMMYFUNCTION("""COMPUTED_VALUE"""),1919044)</f>
        <v>1919044</v>
      </c>
      <c r="Q331" s="5" t="str">
        <f ca="1">IFERROR(__xludf.DUMMYFUNCTION("""COMPUTED_VALUE"""),"y2cFLlAeeqc")</f>
        <v>y2cFLlAeeqc</v>
      </c>
      <c r="R331" s="5">
        <f ca="1">IFERROR(__xludf.DUMMYFUNCTION("""COMPUTED_VALUE"""),410)</f>
        <v>410</v>
      </c>
      <c r="S331" s="62">
        <f ca="1">IFERROR(__xludf.DUMMYFUNCTION("""COMPUTED_VALUE"""),0.005555556)</f>
        <v>5.5555559999999997E-3</v>
      </c>
      <c r="T331" s="63" t="str">
        <f ca="1">IFERROR(__xludf.DUMMYFUNCTION("""COMPUTED_VALUE"""),"https://storage.googleapis.com/glide-prod.appspot.com/uploads-v2/ly7o78grxPaC6KdgvbpS/pub/3aRdSog0vUtuqPE8AJKD.png")</f>
        <v>https://storage.googleapis.com/glide-prod.appspot.com/uploads-v2/ly7o78grxPaC6KdgvbpS/pub/3aRdSog0vUtuqPE8AJKD.png</v>
      </c>
      <c r="U331" s="5" t="str">
        <f ca="1">IFERROR(__xludf.DUMMYFUNCTION("""COMPUTED_VALUE"""),"LINEA DE ENVASADO TAMAÑO PERSONALDESEMPACADORA")</f>
        <v>LINEA DE ENVASADO TAMAÑO PERSONALDESEMPACADORA</v>
      </c>
      <c r="V331" s="5"/>
      <c r="W331" s="5" t="b">
        <f ca="1">IFERROR(__xludf.DUMMYFUNCTION("""COMPUTED_VALUE"""),TRUE)</f>
        <v>1</v>
      </c>
      <c r="X331" s="5" t="str">
        <f ca="1">IFERROR(__xludf.DUMMYFUNCTION("""COMPUTED_VALUE"""),"wguerra@postobon.com.co,aprmttoyu@postobon.com.co,aprmyu@postobon.com.co,wmora@postobon.com.co,efzapata@postobon.com.co")</f>
        <v>wguerra@postobon.com.co,aprmttoyu@postobon.com.co,aprmyu@postobon.com.co,wmora@postobon.com.co,efzapata@postobon.com.co</v>
      </c>
      <c r="Y331" s="5" t="str">
        <f ca="1">IFERROR(__xludf.DUMMYFUNCTION("""COMPUTED_VALUE"""),"wguerra@postobon.com.co")</f>
        <v>wguerra@postobon.com.co</v>
      </c>
      <c r="Z331" s="5" t="str">
        <f ca="1">IFERROR(__xludf.DUMMYFUNCTION("""COMPUTED_VALUE"""),"dq6E9BIASfeb.XKGG6Q4dQ")</f>
        <v>dq6E9BIASfeb.XKGG6Q4dQ</v>
      </c>
      <c r="AA331" s="5"/>
      <c r="AB331" s="5"/>
      <c r="AC331" s="5"/>
      <c r="AD331" s="5">
        <f ca="1">IFERROR(__xludf.DUMMYFUNCTION("""COMPUTED_VALUE"""),63)</f>
        <v>63</v>
      </c>
      <c r="AE331" s="5">
        <f ca="1">IFERROR(__xludf.DUMMYFUNCTION("""COMPUTED_VALUE"""),63)</f>
        <v>63</v>
      </c>
      <c r="AF331" s="5" t="b">
        <f ca="1">IFERROR(__xludf.DUMMYFUNCTION("""COMPUTED_VALUE"""),FALSE)</f>
        <v>0</v>
      </c>
      <c r="AG331" s="5" t="str">
        <f ca="1">IFERROR(__xludf.DUMMYFUNCTION("""COMPUTED_VALUE"""),"INSPECCIONES REALIZADAS")</f>
        <v>INSPECCIONES REALIZADAS</v>
      </c>
      <c r="AH331" s="5"/>
    </row>
    <row r="332" spans="1:34">
      <c r="A332" s="5" t="str">
        <f ca="1">IFERROR(__xludf.DUMMYFUNCTION("""COMPUTED_VALUE"""),"LINEA DE ENVASADO TAMAÑO PERSONAL")</f>
        <v>LINEA DE ENVASADO TAMAÑO PERSONAL</v>
      </c>
      <c r="B332" s="5">
        <f ca="1">IFERROR(__xludf.DUMMYFUNCTION("""COMPUTED_VALUE"""),558034)</f>
        <v>558034</v>
      </c>
      <c r="C332" s="5" t="str">
        <f ca="1">IFERROR(__xludf.DUMMYFUNCTION("""COMPUTED_VALUE"""),"DESEMPACADORA")</f>
        <v>DESEMPACADORA</v>
      </c>
      <c r="D332" s="5">
        <f ca="1">IFERROR(__xludf.DUMMYFUNCTION("""COMPUTED_VALUE"""),13247620)</f>
        <v>13247620</v>
      </c>
      <c r="E332" s="5" t="str">
        <f ca="1">IFERROR(__xludf.DUMMYFUNCTION("""COMPUTED_VALUE"""),"INSPECCION SEMANAL DESEMPACADORA")</f>
        <v>INSPECCION SEMANAL DESEMPACADORA</v>
      </c>
      <c r="F332" s="5" t="str">
        <f ca="1">IFERROR(__xludf.DUMMYFUNCTION("""COMPUTED_VALUE"""),"Estado de motores")</f>
        <v>Estado de motores</v>
      </c>
      <c r="G332" s="5" t="b">
        <f ca="1">IFERROR(__xludf.DUMMYFUNCTION("""COMPUTED_VALUE"""),TRUE)</f>
        <v>1</v>
      </c>
      <c r="H332" s="5"/>
      <c r="I332" s="5"/>
      <c r="J332" s="5">
        <f ca="1">IFERROR(__xludf.DUMMYFUNCTION("""COMPUTED_VALUE"""),13247620)</f>
        <v>13247620</v>
      </c>
      <c r="K332" s="5"/>
      <c r="L332" s="18">
        <f ca="1">IFERROR(__xludf.DUMMYFUNCTION("""COMPUTED_VALUE"""),45325)</f>
        <v>45325</v>
      </c>
      <c r="M332" s="18">
        <f ca="1">IFERROR(__xludf.DUMMYFUNCTION("""COMPUTED_VALUE"""),45325)</f>
        <v>45325</v>
      </c>
      <c r="N332" s="5" t="str">
        <f ca="1">IFERROR(__xludf.DUMMYFUNCTION("""COMPUTED_VALUE"""),"Andrés Felipe Pérez Polania")</f>
        <v>Andrés Felipe Pérez Polania</v>
      </c>
      <c r="O332" s="2">
        <f ca="1">IFERROR(__xludf.DUMMYFUNCTION("""COMPUTED_VALUE"""),0.005555556)</f>
        <v>5.5555559999999997E-3</v>
      </c>
      <c r="P332" s="5">
        <f ca="1">IFERROR(__xludf.DUMMYFUNCTION("""COMPUTED_VALUE"""),1919044)</f>
        <v>1919044</v>
      </c>
      <c r="Q332" s="5" t="str">
        <f ca="1">IFERROR(__xludf.DUMMYFUNCTION("""COMPUTED_VALUE"""),"zhCM9I91lo8")</f>
        <v>zhCM9I91lo8</v>
      </c>
      <c r="R332" s="5">
        <f ca="1">IFERROR(__xludf.DUMMYFUNCTION("""COMPUTED_VALUE"""),410)</f>
        <v>410</v>
      </c>
      <c r="S332" s="62">
        <f ca="1">IFERROR(__xludf.DUMMYFUNCTION("""COMPUTED_VALUE"""),0.005555556)</f>
        <v>5.5555559999999997E-3</v>
      </c>
      <c r="T332" s="63" t="str">
        <f ca="1">IFERROR(__xludf.DUMMYFUNCTION("""COMPUTED_VALUE"""),"https://storage.googleapis.com/glide-prod.appspot.com/uploads-v2/ly7o78grxPaC6KdgvbpS/pub/3aRdSog0vUtuqPE8AJKD.png")</f>
        <v>https://storage.googleapis.com/glide-prod.appspot.com/uploads-v2/ly7o78grxPaC6KdgvbpS/pub/3aRdSog0vUtuqPE8AJKD.png</v>
      </c>
      <c r="U332" s="5" t="str">
        <f ca="1">IFERROR(__xludf.DUMMYFUNCTION("""COMPUTED_VALUE"""),"LINEA DE ENVASADO TAMAÑO PERSONALDESEMPACADORA")</f>
        <v>LINEA DE ENVASADO TAMAÑO PERSONALDESEMPACADORA</v>
      </c>
      <c r="V332" s="5"/>
      <c r="W332" s="5" t="b">
        <f ca="1">IFERROR(__xludf.DUMMYFUNCTION("""COMPUTED_VALUE"""),TRUE)</f>
        <v>1</v>
      </c>
      <c r="X332" s="5" t="str">
        <f ca="1">IFERROR(__xludf.DUMMYFUNCTION("""COMPUTED_VALUE"""),"wguerra@postobon.com.co,aprmttoyu@postobon.com.co,aprmyu@postobon.com.co,wmora@postobon.com.co,efzapata@postobon.com.co")</f>
        <v>wguerra@postobon.com.co,aprmttoyu@postobon.com.co,aprmyu@postobon.com.co,wmora@postobon.com.co,efzapata@postobon.com.co</v>
      </c>
      <c r="Y332" s="5" t="str">
        <f ca="1">IFERROR(__xludf.DUMMYFUNCTION("""COMPUTED_VALUE"""),"wguerra@postobon.com.co")</f>
        <v>wguerra@postobon.com.co</v>
      </c>
      <c r="Z332" s="5" t="str">
        <f ca="1">IFERROR(__xludf.DUMMYFUNCTION("""COMPUTED_VALUE"""),"Pu0c12QBSqecInh7P5El1A")</f>
        <v>Pu0c12QBSqecInh7P5El1A</v>
      </c>
      <c r="AA332" s="5"/>
      <c r="AB332" s="5"/>
      <c r="AC332" s="5"/>
      <c r="AD332" s="5">
        <f ca="1">IFERROR(__xludf.DUMMYFUNCTION("""COMPUTED_VALUE"""),63)</f>
        <v>63</v>
      </c>
      <c r="AE332" s="5">
        <f ca="1">IFERROR(__xludf.DUMMYFUNCTION("""COMPUTED_VALUE"""),63)</f>
        <v>63</v>
      </c>
      <c r="AF332" s="5" t="b">
        <f ca="1">IFERROR(__xludf.DUMMYFUNCTION("""COMPUTED_VALUE"""),FALSE)</f>
        <v>0</v>
      </c>
      <c r="AG332" s="5" t="str">
        <f ca="1">IFERROR(__xludf.DUMMYFUNCTION("""COMPUTED_VALUE"""),"INSPECCIONES REALIZADAS")</f>
        <v>INSPECCIONES REALIZADAS</v>
      </c>
      <c r="AH332" s="5"/>
    </row>
    <row r="333" spans="1:34">
      <c r="A333" s="5" t="str">
        <f ca="1">IFERROR(__xludf.DUMMYFUNCTION("""COMPUTED_VALUE"""),"LINEA DE ENVASADO TAMAÑO PERSONAL")</f>
        <v>LINEA DE ENVASADO TAMAÑO PERSONAL</v>
      </c>
      <c r="B333" s="5">
        <f ca="1">IFERROR(__xludf.DUMMYFUNCTION("""COMPUTED_VALUE"""),558034)</f>
        <v>558034</v>
      </c>
      <c r="C333" s="5" t="str">
        <f ca="1">IFERROR(__xludf.DUMMYFUNCTION("""COMPUTED_VALUE"""),"DESEMPACADORA")</f>
        <v>DESEMPACADORA</v>
      </c>
      <c r="D333" s="5">
        <f ca="1">IFERROR(__xludf.DUMMYFUNCTION("""COMPUTED_VALUE"""),13247620)</f>
        <v>13247620</v>
      </c>
      <c r="E333" s="5" t="str">
        <f ca="1">IFERROR(__xludf.DUMMYFUNCTION("""COMPUTED_VALUE"""),"INSPECCION SEMANAL DESEMPACADORA")</f>
        <v>INSPECCION SEMANAL DESEMPACADORA</v>
      </c>
      <c r="F333" s="5" t="str">
        <f ca="1">IFERROR(__xludf.DUMMYFUNCTION("""COMPUTED_VALUE"""),"Estado de cajas reductoras")</f>
        <v>Estado de cajas reductoras</v>
      </c>
      <c r="G333" s="5" t="b">
        <f ca="1">IFERROR(__xludf.DUMMYFUNCTION("""COMPUTED_VALUE"""),TRUE)</f>
        <v>1</v>
      </c>
      <c r="H333" s="5"/>
      <c r="I333" s="5"/>
      <c r="J333" s="5">
        <f ca="1">IFERROR(__xludf.DUMMYFUNCTION("""COMPUTED_VALUE"""),13247620)</f>
        <v>13247620</v>
      </c>
      <c r="K333" s="5"/>
      <c r="L333" s="18">
        <f ca="1">IFERROR(__xludf.DUMMYFUNCTION("""COMPUTED_VALUE"""),45325)</f>
        <v>45325</v>
      </c>
      <c r="M333" s="18">
        <f ca="1">IFERROR(__xludf.DUMMYFUNCTION("""COMPUTED_VALUE"""),45325)</f>
        <v>45325</v>
      </c>
      <c r="N333" s="5" t="str">
        <f ca="1">IFERROR(__xludf.DUMMYFUNCTION("""COMPUTED_VALUE"""),"Andrés Felipe Pérez Polania")</f>
        <v>Andrés Felipe Pérez Polania</v>
      </c>
      <c r="O333" s="2">
        <f ca="1">IFERROR(__xludf.DUMMYFUNCTION("""COMPUTED_VALUE"""),0.005555556)</f>
        <v>5.5555559999999997E-3</v>
      </c>
      <c r="P333" s="5">
        <f ca="1">IFERROR(__xludf.DUMMYFUNCTION("""COMPUTED_VALUE"""),1919044)</f>
        <v>1919044</v>
      </c>
      <c r="Q333" s="5" t="str">
        <f ca="1">IFERROR(__xludf.DUMMYFUNCTION("""COMPUTED_VALUE"""),"XzQk5vwnFrg")</f>
        <v>XzQk5vwnFrg</v>
      </c>
      <c r="R333" s="5">
        <f ca="1">IFERROR(__xludf.DUMMYFUNCTION("""COMPUTED_VALUE"""),410)</f>
        <v>410</v>
      </c>
      <c r="S333" s="62">
        <f ca="1">IFERROR(__xludf.DUMMYFUNCTION("""COMPUTED_VALUE"""),0.005555556)</f>
        <v>5.5555559999999997E-3</v>
      </c>
      <c r="T333" s="63" t="str">
        <f ca="1">IFERROR(__xludf.DUMMYFUNCTION("""COMPUTED_VALUE"""),"https://storage.googleapis.com/glide-prod.appspot.com/uploads-v2/ly7o78grxPaC6KdgvbpS/pub/3aRdSog0vUtuqPE8AJKD.png")</f>
        <v>https://storage.googleapis.com/glide-prod.appspot.com/uploads-v2/ly7o78grxPaC6KdgvbpS/pub/3aRdSog0vUtuqPE8AJKD.png</v>
      </c>
      <c r="U333" s="5" t="str">
        <f ca="1">IFERROR(__xludf.DUMMYFUNCTION("""COMPUTED_VALUE"""),"LINEA DE ENVASADO TAMAÑO PERSONALDESEMPACADORA")</f>
        <v>LINEA DE ENVASADO TAMAÑO PERSONALDESEMPACADORA</v>
      </c>
      <c r="V333" s="5"/>
      <c r="W333" s="5" t="b">
        <f ca="1">IFERROR(__xludf.DUMMYFUNCTION("""COMPUTED_VALUE"""),TRUE)</f>
        <v>1</v>
      </c>
      <c r="X333" s="5" t="str">
        <f ca="1">IFERROR(__xludf.DUMMYFUNCTION("""COMPUTED_VALUE"""),"wguerra@postobon.com.co,aprmttoyu@postobon.com.co,aprmyu@postobon.com.co,wmora@postobon.com.co,efzapata@postobon.com.co")</f>
        <v>wguerra@postobon.com.co,aprmttoyu@postobon.com.co,aprmyu@postobon.com.co,wmora@postobon.com.co,efzapata@postobon.com.co</v>
      </c>
      <c r="Y333" s="5" t="str">
        <f ca="1">IFERROR(__xludf.DUMMYFUNCTION("""COMPUTED_VALUE"""),"wguerra@postobon.com.co")</f>
        <v>wguerra@postobon.com.co</v>
      </c>
      <c r="Z333" s="5" t="str">
        <f ca="1">IFERROR(__xludf.DUMMYFUNCTION("""COMPUTED_VALUE"""),"wGtXGCAZTbuInyBv4g0r9g")</f>
        <v>wGtXGCAZTbuInyBv4g0r9g</v>
      </c>
      <c r="AA333" s="5"/>
      <c r="AB333" s="5"/>
      <c r="AC333" s="5"/>
      <c r="AD333" s="5">
        <f ca="1">IFERROR(__xludf.DUMMYFUNCTION("""COMPUTED_VALUE"""),63)</f>
        <v>63</v>
      </c>
      <c r="AE333" s="5">
        <f ca="1">IFERROR(__xludf.DUMMYFUNCTION("""COMPUTED_VALUE"""),63)</f>
        <v>63</v>
      </c>
      <c r="AF333" s="5" t="b">
        <f ca="1">IFERROR(__xludf.DUMMYFUNCTION("""COMPUTED_VALUE"""),FALSE)</f>
        <v>0</v>
      </c>
      <c r="AG333" s="5" t="str">
        <f ca="1">IFERROR(__xludf.DUMMYFUNCTION("""COMPUTED_VALUE"""),"INSPECCIONES REALIZADAS")</f>
        <v>INSPECCIONES REALIZADAS</v>
      </c>
      <c r="AH333" s="5"/>
    </row>
    <row r="334" spans="1:34">
      <c r="A334" s="5" t="str">
        <f ca="1">IFERROR(__xludf.DUMMYFUNCTION("""COMPUTED_VALUE"""),"LINEA DE ENVASADO TAMAÑO PERSONAL")</f>
        <v>LINEA DE ENVASADO TAMAÑO PERSONAL</v>
      </c>
      <c r="B334" s="5">
        <f ca="1">IFERROR(__xludf.DUMMYFUNCTION("""COMPUTED_VALUE"""),558034)</f>
        <v>558034</v>
      </c>
      <c r="C334" s="5" t="str">
        <f ca="1">IFERROR(__xludf.DUMMYFUNCTION("""COMPUTED_VALUE"""),"DESEMPACADORA")</f>
        <v>DESEMPACADORA</v>
      </c>
      <c r="D334" s="5">
        <f ca="1">IFERROR(__xludf.DUMMYFUNCTION("""COMPUTED_VALUE"""),13247620)</f>
        <v>13247620</v>
      </c>
      <c r="E334" s="5" t="str">
        <f ca="1">IFERROR(__xludf.DUMMYFUNCTION("""COMPUTED_VALUE"""),"INSPECCION SEMANAL DESEMPACADORA")</f>
        <v>INSPECCION SEMANAL DESEMPACADORA</v>
      </c>
      <c r="F334" s="5" t="str">
        <f ca="1">IFERROR(__xludf.DUMMYFUNCTION("""COMPUTED_VALUE"""),"Estado de sensores")</f>
        <v>Estado de sensores</v>
      </c>
      <c r="G334" s="5" t="b">
        <f ca="1">IFERROR(__xludf.DUMMYFUNCTION("""COMPUTED_VALUE"""),TRUE)</f>
        <v>1</v>
      </c>
      <c r="H334" s="5"/>
      <c r="I334" s="5"/>
      <c r="J334" s="5">
        <f ca="1">IFERROR(__xludf.DUMMYFUNCTION("""COMPUTED_VALUE"""),13247620)</f>
        <v>13247620</v>
      </c>
      <c r="K334" s="5"/>
      <c r="L334" s="18">
        <f ca="1">IFERROR(__xludf.DUMMYFUNCTION("""COMPUTED_VALUE"""),45325)</f>
        <v>45325</v>
      </c>
      <c r="M334" s="18">
        <f ca="1">IFERROR(__xludf.DUMMYFUNCTION("""COMPUTED_VALUE"""),45325)</f>
        <v>45325</v>
      </c>
      <c r="N334" s="5" t="str">
        <f ca="1">IFERROR(__xludf.DUMMYFUNCTION("""COMPUTED_VALUE"""),"Andrés Felipe Pérez Polania")</f>
        <v>Andrés Felipe Pérez Polania</v>
      </c>
      <c r="O334" s="2">
        <f ca="1">IFERROR(__xludf.DUMMYFUNCTION("""COMPUTED_VALUE"""),0.005555556)</f>
        <v>5.5555559999999997E-3</v>
      </c>
      <c r="P334" s="5">
        <f ca="1">IFERROR(__xludf.DUMMYFUNCTION("""COMPUTED_VALUE"""),1919044)</f>
        <v>1919044</v>
      </c>
      <c r="Q334" s="5" t="str">
        <f ca="1">IFERROR(__xludf.DUMMYFUNCTION("""COMPUTED_VALUE"""),"61yP_gqzgeM")</f>
        <v>61yP_gqzgeM</v>
      </c>
      <c r="R334" s="5">
        <f ca="1">IFERROR(__xludf.DUMMYFUNCTION("""COMPUTED_VALUE"""),410)</f>
        <v>410</v>
      </c>
      <c r="S334" s="62">
        <f ca="1">IFERROR(__xludf.DUMMYFUNCTION("""COMPUTED_VALUE"""),0.005555556)</f>
        <v>5.5555559999999997E-3</v>
      </c>
      <c r="T334" s="63" t="str">
        <f ca="1">IFERROR(__xludf.DUMMYFUNCTION("""COMPUTED_VALUE"""),"https://storage.googleapis.com/glide-prod.appspot.com/uploads-v2/ly7o78grxPaC6KdgvbpS/pub/3aRdSog0vUtuqPE8AJKD.png")</f>
        <v>https://storage.googleapis.com/glide-prod.appspot.com/uploads-v2/ly7o78grxPaC6KdgvbpS/pub/3aRdSog0vUtuqPE8AJKD.png</v>
      </c>
      <c r="U334" s="5" t="str">
        <f ca="1">IFERROR(__xludf.DUMMYFUNCTION("""COMPUTED_VALUE"""),"LINEA DE ENVASADO TAMAÑO PERSONALDESEMPACADORA")</f>
        <v>LINEA DE ENVASADO TAMAÑO PERSONALDESEMPACADORA</v>
      </c>
      <c r="V334" s="5"/>
      <c r="W334" s="5" t="b">
        <f ca="1">IFERROR(__xludf.DUMMYFUNCTION("""COMPUTED_VALUE"""),TRUE)</f>
        <v>1</v>
      </c>
      <c r="X334" s="5" t="str">
        <f ca="1">IFERROR(__xludf.DUMMYFUNCTION("""COMPUTED_VALUE"""),"wguerra@postobon.com.co,aprmttoyu@postobon.com.co,aprmyu@postobon.com.co,wmora@postobon.com.co,efzapata@postobon.com.co")</f>
        <v>wguerra@postobon.com.co,aprmttoyu@postobon.com.co,aprmyu@postobon.com.co,wmora@postobon.com.co,efzapata@postobon.com.co</v>
      </c>
      <c r="Y334" s="5" t="str">
        <f ca="1">IFERROR(__xludf.DUMMYFUNCTION("""COMPUTED_VALUE"""),"wguerra@postobon.com.co")</f>
        <v>wguerra@postobon.com.co</v>
      </c>
      <c r="Z334" s="5" t="str">
        <f ca="1">IFERROR(__xludf.DUMMYFUNCTION("""COMPUTED_VALUE"""),"Qb-ymjowS1mm5eMZ2W8sxA")</f>
        <v>Qb-ymjowS1mm5eMZ2W8sxA</v>
      </c>
      <c r="AA334" s="5"/>
      <c r="AB334" s="5"/>
      <c r="AC334" s="5"/>
      <c r="AD334" s="5">
        <f ca="1">IFERROR(__xludf.DUMMYFUNCTION("""COMPUTED_VALUE"""),63)</f>
        <v>63</v>
      </c>
      <c r="AE334" s="5">
        <f ca="1">IFERROR(__xludf.DUMMYFUNCTION("""COMPUTED_VALUE"""),63)</f>
        <v>63</v>
      </c>
      <c r="AF334" s="5" t="b">
        <f ca="1">IFERROR(__xludf.DUMMYFUNCTION("""COMPUTED_VALUE"""),FALSE)</f>
        <v>0</v>
      </c>
      <c r="AG334" s="5" t="str">
        <f ca="1">IFERROR(__xludf.DUMMYFUNCTION("""COMPUTED_VALUE"""),"INSPECCIONES REALIZADAS")</f>
        <v>INSPECCIONES REALIZADAS</v>
      </c>
      <c r="AH334" s="5"/>
    </row>
    <row r="335" spans="1:34">
      <c r="A335" s="5" t="str">
        <f ca="1">IFERROR(__xludf.DUMMYFUNCTION("""COMPUTED_VALUE"""),"LINEA DE ENVASADO TAMAÑO PERSONAL")</f>
        <v>LINEA DE ENVASADO TAMAÑO PERSONAL</v>
      </c>
      <c r="B335" s="5">
        <f ca="1">IFERROR(__xludf.DUMMYFUNCTION("""COMPUTED_VALUE"""),558034)</f>
        <v>558034</v>
      </c>
      <c r="C335" s="5" t="str">
        <f ca="1">IFERROR(__xludf.DUMMYFUNCTION("""COMPUTED_VALUE"""),"DESEMPACADORA")</f>
        <v>DESEMPACADORA</v>
      </c>
      <c r="D335" s="5">
        <f ca="1">IFERROR(__xludf.DUMMYFUNCTION("""COMPUTED_VALUE"""),13247620)</f>
        <v>13247620</v>
      </c>
      <c r="E335" s="5" t="str">
        <f ca="1">IFERROR(__xludf.DUMMYFUNCTION("""COMPUTED_VALUE"""),"INSPECCION SEMANAL DESEMPACADORA")</f>
        <v>INSPECCION SEMANAL DESEMPACADORA</v>
      </c>
      <c r="F335" s="5" t="str">
        <f ca="1">IFERROR(__xludf.DUMMYFUNCTION("""COMPUTED_VALUE"""),"Estado de electroválvulas")</f>
        <v>Estado de electroválvulas</v>
      </c>
      <c r="G335" s="5" t="b">
        <f ca="1">IFERROR(__xludf.DUMMYFUNCTION("""COMPUTED_VALUE"""),TRUE)</f>
        <v>1</v>
      </c>
      <c r="H335" s="5"/>
      <c r="I335" s="5"/>
      <c r="J335" s="5">
        <f ca="1">IFERROR(__xludf.DUMMYFUNCTION("""COMPUTED_VALUE"""),13247620)</f>
        <v>13247620</v>
      </c>
      <c r="K335" s="5"/>
      <c r="L335" s="18">
        <f ca="1">IFERROR(__xludf.DUMMYFUNCTION("""COMPUTED_VALUE"""),45325)</f>
        <v>45325</v>
      </c>
      <c r="M335" s="18">
        <f ca="1">IFERROR(__xludf.DUMMYFUNCTION("""COMPUTED_VALUE"""),45325)</f>
        <v>45325</v>
      </c>
      <c r="N335" s="5" t="str">
        <f ca="1">IFERROR(__xludf.DUMMYFUNCTION("""COMPUTED_VALUE"""),"Andrés Felipe Pérez Polania")</f>
        <v>Andrés Felipe Pérez Polania</v>
      </c>
      <c r="O335" s="2">
        <f ca="1">IFERROR(__xludf.DUMMYFUNCTION("""COMPUTED_VALUE"""),0.005555556)</f>
        <v>5.5555559999999997E-3</v>
      </c>
      <c r="P335" s="5">
        <f ca="1">IFERROR(__xludf.DUMMYFUNCTION("""COMPUTED_VALUE"""),1919044)</f>
        <v>1919044</v>
      </c>
      <c r="Q335" s="5" t="str">
        <f ca="1">IFERROR(__xludf.DUMMYFUNCTION("""COMPUTED_VALUE"""),"mIUZNvZOBAg")</f>
        <v>mIUZNvZOBAg</v>
      </c>
      <c r="R335" s="5">
        <f ca="1">IFERROR(__xludf.DUMMYFUNCTION("""COMPUTED_VALUE"""),410)</f>
        <v>410</v>
      </c>
      <c r="S335" s="62">
        <f ca="1">IFERROR(__xludf.DUMMYFUNCTION("""COMPUTED_VALUE"""),0.005555556)</f>
        <v>5.5555559999999997E-3</v>
      </c>
      <c r="T335" s="63" t="str">
        <f ca="1">IFERROR(__xludf.DUMMYFUNCTION("""COMPUTED_VALUE"""),"https://storage.googleapis.com/glide-prod.appspot.com/uploads-v2/ly7o78grxPaC6KdgvbpS/pub/3aRdSog0vUtuqPE8AJKD.png")</f>
        <v>https://storage.googleapis.com/glide-prod.appspot.com/uploads-v2/ly7o78grxPaC6KdgvbpS/pub/3aRdSog0vUtuqPE8AJKD.png</v>
      </c>
      <c r="U335" s="5" t="str">
        <f ca="1">IFERROR(__xludf.DUMMYFUNCTION("""COMPUTED_VALUE"""),"LINEA DE ENVASADO TAMAÑO PERSONALDESEMPACADORA")</f>
        <v>LINEA DE ENVASADO TAMAÑO PERSONALDESEMPACADORA</v>
      </c>
      <c r="V335" s="5"/>
      <c r="W335" s="5" t="b">
        <f ca="1">IFERROR(__xludf.DUMMYFUNCTION("""COMPUTED_VALUE"""),TRUE)</f>
        <v>1</v>
      </c>
      <c r="X335" s="5" t="str">
        <f ca="1">IFERROR(__xludf.DUMMYFUNCTION("""COMPUTED_VALUE"""),"wguerra@postobon.com.co,aprmttoyu@postobon.com.co,aprmyu@postobon.com.co,wmora@postobon.com.co,efzapata@postobon.com.co")</f>
        <v>wguerra@postobon.com.co,aprmttoyu@postobon.com.co,aprmyu@postobon.com.co,wmora@postobon.com.co,efzapata@postobon.com.co</v>
      </c>
      <c r="Y335" s="5" t="str">
        <f ca="1">IFERROR(__xludf.DUMMYFUNCTION("""COMPUTED_VALUE"""),"wguerra@postobon.com.co")</f>
        <v>wguerra@postobon.com.co</v>
      </c>
      <c r="Z335" s="5" t="str">
        <f ca="1">IFERROR(__xludf.DUMMYFUNCTION("""COMPUTED_VALUE"""),"a.okC5bcGTVeyPfAPhM4EVw")</f>
        <v>a.okC5bcGTVeyPfAPhM4EVw</v>
      </c>
      <c r="AA335" s="5"/>
      <c r="AB335" s="5"/>
      <c r="AC335" s="5"/>
      <c r="AD335" s="5">
        <f ca="1">IFERROR(__xludf.DUMMYFUNCTION("""COMPUTED_VALUE"""),63)</f>
        <v>63</v>
      </c>
      <c r="AE335" s="5">
        <f ca="1">IFERROR(__xludf.DUMMYFUNCTION("""COMPUTED_VALUE"""),63)</f>
        <v>63</v>
      </c>
      <c r="AF335" s="5" t="b">
        <f ca="1">IFERROR(__xludf.DUMMYFUNCTION("""COMPUTED_VALUE"""),FALSE)</f>
        <v>0</v>
      </c>
      <c r="AG335" s="5" t="str">
        <f ca="1">IFERROR(__xludf.DUMMYFUNCTION("""COMPUTED_VALUE"""),"INSPECCIONES REALIZADAS")</f>
        <v>INSPECCIONES REALIZADAS</v>
      </c>
      <c r="AH335" s="5"/>
    </row>
    <row r="336" spans="1:34">
      <c r="A336" s="5" t="str">
        <f ca="1">IFERROR(__xludf.DUMMYFUNCTION("""COMPUTED_VALUE"""),"LINEA DE ENVASADO TAMAÑO PERSONAL")</f>
        <v>LINEA DE ENVASADO TAMAÑO PERSONAL</v>
      </c>
      <c r="B336" s="5">
        <f ca="1">IFERROR(__xludf.DUMMYFUNCTION("""COMPUTED_VALUE"""),558034)</f>
        <v>558034</v>
      </c>
      <c r="C336" s="5" t="str">
        <f ca="1">IFERROR(__xludf.DUMMYFUNCTION("""COMPUTED_VALUE"""),"DESEMPACADORA")</f>
        <v>DESEMPACADORA</v>
      </c>
      <c r="D336" s="5">
        <f ca="1">IFERROR(__xludf.DUMMYFUNCTION("""COMPUTED_VALUE"""),13247620)</f>
        <v>13247620</v>
      </c>
      <c r="E336" s="5" t="str">
        <f ca="1">IFERROR(__xludf.DUMMYFUNCTION("""COMPUTED_VALUE"""),"INSPECCION SEMANAL DESEMPACADORA")</f>
        <v>INSPECCION SEMANAL DESEMPACADORA</v>
      </c>
      <c r="F336" s="5" t="str">
        <f ca="1">IFERROR(__xludf.DUMMYFUNCTION("""COMPUTED_VALUE"""),"Estado perfiles de desgaste plasticos")</f>
        <v>Estado perfiles de desgaste plasticos</v>
      </c>
      <c r="G336" s="5" t="b">
        <f ca="1">IFERROR(__xludf.DUMMYFUNCTION("""COMPUTED_VALUE"""),TRUE)</f>
        <v>1</v>
      </c>
      <c r="H336" s="5"/>
      <c r="I336" s="5"/>
      <c r="J336" s="5">
        <f ca="1">IFERROR(__xludf.DUMMYFUNCTION("""COMPUTED_VALUE"""),13247620)</f>
        <v>13247620</v>
      </c>
      <c r="K336" s="5"/>
      <c r="L336" s="18">
        <f ca="1">IFERROR(__xludf.DUMMYFUNCTION("""COMPUTED_VALUE"""),45325)</f>
        <v>45325</v>
      </c>
      <c r="M336" s="18">
        <f ca="1">IFERROR(__xludf.DUMMYFUNCTION("""COMPUTED_VALUE"""),45325)</f>
        <v>45325</v>
      </c>
      <c r="N336" s="5" t="str">
        <f ca="1">IFERROR(__xludf.DUMMYFUNCTION("""COMPUTED_VALUE"""),"Andrés Felipe Pérez Polania")</f>
        <v>Andrés Felipe Pérez Polania</v>
      </c>
      <c r="O336" s="2">
        <f ca="1">IFERROR(__xludf.DUMMYFUNCTION("""COMPUTED_VALUE"""),0.005555556)</f>
        <v>5.5555559999999997E-3</v>
      </c>
      <c r="P336" s="5">
        <f ca="1">IFERROR(__xludf.DUMMYFUNCTION("""COMPUTED_VALUE"""),1919044)</f>
        <v>1919044</v>
      </c>
      <c r="Q336" s="5" t="str">
        <f ca="1">IFERROR(__xludf.DUMMYFUNCTION("""COMPUTED_VALUE"""),"REiXteX_iHM")</f>
        <v>REiXteX_iHM</v>
      </c>
      <c r="R336" s="5">
        <f ca="1">IFERROR(__xludf.DUMMYFUNCTION("""COMPUTED_VALUE"""),410)</f>
        <v>410</v>
      </c>
      <c r="S336" s="62">
        <f ca="1">IFERROR(__xludf.DUMMYFUNCTION("""COMPUTED_VALUE"""),0.005555556)</f>
        <v>5.5555559999999997E-3</v>
      </c>
      <c r="T336" s="63" t="str">
        <f ca="1">IFERROR(__xludf.DUMMYFUNCTION("""COMPUTED_VALUE"""),"https://storage.googleapis.com/glide-prod.appspot.com/uploads-v2/ly7o78grxPaC6KdgvbpS/pub/3aRdSog0vUtuqPE8AJKD.png")</f>
        <v>https://storage.googleapis.com/glide-prod.appspot.com/uploads-v2/ly7o78grxPaC6KdgvbpS/pub/3aRdSog0vUtuqPE8AJKD.png</v>
      </c>
      <c r="U336" s="5" t="str">
        <f ca="1">IFERROR(__xludf.DUMMYFUNCTION("""COMPUTED_VALUE"""),"LINEA DE ENVASADO TAMAÑO PERSONALDESEMPACADORA")</f>
        <v>LINEA DE ENVASADO TAMAÑO PERSONALDESEMPACADORA</v>
      </c>
      <c r="V336" s="5"/>
      <c r="W336" s="5" t="b">
        <f ca="1">IFERROR(__xludf.DUMMYFUNCTION("""COMPUTED_VALUE"""),TRUE)</f>
        <v>1</v>
      </c>
      <c r="X336" s="5" t="str">
        <f ca="1">IFERROR(__xludf.DUMMYFUNCTION("""COMPUTED_VALUE"""),"wguerra@postobon.com.co,aprmttoyu@postobon.com.co,aprmyu@postobon.com.co,wmora@postobon.com.co,efzapata@postobon.com.co")</f>
        <v>wguerra@postobon.com.co,aprmttoyu@postobon.com.co,aprmyu@postobon.com.co,wmora@postobon.com.co,efzapata@postobon.com.co</v>
      </c>
      <c r="Y336" s="5" t="str">
        <f ca="1">IFERROR(__xludf.DUMMYFUNCTION("""COMPUTED_VALUE"""),"wguerra@postobon.com.co")</f>
        <v>wguerra@postobon.com.co</v>
      </c>
      <c r="Z336" s="5" t="str">
        <f ca="1">IFERROR(__xludf.DUMMYFUNCTION("""COMPUTED_VALUE"""),"TdXPudH8Q.W8S80dNQWHdA")</f>
        <v>TdXPudH8Q.W8S80dNQWHdA</v>
      </c>
      <c r="AA336" s="5"/>
      <c r="AB336" s="5"/>
      <c r="AC336" s="5"/>
      <c r="AD336" s="5">
        <f ca="1">IFERROR(__xludf.DUMMYFUNCTION("""COMPUTED_VALUE"""),63)</f>
        <v>63</v>
      </c>
      <c r="AE336" s="5">
        <f ca="1">IFERROR(__xludf.DUMMYFUNCTION("""COMPUTED_VALUE"""),63)</f>
        <v>63</v>
      </c>
      <c r="AF336" s="5" t="b">
        <f ca="1">IFERROR(__xludf.DUMMYFUNCTION("""COMPUTED_VALUE"""),FALSE)</f>
        <v>0</v>
      </c>
      <c r="AG336" s="5" t="str">
        <f ca="1">IFERROR(__xludf.DUMMYFUNCTION("""COMPUTED_VALUE"""),"INSPECCIONES REALIZADAS")</f>
        <v>INSPECCIONES REALIZADAS</v>
      </c>
      <c r="AH336" s="5"/>
    </row>
    <row r="337" spans="1:34">
      <c r="A337" s="5" t="str">
        <f ca="1">IFERROR(__xludf.DUMMYFUNCTION("""COMPUTED_VALUE"""),"LINEA DE ENVASADO TAMAÑO PERSONAL")</f>
        <v>LINEA DE ENVASADO TAMAÑO PERSONAL</v>
      </c>
      <c r="B337" s="5">
        <f ca="1">IFERROR(__xludf.DUMMYFUNCTION("""COMPUTED_VALUE"""),558034)</f>
        <v>558034</v>
      </c>
      <c r="C337" s="5" t="str">
        <f ca="1">IFERROR(__xludf.DUMMYFUNCTION("""COMPUTED_VALUE"""),"DESEMPACADORA")</f>
        <v>DESEMPACADORA</v>
      </c>
      <c r="D337" s="5">
        <f ca="1">IFERROR(__xludf.DUMMYFUNCTION("""COMPUTED_VALUE"""),13247620)</f>
        <v>13247620</v>
      </c>
      <c r="E337" s="5" t="str">
        <f ca="1">IFERROR(__xludf.DUMMYFUNCTION("""COMPUTED_VALUE"""),"INSPECCION SEMANAL DESEMPACADORA")</f>
        <v>INSPECCION SEMANAL DESEMPACADORA</v>
      </c>
      <c r="F337" s="5" t="str">
        <f ca="1">IFERROR(__xludf.DUMMYFUNCTION("""COMPUTED_VALUE"""),"Estado de plato muerto")</f>
        <v>Estado de plato muerto</v>
      </c>
      <c r="G337" s="5" t="b">
        <f ca="1">IFERROR(__xludf.DUMMYFUNCTION("""COMPUTED_VALUE"""),TRUE)</f>
        <v>1</v>
      </c>
      <c r="H337" s="5"/>
      <c r="I337" s="5"/>
      <c r="J337" s="5">
        <f ca="1">IFERROR(__xludf.DUMMYFUNCTION("""COMPUTED_VALUE"""),13247620)</f>
        <v>13247620</v>
      </c>
      <c r="K337" s="5"/>
      <c r="L337" s="18">
        <f ca="1">IFERROR(__xludf.DUMMYFUNCTION("""COMPUTED_VALUE"""),45325)</f>
        <v>45325</v>
      </c>
      <c r="M337" s="18">
        <f ca="1">IFERROR(__xludf.DUMMYFUNCTION("""COMPUTED_VALUE"""),45325)</f>
        <v>45325</v>
      </c>
      <c r="N337" s="5" t="str">
        <f ca="1">IFERROR(__xludf.DUMMYFUNCTION("""COMPUTED_VALUE"""),"Andrés Felipe Pérez Polania")</f>
        <v>Andrés Felipe Pérez Polania</v>
      </c>
      <c r="O337" s="2">
        <f ca="1">IFERROR(__xludf.DUMMYFUNCTION("""COMPUTED_VALUE"""),0.005555556)</f>
        <v>5.5555559999999997E-3</v>
      </c>
      <c r="P337" s="5">
        <f ca="1">IFERROR(__xludf.DUMMYFUNCTION("""COMPUTED_VALUE"""),1919044)</f>
        <v>1919044</v>
      </c>
      <c r="Q337" s="5" t="str">
        <f ca="1">IFERROR(__xludf.DUMMYFUNCTION("""COMPUTED_VALUE"""),"QDAWMWxOB6s")</f>
        <v>QDAWMWxOB6s</v>
      </c>
      <c r="R337" s="5">
        <f ca="1">IFERROR(__xludf.DUMMYFUNCTION("""COMPUTED_VALUE"""),410)</f>
        <v>410</v>
      </c>
      <c r="S337" s="62">
        <f ca="1">IFERROR(__xludf.DUMMYFUNCTION("""COMPUTED_VALUE"""),0.005555556)</f>
        <v>5.5555559999999997E-3</v>
      </c>
      <c r="T337" s="63" t="str">
        <f ca="1">IFERROR(__xludf.DUMMYFUNCTION("""COMPUTED_VALUE"""),"https://storage.googleapis.com/glide-prod.appspot.com/uploads-v2/ly7o78grxPaC6KdgvbpS/pub/3aRdSog0vUtuqPE8AJKD.png")</f>
        <v>https://storage.googleapis.com/glide-prod.appspot.com/uploads-v2/ly7o78grxPaC6KdgvbpS/pub/3aRdSog0vUtuqPE8AJKD.png</v>
      </c>
      <c r="U337" s="5" t="str">
        <f ca="1">IFERROR(__xludf.DUMMYFUNCTION("""COMPUTED_VALUE"""),"LINEA DE ENVASADO TAMAÑO PERSONALDESEMPACADORA")</f>
        <v>LINEA DE ENVASADO TAMAÑO PERSONALDESEMPACADORA</v>
      </c>
      <c r="V337" s="5"/>
      <c r="W337" s="5" t="b">
        <f ca="1">IFERROR(__xludf.DUMMYFUNCTION("""COMPUTED_VALUE"""),TRUE)</f>
        <v>1</v>
      </c>
      <c r="X337" s="5" t="str">
        <f ca="1">IFERROR(__xludf.DUMMYFUNCTION("""COMPUTED_VALUE"""),"wguerra@postobon.com.co,aprmttoyu@postobon.com.co,aprmyu@postobon.com.co,wmora@postobon.com.co,efzapata@postobon.com.co")</f>
        <v>wguerra@postobon.com.co,aprmttoyu@postobon.com.co,aprmyu@postobon.com.co,wmora@postobon.com.co,efzapata@postobon.com.co</v>
      </c>
      <c r="Y337" s="5" t="str">
        <f ca="1">IFERROR(__xludf.DUMMYFUNCTION("""COMPUTED_VALUE"""),"wguerra@postobon.com.co")</f>
        <v>wguerra@postobon.com.co</v>
      </c>
      <c r="Z337" s="5" t="str">
        <f ca="1">IFERROR(__xludf.DUMMYFUNCTION("""COMPUTED_VALUE"""),"rH-CW0hhQI2OBYw1GJPMZw")</f>
        <v>rH-CW0hhQI2OBYw1GJPMZw</v>
      </c>
      <c r="AA337" s="5"/>
      <c r="AB337" s="5"/>
      <c r="AC337" s="5"/>
      <c r="AD337" s="5">
        <f ca="1">IFERROR(__xludf.DUMMYFUNCTION("""COMPUTED_VALUE"""),63)</f>
        <v>63</v>
      </c>
      <c r="AE337" s="5">
        <f ca="1">IFERROR(__xludf.DUMMYFUNCTION("""COMPUTED_VALUE"""),63)</f>
        <v>63</v>
      </c>
      <c r="AF337" s="5" t="b">
        <f ca="1">IFERROR(__xludf.DUMMYFUNCTION("""COMPUTED_VALUE"""),FALSE)</f>
        <v>0</v>
      </c>
      <c r="AG337" s="5" t="str">
        <f ca="1">IFERROR(__xludf.DUMMYFUNCTION("""COMPUTED_VALUE"""),"INSPECCIONES REALIZADAS")</f>
        <v>INSPECCIONES REALIZADAS</v>
      </c>
      <c r="AH337" s="5"/>
    </row>
    <row r="338" spans="1:34">
      <c r="A338" s="5" t="str">
        <f ca="1">IFERROR(__xludf.DUMMYFUNCTION("""COMPUTED_VALUE"""),"LINEA DE ENVASADO TAMAÑO PERSONAL")</f>
        <v>LINEA DE ENVASADO TAMAÑO PERSONAL</v>
      </c>
      <c r="B338" s="5">
        <f ca="1">IFERROR(__xludf.DUMMYFUNCTION("""COMPUTED_VALUE"""),558034)</f>
        <v>558034</v>
      </c>
      <c r="C338" s="5" t="str">
        <f ca="1">IFERROR(__xludf.DUMMYFUNCTION("""COMPUTED_VALUE"""),"DESEMPACADORA")</f>
        <v>DESEMPACADORA</v>
      </c>
      <c r="D338" s="5">
        <f ca="1">IFERROR(__xludf.DUMMYFUNCTION("""COMPUTED_VALUE"""),13247620)</f>
        <v>13247620</v>
      </c>
      <c r="E338" s="5" t="str">
        <f ca="1">IFERROR(__xludf.DUMMYFUNCTION("""COMPUTED_VALUE"""),"INSPECCION SEMANAL DESEMPACADORA")</f>
        <v>INSPECCION SEMANAL DESEMPACADORA</v>
      </c>
      <c r="F338" s="5" t="str">
        <f ca="1">IFERROR(__xludf.DUMMYFUNCTION("""COMPUTED_VALUE"""),"Estado sistema basculante y tope")</f>
        <v>Estado sistema basculante y tope</v>
      </c>
      <c r="G338" s="5" t="b">
        <f ca="1">IFERROR(__xludf.DUMMYFUNCTION("""COMPUTED_VALUE"""),TRUE)</f>
        <v>1</v>
      </c>
      <c r="H338" s="5"/>
      <c r="I338" s="5"/>
      <c r="J338" s="5">
        <f ca="1">IFERROR(__xludf.DUMMYFUNCTION("""COMPUTED_VALUE"""),13247620)</f>
        <v>13247620</v>
      </c>
      <c r="K338" s="5"/>
      <c r="L338" s="18">
        <f ca="1">IFERROR(__xludf.DUMMYFUNCTION("""COMPUTED_VALUE"""),45325)</f>
        <v>45325</v>
      </c>
      <c r="M338" s="18">
        <f ca="1">IFERROR(__xludf.DUMMYFUNCTION("""COMPUTED_VALUE"""),45325)</f>
        <v>45325</v>
      </c>
      <c r="N338" s="5" t="str">
        <f ca="1">IFERROR(__xludf.DUMMYFUNCTION("""COMPUTED_VALUE"""),"Andrés Felipe Pérez Polania")</f>
        <v>Andrés Felipe Pérez Polania</v>
      </c>
      <c r="O338" s="2">
        <f ca="1">IFERROR(__xludf.DUMMYFUNCTION("""COMPUTED_VALUE"""),0.005555556)</f>
        <v>5.5555559999999997E-3</v>
      </c>
      <c r="P338" s="5">
        <f ca="1">IFERROR(__xludf.DUMMYFUNCTION("""COMPUTED_VALUE"""),1919044)</f>
        <v>1919044</v>
      </c>
      <c r="Q338" s="5" t="str">
        <f ca="1">IFERROR(__xludf.DUMMYFUNCTION("""COMPUTED_VALUE"""),"RdD8ZcwPJU0")</f>
        <v>RdD8ZcwPJU0</v>
      </c>
      <c r="R338" s="5">
        <f ca="1">IFERROR(__xludf.DUMMYFUNCTION("""COMPUTED_VALUE"""),410)</f>
        <v>410</v>
      </c>
      <c r="S338" s="62">
        <f ca="1">IFERROR(__xludf.DUMMYFUNCTION("""COMPUTED_VALUE"""),0.005555556)</f>
        <v>5.5555559999999997E-3</v>
      </c>
      <c r="T338" s="63" t="str">
        <f ca="1">IFERROR(__xludf.DUMMYFUNCTION("""COMPUTED_VALUE"""),"https://storage.googleapis.com/glide-prod.appspot.com/uploads-v2/ly7o78grxPaC6KdgvbpS/pub/3aRdSog0vUtuqPE8AJKD.png")</f>
        <v>https://storage.googleapis.com/glide-prod.appspot.com/uploads-v2/ly7o78grxPaC6KdgvbpS/pub/3aRdSog0vUtuqPE8AJKD.png</v>
      </c>
      <c r="U338" s="5" t="str">
        <f ca="1">IFERROR(__xludf.DUMMYFUNCTION("""COMPUTED_VALUE"""),"LINEA DE ENVASADO TAMAÑO PERSONALDESEMPACADORA")</f>
        <v>LINEA DE ENVASADO TAMAÑO PERSONALDESEMPACADORA</v>
      </c>
      <c r="V338" s="5"/>
      <c r="W338" s="5" t="b">
        <f ca="1">IFERROR(__xludf.DUMMYFUNCTION("""COMPUTED_VALUE"""),TRUE)</f>
        <v>1</v>
      </c>
      <c r="X338" s="5" t="str">
        <f ca="1">IFERROR(__xludf.DUMMYFUNCTION("""COMPUTED_VALUE"""),"wguerra@postobon.com.co,aprmttoyu@postobon.com.co,aprmyu@postobon.com.co,wmora@postobon.com.co,efzapata@postobon.com.co")</f>
        <v>wguerra@postobon.com.co,aprmttoyu@postobon.com.co,aprmyu@postobon.com.co,wmora@postobon.com.co,efzapata@postobon.com.co</v>
      </c>
      <c r="Y338" s="5" t="str">
        <f ca="1">IFERROR(__xludf.DUMMYFUNCTION("""COMPUTED_VALUE"""),"wguerra@postobon.com.co")</f>
        <v>wguerra@postobon.com.co</v>
      </c>
      <c r="Z338" s="5" t="str">
        <f ca="1">IFERROR(__xludf.DUMMYFUNCTION("""COMPUTED_VALUE"""),"qLBjHYPsTi6okvq63XqkSg")</f>
        <v>qLBjHYPsTi6okvq63XqkSg</v>
      </c>
      <c r="AA338" s="5"/>
      <c r="AB338" s="5"/>
      <c r="AC338" s="5"/>
      <c r="AD338" s="5">
        <f ca="1">IFERROR(__xludf.DUMMYFUNCTION("""COMPUTED_VALUE"""),63)</f>
        <v>63</v>
      </c>
      <c r="AE338" s="5">
        <f ca="1">IFERROR(__xludf.DUMMYFUNCTION("""COMPUTED_VALUE"""),63)</f>
        <v>63</v>
      </c>
      <c r="AF338" s="5" t="b">
        <f ca="1">IFERROR(__xludf.DUMMYFUNCTION("""COMPUTED_VALUE"""),FALSE)</f>
        <v>0</v>
      </c>
      <c r="AG338" s="5" t="str">
        <f ca="1">IFERROR(__xludf.DUMMYFUNCTION("""COMPUTED_VALUE"""),"INSPECCIONES REALIZADAS")</f>
        <v>INSPECCIONES REALIZADAS</v>
      </c>
      <c r="AH338" s="5"/>
    </row>
    <row r="339" spans="1:34">
      <c r="A339" s="5" t="str">
        <f ca="1">IFERROR(__xludf.DUMMYFUNCTION("""COMPUTED_VALUE"""),"LINEA DE ENVASADO TAMAÑO PERSONAL")</f>
        <v>LINEA DE ENVASADO TAMAÑO PERSONAL</v>
      </c>
      <c r="B339" s="5">
        <f ca="1">IFERROR(__xludf.DUMMYFUNCTION("""COMPUTED_VALUE"""),558034)</f>
        <v>558034</v>
      </c>
      <c r="C339" s="5" t="str">
        <f ca="1">IFERROR(__xludf.DUMMYFUNCTION("""COMPUTED_VALUE"""),"DESEMPACADORA")</f>
        <v>DESEMPACADORA</v>
      </c>
      <c r="D339" s="5">
        <f ca="1">IFERROR(__xludf.DUMMYFUNCTION("""COMPUTED_VALUE"""),13247620)</f>
        <v>13247620</v>
      </c>
      <c r="E339" s="5" t="str">
        <f ca="1">IFERROR(__xludf.DUMMYFUNCTION("""COMPUTED_VALUE"""),"INSPECCION SEMANAL DESEMPACADORA")</f>
        <v>INSPECCION SEMANAL DESEMPACADORA</v>
      </c>
      <c r="F339" s="5" t="str">
        <f ca="1">IFERROR(__xludf.DUMMYFUNCTION("""COMPUTED_VALUE"""),"Estado Instrumentos de medidas")</f>
        <v>Estado Instrumentos de medidas</v>
      </c>
      <c r="G339" s="5" t="b">
        <f ca="1">IFERROR(__xludf.DUMMYFUNCTION("""COMPUTED_VALUE"""),TRUE)</f>
        <v>1</v>
      </c>
      <c r="H339" s="5"/>
      <c r="I339" s="5"/>
      <c r="J339" s="5">
        <f ca="1">IFERROR(__xludf.DUMMYFUNCTION("""COMPUTED_VALUE"""),13247620)</f>
        <v>13247620</v>
      </c>
      <c r="K339" s="5"/>
      <c r="L339" s="18">
        <f ca="1">IFERROR(__xludf.DUMMYFUNCTION("""COMPUTED_VALUE"""),45325)</f>
        <v>45325</v>
      </c>
      <c r="M339" s="18">
        <f ca="1">IFERROR(__xludf.DUMMYFUNCTION("""COMPUTED_VALUE"""),45325)</f>
        <v>45325</v>
      </c>
      <c r="N339" s="5" t="str">
        <f ca="1">IFERROR(__xludf.DUMMYFUNCTION("""COMPUTED_VALUE"""),"Andrés Felipe Pérez Polania")</f>
        <v>Andrés Felipe Pérez Polania</v>
      </c>
      <c r="O339" s="2">
        <f ca="1">IFERROR(__xludf.DUMMYFUNCTION("""COMPUTED_VALUE"""),0.005555556)</f>
        <v>5.5555559999999997E-3</v>
      </c>
      <c r="P339" s="5">
        <f ca="1">IFERROR(__xludf.DUMMYFUNCTION("""COMPUTED_VALUE"""),1919044)</f>
        <v>1919044</v>
      </c>
      <c r="Q339" s="5" t="str">
        <f ca="1">IFERROR(__xludf.DUMMYFUNCTION("""COMPUTED_VALUE"""),"Sn10Rhoa_5E")</f>
        <v>Sn10Rhoa_5E</v>
      </c>
      <c r="R339" s="5">
        <f ca="1">IFERROR(__xludf.DUMMYFUNCTION("""COMPUTED_VALUE"""),410)</f>
        <v>410</v>
      </c>
      <c r="S339" s="62">
        <f ca="1">IFERROR(__xludf.DUMMYFUNCTION("""COMPUTED_VALUE"""),0.005555556)</f>
        <v>5.5555559999999997E-3</v>
      </c>
      <c r="T339" s="63" t="str">
        <f ca="1">IFERROR(__xludf.DUMMYFUNCTION("""COMPUTED_VALUE"""),"https://storage.googleapis.com/glide-prod.appspot.com/uploads-v2/ly7o78grxPaC6KdgvbpS/pub/3aRdSog0vUtuqPE8AJKD.png")</f>
        <v>https://storage.googleapis.com/glide-prod.appspot.com/uploads-v2/ly7o78grxPaC6KdgvbpS/pub/3aRdSog0vUtuqPE8AJKD.png</v>
      </c>
      <c r="U339" s="5" t="str">
        <f ca="1">IFERROR(__xludf.DUMMYFUNCTION("""COMPUTED_VALUE"""),"LINEA DE ENVASADO TAMAÑO PERSONALDESEMPACADORA")</f>
        <v>LINEA DE ENVASADO TAMAÑO PERSONALDESEMPACADORA</v>
      </c>
      <c r="V339" s="5"/>
      <c r="W339" s="5" t="b">
        <f ca="1">IFERROR(__xludf.DUMMYFUNCTION("""COMPUTED_VALUE"""),TRUE)</f>
        <v>1</v>
      </c>
      <c r="X339" s="5" t="str">
        <f ca="1">IFERROR(__xludf.DUMMYFUNCTION("""COMPUTED_VALUE"""),"wguerra@postobon.com.co,aprmttoyu@postobon.com.co,aprmyu@postobon.com.co,wmora@postobon.com.co,efzapata@postobon.com.co")</f>
        <v>wguerra@postobon.com.co,aprmttoyu@postobon.com.co,aprmyu@postobon.com.co,wmora@postobon.com.co,efzapata@postobon.com.co</v>
      </c>
      <c r="Y339" s="5" t="str">
        <f ca="1">IFERROR(__xludf.DUMMYFUNCTION("""COMPUTED_VALUE"""),"wguerra@postobon.com.co")</f>
        <v>wguerra@postobon.com.co</v>
      </c>
      <c r="Z339" s="5" t="str">
        <f ca="1">IFERROR(__xludf.DUMMYFUNCTION("""COMPUTED_VALUE"""),"qIlfZxaKQJ64mJYkSK3EgA")</f>
        <v>qIlfZxaKQJ64mJYkSK3EgA</v>
      </c>
      <c r="AA339" s="5"/>
      <c r="AB339" s="5"/>
      <c r="AC339" s="5"/>
      <c r="AD339" s="5">
        <f ca="1">IFERROR(__xludf.DUMMYFUNCTION("""COMPUTED_VALUE"""),63)</f>
        <v>63</v>
      </c>
      <c r="AE339" s="5">
        <f ca="1">IFERROR(__xludf.DUMMYFUNCTION("""COMPUTED_VALUE"""),63)</f>
        <v>63</v>
      </c>
      <c r="AF339" s="5" t="b">
        <f ca="1">IFERROR(__xludf.DUMMYFUNCTION("""COMPUTED_VALUE"""),FALSE)</f>
        <v>0</v>
      </c>
      <c r="AG339" s="5" t="str">
        <f ca="1">IFERROR(__xludf.DUMMYFUNCTION("""COMPUTED_VALUE"""),"INSPECCIONES REALIZADAS")</f>
        <v>INSPECCIONES REALIZADAS</v>
      </c>
      <c r="AH339" s="5"/>
    </row>
    <row r="340" spans="1:34">
      <c r="A340" s="5" t="str">
        <f ca="1">IFERROR(__xludf.DUMMYFUNCTION("""COMPUTED_VALUE"""),"LINEA DE ENVASADO TAMAÑO PERSONAL")</f>
        <v>LINEA DE ENVASADO TAMAÑO PERSONAL</v>
      </c>
      <c r="B340" s="5">
        <f ca="1">IFERROR(__xludf.DUMMYFUNCTION("""COMPUTED_VALUE"""),558034)</f>
        <v>558034</v>
      </c>
      <c r="C340" s="5" t="str">
        <f ca="1">IFERROR(__xludf.DUMMYFUNCTION("""COMPUTED_VALUE"""),"DESEMPACADORA")</f>
        <v>DESEMPACADORA</v>
      </c>
      <c r="D340" s="5">
        <f ca="1">IFERROR(__xludf.DUMMYFUNCTION("""COMPUTED_VALUE"""),13247620)</f>
        <v>13247620</v>
      </c>
      <c r="E340" s="5" t="str">
        <f ca="1">IFERROR(__xludf.DUMMYFUNCTION("""COMPUTED_VALUE"""),"INSPECCION SEMANAL DESEMPACADORA")</f>
        <v>INSPECCION SEMANAL DESEMPACADORA</v>
      </c>
      <c r="F340" s="5" t="str">
        <f ca="1">IFERROR(__xludf.DUMMYFUNCTION("""COMPUTED_VALUE"""),"Estado de sistema de lubricacion")</f>
        <v>Estado de sistema de lubricacion</v>
      </c>
      <c r="G340" s="5" t="b">
        <f ca="1">IFERROR(__xludf.DUMMYFUNCTION("""COMPUTED_VALUE"""),TRUE)</f>
        <v>1</v>
      </c>
      <c r="H340" s="5"/>
      <c r="I340" s="5"/>
      <c r="J340" s="5">
        <f ca="1">IFERROR(__xludf.DUMMYFUNCTION("""COMPUTED_VALUE"""),13247620)</f>
        <v>13247620</v>
      </c>
      <c r="K340" s="5"/>
      <c r="L340" s="18">
        <f ca="1">IFERROR(__xludf.DUMMYFUNCTION("""COMPUTED_VALUE"""),45325)</f>
        <v>45325</v>
      </c>
      <c r="M340" s="18">
        <f ca="1">IFERROR(__xludf.DUMMYFUNCTION("""COMPUTED_VALUE"""),45325)</f>
        <v>45325</v>
      </c>
      <c r="N340" s="5" t="str">
        <f ca="1">IFERROR(__xludf.DUMMYFUNCTION("""COMPUTED_VALUE"""),"Andrés Felipe Pérez Polania")</f>
        <v>Andrés Felipe Pérez Polania</v>
      </c>
      <c r="O340" s="2">
        <f ca="1">IFERROR(__xludf.DUMMYFUNCTION("""COMPUTED_VALUE"""),0.005555556)</f>
        <v>5.5555559999999997E-3</v>
      </c>
      <c r="P340" s="5">
        <f ca="1">IFERROR(__xludf.DUMMYFUNCTION("""COMPUTED_VALUE"""),1919044)</f>
        <v>1919044</v>
      </c>
      <c r="Q340" s="5" t="str">
        <f ca="1">IFERROR(__xludf.DUMMYFUNCTION("""COMPUTED_VALUE"""),"msQwPiUY04k")</f>
        <v>msQwPiUY04k</v>
      </c>
      <c r="R340" s="5">
        <f ca="1">IFERROR(__xludf.DUMMYFUNCTION("""COMPUTED_VALUE"""),410)</f>
        <v>410</v>
      </c>
      <c r="S340" s="62">
        <f ca="1">IFERROR(__xludf.DUMMYFUNCTION("""COMPUTED_VALUE"""),0.005555556)</f>
        <v>5.5555559999999997E-3</v>
      </c>
      <c r="T340" s="63" t="str">
        <f ca="1">IFERROR(__xludf.DUMMYFUNCTION("""COMPUTED_VALUE"""),"https://storage.googleapis.com/glide-prod.appspot.com/uploads-v2/ly7o78grxPaC6KdgvbpS/pub/3aRdSog0vUtuqPE8AJKD.png")</f>
        <v>https://storage.googleapis.com/glide-prod.appspot.com/uploads-v2/ly7o78grxPaC6KdgvbpS/pub/3aRdSog0vUtuqPE8AJKD.png</v>
      </c>
      <c r="U340" s="5" t="str">
        <f ca="1">IFERROR(__xludf.DUMMYFUNCTION("""COMPUTED_VALUE"""),"LINEA DE ENVASADO TAMAÑO PERSONALDESEMPACADORA")</f>
        <v>LINEA DE ENVASADO TAMAÑO PERSONALDESEMPACADORA</v>
      </c>
      <c r="V340" s="5"/>
      <c r="W340" s="5" t="b">
        <f ca="1">IFERROR(__xludf.DUMMYFUNCTION("""COMPUTED_VALUE"""),TRUE)</f>
        <v>1</v>
      </c>
      <c r="X340" s="5" t="str">
        <f ca="1">IFERROR(__xludf.DUMMYFUNCTION("""COMPUTED_VALUE"""),"wguerra@postobon.com.co,aprmttoyu@postobon.com.co,aprmyu@postobon.com.co,wmora@postobon.com.co,efzapata@postobon.com.co")</f>
        <v>wguerra@postobon.com.co,aprmttoyu@postobon.com.co,aprmyu@postobon.com.co,wmora@postobon.com.co,efzapata@postobon.com.co</v>
      </c>
      <c r="Y340" s="5" t="str">
        <f ca="1">IFERROR(__xludf.DUMMYFUNCTION("""COMPUTED_VALUE"""),"wguerra@postobon.com.co")</f>
        <v>wguerra@postobon.com.co</v>
      </c>
      <c r="Z340" s="5" t="str">
        <f ca="1">IFERROR(__xludf.DUMMYFUNCTION("""COMPUTED_VALUE"""),"EIGNjUZGR9aiwbmLSxydwA")</f>
        <v>EIGNjUZGR9aiwbmLSxydwA</v>
      </c>
      <c r="AA340" s="5"/>
      <c r="AB340" s="5"/>
      <c r="AC340" s="5"/>
      <c r="AD340" s="5">
        <f ca="1">IFERROR(__xludf.DUMMYFUNCTION("""COMPUTED_VALUE"""),63)</f>
        <v>63</v>
      </c>
      <c r="AE340" s="5">
        <f ca="1">IFERROR(__xludf.DUMMYFUNCTION("""COMPUTED_VALUE"""),63)</f>
        <v>63</v>
      </c>
      <c r="AF340" s="5" t="b">
        <f ca="1">IFERROR(__xludf.DUMMYFUNCTION("""COMPUTED_VALUE"""),FALSE)</f>
        <v>0</v>
      </c>
      <c r="AG340" s="5" t="str">
        <f ca="1">IFERROR(__xludf.DUMMYFUNCTION("""COMPUTED_VALUE"""),"INSPECCIONES REALIZADAS")</f>
        <v>INSPECCIONES REALIZADAS</v>
      </c>
      <c r="AH340" s="5"/>
    </row>
    <row r="341" spans="1:34">
      <c r="A341" s="5" t="str">
        <f ca="1">IFERROR(__xludf.DUMMYFUNCTION("""COMPUTED_VALUE"""),"LINEA DE ENVASADO TAMAÑO PERSONAL")</f>
        <v>LINEA DE ENVASADO TAMAÑO PERSONAL</v>
      </c>
      <c r="B341" s="5">
        <f ca="1">IFERROR(__xludf.DUMMYFUNCTION("""COMPUTED_VALUE"""),558034)</f>
        <v>558034</v>
      </c>
      <c r="C341" s="5" t="str">
        <f ca="1">IFERROR(__xludf.DUMMYFUNCTION("""COMPUTED_VALUE"""),"DESEMPACADORA")</f>
        <v>DESEMPACADORA</v>
      </c>
      <c r="D341" s="5">
        <f ca="1">IFERROR(__xludf.DUMMYFUNCTION("""COMPUTED_VALUE"""),13247620)</f>
        <v>13247620</v>
      </c>
      <c r="E341" s="5" t="str">
        <f ca="1">IFERROR(__xludf.DUMMYFUNCTION("""COMPUTED_VALUE"""),"INSPECCION SEMANAL DESEMPACADORA")</f>
        <v>INSPECCION SEMANAL DESEMPACADORA</v>
      </c>
      <c r="F341" s="5" t="str">
        <f ca="1">IFERROR(__xludf.DUMMYFUNCTION("""COMPUTED_VALUE"""),"Estado y limpieza de extractor y/o climatizador tablero eléctrico")</f>
        <v>Estado y limpieza de extractor y/o climatizador tablero eléctrico</v>
      </c>
      <c r="G341" s="5" t="b">
        <f ca="1">IFERROR(__xludf.DUMMYFUNCTION("""COMPUTED_VALUE"""),TRUE)</f>
        <v>1</v>
      </c>
      <c r="H341" s="5"/>
      <c r="I341" s="5"/>
      <c r="J341" s="5">
        <f ca="1">IFERROR(__xludf.DUMMYFUNCTION("""COMPUTED_VALUE"""),13247620)</f>
        <v>13247620</v>
      </c>
      <c r="K341" s="5"/>
      <c r="L341" s="18">
        <f ca="1">IFERROR(__xludf.DUMMYFUNCTION("""COMPUTED_VALUE"""),45325)</f>
        <v>45325</v>
      </c>
      <c r="M341" s="18">
        <f ca="1">IFERROR(__xludf.DUMMYFUNCTION("""COMPUTED_VALUE"""),45325)</f>
        <v>45325</v>
      </c>
      <c r="N341" s="5" t="str">
        <f ca="1">IFERROR(__xludf.DUMMYFUNCTION("""COMPUTED_VALUE"""),"Andrés Felipe Pérez Polania")</f>
        <v>Andrés Felipe Pérez Polania</v>
      </c>
      <c r="O341" s="2">
        <f ca="1">IFERROR(__xludf.DUMMYFUNCTION("""COMPUTED_VALUE"""),0.005555556)</f>
        <v>5.5555559999999997E-3</v>
      </c>
      <c r="P341" s="5">
        <f ca="1">IFERROR(__xludf.DUMMYFUNCTION("""COMPUTED_VALUE"""),1919044)</f>
        <v>1919044</v>
      </c>
      <c r="Q341" s="5" t="str">
        <f ca="1">IFERROR(__xludf.DUMMYFUNCTION("""COMPUTED_VALUE"""),"j8qW1iM1BYM")</f>
        <v>j8qW1iM1BYM</v>
      </c>
      <c r="R341" s="5">
        <f ca="1">IFERROR(__xludf.DUMMYFUNCTION("""COMPUTED_VALUE"""),410)</f>
        <v>410</v>
      </c>
      <c r="S341" s="62">
        <f ca="1">IFERROR(__xludf.DUMMYFUNCTION("""COMPUTED_VALUE"""),0.005555556)</f>
        <v>5.5555559999999997E-3</v>
      </c>
      <c r="T341" s="63" t="str">
        <f ca="1">IFERROR(__xludf.DUMMYFUNCTION("""COMPUTED_VALUE"""),"https://storage.googleapis.com/glide-prod.appspot.com/uploads-v2/ly7o78grxPaC6KdgvbpS/pub/3aRdSog0vUtuqPE8AJKD.png")</f>
        <v>https://storage.googleapis.com/glide-prod.appspot.com/uploads-v2/ly7o78grxPaC6KdgvbpS/pub/3aRdSog0vUtuqPE8AJKD.png</v>
      </c>
      <c r="U341" s="5" t="str">
        <f ca="1">IFERROR(__xludf.DUMMYFUNCTION("""COMPUTED_VALUE"""),"LINEA DE ENVASADO TAMAÑO PERSONALDESEMPACADORA")</f>
        <v>LINEA DE ENVASADO TAMAÑO PERSONALDESEMPACADORA</v>
      </c>
      <c r="V341" s="5"/>
      <c r="W341" s="5" t="b">
        <f ca="1">IFERROR(__xludf.DUMMYFUNCTION("""COMPUTED_VALUE"""),TRUE)</f>
        <v>1</v>
      </c>
      <c r="X341" s="5" t="str">
        <f ca="1">IFERROR(__xludf.DUMMYFUNCTION("""COMPUTED_VALUE"""),"wguerra@postobon.com.co,aprmttoyu@postobon.com.co,aprmyu@postobon.com.co,wmora@postobon.com.co,efzapata@postobon.com.co")</f>
        <v>wguerra@postobon.com.co,aprmttoyu@postobon.com.co,aprmyu@postobon.com.co,wmora@postobon.com.co,efzapata@postobon.com.co</v>
      </c>
      <c r="Y341" s="5" t="str">
        <f ca="1">IFERROR(__xludf.DUMMYFUNCTION("""COMPUTED_VALUE"""),"wguerra@postobon.com.co")</f>
        <v>wguerra@postobon.com.co</v>
      </c>
      <c r="Z341" s="5" t="str">
        <f ca="1">IFERROR(__xludf.DUMMYFUNCTION("""COMPUTED_VALUE"""),"iAjyQpf.SuKZDvJbWFF-Dw")</f>
        <v>iAjyQpf.SuKZDvJbWFF-Dw</v>
      </c>
      <c r="AA341" s="5"/>
      <c r="AB341" s="5"/>
      <c r="AC341" s="5"/>
      <c r="AD341" s="5">
        <f ca="1">IFERROR(__xludf.DUMMYFUNCTION("""COMPUTED_VALUE"""),63)</f>
        <v>63</v>
      </c>
      <c r="AE341" s="5">
        <f ca="1">IFERROR(__xludf.DUMMYFUNCTION("""COMPUTED_VALUE"""),63)</f>
        <v>63</v>
      </c>
      <c r="AF341" s="5" t="b">
        <f ca="1">IFERROR(__xludf.DUMMYFUNCTION("""COMPUTED_VALUE"""),FALSE)</f>
        <v>0</v>
      </c>
      <c r="AG341" s="5" t="str">
        <f ca="1">IFERROR(__xludf.DUMMYFUNCTION("""COMPUTED_VALUE"""),"INSPECCIONES REALIZADAS")</f>
        <v>INSPECCIONES REALIZADAS</v>
      </c>
      <c r="AH341" s="5"/>
    </row>
    <row r="342" spans="1:34">
      <c r="A342" s="5" t="str">
        <f ca="1">IFERROR(__xludf.DUMMYFUNCTION("""COMPUTED_VALUE"""),"LINEA DE ENVASADO FAMILIAR Y PRB")</f>
        <v>LINEA DE ENVASADO FAMILIAR Y PRB</v>
      </c>
      <c r="B342" s="5">
        <f ca="1">IFERROR(__xludf.DUMMYFUNCTION("""COMPUTED_VALUE"""),548732)</f>
        <v>548732</v>
      </c>
      <c r="C342" s="5" t="str">
        <f ca="1">IFERROR(__xludf.DUMMYFUNCTION("""COMPUTED_VALUE"""),"DESEMPACADORA")</f>
        <v>DESEMPACADORA</v>
      </c>
      <c r="D342" s="5">
        <f ca="1">IFERROR(__xludf.DUMMYFUNCTION("""COMPUTED_VALUE"""),13247269)</f>
        <v>13247269</v>
      </c>
      <c r="E342" s="5" t="str">
        <f ca="1">IFERROR(__xludf.DUMMYFUNCTION("""COMPUTED_VALUE"""),"INSPECCION SEMANAL DESEMPACADORA")</f>
        <v>INSPECCION SEMANAL DESEMPACADORA</v>
      </c>
      <c r="F342" s="5" t="str">
        <f ca="1">IFERROR(__xludf.DUMMYFUNCTION("""COMPUTED_VALUE"""),"Fugas de aire o aceite")</f>
        <v>Fugas de aire o aceite</v>
      </c>
      <c r="G342" s="5"/>
      <c r="H342" s="5"/>
      <c r="I342" s="5"/>
      <c r="J342" s="5"/>
      <c r="K342" s="5"/>
      <c r="L342" s="18">
        <f ca="1">IFERROR(__xludf.DUMMYFUNCTION("""COMPUTED_VALUE"""),45324)</f>
        <v>45324</v>
      </c>
      <c r="M342" s="18">
        <f ca="1">IFERROR(__xludf.DUMMYFUNCTION("""COMPUTED_VALUE"""),45324)</f>
        <v>45324</v>
      </c>
      <c r="N342" s="5" t="str">
        <f ca="1">IFERROR(__xludf.DUMMYFUNCTION("""COMPUTED_VALUE"""),"Alexander Echeverry Moreno")</f>
        <v>Alexander Echeverry Moreno</v>
      </c>
      <c r="O342" s="2">
        <f ca="1">IFERROR(__xludf.DUMMYFUNCTION("""COMPUTED_VALUE"""),0.005555556)</f>
        <v>5.5555559999999997E-3</v>
      </c>
      <c r="P342" s="5"/>
      <c r="Q342" s="5" t="str">
        <f ca="1">IFERROR(__xludf.DUMMYFUNCTION("""COMPUTED_VALUE"""),"rqyZa1VudqI")</f>
        <v>rqyZa1VudqI</v>
      </c>
      <c r="R342" s="5">
        <f ca="1">IFERROR(__xludf.DUMMYFUNCTION("""COMPUTED_VALUE"""),410)</f>
        <v>410</v>
      </c>
      <c r="S342" s="62">
        <f ca="1">IFERROR(__xludf.DUMMYFUNCTION("""COMPUTED_VALUE"""),0.005555556)</f>
        <v>5.5555559999999997E-3</v>
      </c>
      <c r="T342" s="63" t="str">
        <f ca="1">IFERROR(__xludf.DUMMYFUNCTION("""COMPUTED_VALUE"""),"https://storage.googleapis.com/glide-prod.appspot.com/uploads-v2/ly7o78grxPaC6KdgvbpS/pub/UliJWgpEaBovaFmXi6OW.png")</f>
        <v>https://storage.googleapis.com/glide-prod.appspot.com/uploads-v2/ly7o78grxPaC6KdgvbpS/pub/UliJWgpEaBovaFmXi6OW.png</v>
      </c>
      <c r="U342" s="5" t="str">
        <f ca="1">IFERROR(__xludf.DUMMYFUNCTION("""COMPUTED_VALUE"""),"LINEA DE ENVASADO FAMILIAR Y PRBDESEMPACADORA")</f>
        <v>LINEA DE ENVASADO FAMILIAR Y PRBDESEMPACADORA</v>
      </c>
      <c r="V342" s="5"/>
      <c r="W342" s="5"/>
      <c r="X342" s="5" t="str">
        <f ca="1">IFERROR(__xludf.DUMMYFUNCTION("""COMPUTED_VALUE"""),"wguerra@postobon.com.co,aprmttoyu@postobon.com.co,aprmyu@postobon.com.co,wmora@postobon.com.co,efzapata@postobon.com.co")</f>
        <v>wguerra@postobon.com.co,aprmttoyu@postobon.com.co,aprmyu@postobon.com.co,wmora@postobon.com.co,efzapata@postobon.com.co</v>
      </c>
      <c r="Y342" s="5" t="str">
        <f ca="1">IFERROR(__xludf.DUMMYFUNCTION("""COMPUTED_VALUE"""),"wguerra@postobon.com.co")</f>
        <v>wguerra@postobon.com.co</v>
      </c>
      <c r="Z342" s="5" t="str">
        <f ca="1">IFERROR(__xludf.DUMMYFUNCTION("""COMPUTED_VALUE"""),"NIKjlU2.Q5-esnWvZBZk7w")</f>
        <v>NIKjlU2.Q5-esnWvZBZk7w</v>
      </c>
      <c r="AA342" s="5"/>
      <c r="AB342" s="5"/>
      <c r="AC342" s="5"/>
      <c r="AD342" s="5">
        <f ca="1">IFERROR(__xludf.DUMMYFUNCTION("""COMPUTED_VALUE"""),38)</f>
        <v>38</v>
      </c>
      <c r="AE342" s="5">
        <f ca="1">IFERROR(__xludf.DUMMYFUNCTION("""COMPUTED_VALUE"""),0)</f>
        <v>0</v>
      </c>
      <c r="AF342" s="5" t="b">
        <f ca="1">IFERROR(__xludf.DUMMYFUNCTION("""COMPUTED_VALUE"""),TRUE)</f>
        <v>1</v>
      </c>
      <c r="AG342" s="5" t="str">
        <f ca="1">IFERROR(__xludf.DUMMYFUNCTION("""COMPUTED_VALUE"""),"INSPECCIONES SIN REALIZAR")</f>
        <v>INSPECCIONES SIN REALIZAR</v>
      </c>
      <c r="AH342" s="5"/>
    </row>
    <row r="343" spans="1:34">
      <c r="A343" s="5" t="str">
        <f ca="1">IFERROR(__xludf.DUMMYFUNCTION("""COMPUTED_VALUE"""),"LINEA DE ENVASADO FAMILIAR Y PRB")</f>
        <v>LINEA DE ENVASADO FAMILIAR Y PRB</v>
      </c>
      <c r="B343" s="5">
        <f ca="1">IFERROR(__xludf.DUMMYFUNCTION("""COMPUTED_VALUE"""),548732)</f>
        <v>548732</v>
      </c>
      <c r="C343" s="5" t="str">
        <f ca="1">IFERROR(__xludf.DUMMYFUNCTION("""COMPUTED_VALUE"""),"DESEMPACADORA")</f>
        <v>DESEMPACADORA</v>
      </c>
      <c r="D343" s="5">
        <f ca="1">IFERROR(__xludf.DUMMYFUNCTION("""COMPUTED_VALUE"""),13247269)</f>
        <v>13247269</v>
      </c>
      <c r="E343" s="5" t="str">
        <f ca="1">IFERROR(__xludf.DUMMYFUNCTION("""COMPUTED_VALUE"""),"INSPECCION SEMANAL DESEMPACADORA")</f>
        <v>INSPECCION SEMANAL DESEMPACADORA</v>
      </c>
      <c r="F343" s="5" t="str">
        <f ca="1">IFERROR(__xludf.DUMMYFUNCTION("""COMPUTED_VALUE"""),"Estado de pintura")</f>
        <v>Estado de pintura</v>
      </c>
      <c r="G343" s="5"/>
      <c r="H343" s="5"/>
      <c r="I343" s="5"/>
      <c r="J343" s="5"/>
      <c r="K343" s="5"/>
      <c r="L343" s="18">
        <f ca="1">IFERROR(__xludf.DUMMYFUNCTION("""COMPUTED_VALUE"""),45324)</f>
        <v>45324</v>
      </c>
      <c r="M343" s="18">
        <f ca="1">IFERROR(__xludf.DUMMYFUNCTION("""COMPUTED_VALUE"""),45324)</f>
        <v>45324</v>
      </c>
      <c r="N343" s="5" t="str">
        <f ca="1">IFERROR(__xludf.DUMMYFUNCTION("""COMPUTED_VALUE"""),"Alexander Echeverry Moreno")</f>
        <v>Alexander Echeverry Moreno</v>
      </c>
      <c r="O343" s="2">
        <f ca="1">IFERROR(__xludf.DUMMYFUNCTION("""COMPUTED_VALUE"""),0.005555556)</f>
        <v>5.5555559999999997E-3</v>
      </c>
      <c r="P343" s="5"/>
      <c r="Q343" s="5" t="str">
        <f ca="1">IFERROR(__xludf.DUMMYFUNCTION("""COMPUTED_VALUE"""),"ay8PA44BX2U")</f>
        <v>ay8PA44BX2U</v>
      </c>
      <c r="R343" s="5">
        <f ca="1">IFERROR(__xludf.DUMMYFUNCTION("""COMPUTED_VALUE"""),410)</f>
        <v>410</v>
      </c>
      <c r="S343" s="62">
        <f ca="1">IFERROR(__xludf.DUMMYFUNCTION("""COMPUTED_VALUE"""),0.005555556)</f>
        <v>5.5555559999999997E-3</v>
      </c>
      <c r="T343" s="63" t="str">
        <f ca="1">IFERROR(__xludf.DUMMYFUNCTION("""COMPUTED_VALUE"""),"https://storage.googleapis.com/glide-prod.appspot.com/uploads-v2/ly7o78grxPaC6KdgvbpS/pub/UliJWgpEaBovaFmXi6OW.png")</f>
        <v>https://storage.googleapis.com/glide-prod.appspot.com/uploads-v2/ly7o78grxPaC6KdgvbpS/pub/UliJWgpEaBovaFmXi6OW.png</v>
      </c>
      <c r="U343" s="5" t="str">
        <f ca="1">IFERROR(__xludf.DUMMYFUNCTION("""COMPUTED_VALUE"""),"LINEA DE ENVASADO FAMILIAR Y PRBDESEMPACADORA")</f>
        <v>LINEA DE ENVASADO FAMILIAR Y PRBDESEMPACADORA</v>
      </c>
      <c r="V343" s="5"/>
      <c r="W343" s="5"/>
      <c r="X343" s="5" t="str">
        <f ca="1">IFERROR(__xludf.DUMMYFUNCTION("""COMPUTED_VALUE"""),"wguerra@postobon.com.co,aprmttoyu@postobon.com.co,aprmyu@postobon.com.co,wmora@postobon.com.co,efzapata@postobon.com.co")</f>
        <v>wguerra@postobon.com.co,aprmttoyu@postobon.com.co,aprmyu@postobon.com.co,wmora@postobon.com.co,efzapata@postobon.com.co</v>
      </c>
      <c r="Y343" s="5" t="str">
        <f ca="1">IFERROR(__xludf.DUMMYFUNCTION("""COMPUTED_VALUE"""),"wguerra@postobon.com.co")</f>
        <v>wguerra@postobon.com.co</v>
      </c>
      <c r="Z343" s="5" t="str">
        <f ca="1">IFERROR(__xludf.DUMMYFUNCTION("""COMPUTED_VALUE"""),"WoHrT44aS1aMuMdefraVqg")</f>
        <v>WoHrT44aS1aMuMdefraVqg</v>
      </c>
      <c r="AA343" s="5"/>
      <c r="AB343" s="5"/>
      <c r="AC343" s="5"/>
      <c r="AD343" s="5">
        <f ca="1">IFERROR(__xludf.DUMMYFUNCTION("""COMPUTED_VALUE"""),38)</f>
        <v>38</v>
      </c>
      <c r="AE343" s="5">
        <f ca="1">IFERROR(__xludf.DUMMYFUNCTION("""COMPUTED_VALUE"""),0)</f>
        <v>0</v>
      </c>
      <c r="AF343" s="5" t="b">
        <f ca="1">IFERROR(__xludf.DUMMYFUNCTION("""COMPUTED_VALUE"""),TRUE)</f>
        <v>1</v>
      </c>
      <c r="AG343" s="5" t="str">
        <f ca="1">IFERROR(__xludf.DUMMYFUNCTION("""COMPUTED_VALUE"""),"INSPECCIONES SIN REALIZAR")</f>
        <v>INSPECCIONES SIN REALIZAR</v>
      </c>
      <c r="AH343" s="5"/>
    </row>
    <row r="344" spans="1:34">
      <c r="A344" s="5" t="str">
        <f ca="1">IFERROR(__xludf.DUMMYFUNCTION("""COMPUTED_VALUE"""),"LINEA DE ENVASADO FAMILIAR Y PRB")</f>
        <v>LINEA DE ENVASADO FAMILIAR Y PRB</v>
      </c>
      <c r="B344" s="5">
        <f ca="1">IFERROR(__xludf.DUMMYFUNCTION("""COMPUTED_VALUE"""),548732)</f>
        <v>548732</v>
      </c>
      <c r="C344" s="5" t="str">
        <f ca="1">IFERROR(__xludf.DUMMYFUNCTION("""COMPUTED_VALUE"""),"DESEMPACADORA")</f>
        <v>DESEMPACADORA</v>
      </c>
      <c r="D344" s="5">
        <f ca="1">IFERROR(__xludf.DUMMYFUNCTION("""COMPUTED_VALUE"""),13247269)</f>
        <v>13247269</v>
      </c>
      <c r="E344" s="5" t="str">
        <f ca="1">IFERROR(__xludf.DUMMYFUNCTION("""COMPUTED_VALUE"""),"INSPECCION SEMANAL DESEMPACADORA")</f>
        <v>INSPECCION SEMANAL DESEMPACADORA</v>
      </c>
      <c r="F344" s="5" t="str">
        <f ca="1">IFERROR(__xludf.DUMMYFUNCTION("""COMPUTED_VALUE"""),"Estado de las membranas y cabezote")</f>
        <v>Estado de las membranas y cabezote</v>
      </c>
      <c r="G344" s="5"/>
      <c r="H344" s="5"/>
      <c r="I344" s="5"/>
      <c r="J344" s="5"/>
      <c r="K344" s="5"/>
      <c r="L344" s="18">
        <f ca="1">IFERROR(__xludf.DUMMYFUNCTION("""COMPUTED_VALUE"""),45324)</f>
        <v>45324</v>
      </c>
      <c r="M344" s="18">
        <f ca="1">IFERROR(__xludf.DUMMYFUNCTION("""COMPUTED_VALUE"""),45324)</f>
        <v>45324</v>
      </c>
      <c r="N344" s="5" t="str">
        <f ca="1">IFERROR(__xludf.DUMMYFUNCTION("""COMPUTED_VALUE"""),"Alexander Echeverry Moreno")</f>
        <v>Alexander Echeverry Moreno</v>
      </c>
      <c r="O344" s="2">
        <f ca="1">IFERROR(__xludf.DUMMYFUNCTION("""COMPUTED_VALUE"""),0.005555556)</f>
        <v>5.5555559999999997E-3</v>
      </c>
      <c r="P344" s="5"/>
      <c r="Q344" s="5" t="str">
        <f ca="1">IFERROR(__xludf.DUMMYFUNCTION("""COMPUTED_VALUE"""),"KhqwbsURijo")</f>
        <v>KhqwbsURijo</v>
      </c>
      <c r="R344" s="5">
        <f ca="1">IFERROR(__xludf.DUMMYFUNCTION("""COMPUTED_VALUE"""),410)</f>
        <v>410</v>
      </c>
      <c r="S344" s="62">
        <f ca="1">IFERROR(__xludf.DUMMYFUNCTION("""COMPUTED_VALUE"""),0.005555556)</f>
        <v>5.5555559999999997E-3</v>
      </c>
      <c r="T344" s="63" t="str">
        <f ca="1">IFERROR(__xludf.DUMMYFUNCTION("""COMPUTED_VALUE"""),"https://storage.googleapis.com/glide-prod.appspot.com/uploads-v2/ly7o78grxPaC6KdgvbpS/pub/UliJWgpEaBovaFmXi6OW.png")</f>
        <v>https://storage.googleapis.com/glide-prod.appspot.com/uploads-v2/ly7o78grxPaC6KdgvbpS/pub/UliJWgpEaBovaFmXi6OW.png</v>
      </c>
      <c r="U344" s="5" t="str">
        <f ca="1">IFERROR(__xludf.DUMMYFUNCTION("""COMPUTED_VALUE"""),"LINEA DE ENVASADO FAMILIAR Y PRBDESEMPACADORA")</f>
        <v>LINEA DE ENVASADO FAMILIAR Y PRBDESEMPACADORA</v>
      </c>
      <c r="V344" s="5"/>
      <c r="W344" s="5"/>
      <c r="X344" s="5" t="str">
        <f ca="1">IFERROR(__xludf.DUMMYFUNCTION("""COMPUTED_VALUE"""),"wguerra@postobon.com.co,aprmttoyu@postobon.com.co,aprmyu@postobon.com.co,wmora@postobon.com.co,efzapata@postobon.com.co")</f>
        <v>wguerra@postobon.com.co,aprmttoyu@postobon.com.co,aprmyu@postobon.com.co,wmora@postobon.com.co,efzapata@postobon.com.co</v>
      </c>
      <c r="Y344" s="5" t="str">
        <f ca="1">IFERROR(__xludf.DUMMYFUNCTION("""COMPUTED_VALUE"""),"wguerra@postobon.com.co")</f>
        <v>wguerra@postobon.com.co</v>
      </c>
      <c r="Z344" s="5" t="str">
        <f ca="1">IFERROR(__xludf.DUMMYFUNCTION("""COMPUTED_VALUE"""),"TDdV60RxRiOkQR1ci9JyKw")</f>
        <v>TDdV60RxRiOkQR1ci9JyKw</v>
      </c>
      <c r="AA344" s="5"/>
      <c r="AB344" s="5"/>
      <c r="AC344" s="5"/>
      <c r="AD344" s="5">
        <f ca="1">IFERROR(__xludf.DUMMYFUNCTION("""COMPUTED_VALUE"""),38)</f>
        <v>38</v>
      </c>
      <c r="AE344" s="5">
        <f ca="1">IFERROR(__xludf.DUMMYFUNCTION("""COMPUTED_VALUE"""),0)</f>
        <v>0</v>
      </c>
      <c r="AF344" s="5" t="b">
        <f ca="1">IFERROR(__xludf.DUMMYFUNCTION("""COMPUTED_VALUE"""),TRUE)</f>
        <v>1</v>
      </c>
      <c r="AG344" s="5" t="str">
        <f ca="1">IFERROR(__xludf.DUMMYFUNCTION("""COMPUTED_VALUE"""),"INSPECCIONES SIN REALIZAR")</f>
        <v>INSPECCIONES SIN REALIZAR</v>
      </c>
      <c r="AH344" s="5"/>
    </row>
    <row r="345" spans="1:34">
      <c r="A345" s="5" t="str">
        <f ca="1">IFERROR(__xludf.DUMMYFUNCTION("""COMPUTED_VALUE"""),"LINEA DE ENVASADO FAMILIAR Y PRB")</f>
        <v>LINEA DE ENVASADO FAMILIAR Y PRB</v>
      </c>
      <c r="B345" s="5">
        <f ca="1">IFERROR(__xludf.DUMMYFUNCTION("""COMPUTED_VALUE"""),548732)</f>
        <v>548732</v>
      </c>
      <c r="C345" s="5" t="str">
        <f ca="1">IFERROR(__xludf.DUMMYFUNCTION("""COMPUTED_VALUE"""),"DESEMPACADORA")</f>
        <v>DESEMPACADORA</v>
      </c>
      <c r="D345" s="5">
        <f ca="1">IFERROR(__xludf.DUMMYFUNCTION("""COMPUTED_VALUE"""),13247269)</f>
        <v>13247269</v>
      </c>
      <c r="E345" s="5" t="str">
        <f ca="1">IFERROR(__xludf.DUMMYFUNCTION("""COMPUTED_VALUE"""),"INSPECCION SEMANAL DESEMPACADORA")</f>
        <v>INSPECCION SEMANAL DESEMPACADORA</v>
      </c>
      <c r="F345" s="5" t="str">
        <f ca="1">IFERROR(__xludf.DUMMYFUNCTION("""COMPUTED_VALUE"""),"Estado de tableros eléctricos de mando, control y potencia")</f>
        <v>Estado de tableros eléctricos de mando, control y potencia</v>
      </c>
      <c r="G345" s="5"/>
      <c r="H345" s="5"/>
      <c r="I345" s="5"/>
      <c r="J345" s="5"/>
      <c r="K345" s="5"/>
      <c r="L345" s="18">
        <f ca="1">IFERROR(__xludf.DUMMYFUNCTION("""COMPUTED_VALUE"""),45324)</f>
        <v>45324</v>
      </c>
      <c r="M345" s="18">
        <f ca="1">IFERROR(__xludf.DUMMYFUNCTION("""COMPUTED_VALUE"""),45324)</f>
        <v>45324</v>
      </c>
      <c r="N345" s="5" t="str">
        <f ca="1">IFERROR(__xludf.DUMMYFUNCTION("""COMPUTED_VALUE"""),"Alexander Echeverry Moreno")</f>
        <v>Alexander Echeverry Moreno</v>
      </c>
      <c r="O345" s="2">
        <f ca="1">IFERROR(__xludf.DUMMYFUNCTION("""COMPUTED_VALUE"""),0.005555556)</f>
        <v>5.5555559999999997E-3</v>
      </c>
      <c r="P345" s="5"/>
      <c r="Q345" s="5" t="str">
        <f ca="1">IFERROR(__xludf.DUMMYFUNCTION("""COMPUTED_VALUE"""),"_0LJ1I-Curg")</f>
        <v>_0LJ1I-Curg</v>
      </c>
      <c r="R345" s="5">
        <f ca="1">IFERROR(__xludf.DUMMYFUNCTION("""COMPUTED_VALUE"""),410)</f>
        <v>410</v>
      </c>
      <c r="S345" s="62">
        <f ca="1">IFERROR(__xludf.DUMMYFUNCTION("""COMPUTED_VALUE"""),0.005555556)</f>
        <v>5.5555559999999997E-3</v>
      </c>
      <c r="T345" s="63" t="str">
        <f ca="1">IFERROR(__xludf.DUMMYFUNCTION("""COMPUTED_VALUE"""),"https://storage.googleapis.com/glide-prod.appspot.com/uploads-v2/ly7o78grxPaC6KdgvbpS/pub/UliJWgpEaBovaFmXi6OW.png")</f>
        <v>https://storage.googleapis.com/glide-prod.appspot.com/uploads-v2/ly7o78grxPaC6KdgvbpS/pub/UliJWgpEaBovaFmXi6OW.png</v>
      </c>
      <c r="U345" s="5" t="str">
        <f ca="1">IFERROR(__xludf.DUMMYFUNCTION("""COMPUTED_VALUE"""),"LINEA DE ENVASADO FAMILIAR Y PRBDESEMPACADORA")</f>
        <v>LINEA DE ENVASADO FAMILIAR Y PRBDESEMPACADORA</v>
      </c>
      <c r="V345" s="5"/>
      <c r="W345" s="5"/>
      <c r="X345" s="5" t="str">
        <f ca="1">IFERROR(__xludf.DUMMYFUNCTION("""COMPUTED_VALUE"""),"wguerra@postobon.com.co,aprmttoyu@postobon.com.co,aprmyu@postobon.com.co,wmora@postobon.com.co,efzapata@postobon.com.co")</f>
        <v>wguerra@postobon.com.co,aprmttoyu@postobon.com.co,aprmyu@postobon.com.co,wmora@postobon.com.co,efzapata@postobon.com.co</v>
      </c>
      <c r="Y345" s="5" t="str">
        <f ca="1">IFERROR(__xludf.DUMMYFUNCTION("""COMPUTED_VALUE"""),"wguerra@postobon.com.co")</f>
        <v>wguerra@postobon.com.co</v>
      </c>
      <c r="Z345" s="5" t="str">
        <f ca="1">IFERROR(__xludf.DUMMYFUNCTION("""COMPUTED_VALUE"""),"zNKvGMcaSA-e4deoaWP7ng")</f>
        <v>zNKvGMcaSA-e4deoaWP7ng</v>
      </c>
      <c r="AA345" s="5"/>
      <c r="AB345" s="5"/>
      <c r="AC345" s="5"/>
      <c r="AD345" s="5">
        <f ca="1">IFERROR(__xludf.DUMMYFUNCTION("""COMPUTED_VALUE"""),38)</f>
        <v>38</v>
      </c>
      <c r="AE345" s="5">
        <f ca="1">IFERROR(__xludf.DUMMYFUNCTION("""COMPUTED_VALUE"""),0)</f>
        <v>0</v>
      </c>
      <c r="AF345" s="5" t="b">
        <f ca="1">IFERROR(__xludf.DUMMYFUNCTION("""COMPUTED_VALUE"""),TRUE)</f>
        <v>1</v>
      </c>
      <c r="AG345" s="5" t="str">
        <f ca="1">IFERROR(__xludf.DUMMYFUNCTION("""COMPUTED_VALUE"""),"INSPECCIONES SIN REALIZAR")</f>
        <v>INSPECCIONES SIN REALIZAR</v>
      </c>
      <c r="AH345" s="5"/>
    </row>
    <row r="346" spans="1:34">
      <c r="A346" s="5" t="str">
        <f ca="1">IFERROR(__xludf.DUMMYFUNCTION("""COMPUTED_VALUE"""),"LINEA DE ENVASADO FAMILIAR Y PRB")</f>
        <v>LINEA DE ENVASADO FAMILIAR Y PRB</v>
      </c>
      <c r="B346" s="5">
        <f ca="1">IFERROR(__xludf.DUMMYFUNCTION("""COMPUTED_VALUE"""),548732)</f>
        <v>548732</v>
      </c>
      <c r="C346" s="5" t="str">
        <f ca="1">IFERROR(__xludf.DUMMYFUNCTION("""COMPUTED_VALUE"""),"DESEMPACADORA")</f>
        <v>DESEMPACADORA</v>
      </c>
      <c r="D346" s="5">
        <f ca="1">IFERROR(__xludf.DUMMYFUNCTION("""COMPUTED_VALUE"""),13247269)</f>
        <v>13247269</v>
      </c>
      <c r="E346" s="5" t="str">
        <f ca="1">IFERROR(__xludf.DUMMYFUNCTION("""COMPUTED_VALUE"""),"INSPECCION SEMANAL DESEMPACADORA")</f>
        <v>INSPECCION SEMANAL DESEMPACADORA</v>
      </c>
      <c r="F346" s="5" t="str">
        <f ca="1">IFERROR(__xludf.DUMMYFUNCTION("""COMPUTED_VALUE"""),"Estado mecánico general (chasis, pantógrafo, guardas, rotulas, bujes, pasadores, chumaceras y rodamientos)")</f>
        <v>Estado mecánico general (chasis, pantógrafo, guardas, rotulas, bujes, pasadores, chumaceras y rodamientos)</v>
      </c>
      <c r="G346" s="5"/>
      <c r="H346" s="5"/>
      <c r="I346" s="5"/>
      <c r="J346" s="5"/>
      <c r="K346" s="5"/>
      <c r="L346" s="18">
        <f ca="1">IFERROR(__xludf.DUMMYFUNCTION("""COMPUTED_VALUE"""),45324)</f>
        <v>45324</v>
      </c>
      <c r="M346" s="18">
        <f ca="1">IFERROR(__xludf.DUMMYFUNCTION("""COMPUTED_VALUE"""),45324)</f>
        <v>45324</v>
      </c>
      <c r="N346" s="5" t="str">
        <f ca="1">IFERROR(__xludf.DUMMYFUNCTION("""COMPUTED_VALUE"""),"Alexander Echeverry Moreno")</f>
        <v>Alexander Echeverry Moreno</v>
      </c>
      <c r="O346" s="2">
        <f ca="1">IFERROR(__xludf.DUMMYFUNCTION("""COMPUTED_VALUE"""),0.005555556)</f>
        <v>5.5555559999999997E-3</v>
      </c>
      <c r="P346" s="5"/>
      <c r="Q346" s="5" t="str">
        <f ca="1">IFERROR(__xludf.DUMMYFUNCTION("""COMPUTED_VALUE"""),"4_NOxdxkJiY")</f>
        <v>4_NOxdxkJiY</v>
      </c>
      <c r="R346" s="5">
        <f ca="1">IFERROR(__xludf.DUMMYFUNCTION("""COMPUTED_VALUE"""),410)</f>
        <v>410</v>
      </c>
      <c r="S346" s="62">
        <f ca="1">IFERROR(__xludf.DUMMYFUNCTION("""COMPUTED_VALUE"""),0.005555556)</f>
        <v>5.5555559999999997E-3</v>
      </c>
      <c r="T346" s="63" t="str">
        <f ca="1">IFERROR(__xludf.DUMMYFUNCTION("""COMPUTED_VALUE"""),"https://storage.googleapis.com/glide-prod.appspot.com/uploads-v2/ly7o78grxPaC6KdgvbpS/pub/UliJWgpEaBovaFmXi6OW.png")</f>
        <v>https://storage.googleapis.com/glide-prod.appspot.com/uploads-v2/ly7o78grxPaC6KdgvbpS/pub/UliJWgpEaBovaFmXi6OW.png</v>
      </c>
      <c r="U346" s="5" t="str">
        <f ca="1">IFERROR(__xludf.DUMMYFUNCTION("""COMPUTED_VALUE"""),"LINEA DE ENVASADO FAMILIAR Y PRBDESEMPACADORA")</f>
        <v>LINEA DE ENVASADO FAMILIAR Y PRBDESEMPACADORA</v>
      </c>
      <c r="V346" s="5"/>
      <c r="W346" s="5"/>
      <c r="X346" s="5" t="str">
        <f ca="1">IFERROR(__xludf.DUMMYFUNCTION("""COMPUTED_VALUE"""),"wguerra@postobon.com.co,aprmttoyu@postobon.com.co,aprmyu@postobon.com.co,wmora@postobon.com.co,efzapata@postobon.com.co")</f>
        <v>wguerra@postobon.com.co,aprmttoyu@postobon.com.co,aprmyu@postobon.com.co,wmora@postobon.com.co,efzapata@postobon.com.co</v>
      </c>
      <c r="Y346" s="5" t="str">
        <f ca="1">IFERROR(__xludf.DUMMYFUNCTION("""COMPUTED_VALUE"""),"wguerra@postobon.com.co")</f>
        <v>wguerra@postobon.com.co</v>
      </c>
      <c r="Z346" s="5" t="str">
        <f ca="1">IFERROR(__xludf.DUMMYFUNCTION("""COMPUTED_VALUE"""),"rrvoEqRDR42WG5zwUT9MGg")</f>
        <v>rrvoEqRDR42WG5zwUT9MGg</v>
      </c>
      <c r="AA346" s="5"/>
      <c r="AB346" s="5"/>
      <c r="AC346" s="5"/>
      <c r="AD346" s="5">
        <f ca="1">IFERROR(__xludf.DUMMYFUNCTION("""COMPUTED_VALUE"""),38)</f>
        <v>38</v>
      </c>
      <c r="AE346" s="5">
        <f ca="1">IFERROR(__xludf.DUMMYFUNCTION("""COMPUTED_VALUE"""),0)</f>
        <v>0</v>
      </c>
      <c r="AF346" s="5" t="b">
        <f ca="1">IFERROR(__xludf.DUMMYFUNCTION("""COMPUTED_VALUE"""),TRUE)</f>
        <v>1</v>
      </c>
      <c r="AG346" s="5" t="str">
        <f ca="1">IFERROR(__xludf.DUMMYFUNCTION("""COMPUTED_VALUE"""),"INSPECCIONES SIN REALIZAR")</f>
        <v>INSPECCIONES SIN REALIZAR</v>
      </c>
      <c r="AH346" s="5"/>
    </row>
    <row r="347" spans="1:34">
      <c r="A347" s="5" t="str">
        <f ca="1">IFERROR(__xludf.DUMMYFUNCTION("""COMPUTED_VALUE"""),"LINEA DE ENVASADO FAMILIAR Y PRB")</f>
        <v>LINEA DE ENVASADO FAMILIAR Y PRB</v>
      </c>
      <c r="B347" s="5">
        <f ca="1">IFERROR(__xludf.DUMMYFUNCTION("""COMPUTED_VALUE"""),548732)</f>
        <v>548732</v>
      </c>
      <c r="C347" s="5" t="str">
        <f ca="1">IFERROR(__xludf.DUMMYFUNCTION("""COMPUTED_VALUE"""),"DESEMPACADORA")</f>
        <v>DESEMPACADORA</v>
      </c>
      <c r="D347" s="5">
        <f ca="1">IFERROR(__xludf.DUMMYFUNCTION("""COMPUTED_VALUE"""),13247269)</f>
        <v>13247269</v>
      </c>
      <c r="E347" s="5" t="str">
        <f ca="1">IFERROR(__xludf.DUMMYFUNCTION("""COMPUTED_VALUE"""),"INSPECCION SEMANAL DESEMPACADORA")</f>
        <v>INSPECCION SEMANAL DESEMPACADORA</v>
      </c>
      <c r="F347" s="5" t="str">
        <f ca="1">IFERROR(__xludf.DUMMYFUNCTION("""COMPUTED_VALUE"""),"Estado de cadenas de transmision")</f>
        <v>Estado de cadenas de transmision</v>
      </c>
      <c r="G347" s="5"/>
      <c r="H347" s="5"/>
      <c r="I347" s="5"/>
      <c r="J347" s="5"/>
      <c r="K347" s="5"/>
      <c r="L347" s="18">
        <f ca="1">IFERROR(__xludf.DUMMYFUNCTION("""COMPUTED_VALUE"""),45324)</f>
        <v>45324</v>
      </c>
      <c r="M347" s="18">
        <f ca="1">IFERROR(__xludf.DUMMYFUNCTION("""COMPUTED_VALUE"""),45324)</f>
        <v>45324</v>
      </c>
      <c r="N347" s="5" t="str">
        <f ca="1">IFERROR(__xludf.DUMMYFUNCTION("""COMPUTED_VALUE"""),"Alexander Echeverry Moreno")</f>
        <v>Alexander Echeverry Moreno</v>
      </c>
      <c r="O347" s="2">
        <f ca="1">IFERROR(__xludf.DUMMYFUNCTION("""COMPUTED_VALUE"""),0.005555556)</f>
        <v>5.5555559999999997E-3</v>
      </c>
      <c r="P347" s="5"/>
      <c r="Q347" s="5" t="str">
        <f ca="1">IFERROR(__xludf.DUMMYFUNCTION("""COMPUTED_VALUE"""),"Zw5AgOAGaS4")</f>
        <v>Zw5AgOAGaS4</v>
      </c>
      <c r="R347" s="5">
        <f ca="1">IFERROR(__xludf.DUMMYFUNCTION("""COMPUTED_VALUE"""),410)</f>
        <v>410</v>
      </c>
      <c r="S347" s="62">
        <f ca="1">IFERROR(__xludf.DUMMYFUNCTION("""COMPUTED_VALUE"""),0.005555556)</f>
        <v>5.5555559999999997E-3</v>
      </c>
      <c r="T347" s="63" t="str">
        <f ca="1">IFERROR(__xludf.DUMMYFUNCTION("""COMPUTED_VALUE"""),"https://storage.googleapis.com/glide-prod.appspot.com/uploads-v2/ly7o78grxPaC6KdgvbpS/pub/UliJWgpEaBovaFmXi6OW.png")</f>
        <v>https://storage.googleapis.com/glide-prod.appspot.com/uploads-v2/ly7o78grxPaC6KdgvbpS/pub/UliJWgpEaBovaFmXi6OW.png</v>
      </c>
      <c r="U347" s="5" t="str">
        <f ca="1">IFERROR(__xludf.DUMMYFUNCTION("""COMPUTED_VALUE"""),"LINEA DE ENVASADO FAMILIAR Y PRBDESEMPACADORA")</f>
        <v>LINEA DE ENVASADO FAMILIAR Y PRBDESEMPACADORA</v>
      </c>
      <c r="V347" s="5"/>
      <c r="W347" s="5"/>
      <c r="X347" s="5" t="str">
        <f ca="1">IFERROR(__xludf.DUMMYFUNCTION("""COMPUTED_VALUE"""),"wguerra@postobon.com.co,aprmttoyu@postobon.com.co,aprmyu@postobon.com.co,wmora@postobon.com.co,efzapata@postobon.com.co")</f>
        <v>wguerra@postobon.com.co,aprmttoyu@postobon.com.co,aprmyu@postobon.com.co,wmora@postobon.com.co,efzapata@postobon.com.co</v>
      </c>
      <c r="Y347" s="5" t="str">
        <f ca="1">IFERROR(__xludf.DUMMYFUNCTION("""COMPUTED_VALUE"""),"wguerra@postobon.com.co")</f>
        <v>wguerra@postobon.com.co</v>
      </c>
      <c r="Z347" s="5" t="str">
        <f ca="1">IFERROR(__xludf.DUMMYFUNCTION("""COMPUTED_VALUE"""),"SGJDiTAZS5Ki5GlgewlbIw")</f>
        <v>SGJDiTAZS5Ki5GlgewlbIw</v>
      </c>
      <c r="AA347" s="5"/>
      <c r="AB347" s="5"/>
      <c r="AC347" s="5"/>
      <c r="AD347" s="5">
        <f ca="1">IFERROR(__xludf.DUMMYFUNCTION("""COMPUTED_VALUE"""),38)</f>
        <v>38</v>
      </c>
      <c r="AE347" s="5">
        <f ca="1">IFERROR(__xludf.DUMMYFUNCTION("""COMPUTED_VALUE"""),0)</f>
        <v>0</v>
      </c>
      <c r="AF347" s="5" t="b">
        <f ca="1">IFERROR(__xludf.DUMMYFUNCTION("""COMPUTED_VALUE"""),TRUE)</f>
        <v>1</v>
      </c>
      <c r="AG347" s="5" t="str">
        <f ca="1">IFERROR(__xludf.DUMMYFUNCTION("""COMPUTED_VALUE"""),"INSPECCIONES SIN REALIZAR")</f>
        <v>INSPECCIONES SIN REALIZAR</v>
      </c>
      <c r="AH347" s="5"/>
    </row>
    <row r="348" spans="1:34">
      <c r="A348" s="5" t="str">
        <f ca="1">IFERROR(__xludf.DUMMYFUNCTION("""COMPUTED_VALUE"""),"LINEA DE ENVASADO FAMILIAR Y PRB")</f>
        <v>LINEA DE ENVASADO FAMILIAR Y PRB</v>
      </c>
      <c r="B348" s="5">
        <f ca="1">IFERROR(__xludf.DUMMYFUNCTION("""COMPUTED_VALUE"""),548732)</f>
        <v>548732</v>
      </c>
      <c r="C348" s="5" t="str">
        <f ca="1">IFERROR(__xludf.DUMMYFUNCTION("""COMPUTED_VALUE"""),"DESEMPACADORA")</f>
        <v>DESEMPACADORA</v>
      </c>
      <c r="D348" s="5">
        <f ca="1">IFERROR(__xludf.DUMMYFUNCTION("""COMPUTED_VALUE"""),13247269)</f>
        <v>13247269</v>
      </c>
      <c r="E348" s="5" t="str">
        <f ca="1">IFERROR(__xludf.DUMMYFUNCTION("""COMPUTED_VALUE"""),"INSPECCION SEMANAL DESEMPACADORA")</f>
        <v>INSPECCION SEMANAL DESEMPACADORA</v>
      </c>
      <c r="F348" s="5" t="str">
        <f ca="1">IFERROR(__xludf.DUMMYFUNCTION("""COMPUTED_VALUE"""),"Estado de cadenas table top")</f>
        <v>Estado de cadenas table top</v>
      </c>
      <c r="G348" s="5"/>
      <c r="H348" s="5"/>
      <c r="I348" s="5"/>
      <c r="J348" s="5"/>
      <c r="K348" s="5"/>
      <c r="L348" s="18">
        <f ca="1">IFERROR(__xludf.DUMMYFUNCTION("""COMPUTED_VALUE"""),45324)</f>
        <v>45324</v>
      </c>
      <c r="M348" s="18">
        <f ca="1">IFERROR(__xludf.DUMMYFUNCTION("""COMPUTED_VALUE"""),45324)</f>
        <v>45324</v>
      </c>
      <c r="N348" s="5" t="str">
        <f ca="1">IFERROR(__xludf.DUMMYFUNCTION("""COMPUTED_VALUE"""),"Alexander Echeverry Moreno")</f>
        <v>Alexander Echeverry Moreno</v>
      </c>
      <c r="O348" s="2">
        <f ca="1">IFERROR(__xludf.DUMMYFUNCTION("""COMPUTED_VALUE"""),0.005555556)</f>
        <v>5.5555559999999997E-3</v>
      </c>
      <c r="P348" s="5"/>
      <c r="Q348" s="5" t="str">
        <f ca="1">IFERROR(__xludf.DUMMYFUNCTION("""COMPUTED_VALUE"""),"5Hux1yohsm4")</f>
        <v>5Hux1yohsm4</v>
      </c>
      <c r="R348" s="5">
        <f ca="1">IFERROR(__xludf.DUMMYFUNCTION("""COMPUTED_VALUE"""),410)</f>
        <v>410</v>
      </c>
      <c r="S348" s="62">
        <f ca="1">IFERROR(__xludf.DUMMYFUNCTION("""COMPUTED_VALUE"""),0.005555556)</f>
        <v>5.5555559999999997E-3</v>
      </c>
      <c r="T348" s="63" t="str">
        <f ca="1">IFERROR(__xludf.DUMMYFUNCTION("""COMPUTED_VALUE"""),"https://storage.googleapis.com/glide-prod.appspot.com/uploads-v2/ly7o78grxPaC6KdgvbpS/pub/UliJWgpEaBovaFmXi6OW.png")</f>
        <v>https://storage.googleapis.com/glide-prod.appspot.com/uploads-v2/ly7o78grxPaC6KdgvbpS/pub/UliJWgpEaBovaFmXi6OW.png</v>
      </c>
      <c r="U348" s="5" t="str">
        <f ca="1">IFERROR(__xludf.DUMMYFUNCTION("""COMPUTED_VALUE"""),"LINEA DE ENVASADO FAMILIAR Y PRBDESEMPACADORA")</f>
        <v>LINEA DE ENVASADO FAMILIAR Y PRBDESEMPACADORA</v>
      </c>
      <c r="V348" s="5"/>
      <c r="W348" s="5"/>
      <c r="X348" s="5" t="str">
        <f ca="1">IFERROR(__xludf.DUMMYFUNCTION("""COMPUTED_VALUE"""),"wguerra@postobon.com.co,aprmttoyu@postobon.com.co,aprmyu@postobon.com.co,wmora@postobon.com.co,efzapata@postobon.com.co")</f>
        <v>wguerra@postobon.com.co,aprmttoyu@postobon.com.co,aprmyu@postobon.com.co,wmora@postobon.com.co,efzapata@postobon.com.co</v>
      </c>
      <c r="Y348" s="5" t="str">
        <f ca="1">IFERROR(__xludf.DUMMYFUNCTION("""COMPUTED_VALUE"""),"wguerra@postobon.com.co")</f>
        <v>wguerra@postobon.com.co</v>
      </c>
      <c r="Z348" s="5" t="str">
        <f ca="1">IFERROR(__xludf.DUMMYFUNCTION("""COMPUTED_VALUE"""),"AvHnKLKcSaCjXvulXWyhFg")</f>
        <v>AvHnKLKcSaCjXvulXWyhFg</v>
      </c>
      <c r="AA348" s="5"/>
      <c r="AB348" s="5"/>
      <c r="AC348" s="5"/>
      <c r="AD348" s="5">
        <f ca="1">IFERROR(__xludf.DUMMYFUNCTION("""COMPUTED_VALUE"""),38)</f>
        <v>38</v>
      </c>
      <c r="AE348" s="5">
        <f ca="1">IFERROR(__xludf.DUMMYFUNCTION("""COMPUTED_VALUE"""),0)</f>
        <v>0</v>
      </c>
      <c r="AF348" s="5" t="b">
        <f ca="1">IFERROR(__xludf.DUMMYFUNCTION("""COMPUTED_VALUE"""),TRUE)</f>
        <v>1</v>
      </c>
      <c r="AG348" s="5" t="str">
        <f ca="1">IFERROR(__xludf.DUMMYFUNCTION("""COMPUTED_VALUE"""),"INSPECCIONES SIN REALIZAR")</f>
        <v>INSPECCIONES SIN REALIZAR</v>
      </c>
      <c r="AH348" s="5"/>
    </row>
    <row r="349" spans="1:34">
      <c r="A349" s="5" t="str">
        <f ca="1">IFERROR(__xludf.DUMMYFUNCTION("""COMPUTED_VALUE"""),"LINEA DE ENVASADO FAMILIAR Y PRB")</f>
        <v>LINEA DE ENVASADO FAMILIAR Y PRB</v>
      </c>
      <c r="B349" s="5">
        <f ca="1">IFERROR(__xludf.DUMMYFUNCTION("""COMPUTED_VALUE"""),548732)</f>
        <v>548732</v>
      </c>
      <c r="C349" s="5" t="str">
        <f ca="1">IFERROR(__xludf.DUMMYFUNCTION("""COMPUTED_VALUE"""),"DESEMPACADORA")</f>
        <v>DESEMPACADORA</v>
      </c>
      <c r="D349" s="5">
        <f ca="1">IFERROR(__xludf.DUMMYFUNCTION("""COMPUTED_VALUE"""),13247269)</f>
        <v>13247269</v>
      </c>
      <c r="E349" s="5" t="str">
        <f ca="1">IFERROR(__xludf.DUMMYFUNCTION("""COMPUTED_VALUE"""),"INSPECCION SEMANAL DESEMPACADORA")</f>
        <v>INSPECCION SEMANAL DESEMPACADORA</v>
      </c>
      <c r="F349" s="5" t="str">
        <f ca="1">IFERROR(__xludf.DUMMYFUNCTION("""COMPUTED_VALUE"""),"Estado unidad de mantenimiento neumatica")</f>
        <v>Estado unidad de mantenimiento neumatica</v>
      </c>
      <c r="G349" s="5"/>
      <c r="H349" s="5"/>
      <c r="I349" s="5"/>
      <c r="J349" s="5"/>
      <c r="K349" s="5"/>
      <c r="L349" s="18">
        <f ca="1">IFERROR(__xludf.DUMMYFUNCTION("""COMPUTED_VALUE"""),45324)</f>
        <v>45324</v>
      </c>
      <c r="M349" s="18">
        <f ca="1">IFERROR(__xludf.DUMMYFUNCTION("""COMPUTED_VALUE"""),45324)</f>
        <v>45324</v>
      </c>
      <c r="N349" s="5" t="str">
        <f ca="1">IFERROR(__xludf.DUMMYFUNCTION("""COMPUTED_VALUE"""),"Alexander Echeverry Moreno")</f>
        <v>Alexander Echeverry Moreno</v>
      </c>
      <c r="O349" s="2">
        <f ca="1">IFERROR(__xludf.DUMMYFUNCTION("""COMPUTED_VALUE"""),0.005555556)</f>
        <v>5.5555559999999997E-3</v>
      </c>
      <c r="P349" s="5"/>
      <c r="Q349" s="5" t="str">
        <f ca="1">IFERROR(__xludf.DUMMYFUNCTION("""COMPUTED_VALUE"""),"dZ6baUOhCMs")</f>
        <v>dZ6baUOhCMs</v>
      </c>
      <c r="R349" s="5">
        <f ca="1">IFERROR(__xludf.DUMMYFUNCTION("""COMPUTED_VALUE"""),410)</f>
        <v>410</v>
      </c>
      <c r="S349" s="62">
        <f ca="1">IFERROR(__xludf.DUMMYFUNCTION("""COMPUTED_VALUE"""),0.005555556)</f>
        <v>5.5555559999999997E-3</v>
      </c>
      <c r="T349" s="63" t="str">
        <f ca="1">IFERROR(__xludf.DUMMYFUNCTION("""COMPUTED_VALUE"""),"https://storage.googleapis.com/glide-prod.appspot.com/uploads-v2/ly7o78grxPaC6KdgvbpS/pub/UliJWgpEaBovaFmXi6OW.png")</f>
        <v>https://storage.googleapis.com/glide-prod.appspot.com/uploads-v2/ly7o78grxPaC6KdgvbpS/pub/UliJWgpEaBovaFmXi6OW.png</v>
      </c>
      <c r="U349" s="5" t="str">
        <f ca="1">IFERROR(__xludf.DUMMYFUNCTION("""COMPUTED_VALUE"""),"LINEA DE ENVASADO FAMILIAR Y PRBDESEMPACADORA")</f>
        <v>LINEA DE ENVASADO FAMILIAR Y PRBDESEMPACADORA</v>
      </c>
      <c r="V349" s="5"/>
      <c r="W349" s="5"/>
      <c r="X349" s="5" t="str">
        <f ca="1">IFERROR(__xludf.DUMMYFUNCTION("""COMPUTED_VALUE"""),"wguerra@postobon.com.co,aprmttoyu@postobon.com.co,aprmyu@postobon.com.co,wmora@postobon.com.co,efzapata@postobon.com.co")</f>
        <v>wguerra@postobon.com.co,aprmttoyu@postobon.com.co,aprmyu@postobon.com.co,wmora@postobon.com.co,efzapata@postobon.com.co</v>
      </c>
      <c r="Y349" s="5" t="str">
        <f ca="1">IFERROR(__xludf.DUMMYFUNCTION("""COMPUTED_VALUE"""),"wguerra@postobon.com.co")</f>
        <v>wguerra@postobon.com.co</v>
      </c>
      <c r="Z349" s="5" t="str">
        <f ca="1">IFERROR(__xludf.DUMMYFUNCTION("""COMPUTED_VALUE"""),"szOjHiUfQM-tfAiHQPus0g")</f>
        <v>szOjHiUfQM-tfAiHQPus0g</v>
      </c>
      <c r="AA349" s="5"/>
      <c r="AB349" s="5"/>
      <c r="AC349" s="5"/>
      <c r="AD349" s="5">
        <f ca="1">IFERROR(__xludf.DUMMYFUNCTION("""COMPUTED_VALUE"""),38)</f>
        <v>38</v>
      </c>
      <c r="AE349" s="5">
        <f ca="1">IFERROR(__xludf.DUMMYFUNCTION("""COMPUTED_VALUE"""),0)</f>
        <v>0</v>
      </c>
      <c r="AF349" s="5" t="b">
        <f ca="1">IFERROR(__xludf.DUMMYFUNCTION("""COMPUTED_VALUE"""),TRUE)</f>
        <v>1</v>
      </c>
      <c r="AG349" s="5" t="str">
        <f ca="1">IFERROR(__xludf.DUMMYFUNCTION("""COMPUTED_VALUE"""),"INSPECCIONES SIN REALIZAR")</f>
        <v>INSPECCIONES SIN REALIZAR</v>
      </c>
      <c r="AH349" s="5"/>
    </row>
    <row r="350" spans="1:34">
      <c r="A350" s="5" t="str">
        <f ca="1">IFERROR(__xludf.DUMMYFUNCTION("""COMPUTED_VALUE"""),"LINEA DE ENVASADO FAMILIAR Y PRB")</f>
        <v>LINEA DE ENVASADO FAMILIAR Y PRB</v>
      </c>
      <c r="B350" s="5">
        <f ca="1">IFERROR(__xludf.DUMMYFUNCTION("""COMPUTED_VALUE"""),548732)</f>
        <v>548732</v>
      </c>
      <c r="C350" s="5" t="str">
        <f ca="1">IFERROR(__xludf.DUMMYFUNCTION("""COMPUTED_VALUE"""),"DESEMPACADORA")</f>
        <v>DESEMPACADORA</v>
      </c>
      <c r="D350" s="5">
        <f ca="1">IFERROR(__xludf.DUMMYFUNCTION("""COMPUTED_VALUE"""),13247269)</f>
        <v>13247269</v>
      </c>
      <c r="E350" s="5" t="str">
        <f ca="1">IFERROR(__xludf.DUMMYFUNCTION("""COMPUTED_VALUE"""),"INSPECCION SEMANAL DESEMPACADORA")</f>
        <v>INSPECCION SEMANAL DESEMPACADORA</v>
      </c>
      <c r="F350" s="5" t="str">
        <f ca="1">IFERROR(__xludf.DUMMYFUNCTION("""COMPUTED_VALUE"""),"Estado de motores")</f>
        <v>Estado de motores</v>
      </c>
      <c r="G350" s="5"/>
      <c r="H350" s="5"/>
      <c r="I350" s="5"/>
      <c r="J350" s="5"/>
      <c r="K350" s="5"/>
      <c r="L350" s="18">
        <f ca="1">IFERROR(__xludf.DUMMYFUNCTION("""COMPUTED_VALUE"""),45324)</f>
        <v>45324</v>
      </c>
      <c r="M350" s="18">
        <f ca="1">IFERROR(__xludf.DUMMYFUNCTION("""COMPUTED_VALUE"""),45324)</f>
        <v>45324</v>
      </c>
      <c r="N350" s="5" t="str">
        <f ca="1">IFERROR(__xludf.DUMMYFUNCTION("""COMPUTED_VALUE"""),"Alexander Echeverry Moreno")</f>
        <v>Alexander Echeverry Moreno</v>
      </c>
      <c r="O350" s="2">
        <f ca="1">IFERROR(__xludf.DUMMYFUNCTION("""COMPUTED_VALUE"""),0.005555556)</f>
        <v>5.5555559999999997E-3</v>
      </c>
      <c r="P350" s="5"/>
      <c r="Q350" s="5" t="str">
        <f ca="1">IFERROR(__xludf.DUMMYFUNCTION("""COMPUTED_VALUE"""),"NmRonLCTCsE")</f>
        <v>NmRonLCTCsE</v>
      </c>
      <c r="R350" s="5">
        <f ca="1">IFERROR(__xludf.DUMMYFUNCTION("""COMPUTED_VALUE"""),410)</f>
        <v>410</v>
      </c>
      <c r="S350" s="62">
        <f ca="1">IFERROR(__xludf.DUMMYFUNCTION("""COMPUTED_VALUE"""),0.005555556)</f>
        <v>5.5555559999999997E-3</v>
      </c>
      <c r="T350" s="63" t="str">
        <f ca="1">IFERROR(__xludf.DUMMYFUNCTION("""COMPUTED_VALUE"""),"https://storage.googleapis.com/glide-prod.appspot.com/uploads-v2/ly7o78grxPaC6KdgvbpS/pub/UliJWgpEaBovaFmXi6OW.png")</f>
        <v>https://storage.googleapis.com/glide-prod.appspot.com/uploads-v2/ly7o78grxPaC6KdgvbpS/pub/UliJWgpEaBovaFmXi6OW.png</v>
      </c>
      <c r="U350" s="5" t="str">
        <f ca="1">IFERROR(__xludf.DUMMYFUNCTION("""COMPUTED_VALUE"""),"LINEA DE ENVASADO FAMILIAR Y PRBDESEMPACADORA")</f>
        <v>LINEA DE ENVASADO FAMILIAR Y PRBDESEMPACADORA</v>
      </c>
      <c r="V350" s="5"/>
      <c r="W350" s="5"/>
      <c r="X350" s="5" t="str">
        <f ca="1">IFERROR(__xludf.DUMMYFUNCTION("""COMPUTED_VALUE"""),"wguerra@postobon.com.co,aprmttoyu@postobon.com.co,aprmyu@postobon.com.co,wmora@postobon.com.co,efzapata@postobon.com.co")</f>
        <v>wguerra@postobon.com.co,aprmttoyu@postobon.com.co,aprmyu@postobon.com.co,wmora@postobon.com.co,efzapata@postobon.com.co</v>
      </c>
      <c r="Y350" s="5" t="str">
        <f ca="1">IFERROR(__xludf.DUMMYFUNCTION("""COMPUTED_VALUE"""),"wguerra@postobon.com.co")</f>
        <v>wguerra@postobon.com.co</v>
      </c>
      <c r="Z350" s="5" t="str">
        <f ca="1">IFERROR(__xludf.DUMMYFUNCTION("""COMPUTED_VALUE"""),"OCrE0cb7TAScCK9Iy17QFA")</f>
        <v>OCrE0cb7TAScCK9Iy17QFA</v>
      </c>
      <c r="AA350" s="5"/>
      <c r="AB350" s="5"/>
      <c r="AC350" s="5"/>
      <c r="AD350" s="5">
        <f ca="1">IFERROR(__xludf.DUMMYFUNCTION("""COMPUTED_VALUE"""),38)</f>
        <v>38</v>
      </c>
      <c r="AE350" s="5">
        <f ca="1">IFERROR(__xludf.DUMMYFUNCTION("""COMPUTED_VALUE"""),0)</f>
        <v>0</v>
      </c>
      <c r="AF350" s="5" t="b">
        <f ca="1">IFERROR(__xludf.DUMMYFUNCTION("""COMPUTED_VALUE"""),TRUE)</f>
        <v>1</v>
      </c>
      <c r="AG350" s="5" t="str">
        <f ca="1">IFERROR(__xludf.DUMMYFUNCTION("""COMPUTED_VALUE"""),"INSPECCIONES SIN REALIZAR")</f>
        <v>INSPECCIONES SIN REALIZAR</v>
      </c>
      <c r="AH350" s="5"/>
    </row>
    <row r="351" spans="1:34">
      <c r="A351" s="5" t="str">
        <f ca="1">IFERROR(__xludf.DUMMYFUNCTION("""COMPUTED_VALUE"""),"LINEA DE ENVASADO FAMILIAR Y PRB")</f>
        <v>LINEA DE ENVASADO FAMILIAR Y PRB</v>
      </c>
      <c r="B351" s="5">
        <f ca="1">IFERROR(__xludf.DUMMYFUNCTION("""COMPUTED_VALUE"""),548732)</f>
        <v>548732</v>
      </c>
      <c r="C351" s="5" t="str">
        <f ca="1">IFERROR(__xludf.DUMMYFUNCTION("""COMPUTED_VALUE"""),"DESEMPACADORA")</f>
        <v>DESEMPACADORA</v>
      </c>
      <c r="D351" s="5">
        <f ca="1">IFERROR(__xludf.DUMMYFUNCTION("""COMPUTED_VALUE"""),13247269)</f>
        <v>13247269</v>
      </c>
      <c r="E351" s="5" t="str">
        <f ca="1">IFERROR(__xludf.DUMMYFUNCTION("""COMPUTED_VALUE"""),"INSPECCION SEMANAL DESEMPACADORA")</f>
        <v>INSPECCION SEMANAL DESEMPACADORA</v>
      </c>
      <c r="F351" s="5" t="str">
        <f ca="1">IFERROR(__xludf.DUMMYFUNCTION("""COMPUTED_VALUE"""),"Estado de cajas reductoras")</f>
        <v>Estado de cajas reductoras</v>
      </c>
      <c r="G351" s="5"/>
      <c r="H351" s="5"/>
      <c r="I351" s="5"/>
      <c r="J351" s="5"/>
      <c r="K351" s="5"/>
      <c r="L351" s="18">
        <f ca="1">IFERROR(__xludf.DUMMYFUNCTION("""COMPUTED_VALUE"""),45324)</f>
        <v>45324</v>
      </c>
      <c r="M351" s="18">
        <f ca="1">IFERROR(__xludf.DUMMYFUNCTION("""COMPUTED_VALUE"""),45324)</f>
        <v>45324</v>
      </c>
      <c r="N351" s="5" t="str">
        <f ca="1">IFERROR(__xludf.DUMMYFUNCTION("""COMPUTED_VALUE"""),"Alexander Echeverry Moreno")</f>
        <v>Alexander Echeverry Moreno</v>
      </c>
      <c r="O351" s="2">
        <f ca="1">IFERROR(__xludf.DUMMYFUNCTION("""COMPUTED_VALUE"""),0.005555556)</f>
        <v>5.5555559999999997E-3</v>
      </c>
      <c r="P351" s="5"/>
      <c r="Q351" s="5" t="str">
        <f ca="1">IFERROR(__xludf.DUMMYFUNCTION("""COMPUTED_VALUE"""),"6UV_TrzMp_U")</f>
        <v>6UV_TrzMp_U</v>
      </c>
      <c r="R351" s="5">
        <f ca="1">IFERROR(__xludf.DUMMYFUNCTION("""COMPUTED_VALUE"""),410)</f>
        <v>410</v>
      </c>
      <c r="S351" s="62">
        <f ca="1">IFERROR(__xludf.DUMMYFUNCTION("""COMPUTED_VALUE"""),0.005555556)</f>
        <v>5.5555559999999997E-3</v>
      </c>
      <c r="T351" s="63" t="str">
        <f ca="1">IFERROR(__xludf.DUMMYFUNCTION("""COMPUTED_VALUE"""),"https://storage.googleapis.com/glide-prod.appspot.com/uploads-v2/ly7o78grxPaC6KdgvbpS/pub/UliJWgpEaBovaFmXi6OW.png")</f>
        <v>https://storage.googleapis.com/glide-prod.appspot.com/uploads-v2/ly7o78grxPaC6KdgvbpS/pub/UliJWgpEaBovaFmXi6OW.png</v>
      </c>
      <c r="U351" s="5" t="str">
        <f ca="1">IFERROR(__xludf.DUMMYFUNCTION("""COMPUTED_VALUE"""),"LINEA DE ENVASADO FAMILIAR Y PRBDESEMPACADORA")</f>
        <v>LINEA DE ENVASADO FAMILIAR Y PRBDESEMPACADORA</v>
      </c>
      <c r="V351" s="5"/>
      <c r="W351" s="5"/>
      <c r="X351" s="5" t="str">
        <f ca="1">IFERROR(__xludf.DUMMYFUNCTION("""COMPUTED_VALUE"""),"wguerra@postobon.com.co,aprmttoyu@postobon.com.co,aprmyu@postobon.com.co,wmora@postobon.com.co,efzapata@postobon.com.co")</f>
        <v>wguerra@postobon.com.co,aprmttoyu@postobon.com.co,aprmyu@postobon.com.co,wmora@postobon.com.co,efzapata@postobon.com.co</v>
      </c>
      <c r="Y351" s="5" t="str">
        <f ca="1">IFERROR(__xludf.DUMMYFUNCTION("""COMPUTED_VALUE"""),"wguerra@postobon.com.co")</f>
        <v>wguerra@postobon.com.co</v>
      </c>
      <c r="Z351" s="5" t="str">
        <f ca="1">IFERROR(__xludf.DUMMYFUNCTION("""COMPUTED_VALUE"""),"vOljFRvNRiWIV0XA90UlTw")</f>
        <v>vOljFRvNRiWIV0XA90UlTw</v>
      </c>
      <c r="AA351" s="5"/>
      <c r="AB351" s="5"/>
      <c r="AC351" s="5"/>
      <c r="AD351" s="5">
        <f ca="1">IFERROR(__xludf.DUMMYFUNCTION("""COMPUTED_VALUE"""),38)</f>
        <v>38</v>
      </c>
      <c r="AE351" s="5">
        <f ca="1">IFERROR(__xludf.DUMMYFUNCTION("""COMPUTED_VALUE"""),0)</f>
        <v>0</v>
      </c>
      <c r="AF351" s="5" t="b">
        <f ca="1">IFERROR(__xludf.DUMMYFUNCTION("""COMPUTED_VALUE"""),TRUE)</f>
        <v>1</v>
      </c>
      <c r="AG351" s="5" t="str">
        <f ca="1">IFERROR(__xludf.DUMMYFUNCTION("""COMPUTED_VALUE"""),"INSPECCIONES SIN REALIZAR")</f>
        <v>INSPECCIONES SIN REALIZAR</v>
      </c>
      <c r="AH351" s="5"/>
    </row>
    <row r="352" spans="1:34">
      <c r="A352" s="5" t="str">
        <f ca="1">IFERROR(__xludf.DUMMYFUNCTION("""COMPUTED_VALUE"""),"LINEA DE ENVASADO FAMILIAR Y PRB")</f>
        <v>LINEA DE ENVASADO FAMILIAR Y PRB</v>
      </c>
      <c r="B352" s="5">
        <f ca="1">IFERROR(__xludf.DUMMYFUNCTION("""COMPUTED_VALUE"""),548732)</f>
        <v>548732</v>
      </c>
      <c r="C352" s="5" t="str">
        <f ca="1">IFERROR(__xludf.DUMMYFUNCTION("""COMPUTED_VALUE"""),"DESEMPACADORA")</f>
        <v>DESEMPACADORA</v>
      </c>
      <c r="D352" s="5">
        <f ca="1">IFERROR(__xludf.DUMMYFUNCTION("""COMPUTED_VALUE"""),13247269)</f>
        <v>13247269</v>
      </c>
      <c r="E352" s="5" t="str">
        <f ca="1">IFERROR(__xludf.DUMMYFUNCTION("""COMPUTED_VALUE"""),"INSPECCION SEMANAL DESEMPACADORA")</f>
        <v>INSPECCION SEMANAL DESEMPACADORA</v>
      </c>
      <c r="F352" s="5" t="str">
        <f ca="1">IFERROR(__xludf.DUMMYFUNCTION("""COMPUTED_VALUE"""),"Estado de sensores")</f>
        <v>Estado de sensores</v>
      </c>
      <c r="G352" s="5"/>
      <c r="H352" s="5"/>
      <c r="I352" s="5"/>
      <c r="J352" s="5"/>
      <c r="K352" s="5"/>
      <c r="L352" s="18">
        <f ca="1">IFERROR(__xludf.DUMMYFUNCTION("""COMPUTED_VALUE"""),45324)</f>
        <v>45324</v>
      </c>
      <c r="M352" s="18">
        <f ca="1">IFERROR(__xludf.DUMMYFUNCTION("""COMPUTED_VALUE"""),45324)</f>
        <v>45324</v>
      </c>
      <c r="N352" s="5" t="str">
        <f ca="1">IFERROR(__xludf.DUMMYFUNCTION("""COMPUTED_VALUE"""),"Alexander Echeverry Moreno")</f>
        <v>Alexander Echeverry Moreno</v>
      </c>
      <c r="O352" s="2">
        <f ca="1">IFERROR(__xludf.DUMMYFUNCTION("""COMPUTED_VALUE"""),0.005555556)</f>
        <v>5.5555559999999997E-3</v>
      </c>
      <c r="P352" s="5"/>
      <c r="Q352" s="5" t="str">
        <f ca="1">IFERROR(__xludf.DUMMYFUNCTION("""COMPUTED_VALUE"""),"-7cpNthvlzI")</f>
        <v>-7cpNthvlzI</v>
      </c>
      <c r="R352" s="5">
        <f ca="1">IFERROR(__xludf.DUMMYFUNCTION("""COMPUTED_VALUE"""),410)</f>
        <v>410</v>
      </c>
      <c r="S352" s="62">
        <f ca="1">IFERROR(__xludf.DUMMYFUNCTION("""COMPUTED_VALUE"""),0.005555556)</f>
        <v>5.5555559999999997E-3</v>
      </c>
      <c r="T352" s="63" t="str">
        <f ca="1">IFERROR(__xludf.DUMMYFUNCTION("""COMPUTED_VALUE"""),"https://storage.googleapis.com/glide-prod.appspot.com/uploads-v2/ly7o78grxPaC6KdgvbpS/pub/UliJWgpEaBovaFmXi6OW.png")</f>
        <v>https://storage.googleapis.com/glide-prod.appspot.com/uploads-v2/ly7o78grxPaC6KdgvbpS/pub/UliJWgpEaBovaFmXi6OW.png</v>
      </c>
      <c r="U352" s="5" t="str">
        <f ca="1">IFERROR(__xludf.DUMMYFUNCTION("""COMPUTED_VALUE"""),"LINEA DE ENVASADO FAMILIAR Y PRBDESEMPACADORA")</f>
        <v>LINEA DE ENVASADO FAMILIAR Y PRBDESEMPACADORA</v>
      </c>
      <c r="V352" s="5"/>
      <c r="W352" s="5"/>
      <c r="X352" s="5" t="str">
        <f ca="1">IFERROR(__xludf.DUMMYFUNCTION("""COMPUTED_VALUE"""),"wguerra@postobon.com.co,aprmttoyu@postobon.com.co,aprmyu@postobon.com.co,wmora@postobon.com.co,efzapata@postobon.com.co")</f>
        <v>wguerra@postobon.com.co,aprmttoyu@postobon.com.co,aprmyu@postobon.com.co,wmora@postobon.com.co,efzapata@postobon.com.co</v>
      </c>
      <c r="Y352" s="5" t="str">
        <f ca="1">IFERROR(__xludf.DUMMYFUNCTION("""COMPUTED_VALUE"""),"wguerra@postobon.com.co")</f>
        <v>wguerra@postobon.com.co</v>
      </c>
      <c r="Z352" s="5" t="str">
        <f ca="1">IFERROR(__xludf.DUMMYFUNCTION("""COMPUTED_VALUE"""),"dJ89re.iT4GArZkwlpR2Lw")</f>
        <v>dJ89re.iT4GArZkwlpR2Lw</v>
      </c>
      <c r="AA352" s="5"/>
      <c r="AB352" s="5"/>
      <c r="AC352" s="5"/>
      <c r="AD352" s="5">
        <f ca="1">IFERROR(__xludf.DUMMYFUNCTION("""COMPUTED_VALUE"""),38)</f>
        <v>38</v>
      </c>
      <c r="AE352" s="5">
        <f ca="1">IFERROR(__xludf.DUMMYFUNCTION("""COMPUTED_VALUE"""),0)</f>
        <v>0</v>
      </c>
      <c r="AF352" s="5" t="b">
        <f ca="1">IFERROR(__xludf.DUMMYFUNCTION("""COMPUTED_VALUE"""),TRUE)</f>
        <v>1</v>
      </c>
      <c r="AG352" s="5" t="str">
        <f ca="1">IFERROR(__xludf.DUMMYFUNCTION("""COMPUTED_VALUE"""),"INSPECCIONES SIN REALIZAR")</f>
        <v>INSPECCIONES SIN REALIZAR</v>
      </c>
      <c r="AH352" s="5"/>
    </row>
    <row r="353" spans="1:34">
      <c r="A353" s="5" t="str">
        <f ca="1">IFERROR(__xludf.DUMMYFUNCTION("""COMPUTED_VALUE"""),"LINEA DE ENVASADO FAMILIAR Y PRB")</f>
        <v>LINEA DE ENVASADO FAMILIAR Y PRB</v>
      </c>
      <c r="B353" s="5">
        <f ca="1">IFERROR(__xludf.DUMMYFUNCTION("""COMPUTED_VALUE"""),548732)</f>
        <v>548732</v>
      </c>
      <c r="C353" s="5" t="str">
        <f ca="1">IFERROR(__xludf.DUMMYFUNCTION("""COMPUTED_VALUE"""),"DESEMPACADORA")</f>
        <v>DESEMPACADORA</v>
      </c>
      <c r="D353" s="5">
        <f ca="1">IFERROR(__xludf.DUMMYFUNCTION("""COMPUTED_VALUE"""),13247269)</f>
        <v>13247269</v>
      </c>
      <c r="E353" s="5" t="str">
        <f ca="1">IFERROR(__xludf.DUMMYFUNCTION("""COMPUTED_VALUE"""),"INSPECCION SEMANAL DESEMPACADORA")</f>
        <v>INSPECCION SEMANAL DESEMPACADORA</v>
      </c>
      <c r="F353" s="5" t="str">
        <f ca="1">IFERROR(__xludf.DUMMYFUNCTION("""COMPUTED_VALUE"""),"Estado de electroválvulas")</f>
        <v>Estado de electroválvulas</v>
      </c>
      <c r="G353" s="5"/>
      <c r="H353" s="5"/>
      <c r="I353" s="5"/>
      <c r="J353" s="5"/>
      <c r="K353" s="5"/>
      <c r="L353" s="18">
        <f ca="1">IFERROR(__xludf.DUMMYFUNCTION("""COMPUTED_VALUE"""),45324)</f>
        <v>45324</v>
      </c>
      <c r="M353" s="18">
        <f ca="1">IFERROR(__xludf.DUMMYFUNCTION("""COMPUTED_VALUE"""),45324)</f>
        <v>45324</v>
      </c>
      <c r="N353" s="5" t="str">
        <f ca="1">IFERROR(__xludf.DUMMYFUNCTION("""COMPUTED_VALUE"""),"Alexander Echeverry Moreno")</f>
        <v>Alexander Echeverry Moreno</v>
      </c>
      <c r="O353" s="2">
        <f ca="1">IFERROR(__xludf.DUMMYFUNCTION("""COMPUTED_VALUE"""),0.005555556)</f>
        <v>5.5555559999999997E-3</v>
      </c>
      <c r="P353" s="5"/>
      <c r="Q353" s="5" t="str">
        <f ca="1">IFERROR(__xludf.DUMMYFUNCTION("""COMPUTED_VALUE"""),"7XDJaAnVO0Q")</f>
        <v>7XDJaAnVO0Q</v>
      </c>
      <c r="R353" s="5">
        <f ca="1">IFERROR(__xludf.DUMMYFUNCTION("""COMPUTED_VALUE"""),410)</f>
        <v>410</v>
      </c>
      <c r="S353" s="62">
        <f ca="1">IFERROR(__xludf.DUMMYFUNCTION("""COMPUTED_VALUE"""),0.005555556)</f>
        <v>5.5555559999999997E-3</v>
      </c>
      <c r="T353" s="63" t="str">
        <f ca="1">IFERROR(__xludf.DUMMYFUNCTION("""COMPUTED_VALUE"""),"https://storage.googleapis.com/glide-prod.appspot.com/uploads-v2/ly7o78grxPaC6KdgvbpS/pub/UliJWgpEaBovaFmXi6OW.png")</f>
        <v>https://storage.googleapis.com/glide-prod.appspot.com/uploads-v2/ly7o78grxPaC6KdgvbpS/pub/UliJWgpEaBovaFmXi6OW.png</v>
      </c>
      <c r="U353" s="5" t="str">
        <f ca="1">IFERROR(__xludf.DUMMYFUNCTION("""COMPUTED_VALUE"""),"LINEA DE ENVASADO FAMILIAR Y PRBDESEMPACADORA")</f>
        <v>LINEA DE ENVASADO FAMILIAR Y PRBDESEMPACADORA</v>
      </c>
      <c r="V353" s="5"/>
      <c r="W353" s="5"/>
      <c r="X353" s="5" t="str">
        <f ca="1">IFERROR(__xludf.DUMMYFUNCTION("""COMPUTED_VALUE"""),"wguerra@postobon.com.co,aprmttoyu@postobon.com.co,aprmyu@postobon.com.co,wmora@postobon.com.co,efzapata@postobon.com.co")</f>
        <v>wguerra@postobon.com.co,aprmttoyu@postobon.com.co,aprmyu@postobon.com.co,wmora@postobon.com.co,efzapata@postobon.com.co</v>
      </c>
      <c r="Y353" s="5" t="str">
        <f ca="1">IFERROR(__xludf.DUMMYFUNCTION("""COMPUTED_VALUE"""),"wguerra@postobon.com.co")</f>
        <v>wguerra@postobon.com.co</v>
      </c>
      <c r="Z353" s="5" t="str">
        <f ca="1">IFERROR(__xludf.DUMMYFUNCTION("""COMPUTED_VALUE"""),"R-r0oVo0RdS3rwLjims-ow")</f>
        <v>R-r0oVo0RdS3rwLjims-ow</v>
      </c>
      <c r="AA353" s="5"/>
      <c r="AB353" s="5"/>
      <c r="AC353" s="5"/>
      <c r="AD353" s="5">
        <f ca="1">IFERROR(__xludf.DUMMYFUNCTION("""COMPUTED_VALUE"""),38)</f>
        <v>38</v>
      </c>
      <c r="AE353" s="5">
        <f ca="1">IFERROR(__xludf.DUMMYFUNCTION("""COMPUTED_VALUE"""),0)</f>
        <v>0</v>
      </c>
      <c r="AF353" s="5" t="b">
        <f ca="1">IFERROR(__xludf.DUMMYFUNCTION("""COMPUTED_VALUE"""),TRUE)</f>
        <v>1</v>
      </c>
      <c r="AG353" s="5" t="str">
        <f ca="1">IFERROR(__xludf.DUMMYFUNCTION("""COMPUTED_VALUE"""),"INSPECCIONES SIN REALIZAR")</f>
        <v>INSPECCIONES SIN REALIZAR</v>
      </c>
      <c r="AH353" s="5"/>
    </row>
    <row r="354" spans="1:34">
      <c r="A354" s="5" t="str">
        <f ca="1">IFERROR(__xludf.DUMMYFUNCTION("""COMPUTED_VALUE"""),"LINEA DE ENVASADO FAMILIAR Y PRB")</f>
        <v>LINEA DE ENVASADO FAMILIAR Y PRB</v>
      </c>
      <c r="B354" s="5">
        <f ca="1">IFERROR(__xludf.DUMMYFUNCTION("""COMPUTED_VALUE"""),548732)</f>
        <v>548732</v>
      </c>
      <c r="C354" s="5" t="str">
        <f ca="1">IFERROR(__xludf.DUMMYFUNCTION("""COMPUTED_VALUE"""),"DESEMPACADORA")</f>
        <v>DESEMPACADORA</v>
      </c>
      <c r="D354" s="5">
        <f ca="1">IFERROR(__xludf.DUMMYFUNCTION("""COMPUTED_VALUE"""),13247269)</f>
        <v>13247269</v>
      </c>
      <c r="E354" s="5" t="str">
        <f ca="1">IFERROR(__xludf.DUMMYFUNCTION("""COMPUTED_VALUE"""),"INSPECCION SEMANAL DESEMPACADORA")</f>
        <v>INSPECCION SEMANAL DESEMPACADORA</v>
      </c>
      <c r="F354" s="5" t="str">
        <f ca="1">IFERROR(__xludf.DUMMYFUNCTION("""COMPUTED_VALUE"""),"Estado perfiles de desgaste plasticos")</f>
        <v>Estado perfiles de desgaste plasticos</v>
      </c>
      <c r="G354" s="5"/>
      <c r="H354" s="5"/>
      <c r="I354" s="5"/>
      <c r="J354" s="5"/>
      <c r="K354" s="5"/>
      <c r="L354" s="18">
        <f ca="1">IFERROR(__xludf.DUMMYFUNCTION("""COMPUTED_VALUE"""),45324)</f>
        <v>45324</v>
      </c>
      <c r="M354" s="18">
        <f ca="1">IFERROR(__xludf.DUMMYFUNCTION("""COMPUTED_VALUE"""),45324)</f>
        <v>45324</v>
      </c>
      <c r="N354" s="5" t="str">
        <f ca="1">IFERROR(__xludf.DUMMYFUNCTION("""COMPUTED_VALUE"""),"Alexander Echeverry Moreno")</f>
        <v>Alexander Echeverry Moreno</v>
      </c>
      <c r="O354" s="2">
        <f ca="1">IFERROR(__xludf.DUMMYFUNCTION("""COMPUTED_VALUE"""),0.005555556)</f>
        <v>5.5555559999999997E-3</v>
      </c>
      <c r="P354" s="5"/>
      <c r="Q354" s="5" t="str">
        <f ca="1">IFERROR(__xludf.DUMMYFUNCTION("""COMPUTED_VALUE"""),"o8ygHMEXzFI")</f>
        <v>o8ygHMEXzFI</v>
      </c>
      <c r="R354" s="5">
        <f ca="1">IFERROR(__xludf.DUMMYFUNCTION("""COMPUTED_VALUE"""),410)</f>
        <v>410</v>
      </c>
      <c r="S354" s="62">
        <f ca="1">IFERROR(__xludf.DUMMYFUNCTION("""COMPUTED_VALUE"""),0.005555556)</f>
        <v>5.5555559999999997E-3</v>
      </c>
      <c r="T354" s="63" t="str">
        <f ca="1">IFERROR(__xludf.DUMMYFUNCTION("""COMPUTED_VALUE"""),"https://storage.googleapis.com/glide-prod.appspot.com/uploads-v2/ly7o78grxPaC6KdgvbpS/pub/UliJWgpEaBovaFmXi6OW.png")</f>
        <v>https://storage.googleapis.com/glide-prod.appspot.com/uploads-v2/ly7o78grxPaC6KdgvbpS/pub/UliJWgpEaBovaFmXi6OW.png</v>
      </c>
      <c r="U354" s="5" t="str">
        <f ca="1">IFERROR(__xludf.DUMMYFUNCTION("""COMPUTED_VALUE"""),"LINEA DE ENVASADO FAMILIAR Y PRBDESEMPACADORA")</f>
        <v>LINEA DE ENVASADO FAMILIAR Y PRBDESEMPACADORA</v>
      </c>
      <c r="V354" s="5"/>
      <c r="W354" s="5"/>
      <c r="X354" s="5" t="str">
        <f ca="1">IFERROR(__xludf.DUMMYFUNCTION("""COMPUTED_VALUE"""),"wguerra@postobon.com.co,aprmttoyu@postobon.com.co,aprmyu@postobon.com.co,wmora@postobon.com.co,efzapata@postobon.com.co")</f>
        <v>wguerra@postobon.com.co,aprmttoyu@postobon.com.co,aprmyu@postobon.com.co,wmora@postobon.com.co,efzapata@postobon.com.co</v>
      </c>
      <c r="Y354" s="5" t="str">
        <f ca="1">IFERROR(__xludf.DUMMYFUNCTION("""COMPUTED_VALUE"""),"wguerra@postobon.com.co")</f>
        <v>wguerra@postobon.com.co</v>
      </c>
      <c r="Z354" s="5" t="str">
        <f ca="1">IFERROR(__xludf.DUMMYFUNCTION("""COMPUTED_VALUE"""),"y0MWl4yHRtuv3dUiAwVRrg")</f>
        <v>y0MWl4yHRtuv3dUiAwVRrg</v>
      </c>
      <c r="AA354" s="5"/>
      <c r="AB354" s="5"/>
      <c r="AC354" s="5"/>
      <c r="AD354" s="5">
        <f ca="1">IFERROR(__xludf.DUMMYFUNCTION("""COMPUTED_VALUE"""),38)</f>
        <v>38</v>
      </c>
      <c r="AE354" s="5">
        <f ca="1">IFERROR(__xludf.DUMMYFUNCTION("""COMPUTED_VALUE"""),0)</f>
        <v>0</v>
      </c>
      <c r="AF354" s="5" t="b">
        <f ca="1">IFERROR(__xludf.DUMMYFUNCTION("""COMPUTED_VALUE"""),TRUE)</f>
        <v>1</v>
      </c>
      <c r="AG354" s="5" t="str">
        <f ca="1">IFERROR(__xludf.DUMMYFUNCTION("""COMPUTED_VALUE"""),"INSPECCIONES SIN REALIZAR")</f>
        <v>INSPECCIONES SIN REALIZAR</v>
      </c>
      <c r="AH354" s="5"/>
    </row>
    <row r="355" spans="1:34">
      <c r="A355" s="5" t="str">
        <f ca="1">IFERROR(__xludf.DUMMYFUNCTION("""COMPUTED_VALUE"""),"LINEA DE ENVASADO FAMILIAR Y PRB")</f>
        <v>LINEA DE ENVASADO FAMILIAR Y PRB</v>
      </c>
      <c r="B355" s="5">
        <f ca="1">IFERROR(__xludf.DUMMYFUNCTION("""COMPUTED_VALUE"""),548732)</f>
        <v>548732</v>
      </c>
      <c r="C355" s="5" t="str">
        <f ca="1">IFERROR(__xludf.DUMMYFUNCTION("""COMPUTED_VALUE"""),"DESEMPACADORA")</f>
        <v>DESEMPACADORA</v>
      </c>
      <c r="D355" s="5">
        <f ca="1">IFERROR(__xludf.DUMMYFUNCTION("""COMPUTED_VALUE"""),13247269)</f>
        <v>13247269</v>
      </c>
      <c r="E355" s="5" t="str">
        <f ca="1">IFERROR(__xludf.DUMMYFUNCTION("""COMPUTED_VALUE"""),"INSPECCION SEMANAL DESEMPACADORA")</f>
        <v>INSPECCION SEMANAL DESEMPACADORA</v>
      </c>
      <c r="F355" s="5" t="str">
        <f ca="1">IFERROR(__xludf.DUMMYFUNCTION("""COMPUTED_VALUE"""),"Estado de plato muerto")</f>
        <v>Estado de plato muerto</v>
      </c>
      <c r="G355" s="5"/>
      <c r="H355" s="5"/>
      <c r="I355" s="5"/>
      <c r="J355" s="5"/>
      <c r="K355" s="5"/>
      <c r="L355" s="18">
        <f ca="1">IFERROR(__xludf.DUMMYFUNCTION("""COMPUTED_VALUE"""),45324)</f>
        <v>45324</v>
      </c>
      <c r="M355" s="18">
        <f ca="1">IFERROR(__xludf.DUMMYFUNCTION("""COMPUTED_VALUE"""),45324)</f>
        <v>45324</v>
      </c>
      <c r="N355" s="5" t="str">
        <f ca="1">IFERROR(__xludf.DUMMYFUNCTION("""COMPUTED_VALUE"""),"Alexander Echeverry Moreno")</f>
        <v>Alexander Echeverry Moreno</v>
      </c>
      <c r="O355" s="2">
        <f ca="1">IFERROR(__xludf.DUMMYFUNCTION("""COMPUTED_VALUE"""),0.005555556)</f>
        <v>5.5555559999999997E-3</v>
      </c>
      <c r="P355" s="5"/>
      <c r="Q355" s="5" t="str">
        <f ca="1">IFERROR(__xludf.DUMMYFUNCTION("""COMPUTED_VALUE"""),"DpgkFtrUIyI")</f>
        <v>DpgkFtrUIyI</v>
      </c>
      <c r="R355" s="5">
        <f ca="1">IFERROR(__xludf.DUMMYFUNCTION("""COMPUTED_VALUE"""),410)</f>
        <v>410</v>
      </c>
      <c r="S355" s="62">
        <f ca="1">IFERROR(__xludf.DUMMYFUNCTION("""COMPUTED_VALUE"""),0.005555556)</f>
        <v>5.5555559999999997E-3</v>
      </c>
      <c r="T355" s="63" t="str">
        <f ca="1">IFERROR(__xludf.DUMMYFUNCTION("""COMPUTED_VALUE"""),"https://storage.googleapis.com/glide-prod.appspot.com/uploads-v2/ly7o78grxPaC6KdgvbpS/pub/UliJWgpEaBovaFmXi6OW.png")</f>
        <v>https://storage.googleapis.com/glide-prod.appspot.com/uploads-v2/ly7o78grxPaC6KdgvbpS/pub/UliJWgpEaBovaFmXi6OW.png</v>
      </c>
      <c r="U355" s="5" t="str">
        <f ca="1">IFERROR(__xludf.DUMMYFUNCTION("""COMPUTED_VALUE"""),"LINEA DE ENVASADO FAMILIAR Y PRBDESEMPACADORA")</f>
        <v>LINEA DE ENVASADO FAMILIAR Y PRBDESEMPACADORA</v>
      </c>
      <c r="V355" s="5"/>
      <c r="W355" s="5"/>
      <c r="X355" s="5" t="str">
        <f ca="1">IFERROR(__xludf.DUMMYFUNCTION("""COMPUTED_VALUE"""),"wguerra@postobon.com.co,aprmttoyu@postobon.com.co,aprmyu@postobon.com.co,wmora@postobon.com.co,efzapata@postobon.com.co")</f>
        <v>wguerra@postobon.com.co,aprmttoyu@postobon.com.co,aprmyu@postobon.com.co,wmora@postobon.com.co,efzapata@postobon.com.co</v>
      </c>
      <c r="Y355" s="5" t="str">
        <f ca="1">IFERROR(__xludf.DUMMYFUNCTION("""COMPUTED_VALUE"""),"wguerra@postobon.com.co")</f>
        <v>wguerra@postobon.com.co</v>
      </c>
      <c r="Z355" s="5" t="str">
        <f ca="1">IFERROR(__xludf.DUMMYFUNCTION("""COMPUTED_VALUE"""),"NtfA4UbdTtO6c9OyoqOA6A")</f>
        <v>NtfA4UbdTtO6c9OyoqOA6A</v>
      </c>
      <c r="AA355" s="5"/>
      <c r="AB355" s="5"/>
      <c r="AC355" s="5"/>
      <c r="AD355" s="5">
        <f ca="1">IFERROR(__xludf.DUMMYFUNCTION("""COMPUTED_VALUE"""),38)</f>
        <v>38</v>
      </c>
      <c r="AE355" s="5">
        <f ca="1">IFERROR(__xludf.DUMMYFUNCTION("""COMPUTED_VALUE"""),0)</f>
        <v>0</v>
      </c>
      <c r="AF355" s="5" t="b">
        <f ca="1">IFERROR(__xludf.DUMMYFUNCTION("""COMPUTED_VALUE"""),TRUE)</f>
        <v>1</v>
      </c>
      <c r="AG355" s="5" t="str">
        <f ca="1">IFERROR(__xludf.DUMMYFUNCTION("""COMPUTED_VALUE"""),"INSPECCIONES SIN REALIZAR")</f>
        <v>INSPECCIONES SIN REALIZAR</v>
      </c>
      <c r="AH355" s="5"/>
    </row>
    <row r="356" spans="1:34">
      <c r="A356" s="5" t="str">
        <f ca="1">IFERROR(__xludf.DUMMYFUNCTION("""COMPUTED_VALUE"""),"LINEA DE ENVASADO FAMILIAR Y PRB")</f>
        <v>LINEA DE ENVASADO FAMILIAR Y PRB</v>
      </c>
      <c r="B356" s="5">
        <f ca="1">IFERROR(__xludf.DUMMYFUNCTION("""COMPUTED_VALUE"""),548732)</f>
        <v>548732</v>
      </c>
      <c r="C356" s="5" t="str">
        <f ca="1">IFERROR(__xludf.DUMMYFUNCTION("""COMPUTED_VALUE"""),"DESEMPACADORA")</f>
        <v>DESEMPACADORA</v>
      </c>
      <c r="D356" s="5">
        <f ca="1">IFERROR(__xludf.DUMMYFUNCTION("""COMPUTED_VALUE"""),13247269)</f>
        <v>13247269</v>
      </c>
      <c r="E356" s="5" t="str">
        <f ca="1">IFERROR(__xludf.DUMMYFUNCTION("""COMPUTED_VALUE"""),"INSPECCION SEMANAL DESEMPACADORA")</f>
        <v>INSPECCION SEMANAL DESEMPACADORA</v>
      </c>
      <c r="F356" s="5" t="str">
        <f ca="1">IFERROR(__xludf.DUMMYFUNCTION("""COMPUTED_VALUE"""),"Estado sistema basculante y tope")</f>
        <v>Estado sistema basculante y tope</v>
      </c>
      <c r="G356" s="5"/>
      <c r="H356" s="5"/>
      <c r="I356" s="5"/>
      <c r="J356" s="5"/>
      <c r="K356" s="5"/>
      <c r="L356" s="18">
        <f ca="1">IFERROR(__xludf.DUMMYFUNCTION("""COMPUTED_VALUE"""),45324)</f>
        <v>45324</v>
      </c>
      <c r="M356" s="18">
        <f ca="1">IFERROR(__xludf.DUMMYFUNCTION("""COMPUTED_VALUE"""),45324)</f>
        <v>45324</v>
      </c>
      <c r="N356" s="5" t="str">
        <f ca="1">IFERROR(__xludf.DUMMYFUNCTION("""COMPUTED_VALUE"""),"Alexander Echeverry Moreno")</f>
        <v>Alexander Echeverry Moreno</v>
      </c>
      <c r="O356" s="2">
        <f ca="1">IFERROR(__xludf.DUMMYFUNCTION("""COMPUTED_VALUE"""),0.005555556)</f>
        <v>5.5555559999999997E-3</v>
      </c>
      <c r="P356" s="5"/>
      <c r="Q356" s="5" t="str">
        <f ca="1">IFERROR(__xludf.DUMMYFUNCTION("""COMPUTED_VALUE"""),"yYLAeTXL0xs")</f>
        <v>yYLAeTXL0xs</v>
      </c>
      <c r="R356" s="5">
        <f ca="1">IFERROR(__xludf.DUMMYFUNCTION("""COMPUTED_VALUE"""),410)</f>
        <v>410</v>
      </c>
      <c r="S356" s="62">
        <f ca="1">IFERROR(__xludf.DUMMYFUNCTION("""COMPUTED_VALUE"""),0.005555556)</f>
        <v>5.5555559999999997E-3</v>
      </c>
      <c r="T356" s="63" t="str">
        <f ca="1">IFERROR(__xludf.DUMMYFUNCTION("""COMPUTED_VALUE"""),"https://storage.googleapis.com/glide-prod.appspot.com/uploads-v2/ly7o78grxPaC6KdgvbpS/pub/UliJWgpEaBovaFmXi6OW.png")</f>
        <v>https://storage.googleapis.com/glide-prod.appspot.com/uploads-v2/ly7o78grxPaC6KdgvbpS/pub/UliJWgpEaBovaFmXi6OW.png</v>
      </c>
      <c r="U356" s="5" t="str">
        <f ca="1">IFERROR(__xludf.DUMMYFUNCTION("""COMPUTED_VALUE"""),"LINEA DE ENVASADO FAMILIAR Y PRBDESEMPACADORA")</f>
        <v>LINEA DE ENVASADO FAMILIAR Y PRBDESEMPACADORA</v>
      </c>
      <c r="V356" s="5"/>
      <c r="W356" s="5"/>
      <c r="X356" s="5" t="str">
        <f ca="1">IFERROR(__xludf.DUMMYFUNCTION("""COMPUTED_VALUE"""),"wguerra@postobon.com.co,aprmttoyu@postobon.com.co,aprmyu@postobon.com.co,wmora@postobon.com.co,efzapata@postobon.com.co")</f>
        <v>wguerra@postobon.com.co,aprmttoyu@postobon.com.co,aprmyu@postobon.com.co,wmora@postobon.com.co,efzapata@postobon.com.co</v>
      </c>
      <c r="Y356" s="5" t="str">
        <f ca="1">IFERROR(__xludf.DUMMYFUNCTION("""COMPUTED_VALUE"""),"wguerra@postobon.com.co")</f>
        <v>wguerra@postobon.com.co</v>
      </c>
      <c r="Z356" s="5" t="str">
        <f ca="1">IFERROR(__xludf.DUMMYFUNCTION("""COMPUTED_VALUE"""),"7zipSgrYSZu4ndF0qPPDoA")</f>
        <v>7zipSgrYSZu4ndF0qPPDoA</v>
      </c>
      <c r="AA356" s="5"/>
      <c r="AB356" s="5"/>
      <c r="AC356" s="5"/>
      <c r="AD356" s="5">
        <f ca="1">IFERROR(__xludf.DUMMYFUNCTION("""COMPUTED_VALUE"""),38)</f>
        <v>38</v>
      </c>
      <c r="AE356" s="5">
        <f ca="1">IFERROR(__xludf.DUMMYFUNCTION("""COMPUTED_VALUE"""),0)</f>
        <v>0</v>
      </c>
      <c r="AF356" s="5" t="b">
        <f ca="1">IFERROR(__xludf.DUMMYFUNCTION("""COMPUTED_VALUE"""),TRUE)</f>
        <v>1</v>
      </c>
      <c r="AG356" s="5" t="str">
        <f ca="1">IFERROR(__xludf.DUMMYFUNCTION("""COMPUTED_VALUE"""),"INSPECCIONES SIN REALIZAR")</f>
        <v>INSPECCIONES SIN REALIZAR</v>
      </c>
      <c r="AH356" s="5"/>
    </row>
    <row r="357" spans="1:34">
      <c r="A357" s="5" t="str">
        <f ca="1">IFERROR(__xludf.DUMMYFUNCTION("""COMPUTED_VALUE"""),"LINEA DE ENVASADO FAMILIAR Y PRB")</f>
        <v>LINEA DE ENVASADO FAMILIAR Y PRB</v>
      </c>
      <c r="B357" s="5">
        <f ca="1">IFERROR(__xludf.DUMMYFUNCTION("""COMPUTED_VALUE"""),548732)</f>
        <v>548732</v>
      </c>
      <c r="C357" s="5" t="str">
        <f ca="1">IFERROR(__xludf.DUMMYFUNCTION("""COMPUTED_VALUE"""),"DESEMPACADORA")</f>
        <v>DESEMPACADORA</v>
      </c>
      <c r="D357" s="5">
        <f ca="1">IFERROR(__xludf.DUMMYFUNCTION("""COMPUTED_VALUE"""),13247269)</f>
        <v>13247269</v>
      </c>
      <c r="E357" s="5" t="str">
        <f ca="1">IFERROR(__xludf.DUMMYFUNCTION("""COMPUTED_VALUE"""),"INSPECCION SEMANAL DESEMPACADORA")</f>
        <v>INSPECCION SEMANAL DESEMPACADORA</v>
      </c>
      <c r="F357" s="5" t="str">
        <f ca="1">IFERROR(__xludf.DUMMYFUNCTION("""COMPUTED_VALUE"""),"Estado Instrumentos de medidas")</f>
        <v>Estado Instrumentos de medidas</v>
      </c>
      <c r="G357" s="5"/>
      <c r="H357" s="5"/>
      <c r="I357" s="5"/>
      <c r="J357" s="5"/>
      <c r="K357" s="5"/>
      <c r="L357" s="18">
        <f ca="1">IFERROR(__xludf.DUMMYFUNCTION("""COMPUTED_VALUE"""),45324)</f>
        <v>45324</v>
      </c>
      <c r="M357" s="18">
        <f ca="1">IFERROR(__xludf.DUMMYFUNCTION("""COMPUTED_VALUE"""),45324)</f>
        <v>45324</v>
      </c>
      <c r="N357" s="5" t="str">
        <f ca="1">IFERROR(__xludf.DUMMYFUNCTION("""COMPUTED_VALUE"""),"Alexander Echeverry Moreno")</f>
        <v>Alexander Echeverry Moreno</v>
      </c>
      <c r="O357" s="2">
        <f ca="1">IFERROR(__xludf.DUMMYFUNCTION("""COMPUTED_VALUE"""),0.005555556)</f>
        <v>5.5555559999999997E-3</v>
      </c>
      <c r="P357" s="5"/>
      <c r="Q357" s="5" t="str">
        <f ca="1">IFERROR(__xludf.DUMMYFUNCTION("""COMPUTED_VALUE"""),"t9Eb4xaQ7QM")</f>
        <v>t9Eb4xaQ7QM</v>
      </c>
      <c r="R357" s="5">
        <f ca="1">IFERROR(__xludf.DUMMYFUNCTION("""COMPUTED_VALUE"""),410)</f>
        <v>410</v>
      </c>
      <c r="S357" s="62">
        <f ca="1">IFERROR(__xludf.DUMMYFUNCTION("""COMPUTED_VALUE"""),0.005555556)</f>
        <v>5.5555559999999997E-3</v>
      </c>
      <c r="T357" s="63" t="str">
        <f ca="1">IFERROR(__xludf.DUMMYFUNCTION("""COMPUTED_VALUE"""),"https://storage.googleapis.com/glide-prod.appspot.com/uploads-v2/ly7o78grxPaC6KdgvbpS/pub/UliJWgpEaBovaFmXi6OW.png")</f>
        <v>https://storage.googleapis.com/glide-prod.appspot.com/uploads-v2/ly7o78grxPaC6KdgvbpS/pub/UliJWgpEaBovaFmXi6OW.png</v>
      </c>
      <c r="U357" s="5" t="str">
        <f ca="1">IFERROR(__xludf.DUMMYFUNCTION("""COMPUTED_VALUE"""),"LINEA DE ENVASADO FAMILIAR Y PRBDESEMPACADORA")</f>
        <v>LINEA DE ENVASADO FAMILIAR Y PRBDESEMPACADORA</v>
      </c>
      <c r="V357" s="5"/>
      <c r="W357" s="5"/>
      <c r="X357" s="5" t="str">
        <f ca="1">IFERROR(__xludf.DUMMYFUNCTION("""COMPUTED_VALUE"""),"wguerra@postobon.com.co,aprmttoyu@postobon.com.co,aprmyu@postobon.com.co,wmora@postobon.com.co,efzapata@postobon.com.co")</f>
        <v>wguerra@postobon.com.co,aprmttoyu@postobon.com.co,aprmyu@postobon.com.co,wmora@postobon.com.co,efzapata@postobon.com.co</v>
      </c>
      <c r="Y357" s="5" t="str">
        <f ca="1">IFERROR(__xludf.DUMMYFUNCTION("""COMPUTED_VALUE"""),"wguerra@postobon.com.co")</f>
        <v>wguerra@postobon.com.co</v>
      </c>
      <c r="Z357" s="5" t="str">
        <f ca="1">IFERROR(__xludf.DUMMYFUNCTION("""COMPUTED_VALUE"""),"lBnXliTEScSFvW-WEDEscA")</f>
        <v>lBnXliTEScSFvW-WEDEscA</v>
      </c>
      <c r="AA357" s="5"/>
      <c r="AB357" s="5"/>
      <c r="AC357" s="5"/>
      <c r="AD357" s="5">
        <f ca="1">IFERROR(__xludf.DUMMYFUNCTION("""COMPUTED_VALUE"""),38)</f>
        <v>38</v>
      </c>
      <c r="AE357" s="5">
        <f ca="1">IFERROR(__xludf.DUMMYFUNCTION("""COMPUTED_VALUE"""),0)</f>
        <v>0</v>
      </c>
      <c r="AF357" s="5" t="b">
        <f ca="1">IFERROR(__xludf.DUMMYFUNCTION("""COMPUTED_VALUE"""),TRUE)</f>
        <v>1</v>
      </c>
      <c r="AG357" s="5" t="str">
        <f ca="1">IFERROR(__xludf.DUMMYFUNCTION("""COMPUTED_VALUE"""),"INSPECCIONES SIN REALIZAR")</f>
        <v>INSPECCIONES SIN REALIZAR</v>
      </c>
      <c r="AH357" s="5"/>
    </row>
    <row r="358" spans="1:34">
      <c r="A358" s="5" t="str">
        <f ca="1">IFERROR(__xludf.DUMMYFUNCTION("""COMPUTED_VALUE"""),"LINEA DE ENVASADO FAMILIAR Y PRB")</f>
        <v>LINEA DE ENVASADO FAMILIAR Y PRB</v>
      </c>
      <c r="B358" s="5">
        <f ca="1">IFERROR(__xludf.DUMMYFUNCTION("""COMPUTED_VALUE"""),548732)</f>
        <v>548732</v>
      </c>
      <c r="C358" s="5" t="str">
        <f ca="1">IFERROR(__xludf.DUMMYFUNCTION("""COMPUTED_VALUE"""),"DESEMPACADORA")</f>
        <v>DESEMPACADORA</v>
      </c>
      <c r="D358" s="5">
        <f ca="1">IFERROR(__xludf.DUMMYFUNCTION("""COMPUTED_VALUE"""),13247269)</f>
        <v>13247269</v>
      </c>
      <c r="E358" s="5" t="str">
        <f ca="1">IFERROR(__xludf.DUMMYFUNCTION("""COMPUTED_VALUE"""),"INSPECCION SEMANAL DESEMPACADORA")</f>
        <v>INSPECCION SEMANAL DESEMPACADORA</v>
      </c>
      <c r="F358" s="5" t="str">
        <f ca="1">IFERROR(__xludf.DUMMYFUNCTION("""COMPUTED_VALUE"""),"Estado de sistema de lubricacion")</f>
        <v>Estado de sistema de lubricacion</v>
      </c>
      <c r="G358" s="5"/>
      <c r="H358" s="5"/>
      <c r="I358" s="5"/>
      <c r="J358" s="5"/>
      <c r="K358" s="5"/>
      <c r="L358" s="18">
        <f ca="1">IFERROR(__xludf.DUMMYFUNCTION("""COMPUTED_VALUE"""),45324)</f>
        <v>45324</v>
      </c>
      <c r="M358" s="18">
        <f ca="1">IFERROR(__xludf.DUMMYFUNCTION("""COMPUTED_VALUE"""),45324)</f>
        <v>45324</v>
      </c>
      <c r="N358" s="5" t="str">
        <f ca="1">IFERROR(__xludf.DUMMYFUNCTION("""COMPUTED_VALUE"""),"Alexander Echeverry Moreno")</f>
        <v>Alexander Echeverry Moreno</v>
      </c>
      <c r="O358" s="2">
        <f ca="1">IFERROR(__xludf.DUMMYFUNCTION("""COMPUTED_VALUE"""),0.005555556)</f>
        <v>5.5555559999999997E-3</v>
      </c>
      <c r="P358" s="5"/>
      <c r="Q358" s="5" t="str">
        <f ca="1">IFERROR(__xludf.DUMMYFUNCTION("""COMPUTED_VALUE"""),"N6RiO18rJM8")</f>
        <v>N6RiO18rJM8</v>
      </c>
      <c r="R358" s="5">
        <f ca="1">IFERROR(__xludf.DUMMYFUNCTION("""COMPUTED_VALUE"""),410)</f>
        <v>410</v>
      </c>
      <c r="S358" s="62">
        <f ca="1">IFERROR(__xludf.DUMMYFUNCTION("""COMPUTED_VALUE"""),0.005555556)</f>
        <v>5.5555559999999997E-3</v>
      </c>
      <c r="T358" s="63" t="str">
        <f ca="1">IFERROR(__xludf.DUMMYFUNCTION("""COMPUTED_VALUE"""),"https://storage.googleapis.com/glide-prod.appspot.com/uploads-v2/ly7o78grxPaC6KdgvbpS/pub/UliJWgpEaBovaFmXi6OW.png")</f>
        <v>https://storage.googleapis.com/glide-prod.appspot.com/uploads-v2/ly7o78grxPaC6KdgvbpS/pub/UliJWgpEaBovaFmXi6OW.png</v>
      </c>
      <c r="U358" s="5" t="str">
        <f ca="1">IFERROR(__xludf.DUMMYFUNCTION("""COMPUTED_VALUE"""),"LINEA DE ENVASADO FAMILIAR Y PRBDESEMPACADORA")</f>
        <v>LINEA DE ENVASADO FAMILIAR Y PRBDESEMPACADORA</v>
      </c>
      <c r="V358" s="5"/>
      <c r="W358" s="5"/>
      <c r="X358" s="5" t="str">
        <f ca="1">IFERROR(__xludf.DUMMYFUNCTION("""COMPUTED_VALUE"""),"wguerra@postobon.com.co,aprmttoyu@postobon.com.co,aprmyu@postobon.com.co,wmora@postobon.com.co,efzapata@postobon.com.co")</f>
        <v>wguerra@postobon.com.co,aprmttoyu@postobon.com.co,aprmyu@postobon.com.co,wmora@postobon.com.co,efzapata@postobon.com.co</v>
      </c>
      <c r="Y358" s="5" t="str">
        <f ca="1">IFERROR(__xludf.DUMMYFUNCTION("""COMPUTED_VALUE"""),"wguerra@postobon.com.co")</f>
        <v>wguerra@postobon.com.co</v>
      </c>
      <c r="Z358" s="5" t="str">
        <f ca="1">IFERROR(__xludf.DUMMYFUNCTION("""COMPUTED_VALUE"""),"iEl1oy75SSqCGl4kWL1LVQ")</f>
        <v>iEl1oy75SSqCGl4kWL1LVQ</v>
      </c>
      <c r="AA358" s="5"/>
      <c r="AB358" s="5"/>
      <c r="AC358" s="5"/>
      <c r="AD358" s="5">
        <f ca="1">IFERROR(__xludf.DUMMYFUNCTION("""COMPUTED_VALUE"""),38)</f>
        <v>38</v>
      </c>
      <c r="AE358" s="5">
        <f ca="1">IFERROR(__xludf.DUMMYFUNCTION("""COMPUTED_VALUE"""),0)</f>
        <v>0</v>
      </c>
      <c r="AF358" s="5" t="b">
        <f ca="1">IFERROR(__xludf.DUMMYFUNCTION("""COMPUTED_VALUE"""),TRUE)</f>
        <v>1</v>
      </c>
      <c r="AG358" s="5" t="str">
        <f ca="1">IFERROR(__xludf.DUMMYFUNCTION("""COMPUTED_VALUE"""),"INSPECCIONES SIN REALIZAR")</f>
        <v>INSPECCIONES SIN REALIZAR</v>
      </c>
      <c r="AH358" s="5"/>
    </row>
    <row r="359" spans="1:34">
      <c r="A359" s="5" t="str">
        <f ca="1">IFERROR(__xludf.DUMMYFUNCTION("""COMPUTED_VALUE"""),"LINEA DE ENVASADO FAMILIAR Y PRB")</f>
        <v>LINEA DE ENVASADO FAMILIAR Y PRB</v>
      </c>
      <c r="B359" s="5">
        <f ca="1">IFERROR(__xludf.DUMMYFUNCTION("""COMPUTED_VALUE"""),548732)</f>
        <v>548732</v>
      </c>
      <c r="C359" s="5" t="str">
        <f ca="1">IFERROR(__xludf.DUMMYFUNCTION("""COMPUTED_VALUE"""),"DESEMPACADORA")</f>
        <v>DESEMPACADORA</v>
      </c>
      <c r="D359" s="5">
        <f ca="1">IFERROR(__xludf.DUMMYFUNCTION("""COMPUTED_VALUE"""),13247269)</f>
        <v>13247269</v>
      </c>
      <c r="E359" s="5" t="str">
        <f ca="1">IFERROR(__xludf.DUMMYFUNCTION("""COMPUTED_VALUE"""),"INSPECCION SEMANAL DESEMPACADORA")</f>
        <v>INSPECCION SEMANAL DESEMPACADORA</v>
      </c>
      <c r="F359" s="5" t="str">
        <f ca="1">IFERROR(__xludf.DUMMYFUNCTION("""COMPUTED_VALUE"""),"Estado y limpieza de extractor y/o climatizador tablero eléctrico.")</f>
        <v>Estado y limpieza de extractor y/o climatizador tablero eléctrico.</v>
      </c>
      <c r="G359" s="5"/>
      <c r="H359" s="5"/>
      <c r="I359" s="5"/>
      <c r="J359" s="5"/>
      <c r="K359" s="5"/>
      <c r="L359" s="18">
        <f ca="1">IFERROR(__xludf.DUMMYFUNCTION("""COMPUTED_VALUE"""),45324)</f>
        <v>45324</v>
      </c>
      <c r="M359" s="18">
        <f ca="1">IFERROR(__xludf.DUMMYFUNCTION("""COMPUTED_VALUE"""),45324)</f>
        <v>45324</v>
      </c>
      <c r="N359" s="5" t="str">
        <f ca="1">IFERROR(__xludf.DUMMYFUNCTION("""COMPUTED_VALUE"""),"Alexander Echeverry Moreno")</f>
        <v>Alexander Echeverry Moreno</v>
      </c>
      <c r="O359" s="2">
        <f ca="1">IFERROR(__xludf.DUMMYFUNCTION("""COMPUTED_VALUE"""),0.005555556)</f>
        <v>5.5555559999999997E-3</v>
      </c>
      <c r="P359" s="5"/>
      <c r="Q359" s="5" t="str">
        <f ca="1">IFERROR(__xludf.DUMMYFUNCTION("""COMPUTED_VALUE"""),"_0HzL3HLKms")</f>
        <v>_0HzL3HLKms</v>
      </c>
      <c r="R359" s="5">
        <f ca="1">IFERROR(__xludf.DUMMYFUNCTION("""COMPUTED_VALUE"""),410)</f>
        <v>410</v>
      </c>
      <c r="S359" s="62">
        <f ca="1">IFERROR(__xludf.DUMMYFUNCTION("""COMPUTED_VALUE"""),0.005555556)</f>
        <v>5.5555559999999997E-3</v>
      </c>
      <c r="T359" s="63" t="str">
        <f ca="1">IFERROR(__xludf.DUMMYFUNCTION("""COMPUTED_VALUE"""),"https://storage.googleapis.com/glide-prod.appspot.com/uploads-v2/ly7o78grxPaC6KdgvbpS/pub/UliJWgpEaBovaFmXi6OW.png")</f>
        <v>https://storage.googleapis.com/glide-prod.appspot.com/uploads-v2/ly7o78grxPaC6KdgvbpS/pub/UliJWgpEaBovaFmXi6OW.png</v>
      </c>
      <c r="U359" s="5" t="str">
        <f ca="1">IFERROR(__xludf.DUMMYFUNCTION("""COMPUTED_VALUE"""),"LINEA DE ENVASADO FAMILIAR Y PRBDESEMPACADORA")</f>
        <v>LINEA DE ENVASADO FAMILIAR Y PRBDESEMPACADORA</v>
      </c>
      <c r="V359" s="5"/>
      <c r="W359" s="5"/>
      <c r="X359" s="5" t="str">
        <f ca="1">IFERROR(__xludf.DUMMYFUNCTION("""COMPUTED_VALUE"""),"wguerra@postobon.com.co,aprmttoyu@postobon.com.co,aprmyu@postobon.com.co,wmora@postobon.com.co,efzapata@postobon.com.co")</f>
        <v>wguerra@postobon.com.co,aprmttoyu@postobon.com.co,aprmyu@postobon.com.co,wmora@postobon.com.co,efzapata@postobon.com.co</v>
      </c>
      <c r="Y359" s="5" t="str">
        <f ca="1">IFERROR(__xludf.DUMMYFUNCTION("""COMPUTED_VALUE"""),"wguerra@postobon.com.co")</f>
        <v>wguerra@postobon.com.co</v>
      </c>
      <c r="Z359" s="5" t="str">
        <f ca="1">IFERROR(__xludf.DUMMYFUNCTION("""COMPUTED_VALUE"""),"YVXEZJK1Q8WGLCEEYl4DMg")</f>
        <v>YVXEZJK1Q8WGLCEEYl4DMg</v>
      </c>
      <c r="AA359" s="5"/>
      <c r="AB359" s="5"/>
      <c r="AC359" s="5"/>
      <c r="AD359" s="5">
        <f ca="1">IFERROR(__xludf.DUMMYFUNCTION("""COMPUTED_VALUE"""),38)</f>
        <v>38</v>
      </c>
      <c r="AE359" s="5">
        <f ca="1">IFERROR(__xludf.DUMMYFUNCTION("""COMPUTED_VALUE"""),0)</f>
        <v>0</v>
      </c>
      <c r="AF359" s="5" t="b">
        <f ca="1">IFERROR(__xludf.DUMMYFUNCTION("""COMPUTED_VALUE"""),TRUE)</f>
        <v>1</v>
      </c>
      <c r="AG359" s="5" t="str">
        <f ca="1">IFERROR(__xludf.DUMMYFUNCTION("""COMPUTED_VALUE"""),"INSPECCIONES SIN REALIZAR")</f>
        <v>INSPECCIONES SIN REALIZAR</v>
      </c>
      <c r="AH359" s="5"/>
    </row>
    <row r="360" spans="1:34">
      <c r="A360" s="5" t="str">
        <f ca="1">IFERROR(__xludf.DUMMYFUNCTION("""COMPUTED_VALUE"""),"LINEA DE ENVASADO TAMAÑO PERSONAL")</f>
        <v>LINEA DE ENVASADO TAMAÑO PERSONAL</v>
      </c>
      <c r="B360" s="5">
        <f ca="1">IFERROR(__xludf.DUMMYFUNCTION("""COMPUTED_VALUE"""),82965401)</f>
        <v>82965401</v>
      </c>
      <c r="C360" s="5" t="str">
        <f ca="1">IFERROR(__xludf.DUMMYFUNCTION("""COMPUTED_VALUE"""),"DESPITILLADORA")</f>
        <v>DESPITILLADORA</v>
      </c>
      <c r="D360" s="5">
        <f ca="1">IFERROR(__xludf.DUMMYFUNCTION("""COMPUTED_VALUE"""),13247622)</f>
        <v>13247622</v>
      </c>
      <c r="E360" s="5" t="str">
        <f ca="1">IFERROR(__xludf.DUMMYFUNCTION("""COMPUTED_VALUE"""),"INSPECCION SEMANAL DESPITILLADORA")</f>
        <v>INSPECCION SEMANAL DESPITILLADORA</v>
      </c>
      <c r="F360" s="5" t="str">
        <f ca="1">IFERROR(__xludf.DUMMYFUNCTION("""COMPUTED_VALUE"""),"Estado de tableros eléctricos de mando, control y potencia")</f>
        <v>Estado de tableros eléctricos de mando, control y potencia</v>
      </c>
      <c r="G360" s="5" t="b">
        <f ca="1">IFERROR(__xludf.DUMMYFUNCTION("""COMPUTED_VALUE"""),TRUE)</f>
        <v>1</v>
      </c>
      <c r="H360" s="5"/>
      <c r="I360" s="5"/>
      <c r="J360" s="5">
        <f ca="1">IFERROR(__xludf.DUMMYFUNCTION("""COMPUTED_VALUE"""),13247622)</f>
        <v>13247622</v>
      </c>
      <c r="K360" s="5"/>
      <c r="L360" s="18">
        <f ca="1">IFERROR(__xludf.DUMMYFUNCTION("""COMPUTED_VALUE"""),45325)</f>
        <v>45325</v>
      </c>
      <c r="M360" s="18">
        <f ca="1">IFERROR(__xludf.DUMMYFUNCTION("""COMPUTED_VALUE"""),45325)</f>
        <v>45325</v>
      </c>
      <c r="N360" s="5" t="str">
        <f ca="1">IFERROR(__xludf.DUMMYFUNCTION("""COMPUTED_VALUE"""),"Campo Rodriguez Adalcides Jesus")</f>
        <v>Campo Rodriguez Adalcides Jesus</v>
      </c>
      <c r="O360" s="2">
        <f ca="1">IFERROR(__xludf.DUMMYFUNCTION("""COMPUTED_VALUE"""),0.02)</f>
        <v>0.02</v>
      </c>
      <c r="P360" s="5">
        <f ca="1">IFERROR(__xludf.DUMMYFUNCTION("""COMPUTED_VALUE"""),20036419)</f>
        <v>20036419</v>
      </c>
      <c r="Q360" s="5" t="str">
        <f ca="1">IFERROR(__xludf.DUMMYFUNCTION("""COMPUTED_VALUE"""),"2PASDsPU7zc")</f>
        <v>2PASDsPU7zc</v>
      </c>
      <c r="R360" s="5">
        <f ca="1">IFERROR(__xludf.DUMMYFUNCTION("""COMPUTED_VALUE"""),410)</f>
        <v>410</v>
      </c>
      <c r="S360" s="62">
        <f ca="1">IFERROR(__xludf.DUMMYFUNCTION("""COMPUTED_VALUE"""),0.02)</f>
        <v>0.02</v>
      </c>
      <c r="T360" s="63" t="str">
        <f ca="1">IFERROR(__xludf.DUMMYFUNCTION("""COMPUTED_VALUE"""),"https://storage.googleapis.com/glide-prod.appspot.com/uploads-v2/ly7o78grxPaC6KdgvbpS/pub/3aRdSog0vUtuqPE8AJKD.png")</f>
        <v>https://storage.googleapis.com/glide-prod.appspot.com/uploads-v2/ly7o78grxPaC6KdgvbpS/pub/3aRdSog0vUtuqPE8AJKD.png</v>
      </c>
      <c r="U360" s="5" t="str">
        <f ca="1">IFERROR(__xludf.DUMMYFUNCTION("""COMPUTED_VALUE"""),"LINEA DE ENVASADO TAMAÑO PERSONALDESPITILLADORA")</f>
        <v>LINEA DE ENVASADO TAMAÑO PERSONALDESPITILLADORA</v>
      </c>
      <c r="V360" s="5"/>
      <c r="W360" s="5" t="b">
        <f ca="1">IFERROR(__xludf.DUMMYFUNCTION("""COMPUTED_VALUE"""),TRUE)</f>
        <v>1</v>
      </c>
      <c r="X360" s="5" t="str">
        <f ca="1">IFERROR(__xludf.DUMMYFUNCTION("""COMPUTED_VALUE"""),"wguerra@postobon.com.co,aprmttoyu@postobon.com.co,aprmyu@postobon.com.co,wmora@postobon.com.co,efzapata@postobon.com.co")</f>
        <v>wguerra@postobon.com.co,aprmttoyu@postobon.com.co,aprmyu@postobon.com.co,wmora@postobon.com.co,efzapata@postobon.com.co</v>
      </c>
      <c r="Y360" s="5" t="str">
        <f ca="1">IFERROR(__xludf.DUMMYFUNCTION("""COMPUTED_VALUE"""),"wguerra@postobon.com.co")</f>
        <v>wguerra@postobon.com.co</v>
      </c>
      <c r="Z360" s="5" t="str">
        <f ca="1">IFERROR(__xludf.DUMMYFUNCTION("""COMPUTED_VALUE"""),"oGWpc1ULRNiDsVVkztP8UQ")</f>
        <v>oGWpc1ULRNiDsVVkztP8UQ</v>
      </c>
      <c r="AA360" s="5"/>
      <c r="AB360" s="5"/>
      <c r="AC360" s="5"/>
      <c r="AD360" s="5">
        <f ca="1">IFERROR(__xludf.DUMMYFUNCTION("""COMPUTED_VALUE"""),43)</f>
        <v>43</v>
      </c>
      <c r="AE360" s="5">
        <f ca="1">IFERROR(__xludf.DUMMYFUNCTION("""COMPUTED_VALUE"""),43)</f>
        <v>43</v>
      </c>
      <c r="AF360" s="5" t="b">
        <f ca="1">IFERROR(__xludf.DUMMYFUNCTION("""COMPUTED_VALUE"""),FALSE)</f>
        <v>0</v>
      </c>
      <c r="AG360" s="5" t="str">
        <f ca="1">IFERROR(__xludf.DUMMYFUNCTION("""COMPUTED_VALUE"""),"INSPECCIONES REALIZADAS")</f>
        <v>INSPECCIONES REALIZADAS</v>
      </c>
      <c r="AH360" s="5"/>
    </row>
    <row r="361" spans="1:34">
      <c r="A361" s="5" t="str">
        <f ca="1">IFERROR(__xludf.DUMMYFUNCTION("""COMPUTED_VALUE"""),"LINEA DE ENVASADO TAMAÑO PERSONAL")</f>
        <v>LINEA DE ENVASADO TAMAÑO PERSONAL</v>
      </c>
      <c r="B361" s="5">
        <f ca="1">IFERROR(__xludf.DUMMYFUNCTION("""COMPUTED_VALUE"""),82965401)</f>
        <v>82965401</v>
      </c>
      <c r="C361" s="5" t="str">
        <f ca="1">IFERROR(__xludf.DUMMYFUNCTION("""COMPUTED_VALUE"""),"DESPITILLADORA")</f>
        <v>DESPITILLADORA</v>
      </c>
      <c r="D361" s="5">
        <f ca="1">IFERROR(__xludf.DUMMYFUNCTION("""COMPUTED_VALUE"""),13247622)</f>
        <v>13247622</v>
      </c>
      <c r="E361" s="5" t="str">
        <f ca="1">IFERROR(__xludf.DUMMYFUNCTION("""COMPUTED_VALUE"""),"INSPECCION SEMANAL DESPITILLADORA")</f>
        <v>INSPECCION SEMANAL DESPITILLADORA</v>
      </c>
      <c r="F361" s="5" t="str">
        <f ca="1">IFERROR(__xludf.DUMMYFUNCTION("""COMPUTED_VALUE"""),"Estado turbina/FUNC. MECANISMO SEGURIDAD")</f>
        <v>Estado turbina/FUNC. MECANISMO SEGURIDAD</v>
      </c>
      <c r="G361" s="5" t="b">
        <f ca="1">IFERROR(__xludf.DUMMYFUNCTION("""COMPUTED_VALUE"""),TRUE)</f>
        <v>1</v>
      </c>
      <c r="H361" s="5"/>
      <c r="I361" s="5"/>
      <c r="J361" s="5">
        <f ca="1">IFERROR(__xludf.DUMMYFUNCTION("""COMPUTED_VALUE"""),13247622)</f>
        <v>13247622</v>
      </c>
      <c r="K361" s="5"/>
      <c r="L361" s="18">
        <f ca="1">IFERROR(__xludf.DUMMYFUNCTION("""COMPUTED_VALUE"""),45325)</f>
        <v>45325</v>
      </c>
      <c r="M361" s="18">
        <f ca="1">IFERROR(__xludf.DUMMYFUNCTION("""COMPUTED_VALUE"""),45325)</f>
        <v>45325</v>
      </c>
      <c r="N361" s="5" t="str">
        <f ca="1">IFERROR(__xludf.DUMMYFUNCTION("""COMPUTED_VALUE"""),"Campo Rodriguez Adalcides Jesus")</f>
        <v>Campo Rodriguez Adalcides Jesus</v>
      </c>
      <c r="O361" s="2">
        <f ca="1">IFERROR(__xludf.DUMMYFUNCTION("""COMPUTED_VALUE"""),0.02)</f>
        <v>0.02</v>
      </c>
      <c r="P361" s="5">
        <f ca="1">IFERROR(__xludf.DUMMYFUNCTION("""COMPUTED_VALUE"""),20036419)</f>
        <v>20036419</v>
      </c>
      <c r="Q361" s="5" t="str">
        <f ca="1">IFERROR(__xludf.DUMMYFUNCTION("""COMPUTED_VALUE"""),"53RKq5IXovg")</f>
        <v>53RKq5IXovg</v>
      </c>
      <c r="R361" s="5">
        <f ca="1">IFERROR(__xludf.DUMMYFUNCTION("""COMPUTED_VALUE"""),410)</f>
        <v>410</v>
      </c>
      <c r="S361" s="62">
        <f ca="1">IFERROR(__xludf.DUMMYFUNCTION("""COMPUTED_VALUE"""),0.02)</f>
        <v>0.02</v>
      </c>
      <c r="T361" s="63" t="str">
        <f ca="1">IFERROR(__xludf.DUMMYFUNCTION("""COMPUTED_VALUE"""),"https://storage.googleapis.com/glide-prod.appspot.com/uploads-v2/ly7o78grxPaC6KdgvbpS/pub/3aRdSog0vUtuqPE8AJKD.png")</f>
        <v>https://storage.googleapis.com/glide-prod.appspot.com/uploads-v2/ly7o78grxPaC6KdgvbpS/pub/3aRdSog0vUtuqPE8AJKD.png</v>
      </c>
      <c r="U361" s="5" t="str">
        <f ca="1">IFERROR(__xludf.DUMMYFUNCTION("""COMPUTED_VALUE"""),"LINEA DE ENVASADO TAMAÑO PERSONALDESPITILLADORA")</f>
        <v>LINEA DE ENVASADO TAMAÑO PERSONALDESPITILLADORA</v>
      </c>
      <c r="V361" s="5"/>
      <c r="W361" s="5" t="b">
        <f ca="1">IFERROR(__xludf.DUMMYFUNCTION("""COMPUTED_VALUE"""),TRUE)</f>
        <v>1</v>
      </c>
      <c r="X361" s="5" t="str">
        <f ca="1">IFERROR(__xludf.DUMMYFUNCTION("""COMPUTED_VALUE"""),"wguerra@postobon.com.co,aprmttoyu@postobon.com.co,aprmyu@postobon.com.co,wmora@postobon.com.co,efzapata@postobon.com.co")</f>
        <v>wguerra@postobon.com.co,aprmttoyu@postobon.com.co,aprmyu@postobon.com.co,wmora@postobon.com.co,efzapata@postobon.com.co</v>
      </c>
      <c r="Y361" s="5" t="str">
        <f ca="1">IFERROR(__xludf.DUMMYFUNCTION("""COMPUTED_VALUE"""),"wguerra@postobon.com.co")</f>
        <v>wguerra@postobon.com.co</v>
      </c>
      <c r="Z361" s="5" t="str">
        <f ca="1">IFERROR(__xludf.DUMMYFUNCTION("""COMPUTED_VALUE"""),"DpaQv1JfS1Cu2kw5YzNe9g")</f>
        <v>DpaQv1JfS1Cu2kw5YzNe9g</v>
      </c>
      <c r="AA361" s="5"/>
      <c r="AB361" s="5"/>
      <c r="AC361" s="5"/>
      <c r="AD361" s="5">
        <f ca="1">IFERROR(__xludf.DUMMYFUNCTION("""COMPUTED_VALUE"""),43)</f>
        <v>43</v>
      </c>
      <c r="AE361" s="5">
        <f ca="1">IFERROR(__xludf.DUMMYFUNCTION("""COMPUTED_VALUE"""),43)</f>
        <v>43</v>
      </c>
      <c r="AF361" s="5" t="b">
        <f ca="1">IFERROR(__xludf.DUMMYFUNCTION("""COMPUTED_VALUE"""),FALSE)</f>
        <v>0</v>
      </c>
      <c r="AG361" s="5" t="str">
        <f ca="1">IFERROR(__xludf.DUMMYFUNCTION("""COMPUTED_VALUE"""),"INSPECCIONES REALIZADAS")</f>
        <v>INSPECCIONES REALIZADAS</v>
      </c>
      <c r="AH361" s="5"/>
    </row>
    <row r="362" spans="1:34">
      <c r="A362" s="5" t="str">
        <f ca="1">IFERROR(__xludf.DUMMYFUNCTION("""COMPUTED_VALUE"""),"LINEA DE ENVASADO TAMAÑO PERSONAL")</f>
        <v>LINEA DE ENVASADO TAMAÑO PERSONAL</v>
      </c>
      <c r="B362" s="5">
        <f ca="1">IFERROR(__xludf.DUMMYFUNCTION("""COMPUTED_VALUE"""),82965401)</f>
        <v>82965401</v>
      </c>
      <c r="C362" s="5" t="str">
        <f ca="1">IFERROR(__xludf.DUMMYFUNCTION("""COMPUTED_VALUE"""),"DESPITILLADORA")</f>
        <v>DESPITILLADORA</v>
      </c>
      <c r="D362" s="5">
        <f ca="1">IFERROR(__xludf.DUMMYFUNCTION("""COMPUTED_VALUE"""),13247622)</f>
        <v>13247622</v>
      </c>
      <c r="E362" s="5" t="str">
        <f ca="1">IFERROR(__xludf.DUMMYFUNCTION("""COMPUTED_VALUE"""),"INSPECCION SEMANAL DESPITILLADORA")</f>
        <v>INSPECCION SEMANAL DESPITILLADORA</v>
      </c>
      <c r="F362" s="5" t="str">
        <f ca="1">IFERROR(__xludf.DUMMYFUNCTION("""COMPUTED_VALUE"""),"INSP. CALENT Y CORRIENTE MOTOR")</f>
        <v>INSP. CALENT Y CORRIENTE MOTOR</v>
      </c>
      <c r="G362" s="5" t="b">
        <f ca="1">IFERROR(__xludf.DUMMYFUNCTION("""COMPUTED_VALUE"""),TRUE)</f>
        <v>1</v>
      </c>
      <c r="H362" s="5"/>
      <c r="I362" s="5"/>
      <c r="J362" s="5">
        <f ca="1">IFERROR(__xludf.DUMMYFUNCTION("""COMPUTED_VALUE"""),13247622)</f>
        <v>13247622</v>
      </c>
      <c r="K362" s="5"/>
      <c r="L362" s="18">
        <f ca="1">IFERROR(__xludf.DUMMYFUNCTION("""COMPUTED_VALUE"""),45325)</f>
        <v>45325</v>
      </c>
      <c r="M362" s="18">
        <f ca="1">IFERROR(__xludf.DUMMYFUNCTION("""COMPUTED_VALUE"""),45325)</f>
        <v>45325</v>
      </c>
      <c r="N362" s="5" t="str">
        <f ca="1">IFERROR(__xludf.DUMMYFUNCTION("""COMPUTED_VALUE"""),"Campo Rodriguez Adalcides Jesus")</f>
        <v>Campo Rodriguez Adalcides Jesus</v>
      </c>
      <c r="O362" s="2">
        <f ca="1">IFERROR(__xludf.DUMMYFUNCTION("""COMPUTED_VALUE"""),0.02)</f>
        <v>0.02</v>
      </c>
      <c r="P362" s="5">
        <f ca="1">IFERROR(__xludf.DUMMYFUNCTION("""COMPUTED_VALUE"""),20036419)</f>
        <v>20036419</v>
      </c>
      <c r="Q362" s="5" t="str">
        <f ca="1">IFERROR(__xludf.DUMMYFUNCTION("""COMPUTED_VALUE"""),"_akYQ64jcTE")</f>
        <v>_akYQ64jcTE</v>
      </c>
      <c r="R362" s="5">
        <f ca="1">IFERROR(__xludf.DUMMYFUNCTION("""COMPUTED_VALUE"""),410)</f>
        <v>410</v>
      </c>
      <c r="S362" s="62">
        <f ca="1">IFERROR(__xludf.DUMMYFUNCTION("""COMPUTED_VALUE"""),0.02)</f>
        <v>0.02</v>
      </c>
      <c r="T362" s="63" t="str">
        <f ca="1">IFERROR(__xludf.DUMMYFUNCTION("""COMPUTED_VALUE"""),"https://storage.googleapis.com/glide-prod.appspot.com/uploads-v2/ly7o78grxPaC6KdgvbpS/pub/3aRdSog0vUtuqPE8AJKD.png")</f>
        <v>https://storage.googleapis.com/glide-prod.appspot.com/uploads-v2/ly7o78grxPaC6KdgvbpS/pub/3aRdSog0vUtuqPE8AJKD.png</v>
      </c>
      <c r="U362" s="5" t="str">
        <f ca="1">IFERROR(__xludf.DUMMYFUNCTION("""COMPUTED_VALUE"""),"LINEA DE ENVASADO TAMAÑO PERSONALDESPITILLADORA")</f>
        <v>LINEA DE ENVASADO TAMAÑO PERSONALDESPITILLADORA</v>
      </c>
      <c r="V362" s="5"/>
      <c r="W362" s="5" t="b">
        <f ca="1">IFERROR(__xludf.DUMMYFUNCTION("""COMPUTED_VALUE"""),TRUE)</f>
        <v>1</v>
      </c>
      <c r="X362" s="5" t="str">
        <f ca="1">IFERROR(__xludf.DUMMYFUNCTION("""COMPUTED_VALUE"""),"wguerra@postobon.com.co,aprmttoyu@postobon.com.co,aprmyu@postobon.com.co,wmora@postobon.com.co,efzapata@postobon.com.co")</f>
        <v>wguerra@postobon.com.co,aprmttoyu@postobon.com.co,aprmyu@postobon.com.co,wmora@postobon.com.co,efzapata@postobon.com.co</v>
      </c>
      <c r="Y362" s="5" t="str">
        <f ca="1">IFERROR(__xludf.DUMMYFUNCTION("""COMPUTED_VALUE"""),"wguerra@postobon.com.co")</f>
        <v>wguerra@postobon.com.co</v>
      </c>
      <c r="Z362" s="5" t="str">
        <f ca="1">IFERROR(__xludf.DUMMYFUNCTION("""COMPUTED_VALUE"""),"Pkqdmt6zTBWHDC6rU2HvDg")</f>
        <v>Pkqdmt6zTBWHDC6rU2HvDg</v>
      </c>
      <c r="AA362" s="5"/>
      <c r="AB362" s="5"/>
      <c r="AC362" s="5"/>
      <c r="AD362" s="5">
        <f ca="1">IFERROR(__xludf.DUMMYFUNCTION("""COMPUTED_VALUE"""),43)</f>
        <v>43</v>
      </c>
      <c r="AE362" s="5">
        <f ca="1">IFERROR(__xludf.DUMMYFUNCTION("""COMPUTED_VALUE"""),43)</f>
        <v>43</v>
      </c>
      <c r="AF362" s="5" t="b">
        <f ca="1">IFERROR(__xludf.DUMMYFUNCTION("""COMPUTED_VALUE"""),FALSE)</f>
        <v>0</v>
      </c>
      <c r="AG362" s="5" t="str">
        <f ca="1">IFERROR(__xludf.DUMMYFUNCTION("""COMPUTED_VALUE"""),"INSPECCIONES REALIZADAS")</f>
        <v>INSPECCIONES REALIZADAS</v>
      </c>
      <c r="AH362" s="5"/>
    </row>
    <row r="363" spans="1:34">
      <c r="A363" s="5" t="str">
        <f ca="1">IFERROR(__xludf.DUMMYFUNCTION("""COMPUTED_VALUE"""),"LINEA DE ENVASADO TAMAÑO PERSONAL")</f>
        <v>LINEA DE ENVASADO TAMAÑO PERSONAL</v>
      </c>
      <c r="B363" s="5">
        <f ca="1">IFERROR(__xludf.DUMMYFUNCTION("""COMPUTED_VALUE"""),82965401)</f>
        <v>82965401</v>
      </c>
      <c r="C363" s="5" t="str">
        <f ca="1">IFERROR(__xludf.DUMMYFUNCTION("""COMPUTED_VALUE"""),"DESPITILLADORA")</f>
        <v>DESPITILLADORA</v>
      </c>
      <c r="D363" s="5">
        <f ca="1">IFERROR(__xludf.DUMMYFUNCTION("""COMPUTED_VALUE"""),13247622)</f>
        <v>13247622</v>
      </c>
      <c r="E363" s="5" t="str">
        <f ca="1">IFERROR(__xludf.DUMMYFUNCTION("""COMPUTED_VALUE"""),"INSPECCION SEMANAL DESPITILLADORA")</f>
        <v>INSPECCION SEMANAL DESPITILLADORA</v>
      </c>
      <c r="F363" s="5" t="str">
        <f ca="1">IFERROR(__xludf.DUMMYFUNCTION("""COMPUTED_VALUE"""),"Estado correa de transferencia/LUBRICACION ENGRANAJES")</f>
        <v>Estado correa de transferencia/LUBRICACION ENGRANAJES</v>
      </c>
      <c r="G363" s="5" t="b">
        <f ca="1">IFERROR(__xludf.DUMMYFUNCTION("""COMPUTED_VALUE"""),TRUE)</f>
        <v>1</v>
      </c>
      <c r="H363" s="5"/>
      <c r="I363" s="5"/>
      <c r="J363" s="5">
        <f ca="1">IFERROR(__xludf.DUMMYFUNCTION("""COMPUTED_VALUE"""),13247622)</f>
        <v>13247622</v>
      </c>
      <c r="K363" s="5"/>
      <c r="L363" s="18">
        <f ca="1">IFERROR(__xludf.DUMMYFUNCTION("""COMPUTED_VALUE"""),45325)</f>
        <v>45325</v>
      </c>
      <c r="M363" s="18">
        <f ca="1">IFERROR(__xludf.DUMMYFUNCTION("""COMPUTED_VALUE"""),45325)</f>
        <v>45325</v>
      </c>
      <c r="N363" s="5" t="str">
        <f ca="1">IFERROR(__xludf.DUMMYFUNCTION("""COMPUTED_VALUE"""),"Campo Rodriguez Adalcides Jesus")</f>
        <v>Campo Rodriguez Adalcides Jesus</v>
      </c>
      <c r="O363" s="2">
        <f ca="1">IFERROR(__xludf.DUMMYFUNCTION("""COMPUTED_VALUE"""),0.02)</f>
        <v>0.02</v>
      </c>
      <c r="P363" s="5">
        <f ca="1">IFERROR(__xludf.DUMMYFUNCTION("""COMPUTED_VALUE"""),20036419)</f>
        <v>20036419</v>
      </c>
      <c r="Q363" s="5" t="str">
        <f ca="1">IFERROR(__xludf.DUMMYFUNCTION("""COMPUTED_VALUE"""),"gnF0LDYKJ4c")</f>
        <v>gnF0LDYKJ4c</v>
      </c>
      <c r="R363" s="5">
        <f ca="1">IFERROR(__xludf.DUMMYFUNCTION("""COMPUTED_VALUE"""),410)</f>
        <v>410</v>
      </c>
      <c r="S363" s="62">
        <f ca="1">IFERROR(__xludf.DUMMYFUNCTION("""COMPUTED_VALUE"""),0.02)</f>
        <v>0.02</v>
      </c>
      <c r="T363" s="63" t="str">
        <f ca="1">IFERROR(__xludf.DUMMYFUNCTION("""COMPUTED_VALUE"""),"https://storage.googleapis.com/glide-prod.appspot.com/uploads-v2/ly7o78grxPaC6KdgvbpS/pub/3aRdSog0vUtuqPE8AJKD.png")</f>
        <v>https://storage.googleapis.com/glide-prod.appspot.com/uploads-v2/ly7o78grxPaC6KdgvbpS/pub/3aRdSog0vUtuqPE8AJKD.png</v>
      </c>
      <c r="U363" s="5" t="str">
        <f ca="1">IFERROR(__xludf.DUMMYFUNCTION("""COMPUTED_VALUE"""),"LINEA DE ENVASADO TAMAÑO PERSONALDESPITILLADORA")</f>
        <v>LINEA DE ENVASADO TAMAÑO PERSONALDESPITILLADORA</v>
      </c>
      <c r="V363" s="5"/>
      <c r="W363" s="5" t="b">
        <f ca="1">IFERROR(__xludf.DUMMYFUNCTION("""COMPUTED_VALUE"""),TRUE)</f>
        <v>1</v>
      </c>
      <c r="X363" s="5" t="str">
        <f ca="1">IFERROR(__xludf.DUMMYFUNCTION("""COMPUTED_VALUE"""),"wguerra@postobon.com.co,aprmttoyu@postobon.com.co,aprmyu@postobon.com.co,wmora@postobon.com.co,efzapata@postobon.com.co")</f>
        <v>wguerra@postobon.com.co,aprmttoyu@postobon.com.co,aprmyu@postobon.com.co,wmora@postobon.com.co,efzapata@postobon.com.co</v>
      </c>
      <c r="Y363" s="5" t="str">
        <f ca="1">IFERROR(__xludf.DUMMYFUNCTION("""COMPUTED_VALUE"""),"wguerra@postobon.com.co")</f>
        <v>wguerra@postobon.com.co</v>
      </c>
      <c r="Z363" s="5" t="str">
        <f ca="1">IFERROR(__xludf.DUMMYFUNCTION("""COMPUTED_VALUE"""),"2jsa7A.5RuqMV5FSQJmMJQ")</f>
        <v>2jsa7A.5RuqMV5FSQJmMJQ</v>
      </c>
      <c r="AA363" s="5"/>
      <c r="AB363" s="5"/>
      <c r="AC363" s="5"/>
      <c r="AD363" s="5">
        <f ca="1">IFERROR(__xludf.DUMMYFUNCTION("""COMPUTED_VALUE"""),43)</f>
        <v>43</v>
      </c>
      <c r="AE363" s="5">
        <f ca="1">IFERROR(__xludf.DUMMYFUNCTION("""COMPUTED_VALUE"""),43)</f>
        <v>43</v>
      </c>
      <c r="AF363" s="5" t="b">
        <f ca="1">IFERROR(__xludf.DUMMYFUNCTION("""COMPUTED_VALUE"""),FALSE)</f>
        <v>0</v>
      </c>
      <c r="AG363" s="5" t="str">
        <f ca="1">IFERROR(__xludf.DUMMYFUNCTION("""COMPUTED_VALUE"""),"INSPECCIONES REALIZADAS")</f>
        <v>INSPECCIONES REALIZADAS</v>
      </c>
      <c r="AH363" s="5"/>
    </row>
    <row r="364" spans="1:34">
      <c r="A364" s="5" t="str">
        <f ca="1">IFERROR(__xludf.DUMMYFUNCTION("""COMPUTED_VALUE"""),"LINEA DE ENVASADO TAMAÑO PERSONAL")</f>
        <v>LINEA DE ENVASADO TAMAÑO PERSONAL</v>
      </c>
      <c r="B364" s="5">
        <f ca="1">IFERROR(__xludf.DUMMYFUNCTION("""COMPUTED_VALUE"""),82965401)</f>
        <v>82965401</v>
      </c>
      <c r="C364" s="5" t="str">
        <f ca="1">IFERROR(__xludf.DUMMYFUNCTION("""COMPUTED_VALUE"""),"DESPITILLADORA")</f>
        <v>DESPITILLADORA</v>
      </c>
      <c r="D364" s="5">
        <f ca="1">IFERROR(__xludf.DUMMYFUNCTION("""COMPUTED_VALUE"""),13247622)</f>
        <v>13247622</v>
      </c>
      <c r="E364" s="5" t="str">
        <f ca="1">IFERROR(__xludf.DUMMYFUNCTION("""COMPUTED_VALUE"""),"INSPECCION SEMANAL DESPITILLADORA")</f>
        <v>INSPECCION SEMANAL DESPITILLADORA</v>
      </c>
      <c r="F364" s="5" t="str">
        <f ca="1">IFERROR(__xludf.DUMMYFUNCTION("""COMPUTED_VALUE"""),"Estado mecánico general (rodamientos, poleas, estructura)")</f>
        <v>Estado mecánico general (rodamientos, poleas, estructura)</v>
      </c>
      <c r="G364" s="5" t="b">
        <f ca="1">IFERROR(__xludf.DUMMYFUNCTION("""COMPUTED_VALUE"""),TRUE)</f>
        <v>1</v>
      </c>
      <c r="H364" s="5"/>
      <c r="I364" s="5"/>
      <c r="J364" s="5">
        <f ca="1">IFERROR(__xludf.DUMMYFUNCTION("""COMPUTED_VALUE"""),13247622)</f>
        <v>13247622</v>
      </c>
      <c r="K364" s="5"/>
      <c r="L364" s="18">
        <f ca="1">IFERROR(__xludf.DUMMYFUNCTION("""COMPUTED_VALUE"""),45325)</f>
        <v>45325</v>
      </c>
      <c r="M364" s="18">
        <f ca="1">IFERROR(__xludf.DUMMYFUNCTION("""COMPUTED_VALUE"""),45325)</f>
        <v>45325</v>
      </c>
      <c r="N364" s="5" t="str">
        <f ca="1">IFERROR(__xludf.DUMMYFUNCTION("""COMPUTED_VALUE"""),"Campo Rodriguez Adalcides Jesus")</f>
        <v>Campo Rodriguez Adalcides Jesus</v>
      </c>
      <c r="O364" s="2">
        <f ca="1">IFERROR(__xludf.DUMMYFUNCTION("""COMPUTED_VALUE"""),0.02)</f>
        <v>0.02</v>
      </c>
      <c r="P364" s="5">
        <f ca="1">IFERROR(__xludf.DUMMYFUNCTION("""COMPUTED_VALUE"""),20036419)</f>
        <v>20036419</v>
      </c>
      <c r="Q364" s="5" t="str">
        <f ca="1">IFERROR(__xludf.DUMMYFUNCTION("""COMPUTED_VALUE"""),"waUInNkLv9A")</f>
        <v>waUInNkLv9A</v>
      </c>
      <c r="R364" s="5">
        <f ca="1">IFERROR(__xludf.DUMMYFUNCTION("""COMPUTED_VALUE"""),410)</f>
        <v>410</v>
      </c>
      <c r="S364" s="62">
        <f ca="1">IFERROR(__xludf.DUMMYFUNCTION("""COMPUTED_VALUE"""),0.02)</f>
        <v>0.02</v>
      </c>
      <c r="T364" s="63" t="str">
        <f ca="1">IFERROR(__xludf.DUMMYFUNCTION("""COMPUTED_VALUE"""),"https://storage.googleapis.com/glide-prod.appspot.com/uploads-v2/ly7o78grxPaC6KdgvbpS/pub/3aRdSog0vUtuqPE8AJKD.png")</f>
        <v>https://storage.googleapis.com/glide-prod.appspot.com/uploads-v2/ly7o78grxPaC6KdgvbpS/pub/3aRdSog0vUtuqPE8AJKD.png</v>
      </c>
      <c r="U364" s="5" t="str">
        <f ca="1">IFERROR(__xludf.DUMMYFUNCTION("""COMPUTED_VALUE"""),"LINEA DE ENVASADO TAMAÑO PERSONALDESPITILLADORA")</f>
        <v>LINEA DE ENVASADO TAMAÑO PERSONALDESPITILLADORA</v>
      </c>
      <c r="V364" s="5"/>
      <c r="W364" s="5" t="b">
        <f ca="1">IFERROR(__xludf.DUMMYFUNCTION("""COMPUTED_VALUE"""),TRUE)</f>
        <v>1</v>
      </c>
      <c r="X364" s="5" t="str">
        <f ca="1">IFERROR(__xludf.DUMMYFUNCTION("""COMPUTED_VALUE"""),"wguerra@postobon.com.co,aprmttoyu@postobon.com.co,aprmyu@postobon.com.co,wmora@postobon.com.co,efzapata@postobon.com.co")</f>
        <v>wguerra@postobon.com.co,aprmttoyu@postobon.com.co,aprmyu@postobon.com.co,wmora@postobon.com.co,efzapata@postobon.com.co</v>
      </c>
      <c r="Y364" s="5" t="str">
        <f ca="1">IFERROR(__xludf.DUMMYFUNCTION("""COMPUTED_VALUE"""),"wguerra@postobon.com.co")</f>
        <v>wguerra@postobon.com.co</v>
      </c>
      <c r="Z364" s="5" t="str">
        <f ca="1">IFERROR(__xludf.DUMMYFUNCTION("""COMPUTED_VALUE"""),"hCHkmG2AQQOrhP7YF-BNaw")</f>
        <v>hCHkmG2AQQOrhP7YF-BNaw</v>
      </c>
      <c r="AA364" s="5"/>
      <c r="AB364" s="5"/>
      <c r="AC364" s="5"/>
      <c r="AD364" s="5">
        <f ca="1">IFERROR(__xludf.DUMMYFUNCTION("""COMPUTED_VALUE"""),43)</f>
        <v>43</v>
      </c>
      <c r="AE364" s="5">
        <f ca="1">IFERROR(__xludf.DUMMYFUNCTION("""COMPUTED_VALUE"""),43)</f>
        <v>43</v>
      </c>
      <c r="AF364" s="5" t="b">
        <f ca="1">IFERROR(__xludf.DUMMYFUNCTION("""COMPUTED_VALUE"""),FALSE)</f>
        <v>0</v>
      </c>
      <c r="AG364" s="5" t="str">
        <f ca="1">IFERROR(__xludf.DUMMYFUNCTION("""COMPUTED_VALUE"""),"INSPECCIONES REALIZADAS")</f>
        <v>INSPECCIONES REALIZADAS</v>
      </c>
      <c r="AH364" s="5"/>
    </row>
    <row r="365" spans="1:34">
      <c r="A365" s="5" t="str">
        <f ca="1">IFERROR(__xludf.DUMMYFUNCTION("""COMPUTED_VALUE"""),"LINEA DE ENVASADO PET NO RETORNABLE")</f>
        <v>LINEA DE ENVASADO PET NO RETORNABLE</v>
      </c>
      <c r="B365" s="5">
        <f ca="1">IFERROR(__xludf.DUMMYFUNCTION("""COMPUTED_VALUE"""),51863504)</f>
        <v>51863504</v>
      </c>
      <c r="C365" s="5" t="str">
        <f ca="1">IFERROR(__xludf.DUMMYFUNCTION("""COMPUTED_VALUE"""),"DOSIFICADOR DE NITROGENO")</f>
        <v>DOSIFICADOR DE NITROGENO</v>
      </c>
      <c r="D365" s="5">
        <f ca="1">IFERROR(__xludf.DUMMYFUNCTION("""COMPUTED_VALUE"""),13247837)</f>
        <v>13247837</v>
      </c>
      <c r="E365" s="5" t="str">
        <f ca="1">IFERROR(__xludf.DUMMYFUNCTION("""COMPUTED_VALUE"""),"INSPECCION SEMANAL DOSIFICADOR DE NITROG")</f>
        <v>INSPECCION SEMANAL DOSIFICADOR DE NITROG</v>
      </c>
      <c r="F365" s="5" t="str">
        <f ca="1">IFERROR(__xludf.DUMMYFUNCTION("""COMPUTED_VALUE"""),"PLAN MTTO MEC DOSIFIC NITRO 51863504 L1")</f>
        <v>PLAN MTTO MEC DOSIFIC NITRO 51863504 L1</v>
      </c>
      <c r="G365" s="5" t="b">
        <f ca="1">IFERROR(__xludf.DUMMYFUNCTION("""COMPUTED_VALUE"""),TRUE)</f>
        <v>1</v>
      </c>
      <c r="H365" s="5"/>
      <c r="I365" s="5"/>
      <c r="J365" s="5">
        <f ca="1">IFERROR(__xludf.DUMMYFUNCTION("""COMPUTED_VALUE"""),13247837)</f>
        <v>13247837</v>
      </c>
      <c r="K365" s="5"/>
      <c r="L365" s="18">
        <f ca="1">IFERROR(__xludf.DUMMYFUNCTION("""COMPUTED_VALUE"""),45324)</f>
        <v>45324</v>
      </c>
      <c r="M365" s="18">
        <f ca="1">IFERROR(__xludf.DUMMYFUNCTION("""COMPUTED_VALUE"""),45324)</f>
        <v>45324</v>
      </c>
      <c r="N365" s="5" t="str">
        <f ca="1">IFERROR(__xludf.DUMMYFUNCTION("""COMPUTED_VALUE"""),"Montes Marmolejo Leonel F")</f>
        <v>Montes Marmolejo Leonel F</v>
      </c>
      <c r="O365" s="2">
        <f ca="1">IFERROR(__xludf.DUMMYFUNCTION("""COMPUTED_VALUE"""),0.1)</f>
        <v>0.1</v>
      </c>
      <c r="P365" s="5">
        <f ca="1">IFERROR(__xludf.DUMMYFUNCTION("""COMPUTED_VALUE"""),20009992)</f>
        <v>20009992</v>
      </c>
      <c r="Q365" s="5" t="str">
        <f ca="1">IFERROR(__xludf.DUMMYFUNCTION("""COMPUTED_VALUE"""),"B3DU8PjRWP0")</f>
        <v>B3DU8PjRWP0</v>
      </c>
      <c r="R365" s="5">
        <f ca="1">IFERROR(__xludf.DUMMYFUNCTION("""COMPUTED_VALUE"""),410)</f>
        <v>410</v>
      </c>
      <c r="S365" s="62">
        <f ca="1">IFERROR(__xludf.DUMMYFUNCTION("""COMPUTED_VALUE"""),0.1)</f>
        <v>0.1</v>
      </c>
      <c r="T365" s="63" t="str">
        <f ca="1">IFERROR(__xludf.DUMMYFUNCTION("""COMPUTED_VALUE"""),"https://storage.googleapis.com/glide-prod.appspot.com/uploads-v2/ly7o78grxPaC6KdgvbpS/pub/3aRdSog0vUtuqPE8AJKD.png")</f>
        <v>https://storage.googleapis.com/glide-prod.appspot.com/uploads-v2/ly7o78grxPaC6KdgvbpS/pub/3aRdSog0vUtuqPE8AJKD.png</v>
      </c>
      <c r="U365" s="5" t="str">
        <f ca="1">IFERROR(__xludf.DUMMYFUNCTION("""COMPUTED_VALUE"""),"LINEA DE ENVASADO PET NO RETORNABLEDOSIFICADOR DE NITROGENO")</f>
        <v>LINEA DE ENVASADO PET NO RETORNABLEDOSIFICADOR DE NITROGENO</v>
      </c>
      <c r="V365" s="5"/>
      <c r="W365" s="5" t="b">
        <f ca="1">IFERROR(__xludf.DUMMYFUNCTION("""COMPUTED_VALUE"""),TRUE)</f>
        <v>1</v>
      </c>
      <c r="X365" s="5" t="str">
        <f ca="1">IFERROR(__xludf.DUMMYFUNCTION("""COMPUTED_VALUE"""),"wguerra@postobon.com.co,aprmttoyu@postobon.com.co,aprmyu@postobon.com.co,wmora@postobon.com.co,efzapata@postobon.com.co")</f>
        <v>wguerra@postobon.com.co,aprmttoyu@postobon.com.co,aprmyu@postobon.com.co,wmora@postobon.com.co,efzapata@postobon.com.co</v>
      </c>
      <c r="Y365" s="5" t="str">
        <f ca="1">IFERROR(__xludf.DUMMYFUNCTION("""COMPUTED_VALUE"""),"wguerra@postobon.com.co")</f>
        <v>wguerra@postobon.com.co</v>
      </c>
      <c r="Z365" s="5" t="str">
        <f ca="1">IFERROR(__xludf.DUMMYFUNCTION("""COMPUTED_VALUE"""),"28UDcMryQOG50sjmuZB6hw")</f>
        <v>28UDcMryQOG50sjmuZB6hw</v>
      </c>
      <c r="AA365" s="5"/>
      <c r="AB365" s="5"/>
      <c r="AC365" s="5"/>
      <c r="AD365" s="5">
        <f ca="1">IFERROR(__xludf.DUMMYFUNCTION("""COMPUTED_VALUE"""),11)</f>
        <v>11</v>
      </c>
      <c r="AE365" s="5">
        <f ca="1">IFERROR(__xludf.DUMMYFUNCTION("""COMPUTED_VALUE"""),11)</f>
        <v>11</v>
      </c>
      <c r="AF365" s="5" t="b">
        <f ca="1">IFERROR(__xludf.DUMMYFUNCTION("""COMPUTED_VALUE"""),FALSE)</f>
        <v>0</v>
      </c>
      <c r="AG365" s="5" t="str">
        <f ca="1">IFERROR(__xludf.DUMMYFUNCTION("""COMPUTED_VALUE"""),"INSPECCIONES REALIZADAS")</f>
        <v>INSPECCIONES REALIZADAS</v>
      </c>
      <c r="AH365" s="5"/>
    </row>
    <row r="366" spans="1:34">
      <c r="A366" s="5" t="str">
        <f ca="1">IFERROR(__xludf.DUMMYFUNCTION("""COMPUTED_VALUE"""),"LINEA DE ENVASADO PET NO RETORNABLE")</f>
        <v>LINEA DE ENVASADO PET NO RETORNABLE</v>
      </c>
      <c r="B366" s="5">
        <f ca="1">IFERROR(__xludf.DUMMYFUNCTION("""COMPUTED_VALUE"""),51863502)</f>
        <v>51863502</v>
      </c>
      <c r="C366" s="5" t="str">
        <f ca="1">IFERROR(__xludf.DUMMYFUNCTION("""COMPUTED_VALUE"""),"ELEVADOR TAPAS")</f>
        <v>ELEVADOR TAPAS</v>
      </c>
      <c r="D366" s="5">
        <f ca="1">IFERROR(__xludf.DUMMYFUNCTION("""COMPUTED_VALUE"""),13247817)</f>
        <v>13247817</v>
      </c>
      <c r="E366" s="5" t="str">
        <f ca="1">IFERROR(__xludf.DUMMYFUNCTION("""COMPUTED_VALUE"""),"INSPECCION SEMANAL ELEVADOR TAPAS")</f>
        <v>INSPECCION SEMANAL ELEVADOR TAPAS</v>
      </c>
      <c r="F366" s="5" t="str">
        <f ca="1">IFERROR(__xludf.DUMMYFUNCTION("""COMPUTED_VALUE"""),"PLAN MTTO MEC ELEVADOR TAPAS 51863502 L1")</f>
        <v>PLAN MTTO MEC ELEVADOR TAPAS 51863502 L1</v>
      </c>
      <c r="G366" s="5" t="b">
        <f ca="1">IFERROR(__xludf.DUMMYFUNCTION("""COMPUTED_VALUE"""),TRUE)</f>
        <v>1</v>
      </c>
      <c r="H366" s="5"/>
      <c r="I366" s="5"/>
      <c r="J366" s="5"/>
      <c r="K366" s="5"/>
      <c r="L366" s="18">
        <f ca="1">IFERROR(__xludf.DUMMYFUNCTION("""COMPUTED_VALUE"""),45324)</f>
        <v>45324</v>
      </c>
      <c r="M366" s="18">
        <f ca="1">IFERROR(__xludf.DUMMYFUNCTION("""COMPUTED_VALUE"""),45324)</f>
        <v>45324</v>
      </c>
      <c r="N366" s="5" t="str">
        <f ca="1">IFERROR(__xludf.DUMMYFUNCTION("""COMPUTED_VALUE"""),"FRANCO HERRERA ALEJANDRO")</f>
        <v>FRANCO HERRERA ALEJANDRO</v>
      </c>
      <c r="O366" s="2">
        <f ca="1">IFERROR(__xludf.DUMMYFUNCTION("""COMPUTED_VALUE"""),0.1)</f>
        <v>0.1</v>
      </c>
      <c r="P366" s="5"/>
      <c r="Q366" s="5" t="str">
        <f ca="1">IFERROR(__xludf.DUMMYFUNCTION("""COMPUTED_VALUE"""),"kOaYELB2ZNI")</f>
        <v>kOaYELB2ZNI</v>
      </c>
      <c r="R366" s="5">
        <f ca="1">IFERROR(__xludf.DUMMYFUNCTION("""COMPUTED_VALUE"""),410)</f>
        <v>410</v>
      </c>
      <c r="S366" s="62">
        <f ca="1">IFERROR(__xludf.DUMMYFUNCTION("""COMPUTED_VALUE"""),0.1)</f>
        <v>0.1</v>
      </c>
      <c r="T366" s="63" t="str">
        <f ca="1">IFERROR(__xludf.DUMMYFUNCTION("""COMPUTED_VALUE"""),"https://storage.googleapis.com/glide-prod.appspot.com/uploads-v2/ly7o78grxPaC6KdgvbpS/pub/3aRdSog0vUtuqPE8AJKD.png")</f>
        <v>https://storage.googleapis.com/glide-prod.appspot.com/uploads-v2/ly7o78grxPaC6KdgvbpS/pub/3aRdSog0vUtuqPE8AJKD.png</v>
      </c>
      <c r="U366" s="5" t="str">
        <f ca="1">IFERROR(__xludf.DUMMYFUNCTION("""COMPUTED_VALUE"""),"LINEA DE ENVASADO PET NO RETORNABLEELEVADOR TAPAS")</f>
        <v>LINEA DE ENVASADO PET NO RETORNABLEELEVADOR TAPAS</v>
      </c>
      <c r="V366" s="5"/>
      <c r="W366" s="5" t="b">
        <f ca="1">IFERROR(__xludf.DUMMYFUNCTION("""COMPUTED_VALUE"""),TRUE)</f>
        <v>1</v>
      </c>
      <c r="X366" s="5" t="str">
        <f ca="1">IFERROR(__xludf.DUMMYFUNCTION("""COMPUTED_VALUE"""),"wguerra@postobon.com.co,aprmttoyu@postobon.com.co,aprmyu@postobon.com.co,wmora@postobon.com.co,efzapata@postobon.com.co")</f>
        <v>wguerra@postobon.com.co,aprmttoyu@postobon.com.co,aprmyu@postobon.com.co,wmora@postobon.com.co,efzapata@postobon.com.co</v>
      </c>
      <c r="Y366" s="5" t="str">
        <f ca="1">IFERROR(__xludf.DUMMYFUNCTION("""COMPUTED_VALUE"""),"wguerra@postobon.com.co")</f>
        <v>wguerra@postobon.com.co</v>
      </c>
      <c r="Z366" s="5" t="str">
        <f ca="1">IFERROR(__xludf.DUMMYFUNCTION("""COMPUTED_VALUE"""),"SVDDWQ0dTRGeQpuyBX8OeA")</f>
        <v>SVDDWQ0dTRGeQpuyBX8OeA</v>
      </c>
      <c r="AA366" s="5"/>
      <c r="AB366" s="5"/>
      <c r="AC366" s="5"/>
      <c r="AD366" s="5">
        <f ca="1">IFERROR(__xludf.DUMMYFUNCTION("""COMPUTED_VALUE"""),30)</f>
        <v>30</v>
      </c>
      <c r="AE366" s="5">
        <f ca="1">IFERROR(__xludf.DUMMYFUNCTION("""COMPUTED_VALUE"""),30)</f>
        <v>30</v>
      </c>
      <c r="AF366" s="5" t="b">
        <f ca="1">IFERROR(__xludf.DUMMYFUNCTION("""COMPUTED_VALUE"""),FALSE)</f>
        <v>0</v>
      </c>
      <c r="AG366" s="5" t="str">
        <f ca="1">IFERROR(__xludf.DUMMYFUNCTION("""COMPUTED_VALUE"""),"INSPECCIONES REALIZADAS")</f>
        <v>INSPECCIONES REALIZADAS</v>
      </c>
      <c r="AH366" s="5"/>
    </row>
    <row r="367" spans="1:34">
      <c r="A367" s="5" t="str">
        <f ca="1">IFERROR(__xludf.DUMMYFUNCTION("""COMPUTED_VALUE"""),"LINEA DE ENVASADO PET NO RETORNABLE")</f>
        <v>LINEA DE ENVASADO PET NO RETORNABLE</v>
      </c>
      <c r="B367" s="5">
        <f ca="1">IFERROR(__xludf.DUMMYFUNCTION("""COMPUTED_VALUE"""),710316)</f>
        <v>710316</v>
      </c>
      <c r="C367" s="5" t="str">
        <f ca="1">IFERROR(__xludf.DUMMYFUNCTION("""COMPUTED_VALUE"""),"EMBANDEJADORA VARIOPAC")</f>
        <v>EMBANDEJADORA VARIOPAC</v>
      </c>
      <c r="D367" s="5">
        <f ca="1">IFERROR(__xludf.DUMMYFUNCTION("""COMPUTED_VALUE"""),13247820)</f>
        <v>13247820</v>
      </c>
      <c r="E367" s="5" t="str">
        <f ca="1">IFERROR(__xludf.DUMMYFUNCTION("""COMPUTED_VALUE"""),"INSPECCION SEMANAL EMBANDEJADORA VARIOPA")</f>
        <v>INSPECCION SEMANAL EMBANDEJADORA VARIOPA</v>
      </c>
      <c r="F367" s="5" t="str">
        <f ca="1">IFERROR(__xludf.DUMMYFUNCTION("""COMPUTED_VALUE"""),"INSP CARRILES TRANSPORTE BOTELLAS")</f>
        <v>INSP CARRILES TRANSPORTE BOTELLAS</v>
      </c>
      <c r="G367" s="5" t="b">
        <f ca="1">IFERROR(__xludf.DUMMYFUNCTION("""COMPUTED_VALUE"""),TRUE)</f>
        <v>1</v>
      </c>
      <c r="H367" s="5"/>
      <c r="I367" s="5"/>
      <c r="J367" s="5">
        <f ca="1">IFERROR(__xludf.DUMMYFUNCTION("""COMPUTED_VALUE"""),13247820)</f>
        <v>13247820</v>
      </c>
      <c r="K367" s="5"/>
      <c r="L367" s="18">
        <f ca="1">IFERROR(__xludf.DUMMYFUNCTION("""COMPUTED_VALUE"""),45325)</f>
        <v>45325</v>
      </c>
      <c r="M367" s="18">
        <f ca="1">IFERROR(__xludf.DUMMYFUNCTION("""COMPUTED_VALUE"""),45325)</f>
        <v>45325</v>
      </c>
      <c r="N367" s="5" t="str">
        <f ca="1">IFERROR(__xludf.DUMMYFUNCTION("""COMPUTED_VALUE"""),"Leon Narvaez Andres Felipe")</f>
        <v>Leon Narvaez Andres Felipe</v>
      </c>
      <c r="O367" s="2">
        <f ca="1">IFERROR(__xludf.DUMMYFUNCTION("""COMPUTED_VALUE"""),0.006666667)</f>
        <v>6.6666670000000003E-3</v>
      </c>
      <c r="P367" s="5">
        <f ca="1">IFERROR(__xludf.DUMMYFUNCTION("""COMPUTED_VALUE"""),20009879)</f>
        <v>20009879</v>
      </c>
      <c r="Q367" s="5" t="str">
        <f ca="1">IFERROR(__xludf.DUMMYFUNCTION("""COMPUTED_VALUE"""),"VGXKqVGtuaw")</f>
        <v>VGXKqVGtuaw</v>
      </c>
      <c r="R367" s="5">
        <f ca="1">IFERROR(__xludf.DUMMYFUNCTION("""COMPUTED_VALUE"""),410)</f>
        <v>410</v>
      </c>
      <c r="S367" s="62">
        <f ca="1">IFERROR(__xludf.DUMMYFUNCTION("""COMPUTED_VALUE"""),0.006666667)</f>
        <v>6.6666670000000003E-3</v>
      </c>
      <c r="T367" s="63" t="str">
        <f ca="1">IFERROR(__xludf.DUMMYFUNCTION("""COMPUTED_VALUE"""),"https://storage.googleapis.com/glide-prod.appspot.com/uploads-v2/ly7o78grxPaC6KdgvbpS/pub/3aRdSog0vUtuqPE8AJKD.png")</f>
        <v>https://storage.googleapis.com/glide-prod.appspot.com/uploads-v2/ly7o78grxPaC6KdgvbpS/pub/3aRdSog0vUtuqPE8AJKD.png</v>
      </c>
      <c r="U367" s="5" t="str">
        <f ca="1">IFERROR(__xludf.DUMMYFUNCTION("""COMPUTED_VALUE"""),"LINEA DE ENVASADO PET NO RETORNABLEEMBANDEJADORA VARIOPAC")</f>
        <v>LINEA DE ENVASADO PET NO RETORNABLEEMBANDEJADORA VARIOPAC</v>
      </c>
      <c r="V367" s="5"/>
      <c r="W367" s="5" t="b">
        <f ca="1">IFERROR(__xludf.DUMMYFUNCTION("""COMPUTED_VALUE"""),TRUE)</f>
        <v>1</v>
      </c>
      <c r="X367" s="5" t="str">
        <f ca="1">IFERROR(__xludf.DUMMYFUNCTION("""COMPUTED_VALUE"""),"wguerra@postobon.com.co,aprmttoyu@postobon.com.co,aprmyu@postobon.com.co,wmora@postobon.com.co,efzapata@postobon.com.co")</f>
        <v>wguerra@postobon.com.co,aprmttoyu@postobon.com.co,aprmyu@postobon.com.co,wmora@postobon.com.co,efzapata@postobon.com.co</v>
      </c>
      <c r="Y367" s="5" t="str">
        <f ca="1">IFERROR(__xludf.DUMMYFUNCTION("""COMPUTED_VALUE"""),"wguerra@postobon.com.co")</f>
        <v>wguerra@postobon.com.co</v>
      </c>
      <c r="Z367" s="5" t="str">
        <f ca="1">IFERROR(__xludf.DUMMYFUNCTION("""COMPUTED_VALUE"""),"0S42MRj9Rzeq23qK0u-r9Q")</f>
        <v>0S42MRj9Rzeq23qK0u-r9Q</v>
      </c>
      <c r="AA367" s="5"/>
      <c r="AB367" s="5"/>
      <c r="AC367" s="5"/>
      <c r="AD367" s="5">
        <f ca="1">IFERROR(__xludf.DUMMYFUNCTION("""COMPUTED_VALUE"""),25)</f>
        <v>25</v>
      </c>
      <c r="AE367" s="5">
        <f ca="1">IFERROR(__xludf.DUMMYFUNCTION("""COMPUTED_VALUE"""),25)</f>
        <v>25</v>
      </c>
      <c r="AF367" s="5" t="b">
        <f ca="1">IFERROR(__xludf.DUMMYFUNCTION("""COMPUTED_VALUE"""),FALSE)</f>
        <v>0</v>
      </c>
      <c r="AG367" s="5" t="str">
        <f ca="1">IFERROR(__xludf.DUMMYFUNCTION("""COMPUTED_VALUE"""),"INSPECCIONES REALIZADAS")</f>
        <v>INSPECCIONES REALIZADAS</v>
      </c>
      <c r="AH367" s="5"/>
    </row>
    <row r="368" spans="1:34">
      <c r="A368" s="5" t="str">
        <f ca="1">IFERROR(__xludf.DUMMYFUNCTION("""COMPUTED_VALUE"""),"LINEA DE ENVASADO PET NO RETORNABLE")</f>
        <v>LINEA DE ENVASADO PET NO RETORNABLE</v>
      </c>
      <c r="B368" s="5">
        <f ca="1">IFERROR(__xludf.DUMMYFUNCTION("""COMPUTED_VALUE"""),710316)</f>
        <v>710316</v>
      </c>
      <c r="C368" s="5" t="str">
        <f ca="1">IFERROR(__xludf.DUMMYFUNCTION("""COMPUTED_VALUE"""),"EMBANDEJADORA VARIOPAC")</f>
        <v>EMBANDEJADORA VARIOPAC</v>
      </c>
      <c r="D368" s="5">
        <f ca="1">IFERROR(__xludf.DUMMYFUNCTION("""COMPUTED_VALUE"""),13247820)</f>
        <v>13247820</v>
      </c>
      <c r="E368" s="5" t="str">
        <f ca="1">IFERROR(__xludf.DUMMYFUNCTION("""COMPUTED_VALUE"""),"INSPECCION SEMANAL EMBANDEJADORA VARIOPA")</f>
        <v>INSPECCION SEMANAL EMBANDEJADORA VARIOPA</v>
      </c>
      <c r="F368" s="5" t="str">
        <f ca="1">IFERROR(__xludf.DUMMYFUNCTION("""COMPUTED_VALUE"""),"INSP BARRERAS LUZ Y REFLECTORES")</f>
        <v>INSP BARRERAS LUZ Y REFLECTORES</v>
      </c>
      <c r="G368" s="5" t="b">
        <f ca="1">IFERROR(__xludf.DUMMYFUNCTION("""COMPUTED_VALUE"""),TRUE)</f>
        <v>1</v>
      </c>
      <c r="H368" s="5"/>
      <c r="I368" s="5"/>
      <c r="J368" s="5">
        <f ca="1">IFERROR(__xludf.DUMMYFUNCTION("""COMPUTED_VALUE"""),13247820)</f>
        <v>13247820</v>
      </c>
      <c r="K368" s="5"/>
      <c r="L368" s="18">
        <f ca="1">IFERROR(__xludf.DUMMYFUNCTION("""COMPUTED_VALUE"""),45325)</f>
        <v>45325</v>
      </c>
      <c r="M368" s="18">
        <f ca="1">IFERROR(__xludf.DUMMYFUNCTION("""COMPUTED_VALUE"""),45325)</f>
        <v>45325</v>
      </c>
      <c r="N368" s="5" t="str">
        <f ca="1">IFERROR(__xludf.DUMMYFUNCTION("""COMPUTED_VALUE"""),"Leon Narvaez Andres Felipe")</f>
        <v>Leon Narvaez Andres Felipe</v>
      </c>
      <c r="O368" s="2">
        <f ca="1">IFERROR(__xludf.DUMMYFUNCTION("""COMPUTED_VALUE"""),0.006666667)</f>
        <v>6.6666670000000003E-3</v>
      </c>
      <c r="P368" s="5">
        <f ca="1">IFERROR(__xludf.DUMMYFUNCTION("""COMPUTED_VALUE"""),20009879)</f>
        <v>20009879</v>
      </c>
      <c r="Q368" s="5" t="str">
        <f ca="1">IFERROR(__xludf.DUMMYFUNCTION("""COMPUTED_VALUE"""),"9Fz86bAp9CQ")</f>
        <v>9Fz86bAp9CQ</v>
      </c>
      <c r="R368" s="5">
        <f ca="1">IFERROR(__xludf.DUMMYFUNCTION("""COMPUTED_VALUE"""),410)</f>
        <v>410</v>
      </c>
      <c r="S368" s="62">
        <f ca="1">IFERROR(__xludf.DUMMYFUNCTION("""COMPUTED_VALUE"""),0.006666667)</f>
        <v>6.6666670000000003E-3</v>
      </c>
      <c r="T368" s="63" t="str">
        <f ca="1">IFERROR(__xludf.DUMMYFUNCTION("""COMPUTED_VALUE"""),"https://storage.googleapis.com/glide-prod.appspot.com/uploads-v2/ly7o78grxPaC6KdgvbpS/pub/3aRdSog0vUtuqPE8AJKD.png")</f>
        <v>https://storage.googleapis.com/glide-prod.appspot.com/uploads-v2/ly7o78grxPaC6KdgvbpS/pub/3aRdSog0vUtuqPE8AJKD.png</v>
      </c>
      <c r="U368" s="5" t="str">
        <f ca="1">IFERROR(__xludf.DUMMYFUNCTION("""COMPUTED_VALUE"""),"LINEA DE ENVASADO PET NO RETORNABLEEMBANDEJADORA VARIOPAC")</f>
        <v>LINEA DE ENVASADO PET NO RETORNABLEEMBANDEJADORA VARIOPAC</v>
      </c>
      <c r="V368" s="5"/>
      <c r="W368" s="5" t="b">
        <f ca="1">IFERROR(__xludf.DUMMYFUNCTION("""COMPUTED_VALUE"""),TRUE)</f>
        <v>1</v>
      </c>
      <c r="X368" s="5" t="str">
        <f ca="1">IFERROR(__xludf.DUMMYFUNCTION("""COMPUTED_VALUE"""),"wguerra@postobon.com.co,aprmttoyu@postobon.com.co,aprmyu@postobon.com.co,wmora@postobon.com.co,efzapata@postobon.com.co")</f>
        <v>wguerra@postobon.com.co,aprmttoyu@postobon.com.co,aprmyu@postobon.com.co,wmora@postobon.com.co,efzapata@postobon.com.co</v>
      </c>
      <c r="Y368" s="5" t="str">
        <f ca="1">IFERROR(__xludf.DUMMYFUNCTION("""COMPUTED_VALUE"""),"wguerra@postobon.com.co")</f>
        <v>wguerra@postobon.com.co</v>
      </c>
      <c r="Z368" s="5" t="str">
        <f ca="1">IFERROR(__xludf.DUMMYFUNCTION("""COMPUTED_VALUE"""),"i6pAUpV7SwytAj8gK2jE5w")</f>
        <v>i6pAUpV7SwytAj8gK2jE5w</v>
      </c>
      <c r="AA368" s="5"/>
      <c r="AB368" s="5"/>
      <c r="AC368" s="5"/>
      <c r="AD368" s="5">
        <f ca="1">IFERROR(__xludf.DUMMYFUNCTION("""COMPUTED_VALUE"""),25)</f>
        <v>25</v>
      </c>
      <c r="AE368" s="5">
        <f ca="1">IFERROR(__xludf.DUMMYFUNCTION("""COMPUTED_VALUE"""),25)</f>
        <v>25</v>
      </c>
      <c r="AF368" s="5" t="b">
        <f ca="1">IFERROR(__xludf.DUMMYFUNCTION("""COMPUTED_VALUE"""),FALSE)</f>
        <v>0</v>
      </c>
      <c r="AG368" s="5" t="str">
        <f ca="1">IFERROR(__xludf.DUMMYFUNCTION("""COMPUTED_VALUE"""),"INSPECCIONES REALIZADAS")</f>
        <v>INSPECCIONES REALIZADAS</v>
      </c>
      <c r="AH368" s="5"/>
    </row>
    <row r="369" spans="1:34">
      <c r="A369" s="5" t="str">
        <f ca="1">IFERROR(__xludf.DUMMYFUNCTION("""COMPUTED_VALUE"""),"LINEA DE ENVASADO PET NO RETORNABLE")</f>
        <v>LINEA DE ENVASADO PET NO RETORNABLE</v>
      </c>
      <c r="B369" s="5">
        <f ca="1">IFERROR(__xludf.DUMMYFUNCTION("""COMPUTED_VALUE"""),710316)</f>
        <v>710316</v>
      </c>
      <c r="C369" s="5" t="str">
        <f ca="1">IFERROR(__xludf.DUMMYFUNCTION("""COMPUTED_VALUE"""),"EMBANDEJADORA VARIOPAC")</f>
        <v>EMBANDEJADORA VARIOPAC</v>
      </c>
      <c r="D369" s="5">
        <f ca="1">IFERROR(__xludf.DUMMYFUNCTION("""COMPUTED_VALUE"""),13247820)</f>
        <v>13247820</v>
      </c>
      <c r="E369" s="5" t="str">
        <f ca="1">IFERROR(__xludf.DUMMYFUNCTION("""COMPUTED_VALUE"""),"INSPECCION SEMANAL EMBANDEJADORA VARIOPA")</f>
        <v>INSPECCION SEMANAL EMBANDEJADORA VARIOPA</v>
      </c>
      <c r="F369" s="5" t="str">
        <f ca="1">IFERROR(__xludf.DUMMYFUNCTION("""COMPUTED_VALUE"""),"INSP VARILLAS IONIZACION CORTE-PLEGADOR")</f>
        <v>INSP VARILLAS IONIZACION CORTE-PLEGADOR</v>
      </c>
      <c r="G369" s="5" t="b">
        <f ca="1">IFERROR(__xludf.DUMMYFUNCTION("""COMPUTED_VALUE"""),TRUE)</f>
        <v>1</v>
      </c>
      <c r="H369" s="5"/>
      <c r="I369" s="5"/>
      <c r="J369" s="5">
        <f ca="1">IFERROR(__xludf.DUMMYFUNCTION("""COMPUTED_VALUE"""),13247820)</f>
        <v>13247820</v>
      </c>
      <c r="K369" s="5"/>
      <c r="L369" s="18">
        <f ca="1">IFERROR(__xludf.DUMMYFUNCTION("""COMPUTED_VALUE"""),45325)</f>
        <v>45325</v>
      </c>
      <c r="M369" s="18">
        <f ca="1">IFERROR(__xludf.DUMMYFUNCTION("""COMPUTED_VALUE"""),45325)</f>
        <v>45325</v>
      </c>
      <c r="N369" s="5" t="str">
        <f ca="1">IFERROR(__xludf.DUMMYFUNCTION("""COMPUTED_VALUE"""),"Leon Narvaez Andres Felipe")</f>
        <v>Leon Narvaez Andres Felipe</v>
      </c>
      <c r="O369" s="2">
        <f ca="1">IFERROR(__xludf.DUMMYFUNCTION("""COMPUTED_VALUE"""),0.006666667)</f>
        <v>6.6666670000000003E-3</v>
      </c>
      <c r="P369" s="5">
        <f ca="1">IFERROR(__xludf.DUMMYFUNCTION("""COMPUTED_VALUE"""),20009879)</f>
        <v>20009879</v>
      </c>
      <c r="Q369" s="5" t="str">
        <f ca="1">IFERROR(__xludf.DUMMYFUNCTION("""COMPUTED_VALUE"""),"f_KRIjMO8tQ")</f>
        <v>f_KRIjMO8tQ</v>
      </c>
      <c r="R369" s="5">
        <f ca="1">IFERROR(__xludf.DUMMYFUNCTION("""COMPUTED_VALUE"""),410)</f>
        <v>410</v>
      </c>
      <c r="S369" s="62">
        <f ca="1">IFERROR(__xludf.DUMMYFUNCTION("""COMPUTED_VALUE"""),0.006666667)</f>
        <v>6.6666670000000003E-3</v>
      </c>
      <c r="T369" s="63" t="str">
        <f ca="1">IFERROR(__xludf.DUMMYFUNCTION("""COMPUTED_VALUE"""),"https://storage.googleapis.com/glide-prod.appspot.com/uploads-v2/ly7o78grxPaC6KdgvbpS/pub/3aRdSog0vUtuqPE8AJKD.png")</f>
        <v>https://storage.googleapis.com/glide-prod.appspot.com/uploads-v2/ly7o78grxPaC6KdgvbpS/pub/3aRdSog0vUtuqPE8AJKD.png</v>
      </c>
      <c r="U369" s="5" t="str">
        <f ca="1">IFERROR(__xludf.DUMMYFUNCTION("""COMPUTED_VALUE"""),"LINEA DE ENVASADO PET NO RETORNABLEEMBANDEJADORA VARIOPAC")</f>
        <v>LINEA DE ENVASADO PET NO RETORNABLEEMBANDEJADORA VARIOPAC</v>
      </c>
      <c r="V369" s="5"/>
      <c r="W369" s="5" t="b">
        <f ca="1">IFERROR(__xludf.DUMMYFUNCTION("""COMPUTED_VALUE"""),TRUE)</f>
        <v>1</v>
      </c>
      <c r="X369" s="5" t="str">
        <f ca="1">IFERROR(__xludf.DUMMYFUNCTION("""COMPUTED_VALUE"""),"wguerra@postobon.com.co,aprmttoyu@postobon.com.co,aprmyu@postobon.com.co,wmora@postobon.com.co,efzapata@postobon.com.co")</f>
        <v>wguerra@postobon.com.co,aprmttoyu@postobon.com.co,aprmyu@postobon.com.co,wmora@postobon.com.co,efzapata@postobon.com.co</v>
      </c>
      <c r="Y369" s="5" t="str">
        <f ca="1">IFERROR(__xludf.DUMMYFUNCTION("""COMPUTED_VALUE"""),"wguerra@postobon.com.co")</f>
        <v>wguerra@postobon.com.co</v>
      </c>
      <c r="Z369" s="5" t="str">
        <f ca="1">IFERROR(__xludf.DUMMYFUNCTION("""COMPUTED_VALUE"""),"XaL5LifBQpub.YuOaBwARg")</f>
        <v>XaL5LifBQpub.YuOaBwARg</v>
      </c>
      <c r="AA369" s="5"/>
      <c r="AB369" s="5"/>
      <c r="AC369" s="5"/>
      <c r="AD369" s="5">
        <f ca="1">IFERROR(__xludf.DUMMYFUNCTION("""COMPUTED_VALUE"""),25)</f>
        <v>25</v>
      </c>
      <c r="AE369" s="5">
        <f ca="1">IFERROR(__xludf.DUMMYFUNCTION("""COMPUTED_VALUE"""),25)</f>
        <v>25</v>
      </c>
      <c r="AF369" s="5" t="b">
        <f ca="1">IFERROR(__xludf.DUMMYFUNCTION("""COMPUTED_VALUE"""),FALSE)</f>
        <v>0</v>
      </c>
      <c r="AG369" s="5" t="str">
        <f ca="1">IFERROR(__xludf.DUMMYFUNCTION("""COMPUTED_VALUE"""),"INSPECCIONES REALIZADAS")</f>
        <v>INSPECCIONES REALIZADAS</v>
      </c>
      <c r="AH369" s="5"/>
    </row>
    <row r="370" spans="1:34">
      <c r="A370" s="5" t="str">
        <f ca="1">IFERROR(__xludf.DUMMYFUNCTION("""COMPUTED_VALUE"""),"LINEA DE ENVASADO PET NO RETORNABLE")</f>
        <v>LINEA DE ENVASADO PET NO RETORNABLE</v>
      </c>
      <c r="B370" s="5">
        <f ca="1">IFERROR(__xludf.DUMMYFUNCTION("""COMPUTED_VALUE"""),710316)</f>
        <v>710316</v>
      </c>
      <c r="C370" s="5" t="str">
        <f ca="1">IFERROR(__xludf.DUMMYFUNCTION("""COMPUTED_VALUE"""),"EMBANDEJADORA VARIOPAC")</f>
        <v>EMBANDEJADORA VARIOPAC</v>
      </c>
      <c r="D370" s="5">
        <f ca="1">IFERROR(__xludf.DUMMYFUNCTION("""COMPUTED_VALUE"""),13247820)</f>
        <v>13247820</v>
      </c>
      <c r="E370" s="5" t="str">
        <f ca="1">IFERROR(__xludf.DUMMYFUNCTION("""COMPUTED_VALUE"""),"INSPECCION SEMANAL EMBANDEJADORA VARIOPA")</f>
        <v>INSPECCION SEMANAL EMBANDEJADORA VARIOPA</v>
      </c>
      <c r="F370" s="5" t="str">
        <f ca="1">IFERROR(__xludf.DUMMYFUNCTION("""COMPUTED_VALUE"""),"INSP FUNC ESTACION CORTE")</f>
        <v>INSP FUNC ESTACION CORTE</v>
      </c>
      <c r="G370" s="5" t="b">
        <f ca="1">IFERROR(__xludf.DUMMYFUNCTION("""COMPUTED_VALUE"""),TRUE)</f>
        <v>1</v>
      </c>
      <c r="H370" s="5"/>
      <c r="I370" s="5"/>
      <c r="J370" s="5">
        <f ca="1">IFERROR(__xludf.DUMMYFUNCTION("""COMPUTED_VALUE"""),13247820)</f>
        <v>13247820</v>
      </c>
      <c r="K370" s="5"/>
      <c r="L370" s="18">
        <f ca="1">IFERROR(__xludf.DUMMYFUNCTION("""COMPUTED_VALUE"""),45325)</f>
        <v>45325</v>
      </c>
      <c r="M370" s="18">
        <f ca="1">IFERROR(__xludf.DUMMYFUNCTION("""COMPUTED_VALUE"""),45325)</f>
        <v>45325</v>
      </c>
      <c r="N370" s="5" t="str">
        <f ca="1">IFERROR(__xludf.DUMMYFUNCTION("""COMPUTED_VALUE"""),"Leon Narvaez Andres Felipe")</f>
        <v>Leon Narvaez Andres Felipe</v>
      </c>
      <c r="O370" s="2">
        <f ca="1">IFERROR(__xludf.DUMMYFUNCTION("""COMPUTED_VALUE"""),0.006666667)</f>
        <v>6.6666670000000003E-3</v>
      </c>
      <c r="P370" s="5">
        <f ca="1">IFERROR(__xludf.DUMMYFUNCTION("""COMPUTED_VALUE"""),20009879)</f>
        <v>20009879</v>
      </c>
      <c r="Q370" s="5" t="str">
        <f ca="1">IFERROR(__xludf.DUMMYFUNCTION("""COMPUTED_VALUE"""),"KvSyEldOmhQ")</f>
        <v>KvSyEldOmhQ</v>
      </c>
      <c r="R370" s="5">
        <f ca="1">IFERROR(__xludf.DUMMYFUNCTION("""COMPUTED_VALUE"""),410)</f>
        <v>410</v>
      </c>
      <c r="S370" s="62">
        <f ca="1">IFERROR(__xludf.DUMMYFUNCTION("""COMPUTED_VALUE"""),0.006666667)</f>
        <v>6.6666670000000003E-3</v>
      </c>
      <c r="T370" s="63" t="str">
        <f ca="1">IFERROR(__xludf.DUMMYFUNCTION("""COMPUTED_VALUE"""),"https://storage.googleapis.com/glide-prod.appspot.com/uploads-v2/ly7o78grxPaC6KdgvbpS/pub/3aRdSog0vUtuqPE8AJKD.png")</f>
        <v>https://storage.googleapis.com/glide-prod.appspot.com/uploads-v2/ly7o78grxPaC6KdgvbpS/pub/3aRdSog0vUtuqPE8AJKD.png</v>
      </c>
      <c r="U370" s="5" t="str">
        <f ca="1">IFERROR(__xludf.DUMMYFUNCTION("""COMPUTED_VALUE"""),"LINEA DE ENVASADO PET NO RETORNABLEEMBANDEJADORA VARIOPAC")</f>
        <v>LINEA DE ENVASADO PET NO RETORNABLEEMBANDEJADORA VARIOPAC</v>
      </c>
      <c r="V370" s="5"/>
      <c r="W370" s="5" t="b">
        <f ca="1">IFERROR(__xludf.DUMMYFUNCTION("""COMPUTED_VALUE"""),TRUE)</f>
        <v>1</v>
      </c>
      <c r="X370" s="5" t="str">
        <f ca="1">IFERROR(__xludf.DUMMYFUNCTION("""COMPUTED_VALUE"""),"wguerra@postobon.com.co,aprmttoyu@postobon.com.co,aprmyu@postobon.com.co,wmora@postobon.com.co,efzapata@postobon.com.co")</f>
        <v>wguerra@postobon.com.co,aprmttoyu@postobon.com.co,aprmyu@postobon.com.co,wmora@postobon.com.co,efzapata@postobon.com.co</v>
      </c>
      <c r="Y370" s="5" t="str">
        <f ca="1">IFERROR(__xludf.DUMMYFUNCTION("""COMPUTED_VALUE"""),"wguerra@postobon.com.co")</f>
        <v>wguerra@postobon.com.co</v>
      </c>
      <c r="Z370" s="5" t="str">
        <f ca="1">IFERROR(__xludf.DUMMYFUNCTION("""COMPUTED_VALUE"""),"a.Dk4kPWtThSe7lY1aBuvWw")</f>
        <v>a.Dk4kPWtThSe7lY1aBuvWw</v>
      </c>
      <c r="AA370" s="5"/>
      <c r="AB370" s="5"/>
      <c r="AC370" s="5"/>
      <c r="AD370" s="5">
        <f ca="1">IFERROR(__xludf.DUMMYFUNCTION("""COMPUTED_VALUE"""),25)</f>
        <v>25</v>
      </c>
      <c r="AE370" s="5">
        <f ca="1">IFERROR(__xludf.DUMMYFUNCTION("""COMPUTED_VALUE"""),25)</f>
        <v>25</v>
      </c>
      <c r="AF370" s="5" t="b">
        <f ca="1">IFERROR(__xludf.DUMMYFUNCTION("""COMPUTED_VALUE"""),FALSE)</f>
        <v>0</v>
      </c>
      <c r="AG370" s="5" t="str">
        <f ca="1">IFERROR(__xludf.DUMMYFUNCTION("""COMPUTED_VALUE"""),"INSPECCIONES REALIZADAS")</f>
        <v>INSPECCIONES REALIZADAS</v>
      </c>
      <c r="AH370" s="5"/>
    </row>
    <row r="371" spans="1:34">
      <c r="A371" s="5" t="str">
        <f ca="1">IFERROR(__xludf.DUMMYFUNCTION("""COMPUTED_VALUE"""),"LINEA DE ENVASADO PET NO RETORNABLE")</f>
        <v>LINEA DE ENVASADO PET NO RETORNABLE</v>
      </c>
      <c r="B371" s="5">
        <f ca="1">IFERROR(__xludf.DUMMYFUNCTION("""COMPUTED_VALUE"""),710316)</f>
        <v>710316</v>
      </c>
      <c r="C371" s="5" t="str">
        <f ca="1">IFERROR(__xludf.DUMMYFUNCTION("""COMPUTED_VALUE"""),"EMBANDEJADORA VARIOPAC")</f>
        <v>EMBANDEJADORA VARIOPAC</v>
      </c>
      <c r="D371" s="5">
        <f ca="1">IFERROR(__xludf.DUMMYFUNCTION("""COMPUTED_VALUE"""),13247820)</f>
        <v>13247820</v>
      </c>
      <c r="E371" s="5" t="str">
        <f ca="1">IFERROR(__xludf.DUMMYFUNCTION("""COMPUTED_VALUE"""),"INSPECCION SEMANAL EMBANDEJADORA VARIOPA")</f>
        <v>INSPECCION SEMANAL EMBANDEJADORA VARIOPA</v>
      </c>
      <c r="F371" s="5" t="str">
        <f ca="1">IFERROR(__xludf.DUMMYFUNCTION("""COMPUTED_VALUE"""),"INSP MODULO PLEGADOR")</f>
        <v>INSP MODULO PLEGADOR</v>
      </c>
      <c r="G371" s="5" t="b">
        <f ca="1">IFERROR(__xludf.DUMMYFUNCTION("""COMPUTED_VALUE"""),TRUE)</f>
        <v>1</v>
      </c>
      <c r="H371" s="5"/>
      <c r="I371" s="5"/>
      <c r="J371" s="5">
        <f ca="1">IFERROR(__xludf.DUMMYFUNCTION("""COMPUTED_VALUE"""),13247820)</f>
        <v>13247820</v>
      </c>
      <c r="K371" s="5"/>
      <c r="L371" s="18">
        <f ca="1">IFERROR(__xludf.DUMMYFUNCTION("""COMPUTED_VALUE"""),45325)</f>
        <v>45325</v>
      </c>
      <c r="M371" s="18">
        <f ca="1">IFERROR(__xludf.DUMMYFUNCTION("""COMPUTED_VALUE"""),45325)</f>
        <v>45325</v>
      </c>
      <c r="N371" s="5" t="str">
        <f ca="1">IFERROR(__xludf.DUMMYFUNCTION("""COMPUTED_VALUE"""),"Leon Narvaez Andres Felipe")</f>
        <v>Leon Narvaez Andres Felipe</v>
      </c>
      <c r="O371" s="2">
        <f ca="1">IFERROR(__xludf.DUMMYFUNCTION("""COMPUTED_VALUE"""),0.006666667)</f>
        <v>6.6666670000000003E-3</v>
      </c>
      <c r="P371" s="5">
        <f ca="1">IFERROR(__xludf.DUMMYFUNCTION("""COMPUTED_VALUE"""),20009879)</f>
        <v>20009879</v>
      </c>
      <c r="Q371" s="5" t="str">
        <f ca="1">IFERROR(__xludf.DUMMYFUNCTION("""COMPUTED_VALUE"""),"_lM4rqdAOC8")</f>
        <v>_lM4rqdAOC8</v>
      </c>
      <c r="R371" s="5">
        <f ca="1">IFERROR(__xludf.DUMMYFUNCTION("""COMPUTED_VALUE"""),410)</f>
        <v>410</v>
      </c>
      <c r="S371" s="62">
        <f ca="1">IFERROR(__xludf.DUMMYFUNCTION("""COMPUTED_VALUE"""),0.006666667)</f>
        <v>6.6666670000000003E-3</v>
      </c>
      <c r="T371" s="63" t="str">
        <f ca="1">IFERROR(__xludf.DUMMYFUNCTION("""COMPUTED_VALUE"""),"https://storage.googleapis.com/glide-prod.appspot.com/uploads-v2/ly7o78grxPaC6KdgvbpS/pub/3aRdSog0vUtuqPE8AJKD.png")</f>
        <v>https://storage.googleapis.com/glide-prod.appspot.com/uploads-v2/ly7o78grxPaC6KdgvbpS/pub/3aRdSog0vUtuqPE8AJKD.png</v>
      </c>
      <c r="U371" s="5" t="str">
        <f ca="1">IFERROR(__xludf.DUMMYFUNCTION("""COMPUTED_VALUE"""),"LINEA DE ENVASADO PET NO RETORNABLEEMBANDEJADORA VARIOPAC")</f>
        <v>LINEA DE ENVASADO PET NO RETORNABLEEMBANDEJADORA VARIOPAC</v>
      </c>
      <c r="V371" s="5"/>
      <c r="W371" s="5" t="b">
        <f ca="1">IFERROR(__xludf.DUMMYFUNCTION("""COMPUTED_VALUE"""),TRUE)</f>
        <v>1</v>
      </c>
      <c r="X371" s="5" t="str">
        <f ca="1">IFERROR(__xludf.DUMMYFUNCTION("""COMPUTED_VALUE"""),"wguerra@postobon.com.co,aprmttoyu@postobon.com.co,aprmyu@postobon.com.co,wmora@postobon.com.co,efzapata@postobon.com.co")</f>
        <v>wguerra@postobon.com.co,aprmttoyu@postobon.com.co,aprmyu@postobon.com.co,wmora@postobon.com.co,efzapata@postobon.com.co</v>
      </c>
      <c r="Y371" s="5" t="str">
        <f ca="1">IFERROR(__xludf.DUMMYFUNCTION("""COMPUTED_VALUE"""),"wguerra@postobon.com.co")</f>
        <v>wguerra@postobon.com.co</v>
      </c>
      <c r="Z371" s="5" t="str">
        <f ca="1">IFERROR(__xludf.DUMMYFUNCTION("""COMPUTED_VALUE"""),"Q4X4wbNfSNaeXabFN6XdIA")</f>
        <v>Q4X4wbNfSNaeXabFN6XdIA</v>
      </c>
      <c r="AA371" s="5"/>
      <c r="AB371" s="5"/>
      <c r="AC371" s="5"/>
      <c r="AD371" s="5">
        <f ca="1">IFERROR(__xludf.DUMMYFUNCTION("""COMPUTED_VALUE"""),25)</f>
        <v>25</v>
      </c>
      <c r="AE371" s="5">
        <f ca="1">IFERROR(__xludf.DUMMYFUNCTION("""COMPUTED_VALUE"""),25)</f>
        <v>25</v>
      </c>
      <c r="AF371" s="5" t="b">
        <f ca="1">IFERROR(__xludf.DUMMYFUNCTION("""COMPUTED_VALUE"""),FALSE)</f>
        <v>0</v>
      </c>
      <c r="AG371" s="5" t="str">
        <f ca="1">IFERROR(__xludf.DUMMYFUNCTION("""COMPUTED_VALUE"""),"INSPECCIONES REALIZADAS")</f>
        <v>INSPECCIONES REALIZADAS</v>
      </c>
      <c r="AH371" s="5"/>
    </row>
    <row r="372" spans="1:34">
      <c r="A372" s="5" t="str">
        <f ca="1">IFERROR(__xludf.DUMMYFUNCTION("""COMPUTED_VALUE"""),"LINEA DE ENVASADO PET NO RETORNABLE")</f>
        <v>LINEA DE ENVASADO PET NO RETORNABLE</v>
      </c>
      <c r="B372" s="5">
        <f ca="1">IFERROR(__xludf.DUMMYFUNCTION("""COMPUTED_VALUE"""),710316)</f>
        <v>710316</v>
      </c>
      <c r="C372" s="5" t="str">
        <f ca="1">IFERROR(__xludf.DUMMYFUNCTION("""COMPUTED_VALUE"""),"EMBANDEJADORA VARIOPAC")</f>
        <v>EMBANDEJADORA VARIOPAC</v>
      </c>
      <c r="D372" s="5">
        <f ca="1">IFERROR(__xludf.DUMMYFUNCTION("""COMPUTED_VALUE"""),13247820)</f>
        <v>13247820</v>
      </c>
      <c r="E372" s="5" t="str">
        <f ca="1">IFERROR(__xludf.DUMMYFUNCTION("""COMPUTED_VALUE"""),"INSPECCION SEMANAL EMBANDEJADORA VARIOPA")</f>
        <v>INSPECCION SEMANAL EMBANDEJADORA VARIOPA</v>
      </c>
      <c r="F372" s="5" t="str">
        <f ca="1">IFERROR(__xludf.DUMMYFUNCTION("""COMPUTED_VALUE"""),"INSP INTERCAMBIADOR Y REJILLA AIRE")</f>
        <v>INSP INTERCAMBIADOR Y REJILLA AIRE</v>
      </c>
      <c r="G372" s="5" t="b">
        <f ca="1">IFERROR(__xludf.DUMMYFUNCTION("""COMPUTED_VALUE"""),TRUE)</f>
        <v>1</v>
      </c>
      <c r="H372" s="5"/>
      <c r="I372" s="5"/>
      <c r="J372" s="5">
        <f ca="1">IFERROR(__xludf.DUMMYFUNCTION("""COMPUTED_VALUE"""),13247820)</f>
        <v>13247820</v>
      </c>
      <c r="K372" s="5"/>
      <c r="L372" s="18">
        <f ca="1">IFERROR(__xludf.DUMMYFUNCTION("""COMPUTED_VALUE"""),45325)</f>
        <v>45325</v>
      </c>
      <c r="M372" s="18">
        <f ca="1">IFERROR(__xludf.DUMMYFUNCTION("""COMPUTED_VALUE"""),45325)</f>
        <v>45325</v>
      </c>
      <c r="N372" s="5" t="str">
        <f ca="1">IFERROR(__xludf.DUMMYFUNCTION("""COMPUTED_VALUE"""),"Leon Narvaez Andres Felipe")</f>
        <v>Leon Narvaez Andres Felipe</v>
      </c>
      <c r="O372" s="2">
        <f ca="1">IFERROR(__xludf.DUMMYFUNCTION("""COMPUTED_VALUE"""),0.006666667)</f>
        <v>6.6666670000000003E-3</v>
      </c>
      <c r="P372" s="5">
        <f ca="1">IFERROR(__xludf.DUMMYFUNCTION("""COMPUTED_VALUE"""),20009879)</f>
        <v>20009879</v>
      </c>
      <c r="Q372" s="5" t="str">
        <f ca="1">IFERROR(__xludf.DUMMYFUNCTION("""COMPUTED_VALUE"""),"Kv5Ct-keLe4")</f>
        <v>Kv5Ct-keLe4</v>
      </c>
      <c r="R372" s="5">
        <f ca="1">IFERROR(__xludf.DUMMYFUNCTION("""COMPUTED_VALUE"""),410)</f>
        <v>410</v>
      </c>
      <c r="S372" s="62">
        <f ca="1">IFERROR(__xludf.DUMMYFUNCTION("""COMPUTED_VALUE"""),0.006666667)</f>
        <v>6.6666670000000003E-3</v>
      </c>
      <c r="T372" s="63" t="str">
        <f ca="1">IFERROR(__xludf.DUMMYFUNCTION("""COMPUTED_VALUE"""),"https://storage.googleapis.com/glide-prod.appspot.com/uploads-v2/ly7o78grxPaC6KdgvbpS/pub/3aRdSog0vUtuqPE8AJKD.png")</f>
        <v>https://storage.googleapis.com/glide-prod.appspot.com/uploads-v2/ly7o78grxPaC6KdgvbpS/pub/3aRdSog0vUtuqPE8AJKD.png</v>
      </c>
      <c r="U372" s="5" t="str">
        <f ca="1">IFERROR(__xludf.DUMMYFUNCTION("""COMPUTED_VALUE"""),"LINEA DE ENVASADO PET NO RETORNABLEEMBANDEJADORA VARIOPAC")</f>
        <v>LINEA DE ENVASADO PET NO RETORNABLEEMBANDEJADORA VARIOPAC</v>
      </c>
      <c r="V372" s="5"/>
      <c r="W372" s="5" t="b">
        <f ca="1">IFERROR(__xludf.DUMMYFUNCTION("""COMPUTED_VALUE"""),TRUE)</f>
        <v>1</v>
      </c>
      <c r="X372" s="5" t="str">
        <f ca="1">IFERROR(__xludf.DUMMYFUNCTION("""COMPUTED_VALUE"""),"wguerra@postobon.com.co,aprmttoyu@postobon.com.co,aprmyu@postobon.com.co,wmora@postobon.com.co,efzapata@postobon.com.co")</f>
        <v>wguerra@postobon.com.co,aprmttoyu@postobon.com.co,aprmyu@postobon.com.co,wmora@postobon.com.co,efzapata@postobon.com.co</v>
      </c>
      <c r="Y372" s="5" t="str">
        <f ca="1">IFERROR(__xludf.DUMMYFUNCTION("""COMPUTED_VALUE"""),"wguerra@postobon.com.co")</f>
        <v>wguerra@postobon.com.co</v>
      </c>
      <c r="Z372" s="5" t="str">
        <f ca="1">IFERROR(__xludf.DUMMYFUNCTION("""COMPUTED_VALUE"""),"xbLeFS.HRZOqlnjZvUWE0A")</f>
        <v>xbLeFS.HRZOqlnjZvUWE0A</v>
      </c>
      <c r="AA372" s="5"/>
      <c r="AB372" s="5"/>
      <c r="AC372" s="5"/>
      <c r="AD372" s="5">
        <f ca="1">IFERROR(__xludf.DUMMYFUNCTION("""COMPUTED_VALUE"""),25)</f>
        <v>25</v>
      </c>
      <c r="AE372" s="5">
        <f ca="1">IFERROR(__xludf.DUMMYFUNCTION("""COMPUTED_VALUE"""),25)</f>
        <v>25</v>
      </c>
      <c r="AF372" s="5" t="b">
        <f ca="1">IFERROR(__xludf.DUMMYFUNCTION("""COMPUTED_VALUE"""),FALSE)</f>
        <v>0</v>
      </c>
      <c r="AG372" s="5" t="str">
        <f ca="1">IFERROR(__xludf.DUMMYFUNCTION("""COMPUTED_VALUE"""),"INSPECCIONES REALIZADAS")</f>
        <v>INSPECCIONES REALIZADAS</v>
      </c>
      <c r="AH372" s="5"/>
    </row>
    <row r="373" spans="1:34">
      <c r="A373" s="5" t="str">
        <f ca="1">IFERROR(__xludf.DUMMYFUNCTION("""COMPUTED_VALUE"""),"LINEA DE ENVASADO PET NO RETORNABLE")</f>
        <v>LINEA DE ENVASADO PET NO RETORNABLE</v>
      </c>
      <c r="B373" s="5">
        <f ca="1">IFERROR(__xludf.DUMMYFUNCTION("""COMPUTED_VALUE"""),710316)</f>
        <v>710316</v>
      </c>
      <c r="C373" s="5" t="str">
        <f ca="1">IFERROR(__xludf.DUMMYFUNCTION("""COMPUTED_VALUE"""),"EMBANDEJADORA VARIOPAC")</f>
        <v>EMBANDEJADORA VARIOPAC</v>
      </c>
      <c r="D373" s="5">
        <f ca="1">IFERROR(__xludf.DUMMYFUNCTION("""COMPUTED_VALUE"""),13247820)</f>
        <v>13247820</v>
      </c>
      <c r="E373" s="5" t="str">
        <f ca="1">IFERROR(__xludf.DUMMYFUNCTION("""COMPUTED_VALUE"""),"INSPECCION SEMANAL EMBANDEJADORA VARIOPA")</f>
        <v>INSPECCION SEMANAL EMBANDEJADORA VARIOPA</v>
      </c>
      <c r="F373" s="5" t="str">
        <f ca="1">IFERROR(__xludf.DUMMYFUNCTION("""COMPUTED_VALUE"""),"INSP RODILLOS BRAZO TENSOR FOIL")</f>
        <v>INSP RODILLOS BRAZO TENSOR FOIL</v>
      </c>
      <c r="G373" s="5" t="b">
        <f ca="1">IFERROR(__xludf.DUMMYFUNCTION("""COMPUTED_VALUE"""),TRUE)</f>
        <v>1</v>
      </c>
      <c r="H373" s="5"/>
      <c r="I373" s="5"/>
      <c r="J373" s="5">
        <f ca="1">IFERROR(__xludf.DUMMYFUNCTION("""COMPUTED_VALUE"""),13247820)</f>
        <v>13247820</v>
      </c>
      <c r="K373" s="5"/>
      <c r="L373" s="18">
        <f ca="1">IFERROR(__xludf.DUMMYFUNCTION("""COMPUTED_VALUE"""),45325)</f>
        <v>45325</v>
      </c>
      <c r="M373" s="18">
        <f ca="1">IFERROR(__xludf.DUMMYFUNCTION("""COMPUTED_VALUE"""),45325)</f>
        <v>45325</v>
      </c>
      <c r="N373" s="5" t="str">
        <f ca="1">IFERROR(__xludf.DUMMYFUNCTION("""COMPUTED_VALUE"""),"Leon Narvaez Andres Felipe")</f>
        <v>Leon Narvaez Andres Felipe</v>
      </c>
      <c r="O373" s="2">
        <f ca="1">IFERROR(__xludf.DUMMYFUNCTION("""COMPUTED_VALUE"""),0.006666667)</f>
        <v>6.6666670000000003E-3</v>
      </c>
      <c r="P373" s="5">
        <f ca="1">IFERROR(__xludf.DUMMYFUNCTION("""COMPUTED_VALUE"""),20009879)</f>
        <v>20009879</v>
      </c>
      <c r="Q373" s="5" t="str">
        <f ca="1">IFERROR(__xludf.DUMMYFUNCTION("""COMPUTED_VALUE"""),"xXODd6SrX_o")</f>
        <v>xXODd6SrX_o</v>
      </c>
      <c r="R373" s="5">
        <f ca="1">IFERROR(__xludf.DUMMYFUNCTION("""COMPUTED_VALUE"""),410)</f>
        <v>410</v>
      </c>
      <c r="S373" s="62">
        <f ca="1">IFERROR(__xludf.DUMMYFUNCTION("""COMPUTED_VALUE"""),0.006666667)</f>
        <v>6.6666670000000003E-3</v>
      </c>
      <c r="T373" s="63" t="str">
        <f ca="1">IFERROR(__xludf.DUMMYFUNCTION("""COMPUTED_VALUE"""),"https://storage.googleapis.com/glide-prod.appspot.com/uploads-v2/ly7o78grxPaC6KdgvbpS/pub/3aRdSog0vUtuqPE8AJKD.png")</f>
        <v>https://storage.googleapis.com/glide-prod.appspot.com/uploads-v2/ly7o78grxPaC6KdgvbpS/pub/3aRdSog0vUtuqPE8AJKD.png</v>
      </c>
      <c r="U373" s="5" t="str">
        <f ca="1">IFERROR(__xludf.DUMMYFUNCTION("""COMPUTED_VALUE"""),"LINEA DE ENVASADO PET NO RETORNABLEEMBANDEJADORA VARIOPAC")</f>
        <v>LINEA DE ENVASADO PET NO RETORNABLEEMBANDEJADORA VARIOPAC</v>
      </c>
      <c r="V373" s="5"/>
      <c r="W373" s="5" t="b">
        <f ca="1">IFERROR(__xludf.DUMMYFUNCTION("""COMPUTED_VALUE"""),TRUE)</f>
        <v>1</v>
      </c>
      <c r="X373" s="5" t="str">
        <f ca="1">IFERROR(__xludf.DUMMYFUNCTION("""COMPUTED_VALUE"""),"wguerra@postobon.com.co,aprmttoyu@postobon.com.co,aprmyu@postobon.com.co,wmora@postobon.com.co,efzapata@postobon.com.co")</f>
        <v>wguerra@postobon.com.co,aprmttoyu@postobon.com.co,aprmyu@postobon.com.co,wmora@postobon.com.co,efzapata@postobon.com.co</v>
      </c>
      <c r="Y373" s="5" t="str">
        <f ca="1">IFERROR(__xludf.DUMMYFUNCTION("""COMPUTED_VALUE"""),"wguerra@postobon.com.co")</f>
        <v>wguerra@postobon.com.co</v>
      </c>
      <c r="Z373" s="5" t="str">
        <f ca="1">IFERROR(__xludf.DUMMYFUNCTION("""COMPUTED_VALUE"""),"Gud.ISs5QeOUodtymnrtdg")</f>
        <v>Gud.ISs5QeOUodtymnrtdg</v>
      </c>
      <c r="AA373" s="5"/>
      <c r="AB373" s="5"/>
      <c r="AC373" s="5"/>
      <c r="AD373" s="5">
        <f ca="1">IFERROR(__xludf.DUMMYFUNCTION("""COMPUTED_VALUE"""),25)</f>
        <v>25</v>
      </c>
      <c r="AE373" s="5">
        <f ca="1">IFERROR(__xludf.DUMMYFUNCTION("""COMPUTED_VALUE"""),25)</f>
        <v>25</v>
      </c>
      <c r="AF373" s="5" t="b">
        <f ca="1">IFERROR(__xludf.DUMMYFUNCTION("""COMPUTED_VALUE"""),FALSE)</f>
        <v>0</v>
      </c>
      <c r="AG373" s="5" t="str">
        <f ca="1">IFERROR(__xludf.DUMMYFUNCTION("""COMPUTED_VALUE"""),"INSPECCIONES REALIZADAS")</f>
        <v>INSPECCIONES REALIZADAS</v>
      </c>
      <c r="AH373" s="5"/>
    </row>
    <row r="374" spans="1:34">
      <c r="A374" s="5" t="str">
        <f ca="1">IFERROR(__xludf.DUMMYFUNCTION("""COMPUTED_VALUE"""),"LINEA DE ENVASADO PET NO RETORNABLE")</f>
        <v>LINEA DE ENVASADO PET NO RETORNABLE</v>
      </c>
      <c r="B374" s="5">
        <f ca="1">IFERROR(__xludf.DUMMYFUNCTION("""COMPUTED_VALUE"""),710316)</f>
        <v>710316</v>
      </c>
      <c r="C374" s="5" t="str">
        <f ca="1">IFERROR(__xludf.DUMMYFUNCTION("""COMPUTED_VALUE"""),"EMBANDEJADORA VARIOPAC")</f>
        <v>EMBANDEJADORA VARIOPAC</v>
      </c>
      <c r="D374" s="5">
        <f ca="1">IFERROR(__xludf.DUMMYFUNCTION("""COMPUTED_VALUE"""),13247820)</f>
        <v>13247820</v>
      </c>
      <c r="E374" s="5" t="str">
        <f ca="1">IFERROR(__xludf.DUMMYFUNCTION("""COMPUTED_VALUE"""),"INSPECCION SEMANAL EMBANDEJADORA VARIOPA")</f>
        <v>INSPECCION SEMANAL EMBANDEJADORA VARIOPA</v>
      </c>
      <c r="F374" s="5" t="str">
        <f ca="1">IFERROR(__xludf.DUMMYFUNCTION("""COMPUTED_VALUE"""),"INSP PORTARROLLOS FOIL")</f>
        <v>INSP PORTARROLLOS FOIL</v>
      </c>
      <c r="G374" s="5" t="b">
        <f ca="1">IFERROR(__xludf.DUMMYFUNCTION("""COMPUTED_VALUE"""),TRUE)</f>
        <v>1</v>
      </c>
      <c r="H374" s="5"/>
      <c r="I374" s="5"/>
      <c r="J374" s="5">
        <f ca="1">IFERROR(__xludf.DUMMYFUNCTION("""COMPUTED_VALUE"""),13247820)</f>
        <v>13247820</v>
      </c>
      <c r="K374" s="5"/>
      <c r="L374" s="18">
        <f ca="1">IFERROR(__xludf.DUMMYFUNCTION("""COMPUTED_VALUE"""),45325)</f>
        <v>45325</v>
      </c>
      <c r="M374" s="18">
        <f ca="1">IFERROR(__xludf.DUMMYFUNCTION("""COMPUTED_VALUE"""),45325)</f>
        <v>45325</v>
      </c>
      <c r="N374" s="5" t="str">
        <f ca="1">IFERROR(__xludf.DUMMYFUNCTION("""COMPUTED_VALUE"""),"Leon Narvaez Andres Felipe")</f>
        <v>Leon Narvaez Andres Felipe</v>
      </c>
      <c r="O374" s="2">
        <f ca="1">IFERROR(__xludf.DUMMYFUNCTION("""COMPUTED_VALUE"""),0.006666667)</f>
        <v>6.6666670000000003E-3</v>
      </c>
      <c r="P374" s="5">
        <f ca="1">IFERROR(__xludf.DUMMYFUNCTION("""COMPUTED_VALUE"""),20009879)</f>
        <v>20009879</v>
      </c>
      <c r="Q374" s="5" t="str">
        <f ca="1">IFERROR(__xludf.DUMMYFUNCTION("""COMPUTED_VALUE"""),"MALGtXWVlN4")</f>
        <v>MALGtXWVlN4</v>
      </c>
      <c r="R374" s="5">
        <f ca="1">IFERROR(__xludf.DUMMYFUNCTION("""COMPUTED_VALUE"""),410)</f>
        <v>410</v>
      </c>
      <c r="S374" s="62">
        <f ca="1">IFERROR(__xludf.DUMMYFUNCTION("""COMPUTED_VALUE"""),0.006666667)</f>
        <v>6.6666670000000003E-3</v>
      </c>
      <c r="T374" s="63" t="str">
        <f ca="1">IFERROR(__xludf.DUMMYFUNCTION("""COMPUTED_VALUE"""),"https://storage.googleapis.com/glide-prod.appspot.com/uploads-v2/ly7o78grxPaC6KdgvbpS/pub/3aRdSog0vUtuqPE8AJKD.png")</f>
        <v>https://storage.googleapis.com/glide-prod.appspot.com/uploads-v2/ly7o78grxPaC6KdgvbpS/pub/3aRdSog0vUtuqPE8AJKD.png</v>
      </c>
      <c r="U374" s="5" t="str">
        <f ca="1">IFERROR(__xludf.DUMMYFUNCTION("""COMPUTED_VALUE"""),"LINEA DE ENVASADO PET NO RETORNABLEEMBANDEJADORA VARIOPAC")</f>
        <v>LINEA DE ENVASADO PET NO RETORNABLEEMBANDEJADORA VARIOPAC</v>
      </c>
      <c r="V374" s="5"/>
      <c r="W374" s="5" t="b">
        <f ca="1">IFERROR(__xludf.DUMMYFUNCTION("""COMPUTED_VALUE"""),TRUE)</f>
        <v>1</v>
      </c>
      <c r="X374" s="5" t="str">
        <f ca="1">IFERROR(__xludf.DUMMYFUNCTION("""COMPUTED_VALUE"""),"wguerra@postobon.com.co,aprmttoyu@postobon.com.co,aprmyu@postobon.com.co,wmora@postobon.com.co,efzapata@postobon.com.co")</f>
        <v>wguerra@postobon.com.co,aprmttoyu@postobon.com.co,aprmyu@postobon.com.co,wmora@postobon.com.co,efzapata@postobon.com.co</v>
      </c>
      <c r="Y374" s="5" t="str">
        <f ca="1">IFERROR(__xludf.DUMMYFUNCTION("""COMPUTED_VALUE"""),"wguerra@postobon.com.co")</f>
        <v>wguerra@postobon.com.co</v>
      </c>
      <c r="Z374" s="5" t="str">
        <f ca="1">IFERROR(__xludf.DUMMYFUNCTION("""COMPUTED_VALUE"""),"Aju3ZKWaRpGVAlTbhi2JpQ")</f>
        <v>Aju3ZKWaRpGVAlTbhi2JpQ</v>
      </c>
      <c r="AA374" s="5"/>
      <c r="AB374" s="5"/>
      <c r="AC374" s="5"/>
      <c r="AD374" s="5">
        <f ca="1">IFERROR(__xludf.DUMMYFUNCTION("""COMPUTED_VALUE"""),25)</f>
        <v>25</v>
      </c>
      <c r="AE374" s="5">
        <f ca="1">IFERROR(__xludf.DUMMYFUNCTION("""COMPUTED_VALUE"""),25)</f>
        <v>25</v>
      </c>
      <c r="AF374" s="5" t="b">
        <f ca="1">IFERROR(__xludf.DUMMYFUNCTION("""COMPUTED_VALUE"""),FALSE)</f>
        <v>0</v>
      </c>
      <c r="AG374" s="5" t="str">
        <f ca="1">IFERROR(__xludf.DUMMYFUNCTION("""COMPUTED_VALUE"""),"INSPECCIONES REALIZADAS")</f>
        <v>INSPECCIONES REALIZADAS</v>
      </c>
      <c r="AH374" s="5"/>
    </row>
    <row r="375" spans="1:34">
      <c r="A375" s="5" t="str">
        <f ca="1">IFERROR(__xludf.DUMMYFUNCTION("""COMPUTED_VALUE"""),"LINEA DE ENVASADO PET NO RETORNABLE")</f>
        <v>LINEA DE ENVASADO PET NO RETORNABLE</v>
      </c>
      <c r="B375" s="5">
        <f ca="1">IFERROR(__xludf.DUMMYFUNCTION("""COMPUTED_VALUE"""),710316)</f>
        <v>710316</v>
      </c>
      <c r="C375" s="5" t="str">
        <f ca="1">IFERROR(__xludf.DUMMYFUNCTION("""COMPUTED_VALUE"""),"EMBANDEJADORA VARIOPAC")</f>
        <v>EMBANDEJADORA VARIOPAC</v>
      </c>
      <c r="D375" s="5">
        <f ca="1">IFERROR(__xludf.DUMMYFUNCTION("""COMPUTED_VALUE"""),13247820)</f>
        <v>13247820</v>
      </c>
      <c r="E375" s="5" t="str">
        <f ca="1">IFERROR(__xludf.DUMMYFUNCTION("""COMPUTED_VALUE"""),"INSPECCION SEMANAL EMBANDEJADORA VARIOPA")</f>
        <v>INSPECCION SEMANAL EMBANDEJADORA VARIOPA</v>
      </c>
      <c r="F375" s="5" t="str">
        <f ca="1">IFERROR(__xludf.DUMMYFUNCTION("""COMPUTED_VALUE"""),"ESTADO BANDEJA RECOJEGOTAS")</f>
        <v>ESTADO BANDEJA RECOJEGOTAS</v>
      </c>
      <c r="G375" s="5" t="b">
        <f ca="1">IFERROR(__xludf.DUMMYFUNCTION("""COMPUTED_VALUE"""),TRUE)</f>
        <v>1</v>
      </c>
      <c r="H375" s="5"/>
      <c r="I375" s="5"/>
      <c r="J375" s="5">
        <f ca="1">IFERROR(__xludf.DUMMYFUNCTION("""COMPUTED_VALUE"""),13247820)</f>
        <v>13247820</v>
      </c>
      <c r="K375" s="5"/>
      <c r="L375" s="18">
        <f ca="1">IFERROR(__xludf.DUMMYFUNCTION("""COMPUTED_VALUE"""),45325)</f>
        <v>45325</v>
      </c>
      <c r="M375" s="18">
        <f ca="1">IFERROR(__xludf.DUMMYFUNCTION("""COMPUTED_VALUE"""),45325)</f>
        <v>45325</v>
      </c>
      <c r="N375" s="5" t="str">
        <f ca="1">IFERROR(__xludf.DUMMYFUNCTION("""COMPUTED_VALUE"""),"Leon Narvaez Andres Felipe")</f>
        <v>Leon Narvaez Andres Felipe</v>
      </c>
      <c r="O375" s="2">
        <f ca="1">IFERROR(__xludf.DUMMYFUNCTION("""COMPUTED_VALUE"""),0.006666667)</f>
        <v>6.6666670000000003E-3</v>
      </c>
      <c r="P375" s="5">
        <f ca="1">IFERROR(__xludf.DUMMYFUNCTION("""COMPUTED_VALUE"""),20009879)</f>
        <v>20009879</v>
      </c>
      <c r="Q375" s="5" t="str">
        <f ca="1">IFERROR(__xludf.DUMMYFUNCTION("""COMPUTED_VALUE"""),"jKXHTudgDlw")</f>
        <v>jKXHTudgDlw</v>
      </c>
      <c r="R375" s="5">
        <f ca="1">IFERROR(__xludf.DUMMYFUNCTION("""COMPUTED_VALUE"""),410)</f>
        <v>410</v>
      </c>
      <c r="S375" s="62">
        <f ca="1">IFERROR(__xludf.DUMMYFUNCTION("""COMPUTED_VALUE"""),0.006666667)</f>
        <v>6.6666670000000003E-3</v>
      </c>
      <c r="T375" s="63" t="str">
        <f ca="1">IFERROR(__xludf.DUMMYFUNCTION("""COMPUTED_VALUE"""),"https://storage.googleapis.com/glide-prod.appspot.com/uploads-v2/ly7o78grxPaC6KdgvbpS/pub/3aRdSog0vUtuqPE8AJKD.png")</f>
        <v>https://storage.googleapis.com/glide-prod.appspot.com/uploads-v2/ly7o78grxPaC6KdgvbpS/pub/3aRdSog0vUtuqPE8AJKD.png</v>
      </c>
      <c r="U375" s="5" t="str">
        <f ca="1">IFERROR(__xludf.DUMMYFUNCTION("""COMPUTED_VALUE"""),"LINEA DE ENVASADO PET NO RETORNABLEEMBANDEJADORA VARIOPAC")</f>
        <v>LINEA DE ENVASADO PET NO RETORNABLEEMBANDEJADORA VARIOPAC</v>
      </c>
      <c r="V375" s="5"/>
      <c r="W375" s="5" t="b">
        <f ca="1">IFERROR(__xludf.DUMMYFUNCTION("""COMPUTED_VALUE"""),TRUE)</f>
        <v>1</v>
      </c>
      <c r="X375" s="5" t="str">
        <f ca="1">IFERROR(__xludf.DUMMYFUNCTION("""COMPUTED_VALUE"""),"wguerra@postobon.com.co,aprmttoyu@postobon.com.co,aprmyu@postobon.com.co,wmora@postobon.com.co,efzapata@postobon.com.co")</f>
        <v>wguerra@postobon.com.co,aprmttoyu@postobon.com.co,aprmyu@postobon.com.co,wmora@postobon.com.co,efzapata@postobon.com.co</v>
      </c>
      <c r="Y375" s="5" t="str">
        <f ca="1">IFERROR(__xludf.DUMMYFUNCTION("""COMPUTED_VALUE"""),"wguerra@postobon.com.co")</f>
        <v>wguerra@postobon.com.co</v>
      </c>
      <c r="Z375" s="5" t="str">
        <f ca="1">IFERROR(__xludf.DUMMYFUNCTION("""COMPUTED_VALUE"""),"RDkzgjo9RkC372539-ivTQ")</f>
        <v>RDkzgjo9RkC372539-ivTQ</v>
      </c>
      <c r="AA375" s="5"/>
      <c r="AB375" s="5"/>
      <c r="AC375" s="5"/>
      <c r="AD375" s="5">
        <f ca="1">IFERROR(__xludf.DUMMYFUNCTION("""COMPUTED_VALUE"""),25)</f>
        <v>25</v>
      </c>
      <c r="AE375" s="5">
        <f ca="1">IFERROR(__xludf.DUMMYFUNCTION("""COMPUTED_VALUE"""),25)</f>
        <v>25</v>
      </c>
      <c r="AF375" s="5" t="b">
        <f ca="1">IFERROR(__xludf.DUMMYFUNCTION("""COMPUTED_VALUE"""),FALSE)</f>
        <v>0</v>
      </c>
      <c r="AG375" s="5" t="str">
        <f ca="1">IFERROR(__xludf.DUMMYFUNCTION("""COMPUTED_VALUE"""),"INSPECCIONES REALIZADAS")</f>
        <v>INSPECCIONES REALIZADAS</v>
      </c>
      <c r="AH375" s="5"/>
    </row>
    <row r="376" spans="1:34">
      <c r="A376" s="5" t="str">
        <f ca="1">IFERROR(__xludf.DUMMYFUNCTION("""COMPUTED_VALUE"""),"LINEA DE ENVASADO PET NO RETORNABLE")</f>
        <v>LINEA DE ENVASADO PET NO RETORNABLE</v>
      </c>
      <c r="B376" s="5">
        <f ca="1">IFERROR(__xludf.DUMMYFUNCTION("""COMPUTED_VALUE"""),710316)</f>
        <v>710316</v>
      </c>
      <c r="C376" s="5" t="str">
        <f ca="1">IFERROR(__xludf.DUMMYFUNCTION("""COMPUTED_VALUE"""),"EMBANDEJADORA VARIOPAC")</f>
        <v>EMBANDEJADORA VARIOPAC</v>
      </c>
      <c r="D376" s="5">
        <f ca="1">IFERROR(__xludf.DUMMYFUNCTION("""COMPUTED_VALUE"""),13247820)</f>
        <v>13247820</v>
      </c>
      <c r="E376" s="5" t="str">
        <f ca="1">IFERROR(__xludf.DUMMYFUNCTION("""COMPUTED_VALUE"""),"INSPECCION SEMANAL EMBANDEJADORA VARIOPA")</f>
        <v>INSPECCION SEMANAL EMBANDEJADORA VARIOPA</v>
      </c>
      <c r="F376" s="5" t="str">
        <f ca="1">IFERROR(__xludf.DUMMYFUNCTION("""COMPUTED_VALUE"""),"INSP FUGA FLUIDOS")</f>
        <v>INSP FUGA FLUIDOS</v>
      </c>
      <c r="G376" s="5" t="b">
        <f ca="1">IFERROR(__xludf.DUMMYFUNCTION("""COMPUTED_VALUE"""),TRUE)</f>
        <v>1</v>
      </c>
      <c r="H376" s="5"/>
      <c r="I376" s="5"/>
      <c r="J376" s="5">
        <f ca="1">IFERROR(__xludf.DUMMYFUNCTION("""COMPUTED_VALUE"""),13247820)</f>
        <v>13247820</v>
      </c>
      <c r="K376" s="5"/>
      <c r="L376" s="18">
        <f ca="1">IFERROR(__xludf.DUMMYFUNCTION("""COMPUTED_VALUE"""),45325)</f>
        <v>45325</v>
      </c>
      <c r="M376" s="18">
        <f ca="1">IFERROR(__xludf.DUMMYFUNCTION("""COMPUTED_VALUE"""),45325)</f>
        <v>45325</v>
      </c>
      <c r="N376" s="5" t="str">
        <f ca="1">IFERROR(__xludf.DUMMYFUNCTION("""COMPUTED_VALUE"""),"Leon Narvaez Andres Felipe")</f>
        <v>Leon Narvaez Andres Felipe</v>
      </c>
      <c r="O376" s="2">
        <f ca="1">IFERROR(__xludf.DUMMYFUNCTION("""COMPUTED_VALUE"""),0.006666667)</f>
        <v>6.6666670000000003E-3</v>
      </c>
      <c r="P376" s="5">
        <f ca="1">IFERROR(__xludf.DUMMYFUNCTION("""COMPUTED_VALUE"""),20009879)</f>
        <v>20009879</v>
      </c>
      <c r="Q376" s="5" t="str">
        <f ca="1">IFERROR(__xludf.DUMMYFUNCTION("""COMPUTED_VALUE"""),"DSH_CLWpWPs")</f>
        <v>DSH_CLWpWPs</v>
      </c>
      <c r="R376" s="5">
        <f ca="1">IFERROR(__xludf.DUMMYFUNCTION("""COMPUTED_VALUE"""),410)</f>
        <v>410</v>
      </c>
      <c r="S376" s="62">
        <f ca="1">IFERROR(__xludf.DUMMYFUNCTION("""COMPUTED_VALUE"""),0.006666667)</f>
        <v>6.6666670000000003E-3</v>
      </c>
      <c r="T376" s="63" t="str">
        <f ca="1">IFERROR(__xludf.DUMMYFUNCTION("""COMPUTED_VALUE"""),"https://storage.googleapis.com/glide-prod.appspot.com/uploads-v2/ly7o78grxPaC6KdgvbpS/pub/3aRdSog0vUtuqPE8AJKD.png")</f>
        <v>https://storage.googleapis.com/glide-prod.appspot.com/uploads-v2/ly7o78grxPaC6KdgvbpS/pub/3aRdSog0vUtuqPE8AJKD.png</v>
      </c>
      <c r="U376" s="5" t="str">
        <f ca="1">IFERROR(__xludf.DUMMYFUNCTION("""COMPUTED_VALUE"""),"LINEA DE ENVASADO PET NO RETORNABLEEMBANDEJADORA VARIOPAC")</f>
        <v>LINEA DE ENVASADO PET NO RETORNABLEEMBANDEJADORA VARIOPAC</v>
      </c>
      <c r="V376" s="5"/>
      <c r="W376" s="5" t="b">
        <f ca="1">IFERROR(__xludf.DUMMYFUNCTION("""COMPUTED_VALUE"""),TRUE)</f>
        <v>1</v>
      </c>
      <c r="X376" s="5" t="str">
        <f ca="1">IFERROR(__xludf.DUMMYFUNCTION("""COMPUTED_VALUE"""),"wguerra@postobon.com.co,aprmttoyu@postobon.com.co,aprmyu@postobon.com.co,wmora@postobon.com.co,efzapata@postobon.com.co")</f>
        <v>wguerra@postobon.com.co,aprmttoyu@postobon.com.co,aprmyu@postobon.com.co,wmora@postobon.com.co,efzapata@postobon.com.co</v>
      </c>
      <c r="Y376" s="5" t="str">
        <f ca="1">IFERROR(__xludf.DUMMYFUNCTION("""COMPUTED_VALUE"""),"wguerra@postobon.com.co")</f>
        <v>wguerra@postobon.com.co</v>
      </c>
      <c r="Z376" s="5" t="str">
        <f ca="1">IFERROR(__xludf.DUMMYFUNCTION("""COMPUTED_VALUE"""),"HxHNDEvKSHS.V-IIR46zrA")</f>
        <v>HxHNDEvKSHS.V-IIR46zrA</v>
      </c>
      <c r="AA376" s="5"/>
      <c r="AB376" s="5"/>
      <c r="AC376" s="5"/>
      <c r="AD376" s="5">
        <f ca="1">IFERROR(__xludf.DUMMYFUNCTION("""COMPUTED_VALUE"""),25)</f>
        <v>25</v>
      </c>
      <c r="AE376" s="5">
        <f ca="1">IFERROR(__xludf.DUMMYFUNCTION("""COMPUTED_VALUE"""),25)</f>
        <v>25</v>
      </c>
      <c r="AF376" s="5" t="b">
        <f ca="1">IFERROR(__xludf.DUMMYFUNCTION("""COMPUTED_VALUE"""),FALSE)</f>
        <v>0</v>
      </c>
      <c r="AG376" s="5" t="str">
        <f ca="1">IFERROR(__xludf.DUMMYFUNCTION("""COMPUTED_VALUE"""),"INSPECCIONES REALIZADAS")</f>
        <v>INSPECCIONES REALIZADAS</v>
      </c>
      <c r="AH376" s="5"/>
    </row>
    <row r="377" spans="1:34">
      <c r="A377" s="5" t="str">
        <f ca="1">IFERROR(__xludf.DUMMYFUNCTION("""COMPUTED_VALUE"""),"LINEA DE ENVASADO PET NO RETORNABLE")</f>
        <v>LINEA DE ENVASADO PET NO RETORNABLE</v>
      </c>
      <c r="B377" s="5">
        <f ca="1">IFERROR(__xludf.DUMMYFUNCTION("""COMPUTED_VALUE"""),710316)</f>
        <v>710316</v>
      </c>
      <c r="C377" s="5" t="str">
        <f ca="1">IFERROR(__xludf.DUMMYFUNCTION("""COMPUTED_VALUE"""),"EMBANDEJADORA VARIOPAC")</f>
        <v>EMBANDEJADORA VARIOPAC</v>
      </c>
      <c r="D377" s="5">
        <f ca="1">IFERROR(__xludf.DUMMYFUNCTION("""COMPUTED_VALUE"""),13247820)</f>
        <v>13247820</v>
      </c>
      <c r="E377" s="5" t="str">
        <f ca="1">IFERROR(__xludf.DUMMYFUNCTION("""COMPUTED_VALUE"""),"INSPECCION SEMANAL EMBANDEJADORA VARIOPA")</f>
        <v>INSPECCION SEMANAL EMBANDEJADORA VARIOPA</v>
      </c>
      <c r="F377" s="5" t="str">
        <f ca="1">IFERROR(__xludf.DUMMYFUNCTION("""COMPUTED_VALUE"""),"FUNC MOTORREDUCTORES")</f>
        <v>FUNC MOTORREDUCTORES</v>
      </c>
      <c r="G377" s="5" t="b">
        <f ca="1">IFERROR(__xludf.DUMMYFUNCTION("""COMPUTED_VALUE"""),TRUE)</f>
        <v>1</v>
      </c>
      <c r="H377" s="5"/>
      <c r="I377" s="5"/>
      <c r="J377" s="5">
        <f ca="1">IFERROR(__xludf.DUMMYFUNCTION("""COMPUTED_VALUE"""),13247820)</f>
        <v>13247820</v>
      </c>
      <c r="K377" s="5"/>
      <c r="L377" s="18">
        <f ca="1">IFERROR(__xludf.DUMMYFUNCTION("""COMPUTED_VALUE"""),45325)</f>
        <v>45325</v>
      </c>
      <c r="M377" s="18">
        <f ca="1">IFERROR(__xludf.DUMMYFUNCTION("""COMPUTED_VALUE"""),45325)</f>
        <v>45325</v>
      </c>
      <c r="N377" s="5" t="str">
        <f ca="1">IFERROR(__xludf.DUMMYFUNCTION("""COMPUTED_VALUE"""),"Leon Narvaez Andres Felipe")</f>
        <v>Leon Narvaez Andres Felipe</v>
      </c>
      <c r="O377" s="2">
        <f ca="1">IFERROR(__xludf.DUMMYFUNCTION("""COMPUTED_VALUE"""),0.006666667)</f>
        <v>6.6666670000000003E-3</v>
      </c>
      <c r="P377" s="5">
        <f ca="1">IFERROR(__xludf.DUMMYFUNCTION("""COMPUTED_VALUE"""),20009879)</f>
        <v>20009879</v>
      </c>
      <c r="Q377" s="5" t="str">
        <f ca="1">IFERROR(__xludf.DUMMYFUNCTION("""COMPUTED_VALUE"""),"lY7ChuK0OzY")</f>
        <v>lY7ChuK0OzY</v>
      </c>
      <c r="R377" s="5">
        <f ca="1">IFERROR(__xludf.DUMMYFUNCTION("""COMPUTED_VALUE"""),410)</f>
        <v>410</v>
      </c>
      <c r="S377" s="62">
        <f ca="1">IFERROR(__xludf.DUMMYFUNCTION("""COMPUTED_VALUE"""),0.006666667)</f>
        <v>6.6666670000000003E-3</v>
      </c>
      <c r="T377" s="63" t="str">
        <f ca="1">IFERROR(__xludf.DUMMYFUNCTION("""COMPUTED_VALUE"""),"https://storage.googleapis.com/glide-prod.appspot.com/uploads-v2/ly7o78grxPaC6KdgvbpS/pub/3aRdSog0vUtuqPE8AJKD.png")</f>
        <v>https://storage.googleapis.com/glide-prod.appspot.com/uploads-v2/ly7o78grxPaC6KdgvbpS/pub/3aRdSog0vUtuqPE8AJKD.png</v>
      </c>
      <c r="U377" s="5" t="str">
        <f ca="1">IFERROR(__xludf.DUMMYFUNCTION("""COMPUTED_VALUE"""),"LINEA DE ENVASADO PET NO RETORNABLEEMBANDEJADORA VARIOPAC")</f>
        <v>LINEA DE ENVASADO PET NO RETORNABLEEMBANDEJADORA VARIOPAC</v>
      </c>
      <c r="V377" s="5"/>
      <c r="W377" s="5" t="b">
        <f ca="1">IFERROR(__xludf.DUMMYFUNCTION("""COMPUTED_VALUE"""),TRUE)</f>
        <v>1</v>
      </c>
      <c r="X377" s="5" t="str">
        <f ca="1">IFERROR(__xludf.DUMMYFUNCTION("""COMPUTED_VALUE"""),"wguerra@postobon.com.co,aprmttoyu@postobon.com.co,aprmyu@postobon.com.co,wmora@postobon.com.co,efzapata@postobon.com.co")</f>
        <v>wguerra@postobon.com.co,aprmttoyu@postobon.com.co,aprmyu@postobon.com.co,wmora@postobon.com.co,efzapata@postobon.com.co</v>
      </c>
      <c r="Y377" s="5" t="str">
        <f ca="1">IFERROR(__xludf.DUMMYFUNCTION("""COMPUTED_VALUE"""),"wguerra@postobon.com.co")</f>
        <v>wguerra@postobon.com.co</v>
      </c>
      <c r="Z377" s="5" t="str">
        <f ca="1">IFERROR(__xludf.DUMMYFUNCTION("""COMPUTED_VALUE"""),"UBFkeumlQhybhAWo11IlpQ")</f>
        <v>UBFkeumlQhybhAWo11IlpQ</v>
      </c>
      <c r="AA377" s="5"/>
      <c r="AB377" s="5"/>
      <c r="AC377" s="5"/>
      <c r="AD377" s="5">
        <f ca="1">IFERROR(__xludf.DUMMYFUNCTION("""COMPUTED_VALUE"""),25)</f>
        <v>25</v>
      </c>
      <c r="AE377" s="5">
        <f ca="1">IFERROR(__xludf.DUMMYFUNCTION("""COMPUTED_VALUE"""),25)</f>
        <v>25</v>
      </c>
      <c r="AF377" s="5" t="b">
        <f ca="1">IFERROR(__xludf.DUMMYFUNCTION("""COMPUTED_VALUE"""),FALSE)</f>
        <v>0</v>
      </c>
      <c r="AG377" s="5" t="str">
        <f ca="1">IFERROR(__xludf.DUMMYFUNCTION("""COMPUTED_VALUE"""),"INSPECCIONES REALIZADAS")</f>
        <v>INSPECCIONES REALIZADAS</v>
      </c>
      <c r="AH377" s="5"/>
    </row>
    <row r="378" spans="1:34">
      <c r="A378" s="5" t="str">
        <f ca="1">IFERROR(__xludf.DUMMYFUNCTION("""COMPUTED_VALUE"""),"LINEA DE ENVASADO PET NO RETORNABLE")</f>
        <v>LINEA DE ENVASADO PET NO RETORNABLE</v>
      </c>
      <c r="B378" s="5">
        <f ca="1">IFERROR(__xludf.DUMMYFUNCTION("""COMPUTED_VALUE"""),710316)</f>
        <v>710316</v>
      </c>
      <c r="C378" s="5" t="str">
        <f ca="1">IFERROR(__xludf.DUMMYFUNCTION("""COMPUTED_VALUE"""),"EMBANDEJADORA VARIOPAC")</f>
        <v>EMBANDEJADORA VARIOPAC</v>
      </c>
      <c r="D378" s="5">
        <f ca="1">IFERROR(__xludf.DUMMYFUNCTION("""COMPUTED_VALUE"""),13247820)</f>
        <v>13247820</v>
      </c>
      <c r="E378" s="5" t="str">
        <f ca="1">IFERROR(__xludf.DUMMYFUNCTION("""COMPUTED_VALUE"""),"INSPECCION SEMANAL EMBANDEJADORA VARIOPA")</f>
        <v>INSPECCION SEMANAL EMBANDEJADORA VARIOPA</v>
      </c>
      <c r="F378" s="5" t="str">
        <f ca="1">IFERROR(__xludf.DUMMYFUNCTION("""COMPUTED_VALUE"""),"INSP RUIDOS EXTRAÑOS")</f>
        <v>INSP RUIDOS EXTRAÑOS</v>
      </c>
      <c r="G378" s="5" t="b">
        <f ca="1">IFERROR(__xludf.DUMMYFUNCTION("""COMPUTED_VALUE"""),TRUE)</f>
        <v>1</v>
      </c>
      <c r="H378" s="5"/>
      <c r="I378" s="5"/>
      <c r="J378" s="5">
        <f ca="1">IFERROR(__xludf.DUMMYFUNCTION("""COMPUTED_VALUE"""),13247820)</f>
        <v>13247820</v>
      </c>
      <c r="K378" s="5"/>
      <c r="L378" s="18">
        <f ca="1">IFERROR(__xludf.DUMMYFUNCTION("""COMPUTED_VALUE"""),45325)</f>
        <v>45325</v>
      </c>
      <c r="M378" s="18">
        <f ca="1">IFERROR(__xludf.DUMMYFUNCTION("""COMPUTED_VALUE"""),45325)</f>
        <v>45325</v>
      </c>
      <c r="N378" s="5" t="str">
        <f ca="1">IFERROR(__xludf.DUMMYFUNCTION("""COMPUTED_VALUE"""),"Leon Narvaez Andres Felipe")</f>
        <v>Leon Narvaez Andres Felipe</v>
      </c>
      <c r="O378" s="2">
        <f ca="1">IFERROR(__xludf.DUMMYFUNCTION("""COMPUTED_VALUE"""),0.006666667)</f>
        <v>6.6666670000000003E-3</v>
      </c>
      <c r="P378" s="5">
        <f ca="1">IFERROR(__xludf.DUMMYFUNCTION("""COMPUTED_VALUE"""),20009879)</f>
        <v>20009879</v>
      </c>
      <c r="Q378" s="5" t="str">
        <f ca="1">IFERROR(__xludf.DUMMYFUNCTION("""COMPUTED_VALUE"""),"UXINUap7shc")</f>
        <v>UXINUap7shc</v>
      </c>
      <c r="R378" s="5">
        <f ca="1">IFERROR(__xludf.DUMMYFUNCTION("""COMPUTED_VALUE"""),410)</f>
        <v>410</v>
      </c>
      <c r="S378" s="62">
        <f ca="1">IFERROR(__xludf.DUMMYFUNCTION("""COMPUTED_VALUE"""),0.006666667)</f>
        <v>6.6666670000000003E-3</v>
      </c>
      <c r="T378" s="63" t="str">
        <f ca="1">IFERROR(__xludf.DUMMYFUNCTION("""COMPUTED_VALUE"""),"https://storage.googleapis.com/glide-prod.appspot.com/uploads-v2/ly7o78grxPaC6KdgvbpS/pub/3aRdSog0vUtuqPE8AJKD.png")</f>
        <v>https://storage.googleapis.com/glide-prod.appspot.com/uploads-v2/ly7o78grxPaC6KdgvbpS/pub/3aRdSog0vUtuqPE8AJKD.png</v>
      </c>
      <c r="U378" s="5" t="str">
        <f ca="1">IFERROR(__xludf.DUMMYFUNCTION("""COMPUTED_VALUE"""),"LINEA DE ENVASADO PET NO RETORNABLEEMBANDEJADORA VARIOPAC")</f>
        <v>LINEA DE ENVASADO PET NO RETORNABLEEMBANDEJADORA VARIOPAC</v>
      </c>
      <c r="V378" s="5"/>
      <c r="W378" s="5" t="b">
        <f ca="1">IFERROR(__xludf.DUMMYFUNCTION("""COMPUTED_VALUE"""),TRUE)</f>
        <v>1</v>
      </c>
      <c r="X378" s="5" t="str">
        <f ca="1">IFERROR(__xludf.DUMMYFUNCTION("""COMPUTED_VALUE"""),"wguerra@postobon.com.co,aprmttoyu@postobon.com.co,aprmyu@postobon.com.co,wmora@postobon.com.co,efzapata@postobon.com.co")</f>
        <v>wguerra@postobon.com.co,aprmttoyu@postobon.com.co,aprmyu@postobon.com.co,wmora@postobon.com.co,efzapata@postobon.com.co</v>
      </c>
      <c r="Y378" s="5" t="str">
        <f ca="1">IFERROR(__xludf.DUMMYFUNCTION("""COMPUTED_VALUE"""),"wguerra@postobon.com.co")</f>
        <v>wguerra@postobon.com.co</v>
      </c>
      <c r="Z378" s="5" t="str">
        <f ca="1">IFERROR(__xludf.DUMMYFUNCTION("""COMPUTED_VALUE"""),"cuiuGLaiQHGULZyItj-RZg")</f>
        <v>cuiuGLaiQHGULZyItj-RZg</v>
      </c>
      <c r="AA378" s="5"/>
      <c r="AB378" s="5"/>
      <c r="AC378" s="5"/>
      <c r="AD378" s="5">
        <f ca="1">IFERROR(__xludf.DUMMYFUNCTION("""COMPUTED_VALUE"""),25)</f>
        <v>25</v>
      </c>
      <c r="AE378" s="5">
        <f ca="1">IFERROR(__xludf.DUMMYFUNCTION("""COMPUTED_VALUE"""),25)</f>
        <v>25</v>
      </c>
      <c r="AF378" s="5" t="b">
        <f ca="1">IFERROR(__xludf.DUMMYFUNCTION("""COMPUTED_VALUE"""),FALSE)</f>
        <v>0</v>
      </c>
      <c r="AG378" s="5" t="str">
        <f ca="1">IFERROR(__xludf.DUMMYFUNCTION("""COMPUTED_VALUE"""),"INSPECCIONES REALIZADAS")</f>
        <v>INSPECCIONES REALIZADAS</v>
      </c>
      <c r="AH378" s="5"/>
    </row>
    <row r="379" spans="1:34">
      <c r="A379" s="5" t="str">
        <f ca="1">IFERROR(__xludf.DUMMYFUNCTION("""COMPUTED_VALUE"""),"LINEA DE ENVASADO PET NO RETORNABLE")</f>
        <v>LINEA DE ENVASADO PET NO RETORNABLE</v>
      </c>
      <c r="B379" s="5">
        <f ca="1">IFERROR(__xludf.DUMMYFUNCTION("""COMPUTED_VALUE"""),710316)</f>
        <v>710316</v>
      </c>
      <c r="C379" s="5" t="str">
        <f ca="1">IFERROR(__xludf.DUMMYFUNCTION("""COMPUTED_VALUE"""),"EMBANDEJADORA VARIOPAC")</f>
        <v>EMBANDEJADORA VARIOPAC</v>
      </c>
      <c r="D379" s="5">
        <f ca="1">IFERROR(__xludf.DUMMYFUNCTION("""COMPUTED_VALUE"""),13247820)</f>
        <v>13247820</v>
      </c>
      <c r="E379" s="5" t="str">
        <f ca="1">IFERROR(__xludf.DUMMYFUNCTION("""COMPUTED_VALUE"""),"INSPECCION SEMANAL EMBANDEJADORA VARIOPA")</f>
        <v>INSPECCION SEMANAL EMBANDEJADORA VARIOPA</v>
      </c>
      <c r="F379" s="5" t="str">
        <f ca="1">IFERROR(__xludf.DUMMYFUNCTION("""COMPUTED_VALUE"""),"FUNC RESISTENCIA TERMOENCOGID")</f>
        <v>FUNC RESISTENCIA TERMOENCOGID</v>
      </c>
      <c r="G379" s="5" t="b">
        <f ca="1">IFERROR(__xludf.DUMMYFUNCTION("""COMPUTED_VALUE"""),TRUE)</f>
        <v>1</v>
      </c>
      <c r="H379" s="5"/>
      <c r="I379" s="5"/>
      <c r="J379" s="5">
        <f ca="1">IFERROR(__xludf.DUMMYFUNCTION("""COMPUTED_VALUE"""),13247820)</f>
        <v>13247820</v>
      </c>
      <c r="K379" s="5"/>
      <c r="L379" s="18">
        <f ca="1">IFERROR(__xludf.DUMMYFUNCTION("""COMPUTED_VALUE"""),45325)</f>
        <v>45325</v>
      </c>
      <c r="M379" s="18">
        <f ca="1">IFERROR(__xludf.DUMMYFUNCTION("""COMPUTED_VALUE"""),45325)</f>
        <v>45325</v>
      </c>
      <c r="N379" s="5" t="str">
        <f ca="1">IFERROR(__xludf.DUMMYFUNCTION("""COMPUTED_VALUE"""),"Leon Narvaez Andres Felipe")</f>
        <v>Leon Narvaez Andres Felipe</v>
      </c>
      <c r="O379" s="2">
        <f ca="1">IFERROR(__xludf.DUMMYFUNCTION("""COMPUTED_VALUE"""),0.006666667)</f>
        <v>6.6666670000000003E-3</v>
      </c>
      <c r="P379" s="5">
        <f ca="1">IFERROR(__xludf.DUMMYFUNCTION("""COMPUTED_VALUE"""),20009879)</f>
        <v>20009879</v>
      </c>
      <c r="Q379" s="5" t="str">
        <f ca="1">IFERROR(__xludf.DUMMYFUNCTION("""COMPUTED_VALUE"""),"9hQB7V32AFo")</f>
        <v>9hQB7V32AFo</v>
      </c>
      <c r="R379" s="5">
        <f ca="1">IFERROR(__xludf.DUMMYFUNCTION("""COMPUTED_VALUE"""),410)</f>
        <v>410</v>
      </c>
      <c r="S379" s="62">
        <f ca="1">IFERROR(__xludf.DUMMYFUNCTION("""COMPUTED_VALUE"""),0.006666667)</f>
        <v>6.6666670000000003E-3</v>
      </c>
      <c r="T379" s="63" t="str">
        <f ca="1">IFERROR(__xludf.DUMMYFUNCTION("""COMPUTED_VALUE"""),"https://storage.googleapis.com/glide-prod.appspot.com/uploads-v2/ly7o78grxPaC6KdgvbpS/pub/3aRdSog0vUtuqPE8AJKD.png")</f>
        <v>https://storage.googleapis.com/glide-prod.appspot.com/uploads-v2/ly7o78grxPaC6KdgvbpS/pub/3aRdSog0vUtuqPE8AJKD.png</v>
      </c>
      <c r="U379" s="5" t="str">
        <f ca="1">IFERROR(__xludf.DUMMYFUNCTION("""COMPUTED_VALUE"""),"LINEA DE ENVASADO PET NO RETORNABLEEMBANDEJADORA VARIOPAC")</f>
        <v>LINEA DE ENVASADO PET NO RETORNABLEEMBANDEJADORA VARIOPAC</v>
      </c>
      <c r="V379" s="5"/>
      <c r="W379" s="5" t="b">
        <f ca="1">IFERROR(__xludf.DUMMYFUNCTION("""COMPUTED_VALUE"""),TRUE)</f>
        <v>1</v>
      </c>
      <c r="X379" s="5" t="str">
        <f ca="1">IFERROR(__xludf.DUMMYFUNCTION("""COMPUTED_VALUE"""),"wguerra@postobon.com.co,aprmttoyu@postobon.com.co,aprmyu@postobon.com.co,wmora@postobon.com.co,efzapata@postobon.com.co")</f>
        <v>wguerra@postobon.com.co,aprmttoyu@postobon.com.co,aprmyu@postobon.com.co,wmora@postobon.com.co,efzapata@postobon.com.co</v>
      </c>
      <c r="Y379" s="5" t="str">
        <f ca="1">IFERROR(__xludf.DUMMYFUNCTION("""COMPUTED_VALUE"""),"wguerra@postobon.com.co")</f>
        <v>wguerra@postobon.com.co</v>
      </c>
      <c r="Z379" s="5" t="str">
        <f ca="1">IFERROR(__xludf.DUMMYFUNCTION("""COMPUTED_VALUE"""),"95GNWYEpTdaL6zcE6jH6EQ")</f>
        <v>95GNWYEpTdaL6zcE6jH6EQ</v>
      </c>
      <c r="AA379" s="5"/>
      <c r="AB379" s="5"/>
      <c r="AC379" s="5"/>
      <c r="AD379" s="5">
        <f ca="1">IFERROR(__xludf.DUMMYFUNCTION("""COMPUTED_VALUE"""),25)</f>
        <v>25</v>
      </c>
      <c r="AE379" s="5">
        <f ca="1">IFERROR(__xludf.DUMMYFUNCTION("""COMPUTED_VALUE"""),25)</f>
        <v>25</v>
      </c>
      <c r="AF379" s="5" t="b">
        <f ca="1">IFERROR(__xludf.DUMMYFUNCTION("""COMPUTED_VALUE"""),FALSE)</f>
        <v>0</v>
      </c>
      <c r="AG379" s="5" t="str">
        <f ca="1">IFERROR(__xludf.DUMMYFUNCTION("""COMPUTED_VALUE"""),"INSPECCIONES REALIZADAS")</f>
        <v>INSPECCIONES REALIZADAS</v>
      </c>
      <c r="AH379" s="5"/>
    </row>
    <row r="380" spans="1:34">
      <c r="A380" s="5" t="str">
        <f ca="1">IFERROR(__xludf.DUMMYFUNCTION("""COMPUTED_VALUE"""),"LINEA DE ENVASADO PET NO RETORNABLE")</f>
        <v>LINEA DE ENVASADO PET NO RETORNABLE</v>
      </c>
      <c r="B380" s="5">
        <f ca="1">IFERROR(__xludf.DUMMYFUNCTION("""COMPUTED_VALUE"""),710316)</f>
        <v>710316</v>
      </c>
      <c r="C380" s="5" t="str">
        <f ca="1">IFERROR(__xludf.DUMMYFUNCTION("""COMPUTED_VALUE"""),"EMBANDEJADORA VARIOPAC")</f>
        <v>EMBANDEJADORA VARIOPAC</v>
      </c>
      <c r="D380" s="5">
        <f ca="1">IFERROR(__xludf.DUMMYFUNCTION("""COMPUTED_VALUE"""),13247820)</f>
        <v>13247820</v>
      </c>
      <c r="E380" s="5" t="str">
        <f ca="1">IFERROR(__xludf.DUMMYFUNCTION("""COMPUTED_VALUE"""),"INSPECCION SEMANAL EMBANDEJADORA VARIOPA")</f>
        <v>INSPECCION SEMANAL EMBANDEJADORA VARIOPA</v>
      </c>
      <c r="F380" s="5" t="str">
        <f ca="1">IFERROR(__xludf.DUMMYFUNCTION("""COMPUTED_VALUE"""),"ESTADO BANDAS TRANSP BOTELLAS-PAQUET")</f>
        <v>ESTADO BANDAS TRANSP BOTELLAS-PAQUET</v>
      </c>
      <c r="G380" s="5" t="b">
        <f ca="1">IFERROR(__xludf.DUMMYFUNCTION("""COMPUTED_VALUE"""),TRUE)</f>
        <v>1</v>
      </c>
      <c r="H380" s="5"/>
      <c r="I380" s="5"/>
      <c r="J380" s="5">
        <f ca="1">IFERROR(__xludf.DUMMYFUNCTION("""COMPUTED_VALUE"""),13247820)</f>
        <v>13247820</v>
      </c>
      <c r="K380" s="5"/>
      <c r="L380" s="18">
        <f ca="1">IFERROR(__xludf.DUMMYFUNCTION("""COMPUTED_VALUE"""),45325)</f>
        <v>45325</v>
      </c>
      <c r="M380" s="18">
        <f ca="1">IFERROR(__xludf.DUMMYFUNCTION("""COMPUTED_VALUE"""),45325)</f>
        <v>45325</v>
      </c>
      <c r="N380" s="5" t="str">
        <f ca="1">IFERROR(__xludf.DUMMYFUNCTION("""COMPUTED_VALUE"""),"Leon Narvaez Andres Felipe")</f>
        <v>Leon Narvaez Andres Felipe</v>
      </c>
      <c r="O380" s="2">
        <f ca="1">IFERROR(__xludf.DUMMYFUNCTION("""COMPUTED_VALUE"""),0.006666667)</f>
        <v>6.6666670000000003E-3</v>
      </c>
      <c r="P380" s="5">
        <f ca="1">IFERROR(__xludf.DUMMYFUNCTION("""COMPUTED_VALUE"""),20009879)</f>
        <v>20009879</v>
      </c>
      <c r="Q380" s="5" t="str">
        <f ca="1">IFERROR(__xludf.DUMMYFUNCTION("""COMPUTED_VALUE"""),"S33OMl8jdv8")</f>
        <v>S33OMl8jdv8</v>
      </c>
      <c r="R380" s="5">
        <f ca="1">IFERROR(__xludf.DUMMYFUNCTION("""COMPUTED_VALUE"""),410)</f>
        <v>410</v>
      </c>
      <c r="S380" s="62">
        <f ca="1">IFERROR(__xludf.DUMMYFUNCTION("""COMPUTED_VALUE"""),0.006666667)</f>
        <v>6.6666670000000003E-3</v>
      </c>
      <c r="T380" s="63" t="str">
        <f ca="1">IFERROR(__xludf.DUMMYFUNCTION("""COMPUTED_VALUE"""),"https://storage.googleapis.com/glide-prod.appspot.com/uploads-v2/ly7o78grxPaC6KdgvbpS/pub/3aRdSog0vUtuqPE8AJKD.png")</f>
        <v>https://storage.googleapis.com/glide-prod.appspot.com/uploads-v2/ly7o78grxPaC6KdgvbpS/pub/3aRdSog0vUtuqPE8AJKD.png</v>
      </c>
      <c r="U380" s="5" t="str">
        <f ca="1">IFERROR(__xludf.DUMMYFUNCTION("""COMPUTED_VALUE"""),"LINEA DE ENVASADO PET NO RETORNABLEEMBANDEJADORA VARIOPAC")</f>
        <v>LINEA DE ENVASADO PET NO RETORNABLEEMBANDEJADORA VARIOPAC</v>
      </c>
      <c r="V380" s="5"/>
      <c r="W380" s="5" t="b">
        <f ca="1">IFERROR(__xludf.DUMMYFUNCTION("""COMPUTED_VALUE"""),TRUE)</f>
        <v>1</v>
      </c>
      <c r="X380" s="5" t="str">
        <f ca="1">IFERROR(__xludf.DUMMYFUNCTION("""COMPUTED_VALUE"""),"wguerra@postobon.com.co,aprmttoyu@postobon.com.co,aprmyu@postobon.com.co,wmora@postobon.com.co,efzapata@postobon.com.co")</f>
        <v>wguerra@postobon.com.co,aprmttoyu@postobon.com.co,aprmyu@postobon.com.co,wmora@postobon.com.co,efzapata@postobon.com.co</v>
      </c>
      <c r="Y380" s="5" t="str">
        <f ca="1">IFERROR(__xludf.DUMMYFUNCTION("""COMPUTED_VALUE"""),"wguerra@postobon.com.co")</f>
        <v>wguerra@postobon.com.co</v>
      </c>
      <c r="Z380" s="5" t="str">
        <f ca="1">IFERROR(__xludf.DUMMYFUNCTION("""COMPUTED_VALUE"""),"MwOC-KLVRl6PdrD4PX4RUQ")</f>
        <v>MwOC-KLVRl6PdrD4PX4RUQ</v>
      </c>
      <c r="AA380" s="5"/>
      <c r="AB380" s="5"/>
      <c r="AC380" s="5"/>
      <c r="AD380" s="5">
        <f ca="1">IFERROR(__xludf.DUMMYFUNCTION("""COMPUTED_VALUE"""),25)</f>
        <v>25</v>
      </c>
      <c r="AE380" s="5">
        <f ca="1">IFERROR(__xludf.DUMMYFUNCTION("""COMPUTED_VALUE"""),25)</f>
        <v>25</v>
      </c>
      <c r="AF380" s="5" t="b">
        <f ca="1">IFERROR(__xludf.DUMMYFUNCTION("""COMPUTED_VALUE"""),FALSE)</f>
        <v>0</v>
      </c>
      <c r="AG380" s="5" t="str">
        <f ca="1">IFERROR(__xludf.DUMMYFUNCTION("""COMPUTED_VALUE"""),"INSPECCIONES REALIZADAS")</f>
        <v>INSPECCIONES REALIZADAS</v>
      </c>
      <c r="AH380" s="5"/>
    </row>
    <row r="381" spans="1:34">
      <c r="A381" s="5" t="str">
        <f ca="1">IFERROR(__xludf.DUMMYFUNCTION("""COMPUTED_VALUE"""),"LINEA DE ENVASADO PET NO RETORNABLE")</f>
        <v>LINEA DE ENVASADO PET NO RETORNABLE</v>
      </c>
      <c r="B381" s="5">
        <f ca="1">IFERROR(__xludf.DUMMYFUNCTION("""COMPUTED_VALUE"""),710316)</f>
        <v>710316</v>
      </c>
      <c r="C381" s="5" t="str">
        <f ca="1">IFERROR(__xludf.DUMMYFUNCTION("""COMPUTED_VALUE"""),"EMBANDEJADORA VARIOPAC")</f>
        <v>EMBANDEJADORA VARIOPAC</v>
      </c>
      <c r="D381" s="5">
        <f ca="1">IFERROR(__xludf.DUMMYFUNCTION("""COMPUTED_VALUE"""),13247820)</f>
        <v>13247820</v>
      </c>
      <c r="E381" s="5" t="str">
        <f ca="1">IFERROR(__xludf.DUMMYFUNCTION("""COMPUTED_VALUE"""),"INSPECCION SEMANAL EMBANDEJADORA VARIOPA")</f>
        <v>INSPECCION SEMANAL EMBANDEJADORA VARIOPA</v>
      </c>
      <c r="F381" s="5" t="str">
        <f ca="1">IFERROR(__xludf.DUMMYFUNCTION("""COMPUTED_VALUE"""),"INSP TABLERO ELECTRICO/CLIMATIZADOR")</f>
        <v>INSP TABLERO ELECTRICO/CLIMATIZADOR</v>
      </c>
      <c r="G381" s="5" t="b">
        <f ca="1">IFERROR(__xludf.DUMMYFUNCTION("""COMPUTED_VALUE"""),TRUE)</f>
        <v>1</v>
      </c>
      <c r="H381" s="5"/>
      <c r="I381" s="5"/>
      <c r="J381" s="5">
        <f ca="1">IFERROR(__xludf.DUMMYFUNCTION("""COMPUTED_VALUE"""),13247820)</f>
        <v>13247820</v>
      </c>
      <c r="K381" s="5"/>
      <c r="L381" s="18">
        <f ca="1">IFERROR(__xludf.DUMMYFUNCTION("""COMPUTED_VALUE"""),45325)</f>
        <v>45325</v>
      </c>
      <c r="M381" s="18">
        <f ca="1">IFERROR(__xludf.DUMMYFUNCTION("""COMPUTED_VALUE"""),45325)</f>
        <v>45325</v>
      </c>
      <c r="N381" s="5" t="str">
        <f ca="1">IFERROR(__xludf.DUMMYFUNCTION("""COMPUTED_VALUE"""),"Leon Narvaez Andres Felipe")</f>
        <v>Leon Narvaez Andres Felipe</v>
      </c>
      <c r="O381" s="2">
        <f ca="1">IFERROR(__xludf.DUMMYFUNCTION("""COMPUTED_VALUE"""),0.006666667)</f>
        <v>6.6666670000000003E-3</v>
      </c>
      <c r="P381" s="5">
        <f ca="1">IFERROR(__xludf.DUMMYFUNCTION("""COMPUTED_VALUE"""),20009879)</f>
        <v>20009879</v>
      </c>
      <c r="Q381" s="5" t="str">
        <f ca="1">IFERROR(__xludf.DUMMYFUNCTION("""COMPUTED_VALUE"""),"dshO-CK7_WE")</f>
        <v>dshO-CK7_WE</v>
      </c>
      <c r="R381" s="5">
        <f ca="1">IFERROR(__xludf.DUMMYFUNCTION("""COMPUTED_VALUE"""),410)</f>
        <v>410</v>
      </c>
      <c r="S381" s="62">
        <f ca="1">IFERROR(__xludf.DUMMYFUNCTION("""COMPUTED_VALUE"""),0.006666667)</f>
        <v>6.6666670000000003E-3</v>
      </c>
      <c r="T381" s="63" t="str">
        <f ca="1">IFERROR(__xludf.DUMMYFUNCTION("""COMPUTED_VALUE"""),"https://storage.googleapis.com/glide-prod.appspot.com/uploads-v2/ly7o78grxPaC6KdgvbpS/pub/3aRdSog0vUtuqPE8AJKD.png")</f>
        <v>https://storage.googleapis.com/glide-prod.appspot.com/uploads-v2/ly7o78grxPaC6KdgvbpS/pub/3aRdSog0vUtuqPE8AJKD.png</v>
      </c>
      <c r="U381" s="5" t="str">
        <f ca="1">IFERROR(__xludf.DUMMYFUNCTION("""COMPUTED_VALUE"""),"LINEA DE ENVASADO PET NO RETORNABLEEMBANDEJADORA VARIOPAC")</f>
        <v>LINEA DE ENVASADO PET NO RETORNABLEEMBANDEJADORA VARIOPAC</v>
      </c>
      <c r="V381" s="5"/>
      <c r="W381" s="5" t="b">
        <f ca="1">IFERROR(__xludf.DUMMYFUNCTION("""COMPUTED_VALUE"""),TRUE)</f>
        <v>1</v>
      </c>
      <c r="X381" s="5" t="str">
        <f ca="1">IFERROR(__xludf.DUMMYFUNCTION("""COMPUTED_VALUE"""),"wguerra@postobon.com.co,aprmttoyu@postobon.com.co,aprmyu@postobon.com.co,wmora@postobon.com.co,efzapata@postobon.com.co")</f>
        <v>wguerra@postobon.com.co,aprmttoyu@postobon.com.co,aprmyu@postobon.com.co,wmora@postobon.com.co,efzapata@postobon.com.co</v>
      </c>
      <c r="Y381" s="5" t="str">
        <f ca="1">IFERROR(__xludf.DUMMYFUNCTION("""COMPUTED_VALUE"""),"wguerra@postobon.com.co")</f>
        <v>wguerra@postobon.com.co</v>
      </c>
      <c r="Z381" s="5" t="str">
        <f ca="1">IFERROR(__xludf.DUMMYFUNCTION("""COMPUTED_VALUE"""),"WRB24I2dQiqkVLnsRp40hw")</f>
        <v>WRB24I2dQiqkVLnsRp40hw</v>
      </c>
      <c r="AA381" s="5"/>
      <c r="AB381" s="5"/>
      <c r="AC381" s="5"/>
      <c r="AD381" s="5">
        <f ca="1">IFERROR(__xludf.DUMMYFUNCTION("""COMPUTED_VALUE"""),25)</f>
        <v>25</v>
      </c>
      <c r="AE381" s="5">
        <f ca="1">IFERROR(__xludf.DUMMYFUNCTION("""COMPUTED_VALUE"""),25)</f>
        <v>25</v>
      </c>
      <c r="AF381" s="5" t="b">
        <f ca="1">IFERROR(__xludf.DUMMYFUNCTION("""COMPUTED_VALUE"""),FALSE)</f>
        <v>0</v>
      </c>
      <c r="AG381" s="5" t="str">
        <f ca="1">IFERROR(__xludf.DUMMYFUNCTION("""COMPUTED_VALUE"""),"INSPECCIONES REALIZADAS")</f>
        <v>INSPECCIONES REALIZADAS</v>
      </c>
      <c r="AH381" s="5"/>
    </row>
    <row r="382" spans="1:34">
      <c r="A382" s="5" t="str">
        <f ca="1">IFERROR(__xludf.DUMMYFUNCTION("""COMPUTED_VALUE"""),"LINEA DE ENVASADO TAMAÑO PERSONAL")</f>
        <v>LINEA DE ENVASADO TAMAÑO PERSONAL</v>
      </c>
      <c r="B382" s="5">
        <f ca="1">IFERROR(__xludf.DUMMYFUNCTION("""COMPUTED_VALUE"""),558020)</f>
        <v>558020</v>
      </c>
      <c r="C382" s="5" t="str">
        <f ca="1">IFERROR(__xludf.DUMMYFUNCTION("""COMPUTED_VALUE"""),"EMPACADORA")</f>
        <v>EMPACADORA</v>
      </c>
      <c r="D382" s="5">
        <f ca="1">IFERROR(__xludf.DUMMYFUNCTION("""COMPUTED_VALUE"""),13247624)</f>
        <v>13247624</v>
      </c>
      <c r="E382" s="5" t="str">
        <f ca="1">IFERROR(__xludf.DUMMYFUNCTION("""COMPUTED_VALUE"""),"INSPECCION SEMANAL EMPACADORA")</f>
        <v>INSPECCION SEMANAL EMPACADORA</v>
      </c>
      <c r="F382" s="5" t="str">
        <f ca="1">IFERROR(__xludf.DUMMYFUNCTION("""COMPUTED_VALUE"""),"Fugas de aire o aceite")</f>
        <v>Fugas de aire o aceite</v>
      </c>
      <c r="G382" s="5" t="b">
        <f ca="1">IFERROR(__xludf.DUMMYFUNCTION("""COMPUTED_VALUE"""),TRUE)</f>
        <v>1</v>
      </c>
      <c r="H382" s="5"/>
      <c r="I382" s="5"/>
      <c r="J382" s="5">
        <f ca="1">IFERROR(__xludf.DUMMYFUNCTION("""COMPUTED_VALUE"""),13247624)</f>
        <v>13247624</v>
      </c>
      <c r="K382" s="5"/>
      <c r="L382" s="18">
        <f ca="1">IFERROR(__xludf.DUMMYFUNCTION("""COMPUTED_VALUE"""),45325)</f>
        <v>45325</v>
      </c>
      <c r="M382" s="18">
        <f ca="1">IFERROR(__xludf.DUMMYFUNCTION("""COMPUTED_VALUE"""),45325)</f>
        <v>45325</v>
      </c>
      <c r="N382" s="5" t="str">
        <f ca="1">IFERROR(__xludf.DUMMYFUNCTION("""COMPUTED_VALUE"""),"Jimenez Jhon")</f>
        <v>Jimenez Jhon</v>
      </c>
      <c r="O382" s="2">
        <f ca="1">IFERROR(__xludf.DUMMYFUNCTION("""COMPUTED_VALUE"""),0.005555556)</f>
        <v>5.5555559999999997E-3</v>
      </c>
      <c r="P382" s="5">
        <f ca="1">IFERROR(__xludf.DUMMYFUNCTION("""COMPUTED_VALUE"""),20009855)</f>
        <v>20009855</v>
      </c>
      <c r="Q382" s="5" t="str">
        <f ca="1">IFERROR(__xludf.DUMMYFUNCTION("""COMPUTED_VALUE"""),"4MC6jRJZN0I")</f>
        <v>4MC6jRJZN0I</v>
      </c>
      <c r="R382" s="5">
        <f ca="1">IFERROR(__xludf.DUMMYFUNCTION("""COMPUTED_VALUE"""),410)</f>
        <v>410</v>
      </c>
      <c r="S382" s="62">
        <f ca="1">IFERROR(__xludf.DUMMYFUNCTION("""COMPUTED_VALUE"""),0.005555556)</f>
        <v>5.5555559999999997E-3</v>
      </c>
      <c r="T382" s="63" t="str">
        <f ca="1">IFERROR(__xludf.DUMMYFUNCTION("""COMPUTED_VALUE"""),"https://storage.googleapis.com/glide-prod.appspot.com/uploads-v2/ly7o78grxPaC6KdgvbpS/pub/3aRdSog0vUtuqPE8AJKD.png")</f>
        <v>https://storage.googleapis.com/glide-prod.appspot.com/uploads-v2/ly7o78grxPaC6KdgvbpS/pub/3aRdSog0vUtuqPE8AJKD.png</v>
      </c>
      <c r="U382" s="5" t="str">
        <f ca="1">IFERROR(__xludf.DUMMYFUNCTION("""COMPUTED_VALUE"""),"LINEA DE ENVASADO TAMAÑO PERSONALEMPACADORA")</f>
        <v>LINEA DE ENVASADO TAMAÑO PERSONALEMPACADORA</v>
      </c>
      <c r="V382" s="5"/>
      <c r="W382" s="5" t="b">
        <f ca="1">IFERROR(__xludf.DUMMYFUNCTION("""COMPUTED_VALUE"""),TRUE)</f>
        <v>1</v>
      </c>
      <c r="X382" s="5" t="str">
        <f ca="1">IFERROR(__xludf.DUMMYFUNCTION("""COMPUTED_VALUE"""),"wguerra@postobon.com.co,aprmttoyu@postobon.com.co,aprmyu@postobon.com.co,wmora@postobon.com.co,efzapata@postobon.com.co")</f>
        <v>wguerra@postobon.com.co,aprmttoyu@postobon.com.co,aprmyu@postobon.com.co,wmora@postobon.com.co,efzapata@postobon.com.co</v>
      </c>
      <c r="Y382" s="5" t="str">
        <f ca="1">IFERROR(__xludf.DUMMYFUNCTION("""COMPUTED_VALUE"""),"wguerra@postobon.com.co")</f>
        <v>wguerra@postobon.com.co</v>
      </c>
      <c r="Z382" s="5" t="str">
        <f ca="1">IFERROR(__xludf.DUMMYFUNCTION("""COMPUTED_VALUE"""),"e5HqGhxsSrmQRV2zn8PrXg")</f>
        <v>e5HqGhxsSrmQRV2zn8PrXg</v>
      </c>
      <c r="AA382" s="5"/>
      <c r="AB382" s="5"/>
      <c r="AC382" s="5"/>
      <c r="AD382" s="5">
        <f ca="1">IFERROR(__xludf.DUMMYFUNCTION("""COMPUTED_VALUE"""),68)</f>
        <v>68</v>
      </c>
      <c r="AE382" s="5">
        <f ca="1">IFERROR(__xludf.DUMMYFUNCTION("""COMPUTED_VALUE"""),68)</f>
        <v>68</v>
      </c>
      <c r="AF382" s="5" t="b">
        <f ca="1">IFERROR(__xludf.DUMMYFUNCTION("""COMPUTED_VALUE"""),FALSE)</f>
        <v>0</v>
      </c>
      <c r="AG382" s="5" t="str">
        <f ca="1">IFERROR(__xludf.DUMMYFUNCTION("""COMPUTED_VALUE"""),"INSPECCIONES REALIZADAS")</f>
        <v>INSPECCIONES REALIZADAS</v>
      </c>
      <c r="AH382" s="5"/>
    </row>
    <row r="383" spans="1:34">
      <c r="A383" s="5" t="str">
        <f ca="1">IFERROR(__xludf.DUMMYFUNCTION("""COMPUTED_VALUE"""),"LINEA DE ENVASADO TAMAÑO PERSONAL")</f>
        <v>LINEA DE ENVASADO TAMAÑO PERSONAL</v>
      </c>
      <c r="B383" s="5">
        <f ca="1">IFERROR(__xludf.DUMMYFUNCTION("""COMPUTED_VALUE"""),558020)</f>
        <v>558020</v>
      </c>
      <c r="C383" s="5" t="str">
        <f ca="1">IFERROR(__xludf.DUMMYFUNCTION("""COMPUTED_VALUE"""),"EMPACADORA")</f>
        <v>EMPACADORA</v>
      </c>
      <c r="D383" s="5">
        <f ca="1">IFERROR(__xludf.DUMMYFUNCTION("""COMPUTED_VALUE"""),13247624)</f>
        <v>13247624</v>
      </c>
      <c r="E383" s="5" t="str">
        <f ca="1">IFERROR(__xludf.DUMMYFUNCTION("""COMPUTED_VALUE"""),"INSPECCION SEMANAL EMPACADORA")</f>
        <v>INSPECCION SEMANAL EMPACADORA</v>
      </c>
      <c r="F383" s="5" t="str">
        <f ca="1">IFERROR(__xludf.DUMMYFUNCTION("""COMPUTED_VALUE"""),"Estado de pintura")</f>
        <v>Estado de pintura</v>
      </c>
      <c r="G383" s="5" t="b">
        <f ca="1">IFERROR(__xludf.DUMMYFUNCTION("""COMPUTED_VALUE"""),TRUE)</f>
        <v>1</v>
      </c>
      <c r="H383" s="5"/>
      <c r="I383" s="5"/>
      <c r="J383" s="5">
        <f ca="1">IFERROR(__xludf.DUMMYFUNCTION("""COMPUTED_VALUE"""),13247624)</f>
        <v>13247624</v>
      </c>
      <c r="K383" s="5"/>
      <c r="L383" s="18">
        <f ca="1">IFERROR(__xludf.DUMMYFUNCTION("""COMPUTED_VALUE"""),45325)</f>
        <v>45325</v>
      </c>
      <c r="M383" s="18">
        <f ca="1">IFERROR(__xludf.DUMMYFUNCTION("""COMPUTED_VALUE"""),45325)</f>
        <v>45325</v>
      </c>
      <c r="N383" s="5" t="str">
        <f ca="1">IFERROR(__xludf.DUMMYFUNCTION("""COMPUTED_VALUE"""),"Jimenez Jhon")</f>
        <v>Jimenez Jhon</v>
      </c>
      <c r="O383" s="2">
        <f ca="1">IFERROR(__xludf.DUMMYFUNCTION("""COMPUTED_VALUE"""),0.005555556)</f>
        <v>5.5555559999999997E-3</v>
      </c>
      <c r="P383" s="5">
        <f ca="1">IFERROR(__xludf.DUMMYFUNCTION("""COMPUTED_VALUE"""),20009855)</f>
        <v>20009855</v>
      </c>
      <c r="Q383" s="5" t="str">
        <f ca="1">IFERROR(__xludf.DUMMYFUNCTION("""COMPUTED_VALUE"""),"3spm821QHxk")</f>
        <v>3spm821QHxk</v>
      </c>
      <c r="R383" s="5">
        <f ca="1">IFERROR(__xludf.DUMMYFUNCTION("""COMPUTED_VALUE"""),410)</f>
        <v>410</v>
      </c>
      <c r="S383" s="62">
        <f ca="1">IFERROR(__xludf.DUMMYFUNCTION("""COMPUTED_VALUE"""),0.005555556)</f>
        <v>5.5555559999999997E-3</v>
      </c>
      <c r="T383" s="63" t="str">
        <f ca="1">IFERROR(__xludf.DUMMYFUNCTION("""COMPUTED_VALUE"""),"https://storage.googleapis.com/glide-prod.appspot.com/uploads-v2/ly7o78grxPaC6KdgvbpS/pub/3aRdSog0vUtuqPE8AJKD.png")</f>
        <v>https://storage.googleapis.com/glide-prod.appspot.com/uploads-v2/ly7o78grxPaC6KdgvbpS/pub/3aRdSog0vUtuqPE8AJKD.png</v>
      </c>
      <c r="U383" s="5" t="str">
        <f ca="1">IFERROR(__xludf.DUMMYFUNCTION("""COMPUTED_VALUE"""),"LINEA DE ENVASADO TAMAÑO PERSONALEMPACADORA")</f>
        <v>LINEA DE ENVASADO TAMAÑO PERSONALEMPACADORA</v>
      </c>
      <c r="V383" s="5"/>
      <c r="W383" s="5" t="b">
        <f ca="1">IFERROR(__xludf.DUMMYFUNCTION("""COMPUTED_VALUE"""),TRUE)</f>
        <v>1</v>
      </c>
      <c r="X383" s="5" t="str">
        <f ca="1">IFERROR(__xludf.DUMMYFUNCTION("""COMPUTED_VALUE"""),"wguerra@postobon.com.co,aprmttoyu@postobon.com.co,aprmyu@postobon.com.co,wmora@postobon.com.co,efzapata@postobon.com.co")</f>
        <v>wguerra@postobon.com.co,aprmttoyu@postobon.com.co,aprmyu@postobon.com.co,wmora@postobon.com.co,efzapata@postobon.com.co</v>
      </c>
      <c r="Y383" s="5" t="str">
        <f ca="1">IFERROR(__xludf.DUMMYFUNCTION("""COMPUTED_VALUE"""),"wguerra@postobon.com.co")</f>
        <v>wguerra@postobon.com.co</v>
      </c>
      <c r="Z383" s="5" t="str">
        <f ca="1">IFERROR(__xludf.DUMMYFUNCTION("""COMPUTED_VALUE"""),"OWIAWiSqRYClYKZvxA.0SQ")</f>
        <v>OWIAWiSqRYClYKZvxA.0SQ</v>
      </c>
      <c r="AA383" s="5"/>
      <c r="AB383" s="5"/>
      <c r="AC383" s="5"/>
      <c r="AD383" s="5">
        <f ca="1">IFERROR(__xludf.DUMMYFUNCTION("""COMPUTED_VALUE"""),68)</f>
        <v>68</v>
      </c>
      <c r="AE383" s="5">
        <f ca="1">IFERROR(__xludf.DUMMYFUNCTION("""COMPUTED_VALUE"""),68)</f>
        <v>68</v>
      </c>
      <c r="AF383" s="5" t="b">
        <f ca="1">IFERROR(__xludf.DUMMYFUNCTION("""COMPUTED_VALUE"""),FALSE)</f>
        <v>0</v>
      </c>
      <c r="AG383" s="5" t="str">
        <f ca="1">IFERROR(__xludf.DUMMYFUNCTION("""COMPUTED_VALUE"""),"INSPECCIONES REALIZADAS")</f>
        <v>INSPECCIONES REALIZADAS</v>
      </c>
      <c r="AH383" s="5"/>
    </row>
    <row r="384" spans="1:34">
      <c r="A384" s="5" t="str">
        <f ca="1">IFERROR(__xludf.DUMMYFUNCTION("""COMPUTED_VALUE"""),"LINEA DE ENVASADO TAMAÑO PERSONAL")</f>
        <v>LINEA DE ENVASADO TAMAÑO PERSONAL</v>
      </c>
      <c r="B384" s="5">
        <f ca="1">IFERROR(__xludf.DUMMYFUNCTION("""COMPUTED_VALUE"""),558020)</f>
        <v>558020</v>
      </c>
      <c r="C384" s="5" t="str">
        <f ca="1">IFERROR(__xludf.DUMMYFUNCTION("""COMPUTED_VALUE"""),"EMPACADORA")</f>
        <v>EMPACADORA</v>
      </c>
      <c r="D384" s="5">
        <f ca="1">IFERROR(__xludf.DUMMYFUNCTION("""COMPUTED_VALUE"""),13247624)</f>
        <v>13247624</v>
      </c>
      <c r="E384" s="5" t="str">
        <f ca="1">IFERROR(__xludf.DUMMYFUNCTION("""COMPUTED_VALUE"""),"INSPECCION SEMANAL EMPACADORA")</f>
        <v>INSPECCION SEMANAL EMPACADORA</v>
      </c>
      <c r="F384" s="5" t="str">
        <f ca="1">IFERROR(__xludf.DUMMYFUNCTION("""COMPUTED_VALUE"""),"Estado de las membranas y cabezote")</f>
        <v>Estado de las membranas y cabezote</v>
      </c>
      <c r="G384" s="5" t="b">
        <f ca="1">IFERROR(__xludf.DUMMYFUNCTION("""COMPUTED_VALUE"""),TRUE)</f>
        <v>1</v>
      </c>
      <c r="H384" s="5"/>
      <c r="I384" s="5"/>
      <c r="J384" s="5">
        <f ca="1">IFERROR(__xludf.DUMMYFUNCTION("""COMPUTED_VALUE"""),13247624)</f>
        <v>13247624</v>
      </c>
      <c r="K384" s="5"/>
      <c r="L384" s="18">
        <f ca="1">IFERROR(__xludf.DUMMYFUNCTION("""COMPUTED_VALUE"""),45325)</f>
        <v>45325</v>
      </c>
      <c r="M384" s="18">
        <f ca="1">IFERROR(__xludf.DUMMYFUNCTION("""COMPUTED_VALUE"""),45325)</f>
        <v>45325</v>
      </c>
      <c r="N384" s="5" t="str">
        <f ca="1">IFERROR(__xludf.DUMMYFUNCTION("""COMPUTED_VALUE"""),"Jimenez Jhon")</f>
        <v>Jimenez Jhon</v>
      </c>
      <c r="O384" s="2">
        <f ca="1">IFERROR(__xludf.DUMMYFUNCTION("""COMPUTED_VALUE"""),0.005555556)</f>
        <v>5.5555559999999997E-3</v>
      </c>
      <c r="P384" s="5">
        <f ca="1">IFERROR(__xludf.DUMMYFUNCTION("""COMPUTED_VALUE"""),20009855)</f>
        <v>20009855</v>
      </c>
      <c r="Q384" s="5" t="str">
        <f ca="1">IFERROR(__xludf.DUMMYFUNCTION("""COMPUTED_VALUE"""),"pCHg-7_dAy0")</f>
        <v>pCHg-7_dAy0</v>
      </c>
      <c r="R384" s="5">
        <f ca="1">IFERROR(__xludf.DUMMYFUNCTION("""COMPUTED_VALUE"""),410)</f>
        <v>410</v>
      </c>
      <c r="S384" s="62">
        <f ca="1">IFERROR(__xludf.DUMMYFUNCTION("""COMPUTED_VALUE"""),0.005555556)</f>
        <v>5.5555559999999997E-3</v>
      </c>
      <c r="T384" s="63" t="str">
        <f ca="1">IFERROR(__xludf.DUMMYFUNCTION("""COMPUTED_VALUE"""),"https://storage.googleapis.com/glide-prod.appspot.com/uploads-v2/ly7o78grxPaC6KdgvbpS/pub/3aRdSog0vUtuqPE8AJKD.png")</f>
        <v>https://storage.googleapis.com/glide-prod.appspot.com/uploads-v2/ly7o78grxPaC6KdgvbpS/pub/3aRdSog0vUtuqPE8AJKD.png</v>
      </c>
      <c r="U384" s="5" t="str">
        <f ca="1">IFERROR(__xludf.DUMMYFUNCTION("""COMPUTED_VALUE"""),"LINEA DE ENVASADO TAMAÑO PERSONALEMPACADORA")</f>
        <v>LINEA DE ENVASADO TAMAÑO PERSONALEMPACADORA</v>
      </c>
      <c r="V384" s="5"/>
      <c r="W384" s="5" t="b">
        <f ca="1">IFERROR(__xludf.DUMMYFUNCTION("""COMPUTED_VALUE"""),TRUE)</f>
        <v>1</v>
      </c>
      <c r="X384" s="5" t="str">
        <f ca="1">IFERROR(__xludf.DUMMYFUNCTION("""COMPUTED_VALUE"""),"wguerra@postobon.com.co,aprmttoyu@postobon.com.co,aprmyu@postobon.com.co,wmora@postobon.com.co,efzapata@postobon.com.co")</f>
        <v>wguerra@postobon.com.co,aprmttoyu@postobon.com.co,aprmyu@postobon.com.co,wmora@postobon.com.co,efzapata@postobon.com.co</v>
      </c>
      <c r="Y384" s="5" t="str">
        <f ca="1">IFERROR(__xludf.DUMMYFUNCTION("""COMPUTED_VALUE"""),"wguerra@postobon.com.co")</f>
        <v>wguerra@postobon.com.co</v>
      </c>
      <c r="Z384" s="5" t="str">
        <f ca="1">IFERROR(__xludf.DUMMYFUNCTION("""COMPUTED_VALUE"""),"iDRfrTGkQiy1crKzJpaYhQ")</f>
        <v>iDRfrTGkQiy1crKzJpaYhQ</v>
      </c>
      <c r="AA384" s="5"/>
      <c r="AB384" s="5"/>
      <c r="AC384" s="5"/>
      <c r="AD384" s="5">
        <f ca="1">IFERROR(__xludf.DUMMYFUNCTION("""COMPUTED_VALUE"""),68)</f>
        <v>68</v>
      </c>
      <c r="AE384" s="5">
        <f ca="1">IFERROR(__xludf.DUMMYFUNCTION("""COMPUTED_VALUE"""),68)</f>
        <v>68</v>
      </c>
      <c r="AF384" s="5" t="b">
        <f ca="1">IFERROR(__xludf.DUMMYFUNCTION("""COMPUTED_VALUE"""),FALSE)</f>
        <v>0</v>
      </c>
      <c r="AG384" s="5" t="str">
        <f ca="1">IFERROR(__xludf.DUMMYFUNCTION("""COMPUTED_VALUE"""),"INSPECCIONES REALIZADAS")</f>
        <v>INSPECCIONES REALIZADAS</v>
      </c>
      <c r="AH384" s="5"/>
    </row>
    <row r="385" spans="1:34">
      <c r="A385" s="5" t="str">
        <f ca="1">IFERROR(__xludf.DUMMYFUNCTION("""COMPUTED_VALUE"""),"LINEA DE ENVASADO TAMAÑO PERSONAL")</f>
        <v>LINEA DE ENVASADO TAMAÑO PERSONAL</v>
      </c>
      <c r="B385" s="5">
        <f ca="1">IFERROR(__xludf.DUMMYFUNCTION("""COMPUTED_VALUE"""),558020)</f>
        <v>558020</v>
      </c>
      <c r="C385" s="5" t="str">
        <f ca="1">IFERROR(__xludf.DUMMYFUNCTION("""COMPUTED_VALUE"""),"EMPACADORA")</f>
        <v>EMPACADORA</v>
      </c>
      <c r="D385" s="5">
        <f ca="1">IFERROR(__xludf.DUMMYFUNCTION("""COMPUTED_VALUE"""),13247624)</f>
        <v>13247624</v>
      </c>
      <c r="E385" s="5" t="str">
        <f ca="1">IFERROR(__xludf.DUMMYFUNCTION("""COMPUTED_VALUE"""),"INSPECCION SEMANAL EMPACADORA")</f>
        <v>INSPECCION SEMANAL EMPACADORA</v>
      </c>
      <c r="F385" s="5" t="str">
        <f ca="1">IFERROR(__xludf.DUMMYFUNCTION("""COMPUTED_VALUE"""),"Estado de tableros eléctricos de mando, control y potencia")</f>
        <v>Estado de tableros eléctricos de mando, control y potencia</v>
      </c>
      <c r="G385" s="5" t="b">
        <f ca="1">IFERROR(__xludf.DUMMYFUNCTION("""COMPUTED_VALUE"""),TRUE)</f>
        <v>1</v>
      </c>
      <c r="H385" s="5"/>
      <c r="I385" s="5"/>
      <c r="J385" s="5">
        <f ca="1">IFERROR(__xludf.DUMMYFUNCTION("""COMPUTED_VALUE"""),13247624)</f>
        <v>13247624</v>
      </c>
      <c r="K385" s="5"/>
      <c r="L385" s="18">
        <f ca="1">IFERROR(__xludf.DUMMYFUNCTION("""COMPUTED_VALUE"""),45325)</f>
        <v>45325</v>
      </c>
      <c r="M385" s="18">
        <f ca="1">IFERROR(__xludf.DUMMYFUNCTION("""COMPUTED_VALUE"""),45325)</f>
        <v>45325</v>
      </c>
      <c r="N385" s="5" t="str">
        <f ca="1">IFERROR(__xludf.DUMMYFUNCTION("""COMPUTED_VALUE"""),"Jimenez Jhon")</f>
        <v>Jimenez Jhon</v>
      </c>
      <c r="O385" s="2">
        <f ca="1">IFERROR(__xludf.DUMMYFUNCTION("""COMPUTED_VALUE"""),0.005555556)</f>
        <v>5.5555559999999997E-3</v>
      </c>
      <c r="P385" s="5">
        <f ca="1">IFERROR(__xludf.DUMMYFUNCTION("""COMPUTED_VALUE"""),20009855)</f>
        <v>20009855</v>
      </c>
      <c r="Q385" s="5" t="str">
        <f ca="1">IFERROR(__xludf.DUMMYFUNCTION("""COMPUTED_VALUE"""),"m3yKX8_bzgs")</f>
        <v>m3yKX8_bzgs</v>
      </c>
      <c r="R385" s="5">
        <f ca="1">IFERROR(__xludf.DUMMYFUNCTION("""COMPUTED_VALUE"""),410)</f>
        <v>410</v>
      </c>
      <c r="S385" s="62">
        <f ca="1">IFERROR(__xludf.DUMMYFUNCTION("""COMPUTED_VALUE"""),0.005555556)</f>
        <v>5.5555559999999997E-3</v>
      </c>
      <c r="T385" s="63" t="str">
        <f ca="1">IFERROR(__xludf.DUMMYFUNCTION("""COMPUTED_VALUE"""),"https://storage.googleapis.com/glide-prod.appspot.com/uploads-v2/ly7o78grxPaC6KdgvbpS/pub/3aRdSog0vUtuqPE8AJKD.png")</f>
        <v>https://storage.googleapis.com/glide-prod.appspot.com/uploads-v2/ly7o78grxPaC6KdgvbpS/pub/3aRdSog0vUtuqPE8AJKD.png</v>
      </c>
      <c r="U385" s="5" t="str">
        <f ca="1">IFERROR(__xludf.DUMMYFUNCTION("""COMPUTED_VALUE"""),"LINEA DE ENVASADO TAMAÑO PERSONALEMPACADORA")</f>
        <v>LINEA DE ENVASADO TAMAÑO PERSONALEMPACADORA</v>
      </c>
      <c r="V385" s="5"/>
      <c r="W385" s="5" t="b">
        <f ca="1">IFERROR(__xludf.DUMMYFUNCTION("""COMPUTED_VALUE"""),TRUE)</f>
        <v>1</v>
      </c>
      <c r="X385" s="5" t="str">
        <f ca="1">IFERROR(__xludf.DUMMYFUNCTION("""COMPUTED_VALUE"""),"wguerra@postobon.com.co,aprmttoyu@postobon.com.co,aprmyu@postobon.com.co,wmora@postobon.com.co,efzapata@postobon.com.co")</f>
        <v>wguerra@postobon.com.co,aprmttoyu@postobon.com.co,aprmyu@postobon.com.co,wmora@postobon.com.co,efzapata@postobon.com.co</v>
      </c>
      <c r="Y385" s="5" t="str">
        <f ca="1">IFERROR(__xludf.DUMMYFUNCTION("""COMPUTED_VALUE"""),"wguerra@postobon.com.co")</f>
        <v>wguerra@postobon.com.co</v>
      </c>
      <c r="Z385" s="5" t="str">
        <f ca="1">IFERROR(__xludf.DUMMYFUNCTION("""COMPUTED_VALUE"""),"EaEMPTTBR0OuwTRmRspZ9g")</f>
        <v>EaEMPTTBR0OuwTRmRspZ9g</v>
      </c>
      <c r="AA385" s="5"/>
      <c r="AB385" s="5"/>
      <c r="AC385" s="5"/>
      <c r="AD385" s="5">
        <f ca="1">IFERROR(__xludf.DUMMYFUNCTION("""COMPUTED_VALUE"""),68)</f>
        <v>68</v>
      </c>
      <c r="AE385" s="5">
        <f ca="1">IFERROR(__xludf.DUMMYFUNCTION("""COMPUTED_VALUE"""),68)</f>
        <v>68</v>
      </c>
      <c r="AF385" s="5" t="b">
        <f ca="1">IFERROR(__xludf.DUMMYFUNCTION("""COMPUTED_VALUE"""),FALSE)</f>
        <v>0</v>
      </c>
      <c r="AG385" s="5" t="str">
        <f ca="1">IFERROR(__xludf.DUMMYFUNCTION("""COMPUTED_VALUE"""),"INSPECCIONES REALIZADAS")</f>
        <v>INSPECCIONES REALIZADAS</v>
      </c>
      <c r="AH385" s="5"/>
    </row>
    <row r="386" spans="1:34">
      <c r="A386" s="5" t="str">
        <f ca="1">IFERROR(__xludf.DUMMYFUNCTION("""COMPUTED_VALUE"""),"LINEA DE ENVASADO TAMAÑO PERSONAL")</f>
        <v>LINEA DE ENVASADO TAMAÑO PERSONAL</v>
      </c>
      <c r="B386" s="5">
        <f ca="1">IFERROR(__xludf.DUMMYFUNCTION("""COMPUTED_VALUE"""),558020)</f>
        <v>558020</v>
      </c>
      <c r="C386" s="5" t="str">
        <f ca="1">IFERROR(__xludf.DUMMYFUNCTION("""COMPUTED_VALUE"""),"EMPACADORA")</f>
        <v>EMPACADORA</v>
      </c>
      <c r="D386" s="5">
        <f ca="1">IFERROR(__xludf.DUMMYFUNCTION("""COMPUTED_VALUE"""),13247624)</f>
        <v>13247624</v>
      </c>
      <c r="E386" s="5" t="str">
        <f ca="1">IFERROR(__xludf.DUMMYFUNCTION("""COMPUTED_VALUE"""),"INSPECCION SEMANAL EMPACADORA")</f>
        <v>INSPECCION SEMANAL EMPACADORA</v>
      </c>
      <c r="F386" s="5" t="str">
        <f ca="1">IFERROR(__xludf.DUMMYFUNCTION("""COMPUTED_VALUE"""),"Estado mecánico general (chasis, pantógrafo, guardas, rotulas, bujes, pasadores, chumaceras y rodamientos)")</f>
        <v>Estado mecánico general (chasis, pantógrafo, guardas, rotulas, bujes, pasadores, chumaceras y rodamientos)</v>
      </c>
      <c r="G386" s="5" t="b">
        <f ca="1">IFERROR(__xludf.DUMMYFUNCTION("""COMPUTED_VALUE"""),TRUE)</f>
        <v>1</v>
      </c>
      <c r="H386" s="5"/>
      <c r="I386" s="5"/>
      <c r="J386" s="5">
        <f ca="1">IFERROR(__xludf.DUMMYFUNCTION("""COMPUTED_VALUE"""),13247624)</f>
        <v>13247624</v>
      </c>
      <c r="K386" s="5"/>
      <c r="L386" s="18">
        <f ca="1">IFERROR(__xludf.DUMMYFUNCTION("""COMPUTED_VALUE"""),45325)</f>
        <v>45325</v>
      </c>
      <c r="M386" s="18">
        <f ca="1">IFERROR(__xludf.DUMMYFUNCTION("""COMPUTED_VALUE"""),45325)</f>
        <v>45325</v>
      </c>
      <c r="N386" s="5" t="str">
        <f ca="1">IFERROR(__xludf.DUMMYFUNCTION("""COMPUTED_VALUE"""),"Jimenez Jhon")</f>
        <v>Jimenez Jhon</v>
      </c>
      <c r="O386" s="2">
        <f ca="1">IFERROR(__xludf.DUMMYFUNCTION("""COMPUTED_VALUE"""),0.005555556)</f>
        <v>5.5555559999999997E-3</v>
      </c>
      <c r="P386" s="5">
        <f ca="1">IFERROR(__xludf.DUMMYFUNCTION("""COMPUTED_VALUE"""),20009855)</f>
        <v>20009855</v>
      </c>
      <c r="Q386" s="5" t="str">
        <f ca="1">IFERROR(__xludf.DUMMYFUNCTION("""COMPUTED_VALUE"""),"tDpc_O_PiAs")</f>
        <v>tDpc_O_PiAs</v>
      </c>
      <c r="R386" s="5">
        <f ca="1">IFERROR(__xludf.DUMMYFUNCTION("""COMPUTED_VALUE"""),410)</f>
        <v>410</v>
      </c>
      <c r="S386" s="62">
        <f ca="1">IFERROR(__xludf.DUMMYFUNCTION("""COMPUTED_VALUE"""),0.005555556)</f>
        <v>5.5555559999999997E-3</v>
      </c>
      <c r="T386" s="63" t="str">
        <f ca="1">IFERROR(__xludf.DUMMYFUNCTION("""COMPUTED_VALUE"""),"https://storage.googleapis.com/glide-prod.appspot.com/uploads-v2/ly7o78grxPaC6KdgvbpS/pub/3aRdSog0vUtuqPE8AJKD.png")</f>
        <v>https://storage.googleapis.com/glide-prod.appspot.com/uploads-v2/ly7o78grxPaC6KdgvbpS/pub/3aRdSog0vUtuqPE8AJKD.png</v>
      </c>
      <c r="U386" s="5" t="str">
        <f ca="1">IFERROR(__xludf.DUMMYFUNCTION("""COMPUTED_VALUE"""),"LINEA DE ENVASADO TAMAÑO PERSONALEMPACADORA")</f>
        <v>LINEA DE ENVASADO TAMAÑO PERSONALEMPACADORA</v>
      </c>
      <c r="V386" s="5"/>
      <c r="W386" s="5" t="b">
        <f ca="1">IFERROR(__xludf.DUMMYFUNCTION("""COMPUTED_VALUE"""),TRUE)</f>
        <v>1</v>
      </c>
      <c r="X386" s="5" t="str">
        <f ca="1">IFERROR(__xludf.DUMMYFUNCTION("""COMPUTED_VALUE"""),"wguerra@postobon.com.co,aprmttoyu@postobon.com.co,aprmyu@postobon.com.co,wmora@postobon.com.co,efzapata@postobon.com.co")</f>
        <v>wguerra@postobon.com.co,aprmttoyu@postobon.com.co,aprmyu@postobon.com.co,wmora@postobon.com.co,efzapata@postobon.com.co</v>
      </c>
      <c r="Y386" s="5" t="str">
        <f ca="1">IFERROR(__xludf.DUMMYFUNCTION("""COMPUTED_VALUE"""),"wguerra@postobon.com.co")</f>
        <v>wguerra@postobon.com.co</v>
      </c>
      <c r="Z386" s="5" t="str">
        <f ca="1">IFERROR(__xludf.DUMMYFUNCTION("""COMPUTED_VALUE"""),"PKCTIws3S3WS5JIIR7m-NQ")</f>
        <v>PKCTIws3S3WS5JIIR7m-NQ</v>
      </c>
      <c r="AA386" s="5"/>
      <c r="AB386" s="5"/>
      <c r="AC386" s="5"/>
      <c r="AD386" s="5">
        <f ca="1">IFERROR(__xludf.DUMMYFUNCTION("""COMPUTED_VALUE"""),68)</f>
        <v>68</v>
      </c>
      <c r="AE386" s="5">
        <f ca="1">IFERROR(__xludf.DUMMYFUNCTION("""COMPUTED_VALUE"""),68)</f>
        <v>68</v>
      </c>
      <c r="AF386" s="5" t="b">
        <f ca="1">IFERROR(__xludf.DUMMYFUNCTION("""COMPUTED_VALUE"""),FALSE)</f>
        <v>0</v>
      </c>
      <c r="AG386" s="5" t="str">
        <f ca="1">IFERROR(__xludf.DUMMYFUNCTION("""COMPUTED_VALUE"""),"INSPECCIONES REALIZADAS")</f>
        <v>INSPECCIONES REALIZADAS</v>
      </c>
      <c r="AH386" s="5"/>
    </row>
    <row r="387" spans="1:34">
      <c r="A387" s="5" t="str">
        <f ca="1">IFERROR(__xludf.DUMMYFUNCTION("""COMPUTED_VALUE"""),"LINEA DE ENVASADO TAMAÑO PERSONAL")</f>
        <v>LINEA DE ENVASADO TAMAÑO PERSONAL</v>
      </c>
      <c r="B387" s="5">
        <f ca="1">IFERROR(__xludf.DUMMYFUNCTION("""COMPUTED_VALUE"""),558020)</f>
        <v>558020</v>
      </c>
      <c r="C387" s="5" t="str">
        <f ca="1">IFERROR(__xludf.DUMMYFUNCTION("""COMPUTED_VALUE"""),"EMPACADORA")</f>
        <v>EMPACADORA</v>
      </c>
      <c r="D387" s="5">
        <f ca="1">IFERROR(__xludf.DUMMYFUNCTION("""COMPUTED_VALUE"""),13247624)</f>
        <v>13247624</v>
      </c>
      <c r="E387" s="5" t="str">
        <f ca="1">IFERROR(__xludf.DUMMYFUNCTION("""COMPUTED_VALUE"""),"INSPECCION SEMANAL EMPACADORA")</f>
        <v>INSPECCION SEMANAL EMPACADORA</v>
      </c>
      <c r="F387" s="5" t="str">
        <f ca="1">IFERROR(__xludf.DUMMYFUNCTION("""COMPUTED_VALUE"""),"Estado de cadenas de transmision")</f>
        <v>Estado de cadenas de transmision</v>
      </c>
      <c r="G387" s="5" t="b">
        <f ca="1">IFERROR(__xludf.DUMMYFUNCTION("""COMPUTED_VALUE"""),TRUE)</f>
        <v>1</v>
      </c>
      <c r="H387" s="5"/>
      <c r="I387" s="5"/>
      <c r="J387" s="5">
        <f ca="1">IFERROR(__xludf.DUMMYFUNCTION("""COMPUTED_VALUE"""),13247624)</f>
        <v>13247624</v>
      </c>
      <c r="K387" s="5"/>
      <c r="L387" s="18">
        <f ca="1">IFERROR(__xludf.DUMMYFUNCTION("""COMPUTED_VALUE"""),45325)</f>
        <v>45325</v>
      </c>
      <c r="M387" s="18">
        <f ca="1">IFERROR(__xludf.DUMMYFUNCTION("""COMPUTED_VALUE"""),45325)</f>
        <v>45325</v>
      </c>
      <c r="N387" s="5" t="str">
        <f ca="1">IFERROR(__xludf.DUMMYFUNCTION("""COMPUTED_VALUE"""),"Jimenez Jhon")</f>
        <v>Jimenez Jhon</v>
      </c>
      <c r="O387" s="2">
        <f ca="1">IFERROR(__xludf.DUMMYFUNCTION("""COMPUTED_VALUE"""),0.005555556)</f>
        <v>5.5555559999999997E-3</v>
      </c>
      <c r="P387" s="5">
        <f ca="1">IFERROR(__xludf.DUMMYFUNCTION("""COMPUTED_VALUE"""),20009855)</f>
        <v>20009855</v>
      </c>
      <c r="Q387" s="5" t="str">
        <f ca="1">IFERROR(__xludf.DUMMYFUNCTION("""COMPUTED_VALUE"""),"9TxVynkc2yE")</f>
        <v>9TxVynkc2yE</v>
      </c>
      <c r="R387" s="5">
        <f ca="1">IFERROR(__xludf.DUMMYFUNCTION("""COMPUTED_VALUE"""),410)</f>
        <v>410</v>
      </c>
      <c r="S387" s="62">
        <f ca="1">IFERROR(__xludf.DUMMYFUNCTION("""COMPUTED_VALUE"""),0.005555556)</f>
        <v>5.5555559999999997E-3</v>
      </c>
      <c r="T387" s="63" t="str">
        <f ca="1">IFERROR(__xludf.DUMMYFUNCTION("""COMPUTED_VALUE"""),"https://storage.googleapis.com/glide-prod.appspot.com/uploads-v2/ly7o78grxPaC6KdgvbpS/pub/3aRdSog0vUtuqPE8AJKD.png")</f>
        <v>https://storage.googleapis.com/glide-prod.appspot.com/uploads-v2/ly7o78grxPaC6KdgvbpS/pub/3aRdSog0vUtuqPE8AJKD.png</v>
      </c>
      <c r="U387" s="5" t="str">
        <f ca="1">IFERROR(__xludf.DUMMYFUNCTION("""COMPUTED_VALUE"""),"LINEA DE ENVASADO TAMAÑO PERSONALEMPACADORA")</f>
        <v>LINEA DE ENVASADO TAMAÑO PERSONALEMPACADORA</v>
      </c>
      <c r="V387" s="5"/>
      <c r="W387" s="5" t="b">
        <f ca="1">IFERROR(__xludf.DUMMYFUNCTION("""COMPUTED_VALUE"""),TRUE)</f>
        <v>1</v>
      </c>
      <c r="X387" s="5" t="str">
        <f ca="1">IFERROR(__xludf.DUMMYFUNCTION("""COMPUTED_VALUE"""),"wguerra@postobon.com.co,aprmttoyu@postobon.com.co,aprmyu@postobon.com.co,wmora@postobon.com.co,efzapata@postobon.com.co")</f>
        <v>wguerra@postobon.com.co,aprmttoyu@postobon.com.co,aprmyu@postobon.com.co,wmora@postobon.com.co,efzapata@postobon.com.co</v>
      </c>
      <c r="Y387" s="5" t="str">
        <f ca="1">IFERROR(__xludf.DUMMYFUNCTION("""COMPUTED_VALUE"""),"wguerra@postobon.com.co")</f>
        <v>wguerra@postobon.com.co</v>
      </c>
      <c r="Z387" s="5" t="str">
        <f ca="1">IFERROR(__xludf.DUMMYFUNCTION("""COMPUTED_VALUE"""),"tHVSb5gXSAig.M0tvfM7zQ")</f>
        <v>tHVSb5gXSAig.M0tvfM7zQ</v>
      </c>
      <c r="AA387" s="5"/>
      <c r="AB387" s="5"/>
      <c r="AC387" s="5"/>
      <c r="AD387" s="5">
        <f ca="1">IFERROR(__xludf.DUMMYFUNCTION("""COMPUTED_VALUE"""),68)</f>
        <v>68</v>
      </c>
      <c r="AE387" s="5">
        <f ca="1">IFERROR(__xludf.DUMMYFUNCTION("""COMPUTED_VALUE"""),68)</f>
        <v>68</v>
      </c>
      <c r="AF387" s="5" t="b">
        <f ca="1">IFERROR(__xludf.DUMMYFUNCTION("""COMPUTED_VALUE"""),FALSE)</f>
        <v>0</v>
      </c>
      <c r="AG387" s="5" t="str">
        <f ca="1">IFERROR(__xludf.DUMMYFUNCTION("""COMPUTED_VALUE"""),"INSPECCIONES REALIZADAS")</f>
        <v>INSPECCIONES REALIZADAS</v>
      </c>
      <c r="AH387" s="5"/>
    </row>
    <row r="388" spans="1:34">
      <c r="A388" s="5" t="str">
        <f ca="1">IFERROR(__xludf.DUMMYFUNCTION("""COMPUTED_VALUE"""),"LINEA DE ENVASADO TAMAÑO PERSONAL")</f>
        <v>LINEA DE ENVASADO TAMAÑO PERSONAL</v>
      </c>
      <c r="B388" s="5">
        <f ca="1">IFERROR(__xludf.DUMMYFUNCTION("""COMPUTED_VALUE"""),558020)</f>
        <v>558020</v>
      </c>
      <c r="C388" s="5" t="str">
        <f ca="1">IFERROR(__xludf.DUMMYFUNCTION("""COMPUTED_VALUE"""),"EMPACADORA")</f>
        <v>EMPACADORA</v>
      </c>
      <c r="D388" s="5">
        <f ca="1">IFERROR(__xludf.DUMMYFUNCTION("""COMPUTED_VALUE"""),13247624)</f>
        <v>13247624</v>
      </c>
      <c r="E388" s="5" t="str">
        <f ca="1">IFERROR(__xludf.DUMMYFUNCTION("""COMPUTED_VALUE"""),"INSPECCION SEMANAL EMPACADORA")</f>
        <v>INSPECCION SEMANAL EMPACADORA</v>
      </c>
      <c r="F388" s="5" t="str">
        <f ca="1">IFERROR(__xludf.DUMMYFUNCTION("""COMPUTED_VALUE"""),"Estado de cadenas table top y piñones")</f>
        <v>Estado de cadenas table top y piñones</v>
      </c>
      <c r="G388" s="5" t="b">
        <f ca="1">IFERROR(__xludf.DUMMYFUNCTION("""COMPUTED_VALUE"""),TRUE)</f>
        <v>1</v>
      </c>
      <c r="H388" s="5"/>
      <c r="I388" s="5"/>
      <c r="J388" s="5">
        <f ca="1">IFERROR(__xludf.DUMMYFUNCTION("""COMPUTED_VALUE"""),13247624)</f>
        <v>13247624</v>
      </c>
      <c r="K388" s="5"/>
      <c r="L388" s="18">
        <f ca="1">IFERROR(__xludf.DUMMYFUNCTION("""COMPUTED_VALUE"""),45325)</f>
        <v>45325</v>
      </c>
      <c r="M388" s="18">
        <f ca="1">IFERROR(__xludf.DUMMYFUNCTION("""COMPUTED_VALUE"""),45325)</f>
        <v>45325</v>
      </c>
      <c r="N388" s="5" t="str">
        <f ca="1">IFERROR(__xludf.DUMMYFUNCTION("""COMPUTED_VALUE"""),"Jimenez Jhon")</f>
        <v>Jimenez Jhon</v>
      </c>
      <c r="O388" s="2">
        <f ca="1">IFERROR(__xludf.DUMMYFUNCTION("""COMPUTED_VALUE"""),0.005555556)</f>
        <v>5.5555559999999997E-3</v>
      </c>
      <c r="P388" s="5">
        <f ca="1">IFERROR(__xludf.DUMMYFUNCTION("""COMPUTED_VALUE"""),20009855)</f>
        <v>20009855</v>
      </c>
      <c r="Q388" s="5" t="str">
        <f ca="1">IFERROR(__xludf.DUMMYFUNCTION("""COMPUTED_VALUE"""),"qrryvhOnx4E")</f>
        <v>qrryvhOnx4E</v>
      </c>
      <c r="R388" s="5">
        <f ca="1">IFERROR(__xludf.DUMMYFUNCTION("""COMPUTED_VALUE"""),410)</f>
        <v>410</v>
      </c>
      <c r="S388" s="62">
        <f ca="1">IFERROR(__xludf.DUMMYFUNCTION("""COMPUTED_VALUE"""),0.005555556)</f>
        <v>5.5555559999999997E-3</v>
      </c>
      <c r="T388" s="63" t="str">
        <f ca="1">IFERROR(__xludf.DUMMYFUNCTION("""COMPUTED_VALUE"""),"https://storage.googleapis.com/glide-prod.appspot.com/uploads-v2/ly7o78grxPaC6KdgvbpS/pub/3aRdSog0vUtuqPE8AJKD.png")</f>
        <v>https://storage.googleapis.com/glide-prod.appspot.com/uploads-v2/ly7o78grxPaC6KdgvbpS/pub/3aRdSog0vUtuqPE8AJKD.png</v>
      </c>
      <c r="U388" s="5" t="str">
        <f ca="1">IFERROR(__xludf.DUMMYFUNCTION("""COMPUTED_VALUE"""),"LINEA DE ENVASADO TAMAÑO PERSONALEMPACADORA")</f>
        <v>LINEA DE ENVASADO TAMAÑO PERSONALEMPACADORA</v>
      </c>
      <c r="V388" s="5"/>
      <c r="W388" s="5" t="b">
        <f ca="1">IFERROR(__xludf.DUMMYFUNCTION("""COMPUTED_VALUE"""),TRUE)</f>
        <v>1</v>
      </c>
      <c r="X388" s="5" t="str">
        <f ca="1">IFERROR(__xludf.DUMMYFUNCTION("""COMPUTED_VALUE"""),"wguerra@postobon.com.co,aprmttoyu@postobon.com.co,aprmyu@postobon.com.co,wmora@postobon.com.co,efzapata@postobon.com.co")</f>
        <v>wguerra@postobon.com.co,aprmttoyu@postobon.com.co,aprmyu@postobon.com.co,wmora@postobon.com.co,efzapata@postobon.com.co</v>
      </c>
      <c r="Y388" s="5" t="str">
        <f ca="1">IFERROR(__xludf.DUMMYFUNCTION("""COMPUTED_VALUE"""),"wguerra@postobon.com.co")</f>
        <v>wguerra@postobon.com.co</v>
      </c>
      <c r="Z388" s="5" t="str">
        <f ca="1">IFERROR(__xludf.DUMMYFUNCTION("""COMPUTED_VALUE"""),"zXVoRKcYTcSGGzS-BvCfHg")</f>
        <v>zXVoRKcYTcSGGzS-BvCfHg</v>
      </c>
      <c r="AA388" s="5"/>
      <c r="AB388" s="5"/>
      <c r="AC388" s="5"/>
      <c r="AD388" s="5">
        <f ca="1">IFERROR(__xludf.DUMMYFUNCTION("""COMPUTED_VALUE"""),68)</f>
        <v>68</v>
      </c>
      <c r="AE388" s="5">
        <f ca="1">IFERROR(__xludf.DUMMYFUNCTION("""COMPUTED_VALUE"""),68)</f>
        <v>68</v>
      </c>
      <c r="AF388" s="5" t="b">
        <f ca="1">IFERROR(__xludf.DUMMYFUNCTION("""COMPUTED_VALUE"""),FALSE)</f>
        <v>0</v>
      </c>
      <c r="AG388" s="5" t="str">
        <f ca="1">IFERROR(__xludf.DUMMYFUNCTION("""COMPUTED_VALUE"""),"INSPECCIONES REALIZADAS")</f>
        <v>INSPECCIONES REALIZADAS</v>
      </c>
      <c r="AH388" s="5"/>
    </row>
    <row r="389" spans="1:34">
      <c r="A389" s="5" t="str">
        <f ca="1">IFERROR(__xludf.DUMMYFUNCTION("""COMPUTED_VALUE"""),"LINEA DE ENVASADO TAMAÑO PERSONAL")</f>
        <v>LINEA DE ENVASADO TAMAÑO PERSONAL</v>
      </c>
      <c r="B389" s="5">
        <f ca="1">IFERROR(__xludf.DUMMYFUNCTION("""COMPUTED_VALUE"""),558020)</f>
        <v>558020</v>
      </c>
      <c r="C389" s="5" t="str">
        <f ca="1">IFERROR(__xludf.DUMMYFUNCTION("""COMPUTED_VALUE"""),"EMPACADORA")</f>
        <v>EMPACADORA</v>
      </c>
      <c r="D389" s="5">
        <f ca="1">IFERROR(__xludf.DUMMYFUNCTION("""COMPUTED_VALUE"""),13247624)</f>
        <v>13247624</v>
      </c>
      <c r="E389" s="5" t="str">
        <f ca="1">IFERROR(__xludf.DUMMYFUNCTION("""COMPUTED_VALUE"""),"INSPECCION SEMANAL EMPACADORA")</f>
        <v>INSPECCION SEMANAL EMPACADORA</v>
      </c>
      <c r="F389" s="5" t="str">
        <f ca="1">IFERROR(__xludf.DUMMYFUNCTION("""COMPUTED_VALUE"""),"Estado unidad de mantenimiento neumatica")</f>
        <v>Estado unidad de mantenimiento neumatica</v>
      </c>
      <c r="G389" s="5" t="b">
        <f ca="1">IFERROR(__xludf.DUMMYFUNCTION("""COMPUTED_VALUE"""),TRUE)</f>
        <v>1</v>
      </c>
      <c r="H389" s="5"/>
      <c r="I389" s="5"/>
      <c r="J389" s="5">
        <f ca="1">IFERROR(__xludf.DUMMYFUNCTION("""COMPUTED_VALUE"""),13247624)</f>
        <v>13247624</v>
      </c>
      <c r="K389" s="5"/>
      <c r="L389" s="18">
        <f ca="1">IFERROR(__xludf.DUMMYFUNCTION("""COMPUTED_VALUE"""),45325)</f>
        <v>45325</v>
      </c>
      <c r="M389" s="18">
        <f ca="1">IFERROR(__xludf.DUMMYFUNCTION("""COMPUTED_VALUE"""),45325)</f>
        <v>45325</v>
      </c>
      <c r="N389" s="5" t="str">
        <f ca="1">IFERROR(__xludf.DUMMYFUNCTION("""COMPUTED_VALUE"""),"Jimenez Jhon")</f>
        <v>Jimenez Jhon</v>
      </c>
      <c r="O389" s="2">
        <f ca="1">IFERROR(__xludf.DUMMYFUNCTION("""COMPUTED_VALUE"""),0.005555556)</f>
        <v>5.5555559999999997E-3</v>
      </c>
      <c r="P389" s="5">
        <f ca="1">IFERROR(__xludf.DUMMYFUNCTION("""COMPUTED_VALUE"""),20009855)</f>
        <v>20009855</v>
      </c>
      <c r="Q389" s="5" t="str">
        <f ca="1">IFERROR(__xludf.DUMMYFUNCTION("""COMPUTED_VALUE"""),"R0c4mB0qQxU")</f>
        <v>R0c4mB0qQxU</v>
      </c>
      <c r="R389" s="5">
        <f ca="1">IFERROR(__xludf.DUMMYFUNCTION("""COMPUTED_VALUE"""),410)</f>
        <v>410</v>
      </c>
      <c r="S389" s="62">
        <f ca="1">IFERROR(__xludf.DUMMYFUNCTION("""COMPUTED_VALUE"""),0.005555556)</f>
        <v>5.5555559999999997E-3</v>
      </c>
      <c r="T389" s="63" t="str">
        <f ca="1">IFERROR(__xludf.DUMMYFUNCTION("""COMPUTED_VALUE"""),"https://storage.googleapis.com/glide-prod.appspot.com/uploads-v2/ly7o78grxPaC6KdgvbpS/pub/3aRdSog0vUtuqPE8AJKD.png")</f>
        <v>https://storage.googleapis.com/glide-prod.appspot.com/uploads-v2/ly7o78grxPaC6KdgvbpS/pub/3aRdSog0vUtuqPE8AJKD.png</v>
      </c>
      <c r="U389" s="5" t="str">
        <f ca="1">IFERROR(__xludf.DUMMYFUNCTION("""COMPUTED_VALUE"""),"LINEA DE ENVASADO TAMAÑO PERSONALEMPACADORA")</f>
        <v>LINEA DE ENVASADO TAMAÑO PERSONALEMPACADORA</v>
      </c>
      <c r="V389" s="5"/>
      <c r="W389" s="5" t="b">
        <f ca="1">IFERROR(__xludf.DUMMYFUNCTION("""COMPUTED_VALUE"""),TRUE)</f>
        <v>1</v>
      </c>
      <c r="X389" s="5" t="str">
        <f ca="1">IFERROR(__xludf.DUMMYFUNCTION("""COMPUTED_VALUE"""),"wguerra@postobon.com.co,aprmttoyu@postobon.com.co,aprmyu@postobon.com.co,wmora@postobon.com.co,efzapata@postobon.com.co")</f>
        <v>wguerra@postobon.com.co,aprmttoyu@postobon.com.co,aprmyu@postobon.com.co,wmora@postobon.com.co,efzapata@postobon.com.co</v>
      </c>
      <c r="Y389" s="5" t="str">
        <f ca="1">IFERROR(__xludf.DUMMYFUNCTION("""COMPUTED_VALUE"""),"wguerra@postobon.com.co")</f>
        <v>wguerra@postobon.com.co</v>
      </c>
      <c r="Z389" s="5" t="str">
        <f ca="1">IFERROR(__xludf.DUMMYFUNCTION("""COMPUTED_VALUE"""),"UboQkN5BRf6JXjGwy.nNPw")</f>
        <v>UboQkN5BRf6JXjGwy.nNPw</v>
      </c>
      <c r="AA389" s="5"/>
      <c r="AB389" s="5"/>
      <c r="AC389" s="5"/>
      <c r="AD389" s="5">
        <f ca="1">IFERROR(__xludf.DUMMYFUNCTION("""COMPUTED_VALUE"""),68)</f>
        <v>68</v>
      </c>
      <c r="AE389" s="5">
        <f ca="1">IFERROR(__xludf.DUMMYFUNCTION("""COMPUTED_VALUE"""),68)</f>
        <v>68</v>
      </c>
      <c r="AF389" s="5" t="b">
        <f ca="1">IFERROR(__xludf.DUMMYFUNCTION("""COMPUTED_VALUE"""),FALSE)</f>
        <v>0</v>
      </c>
      <c r="AG389" s="5" t="str">
        <f ca="1">IFERROR(__xludf.DUMMYFUNCTION("""COMPUTED_VALUE"""),"INSPECCIONES REALIZADAS")</f>
        <v>INSPECCIONES REALIZADAS</v>
      </c>
      <c r="AH389" s="5"/>
    </row>
    <row r="390" spans="1:34">
      <c r="A390" s="5" t="str">
        <f ca="1">IFERROR(__xludf.DUMMYFUNCTION("""COMPUTED_VALUE"""),"LINEA DE ENVASADO TAMAÑO PERSONAL")</f>
        <v>LINEA DE ENVASADO TAMAÑO PERSONAL</v>
      </c>
      <c r="B390" s="5">
        <f ca="1">IFERROR(__xludf.DUMMYFUNCTION("""COMPUTED_VALUE"""),558020)</f>
        <v>558020</v>
      </c>
      <c r="C390" s="5" t="str">
        <f ca="1">IFERROR(__xludf.DUMMYFUNCTION("""COMPUTED_VALUE"""),"EMPACADORA")</f>
        <v>EMPACADORA</v>
      </c>
      <c r="D390" s="5">
        <f ca="1">IFERROR(__xludf.DUMMYFUNCTION("""COMPUTED_VALUE"""),13247624)</f>
        <v>13247624</v>
      </c>
      <c r="E390" s="5" t="str">
        <f ca="1">IFERROR(__xludf.DUMMYFUNCTION("""COMPUTED_VALUE"""),"INSPECCION SEMANAL EMPACADORA")</f>
        <v>INSPECCION SEMANAL EMPACADORA</v>
      </c>
      <c r="F390" s="5" t="str">
        <f ca="1">IFERROR(__xludf.DUMMYFUNCTION("""COMPUTED_VALUE"""),"Estado de motores")</f>
        <v>Estado de motores</v>
      </c>
      <c r="G390" s="5" t="b">
        <f ca="1">IFERROR(__xludf.DUMMYFUNCTION("""COMPUTED_VALUE"""),TRUE)</f>
        <v>1</v>
      </c>
      <c r="H390" s="5"/>
      <c r="I390" s="5"/>
      <c r="J390" s="5">
        <f ca="1">IFERROR(__xludf.DUMMYFUNCTION("""COMPUTED_VALUE"""),13247624)</f>
        <v>13247624</v>
      </c>
      <c r="K390" s="5"/>
      <c r="L390" s="18">
        <f ca="1">IFERROR(__xludf.DUMMYFUNCTION("""COMPUTED_VALUE"""),45325)</f>
        <v>45325</v>
      </c>
      <c r="M390" s="18">
        <f ca="1">IFERROR(__xludf.DUMMYFUNCTION("""COMPUTED_VALUE"""),45325)</f>
        <v>45325</v>
      </c>
      <c r="N390" s="5" t="str">
        <f ca="1">IFERROR(__xludf.DUMMYFUNCTION("""COMPUTED_VALUE"""),"Jimenez Jhon")</f>
        <v>Jimenez Jhon</v>
      </c>
      <c r="O390" s="2">
        <f ca="1">IFERROR(__xludf.DUMMYFUNCTION("""COMPUTED_VALUE"""),0.005555556)</f>
        <v>5.5555559999999997E-3</v>
      </c>
      <c r="P390" s="5">
        <f ca="1">IFERROR(__xludf.DUMMYFUNCTION("""COMPUTED_VALUE"""),20009855)</f>
        <v>20009855</v>
      </c>
      <c r="Q390" s="5" t="str">
        <f ca="1">IFERROR(__xludf.DUMMYFUNCTION("""COMPUTED_VALUE"""),"7kj0hqCPaxc")</f>
        <v>7kj0hqCPaxc</v>
      </c>
      <c r="R390" s="5">
        <f ca="1">IFERROR(__xludf.DUMMYFUNCTION("""COMPUTED_VALUE"""),410)</f>
        <v>410</v>
      </c>
      <c r="S390" s="62">
        <f ca="1">IFERROR(__xludf.DUMMYFUNCTION("""COMPUTED_VALUE"""),0.005555556)</f>
        <v>5.5555559999999997E-3</v>
      </c>
      <c r="T390" s="63" t="str">
        <f ca="1">IFERROR(__xludf.DUMMYFUNCTION("""COMPUTED_VALUE"""),"https://storage.googleapis.com/glide-prod.appspot.com/uploads-v2/ly7o78grxPaC6KdgvbpS/pub/3aRdSog0vUtuqPE8AJKD.png")</f>
        <v>https://storage.googleapis.com/glide-prod.appspot.com/uploads-v2/ly7o78grxPaC6KdgvbpS/pub/3aRdSog0vUtuqPE8AJKD.png</v>
      </c>
      <c r="U390" s="5" t="str">
        <f ca="1">IFERROR(__xludf.DUMMYFUNCTION("""COMPUTED_VALUE"""),"LINEA DE ENVASADO TAMAÑO PERSONALEMPACADORA")</f>
        <v>LINEA DE ENVASADO TAMAÑO PERSONALEMPACADORA</v>
      </c>
      <c r="V390" s="5"/>
      <c r="W390" s="5" t="b">
        <f ca="1">IFERROR(__xludf.DUMMYFUNCTION("""COMPUTED_VALUE"""),TRUE)</f>
        <v>1</v>
      </c>
      <c r="X390" s="5" t="str">
        <f ca="1">IFERROR(__xludf.DUMMYFUNCTION("""COMPUTED_VALUE"""),"wguerra@postobon.com.co,aprmttoyu@postobon.com.co,aprmyu@postobon.com.co,wmora@postobon.com.co,efzapata@postobon.com.co")</f>
        <v>wguerra@postobon.com.co,aprmttoyu@postobon.com.co,aprmyu@postobon.com.co,wmora@postobon.com.co,efzapata@postobon.com.co</v>
      </c>
      <c r="Y390" s="5" t="str">
        <f ca="1">IFERROR(__xludf.DUMMYFUNCTION("""COMPUTED_VALUE"""),"wguerra@postobon.com.co")</f>
        <v>wguerra@postobon.com.co</v>
      </c>
      <c r="Z390" s="5" t="str">
        <f ca="1">IFERROR(__xludf.DUMMYFUNCTION("""COMPUTED_VALUE"""),"Zq4QcRB2Som-VbItChcgOA")</f>
        <v>Zq4QcRB2Som-VbItChcgOA</v>
      </c>
      <c r="AA390" s="5"/>
      <c r="AB390" s="5"/>
      <c r="AC390" s="5"/>
      <c r="AD390" s="5">
        <f ca="1">IFERROR(__xludf.DUMMYFUNCTION("""COMPUTED_VALUE"""),68)</f>
        <v>68</v>
      </c>
      <c r="AE390" s="5">
        <f ca="1">IFERROR(__xludf.DUMMYFUNCTION("""COMPUTED_VALUE"""),68)</f>
        <v>68</v>
      </c>
      <c r="AF390" s="5" t="b">
        <f ca="1">IFERROR(__xludf.DUMMYFUNCTION("""COMPUTED_VALUE"""),FALSE)</f>
        <v>0</v>
      </c>
      <c r="AG390" s="5" t="str">
        <f ca="1">IFERROR(__xludf.DUMMYFUNCTION("""COMPUTED_VALUE"""),"INSPECCIONES REALIZADAS")</f>
        <v>INSPECCIONES REALIZADAS</v>
      </c>
      <c r="AH390" s="5"/>
    </row>
    <row r="391" spans="1:34">
      <c r="A391" s="5" t="str">
        <f ca="1">IFERROR(__xludf.DUMMYFUNCTION("""COMPUTED_VALUE"""),"LINEA DE ENVASADO TAMAÑO PERSONAL")</f>
        <v>LINEA DE ENVASADO TAMAÑO PERSONAL</v>
      </c>
      <c r="B391" s="5">
        <f ca="1">IFERROR(__xludf.DUMMYFUNCTION("""COMPUTED_VALUE"""),558020)</f>
        <v>558020</v>
      </c>
      <c r="C391" s="5" t="str">
        <f ca="1">IFERROR(__xludf.DUMMYFUNCTION("""COMPUTED_VALUE"""),"EMPACADORA")</f>
        <v>EMPACADORA</v>
      </c>
      <c r="D391" s="5">
        <f ca="1">IFERROR(__xludf.DUMMYFUNCTION("""COMPUTED_VALUE"""),13247624)</f>
        <v>13247624</v>
      </c>
      <c r="E391" s="5" t="str">
        <f ca="1">IFERROR(__xludf.DUMMYFUNCTION("""COMPUTED_VALUE"""),"INSPECCION SEMANAL EMPACADORA")</f>
        <v>INSPECCION SEMANAL EMPACADORA</v>
      </c>
      <c r="F391" s="5" t="str">
        <f ca="1">IFERROR(__xludf.DUMMYFUNCTION("""COMPUTED_VALUE"""),"Estado de cajas reductoras")</f>
        <v>Estado de cajas reductoras</v>
      </c>
      <c r="G391" s="5" t="b">
        <f ca="1">IFERROR(__xludf.DUMMYFUNCTION("""COMPUTED_VALUE"""),TRUE)</f>
        <v>1</v>
      </c>
      <c r="H391" s="5"/>
      <c r="I391" s="5"/>
      <c r="J391" s="5">
        <f ca="1">IFERROR(__xludf.DUMMYFUNCTION("""COMPUTED_VALUE"""),13247624)</f>
        <v>13247624</v>
      </c>
      <c r="K391" s="5"/>
      <c r="L391" s="18">
        <f ca="1">IFERROR(__xludf.DUMMYFUNCTION("""COMPUTED_VALUE"""),45325)</f>
        <v>45325</v>
      </c>
      <c r="M391" s="18">
        <f ca="1">IFERROR(__xludf.DUMMYFUNCTION("""COMPUTED_VALUE"""),45325)</f>
        <v>45325</v>
      </c>
      <c r="N391" s="5" t="str">
        <f ca="1">IFERROR(__xludf.DUMMYFUNCTION("""COMPUTED_VALUE"""),"Jimenez Jhon")</f>
        <v>Jimenez Jhon</v>
      </c>
      <c r="O391" s="2">
        <f ca="1">IFERROR(__xludf.DUMMYFUNCTION("""COMPUTED_VALUE"""),0.005555556)</f>
        <v>5.5555559999999997E-3</v>
      </c>
      <c r="P391" s="5">
        <f ca="1">IFERROR(__xludf.DUMMYFUNCTION("""COMPUTED_VALUE"""),20009855)</f>
        <v>20009855</v>
      </c>
      <c r="Q391" s="5" t="str">
        <f ca="1">IFERROR(__xludf.DUMMYFUNCTION("""COMPUTED_VALUE"""),"R1UrdnD8clQ")</f>
        <v>R1UrdnD8clQ</v>
      </c>
      <c r="R391" s="5">
        <f ca="1">IFERROR(__xludf.DUMMYFUNCTION("""COMPUTED_VALUE"""),410)</f>
        <v>410</v>
      </c>
      <c r="S391" s="62">
        <f ca="1">IFERROR(__xludf.DUMMYFUNCTION("""COMPUTED_VALUE"""),0.005555556)</f>
        <v>5.5555559999999997E-3</v>
      </c>
      <c r="T391" s="63" t="str">
        <f ca="1">IFERROR(__xludf.DUMMYFUNCTION("""COMPUTED_VALUE"""),"https://storage.googleapis.com/glide-prod.appspot.com/uploads-v2/ly7o78grxPaC6KdgvbpS/pub/3aRdSog0vUtuqPE8AJKD.png")</f>
        <v>https://storage.googleapis.com/glide-prod.appspot.com/uploads-v2/ly7o78grxPaC6KdgvbpS/pub/3aRdSog0vUtuqPE8AJKD.png</v>
      </c>
      <c r="U391" s="5" t="str">
        <f ca="1">IFERROR(__xludf.DUMMYFUNCTION("""COMPUTED_VALUE"""),"LINEA DE ENVASADO TAMAÑO PERSONALEMPACADORA")</f>
        <v>LINEA DE ENVASADO TAMAÑO PERSONALEMPACADORA</v>
      </c>
      <c r="V391" s="5"/>
      <c r="W391" s="5" t="b">
        <f ca="1">IFERROR(__xludf.DUMMYFUNCTION("""COMPUTED_VALUE"""),TRUE)</f>
        <v>1</v>
      </c>
      <c r="X391" s="5" t="str">
        <f ca="1">IFERROR(__xludf.DUMMYFUNCTION("""COMPUTED_VALUE"""),"wguerra@postobon.com.co,aprmttoyu@postobon.com.co,aprmyu@postobon.com.co,wmora@postobon.com.co,efzapata@postobon.com.co")</f>
        <v>wguerra@postobon.com.co,aprmttoyu@postobon.com.co,aprmyu@postobon.com.co,wmora@postobon.com.co,efzapata@postobon.com.co</v>
      </c>
      <c r="Y391" s="5" t="str">
        <f ca="1">IFERROR(__xludf.DUMMYFUNCTION("""COMPUTED_VALUE"""),"wguerra@postobon.com.co")</f>
        <v>wguerra@postobon.com.co</v>
      </c>
      <c r="Z391" s="5" t="str">
        <f ca="1">IFERROR(__xludf.DUMMYFUNCTION("""COMPUTED_VALUE"""),"e.ot9XkfRwK3Q4uK3T.pZg")</f>
        <v>e.ot9XkfRwK3Q4uK3T.pZg</v>
      </c>
      <c r="AA391" s="5"/>
      <c r="AB391" s="5"/>
      <c r="AC391" s="5"/>
      <c r="AD391" s="5">
        <f ca="1">IFERROR(__xludf.DUMMYFUNCTION("""COMPUTED_VALUE"""),68)</f>
        <v>68</v>
      </c>
      <c r="AE391" s="5">
        <f ca="1">IFERROR(__xludf.DUMMYFUNCTION("""COMPUTED_VALUE"""),68)</f>
        <v>68</v>
      </c>
      <c r="AF391" s="5" t="b">
        <f ca="1">IFERROR(__xludf.DUMMYFUNCTION("""COMPUTED_VALUE"""),FALSE)</f>
        <v>0</v>
      </c>
      <c r="AG391" s="5" t="str">
        <f ca="1">IFERROR(__xludf.DUMMYFUNCTION("""COMPUTED_VALUE"""),"INSPECCIONES REALIZADAS")</f>
        <v>INSPECCIONES REALIZADAS</v>
      </c>
      <c r="AH391" s="5"/>
    </row>
    <row r="392" spans="1:34">
      <c r="A392" s="5" t="str">
        <f ca="1">IFERROR(__xludf.DUMMYFUNCTION("""COMPUTED_VALUE"""),"LINEA DE ENVASADO TAMAÑO PERSONAL")</f>
        <v>LINEA DE ENVASADO TAMAÑO PERSONAL</v>
      </c>
      <c r="B392" s="5">
        <f ca="1">IFERROR(__xludf.DUMMYFUNCTION("""COMPUTED_VALUE"""),558020)</f>
        <v>558020</v>
      </c>
      <c r="C392" s="5" t="str">
        <f ca="1">IFERROR(__xludf.DUMMYFUNCTION("""COMPUTED_VALUE"""),"EMPACADORA")</f>
        <v>EMPACADORA</v>
      </c>
      <c r="D392" s="5">
        <f ca="1">IFERROR(__xludf.DUMMYFUNCTION("""COMPUTED_VALUE"""),13247624)</f>
        <v>13247624</v>
      </c>
      <c r="E392" s="5" t="str">
        <f ca="1">IFERROR(__xludf.DUMMYFUNCTION("""COMPUTED_VALUE"""),"INSPECCION SEMANAL EMPACADORA")</f>
        <v>INSPECCION SEMANAL EMPACADORA</v>
      </c>
      <c r="F392" s="5" t="str">
        <f ca="1">IFERROR(__xludf.DUMMYFUNCTION("""COMPUTED_VALUE"""),"Estado de sensores")</f>
        <v>Estado de sensores</v>
      </c>
      <c r="G392" s="5" t="b">
        <f ca="1">IFERROR(__xludf.DUMMYFUNCTION("""COMPUTED_VALUE"""),TRUE)</f>
        <v>1</v>
      </c>
      <c r="H392" s="5"/>
      <c r="I392" s="5"/>
      <c r="J392" s="5">
        <f ca="1">IFERROR(__xludf.DUMMYFUNCTION("""COMPUTED_VALUE"""),13247624)</f>
        <v>13247624</v>
      </c>
      <c r="K392" s="5"/>
      <c r="L392" s="18">
        <f ca="1">IFERROR(__xludf.DUMMYFUNCTION("""COMPUTED_VALUE"""),45325)</f>
        <v>45325</v>
      </c>
      <c r="M392" s="18">
        <f ca="1">IFERROR(__xludf.DUMMYFUNCTION("""COMPUTED_VALUE"""),45325)</f>
        <v>45325</v>
      </c>
      <c r="N392" s="5" t="str">
        <f ca="1">IFERROR(__xludf.DUMMYFUNCTION("""COMPUTED_VALUE"""),"Jimenez Jhon")</f>
        <v>Jimenez Jhon</v>
      </c>
      <c r="O392" s="2">
        <f ca="1">IFERROR(__xludf.DUMMYFUNCTION("""COMPUTED_VALUE"""),0.005555556)</f>
        <v>5.5555559999999997E-3</v>
      </c>
      <c r="P392" s="5">
        <f ca="1">IFERROR(__xludf.DUMMYFUNCTION("""COMPUTED_VALUE"""),20009855)</f>
        <v>20009855</v>
      </c>
      <c r="Q392" s="5" t="str">
        <f ca="1">IFERROR(__xludf.DUMMYFUNCTION("""COMPUTED_VALUE"""),"8wk0LSZ_hqY")</f>
        <v>8wk0LSZ_hqY</v>
      </c>
      <c r="R392" s="5">
        <f ca="1">IFERROR(__xludf.DUMMYFUNCTION("""COMPUTED_VALUE"""),410)</f>
        <v>410</v>
      </c>
      <c r="S392" s="62">
        <f ca="1">IFERROR(__xludf.DUMMYFUNCTION("""COMPUTED_VALUE"""),0.005555556)</f>
        <v>5.5555559999999997E-3</v>
      </c>
      <c r="T392" s="63" t="str">
        <f ca="1">IFERROR(__xludf.DUMMYFUNCTION("""COMPUTED_VALUE"""),"https://storage.googleapis.com/glide-prod.appspot.com/uploads-v2/ly7o78grxPaC6KdgvbpS/pub/3aRdSog0vUtuqPE8AJKD.png")</f>
        <v>https://storage.googleapis.com/glide-prod.appspot.com/uploads-v2/ly7o78grxPaC6KdgvbpS/pub/3aRdSog0vUtuqPE8AJKD.png</v>
      </c>
      <c r="U392" s="5" t="str">
        <f ca="1">IFERROR(__xludf.DUMMYFUNCTION("""COMPUTED_VALUE"""),"LINEA DE ENVASADO TAMAÑO PERSONALEMPACADORA")</f>
        <v>LINEA DE ENVASADO TAMAÑO PERSONALEMPACADORA</v>
      </c>
      <c r="V392" s="5"/>
      <c r="W392" s="5" t="b">
        <f ca="1">IFERROR(__xludf.DUMMYFUNCTION("""COMPUTED_VALUE"""),TRUE)</f>
        <v>1</v>
      </c>
      <c r="X392" s="5" t="str">
        <f ca="1">IFERROR(__xludf.DUMMYFUNCTION("""COMPUTED_VALUE"""),"wguerra@postobon.com.co,aprmttoyu@postobon.com.co,aprmyu@postobon.com.co,wmora@postobon.com.co,efzapata@postobon.com.co")</f>
        <v>wguerra@postobon.com.co,aprmttoyu@postobon.com.co,aprmyu@postobon.com.co,wmora@postobon.com.co,efzapata@postobon.com.co</v>
      </c>
      <c r="Y392" s="5" t="str">
        <f ca="1">IFERROR(__xludf.DUMMYFUNCTION("""COMPUTED_VALUE"""),"wguerra@postobon.com.co")</f>
        <v>wguerra@postobon.com.co</v>
      </c>
      <c r="Z392" s="5" t="str">
        <f ca="1">IFERROR(__xludf.DUMMYFUNCTION("""COMPUTED_VALUE"""),"kqjCTnprQBelOCEhNHc5yQ")</f>
        <v>kqjCTnprQBelOCEhNHc5yQ</v>
      </c>
      <c r="AA392" s="5"/>
      <c r="AB392" s="5"/>
      <c r="AC392" s="5"/>
      <c r="AD392" s="5">
        <f ca="1">IFERROR(__xludf.DUMMYFUNCTION("""COMPUTED_VALUE"""),68)</f>
        <v>68</v>
      </c>
      <c r="AE392" s="5">
        <f ca="1">IFERROR(__xludf.DUMMYFUNCTION("""COMPUTED_VALUE"""),68)</f>
        <v>68</v>
      </c>
      <c r="AF392" s="5" t="b">
        <f ca="1">IFERROR(__xludf.DUMMYFUNCTION("""COMPUTED_VALUE"""),FALSE)</f>
        <v>0</v>
      </c>
      <c r="AG392" s="5" t="str">
        <f ca="1">IFERROR(__xludf.DUMMYFUNCTION("""COMPUTED_VALUE"""),"INSPECCIONES REALIZADAS")</f>
        <v>INSPECCIONES REALIZADAS</v>
      </c>
      <c r="AH392" s="5"/>
    </row>
    <row r="393" spans="1:34">
      <c r="A393" s="5" t="str">
        <f ca="1">IFERROR(__xludf.DUMMYFUNCTION("""COMPUTED_VALUE"""),"LINEA DE ENVASADO TAMAÑO PERSONAL")</f>
        <v>LINEA DE ENVASADO TAMAÑO PERSONAL</v>
      </c>
      <c r="B393" s="5">
        <f ca="1">IFERROR(__xludf.DUMMYFUNCTION("""COMPUTED_VALUE"""),558020)</f>
        <v>558020</v>
      </c>
      <c r="C393" s="5" t="str">
        <f ca="1">IFERROR(__xludf.DUMMYFUNCTION("""COMPUTED_VALUE"""),"EMPACADORA")</f>
        <v>EMPACADORA</v>
      </c>
      <c r="D393" s="5">
        <f ca="1">IFERROR(__xludf.DUMMYFUNCTION("""COMPUTED_VALUE"""),13247624)</f>
        <v>13247624</v>
      </c>
      <c r="E393" s="5" t="str">
        <f ca="1">IFERROR(__xludf.DUMMYFUNCTION("""COMPUTED_VALUE"""),"INSPECCION SEMANAL EMPACADORA")</f>
        <v>INSPECCION SEMANAL EMPACADORA</v>
      </c>
      <c r="F393" s="5" t="str">
        <f ca="1">IFERROR(__xludf.DUMMYFUNCTION("""COMPUTED_VALUE"""),"Estado de electroválvulas")</f>
        <v>Estado de electroválvulas</v>
      </c>
      <c r="G393" s="5" t="b">
        <f ca="1">IFERROR(__xludf.DUMMYFUNCTION("""COMPUTED_VALUE"""),TRUE)</f>
        <v>1</v>
      </c>
      <c r="H393" s="5"/>
      <c r="I393" s="5"/>
      <c r="J393" s="5">
        <f ca="1">IFERROR(__xludf.DUMMYFUNCTION("""COMPUTED_VALUE"""),13247624)</f>
        <v>13247624</v>
      </c>
      <c r="K393" s="5"/>
      <c r="L393" s="18">
        <f ca="1">IFERROR(__xludf.DUMMYFUNCTION("""COMPUTED_VALUE"""),45325)</f>
        <v>45325</v>
      </c>
      <c r="M393" s="18">
        <f ca="1">IFERROR(__xludf.DUMMYFUNCTION("""COMPUTED_VALUE"""),45325)</f>
        <v>45325</v>
      </c>
      <c r="N393" s="5" t="str">
        <f ca="1">IFERROR(__xludf.DUMMYFUNCTION("""COMPUTED_VALUE"""),"Jimenez Jhon")</f>
        <v>Jimenez Jhon</v>
      </c>
      <c r="O393" s="2">
        <f ca="1">IFERROR(__xludf.DUMMYFUNCTION("""COMPUTED_VALUE"""),0.005555556)</f>
        <v>5.5555559999999997E-3</v>
      </c>
      <c r="P393" s="5">
        <f ca="1">IFERROR(__xludf.DUMMYFUNCTION("""COMPUTED_VALUE"""),20009855)</f>
        <v>20009855</v>
      </c>
      <c r="Q393" s="5" t="str">
        <f ca="1">IFERROR(__xludf.DUMMYFUNCTION("""COMPUTED_VALUE"""),"CXguRgXFclw")</f>
        <v>CXguRgXFclw</v>
      </c>
      <c r="R393" s="5">
        <f ca="1">IFERROR(__xludf.DUMMYFUNCTION("""COMPUTED_VALUE"""),410)</f>
        <v>410</v>
      </c>
      <c r="S393" s="62">
        <f ca="1">IFERROR(__xludf.DUMMYFUNCTION("""COMPUTED_VALUE"""),0.005555556)</f>
        <v>5.5555559999999997E-3</v>
      </c>
      <c r="T393" s="63" t="str">
        <f ca="1">IFERROR(__xludf.DUMMYFUNCTION("""COMPUTED_VALUE"""),"https://storage.googleapis.com/glide-prod.appspot.com/uploads-v2/ly7o78grxPaC6KdgvbpS/pub/3aRdSog0vUtuqPE8AJKD.png")</f>
        <v>https://storage.googleapis.com/glide-prod.appspot.com/uploads-v2/ly7o78grxPaC6KdgvbpS/pub/3aRdSog0vUtuqPE8AJKD.png</v>
      </c>
      <c r="U393" s="5" t="str">
        <f ca="1">IFERROR(__xludf.DUMMYFUNCTION("""COMPUTED_VALUE"""),"LINEA DE ENVASADO TAMAÑO PERSONALEMPACADORA")</f>
        <v>LINEA DE ENVASADO TAMAÑO PERSONALEMPACADORA</v>
      </c>
      <c r="V393" s="5"/>
      <c r="W393" s="5" t="b">
        <f ca="1">IFERROR(__xludf.DUMMYFUNCTION("""COMPUTED_VALUE"""),TRUE)</f>
        <v>1</v>
      </c>
      <c r="X393" s="5" t="str">
        <f ca="1">IFERROR(__xludf.DUMMYFUNCTION("""COMPUTED_VALUE"""),"wguerra@postobon.com.co,aprmttoyu@postobon.com.co,aprmyu@postobon.com.co,wmora@postobon.com.co,efzapata@postobon.com.co")</f>
        <v>wguerra@postobon.com.co,aprmttoyu@postobon.com.co,aprmyu@postobon.com.co,wmora@postobon.com.co,efzapata@postobon.com.co</v>
      </c>
      <c r="Y393" s="5" t="str">
        <f ca="1">IFERROR(__xludf.DUMMYFUNCTION("""COMPUTED_VALUE"""),"wguerra@postobon.com.co")</f>
        <v>wguerra@postobon.com.co</v>
      </c>
      <c r="Z393" s="5" t="str">
        <f ca="1">IFERROR(__xludf.DUMMYFUNCTION("""COMPUTED_VALUE"""),"hg9js.hXT1CEUKUniQc3WA")</f>
        <v>hg9js.hXT1CEUKUniQc3WA</v>
      </c>
      <c r="AA393" s="5"/>
      <c r="AB393" s="5"/>
      <c r="AC393" s="5"/>
      <c r="AD393" s="5">
        <f ca="1">IFERROR(__xludf.DUMMYFUNCTION("""COMPUTED_VALUE"""),68)</f>
        <v>68</v>
      </c>
      <c r="AE393" s="5">
        <f ca="1">IFERROR(__xludf.DUMMYFUNCTION("""COMPUTED_VALUE"""),68)</f>
        <v>68</v>
      </c>
      <c r="AF393" s="5" t="b">
        <f ca="1">IFERROR(__xludf.DUMMYFUNCTION("""COMPUTED_VALUE"""),FALSE)</f>
        <v>0</v>
      </c>
      <c r="AG393" s="5" t="str">
        <f ca="1">IFERROR(__xludf.DUMMYFUNCTION("""COMPUTED_VALUE"""),"INSPECCIONES REALIZADAS")</f>
        <v>INSPECCIONES REALIZADAS</v>
      </c>
      <c r="AH393" s="5"/>
    </row>
    <row r="394" spans="1:34">
      <c r="A394" s="5" t="str">
        <f ca="1">IFERROR(__xludf.DUMMYFUNCTION("""COMPUTED_VALUE"""),"LINEA DE ENVASADO TAMAÑO PERSONAL")</f>
        <v>LINEA DE ENVASADO TAMAÑO PERSONAL</v>
      </c>
      <c r="B394" s="5">
        <f ca="1">IFERROR(__xludf.DUMMYFUNCTION("""COMPUTED_VALUE"""),558020)</f>
        <v>558020</v>
      </c>
      <c r="C394" s="5" t="str">
        <f ca="1">IFERROR(__xludf.DUMMYFUNCTION("""COMPUTED_VALUE"""),"EMPACADORA")</f>
        <v>EMPACADORA</v>
      </c>
      <c r="D394" s="5">
        <f ca="1">IFERROR(__xludf.DUMMYFUNCTION("""COMPUTED_VALUE"""),13247624)</f>
        <v>13247624</v>
      </c>
      <c r="E394" s="5" t="str">
        <f ca="1">IFERROR(__xludf.DUMMYFUNCTION("""COMPUTED_VALUE"""),"INSPECCION SEMANAL EMPACADORA")</f>
        <v>INSPECCION SEMANAL EMPACADORA</v>
      </c>
      <c r="F394" s="5" t="str">
        <f ca="1">IFERROR(__xludf.DUMMYFUNCTION("""COMPUTED_VALUE"""),"Estado perfiles de desgaste plasticos")</f>
        <v>Estado perfiles de desgaste plasticos</v>
      </c>
      <c r="G394" s="5" t="b">
        <f ca="1">IFERROR(__xludf.DUMMYFUNCTION("""COMPUTED_VALUE"""),TRUE)</f>
        <v>1</v>
      </c>
      <c r="H394" s="5"/>
      <c r="I394" s="5"/>
      <c r="J394" s="5">
        <f ca="1">IFERROR(__xludf.DUMMYFUNCTION("""COMPUTED_VALUE"""),13247624)</f>
        <v>13247624</v>
      </c>
      <c r="K394" s="5"/>
      <c r="L394" s="18">
        <f ca="1">IFERROR(__xludf.DUMMYFUNCTION("""COMPUTED_VALUE"""),45325)</f>
        <v>45325</v>
      </c>
      <c r="M394" s="18">
        <f ca="1">IFERROR(__xludf.DUMMYFUNCTION("""COMPUTED_VALUE"""),45325)</f>
        <v>45325</v>
      </c>
      <c r="N394" s="5" t="str">
        <f ca="1">IFERROR(__xludf.DUMMYFUNCTION("""COMPUTED_VALUE"""),"Jimenez Jhon")</f>
        <v>Jimenez Jhon</v>
      </c>
      <c r="O394" s="2">
        <f ca="1">IFERROR(__xludf.DUMMYFUNCTION("""COMPUTED_VALUE"""),0.005555556)</f>
        <v>5.5555559999999997E-3</v>
      </c>
      <c r="P394" s="5">
        <f ca="1">IFERROR(__xludf.DUMMYFUNCTION("""COMPUTED_VALUE"""),20009855)</f>
        <v>20009855</v>
      </c>
      <c r="Q394" s="5" t="str">
        <f ca="1">IFERROR(__xludf.DUMMYFUNCTION("""COMPUTED_VALUE"""),"KAVkJLYoC2k")</f>
        <v>KAVkJLYoC2k</v>
      </c>
      <c r="R394" s="5">
        <f ca="1">IFERROR(__xludf.DUMMYFUNCTION("""COMPUTED_VALUE"""),410)</f>
        <v>410</v>
      </c>
      <c r="S394" s="62">
        <f ca="1">IFERROR(__xludf.DUMMYFUNCTION("""COMPUTED_VALUE"""),0.005555556)</f>
        <v>5.5555559999999997E-3</v>
      </c>
      <c r="T394" s="63" t="str">
        <f ca="1">IFERROR(__xludf.DUMMYFUNCTION("""COMPUTED_VALUE"""),"https://storage.googleapis.com/glide-prod.appspot.com/uploads-v2/ly7o78grxPaC6KdgvbpS/pub/3aRdSog0vUtuqPE8AJKD.png")</f>
        <v>https://storage.googleapis.com/glide-prod.appspot.com/uploads-v2/ly7o78grxPaC6KdgvbpS/pub/3aRdSog0vUtuqPE8AJKD.png</v>
      </c>
      <c r="U394" s="5" t="str">
        <f ca="1">IFERROR(__xludf.DUMMYFUNCTION("""COMPUTED_VALUE"""),"LINEA DE ENVASADO TAMAÑO PERSONALEMPACADORA")</f>
        <v>LINEA DE ENVASADO TAMAÑO PERSONALEMPACADORA</v>
      </c>
      <c r="V394" s="5"/>
      <c r="W394" s="5" t="b">
        <f ca="1">IFERROR(__xludf.DUMMYFUNCTION("""COMPUTED_VALUE"""),TRUE)</f>
        <v>1</v>
      </c>
      <c r="X394" s="5" t="str">
        <f ca="1">IFERROR(__xludf.DUMMYFUNCTION("""COMPUTED_VALUE"""),"wguerra@postobon.com.co,aprmttoyu@postobon.com.co,aprmyu@postobon.com.co,wmora@postobon.com.co,efzapata@postobon.com.co")</f>
        <v>wguerra@postobon.com.co,aprmttoyu@postobon.com.co,aprmyu@postobon.com.co,wmora@postobon.com.co,efzapata@postobon.com.co</v>
      </c>
      <c r="Y394" s="5" t="str">
        <f ca="1">IFERROR(__xludf.DUMMYFUNCTION("""COMPUTED_VALUE"""),"wguerra@postobon.com.co")</f>
        <v>wguerra@postobon.com.co</v>
      </c>
      <c r="Z394" s="5" t="str">
        <f ca="1">IFERROR(__xludf.DUMMYFUNCTION("""COMPUTED_VALUE"""),"oZEJTz9mQUSKd5IziBz7QQ")</f>
        <v>oZEJTz9mQUSKd5IziBz7QQ</v>
      </c>
      <c r="AA394" s="5"/>
      <c r="AB394" s="5"/>
      <c r="AC394" s="5"/>
      <c r="AD394" s="5">
        <f ca="1">IFERROR(__xludf.DUMMYFUNCTION("""COMPUTED_VALUE"""),68)</f>
        <v>68</v>
      </c>
      <c r="AE394" s="5">
        <f ca="1">IFERROR(__xludf.DUMMYFUNCTION("""COMPUTED_VALUE"""),68)</f>
        <v>68</v>
      </c>
      <c r="AF394" s="5" t="b">
        <f ca="1">IFERROR(__xludf.DUMMYFUNCTION("""COMPUTED_VALUE"""),FALSE)</f>
        <v>0</v>
      </c>
      <c r="AG394" s="5" t="str">
        <f ca="1">IFERROR(__xludf.DUMMYFUNCTION("""COMPUTED_VALUE"""),"INSPECCIONES REALIZADAS")</f>
        <v>INSPECCIONES REALIZADAS</v>
      </c>
      <c r="AH394" s="5"/>
    </row>
    <row r="395" spans="1:34">
      <c r="A395" s="5" t="str">
        <f ca="1">IFERROR(__xludf.DUMMYFUNCTION("""COMPUTED_VALUE"""),"LINEA DE ENVASADO TAMAÑO PERSONAL")</f>
        <v>LINEA DE ENVASADO TAMAÑO PERSONAL</v>
      </c>
      <c r="B395" s="5">
        <f ca="1">IFERROR(__xludf.DUMMYFUNCTION("""COMPUTED_VALUE"""),558020)</f>
        <v>558020</v>
      </c>
      <c r="C395" s="5" t="str">
        <f ca="1">IFERROR(__xludf.DUMMYFUNCTION("""COMPUTED_VALUE"""),"EMPACADORA")</f>
        <v>EMPACADORA</v>
      </c>
      <c r="D395" s="5">
        <f ca="1">IFERROR(__xludf.DUMMYFUNCTION("""COMPUTED_VALUE"""),13247624)</f>
        <v>13247624</v>
      </c>
      <c r="E395" s="5" t="str">
        <f ca="1">IFERROR(__xludf.DUMMYFUNCTION("""COMPUTED_VALUE"""),"INSPECCION SEMANAL EMPACADORA")</f>
        <v>INSPECCION SEMANAL EMPACADORA</v>
      </c>
      <c r="F395" s="5" t="str">
        <f ca="1">IFERROR(__xludf.DUMMYFUNCTION("""COMPUTED_VALUE"""),"Estado de plato muerto")</f>
        <v>Estado de plato muerto</v>
      </c>
      <c r="G395" s="5" t="b">
        <f ca="1">IFERROR(__xludf.DUMMYFUNCTION("""COMPUTED_VALUE"""),TRUE)</f>
        <v>1</v>
      </c>
      <c r="H395" s="5"/>
      <c r="I395" s="5"/>
      <c r="J395" s="5">
        <f ca="1">IFERROR(__xludf.DUMMYFUNCTION("""COMPUTED_VALUE"""),13247624)</f>
        <v>13247624</v>
      </c>
      <c r="K395" s="5"/>
      <c r="L395" s="18">
        <f ca="1">IFERROR(__xludf.DUMMYFUNCTION("""COMPUTED_VALUE"""),45325)</f>
        <v>45325</v>
      </c>
      <c r="M395" s="18">
        <f ca="1">IFERROR(__xludf.DUMMYFUNCTION("""COMPUTED_VALUE"""),45325)</f>
        <v>45325</v>
      </c>
      <c r="N395" s="5" t="str">
        <f ca="1">IFERROR(__xludf.DUMMYFUNCTION("""COMPUTED_VALUE"""),"Jimenez Jhon")</f>
        <v>Jimenez Jhon</v>
      </c>
      <c r="O395" s="2">
        <f ca="1">IFERROR(__xludf.DUMMYFUNCTION("""COMPUTED_VALUE"""),0.005555556)</f>
        <v>5.5555559999999997E-3</v>
      </c>
      <c r="P395" s="5">
        <f ca="1">IFERROR(__xludf.DUMMYFUNCTION("""COMPUTED_VALUE"""),20009855)</f>
        <v>20009855</v>
      </c>
      <c r="Q395" s="5" t="str">
        <f ca="1">IFERROR(__xludf.DUMMYFUNCTION("""COMPUTED_VALUE"""),"3_JTd22z1I8")</f>
        <v>3_JTd22z1I8</v>
      </c>
      <c r="R395" s="5">
        <f ca="1">IFERROR(__xludf.DUMMYFUNCTION("""COMPUTED_VALUE"""),410)</f>
        <v>410</v>
      </c>
      <c r="S395" s="62">
        <f ca="1">IFERROR(__xludf.DUMMYFUNCTION("""COMPUTED_VALUE"""),0.005555556)</f>
        <v>5.5555559999999997E-3</v>
      </c>
      <c r="T395" s="63" t="str">
        <f ca="1">IFERROR(__xludf.DUMMYFUNCTION("""COMPUTED_VALUE"""),"https://storage.googleapis.com/glide-prod.appspot.com/uploads-v2/ly7o78grxPaC6KdgvbpS/pub/3aRdSog0vUtuqPE8AJKD.png")</f>
        <v>https://storage.googleapis.com/glide-prod.appspot.com/uploads-v2/ly7o78grxPaC6KdgvbpS/pub/3aRdSog0vUtuqPE8AJKD.png</v>
      </c>
      <c r="U395" s="5" t="str">
        <f ca="1">IFERROR(__xludf.DUMMYFUNCTION("""COMPUTED_VALUE"""),"LINEA DE ENVASADO TAMAÑO PERSONALEMPACADORA")</f>
        <v>LINEA DE ENVASADO TAMAÑO PERSONALEMPACADORA</v>
      </c>
      <c r="V395" s="5"/>
      <c r="W395" s="5" t="b">
        <f ca="1">IFERROR(__xludf.DUMMYFUNCTION("""COMPUTED_VALUE"""),TRUE)</f>
        <v>1</v>
      </c>
      <c r="X395" s="5" t="str">
        <f ca="1">IFERROR(__xludf.DUMMYFUNCTION("""COMPUTED_VALUE"""),"wguerra@postobon.com.co,aprmttoyu@postobon.com.co,aprmyu@postobon.com.co,wmora@postobon.com.co,efzapata@postobon.com.co")</f>
        <v>wguerra@postobon.com.co,aprmttoyu@postobon.com.co,aprmyu@postobon.com.co,wmora@postobon.com.co,efzapata@postobon.com.co</v>
      </c>
      <c r="Y395" s="5" t="str">
        <f ca="1">IFERROR(__xludf.DUMMYFUNCTION("""COMPUTED_VALUE"""),"wguerra@postobon.com.co")</f>
        <v>wguerra@postobon.com.co</v>
      </c>
      <c r="Z395" s="5" t="str">
        <f ca="1">IFERROR(__xludf.DUMMYFUNCTION("""COMPUTED_VALUE"""),"a-FLd2ld2R-ia7h3tJsZmGw")</f>
        <v>a-FLd2ld2R-ia7h3tJsZmGw</v>
      </c>
      <c r="AA395" s="5"/>
      <c r="AB395" s="5"/>
      <c r="AC395" s="5"/>
      <c r="AD395" s="5">
        <f ca="1">IFERROR(__xludf.DUMMYFUNCTION("""COMPUTED_VALUE"""),68)</f>
        <v>68</v>
      </c>
      <c r="AE395" s="5">
        <f ca="1">IFERROR(__xludf.DUMMYFUNCTION("""COMPUTED_VALUE"""),68)</f>
        <v>68</v>
      </c>
      <c r="AF395" s="5" t="b">
        <f ca="1">IFERROR(__xludf.DUMMYFUNCTION("""COMPUTED_VALUE"""),FALSE)</f>
        <v>0</v>
      </c>
      <c r="AG395" s="5" t="str">
        <f ca="1">IFERROR(__xludf.DUMMYFUNCTION("""COMPUTED_VALUE"""),"INSPECCIONES REALIZADAS")</f>
        <v>INSPECCIONES REALIZADAS</v>
      </c>
      <c r="AH395" s="5"/>
    </row>
    <row r="396" spans="1:34">
      <c r="A396" s="5" t="str">
        <f ca="1">IFERROR(__xludf.DUMMYFUNCTION("""COMPUTED_VALUE"""),"LINEA DE ENVASADO TAMAÑO PERSONAL")</f>
        <v>LINEA DE ENVASADO TAMAÑO PERSONAL</v>
      </c>
      <c r="B396" s="5">
        <f ca="1">IFERROR(__xludf.DUMMYFUNCTION("""COMPUTED_VALUE"""),558020)</f>
        <v>558020</v>
      </c>
      <c r="C396" s="5" t="str">
        <f ca="1">IFERROR(__xludf.DUMMYFUNCTION("""COMPUTED_VALUE"""),"EMPACADORA")</f>
        <v>EMPACADORA</v>
      </c>
      <c r="D396" s="5">
        <f ca="1">IFERROR(__xludf.DUMMYFUNCTION("""COMPUTED_VALUE"""),13247624)</f>
        <v>13247624</v>
      </c>
      <c r="E396" s="5" t="str">
        <f ca="1">IFERROR(__xludf.DUMMYFUNCTION("""COMPUTED_VALUE"""),"INSPECCION SEMANAL EMPACADORA")</f>
        <v>INSPECCION SEMANAL EMPACADORA</v>
      </c>
      <c r="F396" s="5" t="str">
        <f ca="1">IFERROR(__xludf.DUMMYFUNCTION("""COMPUTED_VALUE"""),"Estado sistema basculante y tope")</f>
        <v>Estado sistema basculante y tope</v>
      </c>
      <c r="G396" s="5" t="b">
        <f ca="1">IFERROR(__xludf.DUMMYFUNCTION("""COMPUTED_VALUE"""),TRUE)</f>
        <v>1</v>
      </c>
      <c r="H396" s="5"/>
      <c r="I396" s="5"/>
      <c r="J396" s="5">
        <f ca="1">IFERROR(__xludf.DUMMYFUNCTION("""COMPUTED_VALUE"""),13247624)</f>
        <v>13247624</v>
      </c>
      <c r="K396" s="5"/>
      <c r="L396" s="18">
        <f ca="1">IFERROR(__xludf.DUMMYFUNCTION("""COMPUTED_VALUE"""),45325)</f>
        <v>45325</v>
      </c>
      <c r="M396" s="18">
        <f ca="1">IFERROR(__xludf.DUMMYFUNCTION("""COMPUTED_VALUE"""),45325)</f>
        <v>45325</v>
      </c>
      <c r="N396" s="5" t="str">
        <f ca="1">IFERROR(__xludf.DUMMYFUNCTION("""COMPUTED_VALUE"""),"Jimenez Jhon")</f>
        <v>Jimenez Jhon</v>
      </c>
      <c r="O396" s="2">
        <f ca="1">IFERROR(__xludf.DUMMYFUNCTION("""COMPUTED_VALUE"""),0.005555556)</f>
        <v>5.5555559999999997E-3</v>
      </c>
      <c r="P396" s="5">
        <f ca="1">IFERROR(__xludf.DUMMYFUNCTION("""COMPUTED_VALUE"""),20009855)</f>
        <v>20009855</v>
      </c>
      <c r="Q396" s="5" t="str">
        <f ca="1">IFERROR(__xludf.DUMMYFUNCTION("""COMPUTED_VALUE"""),"I1bjJ0LT25g")</f>
        <v>I1bjJ0LT25g</v>
      </c>
      <c r="R396" s="5">
        <f ca="1">IFERROR(__xludf.DUMMYFUNCTION("""COMPUTED_VALUE"""),410)</f>
        <v>410</v>
      </c>
      <c r="S396" s="62">
        <f ca="1">IFERROR(__xludf.DUMMYFUNCTION("""COMPUTED_VALUE"""),0.005555556)</f>
        <v>5.5555559999999997E-3</v>
      </c>
      <c r="T396" s="63" t="str">
        <f ca="1">IFERROR(__xludf.DUMMYFUNCTION("""COMPUTED_VALUE"""),"https://storage.googleapis.com/glide-prod.appspot.com/uploads-v2/ly7o78grxPaC6KdgvbpS/pub/3aRdSog0vUtuqPE8AJKD.png")</f>
        <v>https://storage.googleapis.com/glide-prod.appspot.com/uploads-v2/ly7o78grxPaC6KdgvbpS/pub/3aRdSog0vUtuqPE8AJKD.png</v>
      </c>
      <c r="U396" s="5" t="str">
        <f ca="1">IFERROR(__xludf.DUMMYFUNCTION("""COMPUTED_VALUE"""),"LINEA DE ENVASADO TAMAÑO PERSONALEMPACADORA")</f>
        <v>LINEA DE ENVASADO TAMAÑO PERSONALEMPACADORA</v>
      </c>
      <c r="V396" s="5"/>
      <c r="W396" s="5" t="b">
        <f ca="1">IFERROR(__xludf.DUMMYFUNCTION("""COMPUTED_VALUE"""),TRUE)</f>
        <v>1</v>
      </c>
      <c r="X396" s="5" t="str">
        <f ca="1">IFERROR(__xludf.DUMMYFUNCTION("""COMPUTED_VALUE"""),"wguerra@postobon.com.co,aprmttoyu@postobon.com.co,aprmyu@postobon.com.co,wmora@postobon.com.co,efzapata@postobon.com.co")</f>
        <v>wguerra@postobon.com.co,aprmttoyu@postobon.com.co,aprmyu@postobon.com.co,wmora@postobon.com.co,efzapata@postobon.com.co</v>
      </c>
      <c r="Y396" s="5" t="str">
        <f ca="1">IFERROR(__xludf.DUMMYFUNCTION("""COMPUTED_VALUE"""),"wguerra@postobon.com.co")</f>
        <v>wguerra@postobon.com.co</v>
      </c>
      <c r="Z396" s="5" t="str">
        <f ca="1">IFERROR(__xludf.DUMMYFUNCTION("""COMPUTED_VALUE"""),"mB-CUOKkQ5G8MF9YcJLAQQ")</f>
        <v>mB-CUOKkQ5G8MF9YcJLAQQ</v>
      </c>
      <c r="AA396" s="5"/>
      <c r="AB396" s="5"/>
      <c r="AC396" s="5"/>
      <c r="AD396" s="5">
        <f ca="1">IFERROR(__xludf.DUMMYFUNCTION("""COMPUTED_VALUE"""),68)</f>
        <v>68</v>
      </c>
      <c r="AE396" s="5">
        <f ca="1">IFERROR(__xludf.DUMMYFUNCTION("""COMPUTED_VALUE"""),68)</f>
        <v>68</v>
      </c>
      <c r="AF396" s="5" t="b">
        <f ca="1">IFERROR(__xludf.DUMMYFUNCTION("""COMPUTED_VALUE"""),FALSE)</f>
        <v>0</v>
      </c>
      <c r="AG396" s="5" t="str">
        <f ca="1">IFERROR(__xludf.DUMMYFUNCTION("""COMPUTED_VALUE"""),"INSPECCIONES REALIZADAS")</f>
        <v>INSPECCIONES REALIZADAS</v>
      </c>
      <c r="AH396" s="5"/>
    </row>
    <row r="397" spans="1:34">
      <c r="A397" s="5" t="str">
        <f ca="1">IFERROR(__xludf.DUMMYFUNCTION("""COMPUTED_VALUE"""),"LINEA DE ENVASADO TAMAÑO PERSONAL")</f>
        <v>LINEA DE ENVASADO TAMAÑO PERSONAL</v>
      </c>
      <c r="B397" s="5">
        <f ca="1">IFERROR(__xludf.DUMMYFUNCTION("""COMPUTED_VALUE"""),558020)</f>
        <v>558020</v>
      </c>
      <c r="C397" s="5" t="str">
        <f ca="1">IFERROR(__xludf.DUMMYFUNCTION("""COMPUTED_VALUE"""),"EMPACADORA")</f>
        <v>EMPACADORA</v>
      </c>
      <c r="D397" s="5">
        <f ca="1">IFERROR(__xludf.DUMMYFUNCTION("""COMPUTED_VALUE"""),13247624)</f>
        <v>13247624</v>
      </c>
      <c r="E397" s="5" t="str">
        <f ca="1">IFERROR(__xludf.DUMMYFUNCTION("""COMPUTED_VALUE"""),"INSPECCION SEMANAL EMPACADORA")</f>
        <v>INSPECCION SEMANAL EMPACADORA</v>
      </c>
      <c r="F397" s="5" t="str">
        <f ca="1">IFERROR(__xludf.DUMMYFUNCTION("""COMPUTED_VALUE"""),"Estado Instrumentos de medidas")</f>
        <v>Estado Instrumentos de medidas</v>
      </c>
      <c r="G397" s="5" t="b">
        <f ca="1">IFERROR(__xludf.DUMMYFUNCTION("""COMPUTED_VALUE"""),TRUE)</f>
        <v>1</v>
      </c>
      <c r="H397" s="5"/>
      <c r="I397" s="5"/>
      <c r="J397" s="5">
        <f ca="1">IFERROR(__xludf.DUMMYFUNCTION("""COMPUTED_VALUE"""),13247624)</f>
        <v>13247624</v>
      </c>
      <c r="K397" s="5"/>
      <c r="L397" s="18">
        <f ca="1">IFERROR(__xludf.DUMMYFUNCTION("""COMPUTED_VALUE"""),45325)</f>
        <v>45325</v>
      </c>
      <c r="M397" s="18">
        <f ca="1">IFERROR(__xludf.DUMMYFUNCTION("""COMPUTED_VALUE"""),45325)</f>
        <v>45325</v>
      </c>
      <c r="N397" s="5" t="str">
        <f ca="1">IFERROR(__xludf.DUMMYFUNCTION("""COMPUTED_VALUE"""),"Jimenez Jhon")</f>
        <v>Jimenez Jhon</v>
      </c>
      <c r="O397" s="2">
        <f ca="1">IFERROR(__xludf.DUMMYFUNCTION("""COMPUTED_VALUE"""),0.005555556)</f>
        <v>5.5555559999999997E-3</v>
      </c>
      <c r="P397" s="5">
        <f ca="1">IFERROR(__xludf.DUMMYFUNCTION("""COMPUTED_VALUE"""),20009855)</f>
        <v>20009855</v>
      </c>
      <c r="Q397" s="5" t="str">
        <f ca="1">IFERROR(__xludf.DUMMYFUNCTION("""COMPUTED_VALUE"""),"cMTUFSfWK3c")</f>
        <v>cMTUFSfWK3c</v>
      </c>
      <c r="R397" s="5">
        <f ca="1">IFERROR(__xludf.DUMMYFUNCTION("""COMPUTED_VALUE"""),410)</f>
        <v>410</v>
      </c>
      <c r="S397" s="62">
        <f ca="1">IFERROR(__xludf.DUMMYFUNCTION("""COMPUTED_VALUE"""),0.005555556)</f>
        <v>5.5555559999999997E-3</v>
      </c>
      <c r="T397" s="63" t="str">
        <f ca="1">IFERROR(__xludf.DUMMYFUNCTION("""COMPUTED_VALUE"""),"https://storage.googleapis.com/glide-prod.appspot.com/uploads-v2/ly7o78grxPaC6KdgvbpS/pub/3aRdSog0vUtuqPE8AJKD.png")</f>
        <v>https://storage.googleapis.com/glide-prod.appspot.com/uploads-v2/ly7o78grxPaC6KdgvbpS/pub/3aRdSog0vUtuqPE8AJKD.png</v>
      </c>
      <c r="U397" s="5" t="str">
        <f ca="1">IFERROR(__xludf.DUMMYFUNCTION("""COMPUTED_VALUE"""),"LINEA DE ENVASADO TAMAÑO PERSONALEMPACADORA")</f>
        <v>LINEA DE ENVASADO TAMAÑO PERSONALEMPACADORA</v>
      </c>
      <c r="V397" s="5"/>
      <c r="W397" s="5" t="b">
        <f ca="1">IFERROR(__xludf.DUMMYFUNCTION("""COMPUTED_VALUE"""),TRUE)</f>
        <v>1</v>
      </c>
      <c r="X397" s="5" t="str">
        <f ca="1">IFERROR(__xludf.DUMMYFUNCTION("""COMPUTED_VALUE"""),"wguerra@postobon.com.co,aprmttoyu@postobon.com.co,aprmyu@postobon.com.co,wmora@postobon.com.co,efzapata@postobon.com.co")</f>
        <v>wguerra@postobon.com.co,aprmttoyu@postobon.com.co,aprmyu@postobon.com.co,wmora@postobon.com.co,efzapata@postobon.com.co</v>
      </c>
      <c r="Y397" s="5" t="str">
        <f ca="1">IFERROR(__xludf.DUMMYFUNCTION("""COMPUTED_VALUE"""),"wguerra@postobon.com.co")</f>
        <v>wguerra@postobon.com.co</v>
      </c>
      <c r="Z397" s="5" t="str">
        <f ca="1">IFERROR(__xludf.DUMMYFUNCTION("""COMPUTED_VALUE"""),"hqhr5T6CRIyubuCdzaETsw")</f>
        <v>hqhr5T6CRIyubuCdzaETsw</v>
      </c>
      <c r="AA397" s="5"/>
      <c r="AB397" s="5"/>
      <c r="AC397" s="5"/>
      <c r="AD397" s="5">
        <f ca="1">IFERROR(__xludf.DUMMYFUNCTION("""COMPUTED_VALUE"""),68)</f>
        <v>68</v>
      </c>
      <c r="AE397" s="5">
        <f ca="1">IFERROR(__xludf.DUMMYFUNCTION("""COMPUTED_VALUE"""),68)</f>
        <v>68</v>
      </c>
      <c r="AF397" s="5" t="b">
        <f ca="1">IFERROR(__xludf.DUMMYFUNCTION("""COMPUTED_VALUE"""),FALSE)</f>
        <v>0</v>
      </c>
      <c r="AG397" s="5" t="str">
        <f ca="1">IFERROR(__xludf.DUMMYFUNCTION("""COMPUTED_VALUE"""),"INSPECCIONES REALIZADAS")</f>
        <v>INSPECCIONES REALIZADAS</v>
      </c>
      <c r="AH397" s="5"/>
    </row>
    <row r="398" spans="1:34">
      <c r="A398" s="5" t="str">
        <f ca="1">IFERROR(__xludf.DUMMYFUNCTION("""COMPUTED_VALUE"""),"LINEA DE ENVASADO TAMAÑO PERSONAL")</f>
        <v>LINEA DE ENVASADO TAMAÑO PERSONAL</v>
      </c>
      <c r="B398" s="5">
        <f ca="1">IFERROR(__xludf.DUMMYFUNCTION("""COMPUTED_VALUE"""),558020)</f>
        <v>558020</v>
      </c>
      <c r="C398" s="5" t="str">
        <f ca="1">IFERROR(__xludf.DUMMYFUNCTION("""COMPUTED_VALUE"""),"EMPACADORA")</f>
        <v>EMPACADORA</v>
      </c>
      <c r="D398" s="5">
        <f ca="1">IFERROR(__xludf.DUMMYFUNCTION("""COMPUTED_VALUE"""),13247624)</f>
        <v>13247624</v>
      </c>
      <c r="E398" s="5" t="str">
        <f ca="1">IFERROR(__xludf.DUMMYFUNCTION("""COMPUTED_VALUE"""),"INSPECCION SEMANAL EMPACADORA")</f>
        <v>INSPECCION SEMANAL EMPACADORA</v>
      </c>
      <c r="F398" s="5" t="str">
        <f ca="1">IFERROR(__xludf.DUMMYFUNCTION("""COMPUTED_VALUE"""),"Estado de sistema de lubricacion")</f>
        <v>Estado de sistema de lubricacion</v>
      </c>
      <c r="G398" s="5" t="b">
        <f ca="1">IFERROR(__xludf.DUMMYFUNCTION("""COMPUTED_VALUE"""),TRUE)</f>
        <v>1</v>
      </c>
      <c r="H398" s="5"/>
      <c r="I398" s="5"/>
      <c r="J398" s="5">
        <f ca="1">IFERROR(__xludf.DUMMYFUNCTION("""COMPUTED_VALUE"""),13247624)</f>
        <v>13247624</v>
      </c>
      <c r="K398" s="5"/>
      <c r="L398" s="18">
        <f ca="1">IFERROR(__xludf.DUMMYFUNCTION("""COMPUTED_VALUE"""),45325)</f>
        <v>45325</v>
      </c>
      <c r="M398" s="18">
        <f ca="1">IFERROR(__xludf.DUMMYFUNCTION("""COMPUTED_VALUE"""),45325)</f>
        <v>45325</v>
      </c>
      <c r="N398" s="5" t="str">
        <f ca="1">IFERROR(__xludf.DUMMYFUNCTION("""COMPUTED_VALUE"""),"Jimenez Jhon")</f>
        <v>Jimenez Jhon</v>
      </c>
      <c r="O398" s="2">
        <f ca="1">IFERROR(__xludf.DUMMYFUNCTION("""COMPUTED_VALUE"""),0.005555556)</f>
        <v>5.5555559999999997E-3</v>
      </c>
      <c r="P398" s="5">
        <f ca="1">IFERROR(__xludf.DUMMYFUNCTION("""COMPUTED_VALUE"""),20009855)</f>
        <v>20009855</v>
      </c>
      <c r="Q398" s="5" t="str">
        <f ca="1">IFERROR(__xludf.DUMMYFUNCTION("""COMPUTED_VALUE"""),"rlWkspp45i0")</f>
        <v>rlWkspp45i0</v>
      </c>
      <c r="R398" s="5">
        <f ca="1">IFERROR(__xludf.DUMMYFUNCTION("""COMPUTED_VALUE"""),410)</f>
        <v>410</v>
      </c>
      <c r="S398" s="62">
        <f ca="1">IFERROR(__xludf.DUMMYFUNCTION("""COMPUTED_VALUE"""),0.005555556)</f>
        <v>5.5555559999999997E-3</v>
      </c>
      <c r="T398" s="63" t="str">
        <f ca="1">IFERROR(__xludf.DUMMYFUNCTION("""COMPUTED_VALUE"""),"https://storage.googleapis.com/glide-prod.appspot.com/uploads-v2/ly7o78grxPaC6KdgvbpS/pub/3aRdSog0vUtuqPE8AJKD.png")</f>
        <v>https://storage.googleapis.com/glide-prod.appspot.com/uploads-v2/ly7o78grxPaC6KdgvbpS/pub/3aRdSog0vUtuqPE8AJKD.png</v>
      </c>
      <c r="U398" s="5" t="str">
        <f ca="1">IFERROR(__xludf.DUMMYFUNCTION("""COMPUTED_VALUE"""),"LINEA DE ENVASADO TAMAÑO PERSONALEMPACADORA")</f>
        <v>LINEA DE ENVASADO TAMAÑO PERSONALEMPACADORA</v>
      </c>
      <c r="V398" s="5"/>
      <c r="W398" s="5" t="b">
        <f ca="1">IFERROR(__xludf.DUMMYFUNCTION("""COMPUTED_VALUE"""),TRUE)</f>
        <v>1</v>
      </c>
      <c r="X398" s="5" t="str">
        <f ca="1">IFERROR(__xludf.DUMMYFUNCTION("""COMPUTED_VALUE"""),"wguerra@postobon.com.co,aprmttoyu@postobon.com.co,aprmyu@postobon.com.co,wmora@postobon.com.co,efzapata@postobon.com.co")</f>
        <v>wguerra@postobon.com.co,aprmttoyu@postobon.com.co,aprmyu@postobon.com.co,wmora@postobon.com.co,efzapata@postobon.com.co</v>
      </c>
      <c r="Y398" s="5" t="str">
        <f ca="1">IFERROR(__xludf.DUMMYFUNCTION("""COMPUTED_VALUE"""),"wguerra@postobon.com.co")</f>
        <v>wguerra@postobon.com.co</v>
      </c>
      <c r="Z398" s="5" t="str">
        <f ca="1">IFERROR(__xludf.DUMMYFUNCTION("""COMPUTED_VALUE"""),"O-VcorrMTjeHU0IAr.wjPw")</f>
        <v>O-VcorrMTjeHU0IAr.wjPw</v>
      </c>
      <c r="AA398" s="5"/>
      <c r="AB398" s="5"/>
      <c r="AC398" s="5"/>
      <c r="AD398" s="5">
        <f ca="1">IFERROR(__xludf.DUMMYFUNCTION("""COMPUTED_VALUE"""),68)</f>
        <v>68</v>
      </c>
      <c r="AE398" s="5">
        <f ca="1">IFERROR(__xludf.DUMMYFUNCTION("""COMPUTED_VALUE"""),68)</f>
        <v>68</v>
      </c>
      <c r="AF398" s="5" t="b">
        <f ca="1">IFERROR(__xludf.DUMMYFUNCTION("""COMPUTED_VALUE"""),FALSE)</f>
        <v>0</v>
      </c>
      <c r="AG398" s="5" t="str">
        <f ca="1">IFERROR(__xludf.DUMMYFUNCTION("""COMPUTED_VALUE"""),"INSPECCIONES REALIZADAS")</f>
        <v>INSPECCIONES REALIZADAS</v>
      </c>
      <c r="AH398" s="5"/>
    </row>
    <row r="399" spans="1:34">
      <c r="A399" s="5" t="str">
        <f ca="1">IFERROR(__xludf.DUMMYFUNCTION("""COMPUTED_VALUE"""),"LINEA DE ENVASADO TAMAÑO PERSONAL")</f>
        <v>LINEA DE ENVASADO TAMAÑO PERSONAL</v>
      </c>
      <c r="B399" s="5">
        <f ca="1">IFERROR(__xludf.DUMMYFUNCTION("""COMPUTED_VALUE"""),558020)</f>
        <v>558020</v>
      </c>
      <c r="C399" s="5" t="str">
        <f ca="1">IFERROR(__xludf.DUMMYFUNCTION("""COMPUTED_VALUE"""),"EMPACADORA")</f>
        <v>EMPACADORA</v>
      </c>
      <c r="D399" s="5">
        <f ca="1">IFERROR(__xludf.DUMMYFUNCTION("""COMPUTED_VALUE"""),13247624)</f>
        <v>13247624</v>
      </c>
      <c r="E399" s="5" t="str">
        <f ca="1">IFERROR(__xludf.DUMMYFUNCTION("""COMPUTED_VALUE"""),"INSPECCION SEMANAL EMPACADORA")</f>
        <v>INSPECCION SEMANAL EMPACADORA</v>
      </c>
      <c r="F399" s="5" t="str">
        <f ca="1">IFERROR(__xludf.DUMMYFUNCTION("""COMPUTED_VALUE"""),"Estado y limpieza de extractor y/o climatizador tablero eléctrico")</f>
        <v>Estado y limpieza de extractor y/o climatizador tablero eléctrico</v>
      </c>
      <c r="G399" s="5" t="b">
        <f ca="1">IFERROR(__xludf.DUMMYFUNCTION("""COMPUTED_VALUE"""),TRUE)</f>
        <v>1</v>
      </c>
      <c r="H399" s="5"/>
      <c r="I399" s="5"/>
      <c r="J399" s="5">
        <f ca="1">IFERROR(__xludf.DUMMYFUNCTION("""COMPUTED_VALUE"""),13247624)</f>
        <v>13247624</v>
      </c>
      <c r="K399" s="5"/>
      <c r="L399" s="18">
        <f ca="1">IFERROR(__xludf.DUMMYFUNCTION("""COMPUTED_VALUE"""),45325)</f>
        <v>45325</v>
      </c>
      <c r="M399" s="18">
        <f ca="1">IFERROR(__xludf.DUMMYFUNCTION("""COMPUTED_VALUE"""),45325)</f>
        <v>45325</v>
      </c>
      <c r="N399" s="5" t="str">
        <f ca="1">IFERROR(__xludf.DUMMYFUNCTION("""COMPUTED_VALUE"""),"Jimenez Jhon")</f>
        <v>Jimenez Jhon</v>
      </c>
      <c r="O399" s="2">
        <f ca="1">IFERROR(__xludf.DUMMYFUNCTION("""COMPUTED_VALUE"""),0.005555556)</f>
        <v>5.5555559999999997E-3</v>
      </c>
      <c r="P399" s="5">
        <f ca="1">IFERROR(__xludf.DUMMYFUNCTION("""COMPUTED_VALUE"""),20009855)</f>
        <v>20009855</v>
      </c>
      <c r="Q399" s="5" t="str">
        <f ca="1">IFERROR(__xludf.DUMMYFUNCTION("""COMPUTED_VALUE"""),"Av9e5pcBmwQ")</f>
        <v>Av9e5pcBmwQ</v>
      </c>
      <c r="R399" s="5">
        <f ca="1">IFERROR(__xludf.DUMMYFUNCTION("""COMPUTED_VALUE"""),410)</f>
        <v>410</v>
      </c>
      <c r="S399" s="62">
        <f ca="1">IFERROR(__xludf.DUMMYFUNCTION("""COMPUTED_VALUE"""),0.005555556)</f>
        <v>5.5555559999999997E-3</v>
      </c>
      <c r="T399" s="63" t="str">
        <f ca="1">IFERROR(__xludf.DUMMYFUNCTION("""COMPUTED_VALUE"""),"https://storage.googleapis.com/glide-prod.appspot.com/uploads-v2/ly7o78grxPaC6KdgvbpS/pub/3aRdSog0vUtuqPE8AJKD.png")</f>
        <v>https://storage.googleapis.com/glide-prod.appspot.com/uploads-v2/ly7o78grxPaC6KdgvbpS/pub/3aRdSog0vUtuqPE8AJKD.png</v>
      </c>
      <c r="U399" s="5" t="str">
        <f ca="1">IFERROR(__xludf.DUMMYFUNCTION("""COMPUTED_VALUE"""),"LINEA DE ENVASADO TAMAÑO PERSONALEMPACADORA")</f>
        <v>LINEA DE ENVASADO TAMAÑO PERSONALEMPACADORA</v>
      </c>
      <c r="V399" s="5"/>
      <c r="W399" s="5" t="b">
        <f ca="1">IFERROR(__xludf.DUMMYFUNCTION("""COMPUTED_VALUE"""),TRUE)</f>
        <v>1</v>
      </c>
      <c r="X399" s="5" t="str">
        <f ca="1">IFERROR(__xludf.DUMMYFUNCTION("""COMPUTED_VALUE"""),"wguerra@postobon.com.co,aprmttoyu@postobon.com.co,aprmyu@postobon.com.co,wmora@postobon.com.co,efzapata@postobon.com.co")</f>
        <v>wguerra@postobon.com.co,aprmttoyu@postobon.com.co,aprmyu@postobon.com.co,wmora@postobon.com.co,efzapata@postobon.com.co</v>
      </c>
      <c r="Y399" s="5" t="str">
        <f ca="1">IFERROR(__xludf.DUMMYFUNCTION("""COMPUTED_VALUE"""),"wguerra@postobon.com.co")</f>
        <v>wguerra@postobon.com.co</v>
      </c>
      <c r="Z399" s="5" t="str">
        <f ca="1">IFERROR(__xludf.DUMMYFUNCTION("""COMPUTED_VALUE"""),"ARCu-8KXRR-AOEO46S0PAA")</f>
        <v>ARCu-8KXRR-AOEO46S0PAA</v>
      </c>
      <c r="AA399" s="5"/>
      <c r="AB399" s="5"/>
      <c r="AC399" s="5"/>
      <c r="AD399" s="5">
        <f ca="1">IFERROR(__xludf.DUMMYFUNCTION("""COMPUTED_VALUE"""),68)</f>
        <v>68</v>
      </c>
      <c r="AE399" s="5">
        <f ca="1">IFERROR(__xludf.DUMMYFUNCTION("""COMPUTED_VALUE"""),68)</f>
        <v>68</v>
      </c>
      <c r="AF399" s="5" t="b">
        <f ca="1">IFERROR(__xludf.DUMMYFUNCTION("""COMPUTED_VALUE"""),FALSE)</f>
        <v>0</v>
      </c>
      <c r="AG399" s="5" t="str">
        <f ca="1">IFERROR(__xludf.DUMMYFUNCTION("""COMPUTED_VALUE"""),"INSPECCIONES REALIZADAS")</f>
        <v>INSPECCIONES REALIZADAS</v>
      </c>
      <c r="AH399" s="5"/>
    </row>
    <row r="400" spans="1:34">
      <c r="A400" s="5" t="str">
        <f ca="1">IFERROR(__xludf.DUMMYFUNCTION("""COMPUTED_VALUE"""),"LINEA DE ENVASADO FAMILIAR Y PRB")</f>
        <v>LINEA DE ENVASADO FAMILIAR Y PRB</v>
      </c>
      <c r="B400" s="5">
        <f ca="1">IFERROR(__xludf.DUMMYFUNCTION("""COMPUTED_VALUE"""),828006)</f>
        <v>828006</v>
      </c>
      <c r="C400" s="5" t="str">
        <f ca="1">IFERROR(__xludf.DUMMYFUNCTION("""COMPUTED_VALUE"""),"EMPACADORA")</f>
        <v>EMPACADORA</v>
      </c>
      <c r="D400" s="5">
        <f ca="1">IFERROR(__xludf.DUMMYFUNCTION("""COMPUTED_VALUE"""),13247271)</f>
        <v>13247271</v>
      </c>
      <c r="E400" s="5" t="str">
        <f ca="1">IFERROR(__xludf.DUMMYFUNCTION("""COMPUTED_VALUE"""),"INSPECCION SEMANAL EMPACADORA")</f>
        <v>INSPECCION SEMANAL EMPACADORA</v>
      </c>
      <c r="F400" s="5" t="str">
        <f ca="1">IFERROR(__xludf.DUMMYFUNCTION("""COMPUTED_VALUE"""),"Fugas de aire o aceite")</f>
        <v>Fugas de aire o aceite</v>
      </c>
      <c r="G400" s="5" t="b">
        <f ca="1">IFERROR(__xludf.DUMMYFUNCTION("""COMPUTED_VALUE"""),TRUE)</f>
        <v>1</v>
      </c>
      <c r="H400" s="5"/>
      <c r="I400" s="5"/>
      <c r="J400" s="5">
        <f ca="1">IFERROR(__xludf.DUMMYFUNCTION("""COMPUTED_VALUE"""),13247271)</f>
        <v>13247271</v>
      </c>
      <c r="K400" s="5"/>
      <c r="L400" s="18">
        <f ca="1">IFERROR(__xludf.DUMMYFUNCTION("""COMPUTED_VALUE"""),45324)</f>
        <v>45324</v>
      </c>
      <c r="M400" s="18">
        <f ca="1">IFERROR(__xludf.DUMMYFUNCTION("""COMPUTED_VALUE"""),45324)</f>
        <v>45324</v>
      </c>
      <c r="N400" s="5" t="str">
        <f ca="1">IFERROR(__xludf.DUMMYFUNCTION("""COMPUTED_VALUE"""),"Andrés Felipe Pérez Polania")</f>
        <v>Andrés Felipe Pérez Polania</v>
      </c>
      <c r="O400" s="2">
        <f ca="1">IFERROR(__xludf.DUMMYFUNCTION("""COMPUTED_VALUE"""),0.005555556)</f>
        <v>5.5555559999999997E-3</v>
      </c>
      <c r="P400" s="5">
        <f ca="1">IFERROR(__xludf.DUMMYFUNCTION("""COMPUTED_VALUE"""),1919044)</f>
        <v>1919044</v>
      </c>
      <c r="Q400" s="5" t="str">
        <f ca="1">IFERROR(__xludf.DUMMYFUNCTION("""COMPUTED_VALUE"""),"IbT3KlkPwS8")</f>
        <v>IbT3KlkPwS8</v>
      </c>
      <c r="R400" s="5">
        <f ca="1">IFERROR(__xludf.DUMMYFUNCTION("""COMPUTED_VALUE"""),410)</f>
        <v>410</v>
      </c>
      <c r="S400" s="62">
        <f ca="1">IFERROR(__xludf.DUMMYFUNCTION("""COMPUTED_VALUE"""),0.005555556)</f>
        <v>5.5555559999999997E-3</v>
      </c>
      <c r="T400" s="63" t="str">
        <f ca="1">IFERROR(__xludf.DUMMYFUNCTION("""COMPUTED_VALUE"""),"https://storage.googleapis.com/glide-prod.appspot.com/uploads-v2/ly7o78grxPaC6KdgvbpS/pub/3aRdSog0vUtuqPE8AJKD.png")</f>
        <v>https://storage.googleapis.com/glide-prod.appspot.com/uploads-v2/ly7o78grxPaC6KdgvbpS/pub/3aRdSog0vUtuqPE8AJKD.png</v>
      </c>
      <c r="U400" s="5" t="str">
        <f ca="1">IFERROR(__xludf.DUMMYFUNCTION("""COMPUTED_VALUE"""),"LINEA DE ENVASADO FAMILIAR Y PRBEMPACADORA")</f>
        <v>LINEA DE ENVASADO FAMILIAR Y PRBEMPACADORA</v>
      </c>
      <c r="V400" s="5"/>
      <c r="W400" s="5" t="b">
        <f ca="1">IFERROR(__xludf.DUMMYFUNCTION("""COMPUTED_VALUE"""),TRUE)</f>
        <v>1</v>
      </c>
      <c r="X400" s="5" t="str">
        <f ca="1">IFERROR(__xludf.DUMMYFUNCTION("""COMPUTED_VALUE"""),"wguerra@postobon.com.co,aprmttoyu@postobon.com.co,aprmyu@postobon.com.co,wmora@postobon.com.co,efzapata@postobon.com.co")</f>
        <v>wguerra@postobon.com.co,aprmttoyu@postobon.com.co,aprmyu@postobon.com.co,wmora@postobon.com.co,efzapata@postobon.com.co</v>
      </c>
      <c r="Y400" s="5" t="str">
        <f ca="1">IFERROR(__xludf.DUMMYFUNCTION("""COMPUTED_VALUE"""),"wguerra@postobon.com.co")</f>
        <v>wguerra@postobon.com.co</v>
      </c>
      <c r="Z400" s="5" t="str">
        <f ca="1">IFERROR(__xludf.DUMMYFUNCTION("""COMPUTED_VALUE"""),"H8Avf6v8Qj2oMg2RlW7dkw")</f>
        <v>H8Avf6v8Qj2oMg2RlW7dkw</v>
      </c>
      <c r="AA400" s="5"/>
      <c r="AB400" s="5"/>
      <c r="AC400" s="5"/>
      <c r="AD400" s="5">
        <f ca="1">IFERROR(__xludf.DUMMYFUNCTION("""COMPUTED_VALUE"""),63)</f>
        <v>63</v>
      </c>
      <c r="AE400" s="5">
        <f ca="1">IFERROR(__xludf.DUMMYFUNCTION("""COMPUTED_VALUE"""),63)</f>
        <v>63</v>
      </c>
      <c r="AF400" s="5" t="b">
        <f ca="1">IFERROR(__xludf.DUMMYFUNCTION("""COMPUTED_VALUE"""),FALSE)</f>
        <v>0</v>
      </c>
      <c r="AG400" s="5" t="str">
        <f ca="1">IFERROR(__xludf.DUMMYFUNCTION("""COMPUTED_VALUE"""),"INSPECCIONES REALIZADAS")</f>
        <v>INSPECCIONES REALIZADAS</v>
      </c>
      <c r="AH400" s="5"/>
    </row>
    <row r="401" spans="1:34">
      <c r="A401" s="5" t="str">
        <f ca="1">IFERROR(__xludf.DUMMYFUNCTION("""COMPUTED_VALUE"""),"LINEA DE ENVASADO FAMILIAR Y PRB")</f>
        <v>LINEA DE ENVASADO FAMILIAR Y PRB</v>
      </c>
      <c r="B401" s="5">
        <f ca="1">IFERROR(__xludf.DUMMYFUNCTION("""COMPUTED_VALUE"""),828006)</f>
        <v>828006</v>
      </c>
      <c r="C401" s="5" t="str">
        <f ca="1">IFERROR(__xludf.DUMMYFUNCTION("""COMPUTED_VALUE"""),"EMPACADORA")</f>
        <v>EMPACADORA</v>
      </c>
      <c r="D401" s="5">
        <f ca="1">IFERROR(__xludf.DUMMYFUNCTION("""COMPUTED_VALUE"""),13247271)</f>
        <v>13247271</v>
      </c>
      <c r="E401" s="5" t="str">
        <f ca="1">IFERROR(__xludf.DUMMYFUNCTION("""COMPUTED_VALUE"""),"INSPECCION SEMANAL EMPACADORA")</f>
        <v>INSPECCION SEMANAL EMPACADORA</v>
      </c>
      <c r="F401" s="5" t="str">
        <f ca="1">IFERROR(__xludf.DUMMYFUNCTION("""COMPUTED_VALUE"""),"Estado de pintura")</f>
        <v>Estado de pintura</v>
      </c>
      <c r="G401" s="5" t="b">
        <f ca="1">IFERROR(__xludf.DUMMYFUNCTION("""COMPUTED_VALUE"""),TRUE)</f>
        <v>1</v>
      </c>
      <c r="H401" s="5"/>
      <c r="I401" s="5"/>
      <c r="J401" s="5">
        <f ca="1">IFERROR(__xludf.DUMMYFUNCTION("""COMPUTED_VALUE"""),13247271)</f>
        <v>13247271</v>
      </c>
      <c r="K401" s="5"/>
      <c r="L401" s="18">
        <f ca="1">IFERROR(__xludf.DUMMYFUNCTION("""COMPUTED_VALUE"""),45324)</f>
        <v>45324</v>
      </c>
      <c r="M401" s="18">
        <f ca="1">IFERROR(__xludf.DUMMYFUNCTION("""COMPUTED_VALUE"""),45324)</f>
        <v>45324</v>
      </c>
      <c r="N401" s="5" t="str">
        <f ca="1">IFERROR(__xludf.DUMMYFUNCTION("""COMPUTED_VALUE"""),"Andrés Felipe Pérez Polania")</f>
        <v>Andrés Felipe Pérez Polania</v>
      </c>
      <c r="O401" s="2">
        <f ca="1">IFERROR(__xludf.DUMMYFUNCTION("""COMPUTED_VALUE"""),0.005555556)</f>
        <v>5.5555559999999997E-3</v>
      </c>
      <c r="P401" s="5">
        <f ca="1">IFERROR(__xludf.DUMMYFUNCTION("""COMPUTED_VALUE"""),1919044)</f>
        <v>1919044</v>
      </c>
      <c r="Q401" s="5" t="str">
        <f ca="1">IFERROR(__xludf.DUMMYFUNCTION("""COMPUTED_VALUE"""),"zU6Euix_Vb0")</f>
        <v>zU6Euix_Vb0</v>
      </c>
      <c r="R401" s="5">
        <f ca="1">IFERROR(__xludf.DUMMYFUNCTION("""COMPUTED_VALUE"""),410)</f>
        <v>410</v>
      </c>
      <c r="S401" s="62">
        <f ca="1">IFERROR(__xludf.DUMMYFUNCTION("""COMPUTED_VALUE"""),0.005555556)</f>
        <v>5.5555559999999997E-3</v>
      </c>
      <c r="T401" s="63" t="str">
        <f ca="1">IFERROR(__xludf.DUMMYFUNCTION("""COMPUTED_VALUE"""),"https://storage.googleapis.com/glide-prod.appspot.com/uploads-v2/ly7o78grxPaC6KdgvbpS/pub/3aRdSog0vUtuqPE8AJKD.png")</f>
        <v>https://storage.googleapis.com/glide-prod.appspot.com/uploads-v2/ly7o78grxPaC6KdgvbpS/pub/3aRdSog0vUtuqPE8AJKD.png</v>
      </c>
      <c r="U401" s="5" t="str">
        <f ca="1">IFERROR(__xludf.DUMMYFUNCTION("""COMPUTED_VALUE"""),"LINEA DE ENVASADO FAMILIAR Y PRBEMPACADORA")</f>
        <v>LINEA DE ENVASADO FAMILIAR Y PRBEMPACADORA</v>
      </c>
      <c r="V401" s="5"/>
      <c r="W401" s="5" t="b">
        <f ca="1">IFERROR(__xludf.DUMMYFUNCTION("""COMPUTED_VALUE"""),TRUE)</f>
        <v>1</v>
      </c>
      <c r="X401" s="5" t="str">
        <f ca="1">IFERROR(__xludf.DUMMYFUNCTION("""COMPUTED_VALUE"""),"wguerra@postobon.com.co,aprmttoyu@postobon.com.co,aprmyu@postobon.com.co,wmora@postobon.com.co,efzapata@postobon.com.co")</f>
        <v>wguerra@postobon.com.co,aprmttoyu@postobon.com.co,aprmyu@postobon.com.co,wmora@postobon.com.co,efzapata@postobon.com.co</v>
      </c>
      <c r="Y401" s="5" t="str">
        <f ca="1">IFERROR(__xludf.DUMMYFUNCTION("""COMPUTED_VALUE"""),"wguerra@postobon.com.co")</f>
        <v>wguerra@postobon.com.co</v>
      </c>
      <c r="Z401" s="5" t="str">
        <f ca="1">IFERROR(__xludf.DUMMYFUNCTION("""COMPUTED_VALUE"""),"7UvKdfAKTp-M0WjFImLlBw")</f>
        <v>7UvKdfAKTp-M0WjFImLlBw</v>
      </c>
      <c r="AA401" s="5"/>
      <c r="AB401" s="5"/>
      <c r="AC401" s="5"/>
      <c r="AD401" s="5">
        <f ca="1">IFERROR(__xludf.DUMMYFUNCTION("""COMPUTED_VALUE"""),63)</f>
        <v>63</v>
      </c>
      <c r="AE401" s="5">
        <f ca="1">IFERROR(__xludf.DUMMYFUNCTION("""COMPUTED_VALUE"""),63)</f>
        <v>63</v>
      </c>
      <c r="AF401" s="5" t="b">
        <f ca="1">IFERROR(__xludf.DUMMYFUNCTION("""COMPUTED_VALUE"""),FALSE)</f>
        <v>0</v>
      </c>
      <c r="AG401" s="5" t="str">
        <f ca="1">IFERROR(__xludf.DUMMYFUNCTION("""COMPUTED_VALUE"""),"INSPECCIONES REALIZADAS")</f>
        <v>INSPECCIONES REALIZADAS</v>
      </c>
      <c r="AH401" s="5"/>
    </row>
    <row r="402" spans="1:34">
      <c r="A402" s="5" t="str">
        <f ca="1">IFERROR(__xludf.DUMMYFUNCTION("""COMPUTED_VALUE"""),"LINEA DE ENVASADO FAMILIAR Y PRB")</f>
        <v>LINEA DE ENVASADO FAMILIAR Y PRB</v>
      </c>
      <c r="B402" s="5">
        <f ca="1">IFERROR(__xludf.DUMMYFUNCTION("""COMPUTED_VALUE"""),828006)</f>
        <v>828006</v>
      </c>
      <c r="C402" s="5" t="str">
        <f ca="1">IFERROR(__xludf.DUMMYFUNCTION("""COMPUTED_VALUE"""),"EMPACADORA")</f>
        <v>EMPACADORA</v>
      </c>
      <c r="D402" s="5">
        <f ca="1">IFERROR(__xludf.DUMMYFUNCTION("""COMPUTED_VALUE"""),13247271)</f>
        <v>13247271</v>
      </c>
      <c r="E402" s="5" t="str">
        <f ca="1">IFERROR(__xludf.DUMMYFUNCTION("""COMPUTED_VALUE"""),"INSPECCION SEMANAL EMPACADORA")</f>
        <v>INSPECCION SEMANAL EMPACADORA</v>
      </c>
      <c r="F402" s="5" t="str">
        <f ca="1">IFERROR(__xludf.DUMMYFUNCTION("""COMPUTED_VALUE"""),"Estado de las membranas y cabezote")</f>
        <v>Estado de las membranas y cabezote</v>
      </c>
      <c r="G402" s="5" t="b">
        <f ca="1">IFERROR(__xludf.DUMMYFUNCTION("""COMPUTED_VALUE"""),TRUE)</f>
        <v>1</v>
      </c>
      <c r="H402" s="5"/>
      <c r="I402" s="5"/>
      <c r="J402" s="5">
        <f ca="1">IFERROR(__xludf.DUMMYFUNCTION("""COMPUTED_VALUE"""),13247271)</f>
        <v>13247271</v>
      </c>
      <c r="K402" s="5"/>
      <c r="L402" s="18">
        <f ca="1">IFERROR(__xludf.DUMMYFUNCTION("""COMPUTED_VALUE"""),45324)</f>
        <v>45324</v>
      </c>
      <c r="M402" s="18">
        <f ca="1">IFERROR(__xludf.DUMMYFUNCTION("""COMPUTED_VALUE"""),45324)</f>
        <v>45324</v>
      </c>
      <c r="N402" s="5" t="str">
        <f ca="1">IFERROR(__xludf.DUMMYFUNCTION("""COMPUTED_VALUE"""),"Andrés Felipe Pérez Polania")</f>
        <v>Andrés Felipe Pérez Polania</v>
      </c>
      <c r="O402" s="2">
        <f ca="1">IFERROR(__xludf.DUMMYFUNCTION("""COMPUTED_VALUE"""),0.005555556)</f>
        <v>5.5555559999999997E-3</v>
      </c>
      <c r="P402" s="5">
        <f ca="1">IFERROR(__xludf.DUMMYFUNCTION("""COMPUTED_VALUE"""),1919044)</f>
        <v>1919044</v>
      </c>
      <c r="Q402" s="5" t="str">
        <f ca="1">IFERROR(__xludf.DUMMYFUNCTION("""COMPUTED_VALUE"""),"zepx4GL6U64")</f>
        <v>zepx4GL6U64</v>
      </c>
      <c r="R402" s="5">
        <f ca="1">IFERROR(__xludf.DUMMYFUNCTION("""COMPUTED_VALUE"""),410)</f>
        <v>410</v>
      </c>
      <c r="S402" s="62">
        <f ca="1">IFERROR(__xludf.DUMMYFUNCTION("""COMPUTED_VALUE"""),0.005555556)</f>
        <v>5.5555559999999997E-3</v>
      </c>
      <c r="T402" s="63" t="str">
        <f ca="1">IFERROR(__xludf.DUMMYFUNCTION("""COMPUTED_VALUE"""),"https://storage.googleapis.com/glide-prod.appspot.com/uploads-v2/ly7o78grxPaC6KdgvbpS/pub/3aRdSog0vUtuqPE8AJKD.png")</f>
        <v>https://storage.googleapis.com/glide-prod.appspot.com/uploads-v2/ly7o78grxPaC6KdgvbpS/pub/3aRdSog0vUtuqPE8AJKD.png</v>
      </c>
      <c r="U402" s="5" t="str">
        <f ca="1">IFERROR(__xludf.DUMMYFUNCTION("""COMPUTED_VALUE"""),"LINEA DE ENVASADO FAMILIAR Y PRBEMPACADORA")</f>
        <v>LINEA DE ENVASADO FAMILIAR Y PRBEMPACADORA</v>
      </c>
      <c r="V402" s="5"/>
      <c r="W402" s="5" t="b">
        <f ca="1">IFERROR(__xludf.DUMMYFUNCTION("""COMPUTED_VALUE"""),TRUE)</f>
        <v>1</v>
      </c>
      <c r="X402" s="5" t="str">
        <f ca="1">IFERROR(__xludf.DUMMYFUNCTION("""COMPUTED_VALUE"""),"wguerra@postobon.com.co,aprmttoyu@postobon.com.co,aprmyu@postobon.com.co,wmora@postobon.com.co,efzapata@postobon.com.co")</f>
        <v>wguerra@postobon.com.co,aprmttoyu@postobon.com.co,aprmyu@postobon.com.co,wmora@postobon.com.co,efzapata@postobon.com.co</v>
      </c>
      <c r="Y402" s="5" t="str">
        <f ca="1">IFERROR(__xludf.DUMMYFUNCTION("""COMPUTED_VALUE"""),"wguerra@postobon.com.co")</f>
        <v>wguerra@postobon.com.co</v>
      </c>
      <c r="Z402" s="5" t="str">
        <f ca="1">IFERROR(__xludf.DUMMYFUNCTION("""COMPUTED_VALUE"""),"eU5At5wdQiiRKOs8R.NqIQ")</f>
        <v>eU5At5wdQiiRKOs8R.NqIQ</v>
      </c>
      <c r="AA402" s="5"/>
      <c r="AB402" s="5"/>
      <c r="AC402" s="5"/>
      <c r="AD402" s="5">
        <f ca="1">IFERROR(__xludf.DUMMYFUNCTION("""COMPUTED_VALUE"""),63)</f>
        <v>63</v>
      </c>
      <c r="AE402" s="5">
        <f ca="1">IFERROR(__xludf.DUMMYFUNCTION("""COMPUTED_VALUE"""),63)</f>
        <v>63</v>
      </c>
      <c r="AF402" s="5" t="b">
        <f ca="1">IFERROR(__xludf.DUMMYFUNCTION("""COMPUTED_VALUE"""),FALSE)</f>
        <v>0</v>
      </c>
      <c r="AG402" s="5" t="str">
        <f ca="1">IFERROR(__xludf.DUMMYFUNCTION("""COMPUTED_VALUE"""),"INSPECCIONES REALIZADAS")</f>
        <v>INSPECCIONES REALIZADAS</v>
      </c>
      <c r="AH402" s="5"/>
    </row>
    <row r="403" spans="1:34">
      <c r="A403" s="5" t="str">
        <f ca="1">IFERROR(__xludf.DUMMYFUNCTION("""COMPUTED_VALUE"""),"LINEA DE ENVASADO FAMILIAR Y PRB")</f>
        <v>LINEA DE ENVASADO FAMILIAR Y PRB</v>
      </c>
      <c r="B403" s="5">
        <f ca="1">IFERROR(__xludf.DUMMYFUNCTION("""COMPUTED_VALUE"""),828006)</f>
        <v>828006</v>
      </c>
      <c r="C403" s="5" t="str">
        <f ca="1">IFERROR(__xludf.DUMMYFUNCTION("""COMPUTED_VALUE"""),"EMPACADORA")</f>
        <v>EMPACADORA</v>
      </c>
      <c r="D403" s="5">
        <f ca="1">IFERROR(__xludf.DUMMYFUNCTION("""COMPUTED_VALUE"""),13247271)</f>
        <v>13247271</v>
      </c>
      <c r="E403" s="5" t="str">
        <f ca="1">IFERROR(__xludf.DUMMYFUNCTION("""COMPUTED_VALUE"""),"INSPECCION SEMANAL EMPACADORA")</f>
        <v>INSPECCION SEMANAL EMPACADORA</v>
      </c>
      <c r="F403" s="5" t="str">
        <f ca="1">IFERROR(__xludf.DUMMYFUNCTION("""COMPUTED_VALUE"""),"Estado de tableros eléctricos de mando, control y potencia")</f>
        <v>Estado de tableros eléctricos de mando, control y potencia</v>
      </c>
      <c r="G403" s="5" t="b">
        <f ca="1">IFERROR(__xludf.DUMMYFUNCTION("""COMPUTED_VALUE"""),TRUE)</f>
        <v>1</v>
      </c>
      <c r="H403" s="5"/>
      <c r="I403" s="5"/>
      <c r="J403" s="5">
        <f ca="1">IFERROR(__xludf.DUMMYFUNCTION("""COMPUTED_VALUE"""),13247271)</f>
        <v>13247271</v>
      </c>
      <c r="K403" s="5"/>
      <c r="L403" s="18">
        <f ca="1">IFERROR(__xludf.DUMMYFUNCTION("""COMPUTED_VALUE"""),45324)</f>
        <v>45324</v>
      </c>
      <c r="M403" s="18">
        <f ca="1">IFERROR(__xludf.DUMMYFUNCTION("""COMPUTED_VALUE"""),45324)</f>
        <v>45324</v>
      </c>
      <c r="N403" s="5" t="str">
        <f ca="1">IFERROR(__xludf.DUMMYFUNCTION("""COMPUTED_VALUE"""),"Andrés Felipe Pérez Polania")</f>
        <v>Andrés Felipe Pérez Polania</v>
      </c>
      <c r="O403" s="2">
        <f ca="1">IFERROR(__xludf.DUMMYFUNCTION("""COMPUTED_VALUE"""),0.005555556)</f>
        <v>5.5555559999999997E-3</v>
      </c>
      <c r="P403" s="5">
        <f ca="1">IFERROR(__xludf.DUMMYFUNCTION("""COMPUTED_VALUE"""),1919044)</f>
        <v>1919044</v>
      </c>
      <c r="Q403" s="5" t="str">
        <f ca="1">IFERROR(__xludf.DUMMYFUNCTION("""COMPUTED_VALUE"""),"iflkK9YqlLc")</f>
        <v>iflkK9YqlLc</v>
      </c>
      <c r="R403" s="5">
        <f ca="1">IFERROR(__xludf.DUMMYFUNCTION("""COMPUTED_VALUE"""),410)</f>
        <v>410</v>
      </c>
      <c r="S403" s="62">
        <f ca="1">IFERROR(__xludf.DUMMYFUNCTION("""COMPUTED_VALUE"""),0.005555556)</f>
        <v>5.5555559999999997E-3</v>
      </c>
      <c r="T403" s="63" t="str">
        <f ca="1">IFERROR(__xludf.DUMMYFUNCTION("""COMPUTED_VALUE"""),"https://storage.googleapis.com/glide-prod.appspot.com/uploads-v2/ly7o78grxPaC6KdgvbpS/pub/3aRdSog0vUtuqPE8AJKD.png")</f>
        <v>https://storage.googleapis.com/glide-prod.appspot.com/uploads-v2/ly7o78grxPaC6KdgvbpS/pub/3aRdSog0vUtuqPE8AJKD.png</v>
      </c>
      <c r="U403" s="5" t="str">
        <f ca="1">IFERROR(__xludf.DUMMYFUNCTION("""COMPUTED_VALUE"""),"LINEA DE ENVASADO FAMILIAR Y PRBEMPACADORA")</f>
        <v>LINEA DE ENVASADO FAMILIAR Y PRBEMPACADORA</v>
      </c>
      <c r="V403" s="5"/>
      <c r="W403" s="5" t="b">
        <f ca="1">IFERROR(__xludf.DUMMYFUNCTION("""COMPUTED_VALUE"""),TRUE)</f>
        <v>1</v>
      </c>
      <c r="X403" s="5" t="str">
        <f ca="1">IFERROR(__xludf.DUMMYFUNCTION("""COMPUTED_VALUE"""),"wguerra@postobon.com.co,aprmttoyu@postobon.com.co,aprmyu@postobon.com.co,wmora@postobon.com.co,efzapata@postobon.com.co")</f>
        <v>wguerra@postobon.com.co,aprmttoyu@postobon.com.co,aprmyu@postobon.com.co,wmora@postobon.com.co,efzapata@postobon.com.co</v>
      </c>
      <c r="Y403" s="5" t="str">
        <f ca="1">IFERROR(__xludf.DUMMYFUNCTION("""COMPUTED_VALUE"""),"wguerra@postobon.com.co")</f>
        <v>wguerra@postobon.com.co</v>
      </c>
      <c r="Z403" s="5" t="str">
        <f ca="1">IFERROR(__xludf.DUMMYFUNCTION("""COMPUTED_VALUE"""),"ES8i7N9rQyGVb4fqQZ-FBw")</f>
        <v>ES8i7N9rQyGVb4fqQZ-FBw</v>
      </c>
      <c r="AA403" s="5"/>
      <c r="AB403" s="5"/>
      <c r="AC403" s="5"/>
      <c r="AD403" s="5">
        <f ca="1">IFERROR(__xludf.DUMMYFUNCTION("""COMPUTED_VALUE"""),63)</f>
        <v>63</v>
      </c>
      <c r="AE403" s="5">
        <f ca="1">IFERROR(__xludf.DUMMYFUNCTION("""COMPUTED_VALUE"""),63)</f>
        <v>63</v>
      </c>
      <c r="AF403" s="5" t="b">
        <f ca="1">IFERROR(__xludf.DUMMYFUNCTION("""COMPUTED_VALUE"""),FALSE)</f>
        <v>0</v>
      </c>
      <c r="AG403" s="5" t="str">
        <f ca="1">IFERROR(__xludf.DUMMYFUNCTION("""COMPUTED_VALUE"""),"INSPECCIONES REALIZADAS")</f>
        <v>INSPECCIONES REALIZADAS</v>
      </c>
      <c r="AH403" s="5"/>
    </row>
    <row r="404" spans="1:34">
      <c r="A404" s="5" t="str">
        <f ca="1">IFERROR(__xludf.DUMMYFUNCTION("""COMPUTED_VALUE"""),"LINEA DE ENVASADO FAMILIAR Y PRB")</f>
        <v>LINEA DE ENVASADO FAMILIAR Y PRB</v>
      </c>
      <c r="B404" s="5">
        <f ca="1">IFERROR(__xludf.DUMMYFUNCTION("""COMPUTED_VALUE"""),828006)</f>
        <v>828006</v>
      </c>
      <c r="C404" s="5" t="str">
        <f ca="1">IFERROR(__xludf.DUMMYFUNCTION("""COMPUTED_VALUE"""),"EMPACADORA")</f>
        <v>EMPACADORA</v>
      </c>
      <c r="D404" s="5">
        <f ca="1">IFERROR(__xludf.DUMMYFUNCTION("""COMPUTED_VALUE"""),13247271)</f>
        <v>13247271</v>
      </c>
      <c r="E404" s="5" t="str">
        <f ca="1">IFERROR(__xludf.DUMMYFUNCTION("""COMPUTED_VALUE"""),"INSPECCION SEMANAL EMPACADORA")</f>
        <v>INSPECCION SEMANAL EMPACADORA</v>
      </c>
      <c r="F404" s="5" t="str">
        <f ca="1">IFERROR(__xludf.DUMMYFUNCTION("""COMPUTED_VALUE"""),"Estado mecánico general (chasis, pantógrafo, guardas, rotulas, bujes, pasadores, chumaceras y rodamientos)")</f>
        <v>Estado mecánico general (chasis, pantógrafo, guardas, rotulas, bujes, pasadores, chumaceras y rodamientos)</v>
      </c>
      <c r="G404" s="5" t="b">
        <f ca="1">IFERROR(__xludf.DUMMYFUNCTION("""COMPUTED_VALUE"""),TRUE)</f>
        <v>1</v>
      </c>
      <c r="H404" s="5"/>
      <c r="I404" s="5"/>
      <c r="J404" s="5">
        <f ca="1">IFERROR(__xludf.DUMMYFUNCTION("""COMPUTED_VALUE"""),13247271)</f>
        <v>13247271</v>
      </c>
      <c r="K404" s="5"/>
      <c r="L404" s="18">
        <f ca="1">IFERROR(__xludf.DUMMYFUNCTION("""COMPUTED_VALUE"""),45324)</f>
        <v>45324</v>
      </c>
      <c r="M404" s="18">
        <f ca="1">IFERROR(__xludf.DUMMYFUNCTION("""COMPUTED_VALUE"""),45324)</f>
        <v>45324</v>
      </c>
      <c r="N404" s="5" t="str">
        <f ca="1">IFERROR(__xludf.DUMMYFUNCTION("""COMPUTED_VALUE"""),"Andrés Felipe Pérez Polania")</f>
        <v>Andrés Felipe Pérez Polania</v>
      </c>
      <c r="O404" s="2">
        <f ca="1">IFERROR(__xludf.DUMMYFUNCTION("""COMPUTED_VALUE"""),0.005555556)</f>
        <v>5.5555559999999997E-3</v>
      </c>
      <c r="P404" s="5">
        <f ca="1">IFERROR(__xludf.DUMMYFUNCTION("""COMPUTED_VALUE"""),1919044)</f>
        <v>1919044</v>
      </c>
      <c r="Q404" s="5" t="str">
        <f ca="1">IFERROR(__xludf.DUMMYFUNCTION("""COMPUTED_VALUE"""),"vlsealcHVxI")</f>
        <v>vlsealcHVxI</v>
      </c>
      <c r="R404" s="5">
        <f ca="1">IFERROR(__xludf.DUMMYFUNCTION("""COMPUTED_VALUE"""),410)</f>
        <v>410</v>
      </c>
      <c r="S404" s="62">
        <f ca="1">IFERROR(__xludf.DUMMYFUNCTION("""COMPUTED_VALUE"""),0.005555556)</f>
        <v>5.5555559999999997E-3</v>
      </c>
      <c r="T404" s="63" t="str">
        <f ca="1">IFERROR(__xludf.DUMMYFUNCTION("""COMPUTED_VALUE"""),"https://storage.googleapis.com/glide-prod.appspot.com/uploads-v2/ly7o78grxPaC6KdgvbpS/pub/3aRdSog0vUtuqPE8AJKD.png")</f>
        <v>https://storage.googleapis.com/glide-prod.appspot.com/uploads-v2/ly7o78grxPaC6KdgvbpS/pub/3aRdSog0vUtuqPE8AJKD.png</v>
      </c>
      <c r="U404" s="5" t="str">
        <f ca="1">IFERROR(__xludf.DUMMYFUNCTION("""COMPUTED_VALUE"""),"LINEA DE ENVASADO FAMILIAR Y PRBEMPACADORA")</f>
        <v>LINEA DE ENVASADO FAMILIAR Y PRBEMPACADORA</v>
      </c>
      <c r="V404" s="5"/>
      <c r="W404" s="5" t="b">
        <f ca="1">IFERROR(__xludf.DUMMYFUNCTION("""COMPUTED_VALUE"""),TRUE)</f>
        <v>1</v>
      </c>
      <c r="X404" s="5" t="str">
        <f ca="1">IFERROR(__xludf.DUMMYFUNCTION("""COMPUTED_VALUE"""),"wguerra@postobon.com.co,aprmttoyu@postobon.com.co,aprmyu@postobon.com.co,wmora@postobon.com.co,efzapata@postobon.com.co")</f>
        <v>wguerra@postobon.com.co,aprmttoyu@postobon.com.co,aprmyu@postobon.com.co,wmora@postobon.com.co,efzapata@postobon.com.co</v>
      </c>
      <c r="Y404" s="5" t="str">
        <f ca="1">IFERROR(__xludf.DUMMYFUNCTION("""COMPUTED_VALUE"""),"wguerra@postobon.com.co")</f>
        <v>wguerra@postobon.com.co</v>
      </c>
      <c r="Z404" s="5" t="str">
        <f ca="1">IFERROR(__xludf.DUMMYFUNCTION("""COMPUTED_VALUE"""),"twofYzhFTHuJ5BfUVRS-Xw")</f>
        <v>twofYzhFTHuJ5BfUVRS-Xw</v>
      </c>
      <c r="AA404" s="5"/>
      <c r="AB404" s="5"/>
      <c r="AC404" s="5"/>
      <c r="AD404" s="5">
        <f ca="1">IFERROR(__xludf.DUMMYFUNCTION("""COMPUTED_VALUE"""),63)</f>
        <v>63</v>
      </c>
      <c r="AE404" s="5">
        <f ca="1">IFERROR(__xludf.DUMMYFUNCTION("""COMPUTED_VALUE"""),63)</f>
        <v>63</v>
      </c>
      <c r="AF404" s="5" t="b">
        <f ca="1">IFERROR(__xludf.DUMMYFUNCTION("""COMPUTED_VALUE"""),FALSE)</f>
        <v>0</v>
      </c>
      <c r="AG404" s="5" t="str">
        <f ca="1">IFERROR(__xludf.DUMMYFUNCTION("""COMPUTED_VALUE"""),"INSPECCIONES REALIZADAS")</f>
        <v>INSPECCIONES REALIZADAS</v>
      </c>
      <c r="AH404" s="5"/>
    </row>
    <row r="405" spans="1:34">
      <c r="A405" s="5" t="str">
        <f ca="1">IFERROR(__xludf.DUMMYFUNCTION("""COMPUTED_VALUE"""),"LINEA DE ENVASADO FAMILIAR Y PRB")</f>
        <v>LINEA DE ENVASADO FAMILIAR Y PRB</v>
      </c>
      <c r="B405" s="5">
        <f ca="1">IFERROR(__xludf.DUMMYFUNCTION("""COMPUTED_VALUE"""),828006)</f>
        <v>828006</v>
      </c>
      <c r="C405" s="5" t="str">
        <f ca="1">IFERROR(__xludf.DUMMYFUNCTION("""COMPUTED_VALUE"""),"EMPACADORA")</f>
        <v>EMPACADORA</v>
      </c>
      <c r="D405" s="5">
        <f ca="1">IFERROR(__xludf.DUMMYFUNCTION("""COMPUTED_VALUE"""),13247271)</f>
        <v>13247271</v>
      </c>
      <c r="E405" s="5" t="str">
        <f ca="1">IFERROR(__xludf.DUMMYFUNCTION("""COMPUTED_VALUE"""),"INSPECCION SEMANAL EMPACADORA")</f>
        <v>INSPECCION SEMANAL EMPACADORA</v>
      </c>
      <c r="F405" s="5" t="str">
        <f ca="1">IFERROR(__xludf.DUMMYFUNCTION("""COMPUTED_VALUE"""),"Estado de cadenas de transmision")</f>
        <v>Estado de cadenas de transmision</v>
      </c>
      <c r="G405" s="5" t="b">
        <f ca="1">IFERROR(__xludf.DUMMYFUNCTION("""COMPUTED_VALUE"""),TRUE)</f>
        <v>1</v>
      </c>
      <c r="H405" s="5"/>
      <c r="I405" s="5"/>
      <c r="J405" s="5">
        <f ca="1">IFERROR(__xludf.DUMMYFUNCTION("""COMPUTED_VALUE"""),13247271)</f>
        <v>13247271</v>
      </c>
      <c r="K405" s="5"/>
      <c r="L405" s="18">
        <f ca="1">IFERROR(__xludf.DUMMYFUNCTION("""COMPUTED_VALUE"""),45324)</f>
        <v>45324</v>
      </c>
      <c r="M405" s="18">
        <f ca="1">IFERROR(__xludf.DUMMYFUNCTION("""COMPUTED_VALUE"""),45324)</f>
        <v>45324</v>
      </c>
      <c r="N405" s="5" t="str">
        <f ca="1">IFERROR(__xludf.DUMMYFUNCTION("""COMPUTED_VALUE"""),"Andrés Felipe Pérez Polania")</f>
        <v>Andrés Felipe Pérez Polania</v>
      </c>
      <c r="O405" s="2">
        <f ca="1">IFERROR(__xludf.DUMMYFUNCTION("""COMPUTED_VALUE"""),0.005555556)</f>
        <v>5.5555559999999997E-3</v>
      </c>
      <c r="P405" s="5">
        <f ca="1">IFERROR(__xludf.DUMMYFUNCTION("""COMPUTED_VALUE"""),1919044)</f>
        <v>1919044</v>
      </c>
      <c r="Q405" s="5" t="str">
        <f ca="1">IFERROR(__xludf.DUMMYFUNCTION("""COMPUTED_VALUE"""),"3NsEs-_uUew")</f>
        <v>3NsEs-_uUew</v>
      </c>
      <c r="R405" s="5">
        <f ca="1">IFERROR(__xludf.DUMMYFUNCTION("""COMPUTED_VALUE"""),410)</f>
        <v>410</v>
      </c>
      <c r="S405" s="62">
        <f ca="1">IFERROR(__xludf.DUMMYFUNCTION("""COMPUTED_VALUE"""),0.005555556)</f>
        <v>5.5555559999999997E-3</v>
      </c>
      <c r="T405" s="63" t="str">
        <f ca="1">IFERROR(__xludf.DUMMYFUNCTION("""COMPUTED_VALUE"""),"https://storage.googleapis.com/glide-prod.appspot.com/uploads-v2/ly7o78grxPaC6KdgvbpS/pub/3aRdSog0vUtuqPE8AJKD.png")</f>
        <v>https://storage.googleapis.com/glide-prod.appspot.com/uploads-v2/ly7o78grxPaC6KdgvbpS/pub/3aRdSog0vUtuqPE8AJKD.png</v>
      </c>
      <c r="U405" s="5" t="str">
        <f ca="1">IFERROR(__xludf.DUMMYFUNCTION("""COMPUTED_VALUE"""),"LINEA DE ENVASADO FAMILIAR Y PRBEMPACADORA")</f>
        <v>LINEA DE ENVASADO FAMILIAR Y PRBEMPACADORA</v>
      </c>
      <c r="V405" s="5"/>
      <c r="W405" s="5" t="b">
        <f ca="1">IFERROR(__xludf.DUMMYFUNCTION("""COMPUTED_VALUE"""),TRUE)</f>
        <v>1</v>
      </c>
      <c r="X405" s="5" t="str">
        <f ca="1">IFERROR(__xludf.DUMMYFUNCTION("""COMPUTED_VALUE"""),"wguerra@postobon.com.co,aprmttoyu@postobon.com.co,aprmyu@postobon.com.co,wmora@postobon.com.co,efzapata@postobon.com.co")</f>
        <v>wguerra@postobon.com.co,aprmttoyu@postobon.com.co,aprmyu@postobon.com.co,wmora@postobon.com.co,efzapata@postobon.com.co</v>
      </c>
      <c r="Y405" s="5" t="str">
        <f ca="1">IFERROR(__xludf.DUMMYFUNCTION("""COMPUTED_VALUE"""),"wguerra@postobon.com.co")</f>
        <v>wguerra@postobon.com.co</v>
      </c>
      <c r="Z405" s="5" t="str">
        <f ca="1">IFERROR(__xludf.DUMMYFUNCTION("""COMPUTED_VALUE"""),"m8vuw0Z-QT2mSvbo0ziu5g")</f>
        <v>m8vuw0Z-QT2mSvbo0ziu5g</v>
      </c>
      <c r="AA405" s="5"/>
      <c r="AB405" s="5"/>
      <c r="AC405" s="5"/>
      <c r="AD405" s="5">
        <f ca="1">IFERROR(__xludf.DUMMYFUNCTION("""COMPUTED_VALUE"""),63)</f>
        <v>63</v>
      </c>
      <c r="AE405" s="5">
        <f ca="1">IFERROR(__xludf.DUMMYFUNCTION("""COMPUTED_VALUE"""),63)</f>
        <v>63</v>
      </c>
      <c r="AF405" s="5" t="b">
        <f ca="1">IFERROR(__xludf.DUMMYFUNCTION("""COMPUTED_VALUE"""),FALSE)</f>
        <v>0</v>
      </c>
      <c r="AG405" s="5" t="str">
        <f ca="1">IFERROR(__xludf.DUMMYFUNCTION("""COMPUTED_VALUE"""),"INSPECCIONES REALIZADAS")</f>
        <v>INSPECCIONES REALIZADAS</v>
      </c>
      <c r="AH405" s="5"/>
    </row>
    <row r="406" spans="1:34">
      <c r="A406" s="5" t="str">
        <f ca="1">IFERROR(__xludf.DUMMYFUNCTION("""COMPUTED_VALUE"""),"LINEA DE ENVASADO FAMILIAR Y PRB")</f>
        <v>LINEA DE ENVASADO FAMILIAR Y PRB</v>
      </c>
      <c r="B406" s="5">
        <f ca="1">IFERROR(__xludf.DUMMYFUNCTION("""COMPUTED_VALUE"""),828006)</f>
        <v>828006</v>
      </c>
      <c r="C406" s="5" t="str">
        <f ca="1">IFERROR(__xludf.DUMMYFUNCTION("""COMPUTED_VALUE"""),"EMPACADORA")</f>
        <v>EMPACADORA</v>
      </c>
      <c r="D406" s="5">
        <f ca="1">IFERROR(__xludf.DUMMYFUNCTION("""COMPUTED_VALUE"""),13247271)</f>
        <v>13247271</v>
      </c>
      <c r="E406" s="5" t="str">
        <f ca="1">IFERROR(__xludf.DUMMYFUNCTION("""COMPUTED_VALUE"""),"INSPECCION SEMANAL EMPACADORA")</f>
        <v>INSPECCION SEMANAL EMPACADORA</v>
      </c>
      <c r="F406" s="5" t="str">
        <f ca="1">IFERROR(__xludf.DUMMYFUNCTION("""COMPUTED_VALUE"""),"Estado de cadenas table top y piñones")</f>
        <v>Estado de cadenas table top y piñones</v>
      </c>
      <c r="G406" s="5" t="b">
        <f ca="1">IFERROR(__xludf.DUMMYFUNCTION("""COMPUTED_VALUE"""),TRUE)</f>
        <v>1</v>
      </c>
      <c r="H406" s="5"/>
      <c r="I406" s="5"/>
      <c r="J406" s="5">
        <f ca="1">IFERROR(__xludf.DUMMYFUNCTION("""COMPUTED_VALUE"""),13247271)</f>
        <v>13247271</v>
      </c>
      <c r="K406" s="5"/>
      <c r="L406" s="18">
        <f ca="1">IFERROR(__xludf.DUMMYFUNCTION("""COMPUTED_VALUE"""),45324)</f>
        <v>45324</v>
      </c>
      <c r="M406" s="18">
        <f ca="1">IFERROR(__xludf.DUMMYFUNCTION("""COMPUTED_VALUE"""),45324)</f>
        <v>45324</v>
      </c>
      <c r="N406" s="5" t="str">
        <f ca="1">IFERROR(__xludf.DUMMYFUNCTION("""COMPUTED_VALUE"""),"Andrés Felipe Pérez Polania")</f>
        <v>Andrés Felipe Pérez Polania</v>
      </c>
      <c r="O406" s="2">
        <f ca="1">IFERROR(__xludf.DUMMYFUNCTION("""COMPUTED_VALUE"""),0.005555556)</f>
        <v>5.5555559999999997E-3</v>
      </c>
      <c r="P406" s="5">
        <f ca="1">IFERROR(__xludf.DUMMYFUNCTION("""COMPUTED_VALUE"""),1919044)</f>
        <v>1919044</v>
      </c>
      <c r="Q406" s="5" t="str">
        <f ca="1">IFERROR(__xludf.DUMMYFUNCTION("""COMPUTED_VALUE"""),"OCKodeclafE")</f>
        <v>OCKodeclafE</v>
      </c>
      <c r="R406" s="5">
        <f ca="1">IFERROR(__xludf.DUMMYFUNCTION("""COMPUTED_VALUE"""),410)</f>
        <v>410</v>
      </c>
      <c r="S406" s="62">
        <f ca="1">IFERROR(__xludf.DUMMYFUNCTION("""COMPUTED_VALUE"""),0.005555556)</f>
        <v>5.5555559999999997E-3</v>
      </c>
      <c r="T406" s="63" t="str">
        <f ca="1">IFERROR(__xludf.DUMMYFUNCTION("""COMPUTED_VALUE"""),"https://storage.googleapis.com/glide-prod.appspot.com/uploads-v2/ly7o78grxPaC6KdgvbpS/pub/3aRdSog0vUtuqPE8AJKD.png")</f>
        <v>https://storage.googleapis.com/glide-prod.appspot.com/uploads-v2/ly7o78grxPaC6KdgvbpS/pub/3aRdSog0vUtuqPE8AJKD.png</v>
      </c>
      <c r="U406" s="5" t="str">
        <f ca="1">IFERROR(__xludf.DUMMYFUNCTION("""COMPUTED_VALUE"""),"LINEA DE ENVASADO FAMILIAR Y PRBEMPACADORA")</f>
        <v>LINEA DE ENVASADO FAMILIAR Y PRBEMPACADORA</v>
      </c>
      <c r="V406" s="5"/>
      <c r="W406" s="5" t="b">
        <f ca="1">IFERROR(__xludf.DUMMYFUNCTION("""COMPUTED_VALUE"""),TRUE)</f>
        <v>1</v>
      </c>
      <c r="X406" s="5" t="str">
        <f ca="1">IFERROR(__xludf.DUMMYFUNCTION("""COMPUTED_VALUE"""),"wguerra@postobon.com.co,aprmttoyu@postobon.com.co,aprmyu@postobon.com.co,wmora@postobon.com.co,efzapata@postobon.com.co")</f>
        <v>wguerra@postobon.com.co,aprmttoyu@postobon.com.co,aprmyu@postobon.com.co,wmora@postobon.com.co,efzapata@postobon.com.co</v>
      </c>
      <c r="Y406" s="5" t="str">
        <f ca="1">IFERROR(__xludf.DUMMYFUNCTION("""COMPUTED_VALUE"""),"wguerra@postobon.com.co")</f>
        <v>wguerra@postobon.com.co</v>
      </c>
      <c r="Z406" s="5" t="str">
        <f ca="1">IFERROR(__xludf.DUMMYFUNCTION("""COMPUTED_VALUE"""),"vL9.AppCQ-aDOUvyhTeoTw")</f>
        <v>vL9.AppCQ-aDOUvyhTeoTw</v>
      </c>
      <c r="AA406" s="5"/>
      <c r="AB406" s="5"/>
      <c r="AC406" s="5"/>
      <c r="AD406" s="5">
        <f ca="1">IFERROR(__xludf.DUMMYFUNCTION("""COMPUTED_VALUE"""),63)</f>
        <v>63</v>
      </c>
      <c r="AE406" s="5">
        <f ca="1">IFERROR(__xludf.DUMMYFUNCTION("""COMPUTED_VALUE"""),63)</f>
        <v>63</v>
      </c>
      <c r="AF406" s="5" t="b">
        <f ca="1">IFERROR(__xludf.DUMMYFUNCTION("""COMPUTED_VALUE"""),FALSE)</f>
        <v>0</v>
      </c>
      <c r="AG406" s="5" t="str">
        <f ca="1">IFERROR(__xludf.DUMMYFUNCTION("""COMPUTED_VALUE"""),"INSPECCIONES REALIZADAS")</f>
        <v>INSPECCIONES REALIZADAS</v>
      </c>
      <c r="AH406" s="5"/>
    </row>
    <row r="407" spans="1:34">
      <c r="A407" s="5" t="str">
        <f ca="1">IFERROR(__xludf.DUMMYFUNCTION("""COMPUTED_VALUE"""),"LINEA DE ENVASADO FAMILIAR Y PRB")</f>
        <v>LINEA DE ENVASADO FAMILIAR Y PRB</v>
      </c>
      <c r="B407" s="5">
        <f ca="1">IFERROR(__xludf.DUMMYFUNCTION("""COMPUTED_VALUE"""),828006)</f>
        <v>828006</v>
      </c>
      <c r="C407" s="5" t="str">
        <f ca="1">IFERROR(__xludf.DUMMYFUNCTION("""COMPUTED_VALUE"""),"EMPACADORA")</f>
        <v>EMPACADORA</v>
      </c>
      <c r="D407" s="5">
        <f ca="1">IFERROR(__xludf.DUMMYFUNCTION("""COMPUTED_VALUE"""),13247271)</f>
        <v>13247271</v>
      </c>
      <c r="E407" s="5" t="str">
        <f ca="1">IFERROR(__xludf.DUMMYFUNCTION("""COMPUTED_VALUE"""),"INSPECCION SEMANAL EMPACADORA")</f>
        <v>INSPECCION SEMANAL EMPACADORA</v>
      </c>
      <c r="F407" s="5" t="str">
        <f ca="1">IFERROR(__xludf.DUMMYFUNCTION("""COMPUTED_VALUE"""),"Estado unidad de mantenimiento neumatica")</f>
        <v>Estado unidad de mantenimiento neumatica</v>
      </c>
      <c r="G407" s="5" t="b">
        <f ca="1">IFERROR(__xludf.DUMMYFUNCTION("""COMPUTED_VALUE"""),TRUE)</f>
        <v>1</v>
      </c>
      <c r="H407" s="5"/>
      <c r="I407" s="5"/>
      <c r="J407" s="5">
        <f ca="1">IFERROR(__xludf.DUMMYFUNCTION("""COMPUTED_VALUE"""),13247271)</f>
        <v>13247271</v>
      </c>
      <c r="K407" s="5"/>
      <c r="L407" s="18">
        <f ca="1">IFERROR(__xludf.DUMMYFUNCTION("""COMPUTED_VALUE"""),45324)</f>
        <v>45324</v>
      </c>
      <c r="M407" s="18">
        <f ca="1">IFERROR(__xludf.DUMMYFUNCTION("""COMPUTED_VALUE"""),45324)</f>
        <v>45324</v>
      </c>
      <c r="N407" s="5" t="str">
        <f ca="1">IFERROR(__xludf.DUMMYFUNCTION("""COMPUTED_VALUE"""),"Andrés Felipe Pérez Polania")</f>
        <v>Andrés Felipe Pérez Polania</v>
      </c>
      <c r="O407" s="2">
        <f ca="1">IFERROR(__xludf.DUMMYFUNCTION("""COMPUTED_VALUE"""),0.005555556)</f>
        <v>5.5555559999999997E-3</v>
      </c>
      <c r="P407" s="5">
        <f ca="1">IFERROR(__xludf.DUMMYFUNCTION("""COMPUTED_VALUE"""),1919044)</f>
        <v>1919044</v>
      </c>
      <c r="Q407" s="5" t="str">
        <f ca="1">IFERROR(__xludf.DUMMYFUNCTION("""COMPUTED_VALUE"""),"nwi7DNiHLI4")</f>
        <v>nwi7DNiHLI4</v>
      </c>
      <c r="R407" s="5">
        <f ca="1">IFERROR(__xludf.DUMMYFUNCTION("""COMPUTED_VALUE"""),410)</f>
        <v>410</v>
      </c>
      <c r="S407" s="62">
        <f ca="1">IFERROR(__xludf.DUMMYFUNCTION("""COMPUTED_VALUE"""),0.005555556)</f>
        <v>5.5555559999999997E-3</v>
      </c>
      <c r="T407" s="63" t="str">
        <f ca="1">IFERROR(__xludf.DUMMYFUNCTION("""COMPUTED_VALUE"""),"https://storage.googleapis.com/glide-prod.appspot.com/uploads-v2/ly7o78grxPaC6KdgvbpS/pub/3aRdSog0vUtuqPE8AJKD.png")</f>
        <v>https://storage.googleapis.com/glide-prod.appspot.com/uploads-v2/ly7o78grxPaC6KdgvbpS/pub/3aRdSog0vUtuqPE8AJKD.png</v>
      </c>
      <c r="U407" s="5" t="str">
        <f ca="1">IFERROR(__xludf.DUMMYFUNCTION("""COMPUTED_VALUE"""),"LINEA DE ENVASADO FAMILIAR Y PRBEMPACADORA")</f>
        <v>LINEA DE ENVASADO FAMILIAR Y PRBEMPACADORA</v>
      </c>
      <c r="V407" s="5"/>
      <c r="W407" s="5" t="b">
        <f ca="1">IFERROR(__xludf.DUMMYFUNCTION("""COMPUTED_VALUE"""),TRUE)</f>
        <v>1</v>
      </c>
      <c r="X407" s="5" t="str">
        <f ca="1">IFERROR(__xludf.DUMMYFUNCTION("""COMPUTED_VALUE"""),"wguerra@postobon.com.co,aprmttoyu@postobon.com.co,aprmyu@postobon.com.co,wmora@postobon.com.co,efzapata@postobon.com.co")</f>
        <v>wguerra@postobon.com.co,aprmttoyu@postobon.com.co,aprmyu@postobon.com.co,wmora@postobon.com.co,efzapata@postobon.com.co</v>
      </c>
      <c r="Y407" s="5" t="str">
        <f ca="1">IFERROR(__xludf.DUMMYFUNCTION("""COMPUTED_VALUE"""),"wguerra@postobon.com.co")</f>
        <v>wguerra@postobon.com.co</v>
      </c>
      <c r="Z407" s="5" t="str">
        <f ca="1">IFERROR(__xludf.DUMMYFUNCTION("""COMPUTED_VALUE"""),"o6NdD5pcTMmn3dp2GgGP7g")</f>
        <v>o6NdD5pcTMmn3dp2GgGP7g</v>
      </c>
      <c r="AA407" s="5"/>
      <c r="AB407" s="5"/>
      <c r="AC407" s="5"/>
      <c r="AD407" s="5">
        <f ca="1">IFERROR(__xludf.DUMMYFUNCTION("""COMPUTED_VALUE"""),63)</f>
        <v>63</v>
      </c>
      <c r="AE407" s="5">
        <f ca="1">IFERROR(__xludf.DUMMYFUNCTION("""COMPUTED_VALUE"""),63)</f>
        <v>63</v>
      </c>
      <c r="AF407" s="5" t="b">
        <f ca="1">IFERROR(__xludf.DUMMYFUNCTION("""COMPUTED_VALUE"""),FALSE)</f>
        <v>0</v>
      </c>
      <c r="AG407" s="5" t="str">
        <f ca="1">IFERROR(__xludf.DUMMYFUNCTION("""COMPUTED_VALUE"""),"INSPECCIONES REALIZADAS")</f>
        <v>INSPECCIONES REALIZADAS</v>
      </c>
      <c r="AH407" s="5"/>
    </row>
    <row r="408" spans="1:34">
      <c r="A408" s="5" t="str">
        <f ca="1">IFERROR(__xludf.DUMMYFUNCTION("""COMPUTED_VALUE"""),"LINEA DE ENVASADO FAMILIAR Y PRB")</f>
        <v>LINEA DE ENVASADO FAMILIAR Y PRB</v>
      </c>
      <c r="B408" s="5">
        <f ca="1">IFERROR(__xludf.DUMMYFUNCTION("""COMPUTED_VALUE"""),828006)</f>
        <v>828006</v>
      </c>
      <c r="C408" s="5" t="str">
        <f ca="1">IFERROR(__xludf.DUMMYFUNCTION("""COMPUTED_VALUE"""),"EMPACADORA")</f>
        <v>EMPACADORA</v>
      </c>
      <c r="D408" s="5">
        <f ca="1">IFERROR(__xludf.DUMMYFUNCTION("""COMPUTED_VALUE"""),13247271)</f>
        <v>13247271</v>
      </c>
      <c r="E408" s="5" t="str">
        <f ca="1">IFERROR(__xludf.DUMMYFUNCTION("""COMPUTED_VALUE"""),"INSPECCION SEMANAL EMPACADORA")</f>
        <v>INSPECCION SEMANAL EMPACADORA</v>
      </c>
      <c r="F408" s="5" t="str">
        <f ca="1">IFERROR(__xludf.DUMMYFUNCTION("""COMPUTED_VALUE"""),"Estado de motores")</f>
        <v>Estado de motores</v>
      </c>
      <c r="G408" s="5" t="b">
        <f ca="1">IFERROR(__xludf.DUMMYFUNCTION("""COMPUTED_VALUE"""),TRUE)</f>
        <v>1</v>
      </c>
      <c r="H408" s="5"/>
      <c r="I408" s="5"/>
      <c r="J408" s="5">
        <f ca="1">IFERROR(__xludf.DUMMYFUNCTION("""COMPUTED_VALUE"""),13247271)</f>
        <v>13247271</v>
      </c>
      <c r="K408" s="5"/>
      <c r="L408" s="18">
        <f ca="1">IFERROR(__xludf.DUMMYFUNCTION("""COMPUTED_VALUE"""),45324)</f>
        <v>45324</v>
      </c>
      <c r="M408" s="18">
        <f ca="1">IFERROR(__xludf.DUMMYFUNCTION("""COMPUTED_VALUE"""),45324)</f>
        <v>45324</v>
      </c>
      <c r="N408" s="5" t="str">
        <f ca="1">IFERROR(__xludf.DUMMYFUNCTION("""COMPUTED_VALUE"""),"Andrés Felipe Pérez Polania")</f>
        <v>Andrés Felipe Pérez Polania</v>
      </c>
      <c r="O408" s="2">
        <f ca="1">IFERROR(__xludf.DUMMYFUNCTION("""COMPUTED_VALUE"""),0.005555556)</f>
        <v>5.5555559999999997E-3</v>
      </c>
      <c r="P408" s="5">
        <f ca="1">IFERROR(__xludf.DUMMYFUNCTION("""COMPUTED_VALUE"""),1919044)</f>
        <v>1919044</v>
      </c>
      <c r="Q408" s="5" t="str">
        <f ca="1">IFERROR(__xludf.DUMMYFUNCTION("""COMPUTED_VALUE"""),"i6ePcIg1-Xw")</f>
        <v>i6ePcIg1-Xw</v>
      </c>
      <c r="R408" s="5">
        <f ca="1">IFERROR(__xludf.DUMMYFUNCTION("""COMPUTED_VALUE"""),410)</f>
        <v>410</v>
      </c>
      <c r="S408" s="62">
        <f ca="1">IFERROR(__xludf.DUMMYFUNCTION("""COMPUTED_VALUE"""),0.005555556)</f>
        <v>5.5555559999999997E-3</v>
      </c>
      <c r="T408" s="63" t="str">
        <f ca="1">IFERROR(__xludf.DUMMYFUNCTION("""COMPUTED_VALUE"""),"https://storage.googleapis.com/glide-prod.appspot.com/uploads-v2/ly7o78grxPaC6KdgvbpS/pub/3aRdSog0vUtuqPE8AJKD.png")</f>
        <v>https://storage.googleapis.com/glide-prod.appspot.com/uploads-v2/ly7o78grxPaC6KdgvbpS/pub/3aRdSog0vUtuqPE8AJKD.png</v>
      </c>
      <c r="U408" s="5" t="str">
        <f ca="1">IFERROR(__xludf.DUMMYFUNCTION("""COMPUTED_VALUE"""),"LINEA DE ENVASADO FAMILIAR Y PRBEMPACADORA")</f>
        <v>LINEA DE ENVASADO FAMILIAR Y PRBEMPACADORA</v>
      </c>
      <c r="V408" s="5"/>
      <c r="W408" s="5" t="b">
        <f ca="1">IFERROR(__xludf.DUMMYFUNCTION("""COMPUTED_VALUE"""),TRUE)</f>
        <v>1</v>
      </c>
      <c r="X408" s="5" t="str">
        <f ca="1">IFERROR(__xludf.DUMMYFUNCTION("""COMPUTED_VALUE"""),"wguerra@postobon.com.co,aprmttoyu@postobon.com.co,aprmyu@postobon.com.co,wmora@postobon.com.co,efzapata@postobon.com.co")</f>
        <v>wguerra@postobon.com.co,aprmttoyu@postobon.com.co,aprmyu@postobon.com.co,wmora@postobon.com.co,efzapata@postobon.com.co</v>
      </c>
      <c r="Y408" s="5" t="str">
        <f ca="1">IFERROR(__xludf.DUMMYFUNCTION("""COMPUTED_VALUE"""),"wguerra@postobon.com.co")</f>
        <v>wguerra@postobon.com.co</v>
      </c>
      <c r="Z408" s="5" t="str">
        <f ca="1">IFERROR(__xludf.DUMMYFUNCTION("""COMPUTED_VALUE"""),"wyamljlDSjuPxruugFGFxQ")</f>
        <v>wyamljlDSjuPxruugFGFxQ</v>
      </c>
      <c r="AA408" s="5"/>
      <c r="AB408" s="5"/>
      <c r="AC408" s="5"/>
      <c r="AD408" s="5">
        <f ca="1">IFERROR(__xludf.DUMMYFUNCTION("""COMPUTED_VALUE"""),63)</f>
        <v>63</v>
      </c>
      <c r="AE408" s="5">
        <f ca="1">IFERROR(__xludf.DUMMYFUNCTION("""COMPUTED_VALUE"""),63)</f>
        <v>63</v>
      </c>
      <c r="AF408" s="5" t="b">
        <f ca="1">IFERROR(__xludf.DUMMYFUNCTION("""COMPUTED_VALUE"""),FALSE)</f>
        <v>0</v>
      </c>
      <c r="AG408" s="5" t="str">
        <f ca="1">IFERROR(__xludf.DUMMYFUNCTION("""COMPUTED_VALUE"""),"INSPECCIONES REALIZADAS")</f>
        <v>INSPECCIONES REALIZADAS</v>
      </c>
      <c r="AH408" s="5"/>
    </row>
    <row r="409" spans="1:34">
      <c r="A409" s="5" t="str">
        <f ca="1">IFERROR(__xludf.DUMMYFUNCTION("""COMPUTED_VALUE"""),"LINEA DE ENVASADO FAMILIAR Y PRB")</f>
        <v>LINEA DE ENVASADO FAMILIAR Y PRB</v>
      </c>
      <c r="B409" s="5">
        <f ca="1">IFERROR(__xludf.DUMMYFUNCTION("""COMPUTED_VALUE"""),828006)</f>
        <v>828006</v>
      </c>
      <c r="C409" s="5" t="str">
        <f ca="1">IFERROR(__xludf.DUMMYFUNCTION("""COMPUTED_VALUE"""),"EMPACADORA")</f>
        <v>EMPACADORA</v>
      </c>
      <c r="D409" s="5">
        <f ca="1">IFERROR(__xludf.DUMMYFUNCTION("""COMPUTED_VALUE"""),13247271)</f>
        <v>13247271</v>
      </c>
      <c r="E409" s="5" t="str">
        <f ca="1">IFERROR(__xludf.DUMMYFUNCTION("""COMPUTED_VALUE"""),"INSPECCION SEMANAL EMPACADORA")</f>
        <v>INSPECCION SEMANAL EMPACADORA</v>
      </c>
      <c r="F409" s="5" t="str">
        <f ca="1">IFERROR(__xludf.DUMMYFUNCTION("""COMPUTED_VALUE"""),"Estado de cajas reductoras")</f>
        <v>Estado de cajas reductoras</v>
      </c>
      <c r="G409" s="5" t="b">
        <f ca="1">IFERROR(__xludf.DUMMYFUNCTION("""COMPUTED_VALUE"""),TRUE)</f>
        <v>1</v>
      </c>
      <c r="H409" s="5"/>
      <c r="I409" s="5"/>
      <c r="J409" s="5">
        <f ca="1">IFERROR(__xludf.DUMMYFUNCTION("""COMPUTED_VALUE"""),13247271)</f>
        <v>13247271</v>
      </c>
      <c r="K409" s="5"/>
      <c r="L409" s="18">
        <f ca="1">IFERROR(__xludf.DUMMYFUNCTION("""COMPUTED_VALUE"""),45324)</f>
        <v>45324</v>
      </c>
      <c r="M409" s="18">
        <f ca="1">IFERROR(__xludf.DUMMYFUNCTION("""COMPUTED_VALUE"""),45324)</f>
        <v>45324</v>
      </c>
      <c r="N409" s="5" t="str">
        <f ca="1">IFERROR(__xludf.DUMMYFUNCTION("""COMPUTED_VALUE"""),"Andrés Felipe Pérez Polania")</f>
        <v>Andrés Felipe Pérez Polania</v>
      </c>
      <c r="O409" s="2">
        <f ca="1">IFERROR(__xludf.DUMMYFUNCTION("""COMPUTED_VALUE"""),0.005555556)</f>
        <v>5.5555559999999997E-3</v>
      </c>
      <c r="P409" s="5">
        <f ca="1">IFERROR(__xludf.DUMMYFUNCTION("""COMPUTED_VALUE"""),1919044)</f>
        <v>1919044</v>
      </c>
      <c r="Q409" s="5" t="str">
        <f ca="1">IFERROR(__xludf.DUMMYFUNCTION("""COMPUTED_VALUE"""),"hVg90ALyRW8")</f>
        <v>hVg90ALyRW8</v>
      </c>
      <c r="R409" s="5">
        <f ca="1">IFERROR(__xludf.DUMMYFUNCTION("""COMPUTED_VALUE"""),410)</f>
        <v>410</v>
      </c>
      <c r="S409" s="62">
        <f ca="1">IFERROR(__xludf.DUMMYFUNCTION("""COMPUTED_VALUE"""),0.005555556)</f>
        <v>5.5555559999999997E-3</v>
      </c>
      <c r="T409" s="63" t="str">
        <f ca="1">IFERROR(__xludf.DUMMYFUNCTION("""COMPUTED_VALUE"""),"https://storage.googleapis.com/glide-prod.appspot.com/uploads-v2/ly7o78grxPaC6KdgvbpS/pub/3aRdSog0vUtuqPE8AJKD.png")</f>
        <v>https://storage.googleapis.com/glide-prod.appspot.com/uploads-v2/ly7o78grxPaC6KdgvbpS/pub/3aRdSog0vUtuqPE8AJKD.png</v>
      </c>
      <c r="U409" s="5" t="str">
        <f ca="1">IFERROR(__xludf.DUMMYFUNCTION("""COMPUTED_VALUE"""),"LINEA DE ENVASADO FAMILIAR Y PRBEMPACADORA")</f>
        <v>LINEA DE ENVASADO FAMILIAR Y PRBEMPACADORA</v>
      </c>
      <c r="V409" s="5"/>
      <c r="W409" s="5" t="b">
        <f ca="1">IFERROR(__xludf.DUMMYFUNCTION("""COMPUTED_VALUE"""),TRUE)</f>
        <v>1</v>
      </c>
      <c r="X409" s="5" t="str">
        <f ca="1">IFERROR(__xludf.DUMMYFUNCTION("""COMPUTED_VALUE"""),"wguerra@postobon.com.co,aprmttoyu@postobon.com.co,aprmyu@postobon.com.co,wmora@postobon.com.co,efzapata@postobon.com.co")</f>
        <v>wguerra@postobon.com.co,aprmttoyu@postobon.com.co,aprmyu@postobon.com.co,wmora@postobon.com.co,efzapata@postobon.com.co</v>
      </c>
      <c r="Y409" s="5" t="str">
        <f ca="1">IFERROR(__xludf.DUMMYFUNCTION("""COMPUTED_VALUE"""),"wguerra@postobon.com.co")</f>
        <v>wguerra@postobon.com.co</v>
      </c>
      <c r="Z409" s="5" t="str">
        <f ca="1">IFERROR(__xludf.DUMMYFUNCTION("""COMPUTED_VALUE"""),"Q9l1FtcvSVq-Gvlr5n9yvw")</f>
        <v>Q9l1FtcvSVq-Gvlr5n9yvw</v>
      </c>
      <c r="AA409" s="5"/>
      <c r="AB409" s="5"/>
      <c r="AC409" s="5"/>
      <c r="AD409" s="5">
        <f ca="1">IFERROR(__xludf.DUMMYFUNCTION("""COMPUTED_VALUE"""),63)</f>
        <v>63</v>
      </c>
      <c r="AE409" s="5">
        <f ca="1">IFERROR(__xludf.DUMMYFUNCTION("""COMPUTED_VALUE"""),63)</f>
        <v>63</v>
      </c>
      <c r="AF409" s="5" t="b">
        <f ca="1">IFERROR(__xludf.DUMMYFUNCTION("""COMPUTED_VALUE"""),FALSE)</f>
        <v>0</v>
      </c>
      <c r="AG409" s="5" t="str">
        <f ca="1">IFERROR(__xludf.DUMMYFUNCTION("""COMPUTED_VALUE"""),"INSPECCIONES REALIZADAS")</f>
        <v>INSPECCIONES REALIZADAS</v>
      </c>
      <c r="AH409" s="5"/>
    </row>
    <row r="410" spans="1:34">
      <c r="A410" s="5" t="str">
        <f ca="1">IFERROR(__xludf.DUMMYFUNCTION("""COMPUTED_VALUE"""),"LINEA DE ENVASADO FAMILIAR Y PRB")</f>
        <v>LINEA DE ENVASADO FAMILIAR Y PRB</v>
      </c>
      <c r="B410" s="5">
        <f ca="1">IFERROR(__xludf.DUMMYFUNCTION("""COMPUTED_VALUE"""),828006)</f>
        <v>828006</v>
      </c>
      <c r="C410" s="5" t="str">
        <f ca="1">IFERROR(__xludf.DUMMYFUNCTION("""COMPUTED_VALUE"""),"EMPACADORA")</f>
        <v>EMPACADORA</v>
      </c>
      <c r="D410" s="5">
        <f ca="1">IFERROR(__xludf.DUMMYFUNCTION("""COMPUTED_VALUE"""),13247271)</f>
        <v>13247271</v>
      </c>
      <c r="E410" s="5" t="str">
        <f ca="1">IFERROR(__xludf.DUMMYFUNCTION("""COMPUTED_VALUE"""),"INSPECCION SEMANAL EMPACADORA")</f>
        <v>INSPECCION SEMANAL EMPACADORA</v>
      </c>
      <c r="F410" s="5" t="str">
        <f ca="1">IFERROR(__xludf.DUMMYFUNCTION("""COMPUTED_VALUE"""),"Estado de sensores")</f>
        <v>Estado de sensores</v>
      </c>
      <c r="G410" s="5" t="b">
        <f ca="1">IFERROR(__xludf.DUMMYFUNCTION("""COMPUTED_VALUE"""),TRUE)</f>
        <v>1</v>
      </c>
      <c r="H410" s="5"/>
      <c r="I410" s="5"/>
      <c r="J410" s="5">
        <f ca="1">IFERROR(__xludf.DUMMYFUNCTION("""COMPUTED_VALUE"""),13247271)</f>
        <v>13247271</v>
      </c>
      <c r="K410" s="5"/>
      <c r="L410" s="18">
        <f ca="1">IFERROR(__xludf.DUMMYFUNCTION("""COMPUTED_VALUE"""),45324)</f>
        <v>45324</v>
      </c>
      <c r="M410" s="18">
        <f ca="1">IFERROR(__xludf.DUMMYFUNCTION("""COMPUTED_VALUE"""),45324)</f>
        <v>45324</v>
      </c>
      <c r="N410" s="5" t="str">
        <f ca="1">IFERROR(__xludf.DUMMYFUNCTION("""COMPUTED_VALUE"""),"Andrés Felipe Pérez Polania")</f>
        <v>Andrés Felipe Pérez Polania</v>
      </c>
      <c r="O410" s="2">
        <f ca="1">IFERROR(__xludf.DUMMYFUNCTION("""COMPUTED_VALUE"""),0.005555556)</f>
        <v>5.5555559999999997E-3</v>
      </c>
      <c r="P410" s="5">
        <f ca="1">IFERROR(__xludf.DUMMYFUNCTION("""COMPUTED_VALUE"""),1919044)</f>
        <v>1919044</v>
      </c>
      <c r="Q410" s="5" t="str">
        <f ca="1">IFERROR(__xludf.DUMMYFUNCTION("""COMPUTED_VALUE"""),"9xZNJ2CY-yg")</f>
        <v>9xZNJ2CY-yg</v>
      </c>
      <c r="R410" s="5">
        <f ca="1">IFERROR(__xludf.DUMMYFUNCTION("""COMPUTED_VALUE"""),410)</f>
        <v>410</v>
      </c>
      <c r="S410" s="62">
        <f ca="1">IFERROR(__xludf.DUMMYFUNCTION("""COMPUTED_VALUE"""),0.005555556)</f>
        <v>5.5555559999999997E-3</v>
      </c>
      <c r="T410" s="63" t="str">
        <f ca="1">IFERROR(__xludf.DUMMYFUNCTION("""COMPUTED_VALUE"""),"https://storage.googleapis.com/glide-prod.appspot.com/uploads-v2/ly7o78grxPaC6KdgvbpS/pub/3aRdSog0vUtuqPE8AJKD.png")</f>
        <v>https://storage.googleapis.com/glide-prod.appspot.com/uploads-v2/ly7o78grxPaC6KdgvbpS/pub/3aRdSog0vUtuqPE8AJKD.png</v>
      </c>
      <c r="U410" s="5" t="str">
        <f ca="1">IFERROR(__xludf.DUMMYFUNCTION("""COMPUTED_VALUE"""),"LINEA DE ENVASADO FAMILIAR Y PRBEMPACADORA")</f>
        <v>LINEA DE ENVASADO FAMILIAR Y PRBEMPACADORA</v>
      </c>
      <c r="V410" s="5"/>
      <c r="W410" s="5" t="b">
        <f ca="1">IFERROR(__xludf.DUMMYFUNCTION("""COMPUTED_VALUE"""),TRUE)</f>
        <v>1</v>
      </c>
      <c r="X410" s="5" t="str">
        <f ca="1">IFERROR(__xludf.DUMMYFUNCTION("""COMPUTED_VALUE"""),"wguerra@postobon.com.co,aprmttoyu@postobon.com.co,aprmyu@postobon.com.co,wmora@postobon.com.co,efzapata@postobon.com.co")</f>
        <v>wguerra@postobon.com.co,aprmttoyu@postobon.com.co,aprmyu@postobon.com.co,wmora@postobon.com.co,efzapata@postobon.com.co</v>
      </c>
      <c r="Y410" s="5" t="str">
        <f ca="1">IFERROR(__xludf.DUMMYFUNCTION("""COMPUTED_VALUE"""),"wguerra@postobon.com.co")</f>
        <v>wguerra@postobon.com.co</v>
      </c>
      <c r="Z410" s="5" t="str">
        <f ca="1">IFERROR(__xludf.DUMMYFUNCTION("""COMPUTED_VALUE"""),"URTFir42Rkqd4A0Z88wv0g")</f>
        <v>URTFir42Rkqd4A0Z88wv0g</v>
      </c>
      <c r="AA410" s="5"/>
      <c r="AB410" s="5"/>
      <c r="AC410" s="5"/>
      <c r="AD410" s="5">
        <f ca="1">IFERROR(__xludf.DUMMYFUNCTION("""COMPUTED_VALUE"""),63)</f>
        <v>63</v>
      </c>
      <c r="AE410" s="5">
        <f ca="1">IFERROR(__xludf.DUMMYFUNCTION("""COMPUTED_VALUE"""),63)</f>
        <v>63</v>
      </c>
      <c r="AF410" s="5" t="b">
        <f ca="1">IFERROR(__xludf.DUMMYFUNCTION("""COMPUTED_VALUE"""),FALSE)</f>
        <v>0</v>
      </c>
      <c r="AG410" s="5" t="str">
        <f ca="1">IFERROR(__xludf.DUMMYFUNCTION("""COMPUTED_VALUE"""),"INSPECCIONES REALIZADAS")</f>
        <v>INSPECCIONES REALIZADAS</v>
      </c>
      <c r="AH410" s="5"/>
    </row>
    <row r="411" spans="1:34">
      <c r="A411" s="5" t="str">
        <f ca="1">IFERROR(__xludf.DUMMYFUNCTION("""COMPUTED_VALUE"""),"LINEA DE ENVASADO FAMILIAR Y PRB")</f>
        <v>LINEA DE ENVASADO FAMILIAR Y PRB</v>
      </c>
      <c r="B411" s="5">
        <f ca="1">IFERROR(__xludf.DUMMYFUNCTION("""COMPUTED_VALUE"""),828006)</f>
        <v>828006</v>
      </c>
      <c r="C411" s="5" t="str">
        <f ca="1">IFERROR(__xludf.DUMMYFUNCTION("""COMPUTED_VALUE"""),"EMPACADORA")</f>
        <v>EMPACADORA</v>
      </c>
      <c r="D411" s="5">
        <f ca="1">IFERROR(__xludf.DUMMYFUNCTION("""COMPUTED_VALUE"""),13247271)</f>
        <v>13247271</v>
      </c>
      <c r="E411" s="5" t="str">
        <f ca="1">IFERROR(__xludf.DUMMYFUNCTION("""COMPUTED_VALUE"""),"INSPECCION SEMANAL EMPACADORA")</f>
        <v>INSPECCION SEMANAL EMPACADORA</v>
      </c>
      <c r="F411" s="5" t="str">
        <f ca="1">IFERROR(__xludf.DUMMYFUNCTION("""COMPUTED_VALUE"""),"Estado de electroválvulas")</f>
        <v>Estado de electroválvulas</v>
      </c>
      <c r="G411" s="5" t="b">
        <f ca="1">IFERROR(__xludf.DUMMYFUNCTION("""COMPUTED_VALUE"""),TRUE)</f>
        <v>1</v>
      </c>
      <c r="H411" s="5"/>
      <c r="I411" s="5"/>
      <c r="J411" s="5">
        <f ca="1">IFERROR(__xludf.DUMMYFUNCTION("""COMPUTED_VALUE"""),13247271)</f>
        <v>13247271</v>
      </c>
      <c r="K411" s="5"/>
      <c r="L411" s="18">
        <f ca="1">IFERROR(__xludf.DUMMYFUNCTION("""COMPUTED_VALUE"""),45324)</f>
        <v>45324</v>
      </c>
      <c r="M411" s="18">
        <f ca="1">IFERROR(__xludf.DUMMYFUNCTION("""COMPUTED_VALUE"""),45324)</f>
        <v>45324</v>
      </c>
      <c r="N411" s="5" t="str">
        <f ca="1">IFERROR(__xludf.DUMMYFUNCTION("""COMPUTED_VALUE"""),"Andrés Felipe Pérez Polania")</f>
        <v>Andrés Felipe Pérez Polania</v>
      </c>
      <c r="O411" s="2">
        <f ca="1">IFERROR(__xludf.DUMMYFUNCTION("""COMPUTED_VALUE"""),0.005555556)</f>
        <v>5.5555559999999997E-3</v>
      </c>
      <c r="P411" s="5">
        <f ca="1">IFERROR(__xludf.DUMMYFUNCTION("""COMPUTED_VALUE"""),1919044)</f>
        <v>1919044</v>
      </c>
      <c r="Q411" s="5" t="str">
        <f ca="1">IFERROR(__xludf.DUMMYFUNCTION("""COMPUTED_VALUE"""),"WO7GxdEU1i0")</f>
        <v>WO7GxdEU1i0</v>
      </c>
      <c r="R411" s="5">
        <f ca="1">IFERROR(__xludf.DUMMYFUNCTION("""COMPUTED_VALUE"""),410)</f>
        <v>410</v>
      </c>
      <c r="S411" s="62">
        <f ca="1">IFERROR(__xludf.DUMMYFUNCTION("""COMPUTED_VALUE"""),0.005555556)</f>
        <v>5.5555559999999997E-3</v>
      </c>
      <c r="T411" s="63" t="str">
        <f ca="1">IFERROR(__xludf.DUMMYFUNCTION("""COMPUTED_VALUE"""),"https://storage.googleapis.com/glide-prod.appspot.com/uploads-v2/ly7o78grxPaC6KdgvbpS/pub/3aRdSog0vUtuqPE8AJKD.png")</f>
        <v>https://storage.googleapis.com/glide-prod.appspot.com/uploads-v2/ly7o78grxPaC6KdgvbpS/pub/3aRdSog0vUtuqPE8AJKD.png</v>
      </c>
      <c r="U411" s="5" t="str">
        <f ca="1">IFERROR(__xludf.DUMMYFUNCTION("""COMPUTED_VALUE"""),"LINEA DE ENVASADO FAMILIAR Y PRBEMPACADORA")</f>
        <v>LINEA DE ENVASADO FAMILIAR Y PRBEMPACADORA</v>
      </c>
      <c r="V411" s="5"/>
      <c r="W411" s="5" t="b">
        <f ca="1">IFERROR(__xludf.DUMMYFUNCTION("""COMPUTED_VALUE"""),TRUE)</f>
        <v>1</v>
      </c>
      <c r="X411" s="5" t="str">
        <f ca="1">IFERROR(__xludf.DUMMYFUNCTION("""COMPUTED_VALUE"""),"wguerra@postobon.com.co,aprmttoyu@postobon.com.co,aprmyu@postobon.com.co,wmora@postobon.com.co,efzapata@postobon.com.co")</f>
        <v>wguerra@postobon.com.co,aprmttoyu@postobon.com.co,aprmyu@postobon.com.co,wmora@postobon.com.co,efzapata@postobon.com.co</v>
      </c>
      <c r="Y411" s="5" t="str">
        <f ca="1">IFERROR(__xludf.DUMMYFUNCTION("""COMPUTED_VALUE"""),"wguerra@postobon.com.co")</f>
        <v>wguerra@postobon.com.co</v>
      </c>
      <c r="Z411" s="5" t="str">
        <f ca="1">IFERROR(__xludf.DUMMYFUNCTION("""COMPUTED_VALUE"""),"FflsShs4T4q.3DpsGUmdwA")</f>
        <v>FflsShs4T4q.3DpsGUmdwA</v>
      </c>
      <c r="AA411" s="5"/>
      <c r="AB411" s="5"/>
      <c r="AC411" s="5"/>
      <c r="AD411" s="5">
        <f ca="1">IFERROR(__xludf.DUMMYFUNCTION("""COMPUTED_VALUE"""),63)</f>
        <v>63</v>
      </c>
      <c r="AE411" s="5">
        <f ca="1">IFERROR(__xludf.DUMMYFUNCTION("""COMPUTED_VALUE"""),63)</f>
        <v>63</v>
      </c>
      <c r="AF411" s="5" t="b">
        <f ca="1">IFERROR(__xludf.DUMMYFUNCTION("""COMPUTED_VALUE"""),FALSE)</f>
        <v>0</v>
      </c>
      <c r="AG411" s="5" t="str">
        <f ca="1">IFERROR(__xludf.DUMMYFUNCTION("""COMPUTED_VALUE"""),"INSPECCIONES REALIZADAS")</f>
        <v>INSPECCIONES REALIZADAS</v>
      </c>
      <c r="AH411" s="5"/>
    </row>
    <row r="412" spans="1:34">
      <c r="A412" s="5" t="str">
        <f ca="1">IFERROR(__xludf.DUMMYFUNCTION("""COMPUTED_VALUE"""),"LINEA DE ENVASADO FAMILIAR Y PRB")</f>
        <v>LINEA DE ENVASADO FAMILIAR Y PRB</v>
      </c>
      <c r="B412" s="5">
        <f ca="1">IFERROR(__xludf.DUMMYFUNCTION("""COMPUTED_VALUE"""),828006)</f>
        <v>828006</v>
      </c>
      <c r="C412" s="5" t="str">
        <f ca="1">IFERROR(__xludf.DUMMYFUNCTION("""COMPUTED_VALUE"""),"EMPACADORA")</f>
        <v>EMPACADORA</v>
      </c>
      <c r="D412" s="5">
        <f ca="1">IFERROR(__xludf.DUMMYFUNCTION("""COMPUTED_VALUE"""),13247271)</f>
        <v>13247271</v>
      </c>
      <c r="E412" s="5" t="str">
        <f ca="1">IFERROR(__xludf.DUMMYFUNCTION("""COMPUTED_VALUE"""),"INSPECCION SEMANAL EMPACADORA")</f>
        <v>INSPECCION SEMANAL EMPACADORA</v>
      </c>
      <c r="F412" s="5" t="str">
        <f ca="1">IFERROR(__xludf.DUMMYFUNCTION("""COMPUTED_VALUE"""),"Estado perfiles de desgaste plasticos")</f>
        <v>Estado perfiles de desgaste plasticos</v>
      </c>
      <c r="G412" s="5" t="b">
        <f ca="1">IFERROR(__xludf.DUMMYFUNCTION("""COMPUTED_VALUE"""),TRUE)</f>
        <v>1</v>
      </c>
      <c r="H412" s="5"/>
      <c r="I412" s="5"/>
      <c r="J412" s="5">
        <f ca="1">IFERROR(__xludf.DUMMYFUNCTION("""COMPUTED_VALUE"""),13247271)</f>
        <v>13247271</v>
      </c>
      <c r="K412" s="5"/>
      <c r="L412" s="18">
        <f ca="1">IFERROR(__xludf.DUMMYFUNCTION("""COMPUTED_VALUE"""),45324)</f>
        <v>45324</v>
      </c>
      <c r="M412" s="18">
        <f ca="1">IFERROR(__xludf.DUMMYFUNCTION("""COMPUTED_VALUE"""),45324)</f>
        <v>45324</v>
      </c>
      <c r="N412" s="5" t="str">
        <f ca="1">IFERROR(__xludf.DUMMYFUNCTION("""COMPUTED_VALUE"""),"Andrés Felipe Pérez Polania")</f>
        <v>Andrés Felipe Pérez Polania</v>
      </c>
      <c r="O412" s="2">
        <f ca="1">IFERROR(__xludf.DUMMYFUNCTION("""COMPUTED_VALUE"""),0.005555556)</f>
        <v>5.5555559999999997E-3</v>
      </c>
      <c r="P412" s="5">
        <f ca="1">IFERROR(__xludf.DUMMYFUNCTION("""COMPUTED_VALUE"""),1919044)</f>
        <v>1919044</v>
      </c>
      <c r="Q412" s="5" t="str">
        <f ca="1">IFERROR(__xludf.DUMMYFUNCTION("""COMPUTED_VALUE"""),"pH4Ifp9MxPo")</f>
        <v>pH4Ifp9MxPo</v>
      </c>
      <c r="R412" s="5">
        <f ca="1">IFERROR(__xludf.DUMMYFUNCTION("""COMPUTED_VALUE"""),410)</f>
        <v>410</v>
      </c>
      <c r="S412" s="62">
        <f ca="1">IFERROR(__xludf.DUMMYFUNCTION("""COMPUTED_VALUE"""),0.005555556)</f>
        <v>5.5555559999999997E-3</v>
      </c>
      <c r="T412" s="63" t="str">
        <f ca="1">IFERROR(__xludf.DUMMYFUNCTION("""COMPUTED_VALUE"""),"https://storage.googleapis.com/glide-prod.appspot.com/uploads-v2/ly7o78grxPaC6KdgvbpS/pub/3aRdSog0vUtuqPE8AJKD.png")</f>
        <v>https://storage.googleapis.com/glide-prod.appspot.com/uploads-v2/ly7o78grxPaC6KdgvbpS/pub/3aRdSog0vUtuqPE8AJKD.png</v>
      </c>
      <c r="U412" s="5" t="str">
        <f ca="1">IFERROR(__xludf.DUMMYFUNCTION("""COMPUTED_VALUE"""),"LINEA DE ENVASADO FAMILIAR Y PRBEMPACADORA")</f>
        <v>LINEA DE ENVASADO FAMILIAR Y PRBEMPACADORA</v>
      </c>
      <c r="V412" s="5"/>
      <c r="W412" s="5" t="b">
        <f ca="1">IFERROR(__xludf.DUMMYFUNCTION("""COMPUTED_VALUE"""),TRUE)</f>
        <v>1</v>
      </c>
      <c r="X412" s="5" t="str">
        <f ca="1">IFERROR(__xludf.DUMMYFUNCTION("""COMPUTED_VALUE"""),"wguerra@postobon.com.co,aprmttoyu@postobon.com.co,aprmyu@postobon.com.co,wmora@postobon.com.co,efzapata@postobon.com.co")</f>
        <v>wguerra@postobon.com.co,aprmttoyu@postobon.com.co,aprmyu@postobon.com.co,wmora@postobon.com.co,efzapata@postobon.com.co</v>
      </c>
      <c r="Y412" s="5" t="str">
        <f ca="1">IFERROR(__xludf.DUMMYFUNCTION("""COMPUTED_VALUE"""),"wguerra@postobon.com.co")</f>
        <v>wguerra@postobon.com.co</v>
      </c>
      <c r="Z412" s="5" t="str">
        <f ca="1">IFERROR(__xludf.DUMMYFUNCTION("""COMPUTED_VALUE"""),"RCN9kkIdTgCe6z7jCBo2uA")</f>
        <v>RCN9kkIdTgCe6z7jCBo2uA</v>
      </c>
      <c r="AA412" s="5"/>
      <c r="AB412" s="5"/>
      <c r="AC412" s="5"/>
      <c r="AD412" s="5">
        <f ca="1">IFERROR(__xludf.DUMMYFUNCTION("""COMPUTED_VALUE"""),63)</f>
        <v>63</v>
      </c>
      <c r="AE412" s="5">
        <f ca="1">IFERROR(__xludf.DUMMYFUNCTION("""COMPUTED_VALUE"""),63)</f>
        <v>63</v>
      </c>
      <c r="AF412" s="5" t="b">
        <f ca="1">IFERROR(__xludf.DUMMYFUNCTION("""COMPUTED_VALUE"""),FALSE)</f>
        <v>0</v>
      </c>
      <c r="AG412" s="5" t="str">
        <f ca="1">IFERROR(__xludf.DUMMYFUNCTION("""COMPUTED_VALUE"""),"INSPECCIONES REALIZADAS")</f>
        <v>INSPECCIONES REALIZADAS</v>
      </c>
      <c r="AH412" s="5"/>
    </row>
    <row r="413" spans="1:34">
      <c r="A413" s="5" t="str">
        <f ca="1">IFERROR(__xludf.DUMMYFUNCTION("""COMPUTED_VALUE"""),"LINEA DE ENVASADO FAMILIAR Y PRB")</f>
        <v>LINEA DE ENVASADO FAMILIAR Y PRB</v>
      </c>
      <c r="B413" s="5">
        <f ca="1">IFERROR(__xludf.DUMMYFUNCTION("""COMPUTED_VALUE"""),828006)</f>
        <v>828006</v>
      </c>
      <c r="C413" s="5" t="str">
        <f ca="1">IFERROR(__xludf.DUMMYFUNCTION("""COMPUTED_VALUE"""),"EMPACADORA")</f>
        <v>EMPACADORA</v>
      </c>
      <c r="D413" s="5">
        <f ca="1">IFERROR(__xludf.DUMMYFUNCTION("""COMPUTED_VALUE"""),13247271)</f>
        <v>13247271</v>
      </c>
      <c r="E413" s="5" t="str">
        <f ca="1">IFERROR(__xludf.DUMMYFUNCTION("""COMPUTED_VALUE"""),"INSPECCION SEMANAL EMPACADORA")</f>
        <v>INSPECCION SEMANAL EMPACADORA</v>
      </c>
      <c r="F413" s="5" t="str">
        <f ca="1">IFERROR(__xludf.DUMMYFUNCTION("""COMPUTED_VALUE"""),"Estado de plato muerto")</f>
        <v>Estado de plato muerto</v>
      </c>
      <c r="G413" s="5" t="b">
        <f ca="1">IFERROR(__xludf.DUMMYFUNCTION("""COMPUTED_VALUE"""),TRUE)</f>
        <v>1</v>
      </c>
      <c r="H413" s="5"/>
      <c r="I413" s="5"/>
      <c r="J413" s="5">
        <f ca="1">IFERROR(__xludf.DUMMYFUNCTION("""COMPUTED_VALUE"""),13247271)</f>
        <v>13247271</v>
      </c>
      <c r="K413" s="5"/>
      <c r="L413" s="18">
        <f ca="1">IFERROR(__xludf.DUMMYFUNCTION("""COMPUTED_VALUE"""),45324)</f>
        <v>45324</v>
      </c>
      <c r="M413" s="18">
        <f ca="1">IFERROR(__xludf.DUMMYFUNCTION("""COMPUTED_VALUE"""),45324)</f>
        <v>45324</v>
      </c>
      <c r="N413" s="5" t="str">
        <f ca="1">IFERROR(__xludf.DUMMYFUNCTION("""COMPUTED_VALUE"""),"Andrés Felipe Pérez Polania")</f>
        <v>Andrés Felipe Pérez Polania</v>
      </c>
      <c r="O413" s="2">
        <f ca="1">IFERROR(__xludf.DUMMYFUNCTION("""COMPUTED_VALUE"""),0.005555556)</f>
        <v>5.5555559999999997E-3</v>
      </c>
      <c r="P413" s="5">
        <f ca="1">IFERROR(__xludf.DUMMYFUNCTION("""COMPUTED_VALUE"""),1919044)</f>
        <v>1919044</v>
      </c>
      <c r="Q413" s="5" t="str">
        <f ca="1">IFERROR(__xludf.DUMMYFUNCTION("""COMPUTED_VALUE"""),"wDtcmRvSIQY")</f>
        <v>wDtcmRvSIQY</v>
      </c>
      <c r="R413" s="5">
        <f ca="1">IFERROR(__xludf.DUMMYFUNCTION("""COMPUTED_VALUE"""),410)</f>
        <v>410</v>
      </c>
      <c r="S413" s="62">
        <f ca="1">IFERROR(__xludf.DUMMYFUNCTION("""COMPUTED_VALUE"""),0.005555556)</f>
        <v>5.5555559999999997E-3</v>
      </c>
      <c r="T413" s="63" t="str">
        <f ca="1">IFERROR(__xludf.DUMMYFUNCTION("""COMPUTED_VALUE"""),"https://storage.googleapis.com/glide-prod.appspot.com/uploads-v2/ly7o78grxPaC6KdgvbpS/pub/3aRdSog0vUtuqPE8AJKD.png")</f>
        <v>https://storage.googleapis.com/glide-prod.appspot.com/uploads-v2/ly7o78grxPaC6KdgvbpS/pub/3aRdSog0vUtuqPE8AJKD.png</v>
      </c>
      <c r="U413" s="5" t="str">
        <f ca="1">IFERROR(__xludf.DUMMYFUNCTION("""COMPUTED_VALUE"""),"LINEA DE ENVASADO FAMILIAR Y PRBEMPACADORA")</f>
        <v>LINEA DE ENVASADO FAMILIAR Y PRBEMPACADORA</v>
      </c>
      <c r="V413" s="5"/>
      <c r="W413" s="5" t="b">
        <f ca="1">IFERROR(__xludf.DUMMYFUNCTION("""COMPUTED_VALUE"""),TRUE)</f>
        <v>1</v>
      </c>
      <c r="X413" s="5" t="str">
        <f ca="1">IFERROR(__xludf.DUMMYFUNCTION("""COMPUTED_VALUE"""),"wguerra@postobon.com.co,aprmttoyu@postobon.com.co,aprmyu@postobon.com.co,wmora@postobon.com.co,efzapata@postobon.com.co")</f>
        <v>wguerra@postobon.com.co,aprmttoyu@postobon.com.co,aprmyu@postobon.com.co,wmora@postobon.com.co,efzapata@postobon.com.co</v>
      </c>
      <c r="Y413" s="5" t="str">
        <f ca="1">IFERROR(__xludf.DUMMYFUNCTION("""COMPUTED_VALUE"""),"wguerra@postobon.com.co")</f>
        <v>wguerra@postobon.com.co</v>
      </c>
      <c r="Z413" s="5" t="str">
        <f ca="1">IFERROR(__xludf.DUMMYFUNCTION("""COMPUTED_VALUE"""),"69AkgkqDQs2ZXKMtLU6pCg")</f>
        <v>69AkgkqDQs2ZXKMtLU6pCg</v>
      </c>
      <c r="AA413" s="5"/>
      <c r="AB413" s="5"/>
      <c r="AC413" s="5"/>
      <c r="AD413" s="5">
        <f ca="1">IFERROR(__xludf.DUMMYFUNCTION("""COMPUTED_VALUE"""),63)</f>
        <v>63</v>
      </c>
      <c r="AE413" s="5">
        <f ca="1">IFERROR(__xludf.DUMMYFUNCTION("""COMPUTED_VALUE"""),63)</f>
        <v>63</v>
      </c>
      <c r="AF413" s="5" t="b">
        <f ca="1">IFERROR(__xludf.DUMMYFUNCTION("""COMPUTED_VALUE"""),FALSE)</f>
        <v>0</v>
      </c>
      <c r="AG413" s="5" t="str">
        <f ca="1">IFERROR(__xludf.DUMMYFUNCTION("""COMPUTED_VALUE"""),"INSPECCIONES REALIZADAS")</f>
        <v>INSPECCIONES REALIZADAS</v>
      </c>
      <c r="AH413" s="5"/>
    </row>
    <row r="414" spans="1:34">
      <c r="A414" s="5" t="str">
        <f ca="1">IFERROR(__xludf.DUMMYFUNCTION("""COMPUTED_VALUE"""),"LINEA DE ENVASADO FAMILIAR Y PRB")</f>
        <v>LINEA DE ENVASADO FAMILIAR Y PRB</v>
      </c>
      <c r="B414" s="5">
        <f ca="1">IFERROR(__xludf.DUMMYFUNCTION("""COMPUTED_VALUE"""),828006)</f>
        <v>828006</v>
      </c>
      <c r="C414" s="5" t="str">
        <f ca="1">IFERROR(__xludf.DUMMYFUNCTION("""COMPUTED_VALUE"""),"EMPACADORA")</f>
        <v>EMPACADORA</v>
      </c>
      <c r="D414" s="5">
        <f ca="1">IFERROR(__xludf.DUMMYFUNCTION("""COMPUTED_VALUE"""),13247271)</f>
        <v>13247271</v>
      </c>
      <c r="E414" s="5" t="str">
        <f ca="1">IFERROR(__xludf.DUMMYFUNCTION("""COMPUTED_VALUE"""),"INSPECCION SEMANAL EMPACADORA")</f>
        <v>INSPECCION SEMANAL EMPACADORA</v>
      </c>
      <c r="F414" s="5" t="str">
        <f ca="1">IFERROR(__xludf.DUMMYFUNCTION("""COMPUTED_VALUE"""),"Estado sistema basculante y tope")</f>
        <v>Estado sistema basculante y tope</v>
      </c>
      <c r="G414" s="5" t="b">
        <f ca="1">IFERROR(__xludf.DUMMYFUNCTION("""COMPUTED_VALUE"""),TRUE)</f>
        <v>1</v>
      </c>
      <c r="H414" s="5"/>
      <c r="I414" s="5"/>
      <c r="J414" s="5">
        <f ca="1">IFERROR(__xludf.DUMMYFUNCTION("""COMPUTED_VALUE"""),13247271)</f>
        <v>13247271</v>
      </c>
      <c r="K414" s="5"/>
      <c r="L414" s="18">
        <f ca="1">IFERROR(__xludf.DUMMYFUNCTION("""COMPUTED_VALUE"""),45324)</f>
        <v>45324</v>
      </c>
      <c r="M414" s="18">
        <f ca="1">IFERROR(__xludf.DUMMYFUNCTION("""COMPUTED_VALUE"""),45324)</f>
        <v>45324</v>
      </c>
      <c r="N414" s="5" t="str">
        <f ca="1">IFERROR(__xludf.DUMMYFUNCTION("""COMPUTED_VALUE"""),"Andrés Felipe Pérez Polania")</f>
        <v>Andrés Felipe Pérez Polania</v>
      </c>
      <c r="O414" s="2">
        <f ca="1">IFERROR(__xludf.DUMMYFUNCTION("""COMPUTED_VALUE"""),0.005555556)</f>
        <v>5.5555559999999997E-3</v>
      </c>
      <c r="P414" s="5">
        <f ca="1">IFERROR(__xludf.DUMMYFUNCTION("""COMPUTED_VALUE"""),1919044)</f>
        <v>1919044</v>
      </c>
      <c r="Q414" s="5" t="str">
        <f ca="1">IFERROR(__xludf.DUMMYFUNCTION("""COMPUTED_VALUE"""),"nrFrufA9mgA")</f>
        <v>nrFrufA9mgA</v>
      </c>
      <c r="R414" s="5">
        <f ca="1">IFERROR(__xludf.DUMMYFUNCTION("""COMPUTED_VALUE"""),410)</f>
        <v>410</v>
      </c>
      <c r="S414" s="62">
        <f ca="1">IFERROR(__xludf.DUMMYFUNCTION("""COMPUTED_VALUE"""),0.005555556)</f>
        <v>5.5555559999999997E-3</v>
      </c>
      <c r="T414" s="63" t="str">
        <f ca="1">IFERROR(__xludf.DUMMYFUNCTION("""COMPUTED_VALUE"""),"https://storage.googleapis.com/glide-prod.appspot.com/uploads-v2/ly7o78grxPaC6KdgvbpS/pub/3aRdSog0vUtuqPE8AJKD.png")</f>
        <v>https://storage.googleapis.com/glide-prod.appspot.com/uploads-v2/ly7o78grxPaC6KdgvbpS/pub/3aRdSog0vUtuqPE8AJKD.png</v>
      </c>
      <c r="U414" s="5" t="str">
        <f ca="1">IFERROR(__xludf.DUMMYFUNCTION("""COMPUTED_VALUE"""),"LINEA DE ENVASADO FAMILIAR Y PRBEMPACADORA")</f>
        <v>LINEA DE ENVASADO FAMILIAR Y PRBEMPACADORA</v>
      </c>
      <c r="V414" s="5"/>
      <c r="W414" s="5" t="b">
        <f ca="1">IFERROR(__xludf.DUMMYFUNCTION("""COMPUTED_VALUE"""),TRUE)</f>
        <v>1</v>
      </c>
      <c r="X414" s="5" t="str">
        <f ca="1">IFERROR(__xludf.DUMMYFUNCTION("""COMPUTED_VALUE"""),"wguerra@postobon.com.co,aprmttoyu@postobon.com.co,aprmyu@postobon.com.co,wmora@postobon.com.co,efzapata@postobon.com.co")</f>
        <v>wguerra@postobon.com.co,aprmttoyu@postobon.com.co,aprmyu@postobon.com.co,wmora@postobon.com.co,efzapata@postobon.com.co</v>
      </c>
      <c r="Y414" s="5" t="str">
        <f ca="1">IFERROR(__xludf.DUMMYFUNCTION("""COMPUTED_VALUE"""),"wguerra@postobon.com.co")</f>
        <v>wguerra@postobon.com.co</v>
      </c>
      <c r="Z414" s="5" t="str">
        <f ca="1">IFERROR(__xludf.DUMMYFUNCTION("""COMPUTED_VALUE"""),"81Gp8hQJSy2ZGsU46hu8QQ")</f>
        <v>81Gp8hQJSy2ZGsU46hu8QQ</v>
      </c>
      <c r="AA414" s="5"/>
      <c r="AB414" s="5"/>
      <c r="AC414" s="5"/>
      <c r="AD414" s="5">
        <f ca="1">IFERROR(__xludf.DUMMYFUNCTION("""COMPUTED_VALUE"""),63)</f>
        <v>63</v>
      </c>
      <c r="AE414" s="5">
        <f ca="1">IFERROR(__xludf.DUMMYFUNCTION("""COMPUTED_VALUE"""),63)</f>
        <v>63</v>
      </c>
      <c r="AF414" s="5" t="b">
        <f ca="1">IFERROR(__xludf.DUMMYFUNCTION("""COMPUTED_VALUE"""),FALSE)</f>
        <v>0</v>
      </c>
      <c r="AG414" s="5" t="str">
        <f ca="1">IFERROR(__xludf.DUMMYFUNCTION("""COMPUTED_VALUE"""),"INSPECCIONES REALIZADAS")</f>
        <v>INSPECCIONES REALIZADAS</v>
      </c>
      <c r="AH414" s="5"/>
    </row>
    <row r="415" spans="1:34">
      <c r="A415" s="5" t="str">
        <f ca="1">IFERROR(__xludf.DUMMYFUNCTION("""COMPUTED_VALUE"""),"LINEA DE ENVASADO FAMILIAR Y PRB")</f>
        <v>LINEA DE ENVASADO FAMILIAR Y PRB</v>
      </c>
      <c r="B415" s="5">
        <f ca="1">IFERROR(__xludf.DUMMYFUNCTION("""COMPUTED_VALUE"""),828006)</f>
        <v>828006</v>
      </c>
      <c r="C415" s="5" t="str">
        <f ca="1">IFERROR(__xludf.DUMMYFUNCTION("""COMPUTED_VALUE"""),"EMPACADORA")</f>
        <v>EMPACADORA</v>
      </c>
      <c r="D415" s="5">
        <f ca="1">IFERROR(__xludf.DUMMYFUNCTION("""COMPUTED_VALUE"""),13247271)</f>
        <v>13247271</v>
      </c>
      <c r="E415" s="5" t="str">
        <f ca="1">IFERROR(__xludf.DUMMYFUNCTION("""COMPUTED_VALUE"""),"INSPECCION SEMANAL EMPACADORA")</f>
        <v>INSPECCION SEMANAL EMPACADORA</v>
      </c>
      <c r="F415" s="5" t="str">
        <f ca="1">IFERROR(__xludf.DUMMYFUNCTION("""COMPUTED_VALUE"""),"Estado Instrumentos de medidas")</f>
        <v>Estado Instrumentos de medidas</v>
      </c>
      <c r="G415" s="5" t="b">
        <f ca="1">IFERROR(__xludf.DUMMYFUNCTION("""COMPUTED_VALUE"""),TRUE)</f>
        <v>1</v>
      </c>
      <c r="H415" s="5"/>
      <c r="I415" s="5"/>
      <c r="J415" s="5">
        <f ca="1">IFERROR(__xludf.DUMMYFUNCTION("""COMPUTED_VALUE"""),13247271)</f>
        <v>13247271</v>
      </c>
      <c r="K415" s="5"/>
      <c r="L415" s="18">
        <f ca="1">IFERROR(__xludf.DUMMYFUNCTION("""COMPUTED_VALUE"""),45324)</f>
        <v>45324</v>
      </c>
      <c r="M415" s="18">
        <f ca="1">IFERROR(__xludf.DUMMYFUNCTION("""COMPUTED_VALUE"""),45324)</f>
        <v>45324</v>
      </c>
      <c r="N415" s="5" t="str">
        <f ca="1">IFERROR(__xludf.DUMMYFUNCTION("""COMPUTED_VALUE"""),"Andrés Felipe Pérez Polania")</f>
        <v>Andrés Felipe Pérez Polania</v>
      </c>
      <c r="O415" s="2">
        <f ca="1">IFERROR(__xludf.DUMMYFUNCTION("""COMPUTED_VALUE"""),0.005555556)</f>
        <v>5.5555559999999997E-3</v>
      </c>
      <c r="P415" s="5">
        <f ca="1">IFERROR(__xludf.DUMMYFUNCTION("""COMPUTED_VALUE"""),1919044)</f>
        <v>1919044</v>
      </c>
      <c r="Q415" s="5" t="str">
        <f ca="1">IFERROR(__xludf.DUMMYFUNCTION("""COMPUTED_VALUE"""),"HfEtt62JXnY")</f>
        <v>HfEtt62JXnY</v>
      </c>
      <c r="R415" s="5">
        <f ca="1">IFERROR(__xludf.DUMMYFUNCTION("""COMPUTED_VALUE"""),410)</f>
        <v>410</v>
      </c>
      <c r="S415" s="62">
        <f ca="1">IFERROR(__xludf.DUMMYFUNCTION("""COMPUTED_VALUE"""),0.005555556)</f>
        <v>5.5555559999999997E-3</v>
      </c>
      <c r="T415" s="63" t="str">
        <f ca="1">IFERROR(__xludf.DUMMYFUNCTION("""COMPUTED_VALUE"""),"https://storage.googleapis.com/glide-prod.appspot.com/uploads-v2/ly7o78grxPaC6KdgvbpS/pub/3aRdSog0vUtuqPE8AJKD.png")</f>
        <v>https://storage.googleapis.com/glide-prod.appspot.com/uploads-v2/ly7o78grxPaC6KdgvbpS/pub/3aRdSog0vUtuqPE8AJKD.png</v>
      </c>
      <c r="U415" s="5" t="str">
        <f ca="1">IFERROR(__xludf.DUMMYFUNCTION("""COMPUTED_VALUE"""),"LINEA DE ENVASADO FAMILIAR Y PRBEMPACADORA")</f>
        <v>LINEA DE ENVASADO FAMILIAR Y PRBEMPACADORA</v>
      </c>
      <c r="V415" s="5"/>
      <c r="W415" s="5" t="b">
        <f ca="1">IFERROR(__xludf.DUMMYFUNCTION("""COMPUTED_VALUE"""),TRUE)</f>
        <v>1</v>
      </c>
      <c r="X415" s="5" t="str">
        <f ca="1">IFERROR(__xludf.DUMMYFUNCTION("""COMPUTED_VALUE"""),"wguerra@postobon.com.co,aprmttoyu@postobon.com.co,aprmyu@postobon.com.co,wmora@postobon.com.co,efzapata@postobon.com.co")</f>
        <v>wguerra@postobon.com.co,aprmttoyu@postobon.com.co,aprmyu@postobon.com.co,wmora@postobon.com.co,efzapata@postobon.com.co</v>
      </c>
      <c r="Y415" s="5" t="str">
        <f ca="1">IFERROR(__xludf.DUMMYFUNCTION("""COMPUTED_VALUE"""),"wguerra@postobon.com.co")</f>
        <v>wguerra@postobon.com.co</v>
      </c>
      <c r="Z415" s="5" t="str">
        <f ca="1">IFERROR(__xludf.DUMMYFUNCTION("""COMPUTED_VALUE"""),"JToGEW83QaevlfKRjaZGCg")</f>
        <v>JToGEW83QaevlfKRjaZGCg</v>
      </c>
      <c r="AA415" s="5"/>
      <c r="AB415" s="5"/>
      <c r="AC415" s="5"/>
      <c r="AD415" s="5">
        <f ca="1">IFERROR(__xludf.DUMMYFUNCTION("""COMPUTED_VALUE"""),63)</f>
        <v>63</v>
      </c>
      <c r="AE415" s="5">
        <f ca="1">IFERROR(__xludf.DUMMYFUNCTION("""COMPUTED_VALUE"""),63)</f>
        <v>63</v>
      </c>
      <c r="AF415" s="5" t="b">
        <f ca="1">IFERROR(__xludf.DUMMYFUNCTION("""COMPUTED_VALUE"""),FALSE)</f>
        <v>0</v>
      </c>
      <c r="AG415" s="5" t="str">
        <f ca="1">IFERROR(__xludf.DUMMYFUNCTION("""COMPUTED_VALUE"""),"INSPECCIONES REALIZADAS")</f>
        <v>INSPECCIONES REALIZADAS</v>
      </c>
      <c r="AH415" s="5"/>
    </row>
    <row r="416" spans="1:34">
      <c r="A416" s="5" t="str">
        <f ca="1">IFERROR(__xludf.DUMMYFUNCTION("""COMPUTED_VALUE"""),"LINEA DE ENVASADO FAMILIAR Y PRB")</f>
        <v>LINEA DE ENVASADO FAMILIAR Y PRB</v>
      </c>
      <c r="B416" s="5">
        <f ca="1">IFERROR(__xludf.DUMMYFUNCTION("""COMPUTED_VALUE"""),828006)</f>
        <v>828006</v>
      </c>
      <c r="C416" s="5" t="str">
        <f ca="1">IFERROR(__xludf.DUMMYFUNCTION("""COMPUTED_VALUE"""),"EMPACADORA")</f>
        <v>EMPACADORA</v>
      </c>
      <c r="D416" s="5">
        <f ca="1">IFERROR(__xludf.DUMMYFUNCTION("""COMPUTED_VALUE"""),13247271)</f>
        <v>13247271</v>
      </c>
      <c r="E416" s="5" t="str">
        <f ca="1">IFERROR(__xludf.DUMMYFUNCTION("""COMPUTED_VALUE"""),"INSPECCION SEMANAL EMPACADORA")</f>
        <v>INSPECCION SEMANAL EMPACADORA</v>
      </c>
      <c r="F416" s="5" t="str">
        <f ca="1">IFERROR(__xludf.DUMMYFUNCTION("""COMPUTED_VALUE"""),"Estado de sistema de lubricacion")</f>
        <v>Estado de sistema de lubricacion</v>
      </c>
      <c r="G416" s="5" t="b">
        <f ca="1">IFERROR(__xludf.DUMMYFUNCTION("""COMPUTED_VALUE"""),TRUE)</f>
        <v>1</v>
      </c>
      <c r="H416" s="5"/>
      <c r="I416" s="5"/>
      <c r="J416" s="5">
        <f ca="1">IFERROR(__xludf.DUMMYFUNCTION("""COMPUTED_VALUE"""),13247271)</f>
        <v>13247271</v>
      </c>
      <c r="K416" s="5"/>
      <c r="L416" s="18">
        <f ca="1">IFERROR(__xludf.DUMMYFUNCTION("""COMPUTED_VALUE"""),45324)</f>
        <v>45324</v>
      </c>
      <c r="M416" s="18">
        <f ca="1">IFERROR(__xludf.DUMMYFUNCTION("""COMPUTED_VALUE"""),45324)</f>
        <v>45324</v>
      </c>
      <c r="N416" s="5" t="str">
        <f ca="1">IFERROR(__xludf.DUMMYFUNCTION("""COMPUTED_VALUE"""),"Andrés Felipe Pérez Polania")</f>
        <v>Andrés Felipe Pérez Polania</v>
      </c>
      <c r="O416" s="2">
        <f ca="1">IFERROR(__xludf.DUMMYFUNCTION("""COMPUTED_VALUE"""),0.005555556)</f>
        <v>5.5555559999999997E-3</v>
      </c>
      <c r="P416" s="5">
        <f ca="1">IFERROR(__xludf.DUMMYFUNCTION("""COMPUTED_VALUE"""),1919044)</f>
        <v>1919044</v>
      </c>
      <c r="Q416" s="5" t="str">
        <f ca="1">IFERROR(__xludf.DUMMYFUNCTION("""COMPUTED_VALUE"""),"evAfxAg9R9M")</f>
        <v>evAfxAg9R9M</v>
      </c>
      <c r="R416" s="5">
        <f ca="1">IFERROR(__xludf.DUMMYFUNCTION("""COMPUTED_VALUE"""),410)</f>
        <v>410</v>
      </c>
      <c r="S416" s="62">
        <f ca="1">IFERROR(__xludf.DUMMYFUNCTION("""COMPUTED_VALUE"""),0.005555556)</f>
        <v>5.5555559999999997E-3</v>
      </c>
      <c r="T416" s="63" t="str">
        <f ca="1">IFERROR(__xludf.DUMMYFUNCTION("""COMPUTED_VALUE"""),"https://storage.googleapis.com/glide-prod.appspot.com/uploads-v2/ly7o78grxPaC6KdgvbpS/pub/3aRdSog0vUtuqPE8AJKD.png")</f>
        <v>https://storage.googleapis.com/glide-prod.appspot.com/uploads-v2/ly7o78grxPaC6KdgvbpS/pub/3aRdSog0vUtuqPE8AJKD.png</v>
      </c>
      <c r="U416" s="5" t="str">
        <f ca="1">IFERROR(__xludf.DUMMYFUNCTION("""COMPUTED_VALUE"""),"LINEA DE ENVASADO FAMILIAR Y PRBEMPACADORA")</f>
        <v>LINEA DE ENVASADO FAMILIAR Y PRBEMPACADORA</v>
      </c>
      <c r="V416" s="5"/>
      <c r="W416" s="5" t="b">
        <f ca="1">IFERROR(__xludf.DUMMYFUNCTION("""COMPUTED_VALUE"""),TRUE)</f>
        <v>1</v>
      </c>
      <c r="X416" s="5" t="str">
        <f ca="1">IFERROR(__xludf.DUMMYFUNCTION("""COMPUTED_VALUE"""),"wguerra@postobon.com.co,aprmttoyu@postobon.com.co,aprmyu@postobon.com.co,wmora@postobon.com.co,efzapata@postobon.com.co")</f>
        <v>wguerra@postobon.com.co,aprmttoyu@postobon.com.co,aprmyu@postobon.com.co,wmora@postobon.com.co,efzapata@postobon.com.co</v>
      </c>
      <c r="Y416" s="5" t="str">
        <f ca="1">IFERROR(__xludf.DUMMYFUNCTION("""COMPUTED_VALUE"""),"wguerra@postobon.com.co")</f>
        <v>wguerra@postobon.com.co</v>
      </c>
      <c r="Z416" s="5" t="str">
        <f ca="1">IFERROR(__xludf.DUMMYFUNCTION("""COMPUTED_VALUE"""),"eUKWZ1uvSeajCSM9hFZXwA")</f>
        <v>eUKWZ1uvSeajCSM9hFZXwA</v>
      </c>
      <c r="AA416" s="5"/>
      <c r="AB416" s="5"/>
      <c r="AC416" s="5"/>
      <c r="AD416" s="5">
        <f ca="1">IFERROR(__xludf.DUMMYFUNCTION("""COMPUTED_VALUE"""),63)</f>
        <v>63</v>
      </c>
      <c r="AE416" s="5">
        <f ca="1">IFERROR(__xludf.DUMMYFUNCTION("""COMPUTED_VALUE"""),63)</f>
        <v>63</v>
      </c>
      <c r="AF416" s="5" t="b">
        <f ca="1">IFERROR(__xludf.DUMMYFUNCTION("""COMPUTED_VALUE"""),FALSE)</f>
        <v>0</v>
      </c>
      <c r="AG416" s="5" t="str">
        <f ca="1">IFERROR(__xludf.DUMMYFUNCTION("""COMPUTED_VALUE"""),"INSPECCIONES REALIZADAS")</f>
        <v>INSPECCIONES REALIZADAS</v>
      </c>
      <c r="AH416" s="5"/>
    </row>
    <row r="417" spans="1:34">
      <c r="A417" s="5" t="str">
        <f ca="1">IFERROR(__xludf.DUMMYFUNCTION("""COMPUTED_VALUE"""),"LINEA DE ENVASADO FAMILIAR Y PRB")</f>
        <v>LINEA DE ENVASADO FAMILIAR Y PRB</v>
      </c>
      <c r="B417" s="5">
        <f ca="1">IFERROR(__xludf.DUMMYFUNCTION("""COMPUTED_VALUE"""),828006)</f>
        <v>828006</v>
      </c>
      <c r="C417" s="5" t="str">
        <f ca="1">IFERROR(__xludf.DUMMYFUNCTION("""COMPUTED_VALUE"""),"EMPACADORA")</f>
        <v>EMPACADORA</v>
      </c>
      <c r="D417" s="5">
        <f ca="1">IFERROR(__xludf.DUMMYFUNCTION("""COMPUTED_VALUE"""),13247271)</f>
        <v>13247271</v>
      </c>
      <c r="E417" s="5" t="str">
        <f ca="1">IFERROR(__xludf.DUMMYFUNCTION("""COMPUTED_VALUE"""),"INSPECCION SEMANAL EMPACADORA")</f>
        <v>INSPECCION SEMANAL EMPACADORA</v>
      </c>
      <c r="F417" s="5" t="str">
        <f ca="1">IFERROR(__xludf.DUMMYFUNCTION("""COMPUTED_VALUE"""),"Estado y limpieza de extractor y/o climatizador tablero eléctrico")</f>
        <v>Estado y limpieza de extractor y/o climatizador tablero eléctrico</v>
      </c>
      <c r="G417" s="5" t="b">
        <f ca="1">IFERROR(__xludf.DUMMYFUNCTION("""COMPUTED_VALUE"""),TRUE)</f>
        <v>1</v>
      </c>
      <c r="H417" s="5"/>
      <c r="I417" s="5"/>
      <c r="J417" s="5">
        <f ca="1">IFERROR(__xludf.DUMMYFUNCTION("""COMPUTED_VALUE"""),13247271)</f>
        <v>13247271</v>
      </c>
      <c r="K417" s="5"/>
      <c r="L417" s="18">
        <f ca="1">IFERROR(__xludf.DUMMYFUNCTION("""COMPUTED_VALUE"""),45324)</f>
        <v>45324</v>
      </c>
      <c r="M417" s="18">
        <f ca="1">IFERROR(__xludf.DUMMYFUNCTION("""COMPUTED_VALUE"""),45324)</f>
        <v>45324</v>
      </c>
      <c r="N417" s="5" t="str">
        <f ca="1">IFERROR(__xludf.DUMMYFUNCTION("""COMPUTED_VALUE"""),"Andrés Felipe Pérez Polania")</f>
        <v>Andrés Felipe Pérez Polania</v>
      </c>
      <c r="O417" s="2">
        <f ca="1">IFERROR(__xludf.DUMMYFUNCTION("""COMPUTED_VALUE"""),0.005555556)</f>
        <v>5.5555559999999997E-3</v>
      </c>
      <c r="P417" s="5">
        <f ca="1">IFERROR(__xludf.DUMMYFUNCTION("""COMPUTED_VALUE"""),1919044)</f>
        <v>1919044</v>
      </c>
      <c r="Q417" s="5" t="str">
        <f ca="1">IFERROR(__xludf.DUMMYFUNCTION("""COMPUTED_VALUE"""),"5LeNEWyjE_U")</f>
        <v>5LeNEWyjE_U</v>
      </c>
      <c r="R417" s="5">
        <f ca="1">IFERROR(__xludf.DUMMYFUNCTION("""COMPUTED_VALUE"""),410)</f>
        <v>410</v>
      </c>
      <c r="S417" s="62">
        <f ca="1">IFERROR(__xludf.DUMMYFUNCTION("""COMPUTED_VALUE"""),0.005555556)</f>
        <v>5.5555559999999997E-3</v>
      </c>
      <c r="T417" s="63" t="str">
        <f ca="1">IFERROR(__xludf.DUMMYFUNCTION("""COMPUTED_VALUE"""),"https://storage.googleapis.com/glide-prod.appspot.com/uploads-v2/ly7o78grxPaC6KdgvbpS/pub/3aRdSog0vUtuqPE8AJKD.png")</f>
        <v>https://storage.googleapis.com/glide-prod.appspot.com/uploads-v2/ly7o78grxPaC6KdgvbpS/pub/3aRdSog0vUtuqPE8AJKD.png</v>
      </c>
      <c r="U417" s="5" t="str">
        <f ca="1">IFERROR(__xludf.DUMMYFUNCTION("""COMPUTED_VALUE"""),"LINEA DE ENVASADO FAMILIAR Y PRBEMPACADORA")</f>
        <v>LINEA DE ENVASADO FAMILIAR Y PRBEMPACADORA</v>
      </c>
      <c r="V417" s="5"/>
      <c r="W417" s="5" t="b">
        <f ca="1">IFERROR(__xludf.DUMMYFUNCTION("""COMPUTED_VALUE"""),TRUE)</f>
        <v>1</v>
      </c>
      <c r="X417" s="5" t="str">
        <f ca="1">IFERROR(__xludf.DUMMYFUNCTION("""COMPUTED_VALUE"""),"wguerra@postobon.com.co,aprmttoyu@postobon.com.co,aprmyu@postobon.com.co,wmora@postobon.com.co,efzapata@postobon.com.co")</f>
        <v>wguerra@postobon.com.co,aprmttoyu@postobon.com.co,aprmyu@postobon.com.co,wmora@postobon.com.co,efzapata@postobon.com.co</v>
      </c>
      <c r="Y417" s="5" t="str">
        <f ca="1">IFERROR(__xludf.DUMMYFUNCTION("""COMPUTED_VALUE"""),"wguerra@postobon.com.co")</f>
        <v>wguerra@postobon.com.co</v>
      </c>
      <c r="Z417" s="5" t="str">
        <f ca="1">IFERROR(__xludf.DUMMYFUNCTION("""COMPUTED_VALUE"""),"qZF84O3wQeSInqtrvhWxMw")</f>
        <v>qZF84O3wQeSInqtrvhWxMw</v>
      </c>
      <c r="AA417" s="5"/>
      <c r="AB417" s="5"/>
      <c r="AC417" s="5"/>
      <c r="AD417" s="5">
        <f ca="1">IFERROR(__xludf.DUMMYFUNCTION("""COMPUTED_VALUE"""),63)</f>
        <v>63</v>
      </c>
      <c r="AE417" s="5">
        <f ca="1">IFERROR(__xludf.DUMMYFUNCTION("""COMPUTED_VALUE"""),63)</f>
        <v>63</v>
      </c>
      <c r="AF417" s="5" t="b">
        <f ca="1">IFERROR(__xludf.DUMMYFUNCTION("""COMPUTED_VALUE"""),FALSE)</f>
        <v>0</v>
      </c>
      <c r="AG417" s="5" t="str">
        <f ca="1">IFERROR(__xludf.DUMMYFUNCTION("""COMPUTED_VALUE"""),"INSPECCIONES REALIZADAS")</f>
        <v>INSPECCIONES REALIZADAS</v>
      </c>
      <c r="AH417" s="5"/>
    </row>
    <row r="418" spans="1:34">
      <c r="A418" s="5" t="str">
        <f ca="1">IFERROR(__xludf.DUMMYFUNCTION("""COMPUTED_VALUE"""),"LINEA PET CSD - LINEA 10")</f>
        <v>LINEA PET CSD - LINEA 10</v>
      </c>
      <c r="B418" s="5">
        <f ca="1">IFERROR(__xludf.DUMMYFUNCTION("""COMPUTED_VALUE"""),710324)</f>
        <v>710324</v>
      </c>
      <c r="C418" s="5" t="str">
        <f ca="1">IFERROR(__xludf.DUMMYFUNCTION("""COMPUTED_VALUE"""),"ENFARDADORA")</f>
        <v>ENFARDADORA</v>
      </c>
      <c r="D418" s="5">
        <f ca="1">IFERROR(__xludf.DUMMYFUNCTION("""COMPUTED_VALUE"""),13247588)</f>
        <v>13247588</v>
      </c>
      <c r="E418" s="5" t="str">
        <f ca="1">IFERROR(__xludf.DUMMYFUNCTION("""COMPUTED_VALUE"""),"INSPECCION SEMANAL ENFARDADORA")</f>
        <v>INSPECCION SEMANAL ENFARDADORA</v>
      </c>
      <c r="F418" s="5" t="str">
        <f ca="1">IFERROR(__xludf.DUMMYFUNCTION("""COMPUTED_VALUE"""),"INSP CARRILES TRANSPORTE BOTELLAS")</f>
        <v>INSP CARRILES TRANSPORTE BOTELLAS</v>
      </c>
      <c r="G418" s="5" t="b">
        <f ca="1">IFERROR(__xludf.DUMMYFUNCTION("""COMPUTED_VALUE"""),TRUE)</f>
        <v>1</v>
      </c>
      <c r="H418" s="5"/>
      <c r="I418" s="5"/>
      <c r="J418" s="5">
        <f ca="1">IFERROR(__xludf.DUMMYFUNCTION("""COMPUTED_VALUE"""),13247588)</f>
        <v>13247588</v>
      </c>
      <c r="K418" s="5"/>
      <c r="L418" s="18">
        <f ca="1">IFERROR(__xludf.DUMMYFUNCTION("""COMPUTED_VALUE"""),45325)</f>
        <v>45325</v>
      </c>
      <c r="M418" s="18">
        <f ca="1">IFERROR(__xludf.DUMMYFUNCTION("""COMPUTED_VALUE"""),45325)</f>
        <v>45325</v>
      </c>
      <c r="N418" s="5" t="str">
        <f ca="1">IFERROR(__xludf.DUMMYFUNCTION("""COMPUTED_VALUE"""),"PARRA VELANDIA JOHN JAIRO")</f>
        <v>PARRA VELANDIA JOHN JAIRO</v>
      </c>
      <c r="O418" s="2">
        <f ca="1">IFERROR(__xludf.DUMMYFUNCTION("""COMPUTED_VALUE"""),0.005)</f>
        <v>5.0000000000000001E-3</v>
      </c>
      <c r="P418" s="5">
        <f ca="1">IFERROR(__xludf.DUMMYFUNCTION("""COMPUTED_VALUE"""),94543434)</f>
        <v>94543434</v>
      </c>
      <c r="Q418" s="5" t="str">
        <f ca="1">IFERROR(__xludf.DUMMYFUNCTION("""COMPUTED_VALUE"""),"nKoyj__I3QI")</f>
        <v>nKoyj__I3QI</v>
      </c>
      <c r="R418" s="5">
        <f ca="1">IFERROR(__xludf.DUMMYFUNCTION("""COMPUTED_VALUE"""),410)</f>
        <v>410</v>
      </c>
      <c r="S418" s="62">
        <f ca="1">IFERROR(__xludf.DUMMYFUNCTION("""COMPUTED_VALUE"""),0.005)</f>
        <v>5.0000000000000001E-3</v>
      </c>
      <c r="T418" s="63" t="str">
        <f ca="1">IFERROR(__xludf.DUMMYFUNCTION("""COMPUTED_VALUE"""),"https://storage.googleapis.com/glide-prod.appspot.com/uploads-v2/ly7o78grxPaC6KdgvbpS/pub/3aRdSog0vUtuqPE8AJKD.png")</f>
        <v>https://storage.googleapis.com/glide-prod.appspot.com/uploads-v2/ly7o78grxPaC6KdgvbpS/pub/3aRdSog0vUtuqPE8AJKD.png</v>
      </c>
      <c r="U418" s="5" t="str">
        <f ca="1">IFERROR(__xludf.DUMMYFUNCTION("""COMPUTED_VALUE"""),"LINEA PET CSD - LINEA 10ENFARDADORA")</f>
        <v>LINEA PET CSD - LINEA 10ENFARDADORA</v>
      </c>
      <c r="V418" s="5"/>
      <c r="W418" s="5" t="b">
        <f ca="1">IFERROR(__xludf.DUMMYFUNCTION("""COMPUTED_VALUE"""),TRUE)</f>
        <v>1</v>
      </c>
      <c r="X418" s="5" t="str">
        <f ca="1">IFERROR(__xludf.DUMMYFUNCTION("""COMPUTED_VALUE"""),"wmazorra@postobon.com.co,aprmttoyu@postobon.com.co,aprmyu@postobon.com.co,wmora@postobon.com.co,efzapata@postobon.com.co")</f>
        <v>wmazorra@postobon.com.co,aprmttoyu@postobon.com.co,aprmyu@postobon.com.co,wmora@postobon.com.co,efzapata@postobon.com.co</v>
      </c>
      <c r="Y418" s="5" t="str">
        <f ca="1">IFERROR(__xludf.DUMMYFUNCTION("""COMPUTED_VALUE"""),"wmazorra@postobon.com.co")</f>
        <v>wmazorra@postobon.com.co</v>
      </c>
      <c r="Z418" s="5" t="str">
        <f ca="1">IFERROR(__xludf.DUMMYFUNCTION("""COMPUTED_VALUE"""),"a.8Qv0dlAQXqGlV-U1Q44Zw")</f>
        <v>a.8Qv0dlAQXqGlV-U1Q44Zw</v>
      </c>
      <c r="AA418" s="5"/>
      <c r="AB418" s="5"/>
      <c r="AC418" s="5"/>
      <c r="AD418" s="5">
        <f ca="1">IFERROR(__xludf.DUMMYFUNCTION("""COMPUTED_VALUE"""),36)</f>
        <v>36</v>
      </c>
      <c r="AE418" s="5">
        <f ca="1">IFERROR(__xludf.DUMMYFUNCTION("""COMPUTED_VALUE"""),36)</f>
        <v>36</v>
      </c>
      <c r="AF418" s="5" t="b">
        <f ca="1">IFERROR(__xludf.DUMMYFUNCTION("""COMPUTED_VALUE"""),FALSE)</f>
        <v>0</v>
      </c>
      <c r="AG418" s="5" t="str">
        <f ca="1">IFERROR(__xludf.DUMMYFUNCTION("""COMPUTED_VALUE"""),"INSPECCIONES REALIZADAS")</f>
        <v>INSPECCIONES REALIZADAS</v>
      </c>
      <c r="AH418" s="5"/>
    </row>
    <row r="419" spans="1:34">
      <c r="A419" s="5" t="str">
        <f ca="1">IFERROR(__xludf.DUMMYFUNCTION("""COMPUTED_VALUE"""),"LINEA PET CSD - LINEA 10")</f>
        <v>LINEA PET CSD - LINEA 10</v>
      </c>
      <c r="B419" s="5">
        <f ca="1">IFERROR(__xludf.DUMMYFUNCTION("""COMPUTED_VALUE"""),710324)</f>
        <v>710324</v>
      </c>
      <c r="C419" s="5" t="str">
        <f ca="1">IFERROR(__xludf.DUMMYFUNCTION("""COMPUTED_VALUE"""),"ENFARDADORA")</f>
        <v>ENFARDADORA</v>
      </c>
      <c r="D419" s="5">
        <f ca="1">IFERROR(__xludf.DUMMYFUNCTION("""COMPUTED_VALUE"""),13247588)</f>
        <v>13247588</v>
      </c>
      <c r="E419" s="5" t="str">
        <f ca="1">IFERROR(__xludf.DUMMYFUNCTION("""COMPUTED_VALUE"""),"INSPECCION SEMANAL ENFARDADORA")</f>
        <v>INSPECCION SEMANAL ENFARDADORA</v>
      </c>
      <c r="F419" s="5" t="str">
        <f ca="1">IFERROR(__xludf.DUMMYFUNCTION("""COMPUTED_VALUE"""),"INSP BARRERAS LUZ Y REFLECTORES")</f>
        <v>INSP BARRERAS LUZ Y REFLECTORES</v>
      </c>
      <c r="G419" s="5" t="b">
        <f ca="1">IFERROR(__xludf.DUMMYFUNCTION("""COMPUTED_VALUE"""),TRUE)</f>
        <v>1</v>
      </c>
      <c r="H419" s="5"/>
      <c r="I419" s="5"/>
      <c r="J419" s="5">
        <f ca="1">IFERROR(__xludf.DUMMYFUNCTION("""COMPUTED_VALUE"""),13247588)</f>
        <v>13247588</v>
      </c>
      <c r="K419" s="5"/>
      <c r="L419" s="18">
        <f ca="1">IFERROR(__xludf.DUMMYFUNCTION("""COMPUTED_VALUE"""),45325)</f>
        <v>45325</v>
      </c>
      <c r="M419" s="18">
        <f ca="1">IFERROR(__xludf.DUMMYFUNCTION("""COMPUTED_VALUE"""),45325)</f>
        <v>45325</v>
      </c>
      <c r="N419" s="5" t="str">
        <f ca="1">IFERROR(__xludf.DUMMYFUNCTION("""COMPUTED_VALUE"""),"PARRA VELANDIA JOHN JAIRO")</f>
        <v>PARRA VELANDIA JOHN JAIRO</v>
      </c>
      <c r="O419" s="2">
        <f ca="1">IFERROR(__xludf.DUMMYFUNCTION("""COMPUTED_VALUE"""),0.005)</f>
        <v>5.0000000000000001E-3</v>
      </c>
      <c r="P419" s="5">
        <f ca="1">IFERROR(__xludf.DUMMYFUNCTION("""COMPUTED_VALUE"""),94543434)</f>
        <v>94543434</v>
      </c>
      <c r="Q419" s="5" t="str">
        <f ca="1">IFERROR(__xludf.DUMMYFUNCTION("""COMPUTED_VALUE"""),"fEcU-9TCQnY")</f>
        <v>fEcU-9TCQnY</v>
      </c>
      <c r="R419" s="5">
        <f ca="1">IFERROR(__xludf.DUMMYFUNCTION("""COMPUTED_VALUE"""),410)</f>
        <v>410</v>
      </c>
      <c r="S419" s="62">
        <f ca="1">IFERROR(__xludf.DUMMYFUNCTION("""COMPUTED_VALUE"""),0.005)</f>
        <v>5.0000000000000001E-3</v>
      </c>
      <c r="T419" s="63" t="str">
        <f ca="1">IFERROR(__xludf.DUMMYFUNCTION("""COMPUTED_VALUE"""),"https://storage.googleapis.com/glide-prod.appspot.com/uploads-v2/ly7o78grxPaC6KdgvbpS/pub/3aRdSog0vUtuqPE8AJKD.png")</f>
        <v>https://storage.googleapis.com/glide-prod.appspot.com/uploads-v2/ly7o78grxPaC6KdgvbpS/pub/3aRdSog0vUtuqPE8AJKD.png</v>
      </c>
      <c r="U419" s="5" t="str">
        <f ca="1">IFERROR(__xludf.DUMMYFUNCTION("""COMPUTED_VALUE"""),"LINEA PET CSD - LINEA 10ENFARDADORA")</f>
        <v>LINEA PET CSD - LINEA 10ENFARDADORA</v>
      </c>
      <c r="V419" s="5"/>
      <c r="W419" s="5" t="b">
        <f ca="1">IFERROR(__xludf.DUMMYFUNCTION("""COMPUTED_VALUE"""),TRUE)</f>
        <v>1</v>
      </c>
      <c r="X419" s="5" t="str">
        <f ca="1">IFERROR(__xludf.DUMMYFUNCTION("""COMPUTED_VALUE"""),"wmazorra@postobon.com.co,aprmttoyu@postobon.com.co,aprmyu@postobon.com.co,wmora@postobon.com.co,efzapata@postobon.com.co")</f>
        <v>wmazorra@postobon.com.co,aprmttoyu@postobon.com.co,aprmyu@postobon.com.co,wmora@postobon.com.co,efzapata@postobon.com.co</v>
      </c>
      <c r="Y419" s="5" t="str">
        <f ca="1">IFERROR(__xludf.DUMMYFUNCTION("""COMPUTED_VALUE"""),"wmazorra@postobon.com.co")</f>
        <v>wmazorra@postobon.com.co</v>
      </c>
      <c r="Z419" s="5" t="str">
        <f ca="1">IFERROR(__xludf.DUMMYFUNCTION("""COMPUTED_VALUE"""),"d5PouRIlQ464XG945PDpbg")</f>
        <v>d5PouRIlQ464XG945PDpbg</v>
      </c>
      <c r="AA419" s="5"/>
      <c r="AB419" s="5"/>
      <c r="AC419" s="5"/>
      <c r="AD419" s="5">
        <f ca="1">IFERROR(__xludf.DUMMYFUNCTION("""COMPUTED_VALUE"""),36)</f>
        <v>36</v>
      </c>
      <c r="AE419" s="5">
        <f ca="1">IFERROR(__xludf.DUMMYFUNCTION("""COMPUTED_VALUE"""),36)</f>
        <v>36</v>
      </c>
      <c r="AF419" s="5" t="b">
        <f ca="1">IFERROR(__xludf.DUMMYFUNCTION("""COMPUTED_VALUE"""),FALSE)</f>
        <v>0</v>
      </c>
      <c r="AG419" s="5" t="str">
        <f ca="1">IFERROR(__xludf.DUMMYFUNCTION("""COMPUTED_VALUE"""),"INSPECCIONES REALIZADAS")</f>
        <v>INSPECCIONES REALIZADAS</v>
      </c>
      <c r="AH419" s="5"/>
    </row>
    <row r="420" spans="1:34">
      <c r="A420" s="5" t="str">
        <f ca="1">IFERROR(__xludf.DUMMYFUNCTION("""COMPUTED_VALUE"""),"LINEA PET CSD - LINEA 10")</f>
        <v>LINEA PET CSD - LINEA 10</v>
      </c>
      <c r="B420" s="5">
        <f ca="1">IFERROR(__xludf.DUMMYFUNCTION("""COMPUTED_VALUE"""),710324)</f>
        <v>710324</v>
      </c>
      <c r="C420" s="5" t="str">
        <f ca="1">IFERROR(__xludf.DUMMYFUNCTION("""COMPUTED_VALUE"""),"ENFARDADORA")</f>
        <v>ENFARDADORA</v>
      </c>
      <c r="D420" s="5">
        <f ca="1">IFERROR(__xludf.DUMMYFUNCTION("""COMPUTED_VALUE"""),13247588)</f>
        <v>13247588</v>
      </c>
      <c r="E420" s="5" t="str">
        <f ca="1">IFERROR(__xludf.DUMMYFUNCTION("""COMPUTED_VALUE"""),"INSPECCION SEMANAL ENFARDADORA")</f>
        <v>INSPECCION SEMANAL ENFARDADORA</v>
      </c>
      <c r="F420" s="5" t="str">
        <f ca="1">IFERROR(__xludf.DUMMYFUNCTION("""COMPUTED_VALUE"""),"INSP VARILLAS IONIZACION CORTE-PLEGADOR")</f>
        <v>INSP VARILLAS IONIZACION CORTE-PLEGADOR</v>
      </c>
      <c r="G420" s="5" t="b">
        <f ca="1">IFERROR(__xludf.DUMMYFUNCTION("""COMPUTED_VALUE"""),TRUE)</f>
        <v>1</v>
      </c>
      <c r="H420" s="5"/>
      <c r="I420" s="5"/>
      <c r="J420" s="5">
        <f ca="1">IFERROR(__xludf.DUMMYFUNCTION("""COMPUTED_VALUE"""),13247588)</f>
        <v>13247588</v>
      </c>
      <c r="K420" s="5"/>
      <c r="L420" s="18">
        <f ca="1">IFERROR(__xludf.DUMMYFUNCTION("""COMPUTED_VALUE"""),45325)</f>
        <v>45325</v>
      </c>
      <c r="M420" s="18">
        <f ca="1">IFERROR(__xludf.DUMMYFUNCTION("""COMPUTED_VALUE"""),45325)</f>
        <v>45325</v>
      </c>
      <c r="N420" s="5" t="str">
        <f ca="1">IFERROR(__xludf.DUMMYFUNCTION("""COMPUTED_VALUE"""),"PARRA VELANDIA JOHN JAIRO")</f>
        <v>PARRA VELANDIA JOHN JAIRO</v>
      </c>
      <c r="O420" s="2">
        <f ca="1">IFERROR(__xludf.DUMMYFUNCTION("""COMPUTED_VALUE"""),0.005)</f>
        <v>5.0000000000000001E-3</v>
      </c>
      <c r="P420" s="5">
        <f ca="1">IFERROR(__xludf.DUMMYFUNCTION("""COMPUTED_VALUE"""),94543434)</f>
        <v>94543434</v>
      </c>
      <c r="Q420" s="5" t="str">
        <f ca="1">IFERROR(__xludf.DUMMYFUNCTION("""COMPUTED_VALUE"""),"WhjDRxPRUFs")</f>
        <v>WhjDRxPRUFs</v>
      </c>
      <c r="R420" s="5">
        <f ca="1">IFERROR(__xludf.DUMMYFUNCTION("""COMPUTED_VALUE"""),410)</f>
        <v>410</v>
      </c>
      <c r="S420" s="62">
        <f ca="1">IFERROR(__xludf.DUMMYFUNCTION("""COMPUTED_VALUE"""),0.005)</f>
        <v>5.0000000000000001E-3</v>
      </c>
      <c r="T420" s="63" t="str">
        <f ca="1">IFERROR(__xludf.DUMMYFUNCTION("""COMPUTED_VALUE"""),"https://storage.googleapis.com/glide-prod.appspot.com/uploads-v2/ly7o78grxPaC6KdgvbpS/pub/3aRdSog0vUtuqPE8AJKD.png")</f>
        <v>https://storage.googleapis.com/glide-prod.appspot.com/uploads-v2/ly7o78grxPaC6KdgvbpS/pub/3aRdSog0vUtuqPE8AJKD.png</v>
      </c>
      <c r="U420" s="5" t="str">
        <f ca="1">IFERROR(__xludf.DUMMYFUNCTION("""COMPUTED_VALUE"""),"LINEA PET CSD - LINEA 10ENFARDADORA")</f>
        <v>LINEA PET CSD - LINEA 10ENFARDADORA</v>
      </c>
      <c r="V420" s="5"/>
      <c r="W420" s="5" t="b">
        <f ca="1">IFERROR(__xludf.DUMMYFUNCTION("""COMPUTED_VALUE"""),TRUE)</f>
        <v>1</v>
      </c>
      <c r="X420" s="5" t="str">
        <f ca="1">IFERROR(__xludf.DUMMYFUNCTION("""COMPUTED_VALUE"""),"wmazorra@postobon.com.co,aprmttoyu@postobon.com.co,aprmyu@postobon.com.co,wmora@postobon.com.co,efzapata@postobon.com.co")</f>
        <v>wmazorra@postobon.com.co,aprmttoyu@postobon.com.co,aprmyu@postobon.com.co,wmora@postobon.com.co,efzapata@postobon.com.co</v>
      </c>
      <c r="Y420" s="5" t="str">
        <f ca="1">IFERROR(__xludf.DUMMYFUNCTION("""COMPUTED_VALUE"""),"wmazorra@postobon.com.co")</f>
        <v>wmazorra@postobon.com.co</v>
      </c>
      <c r="Z420" s="5" t="str">
        <f ca="1">IFERROR(__xludf.DUMMYFUNCTION("""COMPUTED_VALUE"""),"UbGeXXouShKBF39EFKpArg")</f>
        <v>UbGeXXouShKBF39EFKpArg</v>
      </c>
      <c r="AA420" s="5"/>
      <c r="AB420" s="5"/>
      <c r="AC420" s="5"/>
      <c r="AD420" s="5">
        <f ca="1">IFERROR(__xludf.DUMMYFUNCTION("""COMPUTED_VALUE"""),36)</f>
        <v>36</v>
      </c>
      <c r="AE420" s="5">
        <f ca="1">IFERROR(__xludf.DUMMYFUNCTION("""COMPUTED_VALUE"""),36)</f>
        <v>36</v>
      </c>
      <c r="AF420" s="5" t="b">
        <f ca="1">IFERROR(__xludf.DUMMYFUNCTION("""COMPUTED_VALUE"""),FALSE)</f>
        <v>0</v>
      </c>
      <c r="AG420" s="5" t="str">
        <f ca="1">IFERROR(__xludf.DUMMYFUNCTION("""COMPUTED_VALUE"""),"INSPECCIONES REALIZADAS")</f>
        <v>INSPECCIONES REALIZADAS</v>
      </c>
      <c r="AH420" s="5"/>
    </row>
    <row r="421" spans="1:34">
      <c r="A421" s="5" t="str">
        <f ca="1">IFERROR(__xludf.DUMMYFUNCTION("""COMPUTED_VALUE"""),"LINEA PET CSD - LINEA 10")</f>
        <v>LINEA PET CSD - LINEA 10</v>
      </c>
      <c r="B421" s="5">
        <f ca="1">IFERROR(__xludf.DUMMYFUNCTION("""COMPUTED_VALUE"""),710324)</f>
        <v>710324</v>
      </c>
      <c r="C421" s="5" t="str">
        <f ca="1">IFERROR(__xludf.DUMMYFUNCTION("""COMPUTED_VALUE"""),"ENFARDADORA")</f>
        <v>ENFARDADORA</v>
      </c>
      <c r="D421" s="5">
        <f ca="1">IFERROR(__xludf.DUMMYFUNCTION("""COMPUTED_VALUE"""),13247588)</f>
        <v>13247588</v>
      </c>
      <c r="E421" s="5" t="str">
        <f ca="1">IFERROR(__xludf.DUMMYFUNCTION("""COMPUTED_VALUE"""),"INSPECCION SEMANAL ENFARDADORA")</f>
        <v>INSPECCION SEMANAL ENFARDADORA</v>
      </c>
      <c r="F421" s="5" t="str">
        <f ca="1">IFERROR(__xludf.DUMMYFUNCTION("""COMPUTED_VALUE"""),"INSP FUNC ESTACION CORTE")</f>
        <v>INSP FUNC ESTACION CORTE</v>
      </c>
      <c r="G421" s="5" t="b">
        <f ca="1">IFERROR(__xludf.DUMMYFUNCTION("""COMPUTED_VALUE"""),TRUE)</f>
        <v>1</v>
      </c>
      <c r="H421" s="5"/>
      <c r="I421" s="5"/>
      <c r="J421" s="5">
        <f ca="1">IFERROR(__xludf.DUMMYFUNCTION("""COMPUTED_VALUE"""),13247588)</f>
        <v>13247588</v>
      </c>
      <c r="K421" s="5"/>
      <c r="L421" s="18">
        <f ca="1">IFERROR(__xludf.DUMMYFUNCTION("""COMPUTED_VALUE"""),45325)</f>
        <v>45325</v>
      </c>
      <c r="M421" s="18">
        <f ca="1">IFERROR(__xludf.DUMMYFUNCTION("""COMPUTED_VALUE"""),45325)</f>
        <v>45325</v>
      </c>
      <c r="N421" s="5" t="str">
        <f ca="1">IFERROR(__xludf.DUMMYFUNCTION("""COMPUTED_VALUE"""),"PARRA VELANDIA JOHN JAIRO")</f>
        <v>PARRA VELANDIA JOHN JAIRO</v>
      </c>
      <c r="O421" s="2">
        <f ca="1">IFERROR(__xludf.DUMMYFUNCTION("""COMPUTED_VALUE"""),0.005)</f>
        <v>5.0000000000000001E-3</v>
      </c>
      <c r="P421" s="5">
        <f ca="1">IFERROR(__xludf.DUMMYFUNCTION("""COMPUTED_VALUE"""),94543434)</f>
        <v>94543434</v>
      </c>
      <c r="Q421" s="5" t="str">
        <f ca="1">IFERROR(__xludf.DUMMYFUNCTION("""COMPUTED_VALUE"""),"-1V2LzqpZgA")</f>
        <v>-1V2LzqpZgA</v>
      </c>
      <c r="R421" s="5">
        <f ca="1">IFERROR(__xludf.DUMMYFUNCTION("""COMPUTED_VALUE"""),410)</f>
        <v>410</v>
      </c>
      <c r="S421" s="62">
        <f ca="1">IFERROR(__xludf.DUMMYFUNCTION("""COMPUTED_VALUE"""),0.005)</f>
        <v>5.0000000000000001E-3</v>
      </c>
      <c r="T421" s="63" t="str">
        <f ca="1">IFERROR(__xludf.DUMMYFUNCTION("""COMPUTED_VALUE"""),"https://storage.googleapis.com/glide-prod.appspot.com/uploads-v2/ly7o78grxPaC6KdgvbpS/pub/3aRdSog0vUtuqPE8AJKD.png")</f>
        <v>https://storage.googleapis.com/glide-prod.appspot.com/uploads-v2/ly7o78grxPaC6KdgvbpS/pub/3aRdSog0vUtuqPE8AJKD.png</v>
      </c>
      <c r="U421" s="5" t="str">
        <f ca="1">IFERROR(__xludf.DUMMYFUNCTION("""COMPUTED_VALUE"""),"LINEA PET CSD - LINEA 10ENFARDADORA")</f>
        <v>LINEA PET CSD - LINEA 10ENFARDADORA</v>
      </c>
      <c r="V421" s="5"/>
      <c r="W421" s="5" t="b">
        <f ca="1">IFERROR(__xludf.DUMMYFUNCTION("""COMPUTED_VALUE"""),TRUE)</f>
        <v>1</v>
      </c>
      <c r="X421" s="5" t="str">
        <f ca="1">IFERROR(__xludf.DUMMYFUNCTION("""COMPUTED_VALUE"""),"wmazorra@postobon.com.co,aprmttoyu@postobon.com.co,aprmyu@postobon.com.co,wmora@postobon.com.co,efzapata@postobon.com.co")</f>
        <v>wmazorra@postobon.com.co,aprmttoyu@postobon.com.co,aprmyu@postobon.com.co,wmora@postobon.com.co,efzapata@postobon.com.co</v>
      </c>
      <c r="Y421" s="5" t="str">
        <f ca="1">IFERROR(__xludf.DUMMYFUNCTION("""COMPUTED_VALUE"""),"wmazorra@postobon.com.co")</f>
        <v>wmazorra@postobon.com.co</v>
      </c>
      <c r="Z421" s="5" t="str">
        <f ca="1">IFERROR(__xludf.DUMMYFUNCTION("""COMPUTED_VALUE"""),"3IKYqZ6zT-SoKmCwXBnw8A")</f>
        <v>3IKYqZ6zT-SoKmCwXBnw8A</v>
      </c>
      <c r="AA421" s="5"/>
      <c r="AB421" s="5"/>
      <c r="AC421" s="5"/>
      <c r="AD421" s="5">
        <f ca="1">IFERROR(__xludf.DUMMYFUNCTION("""COMPUTED_VALUE"""),36)</f>
        <v>36</v>
      </c>
      <c r="AE421" s="5">
        <f ca="1">IFERROR(__xludf.DUMMYFUNCTION("""COMPUTED_VALUE"""),36)</f>
        <v>36</v>
      </c>
      <c r="AF421" s="5" t="b">
        <f ca="1">IFERROR(__xludf.DUMMYFUNCTION("""COMPUTED_VALUE"""),FALSE)</f>
        <v>0</v>
      </c>
      <c r="AG421" s="5" t="str">
        <f ca="1">IFERROR(__xludf.DUMMYFUNCTION("""COMPUTED_VALUE"""),"INSPECCIONES REALIZADAS")</f>
        <v>INSPECCIONES REALIZADAS</v>
      </c>
      <c r="AH421" s="5"/>
    </row>
    <row r="422" spans="1:34">
      <c r="A422" s="5" t="str">
        <f ca="1">IFERROR(__xludf.DUMMYFUNCTION("""COMPUTED_VALUE"""),"LINEA PET CSD - LINEA 10")</f>
        <v>LINEA PET CSD - LINEA 10</v>
      </c>
      <c r="B422" s="5">
        <f ca="1">IFERROR(__xludf.DUMMYFUNCTION("""COMPUTED_VALUE"""),710324)</f>
        <v>710324</v>
      </c>
      <c r="C422" s="5" t="str">
        <f ca="1">IFERROR(__xludf.DUMMYFUNCTION("""COMPUTED_VALUE"""),"ENFARDADORA")</f>
        <v>ENFARDADORA</v>
      </c>
      <c r="D422" s="5">
        <f ca="1">IFERROR(__xludf.DUMMYFUNCTION("""COMPUTED_VALUE"""),13247588)</f>
        <v>13247588</v>
      </c>
      <c r="E422" s="5" t="str">
        <f ca="1">IFERROR(__xludf.DUMMYFUNCTION("""COMPUTED_VALUE"""),"INSPECCION SEMANAL ENFARDADORA")</f>
        <v>INSPECCION SEMANAL ENFARDADORA</v>
      </c>
      <c r="F422" s="5" t="str">
        <f ca="1">IFERROR(__xludf.DUMMYFUNCTION("""COMPUTED_VALUE"""),"INSP MODULO PLEGADOR")</f>
        <v>INSP MODULO PLEGADOR</v>
      </c>
      <c r="G422" s="5" t="b">
        <f ca="1">IFERROR(__xludf.DUMMYFUNCTION("""COMPUTED_VALUE"""),TRUE)</f>
        <v>1</v>
      </c>
      <c r="H422" s="5"/>
      <c r="I422" s="5"/>
      <c r="J422" s="5">
        <f ca="1">IFERROR(__xludf.DUMMYFUNCTION("""COMPUTED_VALUE"""),13247588)</f>
        <v>13247588</v>
      </c>
      <c r="K422" s="5"/>
      <c r="L422" s="18">
        <f ca="1">IFERROR(__xludf.DUMMYFUNCTION("""COMPUTED_VALUE"""),45325)</f>
        <v>45325</v>
      </c>
      <c r="M422" s="18">
        <f ca="1">IFERROR(__xludf.DUMMYFUNCTION("""COMPUTED_VALUE"""),45325)</f>
        <v>45325</v>
      </c>
      <c r="N422" s="5" t="str">
        <f ca="1">IFERROR(__xludf.DUMMYFUNCTION("""COMPUTED_VALUE"""),"PARRA VELANDIA JOHN JAIRO")</f>
        <v>PARRA VELANDIA JOHN JAIRO</v>
      </c>
      <c r="O422" s="2">
        <f ca="1">IFERROR(__xludf.DUMMYFUNCTION("""COMPUTED_VALUE"""),0.005)</f>
        <v>5.0000000000000001E-3</v>
      </c>
      <c r="P422" s="5">
        <f ca="1">IFERROR(__xludf.DUMMYFUNCTION("""COMPUTED_VALUE"""),94543434)</f>
        <v>94543434</v>
      </c>
      <c r="Q422" s="5" t="str">
        <f ca="1">IFERROR(__xludf.DUMMYFUNCTION("""COMPUTED_VALUE"""),"Mo8KGvFPYyM")</f>
        <v>Mo8KGvFPYyM</v>
      </c>
      <c r="R422" s="5">
        <f ca="1">IFERROR(__xludf.DUMMYFUNCTION("""COMPUTED_VALUE"""),410)</f>
        <v>410</v>
      </c>
      <c r="S422" s="62">
        <f ca="1">IFERROR(__xludf.DUMMYFUNCTION("""COMPUTED_VALUE"""),0.005)</f>
        <v>5.0000000000000001E-3</v>
      </c>
      <c r="T422" s="63" t="str">
        <f ca="1">IFERROR(__xludf.DUMMYFUNCTION("""COMPUTED_VALUE"""),"https://storage.googleapis.com/glide-prod.appspot.com/uploads-v2/ly7o78grxPaC6KdgvbpS/pub/3aRdSog0vUtuqPE8AJKD.png")</f>
        <v>https://storage.googleapis.com/glide-prod.appspot.com/uploads-v2/ly7o78grxPaC6KdgvbpS/pub/3aRdSog0vUtuqPE8AJKD.png</v>
      </c>
      <c r="U422" s="5" t="str">
        <f ca="1">IFERROR(__xludf.DUMMYFUNCTION("""COMPUTED_VALUE"""),"LINEA PET CSD - LINEA 10ENFARDADORA")</f>
        <v>LINEA PET CSD - LINEA 10ENFARDADORA</v>
      </c>
      <c r="V422" s="5"/>
      <c r="W422" s="5" t="b">
        <f ca="1">IFERROR(__xludf.DUMMYFUNCTION("""COMPUTED_VALUE"""),TRUE)</f>
        <v>1</v>
      </c>
      <c r="X422" s="5" t="str">
        <f ca="1">IFERROR(__xludf.DUMMYFUNCTION("""COMPUTED_VALUE"""),"wmazorra@postobon.com.co,aprmttoyu@postobon.com.co,aprmyu@postobon.com.co,wmora@postobon.com.co,efzapata@postobon.com.co")</f>
        <v>wmazorra@postobon.com.co,aprmttoyu@postobon.com.co,aprmyu@postobon.com.co,wmora@postobon.com.co,efzapata@postobon.com.co</v>
      </c>
      <c r="Y422" s="5" t="str">
        <f ca="1">IFERROR(__xludf.DUMMYFUNCTION("""COMPUTED_VALUE"""),"wmazorra@postobon.com.co")</f>
        <v>wmazorra@postobon.com.co</v>
      </c>
      <c r="Z422" s="5" t="str">
        <f ca="1">IFERROR(__xludf.DUMMYFUNCTION("""COMPUTED_VALUE"""),"HVyCd6UhSJysoyFV8TSHKA")</f>
        <v>HVyCd6UhSJysoyFV8TSHKA</v>
      </c>
      <c r="AA422" s="5"/>
      <c r="AB422" s="5"/>
      <c r="AC422" s="5"/>
      <c r="AD422" s="5">
        <f ca="1">IFERROR(__xludf.DUMMYFUNCTION("""COMPUTED_VALUE"""),36)</f>
        <v>36</v>
      </c>
      <c r="AE422" s="5">
        <f ca="1">IFERROR(__xludf.DUMMYFUNCTION("""COMPUTED_VALUE"""),36)</f>
        <v>36</v>
      </c>
      <c r="AF422" s="5" t="b">
        <f ca="1">IFERROR(__xludf.DUMMYFUNCTION("""COMPUTED_VALUE"""),FALSE)</f>
        <v>0</v>
      </c>
      <c r="AG422" s="5" t="str">
        <f ca="1">IFERROR(__xludf.DUMMYFUNCTION("""COMPUTED_VALUE"""),"INSPECCIONES REALIZADAS")</f>
        <v>INSPECCIONES REALIZADAS</v>
      </c>
      <c r="AH422" s="5"/>
    </row>
    <row r="423" spans="1:34">
      <c r="A423" s="5" t="str">
        <f ca="1">IFERROR(__xludf.DUMMYFUNCTION("""COMPUTED_VALUE"""),"LINEA PET CSD - LINEA 10")</f>
        <v>LINEA PET CSD - LINEA 10</v>
      </c>
      <c r="B423" s="5">
        <f ca="1">IFERROR(__xludf.DUMMYFUNCTION("""COMPUTED_VALUE"""),710324)</f>
        <v>710324</v>
      </c>
      <c r="C423" s="5" t="str">
        <f ca="1">IFERROR(__xludf.DUMMYFUNCTION("""COMPUTED_VALUE"""),"ENFARDADORA")</f>
        <v>ENFARDADORA</v>
      </c>
      <c r="D423" s="5">
        <f ca="1">IFERROR(__xludf.DUMMYFUNCTION("""COMPUTED_VALUE"""),13247588)</f>
        <v>13247588</v>
      </c>
      <c r="E423" s="5" t="str">
        <f ca="1">IFERROR(__xludf.DUMMYFUNCTION("""COMPUTED_VALUE"""),"INSPECCION SEMANAL ENFARDADORA")</f>
        <v>INSPECCION SEMANAL ENFARDADORA</v>
      </c>
      <c r="F423" s="5" t="str">
        <f ca="1">IFERROR(__xludf.DUMMYFUNCTION("""COMPUTED_VALUE"""),"INSP INTERCAMBIADOR Y REJILLA AIRE")</f>
        <v>INSP INTERCAMBIADOR Y REJILLA AIRE</v>
      </c>
      <c r="G423" s="5" t="b">
        <f ca="1">IFERROR(__xludf.DUMMYFUNCTION("""COMPUTED_VALUE"""),TRUE)</f>
        <v>1</v>
      </c>
      <c r="H423" s="5"/>
      <c r="I423" s="5"/>
      <c r="J423" s="5">
        <f ca="1">IFERROR(__xludf.DUMMYFUNCTION("""COMPUTED_VALUE"""),13247588)</f>
        <v>13247588</v>
      </c>
      <c r="K423" s="5"/>
      <c r="L423" s="18">
        <f ca="1">IFERROR(__xludf.DUMMYFUNCTION("""COMPUTED_VALUE"""),45325)</f>
        <v>45325</v>
      </c>
      <c r="M423" s="18">
        <f ca="1">IFERROR(__xludf.DUMMYFUNCTION("""COMPUTED_VALUE"""),45325)</f>
        <v>45325</v>
      </c>
      <c r="N423" s="5" t="str">
        <f ca="1">IFERROR(__xludf.DUMMYFUNCTION("""COMPUTED_VALUE"""),"PARRA VELANDIA JOHN JAIRO")</f>
        <v>PARRA VELANDIA JOHN JAIRO</v>
      </c>
      <c r="O423" s="2">
        <f ca="1">IFERROR(__xludf.DUMMYFUNCTION("""COMPUTED_VALUE"""),0.005)</f>
        <v>5.0000000000000001E-3</v>
      </c>
      <c r="P423" s="5">
        <f ca="1">IFERROR(__xludf.DUMMYFUNCTION("""COMPUTED_VALUE"""),94543434)</f>
        <v>94543434</v>
      </c>
      <c r="Q423" s="5" t="str">
        <f ca="1">IFERROR(__xludf.DUMMYFUNCTION("""COMPUTED_VALUE"""),"j18fiQWxfrY")</f>
        <v>j18fiQWxfrY</v>
      </c>
      <c r="R423" s="5">
        <f ca="1">IFERROR(__xludf.DUMMYFUNCTION("""COMPUTED_VALUE"""),410)</f>
        <v>410</v>
      </c>
      <c r="S423" s="62">
        <f ca="1">IFERROR(__xludf.DUMMYFUNCTION("""COMPUTED_VALUE"""),0.005)</f>
        <v>5.0000000000000001E-3</v>
      </c>
      <c r="T423" s="63" t="str">
        <f ca="1">IFERROR(__xludf.DUMMYFUNCTION("""COMPUTED_VALUE"""),"https://storage.googleapis.com/glide-prod.appspot.com/uploads-v2/ly7o78grxPaC6KdgvbpS/pub/3aRdSog0vUtuqPE8AJKD.png")</f>
        <v>https://storage.googleapis.com/glide-prod.appspot.com/uploads-v2/ly7o78grxPaC6KdgvbpS/pub/3aRdSog0vUtuqPE8AJKD.png</v>
      </c>
      <c r="U423" s="5" t="str">
        <f ca="1">IFERROR(__xludf.DUMMYFUNCTION("""COMPUTED_VALUE"""),"LINEA PET CSD - LINEA 10ENFARDADORA")</f>
        <v>LINEA PET CSD - LINEA 10ENFARDADORA</v>
      </c>
      <c r="V423" s="5"/>
      <c r="W423" s="5" t="b">
        <f ca="1">IFERROR(__xludf.DUMMYFUNCTION("""COMPUTED_VALUE"""),TRUE)</f>
        <v>1</v>
      </c>
      <c r="X423" s="5" t="str">
        <f ca="1">IFERROR(__xludf.DUMMYFUNCTION("""COMPUTED_VALUE"""),"wmazorra@postobon.com.co,aprmttoyu@postobon.com.co,aprmyu@postobon.com.co,wmora@postobon.com.co,efzapata@postobon.com.co")</f>
        <v>wmazorra@postobon.com.co,aprmttoyu@postobon.com.co,aprmyu@postobon.com.co,wmora@postobon.com.co,efzapata@postobon.com.co</v>
      </c>
      <c r="Y423" s="5" t="str">
        <f ca="1">IFERROR(__xludf.DUMMYFUNCTION("""COMPUTED_VALUE"""),"wmazorra@postobon.com.co")</f>
        <v>wmazorra@postobon.com.co</v>
      </c>
      <c r="Z423" s="5" t="str">
        <f ca="1">IFERROR(__xludf.DUMMYFUNCTION("""COMPUTED_VALUE"""),"c.usjHybRzCCc6P2sPk9Tg")</f>
        <v>c.usjHybRzCCc6P2sPk9Tg</v>
      </c>
      <c r="AA423" s="5"/>
      <c r="AB423" s="5"/>
      <c r="AC423" s="5"/>
      <c r="AD423" s="5">
        <f ca="1">IFERROR(__xludf.DUMMYFUNCTION("""COMPUTED_VALUE"""),36)</f>
        <v>36</v>
      </c>
      <c r="AE423" s="5">
        <f ca="1">IFERROR(__xludf.DUMMYFUNCTION("""COMPUTED_VALUE"""),36)</f>
        <v>36</v>
      </c>
      <c r="AF423" s="5" t="b">
        <f ca="1">IFERROR(__xludf.DUMMYFUNCTION("""COMPUTED_VALUE"""),FALSE)</f>
        <v>0</v>
      </c>
      <c r="AG423" s="5" t="str">
        <f ca="1">IFERROR(__xludf.DUMMYFUNCTION("""COMPUTED_VALUE"""),"INSPECCIONES REALIZADAS")</f>
        <v>INSPECCIONES REALIZADAS</v>
      </c>
      <c r="AH423" s="5"/>
    </row>
    <row r="424" spans="1:34">
      <c r="A424" s="5" t="str">
        <f ca="1">IFERROR(__xludf.DUMMYFUNCTION("""COMPUTED_VALUE"""),"LINEA PET CSD - LINEA 10")</f>
        <v>LINEA PET CSD - LINEA 10</v>
      </c>
      <c r="B424" s="5">
        <f ca="1">IFERROR(__xludf.DUMMYFUNCTION("""COMPUTED_VALUE"""),710324)</f>
        <v>710324</v>
      </c>
      <c r="C424" s="5" t="str">
        <f ca="1">IFERROR(__xludf.DUMMYFUNCTION("""COMPUTED_VALUE"""),"ENFARDADORA")</f>
        <v>ENFARDADORA</v>
      </c>
      <c r="D424" s="5">
        <f ca="1">IFERROR(__xludf.DUMMYFUNCTION("""COMPUTED_VALUE"""),13247588)</f>
        <v>13247588</v>
      </c>
      <c r="E424" s="5" t="str">
        <f ca="1">IFERROR(__xludf.DUMMYFUNCTION("""COMPUTED_VALUE"""),"INSPECCION SEMANAL ENFARDADORA")</f>
        <v>INSPECCION SEMANAL ENFARDADORA</v>
      </c>
      <c r="F424" s="5" t="str">
        <f ca="1">IFERROR(__xludf.DUMMYFUNCTION("""COMPUTED_VALUE"""),"INSP RODILLOS BRAZO TENSOR FOIL")</f>
        <v>INSP RODILLOS BRAZO TENSOR FOIL</v>
      </c>
      <c r="G424" s="5" t="b">
        <f ca="1">IFERROR(__xludf.DUMMYFUNCTION("""COMPUTED_VALUE"""),TRUE)</f>
        <v>1</v>
      </c>
      <c r="H424" s="5"/>
      <c r="I424" s="5"/>
      <c r="J424" s="5">
        <f ca="1">IFERROR(__xludf.DUMMYFUNCTION("""COMPUTED_VALUE"""),13247588)</f>
        <v>13247588</v>
      </c>
      <c r="K424" s="5"/>
      <c r="L424" s="18">
        <f ca="1">IFERROR(__xludf.DUMMYFUNCTION("""COMPUTED_VALUE"""),45325)</f>
        <v>45325</v>
      </c>
      <c r="M424" s="18">
        <f ca="1">IFERROR(__xludf.DUMMYFUNCTION("""COMPUTED_VALUE"""),45325)</f>
        <v>45325</v>
      </c>
      <c r="N424" s="5" t="str">
        <f ca="1">IFERROR(__xludf.DUMMYFUNCTION("""COMPUTED_VALUE"""),"PARRA VELANDIA JOHN JAIRO")</f>
        <v>PARRA VELANDIA JOHN JAIRO</v>
      </c>
      <c r="O424" s="2">
        <f ca="1">IFERROR(__xludf.DUMMYFUNCTION("""COMPUTED_VALUE"""),0.005)</f>
        <v>5.0000000000000001E-3</v>
      </c>
      <c r="P424" s="5">
        <f ca="1">IFERROR(__xludf.DUMMYFUNCTION("""COMPUTED_VALUE"""),94543434)</f>
        <v>94543434</v>
      </c>
      <c r="Q424" s="5" t="str">
        <f ca="1">IFERROR(__xludf.DUMMYFUNCTION("""COMPUTED_VALUE"""),"nNKg08vZ3A8")</f>
        <v>nNKg08vZ3A8</v>
      </c>
      <c r="R424" s="5">
        <f ca="1">IFERROR(__xludf.DUMMYFUNCTION("""COMPUTED_VALUE"""),410)</f>
        <v>410</v>
      </c>
      <c r="S424" s="62">
        <f ca="1">IFERROR(__xludf.DUMMYFUNCTION("""COMPUTED_VALUE"""),0.005)</f>
        <v>5.0000000000000001E-3</v>
      </c>
      <c r="T424" s="63" t="str">
        <f ca="1">IFERROR(__xludf.DUMMYFUNCTION("""COMPUTED_VALUE"""),"https://storage.googleapis.com/glide-prod.appspot.com/uploads-v2/ly7o78grxPaC6KdgvbpS/pub/3aRdSog0vUtuqPE8AJKD.png")</f>
        <v>https://storage.googleapis.com/glide-prod.appspot.com/uploads-v2/ly7o78grxPaC6KdgvbpS/pub/3aRdSog0vUtuqPE8AJKD.png</v>
      </c>
      <c r="U424" s="5" t="str">
        <f ca="1">IFERROR(__xludf.DUMMYFUNCTION("""COMPUTED_VALUE"""),"LINEA PET CSD - LINEA 10ENFARDADORA")</f>
        <v>LINEA PET CSD - LINEA 10ENFARDADORA</v>
      </c>
      <c r="V424" s="5"/>
      <c r="W424" s="5" t="b">
        <f ca="1">IFERROR(__xludf.DUMMYFUNCTION("""COMPUTED_VALUE"""),TRUE)</f>
        <v>1</v>
      </c>
      <c r="X424" s="5" t="str">
        <f ca="1">IFERROR(__xludf.DUMMYFUNCTION("""COMPUTED_VALUE"""),"wmazorra@postobon.com.co,aprmttoyu@postobon.com.co,aprmyu@postobon.com.co,wmora@postobon.com.co,efzapata@postobon.com.co")</f>
        <v>wmazorra@postobon.com.co,aprmttoyu@postobon.com.co,aprmyu@postobon.com.co,wmora@postobon.com.co,efzapata@postobon.com.co</v>
      </c>
      <c r="Y424" s="5" t="str">
        <f ca="1">IFERROR(__xludf.DUMMYFUNCTION("""COMPUTED_VALUE"""),"wmazorra@postobon.com.co")</f>
        <v>wmazorra@postobon.com.co</v>
      </c>
      <c r="Z424" s="5" t="str">
        <f ca="1">IFERROR(__xludf.DUMMYFUNCTION("""COMPUTED_VALUE"""),"XequojT8TSeti6K1GBLonA")</f>
        <v>XequojT8TSeti6K1GBLonA</v>
      </c>
      <c r="AA424" s="5"/>
      <c r="AB424" s="5"/>
      <c r="AC424" s="5"/>
      <c r="AD424" s="5">
        <f ca="1">IFERROR(__xludf.DUMMYFUNCTION("""COMPUTED_VALUE"""),36)</f>
        <v>36</v>
      </c>
      <c r="AE424" s="5">
        <f ca="1">IFERROR(__xludf.DUMMYFUNCTION("""COMPUTED_VALUE"""),36)</f>
        <v>36</v>
      </c>
      <c r="AF424" s="5" t="b">
        <f ca="1">IFERROR(__xludf.DUMMYFUNCTION("""COMPUTED_VALUE"""),FALSE)</f>
        <v>0</v>
      </c>
      <c r="AG424" s="5" t="str">
        <f ca="1">IFERROR(__xludf.DUMMYFUNCTION("""COMPUTED_VALUE"""),"INSPECCIONES REALIZADAS")</f>
        <v>INSPECCIONES REALIZADAS</v>
      </c>
      <c r="AH424" s="5"/>
    </row>
    <row r="425" spans="1:34">
      <c r="A425" s="5" t="str">
        <f ca="1">IFERROR(__xludf.DUMMYFUNCTION("""COMPUTED_VALUE"""),"LINEA PET CSD - LINEA 10")</f>
        <v>LINEA PET CSD - LINEA 10</v>
      </c>
      <c r="B425" s="5">
        <f ca="1">IFERROR(__xludf.DUMMYFUNCTION("""COMPUTED_VALUE"""),710324)</f>
        <v>710324</v>
      </c>
      <c r="C425" s="5" t="str">
        <f ca="1">IFERROR(__xludf.DUMMYFUNCTION("""COMPUTED_VALUE"""),"ENFARDADORA")</f>
        <v>ENFARDADORA</v>
      </c>
      <c r="D425" s="5">
        <f ca="1">IFERROR(__xludf.DUMMYFUNCTION("""COMPUTED_VALUE"""),13247588)</f>
        <v>13247588</v>
      </c>
      <c r="E425" s="5" t="str">
        <f ca="1">IFERROR(__xludf.DUMMYFUNCTION("""COMPUTED_VALUE"""),"INSPECCION SEMANAL ENFARDADORA")</f>
        <v>INSPECCION SEMANAL ENFARDADORA</v>
      </c>
      <c r="F425" s="5" t="str">
        <f ca="1">IFERROR(__xludf.DUMMYFUNCTION("""COMPUTED_VALUE"""),"INSP PORTARROLLOS FOIL")</f>
        <v>INSP PORTARROLLOS FOIL</v>
      </c>
      <c r="G425" s="5" t="b">
        <f ca="1">IFERROR(__xludf.DUMMYFUNCTION("""COMPUTED_VALUE"""),TRUE)</f>
        <v>1</v>
      </c>
      <c r="H425" s="5"/>
      <c r="I425" s="5"/>
      <c r="J425" s="5">
        <f ca="1">IFERROR(__xludf.DUMMYFUNCTION("""COMPUTED_VALUE"""),13247588)</f>
        <v>13247588</v>
      </c>
      <c r="K425" s="5"/>
      <c r="L425" s="18">
        <f ca="1">IFERROR(__xludf.DUMMYFUNCTION("""COMPUTED_VALUE"""),45325)</f>
        <v>45325</v>
      </c>
      <c r="M425" s="18">
        <f ca="1">IFERROR(__xludf.DUMMYFUNCTION("""COMPUTED_VALUE"""),45325)</f>
        <v>45325</v>
      </c>
      <c r="N425" s="5" t="str">
        <f ca="1">IFERROR(__xludf.DUMMYFUNCTION("""COMPUTED_VALUE"""),"PARRA VELANDIA JOHN JAIRO")</f>
        <v>PARRA VELANDIA JOHN JAIRO</v>
      </c>
      <c r="O425" s="2">
        <f ca="1">IFERROR(__xludf.DUMMYFUNCTION("""COMPUTED_VALUE"""),0.005)</f>
        <v>5.0000000000000001E-3</v>
      </c>
      <c r="P425" s="5">
        <f ca="1">IFERROR(__xludf.DUMMYFUNCTION("""COMPUTED_VALUE"""),94543434)</f>
        <v>94543434</v>
      </c>
      <c r="Q425" s="5" t="str">
        <f ca="1">IFERROR(__xludf.DUMMYFUNCTION("""COMPUTED_VALUE"""),"8S62WF6u1aM")</f>
        <v>8S62WF6u1aM</v>
      </c>
      <c r="R425" s="5">
        <f ca="1">IFERROR(__xludf.DUMMYFUNCTION("""COMPUTED_VALUE"""),410)</f>
        <v>410</v>
      </c>
      <c r="S425" s="62">
        <f ca="1">IFERROR(__xludf.DUMMYFUNCTION("""COMPUTED_VALUE"""),0.005)</f>
        <v>5.0000000000000001E-3</v>
      </c>
      <c r="T425" s="63" t="str">
        <f ca="1">IFERROR(__xludf.DUMMYFUNCTION("""COMPUTED_VALUE"""),"https://storage.googleapis.com/glide-prod.appspot.com/uploads-v2/ly7o78grxPaC6KdgvbpS/pub/3aRdSog0vUtuqPE8AJKD.png")</f>
        <v>https://storage.googleapis.com/glide-prod.appspot.com/uploads-v2/ly7o78grxPaC6KdgvbpS/pub/3aRdSog0vUtuqPE8AJKD.png</v>
      </c>
      <c r="U425" s="5" t="str">
        <f ca="1">IFERROR(__xludf.DUMMYFUNCTION("""COMPUTED_VALUE"""),"LINEA PET CSD - LINEA 10ENFARDADORA")</f>
        <v>LINEA PET CSD - LINEA 10ENFARDADORA</v>
      </c>
      <c r="V425" s="5"/>
      <c r="W425" s="5" t="b">
        <f ca="1">IFERROR(__xludf.DUMMYFUNCTION("""COMPUTED_VALUE"""),TRUE)</f>
        <v>1</v>
      </c>
      <c r="X425" s="5" t="str">
        <f ca="1">IFERROR(__xludf.DUMMYFUNCTION("""COMPUTED_VALUE"""),"wmazorra@postobon.com.co,aprmttoyu@postobon.com.co,aprmyu@postobon.com.co,wmora@postobon.com.co,efzapata@postobon.com.co")</f>
        <v>wmazorra@postobon.com.co,aprmttoyu@postobon.com.co,aprmyu@postobon.com.co,wmora@postobon.com.co,efzapata@postobon.com.co</v>
      </c>
      <c r="Y425" s="5" t="str">
        <f ca="1">IFERROR(__xludf.DUMMYFUNCTION("""COMPUTED_VALUE"""),"wmazorra@postobon.com.co")</f>
        <v>wmazorra@postobon.com.co</v>
      </c>
      <c r="Z425" s="5" t="str">
        <f ca="1">IFERROR(__xludf.DUMMYFUNCTION("""COMPUTED_VALUE"""),"k6GvlnDMTca-hNRmqBQcYA")</f>
        <v>k6GvlnDMTca-hNRmqBQcYA</v>
      </c>
      <c r="AA425" s="5"/>
      <c r="AB425" s="5"/>
      <c r="AC425" s="5"/>
      <c r="AD425" s="5">
        <f ca="1">IFERROR(__xludf.DUMMYFUNCTION("""COMPUTED_VALUE"""),36)</f>
        <v>36</v>
      </c>
      <c r="AE425" s="5">
        <f ca="1">IFERROR(__xludf.DUMMYFUNCTION("""COMPUTED_VALUE"""),36)</f>
        <v>36</v>
      </c>
      <c r="AF425" s="5" t="b">
        <f ca="1">IFERROR(__xludf.DUMMYFUNCTION("""COMPUTED_VALUE"""),FALSE)</f>
        <v>0</v>
      </c>
      <c r="AG425" s="5" t="str">
        <f ca="1">IFERROR(__xludf.DUMMYFUNCTION("""COMPUTED_VALUE"""),"INSPECCIONES REALIZADAS")</f>
        <v>INSPECCIONES REALIZADAS</v>
      </c>
      <c r="AH425" s="5"/>
    </row>
    <row r="426" spans="1:34">
      <c r="A426" s="5" t="str">
        <f ca="1">IFERROR(__xludf.DUMMYFUNCTION("""COMPUTED_VALUE"""),"LINEA PET CSD - LINEA 10")</f>
        <v>LINEA PET CSD - LINEA 10</v>
      </c>
      <c r="B426" s="5">
        <f ca="1">IFERROR(__xludf.DUMMYFUNCTION("""COMPUTED_VALUE"""),710324)</f>
        <v>710324</v>
      </c>
      <c r="C426" s="5" t="str">
        <f ca="1">IFERROR(__xludf.DUMMYFUNCTION("""COMPUTED_VALUE"""),"ENFARDADORA")</f>
        <v>ENFARDADORA</v>
      </c>
      <c r="D426" s="5">
        <f ca="1">IFERROR(__xludf.DUMMYFUNCTION("""COMPUTED_VALUE"""),13247588)</f>
        <v>13247588</v>
      </c>
      <c r="E426" s="5" t="str">
        <f ca="1">IFERROR(__xludf.DUMMYFUNCTION("""COMPUTED_VALUE"""),"INSPECCION SEMANAL ENFARDADORA")</f>
        <v>INSPECCION SEMANAL ENFARDADORA</v>
      </c>
      <c r="F426" s="5" t="str">
        <f ca="1">IFERROR(__xludf.DUMMYFUNCTION("""COMPUTED_VALUE"""),"ESTADO BANDEJA RECOJEGOTAS")</f>
        <v>ESTADO BANDEJA RECOJEGOTAS</v>
      </c>
      <c r="G426" s="5" t="b">
        <f ca="1">IFERROR(__xludf.DUMMYFUNCTION("""COMPUTED_VALUE"""),TRUE)</f>
        <v>1</v>
      </c>
      <c r="H426" s="5"/>
      <c r="I426" s="5"/>
      <c r="J426" s="5">
        <f ca="1">IFERROR(__xludf.DUMMYFUNCTION("""COMPUTED_VALUE"""),13247588)</f>
        <v>13247588</v>
      </c>
      <c r="K426" s="5"/>
      <c r="L426" s="18">
        <f ca="1">IFERROR(__xludf.DUMMYFUNCTION("""COMPUTED_VALUE"""),45325)</f>
        <v>45325</v>
      </c>
      <c r="M426" s="18">
        <f ca="1">IFERROR(__xludf.DUMMYFUNCTION("""COMPUTED_VALUE"""),45325)</f>
        <v>45325</v>
      </c>
      <c r="N426" s="5" t="str">
        <f ca="1">IFERROR(__xludf.DUMMYFUNCTION("""COMPUTED_VALUE"""),"PARRA VELANDIA JOHN JAIRO")</f>
        <v>PARRA VELANDIA JOHN JAIRO</v>
      </c>
      <c r="O426" s="2">
        <f ca="1">IFERROR(__xludf.DUMMYFUNCTION("""COMPUTED_VALUE"""),0.005)</f>
        <v>5.0000000000000001E-3</v>
      </c>
      <c r="P426" s="5">
        <f ca="1">IFERROR(__xludf.DUMMYFUNCTION("""COMPUTED_VALUE"""),94543434)</f>
        <v>94543434</v>
      </c>
      <c r="Q426" s="5" t="str">
        <f ca="1">IFERROR(__xludf.DUMMYFUNCTION("""COMPUTED_VALUE"""),"yuMJ4t3D8bY")</f>
        <v>yuMJ4t3D8bY</v>
      </c>
      <c r="R426" s="5">
        <f ca="1">IFERROR(__xludf.DUMMYFUNCTION("""COMPUTED_VALUE"""),410)</f>
        <v>410</v>
      </c>
      <c r="S426" s="62">
        <f ca="1">IFERROR(__xludf.DUMMYFUNCTION("""COMPUTED_VALUE"""),0.005)</f>
        <v>5.0000000000000001E-3</v>
      </c>
      <c r="T426" s="63" t="str">
        <f ca="1">IFERROR(__xludf.DUMMYFUNCTION("""COMPUTED_VALUE"""),"https://storage.googleapis.com/glide-prod.appspot.com/uploads-v2/ly7o78grxPaC6KdgvbpS/pub/3aRdSog0vUtuqPE8AJKD.png")</f>
        <v>https://storage.googleapis.com/glide-prod.appspot.com/uploads-v2/ly7o78grxPaC6KdgvbpS/pub/3aRdSog0vUtuqPE8AJKD.png</v>
      </c>
      <c r="U426" s="5" t="str">
        <f ca="1">IFERROR(__xludf.DUMMYFUNCTION("""COMPUTED_VALUE"""),"LINEA PET CSD - LINEA 10ENFARDADORA")</f>
        <v>LINEA PET CSD - LINEA 10ENFARDADORA</v>
      </c>
      <c r="V426" s="5"/>
      <c r="W426" s="5" t="b">
        <f ca="1">IFERROR(__xludf.DUMMYFUNCTION("""COMPUTED_VALUE"""),TRUE)</f>
        <v>1</v>
      </c>
      <c r="X426" s="5" t="str">
        <f ca="1">IFERROR(__xludf.DUMMYFUNCTION("""COMPUTED_VALUE"""),"wmazorra@postobon.com.co,aprmttoyu@postobon.com.co,aprmyu@postobon.com.co,wmora@postobon.com.co,efzapata@postobon.com.co")</f>
        <v>wmazorra@postobon.com.co,aprmttoyu@postobon.com.co,aprmyu@postobon.com.co,wmora@postobon.com.co,efzapata@postobon.com.co</v>
      </c>
      <c r="Y426" s="5" t="str">
        <f ca="1">IFERROR(__xludf.DUMMYFUNCTION("""COMPUTED_VALUE"""),"wmazorra@postobon.com.co")</f>
        <v>wmazorra@postobon.com.co</v>
      </c>
      <c r="Z426" s="5" t="str">
        <f ca="1">IFERROR(__xludf.DUMMYFUNCTION("""COMPUTED_VALUE"""),"a-5GiOdNDRxWK9LmIQZivlw")</f>
        <v>a-5GiOdNDRxWK9LmIQZivlw</v>
      </c>
      <c r="AA426" s="5"/>
      <c r="AB426" s="5"/>
      <c r="AC426" s="5"/>
      <c r="AD426" s="5">
        <f ca="1">IFERROR(__xludf.DUMMYFUNCTION("""COMPUTED_VALUE"""),36)</f>
        <v>36</v>
      </c>
      <c r="AE426" s="5">
        <f ca="1">IFERROR(__xludf.DUMMYFUNCTION("""COMPUTED_VALUE"""),36)</f>
        <v>36</v>
      </c>
      <c r="AF426" s="5" t="b">
        <f ca="1">IFERROR(__xludf.DUMMYFUNCTION("""COMPUTED_VALUE"""),FALSE)</f>
        <v>0</v>
      </c>
      <c r="AG426" s="5" t="str">
        <f ca="1">IFERROR(__xludf.DUMMYFUNCTION("""COMPUTED_VALUE"""),"INSPECCIONES REALIZADAS")</f>
        <v>INSPECCIONES REALIZADAS</v>
      </c>
      <c r="AH426" s="5"/>
    </row>
    <row r="427" spans="1:34">
      <c r="A427" s="5" t="str">
        <f ca="1">IFERROR(__xludf.DUMMYFUNCTION("""COMPUTED_VALUE"""),"LINEA PET CSD - LINEA 10")</f>
        <v>LINEA PET CSD - LINEA 10</v>
      </c>
      <c r="B427" s="5">
        <f ca="1">IFERROR(__xludf.DUMMYFUNCTION("""COMPUTED_VALUE"""),710324)</f>
        <v>710324</v>
      </c>
      <c r="C427" s="5" t="str">
        <f ca="1">IFERROR(__xludf.DUMMYFUNCTION("""COMPUTED_VALUE"""),"ENFARDADORA")</f>
        <v>ENFARDADORA</v>
      </c>
      <c r="D427" s="5">
        <f ca="1">IFERROR(__xludf.DUMMYFUNCTION("""COMPUTED_VALUE"""),13247588)</f>
        <v>13247588</v>
      </c>
      <c r="E427" s="5" t="str">
        <f ca="1">IFERROR(__xludf.DUMMYFUNCTION("""COMPUTED_VALUE"""),"INSPECCION SEMANAL ENFARDADORA")</f>
        <v>INSPECCION SEMANAL ENFARDADORA</v>
      </c>
      <c r="F427" s="5" t="str">
        <f ca="1">IFERROR(__xludf.DUMMYFUNCTION("""COMPUTED_VALUE"""),"INSP FUGA FLUIDOS")</f>
        <v>INSP FUGA FLUIDOS</v>
      </c>
      <c r="G427" s="5" t="b">
        <f ca="1">IFERROR(__xludf.DUMMYFUNCTION("""COMPUTED_VALUE"""),TRUE)</f>
        <v>1</v>
      </c>
      <c r="H427" s="5"/>
      <c r="I427" s="5"/>
      <c r="J427" s="5">
        <f ca="1">IFERROR(__xludf.DUMMYFUNCTION("""COMPUTED_VALUE"""),13247588)</f>
        <v>13247588</v>
      </c>
      <c r="K427" s="5"/>
      <c r="L427" s="18">
        <f ca="1">IFERROR(__xludf.DUMMYFUNCTION("""COMPUTED_VALUE"""),45325)</f>
        <v>45325</v>
      </c>
      <c r="M427" s="18">
        <f ca="1">IFERROR(__xludf.DUMMYFUNCTION("""COMPUTED_VALUE"""),45325)</f>
        <v>45325</v>
      </c>
      <c r="N427" s="5" t="str">
        <f ca="1">IFERROR(__xludf.DUMMYFUNCTION("""COMPUTED_VALUE"""),"PARRA VELANDIA JOHN JAIRO")</f>
        <v>PARRA VELANDIA JOHN JAIRO</v>
      </c>
      <c r="O427" s="2">
        <f ca="1">IFERROR(__xludf.DUMMYFUNCTION("""COMPUTED_VALUE"""),0.005)</f>
        <v>5.0000000000000001E-3</v>
      </c>
      <c r="P427" s="5">
        <f ca="1">IFERROR(__xludf.DUMMYFUNCTION("""COMPUTED_VALUE"""),94543434)</f>
        <v>94543434</v>
      </c>
      <c r="Q427" s="5" t="str">
        <f ca="1">IFERROR(__xludf.DUMMYFUNCTION("""COMPUTED_VALUE"""),"Mp9sqQqxovA")</f>
        <v>Mp9sqQqxovA</v>
      </c>
      <c r="R427" s="5">
        <f ca="1">IFERROR(__xludf.DUMMYFUNCTION("""COMPUTED_VALUE"""),410)</f>
        <v>410</v>
      </c>
      <c r="S427" s="62">
        <f ca="1">IFERROR(__xludf.DUMMYFUNCTION("""COMPUTED_VALUE"""),0.005)</f>
        <v>5.0000000000000001E-3</v>
      </c>
      <c r="T427" s="63" t="str">
        <f ca="1">IFERROR(__xludf.DUMMYFUNCTION("""COMPUTED_VALUE"""),"https://storage.googleapis.com/glide-prod.appspot.com/uploads-v2/ly7o78grxPaC6KdgvbpS/pub/3aRdSog0vUtuqPE8AJKD.png")</f>
        <v>https://storage.googleapis.com/glide-prod.appspot.com/uploads-v2/ly7o78grxPaC6KdgvbpS/pub/3aRdSog0vUtuqPE8AJKD.png</v>
      </c>
      <c r="U427" s="5" t="str">
        <f ca="1">IFERROR(__xludf.DUMMYFUNCTION("""COMPUTED_VALUE"""),"LINEA PET CSD - LINEA 10ENFARDADORA")</f>
        <v>LINEA PET CSD - LINEA 10ENFARDADORA</v>
      </c>
      <c r="V427" s="5"/>
      <c r="W427" s="5" t="b">
        <f ca="1">IFERROR(__xludf.DUMMYFUNCTION("""COMPUTED_VALUE"""),TRUE)</f>
        <v>1</v>
      </c>
      <c r="X427" s="5" t="str">
        <f ca="1">IFERROR(__xludf.DUMMYFUNCTION("""COMPUTED_VALUE"""),"wmazorra@postobon.com.co,aprmttoyu@postobon.com.co,aprmyu@postobon.com.co,wmora@postobon.com.co,efzapata@postobon.com.co")</f>
        <v>wmazorra@postobon.com.co,aprmttoyu@postobon.com.co,aprmyu@postobon.com.co,wmora@postobon.com.co,efzapata@postobon.com.co</v>
      </c>
      <c r="Y427" s="5" t="str">
        <f ca="1">IFERROR(__xludf.DUMMYFUNCTION("""COMPUTED_VALUE"""),"wmazorra@postobon.com.co")</f>
        <v>wmazorra@postobon.com.co</v>
      </c>
      <c r="Z427" s="5" t="str">
        <f ca="1">IFERROR(__xludf.DUMMYFUNCTION("""COMPUTED_VALUE"""),"OKQcce2QRz65ue6th3V-Nw")</f>
        <v>OKQcce2QRz65ue6th3V-Nw</v>
      </c>
      <c r="AA427" s="5"/>
      <c r="AB427" s="5"/>
      <c r="AC427" s="5"/>
      <c r="AD427" s="5">
        <f ca="1">IFERROR(__xludf.DUMMYFUNCTION("""COMPUTED_VALUE"""),36)</f>
        <v>36</v>
      </c>
      <c r="AE427" s="5">
        <f ca="1">IFERROR(__xludf.DUMMYFUNCTION("""COMPUTED_VALUE"""),36)</f>
        <v>36</v>
      </c>
      <c r="AF427" s="5" t="b">
        <f ca="1">IFERROR(__xludf.DUMMYFUNCTION("""COMPUTED_VALUE"""),FALSE)</f>
        <v>0</v>
      </c>
      <c r="AG427" s="5" t="str">
        <f ca="1">IFERROR(__xludf.DUMMYFUNCTION("""COMPUTED_VALUE"""),"INSPECCIONES REALIZADAS")</f>
        <v>INSPECCIONES REALIZADAS</v>
      </c>
      <c r="AH427" s="5"/>
    </row>
    <row r="428" spans="1:34">
      <c r="A428" s="5" t="str">
        <f ca="1">IFERROR(__xludf.DUMMYFUNCTION("""COMPUTED_VALUE"""),"LINEA PET CSD - LINEA 10")</f>
        <v>LINEA PET CSD - LINEA 10</v>
      </c>
      <c r="B428" s="5">
        <f ca="1">IFERROR(__xludf.DUMMYFUNCTION("""COMPUTED_VALUE"""),710324)</f>
        <v>710324</v>
      </c>
      <c r="C428" s="5" t="str">
        <f ca="1">IFERROR(__xludf.DUMMYFUNCTION("""COMPUTED_VALUE"""),"ENFARDADORA")</f>
        <v>ENFARDADORA</v>
      </c>
      <c r="D428" s="5">
        <f ca="1">IFERROR(__xludf.DUMMYFUNCTION("""COMPUTED_VALUE"""),13247588)</f>
        <v>13247588</v>
      </c>
      <c r="E428" s="5" t="str">
        <f ca="1">IFERROR(__xludf.DUMMYFUNCTION("""COMPUTED_VALUE"""),"INSPECCION SEMANAL ENFARDADORA")</f>
        <v>INSPECCION SEMANAL ENFARDADORA</v>
      </c>
      <c r="F428" s="5" t="str">
        <f ca="1">IFERROR(__xludf.DUMMYFUNCTION("""COMPUTED_VALUE"""),"FUNC MOTORREDUCTORES")</f>
        <v>FUNC MOTORREDUCTORES</v>
      </c>
      <c r="G428" s="5" t="b">
        <f ca="1">IFERROR(__xludf.DUMMYFUNCTION("""COMPUTED_VALUE"""),TRUE)</f>
        <v>1</v>
      </c>
      <c r="H428" s="5"/>
      <c r="I428" s="5"/>
      <c r="J428" s="5">
        <f ca="1">IFERROR(__xludf.DUMMYFUNCTION("""COMPUTED_VALUE"""),13247588)</f>
        <v>13247588</v>
      </c>
      <c r="K428" s="5"/>
      <c r="L428" s="18">
        <f ca="1">IFERROR(__xludf.DUMMYFUNCTION("""COMPUTED_VALUE"""),45325)</f>
        <v>45325</v>
      </c>
      <c r="M428" s="18">
        <f ca="1">IFERROR(__xludf.DUMMYFUNCTION("""COMPUTED_VALUE"""),45325)</f>
        <v>45325</v>
      </c>
      <c r="N428" s="5" t="str">
        <f ca="1">IFERROR(__xludf.DUMMYFUNCTION("""COMPUTED_VALUE"""),"PARRA VELANDIA JOHN JAIRO")</f>
        <v>PARRA VELANDIA JOHN JAIRO</v>
      </c>
      <c r="O428" s="2">
        <f ca="1">IFERROR(__xludf.DUMMYFUNCTION("""COMPUTED_VALUE"""),0.005)</f>
        <v>5.0000000000000001E-3</v>
      </c>
      <c r="P428" s="5">
        <f ca="1">IFERROR(__xludf.DUMMYFUNCTION("""COMPUTED_VALUE"""),94543434)</f>
        <v>94543434</v>
      </c>
      <c r="Q428" s="5" t="str">
        <f ca="1">IFERROR(__xludf.DUMMYFUNCTION("""COMPUTED_VALUE"""),"4i6cD6ORJPk")</f>
        <v>4i6cD6ORJPk</v>
      </c>
      <c r="R428" s="5">
        <f ca="1">IFERROR(__xludf.DUMMYFUNCTION("""COMPUTED_VALUE"""),410)</f>
        <v>410</v>
      </c>
      <c r="S428" s="62">
        <f ca="1">IFERROR(__xludf.DUMMYFUNCTION("""COMPUTED_VALUE"""),0.005)</f>
        <v>5.0000000000000001E-3</v>
      </c>
      <c r="T428" s="63" t="str">
        <f ca="1">IFERROR(__xludf.DUMMYFUNCTION("""COMPUTED_VALUE"""),"https://storage.googleapis.com/glide-prod.appspot.com/uploads-v2/ly7o78grxPaC6KdgvbpS/pub/3aRdSog0vUtuqPE8AJKD.png")</f>
        <v>https://storage.googleapis.com/glide-prod.appspot.com/uploads-v2/ly7o78grxPaC6KdgvbpS/pub/3aRdSog0vUtuqPE8AJKD.png</v>
      </c>
      <c r="U428" s="5" t="str">
        <f ca="1">IFERROR(__xludf.DUMMYFUNCTION("""COMPUTED_VALUE"""),"LINEA PET CSD - LINEA 10ENFARDADORA")</f>
        <v>LINEA PET CSD - LINEA 10ENFARDADORA</v>
      </c>
      <c r="V428" s="5"/>
      <c r="W428" s="5" t="b">
        <f ca="1">IFERROR(__xludf.DUMMYFUNCTION("""COMPUTED_VALUE"""),TRUE)</f>
        <v>1</v>
      </c>
      <c r="X428" s="5" t="str">
        <f ca="1">IFERROR(__xludf.DUMMYFUNCTION("""COMPUTED_VALUE"""),"wmazorra@postobon.com.co,aprmttoyu@postobon.com.co,aprmyu@postobon.com.co,wmora@postobon.com.co,efzapata@postobon.com.co")</f>
        <v>wmazorra@postobon.com.co,aprmttoyu@postobon.com.co,aprmyu@postobon.com.co,wmora@postobon.com.co,efzapata@postobon.com.co</v>
      </c>
      <c r="Y428" s="5" t="str">
        <f ca="1">IFERROR(__xludf.DUMMYFUNCTION("""COMPUTED_VALUE"""),"wmazorra@postobon.com.co")</f>
        <v>wmazorra@postobon.com.co</v>
      </c>
      <c r="Z428" s="5" t="str">
        <f ca="1">IFERROR(__xludf.DUMMYFUNCTION("""COMPUTED_VALUE"""),"bNVwoEeYS.CBs6yPJMrxSg")</f>
        <v>bNVwoEeYS.CBs6yPJMrxSg</v>
      </c>
      <c r="AA428" s="5"/>
      <c r="AB428" s="5"/>
      <c r="AC428" s="5"/>
      <c r="AD428" s="5">
        <f ca="1">IFERROR(__xludf.DUMMYFUNCTION("""COMPUTED_VALUE"""),36)</f>
        <v>36</v>
      </c>
      <c r="AE428" s="5">
        <f ca="1">IFERROR(__xludf.DUMMYFUNCTION("""COMPUTED_VALUE"""),36)</f>
        <v>36</v>
      </c>
      <c r="AF428" s="5" t="b">
        <f ca="1">IFERROR(__xludf.DUMMYFUNCTION("""COMPUTED_VALUE"""),FALSE)</f>
        <v>0</v>
      </c>
      <c r="AG428" s="5" t="str">
        <f ca="1">IFERROR(__xludf.DUMMYFUNCTION("""COMPUTED_VALUE"""),"INSPECCIONES REALIZADAS")</f>
        <v>INSPECCIONES REALIZADAS</v>
      </c>
      <c r="AH428" s="5"/>
    </row>
    <row r="429" spans="1:34">
      <c r="A429" s="5" t="str">
        <f ca="1">IFERROR(__xludf.DUMMYFUNCTION("""COMPUTED_VALUE"""),"LINEA PET CSD - LINEA 10")</f>
        <v>LINEA PET CSD - LINEA 10</v>
      </c>
      <c r="B429" s="5">
        <f ca="1">IFERROR(__xludf.DUMMYFUNCTION("""COMPUTED_VALUE"""),710324)</f>
        <v>710324</v>
      </c>
      <c r="C429" s="5" t="str">
        <f ca="1">IFERROR(__xludf.DUMMYFUNCTION("""COMPUTED_VALUE"""),"ENFARDADORA")</f>
        <v>ENFARDADORA</v>
      </c>
      <c r="D429" s="5">
        <f ca="1">IFERROR(__xludf.DUMMYFUNCTION("""COMPUTED_VALUE"""),13247588)</f>
        <v>13247588</v>
      </c>
      <c r="E429" s="5" t="str">
        <f ca="1">IFERROR(__xludf.DUMMYFUNCTION("""COMPUTED_VALUE"""),"INSPECCION SEMANAL ENFARDADORA")</f>
        <v>INSPECCION SEMANAL ENFARDADORA</v>
      </c>
      <c r="F429" s="5" t="str">
        <f ca="1">IFERROR(__xludf.DUMMYFUNCTION("""COMPUTED_VALUE"""),"INSP RUIDOS EXTRAÑOS")</f>
        <v>INSP RUIDOS EXTRAÑOS</v>
      </c>
      <c r="G429" s="5" t="b">
        <f ca="1">IFERROR(__xludf.DUMMYFUNCTION("""COMPUTED_VALUE"""),TRUE)</f>
        <v>1</v>
      </c>
      <c r="H429" s="5"/>
      <c r="I429" s="5"/>
      <c r="J429" s="5">
        <f ca="1">IFERROR(__xludf.DUMMYFUNCTION("""COMPUTED_VALUE"""),13247588)</f>
        <v>13247588</v>
      </c>
      <c r="K429" s="5"/>
      <c r="L429" s="18">
        <f ca="1">IFERROR(__xludf.DUMMYFUNCTION("""COMPUTED_VALUE"""),45325)</f>
        <v>45325</v>
      </c>
      <c r="M429" s="18">
        <f ca="1">IFERROR(__xludf.DUMMYFUNCTION("""COMPUTED_VALUE"""),45325)</f>
        <v>45325</v>
      </c>
      <c r="N429" s="5" t="str">
        <f ca="1">IFERROR(__xludf.DUMMYFUNCTION("""COMPUTED_VALUE"""),"PARRA VELANDIA JOHN JAIRO")</f>
        <v>PARRA VELANDIA JOHN JAIRO</v>
      </c>
      <c r="O429" s="2">
        <f ca="1">IFERROR(__xludf.DUMMYFUNCTION("""COMPUTED_VALUE"""),0.005)</f>
        <v>5.0000000000000001E-3</v>
      </c>
      <c r="P429" s="5">
        <f ca="1">IFERROR(__xludf.DUMMYFUNCTION("""COMPUTED_VALUE"""),94543434)</f>
        <v>94543434</v>
      </c>
      <c r="Q429" s="5" t="str">
        <f ca="1">IFERROR(__xludf.DUMMYFUNCTION("""COMPUTED_VALUE"""),"_F-g3DbW-RU")</f>
        <v>_F-g3DbW-RU</v>
      </c>
      <c r="R429" s="5">
        <f ca="1">IFERROR(__xludf.DUMMYFUNCTION("""COMPUTED_VALUE"""),410)</f>
        <v>410</v>
      </c>
      <c r="S429" s="62">
        <f ca="1">IFERROR(__xludf.DUMMYFUNCTION("""COMPUTED_VALUE"""),0.005)</f>
        <v>5.0000000000000001E-3</v>
      </c>
      <c r="T429" s="63" t="str">
        <f ca="1">IFERROR(__xludf.DUMMYFUNCTION("""COMPUTED_VALUE"""),"https://storage.googleapis.com/glide-prod.appspot.com/uploads-v2/ly7o78grxPaC6KdgvbpS/pub/3aRdSog0vUtuqPE8AJKD.png")</f>
        <v>https://storage.googleapis.com/glide-prod.appspot.com/uploads-v2/ly7o78grxPaC6KdgvbpS/pub/3aRdSog0vUtuqPE8AJKD.png</v>
      </c>
      <c r="U429" s="5" t="str">
        <f ca="1">IFERROR(__xludf.DUMMYFUNCTION("""COMPUTED_VALUE"""),"LINEA PET CSD - LINEA 10ENFARDADORA")</f>
        <v>LINEA PET CSD - LINEA 10ENFARDADORA</v>
      </c>
      <c r="V429" s="5"/>
      <c r="W429" s="5" t="b">
        <f ca="1">IFERROR(__xludf.DUMMYFUNCTION("""COMPUTED_VALUE"""),TRUE)</f>
        <v>1</v>
      </c>
      <c r="X429" s="5" t="str">
        <f ca="1">IFERROR(__xludf.DUMMYFUNCTION("""COMPUTED_VALUE"""),"wmazorra@postobon.com.co,aprmttoyu@postobon.com.co,aprmyu@postobon.com.co,wmora@postobon.com.co,efzapata@postobon.com.co")</f>
        <v>wmazorra@postobon.com.co,aprmttoyu@postobon.com.co,aprmyu@postobon.com.co,wmora@postobon.com.co,efzapata@postobon.com.co</v>
      </c>
      <c r="Y429" s="5" t="str">
        <f ca="1">IFERROR(__xludf.DUMMYFUNCTION("""COMPUTED_VALUE"""),"wmazorra@postobon.com.co")</f>
        <v>wmazorra@postobon.com.co</v>
      </c>
      <c r="Z429" s="5" t="str">
        <f ca="1">IFERROR(__xludf.DUMMYFUNCTION("""COMPUTED_VALUE"""),"hxgQEdS-QIKHpGzqhINrFQ")</f>
        <v>hxgQEdS-QIKHpGzqhINrFQ</v>
      </c>
      <c r="AA429" s="5"/>
      <c r="AB429" s="5"/>
      <c r="AC429" s="5"/>
      <c r="AD429" s="5">
        <f ca="1">IFERROR(__xludf.DUMMYFUNCTION("""COMPUTED_VALUE"""),36)</f>
        <v>36</v>
      </c>
      <c r="AE429" s="5">
        <f ca="1">IFERROR(__xludf.DUMMYFUNCTION("""COMPUTED_VALUE"""),36)</f>
        <v>36</v>
      </c>
      <c r="AF429" s="5" t="b">
        <f ca="1">IFERROR(__xludf.DUMMYFUNCTION("""COMPUTED_VALUE"""),FALSE)</f>
        <v>0</v>
      </c>
      <c r="AG429" s="5" t="str">
        <f ca="1">IFERROR(__xludf.DUMMYFUNCTION("""COMPUTED_VALUE"""),"INSPECCIONES REALIZADAS")</f>
        <v>INSPECCIONES REALIZADAS</v>
      </c>
      <c r="AH429" s="5"/>
    </row>
    <row r="430" spans="1:34">
      <c r="A430" s="5" t="str">
        <f ca="1">IFERROR(__xludf.DUMMYFUNCTION("""COMPUTED_VALUE"""),"LINEA PET CSD - LINEA 10")</f>
        <v>LINEA PET CSD - LINEA 10</v>
      </c>
      <c r="B430" s="5">
        <f ca="1">IFERROR(__xludf.DUMMYFUNCTION("""COMPUTED_VALUE"""),710324)</f>
        <v>710324</v>
      </c>
      <c r="C430" s="5" t="str">
        <f ca="1">IFERROR(__xludf.DUMMYFUNCTION("""COMPUTED_VALUE"""),"ENFARDADORA")</f>
        <v>ENFARDADORA</v>
      </c>
      <c r="D430" s="5">
        <f ca="1">IFERROR(__xludf.DUMMYFUNCTION("""COMPUTED_VALUE"""),13247588)</f>
        <v>13247588</v>
      </c>
      <c r="E430" s="5" t="str">
        <f ca="1">IFERROR(__xludf.DUMMYFUNCTION("""COMPUTED_VALUE"""),"INSPECCION SEMANAL ENFARDADORA")</f>
        <v>INSPECCION SEMANAL ENFARDADORA</v>
      </c>
      <c r="F430" s="5" t="str">
        <f ca="1">IFERROR(__xludf.DUMMYFUNCTION("""COMPUTED_VALUE"""),"FUNC RESISTENCIA TERMOENCOGID")</f>
        <v>FUNC RESISTENCIA TERMOENCOGID</v>
      </c>
      <c r="G430" s="5" t="b">
        <f ca="1">IFERROR(__xludf.DUMMYFUNCTION("""COMPUTED_VALUE"""),TRUE)</f>
        <v>1</v>
      </c>
      <c r="H430" s="5"/>
      <c r="I430" s="5"/>
      <c r="J430" s="5">
        <f ca="1">IFERROR(__xludf.DUMMYFUNCTION("""COMPUTED_VALUE"""),13247588)</f>
        <v>13247588</v>
      </c>
      <c r="K430" s="5"/>
      <c r="L430" s="18">
        <f ca="1">IFERROR(__xludf.DUMMYFUNCTION("""COMPUTED_VALUE"""),45325)</f>
        <v>45325</v>
      </c>
      <c r="M430" s="18">
        <f ca="1">IFERROR(__xludf.DUMMYFUNCTION("""COMPUTED_VALUE"""),45325)</f>
        <v>45325</v>
      </c>
      <c r="N430" s="5" t="str">
        <f ca="1">IFERROR(__xludf.DUMMYFUNCTION("""COMPUTED_VALUE"""),"PARRA VELANDIA JOHN JAIRO")</f>
        <v>PARRA VELANDIA JOHN JAIRO</v>
      </c>
      <c r="O430" s="2">
        <f ca="1">IFERROR(__xludf.DUMMYFUNCTION("""COMPUTED_VALUE"""),0.005)</f>
        <v>5.0000000000000001E-3</v>
      </c>
      <c r="P430" s="5">
        <f ca="1">IFERROR(__xludf.DUMMYFUNCTION("""COMPUTED_VALUE"""),94543434)</f>
        <v>94543434</v>
      </c>
      <c r="Q430" s="5" t="str">
        <f ca="1">IFERROR(__xludf.DUMMYFUNCTION("""COMPUTED_VALUE"""),"XgxVQCCipaE")</f>
        <v>XgxVQCCipaE</v>
      </c>
      <c r="R430" s="5">
        <f ca="1">IFERROR(__xludf.DUMMYFUNCTION("""COMPUTED_VALUE"""),410)</f>
        <v>410</v>
      </c>
      <c r="S430" s="62">
        <f ca="1">IFERROR(__xludf.DUMMYFUNCTION("""COMPUTED_VALUE"""),0.005)</f>
        <v>5.0000000000000001E-3</v>
      </c>
      <c r="T430" s="63" t="str">
        <f ca="1">IFERROR(__xludf.DUMMYFUNCTION("""COMPUTED_VALUE"""),"https://storage.googleapis.com/glide-prod.appspot.com/uploads-v2/ly7o78grxPaC6KdgvbpS/pub/3aRdSog0vUtuqPE8AJKD.png")</f>
        <v>https://storage.googleapis.com/glide-prod.appspot.com/uploads-v2/ly7o78grxPaC6KdgvbpS/pub/3aRdSog0vUtuqPE8AJKD.png</v>
      </c>
      <c r="U430" s="5" t="str">
        <f ca="1">IFERROR(__xludf.DUMMYFUNCTION("""COMPUTED_VALUE"""),"LINEA PET CSD - LINEA 10ENFARDADORA")</f>
        <v>LINEA PET CSD - LINEA 10ENFARDADORA</v>
      </c>
      <c r="V430" s="5"/>
      <c r="W430" s="5" t="b">
        <f ca="1">IFERROR(__xludf.DUMMYFUNCTION("""COMPUTED_VALUE"""),TRUE)</f>
        <v>1</v>
      </c>
      <c r="X430" s="5" t="str">
        <f ca="1">IFERROR(__xludf.DUMMYFUNCTION("""COMPUTED_VALUE"""),"wmazorra@postobon.com.co,aprmttoyu@postobon.com.co,aprmyu@postobon.com.co,wmora@postobon.com.co,efzapata@postobon.com.co")</f>
        <v>wmazorra@postobon.com.co,aprmttoyu@postobon.com.co,aprmyu@postobon.com.co,wmora@postobon.com.co,efzapata@postobon.com.co</v>
      </c>
      <c r="Y430" s="5" t="str">
        <f ca="1">IFERROR(__xludf.DUMMYFUNCTION("""COMPUTED_VALUE"""),"wmazorra@postobon.com.co")</f>
        <v>wmazorra@postobon.com.co</v>
      </c>
      <c r="Z430" s="63" t="str">
        <f ca="1">IFERROR(__xludf.DUMMYFUNCTION("""COMPUTED_VALUE"""),"DY5JFkw0QCWAJQ65nLP.kg")</f>
        <v>DY5JFkw0QCWAJQ65nLP.kg</v>
      </c>
      <c r="AA430" s="5"/>
      <c r="AB430" s="5"/>
      <c r="AC430" s="5"/>
      <c r="AD430" s="5">
        <f ca="1">IFERROR(__xludf.DUMMYFUNCTION("""COMPUTED_VALUE"""),36)</f>
        <v>36</v>
      </c>
      <c r="AE430" s="5">
        <f ca="1">IFERROR(__xludf.DUMMYFUNCTION("""COMPUTED_VALUE"""),36)</f>
        <v>36</v>
      </c>
      <c r="AF430" s="5" t="b">
        <f ca="1">IFERROR(__xludf.DUMMYFUNCTION("""COMPUTED_VALUE"""),FALSE)</f>
        <v>0</v>
      </c>
      <c r="AG430" s="5" t="str">
        <f ca="1">IFERROR(__xludf.DUMMYFUNCTION("""COMPUTED_VALUE"""),"INSPECCIONES REALIZADAS")</f>
        <v>INSPECCIONES REALIZADAS</v>
      </c>
      <c r="AH430" s="5" t="str">
        <f ca="1">IFERROR(__xludf.DUMMYFUNCTION("""COMPUTED_VALUE"""),"EN TRAMITE")</f>
        <v>EN TRAMITE</v>
      </c>
    </row>
    <row r="431" spans="1:34">
      <c r="A431" s="5" t="str">
        <f ca="1">IFERROR(__xludf.DUMMYFUNCTION("""COMPUTED_VALUE"""),"LINEA PET CSD - LINEA 10")</f>
        <v>LINEA PET CSD - LINEA 10</v>
      </c>
      <c r="B431" s="5">
        <f ca="1">IFERROR(__xludf.DUMMYFUNCTION("""COMPUTED_VALUE"""),710324)</f>
        <v>710324</v>
      </c>
      <c r="C431" s="5" t="str">
        <f ca="1">IFERROR(__xludf.DUMMYFUNCTION("""COMPUTED_VALUE"""),"ENFARDADORA")</f>
        <v>ENFARDADORA</v>
      </c>
      <c r="D431" s="5">
        <f ca="1">IFERROR(__xludf.DUMMYFUNCTION("""COMPUTED_VALUE"""),13247588)</f>
        <v>13247588</v>
      </c>
      <c r="E431" s="5" t="str">
        <f ca="1">IFERROR(__xludf.DUMMYFUNCTION("""COMPUTED_VALUE"""),"INSPECCION SEMANAL ENFARDADORA")</f>
        <v>INSPECCION SEMANAL ENFARDADORA</v>
      </c>
      <c r="F431" s="5" t="str">
        <f ca="1">IFERROR(__xludf.DUMMYFUNCTION("""COMPUTED_VALUE"""),"ESTADO BANDAS TRANSP BOTELLAS-PAQUET")</f>
        <v>ESTADO BANDAS TRANSP BOTELLAS-PAQUET</v>
      </c>
      <c r="G431" s="5" t="b">
        <f ca="1">IFERROR(__xludf.DUMMYFUNCTION("""COMPUTED_VALUE"""),TRUE)</f>
        <v>1</v>
      </c>
      <c r="H431" s="5"/>
      <c r="I431" s="5"/>
      <c r="J431" s="5">
        <f ca="1">IFERROR(__xludf.DUMMYFUNCTION("""COMPUTED_VALUE"""),13247588)</f>
        <v>13247588</v>
      </c>
      <c r="K431" s="5"/>
      <c r="L431" s="18">
        <f ca="1">IFERROR(__xludf.DUMMYFUNCTION("""COMPUTED_VALUE"""),45325)</f>
        <v>45325</v>
      </c>
      <c r="M431" s="18">
        <f ca="1">IFERROR(__xludf.DUMMYFUNCTION("""COMPUTED_VALUE"""),45325)</f>
        <v>45325</v>
      </c>
      <c r="N431" s="5" t="str">
        <f ca="1">IFERROR(__xludf.DUMMYFUNCTION("""COMPUTED_VALUE"""),"PARRA VELANDIA JOHN JAIRO")</f>
        <v>PARRA VELANDIA JOHN JAIRO</v>
      </c>
      <c r="O431" s="2">
        <f ca="1">IFERROR(__xludf.DUMMYFUNCTION("""COMPUTED_VALUE"""),0.005)</f>
        <v>5.0000000000000001E-3</v>
      </c>
      <c r="P431" s="5">
        <f ca="1">IFERROR(__xludf.DUMMYFUNCTION("""COMPUTED_VALUE"""),94543434)</f>
        <v>94543434</v>
      </c>
      <c r="Q431" s="5" t="str">
        <f ca="1">IFERROR(__xludf.DUMMYFUNCTION("""COMPUTED_VALUE"""),"6QuC0pq2Nco")</f>
        <v>6QuC0pq2Nco</v>
      </c>
      <c r="R431" s="5">
        <f ca="1">IFERROR(__xludf.DUMMYFUNCTION("""COMPUTED_VALUE"""),410)</f>
        <v>410</v>
      </c>
      <c r="S431" s="62">
        <f ca="1">IFERROR(__xludf.DUMMYFUNCTION("""COMPUTED_VALUE"""),0.005)</f>
        <v>5.0000000000000001E-3</v>
      </c>
      <c r="T431" s="63" t="str">
        <f ca="1">IFERROR(__xludf.DUMMYFUNCTION("""COMPUTED_VALUE"""),"https://storage.googleapis.com/glide-prod.appspot.com/uploads-v2/ly7o78grxPaC6KdgvbpS/pub/3aRdSog0vUtuqPE8AJKD.png")</f>
        <v>https://storage.googleapis.com/glide-prod.appspot.com/uploads-v2/ly7o78grxPaC6KdgvbpS/pub/3aRdSog0vUtuqPE8AJKD.png</v>
      </c>
      <c r="U431" s="5" t="str">
        <f ca="1">IFERROR(__xludf.DUMMYFUNCTION("""COMPUTED_VALUE"""),"LINEA PET CSD - LINEA 10ENFARDADORA")</f>
        <v>LINEA PET CSD - LINEA 10ENFARDADORA</v>
      </c>
      <c r="V431" s="5"/>
      <c r="W431" s="5" t="b">
        <f ca="1">IFERROR(__xludf.DUMMYFUNCTION("""COMPUTED_VALUE"""),TRUE)</f>
        <v>1</v>
      </c>
      <c r="X431" s="5" t="str">
        <f ca="1">IFERROR(__xludf.DUMMYFUNCTION("""COMPUTED_VALUE"""),"wmazorra@postobon.com.co,aprmttoyu@postobon.com.co,aprmyu@postobon.com.co,wmora@postobon.com.co,efzapata@postobon.com.co")</f>
        <v>wmazorra@postobon.com.co,aprmttoyu@postobon.com.co,aprmyu@postobon.com.co,wmora@postobon.com.co,efzapata@postobon.com.co</v>
      </c>
      <c r="Y431" s="5" t="str">
        <f ca="1">IFERROR(__xludf.DUMMYFUNCTION("""COMPUTED_VALUE"""),"wmazorra@postobon.com.co")</f>
        <v>wmazorra@postobon.com.co</v>
      </c>
      <c r="Z431" s="5" t="str">
        <f ca="1">IFERROR(__xludf.DUMMYFUNCTION("""COMPUTED_VALUE"""),"WZmCBQAGS1SWccBJ-bfAbA")</f>
        <v>WZmCBQAGS1SWccBJ-bfAbA</v>
      </c>
      <c r="AA431" s="5"/>
      <c r="AB431" s="5"/>
      <c r="AC431" s="5"/>
      <c r="AD431" s="5">
        <f ca="1">IFERROR(__xludf.DUMMYFUNCTION("""COMPUTED_VALUE"""),36)</f>
        <v>36</v>
      </c>
      <c r="AE431" s="5">
        <f ca="1">IFERROR(__xludf.DUMMYFUNCTION("""COMPUTED_VALUE"""),36)</f>
        <v>36</v>
      </c>
      <c r="AF431" s="5" t="b">
        <f ca="1">IFERROR(__xludf.DUMMYFUNCTION("""COMPUTED_VALUE"""),FALSE)</f>
        <v>0</v>
      </c>
      <c r="AG431" s="5" t="str">
        <f ca="1">IFERROR(__xludf.DUMMYFUNCTION("""COMPUTED_VALUE"""),"INSPECCIONES REALIZADAS")</f>
        <v>INSPECCIONES REALIZADAS</v>
      </c>
      <c r="AH431" s="5" t="str">
        <f ca="1">IFERROR(__xludf.DUMMYFUNCTION("""COMPUTED_VALUE"""),"EN TRAMITE")</f>
        <v>EN TRAMITE</v>
      </c>
    </row>
    <row r="432" spans="1:34">
      <c r="A432" s="5" t="str">
        <f ca="1">IFERROR(__xludf.DUMMYFUNCTION("""COMPUTED_VALUE"""),"LINEA PET CSD - LINEA 10")</f>
        <v>LINEA PET CSD - LINEA 10</v>
      </c>
      <c r="B432" s="5">
        <f ca="1">IFERROR(__xludf.DUMMYFUNCTION("""COMPUTED_VALUE"""),710324)</f>
        <v>710324</v>
      </c>
      <c r="C432" s="5" t="str">
        <f ca="1">IFERROR(__xludf.DUMMYFUNCTION("""COMPUTED_VALUE"""),"ENFARDADORA")</f>
        <v>ENFARDADORA</v>
      </c>
      <c r="D432" s="5">
        <f ca="1">IFERROR(__xludf.DUMMYFUNCTION("""COMPUTED_VALUE"""),13247588)</f>
        <v>13247588</v>
      </c>
      <c r="E432" s="5" t="str">
        <f ca="1">IFERROR(__xludf.DUMMYFUNCTION("""COMPUTED_VALUE"""),"INSPECCION SEMANAL ENFARDADORA")</f>
        <v>INSPECCION SEMANAL ENFARDADORA</v>
      </c>
      <c r="F432" s="5" t="str">
        <f ca="1">IFERROR(__xludf.DUMMYFUNCTION("""COMPUTED_VALUE"""),"INSP TABLERO ELECTRICO/CLIMATIZADOR")</f>
        <v>INSP TABLERO ELECTRICO/CLIMATIZADOR</v>
      </c>
      <c r="G432" s="5" t="b">
        <f ca="1">IFERROR(__xludf.DUMMYFUNCTION("""COMPUTED_VALUE"""),TRUE)</f>
        <v>1</v>
      </c>
      <c r="H432" s="5"/>
      <c r="I432" s="5"/>
      <c r="J432" s="5">
        <f ca="1">IFERROR(__xludf.DUMMYFUNCTION("""COMPUTED_VALUE"""),13247588)</f>
        <v>13247588</v>
      </c>
      <c r="K432" s="5"/>
      <c r="L432" s="18">
        <f ca="1">IFERROR(__xludf.DUMMYFUNCTION("""COMPUTED_VALUE"""),45325)</f>
        <v>45325</v>
      </c>
      <c r="M432" s="18">
        <f ca="1">IFERROR(__xludf.DUMMYFUNCTION("""COMPUTED_VALUE"""),45325)</f>
        <v>45325</v>
      </c>
      <c r="N432" s="5" t="str">
        <f ca="1">IFERROR(__xludf.DUMMYFUNCTION("""COMPUTED_VALUE"""),"PARRA VELANDIA JOHN JAIRO")</f>
        <v>PARRA VELANDIA JOHN JAIRO</v>
      </c>
      <c r="O432" s="2">
        <f ca="1">IFERROR(__xludf.DUMMYFUNCTION("""COMPUTED_VALUE"""),0.005)</f>
        <v>5.0000000000000001E-3</v>
      </c>
      <c r="P432" s="5">
        <f ca="1">IFERROR(__xludf.DUMMYFUNCTION("""COMPUTED_VALUE"""),94543434)</f>
        <v>94543434</v>
      </c>
      <c r="Q432" s="5" t="str">
        <f ca="1">IFERROR(__xludf.DUMMYFUNCTION("""COMPUTED_VALUE"""),"d-Y2m1cH0BY")</f>
        <v>d-Y2m1cH0BY</v>
      </c>
      <c r="R432" s="5">
        <f ca="1">IFERROR(__xludf.DUMMYFUNCTION("""COMPUTED_VALUE"""),410)</f>
        <v>410</v>
      </c>
      <c r="S432" s="62">
        <f ca="1">IFERROR(__xludf.DUMMYFUNCTION("""COMPUTED_VALUE"""),0.005)</f>
        <v>5.0000000000000001E-3</v>
      </c>
      <c r="T432" s="63" t="str">
        <f ca="1">IFERROR(__xludf.DUMMYFUNCTION("""COMPUTED_VALUE"""),"https://storage.googleapis.com/glide-prod.appspot.com/uploads-v2/ly7o78grxPaC6KdgvbpS/pub/3aRdSog0vUtuqPE8AJKD.png")</f>
        <v>https://storage.googleapis.com/glide-prod.appspot.com/uploads-v2/ly7o78grxPaC6KdgvbpS/pub/3aRdSog0vUtuqPE8AJKD.png</v>
      </c>
      <c r="U432" s="5" t="str">
        <f ca="1">IFERROR(__xludf.DUMMYFUNCTION("""COMPUTED_VALUE"""),"LINEA PET CSD - LINEA 10ENFARDADORA")</f>
        <v>LINEA PET CSD - LINEA 10ENFARDADORA</v>
      </c>
      <c r="V432" s="5"/>
      <c r="W432" s="5" t="b">
        <f ca="1">IFERROR(__xludf.DUMMYFUNCTION("""COMPUTED_VALUE"""),TRUE)</f>
        <v>1</v>
      </c>
      <c r="X432" s="5" t="str">
        <f ca="1">IFERROR(__xludf.DUMMYFUNCTION("""COMPUTED_VALUE"""),"wmazorra@postobon.com.co,aprmttoyu@postobon.com.co,aprmyu@postobon.com.co,wmora@postobon.com.co,efzapata@postobon.com.co")</f>
        <v>wmazorra@postobon.com.co,aprmttoyu@postobon.com.co,aprmyu@postobon.com.co,wmora@postobon.com.co,efzapata@postobon.com.co</v>
      </c>
      <c r="Y432" s="5" t="str">
        <f ca="1">IFERROR(__xludf.DUMMYFUNCTION("""COMPUTED_VALUE"""),"wmazorra@postobon.com.co")</f>
        <v>wmazorra@postobon.com.co</v>
      </c>
      <c r="Z432" s="5" t="str">
        <f ca="1">IFERROR(__xludf.DUMMYFUNCTION("""COMPUTED_VALUE"""),"a.cWhBNx0RFau.NKhPY6TnQ")</f>
        <v>a.cWhBNx0RFau.NKhPY6TnQ</v>
      </c>
      <c r="AA432" s="5"/>
      <c r="AB432" s="5"/>
      <c r="AC432" s="5"/>
      <c r="AD432" s="5">
        <f ca="1">IFERROR(__xludf.DUMMYFUNCTION("""COMPUTED_VALUE"""),36)</f>
        <v>36</v>
      </c>
      <c r="AE432" s="5">
        <f ca="1">IFERROR(__xludf.DUMMYFUNCTION("""COMPUTED_VALUE"""),36)</f>
        <v>36</v>
      </c>
      <c r="AF432" s="5" t="b">
        <f ca="1">IFERROR(__xludf.DUMMYFUNCTION("""COMPUTED_VALUE"""),FALSE)</f>
        <v>0</v>
      </c>
      <c r="AG432" s="5" t="str">
        <f ca="1">IFERROR(__xludf.DUMMYFUNCTION("""COMPUTED_VALUE"""),"INSPECCIONES REALIZADAS")</f>
        <v>INSPECCIONES REALIZADAS</v>
      </c>
      <c r="AH432" s="5"/>
    </row>
    <row r="433" spans="1:34">
      <c r="A433" s="5" t="str">
        <f ca="1">IFERROR(__xludf.DUMMYFUNCTION("""COMPUTED_VALUE"""),"LINEA PET CSD - LINEA 10")</f>
        <v>LINEA PET CSD - LINEA 10</v>
      </c>
      <c r="B433" s="5">
        <f ca="1">IFERROR(__xludf.DUMMYFUNCTION("""COMPUTED_VALUE"""),710324)</f>
        <v>710324</v>
      </c>
      <c r="C433" s="5" t="str">
        <f ca="1">IFERROR(__xludf.DUMMYFUNCTION("""COMPUTED_VALUE"""),"ENFARDADORA")</f>
        <v>ENFARDADORA</v>
      </c>
      <c r="D433" s="5">
        <f ca="1">IFERROR(__xludf.DUMMYFUNCTION("""COMPUTED_VALUE"""),13247588)</f>
        <v>13247588</v>
      </c>
      <c r="E433" s="5" t="str">
        <f ca="1">IFERROR(__xludf.DUMMYFUNCTION("""COMPUTED_VALUE"""),"INSPECCION SEMANAL ENFARDADORA")</f>
        <v>INSPECCION SEMANAL ENFARDADORA</v>
      </c>
      <c r="F433" s="5" t="str">
        <f ca="1">IFERROR(__xludf.DUMMYFUNCTION("""COMPUTED_VALUE"""),"INSP MODULO EMPUJADOR")</f>
        <v>INSP MODULO EMPUJADOR</v>
      </c>
      <c r="G433" s="5" t="b">
        <f ca="1">IFERROR(__xludf.DUMMYFUNCTION("""COMPUTED_VALUE"""),TRUE)</f>
        <v>1</v>
      </c>
      <c r="H433" s="5"/>
      <c r="I433" s="5"/>
      <c r="J433" s="5">
        <f ca="1">IFERROR(__xludf.DUMMYFUNCTION("""COMPUTED_VALUE"""),13247588)</f>
        <v>13247588</v>
      </c>
      <c r="K433" s="5"/>
      <c r="L433" s="18">
        <f ca="1">IFERROR(__xludf.DUMMYFUNCTION("""COMPUTED_VALUE"""),45325)</f>
        <v>45325</v>
      </c>
      <c r="M433" s="18">
        <f ca="1">IFERROR(__xludf.DUMMYFUNCTION("""COMPUTED_VALUE"""),45325)</f>
        <v>45325</v>
      </c>
      <c r="N433" s="5" t="str">
        <f ca="1">IFERROR(__xludf.DUMMYFUNCTION("""COMPUTED_VALUE"""),"PARRA VELANDIA JOHN JAIRO")</f>
        <v>PARRA VELANDIA JOHN JAIRO</v>
      </c>
      <c r="O433" s="2">
        <f ca="1">IFERROR(__xludf.DUMMYFUNCTION("""COMPUTED_VALUE"""),0.005)</f>
        <v>5.0000000000000001E-3</v>
      </c>
      <c r="P433" s="5">
        <f ca="1">IFERROR(__xludf.DUMMYFUNCTION("""COMPUTED_VALUE"""),94543434)</f>
        <v>94543434</v>
      </c>
      <c r="Q433" s="5" t="str">
        <f ca="1">IFERROR(__xludf.DUMMYFUNCTION("""COMPUTED_VALUE"""),"-c23bWgLKuE")</f>
        <v>-c23bWgLKuE</v>
      </c>
      <c r="R433" s="5">
        <f ca="1">IFERROR(__xludf.DUMMYFUNCTION("""COMPUTED_VALUE"""),410)</f>
        <v>410</v>
      </c>
      <c r="S433" s="62">
        <f ca="1">IFERROR(__xludf.DUMMYFUNCTION("""COMPUTED_VALUE"""),0.005)</f>
        <v>5.0000000000000001E-3</v>
      </c>
      <c r="T433" s="63" t="str">
        <f ca="1">IFERROR(__xludf.DUMMYFUNCTION("""COMPUTED_VALUE"""),"https://storage.googleapis.com/glide-prod.appspot.com/uploads-v2/ly7o78grxPaC6KdgvbpS/pub/3aRdSog0vUtuqPE8AJKD.png")</f>
        <v>https://storage.googleapis.com/glide-prod.appspot.com/uploads-v2/ly7o78grxPaC6KdgvbpS/pub/3aRdSog0vUtuqPE8AJKD.png</v>
      </c>
      <c r="U433" s="5" t="str">
        <f ca="1">IFERROR(__xludf.DUMMYFUNCTION("""COMPUTED_VALUE"""),"LINEA PET CSD - LINEA 10ENFARDADORA")</f>
        <v>LINEA PET CSD - LINEA 10ENFARDADORA</v>
      </c>
      <c r="V433" s="5"/>
      <c r="W433" s="5" t="b">
        <f ca="1">IFERROR(__xludf.DUMMYFUNCTION("""COMPUTED_VALUE"""),TRUE)</f>
        <v>1</v>
      </c>
      <c r="X433" s="5" t="str">
        <f ca="1">IFERROR(__xludf.DUMMYFUNCTION("""COMPUTED_VALUE"""),"wmazorra@postobon.com.co,aprmttoyu@postobon.com.co,aprmyu@postobon.com.co,wmora@postobon.com.co,efzapata@postobon.com.co")</f>
        <v>wmazorra@postobon.com.co,aprmttoyu@postobon.com.co,aprmyu@postobon.com.co,wmora@postobon.com.co,efzapata@postobon.com.co</v>
      </c>
      <c r="Y433" s="5" t="str">
        <f ca="1">IFERROR(__xludf.DUMMYFUNCTION("""COMPUTED_VALUE"""),"wmazorra@postobon.com.co")</f>
        <v>wmazorra@postobon.com.co</v>
      </c>
      <c r="Z433" s="5" t="str">
        <f ca="1">IFERROR(__xludf.DUMMYFUNCTION("""COMPUTED_VALUE"""),"sgze9VfpTr6OWQgGHJRAmw")</f>
        <v>sgze9VfpTr6OWQgGHJRAmw</v>
      </c>
      <c r="AA433" s="5"/>
      <c r="AB433" s="5"/>
      <c r="AC433" s="5"/>
      <c r="AD433" s="5">
        <f ca="1">IFERROR(__xludf.DUMMYFUNCTION("""COMPUTED_VALUE"""),36)</f>
        <v>36</v>
      </c>
      <c r="AE433" s="5">
        <f ca="1">IFERROR(__xludf.DUMMYFUNCTION("""COMPUTED_VALUE"""),36)</f>
        <v>36</v>
      </c>
      <c r="AF433" s="5" t="b">
        <f ca="1">IFERROR(__xludf.DUMMYFUNCTION("""COMPUTED_VALUE"""),FALSE)</f>
        <v>0</v>
      </c>
      <c r="AG433" s="5" t="str">
        <f ca="1">IFERROR(__xludf.DUMMYFUNCTION("""COMPUTED_VALUE"""),"INSPECCIONES REALIZADAS")</f>
        <v>INSPECCIONES REALIZADAS</v>
      </c>
      <c r="AH433" s="5"/>
    </row>
    <row r="434" spans="1:34">
      <c r="A434" s="5" t="str">
        <f ca="1">IFERROR(__xludf.DUMMYFUNCTION("""COMPUTED_VALUE"""),"LINEA PET CSD - LINEA 10")</f>
        <v>LINEA PET CSD - LINEA 10</v>
      </c>
      <c r="B434" s="5">
        <f ca="1">IFERROR(__xludf.DUMMYFUNCTION("""COMPUTED_VALUE"""),710324)</f>
        <v>710324</v>
      </c>
      <c r="C434" s="5" t="str">
        <f ca="1">IFERROR(__xludf.DUMMYFUNCTION("""COMPUTED_VALUE"""),"ENFARDADORA")</f>
        <v>ENFARDADORA</v>
      </c>
      <c r="D434" s="5">
        <f ca="1">IFERROR(__xludf.DUMMYFUNCTION("""COMPUTED_VALUE"""),13247588)</f>
        <v>13247588</v>
      </c>
      <c r="E434" s="5" t="str">
        <f ca="1">IFERROR(__xludf.DUMMYFUNCTION("""COMPUTED_VALUE"""),"INSPECCION SEMANAL ENFARDADORA")</f>
        <v>INSPECCION SEMANAL ENFARDADORA</v>
      </c>
      <c r="F434" s="5" t="str">
        <f ca="1">IFERROR(__xludf.DUMMYFUNCTION("""COMPUTED_VALUE"""),"INSP INDICADORES DE POSICION")</f>
        <v>INSP INDICADORES DE POSICION</v>
      </c>
      <c r="G434" s="5" t="b">
        <f ca="1">IFERROR(__xludf.DUMMYFUNCTION("""COMPUTED_VALUE"""),TRUE)</f>
        <v>1</v>
      </c>
      <c r="H434" s="5"/>
      <c r="I434" s="5"/>
      <c r="J434" s="5">
        <f ca="1">IFERROR(__xludf.DUMMYFUNCTION("""COMPUTED_VALUE"""),13247588)</f>
        <v>13247588</v>
      </c>
      <c r="K434" s="5"/>
      <c r="L434" s="18">
        <f ca="1">IFERROR(__xludf.DUMMYFUNCTION("""COMPUTED_VALUE"""),45325)</f>
        <v>45325</v>
      </c>
      <c r="M434" s="18">
        <f ca="1">IFERROR(__xludf.DUMMYFUNCTION("""COMPUTED_VALUE"""),45325)</f>
        <v>45325</v>
      </c>
      <c r="N434" s="5" t="str">
        <f ca="1">IFERROR(__xludf.DUMMYFUNCTION("""COMPUTED_VALUE"""),"PARRA VELANDIA JOHN JAIRO")</f>
        <v>PARRA VELANDIA JOHN JAIRO</v>
      </c>
      <c r="O434" s="2">
        <f ca="1">IFERROR(__xludf.DUMMYFUNCTION("""COMPUTED_VALUE"""),0.005)</f>
        <v>5.0000000000000001E-3</v>
      </c>
      <c r="P434" s="5">
        <f ca="1">IFERROR(__xludf.DUMMYFUNCTION("""COMPUTED_VALUE"""),94543434)</f>
        <v>94543434</v>
      </c>
      <c r="Q434" s="5" t="str">
        <f ca="1">IFERROR(__xludf.DUMMYFUNCTION("""COMPUTED_VALUE"""),"rzlTwIefwE4")</f>
        <v>rzlTwIefwE4</v>
      </c>
      <c r="R434" s="5">
        <f ca="1">IFERROR(__xludf.DUMMYFUNCTION("""COMPUTED_VALUE"""),410)</f>
        <v>410</v>
      </c>
      <c r="S434" s="62">
        <f ca="1">IFERROR(__xludf.DUMMYFUNCTION("""COMPUTED_VALUE"""),0.005)</f>
        <v>5.0000000000000001E-3</v>
      </c>
      <c r="T434" s="63" t="str">
        <f ca="1">IFERROR(__xludf.DUMMYFUNCTION("""COMPUTED_VALUE"""),"https://storage.googleapis.com/glide-prod.appspot.com/uploads-v2/ly7o78grxPaC6KdgvbpS/pub/3aRdSog0vUtuqPE8AJKD.png")</f>
        <v>https://storage.googleapis.com/glide-prod.appspot.com/uploads-v2/ly7o78grxPaC6KdgvbpS/pub/3aRdSog0vUtuqPE8AJKD.png</v>
      </c>
      <c r="U434" s="5" t="str">
        <f ca="1">IFERROR(__xludf.DUMMYFUNCTION("""COMPUTED_VALUE"""),"LINEA PET CSD - LINEA 10ENFARDADORA")</f>
        <v>LINEA PET CSD - LINEA 10ENFARDADORA</v>
      </c>
      <c r="V434" s="5"/>
      <c r="W434" s="5" t="b">
        <f ca="1">IFERROR(__xludf.DUMMYFUNCTION("""COMPUTED_VALUE"""),TRUE)</f>
        <v>1</v>
      </c>
      <c r="X434" s="5" t="str">
        <f ca="1">IFERROR(__xludf.DUMMYFUNCTION("""COMPUTED_VALUE"""),"wmazorra@postobon.com.co,aprmttoyu@postobon.com.co,aprmyu@postobon.com.co,wmora@postobon.com.co,efzapata@postobon.com.co")</f>
        <v>wmazorra@postobon.com.co,aprmttoyu@postobon.com.co,aprmyu@postobon.com.co,wmora@postobon.com.co,efzapata@postobon.com.co</v>
      </c>
      <c r="Y434" s="5" t="str">
        <f ca="1">IFERROR(__xludf.DUMMYFUNCTION("""COMPUTED_VALUE"""),"wmazorra@postobon.com.co")</f>
        <v>wmazorra@postobon.com.co</v>
      </c>
      <c r="Z434" s="5" t="str">
        <f ca="1">IFERROR(__xludf.DUMMYFUNCTION("""COMPUTED_VALUE"""),"7i9MQlgSTAucPBlc-PZGTA")</f>
        <v>7i9MQlgSTAucPBlc-PZGTA</v>
      </c>
      <c r="AA434" s="5"/>
      <c r="AB434" s="5"/>
      <c r="AC434" s="5"/>
      <c r="AD434" s="5">
        <f ca="1">IFERROR(__xludf.DUMMYFUNCTION("""COMPUTED_VALUE"""),36)</f>
        <v>36</v>
      </c>
      <c r="AE434" s="5">
        <f ca="1">IFERROR(__xludf.DUMMYFUNCTION("""COMPUTED_VALUE"""),36)</f>
        <v>36</v>
      </c>
      <c r="AF434" s="5" t="b">
        <f ca="1">IFERROR(__xludf.DUMMYFUNCTION("""COMPUTED_VALUE"""),FALSE)</f>
        <v>0</v>
      </c>
      <c r="AG434" s="5" t="str">
        <f ca="1">IFERROR(__xludf.DUMMYFUNCTION("""COMPUTED_VALUE"""),"INSPECCIONES REALIZADAS")</f>
        <v>INSPECCIONES REALIZADAS</v>
      </c>
      <c r="AH434" s="5"/>
    </row>
    <row r="435" spans="1:34">
      <c r="A435" s="5" t="str">
        <f ca="1">IFERROR(__xludf.DUMMYFUNCTION("""COMPUTED_VALUE"""),"LINEA PET CSD - LINEA 10")</f>
        <v>LINEA PET CSD - LINEA 10</v>
      </c>
      <c r="B435" s="5">
        <f ca="1">IFERROR(__xludf.DUMMYFUNCTION("""COMPUTED_VALUE"""),710324)</f>
        <v>710324</v>
      </c>
      <c r="C435" s="5" t="str">
        <f ca="1">IFERROR(__xludf.DUMMYFUNCTION("""COMPUTED_VALUE"""),"ENFARDADORA")</f>
        <v>ENFARDADORA</v>
      </c>
      <c r="D435" s="5">
        <f ca="1">IFERROR(__xludf.DUMMYFUNCTION("""COMPUTED_VALUE"""),13247588)</f>
        <v>13247588</v>
      </c>
      <c r="E435" s="5" t="str">
        <f ca="1">IFERROR(__xludf.DUMMYFUNCTION("""COMPUTED_VALUE"""),"INSPECCION SEMANAL ENFARDADORA")</f>
        <v>INSPECCION SEMANAL ENFARDADORA</v>
      </c>
      <c r="F435" s="5" t="str">
        <f ca="1">IFERROR(__xludf.DUMMYFUNCTION("""COMPUTED_VALUE"""),"INSP CADENA HORNO")</f>
        <v>INSP CADENA HORNO</v>
      </c>
      <c r="G435" s="5" t="b">
        <f ca="1">IFERROR(__xludf.DUMMYFUNCTION("""COMPUTED_VALUE"""),TRUE)</f>
        <v>1</v>
      </c>
      <c r="H435" s="5"/>
      <c r="I435" s="5"/>
      <c r="J435" s="5">
        <f ca="1">IFERROR(__xludf.DUMMYFUNCTION("""COMPUTED_VALUE"""),13247588)</f>
        <v>13247588</v>
      </c>
      <c r="K435" s="5"/>
      <c r="L435" s="18">
        <f ca="1">IFERROR(__xludf.DUMMYFUNCTION("""COMPUTED_VALUE"""),45325)</f>
        <v>45325</v>
      </c>
      <c r="M435" s="18">
        <f ca="1">IFERROR(__xludf.DUMMYFUNCTION("""COMPUTED_VALUE"""),45325)</f>
        <v>45325</v>
      </c>
      <c r="N435" s="5" t="str">
        <f ca="1">IFERROR(__xludf.DUMMYFUNCTION("""COMPUTED_VALUE"""),"PARRA VELANDIA JOHN JAIRO")</f>
        <v>PARRA VELANDIA JOHN JAIRO</v>
      </c>
      <c r="O435" s="2">
        <f ca="1">IFERROR(__xludf.DUMMYFUNCTION("""COMPUTED_VALUE"""),0.005)</f>
        <v>5.0000000000000001E-3</v>
      </c>
      <c r="P435" s="5">
        <f ca="1">IFERROR(__xludf.DUMMYFUNCTION("""COMPUTED_VALUE"""),94543434)</f>
        <v>94543434</v>
      </c>
      <c r="Q435" s="5" t="str">
        <f ca="1">IFERROR(__xludf.DUMMYFUNCTION("""COMPUTED_VALUE"""),"4jpn3-LhwNY")</f>
        <v>4jpn3-LhwNY</v>
      </c>
      <c r="R435" s="5">
        <f ca="1">IFERROR(__xludf.DUMMYFUNCTION("""COMPUTED_VALUE"""),410)</f>
        <v>410</v>
      </c>
      <c r="S435" s="62">
        <f ca="1">IFERROR(__xludf.DUMMYFUNCTION("""COMPUTED_VALUE"""),0.005)</f>
        <v>5.0000000000000001E-3</v>
      </c>
      <c r="T435" s="63" t="str">
        <f ca="1">IFERROR(__xludf.DUMMYFUNCTION("""COMPUTED_VALUE"""),"https://storage.googleapis.com/glide-prod.appspot.com/uploads-v2/ly7o78grxPaC6KdgvbpS/pub/3aRdSog0vUtuqPE8AJKD.png")</f>
        <v>https://storage.googleapis.com/glide-prod.appspot.com/uploads-v2/ly7o78grxPaC6KdgvbpS/pub/3aRdSog0vUtuqPE8AJKD.png</v>
      </c>
      <c r="U435" s="5" t="str">
        <f ca="1">IFERROR(__xludf.DUMMYFUNCTION("""COMPUTED_VALUE"""),"LINEA PET CSD - LINEA 10ENFARDADORA")</f>
        <v>LINEA PET CSD - LINEA 10ENFARDADORA</v>
      </c>
      <c r="V435" s="5"/>
      <c r="W435" s="5" t="b">
        <f ca="1">IFERROR(__xludf.DUMMYFUNCTION("""COMPUTED_VALUE"""),TRUE)</f>
        <v>1</v>
      </c>
      <c r="X435" s="5" t="str">
        <f ca="1">IFERROR(__xludf.DUMMYFUNCTION("""COMPUTED_VALUE"""),"wmazorra@postobon.com.co,aprmttoyu@postobon.com.co,aprmyu@postobon.com.co,wmora@postobon.com.co,efzapata@postobon.com.co")</f>
        <v>wmazorra@postobon.com.co,aprmttoyu@postobon.com.co,aprmyu@postobon.com.co,wmora@postobon.com.co,efzapata@postobon.com.co</v>
      </c>
      <c r="Y435" s="5" t="str">
        <f ca="1">IFERROR(__xludf.DUMMYFUNCTION("""COMPUTED_VALUE"""),"wmazorra@postobon.com.co")</f>
        <v>wmazorra@postobon.com.co</v>
      </c>
      <c r="Z435" s="5" t="str">
        <f ca="1">IFERROR(__xludf.DUMMYFUNCTION("""COMPUTED_VALUE"""),"HlRa3TKCRyiffcyqd-eahA")</f>
        <v>HlRa3TKCRyiffcyqd-eahA</v>
      </c>
      <c r="AA435" s="5"/>
      <c r="AB435" s="5"/>
      <c r="AC435" s="5"/>
      <c r="AD435" s="5">
        <f ca="1">IFERROR(__xludf.DUMMYFUNCTION("""COMPUTED_VALUE"""),36)</f>
        <v>36</v>
      </c>
      <c r="AE435" s="5">
        <f ca="1">IFERROR(__xludf.DUMMYFUNCTION("""COMPUTED_VALUE"""),36)</f>
        <v>36</v>
      </c>
      <c r="AF435" s="5" t="b">
        <f ca="1">IFERROR(__xludf.DUMMYFUNCTION("""COMPUTED_VALUE"""),FALSE)</f>
        <v>0</v>
      </c>
      <c r="AG435" s="5" t="str">
        <f ca="1">IFERROR(__xludf.DUMMYFUNCTION("""COMPUTED_VALUE"""),"INSPECCIONES REALIZADAS")</f>
        <v>INSPECCIONES REALIZADAS</v>
      </c>
      <c r="AH435" s="5"/>
    </row>
    <row r="436" spans="1:34">
      <c r="A436" s="5" t="str">
        <f ca="1">IFERROR(__xludf.DUMMYFUNCTION("""COMPUTED_VALUE"""),"LINEA PET CSD - LINEA 10")</f>
        <v>LINEA PET CSD - LINEA 10</v>
      </c>
      <c r="B436" s="5">
        <f ca="1">IFERROR(__xludf.DUMMYFUNCTION("""COMPUTED_VALUE"""),710324)</f>
        <v>710324</v>
      </c>
      <c r="C436" s="5" t="str">
        <f ca="1">IFERROR(__xludf.DUMMYFUNCTION("""COMPUTED_VALUE"""),"ENFARDADORA")</f>
        <v>ENFARDADORA</v>
      </c>
      <c r="D436" s="5">
        <f ca="1">IFERROR(__xludf.DUMMYFUNCTION("""COMPUTED_VALUE"""),13247588)</f>
        <v>13247588</v>
      </c>
      <c r="E436" s="5" t="str">
        <f ca="1">IFERROR(__xludf.DUMMYFUNCTION("""COMPUTED_VALUE"""),"INSPECCION SEMANAL ENFARDADORA")</f>
        <v>INSPECCION SEMANAL ENFARDADORA</v>
      </c>
      <c r="F436" s="5" t="str">
        <f ca="1">IFERROR(__xludf.DUMMYFUNCTION("""COMPUTED_VALUE"""),"INSP VENTILADORES Y ACCESORIOS HORNO")</f>
        <v>INSP VENTILADORES Y ACCESORIOS HORNO</v>
      </c>
      <c r="G436" s="5" t="b">
        <f ca="1">IFERROR(__xludf.DUMMYFUNCTION("""COMPUTED_VALUE"""),TRUE)</f>
        <v>1</v>
      </c>
      <c r="H436" s="5"/>
      <c r="I436" s="5"/>
      <c r="J436" s="5">
        <f ca="1">IFERROR(__xludf.DUMMYFUNCTION("""COMPUTED_VALUE"""),13247588)</f>
        <v>13247588</v>
      </c>
      <c r="K436" s="5"/>
      <c r="L436" s="18">
        <f ca="1">IFERROR(__xludf.DUMMYFUNCTION("""COMPUTED_VALUE"""),45325)</f>
        <v>45325</v>
      </c>
      <c r="M436" s="18">
        <f ca="1">IFERROR(__xludf.DUMMYFUNCTION("""COMPUTED_VALUE"""),45325)</f>
        <v>45325</v>
      </c>
      <c r="N436" s="5" t="str">
        <f ca="1">IFERROR(__xludf.DUMMYFUNCTION("""COMPUTED_VALUE"""),"PARRA VELANDIA JOHN JAIRO")</f>
        <v>PARRA VELANDIA JOHN JAIRO</v>
      </c>
      <c r="O436" s="2">
        <f ca="1">IFERROR(__xludf.DUMMYFUNCTION("""COMPUTED_VALUE"""),0.005)</f>
        <v>5.0000000000000001E-3</v>
      </c>
      <c r="P436" s="5">
        <f ca="1">IFERROR(__xludf.DUMMYFUNCTION("""COMPUTED_VALUE"""),94543434)</f>
        <v>94543434</v>
      </c>
      <c r="Q436" s="5" t="str">
        <f ca="1">IFERROR(__xludf.DUMMYFUNCTION("""COMPUTED_VALUE"""),"R5bWWPKHDNo")</f>
        <v>R5bWWPKHDNo</v>
      </c>
      <c r="R436" s="5">
        <f ca="1">IFERROR(__xludf.DUMMYFUNCTION("""COMPUTED_VALUE"""),410)</f>
        <v>410</v>
      </c>
      <c r="S436" s="62">
        <f ca="1">IFERROR(__xludf.DUMMYFUNCTION("""COMPUTED_VALUE"""),0.005)</f>
        <v>5.0000000000000001E-3</v>
      </c>
      <c r="T436" s="63" t="str">
        <f ca="1">IFERROR(__xludf.DUMMYFUNCTION("""COMPUTED_VALUE"""),"https://storage.googleapis.com/glide-prod.appspot.com/uploads-v2/ly7o78grxPaC6KdgvbpS/pub/3aRdSog0vUtuqPE8AJKD.png")</f>
        <v>https://storage.googleapis.com/glide-prod.appspot.com/uploads-v2/ly7o78grxPaC6KdgvbpS/pub/3aRdSog0vUtuqPE8AJKD.png</v>
      </c>
      <c r="U436" s="5" t="str">
        <f ca="1">IFERROR(__xludf.DUMMYFUNCTION("""COMPUTED_VALUE"""),"LINEA PET CSD - LINEA 10ENFARDADORA")</f>
        <v>LINEA PET CSD - LINEA 10ENFARDADORA</v>
      </c>
      <c r="V436" s="5"/>
      <c r="W436" s="5" t="b">
        <f ca="1">IFERROR(__xludf.DUMMYFUNCTION("""COMPUTED_VALUE"""),TRUE)</f>
        <v>1</v>
      </c>
      <c r="X436" s="5" t="str">
        <f ca="1">IFERROR(__xludf.DUMMYFUNCTION("""COMPUTED_VALUE"""),"wmazorra@postobon.com.co,aprmttoyu@postobon.com.co,aprmyu@postobon.com.co,wmora@postobon.com.co,efzapata@postobon.com.co")</f>
        <v>wmazorra@postobon.com.co,aprmttoyu@postobon.com.co,aprmyu@postobon.com.co,wmora@postobon.com.co,efzapata@postobon.com.co</v>
      </c>
      <c r="Y436" s="5" t="str">
        <f ca="1">IFERROR(__xludf.DUMMYFUNCTION("""COMPUTED_VALUE"""),"wmazorra@postobon.com.co")</f>
        <v>wmazorra@postobon.com.co</v>
      </c>
      <c r="Z436" s="5" t="str">
        <f ca="1">IFERROR(__xludf.DUMMYFUNCTION("""COMPUTED_VALUE"""),"kJelyvNeSQG7zdU0pc-syw")</f>
        <v>kJelyvNeSQG7zdU0pc-syw</v>
      </c>
      <c r="AA436" s="5"/>
      <c r="AB436" s="5"/>
      <c r="AC436" s="5"/>
      <c r="AD436" s="5">
        <f ca="1">IFERROR(__xludf.DUMMYFUNCTION("""COMPUTED_VALUE"""),36)</f>
        <v>36</v>
      </c>
      <c r="AE436" s="5">
        <f ca="1">IFERROR(__xludf.DUMMYFUNCTION("""COMPUTED_VALUE"""),36)</f>
        <v>36</v>
      </c>
      <c r="AF436" s="5" t="b">
        <f ca="1">IFERROR(__xludf.DUMMYFUNCTION("""COMPUTED_VALUE"""),FALSE)</f>
        <v>0</v>
      </c>
      <c r="AG436" s="5" t="str">
        <f ca="1">IFERROR(__xludf.DUMMYFUNCTION("""COMPUTED_VALUE"""),"INSPECCIONES REALIZADAS")</f>
        <v>INSPECCIONES REALIZADAS</v>
      </c>
      <c r="AH436" s="5"/>
    </row>
    <row r="437" spans="1:34">
      <c r="A437" s="5" t="str">
        <f ca="1">IFERROR(__xludf.DUMMYFUNCTION("""COMPUTED_VALUE"""),"LINEA PET CSD - LINEA 10")</f>
        <v>LINEA PET CSD - LINEA 10</v>
      </c>
      <c r="B437" s="5">
        <f ca="1">IFERROR(__xludf.DUMMYFUNCTION("""COMPUTED_VALUE"""),710324)</f>
        <v>710324</v>
      </c>
      <c r="C437" s="5" t="str">
        <f ca="1">IFERROR(__xludf.DUMMYFUNCTION("""COMPUTED_VALUE"""),"ENFARDADORA")</f>
        <v>ENFARDADORA</v>
      </c>
      <c r="D437" s="5">
        <f ca="1">IFERROR(__xludf.DUMMYFUNCTION("""COMPUTED_VALUE"""),13247588)</f>
        <v>13247588</v>
      </c>
      <c r="E437" s="5" t="str">
        <f ca="1">IFERROR(__xludf.DUMMYFUNCTION("""COMPUTED_VALUE"""),"INSPECCION SEMANAL ENFARDADORA")</f>
        <v>INSPECCION SEMANAL ENFARDADORA</v>
      </c>
      <c r="F437" s="5" t="str">
        <f ca="1">IFERROR(__xludf.DUMMYFUNCTION("""COMPUTED_VALUE"""),"INP QUEMADORES HORNO")</f>
        <v>INP QUEMADORES HORNO</v>
      </c>
      <c r="G437" s="5" t="b">
        <f ca="1">IFERROR(__xludf.DUMMYFUNCTION("""COMPUTED_VALUE"""),TRUE)</f>
        <v>1</v>
      </c>
      <c r="H437" s="5"/>
      <c r="I437" s="5"/>
      <c r="J437" s="5">
        <f ca="1">IFERROR(__xludf.DUMMYFUNCTION("""COMPUTED_VALUE"""),13247588)</f>
        <v>13247588</v>
      </c>
      <c r="K437" s="5"/>
      <c r="L437" s="18">
        <f ca="1">IFERROR(__xludf.DUMMYFUNCTION("""COMPUTED_VALUE"""),45325)</f>
        <v>45325</v>
      </c>
      <c r="M437" s="18">
        <f ca="1">IFERROR(__xludf.DUMMYFUNCTION("""COMPUTED_VALUE"""),45325)</f>
        <v>45325</v>
      </c>
      <c r="N437" s="5" t="str">
        <f ca="1">IFERROR(__xludf.DUMMYFUNCTION("""COMPUTED_VALUE"""),"PARRA VELANDIA JOHN JAIRO")</f>
        <v>PARRA VELANDIA JOHN JAIRO</v>
      </c>
      <c r="O437" s="2">
        <f ca="1">IFERROR(__xludf.DUMMYFUNCTION("""COMPUTED_VALUE"""),0.005)</f>
        <v>5.0000000000000001E-3</v>
      </c>
      <c r="P437" s="5">
        <f ca="1">IFERROR(__xludf.DUMMYFUNCTION("""COMPUTED_VALUE"""),94543434)</f>
        <v>94543434</v>
      </c>
      <c r="Q437" s="5" t="str">
        <f ca="1">IFERROR(__xludf.DUMMYFUNCTION("""COMPUTED_VALUE"""),"oPSpXehQI_w")</f>
        <v>oPSpXehQI_w</v>
      </c>
      <c r="R437" s="5">
        <f ca="1">IFERROR(__xludf.DUMMYFUNCTION("""COMPUTED_VALUE"""),410)</f>
        <v>410</v>
      </c>
      <c r="S437" s="62">
        <f ca="1">IFERROR(__xludf.DUMMYFUNCTION("""COMPUTED_VALUE"""),0.005)</f>
        <v>5.0000000000000001E-3</v>
      </c>
      <c r="T437" s="63" t="str">
        <f ca="1">IFERROR(__xludf.DUMMYFUNCTION("""COMPUTED_VALUE"""),"https://storage.googleapis.com/glide-prod.appspot.com/uploads-v2/ly7o78grxPaC6KdgvbpS/pub/3aRdSog0vUtuqPE8AJKD.png")</f>
        <v>https://storage.googleapis.com/glide-prod.appspot.com/uploads-v2/ly7o78grxPaC6KdgvbpS/pub/3aRdSog0vUtuqPE8AJKD.png</v>
      </c>
      <c r="U437" s="5" t="str">
        <f ca="1">IFERROR(__xludf.DUMMYFUNCTION("""COMPUTED_VALUE"""),"LINEA PET CSD - LINEA 10ENFARDADORA")</f>
        <v>LINEA PET CSD - LINEA 10ENFARDADORA</v>
      </c>
      <c r="V437" s="5"/>
      <c r="W437" s="5" t="b">
        <f ca="1">IFERROR(__xludf.DUMMYFUNCTION("""COMPUTED_VALUE"""),TRUE)</f>
        <v>1</v>
      </c>
      <c r="X437" s="5" t="str">
        <f ca="1">IFERROR(__xludf.DUMMYFUNCTION("""COMPUTED_VALUE"""),"wmazorra@postobon.com.co,aprmttoyu@postobon.com.co,aprmyu@postobon.com.co,wmora@postobon.com.co,efzapata@postobon.com.co")</f>
        <v>wmazorra@postobon.com.co,aprmttoyu@postobon.com.co,aprmyu@postobon.com.co,wmora@postobon.com.co,efzapata@postobon.com.co</v>
      </c>
      <c r="Y437" s="5" t="str">
        <f ca="1">IFERROR(__xludf.DUMMYFUNCTION("""COMPUTED_VALUE"""),"wmazorra@postobon.com.co")</f>
        <v>wmazorra@postobon.com.co</v>
      </c>
      <c r="Z437" s="5" t="str">
        <f ca="1">IFERROR(__xludf.DUMMYFUNCTION("""COMPUTED_VALUE"""),"IswaTV2BT1SqJKzfW2iNow")</f>
        <v>IswaTV2BT1SqJKzfW2iNow</v>
      </c>
      <c r="AA437" s="5"/>
      <c r="AB437" s="5"/>
      <c r="AC437" s="5"/>
      <c r="AD437" s="5">
        <f ca="1">IFERROR(__xludf.DUMMYFUNCTION("""COMPUTED_VALUE"""),36)</f>
        <v>36</v>
      </c>
      <c r="AE437" s="5">
        <f ca="1">IFERROR(__xludf.DUMMYFUNCTION("""COMPUTED_VALUE"""),36)</f>
        <v>36</v>
      </c>
      <c r="AF437" s="5" t="b">
        <f ca="1">IFERROR(__xludf.DUMMYFUNCTION("""COMPUTED_VALUE"""),FALSE)</f>
        <v>0</v>
      </c>
      <c r="AG437" s="5" t="str">
        <f ca="1">IFERROR(__xludf.DUMMYFUNCTION("""COMPUTED_VALUE"""),"INSPECCIONES REALIZADAS")</f>
        <v>INSPECCIONES REALIZADAS</v>
      </c>
      <c r="AH437" s="5"/>
    </row>
    <row r="438" spans="1:34">
      <c r="A438" s="5" t="str">
        <f ca="1">IFERROR(__xludf.DUMMYFUNCTION("""COMPUTED_VALUE"""),"LINEA DE ENVASADO JUGOS PET HOT FILL")</f>
        <v>LINEA DE ENVASADO JUGOS PET HOT FILL</v>
      </c>
      <c r="B438" s="5">
        <f ca="1">IFERROR(__xludf.DUMMYFUNCTION("""COMPUTED_VALUE"""),710319)</f>
        <v>710319</v>
      </c>
      <c r="C438" s="5" t="str">
        <f ca="1">IFERROR(__xludf.DUMMYFUNCTION("""COMPUTED_VALUE"""),"ENFARDADORA")</f>
        <v>ENFARDADORA</v>
      </c>
      <c r="D438" s="5">
        <f ca="1">IFERROR(__xludf.DUMMYFUNCTION("""COMPUTED_VALUE"""),13247750)</f>
        <v>13247750</v>
      </c>
      <c r="E438" s="5" t="str">
        <f ca="1">IFERROR(__xludf.DUMMYFUNCTION("""COMPUTED_VALUE"""),"INSPECCION SEMANAL ENFARDADORA")</f>
        <v>INSPECCION SEMANAL ENFARDADORA</v>
      </c>
      <c r="F438" s="5" t="str">
        <f ca="1">IFERROR(__xludf.DUMMYFUNCTION("""COMPUTED_VALUE"""),"INSP. TABLERO ELECTRICO")</f>
        <v>INSP. TABLERO ELECTRICO</v>
      </c>
      <c r="G438" s="5"/>
      <c r="H438" s="5"/>
      <c r="I438" s="5"/>
      <c r="J438" s="5"/>
      <c r="K438" s="5"/>
      <c r="L438" s="18">
        <f ca="1">IFERROR(__xludf.DUMMYFUNCTION("""COMPUTED_VALUE"""),45324)</f>
        <v>45324</v>
      </c>
      <c r="M438" s="18">
        <f ca="1">IFERROR(__xludf.DUMMYFUNCTION("""COMPUTED_VALUE"""),45324)</f>
        <v>45324</v>
      </c>
      <c r="N438" s="5" t="str">
        <f ca="1">IFERROR(__xludf.DUMMYFUNCTION("""COMPUTED_VALUE"""),"Lopez Correa Jonathan")</f>
        <v>Lopez Correa Jonathan</v>
      </c>
      <c r="O438" s="2">
        <f ca="1">IFERROR(__xludf.DUMMYFUNCTION("""COMPUTED_VALUE"""),0.005882353)</f>
        <v>5.8823529999999999E-3</v>
      </c>
      <c r="P438" s="5"/>
      <c r="Q438" s="5" t="str">
        <f ca="1">IFERROR(__xludf.DUMMYFUNCTION("""COMPUTED_VALUE"""),"y0NBqHQWL1c")</f>
        <v>y0NBqHQWL1c</v>
      </c>
      <c r="R438" s="5">
        <f ca="1">IFERROR(__xludf.DUMMYFUNCTION("""COMPUTED_VALUE"""),410)</f>
        <v>410</v>
      </c>
      <c r="S438" s="62">
        <f ca="1">IFERROR(__xludf.DUMMYFUNCTION("""COMPUTED_VALUE"""),0.005882353)</f>
        <v>5.8823529999999999E-3</v>
      </c>
      <c r="T438" s="63" t="str">
        <f ca="1">IFERROR(__xludf.DUMMYFUNCTION("""COMPUTED_VALUE"""),"https://storage.googleapis.com/glide-prod.appspot.com/uploads-v2/ly7o78grxPaC6KdgvbpS/pub/UliJWgpEaBovaFmXi6OW.png")</f>
        <v>https://storage.googleapis.com/glide-prod.appspot.com/uploads-v2/ly7o78grxPaC6KdgvbpS/pub/UliJWgpEaBovaFmXi6OW.png</v>
      </c>
      <c r="U438" s="5" t="str">
        <f ca="1">IFERROR(__xludf.DUMMYFUNCTION("""COMPUTED_VALUE"""),"LINEA DE ENVASADO JUGOS PET HOT FILLENFARDADORA")</f>
        <v>LINEA DE ENVASADO JUGOS PET HOT FILLENFARDADORA</v>
      </c>
      <c r="V438" s="5"/>
      <c r="W438" s="5"/>
      <c r="X438" s="5" t="str">
        <f ca="1">IFERROR(__xludf.DUMMYFUNCTION("""COMPUTED_VALUE"""),"achavezi@postobon.com.co,aprmttoyu@postobon.com.co,aprmyu@postobon.com.co,wmora@postobon.com.co,efzapata@postobon.com.co")</f>
        <v>achavezi@postobon.com.co,aprmttoyu@postobon.com.co,aprmyu@postobon.com.co,wmora@postobon.com.co,efzapata@postobon.com.co</v>
      </c>
      <c r="Y438" s="5" t="str">
        <f ca="1">IFERROR(__xludf.DUMMYFUNCTION("""COMPUTED_VALUE"""),"achavezi@postobon.com.co")</f>
        <v>achavezi@postobon.com.co</v>
      </c>
      <c r="Z438" s="5" t="str">
        <f ca="1">IFERROR(__xludf.DUMMYFUNCTION("""COMPUTED_VALUE"""),"qvQaolVyQ4aB94LVhVKR2g")</f>
        <v>qvQaolVyQ4aB94LVhVKR2g</v>
      </c>
      <c r="AA438" s="5"/>
      <c r="AB438" s="5"/>
      <c r="AC438" s="5"/>
      <c r="AD438" s="5">
        <f ca="1">IFERROR(__xludf.DUMMYFUNCTION("""COMPUTED_VALUE"""),26)</f>
        <v>26</v>
      </c>
      <c r="AE438" s="5">
        <f ca="1">IFERROR(__xludf.DUMMYFUNCTION("""COMPUTED_VALUE"""),0)</f>
        <v>0</v>
      </c>
      <c r="AF438" s="5" t="b">
        <f ca="1">IFERROR(__xludf.DUMMYFUNCTION("""COMPUTED_VALUE"""),TRUE)</f>
        <v>1</v>
      </c>
      <c r="AG438" s="5" t="str">
        <f ca="1">IFERROR(__xludf.DUMMYFUNCTION("""COMPUTED_VALUE"""),"INSPECCIONES SIN REALIZAR")</f>
        <v>INSPECCIONES SIN REALIZAR</v>
      </c>
      <c r="AH438" s="5"/>
    </row>
    <row r="439" spans="1:34">
      <c r="A439" s="5" t="str">
        <f ca="1">IFERROR(__xludf.DUMMYFUNCTION("""COMPUTED_VALUE"""),"LINEA DE ENVASADO JUGOS PET HOT FILL")</f>
        <v>LINEA DE ENVASADO JUGOS PET HOT FILL</v>
      </c>
      <c r="B439" s="5">
        <f ca="1">IFERROR(__xludf.DUMMYFUNCTION("""COMPUTED_VALUE"""),710319)</f>
        <v>710319</v>
      </c>
      <c r="C439" s="5" t="str">
        <f ca="1">IFERROR(__xludf.DUMMYFUNCTION("""COMPUTED_VALUE"""),"ENFARDADORA")</f>
        <v>ENFARDADORA</v>
      </c>
      <c r="D439" s="5">
        <f ca="1">IFERROR(__xludf.DUMMYFUNCTION("""COMPUTED_VALUE"""),13247750)</f>
        <v>13247750</v>
      </c>
      <c r="E439" s="5" t="str">
        <f ca="1">IFERROR(__xludf.DUMMYFUNCTION("""COMPUTED_VALUE"""),"INSPECCION SEMANAL ENFARDADORA")</f>
        <v>INSPECCION SEMANAL ENFARDADORA</v>
      </c>
      <c r="F439" s="5" t="str">
        <f ca="1">IFERROR(__xludf.DUMMYFUNCTION("""COMPUTED_VALUE"""),"INSP. SISTEMA DE TRANSMISION")</f>
        <v>INSP. SISTEMA DE TRANSMISION</v>
      </c>
      <c r="G439" s="5"/>
      <c r="H439" s="5"/>
      <c r="I439" s="5"/>
      <c r="J439" s="5"/>
      <c r="K439" s="5"/>
      <c r="L439" s="18">
        <f ca="1">IFERROR(__xludf.DUMMYFUNCTION("""COMPUTED_VALUE"""),45324)</f>
        <v>45324</v>
      </c>
      <c r="M439" s="18">
        <f ca="1">IFERROR(__xludf.DUMMYFUNCTION("""COMPUTED_VALUE"""),45324)</f>
        <v>45324</v>
      </c>
      <c r="N439" s="5" t="str">
        <f ca="1">IFERROR(__xludf.DUMMYFUNCTION("""COMPUTED_VALUE"""),"Lopez Correa Jonathan")</f>
        <v>Lopez Correa Jonathan</v>
      </c>
      <c r="O439" s="2">
        <f ca="1">IFERROR(__xludf.DUMMYFUNCTION("""COMPUTED_VALUE"""),0.005882353)</f>
        <v>5.8823529999999999E-3</v>
      </c>
      <c r="P439" s="5"/>
      <c r="Q439" s="5" t="str">
        <f ca="1">IFERROR(__xludf.DUMMYFUNCTION("""COMPUTED_VALUE"""),"w9NDjlqRJeE")</f>
        <v>w9NDjlqRJeE</v>
      </c>
      <c r="R439" s="5">
        <f ca="1">IFERROR(__xludf.DUMMYFUNCTION("""COMPUTED_VALUE"""),410)</f>
        <v>410</v>
      </c>
      <c r="S439" s="62">
        <f ca="1">IFERROR(__xludf.DUMMYFUNCTION("""COMPUTED_VALUE"""),0.005882353)</f>
        <v>5.8823529999999999E-3</v>
      </c>
      <c r="T439" s="63" t="str">
        <f ca="1">IFERROR(__xludf.DUMMYFUNCTION("""COMPUTED_VALUE"""),"https://storage.googleapis.com/glide-prod.appspot.com/uploads-v2/ly7o78grxPaC6KdgvbpS/pub/UliJWgpEaBovaFmXi6OW.png")</f>
        <v>https://storage.googleapis.com/glide-prod.appspot.com/uploads-v2/ly7o78grxPaC6KdgvbpS/pub/UliJWgpEaBovaFmXi6OW.png</v>
      </c>
      <c r="U439" s="5" t="str">
        <f ca="1">IFERROR(__xludf.DUMMYFUNCTION("""COMPUTED_VALUE"""),"LINEA DE ENVASADO JUGOS PET HOT FILLENFARDADORA")</f>
        <v>LINEA DE ENVASADO JUGOS PET HOT FILLENFARDADORA</v>
      </c>
      <c r="V439" s="5"/>
      <c r="W439" s="5"/>
      <c r="X439" s="5" t="str">
        <f ca="1">IFERROR(__xludf.DUMMYFUNCTION("""COMPUTED_VALUE"""),"achavezi@postobon.com.co,aprmttoyu@postobon.com.co,aprmyu@postobon.com.co,wmora@postobon.com.co,efzapata@postobon.com.co")</f>
        <v>achavezi@postobon.com.co,aprmttoyu@postobon.com.co,aprmyu@postobon.com.co,wmora@postobon.com.co,efzapata@postobon.com.co</v>
      </c>
      <c r="Y439" s="5" t="str">
        <f ca="1">IFERROR(__xludf.DUMMYFUNCTION("""COMPUTED_VALUE"""),"achavezi@postobon.com.co")</f>
        <v>achavezi@postobon.com.co</v>
      </c>
      <c r="Z439" s="5" t="str">
        <f ca="1">IFERROR(__xludf.DUMMYFUNCTION("""COMPUTED_VALUE"""),"GUgan4g5RzSAsu.naDR2TA")</f>
        <v>GUgan4g5RzSAsu.naDR2TA</v>
      </c>
      <c r="AA439" s="5"/>
      <c r="AB439" s="5"/>
      <c r="AC439" s="5"/>
      <c r="AD439" s="5">
        <f ca="1">IFERROR(__xludf.DUMMYFUNCTION("""COMPUTED_VALUE"""),26)</f>
        <v>26</v>
      </c>
      <c r="AE439" s="5">
        <f ca="1">IFERROR(__xludf.DUMMYFUNCTION("""COMPUTED_VALUE"""),0)</f>
        <v>0</v>
      </c>
      <c r="AF439" s="5" t="b">
        <f ca="1">IFERROR(__xludf.DUMMYFUNCTION("""COMPUTED_VALUE"""),TRUE)</f>
        <v>1</v>
      </c>
      <c r="AG439" s="5" t="str">
        <f ca="1">IFERROR(__xludf.DUMMYFUNCTION("""COMPUTED_VALUE"""),"INSPECCIONES SIN REALIZAR")</f>
        <v>INSPECCIONES SIN REALIZAR</v>
      </c>
      <c r="AH439" s="5"/>
    </row>
    <row r="440" spans="1:34">
      <c r="A440" s="5" t="str">
        <f ca="1">IFERROR(__xludf.DUMMYFUNCTION("""COMPUTED_VALUE"""),"LINEA DE ENVASADO JUGOS PET HOT FILL")</f>
        <v>LINEA DE ENVASADO JUGOS PET HOT FILL</v>
      </c>
      <c r="B440" s="5">
        <f ca="1">IFERROR(__xludf.DUMMYFUNCTION("""COMPUTED_VALUE"""),710319)</f>
        <v>710319</v>
      </c>
      <c r="C440" s="5" t="str">
        <f ca="1">IFERROR(__xludf.DUMMYFUNCTION("""COMPUTED_VALUE"""),"ENFARDADORA")</f>
        <v>ENFARDADORA</v>
      </c>
      <c r="D440" s="5">
        <f ca="1">IFERROR(__xludf.DUMMYFUNCTION("""COMPUTED_VALUE"""),13247750)</f>
        <v>13247750</v>
      </c>
      <c r="E440" s="5" t="str">
        <f ca="1">IFERROR(__xludf.DUMMYFUNCTION("""COMPUTED_VALUE"""),"INSPECCION SEMANAL ENFARDADORA")</f>
        <v>INSPECCION SEMANAL ENFARDADORA</v>
      </c>
      <c r="F440" s="5" t="str">
        <f ca="1">IFERROR(__xludf.DUMMYFUNCTION("""COMPUTED_VALUE"""),"INSP. ESTACION DE CORTE")</f>
        <v>INSP. ESTACION DE CORTE</v>
      </c>
      <c r="G440" s="5"/>
      <c r="H440" s="5"/>
      <c r="I440" s="5"/>
      <c r="J440" s="5"/>
      <c r="K440" s="5"/>
      <c r="L440" s="18">
        <f ca="1">IFERROR(__xludf.DUMMYFUNCTION("""COMPUTED_VALUE"""),45324)</f>
        <v>45324</v>
      </c>
      <c r="M440" s="18">
        <f ca="1">IFERROR(__xludf.DUMMYFUNCTION("""COMPUTED_VALUE"""),45324)</f>
        <v>45324</v>
      </c>
      <c r="N440" s="5" t="str">
        <f ca="1">IFERROR(__xludf.DUMMYFUNCTION("""COMPUTED_VALUE"""),"Lopez Correa Jonathan")</f>
        <v>Lopez Correa Jonathan</v>
      </c>
      <c r="O440" s="2">
        <f ca="1">IFERROR(__xludf.DUMMYFUNCTION("""COMPUTED_VALUE"""),0.005882353)</f>
        <v>5.8823529999999999E-3</v>
      </c>
      <c r="P440" s="5"/>
      <c r="Q440" s="5" t="str">
        <f ca="1">IFERROR(__xludf.DUMMYFUNCTION("""COMPUTED_VALUE"""),"VhG9pdySqx4")</f>
        <v>VhG9pdySqx4</v>
      </c>
      <c r="R440" s="5">
        <f ca="1">IFERROR(__xludf.DUMMYFUNCTION("""COMPUTED_VALUE"""),410)</f>
        <v>410</v>
      </c>
      <c r="S440" s="62">
        <f ca="1">IFERROR(__xludf.DUMMYFUNCTION("""COMPUTED_VALUE"""),0.005882353)</f>
        <v>5.8823529999999999E-3</v>
      </c>
      <c r="T440" s="63" t="str">
        <f ca="1">IFERROR(__xludf.DUMMYFUNCTION("""COMPUTED_VALUE"""),"https://storage.googleapis.com/glide-prod.appspot.com/uploads-v2/ly7o78grxPaC6KdgvbpS/pub/UliJWgpEaBovaFmXi6OW.png")</f>
        <v>https://storage.googleapis.com/glide-prod.appspot.com/uploads-v2/ly7o78grxPaC6KdgvbpS/pub/UliJWgpEaBovaFmXi6OW.png</v>
      </c>
      <c r="U440" s="5" t="str">
        <f ca="1">IFERROR(__xludf.DUMMYFUNCTION("""COMPUTED_VALUE"""),"LINEA DE ENVASADO JUGOS PET HOT FILLENFARDADORA")</f>
        <v>LINEA DE ENVASADO JUGOS PET HOT FILLENFARDADORA</v>
      </c>
      <c r="V440" s="5"/>
      <c r="W440" s="5"/>
      <c r="X440" s="5" t="str">
        <f ca="1">IFERROR(__xludf.DUMMYFUNCTION("""COMPUTED_VALUE"""),"achavezi@postobon.com.co,aprmttoyu@postobon.com.co,aprmyu@postobon.com.co,wmora@postobon.com.co,efzapata@postobon.com.co")</f>
        <v>achavezi@postobon.com.co,aprmttoyu@postobon.com.co,aprmyu@postobon.com.co,wmora@postobon.com.co,efzapata@postobon.com.co</v>
      </c>
      <c r="Y440" s="5" t="str">
        <f ca="1">IFERROR(__xludf.DUMMYFUNCTION("""COMPUTED_VALUE"""),"achavezi@postobon.com.co")</f>
        <v>achavezi@postobon.com.co</v>
      </c>
      <c r="Z440" s="5" t="str">
        <f ca="1">IFERROR(__xludf.DUMMYFUNCTION("""COMPUTED_VALUE"""),"jg49tZFcQZqaCvQiti3P8A")</f>
        <v>jg49tZFcQZqaCvQiti3P8A</v>
      </c>
      <c r="AA440" s="5"/>
      <c r="AB440" s="5"/>
      <c r="AC440" s="5"/>
      <c r="AD440" s="5">
        <f ca="1">IFERROR(__xludf.DUMMYFUNCTION("""COMPUTED_VALUE"""),26)</f>
        <v>26</v>
      </c>
      <c r="AE440" s="5">
        <f ca="1">IFERROR(__xludf.DUMMYFUNCTION("""COMPUTED_VALUE"""),0)</f>
        <v>0</v>
      </c>
      <c r="AF440" s="5" t="b">
        <f ca="1">IFERROR(__xludf.DUMMYFUNCTION("""COMPUTED_VALUE"""),TRUE)</f>
        <v>1</v>
      </c>
      <c r="AG440" s="5" t="str">
        <f ca="1">IFERROR(__xludf.DUMMYFUNCTION("""COMPUTED_VALUE"""),"INSPECCIONES SIN REALIZAR")</f>
        <v>INSPECCIONES SIN REALIZAR</v>
      </c>
      <c r="AH440" s="5"/>
    </row>
    <row r="441" spans="1:34">
      <c r="A441" s="5" t="str">
        <f ca="1">IFERROR(__xludf.DUMMYFUNCTION("""COMPUTED_VALUE"""),"LINEA DE ENVASADO JUGOS PET HOT FILL")</f>
        <v>LINEA DE ENVASADO JUGOS PET HOT FILL</v>
      </c>
      <c r="B441" s="5">
        <f ca="1">IFERROR(__xludf.DUMMYFUNCTION("""COMPUTED_VALUE"""),710319)</f>
        <v>710319</v>
      </c>
      <c r="C441" s="5" t="str">
        <f ca="1">IFERROR(__xludf.DUMMYFUNCTION("""COMPUTED_VALUE"""),"ENFARDADORA")</f>
        <v>ENFARDADORA</v>
      </c>
      <c r="D441" s="5">
        <f ca="1">IFERROR(__xludf.DUMMYFUNCTION("""COMPUTED_VALUE"""),13247750)</f>
        <v>13247750</v>
      </c>
      <c r="E441" s="5" t="str">
        <f ca="1">IFERROR(__xludf.DUMMYFUNCTION("""COMPUTED_VALUE"""),"INSPECCION SEMANAL ENFARDADORA")</f>
        <v>INSPECCION SEMANAL ENFARDADORA</v>
      </c>
      <c r="F441" s="5" t="str">
        <f ca="1">IFERROR(__xludf.DUMMYFUNCTION("""COMPUTED_VALUE"""),"INSP. CARRILES TRANSPORTE BOTELLAS")</f>
        <v>INSP. CARRILES TRANSPORTE BOTELLAS</v>
      </c>
      <c r="G441" s="5"/>
      <c r="H441" s="5"/>
      <c r="I441" s="5"/>
      <c r="J441" s="5"/>
      <c r="K441" s="5"/>
      <c r="L441" s="18">
        <f ca="1">IFERROR(__xludf.DUMMYFUNCTION("""COMPUTED_VALUE"""),45324)</f>
        <v>45324</v>
      </c>
      <c r="M441" s="18">
        <f ca="1">IFERROR(__xludf.DUMMYFUNCTION("""COMPUTED_VALUE"""),45324)</f>
        <v>45324</v>
      </c>
      <c r="N441" s="5" t="str">
        <f ca="1">IFERROR(__xludf.DUMMYFUNCTION("""COMPUTED_VALUE"""),"Lopez Correa Jonathan")</f>
        <v>Lopez Correa Jonathan</v>
      </c>
      <c r="O441" s="2">
        <f ca="1">IFERROR(__xludf.DUMMYFUNCTION("""COMPUTED_VALUE"""),0.005882353)</f>
        <v>5.8823529999999999E-3</v>
      </c>
      <c r="P441" s="5"/>
      <c r="Q441" s="5" t="str">
        <f ca="1">IFERROR(__xludf.DUMMYFUNCTION("""COMPUTED_VALUE"""),"eW-xV8v1Pp4")</f>
        <v>eW-xV8v1Pp4</v>
      </c>
      <c r="R441" s="5">
        <f ca="1">IFERROR(__xludf.DUMMYFUNCTION("""COMPUTED_VALUE"""),410)</f>
        <v>410</v>
      </c>
      <c r="S441" s="62">
        <f ca="1">IFERROR(__xludf.DUMMYFUNCTION("""COMPUTED_VALUE"""),0.005882353)</f>
        <v>5.8823529999999999E-3</v>
      </c>
      <c r="T441" s="63" t="str">
        <f ca="1">IFERROR(__xludf.DUMMYFUNCTION("""COMPUTED_VALUE"""),"https://storage.googleapis.com/glide-prod.appspot.com/uploads-v2/ly7o78grxPaC6KdgvbpS/pub/UliJWgpEaBovaFmXi6OW.png")</f>
        <v>https://storage.googleapis.com/glide-prod.appspot.com/uploads-v2/ly7o78grxPaC6KdgvbpS/pub/UliJWgpEaBovaFmXi6OW.png</v>
      </c>
      <c r="U441" s="5" t="str">
        <f ca="1">IFERROR(__xludf.DUMMYFUNCTION("""COMPUTED_VALUE"""),"LINEA DE ENVASADO JUGOS PET HOT FILLENFARDADORA")</f>
        <v>LINEA DE ENVASADO JUGOS PET HOT FILLENFARDADORA</v>
      </c>
      <c r="V441" s="5"/>
      <c r="W441" s="5"/>
      <c r="X441" s="5" t="str">
        <f ca="1">IFERROR(__xludf.DUMMYFUNCTION("""COMPUTED_VALUE"""),"achavezi@postobon.com.co,aprmttoyu@postobon.com.co,aprmyu@postobon.com.co,wmora@postobon.com.co,efzapata@postobon.com.co")</f>
        <v>achavezi@postobon.com.co,aprmttoyu@postobon.com.co,aprmyu@postobon.com.co,wmora@postobon.com.co,efzapata@postobon.com.co</v>
      </c>
      <c r="Y441" s="5" t="str">
        <f ca="1">IFERROR(__xludf.DUMMYFUNCTION("""COMPUTED_VALUE"""),"achavezi@postobon.com.co")</f>
        <v>achavezi@postobon.com.co</v>
      </c>
      <c r="Z441" s="5" t="str">
        <f ca="1">IFERROR(__xludf.DUMMYFUNCTION("""COMPUTED_VALUE"""),"Ou2YioiQS7yN2jhQOj6WjQ")</f>
        <v>Ou2YioiQS7yN2jhQOj6WjQ</v>
      </c>
      <c r="AA441" s="5"/>
      <c r="AB441" s="5"/>
      <c r="AC441" s="5"/>
      <c r="AD441" s="5">
        <f ca="1">IFERROR(__xludf.DUMMYFUNCTION("""COMPUTED_VALUE"""),26)</f>
        <v>26</v>
      </c>
      <c r="AE441" s="5">
        <f ca="1">IFERROR(__xludf.DUMMYFUNCTION("""COMPUTED_VALUE"""),0)</f>
        <v>0</v>
      </c>
      <c r="AF441" s="5" t="b">
        <f ca="1">IFERROR(__xludf.DUMMYFUNCTION("""COMPUTED_VALUE"""),TRUE)</f>
        <v>1</v>
      </c>
      <c r="AG441" s="5" t="str">
        <f ca="1">IFERROR(__xludf.DUMMYFUNCTION("""COMPUTED_VALUE"""),"INSPECCIONES SIN REALIZAR")</f>
        <v>INSPECCIONES SIN REALIZAR</v>
      </c>
      <c r="AH441" s="5"/>
    </row>
    <row r="442" spans="1:34">
      <c r="A442" s="5" t="str">
        <f ca="1">IFERROR(__xludf.DUMMYFUNCTION("""COMPUTED_VALUE"""),"LINEA DE ENVASADO JUGOS PET HOT FILL")</f>
        <v>LINEA DE ENVASADO JUGOS PET HOT FILL</v>
      </c>
      <c r="B442" s="5">
        <f ca="1">IFERROR(__xludf.DUMMYFUNCTION("""COMPUTED_VALUE"""),710319)</f>
        <v>710319</v>
      </c>
      <c r="C442" s="5" t="str">
        <f ca="1">IFERROR(__xludf.DUMMYFUNCTION("""COMPUTED_VALUE"""),"ENFARDADORA")</f>
        <v>ENFARDADORA</v>
      </c>
      <c r="D442" s="5">
        <f ca="1">IFERROR(__xludf.DUMMYFUNCTION("""COMPUTED_VALUE"""),13247750)</f>
        <v>13247750</v>
      </c>
      <c r="E442" s="5" t="str">
        <f ca="1">IFERROR(__xludf.DUMMYFUNCTION("""COMPUTED_VALUE"""),"INSPECCION SEMANAL ENFARDADORA")</f>
        <v>INSPECCION SEMANAL ENFARDADORA</v>
      </c>
      <c r="F442" s="5" t="str">
        <f ca="1">IFERROR(__xludf.DUMMYFUNCTION("""COMPUTED_VALUE"""),"FUNC. MOTO REDUCTOR")</f>
        <v>FUNC. MOTO REDUCTOR</v>
      </c>
      <c r="G442" s="5"/>
      <c r="H442" s="5"/>
      <c r="I442" s="5"/>
      <c r="J442" s="5"/>
      <c r="K442" s="5"/>
      <c r="L442" s="18">
        <f ca="1">IFERROR(__xludf.DUMMYFUNCTION("""COMPUTED_VALUE"""),45324)</f>
        <v>45324</v>
      </c>
      <c r="M442" s="18">
        <f ca="1">IFERROR(__xludf.DUMMYFUNCTION("""COMPUTED_VALUE"""),45324)</f>
        <v>45324</v>
      </c>
      <c r="N442" s="5" t="str">
        <f ca="1">IFERROR(__xludf.DUMMYFUNCTION("""COMPUTED_VALUE"""),"Lopez Correa Jonathan")</f>
        <v>Lopez Correa Jonathan</v>
      </c>
      <c r="O442" s="2">
        <f ca="1">IFERROR(__xludf.DUMMYFUNCTION("""COMPUTED_VALUE"""),0.005882353)</f>
        <v>5.8823529999999999E-3</v>
      </c>
      <c r="P442" s="5"/>
      <c r="Q442" s="5" t="str">
        <f ca="1">IFERROR(__xludf.DUMMYFUNCTION("""COMPUTED_VALUE"""),"UWqSYdUj_XY")</f>
        <v>UWqSYdUj_XY</v>
      </c>
      <c r="R442" s="5">
        <f ca="1">IFERROR(__xludf.DUMMYFUNCTION("""COMPUTED_VALUE"""),410)</f>
        <v>410</v>
      </c>
      <c r="S442" s="62">
        <f ca="1">IFERROR(__xludf.DUMMYFUNCTION("""COMPUTED_VALUE"""),0.005882353)</f>
        <v>5.8823529999999999E-3</v>
      </c>
      <c r="T442" s="63" t="str">
        <f ca="1">IFERROR(__xludf.DUMMYFUNCTION("""COMPUTED_VALUE"""),"https://storage.googleapis.com/glide-prod.appspot.com/uploads-v2/ly7o78grxPaC6KdgvbpS/pub/UliJWgpEaBovaFmXi6OW.png")</f>
        <v>https://storage.googleapis.com/glide-prod.appspot.com/uploads-v2/ly7o78grxPaC6KdgvbpS/pub/UliJWgpEaBovaFmXi6OW.png</v>
      </c>
      <c r="U442" s="5" t="str">
        <f ca="1">IFERROR(__xludf.DUMMYFUNCTION("""COMPUTED_VALUE"""),"LINEA DE ENVASADO JUGOS PET HOT FILLENFARDADORA")</f>
        <v>LINEA DE ENVASADO JUGOS PET HOT FILLENFARDADORA</v>
      </c>
      <c r="V442" s="5"/>
      <c r="W442" s="5"/>
      <c r="X442" s="5" t="str">
        <f ca="1">IFERROR(__xludf.DUMMYFUNCTION("""COMPUTED_VALUE"""),"achavezi@postobon.com.co,aprmttoyu@postobon.com.co,aprmyu@postobon.com.co,wmora@postobon.com.co,efzapata@postobon.com.co")</f>
        <v>achavezi@postobon.com.co,aprmttoyu@postobon.com.co,aprmyu@postobon.com.co,wmora@postobon.com.co,efzapata@postobon.com.co</v>
      </c>
      <c r="Y442" s="5" t="str">
        <f ca="1">IFERROR(__xludf.DUMMYFUNCTION("""COMPUTED_VALUE"""),"achavezi@postobon.com.co")</f>
        <v>achavezi@postobon.com.co</v>
      </c>
      <c r="Z442" s="5" t="str">
        <f ca="1">IFERROR(__xludf.DUMMYFUNCTION("""COMPUTED_VALUE"""),"88kelDu4SnOyAnDAgXHMFg")</f>
        <v>88kelDu4SnOyAnDAgXHMFg</v>
      </c>
      <c r="AA442" s="5"/>
      <c r="AB442" s="5"/>
      <c r="AC442" s="5"/>
      <c r="AD442" s="5">
        <f ca="1">IFERROR(__xludf.DUMMYFUNCTION("""COMPUTED_VALUE"""),26)</f>
        <v>26</v>
      </c>
      <c r="AE442" s="5">
        <f ca="1">IFERROR(__xludf.DUMMYFUNCTION("""COMPUTED_VALUE"""),0)</f>
        <v>0</v>
      </c>
      <c r="AF442" s="5" t="b">
        <f ca="1">IFERROR(__xludf.DUMMYFUNCTION("""COMPUTED_VALUE"""),TRUE)</f>
        <v>1</v>
      </c>
      <c r="AG442" s="5" t="str">
        <f ca="1">IFERROR(__xludf.DUMMYFUNCTION("""COMPUTED_VALUE"""),"INSPECCIONES SIN REALIZAR")</f>
        <v>INSPECCIONES SIN REALIZAR</v>
      </c>
      <c r="AH442" s="5"/>
    </row>
    <row r="443" spans="1:34">
      <c r="A443" s="5" t="str">
        <f ca="1">IFERROR(__xludf.DUMMYFUNCTION("""COMPUTED_VALUE"""),"LINEA DE ENVASADO JUGOS PET HOT FILL")</f>
        <v>LINEA DE ENVASADO JUGOS PET HOT FILL</v>
      </c>
      <c r="B443" s="5">
        <f ca="1">IFERROR(__xludf.DUMMYFUNCTION("""COMPUTED_VALUE"""),710319)</f>
        <v>710319</v>
      </c>
      <c r="C443" s="5" t="str">
        <f ca="1">IFERROR(__xludf.DUMMYFUNCTION("""COMPUTED_VALUE"""),"ENFARDADORA")</f>
        <v>ENFARDADORA</v>
      </c>
      <c r="D443" s="5">
        <f ca="1">IFERROR(__xludf.DUMMYFUNCTION("""COMPUTED_VALUE"""),13247750)</f>
        <v>13247750</v>
      </c>
      <c r="E443" s="5" t="str">
        <f ca="1">IFERROR(__xludf.DUMMYFUNCTION("""COMPUTED_VALUE"""),"INSPECCION SEMANAL ENFARDADORA")</f>
        <v>INSPECCION SEMANAL ENFARDADORA</v>
      </c>
      <c r="F443" s="5" t="str">
        <f ca="1">IFERROR(__xludf.DUMMYFUNCTION("""COMPUTED_VALUE"""),"INSP. SISTEMA DE LUBRICACION")</f>
        <v>INSP. SISTEMA DE LUBRICACION</v>
      </c>
      <c r="G443" s="5"/>
      <c r="H443" s="5"/>
      <c r="I443" s="5"/>
      <c r="J443" s="5"/>
      <c r="K443" s="5"/>
      <c r="L443" s="18">
        <f ca="1">IFERROR(__xludf.DUMMYFUNCTION("""COMPUTED_VALUE"""),45324)</f>
        <v>45324</v>
      </c>
      <c r="M443" s="18">
        <f ca="1">IFERROR(__xludf.DUMMYFUNCTION("""COMPUTED_VALUE"""),45324)</f>
        <v>45324</v>
      </c>
      <c r="N443" s="5" t="str">
        <f ca="1">IFERROR(__xludf.DUMMYFUNCTION("""COMPUTED_VALUE"""),"Lopez Correa Jonathan")</f>
        <v>Lopez Correa Jonathan</v>
      </c>
      <c r="O443" s="2">
        <f ca="1">IFERROR(__xludf.DUMMYFUNCTION("""COMPUTED_VALUE"""),0.005882353)</f>
        <v>5.8823529999999999E-3</v>
      </c>
      <c r="P443" s="5"/>
      <c r="Q443" s="5" t="str">
        <f ca="1">IFERROR(__xludf.DUMMYFUNCTION("""COMPUTED_VALUE"""),"BY6N-l47Am8")</f>
        <v>BY6N-l47Am8</v>
      </c>
      <c r="R443" s="5">
        <f ca="1">IFERROR(__xludf.DUMMYFUNCTION("""COMPUTED_VALUE"""),410)</f>
        <v>410</v>
      </c>
      <c r="S443" s="62">
        <f ca="1">IFERROR(__xludf.DUMMYFUNCTION("""COMPUTED_VALUE"""),0.005882353)</f>
        <v>5.8823529999999999E-3</v>
      </c>
      <c r="T443" s="63" t="str">
        <f ca="1">IFERROR(__xludf.DUMMYFUNCTION("""COMPUTED_VALUE"""),"https://storage.googleapis.com/glide-prod.appspot.com/uploads-v2/ly7o78grxPaC6KdgvbpS/pub/UliJWgpEaBovaFmXi6OW.png")</f>
        <v>https://storage.googleapis.com/glide-prod.appspot.com/uploads-v2/ly7o78grxPaC6KdgvbpS/pub/UliJWgpEaBovaFmXi6OW.png</v>
      </c>
      <c r="U443" s="5" t="str">
        <f ca="1">IFERROR(__xludf.DUMMYFUNCTION("""COMPUTED_VALUE"""),"LINEA DE ENVASADO JUGOS PET HOT FILLENFARDADORA")</f>
        <v>LINEA DE ENVASADO JUGOS PET HOT FILLENFARDADORA</v>
      </c>
      <c r="V443" s="5"/>
      <c r="W443" s="5"/>
      <c r="X443" s="5" t="str">
        <f ca="1">IFERROR(__xludf.DUMMYFUNCTION("""COMPUTED_VALUE"""),"achavezi@postobon.com.co,aprmttoyu@postobon.com.co,aprmyu@postobon.com.co,wmora@postobon.com.co,efzapata@postobon.com.co")</f>
        <v>achavezi@postobon.com.co,aprmttoyu@postobon.com.co,aprmyu@postobon.com.co,wmora@postobon.com.co,efzapata@postobon.com.co</v>
      </c>
      <c r="Y443" s="5" t="str">
        <f ca="1">IFERROR(__xludf.DUMMYFUNCTION("""COMPUTED_VALUE"""),"achavezi@postobon.com.co")</f>
        <v>achavezi@postobon.com.co</v>
      </c>
      <c r="Z443" s="5" t="str">
        <f ca="1">IFERROR(__xludf.DUMMYFUNCTION("""COMPUTED_VALUE"""),"DD5A91BQRtaxnwCToGFN6A")</f>
        <v>DD5A91BQRtaxnwCToGFN6A</v>
      </c>
      <c r="AA443" s="5"/>
      <c r="AB443" s="5"/>
      <c r="AC443" s="5"/>
      <c r="AD443" s="5">
        <f ca="1">IFERROR(__xludf.DUMMYFUNCTION("""COMPUTED_VALUE"""),26)</f>
        <v>26</v>
      </c>
      <c r="AE443" s="5">
        <f ca="1">IFERROR(__xludf.DUMMYFUNCTION("""COMPUTED_VALUE"""),0)</f>
        <v>0</v>
      </c>
      <c r="AF443" s="5" t="b">
        <f ca="1">IFERROR(__xludf.DUMMYFUNCTION("""COMPUTED_VALUE"""),TRUE)</f>
        <v>1</v>
      </c>
      <c r="AG443" s="5" t="str">
        <f ca="1">IFERROR(__xludf.DUMMYFUNCTION("""COMPUTED_VALUE"""),"INSPECCIONES SIN REALIZAR")</f>
        <v>INSPECCIONES SIN REALIZAR</v>
      </c>
      <c r="AH443" s="5"/>
    </row>
    <row r="444" spans="1:34">
      <c r="A444" s="5" t="str">
        <f ca="1">IFERROR(__xludf.DUMMYFUNCTION("""COMPUTED_VALUE"""),"LINEA DE ENVASADO JUGOS PET HOT FILL")</f>
        <v>LINEA DE ENVASADO JUGOS PET HOT FILL</v>
      </c>
      <c r="B444" s="5">
        <f ca="1">IFERROR(__xludf.DUMMYFUNCTION("""COMPUTED_VALUE"""),710319)</f>
        <v>710319</v>
      </c>
      <c r="C444" s="5" t="str">
        <f ca="1">IFERROR(__xludf.DUMMYFUNCTION("""COMPUTED_VALUE"""),"ENFARDADORA")</f>
        <v>ENFARDADORA</v>
      </c>
      <c r="D444" s="5">
        <f ca="1">IFERROR(__xludf.DUMMYFUNCTION("""COMPUTED_VALUE"""),13247750)</f>
        <v>13247750</v>
      </c>
      <c r="E444" s="5" t="str">
        <f ca="1">IFERROR(__xludf.DUMMYFUNCTION("""COMPUTED_VALUE"""),"INSPECCION SEMANAL ENFARDADORA")</f>
        <v>INSPECCION SEMANAL ENFARDADORA</v>
      </c>
      <c r="F444" s="5" t="str">
        <f ca="1">IFERROR(__xludf.DUMMYFUNCTION("""COMPUTED_VALUE"""),"ESTADO BANDEJA RECOGEGOTAS")</f>
        <v>ESTADO BANDEJA RECOGEGOTAS</v>
      </c>
      <c r="G444" s="5"/>
      <c r="H444" s="5"/>
      <c r="I444" s="5"/>
      <c r="J444" s="5"/>
      <c r="K444" s="5"/>
      <c r="L444" s="18">
        <f ca="1">IFERROR(__xludf.DUMMYFUNCTION("""COMPUTED_VALUE"""),45324)</f>
        <v>45324</v>
      </c>
      <c r="M444" s="18">
        <f ca="1">IFERROR(__xludf.DUMMYFUNCTION("""COMPUTED_VALUE"""),45324)</f>
        <v>45324</v>
      </c>
      <c r="N444" s="5" t="str">
        <f ca="1">IFERROR(__xludf.DUMMYFUNCTION("""COMPUTED_VALUE"""),"Lopez Correa Jonathan")</f>
        <v>Lopez Correa Jonathan</v>
      </c>
      <c r="O444" s="2">
        <f ca="1">IFERROR(__xludf.DUMMYFUNCTION("""COMPUTED_VALUE"""),0.005882353)</f>
        <v>5.8823529999999999E-3</v>
      </c>
      <c r="P444" s="5"/>
      <c r="Q444" s="5" t="str">
        <f ca="1">IFERROR(__xludf.DUMMYFUNCTION("""COMPUTED_VALUE"""),"tC7xfnli3Kg")</f>
        <v>tC7xfnli3Kg</v>
      </c>
      <c r="R444" s="5">
        <f ca="1">IFERROR(__xludf.DUMMYFUNCTION("""COMPUTED_VALUE"""),410)</f>
        <v>410</v>
      </c>
      <c r="S444" s="62">
        <f ca="1">IFERROR(__xludf.DUMMYFUNCTION("""COMPUTED_VALUE"""),0.005882353)</f>
        <v>5.8823529999999999E-3</v>
      </c>
      <c r="T444" s="63" t="str">
        <f ca="1">IFERROR(__xludf.DUMMYFUNCTION("""COMPUTED_VALUE"""),"https://storage.googleapis.com/glide-prod.appspot.com/uploads-v2/ly7o78grxPaC6KdgvbpS/pub/UliJWgpEaBovaFmXi6OW.png")</f>
        <v>https://storage.googleapis.com/glide-prod.appspot.com/uploads-v2/ly7o78grxPaC6KdgvbpS/pub/UliJWgpEaBovaFmXi6OW.png</v>
      </c>
      <c r="U444" s="5" t="str">
        <f ca="1">IFERROR(__xludf.DUMMYFUNCTION("""COMPUTED_VALUE"""),"LINEA DE ENVASADO JUGOS PET HOT FILLENFARDADORA")</f>
        <v>LINEA DE ENVASADO JUGOS PET HOT FILLENFARDADORA</v>
      </c>
      <c r="V444" s="5"/>
      <c r="W444" s="5"/>
      <c r="X444" s="5" t="str">
        <f ca="1">IFERROR(__xludf.DUMMYFUNCTION("""COMPUTED_VALUE"""),"achavezi@postobon.com.co,aprmttoyu@postobon.com.co,aprmyu@postobon.com.co,wmora@postobon.com.co,efzapata@postobon.com.co")</f>
        <v>achavezi@postobon.com.co,aprmttoyu@postobon.com.co,aprmyu@postobon.com.co,wmora@postobon.com.co,efzapata@postobon.com.co</v>
      </c>
      <c r="Y444" s="5" t="str">
        <f ca="1">IFERROR(__xludf.DUMMYFUNCTION("""COMPUTED_VALUE"""),"achavezi@postobon.com.co")</f>
        <v>achavezi@postobon.com.co</v>
      </c>
      <c r="Z444" s="5" t="str">
        <f ca="1">IFERROR(__xludf.DUMMYFUNCTION("""COMPUTED_VALUE"""),"dzujPLbqSYmydpbz--jCwA")</f>
        <v>dzujPLbqSYmydpbz--jCwA</v>
      </c>
      <c r="AA444" s="5"/>
      <c r="AB444" s="5"/>
      <c r="AC444" s="5"/>
      <c r="AD444" s="5">
        <f ca="1">IFERROR(__xludf.DUMMYFUNCTION("""COMPUTED_VALUE"""),26)</f>
        <v>26</v>
      </c>
      <c r="AE444" s="5">
        <f ca="1">IFERROR(__xludf.DUMMYFUNCTION("""COMPUTED_VALUE"""),0)</f>
        <v>0</v>
      </c>
      <c r="AF444" s="5" t="b">
        <f ca="1">IFERROR(__xludf.DUMMYFUNCTION("""COMPUTED_VALUE"""),TRUE)</f>
        <v>1</v>
      </c>
      <c r="AG444" s="5" t="str">
        <f ca="1">IFERROR(__xludf.DUMMYFUNCTION("""COMPUTED_VALUE"""),"INSPECCIONES SIN REALIZAR")</f>
        <v>INSPECCIONES SIN REALIZAR</v>
      </c>
      <c r="AH444" s="5"/>
    </row>
    <row r="445" spans="1:34">
      <c r="A445" s="5" t="str">
        <f ca="1">IFERROR(__xludf.DUMMYFUNCTION("""COMPUTED_VALUE"""),"LINEA DE ENVASADO JUGOS PET HOT FILL")</f>
        <v>LINEA DE ENVASADO JUGOS PET HOT FILL</v>
      </c>
      <c r="B445" s="5">
        <f ca="1">IFERROR(__xludf.DUMMYFUNCTION("""COMPUTED_VALUE"""),710319)</f>
        <v>710319</v>
      </c>
      <c r="C445" s="5" t="str">
        <f ca="1">IFERROR(__xludf.DUMMYFUNCTION("""COMPUTED_VALUE"""),"ENFARDADORA")</f>
        <v>ENFARDADORA</v>
      </c>
      <c r="D445" s="5">
        <f ca="1">IFERROR(__xludf.DUMMYFUNCTION("""COMPUTED_VALUE"""),13247750)</f>
        <v>13247750</v>
      </c>
      <c r="E445" s="5" t="str">
        <f ca="1">IFERROR(__xludf.DUMMYFUNCTION("""COMPUTED_VALUE"""),"INSPECCION SEMANAL ENFARDADORA")</f>
        <v>INSPECCION SEMANAL ENFARDADORA</v>
      </c>
      <c r="F445" s="5" t="str">
        <f ca="1">IFERROR(__xludf.DUMMYFUNCTION("""COMPUTED_VALUE"""),"ESTADO BANDAS TRANSPORTADORAS")</f>
        <v>ESTADO BANDAS TRANSPORTADORAS</v>
      </c>
      <c r="G445" s="5"/>
      <c r="H445" s="5"/>
      <c r="I445" s="5"/>
      <c r="J445" s="5"/>
      <c r="K445" s="5"/>
      <c r="L445" s="18">
        <f ca="1">IFERROR(__xludf.DUMMYFUNCTION("""COMPUTED_VALUE"""),45324)</f>
        <v>45324</v>
      </c>
      <c r="M445" s="18">
        <f ca="1">IFERROR(__xludf.DUMMYFUNCTION("""COMPUTED_VALUE"""),45324)</f>
        <v>45324</v>
      </c>
      <c r="N445" s="5" t="str">
        <f ca="1">IFERROR(__xludf.DUMMYFUNCTION("""COMPUTED_VALUE"""),"Lopez Correa Jonathan")</f>
        <v>Lopez Correa Jonathan</v>
      </c>
      <c r="O445" s="2">
        <f ca="1">IFERROR(__xludf.DUMMYFUNCTION("""COMPUTED_VALUE"""),0.005882353)</f>
        <v>5.8823529999999999E-3</v>
      </c>
      <c r="P445" s="5"/>
      <c r="Q445" s="5" t="str">
        <f ca="1">IFERROR(__xludf.DUMMYFUNCTION("""COMPUTED_VALUE"""),"SVH8YMxnQs8")</f>
        <v>SVH8YMxnQs8</v>
      </c>
      <c r="R445" s="5">
        <f ca="1">IFERROR(__xludf.DUMMYFUNCTION("""COMPUTED_VALUE"""),410)</f>
        <v>410</v>
      </c>
      <c r="S445" s="62">
        <f ca="1">IFERROR(__xludf.DUMMYFUNCTION("""COMPUTED_VALUE"""),0.005882353)</f>
        <v>5.8823529999999999E-3</v>
      </c>
      <c r="T445" s="63" t="str">
        <f ca="1">IFERROR(__xludf.DUMMYFUNCTION("""COMPUTED_VALUE"""),"https://storage.googleapis.com/glide-prod.appspot.com/uploads-v2/ly7o78grxPaC6KdgvbpS/pub/UliJWgpEaBovaFmXi6OW.png")</f>
        <v>https://storage.googleapis.com/glide-prod.appspot.com/uploads-v2/ly7o78grxPaC6KdgvbpS/pub/UliJWgpEaBovaFmXi6OW.png</v>
      </c>
      <c r="U445" s="5" t="str">
        <f ca="1">IFERROR(__xludf.DUMMYFUNCTION("""COMPUTED_VALUE"""),"LINEA DE ENVASADO JUGOS PET HOT FILLENFARDADORA")</f>
        <v>LINEA DE ENVASADO JUGOS PET HOT FILLENFARDADORA</v>
      </c>
      <c r="V445" s="5"/>
      <c r="W445" s="5"/>
      <c r="X445" s="5" t="str">
        <f ca="1">IFERROR(__xludf.DUMMYFUNCTION("""COMPUTED_VALUE"""),"achavezi@postobon.com.co,aprmttoyu@postobon.com.co,aprmyu@postobon.com.co,wmora@postobon.com.co,efzapata@postobon.com.co")</f>
        <v>achavezi@postobon.com.co,aprmttoyu@postobon.com.co,aprmyu@postobon.com.co,wmora@postobon.com.co,efzapata@postobon.com.co</v>
      </c>
      <c r="Y445" s="5" t="str">
        <f ca="1">IFERROR(__xludf.DUMMYFUNCTION("""COMPUTED_VALUE"""),"achavezi@postobon.com.co")</f>
        <v>achavezi@postobon.com.co</v>
      </c>
      <c r="Z445" s="5" t="str">
        <f ca="1">IFERROR(__xludf.DUMMYFUNCTION("""COMPUTED_VALUE"""),"G8basIAJS.WmABrb-B9yZw")</f>
        <v>G8basIAJS.WmABrb-B9yZw</v>
      </c>
      <c r="AA445" s="5"/>
      <c r="AB445" s="5"/>
      <c r="AC445" s="5"/>
      <c r="AD445" s="5">
        <f ca="1">IFERROR(__xludf.DUMMYFUNCTION("""COMPUTED_VALUE"""),26)</f>
        <v>26</v>
      </c>
      <c r="AE445" s="5">
        <f ca="1">IFERROR(__xludf.DUMMYFUNCTION("""COMPUTED_VALUE"""),0)</f>
        <v>0</v>
      </c>
      <c r="AF445" s="5" t="b">
        <f ca="1">IFERROR(__xludf.DUMMYFUNCTION("""COMPUTED_VALUE"""),TRUE)</f>
        <v>1</v>
      </c>
      <c r="AG445" s="5" t="str">
        <f ca="1">IFERROR(__xludf.DUMMYFUNCTION("""COMPUTED_VALUE"""),"INSPECCIONES SIN REALIZAR")</f>
        <v>INSPECCIONES SIN REALIZAR</v>
      </c>
      <c r="AH445" s="5"/>
    </row>
    <row r="446" spans="1:34">
      <c r="A446" s="5" t="str">
        <f ca="1">IFERROR(__xludf.DUMMYFUNCTION("""COMPUTED_VALUE"""),"LINEA DE ENVASADO JUGOS PET HOT FILL")</f>
        <v>LINEA DE ENVASADO JUGOS PET HOT FILL</v>
      </c>
      <c r="B446" s="5">
        <f ca="1">IFERROR(__xludf.DUMMYFUNCTION("""COMPUTED_VALUE"""),710319)</f>
        <v>710319</v>
      </c>
      <c r="C446" s="5" t="str">
        <f ca="1">IFERROR(__xludf.DUMMYFUNCTION("""COMPUTED_VALUE"""),"ENFARDADORA")</f>
        <v>ENFARDADORA</v>
      </c>
      <c r="D446" s="5">
        <f ca="1">IFERROR(__xludf.DUMMYFUNCTION("""COMPUTED_VALUE"""),13247750)</f>
        <v>13247750</v>
      </c>
      <c r="E446" s="5" t="str">
        <f ca="1">IFERROR(__xludf.DUMMYFUNCTION("""COMPUTED_VALUE"""),"INSPECCION SEMANAL ENFARDADORA")</f>
        <v>INSPECCION SEMANAL ENFARDADORA</v>
      </c>
      <c r="F446" s="5" t="str">
        <f ca="1">IFERROR(__xludf.DUMMYFUNCTION("""COMPUTED_VALUE"""),"FUNC. RESISTENCIAS TERMOENCOGIDO")</f>
        <v>FUNC. RESISTENCIAS TERMOENCOGIDO</v>
      </c>
      <c r="G446" s="5"/>
      <c r="H446" s="5"/>
      <c r="I446" s="5"/>
      <c r="J446" s="5"/>
      <c r="K446" s="5"/>
      <c r="L446" s="18">
        <f ca="1">IFERROR(__xludf.DUMMYFUNCTION("""COMPUTED_VALUE"""),45324)</f>
        <v>45324</v>
      </c>
      <c r="M446" s="18">
        <f ca="1">IFERROR(__xludf.DUMMYFUNCTION("""COMPUTED_VALUE"""),45324)</f>
        <v>45324</v>
      </c>
      <c r="N446" s="5" t="str">
        <f ca="1">IFERROR(__xludf.DUMMYFUNCTION("""COMPUTED_VALUE"""),"Lopez Correa Jonathan")</f>
        <v>Lopez Correa Jonathan</v>
      </c>
      <c r="O446" s="2">
        <f ca="1">IFERROR(__xludf.DUMMYFUNCTION("""COMPUTED_VALUE"""),0.005882353)</f>
        <v>5.8823529999999999E-3</v>
      </c>
      <c r="P446" s="5"/>
      <c r="Q446" s="5" t="str">
        <f ca="1">IFERROR(__xludf.DUMMYFUNCTION("""COMPUTED_VALUE"""),"MXAn_b1g5m0")</f>
        <v>MXAn_b1g5m0</v>
      </c>
      <c r="R446" s="5">
        <f ca="1">IFERROR(__xludf.DUMMYFUNCTION("""COMPUTED_VALUE"""),410)</f>
        <v>410</v>
      </c>
      <c r="S446" s="62">
        <f ca="1">IFERROR(__xludf.DUMMYFUNCTION("""COMPUTED_VALUE"""),0.005882353)</f>
        <v>5.8823529999999999E-3</v>
      </c>
      <c r="T446" s="63" t="str">
        <f ca="1">IFERROR(__xludf.DUMMYFUNCTION("""COMPUTED_VALUE"""),"https://storage.googleapis.com/glide-prod.appspot.com/uploads-v2/ly7o78grxPaC6KdgvbpS/pub/UliJWgpEaBovaFmXi6OW.png")</f>
        <v>https://storage.googleapis.com/glide-prod.appspot.com/uploads-v2/ly7o78grxPaC6KdgvbpS/pub/UliJWgpEaBovaFmXi6OW.png</v>
      </c>
      <c r="U446" s="5" t="str">
        <f ca="1">IFERROR(__xludf.DUMMYFUNCTION("""COMPUTED_VALUE"""),"LINEA DE ENVASADO JUGOS PET HOT FILLENFARDADORA")</f>
        <v>LINEA DE ENVASADO JUGOS PET HOT FILLENFARDADORA</v>
      </c>
      <c r="V446" s="5"/>
      <c r="W446" s="5"/>
      <c r="X446" s="5" t="str">
        <f ca="1">IFERROR(__xludf.DUMMYFUNCTION("""COMPUTED_VALUE"""),"achavezi@postobon.com.co,aprmttoyu@postobon.com.co,aprmyu@postobon.com.co,wmora@postobon.com.co,efzapata@postobon.com.co")</f>
        <v>achavezi@postobon.com.co,aprmttoyu@postobon.com.co,aprmyu@postobon.com.co,wmora@postobon.com.co,efzapata@postobon.com.co</v>
      </c>
      <c r="Y446" s="5" t="str">
        <f ca="1">IFERROR(__xludf.DUMMYFUNCTION("""COMPUTED_VALUE"""),"achavezi@postobon.com.co")</f>
        <v>achavezi@postobon.com.co</v>
      </c>
      <c r="Z446" s="5" t="str">
        <f ca="1">IFERROR(__xludf.DUMMYFUNCTION("""COMPUTED_VALUE"""),"roqWR5ehT1CUZanqzMQSHw")</f>
        <v>roqWR5ehT1CUZanqzMQSHw</v>
      </c>
      <c r="AA446" s="5"/>
      <c r="AB446" s="5"/>
      <c r="AC446" s="5"/>
      <c r="AD446" s="5">
        <f ca="1">IFERROR(__xludf.DUMMYFUNCTION("""COMPUTED_VALUE"""),26)</f>
        <v>26</v>
      </c>
      <c r="AE446" s="5">
        <f ca="1">IFERROR(__xludf.DUMMYFUNCTION("""COMPUTED_VALUE"""),0)</f>
        <v>0</v>
      </c>
      <c r="AF446" s="5" t="b">
        <f ca="1">IFERROR(__xludf.DUMMYFUNCTION("""COMPUTED_VALUE"""),TRUE)</f>
        <v>1</v>
      </c>
      <c r="AG446" s="5" t="str">
        <f ca="1">IFERROR(__xludf.DUMMYFUNCTION("""COMPUTED_VALUE"""),"INSPECCIONES SIN REALIZAR")</f>
        <v>INSPECCIONES SIN REALIZAR</v>
      </c>
      <c r="AH446" s="5"/>
    </row>
    <row r="447" spans="1:34">
      <c r="A447" s="5" t="str">
        <f ca="1">IFERROR(__xludf.DUMMYFUNCTION("""COMPUTED_VALUE"""),"LINEA DE ENVASADO JUGOS PET HOT FILL")</f>
        <v>LINEA DE ENVASADO JUGOS PET HOT FILL</v>
      </c>
      <c r="B447" s="5">
        <f ca="1">IFERROR(__xludf.DUMMYFUNCTION("""COMPUTED_VALUE"""),710319)</f>
        <v>710319</v>
      </c>
      <c r="C447" s="5" t="str">
        <f ca="1">IFERROR(__xludf.DUMMYFUNCTION("""COMPUTED_VALUE"""),"ENFARDADORA")</f>
        <v>ENFARDADORA</v>
      </c>
      <c r="D447" s="5">
        <f ca="1">IFERROR(__xludf.DUMMYFUNCTION("""COMPUTED_VALUE"""),13247750)</f>
        <v>13247750</v>
      </c>
      <c r="E447" s="5" t="str">
        <f ca="1">IFERROR(__xludf.DUMMYFUNCTION("""COMPUTED_VALUE"""),"INSPECCION SEMANAL ENFARDADORA")</f>
        <v>INSPECCION SEMANAL ENFARDADORA</v>
      </c>
      <c r="F447" s="5" t="str">
        <f ca="1">IFERROR(__xludf.DUMMYFUNCTION("""COMPUTED_VALUE"""),"ESTADO SENSORES")</f>
        <v>ESTADO SENSORES</v>
      </c>
      <c r="G447" s="5"/>
      <c r="H447" s="5"/>
      <c r="I447" s="5"/>
      <c r="J447" s="5"/>
      <c r="K447" s="5"/>
      <c r="L447" s="18">
        <f ca="1">IFERROR(__xludf.DUMMYFUNCTION("""COMPUTED_VALUE"""),45324)</f>
        <v>45324</v>
      </c>
      <c r="M447" s="18">
        <f ca="1">IFERROR(__xludf.DUMMYFUNCTION("""COMPUTED_VALUE"""),45324)</f>
        <v>45324</v>
      </c>
      <c r="N447" s="5" t="str">
        <f ca="1">IFERROR(__xludf.DUMMYFUNCTION("""COMPUTED_VALUE"""),"Lopez Correa Jonathan")</f>
        <v>Lopez Correa Jonathan</v>
      </c>
      <c r="O447" s="2">
        <f ca="1">IFERROR(__xludf.DUMMYFUNCTION("""COMPUTED_VALUE"""),0.005882353)</f>
        <v>5.8823529999999999E-3</v>
      </c>
      <c r="P447" s="5"/>
      <c r="Q447" s="5" t="str">
        <f ca="1">IFERROR(__xludf.DUMMYFUNCTION("""COMPUTED_VALUE"""),"XpY5ATfWntc")</f>
        <v>XpY5ATfWntc</v>
      </c>
      <c r="R447" s="5">
        <f ca="1">IFERROR(__xludf.DUMMYFUNCTION("""COMPUTED_VALUE"""),410)</f>
        <v>410</v>
      </c>
      <c r="S447" s="62">
        <f ca="1">IFERROR(__xludf.DUMMYFUNCTION("""COMPUTED_VALUE"""),0.005882353)</f>
        <v>5.8823529999999999E-3</v>
      </c>
      <c r="T447" s="63" t="str">
        <f ca="1">IFERROR(__xludf.DUMMYFUNCTION("""COMPUTED_VALUE"""),"https://storage.googleapis.com/glide-prod.appspot.com/uploads-v2/ly7o78grxPaC6KdgvbpS/pub/UliJWgpEaBovaFmXi6OW.png")</f>
        <v>https://storage.googleapis.com/glide-prod.appspot.com/uploads-v2/ly7o78grxPaC6KdgvbpS/pub/UliJWgpEaBovaFmXi6OW.png</v>
      </c>
      <c r="U447" s="5" t="str">
        <f ca="1">IFERROR(__xludf.DUMMYFUNCTION("""COMPUTED_VALUE"""),"LINEA DE ENVASADO JUGOS PET HOT FILLENFARDADORA")</f>
        <v>LINEA DE ENVASADO JUGOS PET HOT FILLENFARDADORA</v>
      </c>
      <c r="V447" s="5"/>
      <c r="W447" s="5"/>
      <c r="X447" s="5" t="str">
        <f ca="1">IFERROR(__xludf.DUMMYFUNCTION("""COMPUTED_VALUE"""),"achavezi@postobon.com.co,aprmttoyu@postobon.com.co,aprmyu@postobon.com.co,wmora@postobon.com.co,efzapata@postobon.com.co")</f>
        <v>achavezi@postobon.com.co,aprmttoyu@postobon.com.co,aprmyu@postobon.com.co,wmora@postobon.com.co,efzapata@postobon.com.co</v>
      </c>
      <c r="Y447" s="5" t="str">
        <f ca="1">IFERROR(__xludf.DUMMYFUNCTION("""COMPUTED_VALUE"""),"achavezi@postobon.com.co")</f>
        <v>achavezi@postobon.com.co</v>
      </c>
      <c r="Z447" s="5" t="str">
        <f ca="1">IFERROR(__xludf.DUMMYFUNCTION("""COMPUTED_VALUE"""),"rxcS17pATEWNpggbA55tIQ")</f>
        <v>rxcS17pATEWNpggbA55tIQ</v>
      </c>
      <c r="AA447" s="5"/>
      <c r="AB447" s="5"/>
      <c r="AC447" s="5"/>
      <c r="AD447" s="5">
        <f ca="1">IFERROR(__xludf.DUMMYFUNCTION("""COMPUTED_VALUE"""),26)</f>
        <v>26</v>
      </c>
      <c r="AE447" s="5">
        <f ca="1">IFERROR(__xludf.DUMMYFUNCTION("""COMPUTED_VALUE"""),0)</f>
        <v>0</v>
      </c>
      <c r="AF447" s="5" t="b">
        <f ca="1">IFERROR(__xludf.DUMMYFUNCTION("""COMPUTED_VALUE"""),TRUE)</f>
        <v>1</v>
      </c>
      <c r="AG447" s="5" t="str">
        <f ca="1">IFERROR(__xludf.DUMMYFUNCTION("""COMPUTED_VALUE"""),"INSPECCIONES SIN REALIZAR")</f>
        <v>INSPECCIONES SIN REALIZAR</v>
      </c>
      <c r="AH447" s="5"/>
    </row>
    <row r="448" spans="1:34">
      <c r="A448" s="5" t="str">
        <f ca="1">IFERROR(__xludf.DUMMYFUNCTION("""COMPUTED_VALUE"""),"LINEA DE ENVASADO JUGOS PET HOT FILL")</f>
        <v>LINEA DE ENVASADO JUGOS PET HOT FILL</v>
      </c>
      <c r="B448" s="5">
        <f ca="1">IFERROR(__xludf.DUMMYFUNCTION("""COMPUTED_VALUE"""),710319)</f>
        <v>710319</v>
      </c>
      <c r="C448" s="5" t="str">
        <f ca="1">IFERROR(__xludf.DUMMYFUNCTION("""COMPUTED_VALUE"""),"ENFARDADORA")</f>
        <v>ENFARDADORA</v>
      </c>
      <c r="D448" s="5">
        <f ca="1">IFERROR(__xludf.DUMMYFUNCTION("""COMPUTED_VALUE"""),13247750)</f>
        <v>13247750</v>
      </c>
      <c r="E448" s="5" t="str">
        <f ca="1">IFERROR(__xludf.DUMMYFUNCTION("""COMPUTED_VALUE"""),"INSPECCION SEMANAL ENFARDADORA")</f>
        <v>INSPECCION SEMANAL ENFARDADORA</v>
      </c>
      <c r="F448" s="5" t="str">
        <f ca="1">IFERROR(__xludf.DUMMYFUNCTION("""COMPUTED_VALUE"""),"INSP. CUCHILLA CORTE")</f>
        <v>INSP. CUCHILLA CORTE</v>
      </c>
      <c r="G448" s="5"/>
      <c r="H448" s="5"/>
      <c r="I448" s="5"/>
      <c r="J448" s="5"/>
      <c r="K448" s="5"/>
      <c r="L448" s="18">
        <f ca="1">IFERROR(__xludf.DUMMYFUNCTION("""COMPUTED_VALUE"""),45324)</f>
        <v>45324</v>
      </c>
      <c r="M448" s="18">
        <f ca="1">IFERROR(__xludf.DUMMYFUNCTION("""COMPUTED_VALUE"""),45324)</f>
        <v>45324</v>
      </c>
      <c r="N448" s="5" t="str">
        <f ca="1">IFERROR(__xludf.DUMMYFUNCTION("""COMPUTED_VALUE"""),"Lopez Correa Jonathan")</f>
        <v>Lopez Correa Jonathan</v>
      </c>
      <c r="O448" s="2">
        <f ca="1">IFERROR(__xludf.DUMMYFUNCTION("""COMPUTED_VALUE"""),0.005882353)</f>
        <v>5.8823529999999999E-3</v>
      </c>
      <c r="P448" s="5"/>
      <c r="Q448" s="5" t="str">
        <f ca="1">IFERROR(__xludf.DUMMYFUNCTION("""COMPUTED_VALUE"""),"_OGywbpBnPE")</f>
        <v>_OGywbpBnPE</v>
      </c>
      <c r="R448" s="5">
        <f ca="1">IFERROR(__xludf.DUMMYFUNCTION("""COMPUTED_VALUE"""),410)</f>
        <v>410</v>
      </c>
      <c r="S448" s="62">
        <f ca="1">IFERROR(__xludf.DUMMYFUNCTION("""COMPUTED_VALUE"""),0.005882353)</f>
        <v>5.8823529999999999E-3</v>
      </c>
      <c r="T448" s="63" t="str">
        <f ca="1">IFERROR(__xludf.DUMMYFUNCTION("""COMPUTED_VALUE"""),"https://storage.googleapis.com/glide-prod.appspot.com/uploads-v2/ly7o78grxPaC6KdgvbpS/pub/UliJWgpEaBovaFmXi6OW.png")</f>
        <v>https://storage.googleapis.com/glide-prod.appspot.com/uploads-v2/ly7o78grxPaC6KdgvbpS/pub/UliJWgpEaBovaFmXi6OW.png</v>
      </c>
      <c r="U448" s="5" t="str">
        <f ca="1">IFERROR(__xludf.DUMMYFUNCTION("""COMPUTED_VALUE"""),"LINEA DE ENVASADO JUGOS PET HOT FILLENFARDADORA")</f>
        <v>LINEA DE ENVASADO JUGOS PET HOT FILLENFARDADORA</v>
      </c>
      <c r="V448" s="5"/>
      <c r="W448" s="5"/>
      <c r="X448" s="5" t="str">
        <f ca="1">IFERROR(__xludf.DUMMYFUNCTION("""COMPUTED_VALUE"""),"achavezi@postobon.com.co,aprmttoyu@postobon.com.co,aprmyu@postobon.com.co,wmora@postobon.com.co,efzapata@postobon.com.co")</f>
        <v>achavezi@postobon.com.co,aprmttoyu@postobon.com.co,aprmyu@postobon.com.co,wmora@postobon.com.co,efzapata@postobon.com.co</v>
      </c>
      <c r="Y448" s="5" t="str">
        <f ca="1">IFERROR(__xludf.DUMMYFUNCTION("""COMPUTED_VALUE"""),"achavezi@postobon.com.co")</f>
        <v>achavezi@postobon.com.co</v>
      </c>
      <c r="Z448" s="5" t="str">
        <f ca="1">IFERROR(__xludf.DUMMYFUNCTION("""COMPUTED_VALUE"""),"QHRO34ZbQBq2J7pPbj2hCw")</f>
        <v>QHRO34ZbQBq2J7pPbj2hCw</v>
      </c>
      <c r="AA448" s="5"/>
      <c r="AB448" s="5"/>
      <c r="AC448" s="5"/>
      <c r="AD448" s="5">
        <f ca="1">IFERROR(__xludf.DUMMYFUNCTION("""COMPUTED_VALUE"""),26)</f>
        <v>26</v>
      </c>
      <c r="AE448" s="5">
        <f ca="1">IFERROR(__xludf.DUMMYFUNCTION("""COMPUTED_VALUE"""),0)</f>
        <v>0</v>
      </c>
      <c r="AF448" s="5" t="b">
        <f ca="1">IFERROR(__xludf.DUMMYFUNCTION("""COMPUTED_VALUE"""),TRUE)</f>
        <v>1</v>
      </c>
      <c r="AG448" s="5" t="str">
        <f ca="1">IFERROR(__xludf.DUMMYFUNCTION("""COMPUTED_VALUE"""),"INSPECCIONES SIN REALIZAR")</f>
        <v>INSPECCIONES SIN REALIZAR</v>
      </c>
      <c r="AH448" s="5"/>
    </row>
    <row r="449" spans="1:34">
      <c r="A449" s="5" t="str">
        <f ca="1">IFERROR(__xludf.DUMMYFUNCTION("""COMPUTED_VALUE"""),"LINEA DE ENVASADO JUGOS PET HOT FILL")</f>
        <v>LINEA DE ENVASADO JUGOS PET HOT FILL</v>
      </c>
      <c r="B449" s="5">
        <f ca="1">IFERROR(__xludf.DUMMYFUNCTION("""COMPUTED_VALUE"""),710319)</f>
        <v>710319</v>
      </c>
      <c r="C449" s="5" t="str">
        <f ca="1">IFERROR(__xludf.DUMMYFUNCTION("""COMPUTED_VALUE"""),"ENFARDADORA")</f>
        <v>ENFARDADORA</v>
      </c>
      <c r="D449" s="5">
        <f ca="1">IFERROR(__xludf.DUMMYFUNCTION("""COMPUTED_VALUE"""),13247750)</f>
        <v>13247750</v>
      </c>
      <c r="E449" s="5" t="str">
        <f ca="1">IFERROR(__xludf.DUMMYFUNCTION("""COMPUTED_VALUE"""),"INSPECCION SEMANAL ENFARDADORA")</f>
        <v>INSPECCION SEMANAL ENFARDADORA</v>
      </c>
      <c r="F449" s="5" t="str">
        <f ca="1">IFERROR(__xludf.DUMMYFUNCTION("""COMPUTED_VALUE"""),"INSP. RODILLOS TENSORES")</f>
        <v>INSP. RODILLOS TENSORES</v>
      </c>
      <c r="G449" s="5"/>
      <c r="H449" s="5"/>
      <c r="I449" s="5"/>
      <c r="J449" s="5"/>
      <c r="K449" s="5"/>
      <c r="L449" s="18">
        <f ca="1">IFERROR(__xludf.DUMMYFUNCTION("""COMPUTED_VALUE"""),45324)</f>
        <v>45324</v>
      </c>
      <c r="M449" s="18">
        <f ca="1">IFERROR(__xludf.DUMMYFUNCTION("""COMPUTED_VALUE"""),45324)</f>
        <v>45324</v>
      </c>
      <c r="N449" s="5" t="str">
        <f ca="1">IFERROR(__xludf.DUMMYFUNCTION("""COMPUTED_VALUE"""),"Lopez Correa Jonathan")</f>
        <v>Lopez Correa Jonathan</v>
      </c>
      <c r="O449" s="2">
        <f ca="1">IFERROR(__xludf.DUMMYFUNCTION("""COMPUTED_VALUE"""),0.005882353)</f>
        <v>5.8823529999999999E-3</v>
      </c>
      <c r="P449" s="5"/>
      <c r="Q449" s="5" t="str">
        <f ca="1">IFERROR(__xludf.DUMMYFUNCTION("""COMPUTED_VALUE"""),"NtP7kaF_BNg")</f>
        <v>NtP7kaF_BNg</v>
      </c>
      <c r="R449" s="5">
        <f ca="1">IFERROR(__xludf.DUMMYFUNCTION("""COMPUTED_VALUE"""),410)</f>
        <v>410</v>
      </c>
      <c r="S449" s="62">
        <f ca="1">IFERROR(__xludf.DUMMYFUNCTION("""COMPUTED_VALUE"""),0.005882353)</f>
        <v>5.8823529999999999E-3</v>
      </c>
      <c r="T449" s="63" t="str">
        <f ca="1">IFERROR(__xludf.DUMMYFUNCTION("""COMPUTED_VALUE"""),"https://storage.googleapis.com/glide-prod.appspot.com/uploads-v2/ly7o78grxPaC6KdgvbpS/pub/UliJWgpEaBovaFmXi6OW.png")</f>
        <v>https://storage.googleapis.com/glide-prod.appspot.com/uploads-v2/ly7o78grxPaC6KdgvbpS/pub/UliJWgpEaBovaFmXi6OW.png</v>
      </c>
      <c r="U449" s="5" t="str">
        <f ca="1">IFERROR(__xludf.DUMMYFUNCTION("""COMPUTED_VALUE"""),"LINEA DE ENVASADO JUGOS PET HOT FILLENFARDADORA")</f>
        <v>LINEA DE ENVASADO JUGOS PET HOT FILLENFARDADORA</v>
      </c>
      <c r="V449" s="5"/>
      <c r="W449" s="5"/>
      <c r="X449" s="5" t="str">
        <f ca="1">IFERROR(__xludf.DUMMYFUNCTION("""COMPUTED_VALUE"""),"achavezi@postobon.com.co,aprmttoyu@postobon.com.co,aprmyu@postobon.com.co,wmora@postobon.com.co,efzapata@postobon.com.co")</f>
        <v>achavezi@postobon.com.co,aprmttoyu@postobon.com.co,aprmyu@postobon.com.co,wmora@postobon.com.co,efzapata@postobon.com.co</v>
      </c>
      <c r="Y449" s="5" t="str">
        <f ca="1">IFERROR(__xludf.DUMMYFUNCTION("""COMPUTED_VALUE"""),"achavezi@postobon.com.co")</f>
        <v>achavezi@postobon.com.co</v>
      </c>
      <c r="Z449" s="5" t="str">
        <f ca="1">IFERROR(__xludf.DUMMYFUNCTION("""COMPUTED_VALUE"""),"hEyyHZdJQ-6sZL.Pdx9U3g")</f>
        <v>hEyyHZdJQ-6sZL.Pdx9U3g</v>
      </c>
      <c r="AA449" s="5"/>
      <c r="AB449" s="5"/>
      <c r="AC449" s="5"/>
      <c r="AD449" s="5">
        <f ca="1">IFERROR(__xludf.DUMMYFUNCTION("""COMPUTED_VALUE"""),26)</f>
        <v>26</v>
      </c>
      <c r="AE449" s="5">
        <f ca="1">IFERROR(__xludf.DUMMYFUNCTION("""COMPUTED_VALUE"""),0)</f>
        <v>0</v>
      </c>
      <c r="AF449" s="5" t="b">
        <f ca="1">IFERROR(__xludf.DUMMYFUNCTION("""COMPUTED_VALUE"""),TRUE)</f>
        <v>1</v>
      </c>
      <c r="AG449" s="5" t="str">
        <f ca="1">IFERROR(__xludf.DUMMYFUNCTION("""COMPUTED_VALUE"""),"INSPECCIONES SIN REALIZAR")</f>
        <v>INSPECCIONES SIN REALIZAR</v>
      </c>
      <c r="AH449" s="5"/>
    </row>
    <row r="450" spans="1:34">
      <c r="A450" s="5" t="str">
        <f ca="1">IFERROR(__xludf.DUMMYFUNCTION("""COMPUTED_VALUE"""),"LINEA DE ENVASADO JUGOS PET HOT FILL")</f>
        <v>LINEA DE ENVASADO JUGOS PET HOT FILL</v>
      </c>
      <c r="B450" s="5">
        <f ca="1">IFERROR(__xludf.DUMMYFUNCTION("""COMPUTED_VALUE"""),710319)</f>
        <v>710319</v>
      </c>
      <c r="C450" s="5" t="str">
        <f ca="1">IFERROR(__xludf.DUMMYFUNCTION("""COMPUTED_VALUE"""),"ENFARDADORA")</f>
        <v>ENFARDADORA</v>
      </c>
      <c r="D450" s="5">
        <f ca="1">IFERROR(__xludf.DUMMYFUNCTION("""COMPUTED_VALUE"""),13247750)</f>
        <v>13247750</v>
      </c>
      <c r="E450" s="5" t="str">
        <f ca="1">IFERROR(__xludf.DUMMYFUNCTION("""COMPUTED_VALUE"""),"INSPECCION SEMANAL ENFARDADORA")</f>
        <v>INSPECCION SEMANAL ENFARDADORA</v>
      </c>
      <c r="F450" s="5" t="str">
        <f ca="1">IFERROR(__xludf.DUMMYFUNCTION("""COMPUTED_VALUE"""),"INSP. MODULO PLEGADO")</f>
        <v>INSP. MODULO PLEGADO</v>
      </c>
      <c r="G450" s="5"/>
      <c r="H450" s="5"/>
      <c r="I450" s="5"/>
      <c r="J450" s="5"/>
      <c r="K450" s="5"/>
      <c r="L450" s="18">
        <f ca="1">IFERROR(__xludf.DUMMYFUNCTION("""COMPUTED_VALUE"""),45324)</f>
        <v>45324</v>
      </c>
      <c r="M450" s="18">
        <f ca="1">IFERROR(__xludf.DUMMYFUNCTION("""COMPUTED_VALUE"""),45324)</f>
        <v>45324</v>
      </c>
      <c r="N450" s="5" t="str">
        <f ca="1">IFERROR(__xludf.DUMMYFUNCTION("""COMPUTED_VALUE"""),"Lopez Correa Jonathan")</f>
        <v>Lopez Correa Jonathan</v>
      </c>
      <c r="O450" s="2">
        <f ca="1">IFERROR(__xludf.DUMMYFUNCTION("""COMPUTED_VALUE"""),0.005882353)</f>
        <v>5.8823529999999999E-3</v>
      </c>
      <c r="P450" s="5"/>
      <c r="Q450" s="5" t="str">
        <f ca="1">IFERROR(__xludf.DUMMYFUNCTION("""COMPUTED_VALUE"""),"S7_gi31nCgk")</f>
        <v>S7_gi31nCgk</v>
      </c>
      <c r="R450" s="5">
        <f ca="1">IFERROR(__xludf.DUMMYFUNCTION("""COMPUTED_VALUE"""),410)</f>
        <v>410</v>
      </c>
      <c r="S450" s="62">
        <f ca="1">IFERROR(__xludf.DUMMYFUNCTION("""COMPUTED_VALUE"""),0.005882353)</f>
        <v>5.8823529999999999E-3</v>
      </c>
      <c r="T450" s="63" t="str">
        <f ca="1">IFERROR(__xludf.DUMMYFUNCTION("""COMPUTED_VALUE"""),"https://storage.googleapis.com/glide-prod.appspot.com/uploads-v2/ly7o78grxPaC6KdgvbpS/pub/UliJWgpEaBovaFmXi6OW.png")</f>
        <v>https://storage.googleapis.com/glide-prod.appspot.com/uploads-v2/ly7o78grxPaC6KdgvbpS/pub/UliJWgpEaBovaFmXi6OW.png</v>
      </c>
      <c r="U450" s="5" t="str">
        <f ca="1">IFERROR(__xludf.DUMMYFUNCTION("""COMPUTED_VALUE"""),"LINEA DE ENVASADO JUGOS PET HOT FILLENFARDADORA")</f>
        <v>LINEA DE ENVASADO JUGOS PET HOT FILLENFARDADORA</v>
      </c>
      <c r="V450" s="5"/>
      <c r="W450" s="5"/>
      <c r="X450" s="5" t="str">
        <f ca="1">IFERROR(__xludf.DUMMYFUNCTION("""COMPUTED_VALUE"""),"achavezi@postobon.com.co,aprmttoyu@postobon.com.co,aprmyu@postobon.com.co,wmora@postobon.com.co,efzapata@postobon.com.co")</f>
        <v>achavezi@postobon.com.co,aprmttoyu@postobon.com.co,aprmyu@postobon.com.co,wmora@postobon.com.co,efzapata@postobon.com.co</v>
      </c>
      <c r="Y450" s="5" t="str">
        <f ca="1">IFERROR(__xludf.DUMMYFUNCTION("""COMPUTED_VALUE"""),"achavezi@postobon.com.co")</f>
        <v>achavezi@postobon.com.co</v>
      </c>
      <c r="Z450" s="5" t="str">
        <f ca="1">IFERROR(__xludf.DUMMYFUNCTION("""COMPUTED_VALUE"""),"stCjWUTpSIuydiMfbSW.ww")</f>
        <v>stCjWUTpSIuydiMfbSW.ww</v>
      </c>
      <c r="AA450" s="5"/>
      <c r="AB450" s="5"/>
      <c r="AC450" s="5"/>
      <c r="AD450" s="5">
        <f ca="1">IFERROR(__xludf.DUMMYFUNCTION("""COMPUTED_VALUE"""),26)</f>
        <v>26</v>
      </c>
      <c r="AE450" s="5">
        <f ca="1">IFERROR(__xludf.DUMMYFUNCTION("""COMPUTED_VALUE"""),0)</f>
        <v>0</v>
      </c>
      <c r="AF450" s="5" t="b">
        <f ca="1">IFERROR(__xludf.DUMMYFUNCTION("""COMPUTED_VALUE"""),TRUE)</f>
        <v>1</v>
      </c>
      <c r="AG450" s="5" t="str">
        <f ca="1">IFERROR(__xludf.DUMMYFUNCTION("""COMPUTED_VALUE"""),"INSPECCIONES SIN REALIZAR")</f>
        <v>INSPECCIONES SIN REALIZAR</v>
      </c>
      <c r="AH450" s="5"/>
    </row>
    <row r="451" spans="1:34">
      <c r="A451" s="5" t="str">
        <f ca="1">IFERROR(__xludf.DUMMYFUNCTION("""COMPUTED_VALUE"""),"LINEA DE ENVASADO JUGOS PET HOT FILL")</f>
        <v>LINEA DE ENVASADO JUGOS PET HOT FILL</v>
      </c>
      <c r="B451" s="5">
        <f ca="1">IFERROR(__xludf.DUMMYFUNCTION("""COMPUTED_VALUE"""),710319)</f>
        <v>710319</v>
      </c>
      <c r="C451" s="5" t="str">
        <f ca="1">IFERROR(__xludf.DUMMYFUNCTION("""COMPUTED_VALUE"""),"ENFARDADORA")</f>
        <v>ENFARDADORA</v>
      </c>
      <c r="D451" s="5">
        <f ca="1">IFERROR(__xludf.DUMMYFUNCTION("""COMPUTED_VALUE"""),13247750)</f>
        <v>13247750</v>
      </c>
      <c r="E451" s="5" t="str">
        <f ca="1">IFERROR(__xludf.DUMMYFUNCTION("""COMPUTED_VALUE"""),"INSPECCION SEMANAL ENFARDADORA")</f>
        <v>INSPECCION SEMANAL ENFARDADORA</v>
      </c>
      <c r="F451" s="5" t="str">
        <f ca="1">IFERROR(__xludf.DUMMYFUNCTION("""COMPUTED_VALUE"""),"INSP. PORTA RODILLOS")</f>
        <v>INSP. PORTA RODILLOS</v>
      </c>
      <c r="G451" s="5"/>
      <c r="H451" s="5"/>
      <c r="I451" s="5"/>
      <c r="J451" s="5"/>
      <c r="K451" s="5"/>
      <c r="L451" s="18">
        <f ca="1">IFERROR(__xludf.DUMMYFUNCTION("""COMPUTED_VALUE"""),45324)</f>
        <v>45324</v>
      </c>
      <c r="M451" s="18">
        <f ca="1">IFERROR(__xludf.DUMMYFUNCTION("""COMPUTED_VALUE"""),45324)</f>
        <v>45324</v>
      </c>
      <c r="N451" s="5" t="str">
        <f ca="1">IFERROR(__xludf.DUMMYFUNCTION("""COMPUTED_VALUE"""),"Lopez Correa Jonathan")</f>
        <v>Lopez Correa Jonathan</v>
      </c>
      <c r="O451" s="2">
        <f ca="1">IFERROR(__xludf.DUMMYFUNCTION("""COMPUTED_VALUE"""),0.005882353)</f>
        <v>5.8823529999999999E-3</v>
      </c>
      <c r="P451" s="5"/>
      <c r="Q451" s="5" t="str">
        <f ca="1">IFERROR(__xludf.DUMMYFUNCTION("""COMPUTED_VALUE"""),"r2RYcXC8yV4")</f>
        <v>r2RYcXC8yV4</v>
      </c>
      <c r="R451" s="5">
        <f ca="1">IFERROR(__xludf.DUMMYFUNCTION("""COMPUTED_VALUE"""),410)</f>
        <v>410</v>
      </c>
      <c r="S451" s="62">
        <f ca="1">IFERROR(__xludf.DUMMYFUNCTION("""COMPUTED_VALUE"""),0.005882353)</f>
        <v>5.8823529999999999E-3</v>
      </c>
      <c r="T451" s="63" t="str">
        <f ca="1">IFERROR(__xludf.DUMMYFUNCTION("""COMPUTED_VALUE"""),"https://storage.googleapis.com/glide-prod.appspot.com/uploads-v2/ly7o78grxPaC6KdgvbpS/pub/UliJWgpEaBovaFmXi6OW.png")</f>
        <v>https://storage.googleapis.com/glide-prod.appspot.com/uploads-v2/ly7o78grxPaC6KdgvbpS/pub/UliJWgpEaBovaFmXi6OW.png</v>
      </c>
      <c r="U451" s="5" t="str">
        <f ca="1">IFERROR(__xludf.DUMMYFUNCTION("""COMPUTED_VALUE"""),"LINEA DE ENVASADO JUGOS PET HOT FILLENFARDADORA")</f>
        <v>LINEA DE ENVASADO JUGOS PET HOT FILLENFARDADORA</v>
      </c>
      <c r="V451" s="5"/>
      <c r="W451" s="5"/>
      <c r="X451" s="5" t="str">
        <f ca="1">IFERROR(__xludf.DUMMYFUNCTION("""COMPUTED_VALUE"""),"achavezi@postobon.com.co,aprmttoyu@postobon.com.co,aprmyu@postobon.com.co,wmora@postobon.com.co,efzapata@postobon.com.co")</f>
        <v>achavezi@postobon.com.co,aprmttoyu@postobon.com.co,aprmyu@postobon.com.co,wmora@postobon.com.co,efzapata@postobon.com.co</v>
      </c>
      <c r="Y451" s="5" t="str">
        <f ca="1">IFERROR(__xludf.DUMMYFUNCTION("""COMPUTED_VALUE"""),"achavezi@postobon.com.co")</f>
        <v>achavezi@postobon.com.co</v>
      </c>
      <c r="Z451" s="5" t="str">
        <f ca="1">IFERROR(__xludf.DUMMYFUNCTION("""COMPUTED_VALUE"""),"FHBeDXQtR3m-X1oFIvAXnw")</f>
        <v>FHBeDXQtR3m-X1oFIvAXnw</v>
      </c>
      <c r="AA451" s="5"/>
      <c r="AB451" s="5"/>
      <c r="AC451" s="5"/>
      <c r="AD451" s="5">
        <f ca="1">IFERROR(__xludf.DUMMYFUNCTION("""COMPUTED_VALUE"""),26)</f>
        <v>26</v>
      </c>
      <c r="AE451" s="5">
        <f ca="1">IFERROR(__xludf.DUMMYFUNCTION("""COMPUTED_VALUE"""),0)</f>
        <v>0</v>
      </c>
      <c r="AF451" s="5" t="b">
        <f ca="1">IFERROR(__xludf.DUMMYFUNCTION("""COMPUTED_VALUE"""),TRUE)</f>
        <v>1</v>
      </c>
      <c r="AG451" s="5" t="str">
        <f ca="1">IFERROR(__xludf.DUMMYFUNCTION("""COMPUTED_VALUE"""),"INSPECCIONES SIN REALIZAR")</f>
        <v>INSPECCIONES SIN REALIZAR</v>
      </c>
      <c r="AH451" s="5"/>
    </row>
    <row r="452" spans="1:34">
      <c r="A452" s="5" t="str">
        <f ca="1">IFERROR(__xludf.DUMMYFUNCTION("""COMPUTED_VALUE"""),"LINEA DE ENVASADO JUGOS PET HOT FILL")</f>
        <v>LINEA DE ENVASADO JUGOS PET HOT FILL</v>
      </c>
      <c r="B452" s="5">
        <f ca="1">IFERROR(__xludf.DUMMYFUNCTION("""COMPUTED_VALUE"""),710319)</f>
        <v>710319</v>
      </c>
      <c r="C452" s="5" t="str">
        <f ca="1">IFERROR(__xludf.DUMMYFUNCTION("""COMPUTED_VALUE"""),"ENFARDADORA")</f>
        <v>ENFARDADORA</v>
      </c>
      <c r="D452" s="5">
        <f ca="1">IFERROR(__xludf.DUMMYFUNCTION("""COMPUTED_VALUE"""),13247750)</f>
        <v>13247750</v>
      </c>
      <c r="E452" s="5" t="str">
        <f ca="1">IFERROR(__xludf.DUMMYFUNCTION("""COMPUTED_VALUE"""),"INSPECCION SEMANAL ENFARDADORA")</f>
        <v>INSPECCION SEMANAL ENFARDADORA</v>
      </c>
      <c r="F452" s="5" t="str">
        <f ca="1">IFERROR(__xludf.DUMMYFUNCTION("""COMPUTED_VALUE"""),"INSP. SISTEMA NEUMATICO")</f>
        <v>INSP. SISTEMA NEUMATICO</v>
      </c>
      <c r="G452" s="5"/>
      <c r="H452" s="5"/>
      <c r="I452" s="5"/>
      <c r="J452" s="5"/>
      <c r="K452" s="5"/>
      <c r="L452" s="18">
        <f ca="1">IFERROR(__xludf.DUMMYFUNCTION("""COMPUTED_VALUE"""),45324)</f>
        <v>45324</v>
      </c>
      <c r="M452" s="18">
        <f ca="1">IFERROR(__xludf.DUMMYFUNCTION("""COMPUTED_VALUE"""),45324)</f>
        <v>45324</v>
      </c>
      <c r="N452" s="5" t="str">
        <f ca="1">IFERROR(__xludf.DUMMYFUNCTION("""COMPUTED_VALUE"""),"Lopez Correa Jonathan")</f>
        <v>Lopez Correa Jonathan</v>
      </c>
      <c r="O452" s="2">
        <f ca="1">IFERROR(__xludf.DUMMYFUNCTION("""COMPUTED_VALUE"""),0.005882353)</f>
        <v>5.8823529999999999E-3</v>
      </c>
      <c r="P452" s="5"/>
      <c r="Q452" s="5" t="str">
        <f ca="1">IFERROR(__xludf.DUMMYFUNCTION("""COMPUTED_VALUE"""),"P2oWt3D33zg")</f>
        <v>P2oWt3D33zg</v>
      </c>
      <c r="R452" s="5">
        <f ca="1">IFERROR(__xludf.DUMMYFUNCTION("""COMPUTED_VALUE"""),410)</f>
        <v>410</v>
      </c>
      <c r="S452" s="62">
        <f ca="1">IFERROR(__xludf.DUMMYFUNCTION("""COMPUTED_VALUE"""),0.005882353)</f>
        <v>5.8823529999999999E-3</v>
      </c>
      <c r="T452" s="63" t="str">
        <f ca="1">IFERROR(__xludf.DUMMYFUNCTION("""COMPUTED_VALUE"""),"https://storage.googleapis.com/glide-prod.appspot.com/uploads-v2/ly7o78grxPaC6KdgvbpS/pub/UliJWgpEaBovaFmXi6OW.png")</f>
        <v>https://storage.googleapis.com/glide-prod.appspot.com/uploads-v2/ly7o78grxPaC6KdgvbpS/pub/UliJWgpEaBovaFmXi6OW.png</v>
      </c>
      <c r="U452" s="5" t="str">
        <f ca="1">IFERROR(__xludf.DUMMYFUNCTION("""COMPUTED_VALUE"""),"LINEA DE ENVASADO JUGOS PET HOT FILLENFARDADORA")</f>
        <v>LINEA DE ENVASADO JUGOS PET HOT FILLENFARDADORA</v>
      </c>
      <c r="V452" s="5"/>
      <c r="W452" s="5"/>
      <c r="X452" s="5" t="str">
        <f ca="1">IFERROR(__xludf.DUMMYFUNCTION("""COMPUTED_VALUE"""),"achavezi@postobon.com.co,aprmttoyu@postobon.com.co,aprmyu@postobon.com.co,wmora@postobon.com.co,efzapata@postobon.com.co")</f>
        <v>achavezi@postobon.com.co,aprmttoyu@postobon.com.co,aprmyu@postobon.com.co,wmora@postobon.com.co,efzapata@postobon.com.co</v>
      </c>
      <c r="Y452" s="5" t="str">
        <f ca="1">IFERROR(__xludf.DUMMYFUNCTION("""COMPUTED_VALUE"""),"achavezi@postobon.com.co")</f>
        <v>achavezi@postobon.com.co</v>
      </c>
      <c r="Z452" s="5" t="str">
        <f ca="1">IFERROR(__xludf.DUMMYFUNCTION("""COMPUTED_VALUE"""),"M7oB2lixQ9GoXZ2QSgFCLQ")</f>
        <v>M7oB2lixQ9GoXZ2QSgFCLQ</v>
      </c>
      <c r="AA452" s="5"/>
      <c r="AB452" s="5"/>
      <c r="AC452" s="5"/>
      <c r="AD452" s="5">
        <f ca="1">IFERROR(__xludf.DUMMYFUNCTION("""COMPUTED_VALUE"""),26)</f>
        <v>26</v>
      </c>
      <c r="AE452" s="5">
        <f ca="1">IFERROR(__xludf.DUMMYFUNCTION("""COMPUTED_VALUE"""),0)</f>
        <v>0</v>
      </c>
      <c r="AF452" s="5" t="b">
        <f ca="1">IFERROR(__xludf.DUMMYFUNCTION("""COMPUTED_VALUE"""),TRUE)</f>
        <v>1</v>
      </c>
      <c r="AG452" s="5" t="str">
        <f ca="1">IFERROR(__xludf.DUMMYFUNCTION("""COMPUTED_VALUE"""),"INSPECCIONES SIN REALIZAR")</f>
        <v>INSPECCIONES SIN REALIZAR</v>
      </c>
      <c r="AH452" s="5"/>
    </row>
    <row r="453" spans="1:34">
      <c r="A453" s="5" t="str">
        <f ca="1">IFERROR(__xludf.DUMMYFUNCTION("""COMPUTED_VALUE"""),"LINEA DE ENVASADO JUGOS PET HOT FILL")</f>
        <v>LINEA DE ENVASADO JUGOS PET HOT FILL</v>
      </c>
      <c r="B453" s="5">
        <f ca="1">IFERROR(__xludf.DUMMYFUNCTION("""COMPUTED_VALUE"""),710319)</f>
        <v>710319</v>
      </c>
      <c r="C453" s="5" t="str">
        <f ca="1">IFERROR(__xludf.DUMMYFUNCTION("""COMPUTED_VALUE"""),"ENFARDADORA")</f>
        <v>ENFARDADORA</v>
      </c>
      <c r="D453" s="5">
        <f ca="1">IFERROR(__xludf.DUMMYFUNCTION("""COMPUTED_VALUE"""),13247750)</f>
        <v>13247750</v>
      </c>
      <c r="E453" s="5" t="str">
        <f ca="1">IFERROR(__xludf.DUMMYFUNCTION("""COMPUTED_VALUE"""),"INSPECCION SEMANAL ENFARDADORA")</f>
        <v>INSPECCION SEMANAL ENFARDADORA</v>
      </c>
      <c r="F453" s="5" t="str">
        <f ca="1">IFERROR(__xludf.DUMMYFUNCTION("""COMPUTED_VALUE"""),"INSP. DE FUGAS")</f>
        <v>INSP. DE FUGAS</v>
      </c>
      <c r="G453" s="5"/>
      <c r="H453" s="5"/>
      <c r="I453" s="5"/>
      <c r="J453" s="5"/>
      <c r="K453" s="5"/>
      <c r="L453" s="18">
        <f ca="1">IFERROR(__xludf.DUMMYFUNCTION("""COMPUTED_VALUE"""),45324)</f>
        <v>45324</v>
      </c>
      <c r="M453" s="18">
        <f ca="1">IFERROR(__xludf.DUMMYFUNCTION("""COMPUTED_VALUE"""),45324)</f>
        <v>45324</v>
      </c>
      <c r="N453" s="5" t="str">
        <f ca="1">IFERROR(__xludf.DUMMYFUNCTION("""COMPUTED_VALUE"""),"Lopez Correa Jonathan")</f>
        <v>Lopez Correa Jonathan</v>
      </c>
      <c r="O453" s="2">
        <f ca="1">IFERROR(__xludf.DUMMYFUNCTION("""COMPUTED_VALUE"""),0.005882353)</f>
        <v>5.8823529999999999E-3</v>
      </c>
      <c r="P453" s="5"/>
      <c r="Q453" s="5" t="str">
        <f ca="1">IFERROR(__xludf.DUMMYFUNCTION("""COMPUTED_VALUE"""),"ggIwKkhoeug")</f>
        <v>ggIwKkhoeug</v>
      </c>
      <c r="R453" s="5">
        <f ca="1">IFERROR(__xludf.DUMMYFUNCTION("""COMPUTED_VALUE"""),410)</f>
        <v>410</v>
      </c>
      <c r="S453" s="62">
        <f ca="1">IFERROR(__xludf.DUMMYFUNCTION("""COMPUTED_VALUE"""),0.005882353)</f>
        <v>5.8823529999999999E-3</v>
      </c>
      <c r="T453" s="63" t="str">
        <f ca="1">IFERROR(__xludf.DUMMYFUNCTION("""COMPUTED_VALUE"""),"https://storage.googleapis.com/glide-prod.appspot.com/uploads-v2/ly7o78grxPaC6KdgvbpS/pub/UliJWgpEaBovaFmXi6OW.png")</f>
        <v>https://storage.googleapis.com/glide-prod.appspot.com/uploads-v2/ly7o78grxPaC6KdgvbpS/pub/UliJWgpEaBovaFmXi6OW.png</v>
      </c>
      <c r="U453" s="5" t="str">
        <f ca="1">IFERROR(__xludf.DUMMYFUNCTION("""COMPUTED_VALUE"""),"LINEA DE ENVASADO JUGOS PET HOT FILLENFARDADORA")</f>
        <v>LINEA DE ENVASADO JUGOS PET HOT FILLENFARDADORA</v>
      </c>
      <c r="V453" s="5"/>
      <c r="W453" s="5"/>
      <c r="X453" s="5" t="str">
        <f ca="1">IFERROR(__xludf.DUMMYFUNCTION("""COMPUTED_VALUE"""),"achavezi@postobon.com.co,aprmttoyu@postobon.com.co,aprmyu@postobon.com.co,wmora@postobon.com.co,efzapata@postobon.com.co")</f>
        <v>achavezi@postobon.com.co,aprmttoyu@postobon.com.co,aprmyu@postobon.com.co,wmora@postobon.com.co,efzapata@postobon.com.co</v>
      </c>
      <c r="Y453" s="5" t="str">
        <f ca="1">IFERROR(__xludf.DUMMYFUNCTION("""COMPUTED_VALUE"""),"achavezi@postobon.com.co")</f>
        <v>achavezi@postobon.com.co</v>
      </c>
      <c r="Z453" s="5" t="str">
        <f ca="1">IFERROR(__xludf.DUMMYFUNCTION("""COMPUTED_VALUE"""),"YyN9rkFTSmqwcTAGNxXWmA")</f>
        <v>YyN9rkFTSmqwcTAGNxXWmA</v>
      </c>
      <c r="AA453" s="5"/>
      <c r="AB453" s="5"/>
      <c r="AC453" s="5"/>
      <c r="AD453" s="5">
        <f ca="1">IFERROR(__xludf.DUMMYFUNCTION("""COMPUTED_VALUE"""),26)</f>
        <v>26</v>
      </c>
      <c r="AE453" s="5">
        <f ca="1">IFERROR(__xludf.DUMMYFUNCTION("""COMPUTED_VALUE"""),0)</f>
        <v>0</v>
      </c>
      <c r="AF453" s="5" t="b">
        <f ca="1">IFERROR(__xludf.DUMMYFUNCTION("""COMPUTED_VALUE"""),TRUE)</f>
        <v>1</v>
      </c>
      <c r="AG453" s="5" t="str">
        <f ca="1">IFERROR(__xludf.DUMMYFUNCTION("""COMPUTED_VALUE"""),"INSPECCIONES SIN REALIZAR")</f>
        <v>INSPECCIONES SIN REALIZAR</v>
      </c>
      <c r="AH453" s="5"/>
    </row>
    <row r="454" spans="1:34">
      <c r="A454" s="5" t="str">
        <f ca="1">IFERROR(__xludf.DUMMYFUNCTION("""COMPUTED_VALUE"""),"LINEA DE ENVASADO JUGOS PET HOT FILL")</f>
        <v>LINEA DE ENVASADO JUGOS PET HOT FILL</v>
      </c>
      <c r="B454" s="5">
        <f ca="1">IFERROR(__xludf.DUMMYFUNCTION("""COMPUTED_VALUE"""),710319)</f>
        <v>710319</v>
      </c>
      <c r="C454" s="5" t="str">
        <f ca="1">IFERROR(__xludf.DUMMYFUNCTION("""COMPUTED_VALUE"""),"ENFARDADORA")</f>
        <v>ENFARDADORA</v>
      </c>
      <c r="D454" s="5">
        <f ca="1">IFERROR(__xludf.DUMMYFUNCTION("""COMPUTED_VALUE"""),13247750)</f>
        <v>13247750</v>
      </c>
      <c r="E454" s="5" t="str">
        <f ca="1">IFERROR(__xludf.DUMMYFUNCTION("""COMPUTED_VALUE"""),"INSPECCION SEMANAL ENFARDADORA")</f>
        <v>INSPECCION SEMANAL ENFARDADORA</v>
      </c>
      <c r="F454" s="5" t="str">
        <f ca="1">IFERROR(__xludf.DUMMYFUNCTION("""COMPUTED_VALUE"""),"GUARDAS DE SEGURIDAD")</f>
        <v>GUARDAS DE SEGURIDAD</v>
      </c>
      <c r="G454" s="5"/>
      <c r="H454" s="5"/>
      <c r="I454" s="5"/>
      <c r="J454" s="5"/>
      <c r="K454" s="5"/>
      <c r="L454" s="18">
        <f ca="1">IFERROR(__xludf.DUMMYFUNCTION("""COMPUTED_VALUE"""),45324)</f>
        <v>45324</v>
      </c>
      <c r="M454" s="18">
        <f ca="1">IFERROR(__xludf.DUMMYFUNCTION("""COMPUTED_VALUE"""),45324)</f>
        <v>45324</v>
      </c>
      <c r="N454" s="5" t="str">
        <f ca="1">IFERROR(__xludf.DUMMYFUNCTION("""COMPUTED_VALUE"""),"Lopez Correa Jonathan")</f>
        <v>Lopez Correa Jonathan</v>
      </c>
      <c r="O454" s="2">
        <f ca="1">IFERROR(__xludf.DUMMYFUNCTION("""COMPUTED_VALUE"""),0.005882353)</f>
        <v>5.8823529999999999E-3</v>
      </c>
      <c r="P454" s="5"/>
      <c r="Q454" s="5" t="str">
        <f ca="1">IFERROR(__xludf.DUMMYFUNCTION("""COMPUTED_VALUE"""),"r3HzGGVNGOk")</f>
        <v>r3HzGGVNGOk</v>
      </c>
      <c r="R454" s="5">
        <f ca="1">IFERROR(__xludf.DUMMYFUNCTION("""COMPUTED_VALUE"""),410)</f>
        <v>410</v>
      </c>
      <c r="S454" s="62">
        <f ca="1">IFERROR(__xludf.DUMMYFUNCTION("""COMPUTED_VALUE"""),0.005882353)</f>
        <v>5.8823529999999999E-3</v>
      </c>
      <c r="T454" s="63" t="str">
        <f ca="1">IFERROR(__xludf.DUMMYFUNCTION("""COMPUTED_VALUE"""),"https://storage.googleapis.com/glide-prod.appspot.com/uploads-v2/ly7o78grxPaC6KdgvbpS/pub/UliJWgpEaBovaFmXi6OW.png")</f>
        <v>https://storage.googleapis.com/glide-prod.appspot.com/uploads-v2/ly7o78grxPaC6KdgvbpS/pub/UliJWgpEaBovaFmXi6OW.png</v>
      </c>
      <c r="U454" s="5" t="str">
        <f ca="1">IFERROR(__xludf.DUMMYFUNCTION("""COMPUTED_VALUE"""),"LINEA DE ENVASADO JUGOS PET HOT FILLENFARDADORA")</f>
        <v>LINEA DE ENVASADO JUGOS PET HOT FILLENFARDADORA</v>
      </c>
      <c r="V454" s="5"/>
      <c r="W454" s="5"/>
      <c r="X454" s="5" t="str">
        <f ca="1">IFERROR(__xludf.DUMMYFUNCTION("""COMPUTED_VALUE"""),"achavezi@postobon.com.co,aprmttoyu@postobon.com.co,aprmyu@postobon.com.co,wmora@postobon.com.co,efzapata@postobon.com.co")</f>
        <v>achavezi@postobon.com.co,aprmttoyu@postobon.com.co,aprmyu@postobon.com.co,wmora@postobon.com.co,efzapata@postobon.com.co</v>
      </c>
      <c r="Y454" s="5" t="str">
        <f ca="1">IFERROR(__xludf.DUMMYFUNCTION("""COMPUTED_VALUE"""),"achavezi@postobon.com.co")</f>
        <v>achavezi@postobon.com.co</v>
      </c>
      <c r="Z454" s="5" t="str">
        <f ca="1">IFERROR(__xludf.DUMMYFUNCTION("""COMPUTED_VALUE"""),"DqPXTW1eR-u6Gn-SuPXMpA")</f>
        <v>DqPXTW1eR-u6Gn-SuPXMpA</v>
      </c>
      <c r="AA454" s="5"/>
      <c r="AB454" s="5"/>
      <c r="AC454" s="5"/>
      <c r="AD454" s="5">
        <f ca="1">IFERROR(__xludf.DUMMYFUNCTION("""COMPUTED_VALUE"""),26)</f>
        <v>26</v>
      </c>
      <c r="AE454" s="5">
        <f ca="1">IFERROR(__xludf.DUMMYFUNCTION("""COMPUTED_VALUE"""),0)</f>
        <v>0</v>
      </c>
      <c r="AF454" s="5" t="b">
        <f ca="1">IFERROR(__xludf.DUMMYFUNCTION("""COMPUTED_VALUE"""),TRUE)</f>
        <v>1</v>
      </c>
      <c r="AG454" s="5" t="str">
        <f ca="1">IFERROR(__xludf.DUMMYFUNCTION("""COMPUTED_VALUE"""),"INSPECCIONES SIN REALIZAR")</f>
        <v>INSPECCIONES SIN REALIZAR</v>
      </c>
      <c r="AH454" s="5"/>
    </row>
    <row r="455" spans="1:34">
      <c r="A455" s="5" t="str">
        <f ca="1">IFERROR(__xludf.DUMMYFUNCTION("""COMPUTED_VALUE"""),"LINEA DE ENVASADO PET NO RETORNABLE")</f>
        <v>LINEA DE ENVASADO PET NO RETORNABLE</v>
      </c>
      <c r="B455" s="5">
        <f ca="1">IFERROR(__xludf.DUMMYFUNCTION("""COMPUTED_VALUE"""),710315)</f>
        <v>710315</v>
      </c>
      <c r="C455" s="5" t="str">
        <f ca="1">IFERROR(__xludf.DUMMYFUNCTION("""COMPUTED_VALUE"""),"ENJUAGADORA-RINSE")</f>
        <v>ENJUAGADORA-RINSE</v>
      </c>
      <c r="D455" s="5">
        <f ca="1">IFERROR(__xludf.DUMMYFUNCTION("""COMPUTED_VALUE"""),13247822)</f>
        <v>13247822</v>
      </c>
      <c r="E455" s="5" t="str">
        <f ca="1">IFERROR(__xludf.DUMMYFUNCTION("""COMPUTED_VALUE"""),"INSPECCION SEMANAL ENJUAGADORA-RINSE")</f>
        <v>INSPECCION SEMANAL ENJUAGADORA-RINSE</v>
      </c>
      <c r="F455" s="5" t="str">
        <f ca="1">IFERROR(__xludf.DUMMYFUNCTION("""COMPUTED_VALUE"""),"INSP ESTANQUEIDAD DISTRIBUIDOR ROTATIVO")</f>
        <v>INSP ESTANQUEIDAD DISTRIBUIDOR ROTATIVO</v>
      </c>
      <c r="G455" s="5"/>
      <c r="H455" s="5"/>
      <c r="I455" s="5"/>
      <c r="J455" s="5"/>
      <c r="K455" s="5"/>
      <c r="L455" s="18">
        <f ca="1">IFERROR(__xludf.DUMMYFUNCTION("""COMPUTED_VALUE"""),45325)</f>
        <v>45325</v>
      </c>
      <c r="M455" s="18">
        <f ca="1">IFERROR(__xludf.DUMMYFUNCTION("""COMPUTED_VALUE"""),45325)</f>
        <v>45325</v>
      </c>
      <c r="N455" s="5" t="str">
        <f ca="1">IFERROR(__xludf.DUMMYFUNCTION("""COMPUTED_VALUE"""),"FERNEYORLANDO RAMOS AULLON")</f>
        <v>FERNEYORLANDO RAMOS AULLON</v>
      </c>
      <c r="O455" s="2">
        <f ca="1">IFERROR(__xludf.DUMMYFUNCTION("""COMPUTED_VALUE"""),0.006666667)</f>
        <v>6.6666670000000003E-3</v>
      </c>
      <c r="P455" s="5"/>
      <c r="Q455" s="5" t="str">
        <f ca="1">IFERROR(__xludf.DUMMYFUNCTION("""COMPUTED_VALUE"""),"NI8x7TM3x8k")</f>
        <v>NI8x7TM3x8k</v>
      </c>
      <c r="R455" s="5">
        <f ca="1">IFERROR(__xludf.DUMMYFUNCTION("""COMPUTED_VALUE"""),410)</f>
        <v>410</v>
      </c>
      <c r="S455" s="62">
        <f ca="1">IFERROR(__xludf.DUMMYFUNCTION("""COMPUTED_VALUE"""),0.006666667)</f>
        <v>6.6666670000000003E-3</v>
      </c>
      <c r="T455" s="63" t="str">
        <f ca="1">IFERROR(__xludf.DUMMYFUNCTION("""COMPUTED_VALUE"""),"https://storage.googleapis.com/glide-prod.appspot.com/uploads-v2/ly7o78grxPaC6KdgvbpS/pub/UliJWgpEaBovaFmXi6OW.png")</f>
        <v>https://storage.googleapis.com/glide-prod.appspot.com/uploads-v2/ly7o78grxPaC6KdgvbpS/pub/UliJWgpEaBovaFmXi6OW.png</v>
      </c>
      <c r="U455" s="5" t="str">
        <f ca="1">IFERROR(__xludf.DUMMYFUNCTION("""COMPUTED_VALUE"""),"LINEA DE ENVASADO PET NO RETORNABLEENJUAGADORA-RINSE")</f>
        <v>LINEA DE ENVASADO PET NO RETORNABLEENJUAGADORA-RINSE</v>
      </c>
      <c r="V455" s="5"/>
      <c r="W455" s="5"/>
      <c r="X455" s="5" t="str">
        <f ca="1">IFERROR(__xludf.DUMMYFUNCTION("""COMPUTED_VALUE"""),"wguerra@postobon.com.co,aprmttoyu@postobon.com.co,aprmyu@postobon.com.co,wmora@postobon.com.co,efzapata@postobon.com.co")</f>
        <v>wguerra@postobon.com.co,aprmttoyu@postobon.com.co,aprmyu@postobon.com.co,wmora@postobon.com.co,efzapata@postobon.com.co</v>
      </c>
      <c r="Y455" s="5" t="str">
        <f ca="1">IFERROR(__xludf.DUMMYFUNCTION("""COMPUTED_VALUE"""),"wguerra@postobon.com.co")</f>
        <v>wguerra@postobon.com.co</v>
      </c>
      <c r="Z455" s="5" t="str">
        <f ca="1">IFERROR(__xludf.DUMMYFUNCTION("""COMPUTED_VALUE"""),"EfimaCsbTmC.wfiF-od3bw")</f>
        <v>EfimaCsbTmC.wfiF-od3bw</v>
      </c>
      <c r="AA455" s="5"/>
      <c r="AB455" s="5"/>
      <c r="AC455" s="5"/>
      <c r="AD455" s="5">
        <f ca="1">IFERROR(__xludf.DUMMYFUNCTION("""COMPUTED_VALUE"""),24)</f>
        <v>24</v>
      </c>
      <c r="AE455" s="5">
        <f ca="1">IFERROR(__xludf.DUMMYFUNCTION("""COMPUTED_VALUE"""),0)</f>
        <v>0</v>
      </c>
      <c r="AF455" s="5" t="b">
        <f ca="1">IFERROR(__xludf.DUMMYFUNCTION("""COMPUTED_VALUE"""),TRUE)</f>
        <v>1</v>
      </c>
      <c r="AG455" s="5" t="str">
        <f ca="1">IFERROR(__xludf.DUMMYFUNCTION("""COMPUTED_VALUE"""),"INSPECCIONES SIN REALIZAR")</f>
        <v>INSPECCIONES SIN REALIZAR</v>
      </c>
      <c r="AH455" s="5"/>
    </row>
    <row r="456" spans="1:34">
      <c r="A456" s="5" t="str">
        <f ca="1">IFERROR(__xludf.DUMMYFUNCTION("""COMPUTED_VALUE"""),"LINEA DE ENVASADO PET NO RETORNABLE")</f>
        <v>LINEA DE ENVASADO PET NO RETORNABLE</v>
      </c>
      <c r="B456" s="5">
        <f ca="1">IFERROR(__xludf.DUMMYFUNCTION("""COMPUTED_VALUE"""),710315)</f>
        <v>710315</v>
      </c>
      <c r="C456" s="5" t="str">
        <f ca="1">IFERROR(__xludf.DUMMYFUNCTION("""COMPUTED_VALUE"""),"ENJUAGADORA-RINSE")</f>
        <v>ENJUAGADORA-RINSE</v>
      </c>
      <c r="D456" s="5">
        <f ca="1">IFERROR(__xludf.DUMMYFUNCTION("""COMPUTED_VALUE"""),13247822)</f>
        <v>13247822</v>
      </c>
      <c r="E456" s="5" t="str">
        <f ca="1">IFERROR(__xludf.DUMMYFUNCTION("""COMPUTED_VALUE"""),"INSPECCION SEMANAL ENJUAGADORA-RINSE")</f>
        <v>INSPECCION SEMANAL ENJUAGADORA-RINSE</v>
      </c>
      <c r="F456" s="5" t="str">
        <f ca="1">IFERROR(__xludf.DUMMYFUNCTION("""COMPUTED_VALUE"""),"INSP ROTACION CARRUSE(UNION ROTACION BOLAS)")</f>
        <v>INSP ROTACION CARRUSE(UNION ROTACION BOLAS)</v>
      </c>
      <c r="G456" s="5"/>
      <c r="H456" s="5"/>
      <c r="I456" s="5"/>
      <c r="J456" s="5"/>
      <c r="K456" s="5"/>
      <c r="L456" s="18">
        <f ca="1">IFERROR(__xludf.DUMMYFUNCTION("""COMPUTED_VALUE"""),45325)</f>
        <v>45325</v>
      </c>
      <c r="M456" s="18">
        <f ca="1">IFERROR(__xludf.DUMMYFUNCTION("""COMPUTED_VALUE"""),45325)</f>
        <v>45325</v>
      </c>
      <c r="N456" s="5" t="str">
        <f ca="1">IFERROR(__xludf.DUMMYFUNCTION("""COMPUTED_VALUE"""),"FERNEYORLANDO RAMOS AULLON")</f>
        <v>FERNEYORLANDO RAMOS AULLON</v>
      </c>
      <c r="O456" s="2">
        <f ca="1">IFERROR(__xludf.DUMMYFUNCTION("""COMPUTED_VALUE"""),0.006666667)</f>
        <v>6.6666670000000003E-3</v>
      </c>
      <c r="P456" s="5"/>
      <c r="Q456" s="5" t="str">
        <f ca="1">IFERROR(__xludf.DUMMYFUNCTION("""COMPUTED_VALUE"""),"rsj6NqtEmfk")</f>
        <v>rsj6NqtEmfk</v>
      </c>
      <c r="R456" s="5">
        <f ca="1">IFERROR(__xludf.DUMMYFUNCTION("""COMPUTED_VALUE"""),410)</f>
        <v>410</v>
      </c>
      <c r="S456" s="62">
        <f ca="1">IFERROR(__xludf.DUMMYFUNCTION("""COMPUTED_VALUE"""),0.006666667)</f>
        <v>6.6666670000000003E-3</v>
      </c>
      <c r="T456" s="63" t="str">
        <f ca="1">IFERROR(__xludf.DUMMYFUNCTION("""COMPUTED_VALUE"""),"https://storage.googleapis.com/glide-prod.appspot.com/uploads-v2/ly7o78grxPaC6KdgvbpS/pub/UliJWgpEaBovaFmXi6OW.png")</f>
        <v>https://storage.googleapis.com/glide-prod.appspot.com/uploads-v2/ly7o78grxPaC6KdgvbpS/pub/UliJWgpEaBovaFmXi6OW.png</v>
      </c>
      <c r="U456" s="5" t="str">
        <f ca="1">IFERROR(__xludf.DUMMYFUNCTION("""COMPUTED_VALUE"""),"LINEA DE ENVASADO PET NO RETORNABLEENJUAGADORA-RINSE")</f>
        <v>LINEA DE ENVASADO PET NO RETORNABLEENJUAGADORA-RINSE</v>
      </c>
      <c r="V456" s="5"/>
      <c r="W456" s="5"/>
      <c r="X456" s="5" t="str">
        <f ca="1">IFERROR(__xludf.DUMMYFUNCTION("""COMPUTED_VALUE"""),"wguerra@postobon.com.co,aprmttoyu@postobon.com.co,aprmyu@postobon.com.co,wmora@postobon.com.co,efzapata@postobon.com.co")</f>
        <v>wguerra@postobon.com.co,aprmttoyu@postobon.com.co,aprmyu@postobon.com.co,wmora@postobon.com.co,efzapata@postobon.com.co</v>
      </c>
      <c r="Y456" s="5" t="str">
        <f ca="1">IFERROR(__xludf.DUMMYFUNCTION("""COMPUTED_VALUE"""),"wguerra@postobon.com.co")</f>
        <v>wguerra@postobon.com.co</v>
      </c>
      <c r="Z456" s="5" t="str">
        <f ca="1">IFERROR(__xludf.DUMMYFUNCTION("""COMPUTED_VALUE"""),"AqbN.QzXSVmijR12GlWeGQ")</f>
        <v>AqbN.QzXSVmijR12GlWeGQ</v>
      </c>
      <c r="AA456" s="5"/>
      <c r="AB456" s="5"/>
      <c r="AC456" s="5"/>
      <c r="AD456" s="5">
        <f ca="1">IFERROR(__xludf.DUMMYFUNCTION("""COMPUTED_VALUE"""),24)</f>
        <v>24</v>
      </c>
      <c r="AE456" s="5">
        <f ca="1">IFERROR(__xludf.DUMMYFUNCTION("""COMPUTED_VALUE"""),0)</f>
        <v>0</v>
      </c>
      <c r="AF456" s="5" t="b">
        <f ca="1">IFERROR(__xludf.DUMMYFUNCTION("""COMPUTED_VALUE"""),TRUE)</f>
        <v>1</v>
      </c>
      <c r="AG456" s="5" t="str">
        <f ca="1">IFERROR(__xludf.DUMMYFUNCTION("""COMPUTED_VALUE"""),"INSPECCIONES SIN REALIZAR")</f>
        <v>INSPECCIONES SIN REALIZAR</v>
      </c>
      <c r="AH456" s="5"/>
    </row>
    <row r="457" spans="1:34">
      <c r="A457" s="5" t="str">
        <f ca="1">IFERROR(__xludf.DUMMYFUNCTION("""COMPUTED_VALUE"""),"LINEA DE ENVASADO PET NO RETORNABLE")</f>
        <v>LINEA DE ENVASADO PET NO RETORNABLE</v>
      </c>
      <c r="B457" s="5">
        <f ca="1">IFERROR(__xludf.DUMMYFUNCTION("""COMPUTED_VALUE"""),710315)</f>
        <v>710315</v>
      </c>
      <c r="C457" s="5" t="str">
        <f ca="1">IFERROR(__xludf.DUMMYFUNCTION("""COMPUTED_VALUE"""),"ENJUAGADORA-RINSE")</f>
        <v>ENJUAGADORA-RINSE</v>
      </c>
      <c r="D457" s="5">
        <f ca="1">IFERROR(__xludf.DUMMYFUNCTION("""COMPUTED_VALUE"""),13247822)</f>
        <v>13247822</v>
      </c>
      <c r="E457" s="5" t="str">
        <f ca="1">IFERROR(__xludf.DUMMYFUNCTION("""COMPUTED_VALUE"""),"INSPECCION SEMANAL ENJUAGADORA-RINSE")</f>
        <v>INSPECCION SEMANAL ENJUAGADORA-RINSE</v>
      </c>
      <c r="F457" s="5" t="str">
        <f ca="1">IFERROR(__xludf.DUMMYFUNCTION("""COMPUTED_VALUE"""),"ESTADO PIEZAS FORMATOS")</f>
        <v>ESTADO PIEZAS FORMATOS</v>
      </c>
      <c r="G457" s="5"/>
      <c r="H457" s="5"/>
      <c r="I457" s="5"/>
      <c r="J457" s="5"/>
      <c r="K457" s="5"/>
      <c r="L457" s="18">
        <f ca="1">IFERROR(__xludf.DUMMYFUNCTION("""COMPUTED_VALUE"""),45325)</f>
        <v>45325</v>
      </c>
      <c r="M457" s="18">
        <f ca="1">IFERROR(__xludf.DUMMYFUNCTION("""COMPUTED_VALUE"""),45325)</f>
        <v>45325</v>
      </c>
      <c r="N457" s="5" t="str">
        <f ca="1">IFERROR(__xludf.DUMMYFUNCTION("""COMPUTED_VALUE"""),"FERNEYORLANDO RAMOS AULLON")</f>
        <v>FERNEYORLANDO RAMOS AULLON</v>
      </c>
      <c r="O457" s="2">
        <f ca="1">IFERROR(__xludf.DUMMYFUNCTION("""COMPUTED_VALUE"""),0.006666667)</f>
        <v>6.6666670000000003E-3</v>
      </c>
      <c r="P457" s="5"/>
      <c r="Q457" s="5" t="str">
        <f ca="1">IFERROR(__xludf.DUMMYFUNCTION("""COMPUTED_VALUE"""),"cFCfMoYJnsk")</f>
        <v>cFCfMoYJnsk</v>
      </c>
      <c r="R457" s="5">
        <f ca="1">IFERROR(__xludf.DUMMYFUNCTION("""COMPUTED_VALUE"""),410)</f>
        <v>410</v>
      </c>
      <c r="S457" s="62">
        <f ca="1">IFERROR(__xludf.DUMMYFUNCTION("""COMPUTED_VALUE"""),0.006666667)</f>
        <v>6.6666670000000003E-3</v>
      </c>
      <c r="T457" s="63" t="str">
        <f ca="1">IFERROR(__xludf.DUMMYFUNCTION("""COMPUTED_VALUE"""),"https://storage.googleapis.com/glide-prod.appspot.com/uploads-v2/ly7o78grxPaC6KdgvbpS/pub/UliJWgpEaBovaFmXi6OW.png")</f>
        <v>https://storage.googleapis.com/glide-prod.appspot.com/uploads-v2/ly7o78grxPaC6KdgvbpS/pub/UliJWgpEaBovaFmXi6OW.png</v>
      </c>
      <c r="U457" s="5" t="str">
        <f ca="1">IFERROR(__xludf.DUMMYFUNCTION("""COMPUTED_VALUE"""),"LINEA DE ENVASADO PET NO RETORNABLEENJUAGADORA-RINSE")</f>
        <v>LINEA DE ENVASADO PET NO RETORNABLEENJUAGADORA-RINSE</v>
      </c>
      <c r="V457" s="5"/>
      <c r="W457" s="5"/>
      <c r="X457" s="5" t="str">
        <f ca="1">IFERROR(__xludf.DUMMYFUNCTION("""COMPUTED_VALUE"""),"wguerra@postobon.com.co,aprmttoyu@postobon.com.co,aprmyu@postobon.com.co,wmora@postobon.com.co,efzapata@postobon.com.co")</f>
        <v>wguerra@postobon.com.co,aprmttoyu@postobon.com.co,aprmyu@postobon.com.co,wmora@postobon.com.co,efzapata@postobon.com.co</v>
      </c>
      <c r="Y457" s="5" t="str">
        <f ca="1">IFERROR(__xludf.DUMMYFUNCTION("""COMPUTED_VALUE"""),"wguerra@postobon.com.co")</f>
        <v>wguerra@postobon.com.co</v>
      </c>
      <c r="Z457" s="5" t="str">
        <f ca="1">IFERROR(__xludf.DUMMYFUNCTION("""COMPUTED_VALUE"""),"8nYUVyrjS46TBFs44E2u5A")</f>
        <v>8nYUVyrjS46TBFs44E2u5A</v>
      </c>
      <c r="AA457" s="5"/>
      <c r="AB457" s="5"/>
      <c r="AC457" s="5"/>
      <c r="AD457" s="5">
        <f ca="1">IFERROR(__xludf.DUMMYFUNCTION("""COMPUTED_VALUE"""),24)</f>
        <v>24</v>
      </c>
      <c r="AE457" s="5">
        <f ca="1">IFERROR(__xludf.DUMMYFUNCTION("""COMPUTED_VALUE"""),0)</f>
        <v>0</v>
      </c>
      <c r="AF457" s="5" t="b">
        <f ca="1">IFERROR(__xludf.DUMMYFUNCTION("""COMPUTED_VALUE"""),TRUE)</f>
        <v>1</v>
      </c>
      <c r="AG457" s="5" t="str">
        <f ca="1">IFERROR(__xludf.DUMMYFUNCTION("""COMPUTED_VALUE"""),"INSPECCIONES SIN REALIZAR")</f>
        <v>INSPECCIONES SIN REALIZAR</v>
      </c>
      <c r="AH457" s="5"/>
    </row>
    <row r="458" spans="1:34">
      <c r="A458" s="5" t="str">
        <f ca="1">IFERROR(__xludf.DUMMYFUNCTION("""COMPUTED_VALUE"""),"LINEA DE ENVASADO PET NO RETORNABLE")</f>
        <v>LINEA DE ENVASADO PET NO RETORNABLE</v>
      </c>
      <c r="B458" s="5">
        <f ca="1">IFERROR(__xludf.DUMMYFUNCTION("""COMPUTED_VALUE"""),710315)</f>
        <v>710315</v>
      </c>
      <c r="C458" s="5" t="str">
        <f ca="1">IFERROR(__xludf.DUMMYFUNCTION("""COMPUTED_VALUE"""),"ENJUAGADORA-RINSE")</f>
        <v>ENJUAGADORA-RINSE</v>
      </c>
      <c r="D458" s="5">
        <f ca="1">IFERROR(__xludf.DUMMYFUNCTION("""COMPUTED_VALUE"""),13247822)</f>
        <v>13247822</v>
      </c>
      <c r="E458" s="5" t="str">
        <f ca="1">IFERROR(__xludf.DUMMYFUNCTION("""COMPUTED_VALUE"""),"INSPECCION SEMANAL ENJUAGADORA-RINSE")</f>
        <v>INSPECCION SEMANAL ENJUAGADORA-RINSE</v>
      </c>
      <c r="F458" s="5" t="str">
        <f ca="1">IFERROR(__xludf.DUMMYFUNCTION("""COMPUTED_VALUE"""),"ESTADO ESTRELLAS SUJECCION")</f>
        <v>ESTADO ESTRELLAS SUJECCION</v>
      </c>
      <c r="G458" s="5"/>
      <c r="H458" s="5"/>
      <c r="I458" s="5"/>
      <c r="J458" s="5"/>
      <c r="K458" s="5"/>
      <c r="L458" s="18">
        <f ca="1">IFERROR(__xludf.DUMMYFUNCTION("""COMPUTED_VALUE"""),45325)</f>
        <v>45325</v>
      </c>
      <c r="M458" s="18">
        <f ca="1">IFERROR(__xludf.DUMMYFUNCTION("""COMPUTED_VALUE"""),45325)</f>
        <v>45325</v>
      </c>
      <c r="N458" s="5" t="str">
        <f ca="1">IFERROR(__xludf.DUMMYFUNCTION("""COMPUTED_VALUE"""),"FERNEYORLANDO RAMOS AULLON")</f>
        <v>FERNEYORLANDO RAMOS AULLON</v>
      </c>
      <c r="O458" s="2">
        <f ca="1">IFERROR(__xludf.DUMMYFUNCTION("""COMPUTED_VALUE"""),0.006666667)</f>
        <v>6.6666670000000003E-3</v>
      </c>
      <c r="P458" s="5"/>
      <c r="Q458" s="5" t="str">
        <f ca="1">IFERROR(__xludf.DUMMYFUNCTION("""COMPUTED_VALUE"""),"d-I-UGccr0w")</f>
        <v>d-I-UGccr0w</v>
      </c>
      <c r="R458" s="5">
        <f ca="1">IFERROR(__xludf.DUMMYFUNCTION("""COMPUTED_VALUE"""),410)</f>
        <v>410</v>
      </c>
      <c r="S458" s="62">
        <f ca="1">IFERROR(__xludf.DUMMYFUNCTION("""COMPUTED_VALUE"""),0.006666667)</f>
        <v>6.6666670000000003E-3</v>
      </c>
      <c r="T458" s="63" t="str">
        <f ca="1">IFERROR(__xludf.DUMMYFUNCTION("""COMPUTED_VALUE"""),"https://storage.googleapis.com/glide-prod.appspot.com/uploads-v2/ly7o78grxPaC6KdgvbpS/pub/UliJWgpEaBovaFmXi6OW.png")</f>
        <v>https://storage.googleapis.com/glide-prod.appspot.com/uploads-v2/ly7o78grxPaC6KdgvbpS/pub/UliJWgpEaBovaFmXi6OW.png</v>
      </c>
      <c r="U458" s="5" t="str">
        <f ca="1">IFERROR(__xludf.DUMMYFUNCTION("""COMPUTED_VALUE"""),"LINEA DE ENVASADO PET NO RETORNABLEENJUAGADORA-RINSE")</f>
        <v>LINEA DE ENVASADO PET NO RETORNABLEENJUAGADORA-RINSE</v>
      </c>
      <c r="V458" s="5"/>
      <c r="W458" s="5"/>
      <c r="X458" s="5" t="str">
        <f ca="1">IFERROR(__xludf.DUMMYFUNCTION("""COMPUTED_VALUE"""),"wguerra@postobon.com.co,aprmttoyu@postobon.com.co,aprmyu@postobon.com.co,wmora@postobon.com.co,efzapata@postobon.com.co")</f>
        <v>wguerra@postobon.com.co,aprmttoyu@postobon.com.co,aprmyu@postobon.com.co,wmora@postobon.com.co,efzapata@postobon.com.co</v>
      </c>
      <c r="Y458" s="5" t="str">
        <f ca="1">IFERROR(__xludf.DUMMYFUNCTION("""COMPUTED_VALUE"""),"wguerra@postobon.com.co")</f>
        <v>wguerra@postobon.com.co</v>
      </c>
      <c r="Z458" s="5" t="str">
        <f ca="1">IFERROR(__xludf.DUMMYFUNCTION("""COMPUTED_VALUE"""),"1ic-yCo0RL2WncXYnqOfsg")</f>
        <v>1ic-yCo0RL2WncXYnqOfsg</v>
      </c>
      <c r="AA458" s="5"/>
      <c r="AB458" s="5"/>
      <c r="AC458" s="5"/>
      <c r="AD458" s="5">
        <f ca="1">IFERROR(__xludf.DUMMYFUNCTION("""COMPUTED_VALUE"""),24)</f>
        <v>24</v>
      </c>
      <c r="AE458" s="5">
        <f ca="1">IFERROR(__xludf.DUMMYFUNCTION("""COMPUTED_VALUE"""),0)</f>
        <v>0</v>
      </c>
      <c r="AF458" s="5" t="b">
        <f ca="1">IFERROR(__xludf.DUMMYFUNCTION("""COMPUTED_VALUE"""),TRUE)</f>
        <v>1</v>
      </c>
      <c r="AG458" s="5" t="str">
        <f ca="1">IFERROR(__xludf.DUMMYFUNCTION("""COMPUTED_VALUE"""),"INSPECCIONES SIN REALIZAR")</f>
        <v>INSPECCIONES SIN REALIZAR</v>
      </c>
      <c r="AH458" s="5"/>
    </row>
    <row r="459" spans="1:34">
      <c r="A459" s="5" t="str">
        <f ca="1">IFERROR(__xludf.DUMMYFUNCTION("""COMPUTED_VALUE"""),"LINEA DE ENVASADO PET NO RETORNABLE")</f>
        <v>LINEA DE ENVASADO PET NO RETORNABLE</v>
      </c>
      <c r="B459" s="5">
        <f ca="1">IFERROR(__xludf.DUMMYFUNCTION("""COMPUTED_VALUE"""),710315)</f>
        <v>710315</v>
      </c>
      <c r="C459" s="5" t="str">
        <f ca="1">IFERROR(__xludf.DUMMYFUNCTION("""COMPUTED_VALUE"""),"ENJUAGADORA-RINSE")</f>
        <v>ENJUAGADORA-RINSE</v>
      </c>
      <c r="D459" s="5">
        <f ca="1">IFERROR(__xludf.DUMMYFUNCTION("""COMPUTED_VALUE"""),13247822)</f>
        <v>13247822</v>
      </c>
      <c r="E459" s="5" t="str">
        <f ca="1">IFERROR(__xludf.DUMMYFUNCTION("""COMPUTED_VALUE"""),"INSPECCION SEMANAL ENJUAGADORA-RINSE")</f>
        <v>INSPECCION SEMANAL ENJUAGADORA-RINSE</v>
      </c>
      <c r="F459" s="5" t="str">
        <f ca="1">IFERROR(__xludf.DUMMYFUNCTION("""COMPUTED_VALUE"""),"FUNC GUIAS SUJECCION ENVASES Y TOBERA LAVADO")</f>
        <v>FUNC GUIAS SUJECCION ENVASES Y TOBERA LAVADO</v>
      </c>
      <c r="G459" s="5"/>
      <c r="H459" s="5"/>
      <c r="I459" s="5"/>
      <c r="J459" s="5"/>
      <c r="K459" s="5"/>
      <c r="L459" s="18">
        <f ca="1">IFERROR(__xludf.DUMMYFUNCTION("""COMPUTED_VALUE"""),45325)</f>
        <v>45325</v>
      </c>
      <c r="M459" s="18">
        <f ca="1">IFERROR(__xludf.DUMMYFUNCTION("""COMPUTED_VALUE"""),45325)</f>
        <v>45325</v>
      </c>
      <c r="N459" s="5" t="str">
        <f ca="1">IFERROR(__xludf.DUMMYFUNCTION("""COMPUTED_VALUE"""),"FERNEYORLANDO RAMOS AULLON")</f>
        <v>FERNEYORLANDO RAMOS AULLON</v>
      </c>
      <c r="O459" s="2">
        <f ca="1">IFERROR(__xludf.DUMMYFUNCTION("""COMPUTED_VALUE"""),0.006666667)</f>
        <v>6.6666670000000003E-3</v>
      </c>
      <c r="P459" s="5"/>
      <c r="Q459" s="5" t="str">
        <f ca="1">IFERROR(__xludf.DUMMYFUNCTION("""COMPUTED_VALUE"""),"bIEaAZDjDlE")</f>
        <v>bIEaAZDjDlE</v>
      </c>
      <c r="R459" s="5">
        <f ca="1">IFERROR(__xludf.DUMMYFUNCTION("""COMPUTED_VALUE"""),410)</f>
        <v>410</v>
      </c>
      <c r="S459" s="62">
        <f ca="1">IFERROR(__xludf.DUMMYFUNCTION("""COMPUTED_VALUE"""),0.006666667)</f>
        <v>6.6666670000000003E-3</v>
      </c>
      <c r="T459" s="63" t="str">
        <f ca="1">IFERROR(__xludf.DUMMYFUNCTION("""COMPUTED_VALUE"""),"https://storage.googleapis.com/glide-prod.appspot.com/uploads-v2/ly7o78grxPaC6KdgvbpS/pub/UliJWgpEaBovaFmXi6OW.png")</f>
        <v>https://storage.googleapis.com/glide-prod.appspot.com/uploads-v2/ly7o78grxPaC6KdgvbpS/pub/UliJWgpEaBovaFmXi6OW.png</v>
      </c>
      <c r="U459" s="5" t="str">
        <f ca="1">IFERROR(__xludf.DUMMYFUNCTION("""COMPUTED_VALUE"""),"LINEA DE ENVASADO PET NO RETORNABLEENJUAGADORA-RINSE")</f>
        <v>LINEA DE ENVASADO PET NO RETORNABLEENJUAGADORA-RINSE</v>
      </c>
      <c r="V459" s="5"/>
      <c r="W459" s="5"/>
      <c r="X459" s="5" t="str">
        <f ca="1">IFERROR(__xludf.DUMMYFUNCTION("""COMPUTED_VALUE"""),"wguerra@postobon.com.co,aprmttoyu@postobon.com.co,aprmyu@postobon.com.co,wmora@postobon.com.co,efzapata@postobon.com.co")</f>
        <v>wguerra@postobon.com.co,aprmttoyu@postobon.com.co,aprmyu@postobon.com.co,wmora@postobon.com.co,efzapata@postobon.com.co</v>
      </c>
      <c r="Y459" s="5" t="str">
        <f ca="1">IFERROR(__xludf.DUMMYFUNCTION("""COMPUTED_VALUE"""),"wguerra@postobon.com.co")</f>
        <v>wguerra@postobon.com.co</v>
      </c>
      <c r="Z459" s="5" t="str">
        <f ca="1">IFERROR(__xludf.DUMMYFUNCTION("""COMPUTED_VALUE"""),"imsg55b9RXOfoTOD-yUkIw")</f>
        <v>imsg55b9RXOfoTOD-yUkIw</v>
      </c>
      <c r="AA459" s="5"/>
      <c r="AB459" s="5"/>
      <c r="AC459" s="5"/>
      <c r="AD459" s="5">
        <f ca="1">IFERROR(__xludf.DUMMYFUNCTION("""COMPUTED_VALUE"""),24)</f>
        <v>24</v>
      </c>
      <c r="AE459" s="5">
        <f ca="1">IFERROR(__xludf.DUMMYFUNCTION("""COMPUTED_VALUE"""),0)</f>
        <v>0</v>
      </c>
      <c r="AF459" s="5" t="b">
        <f ca="1">IFERROR(__xludf.DUMMYFUNCTION("""COMPUTED_VALUE"""),TRUE)</f>
        <v>1</v>
      </c>
      <c r="AG459" s="5" t="str">
        <f ca="1">IFERROR(__xludf.DUMMYFUNCTION("""COMPUTED_VALUE"""),"INSPECCIONES SIN REALIZAR")</f>
        <v>INSPECCIONES SIN REALIZAR</v>
      </c>
      <c r="AH459" s="5"/>
    </row>
    <row r="460" spans="1:34">
      <c r="A460" s="5" t="str">
        <f ca="1">IFERROR(__xludf.DUMMYFUNCTION("""COMPUTED_VALUE"""),"LINEA DE ENVASADO PET NO RETORNABLE")</f>
        <v>LINEA DE ENVASADO PET NO RETORNABLE</v>
      </c>
      <c r="B460" s="5">
        <f ca="1">IFERROR(__xludf.DUMMYFUNCTION("""COMPUTED_VALUE"""),710315)</f>
        <v>710315</v>
      </c>
      <c r="C460" s="5" t="str">
        <f ca="1">IFERROR(__xludf.DUMMYFUNCTION("""COMPUTED_VALUE"""),"ENJUAGADORA-RINSE")</f>
        <v>ENJUAGADORA-RINSE</v>
      </c>
      <c r="D460" s="5">
        <f ca="1">IFERROR(__xludf.DUMMYFUNCTION("""COMPUTED_VALUE"""),13247822)</f>
        <v>13247822</v>
      </c>
      <c r="E460" s="5" t="str">
        <f ca="1">IFERROR(__xludf.DUMMYFUNCTION("""COMPUTED_VALUE"""),"INSPECCION SEMANAL ENJUAGADORA-RINSE")</f>
        <v>INSPECCION SEMANAL ENJUAGADORA-RINSE</v>
      </c>
      <c r="F460" s="5" t="str">
        <f ca="1">IFERROR(__xludf.DUMMYFUNCTION("""COMPUTED_VALUE"""),"INSP INTERCAMBIADOR Y REJILLA AIRE")</f>
        <v>INSP INTERCAMBIADOR Y REJILLA AIRE</v>
      </c>
      <c r="G460" s="5"/>
      <c r="H460" s="5"/>
      <c r="I460" s="5"/>
      <c r="J460" s="5"/>
      <c r="K460" s="5"/>
      <c r="L460" s="18">
        <f ca="1">IFERROR(__xludf.DUMMYFUNCTION("""COMPUTED_VALUE"""),45325)</f>
        <v>45325</v>
      </c>
      <c r="M460" s="18">
        <f ca="1">IFERROR(__xludf.DUMMYFUNCTION("""COMPUTED_VALUE"""),45325)</f>
        <v>45325</v>
      </c>
      <c r="N460" s="5" t="str">
        <f ca="1">IFERROR(__xludf.DUMMYFUNCTION("""COMPUTED_VALUE"""),"FERNEYORLANDO RAMOS AULLON")</f>
        <v>FERNEYORLANDO RAMOS AULLON</v>
      </c>
      <c r="O460" s="2">
        <f ca="1">IFERROR(__xludf.DUMMYFUNCTION("""COMPUTED_VALUE"""),0.006666667)</f>
        <v>6.6666670000000003E-3</v>
      </c>
      <c r="P460" s="5"/>
      <c r="Q460" s="5" t="str">
        <f ca="1">IFERROR(__xludf.DUMMYFUNCTION("""COMPUTED_VALUE"""),"xgRUtvkb3IA")</f>
        <v>xgRUtvkb3IA</v>
      </c>
      <c r="R460" s="5">
        <f ca="1">IFERROR(__xludf.DUMMYFUNCTION("""COMPUTED_VALUE"""),410)</f>
        <v>410</v>
      </c>
      <c r="S460" s="62">
        <f ca="1">IFERROR(__xludf.DUMMYFUNCTION("""COMPUTED_VALUE"""),0.006666667)</f>
        <v>6.6666670000000003E-3</v>
      </c>
      <c r="T460" s="63" t="str">
        <f ca="1">IFERROR(__xludf.DUMMYFUNCTION("""COMPUTED_VALUE"""),"https://storage.googleapis.com/glide-prod.appspot.com/uploads-v2/ly7o78grxPaC6KdgvbpS/pub/UliJWgpEaBovaFmXi6OW.png")</f>
        <v>https://storage.googleapis.com/glide-prod.appspot.com/uploads-v2/ly7o78grxPaC6KdgvbpS/pub/UliJWgpEaBovaFmXi6OW.png</v>
      </c>
      <c r="U460" s="5" t="str">
        <f ca="1">IFERROR(__xludf.DUMMYFUNCTION("""COMPUTED_VALUE"""),"LINEA DE ENVASADO PET NO RETORNABLEENJUAGADORA-RINSE")</f>
        <v>LINEA DE ENVASADO PET NO RETORNABLEENJUAGADORA-RINSE</v>
      </c>
      <c r="V460" s="5"/>
      <c r="W460" s="5"/>
      <c r="X460" s="5" t="str">
        <f ca="1">IFERROR(__xludf.DUMMYFUNCTION("""COMPUTED_VALUE"""),"wguerra@postobon.com.co,aprmttoyu@postobon.com.co,aprmyu@postobon.com.co,wmora@postobon.com.co,efzapata@postobon.com.co")</f>
        <v>wguerra@postobon.com.co,aprmttoyu@postobon.com.co,aprmyu@postobon.com.co,wmora@postobon.com.co,efzapata@postobon.com.co</v>
      </c>
      <c r="Y460" s="5" t="str">
        <f ca="1">IFERROR(__xludf.DUMMYFUNCTION("""COMPUTED_VALUE"""),"wguerra@postobon.com.co")</f>
        <v>wguerra@postobon.com.co</v>
      </c>
      <c r="Z460" s="5" t="str">
        <f ca="1">IFERROR(__xludf.DUMMYFUNCTION("""COMPUTED_VALUE"""),"zDbxGGfsRkajO8YYEGdtqA")</f>
        <v>zDbxGGfsRkajO8YYEGdtqA</v>
      </c>
      <c r="AA460" s="5"/>
      <c r="AB460" s="5"/>
      <c r="AC460" s="5"/>
      <c r="AD460" s="5">
        <f ca="1">IFERROR(__xludf.DUMMYFUNCTION("""COMPUTED_VALUE"""),24)</f>
        <v>24</v>
      </c>
      <c r="AE460" s="5">
        <f ca="1">IFERROR(__xludf.DUMMYFUNCTION("""COMPUTED_VALUE"""),0)</f>
        <v>0</v>
      </c>
      <c r="AF460" s="5" t="b">
        <f ca="1">IFERROR(__xludf.DUMMYFUNCTION("""COMPUTED_VALUE"""),TRUE)</f>
        <v>1</v>
      </c>
      <c r="AG460" s="5" t="str">
        <f ca="1">IFERROR(__xludf.DUMMYFUNCTION("""COMPUTED_VALUE"""),"INSPECCIONES SIN REALIZAR")</f>
        <v>INSPECCIONES SIN REALIZAR</v>
      </c>
      <c r="AH460" s="5"/>
    </row>
    <row r="461" spans="1:34">
      <c r="A461" s="5" t="str">
        <f ca="1">IFERROR(__xludf.DUMMYFUNCTION("""COMPUTED_VALUE"""),"LINEA DE ENVASADO PET NO RETORNABLE")</f>
        <v>LINEA DE ENVASADO PET NO RETORNABLE</v>
      </c>
      <c r="B461" s="5">
        <f ca="1">IFERROR(__xludf.DUMMYFUNCTION("""COMPUTED_VALUE"""),710315)</f>
        <v>710315</v>
      </c>
      <c r="C461" s="5" t="str">
        <f ca="1">IFERROR(__xludf.DUMMYFUNCTION("""COMPUTED_VALUE"""),"ENJUAGADORA-RINSE")</f>
        <v>ENJUAGADORA-RINSE</v>
      </c>
      <c r="D461" s="5">
        <f ca="1">IFERROR(__xludf.DUMMYFUNCTION("""COMPUTED_VALUE"""),13247822)</f>
        <v>13247822</v>
      </c>
      <c r="E461" s="5" t="str">
        <f ca="1">IFERROR(__xludf.DUMMYFUNCTION("""COMPUTED_VALUE"""),"INSPECCION SEMANAL ENJUAGADORA-RINSE")</f>
        <v>INSPECCION SEMANAL ENJUAGADORA-RINSE</v>
      </c>
      <c r="F461" s="5" t="str">
        <f ca="1">IFERROR(__xludf.DUMMYFUNCTION("""COMPUTED_VALUE"""),"ESTADO MOTOREDUCTORES")</f>
        <v>ESTADO MOTOREDUCTORES</v>
      </c>
      <c r="G461" s="5"/>
      <c r="H461" s="5"/>
      <c r="I461" s="5"/>
      <c r="J461" s="5"/>
      <c r="K461" s="5"/>
      <c r="L461" s="18">
        <f ca="1">IFERROR(__xludf.DUMMYFUNCTION("""COMPUTED_VALUE"""),45325)</f>
        <v>45325</v>
      </c>
      <c r="M461" s="18">
        <f ca="1">IFERROR(__xludf.DUMMYFUNCTION("""COMPUTED_VALUE"""),45325)</f>
        <v>45325</v>
      </c>
      <c r="N461" s="5" t="str">
        <f ca="1">IFERROR(__xludf.DUMMYFUNCTION("""COMPUTED_VALUE"""),"FERNEYORLANDO RAMOS AULLON")</f>
        <v>FERNEYORLANDO RAMOS AULLON</v>
      </c>
      <c r="O461" s="2">
        <f ca="1">IFERROR(__xludf.DUMMYFUNCTION("""COMPUTED_VALUE"""),0.006666667)</f>
        <v>6.6666670000000003E-3</v>
      </c>
      <c r="P461" s="5"/>
      <c r="Q461" s="5" t="str">
        <f ca="1">IFERROR(__xludf.DUMMYFUNCTION("""COMPUTED_VALUE"""),"NJ3g92oUUVE")</f>
        <v>NJ3g92oUUVE</v>
      </c>
      <c r="R461" s="5">
        <f ca="1">IFERROR(__xludf.DUMMYFUNCTION("""COMPUTED_VALUE"""),410)</f>
        <v>410</v>
      </c>
      <c r="S461" s="62">
        <f ca="1">IFERROR(__xludf.DUMMYFUNCTION("""COMPUTED_VALUE"""),0.006666667)</f>
        <v>6.6666670000000003E-3</v>
      </c>
      <c r="T461" s="63" t="str">
        <f ca="1">IFERROR(__xludf.DUMMYFUNCTION("""COMPUTED_VALUE"""),"https://storage.googleapis.com/glide-prod.appspot.com/uploads-v2/ly7o78grxPaC6KdgvbpS/pub/UliJWgpEaBovaFmXi6OW.png")</f>
        <v>https://storage.googleapis.com/glide-prod.appspot.com/uploads-v2/ly7o78grxPaC6KdgvbpS/pub/UliJWgpEaBovaFmXi6OW.png</v>
      </c>
      <c r="U461" s="5" t="str">
        <f ca="1">IFERROR(__xludf.DUMMYFUNCTION("""COMPUTED_VALUE"""),"LINEA DE ENVASADO PET NO RETORNABLEENJUAGADORA-RINSE")</f>
        <v>LINEA DE ENVASADO PET NO RETORNABLEENJUAGADORA-RINSE</v>
      </c>
      <c r="V461" s="5"/>
      <c r="W461" s="5"/>
      <c r="X461" s="5" t="str">
        <f ca="1">IFERROR(__xludf.DUMMYFUNCTION("""COMPUTED_VALUE"""),"wguerra@postobon.com.co,aprmttoyu@postobon.com.co,aprmyu@postobon.com.co,wmora@postobon.com.co,efzapata@postobon.com.co")</f>
        <v>wguerra@postobon.com.co,aprmttoyu@postobon.com.co,aprmyu@postobon.com.co,wmora@postobon.com.co,efzapata@postobon.com.co</v>
      </c>
      <c r="Y461" s="5" t="str">
        <f ca="1">IFERROR(__xludf.DUMMYFUNCTION("""COMPUTED_VALUE"""),"wguerra@postobon.com.co")</f>
        <v>wguerra@postobon.com.co</v>
      </c>
      <c r="Z461" s="5" t="str">
        <f ca="1">IFERROR(__xludf.DUMMYFUNCTION("""COMPUTED_VALUE"""),"I-mgwUwZQTO7diP0oWONwA")</f>
        <v>I-mgwUwZQTO7diP0oWONwA</v>
      </c>
      <c r="AA461" s="5"/>
      <c r="AB461" s="5"/>
      <c r="AC461" s="5"/>
      <c r="AD461" s="5">
        <f ca="1">IFERROR(__xludf.DUMMYFUNCTION("""COMPUTED_VALUE"""),24)</f>
        <v>24</v>
      </c>
      <c r="AE461" s="5">
        <f ca="1">IFERROR(__xludf.DUMMYFUNCTION("""COMPUTED_VALUE"""),0)</f>
        <v>0</v>
      </c>
      <c r="AF461" s="5" t="b">
        <f ca="1">IFERROR(__xludf.DUMMYFUNCTION("""COMPUTED_VALUE"""),TRUE)</f>
        <v>1</v>
      </c>
      <c r="AG461" s="5" t="str">
        <f ca="1">IFERROR(__xludf.DUMMYFUNCTION("""COMPUTED_VALUE"""),"INSPECCIONES SIN REALIZAR")</f>
        <v>INSPECCIONES SIN REALIZAR</v>
      </c>
      <c r="AH461" s="5"/>
    </row>
    <row r="462" spans="1:34">
      <c r="A462" s="5" t="str">
        <f ca="1">IFERROR(__xludf.DUMMYFUNCTION("""COMPUTED_VALUE"""),"LINEA DE ENVASADO PET NO RETORNABLE")</f>
        <v>LINEA DE ENVASADO PET NO RETORNABLE</v>
      </c>
      <c r="B462" s="5">
        <f ca="1">IFERROR(__xludf.DUMMYFUNCTION("""COMPUTED_VALUE"""),710315)</f>
        <v>710315</v>
      </c>
      <c r="C462" s="5" t="str">
        <f ca="1">IFERROR(__xludf.DUMMYFUNCTION("""COMPUTED_VALUE"""),"ENJUAGADORA-RINSE")</f>
        <v>ENJUAGADORA-RINSE</v>
      </c>
      <c r="D462" s="5">
        <f ca="1">IFERROR(__xludf.DUMMYFUNCTION("""COMPUTED_VALUE"""),13247822)</f>
        <v>13247822</v>
      </c>
      <c r="E462" s="5" t="str">
        <f ca="1">IFERROR(__xludf.DUMMYFUNCTION("""COMPUTED_VALUE"""),"INSPECCION SEMANAL ENJUAGADORA-RINSE")</f>
        <v>INSPECCION SEMANAL ENJUAGADORA-RINSE</v>
      </c>
      <c r="F462" s="5" t="str">
        <f ca="1">IFERROR(__xludf.DUMMYFUNCTION("""COMPUTED_VALUE"""),"ESTADO BARRERAS LUZ Y SENSORES")</f>
        <v>ESTADO BARRERAS LUZ Y SENSORES</v>
      </c>
      <c r="G462" s="5"/>
      <c r="H462" s="5"/>
      <c r="I462" s="5"/>
      <c r="J462" s="5"/>
      <c r="K462" s="5"/>
      <c r="L462" s="18">
        <f ca="1">IFERROR(__xludf.DUMMYFUNCTION("""COMPUTED_VALUE"""),45325)</f>
        <v>45325</v>
      </c>
      <c r="M462" s="18">
        <f ca="1">IFERROR(__xludf.DUMMYFUNCTION("""COMPUTED_VALUE"""),45325)</f>
        <v>45325</v>
      </c>
      <c r="N462" s="5" t="str">
        <f ca="1">IFERROR(__xludf.DUMMYFUNCTION("""COMPUTED_VALUE"""),"FERNEYORLANDO RAMOS AULLON")</f>
        <v>FERNEYORLANDO RAMOS AULLON</v>
      </c>
      <c r="O462" s="2">
        <f ca="1">IFERROR(__xludf.DUMMYFUNCTION("""COMPUTED_VALUE"""),0.006666667)</f>
        <v>6.6666670000000003E-3</v>
      </c>
      <c r="P462" s="5"/>
      <c r="Q462" s="5" t="str">
        <f ca="1">IFERROR(__xludf.DUMMYFUNCTION("""COMPUTED_VALUE"""),"9oaRfL25llE")</f>
        <v>9oaRfL25llE</v>
      </c>
      <c r="R462" s="5">
        <f ca="1">IFERROR(__xludf.DUMMYFUNCTION("""COMPUTED_VALUE"""),410)</f>
        <v>410</v>
      </c>
      <c r="S462" s="62">
        <f ca="1">IFERROR(__xludf.DUMMYFUNCTION("""COMPUTED_VALUE"""),0.006666667)</f>
        <v>6.6666670000000003E-3</v>
      </c>
      <c r="T462" s="63" t="str">
        <f ca="1">IFERROR(__xludf.DUMMYFUNCTION("""COMPUTED_VALUE"""),"https://storage.googleapis.com/glide-prod.appspot.com/uploads-v2/ly7o78grxPaC6KdgvbpS/pub/UliJWgpEaBovaFmXi6OW.png")</f>
        <v>https://storage.googleapis.com/glide-prod.appspot.com/uploads-v2/ly7o78grxPaC6KdgvbpS/pub/UliJWgpEaBovaFmXi6OW.png</v>
      </c>
      <c r="U462" s="5" t="str">
        <f ca="1">IFERROR(__xludf.DUMMYFUNCTION("""COMPUTED_VALUE"""),"LINEA DE ENVASADO PET NO RETORNABLEENJUAGADORA-RINSE")</f>
        <v>LINEA DE ENVASADO PET NO RETORNABLEENJUAGADORA-RINSE</v>
      </c>
      <c r="V462" s="5"/>
      <c r="W462" s="5"/>
      <c r="X462" s="5" t="str">
        <f ca="1">IFERROR(__xludf.DUMMYFUNCTION("""COMPUTED_VALUE"""),"wguerra@postobon.com.co,aprmttoyu@postobon.com.co,aprmyu@postobon.com.co,wmora@postobon.com.co,efzapata@postobon.com.co")</f>
        <v>wguerra@postobon.com.co,aprmttoyu@postobon.com.co,aprmyu@postobon.com.co,wmora@postobon.com.co,efzapata@postobon.com.co</v>
      </c>
      <c r="Y462" s="5" t="str">
        <f ca="1">IFERROR(__xludf.DUMMYFUNCTION("""COMPUTED_VALUE"""),"wguerra@postobon.com.co")</f>
        <v>wguerra@postobon.com.co</v>
      </c>
      <c r="Z462" s="5" t="str">
        <f ca="1">IFERROR(__xludf.DUMMYFUNCTION("""COMPUTED_VALUE"""),"ri7Ngs1DSyuUylJWi288oA")</f>
        <v>ri7Ngs1DSyuUylJWi288oA</v>
      </c>
      <c r="AA462" s="5"/>
      <c r="AB462" s="5"/>
      <c r="AC462" s="5"/>
      <c r="AD462" s="5">
        <f ca="1">IFERROR(__xludf.DUMMYFUNCTION("""COMPUTED_VALUE"""),24)</f>
        <v>24</v>
      </c>
      <c r="AE462" s="5">
        <f ca="1">IFERROR(__xludf.DUMMYFUNCTION("""COMPUTED_VALUE"""),0)</f>
        <v>0</v>
      </c>
      <c r="AF462" s="5" t="b">
        <f ca="1">IFERROR(__xludf.DUMMYFUNCTION("""COMPUTED_VALUE"""),TRUE)</f>
        <v>1</v>
      </c>
      <c r="AG462" s="5" t="str">
        <f ca="1">IFERROR(__xludf.DUMMYFUNCTION("""COMPUTED_VALUE"""),"INSPECCIONES SIN REALIZAR")</f>
        <v>INSPECCIONES SIN REALIZAR</v>
      </c>
      <c r="AH462" s="5"/>
    </row>
    <row r="463" spans="1:34">
      <c r="A463" s="5" t="str">
        <f ca="1">IFERROR(__xludf.DUMMYFUNCTION("""COMPUTED_VALUE"""),"LINEA DE ENVASADO PET NO RETORNABLE")</f>
        <v>LINEA DE ENVASADO PET NO RETORNABLE</v>
      </c>
      <c r="B463" s="5">
        <f ca="1">IFERROR(__xludf.DUMMYFUNCTION("""COMPUTED_VALUE"""),710315)</f>
        <v>710315</v>
      </c>
      <c r="C463" s="5" t="str">
        <f ca="1">IFERROR(__xludf.DUMMYFUNCTION("""COMPUTED_VALUE"""),"ENJUAGADORA-RINSE")</f>
        <v>ENJUAGADORA-RINSE</v>
      </c>
      <c r="D463" s="5">
        <f ca="1">IFERROR(__xludf.DUMMYFUNCTION("""COMPUTED_VALUE"""),13247822)</f>
        <v>13247822</v>
      </c>
      <c r="E463" s="5" t="str">
        <f ca="1">IFERROR(__xludf.DUMMYFUNCTION("""COMPUTED_VALUE"""),"INSPECCION SEMANAL ENJUAGADORA-RINSE")</f>
        <v>INSPECCION SEMANAL ENJUAGADORA-RINSE</v>
      </c>
      <c r="F463" s="5" t="str">
        <f ca="1">IFERROR(__xludf.DUMMYFUNCTION("""COMPUTED_VALUE"""),"ESTADO CORREA DENTADA")</f>
        <v>ESTADO CORREA DENTADA</v>
      </c>
      <c r="G463" s="5"/>
      <c r="H463" s="5"/>
      <c r="I463" s="5"/>
      <c r="J463" s="5"/>
      <c r="K463" s="5"/>
      <c r="L463" s="18">
        <f ca="1">IFERROR(__xludf.DUMMYFUNCTION("""COMPUTED_VALUE"""),45325)</f>
        <v>45325</v>
      </c>
      <c r="M463" s="18">
        <f ca="1">IFERROR(__xludf.DUMMYFUNCTION("""COMPUTED_VALUE"""),45325)</f>
        <v>45325</v>
      </c>
      <c r="N463" s="5" t="str">
        <f ca="1">IFERROR(__xludf.DUMMYFUNCTION("""COMPUTED_VALUE"""),"FERNEYORLANDO RAMOS AULLON")</f>
        <v>FERNEYORLANDO RAMOS AULLON</v>
      </c>
      <c r="O463" s="2">
        <f ca="1">IFERROR(__xludf.DUMMYFUNCTION("""COMPUTED_VALUE"""),0.006666667)</f>
        <v>6.6666670000000003E-3</v>
      </c>
      <c r="P463" s="5"/>
      <c r="Q463" s="5" t="str">
        <f ca="1">IFERROR(__xludf.DUMMYFUNCTION("""COMPUTED_VALUE"""),"qvdl935nLdE")</f>
        <v>qvdl935nLdE</v>
      </c>
      <c r="R463" s="5">
        <f ca="1">IFERROR(__xludf.DUMMYFUNCTION("""COMPUTED_VALUE"""),410)</f>
        <v>410</v>
      </c>
      <c r="S463" s="62">
        <f ca="1">IFERROR(__xludf.DUMMYFUNCTION("""COMPUTED_VALUE"""),0.006666667)</f>
        <v>6.6666670000000003E-3</v>
      </c>
      <c r="T463" s="63" t="str">
        <f ca="1">IFERROR(__xludf.DUMMYFUNCTION("""COMPUTED_VALUE"""),"https://storage.googleapis.com/glide-prod.appspot.com/uploads-v2/ly7o78grxPaC6KdgvbpS/pub/UliJWgpEaBovaFmXi6OW.png")</f>
        <v>https://storage.googleapis.com/glide-prod.appspot.com/uploads-v2/ly7o78grxPaC6KdgvbpS/pub/UliJWgpEaBovaFmXi6OW.png</v>
      </c>
      <c r="U463" s="5" t="str">
        <f ca="1">IFERROR(__xludf.DUMMYFUNCTION("""COMPUTED_VALUE"""),"LINEA DE ENVASADO PET NO RETORNABLEENJUAGADORA-RINSE")</f>
        <v>LINEA DE ENVASADO PET NO RETORNABLEENJUAGADORA-RINSE</v>
      </c>
      <c r="V463" s="5"/>
      <c r="W463" s="5"/>
      <c r="X463" s="5" t="str">
        <f ca="1">IFERROR(__xludf.DUMMYFUNCTION("""COMPUTED_VALUE"""),"wguerra@postobon.com.co,aprmttoyu@postobon.com.co,aprmyu@postobon.com.co,wmora@postobon.com.co,efzapata@postobon.com.co")</f>
        <v>wguerra@postobon.com.co,aprmttoyu@postobon.com.co,aprmyu@postobon.com.co,wmora@postobon.com.co,efzapata@postobon.com.co</v>
      </c>
      <c r="Y463" s="5" t="str">
        <f ca="1">IFERROR(__xludf.DUMMYFUNCTION("""COMPUTED_VALUE"""),"wguerra@postobon.com.co")</f>
        <v>wguerra@postobon.com.co</v>
      </c>
      <c r="Z463" s="5" t="str">
        <f ca="1">IFERROR(__xludf.DUMMYFUNCTION("""COMPUTED_VALUE"""),"ThJ1pmdGRjC.NNSJYhASkw")</f>
        <v>ThJ1pmdGRjC.NNSJYhASkw</v>
      </c>
      <c r="AA463" s="5"/>
      <c r="AB463" s="5"/>
      <c r="AC463" s="5"/>
      <c r="AD463" s="5">
        <f ca="1">IFERROR(__xludf.DUMMYFUNCTION("""COMPUTED_VALUE"""),24)</f>
        <v>24</v>
      </c>
      <c r="AE463" s="5">
        <f ca="1">IFERROR(__xludf.DUMMYFUNCTION("""COMPUTED_VALUE"""),0)</f>
        <v>0</v>
      </c>
      <c r="AF463" s="5" t="b">
        <f ca="1">IFERROR(__xludf.DUMMYFUNCTION("""COMPUTED_VALUE"""),TRUE)</f>
        <v>1</v>
      </c>
      <c r="AG463" s="5" t="str">
        <f ca="1">IFERROR(__xludf.DUMMYFUNCTION("""COMPUTED_VALUE"""),"INSPECCIONES SIN REALIZAR")</f>
        <v>INSPECCIONES SIN REALIZAR</v>
      </c>
      <c r="AH463" s="5"/>
    </row>
    <row r="464" spans="1:34">
      <c r="A464" s="5" t="str">
        <f ca="1">IFERROR(__xludf.DUMMYFUNCTION("""COMPUTED_VALUE"""),"LINEA DE ENVASADO PET NO RETORNABLE")</f>
        <v>LINEA DE ENVASADO PET NO RETORNABLE</v>
      </c>
      <c r="B464" s="5">
        <f ca="1">IFERROR(__xludf.DUMMYFUNCTION("""COMPUTED_VALUE"""),710315)</f>
        <v>710315</v>
      </c>
      <c r="C464" s="5" t="str">
        <f ca="1">IFERROR(__xludf.DUMMYFUNCTION("""COMPUTED_VALUE"""),"ENJUAGADORA-RINSE")</f>
        <v>ENJUAGADORA-RINSE</v>
      </c>
      <c r="D464" s="5">
        <f ca="1">IFERROR(__xludf.DUMMYFUNCTION("""COMPUTED_VALUE"""),13247822)</f>
        <v>13247822</v>
      </c>
      <c r="E464" s="5" t="str">
        <f ca="1">IFERROR(__xludf.DUMMYFUNCTION("""COMPUTED_VALUE"""),"INSPECCION SEMANAL ENJUAGADORA-RINSE")</f>
        <v>INSPECCION SEMANAL ENJUAGADORA-RINSE</v>
      </c>
      <c r="F464" s="5" t="str">
        <f ca="1">IFERROR(__xludf.DUMMYFUNCTION("""COMPUTED_VALUE"""),"INSP SISTEMA NEUMATICO(VALVULAS,CILINDROS)")</f>
        <v>INSP SISTEMA NEUMATICO(VALVULAS,CILINDROS)</v>
      </c>
      <c r="G464" s="5"/>
      <c r="H464" s="5"/>
      <c r="I464" s="5"/>
      <c r="J464" s="5"/>
      <c r="K464" s="5"/>
      <c r="L464" s="18">
        <f ca="1">IFERROR(__xludf.DUMMYFUNCTION("""COMPUTED_VALUE"""),45325)</f>
        <v>45325</v>
      </c>
      <c r="M464" s="18">
        <f ca="1">IFERROR(__xludf.DUMMYFUNCTION("""COMPUTED_VALUE"""),45325)</f>
        <v>45325</v>
      </c>
      <c r="N464" s="5" t="str">
        <f ca="1">IFERROR(__xludf.DUMMYFUNCTION("""COMPUTED_VALUE"""),"FERNEYORLANDO RAMOS AULLON")</f>
        <v>FERNEYORLANDO RAMOS AULLON</v>
      </c>
      <c r="O464" s="2">
        <f ca="1">IFERROR(__xludf.DUMMYFUNCTION("""COMPUTED_VALUE"""),0.006666667)</f>
        <v>6.6666670000000003E-3</v>
      </c>
      <c r="P464" s="5"/>
      <c r="Q464" s="5" t="str">
        <f ca="1">IFERROR(__xludf.DUMMYFUNCTION("""COMPUTED_VALUE"""),"1dcgeKQjBhk")</f>
        <v>1dcgeKQjBhk</v>
      </c>
      <c r="R464" s="5">
        <f ca="1">IFERROR(__xludf.DUMMYFUNCTION("""COMPUTED_VALUE"""),410)</f>
        <v>410</v>
      </c>
      <c r="S464" s="62">
        <f ca="1">IFERROR(__xludf.DUMMYFUNCTION("""COMPUTED_VALUE"""),0.006666667)</f>
        <v>6.6666670000000003E-3</v>
      </c>
      <c r="T464" s="63" t="str">
        <f ca="1">IFERROR(__xludf.DUMMYFUNCTION("""COMPUTED_VALUE"""),"https://storage.googleapis.com/glide-prod.appspot.com/uploads-v2/ly7o78grxPaC6KdgvbpS/pub/UliJWgpEaBovaFmXi6OW.png")</f>
        <v>https://storage.googleapis.com/glide-prod.appspot.com/uploads-v2/ly7o78grxPaC6KdgvbpS/pub/UliJWgpEaBovaFmXi6OW.png</v>
      </c>
      <c r="U464" s="5" t="str">
        <f ca="1">IFERROR(__xludf.DUMMYFUNCTION("""COMPUTED_VALUE"""),"LINEA DE ENVASADO PET NO RETORNABLEENJUAGADORA-RINSE")</f>
        <v>LINEA DE ENVASADO PET NO RETORNABLEENJUAGADORA-RINSE</v>
      </c>
      <c r="V464" s="5"/>
      <c r="W464" s="5"/>
      <c r="X464" s="5" t="str">
        <f ca="1">IFERROR(__xludf.DUMMYFUNCTION("""COMPUTED_VALUE"""),"wguerra@postobon.com.co,aprmttoyu@postobon.com.co,aprmyu@postobon.com.co,wmora@postobon.com.co,efzapata@postobon.com.co")</f>
        <v>wguerra@postobon.com.co,aprmttoyu@postobon.com.co,aprmyu@postobon.com.co,wmora@postobon.com.co,efzapata@postobon.com.co</v>
      </c>
      <c r="Y464" s="5" t="str">
        <f ca="1">IFERROR(__xludf.DUMMYFUNCTION("""COMPUTED_VALUE"""),"wguerra@postobon.com.co")</f>
        <v>wguerra@postobon.com.co</v>
      </c>
      <c r="Z464" s="5" t="str">
        <f ca="1">IFERROR(__xludf.DUMMYFUNCTION("""COMPUTED_VALUE"""),"K-2bknnzSd-OMciEB-dlGQ")</f>
        <v>K-2bknnzSd-OMciEB-dlGQ</v>
      </c>
      <c r="AA464" s="5"/>
      <c r="AB464" s="5"/>
      <c r="AC464" s="5"/>
      <c r="AD464" s="5">
        <f ca="1">IFERROR(__xludf.DUMMYFUNCTION("""COMPUTED_VALUE"""),24)</f>
        <v>24</v>
      </c>
      <c r="AE464" s="5">
        <f ca="1">IFERROR(__xludf.DUMMYFUNCTION("""COMPUTED_VALUE"""),0)</f>
        <v>0</v>
      </c>
      <c r="AF464" s="5" t="b">
        <f ca="1">IFERROR(__xludf.DUMMYFUNCTION("""COMPUTED_VALUE"""),TRUE)</f>
        <v>1</v>
      </c>
      <c r="AG464" s="5" t="str">
        <f ca="1">IFERROR(__xludf.DUMMYFUNCTION("""COMPUTED_VALUE"""),"INSPECCIONES SIN REALIZAR")</f>
        <v>INSPECCIONES SIN REALIZAR</v>
      </c>
      <c r="AH464" s="5"/>
    </row>
    <row r="465" spans="1:34">
      <c r="A465" s="5" t="str">
        <f ca="1">IFERROR(__xludf.DUMMYFUNCTION("""COMPUTED_VALUE"""),"LINEA DE ENVASADO PET NO RETORNABLE")</f>
        <v>LINEA DE ENVASADO PET NO RETORNABLE</v>
      </c>
      <c r="B465" s="5">
        <f ca="1">IFERROR(__xludf.DUMMYFUNCTION("""COMPUTED_VALUE"""),710315)</f>
        <v>710315</v>
      </c>
      <c r="C465" s="5" t="str">
        <f ca="1">IFERROR(__xludf.DUMMYFUNCTION("""COMPUTED_VALUE"""),"ENJUAGADORA-RINSE")</f>
        <v>ENJUAGADORA-RINSE</v>
      </c>
      <c r="D465" s="5">
        <f ca="1">IFERROR(__xludf.DUMMYFUNCTION("""COMPUTED_VALUE"""),13247822)</f>
        <v>13247822</v>
      </c>
      <c r="E465" s="5" t="str">
        <f ca="1">IFERROR(__xludf.DUMMYFUNCTION("""COMPUTED_VALUE"""),"INSPECCION SEMANAL ENJUAGADORA-RINSE")</f>
        <v>INSPECCION SEMANAL ENJUAGADORA-RINSE</v>
      </c>
      <c r="F465" s="5" t="str">
        <f ca="1">IFERROR(__xludf.DUMMYFUNCTION("""COMPUTED_VALUE"""),"ESTADO FILTRO AGUA")</f>
        <v>ESTADO FILTRO AGUA</v>
      </c>
      <c r="G465" s="5"/>
      <c r="H465" s="5"/>
      <c r="I465" s="5"/>
      <c r="J465" s="5"/>
      <c r="K465" s="5"/>
      <c r="L465" s="18">
        <f ca="1">IFERROR(__xludf.DUMMYFUNCTION("""COMPUTED_VALUE"""),45325)</f>
        <v>45325</v>
      </c>
      <c r="M465" s="18">
        <f ca="1">IFERROR(__xludf.DUMMYFUNCTION("""COMPUTED_VALUE"""),45325)</f>
        <v>45325</v>
      </c>
      <c r="N465" s="5" t="str">
        <f ca="1">IFERROR(__xludf.DUMMYFUNCTION("""COMPUTED_VALUE"""),"FERNEYORLANDO RAMOS AULLON")</f>
        <v>FERNEYORLANDO RAMOS AULLON</v>
      </c>
      <c r="O465" s="2">
        <f ca="1">IFERROR(__xludf.DUMMYFUNCTION("""COMPUTED_VALUE"""),0.006666667)</f>
        <v>6.6666670000000003E-3</v>
      </c>
      <c r="P465" s="5"/>
      <c r="Q465" s="5" t="str">
        <f ca="1">IFERROR(__xludf.DUMMYFUNCTION("""COMPUTED_VALUE"""),"ub011QOzbX8")</f>
        <v>ub011QOzbX8</v>
      </c>
      <c r="R465" s="5">
        <f ca="1">IFERROR(__xludf.DUMMYFUNCTION("""COMPUTED_VALUE"""),410)</f>
        <v>410</v>
      </c>
      <c r="S465" s="62">
        <f ca="1">IFERROR(__xludf.DUMMYFUNCTION("""COMPUTED_VALUE"""),0.006666667)</f>
        <v>6.6666670000000003E-3</v>
      </c>
      <c r="T465" s="63" t="str">
        <f ca="1">IFERROR(__xludf.DUMMYFUNCTION("""COMPUTED_VALUE"""),"https://storage.googleapis.com/glide-prod.appspot.com/uploads-v2/ly7o78grxPaC6KdgvbpS/pub/UliJWgpEaBovaFmXi6OW.png")</f>
        <v>https://storage.googleapis.com/glide-prod.appspot.com/uploads-v2/ly7o78grxPaC6KdgvbpS/pub/UliJWgpEaBovaFmXi6OW.png</v>
      </c>
      <c r="U465" s="5" t="str">
        <f ca="1">IFERROR(__xludf.DUMMYFUNCTION("""COMPUTED_VALUE"""),"LINEA DE ENVASADO PET NO RETORNABLEENJUAGADORA-RINSE")</f>
        <v>LINEA DE ENVASADO PET NO RETORNABLEENJUAGADORA-RINSE</v>
      </c>
      <c r="V465" s="5"/>
      <c r="W465" s="5"/>
      <c r="X465" s="5" t="str">
        <f ca="1">IFERROR(__xludf.DUMMYFUNCTION("""COMPUTED_VALUE"""),"wguerra@postobon.com.co,aprmttoyu@postobon.com.co,aprmyu@postobon.com.co,wmora@postobon.com.co,efzapata@postobon.com.co")</f>
        <v>wguerra@postobon.com.co,aprmttoyu@postobon.com.co,aprmyu@postobon.com.co,wmora@postobon.com.co,efzapata@postobon.com.co</v>
      </c>
      <c r="Y465" s="5" t="str">
        <f ca="1">IFERROR(__xludf.DUMMYFUNCTION("""COMPUTED_VALUE"""),"wguerra@postobon.com.co")</f>
        <v>wguerra@postobon.com.co</v>
      </c>
      <c r="Z465" s="5" t="str">
        <f ca="1">IFERROR(__xludf.DUMMYFUNCTION("""COMPUTED_VALUE"""),"X9T2ml0RRSOqv-IuL18fuw")</f>
        <v>X9T2ml0RRSOqv-IuL18fuw</v>
      </c>
      <c r="AA465" s="5"/>
      <c r="AB465" s="5"/>
      <c r="AC465" s="5"/>
      <c r="AD465" s="5">
        <f ca="1">IFERROR(__xludf.DUMMYFUNCTION("""COMPUTED_VALUE"""),24)</f>
        <v>24</v>
      </c>
      <c r="AE465" s="5">
        <f ca="1">IFERROR(__xludf.DUMMYFUNCTION("""COMPUTED_VALUE"""),0)</f>
        <v>0</v>
      </c>
      <c r="AF465" s="5" t="b">
        <f ca="1">IFERROR(__xludf.DUMMYFUNCTION("""COMPUTED_VALUE"""),TRUE)</f>
        <v>1</v>
      </c>
      <c r="AG465" s="5" t="str">
        <f ca="1">IFERROR(__xludf.DUMMYFUNCTION("""COMPUTED_VALUE"""),"INSPECCIONES SIN REALIZAR")</f>
        <v>INSPECCIONES SIN REALIZAR</v>
      </c>
      <c r="AH465" s="5"/>
    </row>
    <row r="466" spans="1:34">
      <c r="A466" s="5" t="str">
        <f ca="1">IFERROR(__xludf.DUMMYFUNCTION("""COMPUTED_VALUE"""),"LINEA DE ENVASADO PET NO RETORNABLE")</f>
        <v>LINEA DE ENVASADO PET NO RETORNABLE</v>
      </c>
      <c r="B466" s="5">
        <f ca="1">IFERROR(__xludf.DUMMYFUNCTION("""COMPUTED_VALUE"""),710315)</f>
        <v>710315</v>
      </c>
      <c r="C466" s="5" t="str">
        <f ca="1">IFERROR(__xludf.DUMMYFUNCTION("""COMPUTED_VALUE"""),"ENJUAGADORA-RINSE")</f>
        <v>ENJUAGADORA-RINSE</v>
      </c>
      <c r="D466" s="5">
        <f ca="1">IFERROR(__xludf.DUMMYFUNCTION("""COMPUTED_VALUE"""),13247822)</f>
        <v>13247822</v>
      </c>
      <c r="E466" s="5" t="str">
        <f ca="1">IFERROR(__xludf.DUMMYFUNCTION("""COMPUTED_VALUE"""),"INSPECCION SEMANAL ENJUAGADORA-RINSE")</f>
        <v>INSPECCION SEMANAL ENJUAGADORA-RINSE</v>
      </c>
      <c r="F466" s="5" t="str">
        <f ca="1">IFERROR(__xludf.DUMMYFUNCTION("""COMPUTED_VALUE"""),"INSP FUNC FRENO MOTOR")</f>
        <v>INSP FUNC FRENO MOTOR</v>
      </c>
      <c r="G466" s="5"/>
      <c r="H466" s="5"/>
      <c r="I466" s="5"/>
      <c r="J466" s="5"/>
      <c r="K466" s="5"/>
      <c r="L466" s="18">
        <f ca="1">IFERROR(__xludf.DUMMYFUNCTION("""COMPUTED_VALUE"""),45325)</f>
        <v>45325</v>
      </c>
      <c r="M466" s="18">
        <f ca="1">IFERROR(__xludf.DUMMYFUNCTION("""COMPUTED_VALUE"""),45325)</f>
        <v>45325</v>
      </c>
      <c r="N466" s="5" t="str">
        <f ca="1">IFERROR(__xludf.DUMMYFUNCTION("""COMPUTED_VALUE"""),"FERNEYORLANDO RAMOS AULLON")</f>
        <v>FERNEYORLANDO RAMOS AULLON</v>
      </c>
      <c r="O466" s="2">
        <f ca="1">IFERROR(__xludf.DUMMYFUNCTION("""COMPUTED_VALUE"""),0.006666667)</f>
        <v>6.6666670000000003E-3</v>
      </c>
      <c r="P466" s="5"/>
      <c r="Q466" s="5" t="str">
        <f ca="1">IFERROR(__xludf.DUMMYFUNCTION("""COMPUTED_VALUE"""),"3Ctt6ijJdQE")</f>
        <v>3Ctt6ijJdQE</v>
      </c>
      <c r="R466" s="5">
        <f ca="1">IFERROR(__xludf.DUMMYFUNCTION("""COMPUTED_VALUE"""),410)</f>
        <v>410</v>
      </c>
      <c r="S466" s="62">
        <f ca="1">IFERROR(__xludf.DUMMYFUNCTION("""COMPUTED_VALUE"""),0.006666667)</f>
        <v>6.6666670000000003E-3</v>
      </c>
      <c r="T466" s="63" t="str">
        <f ca="1">IFERROR(__xludf.DUMMYFUNCTION("""COMPUTED_VALUE"""),"https://storage.googleapis.com/glide-prod.appspot.com/uploads-v2/ly7o78grxPaC6KdgvbpS/pub/UliJWgpEaBovaFmXi6OW.png")</f>
        <v>https://storage.googleapis.com/glide-prod.appspot.com/uploads-v2/ly7o78grxPaC6KdgvbpS/pub/UliJWgpEaBovaFmXi6OW.png</v>
      </c>
      <c r="U466" s="5" t="str">
        <f ca="1">IFERROR(__xludf.DUMMYFUNCTION("""COMPUTED_VALUE"""),"LINEA DE ENVASADO PET NO RETORNABLEENJUAGADORA-RINSE")</f>
        <v>LINEA DE ENVASADO PET NO RETORNABLEENJUAGADORA-RINSE</v>
      </c>
      <c r="V466" s="5"/>
      <c r="W466" s="5"/>
      <c r="X466" s="5" t="str">
        <f ca="1">IFERROR(__xludf.DUMMYFUNCTION("""COMPUTED_VALUE"""),"wguerra@postobon.com.co,aprmttoyu@postobon.com.co,aprmyu@postobon.com.co,wmora@postobon.com.co,efzapata@postobon.com.co")</f>
        <v>wguerra@postobon.com.co,aprmttoyu@postobon.com.co,aprmyu@postobon.com.co,wmora@postobon.com.co,efzapata@postobon.com.co</v>
      </c>
      <c r="Y466" s="5" t="str">
        <f ca="1">IFERROR(__xludf.DUMMYFUNCTION("""COMPUTED_VALUE"""),"wguerra@postobon.com.co")</f>
        <v>wguerra@postobon.com.co</v>
      </c>
      <c r="Z466" s="5" t="str">
        <f ca="1">IFERROR(__xludf.DUMMYFUNCTION("""COMPUTED_VALUE"""),"3YZCzXUBTraL6XFsu2go4w")</f>
        <v>3YZCzXUBTraL6XFsu2go4w</v>
      </c>
      <c r="AA466" s="5"/>
      <c r="AB466" s="5"/>
      <c r="AC466" s="5"/>
      <c r="AD466" s="5">
        <f ca="1">IFERROR(__xludf.DUMMYFUNCTION("""COMPUTED_VALUE"""),24)</f>
        <v>24</v>
      </c>
      <c r="AE466" s="5">
        <f ca="1">IFERROR(__xludf.DUMMYFUNCTION("""COMPUTED_VALUE"""),0)</f>
        <v>0</v>
      </c>
      <c r="AF466" s="5" t="b">
        <f ca="1">IFERROR(__xludf.DUMMYFUNCTION("""COMPUTED_VALUE"""),TRUE)</f>
        <v>1</v>
      </c>
      <c r="AG466" s="5" t="str">
        <f ca="1">IFERROR(__xludf.DUMMYFUNCTION("""COMPUTED_VALUE"""),"INSPECCIONES SIN REALIZAR")</f>
        <v>INSPECCIONES SIN REALIZAR</v>
      </c>
      <c r="AH466" s="5"/>
    </row>
    <row r="467" spans="1:34">
      <c r="A467" s="5" t="str">
        <f ca="1">IFERROR(__xludf.DUMMYFUNCTION("""COMPUTED_VALUE"""),"LINEA DE ENVASADO PET NO RETORNABLE")</f>
        <v>LINEA DE ENVASADO PET NO RETORNABLE</v>
      </c>
      <c r="B467" s="5">
        <f ca="1">IFERROR(__xludf.DUMMYFUNCTION("""COMPUTED_VALUE"""),710315)</f>
        <v>710315</v>
      </c>
      <c r="C467" s="5" t="str">
        <f ca="1">IFERROR(__xludf.DUMMYFUNCTION("""COMPUTED_VALUE"""),"ENJUAGADORA-RINSE")</f>
        <v>ENJUAGADORA-RINSE</v>
      </c>
      <c r="D467" s="5">
        <f ca="1">IFERROR(__xludf.DUMMYFUNCTION("""COMPUTED_VALUE"""),13247822)</f>
        <v>13247822</v>
      </c>
      <c r="E467" s="5" t="str">
        <f ca="1">IFERROR(__xludf.DUMMYFUNCTION("""COMPUTED_VALUE"""),"INSPECCION SEMANAL ENJUAGADORA-RINSE")</f>
        <v>INSPECCION SEMANAL ENJUAGADORA-RINSE</v>
      </c>
      <c r="F467" s="5" t="str">
        <f ca="1">IFERROR(__xludf.DUMMYFUNCTION("""COMPUTED_VALUE"""),"INSP FUGAS FLUIDOS")</f>
        <v>INSP FUGAS FLUIDOS</v>
      </c>
      <c r="G467" s="5"/>
      <c r="H467" s="5"/>
      <c r="I467" s="5"/>
      <c r="J467" s="5"/>
      <c r="K467" s="5"/>
      <c r="L467" s="18">
        <f ca="1">IFERROR(__xludf.DUMMYFUNCTION("""COMPUTED_VALUE"""),45325)</f>
        <v>45325</v>
      </c>
      <c r="M467" s="18">
        <f ca="1">IFERROR(__xludf.DUMMYFUNCTION("""COMPUTED_VALUE"""),45325)</f>
        <v>45325</v>
      </c>
      <c r="N467" s="5" t="str">
        <f ca="1">IFERROR(__xludf.DUMMYFUNCTION("""COMPUTED_VALUE"""),"FERNEYORLANDO RAMOS AULLON")</f>
        <v>FERNEYORLANDO RAMOS AULLON</v>
      </c>
      <c r="O467" s="2">
        <f ca="1">IFERROR(__xludf.DUMMYFUNCTION("""COMPUTED_VALUE"""),0.006666667)</f>
        <v>6.6666670000000003E-3</v>
      </c>
      <c r="P467" s="5"/>
      <c r="Q467" s="5" t="str">
        <f ca="1">IFERROR(__xludf.DUMMYFUNCTION("""COMPUTED_VALUE"""),"jz_3V47_loM")</f>
        <v>jz_3V47_loM</v>
      </c>
      <c r="R467" s="5">
        <f ca="1">IFERROR(__xludf.DUMMYFUNCTION("""COMPUTED_VALUE"""),410)</f>
        <v>410</v>
      </c>
      <c r="S467" s="62">
        <f ca="1">IFERROR(__xludf.DUMMYFUNCTION("""COMPUTED_VALUE"""),0.006666667)</f>
        <v>6.6666670000000003E-3</v>
      </c>
      <c r="T467" s="63" t="str">
        <f ca="1">IFERROR(__xludf.DUMMYFUNCTION("""COMPUTED_VALUE"""),"https://storage.googleapis.com/glide-prod.appspot.com/uploads-v2/ly7o78grxPaC6KdgvbpS/pub/UliJWgpEaBovaFmXi6OW.png")</f>
        <v>https://storage.googleapis.com/glide-prod.appspot.com/uploads-v2/ly7o78grxPaC6KdgvbpS/pub/UliJWgpEaBovaFmXi6OW.png</v>
      </c>
      <c r="U467" s="5" t="str">
        <f ca="1">IFERROR(__xludf.DUMMYFUNCTION("""COMPUTED_VALUE"""),"LINEA DE ENVASADO PET NO RETORNABLEENJUAGADORA-RINSE")</f>
        <v>LINEA DE ENVASADO PET NO RETORNABLEENJUAGADORA-RINSE</v>
      </c>
      <c r="V467" s="5"/>
      <c r="W467" s="5"/>
      <c r="X467" s="5" t="str">
        <f ca="1">IFERROR(__xludf.DUMMYFUNCTION("""COMPUTED_VALUE"""),"wguerra@postobon.com.co,aprmttoyu@postobon.com.co,aprmyu@postobon.com.co,wmora@postobon.com.co,efzapata@postobon.com.co")</f>
        <v>wguerra@postobon.com.co,aprmttoyu@postobon.com.co,aprmyu@postobon.com.co,wmora@postobon.com.co,efzapata@postobon.com.co</v>
      </c>
      <c r="Y467" s="5" t="str">
        <f ca="1">IFERROR(__xludf.DUMMYFUNCTION("""COMPUTED_VALUE"""),"wguerra@postobon.com.co")</f>
        <v>wguerra@postobon.com.co</v>
      </c>
      <c r="Z467" s="5" t="str">
        <f ca="1">IFERROR(__xludf.DUMMYFUNCTION("""COMPUTED_VALUE"""),"a-1kER2gFSy2I3weH1pSVgA")</f>
        <v>a-1kER2gFSy2I3weH1pSVgA</v>
      </c>
      <c r="AA467" s="5"/>
      <c r="AB467" s="5"/>
      <c r="AC467" s="5"/>
      <c r="AD467" s="5">
        <f ca="1">IFERROR(__xludf.DUMMYFUNCTION("""COMPUTED_VALUE"""),24)</f>
        <v>24</v>
      </c>
      <c r="AE467" s="5">
        <f ca="1">IFERROR(__xludf.DUMMYFUNCTION("""COMPUTED_VALUE"""),0)</f>
        <v>0</v>
      </c>
      <c r="AF467" s="5" t="b">
        <f ca="1">IFERROR(__xludf.DUMMYFUNCTION("""COMPUTED_VALUE"""),TRUE)</f>
        <v>1</v>
      </c>
      <c r="AG467" s="5" t="str">
        <f ca="1">IFERROR(__xludf.DUMMYFUNCTION("""COMPUTED_VALUE"""),"INSPECCIONES SIN REALIZAR")</f>
        <v>INSPECCIONES SIN REALIZAR</v>
      </c>
      <c r="AH467" s="5"/>
    </row>
    <row r="468" spans="1:34">
      <c r="A468" s="5" t="str">
        <f ca="1">IFERROR(__xludf.DUMMYFUNCTION("""COMPUTED_VALUE"""),"LINEA DE ENVASADO PET NO RETORNABLE")</f>
        <v>LINEA DE ENVASADO PET NO RETORNABLE</v>
      </c>
      <c r="B468" s="5">
        <f ca="1">IFERROR(__xludf.DUMMYFUNCTION("""COMPUTED_VALUE"""),710315)</f>
        <v>710315</v>
      </c>
      <c r="C468" s="5" t="str">
        <f ca="1">IFERROR(__xludf.DUMMYFUNCTION("""COMPUTED_VALUE"""),"ENJUAGADORA-RINSE")</f>
        <v>ENJUAGADORA-RINSE</v>
      </c>
      <c r="D468" s="5">
        <f ca="1">IFERROR(__xludf.DUMMYFUNCTION("""COMPUTED_VALUE"""),13247822)</f>
        <v>13247822</v>
      </c>
      <c r="E468" s="5" t="str">
        <f ca="1">IFERROR(__xludf.DUMMYFUNCTION("""COMPUTED_VALUE"""),"INSPECCION SEMANAL ENJUAGADORA-RINSE")</f>
        <v>INSPECCION SEMANAL ENJUAGADORA-RINSE</v>
      </c>
      <c r="F468" s="5" t="str">
        <f ca="1">IFERROR(__xludf.DUMMYFUNCTION("""COMPUTED_VALUE"""),"ESTADO TRANSMISION (ARBOL)")</f>
        <v>ESTADO TRANSMISION (ARBOL)</v>
      </c>
      <c r="G468" s="5"/>
      <c r="H468" s="5"/>
      <c r="I468" s="5"/>
      <c r="J468" s="5"/>
      <c r="K468" s="5"/>
      <c r="L468" s="18">
        <f ca="1">IFERROR(__xludf.DUMMYFUNCTION("""COMPUTED_VALUE"""),45325)</f>
        <v>45325</v>
      </c>
      <c r="M468" s="18">
        <f ca="1">IFERROR(__xludf.DUMMYFUNCTION("""COMPUTED_VALUE"""),45325)</f>
        <v>45325</v>
      </c>
      <c r="N468" s="5" t="str">
        <f ca="1">IFERROR(__xludf.DUMMYFUNCTION("""COMPUTED_VALUE"""),"FERNEYORLANDO RAMOS AULLON")</f>
        <v>FERNEYORLANDO RAMOS AULLON</v>
      </c>
      <c r="O468" s="2">
        <f ca="1">IFERROR(__xludf.DUMMYFUNCTION("""COMPUTED_VALUE"""),0.006666667)</f>
        <v>6.6666670000000003E-3</v>
      </c>
      <c r="P468" s="5"/>
      <c r="Q468" s="5" t="str">
        <f ca="1">IFERROR(__xludf.DUMMYFUNCTION("""COMPUTED_VALUE"""),"t6GlAnkqHlM")</f>
        <v>t6GlAnkqHlM</v>
      </c>
      <c r="R468" s="5">
        <f ca="1">IFERROR(__xludf.DUMMYFUNCTION("""COMPUTED_VALUE"""),410)</f>
        <v>410</v>
      </c>
      <c r="S468" s="62">
        <f ca="1">IFERROR(__xludf.DUMMYFUNCTION("""COMPUTED_VALUE"""),0.006666667)</f>
        <v>6.6666670000000003E-3</v>
      </c>
      <c r="T468" s="63" t="str">
        <f ca="1">IFERROR(__xludf.DUMMYFUNCTION("""COMPUTED_VALUE"""),"https://storage.googleapis.com/glide-prod.appspot.com/uploads-v2/ly7o78grxPaC6KdgvbpS/pub/UliJWgpEaBovaFmXi6OW.png")</f>
        <v>https://storage.googleapis.com/glide-prod.appspot.com/uploads-v2/ly7o78grxPaC6KdgvbpS/pub/UliJWgpEaBovaFmXi6OW.png</v>
      </c>
      <c r="U468" s="5" t="str">
        <f ca="1">IFERROR(__xludf.DUMMYFUNCTION("""COMPUTED_VALUE"""),"LINEA DE ENVASADO PET NO RETORNABLEENJUAGADORA-RINSE")</f>
        <v>LINEA DE ENVASADO PET NO RETORNABLEENJUAGADORA-RINSE</v>
      </c>
      <c r="V468" s="5"/>
      <c r="W468" s="5"/>
      <c r="X468" s="5" t="str">
        <f ca="1">IFERROR(__xludf.DUMMYFUNCTION("""COMPUTED_VALUE"""),"wguerra@postobon.com.co,aprmttoyu@postobon.com.co,aprmyu@postobon.com.co,wmora@postobon.com.co,efzapata@postobon.com.co")</f>
        <v>wguerra@postobon.com.co,aprmttoyu@postobon.com.co,aprmyu@postobon.com.co,wmora@postobon.com.co,efzapata@postobon.com.co</v>
      </c>
      <c r="Y468" s="5" t="str">
        <f ca="1">IFERROR(__xludf.DUMMYFUNCTION("""COMPUTED_VALUE"""),"wguerra@postobon.com.co")</f>
        <v>wguerra@postobon.com.co</v>
      </c>
      <c r="Z468" s="5" t="str">
        <f ca="1">IFERROR(__xludf.DUMMYFUNCTION("""COMPUTED_VALUE"""),"FFzQXQU7QciQ.T7-E4VtVw")</f>
        <v>FFzQXQU7QciQ.T7-E4VtVw</v>
      </c>
      <c r="AA468" s="5"/>
      <c r="AB468" s="5"/>
      <c r="AC468" s="5"/>
      <c r="AD468" s="5">
        <f ca="1">IFERROR(__xludf.DUMMYFUNCTION("""COMPUTED_VALUE"""),24)</f>
        <v>24</v>
      </c>
      <c r="AE468" s="5">
        <f ca="1">IFERROR(__xludf.DUMMYFUNCTION("""COMPUTED_VALUE"""),0)</f>
        <v>0</v>
      </c>
      <c r="AF468" s="5" t="b">
        <f ca="1">IFERROR(__xludf.DUMMYFUNCTION("""COMPUTED_VALUE"""),TRUE)</f>
        <v>1</v>
      </c>
      <c r="AG468" s="5" t="str">
        <f ca="1">IFERROR(__xludf.DUMMYFUNCTION("""COMPUTED_VALUE"""),"INSPECCIONES SIN REALIZAR")</f>
        <v>INSPECCIONES SIN REALIZAR</v>
      </c>
      <c r="AH468" s="5"/>
    </row>
    <row r="469" spans="1:34">
      <c r="A469" s="5" t="str">
        <f ca="1">IFERROR(__xludf.DUMMYFUNCTION("""COMPUTED_VALUE"""),"LINEA DE ENVASADO PET NO RETORNABLE")</f>
        <v>LINEA DE ENVASADO PET NO RETORNABLE</v>
      </c>
      <c r="B469" s="5">
        <f ca="1">IFERROR(__xludf.DUMMYFUNCTION("""COMPUTED_VALUE"""),710315)</f>
        <v>710315</v>
      </c>
      <c r="C469" s="5" t="str">
        <f ca="1">IFERROR(__xludf.DUMMYFUNCTION("""COMPUTED_VALUE"""),"ENJUAGADORA-RINSE")</f>
        <v>ENJUAGADORA-RINSE</v>
      </c>
      <c r="D469" s="5">
        <f ca="1">IFERROR(__xludf.DUMMYFUNCTION("""COMPUTED_VALUE"""),13247822)</f>
        <v>13247822</v>
      </c>
      <c r="E469" s="5" t="str">
        <f ca="1">IFERROR(__xludf.DUMMYFUNCTION("""COMPUTED_VALUE"""),"INSPECCION SEMANAL ENJUAGADORA-RINSE")</f>
        <v>INSPECCION SEMANAL ENJUAGADORA-RINSE</v>
      </c>
      <c r="F469" s="5" t="str">
        <f ca="1">IFERROR(__xludf.DUMMYFUNCTION("""COMPUTED_VALUE"""),"INSP TABLERO ELECTRICO/CLIMATIZADOR")</f>
        <v>INSP TABLERO ELECTRICO/CLIMATIZADOR</v>
      </c>
      <c r="G469" s="5"/>
      <c r="H469" s="5"/>
      <c r="I469" s="5"/>
      <c r="J469" s="5"/>
      <c r="K469" s="5"/>
      <c r="L469" s="18">
        <f ca="1">IFERROR(__xludf.DUMMYFUNCTION("""COMPUTED_VALUE"""),45325)</f>
        <v>45325</v>
      </c>
      <c r="M469" s="18">
        <f ca="1">IFERROR(__xludf.DUMMYFUNCTION("""COMPUTED_VALUE"""),45325)</f>
        <v>45325</v>
      </c>
      <c r="N469" s="5" t="str">
        <f ca="1">IFERROR(__xludf.DUMMYFUNCTION("""COMPUTED_VALUE"""),"FERNEYORLANDO RAMOS AULLON")</f>
        <v>FERNEYORLANDO RAMOS AULLON</v>
      </c>
      <c r="O469" s="2">
        <f ca="1">IFERROR(__xludf.DUMMYFUNCTION("""COMPUTED_VALUE"""),0.006666667)</f>
        <v>6.6666670000000003E-3</v>
      </c>
      <c r="P469" s="5"/>
      <c r="Q469" s="5" t="str">
        <f ca="1">IFERROR(__xludf.DUMMYFUNCTION("""COMPUTED_VALUE"""),"TPKPfrCMFDE")</f>
        <v>TPKPfrCMFDE</v>
      </c>
      <c r="R469" s="5">
        <f ca="1">IFERROR(__xludf.DUMMYFUNCTION("""COMPUTED_VALUE"""),410)</f>
        <v>410</v>
      </c>
      <c r="S469" s="62">
        <f ca="1">IFERROR(__xludf.DUMMYFUNCTION("""COMPUTED_VALUE"""),0.006666667)</f>
        <v>6.6666670000000003E-3</v>
      </c>
      <c r="T469" s="63" t="str">
        <f ca="1">IFERROR(__xludf.DUMMYFUNCTION("""COMPUTED_VALUE"""),"https://storage.googleapis.com/glide-prod.appspot.com/uploads-v2/ly7o78grxPaC6KdgvbpS/pub/UliJWgpEaBovaFmXi6OW.png")</f>
        <v>https://storage.googleapis.com/glide-prod.appspot.com/uploads-v2/ly7o78grxPaC6KdgvbpS/pub/UliJWgpEaBovaFmXi6OW.png</v>
      </c>
      <c r="U469" s="5" t="str">
        <f ca="1">IFERROR(__xludf.DUMMYFUNCTION("""COMPUTED_VALUE"""),"LINEA DE ENVASADO PET NO RETORNABLEENJUAGADORA-RINSE")</f>
        <v>LINEA DE ENVASADO PET NO RETORNABLEENJUAGADORA-RINSE</v>
      </c>
      <c r="V469" s="5"/>
      <c r="W469" s="5"/>
      <c r="X469" s="5" t="str">
        <f ca="1">IFERROR(__xludf.DUMMYFUNCTION("""COMPUTED_VALUE"""),"wguerra@postobon.com.co,aprmttoyu@postobon.com.co,aprmyu@postobon.com.co,wmora@postobon.com.co,efzapata@postobon.com.co")</f>
        <v>wguerra@postobon.com.co,aprmttoyu@postobon.com.co,aprmyu@postobon.com.co,wmora@postobon.com.co,efzapata@postobon.com.co</v>
      </c>
      <c r="Y469" s="5" t="str">
        <f ca="1">IFERROR(__xludf.DUMMYFUNCTION("""COMPUTED_VALUE"""),"wguerra@postobon.com.co")</f>
        <v>wguerra@postobon.com.co</v>
      </c>
      <c r="Z469" s="5" t="str">
        <f ca="1">IFERROR(__xludf.DUMMYFUNCTION("""COMPUTED_VALUE"""),"Y.vP.sN7RkekyNRsCTFpAg")</f>
        <v>Y.vP.sN7RkekyNRsCTFpAg</v>
      </c>
      <c r="AA469" s="5"/>
      <c r="AB469" s="5"/>
      <c r="AC469" s="5"/>
      <c r="AD469" s="5">
        <f ca="1">IFERROR(__xludf.DUMMYFUNCTION("""COMPUTED_VALUE"""),24)</f>
        <v>24</v>
      </c>
      <c r="AE469" s="5">
        <f ca="1">IFERROR(__xludf.DUMMYFUNCTION("""COMPUTED_VALUE"""),0)</f>
        <v>0</v>
      </c>
      <c r="AF469" s="5" t="b">
        <f ca="1">IFERROR(__xludf.DUMMYFUNCTION("""COMPUTED_VALUE"""),TRUE)</f>
        <v>1</v>
      </c>
      <c r="AG469" s="5" t="str">
        <f ca="1">IFERROR(__xludf.DUMMYFUNCTION("""COMPUTED_VALUE"""),"INSPECCIONES SIN REALIZAR")</f>
        <v>INSPECCIONES SIN REALIZAR</v>
      </c>
      <c r="AH469" s="5"/>
    </row>
    <row r="470" spans="1:34">
      <c r="A470" s="5" t="str">
        <f ca="1">IFERROR(__xludf.DUMMYFUNCTION("""COMPUTED_VALUE"""),"LINEA DE ENVASADO JUGOS PET HOT FILL")</f>
        <v>LINEA DE ENVASADO JUGOS PET HOT FILL</v>
      </c>
      <c r="B470" s="5">
        <f ca="1">IFERROR(__xludf.DUMMYFUNCTION("""COMPUTED_VALUE"""),90030303)</f>
        <v>90030303</v>
      </c>
      <c r="C470" s="5" t="str">
        <f ca="1">IFERROR(__xludf.DUMMYFUNCTION("""COMPUTED_VALUE"""),"ENRUTADOR TAPA")</f>
        <v>ENRUTADOR TAPA</v>
      </c>
      <c r="D470" s="5">
        <f ca="1">IFERROR(__xludf.DUMMYFUNCTION("""COMPUTED_VALUE"""),13247755)</f>
        <v>13247755</v>
      </c>
      <c r="E470" s="5" t="str">
        <f ca="1">IFERROR(__xludf.DUMMYFUNCTION("""COMPUTED_VALUE"""),"INSPECCION SEMANAL ENRUTADOR TAPA")</f>
        <v>INSPECCION SEMANAL ENRUTADOR TAPA</v>
      </c>
      <c r="F470" s="5" t="str">
        <f ca="1">IFERROR(__xludf.DUMMYFUNCTION("""COMPUTED_VALUE"""),"INSP. TABLERO ELECTRICO/CLIMATIZADOR")</f>
        <v>INSP. TABLERO ELECTRICO/CLIMATIZADOR</v>
      </c>
      <c r="G470" s="5" t="b">
        <f ca="1">IFERROR(__xludf.DUMMYFUNCTION("""COMPUTED_VALUE"""),TRUE)</f>
        <v>1</v>
      </c>
      <c r="H470" s="5"/>
      <c r="I470" s="5"/>
      <c r="J470" s="5">
        <f ca="1">IFERROR(__xludf.DUMMYFUNCTION("""COMPUTED_VALUE"""),13247755)</f>
        <v>13247755</v>
      </c>
      <c r="K470" s="5"/>
      <c r="L470" s="18">
        <f ca="1">IFERROR(__xludf.DUMMYFUNCTION("""COMPUTED_VALUE"""),45325)</f>
        <v>45325</v>
      </c>
      <c r="M470" s="18">
        <f ca="1">IFERROR(__xludf.DUMMYFUNCTION("""COMPUTED_VALUE"""),45325)</f>
        <v>45325</v>
      </c>
      <c r="N470" s="5" t="str">
        <f ca="1">IFERROR(__xludf.DUMMYFUNCTION("""COMPUTED_VALUE"""),"Vanegas Guependo Hermes")</f>
        <v>Vanegas Guependo Hermes</v>
      </c>
      <c r="O470" s="2">
        <f ca="1">IFERROR(__xludf.DUMMYFUNCTION("""COMPUTED_VALUE"""),0.0625)</f>
        <v>6.25E-2</v>
      </c>
      <c r="P470" s="5">
        <f ca="1">IFERROR(__xludf.DUMMYFUNCTION("""COMPUTED_VALUE"""),20010206)</f>
        <v>20010206</v>
      </c>
      <c r="Q470" s="5" t="str">
        <f ca="1">IFERROR(__xludf.DUMMYFUNCTION("""COMPUTED_VALUE"""),"c13wBdR0VjQ")</f>
        <v>c13wBdR0VjQ</v>
      </c>
      <c r="R470" s="5">
        <f ca="1">IFERROR(__xludf.DUMMYFUNCTION("""COMPUTED_VALUE"""),410)</f>
        <v>410</v>
      </c>
      <c r="S470" s="62">
        <f ca="1">IFERROR(__xludf.DUMMYFUNCTION("""COMPUTED_VALUE"""),0.0625)</f>
        <v>6.25E-2</v>
      </c>
      <c r="T470" s="63" t="str">
        <f ca="1">IFERROR(__xludf.DUMMYFUNCTION("""COMPUTED_VALUE"""),"https://storage.googleapis.com/glide-prod.appspot.com/uploads-v2/ly7o78grxPaC6KdgvbpS/pub/3aRdSog0vUtuqPE8AJKD.png")</f>
        <v>https://storage.googleapis.com/glide-prod.appspot.com/uploads-v2/ly7o78grxPaC6KdgvbpS/pub/3aRdSog0vUtuqPE8AJKD.png</v>
      </c>
      <c r="U470" s="5" t="str">
        <f ca="1">IFERROR(__xludf.DUMMYFUNCTION("""COMPUTED_VALUE"""),"LINEA DE ENVASADO JUGOS PET HOT FILLENRUTADOR TAPA")</f>
        <v>LINEA DE ENVASADO JUGOS PET HOT FILLENRUTADOR TAPA</v>
      </c>
      <c r="V470" s="5"/>
      <c r="W470" s="5" t="b">
        <f ca="1">IFERROR(__xludf.DUMMYFUNCTION("""COMPUTED_VALUE"""),TRUE)</f>
        <v>1</v>
      </c>
      <c r="X470" s="5" t="str">
        <f ca="1">IFERROR(__xludf.DUMMYFUNCTION("""COMPUTED_VALUE"""),"achavezi@postobon.com.co,aprmttoyu@postobon.com.co,aprmyu@postobon.com.co,wmora@postobon.com.co,efzapata@postobon.com.co")</f>
        <v>achavezi@postobon.com.co,aprmttoyu@postobon.com.co,aprmyu@postobon.com.co,wmora@postobon.com.co,efzapata@postobon.com.co</v>
      </c>
      <c r="Y470" s="5" t="str">
        <f ca="1">IFERROR(__xludf.DUMMYFUNCTION("""COMPUTED_VALUE"""),"achavezi@postobon.com.co")</f>
        <v>achavezi@postobon.com.co</v>
      </c>
      <c r="Z470" s="5" t="str">
        <f ca="1">IFERROR(__xludf.DUMMYFUNCTION("""COMPUTED_VALUE"""),"OsmSjiOISKyH7Uh..kZOTQ")</f>
        <v>OsmSjiOISKyH7Uh..kZOTQ</v>
      </c>
      <c r="AA470" s="5"/>
      <c r="AB470" s="5"/>
      <c r="AC470" s="5"/>
      <c r="AD470" s="5">
        <f ca="1">IFERROR(__xludf.DUMMYFUNCTION("""COMPUTED_VALUE"""),29)</f>
        <v>29</v>
      </c>
      <c r="AE470" s="5">
        <f ca="1">IFERROR(__xludf.DUMMYFUNCTION("""COMPUTED_VALUE"""),29)</f>
        <v>29</v>
      </c>
      <c r="AF470" s="5" t="b">
        <f ca="1">IFERROR(__xludf.DUMMYFUNCTION("""COMPUTED_VALUE"""),FALSE)</f>
        <v>0</v>
      </c>
      <c r="AG470" s="5" t="str">
        <f ca="1">IFERROR(__xludf.DUMMYFUNCTION("""COMPUTED_VALUE"""),"INSPECCIONES REALIZADAS")</f>
        <v>INSPECCIONES REALIZADAS</v>
      </c>
      <c r="AH470" s="5"/>
    </row>
    <row r="471" spans="1:34">
      <c r="A471" s="5" t="str">
        <f ca="1">IFERROR(__xludf.DUMMYFUNCTION("""COMPUTED_VALUE"""),"LINEA DE ENVASADO JUGOS PET HOT FILL")</f>
        <v>LINEA DE ENVASADO JUGOS PET HOT FILL</v>
      </c>
      <c r="B471" s="5">
        <f ca="1">IFERROR(__xludf.DUMMYFUNCTION("""COMPUTED_VALUE"""),90030303)</f>
        <v>90030303</v>
      </c>
      <c r="C471" s="5" t="str">
        <f ca="1">IFERROR(__xludf.DUMMYFUNCTION("""COMPUTED_VALUE"""),"ENRUTADOR TAPA")</f>
        <v>ENRUTADOR TAPA</v>
      </c>
      <c r="D471" s="5">
        <f ca="1">IFERROR(__xludf.DUMMYFUNCTION("""COMPUTED_VALUE"""),13247755)</f>
        <v>13247755</v>
      </c>
      <c r="E471" s="5" t="str">
        <f ca="1">IFERROR(__xludf.DUMMYFUNCTION("""COMPUTED_VALUE"""),"INSPECCION SEMANAL ENRUTADOR TAPA")</f>
        <v>INSPECCION SEMANAL ENRUTADOR TAPA</v>
      </c>
      <c r="F471" s="5" t="str">
        <f ca="1">IFERROR(__xludf.DUMMYFUNCTION("""COMPUTED_VALUE"""),"INSP. SENSORES")</f>
        <v>INSP. SENSORES</v>
      </c>
      <c r="G471" s="5" t="b">
        <f ca="1">IFERROR(__xludf.DUMMYFUNCTION("""COMPUTED_VALUE"""),TRUE)</f>
        <v>1</v>
      </c>
      <c r="H471" s="5"/>
      <c r="I471" s="5"/>
      <c r="J471" s="5">
        <f ca="1">IFERROR(__xludf.DUMMYFUNCTION("""COMPUTED_VALUE"""),13247755)</f>
        <v>13247755</v>
      </c>
      <c r="K471" s="5"/>
      <c r="L471" s="18">
        <f ca="1">IFERROR(__xludf.DUMMYFUNCTION("""COMPUTED_VALUE"""),45325)</f>
        <v>45325</v>
      </c>
      <c r="M471" s="18">
        <f ca="1">IFERROR(__xludf.DUMMYFUNCTION("""COMPUTED_VALUE"""),45325)</f>
        <v>45325</v>
      </c>
      <c r="N471" s="5" t="str">
        <f ca="1">IFERROR(__xludf.DUMMYFUNCTION("""COMPUTED_VALUE"""),"Vanegas Guependo Hermes")</f>
        <v>Vanegas Guependo Hermes</v>
      </c>
      <c r="O471" s="2">
        <f ca="1">IFERROR(__xludf.DUMMYFUNCTION("""COMPUTED_VALUE"""),0.0625)</f>
        <v>6.25E-2</v>
      </c>
      <c r="P471" s="5">
        <f ca="1">IFERROR(__xludf.DUMMYFUNCTION("""COMPUTED_VALUE"""),20010206)</f>
        <v>20010206</v>
      </c>
      <c r="Q471" s="5" t="str">
        <f ca="1">IFERROR(__xludf.DUMMYFUNCTION("""COMPUTED_VALUE"""),"V8GJrrbeRMc")</f>
        <v>V8GJrrbeRMc</v>
      </c>
      <c r="R471" s="5">
        <f ca="1">IFERROR(__xludf.DUMMYFUNCTION("""COMPUTED_VALUE"""),410)</f>
        <v>410</v>
      </c>
      <c r="S471" s="62">
        <f ca="1">IFERROR(__xludf.DUMMYFUNCTION("""COMPUTED_VALUE"""),0.0625)</f>
        <v>6.25E-2</v>
      </c>
      <c r="T471" s="63" t="str">
        <f ca="1">IFERROR(__xludf.DUMMYFUNCTION("""COMPUTED_VALUE"""),"https://storage.googleapis.com/glide-prod.appspot.com/uploads-v2/ly7o78grxPaC6KdgvbpS/pub/3aRdSog0vUtuqPE8AJKD.png")</f>
        <v>https://storage.googleapis.com/glide-prod.appspot.com/uploads-v2/ly7o78grxPaC6KdgvbpS/pub/3aRdSog0vUtuqPE8AJKD.png</v>
      </c>
      <c r="U471" s="5" t="str">
        <f ca="1">IFERROR(__xludf.DUMMYFUNCTION("""COMPUTED_VALUE"""),"LINEA DE ENVASADO JUGOS PET HOT FILLENRUTADOR TAPA")</f>
        <v>LINEA DE ENVASADO JUGOS PET HOT FILLENRUTADOR TAPA</v>
      </c>
      <c r="V471" s="5"/>
      <c r="W471" s="5" t="b">
        <f ca="1">IFERROR(__xludf.DUMMYFUNCTION("""COMPUTED_VALUE"""),TRUE)</f>
        <v>1</v>
      </c>
      <c r="X471" s="5" t="str">
        <f ca="1">IFERROR(__xludf.DUMMYFUNCTION("""COMPUTED_VALUE"""),"achavezi@postobon.com.co,aprmttoyu@postobon.com.co,aprmyu@postobon.com.co,wmora@postobon.com.co,efzapata@postobon.com.co")</f>
        <v>achavezi@postobon.com.co,aprmttoyu@postobon.com.co,aprmyu@postobon.com.co,wmora@postobon.com.co,efzapata@postobon.com.co</v>
      </c>
      <c r="Y471" s="5" t="str">
        <f ca="1">IFERROR(__xludf.DUMMYFUNCTION("""COMPUTED_VALUE"""),"achavezi@postobon.com.co")</f>
        <v>achavezi@postobon.com.co</v>
      </c>
      <c r="Z471" s="5" t="str">
        <f ca="1">IFERROR(__xludf.DUMMYFUNCTION("""COMPUTED_VALUE"""),"tyJQWp51QFqLn75nyeO1sQ")</f>
        <v>tyJQWp51QFqLn75nyeO1sQ</v>
      </c>
      <c r="AA471" s="5"/>
      <c r="AB471" s="5"/>
      <c r="AC471" s="5"/>
      <c r="AD471" s="5">
        <f ca="1">IFERROR(__xludf.DUMMYFUNCTION("""COMPUTED_VALUE"""),29)</f>
        <v>29</v>
      </c>
      <c r="AE471" s="5">
        <f ca="1">IFERROR(__xludf.DUMMYFUNCTION("""COMPUTED_VALUE"""),29)</f>
        <v>29</v>
      </c>
      <c r="AF471" s="5" t="b">
        <f ca="1">IFERROR(__xludf.DUMMYFUNCTION("""COMPUTED_VALUE"""),FALSE)</f>
        <v>0</v>
      </c>
      <c r="AG471" s="5" t="str">
        <f ca="1">IFERROR(__xludf.DUMMYFUNCTION("""COMPUTED_VALUE"""),"INSPECCIONES REALIZADAS")</f>
        <v>INSPECCIONES REALIZADAS</v>
      </c>
      <c r="AH471" s="5"/>
    </row>
    <row r="472" spans="1:34">
      <c r="A472" s="5" t="str">
        <f ca="1">IFERROR(__xludf.DUMMYFUNCTION("""COMPUTED_VALUE"""),"LINEA DE ENVASADO JUGOS PET HOT FILL")</f>
        <v>LINEA DE ENVASADO JUGOS PET HOT FILL</v>
      </c>
      <c r="B472" s="5">
        <f ca="1">IFERROR(__xludf.DUMMYFUNCTION("""COMPUTED_VALUE"""),90030303)</f>
        <v>90030303</v>
      </c>
      <c r="C472" s="5" t="str">
        <f ca="1">IFERROR(__xludf.DUMMYFUNCTION("""COMPUTED_VALUE"""),"ENRUTADOR TAPA")</f>
        <v>ENRUTADOR TAPA</v>
      </c>
      <c r="D472" s="5">
        <f ca="1">IFERROR(__xludf.DUMMYFUNCTION("""COMPUTED_VALUE"""),13247755)</f>
        <v>13247755</v>
      </c>
      <c r="E472" s="5" t="str">
        <f ca="1">IFERROR(__xludf.DUMMYFUNCTION("""COMPUTED_VALUE"""),"INSPECCION SEMANAL ENRUTADOR TAPA")</f>
        <v>INSPECCION SEMANAL ENRUTADOR TAPA</v>
      </c>
      <c r="F472" s="5" t="str">
        <f ca="1">IFERROR(__xludf.DUMMYFUNCTION("""COMPUTED_VALUE"""),"ESTADO BANDA TRANSPORTADORA")</f>
        <v>ESTADO BANDA TRANSPORTADORA</v>
      </c>
      <c r="G472" s="5" t="b">
        <f ca="1">IFERROR(__xludf.DUMMYFUNCTION("""COMPUTED_VALUE"""),TRUE)</f>
        <v>1</v>
      </c>
      <c r="H472" s="5"/>
      <c r="I472" s="5"/>
      <c r="J472" s="5">
        <f ca="1">IFERROR(__xludf.DUMMYFUNCTION("""COMPUTED_VALUE"""),13247755)</f>
        <v>13247755</v>
      </c>
      <c r="K472" s="5"/>
      <c r="L472" s="18">
        <f ca="1">IFERROR(__xludf.DUMMYFUNCTION("""COMPUTED_VALUE"""),45325)</f>
        <v>45325</v>
      </c>
      <c r="M472" s="18">
        <f ca="1">IFERROR(__xludf.DUMMYFUNCTION("""COMPUTED_VALUE"""),45325)</f>
        <v>45325</v>
      </c>
      <c r="N472" s="5" t="str">
        <f ca="1">IFERROR(__xludf.DUMMYFUNCTION("""COMPUTED_VALUE"""),"Vanegas Guependo Hermes")</f>
        <v>Vanegas Guependo Hermes</v>
      </c>
      <c r="O472" s="2">
        <f ca="1">IFERROR(__xludf.DUMMYFUNCTION("""COMPUTED_VALUE"""),0.0625)</f>
        <v>6.25E-2</v>
      </c>
      <c r="P472" s="5">
        <f ca="1">IFERROR(__xludf.DUMMYFUNCTION("""COMPUTED_VALUE"""),20010206)</f>
        <v>20010206</v>
      </c>
      <c r="Q472" s="5" t="str">
        <f ca="1">IFERROR(__xludf.DUMMYFUNCTION("""COMPUTED_VALUE"""),"f5hku_R3x68")</f>
        <v>f5hku_R3x68</v>
      </c>
      <c r="R472" s="5">
        <f ca="1">IFERROR(__xludf.DUMMYFUNCTION("""COMPUTED_VALUE"""),410)</f>
        <v>410</v>
      </c>
      <c r="S472" s="62">
        <f ca="1">IFERROR(__xludf.DUMMYFUNCTION("""COMPUTED_VALUE"""),0.0625)</f>
        <v>6.25E-2</v>
      </c>
      <c r="T472" s="63" t="str">
        <f ca="1">IFERROR(__xludf.DUMMYFUNCTION("""COMPUTED_VALUE"""),"https://storage.googleapis.com/glide-prod.appspot.com/uploads-v2/ly7o78grxPaC6KdgvbpS/pub/3aRdSog0vUtuqPE8AJKD.png")</f>
        <v>https://storage.googleapis.com/glide-prod.appspot.com/uploads-v2/ly7o78grxPaC6KdgvbpS/pub/3aRdSog0vUtuqPE8AJKD.png</v>
      </c>
      <c r="U472" s="5" t="str">
        <f ca="1">IFERROR(__xludf.DUMMYFUNCTION("""COMPUTED_VALUE"""),"LINEA DE ENVASADO JUGOS PET HOT FILLENRUTADOR TAPA")</f>
        <v>LINEA DE ENVASADO JUGOS PET HOT FILLENRUTADOR TAPA</v>
      </c>
      <c r="V472" s="5"/>
      <c r="W472" s="5" t="b">
        <f ca="1">IFERROR(__xludf.DUMMYFUNCTION("""COMPUTED_VALUE"""),TRUE)</f>
        <v>1</v>
      </c>
      <c r="X472" s="5" t="str">
        <f ca="1">IFERROR(__xludf.DUMMYFUNCTION("""COMPUTED_VALUE"""),"achavezi@postobon.com.co,aprmttoyu@postobon.com.co,aprmyu@postobon.com.co,wmora@postobon.com.co,efzapata@postobon.com.co")</f>
        <v>achavezi@postobon.com.co,aprmttoyu@postobon.com.co,aprmyu@postobon.com.co,wmora@postobon.com.co,efzapata@postobon.com.co</v>
      </c>
      <c r="Y472" s="5" t="str">
        <f ca="1">IFERROR(__xludf.DUMMYFUNCTION("""COMPUTED_VALUE"""),"achavezi@postobon.com.co")</f>
        <v>achavezi@postobon.com.co</v>
      </c>
      <c r="Z472" s="5" t="str">
        <f ca="1">IFERROR(__xludf.DUMMYFUNCTION("""COMPUTED_VALUE"""),"cHdRFTWyTruKbwEVXkpuDQ")</f>
        <v>cHdRFTWyTruKbwEVXkpuDQ</v>
      </c>
      <c r="AA472" s="5"/>
      <c r="AB472" s="5"/>
      <c r="AC472" s="5"/>
      <c r="AD472" s="5">
        <f ca="1">IFERROR(__xludf.DUMMYFUNCTION("""COMPUTED_VALUE"""),29)</f>
        <v>29</v>
      </c>
      <c r="AE472" s="5">
        <f ca="1">IFERROR(__xludf.DUMMYFUNCTION("""COMPUTED_VALUE"""),29)</f>
        <v>29</v>
      </c>
      <c r="AF472" s="5" t="b">
        <f ca="1">IFERROR(__xludf.DUMMYFUNCTION("""COMPUTED_VALUE"""),FALSE)</f>
        <v>0</v>
      </c>
      <c r="AG472" s="5" t="str">
        <f ca="1">IFERROR(__xludf.DUMMYFUNCTION("""COMPUTED_VALUE"""),"INSPECCIONES REALIZADAS")</f>
        <v>INSPECCIONES REALIZADAS</v>
      </c>
      <c r="AH472" s="5"/>
    </row>
    <row r="473" spans="1:34">
      <c r="A473" s="5" t="str">
        <f ca="1">IFERROR(__xludf.DUMMYFUNCTION("""COMPUTED_VALUE"""),"LINEA DE ENVASADO JUGOS PET HOT FILL")</f>
        <v>LINEA DE ENVASADO JUGOS PET HOT FILL</v>
      </c>
      <c r="B473" s="5">
        <f ca="1">IFERROR(__xludf.DUMMYFUNCTION("""COMPUTED_VALUE"""),90030303)</f>
        <v>90030303</v>
      </c>
      <c r="C473" s="5" t="str">
        <f ca="1">IFERROR(__xludf.DUMMYFUNCTION("""COMPUTED_VALUE"""),"ENRUTADOR TAPA")</f>
        <v>ENRUTADOR TAPA</v>
      </c>
      <c r="D473" s="5">
        <f ca="1">IFERROR(__xludf.DUMMYFUNCTION("""COMPUTED_VALUE"""),13247755)</f>
        <v>13247755</v>
      </c>
      <c r="E473" s="5" t="str">
        <f ca="1">IFERROR(__xludf.DUMMYFUNCTION("""COMPUTED_VALUE"""),"INSPECCION SEMANAL ENRUTADOR TAPA")</f>
        <v>INSPECCION SEMANAL ENRUTADOR TAPA</v>
      </c>
      <c r="F473" s="5" t="str">
        <f ca="1">IFERROR(__xludf.DUMMYFUNCTION("""COMPUTED_VALUE"""),"ESTADO DE GUIAS")</f>
        <v>ESTADO DE GUIAS</v>
      </c>
      <c r="G473" s="5" t="b">
        <f ca="1">IFERROR(__xludf.DUMMYFUNCTION("""COMPUTED_VALUE"""),TRUE)</f>
        <v>1</v>
      </c>
      <c r="H473" s="5"/>
      <c r="I473" s="5"/>
      <c r="J473" s="5">
        <f ca="1">IFERROR(__xludf.DUMMYFUNCTION("""COMPUTED_VALUE"""),13247755)</f>
        <v>13247755</v>
      </c>
      <c r="K473" s="5"/>
      <c r="L473" s="18">
        <f ca="1">IFERROR(__xludf.DUMMYFUNCTION("""COMPUTED_VALUE"""),45325)</f>
        <v>45325</v>
      </c>
      <c r="M473" s="18">
        <f ca="1">IFERROR(__xludf.DUMMYFUNCTION("""COMPUTED_VALUE"""),45325)</f>
        <v>45325</v>
      </c>
      <c r="N473" s="5" t="str">
        <f ca="1">IFERROR(__xludf.DUMMYFUNCTION("""COMPUTED_VALUE"""),"Vanegas Guependo Hermes")</f>
        <v>Vanegas Guependo Hermes</v>
      </c>
      <c r="O473" s="2">
        <f ca="1">IFERROR(__xludf.DUMMYFUNCTION("""COMPUTED_VALUE"""),0.0625)</f>
        <v>6.25E-2</v>
      </c>
      <c r="P473" s="5">
        <f ca="1">IFERROR(__xludf.DUMMYFUNCTION("""COMPUTED_VALUE"""),20010206)</f>
        <v>20010206</v>
      </c>
      <c r="Q473" s="5" t="str">
        <f ca="1">IFERROR(__xludf.DUMMYFUNCTION("""COMPUTED_VALUE"""),"XbxLAMgcPX4")</f>
        <v>XbxLAMgcPX4</v>
      </c>
      <c r="R473" s="5">
        <f ca="1">IFERROR(__xludf.DUMMYFUNCTION("""COMPUTED_VALUE"""),410)</f>
        <v>410</v>
      </c>
      <c r="S473" s="62">
        <f ca="1">IFERROR(__xludf.DUMMYFUNCTION("""COMPUTED_VALUE"""),0.0625)</f>
        <v>6.25E-2</v>
      </c>
      <c r="T473" s="63" t="str">
        <f ca="1">IFERROR(__xludf.DUMMYFUNCTION("""COMPUTED_VALUE"""),"https://storage.googleapis.com/glide-prod.appspot.com/uploads-v2/ly7o78grxPaC6KdgvbpS/pub/3aRdSog0vUtuqPE8AJKD.png")</f>
        <v>https://storage.googleapis.com/glide-prod.appspot.com/uploads-v2/ly7o78grxPaC6KdgvbpS/pub/3aRdSog0vUtuqPE8AJKD.png</v>
      </c>
      <c r="U473" s="5" t="str">
        <f ca="1">IFERROR(__xludf.DUMMYFUNCTION("""COMPUTED_VALUE"""),"LINEA DE ENVASADO JUGOS PET HOT FILLENRUTADOR TAPA")</f>
        <v>LINEA DE ENVASADO JUGOS PET HOT FILLENRUTADOR TAPA</v>
      </c>
      <c r="V473" s="5"/>
      <c r="W473" s="5" t="b">
        <f ca="1">IFERROR(__xludf.DUMMYFUNCTION("""COMPUTED_VALUE"""),TRUE)</f>
        <v>1</v>
      </c>
      <c r="X473" s="5" t="str">
        <f ca="1">IFERROR(__xludf.DUMMYFUNCTION("""COMPUTED_VALUE"""),"achavezi@postobon.com.co,aprmttoyu@postobon.com.co,aprmyu@postobon.com.co,wmora@postobon.com.co,efzapata@postobon.com.co")</f>
        <v>achavezi@postobon.com.co,aprmttoyu@postobon.com.co,aprmyu@postobon.com.co,wmora@postobon.com.co,efzapata@postobon.com.co</v>
      </c>
      <c r="Y473" s="5" t="str">
        <f ca="1">IFERROR(__xludf.DUMMYFUNCTION("""COMPUTED_VALUE"""),"achavezi@postobon.com.co")</f>
        <v>achavezi@postobon.com.co</v>
      </c>
      <c r="Z473" s="5" t="str">
        <f ca="1">IFERROR(__xludf.DUMMYFUNCTION("""COMPUTED_VALUE"""),"TBsKa9hVQE-EKafKr7R5LQ")</f>
        <v>TBsKa9hVQE-EKafKr7R5LQ</v>
      </c>
      <c r="AA473" s="5"/>
      <c r="AB473" s="5"/>
      <c r="AC473" s="5"/>
      <c r="AD473" s="5">
        <f ca="1">IFERROR(__xludf.DUMMYFUNCTION("""COMPUTED_VALUE"""),29)</f>
        <v>29</v>
      </c>
      <c r="AE473" s="5">
        <f ca="1">IFERROR(__xludf.DUMMYFUNCTION("""COMPUTED_VALUE"""),29)</f>
        <v>29</v>
      </c>
      <c r="AF473" s="5" t="b">
        <f ca="1">IFERROR(__xludf.DUMMYFUNCTION("""COMPUTED_VALUE"""),FALSE)</f>
        <v>0</v>
      </c>
      <c r="AG473" s="5" t="str">
        <f ca="1">IFERROR(__xludf.DUMMYFUNCTION("""COMPUTED_VALUE"""),"INSPECCIONES REALIZADAS")</f>
        <v>INSPECCIONES REALIZADAS</v>
      </c>
      <c r="AH473" s="5"/>
    </row>
    <row r="474" spans="1:34">
      <c r="A474" s="5" t="str">
        <f ca="1">IFERROR(__xludf.DUMMYFUNCTION("""COMPUTED_VALUE"""),"LINEA DE ENVASADO JUGOS PET HOT FILL")</f>
        <v>LINEA DE ENVASADO JUGOS PET HOT FILL</v>
      </c>
      <c r="B474" s="5">
        <f ca="1">IFERROR(__xludf.DUMMYFUNCTION("""COMPUTED_VALUE"""),90030303)</f>
        <v>90030303</v>
      </c>
      <c r="C474" s="5" t="str">
        <f ca="1">IFERROR(__xludf.DUMMYFUNCTION("""COMPUTED_VALUE"""),"ENRUTADOR TAPA")</f>
        <v>ENRUTADOR TAPA</v>
      </c>
      <c r="D474" s="5">
        <f ca="1">IFERROR(__xludf.DUMMYFUNCTION("""COMPUTED_VALUE"""),13247755)</f>
        <v>13247755</v>
      </c>
      <c r="E474" s="5" t="str">
        <f ca="1">IFERROR(__xludf.DUMMYFUNCTION("""COMPUTED_VALUE"""),"INSPECCION SEMANAL ENRUTADOR TAPA")</f>
        <v>INSPECCION SEMANAL ENRUTADOR TAPA</v>
      </c>
      <c r="F474" s="5" t="str">
        <f ca="1">IFERROR(__xludf.DUMMYFUNCTION("""COMPUTED_VALUE"""),"FUNC. SISTEMA DE TRANSMISION")</f>
        <v>FUNC. SISTEMA DE TRANSMISION</v>
      </c>
      <c r="G474" s="5" t="b">
        <f ca="1">IFERROR(__xludf.DUMMYFUNCTION("""COMPUTED_VALUE"""),TRUE)</f>
        <v>1</v>
      </c>
      <c r="H474" s="5"/>
      <c r="I474" s="5"/>
      <c r="J474" s="5">
        <f ca="1">IFERROR(__xludf.DUMMYFUNCTION("""COMPUTED_VALUE"""),13247755)</f>
        <v>13247755</v>
      </c>
      <c r="K474" s="5"/>
      <c r="L474" s="18">
        <f ca="1">IFERROR(__xludf.DUMMYFUNCTION("""COMPUTED_VALUE"""),45325)</f>
        <v>45325</v>
      </c>
      <c r="M474" s="18">
        <f ca="1">IFERROR(__xludf.DUMMYFUNCTION("""COMPUTED_VALUE"""),45325)</f>
        <v>45325</v>
      </c>
      <c r="N474" s="5" t="str">
        <f ca="1">IFERROR(__xludf.DUMMYFUNCTION("""COMPUTED_VALUE"""),"Vanegas Guependo Hermes")</f>
        <v>Vanegas Guependo Hermes</v>
      </c>
      <c r="O474" s="2">
        <f ca="1">IFERROR(__xludf.DUMMYFUNCTION("""COMPUTED_VALUE"""),0.0625)</f>
        <v>6.25E-2</v>
      </c>
      <c r="P474" s="5">
        <f ca="1">IFERROR(__xludf.DUMMYFUNCTION("""COMPUTED_VALUE"""),20010206)</f>
        <v>20010206</v>
      </c>
      <c r="Q474" s="5" t="str">
        <f ca="1">IFERROR(__xludf.DUMMYFUNCTION("""COMPUTED_VALUE"""),"iDK2vGpoG40")</f>
        <v>iDK2vGpoG40</v>
      </c>
      <c r="R474" s="5">
        <f ca="1">IFERROR(__xludf.DUMMYFUNCTION("""COMPUTED_VALUE"""),410)</f>
        <v>410</v>
      </c>
      <c r="S474" s="62">
        <f ca="1">IFERROR(__xludf.DUMMYFUNCTION("""COMPUTED_VALUE"""),0.0625)</f>
        <v>6.25E-2</v>
      </c>
      <c r="T474" s="63" t="str">
        <f ca="1">IFERROR(__xludf.DUMMYFUNCTION("""COMPUTED_VALUE"""),"https://storage.googleapis.com/glide-prod.appspot.com/uploads-v2/ly7o78grxPaC6KdgvbpS/pub/3aRdSog0vUtuqPE8AJKD.png")</f>
        <v>https://storage.googleapis.com/glide-prod.appspot.com/uploads-v2/ly7o78grxPaC6KdgvbpS/pub/3aRdSog0vUtuqPE8AJKD.png</v>
      </c>
      <c r="U474" s="5" t="str">
        <f ca="1">IFERROR(__xludf.DUMMYFUNCTION("""COMPUTED_VALUE"""),"LINEA DE ENVASADO JUGOS PET HOT FILLENRUTADOR TAPA")</f>
        <v>LINEA DE ENVASADO JUGOS PET HOT FILLENRUTADOR TAPA</v>
      </c>
      <c r="V474" s="5"/>
      <c r="W474" s="5" t="b">
        <f ca="1">IFERROR(__xludf.DUMMYFUNCTION("""COMPUTED_VALUE"""),TRUE)</f>
        <v>1</v>
      </c>
      <c r="X474" s="5" t="str">
        <f ca="1">IFERROR(__xludf.DUMMYFUNCTION("""COMPUTED_VALUE"""),"achavezi@postobon.com.co,aprmttoyu@postobon.com.co,aprmyu@postobon.com.co,wmora@postobon.com.co,efzapata@postobon.com.co")</f>
        <v>achavezi@postobon.com.co,aprmttoyu@postobon.com.co,aprmyu@postobon.com.co,wmora@postobon.com.co,efzapata@postobon.com.co</v>
      </c>
      <c r="Y474" s="5" t="str">
        <f ca="1">IFERROR(__xludf.DUMMYFUNCTION("""COMPUTED_VALUE"""),"achavezi@postobon.com.co")</f>
        <v>achavezi@postobon.com.co</v>
      </c>
      <c r="Z474" s="5" t="str">
        <f ca="1">IFERROR(__xludf.DUMMYFUNCTION("""COMPUTED_VALUE"""),"BPoCu0qXScatZNd7gLpOGQ")</f>
        <v>BPoCu0qXScatZNd7gLpOGQ</v>
      </c>
      <c r="AA474" s="5"/>
      <c r="AB474" s="5"/>
      <c r="AC474" s="5"/>
      <c r="AD474" s="5">
        <f ca="1">IFERROR(__xludf.DUMMYFUNCTION("""COMPUTED_VALUE"""),29)</f>
        <v>29</v>
      </c>
      <c r="AE474" s="5">
        <f ca="1">IFERROR(__xludf.DUMMYFUNCTION("""COMPUTED_VALUE"""),29)</f>
        <v>29</v>
      </c>
      <c r="AF474" s="5" t="b">
        <f ca="1">IFERROR(__xludf.DUMMYFUNCTION("""COMPUTED_VALUE"""),FALSE)</f>
        <v>0</v>
      </c>
      <c r="AG474" s="5" t="str">
        <f ca="1">IFERROR(__xludf.DUMMYFUNCTION("""COMPUTED_VALUE"""),"INSPECCIONES REALIZADAS")</f>
        <v>INSPECCIONES REALIZADAS</v>
      </c>
      <c r="AH474" s="5"/>
    </row>
    <row r="475" spans="1:34">
      <c r="A475" s="5" t="str">
        <f ca="1">IFERROR(__xludf.DUMMYFUNCTION("""COMPUTED_VALUE"""),"LINEA DE ENVASADO JUGOS PET HOT FILL")</f>
        <v>LINEA DE ENVASADO JUGOS PET HOT FILL</v>
      </c>
      <c r="B475" s="5">
        <f ca="1">IFERROR(__xludf.DUMMYFUNCTION("""COMPUTED_VALUE"""),90030303)</f>
        <v>90030303</v>
      </c>
      <c r="C475" s="5" t="str">
        <f ca="1">IFERROR(__xludf.DUMMYFUNCTION("""COMPUTED_VALUE"""),"ENRUTADOR TAPA")</f>
        <v>ENRUTADOR TAPA</v>
      </c>
      <c r="D475" s="5">
        <f ca="1">IFERROR(__xludf.DUMMYFUNCTION("""COMPUTED_VALUE"""),13247755)</f>
        <v>13247755</v>
      </c>
      <c r="E475" s="5" t="str">
        <f ca="1">IFERROR(__xludf.DUMMYFUNCTION("""COMPUTED_VALUE"""),"INSPECCION SEMANAL ENRUTADOR TAPA")</f>
        <v>INSPECCION SEMANAL ENRUTADOR TAPA</v>
      </c>
      <c r="F475" s="5" t="str">
        <f ca="1">IFERROR(__xludf.DUMMYFUNCTION("""COMPUTED_VALUE"""),"INSP. UNIDAD MTTO AIRE")</f>
        <v>INSP. UNIDAD MTTO AIRE</v>
      </c>
      <c r="G475" s="5" t="b">
        <f ca="1">IFERROR(__xludf.DUMMYFUNCTION("""COMPUTED_VALUE"""),TRUE)</f>
        <v>1</v>
      </c>
      <c r="H475" s="5"/>
      <c r="I475" s="5"/>
      <c r="J475" s="5">
        <f ca="1">IFERROR(__xludf.DUMMYFUNCTION("""COMPUTED_VALUE"""),13247755)</f>
        <v>13247755</v>
      </c>
      <c r="K475" s="5"/>
      <c r="L475" s="18">
        <f ca="1">IFERROR(__xludf.DUMMYFUNCTION("""COMPUTED_VALUE"""),45325)</f>
        <v>45325</v>
      </c>
      <c r="M475" s="18">
        <f ca="1">IFERROR(__xludf.DUMMYFUNCTION("""COMPUTED_VALUE"""),45325)</f>
        <v>45325</v>
      </c>
      <c r="N475" s="5" t="str">
        <f ca="1">IFERROR(__xludf.DUMMYFUNCTION("""COMPUTED_VALUE"""),"Vanegas Guependo Hermes")</f>
        <v>Vanegas Guependo Hermes</v>
      </c>
      <c r="O475" s="2">
        <f ca="1">IFERROR(__xludf.DUMMYFUNCTION("""COMPUTED_VALUE"""),0.0625)</f>
        <v>6.25E-2</v>
      </c>
      <c r="P475" s="5">
        <f ca="1">IFERROR(__xludf.DUMMYFUNCTION("""COMPUTED_VALUE"""),20010206)</f>
        <v>20010206</v>
      </c>
      <c r="Q475" s="5" t="str">
        <f ca="1">IFERROR(__xludf.DUMMYFUNCTION("""COMPUTED_VALUE"""),"rMBP0sIyOiQ")</f>
        <v>rMBP0sIyOiQ</v>
      </c>
      <c r="R475" s="5">
        <f ca="1">IFERROR(__xludf.DUMMYFUNCTION("""COMPUTED_VALUE"""),410)</f>
        <v>410</v>
      </c>
      <c r="S475" s="62">
        <f ca="1">IFERROR(__xludf.DUMMYFUNCTION("""COMPUTED_VALUE"""),0.0625)</f>
        <v>6.25E-2</v>
      </c>
      <c r="T475" s="63" t="str">
        <f ca="1">IFERROR(__xludf.DUMMYFUNCTION("""COMPUTED_VALUE"""),"https://storage.googleapis.com/glide-prod.appspot.com/uploads-v2/ly7o78grxPaC6KdgvbpS/pub/3aRdSog0vUtuqPE8AJKD.png")</f>
        <v>https://storage.googleapis.com/glide-prod.appspot.com/uploads-v2/ly7o78grxPaC6KdgvbpS/pub/3aRdSog0vUtuqPE8AJKD.png</v>
      </c>
      <c r="U475" s="5" t="str">
        <f ca="1">IFERROR(__xludf.DUMMYFUNCTION("""COMPUTED_VALUE"""),"LINEA DE ENVASADO JUGOS PET HOT FILLENRUTADOR TAPA")</f>
        <v>LINEA DE ENVASADO JUGOS PET HOT FILLENRUTADOR TAPA</v>
      </c>
      <c r="V475" s="5"/>
      <c r="W475" s="5" t="b">
        <f ca="1">IFERROR(__xludf.DUMMYFUNCTION("""COMPUTED_VALUE"""),TRUE)</f>
        <v>1</v>
      </c>
      <c r="X475" s="5" t="str">
        <f ca="1">IFERROR(__xludf.DUMMYFUNCTION("""COMPUTED_VALUE"""),"achavezi@postobon.com.co,aprmttoyu@postobon.com.co,aprmyu@postobon.com.co,wmora@postobon.com.co,efzapata@postobon.com.co")</f>
        <v>achavezi@postobon.com.co,aprmttoyu@postobon.com.co,aprmyu@postobon.com.co,wmora@postobon.com.co,efzapata@postobon.com.co</v>
      </c>
      <c r="Y475" s="5" t="str">
        <f ca="1">IFERROR(__xludf.DUMMYFUNCTION("""COMPUTED_VALUE"""),"achavezi@postobon.com.co")</f>
        <v>achavezi@postobon.com.co</v>
      </c>
      <c r="Z475" s="5" t="str">
        <f ca="1">IFERROR(__xludf.DUMMYFUNCTION("""COMPUTED_VALUE"""),"QZHVyPxCSky2RWpZ04tDyQ")</f>
        <v>QZHVyPxCSky2RWpZ04tDyQ</v>
      </c>
      <c r="AA475" s="5"/>
      <c r="AB475" s="5"/>
      <c r="AC475" s="5"/>
      <c r="AD475" s="5">
        <f ca="1">IFERROR(__xludf.DUMMYFUNCTION("""COMPUTED_VALUE"""),29)</f>
        <v>29</v>
      </c>
      <c r="AE475" s="5">
        <f ca="1">IFERROR(__xludf.DUMMYFUNCTION("""COMPUTED_VALUE"""),29)</f>
        <v>29</v>
      </c>
      <c r="AF475" s="5" t="b">
        <f ca="1">IFERROR(__xludf.DUMMYFUNCTION("""COMPUTED_VALUE"""),FALSE)</f>
        <v>0</v>
      </c>
      <c r="AG475" s="5" t="str">
        <f ca="1">IFERROR(__xludf.DUMMYFUNCTION("""COMPUTED_VALUE"""),"INSPECCIONES REALIZADAS")</f>
        <v>INSPECCIONES REALIZADAS</v>
      </c>
      <c r="AH475" s="5"/>
    </row>
    <row r="476" spans="1:34">
      <c r="A476" s="5" t="str">
        <f ca="1">IFERROR(__xludf.DUMMYFUNCTION("""COMPUTED_VALUE"""),"LINEA DE ENVASADO JUGOS PET HOT FILL")</f>
        <v>LINEA DE ENVASADO JUGOS PET HOT FILL</v>
      </c>
      <c r="B476" s="5">
        <f ca="1">IFERROR(__xludf.DUMMYFUNCTION("""COMPUTED_VALUE"""),90030303)</f>
        <v>90030303</v>
      </c>
      <c r="C476" s="5" t="str">
        <f ca="1">IFERROR(__xludf.DUMMYFUNCTION("""COMPUTED_VALUE"""),"ENRUTADOR TAPA")</f>
        <v>ENRUTADOR TAPA</v>
      </c>
      <c r="D476" s="5">
        <f ca="1">IFERROR(__xludf.DUMMYFUNCTION("""COMPUTED_VALUE"""),13247755)</f>
        <v>13247755</v>
      </c>
      <c r="E476" s="5" t="str">
        <f ca="1">IFERROR(__xludf.DUMMYFUNCTION("""COMPUTED_VALUE"""),"INSPECCION SEMANAL ENRUTADOR TAPA")</f>
        <v>INSPECCION SEMANAL ENRUTADOR TAPA</v>
      </c>
      <c r="F476" s="5" t="str">
        <f ca="1">IFERROR(__xludf.DUMMYFUNCTION("""COMPUTED_VALUE"""),"VERIF. MANGUERAS (DRENAJE TAPAS)")</f>
        <v>VERIF. MANGUERAS (DRENAJE TAPAS)</v>
      </c>
      <c r="G476" s="5" t="b">
        <f ca="1">IFERROR(__xludf.DUMMYFUNCTION("""COMPUTED_VALUE"""),TRUE)</f>
        <v>1</v>
      </c>
      <c r="H476" s="5"/>
      <c r="I476" s="5"/>
      <c r="J476" s="5">
        <f ca="1">IFERROR(__xludf.DUMMYFUNCTION("""COMPUTED_VALUE"""),13247755)</f>
        <v>13247755</v>
      </c>
      <c r="K476" s="5"/>
      <c r="L476" s="18">
        <f ca="1">IFERROR(__xludf.DUMMYFUNCTION("""COMPUTED_VALUE"""),45325)</f>
        <v>45325</v>
      </c>
      <c r="M476" s="18">
        <f ca="1">IFERROR(__xludf.DUMMYFUNCTION("""COMPUTED_VALUE"""),45325)</f>
        <v>45325</v>
      </c>
      <c r="N476" s="5" t="str">
        <f ca="1">IFERROR(__xludf.DUMMYFUNCTION("""COMPUTED_VALUE"""),"Vanegas Guependo Hermes")</f>
        <v>Vanegas Guependo Hermes</v>
      </c>
      <c r="O476" s="2">
        <f ca="1">IFERROR(__xludf.DUMMYFUNCTION("""COMPUTED_VALUE"""),0.0625)</f>
        <v>6.25E-2</v>
      </c>
      <c r="P476" s="5">
        <f ca="1">IFERROR(__xludf.DUMMYFUNCTION("""COMPUTED_VALUE"""),20010206)</f>
        <v>20010206</v>
      </c>
      <c r="Q476" s="5" t="str">
        <f ca="1">IFERROR(__xludf.DUMMYFUNCTION("""COMPUTED_VALUE"""),"pQKQBXDF57I")</f>
        <v>pQKQBXDF57I</v>
      </c>
      <c r="R476" s="5">
        <f ca="1">IFERROR(__xludf.DUMMYFUNCTION("""COMPUTED_VALUE"""),410)</f>
        <v>410</v>
      </c>
      <c r="S476" s="62">
        <f ca="1">IFERROR(__xludf.DUMMYFUNCTION("""COMPUTED_VALUE"""),0.0625)</f>
        <v>6.25E-2</v>
      </c>
      <c r="T476" s="63" t="str">
        <f ca="1">IFERROR(__xludf.DUMMYFUNCTION("""COMPUTED_VALUE"""),"https://storage.googleapis.com/glide-prod.appspot.com/uploads-v2/ly7o78grxPaC6KdgvbpS/pub/3aRdSog0vUtuqPE8AJKD.png")</f>
        <v>https://storage.googleapis.com/glide-prod.appspot.com/uploads-v2/ly7o78grxPaC6KdgvbpS/pub/3aRdSog0vUtuqPE8AJKD.png</v>
      </c>
      <c r="U476" s="5" t="str">
        <f ca="1">IFERROR(__xludf.DUMMYFUNCTION("""COMPUTED_VALUE"""),"LINEA DE ENVASADO JUGOS PET HOT FILLENRUTADOR TAPA")</f>
        <v>LINEA DE ENVASADO JUGOS PET HOT FILLENRUTADOR TAPA</v>
      </c>
      <c r="V476" s="5"/>
      <c r="W476" s="5" t="b">
        <f ca="1">IFERROR(__xludf.DUMMYFUNCTION("""COMPUTED_VALUE"""),TRUE)</f>
        <v>1</v>
      </c>
      <c r="X476" s="5" t="str">
        <f ca="1">IFERROR(__xludf.DUMMYFUNCTION("""COMPUTED_VALUE"""),"achavezi@postobon.com.co,aprmttoyu@postobon.com.co,aprmyu@postobon.com.co,wmora@postobon.com.co,efzapata@postobon.com.co")</f>
        <v>achavezi@postobon.com.co,aprmttoyu@postobon.com.co,aprmyu@postobon.com.co,wmora@postobon.com.co,efzapata@postobon.com.co</v>
      </c>
      <c r="Y476" s="5" t="str">
        <f ca="1">IFERROR(__xludf.DUMMYFUNCTION("""COMPUTED_VALUE"""),"achavezi@postobon.com.co")</f>
        <v>achavezi@postobon.com.co</v>
      </c>
      <c r="Z476" s="5" t="str">
        <f ca="1">IFERROR(__xludf.DUMMYFUNCTION("""COMPUTED_VALUE"""),"SCaNVagTSTKdgtVtRTVTlw")</f>
        <v>SCaNVagTSTKdgtVtRTVTlw</v>
      </c>
      <c r="AA476" s="5"/>
      <c r="AB476" s="5"/>
      <c r="AC476" s="5"/>
      <c r="AD476" s="5">
        <f ca="1">IFERROR(__xludf.DUMMYFUNCTION("""COMPUTED_VALUE"""),29)</f>
        <v>29</v>
      </c>
      <c r="AE476" s="5">
        <f ca="1">IFERROR(__xludf.DUMMYFUNCTION("""COMPUTED_VALUE"""),29)</f>
        <v>29</v>
      </c>
      <c r="AF476" s="5" t="b">
        <f ca="1">IFERROR(__xludf.DUMMYFUNCTION("""COMPUTED_VALUE"""),FALSE)</f>
        <v>0</v>
      </c>
      <c r="AG476" s="5" t="str">
        <f ca="1">IFERROR(__xludf.DUMMYFUNCTION("""COMPUTED_VALUE"""),"INSPECCIONES REALIZADAS")</f>
        <v>INSPECCIONES REALIZADAS</v>
      </c>
      <c r="AH476" s="5"/>
    </row>
    <row r="477" spans="1:34">
      <c r="A477" s="5" t="str">
        <f ca="1">IFERROR(__xludf.DUMMYFUNCTION("""COMPUTED_VALUE"""),"LINEA DE ENVASADO JUGOS PET HOT FILL")</f>
        <v>LINEA DE ENVASADO JUGOS PET HOT FILL</v>
      </c>
      <c r="B477" s="5">
        <f ca="1">IFERROR(__xludf.DUMMYFUNCTION("""COMPUTED_VALUE"""),90030303)</f>
        <v>90030303</v>
      </c>
      <c r="C477" s="5" t="str">
        <f ca="1">IFERROR(__xludf.DUMMYFUNCTION("""COMPUTED_VALUE"""),"ENRUTADOR TAPA")</f>
        <v>ENRUTADOR TAPA</v>
      </c>
      <c r="D477" s="5">
        <f ca="1">IFERROR(__xludf.DUMMYFUNCTION("""COMPUTED_VALUE"""),13247755)</f>
        <v>13247755</v>
      </c>
      <c r="E477" s="5" t="str">
        <f ca="1">IFERROR(__xludf.DUMMYFUNCTION("""COMPUTED_VALUE"""),"INSPECCION SEMANAL ENRUTADOR TAPA")</f>
        <v>INSPECCION SEMANAL ENRUTADOR TAPA</v>
      </c>
      <c r="F477" s="5" t="str">
        <f ca="1">IFERROR(__xludf.DUMMYFUNCTION("""COMPUTED_VALUE"""),"ESTADO CUERPO PRINCIPAL")</f>
        <v>ESTADO CUERPO PRINCIPAL</v>
      </c>
      <c r="G477" s="5" t="b">
        <f ca="1">IFERROR(__xludf.DUMMYFUNCTION("""COMPUTED_VALUE"""),TRUE)</f>
        <v>1</v>
      </c>
      <c r="H477" s="5"/>
      <c r="I477" s="5"/>
      <c r="J477" s="5">
        <f ca="1">IFERROR(__xludf.DUMMYFUNCTION("""COMPUTED_VALUE"""),13247755)</f>
        <v>13247755</v>
      </c>
      <c r="K477" s="5"/>
      <c r="L477" s="18">
        <f ca="1">IFERROR(__xludf.DUMMYFUNCTION("""COMPUTED_VALUE"""),45325)</f>
        <v>45325</v>
      </c>
      <c r="M477" s="18">
        <f ca="1">IFERROR(__xludf.DUMMYFUNCTION("""COMPUTED_VALUE"""),45325)</f>
        <v>45325</v>
      </c>
      <c r="N477" s="5" t="str">
        <f ca="1">IFERROR(__xludf.DUMMYFUNCTION("""COMPUTED_VALUE"""),"Vanegas Guependo Hermes")</f>
        <v>Vanegas Guependo Hermes</v>
      </c>
      <c r="O477" s="2">
        <f ca="1">IFERROR(__xludf.DUMMYFUNCTION("""COMPUTED_VALUE"""),0.0625)</f>
        <v>6.25E-2</v>
      </c>
      <c r="P477" s="5">
        <f ca="1">IFERROR(__xludf.DUMMYFUNCTION("""COMPUTED_VALUE"""),20010206)</f>
        <v>20010206</v>
      </c>
      <c r="Q477" s="5" t="str">
        <f ca="1">IFERROR(__xludf.DUMMYFUNCTION("""COMPUTED_VALUE"""),"Mt-SGwdd-9s")</f>
        <v>Mt-SGwdd-9s</v>
      </c>
      <c r="R477" s="5">
        <f ca="1">IFERROR(__xludf.DUMMYFUNCTION("""COMPUTED_VALUE"""),410)</f>
        <v>410</v>
      </c>
      <c r="S477" s="62">
        <f ca="1">IFERROR(__xludf.DUMMYFUNCTION("""COMPUTED_VALUE"""),0.0625)</f>
        <v>6.25E-2</v>
      </c>
      <c r="T477" s="63" t="str">
        <f ca="1">IFERROR(__xludf.DUMMYFUNCTION("""COMPUTED_VALUE"""),"https://storage.googleapis.com/glide-prod.appspot.com/uploads-v2/ly7o78grxPaC6KdgvbpS/pub/3aRdSog0vUtuqPE8AJKD.png")</f>
        <v>https://storage.googleapis.com/glide-prod.appspot.com/uploads-v2/ly7o78grxPaC6KdgvbpS/pub/3aRdSog0vUtuqPE8AJKD.png</v>
      </c>
      <c r="U477" s="5" t="str">
        <f ca="1">IFERROR(__xludf.DUMMYFUNCTION("""COMPUTED_VALUE"""),"LINEA DE ENVASADO JUGOS PET HOT FILLENRUTADOR TAPA")</f>
        <v>LINEA DE ENVASADO JUGOS PET HOT FILLENRUTADOR TAPA</v>
      </c>
      <c r="V477" s="5"/>
      <c r="W477" s="5" t="b">
        <f ca="1">IFERROR(__xludf.DUMMYFUNCTION("""COMPUTED_VALUE"""),TRUE)</f>
        <v>1</v>
      </c>
      <c r="X477" s="5" t="str">
        <f ca="1">IFERROR(__xludf.DUMMYFUNCTION("""COMPUTED_VALUE"""),"achavezi@postobon.com.co,aprmttoyu@postobon.com.co,aprmyu@postobon.com.co,wmora@postobon.com.co,efzapata@postobon.com.co")</f>
        <v>achavezi@postobon.com.co,aprmttoyu@postobon.com.co,aprmyu@postobon.com.co,wmora@postobon.com.co,efzapata@postobon.com.co</v>
      </c>
      <c r="Y477" s="5" t="str">
        <f ca="1">IFERROR(__xludf.DUMMYFUNCTION("""COMPUTED_VALUE"""),"achavezi@postobon.com.co")</f>
        <v>achavezi@postobon.com.co</v>
      </c>
      <c r="Z477" s="5" t="str">
        <f ca="1">IFERROR(__xludf.DUMMYFUNCTION("""COMPUTED_VALUE"""),"1AWQ8BXPS7q8blcuKHHW9A")</f>
        <v>1AWQ8BXPS7q8blcuKHHW9A</v>
      </c>
      <c r="AA477" s="5"/>
      <c r="AB477" s="5"/>
      <c r="AC477" s="5"/>
      <c r="AD477" s="5">
        <f ca="1">IFERROR(__xludf.DUMMYFUNCTION("""COMPUTED_VALUE"""),29)</f>
        <v>29</v>
      </c>
      <c r="AE477" s="5">
        <f ca="1">IFERROR(__xludf.DUMMYFUNCTION("""COMPUTED_VALUE"""),29)</f>
        <v>29</v>
      </c>
      <c r="AF477" s="5" t="b">
        <f ca="1">IFERROR(__xludf.DUMMYFUNCTION("""COMPUTED_VALUE"""),FALSE)</f>
        <v>0</v>
      </c>
      <c r="AG477" s="5" t="str">
        <f ca="1">IFERROR(__xludf.DUMMYFUNCTION("""COMPUTED_VALUE"""),"INSPECCIONES REALIZADAS")</f>
        <v>INSPECCIONES REALIZADAS</v>
      </c>
      <c r="AH477" s="5"/>
    </row>
    <row r="478" spans="1:34">
      <c r="A478" s="5" t="str">
        <f ca="1">IFERROR(__xludf.DUMMYFUNCTION("""COMPUTED_VALUE"""),"LINEA DE ENVASADO JUGOS PET HOT FILL")</f>
        <v>LINEA DE ENVASADO JUGOS PET HOT FILL</v>
      </c>
      <c r="B478" s="5">
        <f ca="1">IFERROR(__xludf.DUMMYFUNCTION("""COMPUTED_VALUE"""),579064)</f>
        <v>579064</v>
      </c>
      <c r="C478" s="5" t="str">
        <f ca="1">IFERROR(__xludf.DUMMYFUNCTION("""COMPUTED_VALUE"""),"ENVOLVEDORA DE FILM")</f>
        <v>ENVOLVEDORA DE FILM</v>
      </c>
      <c r="D478" s="5">
        <f ca="1">IFERROR(__xludf.DUMMYFUNCTION("""COMPUTED_VALUE"""),13247756)</f>
        <v>13247756</v>
      </c>
      <c r="E478" s="5" t="str">
        <f ca="1">IFERROR(__xludf.DUMMYFUNCTION("""COMPUTED_VALUE"""),"INSPECCION SEMANAL ENVOLVEDORA DE FILM")</f>
        <v>INSPECCION SEMANAL ENVOLVEDORA DE FILM</v>
      </c>
      <c r="F478" s="5" t="str">
        <f ca="1">IFERROR(__xludf.DUMMYFUNCTION("""COMPUTED_VALUE"""),"PLAN MTTO MEC ENVOLVEDORA DE FILM 579064")</f>
        <v>PLAN MTTO MEC ENVOLVEDORA DE FILM 579064</v>
      </c>
      <c r="G478" s="5" t="b">
        <f ca="1">IFERROR(__xludf.DUMMYFUNCTION("""COMPUTED_VALUE"""),TRUE)</f>
        <v>1</v>
      </c>
      <c r="H478" s="5" t="str">
        <f ca="1">IFERROR(__xludf.DUMMYFUNCTION("""COMPUTED_VALUE"""),"Válvula reguladora de presión se encuentra con fuga ")</f>
        <v xml:space="preserve">Válvula reguladora de presión se encuentra con fuga </v>
      </c>
      <c r="I478" s="5"/>
      <c r="J478" s="5">
        <f ca="1">IFERROR(__xludf.DUMMYFUNCTION("""COMPUTED_VALUE"""),13247756)</f>
        <v>13247756</v>
      </c>
      <c r="K478" s="5"/>
      <c r="L478" s="18">
        <f ca="1">IFERROR(__xludf.DUMMYFUNCTION("""COMPUTED_VALUE"""),45324)</f>
        <v>45324</v>
      </c>
      <c r="M478" s="18">
        <f ca="1">IFERROR(__xludf.DUMMYFUNCTION("""COMPUTED_VALUE"""),45324)</f>
        <v>45324</v>
      </c>
      <c r="N478" s="5" t="str">
        <f ca="1">IFERROR(__xludf.DUMMYFUNCTION("""COMPUTED_VALUE"""),"Martinez Delgado Osver")</f>
        <v>Martinez Delgado Osver</v>
      </c>
      <c r="O478" s="2">
        <f ca="1">IFERROR(__xludf.DUMMYFUNCTION("""COMPUTED_VALUE"""),0.1)</f>
        <v>0.1</v>
      </c>
      <c r="P478" s="5">
        <f ca="1">IFERROR(__xludf.DUMMYFUNCTION("""COMPUTED_VALUE"""),20009942)</f>
        <v>20009942</v>
      </c>
      <c r="Q478" s="5" t="str">
        <f ca="1">IFERROR(__xludf.DUMMYFUNCTION("""COMPUTED_VALUE"""),"pJqs052FxqU")</f>
        <v>pJqs052FxqU</v>
      </c>
      <c r="R478" s="5">
        <f ca="1">IFERROR(__xludf.DUMMYFUNCTION("""COMPUTED_VALUE"""),410)</f>
        <v>410</v>
      </c>
      <c r="S478" s="62">
        <f ca="1">IFERROR(__xludf.DUMMYFUNCTION("""COMPUTED_VALUE"""),0.1)</f>
        <v>0.1</v>
      </c>
      <c r="T478" s="63" t="str">
        <f ca="1">IFERROR(__xludf.DUMMYFUNCTION("""COMPUTED_VALUE"""),"https://storage.googleapis.com/glide-prod.appspot.com/uploads-v2/ly7o78grxPaC6KdgvbpS/pub/3aRdSog0vUtuqPE8AJKD.png")</f>
        <v>https://storage.googleapis.com/glide-prod.appspot.com/uploads-v2/ly7o78grxPaC6KdgvbpS/pub/3aRdSog0vUtuqPE8AJKD.png</v>
      </c>
      <c r="U478" s="5" t="str">
        <f ca="1">IFERROR(__xludf.DUMMYFUNCTION("""COMPUTED_VALUE"""),"LINEA DE ENVASADO JUGOS PET HOT FILLENVOLVEDORA DE FILM")</f>
        <v>LINEA DE ENVASADO JUGOS PET HOT FILLENVOLVEDORA DE FILM</v>
      </c>
      <c r="V478" s="5"/>
      <c r="W478" s="5" t="b">
        <f ca="1">IFERROR(__xludf.DUMMYFUNCTION("""COMPUTED_VALUE"""),TRUE)</f>
        <v>1</v>
      </c>
      <c r="X478" s="5" t="str">
        <f ca="1">IFERROR(__xludf.DUMMYFUNCTION("""COMPUTED_VALUE"""),"achavezi@postobon.com.co,aprmttoyu@postobon.com.co,aprmyu@postobon.com.co,wmora@postobon.com.co,efzapata@postobon.com.co")</f>
        <v>achavezi@postobon.com.co,aprmttoyu@postobon.com.co,aprmyu@postobon.com.co,wmora@postobon.com.co,efzapata@postobon.com.co</v>
      </c>
      <c r="Y478" s="5" t="str">
        <f ca="1">IFERROR(__xludf.DUMMYFUNCTION("""COMPUTED_VALUE"""),"achavezi@postobon.com.co")</f>
        <v>achavezi@postobon.com.co</v>
      </c>
      <c r="Z478" s="5" t="str">
        <f ca="1">IFERROR(__xludf.DUMMYFUNCTION("""COMPUTED_VALUE"""),"e83X2MLASuWEpZwXbn10Ww")</f>
        <v>e83X2MLASuWEpZwXbn10Ww</v>
      </c>
      <c r="AA478" s="63" t="str">
        <f ca="1">IFERROR(__xludf.DUMMYFUNCTION("""COMPUTED_VALUE"""),"https://storage.googleapis.com/glide-prod.appspot.com/uploads-v2/ly7o78grxPaC6KdgvbpS/pub/wg9j8fZMOEi3QJXARouc.jpg")</f>
        <v>https://storage.googleapis.com/glide-prod.appspot.com/uploads-v2/ly7o78grxPaC6KdgvbpS/pub/wg9j8fZMOEi3QJXARouc.jpg</v>
      </c>
      <c r="AB478" s="5"/>
      <c r="AC478" s="5"/>
      <c r="AD478" s="5">
        <f ca="1">IFERROR(__xludf.DUMMYFUNCTION("""COMPUTED_VALUE"""),21)</f>
        <v>21</v>
      </c>
      <c r="AE478" s="5">
        <f ca="1">IFERROR(__xludf.DUMMYFUNCTION("""COMPUTED_VALUE"""),21)</f>
        <v>21</v>
      </c>
      <c r="AF478" s="5" t="b">
        <f ca="1">IFERROR(__xludf.DUMMYFUNCTION("""COMPUTED_VALUE"""),FALSE)</f>
        <v>0</v>
      </c>
      <c r="AG478" s="5" t="str">
        <f ca="1">IFERROR(__xludf.DUMMYFUNCTION("""COMPUTED_VALUE"""),"INSPECCIONES REALIZADAS")</f>
        <v>INSPECCIONES REALIZADAS</v>
      </c>
      <c r="AH478" s="5"/>
    </row>
    <row r="479" spans="1:34">
      <c r="A479" s="5" t="str">
        <f ca="1">IFERROR(__xludf.DUMMYFUNCTION("""COMPUTED_VALUE"""),"LINEA PET CSD - LINEA 10")</f>
        <v>LINEA PET CSD - LINEA 10</v>
      </c>
      <c r="B479" s="5">
        <f ca="1">IFERROR(__xludf.DUMMYFUNCTION("""COMPUTED_VALUE"""),579079)</f>
        <v>579079</v>
      </c>
      <c r="C479" s="5" t="str">
        <f ca="1">IFERROR(__xludf.DUMMYFUNCTION("""COMPUTED_VALUE"""),"ENVOLVEDORA FILM PLASTICO")</f>
        <v>ENVOLVEDORA FILM PLASTICO</v>
      </c>
      <c r="D479" s="5">
        <f ca="1">IFERROR(__xludf.DUMMYFUNCTION("""COMPUTED_VALUE"""),13247590)</f>
        <v>13247590</v>
      </c>
      <c r="E479" s="5" t="str">
        <f ca="1">IFERROR(__xludf.DUMMYFUNCTION("""COMPUTED_VALUE"""),"INSPECCION SEMANAL ENVOLVEDORA FILM PLAS")</f>
        <v>INSPECCION SEMANAL ENVOLVEDORA FILM PLAS</v>
      </c>
      <c r="F479" s="5" t="str">
        <f ca="1">IFERROR(__xludf.DUMMYFUNCTION("""COMPUTED_VALUE"""),"PLAN MTTO ENVOLVEDORA FILM PLASTICO")</f>
        <v>PLAN MTTO ENVOLVEDORA FILM PLASTICO</v>
      </c>
      <c r="G479" s="5"/>
      <c r="H479" s="5"/>
      <c r="I479" s="5"/>
      <c r="J479" s="5"/>
      <c r="K479" s="5"/>
      <c r="L479" s="18">
        <f ca="1">IFERROR(__xludf.DUMMYFUNCTION("""COMPUTED_VALUE"""),45325)</f>
        <v>45325</v>
      </c>
      <c r="M479" s="18">
        <f ca="1">IFERROR(__xludf.DUMMYFUNCTION("""COMPUTED_VALUE"""),45325)</f>
        <v>45325</v>
      </c>
      <c r="N479" s="5" t="str">
        <f ca="1">IFERROR(__xludf.DUMMYFUNCTION("""COMPUTED_VALUE"""),"Lucumi Juan")</f>
        <v>Lucumi Juan</v>
      </c>
      <c r="O479" s="2">
        <f ca="1">IFERROR(__xludf.DUMMYFUNCTION("""COMPUTED_VALUE"""),0.1)</f>
        <v>0.1</v>
      </c>
      <c r="P479" s="5"/>
      <c r="Q479" s="5" t="str">
        <f ca="1">IFERROR(__xludf.DUMMYFUNCTION("""COMPUTED_VALUE"""),"JxsO6yxCKHY")</f>
        <v>JxsO6yxCKHY</v>
      </c>
      <c r="R479" s="5">
        <f ca="1">IFERROR(__xludf.DUMMYFUNCTION("""COMPUTED_VALUE"""),410)</f>
        <v>410</v>
      </c>
      <c r="S479" s="62">
        <f ca="1">IFERROR(__xludf.DUMMYFUNCTION("""COMPUTED_VALUE"""),0.1)</f>
        <v>0.1</v>
      </c>
      <c r="T479" s="63" t="str">
        <f ca="1">IFERROR(__xludf.DUMMYFUNCTION("""COMPUTED_VALUE"""),"https://storage.googleapis.com/glide-prod.appspot.com/uploads-v2/ly7o78grxPaC6KdgvbpS/pub/UliJWgpEaBovaFmXi6OW.png")</f>
        <v>https://storage.googleapis.com/glide-prod.appspot.com/uploads-v2/ly7o78grxPaC6KdgvbpS/pub/UliJWgpEaBovaFmXi6OW.png</v>
      </c>
      <c r="U479" s="5" t="str">
        <f ca="1">IFERROR(__xludf.DUMMYFUNCTION("""COMPUTED_VALUE"""),"LINEA PET CSD - LINEA 10ENVOLVEDORA FILM PLASTICO")</f>
        <v>LINEA PET CSD - LINEA 10ENVOLVEDORA FILM PLASTICO</v>
      </c>
      <c r="V479" s="5"/>
      <c r="W479" s="5"/>
      <c r="X479" s="5" t="str">
        <f ca="1">IFERROR(__xludf.DUMMYFUNCTION("""COMPUTED_VALUE"""),"wmazorra@postobon.com.co,aprmttoyu@postobon.com.co,aprmyu@postobon.com.co,wmora@postobon.com.co,efzapata@postobon.com.co")</f>
        <v>wmazorra@postobon.com.co,aprmttoyu@postobon.com.co,aprmyu@postobon.com.co,wmora@postobon.com.co,efzapata@postobon.com.co</v>
      </c>
      <c r="Y479" s="5" t="str">
        <f ca="1">IFERROR(__xludf.DUMMYFUNCTION("""COMPUTED_VALUE"""),"wmazorra@postobon.com.co")</f>
        <v>wmazorra@postobon.com.co</v>
      </c>
      <c r="Z479" s="5" t="str">
        <f ca="1">IFERROR(__xludf.DUMMYFUNCTION("""COMPUTED_VALUE"""),"JRoxM09IQqOmg857XNfRgg")</f>
        <v>JRoxM09IQqOmg857XNfRgg</v>
      </c>
      <c r="AA479" s="5"/>
      <c r="AB479" s="5"/>
      <c r="AC479" s="5"/>
      <c r="AD479" s="5">
        <f ca="1">IFERROR(__xludf.DUMMYFUNCTION("""COMPUTED_VALUE"""),24)</f>
        <v>24</v>
      </c>
      <c r="AE479" s="5">
        <f ca="1">IFERROR(__xludf.DUMMYFUNCTION("""COMPUTED_VALUE"""),0)</f>
        <v>0</v>
      </c>
      <c r="AF479" s="5" t="b">
        <f ca="1">IFERROR(__xludf.DUMMYFUNCTION("""COMPUTED_VALUE"""),TRUE)</f>
        <v>1</v>
      </c>
      <c r="AG479" s="5" t="str">
        <f ca="1">IFERROR(__xludf.DUMMYFUNCTION("""COMPUTED_VALUE"""),"INSPECCIONES SIN REALIZAR")</f>
        <v>INSPECCIONES SIN REALIZAR</v>
      </c>
      <c r="AH479" s="5"/>
    </row>
    <row r="480" spans="1:34">
      <c r="A480" s="5" t="str">
        <f ca="1">IFERROR(__xludf.DUMMYFUNCTION("""COMPUTED_VALUE"""),"LINEA DE ENVASADO PET NO RETORNABLE")</f>
        <v>LINEA DE ENVASADO PET NO RETORNABLE</v>
      </c>
      <c r="B480" s="5">
        <f ca="1">IFERROR(__xludf.DUMMYFUNCTION("""COMPUTED_VALUE"""),900233)</f>
        <v>900233</v>
      </c>
      <c r="C480" s="5" t="str">
        <f ca="1">IFERROR(__xludf.DUMMYFUNCTION("""COMPUTED_VALUE"""),"ENVOLVEDORA-ROBOPAC")</f>
        <v>ENVOLVEDORA-ROBOPAC</v>
      </c>
      <c r="D480" s="5">
        <f ca="1">IFERROR(__xludf.DUMMYFUNCTION("""COMPUTED_VALUE"""),13247823)</f>
        <v>13247823</v>
      </c>
      <c r="E480" s="5" t="str">
        <f ca="1">IFERROR(__xludf.DUMMYFUNCTION("""COMPUTED_VALUE"""),"INSPECCION SEMANAL ENVOLVEDORA-ROBOPAC")</f>
        <v>INSPECCION SEMANAL ENVOLVEDORA-ROBOPAC</v>
      </c>
      <c r="F480" s="5" t="str">
        <f ca="1">IFERROR(__xludf.DUMMYFUNCTION("""COMPUTED_VALUE"""),"PLAN MTTO MEC ENVOLVEDORA DE FILM 900233")</f>
        <v>PLAN MTTO MEC ENVOLVEDORA DE FILM 900233</v>
      </c>
      <c r="G480" s="5" t="b">
        <f ca="1">IFERROR(__xludf.DUMMYFUNCTION("""COMPUTED_VALUE"""),TRUE)</f>
        <v>1</v>
      </c>
      <c r="H480" s="5"/>
      <c r="I480" s="5"/>
      <c r="J480" s="5">
        <f ca="1">IFERROR(__xludf.DUMMYFUNCTION("""COMPUTED_VALUE"""),13247823)</f>
        <v>13247823</v>
      </c>
      <c r="K480" s="5"/>
      <c r="L480" s="18">
        <f ca="1">IFERROR(__xludf.DUMMYFUNCTION("""COMPUTED_VALUE"""),45324)</f>
        <v>45324</v>
      </c>
      <c r="M480" s="18">
        <f ca="1">IFERROR(__xludf.DUMMYFUNCTION("""COMPUTED_VALUE"""),45324)</f>
        <v>45324</v>
      </c>
      <c r="N480" s="5" t="str">
        <f ca="1">IFERROR(__xludf.DUMMYFUNCTION("""COMPUTED_VALUE"""),"Héctor Toro")</f>
        <v>Héctor Toro</v>
      </c>
      <c r="O480" s="2">
        <f ca="1">IFERROR(__xludf.DUMMYFUNCTION("""COMPUTED_VALUE"""),0.1)</f>
        <v>0.1</v>
      </c>
      <c r="P480" s="5">
        <f ca="1">IFERROR(__xludf.DUMMYFUNCTION("""COMPUTED_VALUE"""),20062740)</f>
        <v>20062740</v>
      </c>
      <c r="Q480" s="5" t="str">
        <f ca="1">IFERROR(__xludf.DUMMYFUNCTION("""COMPUTED_VALUE"""),"yMa0Oh5GLJ0")</f>
        <v>yMa0Oh5GLJ0</v>
      </c>
      <c r="R480" s="5">
        <f ca="1">IFERROR(__xludf.DUMMYFUNCTION("""COMPUTED_VALUE"""),410)</f>
        <v>410</v>
      </c>
      <c r="S480" s="62">
        <f ca="1">IFERROR(__xludf.DUMMYFUNCTION("""COMPUTED_VALUE"""),0.1)</f>
        <v>0.1</v>
      </c>
      <c r="T480" s="63" t="str">
        <f ca="1">IFERROR(__xludf.DUMMYFUNCTION("""COMPUTED_VALUE"""),"https://storage.googleapis.com/glide-prod.appspot.com/uploads-v2/ly7o78grxPaC6KdgvbpS/pub/3aRdSog0vUtuqPE8AJKD.png")</f>
        <v>https://storage.googleapis.com/glide-prod.appspot.com/uploads-v2/ly7o78grxPaC6KdgvbpS/pub/3aRdSog0vUtuqPE8AJKD.png</v>
      </c>
      <c r="U480" s="5" t="str">
        <f ca="1">IFERROR(__xludf.DUMMYFUNCTION("""COMPUTED_VALUE"""),"LINEA DE ENVASADO PET NO RETORNABLEENVOLVEDORA-ROBOPAC")</f>
        <v>LINEA DE ENVASADO PET NO RETORNABLEENVOLVEDORA-ROBOPAC</v>
      </c>
      <c r="V480" s="5"/>
      <c r="W480" s="5" t="b">
        <f ca="1">IFERROR(__xludf.DUMMYFUNCTION("""COMPUTED_VALUE"""),TRUE)</f>
        <v>1</v>
      </c>
      <c r="X480" s="5" t="str">
        <f ca="1">IFERROR(__xludf.DUMMYFUNCTION("""COMPUTED_VALUE"""),"wguerra@postobon.com.co,aprmttoyu@postobon.com.co,aprmyu@postobon.com.co,wmora@postobon.com.co,efzapata@postobon.com.co")</f>
        <v>wguerra@postobon.com.co,aprmttoyu@postobon.com.co,aprmyu@postobon.com.co,wmora@postobon.com.co,efzapata@postobon.com.co</v>
      </c>
      <c r="Y480" s="5" t="str">
        <f ca="1">IFERROR(__xludf.DUMMYFUNCTION("""COMPUTED_VALUE"""),"wguerra@postobon.com.co")</f>
        <v>wguerra@postobon.com.co</v>
      </c>
      <c r="Z480" s="5" t="str">
        <f ca="1">IFERROR(__xludf.DUMMYFUNCTION("""COMPUTED_VALUE"""),"Lv9FgUWgSdSWKdBqHRiQXQ")</f>
        <v>Lv9FgUWgSdSWKdBqHRiQXQ</v>
      </c>
      <c r="AA480" s="5"/>
      <c r="AB480" s="5"/>
      <c r="AC480" s="5"/>
      <c r="AD480" s="5">
        <f ca="1">IFERROR(__xludf.DUMMYFUNCTION("""COMPUTED_VALUE"""),12)</f>
        <v>12</v>
      </c>
      <c r="AE480" s="5">
        <f ca="1">IFERROR(__xludf.DUMMYFUNCTION("""COMPUTED_VALUE"""),12)</f>
        <v>12</v>
      </c>
      <c r="AF480" s="5" t="b">
        <f ca="1">IFERROR(__xludf.DUMMYFUNCTION("""COMPUTED_VALUE"""),FALSE)</f>
        <v>0</v>
      </c>
      <c r="AG480" s="5" t="str">
        <f ca="1">IFERROR(__xludf.DUMMYFUNCTION("""COMPUTED_VALUE"""),"INSPECCIONES REALIZADAS")</f>
        <v>INSPECCIONES REALIZADAS</v>
      </c>
      <c r="AH480" s="5"/>
    </row>
    <row r="481" spans="1:34">
      <c r="A481" s="5" t="str">
        <f ca="1">IFERROR(__xludf.DUMMYFUNCTION("""COMPUTED_VALUE"""),"EQUIPOS PARA PREPARACION DE JARABE")</f>
        <v>EQUIPOS PARA PREPARACION DE JARABE</v>
      </c>
      <c r="B481" s="5">
        <f ca="1">IFERROR(__xludf.DUMMYFUNCTION("""COMPUTED_VALUE"""),699636)</f>
        <v>699636</v>
      </c>
      <c r="C481" s="5" t="str">
        <f ca="1">IFERROR(__xludf.DUMMYFUNCTION("""COMPUTED_VALUE"""),"EQUIPO ELECTRONICO-SALA JARABE TERMINADO")</f>
        <v>EQUIPO ELECTRONICO-SALA JARABE TERMINADO</v>
      </c>
      <c r="D481" s="5">
        <f ca="1">IFERROR(__xludf.DUMMYFUNCTION("""COMPUTED_VALUE"""),13247440)</f>
        <v>13247440</v>
      </c>
      <c r="E481" s="5" t="str">
        <f ca="1">IFERROR(__xludf.DUMMYFUNCTION("""COMPUTED_VALUE"""),"INSPECCION SEMANAL EQUIPO ELECTRONICO-SA")</f>
        <v>INSPECCION SEMANAL EQUIPO ELECTRONICO-SA</v>
      </c>
      <c r="F481" s="5" t="str">
        <f ca="1">IFERROR(__xludf.DUMMYFUNCTION("""COMPUTED_VALUE"""),"MTTO ELEC EQUIPO ELECT JARABE TERMINADO")</f>
        <v>MTTO ELEC EQUIPO ELECT JARABE TERMINADO</v>
      </c>
      <c r="G481" s="5" t="b">
        <f ca="1">IFERROR(__xludf.DUMMYFUNCTION("""COMPUTED_VALUE"""),TRUE)</f>
        <v>1</v>
      </c>
      <c r="H481" s="5"/>
      <c r="I481" s="5"/>
      <c r="J481" s="5">
        <f ca="1">IFERROR(__xludf.DUMMYFUNCTION("""COMPUTED_VALUE"""),13247440)</f>
        <v>13247440</v>
      </c>
      <c r="K481" s="5"/>
      <c r="L481" s="18">
        <f ca="1">IFERROR(__xludf.DUMMYFUNCTION("""COMPUTED_VALUE"""),45324)</f>
        <v>45324</v>
      </c>
      <c r="M481" s="18">
        <f ca="1">IFERROR(__xludf.DUMMYFUNCTION("""COMPUTED_VALUE"""),45324)</f>
        <v>45324</v>
      </c>
      <c r="N481" s="5" t="str">
        <f ca="1">IFERROR(__xludf.DUMMYFUNCTION("""COMPUTED_VALUE"""),"IMBACHI WILTON ANDRES")</f>
        <v>IMBACHI WILTON ANDRES</v>
      </c>
      <c r="O481" s="2">
        <f ca="1">IFERROR(__xludf.DUMMYFUNCTION("""COMPUTED_VALUE"""),0.1)</f>
        <v>0.1</v>
      </c>
      <c r="P481" s="5">
        <f ca="1">IFERROR(__xludf.DUMMYFUNCTION("""COMPUTED_VALUE"""),20023069)</f>
        <v>20023069</v>
      </c>
      <c r="Q481" s="5" t="str">
        <f ca="1">IFERROR(__xludf.DUMMYFUNCTION("""COMPUTED_VALUE"""),"wqnLqX9FUsg")</f>
        <v>wqnLqX9FUsg</v>
      </c>
      <c r="R481" s="5">
        <f ca="1">IFERROR(__xludf.DUMMYFUNCTION("""COMPUTED_VALUE"""),410)</f>
        <v>410</v>
      </c>
      <c r="S481" s="62">
        <f ca="1">IFERROR(__xludf.DUMMYFUNCTION("""COMPUTED_VALUE"""),0.1)</f>
        <v>0.1</v>
      </c>
      <c r="T481" s="63" t="str">
        <f ca="1">IFERROR(__xludf.DUMMYFUNCTION("""COMPUTED_VALUE"""),"https://storage.googleapis.com/glide-prod.appspot.com/uploads-v2/ly7o78grxPaC6KdgvbpS/pub/3aRdSog0vUtuqPE8AJKD.png")</f>
        <v>https://storage.googleapis.com/glide-prod.appspot.com/uploads-v2/ly7o78grxPaC6KdgvbpS/pub/3aRdSog0vUtuqPE8AJKD.png</v>
      </c>
      <c r="U481" s="5" t="str">
        <f ca="1">IFERROR(__xludf.DUMMYFUNCTION("""COMPUTED_VALUE"""),"EQUIPOS PARA PREPARACION DE JARABEEQUIPO ELECTRONICO-SALA JARABE TERMINADO")</f>
        <v>EQUIPOS PARA PREPARACION DE JARABEEQUIPO ELECTRONICO-SALA JARABE TERMINADO</v>
      </c>
      <c r="V481" s="5"/>
      <c r="W481" s="5" t="b">
        <f ca="1">IFERROR(__xludf.DUMMYFUNCTION("""COMPUTED_VALUE"""),TRUE)</f>
        <v>1</v>
      </c>
      <c r="X481" s="5" t="str">
        <f ca="1">IFERROR(__xludf.DUMMYFUNCTION("""COMPUTED_VALUE"""),"efzapata@postobon.com.co,aprmttoyu@postobon.com.co,aprmyu@postobon.com.co,wmora@postobon.com.co,efzapata@postobon.com.co")</f>
        <v>efzapata@postobon.com.co,aprmttoyu@postobon.com.co,aprmyu@postobon.com.co,wmora@postobon.com.co,efzapata@postobon.com.co</v>
      </c>
      <c r="Y481" s="5" t="str">
        <f ca="1">IFERROR(__xludf.DUMMYFUNCTION("""COMPUTED_VALUE"""),"efzapata@postobon.com.co")</f>
        <v>efzapata@postobon.com.co</v>
      </c>
      <c r="Z481" s="5" t="str">
        <f ca="1">IFERROR(__xludf.DUMMYFUNCTION("""COMPUTED_VALUE"""),"DSIYhhdISnOYNMNRtYb9Hg")</f>
        <v>DSIYhhdISnOYNMNRtYb9Hg</v>
      </c>
      <c r="AA481" s="5"/>
      <c r="AB481" s="5"/>
      <c r="AC481" s="5"/>
      <c r="AD481" s="5">
        <f ca="1">IFERROR(__xludf.DUMMYFUNCTION("""COMPUTED_VALUE"""),1)</f>
        <v>1</v>
      </c>
      <c r="AE481" s="5">
        <f ca="1">IFERROR(__xludf.DUMMYFUNCTION("""COMPUTED_VALUE"""),1)</f>
        <v>1</v>
      </c>
      <c r="AF481" s="5" t="b">
        <f ca="1">IFERROR(__xludf.DUMMYFUNCTION("""COMPUTED_VALUE"""),FALSE)</f>
        <v>0</v>
      </c>
      <c r="AG481" s="5" t="str">
        <f ca="1">IFERROR(__xludf.DUMMYFUNCTION("""COMPUTED_VALUE"""),"INSPECCIONES REALIZADAS")</f>
        <v>INSPECCIONES REALIZADAS</v>
      </c>
      <c r="AH481" s="5"/>
    </row>
    <row r="482" spans="1:34">
      <c r="A482" s="5" t="str">
        <f ca="1">IFERROR(__xludf.DUMMYFUNCTION("""COMPUTED_VALUE"""),"LINEA DE ENVASADO JUGOS PET HOT FILL")</f>
        <v>LINEA DE ENVASADO JUGOS PET HOT FILL</v>
      </c>
      <c r="B482" s="5">
        <f ca="1">IFERROR(__xludf.DUMMYFUNCTION("""COMPUTED_VALUE"""),690105)</f>
        <v>690105</v>
      </c>
      <c r="C482" s="5" t="str">
        <f ca="1">IFERROR(__xludf.DUMMYFUNCTION("""COMPUTED_VALUE"""),"MAQUINA DE ESTERILIZACION CUELLOS")</f>
        <v>MAQUINA DE ESTERILIZACION CUELLOS</v>
      </c>
      <c r="D482" s="5">
        <f ca="1">IFERROR(__xludf.DUMMYFUNCTION("""COMPUTED_VALUE"""),13247769)</f>
        <v>13247769</v>
      </c>
      <c r="E482" s="5" t="str">
        <f ca="1">IFERROR(__xludf.DUMMYFUNCTION("""COMPUTED_VALUE"""),"INSPECCION SEMANAL ESTERILIZADOR TAPA")</f>
        <v>INSPECCION SEMANAL ESTERILIZADOR TAPA</v>
      </c>
      <c r="F482" s="5" t="str">
        <f ca="1">IFERROR(__xludf.DUMMYFUNCTION("""COMPUTED_VALUE"""),"ESTADO BANDA TRANSPORTADORA")</f>
        <v>ESTADO BANDA TRANSPORTADORA</v>
      </c>
      <c r="G482" s="5"/>
      <c r="H482" s="5"/>
      <c r="I482" s="5"/>
      <c r="J482" s="5"/>
      <c r="K482" s="5"/>
      <c r="L482" s="18">
        <f ca="1">IFERROR(__xludf.DUMMYFUNCTION("""COMPUTED_VALUE"""),45325)</f>
        <v>45325</v>
      </c>
      <c r="M482" s="18">
        <f ca="1">IFERROR(__xludf.DUMMYFUNCTION("""COMPUTED_VALUE"""),45325)</f>
        <v>45325</v>
      </c>
      <c r="N482" s="5" t="str">
        <f ca="1">IFERROR(__xludf.DUMMYFUNCTION("""COMPUTED_VALUE"""),"Jhonnys Arturo Fernández Suarez")</f>
        <v>Jhonnys Arturo Fernández Suarez</v>
      </c>
      <c r="O482" s="2">
        <f ca="1">IFERROR(__xludf.DUMMYFUNCTION("""COMPUTED_VALUE"""),0.011111111)</f>
        <v>1.1111111E-2</v>
      </c>
      <c r="P482" s="5"/>
      <c r="Q482" s="5" t="str">
        <f ca="1">IFERROR(__xludf.DUMMYFUNCTION("""COMPUTED_VALUE"""),"L-MiVKbOcSA")</f>
        <v>L-MiVKbOcSA</v>
      </c>
      <c r="R482" s="5">
        <f ca="1">IFERROR(__xludf.DUMMYFUNCTION("""COMPUTED_VALUE"""),410)</f>
        <v>410</v>
      </c>
      <c r="S482" s="62">
        <f ca="1">IFERROR(__xludf.DUMMYFUNCTION("""COMPUTED_VALUE"""),0.011111111)</f>
        <v>1.1111111E-2</v>
      </c>
      <c r="T482" s="63" t="str">
        <f ca="1">IFERROR(__xludf.DUMMYFUNCTION("""COMPUTED_VALUE"""),"https://storage.googleapis.com/glide-prod.appspot.com/uploads-v2/ly7o78grxPaC6KdgvbpS/pub/UliJWgpEaBovaFmXi6OW.png")</f>
        <v>https://storage.googleapis.com/glide-prod.appspot.com/uploads-v2/ly7o78grxPaC6KdgvbpS/pub/UliJWgpEaBovaFmXi6OW.png</v>
      </c>
      <c r="U482" s="5" t="str">
        <f ca="1">IFERROR(__xludf.DUMMYFUNCTION("""COMPUTED_VALUE"""),"LINEA DE ENVASADO JUGOS PET HOT FILLMAQUINA DE ESTERILIZACION CUELLOS")</f>
        <v>LINEA DE ENVASADO JUGOS PET HOT FILLMAQUINA DE ESTERILIZACION CUELLOS</v>
      </c>
      <c r="V482" s="5"/>
      <c r="W482" s="5"/>
      <c r="X482" s="5" t="str">
        <f ca="1">IFERROR(__xludf.DUMMYFUNCTION("""COMPUTED_VALUE"""),"achavezi@postobon.com.co,aprmttoyu@postobon.com.co,aprmyu@postobon.com.co,wmora@postobon.com.co,efzapata@postobon.com.co")</f>
        <v>achavezi@postobon.com.co,aprmttoyu@postobon.com.co,aprmyu@postobon.com.co,wmora@postobon.com.co,efzapata@postobon.com.co</v>
      </c>
      <c r="Y482" s="5" t="str">
        <f ca="1">IFERROR(__xludf.DUMMYFUNCTION("""COMPUTED_VALUE"""),"achavezi@postobon.com.co")</f>
        <v>achavezi@postobon.com.co</v>
      </c>
      <c r="Z482" s="5" t="str">
        <f ca="1">IFERROR(__xludf.DUMMYFUNCTION("""COMPUTED_VALUE"""),"aYD-dKSlQ-CcVfFsDUEqIQ")</f>
        <v>aYD-dKSlQ-CcVfFsDUEqIQ</v>
      </c>
      <c r="AA482" s="5"/>
      <c r="AB482" s="5"/>
      <c r="AC482" s="5"/>
      <c r="AD482" s="5">
        <f ca="1">IFERROR(__xludf.DUMMYFUNCTION("""COMPUTED_VALUE"""),27)</f>
        <v>27</v>
      </c>
      <c r="AE482" s="5">
        <f ca="1">IFERROR(__xludf.DUMMYFUNCTION("""COMPUTED_VALUE"""),5)</f>
        <v>5</v>
      </c>
      <c r="AF482" s="5" t="b">
        <f ca="1">IFERROR(__xludf.DUMMYFUNCTION("""COMPUTED_VALUE"""),TRUE)</f>
        <v>1</v>
      </c>
      <c r="AG482" s="5" t="str">
        <f ca="1">IFERROR(__xludf.DUMMYFUNCTION("""COMPUTED_VALUE"""),"INSPECCIONES SIN REALIZAR")</f>
        <v>INSPECCIONES SIN REALIZAR</v>
      </c>
      <c r="AH482" s="5"/>
    </row>
    <row r="483" spans="1:34">
      <c r="A483" s="5" t="str">
        <f ca="1">IFERROR(__xludf.DUMMYFUNCTION("""COMPUTED_VALUE"""),"LINEA DE ENVASADO JUGOS PET HOT FILL")</f>
        <v>LINEA DE ENVASADO JUGOS PET HOT FILL</v>
      </c>
      <c r="B483" s="5">
        <f ca="1">IFERROR(__xludf.DUMMYFUNCTION("""COMPUTED_VALUE"""),690105)</f>
        <v>690105</v>
      </c>
      <c r="C483" s="5" t="str">
        <f ca="1">IFERROR(__xludf.DUMMYFUNCTION("""COMPUTED_VALUE"""),"MAQUINA DE ESTERILIZACION CUELLOS")</f>
        <v>MAQUINA DE ESTERILIZACION CUELLOS</v>
      </c>
      <c r="D483" s="5">
        <f ca="1">IFERROR(__xludf.DUMMYFUNCTION("""COMPUTED_VALUE"""),13247769)</f>
        <v>13247769</v>
      </c>
      <c r="E483" s="5" t="str">
        <f ca="1">IFERROR(__xludf.DUMMYFUNCTION("""COMPUTED_VALUE"""),"INSPECCION SEMANAL ESTERILIZADOR TAPA")</f>
        <v>INSPECCION SEMANAL ESTERILIZADOR TAPA</v>
      </c>
      <c r="F483" s="5" t="str">
        <f ca="1">IFERROR(__xludf.DUMMYFUNCTION("""COMPUTED_VALUE"""),"INSP. SISTEMA DE TRANSMISION.")</f>
        <v>INSP. SISTEMA DE TRANSMISION.</v>
      </c>
      <c r="G483" s="5"/>
      <c r="H483" s="5"/>
      <c r="I483" s="5"/>
      <c r="J483" s="5"/>
      <c r="K483" s="5"/>
      <c r="L483" s="18">
        <f ca="1">IFERROR(__xludf.DUMMYFUNCTION("""COMPUTED_VALUE"""),45325)</f>
        <v>45325</v>
      </c>
      <c r="M483" s="18">
        <f ca="1">IFERROR(__xludf.DUMMYFUNCTION("""COMPUTED_VALUE"""),45325)</f>
        <v>45325</v>
      </c>
      <c r="N483" s="5" t="str">
        <f ca="1">IFERROR(__xludf.DUMMYFUNCTION("""COMPUTED_VALUE"""),"Jhonnys Arturo Fernández Suarez")</f>
        <v>Jhonnys Arturo Fernández Suarez</v>
      </c>
      <c r="O483" s="2">
        <f ca="1">IFERROR(__xludf.DUMMYFUNCTION("""COMPUTED_VALUE"""),0.011111111)</f>
        <v>1.1111111E-2</v>
      </c>
      <c r="P483" s="5"/>
      <c r="Q483" s="5" t="str">
        <f ca="1">IFERROR(__xludf.DUMMYFUNCTION("""COMPUTED_VALUE"""),"aDzxRksZDKI")</f>
        <v>aDzxRksZDKI</v>
      </c>
      <c r="R483" s="5">
        <f ca="1">IFERROR(__xludf.DUMMYFUNCTION("""COMPUTED_VALUE"""),410)</f>
        <v>410</v>
      </c>
      <c r="S483" s="62">
        <f ca="1">IFERROR(__xludf.DUMMYFUNCTION("""COMPUTED_VALUE"""),0.011111111)</f>
        <v>1.1111111E-2</v>
      </c>
      <c r="T483" s="63" t="str">
        <f ca="1">IFERROR(__xludf.DUMMYFUNCTION("""COMPUTED_VALUE"""),"https://storage.googleapis.com/glide-prod.appspot.com/uploads-v2/ly7o78grxPaC6KdgvbpS/pub/UliJWgpEaBovaFmXi6OW.png")</f>
        <v>https://storage.googleapis.com/glide-prod.appspot.com/uploads-v2/ly7o78grxPaC6KdgvbpS/pub/UliJWgpEaBovaFmXi6OW.png</v>
      </c>
      <c r="U483" s="5" t="str">
        <f ca="1">IFERROR(__xludf.DUMMYFUNCTION("""COMPUTED_VALUE"""),"LINEA DE ENVASADO JUGOS PET HOT FILLMAQUINA DE ESTERILIZACION CUELLOS")</f>
        <v>LINEA DE ENVASADO JUGOS PET HOT FILLMAQUINA DE ESTERILIZACION CUELLOS</v>
      </c>
      <c r="V483" s="5"/>
      <c r="W483" s="5"/>
      <c r="X483" s="5" t="str">
        <f ca="1">IFERROR(__xludf.DUMMYFUNCTION("""COMPUTED_VALUE"""),"achavezi@postobon.com.co,aprmttoyu@postobon.com.co,aprmyu@postobon.com.co,wmora@postobon.com.co,efzapata@postobon.com.co")</f>
        <v>achavezi@postobon.com.co,aprmttoyu@postobon.com.co,aprmyu@postobon.com.co,wmora@postobon.com.co,efzapata@postobon.com.co</v>
      </c>
      <c r="Y483" s="5" t="str">
        <f ca="1">IFERROR(__xludf.DUMMYFUNCTION("""COMPUTED_VALUE"""),"achavezi@postobon.com.co")</f>
        <v>achavezi@postobon.com.co</v>
      </c>
      <c r="Z483" s="5" t="str">
        <f ca="1">IFERROR(__xludf.DUMMYFUNCTION("""COMPUTED_VALUE"""),"ECpcDOuEQ7WyxHSsYDo66A")</f>
        <v>ECpcDOuEQ7WyxHSsYDo66A</v>
      </c>
      <c r="AA483" s="5"/>
      <c r="AB483" s="5"/>
      <c r="AC483" s="5"/>
      <c r="AD483" s="5">
        <f ca="1">IFERROR(__xludf.DUMMYFUNCTION("""COMPUTED_VALUE"""),27)</f>
        <v>27</v>
      </c>
      <c r="AE483" s="5">
        <f ca="1">IFERROR(__xludf.DUMMYFUNCTION("""COMPUTED_VALUE"""),5)</f>
        <v>5</v>
      </c>
      <c r="AF483" s="5" t="b">
        <f ca="1">IFERROR(__xludf.DUMMYFUNCTION("""COMPUTED_VALUE"""),TRUE)</f>
        <v>1</v>
      </c>
      <c r="AG483" s="5" t="str">
        <f ca="1">IFERROR(__xludf.DUMMYFUNCTION("""COMPUTED_VALUE"""),"INSPECCIONES SIN REALIZAR")</f>
        <v>INSPECCIONES SIN REALIZAR</v>
      </c>
      <c r="AH483" s="5"/>
    </row>
    <row r="484" spans="1:34">
      <c r="A484" s="5" t="str">
        <f ca="1">IFERROR(__xludf.DUMMYFUNCTION("""COMPUTED_VALUE"""),"LINEA DE ENVASADO JUGOS PET HOT FILL")</f>
        <v>LINEA DE ENVASADO JUGOS PET HOT FILL</v>
      </c>
      <c r="B484" s="5">
        <f ca="1">IFERROR(__xludf.DUMMYFUNCTION("""COMPUTED_VALUE"""),690105)</f>
        <v>690105</v>
      </c>
      <c r="C484" s="5" t="str">
        <f ca="1">IFERROR(__xludf.DUMMYFUNCTION("""COMPUTED_VALUE"""),"MAQUINA DE ESTERILIZACION CUELLOS")</f>
        <v>MAQUINA DE ESTERILIZACION CUELLOS</v>
      </c>
      <c r="D484" s="5">
        <f ca="1">IFERROR(__xludf.DUMMYFUNCTION("""COMPUTED_VALUE"""),13247769)</f>
        <v>13247769</v>
      </c>
      <c r="E484" s="5" t="str">
        <f ca="1">IFERROR(__xludf.DUMMYFUNCTION("""COMPUTED_VALUE"""),"INSPECCION SEMANAL ESTERILIZADOR TAPA")</f>
        <v>INSPECCION SEMANAL ESTERILIZADOR TAPA</v>
      </c>
      <c r="F484" s="5" t="str">
        <f ca="1">IFERROR(__xludf.DUMMYFUNCTION("""COMPUTED_VALUE"""),"ESTADO CUERPO PRINCIPAL")</f>
        <v>ESTADO CUERPO PRINCIPAL</v>
      </c>
      <c r="G484" s="5"/>
      <c r="H484" s="5"/>
      <c r="I484" s="5"/>
      <c r="J484" s="5"/>
      <c r="K484" s="5"/>
      <c r="L484" s="18">
        <f ca="1">IFERROR(__xludf.DUMMYFUNCTION("""COMPUTED_VALUE"""),45325)</f>
        <v>45325</v>
      </c>
      <c r="M484" s="18">
        <f ca="1">IFERROR(__xludf.DUMMYFUNCTION("""COMPUTED_VALUE"""),45325)</f>
        <v>45325</v>
      </c>
      <c r="N484" s="5" t="str">
        <f ca="1">IFERROR(__xludf.DUMMYFUNCTION("""COMPUTED_VALUE"""),"Jhonnys Arturo Fernández Suarez")</f>
        <v>Jhonnys Arturo Fernández Suarez</v>
      </c>
      <c r="O484" s="2">
        <f ca="1">IFERROR(__xludf.DUMMYFUNCTION("""COMPUTED_VALUE"""),0.011111111)</f>
        <v>1.1111111E-2</v>
      </c>
      <c r="P484" s="5"/>
      <c r="Q484" s="5" t="str">
        <f ca="1">IFERROR(__xludf.DUMMYFUNCTION("""COMPUTED_VALUE"""),"XRMBhA1MVYc")</f>
        <v>XRMBhA1MVYc</v>
      </c>
      <c r="R484" s="5">
        <f ca="1">IFERROR(__xludf.DUMMYFUNCTION("""COMPUTED_VALUE"""),410)</f>
        <v>410</v>
      </c>
      <c r="S484" s="62">
        <f ca="1">IFERROR(__xludf.DUMMYFUNCTION("""COMPUTED_VALUE"""),0.011111111)</f>
        <v>1.1111111E-2</v>
      </c>
      <c r="T484" s="63" t="str">
        <f ca="1">IFERROR(__xludf.DUMMYFUNCTION("""COMPUTED_VALUE"""),"https://storage.googleapis.com/glide-prod.appspot.com/uploads-v2/ly7o78grxPaC6KdgvbpS/pub/UliJWgpEaBovaFmXi6OW.png")</f>
        <v>https://storage.googleapis.com/glide-prod.appspot.com/uploads-v2/ly7o78grxPaC6KdgvbpS/pub/UliJWgpEaBovaFmXi6OW.png</v>
      </c>
      <c r="U484" s="5" t="str">
        <f ca="1">IFERROR(__xludf.DUMMYFUNCTION("""COMPUTED_VALUE"""),"LINEA DE ENVASADO JUGOS PET HOT FILLMAQUINA DE ESTERILIZACION CUELLOS")</f>
        <v>LINEA DE ENVASADO JUGOS PET HOT FILLMAQUINA DE ESTERILIZACION CUELLOS</v>
      </c>
      <c r="V484" s="5"/>
      <c r="W484" s="5"/>
      <c r="X484" s="5" t="str">
        <f ca="1">IFERROR(__xludf.DUMMYFUNCTION("""COMPUTED_VALUE"""),"achavezi@postobon.com.co,aprmttoyu@postobon.com.co,aprmyu@postobon.com.co,wmora@postobon.com.co,efzapata@postobon.com.co")</f>
        <v>achavezi@postobon.com.co,aprmttoyu@postobon.com.co,aprmyu@postobon.com.co,wmora@postobon.com.co,efzapata@postobon.com.co</v>
      </c>
      <c r="Y484" s="5" t="str">
        <f ca="1">IFERROR(__xludf.DUMMYFUNCTION("""COMPUTED_VALUE"""),"achavezi@postobon.com.co")</f>
        <v>achavezi@postobon.com.co</v>
      </c>
      <c r="Z484" s="5" t="str">
        <f ca="1">IFERROR(__xludf.DUMMYFUNCTION("""COMPUTED_VALUE"""),"uh3-O1kYTy-muh7f90WSeA")</f>
        <v>uh3-O1kYTy-muh7f90WSeA</v>
      </c>
      <c r="AA484" s="5"/>
      <c r="AB484" s="5"/>
      <c r="AC484" s="5"/>
      <c r="AD484" s="5">
        <f ca="1">IFERROR(__xludf.DUMMYFUNCTION("""COMPUTED_VALUE"""),27)</f>
        <v>27</v>
      </c>
      <c r="AE484" s="5">
        <f ca="1">IFERROR(__xludf.DUMMYFUNCTION("""COMPUTED_VALUE"""),5)</f>
        <v>5</v>
      </c>
      <c r="AF484" s="5" t="b">
        <f ca="1">IFERROR(__xludf.DUMMYFUNCTION("""COMPUTED_VALUE"""),TRUE)</f>
        <v>1</v>
      </c>
      <c r="AG484" s="5" t="str">
        <f ca="1">IFERROR(__xludf.DUMMYFUNCTION("""COMPUTED_VALUE"""),"INSPECCIONES SIN REALIZAR")</f>
        <v>INSPECCIONES SIN REALIZAR</v>
      </c>
      <c r="AH484" s="5"/>
    </row>
    <row r="485" spans="1:34">
      <c r="A485" s="5" t="str">
        <f ca="1">IFERROR(__xludf.DUMMYFUNCTION("""COMPUTED_VALUE"""),"LINEA DE ENVASADO JUGOS PET HOT FILL")</f>
        <v>LINEA DE ENVASADO JUGOS PET HOT FILL</v>
      </c>
      <c r="B485" s="5">
        <f ca="1">IFERROR(__xludf.DUMMYFUNCTION("""COMPUTED_VALUE"""),690105)</f>
        <v>690105</v>
      </c>
      <c r="C485" s="5" t="str">
        <f ca="1">IFERROR(__xludf.DUMMYFUNCTION("""COMPUTED_VALUE"""),"MAQUINA DE ESTERILIZACION CUELLOS")</f>
        <v>MAQUINA DE ESTERILIZACION CUELLOS</v>
      </c>
      <c r="D485" s="5">
        <f ca="1">IFERROR(__xludf.DUMMYFUNCTION("""COMPUTED_VALUE"""),13247769)</f>
        <v>13247769</v>
      </c>
      <c r="E485" s="5" t="str">
        <f ca="1">IFERROR(__xludf.DUMMYFUNCTION("""COMPUTED_VALUE"""),"INSPECCION SEMANAL ESTERILIZADOR TAPA")</f>
        <v>INSPECCION SEMANAL ESTERILIZADOR TAPA</v>
      </c>
      <c r="F485" s="5" t="str">
        <f ca="1">IFERROR(__xludf.DUMMYFUNCTION("""COMPUTED_VALUE"""),"INSP. MOTO REDUCTORES")</f>
        <v>INSP. MOTO REDUCTORES</v>
      </c>
      <c r="G485" s="5"/>
      <c r="H485" s="5"/>
      <c r="I485" s="5"/>
      <c r="J485" s="5"/>
      <c r="K485" s="5"/>
      <c r="L485" s="18">
        <f ca="1">IFERROR(__xludf.DUMMYFUNCTION("""COMPUTED_VALUE"""),45325)</f>
        <v>45325</v>
      </c>
      <c r="M485" s="18">
        <f ca="1">IFERROR(__xludf.DUMMYFUNCTION("""COMPUTED_VALUE"""),45325)</f>
        <v>45325</v>
      </c>
      <c r="N485" s="5" t="str">
        <f ca="1">IFERROR(__xludf.DUMMYFUNCTION("""COMPUTED_VALUE"""),"Jhonnys Arturo Fernández Suarez")</f>
        <v>Jhonnys Arturo Fernández Suarez</v>
      </c>
      <c r="O485" s="2">
        <f ca="1">IFERROR(__xludf.DUMMYFUNCTION("""COMPUTED_VALUE"""),0.011111111)</f>
        <v>1.1111111E-2</v>
      </c>
      <c r="P485" s="5"/>
      <c r="Q485" s="5" t="str">
        <f ca="1">IFERROR(__xludf.DUMMYFUNCTION("""COMPUTED_VALUE"""),"ZwO7l-asQKs")</f>
        <v>ZwO7l-asQKs</v>
      </c>
      <c r="R485" s="5">
        <f ca="1">IFERROR(__xludf.DUMMYFUNCTION("""COMPUTED_VALUE"""),410)</f>
        <v>410</v>
      </c>
      <c r="S485" s="62">
        <f ca="1">IFERROR(__xludf.DUMMYFUNCTION("""COMPUTED_VALUE"""),0.011111111)</f>
        <v>1.1111111E-2</v>
      </c>
      <c r="T485" s="63" t="str">
        <f ca="1">IFERROR(__xludf.DUMMYFUNCTION("""COMPUTED_VALUE"""),"https://storage.googleapis.com/glide-prod.appspot.com/uploads-v2/ly7o78grxPaC6KdgvbpS/pub/UliJWgpEaBovaFmXi6OW.png")</f>
        <v>https://storage.googleapis.com/glide-prod.appspot.com/uploads-v2/ly7o78grxPaC6KdgvbpS/pub/UliJWgpEaBovaFmXi6OW.png</v>
      </c>
      <c r="U485" s="5" t="str">
        <f ca="1">IFERROR(__xludf.DUMMYFUNCTION("""COMPUTED_VALUE"""),"LINEA DE ENVASADO JUGOS PET HOT FILLMAQUINA DE ESTERILIZACION CUELLOS")</f>
        <v>LINEA DE ENVASADO JUGOS PET HOT FILLMAQUINA DE ESTERILIZACION CUELLOS</v>
      </c>
      <c r="V485" s="5"/>
      <c r="W485" s="5"/>
      <c r="X485" s="5" t="str">
        <f ca="1">IFERROR(__xludf.DUMMYFUNCTION("""COMPUTED_VALUE"""),"achavezi@postobon.com.co,aprmttoyu@postobon.com.co,aprmyu@postobon.com.co,wmora@postobon.com.co,efzapata@postobon.com.co")</f>
        <v>achavezi@postobon.com.co,aprmttoyu@postobon.com.co,aprmyu@postobon.com.co,wmora@postobon.com.co,efzapata@postobon.com.co</v>
      </c>
      <c r="Y485" s="5" t="str">
        <f ca="1">IFERROR(__xludf.DUMMYFUNCTION("""COMPUTED_VALUE"""),"achavezi@postobon.com.co")</f>
        <v>achavezi@postobon.com.co</v>
      </c>
      <c r="Z485" s="5" t="str">
        <f ca="1">IFERROR(__xludf.DUMMYFUNCTION("""COMPUTED_VALUE"""),"j6iefzVKR4O3LTwfJsyGPQ")</f>
        <v>j6iefzVKR4O3LTwfJsyGPQ</v>
      </c>
      <c r="AA485" s="5"/>
      <c r="AB485" s="5"/>
      <c r="AC485" s="5"/>
      <c r="AD485" s="5">
        <f ca="1">IFERROR(__xludf.DUMMYFUNCTION("""COMPUTED_VALUE"""),27)</f>
        <v>27</v>
      </c>
      <c r="AE485" s="5">
        <f ca="1">IFERROR(__xludf.DUMMYFUNCTION("""COMPUTED_VALUE"""),5)</f>
        <v>5</v>
      </c>
      <c r="AF485" s="5" t="b">
        <f ca="1">IFERROR(__xludf.DUMMYFUNCTION("""COMPUTED_VALUE"""),TRUE)</f>
        <v>1</v>
      </c>
      <c r="AG485" s="5" t="str">
        <f ca="1">IFERROR(__xludf.DUMMYFUNCTION("""COMPUTED_VALUE"""),"INSPECCIONES SIN REALIZAR")</f>
        <v>INSPECCIONES SIN REALIZAR</v>
      </c>
      <c r="AH485" s="5"/>
    </row>
    <row r="486" spans="1:34">
      <c r="A486" s="5" t="str">
        <f ca="1">IFERROR(__xludf.DUMMYFUNCTION("""COMPUTED_VALUE"""),"LINEA DE ENVASADO JUGOS PET HOT FILL")</f>
        <v>LINEA DE ENVASADO JUGOS PET HOT FILL</v>
      </c>
      <c r="B486" s="5">
        <f ca="1">IFERROR(__xludf.DUMMYFUNCTION("""COMPUTED_VALUE"""),690105)</f>
        <v>690105</v>
      </c>
      <c r="C486" s="5" t="str">
        <f ca="1">IFERROR(__xludf.DUMMYFUNCTION("""COMPUTED_VALUE"""),"MAQUINA DE ESTERILIZACION CUELLOS")</f>
        <v>MAQUINA DE ESTERILIZACION CUELLOS</v>
      </c>
      <c r="D486" s="5">
        <f ca="1">IFERROR(__xludf.DUMMYFUNCTION("""COMPUTED_VALUE"""),13247769)</f>
        <v>13247769</v>
      </c>
      <c r="E486" s="5" t="str">
        <f ca="1">IFERROR(__xludf.DUMMYFUNCTION("""COMPUTED_VALUE"""),"INSPECCION SEMANAL ESTERILIZADOR TAPA")</f>
        <v>INSPECCION SEMANAL ESTERILIZADOR TAPA</v>
      </c>
      <c r="F486" s="5" t="str">
        <f ca="1">IFERROR(__xludf.DUMMYFUNCTION("""COMPUTED_VALUE"""),"INSP. GUIAS EMPACK")</f>
        <v>INSP. GUIAS EMPACK</v>
      </c>
      <c r="G486" s="5"/>
      <c r="H486" s="5"/>
      <c r="I486" s="5"/>
      <c r="J486" s="5"/>
      <c r="K486" s="5"/>
      <c r="L486" s="18">
        <f ca="1">IFERROR(__xludf.DUMMYFUNCTION("""COMPUTED_VALUE"""),45325)</f>
        <v>45325</v>
      </c>
      <c r="M486" s="18">
        <f ca="1">IFERROR(__xludf.DUMMYFUNCTION("""COMPUTED_VALUE"""),45325)</f>
        <v>45325</v>
      </c>
      <c r="N486" s="5" t="str">
        <f ca="1">IFERROR(__xludf.DUMMYFUNCTION("""COMPUTED_VALUE"""),"Jhonnys Arturo Fernández Suarez")</f>
        <v>Jhonnys Arturo Fernández Suarez</v>
      </c>
      <c r="O486" s="2">
        <f ca="1">IFERROR(__xludf.DUMMYFUNCTION("""COMPUTED_VALUE"""),0.011111111)</f>
        <v>1.1111111E-2</v>
      </c>
      <c r="P486" s="5"/>
      <c r="Q486" s="5" t="str">
        <f ca="1">IFERROR(__xludf.DUMMYFUNCTION("""COMPUTED_VALUE"""),"UpnqR2O7Vxs")</f>
        <v>UpnqR2O7Vxs</v>
      </c>
      <c r="R486" s="5">
        <f ca="1">IFERROR(__xludf.DUMMYFUNCTION("""COMPUTED_VALUE"""),410)</f>
        <v>410</v>
      </c>
      <c r="S486" s="62">
        <f ca="1">IFERROR(__xludf.DUMMYFUNCTION("""COMPUTED_VALUE"""),0.011111111)</f>
        <v>1.1111111E-2</v>
      </c>
      <c r="T486" s="63" t="str">
        <f ca="1">IFERROR(__xludf.DUMMYFUNCTION("""COMPUTED_VALUE"""),"https://storage.googleapis.com/glide-prod.appspot.com/uploads-v2/ly7o78grxPaC6KdgvbpS/pub/UliJWgpEaBovaFmXi6OW.png")</f>
        <v>https://storage.googleapis.com/glide-prod.appspot.com/uploads-v2/ly7o78grxPaC6KdgvbpS/pub/UliJWgpEaBovaFmXi6OW.png</v>
      </c>
      <c r="U486" s="5" t="str">
        <f ca="1">IFERROR(__xludf.DUMMYFUNCTION("""COMPUTED_VALUE"""),"LINEA DE ENVASADO JUGOS PET HOT FILLMAQUINA DE ESTERILIZACION CUELLOS")</f>
        <v>LINEA DE ENVASADO JUGOS PET HOT FILLMAQUINA DE ESTERILIZACION CUELLOS</v>
      </c>
      <c r="V486" s="5"/>
      <c r="W486" s="5"/>
      <c r="X486" s="5" t="str">
        <f ca="1">IFERROR(__xludf.DUMMYFUNCTION("""COMPUTED_VALUE"""),"achavezi@postobon.com.co,aprmttoyu@postobon.com.co,aprmyu@postobon.com.co,wmora@postobon.com.co,efzapata@postobon.com.co")</f>
        <v>achavezi@postobon.com.co,aprmttoyu@postobon.com.co,aprmyu@postobon.com.co,wmora@postobon.com.co,efzapata@postobon.com.co</v>
      </c>
      <c r="Y486" s="5" t="str">
        <f ca="1">IFERROR(__xludf.DUMMYFUNCTION("""COMPUTED_VALUE"""),"achavezi@postobon.com.co")</f>
        <v>achavezi@postobon.com.co</v>
      </c>
      <c r="Z486" s="5" t="str">
        <f ca="1">IFERROR(__xludf.DUMMYFUNCTION("""COMPUTED_VALUE"""),"II9lJoeARce3CcY8kcZ50g")</f>
        <v>II9lJoeARce3CcY8kcZ50g</v>
      </c>
      <c r="AA486" s="5"/>
      <c r="AB486" s="5"/>
      <c r="AC486" s="5"/>
      <c r="AD486" s="5">
        <f ca="1">IFERROR(__xludf.DUMMYFUNCTION("""COMPUTED_VALUE"""),27)</f>
        <v>27</v>
      </c>
      <c r="AE486" s="5">
        <f ca="1">IFERROR(__xludf.DUMMYFUNCTION("""COMPUTED_VALUE"""),5)</f>
        <v>5</v>
      </c>
      <c r="AF486" s="5" t="b">
        <f ca="1">IFERROR(__xludf.DUMMYFUNCTION("""COMPUTED_VALUE"""),TRUE)</f>
        <v>1</v>
      </c>
      <c r="AG486" s="5" t="str">
        <f ca="1">IFERROR(__xludf.DUMMYFUNCTION("""COMPUTED_VALUE"""),"INSPECCIONES SIN REALIZAR")</f>
        <v>INSPECCIONES SIN REALIZAR</v>
      </c>
      <c r="AH486" s="5"/>
    </row>
    <row r="487" spans="1:34">
      <c r="A487" s="5" t="str">
        <f ca="1">IFERROR(__xludf.DUMMYFUNCTION("""COMPUTED_VALUE"""),"LINEA DE ENVASADO JUGOS PET HOT FILL")</f>
        <v>LINEA DE ENVASADO JUGOS PET HOT FILL</v>
      </c>
      <c r="B487" s="5">
        <f ca="1">IFERROR(__xludf.DUMMYFUNCTION("""COMPUTED_VALUE"""),690105)</f>
        <v>690105</v>
      </c>
      <c r="C487" s="5" t="str">
        <f ca="1">IFERROR(__xludf.DUMMYFUNCTION("""COMPUTED_VALUE"""),"MAQUINA DE ESTERILIZACION CUELLOS")</f>
        <v>MAQUINA DE ESTERILIZACION CUELLOS</v>
      </c>
      <c r="D487" s="5">
        <f ca="1">IFERROR(__xludf.DUMMYFUNCTION("""COMPUTED_VALUE"""),13247769)</f>
        <v>13247769</v>
      </c>
      <c r="E487" s="5" t="str">
        <f ca="1">IFERROR(__xludf.DUMMYFUNCTION("""COMPUTED_VALUE"""),"INSPECCION SEMANAL ESTERILIZADOR TAPA")</f>
        <v>INSPECCION SEMANAL ESTERILIZADOR TAPA</v>
      </c>
      <c r="F487" s="5" t="str">
        <f ca="1">IFERROR(__xludf.DUMMYFUNCTION("""COMPUTED_VALUE"""),"INSP. UNIDAD MATTO AIRE")</f>
        <v>INSP. UNIDAD MATTO AIRE</v>
      </c>
      <c r="G487" s="5"/>
      <c r="H487" s="5"/>
      <c r="I487" s="5"/>
      <c r="J487" s="5"/>
      <c r="K487" s="5"/>
      <c r="L487" s="18">
        <f ca="1">IFERROR(__xludf.DUMMYFUNCTION("""COMPUTED_VALUE"""),45325)</f>
        <v>45325</v>
      </c>
      <c r="M487" s="18">
        <f ca="1">IFERROR(__xludf.DUMMYFUNCTION("""COMPUTED_VALUE"""),45325)</f>
        <v>45325</v>
      </c>
      <c r="N487" s="5" t="str">
        <f ca="1">IFERROR(__xludf.DUMMYFUNCTION("""COMPUTED_VALUE"""),"Jhonnys Arturo Fernández Suarez")</f>
        <v>Jhonnys Arturo Fernández Suarez</v>
      </c>
      <c r="O487" s="2">
        <f ca="1">IFERROR(__xludf.DUMMYFUNCTION("""COMPUTED_VALUE"""),0.011111111)</f>
        <v>1.1111111E-2</v>
      </c>
      <c r="P487" s="5"/>
      <c r="Q487" s="5" t="str">
        <f ca="1">IFERROR(__xludf.DUMMYFUNCTION("""COMPUTED_VALUE"""),"UTGAb-BbJtU")</f>
        <v>UTGAb-BbJtU</v>
      </c>
      <c r="R487" s="5">
        <f ca="1">IFERROR(__xludf.DUMMYFUNCTION("""COMPUTED_VALUE"""),410)</f>
        <v>410</v>
      </c>
      <c r="S487" s="62">
        <f ca="1">IFERROR(__xludf.DUMMYFUNCTION("""COMPUTED_VALUE"""),0.011111111)</f>
        <v>1.1111111E-2</v>
      </c>
      <c r="T487" s="63" t="str">
        <f ca="1">IFERROR(__xludf.DUMMYFUNCTION("""COMPUTED_VALUE"""),"https://storage.googleapis.com/glide-prod.appspot.com/uploads-v2/ly7o78grxPaC6KdgvbpS/pub/UliJWgpEaBovaFmXi6OW.png")</f>
        <v>https://storage.googleapis.com/glide-prod.appspot.com/uploads-v2/ly7o78grxPaC6KdgvbpS/pub/UliJWgpEaBovaFmXi6OW.png</v>
      </c>
      <c r="U487" s="5" t="str">
        <f ca="1">IFERROR(__xludf.DUMMYFUNCTION("""COMPUTED_VALUE"""),"LINEA DE ENVASADO JUGOS PET HOT FILLMAQUINA DE ESTERILIZACION CUELLOS")</f>
        <v>LINEA DE ENVASADO JUGOS PET HOT FILLMAQUINA DE ESTERILIZACION CUELLOS</v>
      </c>
      <c r="V487" s="5"/>
      <c r="W487" s="5"/>
      <c r="X487" s="5" t="str">
        <f ca="1">IFERROR(__xludf.DUMMYFUNCTION("""COMPUTED_VALUE"""),"achavezi@postobon.com.co,aprmttoyu@postobon.com.co,aprmyu@postobon.com.co,wmora@postobon.com.co,efzapata@postobon.com.co")</f>
        <v>achavezi@postobon.com.co,aprmttoyu@postobon.com.co,aprmyu@postobon.com.co,wmora@postobon.com.co,efzapata@postobon.com.co</v>
      </c>
      <c r="Y487" s="5" t="str">
        <f ca="1">IFERROR(__xludf.DUMMYFUNCTION("""COMPUTED_VALUE"""),"achavezi@postobon.com.co")</f>
        <v>achavezi@postobon.com.co</v>
      </c>
      <c r="Z487" s="5" t="str">
        <f ca="1">IFERROR(__xludf.DUMMYFUNCTION("""COMPUTED_VALUE"""),"swF9YmLjRIWbOoexcEQ3rw")</f>
        <v>swF9YmLjRIWbOoexcEQ3rw</v>
      </c>
      <c r="AA487" s="5"/>
      <c r="AB487" s="5"/>
      <c r="AC487" s="5"/>
      <c r="AD487" s="5">
        <f ca="1">IFERROR(__xludf.DUMMYFUNCTION("""COMPUTED_VALUE"""),27)</f>
        <v>27</v>
      </c>
      <c r="AE487" s="5">
        <f ca="1">IFERROR(__xludf.DUMMYFUNCTION("""COMPUTED_VALUE"""),5)</f>
        <v>5</v>
      </c>
      <c r="AF487" s="5" t="b">
        <f ca="1">IFERROR(__xludf.DUMMYFUNCTION("""COMPUTED_VALUE"""),TRUE)</f>
        <v>1</v>
      </c>
      <c r="AG487" s="5" t="str">
        <f ca="1">IFERROR(__xludf.DUMMYFUNCTION("""COMPUTED_VALUE"""),"INSPECCIONES SIN REALIZAR")</f>
        <v>INSPECCIONES SIN REALIZAR</v>
      </c>
      <c r="AH487" s="5"/>
    </row>
    <row r="488" spans="1:34">
      <c r="A488" s="5" t="str">
        <f ca="1">IFERROR(__xludf.DUMMYFUNCTION("""COMPUTED_VALUE"""),"LINEA DE ENVASADO JUGOS PET HOT FILL")</f>
        <v>LINEA DE ENVASADO JUGOS PET HOT FILL</v>
      </c>
      <c r="B488" s="5">
        <f ca="1">IFERROR(__xludf.DUMMYFUNCTION("""COMPUTED_VALUE"""),690105)</f>
        <v>690105</v>
      </c>
      <c r="C488" s="5" t="str">
        <f ca="1">IFERROR(__xludf.DUMMYFUNCTION("""COMPUTED_VALUE"""),"MAQUINA DE ESTERILIZACION CUELLOS")</f>
        <v>MAQUINA DE ESTERILIZACION CUELLOS</v>
      </c>
      <c r="D488" s="5">
        <f ca="1">IFERROR(__xludf.DUMMYFUNCTION("""COMPUTED_VALUE"""),13247769)</f>
        <v>13247769</v>
      </c>
      <c r="E488" s="5" t="str">
        <f ca="1">IFERROR(__xludf.DUMMYFUNCTION("""COMPUTED_VALUE"""),"INSPECCION SEMANAL ESTERILIZADOR TAPA")</f>
        <v>INSPECCION SEMANAL ESTERILIZADOR TAPA</v>
      </c>
      <c r="F488" s="5" t="str">
        <f ca="1">IFERROR(__xludf.DUMMYFUNCTION("""COMPUTED_VALUE"""),"VERIFICACION SISTEMA ELECTRICO")</f>
        <v>VERIFICACION SISTEMA ELECTRICO</v>
      </c>
      <c r="G488" s="5"/>
      <c r="H488" s="5"/>
      <c r="I488" s="5"/>
      <c r="J488" s="5"/>
      <c r="K488" s="5"/>
      <c r="L488" s="18">
        <f ca="1">IFERROR(__xludf.DUMMYFUNCTION("""COMPUTED_VALUE"""),45325)</f>
        <v>45325</v>
      </c>
      <c r="M488" s="18">
        <f ca="1">IFERROR(__xludf.DUMMYFUNCTION("""COMPUTED_VALUE"""),45325)</f>
        <v>45325</v>
      </c>
      <c r="N488" s="5" t="str">
        <f ca="1">IFERROR(__xludf.DUMMYFUNCTION("""COMPUTED_VALUE"""),"Jhonnys Arturo Fernández Suarez")</f>
        <v>Jhonnys Arturo Fernández Suarez</v>
      </c>
      <c r="O488" s="2">
        <f ca="1">IFERROR(__xludf.DUMMYFUNCTION("""COMPUTED_VALUE"""),0.011111111)</f>
        <v>1.1111111E-2</v>
      </c>
      <c r="P488" s="5"/>
      <c r="Q488" s="5" t="str">
        <f ca="1">IFERROR(__xludf.DUMMYFUNCTION("""COMPUTED_VALUE"""),"558Nq8eLEmk")</f>
        <v>558Nq8eLEmk</v>
      </c>
      <c r="R488" s="5">
        <f ca="1">IFERROR(__xludf.DUMMYFUNCTION("""COMPUTED_VALUE"""),410)</f>
        <v>410</v>
      </c>
      <c r="S488" s="62">
        <f ca="1">IFERROR(__xludf.DUMMYFUNCTION("""COMPUTED_VALUE"""),0.011111111)</f>
        <v>1.1111111E-2</v>
      </c>
      <c r="T488" s="63" t="str">
        <f ca="1">IFERROR(__xludf.DUMMYFUNCTION("""COMPUTED_VALUE"""),"https://storage.googleapis.com/glide-prod.appspot.com/uploads-v2/ly7o78grxPaC6KdgvbpS/pub/UliJWgpEaBovaFmXi6OW.png")</f>
        <v>https://storage.googleapis.com/glide-prod.appspot.com/uploads-v2/ly7o78grxPaC6KdgvbpS/pub/UliJWgpEaBovaFmXi6OW.png</v>
      </c>
      <c r="U488" s="5" t="str">
        <f ca="1">IFERROR(__xludf.DUMMYFUNCTION("""COMPUTED_VALUE"""),"LINEA DE ENVASADO JUGOS PET HOT FILLMAQUINA DE ESTERILIZACION CUELLOS")</f>
        <v>LINEA DE ENVASADO JUGOS PET HOT FILLMAQUINA DE ESTERILIZACION CUELLOS</v>
      </c>
      <c r="V488" s="5"/>
      <c r="W488" s="5"/>
      <c r="X488" s="5" t="str">
        <f ca="1">IFERROR(__xludf.DUMMYFUNCTION("""COMPUTED_VALUE"""),"achavezi@postobon.com.co,aprmttoyu@postobon.com.co,aprmyu@postobon.com.co,wmora@postobon.com.co,efzapata@postobon.com.co")</f>
        <v>achavezi@postobon.com.co,aprmttoyu@postobon.com.co,aprmyu@postobon.com.co,wmora@postobon.com.co,efzapata@postobon.com.co</v>
      </c>
      <c r="Y488" s="5" t="str">
        <f ca="1">IFERROR(__xludf.DUMMYFUNCTION("""COMPUTED_VALUE"""),"achavezi@postobon.com.co")</f>
        <v>achavezi@postobon.com.co</v>
      </c>
      <c r="Z488" s="5" t="str">
        <f ca="1">IFERROR(__xludf.DUMMYFUNCTION("""COMPUTED_VALUE"""),"l5MRbc8GQ.GeY2Foym8aBA")</f>
        <v>l5MRbc8GQ.GeY2Foym8aBA</v>
      </c>
      <c r="AA488" s="5"/>
      <c r="AB488" s="5"/>
      <c r="AC488" s="5"/>
      <c r="AD488" s="5">
        <f ca="1">IFERROR(__xludf.DUMMYFUNCTION("""COMPUTED_VALUE"""),27)</f>
        <v>27</v>
      </c>
      <c r="AE488" s="5">
        <f ca="1">IFERROR(__xludf.DUMMYFUNCTION("""COMPUTED_VALUE"""),5)</f>
        <v>5</v>
      </c>
      <c r="AF488" s="5" t="b">
        <f ca="1">IFERROR(__xludf.DUMMYFUNCTION("""COMPUTED_VALUE"""),TRUE)</f>
        <v>1</v>
      </c>
      <c r="AG488" s="5" t="str">
        <f ca="1">IFERROR(__xludf.DUMMYFUNCTION("""COMPUTED_VALUE"""),"INSPECCIONES SIN REALIZAR")</f>
        <v>INSPECCIONES SIN REALIZAR</v>
      </c>
      <c r="AH488" s="5"/>
    </row>
    <row r="489" spans="1:34">
      <c r="A489" s="5" t="str">
        <f ca="1">IFERROR(__xludf.DUMMYFUNCTION("""COMPUTED_VALUE"""),"LINEA DE ENVASADO JUGOS PET HOT FILL")</f>
        <v>LINEA DE ENVASADO JUGOS PET HOT FILL</v>
      </c>
      <c r="B489" s="5">
        <f ca="1">IFERROR(__xludf.DUMMYFUNCTION("""COMPUTED_VALUE"""),690105)</f>
        <v>690105</v>
      </c>
      <c r="C489" s="5" t="str">
        <f ca="1">IFERROR(__xludf.DUMMYFUNCTION("""COMPUTED_VALUE"""),"MAQUINA DE ESTERILIZACION CUELLOS")</f>
        <v>MAQUINA DE ESTERILIZACION CUELLOS</v>
      </c>
      <c r="D489" s="5">
        <f ca="1">IFERROR(__xludf.DUMMYFUNCTION("""COMPUTED_VALUE"""),13247769)</f>
        <v>13247769</v>
      </c>
      <c r="E489" s="5" t="str">
        <f ca="1">IFERROR(__xludf.DUMMYFUNCTION("""COMPUTED_VALUE"""),"INSPECCION SEMANAL ESTERILIZADOR TAPA")</f>
        <v>INSPECCION SEMANAL ESTERILIZADOR TAPA</v>
      </c>
      <c r="F489" s="5" t="str">
        <f ca="1">IFERROR(__xludf.DUMMYFUNCTION("""COMPUTED_VALUE"""),"VERIFICACION SISTEMA NEUMATICO")</f>
        <v>VERIFICACION SISTEMA NEUMATICO</v>
      </c>
      <c r="G489" s="5"/>
      <c r="H489" s="5"/>
      <c r="I489" s="5"/>
      <c r="J489" s="5"/>
      <c r="K489" s="5"/>
      <c r="L489" s="18">
        <f ca="1">IFERROR(__xludf.DUMMYFUNCTION("""COMPUTED_VALUE"""),45325)</f>
        <v>45325</v>
      </c>
      <c r="M489" s="18">
        <f ca="1">IFERROR(__xludf.DUMMYFUNCTION("""COMPUTED_VALUE"""),45325)</f>
        <v>45325</v>
      </c>
      <c r="N489" s="5" t="str">
        <f ca="1">IFERROR(__xludf.DUMMYFUNCTION("""COMPUTED_VALUE"""),"Jhonnys Arturo Fernández Suarez")</f>
        <v>Jhonnys Arturo Fernández Suarez</v>
      </c>
      <c r="O489" s="2">
        <f ca="1">IFERROR(__xludf.DUMMYFUNCTION("""COMPUTED_VALUE"""),0.011111111)</f>
        <v>1.1111111E-2</v>
      </c>
      <c r="P489" s="5"/>
      <c r="Q489" s="5" t="str">
        <f ca="1">IFERROR(__xludf.DUMMYFUNCTION("""COMPUTED_VALUE"""),"oe7fYQXj2yg")</f>
        <v>oe7fYQXj2yg</v>
      </c>
      <c r="R489" s="5">
        <f ca="1">IFERROR(__xludf.DUMMYFUNCTION("""COMPUTED_VALUE"""),410)</f>
        <v>410</v>
      </c>
      <c r="S489" s="62">
        <f ca="1">IFERROR(__xludf.DUMMYFUNCTION("""COMPUTED_VALUE"""),0.011111111)</f>
        <v>1.1111111E-2</v>
      </c>
      <c r="T489" s="63" t="str">
        <f ca="1">IFERROR(__xludf.DUMMYFUNCTION("""COMPUTED_VALUE"""),"https://storage.googleapis.com/glide-prod.appspot.com/uploads-v2/ly7o78grxPaC6KdgvbpS/pub/UliJWgpEaBovaFmXi6OW.png")</f>
        <v>https://storage.googleapis.com/glide-prod.appspot.com/uploads-v2/ly7o78grxPaC6KdgvbpS/pub/UliJWgpEaBovaFmXi6OW.png</v>
      </c>
      <c r="U489" s="5" t="str">
        <f ca="1">IFERROR(__xludf.DUMMYFUNCTION("""COMPUTED_VALUE"""),"LINEA DE ENVASADO JUGOS PET HOT FILLMAQUINA DE ESTERILIZACION CUELLOS")</f>
        <v>LINEA DE ENVASADO JUGOS PET HOT FILLMAQUINA DE ESTERILIZACION CUELLOS</v>
      </c>
      <c r="V489" s="5"/>
      <c r="W489" s="5"/>
      <c r="X489" s="5" t="str">
        <f ca="1">IFERROR(__xludf.DUMMYFUNCTION("""COMPUTED_VALUE"""),"achavezi@postobon.com.co,aprmttoyu@postobon.com.co,aprmyu@postobon.com.co,wmora@postobon.com.co,efzapata@postobon.com.co")</f>
        <v>achavezi@postobon.com.co,aprmttoyu@postobon.com.co,aprmyu@postobon.com.co,wmora@postobon.com.co,efzapata@postobon.com.co</v>
      </c>
      <c r="Y489" s="5" t="str">
        <f ca="1">IFERROR(__xludf.DUMMYFUNCTION("""COMPUTED_VALUE"""),"achavezi@postobon.com.co")</f>
        <v>achavezi@postobon.com.co</v>
      </c>
      <c r="Z489" s="5" t="str">
        <f ca="1">IFERROR(__xludf.DUMMYFUNCTION("""COMPUTED_VALUE"""),"Tv6SBCG6RI6n9AvPJSPnPg")</f>
        <v>Tv6SBCG6RI6n9AvPJSPnPg</v>
      </c>
      <c r="AA489" s="5"/>
      <c r="AB489" s="5"/>
      <c r="AC489" s="5"/>
      <c r="AD489" s="5">
        <f ca="1">IFERROR(__xludf.DUMMYFUNCTION("""COMPUTED_VALUE"""),27)</f>
        <v>27</v>
      </c>
      <c r="AE489" s="5">
        <f ca="1">IFERROR(__xludf.DUMMYFUNCTION("""COMPUTED_VALUE"""),5)</f>
        <v>5</v>
      </c>
      <c r="AF489" s="5" t="b">
        <f ca="1">IFERROR(__xludf.DUMMYFUNCTION("""COMPUTED_VALUE"""),TRUE)</f>
        <v>1</v>
      </c>
      <c r="AG489" s="5" t="str">
        <f ca="1">IFERROR(__xludf.DUMMYFUNCTION("""COMPUTED_VALUE"""),"INSPECCIONES SIN REALIZAR")</f>
        <v>INSPECCIONES SIN REALIZAR</v>
      </c>
      <c r="AH489" s="5"/>
    </row>
    <row r="490" spans="1:34">
      <c r="A490" s="5" t="str">
        <f ca="1">IFERROR(__xludf.DUMMYFUNCTION("""COMPUTED_VALUE"""),"LINEA DE ENVASADO JUGOS PET HOT FILL")</f>
        <v>LINEA DE ENVASADO JUGOS PET HOT FILL</v>
      </c>
      <c r="B490" s="5">
        <f ca="1">IFERROR(__xludf.DUMMYFUNCTION("""COMPUTED_VALUE"""),690105)</f>
        <v>690105</v>
      </c>
      <c r="C490" s="5" t="str">
        <f ca="1">IFERROR(__xludf.DUMMYFUNCTION("""COMPUTED_VALUE"""),"MAQUINA DE ESTERILIZACION CUELLOS")</f>
        <v>MAQUINA DE ESTERILIZACION CUELLOS</v>
      </c>
      <c r="D490" s="5">
        <f ca="1">IFERROR(__xludf.DUMMYFUNCTION("""COMPUTED_VALUE"""),13247769)</f>
        <v>13247769</v>
      </c>
      <c r="E490" s="5" t="str">
        <f ca="1">IFERROR(__xludf.DUMMYFUNCTION("""COMPUTED_VALUE"""),"INSPECCION SEMANAL ESTERILIZADOR TAPA")</f>
        <v>INSPECCION SEMANAL ESTERILIZADOR TAPA</v>
      </c>
      <c r="F490" s="5" t="str">
        <f ca="1">IFERROR(__xludf.DUMMYFUNCTION("""COMPUTED_VALUE"""),"INSP. SISTEMA HIDRAULICO")</f>
        <v>INSP. SISTEMA HIDRAULICO</v>
      </c>
      <c r="G490" s="5"/>
      <c r="H490" s="5"/>
      <c r="I490" s="5"/>
      <c r="J490" s="5"/>
      <c r="K490" s="5"/>
      <c r="L490" s="18">
        <f ca="1">IFERROR(__xludf.DUMMYFUNCTION("""COMPUTED_VALUE"""),45325)</f>
        <v>45325</v>
      </c>
      <c r="M490" s="18">
        <f ca="1">IFERROR(__xludf.DUMMYFUNCTION("""COMPUTED_VALUE"""),45325)</f>
        <v>45325</v>
      </c>
      <c r="N490" s="5" t="str">
        <f ca="1">IFERROR(__xludf.DUMMYFUNCTION("""COMPUTED_VALUE"""),"Jhonnys Arturo Fernández Suarez")</f>
        <v>Jhonnys Arturo Fernández Suarez</v>
      </c>
      <c r="O490" s="2">
        <f ca="1">IFERROR(__xludf.DUMMYFUNCTION("""COMPUTED_VALUE"""),0.011111111)</f>
        <v>1.1111111E-2</v>
      </c>
      <c r="P490" s="5"/>
      <c r="Q490" s="5" t="str">
        <f ca="1">IFERROR(__xludf.DUMMYFUNCTION("""COMPUTED_VALUE"""),"9c6BzfGVHk8")</f>
        <v>9c6BzfGVHk8</v>
      </c>
      <c r="R490" s="5">
        <f ca="1">IFERROR(__xludf.DUMMYFUNCTION("""COMPUTED_VALUE"""),410)</f>
        <v>410</v>
      </c>
      <c r="S490" s="62">
        <f ca="1">IFERROR(__xludf.DUMMYFUNCTION("""COMPUTED_VALUE"""),0.011111111)</f>
        <v>1.1111111E-2</v>
      </c>
      <c r="T490" s="63" t="str">
        <f ca="1">IFERROR(__xludf.DUMMYFUNCTION("""COMPUTED_VALUE"""),"https://storage.googleapis.com/glide-prod.appspot.com/uploads-v2/ly7o78grxPaC6KdgvbpS/pub/UliJWgpEaBovaFmXi6OW.png")</f>
        <v>https://storage.googleapis.com/glide-prod.appspot.com/uploads-v2/ly7o78grxPaC6KdgvbpS/pub/UliJWgpEaBovaFmXi6OW.png</v>
      </c>
      <c r="U490" s="5" t="str">
        <f ca="1">IFERROR(__xludf.DUMMYFUNCTION("""COMPUTED_VALUE"""),"LINEA DE ENVASADO JUGOS PET HOT FILLMAQUINA DE ESTERILIZACION CUELLOS")</f>
        <v>LINEA DE ENVASADO JUGOS PET HOT FILLMAQUINA DE ESTERILIZACION CUELLOS</v>
      </c>
      <c r="V490" s="5"/>
      <c r="W490" s="5"/>
      <c r="X490" s="5" t="str">
        <f ca="1">IFERROR(__xludf.DUMMYFUNCTION("""COMPUTED_VALUE"""),"achavezi@postobon.com.co,aprmttoyu@postobon.com.co,aprmyu@postobon.com.co,wmora@postobon.com.co,efzapata@postobon.com.co")</f>
        <v>achavezi@postobon.com.co,aprmttoyu@postobon.com.co,aprmyu@postobon.com.co,wmora@postobon.com.co,efzapata@postobon.com.co</v>
      </c>
      <c r="Y490" s="5" t="str">
        <f ca="1">IFERROR(__xludf.DUMMYFUNCTION("""COMPUTED_VALUE"""),"achavezi@postobon.com.co")</f>
        <v>achavezi@postobon.com.co</v>
      </c>
      <c r="Z490" s="5" t="str">
        <f ca="1">IFERROR(__xludf.DUMMYFUNCTION("""COMPUTED_VALUE"""),"hlNbwDZxTv6y2qrpWmPJfA")</f>
        <v>hlNbwDZxTv6y2qrpWmPJfA</v>
      </c>
      <c r="AA490" s="5"/>
      <c r="AB490" s="5"/>
      <c r="AC490" s="5"/>
      <c r="AD490" s="5">
        <f ca="1">IFERROR(__xludf.DUMMYFUNCTION("""COMPUTED_VALUE"""),27)</f>
        <v>27</v>
      </c>
      <c r="AE490" s="5">
        <f ca="1">IFERROR(__xludf.DUMMYFUNCTION("""COMPUTED_VALUE"""),5)</f>
        <v>5</v>
      </c>
      <c r="AF490" s="5" t="b">
        <f ca="1">IFERROR(__xludf.DUMMYFUNCTION("""COMPUTED_VALUE"""),TRUE)</f>
        <v>1</v>
      </c>
      <c r="AG490" s="5" t="str">
        <f ca="1">IFERROR(__xludf.DUMMYFUNCTION("""COMPUTED_VALUE"""),"INSPECCIONES SIN REALIZAR")</f>
        <v>INSPECCIONES SIN REALIZAR</v>
      </c>
      <c r="AH490" s="5"/>
    </row>
    <row r="491" spans="1:34">
      <c r="A491" s="5" t="str">
        <f ca="1">IFERROR(__xludf.DUMMYFUNCTION("""COMPUTED_VALUE"""),"LINEA PET CSD - LINEA 10")</f>
        <v>LINEA PET CSD - LINEA 10</v>
      </c>
      <c r="B491" s="5">
        <f ca="1">IFERROR(__xludf.DUMMYFUNCTION("""COMPUTED_VALUE"""),820082)</f>
        <v>820082</v>
      </c>
      <c r="C491" s="5" t="str">
        <f ca="1">IFERROR(__xludf.DUMMYFUNCTION("""COMPUTED_VALUE"""),"ETIQUETADORA ENVOLVENTE")</f>
        <v>ETIQUETADORA ENVOLVENTE</v>
      </c>
      <c r="D491" s="5">
        <f ca="1">IFERROR(__xludf.DUMMYFUNCTION("""COMPUTED_VALUE"""),13247578)</f>
        <v>13247578</v>
      </c>
      <c r="E491" s="5" t="str">
        <f ca="1">IFERROR(__xludf.DUMMYFUNCTION("""COMPUTED_VALUE"""),"INSPECCION SEMANAL Etiquetadora")</f>
        <v>INSPECCION SEMANAL Etiquetadora</v>
      </c>
      <c r="F491" s="5" t="str">
        <f ca="1">IFERROR(__xludf.DUMMYFUNCTION("""COMPUTED_VALUE"""),"INSP. CONJUNTO CORTE")</f>
        <v>INSP. CONJUNTO CORTE</v>
      </c>
      <c r="G491" s="5" t="b">
        <f ca="1">IFERROR(__xludf.DUMMYFUNCTION("""COMPUTED_VALUE"""),TRUE)</f>
        <v>1</v>
      </c>
      <c r="H491" s="5" t="str">
        <f ca="1">IFERROR(__xludf.DUMMYFUNCTION("""COMPUTED_VALUE"""),"Sale alarma de advertencia del rodillo de corte agregado 1 ")</f>
        <v xml:space="preserve">Sale alarma de advertencia del rodillo de corte agregado 1 </v>
      </c>
      <c r="I491" s="5"/>
      <c r="J491" s="5">
        <f ca="1">IFERROR(__xludf.DUMMYFUNCTION("""COMPUTED_VALUE"""),13247578)</f>
        <v>13247578</v>
      </c>
      <c r="K491" s="5"/>
      <c r="L491" s="18">
        <f ca="1">IFERROR(__xludf.DUMMYFUNCTION("""COMPUTED_VALUE"""),45325)</f>
        <v>45325</v>
      </c>
      <c r="M491" s="18">
        <f ca="1">IFERROR(__xludf.DUMMYFUNCTION("""COMPUTED_VALUE"""),45325)</f>
        <v>45325</v>
      </c>
      <c r="N491" s="5" t="str">
        <f ca="1">IFERROR(__xludf.DUMMYFUNCTION("""COMPUTED_VALUE"""),"Gordillo Victoria Luis Miguel")</f>
        <v>Gordillo Victoria Luis Miguel</v>
      </c>
      <c r="O491" s="2">
        <f ca="1">IFERROR(__xludf.DUMMYFUNCTION("""COMPUTED_VALUE"""),0.005)</f>
        <v>5.0000000000000001E-3</v>
      </c>
      <c r="P491" s="5">
        <f ca="1">IFERROR(__xludf.DUMMYFUNCTION("""COMPUTED_VALUE"""),20031425)</f>
        <v>20031425</v>
      </c>
      <c r="Q491" s="5" t="str">
        <f ca="1">IFERROR(__xludf.DUMMYFUNCTION("""COMPUTED_VALUE"""),"VGmoC5ZxL0s")</f>
        <v>VGmoC5ZxL0s</v>
      </c>
      <c r="R491" s="5">
        <f ca="1">IFERROR(__xludf.DUMMYFUNCTION("""COMPUTED_VALUE"""),410)</f>
        <v>410</v>
      </c>
      <c r="S491" s="62">
        <f ca="1">IFERROR(__xludf.DUMMYFUNCTION("""COMPUTED_VALUE"""),0.005)</f>
        <v>5.0000000000000001E-3</v>
      </c>
      <c r="T491" s="63" t="str">
        <f ca="1">IFERROR(__xludf.DUMMYFUNCTION("""COMPUTED_VALUE"""),"https://storage.googleapis.com/glide-prod.appspot.com/uploads-v2/ly7o78grxPaC6KdgvbpS/pub/3aRdSog0vUtuqPE8AJKD.png")</f>
        <v>https://storage.googleapis.com/glide-prod.appspot.com/uploads-v2/ly7o78grxPaC6KdgvbpS/pub/3aRdSog0vUtuqPE8AJKD.png</v>
      </c>
      <c r="U491" s="5" t="str">
        <f ca="1">IFERROR(__xludf.DUMMYFUNCTION("""COMPUTED_VALUE"""),"LINEA PET CSD - LINEA 10ETIQUETADORA ENVOLVENTE")</f>
        <v>LINEA PET CSD - LINEA 10ETIQUETADORA ENVOLVENTE</v>
      </c>
      <c r="V491" s="5"/>
      <c r="W491" s="5" t="b">
        <f ca="1">IFERROR(__xludf.DUMMYFUNCTION("""COMPUTED_VALUE"""),TRUE)</f>
        <v>1</v>
      </c>
      <c r="X491" s="5" t="str">
        <f ca="1">IFERROR(__xludf.DUMMYFUNCTION("""COMPUTED_VALUE"""),"wmazorra@postobon.com.co,aprmttoyu@postobon.com.co,aprmyu@postobon.com.co,wmora@postobon.com.co,efzapata@postobon.com.co")</f>
        <v>wmazorra@postobon.com.co,aprmttoyu@postobon.com.co,aprmyu@postobon.com.co,wmora@postobon.com.co,efzapata@postobon.com.co</v>
      </c>
      <c r="Y491" s="5" t="str">
        <f ca="1">IFERROR(__xludf.DUMMYFUNCTION("""COMPUTED_VALUE"""),"wmazorra@postobon.com.co")</f>
        <v>wmazorra@postobon.com.co</v>
      </c>
      <c r="Z491" s="5" t="str">
        <f ca="1">IFERROR(__xludf.DUMMYFUNCTION("""COMPUTED_VALUE"""),"DauKnKsfSPy4sURSPxVz0Q")</f>
        <v>DauKnKsfSPy4sURSPxVz0Q</v>
      </c>
      <c r="AA491" s="5"/>
      <c r="AB491" s="5"/>
      <c r="AC491" s="5"/>
      <c r="AD491" s="5">
        <f ca="1">IFERROR(__xludf.DUMMYFUNCTION("""COMPUTED_VALUE"""),20)</f>
        <v>20</v>
      </c>
      <c r="AE491" s="5">
        <f ca="1">IFERROR(__xludf.DUMMYFUNCTION("""COMPUTED_VALUE"""),20)</f>
        <v>20</v>
      </c>
      <c r="AF491" s="5" t="b">
        <f ca="1">IFERROR(__xludf.DUMMYFUNCTION("""COMPUTED_VALUE"""),FALSE)</f>
        <v>0</v>
      </c>
      <c r="AG491" s="5" t="str">
        <f ca="1">IFERROR(__xludf.DUMMYFUNCTION("""COMPUTED_VALUE"""),"INSPECCIONES REALIZADAS")</f>
        <v>INSPECCIONES REALIZADAS</v>
      </c>
      <c r="AH491" s="5"/>
    </row>
    <row r="492" spans="1:34">
      <c r="A492" s="5" t="str">
        <f ca="1">IFERROR(__xludf.DUMMYFUNCTION("""COMPUTED_VALUE"""),"LINEA PET CSD - LINEA 10")</f>
        <v>LINEA PET CSD - LINEA 10</v>
      </c>
      <c r="B492" s="5">
        <f ca="1">IFERROR(__xludf.DUMMYFUNCTION("""COMPUTED_VALUE"""),820082)</f>
        <v>820082</v>
      </c>
      <c r="C492" s="5" t="str">
        <f ca="1">IFERROR(__xludf.DUMMYFUNCTION("""COMPUTED_VALUE"""),"ETIQUETADORA ENVOLVENTE")</f>
        <v>ETIQUETADORA ENVOLVENTE</v>
      </c>
      <c r="D492" s="5">
        <f ca="1">IFERROR(__xludf.DUMMYFUNCTION("""COMPUTED_VALUE"""),13247578)</f>
        <v>13247578</v>
      </c>
      <c r="E492" s="5" t="str">
        <f ca="1">IFERROR(__xludf.DUMMYFUNCTION("""COMPUTED_VALUE"""),"INSPECCION SEMANAL Etiquetadora")</f>
        <v>INSPECCION SEMANAL Etiquetadora</v>
      </c>
      <c r="F492" s="5" t="str">
        <f ca="1">IFERROR(__xludf.DUMMYFUNCTION("""COMPUTED_VALUE"""),"ESTADO UNIDAD MTTO AIRE")</f>
        <v>ESTADO UNIDAD MTTO AIRE</v>
      </c>
      <c r="G492" s="5" t="b">
        <f ca="1">IFERROR(__xludf.DUMMYFUNCTION("""COMPUTED_VALUE"""),TRUE)</f>
        <v>1</v>
      </c>
      <c r="H492" s="5" t="str">
        <f ca="1">IFERROR(__xludf.DUMMYFUNCTION("""COMPUTED_VALUE"""),"Se observa fuga de aire por silenciador de la unidad Mtto 
  ")</f>
        <v xml:space="preserve">Se observa fuga de aire por silenciador de la unidad Mtto 
  </v>
      </c>
      <c r="I492" s="5"/>
      <c r="J492" s="5">
        <f ca="1">IFERROR(__xludf.DUMMYFUNCTION("""COMPUTED_VALUE"""),13247578)</f>
        <v>13247578</v>
      </c>
      <c r="K492" s="5"/>
      <c r="L492" s="18">
        <f ca="1">IFERROR(__xludf.DUMMYFUNCTION("""COMPUTED_VALUE"""),45325)</f>
        <v>45325</v>
      </c>
      <c r="M492" s="18">
        <f ca="1">IFERROR(__xludf.DUMMYFUNCTION("""COMPUTED_VALUE"""),45325)</f>
        <v>45325</v>
      </c>
      <c r="N492" s="5" t="str">
        <f ca="1">IFERROR(__xludf.DUMMYFUNCTION("""COMPUTED_VALUE"""),"Gordillo Victoria Luis Miguel")</f>
        <v>Gordillo Victoria Luis Miguel</v>
      </c>
      <c r="O492" s="2">
        <f ca="1">IFERROR(__xludf.DUMMYFUNCTION("""COMPUTED_VALUE"""),0.005)</f>
        <v>5.0000000000000001E-3</v>
      </c>
      <c r="P492" s="5">
        <f ca="1">IFERROR(__xludf.DUMMYFUNCTION("""COMPUTED_VALUE"""),20031425)</f>
        <v>20031425</v>
      </c>
      <c r="Q492" s="5" t="str">
        <f ca="1">IFERROR(__xludf.DUMMYFUNCTION("""COMPUTED_VALUE"""),"HdlXxMNtml0")</f>
        <v>HdlXxMNtml0</v>
      </c>
      <c r="R492" s="5">
        <f ca="1">IFERROR(__xludf.DUMMYFUNCTION("""COMPUTED_VALUE"""),410)</f>
        <v>410</v>
      </c>
      <c r="S492" s="62">
        <f ca="1">IFERROR(__xludf.DUMMYFUNCTION("""COMPUTED_VALUE"""),0.005)</f>
        <v>5.0000000000000001E-3</v>
      </c>
      <c r="T492" s="63" t="str">
        <f ca="1">IFERROR(__xludf.DUMMYFUNCTION("""COMPUTED_VALUE"""),"https://storage.googleapis.com/glide-prod.appspot.com/uploads-v2/ly7o78grxPaC6KdgvbpS/pub/3aRdSog0vUtuqPE8AJKD.png")</f>
        <v>https://storage.googleapis.com/glide-prod.appspot.com/uploads-v2/ly7o78grxPaC6KdgvbpS/pub/3aRdSog0vUtuqPE8AJKD.png</v>
      </c>
      <c r="U492" s="5" t="str">
        <f ca="1">IFERROR(__xludf.DUMMYFUNCTION("""COMPUTED_VALUE"""),"LINEA PET CSD - LINEA 10ETIQUETADORA ENVOLVENTE")</f>
        <v>LINEA PET CSD - LINEA 10ETIQUETADORA ENVOLVENTE</v>
      </c>
      <c r="V492" s="5"/>
      <c r="W492" s="5" t="b">
        <f ca="1">IFERROR(__xludf.DUMMYFUNCTION("""COMPUTED_VALUE"""),TRUE)</f>
        <v>1</v>
      </c>
      <c r="X492" s="5" t="str">
        <f ca="1">IFERROR(__xludf.DUMMYFUNCTION("""COMPUTED_VALUE"""),"wmazorra@postobon.com.co,aprmttoyu@postobon.com.co,aprmyu@postobon.com.co,wmora@postobon.com.co,efzapata@postobon.com.co")</f>
        <v>wmazorra@postobon.com.co,aprmttoyu@postobon.com.co,aprmyu@postobon.com.co,wmora@postobon.com.co,efzapata@postobon.com.co</v>
      </c>
      <c r="Y492" s="5" t="str">
        <f ca="1">IFERROR(__xludf.DUMMYFUNCTION("""COMPUTED_VALUE"""),"wmazorra@postobon.com.co")</f>
        <v>wmazorra@postobon.com.co</v>
      </c>
      <c r="Z492" s="5" t="str">
        <f ca="1">IFERROR(__xludf.DUMMYFUNCTION("""COMPUTED_VALUE"""),"pi.L8w3oSr6p3mMJxznHaQ")</f>
        <v>pi.L8w3oSr6p3mMJxznHaQ</v>
      </c>
      <c r="AA492" s="5"/>
      <c r="AB492" s="5"/>
      <c r="AC492" s="5"/>
      <c r="AD492" s="5">
        <f ca="1">IFERROR(__xludf.DUMMYFUNCTION("""COMPUTED_VALUE"""),20)</f>
        <v>20</v>
      </c>
      <c r="AE492" s="5">
        <f ca="1">IFERROR(__xludf.DUMMYFUNCTION("""COMPUTED_VALUE"""),20)</f>
        <v>20</v>
      </c>
      <c r="AF492" s="5" t="b">
        <f ca="1">IFERROR(__xludf.DUMMYFUNCTION("""COMPUTED_VALUE"""),FALSE)</f>
        <v>0</v>
      </c>
      <c r="AG492" s="5" t="str">
        <f ca="1">IFERROR(__xludf.DUMMYFUNCTION("""COMPUTED_VALUE"""),"INSPECCIONES REALIZADAS")</f>
        <v>INSPECCIONES REALIZADAS</v>
      </c>
      <c r="AH492" s="5"/>
    </row>
    <row r="493" spans="1:34">
      <c r="A493" s="5" t="str">
        <f ca="1">IFERROR(__xludf.DUMMYFUNCTION("""COMPUTED_VALUE"""),"LINEA PET CSD - LINEA 10")</f>
        <v>LINEA PET CSD - LINEA 10</v>
      </c>
      <c r="B493" s="5">
        <f ca="1">IFERROR(__xludf.DUMMYFUNCTION("""COMPUTED_VALUE"""),820082)</f>
        <v>820082</v>
      </c>
      <c r="C493" s="5" t="str">
        <f ca="1">IFERROR(__xludf.DUMMYFUNCTION("""COMPUTED_VALUE"""),"ETIQUETADORA ENVOLVENTE")</f>
        <v>ETIQUETADORA ENVOLVENTE</v>
      </c>
      <c r="D493" s="5">
        <f ca="1">IFERROR(__xludf.DUMMYFUNCTION("""COMPUTED_VALUE"""),13247578)</f>
        <v>13247578</v>
      </c>
      <c r="E493" s="5" t="str">
        <f ca="1">IFERROR(__xludf.DUMMYFUNCTION("""COMPUTED_VALUE"""),"INSPECCION SEMANAL Etiquetadora")</f>
        <v>INSPECCION SEMANAL Etiquetadora</v>
      </c>
      <c r="F493" s="5" t="str">
        <f ca="1">IFERROR(__xludf.DUMMYFUNCTION("""COMPUTED_VALUE"""),"FUNC. BARRERAS LUZ Y REFLECTOR")</f>
        <v>FUNC. BARRERAS LUZ Y REFLECTOR</v>
      </c>
      <c r="G493" s="5" t="b">
        <f ca="1">IFERROR(__xludf.DUMMYFUNCTION("""COMPUTED_VALUE"""),TRUE)</f>
        <v>1</v>
      </c>
      <c r="H493" s="5"/>
      <c r="I493" s="5"/>
      <c r="J493" s="5">
        <f ca="1">IFERROR(__xludf.DUMMYFUNCTION("""COMPUTED_VALUE"""),13247578)</f>
        <v>13247578</v>
      </c>
      <c r="K493" s="5"/>
      <c r="L493" s="18">
        <f ca="1">IFERROR(__xludf.DUMMYFUNCTION("""COMPUTED_VALUE"""),45325)</f>
        <v>45325</v>
      </c>
      <c r="M493" s="18">
        <f ca="1">IFERROR(__xludf.DUMMYFUNCTION("""COMPUTED_VALUE"""),45325)</f>
        <v>45325</v>
      </c>
      <c r="N493" s="5" t="str">
        <f ca="1">IFERROR(__xludf.DUMMYFUNCTION("""COMPUTED_VALUE"""),"Gordillo Victoria Luis Miguel")</f>
        <v>Gordillo Victoria Luis Miguel</v>
      </c>
      <c r="O493" s="2">
        <f ca="1">IFERROR(__xludf.DUMMYFUNCTION("""COMPUTED_VALUE"""),0.005)</f>
        <v>5.0000000000000001E-3</v>
      </c>
      <c r="P493" s="5">
        <f ca="1">IFERROR(__xludf.DUMMYFUNCTION("""COMPUTED_VALUE"""),20031425)</f>
        <v>20031425</v>
      </c>
      <c r="Q493" s="5" t="str">
        <f ca="1">IFERROR(__xludf.DUMMYFUNCTION("""COMPUTED_VALUE"""),"CpLW_NXkWjc")</f>
        <v>CpLW_NXkWjc</v>
      </c>
      <c r="R493" s="5">
        <f ca="1">IFERROR(__xludf.DUMMYFUNCTION("""COMPUTED_VALUE"""),410)</f>
        <v>410</v>
      </c>
      <c r="S493" s="62">
        <f ca="1">IFERROR(__xludf.DUMMYFUNCTION("""COMPUTED_VALUE"""),0.005)</f>
        <v>5.0000000000000001E-3</v>
      </c>
      <c r="T493" s="63" t="str">
        <f ca="1">IFERROR(__xludf.DUMMYFUNCTION("""COMPUTED_VALUE"""),"https://storage.googleapis.com/glide-prod.appspot.com/uploads-v2/ly7o78grxPaC6KdgvbpS/pub/3aRdSog0vUtuqPE8AJKD.png")</f>
        <v>https://storage.googleapis.com/glide-prod.appspot.com/uploads-v2/ly7o78grxPaC6KdgvbpS/pub/3aRdSog0vUtuqPE8AJKD.png</v>
      </c>
      <c r="U493" s="5" t="str">
        <f ca="1">IFERROR(__xludf.DUMMYFUNCTION("""COMPUTED_VALUE"""),"LINEA PET CSD - LINEA 10ETIQUETADORA ENVOLVENTE")</f>
        <v>LINEA PET CSD - LINEA 10ETIQUETADORA ENVOLVENTE</v>
      </c>
      <c r="V493" s="5"/>
      <c r="W493" s="5" t="b">
        <f ca="1">IFERROR(__xludf.DUMMYFUNCTION("""COMPUTED_VALUE"""),TRUE)</f>
        <v>1</v>
      </c>
      <c r="X493" s="5" t="str">
        <f ca="1">IFERROR(__xludf.DUMMYFUNCTION("""COMPUTED_VALUE"""),"wmazorra@postobon.com.co,aprmttoyu@postobon.com.co,aprmyu@postobon.com.co,wmora@postobon.com.co,efzapata@postobon.com.co")</f>
        <v>wmazorra@postobon.com.co,aprmttoyu@postobon.com.co,aprmyu@postobon.com.co,wmora@postobon.com.co,efzapata@postobon.com.co</v>
      </c>
      <c r="Y493" s="5" t="str">
        <f ca="1">IFERROR(__xludf.DUMMYFUNCTION("""COMPUTED_VALUE"""),"wmazorra@postobon.com.co")</f>
        <v>wmazorra@postobon.com.co</v>
      </c>
      <c r="Z493" s="5" t="str">
        <f ca="1">IFERROR(__xludf.DUMMYFUNCTION("""COMPUTED_VALUE"""),"CA-JSU-4Szm-Jv92-zC0wQ")</f>
        <v>CA-JSU-4Szm-Jv92-zC0wQ</v>
      </c>
      <c r="AA493" s="5"/>
      <c r="AB493" s="5"/>
      <c r="AC493" s="5"/>
      <c r="AD493" s="5">
        <f ca="1">IFERROR(__xludf.DUMMYFUNCTION("""COMPUTED_VALUE"""),20)</f>
        <v>20</v>
      </c>
      <c r="AE493" s="5">
        <f ca="1">IFERROR(__xludf.DUMMYFUNCTION("""COMPUTED_VALUE"""),20)</f>
        <v>20</v>
      </c>
      <c r="AF493" s="5" t="b">
        <f ca="1">IFERROR(__xludf.DUMMYFUNCTION("""COMPUTED_VALUE"""),FALSE)</f>
        <v>0</v>
      </c>
      <c r="AG493" s="5" t="str">
        <f ca="1">IFERROR(__xludf.DUMMYFUNCTION("""COMPUTED_VALUE"""),"INSPECCIONES REALIZADAS")</f>
        <v>INSPECCIONES REALIZADAS</v>
      </c>
      <c r="AH493" s="5"/>
    </row>
    <row r="494" spans="1:34">
      <c r="A494" s="5" t="str">
        <f ca="1">IFERROR(__xludf.DUMMYFUNCTION("""COMPUTED_VALUE"""),"LINEA PET CSD - LINEA 10")</f>
        <v>LINEA PET CSD - LINEA 10</v>
      </c>
      <c r="B494" s="5">
        <f ca="1">IFERROR(__xludf.DUMMYFUNCTION("""COMPUTED_VALUE"""),820082)</f>
        <v>820082</v>
      </c>
      <c r="C494" s="5" t="str">
        <f ca="1">IFERROR(__xludf.DUMMYFUNCTION("""COMPUTED_VALUE"""),"ETIQUETADORA ENVOLVENTE")</f>
        <v>ETIQUETADORA ENVOLVENTE</v>
      </c>
      <c r="D494" s="5">
        <f ca="1">IFERROR(__xludf.DUMMYFUNCTION("""COMPUTED_VALUE"""),13247578)</f>
        <v>13247578</v>
      </c>
      <c r="E494" s="5" t="str">
        <f ca="1">IFERROR(__xludf.DUMMYFUNCTION("""COMPUTED_VALUE"""),"INSPECCION SEMANAL Etiquetadora")</f>
        <v>INSPECCION SEMANAL Etiquetadora</v>
      </c>
      <c r="F494" s="5" t="str">
        <f ca="1">IFERROR(__xludf.DUMMYFUNCTION("""COMPUTED_VALUE"""),"ESTADO PUERTAS LATERALES")</f>
        <v>ESTADO PUERTAS LATERALES</v>
      </c>
      <c r="G494" s="5" t="b">
        <f ca="1">IFERROR(__xludf.DUMMYFUNCTION("""COMPUTED_VALUE"""),TRUE)</f>
        <v>1</v>
      </c>
      <c r="H494" s="5"/>
      <c r="I494" s="5"/>
      <c r="J494" s="5">
        <f ca="1">IFERROR(__xludf.DUMMYFUNCTION("""COMPUTED_VALUE"""),13247578)</f>
        <v>13247578</v>
      </c>
      <c r="K494" s="5"/>
      <c r="L494" s="18">
        <f ca="1">IFERROR(__xludf.DUMMYFUNCTION("""COMPUTED_VALUE"""),45325)</f>
        <v>45325</v>
      </c>
      <c r="M494" s="18">
        <f ca="1">IFERROR(__xludf.DUMMYFUNCTION("""COMPUTED_VALUE"""),45325)</f>
        <v>45325</v>
      </c>
      <c r="N494" s="5" t="str">
        <f ca="1">IFERROR(__xludf.DUMMYFUNCTION("""COMPUTED_VALUE"""),"Gordillo Victoria Luis Miguel")</f>
        <v>Gordillo Victoria Luis Miguel</v>
      </c>
      <c r="O494" s="2">
        <f ca="1">IFERROR(__xludf.DUMMYFUNCTION("""COMPUTED_VALUE"""),0.005)</f>
        <v>5.0000000000000001E-3</v>
      </c>
      <c r="P494" s="5">
        <f ca="1">IFERROR(__xludf.DUMMYFUNCTION("""COMPUTED_VALUE"""),20031425)</f>
        <v>20031425</v>
      </c>
      <c r="Q494" s="5" t="str">
        <f ca="1">IFERROR(__xludf.DUMMYFUNCTION("""COMPUTED_VALUE"""),"dQGfnNqDdnE")</f>
        <v>dQGfnNqDdnE</v>
      </c>
      <c r="R494" s="5">
        <f ca="1">IFERROR(__xludf.DUMMYFUNCTION("""COMPUTED_VALUE"""),410)</f>
        <v>410</v>
      </c>
      <c r="S494" s="62">
        <f ca="1">IFERROR(__xludf.DUMMYFUNCTION("""COMPUTED_VALUE"""),0.005)</f>
        <v>5.0000000000000001E-3</v>
      </c>
      <c r="T494" s="63" t="str">
        <f ca="1">IFERROR(__xludf.DUMMYFUNCTION("""COMPUTED_VALUE"""),"https://storage.googleapis.com/glide-prod.appspot.com/uploads-v2/ly7o78grxPaC6KdgvbpS/pub/3aRdSog0vUtuqPE8AJKD.png")</f>
        <v>https://storage.googleapis.com/glide-prod.appspot.com/uploads-v2/ly7o78grxPaC6KdgvbpS/pub/3aRdSog0vUtuqPE8AJKD.png</v>
      </c>
      <c r="U494" s="5" t="str">
        <f ca="1">IFERROR(__xludf.DUMMYFUNCTION("""COMPUTED_VALUE"""),"LINEA PET CSD - LINEA 10ETIQUETADORA ENVOLVENTE")</f>
        <v>LINEA PET CSD - LINEA 10ETIQUETADORA ENVOLVENTE</v>
      </c>
      <c r="V494" s="5"/>
      <c r="W494" s="5" t="b">
        <f ca="1">IFERROR(__xludf.DUMMYFUNCTION("""COMPUTED_VALUE"""),TRUE)</f>
        <v>1</v>
      </c>
      <c r="X494" s="5" t="str">
        <f ca="1">IFERROR(__xludf.DUMMYFUNCTION("""COMPUTED_VALUE"""),"wmazorra@postobon.com.co,aprmttoyu@postobon.com.co,aprmyu@postobon.com.co,wmora@postobon.com.co,efzapata@postobon.com.co")</f>
        <v>wmazorra@postobon.com.co,aprmttoyu@postobon.com.co,aprmyu@postobon.com.co,wmora@postobon.com.co,efzapata@postobon.com.co</v>
      </c>
      <c r="Y494" s="5" t="str">
        <f ca="1">IFERROR(__xludf.DUMMYFUNCTION("""COMPUTED_VALUE"""),"wmazorra@postobon.com.co")</f>
        <v>wmazorra@postobon.com.co</v>
      </c>
      <c r="Z494" s="5" t="str">
        <f ca="1">IFERROR(__xludf.DUMMYFUNCTION("""COMPUTED_VALUE"""),"Xxp3VGPUTtm0tRK.q91ydw")</f>
        <v>Xxp3VGPUTtm0tRK.q91ydw</v>
      </c>
      <c r="AA494" s="5"/>
      <c r="AB494" s="5"/>
      <c r="AC494" s="5"/>
      <c r="AD494" s="5">
        <f ca="1">IFERROR(__xludf.DUMMYFUNCTION("""COMPUTED_VALUE"""),20)</f>
        <v>20</v>
      </c>
      <c r="AE494" s="5">
        <f ca="1">IFERROR(__xludf.DUMMYFUNCTION("""COMPUTED_VALUE"""),20)</f>
        <v>20</v>
      </c>
      <c r="AF494" s="5" t="b">
        <f ca="1">IFERROR(__xludf.DUMMYFUNCTION("""COMPUTED_VALUE"""),FALSE)</f>
        <v>0</v>
      </c>
      <c r="AG494" s="5" t="str">
        <f ca="1">IFERROR(__xludf.DUMMYFUNCTION("""COMPUTED_VALUE"""),"INSPECCIONES REALIZADAS")</f>
        <v>INSPECCIONES REALIZADAS</v>
      </c>
      <c r="AH494" s="5"/>
    </row>
    <row r="495" spans="1:34">
      <c r="A495" s="5" t="str">
        <f ca="1">IFERROR(__xludf.DUMMYFUNCTION("""COMPUTED_VALUE"""),"LINEA PET CSD - LINEA 10")</f>
        <v>LINEA PET CSD - LINEA 10</v>
      </c>
      <c r="B495" s="5">
        <f ca="1">IFERROR(__xludf.DUMMYFUNCTION("""COMPUTED_VALUE"""),820082)</f>
        <v>820082</v>
      </c>
      <c r="C495" s="5" t="str">
        <f ca="1">IFERROR(__xludf.DUMMYFUNCTION("""COMPUTED_VALUE"""),"ETIQUETADORA ENVOLVENTE")</f>
        <v>ETIQUETADORA ENVOLVENTE</v>
      </c>
      <c r="D495" s="5">
        <f ca="1">IFERROR(__xludf.DUMMYFUNCTION("""COMPUTED_VALUE"""),13247578)</f>
        <v>13247578</v>
      </c>
      <c r="E495" s="5" t="str">
        <f ca="1">IFERROR(__xludf.DUMMYFUNCTION("""COMPUTED_VALUE"""),"INSPECCION SEMANAL Etiquetadora")</f>
        <v>INSPECCION SEMANAL Etiquetadora</v>
      </c>
      <c r="F495" s="5" t="str">
        <f ca="1">IFERROR(__xludf.DUMMYFUNCTION("""COMPUTED_VALUE"""),"FUNC. TULIPAS")</f>
        <v>FUNC. TULIPAS</v>
      </c>
      <c r="G495" s="5" t="b">
        <f ca="1">IFERROR(__xludf.DUMMYFUNCTION("""COMPUTED_VALUE"""),TRUE)</f>
        <v>1</v>
      </c>
      <c r="H495" s="5"/>
      <c r="I495" s="5"/>
      <c r="J495" s="5">
        <f ca="1">IFERROR(__xludf.DUMMYFUNCTION("""COMPUTED_VALUE"""),13247578)</f>
        <v>13247578</v>
      </c>
      <c r="K495" s="5"/>
      <c r="L495" s="18">
        <f ca="1">IFERROR(__xludf.DUMMYFUNCTION("""COMPUTED_VALUE"""),45325)</f>
        <v>45325</v>
      </c>
      <c r="M495" s="18">
        <f ca="1">IFERROR(__xludf.DUMMYFUNCTION("""COMPUTED_VALUE"""),45325)</f>
        <v>45325</v>
      </c>
      <c r="N495" s="5" t="str">
        <f ca="1">IFERROR(__xludf.DUMMYFUNCTION("""COMPUTED_VALUE"""),"Gordillo Victoria Luis Miguel")</f>
        <v>Gordillo Victoria Luis Miguel</v>
      </c>
      <c r="O495" s="2">
        <f ca="1">IFERROR(__xludf.DUMMYFUNCTION("""COMPUTED_VALUE"""),0.005)</f>
        <v>5.0000000000000001E-3</v>
      </c>
      <c r="P495" s="5">
        <f ca="1">IFERROR(__xludf.DUMMYFUNCTION("""COMPUTED_VALUE"""),20031425)</f>
        <v>20031425</v>
      </c>
      <c r="Q495" s="5" t="str">
        <f ca="1">IFERROR(__xludf.DUMMYFUNCTION("""COMPUTED_VALUE"""),"ZUSmqgOnCww")</f>
        <v>ZUSmqgOnCww</v>
      </c>
      <c r="R495" s="5">
        <f ca="1">IFERROR(__xludf.DUMMYFUNCTION("""COMPUTED_VALUE"""),410)</f>
        <v>410</v>
      </c>
      <c r="S495" s="62">
        <f ca="1">IFERROR(__xludf.DUMMYFUNCTION("""COMPUTED_VALUE"""),0.005)</f>
        <v>5.0000000000000001E-3</v>
      </c>
      <c r="T495" s="63" t="str">
        <f ca="1">IFERROR(__xludf.DUMMYFUNCTION("""COMPUTED_VALUE"""),"https://storage.googleapis.com/glide-prod.appspot.com/uploads-v2/ly7o78grxPaC6KdgvbpS/pub/3aRdSog0vUtuqPE8AJKD.png")</f>
        <v>https://storage.googleapis.com/glide-prod.appspot.com/uploads-v2/ly7o78grxPaC6KdgvbpS/pub/3aRdSog0vUtuqPE8AJKD.png</v>
      </c>
      <c r="U495" s="5" t="str">
        <f ca="1">IFERROR(__xludf.DUMMYFUNCTION("""COMPUTED_VALUE"""),"LINEA PET CSD - LINEA 10ETIQUETADORA ENVOLVENTE")</f>
        <v>LINEA PET CSD - LINEA 10ETIQUETADORA ENVOLVENTE</v>
      </c>
      <c r="V495" s="5"/>
      <c r="W495" s="5" t="b">
        <f ca="1">IFERROR(__xludf.DUMMYFUNCTION("""COMPUTED_VALUE"""),TRUE)</f>
        <v>1</v>
      </c>
      <c r="X495" s="5" t="str">
        <f ca="1">IFERROR(__xludf.DUMMYFUNCTION("""COMPUTED_VALUE"""),"wmazorra@postobon.com.co,aprmttoyu@postobon.com.co,aprmyu@postobon.com.co,wmora@postobon.com.co,efzapata@postobon.com.co")</f>
        <v>wmazorra@postobon.com.co,aprmttoyu@postobon.com.co,aprmyu@postobon.com.co,wmora@postobon.com.co,efzapata@postobon.com.co</v>
      </c>
      <c r="Y495" s="5" t="str">
        <f ca="1">IFERROR(__xludf.DUMMYFUNCTION("""COMPUTED_VALUE"""),"wmazorra@postobon.com.co")</f>
        <v>wmazorra@postobon.com.co</v>
      </c>
      <c r="Z495" s="5" t="str">
        <f ca="1">IFERROR(__xludf.DUMMYFUNCTION("""COMPUTED_VALUE"""),"GDKZ2iiwTKCiO1thXvtM5w")</f>
        <v>GDKZ2iiwTKCiO1thXvtM5w</v>
      </c>
      <c r="AA495" s="5"/>
      <c r="AB495" s="5"/>
      <c r="AC495" s="5"/>
      <c r="AD495" s="5">
        <f ca="1">IFERROR(__xludf.DUMMYFUNCTION("""COMPUTED_VALUE"""),20)</f>
        <v>20</v>
      </c>
      <c r="AE495" s="5">
        <f ca="1">IFERROR(__xludf.DUMMYFUNCTION("""COMPUTED_VALUE"""),20)</f>
        <v>20</v>
      </c>
      <c r="AF495" s="5" t="b">
        <f ca="1">IFERROR(__xludf.DUMMYFUNCTION("""COMPUTED_VALUE"""),FALSE)</f>
        <v>0</v>
      </c>
      <c r="AG495" s="5" t="str">
        <f ca="1">IFERROR(__xludf.DUMMYFUNCTION("""COMPUTED_VALUE"""),"INSPECCIONES REALIZADAS")</f>
        <v>INSPECCIONES REALIZADAS</v>
      </c>
      <c r="AH495" s="5"/>
    </row>
    <row r="496" spans="1:34">
      <c r="A496" s="5" t="str">
        <f ca="1">IFERROR(__xludf.DUMMYFUNCTION("""COMPUTED_VALUE"""),"LINEA PET CSD - LINEA 10")</f>
        <v>LINEA PET CSD - LINEA 10</v>
      </c>
      <c r="B496" s="5">
        <f ca="1">IFERROR(__xludf.DUMMYFUNCTION("""COMPUTED_VALUE"""),820082)</f>
        <v>820082</v>
      </c>
      <c r="C496" s="5" t="str">
        <f ca="1">IFERROR(__xludf.DUMMYFUNCTION("""COMPUTED_VALUE"""),"ETIQUETADORA ENVOLVENTE")</f>
        <v>ETIQUETADORA ENVOLVENTE</v>
      </c>
      <c r="D496" s="5">
        <f ca="1">IFERROR(__xludf.DUMMYFUNCTION("""COMPUTED_VALUE"""),13247578)</f>
        <v>13247578</v>
      </c>
      <c r="E496" s="5" t="str">
        <f ca="1">IFERROR(__xludf.DUMMYFUNCTION("""COMPUTED_VALUE"""),"INSPECCION SEMANAL Etiquetadora")</f>
        <v>INSPECCION SEMANAL Etiquetadora</v>
      </c>
      <c r="F496" s="5" t="str">
        <f ca="1">IFERROR(__xludf.DUMMYFUNCTION("""COMPUTED_VALUE"""),"FUNC. CILINDRO TRANSFERENCIA")</f>
        <v>FUNC. CILINDRO TRANSFERENCIA</v>
      </c>
      <c r="G496" s="5" t="b">
        <f ca="1">IFERROR(__xludf.DUMMYFUNCTION("""COMPUTED_VALUE"""),TRUE)</f>
        <v>1</v>
      </c>
      <c r="H496" s="5" t="str">
        <f ca="1">IFERROR(__xludf.DUMMYFUNCTION("""COMPUTED_VALUE"""),"Listones con mayor desgastados  formato 600 agregado 1 ")</f>
        <v xml:space="preserve">Listones con mayor desgastados  formato 600 agregado 1 </v>
      </c>
      <c r="I496" s="5"/>
      <c r="J496" s="5">
        <f ca="1">IFERROR(__xludf.DUMMYFUNCTION("""COMPUTED_VALUE"""),13247578)</f>
        <v>13247578</v>
      </c>
      <c r="K496" s="5"/>
      <c r="L496" s="18">
        <f ca="1">IFERROR(__xludf.DUMMYFUNCTION("""COMPUTED_VALUE"""),45325)</f>
        <v>45325</v>
      </c>
      <c r="M496" s="18">
        <f ca="1">IFERROR(__xludf.DUMMYFUNCTION("""COMPUTED_VALUE"""),45325)</f>
        <v>45325</v>
      </c>
      <c r="N496" s="5" t="str">
        <f ca="1">IFERROR(__xludf.DUMMYFUNCTION("""COMPUTED_VALUE"""),"Gordillo Victoria Luis Miguel")</f>
        <v>Gordillo Victoria Luis Miguel</v>
      </c>
      <c r="O496" s="2">
        <f ca="1">IFERROR(__xludf.DUMMYFUNCTION("""COMPUTED_VALUE"""),0.005)</f>
        <v>5.0000000000000001E-3</v>
      </c>
      <c r="P496" s="5">
        <f ca="1">IFERROR(__xludf.DUMMYFUNCTION("""COMPUTED_VALUE"""),20031425)</f>
        <v>20031425</v>
      </c>
      <c r="Q496" s="5" t="str">
        <f ca="1">IFERROR(__xludf.DUMMYFUNCTION("""COMPUTED_VALUE"""),"RNlRB4PDPA8")</f>
        <v>RNlRB4PDPA8</v>
      </c>
      <c r="R496" s="5">
        <f ca="1">IFERROR(__xludf.DUMMYFUNCTION("""COMPUTED_VALUE"""),410)</f>
        <v>410</v>
      </c>
      <c r="S496" s="62">
        <f ca="1">IFERROR(__xludf.DUMMYFUNCTION("""COMPUTED_VALUE"""),0.005)</f>
        <v>5.0000000000000001E-3</v>
      </c>
      <c r="T496" s="63" t="str">
        <f ca="1">IFERROR(__xludf.DUMMYFUNCTION("""COMPUTED_VALUE"""),"https://storage.googleapis.com/glide-prod.appspot.com/uploads-v2/ly7o78grxPaC6KdgvbpS/pub/3aRdSog0vUtuqPE8AJKD.png")</f>
        <v>https://storage.googleapis.com/glide-prod.appspot.com/uploads-v2/ly7o78grxPaC6KdgvbpS/pub/3aRdSog0vUtuqPE8AJKD.png</v>
      </c>
      <c r="U496" s="5" t="str">
        <f ca="1">IFERROR(__xludf.DUMMYFUNCTION("""COMPUTED_VALUE"""),"LINEA PET CSD - LINEA 10ETIQUETADORA ENVOLVENTE")</f>
        <v>LINEA PET CSD - LINEA 10ETIQUETADORA ENVOLVENTE</v>
      </c>
      <c r="V496" s="5"/>
      <c r="W496" s="5" t="b">
        <f ca="1">IFERROR(__xludf.DUMMYFUNCTION("""COMPUTED_VALUE"""),TRUE)</f>
        <v>1</v>
      </c>
      <c r="X496" s="5" t="str">
        <f ca="1">IFERROR(__xludf.DUMMYFUNCTION("""COMPUTED_VALUE"""),"wmazorra@postobon.com.co,aprmttoyu@postobon.com.co,aprmyu@postobon.com.co,wmora@postobon.com.co,efzapata@postobon.com.co")</f>
        <v>wmazorra@postobon.com.co,aprmttoyu@postobon.com.co,aprmyu@postobon.com.co,wmora@postobon.com.co,efzapata@postobon.com.co</v>
      </c>
      <c r="Y496" s="5" t="str">
        <f ca="1">IFERROR(__xludf.DUMMYFUNCTION("""COMPUTED_VALUE"""),"wmazorra@postobon.com.co")</f>
        <v>wmazorra@postobon.com.co</v>
      </c>
      <c r="Z496" s="5" t="str">
        <f ca="1">IFERROR(__xludf.DUMMYFUNCTION("""COMPUTED_VALUE"""),"VTV0XNTGRWeRA8RuBCHqOg")</f>
        <v>VTV0XNTGRWeRA8RuBCHqOg</v>
      </c>
      <c r="AA496" s="5"/>
      <c r="AB496" s="5"/>
      <c r="AC496" s="5"/>
      <c r="AD496" s="5">
        <f ca="1">IFERROR(__xludf.DUMMYFUNCTION("""COMPUTED_VALUE"""),20)</f>
        <v>20</v>
      </c>
      <c r="AE496" s="5">
        <f ca="1">IFERROR(__xludf.DUMMYFUNCTION("""COMPUTED_VALUE"""),20)</f>
        <v>20</v>
      </c>
      <c r="AF496" s="5" t="b">
        <f ca="1">IFERROR(__xludf.DUMMYFUNCTION("""COMPUTED_VALUE"""),FALSE)</f>
        <v>0</v>
      </c>
      <c r="AG496" s="5" t="str">
        <f ca="1">IFERROR(__xludf.DUMMYFUNCTION("""COMPUTED_VALUE"""),"INSPECCIONES REALIZADAS")</f>
        <v>INSPECCIONES REALIZADAS</v>
      </c>
      <c r="AH496" s="5"/>
    </row>
    <row r="497" spans="1:34">
      <c r="A497" s="5" t="str">
        <f ca="1">IFERROR(__xludf.DUMMYFUNCTION("""COMPUTED_VALUE"""),"LINEA PET CSD - LINEA 10")</f>
        <v>LINEA PET CSD - LINEA 10</v>
      </c>
      <c r="B497" s="5">
        <f ca="1">IFERROR(__xludf.DUMMYFUNCTION("""COMPUTED_VALUE"""),820082)</f>
        <v>820082</v>
      </c>
      <c r="C497" s="5" t="str">
        <f ca="1">IFERROR(__xludf.DUMMYFUNCTION("""COMPUTED_VALUE"""),"ETIQUETADORA ENVOLVENTE")</f>
        <v>ETIQUETADORA ENVOLVENTE</v>
      </c>
      <c r="D497" s="5">
        <f ca="1">IFERROR(__xludf.DUMMYFUNCTION("""COMPUTED_VALUE"""),13247578)</f>
        <v>13247578</v>
      </c>
      <c r="E497" s="5" t="str">
        <f ca="1">IFERROR(__xludf.DUMMYFUNCTION("""COMPUTED_VALUE"""),"INSPECCION SEMANAL Etiquetadora")</f>
        <v>INSPECCION SEMANAL Etiquetadora</v>
      </c>
      <c r="F497" s="5" t="str">
        <f ca="1">IFERROR(__xludf.DUMMYFUNCTION("""COMPUTED_VALUE"""),"INSP. CONJUNTO ENCOLADOR ADHESIVO")</f>
        <v>INSP. CONJUNTO ENCOLADOR ADHESIVO</v>
      </c>
      <c r="G497" s="5" t="b">
        <f ca="1">IFERROR(__xludf.DUMMYFUNCTION("""COMPUTED_VALUE"""),TRUE)</f>
        <v>1</v>
      </c>
      <c r="H497" s="5"/>
      <c r="I497" s="5"/>
      <c r="J497" s="5">
        <f ca="1">IFERROR(__xludf.DUMMYFUNCTION("""COMPUTED_VALUE"""),13247578)</f>
        <v>13247578</v>
      </c>
      <c r="K497" s="5"/>
      <c r="L497" s="18">
        <f ca="1">IFERROR(__xludf.DUMMYFUNCTION("""COMPUTED_VALUE"""),45325)</f>
        <v>45325</v>
      </c>
      <c r="M497" s="18">
        <f ca="1">IFERROR(__xludf.DUMMYFUNCTION("""COMPUTED_VALUE"""),45325)</f>
        <v>45325</v>
      </c>
      <c r="N497" s="5" t="str">
        <f ca="1">IFERROR(__xludf.DUMMYFUNCTION("""COMPUTED_VALUE"""),"Gordillo Victoria Luis Miguel")</f>
        <v>Gordillo Victoria Luis Miguel</v>
      </c>
      <c r="O497" s="2">
        <f ca="1">IFERROR(__xludf.DUMMYFUNCTION("""COMPUTED_VALUE"""),0.005)</f>
        <v>5.0000000000000001E-3</v>
      </c>
      <c r="P497" s="5">
        <f ca="1">IFERROR(__xludf.DUMMYFUNCTION("""COMPUTED_VALUE"""),20031425)</f>
        <v>20031425</v>
      </c>
      <c r="Q497" s="5" t="str">
        <f ca="1">IFERROR(__xludf.DUMMYFUNCTION("""COMPUTED_VALUE"""),"TZ2vEk6xwn0")</f>
        <v>TZ2vEk6xwn0</v>
      </c>
      <c r="R497" s="5">
        <f ca="1">IFERROR(__xludf.DUMMYFUNCTION("""COMPUTED_VALUE"""),410)</f>
        <v>410</v>
      </c>
      <c r="S497" s="62">
        <f ca="1">IFERROR(__xludf.DUMMYFUNCTION("""COMPUTED_VALUE"""),0.005)</f>
        <v>5.0000000000000001E-3</v>
      </c>
      <c r="T497" s="63" t="str">
        <f ca="1">IFERROR(__xludf.DUMMYFUNCTION("""COMPUTED_VALUE"""),"https://storage.googleapis.com/glide-prod.appspot.com/uploads-v2/ly7o78grxPaC6KdgvbpS/pub/3aRdSog0vUtuqPE8AJKD.png")</f>
        <v>https://storage.googleapis.com/glide-prod.appspot.com/uploads-v2/ly7o78grxPaC6KdgvbpS/pub/3aRdSog0vUtuqPE8AJKD.png</v>
      </c>
      <c r="U497" s="5" t="str">
        <f ca="1">IFERROR(__xludf.DUMMYFUNCTION("""COMPUTED_VALUE"""),"LINEA PET CSD - LINEA 10ETIQUETADORA ENVOLVENTE")</f>
        <v>LINEA PET CSD - LINEA 10ETIQUETADORA ENVOLVENTE</v>
      </c>
      <c r="V497" s="5"/>
      <c r="W497" s="5" t="b">
        <f ca="1">IFERROR(__xludf.DUMMYFUNCTION("""COMPUTED_VALUE"""),TRUE)</f>
        <v>1</v>
      </c>
      <c r="X497" s="5" t="str">
        <f ca="1">IFERROR(__xludf.DUMMYFUNCTION("""COMPUTED_VALUE"""),"wmazorra@postobon.com.co,aprmttoyu@postobon.com.co,aprmyu@postobon.com.co,wmora@postobon.com.co,efzapata@postobon.com.co")</f>
        <v>wmazorra@postobon.com.co,aprmttoyu@postobon.com.co,aprmyu@postobon.com.co,wmora@postobon.com.co,efzapata@postobon.com.co</v>
      </c>
      <c r="Y497" s="5" t="str">
        <f ca="1">IFERROR(__xludf.DUMMYFUNCTION("""COMPUTED_VALUE"""),"wmazorra@postobon.com.co")</f>
        <v>wmazorra@postobon.com.co</v>
      </c>
      <c r="Z497" s="5" t="str">
        <f ca="1">IFERROR(__xludf.DUMMYFUNCTION("""COMPUTED_VALUE"""),"iSacPOSdQ5OsjIZYId35oQ")</f>
        <v>iSacPOSdQ5OsjIZYId35oQ</v>
      </c>
      <c r="AA497" s="5"/>
      <c r="AB497" s="5"/>
      <c r="AC497" s="5"/>
      <c r="AD497" s="5">
        <f ca="1">IFERROR(__xludf.DUMMYFUNCTION("""COMPUTED_VALUE"""),20)</f>
        <v>20</v>
      </c>
      <c r="AE497" s="5">
        <f ca="1">IFERROR(__xludf.DUMMYFUNCTION("""COMPUTED_VALUE"""),20)</f>
        <v>20</v>
      </c>
      <c r="AF497" s="5" t="b">
        <f ca="1">IFERROR(__xludf.DUMMYFUNCTION("""COMPUTED_VALUE"""),FALSE)</f>
        <v>0</v>
      </c>
      <c r="AG497" s="5" t="str">
        <f ca="1">IFERROR(__xludf.DUMMYFUNCTION("""COMPUTED_VALUE"""),"INSPECCIONES REALIZADAS")</f>
        <v>INSPECCIONES REALIZADAS</v>
      </c>
      <c r="AH497" s="5"/>
    </row>
    <row r="498" spans="1:34">
      <c r="A498" s="5" t="str">
        <f ca="1">IFERROR(__xludf.DUMMYFUNCTION("""COMPUTED_VALUE"""),"LINEA PET CSD - LINEA 10")</f>
        <v>LINEA PET CSD - LINEA 10</v>
      </c>
      <c r="B498" s="5">
        <f ca="1">IFERROR(__xludf.DUMMYFUNCTION("""COMPUTED_VALUE"""),820082)</f>
        <v>820082</v>
      </c>
      <c r="C498" s="5" t="str">
        <f ca="1">IFERROR(__xludf.DUMMYFUNCTION("""COMPUTED_VALUE"""),"ETIQUETADORA ENVOLVENTE")</f>
        <v>ETIQUETADORA ENVOLVENTE</v>
      </c>
      <c r="D498" s="5">
        <f ca="1">IFERROR(__xludf.DUMMYFUNCTION("""COMPUTED_VALUE"""),13247578)</f>
        <v>13247578</v>
      </c>
      <c r="E498" s="5" t="str">
        <f ca="1">IFERROR(__xludf.DUMMYFUNCTION("""COMPUTED_VALUE"""),"INSPECCION SEMANAL Etiquetadora")</f>
        <v>INSPECCION SEMANAL Etiquetadora</v>
      </c>
      <c r="F498" s="5" t="str">
        <f ca="1">IFERROR(__xludf.DUMMYFUNCTION("""COMPUTED_VALUE"""),"FUNCIONAMIENTO ALISADO")</f>
        <v>FUNCIONAMIENTO ALISADO</v>
      </c>
      <c r="G498" s="5" t="b">
        <f ca="1">IFERROR(__xludf.DUMMYFUNCTION("""COMPUTED_VALUE"""),TRUE)</f>
        <v>1</v>
      </c>
      <c r="H498" s="5"/>
      <c r="I498" s="5"/>
      <c r="J498" s="5">
        <f ca="1">IFERROR(__xludf.DUMMYFUNCTION("""COMPUTED_VALUE"""),13247578)</f>
        <v>13247578</v>
      </c>
      <c r="K498" s="5"/>
      <c r="L498" s="18">
        <f ca="1">IFERROR(__xludf.DUMMYFUNCTION("""COMPUTED_VALUE"""),45325)</f>
        <v>45325</v>
      </c>
      <c r="M498" s="18">
        <f ca="1">IFERROR(__xludf.DUMMYFUNCTION("""COMPUTED_VALUE"""),45325)</f>
        <v>45325</v>
      </c>
      <c r="N498" s="5" t="str">
        <f ca="1">IFERROR(__xludf.DUMMYFUNCTION("""COMPUTED_VALUE"""),"Gordillo Victoria Luis Miguel")</f>
        <v>Gordillo Victoria Luis Miguel</v>
      </c>
      <c r="O498" s="2">
        <f ca="1">IFERROR(__xludf.DUMMYFUNCTION("""COMPUTED_VALUE"""),0.005)</f>
        <v>5.0000000000000001E-3</v>
      </c>
      <c r="P498" s="5">
        <f ca="1">IFERROR(__xludf.DUMMYFUNCTION("""COMPUTED_VALUE"""),20031425)</f>
        <v>20031425</v>
      </c>
      <c r="Q498" s="5" t="str">
        <f ca="1">IFERROR(__xludf.DUMMYFUNCTION("""COMPUTED_VALUE"""),"Upr7hGv1wyM")</f>
        <v>Upr7hGv1wyM</v>
      </c>
      <c r="R498" s="5">
        <f ca="1">IFERROR(__xludf.DUMMYFUNCTION("""COMPUTED_VALUE"""),410)</f>
        <v>410</v>
      </c>
      <c r="S498" s="62">
        <f ca="1">IFERROR(__xludf.DUMMYFUNCTION("""COMPUTED_VALUE"""),0.005)</f>
        <v>5.0000000000000001E-3</v>
      </c>
      <c r="T498" s="63" t="str">
        <f ca="1">IFERROR(__xludf.DUMMYFUNCTION("""COMPUTED_VALUE"""),"https://storage.googleapis.com/glide-prod.appspot.com/uploads-v2/ly7o78grxPaC6KdgvbpS/pub/3aRdSog0vUtuqPE8AJKD.png")</f>
        <v>https://storage.googleapis.com/glide-prod.appspot.com/uploads-v2/ly7o78grxPaC6KdgvbpS/pub/3aRdSog0vUtuqPE8AJKD.png</v>
      </c>
      <c r="U498" s="5" t="str">
        <f ca="1">IFERROR(__xludf.DUMMYFUNCTION("""COMPUTED_VALUE"""),"LINEA PET CSD - LINEA 10ETIQUETADORA ENVOLVENTE")</f>
        <v>LINEA PET CSD - LINEA 10ETIQUETADORA ENVOLVENTE</v>
      </c>
      <c r="V498" s="5"/>
      <c r="W498" s="5" t="b">
        <f ca="1">IFERROR(__xludf.DUMMYFUNCTION("""COMPUTED_VALUE"""),TRUE)</f>
        <v>1</v>
      </c>
      <c r="X498" s="5" t="str">
        <f ca="1">IFERROR(__xludf.DUMMYFUNCTION("""COMPUTED_VALUE"""),"wmazorra@postobon.com.co,aprmttoyu@postobon.com.co,aprmyu@postobon.com.co,wmora@postobon.com.co,efzapata@postobon.com.co")</f>
        <v>wmazorra@postobon.com.co,aprmttoyu@postobon.com.co,aprmyu@postobon.com.co,wmora@postobon.com.co,efzapata@postobon.com.co</v>
      </c>
      <c r="Y498" s="5" t="str">
        <f ca="1">IFERROR(__xludf.DUMMYFUNCTION("""COMPUTED_VALUE"""),"wmazorra@postobon.com.co")</f>
        <v>wmazorra@postobon.com.co</v>
      </c>
      <c r="Z498" s="5" t="str">
        <f ca="1">IFERROR(__xludf.DUMMYFUNCTION("""COMPUTED_VALUE"""),"8UZ5aiKPSwyEtOsFzZyEHA")</f>
        <v>8UZ5aiKPSwyEtOsFzZyEHA</v>
      </c>
      <c r="AA498" s="5"/>
      <c r="AB498" s="5"/>
      <c r="AC498" s="5"/>
      <c r="AD498" s="5">
        <f ca="1">IFERROR(__xludf.DUMMYFUNCTION("""COMPUTED_VALUE"""),20)</f>
        <v>20</v>
      </c>
      <c r="AE498" s="5">
        <f ca="1">IFERROR(__xludf.DUMMYFUNCTION("""COMPUTED_VALUE"""),20)</f>
        <v>20</v>
      </c>
      <c r="AF498" s="5" t="b">
        <f ca="1">IFERROR(__xludf.DUMMYFUNCTION("""COMPUTED_VALUE"""),FALSE)</f>
        <v>0</v>
      </c>
      <c r="AG498" s="5" t="str">
        <f ca="1">IFERROR(__xludf.DUMMYFUNCTION("""COMPUTED_VALUE"""),"INSPECCIONES REALIZADAS")</f>
        <v>INSPECCIONES REALIZADAS</v>
      </c>
      <c r="AH498" s="5"/>
    </row>
    <row r="499" spans="1:34">
      <c r="A499" s="5" t="str">
        <f ca="1">IFERROR(__xludf.DUMMYFUNCTION("""COMPUTED_VALUE"""),"LINEA PET CSD - LINEA 10")</f>
        <v>LINEA PET CSD - LINEA 10</v>
      </c>
      <c r="B499" s="5">
        <f ca="1">IFERROR(__xludf.DUMMYFUNCTION("""COMPUTED_VALUE"""),820082)</f>
        <v>820082</v>
      </c>
      <c r="C499" s="5" t="str">
        <f ca="1">IFERROR(__xludf.DUMMYFUNCTION("""COMPUTED_VALUE"""),"ETIQUETADORA ENVOLVENTE")</f>
        <v>ETIQUETADORA ENVOLVENTE</v>
      </c>
      <c r="D499" s="5">
        <f ca="1">IFERROR(__xludf.DUMMYFUNCTION("""COMPUTED_VALUE"""),13247578)</f>
        <v>13247578</v>
      </c>
      <c r="E499" s="5" t="str">
        <f ca="1">IFERROR(__xludf.DUMMYFUNCTION("""COMPUTED_VALUE"""),"INSPECCION SEMANAL Etiquetadora")</f>
        <v>INSPECCION SEMANAL Etiquetadora</v>
      </c>
      <c r="F499" s="5" t="str">
        <f ca="1">IFERROR(__xludf.DUMMYFUNCTION("""COMPUTED_VALUE"""),"ESTADO PORTAENVASES")</f>
        <v>ESTADO PORTAENVASES</v>
      </c>
      <c r="G499" s="5" t="b">
        <f ca="1">IFERROR(__xludf.DUMMYFUNCTION("""COMPUTED_VALUE"""),TRUE)</f>
        <v>1</v>
      </c>
      <c r="H499" s="5" t="str">
        <f ca="1">IFERROR(__xludf.DUMMYFUNCTION("""COMPUTED_VALUE"""),"Faltante separador plástico en formatos 250,400,600,1.5")</f>
        <v>Faltante separador plástico en formatos 250,400,600,1.5</v>
      </c>
      <c r="I499" s="5"/>
      <c r="J499" s="5">
        <f ca="1">IFERROR(__xludf.DUMMYFUNCTION("""COMPUTED_VALUE"""),13247578)</f>
        <v>13247578</v>
      </c>
      <c r="K499" s="5"/>
      <c r="L499" s="18">
        <f ca="1">IFERROR(__xludf.DUMMYFUNCTION("""COMPUTED_VALUE"""),45325)</f>
        <v>45325</v>
      </c>
      <c r="M499" s="18">
        <f ca="1">IFERROR(__xludf.DUMMYFUNCTION("""COMPUTED_VALUE"""),45325)</f>
        <v>45325</v>
      </c>
      <c r="N499" s="5" t="str">
        <f ca="1">IFERROR(__xludf.DUMMYFUNCTION("""COMPUTED_VALUE"""),"Gordillo Victoria Luis Miguel")</f>
        <v>Gordillo Victoria Luis Miguel</v>
      </c>
      <c r="O499" s="2">
        <f ca="1">IFERROR(__xludf.DUMMYFUNCTION("""COMPUTED_VALUE"""),0.005)</f>
        <v>5.0000000000000001E-3</v>
      </c>
      <c r="P499" s="5">
        <f ca="1">IFERROR(__xludf.DUMMYFUNCTION("""COMPUTED_VALUE"""),20031425)</f>
        <v>20031425</v>
      </c>
      <c r="Q499" s="5" t="str">
        <f ca="1">IFERROR(__xludf.DUMMYFUNCTION("""COMPUTED_VALUE"""),"nyoBI0Cr7hA")</f>
        <v>nyoBI0Cr7hA</v>
      </c>
      <c r="R499" s="5">
        <f ca="1">IFERROR(__xludf.DUMMYFUNCTION("""COMPUTED_VALUE"""),410)</f>
        <v>410</v>
      </c>
      <c r="S499" s="62">
        <f ca="1">IFERROR(__xludf.DUMMYFUNCTION("""COMPUTED_VALUE"""),0.005)</f>
        <v>5.0000000000000001E-3</v>
      </c>
      <c r="T499" s="63" t="str">
        <f ca="1">IFERROR(__xludf.DUMMYFUNCTION("""COMPUTED_VALUE"""),"https://storage.googleapis.com/glide-prod.appspot.com/uploads-v2/ly7o78grxPaC6KdgvbpS/pub/3aRdSog0vUtuqPE8AJKD.png")</f>
        <v>https://storage.googleapis.com/glide-prod.appspot.com/uploads-v2/ly7o78grxPaC6KdgvbpS/pub/3aRdSog0vUtuqPE8AJKD.png</v>
      </c>
      <c r="U499" s="5" t="str">
        <f ca="1">IFERROR(__xludf.DUMMYFUNCTION("""COMPUTED_VALUE"""),"LINEA PET CSD - LINEA 10ETIQUETADORA ENVOLVENTE")</f>
        <v>LINEA PET CSD - LINEA 10ETIQUETADORA ENVOLVENTE</v>
      </c>
      <c r="V499" s="5"/>
      <c r="W499" s="5" t="b">
        <f ca="1">IFERROR(__xludf.DUMMYFUNCTION("""COMPUTED_VALUE"""),TRUE)</f>
        <v>1</v>
      </c>
      <c r="X499" s="5" t="str">
        <f ca="1">IFERROR(__xludf.DUMMYFUNCTION("""COMPUTED_VALUE"""),"wmazorra@postobon.com.co,aprmttoyu@postobon.com.co,aprmyu@postobon.com.co,wmora@postobon.com.co,efzapata@postobon.com.co")</f>
        <v>wmazorra@postobon.com.co,aprmttoyu@postobon.com.co,aprmyu@postobon.com.co,wmora@postobon.com.co,efzapata@postobon.com.co</v>
      </c>
      <c r="Y499" s="5" t="str">
        <f ca="1">IFERROR(__xludf.DUMMYFUNCTION("""COMPUTED_VALUE"""),"wmazorra@postobon.com.co")</f>
        <v>wmazorra@postobon.com.co</v>
      </c>
      <c r="Z499" s="5" t="str">
        <f ca="1">IFERROR(__xludf.DUMMYFUNCTION("""COMPUTED_VALUE"""),"dxTvMiYbQOu2H.gjaMZI3w")</f>
        <v>dxTvMiYbQOu2H.gjaMZI3w</v>
      </c>
      <c r="AA499" s="5"/>
      <c r="AB499" s="5"/>
      <c r="AC499" s="5"/>
      <c r="AD499" s="5">
        <f ca="1">IFERROR(__xludf.DUMMYFUNCTION("""COMPUTED_VALUE"""),20)</f>
        <v>20</v>
      </c>
      <c r="AE499" s="5">
        <f ca="1">IFERROR(__xludf.DUMMYFUNCTION("""COMPUTED_VALUE"""),20)</f>
        <v>20</v>
      </c>
      <c r="AF499" s="5" t="b">
        <f ca="1">IFERROR(__xludf.DUMMYFUNCTION("""COMPUTED_VALUE"""),FALSE)</f>
        <v>0</v>
      </c>
      <c r="AG499" s="5" t="str">
        <f ca="1">IFERROR(__xludf.DUMMYFUNCTION("""COMPUTED_VALUE"""),"INSPECCIONES REALIZADAS")</f>
        <v>INSPECCIONES REALIZADAS</v>
      </c>
      <c r="AH499" s="5"/>
    </row>
    <row r="500" spans="1:34">
      <c r="A500" s="5" t="str">
        <f ca="1">IFERROR(__xludf.DUMMYFUNCTION("""COMPUTED_VALUE"""),"LINEA PET CSD - LINEA 10")</f>
        <v>LINEA PET CSD - LINEA 10</v>
      </c>
      <c r="B500" s="5">
        <f ca="1">IFERROR(__xludf.DUMMYFUNCTION("""COMPUTED_VALUE"""),820082)</f>
        <v>820082</v>
      </c>
      <c r="C500" s="5" t="str">
        <f ca="1">IFERROR(__xludf.DUMMYFUNCTION("""COMPUTED_VALUE"""),"ETIQUETADORA ENVOLVENTE")</f>
        <v>ETIQUETADORA ENVOLVENTE</v>
      </c>
      <c r="D500" s="5">
        <f ca="1">IFERROR(__xludf.DUMMYFUNCTION("""COMPUTED_VALUE"""),13247578)</f>
        <v>13247578</v>
      </c>
      <c r="E500" s="5" t="str">
        <f ca="1">IFERROR(__xludf.DUMMYFUNCTION("""COMPUTED_VALUE"""),"INSPECCION SEMANAL Etiquetadora")</f>
        <v>INSPECCION SEMANAL Etiquetadora</v>
      </c>
      <c r="F500" s="5" t="str">
        <f ca="1">IFERROR(__xludf.DUMMYFUNCTION("""COMPUTED_VALUE"""),"ESTADO CORREA PORTAENVASES")</f>
        <v>ESTADO CORREA PORTAENVASES</v>
      </c>
      <c r="G500" s="5" t="b">
        <f ca="1">IFERROR(__xludf.DUMMYFUNCTION("""COMPUTED_VALUE"""),TRUE)</f>
        <v>1</v>
      </c>
      <c r="H500" s="5"/>
      <c r="I500" s="5"/>
      <c r="J500" s="5">
        <f ca="1">IFERROR(__xludf.DUMMYFUNCTION("""COMPUTED_VALUE"""),13247578)</f>
        <v>13247578</v>
      </c>
      <c r="K500" s="5"/>
      <c r="L500" s="18">
        <f ca="1">IFERROR(__xludf.DUMMYFUNCTION("""COMPUTED_VALUE"""),45325)</f>
        <v>45325</v>
      </c>
      <c r="M500" s="18">
        <f ca="1">IFERROR(__xludf.DUMMYFUNCTION("""COMPUTED_VALUE"""),45325)</f>
        <v>45325</v>
      </c>
      <c r="N500" s="5" t="str">
        <f ca="1">IFERROR(__xludf.DUMMYFUNCTION("""COMPUTED_VALUE"""),"Gordillo Victoria Luis Miguel")</f>
        <v>Gordillo Victoria Luis Miguel</v>
      </c>
      <c r="O500" s="2">
        <f ca="1">IFERROR(__xludf.DUMMYFUNCTION("""COMPUTED_VALUE"""),0.005)</f>
        <v>5.0000000000000001E-3</v>
      </c>
      <c r="P500" s="5">
        <f ca="1">IFERROR(__xludf.DUMMYFUNCTION("""COMPUTED_VALUE"""),20031425)</f>
        <v>20031425</v>
      </c>
      <c r="Q500" s="5" t="str">
        <f ca="1">IFERROR(__xludf.DUMMYFUNCTION("""COMPUTED_VALUE"""),"_DABP_gOdeI")</f>
        <v>_DABP_gOdeI</v>
      </c>
      <c r="R500" s="5">
        <f ca="1">IFERROR(__xludf.DUMMYFUNCTION("""COMPUTED_VALUE"""),410)</f>
        <v>410</v>
      </c>
      <c r="S500" s="62">
        <f ca="1">IFERROR(__xludf.DUMMYFUNCTION("""COMPUTED_VALUE"""),0.005)</f>
        <v>5.0000000000000001E-3</v>
      </c>
      <c r="T500" s="63" t="str">
        <f ca="1">IFERROR(__xludf.DUMMYFUNCTION("""COMPUTED_VALUE"""),"https://storage.googleapis.com/glide-prod.appspot.com/uploads-v2/ly7o78grxPaC6KdgvbpS/pub/3aRdSog0vUtuqPE8AJKD.png")</f>
        <v>https://storage.googleapis.com/glide-prod.appspot.com/uploads-v2/ly7o78grxPaC6KdgvbpS/pub/3aRdSog0vUtuqPE8AJKD.png</v>
      </c>
      <c r="U500" s="5" t="str">
        <f ca="1">IFERROR(__xludf.DUMMYFUNCTION("""COMPUTED_VALUE"""),"LINEA PET CSD - LINEA 10ETIQUETADORA ENVOLVENTE")</f>
        <v>LINEA PET CSD - LINEA 10ETIQUETADORA ENVOLVENTE</v>
      </c>
      <c r="V500" s="5"/>
      <c r="W500" s="5" t="b">
        <f ca="1">IFERROR(__xludf.DUMMYFUNCTION("""COMPUTED_VALUE"""),TRUE)</f>
        <v>1</v>
      </c>
      <c r="X500" s="5" t="str">
        <f ca="1">IFERROR(__xludf.DUMMYFUNCTION("""COMPUTED_VALUE"""),"wmazorra@postobon.com.co,aprmttoyu@postobon.com.co,aprmyu@postobon.com.co,wmora@postobon.com.co,efzapata@postobon.com.co")</f>
        <v>wmazorra@postobon.com.co,aprmttoyu@postobon.com.co,aprmyu@postobon.com.co,wmora@postobon.com.co,efzapata@postobon.com.co</v>
      </c>
      <c r="Y500" s="5" t="str">
        <f ca="1">IFERROR(__xludf.DUMMYFUNCTION("""COMPUTED_VALUE"""),"wmazorra@postobon.com.co")</f>
        <v>wmazorra@postobon.com.co</v>
      </c>
      <c r="Z500" s="5" t="str">
        <f ca="1">IFERROR(__xludf.DUMMYFUNCTION("""COMPUTED_VALUE"""),"9tbIWoe5SDK--.HjV79-Tg")</f>
        <v>9tbIWoe5SDK--.HjV79-Tg</v>
      </c>
      <c r="AA500" s="5"/>
      <c r="AB500" s="5"/>
      <c r="AC500" s="5"/>
      <c r="AD500" s="5">
        <f ca="1">IFERROR(__xludf.DUMMYFUNCTION("""COMPUTED_VALUE"""),20)</f>
        <v>20</v>
      </c>
      <c r="AE500" s="5">
        <f ca="1">IFERROR(__xludf.DUMMYFUNCTION("""COMPUTED_VALUE"""),20)</f>
        <v>20</v>
      </c>
      <c r="AF500" s="5" t="b">
        <f ca="1">IFERROR(__xludf.DUMMYFUNCTION("""COMPUTED_VALUE"""),FALSE)</f>
        <v>0</v>
      </c>
      <c r="AG500" s="5" t="str">
        <f ca="1">IFERROR(__xludf.DUMMYFUNCTION("""COMPUTED_VALUE"""),"INSPECCIONES REALIZADAS")</f>
        <v>INSPECCIONES REALIZADAS</v>
      </c>
      <c r="AH500" s="5"/>
    </row>
    <row r="501" spans="1:34">
      <c r="A501" s="5" t="str">
        <f ca="1">IFERROR(__xludf.DUMMYFUNCTION("""COMPUTED_VALUE"""),"LINEA PET CSD - LINEA 10")</f>
        <v>LINEA PET CSD - LINEA 10</v>
      </c>
      <c r="B501" s="5">
        <f ca="1">IFERROR(__xludf.DUMMYFUNCTION("""COMPUTED_VALUE"""),820082)</f>
        <v>820082</v>
      </c>
      <c r="C501" s="5" t="str">
        <f ca="1">IFERROR(__xludf.DUMMYFUNCTION("""COMPUTED_VALUE"""),"ETIQUETADORA ENVOLVENTE")</f>
        <v>ETIQUETADORA ENVOLVENTE</v>
      </c>
      <c r="D501" s="5">
        <f ca="1">IFERROR(__xludf.DUMMYFUNCTION("""COMPUTED_VALUE"""),13247578)</f>
        <v>13247578</v>
      </c>
      <c r="E501" s="5" t="str">
        <f ca="1">IFERROR(__xludf.DUMMYFUNCTION("""COMPUTED_VALUE"""),"INSPECCION SEMANAL Etiquetadora")</f>
        <v>INSPECCION SEMANAL Etiquetadora</v>
      </c>
      <c r="F501" s="5" t="str">
        <f ca="1">IFERROR(__xludf.DUMMYFUNCTION("""COMPUTED_VALUE"""),"ESTADO CORREA PORTAENVASES")</f>
        <v>ESTADO CORREA PORTAENVASES</v>
      </c>
      <c r="G501" s="5" t="b">
        <f ca="1">IFERROR(__xludf.DUMMYFUNCTION("""COMPUTED_VALUE"""),TRUE)</f>
        <v>1</v>
      </c>
      <c r="H501" s="5"/>
      <c r="I501" s="5"/>
      <c r="J501" s="5">
        <f ca="1">IFERROR(__xludf.DUMMYFUNCTION("""COMPUTED_VALUE"""),13247578)</f>
        <v>13247578</v>
      </c>
      <c r="K501" s="5"/>
      <c r="L501" s="18">
        <f ca="1">IFERROR(__xludf.DUMMYFUNCTION("""COMPUTED_VALUE"""),45325)</f>
        <v>45325</v>
      </c>
      <c r="M501" s="18">
        <f ca="1">IFERROR(__xludf.DUMMYFUNCTION("""COMPUTED_VALUE"""),45325)</f>
        <v>45325</v>
      </c>
      <c r="N501" s="5" t="str">
        <f ca="1">IFERROR(__xludf.DUMMYFUNCTION("""COMPUTED_VALUE"""),"Gordillo Victoria Luis Miguel")</f>
        <v>Gordillo Victoria Luis Miguel</v>
      </c>
      <c r="O501" s="2">
        <f ca="1">IFERROR(__xludf.DUMMYFUNCTION("""COMPUTED_VALUE"""),0.005)</f>
        <v>5.0000000000000001E-3</v>
      </c>
      <c r="P501" s="5">
        <f ca="1">IFERROR(__xludf.DUMMYFUNCTION("""COMPUTED_VALUE"""),20031425)</f>
        <v>20031425</v>
      </c>
      <c r="Q501" s="5" t="str">
        <f ca="1">IFERROR(__xludf.DUMMYFUNCTION("""COMPUTED_VALUE"""),"MlsM3Hf6DfM")</f>
        <v>MlsM3Hf6DfM</v>
      </c>
      <c r="R501" s="5">
        <f ca="1">IFERROR(__xludf.DUMMYFUNCTION("""COMPUTED_VALUE"""),410)</f>
        <v>410</v>
      </c>
      <c r="S501" s="62">
        <f ca="1">IFERROR(__xludf.DUMMYFUNCTION("""COMPUTED_VALUE"""),0.005)</f>
        <v>5.0000000000000001E-3</v>
      </c>
      <c r="T501" s="63" t="str">
        <f ca="1">IFERROR(__xludf.DUMMYFUNCTION("""COMPUTED_VALUE"""),"https://storage.googleapis.com/glide-prod.appspot.com/uploads-v2/ly7o78grxPaC6KdgvbpS/pub/3aRdSog0vUtuqPE8AJKD.png")</f>
        <v>https://storage.googleapis.com/glide-prod.appspot.com/uploads-v2/ly7o78grxPaC6KdgvbpS/pub/3aRdSog0vUtuqPE8AJKD.png</v>
      </c>
      <c r="U501" s="5" t="str">
        <f ca="1">IFERROR(__xludf.DUMMYFUNCTION("""COMPUTED_VALUE"""),"LINEA PET CSD - LINEA 10ETIQUETADORA ENVOLVENTE")</f>
        <v>LINEA PET CSD - LINEA 10ETIQUETADORA ENVOLVENTE</v>
      </c>
      <c r="V501" s="5"/>
      <c r="W501" s="5" t="b">
        <f ca="1">IFERROR(__xludf.DUMMYFUNCTION("""COMPUTED_VALUE"""),TRUE)</f>
        <v>1</v>
      </c>
      <c r="X501" s="5" t="str">
        <f ca="1">IFERROR(__xludf.DUMMYFUNCTION("""COMPUTED_VALUE"""),"wmazorra@postobon.com.co,aprmttoyu@postobon.com.co,aprmyu@postobon.com.co,wmora@postobon.com.co,efzapata@postobon.com.co")</f>
        <v>wmazorra@postobon.com.co,aprmttoyu@postobon.com.co,aprmyu@postobon.com.co,wmora@postobon.com.co,efzapata@postobon.com.co</v>
      </c>
      <c r="Y501" s="5" t="str">
        <f ca="1">IFERROR(__xludf.DUMMYFUNCTION("""COMPUTED_VALUE"""),"wmazorra@postobon.com.co")</f>
        <v>wmazorra@postobon.com.co</v>
      </c>
      <c r="Z501" s="5" t="str">
        <f ca="1">IFERROR(__xludf.DUMMYFUNCTION("""COMPUTED_VALUE"""),"a.UbhzVoRSvad2OR4.YFTxw")</f>
        <v>a.UbhzVoRSvad2OR4.YFTxw</v>
      </c>
      <c r="AA501" s="5"/>
      <c r="AB501" s="5"/>
      <c r="AC501" s="5"/>
      <c r="AD501" s="5">
        <f ca="1">IFERROR(__xludf.DUMMYFUNCTION("""COMPUTED_VALUE"""),20)</f>
        <v>20</v>
      </c>
      <c r="AE501" s="5">
        <f ca="1">IFERROR(__xludf.DUMMYFUNCTION("""COMPUTED_VALUE"""),20)</f>
        <v>20</v>
      </c>
      <c r="AF501" s="5" t="b">
        <f ca="1">IFERROR(__xludf.DUMMYFUNCTION("""COMPUTED_VALUE"""),FALSE)</f>
        <v>0</v>
      </c>
      <c r="AG501" s="5" t="str">
        <f ca="1">IFERROR(__xludf.DUMMYFUNCTION("""COMPUTED_VALUE"""),"INSPECCIONES REALIZADAS")</f>
        <v>INSPECCIONES REALIZADAS</v>
      </c>
      <c r="AH501" s="5"/>
    </row>
    <row r="502" spans="1:34">
      <c r="A502" s="5" t="str">
        <f ca="1">IFERROR(__xludf.DUMMYFUNCTION("""COMPUTED_VALUE"""),"LINEA PET CSD - LINEA 10")</f>
        <v>LINEA PET CSD - LINEA 10</v>
      </c>
      <c r="B502" s="5">
        <f ca="1">IFERROR(__xludf.DUMMYFUNCTION("""COMPUTED_VALUE"""),820082)</f>
        <v>820082</v>
      </c>
      <c r="C502" s="5" t="str">
        <f ca="1">IFERROR(__xludf.DUMMYFUNCTION("""COMPUTED_VALUE"""),"ETIQUETADORA ENVOLVENTE")</f>
        <v>ETIQUETADORA ENVOLVENTE</v>
      </c>
      <c r="D502" s="5">
        <f ca="1">IFERROR(__xludf.DUMMYFUNCTION("""COMPUTED_VALUE"""),13247578)</f>
        <v>13247578</v>
      </c>
      <c r="E502" s="5" t="str">
        <f ca="1">IFERROR(__xludf.DUMMYFUNCTION("""COMPUTED_VALUE"""),"INSPECCION SEMANAL Etiquetadora")</f>
        <v>INSPECCION SEMANAL Etiquetadora</v>
      </c>
      <c r="F502" s="5" t="str">
        <f ca="1">IFERROR(__xludf.DUMMYFUNCTION("""COMPUTED_VALUE"""),"ESTADO PINZAS SUJECCION-ESTRELLA")</f>
        <v>ESTADO PINZAS SUJECCION-ESTRELLA</v>
      </c>
      <c r="G502" s="5" t="b">
        <f ca="1">IFERROR(__xludf.DUMMYFUNCTION("""COMPUTED_VALUE"""),TRUE)</f>
        <v>1</v>
      </c>
      <c r="H502" s="5"/>
      <c r="I502" s="5"/>
      <c r="J502" s="5">
        <f ca="1">IFERROR(__xludf.DUMMYFUNCTION("""COMPUTED_VALUE"""),13247578)</f>
        <v>13247578</v>
      </c>
      <c r="K502" s="5"/>
      <c r="L502" s="18">
        <f ca="1">IFERROR(__xludf.DUMMYFUNCTION("""COMPUTED_VALUE"""),45325)</f>
        <v>45325</v>
      </c>
      <c r="M502" s="18">
        <f ca="1">IFERROR(__xludf.DUMMYFUNCTION("""COMPUTED_VALUE"""),45325)</f>
        <v>45325</v>
      </c>
      <c r="N502" s="5" t="str">
        <f ca="1">IFERROR(__xludf.DUMMYFUNCTION("""COMPUTED_VALUE"""),"Gordillo Victoria Luis Miguel")</f>
        <v>Gordillo Victoria Luis Miguel</v>
      </c>
      <c r="O502" s="2">
        <f ca="1">IFERROR(__xludf.DUMMYFUNCTION("""COMPUTED_VALUE"""),0.005)</f>
        <v>5.0000000000000001E-3</v>
      </c>
      <c r="P502" s="5">
        <f ca="1">IFERROR(__xludf.DUMMYFUNCTION("""COMPUTED_VALUE"""),20031425)</f>
        <v>20031425</v>
      </c>
      <c r="Q502" s="5" t="str">
        <f ca="1">IFERROR(__xludf.DUMMYFUNCTION("""COMPUTED_VALUE"""),"peHivcF6lcQ")</f>
        <v>peHivcF6lcQ</v>
      </c>
      <c r="R502" s="5">
        <f ca="1">IFERROR(__xludf.DUMMYFUNCTION("""COMPUTED_VALUE"""),410)</f>
        <v>410</v>
      </c>
      <c r="S502" s="62">
        <f ca="1">IFERROR(__xludf.DUMMYFUNCTION("""COMPUTED_VALUE"""),0.005)</f>
        <v>5.0000000000000001E-3</v>
      </c>
      <c r="T502" s="63" t="str">
        <f ca="1">IFERROR(__xludf.DUMMYFUNCTION("""COMPUTED_VALUE"""),"https://storage.googleapis.com/glide-prod.appspot.com/uploads-v2/ly7o78grxPaC6KdgvbpS/pub/3aRdSog0vUtuqPE8AJKD.png")</f>
        <v>https://storage.googleapis.com/glide-prod.appspot.com/uploads-v2/ly7o78grxPaC6KdgvbpS/pub/3aRdSog0vUtuqPE8AJKD.png</v>
      </c>
      <c r="U502" s="5" t="str">
        <f ca="1">IFERROR(__xludf.DUMMYFUNCTION("""COMPUTED_VALUE"""),"LINEA PET CSD - LINEA 10ETIQUETADORA ENVOLVENTE")</f>
        <v>LINEA PET CSD - LINEA 10ETIQUETADORA ENVOLVENTE</v>
      </c>
      <c r="V502" s="5"/>
      <c r="W502" s="5" t="b">
        <f ca="1">IFERROR(__xludf.DUMMYFUNCTION("""COMPUTED_VALUE"""),TRUE)</f>
        <v>1</v>
      </c>
      <c r="X502" s="5" t="str">
        <f ca="1">IFERROR(__xludf.DUMMYFUNCTION("""COMPUTED_VALUE"""),"wmazorra@postobon.com.co,aprmttoyu@postobon.com.co,aprmyu@postobon.com.co,wmora@postobon.com.co,efzapata@postobon.com.co")</f>
        <v>wmazorra@postobon.com.co,aprmttoyu@postobon.com.co,aprmyu@postobon.com.co,wmora@postobon.com.co,efzapata@postobon.com.co</v>
      </c>
      <c r="Y502" s="5" t="str">
        <f ca="1">IFERROR(__xludf.DUMMYFUNCTION("""COMPUTED_VALUE"""),"wmazorra@postobon.com.co")</f>
        <v>wmazorra@postobon.com.co</v>
      </c>
      <c r="Z502" s="5" t="str">
        <f ca="1">IFERROR(__xludf.DUMMYFUNCTION("""COMPUTED_VALUE"""),"AvgKVDwpSxqHIFeglNTaFQ")</f>
        <v>AvgKVDwpSxqHIFeglNTaFQ</v>
      </c>
      <c r="AA502" s="5"/>
      <c r="AB502" s="5"/>
      <c r="AC502" s="5"/>
      <c r="AD502" s="5">
        <f ca="1">IFERROR(__xludf.DUMMYFUNCTION("""COMPUTED_VALUE"""),20)</f>
        <v>20</v>
      </c>
      <c r="AE502" s="5">
        <f ca="1">IFERROR(__xludf.DUMMYFUNCTION("""COMPUTED_VALUE"""),20)</f>
        <v>20</v>
      </c>
      <c r="AF502" s="5" t="b">
        <f ca="1">IFERROR(__xludf.DUMMYFUNCTION("""COMPUTED_VALUE"""),FALSE)</f>
        <v>0</v>
      </c>
      <c r="AG502" s="5" t="str">
        <f ca="1">IFERROR(__xludf.DUMMYFUNCTION("""COMPUTED_VALUE"""),"INSPECCIONES REALIZADAS")</f>
        <v>INSPECCIONES REALIZADAS</v>
      </c>
      <c r="AH502" s="5"/>
    </row>
    <row r="503" spans="1:34">
      <c r="A503" s="5" t="str">
        <f ca="1">IFERROR(__xludf.DUMMYFUNCTION("""COMPUTED_VALUE"""),"LINEA PET CSD - LINEA 10")</f>
        <v>LINEA PET CSD - LINEA 10</v>
      </c>
      <c r="B503" s="5">
        <f ca="1">IFERROR(__xludf.DUMMYFUNCTION("""COMPUTED_VALUE"""),820082)</f>
        <v>820082</v>
      </c>
      <c r="C503" s="5" t="str">
        <f ca="1">IFERROR(__xludf.DUMMYFUNCTION("""COMPUTED_VALUE"""),"ETIQUETADORA ENVOLVENTE")</f>
        <v>ETIQUETADORA ENVOLVENTE</v>
      </c>
      <c r="D503" s="5">
        <f ca="1">IFERROR(__xludf.DUMMYFUNCTION("""COMPUTED_VALUE"""),13247578)</f>
        <v>13247578</v>
      </c>
      <c r="E503" s="5" t="str">
        <f ca="1">IFERROR(__xludf.DUMMYFUNCTION("""COMPUTED_VALUE"""),"INSPECCION SEMANAL Etiquetadora")</f>
        <v>INSPECCION SEMANAL Etiquetadora</v>
      </c>
      <c r="F503" s="5" t="str">
        <f ca="1">IFERROR(__xludf.DUMMYFUNCTION("""COMPUTED_VALUE"""),"FUNC. SISTEMA NEUMATICO")</f>
        <v>FUNC. SISTEMA NEUMATICO</v>
      </c>
      <c r="G503" s="5" t="b">
        <f ca="1">IFERROR(__xludf.DUMMYFUNCTION("""COMPUTED_VALUE"""),TRUE)</f>
        <v>1</v>
      </c>
      <c r="H503" s="5"/>
      <c r="I503" s="5"/>
      <c r="J503" s="5">
        <f ca="1">IFERROR(__xludf.DUMMYFUNCTION("""COMPUTED_VALUE"""),13247578)</f>
        <v>13247578</v>
      </c>
      <c r="K503" s="5"/>
      <c r="L503" s="18">
        <f ca="1">IFERROR(__xludf.DUMMYFUNCTION("""COMPUTED_VALUE"""),45325)</f>
        <v>45325</v>
      </c>
      <c r="M503" s="18">
        <f ca="1">IFERROR(__xludf.DUMMYFUNCTION("""COMPUTED_VALUE"""),45325)</f>
        <v>45325</v>
      </c>
      <c r="N503" s="5" t="str">
        <f ca="1">IFERROR(__xludf.DUMMYFUNCTION("""COMPUTED_VALUE"""),"Gordillo Victoria Luis Miguel")</f>
        <v>Gordillo Victoria Luis Miguel</v>
      </c>
      <c r="O503" s="2">
        <f ca="1">IFERROR(__xludf.DUMMYFUNCTION("""COMPUTED_VALUE"""),0.005)</f>
        <v>5.0000000000000001E-3</v>
      </c>
      <c r="P503" s="5">
        <f ca="1">IFERROR(__xludf.DUMMYFUNCTION("""COMPUTED_VALUE"""),20031425)</f>
        <v>20031425</v>
      </c>
      <c r="Q503" s="5" t="str">
        <f ca="1">IFERROR(__xludf.DUMMYFUNCTION("""COMPUTED_VALUE"""),"PoqjyVwkBGQ")</f>
        <v>PoqjyVwkBGQ</v>
      </c>
      <c r="R503" s="5">
        <f ca="1">IFERROR(__xludf.DUMMYFUNCTION("""COMPUTED_VALUE"""),410)</f>
        <v>410</v>
      </c>
      <c r="S503" s="62">
        <f ca="1">IFERROR(__xludf.DUMMYFUNCTION("""COMPUTED_VALUE"""),0.005)</f>
        <v>5.0000000000000001E-3</v>
      </c>
      <c r="T503" s="63" t="str">
        <f ca="1">IFERROR(__xludf.DUMMYFUNCTION("""COMPUTED_VALUE"""),"https://storage.googleapis.com/glide-prod.appspot.com/uploads-v2/ly7o78grxPaC6KdgvbpS/pub/3aRdSog0vUtuqPE8AJKD.png")</f>
        <v>https://storage.googleapis.com/glide-prod.appspot.com/uploads-v2/ly7o78grxPaC6KdgvbpS/pub/3aRdSog0vUtuqPE8AJKD.png</v>
      </c>
      <c r="U503" s="5" t="str">
        <f ca="1">IFERROR(__xludf.DUMMYFUNCTION("""COMPUTED_VALUE"""),"LINEA PET CSD - LINEA 10ETIQUETADORA ENVOLVENTE")</f>
        <v>LINEA PET CSD - LINEA 10ETIQUETADORA ENVOLVENTE</v>
      </c>
      <c r="V503" s="5"/>
      <c r="W503" s="5" t="b">
        <f ca="1">IFERROR(__xludf.DUMMYFUNCTION("""COMPUTED_VALUE"""),TRUE)</f>
        <v>1</v>
      </c>
      <c r="X503" s="5" t="str">
        <f ca="1">IFERROR(__xludf.DUMMYFUNCTION("""COMPUTED_VALUE"""),"wmazorra@postobon.com.co,aprmttoyu@postobon.com.co,aprmyu@postobon.com.co,wmora@postobon.com.co,efzapata@postobon.com.co")</f>
        <v>wmazorra@postobon.com.co,aprmttoyu@postobon.com.co,aprmyu@postobon.com.co,wmora@postobon.com.co,efzapata@postobon.com.co</v>
      </c>
      <c r="Y503" s="5" t="str">
        <f ca="1">IFERROR(__xludf.DUMMYFUNCTION("""COMPUTED_VALUE"""),"wmazorra@postobon.com.co")</f>
        <v>wmazorra@postobon.com.co</v>
      </c>
      <c r="Z503" s="5" t="str">
        <f ca="1">IFERROR(__xludf.DUMMYFUNCTION("""COMPUTED_VALUE"""),"fcdI0rZzSK2AfDKF--t87w")</f>
        <v>fcdI0rZzSK2AfDKF--t87w</v>
      </c>
      <c r="AA503" s="5"/>
      <c r="AB503" s="5"/>
      <c r="AC503" s="5"/>
      <c r="AD503" s="5">
        <f ca="1">IFERROR(__xludf.DUMMYFUNCTION("""COMPUTED_VALUE"""),20)</f>
        <v>20</v>
      </c>
      <c r="AE503" s="5">
        <f ca="1">IFERROR(__xludf.DUMMYFUNCTION("""COMPUTED_VALUE"""),20)</f>
        <v>20</v>
      </c>
      <c r="AF503" s="5" t="b">
        <f ca="1">IFERROR(__xludf.DUMMYFUNCTION("""COMPUTED_VALUE"""),FALSE)</f>
        <v>0</v>
      </c>
      <c r="AG503" s="5" t="str">
        <f ca="1">IFERROR(__xludf.DUMMYFUNCTION("""COMPUTED_VALUE"""),"INSPECCIONES REALIZADAS")</f>
        <v>INSPECCIONES REALIZADAS</v>
      </c>
      <c r="AH503" s="5"/>
    </row>
    <row r="504" spans="1:34">
      <c r="A504" s="5" t="str">
        <f ca="1">IFERROR(__xludf.DUMMYFUNCTION("""COMPUTED_VALUE"""),"LINEA PET CSD - LINEA 10")</f>
        <v>LINEA PET CSD - LINEA 10</v>
      </c>
      <c r="B504" s="5">
        <f ca="1">IFERROR(__xludf.DUMMYFUNCTION("""COMPUTED_VALUE"""),820082)</f>
        <v>820082</v>
      </c>
      <c r="C504" s="5" t="str">
        <f ca="1">IFERROR(__xludf.DUMMYFUNCTION("""COMPUTED_VALUE"""),"ETIQUETADORA ENVOLVENTE")</f>
        <v>ETIQUETADORA ENVOLVENTE</v>
      </c>
      <c r="D504" s="5">
        <f ca="1">IFERROR(__xludf.DUMMYFUNCTION("""COMPUTED_VALUE"""),13247578)</f>
        <v>13247578</v>
      </c>
      <c r="E504" s="5" t="str">
        <f ca="1">IFERROR(__xludf.DUMMYFUNCTION("""COMPUTED_VALUE"""),"INSPECCION SEMANAL Etiquetadora")</f>
        <v>INSPECCION SEMANAL Etiquetadora</v>
      </c>
      <c r="F504" s="5" t="str">
        <f ca="1">IFERROR(__xludf.DUMMYFUNCTION("""COMPUTED_VALUE"""),"ESTADO MOTORES")</f>
        <v>ESTADO MOTORES</v>
      </c>
      <c r="G504" s="5" t="b">
        <f ca="1">IFERROR(__xludf.DUMMYFUNCTION("""COMPUTED_VALUE"""),TRUE)</f>
        <v>1</v>
      </c>
      <c r="H504" s="5"/>
      <c r="I504" s="5"/>
      <c r="J504" s="5">
        <f ca="1">IFERROR(__xludf.DUMMYFUNCTION("""COMPUTED_VALUE"""),13247578)</f>
        <v>13247578</v>
      </c>
      <c r="K504" s="5"/>
      <c r="L504" s="18">
        <f ca="1">IFERROR(__xludf.DUMMYFUNCTION("""COMPUTED_VALUE"""),45325)</f>
        <v>45325</v>
      </c>
      <c r="M504" s="18">
        <f ca="1">IFERROR(__xludf.DUMMYFUNCTION("""COMPUTED_VALUE"""),45325)</f>
        <v>45325</v>
      </c>
      <c r="N504" s="5" t="str">
        <f ca="1">IFERROR(__xludf.DUMMYFUNCTION("""COMPUTED_VALUE"""),"Gordillo Victoria Luis Miguel")</f>
        <v>Gordillo Victoria Luis Miguel</v>
      </c>
      <c r="O504" s="2">
        <f ca="1">IFERROR(__xludf.DUMMYFUNCTION("""COMPUTED_VALUE"""),0.005)</f>
        <v>5.0000000000000001E-3</v>
      </c>
      <c r="P504" s="5">
        <f ca="1">IFERROR(__xludf.DUMMYFUNCTION("""COMPUTED_VALUE"""),20031425)</f>
        <v>20031425</v>
      </c>
      <c r="Q504" s="5" t="str">
        <f ca="1">IFERROR(__xludf.DUMMYFUNCTION("""COMPUTED_VALUE"""),"BWsUZJLAwvk")</f>
        <v>BWsUZJLAwvk</v>
      </c>
      <c r="R504" s="5">
        <f ca="1">IFERROR(__xludf.DUMMYFUNCTION("""COMPUTED_VALUE"""),410)</f>
        <v>410</v>
      </c>
      <c r="S504" s="62">
        <f ca="1">IFERROR(__xludf.DUMMYFUNCTION("""COMPUTED_VALUE"""),0.005)</f>
        <v>5.0000000000000001E-3</v>
      </c>
      <c r="T504" s="63" t="str">
        <f ca="1">IFERROR(__xludf.DUMMYFUNCTION("""COMPUTED_VALUE"""),"https://storage.googleapis.com/glide-prod.appspot.com/uploads-v2/ly7o78grxPaC6KdgvbpS/pub/3aRdSog0vUtuqPE8AJKD.png")</f>
        <v>https://storage.googleapis.com/glide-prod.appspot.com/uploads-v2/ly7o78grxPaC6KdgvbpS/pub/3aRdSog0vUtuqPE8AJKD.png</v>
      </c>
      <c r="U504" s="5" t="str">
        <f ca="1">IFERROR(__xludf.DUMMYFUNCTION("""COMPUTED_VALUE"""),"LINEA PET CSD - LINEA 10ETIQUETADORA ENVOLVENTE")</f>
        <v>LINEA PET CSD - LINEA 10ETIQUETADORA ENVOLVENTE</v>
      </c>
      <c r="V504" s="5"/>
      <c r="W504" s="5" t="b">
        <f ca="1">IFERROR(__xludf.DUMMYFUNCTION("""COMPUTED_VALUE"""),TRUE)</f>
        <v>1</v>
      </c>
      <c r="X504" s="5" t="str">
        <f ca="1">IFERROR(__xludf.DUMMYFUNCTION("""COMPUTED_VALUE"""),"wmazorra@postobon.com.co,aprmttoyu@postobon.com.co,aprmyu@postobon.com.co,wmora@postobon.com.co,efzapata@postobon.com.co")</f>
        <v>wmazorra@postobon.com.co,aprmttoyu@postobon.com.co,aprmyu@postobon.com.co,wmora@postobon.com.co,efzapata@postobon.com.co</v>
      </c>
      <c r="Y504" s="5" t="str">
        <f ca="1">IFERROR(__xludf.DUMMYFUNCTION("""COMPUTED_VALUE"""),"wmazorra@postobon.com.co")</f>
        <v>wmazorra@postobon.com.co</v>
      </c>
      <c r="Z504" s="5" t="str">
        <f ca="1">IFERROR(__xludf.DUMMYFUNCTION("""COMPUTED_VALUE"""),"FlmgqwiATjaZO4qQWm7MTA")</f>
        <v>FlmgqwiATjaZO4qQWm7MTA</v>
      </c>
      <c r="AA504" s="5"/>
      <c r="AB504" s="5"/>
      <c r="AC504" s="5"/>
      <c r="AD504" s="5">
        <f ca="1">IFERROR(__xludf.DUMMYFUNCTION("""COMPUTED_VALUE"""),20)</f>
        <v>20</v>
      </c>
      <c r="AE504" s="5">
        <f ca="1">IFERROR(__xludf.DUMMYFUNCTION("""COMPUTED_VALUE"""),20)</f>
        <v>20</v>
      </c>
      <c r="AF504" s="5" t="b">
        <f ca="1">IFERROR(__xludf.DUMMYFUNCTION("""COMPUTED_VALUE"""),FALSE)</f>
        <v>0</v>
      </c>
      <c r="AG504" s="5" t="str">
        <f ca="1">IFERROR(__xludf.DUMMYFUNCTION("""COMPUTED_VALUE"""),"INSPECCIONES REALIZADAS")</f>
        <v>INSPECCIONES REALIZADAS</v>
      </c>
      <c r="AH504" s="5"/>
    </row>
    <row r="505" spans="1:34">
      <c r="A505" s="5" t="str">
        <f ca="1">IFERROR(__xludf.DUMMYFUNCTION("""COMPUTED_VALUE"""),"LINEA PET CSD - LINEA 10")</f>
        <v>LINEA PET CSD - LINEA 10</v>
      </c>
      <c r="B505" s="5">
        <f ca="1">IFERROR(__xludf.DUMMYFUNCTION("""COMPUTED_VALUE"""),820082)</f>
        <v>820082</v>
      </c>
      <c r="C505" s="5" t="str">
        <f ca="1">IFERROR(__xludf.DUMMYFUNCTION("""COMPUTED_VALUE"""),"ETIQUETADORA ENVOLVENTE")</f>
        <v>ETIQUETADORA ENVOLVENTE</v>
      </c>
      <c r="D505" s="5">
        <f ca="1">IFERROR(__xludf.DUMMYFUNCTION("""COMPUTED_VALUE"""),13247578)</f>
        <v>13247578</v>
      </c>
      <c r="E505" s="5" t="str">
        <f ca="1">IFERROR(__xludf.DUMMYFUNCTION("""COMPUTED_VALUE"""),"INSPECCION SEMANAL Etiquetadora")</f>
        <v>INSPECCION SEMANAL Etiquetadora</v>
      </c>
      <c r="F505" s="5" t="str">
        <f ca="1">IFERROR(__xludf.DUMMYFUNCTION("""COMPUTED_VALUE"""),"INSP RUIDOS EXTRAÑOS")</f>
        <v>INSP RUIDOS EXTRAÑOS</v>
      </c>
      <c r="G505" s="5" t="b">
        <f ca="1">IFERROR(__xludf.DUMMYFUNCTION("""COMPUTED_VALUE"""),TRUE)</f>
        <v>1</v>
      </c>
      <c r="H505" s="5"/>
      <c r="I505" s="5"/>
      <c r="J505" s="5">
        <f ca="1">IFERROR(__xludf.DUMMYFUNCTION("""COMPUTED_VALUE"""),13247578)</f>
        <v>13247578</v>
      </c>
      <c r="K505" s="5"/>
      <c r="L505" s="18">
        <f ca="1">IFERROR(__xludf.DUMMYFUNCTION("""COMPUTED_VALUE"""),45325)</f>
        <v>45325</v>
      </c>
      <c r="M505" s="18">
        <f ca="1">IFERROR(__xludf.DUMMYFUNCTION("""COMPUTED_VALUE"""),45325)</f>
        <v>45325</v>
      </c>
      <c r="N505" s="5" t="str">
        <f ca="1">IFERROR(__xludf.DUMMYFUNCTION("""COMPUTED_VALUE"""),"Gordillo Victoria Luis Miguel")</f>
        <v>Gordillo Victoria Luis Miguel</v>
      </c>
      <c r="O505" s="2">
        <f ca="1">IFERROR(__xludf.DUMMYFUNCTION("""COMPUTED_VALUE"""),0.005)</f>
        <v>5.0000000000000001E-3</v>
      </c>
      <c r="P505" s="5">
        <f ca="1">IFERROR(__xludf.DUMMYFUNCTION("""COMPUTED_VALUE"""),20031425)</f>
        <v>20031425</v>
      </c>
      <c r="Q505" s="5" t="str">
        <f ca="1">IFERROR(__xludf.DUMMYFUNCTION("""COMPUTED_VALUE"""),"3895UfMPcew")</f>
        <v>3895UfMPcew</v>
      </c>
      <c r="R505" s="5">
        <f ca="1">IFERROR(__xludf.DUMMYFUNCTION("""COMPUTED_VALUE"""),410)</f>
        <v>410</v>
      </c>
      <c r="S505" s="62">
        <f ca="1">IFERROR(__xludf.DUMMYFUNCTION("""COMPUTED_VALUE"""),0.005)</f>
        <v>5.0000000000000001E-3</v>
      </c>
      <c r="T505" s="63" t="str">
        <f ca="1">IFERROR(__xludf.DUMMYFUNCTION("""COMPUTED_VALUE"""),"https://storage.googleapis.com/glide-prod.appspot.com/uploads-v2/ly7o78grxPaC6KdgvbpS/pub/3aRdSog0vUtuqPE8AJKD.png")</f>
        <v>https://storage.googleapis.com/glide-prod.appspot.com/uploads-v2/ly7o78grxPaC6KdgvbpS/pub/3aRdSog0vUtuqPE8AJKD.png</v>
      </c>
      <c r="U505" s="5" t="str">
        <f ca="1">IFERROR(__xludf.DUMMYFUNCTION("""COMPUTED_VALUE"""),"LINEA PET CSD - LINEA 10ETIQUETADORA ENVOLVENTE")</f>
        <v>LINEA PET CSD - LINEA 10ETIQUETADORA ENVOLVENTE</v>
      </c>
      <c r="V505" s="5"/>
      <c r="W505" s="5" t="b">
        <f ca="1">IFERROR(__xludf.DUMMYFUNCTION("""COMPUTED_VALUE"""),TRUE)</f>
        <v>1</v>
      </c>
      <c r="X505" s="5" t="str">
        <f ca="1">IFERROR(__xludf.DUMMYFUNCTION("""COMPUTED_VALUE"""),"wmazorra@postobon.com.co,aprmttoyu@postobon.com.co,aprmyu@postobon.com.co,wmora@postobon.com.co,efzapata@postobon.com.co")</f>
        <v>wmazorra@postobon.com.co,aprmttoyu@postobon.com.co,aprmyu@postobon.com.co,wmora@postobon.com.co,efzapata@postobon.com.co</v>
      </c>
      <c r="Y505" s="5" t="str">
        <f ca="1">IFERROR(__xludf.DUMMYFUNCTION("""COMPUTED_VALUE"""),"wmazorra@postobon.com.co")</f>
        <v>wmazorra@postobon.com.co</v>
      </c>
      <c r="Z505" s="5" t="str">
        <f ca="1">IFERROR(__xludf.DUMMYFUNCTION("""COMPUTED_VALUE"""),"gTZ1Qnc0T8OvGF5shbO6Ew")</f>
        <v>gTZ1Qnc0T8OvGF5shbO6Ew</v>
      </c>
      <c r="AA505" s="5"/>
      <c r="AB505" s="5"/>
      <c r="AC505" s="5"/>
      <c r="AD505" s="5">
        <f ca="1">IFERROR(__xludf.DUMMYFUNCTION("""COMPUTED_VALUE"""),20)</f>
        <v>20</v>
      </c>
      <c r="AE505" s="5">
        <f ca="1">IFERROR(__xludf.DUMMYFUNCTION("""COMPUTED_VALUE"""),20)</f>
        <v>20</v>
      </c>
      <c r="AF505" s="5" t="b">
        <f ca="1">IFERROR(__xludf.DUMMYFUNCTION("""COMPUTED_VALUE"""),FALSE)</f>
        <v>0</v>
      </c>
      <c r="AG505" s="5" t="str">
        <f ca="1">IFERROR(__xludf.DUMMYFUNCTION("""COMPUTED_VALUE"""),"INSPECCIONES REALIZADAS")</f>
        <v>INSPECCIONES REALIZADAS</v>
      </c>
      <c r="AH505" s="5"/>
    </row>
    <row r="506" spans="1:34">
      <c r="A506" s="5" t="str">
        <f ca="1">IFERROR(__xludf.DUMMYFUNCTION("""COMPUTED_VALUE"""),"LINEA PET CSD - LINEA 10")</f>
        <v>LINEA PET CSD - LINEA 10</v>
      </c>
      <c r="B506" s="5">
        <f ca="1">IFERROR(__xludf.DUMMYFUNCTION("""COMPUTED_VALUE"""),820082)</f>
        <v>820082</v>
      </c>
      <c r="C506" s="5" t="str">
        <f ca="1">IFERROR(__xludf.DUMMYFUNCTION("""COMPUTED_VALUE"""),"ETIQUETADORA ENVOLVENTE")</f>
        <v>ETIQUETADORA ENVOLVENTE</v>
      </c>
      <c r="D506" s="5">
        <f ca="1">IFERROR(__xludf.DUMMYFUNCTION("""COMPUTED_VALUE"""),13247578)</f>
        <v>13247578</v>
      </c>
      <c r="E506" s="5" t="str">
        <f ca="1">IFERROR(__xludf.DUMMYFUNCTION("""COMPUTED_VALUE"""),"INSPECCION SEMANAL Etiquetadora")</f>
        <v>INSPECCION SEMANAL Etiquetadora</v>
      </c>
      <c r="F506" s="5" t="str">
        <f ca="1">IFERROR(__xludf.DUMMYFUNCTION("""COMPUTED_VALUE"""),"INSP. FILTRO VACIO BOMBAS")</f>
        <v>INSP. FILTRO VACIO BOMBAS</v>
      </c>
      <c r="G506" s="5" t="b">
        <f ca="1">IFERROR(__xludf.DUMMYFUNCTION("""COMPUTED_VALUE"""),TRUE)</f>
        <v>1</v>
      </c>
      <c r="H506" s="5"/>
      <c r="I506" s="5"/>
      <c r="J506" s="5">
        <f ca="1">IFERROR(__xludf.DUMMYFUNCTION("""COMPUTED_VALUE"""),13247578)</f>
        <v>13247578</v>
      </c>
      <c r="K506" s="5"/>
      <c r="L506" s="18">
        <f ca="1">IFERROR(__xludf.DUMMYFUNCTION("""COMPUTED_VALUE"""),45325)</f>
        <v>45325</v>
      </c>
      <c r="M506" s="18">
        <f ca="1">IFERROR(__xludf.DUMMYFUNCTION("""COMPUTED_VALUE"""),45325)</f>
        <v>45325</v>
      </c>
      <c r="N506" s="5" t="str">
        <f ca="1">IFERROR(__xludf.DUMMYFUNCTION("""COMPUTED_VALUE"""),"Gordillo Victoria Luis Miguel")</f>
        <v>Gordillo Victoria Luis Miguel</v>
      </c>
      <c r="O506" s="2">
        <f ca="1">IFERROR(__xludf.DUMMYFUNCTION("""COMPUTED_VALUE"""),0.005)</f>
        <v>5.0000000000000001E-3</v>
      </c>
      <c r="P506" s="5">
        <f ca="1">IFERROR(__xludf.DUMMYFUNCTION("""COMPUTED_VALUE"""),20031425)</f>
        <v>20031425</v>
      </c>
      <c r="Q506" s="5" t="str">
        <f ca="1">IFERROR(__xludf.DUMMYFUNCTION("""COMPUTED_VALUE"""),"KcwlpB-ibaE")</f>
        <v>KcwlpB-ibaE</v>
      </c>
      <c r="R506" s="5">
        <f ca="1">IFERROR(__xludf.DUMMYFUNCTION("""COMPUTED_VALUE"""),410)</f>
        <v>410</v>
      </c>
      <c r="S506" s="62">
        <f ca="1">IFERROR(__xludf.DUMMYFUNCTION("""COMPUTED_VALUE"""),0.005)</f>
        <v>5.0000000000000001E-3</v>
      </c>
      <c r="T506" s="63" t="str">
        <f ca="1">IFERROR(__xludf.DUMMYFUNCTION("""COMPUTED_VALUE"""),"https://storage.googleapis.com/glide-prod.appspot.com/uploads-v2/ly7o78grxPaC6KdgvbpS/pub/3aRdSog0vUtuqPE8AJKD.png")</f>
        <v>https://storage.googleapis.com/glide-prod.appspot.com/uploads-v2/ly7o78grxPaC6KdgvbpS/pub/3aRdSog0vUtuqPE8AJKD.png</v>
      </c>
      <c r="U506" s="5" t="str">
        <f ca="1">IFERROR(__xludf.DUMMYFUNCTION("""COMPUTED_VALUE"""),"LINEA PET CSD - LINEA 10ETIQUETADORA ENVOLVENTE")</f>
        <v>LINEA PET CSD - LINEA 10ETIQUETADORA ENVOLVENTE</v>
      </c>
      <c r="V506" s="5"/>
      <c r="W506" s="5" t="b">
        <f ca="1">IFERROR(__xludf.DUMMYFUNCTION("""COMPUTED_VALUE"""),TRUE)</f>
        <v>1</v>
      </c>
      <c r="X506" s="5" t="str">
        <f ca="1">IFERROR(__xludf.DUMMYFUNCTION("""COMPUTED_VALUE"""),"wmazorra@postobon.com.co,aprmttoyu@postobon.com.co,aprmyu@postobon.com.co,wmora@postobon.com.co,efzapata@postobon.com.co")</f>
        <v>wmazorra@postobon.com.co,aprmttoyu@postobon.com.co,aprmyu@postobon.com.co,wmora@postobon.com.co,efzapata@postobon.com.co</v>
      </c>
      <c r="Y506" s="5" t="str">
        <f ca="1">IFERROR(__xludf.DUMMYFUNCTION("""COMPUTED_VALUE"""),"wmazorra@postobon.com.co")</f>
        <v>wmazorra@postobon.com.co</v>
      </c>
      <c r="Z506" s="5" t="str">
        <f ca="1">IFERROR(__xludf.DUMMYFUNCTION("""COMPUTED_VALUE"""),"dLnWAoJjQwmm1PW133up4A")</f>
        <v>dLnWAoJjQwmm1PW133up4A</v>
      </c>
      <c r="AA506" s="5"/>
      <c r="AB506" s="5"/>
      <c r="AC506" s="5"/>
      <c r="AD506" s="5">
        <f ca="1">IFERROR(__xludf.DUMMYFUNCTION("""COMPUTED_VALUE"""),20)</f>
        <v>20</v>
      </c>
      <c r="AE506" s="5">
        <f ca="1">IFERROR(__xludf.DUMMYFUNCTION("""COMPUTED_VALUE"""),20)</f>
        <v>20</v>
      </c>
      <c r="AF506" s="5" t="b">
        <f ca="1">IFERROR(__xludf.DUMMYFUNCTION("""COMPUTED_VALUE"""),FALSE)</f>
        <v>0</v>
      </c>
      <c r="AG506" s="5" t="str">
        <f ca="1">IFERROR(__xludf.DUMMYFUNCTION("""COMPUTED_VALUE"""),"INSPECCIONES REALIZADAS")</f>
        <v>INSPECCIONES REALIZADAS</v>
      </c>
      <c r="AH506" s="5"/>
    </row>
    <row r="507" spans="1:34">
      <c r="A507" s="5" t="str">
        <f ca="1">IFERROR(__xludf.DUMMYFUNCTION("""COMPUTED_VALUE"""),"LINEA PET CSD - LINEA 10")</f>
        <v>LINEA PET CSD - LINEA 10</v>
      </c>
      <c r="B507" s="5">
        <f ca="1">IFERROR(__xludf.DUMMYFUNCTION("""COMPUTED_VALUE"""),820082)</f>
        <v>820082</v>
      </c>
      <c r="C507" s="5" t="str">
        <f ca="1">IFERROR(__xludf.DUMMYFUNCTION("""COMPUTED_VALUE"""),"ETIQUETADORA ENVOLVENTE")</f>
        <v>ETIQUETADORA ENVOLVENTE</v>
      </c>
      <c r="D507" s="5">
        <f ca="1">IFERROR(__xludf.DUMMYFUNCTION("""COMPUTED_VALUE"""),13247578)</f>
        <v>13247578</v>
      </c>
      <c r="E507" s="5" t="str">
        <f ca="1">IFERROR(__xludf.DUMMYFUNCTION("""COMPUTED_VALUE"""),"INSPECCION SEMANAL Etiquetadora")</f>
        <v>INSPECCION SEMANAL Etiquetadora</v>
      </c>
      <c r="F507" s="5" t="str">
        <f ca="1">IFERROR(__xludf.DUMMYFUNCTION("""COMPUTED_VALUE"""),"INSP PRESION NEUMATICA")</f>
        <v>INSP PRESION NEUMATICA</v>
      </c>
      <c r="G507" s="5" t="b">
        <f ca="1">IFERROR(__xludf.DUMMYFUNCTION("""COMPUTED_VALUE"""),TRUE)</f>
        <v>1</v>
      </c>
      <c r="H507" s="5"/>
      <c r="I507" s="5"/>
      <c r="J507" s="5">
        <f ca="1">IFERROR(__xludf.DUMMYFUNCTION("""COMPUTED_VALUE"""),13247578)</f>
        <v>13247578</v>
      </c>
      <c r="K507" s="5"/>
      <c r="L507" s="18">
        <f ca="1">IFERROR(__xludf.DUMMYFUNCTION("""COMPUTED_VALUE"""),45325)</f>
        <v>45325</v>
      </c>
      <c r="M507" s="18">
        <f ca="1">IFERROR(__xludf.DUMMYFUNCTION("""COMPUTED_VALUE"""),45325)</f>
        <v>45325</v>
      </c>
      <c r="N507" s="5" t="str">
        <f ca="1">IFERROR(__xludf.DUMMYFUNCTION("""COMPUTED_VALUE"""),"Gordillo Victoria Luis Miguel")</f>
        <v>Gordillo Victoria Luis Miguel</v>
      </c>
      <c r="O507" s="2">
        <f ca="1">IFERROR(__xludf.DUMMYFUNCTION("""COMPUTED_VALUE"""),0.005)</f>
        <v>5.0000000000000001E-3</v>
      </c>
      <c r="P507" s="5">
        <f ca="1">IFERROR(__xludf.DUMMYFUNCTION("""COMPUTED_VALUE"""),20031425)</f>
        <v>20031425</v>
      </c>
      <c r="Q507" s="5" t="str">
        <f ca="1">IFERROR(__xludf.DUMMYFUNCTION("""COMPUTED_VALUE"""),"miQ_7d2OMfM")</f>
        <v>miQ_7d2OMfM</v>
      </c>
      <c r="R507" s="5">
        <f ca="1">IFERROR(__xludf.DUMMYFUNCTION("""COMPUTED_VALUE"""),410)</f>
        <v>410</v>
      </c>
      <c r="S507" s="62">
        <f ca="1">IFERROR(__xludf.DUMMYFUNCTION("""COMPUTED_VALUE"""),0.005)</f>
        <v>5.0000000000000001E-3</v>
      </c>
      <c r="T507" s="63" t="str">
        <f ca="1">IFERROR(__xludf.DUMMYFUNCTION("""COMPUTED_VALUE"""),"https://storage.googleapis.com/glide-prod.appspot.com/uploads-v2/ly7o78grxPaC6KdgvbpS/pub/3aRdSog0vUtuqPE8AJKD.png")</f>
        <v>https://storage.googleapis.com/glide-prod.appspot.com/uploads-v2/ly7o78grxPaC6KdgvbpS/pub/3aRdSog0vUtuqPE8AJKD.png</v>
      </c>
      <c r="U507" s="5" t="str">
        <f ca="1">IFERROR(__xludf.DUMMYFUNCTION("""COMPUTED_VALUE"""),"LINEA PET CSD - LINEA 10ETIQUETADORA ENVOLVENTE")</f>
        <v>LINEA PET CSD - LINEA 10ETIQUETADORA ENVOLVENTE</v>
      </c>
      <c r="V507" s="5"/>
      <c r="W507" s="5" t="b">
        <f ca="1">IFERROR(__xludf.DUMMYFUNCTION("""COMPUTED_VALUE"""),TRUE)</f>
        <v>1</v>
      </c>
      <c r="X507" s="5" t="str">
        <f ca="1">IFERROR(__xludf.DUMMYFUNCTION("""COMPUTED_VALUE"""),"wmazorra@postobon.com.co,aprmttoyu@postobon.com.co,aprmyu@postobon.com.co,wmora@postobon.com.co,efzapata@postobon.com.co")</f>
        <v>wmazorra@postobon.com.co,aprmttoyu@postobon.com.co,aprmyu@postobon.com.co,wmora@postobon.com.co,efzapata@postobon.com.co</v>
      </c>
      <c r="Y507" s="5" t="str">
        <f ca="1">IFERROR(__xludf.DUMMYFUNCTION("""COMPUTED_VALUE"""),"wmazorra@postobon.com.co")</f>
        <v>wmazorra@postobon.com.co</v>
      </c>
      <c r="Z507" s="5" t="str">
        <f ca="1">IFERROR(__xludf.DUMMYFUNCTION("""COMPUTED_VALUE"""),"8bUlj8glRJWvgLbs7sCQyg")</f>
        <v>8bUlj8glRJWvgLbs7sCQyg</v>
      </c>
      <c r="AA507" s="5"/>
      <c r="AB507" s="5"/>
      <c r="AC507" s="5"/>
      <c r="AD507" s="5">
        <f ca="1">IFERROR(__xludf.DUMMYFUNCTION("""COMPUTED_VALUE"""),20)</f>
        <v>20</v>
      </c>
      <c r="AE507" s="5">
        <f ca="1">IFERROR(__xludf.DUMMYFUNCTION("""COMPUTED_VALUE"""),20)</f>
        <v>20</v>
      </c>
      <c r="AF507" s="5" t="b">
        <f ca="1">IFERROR(__xludf.DUMMYFUNCTION("""COMPUTED_VALUE"""),FALSE)</f>
        <v>0</v>
      </c>
      <c r="AG507" s="5" t="str">
        <f ca="1">IFERROR(__xludf.DUMMYFUNCTION("""COMPUTED_VALUE"""),"INSPECCIONES REALIZADAS")</f>
        <v>INSPECCIONES REALIZADAS</v>
      </c>
      <c r="AH507" s="5"/>
    </row>
    <row r="508" spans="1:34">
      <c r="A508" s="5" t="str">
        <f ca="1">IFERROR(__xludf.DUMMYFUNCTION("""COMPUTED_VALUE"""),"LINEA PET CSD - LINEA 10")</f>
        <v>LINEA PET CSD - LINEA 10</v>
      </c>
      <c r="B508" s="5">
        <f ca="1">IFERROR(__xludf.DUMMYFUNCTION("""COMPUTED_VALUE"""),820082)</f>
        <v>820082</v>
      </c>
      <c r="C508" s="5" t="str">
        <f ca="1">IFERROR(__xludf.DUMMYFUNCTION("""COMPUTED_VALUE"""),"ETIQUETADORA ENVOLVENTE")</f>
        <v>ETIQUETADORA ENVOLVENTE</v>
      </c>
      <c r="D508" s="5">
        <f ca="1">IFERROR(__xludf.DUMMYFUNCTION("""COMPUTED_VALUE"""),13247578)</f>
        <v>13247578</v>
      </c>
      <c r="E508" s="5" t="str">
        <f ca="1">IFERROR(__xludf.DUMMYFUNCTION("""COMPUTED_VALUE"""),"INSPECCION SEMANAL Etiquetadora")</f>
        <v>INSPECCION SEMANAL Etiquetadora</v>
      </c>
      <c r="F508" s="5" t="str">
        <f ca="1">IFERROR(__xludf.DUMMYFUNCTION("""COMPUTED_VALUE"""),"ESTADO GUIAS ENTRADA-SALIDA")</f>
        <v>ESTADO GUIAS ENTRADA-SALIDA</v>
      </c>
      <c r="G508" s="5" t="b">
        <f ca="1">IFERROR(__xludf.DUMMYFUNCTION("""COMPUTED_VALUE"""),TRUE)</f>
        <v>1</v>
      </c>
      <c r="H508" s="5" t="str">
        <f ca="1">IFERROR(__xludf.DUMMYFUNCTION("""COMPUTED_VALUE"""),"Mariposas en mal estado estrella guía entrada a carrusel ")</f>
        <v xml:space="preserve">Mariposas en mal estado estrella guía entrada a carrusel </v>
      </c>
      <c r="I508" s="5"/>
      <c r="J508" s="5">
        <f ca="1">IFERROR(__xludf.DUMMYFUNCTION("""COMPUTED_VALUE"""),13247578)</f>
        <v>13247578</v>
      </c>
      <c r="K508" s="5"/>
      <c r="L508" s="18">
        <f ca="1">IFERROR(__xludf.DUMMYFUNCTION("""COMPUTED_VALUE"""),45325)</f>
        <v>45325</v>
      </c>
      <c r="M508" s="18">
        <f ca="1">IFERROR(__xludf.DUMMYFUNCTION("""COMPUTED_VALUE"""),45325)</f>
        <v>45325</v>
      </c>
      <c r="N508" s="5" t="str">
        <f ca="1">IFERROR(__xludf.DUMMYFUNCTION("""COMPUTED_VALUE"""),"Gordillo Victoria Luis Miguel")</f>
        <v>Gordillo Victoria Luis Miguel</v>
      </c>
      <c r="O508" s="2">
        <f ca="1">IFERROR(__xludf.DUMMYFUNCTION("""COMPUTED_VALUE"""),0.005)</f>
        <v>5.0000000000000001E-3</v>
      </c>
      <c r="P508" s="5">
        <f ca="1">IFERROR(__xludf.DUMMYFUNCTION("""COMPUTED_VALUE"""),20031425)</f>
        <v>20031425</v>
      </c>
      <c r="Q508" s="5" t="str">
        <f ca="1">IFERROR(__xludf.DUMMYFUNCTION("""COMPUTED_VALUE"""),"mBGhRvCGh2g")</f>
        <v>mBGhRvCGh2g</v>
      </c>
      <c r="R508" s="5">
        <f ca="1">IFERROR(__xludf.DUMMYFUNCTION("""COMPUTED_VALUE"""),410)</f>
        <v>410</v>
      </c>
      <c r="S508" s="62">
        <f ca="1">IFERROR(__xludf.DUMMYFUNCTION("""COMPUTED_VALUE"""),0.005)</f>
        <v>5.0000000000000001E-3</v>
      </c>
      <c r="T508" s="63" t="str">
        <f ca="1">IFERROR(__xludf.DUMMYFUNCTION("""COMPUTED_VALUE"""),"https://storage.googleapis.com/glide-prod.appspot.com/uploads-v2/ly7o78grxPaC6KdgvbpS/pub/3aRdSog0vUtuqPE8AJKD.png")</f>
        <v>https://storage.googleapis.com/glide-prod.appspot.com/uploads-v2/ly7o78grxPaC6KdgvbpS/pub/3aRdSog0vUtuqPE8AJKD.png</v>
      </c>
      <c r="U508" s="5" t="str">
        <f ca="1">IFERROR(__xludf.DUMMYFUNCTION("""COMPUTED_VALUE"""),"LINEA PET CSD - LINEA 10ETIQUETADORA ENVOLVENTE")</f>
        <v>LINEA PET CSD - LINEA 10ETIQUETADORA ENVOLVENTE</v>
      </c>
      <c r="V508" s="5"/>
      <c r="W508" s="5" t="b">
        <f ca="1">IFERROR(__xludf.DUMMYFUNCTION("""COMPUTED_VALUE"""),TRUE)</f>
        <v>1</v>
      </c>
      <c r="X508" s="5" t="str">
        <f ca="1">IFERROR(__xludf.DUMMYFUNCTION("""COMPUTED_VALUE"""),"wmazorra@postobon.com.co,aprmttoyu@postobon.com.co,aprmyu@postobon.com.co,wmora@postobon.com.co,efzapata@postobon.com.co")</f>
        <v>wmazorra@postobon.com.co,aprmttoyu@postobon.com.co,aprmyu@postobon.com.co,wmora@postobon.com.co,efzapata@postobon.com.co</v>
      </c>
      <c r="Y508" s="5" t="str">
        <f ca="1">IFERROR(__xludf.DUMMYFUNCTION("""COMPUTED_VALUE"""),"wmazorra@postobon.com.co")</f>
        <v>wmazorra@postobon.com.co</v>
      </c>
      <c r="Z508" s="5" t="str">
        <f ca="1">IFERROR(__xludf.DUMMYFUNCTION("""COMPUTED_VALUE"""),"a-h8gVL4cSj6CpJht5O1J9Q")</f>
        <v>a-h8gVL4cSj6CpJht5O1J9Q</v>
      </c>
      <c r="AA508" s="5"/>
      <c r="AB508" s="5"/>
      <c r="AC508" s="5"/>
      <c r="AD508" s="5">
        <f ca="1">IFERROR(__xludf.DUMMYFUNCTION("""COMPUTED_VALUE"""),20)</f>
        <v>20</v>
      </c>
      <c r="AE508" s="5">
        <f ca="1">IFERROR(__xludf.DUMMYFUNCTION("""COMPUTED_VALUE"""),20)</f>
        <v>20</v>
      </c>
      <c r="AF508" s="5" t="b">
        <f ca="1">IFERROR(__xludf.DUMMYFUNCTION("""COMPUTED_VALUE"""),FALSE)</f>
        <v>0</v>
      </c>
      <c r="AG508" s="5" t="str">
        <f ca="1">IFERROR(__xludf.DUMMYFUNCTION("""COMPUTED_VALUE"""),"INSPECCIONES REALIZADAS")</f>
        <v>INSPECCIONES REALIZADAS</v>
      </c>
      <c r="AH508" s="5"/>
    </row>
    <row r="509" spans="1:34">
      <c r="A509" s="5" t="str">
        <f ca="1">IFERROR(__xludf.DUMMYFUNCTION("""COMPUTED_VALUE"""),"LINEA PET CSD - LINEA 10")</f>
        <v>LINEA PET CSD - LINEA 10</v>
      </c>
      <c r="B509" s="5">
        <f ca="1">IFERROR(__xludf.DUMMYFUNCTION("""COMPUTED_VALUE"""),820082)</f>
        <v>820082</v>
      </c>
      <c r="C509" s="5" t="str">
        <f ca="1">IFERROR(__xludf.DUMMYFUNCTION("""COMPUTED_VALUE"""),"ETIQUETADORA ENVOLVENTE")</f>
        <v>ETIQUETADORA ENVOLVENTE</v>
      </c>
      <c r="D509" s="5">
        <f ca="1">IFERROR(__xludf.DUMMYFUNCTION("""COMPUTED_VALUE"""),13247578)</f>
        <v>13247578</v>
      </c>
      <c r="E509" s="5" t="str">
        <f ca="1">IFERROR(__xludf.DUMMYFUNCTION("""COMPUTED_VALUE"""),"INSPECCION SEMANAL Etiquetadora")</f>
        <v>INSPECCION SEMANAL Etiquetadora</v>
      </c>
      <c r="F509" s="5" t="str">
        <f ca="1">IFERROR(__xludf.DUMMYFUNCTION("""COMPUTED_VALUE"""),"INSP TABLERO ELECTRICO/CLIMATIZADOR")</f>
        <v>INSP TABLERO ELECTRICO/CLIMATIZADOR</v>
      </c>
      <c r="G509" s="5" t="b">
        <f ca="1">IFERROR(__xludf.DUMMYFUNCTION("""COMPUTED_VALUE"""),TRUE)</f>
        <v>1</v>
      </c>
      <c r="H509" s="5"/>
      <c r="I509" s="5"/>
      <c r="J509" s="5">
        <f ca="1">IFERROR(__xludf.DUMMYFUNCTION("""COMPUTED_VALUE"""),13247578)</f>
        <v>13247578</v>
      </c>
      <c r="K509" s="5"/>
      <c r="L509" s="18">
        <f ca="1">IFERROR(__xludf.DUMMYFUNCTION("""COMPUTED_VALUE"""),45325)</f>
        <v>45325</v>
      </c>
      <c r="M509" s="18">
        <f ca="1">IFERROR(__xludf.DUMMYFUNCTION("""COMPUTED_VALUE"""),45325)</f>
        <v>45325</v>
      </c>
      <c r="N509" s="5" t="str">
        <f ca="1">IFERROR(__xludf.DUMMYFUNCTION("""COMPUTED_VALUE"""),"Gordillo Victoria Luis Miguel")</f>
        <v>Gordillo Victoria Luis Miguel</v>
      </c>
      <c r="O509" s="2">
        <f ca="1">IFERROR(__xludf.DUMMYFUNCTION("""COMPUTED_VALUE"""),0.005)</f>
        <v>5.0000000000000001E-3</v>
      </c>
      <c r="P509" s="5">
        <f ca="1">IFERROR(__xludf.DUMMYFUNCTION("""COMPUTED_VALUE"""),20031425)</f>
        <v>20031425</v>
      </c>
      <c r="Q509" s="5" t="str">
        <f ca="1">IFERROR(__xludf.DUMMYFUNCTION("""COMPUTED_VALUE"""),"PeqEsz3LvFc")</f>
        <v>PeqEsz3LvFc</v>
      </c>
      <c r="R509" s="5">
        <f ca="1">IFERROR(__xludf.DUMMYFUNCTION("""COMPUTED_VALUE"""),410)</f>
        <v>410</v>
      </c>
      <c r="S509" s="62">
        <f ca="1">IFERROR(__xludf.DUMMYFUNCTION("""COMPUTED_VALUE"""),0.005)</f>
        <v>5.0000000000000001E-3</v>
      </c>
      <c r="T509" s="63" t="str">
        <f ca="1">IFERROR(__xludf.DUMMYFUNCTION("""COMPUTED_VALUE"""),"https://storage.googleapis.com/glide-prod.appspot.com/uploads-v2/ly7o78grxPaC6KdgvbpS/pub/3aRdSog0vUtuqPE8AJKD.png")</f>
        <v>https://storage.googleapis.com/glide-prod.appspot.com/uploads-v2/ly7o78grxPaC6KdgvbpS/pub/3aRdSog0vUtuqPE8AJKD.png</v>
      </c>
      <c r="U509" s="5" t="str">
        <f ca="1">IFERROR(__xludf.DUMMYFUNCTION("""COMPUTED_VALUE"""),"LINEA PET CSD - LINEA 10ETIQUETADORA ENVOLVENTE")</f>
        <v>LINEA PET CSD - LINEA 10ETIQUETADORA ENVOLVENTE</v>
      </c>
      <c r="V509" s="5"/>
      <c r="W509" s="5" t="b">
        <f ca="1">IFERROR(__xludf.DUMMYFUNCTION("""COMPUTED_VALUE"""),TRUE)</f>
        <v>1</v>
      </c>
      <c r="X509" s="5" t="str">
        <f ca="1">IFERROR(__xludf.DUMMYFUNCTION("""COMPUTED_VALUE"""),"wmazorra@postobon.com.co,aprmttoyu@postobon.com.co,aprmyu@postobon.com.co,wmora@postobon.com.co,efzapata@postobon.com.co")</f>
        <v>wmazorra@postobon.com.co,aprmttoyu@postobon.com.co,aprmyu@postobon.com.co,wmora@postobon.com.co,efzapata@postobon.com.co</v>
      </c>
      <c r="Y509" s="5" t="str">
        <f ca="1">IFERROR(__xludf.DUMMYFUNCTION("""COMPUTED_VALUE"""),"wmazorra@postobon.com.co")</f>
        <v>wmazorra@postobon.com.co</v>
      </c>
      <c r="Z509" s="5" t="str">
        <f ca="1">IFERROR(__xludf.DUMMYFUNCTION("""COMPUTED_VALUE"""),"ukmB22lgTSaoliXh0CCyOQ")</f>
        <v>ukmB22lgTSaoliXh0CCyOQ</v>
      </c>
      <c r="AA509" s="5"/>
      <c r="AB509" s="5"/>
      <c r="AC509" s="5"/>
      <c r="AD509" s="5">
        <f ca="1">IFERROR(__xludf.DUMMYFUNCTION("""COMPUTED_VALUE"""),20)</f>
        <v>20</v>
      </c>
      <c r="AE509" s="5">
        <f ca="1">IFERROR(__xludf.DUMMYFUNCTION("""COMPUTED_VALUE"""),20)</f>
        <v>20</v>
      </c>
      <c r="AF509" s="5" t="b">
        <f ca="1">IFERROR(__xludf.DUMMYFUNCTION("""COMPUTED_VALUE"""),FALSE)</f>
        <v>0</v>
      </c>
      <c r="AG509" s="5" t="str">
        <f ca="1">IFERROR(__xludf.DUMMYFUNCTION("""COMPUTED_VALUE"""),"INSPECCIONES REALIZADAS")</f>
        <v>INSPECCIONES REALIZADAS</v>
      </c>
      <c r="AH509" s="5"/>
    </row>
    <row r="510" spans="1:34">
      <c r="A510" s="5" t="str">
        <f ca="1">IFERROR(__xludf.DUMMYFUNCTION("""COMPUTED_VALUE"""),"LINEA PET CSD - LINEA 10")</f>
        <v>LINEA PET CSD - LINEA 10</v>
      </c>
      <c r="B510" s="5">
        <f ca="1">IFERROR(__xludf.DUMMYFUNCTION("""COMPUTED_VALUE"""),820082)</f>
        <v>820082</v>
      </c>
      <c r="C510" s="5" t="str">
        <f ca="1">IFERROR(__xludf.DUMMYFUNCTION("""COMPUTED_VALUE"""),"ETIQUETADORA ENVOLVENTE")</f>
        <v>ETIQUETADORA ENVOLVENTE</v>
      </c>
      <c r="D510" s="5">
        <f ca="1">IFERROR(__xludf.DUMMYFUNCTION("""COMPUTED_VALUE"""),13247578)</f>
        <v>13247578</v>
      </c>
      <c r="E510" s="5" t="str">
        <f ca="1">IFERROR(__xludf.DUMMYFUNCTION("""COMPUTED_VALUE"""),"INSPECCION SEMANAL Etiquetadora")</f>
        <v>INSPECCION SEMANAL Etiquetadora</v>
      </c>
      <c r="F510" s="5" t="str">
        <f ca="1">IFERROR(__xludf.DUMMYFUNCTION("""COMPUTED_VALUE"""),"NUMERO DE CORTES MENSUALES (AGR 1 Y2)")</f>
        <v>NUMERO DE CORTES MENSUALES (AGR 1 Y2)</v>
      </c>
      <c r="G510" s="5" t="b">
        <f ca="1">IFERROR(__xludf.DUMMYFUNCTION("""COMPUTED_VALUE"""),TRUE)</f>
        <v>1</v>
      </c>
      <c r="H510" s="5" t="str">
        <f ca="1">IFERROR(__xludf.DUMMYFUNCTION("""COMPUTED_VALUE"""),"Cuchilla del agregado 1 despicada         ")</f>
        <v xml:space="preserve">Cuchilla del agregado 1 despicada         </v>
      </c>
      <c r="I510" s="5"/>
      <c r="J510" s="5">
        <f ca="1">IFERROR(__xludf.DUMMYFUNCTION("""COMPUTED_VALUE"""),13247578)</f>
        <v>13247578</v>
      </c>
      <c r="K510" s="5"/>
      <c r="L510" s="18">
        <f ca="1">IFERROR(__xludf.DUMMYFUNCTION("""COMPUTED_VALUE"""),45325)</f>
        <v>45325</v>
      </c>
      <c r="M510" s="18">
        <f ca="1">IFERROR(__xludf.DUMMYFUNCTION("""COMPUTED_VALUE"""),45325)</f>
        <v>45325</v>
      </c>
      <c r="N510" s="5" t="str">
        <f ca="1">IFERROR(__xludf.DUMMYFUNCTION("""COMPUTED_VALUE"""),"Gordillo Victoria Luis Miguel")</f>
        <v>Gordillo Victoria Luis Miguel</v>
      </c>
      <c r="O510" s="2">
        <f ca="1">IFERROR(__xludf.DUMMYFUNCTION("""COMPUTED_VALUE"""),0.005)</f>
        <v>5.0000000000000001E-3</v>
      </c>
      <c r="P510" s="5">
        <f ca="1">IFERROR(__xludf.DUMMYFUNCTION("""COMPUTED_VALUE"""),20031425)</f>
        <v>20031425</v>
      </c>
      <c r="Q510" s="5" t="str">
        <f ca="1">IFERROR(__xludf.DUMMYFUNCTION("""COMPUTED_VALUE"""),"kr4BbJ7xHsY")</f>
        <v>kr4BbJ7xHsY</v>
      </c>
      <c r="R510" s="5">
        <f ca="1">IFERROR(__xludf.DUMMYFUNCTION("""COMPUTED_VALUE"""),410)</f>
        <v>410</v>
      </c>
      <c r="S510" s="62">
        <f ca="1">IFERROR(__xludf.DUMMYFUNCTION("""COMPUTED_VALUE"""),0.005)</f>
        <v>5.0000000000000001E-3</v>
      </c>
      <c r="T510" s="63" t="str">
        <f ca="1">IFERROR(__xludf.DUMMYFUNCTION("""COMPUTED_VALUE"""),"https://storage.googleapis.com/glide-prod.appspot.com/uploads-v2/ly7o78grxPaC6KdgvbpS/pub/3aRdSog0vUtuqPE8AJKD.png")</f>
        <v>https://storage.googleapis.com/glide-prod.appspot.com/uploads-v2/ly7o78grxPaC6KdgvbpS/pub/3aRdSog0vUtuqPE8AJKD.png</v>
      </c>
      <c r="U510" s="5" t="str">
        <f ca="1">IFERROR(__xludf.DUMMYFUNCTION("""COMPUTED_VALUE"""),"LINEA PET CSD - LINEA 10ETIQUETADORA ENVOLVENTE")</f>
        <v>LINEA PET CSD - LINEA 10ETIQUETADORA ENVOLVENTE</v>
      </c>
      <c r="V510" s="5"/>
      <c r="W510" s="5" t="b">
        <f ca="1">IFERROR(__xludf.DUMMYFUNCTION("""COMPUTED_VALUE"""),TRUE)</f>
        <v>1</v>
      </c>
      <c r="X510" s="5" t="str">
        <f ca="1">IFERROR(__xludf.DUMMYFUNCTION("""COMPUTED_VALUE"""),"wmazorra@postobon.com.co,aprmttoyu@postobon.com.co,aprmyu@postobon.com.co,wmora@postobon.com.co,efzapata@postobon.com.co")</f>
        <v>wmazorra@postobon.com.co,aprmttoyu@postobon.com.co,aprmyu@postobon.com.co,wmora@postobon.com.co,efzapata@postobon.com.co</v>
      </c>
      <c r="Y510" s="5" t="str">
        <f ca="1">IFERROR(__xludf.DUMMYFUNCTION("""COMPUTED_VALUE"""),"wmazorra@postobon.com.co")</f>
        <v>wmazorra@postobon.com.co</v>
      </c>
      <c r="Z510" s="5" t="str">
        <f ca="1">IFERROR(__xludf.DUMMYFUNCTION("""COMPUTED_VALUE"""),"a-gnrKJ5QQ7K1ZwwymUMAag")</f>
        <v>a-gnrKJ5QQ7K1ZwwymUMAag</v>
      </c>
      <c r="AA510" s="5"/>
      <c r="AB510" s="5"/>
      <c r="AC510" s="5"/>
      <c r="AD510" s="5">
        <f ca="1">IFERROR(__xludf.DUMMYFUNCTION("""COMPUTED_VALUE"""),20)</f>
        <v>20</v>
      </c>
      <c r="AE510" s="5">
        <f ca="1">IFERROR(__xludf.DUMMYFUNCTION("""COMPUTED_VALUE"""),20)</f>
        <v>20</v>
      </c>
      <c r="AF510" s="5" t="b">
        <f ca="1">IFERROR(__xludf.DUMMYFUNCTION("""COMPUTED_VALUE"""),FALSE)</f>
        <v>0</v>
      </c>
      <c r="AG510" s="5" t="str">
        <f ca="1">IFERROR(__xludf.DUMMYFUNCTION("""COMPUTED_VALUE"""),"INSPECCIONES REALIZADAS")</f>
        <v>INSPECCIONES REALIZADAS</v>
      </c>
      <c r="AH510" s="5"/>
    </row>
    <row r="511" spans="1:34">
      <c r="A511" s="5" t="str">
        <f ca="1">IFERROR(__xludf.DUMMYFUNCTION("""COMPUTED_VALUE"""),"LINEA DE ENVASADO JUGOS PET HOT FILL")</f>
        <v>LINEA DE ENVASADO JUGOS PET HOT FILL</v>
      </c>
      <c r="B511" s="5">
        <f ca="1">IFERROR(__xludf.DUMMYFUNCTION("""COMPUTED_VALUE"""),900305)</f>
        <v>900305</v>
      </c>
      <c r="C511" s="5" t="str">
        <f ca="1">IFERROR(__xludf.DUMMYFUNCTION("""COMPUTED_VALUE"""),"ETIQUETADORA")</f>
        <v>ETIQUETADORA</v>
      </c>
      <c r="D511" s="5">
        <f ca="1">IFERROR(__xludf.DUMMYFUNCTION("""COMPUTED_VALUE"""),13247758)</f>
        <v>13247758</v>
      </c>
      <c r="E511" s="5" t="str">
        <f ca="1">IFERROR(__xludf.DUMMYFUNCTION("""COMPUTED_VALUE"""),"INSPECCION SEMANAL Etiquetadora")</f>
        <v>INSPECCION SEMANAL Etiquetadora</v>
      </c>
      <c r="F511" s="5" t="str">
        <f ca="1">IFERROR(__xludf.DUMMYFUNCTION("""COMPUTED_VALUE"""),"INSP. CONJUNTO DE CORTE")</f>
        <v>INSP. CONJUNTO DE CORTE</v>
      </c>
      <c r="G511" s="5" t="b">
        <f ca="1">IFERROR(__xludf.DUMMYFUNCTION("""COMPUTED_VALUE"""),TRUE)</f>
        <v>1</v>
      </c>
      <c r="H511" s="5"/>
      <c r="I511" s="5"/>
      <c r="J511" s="5">
        <f ca="1">IFERROR(__xludf.DUMMYFUNCTION("""COMPUTED_VALUE"""),13247758)</f>
        <v>13247758</v>
      </c>
      <c r="K511" s="5"/>
      <c r="L511" s="18">
        <f ca="1">IFERROR(__xludf.DUMMYFUNCTION("""COMPUTED_VALUE"""),45324)</f>
        <v>45324</v>
      </c>
      <c r="M511" s="18">
        <f ca="1">IFERROR(__xludf.DUMMYFUNCTION("""COMPUTED_VALUE"""),45324)</f>
        <v>45324</v>
      </c>
      <c r="N511" s="5" t="str">
        <f ca="1">IFERROR(__xludf.DUMMYFUNCTION("""COMPUTED_VALUE"""),"Bedoya Marin Johan Andres")</f>
        <v>Bedoya Marin Johan Andres</v>
      </c>
      <c r="O511" s="2">
        <f ca="1">IFERROR(__xludf.DUMMYFUNCTION("""COMPUTED_VALUE"""),0.05)</f>
        <v>0.05</v>
      </c>
      <c r="P511" s="5">
        <f ca="1">IFERROR(__xludf.DUMMYFUNCTION("""COMPUTED_VALUE"""),20019988)</f>
        <v>20019988</v>
      </c>
      <c r="Q511" s="5" t="str">
        <f ca="1">IFERROR(__xludf.DUMMYFUNCTION("""COMPUTED_VALUE"""),"Oxev8bqqVfs")</f>
        <v>Oxev8bqqVfs</v>
      </c>
      <c r="R511" s="5">
        <f ca="1">IFERROR(__xludf.DUMMYFUNCTION("""COMPUTED_VALUE"""),410)</f>
        <v>410</v>
      </c>
      <c r="S511" s="62">
        <f ca="1">IFERROR(__xludf.DUMMYFUNCTION("""COMPUTED_VALUE"""),0.05)</f>
        <v>0.05</v>
      </c>
      <c r="T511" s="63" t="str">
        <f ca="1">IFERROR(__xludf.DUMMYFUNCTION("""COMPUTED_VALUE"""),"https://storage.googleapis.com/glide-prod.appspot.com/uploads-v2/ly7o78grxPaC6KdgvbpS/pub/3aRdSog0vUtuqPE8AJKD.png")</f>
        <v>https://storage.googleapis.com/glide-prod.appspot.com/uploads-v2/ly7o78grxPaC6KdgvbpS/pub/3aRdSog0vUtuqPE8AJKD.png</v>
      </c>
      <c r="U511" s="5" t="str">
        <f ca="1">IFERROR(__xludf.DUMMYFUNCTION("""COMPUTED_VALUE"""),"LINEA DE ENVASADO JUGOS PET HOT FILLETIQUETADORA")</f>
        <v>LINEA DE ENVASADO JUGOS PET HOT FILLETIQUETADORA</v>
      </c>
      <c r="V511" s="5"/>
      <c r="W511" s="5" t="b">
        <f ca="1">IFERROR(__xludf.DUMMYFUNCTION("""COMPUTED_VALUE"""),TRUE)</f>
        <v>1</v>
      </c>
      <c r="X511" s="5" t="str">
        <f ca="1">IFERROR(__xludf.DUMMYFUNCTION("""COMPUTED_VALUE"""),"achavezi@postobon.com.co,aprmttoyu@postobon.com.co,aprmyu@postobon.com.co,wmora@postobon.com.co,efzapata@postobon.com.co")</f>
        <v>achavezi@postobon.com.co,aprmttoyu@postobon.com.co,aprmyu@postobon.com.co,wmora@postobon.com.co,efzapata@postobon.com.co</v>
      </c>
      <c r="Y511" s="5" t="str">
        <f ca="1">IFERROR(__xludf.DUMMYFUNCTION("""COMPUTED_VALUE"""),"achavezi@postobon.com.co")</f>
        <v>achavezi@postobon.com.co</v>
      </c>
      <c r="Z511" s="5" t="str">
        <f ca="1">IFERROR(__xludf.DUMMYFUNCTION("""COMPUTED_VALUE"""),"PjeLfU.5SSCHFCYamy0LnQ")</f>
        <v>PjeLfU.5SSCHFCYamy0LnQ</v>
      </c>
      <c r="AA511" s="5"/>
      <c r="AB511" s="5"/>
      <c r="AC511" s="5"/>
      <c r="AD511" s="5">
        <f ca="1">IFERROR(__xludf.DUMMYFUNCTION("""COMPUTED_VALUE"""),30)</f>
        <v>30</v>
      </c>
      <c r="AE511" s="5">
        <f ca="1">IFERROR(__xludf.DUMMYFUNCTION("""COMPUTED_VALUE"""),30)</f>
        <v>30</v>
      </c>
      <c r="AF511" s="5" t="b">
        <f ca="1">IFERROR(__xludf.DUMMYFUNCTION("""COMPUTED_VALUE"""),FALSE)</f>
        <v>0</v>
      </c>
      <c r="AG511" s="5" t="str">
        <f ca="1">IFERROR(__xludf.DUMMYFUNCTION("""COMPUTED_VALUE"""),"INSPECCIONES REALIZADAS")</f>
        <v>INSPECCIONES REALIZADAS</v>
      </c>
      <c r="AH511" s="5"/>
    </row>
    <row r="512" spans="1:34">
      <c r="A512" s="5" t="str">
        <f ca="1">IFERROR(__xludf.DUMMYFUNCTION("""COMPUTED_VALUE"""),"LINEA DE ENVASADO JUGOS PET HOT FILL")</f>
        <v>LINEA DE ENVASADO JUGOS PET HOT FILL</v>
      </c>
      <c r="B512" s="5">
        <f ca="1">IFERROR(__xludf.DUMMYFUNCTION("""COMPUTED_VALUE"""),900305)</f>
        <v>900305</v>
      </c>
      <c r="C512" s="5" t="str">
        <f ca="1">IFERROR(__xludf.DUMMYFUNCTION("""COMPUTED_VALUE"""),"ETIQUETADORA")</f>
        <v>ETIQUETADORA</v>
      </c>
      <c r="D512" s="5">
        <f ca="1">IFERROR(__xludf.DUMMYFUNCTION("""COMPUTED_VALUE"""),13247758)</f>
        <v>13247758</v>
      </c>
      <c r="E512" s="5" t="str">
        <f ca="1">IFERROR(__xludf.DUMMYFUNCTION("""COMPUTED_VALUE"""),"INSPECCION SEMANAL Etiquetadora")</f>
        <v>INSPECCION SEMANAL Etiquetadora</v>
      </c>
      <c r="F512" s="5" t="str">
        <f ca="1">IFERROR(__xludf.DUMMYFUNCTION("""COMPUTED_VALUE"""),"FUNC. SIST. NEUMATICO(UNIDAD MTTO AIRE)")</f>
        <v>FUNC. SIST. NEUMATICO(UNIDAD MTTO AIRE)</v>
      </c>
      <c r="G512" s="5" t="b">
        <f ca="1">IFERROR(__xludf.DUMMYFUNCTION("""COMPUTED_VALUE"""),TRUE)</f>
        <v>1</v>
      </c>
      <c r="H512" s="5"/>
      <c r="I512" s="5"/>
      <c r="J512" s="5">
        <f ca="1">IFERROR(__xludf.DUMMYFUNCTION("""COMPUTED_VALUE"""),13247758)</f>
        <v>13247758</v>
      </c>
      <c r="K512" s="5"/>
      <c r="L512" s="18">
        <f ca="1">IFERROR(__xludf.DUMMYFUNCTION("""COMPUTED_VALUE"""),45324)</f>
        <v>45324</v>
      </c>
      <c r="M512" s="18">
        <f ca="1">IFERROR(__xludf.DUMMYFUNCTION("""COMPUTED_VALUE"""),45324)</f>
        <v>45324</v>
      </c>
      <c r="N512" s="5" t="str">
        <f ca="1">IFERROR(__xludf.DUMMYFUNCTION("""COMPUTED_VALUE"""),"Bedoya Marin Johan Andres")</f>
        <v>Bedoya Marin Johan Andres</v>
      </c>
      <c r="O512" s="2">
        <f ca="1">IFERROR(__xludf.DUMMYFUNCTION("""COMPUTED_VALUE"""),0.05)</f>
        <v>0.05</v>
      </c>
      <c r="P512" s="5">
        <f ca="1">IFERROR(__xludf.DUMMYFUNCTION("""COMPUTED_VALUE"""),20019988)</f>
        <v>20019988</v>
      </c>
      <c r="Q512" s="5" t="str">
        <f ca="1">IFERROR(__xludf.DUMMYFUNCTION("""COMPUTED_VALUE"""),"wsIZb1QDWss")</f>
        <v>wsIZb1QDWss</v>
      </c>
      <c r="R512" s="5">
        <f ca="1">IFERROR(__xludf.DUMMYFUNCTION("""COMPUTED_VALUE"""),410)</f>
        <v>410</v>
      </c>
      <c r="S512" s="62">
        <f ca="1">IFERROR(__xludf.DUMMYFUNCTION("""COMPUTED_VALUE"""),0.05)</f>
        <v>0.05</v>
      </c>
      <c r="T512" s="63" t="str">
        <f ca="1">IFERROR(__xludf.DUMMYFUNCTION("""COMPUTED_VALUE"""),"https://storage.googleapis.com/glide-prod.appspot.com/uploads-v2/ly7o78grxPaC6KdgvbpS/pub/3aRdSog0vUtuqPE8AJKD.png")</f>
        <v>https://storage.googleapis.com/glide-prod.appspot.com/uploads-v2/ly7o78grxPaC6KdgvbpS/pub/3aRdSog0vUtuqPE8AJKD.png</v>
      </c>
      <c r="U512" s="5" t="str">
        <f ca="1">IFERROR(__xludf.DUMMYFUNCTION("""COMPUTED_VALUE"""),"LINEA DE ENVASADO JUGOS PET HOT FILLETIQUETADORA")</f>
        <v>LINEA DE ENVASADO JUGOS PET HOT FILLETIQUETADORA</v>
      </c>
      <c r="V512" s="5"/>
      <c r="W512" s="5" t="b">
        <f ca="1">IFERROR(__xludf.DUMMYFUNCTION("""COMPUTED_VALUE"""),TRUE)</f>
        <v>1</v>
      </c>
      <c r="X512" s="5" t="str">
        <f ca="1">IFERROR(__xludf.DUMMYFUNCTION("""COMPUTED_VALUE"""),"achavezi@postobon.com.co,aprmttoyu@postobon.com.co,aprmyu@postobon.com.co,wmora@postobon.com.co,efzapata@postobon.com.co")</f>
        <v>achavezi@postobon.com.co,aprmttoyu@postobon.com.co,aprmyu@postobon.com.co,wmora@postobon.com.co,efzapata@postobon.com.co</v>
      </c>
      <c r="Y512" s="5" t="str">
        <f ca="1">IFERROR(__xludf.DUMMYFUNCTION("""COMPUTED_VALUE"""),"achavezi@postobon.com.co")</f>
        <v>achavezi@postobon.com.co</v>
      </c>
      <c r="Z512" s="5" t="str">
        <f ca="1">IFERROR(__xludf.DUMMYFUNCTION("""COMPUTED_VALUE"""),"c8EA0xgKR4qDlgdnlixNDw")</f>
        <v>c8EA0xgKR4qDlgdnlixNDw</v>
      </c>
      <c r="AA512" s="5"/>
      <c r="AB512" s="5"/>
      <c r="AC512" s="5"/>
      <c r="AD512" s="5">
        <f ca="1">IFERROR(__xludf.DUMMYFUNCTION("""COMPUTED_VALUE"""),30)</f>
        <v>30</v>
      </c>
      <c r="AE512" s="5">
        <f ca="1">IFERROR(__xludf.DUMMYFUNCTION("""COMPUTED_VALUE"""),30)</f>
        <v>30</v>
      </c>
      <c r="AF512" s="5" t="b">
        <f ca="1">IFERROR(__xludf.DUMMYFUNCTION("""COMPUTED_VALUE"""),FALSE)</f>
        <v>0</v>
      </c>
      <c r="AG512" s="5" t="str">
        <f ca="1">IFERROR(__xludf.DUMMYFUNCTION("""COMPUTED_VALUE"""),"INSPECCIONES REALIZADAS")</f>
        <v>INSPECCIONES REALIZADAS</v>
      </c>
      <c r="AH512" s="5"/>
    </row>
    <row r="513" spans="1:34">
      <c r="A513" s="5" t="str">
        <f ca="1">IFERROR(__xludf.DUMMYFUNCTION("""COMPUTED_VALUE"""),"LINEA DE ENVASADO JUGOS PET HOT FILL")</f>
        <v>LINEA DE ENVASADO JUGOS PET HOT FILL</v>
      </c>
      <c r="B513" s="5">
        <f ca="1">IFERROR(__xludf.DUMMYFUNCTION("""COMPUTED_VALUE"""),900305)</f>
        <v>900305</v>
      </c>
      <c r="C513" s="5" t="str">
        <f ca="1">IFERROR(__xludf.DUMMYFUNCTION("""COMPUTED_VALUE"""),"ETIQUETADORA")</f>
        <v>ETIQUETADORA</v>
      </c>
      <c r="D513" s="5">
        <f ca="1">IFERROR(__xludf.DUMMYFUNCTION("""COMPUTED_VALUE"""),13247758)</f>
        <v>13247758</v>
      </c>
      <c r="E513" s="5" t="str">
        <f ca="1">IFERROR(__xludf.DUMMYFUNCTION("""COMPUTED_VALUE"""),"INSPECCION SEMANAL Etiquetadora")</f>
        <v>INSPECCION SEMANAL Etiquetadora</v>
      </c>
      <c r="F513" s="5" t="str">
        <f ca="1">IFERROR(__xludf.DUMMYFUNCTION("""COMPUTED_VALUE"""),"FUNC. BARRERAS DE LUZ Y REFLECTOR")</f>
        <v>FUNC. BARRERAS DE LUZ Y REFLECTOR</v>
      </c>
      <c r="G513" s="5" t="b">
        <f ca="1">IFERROR(__xludf.DUMMYFUNCTION("""COMPUTED_VALUE"""),TRUE)</f>
        <v>1</v>
      </c>
      <c r="H513" s="5"/>
      <c r="I513" s="5"/>
      <c r="J513" s="5">
        <f ca="1">IFERROR(__xludf.DUMMYFUNCTION("""COMPUTED_VALUE"""),13247758)</f>
        <v>13247758</v>
      </c>
      <c r="K513" s="5"/>
      <c r="L513" s="18">
        <f ca="1">IFERROR(__xludf.DUMMYFUNCTION("""COMPUTED_VALUE"""),45324)</f>
        <v>45324</v>
      </c>
      <c r="M513" s="18">
        <f ca="1">IFERROR(__xludf.DUMMYFUNCTION("""COMPUTED_VALUE"""),45324)</f>
        <v>45324</v>
      </c>
      <c r="N513" s="5" t="str">
        <f ca="1">IFERROR(__xludf.DUMMYFUNCTION("""COMPUTED_VALUE"""),"Bedoya Marin Johan Andres")</f>
        <v>Bedoya Marin Johan Andres</v>
      </c>
      <c r="O513" s="2">
        <f ca="1">IFERROR(__xludf.DUMMYFUNCTION("""COMPUTED_VALUE"""),0.05)</f>
        <v>0.05</v>
      </c>
      <c r="P513" s="5">
        <f ca="1">IFERROR(__xludf.DUMMYFUNCTION("""COMPUTED_VALUE"""),20019988)</f>
        <v>20019988</v>
      </c>
      <c r="Q513" s="5" t="str">
        <f ca="1">IFERROR(__xludf.DUMMYFUNCTION("""COMPUTED_VALUE"""),"kooMWQlwXf8")</f>
        <v>kooMWQlwXf8</v>
      </c>
      <c r="R513" s="5">
        <f ca="1">IFERROR(__xludf.DUMMYFUNCTION("""COMPUTED_VALUE"""),410)</f>
        <v>410</v>
      </c>
      <c r="S513" s="62">
        <f ca="1">IFERROR(__xludf.DUMMYFUNCTION("""COMPUTED_VALUE"""),0.05)</f>
        <v>0.05</v>
      </c>
      <c r="T513" s="63" t="str">
        <f ca="1">IFERROR(__xludf.DUMMYFUNCTION("""COMPUTED_VALUE"""),"https://storage.googleapis.com/glide-prod.appspot.com/uploads-v2/ly7o78grxPaC6KdgvbpS/pub/3aRdSog0vUtuqPE8AJKD.png")</f>
        <v>https://storage.googleapis.com/glide-prod.appspot.com/uploads-v2/ly7o78grxPaC6KdgvbpS/pub/3aRdSog0vUtuqPE8AJKD.png</v>
      </c>
      <c r="U513" s="5" t="str">
        <f ca="1">IFERROR(__xludf.DUMMYFUNCTION("""COMPUTED_VALUE"""),"LINEA DE ENVASADO JUGOS PET HOT FILLETIQUETADORA")</f>
        <v>LINEA DE ENVASADO JUGOS PET HOT FILLETIQUETADORA</v>
      </c>
      <c r="V513" s="5"/>
      <c r="W513" s="5" t="b">
        <f ca="1">IFERROR(__xludf.DUMMYFUNCTION("""COMPUTED_VALUE"""),TRUE)</f>
        <v>1</v>
      </c>
      <c r="X513" s="5" t="str">
        <f ca="1">IFERROR(__xludf.DUMMYFUNCTION("""COMPUTED_VALUE"""),"achavezi@postobon.com.co,aprmttoyu@postobon.com.co,aprmyu@postobon.com.co,wmora@postobon.com.co,efzapata@postobon.com.co")</f>
        <v>achavezi@postobon.com.co,aprmttoyu@postobon.com.co,aprmyu@postobon.com.co,wmora@postobon.com.co,efzapata@postobon.com.co</v>
      </c>
      <c r="Y513" s="5" t="str">
        <f ca="1">IFERROR(__xludf.DUMMYFUNCTION("""COMPUTED_VALUE"""),"achavezi@postobon.com.co")</f>
        <v>achavezi@postobon.com.co</v>
      </c>
      <c r="Z513" s="5" t="str">
        <f ca="1">IFERROR(__xludf.DUMMYFUNCTION("""COMPUTED_VALUE"""),"fhTKQUpAT.mzE3EskpJHVg")</f>
        <v>fhTKQUpAT.mzE3EskpJHVg</v>
      </c>
      <c r="AA513" s="5"/>
      <c r="AB513" s="5"/>
      <c r="AC513" s="5"/>
      <c r="AD513" s="5">
        <f ca="1">IFERROR(__xludf.DUMMYFUNCTION("""COMPUTED_VALUE"""),30)</f>
        <v>30</v>
      </c>
      <c r="AE513" s="5">
        <f ca="1">IFERROR(__xludf.DUMMYFUNCTION("""COMPUTED_VALUE"""),30)</f>
        <v>30</v>
      </c>
      <c r="AF513" s="5" t="b">
        <f ca="1">IFERROR(__xludf.DUMMYFUNCTION("""COMPUTED_VALUE"""),FALSE)</f>
        <v>0</v>
      </c>
      <c r="AG513" s="5" t="str">
        <f ca="1">IFERROR(__xludf.DUMMYFUNCTION("""COMPUTED_VALUE"""),"INSPECCIONES REALIZADAS")</f>
        <v>INSPECCIONES REALIZADAS</v>
      </c>
      <c r="AH513" s="5"/>
    </row>
    <row r="514" spans="1:34">
      <c r="A514" s="5" t="str">
        <f ca="1">IFERROR(__xludf.DUMMYFUNCTION("""COMPUTED_VALUE"""),"LINEA DE ENVASADO JUGOS PET HOT FILL")</f>
        <v>LINEA DE ENVASADO JUGOS PET HOT FILL</v>
      </c>
      <c r="B514" s="5">
        <f ca="1">IFERROR(__xludf.DUMMYFUNCTION("""COMPUTED_VALUE"""),900305)</f>
        <v>900305</v>
      </c>
      <c r="C514" s="5" t="str">
        <f ca="1">IFERROR(__xludf.DUMMYFUNCTION("""COMPUTED_VALUE"""),"ETIQUETADORA")</f>
        <v>ETIQUETADORA</v>
      </c>
      <c r="D514" s="5">
        <f ca="1">IFERROR(__xludf.DUMMYFUNCTION("""COMPUTED_VALUE"""),13247758)</f>
        <v>13247758</v>
      </c>
      <c r="E514" s="5" t="str">
        <f ca="1">IFERROR(__xludf.DUMMYFUNCTION("""COMPUTED_VALUE"""),"INSPECCION SEMANAL Etiquetadora")</f>
        <v>INSPECCION SEMANAL Etiquetadora</v>
      </c>
      <c r="F514" s="5" t="str">
        <f ca="1">IFERROR(__xludf.DUMMYFUNCTION("""COMPUTED_VALUE"""),"FUNC. DE TULIPAS")</f>
        <v>FUNC. DE TULIPAS</v>
      </c>
      <c r="G514" s="5" t="b">
        <f ca="1">IFERROR(__xludf.DUMMYFUNCTION("""COMPUTED_VALUE"""),TRUE)</f>
        <v>1</v>
      </c>
      <c r="H514" s="5"/>
      <c r="I514" s="5"/>
      <c r="J514" s="5">
        <f ca="1">IFERROR(__xludf.DUMMYFUNCTION("""COMPUTED_VALUE"""),13247758)</f>
        <v>13247758</v>
      </c>
      <c r="K514" s="5"/>
      <c r="L514" s="18">
        <f ca="1">IFERROR(__xludf.DUMMYFUNCTION("""COMPUTED_VALUE"""),45324)</f>
        <v>45324</v>
      </c>
      <c r="M514" s="18">
        <f ca="1">IFERROR(__xludf.DUMMYFUNCTION("""COMPUTED_VALUE"""),45324)</f>
        <v>45324</v>
      </c>
      <c r="N514" s="5" t="str">
        <f ca="1">IFERROR(__xludf.DUMMYFUNCTION("""COMPUTED_VALUE"""),"Bedoya Marin Johan Andres")</f>
        <v>Bedoya Marin Johan Andres</v>
      </c>
      <c r="O514" s="2">
        <f ca="1">IFERROR(__xludf.DUMMYFUNCTION("""COMPUTED_VALUE"""),0.05)</f>
        <v>0.05</v>
      </c>
      <c r="P514" s="5">
        <f ca="1">IFERROR(__xludf.DUMMYFUNCTION("""COMPUTED_VALUE"""),20019988)</f>
        <v>20019988</v>
      </c>
      <c r="Q514" s="5" t="str">
        <f ca="1">IFERROR(__xludf.DUMMYFUNCTION("""COMPUTED_VALUE"""),"e8OTFlO7rnA")</f>
        <v>e8OTFlO7rnA</v>
      </c>
      <c r="R514" s="5">
        <f ca="1">IFERROR(__xludf.DUMMYFUNCTION("""COMPUTED_VALUE"""),410)</f>
        <v>410</v>
      </c>
      <c r="S514" s="62">
        <f ca="1">IFERROR(__xludf.DUMMYFUNCTION("""COMPUTED_VALUE"""),0.05)</f>
        <v>0.05</v>
      </c>
      <c r="T514" s="63" t="str">
        <f ca="1">IFERROR(__xludf.DUMMYFUNCTION("""COMPUTED_VALUE"""),"https://storage.googleapis.com/glide-prod.appspot.com/uploads-v2/ly7o78grxPaC6KdgvbpS/pub/3aRdSog0vUtuqPE8AJKD.png")</f>
        <v>https://storage.googleapis.com/glide-prod.appspot.com/uploads-v2/ly7o78grxPaC6KdgvbpS/pub/3aRdSog0vUtuqPE8AJKD.png</v>
      </c>
      <c r="U514" s="5" t="str">
        <f ca="1">IFERROR(__xludf.DUMMYFUNCTION("""COMPUTED_VALUE"""),"LINEA DE ENVASADO JUGOS PET HOT FILLETIQUETADORA")</f>
        <v>LINEA DE ENVASADO JUGOS PET HOT FILLETIQUETADORA</v>
      </c>
      <c r="V514" s="5"/>
      <c r="W514" s="5" t="b">
        <f ca="1">IFERROR(__xludf.DUMMYFUNCTION("""COMPUTED_VALUE"""),TRUE)</f>
        <v>1</v>
      </c>
      <c r="X514" s="5" t="str">
        <f ca="1">IFERROR(__xludf.DUMMYFUNCTION("""COMPUTED_VALUE"""),"achavezi@postobon.com.co,aprmttoyu@postobon.com.co,aprmyu@postobon.com.co,wmora@postobon.com.co,efzapata@postobon.com.co")</f>
        <v>achavezi@postobon.com.co,aprmttoyu@postobon.com.co,aprmyu@postobon.com.co,wmora@postobon.com.co,efzapata@postobon.com.co</v>
      </c>
      <c r="Y514" s="5" t="str">
        <f ca="1">IFERROR(__xludf.DUMMYFUNCTION("""COMPUTED_VALUE"""),"achavezi@postobon.com.co")</f>
        <v>achavezi@postobon.com.co</v>
      </c>
      <c r="Z514" s="5" t="str">
        <f ca="1">IFERROR(__xludf.DUMMYFUNCTION("""COMPUTED_VALUE"""),"ZJtBx2i1SlC..V0e4R.1SA")</f>
        <v>ZJtBx2i1SlC..V0e4R.1SA</v>
      </c>
      <c r="AA514" s="5"/>
      <c r="AB514" s="5"/>
      <c r="AC514" s="5"/>
      <c r="AD514" s="5">
        <f ca="1">IFERROR(__xludf.DUMMYFUNCTION("""COMPUTED_VALUE"""),30)</f>
        <v>30</v>
      </c>
      <c r="AE514" s="5">
        <f ca="1">IFERROR(__xludf.DUMMYFUNCTION("""COMPUTED_VALUE"""),30)</f>
        <v>30</v>
      </c>
      <c r="AF514" s="5" t="b">
        <f ca="1">IFERROR(__xludf.DUMMYFUNCTION("""COMPUTED_VALUE"""),FALSE)</f>
        <v>0</v>
      </c>
      <c r="AG514" s="5" t="str">
        <f ca="1">IFERROR(__xludf.DUMMYFUNCTION("""COMPUTED_VALUE"""),"INSPECCIONES REALIZADAS")</f>
        <v>INSPECCIONES REALIZADAS</v>
      </c>
      <c r="AH514" s="5"/>
    </row>
    <row r="515" spans="1:34">
      <c r="A515" s="5" t="str">
        <f ca="1">IFERROR(__xludf.DUMMYFUNCTION("""COMPUTED_VALUE"""),"LINEA DE ENVASADO JUGOS PET HOT FILL")</f>
        <v>LINEA DE ENVASADO JUGOS PET HOT FILL</v>
      </c>
      <c r="B515" s="5">
        <f ca="1">IFERROR(__xludf.DUMMYFUNCTION("""COMPUTED_VALUE"""),900305)</f>
        <v>900305</v>
      </c>
      <c r="C515" s="5" t="str">
        <f ca="1">IFERROR(__xludf.DUMMYFUNCTION("""COMPUTED_VALUE"""),"ETIQUETADORA")</f>
        <v>ETIQUETADORA</v>
      </c>
      <c r="D515" s="5">
        <f ca="1">IFERROR(__xludf.DUMMYFUNCTION("""COMPUTED_VALUE"""),13247758)</f>
        <v>13247758</v>
      </c>
      <c r="E515" s="5" t="str">
        <f ca="1">IFERROR(__xludf.DUMMYFUNCTION("""COMPUTED_VALUE"""),"INSPECCION SEMANAL Etiquetadora")</f>
        <v>INSPECCION SEMANAL Etiquetadora</v>
      </c>
      <c r="F515" s="5" t="str">
        <f ca="1">IFERROR(__xludf.DUMMYFUNCTION("""COMPUTED_VALUE"""),"ESTADO PUERTAS")</f>
        <v>ESTADO PUERTAS</v>
      </c>
      <c r="G515" s="5" t="b">
        <f ca="1">IFERROR(__xludf.DUMMYFUNCTION("""COMPUTED_VALUE"""),TRUE)</f>
        <v>1</v>
      </c>
      <c r="H515" s="5"/>
      <c r="I515" s="5"/>
      <c r="J515" s="5">
        <f ca="1">IFERROR(__xludf.DUMMYFUNCTION("""COMPUTED_VALUE"""),13247758)</f>
        <v>13247758</v>
      </c>
      <c r="K515" s="5"/>
      <c r="L515" s="18">
        <f ca="1">IFERROR(__xludf.DUMMYFUNCTION("""COMPUTED_VALUE"""),45324)</f>
        <v>45324</v>
      </c>
      <c r="M515" s="18">
        <f ca="1">IFERROR(__xludf.DUMMYFUNCTION("""COMPUTED_VALUE"""),45324)</f>
        <v>45324</v>
      </c>
      <c r="N515" s="5" t="str">
        <f ca="1">IFERROR(__xludf.DUMMYFUNCTION("""COMPUTED_VALUE"""),"Bedoya Marin Johan Andres")</f>
        <v>Bedoya Marin Johan Andres</v>
      </c>
      <c r="O515" s="2">
        <f ca="1">IFERROR(__xludf.DUMMYFUNCTION("""COMPUTED_VALUE"""),0.05)</f>
        <v>0.05</v>
      </c>
      <c r="P515" s="5">
        <f ca="1">IFERROR(__xludf.DUMMYFUNCTION("""COMPUTED_VALUE"""),20019988)</f>
        <v>20019988</v>
      </c>
      <c r="Q515" s="5" t="str">
        <f ca="1">IFERROR(__xludf.DUMMYFUNCTION("""COMPUTED_VALUE"""),"G1XCPNlabhE")</f>
        <v>G1XCPNlabhE</v>
      </c>
      <c r="R515" s="5">
        <f ca="1">IFERROR(__xludf.DUMMYFUNCTION("""COMPUTED_VALUE"""),410)</f>
        <v>410</v>
      </c>
      <c r="S515" s="62">
        <f ca="1">IFERROR(__xludf.DUMMYFUNCTION("""COMPUTED_VALUE"""),0.05)</f>
        <v>0.05</v>
      </c>
      <c r="T515" s="63" t="str">
        <f ca="1">IFERROR(__xludf.DUMMYFUNCTION("""COMPUTED_VALUE"""),"https://storage.googleapis.com/glide-prod.appspot.com/uploads-v2/ly7o78grxPaC6KdgvbpS/pub/3aRdSog0vUtuqPE8AJKD.png")</f>
        <v>https://storage.googleapis.com/glide-prod.appspot.com/uploads-v2/ly7o78grxPaC6KdgvbpS/pub/3aRdSog0vUtuqPE8AJKD.png</v>
      </c>
      <c r="U515" s="5" t="str">
        <f ca="1">IFERROR(__xludf.DUMMYFUNCTION("""COMPUTED_VALUE"""),"LINEA DE ENVASADO JUGOS PET HOT FILLETIQUETADORA")</f>
        <v>LINEA DE ENVASADO JUGOS PET HOT FILLETIQUETADORA</v>
      </c>
      <c r="V515" s="5"/>
      <c r="W515" s="5" t="b">
        <f ca="1">IFERROR(__xludf.DUMMYFUNCTION("""COMPUTED_VALUE"""),TRUE)</f>
        <v>1</v>
      </c>
      <c r="X515" s="5" t="str">
        <f ca="1">IFERROR(__xludf.DUMMYFUNCTION("""COMPUTED_VALUE"""),"achavezi@postobon.com.co,aprmttoyu@postobon.com.co,aprmyu@postobon.com.co,wmora@postobon.com.co,efzapata@postobon.com.co")</f>
        <v>achavezi@postobon.com.co,aprmttoyu@postobon.com.co,aprmyu@postobon.com.co,wmora@postobon.com.co,efzapata@postobon.com.co</v>
      </c>
      <c r="Y515" s="5" t="str">
        <f ca="1">IFERROR(__xludf.DUMMYFUNCTION("""COMPUTED_VALUE"""),"achavezi@postobon.com.co")</f>
        <v>achavezi@postobon.com.co</v>
      </c>
      <c r="Z515" s="5" t="str">
        <f ca="1">IFERROR(__xludf.DUMMYFUNCTION("""COMPUTED_VALUE"""),"pgERkmUgTCGLHsR4O.U55Q")</f>
        <v>pgERkmUgTCGLHsR4O.U55Q</v>
      </c>
      <c r="AA515" s="5"/>
      <c r="AB515" s="5"/>
      <c r="AC515" s="5"/>
      <c r="AD515" s="5">
        <f ca="1">IFERROR(__xludf.DUMMYFUNCTION("""COMPUTED_VALUE"""),30)</f>
        <v>30</v>
      </c>
      <c r="AE515" s="5">
        <f ca="1">IFERROR(__xludf.DUMMYFUNCTION("""COMPUTED_VALUE"""),30)</f>
        <v>30</v>
      </c>
      <c r="AF515" s="5" t="b">
        <f ca="1">IFERROR(__xludf.DUMMYFUNCTION("""COMPUTED_VALUE"""),FALSE)</f>
        <v>0</v>
      </c>
      <c r="AG515" s="5" t="str">
        <f ca="1">IFERROR(__xludf.DUMMYFUNCTION("""COMPUTED_VALUE"""),"INSPECCIONES REALIZADAS")</f>
        <v>INSPECCIONES REALIZADAS</v>
      </c>
      <c r="AH515" s="5"/>
    </row>
    <row r="516" spans="1:34">
      <c r="A516" s="5" t="str">
        <f ca="1">IFERROR(__xludf.DUMMYFUNCTION("""COMPUTED_VALUE"""),"LINEA DE ENVASADO JUGOS PET HOT FILL")</f>
        <v>LINEA DE ENVASADO JUGOS PET HOT FILL</v>
      </c>
      <c r="B516" s="5">
        <f ca="1">IFERROR(__xludf.DUMMYFUNCTION("""COMPUTED_VALUE"""),900305)</f>
        <v>900305</v>
      </c>
      <c r="C516" s="5" t="str">
        <f ca="1">IFERROR(__xludf.DUMMYFUNCTION("""COMPUTED_VALUE"""),"ETIQUETADORA")</f>
        <v>ETIQUETADORA</v>
      </c>
      <c r="D516" s="5">
        <f ca="1">IFERROR(__xludf.DUMMYFUNCTION("""COMPUTED_VALUE"""),13247758)</f>
        <v>13247758</v>
      </c>
      <c r="E516" s="5" t="str">
        <f ca="1">IFERROR(__xludf.DUMMYFUNCTION("""COMPUTED_VALUE"""),"INSPECCION SEMANAL Etiquetadora")</f>
        <v>INSPECCION SEMANAL Etiquetadora</v>
      </c>
      <c r="F516" s="5" t="str">
        <f ca="1">IFERROR(__xludf.DUMMYFUNCTION("""COMPUTED_VALUE"""),"FUNC. CILINDRO DE TRANSFERENCIA")</f>
        <v>FUNC. CILINDRO DE TRANSFERENCIA</v>
      </c>
      <c r="G516" s="5" t="b">
        <f ca="1">IFERROR(__xludf.DUMMYFUNCTION("""COMPUTED_VALUE"""),TRUE)</f>
        <v>1</v>
      </c>
      <c r="H516" s="5"/>
      <c r="I516" s="5"/>
      <c r="J516" s="5">
        <f ca="1">IFERROR(__xludf.DUMMYFUNCTION("""COMPUTED_VALUE"""),13247758)</f>
        <v>13247758</v>
      </c>
      <c r="K516" s="5"/>
      <c r="L516" s="18">
        <f ca="1">IFERROR(__xludf.DUMMYFUNCTION("""COMPUTED_VALUE"""),45324)</f>
        <v>45324</v>
      </c>
      <c r="M516" s="18">
        <f ca="1">IFERROR(__xludf.DUMMYFUNCTION("""COMPUTED_VALUE"""),45324)</f>
        <v>45324</v>
      </c>
      <c r="N516" s="5" t="str">
        <f ca="1">IFERROR(__xludf.DUMMYFUNCTION("""COMPUTED_VALUE"""),"Bedoya Marin Johan Andres")</f>
        <v>Bedoya Marin Johan Andres</v>
      </c>
      <c r="O516" s="2">
        <f ca="1">IFERROR(__xludf.DUMMYFUNCTION("""COMPUTED_VALUE"""),0.05)</f>
        <v>0.05</v>
      </c>
      <c r="P516" s="5">
        <f ca="1">IFERROR(__xludf.DUMMYFUNCTION("""COMPUTED_VALUE"""),20019988)</f>
        <v>20019988</v>
      </c>
      <c r="Q516" s="5" t="str">
        <f ca="1">IFERROR(__xludf.DUMMYFUNCTION("""COMPUTED_VALUE"""),"Nm9U1l9heY8")</f>
        <v>Nm9U1l9heY8</v>
      </c>
      <c r="R516" s="5">
        <f ca="1">IFERROR(__xludf.DUMMYFUNCTION("""COMPUTED_VALUE"""),410)</f>
        <v>410</v>
      </c>
      <c r="S516" s="62">
        <f ca="1">IFERROR(__xludf.DUMMYFUNCTION("""COMPUTED_VALUE"""),0.05)</f>
        <v>0.05</v>
      </c>
      <c r="T516" s="63" t="str">
        <f ca="1">IFERROR(__xludf.DUMMYFUNCTION("""COMPUTED_VALUE"""),"https://storage.googleapis.com/glide-prod.appspot.com/uploads-v2/ly7o78grxPaC6KdgvbpS/pub/3aRdSog0vUtuqPE8AJKD.png")</f>
        <v>https://storage.googleapis.com/glide-prod.appspot.com/uploads-v2/ly7o78grxPaC6KdgvbpS/pub/3aRdSog0vUtuqPE8AJKD.png</v>
      </c>
      <c r="U516" s="5" t="str">
        <f ca="1">IFERROR(__xludf.DUMMYFUNCTION("""COMPUTED_VALUE"""),"LINEA DE ENVASADO JUGOS PET HOT FILLETIQUETADORA")</f>
        <v>LINEA DE ENVASADO JUGOS PET HOT FILLETIQUETADORA</v>
      </c>
      <c r="V516" s="5"/>
      <c r="W516" s="5" t="b">
        <f ca="1">IFERROR(__xludf.DUMMYFUNCTION("""COMPUTED_VALUE"""),TRUE)</f>
        <v>1</v>
      </c>
      <c r="X516" s="5" t="str">
        <f ca="1">IFERROR(__xludf.DUMMYFUNCTION("""COMPUTED_VALUE"""),"achavezi@postobon.com.co,aprmttoyu@postobon.com.co,aprmyu@postobon.com.co,wmora@postobon.com.co,efzapata@postobon.com.co")</f>
        <v>achavezi@postobon.com.co,aprmttoyu@postobon.com.co,aprmyu@postobon.com.co,wmora@postobon.com.co,efzapata@postobon.com.co</v>
      </c>
      <c r="Y516" s="5" t="str">
        <f ca="1">IFERROR(__xludf.DUMMYFUNCTION("""COMPUTED_VALUE"""),"achavezi@postobon.com.co")</f>
        <v>achavezi@postobon.com.co</v>
      </c>
      <c r="Z516" s="5" t="str">
        <f ca="1">IFERROR(__xludf.DUMMYFUNCTION("""COMPUTED_VALUE"""),"KE-N2pftT8m.KYeJ-aXLrg")</f>
        <v>KE-N2pftT8m.KYeJ-aXLrg</v>
      </c>
      <c r="AA516" s="5"/>
      <c r="AB516" s="5"/>
      <c r="AC516" s="5"/>
      <c r="AD516" s="5">
        <f ca="1">IFERROR(__xludf.DUMMYFUNCTION("""COMPUTED_VALUE"""),30)</f>
        <v>30</v>
      </c>
      <c r="AE516" s="5">
        <f ca="1">IFERROR(__xludf.DUMMYFUNCTION("""COMPUTED_VALUE"""),30)</f>
        <v>30</v>
      </c>
      <c r="AF516" s="5" t="b">
        <f ca="1">IFERROR(__xludf.DUMMYFUNCTION("""COMPUTED_VALUE"""),FALSE)</f>
        <v>0</v>
      </c>
      <c r="AG516" s="5" t="str">
        <f ca="1">IFERROR(__xludf.DUMMYFUNCTION("""COMPUTED_VALUE"""),"INSPECCIONES REALIZADAS")</f>
        <v>INSPECCIONES REALIZADAS</v>
      </c>
      <c r="AH516" s="5"/>
    </row>
    <row r="517" spans="1:34">
      <c r="A517" s="5" t="str">
        <f ca="1">IFERROR(__xludf.DUMMYFUNCTION("""COMPUTED_VALUE"""),"LINEA DE ENVASADO JUGOS PET HOT FILL")</f>
        <v>LINEA DE ENVASADO JUGOS PET HOT FILL</v>
      </c>
      <c r="B517" s="5">
        <f ca="1">IFERROR(__xludf.DUMMYFUNCTION("""COMPUTED_VALUE"""),900305)</f>
        <v>900305</v>
      </c>
      <c r="C517" s="5" t="str">
        <f ca="1">IFERROR(__xludf.DUMMYFUNCTION("""COMPUTED_VALUE"""),"ETIQUETADORA")</f>
        <v>ETIQUETADORA</v>
      </c>
      <c r="D517" s="5">
        <f ca="1">IFERROR(__xludf.DUMMYFUNCTION("""COMPUTED_VALUE"""),13247758)</f>
        <v>13247758</v>
      </c>
      <c r="E517" s="5" t="str">
        <f ca="1">IFERROR(__xludf.DUMMYFUNCTION("""COMPUTED_VALUE"""),"INSPECCION SEMANAL Etiquetadora")</f>
        <v>INSPECCION SEMANAL Etiquetadora</v>
      </c>
      <c r="F517" s="5" t="str">
        <f ca="1">IFERROR(__xludf.DUMMYFUNCTION("""COMPUTED_VALUE"""),"FUNC. SISTEMA DE ALISADO")</f>
        <v>FUNC. SISTEMA DE ALISADO</v>
      </c>
      <c r="G517" s="5" t="b">
        <f ca="1">IFERROR(__xludf.DUMMYFUNCTION("""COMPUTED_VALUE"""),TRUE)</f>
        <v>1</v>
      </c>
      <c r="H517" s="5"/>
      <c r="I517" s="5"/>
      <c r="J517" s="5">
        <f ca="1">IFERROR(__xludf.DUMMYFUNCTION("""COMPUTED_VALUE"""),13247758)</f>
        <v>13247758</v>
      </c>
      <c r="K517" s="5"/>
      <c r="L517" s="18">
        <f ca="1">IFERROR(__xludf.DUMMYFUNCTION("""COMPUTED_VALUE"""),45324)</f>
        <v>45324</v>
      </c>
      <c r="M517" s="18">
        <f ca="1">IFERROR(__xludf.DUMMYFUNCTION("""COMPUTED_VALUE"""),45324)</f>
        <v>45324</v>
      </c>
      <c r="N517" s="5" t="str">
        <f ca="1">IFERROR(__xludf.DUMMYFUNCTION("""COMPUTED_VALUE"""),"Bedoya Marin Johan Andres")</f>
        <v>Bedoya Marin Johan Andres</v>
      </c>
      <c r="O517" s="2">
        <f ca="1">IFERROR(__xludf.DUMMYFUNCTION("""COMPUTED_VALUE"""),0.05)</f>
        <v>0.05</v>
      </c>
      <c r="P517" s="5">
        <f ca="1">IFERROR(__xludf.DUMMYFUNCTION("""COMPUTED_VALUE"""),20019988)</f>
        <v>20019988</v>
      </c>
      <c r="Q517" s="5" t="str">
        <f ca="1">IFERROR(__xludf.DUMMYFUNCTION("""COMPUTED_VALUE"""),"3f5OzzQCKJ0")</f>
        <v>3f5OzzQCKJ0</v>
      </c>
      <c r="R517" s="5">
        <f ca="1">IFERROR(__xludf.DUMMYFUNCTION("""COMPUTED_VALUE"""),410)</f>
        <v>410</v>
      </c>
      <c r="S517" s="62">
        <f ca="1">IFERROR(__xludf.DUMMYFUNCTION("""COMPUTED_VALUE"""),0.05)</f>
        <v>0.05</v>
      </c>
      <c r="T517" s="63" t="str">
        <f ca="1">IFERROR(__xludf.DUMMYFUNCTION("""COMPUTED_VALUE"""),"https://storage.googleapis.com/glide-prod.appspot.com/uploads-v2/ly7o78grxPaC6KdgvbpS/pub/3aRdSog0vUtuqPE8AJKD.png")</f>
        <v>https://storage.googleapis.com/glide-prod.appspot.com/uploads-v2/ly7o78grxPaC6KdgvbpS/pub/3aRdSog0vUtuqPE8AJKD.png</v>
      </c>
      <c r="U517" s="5" t="str">
        <f ca="1">IFERROR(__xludf.DUMMYFUNCTION("""COMPUTED_VALUE"""),"LINEA DE ENVASADO JUGOS PET HOT FILLETIQUETADORA")</f>
        <v>LINEA DE ENVASADO JUGOS PET HOT FILLETIQUETADORA</v>
      </c>
      <c r="V517" s="5"/>
      <c r="W517" s="5" t="b">
        <f ca="1">IFERROR(__xludf.DUMMYFUNCTION("""COMPUTED_VALUE"""),TRUE)</f>
        <v>1</v>
      </c>
      <c r="X517" s="5" t="str">
        <f ca="1">IFERROR(__xludf.DUMMYFUNCTION("""COMPUTED_VALUE"""),"achavezi@postobon.com.co,aprmttoyu@postobon.com.co,aprmyu@postobon.com.co,wmora@postobon.com.co,efzapata@postobon.com.co")</f>
        <v>achavezi@postobon.com.co,aprmttoyu@postobon.com.co,aprmyu@postobon.com.co,wmora@postobon.com.co,efzapata@postobon.com.co</v>
      </c>
      <c r="Y517" s="5" t="str">
        <f ca="1">IFERROR(__xludf.DUMMYFUNCTION("""COMPUTED_VALUE"""),"achavezi@postobon.com.co")</f>
        <v>achavezi@postobon.com.co</v>
      </c>
      <c r="Z517" s="5" t="str">
        <f ca="1">IFERROR(__xludf.DUMMYFUNCTION("""COMPUTED_VALUE"""),"7cOzisKbTUS8WpM.0NkTOw")</f>
        <v>7cOzisKbTUS8WpM.0NkTOw</v>
      </c>
      <c r="AA517" s="5"/>
      <c r="AB517" s="5"/>
      <c r="AC517" s="5"/>
      <c r="AD517" s="5">
        <f ca="1">IFERROR(__xludf.DUMMYFUNCTION("""COMPUTED_VALUE"""),30)</f>
        <v>30</v>
      </c>
      <c r="AE517" s="5">
        <f ca="1">IFERROR(__xludf.DUMMYFUNCTION("""COMPUTED_VALUE"""),30)</f>
        <v>30</v>
      </c>
      <c r="AF517" s="5" t="b">
        <f ca="1">IFERROR(__xludf.DUMMYFUNCTION("""COMPUTED_VALUE"""),FALSE)</f>
        <v>0</v>
      </c>
      <c r="AG517" s="5" t="str">
        <f ca="1">IFERROR(__xludf.DUMMYFUNCTION("""COMPUTED_VALUE"""),"INSPECCIONES REALIZADAS")</f>
        <v>INSPECCIONES REALIZADAS</v>
      </c>
      <c r="AH517" s="5"/>
    </row>
    <row r="518" spans="1:34">
      <c r="A518" s="5" t="str">
        <f ca="1">IFERROR(__xludf.DUMMYFUNCTION("""COMPUTED_VALUE"""),"LINEA DE ENVASADO JUGOS PET HOT FILL")</f>
        <v>LINEA DE ENVASADO JUGOS PET HOT FILL</v>
      </c>
      <c r="B518" s="5">
        <f ca="1">IFERROR(__xludf.DUMMYFUNCTION("""COMPUTED_VALUE"""),900305)</f>
        <v>900305</v>
      </c>
      <c r="C518" s="5" t="str">
        <f ca="1">IFERROR(__xludf.DUMMYFUNCTION("""COMPUTED_VALUE"""),"ETIQUETADORA")</f>
        <v>ETIQUETADORA</v>
      </c>
      <c r="D518" s="5">
        <f ca="1">IFERROR(__xludf.DUMMYFUNCTION("""COMPUTED_VALUE"""),13247758)</f>
        <v>13247758</v>
      </c>
      <c r="E518" s="5" t="str">
        <f ca="1">IFERROR(__xludf.DUMMYFUNCTION("""COMPUTED_VALUE"""),"INSPECCION SEMANAL Etiquetadora")</f>
        <v>INSPECCION SEMANAL Etiquetadora</v>
      </c>
      <c r="F518" s="5" t="str">
        <f ca="1">IFERROR(__xludf.DUMMYFUNCTION("""COMPUTED_VALUE"""),"ESTADO PORTAENVASES Y CORREA")</f>
        <v>ESTADO PORTAENVASES Y CORREA</v>
      </c>
      <c r="G518" s="5" t="b">
        <f ca="1">IFERROR(__xludf.DUMMYFUNCTION("""COMPUTED_VALUE"""),TRUE)</f>
        <v>1</v>
      </c>
      <c r="H518" s="5"/>
      <c r="I518" s="5"/>
      <c r="J518" s="5">
        <f ca="1">IFERROR(__xludf.DUMMYFUNCTION("""COMPUTED_VALUE"""),13247758)</f>
        <v>13247758</v>
      </c>
      <c r="K518" s="5"/>
      <c r="L518" s="18">
        <f ca="1">IFERROR(__xludf.DUMMYFUNCTION("""COMPUTED_VALUE"""),45324)</f>
        <v>45324</v>
      </c>
      <c r="M518" s="18">
        <f ca="1">IFERROR(__xludf.DUMMYFUNCTION("""COMPUTED_VALUE"""),45324)</f>
        <v>45324</v>
      </c>
      <c r="N518" s="5" t="str">
        <f ca="1">IFERROR(__xludf.DUMMYFUNCTION("""COMPUTED_VALUE"""),"Bedoya Marin Johan Andres")</f>
        <v>Bedoya Marin Johan Andres</v>
      </c>
      <c r="O518" s="2">
        <f ca="1">IFERROR(__xludf.DUMMYFUNCTION("""COMPUTED_VALUE"""),0.05)</f>
        <v>0.05</v>
      </c>
      <c r="P518" s="5">
        <f ca="1">IFERROR(__xludf.DUMMYFUNCTION("""COMPUTED_VALUE"""),20019988)</f>
        <v>20019988</v>
      </c>
      <c r="Q518" s="5" t="str">
        <f ca="1">IFERROR(__xludf.DUMMYFUNCTION("""COMPUTED_VALUE"""),"sEvb5F0i628")</f>
        <v>sEvb5F0i628</v>
      </c>
      <c r="R518" s="5">
        <f ca="1">IFERROR(__xludf.DUMMYFUNCTION("""COMPUTED_VALUE"""),410)</f>
        <v>410</v>
      </c>
      <c r="S518" s="62">
        <f ca="1">IFERROR(__xludf.DUMMYFUNCTION("""COMPUTED_VALUE"""),0.05)</f>
        <v>0.05</v>
      </c>
      <c r="T518" s="63" t="str">
        <f ca="1">IFERROR(__xludf.DUMMYFUNCTION("""COMPUTED_VALUE"""),"https://storage.googleapis.com/glide-prod.appspot.com/uploads-v2/ly7o78grxPaC6KdgvbpS/pub/3aRdSog0vUtuqPE8AJKD.png")</f>
        <v>https://storage.googleapis.com/glide-prod.appspot.com/uploads-v2/ly7o78grxPaC6KdgvbpS/pub/3aRdSog0vUtuqPE8AJKD.png</v>
      </c>
      <c r="U518" s="5" t="str">
        <f ca="1">IFERROR(__xludf.DUMMYFUNCTION("""COMPUTED_VALUE"""),"LINEA DE ENVASADO JUGOS PET HOT FILLETIQUETADORA")</f>
        <v>LINEA DE ENVASADO JUGOS PET HOT FILLETIQUETADORA</v>
      </c>
      <c r="V518" s="5"/>
      <c r="W518" s="5" t="b">
        <f ca="1">IFERROR(__xludf.DUMMYFUNCTION("""COMPUTED_VALUE"""),TRUE)</f>
        <v>1</v>
      </c>
      <c r="X518" s="5" t="str">
        <f ca="1">IFERROR(__xludf.DUMMYFUNCTION("""COMPUTED_VALUE"""),"achavezi@postobon.com.co,aprmttoyu@postobon.com.co,aprmyu@postobon.com.co,wmora@postobon.com.co,efzapata@postobon.com.co")</f>
        <v>achavezi@postobon.com.co,aprmttoyu@postobon.com.co,aprmyu@postobon.com.co,wmora@postobon.com.co,efzapata@postobon.com.co</v>
      </c>
      <c r="Y518" s="5" t="str">
        <f ca="1">IFERROR(__xludf.DUMMYFUNCTION("""COMPUTED_VALUE"""),"achavezi@postobon.com.co")</f>
        <v>achavezi@postobon.com.co</v>
      </c>
      <c r="Z518" s="5" t="str">
        <f ca="1">IFERROR(__xludf.DUMMYFUNCTION("""COMPUTED_VALUE"""),"tZKWY7D4StSFXnHpxbrLxg")</f>
        <v>tZKWY7D4StSFXnHpxbrLxg</v>
      </c>
      <c r="AA518" s="5"/>
      <c r="AB518" s="5"/>
      <c r="AC518" s="5"/>
      <c r="AD518" s="5">
        <f ca="1">IFERROR(__xludf.DUMMYFUNCTION("""COMPUTED_VALUE"""),30)</f>
        <v>30</v>
      </c>
      <c r="AE518" s="5">
        <f ca="1">IFERROR(__xludf.DUMMYFUNCTION("""COMPUTED_VALUE"""),30)</f>
        <v>30</v>
      </c>
      <c r="AF518" s="5" t="b">
        <f ca="1">IFERROR(__xludf.DUMMYFUNCTION("""COMPUTED_VALUE"""),FALSE)</f>
        <v>0</v>
      </c>
      <c r="AG518" s="5" t="str">
        <f ca="1">IFERROR(__xludf.DUMMYFUNCTION("""COMPUTED_VALUE"""),"INSPECCIONES REALIZADAS")</f>
        <v>INSPECCIONES REALIZADAS</v>
      </c>
      <c r="AH518" s="5"/>
    </row>
    <row r="519" spans="1:34">
      <c r="A519" s="5" t="str">
        <f ca="1">IFERROR(__xludf.DUMMYFUNCTION("""COMPUTED_VALUE"""),"LINEA DE ENVASADO JUGOS PET HOT FILL")</f>
        <v>LINEA DE ENVASADO JUGOS PET HOT FILL</v>
      </c>
      <c r="B519" s="5">
        <f ca="1">IFERROR(__xludf.DUMMYFUNCTION("""COMPUTED_VALUE"""),900305)</f>
        <v>900305</v>
      </c>
      <c r="C519" s="5" t="str">
        <f ca="1">IFERROR(__xludf.DUMMYFUNCTION("""COMPUTED_VALUE"""),"ETIQUETADORA")</f>
        <v>ETIQUETADORA</v>
      </c>
      <c r="D519" s="5">
        <f ca="1">IFERROR(__xludf.DUMMYFUNCTION("""COMPUTED_VALUE"""),13247758)</f>
        <v>13247758</v>
      </c>
      <c r="E519" s="5" t="str">
        <f ca="1">IFERROR(__xludf.DUMMYFUNCTION("""COMPUTED_VALUE"""),"INSPECCION SEMANAL Etiquetadora")</f>
        <v>INSPECCION SEMANAL Etiquetadora</v>
      </c>
      <c r="F519" s="5" t="str">
        <f ca="1">IFERROR(__xludf.DUMMYFUNCTION("""COMPUTED_VALUE"""),"ESTADO MOTORES")</f>
        <v>ESTADO MOTORES</v>
      </c>
      <c r="G519" s="5" t="b">
        <f ca="1">IFERROR(__xludf.DUMMYFUNCTION("""COMPUTED_VALUE"""),TRUE)</f>
        <v>1</v>
      </c>
      <c r="H519" s="5"/>
      <c r="I519" s="5"/>
      <c r="J519" s="5">
        <f ca="1">IFERROR(__xludf.DUMMYFUNCTION("""COMPUTED_VALUE"""),13247758)</f>
        <v>13247758</v>
      </c>
      <c r="K519" s="5"/>
      <c r="L519" s="18">
        <f ca="1">IFERROR(__xludf.DUMMYFUNCTION("""COMPUTED_VALUE"""),45324)</f>
        <v>45324</v>
      </c>
      <c r="M519" s="18">
        <f ca="1">IFERROR(__xludf.DUMMYFUNCTION("""COMPUTED_VALUE"""),45324)</f>
        <v>45324</v>
      </c>
      <c r="N519" s="5" t="str">
        <f ca="1">IFERROR(__xludf.DUMMYFUNCTION("""COMPUTED_VALUE"""),"Bedoya Marin Johan Andres")</f>
        <v>Bedoya Marin Johan Andres</v>
      </c>
      <c r="O519" s="2">
        <f ca="1">IFERROR(__xludf.DUMMYFUNCTION("""COMPUTED_VALUE"""),0.05)</f>
        <v>0.05</v>
      </c>
      <c r="P519" s="5">
        <f ca="1">IFERROR(__xludf.DUMMYFUNCTION("""COMPUTED_VALUE"""),20019988)</f>
        <v>20019988</v>
      </c>
      <c r="Q519" s="5" t="str">
        <f ca="1">IFERROR(__xludf.DUMMYFUNCTION("""COMPUTED_VALUE"""),"MHcFfpCzPNs")</f>
        <v>MHcFfpCzPNs</v>
      </c>
      <c r="R519" s="5">
        <f ca="1">IFERROR(__xludf.DUMMYFUNCTION("""COMPUTED_VALUE"""),410)</f>
        <v>410</v>
      </c>
      <c r="S519" s="62">
        <f ca="1">IFERROR(__xludf.DUMMYFUNCTION("""COMPUTED_VALUE"""),0.05)</f>
        <v>0.05</v>
      </c>
      <c r="T519" s="63" t="str">
        <f ca="1">IFERROR(__xludf.DUMMYFUNCTION("""COMPUTED_VALUE"""),"https://storage.googleapis.com/glide-prod.appspot.com/uploads-v2/ly7o78grxPaC6KdgvbpS/pub/3aRdSog0vUtuqPE8AJKD.png")</f>
        <v>https://storage.googleapis.com/glide-prod.appspot.com/uploads-v2/ly7o78grxPaC6KdgvbpS/pub/3aRdSog0vUtuqPE8AJKD.png</v>
      </c>
      <c r="U519" s="5" t="str">
        <f ca="1">IFERROR(__xludf.DUMMYFUNCTION("""COMPUTED_VALUE"""),"LINEA DE ENVASADO JUGOS PET HOT FILLETIQUETADORA")</f>
        <v>LINEA DE ENVASADO JUGOS PET HOT FILLETIQUETADORA</v>
      </c>
      <c r="V519" s="5"/>
      <c r="W519" s="5" t="b">
        <f ca="1">IFERROR(__xludf.DUMMYFUNCTION("""COMPUTED_VALUE"""),TRUE)</f>
        <v>1</v>
      </c>
      <c r="X519" s="5" t="str">
        <f ca="1">IFERROR(__xludf.DUMMYFUNCTION("""COMPUTED_VALUE"""),"achavezi@postobon.com.co,aprmttoyu@postobon.com.co,aprmyu@postobon.com.co,wmora@postobon.com.co,efzapata@postobon.com.co")</f>
        <v>achavezi@postobon.com.co,aprmttoyu@postobon.com.co,aprmyu@postobon.com.co,wmora@postobon.com.co,efzapata@postobon.com.co</v>
      </c>
      <c r="Y519" s="5" t="str">
        <f ca="1">IFERROR(__xludf.DUMMYFUNCTION("""COMPUTED_VALUE"""),"achavezi@postobon.com.co")</f>
        <v>achavezi@postobon.com.co</v>
      </c>
      <c r="Z519" s="5" t="str">
        <f ca="1">IFERROR(__xludf.DUMMYFUNCTION("""COMPUTED_VALUE"""),"RnZ6p8w5QJOnijq7spwoaA")</f>
        <v>RnZ6p8w5QJOnijq7spwoaA</v>
      </c>
      <c r="AA519" s="5"/>
      <c r="AB519" s="5"/>
      <c r="AC519" s="5"/>
      <c r="AD519" s="5">
        <f ca="1">IFERROR(__xludf.DUMMYFUNCTION("""COMPUTED_VALUE"""),30)</f>
        <v>30</v>
      </c>
      <c r="AE519" s="5">
        <f ca="1">IFERROR(__xludf.DUMMYFUNCTION("""COMPUTED_VALUE"""),30)</f>
        <v>30</v>
      </c>
      <c r="AF519" s="5" t="b">
        <f ca="1">IFERROR(__xludf.DUMMYFUNCTION("""COMPUTED_VALUE"""),FALSE)</f>
        <v>0</v>
      </c>
      <c r="AG519" s="5" t="str">
        <f ca="1">IFERROR(__xludf.DUMMYFUNCTION("""COMPUTED_VALUE"""),"INSPECCIONES REALIZADAS")</f>
        <v>INSPECCIONES REALIZADAS</v>
      </c>
      <c r="AH519" s="5"/>
    </row>
    <row r="520" spans="1:34">
      <c r="A520" s="5" t="str">
        <f ca="1">IFERROR(__xludf.DUMMYFUNCTION("""COMPUTED_VALUE"""),"LINEA DE ENVASADO JUGOS PET HOT FILL")</f>
        <v>LINEA DE ENVASADO JUGOS PET HOT FILL</v>
      </c>
      <c r="B520" s="5">
        <f ca="1">IFERROR(__xludf.DUMMYFUNCTION("""COMPUTED_VALUE"""),900305)</f>
        <v>900305</v>
      </c>
      <c r="C520" s="5" t="str">
        <f ca="1">IFERROR(__xludf.DUMMYFUNCTION("""COMPUTED_VALUE"""),"ETIQUETADORA")</f>
        <v>ETIQUETADORA</v>
      </c>
      <c r="D520" s="5">
        <f ca="1">IFERROR(__xludf.DUMMYFUNCTION("""COMPUTED_VALUE"""),13247758)</f>
        <v>13247758</v>
      </c>
      <c r="E520" s="5" t="str">
        <f ca="1">IFERROR(__xludf.DUMMYFUNCTION("""COMPUTED_VALUE"""),"INSPECCION SEMANAL Etiquetadora")</f>
        <v>INSPECCION SEMANAL Etiquetadora</v>
      </c>
      <c r="F520" s="5" t="str">
        <f ca="1">IFERROR(__xludf.DUMMYFUNCTION("""COMPUTED_VALUE"""),"ESTADO CORREA DE TRANSMISION")</f>
        <v>ESTADO CORREA DE TRANSMISION</v>
      </c>
      <c r="G520" s="5" t="b">
        <f ca="1">IFERROR(__xludf.DUMMYFUNCTION("""COMPUTED_VALUE"""),TRUE)</f>
        <v>1</v>
      </c>
      <c r="H520" s="5"/>
      <c r="I520" s="5"/>
      <c r="J520" s="5">
        <f ca="1">IFERROR(__xludf.DUMMYFUNCTION("""COMPUTED_VALUE"""),13247758)</f>
        <v>13247758</v>
      </c>
      <c r="K520" s="5"/>
      <c r="L520" s="18">
        <f ca="1">IFERROR(__xludf.DUMMYFUNCTION("""COMPUTED_VALUE"""),45324)</f>
        <v>45324</v>
      </c>
      <c r="M520" s="18">
        <f ca="1">IFERROR(__xludf.DUMMYFUNCTION("""COMPUTED_VALUE"""),45324)</f>
        <v>45324</v>
      </c>
      <c r="N520" s="5" t="str">
        <f ca="1">IFERROR(__xludf.DUMMYFUNCTION("""COMPUTED_VALUE"""),"Bedoya Marin Johan Andres")</f>
        <v>Bedoya Marin Johan Andres</v>
      </c>
      <c r="O520" s="2">
        <f ca="1">IFERROR(__xludf.DUMMYFUNCTION("""COMPUTED_VALUE"""),0.05)</f>
        <v>0.05</v>
      </c>
      <c r="P520" s="5">
        <f ca="1">IFERROR(__xludf.DUMMYFUNCTION("""COMPUTED_VALUE"""),20019988)</f>
        <v>20019988</v>
      </c>
      <c r="Q520" s="5" t="str">
        <f ca="1">IFERROR(__xludf.DUMMYFUNCTION("""COMPUTED_VALUE"""),"0AEHN1v6BZI")</f>
        <v>0AEHN1v6BZI</v>
      </c>
      <c r="R520" s="5">
        <f ca="1">IFERROR(__xludf.DUMMYFUNCTION("""COMPUTED_VALUE"""),410)</f>
        <v>410</v>
      </c>
      <c r="S520" s="62">
        <f ca="1">IFERROR(__xludf.DUMMYFUNCTION("""COMPUTED_VALUE"""),0.05)</f>
        <v>0.05</v>
      </c>
      <c r="T520" s="63" t="str">
        <f ca="1">IFERROR(__xludf.DUMMYFUNCTION("""COMPUTED_VALUE"""),"https://storage.googleapis.com/glide-prod.appspot.com/uploads-v2/ly7o78grxPaC6KdgvbpS/pub/3aRdSog0vUtuqPE8AJKD.png")</f>
        <v>https://storage.googleapis.com/glide-prod.appspot.com/uploads-v2/ly7o78grxPaC6KdgvbpS/pub/3aRdSog0vUtuqPE8AJKD.png</v>
      </c>
      <c r="U520" s="5" t="str">
        <f ca="1">IFERROR(__xludf.DUMMYFUNCTION("""COMPUTED_VALUE"""),"LINEA DE ENVASADO JUGOS PET HOT FILLETIQUETADORA")</f>
        <v>LINEA DE ENVASADO JUGOS PET HOT FILLETIQUETADORA</v>
      </c>
      <c r="V520" s="5"/>
      <c r="W520" s="5" t="b">
        <f ca="1">IFERROR(__xludf.DUMMYFUNCTION("""COMPUTED_VALUE"""),TRUE)</f>
        <v>1</v>
      </c>
      <c r="X520" s="5" t="str">
        <f ca="1">IFERROR(__xludf.DUMMYFUNCTION("""COMPUTED_VALUE"""),"achavezi@postobon.com.co,aprmttoyu@postobon.com.co,aprmyu@postobon.com.co,wmora@postobon.com.co,efzapata@postobon.com.co")</f>
        <v>achavezi@postobon.com.co,aprmttoyu@postobon.com.co,aprmyu@postobon.com.co,wmora@postobon.com.co,efzapata@postobon.com.co</v>
      </c>
      <c r="Y520" s="5" t="str">
        <f ca="1">IFERROR(__xludf.DUMMYFUNCTION("""COMPUTED_VALUE"""),"achavezi@postobon.com.co")</f>
        <v>achavezi@postobon.com.co</v>
      </c>
      <c r="Z520" s="5" t="str">
        <f ca="1">IFERROR(__xludf.DUMMYFUNCTION("""COMPUTED_VALUE"""),"Djg7ia16RlODSmwAtHiHAw")</f>
        <v>Djg7ia16RlODSmwAtHiHAw</v>
      </c>
      <c r="AA520" s="5"/>
      <c r="AB520" s="5"/>
      <c r="AC520" s="5"/>
      <c r="AD520" s="5">
        <f ca="1">IFERROR(__xludf.DUMMYFUNCTION("""COMPUTED_VALUE"""),30)</f>
        <v>30</v>
      </c>
      <c r="AE520" s="5">
        <f ca="1">IFERROR(__xludf.DUMMYFUNCTION("""COMPUTED_VALUE"""),30)</f>
        <v>30</v>
      </c>
      <c r="AF520" s="5" t="b">
        <f ca="1">IFERROR(__xludf.DUMMYFUNCTION("""COMPUTED_VALUE"""),FALSE)</f>
        <v>0</v>
      </c>
      <c r="AG520" s="5" t="str">
        <f ca="1">IFERROR(__xludf.DUMMYFUNCTION("""COMPUTED_VALUE"""),"INSPECCIONES REALIZADAS")</f>
        <v>INSPECCIONES REALIZADAS</v>
      </c>
      <c r="AH520" s="5"/>
    </row>
    <row r="521" spans="1:34">
      <c r="A521" s="5" t="str">
        <f ca="1">IFERROR(__xludf.DUMMYFUNCTION("""COMPUTED_VALUE"""),"LINEA DE ENVASADO JUGOS PET HOT FILL")</f>
        <v>LINEA DE ENVASADO JUGOS PET HOT FILL</v>
      </c>
      <c r="B521" s="5">
        <f ca="1">IFERROR(__xludf.DUMMYFUNCTION("""COMPUTED_VALUE"""),900305)</f>
        <v>900305</v>
      </c>
      <c r="C521" s="5" t="str">
        <f ca="1">IFERROR(__xludf.DUMMYFUNCTION("""COMPUTED_VALUE"""),"ETIQUETADORA")</f>
        <v>ETIQUETADORA</v>
      </c>
      <c r="D521" s="5">
        <f ca="1">IFERROR(__xludf.DUMMYFUNCTION("""COMPUTED_VALUE"""),13247758)</f>
        <v>13247758</v>
      </c>
      <c r="E521" s="5" t="str">
        <f ca="1">IFERROR(__xludf.DUMMYFUNCTION("""COMPUTED_VALUE"""),"INSPECCION SEMANAL Etiquetadora")</f>
        <v>INSPECCION SEMANAL Etiquetadora</v>
      </c>
      <c r="F521" s="5" t="str">
        <f ca="1">IFERROR(__xludf.DUMMYFUNCTION("""COMPUTED_VALUE"""),"ESTADO CADENA DE TRANSMISION")</f>
        <v>ESTADO CADENA DE TRANSMISION</v>
      </c>
      <c r="G521" s="5" t="b">
        <f ca="1">IFERROR(__xludf.DUMMYFUNCTION("""COMPUTED_VALUE"""),TRUE)</f>
        <v>1</v>
      </c>
      <c r="H521" s="5"/>
      <c r="I521" s="5"/>
      <c r="J521" s="5">
        <f ca="1">IFERROR(__xludf.DUMMYFUNCTION("""COMPUTED_VALUE"""),13247758)</f>
        <v>13247758</v>
      </c>
      <c r="K521" s="5"/>
      <c r="L521" s="18">
        <f ca="1">IFERROR(__xludf.DUMMYFUNCTION("""COMPUTED_VALUE"""),45324)</f>
        <v>45324</v>
      </c>
      <c r="M521" s="18">
        <f ca="1">IFERROR(__xludf.DUMMYFUNCTION("""COMPUTED_VALUE"""),45324)</f>
        <v>45324</v>
      </c>
      <c r="N521" s="5" t="str">
        <f ca="1">IFERROR(__xludf.DUMMYFUNCTION("""COMPUTED_VALUE"""),"Bedoya Marin Johan Andres")</f>
        <v>Bedoya Marin Johan Andres</v>
      </c>
      <c r="O521" s="2">
        <f ca="1">IFERROR(__xludf.DUMMYFUNCTION("""COMPUTED_VALUE"""),0.05)</f>
        <v>0.05</v>
      </c>
      <c r="P521" s="5">
        <f ca="1">IFERROR(__xludf.DUMMYFUNCTION("""COMPUTED_VALUE"""),20019988)</f>
        <v>20019988</v>
      </c>
      <c r="Q521" s="5" t="str">
        <f ca="1">IFERROR(__xludf.DUMMYFUNCTION("""COMPUTED_VALUE"""),"LJqHJyLUMP4")</f>
        <v>LJqHJyLUMP4</v>
      </c>
      <c r="R521" s="5">
        <f ca="1">IFERROR(__xludf.DUMMYFUNCTION("""COMPUTED_VALUE"""),410)</f>
        <v>410</v>
      </c>
      <c r="S521" s="62">
        <f ca="1">IFERROR(__xludf.DUMMYFUNCTION("""COMPUTED_VALUE"""),0.05)</f>
        <v>0.05</v>
      </c>
      <c r="T521" s="63" t="str">
        <f ca="1">IFERROR(__xludf.DUMMYFUNCTION("""COMPUTED_VALUE"""),"https://storage.googleapis.com/glide-prod.appspot.com/uploads-v2/ly7o78grxPaC6KdgvbpS/pub/3aRdSog0vUtuqPE8AJKD.png")</f>
        <v>https://storage.googleapis.com/glide-prod.appspot.com/uploads-v2/ly7o78grxPaC6KdgvbpS/pub/3aRdSog0vUtuqPE8AJKD.png</v>
      </c>
      <c r="U521" s="5" t="str">
        <f ca="1">IFERROR(__xludf.DUMMYFUNCTION("""COMPUTED_VALUE"""),"LINEA DE ENVASADO JUGOS PET HOT FILLETIQUETADORA")</f>
        <v>LINEA DE ENVASADO JUGOS PET HOT FILLETIQUETADORA</v>
      </c>
      <c r="V521" s="5"/>
      <c r="W521" s="5" t="b">
        <f ca="1">IFERROR(__xludf.DUMMYFUNCTION("""COMPUTED_VALUE"""),TRUE)</f>
        <v>1</v>
      </c>
      <c r="X521" s="5" t="str">
        <f ca="1">IFERROR(__xludf.DUMMYFUNCTION("""COMPUTED_VALUE"""),"achavezi@postobon.com.co,aprmttoyu@postobon.com.co,aprmyu@postobon.com.co,wmora@postobon.com.co,efzapata@postobon.com.co")</f>
        <v>achavezi@postobon.com.co,aprmttoyu@postobon.com.co,aprmyu@postobon.com.co,wmora@postobon.com.co,efzapata@postobon.com.co</v>
      </c>
      <c r="Y521" s="5" t="str">
        <f ca="1">IFERROR(__xludf.DUMMYFUNCTION("""COMPUTED_VALUE"""),"achavezi@postobon.com.co")</f>
        <v>achavezi@postobon.com.co</v>
      </c>
      <c r="Z521" s="5" t="str">
        <f ca="1">IFERROR(__xludf.DUMMYFUNCTION("""COMPUTED_VALUE"""),"oC9pGNCeTVuse-xLrh-QBg")</f>
        <v>oC9pGNCeTVuse-xLrh-QBg</v>
      </c>
      <c r="AA521" s="5"/>
      <c r="AB521" s="5"/>
      <c r="AC521" s="5"/>
      <c r="AD521" s="5">
        <f ca="1">IFERROR(__xludf.DUMMYFUNCTION("""COMPUTED_VALUE"""),30)</f>
        <v>30</v>
      </c>
      <c r="AE521" s="5">
        <f ca="1">IFERROR(__xludf.DUMMYFUNCTION("""COMPUTED_VALUE"""),30)</f>
        <v>30</v>
      </c>
      <c r="AF521" s="5" t="b">
        <f ca="1">IFERROR(__xludf.DUMMYFUNCTION("""COMPUTED_VALUE"""),FALSE)</f>
        <v>0</v>
      </c>
      <c r="AG521" s="5" t="str">
        <f ca="1">IFERROR(__xludf.DUMMYFUNCTION("""COMPUTED_VALUE"""),"INSPECCIONES REALIZADAS")</f>
        <v>INSPECCIONES REALIZADAS</v>
      </c>
      <c r="AH521" s="5"/>
    </row>
    <row r="522" spans="1:34">
      <c r="A522" s="5" t="str">
        <f ca="1">IFERROR(__xludf.DUMMYFUNCTION("""COMPUTED_VALUE"""),"LINEA DE ENVASADO JUGOS PET HOT FILL")</f>
        <v>LINEA DE ENVASADO JUGOS PET HOT FILL</v>
      </c>
      <c r="B522" s="5">
        <f ca="1">IFERROR(__xludf.DUMMYFUNCTION("""COMPUTED_VALUE"""),900305)</f>
        <v>900305</v>
      </c>
      <c r="C522" s="5" t="str">
        <f ca="1">IFERROR(__xludf.DUMMYFUNCTION("""COMPUTED_VALUE"""),"ETIQUETADORA")</f>
        <v>ETIQUETADORA</v>
      </c>
      <c r="D522" s="5">
        <f ca="1">IFERROR(__xludf.DUMMYFUNCTION("""COMPUTED_VALUE"""),13247758)</f>
        <v>13247758</v>
      </c>
      <c r="E522" s="5" t="str">
        <f ca="1">IFERROR(__xludf.DUMMYFUNCTION("""COMPUTED_VALUE"""),"INSPECCION SEMANAL Etiquetadora")</f>
        <v>INSPECCION SEMANAL Etiquetadora</v>
      </c>
      <c r="F522" s="5" t="str">
        <f ca="1">IFERROR(__xludf.DUMMYFUNCTION("""COMPUTED_VALUE"""),"ESTADO MANGUERAS SIST. VACIO")</f>
        <v>ESTADO MANGUERAS SIST. VACIO</v>
      </c>
      <c r="G522" s="5" t="b">
        <f ca="1">IFERROR(__xludf.DUMMYFUNCTION("""COMPUTED_VALUE"""),TRUE)</f>
        <v>1</v>
      </c>
      <c r="H522" s="5"/>
      <c r="I522" s="5"/>
      <c r="J522" s="5">
        <f ca="1">IFERROR(__xludf.DUMMYFUNCTION("""COMPUTED_VALUE"""),13247758)</f>
        <v>13247758</v>
      </c>
      <c r="K522" s="5"/>
      <c r="L522" s="18">
        <f ca="1">IFERROR(__xludf.DUMMYFUNCTION("""COMPUTED_VALUE"""),45324)</f>
        <v>45324</v>
      </c>
      <c r="M522" s="18">
        <f ca="1">IFERROR(__xludf.DUMMYFUNCTION("""COMPUTED_VALUE"""),45324)</f>
        <v>45324</v>
      </c>
      <c r="N522" s="5" t="str">
        <f ca="1">IFERROR(__xludf.DUMMYFUNCTION("""COMPUTED_VALUE"""),"Bedoya Marin Johan Andres")</f>
        <v>Bedoya Marin Johan Andres</v>
      </c>
      <c r="O522" s="2">
        <f ca="1">IFERROR(__xludf.DUMMYFUNCTION("""COMPUTED_VALUE"""),0.05)</f>
        <v>0.05</v>
      </c>
      <c r="P522" s="5">
        <f ca="1">IFERROR(__xludf.DUMMYFUNCTION("""COMPUTED_VALUE"""),20019988)</f>
        <v>20019988</v>
      </c>
      <c r="Q522" s="5" t="str">
        <f ca="1">IFERROR(__xludf.DUMMYFUNCTION("""COMPUTED_VALUE"""),"ck06JUhQ07c")</f>
        <v>ck06JUhQ07c</v>
      </c>
      <c r="R522" s="5">
        <f ca="1">IFERROR(__xludf.DUMMYFUNCTION("""COMPUTED_VALUE"""),410)</f>
        <v>410</v>
      </c>
      <c r="S522" s="62">
        <f ca="1">IFERROR(__xludf.DUMMYFUNCTION("""COMPUTED_VALUE"""),0.05)</f>
        <v>0.05</v>
      </c>
      <c r="T522" s="63" t="str">
        <f ca="1">IFERROR(__xludf.DUMMYFUNCTION("""COMPUTED_VALUE"""),"https://storage.googleapis.com/glide-prod.appspot.com/uploads-v2/ly7o78grxPaC6KdgvbpS/pub/3aRdSog0vUtuqPE8AJKD.png")</f>
        <v>https://storage.googleapis.com/glide-prod.appspot.com/uploads-v2/ly7o78grxPaC6KdgvbpS/pub/3aRdSog0vUtuqPE8AJKD.png</v>
      </c>
      <c r="U522" s="5" t="str">
        <f ca="1">IFERROR(__xludf.DUMMYFUNCTION("""COMPUTED_VALUE"""),"LINEA DE ENVASADO JUGOS PET HOT FILLETIQUETADORA")</f>
        <v>LINEA DE ENVASADO JUGOS PET HOT FILLETIQUETADORA</v>
      </c>
      <c r="V522" s="5"/>
      <c r="W522" s="5" t="b">
        <f ca="1">IFERROR(__xludf.DUMMYFUNCTION("""COMPUTED_VALUE"""),TRUE)</f>
        <v>1</v>
      </c>
      <c r="X522" s="5" t="str">
        <f ca="1">IFERROR(__xludf.DUMMYFUNCTION("""COMPUTED_VALUE"""),"achavezi@postobon.com.co,aprmttoyu@postobon.com.co,aprmyu@postobon.com.co,wmora@postobon.com.co,efzapata@postobon.com.co")</f>
        <v>achavezi@postobon.com.co,aprmttoyu@postobon.com.co,aprmyu@postobon.com.co,wmora@postobon.com.co,efzapata@postobon.com.co</v>
      </c>
      <c r="Y522" s="5" t="str">
        <f ca="1">IFERROR(__xludf.DUMMYFUNCTION("""COMPUTED_VALUE"""),"achavezi@postobon.com.co")</f>
        <v>achavezi@postobon.com.co</v>
      </c>
      <c r="Z522" s="5" t="str">
        <f ca="1">IFERROR(__xludf.DUMMYFUNCTION("""COMPUTED_VALUE"""),"wIaB071DQDqikMN1p.-fYQ")</f>
        <v>wIaB071DQDqikMN1p.-fYQ</v>
      </c>
      <c r="AA522" s="5"/>
      <c r="AB522" s="5"/>
      <c r="AC522" s="5"/>
      <c r="AD522" s="5">
        <f ca="1">IFERROR(__xludf.DUMMYFUNCTION("""COMPUTED_VALUE"""),30)</f>
        <v>30</v>
      </c>
      <c r="AE522" s="5">
        <f ca="1">IFERROR(__xludf.DUMMYFUNCTION("""COMPUTED_VALUE"""),30)</f>
        <v>30</v>
      </c>
      <c r="AF522" s="5" t="b">
        <f ca="1">IFERROR(__xludf.DUMMYFUNCTION("""COMPUTED_VALUE"""),FALSE)</f>
        <v>0</v>
      </c>
      <c r="AG522" s="5" t="str">
        <f ca="1">IFERROR(__xludf.DUMMYFUNCTION("""COMPUTED_VALUE"""),"INSPECCIONES REALIZADAS")</f>
        <v>INSPECCIONES REALIZADAS</v>
      </c>
      <c r="AH522" s="5"/>
    </row>
    <row r="523" spans="1:34">
      <c r="A523" s="5" t="str">
        <f ca="1">IFERROR(__xludf.DUMMYFUNCTION("""COMPUTED_VALUE"""),"LINEA DE ENVASADO JUGOS PET HOT FILL")</f>
        <v>LINEA DE ENVASADO JUGOS PET HOT FILL</v>
      </c>
      <c r="B523" s="5">
        <f ca="1">IFERROR(__xludf.DUMMYFUNCTION("""COMPUTED_VALUE"""),900305)</f>
        <v>900305</v>
      </c>
      <c r="C523" s="5" t="str">
        <f ca="1">IFERROR(__xludf.DUMMYFUNCTION("""COMPUTED_VALUE"""),"ETIQUETADORA")</f>
        <v>ETIQUETADORA</v>
      </c>
      <c r="D523" s="5">
        <f ca="1">IFERROR(__xludf.DUMMYFUNCTION("""COMPUTED_VALUE"""),13247758)</f>
        <v>13247758</v>
      </c>
      <c r="E523" s="5" t="str">
        <f ca="1">IFERROR(__xludf.DUMMYFUNCTION("""COMPUTED_VALUE"""),"INSPECCION SEMANAL Etiquetadora")</f>
        <v>INSPECCION SEMANAL Etiquetadora</v>
      </c>
      <c r="F523" s="5" t="str">
        <f ca="1">IFERROR(__xludf.DUMMYFUNCTION("""COMPUTED_VALUE"""),"INSP. FILTRO BOMDA DE VACIO")</f>
        <v>INSP. FILTRO BOMDA DE VACIO</v>
      </c>
      <c r="G523" s="5" t="b">
        <f ca="1">IFERROR(__xludf.DUMMYFUNCTION("""COMPUTED_VALUE"""),TRUE)</f>
        <v>1</v>
      </c>
      <c r="H523" s="5"/>
      <c r="I523" s="5"/>
      <c r="J523" s="5">
        <f ca="1">IFERROR(__xludf.DUMMYFUNCTION("""COMPUTED_VALUE"""),13247758)</f>
        <v>13247758</v>
      </c>
      <c r="K523" s="5"/>
      <c r="L523" s="18">
        <f ca="1">IFERROR(__xludf.DUMMYFUNCTION("""COMPUTED_VALUE"""),45324)</f>
        <v>45324</v>
      </c>
      <c r="M523" s="18">
        <f ca="1">IFERROR(__xludf.DUMMYFUNCTION("""COMPUTED_VALUE"""),45324)</f>
        <v>45324</v>
      </c>
      <c r="N523" s="5" t="str">
        <f ca="1">IFERROR(__xludf.DUMMYFUNCTION("""COMPUTED_VALUE"""),"Bedoya Marin Johan Andres")</f>
        <v>Bedoya Marin Johan Andres</v>
      </c>
      <c r="O523" s="2">
        <f ca="1">IFERROR(__xludf.DUMMYFUNCTION("""COMPUTED_VALUE"""),0.05)</f>
        <v>0.05</v>
      </c>
      <c r="P523" s="5">
        <f ca="1">IFERROR(__xludf.DUMMYFUNCTION("""COMPUTED_VALUE"""),20019988)</f>
        <v>20019988</v>
      </c>
      <c r="Q523" s="5" t="str">
        <f ca="1">IFERROR(__xludf.DUMMYFUNCTION("""COMPUTED_VALUE"""),"Alg8fvk28HQ")</f>
        <v>Alg8fvk28HQ</v>
      </c>
      <c r="R523" s="5">
        <f ca="1">IFERROR(__xludf.DUMMYFUNCTION("""COMPUTED_VALUE"""),410)</f>
        <v>410</v>
      </c>
      <c r="S523" s="62">
        <f ca="1">IFERROR(__xludf.DUMMYFUNCTION("""COMPUTED_VALUE"""),0.05)</f>
        <v>0.05</v>
      </c>
      <c r="T523" s="63" t="str">
        <f ca="1">IFERROR(__xludf.DUMMYFUNCTION("""COMPUTED_VALUE"""),"https://storage.googleapis.com/glide-prod.appspot.com/uploads-v2/ly7o78grxPaC6KdgvbpS/pub/3aRdSog0vUtuqPE8AJKD.png")</f>
        <v>https://storage.googleapis.com/glide-prod.appspot.com/uploads-v2/ly7o78grxPaC6KdgvbpS/pub/3aRdSog0vUtuqPE8AJKD.png</v>
      </c>
      <c r="U523" s="5" t="str">
        <f ca="1">IFERROR(__xludf.DUMMYFUNCTION("""COMPUTED_VALUE"""),"LINEA DE ENVASADO JUGOS PET HOT FILLETIQUETADORA")</f>
        <v>LINEA DE ENVASADO JUGOS PET HOT FILLETIQUETADORA</v>
      </c>
      <c r="V523" s="5"/>
      <c r="W523" s="5" t="b">
        <f ca="1">IFERROR(__xludf.DUMMYFUNCTION("""COMPUTED_VALUE"""),TRUE)</f>
        <v>1</v>
      </c>
      <c r="X523" s="5" t="str">
        <f ca="1">IFERROR(__xludf.DUMMYFUNCTION("""COMPUTED_VALUE"""),"achavezi@postobon.com.co,aprmttoyu@postobon.com.co,aprmyu@postobon.com.co,wmora@postobon.com.co,efzapata@postobon.com.co")</f>
        <v>achavezi@postobon.com.co,aprmttoyu@postobon.com.co,aprmyu@postobon.com.co,wmora@postobon.com.co,efzapata@postobon.com.co</v>
      </c>
      <c r="Y523" s="5" t="str">
        <f ca="1">IFERROR(__xludf.DUMMYFUNCTION("""COMPUTED_VALUE"""),"achavezi@postobon.com.co")</f>
        <v>achavezi@postobon.com.co</v>
      </c>
      <c r="Z523" s="5" t="str">
        <f ca="1">IFERROR(__xludf.DUMMYFUNCTION("""COMPUTED_VALUE"""),"WAuauT3MT9qjBsq07tuAmw")</f>
        <v>WAuauT3MT9qjBsq07tuAmw</v>
      </c>
      <c r="AA523" s="5"/>
      <c r="AB523" s="5"/>
      <c r="AC523" s="5"/>
      <c r="AD523" s="5">
        <f ca="1">IFERROR(__xludf.DUMMYFUNCTION("""COMPUTED_VALUE"""),30)</f>
        <v>30</v>
      </c>
      <c r="AE523" s="5">
        <f ca="1">IFERROR(__xludf.DUMMYFUNCTION("""COMPUTED_VALUE"""),30)</f>
        <v>30</v>
      </c>
      <c r="AF523" s="5" t="b">
        <f ca="1">IFERROR(__xludf.DUMMYFUNCTION("""COMPUTED_VALUE"""),FALSE)</f>
        <v>0</v>
      </c>
      <c r="AG523" s="5" t="str">
        <f ca="1">IFERROR(__xludf.DUMMYFUNCTION("""COMPUTED_VALUE"""),"INSPECCIONES REALIZADAS")</f>
        <v>INSPECCIONES REALIZADAS</v>
      </c>
      <c r="AH523" s="5"/>
    </row>
    <row r="524" spans="1:34">
      <c r="A524" s="5" t="str">
        <f ca="1">IFERROR(__xludf.DUMMYFUNCTION("""COMPUTED_VALUE"""),"LINEA DE ENVASADO JUGOS PET HOT FILL")</f>
        <v>LINEA DE ENVASADO JUGOS PET HOT FILL</v>
      </c>
      <c r="B524" s="5">
        <f ca="1">IFERROR(__xludf.DUMMYFUNCTION("""COMPUTED_VALUE"""),900305)</f>
        <v>900305</v>
      </c>
      <c r="C524" s="5" t="str">
        <f ca="1">IFERROR(__xludf.DUMMYFUNCTION("""COMPUTED_VALUE"""),"ETIQUETADORA")</f>
        <v>ETIQUETADORA</v>
      </c>
      <c r="D524" s="5">
        <f ca="1">IFERROR(__xludf.DUMMYFUNCTION("""COMPUTED_VALUE"""),13247758)</f>
        <v>13247758</v>
      </c>
      <c r="E524" s="5" t="str">
        <f ca="1">IFERROR(__xludf.DUMMYFUNCTION("""COMPUTED_VALUE"""),"INSPECCION SEMANAL Etiquetadora")</f>
        <v>INSPECCION SEMANAL Etiquetadora</v>
      </c>
      <c r="F524" s="5" t="str">
        <f ca="1">IFERROR(__xludf.DUMMYFUNCTION("""COMPUTED_VALUE"""),"ESTADO ESTRELLA ENTRADA-SALIDA")</f>
        <v>ESTADO ESTRELLA ENTRADA-SALIDA</v>
      </c>
      <c r="G524" s="5" t="b">
        <f ca="1">IFERROR(__xludf.DUMMYFUNCTION("""COMPUTED_VALUE"""),TRUE)</f>
        <v>1</v>
      </c>
      <c r="H524" s="5"/>
      <c r="I524" s="5"/>
      <c r="J524" s="5">
        <f ca="1">IFERROR(__xludf.DUMMYFUNCTION("""COMPUTED_VALUE"""),13247758)</f>
        <v>13247758</v>
      </c>
      <c r="K524" s="5"/>
      <c r="L524" s="18">
        <f ca="1">IFERROR(__xludf.DUMMYFUNCTION("""COMPUTED_VALUE"""),45324)</f>
        <v>45324</v>
      </c>
      <c r="M524" s="18">
        <f ca="1">IFERROR(__xludf.DUMMYFUNCTION("""COMPUTED_VALUE"""),45324)</f>
        <v>45324</v>
      </c>
      <c r="N524" s="5" t="str">
        <f ca="1">IFERROR(__xludf.DUMMYFUNCTION("""COMPUTED_VALUE"""),"Bedoya Marin Johan Andres")</f>
        <v>Bedoya Marin Johan Andres</v>
      </c>
      <c r="O524" s="2">
        <f ca="1">IFERROR(__xludf.DUMMYFUNCTION("""COMPUTED_VALUE"""),0.05)</f>
        <v>0.05</v>
      </c>
      <c r="P524" s="5">
        <f ca="1">IFERROR(__xludf.DUMMYFUNCTION("""COMPUTED_VALUE"""),20019988)</f>
        <v>20019988</v>
      </c>
      <c r="Q524" s="5" t="str">
        <f ca="1">IFERROR(__xludf.DUMMYFUNCTION("""COMPUTED_VALUE"""),"58WDiQobW_U")</f>
        <v>58WDiQobW_U</v>
      </c>
      <c r="R524" s="5">
        <f ca="1">IFERROR(__xludf.DUMMYFUNCTION("""COMPUTED_VALUE"""),410)</f>
        <v>410</v>
      </c>
      <c r="S524" s="62">
        <f ca="1">IFERROR(__xludf.DUMMYFUNCTION("""COMPUTED_VALUE"""),0.05)</f>
        <v>0.05</v>
      </c>
      <c r="T524" s="63" t="str">
        <f ca="1">IFERROR(__xludf.DUMMYFUNCTION("""COMPUTED_VALUE"""),"https://storage.googleapis.com/glide-prod.appspot.com/uploads-v2/ly7o78grxPaC6KdgvbpS/pub/3aRdSog0vUtuqPE8AJKD.png")</f>
        <v>https://storage.googleapis.com/glide-prod.appspot.com/uploads-v2/ly7o78grxPaC6KdgvbpS/pub/3aRdSog0vUtuqPE8AJKD.png</v>
      </c>
      <c r="U524" s="5" t="str">
        <f ca="1">IFERROR(__xludf.DUMMYFUNCTION("""COMPUTED_VALUE"""),"LINEA DE ENVASADO JUGOS PET HOT FILLETIQUETADORA")</f>
        <v>LINEA DE ENVASADO JUGOS PET HOT FILLETIQUETADORA</v>
      </c>
      <c r="V524" s="5"/>
      <c r="W524" s="5" t="b">
        <f ca="1">IFERROR(__xludf.DUMMYFUNCTION("""COMPUTED_VALUE"""),TRUE)</f>
        <v>1</v>
      </c>
      <c r="X524" s="5" t="str">
        <f ca="1">IFERROR(__xludf.DUMMYFUNCTION("""COMPUTED_VALUE"""),"achavezi@postobon.com.co,aprmttoyu@postobon.com.co,aprmyu@postobon.com.co,wmora@postobon.com.co,efzapata@postobon.com.co")</f>
        <v>achavezi@postobon.com.co,aprmttoyu@postobon.com.co,aprmyu@postobon.com.co,wmora@postobon.com.co,efzapata@postobon.com.co</v>
      </c>
      <c r="Y524" s="5" t="str">
        <f ca="1">IFERROR(__xludf.DUMMYFUNCTION("""COMPUTED_VALUE"""),"achavezi@postobon.com.co")</f>
        <v>achavezi@postobon.com.co</v>
      </c>
      <c r="Z524" s="5" t="str">
        <f ca="1">IFERROR(__xludf.DUMMYFUNCTION("""COMPUTED_VALUE"""),"NYMbPEM0TYSIFDKgBo41Qw")</f>
        <v>NYMbPEM0TYSIFDKgBo41Qw</v>
      </c>
      <c r="AA524" s="5"/>
      <c r="AB524" s="5"/>
      <c r="AC524" s="5"/>
      <c r="AD524" s="5">
        <f ca="1">IFERROR(__xludf.DUMMYFUNCTION("""COMPUTED_VALUE"""),30)</f>
        <v>30</v>
      </c>
      <c r="AE524" s="5">
        <f ca="1">IFERROR(__xludf.DUMMYFUNCTION("""COMPUTED_VALUE"""),30)</f>
        <v>30</v>
      </c>
      <c r="AF524" s="5" t="b">
        <f ca="1">IFERROR(__xludf.DUMMYFUNCTION("""COMPUTED_VALUE"""),FALSE)</f>
        <v>0</v>
      </c>
      <c r="AG524" s="5" t="str">
        <f ca="1">IFERROR(__xludf.DUMMYFUNCTION("""COMPUTED_VALUE"""),"INSPECCIONES REALIZADAS")</f>
        <v>INSPECCIONES REALIZADAS</v>
      </c>
      <c r="AH524" s="5"/>
    </row>
    <row r="525" spans="1:34">
      <c r="A525" s="5" t="str">
        <f ca="1">IFERROR(__xludf.DUMMYFUNCTION("""COMPUTED_VALUE"""),"LINEA DE ENVASADO JUGOS PET HOT FILL")</f>
        <v>LINEA DE ENVASADO JUGOS PET HOT FILL</v>
      </c>
      <c r="B525" s="5">
        <f ca="1">IFERROR(__xludf.DUMMYFUNCTION("""COMPUTED_VALUE"""),900305)</f>
        <v>900305</v>
      </c>
      <c r="C525" s="5" t="str">
        <f ca="1">IFERROR(__xludf.DUMMYFUNCTION("""COMPUTED_VALUE"""),"ETIQUETADORA")</f>
        <v>ETIQUETADORA</v>
      </c>
      <c r="D525" s="5">
        <f ca="1">IFERROR(__xludf.DUMMYFUNCTION("""COMPUTED_VALUE"""),13247758)</f>
        <v>13247758</v>
      </c>
      <c r="E525" s="5" t="str">
        <f ca="1">IFERROR(__xludf.DUMMYFUNCTION("""COMPUTED_VALUE"""),"INSPECCION SEMANAL Etiquetadora")</f>
        <v>INSPECCION SEMANAL Etiquetadora</v>
      </c>
      <c r="F525" s="5" t="str">
        <f ca="1">IFERROR(__xludf.DUMMYFUNCTION("""COMPUTED_VALUE"""),"ESTADO GUIAS ENTRADA-SALIDA")</f>
        <v>ESTADO GUIAS ENTRADA-SALIDA</v>
      </c>
      <c r="G525" s="5" t="b">
        <f ca="1">IFERROR(__xludf.DUMMYFUNCTION("""COMPUTED_VALUE"""),TRUE)</f>
        <v>1</v>
      </c>
      <c r="H525" s="5"/>
      <c r="I525" s="5"/>
      <c r="J525" s="5">
        <f ca="1">IFERROR(__xludf.DUMMYFUNCTION("""COMPUTED_VALUE"""),13247758)</f>
        <v>13247758</v>
      </c>
      <c r="K525" s="5"/>
      <c r="L525" s="18">
        <f ca="1">IFERROR(__xludf.DUMMYFUNCTION("""COMPUTED_VALUE"""),45324)</f>
        <v>45324</v>
      </c>
      <c r="M525" s="18">
        <f ca="1">IFERROR(__xludf.DUMMYFUNCTION("""COMPUTED_VALUE"""),45324)</f>
        <v>45324</v>
      </c>
      <c r="N525" s="5" t="str">
        <f ca="1">IFERROR(__xludf.DUMMYFUNCTION("""COMPUTED_VALUE"""),"Bedoya Marin Johan Andres")</f>
        <v>Bedoya Marin Johan Andres</v>
      </c>
      <c r="O525" s="2">
        <f ca="1">IFERROR(__xludf.DUMMYFUNCTION("""COMPUTED_VALUE"""),0.05)</f>
        <v>0.05</v>
      </c>
      <c r="P525" s="5">
        <f ca="1">IFERROR(__xludf.DUMMYFUNCTION("""COMPUTED_VALUE"""),20019988)</f>
        <v>20019988</v>
      </c>
      <c r="Q525" s="5" t="str">
        <f ca="1">IFERROR(__xludf.DUMMYFUNCTION("""COMPUTED_VALUE"""),"z8i7G7yiXuE")</f>
        <v>z8i7G7yiXuE</v>
      </c>
      <c r="R525" s="5">
        <f ca="1">IFERROR(__xludf.DUMMYFUNCTION("""COMPUTED_VALUE"""),410)</f>
        <v>410</v>
      </c>
      <c r="S525" s="62">
        <f ca="1">IFERROR(__xludf.DUMMYFUNCTION("""COMPUTED_VALUE"""),0.05)</f>
        <v>0.05</v>
      </c>
      <c r="T525" s="63" t="str">
        <f ca="1">IFERROR(__xludf.DUMMYFUNCTION("""COMPUTED_VALUE"""),"https://storage.googleapis.com/glide-prod.appspot.com/uploads-v2/ly7o78grxPaC6KdgvbpS/pub/3aRdSog0vUtuqPE8AJKD.png")</f>
        <v>https://storage.googleapis.com/glide-prod.appspot.com/uploads-v2/ly7o78grxPaC6KdgvbpS/pub/3aRdSog0vUtuqPE8AJKD.png</v>
      </c>
      <c r="U525" s="5" t="str">
        <f ca="1">IFERROR(__xludf.DUMMYFUNCTION("""COMPUTED_VALUE"""),"LINEA DE ENVASADO JUGOS PET HOT FILLETIQUETADORA")</f>
        <v>LINEA DE ENVASADO JUGOS PET HOT FILLETIQUETADORA</v>
      </c>
      <c r="V525" s="5"/>
      <c r="W525" s="5" t="b">
        <f ca="1">IFERROR(__xludf.DUMMYFUNCTION("""COMPUTED_VALUE"""),TRUE)</f>
        <v>1</v>
      </c>
      <c r="X525" s="5" t="str">
        <f ca="1">IFERROR(__xludf.DUMMYFUNCTION("""COMPUTED_VALUE"""),"achavezi@postobon.com.co,aprmttoyu@postobon.com.co,aprmyu@postobon.com.co,wmora@postobon.com.co,efzapata@postobon.com.co")</f>
        <v>achavezi@postobon.com.co,aprmttoyu@postobon.com.co,aprmyu@postobon.com.co,wmora@postobon.com.co,efzapata@postobon.com.co</v>
      </c>
      <c r="Y525" s="5" t="str">
        <f ca="1">IFERROR(__xludf.DUMMYFUNCTION("""COMPUTED_VALUE"""),"achavezi@postobon.com.co")</f>
        <v>achavezi@postobon.com.co</v>
      </c>
      <c r="Z525" s="5" t="str">
        <f ca="1">IFERROR(__xludf.DUMMYFUNCTION("""COMPUTED_VALUE"""),"sWnlpNCUQgSbsfWxEt7XIA")</f>
        <v>sWnlpNCUQgSbsfWxEt7XIA</v>
      </c>
      <c r="AA525" s="5"/>
      <c r="AB525" s="5"/>
      <c r="AC525" s="5"/>
      <c r="AD525" s="5">
        <f ca="1">IFERROR(__xludf.DUMMYFUNCTION("""COMPUTED_VALUE"""),30)</f>
        <v>30</v>
      </c>
      <c r="AE525" s="5">
        <f ca="1">IFERROR(__xludf.DUMMYFUNCTION("""COMPUTED_VALUE"""),30)</f>
        <v>30</v>
      </c>
      <c r="AF525" s="5" t="b">
        <f ca="1">IFERROR(__xludf.DUMMYFUNCTION("""COMPUTED_VALUE"""),FALSE)</f>
        <v>0</v>
      </c>
      <c r="AG525" s="5" t="str">
        <f ca="1">IFERROR(__xludf.DUMMYFUNCTION("""COMPUTED_VALUE"""),"INSPECCIONES REALIZADAS")</f>
        <v>INSPECCIONES REALIZADAS</v>
      </c>
      <c r="AH525" s="5"/>
    </row>
    <row r="526" spans="1:34">
      <c r="A526" s="5" t="str">
        <f ca="1">IFERROR(__xludf.DUMMYFUNCTION("""COMPUTED_VALUE"""),"LINEA DE ENVASADO JUGOS PET HOT FILL")</f>
        <v>LINEA DE ENVASADO JUGOS PET HOT FILL</v>
      </c>
      <c r="B526" s="5">
        <f ca="1">IFERROR(__xludf.DUMMYFUNCTION("""COMPUTED_VALUE"""),900305)</f>
        <v>900305</v>
      </c>
      <c r="C526" s="5" t="str">
        <f ca="1">IFERROR(__xludf.DUMMYFUNCTION("""COMPUTED_VALUE"""),"ETIQUETADORA")</f>
        <v>ETIQUETADORA</v>
      </c>
      <c r="D526" s="5">
        <f ca="1">IFERROR(__xludf.DUMMYFUNCTION("""COMPUTED_VALUE"""),13247758)</f>
        <v>13247758</v>
      </c>
      <c r="E526" s="5" t="str">
        <f ca="1">IFERROR(__xludf.DUMMYFUNCTION("""COMPUTED_VALUE"""),"INSPECCION SEMANAL Etiquetadora")</f>
        <v>INSPECCION SEMANAL Etiquetadora</v>
      </c>
      <c r="F526" s="5" t="str">
        <f ca="1">IFERROR(__xludf.DUMMYFUNCTION("""COMPUTED_VALUE"""),"ESTADO TORNILLO SIN FIN")</f>
        <v>ESTADO TORNILLO SIN FIN</v>
      </c>
      <c r="G526" s="5" t="b">
        <f ca="1">IFERROR(__xludf.DUMMYFUNCTION("""COMPUTED_VALUE"""),TRUE)</f>
        <v>1</v>
      </c>
      <c r="H526" s="5"/>
      <c r="I526" s="5"/>
      <c r="J526" s="5">
        <f ca="1">IFERROR(__xludf.DUMMYFUNCTION("""COMPUTED_VALUE"""),13247758)</f>
        <v>13247758</v>
      </c>
      <c r="K526" s="5"/>
      <c r="L526" s="18">
        <f ca="1">IFERROR(__xludf.DUMMYFUNCTION("""COMPUTED_VALUE"""),45324)</f>
        <v>45324</v>
      </c>
      <c r="M526" s="18">
        <f ca="1">IFERROR(__xludf.DUMMYFUNCTION("""COMPUTED_VALUE"""),45324)</f>
        <v>45324</v>
      </c>
      <c r="N526" s="5" t="str">
        <f ca="1">IFERROR(__xludf.DUMMYFUNCTION("""COMPUTED_VALUE"""),"Bedoya Marin Johan Andres")</f>
        <v>Bedoya Marin Johan Andres</v>
      </c>
      <c r="O526" s="2">
        <f ca="1">IFERROR(__xludf.DUMMYFUNCTION("""COMPUTED_VALUE"""),0.05)</f>
        <v>0.05</v>
      </c>
      <c r="P526" s="5">
        <f ca="1">IFERROR(__xludf.DUMMYFUNCTION("""COMPUTED_VALUE"""),20019988)</f>
        <v>20019988</v>
      </c>
      <c r="Q526" s="5" t="str">
        <f ca="1">IFERROR(__xludf.DUMMYFUNCTION("""COMPUTED_VALUE"""),"eVTElntqLrs")</f>
        <v>eVTElntqLrs</v>
      </c>
      <c r="R526" s="5">
        <f ca="1">IFERROR(__xludf.DUMMYFUNCTION("""COMPUTED_VALUE"""),410)</f>
        <v>410</v>
      </c>
      <c r="S526" s="62">
        <f ca="1">IFERROR(__xludf.DUMMYFUNCTION("""COMPUTED_VALUE"""),0.05)</f>
        <v>0.05</v>
      </c>
      <c r="T526" s="63" t="str">
        <f ca="1">IFERROR(__xludf.DUMMYFUNCTION("""COMPUTED_VALUE"""),"https://storage.googleapis.com/glide-prod.appspot.com/uploads-v2/ly7o78grxPaC6KdgvbpS/pub/3aRdSog0vUtuqPE8AJKD.png")</f>
        <v>https://storage.googleapis.com/glide-prod.appspot.com/uploads-v2/ly7o78grxPaC6KdgvbpS/pub/3aRdSog0vUtuqPE8AJKD.png</v>
      </c>
      <c r="U526" s="5" t="str">
        <f ca="1">IFERROR(__xludf.DUMMYFUNCTION("""COMPUTED_VALUE"""),"LINEA DE ENVASADO JUGOS PET HOT FILLETIQUETADORA")</f>
        <v>LINEA DE ENVASADO JUGOS PET HOT FILLETIQUETADORA</v>
      </c>
      <c r="V526" s="5"/>
      <c r="W526" s="5" t="b">
        <f ca="1">IFERROR(__xludf.DUMMYFUNCTION("""COMPUTED_VALUE"""),TRUE)</f>
        <v>1</v>
      </c>
      <c r="X526" s="5" t="str">
        <f ca="1">IFERROR(__xludf.DUMMYFUNCTION("""COMPUTED_VALUE"""),"achavezi@postobon.com.co,aprmttoyu@postobon.com.co,aprmyu@postobon.com.co,wmora@postobon.com.co,efzapata@postobon.com.co")</f>
        <v>achavezi@postobon.com.co,aprmttoyu@postobon.com.co,aprmyu@postobon.com.co,wmora@postobon.com.co,efzapata@postobon.com.co</v>
      </c>
      <c r="Y526" s="5" t="str">
        <f ca="1">IFERROR(__xludf.DUMMYFUNCTION("""COMPUTED_VALUE"""),"achavezi@postobon.com.co")</f>
        <v>achavezi@postobon.com.co</v>
      </c>
      <c r="Z526" s="5" t="str">
        <f ca="1">IFERROR(__xludf.DUMMYFUNCTION("""COMPUTED_VALUE"""),"TvKXhtutSC6WHlAvO8Wy9w")</f>
        <v>TvKXhtutSC6WHlAvO8Wy9w</v>
      </c>
      <c r="AA526" s="5"/>
      <c r="AB526" s="5"/>
      <c r="AC526" s="5"/>
      <c r="AD526" s="5">
        <f ca="1">IFERROR(__xludf.DUMMYFUNCTION("""COMPUTED_VALUE"""),30)</f>
        <v>30</v>
      </c>
      <c r="AE526" s="5">
        <f ca="1">IFERROR(__xludf.DUMMYFUNCTION("""COMPUTED_VALUE"""),30)</f>
        <v>30</v>
      </c>
      <c r="AF526" s="5" t="b">
        <f ca="1">IFERROR(__xludf.DUMMYFUNCTION("""COMPUTED_VALUE"""),FALSE)</f>
        <v>0</v>
      </c>
      <c r="AG526" s="5" t="str">
        <f ca="1">IFERROR(__xludf.DUMMYFUNCTION("""COMPUTED_VALUE"""),"INSPECCIONES REALIZADAS")</f>
        <v>INSPECCIONES REALIZADAS</v>
      </c>
      <c r="AH526" s="5"/>
    </row>
    <row r="527" spans="1:34">
      <c r="A527" s="5" t="str">
        <f ca="1">IFERROR(__xludf.DUMMYFUNCTION("""COMPUTED_VALUE"""),"LINEA DE ENVASADO JUGOS PET HOT FILL")</f>
        <v>LINEA DE ENVASADO JUGOS PET HOT FILL</v>
      </c>
      <c r="B527" s="5">
        <f ca="1">IFERROR(__xludf.DUMMYFUNCTION("""COMPUTED_VALUE"""),900305)</f>
        <v>900305</v>
      </c>
      <c r="C527" s="5" t="str">
        <f ca="1">IFERROR(__xludf.DUMMYFUNCTION("""COMPUTED_VALUE"""),"ETIQUETADORA")</f>
        <v>ETIQUETADORA</v>
      </c>
      <c r="D527" s="5">
        <f ca="1">IFERROR(__xludf.DUMMYFUNCTION("""COMPUTED_VALUE"""),13247758)</f>
        <v>13247758</v>
      </c>
      <c r="E527" s="5" t="str">
        <f ca="1">IFERROR(__xludf.DUMMYFUNCTION("""COMPUTED_VALUE"""),"INSPECCION SEMANAL Etiquetadora")</f>
        <v>INSPECCION SEMANAL Etiquetadora</v>
      </c>
      <c r="F527" s="5" t="str">
        <f ca="1">IFERROR(__xludf.DUMMYFUNCTION("""COMPUTED_VALUE"""),"INSP. FUNCIONAMIENTO MANOMETROS")</f>
        <v>INSP. FUNCIONAMIENTO MANOMETROS</v>
      </c>
      <c r="G527" s="5" t="b">
        <f ca="1">IFERROR(__xludf.DUMMYFUNCTION("""COMPUTED_VALUE"""),TRUE)</f>
        <v>1</v>
      </c>
      <c r="H527" s="5"/>
      <c r="I527" s="5"/>
      <c r="J527" s="5">
        <f ca="1">IFERROR(__xludf.DUMMYFUNCTION("""COMPUTED_VALUE"""),13247758)</f>
        <v>13247758</v>
      </c>
      <c r="K527" s="5"/>
      <c r="L527" s="18">
        <f ca="1">IFERROR(__xludf.DUMMYFUNCTION("""COMPUTED_VALUE"""),45324)</f>
        <v>45324</v>
      </c>
      <c r="M527" s="18">
        <f ca="1">IFERROR(__xludf.DUMMYFUNCTION("""COMPUTED_VALUE"""),45324)</f>
        <v>45324</v>
      </c>
      <c r="N527" s="5" t="str">
        <f ca="1">IFERROR(__xludf.DUMMYFUNCTION("""COMPUTED_VALUE"""),"Bedoya Marin Johan Andres")</f>
        <v>Bedoya Marin Johan Andres</v>
      </c>
      <c r="O527" s="2">
        <f ca="1">IFERROR(__xludf.DUMMYFUNCTION("""COMPUTED_VALUE"""),0.05)</f>
        <v>0.05</v>
      </c>
      <c r="P527" s="5">
        <f ca="1">IFERROR(__xludf.DUMMYFUNCTION("""COMPUTED_VALUE"""),20019988)</f>
        <v>20019988</v>
      </c>
      <c r="Q527" s="5" t="str">
        <f ca="1">IFERROR(__xludf.DUMMYFUNCTION("""COMPUTED_VALUE"""),"9tCBfqj_6Yg")</f>
        <v>9tCBfqj_6Yg</v>
      </c>
      <c r="R527" s="5">
        <f ca="1">IFERROR(__xludf.DUMMYFUNCTION("""COMPUTED_VALUE"""),410)</f>
        <v>410</v>
      </c>
      <c r="S527" s="62">
        <f ca="1">IFERROR(__xludf.DUMMYFUNCTION("""COMPUTED_VALUE"""),0.05)</f>
        <v>0.05</v>
      </c>
      <c r="T527" s="63" t="str">
        <f ca="1">IFERROR(__xludf.DUMMYFUNCTION("""COMPUTED_VALUE"""),"https://storage.googleapis.com/glide-prod.appspot.com/uploads-v2/ly7o78grxPaC6KdgvbpS/pub/3aRdSog0vUtuqPE8AJKD.png")</f>
        <v>https://storage.googleapis.com/glide-prod.appspot.com/uploads-v2/ly7o78grxPaC6KdgvbpS/pub/3aRdSog0vUtuqPE8AJKD.png</v>
      </c>
      <c r="U527" s="5" t="str">
        <f ca="1">IFERROR(__xludf.DUMMYFUNCTION("""COMPUTED_VALUE"""),"LINEA DE ENVASADO JUGOS PET HOT FILLETIQUETADORA")</f>
        <v>LINEA DE ENVASADO JUGOS PET HOT FILLETIQUETADORA</v>
      </c>
      <c r="V527" s="5"/>
      <c r="W527" s="5" t="b">
        <f ca="1">IFERROR(__xludf.DUMMYFUNCTION("""COMPUTED_VALUE"""),TRUE)</f>
        <v>1</v>
      </c>
      <c r="X527" s="5" t="str">
        <f ca="1">IFERROR(__xludf.DUMMYFUNCTION("""COMPUTED_VALUE"""),"achavezi@postobon.com.co,aprmttoyu@postobon.com.co,aprmyu@postobon.com.co,wmora@postobon.com.co,efzapata@postobon.com.co")</f>
        <v>achavezi@postobon.com.co,aprmttoyu@postobon.com.co,aprmyu@postobon.com.co,wmora@postobon.com.co,efzapata@postobon.com.co</v>
      </c>
      <c r="Y527" s="5" t="str">
        <f ca="1">IFERROR(__xludf.DUMMYFUNCTION("""COMPUTED_VALUE"""),"achavezi@postobon.com.co")</f>
        <v>achavezi@postobon.com.co</v>
      </c>
      <c r="Z527" s="5" t="str">
        <f ca="1">IFERROR(__xludf.DUMMYFUNCTION("""COMPUTED_VALUE"""),"Gb24NEAxQX6MFT91ZYsbGw")</f>
        <v>Gb24NEAxQX6MFT91ZYsbGw</v>
      </c>
      <c r="AA527" s="5"/>
      <c r="AB527" s="5"/>
      <c r="AC527" s="5"/>
      <c r="AD527" s="5">
        <f ca="1">IFERROR(__xludf.DUMMYFUNCTION("""COMPUTED_VALUE"""),30)</f>
        <v>30</v>
      </c>
      <c r="AE527" s="5">
        <f ca="1">IFERROR(__xludf.DUMMYFUNCTION("""COMPUTED_VALUE"""),30)</f>
        <v>30</v>
      </c>
      <c r="AF527" s="5" t="b">
        <f ca="1">IFERROR(__xludf.DUMMYFUNCTION("""COMPUTED_VALUE"""),FALSE)</f>
        <v>0</v>
      </c>
      <c r="AG527" s="5" t="str">
        <f ca="1">IFERROR(__xludf.DUMMYFUNCTION("""COMPUTED_VALUE"""),"INSPECCIONES REALIZADAS")</f>
        <v>INSPECCIONES REALIZADAS</v>
      </c>
      <c r="AH527" s="5"/>
    </row>
    <row r="528" spans="1:34">
      <c r="A528" s="5" t="str">
        <f ca="1">IFERROR(__xludf.DUMMYFUNCTION("""COMPUTED_VALUE"""),"LINEA DE ENVASADO JUGOS PET HOT FILL")</f>
        <v>LINEA DE ENVASADO JUGOS PET HOT FILL</v>
      </c>
      <c r="B528" s="5">
        <f ca="1">IFERROR(__xludf.DUMMYFUNCTION("""COMPUTED_VALUE"""),900305)</f>
        <v>900305</v>
      </c>
      <c r="C528" s="5" t="str">
        <f ca="1">IFERROR(__xludf.DUMMYFUNCTION("""COMPUTED_VALUE"""),"ETIQUETADORA")</f>
        <v>ETIQUETADORA</v>
      </c>
      <c r="D528" s="5">
        <f ca="1">IFERROR(__xludf.DUMMYFUNCTION("""COMPUTED_VALUE"""),13247758)</f>
        <v>13247758</v>
      </c>
      <c r="E528" s="5" t="str">
        <f ca="1">IFERROR(__xludf.DUMMYFUNCTION("""COMPUTED_VALUE"""),"INSPECCION SEMANAL Etiquetadora")</f>
        <v>INSPECCION SEMANAL Etiquetadora</v>
      </c>
      <c r="F528" s="5" t="str">
        <f ca="1">IFERROR(__xludf.DUMMYFUNCTION("""COMPUTED_VALUE"""),"FUNC. EQUIPO BANDA SEGURIDAD")</f>
        <v>FUNC. EQUIPO BANDA SEGURIDAD</v>
      </c>
      <c r="G528" s="5" t="b">
        <f ca="1">IFERROR(__xludf.DUMMYFUNCTION("""COMPUTED_VALUE"""),TRUE)</f>
        <v>1</v>
      </c>
      <c r="H528" s="5"/>
      <c r="I528" s="5"/>
      <c r="J528" s="5">
        <f ca="1">IFERROR(__xludf.DUMMYFUNCTION("""COMPUTED_VALUE"""),13247758)</f>
        <v>13247758</v>
      </c>
      <c r="K528" s="5"/>
      <c r="L528" s="18">
        <f ca="1">IFERROR(__xludf.DUMMYFUNCTION("""COMPUTED_VALUE"""),45324)</f>
        <v>45324</v>
      </c>
      <c r="M528" s="18">
        <f ca="1">IFERROR(__xludf.DUMMYFUNCTION("""COMPUTED_VALUE"""),45324)</f>
        <v>45324</v>
      </c>
      <c r="N528" s="5" t="str">
        <f ca="1">IFERROR(__xludf.DUMMYFUNCTION("""COMPUTED_VALUE"""),"Bedoya Marin Johan Andres")</f>
        <v>Bedoya Marin Johan Andres</v>
      </c>
      <c r="O528" s="2">
        <f ca="1">IFERROR(__xludf.DUMMYFUNCTION("""COMPUTED_VALUE"""),0.05)</f>
        <v>0.05</v>
      </c>
      <c r="P528" s="5">
        <f ca="1">IFERROR(__xludf.DUMMYFUNCTION("""COMPUTED_VALUE"""),20019988)</f>
        <v>20019988</v>
      </c>
      <c r="Q528" s="5" t="str">
        <f ca="1">IFERROR(__xludf.DUMMYFUNCTION("""COMPUTED_VALUE"""),"5-b-D2MS6aU")</f>
        <v>5-b-D2MS6aU</v>
      </c>
      <c r="R528" s="5">
        <f ca="1">IFERROR(__xludf.DUMMYFUNCTION("""COMPUTED_VALUE"""),410)</f>
        <v>410</v>
      </c>
      <c r="S528" s="62">
        <f ca="1">IFERROR(__xludf.DUMMYFUNCTION("""COMPUTED_VALUE"""),0.05)</f>
        <v>0.05</v>
      </c>
      <c r="T528" s="63" t="str">
        <f ca="1">IFERROR(__xludf.DUMMYFUNCTION("""COMPUTED_VALUE"""),"https://storage.googleapis.com/glide-prod.appspot.com/uploads-v2/ly7o78grxPaC6KdgvbpS/pub/3aRdSog0vUtuqPE8AJKD.png")</f>
        <v>https://storage.googleapis.com/glide-prod.appspot.com/uploads-v2/ly7o78grxPaC6KdgvbpS/pub/3aRdSog0vUtuqPE8AJKD.png</v>
      </c>
      <c r="U528" s="5" t="str">
        <f ca="1">IFERROR(__xludf.DUMMYFUNCTION("""COMPUTED_VALUE"""),"LINEA DE ENVASADO JUGOS PET HOT FILLETIQUETADORA")</f>
        <v>LINEA DE ENVASADO JUGOS PET HOT FILLETIQUETADORA</v>
      </c>
      <c r="V528" s="5"/>
      <c r="W528" s="5" t="b">
        <f ca="1">IFERROR(__xludf.DUMMYFUNCTION("""COMPUTED_VALUE"""),TRUE)</f>
        <v>1</v>
      </c>
      <c r="X528" s="5" t="str">
        <f ca="1">IFERROR(__xludf.DUMMYFUNCTION("""COMPUTED_VALUE"""),"achavezi@postobon.com.co,aprmttoyu@postobon.com.co,aprmyu@postobon.com.co,wmora@postobon.com.co,efzapata@postobon.com.co")</f>
        <v>achavezi@postobon.com.co,aprmttoyu@postobon.com.co,aprmyu@postobon.com.co,wmora@postobon.com.co,efzapata@postobon.com.co</v>
      </c>
      <c r="Y528" s="5" t="str">
        <f ca="1">IFERROR(__xludf.DUMMYFUNCTION("""COMPUTED_VALUE"""),"achavezi@postobon.com.co")</f>
        <v>achavezi@postobon.com.co</v>
      </c>
      <c r="Z528" s="5" t="str">
        <f ca="1">IFERROR(__xludf.DUMMYFUNCTION("""COMPUTED_VALUE"""),"9oXUQwXgQ5KjiBM6ZUIUVQ")</f>
        <v>9oXUQwXgQ5KjiBM6ZUIUVQ</v>
      </c>
      <c r="AA528" s="5"/>
      <c r="AB528" s="5"/>
      <c r="AC528" s="5"/>
      <c r="AD528" s="5">
        <f ca="1">IFERROR(__xludf.DUMMYFUNCTION("""COMPUTED_VALUE"""),30)</f>
        <v>30</v>
      </c>
      <c r="AE528" s="5">
        <f ca="1">IFERROR(__xludf.DUMMYFUNCTION("""COMPUTED_VALUE"""),30)</f>
        <v>30</v>
      </c>
      <c r="AF528" s="5" t="b">
        <f ca="1">IFERROR(__xludf.DUMMYFUNCTION("""COMPUTED_VALUE"""),FALSE)</f>
        <v>0</v>
      </c>
      <c r="AG528" s="5" t="str">
        <f ca="1">IFERROR(__xludf.DUMMYFUNCTION("""COMPUTED_VALUE"""),"INSPECCIONES REALIZADAS")</f>
        <v>INSPECCIONES REALIZADAS</v>
      </c>
      <c r="AH528" s="5"/>
    </row>
    <row r="529" spans="1:34">
      <c r="A529" s="5" t="str">
        <f ca="1">IFERROR(__xludf.DUMMYFUNCTION("""COMPUTED_VALUE"""),"LINEA DE ENVASADO JUGOS PET HOT FILL")</f>
        <v>LINEA DE ENVASADO JUGOS PET HOT FILL</v>
      </c>
      <c r="B529" s="5">
        <f ca="1">IFERROR(__xludf.DUMMYFUNCTION("""COMPUTED_VALUE"""),900305)</f>
        <v>900305</v>
      </c>
      <c r="C529" s="5" t="str">
        <f ca="1">IFERROR(__xludf.DUMMYFUNCTION("""COMPUTED_VALUE"""),"ETIQUETADORA")</f>
        <v>ETIQUETADORA</v>
      </c>
      <c r="D529" s="5">
        <f ca="1">IFERROR(__xludf.DUMMYFUNCTION("""COMPUTED_VALUE"""),13247758)</f>
        <v>13247758</v>
      </c>
      <c r="E529" s="5" t="str">
        <f ca="1">IFERROR(__xludf.DUMMYFUNCTION("""COMPUTED_VALUE"""),"INSPECCION SEMANAL Etiquetadora")</f>
        <v>INSPECCION SEMANAL Etiquetadora</v>
      </c>
      <c r="F529" s="5" t="str">
        <f ca="1">IFERROR(__xludf.DUMMYFUNCTION("""COMPUTED_VALUE"""),"INSP. TABLERO ELECTRICO/CLIMATIZADOR")</f>
        <v>INSP. TABLERO ELECTRICO/CLIMATIZADOR</v>
      </c>
      <c r="G529" s="5" t="b">
        <f ca="1">IFERROR(__xludf.DUMMYFUNCTION("""COMPUTED_VALUE"""),TRUE)</f>
        <v>1</v>
      </c>
      <c r="H529" s="5"/>
      <c r="I529" s="5"/>
      <c r="J529" s="5">
        <f ca="1">IFERROR(__xludf.DUMMYFUNCTION("""COMPUTED_VALUE"""),13247758)</f>
        <v>13247758</v>
      </c>
      <c r="K529" s="5"/>
      <c r="L529" s="18">
        <f ca="1">IFERROR(__xludf.DUMMYFUNCTION("""COMPUTED_VALUE"""),45324)</f>
        <v>45324</v>
      </c>
      <c r="M529" s="18">
        <f ca="1">IFERROR(__xludf.DUMMYFUNCTION("""COMPUTED_VALUE"""),45324)</f>
        <v>45324</v>
      </c>
      <c r="N529" s="5" t="str">
        <f ca="1">IFERROR(__xludf.DUMMYFUNCTION("""COMPUTED_VALUE"""),"Bedoya Marin Johan Andres")</f>
        <v>Bedoya Marin Johan Andres</v>
      </c>
      <c r="O529" s="2">
        <f ca="1">IFERROR(__xludf.DUMMYFUNCTION("""COMPUTED_VALUE"""),0.05)</f>
        <v>0.05</v>
      </c>
      <c r="P529" s="5">
        <f ca="1">IFERROR(__xludf.DUMMYFUNCTION("""COMPUTED_VALUE"""),20019988)</f>
        <v>20019988</v>
      </c>
      <c r="Q529" s="5" t="str">
        <f ca="1">IFERROR(__xludf.DUMMYFUNCTION("""COMPUTED_VALUE"""),"GphBv7FT6tE")</f>
        <v>GphBv7FT6tE</v>
      </c>
      <c r="R529" s="5">
        <f ca="1">IFERROR(__xludf.DUMMYFUNCTION("""COMPUTED_VALUE"""),410)</f>
        <v>410</v>
      </c>
      <c r="S529" s="62">
        <f ca="1">IFERROR(__xludf.DUMMYFUNCTION("""COMPUTED_VALUE"""),0.05)</f>
        <v>0.05</v>
      </c>
      <c r="T529" s="63" t="str">
        <f ca="1">IFERROR(__xludf.DUMMYFUNCTION("""COMPUTED_VALUE"""),"https://storage.googleapis.com/glide-prod.appspot.com/uploads-v2/ly7o78grxPaC6KdgvbpS/pub/3aRdSog0vUtuqPE8AJKD.png")</f>
        <v>https://storage.googleapis.com/glide-prod.appspot.com/uploads-v2/ly7o78grxPaC6KdgvbpS/pub/3aRdSog0vUtuqPE8AJKD.png</v>
      </c>
      <c r="U529" s="5" t="str">
        <f ca="1">IFERROR(__xludf.DUMMYFUNCTION("""COMPUTED_VALUE"""),"LINEA DE ENVASADO JUGOS PET HOT FILLETIQUETADORA")</f>
        <v>LINEA DE ENVASADO JUGOS PET HOT FILLETIQUETADORA</v>
      </c>
      <c r="V529" s="5"/>
      <c r="W529" s="5" t="b">
        <f ca="1">IFERROR(__xludf.DUMMYFUNCTION("""COMPUTED_VALUE"""),TRUE)</f>
        <v>1</v>
      </c>
      <c r="X529" s="5" t="str">
        <f ca="1">IFERROR(__xludf.DUMMYFUNCTION("""COMPUTED_VALUE"""),"achavezi@postobon.com.co,aprmttoyu@postobon.com.co,aprmyu@postobon.com.co,wmora@postobon.com.co,efzapata@postobon.com.co")</f>
        <v>achavezi@postobon.com.co,aprmttoyu@postobon.com.co,aprmyu@postobon.com.co,wmora@postobon.com.co,efzapata@postobon.com.co</v>
      </c>
      <c r="Y529" s="5" t="str">
        <f ca="1">IFERROR(__xludf.DUMMYFUNCTION("""COMPUTED_VALUE"""),"achavezi@postobon.com.co")</f>
        <v>achavezi@postobon.com.co</v>
      </c>
      <c r="Z529" s="5" t="str">
        <f ca="1">IFERROR(__xludf.DUMMYFUNCTION("""COMPUTED_VALUE"""),"0HzYzFCfT1mSkLFCF.k7Zw")</f>
        <v>0HzYzFCfT1mSkLFCF.k7Zw</v>
      </c>
      <c r="AA529" s="5"/>
      <c r="AB529" s="5"/>
      <c r="AC529" s="5"/>
      <c r="AD529" s="5">
        <f ca="1">IFERROR(__xludf.DUMMYFUNCTION("""COMPUTED_VALUE"""),30)</f>
        <v>30</v>
      </c>
      <c r="AE529" s="5">
        <f ca="1">IFERROR(__xludf.DUMMYFUNCTION("""COMPUTED_VALUE"""),30)</f>
        <v>30</v>
      </c>
      <c r="AF529" s="5" t="b">
        <f ca="1">IFERROR(__xludf.DUMMYFUNCTION("""COMPUTED_VALUE"""),FALSE)</f>
        <v>0</v>
      </c>
      <c r="AG529" s="5" t="str">
        <f ca="1">IFERROR(__xludf.DUMMYFUNCTION("""COMPUTED_VALUE"""),"INSPECCIONES REALIZADAS")</f>
        <v>INSPECCIONES REALIZADAS</v>
      </c>
      <c r="AH529" s="5"/>
    </row>
    <row r="530" spans="1:34">
      <c r="A530" s="5" t="str">
        <f ca="1">IFERROR(__xludf.DUMMYFUNCTION("""COMPUTED_VALUE"""),"LINEA DE ENVASADO JUGOS PET HOT FILL")</f>
        <v>LINEA DE ENVASADO JUGOS PET HOT FILL</v>
      </c>
      <c r="B530" s="5">
        <f ca="1">IFERROR(__xludf.DUMMYFUNCTION("""COMPUTED_VALUE"""),900305)</f>
        <v>900305</v>
      </c>
      <c r="C530" s="5" t="str">
        <f ca="1">IFERROR(__xludf.DUMMYFUNCTION("""COMPUTED_VALUE"""),"ETIQUETADORA")</f>
        <v>ETIQUETADORA</v>
      </c>
      <c r="D530" s="5">
        <f ca="1">IFERROR(__xludf.DUMMYFUNCTION("""COMPUTED_VALUE"""),13247758)</f>
        <v>13247758</v>
      </c>
      <c r="E530" s="5" t="str">
        <f ca="1">IFERROR(__xludf.DUMMYFUNCTION("""COMPUTED_VALUE"""),"INSPECCION SEMANAL Etiquetadora")</f>
        <v>INSPECCION SEMANAL Etiquetadora</v>
      </c>
      <c r="F530" s="5" t="str">
        <f ca="1">IFERROR(__xludf.DUMMYFUNCTION("""COMPUTED_VALUE"""),"INS. PSI ADECUADA AJUSTE DE CUCHILLAS")</f>
        <v>INS. PSI ADECUADA AJUSTE DE CUCHILLAS</v>
      </c>
      <c r="G530" s="5" t="b">
        <f ca="1">IFERROR(__xludf.DUMMYFUNCTION("""COMPUTED_VALUE"""),TRUE)</f>
        <v>1</v>
      </c>
      <c r="H530" s="5"/>
      <c r="I530" s="5"/>
      <c r="J530" s="5">
        <f ca="1">IFERROR(__xludf.DUMMYFUNCTION("""COMPUTED_VALUE"""),13247758)</f>
        <v>13247758</v>
      </c>
      <c r="K530" s="5"/>
      <c r="L530" s="18">
        <f ca="1">IFERROR(__xludf.DUMMYFUNCTION("""COMPUTED_VALUE"""),45324)</f>
        <v>45324</v>
      </c>
      <c r="M530" s="18">
        <f ca="1">IFERROR(__xludf.DUMMYFUNCTION("""COMPUTED_VALUE"""),45324)</f>
        <v>45324</v>
      </c>
      <c r="N530" s="5" t="str">
        <f ca="1">IFERROR(__xludf.DUMMYFUNCTION("""COMPUTED_VALUE"""),"Bedoya Marin Johan Andres")</f>
        <v>Bedoya Marin Johan Andres</v>
      </c>
      <c r="O530" s="2">
        <f ca="1">IFERROR(__xludf.DUMMYFUNCTION("""COMPUTED_VALUE"""),0.05)</f>
        <v>0.05</v>
      </c>
      <c r="P530" s="5">
        <f ca="1">IFERROR(__xludf.DUMMYFUNCTION("""COMPUTED_VALUE"""),20019988)</f>
        <v>20019988</v>
      </c>
      <c r="Q530" s="5" t="str">
        <f ca="1">IFERROR(__xludf.DUMMYFUNCTION("""COMPUTED_VALUE"""),"Sur8Kh8zgr8")</f>
        <v>Sur8Kh8zgr8</v>
      </c>
      <c r="R530" s="5">
        <f ca="1">IFERROR(__xludf.DUMMYFUNCTION("""COMPUTED_VALUE"""),410)</f>
        <v>410</v>
      </c>
      <c r="S530" s="62">
        <f ca="1">IFERROR(__xludf.DUMMYFUNCTION("""COMPUTED_VALUE"""),0.05)</f>
        <v>0.05</v>
      </c>
      <c r="T530" s="63" t="str">
        <f ca="1">IFERROR(__xludf.DUMMYFUNCTION("""COMPUTED_VALUE"""),"https://storage.googleapis.com/glide-prod.appspot.com/uploads-v2/ly7o78grxPaC6KdgvbpS/pub/3aRdSog0vUtuqPE8AJKD.png")</f>
        <v>https://storage.googleapis.com/glide-prod.appspot.com/uploads-v2/ly7o78grxPaC6KdgvbpS/pub/3aRdSog0vUtuqPE8AJKD.png</v>
      </c>
      <c r="U530" s="5" t="str">
        <f ca="1">IFERROR(__xludf.DUMMYFUNCTION("""COMPUTED_VALUE"""),"LINEA DE ENVASADO JUGOS PET HOT FILLETIQUETADORA")</f>
        <v>LINEA DE ENVASADO JUGOS PET HOT FILLETIQUETADORA</v>
      </c>
      <c r="V530" s="5"/>
      <c r="W530" s="5" t="b">
        <f ca="1">IFERROR(__xludf.DUMMYFUNCTION("""COMPUTED_VALUE"""),TRUE)</f>
        <v>1</v>
      </c>
      <c r="X530" s="5" t="str">
        <f ca="1">IFERROR(__xludf.DUMMYFUNCTION("""COMPUTED_VALUE"""),"achavezi@postobon.com.co,aprmttoyu@postobon.com.co,aprmyu@postobon.com.co,wmora@postobon.com.co,efzapata@postobon.com.co")</f>
        <v>achavezi@postobon.com.co,aprmttoyu@postobon.com.co,aprmyu@postobon.com.co,wmora@postobon.com.co,efzapata@postobon.com.co</v>
      </c>
      <c r="Y530" s="5" t="str">
        <f ca="1">IFERROR(__xludf.DUMMYFUNCTION("""COMPUTED_VALUE"""),"achavezi@postobon.com.co")</f>
        <v>achavezi@postobon.com.co</v>
      </c>
      <c r="Z530" s="5" t="str">
        <f ca="1">IFERROR(__xludf.DUMMYFUNCTION("""COMPUTED_VALUE"""),"88RPMGCxTDutlx3bf0zvlA")</f>
        <v>88RPMGCxTDutlx3bf0zvlA</v>
      </c>
      <c r="AA530" s="5"/>
      <c r="AB530" s="5"/>
      <c r="AC530" s="5"/>
      <c r="AD530" s="5">
        <f ca="1">IFERROR(__xludf.DUMMYFUNCTION("""COMPUTED_VALUE"""),30)</f>
        <v>30</v>
      </c>
      <c r="AE530" s="5">
        <f ca="1">IFERROR(__xludf.DUMMYFUNCTION("""COMPUTED_VALUE"""),30)</f>
        <v>30</v>
      </c>
      <c r="AF530" s="5" t="b">
        <f ca="1">IFERROR(__xludf.DUMMYFUNCTION("""COMPUTED_VALUE"""),FALSE)</f>
        <v>0</v>
      </c>
      <c r="AG530" s="5" t="str">
        <f ca="1">IFERROR(__xludf.DUMMYFUNCTION("""COMPUTED_VALUE"""),"INSPECCIONES REALIZADAS")</f>
        <v>INSPECCIONES REALIZADAS</v>
      </c>
      <c r="AH530" s="5"/>
    </row>
    <row r="531" spans="1:34">
      <c r="A531" s="5" t="str">
        <f ca="1">IFERROR(__xludf.DUMMYFUNCTION("""COMPUTED_VALUE"""),"LINEA DE ENVASADO PET NO RETORNABLE")</f>
        <v>LINEA DE ENVASADO PET NO RETORNABLE</v>
      </c>
      <c r="B531" s="5">
        <f ca="1">IFERROR(__xludf.DUMMYFUNCTION("""COMPUTED_VALUE"""),820071)</f>
        <v>820071</v>
      </c>
      <c r="C531" s="5" t="str">
        <f ca="1">IFERROR(__xludf.DUMMYFUNCTION("""COMPUTED_VALUE"""),"ETIQUETADORA")</f>
        <v>ETIQUETADORA</v>
      </c>
      <c r="D531" s="5">
        <f ca="1">IFERROR(__xludf.DUMMYFUNCTION("""COMPUTED_VALUE"""),13247826)</f>
        <v>13247826</v>
      </c>
      <c r="E531" s="5" t="str">
        <f ca="1">IFERROR(__xludf.DUMMYFUNCTION("""COMPUTED_VALUE"""),"INSPECCION SEMANAL ETIQUETADORA")</f>
        <v>INSPECCION SEMANAL ETIQUETADORA</v>
      </c>
      <c r="F531" s="5" t="str">
        <f ca="1">IFERROR(__xludf.DUMMYFUNCTION("""COMPUTED_VALUE"""),"INSP. CONJUNTO CORTE")</f>
        <v>INSP. CONJUNTO CORTE</v>
      </c>
      <c r="G531" s="5" t="b">
        <f ca="1">IFERROR(__xludf.DUMMYFUNCTION("""COMPUTED_VALUE"""),TRUE)</f>
        <v>1</v>
      </c>
      <c r="H531" s="5"/>
      <c r="I531" s="5"/>
      <c r="J531" s="5">
        <f ca="1">IFERROR(__xludf.DUMMYFUNCTION("""COMPUTED_VALUE"""),13247826)</f>
        <v>13247826</v>
      </c>
      <c r="K531" s="5"/>
      <c r="L531" s="18">
        <f ca="1">IFERROR(__xludf.DUMMYFUNCTION("""COMPUTED_VALUE"""),45325)</f>
        <v>45325</v>
      </c>
      <c r="M531" s="18">
        <f ca="1">IFERROR(__xludf.DUMMYFUNCTION("""COMPUTED_VALUE"""),45325)</f>
        <v>45325</v>
      </c>
      <c r="N531" s="5" t="str">
        <f ca="1">IFERROR(__xludf.DUMMYFUNCTION("""COMPUTED_VALUE"""),"Sanchez Rodriguez Gerson Andres")</f>
        <v>Sanchez Rodriguez Gerson Andres</v>
      </c>
      <c r="O531" s="2">
        <f ca="1">IFERROR(__xludf.DUMMYFUNCTION("""COMPUTED_VALUE"""),0.005555556)</f>
        <v>5.5555559999999997E-3</v>
      </c>
      <c r="P531" s="5">
        <f ca="1">IFERROR(__xludf.DUMMYFUNCTION("""COMPUTED_VALUE"""),20020754)</f>
        <v>20020754</v>
      </c>
      <c r="Q531" s="5" t="str">
        <f ca="1">IFERROR(__xludf.DUMMYFUNCTION("""COMPUTED_VALUE"""),"3ynD-7IDllk")</f>
        <v>3ynD-7IDllk</v>
      </c>
      <c r="R531" s="5">
        <f ca="1">IFERROR(__xludf.DUMMYFUNCTION("""COMPUTED_VALUE"""),410)</f>
        <v>410</v>
      </c>
      <c r="S531" s="62">
        <f ca="1">IFERROR(__xludf.DUMMYFUNCTION("""COMPUTED_VALUE"""),0.005555556)</f>
        <v>5.5555559999999997E-3</v>
      </c>
      <c r="T531" s="63" t="str">
        <f ca="1">IFERROR(__xludf.DUMMYFUNCTION("""COMPUTED_VALUE"""),"https://storage.googleapis.com/glide-prod.appspot.com/uploads-v2/ly7o78grxPaC6KdgvbpS/pub/3aRdSog0vUtuqPE8AJKD.png")</f>
        <v>https://storage.googleapis.com/glide-prod.appspot.com/uploads-v2/ly7o78grxPaC6KdgvbpS/pub/3aRdSog0vUtuqPE8AJKD.png</v>
      </c>
      <c r="U531" s="5" t="str">
        <f ca="1">IFERROR(__xludf.DUMMYFUNCTION("""COMPUTED_VALUE"""),"LINEA DE ENVASADO PET NO RETORNABLEETIQUETADORA")</f>
        <v>LINEA DE ENVASADO PET NO RETORNABLEETIQUETADORA</v>
      </c>
      <c r="V531" s="5"/>
      <c r="W531" s="5" t="b">
        <f ca="1">IFERROR(__xludf.DUMMYFUNCTION("""COMPUTED_VALUE"""),TRUE)</f>
        <v>1</v>
      </c>
      <c r="X531" s="5" t="str">
        <f ca="1">IFERROR(__xludf.DUMMYFUNCTION("""COMPUTED_VALUE"""),"wguerra@postobon.com.co,aprmttoyu@postobon.com.co,aprmyu@postobon.com.co,wmora@postobon.com.co,efzapata@postobon.com.co")</f>
        <v>wguerra@postobon.com.co,aprmttoyu@postobon.com.co,aprmyu@postobon.com.co,wmora@postobon.com.co,efzapata@postobon.com.co</v>
      </c>
      <c r="Y531" s="5" t="str">
        <f ca="1">IFERROR(__xludf.DUMMYFUNCTION("""COMPUTED_VALUE"""),"wguerra@postobon.com.co")</f>
        <v>wguerra@postobon.com.co</v>
      </c>
      <c r="Z531" s="5" t="str">
        <f ca="1">IFERROR(__xludf.DUMMYFUNCTION("""COMPUTED_VALUE"""),"jKEWEmrOSMeJvjhDAsxfqw")</f>
        <v>jKEWEmrOSMeJvjhDAsxfqw</v>
      </c>
      <c r="AA531" s="5"/>
      <c r="AB531" s="5"/>
      <c r="AC531" s="5"/>
      <c r="AD531" s="5">
        <f ca="1">IFERROR(__xludf.DUMMYFUNCTION("""COMPUTED_VALUE"""),18)</f>
        <v>18</v>
      </c>
      <c r="AE531" s="5">
        <f ca="1">IFERROR(__xludf.DUMMYFUNCTION("""COMPUTED_VALUE"""),18)</f>
        <v>18</v>
      </c>
      <c r="AF531" s="5" t="b">
        <f ca="1">IFERROR(__xludf.DUMMYFUNCTION("""COMPUTED_VALUE"""),FALSE)</f>
        <v>0</v>
      </c>
      <c r="AG531" s="5" t="str">
        <f ca="1">IFERROR(__xludf.DUMMYFUNCTION("""COMPUTED_VALUE"""),"INSPECCIONES REALIZADAS")</f>
        <v>INSPECCIONES REALIZADAS</v>
      </c>
      <c r="AH531" s="5"/>
    </row>
    <row r="532" spans="1:34">
      <c r="A532" s="5" t="str">
        <f ca="1">IFERROR(__xludf.DUMMYFUNCTION("""COMPUTED_VALUE"""),"LINEA DE ENVASADO PET NO RETORNABLE")</f>
        <v>LINEA DE ENVASADO PET NO RETORNABLE</v>
      </c>
      <c r="B532" s="5">
        <f ca="1">IFERROR(__xludf.DUMMYFUNCTION("""COMPUTED_VALUE"""),820071)</f>
        <v>820071</v>
      </c>
      <c r="C532" s="5" t="str">
        <f ca="1">IFERROR(__xludf.DUMMYFUNCTION("""COMPUTED_VALUE"""),"ETIQUETADORA")</f>
        <v>ETIQUETADORA</v>
      </c>
      <c r="D532" s="5">
        <f ca="1">IFERROR(__xludf.DUMMYFUNCTION("""COMPUTED_VALUE"""),13247826)</f>
        <v>13247826</v>
      </c>
      <c r="E532" s="5" t="str">
        <f ca="1">IFERROR(__xludf.DUMMYFUNCTION("""COMPUTED_VALUE"""),"INSPECCION SEMANAL ETIQUETADORA")</f>
        <v>INSPECCION SEMANAL ETIQUETADORA</v>
      </c>
      <c r="F532" s="5" t="str">
        <f ca="1">IFERROR(__xludf.DUMMYFUNCTION("""COMPUTED_VALUE"""),"ESTADO UNIDAD MTTO AIRE")</f>
        <v>ESTADO UNIDAD MTTO AIRE</v>
      </c>
      <c r="G532" s="5" t="b">
        <f ca="1">IFERROR(__xludf.DUMMYFUNCTION("""COMPUTED_VALUE"""),TRUE)</f>
        <v>1</v>
      </c>
      <c r="H532" s="5"/>
      <c r="I532" s="5"/>
      <c r="J532" s="5">
        <f ca="1">IFERROR(__xludf.DUMMYFUNCTION("""COMPUTED_VALUE"""),13247826)</f>
        <v>13247826</v>
      </c>
      <c r="K532" s="5"/>
      <c r="L532" s="18">
        <f ca="1">IFERROR(__xludf.DUMMYFUNCTION("""COMPUTED_VALUE"""),45325)</f>
        <v>45325</v>
      </c>
      <c r="M532" s="18">
        <f ca="1">IFERROR(__xludf.DUMMYFUNCTION("""COMPUTED_VALUE"""),45325)</f>
        <v>45325</v>
      </c>
      <c r="N532" s="5" t="str">
        <f ca="1">IFERROR(__xludf.DUMMYFUNCTION("""COMPUTED_VALUE"""),"Sanchez Rodriguez Gerson Andres")</f>
        <v>Sanchez Rodriguez Gerson Andres</v>
      </c>
      <c r="O532" s="2">
        <f ca="1">IFERROR(__xludf.DUMMYFUNCTION("""COMPUTED_VALUE"""),0.005555556)</f>
        <v>5.5555559999999997E-3</v>
      </c>
      <c r="P532" s="5">
        <f ca="1">IFERROR(__xludf.DUMMYFUNCTION("""COMPUTED_VALUE"""),20020754)</f>
        <v>20020754</v>
      </c>
      <c r="Q532" s="5" t="str">
        <f ca="1">IFERROR(__xludf.DUMMYFUNCTION("""COMPUTED_VALUE"""),"dG-lmrxPD6o")</f>
        <v>dG-lmrxPD6o</v>
      </c>
      <c r="R532" s="5">
        <f ca="1">IFERROR(__xludf.DUMMYFUNCTION("""COMPUTED_VALUE"""),410)</f>
        <v>410</v>
      </c>
      <c r="S532" s="62">
        <f ca="1">IFERROR(__xludf.DUMMYFUNCTION("""COMPUTED_VALUE"""),0.005555556)</f>
        <v>5.5555559999999997E-3</v>
      </c>
      <c r="T532" s="63" t="str">
        <f ca="1">IFERROR(__xludf.DUMMYFUNCTION("""COMPUTED_VALUE"""),"https://storage.googleapis.com/glide-prod.appspot.com/uploads-v2/ly7o78grxPaC6KdgvbpS/pub/3aRdSog0vUtuqPE8AJKD.png")</f>
        <v>https://storage.googleapis.com/glide-prod.appspot.com/uploads-v2/ly7o78grxPaC6KdgvbpS/pub/3aRdSog0vUtuqPE8AJKD.png</v>
      </c>
      <c r="U532" s="5" t="str">
        <f ca="1">IFERROR(__xludf.DUMMYFUNCTION("""COMPUTED_VALUE"""),"LINEA DE ENVASADO PET NO RETORNABLEETIQUETADORA")</f>
        <v>LINEA DE ENVASADO PET NO RETORNABLEETIQUETADORA</v>
      </c>
      <c r="V532" s="5"/>
      <c r="W532" s="5" t="b">
        <f ca="1">IFERROR(__xludf.DUMMYFUNCTION("""COMPUTED_VALUE"""),TRUE)</f>
        <v>1</v>
      </c>
      <c r="X532" s="5" t="str">
        <f ca="1">IFERROR(__xludf.DUMMYFUNCTION("""COMPUTED_VALUE"""),"wguerra@postobon.com.co,aprmttoyu@postobon.com.co,aprmyu@postobon.com.co,wmora@postobon.com.co,efzapata@postobon.com.co")</f>
        <v>wguerra@postobon.com.co,aprmttoyu@postobon.com.co,aprmyu@postobon.com.co,wmora@postobon.com.co,efzapata@postobon.com.co</v>
      </c>
      <c r="Y532" s="5" t="str">
        <f ca="1">IFERROR(__xludf.DUMMYFUNCTION("""COMPUTED_VALUE"""),"wguerra@postobon.com.co")</f>
        <v>wguerra@postobon.com.co</v>
      </c>
      <c r="Z532" s="5" t="str">
        <f ca="1">IFERROR(__xludf.DUMMYFUNCTION("""COMPUTED_VALUE"""),"4O-l7eJrSNWBLyJU5-kUrg")</f>
        <v>4O-l7eJrSNWBLyJU5-kUrg</v>
      </c>
      <c r="AA532" s="5"/>
      <c r="AB532" s="5"/>
      <c r="AC532" s="5"/>
      <c r="AD532" s="5">
        <f ca="1">IFERROR(__xludf.DUMMYFUNCTION("""COMPUTED_VALUE"""),18)</f>
        <v>18</v>
      </c>
      <c r="AE532" s="5">
        <f ca="1">IFERROR(__xludf.DUMMYFUNCTION("""COMPUTED_VALUE"""),18)</f>
        <v>18</v>
      </c>
      <c r="AF532" s="5" t="b">
        <f ca="1">IFERROR(__xludf.DUMMYFUNCTION("""COMPUTED_VALUE"""),FALSE)</f>
        <v>0</v>
      </c>
      <c r="AG532" s="5" t="str">
        <f ca="1">IFERROR(__xludf.DUMMYFUNCTION("""COMPUTED_VALUE"""),"INSPECCIONES REALIZADAS")</f>
        <v>INSPECCIONES REALIZADAS</v>
      </c>
      <c r="AH532" s="5"/>
    </row>
    <row r="533" spans="1:34">
      <c r="A533" s="5" t="str">
        <f ca="1">IFERROR(__xludf.DUMMYFUNCTION("""COMPUTED_VALUE"""),"LINEA DE ENVASADO PET NO RETORNABLE")</f>
        <v>LINEA DE ENVASADO PET NO RETORNABLE</v>
      </c>
      <c r="B533" s="5">
        <f ca="1">IFERROR(__xludf.DUMMYFUNCTION("""COMPUTED_VALUE"""),820071)</f>
        <v>820071</v>
      </c>
      <c r="C533" s="5" t="str">
        <f ca="1">IFERROR(__xludf.DUMMYFUNCTION("""COMPUTED_VALUE"""),"ETIQUETADORA")</f>
        <v>ETIQUETADORA</v>
      </c>
      <c r="D533" s="5">
        <f ca="1">IFERROR(__xludf.DUMMYFUNCTION("""COMPUTED_VALUE"""),13247826)</f>
        <v>13247826</v>
      </c>
      <c r="E533" s="5" t="str">
        <f ca="1">IFERROR(__xludf.DUMMYFUNCTION("""COMPUTED_VALUE"""),"INSPECCION SEMANAL ETIQUETADORA")</f>
        <v>INSPECCION SEMANAL ETIQUETADORA</v>
      </c>
      <c r="F533" s="5" t="str">
        <f ca="1">IFERROR(__xludf.DUMMYFUNCTION("""COMPUTED_VALUE"""),"FUNC. BARRERAS LUZ Y REFLECTOR")</f>
        <v>FUNC. BARRERAS LUZ Y REFLECTOR</v>
      </c>
      <c r="G533" s="5" t="b">
        <f ca="1">IFERROR(__xludf.DUMMYFUNCTION("""COMPUTED_VALUE"""),TRUE)</f>
        <v>1</v>
      </c>
      <c r="H533" s="5"/>
      <c r="I533" s="5"/>
      <c r="J533" s="5">
        <f ca="1">IFERROR(__xludf.DUMMYFUNCTION("""COMPUTED_VALUE"""),13247826)</f>
        <v>13247826</v>
      </c>
      <c r="K533" s="5"/>
      <c r="L533" s="18">
        <f ca="1">IFERROR(__xludf.DUMMYFUNCTION("""COMPUTED_VALUE"""),45325)</f>
        <v>45325</v>
      </c>
      <c r="M533" s="18">
        <f ca="1">IFERROR(__xludf.DUMMYFUNCTION("""COMPUTED_VALUE"""),45325)</f>
        <v>45325</v>
      </c>
      <c r="N533" s="5" t="str">
        <f ca="1">IFERROR(__xludf.DUMMYFUNCTION("""COMPUTED_VALUE"""),"Sanchez Rodriguez Gerson Andres")</f>
        <v>Sanchez Rodriguez Gerson Andres</v>
      </c>
      <c r="O533" s="2">
        <f ca="1">IFERROR(__xludf.DUMMYFUNCTION("""COMPUTED_VALUE"""),0.005555556)</f>
        <v>5.5555559999999997E-3</v>
      </c>
      <c r="P533" s="5">
        <f ca="1">IFERROR(__xludf.DUMMYFUNCTION("""COMPUTED_VALUE"""),20020754)</f>
        <v>20020754</v>
      </c>
      <c r="Q533" s="5" t="str">
        <f ca="1">IFERROR(__xludf.DUMMYFUNCTION("""COMPUTED_VALUE"""),"xcxsihOaV9M")</f>
        <v>xcxsihOaV9M</v>
      </c>
      <c r="R533" s="5">
        <f ca="1">IFERROR(__xludf.DUMMYFUNCTION("""COMPUTED_VALUE"""),410)</f>
        <v>410</v>
      </c>
      <c r="S533" s="62">
        <f ca="1">IFERROR(__xludf.DUMMYFUNCTION("""COMPUTED_VALUE"""),0.005555556)</f>
        <v>5.5555559999999997E-3</v>
      </c>
      <c r="T533" s="63" t="str">
        <f ca="1">IFERROR(__xludf.DUMMYFUNCTION("""COMPUTED_VALUE"""),"https://storage.googleapis.com/glide-prod.appspot.com/uploads-v2/ly7o78grxPaC6KdgvbpS/pub/3aRdSog0vUtuqPE8AJKD.png")</f>
        <v>https://storage.googleapis.com/glide-prod.appspot.com/uploads-v2/ly7o78grxPaC6KdgvbpS/pub/3aRdSog0vUtuqPE8AJKD.png</v>
      </c>
      <c r="U533" s="5" t="str">
        <f ca="1">IFERROR(__xludf.DUMMYFUNCTION("""COMPUTED_VALUE"""),"LINEA DE ENVASADO PET NO RETORNABLEETIQUETADORA")</f>
        <v>LINEA DE ENVASADO PET NO RETORNABLEETIQUETADORA</v>
      </c>
      <c r="V533" s="5"/>
      <c r="W533" s="5" t="b">
        <f ca="1">IFERROR(__xludf.DUMMYFUNCTION("""COMPUTED_VALUE"""),TRUE)</f>
        <v>1</v>
      </c>
      <c r="X533" s="5" t="str">
        <f ca="1">IFERROR(__xludf.DUMMYFUNCTION("""COMPUTED_VALUE"""),"wguerra@postobon.com.co,aprmttoyu@postobon.com.co,aprmyu@postobon.com.co,wmora@postobon.com.co,efzapata@postobon.com.co")</f>
        <v>wguerra@postobon.com.co,aprmttoyu@postobon.com.co,aprmyu@postobon.com.co,wmora@postobon.com.co,efzapata@postobon.com.co</v>
      </c>
      <c r="Y533" s="5" t="str">
        <f ca="1">IFERROR(__xludf.DUMMYFUNCTION("""COMPUTED_VALUE"""),"wguerra@postobon.com.co")</f>
        <v>wguerra@postobon.com.co</v>
      </c>
      <c r="Z533" s="5" t="str">
        <f ca="1">IFERROR(__xludf.DUMMYFUNCTION("""COMPUTED_VALUE"""),"TTdv6POoTQipEKiPttKizQ")</f>
        <v>TTdv6POoTQipEKiPttKizQ</v>
      </c>
      <c r="AA533" s="5"/>
      <c r="AB533" s="5"/>
      <c r="AC533" s="5"/>
      <c r="AD533" s="5">
        <f ca="1">IFERROR(__xludf.DUMMYFUNCTION("""COMPUTED_VALUE"""),18)</f>
        <v>18</v>
      </c>
      <c r="AE533" s="5">
        <f ca="1">IFERROR(__xludf.DUMMYFUNCTION("""COMPUTED_VALUE"""),18)</f>
        <v>18</v>
      </c>
      <c r="AF533" s="5" t="b">
        <f ca="1">IFERROR(__xludf.DUMMYFUNCTION("""COMPUTED_VALUE"""),FALSE)</f>
        <v>0</v>
      </c>
      <c r="AG533" s="5" t="str">
        <f ca="1">IFERROR(__xludf.DUMMYFUNCTION("""COMPUTED_VALUE"""),"INSPECCIONES REALIZADAS")</f>
        <v>INSPECCIONES REALIZADAS</v>
      </c>
      <c r="AH533" s="5"/>
    </row>
    <row r="534" spans="1:34">
      <c r="A534" s="5" t="str">
        <f ca="1">IFERROR(__xludf.DUMMYFUNCTION("""COMPUTED_VALUE"""),"LINEA DE ENVASADO PET NO RETORNABLE")</f>
        <v>LINEA DE ENVASADO PET NO RETORNABLE</v>
      </c>
      <c r="B534" s="5">
        <f ca="1">IFERROR(__xludf.DUMMYFUNCTION("""COMPUTED_VALUE"""),820071)</f>
        <v>820071</v>
      </c>
      <c r="C534" s="5" t="str">
        <f ca="1">IFERROR(__xludf.DUMMYFUNCTION("""COMPUTED_VALUE"""),"ETIQUETADORA")</f>
        <v>ETIQUETADORA</v>
      </c>
      <c r="D534" s="5">
        <f ca="1">IFERROR(__xludf.DUMMYFUNCTION("""COMPUTED_VALUE"""),13247826)</f>
        <v>13247826</v>
      </c>
      <c r="E534" s="5" t="str">
        <f ca="1">IFERROR(__xludf.DUMMYFUNCTION("""COMPUTED_VALUE"""),"INSPECCION SEMANAL ETIQUETADORA")</f>
        <v>INSPECCION SEMANAL ETIQUETADORA</v>
      </c>
      <c r="F534" s="5" t="str">
        <f ca="1">IFERROR(__xludf.DUMMYFUNCTION("""COMPUTED_VALUE"""),"ESTADO PUERTAS LATERALES")</f>
        <v>ESTADO PUERTAS LATERALES</v>
      </c>
      <c r="G534" s="5" t="b">
        <f ca="1">IFERROR(__xludf.DUMMYFUNCTION("""COMPUTED_VALUE"""),TRUE)</f>
        <v>1</v>
      </c>
      <c r="H534" s="5"/>
      <c r="I534" s="5"/>
      <c r="J534" s="5">
        <f ca="1">IFERROR(__xludf.DUMMYFUNCTION("""COMPUTED_VALUE"""),13247826)</f>
        <v>13247826</v>
      </c>
      <c r="K534" s="5"/>
      <c r="L534" s="18">
        <f ca="1">IFERROR(__xludf.DUMMYFUNCTION("""COMPUTED_VALUE"""),45325)</f>
        <v>45325</v>
      </c>
      <c r="M534" s="18">
        <f ca="1">IFERROR(__xludf.DUMMYFUNCTION("""COMPUTED_VALUE"""),45325)</f>
        <v>45325</v>
      </c>
      <c r="N534" s="5" t="str">
        <f ca="1">IFERROR(__xludf.DUMMYFUNCTION("""COMPUTED_VALUE"""),"Sanchez Rodriguez Gerson Andres")</f>
        <v>Sanchez Rodriguez Gerson Andres</v>
      </c>
      <c r="O534" s="2">
        <f ca="1">IFERROR(__xludf.DUMMYFUNCTION("""COMPUTED_VALUE"""),0.005555556)</f>
        <v>5.5555559999999997E-3</v>
      </c>
      <c r="P534" s="5">
        <f ca="1">IFERROR(__xludf.DUMMYFUNCTION("""COMPUTED_VALUE"""),20020754)</f>
        <v>20020754</v>
      </c>
      <c r="Q534" s="5" t="str">
        <f ca="1">IFERROR(__xludf.DUMMYFUNCTION("""COMPUTED_VALUE"""),"gJxA0b087uE")</f>
        <v>gJxA0b087uE</v>
      </c>
      <c r="R534" s="5">
        <f ca="1">IFERROR(__xludf.DUMMYFUNCTION("""COMPUTED_VALUE"""),410)</f>
        <v>410</v>
      </c>
      <c r="S534" s="62">
        <f ca="1">IFERROR(__xludf.DUMMYFUNCTION("""COMPUTED_VALUE"""),0.005555556)</f>
        <v>5.5555559999999997E-3</v>
      </c>
      <c r="T534" s="63" t="str">
        <f ca="1">IFERROR(__xludf.DUMMYFUNCTION("""COMPUTED_VALUE"""),"https://storage.googleapis.com/glide-prod.appspot.com/uploads-v2/ly7o78grxPaC6KdgvbpS/pub/3aRdSog0vUtuqPE8AJKD.png")</f>
        <v>https://storage.googleapis.com/glide-prod.appspot.com/uploads-v2/ly7o78grxPaC6KdgvbpS/pub/3aRdSog0vUtuqPE8AJKD.png</v>
      </c>
      <c r="U534" s="5" t="str">
        <f ca="1">IFERROR(__xludf.DUMMYFUNCTION("""COMPUTED_VALUE"""),"LINEA DE ENVASADO PET NO RETORNABLEETIQUETADORA")</f>
        <v>LINEA DE ENVASADO PET NO RETORNABLEETIQUETADORA</v>
      </c>
      <c r="V534" s="5"/>
      <c r="W534" s="5" t="b">
        <f ca="1">IFERROR(__xludf.DUMMYFUNCTION("""COMPUTED_VALUE"""),TRUE)</f>
        <v>1</v>
      </c>
      <c r="X534" s="5" t="str">
        <f ca="1">IFERROR(__xludf.DUMMYFUNCTION("""COMPUTED_VALUE"""),"wguerra@postobon.com.co,aprmttoyu@postobon.com.co,aprmyu@postobon.com.co,wmora@postobon.com.co,efzapata@postobon.com.co")</f>
        <v>wguerra@postobon.com.co,aprmttoyu@postobon.com.co,aprmyu@postobon.com.co,wmora@postobon.com.co,efzapata@postobon.com.co</v>
      </c>
      <c r="Y534" s="5" t="str">
        <f ca="1">IFERROR(__xludf.DUMMYFUNCTION("""COMPUTED_VALUE"""),"wguerra@postobon.com.co")</f>
        <v>wguerra@postobon.com.co</v>
      </c>
      <c r="Z534" s="5" t="str">
        <f ca="1">IFERROR(__xludf.DUMMYFUNCTION("""COMPUTED_VALUE"""),"cuk5r75vR6WyF-mg0SCklw")</f>
        <v>cuk5r75vR6WyF-mg0SCklw</v>
      </c>
      <c r="AA534" s="5"/>
      <c r="AB534" s="5"/>
      <c r="AC534" s="5"/>
      <c r="AD534" s="5">
        <f ca="1">IFERROR(__xludf.DUMMYFUNCTION("""COMPUTED_VALUE"""),18)</f>
        <v>18</v>
      </c>
      <c r="AE534" s="5">
        <f ca="1">IFERROR(__xludf.DUMMYFUNCTION("""COMPUTED_VALUE"""),18)</f>
        <v>18</v>
      </c>
      <c r="AF534" s="5" t="b">
        <f ca="1">IFERROR(__xludf.DUMMYFUNCTION("""COMPUTED_VALUE"""),FALSE)</f>
        <v>0</v>
      </c>
      <c r="AG534" s="5" t="str">
        <f ca="1">IFERROR(__xludf.DUMMYFUNCTION("""COMPUTED_VALUE"""),"INSPECCIONES REALIZADAS")</f>
        <v>INSPECCIONES REALIZADAS</v>
      </c>
      <c r="AH534" s="5"/>
    </row>
    <row r="535" spans="1:34">
      <c r="A535" s="5" t="str">
        <f ca="1">IFERROR(__xludf.DUMMYFUNCTION("""COMPUTED_VALUE"""),"LINEA DE ENVASADO PET NO RETORNABLE")</f>
        <v>LINEA DE ENVASADO PET NO RETORNABLE</v>
      </c>
      <c r="B535" s="5">
        <f ca="1">IFERROR(__xludf.DUMMYFUNCTION("""COMPUTED_VALUE"""),820071)</f>
        <v>820071</v>
      </c>
      <c r="C535" s="5" t="str">
        <f ca="1">IFERROR(__xludf.DUMMYFUNCTION("""COMPUTED_VALUE"""),"ETIQUETADORA")</f>
        <v>ETIQUETADORA</v>
      </c>
      <c r="D535" s="5">
        <f ca="1">IFERROR(__xludf.DUMMYFUNCTION("""COMPUTED_VALUE"""),13247826)</f>
        <v>13247826</v>
      </c>
      <c r="E535" s="5" t="str">
        <f ca="1">IFERROR(__xludf.DUMMYFUNCTION("""COMPUTED_VALUE"""),"INSPECCION SEMANAL ETIQUETADORA")</f>
        <v>INSPECCION SEMANAL ETIQUETADORA</v>
      </c>
      <c r="F535" s="5" t="str">
        <f ca="1">IFERROR(__xludf.DUMMYFUNCTION("""COMPUTED_VALUE"""),"FUNC. TULIPAS")</f>
        <v>FUNC. TULIPAS</v>
      </c>
      <c r="G535" s="5" t="b">
        <f ca="1">IFERROR(__xludf.DUMMYFUNCTION("""COMPUTED_VALUE"""),TRUE)</f>
        <v>1</v>
      </c>
      <c r="H535" s="5"/>
      <c r="I535" s="5"/>
      <c r="J535" s="5">
        <f ca="1">IFERROR(__xludf.DUMMYFUNCTION("""COMPUTED_VALUE"""),13247826)</f>
        <v>13247826</v>
      </c>
      <c r="K535" s="5"/>
      <c r="L535" s="18">
        <f ca="1">IFERROR(__xludf.DUMMYFUNCTION("""COMPUTED_VALUE"""),45325)</f>
        <v>45325</v>
      </c>
      <c r="M535" s="18">
        <f ca="1">IFERROR(__xludf.DUMMYFUNCTION("""COMPUTED_VALUE"""),45325)</f>
        <v>45325</v>
      </c>
      <c r="N535" s="5" t="str">
        <f ca="1">IFERROR(__xludf.DUMMYFUNCTION("""COMPUTED_VALUE"""),"Sanchez Rodriguez Gerson Andres")</f>
        <v>Sanchez Rodriguez Gerson Andres</v>
      </c>
      <c r="O535" s="2">
        <f ca="1">IFERROR(__xludf.DUMMYFUNCTION("""COMPUTED_VALUE"""),0.005555556)</f>
        <v>5.5555559999999997E-3</v>
      </c>
      <c r="P535" s="5">
        <f ca="1">IFERROR(__xludf.DUMMYFUNCTION("""COMPUTED_VALUE"""),20020754)</f>
        <v>20020754</v>
      </c>
      <c r="Q535" s="5" t="str">
        <f ca="1">IFERROR(__xludf.DUMMYFUNCTION("""COMPUTED_VALUE"""),"rw4GpANOMxQ")</f>
        <v>rw4GpANOMxQ</v>
      </c>
      <c r="R535" s="5">
        <f ca="1">IFERROR(__xludf.DUMMYFUNCTION("""COMPUTED_VALUE"""),410)</f>
        <v>410</v>
      </c>
      <c r="S535" s="62">
        <f ca="1">IFERROR(__xludf.DUMMYFUNCTION("""COMPUTED_VALUE"""),0.005555556)</f>
        <v>5.5555559999999997E-3</v>
      </c>
      <c r="T535" s="63" t="str">
        <f ca="1">IFERROR(__xludf.DUMMYFUNCTION("""COMPUTED_VALUE"""),"https://storage.googleapis.com/glide-prod.appspot.com/uploads-v2/ly7o78grxPaC6KdgvbpS/pub/3aRdSog0vUtuqPE8AJKD.png")</f>
        <v>https://storage.googleapis.com/glide-prod.appspot.com/uploads-v2/ly7o78grxPaC6KdgvbpS/pub/3aRdSog0vUtuqPE8AJKD.png</v>
      </c>
      <c r="U535" s="5" t="str">
        <f ca="1">IFERROR(__xludf.DUMMYFUNCTION("""COMPUTED_VALUE"""),"LINEA DE ENVASADO PET NO RETORNABLEETIQUETADORA")</f>
        <v>LINEA DE ENVASADO PET NO RETORNABLEETIQUETADORA</v>
      </c>
      <c r="V535" s="5"/>
      <c r="W535" s="5" t="b">
        <f ca="1">IFERROR(__xludf.DUMMYFUNCTION("""COMPUTED_VALUE"""),TRUE)</f>
        <v>1</v>
      </c>
      <c r="X535" s="5" t="str">
        <f ca="1">IFERROR(__xludf.DUMMYFUNCTION("""COMPUTED_VALUE"""),"wguerra@postobon.com.co,aprmttoyu@postobon.com.co,aprmyu@postobon.com.co,wmora@postobon.com.co,efzapata@postobon.com.co")</f>
        <v>wguerra@postobon.com.co,aprmttoyu@postobon.com.co,aprmyu@postobon.com.co,wmora@postobon.com.co,efzapata@postobon.com.co</v>
      </c>
      <c r="Y535" s="5" t="str">
        <f ca="1">IFERROR(__xludf.DUMMYFUNCTION("""COMPUTED_VALUE"""),"wguerra@postobon.com.co")</f>
        <v>wguerra@postobon.com.co</v>
      </c>
      <c r="Z535" s="5" t="str">
        <f ca="1">IFERROR(__xludf.DUMMYFUNCTION("""COMPUTED_VALUE"""),"DgF3PK9bSHuadL30QX6y-g")</f>
        <v>DgF3PK9bSHuadL30QX6y-g</v>
      </c>
      <c r="AA535" s="5"/>
      <c r="AB535" s="5"/>
      <c r="AC535" s="5"/>
      <c r="AD535" s="5">
        <f ca="1">IFERROR(__xludf.DUMMYFUNCTION("""COMPUTED_VALUE"""),18)</f>
        <v>18</v>
      </c>
      <c r="AE535" s="5">
        <f ca="1">IFERROR(__xludf.DUMMYFUNCTION("""COMPUTED_VALUE"""),18)</f>
        <v>18</v>
      </c>
      <c r="AF535" s="5" t="b">
        <f ca="1">IFERROR(__xludf.DUMMYFUNCTION("""COMPUTED_VALUE"""),FALSE)</f>
        <v>0</v>
      </c>
      <c r="AG535" s="5" t="str">
        <f ca="1">IFERROR(__xludf.DUMMYFUNCTION("""COMPUTED_VALUE"""),"INSPECCIONES REALIZADAS")</f>
        <v>INSPECCIONES REALIZADAS</v>
      </c>
      <c r="AH535" s="5"/>
    </row>
    <row r="536" spans="1:34">
      <c r="A536" s="5" t="str">
        <f ca="1">IFERROR(__xludf.DUMMYFUNCTION("""COMPUTED_VALUE"""),"LINEA DE ENVASADO PET NO RETORNABLE")</f>
        <v>LINEA DE ENVASADO PET NO RETORNABLE</v>
      </c>
      <c r="B536" s="5">
        <f ca="1">IFERROR(__xludf.DUMMYFUNCTION("""COMPUTED_VALUE"""),820071)</f>
        <v>820071</v>
      </c>
      <c r="C536" s="5" t="str">
        <f ca="1">IFERROR(__xludf.DUMMYFUNCTION("""COMPUTED_VALUE"""),"ETIQUETADORA")</f>
        <v>ETIQUETADORA</v>
      </c>
      <c r="D536" s="5">
        <f ca="1">IFERROR(__xludf.DUMMYFUNCTION("""COMPUTED_VALUE"""),13247826)</f>
        <v>13247826</v>
      </c>
      <c r="E536" s="5" t="str">
        <f ca="1">IFERROR(__xludf.DUMMYFUNCTION("""COMPUTED_VALUE"""),"INSPECCION SEMANAL ETIQUETADORA")</f>
        <v>INSPECCION SEMANAL ETIQUETADORA</v>
      </c>
      <c r="F536" s="5" t="str">
        <f ca="1">IFERROR(__xludf.DUMMYFUNCTION("""COMPUTED_VALUE"""),"FUNC. CILINDRO TRANSFERENCIA")</f>
        <v>FUNC. CILINDRO TRANSFERENCIA</v>
      </c>
      <c r="G536" s="5" t="b">
        <f ca="1">IFERROR(__xludf.DUMMYFUNCTION("""COMPUTED_VALUE"""),TRUE)</f>
        <v>1</v>
      </c>
      <c r="H536" s="5"/>
      <c r="I536" s="5"/>
      <c r="J536" s="5">
        <f ca="1">IFERROR(__xludf.DUMMYFUNCTION("""COMPUTED_VALUE"""),13247826)</f>
        <v>13247826</v>
      </c>
      <c r="K536" s="5"/>
      <c r="L536" s="18">
        <f ca="1">IFERROR(__xludf.DUMMYFUNCTION("""COMPUTED_VALUE"""),45325)</f>
        <v>45325</v>
      </c>
      <c r="M536" s="18">
        <f ca="1">IFERROR(__xludf.DUMMYFUNCTION("""COMPUTED_VALUE"""),45325)</f>
        <v>45325</v>
      </c>
      <c r="N536" s="5" t="str">
        <f ca="1">IFERROR(__xludf.DUMMYFUNCTION("""COMPUTED_VALUE"""),"Sanchez Rodriguez Gerson Andres")</f>
        <v>Sanchez Rodriguez Gerson Andres</v>
      </c>
      <c r="O536" s="2">
        <f ca="1">IFERROR(__xludf.DUMMYFUNCTION("""COMPUTED_VALUE"""),0.005555556)</f>
        <v>5.5555559999999997E-3</v>
      </c>
      <c r="P536" s="5">
        <f ca="1">IFERROR(__xludf.DUMMYFUNCTION("""COMPUTED_VALUE"""),20020754)</f>
        <v>20020754</v>
      </c>
      <c r="Q536" s="5" t="str">
        <f ca="1">IFERROR(__xludf.DUMMYFUNCTION("""COMPUTED_VALUE"""),"JYm5nSIIc-Y")</f>
        <v>JYm5nSIIc-Y</v>
      </c>
      <c r="R536" s="5">
        <f ca="1">IFERROR(__xludf.DUMMYFUNCTION("""COMPUTED_VALUE"""),410)</f>
        <v>410</v>
      </c>
      <c r="S536" s="62">
        <f ca="1">IFERROR(__xludf.DUMMYFUNCTION("""COMPUTED_VALUE"""),0.005555556)</f>
        <v>5.5555559999999997E-3</v>
      </c>
      <c r="T536" s="63" t="str">
        <f ca="1">IFERROR(__xludf.DUMMYFUNCTION("""COMPUTED_VALUE"""),"https://storage.googleapis.com/glide-prod.appspot.com/uploads-v2/ly7o78grxPaC6KdgvbpS/pub/3aRdSog0vUtuqPE8AJKD.png")</f>
        <v>https://storage.googleapis.com/glide-prod.appspot.com/uploads-v2/ly7o78grxPaC6KdgvbpS/pub/3aRdSog0vUtuqPE8AJKD.png</v>
      </c>
      <c r="U536" s="5" t="str">
        <f ca="1">IFERROR(__xludf.DUMMYFUNCTION("""COMPUTED_VALUE"""),"LINEA DE ENVASADO PET NO RETORNABLEETIQUETADORA")</f>
        <v>LINEA DE ENVASADO PET NO RETORNABLEETIQUETADORA</v>
      </c>
      <c r="V536" s="5"/>
      <c r="W536" s="5" t="b">
        <f ca="1">IFERROR(__xludf.DUMMYFUNCTION("""COMPUTED_VALUE"""),TRUE)</f>
        <v>1</v>
      </c>
      <c r="X536" s="5" t="str">
        <f ca="1">IFERROR(__xludf.DUMMYFUNCTION("""COMPUTED_VALUE"""),"wguerra@postobon.com.co,aprmttoyu@postobon.com.co,aprmyu@postobon.com.co,wmora@postobon.com.co,efzapata@postobon.com.co")</f>
        <v>wguerra@postobon.com.co,aprmttoyu@postobon.com.co,aprmyu@postobon.com.co,wmora@postobon.com.co,efzapata@postobon.com.co</v>
      </c>
      <c r="Y536" s="5" t="str">
        <f ca="1">IFERROR(__xludf.DUMMYFUNCTION("""COMPUTED_VALUE"""),"wguerra@postobon.com.co")</f>
        <v>wguerra@postobon.com.co</v>
      </c>
      <c r="Z536" s="5" t="str">
        <f ca="1">IFERROR(__xludf.DUMMYFUNCTION("""COMPUTED_VALUE"""),"qdLBmhxeTG6OLB9fu5buww")</f>
        <v>qdLBmhxeTG6OLB9fu5buww</v>
      </c>
      <c r="AA536" s="5"/>
      <c r="AB536" s="5"/>
      <c r="AC536" s="5"/>
      <c r="AD536" s="5">
        <f ca="1">IFERROR(__xludf.DUMMYFUNCTION("""COMPUTED_VALUE"""),18)</f>
        <v>18</v>
      </c>
      <c r="AE536" s="5">
        <f ca="1">IFERROR(__xludf.DUMMYFUNCTION("""COMPUTED_VALUE"""),18)</f>
        <v>18</v>
      </c>
      <c r="AF536" s="5" t="b">
        <f ca="1">IFERROR(__xludf.DUMMYFUNCTION("""COMPUTED_VALUE"""),FALSE)</f>
        <v>0</v>
      </c>
      <c r="AG536" s="5" t="str">
        <f ca="1">IFERROR(__xludf.DUMMYFUNCTION("""COMPUTED_VALUE"""),"INSPECCIONES REALIZADAS")</f>
        <v>INSPECCIONES REALIZADAS</v>
      </c>
      <c r="AH536" s="5"/>
    </row>
    <row r="537" spans="1:34">
      <c r="A537" s="5" t="str">
        <f ca="1">IFERROR(__xludf.DUMMYFUNCTION("""COMPUTED_VALUE"""),"LINEA DE ENVASADO PET NO RETORNABLE")</f>
        <v>LINEA DE ENVASADO PET NO RETORNABLE</v>
      </c>
      <c r="B537" s="5">
        <f ca="1">IFERROR(__xludf.DUMMYFUNCTION("""COMPUTED_VALUE"""),820071)</f>
        <v>820071</v>
      </c>
      <c r="C537" s="5" t="str">
        <f ca="1">IFERROR(__xludf.DUMMYFUNCTION("""COMPUTED_VALUE"""),"ETIQUETADORA")</f>
        <v>ETIQUETADORA</v>
      </c>
      <c r="D537" s="5">
        <f ca="1">IFERROR(__xludf.DUMMYFUNCTION("""COMPUTED_VALUE"""),13247826)</f>
        <v>13247826</v>
      </c>
      <c r="E537" s="5" t="str">
        <f ca="1">IFERROR(__xludf.DUMMYFUNCTION("""COMPUTED_VALUE"""),"INSPECCION SEMANAL ETIQUETADORA")</f>
        <v>INSPECCION SEMANAL ETIQUETADORA</v>
      </c>
      <c r="F537" s="5" t="str">
        <f ca="1">IFERROR(__xludf.DUMMYFUNCTION("""COMPUTED_VALUE"""),"INSP. CONJUNTO ENCOLADOR ADHESIVO")</f>
        <v>INSP. CONJUNTO ENCOLADOR ADHESIVO</v>
      </c>
      <c r="G537" s="5" t="b">
        <f ca="1">IFERROR(__xludf.DUMMYFUNCTION("""COMPUTED_VALUE"""),TRUE)</f>
        <v>1</v>
      </c>
      <c r="H537" s="5"/>
      <c r="I537" s="5"/>
      <c r="J537" s="5">
        <f ca="1">IFERROR(__xludf.DUMMYFUNCTION("""COMPUTED_VALUE"""),13247826)</f>
        <v>13247826</v>
      </c>
      <c r="K537" s="5"/>
      <c r="L537" s="18">
        <f ca="1">IFERROR(__xludf.DUMMYFUNCTION("""COMPUTED_VALUE"""),45325)</f>
        <v>45325</v>
      </c>
      <c r="M537" s="18">
        <f ca="1">IFERROR(__xludf.DUMMYFUNCTION("""COMPUTED_VALUE"""),45325)</f>
        <v>45325</v>
      </c>
      <c r="N537" s="5" t="str">
        <f ca="1">IFERROR(__xludf.DUMMYFUNCTION("""COMPUTED_VALUE"""),"Sanchez Rodriguez Gerson Andres")</f>
        <v>Sanchez Rodriguez Gerson Andres</v>
      </c>
      <c r="O537" s="2">
        <f ca="1">IFERROR(__xludf.DUMMYFUNCTION("""COMPUTED_VALUE"""),0.005555556)</f>
        <v>5.5555559999999997E-3</v>
      </c>
      <c r="P537" s="5">
        <f ca="1">IFERROR(__xludf.DUMMYFUNCTION("""COMPUTED_VALUE"""),20020754)</f>
        <v>20020754</v>
      </c>
      <c r="Q537" s="5" t="str">
        <f ca="1">IFERROR(__xludf.DUMMYFUNCTION("""COMPUTED_VALUE"""),"ldwKPnbwCD4")</f>
        <v>ldwKPnbwCD4</v>
      </c>
      <c r="R537" s="5">
        <f ca="1">IFERROR(__xludf.DUMMYFUNCTION("""COMPUTED_VALUE"""),410)</f>
        <v>410</v>
      </c>
      <c r="S537" s="62">
        <f ca="1">IFERROR(__xludf.DUMMYFUNCTION("""COMPUTED_VALUE"""),0.005555556)</f>
        <v>5.5555559999999997E-3</v>
      </c>
      <c r="T537" s="63" t="str">
        <f ca="1">IFERROR(__xludf.DUMMYFUNCTION("""COMPUTED_VALUE"""),"https://storage.googleapis.com/glide-prod.appspot.com/uploads-v2/ly7o78grxPaC6KdgvbpS/pub/3aRdSog0vUtuqPE8AJKD.png")</f>
        <v>https://storage.googleapis.com/glide-prod.appspot.com/uploads-v2/ly7o78grxPaC6KdgvbpS/pub/3aRdSog0vUtuqPE8AJKD.png</v>
      </c>
      <c r="U537" s="5" t="str">
        <f ca="1">IFERROR(__xludf.DUMMYFUNCTION("""COMPUTED_VALUE"""),"LINEA DE ENVASADO PET NO RETORNABLEETIQUETADORA")</f>
        <v>LINEA DE ENVASADO PET NO RETORNABLEETIQUETADORA</v>
      </c>
      <c r="V537" s="5"/>
      <c r="W537" s="5" t="b">
        <f ca="1">IFERROR(__xludf.DUMMYFUNCTION("""COMPUTED_VALUE"""),TRUE)</f>
        <v>1</v>
      </c>
      <c r="X537" s="5" t="str">
        <f ca="1">IFERROR(__xludf.DUMMYFUNCTION("""COMPUTED_VALUE"""),"wguerra@postobon.com.co,aprmttoyu@postobon.com.co,aprmyu@postobon.com.co,wmora@postobon.com.co,efzapata@postobon.com.co")</f>
        <v>wguerra@postobon.com.co,aprmttoyu@postobon.com.co,aprmyu@postobon.com.co,wmora@postobon.com.co,efzapata@postobon.com.co</v>
      </c>
      <c r="Y537" s="5" t="str">
        <f ca="1">IFERROR(__xludf.DUMMYFUNCTION("""COMPUTED_VALUE"""),"wguerra@postobon.com.co")</f>
        <v>wguerra@postobon.com.co</v>
      </c>
      <c r="Z537" s="5" t="str">
        <f ca="1">IFERROR(__xludf.DUMMYFUNCTION("""COMPUTED_VALUE"""),"Sh.uT-ZnRGuhp-8uX.tBvg")</f>
        <v>Sh.uT-ZnRGuhp-8uX.tBvg</v>
      </c>
      <c r="AA537" s="5"/>
      <c r="AB537" s="5"/>
      <c r="AC537" s="5"/>
      <c r="AD537" s="5">
        <f ca="1">IFERROR(__xludf.DUMMYFUNCTION("""COMPUTED_VALUE"""),18)</f>
        <v>18</v>
      </c>
      <c r="AE537" s="5">
        <f ca="1">IFERROR(__xludf.DUMMYFUNCTION("""COMPUTED_VALUE"""),18)</f>
        <v>18</v>
      </c>
      <c r="AF537" s="5" t="b">
        <f ca="1">IFERROR(__xludf.DUMMYFUNCTION("""COMPUTED_VALUE"""),FALSE)</f>
        <v>0</v>
      </c>
      <c r="AG537" s="5" t="str">
        <f ca="1">IFERROR(__xludf.DUMMYFUNCTION("""COMPUTED_VALUE"""),"INSPECCIONES REALIZADAS")</f>
        <v>INSPECCIONES REALIZADAS</v>
      </c>
      <c r="AH537" s="5"/>
    </row>
    <row r="538" spans="1:34">
      <c r="A538" s="5" t="str">
        <f ca="1">IFERROR(__xludf.DUMMYFUNCTION("""COMPUTED_VALUE"""),"LINEA DE ENVASADO PET NO RETORNABLE")</f>
        <v>LINEA DE ENVASADO PET NO RETORNABLE</v>
      </c>
      <c r="B538" s="5">
        <f ca="1">IFERROR(__xludf.DUMMYFUNCTION("""COMPUTED_VALUE"""),820071)</f>
        <v>820071</v>
      </c>
      <c r="C538" s="5" t="str">
        <f ca="1">IFERROR(__xludf.DUMMYFUNCTION("""COMPUTED_VALUE"""),"ETIQUETADORA")</f>
        <v>ETIQUETADORA</v>
      </c>
      <c r="D538" s="5">
        <f ca="1">IFERROR(__xludf.DUMMYFUNCTION("""COMPUTED_VALUE"""),13247826)</f>
        <v>13247826</v>
      </c>
      <c r="E538" s="5" t="str">
        <f ca="1">IFERROR(__xludf.DUMMYFUNCTION("""COMPUTED_VALUE"""),"INSPECCION SEMANAL ETIQUETADORA")</f>
        <v>INSPECCION SEMANAL ETIQUETADORA</v>
      </c>
      <c r="F538" s="5" t="str">
        <f ca="1">IFERROR(__xludf.DUMMYFUNCTION("""COMPUTED_VALUE"""),"FUNCIONAMIENTO ALISADO")</f>
        <v>FUNCIONAMIENTO ALISADO</v>
      </c>
      <c r="G538" s="5" t="b">
        <f ca="1">IFERROR(__xludf.DUMMYFUNCTION("""COMPUTED_VALUE"""),TRUE)</f>
        <v>1</v>
      </c>
      <c r="H538" s="5"/>
      <c r="I538" s="5"/>
      <c r="J538" s="5">
        <f ca="1">IFERROR(__xludf.DUMMYFUNCTION("""COMPUTED_VALUE"""),13247826)</f>
        <v>13247826</v>
      </c>
      <c r="K538" s="5"/>
      <c r="L538" s="18">
        <f ca="1">IFERROR(__xludf.DUMMYFUNCTION("""COMPUTED_VALUE"""),45325)</f>
        <v>45325</v>
      </c>
      <c r="M538" s="18">
        <f ca="1">IFERROR(__xludf.DUMMYFUNCTION("""COMPUTED_VALUE"""),45325)</f>
        <v>45325</v>
      </c>
      <c r="N538" s="5" t="str">
        <f ca="1">IFERROR(__xludf.DUMMYFUNCTION("""COMPUTED_VALUE"""),"Sanchez Rodriguez Gerson Andres")</f>
        <v>Sanchez Rodriguez Gerson Andres</v>
      </c>
      <c r="O538" s="2">
        <f ca="1">IFERROR(__xludf.DUMMYFUNCTION("""COMPUTED_VALUE"""),0.005555556)</f>
        <v>5.5555559999999997E-3</v>
      </c>
      <c r="P538" s="5">
        <f ca="1">IFERROR(__xludf.DUMMYFUNCTION("""COMPUTED_VALUE"""),20020754)</f>
        <v>20020754</v>
      </c>
      <c r="Q538" s="5" t="str">
        <f ca="1">IFERROR(__xludf.DUMMYFUNCTION("""COMPUTED_VALUE"""),"euc_fwNybfU")</f>
        <v>euc_fwNybfU</v>
      </c>
      <c r="R538" s="5">
        <f ca="1">IFERROR(__xludf.DUMMYFUNCTION("""COMPUTED_VALUE"""),410)</f>
        <v>410</v>
      </c>
      <c r="S538" s="62">
        <f ca="1">IFERROR(__xludf.DUMMYFUNCTION("""COMPUTED_VALUE"""),0.005555556)</f>
        <v>5.5555559999999997E-3</v>
      </c>
      <c r="T538" s="63" t="str">
        <f ca="1">IFERROR(__xludf.DUMMYFUNCTION("""COMPUTED_VALUE"""),"https://storage.googleapis.com/glide-prod.appspot.com/uploads-v2/ly7o78grxPaC6KdgvbpS/pub/3aRdSog0vUtuqPE8AJKD.png")</f>
        <v>https://storage.googleapis.com/glide-prod.appspot.com/uploads-v2/ly7o78grxPaC6KdgvbpS/pub/3aRdSog0vUtuqPE8AJKD.png</v>
      </c>
      <c r="U538" s="5" t="str">
        <f ca="1">IFERROR(__xludf.DUMMYFUNCTION("""COMPUTED_VALUE"""),"LINEA DE ENVASADO PET NO RETORNABLEETIQUETADORA")</f>
        <v>LINEA DE ENVASADO PET NO RETORNABLEETIQUETADORA</v>
      </c>
      <c r="V538" s="5"/>
      <c r="W538" s="5" t="b">
        <f ca="1">IFERROR(__xludf.DUMMYFUNCTION("""COMPUTED_VALUE"""),TRUE)</f>
        <v>1</v>
      </c>
      <c r="X538" s="5" t="str">
        <f ca="1">IFERROR(__xludf.DUMMYFUNCTION("""COMPUTED_VALUE"""),"wguerra@postobon.com.co,aprmttoyu@postobon.com.co,aprmyu@postobon.com.co,wmora@postobon.com.co,efzapata@postobon.com.co")</f>
        <v>wguerra@postobon.com.co,aprmttoyu@postobon.com.co,aprmyu@postobon.com.co,wmora@postobon.com.co,efzapata@postobon.com.co</v>
      </c>
      <c r="Y538" s="5" t="str">
        <f ca="1">IFERROR(__xludf.DUMMYFUNCTION("""COMPUTED_VALUE"""),"wguerra@postobon.com.co")</f>
        <v>wguerra@postobon.com.co</v>
      </c>
      <c r="Z538" s="5" t="str">
        <f ca="1">IFERROR(__xludf.DUMMYFUNCTION("""COMPUTED_VALUE"""),"bHP2QJtoR7OW7rrHKGvxFg")</f>
        <v>bHP2QJtoR7OW7rrHKGvxFg</v>
      </c>
      <c r="AA538" s="5"/>
      <c r="AB538" s="5"/>
      <c r="AC538" s="5"/>
      <c r="AD538" s="5">
        <f ca="1">IFERROR(__xludf.DUMMYFUNCTION("""COMPUTED_VALUE"""),18)</f>
        <v>18</v>
      </c>
      <c r="AE538" s="5">
        <f ca="1">IFERROR(__xludf.DUMMYFUNCTION("""COMPUTED_VALUE"""),18)</f>
        <v>18</v>
      </c>
      <c r="AF538" s="5" t="b">
        <f ca="1">IFERROR(__xludf.DUMMYFUNCTION("""COMPUTED_VALUE"""),FALSE)</f>
        <v>0</v>
      </c>
      <c r="AG538" s="5" t="str">
        <f ca="1">IFERROR(__xludf.DUMMYFUNCTION("""COMPUTED_VALUE"""),"INSPECCIONES REALIZADAS")</f>
        <v>INSPECCIONES REALIZADAS</v>
      </c>
      <c r="AH538" s="5"/>
    </row>
    <row r="539" spans="1:34">
      <c r="A539" s="5" t="str">
        <f ca="1">IFERROR(__xludf.DUMMYFUNCTION("""COMPUTED_VALUE"""),"LINEA DE ENVASADO PET NO RETORNABLE")</f>
        <v>LINEA DE ENVASADO PET NO RETORNABLE</v>
      </c>
      <c r="B539" s="5">
        <f ca="1">IFERROR(__xludf.DUMMYFUNCTION("""COMPUTED_VALUE"""),820071)</f>
        <v>820071</v>
      </c>
      <c r="C539" s="5" t="str">
        <f ca="1">IFERROR(__xludf.DUMMYFUNCTION("""COMPUTED_VALUE"""),"ETIQUETADORA")</f>
        <v>ETIQUETADORA</v>
      </c>
      <c r="D539" s="5">
        <f ca="1">IFERROR(__xludf.DUMMYFUNCTION("""COMPUTED_VALUE"""),13247826)</f>
        <v>13247826</v>
      </c>
      <c r="E539" s="5" t="str">
        <f ca="1">IFERROR(__xludf.DUMMYFUNCTION("""COMPUTED_VALUE"""),"INSPECCION SEMANAL ETIQUETADORA")</f>
        <v>INSPECCION SEMANAL ETIQUETADORA</v>
      </c>
      <c r="F539" s="5" t="str">
        <f ca="1">IFERROR(__xludf.DUMMYFUNCTION("""COMPUTED_VALUE"""),"ESTADO PORTAENVASES")</f>
        <v>ESTADO PORTAENVASES</v>
      </c>
      <c r="G539" s="5" t="b">
        <f ca="1">IFERROR(__xludf.DUMMYFUNCTION("""COMPUTED_VALUE"""),TRUE)</f>
        <v>1</v>
      </c>
      <c r="H539" s="5"/>
      <c r="I539" s="5"/>
      <c r="J539" s="5">
        <f ca="1">IFERROR(__xludf.DUMMYFUNCTION("""COMPUTED_VALUE"""),13247826)</f>
        <v>13247826</v>
      </c>
      <c r="K539" s="5"/>
      <c r="L539" s="18">
        <f ca="1">IFERROR(__xludf.DUMMYFUNCTION("""COMPUTED_VALUE"""),45325)</f>
        <v>45325</v>
      </c>
      <c r="M539" s="18">
        <f ca="1">IFERROR(__xludf.DUMMYFUNCTION("""COMPUTED_VALUE"""),45325)</f>
        <v>45325</v>
      </c>
      <c r="N539" s="5" t="str">
        <f ca="1">IFERROR(__xludf.DUMMYFUNCTION("""COMPUTED_VALUE"""),"Sanchez Rodriguez Gerson Andres")</f>
        <v>Sanchez Rodriguez Gerson Andres</v>
      </c>
      <c r="O539" s="2">
        <f ca="1">IFERROR(__xludf.DUMMYFUNCTION("""COMPUTED_VALUE"""),0.005555556)</f>
        <v>5.5555559999999997E-3</v>
      </c>
      <c r="P539" s="5">
        <f ca="1">IFERROR(__xludf.DUMMYFUNCTION("""COMPUTED_VALUE"""),20020754)</f>
        <v>20020754</v>
      </c>
      <c r="Q539" s="5" t="str">
        <f ca="1">IFERROR(__xludf.DUMMYFUNCTION("""COMPUTED_VALUE"""),"8qsDWxSRU-A")</f>
        <v>8qsDWxSRU-A</v>
      </c>
      <c r="R539" s="5">
        <f ca="1">IFERROR(__xludf.DUMMYFUNCTION("""COMPUTED_VALUE"""),410)</f>
        <v>410</v>
      </c>
      <c r="S539" s="62">
        <f ca="1">IFERROR(__xludf.DUMMYFUNCTION("""COMPUTED_VALUE"""),0.005555556)</f>
        <v>5.5555559999999997E-3</v>
      </c>
      <c r="T539" s="63" t="str">
        <f ca="1">IFERROR(__xludf.DUMMYFUNCTION("""COMPUTED_VALUE"""),"https://storage.googleapis.com/glide-prod.appspot.com/uploads-v2/ly7o78grxPaC6KdgvbpS/pub/3aRdSog0vUtuqPE8AJKD.png")</f>
        <v>https://storage.googleapis.com/glide-prod.appspot.com/uploads-v2/ly7o78grxPaC6KdgvbpS/pub/3aRdSog0vUtuqPE8AJKD.png</v>
      </c>
      <c r="U539" s="5" t="str">
        <f ca="1">IFERROR(__xludf.DUMMYFUNCTION("""COMPUTED_VALUE"""),"LINEA DE ENVASADO PET NO RETORNABLEETIQUETADORA")</f>
        <v>LINEA DE ENVASADO PET NO RETORNABLEETIQUETADORA</v>
      </c>
      <c r="V539" s="5"/>
      <c r="W539" s="5" t="b">
        <f ca="1">IFERROR(__xludf.DUMMYFUNCTION("""COMPUTED_VALUE"""),TRUE)</f>
        <v>1</v>
      </c>
      <c r="X539" s="5" t="str">
        <f ca="1">IFERROR(__xludf.DUMMYFUNCTION("""COMPUTED_VALUE"""),"wguerra@postobon.com.co,aprmttoyu@postobon.com.co,aprmyu@postobon.com.co,wmora@postobon.com.co,efzapata@postobon.com.co")</f>
        <v>wguerra@postobon.com.co,aprmttoyu@postobon.com.co,aprmyu@postobon.com.co,wmora@postobon.com.co,efzapata@postobon.com.co</v>
      </c>
      <c r="Y539" s="5" t="str">
        <f ca="1">IFERROR(__xludf.DUMMYFUNCTION("""COMPUTED_VALUE"""),"wguerra@postobon.com.co")</f>
        <v>wguerra@postobon.com.co</v>
      </c>
      <c r="Z539" s="5" t="str">
        <f ca="1">IFERROR(__xludf.DUMMYFUNCTION("""COMPUTED_VALUE"""),"qg-uDspqQla6jt.MvqqVTw")</f>
        <v>qg-uDspqQla6jt.MvqqVTw</v>
      </c>
      <c r="AA539" s="5"/>
      <c r="AB539" s="5"/>
      <c r="AC539" s="5"/>
      <c r="AD539" s="5">
        <f ca="1">IFERROR(__xludf.DUMMYFUNCTION("""COMPUTED_VALUE"""),18)</f>
        <v>18</v>
      </c>
      <c r="AE539" s="5">
        <f ca="1">IFERROR(__xludf.DUMMYFUNCTION("""COMPUTED_VALUE"""),18)</f>
        <v>18</v>
      </c>
      <c r="AF539" s="5" t="b">
        <f ca="1">IFERROR(__xludf.DUMMYFUNCTION("""COMPUTED_VALUE"""),FALSE)</f>
        <v>0</v>
      </c>
      <c r="AG539" s="5" t="str">
        <f ca="1">IFERROR(__xludf.DUMMYFUNCTION("""COMPUTED_VALUE"""),"INSPECCIONES REALIZADAS")</f>
        <v>INSPECCIONES REALIZADAS</v>
      </c>
      <c r="AH539" s="5"/>
    </row>
    <row r="540" spans="1:34">
      <c r="A540" s="5" t="str">
        <f ca="1">IFERROR(__xludf.DUMMYFUNCTION("""COMPUTED_VALUE"""),"LINEA DE ENVASADO PET NO RETORNABLE")</f>
        <v>LINEA DE ENVASADO PET NO RETORNABLE</v>
      </c>
      <c r="B540" s="5">
        <f ca="1">IFERROR(__xludf.DUMMYFUNCTION("""COMPUTED_VALUE"""),820071)</f>
        <v>820071</v>
      </c>
      <c r="C540" s="5" t="str">
        <f ca="1">IFERROR(__xludf.DUMMYFUNCTION("""COMPUTED_VALUE"""),"ETIQUETADORA")</f>
        <v>ETIQUETADORA</v>
      </c>
      <c r="D540" s="5">
        <f ca="1">IFERROR(__xludf.DUMMYFUNCTION("""COMPUTED_VALUE"""),13247826)</f>
        <v>13247826</v>
      </c>
      <c r="E540" s="5" t="str">
        <f ca="1">IFERROR(__xludf.DUMMYFUNCTION("""COMPUTED_VALUE"""),"INSPECCION SEMANAL ETIQUETADORA")</f>
        <v>INSPECCION SEMANAL ETIQUETADORA</v>
      </c>
      <c r="F540" s="5" t="str">
        <f ca="1">IFERROR(__xludf.DUMMYFUNCTION("""COMPUTED_VALUE"""),"ESTADO CORREA PORTAENVASES")</f>
        <v>ESTADO CORREA PORTAENVASES</v>
      </c>
      <c r="G540" s="5" t="b">
        <f ca="1">IFERROR(__xludf.DUMMYFUNCTION("""COMPUTED_VALUE"""),TRUE)</f>
        <v>1</v>
      </c>
      <c r="H540" s="5"/>
      <c r="I540" s="5"/>
      <c r="J540" s="5">
        <f ca="1">IFERROR(__xludf.DUMMYFUNCTION("""COMPUTED_VALUE"""),13247826)</f>
        <v>13247826</v>
      </c>
      <c r="K540" s="5"/>
      <c r="L540" s="18">
        <f ca="1">IFERROR(__xludf.DUMMYFUNCTION("""COMPUTED_VALUE"""),45325)</f>
        <v>45325</v>
      </c>
      <c r="M540" s="18">
        <f ca="1">IFERROR(__xludf.DUMMYFUNCTION("""COMPUTED_VALUE"""),45325)</f>
        <v>45325</v>
      </c>
      <c r="N540" s="5" t="str">
        <f ca="1">IFERROR(__xludf.DUMMYFUNCTION("""COMPUTED_VALUE"""),"Sanchez Rodriguez Gerson Andres")</f>
        <v>Sanchez Rodriguez Gerson Andres</v>
      </c>
      <c r="O540" s="2">
        <f ca="1">IFERROR(__xludf.DUMMYFUNCTION("""COMPUTED_VALUE"""),0.005555556)</f>
        <v>5.5555559999999997E-3</v>
      </c>
      <c r="P540" s="5">
        <f ca="1">IFERROR(__xludf.DUMMYFUNCTION("""COMPUTED_VALUE"""),20020754)</f>
        <v>20020754</v>
      </c>
      <c r="Q540" s="5" t="str">
        <f ca="1">IFERROR(__xludf.DUMMYFUNCTION("""COMPUTED_VALUE"""),"rtPepomodbw")</f>
        <v>rtPepomodbw</v>
      </c>
      <c r="R540" s="5">
        <f ca="1">IFERROR(__xludf.DUMMYFUNCTION("""COMPUTED_VALUE"""),410)</f>
        <v>410</v>
      </c>
      <c r="S540" s="62">
        <f ca="1">IFERROR(__xludf.DUMMYFUNCTION("""COMPUTED_VALUE"""),0.005555556)</f>
        <v>5.5555559999999997E-3</v>
      </c>
      <c r="T540" s="63" t="str">
        <f ca="1">IFERROR(__xludf.DUMMYFUNCTION("""COMPUTED_VALUE"""),"https://storage.googleapis.com/glide-prod.appspot.com/uploads-v2/ly7o78grxPaC6KdgvbpS/pub/3aRdSog0vUtuqPE8AJKD.png")</f>
        <v>https://storage.googleapis.com/glide-prod.appspot.com/uploads-v2/ly7o78grxPaC6KdgvbpS/pub/3aRdSog0vUtuqPE8AJKD.png</v>
      </c>
      <c r="U540" s="5" t="str">
        <f ca="1">IFERROR(__xludf.DUMMYFUNCTION("""COMPUTED_VALUE"""),"LINEA DE ENVASADO PET NO RETORNABLEETIQUETADORA")</f>
        <v>LINEA DE ENVASADO PET NO RETORNABLEETIQUETADORA</v>
      </c>
      <c r="V540" s="5"/>
      <c r="W540" s="5" t="b">
        <f ca="1">IFERROR(__xludf.DUMMYFUNCTION("""COMPUTED_VALUE"""),TRUE)</f>
        <v>1</v>
      </c>
      <c r="X540" s="5" t="str">
        <f ca="1">IFERROR(__xludf.DUMMYFUNCTION("""COMPUTED_VALUE"""),"wguerra@postobon.com.co,aprmttoyu@postobon.com.co,aprmyu@postobon.com.co,wmora@postobon.com.co,efzapata@postobon.com.co")</f>
        <v>wguerra@postobon.com.co,aprmttoyu@postobon.com.co,aprmyu@postobon.com.co,wmora@postobon.com.co,efzapata@postobon.com.co</v>
      </c>
      <c r="Y540" s="5" t="str">
        <f ca="1">IFERROR(__xludf.DUMMYFUNCTION("""COMPUTED_VALUE"""),"wguerra@postobon.com.co")</f>
        <v>wguerra@postobon.com.co</v>
      </c>
      <c r="Z540" s="5" t="str">
        <f ca="1">IFERROR(__xludf.DUMMYFUNCTION("""COMPUTED_VALUE"""),"cht8y9wJQ52dcjwnhNKp4Q")</f>
        <v>cht8y9wJQ52dcjwnhNKp4Q</v>
      </c>
      <c r="AA540" s="5"/>
      <c r="AB540" s="5"/>
      <c r="AC540" s="5"/>
      <c r="AD540" s="5">
        <f ca="1">IFERROR(__xludf.DUMMYFUNCTION("""COMPUTED_VALUE"""),18)</f>
        <v>18</v>
      </c>
      <c r="AE540" s="5">
        <f ca="1">IFERROR(__xludf.DUMMYFUNCTION("""COMPUTED_VALUE"""),18)</f>
        <v>18</v>
      </c>
      <c r="AF540" s="5" t="b">
        <f ca="1">IFERROR(__xludf.DUMMYFUNCTION("""COMPUTED_VALUE"""),FALSE)</f>
        <v>0</v>
      </c>
      <c r="AG540" s="5" t="str">
        <f ca="1">IFERROR(__xludf.DUMMYFUNCTION("""COMPUTED_VALUE"""),"INSPECCIONES REALIZADAS")</f>
        <v>INSPECCIONES REALIZADAS</v>
      </c>
      <c r="AH540" s="5"/>
    </row>
    <row r="541" spans="1:34">
      <c r="A541" s="5" t="str">
        <f ca="1">IFERROR(__xludf.DUMMYFUNCTION("""COMPUTED_VALUE"""),"LINEA DE ENVASADO PET NO RETORNABLE")</f>
        <v>LINEA DE ENVASADO PET NO RETORNABLE</v>
      </c>
      <c r="B541" s="5">
        <f ca="1">IFERROR(__xludf.DUMMYFUNCTION("""COMPUTED_VALUE"""),820071)</f>
        <v>820071</v>
      </c>
      <c r="C541" s="5" t="str">
        <f ca="1">IFERROR(__xludf.DUMMYFUNCTION("""COMPUTED_VALUE"""),"ETIQUETADORA")</f>
        <v>ETIQUETADORA</v>
      </c>
      <c r="D541" s="5">
        <f ca="1">IFERROR(__xludf.DUMMYFUNCTION("""COMPUTED_VALUE"""),13247826)</f>
        <v>13247826</v>
      </c>
      <c r="E541" s="5" t="str">
        <f ca="1">IFERROR(__xludf.DUMMYFUNCTION("""COMPUTED_VALUE"""),"INSPECCION SEMANAL ETIQUETADORA")</f>
        <v>INSPECCION SEMANAL ETIQUETADORA</v>
      </c>
      <c r="F541" s="5" t="str">
        <f ca="1">IFERROR(__xludf.DUMMYFUNCTION("""COMPUTED_VALUE"""),"ESTADO PINZAS SUJECCION-ESTRELLA")</f>
        <v>ESTADO PINZAS SUJECCION-ESTRELLA</v>
      </c>
      <c r="G541" s="5" t="b">
        <f ca="1">IFERROR(__xludf.DUMMYFUNCTION("""COMPUTED_VALUE"""),TRUE)</f>
        <v>1</v>
      </c>
      <c r="H541" s="5"/>
      <c r="I541" s="5"/>
      <c r="J541" s="5">
        <f ca="1">IFERROR(__xludf.DUMMYFUNCTION("""COMPUTED_VALUE"""),13247826)</f>
        <v>13247826</v>
      </c>
      <c r="K541" s="5"/>
      <c r="L541" s="18">
        <f ca="1">IFERROR(__xludf.DUMMYFUNCTION("""COMPUTED_VALUE"""),45325)</f>
        <v>45325</v>
      </c>
      <c r="M541" s="18">
        <f ca="1">IFERROR(__xludf.DUMMYFUNCTION("""COMPUTED_VALUE"""),45325)</f>
        <v>45325</v>
      </c>
      <c r="N541" s="5" t="str">
        <f ca="1">IFERROR(__xludf.DUMMYFUNCTION("""COMPUTED_VALUE"""),"Sanchez Rodriguez Gerson Andres")</f>
        <v>Sanchez Rodriguez Gerson Andres</v>
      </c>
      <c r="O541" s="2">
        <f ca="1">IFERROR(__xludf.DUMMYFUNCTION("""COMPUTED_VALUE"""),0.005555556)</f>
        <v>5.5555559999999997E-3</v>
      </c>
      <c r="P541" s="5">
        <f ca="1">IFERROR(__xludf.DUMMYFUNCTION("""COMPUTED_VALUE"""),20020754)</f>
        <v>20020754</v>
      </c>
      <c r="Q541" s="5" t="str">
        <f ca="1">IFERROR(__xludf.DUMMYFUNCTION("""COMPUTED_VALUE"""),"4EPXh-P1ntU")</f>
        <v>4EPXh-P1ntU</v>
      </c>
      <c r="R541" s="5">
        <f ca="1">IFERROR(__xludf.DUMMYFUNCTION("""COMPUTED_VALUE"""),410)</f>
        <v>410</v>
      </c>
      <c r="S541" s="62">
        <f ca="1">IFERROR(__xludf.DUMMYFUNCTION("""COMPUTED_VALUE"""),0.005555556)</f>
        <v>5.5555559999999997E-3</v>
      </c>
      <c r="T541" s="63" t="str">
        <f ca="1">IFERROR(__xludf.DUMMYFUNCTION("""COMPUTED_VALUE"""),"https://storage.googleapis.com/glide-prod.appspot.com/uploads-v2/ly7o78grxPaC6KdgvbpS/pub/3aRdSog0vUtuqPE8AJKD.png")</f>
        <v>https://storage.googleapis.com/glide-prod.appspot.com/uploads-v2/ly7o78grxPaC6KdgvbpS/pub/3aRdSog0vUtuqPE8AJKD.png</v>
      </c>
      <c r="U541" s="5" t="str">
        <f ca="1">IFERROR(__xludf.DUMMYFUNCTION("""COMPUTED_VALUE"""),"LINEA DE ENVASADO PET NO RETORNABLEETIQUETADORA")</f>
        <v>LINEA DE ENVASADO PET NO RETORNABLEETIQUETADORA</v>
      </c>
      <c r="V541" s="5"/>
      <c r="W541" s="5" t="b">
        <f ca="1">IFERROR(__xludf.DUMMYFUNCTION("""COMPUTED_VALUE"""),TRUE)</f>
        <v>1</v>
      </c>
      <c r="X541" s="5" t="str">
        <f ca="1">IFERROR(__xludf.DUMMYFUNCTION("""COMPUTED_VALUE"""),"wguerra@postobon.com.co,aprmttoyu@postobon.com.co,aprmyu@postobon.com.co,wmora@postobon.com.co,efzapata@postobon.com.co")</f>
        <v>wguerra@postobon.com.co,aprmttoyu@postobon.com.co,aprmyu@postobon.com.co,wmora@postobon.com.co,efzapata@postobon.com.co</v>
      </c>
      <c r="Y541" s="5" t="str">
        <f ca="1">IFERROR(__xludf.DUMMYFUNCTION("""COMPUTED_VALUE"""),"wguerra@postobon.com.co")</f>
        <v>wguerra@postobon.com.co</v>
      </c>
      <c r="Z541" s="5" t="str">
        <f ca="1">IFERROR(__xludf.DUMMYFUNCTION("""COMPUTED_VALUE"""),"a.O-.7-M4RUO1Kcez-NPy4A")</f>
        <v>a.O-.7-M4RUO1Kcez-NPy4A</v>
      </c>
      <c r="AA541" s="5"/>
      <c r="AB541" s="5"/>
      <c r="AC541" s="5"/>
      <c r="AD541" s="5">
        <f ca="1">IFERROR(__xludf.DUMMYFUNCTION("""COMPUTED_VALUE"""),18)</f>
        <v>18</v>
      </c>
      <c r="AE541" s="5">
        <f ca="1">IFERROR(__xludf.DUMMYFUNCTION("""COMPUTED_VALUE"""),18)</f>
        <v>18</v>
      </c>
      <c r="AF541" s="5" t="b">
        <f ca="1">IFERROR(__xludf.DUMMYFUNCTION("""COMPUTED_VALUE"""),FALSE)</f>
        <v>0</v>
      </c>
      <c r="AG541" s="5" t="str">
        <f ca="1">IFERROR(__xludf.DUMMYFUNCTION("""COMPUTED_VALUE"""),"INSPECCIONES REALIZADAS")</f>
        <v>INSPECCIONES REALIZADAS</v>
      </c>
      <c r="AH541" s="5"/>
    </row>
    <row r="542" spans="1:34">
      <c r="A542" s="5" t="str">
        <f ca="1">IFERROR(__xludf.DUMMYFUNCTION("""COMPUTED_VALUE"""),"LINEA DE ENVASADO PET NO RETORNABLE")</f>
        <v>LINEA DE ENVASADO PET NO RETORNABLE</v>
      </c>
      <c r="B542" s="5">
        <f ca="1">IFERROR(__xludf.DUMMYFUNCTION("""COMPUTED_VALUE"""),820071)</f>
        <v>820071</v>
      </c>
      <c r="C542" s="5" t="str">
        <f ca="1">IFERROR(__xludf.DUMMYFUNCTION("""COMPUTED_VALUE"""),"ETIQUETADORA")</f>
        <v>ETIQUETADORA</v>
      </c>
      <c r="D542" s="5">
        <f ca="1">IFERROR(__xludf.DUMMYFUNCTION("""COMPUTED_VALUE"""),13247826)</f>
        <v>13247826</v>
      </c>
      <c r="E542" s="5" t="str">
        <f ca="1">IFERROR(__xludf.DUMMYFUNCTION("""COMPUTED_VALUE"""),"INSPECCION SEMANAL ETIQUETADORA")</f>
        <v>INSPECCION SEMANAL ETIQUETADORA</v>
      </c>
      <c r="F542" s="5" t="str">
        <f ca="1">IFERROR(__xludf.DUMMYFUNCTION("""COMPUTED_VALUE"""),"FUNC. SISTEMA NEUMATICO")</f>
        <v>FUNC. SISTEMA NEUMATICO</v>
      </c>
      <c r="G542" s="5" t="b">
        <f ca="1">IFERROR(__xludf.DUMMYFUNCTION("""COMPUTED_VALUE"""),TRUE)</f>
        <v>1</v>
      </c>
      <c r="H542" s="5"/>
      <c r="I542" s="5"/>
      <c r="J542" s="5">
        <f ca="1">IFERROR(__xludf.DUMMYFUNCTION("""COMPUTED_VALUE"""),13247826)</f>
        <v>13247826</v>
      </c>
      <c r="K542" s="5"/>
      <c r="L542" s="18">
        <f ca="1">IFERROR(__xludf.DUMMYFUNCTION("""COMPUTED_VALUE"""),45325)</f>
        <v>45325</v>
      </c>
      <c r="M542" s="18">
        <f ca="1">IFERROR(__xludf.DUMMYFUNCTION("""COMPUTED_VALUE"""),45325)</f>
        <v>45325</v>
      </c>
      <c r="N542" s="5" t="str">
        <f ca="1">IFERROR(__xludf.DUMMYFUNCTION("""COMPUTED_VALUE"""),"Sanchez Rodriguez Gerson Andres")</f>
        <v>Sanchez Rodriguez Gerson Andres</v>
      </c>
      <c r="O542" s="2">
        <f ca="1">IFERROR(__xludf.DUMMYFUNCTION("""COMPUTED_VALUE"""),0.005555556)</f>
        <v>5.5555559999999997E-3</v>
      </c>
      <c r="P542" s="5">
        <f ca="1">IFERROR(__xludf.DUMMYFUNCTION("""COMPUTED_VALUE"""),20020754)</f>
        <v>20020754</v>
      </c>
      <c r="Q542" s="5" t="str">
        <f ca="1">IFERROR(__xludf.DUMMYFUNCTION("""COMPUTED_VALUE"""),"pmZVQGgO1jE")</f>
        <v>pmZVQGgO1jE</v>
      </c>
      <c r="R542" s="5">
        <f ca="1">IFERROR(__xludf.DUMMYFUNCTION("""COMPUTED_VALUE"""),410)</f>
        <v>410</v>
      </c>
      <c r="S542" s="62">
        <f ca="1">IFERROR(__xludf.DUMMYFUNCTION("""COMPUTED_VALUE"""),0.005555556)</f>
        <v>5.5555559999999997E-3</v>
      </c>
      <c r="T542" s="63" t="str">
        <f ca="1">IFERROR(__xludf.DUMMYFUNCTION("""COMPUTED_VALUE"""),"https://storage.googleapis.com/glide-prod.appspot.com/uploads-v2/ly7o78grxPaC6KdgvbpS/pub/3aRdSog0vUtuqPE8AJKD.png")</f>
        <v>https://storage.googleapis.com/glide-prod.appspot.com/uploads-v2/ly7o78grxPaC6KdgvbpS/pub/3aRdSog0vUtuqPE8AJKD.png</v>
      </c>
      <c r="U542" s="5" t="str">
        <f ca="1">IFERROR(__xludf.DUMMYFUNCTION("""COMPUTED_VALUE"""),"LINEA DE ENVASADO PET NO RETORNABLEETIQUETADORA")</f>
        <v>LINEA DE ENVASADO PET NO RETORNABLEETIQUETADORA</v>
      </c>
      <c r="V542" s="5"/>
      <c r="W542" s="5" t="b">
        <f ca="1">IFERROR(__xludf.DUMMYFUNCTION("""COMPUTED_VALUE"""),TRUE)</f>
        <v>1</v>
      </c>
      <c r="X542" s="5" t="str">
        <f ca="1">IFERROR(__xludf.DUMMYFUNCTION("""COMPUTED_VALUE"""),"wguerra@postobon.com.co,aprmttoyu@postobon.com.co,aprmyu@postobon.com.co,wmora@postobon.com.co,efzapata@postobon.com.co")</f>
        <v>wguerra@postobon.com.co,aprmttoyu@postobon.com.co,aprmyu@postobon.com.co,wmora@postobon.com.co,efzapata@postobon.com.co</v>
      </c>
      <c r="Y542" s="5" t="str">
        <f ca="1">IFERROR(__xludf.DUMMYFUNCTION("""COMPUTED_VALUE"""),"wguerra@postobon.com.co")</f>
        <v>wguerra@postobon.com.co</v>
      </c>
      <c r="Z542" s="5" t="str">
        <f ca="1">IFERROR(__xludf.DUMMYFUNCTION("""COMPUTED_VALUE"""),"LlvaXosbTkiy4O2QLeAXXw")</f>
        <v>LlvaXosbTkiy4O2QLeAXXw</v>
      </c>
      <c r="AA542" s="5"/>
      <c r="AB542" s="5"/>
      <c r="AC542" s="5"/>
      <c r="AD542" s="5">
        <f ca="1">IFERROR(__xludf.DUMMYFUNCTION("""COMPUTED_VALUE"""),18)</f>
        <v>18</v>
      </c>
      <c r="AE542" s="5">
        <f ca="1">IFERROR(__xludf.DUMMYFUNCTION("""COMPUTED_VALUE"""),18)</f>
        <v>18</v>
      </c>
      <c r="AF542" s="5" t="b">
        <f ca="1">IFERROR(__xludf.DUMMYFUNCTION("""COMPUTED_VALUE"""),FALSE)</f>
        <v>0</v>
      </c>
      <c r="AG542" s="5" t="str">
        <f ca="1">IFERROR(__xludf.DUMMYFUNCTION("""COMPUTED_VALUE"""),"INSPECCIONES REALIZADAS")</f>
        <v>INSPECCIONES REALIZADAS</v>
      </c>
      <c r="AH542" s="5"/>
    </row>
    <row r="543" spans="1:34">
      <c r="A543" s="5" t="str">
        <f ca="1">IFERROR(__xludf.DUMMYFUNCTION("""COMPUTED_VALUE"""),"LINEA DE ENVASADO PET NO RETORNABLE")</f>
        <v>LINEA DE ENVASADO PET NO RETORNABLE</v>
      </c>
      <c r="B543" s="5">
        <f ca="1">IFERROR(__xludf.DUMMYFUNCTION("""COMPUTED_VALUE"""),820071)</f>
        <v>820071</v>
      </c>
      <c r="C543" s="5" t="str">
        <f ca="1">IFERROR(__xludf.DUMMYFUNCTION("""COMPUTED_VALUE"""),"ETIQUETADORA")</f>
        <v>ETIQUETADORA</v>
      </c>
      <c r="D543" s="5">
        <f ca="1">IFERROR(__xludf.DUMMYFUNCTION("""COMPUTED_VALUE"""),13247826)</f>
        <v>13247826</v>
      </c>
      <c r="E543" s="5" t="str">
        <f ca="1">IFERROR(__xludf.DUMMYFUNCTION("""COMPUTED_VALUE"""),"INSPECCION SEMANAL ETIQUETADORA")</f>
        <v>INSPECCION SEMANAL ETIQUETADORA</v>
      </c>
      <c r="F543" s="5" t="str">
        <f ca="1">IFERROR(__xludf.DUMMYFUNCTION("""COMPUTED_VALUE"""),"ESTADO MOTORES")</f>
        <v>ESTADO MOTORES</v>
      </c>
      <c r="G543" s="5" t="b">
        <f ca="1">IFERROR(__xludf.DUMMYFUNCTION("""COMPUTED_VALUE"""),TRUE)</f>
        <v>1</v>
      </c>
      <c r="H543" s="5"/>
      <c r="I543" s="5"/>
      <c r="J543" s="5">
        <f ca="1">IFERROR(__xludf.DUMMYFUNCTION("""COMPUTED_VALUE"""),13247826)</f>
        <v>13247826</v>
      </c>
      <c r="K543" s="5"/>
      <c r="L543" s="18">
        <f ca="1">IFERROR(__xludf.DUMMYFUNCTION("""COMPUTED_VALUE"""),45325)</f>
        <v>45325</v>
      </c>
      <c r="M543" s="18">
        <f ca="1">IFERROR(__xludf.DUMMYFUNCTION("""COMPUTED_VALUE"""),45325)</f>
        <v>45325</v>
      </c>
      <c r="N543" s="5" t="str">
        <f ca="1">IFERROR(__xludf.DUMMYFUNCTION("""COMPUTED_VALUE"""),"Sanchez Rodriguez Gerson Andres")</f>
        <v>Sanchez Rodriguez Gerson Andres</v>
      </c>
      <c r="O543" s="2">
        <f ca="1">IFERROR(__xludf.DUMMYFUNCTION("""COMPUTED_VALUE"""),0.005555556)</f>
        <v>5.5555559999999997E-3</v>
      </c>
      <c r="P543" s="5">
        <f ca="1">IFERROR(__xludf.DUMMYFUNCTION("""COMPUTED_VALUE"""),20020754)</f>
        <v>20020754</v>
      </c>
      <c r="Q543" s="5" t="str">
        <f ca="1">IFERROR(__xludf.DUMMYFUNCTION("""COMPUTED_VALUE"""),"C4qefu-lOz4")</f>
        <v>C4qefu-lOz4</v>
      </c>
      <c r="R543" s="5">
        <f ca="1">IFERROR(__xludf.DUMMYFUNCTION("""COMPUTED_VALUE"""),410)</f>
        <v>410</v>
      </c>
      <c r="S543" s="62">
        <f ca="1">IFERROR(__xludf.DUMMYFUNCTION("""COMPUTED_VALUE"""),0.005555556)</f>
        <v>5.5555559999999997E-3</v>
      </c>
      <c r="T543" s="63" t="str">
        <f ca="1">IFERROR(__xludf.DUMMYFUNCTION("""COMPUTED_VALUE"""),"https://storage.googleapis.com/glide-prod.appspot.com/uploads-v2/ly7o78grxPaC6KdgvbpS/pub/3aRdSog0vUtuqPE8AJKD.png")</f>
        <v>https://storage.googleapis.com/glide-prod.appspot.com/uploads-v2/ly7o78grxPaC6KdgvbpS/pub/3aRdSog0vUtuqPE8AJKD.png</v>
      </c>
      <c r="U543" s="5" t="str">
        <f ca="1">IFERROR(__xludf.DUMMYFUNCTION("""COMPUTED_VALUE"""),"LINEA DE ENVASADO PET NO RETORNABLEETIQUETADORA")</f>
        <v>LINEA DE ENVASADO PET NO RETORNABLEETIQUETADORA</v>
      </c>
      <c r="V543" s="5"/>
      <c r="W543" s="5" t="b">
        <f ca="1">IFERROR(__xludf.DUMMYFUNCTION("""COMPUTED_VALUE"""),TRUE)</f>
        <v>1</v>
      </c>
      <c r="X543" s="5" t="str">
        <f ca="1">IFERROR(__xludf.DUMMYFUNCTION("""COMPUTED_VALUE"""),"wguerra@postobon.com.co,aprmttoyu@postobon.com.co,aprmyu@postobon.com.co,wmora@postobon.com.co,efzapata@postobon.com.co")</f>
        <v>wguerra@postobon.com.co,aprmttoyu@postobon.com.co,aprmyu@postobon.com.co,wmora@postobon.com.co,efzapata@postobon.com.co</v>
      </c>
      <c r="Y543" s="5" t="str">
        <f ca="1">IFERROR(__xludf.DUMMYFUNCTION("""COMPUTED_VALUE"""),"wguerra@postobon.com.co")</f>
        <v>wguerra@postobon.com.co</v>
      </c>
      <c r="Z543" s="5" t="str">
        <f ca="1">IFERROR(__xludf.DUMMYFUNCTION("""COMPUTED_VALUE"""),"WOp1PQz9QiGrR8JEHwgVRA")</f>
        <v>WOp1PQz9QiGrR8JEHwgVRA</v>
      </c>
      <c r="AA543" s="5"/>
      <c r="AB543" s="5"/>
      <c r="AC543" s="5"/>
      <c r="AD543" s="5">
        <f ca="1">IFERROR(__xludf.DUMMYFUNCTION("""COMPUTED_VALUE"""),18)</f>
        <v>18</v>
      </c>
      <c r="AE543" s="5">
        <f ca="1">IFERROR(__xludf.DUMMYFUNCTION("""COMPUTED_VALUE"""),18)</f>
        <v>18</v>
      </c>
      <c r="AF543" s="5" t="b">
        <f ca="1">IFERROR(__xludf.DUMMYFUNCTION("""COMPUTED_VALUE"""),FALSE)</f>
        <v>0</v>
      </c>
      <c r="AG543" s="5" t="str">
        <f ca="1">IFERROR(__xludf.DUMMYFUNCTION("""COMPUTED_VALUE"""),"INSPECCIONES REALIZADAS")</f>
        <v>INSPECCIONES REALIZADAS</v>
      </c>
      <c r="AH543" s="5"/>
    </row>
    <row r="544" spans="1:34">
      <c r="A544" s="5" t="str">
        <f ca="1">IFERROR(__xludf.DUMMYFUNCTION("""COMPUTED_VALUE"""),"LINEA DE ENVASADO PET NO RETORNABLE")</f>
        <v>LINEA DE ENVASADO PET NO RETORNABLE</v>
      </c>
      <c r="B544" s="5">
        <f ca="1">IFERROR(__xludf.DUMMYFUNCTION("""COMPUTED_VALUE"""),820071)</f>
        <v>820071</v>
      </c>
      <c r="C544" s="5" t="str">
        <f ca="1">IFERROR(__xludf.DUMMYFUNCTION("""COMPUTED_VALUE"""),"ETIQUETADORA")</f>
        <v>ETIQUETADORA</v>
      </c>
      <c r="D544" s="5">
        <f ca="1">IFERROR(__xludf.DUMMYFUNCTION("""COMPUTED_VALUE"""),13247826)</f>
        <v>13247826</v>
      </c>
      <c r="E544" s="5" t="str">
        <f ca="1">IFERROR(__xludf.DUMMYFUNCTION("""COMPUTED_VALUE"""),"INSPECCION SEMANAL ETIQUETADORA")</f>
        <v>INSPECCION SEMANAL ETIQUETADORA</v>
      </c>
      <c r="F544" s="5" t="str">
        <f ca="1">IFERROR(__xludf.DUMMYFUNCTION("""COMPUTED_VALUE"""),"INSP RUIDOS EXTRAÑOS")</f>
        <v>INSP RUIDOS EXTRAÑOS</v>
      </c>
      <c r="G544" s="5" t="b">
        <f ca="1">IFERROR(__xludf.DUMMYFUNCTION("""COMPUTED_VALUE"""),TRUE)</f>
        <v>1</v>
      </c>
      <c r="H544" s="5"/>
      <c r="I544" s="5"/>
      <c r="J544" s="5">
        <f ca="1">IFERROR(__xludf.DUMMYFUNCTION("""COMPUTED_VALUE"""),13247826)</f>
        <v>13247826</v>
      </c>
      <c r="K544" s="5"/>
      <c r="L544" s="18">
        <f ca="1">IFERROR(__xludf.DUMMYFUNCTION("""COMPUTED_VALUE"""),45325)</f>
        <v>45325</v>
      </c>
      <c r="M544" s="18">
        <f ca="1">IFERROR(__xludf.DUMMYFUNCTION("""COMPUTED_VALUE"""),45325)</f>
        <v>45325</v>
      </c>
      <c r="N544" s="5" t="str">
        <f ca="1">IFERROR(__xludf.DUMMYFUNCTION("""COMPUTED_VALUE"""),"Sanchez Rodriguez Gerson Andres")</f>
        <v>Sanchez Rodriguez Gerson Andres</v>
      </c>
      <c r="O544" s="2">
        <f ca="1">IFERROR(__xludf.DUMMYFUNCTION("""COMPUTED_VALUE"""),0.005555556)</f>
        <v>5.5555559999999997E-3</v>
      </c>
      <c r="P544" s="5">
        <f ca="1">IFERROR(__xludf.DUMMYFUNCTION("""COMPUTED_VALUE"""),20020754)</f>
        <v>20020754</v>
      </c>
      <c r="Q544" s="5" t="str">
        <f ca="1">IFERROR(__xludf.DUMMYFUNCTION("""COMPUTED_VALUE"""),"zY7l4VOoRs0")</f>
        <v>zY7l4VOoRs0</v>
      </c>
      <c r="R544" s="5">
        <f ca="1">IFERROR(__xludf.DUMMYFUNCTION("""COMPUTED_VALUE"""),410)</f>
        <v>410</v>
      </c>
      <c r="S544" s="62">
        <f ca="1">IFERROR(__xludf.DUMMYFUNCTION("""COMPUTED_VALUE"""),0.005555556)</f>
        <v>5.5555559999999997E-3</v>
      </c>
      <c r="T544" s="63" t="str">
        <f ca="1">IFERROR(__xludf.DUMMYFUNCTION("""COMPUTED_VALUE"""),"https://storage.googleapis.com/glide-prod.appspot.com/uploads-v2/ly7o78grxPaC6KdgvbpS/pub/3aRdSog0vUtuqPE8AJKD.png")</f>
        <v>https://storage.googleapis.com/glide-prod.appspot.com/uploads-v2/ly7o78grxPaC6KdgvbpS/pub/3aRdSog0vUtuqPE8AJKD.png</v>
      </c>
      <c r="U544" s="5" t="str">
        <f ca="1">IFERROR(__xludf.DUMMYFUNCTION("""COMPUTED_VALUE"""),"LINEA DE ENVASADO PET NO RETORNABLEETIQUETADORA")</f>
        <v>LINEA DE ENVASADO PET NO RETORNABLEETIQUETADORA</v>
      </c>
      <c r="V544" s="5"/>
      <c r="W544" s="5" t="b">
        <f ca="1">IFERROR(__xludf.DUMMYFUNCTION("""COMPUTED_VALUE"""),TRUE)</f>
        <v>1</v>
      </c>
      <c r="X544" s="5" t="str">
        <f ca="1">IFERROR(__xludf.DUMMYFUNCTION("""COMPUTED_VALUE"""),"wguerra@postobon.com.co,aprmttoyu@postobon.com.co,aprmyu@postobon.com.co,wmora@postobon.com.co,efzapata@postobon.com.co")</f>
        <v>wguerra@postobon.com.co,aprmttoyu@postobon.com.co,aprmyu@postobon.com.co,wmora@postobon.com.co,efzapata@postobon.com.co</v>
      </c>
      <c r="Y544" s="5" t="str">
        <f ca="1">IFERROR(__xludf.DUMMYFUNCTION("""COMPUTED_VALUE"""),"wguerra@postobon.com.co")</f>
        <v>wguerra@postobon.com.co</v>
      </c>
      <c r="Z544" s="5" t="str">
        <f ca="1">IFERROR(__xludf.DUMMYFUNCTION("""COMPUTED_VALUE"""),"5OvVBYSHTKaXJzoMeI.vWg")</f>
        <v>5OvVBYSHTKaXJzoMeI.vWg</v>
      </c>
      <c r="AA544" s="5"/>
      <c r="AB544" s="5"/>
      <c r="AC544" s="5"/>
      <c r="AD544" s="5">
        <f ca="1">IFERROR(__xludf.DUMMYFUNCTION("""COMPUTED_VALUE"""),18)</f>
        <v>18</v>
      </c>
      <c r="AE544" s="5">
        <f ca="1">IFERROR(__xludf.DUMMYFUNCTION("""COMPUTED_VALUE"""),18)</f>
        <v>18</v>
      </c>
      <c r="AF544" s="5" t="b">
        <f ca="1">IFERROR(__xludf.DUMMYFUNCTION("""COMPUTED_VALUE"""),FALSE)</f>
        <v>0</v>
      </c>
      <c r="AG544" s="5" t="str">
        <f ca="1">IFERROR(__xludf.DUMMYFUNCTION("""COMPUTED_VALUE"""),"INSPECCIONES REALIZADAS")</f>
        <v>INSPECCIONES REALIZADAS</v>
      </c>
      <c r="AH544" s="5"/>
    </row>
    <row r="545" spans="1:34">
      <c r="A545" s="5" t="str">
        <f ca="1">IFERROR(__xludf.DUMMYFUNCTION("""COMPUTED_VALUE"""),"LINEA DE ENVASADO PET NO RETORNABLE")</f>
        <v>LINEA DE ENVASADO PET NO RETORNABLE</v>
      </c>
      <c r="B545" s="5">
        <f ca="1">IFERROR(__xludf.DUMMYFUNCTION("""COMPUTED_VALUE"""),820071)</f>
        <v>820071</v>
      </c>
      <c r="C545" s="5" t="str">
        <f ca="1">IFERROR(__xludf.DUMMYFUNCTION("""COMPUTED_VALUE"""),"ETIQUETADORA")</f>
        <v>ETIQUETADORA</v>
      </c>
      <c r="D545" s="5">
        <f ca="1">IFERROR(__xludf.DUMMYFUNCTION("""COMPUTED_VALUE"""),13247826)</f>
        <v>13247826</v>
      </c>
      <c r="E545" s="5" t="str">
        <f ca="1">IFERROR(__xludf.DUMMYFUNCTION("""COMPUTED_VALUE"""),"INSPECCION SEMANAL ETIQUETADORA")</f>
        <v>INSPECCION SEMANAL ETIQUETADORA</v>
      </c>
      <c r="F545" s="5" t="str">
        <f ca="1">IFERROR(__xludf.DUMMYFUNCTION("""COMPUTED_VALUE"""),"INSP. FILTRO VACIO BOMBAS")</f>
        <v>INSP. FILTRO VACIO BOMBAS</v>
      </c>
      <c r="G545" s="5" t="b">
        <f ca="1">IFERROR(__xludf.DUMMYFUNCTION("""COMPUTED_VALUE"""),TRUE)</f>
        <v>1</v>
      </c>
      <c r="H545" s="5"/>
      <c r="I545" s="5"/>
      <c r="J545" s="5">
        <f ca="1">IFERROR(__xludf.DUMMYFUNCTION("""COMPUTED_VALUE"""),13247826)</f>
        <v>13247826</v>
      </c>
      <c r="K545" s="5"/>
      <c r="L545" s="18">
        <f ca="1">IFERROR(__xludf.DUMMYFUNCTION("""COMPUTED_VALUE"""),45325)</f>
        <v>45325</v>
      </c>
      <c r="M545" s="18">
        <f ca="1">IFERROR(__xludf.DUMMYFUNCTION("""COMPUTED_VALUE"""),45325)</f>
        <v>45325</v>
      </c>
      <c r="N545" s="5" t="str">
        <f ca="1">IFERROR(__xludf.DUMMYFUNCTION("""COMPUTED_VALUE"""),"Sanchez Rodriguez Gerson Andres")</f>
        <v>Sanchez Rodriguez Gerson Andres</v>
      </c>
      <c r="O545" s="2">
        <f ca="1">IFERROR(__xludf.DUMMYFUNCTION("""COMPUTED_VALUE"""),0.005555556)</f>
        <v>5.5555559999999997E-3</v>
      </c>
      <c r="P545" s="5">
        <f ca="1">IFERROR(__xludf.DUMMYFUNCTION("""COMPUTED_VALUE"""),20020754)</f>
        <v>20020754</v>
      </c>
      <c r="Q545" s="5" t="str">
        <f ca="1">IFERROR(__xludf.DUMMYFUNCTION("""COMPUTED_VALUE"""),"r29yz-q2iVA")</f>
        <v>r29yz-q2iVA</v>
      </c>
      <c r="R545" s="5">
        <f ca="1">IFERROR(__xludf.DUMMYFUNCTION("""COMPUTED_VALUE"""),410)</f>
        <v>410</v>
      </c>
      <c r="S545" s="62">
        <f ca="1">IFERROR(__xludf.DUMMYFUNCTION("""COMPUTED_VALUE"""),0.005555556)</f>
        <v>5.5555559999999997E-3</v>
      </c>
      <c r="T545" s="63" t="str">
        <f ca="1">IFERROR(__xludf.DUMMYFUNCTION("""COMPUTED_VALUE"""),"https://storage.googleapis.com/glide-prod.appspot.com/uploads-v2/ly7o78grxPaC6KdgvbpS/pub/3aRdSog0vUtuqPE8AJKD.png")</f>
        <v>https://storage.googleapis.com/glide-prod.appspot.com/uploads-v2/ly7o78grxPaC6KdgvbpS/pub/3aRdSog0vUtuqPE8AJKD.png</v>
      </c>
      <c r="U545" s="5" t="str">
        <f ca="1">IFERROR(__xludf.DUMMYFUNCTION("""COMPUTED_VALUE"""),"LINEA DE ENVASADO PET NO RETORNABLEETIQUETADORA")</f>
        <v>LINEA DE ENVASADO PET NO RETORNABLEETIQUETADORA</v>
      </c>
      <c r="V545" s="5"/>
      <c r="W545" s="5" t="b">
        <f ca="1">IFERROR(__xludf.DUMMYFUNCTION("""COMPUTED_VALUE"""),TRUE)</f>
        <v>1</v>
      </c>
      <c r="X545" s="5" t="str">
        <f ca="1">IFERROR(__xludf.DUMMYFUNCTION("""COMPUTED_VALUE"""),"wguerra@postobon.com.co,aprmttoyu@postobon.com.co,aprmyu@postobon.com.co,wmora@postobon.com.co,efzapata@postobon.com.co")</f>
        <v>wguerra@postobon.com.co,aprmttoyu@postobon.com.co,aprmyu@postobon.com.co,wmora@postobon.com.co,efzapata@postobon.com.co</v>
      </c>
      <c r="Y545" s="5" t="str">
        <f ca="1">IFERROR(__xludf.DUMMYFUNCTION("""COMPUTED_VALUE"""),"wguerra@postobon.com.co")</f>
        <v>wguerra@postobon.com.co</v>
      </c>
      <c r="Z545" s="5" t="str">
        <f ca="1">IFERROR(__xludf.DUMMYFUNCTION("""COMPUTED_VALUE"""),"d7447Q6oQmSuptSPE6pxEA")</f>
        <v>d7447Q6oQmSuptSPE6pxEA</v>
      </c>
      <c r="AA545" s="5"/>
      <c r="AB545" s="5"/>
      <c r="AC545" s="5"/>
      <c r="AD545" s="5">
        <f ca="1">IFERROR(__xludf.DUMMYFUNCTION("""COMPUTED_VALUE"""),18)</f>
        <v>18</v>
      </c>
      <c r="AE545" s="5">
        <f ca="1">IFERROR(__xludf.DUMMYFUNCTION("""COMPUTED_VALUE"""),18)</f>
        <v>18</v>
      </c>
      <c r="AF545" s="5" t="b">
        <f ca="1">IFERROR(__xludf.DUMMYFUNCTION("""COMPUTED_VALUE"""),FALSE)</f>
        <v>0</v>
      </c>
      <c r="AG545" s="5" t="str">
        <f ca="1">IFERROR(__xludf.DUMMYFUNCTION("""COMPUTED_VALUE"""),"INSPECCIONES REALIZADAS")</f>
        <v>INSPECCIONES REALIZADAS</v>
      </c>
      <c r="AH545" s="5"/>
    </row>
    <row r="546" spans="1:34">
      <c r="A546" s="5" t="str">
        <f ca="1">IFERROR(__xludf.DUMMYFUNCTION("""COMPUTED_VALUE"""),"LINEA DE ENVASADO PET NO RETORNABLE")</f>
        <v>LINEA DE ENVASADO PET NO RETORNABLE</v>
      </c>
      <c r="B546" s="5">
        <f ca="1">IFERROR(__xludf.DUMMYFUNCTION("""COMPUTED_VALUE"""),820071)</f>
        <v>820071</v>
      </c>
      <c r="C546" s="5" t="str">
        <f ca="1">IFERROR(__xludf.DUMMYFUNCTION("""COMPUTED_VALUE"""),"ETIQUETADORA")</f>
        <v>ETIQUETADORA</v>
      </c>
      <c r="D546" s="5">
        <f ca="1">IFERROR(__xludf.DUMMYFUNCTION("""COMPUTED_VALUE"""),13247826)</f>
        <v>13247826</v>
      </c>
      <c r="E546" s="5" t="str">
        <f ca="1">IFERROR(__xludf.DUMMYFUNCTION("""COMPUTED_VALUE"""),"INSPECCION SEMANAL ETIQUETADORA")</f>
        <v>INSPECCION SEMANAL ETIQUETADORA</v>
      </c>
      <c r="F546" s="5" t="str">
        <f ca="1">IFERROR(__xludf.DUMMYFUNCTION("""COMPUTED_VALUE"""),"INSP PRESION NEUMATICA")</f>
        <v>INSP PRESION NEUMATICA</v>
      </c>
      <c r="G546" s="5" t="b">
        <f ca="1">IFERROR(__xludf.DUMMYFUNCTION("""COMPUTED_VALUE"""),TRUE)</f>
        <v>1</v>
      </c>
      <c r="H546" s="5"/>
      <c r="I546" s="5"/>
      <c r="J546" s="5">
        <f ca="1">IFERROR(__xludf.DUMMYFUNCTION("""COMPUTED_VALUE"""),13247826)</f>
        <v>13247826</v>
      </c>
      <c r="K546" s="5"/>
      <c r="L546" s="18">
        <f ca="1">IFERROR(__xludf.DUMMYFUNCTION("""COMPUTED_VALUE"""),45325)</f>
        <v>45325</v>
      </c>
      <c r="M546" s="18">
        <f ca="1">IFERROR(__xludf.DUMMYFUNCTION("""COMPUTED_VALUE"""),45325)</f>
        <v>45325</v>
      </c>
      <c r="N546" s="5" t="str">
        <f ca="1">IFERROR(__xludf.DUMMYFUNCTION("""COMPUTED_VALUE"""),"Sanchez Rodriguez Gerson Andres")</f>
        <v>Sanchez Rodriguez Gerson Andres</v>
      </c>
      <c r="O546" s="2">
        <f ca="1">IFERROR(__xludf.DUMMYFUNCTION("""COMPUTED_VALUE"""),0.005555556)</f>
        <v>5.5555559999999997E-3</v>
      </c>
      <c r="P546" s="5">
        <f ca="1">IFERROR(__xludf.DUMMYFUNCTION("""COMPUTED_VALUE"""),20020754)</f>
        <v>20020754</v>
      </c>
      <c r="Q546" s="5" t="str">
        <f ca="1">IFERROR(__xludf.DUMMYFUNCTION("""COMPUTED_VALUE"""),"Zvgqxp-VrUM")</f>
        <v>Zvgqxp-VrUM</v>
      </c>
      <c r="R546" s="5">
        <f ca="1">IFERROR(__xludf.DUMMYFUNCTION("""COMPUTED_VALUE"""),410)</f>
        <v>410</v>
      </c>
      <c r="S546" s="62">
        <f ca="1">IFERROR(__xludf.DUMMYFUNCTION("""COMPUTED_VALUE"""),0.005555556)</f>
        <v>5.5555559999999997E-3</v>
      </c>
      <c r="T546" s="63" t="str">
        <f ca="1">IFERROR(__xludf.DUMMYFUNCTION("""COMPUTED_VALUE"""),"https://storage.googleapis.com/glide-prod.appspot.com/uploads-v2/ly7o78grxPaC6KdgvbpS/pub/3aRdSog0vUtuqPE8AJKD.png")</f>
        <v>https://storage.googleapis.com/glide-prod.appspot.com/uploads-v2/ly7o78grxPaC6KdgvbpS/pub/3aRdSog0vUtuqPE8AJKD.png</v>
      </c>
      <c r="U546" s="5" t="str">
        <f ca="1">IFERROR(__xludf.DUMMYFUNCTION("""COMPUTED_VALUE"""),"LINEA DE ENVASADO PET NO RETORNABLEETIQUETADORA")</f>
        <v>LINEA DE ENVASADO PET NO RETORNABLEETIQUETADORA</v>
      </c>
      <c r="V546" s="5"/>
      <c r="W546" s="5" t="b">
        <f ca="1">IFERROR(__xludf.DUMMYFUNCTION("""COMPUTED_VALUE"""),TRUE)</f>
        <v>1</v>
      </c>
      <c r="X546" s="5" t="str">
        <f ca="1">IFERROR(__xludf.DUMMYFUNCTION("""COMPUTED_VALUE"""),"wguerra@postobon.com.co,aprmttoyu@postobon.com.co,aprmyu@postobon.com.co,wmora@postobon.com.co,efzapata@postobon.com.co")</f>
        <v>wguerra@postobon.com.co,aprmttoyu@postobon.com.co,aprmyu@postobon.com.co,wmora@postobon.com.co,efzapata@postobon.com.co</v>
      </c>
      <c r="Y546" s="5" t="str">
        <f ca="1">IFERROR(__xludf.DUMMYFUNCTION("""COMPUTED_VALUE"""),"wguerra@postobon.com.co")</f>
        <v>wguerra@postobon.com.co</v>
      </c>
      <c r="Z546" s="5" t="str">
        <f ca="1">IFERROR(__xludf.DUMMYFUNCTION("""COMPUTED_VALUE"""),"4YUunGwMSO-GwcYrj0DWVA")</f>
        <v>4YUunGwMSO-GwcYrj0DWVA</v>
      </c>
      <c r="AA546" s="5"/>
      <c r="AB546" s="5"/>
      <c r="AC546" s="5"/>
      <c r="AD546" s="5">
        <f ca="1">IFERROR(__xludf.DUMMYFUNCTION("""COMPUTED_VALUE"""),18)</f>
        <v>18</v>
      </c>
      <c r="AE546" s="5">
        <f ca="1">IFERROR(__xludf.DUMMYFUNCTION("""COMPUTED_VALUE"""),18)</f>
        <v>18</v>
      </c>
      <c r="AF546" s="5" t="b">
        <f ca="1">IFERROR(__xludf.DUMMYFUNCTION("""COMPUTED_VALUE"""),FALSE)</f>
        <v>0</v>
      </c>
      <c r="AG546" s="5" t="str">
        <f ca="1">IFERROR(__xludf.DUMMYFUNCTION("""COMPUTED_VALUE"""),"INSPECCIONES REALIZADAS")</f>
        <v>INSPECCIONES REALIZADAS</v>
      </c>
      <c r="AH546" s="5"/>
    </row>
    <row r="547" spans="1:34">
      <c r="A547" s="5" t="str">
        <f ca="1">IFERROR(__xludf.DUMMYFUNCTION("""COMPUTED_VALUE"""),"LINEA DE ENVASADO PET NO RETORNABLE")</f>
        <v>LINEA DE ENVASADO PET NO RETORNABLE</v>
      </c>
      <c r="B547" s="5">
        <f ca="1">IFERROR(__xludf.DUMMYFUNCTION("""COMPUTED_VALUE"""),820071)</f>
        <v>820071</v>
      </c>
      <c r="C547" s="5" t="str">
        <f ca="1">IFERROR(__xludf.DUMMYFUNCTION("""COMPUTED_VALUE"""),"ETIQUETADORA")</f>
        <v>ETIQUETADORA</v>
      </c>
      <c r="D547" s="5">
        <f ca="1">IFERROR(__xludf.DUMMYFUNCTION("""COMPUTED_VALUE"""),13247826)</f>
        <v>13247826</v>
      </c>
      <c r="E547" s="5" t="str">
        <f ca="1">IFERROR(__xludf.DUMMYFUNCTION("""COMPUTED_VALUE"""),"INSPECCION SEMANAL ETIQUETADORA")</f>
        <v>INSPECCION SEMANAL ETIQUETADORA</v>
      </c>
      <c r="F547" s="5" t="str">
        <f ca="1">IFERROR(__xludf.DUMMYFUNCTION("""COMPUTED_VALUE"""),"ESTADO GUIAS ENTRADA-SALIDA")</f>
        <v>ESTADO GUIAS ENTRADA-SALIDA</v>
      </c>
      <c r="G547" s="5" t="b">
        <f ca="1">IFERROR(__xludf.DUMMYFUNCTION("""COMPUTED_VALUE"""),TRUE)</f>
        <v>1</v>
      </c>
      <c r="H547" s="5"/>
      <c r="I547" s="5"/>
      <c r="J547" s="5">
        <f ca="1">IFERROR(__xludf.DUMMYFUNCTION("""COMPUTED_VALUE"""),13247826)</f>
        <v>13247826</v>
      </c>
      <c r="K547" s="5"/>
      <c r="L547" s="18">
        <f ca="1">IFERROR(__xludf.DUMMYFUNCTION("""COMPUTED_VALUE"""),45325)</f>
        <v>45325</v>
      </c>
      <c r="M547" s="18">
        <f ca="1">IFERROR(__xludf.DUMMYFUNCTION("""COMPUTED_VALUE"""),45325)</f>
        <v>45325</v>
      </c>
      <c r="N547" s="5" t="str">
        <f ca="1">IFERROR(__xludf.DUMMYFUNCTION("""COMPUTED_VALUE"""),"Sanchez Rodriguez Gerson Andres")</f>
        <v>Sanchez Rodriguez Gerson Andres</v>
      </c>
      <c r="O547" s="2">
        <f ca="1">IFERROR(__xludf.DUMMYFUNCTION("""COMPUTED_VALUE"""),0.005555556)</f>
        <v>5.5555559999999997E-3</v>
      </c>
      <c r="P547" s="5">
        <f ca="1">IFERROR(__xludf.DUMMYFUNCTION("""COMPUTED_VALUE"""),20020754)</f>
        <v>20020754</v>
      </c>
      <c r="Q547" s="5" t="str">
        <f ca="1">IFERROR(__xludf.DUMMYFUNCTION("""COMPUTED_VALUE"""),"3D2RSgU_qFE")</f>
        <v>3D2RSgU_qFE</v>
      </c>
      <c r="R547" s="5">
        <f ca="1">IFERROR(__xludf.DUMMYFUNCTION("""COMPUTED_VALUE"""),410)</f>
        <v>410</v>
      </c>
      <c r="S547" s="62">
        <f ca="1">IFERROR(__xludf.DUMMYFUNCTION("""COMPUTED_VALUE"""),0.005555556)</f>
        <v>5.5555559999999997E-3</v>
      </c>
      <c r="T547" s="63" t="str">
        <f ca="1">IFERROR(__xludf.DUMMYFUNCTION("""COMPUTED_VALUE"""),"https://storage.googleapis.com/glide-prod.appspot.com/uploads-v2/ly7o78grxPaC6KdgvbpS/pub/3aRdSog0vUtuqPE8AJKD.png")</f>
        <v>https://storage.googleapis.com/glide-prod.appspot.com/uploads-v2/ly7o78grxPaC6KdgvbpS/pub/3aRdSog0vUtuqPE8AJKD.png</v>
      </c>
      <c r="U547" s="5" t="str">
        <f ca="1">IFERROR(__xludf.DUMMYFUNCTION("""COMPUTED_VALUE"""),"LINEA DE ENVASADO PET NO RETORNABLEETIQUETADORA")</f>
        <v>LINEA DE ENVASADO PET NO RETORNABLEETIQUETADORA</v>
      </c>
      <c r="V547" s="5"/>
      <c r="W547" s="5" t="b">
        <f ca="1">IFERROR(__xludf.DUMMYFUNCTION("""COMPUTED_VALUE"""),TRUE)</f>
        <v>1</v>
      </c>
      <c r="X547" s="5" t="str">
        <f ca="1">IFERROR(__xludf.DUMMYFUNCTION("""COMPUTED_VALUE"""),"wguerra@postobon.com.co,aprmttoyu@postobon.com.co,aprmyu@postobon.com.co,wmora@postobon.com.co,efzapata@postobon.com.co")</f>
        <v>wguerra@postobon.com.co,aprmttoyu@postobon.com.co,aprmyu@postobon.com.co,wmora@postobon.com.co,efzapata@postobon.com.co</v>
      </c>
      <c r="Y547" s="5" t="str">
        <f ca="1">IFERROR(__xludf.DUMMYFUNCTION("""COMPUTED_VALUE"""),"wguerra@postobon.com.co")</f>
        <v>wguerra@postobon.com.co</v>
      </c>
      <c r="Z547" s="5" t="str">
        <f ca="1">IFERROR(__xludf.DUMMYFUNCTION("""COMPUTED_VALUE"""),"Pm-MAMQZQ-mAPbhMLJMUzQ")</f>
        <v>Pm-MAMQZQ-mAPbhMLJMUzQ</v>
      </c>
      <c r="AA547" s="5"/>
      <c r="AB547" s="5"/>
      <c r="AC547" s="5"/>
      <c r="AD547" s="5">
        <f ca="1">IFERROR(__xludf.DUMMYFUNCTION("""COMPUTED_VALUE"""),18)</f>
        <v>18</v>
      </c>
      <c r="AE547" s="5">
        <f ca="1">IFERROR(__xludf.DUMMYFUNCTION("""COMPUTED_VALUE"""),18)</f>
        <v>18</v>
      </c>
      <c r="AF547" s="5" t="b">
        <f ca="1">IFERROR(__xludf.DUMMYFUNCTION("""COMPUTED_VALUE"""),FALSE)</f>
        <v>0</v>
      </c>
      <c r="AG547" s="5" t="str">
        <f ca="1">IFERROR(__xludf.DUMMYFUNCTION("""COMPUTED_VALUE"""),"INSPECCIONES REALIZADAS")</f>
        <v>INSPECCIONES REALIZADAS</v>
      </c>
      <c r="AH547" s="5"/>
    </row>
    <row r="548" spans="1:34">
      <c r="A548" s="5" t="str">
        <f ca="1">IFERROR(__xludf.DUMMYFUNCTION("""COMPUTED_VALUE"""),"LINEA DE ENVASADO PET NO RETORNABLE")</f>
        <v>LINEA DE ENVASADO PET NO RETORNABLE</v>
      </c>
      <c r="B548" s="5">
        <f ca="1">IFERROR(__xludf.DUMMYFUNCTION("""COMPUTED_VALUE"""),820071)</f>
        <v>820071</v>
      </c>
      <c r="C548" s="5" t="str">
        <f ca="1">IFERROR(__xludf.DUMMYFUNCTION("""COMPUTED_VALUE"""),"ETIQUETADORA")</f>
        <v>ETIQUETADORA</v>
      </c>
      <c r="D548" s="5">
        <f ca="1">IFERROR(__xludf.DUMMYFUNCTION("""COMPUTED_VALUE"""),13247826)</f>
        <v>13247826</v>
      </c>
      <c r="E548" s="5" t="str">
        <f ca="1">IFERROR(__xludf.DUMMYFUNCTION("""COMPUTED_VALUE"""),"INSPECCION SEMANAL ETIQUETADORA")</f>
        <v>INSPECCION SEMANAL ETIQUETADORA</v>
      </c>
      <c r="F548" s="5" t="str">
        <f ca="1">IFERROR(__xludf.DUMMYFUNCTION("""COMPUTED_VALUE"""),"INSP TABLERO ELECTRICO/CLIMATIZADOR")</f>
        <v>INSP TABLERO ELECTRICO/CLIMATIZADOR</v>
      </c>
      <c r="G548" s="5" t="b">
        <f ca="1">IFERROR(__xludf.DUMMYFUNCTION("""COMPUTED_VALUE"""),TRUE)</f>
        <v>1</v>
      </c>
      <c r="H548" s="5" t="str">
        <f ca="1">IFERROR(__xludf.DUMMYFUNCTION("""COMPUTED_VALUE"""),"Novedad en el climatizador, armario eléctrico permanece con la puerta abierta.")</f>
        <v>Novedad en el climatizador, armario eléctrico permanece con la puerta abierta.</v>
      </c>
      <c r="I548" s="5"/>
      <c r="J548" s="5">
        <f ca="1">IFERROR(__xludf.DUMMYFUNCTION("""COMPUTED_VALUE"""),13247826)</f>
        <v>13247826</v>
      </c>
      <c r="K548" s="5"/>
      <c r="L548" s="18">
        <f ca="1">IFERROR(__xludf.DUMMYFUNCTION("""COMPUTED_VALUE"""),45325)</f>
        <v>45325</v>
      </c>
      <c r="M548" s="18">
        <f ca="1">IFERROR(__xludf.DUMMYFUNCTION("""COMPUTED_VALUE"""),45325)</f>
        <v>45325</v>
      </c>
      <c r="N548" s="5" t="str">
        <f ca="1">IFERROR(__xludf.DUMMYFUNCTION("""COMPUTED_VALUE"""),"Sanchez Rodriguez Gerson Andres")</f>
        <v>Sanchez Rodriguez Gerson Andres</v>
      </c>
      <c r="O548" s="2">
        <f ca="1">IFERROR(__xludf.DUMMYFUNCTION("""COMPUTED_VALUE"""),0.005555556)</f>
        <v>5.5555559999999997E-3</v>
      </c>
      <c r="P548" s="5">
        <f ca="1">IFERROR(__xludf.DUMMYFUNCTION("""COMPUTED_VALUE"""),20020754)</f>
        <v>20020754</v>
      </c>
      <c r="Q548" s="5" t="str">
        <f ca="1">IFERROR(__xludf.DUMMYFUNCTION("""COMPUTED_VALUE"""),"zxGbkYAakTw")</f>
        <v>zxGbkYAakTw</v>
      </c>
      <c r="R548" s="5">
        <f ca="1">IFERROR(__xludf.DUMMYFUNCTION("""COMPUTED_VALUE"""),410)</f>
        <v>410</v>
      </c>
      <c r="S548" s="62">
        <f ca="1">IFERROR(__xludf.DUMMYFUNCTION("""COMPUTED_VALUE"""),0.005555556)</f>
        <v>5.5555559999999997E-3</v>
      </c>
      <c r="T548" s="63" t="str">
        <f ca="1">IFERROR(__xludf.DUMMYFUNCTION("""COMPUTED_VALUE"""),"https://storage.googleapis.com/glide-prod.appspot.com/uploads-v2/ly7o78grxPaC6KdgvbpS/pub/3aRdSog0vUtuqPE8AJKD.png")</f>
        <v>https://storage.googleapis.com/glide-prod.appspot.com/uploads-v2/ly7o78grxPaC6KdgvbpS/pub/3aRdSog0vUtuqPE8AJKD.png</v>
      </c>
      <c r="U548" s="5" t="str">
        <f ca="1">IFERROR(__xludf.DUMMYFUNCTION("""COMPUTED_VALUE"""),"LINEA DE ENVASADO PET NO RETORNABLEETIQUETADORA")</f>
        <v>LINEA DE ENVASADO PET NO RETORNABLEETIQUETADORA</v>
      </c>
      <c r="V548" s="5"/>
      <c r="W548" s="5" t="b">
        <f ca="1">IFERROR(__xludf.DUMMYFUNCTION("""COMPUTED_VALUE"""),TRUE)</f>
        <v>1</v>
      </c>
      <c r="X548" s="5" t="str">
        <f ca="1">IFERROR(__xludf.DUMMYFUNCTION("""COMPUTED_VALUE"""),"wguerra@postobon.com.co,aprmttoyu@postobon.com.co,aprmyu@postobon.com.co,wmora@postobon.com.co,efzapata@postobon.com.co")</f>
        <v>wguerra@postobon.com.co,aprmttoyu@postobon.com.co,aprmyu@postobon.com.co,wmora@postobon.com.co,efzapata@postobon.com.co</v>
      </c>
      <c r="Y548" s="5" t="str">
        <f ca="1">IFERROR(__xludf.DUMMYFUNCTION("""COMPUTED_VALUE"""),"wguerra@postobon.com.co")</f>
        <v>wguerra@postobon.com.co</v>
      </c>
      <c r="Z548" s="5" t="str">
        <f ca="1">IFERROR(__xludf.DUMMYFUNCTION("""COMPUTED_VALUE"""),"53Q0oH7LSUSlSBopGEwglw")</f>
        <v>53Q0oH7LSUSlSBopGEwglw</v>
      </c>
      <c r="AA548" s="63" t="str">
        <f ca="1">IFERROR(__xludf.DUMMYFUNCTION("""COMPUTED_VALUE"""),"https://storage.googleapis.com/glide-prod.appspot.com/uploads-v2/ly7o78grxPaC6KdgvbpS/pub/dzHyiir9PCrRsfphXAze.jpg")</f>
        <v>https://storage.googleapis.com/glide-prod.appspot.com/uploads-v2/ly7o78grxPaC6KdgvbpS/pub/dzHyiir9PCrRsfphXAze.jpg</v>
      </c>
      <c r="AB548" s="5"/>
      <c r="AC548" s="5"/>
      <c r="AD548" s="5">
        <f ca="1">IFERROR(__xludf.DUMMYFUNCTION("""COMPUTED_VALUE"""),18)</f>
        <v>18</v>
      </c>
      <c r="AE548" s="5">
        <f ca="1">IFERROR(__xludf.DUMMYFUNCTION("""COMPUTED_VALUE"""),18)</f>
        <v>18</v>
      </c>
      <c r="AF548" s="5" t="b">
        <f ca="1">IFERROR(__xludf.DUMMYFUNCTION("""COMPUTED_VALUE"""),FALSE)</f>
        <v>0</v>
      </c>
      <c r="AG548" s="5" t="str">
        <f ca="1">IFERROR(__xludf.DUMMYFUNCTION("""COMPUTED_VALUE"""),"INSPECCIONES REALIZADAS")</f>
        <v>INSPECCIONES REALIZADAS</v>
      </c>
      <c r="AH548" s="5"/>
    </row>
    <row r="549" spans="1:34">
      <c r="A549" s="5" t="str">
        <f ca="1">IFERROR(__xludf.DUMMYFUNCTION("""COMPUTED_VALUE"""),"LINEA DE ENVASADO JUGOS PET HOT FILL")</f>
        <v>LINEA DE ENVASADO JUGOS PET HOT FILL</v>
      </c>
      <c r="B549" s="5">
        <f ca="1">IFERROR(__xludf.DUMMYFUNCTION("""COMPUTED_VALUE"""),900304)</f>
        <v>900304</v>
      </c>
      <c r="C549" s="5" t="str">
        <f ca="1">IFERROR(__xludf.DUMMYFUNCTION("""COMPUTED_VALUE"""),"ETIQUETIADORA FULL BODY")</f>
        <v>ETIQUETIADORA FULL BODY</v>
      </c>
      <c r="D549" s="5">
        <f ca="1">IFERROR(__xludf.DUMMYFUNCTION("""COMPUTED_VALUE"""),13247760)</f>
        <v>13247760</v>
      </c>
      <c r="E549" s="5" t="str">
        <f ca="1">IFERROR(__xludf.DUMMYFUNCTION("""COMPUTED_VALUE"""),"INSPECCION SEMANAL FULL BODY")</f>
        <v>INSPECCION SEMANAL FULL BODY</v>
      </c>
      <c r="F549" s="5" t="str">
        <f ca="1">IFERROR(__xludf.DUMMYFUNCTION("""COMPUTED_VALUE"""),"PLAN MTTO MEC ETIQUETIADORA FULL BODY")</f>
        <v>PLAN MTTO MEC ETIQUETIADORA FULL BODY</v>
      </c>
      <c r="G549" s="5"/>
      <c r="H549" s="5"/>
      <c r="I549" s="5"/>
      <c r="J549" s="5"/>
      <c r="K549" s="5"/>
      <c r="L549" s="18">
        <f ca="1">IFERROR(__xludf.DUMMYFUNCTION("""COMPUTED_VALUE"""),45324)</f>
        <v>45324</v>
      </c>
      <c r="M549" s="18">
        <f ca="1">IFERROR(__xludf.DUMMYFUNCTION("""COMPUTED_VALUE"""),45324)</f>
        <v>45324</v>
      </c>
      <c r="N549" s="5" t="str">
        <f ca="1">IFERROR(__xludf.DUMMYFUNCTION("""COMPUTED_VALUE"""),"Lopez Correa Jonathan")</f>
        <v>Lopez Correa Jonathan</v>
      </c>
      <c r="O549" s="2">
        <f ca="1">IFERROR(__xludf.DUMMYFUNCTION("""COMPUTED_VALUE"""),0.1)</f>
        <v>0.1</v>
      </c>
      <c r="P549" s="5"/>
      <c r="Q549" s="5" t="str">
        <f ca="1">IFERROR(__xludf.DUMMYFUNCTION("""COMPUTED_VALUE"""),"-E_PTJ_MqYs")</f>
        <v>-E_PTJ_MqYs</v>
      </c>
      <c r="R549" s="5">
        <f ca="1">IFERROR(__xludf.DUMMYFUNCTION("""COMPUTED_VALUE"""),410)</f>
        <v>410</v>
      </c>
      <c r="S549" s="62">
        <f ca="1">IFERROR(__xludf.DUMMYFUNCTION("""COMPUTED_VALUE"""),0.1)</f>
        <v>0.1</v>
      </c>
      <c r="T549" s="63" t="str">
        <f ca="1">IFERROR(__xludf.DUMMYFUNCTION("""COMPUTED_VALUE"""),"https://storage.googleapis.com/glide-prod.appspot.com/uploads-v2/ly7o78grxPaC6KdgvbpS/pub/UliJWgpEaBovaFmXi6OW.png")</f>
        <v>https://storage.googleapis.com/glide-prod.appspot.com/uploads-v2/ly7o78grxPaC6KdgvbpS/pub/UliJWgpEaBovaFmXi6OW.png</v>
      </c>
      <c r="U549" s="5" t="str">
        <f ca="1">IFERROR(__xludf.DUMMYFUNCTION("""COMPUTED_VALUE"""),"LINEA DE ENVASADO JUGOS PET HOT FILLETIQUETIADORA FULL BODY")</f>
        <v>LINEA DE ENVASADO JUGOS PET HOT FILLETIQUETIADORA FULL BODY</v>
      </c>
      <c r="V549" s="5"/>
      <c r="W549" s="5"/>
      <c r="X549" s="5" t="str">
        <f ca="1">IFERROR(__xludf.DUMMYFUNCTION("""COMPUTED_VALUE"""),"achavezi@postobon.com.co,aprmttoyu@postobon.com.co,aprmyu@postobon.com.co,wmora@postobon.com.co,efzapata@postobon.com.co")</f>
        <v>achavezi@postobon.com.co,aprmttoyu@postobon.com.co,aprmyu@postobon.com.co,wmora@postobon.com.co,efzapata@postobon.com.co</v>
      </c>
      <c r="Y549" s="5" t="str">
        <f ca="1">IFERROR(__xludf.DUMMYFUNCTION("""COMPUTED_VALUE"""),"achavezi@postobon.com.co")</f>
        <v>achavezi@postobon.com.co</v>
      </c>
      <c r="Z549" s="5" t="str">
        <f ca="1">IFERROR(__xludf.DUMMYFUNCTION("""COMPUTED_VALUE"""),"deccVVn6SUi1vhjd2pMMvg")</f>
        <v>deccVVn6SUi1vhjd2pMMvg</v>
      </c>
      <c r="AA549" s="5"/>
      <c r="AB549" s="5"/>
      <c r="AC549" s="5"/>
      <c r="AD549" s="5">
        <f ca="1">IFERROR(__xludf.DUMMYFUNCTION("""COMPUTED_VALUE"""),26)</f>
        <v>26</v>
      </c>
      <c r="AE549" s="5">
        <f ca="1">IFERROR(__xludf.DUMMYFUNCTION("""COMPUTED_VALUE"""),0)</f>
        <v>0</v>
      </c>
      <c r="AF549" s="5" t="b">
        <f ca="1">IFERROR(__xludf.DUMMYFUNCTION("""COMPUTED_VALUE"""),TRUE)</f>
        <v>1</v>
      </c>
      <c r="AG549" s="5" t="str">
        <f ca="1">IFERROR(__xludf.DUMMYFUNCTION("""COMPUTED_VALUE"""),"INSPECCIONES SIN REALIZAR")</f>
        <v>INSPECCIONES SIN REALIZAR</v>
      </c>
      <c r="AH549" s="5"/>
    </row>
    <row r="550" spans="1:34">
      <c r="A550" s="5" t="str">
        <f ca="1">IFERROR(__xludf.DUMMYFUNCTION("""COMPUTED_VALUE"""),"EQUIPOS PARA SERVICIOS INDUSTRIALES")</f>
        <v>EQUIPOS PARA SERVICIOS INDUSTRIALES</v>
      </c>
      <c r="B550" s="5">
        <f ca="1">IFERROR(__xludf.DUMMYFUNCTION("""COMPUTED_VALUE"""),70993001)</f>
        <v>70993001</v>
      </c>
      <c r="C550" s="5" t="str">
        <f ca="1">IFERROR(__xludf.DUMMYFUNCTION("""COMPUTED_VALUE"""),"GASIFICADOR-CO2")</f>
        <v>GASIFICADOR-CO2</v>
      </c>
      <c r="D550" s="5">
        <f ca="1">IFERROR(__xludf.DUMMYFUNCTION("""COMPUTED_VALUE"""),13247494)</f>
        <v>13247494</v>
      </c>
      <c r="E550" s="5" t="str">
        <f ca="1">IFERROR(__xludf.DUMMYFUNCTION("""COMPUTED_VALUE"""),"INSPECCION SEMANAL GASIFICADOR-CO2")</f>
        <v>INSPECCION SEMANAL GASIFICADOR-CO2</v>
      </c>
      <c r="F550" s="5" t="str">
        <f ca="1">IFERROR(__xludf.DUMMYFUNCTION("""COMPUTED_VALUE"""),"PLAN MTTO GASIFICADOR-CO2")</f>
        <v>PLAN MTTO GASIFICADOR-CO2</v>
      </c>
      <c r="G550" s="5" t="b">
        <f ca="1">IFERROR(__xludf.DUMMYFUNCTION("""COMPUTED_VALUE"""),TRUE)</f>
        <v>1</v>
      </c>
      <c r="H550" s="5"/>
      <c r="I550" s="5"/>
      <c r="J550" s="5">
        <f ca="1">IFERROR(__xludf.DUMMYFUNCTION("""COMPUTED_VALUE"""),13247494)</f>
        <v>13247494</v>
      </c>
      <c r="K550" s="5"/>
      <c r="L550" s="18">
        <f ca="1">IFERROR(__xludf.DUMMYFUNCTION("""COMPUTED_VALUE"""),45324)</f>
        <v>45324</v>
      </c>
      <c r="M550" s="18">
        <f ca="1">IFERROR(__xludf.DUMMYFUNCTION("""COMPUTED_VALUE"""),45324)</f>
        <v>45324</v>
      </c>
      <c r="N550" s="5" t="str">
        <f ca="1">IFERROR(__xludf.DUMMYFUNCTION("""COMPUTED_VALUE"""),"Henao William")</f>
        <v>Henao William</v>
      </c>
      <c r="O550" s="2">
        <f ca="1">IFERROR(__xludf.DUMMYFUNCTION("""COMPUTED_VALUE"""),0.1)</f>
        <v>0.1</v>
      </c>
      <c r="P550" s="5">
        <f ca="1">IFERROR(__xludf.DUMMYFUNCTION("""COMPUTED_VALUE"""),20009827)</f>
        <v>20009827</v>
      </c>
      <c r="Q550" s="5" t="str">
        <f ca="1">IFERROR(__xludf.DUMMYFUNCTION("""COMPUTED_VALUE"""),"zciDsADAaIc")</f>
        <v>zciDsADAaIc</v>
      </c>
      <c r="R550" s="5">
        <f ca="1">IFERROR(__xludf.DUMMYFUNCTION("""COMPUTED_VALUE"""),410)</f>
        <v>410</v>
      </c>
      <c r="S550" s="62">
        <f ca="1">IFERROR(__xludf.DUMMYFUNCTION("""COMPUTED_VALUE"""),0.1)</f>
        <v>0.1</v>
      </c>
      <c r="T550" s="63" t="str">
        <f ca="1">IFERROR(__xludf.DUMMYFUNCTION("""COMPUTED_VALUE"""),"https://storage.googleapis.com/glide-prod.appspot.com/uploads-v2/ly7o78grxPaC6KdgvbpS/pub/3aRdSog0vUtuqPE8AJKD.png")</f>
        <v>https://storage.googleapis.com/glide-prod.appspot.com/uploads-v2/ly7o78grxPaC6KdgvbpS/pub/3aRdSog0vUtuqPE8AJKD.png</v>
      </c>
      <c r="U550" s="5" t="str">
        <f ca="1">IFERROR(__xludf.DUMMYFUNCTION("""COMPUTED_VALUE"""),"EQUIPOS PARA SERVICIOS INDUSTRIALESGASIFICADOR-CO2")</f>
        <v>EQUIPOS PARA SERVICIOS INDUSTRIALESGASIFICADOR-CO2</v>
      </c>
      <c r="V550" s="5"/>
      <c r="W550" s="5" t="b">
        <f ca="1">IFERROR(__xludf.DUMMYFUNCTION("""COMPUTED_VALUE"""),TRUE)</f>
        <v>1</v>
      </c>
      <c r="X550" s="5" t="str">
        <f ca="1">IFERROR(__xludf.DUMMYFUNCTION("""COMPUTED_VALUE"""),"wmazorra@postobon.com.co,aprmttoyu@postobon.com.co,aprmyu@postobon.com.co,wmora@postobon.com.co,efzapata@postobon.com.co")</f>
        <v>wmazorra@postobon.com.co,aprmttoyu@postobon.com.co,aprmyu@postobon.com.co,wmora@postobon.com.co,efzapata@postobon.com.co</v>
      </c>
      <c r="Y550" s="5" t="str">
        <f ca="1">IFERROR(__xludf.DUMMYFUNCTION("""COMPUTED_VALUE"""),"wmazorra@postobon.com.co")</f>
        <v>wmazorra@postobon.com.co</v>
      </c>
      <c r="Z550" s="5" t="str">
        <f ca="1">IFERROR(__xludf.DUMMYFUNCTION("""COMPUTED_VALUE"""),"Zd5M99D3Sb23F9-KuYWDgg")</f>
        <v>Zd5M99D3Sb23F9-KuYWDgg</v>
      </c>
      <c r="AA550" s="5"/>
      <c r="AB550" s="5"/>
      <c r="AC550" s="5"/>
      <c r="AD550" s="5">
        <f ca="1">IFERROR(__xludf.DUMMYFUNCTION("""COMPUTED_VALUE"""),78)</f>
        <v>78</v>
      </c>
      <c r="AE550" s="5">
        <f ca="1">IFERROR(__xludf.DUMMYFUNCTION("""COMPUTED_VALUE"""),77)</f>
        <v>77</v>
      </c>
      <c r="AF550" s="5" t="b">
        <f ca="1">IFERROR(__xludf.DUMMYFUNCTION("""COMPUTED_VALUE"""),FALSE)</f>
        <v>0</v>
      </c>
      <c r="AG550" s="5" t="str">
        <f ca="1">IFERROR(__xludf.DUMMYFUNCTION("""COMPUTED_VALUE"""),"INSPECCIONES REALIZADAS")</f>
        <v>INSPECCIONES REALIZADAS</v>
      </c>
      <c r="AH550" s="5"/>
    </row>
    <row r="551" spans="1:34">
      <c r="A551" s="5" t="str">
        <f ca="1">IFERROR(__xludf.DUMMYFUNCTION("""COMPUTED_VALUE"""),"LINEA PARA EL LLENADO DE BOLSAS")</f>
        <v>LINEA PARA EL LLENADO DE BOLSAS</v>
      </c>
      <c r="B551" s="5">
        <f ca="1">IFERROR(__xludf.DUMMYFUNCTION("""COMPUTED_VALUE"""),719607)</f>
        <v>719607</v>
      </c>
      <c r="C551" s="5" t="str">
        <f ca="1">IFERROR(__xludf.DUMMYFUNCTION("""COMPUTED_VALUE"""),"GENERADOR DE OZONO PARA BOLSA OZOLITE")</f>
        <v>GENERADOR DE OZONO PARA BOLSA OZOLITE</v>
      </c>
      <c r="D551" s="5">
        <f ca="1">IFERROR(__xludf.DUMMYFUNCTION("""COMPUTED_VALUE"""),13247709)</f>
        <v>13247709</v>
      </c>
      <c r="E551" s="5" t="str">
        <f ca="1">IFERROR(__xludf.DUMMYFUNCTION("""COMPUTED_VALUE"""),"INSPECCION SEMANAL GEN OZONO BOLSA")</f>
        <v>INSPECCION SEMANAL GEN OZONO BOLSA</v>
      </c>
      <c r="F551" s="5" t="str">
        <f ca="1">IFERROR(__xludf.DUMMYFUNCTION("""COMPUTED_VALUE"""),"INSPECCIONAR CONCENTRACION OZONO")</f>
        <v>INSPECCIONAR CONCENTRACION OZONO</v>
      </c>
      <c r="G551" s="5" t="b">
        <f ca="1">IFERROR(__xludf.DUMMYFUNCTION("""COMPUTED_VALUE"""),TRUE)</f>
        <v>1</v>
      </c>
      <c r="H551" s="5"/>
      <c r="I551" s="5"/>
      <c r="J551" s="5"/>
      <c r="K551" s="5"/>
      <c r="L551" s="18">
        <f ca="1">IFERROR(__xludf.DUMMYFUNCTION("""COMPUTED_VALUE"""),45324)</f>
        <v>45324</v>
      </c>
      <c r="M551" s="18">
        <f ca="1">IFERROR(__xludf.DUMMYFUNCTION("""COMPUTED_VALUE"""),45324)</f>
        <v>45324</v>
      </c>
      <c r="N551" s="5" t="str">
        <f ca="1">IFERROR(__xludf.DUMMYFUNCTION("""COMPUTED_VALUE"""),"Christian Camilo Ramirez Rendón")</f>
        <v>Christian Camilo Ramirez Rendón</v>
      </c>
      <c r="O551" s="2">
        <f ca="1">IFERROR(__xludf.DUMMYFUNCTION("""COMPUTED_VALUE"""),0.02)</f>
        <v>0.02</v>
      </c>
      <c r="P551" s="5"/>
      <c r="Q551" s="5" t="str">
        <f ca="1">IFERROR(__xludf.DUMMYFUNCTION("""COMPUTED_VALUE"""),"0OIJ0noJV2Q")</f>
        <v>0OIJ0noJV2Q</v>
      </c>
      <c r="R551" s="5">
        <f ca="1">IFERROR(__xludf.DUMMYFUNCTION("""COMPUTED_VALUE"""),410)</f>
        <v>410</v>
      </c>
      <c r="S551" s="62">
        <f ca="1">IFERROR(__xludf.DUMMYFUNCTION("""COMPUTED_VALUE"""),0.02)</f>
        <v>0.02</v>
      </c>
      <c r="T551" s="63" t="str">
        <f ca="1">IFERROR(__xludf.DUMMYFUNCTION("""COMPUTED_VALUE"""),"https://storage.googleapis.com/glide-prod.appspot.com/uploads-v2/ly7o78grxPaC6KdgvbpS/pub/3aRdSog0vUtuqPE8AJKD.png")</f>
        <v>https://storage.googleapis.com/glide-prod.appspot.com/uploads-v2/ly7o78grxPaC6KdgvbpS/pub/3aRdSog0vUtuqPE8AJKD.png</v>
      </c>
      <c r="U551" s="5" t="str">
        <f ca="1">IFERROR(__xludf.DUMMYFUNCTION("""COMPUTED_VALUE"""),"LINEA PARA EL LLENADO DE BOLSASGENERADOR DE OZONO PARA BOLSA OZOLITE")</f>
        <v>LINEA PARA EL LLENADO DE BOLSASGENERADOR DE OZONO PARA BOLSA OZOLITE</v>
      </c>
      <c r="V551" s="5"/>
      <c r="W551" s="5" t="b">
        <f ca="1">IFERROR(__xludf.DUMMYFUNCTION("""COMPUTED_VALUE"""),TRUE)</f>
        <v>1</v>
      </c>
      <c r="X551" s="5" t="str">
        <f ca="1">IFERROR(__xludf.DUMMYFUNCTION("""COMPUTED_VALUE"""),"achavezi@postobon.com.co,aprmttoyu@postobon.com.co,aprmyu@postobon.com.co,wmora@postobon.com.co,efzapata@postobon.com.co")</f>
        <v>achavezi@postobon.com.co,aprmttoyu@postobon.com.co,aprmyu@postobon.com.co,wmora@postobon.com.co,efzapata@postobon.com.co</v>
      </c>
      <c r="Y551" s="5" t="str">
        <f ca="1">IFERROR(__xludf.DUMMYFUNCTION("""COMPUTED_VALUE"""),"achavezi@postobon.com.co")</f>
        <v>achavezi@postobon.com.co</v>
      </c>
      <c r="Z551" s="5" t="str">
        <f ca="1">IFERROR(__xludf.DUMMYFUNCTION("""COMPUTED_VALUE"""),"KGdMXnrWQPebVSmx08qJ3g")</f>
        <v>KGdMXnrWQPebVSmx08qJ3g</v>
      </c>
      <c r="AA551" s="5"/>
      <c r="AB551" s="5"/>
      <c r="AC551" s="5"/>
      <c r="AD551" s="5">
        <f ca="1">IFERROR(__xludf.DUMMYFUNCTION("""COMPUTED_VALUE"""),67)</f>
        <v>67</v>
      </c>
      <c r="AE551" s="5">
        <f ca="1">IFERROR(__xludf.DUMMYFUNCTION("""COMPUTED_VALUE"""),67)</f>
        <v>67</v>
      </c>
      <c r="AF551" s="5" t="b">
        <f ca="1">IFERROR(__xludf.DUMMYFUNCTION("""COMPUTED_VALUE"""),FALSE)</f>
        <v>0</v>
      </c>
      <c r="AG551" s="5" t="str">
        <f ca="1">IFERROR(__xludf.DUMMYFUNCTION("""COMPUTED_VALUE"""),"INSPECCIONES REALIZADAS")</f>
        <v>INSPECCIONES REALIZADAS</v>
      </c>
      <c r="AH551" s="5"/>
    </row>
    <row r="552" spans="1:34">
      <c r="A552" s="5" t="str">
        <f ca="1">IFERROR(__xludf.DUMMYFUNCTION("""COMPUTED_VALUE"""),"LINEA PARA EL LLENADO DE BOLSAS")</f>
        <v>LINEA PARA EL LLENADO DE BOLSAS</v>
      </c>
      <c r="B552" s="5">
        <f ca="1">IFERROR(__xludf.DUMMYFUNCTION("""COMPUTED_VALUE"""),719607)</f>
        <v>719607</v>
      </c>
      <c r="C552" s="5" t="str">
        <f ca="1">IFERROR(__xludf.DUMMYFUNCTION("""COMPUTED_VALUE"""),"GENERADOR DE OZONO PARA BOLSA OZOLITE")</f>
        <v>GENERADOR DE OZONO PARA BOLSA OZOLITE</v>
      </c>
      <c r="D552" s="5">
        <f ca="1">IFERROR(__xludf.DUMMYFUNCTION("""COMPUTED_VALUE"""),13247709)</f>
        <v>13247709</v>
      </c>
      <c r="E552" s="5" t="str">
        <f ca="1">IFERROR(__xludf.DUMMYFUNCTION("""COMPUTED_VALUE"""),"INSPECCION SEMANAL GEN OZONO BOLSA")</f>
        <v>INSPECCION SEMANAL GEN OZONO BOLSA</v>
      </c>
      <c r="F552" s="5" t="str">
        <f ca="1">IFERROR(__xludf.DUMMYFUNCTION("""COMPUTED_VALUE"""),"INSP SENSORES NIVEL")</f>
        <v>INSP SENSORES NIVEL</v>
      </c>
      <c r="G552" s="5" t="b">
        <f ca="1">IFERROR(__xludf.DUMMYFUNCTION("""COMPUTED_VALUE"""),TRUE)</f>
        <v>1</v>
      </c>
      <c r="H552" s="5"/>
      <c r="I552" s="5"/>
      <c r="J552" s="5"/>
      <c r="K552" s="5"/>
      <c r="L552" s="18">
        <f ca="1">IFERROR(__xludf.DUMMYFUNCTION("""COMPUTED_VALUE"""),45324)</f>
        <v>45324</v>
      </c>
      <c r="M552" s="18">
        <f ca="1">IFERROR(__xludf.DUMMYFUNCTION("""COMPUTED_VALUE"""),45324)</f>
        <v>45324</v>
      </c>
      <c r="N552" s="5" t="str">
        <f ca="1">IFERROR(__xludf.DUMMYFUNCTION("""COMPUTED_VALUE"""),"Christian Camilo Ramirez Rendón")</f>
        <v>Christian Camilo Ramirez Rendón</v>
      </c>
      <c r="O552" s="2">
        <f ca="1">IFERROR(__xludf.DUMMYFUNCTION("""COMPUTED_VALUE"""),0.02)</f>
        <v>0.02</v>
      </c>
      <c r="P552" s="5"/>
      <c r="Q552" s="5" t="str">
        <f ca="1">IFERROR(__xludf.DUMMYFUNCTION("""COMPUTED_VALUE"""),"IAF698i2u0U")</f>
        <v>IAF698i2u0U</v>
      </c>
      <c r="R552" s="5">
        <f ca="1">IFERROR(__xludf.DUMMYFUNCTION("""COMPUTED_VALUE"""),410)</f>
        <v>410</v>
      </c>
      <c r="S552" s="62">
        <f ca="1">IFERROR(__xludf.DUMMYFUNCTION("""COMPUTED_VALUE"""),0.02)</f>
        <v>0.02</v>
      </c>
      <c r="T552" s="63" t="str">
        <f ca="1">IFERROR(__xludf.DUMMYFUNCTION("""COMPUTED_VALUE"""),"https://storage.googleapis.com/glide-prod.appspot.com/uploads-v2/ly7o78grxPaC6KdgvbpS/pub/3aRdSog0vUtuqPE8AJKD.png")</f>
        <v>https://storage.googleapis.com/glide-prod.appspot.com/uploads-v2/ly7o78grxPaC6KdgvbpS/pub/3aRdSog0vUtuqPE8AJKD.png</v>
      </c>
      <c r="U552" s="5" t="str">
        <f ca="1">IFERROR(__xludf.DUMMYFUNCTION("""COMPUTED_VALUE"""),"LINEA PARA EL LLENADO DE BOLSASGENERADOR DE OZONO PARA BOLSA OZOLITE")</f>
        <v>LINEA PARA EL LLENADO DE BOLSASGENERADOR DE OZONO PARA BOLSA OZOLITE</v>
      </c>
      <c r="V552" s="5"/>
      <c r="W552" s="5" t="b">
        <f ca="1">IFERROR(__xludf.DUMMYFUNCTION("""COMPUTED_VALUE"""),TRUE)</f>
        <v>1</v>
      </c>
      <c r="X552" s="5" t="str">
        <f ca="1">IFERROR(__xludf.DUMMYFUNCTION("""COMPUTED_VALUE"""),"achavezi@postobon.com.co,aprmttoyu@postobon.com.co,aprmyu@postobon.com.co,wmora@postobon.com.co,efzapata@postobon.com.co")</f>
        <v>achavezi@postobon.com.co,aprmttoyu@postobon.com.co,aprmyu@postobon.com.co,wmora@postobon.com.co,efzapata@postobon.com.co</v>
      </c>
      <c r="Y552" s="5" t="str">
        <f ca="1">IFERROR(__xludf.DUMMYFUNCTION("""COMPUTED_VALUE"""),"achavezi@postobon.com.co")</f>
        <v>achavezi@postobon.com.co</v>
      </c>
      <c r="Z552" s="5" t="str">
        <f ca="1">IFERROR(__xludf.DUMMYFUNCTION("""COMPUTED_VALUE"""),"L5VJfye2Slu0OpVwfG8C4A")</f>
        <v>L5VJfye2Slu0OpVwfG8C4A</v>
      </c>
      <c r="AA552" s="5"/>
      <c r="AB552" s="5"/>
      <c r="AC552" s="5"/>
      <c r="AD552" s="5">
        <f ca="1">IFERROR(__xludf.DUMMYFUNCTION("""COMPUTED_VALUE"""),67)</f>
        <v>67</v>
      </c>
      <c r="AE552" s="5">
        <f ca="1">IFERROR(__xludf.DUMMYFUNCTION("""COMPUTED_VALUE"""),67)</f>
        <v>67</v>
      </c>
      <c r="AF552" s="5" t="b">
        <f ca="1">IFERROR(__xludf.DUMMYFUNCTION("""COMPUTED_VALUE"""),FALSE)</f>
        <v>0</v>
      </c>
      <c r="AG552" s="5" t="str">
        <f ca="1">IFERROR(__xludf.DUMMYFUNCTION("""COMPUTED_VALUE"""),"INSPECCIONES REALIZADAS")</f>
        <v>INSPECCIONES REALIZADAS</v>
      </c>
      <c r="AH552" s="5"/>
    </row>
    <row r="553" spans="1:34">
      <c r="A553" s="5" t="str">
        <f ca="1">IFERROR(__xludf.DUMMYFUNCTION("""COMPUTED_VALUE"""),"LINEA PARA EL LLENADO DE BOLSAS")</f>
        <v>LINEA PARA EL LLENADO DE BOLSAS</v>
      </c>
      <c r="B553" s="5">
        <f ca="1">IFERROR(__xludf.DUMMYFUNCTION("""COMPUTED_VALUE"""),719607)</f>
        <v>719607</v>
      </c>
      <c r="C553" s="5" t="str">
        <f ca="1">IFERROR(__xludf.DUMMYFUNCTION("""COMPUTED_VALUE"""),"GENERADOR DE OZONO PARA BOLSA OZOLITE")</f>
        <v>GENERADOR DE OZONO PARA BOLSA OZOLITE</v>
      </c>
      <c r="D553" s="5">
        <f ca="1">IFERROR(__xludf.DUMMYFUNCTION("""COMPUTED_VALUE"""),13247709)</f>
        <v>13247709</v>
      </c>
      <c r="E553" s="5" t="str">
        <f ca="1">IFERROR(__xludf.DUMMYFUNCTION("""COMPUTED_VALUE"""),"INSPECCION SEMANAL GEN OZONO BOLSA")</f>
        <v>INSPECCION SEMANAL GEN OZONO BOLSA</v>
      </c>
      <c r="F553" s="5" t="str">
        <f ca="1">IFERROR(__xludf.DUMMYFUNCTION("""COMPUTED_VALUE"""),"VERIFICAR ESTADO TUBOS")</f>
        <v>VERIFICAR ESTADO TUBOS</v>
      </c>
      <c r="G553" s="5" t="b">
        <f ca="1">IFERROR(__xludf.DUMMYFUNCTION("""COMPUTED_VALUE"""),TRUE)</f>
        <v>1</v>
      </c>
      <c r="H553" s="5"/>
      <c r="I553" s="5"/>
      <c r="J553" s="5"/>
      <c r="K553" s="5"/>
      <c r="L553" s="18">
        <f ca="1">IFERROR(__xludf.DUMMYFUNCTION("""COMPUTED_VALUE"""),45324)</f>
        <v>45324</v>
      </c>
      <c r="M553" s="18">
        <f ca="1">IFERROR(__xludf.DUMMYFUNCTION("""COMPUTED_VALUE"""),45324)</f>
        <v>45324</v>
      </c>
      <c r="N553" s="5" t="str">
        <f ca="1">IFERROR(__xludf.DUMMYFUNCTION("""COMPUTED_VALUE"""),"Christian Camilo Ramirez Rendón")</f>
        <v>Christian Camilo Ramirez Rendón</v>
      </c>
      <c r="O553" s="2">
        <f ca="1">IFERROR(__xludf.DUMMYFUNCTION("""COMPUTED_VALUE"""),0.02)</f>
        <v>0.02</v>
      </c>
      <c r="P553" s="5"/>
      <c r="Q553" s="5" t="str">
        <f ca="1">IFERROR(__xludf.DUMMYFUNCTION("""COMPUTED_VALUE"""),"TTBi6ogKOe0")</f>
        <v>TTBi6ogKOe0</v>
      </c>
      <c r="R553" s="5">
        <f ca="1">IFERROR(__xludf.DUMMYFUNCTION("""COMPUTED_VALUE"""),410)</f>
        <v>410</v>
      </c>
      <c r="S553" s="62">
        <f ca="1">IFERROR(__xludf.DUMMYFUNCTION("""COMPUTED_VALUE"""),0.02)</f>
        <v>0.02</v>
      </c>
      <c r="T553" s="63" t="str">
        <f ca="1">IFERROR(__xludf.DUMMYFUNCTION("""COMPUTED_VALUE"""),"https://storage.googleapis.com/glide-prod.appspot.com/uploads-v2/ly7o78grxPaC6KdgvbpS/pub/3aRdSog0vUtuqPE8AJKD.png")</f>
        <v>https://storage.googleapis.com/glide-prod.appspot.com/uploads-v2/ly7o78grxPaC6KdgvbpS/pub/3aRdSog0vUtuqPE8AJKD.png</v>
      </c>
      <c r="U553" s="5" t="str">
        <f ca="1">IFERROR(__xludf.DUMMYFUNCTION("""COMPUTED_VALUE"""),"LINEA PARA EL LLENADO DE BOLSASGENERADOR DE OZONO PARA BOLSA OZOLITE")</f>
        <v>LINEA PARA EL LLENADO DE BOLSASGENERADOR DE OZONO PARA BOLSA OZOLITE</v>
      </c>
      <c r="V553" s="5"/>
      <c r="W553" s="5" t="b">
        <f ca="1">IFERROR(__xludf.DUMMYFUNCTION("""COMPUTED_VALUE"""),TRUE)</f>
        <v>1</v>
      </c>
      <c r="X553" s="5" t="str">
        <f ca="1">IFERROR(__xludf.DUMMYFUNCTION("""COMPUTED_VALUE"""),"achavezi@postobon.com.co,aprmttoyu@postobon.com.co,aprmyu@postobon.com.co,wmora@postobon.com.co,efzapata@postobon.com.co")</f>
        <v>achavezi@postobon.com.co,aprmttoyu@postobon.com.co,aprmyu@postobon.com.co,wmora@postobon.com.co,efzapata@postobon.com.co</v>
      </c>
      <c r="Y553" s="5" t="str">
        <f ca="1">IFERROR(__xludf.DUMMYFUNCTION("""COMPUTED_VALUE"""),"achavezi@postobon.com.co")</f>
        <v>achavezi@postobon.com.co</v>
      </c>
      <c r="Z553" s="5" t="str">
        <f ca="1">IFERROR(__xludf.DUMMYFUNCTION("""COMPUTED_VALUE"""),"oIIYZtmeT2egYsywUy45mg")</f>
        <v>oIIYZtmeT2egYsywUy45mg</v>
      </c>
      <c r="AA553" s="5"/>
      <c r="AB553" s="5"/>
      <c r="AC553" s="5"/>
      <c r="AD553" s="5">
        <f ca="1">IFERROR(__xludf.DUMMYFUNCTION("""COMPUTED_VALUE"""),67)</f>
        <v>67</v>
      </c>
      <c r="AE553" s="5">
        <f ca="1">IFERROR(__xludf.DUMMYFUNCTION("""COMPUTED_VALUE"""),67)</f>
        <v>67</v>
      </c>
      <c r="AF553" s="5" t="b">
        <f ca="1">IFERROR(__xludf.DUMMYFUNCTION("""COMPUTED_VALUE"""),FALSE)</f>
        <v>0</v>
      </c>
      <c r="AG553" s="5" t="str">
        <f ca="1">IFERROR(__xludf.DUMMYFUNCTION("""COMPUTED_VALUE"""),"INSPECCIONES REALIZADAS")</f>
        <v>INSPECCIONES REALIZADAS</v>
      </c>
      <c r="AH553" s="5"/>
    </row>
    <row r="554" spans="1:34">
      <c r="A554" s="5" t="str">
        <f ca="1">IFERROR(__xludf.DUMMYFUNCTION("""COMPUTED_VALUE"""),"LINEA PARA EL LLENADO DE BOLSAS")</f>
        <v>LINEA PARA EL LLENADO DE BOLSAS</v>
      </c>
      <c r="B554" s="5">
        <f ca="1">IFERROR(__xludf.DUMMYFUNCTION("""COMPUTED_VALUE"""),719607)</f>
        <v>719607</v>
      </c>
      <c r="C554" s="5" t="str">
        <f ca="1">IFERROR(__xludf.DUMMYFUNCTION("""COMPUTED_VALUE"""),"GENERADOR DE OZONO PARA BOLSA OZOLITE")</f>
        <v>GENERADOR DE OZONO PARA BOLSA OZOLITE</v>
      </c>
      <c r="D554" s="5">
        <f ca="1">IFERROR(__xludf.DUMMYFUNCTION("""COMPUTED_VALUE"""),13247709)</f>
        <v>13247709</v>
      </c>
      <c r="E554" s="5" t="str">
        <f ca="1">IFERROR(__xludf.DUMMYFUNCTION("""COMPUTED_VALUE"""),"INSPECCION SEMANAL GEN OZONO BOLSA")</f>
        <v>INSPECCION SEMANAL GEN OZONO BOLSA</v>
      </c>
      <c r="F554" s="5" t="str">
        <f ca="1">IFERROR(__xludf.DUMMYFUNCTION("""COMPUTED_VALUE"""),"REVISAR FUGAS DE OZONO")</f>
        <v>REVISAR FUGAS DE OZONO</v>
      </c>
      <c r="G554" s="5" t="b">
        <f ca="1">IFERROR(__xludf.DUMMYFUNCTION("""COMPUTED_VALUE"""),TRUE)</f>
        <v>1</v>
      </c>
      <c r="H554" s="5"/>
      <c r="I554" s="5"/>
      <c r="J554" s="5"/>
      <c r="K554" s="5"/>
      <c r="L554" s="18">
        <f ca="1">IFERROR(__xludf.DUMMYFUNCTION("""COMPUTED_VALUE"""),45324)</f>
        <v>45324</v>
      </c>
      <c r="M554" s="18">
        <f ca="1">IFERROR(__xludf.DUMMYFUNCTION("""COMPUTED_VALUE"""),45324)</f>
        <v>45324</v>
      </c>
      <c r="N554" s="5" t="str">
        <f ca="1">IFERROR(__xludf.DUMMYFUNCTION("""COMPUTED_VALUE"""),"Christian Camilo Ramirez Rendón")</f>
        <v>Christian Camilo Ramirez Rendón</v>
      </c>
      <c r="O554" s="2">
        <f ca="1">IFERROR(__xludf.DUMMYFUNCTION("""COMPUTED_VALUE"""),0.02)</f>
        <v>0.02</v>
      </c>
      <c r="P554" s="5"/>
      <c r="Q554" s="5" t="str">
        <f ca="1">IFERROR(__xludf.DUMMYFUNCTION("""COMPUTED_VALUE"""),"9KUG7Ulf19s")</f>
        <v>9KUG7Ulf19s</v>
      </c>
      <c r="R554" s="5">
        <f ca="1">IFERROR(__xludf.DUMMYFUNCTION("""COMPUTED_VALUE"""),410)</f>
        <v>410</v>
      </c>
      <c r="S554" s="62">
        <f ca="1">IFERROR(__xludf.DUMMYFUNCTION("""COMPUTED_VALUE"""),0.02)</f>
        <v>0.02</v>
      </c>
      <c r="T554" s="63" t="str">
        <f ca="1">IFERROR(__xludf.DUMMYFUNCTION("""COMPUTED_VALUE"""),"https://storage.googleapis.com/glide-prod.appspot.com/uploads-v2/ly7o78grxPaC6KdgvbpS/pub/3aRdSog0vUtuqPE8AJKD.png")</f>
        <v>https://storage.googleapis.com/glide-prod.appspot.com/uploads-v2/ly7o78grxPaC6KdgvbpS/pub/3aRdSog0vUtuqPE8AJKD.png</v>
      </c>
      <c r="U554" s="5" t="str">
        <f ca="1">IFERROR(__xludf.DUMMYFUNCTION("""COMPUTED_VALUE"""),"LINEA PARA EL LLENADO DE BOLSASGENERADOR DE OZONO PARA BOLSA OZOLITE")</f>
        <v>LINEA PARA EL LLENADO DE BOLSASGENERADOR DE OZONO PARA BOLSA OZOLITE</v>
      </c>
      <c r="V554" s="5"/>
      <c r="W554" s="5" t="b">
        <f ca="1">IFERROR(__xludf.DUMMYFUNCTION("""COMPUTED_VALUE"""),TRUE)</f>
        <v>1</v>
      </c>
      <c r="X554" s="5" t="str">
        <f ca="1">IFERROR(__xludf.DUMMYFUNCTION("""COMPUTED_VALUE"""),"achavezi@postobon.com.co,aprmttoyu@postobon.com.co,aprmyu@postobon.com.co,wmora@postobon.com.co,efzapata@postobon.com.co")</f>
        <v>achavezi@postobon.com.co,aprmttoyu@postobon.com.co,aprmyu@postobon.com.co,wmora@postobon.com.co,efzapata@postobon.com.co</v>
      </c>
      <c r="Y554" s="5" t="str">
        <f ca="1">IFERROR(__xludf.DUMMYFUNCTION("""COMPUTED_VALUE"""),"achavezi@postobon.com.co")</f>
        <v>achavezi@postobon.com.co</v>
      </c>
      <c r="Z554" s="5" t="str">
        <f ca="1">IFERROR(__xludf.DUMMYFUNCTION("""COMPUTED_VALUE"""),"zBTKtC9hQF2.mK-48aUlkQ")</f>
        <v>zBTKtC9hQF2.mK-48aUlkQ</v>
      </c>
      <c r="AA554" s="5"/>
      <c r="AB554" s="5"/>
      <c r="AC554" s="5"/>
      <c r="AD554" s="5">
        <f ca="1">IFERROR(__xludf.DUMMYFUNCTION("""COMPUTED_VALUE"""),67)</f>
        <v>67</v>
      </c>
      <c r="AE554" s="5">
        <f ca="1">IFERROR(__xludf.DUMMYFUNCTION("""COMPUTED_VALUE"""),67)</f>
        <v>67</v>
      </c>
      <c r="AF554" s="5" t="b">
        <f ca="1">IFERROR(__xludf.DUMMYFUNCTION("""COMPUTED_VALUE"""),FALSE)</f>
        <v>0</v>
      </c>
      <c r="AG554" s="5" t="str">
        <f ca="1">IFERROR(__xludf.DUMMYFUNCTION("""COMPUTED_VALUE"""),"INSPECCIONES REALIZADAS")</f>
        <v>INSPECCIONES REALIZADAS</v>
      </c>
      <c r="AH554" s="5"/>
    </row>
    <row r="555" spans="1:34">
      <c r="A555" s="5" t="str">
        <f ca="1">IFERROR(__xludf.DUMMYFUNCTION("""COMPUTED_VALUE"""),"LINEA PARA EL LLENADO DE BOLSAS")</f>
        <v>LINEA PARA EL LLENADO DE BOLSAS</v>
      </c>
      <c r="B555" s="5">
        <f ca="1">IFERROR(__xludf.DUMMYFUNCTION("""COMPUTED_VALUE"""),719607)</f>
        <v>719607</v>
      </c>
      <c r="C555" s="5" t="str">
        <f ca="1">IFERROR(__xludf.DUMMYFUNCTION("""COMPUTED_VALUE"""),"GENERADOR DE OZONO PARA BOLSA OZOLITE")</f>
        <v>GENERADOR DE OZONO PARA BOLSA OZOLITE</v>
      </c>
      <c r="D555" s="5">
        <f ca="1">IFERROR(__xludf.DUMMYFUNCTION("""COMPUTED_VALUE"""),13247709)</f>
        <v>13247709</v>
      </c>
      <c r="E555" s="5" t="str">
        <f ca="1">IFERROR(__xludf.DUMMYFUNCTION("""COMPUTED_VALUE"""),"INSPECCION SEMANAL GEN OZONO BOLSA")</f>
        <v>INSPECCION SEMANAL GEN OZONO BOLSA</v>
      </c>
      <c r="F555" s="5" t="str">
        <f ca="1">IFERROR(__xludf.DUMMYFUNCTION("""COMPUTED_VALUE"""),"REVISAR ESTADO TABLERO ELECTRICO")</f>
        <v>REVISAR ESTADO TABLERO ELECTRICO</v>
      </c>
      <c r="G555" s="5" t="b">
        <f ca="1">IFERROR(__xludf.DUMMYFUNCTION("""COMPUTED_VALUE"""),TRUE)</f>
        <v>1</v>
      </c>
      <c r="H555" s="5"/>
      <c r="I555" s="5"/>
      <c r="J555" s="5"/>
      <c r="K555" s="5"/>
      <c r="L555" s="18">
        <f ca="1">IFERROR(__xludf.DUMMYFUNCTION("""COMPUTED_VALUE"""),45324)</f>
        <v>45324</v>
      </c>
      <c r="M555" s="18">
        <f ca="1">IFERROR(__xludf.DUMMYFUNCTION("""COMPUTED_VALUE"""),45324)</f>
        <v>45324</v>
      </c>
      <c r="N555" s="5" t="str">
        <f ca="1">IFERROR(__xludf.DUMMYFUNCTION("""COMPUTED_VALUE"""),"Christian Camilo Ramirez Rendón")</f>
        <v>Christian Camilo Ramirez Rendón</v>
      </c>
      <c r="O555" s="2">
        <f ca="1">IFERROR(__xludf.DUMMYFUNCTION("""COMPUTED_VALUE"""),0.02)</f>
        <v>0.02</v>
      </c>
      <c r="P555" s="5"/>
      <c r="Q555" s="5" t="str">
        <f ca="1">IFERROR(__xludf.DUMMYFUNCTION("""COMPUTED_VALUE"""),"jCdp4hG5KcQ")</f>
        <v>jCdp4hG5KcQ</v>
      </c>
      <c r="R555" s="5">
        <f ca="1">IFERROR(__xludf.DUMMYFUNCTION("""COMPUTED_VALUE"""),410)</f>
        <v>410</v>
      </c>
      <c r="S555" s="62">
        <f ca="1">IFERROR(__xludf.DUMMYFUNCTION("""COMPUTED_VALUE"""),0.02)</f>
        <v>0.02</v>
      </c>
      <c r="T555" s="63" t="str">
        <f ca="1">IFERROR(__xludf.DUMMYFUNCTION("""COMPUTED_VALUE"""),"https://storage.googleapis.com/glide-prod.appspot.com/uploads-v2/ly7o78grxPaC6KdgvbpS/pub/3aRdSog0vUtuqPE8AJKD.png")</f>
        <v>https://storage.googleapis.com/glide-prod.appspot.com/uploads-v2/ly7o78grxPaC6KdgvbpS/pub/3aRdSog0vUtuqPE8AJKD.png</v>
      </c>
      <c r="U555" s="5" t="str">
        <f ca="1">IFERROR(__xludf.DUMMYFUNCTION("""COMPUTED_VALUE"""),"LINEA PARA EL LLENADO DE BOLSASGENERADOR DE OZONO PARA BOLSA OZOLITE")</f>
        <v>LINEA PARA EL LLENADO DE BOLSASGENERADOR DE OZONO PARA BOLSA OZOLITE</v>
      </c>
      <c r="V555" s="5"/>
      <c r="W555" s="5" t="b">
        <f ca="1">IFERROR(__xludf.DUMMYFUNCTION("""COMPUTED_VALUE"""),TRUE)</f>
        <v>1</v>
      </c>
      <c r="X555" s="5" t="str">
        <f ca="1">IFERROR(__xludf.DUMMYFUNCTION("""COMPUTED_VALUE"""),"achavezi@postobon.com.co,aprmttoyu@postobon.com.co,aprmyu@postobon.com.co,wmora@postobon.com.co,efzapata@postobon.com.co")</f>
        <v>achavezi@postobon.com.co,aprmttoyu@postobon.com.co,aprmyu@postobon.com.co,wmora@postobon.com.co,efzapata@postobon.com.co</v>
      </c>
      <c r="Y555" s="5" t="str">
        <f ca="1">IFERROR(__xludf.DUMMYFUNCTION("""COMPUTED_VALUE"""),"achavezi@postobon.com.co")</f>
        <v>achavezi@postobon.com.co</v>
      </c>
      <c r="Z555" s="5" t="str">
        <f ca="1">IFERROR(__xludf.DUMMYFUNCTION("""COMPUTED_VALUE"""),"4raPjxMvQluiURopdZ5pOA")</f>
        <v>4raPjxMvQluiURopdZ5pOA</v>
      </c>
      <c r="AA555" s="5"/>
      <c r="AB555" s="5"/>
      <c r="AC555" s="5"/>
      <c r="AD555" s="5">
        <f ca="1">IFERROR(__xludf.DUMMYFUNCTION("""COMPUTED_VALUE"""),67)</f>
        <v>67</v>
      </c>
      <c r="AE555" s="5">
        <f ca="1">IFERROR(__xludf.DUMMYFUNCTION("""COMPUTED_VALUE"""),67)</f>
        <v>67</v>
      </c>
      <c r="AF555" s="5" t="b">
        <f ca="1">IFERROR(__xludf.DUMMYFUNCTION("""COMPUTED_VALUE"""),FALSE)</f>
        <v>0</v>
      </c>
      <c r="AG555" s="5" t="str">
        <f ca="1">IFERROR(__xludf.DUMMYFUNCTION("""COMPUTED_VALUE"""),"INSPECCIONES REALIZADAS")</f>
        <v>INSPECCIONES REALIZADAS</v>
      </c>
      <c r="AH555" s="5"/>
    </row>
    <row r="556" spans="1:34">
      <c r="A556" s="5" t="str">
        <f ca="1">IFERROR(__xludf.DUMMYFUNCTION("""COMPUTED_VALUE"""),"LINEA DE PRODUCCION DE BOTELLONES DE 20")</f>
        <v>LINEA DE PRODUCCION DE BOTELLONES DE 20</v>
      </c>
      <c r="B556" s="5">
        <f ca="1">IFERROR(__xludf.DUMMYFUNCTION("""COMPUTED_VALUE"""),71960606)</f>
        <v>71960606</v>
      </c>
      <c r="C556" s="5" t="str">
        <f ca="1">IFERROR(__xludf.DUMMYFUNCTION("""COMPUTED_VALUE"""),"GENERADOR OXIGENO PARA HIPEROZONIZADOR.")</f>
        <v>GENERADOR OXIGENO PARA HIPEROZONIZADOR.</v>
      </c>
      <c r="D556" s="5">
        <f ca="1">IFERROR(__xludf.DUMMYFUNCTION("""COMPUTED_VALUE"""),13247672)</f>
        <v>13247672</v>
      </c>
      <c r="E556" s="5" t="str">
        <f ca="1">IFERROR(__xludf.DUMMYFUNCTION("""COMPUTED_VALUE"""),"INSPECCION SEMANAL GENERADOR OXIGENO PA")</f>
        <v>INSPECCION SEMANAL GENERADOR OXIGENO PA</v>
      </c>
      <c r="F556" s="5" t="str">
        <f ca="1">IFERROR(__xludf.DUMMYFUNCTION("""COMPUTED_VALUE"""),"PLAN MTTO MEC GEN OXIG HIPEROZO 71960606")</f>
        <v>PLAN MTTO MEC GEN OXIG HIPEROZO 71960606</v>
      </c>
      <c r="G556" s="5" t="b">
        <f ca="1">IFERROR(__xludf.DUMMYFUNCTION("""COMPUTED_VALUE"""),TRUE)</f>
        <v>1</v>
      </c>
      <c r="H556" s="5"/>
      <c r="I556" s="5"/>
      <c r="J556" s="5"/>
      <c r="K556" s="5"/>
      <c r="L556" s="18">
        <f ca="1">IFERROR(__xludf.DUMMYFUNCTION("""COMPUTED_VALUE"""),45325)</f>
        <v>45325</v>
      </c>
      <c r="M556" s="18">
        <f ca="1">IFERROR(__xludf.DUMMYFUNCTION("""COMPUTED_VALUE"""),45325)</f>
        <v>45325</v>
      </c>
      <c r="N556" s="5" t="str">
        <f ca="1">IFERROR(__xludf.DUMMYFUNCTION("""COMPUTED_VALUE"""),"Christian Camilo Ramirez Rendón")</f>
        <v>Christian Camilo Ramirez Rendón</v>
      </c>
      <c r="O556" s="2">
        <f ca="1">IFERROR(__xludf.DUMMYFUNCTION("""COMPUTED_VALUE"""),0.1)</f>
        <v>0.1</v>
      </c>
      <c r="P556" s="5"/>
      <c r="Q556" s="5" t="str">
        <f ca="1">IFERROR(__xludf.DUMMYFUNCTION("""COMPUTED_VALUE"""),"Em5Go2fmqEs")</f>
        <v>Em5Go2fmqEs</v>
      </c>
      <c r="R556" s="5">
        <f ca="1">IFERROR(__xludf.DUMMYFUNCTION("""COMPUTED_VALUE"""),410)</f>
        <v>410</v>
      </c>
      <c r="S556" s="62">
        <f ca="1">IFERROR(__xludf.DUMMYFUNCTION("""COMPUTED_VALUE"""),0.1)</f>
        <v>0.1</v>
      </c>
      <c r="T556" s="63" t="str">
        <f ca="1">IFERROR(__xludf.DUMMYFUNCTION("""COMPUTED_VALUE"""),"https://storage.googleapis.com/glide-prod.appspot.com/uploads-v2/ly7o78grxPaC6KdgvbpS/pub/3aRdSog0vUtuqPE8AJKD.png")</f>
        <v>https://storage.googleapis.com/glide-prod.appspot.com/uploads-v2/ly7o78grxPaC6KdgvbpS/pub/3aRdSog0vUtuqPE8AJKD.png</v>
      </c>
      <c r="U556" s="5" t="str">
        <f ca="1">IFERROR(__xludf.DUMMYFUNCTION("""COMPUTED_VALUE"""),"LINEA DE PRODUCCION DE BOTELLONES DE 20GENERADOR OXIGENO PARA HIPEROZONIZADOR.")</f>
        <v>LINEA DE PRODUCCION DE BOTELLONES DE 20GENERADOR OXIGENO PARA HIPEROZONIZADOR.</v>
      </c>
      <c r="V556" s="5"/>
      <c r="W556" s="5" t="b">
        <f ca="1">IFERROR(__xludf.DUMMYFUNCTION("""COMPUTED_VALUE"""),TRUE)</f>
        <v>1</v>
      </c>
      <c r="X556" s="5" t="str">
        <f ca="1">IFERROR(__xludf.DUMMYFUNCTION("""COMPUTED_VALUE"""),"achavezi@postobon.com.co,aprmttoyu@postobon.com.co,aprmyu@postobon.com.co,wmora@postobon.com.co,efzapata@postobon.com.co")</f>
        <v>achavezi@postobon.com.co,aprmttoyu@postobon.com.co,aprmyu@postobon.com.co,wmora@postobon.com.co,efzapata@postobon.com.co</v>
      </c>
      <c r="Y556" s="5" t="str">
        <f ca="1">IFERROR(__xludf.DUMMYFUNCTION("""COMPUTED_VALUE"""),"achavezi@postobon.com.co")</f>
        <v>achavezi@postobon.com.co</v>
      </c>
      <c r="Z556" s="5" t="str">
        <f ca="1">IFERROR(__xludf.DUMMYFUNCTION("""COMPUTED_VALUE"""),"FxYBGy3iQGmSEKHhVPpyDQ")</f>
        <v>FxYBGy3iQGmSEKHhVPpyDQ</v>
      </c>
      <c r="AA556" s="5"/>
      <c r="AB556" s="5"/>
      <c r="AC556" s="5"/>
      <c r="AD556" s="5">
        <f ca="1">IFERROR(__xludf.DUMMYFUNCTION("""COMPUTED_VALUE"""),67)</f>
        <v>67</v>
      </c>
      <c r="AE556" s="5">
        <f ca="1">IFERROR(__xludf.DUMMYFUNCTION("""COMPUTED_VALUE"""),67)</f>
        <v>67</v>
      </c>
      <c r="AF556" s="5" t="b">
        <f ca="1">IFERROR(__xludf.DUMMYFUNCTION("""COMPUTED_VALUE"""),FALSE)</f>
        <v>0</v>
      </c>
      <c r="AG556" s="5" t="str">
        <f ca="1">IFERROR(__xludf.DUMMYFUNCTION("""COMPUTED_VALUE"""),"INSPECCIONES REALIZADAS")</f>
        <v>INSPECCIONES REALIZADAS</v>
      </c>
      <c r="AH556" s="5"/>
    </row>
    <row r="557" spans="1:34">
      <c r="A557" s="5" t="str">
        <f ca="1">IFERROR(__xludf.DUMMYFUNCTION("""COMPUTED_VALUE"""),"LINEA DE PRODUCCION DE BOTELLONES DE 20")</f>
        <v>LINEA DE PRODUCCION DE BOTELLONES DE 20</v>
      </c>
      <c r="B557" s="5">
        <f ca="1">IFERROR(__xludf.DUMMYFUNCTION("""COMPUTED_VALUE"""),71960605)</f>
        <v>71960605</v>
      </c>
      <c r="C557" s="5" t="str">
        <f ca="1">IFERROR(__xludf.DUMMYFUNCTION("""COMPUTED_VALUE"""),"GENERADOR DE OXIGENO PARA BOTELLON.")</f>
        <v>GENERADOR DE OXIGENO PARA BOTELLON.</v>
      </c>
      <c r="D557" s="5">
        <f ca="1">IFERROR(__xludf.DUMMYFUNCTION("""COMPUTED_VALUE"""),13247676)</f>
        <v>13247676</v>
      </c>
      <c r="E557" s="5" t="str">
        <f ca="1">IFERROR(__xludf.DUMMYFUNCTION("""COMPUTED_VALUE"""),"INSPECCION SEMANAL GENERADOR DE OXIGENO")</f>
        <v>INSPECCION SEMANAL GENERADOR DE OXIGENO</v>
      </c>
      <c r="F557" s="5" t="str">
        <f ca="1">IFERROR(__xludf.DUMMYFUNCTION("""COMPUTED_VALUE"""),"INSPECCIONAR FUNCIONAMIENTO")</f>
        <v>INSPECCIONAR FUNCIONAMIENTO</v>
      </c>
      <c r="G557" s="5" t="b">
        <f ca="1">IFERROR(__xludf.DUMMYFUNCTION("""COMPUTED_VALUE"""),TRUE)</f>
        <v>1</v>
      </c>
      <c r="H557" s="5"/>
      <c r="I557" s="5"/>
      <c r="J557" s="5"/>
      <c r="K557" s="5"/>
      <c r="L557" s="18">
        <f ca="1">IFERROR(__xludf.DUMMYFUNCTION("""COMPUTED_VALUE"""),45325)</f>
        <v>45325</v>
      </c>
      <c r="M557" s="18">
        <f ca="1">IFERROR(__xludf.DUMMYFUNCTION("""COMPUTED_VALUE"""),45325)</f>
        <v>45325</v>
      </c>
      <c r="N557" s="5" t="str">
        <f ca="1">IFERROR(__xludf.DUMMYFUNCTION("""COMPUTED_VALUE"""),"Christian Camilo Ramirez Rendón")</f>
        <v>Christian Camilo Ramirez Rendón</v>
      </c>
      <c r="O557" s="2">
        <f ca="1">IFERROR(__xludf.DUMMYFUNCTION("""COMPUTED_VALUE"""),0.033333333)</f>
        <v>3.3333333E-2</v>
      </c>
      <c r="P557" s="5"/>
      <c r="Q557" s="5" t="str">
        <f ca="1">IFERROR(__xludf.DUMMYFUNCTION("""COMPUTED_VALUE"""),"Z7etmkRFl-s")</f>
        <v>Z7etmkRFl-s</v>
      </c>
      <c r="R557" s="5">
        <f ca="1">IFERROR(__xludf.DUMMYFUNCTION("""COMPUTED_VALUE"""),410)</f>
        <v>410</v>
      </c>
      <c r="S557" s="62">
        <f ca="1">IFERROR(__xludf.DUMMYFUNCTION("""COMPUTED_VALUE"""),0.033333333)</f>
        <v>3.3333333E-2</v>
      </c>
      <c r="T557" s="63" t="str">
        <f ca="1">IFERROR(__xludf.DUMMYFUNCTION("""COMPUTED_VALUE"""),"https://storage.googleapis.com/glide-prod.appspot.com/uploads-v2/ly7o78grxPaC6KdgvbpS/pub/3aRdSog0vUtuqPE8AJKD.png")</f>
        <v>https://storage.googleapis.com/glide-prod.appspot.com/uploads-v2/ly7o78grxPaC6KdgvbpS/pub/3aRdSog0vUtuqPE8AJKD.png</v>
      </c>
      <c r="U557" s="5" t="str">
        <f ca="1">IFERROR(__xludf.DUMMYFUNCTION("""COMPUTED_VALUE"""),"LINEA DE PRODUCCION DE BOTELLONES DE 20GENERADOR DE OXIGENO PARA BOTELLON.")</f>
        <v>LINEA DE PRODUCCION DE BOTELLONES DE 20GENERADOR DE OXIGENO PARA BOTELLON.</v>
      </c>
      <c r="V557" s="5"/>
      <c r="W557" s="5" t="b">
        <f ca="1">IFERROR(__xludf.DUMMYFUNCTION("""COMPUTED_VALUE"""),TRUE)</f>
        <v>1</v>
      </c>
      <c r="X557" s="5" t="str">
        <f ca="1">IFERROR(__xludf.DUMMYFUNCTION("""COMPUTED_VALUE"""),"achavezi@postobon.com.co,aprmttoyu@postobon.com.co,aprmyu@postobon.com.co,wmora@postobon.com.co,efzapata@postobon.com.co")</f>
        <v>achavezi@postobon.com.co,aprmttoyu@postobon.com.co,aprmyu@postobon.com.co,wmora@postobon.com.co,efzapata@postobon.com.co</v>
      </c>
      <c r="Y557" s="5" t="str">
        <f ca="1">IFERROR(__xludf.DUMMYFUNCTION("""COMPUTED_VALUE"""),"achavezi@postobon.com.co")</f>
        <v>achavezi@postobon.com.co</v>
      </c>
      <c r="Z557" s="5" t="str">
        <f ca="1">IFERROR(__xludf.DUMMYFUNCTION("""COMPUTED_VALUE"""),"a-gOAmN5QQF-vw7KwOAbMYQ")</f>
        <v>a-gOAmN5QQF-vw7KwOAbMYQ</v>
      </c>
      <c r="AA557" s="5"/>
      <c r="AB557" s="5"/>
      <c r="AC557" s="5"/>
      <c r="AD557" s="5">
        <f ca="1">IFERROR(__xludf.DUMMYFUNCTION("""COMPUTED_VALUE"""),67)</f>
        <v>67</v>
      </c>
      <c r="AE557" s="5">
        <f ca="1">IFERROR(__xludf.DUMMYFUNCTION("""COMPUTED_VALUE"""),67)</f>
        <v>67</v>
      </c>
      <c r="AF557" s="5" t="b">
        <f ca="1">IFERROR(__xludf.DUMMYFUNCTION("""COMPUTED_VALUE"""),FALSE)</f>
        <v>0</v>
      </c>
      <c r="AG557" s="5" t="str">
        <f ca="1">IFERROR(__xludf.DUMMYFUNCTION("""COMPUTED_VALUE"""),"INSPECCIONES REALIZADAS")</f>
        <v>INSPECCIONES REALIZADAS</v>
      </c>
      <c r="AH557" s="5"/>
    </row>
    <row r="558" spans="1:34">
      <c r="A558" s="5" t="str">
        <f ca="1">IFERROR(__xludf.DUMMYFUNCTION("""COMPUTED_VALUE"""),"LINEA DE PRODUCCION DE BOTELLONES DE 20")</f>
        <v>LINEA DE PRODUCCION DE BOTELLONES DE 20</v>
      </c>
      <c r="B558" s="5">
        <f ca="1">IFERROR(__xludf.DUMMYFUNCTION("""COMPUTED_VALUE"""),71960605)</f>
        <v>71960605</v>
      </c>
      <c r="C558" s="5" t="str">
        <f ca="1">IFERROR(__xludf.DUMMYFUNCTION("""COMPUTED_VALUE"""),"GENERADOR DE OXIGENO PARA BOTELLON.")</f>
        <v>GENERADOR DE OXIGENO PARA BOTELLON.</v>
      </c>
      <c r="D558" s="5">
        <f ca="1">IFERROR(__xludf.DUMMYFUNCTION("""COMPUTED_VALUE"""),13247676)</f>
        <v>13247676</v>
      </c>
      <c r="E558" s="5" t="str">
        <f ca="1">IFERROR(__xludf.DUMMYFUNCTION("""COMPUTED_VALUE"""),"INSPECCION SEMANAL GENERADOR DE OXIGENO")</f>
        <v>INSPECCION SEMANAL GENERADOR DE OXIGENO</v>
      </c>
      <c r="F558" s="5" t="str">
        <f ca="1">IFERROR(__xludf.DUMMYFUNCTION("""COMPUTED_VALUE"""),"VERIFICAR ESTADO EXTERNO")</f>
        <v>VERIFICAR ESTADO EXTERNO</v>
      </c>
      <c r="G558" s="5" t="b">
        <f ca="1">IFERROR(__xludf.DUMMYFUNCTION("""COMPUTED_VALUE"""),TRUE)</f>
        <v>1</v>
      </c>
      <c r="H558" s="5"/>
      <c r="I558" s="5"/>
      <c r="J558" s="5"/>
      <c r="K558" s="5"/>
      <c r="L558" s="18">
        <f ca="1">IFERROR(__xludf.DUMMYFUNCTION("""COMPUTED_VALUE"""),45325)</f>
        <v>45325</v>
      </c>
      <c r="M558" s="18">
        <f ca="1">IFERROR(__xludf.DUMMYFUNCTION("""COMPUTED_VALUE"""),45325)</f>
        <v>45325</v>
      </c>
      <c r="N558" s="5" t="str">
        <f ca="1">IFERROR(__xludf.DUMMYFUNCTION("""COMPUTED_VALUE"""),"Christian Camilo Ramirez Rendón")</f>
        <v>Christian Camilo Ramirez Rendón</v>
      </c>
      <c r="O558" s="2">
        <f ca="1">IFERROR(__xludf.DUMMYFUNCTION("""COMPUTED_VALUE"""),0.033333333)</f>
        <v>3.3333333E-2</v>
      </c>
      <c r="P558" s="5"/>
      <c r="Q558" s="5" t="str">
        <f ca="1">IFERROR(__xludf.DUMMYFUNCTION("""COMPUTED_VALUE"""),"L9qOOBdWQs0")</f>
        <v>L9qOOBdWQs0</v>
      </c>
      <c r="R558" s="5">
        <f ca="1">IFERROR(__xludf.DUMMYFUNCTION("""COMPUTED_VALUE"""),410)</f>
        <v>410</v>
      </c>
      <c r="S558" s="62">
        <f ca="1">IFERROR(__xludf.DUMMYFUNCTION("""COMPUTED_VALUE"""),0.033333333)</f>
        <v>3.3333333E-2</v>
      </c>
      <c r="T558" s="63" t="str">
        <f ca="1">IFERROR(__xludf.DUMMYFUNCTION("""COMPUTED_VALUE"""),"https://storage.googleapis.com/glide-prod.appspot.com/uploads-v2/ly7o78grxPaC6KdgvbpS/pub/3aRdSog0vUtuqPE8AJKD.png")</f>
        <v>https://storage.googleapis.com/glide-prod.appspot.com/uploads-v2/ly7o78grxPaC6KdgvbpS/pub/3aRdSog0vUtuqPE8AJKD.png</v>
      </c>
      <c r="U558" s="5" t="str">
        <f ca="1">IFERROR(__xludf.DUMMYFUNCTION("""COMPUTED_VALUE"""),"LINEA DE PRODUCCION DE BOTELLONES DE 20GENERADOR DE OXIGENO PARA BOTELLON.")</f>
        <v>LINEA DE PRODUCCION DE BOTELLONES DE 20GENERADOR DE OXIGENO PARA BOTELLON.</v>
      </c>
      <c r="V558" s="5"/>
      <c r="W558" s="5" t="b">
        <f ca="1">IFERROR(__xludf.DUMMYFUNCTION("""COMPUTED_VALUE"""),TRUE)</f>
        <v>1</v>
      </c>
      <c r="X558" s="5" t="str">
        <f ca="1">IFERROR(__xludf.DUMMYFUNCTION("""COMPUTED_VALUE"""),"achavezi@postobon.com.co,aprmttoyu@postobon.com.co,aprmyu@postobon.com.co,wmora@postobon.com.co,efzapata@postobon.com.co")</f>
        <v>achavezi@postobon.com.co,aprmttoyu@postobon.com.co,aprmyu@postobon.com.co,wmora@postobon.com.co,efzapata@postobon.com.co</v>
      </c>
      <c r="Y558" s="5" t="str">
        <f ca="1">IFERROR(__xludf.DUMMYFUNCTION("""COMPUTED_VALUE"""),"achavezi@postobon.com.co")</f>
        <v>achavezi@postobon.com.co</v>
      </c>
      <c r="Z558" s="5" t="str">
        <f ca="1">IFERROR(__xludf.DUMMYFUNCTION("""COMPUTED_VALUE"""),"Z4Pma6c-T3KfcseAcnEaAA")</f>
        <v>Z4Pma6c-T3KfcseAcnEaAA</v>
      </c>
      <c r="AA558" s="5"/>
      <c r="AB558" s="5"/>
      <c r="AC558" s="5"/>
      <c r="AD558" s="5">
        <f ca="1">IFERROR(__xludf.DUMMYFUNCTION("""COMPUTED_VALUE"""),67)</f>
        <v>67</v>
      </c>
      <c r="AE558" s="5">
        <f ca="1">IFERROR(__xludf.DUMMYFUNCTION("""COMPUTED_VALUE"""),67)</f>
        <v>67</v>
      </c>
      <c r="AF558" s="5" t="b">
        <f ca="1">IFERROR(__xludf.DUMMYFUNCTION("""COMPUTED_VALUE"""),FALSE)</f>
        <v>0</v>
      </c>
      <c r="AG558" s="5" t="str">
        <f ca="1">IFERROR(__xludf.DUMMYFUNCTION("""COMPUTED_VALUE"""),"INSPECCIONES REALIZADAS")</f>
        <v>INSPECCIONES REALIZADAS</v>
      </c>
      <c r="AH558" s="5"/>
    </row>
    <row r="559" spans="1:34">
      <c r="A559" s="5" t="str">
        <f ca="1">IFERROR(__xludf.DUMMYFUNCTION("""COMPUTED_VALUE"""),"LINEA DE PRODUCCION DE BOTELLONES DE 20")</f>
        <v>LINEA DE PRODUCCION DE BOTELLONES DE 20</v>
      </c>
      <c r="B559" s="5">
        <f ca="1">IFERROR(__xludf.DUMMYFUNCTION("""COMPUTED_VALUE"""),71960605)</f>
        <v>71960605</v>
      </c>
      <c r="C559" s="5" t="str">
        <f ca="1">IFERROR(__xludf.DUMMYFUNCTION("""COMPUTED_VALUE"""),"GENERADOR DE OXIGENO PARA BOTELLON.")</f>
        <v>GENERADOR DE OXIGENO PARA BOTELLON.</v>
      </c>
      <c r="D559" s="5">
        <f ca="1">IFERROR(__xludf.DUMMYFUNCTION("""COMPUTED_VALUE"""),13247676)</f>
        <v>13247676</v>
      </c>
      <c r="E559" s="5" t="str">
        <f ca="1">IFERROR(__xludf.DUMMYFUNCTION("""COMPUTED_VALUE"""),"INSPECCION SEMANAL GENERADOR DE OXIGENO")</f>
        <v>INSPECCION SEMANAL GENERADOR DE OXIGENO</v>
      </c>
      <c r="F559" s="5" t="str">
        <f ca="1">IFERROR(__xludf.DUMMYFUNCTION("""COMPUTED_VALUE"""),"VERIFICAR FUGAS DE AIRE")</f>
        <v>VERIFICAR FUGAS DE AIRE</v>
      </c>
      <c r="G559" s="5" t="b">
        <f ca="1">IFERROR(__xludf.DUMMYFUNCTION("""COMPUTED_VALUE"""),TRUE)</f>
        <v>1</v>
      </c>
      <c r="H559" s="5"/>
      <c r="I559" s="5"/>
      <c r="J559" s="5"/>
      <c r="K559" s="5"/>
      <c r="L559" s="18">
        <f ca="1">IFERROR(__xludf.DUMMYFUNCTION("""COMPUTED_VALUE"""),45325)</f>
        <v>45325</v>
      </c>
      <c r="M559" s="18">
        <f ca="1">IFERROR(__xludf.DUMMYFUNCTION("""COMPUTED_VALUE"""),45325)</f>
        <v>45325</v>
      </c>
      <c r="N559" s="5" t="str">
        <f ca="1">IFERROR(__xludf.DUMMYFUNCTION("""COMPUTED_VALUE"""),"Christian Camilo Ramirez Rendón")</f>
        <v>Christian Camilo Ramirez Rendón</v>
      </c>
      <c r="O559" s="2">
        <f ca="1">IFERROR(__xludf.DUMMYFUNCTION("""COMPUTED_VALUE"""),0.033333333)</f>
        <v>3.3333333E-2</v>
      </c>
      <c r="P559" s="5"/>
      <c r="Q559" s="5" t="str">
        <f ca="1">IFERROR(__xludf.DUMMYFUNCTION("""COMPUTED_VALUE"""),"aVi94sulU2Q")</f>
        <v>aVi94sulU2Q</v>
      </c>
      <c r="R559" s="5">
        <f ca="1">IFERROR(__xludf.DUMMYFUNCTION("""COMPUTED_VALUE"""),410)</f>
        <v>410</v>
      </c>
      <c r="S559" s="62">
        <f ca="1">IFERROR(__xludf.DUMMYFUNCTION("""COMPUTED_VALUE"""),0.033333333)</f>
        <v>3.3333333E-2</v>
      </c>
      <c r="T559" s="63" t="str">
        <f ca="1">IFERROR(__xludf.DUMMYFUNCTION("""COMPUTED_VALUE"""),"https://storage.googleapis.com/glide-prod.appspot.com/uploads-v2/ly7o78grxPaC6KdgvbpS/pub/3aRdSog0vUtuqPE8AJKD.png")</f>
        <v>https://storage.googleapis.com/glide-prod.appspot.com/uploads-v2/ly7o78grxPaC6KdgvbpS/pub/3aRdSog0vUtuqPE8AJKD.png</v>
      </c>
      <c r="U559" s="5" t="str">
        <f ca="1">IFERROR(__xludf.DUMMYFUNCTION("""COMPUTED_VALUE"""),"LINEA DE PRODUCCION DE BOTELLONES DE 20GENERADOR DE OXIGENO PARA BOTELLON.")</f>
        <v>LINEA DE PRODUCCION DE BOTELLONES DE 20GENERADOR DE OXIGENO PARA BOTELLON.</v>
      </c>
      <c r="V559" s="5"/>
      <c r="W559" s="5" t="b">
        <f ca="1">IFERROR(__xludf.DUMMYFUNCTION("""COMPUTED_VALUE"""),TRUE)</f>
        <v>1</v>
      </c>
      <c r="X559" s="5" t="str">
        <f ca="1">IFERROR(__xludf.DUMMYFUNCTION("""COMPUTED_VALUE"""),"achavezi@postobon.com.co,aprmttoyu@postobon.com.co,aprmyu@postobon.com.co,wmora@postobon.com.co,efzapata@postobon.com.co")</f>
        <v>achavezi@postobon.com.co,aprmttoyu@postobon.com.co,aprmyu@postobon.com.co,wmora@postobon.com.co,efzapata@postobon.com.co</v>
      </c>
      <c r="Y559" s="5" t="str">
        <f ca="1">IFERROR(__xludf.DUMMYFUNCTION("""COMPUTED_VALUE"""),"achavezi@postobon.com.co")</f>
        <v>achavezi@postobon.com.co</v>
      </c>
      <c r="Z559" s="5" t="str">
        <f ca="1">IFERROR(__xludf.DUMMYFUNCTION("""COMPUTED_VALUE"""),"9jFk2NcgTrStve4wyw8khA")</f>
        <v>9jFk2NcgTrStve4wyw8khA</v>
      </c>
      <c r="AA559" s="5"/>
      <c r="AB559" s="5"/>
      <c r="AC559" s="5"/>
      <c r="AD559" s="5">
        <f ca="1">IFERROR(__xludf.DUMMYFUNCTION("""COMPUTED_VALUE"""),67)</f>
        <v>67</v>
      </c>
      <c r="AE559" s="5">
        <f ca="1">IFERROR(__xludf.DUMMYFUNCTION("""COMPUTED_VALUE"""),67)</f>
        <v>67</v>
      </c>
      <c r="AF559" s="5" t="b">
        <f ca="1">IFERROR(__xludf.DUMMYFUNCTION("""COMPUTED_VALUE"""),FALSE)</f>
        <v>0</v>
      </c>
      <c r="AG559" s="5" t="str">
        <f ca="1">IFERROR(__xludf.DUMMYFUNCTION("""COMPUTED_VALUE"""),"INSPECCIONES REALIZADAS")</f>
        <v>INSPECCIONES REALIZADAS</v>
      </c>
      <c r="AH559" s="5"/>
    </row>
    <row r="560" spans="1:34">
      <c r="A560" s="5" t="str">
        <f ca="1">IFERROR(__xludf.DUMMYFUNCTION("""COMPUTED_VALUE"""),"LINEA PARA EL LLENADO DE BOLSAS")</f>
        <v>LINEA PARA EL LLENADO DE BOLSAS</v>
      </c>
      <c r="B560" s="5">
        <f ca="1">IFERROR(__xludf.DUMMYFUNCTION("""COMPUTED_VALUE"""),71960702)</f>
        <v>71960702</v>
      </c>
      <c r="C560" s="5" t="str">
        <f ca="1">IFERROR(__xludf.DUMMYFUNCTION("""COMPUTED_VALUE"""),"GENERADOR DE OXIGENO PARA BOLSA.")</f>
        <v>GENERADOR DE OXIGENO PARA BOLSA.</v>
      </c>
      <c r="D560" s="5">
        <f ca="1">IFERROR(__xludf.DUMMYFUNCTION("""COMPUTED_VALUE"""),13247707)</f>
        <v>13247707</v>
      </c>
      <c r="E560" s="5" t="str">
        <f ca="1">IFERROR(__xludf.DUMMYFUNCTION("""COMPUTED_VALUE"""),"INSPECCION SEMANAL GENERADOR DE OXIGENO")</f>
        <v>INSPECCION SEMANAL GENERADOR DE OXIGENO</v>
      </c>
      <c r="F560" s="5" t="str">
        <f ca="1">IFERROR(__xludf.DUMMYFUNCTION("""COMPUTED_VALUE"""),"INSPECCIONAR FUNCIONAMIENTO")</f>
        <v>INSPECCIONAR FUNCIONAMIENTO</v>
      </c>
      <c r="G560" s="5" t="b">
        <f ca="1">IFERROR(__xludf.DUMMYFUNCTION("""COMPUTED_VALUE"""),TRUE)</f>
        <v>1</v>
      </c>
      <c r="H560" s="5"/>
      <c r="I560" s="5"/>
      <c r="J560" s="5"/>
      <c r="K560" s="5"/>
      <c r="L560" s="18">
        <f ca="1">IFERROR(__xludf.DUMMYFUNCTION("""COMPUTED_VALUE"""),45324)</f>
        <v>45324</v>
      </c>
      <c r="M560" s="18">
        <f ca="1">IFERROR(__xludf.DUMMYFUNCTION("""COMPUTED_VALUE"""),45324)</f>
        <v>45324</v>
      </c>
      <c r="N560" s="5" t="str">
        <f ca="1">IFERROR(__xludf.DUMMYFUNCTION("""COMPUTED_VALUE"""),"Christian Camilo Ramirez Rendón")</f>
        <v>Christian Camilo Ramirez Rendón</v>
      </c>
      <c r="O560" s="2">
        <f ca="1">IFERROR(__xludf.DUMMYFUNCTION("""COMPUTED_VALUE"""),0.033333333)</f>
        <v>3.3333333E-2</v>
      </c>
      <c r="P560" s="5"/>
      <c r="Q560" s="5" t="str">
        <f ca="1">IFERROR(__xludf.DUMMYFUNCTION("""COMPUTED_VALUE"""),"r00ko9tgRTQ")</f>
        <v>r00ko9tgRTQ</v>
      </c>
      <c r="R560" s="5">
        <f ca="1">IFERROR(__xludf.DUMMYFUNCTION("""COMPUTED_VALUE"""),410)</f>
        <v>410</v>
      </c>
      <c r="S560" s="62">
        <f ca="1">IFERROR(__xludf.DUMMYFUNCTION("""COMPUTED_VALUE"""),0.033333333)</f>
        <v>3.3333333E-2</v>
      </c>
      <c r="T560" s="63" t="str">
        <f ca="1">IFERROR(__xludf.DUMMYFUNCTION("""COMPUTED_VALUE"""),"https://storage.googleapis.com/glide-prod.appspot.com/uploads-v2/ly7o78grxPaC6KdgvbpS/pub/3aRdSog0vUtuqPE8AJKD.png")</f>
        <v>https://storage.googleapis.com/glide-prod.appspot.com/uploads-v2/ly7o78grxPaC6KdgvbpS/pub/3aRdSog0vUtuqPE8AJKD.png</v>
      </c>
      <c r="U560" s="5" t="str">
        <f ca="1">IFERROR(__xludf.DUMMYFUNCTION("""COMPUTED_VALUE"""),"LINEA PARA EL LLENADO DE BOLSASGENERADOR DE OXIGENO PARA BOLSA.")</f>
        <v>LINEA PARA EL LLENADO DE BOLSASGENERADOR DE OXIGENO PARA BOLSA.</v>
      </c>
      <c r="V560" s="5"/>
      <c r="W560" s="5" t="b">
        <f ca="1">IFERROR(__xludf.DUMMYFUNCTION("""COMPUTED_VALUE"""),TRUE)</f>
        <v>1</v>
      </c>
      <c r="X560" s="5" t="str">
        <f ca="1">IFERROR(__xludf.DUMMYFUNCTION("""COMPUTED_VALUE"""),"achavezi@postobon.com.co,aprmttoyu@postobon.com.co,aprmyu@postobon.com.co,wmora@postobon.com.co,efzapata@postobon.com.co")</f>
        <v>achavezi@postobon.com.co,aprmttoyu@postobon.com.co,aprmyu@postobon.com.co,wmora@postobon.com.co,efzapata@postobon.com.co</v>
      </c>
      <c r="Y560" s="5" t="str">
        <f ca="1">IFERROR(__xludf.DUMMYFUNCTION("""COMPUTED_VALUE"""),"achavezi@postobon.com.co")</f>
        <v>achavezi@postobon.com.co</v>
      </c>
      <c r="Z560" s="5" t="str">
        <f ca="1">IFERROR(__xludf.DUMMYFUNCTION("""COMPUTED_VALUE"""),"G9r6mrHQSUOaZd5b5xhX6Q")</f>
        <v>G9r6mrHQSUOaZd5b5xhX6Q</v>
      </c>
      <c r="AA560" s="5"/>
      <c r="AB560" s="5"/>
      <c r="AC560" s="5"/>
      <c r="AD560" s="5">
        <f ca="1">IFERROR(__xludf.DUMMYFUNCTION("""COMPUTED_VALUE"""),67)</f>
        <v>67</v>
      </c>
      <c r="AE560" s="5">
        <f ca="1">IFERROR(__xludf.DUMMYFUNCTION("""COMPUTED_VALUE"""),67)</f>
        <v>67</v>
      </c>
      <c r="AF560" s="5" t="b">
        <f ca="1">IFERROR(__xludf.DUMMYFUNCTION("""COMPUTED_VALUE"""),FALSE)</f>
        <v>0</v>
      </c>
      <c r="AG560" s="5" t="str">
        <f ca="1">IFERROR(__xludf.DUMMYFUNCTION("""COMPUTED_VALUE"""),"INSPECCIONES REALIZADAS")</f>
        <v>INSPECCIONES REALIZADAS</v>
      </c>
      <c r="AH560" s="5"/>
    </row>
    <row r="561" spans="1:34">
      <c r="A561" s="5" t="str">
        <f ca="1">IFERROR(__xludf.DUMMYFUNCTION("""COMPUTED_VALUE"""),"LINEA PARA EL LLENADO DE BOLSAS")</f>
        <v>LINEA PARA EL LLENADO DE BOLSAS</v>
      </c>
      <c r="B561" s="5">
        <f ca="1">IFERROR(__xludf.DUMMYFUNCTION("""COMPUTED_VALUE"""),71960702)</f>
        <v>71960702</v>
      </c>
      <c r="C561" s="5" t="str">
        <f ca="1">IFERROR(__xludf.DUMMYFUNCTION("""COMPUTED_VALUE"""),"GENERADOR DE OXIGENO PARA BOLSA.")</f>
        <v>GENERADOR DE OXIGENO PARA BOLSA.</v>
      </c>
      <c r="D561" s="5">
        <f ca="1">IFERROR(__xludf.DUMMYFUNCTION("""COMPUTED_VALUE"""),13247707)</f>
        <v>13247707</v>
      </c>
      <c r="E561" s="5" t="str">
        <f ca="1">IFERROR(__xludf.DUMMYFUNCTION("""COMPUTED_VALUE"""),"INSPECCION SEMANAL GENERADOR DE OXIGENO")</f>
        <v>INSPECCION SEMANAL GENERADOR DE OXIGENO</v>
      </c>
      <c r="F561" s="5" t="str">
        <f ca="1">IFERROR(__xludf.DUMMYFUNCTION("""COMPUTED_VALUE"""),"VERIFICAR ESTADO EXTERNO")</f>
        <v>VERIFICAR ESTADO EXTERNO</v>
      </c>
      <c r="G561" s="5" t="b">
        <f ca="1">IFERROR(__xludf.DUMMYFUNCTION("""COMPUTED_VALUE"""),TRUE)</f>
        <v>1</v>
      </c>
      <c r="H561" s="5"/>
      <c r="I561" s="5"/>
      <c r="J561" s="5"/>
      <c r="K561" s="5"/>
      <c r="L561" s="18">
        <f ca="1">IFERROR(__xludf.DUMMYFUNCTION("""COMPUTED_VALUE"""),45324)</f>
        <v>45324</v>
      </c>
      <c r="M561" s="18">
        <f ca="1">IFERROR(__xludf.DUMMYFUNCTION("""COMPUTED_VALUE"""),45324)</f>
        <v>45324</v>
      </c>
      <c r="N561" s="5" t="str">
        <f ca="1">IFERROR(__xludf.DUMMYFUNCTION("""COMPUTED_VALUE"""),"Christian Camilo Ramirez Rendón")</f>
        <v>Christian Camilo Ramirez Rendón</v>
      </c>
      <c r="O561" s="2">
        <f ca="1">IFERROR(__xludf.DUMMYFUNCTION("""COMPUTED_VALUE"""),0.033333333)</f>
        <v>3.3333333E-2</v>
      </c>
      <c r="P561" s="5"/>
      <c r="Q561" s="5" t="str">
        <f ca="1">IFERROR(__xludf.DUMMYFUNCTION("""COMPUTED_VALUE"""),"wmh4fFNIfzY")</f>
        <v>wmh4fFNIfzY</v>
      </c>
      <c r="R561" s="5">
        <f ca="1">IFERROR(__xludf.DUMMYFUNCTION("""COMPUTED_VALUE"""),410)</f>
        <v>410</v>
      </c>
      <c r="S561" s="62">
        <f ca="1">IFERROR(__xludf.DUMMYFUNCTION("""COMPUTED_VALUE"""),0.033333333)</f>
        <v>3.3333333E-2</v>
      </c>
      <c r="T561" s="63" t="str">
        <f ca="1">IFERROR(__xludf.DUMMYFUNCTION("""COMPUTED_VALUE"""),"https://storage.googleapis.com/glide-prod.appspot.com/uploads-v2/ly7o78grxPaC6KdgvbpS/pub/3aRdSog0vUtuqPE8AJKD.png")</f>
        <v>https://storage.googleapis.com/glide-prod.appspot.com/uploads-v2/ly7o78grxPaC6KdgvbpS/pub/3aRdSog0vUtuqPE8AJKD.png</v>
      </c>
      <c r="U561" s="5" t="str">
        <f ca="1">IFERROR(__xludf.DUMMYFUNCTION("""COMPUTED_VALUE"""),"LINEA PARA EL LLENADO DE BOLSASGENERADOR DE OXIGENO PARA BOLSA.")</f>
        <v>LINEA PARA EL LLENADO DE BOLSASGENERADOR DE OXIGENO PARA BOLSA.</v>
      </c>
      <c r="V561" s="5"/>
      <c r="W561" s="5" t="b">
        <f ca="1">IFERROR(__xludf.DUMMYFUNCTION("""COMPUTED_VALUE"""),TRUE)</f>
        <v>1</v>
      </c>
      <c r="X561" s="5" t="str">
        <f ca="1">IFERROR(__xludf.DUMMYFUNCTION("""COMPUTED_VALUE"""),"achavezi@postobon.com.co,aprmttoyu@postobon.com.co,aprmyu@postobon.com.co,wmora@postobon.com.co,efzapata@postobon.com.co")</f>
        <v>achavezi@postobon.com.co,aprmttoyu@postobon.com.co,aprmyu@postobon.com.co,wmora@postobon.com.co,efzapata@postobon.com.co</v>
      </c>
      <c r="Y561" s="5" t="str">
        <f ca="1">IFERROR(__xludf.DUMMYFUNCTION("""COMPUTED_VALUE"""),"achavezi@postobon.com.co")</f>
        <v>achavezi@postobon.com.co</v>
      </c>
      <c r="Z561" s="5" t="str">
        <f ca="1">IFERROR(__xludf.DUMMYFUNCTION("""COMPUTED_VALUE"""),"EHsbw6XIRpmwk2xgSpWdSw")</f>
        <v>EHsbw6XIRpmwk2xgSpWdSw</v>
      </c>
      <c r="AA561" s="5"/>
      <c r="AB561" s="5"/>
      <c r="AC561" s="5"/>
      <c r="AD561" s="5">
        <f ca="1">IFERROR(__xludf.DUMMYFUNCTION("""COMPUTED_VALUE"""),67)</f>
        <v>67</v>
      </c>
      <c r="AE561" s="5">
        <f ca="1">IFERROR(__xludf.DUMMYFUNCTION("""COMPUTED_VALUE"""),67)</f>
        <v>67</v>
      </c>
      <c r="AF561" s="5" t="b">
        <f ca="1">IFERROR(__xludf.DUMMYFUNCTION("""COMPUTED_VALUE"""),FALSE)</f>
        <v>0</v>
      </c>
      <c r="AG561" s="5" t="str">
        <f ca="1">IFERROR(__xludf.DUMMYFUNCTION("""COMPUTED_VALUE"""),"INSPECCIONES REALIZADAS")</f>
        <v>INSPECCIONES REALIZADAS</v>
      </c>
      <c r="AH561" s="5"/>
    </row>
    <row r="562" spans="1:34">
      <c r="A562" s="5" t="str">
        <f ca="1">IFERROR(__xludf.DUMMYFUNCTION("""COMPUTED_VALUE"""),"LINEA PARA EL LLENADO DE BOLSAS")</f>
        <v>LINEA PARA EL LLENADO DE BOLSAS</v>
      </c>
      <c r="B562" s="5">
        <f ca="1">IFERROR(__xludf.DUMMYFUNCTION("""COMPUTED_VALUE"""),71960702)</f>
        <v>71960702</v>
      </c>
      <c r="C562" s="5" t="str">
        <f ca="1">IFERROR(__xludf.DUMMYFUNCTION("""COMPUTED_VALUE"""),"GENERADOR DE OXIGENO PARA BOLSA.")</f>
        <v>GENERADOR DE OXIGENO PARA BOLSA.</v>
      </c>
      <c r="D562" s="5">
        <f ca="1">IFERROR(__xludf.DUMMYFUNCTION("""COMPUTED_VALUE"""),13247707)</f>
        <v>13247707</v>
      </c>
      <c r="E562" s="5" t="str">
        <f ca="1">IFERROR(__xludf.DUMMYFUNCTION("""COMPUTED_VALUE"""),"INSPECCION SEMANAL GENERADOR DE OXIGENO")</f>
        <v>INSPECCION SEMANAL GENERADOR DE OXIGENO</v>
      </c>
      <c r="F562" s="5" t="str">
        <f ca="1">IFERROR(__xludf.DUMMYFUNCTION("""COMPUTED_VALUE"""),"VERIFICAR FUGAS DE AIRE")</f>
        <v>VERIFICAR FUGAS DE AIRE</v>
      </c>
      <c r="G562" s="5" t="b">
        <f ca="1">IFERROR(__xludf.DUMMYFUNCTION("""COMPUTED_VALUE"""),TRUE)</f>
        <v>1</v>
      </c>
      <c r="H562" s="5"/>
      <c r="I562" s="5"/>
      <c r="J562" s="5"/>
      <c r="K562" s="5"/>
      <c r="L562" s="18">
        <f ca="1">IFERROR(__xludf.DUMMYFUNCTION("""COMPUTED_VALUE"""),45324)</f>
        <v>45324</v>
      </c>
      <c r="M562" s="18">
        <f ca="1">IFERROR(__xludf.DUMMYFUNCTION("""COMPUTED_VALUE"""),45324)</f>
        <v>45324</v>
      </c>
      <c r="N562" s="5" t="str">
        <f ca="1">IFERROR(__xludf.DUMMYFUNCTION("""COMPUTED_VALUE"""),"Christian Camilo Ramirez Rendón")</f>
        <v>Christian Camilo Ramirez Rendón</v>
      </c>
      <c r="O562" s="2">
        <f ca="1">IFERROR(__xludf.DUMMYFUNCTION("""COMPUTED_VALUE"""),0.033333333)</f>
        <v>3.3333333E-2</v>
      </c>
      <c r="P562" s="5"/>
      <c r="Q562" s="5" t="str">
        <f ca="1">IFERROR(__xludf.DUMMYFUNCTION("""COMPUTED_VALUE"""),"F7zimrpIO2M")</f>
        <v>F7zimrpIO2M</v>
      </c>
      <c r="R562" s="5">
        <f ca="1">IFERROR(__xludf.DUMMYFUNCTION("""COMPUTED_VALUE"""),410)</f>
        <v>410</v>
      </c>
      <c r="S562" s="62">
        <f ca="1">IFERROR(__xludf.DUMMYFUNCTION("""COMPUTED_VALUE"""),0.033333333)</f>
        <v>3.3333333E-2</v>
      </c>
      <c r="T562" s="63" t="str">
        <f ca="1">IFERROR(__xludf.DUMMYFUNCTION("""COMPUTED_VALUE"""),"https://storage.googleapis.com/glide-prod.appspot.com/uploads-v2/ly7o78grxPaC6KdgvbpS/pub/3aRdSog0vUtuqPE8AJKD.png")</f>
        <v>https://storage.googleapis.com/glide-prod.appspot.com/uploads-v2/ly7o78grxPaC6KdgvbpS/pub/3aRdSog0vUtuqPE8AJKD.png</v>
      </c>
      <c r="U562" s="5" t="str">
        <f ca="1">IFERROR(__xludf.DUMMYFUNCTION("""COMPUTED_VALUE"""),"LINEA PARA EL LLENADO DE BOLSASGENERADOR DE OXIGENO PARA BOLSA.")</f>
        <v>LINEA PARA EL LLENADO DE BOLSASGENERADOR DE OXIGENO PARA BOLSA.</v>
      </c>
      <c r="V562" s="5"/>
      <c r="W562" s="5" t="b">
        <f ca="1">IFERROR(__xludf.DUMMYFUNCTION("""COMPUTED_VALUE"""),TRUE)</f>
        <v>1</v>
      </c>
      <c r="X562" s="5" t="str">
        <f ca="1">IFERROR(__xludf.DUMMYFUNCTION("""COMPUTED_VALUE"""),"achavezi@postobon.com.co,aprmttoyu@postobon.com.co,aprmyu@postobon.com.co,wmora@postobon.com.co,efzapata@postobon.com.co")</f>
        <v>achavezi@postobon.com.co,aprmttoyu@postobon.com.co,aprmyu@postobon.com.co,wmora@postobon.com.co,efzapata@postobon.com.co</v>
      </c>
      <c r="Y562" s="5" t="str">
        <f ca="1">IFERROR(__xludf.DUMMYFUNCTION("""COMPUTED_VALUE"""),"achavezi@postobon.com.co")</f>
        <v>achavezi@postobon.com.co</v>
      </c>
      <c r="Z562" s="5" t="str">
        <f ca="1">IFERROR(__xludf.DUMMYFUNCTION("""COMPUTED_VALUE"""),"UQSvGsi8Q8y-7riCevt-pg")</f>
        <v>UQSvGsi8Q8y-7riCevt-pg</v>
      </c>
      <c r="AA562" s="5"/>
      <c r="AB562" s="5"/>
      <c r="AC562" s="5"/>
      <c r="AD562" s="5">
        <f ca="1">IFERROR(__xludf.DUMMYFUNCTION("""COMPUTED_VALUE"""),67)</f>
        <v>67</v>
      </c>
      <c r="AE562" s="5">
        <f ca="1">IFERROR(__xludf.DUMMYFUNCTION("""COMPUTED_VALUE"""),67)</f>
        <v>67</v>
      </c>
      <c r="AF562" s="5" t="b">
        <f ca="1">IFERROR(__xludf.DUMMYFUNCTION("""COMPUTED_VALUE"""),FALSE)</f>
        <v>0</v>
      </c>
      <c r="AG562" s="5" t="str">
        <f ca="1">IFERROR(__xludf.DUMMYFUNCTION("""COMPUTED_VALUE"""),"INSPECCIONES REALIZADAS")</f>
        <v>INSPECCIONES REALIZADAS</v>
      </c>
      <c r="AH562" s="5"/>
    </row>
    <row r="563" spans="1:34">
      <c r="A563" s="5" t="str">
        <f ca="1">IFERROR(__xludf.DUMMYFUNCTION("""COMPUTED_VALUE"""),"LINEA DE PRODUCCION DE BOTELLONES DE 20")</f>
        <v>LINEA DE PRODUCCION DE BOTELLONES DE 20</v>
      </c>
      <c r="B563" s="5">
        <f ca="1">IFERROR(__xludf.DUMMYFUNCTION("""COMPUTED_VALUE"""),719606)</f>
        <v>719606</v>
      </c>
      <c r="C563" s="5" t="str">
        <f ca="1">IFERROR(__xludf.DUMMYFUNCTION("""COMPUTED_VALUE"""),"GENERADOR DE OZONO BOTELLON OZOSTARLITE")</f>
        <v>GENERADOR DE OZONO BOTELLON OZOSTARLITE</v>
      </c>
      <c r="D563" s="5">
        <f ca="1">IFERROR(__xludf.DUMMYFUNCTION("""COMPUTED_VALUE"""),13247673)</f>
        <v>13247673</v>
      </c>
      <c r="E563" s="5" t="str">
        <f ca="1">IFERROR(__xludf.DUMMYFUNCTION("""COMPUTED_VALUE"""),"INSPECCION SEMANAL GENERADOR DE OZONO BO")</f>
        <v>INSPECCION SEMANAL GENERADOR DE OZONO BO</v>
      </c>
      <c r="F563" s="5" t="str">
        <f ca="1">IFERROR(__xludf.DUMMYFUNCTION("""COMPUTED_VALUE"""),"INSPECCIONAR CONCENTRACION OZONO")</f>
        <v>INSPECCIONAR CONCENTRACION OZONO</v>
      </c>
      <c r="G563" s="5" t="b">
        <f ca="1">IFERROR(__xludf.DUMMYFUNCTION("""COMPUTED_VALUE"""),TRUE)</f>
        <v>1</v>
      </c>
      <c r="H563" s="5"/>
      <c r="I563" s="5"/>
      <c r="J563" s="5"/>
      <c r="K563" s="5"/>
      <c r="L563" s="18">
        <f ca="1">IFERROR(__xludf.DUMMYFUNCTION("""COMPUTED_VALUE"""),45324)</f>
        <v>45324</v>
      </c>
      <c r="M563" s="18">
        <f ca="1">IFERROR(__xludf.DUMMYFUNCTION("""COMPUTED_VALUE"""),45324)</f>
        <v>45324</v>
      </c>
      <c r="N563" s="5" t="str">
        <f ca="1">IFERROR(__xludf.DUMMYFUNCTION("""COMPUTED_VALUE"""),"Christian Camilo Ramirez Rendón")</f>
        <v>Christian Camilo Ramirez Rendón</v>
      </c>
      <c r="O563" s="2">
        <f ca="1">IFERROR(__xludf.DUMMYFUNCTION("""COMPUTED_VALUE"""),0.02)</f>
        <v>0.02</v>
      </c>
      <c r="P563" s="5"/>
      <c r="Q563" s="5" t="str">
        <f ca="1">IFERROR(__xludf.DUMMYFUNCTION("""COMPUTED_VALUE"""),"czpn7SOQeFY")</f>
        <v>czpn7SOQeFY</v>
      </c>
      <c r="R563" s="5">
        <f ca="1">IFERROR(__xludf.DUMMYFUNCTION("""COMPUTED_VALUE"""),410)</f>
        <v>410</v>
      </c>
      <c r="S563" s="62">
        <f ca="1">IFERROR(__xludf.DUMMYFUNCTION("""COMPUTED_VALUE"""),0.02)</f>
        <v>0.02</v>
      </c>
      <c r="T563" s="63" t="str">
        <f ca="1">IFERROR(__xludf.DUMMYFUNCTION("""COMPUTED_VALUE"""),"https://storage.googleapis.com/glide-prod.appspot.com/uploads-v2/ly7o78grxPaC6KdgvbpS/pub/3aRdSog0vUtuqPE8AJKD.png")</f>
        <v>https://storage.googleapis.com/glide-prod.appspot.com/uploads-v2/ly7o78grxPaC6KdgvbpS/pub/3aRdSog0vUtuqPE8AJKD.png</v>
      </c>
      <c r="U563" s="5" t="str">
        <f ca="1">IFERROR(__xludf.DUMMYFUNCTION("""COMPUTED_VALUE"""),"LINEA DE PRODUCCION DE BOTELLONES DE 20GENERADOR DE OZONO BOTELLON OZOSTARLITE")</f>
        <v>LINEA DE PRODUCCION DE BOTELLONES DE 20GENERADOR DE OZONO BOTELLON OZOSTARLITE</v>
      </c>
      <c r="V563" s="5"/>
      <c r="W563" s="5" t="b">
        <f ca="1">IFERROR(__xludf.DUMMYFUNCTION("""COMPUTED_VALUE"""),TRUE)</f>
        <v>1</v>
      </c>
      <c r="X563" s="5" t="str">
        <f ca="1">IFERROR(__xludf.DUMMYFUNCTION("""COMPUTED_VALUE"""),"achavezi@postobon.com.co,aprmttoyu@postobon.com.co,aprmyu@postobon.com.co,wmora@postobon.com.co,efzapata@postobon.com.co")</f>
        <v>achavezi@postobon.com.co,aprmttoyu@postobon.com.co,aprmyu@postobon.com.co,wmora@postobon.com.co,efzapata@postobon.com.co</v>
      </c>
      <c r="Y563" s="5" t="str">
        <f ca="1">IFERROR(__xludf.DUMMYFUNCTION("""COMPUTED_VALUE"""),"achavezi@postobon.com.co")</f>
        <v>achavezi@postobon.com.co</v>
      </c>
      <c r="Z563" s="5" t="str">
        <f ca="1">IFERROR(__xludf.DUMMYFUNCTION("""COMPUTED_VALUE"""),"1FB3UlE7StqGXNsWiTjzBg")</f>
        <v>1FB3UlE7StqGXNsWiTjzBg</v>
      </c>
      <c r="AA563" s="5"/>
      <c r="AB563" s="5"/>
      <c r="AC563" s="5"/>
      <c r="AD563" s="5">
        <f ca="1">IFERROR(__xludf.DUMMYFUNCTION("""COMPUTED_VALUE"""),67)</f>
        <v>67</v>
      </c>
      <c r="AE563" s="5">
        <f ca="1">IFERROR(__xludf.DUMMYFUNCTION("""COMPUTED_VALUE"""),67)</f>
        <v>67</v>
      </c>
      <c r="AF563" s="5" t="b">
        <f ca="1">IFERROR(__xludf.DUMMYFUNCTION("""COMPUTED_VALUE"""),FALSE)</f>
        <v>0</v>
      </c>
      <c r="AG563" s="5" t="str">
        <f ca="1">IFERROR(__xludf.DUMMYFUNCTION("""COMPUTED_VALUE"""),"INSPECCIONES REALIZADAS")</f>
        <v>INSPECCIONES REALIZADAS</v>
      </c>
      <c r="AH563" s="5"/>
    </row>
    <row r="564" spans="1:34">
      <c r="A564" s="5" t="str">
        <f ca="1">IFERROR(__xludf.DUMMYFUNCTION("""COMPUTED_VALUE"""),"LINEA DE PRODUCCION DE BOTELLONES DE 20")</f>
        <v>LINEA DE PRODUCCION DE BOTELLONES DE 20</v>
      </c>
      <c r="B564" s="5">
        <f ca="1">IFERROR(__xludf.DUMMYFUNCTION("""COMPUTED_VALUE"""),719606)</f>
        <v>719606</v>
      </c>
      <c r="C564" s="5" t="str">
        <f ca="1">IFERROR(__xludf.DUMMYFUNCTION("""COMPUTED_VALUE"""),"GENERADOR DE OZONO BOTELLON OZOSTARLITE")</f>
        <v>GENERADOR DE OZONO BOTELLON OZOSTARLITE</v>
      </c>
      <c r="D564" s="5">
        <f ca="1">IFERROR(__xludf.DUMMYFUNCTION("""COMPUTED_VALUE"""),13247673)</f>
        <v>13247673</v>
      </c>
      <c r="E564" s="5" t="str">
        <f ca="1">IFERROR(__xludf.DUMMYFUNCTION("""COMPUTED_VALUE"""),"INSPECCION SEMANAL GENERADOR DE OZONO BO")</f>
        <v>INSPECCION SEMANAL GENERADOR DE OZONO BO</v>
      </c>
      <c r="F564" s="5" t="str">
        <f ca="1">IFERROR(__xludf.DUMMYFUNCTION("""COMPUTED_VALUE"""),"INSP SENSORES NIVEL")</f>
        <v>INSP SENSORES NIVEL</v>
      </c>
      <c r="G564" s="5" t="b">
        <f ca="1">IFERROR(__xludf.DUMMYFUNCTION("""COMPUTED_VALUE"""),TRUE)</f>
        <v>1</v>
      </c>
      <c r="H564" s="5"/>
      <c r="I564" s="5"/>
      <c r="J564" s="5"/>
      <c r="K564" s="5"/>
      <c r="L564" s="18">
        <f ca="1">IFERROR(__xludf.DUMMYFUNCTION("""COMPUTED_VALUE"""),45324)</f>
        <v>45324</v>
      </c>
      <c r="M564" s="18">
        <f ca="1">IFERROR(__xludf.DUMMYFUNCTION("""COMPUTED_VALUE"""),45324)</f>
        <v>45324</v>
      </c>
      <c r="N564" s="5" t="str">
        <f ca="1">IFERROR(__xludf.DUMMYFUNCTION("""COMPUTED_VALUE"""),"Christian Camilo Ramirez Rendón")</f>
        <v>Christian Camilo Ramirez Rendón</v>
      </c>
      <c r="O564" s="2">
        <f ca="1">IFERROR(__xludf.DUMMYFUNCTION("""COMPUTED_VALUE"""),0.02)</f>
        <v>0.02</v>
      </c>
      <c r="P564" s="5"/>
      <c r="Q564" s="5" t="str">
        <f ca="1">IFERROR(__xludf.DUMMYFUNCTION("""COMPUTED_VALUE"""),"gMjpGAHADMQ")</f>
        <v>gMjpGAHADMQ</v>
      </c>
      <c r="R564" s="5">
        <f ca="1">IFERROR(__xludf.DUMMYFUNCTION("""COMPUTED_VALUE"""),410)</f>
        <v>410</v>
      </c>
      <c r="S564" s="62">
        <f ca="1">IFERROR(__xludf.DUMMYFUNCTION("""COMPUTED_VALUE"""),0.02)</f>
        <v>0.02</v>
      </c>
      <c r="T564" s="63" t="str">
        <f ca="1">IFERROR(__xludf.DUMMYFUNCTION("""COMPUTED_VALUE"""),"https://storage.googleapis.com/glide-prod.appspot.com/uploads-v2/ly7o78grxPaC6KdgvbpS/pub/3aRdSog0vUtuqPE8AJKD.png")</f>
        <v>https://storage.googleapis.com/glide-prod.appspot.com/uploads-v2/ly7o78grxPaC6KdgvbpS/pub/3aRdSog0vUtuqPE8AJKD.png</v>
      </c>
      <c r="U564" s="5" t="str">
        <f ca="1">IFERROR(__xludf.DUMMYFUNCTION("""COMPUTED_VALUE"""),"LINEA DE PRODUCCION DE BOTELLONES DE 20GENERADOR DE OZONO BOTELLON OZOSTARLITE")</f>
        <v>LINEA DE PRODUCCION DE BOTELLONES DE 20GENERADOR DE OZONO BOTELLON OZOSTARLITE</v>
      </c>
      <c r="V564" s="5"/>
      <c r="W564" s="5" t="b">
        <f ca="1">IFERROR(__xludf.DUMMYFUNCTION("""COMPUTED_VALUE"""),TRUE)</f>
        <v>1</v>
      </c>
      <c r="X564" s="5" t="str">
        <f ca="1">IFERROR(__xludf.DUMMYFUNCTION("""COMPUTED_VALUE"""),"achavezi@postobon.com.co,aprmttoyu@postobon.com.co,aprmyu@postobon.com.co,wmora@postobon.com.co,efzapata@postobon.com.co")</f>
        <v>achavezi@postobon.com.co,aprmttoyu@postobon.com.co,aprmyu@postobon.com.co,wmora@postobon.com.co,efzapata@postobon.com.co</v>
      </c>
      <c r="Y564" s="5" t="str">
        <f ca="1">IFERROR(__xludf.DUMMYFUNCTION("""COMPUTED_VALUE"""),"achavezi@postobon.com.co")</f>
        <v>achavezi@postobon.com.co</v>
      </c>
      <c r="Z564" s="5" t="str">
        <f ca="1">IFERROR(__xludf.DUMMYFUNCTION("""COMPUTED_VALUE"""),"VBvR56UpSGq-jud553DLmA")</f>
        <v>VBvR56UpSGq-jud553DLmA</v>
      </c>
      <c r="AA564" s="5"/>
      <c r="AB564" s="5"/>
      <c r="AC564" s="5"/>
      <c r="AD564" s="5">
        <f ca="1">IFERROR(__xludf.DUMMYFUNCTION("""COMPUTED_VALUE"""),67)</f>
        <v>67</v>
      </c>
      <c r="AE564" s="5">
        <f ca="1">IFERROR(__xludf.DUMMYFUNCTION("""COMPUTED_VALUE"""),67)</f>
        <v>67</v>
      </c>
      <c r="AF564" s="5" t="b">
        <f ca="1">IFERROR(__xludf.DUMMYFUNCTION("""COMPUTED_VALUE"""),FALSE)</f>
        <v>0</v>
      </c>
      <c r="AG564" s="5" t="str">
        <f ca="1">IFERROR(__xludf.DUMMYFUNCTION("""COMPUTED_VALUE"""),"INSPECCIONES REALIZADAS")</f>
        <v>INSPECCIONES REALIZADAS</v>
      </c>
      <c r="AH564" s="5"/>
    </row>
    <row r="565" spans="1:34">
      <c r="A565" s="5" t="str">
        <f ca="1">IFERROR(__xludf.DUMMYFUNCTION("""COMPUTED_VALUE"""),"LINEA DE PRODUCCION DE BOTELLONES DE 20")</f>
        <v>LINEA DE PRODUCCION DE BOTELLONES DE 20</v>
      </c>
      <c r="B565" s="5">
        <f ca="1">IFERROR(__xludf.DUMMYFUNCTION("""COMPUTED_VALUE"""),719606)</f>
        <v>719606</v>
      </c>
      <c r="C565" s="5" t="str">
        <f ca="1">IFERROR(__xludf.DUMMYFUNCTION("""COMPUTED_VALUE"""),"GENERADOR DE OZONO BOTELLON OZOSTARLITE")</f>
        <v>GENERADOR DE OZONO BOTELLON OZOSTARLITE</v>
      </c>
      <c r="D565" s="5">
        <f ca="1">IFERROR(__xludf.DUMMYFUNCTION("""COMPUTED_VALUE"""),13247673)</f>
        <v>13247673</v>
      </c>
      <c r="E565" s="5" t="str">
        <f ca="1">IFERROR(__xludf.DUMMYFUNCTION("""COMPUTED_VALUE"""),"INSPECCION SEMANAL GENERADOR DE OZONO BO")</f>
        <v>INSPECCION SEMANAL GENERADOR DE OZONO BO</v>
      </c>
      <c r="F565" s="5" t="str">
        <f ca="1">IFERROR(__xludf.DUMMYFUNCTION("""COMPUTED_VALUE"""),"VERIFICAR ESTADO TUBOS")</f>
        <v>VERIFICAR ESTADO TUBOS</v>
      </c>
      <c r="G565" s="5" t="b">
        <f ca="1">IFERROR(__xludf.DUMMYFUNCTION("""COMPUTED_VALUE"""),TRUE)</f>
        <v>1</v>
      </c>
      <c r="H565" s="5"/>
      <c r="I565" s="5"/>
      <c r="J565" s="5"/>
      <c r="K565" s="5"/>
      <c r="L565" s="18">
        <f ca="1">IFERROR(__xludf.DUMMYFUNCTION("""COMPUTED_VALUE"""),45324)</f>
        <v>45324</v>
      </c>
      <c r="M565" s="18">
        <f ca="1">IFERROR(__xludf.DUMMYFUNCTION("""COMPUTED_VALUE"""),45324)</f>
        <v>45324</v>
      </c>
      <c r="N565" s="5" t="str">
        <f ca="1">IFERROR(__xludf.DUMMYFUNCTION("""COMPUTED_VALUE"""),"Christian Camilo Ramirez Rendón")</f>
        <v>Christian Camilo Ramirez Rendón</v>
      </c>
      <c r="O565" s="2">
        <f ca="1">IFERROR(__xludf.DUMMYFUNCTION("""COMPUTED_VALUE"""),0.02)</f>
        <v>0.02</v>
      </c>
      <c r="P565" s="5"/>
      <c r="Q565" s="5" t="str">
        <f ca="1">IFERROR(__xludf.DUMMYFUNCTION("""COMPUTED_VALUE"""),"k0DeGXFgoMg")</f>
        <v>k0DeGXFgoMg</v>
      </c>
      <c r="R565" s="5">
        <f ca="1">IFERROR(__xludf.DUMMYFUNCTION("""COMPUTED_VALUE"""),410)</f>
        <v>410</v>
      </c>
      <c r="S565" s="62">
        <f ca="1">IFERROR(__xludf.DUMMYFUNCTION("""COMPUTED_VALUE"""),0.02)</f>
        <v>0.02</v>
      </c>
      <c r="T565" s="63" t="str">
        <f ca="1">IFERROR(__xludf.DUMMYFUNCTION("""COMPUTED_VALUE"""),"https://storage.googleapis.com/glide-prod.appspot.com/uploads-v2/ly7o78grxPaC6KdgvbpS/pub/3aRdSog0vUtuqPE8AJKD.png")</f>
        <v>https://storage.googleapis.com/glide-prod.appspot.com/uploads-v2/ly7o78grxPaC6KdgvbpS/pub/3aRdSog0vUtuqPE8AJKD.png</v>
      </c>
      <c r="U565" s="5" t="str">
        <f ca="1">IFERROR(__xludf.DUMMYFUNCTION("""COMPUTED_VALUE"""),"LINEA DE PRODUCCION DE BOTELLONES DE 20GENERADOR DE OZONO BOTELLON OZOSTARLITE")</f>
        <v>LINEA DE PRODUCCION DE BOTELLONES DE 20GENERADOR DE OZONO BOTELLON OZOSTARLITE</v>
      </c>
      <c r="V565" s="5"/>
      <c r="W565" s="5" t="b">
        <f ca="1">IFERROR(__xludf.DUMMYFUNCTION("""COMPUTED_VALUE"""),TRUE)</f>
        <v>1</v>
      </c>
      <c r="X565" s="5" t="str">
        <f ca="1">IFERROR(__xludf.DUMMYFUNCTION("""COMPUTED_VALUE"""),"achavezi@postobon.com.co,aprmttoyu@postobon.com.co,aprmyu@postobon.com.co,wmora@postobon.com.co,efzapata@postobon.com.co")</f>
        <v>achavezi@postobon.com.co,aprmttoyu@postobon.com.co,aprmyu@postobon.com.co,wmora@postobon.com.co,efzapata@postobon.com.co</v>
      </c>
      <c r="Y565" s="5" t="str">
        <f ca="1">IFERROR(__xludf.DUMMYFUNCTION("""COMPUTED_VALUE"""),"achavezi@postobon.com.co")</f>
        <v>achavezi@postobon.com.co</v>
      </c>
      <c r="Z565" s="5" t="str">
        <f ca="1">IFERROR(__xludf.DUMMYFUNCTION("""COMPUTED_VALUE"""),"opb4R72NTrKYHZq0IN9I3Q")</f>
        <v>opb4R72NTrKYHZq0IN9I3Q</v>
      </c>
      <c r="AA565" s="5"/>
      <c r="AB565" s="5"/>
      <c r="AC565" s="5"/>
      <c r="AD565" s="5">
        <f ca="1">IFERROR(__xludf.DUMMYFUNCTION("""COMPUTED_VALUE"""),67)</f>
        <v>67</v>
      </c>
      <c r="AE565" s="5">
        <f ca="1">IFERROR(__xludf.DUMMYFUNCTION("""COMPUTED_VALUE"""),67)</f>
        <v>67</v>
      </c>
      <c r="AF565" s="5" t="b">
        <f ca="1">IFERROR(__xludf.DUMMYFUNCTION("""COMPUTED_VALUE"""),FALSE)</f>
        <v>0</v>
      </c>
      <c r="AG565" s="5" t="str">
        <f ca="1">IFERROR(__xludf.DUMMYFUNCTION("""COMPUTED_VALUE"""),"INSPECCIONES REALIZADAS")</f>
        <v>INSPECCIONES REALIZADAS</v>
      </c>
      <c r="AH565" s="5"/>
    </row>
    <row r="566" spans="1:34">
      <c r="A566" s="5" t="str">
        <f ca="1">IFERROR(__xludf.DUMMYFUNCTION("""COMPUTED_VALUE"""),"LINEA DE PRODUCCION DE BOTELLONES DE 20")</f>
        <v>LINEA DE PRODUCCION DE BOTELLONES DE 20</v>
      </c>
      <c r="B566" s="5">
        <f ca="1">IFERROR(__xludf.DUMMYFUNCTION("""COMPUTED_VALUE"""),719606)</f>
        <v>719606</v>
      </c>
      <c r="C566" s="5" t="str">
        <f ca="1">IFERROR(__xludf.DUMMYFUNCTION("""COMPUTED_VALUE"""),"GENERADOR DE OZONO BOTELLON OZOSTARLITE")</f>
        <v>GENERADOR DE OZONO BOTELLON OZOSTARLITE</v>
      </c>
      <c r="D566" s="5">
        <f ca="1">IFERROR(__xludf.DUMMYFUNCTION("""COMPUTED_VALUE"""),13247673)</f>
        <v>13247673</v>
      </c>
      <c r="E566" s="5" t="str">
        <f ca="1">IFERROR(__xludf.DUMMYFUNCTION("""COMPUTED_VALUE"""),"INSPECCION SEMANAL GENERADOR DE OZONO BO")</f>
        <v>INSPECCION SEMANAL GENERADOR DE OZONO BO</v>
      </c>
      <c r="F566" s="5" t="str">
        <f ca="1">IFERROR(__xludf.DUMMYFUNCTION("""COMPUTED_VALUE"""),"REVISAR FUGAS DE OZONO")</f>
        <v>REVISAR FUGAS DE OZONO</v>
      </c>
      <c r="G566" s="5" t="b">
        <f ca="1">IFERROR(__xludf.DUMMYFUNCTION("""COMPUTED_VALUE"""),TRUE)</f>
        <v>1</v>
      </c>
      <c r="H566" s="5"/>
      <c r="I566" s="5"/>
      <c r="J566" s="5"/>
      <c r="K566" s="5"/>
      <c r="L566" s="18">
        <f ca="1">IFERROR(__xludf.DUMMYFUNCTION("""COMPUTED_VALUE"""),45324)</f>
        <v>45324</v>
      </c>
      <c r="M566" s="18">
        <f ca="1">IFERROR(__xludf.DUMMYFUNCTION("""COMPUTED_VALUE"""),45324)</f>
        <v>45324</v>
      </c>
      <c r="N566" s="5" t="str">
        <f ca="1">IFERROR(__xludf.DUMMYFUNCTION("""COMPUTED_VALUE"""),"Christian Camilo Ramirez Rendón")</f>
        <v>Christian Camilo Ramirez Rendón</v>
      </c>
      <c r="O566" s="2">
        <f ca="1">IFERROR(__xludf.DUMMYFUNCTION("""COMPUTED_VALUE"""),0.02)</f>
        <v>0.02</v>
      </c>
      <c r="P566" s="5"/>
      <c r="Q566" s="5" t="str">
        <f ca="1">IFERROR(__xludf.DUMMYFUNCTION("""COMPUTED_VALUE"""),"mkQNwng_P_w")</f>
        <v>mkQNwng_P_w</v>
      </c>
      <c r="R566" s="5">
        <f ca="1">IFERROR(__xludf.DUMMYFUNCTION("""COMPUTED_VALUE"""),410)</f>
        <v>410</v>
      </c>
      <c r="S566" s="62">
        <f ca="1">IFERROR(__xludf.DUMMYFUNCTION("""COMPUTED_VALUE"""),0.02)</f>
        <v>0.02</v>
      </c>
      <c r="T566" s="63" t="str">
        <f ca="1">IFERROR(__xludf.DUMMYFUNCTION("""COMPUTED_VALUE"""),"https://storage.googleapis.com/glide-prod.appspot.com/uploads-v2/ly7o78grxPaC6KdgvbpS/pub/3aRdSog0vUtuqPE8AJKD.png")</f>
        <v>https://storage.googleapis.com/glide-prod.appspot.com/uploads-v2/ly7o78grxPaC6KdgvbpS/pub/3aRdSog0vUtuqPE8AJKD.png</v>
      </c>
      <c r="U566" s="5" t="str">
        <f ca="1">IFERROR(__xludf.DUMMYFUNCTION("""COMPUTED_VALUE"""),"LINEA DE PRODUCCION DE BOTELLONES DE 20GENERADOR DE OZONO BOTELLON OZOSTARLITE")</f>
        <v>LINEA DE PRODUCCION DE BOTELLONES DE 20GENERADOR DE OZONO BOTELLON OZOSTARLITE</v>
      </c>
      <c r="V566" s="5"/>
      <c r="W566" s="5" t="b">
        <f ca="1">IFERROR(__xludf.DUMMYFUNCTION("""COMPUTED_VALUE"""),TRUE)</f>
        <v>1</v>
      </c>
      <c r="X566" s="5" t="str">
        <f ca="1">IFERROR(__xludf.DUMMYFUNCTION("""COMPUTED_VALUE"""),"achavezi@postobon.com.co,aprmttoyu@postobon.com.co,aprmyu@postobon.com.co,wmora@postobon.com.co,efzapata@postobon.com.co")</f>
        <v>achavezi@postobon.com.co,aprmttoyu@postobon.com.co,aprmyu@postobon.com.co,wmora@postobon.com.co,efzapata@postobon.com.co</v>
      </c>
      <c r="Y566" s="5" t="str">
        <f ca="1">IFERROR(__xludf.DUMMYFUNCTION("""COMPUTED_VALUE"""),"achavezi@postobon.com.co")</f>
        <v>achavezi@postobon.com.co</v>
      </c>
      <c r="Z566" s="5" t="str">
        <f ca="1">IFERROR(__xludf.DUMMYFUNCTION("""COMPUTED_VALUE"""),"KZWQM118Snmfdxocbu956Q")</f>
        <v>KZWQM118Snmfdxocbu956Q</v>
      </c>
      <c r="AA566" s="5"/>
      <c r="AB566" s="5"/>
      <c r="AC566" s="5"/>
      <c r="AD566" s="5">
        <f ca="1">IFERROR(__xludf.DUMMYFUNCTION("""COMPUTED_VALUE"""),67)</f>
        <v>67</v>
      </c>
      <c r="AE566" s="5">
        <f ca="1">IFERROR(__xludf.DUMMYFUNCTION("""COMPUTED_VALUE"""),67)</f>
        <v>67</v>
      </c>
      <c r="AF566" s="5" t="b">
        <f ca="1">IFERROR(__xludf.DUMMYFUNCTION("""COMPUTED_VALUE"""),FALSE)</f>
        <v>0</v>
      </c>
      <c r="AG566" s="5" t="str">
        <f ca="1">IFERROR(__xludf.DUMMYFUNCTION("""COMPUTED_VALUE"""),"INSPECCIONES REALIZADAS")</f>
        <v>INSPECCIONES REALIZADAS</v>
      </c>
      <c r="AH566" s="5"/>
    </row>
    <row r="567" spans="1:34">
      <c r="A567" s="5" t="str">
        <f ca="1">IFERROR(__xludf.DUMMYFUNCTION("""COMPUTED_VALUE"""),"LINEA DE PRODUCCION DE BOTELLONES DE 20")</f>
        <v>LINEA DE PRODUCCION DE BOTELLONES DE 20</v>
      </c>
      <c r="B567" s="5">
        <f ca="1">IFERROR(__xludf.DUMMYFUNCTION("""COMPUTED_VALUE"""),719606)</f>
        <v>719606</v>
      </c>
      <c r="C567" s="5" t="str">
        <f ca="1">IFERROR(__xludf.DUMMYFUNCTION("""COMPUTED_VALUE"""),"GENERADOR DE OZONO BOTELLON OZOSTARLITE")</f>
        <v>GENERADOR DE OZONO BOTELLON OZOSTARLITE</v>
      </c>
      <c r="D567" s="5">
        <f ca="1">IFERROR(__xludf.DUMMYFUNCTION("""COMPUTED_VALUE"""),13247673)</f>
        <v>13247673</v>
      </c>
      <c r="E567" s="5" t="str">
        <f ca="1">IFERROR(__xludf.DUMMYFUNCTION("""COMPUTED_VALUE"""),"INSPECCION SEMANAL GENERADOR DE OZONO BO")</f>
        <v>INSPECCION SEMANAL GENERADOR DE OZONO BO</v>
      </c>
      <c r="F567" s="5" t="str">
        <f ca="1">IFERROR(__xludf.DUMMYFUNCTION("""COMPUTED_VALUE"""),"REVISAR ESTADO TABLERO ELECTRICO")</f>
        <v>REVISAR ESTADO TABLERO ELECTRICO</v>
      </c>
      <c r="G567" s="5" t="b">
        <f ca="1">IFERROR(__xludf.DUMMYFUNCTION("""COMPUTED_VALUE"""),TRUE)</f>
        <v>1</v>
      </c>
      <c r="H567" s="5"/>
      <c r="I567" s="5"/>
      <c r="J567" s="5"/>
      <c r="K567" s="5"/>
      <c r="L567" s="18">
        <f ca="1">IFERROR(__xludf.DUMMYFUNCTION("""COMPUTED_VALUE"""),45324)</f>
        <v>45324</v>
      </c>
      <c r="M567" s="18">
        <f ca="1">IFERROR(__xludf.DUMMYFUNCTION("""COMPUTED_VALUE"""),45324)</f>
        <v>45324</v>
      </c>
      <c r="N567" s="5" t="str">
        <f ca="1">IFERROR(__xludf.DUMMYFUNCTION("""COMPUTED_VALUE"""),"Christian Camilo Ramirez Rendón")</f>
        <v>Christian Camilo Ramirez Rendón</v>
      </c>
      <c r="O567" s="2">
        <f ca="1">IFERROR(__xludf.DUMMYFUNCTION("""COMPUTED_VALUE"""),0.02)</f>
        <v>0.02</v>
      </c>
      <c r="P567" s="5"/>
      <c r="Q567" s="5" t="str">
        <f ca="1">IFERROR(__xludf.DUMMYFUNCTION("""COMPUTED_VALUE"""),"yQaspr7zP9E")</f>
        <v>yQaspr7zP9E</v>
      </c>
      <c r="R567" s="5">
        <f ca="1">IFERROR(__xludf.DUMMYFUNCTION("""COMPUTED_VALUE"""),410)</f>
        <v>410</v>
      </c>
      <c r="S567" s="62">
        <f ca="1">IFERROR(__xludf.DUMMYFUNCTION("""COMPUTED_VALUE"""),0.02)</f>
        <v>0.02</v>
      </c>
      <c r="T567" s="63" t="str">
        <f ca="1">IFERROR(__xludf.DUMMYFUNCTION("""COMPUTED_VALUE"""),"https://storage.googleapis.com/glide-prod.appspot.com/uploads-v2/ly7o78grxPaC6KdgvbpS/pub/3aRdSog0vUtuqPE8AJKD.png")</f>
        <v>https://storage.googleapis.com/glide-prod.appspot.com/uploads-v2/ly7o78grxPaC6KdgvbpS/pub/3aRdSog0vUtuqPE8AJKD.png</v>
      </c>
      <c r="U567" s="5" t="str">
        <f ca="1">IFERROR(__xludf.DUMMYFUNCTION("""COMPUTED_VALUE"""),"LINEA DE PRODUCCION DE BOTELLONES DE 20GENERADOR DE OZONO BOTELLON OZOSTARLITE")</f>
        <v>LINEA DE PRODUCCION DE BOTELLONES DE 20GENERADOR DE OZONO BOTELLON OZOSTARLITE</v>
      </c>
      <c r="V567" s="5"/>
      <c r="W567" s="5" t="b">
        <f ca="1">IFERROR(__xludf.DUMMYFUNCTION("""COMPUTED_VALUE"""),TRUE)</f>
        <v>1</v>
      </c>
      <c r="X567" s="5" t="str">
        <f ca="1">IFERROR(__xludf.DUMMYFUNCTION("""COMPUTED_VALUE"""),"achavezi@postobon.com.co,aprmttoyu@postobon.com.co,aprmyu@postobon.com.co,wmora@postobon.com.co,efzapata@postobon.com.co")</f>
        <v>achavezi@postobon.com.co,aprmttoyu@postobon.com.co,aprmyu@postobon.com.co,wmora@postobon.com.co,efzapata@postobon.com.co</v>
      </c>
      <c r="Y567" s="5" t="str">
        <f ca="1">IFERROR(__xludf.DUMMYFUNCTION("""COMPUTED_VALUE"""),"achavezi@postobon.com.co")</f>
        <v>achavezi@postobon.com.co</v>
      </c>
      <c r="Z567" s="5" t="str">
        <f ca="1">IFERROR(__xludf.DUMMYFUNCTION("""COMPUTED_VALUE"""),"BP.JfPFvTd--.bNtJUiXHQ")</f>
        <v>BP.JfPFvTd--.bNtJUiXHQ</v>
      </c>
      <c r="AA567" s="5"/>
      <c r="AB567" s="5"/>
      <c r="AC567" s="5"/>
      <c r="AD567" s="5">
        <f ca="1">IFERROR(__xludf.DUMMYFUNCTION("""COMPUTED_VALUE"""),67)</f>
        <v>67</v>
      </c>
      <c r="AE567" s="5">
        <f ca="1">IFERROR(__xludf.DUMMYFUNCTION("""COMPUTED_VALUE"""),67)</f>
        <v>67</v>
      </c>
      <c r="AF567" s="5" t="b">
        <f ca="1">IFERROR(__xludf.DUMMYFUNCTION("""COMPUTED_VALUE"""),FALSE)</f>
        <v>0</v>
      </c>
      <c r="AG567" s="5" t="str">
        <f ca="1">IFERROR(__xludf.DUMMYFUNCTION("""COMPUTED_VALUE"""),"INSPECCIONES REALIZADAS")</f>
        <v>INSPECCIONES REALIZADAS</v>
      </c>
      <c r="AH567" s="5"/>
    </row>
    <row r="568" spans="1:34">
      <c r="A568" s="5" t="str">
        <f ca="1">IFERROR(__xludf.DUMMYFUNCTION("""COMPUTED_VALUE"""),"LINEA DE PRODUCCION DE BOTELLONES DE 20")</f>
        <v>LINEA DE PRODUCCION DE BOTELLONES DE 20</v>
      </c>
      <c r="B568" s="5">
        <f ca="1">IFERROR(__xludf.DUMMYFUNCTION("""COMPUTED_VALUE"""),71960602)</f>
        <v>71960602</v>
      </c>
      <c r="C568" s="5" t="str">
        <f ca="1">IFERROR(__xludf.DUMMYFUNCTION("""COMPUTED_VALUE"""),"HIPEROZONIZADOR")</f>
        <v>HIPEROZONIZADOR</v>
      </c>
      <c r="D568" s="5">
        <f ca="1">IFERROR(__xludf.DUMMYFUNCTION("""COMPUTED_VALUE"""),13247677)</f>
        <v>13247677</v>
      </c>
      <c r="E568" s="5" t="str">
        <f ca="1">IFERROR(__xludf.DUMMYFUNCTION("""COMPUTED_VALUE"""),"INSPECCION SEMANAL HIPEROZONIZADOR")</f>
        <v>INSPECCION SEMANAL HIPEROZONIZADOR</v>
      </c>
      <c r="F568" s="5" t="str">
        <f ca="1">IFERROR(__xludf.DUMMYFUNCTION("""COMPUTED_VALUE"""),"MTTO ELEC-ME HIPEROZON BOTELLON 71960602")</f>
        <v>MTTO ELEC-ME HIPEROZON BOTELLON 71960602</v>
      </c>
      <c r="G568" s="5" t="b">
        <f ca="1">IFERROR(__xludf.DUMMYFUNCTION("""COMPUTED_VALUE"""),TRUE)</f>
        <v>1</v>
      </c>
      <c r="H568" s="5"/>
      <c r="I568" s="5"/>
      <c r="J568" s="5"/>
      <c r="K568" s="5"/>
      <c r="L568" s="18">
        <f ca="1">IFERROR(__xludf.DUMMYFUNCTION("""COMPUTED_VALUE"""),45324)</f>
        <v>45324</v>
      </c>
      <c r="M568" s="18">
        <f ca="1">IFERROR(__xludf.DUMMYFUNCTION("""COMPUTED_VALUE"""),45324)</f>
        <v>45324</v>
      </c>
      <c r="N568" s="5" t="str">
        <f ca="1">IFERROR(__xludf.DUMMYFUNCTION("""COMPUTED_VALUE"""),"Christian Camilo Ramirez Rendón")</f>
        <v>Christian Camilo Ramirez Rendón</v>
      </c>
      <c r="O568" s="2">
        <f ca="1">IFERROR(__xludf.DUMMYFUNCTION("""COMPUTED_VALUE"""),0.1)</f>
        <v>0.1</v>
      </c>
      <c r="P568" s="5"/>
      <c r="Q568" s="5" t="str">
        <f ca="1">IFERROR(__xludf.DUMMYFUNCTION("""COMPUTED_VALUE"""),"S13tM8kXWD4")</f>
        <v>S13tM8kXWD4</v>
      </c>
      <c r="R568" s="5">
        <f ca="1">IFERROR(__xludf.DUMMYFUNCTION("""COMPUTED_VALUE"""),410)</f>
        <v>410</v>
      </c>
      <c r="S568" s="62">
        <f ca="1">IFERROR(__xludf.DUMMYFUNCTION("""COMPUTED_VALUE"""),0.1)</f>
        <v>0.1</v>
      </c>
      <c r="T568" s="63" t="str">
        <f ca="1">IFERROR(__xludf.DUMMYFUNCTION("""COMPUTED_VALUE"""),"https://storage.googleapis.com/glide-prod.appspot.com/uploads-v2/ly7o78grxPaC6KdgvbpS/pub/3aRdSog0vUtuqPE8AJKD.png")</f>
        <v>https://storage.googleapis.com/glide-prod.appspot.com/uploads-v2/ly7o78grxPaC6KdgvbpS/pub/3aRdSog0vUtuqPE8AJKD.png</v>
      </c>
      <c r="U568" s="5" t="str">
        <f ca="1">IFERROR(__xludf.DUMMYFUNCTION("""COMPUTED_VALUE"""),"LINEA DE PRODUCCION DE BOTELLONES DE 20HIPEROZONIZADOR")</f>
        <v>LINEA DE PRODUCCION DE BOTELLONES DE 20HIPEROZONIZADOR</v>
      </c>
      <c r="V568" s="5"/>
      <c r="W568" s="5" t="b">
        <f ca="1">IFERROR(__xludf.DUMMYFUNCTION("""COMPUTED_VALUE"""),TRUE)</f>
        <v>1</v>
      </c>
      <c r="X568" s="5" t="str">
        <f ca="1">IFERROR(__xludf.DUMMYFUNCTION("""COMPUTED_VALUE"""),"achavezi@postobon.com.co,aprmttoyu@postobon.com.co,aprmyu@postobon.com.co,wmora@postobon.com.co,efzapata@postobon.com.co")</f>
        <v>achavezi@postobon.com.co,aprmttoyu@postobon.com.co,aprmyu@postobon.com.co,wmora@postobon.com.co,efzapata@postobon.com.co</v>
      </c>
      <c r="Y568" s="5" t="str">
        <f ca="1">IFERROR(__xludf.DUMMYFUNCTION("""COMPUTED_VALUE"""),"achavezi@postobon.com.co")</f>
        <v>achavezi@postobon.com.co</v>
      </c>
      <c r="Z568" s="5" t="str">
        <f ca="1">IFERROR(__xludf.DUMMYFUNCTION("""COMPUTED_VALUE"""),"8XLHjyrdQVqokXTHb-0XTg")</f>
        <v>8XLHjyrdQVqokXTHb-0XTg</v>
      </c>
      <c r="AA568" s="5"/>
      <c r="AB568" s="5"/>
      <c r="AC568" s="5"/>
      <c r="AD568" s="5">
        <f ca="1">IFERROR(__xludf.DUMMYFUNCTION("""COMPUTED_VALUE"""),67)</f>
        <v>67</v>
      </c>
      <c r="AE568" s="5">
        <f ca="1">IFERROR(__xludf.DUMMYFUNCTION("""COMPUTED_VALUE"""),67)</f>
        <v>67</v>
      </c>
      <c r="AF568" s="5" t="b">
        <f ca="1">IFERROR(__xludf.DUMMYFUNCTION("""COMPUTED_VALUE"""),FALSE)</f>
        <v>0</v>
      </c>
      <c r="AG568" s="5" t="str">
        <f ca="1">IFERROR(__xludf.DUMMYFUNCTION("""COMPUTED_VALUE"""),"INSPECCIONES REALIZADAS")</f>
        <v>INSPECCIONES REALIZADAS</v>
      </c>
      <c r="AH568" s="5"/>
    </row>
    <row r="569" spans="1:34">
      <c r="A569" s="5" t="str">
        <f ca="1">IFERROR(__xludf.DUMMYFUNCTION("""COMPUTED_VALUE"""),"LINEA DE ENVASADO PET NO RETORNABLE")</f>
        <v>LINEA DE ENVASADO PET NO RETORNABLE</v>
      </c>
      <c r="B569" s="5">
        <f ca="1">IFERROR(__xludf.DUMMYFUNCTION("""COMPUTED_VALUE"""),71031601)</f>
        <v>71031601</v>
      </c>
      <c r="C569" s="5" t="str">
        <f ca="1">IFERROR(__xludf.DUMMYFUNCTION("""COMPUTED_VALUE"""),"HORNO EMBANDEJADORA VARIOPAC")</f>
        <v>HORNO EMBANDEJADORA VARIOPAC</v>
      </c>
      <c r="D569" s="5">
        <f ca="1">IFERROR(__xludf.DUMMYFUNCTION("""COMPUTED_VALUE"""),13247827)</f>
        <v>13247827</v>
      </c>
      <c r="E569" s="5" t="str">
        <f ca="1">IFERROR(__xludf.DUMMYFUNCTION("""COMPUTED_VALUE"""),"INSPECCION SEMANAL HORNO VARIOPAC")</f>
        <v>INSPECCION SEMANAL HORNO VARIOPAC</v>
      </c>
      <c r="F569" s="5" t="str">
        <f ca="1">IFERROR(__xludf.DUMMYFUNCTION("""COMPUTED_VALUE"""),"PLAN MTTO MEC HORNO VARIOPAC 71031601")</f>
        <v>PLAN MTTO MEC HORNO VARIOPAC 71031601</v>
      </c>
      <c r="G569" s="5" t="b">
        <f ca="1">IFERROR(__xludf.DUMMYFUNCTION("""COMPUTED_VALUE"""),TRUE)</f>
        <v>1</v>
      </c>
      <c r="H569" s="5"/>
      <c r="I569" s="5"/>
      <c r="J569" s="5">
        <f ca="1">IFERROR(__xludf.DUMMYFUNCTION("""COMPUTED_VALUE"""),13247827)</f>
        <v>13247827</v>
      </c>
      <c r="K569" s="5"/>
      <c r="L569" s="18">
        <f ca="1">IFERROR(__xludf.DUMMYFUNCTION("""COMPUTED_VALUE"""),45324)</f>
        <v>45324</v>
      </c>
      <c r="M569" s="18">
        <f ca="1">IFERROR(__xludf.DUMMYFUNCTION("""COMPUTED_VALUE"""),45324)</f>
        <v>45324</v>
      </c>
      <c r="N569" s="5" t="str">
        <f ca="1">IFERROR(__xludf.DUMMYFUNCTION("""COMPUTED_VALUE"""),"Leon Narvaez Andres Felipe")</f>
        <v>Leon Narvaez Andres Felipe</v>
      </c>
      <c r="O569" s="2">
        <f ca="1">IFERROR(__xludf.DUMMYFUNCTION("""COMPUTED_VALUE"""),0.1)</f>
        <v>0.1</v>
      </c>
      <c r="P569" s="5">
        <f ca="1">IFERROR(__xludf.DUMMYFUNCTION("""COMPUTED_VALUE"""),20009879)</f>
        <v>20009879</v>
      </c>
      <c r="Q569" s="5" t="str">
        <f ca="1">IFERROR(__xludf.DUMMYFUNCTION("""COMPUTED_VALUE"""),"i_VVucwD9rE")</f>
        <v>i_VVucwD9rE</v>
      </c>
      <c r="R569" s="5">
        <f ca="1">IFERROR(__xludf.DUMMYFUNCTION("""COMPUTED_VALUE"""),410)</f>
        <v>410</v>
      </c>
      <c r="S569" s="62">
        <f ca="1">IFERROR(__xludf.DUMMYFUNCTION("""COMPUTED_VALUE"""),0.1)</f>
        <v>0.1</v>
      </c>
      <c r="T569" s="63" t="str">
        <f ca="1">IFERROR(__xludf.DUMMYFUNCTION("""COMPUTED_VALUE"""),"https://storage.googleapis.com/glide-prod.appspot.com/uploads-v2/ly7o78grxPaC6KdgvbpS/pub/3aRdSog0vUtuqPE8AJKD.png")</f>
        <v>https://storage.googleapis.com/glide-prod.appspot.com/uploads-v2/ly7o78grxPaC6KdgvbpS/pub/3aRdSog0vUtuqPE8AJKD.png</v>
      </c>
      <c r="U569" s="5" t="str">
        <f ca="1">IFERROR(__xludf.DUMMYFUNCTION("""COMPUTED_VALUE"""),"LINEA DE ENVASADO PET NO RETORNABLEHORNO EMBANDEJADORA VARIOPAC")</f>
        <v>LINEA DE ENVASADO PET NO RETORNABLEHORNO EMBANDEJADORA VARIOPAC</v>
      </c>
      <c r="V569" s="5"/>
      <c r="W569" s="5" t="b">
        <f ca="1">IFERROR(__xludf.DUMMYFUNCTION("""COMPUTED_VALUE"""),TRUE)</f>
        <v>1</v>
      </c>
      <c r="X569" s="5" t="str">
        <f ca="1">IFERROR(__xludf.DUMMYFUNCTION("""COMPUTED_VALUE"""),"wguerra@postobon.com.co,aprmttoyu@postobon.com.co,aprmyu@postobon.com.co,wmora@postobon.com.co,efzapata@postobon.com.co")</f>
        <v>wguerra@postobon.com.co,aprmttoyu@postobon.com.co,aprmyu@postobon.com.co,wmora@postobon.com.co,efzapata@postobon.com.co</v>
      </c>
      <c r="Y569" s="5" t="str">
        <f ca="1">IFERROR(__xludf.DUMMYFUNCTION("""COMPUTED_VALUE"""),"wguerra@postobon.com.co")</f>
        <v>wguerra@postobon.com.co</v>
      </c>
      <c r="Z569" s="5" t="str">
        <f ca="1">IFERROR(__xludf.DUMMYFUNCTION("""COMPUTED_VALUE"""),"pSsVFMenRf6aDovV.9bazQ")</f>
        <v>pSsVFMenRf6aDovV.9bazQ</v>
      </c>
      <c r="AA569" s="5"/>
      <c r="AB569" s="5"/>
      <c r="AC569" s="5"/>
      <c r="AD569" s="5">
        <f ca="1">IFERROR(__xludf.DUMMYFUNCTION("""COMPUTED_VALUE"""),25)</f>
        <v>25</v>
      </c>
      <c r="AE569" s="5">
        <f ca="1">IFERROR(__xludf.DUMMYFUNCTION("""COMPUTED_VALUE"""),25)</f>
        <v>25</v>
      </c>
      <c r="AF569" s="5" t="b">
        <f ca="1">IFERROR(__xludf.DUMMYFUNCTION("""COMPUTED_VALUE"""),FALSE)</f>
        <v>0</v>
      </c>
      <c r="AG569" s="5" t="str">
        <f ca="1">IFERROR(__xludf.DUMMYFUNCTION("""COMPUTED_VALUE"""),"INSPECCIONES REALIZADAS")</f>
        <v>INSPECCIONES REALIZADAS</v>
      </c>
      <c r="AH569" s="5"/>
    </row>
    <row r="570" spans="1:34">
      <c r="A570" s="5" t="str">
        <f ca="1">IFERROR(__xludf.DUMMYFUNCTION("""COMPUTED_VALUE"""),"LINEA DE ENVASADO FAMILIAR Y PRB")</f>
        <v>LINEA DE ENVASADO FAMILIAR Y PRB</v>
      </c>
      <c r="B570" s="5">
        <f ca="1">IFERROR(__xludf.DUMMYFUNCTION("""COMPUTED_VALUE"""),599559)</f>
        <v>599559</v>
      </c>
      <c r="C570" s="5" t="str">
        <f ca="1">IFERROR(__xludf.DUMMYFUNCTION("""COMPUTED_VALUE"""),"INSPECTOR ELECTRONICO")</f>
        <v>INSPECTOR ELECTRONICO</v>
      </c>
      <c r="D570" s="5">
        <f ca="1">IFERROR(__xludf.DUMMYFUNCTION("""COMPUTED_VALUE"""),13247274)</f>
        <v>13247274</v>
      </c>
      <c r="E570" s="5" t="str">
        <f ca="1">IFERROR(__xludf.DUMMYFUNCTION("""COMPUTED_VALUE"""),"INSPECCION SEMANAL Inspector 2")</f>
        <v>INSPECCION SEMANAL Inspector 2</v>
      </c>
      <c r="F570" s="5" t="str">
        <f ca="1">IFERROR(__xludf.DUMMYFUNCTION("""COMPUTED_VALUE"""),"Fugas de aire")</f>
        <v>Fugas de aire</v>
      </c>
      <c r="G570" s="5"/>
      <c r="H570" s="5"/>
      <c r="I570" s="5"/>
      <c r="J570" s="5"/>
      <c r="K570" s="5"/>
      <c r="L570" s="18">
        <f ca="1">IFERROR(__xludf.DUMMYFUNCTION("""COMPUTED_VALUE"""),45325)</f>
        <v>45325</v>
      </c>
      <c r="M570" s="18">
        <f ca="1">IFERROR(__xludf.DUMMYFUNCTION("""COMPUTED_VALUE"""),45325)</f>
        <v>45325</v>
      </c>
      <c r="N570" s="5" t="str">
        <f ca="1">IFERROR(__xludf.DUMMYFUNCTION("""COMPUTED_VALUE"""),"Alexander Echeverry Moreno")</f>
        <v>Alexander Echeverry Moreno</v>
      </c>
      <c r="O570" s="2">
        <f ca="1">IFERROR(__xludf.DUMMYFUNCTION("""COMPUTED_VALUE"""),0.005)</f>
        <v>5.0000000000000001E-3</v>
      </c>
      <c r="P570" s="5"/>
      <c r="Q570" s="5" t="str">
        <f ca="1">IFERROR(__xludf.DUMMYFUNCTION("""COMPUTED_VALUE"""),"NuMpSUdjnrY")</f>
        <v>NuMpSUdjnrY</v>
      </c>
      <c r="R570" s="5">
        <f ca="1">IFERROR(__xludf.DUMMYFUNCTION("""COMPUTED_VALUE"""),410)</f>
        <v>410</v>
      </c>
      <c r="S570" s="62">
        <f ca="1">IFERROR(__xludf.DUMMYFUNCTION("""COMPUTED_VALUE"""),0.005)</f>
        <v>5.0000000000000001E-3</v>
      </c>
      <c r="T570" s="63" t="str">
        <f ca="1">IFERROR(__xludf.DUMMYFUNCTION("""COMPUTED_VALUE"""),"https://storage.googleapis.com/glide-prod.appspot.com/uploads-v2/ly7o78grxPaC6KdgvbpS/pub/UliJWgpEaBovaFmXi6OW.png")</f>
        <v>https://storage.googleapis.com/glide-prod.appspot.com/uploads-v2/ly7o78grxPaC6KdgvbpS/pub/UliJWgpEaBovaFmXi6OW.png</v>
      </c>
      <c r="U570" s="5" t="str">
        <f ca="1">IFERROR(__xludf.DUMMYFUNCTION("""COMPUTED_VALUE"""),"LINEA DE ENVASADO FAMILIAR Y PRBINSPECTOR ELECTRONICO")</f>
        <v>LINEA DE ENVASADO FAMILIAR Y PRBINSPECTOR ELECTRONICO</v>
      </c>
      <c r="V570" s="5"/>
      <c r="W570" s="5"/>
      <c r="X570" s="5" t="str">
        <f ca="1">IFERROR(__xludf.DUMMYFUNCTION("""COMPUTED_VALUE"""),"wguerra@postobon.com.co,aprmttoyu@postobon.com.co,aprmyu@postobon.com.co,wmora@postobon.com.co,efzapata@postobon.com.co")</f>
        <v>wguerra@postobon.com.co,aprmttoyu@postobon.com.co,aprmyu@postobon.com.co,wmora@postobon.com.co,efzapata@postobon.com.co</v>
      </c>
      <c r="Y570" s="5" t="str">
        <f ca="1">IFERROR(__xludf.DUMMYFUNCTION("""COMPUTED_VALUE"""),"wguerra@postobon.com.co")</f>
        <v>wguerra@postobon.com.co</v>
      </c>
      <c r="Z570" s="5" t="str">
        <f ca="1">IFERROR(__xludf.DUMMYFUNCTION("""COMPUTED_VALUE"""),"zE4VYIGQSV2QtzukeJ90Pg")</f>
        <v>zE4VYIGQSV2QtzukeJ90Pg</v>
      </c>
      <c r="AA570" s="5"/>
      <c r="AB570" s="5"/>
      <c r="AC570" s="5"/>
      <c r="AD570" s="5">
        <f ca="1">IFERROR(__xludf.DUMMYFUNCTION("""COMPUTED_VALUE"""),38)</f>
        <v>38</v>
      </c>
      <c r="AE570" s="5">
        <f ca="1">IFERROR(__xludf.DUMMYFUNCTION("""COMPUTED_VALUE"""),0)</f>
        <v>0</v>
      </c>
      <c r="AF570" s="5" t="b">
        <f ca="1">IFERROR(__xludf.DUMMYFUNCTION("""COMPUTED_VALUE"""),TRUE)</f>
        <v>1</v>
      </c>
      <c r="AG570" s="5" t="str">
        <f ca="1">IFERROR(__xludf.DUMMYFUNCTION("""COMPUTED_VALUE"""),"INSPECCIONES SIN REALIZAR")</f>
        <v>INSPECCIONES SIN REALIZAR</v>
      </c>
      <c r="AH570" s="5"/>
    </row>
    <row r="571" spans="1:34">
      <c r="A571" s="5" t="str">
        <f ca="1">IFERROR(__xludf.DUMMYFUNCTION("""COMPUTED_VALUE"""),"LINEA DE ENVASADO FAMILIAR Y PRB")</f>
        <v>LINEA DE ENVASADO FAMILIAR Y PRB</v>
      </c>
      <c r="B571" s="5">
        <f ca="1">IFERROR(__xludf.DUMMYFUNCTION("""COMPUTED_VALUE"""),599559)</f>
        <v>599559</v>
      </c>
      <c r="C571" s="5" t="str">
        <f ca="1">IFERROR(__xludf.DUMMYFUNCTION("""COMPUTED_VALUE"""),"INSPECTOR ELECTRONICO")</f>
        <v>INSPECTOR ELECTRONICO</v>
      </c>
      <c r="D571" s="5">
        <f ca="1">IFERROR(__xludf.DUMMYFUNCTION("""COMPUTED_VALUE"""),13247274)</f>
        <v>13247274</v>
      </c>
      <c r="E571" s="5" t="str">
        <f ca="1">IFERROR(__xludf.DUMMYFUNCTION("""COMPUTED_VALUE"""),"INSPECCION SEMANAL Inspector 2")</f>
        <v>INSPECCION SEMANAL Inspector 2</v>
      </c>
      <c r="F571" s="5" t="str">
        <f ca="1">IFERROR(__xludf.DUMMYFUNCTION("""COMPUTED_VALUE"""),"Estado de correas y guías de manejo de botella")</f>
        <v>Estado de correas y guías de manejo de botella</v>
      </c>
      <c r="G571" s="5"/>
      <c r="H571" s="5"/>
      <c r="I571" s="5"/>
      <c r="J571" s="5"/>
      <c r="K571" s="5"/>
      <c r="L571" s="18">
        <f ca="1">IFERROR(__xludf.DUMMYFUNCTION("""COMPUTED_VALUE"""),45325)</f>
        <v>45325</v>
      </c>
      <c r="M571" s="18">
        <f ca="1">IFERROR(__xludf.DUMMYFUNCTION("""COMPUTED_VALUE"""),45325)</f>
        <v>45325</v>
      </c>
      <c r="N571" s="5" t="str">
        <f ca="1">IFERROR(__xludf.DUMMYFUNCTION("""COMPUTED_VALUE"""),"Alexander Echeverry Moreno")</f>
        <v>Alexander Echeverry Moreno</v>
      </c>
      <c r="O571" s="2">
        <f ca="1">IFERROR(__xludf.DUMMYFUNCTION("""COMPUTED_VALUE"""),0.005)</f>
        <v>5.0000000000000001E-3</v>
      </c>
      <c r="P571" s="5"/>
      <c r="Q571" s="5" t="str">
        <f ca="1">IFERROR(__xludf.DUMMYFUNCTION("""COMPUTED_VALUE"""),"X9Vkz-w0bos")</f>
        <v>X9Vkz-w0bos</v>
      </c>
      <c r="R571" s="5">
        <f ca="1">IFERROR(__xludf.DUMMYFUNCTION("""COMPUTED_VALUE"""),410)</f>
        <v>410</v>
      </c>
      <c r="S571" s="62">
        <f ca="1">IFERROR(__xludf.DUMMYFUNCTION("""COMPUTED_VALUE"""),0.005)</f>
        <v>5.0000000000000001E-3</v>
      </c>
      <c r="T571" s="63" t="str">
        <f ca="1">IFERROR(__xludf.DUMMYFUNCTION("""COMPUTED_VALUE"""),"https://storage.googleapis.com/glide-prod.appspot.com/uploads-v2/ly7o78grxPaC6KdgvbpS/pub/UliJWgpEaBovaFmXi6OW.png")</f>
        <v>https://storage.googleapis.com/glide-prod.appspot.com/uploads-v2/ly7o78grxPaC6KdgvbpS/pub/UliJWgpEaBovaFmXi6OW.png</v>
      </c>
      <c r="U571" s="5" t="str">
        <f ca="1">IFERROR(__xludf.DUMMYFUNCTION("""COMPUTED_VALUE"""),"LINEA DE ENVASADO FAMILIAR Y PRBINSPECTOR ELECTRONICO")</f>
        <v>LINEA DE ENVASADO FAMILIAR Y PRBINSPECTOR ELECTRONICO</v>
      </c>
      <c r="V571" s="5"/>
      <c r="W571" s="5"/>
      <c r="X571" s="5" t="str">
        <f ca="1">IFERROR(__xludf.DUMMYFUNCTION("""COMPUTED_VALUE"""),"wguerra@postobon.com.co,aprmttoyu@postobon.com.co,aprmyu@postobon.com.co,wmora@postobon.com.co,efzapata@postobon.com.co")</f>
        <v>wguerra@postobon.com.co,aprmttoyu@postobon.com.co,aprmyu@postobon.com.co,wmora@postobon.com.co,efzapata@postobon.com.co</v>
      </c>
      <c r="Y571" s="5" t="str">
        <f ca="1">IFERROR(__xludf.DUMMYFUNCTION("""COMPUTED_VALUE"""),"wguerra@postobon.com.co")</f>
        <v>wguerra@postobon.com.co</v>
      </c>
      <c r="Z571" s="5" t="str">
        <f ca="1">IFERROR(__xludf.DUMMYFUNCTION("""COMPUTED_VALUE"""),"I-op5iG6T.uMKU-rbwOPMQ")</f>
        <v>I-op5iG6T.uMKU-rbwOPMQ</v>
      </c>
      <c r="AA571" s="5"/>
      <c r="AB571" s="5"/>
      <c r="AC571" s="5"/>
      <c r="AD571" s="5">
        <f ca="1">IFERROR(__xludf.DUMMYFUNCTION("""COMPUTED_VALUE"""),38)</f>
        <v>38</v>
      </c>
      <c r="AE571" s="5">
        <f ca="1">IFERROR(__xludf.DUMMYFUNCTION("""COMPUTED_VALUE"""),0)</f>
        <v>0</v>
      </c>
      <c r="AF571" s="5" t="b">
        <f ca="1">IFERROR(__xludf.DUMMYFUNCTION("""COMPUTED_VALUE"""),TRUE)</f>
        <v>1</v>
      </c>
      <c r="AG571" s="5" t="str">
        <f ca="1">IFERROR(__xludf.DUMMYFUNCTION("""COMPUTED_VALUE"""),"INSPECCIONES SIN REALIZAR")</f>
        <v>INSPECCIONES SIN REALIZAR</v>
      </c>
      <c r="AH571" s="5"/>
    </row>
    <row r="572" spans="1:34">
      <c r="A572" s="5" t="str">
        <f ca="1">IFERROR(__xludf.DUMMYFUNCTION("""COMPUTED_VALUE"""),"LINEA DE ENVASADO FAMILIAR Y PRB")</f>
        <v>LINEA DE ENVASADO FAMILIAR Y PRB</v>
      </c>
      <c r="B572" s="5">
        <f ca="1">IFERROR(__xludf.DUMMYFUNCTION("""COMPUTED_VALUE"""),599559)</f>
        <v>599559</v>
      </c>
      <c r="C572" s="5" t="str">
        <f ca="1">IFERROR(__xludf.DUMMYFUNCTION("""COMPUTED_VALUE"""),"INSPECTOR ELECTRONICO")</f>
        <v>INSPECTOR ELECTRONICO</v>
      </c>
      <c r="D572" s="5">
        <f ca="1">IFERROR(__xludf.DUMMYFUNCTION("""COMPUTED_VALUE"""),13247274)</f>
        <v>13247274</v>
      </c>
      <c r="E572" s="5" t="str">
        <f ca="1">IFERROR(__xludf.DUMMYFUNCTION("""COMPUTED_VALUE"""),"INSPECCION SEMANAL Inspector 2")</f>
        <v>INSPECCION SEMANAL Inspector 2</v>
      </c>
      <c r="F572" s="5" t="str">
        <f ca="1">IFERROR(__xludf.DUMMYFUNCTION("""COMPUTED_VALUE"""),"Lubricación de piñones")</f>
        <v>Lubricación de piñones</v>
      </c>
      <c r="G572" s="5"/>
      <c r="H572" s="5"/>
      <c r="I572" s="5"/>
      <c r="J572" s="5"/>
      <c r="K572" s="5"/>
      <c r="L572" s="18">
        <f ca="1">IFERROR(__xludf.DUMMYFUNCTION("""COMPUTED_VALUE"""),45325)</f>
        <v>45325</v>
      </c>
      <c r="M572" s="18">
        <f ca="1">IFERROR(__xludf.DUMMYFUNCTION("""COMPUTED_VALUE"""),45325)</f>
        <v>45325</v>
      </c>
      <c r="N572" s="5" t="str">
        <f ca="1">IFERROR(__xludf.DUMMYFUNCTION("""COMPUTED_VALUE"""),"Alexander Echeverry Moreno")</f>
        <v>Alexander Echeverry Moreno</v>
      </c>
      <c r="O572" s="2">
        <f ca="1">IFERROR(__xludf.DUMMYFUNCTION("""COMPUTED_VALUE"""),0.005)</f>
        <v>5.0000000000000001E-3</v>
      </c>
      <c r="P572" s="5"/>
      <c r="Q572" s="5" t="str">
        <f ca="1">IFERROR(__xludf.DUMMYFUNCTION("""COMPUTED_VALUE"""),"WN-piAJLm-s")</f>
        <v>WN-piAJLm-s</v>
      </c>
      <c r="R572" s="5">
        <f ca="1">IFERROR(__xludf.DUMMYFUNCTION("""COMPUTED_VALUE"""),410)</f>
        <v>410</v>
      </c>
      <c r="S572" s="62">
        <f ca="1">IFERROR(__xludf.DUMMYFUNCTION("""COMPUTED_VALUE"""),0.005)</f>
        <v>5.0000000000000001E-3</v>
      </c>
      <c r="T572" s="63" t="str">
        <f ca="1">IFERROR(__xludf.DUMMYFUNCTION("""COMPUTED_VALUE"""),"https://storage.googleapis.com/glide-prod.appspot.com/uploads-v2/ly7o78grxPaC6KdgvbpS/pub/UliJWgpEaBovaFmXi6OW.png")</f>
        <v>https://storage.googleapis.com/glide-prod.appspot.com/uploads-v2/ly7o78grxPaC6KdgvbpS/pub/UliJWgpEaBovaFmXi6OW.png</v>
      </c>
      <c r="U572" s="5" t="str">
        <f ca="1">IFERROR(__xludf.DUMMYFUNCTION("""COMPUTED_VALUE"""),"LINEA DE ENVASADO FAMILIAR Y PRBINSPECTOR ELECTRONICO")</f>
        <v>LINEA DE ENVASADO FAMILIAR Y PRBINSPECTOR ELECTRONICO</v>
      </c>
      <c r="V572" s="5"/>
      <c r="W572" s="5"/>
      <c r="X572" s="5" t="str">
        <f ca="1">IFERROR(__xludf.DUMMYFUNCTION("""COMPUTED_VALUE"""),"wguerra@postobon.com.co,aprmttoyu@postobon.com.co,aprmyu@postobon.com.co,wmora@postobon.com.co,efzapata@postobon.com.co")</f>
        <v>wguerra@postobon.com.co,aprmttoyu@postobon.com.co,aprmyu@postobon.com.co,wmora@postobon.com.co,efzapata@postobon.com.co</v>
      </c>
      <c r="Y572" s="5" t="str">
        <f ca="1">IFERROR(__xludf.DUMMYFUNCTION("""COMPUTED_VALUE"""),"wguerra@postobon.com.co")</f>
        <v>wguerra@postobon.com.co</v>
      </c>
      <c r="Z572" s="5" t="str">
        <f ca="1">IFERROR(__xludf.DUMMYFUNCTION("""COMPUTED_VALUE"""),"rxHaxERoRM6koh64LOrLew")</f>
        <v>rxHaxERoRM6koh64LOrLew</v>
      </c>
      <c r="AA572" s="5"/>
      <c r="AB572" s="5"/>
      <c r="AC572" s="5"/>
      <c r="AD572" s="5">
        <f ca="1">IFERROR(__xludf.DUMMYFUNCTION("""COMPUTED_VALUE"""),38)</f>
        <v>38</v>
      </c>
      <c r="AE572" s="5">
        <f ca="1">IFERROR(__xludf.DUMMYFUNCTION("""COMPUTED_VALUE"""),0)</f>
        <v>0</v>
      </c>
      <c r="AF572" s="5" t="b">
        <f ca="1">IFERROR(__xludf.DUMMYFUNCTION("""COMPUTED_VALUE"""),TRUE)</f>
        <v>1</v>
      </c>
      <c r="AG572" s="5" t="str">
        <f ca="1">IFERROR(__xludf.DUMMYFUNCTION("""COMPUTED_VALUE"""),"INSPECCIONES SIN REALIZAR")</f>
        <v>INSPECCIONES SIN REALIZAR</v>
      </c>
      <c r="AH572" s="5"/>
    </row>
    <row r="573" spans="1:34">
      <c r="A573" s="5" t="str">
        <f ca="1">IFERROR(__xludf.DUMMYFUNCTION("""COMPUTED_VALUE"""),"LINEA DE ENVASADO FAMILIAR Y PRB")</f>
        <v>LINEA DE ENVASADO FAMILIAR Y PRB</v>
      </c>
      <c r="B573" s="5">
        <f ca="1">IFERROR(__xludf.DUMMYFUNCTION("""COMPUTED_VALUE"""),599559)</f>
        <v>599559</v>
      </c>
      <c r="C573" s="5" t="str">
        <f ca="1">IFERROR(__xludf.DUMMYFUNCTION("""COMPUTED_VALUE"""),"INSPECTOR ELECTRONICO")</f>
        <v>INSPECTOR ELECTRONICO</v>
      </c>
      <c r="D573" s="5">
        <f ca="1">IFERROR(__xludf.DUMMYFUNCTION("""COMPUTED_VALUE"""),13247274)</f>
        <v>13247274</v>
      </c>
      <c r="E573" s="5" t="str">
        <f ca="1">IFERROR(__xludf.DUMMYFUNCTION("""COMPUTED_VALUE"""),"INSPECCION SEMANAL Inspector 2")</f>
        <v>INSPECCION SEMANAL Inspector 2</v>
      </c>
      <c r="F573" s="5" t="str">
        <f ca="1">IFERROR(__xludf.DUMMYFUNCTION("""COMPUTED_VALUE"""),"Estado caja de transmisión")</f>
        <v>Estado caja de transmisión</v>
      </c>
      <c r="G573" s="5"/>
      <c r="H573" s="5"/>
      <c r="I573" s="5"/>
      <c r="J573" s="5"/>
      <c r="K573" s="5"/>
      <c r="L573" s="18">
        <f ca="1">IFERROR(__xludf.DUMMYFUNCTION("""COMPUTED_VALUE"""),45325)</f>
        <v>45325</v>
      </c>
      <c r="M573" s="18">
        <f ca="1">IFERROR(__xludf.DUMMYFUNCTION("""COMPUTED_VALUE"""),45325)</f>
        <v>45325</v>
      </c>
      <c r="N573" s="5" t="str">
        <f ca="1">IFERROR(__xludf.DUMMYFUNCTION("""COMPUTED_VALUE"""),"Alexander Echeverry Moreno")</f>
        <v>Alexander Echeverry Moreno</v>
      </c>
      <c r="O573" s="2">
        <f ca="1">IFERROR(__xludf.DUMMYFUNCTION("""COMPUTED_VALUE"""),0.005)</f>
        <v>5.0000000000000001E-3</v>
      </c>
      <c r="P573" s="5"/>
      <c r="Q573" s="5" t="str">
        <f ca="1">IFERROR(__xludf.DUMMYFUNCTION("""COMPUTED_VALUE"""),"KSyPBMUua5I")</f>
        <v>KSyPBMUua5I</v>
      </c>
      <c r="R573" s="5">
        <f ca="1">IFERROR(__xludf.DUMMYFUNCTION("""COMPUTED_VALUE"""),410)</f>
        <v>410</v>
      </c>
      <c r="S573" s="62">
        <f ca="1">IFERROR(__xludf.DUMMYFUNCTION("""COMPUTED_VALUE"""),0.005)</f>
        <v>5.0000000000000001E-3</v>
      </c>
      <c r="T573" s="63" t="str">
        <f ca="1">IFERROR(__xludf.DUMMYFUNCTION("""COMPUTED_VALUE"""),"https://storage.googleapis.com/glide-prod.appspot.com/uploads-v2/ly7o78grxPaC6KdgvbpS/pub/UliJWgpEaBovaFmXi6OW.png")</f>
        <v>https://storage.googleapis.com/glide-prod.appspot.com/uploads-v2/ly7o78grxPaC6KdgvbpS/pub/UliJWgpEaBovaFmXi6OW.png</v>
      </c>
      <c r="U573" s="5" t="str">
        <f ca="1">IFERROR(__xludf.DUMMYFUNCTION("""COMPUTED_VALUE"""),"LINEA DE ENVASADO FAMILIAR Y PRBINSPECTOR ELECTRONICO")</f>
        <v>LINEA DE ENVASADO FAMILIAR Y PRBINSPECTOR ELECTRONICO</v>
      </c>
      <c r="V573" s="5"/>
      <c r="W573" s="5"/>
      <c r="X573" s="5" t="str">
        <f ca="1">IFERROR(__xludf.DUMMYFUNCTION("""COMPUTED_VALUE"""),"wguerra@postobon.com.co,aprmttoyu@postobon.com.co,aprmyu@postobon.com.co,wmora@postobon.com.co,efzapata@postobon.com.co")</f>
        <v>wguerra@postobon.com.co,aprmttoyu@postobon.com.co,aprmyu@postobon.com.co,wmora@postobon.com.co,efzapata@postobon.com.co</v>
      </c>
      <c r="Y573" s="5" t="str">
        <f ca="1">IFERROR(__xludf.DUMMYFUNCTION("""COMPUTED_VALUE"""),"wguerra@postobon.com.co")</f>
        <v>wguerra@postobon.com.co</v>
      </c>
      <c r="Z573" s="5" t="str">
        <f ca="1">IFERROR(__xludf.DUMMYFUNCTION("""COMPUTED_VALUE"""),"9v2prjJTRf-RPcaMulyRpA")</f>
        <v>9v2prjJTRf-RPcaMulyRpA</v>
      </c>
      <c r="AA573" s="5"/>
      <c r="AB573" s="5"/>
      <c r="AC573" s="5"/>
      <c r="AD573" s="5">
        <f ca="1">IFERROR(__xludf.DUMMYFUNCTION("""COMPUTED_VALUE"""),38)</f>
        <v>38</v>
      </c>
      <c r="AE573" s="5">
        <f ca="1">IFERROR(__xludf.DUMMYFUNCTION("""COMPUTED_VALUE"""),0)</f>
        <v>0</v>
      </c>
      <c r="AF573" s="5" t="b">
        <f ca="1">IFERROR(__xludf.DUMMYFUNCTION("""COMPUTED_VALUE"""),TRUE)</f>
        <v>1</v>
      </c>
      <c r="AG573" s="5" t="str">
        <f ca="1">IFERROR(__xludf.DUMMYFUNCTION("""COMPUTED_VALUE"""),"INSPECCIONES SIN REALIZAR")</f>
        <v>INSPECCIONES SIN REALIZAR</v>
      </c>
      <c r="AH573" s="5"/>
    </row>
    <row r="574" spans="1:34">
      <c r="A574" s="5" t="str">
        <f ca="1">IFERROR(__xludf.DUMMYFUNCTION("""COMPUTED_VALUE"""),"LINEA DE ENVASADO FAMILIAR Y PRB")</f>
        <v>LINEA DE ENVASADO FAMILIAR Y PRB</v>
      </c>
      <c r="B574" s="5">
        <f ca="1">IFERROR(__xludf.DUMMYFUNCTION("""COMPUTED_VALUE"""),599559)</f>
        <v>599559</v>
      </c>
      <c r="C574" s="5" t="str">
        <f ca="1">IFERROR(__xludf.DUMMYFUNCTION("""COMPUTED_VALUE"""),"INSPECTOR ELECTRONICO")</f>
        <v>INSPECTOR ELECTRONICO</v>
      </c>
      <c r="D574" s="5">
        <f ca="1">IFERROR(__xludf.DUMMYFUNCTION("""COMPUTED_VALUE"""),13247274)</f>
        <v>13247274</v>
      </c>
      <c r="E574" s="5" t="str">
        <f ca="1">IFERROR(__xludf.DUMMYFUNCTION("""COMPUTED_VALUE"""),"INSPECCION SEMANAL Inspector 2")</f>
        <v>INSPECCION SEMANAL Inspector 2</v>
      </c>
      <c r="F574" s="5" t="str">
        <f ca="1">IFERROR(__xludf.DUMMYFUNCTION("""COMPUTED_VALUE"""),"Estado de correas de transmisión y poleas")</f>
        <v>Estado de correas de transmisión y poleas</v>
      </c>
      <c r="G574" s="5"/>
      <c r="H574" s="5"/>
      <c r="I574" s="5"/>
      <c r="J574" s="5"/>
      <c r="K574" s="5"/>
      <c r="L574" s="18">
        <f ca="1">IFERROR(__xludf.DUMMYFUNCTION("""COMPUTED_VALUE"""),45325)</f>
        <v>45325</v>
      </c>
      <c r="M574" s="18">
        <f ca="1">IFERROR(__xludf.DUMMYFUNCTION("""COMPUTED_VALUE"""),45325)</f>
        <v>45325</v>
      </c>
      <c r="N574" s="5" t="str">
        <f ca="1">IFERROR(__xludf.DUMMYFUNCTION("""COMPUTED_VALUE"""),"Alexander Echeverry Moreno")</f>
        <v>Alexander Echeverry Moreno</v>
      </c>
      <c r="O574" s="2">
        <f ca="1">IFERROR(__xludf.DUMMYFUNCTION("""COMPUTED_VALUE"""),0.005)</f>
        <v>5.0000000000000001E-3</v>
      </c>
      <c r="P574" s="5"/>
      <c r="Q574" s="5" t="str">
        <f ca="1">IFERROR(__xludf.DUMMYFUNCTION("""COMPUTED_VALUE"""),"77UsdgYsLU0")</f>
        <v>77UsdgYsLU0</v>
      </c>
      <c r="R574" s="5">
        <f ca="1">IFERROR(__xludf.DUMMYFUNCTION("""COMPUTED_VALUE"""),410)</f>
        <v>410</v>
      </c>
      <c r="S574" s="62">
        <f ca="1">IFERROR(__xludf.DUMMYFUNCTION("""COMPUTED_VALUE"""),0.005)</f>
        <v>5.0000000000000001E-3</v>
      </c>
      <c r="T574" s="63" t="str">
        <f ca="1">IFERROR(__xludf.DUMMYFUNCTION("""COMPUTED_VALUE"""),"https://storage.googleapis.com/glide-prod.appspot.com/uploads-v2/ly7o78grxPaC6KdgvbpS/pub/UliJWgpEaBovaFmXi6OW.png")</f>
        <v>https://storage.googleapis.com/glide-prod.appspot.com/uploads-v2/ly7o78grxPaC6KdgvbpS/pub/UliJWgpEaBovaFmXi6OW.png</v>
      </c>
      <c r="U574" s="5" t="str">
        <f ca="1">IFERROR(__xludf.DUMMYFUNCTION("""COMPUTED_VALUE"""),"LINEA DE ENVASADO FAMILIAR Y PRBINSPECTOR ELECTRONICO")</f>
        <v>LINEA DE ENVASADO FAMILIAR Y PRBINSPECTOR ELECTRONICO</v>
      </c>
      <c r="V574" s="5"/>
      <c r="W574" s="5"/>
      <c r="X574" s="5" t="str">
        <f ca="1">IFERROR(__xludf.DUMMYFUNCTION("""COMPUTED_VALUE"""),"wguerra@postobon.com.co,aprmttoyu@postobon.com.co,aprmyu@postobon.com.co,wmora@postobon.com.co,efzapata@postobon.com.co")</f>
        <v>wguerra@postobon.com.co,aprmttoyu@postobon.com.co,aprmyu@postobon.com.co,wmora@postobon.com.co,efzapata@postobon.com.co</v>
      </c>
      <c r="Y574" s="5" t="str">
        <f ca="1">IFERROR(__xludf.DUMMYFUNCTION("""COMPUTED_VALUE"""),"wguerra@postobon.com.co")</f>
        <v>wguerra@postobon.com.co</v>
      </c>
      <c r="Z574" s="5" t="str">
        <f ca="1">IFERROR(__xludf.DUMMYFUNCTION("""COMPUTED_VALUE"""),"NLHmsVrQTxWHRp8BAQt44Q")</f>
        <v>NLHmsVrQTxWHRp8BAQt44Q</v>
      </c>
      <c r="AA574" s="5"/>
      <c r="AB574" s="5"/>
      <c r="AC574" s="5"/>
      <c r="AD574" s="5">
        <f ca="1">IFERROR(__xludf.DUMMYFUNCTION("""COMPUTED_VALUE"""),38)</f>
        <v>38</v>
      </c>
      <c r="AE574" s="5">
        <f ca="1">IFERROR(__xludf.DUMMYFUNCTION("""COMPUTED_VALUE"""),0)</f>
        <v>0</v>
      </c>
      <c r="AF574" s="5" t="b">
        <f ca="1">IFERROR(__xludf.DUMMYFUNCTION("""COMPUTED_VALUE"""),TRUE)</f>
        <v>1</v>
      </c>
      <c r="AG574" s="5" t="str">
        <f ca="1">IFERROR(__xludf.DUMMYFUNCTION("""COMPUTED_VALUE"""),"INSPECCIONES SIN REALIZAR")</f>
        <v>INSPECCIONES SIN REALIZAR</v>
      </c>
      <c r="AH574" s="5"/>
    </row>
    <row r="575" spans="1:34">
      <c r="A575" s="5" t="str">
        <f ca="1">IFERROR(__xludf.DUMMYFUNCTION("""COMPUTED_VALUE"""),"LINEA DE ENVASADO FAMILIAR Y PRB")</f>
        <v>LINEA DE ENVASADO FAMILIAR Y PRB</v>
      </c>
      <c r="B575" s="5">
        <f ca="1">IFERROR(__xludf.DUMMYFUNCTION("""COMPUTED_VALUE"""),599559)</f>
        <v>599559</v>
      </c>
      <c r="C575" s="5" t="str">
        <f ca="1">IFERROR(__xludf.DUMMYFUNCTION("""COMPUTED_VALUE"""),"INSPECTOR ELECTRONICO")</f>
        <v>INSPECTOR ELECTRONICO</v>
      </c>
      <c r="D575" s="5">
        <f ca="1">IFERROR(__xludf.DUMMYFUNCTION("""COMPUTED_VALUE"""),13247274)</f>
        <v>13247274</v>
      </c>
      <c r="E575" s="5" t="str">
        <f ca="1">IFERROR(__xludf.DUMMYFUNCTION("""COMPUTED_VALUE"""),"INSPECCION SEMANAL Inspector 2")</f>
        <v>INSPECCION SEMANAL Inspector 2</v>
      </c>
      <c r="F575" s="5" t="str">
        <f ca="1">IFERROR(__xludf.DUMMYFUNCTION("""COMPUTED_VALUE"""),"Estado sistema de altura de caja")</f>
        <v>Estado sistema de altura de caja</v>
      </c>
      <c r="G575" s="5"/>
      <c r="H575" s="5"/>
      <c r="I575" s="5"/>
      <c r="J575" s="5"/>
      <c r="K575" s="5"/>
      <c r="L575" s="18">
        <f ca="1">IFERROR(__xludf.DUMMYFUNCTION("""COMPUTED_VALUE"""),45325)</f>
        <v>45325</v>
      </c>
      <c r="M575" s="18">
        <f ca="1">IFERROR(__xludf.DUMMYFUNCTION("""COMPUTED_VALUE"""),45325)</f>
        <v>45325</v>
      </c>
      <c r="N575" s="5" t="str">
        <f ca="1">IFERROR(__xludf.DUMMYFUNCTION("""COMPUTED_VALUE"""),"Alexander Echeverry Moreno")</f>
        <v>Alexander Echeverry Moreno</v>
      </c>
      <c r="O575" s="2">
        <f ca="1">IFERROR(__xludf.DUMMYFUNCTION("""COMPUTED_VALUE"""),0.005)</f>
        <v>5.0000000000000001E-3</v>
      </c>
      <c r="P575" s="5"/>
      <c r="Q575" s="5" t="str">
        <f ca="1">IFERROR(__xludf.DUMMYFUNCTION("""COMPUTED_VALUE"""),"1p4EdtJjIJ8")</f>
        <v>1p4EdtJjIJ8</v>
      </c>
      <c r="R575" s="5">
        <f ca="1">IFERROR(__xludf.DUMMYFUNCTION("""COMPUTED_VALUE"""),410)</f>
        <v>410</v>
      </c>
      <c r="S575" s="62">
        <f ca="1">IFERROR(__xludf.DUMMYFUNCTION("""COMPUTED_VALUE"""),0.005)</f>
        <v>5.0000000000000001E-3</v>
      </c>
      <c r="T575" s="63" t="str">
        <f ca="1">IFERROR(__xludf.DUMMYFUNCTION("""COMPUTED_VALUE"""),"https://storage.googleapis.com/glide-prod.appspot.com/uploads-v2/ly7o78grxPaC6KdgvbpS/pub/UliJWgpEaBovaFmXi6OW.png")</f>
        <v>https://storage.googleapis.com/glide-prod.appspot.com/uploads-v2/ly7o78grxPaC6KdgvbpS/pub/UliJWgpEaBovaFmXi6OW.png</v>
      </c>
      <c r="U575" s="5" t="str">
        <f ca="1">IFERROR(__xludf.DUMMYFUNCTION("""COMPUTED_VALUE"""),"LINEA DE ENVASADO FAMILIAR Y PRBINSPECTOR ELECTRONICO")</f>
        <v>LINEA DE ENVASADO FAMILIAR Y PRBINSPECTOR ELECTRONICO</v>
      </c>
      <c r="V575" s="5"/>
      <c r="W575" s="5"/>
      <c r="X575" s="5" t="str">
        <f ca="1">IFERROR(__xludf.DUMMYFUNCTION("""COMPUTED_VALUE"""),"wguerra@postobon.com.co,aprmttoyu@postobon.com.co,aprmyu@postobon.com.co,wmora@postobon.com.co,efzapata@postobon.com.co")</f>
        <v>wguerra@postobon.com.co,aprmttoyu@postobon.com.co,aprmyu@postobon.com.co,wmora@postobon.com.co,efzapata@postobon.com.co</v>
      </c>
      <c r="Y575" s="5" t="str">
        <f ca="1">IFERROR(__xludf.DUMMYFUNCTION("""COMPUTED_VALUE"""),"wguerra@postobon.com.co")</f>
        <v>wguerra@postobon.com.co</v>
      </c>
      <c r="Z575" s="5" t="str">
        <f ca="1">IFERROR(__xludf.DUMMYFUNCTION("""COMPUTED_VALUE"""),"igVQrEabQ3K9bFZDYvWhqg")</f>
        <v>igVQrEabQ3K9bFZDYvWhqg</v>
      </c>
      <c r="AA575" s="5"/>
      <c r="AB575" s="5"/>
      <c r="AC575" s="5"/>
      <c r="AD575" s="5">
        <f ca="1">IFERROR(__xludf.DUMMYFUNCTION("""COMPUTED_VALUE"""),38)</f>
        <v>38</v>
      </c>
      <c r="AE575" s="5">
        <f ca="1">IFERROR(__xludf.DUMMYFUNCTION("""COMPUTED_VALUE"""),0)</f>
        <v>0</v>
      </c>
      <c r="AF575" s="5" t="b">
        <f ca="1">IFERROR(__xludf.DUMMYFUNCTION("""COMPUTED_VALUE"""),TRUE)</f>
        <v>1</v>
      </c>
      <c r="AG575" s="5" t="str">
        <f ca="1">IFERROR(__xludf.DUMMYFUNCTION("""COMPUTED_VALUE"""),"INSPECCIONES SIN REALIZAR")</f>
        <v>INSPECCIONES SIN REALIZAR</v>
      </c>
      <c r="AH575" s="5"/>
    </row>
    <row r="576" spans="1:34">
      <c r="A576" s="5" t="str">
        <f ca="1">IFERROR(__xludf.DUMMYFUNCTION("""COMPUTED_VALUE"""),"LINEA DE ENVASADO FAMILIAR Y PRB")</f>
        <v>LINEA DE ENVASADO FAMILIAR Y PRB</v>
      </c>
      <c r="B576" s="5">
        <f ca="1">IFERROR(__xludf.DUMMYFUNCTION("""COMPUTED_VALUE"""),599559)</f>
        <v>599559</v>
      </c>
      <c r="C576" s="5" t="str">
        <f ca="1">IFERROR(__xludf.DUMMYFUNCTION("""COMPUTED_VALUE"""),"INSPECTOR ELECTRONICO")</f>
        <v>INSPECTOR ELECTRONICO</v>
      </c>
      <c r="D576" s="5">
        <f ca="1">IFERROR(__xludf.DUMMYFUNCTION("""COMPUTED_VALUE"""),13247274)</f>
        <v>13247274</v>
      </c>
      <c r="E576" s="5" t="str">
        <f ca="1">IFERROR(__xludf.DUMMYFUNCTION("""COMPUTED_VALUE"""),"INSPECCION SEMANAL Inspector 2")</f>
        <v>INSPECCION SEMANAL Inspector 2</v>
      </c>
      <c r="F576" s="5" t="str">
        <f ca="1">IFERROR(__xludf.DUMMYFUNCTION("""COMPUTED_VALUE"""),"Estado de sensores")</f>
        <v>Estado de sensores</v>
      </c>
      <c r="G576" s="5"/>
      <c r="H576" s="5"/>
      <c r="I576" s="5"/>
      <c r="J576" s="5"/>
      <c r="K576" s="5"/>
      <c r="L576" s="18">
        <f ca="1">IFERROR(__xludf.DUMMYFUNCTION("""COMPUTED_VALUE"""),45325)</f>
        <v>45325</v>
      </c>
      <c r="M576" s="18">
        <f ca="1">IFERROR(__xludf.DUMMYFUNCTION("""COMPUTED_VALUE"""),45325)</f>
        <v>45325</v>
      </c>
      <c r="N576" s="5" t="str">
        <f ca="1">IFERROR(__xludf.DUMMYFUNCTION("""COMPUTED_VALUE"""),"Alexander Echeverry Moreno")</f>
        <v>Alexander Echeverry Moreno</v>
      </c>
      <c r="O576" s="2">
        <f ca="1">IFERROR(__xludf.DUMMYFUNCTION("""COMPUTED_VALUE"""),0.005)</f>
        <v>5.0000000000000001E-3</v>
      </c>
      <c r="P576" s="5"/>
      <c r="Q576" s="5" t="str">
        <f ca="1">IFERROR(__xludf.DUMMYFUNCTION("""COMPUTED_VALUE"""),"1dAAqKNudOY")</f>
        <v>1dAAqKNudOY</v>
      </c>
      <c r="R576" s="5">
        <f ca="1">IFERROR(__xludf.DUMMYFUNCTION("""COMPUTED_VALUE"""),410)</f>
        <v>410</v>
      </c>
      <c r="S576" s="62">
        <f ca="1">IFERROR(__xludf.DUMMYFUNCTION("""COMPUTED_VALUE"""),0.005)</f>
        <v>5.0000000000000001E-3</v>
      </c>
      <c r="T576" s="63" t="str">
        <f ca="1">IFERROR(__xludf.DUMMYFUNCTION("""COMPUTED_VALUE"""),"https://storage.googleapis.com/glide-prod.appspot.com/uploads-v2/ly7o78grxPaC6KdgvbpS/pub/UliJWgpEaBovaFmXi6OW.png")</f>
        <v>https://storage.googleapis.com/glide-prod.appspot.com/uploads-v2/ly7o78grxPaC6KdgvbpS/pub/UliJWgpEaBovaFmXi6OW.png</v>
      </c>
      <c r="U576" s="5" t="str">
        <f ca="1">IFERROR(__xludf.DUMMYFUNCTION("""COMPUTED_VALUE"""),"LINEA DE ENVASADO FAMILIAR Y PRBINSPECTOR ELECTRONICO")</f>
        <v>LINEA DE ENVASADO FAMILIAR Y PRBINSPECTOR ELECTRONICO</v>
      </c>
      <c r="V576" s="5"/>
      <c r="W576" s="5"/>
      <c r="X576" s="5" t="str">
        <f ca="1">IFERROR(__xludf.DUMMYFUNCTION("""COMPUTED_VALUE"""),"wguerra@postobon.com.co,aprmttoyu@postobon.com.co,aprmyu@postobon.com.co,wmora@postobon.com.co,efzapata@postobon.com.co")</f>
        <v>wguerra@postobon.com.co,aprmttoyu@postobon.com.co,aprmyu@postobon.com.co,wmora@postobon.com.co,efzapata@postobon.com.co</v>
      </c>
      <c r="Y576" s="5" t="str">
        <f ca="1">IFERROR(__xludf.DUMMYFUNCTION("""COMPUTED_VALUE"""),"wguerra@postobon.com.co")</f>
        <v>wguerra@postobon.com.co</v>
      </c>
      <c r="Z576" s="5" t="str">
        <f ca="1">IFERROR(__xludf.DUMMYFUNCTION("""COMPUTED_VALUE"""),"EBCt9FATSKa8hgmDVDomEg")</f>
        <v>EBCt9FATSKa8hgmDVDomEg</v>
      </c>
      <c r="AA576" s="5"/>
      <c r="AB576" s="5"/>
      <c r="AC576" s="5"/>
      <c r="AD576" s="5">
        <f ca="1">IFERROR(__xludf.DUMMYFUNCTION("""COMPUTED_VALUE"""),38)</f>
        <v>38</v>
      </c>
      <c r="AE576" s="5">
        <f ca="1">IFERROR(__xludf.DUMMYFUNCTION("""COMPUTED_VALUE"""),0)</f>
        <v>0</v>
      </c>
      <c r="AF576" s="5" t="b">
        <f ca="1">IFERROR(__xludf.DUMMYFUNCTION("""COMPUTED_VALUE"""),TRUE)</f>
        <v>1</v>
      </c>
      <c r="AG576" s="5" t="str">
        <f ca="1">IFERROR(__xludf.DUMMYFUNCTION("""COMPUTED_VALUE"""),"INSPECCIONES SIN REALIZAR")</f>
        <v>INSPECCIONES SIN REALIZAR</v>
      </c>
      <c r="AH576" s="5"/>
    </row>
    <row r="577" spans="1:34">
      <c r="A577" s="5" t="str">
        <f ca="1">IFERROR(__xludf.DUMMYFUNCTION("""COMPUTED_VALUE"""),"LINEA DE ENVASADO FAMILIAR Y PRB")</f>
        <v>LINEA DE ENVASADO FAMILIAR Y PRB</v>
      </c>
      <c r="B577" s="5">
        <f ca="1">IFERROR(__xludf.DUMMYFUNCTION("""COMPUTED_VALUE"""),599559)</f>
        <v>599559</v>
      </c>
      <c r="C577" s="5" t="str">
        <f ca="1">IFERROR(__xludf.DUMMYFUNCTION("""COMPUTED_VALUE"""),"INSPECTOR ELECTRONICO")</f>
        <v>INSPECTOR ELECTRONICO</v>
      </c>
      <c r="D577" s="5">
        <f ca="1">IFERROR(__xludf.DUMMYFUNCTION("""COMPUTED_VALUE"""),13247274)</f>
        <v>13247274</v>
      </c>
      <c r="E577" s="5" t="str">
        <f ca="1">IFERROR(__xludf.DUMMYFUNCTION("""COMPUTED_VALUE"""),"INSPECCION SEMANAL Inspector 2")</f>
        <v>INSPECCION SEMANAL Inspector 2</v>
      </c>
      <c r="F577" s="5" t="str">
        <f ca="1">IFERROR(__xludf.DUMMYFUNCTION("""COMPUTED_VALUE"""),"Estado Instrumentos de medidas")</f>
        <v>Estado Instrumentos de medidas</v>
      </c>
      <c r="G577" s="5"/>
      <c r="H577" s="5"/>
      <c r="I577" s="5"/>
      <c r="J577" s="5"/>
      <c r="K577" s="5"/>
      <c r="L577" s="18">
        <f ca="1">IFERROR(__xludf.DUMMYFUNCTION("""COMPUTED_VALUE"""),45325)</f>
        <v>45325</v>
      </c>
      <c r="M577" s="18">
        <f ca="1">IFERROR(__xludf.DUMMYFUNCTION("""COMPUTED_VALUE"""),45325)</f>
        <v>45325</v>
      </c>
      <c r="N577" s="5" t="str">
        <f ca="1">IFERROR(__xludf.DUMMYFUNCTION("""COMPUTED_VALUE"""),"Alexander Echeverry Moreno")</f>
        <v>Alexander Echeverry Moreno</v>
      </c>
      <c r="O577" s="2">
        <f ca="1">IFERROR(__xludf.DUMMYFUNCTION("""COMPUTED_VALUE"""),0.005)</f>
        <v>5.0000000000000001E-3</v>
      </c>
      <c r="P577" s="5"/>
      <c r="Q577" s="5" t="str">
        <f ca="1">IFERROR(__xludf.DUMMYFUNCTION("""COMPUTED_VALUE"""),"9sFjokC7OFo")</f>
        <v>9sFjokC7OFo</v>
      </c>
      <c r="R577" s="5">
        <f ca="1">IFERROR(__xludf.DUMMYFUNCTION("""COMPUTED_VALUE"""),410)</f>
        <v>410</v>
      </c>
      <c r="S577" s="62">
        <f ca="1">IFERROR(__xludf.DUMMYFUNCTION("""COMPUTED_VALUE"""),0.005)</f>
        <v>5.0000000000000001E-3</v>
      </c>
      <c r="T577" s="63" t="str">
        <f ca="1">IFERROR(__xludf.DUMMYFUNCTION("""COMPUTED_VALUE"""),"https://storage.googleapis.com/glide-prod.appspot.com/uploads-v2/ly7o78grxPaC6KdgvbpS/pub/UliJWgpEaBovaFmXi6OW.png")</f>
        <v>https://storage.googleapis.com/glide-prod.appspot.com/uploads-v2/ly7o78grxPaC6KdgvbpS/pub/UliJWgpEaBovaFmXi6OW.png</v>
      </c>
      <c r="U577" s="5" t="str">
        <f ca="1">IFERROR(__xludf.DUMMYFUNCTION("""COMPUTED_VALUE"""),"LINEA DE ENVASADO FAMILIAR Y PRBINSPECTOR ELECTRONICO")</f>
        <v>LINEA DE ENVASADO FAMILIAR Y PRBINSPECTOR ELECTRONICO</v>
      </c>
      <c r="V577" s="5"/>
      <c r="W577" s="5"/>
      <c r="X577" s="5" t="str">
        <f ca="1">IFERROR(__xludf.DUMMYFUNCTION("""COMPUTED_VALUE"""),"wguerra@postobon.com.co,aprmttoyu@postobon.com.co,aprmyu@postobon.com.co,wmora@postobon.com.co,efzapata@postobon.com.co")</f>
        <v>wguerra@postobon.com.co,aprmttoyu@postobon.com.co,aprmyu@postobon.com.co,wmora@postobon.com.co,efzapata@postobon.com.co</v>
      </c>
      <c r="Y577" s="5" t="str">
        <f ca="1">IFERROR(__xludf.DUMMYFUNCTION("""COMPUTED_VALUE"""),"wguerra@postobon.com.co")</f>
        <v>wguerra@postobon.com.co</v>
      </c>
      <c r="Z577" s="5" t="str">
        <f ca="1">IFERROR(__xludf.DUMMYFUNCTION("""COMPUTED_VALUE"""),"bUAoTfvQTDKg4BVCMHkAVg")</f>
        <v>bUAoTfvQTDKg4BVCMHkAVg</v>
      </c>
      <c r="AA577" s="5"/>
      <c r="AB577" s="5"/>
      <c r="AC577" s="5"/>
      <c r="AD577" s="5">
        <f ca="1">IFERROR(__xludf.DUMMYFUNCTION("""COMPUTED_VALUE"""),38)</f>
        <v>38</v>
      </c>
      <c r="AE577" s="5">
        <f ca="1">IFERROR(__xludf.DUMMYFUNCTION("""COMPUTED_VALUE"""),0)</f>
        <v>0</v>
      </c>
      <c r="AF577" s="5" t="b">
        <f ca="1">IFERROR(__xludf.DUMMYFUNCTION("""COMPUTED_VALUE"""),TRUE)</f>
        <v>1</v>
      </c>
      <c r="AG577" s="5" t="str">
        <f ca="1">IFERROR(__xludf.DUMMYFUNCTION("""COMPUTED_VALUE"""),"INSPECCIONES SIN REALIZAR")</f>
        <v>INSPECCIONES SIN REALIZAR</v>
      </c>
      <c r="AH577" s="5"/>
    </row>
    <row r="578" spans="1:34">
      <c r="A578" s="5" t="str">
        <f ca="1">IFERROR(__xludf.DUMMYFUNCTION("""COMPUTED_VALUE"""),"LINEA DE ENVASADO FAMILIAR Y PRB")</f>
        <v>LINEA DE ENVASADO FAMILIAR Y PRB</v>
      </c>
      <c r="B578" s="5">
        <f ca="1">IFERROR(__xludf.DUMMYFUNCTION("""COMPUTED_VALUE"""),599559)</f>
        <v>599559</v>
      </c>
      <c r="C578" s="5" t="str">
        <f ca="1">IFERROR(__xludf.DUMMYFUNCTION("""COMPUTED_VALUE"""),"INSPECTOR ELECTRONICO")</f>
        <v>INSPECTOR ELECTRONICO</v>
      </c>
      <c r="D578" s="5">
        <f ca="1">IFERROR(__xludf.DUMMYFUNCTION("""COMPUTED_VALUE"""),13247274)</f>
        <v>13247274</v>
      </c>
      <c r="E578" s="5" t="str">
        <f ca="1">IFERROR(__xludf.DUMMYFUNCTION("""COMPUTED_VALUE"""),"INSPECCION SEMANAL Inspector 2")</f>
        <v>INSPECCION SEMANAL Inspector 2</v>
      </c>
      <c r="F578" s="5" t="str">
        <f ca="1">IFERROR(__xludf.DUMMYFUNCTION("""COMPUTED_VALUE"""),"Estado baliza")</f>
        <v>Estado baliza</v>
      </c>
      <c r="G578" s="5"/>
      <c r="H578" s="5"/>
      <c r="I578" s="5"/>
      <c r="J578" s="5"/>
      <c r="K578" s="5"/>
      <c r="L578" s="18">
        <f ca="1">IFERROR(__xludf.DUMMYFUNCTION("""COMPUTED_VALUE"""),45325)</f>
        <v>45325</v>
      </c>
      <c r="M578" s="18">
        <f ca="1">IFERROR(__xludf.DUMMYFUNCTION("""COMPUTED_VALUE"""),45325)</f>
        <v>45325</v>
      </c>
      <c r="N578" s="5" t="str">
        <f ca="1">IFERROR(__xludf.DUMMYFUNCTION("""COMPUTED_VALUE"""),"Alexander Echeverry Moreno")</f>
        <v>Alexander Echeverry Moreno</v>
      </c>
      <c r="O578" s="2">
        <f ca="1">IFERROR(__xludf.DUMMYFUNCTION("""COMPUTED_VALUE"""),0.005)</f>
        <v>5.0000000000000001E-3</v>
      </c>
      <c r="P578" s="5"/>
      <c r="Q578" s="5" t="str">
        <f ca="1">IFERROR(__xludf.DUMMYFUNCTION("""COMPUTED_VALUE"""),"vyyr7Vkl12k")</f>
        <v>vyyr7Vkl12k</v>
      </c>
      <c r="R578" s="5">
        <f ca="1">IFERROR(__xludf.DUMMYFUNCTION("""COMPUTED_VALUE"""),410)</f>
        <v>410</v>
      </c>
      <c r="S578" s="62">
        <f ca="1">IFERROR(__xludf.DUMMYFUNCTION("""COMPUTED_VALUE"""),0.005)</f>
        <v>5.0000000000000001E-3</v>
      </c>
      <c r="T578" s="63" t="str">
        <f ca="1">IFERROR(__xludf.DUMMYFUNCTION("""COMPUTED_VALUE"""),"https://storage.googleapis.com/glide-prod.appspot.com/uploads-v2/ly7o78grxPaC6KdgvbpS/pub/UliJWgpEaBovaFmXi6OW.png")</f>
        <v>https://storage.googleapis.com/glide-prod.appspot.com/uploads-v2/ly7o78grxPaC6KdgvbpS/pub/UliJWgpEaBovaFmXi6OW.png</v>
      </c>
      <c r="U578" s="5" t="str">
        <f ca="1">IFERROR(__xludf.DUMMYFUNCTION("""COMPUTED_VALUE"""),"LINEA DE ENVASADO FAMILIAR Y PRBINSPECTOR ELECTRONICO")</f>
        <v>LINEA DE ENVASADO FAMILIAR Y PRBINSPECTOR ELECTRONICO</v>
      </c>
      <c r="V578" s="5"/>
      <c r="W578" s="5"/>
      <c r="X578" s="5" t="str">
        <f ca="1">IFERROR(__xludf.DUMMYFUNCTION("""COMPUTED_VALUE"""),"wguerra@postobon.com.co,aprmttoyu@postobon.com.co,aprmyu@postobon.com.co,wmora@postobon.com.co,efzapata@postobon.com.co")</f>
        <v>wguerra@postobon.com.co,aprmttoyu@postobon.com.co,aprmyu@postobon.com.co,wmora@postobon.com.co,efzapata@postobon.com.co</v>
      </c>
      <c r="Y578" s="5" t="str">
        <f ca="1">IFERROR(__xludf.DUMMYFUNCTION("""COMPUTED_VALUE"""),"wguerra@postobon.com.co")</f>
        <v>wguerra@postobon.com.co</v>
      </c>
      <c r="Z578" s="5" t="str">
        <f ca="1">IFERROR(__xludf.DUMMYFUNCTION("""COMPUTED_VALUE"""),"NNp.S9jlS3OW5d1g3BizbQ")</f>
        <v>NNp.S9jlS3OW5d1g3BizbQ</v>
      </c>
      <c r="AA578" s="5"/>
      <c r="AB578" s="5"/>
      <c r="AC578" s="5"/>
      <c r="AD578" s="5">
        <f ca="1">IFERROR(__xludf.DUMMYFUNCTION("""COMPUTED_VALUE"""),38)</f>
        <v>38</v>
      </c>
      <c r="AE578" s="5">
        <f ca="1">IFERROR(__xludf.DUMMYFUNCTION("""COMPUTED_VALUE"""),0)</f>
        <v>0</v>
      </c>
      <c r="AF578" s="5" t="b">
        <f ca="1">IFERROR(__xludf.DUMMYFUNCTION("""COMPUTED_VALUE"""),TRUE)</f>
        <v>1</v>
      </c>
      <c r="AG578" s="5" t="str">
        <f ca="1">IFERROR(__xludf.DUMMYFUNCTION("""COMPUTED_VALUE"""),"INSPECCIONES SIN REALIZAR")</f>
        <v>INSPECCIONES SIN REALIZAR</v>
      </c>
      <c r="AH578" s="5"/>
    </row>
    <row r="579" spans="1:34">
      <c r="A579" s="5" t="str">
        <f ca="1">IFERROR(__xludf.DUMMYFUNCTION("""COMPUTED_VALUE"""),"LINEA DE ENVASADO FAMILIAR Y PRB")</f>
        <v>LINEA DE ENVASADO FAMILIAR Y PRB</v>
      </c>
      <c r="B579" s="5">
        <f ca="1">IFERROR(__xludf.DUMMYFUNCTION("""COMPUTED_VALUE"""),599559)</f>
        <v>599559</v>
      </c>
      <c r="C579" s="5" t="str">
        <f ca="1">IFERROR(__xludf.DUMMYFUNCTION("""COMPUTED_VALUE"""),"INSPECTOR ELECTRONICO")</f>
        <v>INSPECTOR ELECTRONICO</v>
      </c>
      <c r="D579" s="5">
        <f ca="1">IFERROR(__xludf.DUMMYFUNCTION("""COMPUTED_VALUE"""),13247274)</f>
        <v>13247274</v>
      </c>
      <c r="E579" s="5" t="str">
        <f ca="1">IFERROR(__xludf.DUMMYFUNCTION("""COMPUTED_VALUE"""),"INSPECCION SEMANAL Inspector 2")</f>
        <v>INSPECCION SEMANAL Inspector 2</v>
      </c>
      <c r="F579" s="5" t="str">
        <f ca="1">IFERROR(__xludf.DUMMYFUNCTION("""COMPUTED_VALUE"""),"Estado unidad de mantenimiento neumático")</f>
        <v>Estado unidad de mantenimiento neumático</v>
      </c>
      <c r="G579" s="5"/>
      <c r="H579" s="5"/>
      <c r="I579" s="5"/>
      <c r="J579" s="5"/>
      <c r="K579" s="5"/>
      <c r="L579" s="18">
        <f ca="1">IFERROR(__xludf.DUMMYFUNCTION("""COMPUTED_VALUE"""),45325)</f>
        <v>45325</v>
      </c>
      <c r="M579" s="18">
        <f ca="1">IFERROR(__xludf.DUMMYFUNCTION("""COMPUTED_VALUE"""),45325)</f>
        <v>45325</v>
      </c>
      <c r="N579" s="5" t="str">
        <f ca="1">IFERROR(__xludf.DUMMYFUNCTION("""COMPUTED_VALUE"""),"Alexander Echeverry Moreno")</f>
        <v>Alexander Echeverry Moreno</v>
      </c>
      <c r="O579" s="2">
        <f ca="1">IFERROR(__xludf.DUMMYFUNCTION("""COMPUTED_VALUE"""),0.005)</f>
        <v>5.0000000000000001E-3</v>
      </c>
      <c r="P579" s="5"/>
      <c r="Q579" s="5" t="str">
        <f ca="1">IFERROR(__xludf.DUMMYFUNCTION("""COMPUTED_VALUE"""),"B4Fsmrri0_E")</f>
        <v>B4Fsmrri0_E</v>
      </c>
      <c r="R579" s="5">
        <f ca="1">IFERROR(__xludf.DUMMYFUNCTION("""COMPUTED_VALUE"""),410)</f>
        <v>410</v>
      </c>
      <c r="S579" s="62">
        <f ca="1">IFERROR(__xludf.DUMMYFUNCTION("""COMPUTED_VALUE"""),0.005)</f>
        <v>5.0000000000000001E-3</v>
      </c>
      <c r="T579" s="63" t="str">
        <f ca="1">IFERROR(__xludf.DUMMYFUNCTION("""COMPUTED_VALUE"""),"https://storage.googleapis.com/glide-prod.appspot.com/uploads-v2/ly7o78grxPaC6KdgvbpS/pub/UliJWgpEaBovaFmXi6OW.png")</f>
        <v>https://storage.googleapis.com/glide-prod.appspot.com/uploads-v2/ly7o78grxPaC6KdgvbpS/pub/UliJWgpEaBovaFmXi6OW.png</v>
      </c>
      <c r="U579" s="5" t="str">
        <f ca="1">IFERROR(__xludf.DUMMYFUNCTION("""COMPUTED_VALUE"""),"LINEA DE ENVASADO FAMILIAR Y PRBINSPECTOR ELECTRONICO")</f>
        <v>LINEA DE ENVASADO FAMILIAR Y PRBINSPECTOR ELECTRONICO</v>
      </c>
      <c r="V579" s="5"/>
      <c r="W579" s="5"/>
      <c r="X579" s="5" t="str">
        <f ca="1">IFERROR(__xludf.DUMMYFUNCTION("""COMPUTED_VALUE"""),"wguerra@postobon.com.co,aprmttoyu@postobon.com.co,aprmyu@postobon.com.co,wmora@postobon.com.co,efzapata@postobon.com.co")</f>
        <v>wguerra@postobon.com.co,aprmttoyu@postobon.com.co,aprmyu@postobon.com.co,wmora@postobon.com.co,efzapata@postobon.com.co</v>
      </c>
      <c r="Y579" s="5" t="str">
        <f ca="1">IFERROR(__xludf.DUMMYFUNCTION("""COMPUTED_VALUE"""),"wguerra@postobon.com.co")</f>
        <v>wguerra@postobon.com.co</v>
      </c>
      <c r="Z579" s="5" t="str">
        <f ca="1">IFERROR(__xludf.DUMMYFUNCTION("""COMPUTED_VALUE"""),"eiaDT.YsTACvHTshh.bDXA")</f>
        <v>eiaDT.YsTACvHTshh.bDXA</v>
      </c>
      <c r="AA579" s="5"/>
      <c r="AB579" s="5"/>
      <c r="AC579" s="5"/>
      <c r="AD579" s="5">
        <f ca="1">IFERROR(__xludf.DUMMYFUNCTION("""COMPUTED_VALUE"""),38)</f>
        <v>38</v>
      </c>
      <c r="AE579" s="5">
        <f ca="1">IFERROR(__xludf.DUMMYFUNCTION("""COMPUTED_VALUE"""),0)</f>
        <v>0</v>
      </c>
      <c r="AF579" s="5" t="b">
        <f ca="1">IFERROR(__xludf.DUMMYFUNCTION("""COMPUTED_VALUE"""),TRUE)</f>
        <v>1</v>
      </c>
      <c r="AG579" s="5" t="str">
        <f ca="1">IFERROR(__xludf.DUMMYFUNCTION("""COMPUTED_VALUE"""),"INSPECCIONES SIN REALIZAR")</f>
        <v>INSPECCIONES SIN REALIZAR</v>
      </c>
      <c r="AH579" s="5"/>
    </row>
    <row r="580" spans="1:34">
      <c r="A580" s="5" t="str">
        <f ca="1">IFERROR(__xludf.DUMMYFUNCTION("""COMPUTED_VALUE"""),"LINEA DE ENVASADO FAMILIAR Y PRB")</f>
        <v>LINEA DE ENVASADO FAMILIAR Y PRB</v>
      </c>
      <c r="B580" s="5">
        <f ca="1">IFERROR(__xludf.DUMMYFUNCTION("""COMPUTED_VALUE"""),599559)</f>
        <v>599559</v>
      </c>
      <c r="C580" s="5" t="str">
        <f ca="1">IFERROR(__xludf.DUMMYFUNCTION("""COMPUTED_VALUE"""),"INSPECTOR ELECTRONICO")</f>
        <v>INSPECTOR ELECTRONICO</v>
      </c>
      <c r="D580" s="5">
        <f ca="1">IFERROR(__xludf.DUMMYFUNCTION("""COMPUTED_VALUE"""),13247274)</f>
        <v>13247274</v>
      </c>
      <c r="E580" s="5" t="str">
        <f ca="1">IFERROR(__xludf.DUMMYFUNCTION("""COMPUTED_VALUE"""),"INSPECCION SEMANAL Inspector 2")</f>
        <v>INSPECCION SEMANAL Inspector 2</v>
      </c>
      <c r="F580" s="5" t="str">
        <f ca="1">IFERROR(__xludf.DUMMYFUNCTION("""COMPUTED_VALUE"""),"Estado electroválvulas para soplado de fondo y flash de fondo")</f>
        <v>Estado electroválvulas para soplado de fondo y flash de fondo</v>
      </c>
      <c r="G580" s="5"/>
      <c r="H580" s="5"/>
      <c r="I580" s="5"/>
      <c r="J580" s="5"/>
      <c r="K580" s="5"/>
      <c r="L580" s="18">
        <f ca="1">IFERROR(__xludf.DUMMYFUNCTION("""COMPUTED_VALUE"""),45325)</f>
        <v>45325</v>
      </c>
      <c r="M580" s="18">
        <f ca="1">IFERROR(__xludf.DUMMYFUNCTION("""COMPUTED_VALUE"""),45325)</f>
        <v>45325</v>
      </c>
      <c r="N580" s="5" t="str">
        <f ca="1">IFERROR(__xludf.DUMMYFUNCTION("""COMPUTED_VALUE"""),"Alexander Echeverry Moreno")</f>
        <v>Alexander Echeverry Moreno</v>
      </c>
      <c r="O580" s="2">
        <f ca="1">IFERROR(__xludf.DUMMYFUNCTION("""COMPUTED_VALUE"""),0.005)</f>
        <v>5.0000000000000001E-3</v>
      </c>
      <c r="P580" s="5"/>
      <c r="Q580" s="5" t="str">
        <f ca="1">IFERROR(__xludf.DUMMYFUNCTION("""COMPUTED_VALUE"""),"ckVkuyYsR9c")</f>
        <v>ckVkuyYsR9c</v>
      </c>
      <c r="R580" s="5">
        <f ca="1">IFERROR(__xludf.DUMMYFUNCTION("""COMPUTED_VALUE"""),410)</f>
        <v>410</v>
      </c>
      <c r="S580" s="62">
        <f ca="1">IFERROR(__xludf.DUMMYFUNCTION("""COMPUTED_VALUE"""),0.005)</f>
        <v>5.0000000000000001E-3</v>
      </c>
      <c r="T580" s="63" t="str">
        <f ca="1">IFERROR(__xludf.DUMMYFUNCTION("""COMPUTED_VALUE"""),"https://storage.googleapis.com/glide-prod.appspot.com/uploads-v2/ly7o78grxPaC6KdgvbpS/pub/UliJWgpEaBovaFmXi6OW.png")</f>
        <v>https://storage.googleapis.com/glide-prod.appspot.com/uploads-v2/ly7o78grxPaC6KdgvbpS/pub/UliJWgpEaBovaFmXi6OW.png</v>
      </c>
      <c r="U580" s="5" t="str">
        <f ca="1">IFERROR(__xludf.DUMMYFUNCTION("""COMPUTED_VALUE"""),"LINEA DE ENVASADO FAMILIAR Y PRBINSPECTOR ELECTRONICO")</f>
        <v>LINEA DE ENVASADO FAMILIAR Y PRBINSPECTOR ELECTRONICO</v>
      </c>
      <c r="V580" s="5"/>
      <c r="W580" s="5"/>
      <c r="X580" s="5" t="str">
        <f ca="1">IFERROR(__xludf.DUMMYFUNCTION("""COMPUTED_VALUE"""),"wguerra@postobon.com.co,aprmttoyu@postobon.com.co,aprmyu@postobon.com.co,wmora@postobon.com.co,efzapata@postobon.com.co")</f>
        <v>wguerra@postobon.com.co,aprmttoyu@postobon.com.co,aprmyu@postobon.com.co,wmora@postobon.com.co,efzapata@postobon.com.co</v>
      </c>
      <c r="Y580" s="5" t="str">
        <f ca="1">IFERROR(__xludf.DUMMYFUNCTION("""COMPUTED_VALUE"""),"wguerra@postobon.com.co")</f>
        <v>wguerra@postobon.com.co</v>
      </c>
      <c r="Z580" s="5" t="str">
        <f ca="1">IFERROR(__xludf.DUMMYFUNCTION("""COMPUTED_VALUE"""),"IOEBdqAxSHaOl-iorJAARg")</f>
        <v>IOEBdqAxSHaOl-iorJAARg</v>
      </c>
      <c r="AA580" s="5"/>
      <c r="AB580" s="5"/>
      <c r="AC580" s="5"/>
      <c r="AD580" s="5">
        <f ca="1">IFERROR(__xludf.DUMMYFUNCTION("""COMPUTED_VALUE"""),38)</f>
        <v>38</v>
      </c>
      <c r="AE580" s="5">
        <f ca="1">IFERROR(__xludf.DUMMYFUNCTION("""COMPUTED_VALUE"""),0)</f>
        <v>0</v>
      </c>
      <c r="AF580" s="5" t="b">
        <f ca="1">IFERROR(__xludf.DUMMYFUNCTION("""COMPUTED_VALUE"""),TRUE)</f>
        <v>1</v>
      </c>
      <c r="AG580" s="5" t="str">
        <f ca="1">IFERROR(__xludf.DUMMYFUNCTION("""COMPUTED_VALUE"""),"INSPECCIONES SIN REALIZAR")</f>
        <v>INSPECCIONES SIN REALIZAR</v>
      </c>
      <c r="AH580" s="5"/>
    </row>
    <row r="581" spans="1:34">
      <c r="A581" s="5" t="str">
        <f ca="1">IFERROR(__xludf.DUMMYFUNCTION("""COMPUTED_VALUE"""),"LINEA DE ENVASADO FAMILIAR Y PRB")</f>
        <v>LINEA DE ENVASADO FAMILIAR Y PRB</v>
      </c>
      <c r="B581" s="5">
        <f ca="1">IFERROR(__xludf.DUMMYFUNCTION("""COMPUTED_VALUE"""),599559)</f>
        <v>599559</v>
      </c>
      <c r="C581" s="5" t="str">
        <f ca="1">IFERROR(__xludf.DUMMYFUNCTION("""COMPUTED_VALUE"""),"INSPECTOR ELECTRONICO")</f>
        <v>INSPECTOR ELECTRONICO</v>
      </c>
      <c r="D581" s="5">
        <f ca="1">IFERROR(__xludf.DUMMYFUNCTION("""COMPUTED_VALUE"""),13247274)</f>
        <v>13247274</v>
      </c>
      <c r="E581" s="5" t="str">
        <f ca="1">IFERROR(__xludf.DUMMYFUNCTION("""COMPUTED_VALUE"""),"INSPECCION SEMANAL Inspector 2")</f>
        <v>INSPECCION SEMANAL Inspector 2</v>
      </c>
      <c r="F581" s="5" t="str">
        <f ca="1">IFERROR(__xludf.DUMMYFUNCTION("""COMPUTED_VALUE"""),"Estado de vidrios y óptica")</f>
        <v>Estado de vidrios y óptica</v>
      </c>
      <c r="G581" s="5"/>
      <c r="H581" s="5"/>
      <c r="I581" s="5"/>
      <c r="J581" s="5"/>
      <c r="K581" s="5"/>
      <c r="L581" s="18">
        <f ca="1">IFERROR(__xludf.DUMMYFUNCTION("""COMPUTED_VALUE"""),45325)</f>
        <v>45325</v>
      </c>
      <c r="M581" s="18">
        <f ca="1">IFERROR(__xludf.DUMMYFUNCTION("""COMPUTED_VALUE"""),45325)</f>
        <v>45325</v>
      </c>
      <c r="N581" s="5" t="str">
        <f ca="1">IFERROR(__xludf.DUMMYFUNCTION("""COMPUTED_VALUE"""),"Alexander Echeverry Moreno")</f>
        <v>Alexander Echeverry Moreno</v>
      </c>
      <c r="O581" s="2">
        <f ca="1">IFERROR(__xludf.DUMMYFUNCTION("""COMPUTED_VALUE"""),0.005)</f>
        <v>5.0000000000000001E-3</v>
      </c>
      <c r="P581" s="5"/>
      <c r="Q581" s="5" t="str">
        <f ca="1">IFERROR(__xludf.DUMMYFUNCTION("""COMPUTED_VALUE"""),"4AZlObqOOsU")</f>
        <v>4AZlObqOOsU</v>
      </c>
      <c r="R581" s="5">
        <f ca="1">IFERROR(__xludf.DUMMYFUNCTION("""COMPUTED_VALUE"""),410)</f>
        <v>410</v>
      </c>
      <c r="S581" s="62">
        <f ca="1">IFERROR(__xludf.DUMMYFUNCTION("""COMPUTED_VALUE"""),0.005)</f>
        <v>5.0000000000000001E-3</v>
      </c>
      <c r="T581" s="63" t="str">
        <f ca="1">IFERROR(__xludf.DUMMYFUNCTION("""COMPUTED_VALUE"""),"https://storage.googleapis.com/glide-prod.appspot.com/uploads-v2/ly7o78grxPaC6KdgvbpS/pub/UliJWgpEaBovaFmXi6OW.png")</f>
        <v>https://storage.googleapis.com/glide-prod.appspot.com/uploads-v2/ly7o78grxPaC6KdgvbpS/pub/UliJWgpEaBovaFmXi6OW.png</v>
      </c>
      <c r="U581" s="5" t="str">
        <f ca="1">IFERROR(__xludf.DUMMYFUNCTION("""COMPUTED_VALUE"""),"LINEA DE ENVASADO FAMILIAR Y PRBINSPECTOR ELECTRONICO")</f>
        <v>LINEA DE ENVASADO FAMILIAR Y PRBINSPECTOR ELECTRONICO</v>
      </c>
      <c r="V581" s="5"/>
      <c r="W581" s="5"/>
      <c r="X581" s="5" t="str">
        <f ca="1">IFERROR(__xludf.DUMMYFUNCTION("""COMPUTED_VALUE"""),"wguerra@postobon.com.co,aprmttoyu@postobon.com.co,aprmyu@postobon.com.co,wmora@postobon.com.co,efzapata@postobon.com.co")</f>
        <v>wguerra@postobon.com.co,aprmttoyu@postobon.com.co,aprmyu@postobon.com.co,wmora@postobon.com.co,efzapata@postobon.com.co</v>
      </c>
      <c r="Y581" s="5" t="str">
        <f ca="1">IFERROR(__xludf.DUMMYFUNCTION("""COMPUTED_VALUE"""),"wguerra@postobon.com.co")</f>
        <v>wguerra@postobon.com.co</v>
      </c>
      <c r="Z581" s="5" t="str">
        <f ca="1">IFERROR(__xludf.DUMMYFUNCTION("""COMPUTED_VALUE"""),"uvyzpdyNSmiQt0evmSfgHQ")</f>
        <v>uvyzpdyNSmiQt0evmSfgHQ</v>
      </c>
      <c r="AA581" s="5"/>
      <c r="AB581" s="5"/>
      <c r="AC581" s="5"/>
      <c r="AD581" s="5">
        <f ca="1">IFERROR(__xludf.DUMMYFUNCTION("""COMPUTED_VALUE"""),38)</f>
        <v>38</v>
      </c>
      <c r="AE581" s="5">
        <f ca="1">IFERROR(__xludf.DUMMYFUNCTION("""COMPUTED_VALUE"""),0)</f>
        <v>0</v>
      </c>
      <c r="AF581" s="5" t="b">
        <f ca="1">IFERROR(__xludf.DUMMYFUNCTION("""COMPUTED_VALUE"""),TRUE)</f>
        <v>1</v>
      </c>
      <c r="AG581" s="5" t="str">
        <f ca="1">IFERROR(__xludf.DUMMYFUNCTION("""COMPUTED_VALUE"""),"INSPECCIONES SIN REALIZAR")</f>
        <v>INSPECCIONES SIN REALIZAR</v>
      </c>
      <c r="AH581" s="5"/>
    </row>
    <row r="582" spans="1:34">
      <c r="A582" s="5" t="str">
        <f ca="1">IFERROR(__xludf.DUMMYFUNCTION("""COMPUTED_VALUE"""),"LINEA DE ENVASADO FAMILIAR Y PRB")</f>
        <v>LINEA DE ENVASADO FAMILIAR Y PRB</v>
      </c>
      <c r="B582" s="5">
        <f ca="1">IFERROR(__xludf.DUMMYFUNCTION("""COMPUTED_VALUE"""),599559)</f>
        <v>599559</v>
      </c>
      <c r="C582" s="5" t="str">
        <f ca="1">IFERROR(__xludf.DUMMYFUNCTION("""COMPUTED_VALUE"""),"INSPECTOR ELECTRONICO")</f>
        <v>INSPECTOR ELECTRONICO</v>
      </c>
      <c r="D582" s="5">
        <f ca="1">IFERROR(__xludf.DUMMYFUNCTION("""COMPUTED_VALUE"""),13247274)</f>
        <v>13247274</v>
      </c>
      <c r="E582" s="5" t="str">
        <f ca="1">IFERROR(__xludf.DUMMYFUNCTION("""COMPUTED_VALUE"""),"INSPECCION SEMANAL Inspector 2")</f>
        <v>INSPECCION SEMANAL Inspector 2</v>
      </c>
      <c r="F582" s="5" t="str">
        <f ca="1">IFERROR(__xludf.DUMMYFUNCTION("""COMPUTED_VALUE"""),"Estado de botoneras de emergencia")</f>
        <v>Estado de botoneras de emergencia</v>
      </c>
      <c r="G582" s="5"/>
      <c r="H582" s="5"/>
      <c r="I582" s="5"/>
      <c r="J582" s="5"/>
      <c r="K582" s="5"/>
      <c r="L582" s="18">
        <f ca="1">IFERROR(__xludf.DUMMYFUNCTION("""COMPUTED_VALUE"""),45325)</f>
        <v>45325</v>
      </c>
      <c r="M582" s="18">
        <f ca="1">IFERROR(__xludf.DUMMYFUNCTION("""COMPUTED_VALUE"""),45325)</f>
        <v>45325</v>
      </c>
      <c r="N582" s="5" t="str">
        <f ca="1">IFERROR(__xludf.DUMMYFUNCTION("""COMPUTED_VALUE"""),"Alexander Echeverry Moreno")</f>
        <v>Alexander Echeverry Moreno</v>
      </c>
      <c r="O582" s="2">
        <f ca="1">IFERROR(__xludf.DUMMYFUNCTION("""COMPUTED_VALUE"""),0.005)</f>
        <v>5.0000000000000001E-3</v>
      </c>
      <c r="P582" s="5"/>
      <c r="Q582" s="5" t="str">
        <f ca="1">IFERROR(__xludf.DUMMYFUNCTION("""COMPUTED_VALUE"""),"E-VNDyQIRME")</f>
        <v>E-VNDyQIRME</v>
      </c>
      <c r="R582" s="5">
        <f ca="1">IFERROR(__xludf.DUMMYFUNCTION("""COMPUTED_VALUE"""),410)</f>
        <v>410</v>
      </c>
      <c r="S582" s="62">
        <f ca="1">IFERROR(__xludf.DUMMYFUNCTION("""COMPUTED_VALUE"""),0.005)</f>
        <v>5.0000000000000001E-3</v>
      </c>
      <c r="T582" s="63" t="str">
        <f ca="1">IFERROR(__xludf.DUMMYFUNCTION("""COMPUTED_VALUE"""),"https://storage.googleapis.com/glide-prod.appspot.com/uploads-v2/ly7o78grxPaC6KdgvbpS/pub/UliJWgpEaBovaFmXi6OW.png")</f>
        <v>https://storage.googleapis.com/glide-prod.appspot.com/uploads-v2/ly7o78grxPaC6KdgvbpS/pub/UliJWgpEaBovaFmXi6OW.png</v>
      </c>
      <c r="U582" s="5" t="str">
        <f ca="1">IFERROR(__xludf.DUMMYFUNCTION("""COMPUTED_VALUE"""),"LINEA DE ENVASADO FAMILIAR Y PRBINSPECTOR ELECTRONICO")</f>
        <v>LINEA DE ENVASADO FAMILIAR Y PRBINSPECTOR ELECTRONICO</v>
      </c>
      <c r="V582" s="5"/>
      <c r="W582" s="5"/>
      <c r="X582" s="5" t="str">
        <f ca="1">IFERROR(__xludf.DUMMYFUNCTION("""COMPUTED_VALUE"""),"wguerra@postobon.com.co,aprmttoyu@postobon.com.co,aprmyu@postobon.com.co,wmora@postobon.com.co,efzapata@postobon.com.co")</f>
        <v>wguerra@postobon.com.co,aprmttoyu@postobon.com.co,aprmyu@postobon.com.co,wmora@postobon.com.co,efzapata@postobon.com.co</v>
      </c>
      <c r="Y582" s="5" t="str">
        <f ca="1">IFERROR(__xludf.DUMMYFUNCTION("""COMPUTED_VALUE"""),"wguerra@postobon.com.co")</f>
        <v>wguerra@postobon.com.co</v>
      </c>
      <c r="Z582" s="5" t="str">
        <f ca="1">IFERROR(__xludf.DUMMYFUNCTION("""COMPUTED_VALUE"""),"CDk-HXkkTVi7.QqhtTpd4w")</f>
        <v>CDk-HXkkTVi7.QqhtTpd4w</v>
      </c>
      <c r="AA582" s="5"/>
      <c r="AB582" s="5"/>
      <c r="AC582" s="5"/>
      <c r="AD582" s="5">
        <f ca="1">IFERROR(__xludf.DUMMYFUNCTION("""COMPUTED_VALUE"""),38)</f>
        <v>38</v>
      </c>
      <c r="AE582" s="5">
        <f ca="1">IFERROR(__xludf.DUMMYFUNCTION("""COMPUTED_VALUE"""),0)</f>
        <v>0</v>
      </c>
      <c r="AF582" s="5" t="b">
        <f ca="1">IFERROR(__xludf.DUMMYFUNCTION("""COMPUTED_VALUE"""),TRUE)</f>
        <v>1</v>
      </c>
      <c r="AG582" s="5" t="str">
        <f ca="1">IFERROR(__xludf.DUMMYFUNCTION("""COMPUTED_VALUE"""),"INSPECCIONES SIN REALIZAR")</f>
        <v>INSPECCIONES SIN REALIZAR</v>
      </c>
      <c r="AH582" s="5"/>
    </row>
    <row r="583" spans="1:34">
      <c r="A583" s="5" t="str">
        <f ca="1">IFERROR(__xludf.DUMMYFUNCTION("""COMPUTED_VALUE"""),"LINEA DE ENVASADO FAMILIAR Y PRB")</f>
        <v>LINEA DE ENVASADO FAMILIAR Y PRB</v>
      </c>
      <c r="B583" s="5">
        <f ca="1">IFERROR(__xludf.DUMMYFUNCTION("""COMPUTED_VALUE"""),599559)</f>
        <v>599559</v>
      </c>
      <c r="C583" s="5" t="str">
        <f ca="1">IFERROR(__xludf.DUMMYFUNCTION("""COMPUTED_VALUE"""),"INSPECTOR ELECTRONICO")</f>
        <v>INSPECTOR ELECTRONICO</v>
      </c>
      <c r="D583" s="5">
        <f ca="1">IFERROR(__xludf.DUMMYFUNCTION("""COMPUTED_VALUE"""),13247274)</f>
        <v>13247274</v>
      </c>
      <c r="E583" s="5" t="str">
        <f ca="1">IFERROR(__xludf.DUMMYFUNCTION("""COMPUTED_VALUE"""),"INSPECCION SEMANAL Inspector 2")</f>
        <v>INSPECCION SEMANAL Inspector 2</v>
      </c>
      <c r="F583" s="5" t="str">
        <f ca="1">IFERROR(__xludf.DUMMYFUNCTION("""COMPUTED_VALUE"""),"Estado encoder")</f>
        <v>Estado encoder</v>
      </c>
      <c r="G583" s="5"/>
      <c r="H583" s="5"/>
      <c r="I583" s="5"/>
      <c r="J583" s="5"/>
      <c r="K583" s="5"/>
      <c r="L583" s="18">
        <f ca="1">IFERROR(__xludf.DUMMYFUNCTION("""COMPUTED_VALUE"""),45325)</f>
        <v>45325</v>
      </c>
      <c r="M583" s="18">
        <f ca="1">IFERROR(__xludf.DUMMYFUNCTION("""COMPUTED_VALUE"""),45325)</f>
        <v>45325</v>
      </c>
      <c r="N583" s="5" t="str">
        <f ca="1">IFERROR(__xludf.DUMMYFUNCTION("""COMPUTED_VALUE"""),"Alexander Echeverry Moreno")</f>
        <v>Alexander Echeverry Moreno</v>
      </c>
      <c r="O583" s="2">
        <f ca="1">IFERROR(__xludf.DUMMYFUNCTION("""COMPUTED_VALUE"""),0.005)</f>
        <v>5.0000000000000001E-3</v>
      </c>
      <c r="P583" s="5"/>
      <c r="Q583" s="5" t="str">
        <f ca="1">IFERROR(__xludf.DUMMYFUNCTION("""COMPUTED_VALUE"""),"CFbMzV1D5QQ")</f>
        <v>CFbMzV1D5QQ</v>
      </c>
      <c r="R583" s="5">
        <f ca="1">IFERROR(__xludf.DUMMYFUNCTION("""COMPUTED_VALUE"""),410)</f>
        <v>410</v>
      </c>
      <c r="S583" s="62">
        <f ca="1">IFERROR(__xludf.DUMMYFUNCTION("""COMPUTED_VALUE"""),0.005)</f>
        <v>5.0000000000000001E-3</v>
      </c>
      <c r="T583" s="63" t="str">
        <f ca="1">IFERROR(__xludf.DUMMYFUNCTION("""COMPUTED_VALUE"""),"https://storage.googleapis.com/glide-prod.appspot.com/uploads-v2/ly7o78grxPaC6KdgvbpS/pub/UliJWgpEaBovaFmXi6OW.png")</f>
        <v>https://storage.googleapis.com/glide-prod.appspot.com/uploads-v2/ly7o78grxPaC6KdgvbpS/pub/UliJWgpEaBovaFmXi6OW.png</v>
      </c>
      <c r="U583" s="5" t="str">
        <f ca="1">IFERROR(__xludf.DUMMYFUNCTION("""COMPUTED_VALUE"""),"LINEA DE ENVASADO FAMILIAR Y PRBINSPECTOR ELECTRONICO")</f>
        <v>LINEA DE ENVASADO FAMILIAR Y PRBINSPECTOR ELECTRONICO</v>
      </c>
      <c r="V583" s="5"/>
      <c r="W583" s="5"/>
      <c r="X583" s="5" t="str">
        <f ca="1">IFERROR(__xludf.DUMMYFUNCTION("""COMPUTED_VALUE"""),"wguerra@postobon.com.co,aprmttoyu@postobon.com.co,aprmyu@postobon.com.co,wmora@postobon.com.co,efzapata@postobon.com.co")</f>
        <v>wguerra@postobon.com.co,aprmttoyu@postobon.com.co,aprmyu@postobon.com.co,wmora@postobon.com.co,efzapata@postobon.com.co</v>
      </c>
      <c r="Y583" s="5" t="str">
        <f ca="1">IFERROR(__xludf.DUMMYFUNCTION("""COMPUTED_VALUE"""),"wguerra@postobon.com.co")</f>
        <v>wguerra@postobon.com.co</v>
      </c>
      <c r="Z583" s="5" t="str">
        <f ca="1">IFERROR(__xludf.DUMMYFUNCTION("""COMPUTED_VALUE"""),"uV9xJVbPQ9-nk26oF7xxeg")</f>
        <v>uV9xJVbPQ9-nk26oF7xxeg</v>
      </c>
      <c r="AA583" s="5"/>
      <c r="AB583" s="5"/>
      <c r="AC583" s="5"/>
      <c r="AD583" s="5">
        <f ca="1">IFERROR(__xludf.DUMMYFUNCTION("""COMPUTED_VALUE"""),38)</f>
        <v>38</v>
      </c>
      <c r="AE583" s="5">
        <f ca="1">IFERROR(__xludf.DUMMYFUNCTION("""COMPUTED_VALUE"""),0)</f>
        <v>0</v>
      </c>
      <c r="AF583" s="5" t="b">
        <f ca="1">IFERROR(__xludf.DUMMYFUNCTION("""COMPUTED_VALUE"""),TRUE)</f>
        <v>1</v>
      </c>
      <c r="AG583" s="5" t="str">
        <f ca="1">IFERROR(__xludf.DUMMYFUNCTION("""COMPUTED_VALUE"""),"INSPECCIONES SIN REALIZAR")</f>
        <v>INSPECCIONES SIN REALIZAR</v>
      </c>
      <c r="AH583" s="5"/>
    </row>
    <row r="584" spans="1:34">
      <c r="A584" s="5" t="str">
        <f ca="1">IFERROR(__xludf.DUMMYFUNCTION("""COMPUTED_VALUE"""),"LINEA DE ENVASADO FAMILIAR Y PRB")</f>
        <v>LINEA DE ENVASADO FAMILIAR Y PRB</v>
      </c>
      <c r="B584" s="5">
        <f ca="1">IFERROR(__xludf.DUMMYFUNCTION("""COMPUTED_VALUE"""),599559)</f>
        <v>599559</v>
      </c>
      <c r="C584" s="5" t="str">
        <f ca="1">IFERROR(__xludf.DUMMYFUNCTION("""COMPUTED_VALUE"""),"INSPECTOR ELECTRONICO")</f>
        <v>INSPECTOR ELECTRONICO</v>
      </c>
      <c r="D584" s="5">
        <f ca="1">IFERROR(__xludf.DUMMYFUNCTION("""COMPUTED_VALUE"""),13247274)</f>
        <v>13247274</v>
      </c>
      <c r="E584" s="5" t="str">
        <f ca="1">IFERROR(__xludf.DUMMYFUNCTION("""COMPUTED_VALUE"""),"INSPECCION SEMANAL Inspector 2")</f>
        <v>INSPECCION SEMANAL Inspector 2</v>
      </c>
      <c r="F584" s="5" t="str">
        <f ca="1">IFERROR(__xludf.DUMMYFUNCTION("""COMPUTED_VALUE"""),"Estado de flash")</f>
        <v>Estado de flash</v>
      </c>
      <c r="G584" s="5"/>
      <c r="H584" s="5"/>
      <c r="I584" s="5"/>
      <c r="J584" s="5"/>
      <c r="K584" s="5"/>
      <c r="L584" s="18">
        <f ca="1">IFERROR(__xludf.DUMMYFUNCTION("""COMPUTED_VALUE"""),45325)</f>
        <v>45325</v>
      </c>
      <c r="M584" s="18">
        <f ca="1">IFERROR(__xludf.DUMMYFUNCTION("""COMPUTED_VALUE"""),45325)</f>
        <v>45325</v>
      </c>
      <c r="N584" s="5" t="str">
        <f ca="1">IFERROR(__xludf.DUMMYFUNCTION("""COMPUTED_VALUE"""),"Alexander Echeverry Moreno")</f>
        <v>Alexander Echeverry Moreno</v>
      </c>
      <c r="O584" s="2">
        <f ca="1">IFERROR(__xludf.DUMMYFUNCTION("""COMPUTED_VALUE"""),0.005)</f>
        <v>5.0000000000000001E-3</v>
      </c>
      <c r="P584" s="5"/>
      <c r="Q584" s="5" t="str">
        <f ca="1">IFERROR(__xludf.DUMMYFUNCTION("""COMPUTED_VALUE"""),"F6cdqfa0amA")</f>
        <v>F6cdqfa0amA</v>
      </c>
      <c r="R584" s="5">
        <f ca="1">IFERROR(__xludf.DUMMYFUNCTION("""COMPUTED_VALUE"""),410)</f>
        <v>410</v>
      </c>
      <c r="S584" s="62">
        <f ca="1">IFERROR(__xludf.DUMMYFUNCTION("""COMPUTED_VALUE"""),0.005)</f>
        <v>5.0000000000000001E-3</v>
      </c>
      <c r="T584" s="63" t="str">
        <f ca="1">IFERROR(__xludf.DUMMYFUNCTION("""COMPUTED_VALUE"""),"https://storage.googleapis.com/glide-prod.appspot.com/uploads-v2/ly7o78grxPaC6KdgvbpS/pub/UliJWgpEaBovaFmXi6OW.png")</f>
        <v>https://storage.googleapis.com/glide-prod.appspot.com/uploads-v2/ly7o78grxPaC6KdgvbpS/pub/UliJWgpEaBovaFmXi6OW.png</v>
      </c>
      <c r="U584" s="5" t="str">
        <f ca="1">IFERROR(__xludf.DUMMYFUNCTION("""COMPUTED_VALUE"""),"LINEA DE ENVASADO FAMILIAR Y PRBINSPECTOR ELECTRONICO")</f>
        <v>LINEA DE ENVASADO FAMILIAR Y PRBINSPECTOR ELECTRONICO</v>
      </c>
      <c r="V584" s="5"/>
      <c r="W584" s="5"/>
      <c r="X584" s="5" t="str">
        <f ca="1">IFERROR(__xludf.DUMMYFUNCTION("""COMPUTED_VALUE"""),"wguerra@postobon.com.co,aprmttoyu@postobon.com.co,aprmyu@postobon.com.co,wmora@postobon.com.co,efzapata@postobon.com.co")</f>
        <v>wguerra@postobon.com.co,aprmttoyu@postobon.com.co,aprmyu@postobon.com.co,wmora@postobon.com.co,efzapata@postobon.com.co</v>
      </c>
      <c r="Y584" s="5" t="str">
        <f ca="1">IFERROR(__xludf.DUMMYFUNCTION("""COMPUTED_VALUE"""),"wguerra@postobon.com.co")</f>
        <v>wguerra@postobon.com.co</v>
      </c>
      <c r="Z584" s="5" t="str">
        <f ca="1">IFERROR(__xludf.DUMMYFUNCTION("""COMPUTED_VALUE"""),"q7ChPQJZRq25ASoA8yWmRA")</f>
        <v>q7ChPQJZRq25ASoA8yWmRA</v>
      </c>
      <c r="AA584" s="5"/>
      <c r="AB584" s="5"/>
      <c r="AC584" s="5"/>
      <c r="AD584" s="5">
        <f ca="1">IFERROR(__xludf.DUMMYFUNCTION("""COMPUTED_VALUE"""),38)</f>
        <v>38</v>
      </c>
      <c r="AE584" s="5">
        <f ca="1">IFERROR(__xludf.DUMMYFUNCTION("""COMPUTED_VALUE"""),0)</f>
        <v>0</v>
      </c>
      <c r="AF584" s="5" t="b">
        <f ca="1">IFERROR(__xludf.DUMMYFUNCTION("""COMPUTED_VALUE"""),TRUE)</f>
        <v>1</v>
      </c>
      <c r="AG584" s="5" t="str">
        <f ca="1">IFERROR(__xludf.DUMMYFUNCTION("""COMPUTED_VALUE"""),"INSPECCIONES SIN REALIZAR")</f>
        <v>INSPECCIONES SIN REALIZAR</v>
      </c>
      <c r="AH584" s="5"/>
    </row>
    <row r="585" spans="1:34">
      <c r="A585" s="5" t="str">
        <f ca="1">IFERROR(__xludf.DUMMYFUNCTION("""COMPUTED_VALUE"""),"LINEA DE ENVASADO FAMILIAR Y PRB")</f>
        <v>LINEA DE ENVASADO FAMILIAR Y PRB</v>
      </c>
      <c r="B585" s="5">
        <f ca="1">IFERROR(__xludf.DUMMYFUNCTION("""COMPUTED_VALUE"""),599559)</f>
        <v>599559</v>
      </c>
      <c r="C585" s="5" t="str">
        <f ca="1">IFERROR(__xludf.DUMMYFUNCTION("""COMPUTED_VALUE"""),"INSPECTOR ELECTRONICO")</f>
        <v>INSPECTOR ELECTRONICO</v>
      </c>
      <c r="D585" s="5">
        <f ca="1">IFERROR(__xludf.DUMMYFUNCTION("""COMPUTED_VALUE"""),13247274)</f>
        <v>13247274</v>
      </c>
      <c r="E585" s="5" t="str">
        <f ca="1">IFERROR(__xludf.DUMMYFUNCTION("""COMPUTED_VALUE"""),"INSPECCION SEMANAL Inspector 2")</f>
        <v>INSPECCION SEMANAL Inspector 2</v>
      </c>
      <c r="F585" s="5" t="str">
        <f ca="1">IFERROR(__xludf.DUMMYFUNCTION("""COMPUTED_VALUE"""),"Estado sistema de rechazo (pistones, segmentos, electroválvulas)")</f>
        <v>Estado sistema de rechazo (pistones, segmentos, electroválvulas)</v>
      </c>
      <c r="G585" s="5"/>
      <c r="H585" s="5"/>
      <c r="I585" s="5"/>
      <c r="J585" s="5"/>
      <c r="K585" s="5"/>
      <c r="L585" s="18">
        <f ca="1">IFERROR(__xludf.DUMMYFUNCTION("""COMPUTED_VALUE"""),45325)</f>
        <v>45325</v>
      </c>
      <c r="M585" s="18">
        <f ca="1">IFERROR(__xludf.DUMMYFUNCTION("""COMPUTED_VALUE"""),45325)</f>
        <v>45325</v>
      </c>
      <c r="N585" s="5" t="str">
        <f ca="1">IFERROR(__xludf.DUMMYFUNCTION("""COMPUTED_VALUE"""),"Alexander Echeverry Moreno")</f>
        <v>Alexander Echeverry Moreno</v>
      </c>
      <c r="O585" s="2">
        <f ca="1">IFERROR(__xludf.DUMMYFUNCTION("""COMPUTED_VALUE"""),0.005)</f>
        <v>5.0000000000000001E-3</v>
      </c>
      <c r="P585" s="5"/>
      <c r="Q585" s="5" t="str">
        <f ca="1">IFERROR(__xludf.DUMMYFUNCTION("""COMPUTED_VALUE"""),"L8CHnhGxrAQ")</f>
        <v>L8CHnhGxrAQ</v>
      </c>
      <c r="R585" s="5">
        <f ca="1">IFERROR(__xludf.DUMMYFUNCTION("""COMPUTED_VALUE"""),410)</f>
        <v>410</v>
      </c>
      <c r="S585" s="62">
        <f ca="1">IFERROR(__xludf.DUMMYFUNCTION("""COMPUTED_VALUE"""),0.005)</f>
        <v>5.0000000000000001E-3</v>
      </c>
      <c r="T585" s="63" t="str">
        <f ca="1">IFERROR(__xludf.DUMMYFUNCTION("""COMPUTED_VALUE"""),"https://storage.googleapis.com/glide-prod.appspot.com/uploads-v2/ly7o78grxPaC6KdgvbpS/pub/UliJWgpEaBovaFmXi6OW.png")</f>
        <v>https://storage.googleapis.com/glide-prod.appspot.com/uploads-v2/ly7o78grxPaC6KdgvbpS/pub/UliJWgpEaBovaFmXi6OW.png</v>
      </c>
      <c r="U585" s="5" t="str">
        <f ca="1">IFERROR(__xludf.DUMMYFUNCTION("""COMPUTED_VALUE"""),"LINEA DE ENVASADO FAMILIAR Y PRBINSPECTOR ELECTRONICO")</f>
        <v>LINEA DE ENVASADO FAMILIAR Y PRBINSPECTOR ELECTRONICO</v>
      </c>
      <c r="V585" s="5"/>
      <c r="W585" s="5"/>
      <c r="X585" s="5" t="str">
        <f ca="1">IFERROR(__xludf.DUMMYFUNCTION("""COMPUTED_VALUE"""),"wguerra@postobon.com.co,aprmttoyu@postobon.com.co,aprmyu@postobon.com.co,wmora@postobon.com.co,efzapata@postobon.com.co")</f>
        <v>wguerra@postobon.com.co,aprmttoyu@postobon.com.co,aprmyu@postobon.com.co,wmora@postobon.com.co,efzapata@postobon.com.co</v>
      </c>
      <c r="Y585" s="5" t="str">
        <f ca="1">IFERROR(__xludf.DUMMYFUNCTION("""COMPUTED_VALUE"""),"wguerra@postobon.com.co")</f>
        <v>wguerra@postobon.com.co</v>
      </c>
      <c r="Z585" s="5" t="str">
        <f ca="1">IFERROR(__xludf.DUMMYFUNCTION("""COMPUTED_VALUE"""),"8raR-4KvQe2j5pL.-rip4g")</f>
        <v>8raR-4KvQe2j5pL.-rip4g</v>
      </c>
      <c r="AA585" s="5"/>
      <c r="AB585" s="5"/>
      <c r="AC585" s="5"/>
      <c r="AD585" s="5">
        <f ca="1">IFERROR(__xludf.DUMMYFUNCTION("""COMPUTED_VALUE"""),38)</f>
        <v>38</v>
      </c>
      <c r="AE585" s="5">
        <f ca="1">IFERROR(__xludf.DUMMYFUNCTION("""COMPUTED_VALUE"""),0)</f>
        <v>0</v>
      </c>
      <c r="AF585" s="5" t="b">
        <f ca="1">IFERROR(__xludf.DUMMYFUNCTION("""COMPUTED_VALUE"""),TRUE)</f>
        <v>1</v>
      </c>
      <c r="AG585" s="5" t="str">
        <f ca="1">IFERROR(__xludf.DUMMYFUNCTION("""COMPUTED_VALUE"""),"INSPECCIONES SIN REALIZAR")</f>
        <v>INSPECCIONES SIN REALIZAR</v>
      </c>
      <c r="AH585" s="5"/>
    </row>
    <row r="586" spans="1:34">
      <c r="A586" s="5" t="str">
        <f ca="1">IFERROR(__xludf.DUMMYFUNCTION("""COMPUTED_VALUE"""),"LINEA DE ENVASADO FAMILIAR Y PRB")</f>
        <v>LINEA DE ENVASADO FAMILIAR Y PRB</v>
      </c>
      <c r="B586" s="5">
        <f ca="1">IFERROR(__xludf.DUMMYFUNCTION("""COMPUTED_VALUE"""),599559)</f>
        <v>599559</v>
      </c>
      <c r="C586" s="5" t="str">
        <f ca="1">IFERROR(__xludf.DUMMYFUNCTION("""COMPUTED_VALUE"""),"INSPECTOR ELECTRONICO")</f>
        <v>INSPECTOR ELECTRONICO</v>
      </c>
      <c r="D586" s="5">
        <f ca="1">IFERROR(__xludf.DUMMYFUNCTION("""COMPUTED_VALUE"""),13247274)</f>
        <v>13247274</v>
      </c>
      <c r="E586" s="5" t="str">
        <f ca="1">IFERROR(__xludf.DUMMYFUNCTION("""COMPUTED_VALUE"""),"INSPECCION SEMANAL Inspector 2")</f>
        <v>INSPECCION SEMANAL Inspector 2</v>
      </c>
      <c r="F586" s="5" t="str">
        <f ca="1">IFERROR(__xludf.DUMMYFUNCTION("""COMPUTED_VALUE"""),"Verificacion de botellas de prueba")</f>
        <v>Verificacion de botellas de prueba</v>
      </c>
      <c r="G586" s="5"/>
      <c r="H586" s="5"/>
      <c r="I586" s="5"/>
      <c r="J586" s="5"/>
      <c r="K586" s="5"/>
      <c r="L586" s="18">
        <f ca="1">IFERROR(__xludf.DUMMYFUNCTION("""COMPUTED_VALUE"""),45325)</f>
        <v>45325</v>
      </c>
      <c r="M586" s="18">
        <f ca="1">IFERROR(__xludf.DUMMYFUNCTION("""COMPUTED_VALUE"""),45325)</f>
        <v>45325</v>
      </c>
      <c r="N586" s="5" t="str">
        <f ca="1">IFERROR(__xludf.DUMMYFUNCTION("""COMPUTED_VALUE"""),"Alexander Echeverry Moreno")</f>
        <v>Alexander Echeverry Moreno</v>
      </c>
      <c r="O586" s="2">
        <f ca="1">IFERROR(__xludf.DUMMYFUNCTION("""COMPUTED_VALUE"""),0.005)</f>
        <v>5.0000000000000001E-3</v>
      </c>
      <c r="P586" s="5"/>
      <c r="Q586" s="5" t="str">
        <f ca="1">IFERROR(__xludf.DUMMYFUNCTION("""COMPUTED_VALUE"""),"_kUgonwnEqI")</f>
        <v>_kUgonwnEqI</v>
      </c>
      <c r="R586" s="5">
        <f ca="1">IFERROR(__xludf.DUMMYFUNCTION("""COMPUTED_VALUE"""),410)</f>
        <v>410</v>
      </c>
      <c r="S586" s="62">
        <f ca="1">IFERROR(__xludf.DUMMYFUNCTION("""COMPUTED_VALUE"""),0.005)</f>
        <v>5.0000000000000001E-3</v>
      </c>
      <c r="T586" s="63" t="str">
        <f ca="1">IFERROR(__xludf.DUMMYFUNCTION("""COMPUTED_VALUE"""),"https://storage.googleapis.com/glide-prod.appspot.com/uploads-v2/ly7o78grxPaC6KdgvbpS/pub/UliJWgpEaBovaFmXi6OW.png")</f>
        <v>https://storage.googleapis.com/glide-prod.appspot.com/uploads-v2/ly7o78grxPaC6KdgvbpS/pub/UliJWgpEaBovaFmXi6OW.png</v>
      </c>
      <c r="U586" s="5" t="str">
        <f ca="1">IFERROR(__xludf.DUMMYFUNCTION("""COMPUTED_VALUE"""),"LINEA DE ENVASADO FAMILIAR Y PRBINSPECTOR ELECTRONICO")</f>
        <v>LINEA DE ENVASADO FAMILIAR Y PRBINSPECTOR ELECTRONICO</v>
      </c>
      <c r="V586" s="5"/>
      <c r="W586" s="5"/>
      <c r="X586" s="5" t="str">
        <f ca="1">IFERROR(__xludf.DUMMYFUNCTION("""COMPUTED_VALUE"""),"wguerra@postobon.com.co,aprmttoyu@postobon.com.co,aprmyu@postobon.com.co,wmora@postobon.com.co,efzapata@postobon.com.co")</f>
        <v>wguerra@postobon.com.co,aprmttoyu@postobon.com.co,aprmyu@postobon.com.co,wmora@postobon.com.co,efzapata@postobon.com.co</v>
      </c>
      <c r="Y586" s="5" t="str">
        <f ca="1">IFERROR(__xludf.DUMMYFUNCTION("""COMPUTED_VALUE"""),"wguerra@postobon.com.co")</f>
        <v>wguerra@postobon.com.co</v>
      </c>
      <c r="Z586" s="5" t="str">
        <f ca="1">IFERROR(__xludf.DUMMYFUNCTION("""COMPUTED_VALUE"""),"OuuL0om8Ss28GcoCzB-uXQ")</f>
        <v>OuuL0om8Ss28GcoCzB-uXQ</v>
      </c>
      <c r="AA586" s="5"/>
      <c r="AB586" s="5"/>
      <c r="AC586" s="5"/>
      <c r="AD586" s="5">
        <f ca="1">IFERROR(__xludf.DUMMYFUNCTION("""COMPUTED_VALUE"""),38)</f>
        <v>38</v>
      </c>
      <c r="AE586" s="5">
        <f ca="1">IFERROR(__xludf.DUMMYFUNCTION("""COMPUTED_VALUE"""),0)</f>
        <v>0</v>
      </c>
      <c r="AF586" s="5" t="b">
        <f ca="1">IFERROR(__xludf.DUMMYFUNCTION("""COMPUTED_VALUE"""),TRUE)</f>
        <v>1</v>
      </c>
      <c r="AG586" s="5" t="str">
        <f ca="1">IFERROR(__xludf.DUMMYFUNCTION("""COMPUTED_VALUE"""),"INSPECCIONES SIN REALIZAR")</f>
        <v>INSPECCIONES SIN REALIZAR</v>
      </c>
      <c r="AH586" s="5"/>
    </row>
    <row r="587" spans="1:34">
      <c r="A587" s="5" t="str">
        <f ca="1">IFERROR(__xludf.DUMMYFUNCTION("""COMPUTED_VALUE"""),"LINEA DE ENVASADO FAMILIAR Y PRB")</f>
        <v>LINEA DE ENVASADO FAMILIAR Y PRB</v>
      </c>
      <c r="B587" s="5">
        <f ca="1">IFERROR(__xludf.DUMMYFUNCTION("""COMPUTED_VALUE"""),599559)</f>
        <v>599559</v>
      </c>
      <c r="C587" s="5" t="str">
        <f ca="1">IFERROR(__xludf.DUMMYFUNCTION("""COMPUTED_VALUE"""),"INSPECTOR ELECTRONICO")</f>
        <v>INSPECTOR ELECTRONICO</v>
      </c>
      <c r="D587" s="5">
        <f ca="1">IFERROR(__xludf.DUMMYFUNCTION("""COMPUTED_VALUE"""),13247274)</f>
        <v>13247274</v>
      </c>
      <c r="E587" s="5" t="str">
        <f ca="1">IFERROR(__xludf.DUMMYFUNCTION("""COMPUTED_VALUE"""),"INSPECCION SEMANAL Inspector 2")</f>
        <v>INSPECCION SEMANAL Inspector 2</v>
      </c>
      <c r="F587" s="5" t="str">
        <f ca="1">IFERROR(__xludf.DUMMYFUNCTION("""COMPUTED_VALUE"""),"Estado de tableros eléctricos de mando, control y potencia")</f>
        <v>Estado de tableros eléctricos de mando, control y potencia</v>
      </c>
      <c r="G587" s="5"/>
      <c r="H587" s="5"/>
      <c r="I587" s="5"/>
      <c r="J587" s="5"/>
      <c r="K587" s="5"/>
      <c r="L587" s="18">
        <f ca="1">IFERROR(__xludf.DUMMYFUNCTION("""COMPUTED_VALUE"""),45325)</f>
        <v>45325</v>
      </c>
      <c r="M587" s="18">
        <f ca="1">IFERROR(__xludf.DUMMYFUNCTION("""COMPUTED_VALUE"""),45325)</f>
        <v>45325</v>
      </c>
      <c r="N587" s="5" t="str">
        <f ca="1">IFERROR(__xludf.DUMMYFUNCTION("""COMPUTED_VALUE"""),"Alexander Echeverry Moreno")</f>
        <v>Alexander Echeverry Moreno</v>
      </c>
      <c r="O587" s="2">
        <f ca="1">IFERROR(__xludf.DUMMYFUNCTION("""COMPUTED_VALUE"""),0.005)</f>
        <v>5.0000000000000001E-3</v>
      </c>
      <c r="P587" s="5"/>
      <c r="Q587" s="5" t="str">
        <f ca="1">IFERROR(__xludf.DUMMYFUNCTION("""COMPUTED_VALUE"""),"eSKQJnEhi2o")</f>
        <v>eSKQJnEhi2o</v>
      </c>
      <c r="R587" s="5">
        <f ca="1">IFERROR(__xludf.DUMMYFUNCTION("""COMPUTED_VALUE"""),410)</f>
        <v>410</v>
      </c>
      <c r="S587" s="62">
        <f ca="1">IFERROR(__xludf.DUMMYFUNCTION("""COMPUTED_VALUE"""),0.005)</f>
        <v>5.0000000000000001E-3</v>
      </c>
      <c r="T587" s="63" t="str">
        <f ca="1">IFERROR(__xludf.DUMMYFUNCTION("""COMPUTED_VALUE"""),"https://storage.googleapis.com/glide-prod.appspot.com/uploads-v2/ly7o78grxPaC6KdgvbpS/pub/UliJWgpEaBovaFmXi6OW.png")</f>
        <v>https://storage.googleapis.com/glide-prod.appspot.com/uploads-v2/ly7o78grxPaC6KdgvbpS/pub/UliJWgpEaBovaFmXi6OW.png</v>
      </c>
      <c r="U587" s="5" t="str">
        <f ca="1">IFERROR(__xludf.DUMMYFUNCTION("""COMPUTED_VALUE"""),"LINEA DE ENVASADO FAMILIAR Y PRBINSPECTOR ELECTRONICO")</f>
        <v>LINEA DE ENVASADO FAMILIAR Y PRBINSPECTOR ELECTRONICO</v>
      </c>
      <c r="V587" s="5"/>
      <c r="W587" s="5"/>
      <c r="X587" s="5" t="str">
        <f ca="1">IFERROR(__xludf.DUMMYFUNCTION("""COMPUTED_VALUE"""),"wguerra@postobon.com.co,aprmttoyu@postobon.com.co,aprmyu@postobon.com.co,wmora@postobon.com.co,efzapata@postobon.com.co")</f>
        <v>wguerra@postobon.com.co,aprmttoyu@postobon.com.co,aprmyu@postobon.com.co,wmora@postobon.com.co,efzapata@postobon.com.co</v>
      </c>
      <c r="Y587" s="5" t="str">
        <f ca="1">IFERROR(__xludf.DUMMYFUNCTION("""COMPUTED_VALUE"""),"wguerra@postobon.com.co")</f>
        <v>wguerra@postobon.com.co</v>
      </c>
      <c r="Z587" s="5" t="str">
        <f ca="1">IFERROR(__xludf.DUMMYFUNCTION("""COMPUTED_VALUE"""),"xeYDJDIJTbCcIeXoOHS6Ig")</f>
        <v>xeYDJDIJTbCcIeXoOHS6Ig</v>
      </c>
      <c r="AA587" s="5"/>
      <c r="AB587" s="5"/>
      <c r="AC587" s="5"/>
      <c r="AD587" s="5">
        <f ca="1">IFERROR(__xludf.DUMMYFUNCTION("""COMPUTED_VALUE"""),38)</f>
        <v>38</v>
      </c>
      <c r="AE587" s="5">
        <f ca="1">IFERROR(__xludf.DUMMYFUNCTION("""COMPUTED_VALUE"""),0)</f>
        <v>0</v>
      </c>
      <c r="AF587" s="5" t="b">
        <f ca="1">IFERROR(__xludf.DUMMYFUNCTION("""COMPUTED_VALUE"""),TRUE)</f>
        <v>1</v>
      </c>
      <c r="AG587" s="5" t="str">
        <f ca="1">IFERROR(__xludf.DUMMYFUNCTION("""COMPUTED_VALUE"""),"INSPECCIONES SIN REALIZAR")</f>
        <v>INSPECCIONES SIN REALIZAR</v>
      </c>
      <c r="AH587" s="5"/>
    </row>
    <row r="588" spans="1:34">
      <c r="A588" s="5" t="str">
        <f ca="1">IFERROR(__xludf.DUMMYFUNCTION("""COMPUTED_VALUE"""),"LINEA DE ENVASADO FAMILIAR Y PRB")</f>
        <v>LINEA DE ENVASADO FAMILIAR Y PRB</v>
      </c>
      <c r="B588" s="5">
        <f ca="1">IFERROR(__xludf.DUMMYFUNCTION("""COMPUTED_VALUE"""),599559)</f>
        <v>599559</v>
      </c>
      <c r="C588" s="5" t="str">
        <f ca="1">IFERROR(__xludf.DUMMYFUNCTION("""COMPUTED_VALUE"""),"INSPECTOR ELECTRONICO")</f>
        <v>INSPECTOR ELECTRONICO</v>
      </c>
      <c r="D588" s="5">
        <f ca="1">IFERROR(__xludf.DUMMYFUNCTION("""COMPUTED_VALUE"""),13247274)</f>
        <v>13247274</v>
      </c>
      <c r="E588" s="5" t="str">
        <f ca="1">IFERROR(__xludf.DUMMYFUNCTION("""COMPUTED_VALUE"""),"INSPECCION SEMANAL Inspector 2")</f>
        <v>INSPECCION SEMANAL Inspector 2</v>
      </c>
      <c r="F588" s="5" t="str">
        <f ca="1">IFERROR(__xludf.DUMMYFUNCTION("""COMPUTED_VALUE"""),"Estado final View")</f>
        <v>Estado final View</v>
      </c>
      <c r="G588" s="5"/>
      <c r="H588" s="5"/>
      <c r="I588" s="5"/>
      <c r="J588" s="5"/>
      <c r="K588" s="5"/>
      <c r="L588" s="18">
        <f ca="1">IFERROR(__xludf.DUMMYFUNCTION("""COMPUTED_VALUE"""),45325)</f>
        <v>45325</v>
      </c>
      <c r="M588" s="18">
        <f ca="1">IFERROR(__xludf.DUMMYFUNCTION("""COMPUTED_VALUE"""),45325)</f>
        <v>45325</v>
      </c>
      <c r="N588" s="5" t="str">
        <f ca="1">IFERROR(__xludf.DUMMYFUNCTION("""COMPUTED_VALUE"""),"Alexander Echeverry Moreno")</f>
        <v>Alexander Echeverry Moreno</v>
      </c>
      <c r="O588" s="2">
        <f ca="1">IFERROR(__xludf.DUMMYFUNCTION("""COMPUTED_VALUE"""),0.005)</f>
        <v>5.0000000000000001E-3</v>
      </c>
      <c r="P588" s="5"/>
      <c r="Q588" s="5" t="str">
        <f ca="1">IFERROR(__xludf.DUMMYFUNCTION("""COMPUTED_VALUE"""),"NCE3IzM14aI")</f>
        <v>NCE3IzM14aI</v>
      </c>
      <c r="R588" s="5">
        <f ca="1">IFERROR(__xludf.DUMMYFUNCTION("""COMPUTED_VALUE"""),410)</f>
        <v>410</v>
      </c>
      <c r="S588" s="62">
        <f ca="1">IFERROR(__xludf.DUMMYFUNCTION("""COMPUTED_VALUE"""),0.005)</f>
        <v>5.0000000000000001E-3</v>
      </c>
      <c r="T588" s="63" t="str">
        <f ca="1">IFERROR(__xludf.DUMMYFUNCTION("""COMPUTED_VALUE"""),"https://storage.googleapis.com/glide-prod.appspot.com/uploads-v2/ly7o78grxPaC6KdgvbpS/pub/UliJWgpEaBovaFmXi6OW.png")</f>
        <v>https://storage.googleapis.com/glide-prod.appspot.com/uploads-v2/ly7o78grxPaC6KdgvbpS/pub/UliJWgpEaBovaFmXi6OW.png</v>
      </c>
      <c r="U588" s="5" t="str">
        <f ca="1">IFERROR(__xludf.DUMMYFUNCTION("""COMPUTED_VALUE"""),"LINEA DE ENVASADO FAMILIAR Y PRBINSPECTOR ELECTRONICO")</f>
        <v>LINEA DE ENVASADO FAMILIAR Y PRBINSPECTOR ELECTRONICO</v>
      </c>
      <c r="V588" s="5"/>
      <c r="W588" s="5"/>
      <c r="X588" s="5" t="str">
        <f ca="1">IFERROR(__xludf.DUMMYFUNCTION("""COMPUTED_VALUE"""),"wguerra@postobon.com.co,aprmttoyu@postobon.com.co,aprmyu@postobon.com.co,wmora@postobon.com.co,efzapata@postobon.com.co")</f>
        <v>wguerra@postobon.com.co,aprmttoyu@postobon.com.co,aprmyu@postobon.com.co,wmora@postobon.com.co,efzapata@postobon.com.co</v>
      </c>
      <c r="Y588" s="5" t="str">
        <f ca="1">IFERROR(__xludf.DUMMYFUNCTION("""COMPUTED_VALUE"""),"wguerra@postobon.com.co")</f>
        <v>wguerra@postobon.com.co</v>
      </c>
      <c r="Z588" s="5" t="str">
        <f ca="1">IFERROR(__xludf.DUMMYFUNCTION("""COMPUTED_VALUE"""),"KY41l7HdSxiSPU2.IG0-mQ")</f>
        <v>KY41l7HdSxiSPU2.IG0-mQ</v>
      </c>
      <c r="AA588" s="5"/>
      <c r="AB588" s="5"/>
      <c r="AC588" s="5"/>
      <c r="AD588" s="5">
        <f ca="1">IFERROR(__xludf.DUMMYFUNCTION("""COMPUTED_VALUE"""),38)</f>
        <v>38</v>
      </c>
      <c r="AE588" s="5">
        <f ca="1">IFERROR(__xludf.DUMMYFUNCTION("""COMPUTED_VALUE"""),0)</f>
        <v>0</v>
      </c>
      <c r="AF588" s="5" t="b">
        <f ca="1">IFERROR(__xludf.DUMMYFUNCTION("""COMPUTED_VALUE"""),TRUE)</f>
        <v>1</v>
      </c>
      <c r="AG588" s="5" t="str">
        <f ca="1">IFERROR(__xludf.DUMMYFUNCTION("""COMPUTED_VALUE"""),"INSPECCIONES SIN REALIZAR")</f>
        <v>INSPECCIONES SIN REALIZAR</v>
      </c>
      <c r="AH588" s="5"/>
    </row>
    <row r="589" spans="1:34">
      <c r="A589" s="5" t="str">
        <f ca="1">IFERROR(__xludf.DUMMYFUNCTION("""COMPUTED_VALUE"""),"LINEA DE ENVASADO FAMILIAR Y PRB")</f>
        <v>LINEA DE ENVASADO FAMILIAR Y PRB</v>
      </c>
      <c r="B589" s="5">
        <f ca="1">IFERROR(__xludf.DUMMYFUNCTION("""COMPUTED_VALUE"""),599559)</f>
        <v>599559</v>
      </c>
      <c r="C589" s="5" t="str">
        <f ca="1">IFERROR(__xludf.DUMMYFUNCTION("""COMPUTED_VALUE"""),"INSPECTOR ELECTRONICO")</f>
        <v>INSPECTOR ELECTRONICO</v>
      </c>
      <c r="D589" s="5">
        <f ca="1">IFERROR(__xludf.DUMMYFUNCTION("""COMPUTED_VALUE"""),13247274)</f>
        <v>13247274</v>
      </c>
      <c r="E589" s="5" t="str">
        <f ca="1">IFERROR(__xludf.DUMMYFUNCTION("""COMPUTED_VALUE"""),"INSPECCION SEMANAL Inspector 2")</f>
        <v>INSPECCION SEMANAL Inspector 2</v>
      </c>
      <c r="F589" s="5" t="str">
        <f ca="1">IFERROR(__xludf.DUMMYFUNCTION("""COMPUTED_VALUE"""),"Estado y limpieza de extractor y/o climatizador tablero eléctrico.")</f>
        <v>Estado y limpieza de extractor y/o climatizador tablero eléctrico.</v>
      </c>
      <c r="G589" s="5"/>
      <c r="H589" s="5"/>
      <c r="I589" s="5"/>
      <c r="J589" s="5"/>
      <c r="K589" s="5"/>
      <c r="L589" s="18">
        <f ca="1">IFERROR(__xludf.DUMMYFUNCTION("""COMPUTED_VALUE"""),45325)</f>
        <v>45325</v>
      </c>
      <c r="M589" s="18">
        <f ca="1">IFERROR(__xludf.DUMMYFUNCTION("""COMPUTED_VALUE"""),45325)</f>
        <v>45325</v>
      </c>
      <c r="N589" s="5" t="str">
        <f ca="1">IFERROR(__xludf.DUMMYFUNCTION("""COMPUTED_VALUE"""),"Alexander Echeverry Moreno")</f>
        <v>Alexander Echeverry Moreno</v>
      </c>
      <c r="O589" s="2">
        <f ca="1">IFERROR(__xludf.DUMMYFUNCTION("""COMPUTED_VALUE"""),0.005)</f>
        <v>5.0000000000000001E-3</v>
      </c>
      <c r="P589" s="5"/>
      <c r="Q589" s="5" t="str">
        <f ca="1">IFERROR(__xludf.DUMMYFUNCTION("""COMPUTED_VALUE"""),"aFiodDAbCgs")</f>
        <v>aFiodDAbCgs</v>
      </c>
      <c r="R589" s="5">
        <f ca="1">IFERROR(__xludf.DUMMYFUNCTION("""COMPUTED_VALUE"""),410)</f>
        <v>410</v>
      </c>
      <c r="S589" s="62">
        <f ca="1">IFERROR(__xludf.DUMMYFUNCTION("""COMPUTED_VALUE"""),0.005)</f>
        <v>5.0000000000000001E-3</v>
      </c>
      <c r="T589" s="63" t="str">
        <f ca="1">IFERROR(__xludf.DUMMYFUNCTION("""COMPUTED_VALUE"""),"https://storage.googleapis.com/glide-prod.appspot.com/uploads-v2/ly7o78grxPaC6KdgvbpS/pub/UliJWgpEaBovaFmXi6OW.png")</f>
        <v>https://storage.googleapis.com/glide-prod.appspot.com/uploads-v2/ly7o78grxPaC6KdgvbpS/pub/UliJWgpEaBovaFmXi6OW.png</v>
      </c>
      <c r="U589" s="5" t="str">
        <f ca="1">IFERROR(__xludf.DUMMYFUNCTION("""COMPUTED_VALUE"""),"LINEA DE ENVASADO FAMILIAR Y PRBINSPECTOR ELECTRONICO")</f>
        <v>LINEA DE ENVASADO FAMILIAR Y PRBINSPECTOR ELECTRONICO</v>
      </c>
      <c r="V589" s="5"/>
      <c r="W589" s="5"/>
      <c r="X589" s="5" t="str">
        <f ca="1">IFERROR(__xludf.DUMMYFUNCTION("""COMPUTED_VALUE"""),"wguerra@postobon.com.co,aprmttoyu@postobon.com.co,aprmyu@postobon.com.co,wmora@postobon.com.co,efzapata@postobon.com.co")</f>
        <v>wguerra@postobon.com.co,aprmttoyu@postobon.com.co,aprmyu@postobon.com.co,wmora@postobon.com.co,efzapata@postobon.com.co</v>
      </c>
      <c r="Y589" s="5" t="str">
        <f ca="1">IFERROR(__xludf.DUMMYFUNCTION("""COMPUTED_VALUE"""),"wguerra@postobon.com.co")</f>
        <v>wguerra@postobon.com.co</v>
      </c>
      <c r="Z589" s="5" t="str">
        <f ca="1">IFERROR(__xludf.DUMMYFUNCTION("""COMPUTED_VALUE"""),"AWb7FY-QTzScHiuaLbIY2g")</f>
        <v>AWb7FY-QTzScHiuaLbIY2g</v>
      </c>
      <c r="AA589" s="5"/>
      <c r="AB589" s="5"/>
      <c r="AC589" s="5"/>
      <c r="AD589" s="5">
        <f ca="1">IFERROR(__xludf.DUMMYFUNCTION("""COMPUTED_VALUE"""),38)</f>
        <v>38</v>
      </c>
      <c r="AE589" s="5">
        <f ca="1">IFERROR(__xludf.DUMMYFUNCTION("""COMPUTED_VALUE"""),0)</f>
        <v>0</v>
      </c>
      <c r="AF589" s="5" t="b">
        <f ca="1">IFERROR(__xludf.DUMMYFUNCTION("""COMPUTED_VALUE"""),TRUE)</f>
        <v>1</v>
      </c>
      <c r="AG589" s="5" t="str">
        <f ca="1">IFERROR(__xludf.DUMMYFUNCTION("""COMPUTED_VALUE"""),"INSPECCIONES SIN REALIZAR")</f>
        <v>INSPECCIONES SIN REALIZAR</v>
      </c>
      <c r="AH589" s="5"/>
    </row>
    <row r="590" spans="1:34">
      <c r="A590" s="5" t="str">
        <f ca="1">IFERROR(__xludf.DUMMYFUNCTION("""COMPUTED_VALUE"""),"LINEA DE ENVASADO JUGOS PET HOT FILL")</f>
        <v>LINEA DE ENVASADO JUGOS PET HOT FILL</v>
      </c>
      <c r="B590" s="5">
        <f ca="1">IFERROR(__xludf.DUMMYFUNCTION("""COMPUTED_VALUE"""),599566)</f>
        <v>599566</v>
      </c>
      <c r="C590" s="5" t="str">
        <f ca="1">IFERROR(__xludf.DUMMYFUNCTION("""COMPUTED_VALUE"""),"INSPECTOR DE BOTELLA LLENA")</f>
        <v>INSPECTOR DE BOTELLA LLENA</v>
      </c>
      <c r="D590" s="5">
        <f ca="1">IFERROR(__xludf.DUMMYFUNCTION("""COMPUTED_VALUE"""),13247762)</f>
        <v>13247762</v>
      </c>
      <c r="E590" s="5" t="str">
        <f ca="1">IFERROR(__xludf.DUMMYFUNCTION("""COMPUTED_VALUE"""),"INSPECCION SEMANAL INSPECTOR DE BOTELLA")</f>
        <v>INSPECCION SEMANAL INSPECTOR DE BOTELLA</v>
      </c>
      <c r="F590" s="5" t="str">
        <f ca="1">IFERROR(__xludf.DUMMYFUNCTION("""COMPUTED_VALUE"""),"INSP. TABLERO ELECTRICO/CLIMATIZADOR")</f>
        <v>INSP. TABLERO ELECTRICO/CLIMATIZADOR</v>
      </c>
      <c r="G590" s="5" t="b">
        <f ca="1">IFERROR(__xludf.DUMMYFUNCTION("""COMPUTED_VALUE"""),TRUE)</f>
        <v>1</v>
      </c>
      <c r="H590" s="5"/>
      <c r="I590" s="5"/>
      <c r="J590" s="5">
        <f ca="1">IFERROR(__xludf.DUMMYFUNCTION("""COMPUTED_VALUE"""),13247762)</f>
        <v>13247762</v>
      </c>
      <c r="K590" s="5"/>
      <c r="L590" s="18">
        <f ca="1">IFERROR(__xludf.DUMMYFUNCTION("""COMPUTED_VALUE"""),45324)</f>
        <v>45324</v>
      </c>
      <c r="M590" s="18">
        <f ca="1">IFERROR(__xludf.DUMMYFUNCTION("""COMPUTED_VALUE"""),45324)</f>
        <v>45324</v>
      </c>
      <c r="N590" s="5" t="str">
        <f ca="1">IFERROR(__xludf.DUMMYFUNCTION("""COMPUTED_VALUE"""),"Bedoya Marin Johan Andres")</f>
        <v>Bedoya Marin Johan Andres</v>
      </c>
      <c r="O590" s="2">
        <f ca="1">IFERROR(__xludf.DUMMYFUNCTION("""COMPUTED_VALUE"""),0.011111111)</f>
        <v>1.1111111E-2</v>
      </c>
      <c r="P590" s="5">
        <f ca="1">IFERROR(__xludf.DUMMYFUNCTION("""COMPUTED_VALUE"""),20019988)</f>
        <v>20019988</v>
      </c>
      <c r="Q590" s="5" t="str">
        <f ca="1">IFERROR(__xludf.DUMMYFUNCTION("""COMPUTED_VALUE"""),"j0iqNESVMzc")</f>
        <v>j0iqNESVMzc</v>
      </c>
      <c r="R590" s="5">
        <f ca="1">IFERROR(__xludf.DUMMYFUNCTION("""COMPUTED_VALUE"""),410)</f>
        <v>410</v>
      </c>
      <c r="S590" s="62">
        <f ca="1">IFERROR(__xludf.DUMMYFUNCTION("""COMPUTED_VALUE"""),0.011111111)</f>
        <v>1.1111111E-2</v>
      </c>
      <c r="T590" s="63" t="str">
        <f ca="1">IFERROR(__xludf.DUMMYFUNCTION("""COMPUTED_VALUE"""),"https://storage.googleapis.com/glide-prod.appspot.com/uploads-v2/ly7o78grxPaC6KdgvbpS/pub/3aRdSog0vUtuqPE8AJKD.png")</f>
        <v>https://storage.googleapis.com/glide-prod.appspot.com/uploads-v2/ly7o78grxPaC6KdgvbpS/pub/3aRdSog0vUtuqPE8AJKD.png</v>
      </c>
      <c r="U590" s="5" t="str">
        <f ca="1">IFERROR(__xludf.DUMMYFUNCTION("""COMPUTED_VALUE"""),"LINEA DE ENVASADO JUGOS PET HOT FILLINSPECTOR DE BOTELLA LLENA")</f>
        <v>LINEA DE ENVASADO JUGOS PET HOT FILLINSPECTOR DE BOTELLA LLENA</v>
      </c>
      <c r="V590" s="5"/>
      <c r="W590" s="5" t="b">
        <f ca="1">IFERROR(__xludf.DUMMYFUNCTION("""COMPUTED_VALUE"""),TRUE)</f>
        <v>1</v>
      </c>
      <c r="X590" s="5" t="str">
        <f ca="1">IFERROR(__xludf.DUMMYFUNCTION("""COMPUTED_VALUE"""),"achavezi@postobon.com.co,aprmttoyu@postobon.com.co,aprmyu@postobon.com.co,wmora@postobon.com.co,efzapata@postobon.com.co")</f>
        <v>achavezi@postobon.com.co,aprmttoyu@postobon.com.co,aprmyu@postobon.com.co,wmora@postobon.com.co,efzapata@postobon.com.co</v>
      </c>
      <c r="Y590" s="5" t="str">
        <f ca="1">IFERROR(__xludf.DUMMYFUNCTION("""COMPUTED_VALUE"""),"achavezi@postobon.com.co")</f>
        <v>achavezi@postobon.com.co</v>
      </c>
      <c r="Z590" s="5" t="str">
        <f ca="1">IFERROR(__xludf.DUMMYFUNCTION("""COMPUTED_VALUE"""),"ZhDeO2SySY6A1SB5-vai0Q")</f>
        <v>ZhDeO2SySY6A1SB5-vai0Q</v>
      </c>
      <c r="AA590" s="5"/>
      <c r="AB590" s="5"/>
      <c r="AC590" s="5"/>
      <c r="AD590" s="5">
        <f ca="1">IFERROR(__xludf.DUMMYFUNCTION("""COMPUTED_VALUE"""),30)</f>
        <v>30</v>
      </c>
      <c r="AE590" s="5">
        <f ca="1">IFERROR(__xludf.DUMMYFUNCTION("""COMPUTED_VALUE"""),30)</f>
        <v>30</v>
      </c>
      <c r="AF590" s="5" t="b">
        <f ca="1">IFERROR(__xludf.DUMMYFUNCTION("""COMPUTED_VALUE"""),FALSE)</f>
        <v>0</v>
      </c>
      <c r="AG590" s="5" t="str">
        <f ca="1">IFERROR(__xludf.DUMMYFUNCTION("""COMPUTED_VALUE"""),"INSPECCIONES REALIZADAS")</f>
        <v>INSPECCIONES REALIZADAS</v>
      </c>
      <c r="AH590" s="5"/>
    </row>
    <row r="591" spans="1:34">
      <c r="A591" s="5" t="str">
        <f ca="1">IFERROR(__xludf.DUMMYFUNCTION("""COMPUTED_VALUE"""),"LINEA DE ENVASADO JUGOS PET HOT FILL")</f>
        <v>LINEA DE ENVASADO JUGOS PET HOT FILL</v>
      </c>
      <c r="B591" s="5">
        <f ca="1">IFERROR(__xludf.DUMMYFUNCTION("""COMPUTED_VALUE"""),599566)</f>
        <v>599566</v>
      </c>
      <c r="C591" s="5" t="str">
        <f ca="1">IFERROR(__xludf.DUMMYFUNCTION("""COMPUTED_VALUE"""),"INSPECTOR DE BOTELLA LLENA")</f>
        <v>INSPECTOR DE BOTELLA LLENA</v>
      </c>
      <c r="D591" s="5">
        <f ca="1">IFERROR(__xludf.DUMMYFUNCTION("""COMPUTED_VALUE"""),13247762)</f>
        <v>13247762</v>
      </c>
      <c r="E591" s="5" t="str">
        <f ca="1">IFERROR(__xludf.DUMMYFUNCTION("""COMPUTED_VALUE"""),"INSPECCION SEMANAL INSPECTOR DE BOTELLA")</f>
        <v>INSPECCION SEMANAL INSPECTOR DE BOTELLA</v>
      </c>
      <c r="F591" s="5" t="str">
        <f ca="1">IFERROR(__xludf.DUMMYFUNCTION("""COMPUTED_VALUE"""),"INSP. UNIDAD MATTO AIRE")</f>
        <v>INSP. UNIDAD MATTO AIRE</v>
      </c>
      <c r="G591" s="5" t="b">
        <f ca="1">IFERROR(__xludf.DUMMYFUNCTION("""COMPUTED_VALUE"""),TRUE)</f>
        <v>1</v>
      </c>
      <c r="H591" s="5"/>
      <c r="I591" s="5"/>
      <c r="J591" s="5">
        <f ca="1">IFERROR(__xludf.DUMMYFUNCTION("""COMPUTED_VALUE"""),13247762)</f>
        <v>13247762</v>
      </c>
      <c r="K591" s="5"/>
      <c r="L591" s="18">
        <f ca="1">IFERROR(__xludf.DUMMYFUNCTION("""COMPUTED_VALUE"""),45324)</f>
        <v>45324</v>
      </c>
      <c r="M591" s="18">
        <f ca="1">IFERROR(__xludf.DUMMYFUNCTION("""COMPUTED_VALUE"""),45324)</f>
        <v>45324</v>
      </c>
      <c r="N591" s="5" t="str">
        <f ca="1">IFERROR(__xludf.DUMMYFUNCTION("""COMPUTED_VALUE"""),"Bedoya Marin Johan Andres")</f>
        <v>Bedoya Marin Johan Andres</v>
      </c>
      <c r="O591" s="2">
        <f ca="1">IFERROR(__xludf.DUMMYFUNCTION("""COMPUTED_VALUE"""),0.011111111)</f>
        <v>1.1111111E-2</v>
      </c>
      <c r="P591" s="5">
        <f ca="1">IFERROR(__xludf.DUMMYFUNCTION("""COMPUTED_VALUE"""),20019988)</f>
        <v>20019988</v>
      </c>
      <c r="Q591" s="5" t="str">
        <f ca="1">IFERROR(__xludf.DUMMYFUNCTION("""COMPUTED_VALUE"""),"aQl2XzaEBSE")</f>
        <v>aQl2XzaEBSE</v>
      </c>
      <c r="R591" s="5">
        <f ca="1">IFERROR(__xludf.DUMMYFUNCTION("""COMPUTED_VALUE"""),410)</f>
        <v>410</v>
      </c>
      <c r="S591" s="62">
        <f ca="1">IFERROR(__xludf.DUMMYFUNCTION("""COMPUTED_VALUE"""),0.011111111)</f>
        <v>1.1111111E-2</v>
      </c>
      <c r="T591" s="63" t="str">
        <f ca="1">IFERROR(__xludf.DUMMYFUNCTION("""COMPUTED_VALUE"""),"https://storage.googleapis.com/glide-prod.appspot.com/uploads-v2/ly7o78grxPaC6KdgvbpS/pub/3aRdSog0vUtuqPE8AJKD.png")</f>
        <v>https://storage.googleapis.com/glide-prod.appspot.com/uploads-v2/ly7o78grxPaC6KdgvbpS/pub/3aRdSog0vUtuqPE8AJKD.png</v>
      </c>
      <c r="U591" s="5" t="str">
        <f ca="1">IFERROR(__xludf.DUMMYFUNCTION("""COMPUTED_VALUE"""),"LINEA DE ENVASADO JUGOS PET HOT FILLINSPECTOR DE BOTELLA LLENA")</f>
        <v>LINEA DE ENVASADO JUGOS PET HOT FILLINSPECTOR DE BOTELLA LLENA</v>
      </c>
      <c r="V591" s="5"/>
      <c r="W591" s="5" t="b">
        <f ca="1">IFERROR(__xludf.DUMMYFUNCTION("""COMPUTED_VALUE"""),TRUE)</f>
        <v>1</v>
      </c>
      <c r="X591" s="5" t="str">
        <f ca="1">IFERROR(__xludf.DUMMYFUNCTION("""COMPUTED_VALUE"""),"achavezi@postobon.com.co,aprmttoyu@postobon.com.co,aprmyu@postobon.com.co,wmora@postobon.com.co,efzapata@postobon.com.co")</f>
        <v>achavezi@postobon.com.co,aprmttoyu@postobon.com.co,aprmyu@postobon.com.co,wmora@postobon.com.co,efzapata@postobon.com.co</v>
      </c>
      <c r="Y591" s="5" t="str">
        <f ca="1">IFERROR(__xludf.DUMMYFUNCTION("""COMPUTED_VALUE"""),"achavezi@postobon.com.co")</f>
        <v>achavezi@postobon.com.co</v>
      </c>
      <c r="Z591" s="5" t="str">
        <f ca="1">IFERROR(__xludf.DUMMYFUNCTION("""COMPUTED_VALUE"""),"2bB8IvEyQaGdBwQzFWA7-g")</f>
        <v>2bB8IvEyQaGdBwQzFWA7-g</v>
      </c>
      <c r="AA591" s="5"/>
      <c r="AB591" s="5"/>
      <c r="AC591" s="5"/>
      <c r="AD591" s="5">
        <f ca="1">IFERROR(__xludf.DUMMYFUNCTION("""COMPUTED_VALUE"""),30)</f>
        <v>30</v>
      </c>
      <c r="AE591" s="5">
        <f ca="1">IFERROR(__xludf.DUMMYFUNCTION("""COMPUTED_VALUE"""),30)</f>
        <v>30</v>
      </c>
      <c r="AF591" s="5" t="b">
        <f ca="1">IFERROR(__xludf.DUMMYFUNCTION("""COMPUTED_VALUE"""),FALSE)</f>
        <v>0</v>
      </c>
      <c r="AG591" s="5" t="str">
        <f ca="1">IFERROR(__xludf.DUMMYFUNCTION("""COMPUTED_VALUE"""),"INSPECCIONES REALIZADAS")</f>
        <v>INSPECCIONES REALIZADAS</v>
      </c>
      <c r="AH591" s="5"/>
    </row>
    <row r="592" spans="1:34">
      <c r="A592" s="5" t="str">
        <f ca="1">IFERROR(__xludf.DUMMYFUNCTION("""COMPUTED_VALUE"""),"LINEA DE ENVASADO JUGOS PET HOT FILL")</f>
        <v>LINEA DE ENVASADO JUGOS PET HOT FILL</v>
      </c>
      <c r="B592" s="5">
        <f ca="1">IFERROR(__xludf.DUMMYFUNCTION("""COMPUTED_VALUE"""),599566)</f>
        <v>599566</v>
      </c>
      <c r="C592" s="5" t="str">
        <f ca="1">IFERROR(__xludf.DUMMYFUNCTION("""COMPUTED_VALUE"""),"INSPECTOR DE BOTELLA LLENA")</f>
        <v>INSPECTOR DE BOTELLA LLENA</v>
      </c>
      <c r="D592" s="5">
        <f ca="1">IFERROR(__xludf.DUMMYFUNCTION("""COMPUTED_VALUE"""),13247762)</f>
        <v>13247762</v>
      </c>
      <c r="E592" s="5" t="str">
        <f ca="1">IFERROR(__xludf.DUMMYFUNCTION("""COMPUTED_VALUE"""),"INSPECCION SEMANAL INSPECTOR DE BOTELLA")</f>
        <v>INSPECCION SEMANAL INSPECTOR DE BOTELLA</v>
      </c>
      <c r="F592" s="5" t="str">
        <f ca="1">IFERROR(__xludf.DUMMYFUNCTION("""COMPUTED_VALUE"""),"FUNC. FOTOCELDARS Y SENSORES")</f>
        <v>FUNC. FOTOCELDARS Y SENSORES</v>
      </c>
      <c r="G592" s="5" t="b">
        <f ca="1">IFERROR(__xludf.DUMMYFUNCTION("""COMPUTED_VALUE"""),TRUE)</f>
        <v>1</v>
      </c>
      <c r="H592" s="5"/>
      <c r="I592" s="5"/>
      <c r="J592" s="5">
        <f ca="1">IFERROR(__xludf.DUMMYFUNCTION("""COMPUTED_VALUE"""),13247762)</f>
        <v>13247762</v>
      </c>
      <c r="K592" s="5"/>
      <c r="L592" s="18">
        <f ca="1">IFERROR(__xludf.DUMMYFUNCTION("""COMPUTED_VALUE"""),45324)</f>
        <v>45324</v>
      </c>
      <c r="M592" s="18">
        <f ca="1">IFERROR(__xludf.DUMMYFUNCTION("""COMPUTED_VALUE"""),45324)</f>
        <v>45324</v>
      </c>
      <c r="N592" s="5" t="str">
        <f ca="1">IFERROR(__xludf.DUMMYFUNCTION("""COMPUTED_VALUE"""),"Bedoya Marin Johan Andres")</f>
        <v>Bedoya Marin Johan Andres</v>
      </c>
      <c r="O592" s="2">
        <f ca="1">IFERROR(__xludf.DUMMYFUNCTION("""COMPUTED_VALUE"""),0.011111111)</f>
        <v>1.1111111E-2</v>
      </c>
      <c r="P592" s="5">
        <f ca="1">IFERROR(__xludf.DUMMYFUNCTION("""COMPUTED_VALUE"""),20019988)</f>
        <v>20019988</v>
      </c>
      <c r="Q592" s="5" t="str">
        <f ca="1">IFERROR(__xludf.DUMMYFUNCTION("""COMPUTED_VALUE"""),"y5Qo6ReuKuM")</f>
        <v>y5Qo6ReuKuM</v>
      </c>
      <c r="R592" s="5">
        <f ca="1">IFERROR(__xludf.DUMMYFUNCTION("""COMPUTED_VALUE"""),410)</f>
        <v>410</v>
      </c>
      <c r="S592" s="62">
        <f ca="1">IFERROR(__xludf.DUMMYFUNCTION("""COMPUTED_VALUE"""),0.011111111)</f>
        <v>1.1111111E-2</v>
      </c>
      <c r="T592" s="63" t="str">
        <f ca="1">IFERROR(__xludf.DUMMYFUNCTION("""COMPUTED_VALUE"""),"https://storage.googleapis.com/glide-prod.appspot.com/uploads-v2/ly7o78grxPaC6KdgvbpS/pub/3aRdSog0vUtuqPE8AJKD.png")</f>
        <v>https://storage.googleapis.com/glide-prod.appspot.com/uploads-v2/ly7o78grxPaC6KdgvbpS/pub/3aRdSog0vUtuqPE8AJKD.png</v>
      </c>
      <c r="U592" s="5" t="str">
        <f ca="1">IFERROR(__xludf.DUMMYFUNCTION("""COMPUTED_VALUE"""),"LINEA DE ENVASADO JUGOS PET HOT FILLINSPECTOR DE BOTELLA LLENA")</f>
        <v>LINEA DE ENVASADO JUGOS PET HOT FILLINSPECTOR DE BOTELLA LLENA</v>
      </c>
      <c r="V592" s="5"/>
      <c r="W592" s="5" t="b">
        <f ca="1">IFERROR(__xludf.DUMMYFUNCTION("""COMPUTED_VALUE"""),TRUE)</f>
        <v>1</v>
      </c>
      <c r="X592" s="5" t="str">
        <f ca="1">IFERROR(__xludf.DUMMYFUNCTION("""COMPUTED_VALUE"""),"achavezi@postobon.com.co,aprmttoyu@postobon.com.co,aprmyu@postobon.com.co,wmora@postobon.com.co,efzapata@postobon.com.co")</f>
        <v>achavezi@postobon.com.co,aprmttoyu@postobon.com.co,aprmyu@postobon.com.co,wmora@postobon.com.co,efzapata@postobon.com.co</v>
      </c>
      <c r="Y592" s="5" t="str">
        <f ca="1">IFERROR(__xludf.DUMMYFUNCTION("""COMPUTED_VALUE"""),"achavezi@postobon.com.co")</f>
        <v>achavezi@postobon.com.co</v>
      </c>
      <c r="Z592" s="5" t="str">
        <f ca="1">IFERROR(__xludf.DUMMYFUNCTION("""COMPUTED_VALUE"""),"XojFL7AlSAiN.exNSGlsUg")</f>
        <v>XojFL7AlSAiN.exNSGlsUg</v>
      </c>
      <c r="AA592" s="5"/>
      <c r="AB592" s="5"/>
      <c r="AC592" s="5"/>
      <c r="AD592" s="5">
        <f ca="1">IFERROR(__xludf.DUMMYFUNCTION("""COMPUTED_VALUE"""),30)</f>
        <v>30</v>
      </c>
      <c r="AE592" s="5">
        <f ca="1">IFERROR(__xludf.DUMMYFUNCTION("""COMPUTED_VALUE"""),30)</f>
        <v>30</v>
      </c>
      <c r="AF592" s="5" t="b">
        <f ca="1">IFERROR(__xludf.DUMMYFUNCTION("""COMPUTED_VALUE"""),FALSE)</f>
        <v>0</v>
      </c>
      <c r="AG592" s="5" t="str">
        <f ca="1">IFERROR(__xludf.DUMMYFUNCTION("""COMPUTED_VALUE"""),"INSPECCIONES REALIZADAS")</f>
        <v>INSPECCIONES REALIZADAS</v>
      </c>
      <c r="AH592" s="5"/>
    </row>
    <row r="593" spans="1:34">
      <c r="A593" s="5" t="str">
        <f ca="1">IFERROR(__xludf.DUMMYFUNCTION("""COMPUTED_VALUE"""),"LINEA DE ENVASADO JUGOS PET HOT FILL")</f>
        <v>LINEA DE ENVASADO JUGOS PET HOT FILL</v>
      </c>
      <c r="B593" s="5">
        <f ca="1">IFERROR(__xludf.DUMMYFUNCTION("""COMPUTED_VALUE"""),599566)</f>
        <v>599566</v>
      </c>
      <c r="C593" s="5" t="str">
        <f ca="1">IFERROR(__xludf.DUMMYFUNCTION("""COMPUTED_VALUE"""),"INSPECTOR DE BOTELLA LLENA")</f>
        <v>INSPECTOR DE BOTELLA LLENA</v>
      </c>
      <c r="D593" s="5">
        <f ca="1">IFERROR(__xludf.DUMMYFUNCTION("""COMPUTED_VALUE"""),13247762)</f>
        <v>13247762</v>
      </c>
      <c r="E593" s="5" t="str">
        <f ca="1">IFERROR(__xludf.DUMMYFUNCTION("""COMPUTED_VALUE"""),"INSPECCION SEMANAL INSPECTOR DE BOTELLA")</f>
        <v>INSPECCION SEMANAL INSPECTOR DE BOTELLA</v>
      </c>
      <c r="F593" s="5" t="str">
        <f ca="1">IFERROR(__xludf.DUMMYFUNCTION("""COMPUTED_VALUE"""),"LIMPIEZA GENERAL")</f>
        <v>LIMPIEZA GENERAL</v>
      </c>
      <c r="G593" s="5" t="b">
        <f ca="1">IFERROR(__xludf.DUMMYFUNCTION("""COMPUTED_VALUE"""),TRUE)</f>
        <v>1</v>
      </c>
      <c r="H593" s="5"/>
      <c r="I593" s="5"/>
      <c r="J593" s="5">
        <f ca="1">IFERROR(__xludf.DUMMYFUNCTION("""COMPUTED_VALUE"""),13247762)</f>
        <v>13247762</v>
      </c>
      <c r="K593" s="5"/>
      <c r="L593" s="18">
        <f ca="1">IFERROR(__xludf.DUMMYFUNCTION("""COMPUTED_VALUE"""),45324)</f>
        <v>45324</v>
      </c>
      <c r="M593" s="18">
        <f ca="1">IFERROR(__xludf.DUMMYFUNCTION("""COMPUTED_VALUE"""),45324)</f>
        <v>45324</v>
      </c>
      <c r="N593" s="5" t="str">
        <f ca="1">IFERROR(__xludf.DUMMYFUNCTION("""COMPUTED_VALUE"""),"Bedoya Marin Johan Andres")</f>
        <v>Bedoya Marin Johan Andres</v>
      </c>
      <c r="O593" s="2">
        <f ca="1">IFERROR(__xludf.DUMMYFUNCTION("""COMPUTED_VALUE"""),0.011111111)</f>
        <v>1.1111111E-2</v>
      </c>
      <c r="P593" s="5">
        <f ca="1">IFERROR(__xludf.DUMMYFUNCTION("""COMPUTED_VALUE"""),20019988)</f>
        <v>20019988</v>
      </c>
      <c r="Q593" s="5" t="str">
        <f ca="1">IFERROR(__xludf.DUMMYFUNCTION("""COMPUTED_VALUE"""),"WSxUocAcsT0")</f>
        <v>WSxUocAcsT0</v>
      </c>
      <c r="R593" s="5">
        <f ca="1">IFERROR(__xludf.DUMMYFUNCTION("""COMPUTED_VALUE"""),410)</f>
        <v>410</v>
      </c>
      <c r="S593" s="62">
        <f ca="1">IFERROR(__xludf.DUMMYFUNCTION("""COMPUTED_VALUE"""),0.011111111)</f>
        <v>1.1111111E-2</v>
      </c>
      <c r="T593" s="63" t="str">
        <f ca="1">IFERROR(__xludf.DUMMYFUNCTION("""COMPUTED_VALUE"""),"https://storage.googleapis.com/glide-prod.appspot.com/uploads-v2/ly7o78grxPaC6KdgvbpS/pub/3aRdSog0vUtuqPE8AJKD.png")</f>
        <v>https://storage.googleapis.com/glide-prod.appspot.com/uploads-v2/ly7o78grxPaC6KdgvbpS/pub/3aRdSog0vUtuqPE8AJKD.png</v>
      </c>
      <c r="U593" s="5" t="str">
        <f ca="1">IFERROR(__xludf.DUMMYFUNCTION("""COMPUTED_VALUE"""),"LINEA DE ENVASADO JUGOS PET HOT FILLINSPECTOR DE BOTELLA LLENA")</f>
        <v>LINEA DE ENVASADO JUGOS PET HOT FILLINSPECTOR DE BOTELLA LLENA</v>
      </c>
      <c r="V593" s="5"/>
      <c r="W593" s="5" t="b">
        <f ca="1">IFERROR(__xludf.DUMMYFUNCTION("""COMPUTED_VALUE"""),TRUE)</f>
        <v>1</v>
      </c>
      <c r="X593" s="5" t="str">
        <f ca="1">IFERROR(__xludf.DUMMYFUNCTION("""COMPUTED_VALUE"""),"achavezi@postobon.com.co,aprmttoyu@postobon.com.co,aprmyu@postobon.com.co,wmora@postobon.com.co,efzapata@postobon.com.co")</f>
        <v>achavezi@postobon.com.co,aprmttoyu@postobon.com.co,aprmyu@postobon.com.co,wmora@postobon.com.co,efzapata@postobon.com.co</v>
      </c>
      <c r="Y593" s="5" t="str">
        <f ca="1">IFERROR(__xludf.DUMMYFUNCTION("""COMPUTED_VALUE"""),"achavezi@postobon.com.co")</f>
        <v>achavezi@postobon.com.co</v>
      </c>
      <c r="Z593" s="5" t="str">
        <f ca="1">IFERROR(__xludf.DUMMYFUNCTION("""COMPUTED_VALUE"""),"fBNYxpMGT2K-pxTap4xnbg")</f>
        <v>fBNYxpMGT2K-pxTap4xnbg</v>
      </c>
      <c r="AA593" s="5"/>
      <c r="AB593" s="5"/>
      <c r="AC593" s="5"/>
      <c r="AD593" s="5">
        <f ca="1">IFERROR(__xludf.DUMMYFUNCTION("""COMPUTED_VALUE"""),30)</f>
        <v>30</v>
      </c>
      <c r="AE593" s="5">
        <f ca="1">IFERROR(__xludf.DUMMYFUNCTION("""COMPUTED_VALUE"""),30)</f>
        <v>30</v>
      </c>
      <c r="AF593" s="5" t="b">
        <f ca="1">IFERROR(__xludf.DUMMYFUNCTION("""COMPUTED_VALUE"""),FALSE)</f>
        <v>0</v>
      </c>
      <c r="AG593" s="5" t="str">
        <f ca="1">IFERROR(__xludf.DUMMYFUNCTION("""COMPUTED_VALUE"""),"INSPECCIONES REALIZADAS")</f>
        <v>INSPECCIONES REALIZADAS</v>
      </c>
      <c r="AH593" s="5"/>
    </row>
    <row r="594" spans="1:34">
      <c r="A594" s="5" t="str">
        <f ca="1">IFERROR(__xludf.DUMMYFUNCTION("""COMPUTED_VALUE"""),"LINEA DE ENVASADO JUGOS PET HOT FILL")</f>
        <v>LINEA DE ENVASADO JUGOS PET HOT FILL</v>
      </c>
      <c r="B594" s="5">
        <f ca="1">IFERROR(__xludf.DUMMYFUNCTION("""COMPUTED_VALUE"""),599566)</f>
        <v>599566</v>
      </c>
      <c r="C594" s="5" t="str">
        <f ca="1">IFERROR(__xludf.DUMMYFUNCTION("""COMPUTED_VALUE"""),"INSPECTOR DE BOTELLA LLENA")</f>
        <v>INSPECTOR DE BOTELLA LLENA</v>
      </c>
      <c r="D594" s="5">
        <f ca="1">IFERROR(__xludf.DUMMYFUNCTION("""COMPUTED_VALUE"""),13247762)</f>
        <v>13247762</v>
      </c>
      <c r="E594" s="5" t="str">
        <f ca="1">IFERROR(__xludf.DUMMYFUNCTION("""COMPUTED_VALUE"""),"INSPECCION SEMANAL INSPECTOR DE BOTELLA")</f>
        <v>INSPECCION SEMANAL INSPECTOR DE BOTELLA</v>
      </c>
      <c r="F594" s="5" t="str">
        <f ca="1">IFERROR(__xludf.DUMMYFUNCTION("""COMPUTED_VALUE"""),"ESTADO CUERPO PRINCIPAL")</f>
        <v>ESTADO CUERPO PRINCIPAL</v>
      </c>
      <c r="G594" s="5" t="b">
        <f ca="1">IFERROR(__xludf.DUMMYFUNCTION("""COMPUTED_VALUE"""),TRUE)</f>
        <v>1</v>
      </c>
      <c r="H594" s="5"/>
      <c r="I594" s="5"/>
      <c r="J594" s="5">
        <f ca="1">IFERROR(__xludf.DUMMYFUNCTION("""COMPUTED_VALUE"""),13247762)</f>
        <v>13247762</v>
      </c>
      <c r="K594" s="5"/>
      <c r="L594" s="18">
        <f ca="1">IFERROR(__xludf.DUMMYFUNCTION("""COMPUTED_VALUE"""),45324)</f>
        <v>45324</v>
      </c>
      <c r="M594" s="18">
        <f ca="1">IFERROR(__xludf.DUMMYFUNCTION("""COMPUTED_VALUE"""),45324)</f>
        <v>45324</v>
      </c>
      <c r="N594" s="5" t="str">
        <f ca="1">IFERROR(__xludf.DUMMYFUNCTION("""COMPUTED_VALUE"""),"Bedoya Marin Johan Andres")</f>
        <v>Bedoya Marin Johan Andres</v>
      </c>
      <c r="O594" s="2">
        <f ca="1">IFERROR(__xludf.DUMMYFUNCTION("""COMPUTED_VALUE"""),0.011111111)</f>
        <v>1.1111111E-2</v>
      </c>
      <c r="P594" s="5">
        <f ca="1">IFERROR(__xludf.DUMMYFUNCTION("""COMPUTED_VALUE"""),20019988)</f>
        <v>20019988</v>
      </c>
      <c r="Q594" s="5" t="str">
        <f ca="1">IFERROR(__xludf.DUMMYFUNCTION("""COMPUTED_VALUE"""),"l75rd33HfKk")</f>
        <v>l75rd33HfKk</v>
      </c>
      <c r="R594" s="5">
        <f ca="1">IFERROR(__xludf.DUMMYFUNCTION("""COMPUTED_VALUE"""),410)</f>
        <v>410</v>
      </c>
      <c r="S594" s="62">
        <f ca="1">IFERROR(__xludf.DUMMYFUNCTION("""COMPUTED_VALUE"""),0.011111111)</f>
        <v>1.1111111E-2</v>
      </c>
      <c r="T594" s="63" t="str">
        <f ca="1">IFERROR(__xludf.DUMMYFUNCTION("""COMPUTED_VALUE"""),"https://storage.googleapis.com/glide-prod.appspot.com/uploads-v2/ly7o78grxPaC6KdgvbpS/pub/3aRdSog0vUtuqPE8AJKD.png")</f>
        <v>https://storage.googleapis.com/glide-prod.appspot.com/uploads-v2/ly7o78grxPaC6KdgvbpS/pub/3aRdSog0vUtuqPE8AJKD.png</v>
      </c>
      <c r="U594" s="5" t="str">
        <f ca="1">IFERROR(__xludf.DUMMYFUNCTION("""COMPUTED_VALUE"""),"LINEA DE ENVASADO JUGOS PET HOT FILLINSPECTOR DE BOTELLA LLENA")</f>
        <v>LINEA DE ENVASADO JUGOS PET HOT FILLINSPECTOR DE BOTELLA LLENA</v>
      </c>
      <c r="V594" s="5"/>
      <c r="W594" s="5" t="b">
        <f ca="1">IFERROR(__xludf.DUMMYFUNCTION("""COMPUTED_VALUE"""),TRUE)</f>
        <v>1</v>
      </c>
      <c r="X594" s="5" t="str">
        <f ca="1">IFERROR(__xludf.DUMMYFUNCTION("""COMPUTED_VALUE"""),"achavezi@postobon.com.co,aprmttoyu@postobon.com.co,aprmyu@postobon.com.co,wmora@postobon.com.co,efzapata@postobon.com.co")</f>
        <v>achavezi@postobon.com.co,aprmttoyu@postobon.com.co,aprmyu@postobon.com.co,wmora@postobon.com.co,efzapata@postobon.com.co</v>
      </c>
      <c r="Y594" s="5" t="str">
        <f ca="1">IFERROR(__xludf.DUMMYFUNCTION("""COMPUTED_VALUE"""),"achavezi@postobon.com.co")</f>
        <v>achavezi@postobon.com.co</v>
      </c>
      <c r="Z594" s="5" t="str">
        <f ca="1">IFERROR(__xludf.DUMMYFUNCTION("""COMPUTED_VALUE"""),"Gj-D9hVqSxOG4jbpBs2hSQ")</f>
        <v>Gj-D9hVqSxOG4jbpBs2hSQ</v>
      </c>
      <c r="AA594" s="5"/>
      <c r="AB594" s="5"/>
      <c r="AC594" s="5"/>
      <c r="AD594" s="5">
        <f ca="1">IFERROR(__xludf.DUMMYFUNCTION("""COMPUTED_VALUE"""),30)</f>
        <v>30</v>
      </c>
      <c r="AE594" s="5">
        <f ca="1">IFERROR(__xludf.DUMMYFUNCTION("""COMPUTED_VALUE"""),30)</f>
        <v>30</v>
      </c>
      <c r="AF594" s="5" t="b">
        <f ca="1">IFERROR(__xludf.DUMMYFUNCTION("""COMPUTED_VALUE"""),FALSE)</f>
        <v>0</v>
      </c>
      <c r="AG594" s="5" t="str">
        <f ca="1">IFERROR(__xludf.DUMMYFUNCTION("""COMPUTED_VALUE"""),"INSPECCIONES REALIZADAS")</f>
        <v>INSPECCIONES REALIZADAS</v>
      </c>
      <c r="AH594" s="5"/>
    </row>
    <row r="595" spans="1:34">
      <c r="A595" s="5" t="str">
        <f ca="1">IFERROR(__xludf.DUMMYFUNCTION("""COMPUTED_VALUE"""),"LINEA DE ENVASADO JUGOS PET HOT FILL")</f>
        <v>LINEA DE ENVASADO JUGOS PET HOT FILL</v>
      </c>
      <c r="B595" s="5">
        <f ca="1">IFERROR(__xludf.DUMMYFUNCTION("""COMPUTED_VALUE"""),599566)</f>
        <v>599566</v>
      </c>
      <c r="C595" s="5" t="str">
        <f ca="1">IFERROR(__xludf.DUMMYFUNCTION("""COMPUTED_VALUE"""),"INSPECTOR DE BOTELLA LLENA")</f>
        <v>INSPECTOR DE BOTELLA LLENA</v>
      </c>
      <c r="D595" s="5">
        <f ca="1">IFERROR(__xludf.DUMMYFUNCTION("""COMPUTED_VALUE"""),13247762)</f>
        <v>13247762</v>
      </c>
      <c r="E595" s="5" t="str">
        <f ca="1">IFERROR(__xludf.DUMMYFUNCTION("""COMPUTED_VALUE"""),"INSPECCION SEMANAL INSPECTOR DE BOTELLA")</f>
        <v>INSPECCION SEMANAL INSPECTOR DE BOTELLA</v>
      </c>
      <c r="F595" s="5" t="str">
        <f ca="1">IFERROR(__xludf.DUMMYFUNCTION("""COMPUTED_VALUE"""),"INSP. SISTEMA DE MEDICION")</f>
        <v>INSP. SISTEMA DE MEDICION</v>
      </c>
      <c r="G595" s="5" t="b">
        <f ca="1">IFERROR(__xludf.DUMMYFUNCTION("""COMPUTED_VALUE"""),TRUE)</f>
        <v>1</v>
      </c>
      <c r="H595" s="5"/>
      <c r="I595" s="5"/>
      <c r="J595" s="5">
        <f ca="1">IFERROR(__xludf.DUMMYFUNCTION("""COMPUTED_VALUE"""),13247762)</f>
        <v>13247762</v>
      </c>
      <c r="K595" s="5"/>
      <c r="L595" s="18">
        <f ca="1">IFERROR(__xludf.DUMMYFUNCTION("""COMPUTED_VALUE"""),45324)</f>
        <v>45324</v>
      </c>
      <c r="M595" s="18">
        <f ca="1">IFERROR(__xludf.DUMMYFUNCTION("""COMPUTED_VALUE"""),45324)</f>
        <v>45324</v>
      </c>
      <c r="N595" s="5" t="str">
        <f ca="1">IFERROR(__xludf.DUMMYFUNCTION("""COMPUTED_VALUE"""),"Bedoya Marin Johan Andres")</f>
        <v>Bedoya Marin Johan Andres</v>
      </c>
      <c r="O595" s="2">
        <f ca="1">IFERROR(__xludf.DUMMYFUNCTION("""COMPUTED_VALUE"""),0.011111111)</f>
        <v>1.1111111E-2</v>
      </c>
      <c r="P595" s="5">
        <f ca="1">IFERROR(__xludf.DUMMYFUNCTION("""COMPUTED_VALUE"""),20019988)</f>
        <v>20019988</v>
      </c>
      <c r="Q595" s="5" t="str">
        <f ca="1">IFERROR(__xludf.DUMMYFUNCTION("""COMPUTED_VALUE"""),"zSDmxYAwk48")</f>
        <v>zSDmxYAwk48</v>
      </c>
      <c r="R595" s="5">
        <f ca="1">IFERROR(__xludf.DUMMYFUNCTION("""COMPUTED_VALUE"""),410)</f>
        <v>410</v>
      </c>
      <c r="S595" s="62">
        <f ca="1">IFERROR(__xludf.DUMMYFUNCTION("""COMPUTED_VALUE"""),0.011111111)</f>
        <v>1.1111111E-2</v>
      </c>
      <c r="T595" s="63" t="str">
        <f ca="1">IFERROR(__xludf.DUMMYFUNCTION("""COMPUTED_VALUE"""),"https://storage.googleapis.com/glide-prod.appspot.com/uploads-v2/ly7o78grxPaC6KdgvbpS/pub/3aRdSog0vUtuqPE8AJKD.png")</f>
        <v>https://storage.googleapis.com/glide-prod.appspot.com/uploads-v2/ly7o78grxPaC6KdgvbpS/pub/3aRdSog0vUtuqPE8AJKD.png</v>
      </c>
      <c r="U595" s="5" t="str">
        <f ca="1">IFERROR(__xludf.DUMMYFUNCTION("""COMPUTED_VALUE"""),"LINEA DE ENVASADO JUGOS PET HOT FILLINSPECTOR DE BOTELLA LLENA")</f>
        <v>LINEA DE ENVASADO JUGOS PET HOT FILLINSPECTOR DE BOTELLA LLENA</v>
      </c>
      <c r="V595" s="5"/>
      <c r="W595" s="5" t="b">
        <f ca="1">IFERROR(__xludf.DUMMYFUNCTION("""COMPUTED_VALUE"""),TRUE)</f>
        <v>1</v>
      </c>
      <c r="X595" s="5" t="str">
        <f ca="1">IFERROR(__xludf.DUMMYFUNCTION("""COMPUTED_VALUE"""),"achavezi@postobon.com.co,aprmttoyu@postobon.com.co,aprmyu@postobon.com.co,wmora@postobon.com.co,efzapata@postobon.com.co")</f>
        <v>achavezi@postobon.com.co,aprmttoyu@postobon.com.co,aprmyu@postobon.com.co,wmora@postobon.com.co,efzapata@postobon.com.co</v>
      </c>
      <c r="Y595" s="5" t="str">
        <f ca="1">IFERROR(__xludf.DUMMYFUNCTION("""COMPUTED_VALUE"""),"achavezi@postobon.com.co")</f>
        <v>achavezi@postobon.com.co</v>
      </c>
      <c r="Z595" s="5" t="str">
        <f ca="1">IFERROR(__xludf.DUMMYFUNCTION("""COMPUTED_VALUE"""),"x7e9ktHPQB2vQCmXJUEBPQ")</f>
        <v>x7e9ktHPQB2vQCmXJUEBPQ</v>
      </c>
      <c r="AA595" s="5"/>
      <c r="AB595" s="5"/>
      <c r="AC595" s="5"/>
      <c r="AD595" s="5">
        <f ca="1">IFERROR(__xludf.DUMMYFUNCTION("""COMPUTED_VALUE"""),30)</f>
        <v>30</v>
      </c>
      <c r="AE595" s="5">
        <f ca="1">IFERROR(__xludf.DUMMYFUNCTION("""COMPUTED_VALUE"""),30)</f>
        <v>30</v>
      </c>
      <c r="AF595" s="5" t="b">
        <f ca="1">IFERROR(__xludf.DUMMYFUNCTION("""COMPUTED_VALUE"""),FALSE)</f>
        <v>0</v>
      </c>
      <c r="AG595" s="5" t="str">
        <f ca="1">IFERROR(__xludf.DUMMYFUNCTION("""COMPUTED_VALUE"""),"INSPECCIONES REALIZADAS")</f>
        <v>INSPECCIONES REALIZADAS</v>
      </c>
      <c r="AH595" s="5"/>
    </row>
    <row r="596" spans="1:34">
      <c r="A596" s="5" t="str">
        <f ca="1">IFERROR(__xludf.DUMMYFUNCTION("""COMPUTED_VALUE"""),"LINEA DE ENVASADO JUGOS PET HOT FILL")</f>
        <v>LINEA DE ENVASADO JUGOS PET HOT FILL</v>
      </c>
      <c r="B596" s="5">
        <f ca="1">IFERROR(__xludf.DUMMYFUNCTION("""COMPUTED_VALUE"""),599566)</f>
        <v>599566</v>
      </c>
      <c r="C596" s="5" t="str">
        <f ca="1">IFERROR(__xludf.DUMMYFUNCTION("""COMPUTED_VALUE"""),"INSPECTOR DE BOTELLA LLENA")</f>
        <v>INSPECTOR DE BOTELLA LLENA</v>
      </c>
      <c r="D596" s="5">
        <f ca="1">IFERROR(__xludf.DUMMYFUNCTION("""COMPUTED_VALUE"""),13247762)</f>
        <v>13247762</v>
      </c>
      <c r="E596" s="5" t="str">
        <f ca="1">IFERROR(__xludf.DUMMYFUNCTION("""COMPUTED_VALUE"""),"INSPECCION SEMANAL INSPECTOR DE BOTELLA")</f>
        <v>INSPECCION SEMANAL INSPECTOR DE BOTELLA</v>
      </c>
      <c r="F596" s="5" t="str">
        <f ca="1">IFERROR(__xludf.DUMMYFUNCTION("""COMPUTED_VALUE"""),"INSP. TAPA NO POSICIONADA")</f>
        <v>INSP. TAPA NO POSICIONADA</v>
      </c>
      <c r="G596" s="5" t="b">
        <f ca="1">IFERROR(__xludf.DUMMYFUNCTION("""COMPUTED_VALUE"""),TRUE)</f>
        <v>1</v>
      </c>
      <c r="H596" s="5"/>
      <c r="I596" s="5"/>
      <c r="J596" s="5">
        <f ca="1">IFERROR(__xludf.DUMMYFUNCTION("""COMPUTED_VALUE"""),13247762)</f>
        <v>13247762</v>
      </c>
      <c r="K596" s="5"/>
      <c r="L596" s="18">
        <f ca="1">IFERROR(__xludf.DUMMYFUNCTION("""COMPUTED_VALUE"""),45324)</f>
        <v>45324</v>
      </c>
      <c r="M596" s="18">
        <f ca="1">IFERROR(__xludf.DUMMYFUNCTION("""COMPUTED_VALUE"""),45324)</f>
        <v>45324</v>
      </c>
      <c r="N596" s="5" t="str">
        <f ca="1">IFERROR(__xludf.DUMMYFUNCTION("""COMPUTED_VALUE"""),"Bedoya Marin Johan Andres")</f>
        <v>Bedoya Marin Johan Andres</v>
      </c>
      <c r="O596" s="2">
        <f ca="1">IFERROR(__xludf.DUMMYFUNCTION("""COMPUTED_VALUE"""),0.011111111)</f>
        <v>1.1111111E-2</v>
      </c>
      <c r="P596" s="5">
        <f ca="1">IFERROR(__xludf.DUMMYFUNCTION("""COMPUTED_VALUE"""),20019988)</f>
        <v>20019988</v>
      </c>
      <c r="Q596" s="5" t="str">
        <f ca="1">IFERROR(__xludf.DUMMYFUNCTION("""COMPUTED_VALUE"""),"TFg1yE-foAw")</f>
        <v>TFg1yE-foAw</v>
      </c>
      <c r="R596" s="5">
        <f ca="1">IFERROR(__xludf.DUMMYFUNCTION("""COMPUTED_VALUE"""),410)</f>
        <v>410</v>
      </c>
      <c r="S596" s="62">
        <f ca="1">IFERROR(__xludf.DUMMYFUNCTION("""COMPUTED_VALUE"""),0.011111111)</f>
        <v>1.1111111E-2</v>
      </c>
      <c r="T596" s="63" t="str">
        <f ca="1">IFERROR(__xludf.DUMMYFUNCTION("""COMPUTED_VALUE"""),"https://storage.googleapis.com/glide-prod.appspot.com/uploads-v2/ly7o78grxPaC6KdgvbpS/pub/3aRdSog0vUtuqPE8AJKD.png")</f>
        <v>https://storage.googleapis.com/glide-prod.appspot.com/uploads-v2/ly7o78grxPaC6KdgvbpS/pub/3aRdSog0vUtuqPE8AJKD.png</v>
      </c>
      <c r="U596" s="5" t="str">
        <f ca="1">IFERROR(__xludf.DUMMYFUNCTION("""COMPUTED_VALUE"""),"LINEA DE ENVASADO JUGOS PET HOT FILLINSPECTOR DE BOTELLA LLENA")</f>
        <v>LINEA DE ENVASADO JUGOS PET HOT FILLINSPECTOR DE BOTELLA LLENA</v>
      </c>
      <c r="V596" s="5"/>
      <c r="W596" s="5" t="b">
        <f ca="1">IFERROR(__xludf.DUMMYFUNCTION("""COMPUTED_VALUE"""),TRUE)</f>
        <v>1</v>
      </c>
      <c r="X596" s="5" t="str">
        <f ca="1">IFERROR(__xludf.DUMMYFUNCTION("""COMPUTED_VALUE"""),"achavezi@postobon.com.co,aprmttoyu@postobon.com.co,aprmyu@postobon.com.co,wmora@postobon.com.co,efzapata@postobon.com.co")</f>
        <v>achavezi@postobon.com.co,aprmttoyu@postobon.com.co,aprmyu@postobon.com.co,wmora@postobon.com.co,efzapata@postobon.com.co</v>
      </c>
      <c r="Y596" s="5" t="str">
        <f ca="1">IFERROR(__xludf.DUMMYFUNCTION("""COMPUTED_VALUE"""),"achavezi@postobon.com.co")</f>
        <v>achavezi@postobon.com.co</v>
      </c>
      <c r="Z596" s="5" t="str">
        <f ca="1">IFERROR(__xludf.DUMMYFUNCTION("""COMPUTED_VALUE"""),"wGP6th6YSMq5o7geLDiC3g")</f>
        <v>wGP6th6YSMq5o7geLDiC3g</v>
      </c>
      <c r="AA596" s="5"/>
      <c r="AB596" s="5"/>
      <c r="AC596" s="5"/>
      <c r="AD596" s="5">
        <f ca="1">IFERROR(__xludf.DUMMYFUNCTION("""COMPUTED_VALUE"""),30)</f>
        <v>30</v>
      </c>
      <c r="AE596" s="5">
        <f ca="1">IFERROR(__xludf.DUMMYFUNCTION("""COMPUTED_VALUE"""),30)</f>
        <v>30</v>
      </c>
      <c r="AF596" s="5" t="b">
        <f ca="1">IFERROR(__xludf.DUMMYFUNCTION("""COMPUTED_VALUE"""),FALSE)</f>
        <v>0</v>
      </c>
      <c r="AG596" s="5" t="str">
        <f ca="1">IFERROR(__xludf.DUMMYFUNCTION("""COMPUTED_VALUE"""),"INSPECCIONES REALIZADAS")</f>
        <v>INSPECCIONES REALIZADAS</v>
      </c>
      <c r="AH596" s="5"/>
    </row>
    <row r="597" spans="1:34">
      <c r="A597" s="5" t="str">
        <f ca="1">IFERROR(__xludf.DUMMYFUNCTION("""COMPUTED_VALUE"""),"LINEA DE ENVASADO JUGOS PET HOT FILL")</f>
        <v>LINEA DE ENVASADO JUGOS PET HOT FILL</v>
      </c>
      <c r="B597" s="5">
        <f ca="1">IFERROR(__xludf.DUMMYFUNCTION("""COMPUTED_VALUE"""),599566)</f>
        <v>599566</v>
      </c>
      <c r="C597" s="5" t="str">
        <f ca="1">IFERROR(__xludf.DUMMYFUNCTION("""COMPUTED_VALUE"""),"INSPECTOR DE BOTELLA LLENA")</f>
        <v>INSPECTOR DE BOTELLA LLENA</v>
      </c>
      <c r="D597" s="5">
        <f ca="1">IFERROR(__xludf.DUMMYFUNCTION("""COMPUTED_VALUE"""),13247762)</f>
        <v>13247762</v>
      </c>
      <c r="E597" s="5" t="str">
        <f ca="1">IFERROR(__xludf.DUMMYFUNCTION("""COMPUTED_VALUE"""),"INSPECCION SEMANAL INSPECTOR DE BOTELLA")</f>
        <v>INSPECCION SEMANAL INSPECTOR DE BOTELLA</v>
      </c>
      <c r="F597" s="5" t="str">
        <f ca="1">IFERROR(__xludf.DUMMYFUNCTION("""COMPUTED_VALUE"""),"INSP. FALTA DE TAPA")</f>
        <v>INSP. FALTA DE TAPA</v>
      </c>
      <c r="G597" s="5" t="b">
        <f ca="1">IFERROR(__xludf.DUMMYFUNCTION("""COMPUTED_VALUE"""),TRUE)</f>
        <v>1</v>
      </c>
      <c r="H597" s="5"/>
      <c r="I597" s="5"/>
      <c r="J597" s="5">
        <f ca="1">IFERROR(__xludf.DUMMYFUNCTION("""COMPUTED_VALUE"""),13247762)</f>
        <v>13247762</v>
      </c>
      <c r="K597" s="5"/>
      <c r="L597" s="18">
        <f ca="1">IFERROR(__xludf.DUMMYFUNCTION("""COMPUTED_VALUE"""),45324)</f>
        <v>45324</v>
      </c>
      <c r="M597" s="18">
        <f ca="1">IFERROR(__xludf.DUMMYFUNCTION("""COMPUTED_VALUE"""),45324)</f>
        <v>45324</v>
      </c>
      <c r="N597" s="5" t="str">
        <f ca="1">IFERROR(__xludf.DUMMYFUNCTION("""COMPUTED_VALUE"""),"Bedoya Marin Johan Andres")</f>
        <v>Bedoya Marin Johan Andres</v>
      </c>
      <c r="O597" s="2">
        <f ca="1">IFERROR(__xludf.DUMMYFUNCTION("""COMPUTED_VALUE"""),0.011111111)</f>
        <v>1.1111111E-2</v>
      </c>
      <c r="P597" s="5">
        <f ca="1">IFERROR(__xludf.DUMMYFUNCTION("""COMPUTED_VALUE"""),20019988)</f>
        <v>20019988</v>
      </c>
      <c r="Q597" s="5" t="str">
        <f ca="1">IFERROR(__xludf.DUMMYFUNCTION("""COMPUTED_VALUE"""),"eDAHYyaesKc")</f>
        <v>eDAHYyaesKc</v>
      </c>
      <c r="R597" s="5">
        <f ca="1">IFERROR(__xludf.DUMMYFUNCTION("""COMPUTED_VALUE"""),410)</f>
        <v>410</v>
      </c>
      <c r="S597" s="62">
        <f ca="1">IFERROR(__xludf.DUMMYFUNCTION("""COMPUTED_VALUE"""),0.011111111)</f>
        <v>1.1111111E-2</v>
      </c>
      <c r="T597" s="63" t="str">
        <f ca="1">IFERROR(__xludf.DUMMYFUNCTION("""COMPUTED_VALUE"""),"https://storage.googleapis.com/glide-prod.appspot.com/uploads-v2/ly7o78grxPaC6KdgvbpS/pub/3aRdSog0vUtuqPE8AJKD.png")</f>
        <v>https://storage.googleapis.com/glide-prod.appspot.com/uploads-v2/ly7o78grxPaC6KdgvbpS/pub/3aRdSog0vUtuqPE8AJKD.png</v>
      </c>
      <c r="U597" s="5" t="str">
        <f ca="1">IFERROR(__xludf.DUMMYFUNCTION("""COMPUTED_VALUE"""),"LINEA DE ENVASADO JUGOS PET HOT FILLINSPECTOR DE BOTELLA LLENA")</f>
        <v>LINEA DE ENVASADO JUGOS PET HOT FILLINSPECTOR DE BOTELLA LLENA</v>
      </c>
      <c r="V597" s="5"/>
      <c r="W597" s="5" t="b">
        <f ca="1">IFERROR(__xludf.DUMMYFUNCTION("""COMPUTED_VALUE"""),TRUE)</f>
        <v>1</v>
      </c>
      <c r="X597" s="5" t="str">
        <f ca="1">IFERROR(__xludf.DUMMYFUNCTION("""COMPUTED_VALUE"""),"achavezi@postobon.com.co,aprmttoyu@postobon.com.co,aprmyu@postobon.com.co,wmora@postobon.com.co,efzapata@postobon.com.co")</f>
        <v>achavezi@postobon.com.co,aprmttoyu@postobon.com.co,aprmyu@postobon.com.co,wmora@postobon.com.co,efzapata@postobon.com.co</v>
      </c>
      <c r="Y597" s="5" t="str">
        <f ca="1">IFERROR(__xludf.DUMMYFUNCTION("""COMPUTED_VALUE"""),"achavezi@postobon.com.co")</f>
        <v>achavezi@postobon.com.co</v>
      </c>
      <c r="Z597" s="5" t="str">
        <f ca="1">IFERROR(__xludf.DUMMYFUNCTION("""COMPUTED_VALUE"""),"JaQdQp.qTVOJVgqvFXhOmw")</f>
        <v>JaQdQp.qTVOJVgqvFXhOmw</v>
      </c>
      <c r="AA597" s="5"/>
      <c r="AB597" s="5"/>
      <c r="AC597" s="5"/>
      <c r="AD597" s="5">
        <f ca="1">IFERROR(__xludf.DUMMYFUNCTION("""COMPUTED_VALUE"""),30)</f>
        <v>30</v>
      </c>
      <c r="AE597" s="5">
        <f ca="1">IFERROR(__xludf.DUMMYFUNCTION("""COMPUTED_VALUE"""),30)</f>
        <v>30</v>
      </c>
      <c r="AF597" s="5" t="b">
        <f ca="1">IFERROR(__xludf.DUMMYFUNCTION("""COMPUTED_VALUE"""),FALSE)</f>
        <v>0</v>
      </c>
      <c r="AG597" s="5" t="str">
        <f ca="1">IFERROR(__xludf.DUMMYFUNCTION("""COMPUTED_VALUE"""),"INSPECCIONES REALIZADAS")</f>
        <v>INSPECCIONES REALIZADAS</v>
      </c>
      <c r="AH597" s="5"/>
    </row>
    <row r="598" spans="1:34">
      <c r="A598" s="5" t="str">
        <f ca="1">IFERROR(__xludf.DUMMYFUNCTION("""COMPUTED_VALUE"""),"LINEA DE ENVASADO JUGOS PET HOT FILL")</f>
        <v>LINEA DE ENVASADO JUGOS PET HOT FILL</v>
      </c>
      <c r="B598" s="5">
        <f ca="1">IFERROR(__xludf.DUMMYFUNCTION("""COMPUTED_VALUE"""),599566)</f>
        <v>599566</v>
      </c>
      <c r="C598" s="5" t="str">
        <f ca="1">IFERROR(__xludf.DUMMYFUNCTION("""COMPUTED_VALUE"""),"INSPECTOR DE BOTELLA LLENA")</f>
        <v>INSPECTOR DE BOTELLA LLENA</v>
      </c>
      <c r="D598" s="5">
        <f ca="1">IFERROR(__xludf.DUMMYFUNCTION("""COMPUTED_VALUE"""),13247762)</f>
        <v>13247762</v>
      </c>
      <c r="E598" s="5" t="str">
        <f ca="1">IFERROR(__xludf.DUMMYFUNCTION("""COMPUTED_VALUE"""),"INSPECCION SEMANAL INSPECTOR DE BOTELLA")</f>
        <v>INSPECCION SEMANAL INSPECTOR DE BOTELLA</v>
      </c>
      <c r="F598" s="5" t="str">
        <f ca="1">IFERROR(__xludf.DUMMYFUNCTION("""COMPUTED_VALUE"""),"FUNC. RECHAZADOR")</f>
        <v>FUNC. RECHAZADOR</v>
      </c>
      <c r="G598" s="5" t="b">
        <f ca="1">IFERROR(__xludf.DUMMYFUNCTION("""COMPUTED_VALUE"""),TRUE)</f>
        <v>1</v>
      </c>
      <c r="H598" s="5"/>
      <c r="I598" s="5"/>
      <c r="J598" s="5">
        <f ca="1">IFERROR(__xludf.DUMMYFUNCTION("""COMPUTED_VALUE"""),13247762)</f>
        <v>13247762</v>
      </c>
      <c r="K598" s="5"/>
      <c r="L598" s="18">
        <f ca="1">IFERROR(__xludf.DUMMYFUNCTION("""COMPUTED_VALUE"""),45324)</f>
        <v>45324</v>
      </c>
      <c r="M598" s="18">
        <f ca="1">IFERROR(__xludf.DUMMYFUNCTION("""COMPUTED_VALUE"""),45324)</f>
        <v>45324</v>
      </c>
      <c r="N598" s="5" t="str">
        <f ca="1">IFERROR(__xludf.DUMMYFUNCTION("""COMPUTED_VALUE"""),"Bedoya Marin Johan Andres")</f>
        <v>Bedoya Marin Johan Andres</v>
      </c>
      <c r="O598" s="2">
        <f ca="1">IFERROR(__xludf.DUMMYFUNCTION("""COMPUTED_VALUE"""),0.011111111)</f>
        <v>1.1111111E-2</v>
      </c>
      <c r="P598" s="5">
        <f ca="1">IFERROR(__xludf.DUMMYFUNCTION("""COMPUTED_VALUE"""),20019988)</f>
        <v>20019988</v>
      </c>
      <c r="Q598" s="5" t="str">
        <f ca="1">IFERROR(__xludf.DUMMYFUNCTION("""COMPUTED_VALUE"""),"RPINMYte0Z8")</f>
        <v>RPINMYte0Z8</v>
      </c>
      <c r="R598" s="5">
        <f ca="1">IFERROR(__xludf.DUMMYFUNCTION("""COMPUTED_VALUE"""),410)</f>
        <v>410</v>
      </c>
      <c r="S598" s="62">
        <f ca="1">IFERROR(__xludf.DUMMYFUNCTION("""COMPUTED_VALUE"""),0.011111111)</f>
        <v>1.1111111E-2</v>
      </c>
      <c r="T598" s="63" t="str">
        <f ca="1">IFERROR(__xludf.DUMMYFUNCTION("""COMPUTED_VALUE"""),"https://storage.googleapis.com/glide-prod.appspot.com/uploads-v2/ly7o78grxPaC6KdgvbpS/pub/3aRdSog0vUtuqPE8AJKD.png")</f>
        <v>https://storage.googleapis.com/glide-prod.appspot.com/uploads-v2/ly7o78grxPaC6KdgvbpS/pub/3aRdSog0vUtuqPE8AJKD.png</v>
      </c>
      <c r="U598" s="5" t="str">
        <f ca="1">IFERROR(__xludf.DUMMYFUNCTION("""COMPUTED_VALUE"""),"LINEA DE ENVASADO JUGOS PET HOT FILLINSPECTOR DE BOTELLA LLENA")</f>
        <v>LINEA DE ENVASADO JUGOS PET HOT FILLINSPECTOR DE BOTELLA LLENA</v>
      </c>
      <c r="V598" s="5"/>
      <c r="W598" s="5" t="b">
        <f ca="1">IFERROR(__xludf.DUMMYFUNCTION("""COMPUTED_VALUE"""),TRUE)</f>
        <v>1</v>
      </c>
      <c r="X598" s="5" t="str">
        <f ca="1">IFERROR(__xludf.DUMMYFUNCTION("""COMPUTED_VALUE"""),"achavezi@postobon.com.co,aprmttoyu@postobon.com.co,aprmyu@postobon.com.co,wmora@postobon.com.co,efzapata@postobon.com.co")</f>
        <v>achavezi@postobon.com.co,aprmttoyu@postobon.com.co,aprmyu@postobon.com.co,wmora@postobon.com.co,efzapata@postobon.com.co</v>
      </c>
      <c r="Y598" s="5" t="str">
        <f ca="1">IFERROR(__xludf.DUMMYFUNCTION("""COMPUTED_VALUE"""),"achavezi@postobon.com.co")</f>
        <v>achavezi@postobon.com.co</v>
      </c>
      <c r="Z598" s="5" t="str">
        <f ca="1">IFERROR(__xludf.DUMMYFUNCTION("""COMPUTED_VALUE"""),"0prRpqGOTGWBcIGSupqr7w")</f>
        <v>0prRpqGOTGWBcIGSupqr7w</v>
      </c>
      <c r="AA598" s="5"/>
      <c r="AB598" s="5"/>
      <c r="AC598" s="5"/>
      <c r="AD598" s="5">
        <f ca="1">IFERROR(__xludf.DUMMYFUNCTION("""COMPUTED_VALUE"""),30)</f>
        <v>30</v>
      </c>
      <c r="AE598" s="5">
        <f ca="1">IFERROR(__xludf.DUMMYFUNCTION("""COMPUTED_VALUE"""),30)</f>
        <v>30</v>
      </c>
      <c r="AF598" s="5" t="b">
        <f ca="1">IFERROR(__xludf.DUMMYFUNCTION("""COMPUTED_VALUE"""),FALSE)</f>
        <v>0</v>
      </c>
      <c r="AG598" s="5" t="str">
        <f ca="1">IFERROR(__xludf.DUMMYFUNCTION("""COMPUTED_VALUE"""),"INSPECCIONES REALIZADAS")</f>
        <v>INSPECCIONES REALIZADAS</v>
      </c>
      <c r="AH598" s="5"/>
    </row>
    <row r="599" spans="1:34">
      <c r="A599" s="5" t="str">
        <f ca="1">IFERROR(__xludf.DUMMYFUNCTION("""COMPUTED_VALUE"""),"LINEA PET CSD - LINEA 10")</f>
        <v>LINEA PET CSD - LINEA 10</v>
      </c>
      <c r="B599" s="5">
        <f ca="1">IFERROR(__xludf.DUMMYFUNCTION("""COMPUTED_VALUE"""),599605)</f>
        <v>599605</v>
      </c>
      <c r="C599" s="5" t="str">
        <f ca="1">IFERROR(__xludf.DUMMYFUNCTION("""COMPUTED_VALUE"""),"INSPECTOR ELECTRONICO DE ENVASE")</f>
        <v>INSPECTOR ELECTRONICO DE ENVASE</v>
      </c>
      <c r="D599" s="5">
        <f ca="1">IFERROR(__xludf.DUMMYFUNCTION("""COMPUTED_VALUE"""),13247584)</f>
        <v>13247584</v>
      </c>
      <c r="E599" s="5" t="str">
        <f ca="1">IFERROR(__xludf.DUMMYFUNCTION("""COMPUTED_VALUE"""),"INSPECCION SEMANAL INSPECTOR ELECTRONICO")</f>
        <v>INSPECCION SEMANAL INSPECTOR ELECTRONICO</v>
      </c>
      <c r="F599" s="5" t="str">
        <f ca="1">IFERROR(__xludf.DUMMYFUNCTION("""COMPUTED_VALUE"""),"LIMPIEZ. GRAL (VIDRIOS, ESPEJOS, COMPUTADOR)")</f>
        <v>LIMPIEZ. GRAL (VIDRIOS, ESPEJOS, COMPUTADOR)</v>
      </c>
      <c r="G599" s="5" t="b">
        <f ca="1">IFERROR(__xludf.DUMMYFUNCTION("""COMPUTED_VALUE"""),TRUE)</f>
        <v>1</v>
      </c>
      <c r="H599" s="5"/>
      <c r="I599" s="5"/>
      <c r="J599" s="5">
        <f ca="1">IFERROR(__xludf.DUMMYFUNCTION("""COMPUTED_VALUE"""),13247584)</f>
        <v>13247584</v>
      </c>
      <c r="K599" s="5"/>
      <c r="L599" s="18">
        <f ca="1">IFERROR(__xludf.DUMMYFUNCTION("""COMPUTED_VALUE"""),45325)</f>
        <v>45325</v>
      </c>
      <c r="M599" s="18">
        <f ca="1">IFERROR(__xludf.DUMMYFUNCTION("""COMPUTED_VALUE"""),45325)</f>
        <v>45325</v>
      </c>
      <c r="N599" s="5" t="str">
        <f ca="1">IFERROR(__xludf.DUMMYFUNCTION("""COMPUTED_VALUE"""),"BONILLA ANGULO EDWIN ANDRES")</f>
        <v>BONILLA ANGULO EDWIN ANDRES</v>
      </c>
      <c r="O599" s="2">
        <f ca="1">IFERROR(__xludf.DUMMYFUNCTION("""COMPUTED_VALUE"""),0.009090909)</f>
        <v>9.0909089999999994E-3</v>
      </c>
      <c r="P599" s="5">
        <f ca="1">IFERROR(__xludf.DUMMYFUNCTION("""COMPUTED_VALUE"""),20058001)</f>
        <v>20058001</v>
      </c>
      <c r="Q599" s="5" t="str">
        <f ca="1">IFERROR(__xludf.DUMMYFUNCTION("""COMPUTED_VALUE"""),"qFP1wZ1_sho")</f>
        <v>qFP1wZ1_sho</v>
      </c>
      <c r="R599" s="5">
        <f ca="1">IFERROR(__xludf.DUMMYFUNCTION("""COMPUTED_VALUE"""),410)</f>
        <v>410</v>
      </c>
      <c r="S599" s="62">
        <f ca="1">IFERROR(__xludf.DUMMYFUNCTION("""COMPUTED_VALUE"""),0.009090909)</f>
        <v>9.0909089999999994E-3</v>
      </c>
      <c r="T599" s="63" t="str">
        <f ca="1">IFERROR(__xludf.DUMMYFUNCTION("""COMPUTED_VALUE"""),"https://storage.googleapis.com/glide-prod.appspot.com/uploads-v2/ly7o78grxPaC6KdgvbpS/pub/3aRdSog0vUtuqPE8AJKD.png")</f>
        <v>https://storage.googleapis.com/glide-prod.appspot.com/uploads-v2/ly7o78grxPaC6KdgvbpS/pub/3aRdSog0vUtuqPE8AJKD.png</v>
      </c>
      <c r="U599" s="5" t="str">
        <f ca="1">IFERROR(__xludf.DUMMYFUNCTION("""COMPUTED_VALUE"""),"LINEA PET CSD - LINEA 10INSPECTOR ELECTRONICO DE ENVASE")</f>
        <v>LINEA PET CSD - LINEA 10INSPECTOR ELECTRONICO DE ENVASE</v>
      </c>
      <c r="V599" s="5"/>
      <c r="W599" s="5" t="b">
        <f ca="1">IFERROR(__xludf.DUMMYFUNCTION("""COMPUTED_VALUE"""),TRUE)</f>
        <v>1</v>
      </c>
      <c r="X599" s="5" t="str">
        <f ca="1">IFERROR(__xludf.DUMMYFUNCTION("""COMPUTED_VALUE"""),"wmazorra@postobon.com.co,aprmttoyu@postobon.com.co,aprmyu@postobon.com.co,wmora@postobon.com.co,efzapata@postobon.com.co")</f>
        <v>wmazorra@postobon.com.co,aprmttoyu@postobon.com.co,aprmyu@postobon.com.co,wmora@postobon.com.co,efzapata@postobon.com.co</v>
      </c>
      <c r="Y599" s="5" t="str">
        <f ca="1">IFERROR(__xludf.DUMMYFUNCTION("""COMPUTED_VALUE"""),"wmazorra@postobon.com.co")</f>
        <v>wmazorra@postobon.com.co</v>
      </c>
      <c r="Z599" s="5" t="str">
        <f ca="1">IFERROR(__xludf.DUMMYFUNCTION("""COMPUTED_VALUE"""),"cVgbXqNpQF-vqL0RY47ocA")</f>
        <v>cVgbXqNpQF-vqL0RY47ocA</v>
      </c>
      <c r="AA599" s="5"/>
      <c r="AB599" s="5"/>
      <c r="AC599" s="5"/>
      <c r="AD599" s="5">
        <f ca="1">IFERROR(__xludf.DUMMYFUNCTION("""COMPUTED_VALUE"""),11)</f>
        <v>11</v>
      </c>
      <c r="AE599" s="5">
        <f ca="1">IFERROR(__xludf.DUMMYFUNCTION("""COMPUTED_VALUE"""),11)</f>
        <v>11</v>
      </c>
      <c r="AF599" s="5" t="b">
        <f ca="1">IFERROR(__xludf.DUMMYFUNCTION("""COMPUTED_VALUE"""),FALSE)</f>
        <v>0</v>
      </c>
      <c r="AG599" s="5" t="str">
        <f ca="1">IFERROR(__xludf.DUMMYFUNCTION("""COMPUTED_VALUE"""),"INSPECCIONES REALIZADAS")</f>
        <v>INSPECCIONES REALIZADAS</v>
      </c>
      <c r="AH599" s="5"/>
    </row>
    <row r="600" spans="1:34">
      <c r="A600" s="5" t="str">
        <f ca="1">IFERROR(__xludf.DUMMYFUNCTION("""COMPUTED_VALUE"""),"LINEA PET CSD - LINEA 10")</f>
        <v>LINEA PET CSD - LINEA 10</v>
      </c>
      <c r="B600" s="5">
        <f ca="1">IFERROR(__xludf.DUMMYFUNCTION("""COMPUTED_VALUE"""),599605)</f>
        <v>599605</v>
      </c>
      <c r="C600" s="5" t="str">
        <f ca="1">IFERROR(__xludf.DUMMYFUNCTION("""COMPUTED_VALUE"""),"INSPECTOR ELECTRONICO DE ENVASE")</f>
        <v>INSPECTOR ELECTRONICO DE ENVASE</v>
      </c>
      <c r="D600" s="5">
        <f ca="1">IFERROR(__xludf.DUMMYFUNCTION("""COMPUTED_VALUE"""),13247584)</f>
        <v>13247584</v>
      </c>
      <c r="E600" s="5" t="str">
        <f ca="1">IFERROR(__xludf.DUMMYFUNCTION("""COMPUTED_VALUE"""),"INSPECCION SEMANAL INSPECTOR ELECTRONICO")</f>
        <v>INSPECCION SEMANAL INSPECTOR ELECTRONICO</v>
      </c>
      <c r="F600" s="5" t="str">
        <f ca="1">IFERROR(__xludf.DUMMYFUNCTION("""COMPUTED_VALUE"""),"INSP. REVESTIMIENTO VIDRIO PROTECTOR")</f>
        <v>INSP. REVESTIMIENTO VIDRIO PROTECTOR</v>
      </c>
      <c r="G600" s="5" t="b">
        <f ca="1">IFERROR(__xludf.DUMMYFUNCTION("""COMPUTED_VALUE"""),TRUE)</f>
        <v>1</v>
      </c>
      <c r="H600" s="5"/>
      <c r="I600" s="5"/>
      <c r="J600" s="5">
        <f ca="1">IFERROR(__xludf.DUMMYFUNCTION("""COMPUTED_VALUE"""),13247584)</f>
        <v>13247584</v>
      </c>
      <c r="K600" s="5"/>
      <c r="L600" s="18">
        <f ca="1">IFERROR(__xludf.DUMMYFUNCTION("""COMPUTED_VALUE"""),45325)</f>
        <v>45325</v>
      </c>
      <c r="M600" s="18">
        <f ca="1">IFERROR(__xludf.DUMMYFUNCTION("""COMPUTED_VALUE"""),45325)</f>
        <v>45325</v>
      </c>
      <c r="N600" s="5" t="str">
        <f ca="1">IFERROR(__xludf.DUMMYFUNCTION("""COMPUTED_VALUE"""),"BONILLA ANGULO EDWIN ANDRES")</f>
        <v>BONILLA ANGULO EDWIN ANDRES</v>
      </c>
      <c r="O600" s="2">
        <f ca="1">IFERROR(__xludf.DUMMYFUNCTION("""COMPUTED_VALUE"""),0.009090909)</f>
        <v>9.0909089999999994E-3</v>
      </c>
      <c r="P600" s="5">
        <f ca="1">IFERROR(__xludf.DUMMYFUNCTION("""COMPUTED_VALUE"""),20058001)</f>
        <v>20058001</v>
      </c>
      <c r="Q600" s="5" t="str">
        <f ca="1">IFERROR(__xludf.DUMMYFUNCTION("""COMPUTED_VALUE"""),"HLWddgJRfqs")</f>
        <v>HLWddgJRfqs</v>
      </c>
      <c r="R600" s="5">
        <f ca="1">IFERROR(__xludf.DUMMYFUNCTION("""COMPUTED_VALUE"""),410)</f>
        <v>410</v>
      </c>
      <c r="S600" s="62">
        <f ca="1">IFERROR(__xludf.DUMMYFUNCTION("""COMPUTED_VALUE"""),0.009090909)</f>
        <v>9.0909089999999994E-3</v>
      </c>
      <c r="T600" s="63" t="str">
        <f ca="1">IFERROR(__xludf.DUMMYFUNCTION("""COMPUTED_VALUE"""),"https://storage.googleapis.com/glide-prod.appspot.com/uploads-v2/ly7o78grxPaC6KdgvbpS/pub/3aRdSog0vUtuqPE8AJKD.png")</f>
        <v>https://storage.googleapis.com/glide-prod.appspot.com/uploads-v2/ly7o78grxPaC6KdgvbpS/pub/3aRdSog0vUtuqPE8AJKD.png</v>
      </c>
      <c r="U600" s="5" t="str">
        <f ca="1">IFERROR(__xludf.DUMMYFUNCTION("""COMPUTED_VALUE"""),"LINEA PET CSD - LINEA 10INSPECTOR ELECTRONICO DE ENVASE")</f>
        <v>LINEA PET CSD - LINEA 10INSPECTOR ELECTRONICO DE ENVASE</v>
      </c>
      <c r="V600" s="5"/>
      <c r="W600" s="5" t="b">
        <f ca="1">IFERROR(__xludf.DUMMYFUNCTION("""COMPUTED_VALUE"""),TRUE)</f>
        <v>1</v>
      </c>
      <c r="X600" s="5" t="str">
        <f ca="1">IFERROR(__xludf.DUMMYFUNCTION("""COMPUTED_VALUE"""),"wmazorra@postobon.com.co,aprmttoyu@postobon.com.co,aprmyu@postobon.com.co,wmora@postobon.com.co,efzapata@postobon.com.co")</f>
        <v>wmazorra@postobon.com.co,aprmttoyu@postobon.com.co,aprmyu@postobon.com.co,wmora@postobon.com.co,efzapata@postobon.com.co</v>
      </c>
      <c r="Y600" s="5" t="str">
        <f ca="1">IFERROR(__xludf.DUMMYFUNCTION("""COMPUTED_VALUE"""),"wmazorra@postobon.com.co")</f>
        <v>wmazorra@postobon.com.co</v>
      </c>
      <c r="Z600" s="5" t="str">
        <f ca="1">IFERROR(__xludf.DUMMYFUNCTION("""COMPUTED_VALUE"""),"EKock3QPQVWfYR.ihEqxpQ")</f>
        <v>EKock3QPQVWfYR.ihEqxpQ</v>
      </c>
      <c r="AA600" s="5"/>
      <c r="AB600" s="5"/>
      <c r="AC600" s="5"/>
      <c r="AD600" s="5">
        <f ca="1">IFERROR(__xludf.DUMMYFUNCTION("""COMPUTED_VALUE"""),11)</f>
        <v>11</v>
      </c>
      <c r="AE600" s="5">
        <f ca="1">IFERROR(__xludf.DUMMYFUNCTION("""COMPUTED_VALUE"""),11)</f>
        <v>11</v>
      </c>
      <c r="AF600" s="5" t="b">
        <f ca="1">IFERROR(__xludf.DUMMYFUNCTION("""COMPUTED_VALUE"""),FALSE)</f>
        <v>0</v>
      </c>
      <c r="AG600" s="5" t="str">
        <f ca="1">IFERROR(__xludf.DUMMYFUNCTION("""COMPUTED_VALUE"""),"INSPECCIONES REALIZADAS")</f>
        <v>INSPECCIONES REALIZADAS</v>
      </c>
      <c r="AH600" s="5"/>
    </row>
    <row r="601" spans="1:34">
      <c r="A601" s="5" t="str">
        <f ca="1">IFERROR(__xludf.DUMMYFUNCTION("""COMPUTED_VALUE"""),"LINEA PET CSD - LINEA 10")</f>
        <v>LINEA PET CSD - LINEA 10</v>
      </c>
      <c r="B601" s="5">
        <f ca="1">IFERROR(__xludf.DUMMYFUNCTION("""COMPUTED_VALUE"""),599605)</f>
        <v>599605</v>
      </c>
      <c r="C601" s="5" t="str">
        <f ca="1">IFERROR(__xludf.DUMMYFUNCTION("""COMPUTED_VALUE"""),"INSPECTOR ELECTRONICO DE ENVASE")</f>
        <v>INSPECTOR ELECTRONICO DE ENVASE</v>
      </c>
      <c r="D601" s="5">
        <f ca="1">IFERROR(__xludf.DUMMYFUNCTION("""COMPUTED_VALUE"""),13247584)</f>
        <v>13247584</v>
      </c>
      <c r="E601" s="5" t="str">
        <f ca="1">IFERROR(__xludf.DUMMYFUNCTION("""COMPUTED_VALUE"""),"INSPECCION SEMANAL INSPECTOR ELECTRONICO")</f>
        <v>INSPECCION SEMANAL INSPECTOR ELECTRONICO</v>
      </c>
      <c r="F601" s="5" t="str">
        <f ca="1">IFERROR(__xludf.DUMMYFUNCTION("""COMPUTED_VALUE"""),"FUNC. FOTOCELDAS, SENSORES")</f>
        <v>FUNC. FOTOCELDAS, SENSORES</v>
      </c>
      <c r="G601" s="5" t="b">
        <f ca="1">IFERROR(__xludf.DUMMYFUNCTION("""COMPUTED_VALUE"""),TRUE)</f>
        <v>1</v>
      </c>
      <c r="H601" s="5"/>
      <c r="I601" s="5"/>
      <c r="J601" s="5">
        <f ca="1">IFERROR(__xludf.DUMMYFUNCTION("""COMPUTED_VALUE"""),13247584)</f>
        <v>13247584</v>
      </c>
      <c r="K601" s="5"/>
      <c r="L601" s="18">
        <f ca="1">IFERROR(__xludf.DUMMYFUNCTION("""COMPUTED_VALUE"""),45325)</f>
        <v>45325</v>
      </c>
      <c r="M601" s="18">
        <f ca="1">IFERROR(__xludf.DUMMYFUNCTION("""COMPUTED_VALUE"""),45325)</f>
        <v>45325</v>
      </c>
      <c r="N601" s="5" t="str">
        <f ca="1">IFERROR(__xludf.DUMMYFUNCTION("""COMPUTED_VALUE"""),"BONILLA ANGULO EDWIN ANDRES")</f>
        <v>BONILLA ANGULO EDWIN ANDRES</v>
      </c>
      <c r="O601" s="2">
        <f ca="1">IFERROR(__xludf.DUMMYFUNCTION("""COMPUTED_VALUE"""),0.009090909)</f>
        <v>9.0909089999999994E-3</v>
      </c>
      <c r="P601" s="5">
        <f ca="1">IFERROR(__xludf.DUMMYFUNCTION("""COMPUTED_VALUE"""),20058001)</f>
        <v>20058001</v>
      </c>
      <c r="Q601" s="5" t="str">
        <f ca="1">IFERROR(__xludf.DUMMYFUNCTION("""COMPUTED_VALUE"""),"oCTxsSH-Tes")</f>
        <v>oCTxsSH-Tes</v>
      </c>
      <c r="R601" s="5">
        <f ca="1">IFERROR(__xludf.DUMMYFUNCTION("""COMPUTED_VALUE"""),410)</f>
        <v>410</v>
      </c>
      <c r="S601" s="62">
        <f ca="1">IFERROR(__xludf.DUMMYFUNCTION("""COMPUTED_VALUE"""),0.009090909)</f>
        <v>9.0909089999999994E-3</v>
      </c>
      <c r="T601" s="63" t="str">
        <f ca="1">IFERROR(__xludf.DUMMYFUNCTION("""COMPUTED_VALUE"""),"https://storage.googleapis.com/glide-prod.appspot.com/uploads-v2/ly7o78grxPaC6KdgvbpS/pub/3aRdSog0vUtuqPE8AJKD.png")</f>
        <v>https://storage.googleapis.com/glide-prod.appspot.com/uploads-v2/ly7o78grxPaC6KdgvbpS/pub/3aRdSog0vUtuqPE8AJKD.png</v>
      </c>
      <c r="U601" s="5" t="str">
        <f ca="1">IFERROR(__xludf.DUMMYFUNCTION("""COMPUTED_VALUE"""),"LINEA PET CSD - LINEA 10INSPECTOR ELECTRONICO DE ENVASE")</f>
        <v>LINEA PET CSD - LINEA 10INSPECTOR ELECTRONICO DE ENVASE</v>
      </c>
      <c r="V601" s="5"/>
      <c r="W601" s="5" t="b">
        <f ca="1">IFERROR(__xludf.DUMMYFUNCTION("""COMPUTED_VALUE"""),TRUE)</f>
        <v>1</v>
      </c>
      <c r="X601" s="5" t="str">
        <f ca="1">IFERROR(__xludf.DUMMYFUNCTION("""COMPUTED_VALUE"""),"wmazorra@postobon.com.co,aprmttoyu@postobon.com.co,aprmyu@postobon.com.co,wmora@postobon.com.co,efzapata@postobon.com.co")</f>
        <v>wmazorra@postobon.com.co,aprmttoyu@postobon.com.co,aprmyu@postobon.com.co,wmora@postobon.com.co,efzapata@postobon.com.co</v>
      </c>
      <c r="Y601" s="5" t="str">
        <f ca="1">IFERROR(__xludf.DUMMYFUNCTION("""COMPUTED_VALUE"""),"wmazorra@postobon.com.co")</f>
        <v>wmazorra@postobon.com.co</v>
      </c>
      <c r="Z601" s="5" t="str">
        <f ca="1">IFERROR(__xludf.DUMMYFUNCTION("""COMPUTED_VALUE"""),"gjQPg7lbRli-kP3yGkV31w")</f>
        <v>gjQPg7lbRli-kP3yGkV31w</v>
      </c>
      <c r="AA601" s="5"/>
      <c r="AB601" s="5"/>
      <c r="AC601" s="5"/>
      <c r="AD601" s="5">
        <f ca="1">IFERROR(__xludf.DUMMYFUNCTION("""COMPUTED_VALUE"""),11)</f>
        <v>11</v>
      </c>
      <c r="AE601" s="5">
        <f ca="1">IFERROR(__xludf.DUMMYFUNCTION("""COMPUTED_VALUE"""),11)</f>
        <v>11</v>
      </c>
      <c r="AF601" s="5" t="b">
        <f ca="1">IFERROR(__xludf.DUMMYFUNCTION("""COMPUTED_VALUE"""),FALSE)</f>
        <v>0</v>
      </c>
      <c r="AG601" s="5" t="str">
        <f ca="1">IFERROR(__xludf.DUMMYFUNCTION("""COMPUTED_VALUE"""),"INSPECCIONES REALIZADAS")</f>
        <v>INSPECCIONES REALIZADAS</v>
      </c>
      <c r="AH601" s="5"/>
    </row>
    <row r="602" spans="1:34">
      <c r="A602" s="5" t="str">
        <f ca="1">IFERROR(__xludf.DUMMYFUNCTION("""COMPUTED_VALUE"""),"LINEA PET CSD - LINEA 10")</f>
        <v>LINEA PET CSD - LINEA 10</v>
      </c>
      <c r="B602" s="5">
        <f ca="1">IFERROR(__xludf.DUMMYFUNCTION("""COMPUTED_VALUE"""),599605)</f>
        <v>599605</v>
      </c>
      <c r="C602" s="5" t="str">
        <f ca="1">IFERROR(__xludf.DUMMYFUNCTION("""COMPUTED_VALUE"""),"INSPECTOR ELECTRONICO DE ENVASE")</f>
        <v>INSPECTOR ELECTRONICO DE ENVASE</v>
      </c>
      <c r="D602" s="5">
        <f ca="1">IFERROR(__xludf.DUMMYFUNCTION("""COMPUTED_VALUE"""),13247584)</f>
        <v>13247584</v>
      </c>
      <c r="E602" s="5" t="str">
        <f ca="1">IFERROR(__xludf.DUMMYFUNCTION("""COMPUTED_VALUE"""),"INSPECCION SEMANAL INSPECTOR ELECTRONICO")</f>
        <v>INSPECCION SEMANAL INSPECTOR ELECTRONICO</v>
      </c>
      <c r="F602" s="5" t="str">
        <f ca="1">IFERROR(__xludf.DUMMYFUNCTION("""COMPUTED_VALUE"""),"INSP. UNIDAD MTTO AIRE(DRENAR AGUA)")</f>
        <v>INSP. UNIDAD MTTO AIRE(DRENAR AGUA)</v>
      </c>
      <c r="G602" s="5" t="b">
        <f ca="1">IFERROR(__xludf.DUMMYFUNCTION("""COMPUTED_VALUE"""),TRUE)</f>
        <v>1</v>
      </c>
      <c r="H602" s="5"/>
      <c r="I602" s="5"/>
      <c r="J602" s="5">
        <f ca="1">IFERROR(__xludf.DUMMYFUNCTION("""COMPUTED_VALUE"""),13247584)</f>
        <v>13247584</v>
      </c>
      <c r="K602" s="5"/>
      <c r="L602" s="18">
        <f ca="1">IFERROR(__xludf.DUMMYFUNCTION("""COMPUTED_VALUE"""),45325)</f>
        <v>45325</v>
      </c>
      <c r="M602" s="18">
        <f ca="1">IFERROR(__xludf.DUMMYFUNCTION("""COMPUTED_VALUE"""),45325)</f>
        <v>45325</v>
      </c>
      <c r="N602" s="5" t="str">
        <f ca="1">IFERROR(__xludf.DUMMYFUNCTION("""COMPUTED_VALUE"""),"BONILLA ANGULO EDWIN ANDRES")</f>
        <v>BONILLA ANGULO EDWIN ANDRES</v>
      </c>
      <c r="O602" s="2">
        <f ca="1">IFERROR(__xludf.DUMMYFUNCTION("""COMPUTED_VALUE"""),0.009090909)</f>
        <v>9.0909089999999994E-3</v>
      </c>
      <c r="P602" s="5">
        <f ca="1">IFERROR(__xludf.DUMMYFUNCTION("""COMPUTED_VALUE"""),20058001)</f>
        <v>20058001</v>
      </c>
      <c r="Q602" s="5" t="str">
        <f ca="1">IFERROR(__xludf.DUMMYFUNCTION("""COMPUTED_VALUE"""),"hx-TpjRxfAY")</f>
        <v>hx-TpjRxfAY</v>
      </c>
      <c r="R602" s="5">
        <f ca="1">IFERROR(__xludf.DUMMYFUNCTION("""COMPUTED_VALUE"""),410)</f>
        <v>410</v>
      </c>
      <c r="S602" s="62">
        <f ca="1">IFERROR(__xludf.DUMMYFUNCTION("""COMPUTED_VALUE"""),0.009090909)</f>
        <v>9.0909089999999994E-3</v>
      </c>
      <c r="T602" s="63" t="str">
        <f ca="1">IFERROR(__xludf.DUMMYFUNCTION("""COMPUTED_VALUE"""),"https://storage.googleapis.com/glide-prod.appspot.com/uploads-v2/ly7o78grxPaC6KdgvbpS/pub/3aRdSog0vUtuqPE8AJKD.png")</f>
        <v>https://storage.googleapis.com/glide-prod.appspot.com/uploads-v2/ly7o78grxPaC6KdgvbpS/pub/3aRdSog0vUtuqPE8AJKD.png</v>
      </c>
      <c r="U602" s="5" t="str">
        <f ca="1">IFERROR(__xludf.DUMMYFUNCTION("""COMPUTED_VALUE"""),"LINEA PET CSD - LINEA 10INSPECTOR ELECTRONICO DE ENVASE")</f>
        <v>LINEA PET CSD - LINEA 10INSPECTOR ELECTRONICO DE ENVASE</v>
      </c>
      <c r="V602" s="5"/>
      <c r="W602" s="5" t="b">
        <f ca="1">IFERROR(__xludf.DUMMYFUNCTION("""COMPUTED_VALUE"""),TRUE)</f>
        <v>1</v>
      </c>
      <c r="X602" s="5" t="str">
        <f ca="1">IFERROR(__xludf.DUMMYFUNCTION("""COMPUTED_VALUE"""),"wmazorra@postobon.com.co,aprmttoyu@postobon.com.co,aprmyu@postobon.com.co,wmora@postobon.com.co,efzapata@postobon.com.co")</f>
        <v>wmazorra@postobon.com.co,aprmttoyu@postobon.com.co,aprmyu@postobon.com.co,wmora@postobon.com.co,efzapata@postobon.com.co</v>
      </c>
      <c r="Y602" s="5" t="str">
        <f ca="1">IFERROR(__xludf.DUMMYFUNCTION("""COMPUTED_VALUE"""),"wmazorra@postobon.com.co")</f>
        <v>wmazorra@postobon.com.co</v>
      </c>
      <c r="Z602" s="5" t="str">
        <f ca="1">IFERROR(__xludf.DUMMYFUNCTION("""COMPUTED_VALUE"""),"iimfQ0YzQb64XsgiXJZjuw")</f>
        <v>iimfQ0YzQb64XsgiXJZjuw</v>
      </c>
      <c r="AA602" s="5"/>
      <c r="AB602" s="5"/>
      <c r="AC602" s="5"/>
      <c r="AD602" s="5">
        <f ca="1">IFERROR(__xludf.DUMMYFUNCTION("""COMPUTED_VALUE"""),11)</f>
        <v>11</v>
      </c>
      <c r="AE602" s="5">
        <f ca="1">IFERROR(__xludf.DUMMYFUNCTION("""COMPUTED_VALUE"""),11)</f>
        <v>11</v>
      </c>
      <c r="AF602" s="5" t="b">
        <f ca="1">IFERROR(__xludf.DUMMYFUNCTION("""COMPUTED_VALUE"""),FALSE)</f>
        <v>0</v>
      </c>
      <c r="AG602" s="5" t="str">
        <f ca="1">IFERROR(__xludf.DUMMYFUNCTION("""COMPUTED_VALUE"""),"INSPECCIONES REALIZADAS")</f>
        <v>INSPECCIONES REALIZADAS</v>
      </c>
      <c r="AH602" s="5"/>
    </row>
    <row r="603" spans="1:34">
      <c r="A603" s="5" t="str">
        <f ca="1">IFERROR(__xludf.DUMMYFUNCTION("""COMPUTED_VALUE"""),"LINEA PET CSD - LINEA 10")</f>
        <v>LINEA PET CSD - LINEA 10</v>
      </c>
      <c r="B603" s="5">
        <f ca="1">IFERROR(__xludf.DUMMYFUNCTION("""COMPUTED_VALUE"""),599605)</f>
        <v>599605</v>
      </c>
      <c r="C603" s="5" t="str">
        <f ca="1">IFERROR(__xludf.DUMMYFUNCTION("""COMPUTED_VALUE"""),"INSPECTOR ELECTRONICO DE ENVASE")</f>
        <v>INSPECTOR ELECTRONICO DE ENVASE</v>
      </c>
      <c r="D603" s="5">
        <f ca="1">IFERROR(__xludf.DUMMYFUNCTION("""COMPUTED_VALUE"""),13247584)</f>
        <v>13247584</v>
      </c>
      <c r="E603" s="5" t="str">
        <f ca="1">IFERROR(__xludf.DUMMYFUNCTION("""COMPUTED_VALUE"""),"INSPECCION SEMANAL INSPECTOR ELECTRONICO")</f>
        <v>INSPECCION SEMANAL INSPECTOR ELECTRONICO</v>
      </c>
      <c r="F603" s="5" t="str">
        <f ca="1">IFERROR(__xludf.DUMMYFUNCTION("""COMPUTED_VALUE"""),"INSP INTERCAMBIADOR Y REJILLA AIRE")</f>
        <v>INSP INTERCAMBIADOR Y REJILLA AIRE</v>
      </c>
      <c r="G603" s="5" t="b">
        <f ca="1">IFERROR(__xludf.DUMMYFUNCTION("""COMPUTED_VALUE"""),TRUE)</f>
        <v>1</v>
      </c>
      <c r="H603" s="5"/>
      <c r="I603" s="5"/>
      <c r="J603" s="5">
        <f ca="1">IFERROR(__xludf.DUMMYFUNCTION("""COMPUTED_VALUE"""),13247584)</f>
        <v>13247584</v>
      </c>
      <c r="K603" s="5"/>
      <c r="L603" s="18">
        <f ca="1">IFERROR(__xludf.DUMMYFUNCTION("""COMPUTED_VALUE"""),45325)</f>
        <v>45325</v>
      </c>
      <c r="M603" s="18">
        <f ca="1">IFERROR(__xludf.DUMMYFUNCTION("""COMPUTED_VALUE"""),45325)</f>
        <v>45325</v>
      </c>
      <c r="N603" s="5" t="str">
        <f ca="1">IFERROR(__xludf.DUMMYFUNCTION("""COMPUTED_VALUE"""),"BONILLA ANGULO EDWIN ANDRES")</f>
        <v>BONILLA ANGULO EDWIN ANDRES</v>
      </c>
      <c r="O603" s="2">
        <f ca="1">IFERROR(__xludf.DUMMYFUNCTION("""COMPUTED_VALUE"""),0.009090909)</f>
        <v>9.0909089999999994E-3</v>
      </c>
      <c r="P603" s="5">
        <f ca="1">IFERROR(__xludf.DUMMYFUNCTION("""COMPUTED_VALUE"""),20058001)</f>
        <v>20058001</v>
      </c>
      <c r="Q603" s="5" t="str">
        <f ca="1">IFERROR(__xludf.DUMMYFUNCTION("""COMPUTED_VALUE"""),"kTmZH2AEJFY")</f>
        <v>kTmZH2AEJFY</v>
      </c>
      <c r="R603" s="5">
        <f ca="1">IFERROR(__xludf.DUMMYFUNCTION("""COMPUTED_VALUE"""),410)</f>
        <v>410</v>
      </c>
      <c r="S603" s="62">
        <f ca="1">IFERROR(__xludf.DUMMYFUNCTION("""COMPUTED_VALUE"""),0.009090909)</f>
        <v>9.0909089999999994E-3</v>
      </c>
      <c r="T603" s="63" t="str">
        <f ca="1">IFERROR(__xludf.DUMMYFUNCTION("""COMPUTED_VALUE"""),"https://storage.googleapis.com/glide-prod.appspot.com/uploads-v2/ly7o78grxPaC6KdgvbpS/pub/3aRdSog0vUtuqPE8AJKD.png")</f>
        <v>https://storage.googleapis.com/glide-prod.appspot.com/uploads-v2/ly7o78grxPaC6KdgvbpS/pub/3aRdSog0vUtuqPE8AJKD.png</v>
      </c>
      <c r="U603" s="5" t="str">
        <f ca="1">IFERROR(__xludf.DUMMYFUNCTION("""COMPUTED_VALUE"""),"LINEA PET CSD - LINEA 10INSPECTOR ELECTRONICO DE ENVASE")</f>
        <v>LINEA PET CSD - LINEA 10INSPECTOR ELECTRONICO DE ENVASE</v>
      </c>
      <c r="V603" s="5"/>
      <c r="W603" s="5" t="b">
        <f ca="1">IFERROR(__xludf.DUMMYFUNCTION("""COMPUTED_VALUE"""),TRUE)</f>
        <v>1</v>
      </c>
      <c r="X603" s="5" t="str">
        <f ca="1">IFERROR(__xludf.DUMMYFUNCTION("""COMPUTED_VALUE"""),"wmazorra@postobon.com.co,aprmttoyu@postobon.com.co,aprmyu@postobon.com.co,wmora@postobon.com.co,efzapata@postobon.com.co")</f>
        <v>wmazorra@postobon.com.co,aprmttoyu@postobon.com.co,aprmyu@postobon.com.co,wmora@postobon.com.co,efzapata@postobon.com.co</v>
      </c>
      <c r="Y603" s="5" t="str">
        <f ca="1">IFERROR(__xludf.DUMMYFUNCTION("""COMPUTED_VALUE"""),"wmazorra@postobon.com.co")</f>
        <v>wmazorra@postobon.com.co</v>
      </c>
      <c r="Z603" s="5" t="str">
        <f ca="1">IFERROR(__xludf.DUMMYFUNCTION("""COMPUTED_VALUE"""),"dYfJjJabRZiT1Q4VvDcIaA")</f>
        <v>dYfJjJabRZiT1Q4VvDcIaA</v>
      </c>
      <c r="AA603" s="5"/>
      <c r="AB603" s="5"/>
      <c r="AC603" s="5"/>
      <c r="AD603" s="5">
        <f ca="1">IFERROR(__xludf.DUMMYFUNCTION("""COMPUTED_VALUE"""),11)</f>
        <v>11</v>
      </c>
      <c r="AE603" s="5">
        <f ca="1">IFERROR(__xludf.DUMMYFUNCTION("""COMPUTED_VALUE"""),11)</f>
        <v>11</v>
      </c>
      <c r="AF603" s="5" t="b">
        <f ca="1">IFERROR(__xludf.DUMMYFUNCTION("""COMPUTED_VALUE"""),FALSE)</f>
        <v>0</v>
      </c>
      <c r="AG603" s="5" t="str">
        <f ca="1">IFERROR(__xludf.DUMMYFUNCTION("""COMPUTED_VALUE"""),"INSPECCIONES REALIZADAS")</f>
        <v>INSPECCIONES REALIZADAS</v>
      </c>
      <c r="AH603" s="5"/>
    </row>
    <row r="604" spans="1:34">
      <c r="A604" s="5" t="str">
        <f ca="1">IFERROR(__xludf.DUMMYFUNCTION("""COMPUTED_VALUE"""),"LINEA PET CSD - LINEA 10")</f>
        <v>LINEA PET CSD - LINEA 10</v>
      </c>
      <c r="B604" s="5">
        <f ca="1">IFERROR(__xludf.DUMMYFUNCTION("""COMPUTED_VALUE"""),599605)</f>
        <v>599605</v>
      </c>
      <c r="C604" s="5" t="str">
        <f ca="1">IFERROR(__xludf.DUMMYFUNCTION("""COMPUTED_VALUE"""),"INSPECTOR ELECTRONICO DE ENVASE")</f>
        <v>INSPECTOR ELECTRONICO DE ENVASE</v>
      </c>
      <c r="D604" s="5">
        <f ca="1">IFERROR(__xludf.DUMMYFUNCTION("""COMPUTED_VALUE"""),13247584)</f>
        <v>13247584</v>
      </c>
      <c r="E604" s="5" t="str">
        <f ca="1">IFERROR(__xludf.DUMMYFUNCTION("""COMPUTED_VALUE"""),"INSPECCION SEMANAL INSPECTOR ELECTRONICO")</f>
        <v>INSPECCION SEMANAL INSPECTOR ELECTRONICO</v>
      </c>
      <c r="F604" s="5" t="str">
        <f ca="1">IFERROR(__xludf.DUMMYFUNCTION("""COMPUTED_VALUE"""),"INSP. FALTA DE TAPON")</f>
        <v>INSP. FALTA DE TAPON</v>
      </c>
      <c r="G604" s="5" t="b">
        <f ca="1">IFERROR(__xludf.DUMMYFUNCTION("""COMPUTED_VALUE"""),TRUE)</f>
        <v>1</v>
      </c>
      <c r="H604" s="5"/>
      <c r="I604" s="5"/>
      <c r="J604" s="5">
        <f ca="1">IFERROR(__xludf.DUMMYFUNCTION("""COMPUTED_VALUE"""),13247584)</f>
        <v>13247584</v>
      </c>
      <c r="K604" s="5"/>
      <c r="L604" s="18">
        <f ca="1">IFERROR(__xludf.DUMMYFUNCTION("""COMPUTED_VALUE"""),45325)</f>
        <v>45325</v>
      </c>
      <c r="M604" s="18">
        <f ca="1">IFERROR(__xludf.DUMMYFUNCTION("""COMPUTED_VALUE"""),45325)</f>
        <v>45325</v>
      </c>
      <c r="N604" s="5" t="str">
        <f ca="1">IFERROR(__xludf.DUMMYFUNCTION("""COMPUTED_VALUE"""),"BONILLA ANGULO EDWIN ANDRES")</f>
        <v>BONILLA ANGULO EDWIN ANDRES</v>
      </c>
      <c r="O604" s="2">
        <f ca="1">IFERROR(__xludf.DUMMYFUNCTION("""COMPUTED_VALUE"""),0.009090909)</f>
        <v>9.0909089999999994E-3</v>
      </c>
      <c r="P604" s="5">
        <f ca="1">IFERROR(__xludf.DUMMYFUNCTION("""COMPUTED_VALUE"""),20058001)</f>
        <v>20058001</v>
      </c>
      <c r="Q604" s="5" t="str">
        <f ca="1">IFERROR(__xludf.DUMMYFUNCTION("""COMPUTED_VALUE"""),"-K7AMqaTqqU")</f>
        <v>-K7AMqaTqqU</v>
      </c>
      <c r="R604" s="5">
        <f ca="1">IFERROR(__xludf.DUMMYFUNCTION("""COMPUTED_VALUE"""),410)</f>
        <v>410</v>
      </c>
      <c r="S604" s="62">
        <f ca="1">IFERROR(__xludf.DUMMYFUNCTION("""COMPUTED_VALUE"""),0.009090909)</f>
        <v>9.0909089999999994E-3</v>
      </c>
      <c r="T604" s="63" t="str">
        <f ca="1">IFERROR(__xludf.DUMMYFUNCTION("""COMPUTED_VALUE"""),"https://storage.googleapis.com/glide-prod.appspot.com/uploads-v2/ly7o78grxPaC6KdgvbpS/pub/3aRdSog0vUtuqPE8AJKD.png")</f>
        <v>https://storage.googleapis.com/glide-prod.appspot.com/uploads-v2/ly7o78grxPaC6KdgvbpS/pub/3aRdSog0vUtuqPE8AJKD.png</v>
      </c>
      <c r="U604" s="5" t="str">
        <f ca="1">IFERROR(__xludf.DUMMYFUNCTION("""COMPUTED_VALUE"""),"LINEA PET CSD - LINEA 10INSPECTOR ELECTRONICO DE ENVASE")</f>
        <v>LINEA PET CSD - LINEA 10INSPECTOR ELECTRONICO DE ENVASE</v>
      </c>
      <c r="V604" s="5"/>
      <c r="W604" s="5" t="b">
        <f ca="1">IFERROR(__xludf.DUMMYFUNCTION("""COMPUTED_VALUE"""),TRUE)</f>
        <v>1</v>
      </c>
      <c r="X604" s="5" t="str">
        <f ca="1">IFERROR(__xludf.DUMMYFUNCTION("""COMPUTED_VALUE"""),"wmazorra@postobon.com.co,aprmttoyu@postobon.com.co,aprmyu@postobon.com.co,wmora@postobon.com.co,efzapata@postobon.com.co")</f>
        <v>wmazorra@postobon.com.co,aprmttoyu@postobon.com.co,aprmyu@postobon.com.co,wmora@postobon.com.co,efzapata@postobon.com.co</v>
      </c>
      <c r="Y604" s="5" t="str">
        <f ca="1">IFERROR(__xludf.DUMMYFUNCTION("""COMPUTED_VALUE"""),"wmazorra@postobon.com.co")</f>
        <v>wmazorra@postobon.com.co</v>
      </c>
      <c r="Z604" s="5" t="str">
        <f ca="1">IFERROR(__xludf.DUMMYFUNCTION("""COMPUTED_VALUE"""),"jkOtUQYyTV-WZDVfMDFeKg")</f>
        <v>jkOtUQYyTV-WZDVfMDFeKg</v>
      </c>
      <c r="AA604" s="5"/>
      <c r="AB604" s="5"/>
      <c r="AC604" s="5"/>
      <c r="AD604" s="5">
        <f ca="1">IFERROR(__xludf.DUMMYFUNCTION("""COMPUTED_VALUE"""),11)</f>
        <v>11</v>
      </c>
      <c r="AE604" s="5">
        <f ca="1">IFERROR(__xludf.DUMMYFUNCTION("""COMPUTED_VALUE"""),11)</f>
        <v>11</v>
      </c>
      <c r="AF604" s="5" t="b">
        <f ca="1">IFERROR(__xludf.DUMMYFUNCTION("""COMPUTED_VALUE"""),FALSE)</f>
        <v>0</v>
      </c>
      <c r="AG604" s="5" t="str">
        <f ca="1">IFERROR(__xludf.DUMMYFUNCTION("""COMPUTED_VALUE"""),"INSPECCIONES REALIZADAS")</f>
        <v>INSPECCIONES REALIZADAS</v>
      </c>
      <c r="AH604" s="5"/>
    </row>
    <row r="605" spans="1:34">
      <c r="A605" s="5" t="str">
        <f ca="1">IFERROR(__xludf.DUMMYFUNCTION("""COMPUTED_VALUE"""),"LINEA PET CSD - LINEA 10")</f>
        <v>LINEA PET CSD - LINEA 10</v>
      </c>
      <c r="B605" s="5">
        <f ca="1">IFERROR(__xludf.DUMMYFUNCTION("""COMPUTED_VALUE"""),599605)</f>
        <v>599605</v>
      </c>
      <c r="C605" s="5" t="str">
        <f ca="1">IFERROR(__xludf.DUMMYFUNCTION("""COMPUTED_VALUE"""),"INSPECTOR ELECTRONICO DE ENVASE")</f>
        <v>INSPECTOR ELECTRONICO DE ENVASE</v>
      </c>
      <c r="D605" s="5">
        <f ca="1">IFERROR(__xludf.DUMMYFUNCTION("""COMPUTED_VALUE"""),13247584)</f>
        <v>13247584</v>
      </c>
      <c r="E605" s="5" t="str">
        <f ca="1">IFERROR(__xludf.DUMMYFUNCTION("""COMPUTED_VALUE"""),"INSPECCION SEMANAL INSPECTOR ELECTRONICO")</f>
        <v>INSPECCION SEMANAL INSPECTOR ELECTRONICO</v>
      </c>
      <c r="F605" s="5" t="str">
        <f ca="1">IFERROR(__xludf.DUMMYFUNCTION("""COMPUTED_VALUE"""),"INSP. SUBLLENADO")</f>
        <v>INSP. SUBLLENADO</v>
      </c>
      <c r="G605" s="5" t="b">
        <f ca="1">IFERROR(__xludf.DUMMYFUNCTION("""COMPUTED_VALUE"""),TRUE)</f>
        <v>1</v>
      </c>
      <c r="H605" s="5"/>
      <c r="I605" s="5"/>
      <c r="J605" s="5">
        <f ca="1">IFERROR(__xludf.DUMMYFUNCTION("""COMPUTED_VALUE"""),13247584)</f>
        <v>13247584</v>
      </c>
      <c r="K605" s="5"/>
      <c r="L605" s="18">
        <f ca="1">IFERROR(__xludf.DUMMYFUNCTION("""COMPUTED_VALUE"""),45325)</f>
        <v>45325</v>
      </c>
      <c r="M605" s="18">
        <f ca="1">IFERROR(__xludf.DUMMYFUNCTION("""COMPUTED_VALUE"""),45325)</f>
        <v>45325</v>
      </c>
      <c r="N605" s="5" t="str">
        <f ca="1">IFERROR(__xludf.DUMMYFUNCTION("""COMPUTED_VALUE"""),"BONILLA ANGULO EDWIN ANDRES")</f>
        <v>BONILLA ANGULO EDWIN ANDRES</v>
      </c>
      <c r="O605" s="2">
        <f ca="1">IFERROR(__xludf.DUMMYFUNCTION("""COMPUTED_VALUE"""),0.009090909)</f>
        <v>9.0909089999999994E-3</v>
      </c>
      <c r="P605" s="5">
        <f ca="1">IFERROR(__xludf.DUMMYFUNCTION("""COMPUTED_VALUE"""),20058001)</f>
        <v>20058001</v>
      </c>
      <c r="Q605" s="5" t="str">
        <f ca="1">IFERROR(__xludf.DUMMYFUNCTION("""COMPUTED_VALUE"""),"upCvJMhw_6c")</f>
        <v>upCvJMhw_6c</v>
      </c>
      <c r="R605" s="5">
        <f ca="1">IFERROR(__xludf.DUMMYFUNCTION("""COMPUTED_VALUE"""),410)</f>
        <v>410</v>
      </c>
      <c r="S605" s="62">
        <f ca="1">IFERROR(__xludf.DUMMYFUNCTION("""COMPUTED_VALUE"""),0.009090909)</f>
        <v>9.0909089999999994E-3</v>
      </c>
      <c r="T605" s="63" t="str">
        <f ca="1">IFERROR(__xludf.DUMMYFUNCTION("""COMPUTED_VALUE"""),"https://storage.googleapis.com/glide-prod.appspot.com/uploads-v2/ly7o78grxPaC6KdgvbpS/pub/3aRdSog0vUtuqPE8AJKD.png")</f>
        <v>https://storage.googleapis.com/glide-prod.appspot.com/uploads-v2/ly7o78grxPaC6KdgvbpS/pub/3aRdSog0vUtuqPE8AJKD.png</v>
      </c>
      <c r="U605" s="5" t="str">
        <f ca="1">IFERROR(__xludf.DUMMYFUNCTION("""COMPUTED_VALUE"""),"LINEA PET CSD - LINEA 10INSPECTOR ELECTRONICO DE ENVASE")</f>
        <v>LINEA PET CSD - LINEA 10INSPECTOR ELECTRONICO DE ENVASE</v>
      </c>
      <c r="V605" s="5"/>
      <c r="W605" s="5" t="b">
        <f ca="1">IFERROR(__xludf.DUMMYFUNCTION("""COMPUTED_VALUE"""),TRUE)</f>
        <v>1</v>
      </c>
      <c r="X605" s="5" t="str">
        <f ca="1">IFERROR(__xludf.DUMMYFUNCTION("""COMPUTED_VALUE"""),"wmazorra@postobon.com.co,aprmttoyu@postobon.com.co,aprmyu@postobon.com.co,wmora@postobon.com.co,efzapata@postobon.com.co")</f>
        <v>wmazorra@postobon.com.co,aprmttoyu@postobon.com.co,aprmyu@postobon.com.co,wmora@postobon.com.co,efzapata@postobon.com.co</v>
      </c>
      <c r="Y605" s="5" t="str">
        <f ca="1">IFERROR(__xludf.DUMMYFUNCTION("""COMPUTED_VALUE"""),"wmazorra@postobon.com.co")</f>
        <v>wmazorra@postobon.com.co</v>
      </c>
      <c r="Z605" s="5" t="str">
        <f ca="1">IFERROR(__xludf.DUMMYFUNCTION("""COMPUTED_VALUE"""),"37uuEQPlSeCiIEHbTsB8dQ")</f>
        <v>37uuEQPlSeCiIEHbTsB8dQ</v>
      </c>
      <c r="AA605" s="5"/>
      <c r="AB605" s="5"/>
      <c r="AC605" s="5"/>
      <c r="AD605" s="5">
        <f ca="1">IFERROR(__xludf.DUMMYFUNCTION("""COMPUTED_VALUE"""),11)</f>
        <v>11</v>
      </c>
      <c r="AE605" s="5">
        <f ca="1">IFERROR(__xludf.DUMMYFUNCTION("""COMPUTED_VALUE"""),11)</f>
        <v>11</v>
      </c>
      <c r="AF605" s="5" t="b">
        <f ca="1">IFERROR(__xludf.DUMMYFUNCTION("""COMPUTED_VALUE"""),FALSE)</f>
        <v>0</v>
      </c>
      <c r="AG605" s="5" t="str">
        <f ca="1">IFERROR(__xludf.DUMMYFUNCTION("""COMPUTED_VALUE"""),"INSPECCIONES REALIZADAS")</f>
        <v>INSPECCIONES REALIZADAS</v>
      </c>
      <c r="AH605" s="5"/>
    </row>
    <row r="606" spans="1:34">
      <c r="A606" s="5" t="str">
        <f ca="1">IFERROR(__xludf.DUMMYFUNCTION("""COMPUTED_VALUE"""),"LINEA PET CSD - LINEA 10")</f>
        <v>LINEA PET CSD - LINEA 10</v>
      </c>
      <c r="B606" s="5">
        <f ca="1">IFERROR(__xludf.DUMMYFUNCTION("""COMPUTED_VALUE"""),599605)</f>
        <v>599605</v>
      </c>
      <c r="C606" s="5" t="str">
        <f ca="1">IFERROR(__xludf.DUMMYFUNCTION("""COMPUTED_VALUE"""),"INSPECTOR ELECTRONICO DE ENVASE")</f>
        <v>INSPECTOR ELECTRONICO DE ENVASE</v>
      </c>
      <c r="D606" s="5">
        <f ca="1">IFERROR(__xludf.DUMMYFUNCTION("""COMPUTED_VALUE"""),13247584)</f>
        <v>13247584</v>
      </c>
      <c r="E606" s="5" t="str">
        <f ca="1">IFERROR(__xludf.DUMMYFUNCTION("""COMPUTED_VALUE"""),"INSPECCION SEMANAL INSPECTOR ELECTRONICO")</f>
        <v>INSPECCION SEMANAL INSPECTOR ELECTRONICO</v>
      </c>
      <c r="F606" s="5" t="str">
        <f ca="1">IFERROR(__xludf.DUMMYFUNCTION("""COMPUTED_VALUE"""),"FUNC.PANEL CONTROL")</f>
        <v>FUNC.PANEL CONTROL</v>
      </c>
      <c r="G606" s="5" t="b">
        <f ca="1">IFERROR(__xludf.DUMMYFUNCTION("""COMPUTED_VALUE"""),TRUE)</f>
        <v>1</v>
      </c>
      <c r="H606" s="5" t="str">
        <f ca="1">IFERROR(__xludf.DUMMYFUNCTION("""COMPUTED_VALUE"""),"Pantalla se apaga en algunas ocasiones, se reinicia equipo")</f>
        <v>Pantalla se apaga en algunas ocasiones, se reinicia equipo</v>
      </c>
      <c r="I606" s="5"/>
      <c r="J606" s="5">
        <f ca="1">IFERROR(__xludf.DUMMYFUNCTION("""COMPUTED_VALUE"""),13247584)</f>
        <v>13247584</v>
      </c>
      <c r="K606" s="5"/>
      <c r="L606" s="18">
        <f ca="1">IFERROR(__xludf.DUMMYFUNCTION("""COMPUTED_VALUE"""),45325)</f>
        <v>45325</v>
      </c>
      <c r="M606" s="18">
        <f ca="1">IFERROR(__xludf.DUMMYFUNCTION("""COMPUTED_VALUE"""),45325)</f>
        <v>45325</v>
      </c>
      <c r="N606" s="5" t="str">
        <f ca="1">IFERROR(__xludf.DUMMYFUNCTION("""COMPUTED_VALUE"""),"BONILLA ANGULO EDWIN ANDRES")</f>
        <v>BONILLA ANGULO EDWIN ANDRES</v>
      </c>
      <c r="O606" s="2">
        <f ca="1">IFERROR(__xludf.DUMMYFUNCTION("""COMPUTED_VALUE"""),0.009090909)</f>
        <v>9.0909089999999994E-3</v>
      </c>
      <c r="P606" s="5">
        <f ca="1">IFERROR(__xludf.DUMMYFUNCTION("""COMPUTED_VALUE"""),20058001)</f>
        <v>20058001</v>
      </c>
      <c r="Q606" s="5" t="str">
        <f ca="1">IFERROR(__xludf.DUMMYFUNCTION("""COMPUTED_VALUE"""),"Zjex8PYcrpE")</f>
        <v>Zjex8PYcrpE</v>
      </c>
      <c r="R606" s="5">
        <f ca="1">IFERROR(__xludf.DUMMYFUNCTION("""COMPUTED_VALUE"""),410)</f>
        <v>410</v>
      </c>
      <c r="S606" s="62">
        <f ca="1">IFERROR(__xludf.DUMMYFUNCTION("""COMPUTED_VALUE"""),0.009090909)</f>
        <v>9.0909089999999994E-3</v>
      </c>
      <c r="T606" s="63" t="str">
        <f ca="1">IFERROR(__xludf.DUMMYFUNCTION("""COMPUTED_VALUE"""),"https://storage.googleapis.com/glide-prod.appspot.com/uploads-v2/ly7o78grxPaC6KdgvbpS/pub/3aRdSog0vUtuqPE8AJKD.png")</f>
        <v>https://storage.googleapis.com/glide-prod.appspot.com/uploads-v2/ly7o78grxPaC6KdgvbpS/pub/3aRdSog0vUtuqPE8AJKD.png</v>
      </c>
      <c r="U606" s="5" t="str">
        <f ca="1">IFERROR(__xludf.DUMMYFUNCTION("""COMPUTED_VALUE"""),"LINEA PET CSD - LINEA 10INSPECTOR ELECTRONICO DE ENVASE")</f>
        <v>LINEA PET CSD - LINEA 10INSPECTOR ELECTRONICO DE ENVASE</v>
      </c>
      <c r="V606" s="5"/>
      <c r="W606" s="5" t="b">
        <f ca="1">IFERROR(__xludf.DUMMYFUNCTION("""COMPUTED_VALUE"""),TRUE)</f>
        <v>1</v>
      </c>
      <c r="X606" s="5" t="str">
        <f ca="1">IFERROR(__xludf.DUMMYFUNCTION("""COMPUTED_VALUE"""),"wmazorra@postobon.com.co,aprmttoyu@postobon.com.co,aprmyu@postobon.com.co,wmora@postobon.com.co,efzapata@postobon.com.co")</f>
        <v>wmazorra@postobon.com.co,aprmttoyu@postobon.com.co,aprmyu@postobon.com.co,wmora@postobon.com.co,efzapata@postobon.com.co</v>
      </c>
      <c r="Y606" s="5" t="str">
        <f ca="1">IFERROR(__xludf.DUMMYFUNCTION("""COMPUTED_VALUE"""),"wmazorra@postobon.com.co")</f>
        <v>wmazorra@postobon.com.co</v>
      </c>
      <c r="Z606" s="5" t="str">
        <f ca="1">IFERROR(__xludf.DUMMYFUNCTION("""COMPUTED_VALUE"""),"IAyW5mimS6iU8jktF4ouAg")</f>
        <v>IAyW5mimS6iU8jktF4ouAg</v>
      </c>
      <c r="AA606" s="5"/>
      <c r="AB606" s="5"/>
      <c r="AC606" s="5"/>
      <c r="AD606" s="5">
        <f ca="1">IFERROR(__xludf.DUMMYFUNCTION("""COMPUTED_VALUE"""),11)</f>
        <v>11</v>
      </c>
      <c r="AE606" s="5">
        <f ca="1">IFERROR(__xludf.DUMMYFUNCTION("""COMPUTED_VALUE"""),11)</f>
        <v>11</v>
      </c>
      <c r="AF606" s="5" t="b">
        <f ca="1">IFERROR(__xludf.DUMMYFUNCTION("""COMPUTED_VALUE"""),FALSE)</f>
        <v>0</v>
      </c>
      <c r="AG606" s="5" t="str">
        <f ca="1">IFERROR(__xludf.DUMMYFUNCTION("""COMPUTED_VALUE"""),"INSPECCIONES REALIZADAS")</f>
        <v>INSPECCIONES REALIZADAS</v>
      </c>
      <c r="AH606" s="5"/>
    </row>
    <row r="607" spans="1:34">
      <c r="A607" s="5" t="str">
        <f ca="1">IFERROR(__xludf.DUMMYFUNCTION("""COMPUTED_VALUE"""),"LINEA PET CSD - LINEA 10")</f>
        <v>LINEA PET CSD - LINEA 10</v>
      </c>
      <c r="B607" s="5">
        <f ca="1">IFERROR(__xludf.DUMMYFUNCTION("""COMPUTED_VALUE"""),599605)</f>
        <v>599605</v>
      </c>
      <c r="C607" s="5" t="str">
        <f ca="1">IFERROR(__xludf.DUMMYFUNCTION("""COMPUTED_VALUE"""),"INSPECTOR ELECTRONICO DE ENVASE")</f>
        <v>INSPECTOR ELECTRONICO DE ENVASE</v>
      </c>
      <c r="D607" s="5">
        <f ca="1">IFERROR(__xludf.DUMMYFUNCTION("""COMPUTED_VALUE"""),13247584)</f>
        <v>13247584</v>
      </c>
      <c r="E607" s="5" t="str">
        <f ca="1">IFERROR(__xludf.DUMMYFUNCTION("""COMPUTED_VALUE"""),"INSPECCION SEMANAL INSPECTOR ELECTRONICO")</f>
        <v>INSPECCION SEMANAL INSPECTOR ELECTRONICO</v>
      </c>
      <c r="F607" s="5" t="str">
        <f ca="1">IFERROR(__xludf.DUMMYFUNCTION("""COMPUTED_VALUE"""),"UNIDAD DE CONTROL")</f>
        <v>UNIDAD DE CONTROL</v>
      </c>
      <c r="G607" s="5" t="b">
        <f ca="1">IFERROR(__xludf.DUMMYFUNCTION("""COMPUTED_VALUE"""),TRUE)</f>
        <v>1</v>
      </c>
      <c r="H607" s="5"/>
      <c r="I607" s="5"/>
      <c r="J607" s="5">
        <f ca="1">IFERROR(__xludf.DUMMYFUNCTION("""COMPUTED_VALUE"""),13247584)</f>
        <v>13247584</v>
      </c>
      <c r="K607" s="5"/>
      <c r="L607" s="18">
        <f ca="1">IFERROR(__xludf.DUMMYFUNCTION("""COMPUTED_VALUE"""),45325)</f>
        <v>45325</v>
      </c>
      <c r="M607" s="18">
        <f ca="1">IFERROR(__xludf.DUMMYFUNCTION("""COMPUTED_VALUE"""),45325)</f>
        <v>45325</v>
      </c>
      <c r="N607" s="5" t="str">
        <f ca="1">IFERROR(__xludf.DUMMYFUNCTION("""COMPUTED_VALUE"""),"BONILLA ANGULO EDWIN ANDRES")</f>
        <v>BONILLA ANGULO EDWIN ANDRES</v>
      </c>
      <c r="O607" s="2">
        <f ca="1">IFERROR(__xludf.DUMMYFUNCTION("""COMPUTED_VALUE"""),0.009090909)</f>
        <v>9.0909089999999994E-3</v>
      </c>
      <c r="P607" s="5">
        <f ca="1">IFERROR(__xludf.DUMMYFUNCTION("""COMPUTED_VALUE"""),20058001)</f>
        <v>20058001</v>
      </c>
      <c r="Q607" s="5" t="str">
        <f ca="1">IFERROR(__xludf.DUMMYFUNCTION("""COMPUTED_VALUE"""),"H_Lgfam8zZs")</f>
        <v>H_Lgfam8zZs</v>
      </c>
      <c r="R607" s="5">
        <f ca="1">IFERROR(__xludf.DUMMYFUNCTION("""COMPUTED_VALUE"""),410)</f>
        <v>410</v>
      </c>
      <c r="S607" s="62">
        <f ca="1">IFERROR(__xludf.DUMMYFUNCTION("""COMPUTED_VALUE"""),0.009090909)</f>
        <v>9.0909089999999994E-3</v>
      </c>
      <c r="T607" s="63" t="str">
        <f ca="1">IFERROR(__xludf.DUMMYFUNCTION("""COMPUTED_VALUE"""),"https://storage.googleapis.com/glide-prod.appspot.com/uploads-v2/ly7o78grxPaC6KdgvbpS/pub/3aRdSog0vUtuqPE8AJKD.png")</f>
        <v>https://storage.googleapis.com/glide-prod.appspot.com/uploads-v2/ly7o78grxPaC6KdgvbpS/pub/3aRdSog0vUtuqPE8AJKD.png</v>
      </c>
      <c r="U607" s="5" t="str">
        <f ca="1">IFERROR(__xludf.DUMMYFUNCTION("""COMPUTED_VALUE"""),"LINEA PET CSD - LINEA 10INSPECTOR ELECTRONICO DE ENVASE")</f>
        <v>LINEA PET CSD - LINEA 10INSPECTOR ELECTRONICO DE ENVASE</v>
      </c>
      <c r="V607" s="5"/>
      <c r="W607" s="5" t="b">
        <f ca="1">IFERROR(__xludf.DUMMYFUNCTION("""COMPUTED_VALUE"""),TRUE)</f>
        <v>1</v>
      </c>
      <c r="X607" s="5" t="str">
        <f ca="1">IFERROR(__xludf.DUMMYFUNCTION("""COMPUTED_VALUE"""),"wmazorra@postobon.com.co,aprmttoyu@postobon.com.co,aprmyu@postobon.com.co,wmora@postobon.com.co,efzapata@postobon.com.co")</f>
        <v>wmazorra@postobon.com.co,aprmttoyu@postobon.com.co,aprmyu@postobon.com.co,wmora@postobon.com.co,efzapata@postobon.com.co</v>
      </c>
      <c r="Y607" s="5" t="str">
        <f ca="1">IFERROR(__xludf.DUMMYFUNCTION("""COMPUTED_VALUE"""),"wmazorra@postobon.com.co")</f>
        <v>wmazorra@postobon.com.co</v>
      </c>
      <c r="Z607" s="5" t="str">
        <f ca="1">IFERROR(__xludf.DUMMYFUNCTION("""COMPUTED_VALUE"""),"HyFBzICPQRWo-3JQV0TC4g")</f>
        <v>HyFBzICPQRWo-3JQV0TC4g</v>
      </c>
      <c r="AA607" s="5"/>
      <c r="AB607" s="5"/>
      <c r="AC607" s="5"/>
      <c r="AD607" s="5">
        <f ca="1">IFERROR(__xludf.DUMMYFUNCTION("""COMPUTED_VALUE"""),11)</f>
        <v>11</v>
      </c>
      <c r="AE607" s="5">
        <f ca="1">IFERROR(__xludf.DUMMYFUNCTION("""COMPUTED_VALUE"""),11)</f>
        <v>11</v>
      </c>
      <c r="AF607" s="5" t="b">
        <f ca="1">IFERROR(__xludf.DUMMYFUNCTION("""COMPUTED_VALUE"""),FALSE)</f>
        <v>0</v>
      </c>
      <c r="AG607" s="5" t="str">
        <f ca="1">IFERROR(__xludf.DUMMYFUNCTION("""COMPUTED_VALUE"""),"INSPECCIONES REALIZADAS")</f>
        <v>INSPECCIONES REALIZADAS</v>
      </c>
      <c r="AH607" s="5"/>
    </row>
    <row r="608" spans="1:34">
      <c r="A608" s="5" t="str">
        <f ca="1">IFERROR(__xludf.DUMMYFUNCTION("""COMPUTED_VALUE"""),"LINEA PET CSD - LINEA 10")</f>
        <v>LINEA PET CSD - LINEA 10</v>
      </c>
      <c r="B608" s="5">
        <f ca="1">IFERROR(__xludf.DUMMYFUNCTION("""COMPUTED_VALUE"""),599605)</f>
        <v>599605</v>
      </c>
      <c r="C608" s="5" t="str">
        <f ca="1">IFERROR(__xludf.DUMMYFUNCTION("""COMPUTED_VALUE"""),"INSPECTOR ELECTRONICO DE ENVASE")</f>
        <v>INSPECTOR ELECTRONICO DE ENVASE</v>
      </c>
      <c r="D608" s="5">
        <f ca="1">IFERROR(__xludf.DUMMYFUNCTION("""COMPUTED_VALUE"""),13247584)</f>
        <v>13247584</v>
      </c>
      <c r="E608" s="5" t="str">
        <f ca="1">IFERROR(__xludf.DUMMYFUNCTION("""COMPUTED_VALUE"""),"INSPECCION SEMANAL INSPECTOR ELECTRONICO")</f>
        <v>INSPECCION SEMANAL INSPECTOR ELECTRONICO</v>
      </c>
      <c r="F608" s="5" t="str">
        <f ca="1">IFERROR(__xludf.DUMMYFUNCTION("""COMPUTED_VALUE"""),"INSP. TAPA TORCIDA")</f>
        <v>INSP. TAPA TORCIDA</v>
      </c>
      <c r="G608" s="5" t="b">
        <f ca="1">IFERROR(__xludf.DUMMYFUNCTION("""COMPUTED_VALUE"""),TRUE)</f>
        <v>1</v>
      </c>
      <c r="H608" s="5"/>
      <c r="I608" s="5"/>
      <c r="J608" s="5">
        <f ca="1">IFERROR(__xludf.DUMMYFUNCTION("""COMPUTED_VALUE"""),13247584)</f>
        <v>13247584</v>
      </c>
      <c r="K608" s="5"/>
      <c r="L608" s="18">
        <f ca="1">IFERROR(__xludf.DUMMYFUNCTION("""COMPUTED_VALUE"""),45325)</f>
        <v>45325</v>
      </c>
      <c r="M608" s="18">
        <f ca="1">IFERROR(__xludf.DUMMYFUNCTION("""COMPUTED_VALUE"""),45325)</f>
        <v>45325</v>
      </c>
      <c r="N608" s="5" t="str">
        <f ca="1">IFERROR(__xludf.DUMMYFUNCTION("""COMPUTED_VALUE"""),"BONILLA ANGULO EDWIN ANDRES")</f>
        <v>BONILLA ANGULO EDWIN ANDRES</v>
      </c>
      <c r="O608" s="2">
        <f ca="1">IFERROR(__xludf.DUMMYFUNCTION("""COMPUTED_VALUE"""),0.009090909)</f>
        <v>9.0909089999999994E-3</v>
      </c>
      <c r="P608" s="5">
        <f ca="1">IFERROR(__xludf.DUMMYFUNCTION("""COMPUTED_VALUE"""),20058001)</f>
        <v>20058001</v>
      </c>
      <c r="Q608" s="5" t="str">
        <f ca="1">IFERROR(__xludf.DUMMYFUNCTION("""COMPUTED_VALUE"""),"bmO6nl5ZwZs")</f>
        <v>bmO6nl5ZwZs</v>
      </c>
      <c r="R608" s="5">
        <f ca="1">IFERROR(__xludf.DUMMYFUNCTION("""COMPUTED_VALUE"""),410)</f>
        <v>410</v>
      </c>
      <c r="S608" s="62">
        <f ca="1">IFERROR(__xludf.DUMMYFUNCTION("""COMPUTED_VALUE"""),0.009090909)</f>
        <v>9.0909089999999994E-3</v>
      </c>
      <c r="T608" s="63" t="str">
        <f ca="1">IFERROR(__xludf.DUMMYFUNCTION("""COMPUTED_VALUE"""),"https://storage.googleapis.com/glide-prod.appspot.com/uploads-v2/ly7o78grxPaC6KdgvbpS/pub/3aRdSog0vUtuqPE8AJKD.png")</f>
        <v>https://storage.googleapis.com/glide-prod.appspot.com/uploads-v2/ly7o78grxPaC6KdgvbpS/pub/3aRdSog0vUtuqPE8AJKD.png</v>
      </c>
      <c r="U608" s="5" t="str">
        <f ca="1">IFERROR(__xludf.DUMMYFUNCTION("""COMPUTED_VALUE"""),"LINEA PET CSD - LINEA 10INSPECTOR ELECTRONICO DE ENVASE")</f>
        <v>LINEA PET CSD - LINEA 10INSPECTOR ELECTRONICO DE ENVASE</v>
      </c>
      <c r="V608" s="5"/>
      <c r="W608" s="5" t="b">
        <f ca="1">IFERROR(__xludf.DUMMYFUNCTION("""COMPUTED_VALUE"""),TRUE)</f>
        <v>1</v>
      </c>
      <c r="X608" s="5" t="str">
        <f ca="1">IFERROR(__xludf.DUMMYFUNCTION("""COMPUTED_VALUE"""),"wmazorra@postobon.com.co,aprmttoyu@postobon.com.co,aprmyu@postobon.com.co,wmora@postobon.com.co,efzapata@postobon.com.co")</f>
        <v>wmazorra@postobon.com.co,aprmttoyu@postobon.com.co,aprmyu@postobon.com.co,wmora@postobon.com.co,efzapata@postobon.com.co</v>
      </c>
      <c r="Y608" s="5" t="str">
        <f ca="1">IFERROR(__xludf.DUMMYFUNCTION("""COMPUTED_VALUE"""),"wmazorra@postobon.com.co")</f>
        <v>wmazorra@postobon.com.co</v>
      </c>
      <c r="Z608" s="5" t="str">
        <f ca="1">IFERROR(__xludf.DUMMYFUNCTION("""COMPUTED_VALUE"""),"NssliGu7SPaT0kpSE3pP9w")</f>
        <v>NssliGu7SPaT0kpSE3pP9w</v>
      </c>
      <c r="AA608" s="5"/>
      <c r="AB608" s="5"/>
      <c r="AC608" s="5"/>
      <c r="AD608" s="5">
        <f ca="1">IFERROR(__xludf.DUMMYFUNCTION("""COMPUTED_VALUE"""),11)</f>
        <v>11</v>
      </c>
      <c r="AE608" s="5">
        <f ca="1">IFERROR(__xludf.DUMMYFUNCTION("""COMPUTED_VALUE"""),11)</f>
        <v>11</v>
      </c>
      <c r="AF608" s="5" t="b">
        <f ca="1">IFERROR(__xludf.DUMMYFUNCTION("""COMPUTED_VALUE"""),FALSE)</f>
        <v>0</v>
      </c>
      <c r="AG608" s="5" t="str">
        <f ca="1">IFERROR(__xludf.DUMMYFUNCTION("""COMPUTED_VALUE"""),"INSPECCIONES REALIZADAS")</f>
        <v>INSPECCIONES REALIZADAS</v>
      </c>
      <c r="AH608" s="5"/>
    </row>
    <row r="609" spans="1:34">
      <c r="A609" s="5" t="str">
        <f ca="1">IFERROR(__xludf.DUMMYFUNCTION("""COMPUTED_VALUE"""),"LINEA PET CSD - LINEA 10")</f>
        <v>LINEA PET CSD - LINEA 10</v>
      </c>
      <c r="B609" s="5">
        <f ca="1">IFERROR(__xludf.DUMMYFUNCTION("""COMPUTED_VALUE"""),599605)</f>
        <v>599605</v>
      </c>
      <c r="C609" s="5" t="str">
        <f ca="1">IFERROR(__xludf.DUMMYFUNCTION("""COMPUTED_VALUE"""),"INSPECTOR ELECTRONICO DE ENVASE")</f>
        <v>INSPECTOR ELECTRONICO DE ENVASE</v>
      </c>
      <c r="D609" s="5">
        <f ca="1">IFERROR(__xludf.DUMMYFUNCTION("""COMPUTED_VALUE"""),13247584)</f>
        <v>13247584</v>
      </c>
      <c r="E609" s="5" t="str">
        <f ca="1">IFERROR(__xludf.DUMMYFUNCTION("""COMPUTED_VALUE"""),"INSPECCION SEMANAL INSPECTOR ELECTRONICO")</f>
        <v>INSPECCION SEMANAL INSPECTOR ELECTRONICO</v>
      </c>
      <c r="F609" s="5" t="str">
        <f ca="1">IFERROR(__xludf.DUMMYFUNCTION("""COMPUTED_VALUE"""),"INSP. TABLERO ELECTRICO/CLIMATIZADOR")</f>
        <v>INSP. TABLERO ELECTRICO/CLIMATIZADOR</v>
      </c>
      <c r="G609" s="5" t="b">
        <f ca="1">IFERROR(__xludf.DUMMYFUNCTION("""COMPUTED_VALUE"""),TRUE)</f>
        <v>1</v>
      </c>
      <c r="H609" s="5" t="str">
        <f ca="1">IFERROR(__xludf.DUMMYFUNCTION("""COMPUTED_VALUE"""),"Climatizador armario eléctrico no refrigera bien, se debe refrigerar externamente")</f>
        <v>Climatizador armario eléctrico no refrigera bien, se debe refrigerar externamente</v>
      </c>
      <c r="I609" s="5"/>
      <c r="J609" s="5">
        <f ca="1">IFERROR(__xludf.DUMMYFUNCTION("""COMPUTED_VALUE"""),13247584)</f>
        <v>13247584</v>
      </c>
      <c r="K609" s="5"/>
      <c r="L609" s="18">
        <f ca="1">IFERROR(__xludf.DUMMYFUNCTION("""COMPUTED_VALUE"""),45325)</f>
        <v>45325</v>
      </c>
      <c r="M609" s="18">
        <f ca="1">IFERROR(__xludf.DUMMYFUNCTION("""COMPUTED_VALUE"""),45325)</f>
        <v>45325</v>
      </c>
      <c r="N609" s="5" t="str">
        <f ca="1">IFERROR(__xludf.DUMMYFUNCTION("""COMPUTED_VALUE"""),"BONILLA ANGULO EDWIN ANDRES")</f>
        <v>BONILLA ANGULO EDWIN ANDRES</v>
      </c>
      <c r="O609" s="2">
        <f ca="1">IFERROR(__xludf.DUMMYFUNCTION("""COMPUTED_VALUE"""),0.009090909)</f>
        <v>9.0909089999999994E-3</v>
      </c>
      <c r="P609" s="5">
        <f ca="1">IFERROR(__xludf.DUMMYFUNCTION("""COMPUTED_VALUE"""),20058001)</f>
        <v>20058001</v>
      </c>
      <c r="Q609" s="5" t="str">
        <f ca="1">IFERROR(__xludf.DUMMYFUNCTION("""COMPUTED_VALUE"""),"izlnmy0RC8Q")</f>
        <v>izlnmy0RC8Q</v>
      </c>
      <c r="R609" s="5">
        <f ca="1">IFERROR(__xludf.DUMMYFUNCTION("""COMPUTED_VALUE"""),410)</f>
        <v>410</v>
      </c>
      <c r="S609" s="62">
        <f ca="1">IFERROR(__xludf.DUMMYFUNCTION("""COMPUTED_VALUE"""),0.009090909)</f>
        <v>9.0909089999999994E-3</v>
      </c>
      <c r="T609" s="63" t="str">
        <f ca="1">IFERROR(__xludf.DUMMYFUNCTION("""COMPUTED_VALUE"""),"https://storage.googleapis.com/glide-prod.appspot.com/uploads-v2/ly7o78grxPaC6KdgvbpS/pub/3aRdSog0vUtuqPE8AJKD.png")</f>
        <v>https://storage.googleapis.com/glide-prod.appspot.com/uploads-v2/ly7o78grxPaC6KdgvbpS/pub/3aRdSog0vUtuqPE8AJKD.png</v>
      </c>
      <c r="U609" s="5" t="str">
        <f ca="1">IFERROR(__xludf.DUMMYFUNCTION("""COMPUTED_VALUE"""),"LINEA PET CSD - LINEA 10INSPECTOR ELECTRONICO DE ENVASE")</f>
        <v>LINEA PET CSD - LINEA 10INSPECTOR ELECTRONICO DE ENVASE</v>
      </c>
      <c r="V609" s="5"/>
      <c r="W609" s="5" t="b">
        <f ca="1">IFERROR(__xludf.DUMMYFUNCTION("""COMPUTED_VALUE"""),TRUE)</f>
        <v>1</v>
      </c>
      <c r="X609" s="5" t="str">
        <f ca="1">IFERROR(__xludf.DUMMYFUNCTION("""COMPUTED_VALUE"""),"wmazorra@postobon.com.co,aprmttoyu@postobon.com.co,aprmyu@postobon.com.co,wmora@postobon.com.co,efzapata@postobon.com.co")</f>
        <v>wmazorra@postobon.com.co,aprmttoyu@postobon.com.co,aprmyu@postobon.com.co,wmora@postobon.com.co,efzapata@postobon.com.co</v>
      </c>
      <c r="Y609" s="5" t="str">
        <f ca="1">IFERROR(__xludf.DUMMYFUNCTION("""COMPUTED_VALUE"""),"wmazorra@postobon.com.co")</f>
        <v>wmazorra@postobon.com.co</v>
      </c>
      <c r="Z609" s="5" t="str">
        <f ca="1">IFERROR(__xludf.DUMMYFUNCTION("""COMPUTED_VALUE"""),"OnIkF-lyTQWp9R-Jv6QqKA")</f>
        <v>OnIkF-lyTQWp9R-Jv6QqKA</v>
      </c>
      <c r="AA609" s="5"/>
      <c r="AB609" s="5"/>
      <c r="AC609" s="5"/>
      <c r="AD609" s="5">
        <f ca="1">IFERROR(__xludf.DUMMYFUNCTION("""COMPUTED_VALUE"""),11)</f>
        <v>11</v>
      </c>
      <c r="AE609" s="5">
        <f ca="1">IFERROR(__xludf.DUMMYFUNCTION("""COMPUTED_VALUE"""),11)</f>
        <v>11</v>
      </c>
      <c r="AF609" s="5" t="b">
        <f ca="1">IFERROR(__xludf.DUMMYFUNCTION("""COMPUTED_VALUE"""),FALSE)</f>
        <v>0</v>
      </c>
      <c r="AG609" s="5" t="str">
        <f ca="1">IFERROR(__xludf.DUMMYFUNCTION("""COMPUTED_VALUE"""),"INSPECCIONES REALIZADAS")</f>
        <v>INSPECCIONES REALIZADAS</v>
      </c>
      <c r="AH609" s="5"/>
    </row>
    <row r="610" spans="1:34">
      <c r="A610" s="5" t="str">
        <f ca="1">IFERROR(__xludf.DUMMYFUNCTION("""COMPUTED_VALUE"""),"LINEA DE ENVASADO TAMAÑO PERSONAL")</f>
        <v>LINEA DE ENVASADO TAMAÑO PERSONAL</v>
      </c>
      <c r="B610" s="5">
        <f ca="1">IFERROR(__xludf.DUMMYFUNCTION("""COMPUTED_VALUE"""),589679)</f>
        <v>589679</v>
      </c>
      <c r="C610" s="5" t="str">
        <f ca="1">IFERROR(__xludf.DUMMYFUNCTION("""COMPUTED_VALUE"""),"CODIFICADOR L3")</f>
        <v>CODIFICADOR L3</v>
      </c>
      <c r="D610" s="5">
        <f ca="1">IFERROR(__xludf.DUMMYFUNCTION("""COMPUTED_VALUE"""),13247640)</f>
        <v>13247640</v>
      </c>
      <c r="E610" s="5" t="str">
        <f ca="1">IFERROR(__xludf.DUMMYFUNCTION("""COMPUTED_VALUE"""),"INSPECCION SEMANAL INTERC ALFA LAVAL")</f>
        <v>INSPECCION SEMANAL INTERC ALFA LAVAL</v>
      </c>
      <c r="F610" s="5" t="str">
        <f ca="1">IFERROR(__xludf.DUMMYFUNCTION("""COMPUTED_VALUE"""),"Estado UPS")</f>
        <v>Estado UPS</v>
      </c>
      <c r="G610" s="5" t="b">
        <f ca="1">IFERROR(__xludf.DUMMYFUNCTION("""COMPUTED_VALUE"""),TRUE)</f>
        <v>1</v>
      </c>
      <c r="H610" s="5"/>
      <c r="I610" s="5"/>
      <c r="J610" s="5">
        <f ca="1">IFERROR(__xludf.DUMMYFUNCTION("""COMPUTED_VALUE"""),13247640)</f>
        <v>13247640</v>
      </c>
      <c r="K610" s="5"/>
      <c r="L610" s="18">
        <f ca="1">IFERROR(__xludf.DUMMYFUNCTION("""COMPUTED_VALUE"""),45325)</f>
        <v>45325</v>
      </c>
      <c r="M610" s="18">
        <f ca="1">IFERROR(__xludf.DUMMYFUNCTION("""COMPUTED_VALUE"""),45325)</f>
        <v>45325</v>
      </c>
      <c r="N610" s="5" t="str">
        <f ca="1">IFERROR(__xludf.DUMMYFUNCTION("""COMPUTED_VALUE"""),"Campo Rodriguez Adalcides Jesus")</f>
        <v>Campo Rodriguez Adalcides Jesus</v>
      </c>
      <c r="O610" s="2">
        <f ca="1">IFERROR(__xludf.DUMMYFUNCTION("""COMPUTED_VALUE"""),0.008333333)</f>
        <v>8.3333330000000001E-3</v>
      </c>
      <c r="P610" s="5">
        <f ca="1">IFERROR(__xludf.DUMMYFUNCTION("""COMPUTED_VALUE"""),20036419)</f>
        <v>20036419</v>
      </c>
      <c r="Q610" s="5" t="str">
        <f ca="1">IFERROR(__xludf.DUMMYFUNCTION("""COMPUTED_VALUE"""),"TYslz5_flhg")</f>
        <v>TYslz5_flhg</v>
      </c>
      <c r="R610" s="5">
        <f ca="1">IFERROR(__xludf.DUMMYFUNCTION("""COMPUTED_VALUE"""),410)</f>
        <v>410</v>
      </c>
      <c r="S610" s="62">
        <f ca="1">IFERROR(__xludf.DUMMYFUNCTION("""COMPUTED_VALUE"""),0.008333333)</f>
        <v>8.3333330000000001E-3</v>
      </c>
      <c r="T610" s="63" t="str">
        <f ca="1">IFERROR(__xludf.DUMMYFUNCTION("""COMPUTED_VALUE"""),"https://storage.googleapis.com/glide-prod.appspot.com/uploads-v2/ly7o78grxPaC6KdgvbpS/pub/3aRdSog0vUtuqPE8AJKD.png")</f>
        <v>https://storage.googleapis.com/glide-prod.appspot.com/uploads-v2/ly7o78grxPaC6KdgvbpS/pub/3aRdSog0vUtuqPE8AJKD.png</v>
      </c>
      <c r="U610" s="5" t="str">
        <f ca="1">IFERROR(__xludf.DUMMYFUNCTION("""COMPUTED_VALUE"""),"LINEA DE ENVASADO TAMAÑO PERSONALCODIFICADOR L3")</f>
        <v>LINEA DE ENVASADO TAMAÑO PERSONALCODIFICADOR L3</v>
      </c>
      <c r="V610" s="5"/>
      <c r="W610" s="5" t="b">
        <f ca="1">IFERROR(__xludf.DUMMYFUNCTION("""COMPUTED_VALUE"""),TRUE)</f>
        <v>1</v>
      </c>
      <c r="X610" s="5" t="str">
        <f ca="1">IFERROR(__xludf.DUMMYFUNCTION("""COMPUTED_VALUE"""),"wguerra@postobon.com.co,aprmttoyu@postobon.com.co,aprmyu@postobon.com.co,wmora@postobon.com.co,efzapata@postobon.com.co")</f>
        <v>wguerra@postobon.com.co,aprmttoyu@postobon.com.co,aprmyu@postobon.com.co,wmora@postobon.com.co,efzapata@postobon.com.co</v>
      </c>
      <c r="Y610" s="5" t="str">
        <f ca="1">IFERROR(__xludf.DUMMYFUNCTION("""COMPUTED_VALUE"""),"wguerra@postobon.com.co")</f>
        <v>wguerra@postobon.com.co</v>
      </c>
      <c r="Z610" s="5" t="str">
        <f ca="1">IFERROR(__xludf.DUMMYFUNCTION("""COMPUTED_VALUE"""),"Pv2Fq0BGT3GsI71W6.3wxw")</f>
        <v>Pv2Fq0BGT3GsI71W6.3wxw</v>
      </c>
      <c r="AA610" s="5"/>
      <c r="AB610" s="5"/>
      <c r="AC610" s="5"/>
      <c r="AD610" s="5">
        <f ca="1">IFERROR(__xludf.DUMMYFUNCTION("""COMPUTED_VALUE"""),43)</f>
        <v>43</v>
      </c>
      <c r="AE610" s="5">
        <f ca="1">IFERROR(__xludf.DUMMYFUNCTION("""COMPUTED_VALUE"""),43)</f>
        <v>43</v>
      </c>
      <c r="AF610" s="5" t="b">
        <f ca="1">IFERROR(__xludf.DUMMYFUNCTION("""COMPUTED_VALUE"""),FALSE)</f>
        <v>0</v>
      </c>
      <c r="AG610" s="5" t="str">
        <f ca="1">IFERROR(__xludf.DUMMYFUNCTION("""COMPUTED_VALUE"""),"INSPECCIONES REALIZADAS")</f>
        <v>INSPECCIONES REALIZADAS</v>
      </c>
      <c r="AH610" s="5"/>
    </row>
    <row r="611" spans="1:34">
      <c r="A611" s="5" t="str">
        <f ca="1">IFERROR(__xludf.DUMMYFUNCTION("""COMPUTED_VALUE"""),"LINEA DE ENVASADO TAMAÑO PERSONAL")</f>
        <v>LINEA DE ENVASADO TAMAÑO PERSONAL</v>
      </c>
      <c r="B611" s="5">
        <f ca="1">IFERROR(__xludf.DUMMYFUNCTION("""COMPUTED_VALUE"""),589679)</f>
        <v>589679</v>
      </c>
      <c r="C611" s="5" t="str">
        <f ca="1">IFERROR(__xludf.DUMMYFUNCTION("""COMPUTED_VALUE"""),"CODIFICADOR L3")</f>
        <v>CODIFICADOR L3</v>
      </c>
      <c r="D611" s="5">
        <f ca="1">IFERROR(__xludf.DUMMYFUNCTION("""COMPUTED_VALUE"""),13247640)</f>
        <v>13247640</v>
      </c>
      <c r="E611" s="5" t="str">
        <f ca="1">IFERROR(__xludf.DUMMYFUNCTION("""COMPUTED_VALUE"""),"INSPECCION SEMANAL INTERC ALFA LAVAL")</f>
        <v>INSPECCION SEMANAL INTERC ALFA LAVAL</v>
      </c>
      <c r="F611" s="5" t="str">
        <f ca="1">IFERROR(__xludf.DUMMYFUNCTION("""COMPUTED_VALUE"""),"Fugas de aire, tinta, disolvente, mezcla")</f>
        <v>Fugas de aire, tinta, disolvente, mezcla</v>
      </c>
      <c r="G611" s="5" t="b">
        <f ca="1">IFERROR(__xludf.DUMMYFUNCTION("""COMPUTED_VALUE"""),TRUE)</f>
        <v>1</v>
      </c>
      <c r="H611" s="5"/>
      <c r="I611" s="5"/>
      <c r="J611" s="5">
        <f ca="1">IFERROR(__xludf.DUMMYFUNCTION("""COMPUTED_VALUE"""),13247640)</f>
        <v>13247640</v>
      </c>
      <c r="K611" s="5"/>
      <c r="L611" s="18">
        <f ca="1">IFERROR(__xludf.DUMMYFUNCTION("""COMPUTED_VALUE"""),45325)</f>
        <v>45325</v>
      </c>
      <c r="M611" s="18">
        <f ca="1">IFERROR(__xludf.DUMMYFUNCTION("""COMPUTED_VALUE"""),45325)</f>
        <v>45325</v>
      </c>
      <c r="N611" s="5" t="str">
        <f ca="1">IFERROR(__xludf.DUMMYFUNCTION("""COMPUTED_VALUE"""),"Campo Rodriguez Adalcides Jesus")</f>
        <v>Campo Rodriguez Adalcides Jesus</v>
      </c>
      <c r="O611" s="2">
        <f ca="1">IFERROR(__xludf.DUMMYFUNCTION("""COMPUTED_VALUE"""),0.008333333)</f>
        <v>8.3333330000000001E-3</v>
      </c>
      <c r="P611" s="5">
        <f ca="1">IFERROR(__xludf.DUMMYFUNCTION("""COMPUTED_VALUE"""),20036419)</f>
        <v>20036419</v>
      </c>
      <c r="Q611" s="5" t="str">
        <f ca="1">IFERROR(__xludf.DUMMYFUNCTION("""COMPUTED_VALUE"""),"2RmrDgTmZDI")</f>
        <v>2RmrDgTmZDI</v>
      </c>
      <c r="R611" s="5">
        <f ca="1">IFERROR(__xludf.DUMMYFUNCTION("""COMPUTED_VALUE"""),410)</f>
        <v>410</v>
      </c>
      <c r="S611" s="62">
        <f ca="1">IFERROR(__xludf.DUMMYFUNCTION("""COMPUTED_VALUE"""),0.008333333)</f>
        <v>8.3333330000000001E-3</v>
      </c>
      <c r="T611" s="63" t="str">
        <f ca="1">IFERROR(__xludf.DUMMYFUNCTION("""COMPUTED_VALUE"""),"https://storage.googleapis.com/glide-prod.appspot.com/uploads-v2/ly7o78grxPaC6KdgvbpS/pub/3aRdSog0vUtuqPE8AJKD.png")</f>
        <v>https://storage.googleapis.com/glide-prod.appspot.com/uploads-v2/ly7o78grxPaC6KdgvbpS/pub/3aRdSog0vUtuqPE8AJKD.png</v>
      </c>
      <c r="U611" s="5" t="str">
        <f ca="1">IFERROR(__xludf.DUMMYFUNCTION("""COMPUTED_VALUE"""),"LINEA DE ENVASADO TAMAÑO PERSONALCODIFICADOR L3")</f>
        <v>LINEA DE ENVASADO TAMAÑO PERSONALCODIFICADOR L3</v>
      </c>
      <c r="V611" s="5"/>
      <c r="W611" s="5" t="b">
        <f ca="1">IFERROR(__xludf.DUMMYFUNCTION("""COMPUTED_VALUE"""),TRUE)</f>
        <v>1</v>
      </c>
      <c r="X611" s="5" t="str">
        <f ca="1">IFERROR(__xludf.DUMMYFUNCTION("""COMPUTED_VALUE"""),"wguerra@postobon.com.co,aprmttoyu@postobon.com.co,aprmyu@postobon.com.co,wmora@postobon.com.co,efzapata@postobon.com.co")</f>
        <v>wguerra@postobon.com.co,aprmttoyu@postobon.com.co,aprmyu@postobon.com.co,wmora@postobon.com.co,efzapata@postobon.com.co</v>
      </c>
      <c r="Y611" s="5" t="str">
        <f ca="1">IFERROR(__xludf.DUMMYFUNCTION("""COMPUTED_VALUE"""),"wguerra@postobon.com.co")</f>
        <v>wguerra@postobon.com.co</v>
      </c>
      <c r="Z611" s="5" t="str">
        <f ca="1">IFERROR(__xludf.DUMMYFUNCTION("""COMPUTED_VALUE"""),"Q.PBg4zkT6q-HkoVP9ZCmA")</f>
        <v>Q.PBg4zkT6q-HkoVP9ZCmA</v>
      </c>
      <c r="AA611" s="5"/>
      <c r="AB611" s="5"/>
      <c r="AC611" s="5"/>
      <c r="AD611" s="5">
        <f ca="1">IFERROR(__xludf.DUMMYFUNCTION("""COMPUTED_VALUE"""),43)</f>
        <v>43</v>
      </c>
      <c r="AE611" s="5">
        <f ca="1">IFERROR(__xludf.DUMMYFUNCTION("""COMPUTED_VALUE"""),43)</f>
        <v>43</v>
      </c>
      <c r="AF611" s="5" t="b">
        <f ca="1">IFERROR(__xludf.DUMMYFUNCTION("""COMPUTED_VALUE"""),FALSE)</f>
        <v>0</v>
      </c>
      <c r="AG611" s="5" t="str">
        <f ca="1">IFERROR(__xludf.DUMMYFUNCTION("""COMPUTED_VALUE"""),"INSPECCIONES REALIZADAS")</f>
        <v>INSPECCIONES REALIZADAS</v>
      </c>
      <c r="AH611" s="5"/>
    </row>
    <row r="612" spans="1:34">
      <c r="A612" s="5" t="str">
        <f ca="1">IFERROR(__xludf.DUMMYFUNCTION("""COMPUTED_VALUE"""),"LINEA DE ENVASADO TAMAÑO PERSONAL")</f>
        <v>LINEA DE ENVASADO TAMAÑO PERSONAL</v>
      </c>
      <c r="B612" s="5">
        <f ca="1">IFERROR(__xludf.DUMMYFUNCTION("""COMPUTED_VALUE"""),589679)</f>
        <v>589679</v>
      </c>
      <c r="C612" s="5" t="str">
        <f ca="1">IFERROR(__xludf.DUMMYFUNCTION("""COMPUTED_VALUE"""),"CODIFICADOR L3")</f>
        <v>CODIFICADOR L3</v>
      </c>
      <c r="D612" s="5">
        <f ca="1">IFERROR(__xludf.DUMMYFUNCTION("""COMPUTED_VALUE"""),13247640)</f>
        <v>13247640</v>
      </c>
      <c r="E612" s="5" t="str">
        <f ca="1">IFERROR(__xludf.DUMMYFUNCTION("""COMPUTED_VALUE"""),"INSPECCION SEMANAL INTERC ALFA LAVAL")</f>
        <v>INSPECCION SEMANAL INTERC ALFA LAVAL</v>
      </c>
      <c r="F612" s="5" t="str">
        <f ca="1">IFERROR(__xludf.DUMMYFUNCTION("""COMPUTED_VALUE"""),"Estado de nivel de insumos (tinta, solvente y/o presión de aire)")</f>
        <v>Estado de nivel de insumos (tinta, solvente y/o presión de aire)</v>
      </c>
      <c r="G612" s="5" t="b">
        <f ca="1">IFERROR(__xludf.DUMMYFUNCTION("""COMPUTED_VALUE"""),TRUE)</f>
        <v>1</v>
      </c>
      <c r="H612" s="5"/>
      <c r="I612" s="5"/>
      <c r="J612" s="5">
        <f ca="1">IFERROR(__xludf.DUMMYFUNCTION("""COMPUTED_VALUE"""),13247640)</f>
        <v>13247640</v>
      </c>
      <c r="K612" s="5"/>
      <c r="L612" s="18">
        <f ca="1">IFERROR(__xludf.DUMMYFUNCTION("""COMPUTED_VALUE"""),45325)</f>
        <v>45325</v>
      </c>
      <c r="M612" s="18">
        <f ca="1">IFERROR(__xludf.DUMMYFUNCTION("""COMPUTED_VALUE"""),45325)</f>
        <v>45325</v>
      </c>
      <c r="N612" s="5" t="str">
        <f ca="1">IFERROR(__xludf.DUMMYFUNCTION("""COMPUTED_VALUE"""),"Campo Rodriguez Adalcides Jesus")</f>
        <v>Campo Rodriguez Adalcides Jesus</v>
      </c>
      <c r="O612" s="2">
        <f ca="1">IFERROR(__xludf.DUMMYFUNCTION("""COMPUTED_VALUE"""),0.008333333)</f>
        <v>8.3333330000000001E-3</v>
      </c>
      <c r="P612" s="5">
        <f ca="1">IFERROR(__xludf.DUMMYFUNCTION("""COMPUTED_VALUE"""),20036419)</f>
        <v>20036419</v>
      </c>
      <c r="Q612" s="5" t="str">
        <f ca="1">IFERROR(__xludf.DUMMYFUNCTION("""COMPUTED_VALUE"""),"huZYUxyO594")</f>
        <v>huZYUxyO594</v>
      </c>
      <c r="R612" s="5">
        <f ca="1">IFERROR(__xludf.DUMMYFUNCTION("""COMPUTED_VALUE"""),410)</f>
        <v>410</v>
      </c>
      <c r="S612" s="62">
        <f ca="1">IFERROR(__xludf.DUMMYFUNCTION("""COMPUTED_VALUE"""),0.008333333)</f>
        <v>8.3333330000000001E-3</v>
      </c>
      <c r="T612" s="63" t="str">
        <f ca="1">IFERROR(__xludf.DUMMYFUNCTION("""COMPUTED_VALUE"""),"https://storage.googleapis.com/glide-prod.appspot.com/uploads-v2/ly7o78grxPaC6KdgvbpS/pub/3aRdSog0vUtuqPE8AJKD.png")</f>
        <v>https://storage.googleapis.com/glide-prod.appspot.com/uploads-v2/ly7o78grxPaC6KdgvbpS/pub/3aRdSog0vUtuqPE8AJKD.png</v>
      </c>
      <c r="U612" s="5" t="str">
        <f ca="1">IFERROR(__xludf.DUMMYFUNCTION("""COMPUTED_VALUE"""),"LINEA DE ENVASADO TAMAÑO PERSONALCODIFICADOR L3")</f>
        <v>LINEA DE ENVASADO TAMAÑO PERSONALCODIFICADOR L3</v>
      </c>
      <c r="V612" s="5"/>
      <c r="W612" s="5" t="b">
        <f ca="1">IFERROR(__xludf.DUMMYFUNCTION("""COMPUTED_VALUE"""),TRUE)</f>
        <v>1</v>
      </c>
      <c r="X612" s="5" t="str">
        <f ca="1">IFERROR(__xludf.DUMMYFUNCTION("""COMPUTED_VALUE"""),"wguerra@postobon.com.co,aprmttoyu@postobon.com.co,aprmyu@postobon.com.co,wmora@postobon.com.co,efzapata@postobon.com.co")</f>
        <v>wguerra@postobon.com.co,aprmttoyu@postobon.com.co,aprmyu@postobon.com.co,wmora@postobon.com.co,efzapata@postobon.com.co</v>
      </c>
      <c r="Y612" s="5" t="str">
        <f ca="1">IFERROR(__xludf.DUMMYFUNCTION("""COMPUTED_VALUE"""),"wguerra@postobon.com.co")</f>
        <v>wguerra@postobon.com.co</v>
      </c>
      <c r="Z612" s="5" t="str">
        <f ca="1">IFERROR(__xludf.DUMMYFUNCTION("""COMPUTED_VALUE"""),"JyodB2wPTDCIwNuheTbBBw")</f>
        <v>JyodB2wPTDCIwNuheTbBBw</v>
      </c>
      <c r="AA612" s="5"/>
      <c r="AB612" s="5"/>
      <c r="AC612" s="5"/>
      <c r="AD612" s="5">
        <f ca="1">IFERROR(__xludf.DUMMYFUNCTION("""COMPUTED_VALUE"""),43)</f>
        <v>43</v>
      </c>
      <c r="AE612" s="5">
        <f ca="1">IFERROR(__xludf.DUMMYFUNCTION("""COMPUTED_VALUE"""),43)</f>
        <v>43</v>
      </c>
      <c r="AF612" s="5" t="b">
        <f ca="1">IFERROR(__xludf.DUMMYFUNCTION("""COMPUTED_VALUE"""),FALSE)</f>
        <v>0</v>
      </c>
      <c r="AG612" s="5" t="str">
        <f ca="1">IFERROR(__xludf.DUMMYFUNCTION("""COMPUTED_VALUE"""),"INSPECCIONES REALIZADAS")</f>
        <v>INSPECCIONES REALIZADAS</v>
      </c>
      <c r="AH612" s="5"/>
    </row>
    <row r="613" spans="1:34">
      <c r="A613" s="5" t="str">
        <f ca="1">IFERROR(__xludf.DUMMYFUNCTION("""COMPUTED_VALUE"""),"LINEA DE ENVASADO TAMAÑO PERSONAL")</f>
        <v>LINEA DE ENVASADO TAMAÑO PERSONAL</v>
      </c>
      <c r="B613" s="5">
        <f ca="1">IFERROR(__xludf.DUMMYFUNCTION("""COMPUTED_VALUE"""),589679)</f>
        <v>589679</v>
      </c>
      <c r="C613" s="5" t="str">
        <f ca="1">IFERROR(__xludf.DUMMYFUNCTION("""COMPUTED_VALUE"""),"CODIFICADOR L3")</f>
        <v>CODIFICADOR L3</v>
      </c>
      <c r="D613" s="5">
        <f ca="1">IFERROR(__xludf.DUMMYFUNCTION("""COMPUTED_VALUE"""),13247640)</f>
        <v>13247640</v>
      </c>
      <c r="E613" s="5" t="str">
        <f ca="1">IFERROR(__xludf.DUMMYFUNCTION("""COMPUTED_VALUE"""),"INSPECCION SEMANAL INTERC ALFA LAVAL")</f>
        <v>INSPECCION SEMANAL INTERC ALFA LAVAL</v>
      </c>
      <c r="F613" s="5" t="str">
        <f ca="1">IFERROR(__xludf.DUMMYFUNCTION("""COMPUTED_VALUE"""),"Estado general y limpieza del equipo")</f>
        <v>Estado general y limpieza del equipo</v>
      </c>
      <c r="G613" s="5" t="b">
        <f ca="1">IFERROR(__xludf.DUMMYFUNCTION("""COMPUTED_VALUE"""),TRUE)</f>
        <v>1</v>
      </c>
      <c r="H613" s="5"/>
      <c r="I613" s="5"/>
      <c r="J613" s="5">
        <f ca="1">IFERROR(__xludf.DUMMYFUNCTION("""COMPUTED_VALUE"""),13247640)</f>
        <v>13247640</v>
      </c>
      <c r="K613" s="5"/>
      <c r="L613" s="18">
        <f ca="1">IFERROR(__xludf.DUMMYFUNCTION("""COMPUTED_VALUE"""),45325)</f>
        <v>45325</v>
      </c>
      <c r="M613" s="18">
        <f ca="1">IFERROR(__xludf.DUMMYFUNCTION("""COMPUTED_VALUE"""),45325)</f>
        <v>45325</v>
      </c>
      <c r="N613" s="5" t="str">
        <f ca="1">IFERROR(__xludf.DUMMYFUNCTION("""COMPUTED_VALUE"""),"Campo Rodriguez Adalcides Jesus")</f>
        <v>Campo Rodriguez Adalcides Jesus</v>
      </c>
      <c r="O613" s="2">
        <f ca="1">IFERROR(__xludf.DUMMYFUNCTION("""COMPUTED_VALUE"""),0.008333333)</f>
        <v>8.3333330000000001E-3</v>
      </c>
      <c r="P613" s="5">
        <f ca="1">IFERROR(__xludf.DUMMYFUNCTION("""COMPUTED_VALUE"""),20036419)</f>
        <v>20036419</v>
      </c>
      <c r="Q613" s="5" t="str">
        <f ca="1">IFERROR(__xludf.DUMMYFUNCTION("""COMPUTED_VALUE"""),"c6N8nE73H6I")</f>
        <v>c6N8nE73H6I</v>
      </c>
      <c r="R613" s="5">
        <f ca="1">IFERROR(__xludf.DUMMYFUNCTION("""COMPUTED_VALUE"""),410)</f>
        <v>410</v>
      </c>
      <c r="S613" s="62">
        <f ca="1">IFERROR(__xludf.DUMMYFUNCTION("""COMPUTED_VALUE"""),0.008333333)</f>
        <v>8.3333330000000001E-3</v>
      </c>
      <c r="T613" s="63" t="str">
        <f ca="1">IFERROR(__xludf.DUMMYFUNCTION("""COMPUTED_VALUE"""),"https://storage.googleapis.com/glide-prod.appspot.com/uploads-v2/ly7o78grxPaC6KdgvbpS/pub/3aRdSog0vUtuqPE8AJKD.png")</f>
        <v>https://storage.googleapis.com/glide-prod.appspot.com/uploads-v2/ly7o78grxPaC6KdgvbpS/pub/3aRdSog0vUtuqPE8AJKD.png</v>
      </c>
      <c r="U613" s="5" t="str">
        <f ca="1">IFERROR(__xludf.DUMMYFUNCTION("""COMPUTED_VALUE"""),"LINEA DE ENVASADO TAMAÑO PERSONALCODIFICADOR L3")</f>
        <v>LINEA DE ENVASADO TAMAÑO PERSONALCODIFICADOR L3</v>
      </c>
      <c r="V613" s="5"/>
      <c r="W613" s="5" t="b">
        <f ca="1">IFERROR(__xludf.DUMMYFUNCTION("""COMPUTED_VALUE"""),TRUE)</f>
        <v>1</v>
      </c>
      <c r="X613" s="5" t="str">
        <f ca="1">IFERROR(__xludf.DUMMYFUNCTION("""COMPUTED_VALUE"""),"wguerra@postobon.com.co,aprmttoyu@postobon.com.co,aprmyu@postobon.com.co,wmora@postobon.com.co,efzapata@postobon.com.co")</f>
        <v>wguerra@postobon.com.co,aprmttoyu@postobon.com.co,aprmyu@postobon.com.co,wmora@postobon.com.co,efzapata@postobon.com.co</v>
      </c>
      <c r="Y613" s="5" t="str">
        <f ca="1">IFERROR(__xludf.DUMMYFUNCTION("""COMPUTED_VALUE"""),"wguerra@postobon.com.co")</f>
        <v>wguerra@postobon.com.co</v>
      </c>
      <c r="Z613" s="5" t="str">
        <f ca="1">IFERROR(__xludf.DUMMYFUNCTION("""COMPUTED_VALUE"""),"PgzZfXmRQhS3yuHN.bvJ5w")</f>
        <v>PgzZfXmRQhS3yuHN.bvJ5w</v>
      </c>
      <c r="AA613" s="5"/>
      <c r="AB613" s="5"/>
      <c r="AC613" s="5"/>
      <c r="AD613" s="5">
        <f ca="1">IFERROR(__xludf.DUMMYFUNCTION("""COMPUTED_VALUE"""),43)</f>
        <v>43</v>
      </c>
      <c r="AE613" s="5">
        <f ca="1">IFERROR(__xludf.DUMMYFUNCTION("""COMPUTED_VALUE"""),43)</f>
        <v>43</v>
      </c>
      <c r="AF613" s="5" t="b">
        <f ca="1">IFERROR(__xludf.DUMMYFUNCTION("""COMPUTED_VALUE"""),FALSE)</f>
        <v>0</v>
      </c>
      <c r="AG613" s="5" t="str">
        <f ca="1">IFERROR(__xludf.DUMMYFUNCTION("""COMPUTED_VALUE"""),"INSPECCIONES REALIZADAS")</f>
        <v>INSPECCIONES REALIZADAS</v>
      </c>
      <c r="AH613" s="5"/>
    </row>
    <row r="614" spans="1:34">
      <c r="A614" s="5" t="str">
        <f ca="1">IFERROR(__xludf.DUMMYFUNCTION("""COMPUTED_VALUE"""),"LINEA DE ENVASADO TAMAÑO PERSONAL")</f>
        <v>LINEA DE ENVASADO TAMAÑO PERSONAL</v>
      </c>
      <c r="B614" s="5">
        <f ca="1">IFERROR(__xludf.DUMMYFUNCTION("""COMPUTED_VALUE"""),589679)</f>
        <v>589679</v>
      </c>
      <c r="C614" s="5" t="str">
        <f ca="1">IFERROR(__xludf.DUMMYFUNCTION("""COMPUTED_VALUE"""),"CODIFICADOR L3")</f>
        <v>CODIFICADOR L3</v>
      </c>
      <c r="D614" s="5">
        <f ca="1">IFERROR(__xludf.DUMMYFUNCTION("""COMPUTED_VALUE"""),13247640)</f>
        <v>13247640</v>
      </c>
      <c r="E614" s="5" t="str">
        <f ca="1">IFERROR(__xludf.DUMMYFUNCTION("""COMPUTED_VALUE"""),"INSPECCION SEMANAL INTERC ALFA LAVAL")</f>
        <v>INSPECCION SEMANAL INTERC ALFA LAVAL</v>
      </c>
      <c r="F614" s="5" t="str">
        <f ca="1">IFERROR(__xludf.DUMMYFUNCTION("""COMPUTED_VALUE"""),"Estado presiones de trabajo (positiva y negativa)")</f>
        <v>Estado presiones de trabajo (positiva y negativa)</v>
      </c>
      <c r="G614" s="5" t="b">
        <f ca="1">IFERROR(__xludf.DUMMYFUNCTION("""COMPUTED_VALUE"""),TRUE)</f>
        <v>1</v>
      </c>
      <c r="H614" s="5"/>
      <c r="I614" s="5"/>
      <c r="J614" s="5">
        <f ca="1">IFERROR(__xludf.DUMMYFUNCTION("""COMPUTED_VALUE"""),13247640)</f>
        <v>13247640</v>
      </c>
      <c r="K614" s="5"/>
      <c r="L614" s="18">
        <f ca="1">IFERROR(__xludf.DUMMYFUNCTION("""COMPUTED_VALUE"""),45325)</f>
        <v>45325</v>
      </c>
      <c r="M614" s="18">
        <f ca="1">IFERROR(__xludf.DUMMYFUNCTION("""COMPUTED_VALUE"""),45325)</f>
        <v>45325</v>
      </c>
      <c r="N614" s="5" t="str">
        <f ca="1">IFERROR(__xludf.DUMMYFUNCTION("""COMPUTED_VALUE"""),"Campo Rodriguez Adalcides Jesus")</f>
        <v>Campo Rodriguez Adalcides Jesus</v>
      </c>
      <c r="O614" s="2">
        <f ca="1">IFERROR(__xludf.DUMMYFUNCTION("""COMPUTED_VALUE"""),0.008333333)</f>
        <v>8.3333330000000001E-3</v>
      </c>
      <c r="P614" s="5">
        <f ca="1">IFERROR(__xludf.DUMMYFUNCTION("""COMPUTED_VALUE"""),20036419)</f>
        <v>20036419</v>
      </c>
      <c r="Q614" s="5" t="str">
        <f ca="1">IFERROR(__xludf.DUMMYFUNCTION("""COMPUTED_VALUE"""),"0IpjEZvTch0")</f>
        <v>0IpjEZvTch0</v>
      </c>
      <c r="R614" s="5">
        <f ca="1">IFERROR(__xludf.DUMMYFUNCTION("""COMPUTED_VALUE"""),410)</f>
        <v>410</v>
      </c>
      <c r="S614" s="62">
        <f ca="1">IFERROR(__xludf.DUMMYFUNCTION("""COMPUTED_VALUE"""),0.008333333)</f>
        <v>8.3333330000000001E-3</v>
      </c>
      <c r="T614" s="63" t="str">
        <f ca="1">IFERROR(__xludf.DUMMYFUNCTION("""COMPUTED_VALUE"""),"https://storage.googleapis.com/glide-prod.appspot.com/uploads-v2/ly7o78grxPaC6KdgvbpS/pub/3aRdSog0vUtuqPE8AJKD.png")</f>
        <v>https://storage.googleapis.com/glide-prod.appspot.com/uploads-v2/ly7o78grxPaC6KdgvbpS/pub/3aRdSog0vUtuqPE8AJKD.png</v>
      </c>
      <c r="U614" s="5" t="str">
        <f ca="1">IFERROR(__xludf.DUMMYFUNCTION("""COMPUTED_VALUE"""),"LINEA DE ENVASADO TAMAÑO PERSONALCODIFICADOR L3")</f>
        <v>LINEA DE ENVASADO TAMAÑO PERSONALCODIFICADOR L3</v>
      </c>
      <c r="V614" s="5"/>
      <c r="W614" s="5" t="b">
        <f ca="1">IFERROR(__xludf.DUMMYFUNCTION("""COMPUTED_VALUE"""),TRUE)</f>
        <v>1</v>
      </c>
      <c r="X614" s="5" t="str">
        <f ca="1">IFERROR(__xludf.DUMMYFUNCTION("""COMPUTED_VALUE"""),"wguerra@postobon.com.co,aprmttoyu@postobon.com.co,aprmyu@postobon.com.co,wmora@postobon.com.co,efzapata@postobon.com.co")</f>
        <v>wguerra@postobon.com.co,aprmttoyu@postobon.com.co,aprmyu@postobon.com.co,wmora@postobon.com.co,efzapata@postobon.com.co</v>
      </c>
      <c r="Y614" s="5" t="str">
        <f ca="1">IFERROR(__xludf.DUMMYFUNCTION("""COMPUTED_VALUE"""),"wguerra@postobon.com.co")</f>
        <v>wguerra@postobon.com.co</v>
      </c>
      <c r="Z614" s="5" t="str">
        <f ca="1">IFERROR(__xludf.DUMMYFUNCTION("""COMPUTED_VALUE"""),"kUcx9JqVSRWUa9fvDbxY.g")</f>
        <v>kUcx9JqVSRWUa9fvDbxY.g</v>
      </c>
      <c r="AA614" s="5"/>
      <c r="AB614" s="5"/>
      <c r="AC614" s="5"/>
      <c r="AD614" s="5">
        <f ca="1">IFERROR(__xludf.DUMMYFUNCTION("""COMPUTED_VALUE"""),43)</f>
        <v>43</v>
      </c>
      <c r="AE614" s="5">
        <f ca="1">IFERROR(__xludf.DUMMYFUNCTION("""COMPUTED_VALUE"""),43)</f>
        <v>43</v>
      </c>
      <c r="AF614" s="5" t="b">
        <f ca="1">IFERROR(__xludf.DUMMYFUNCTION("""COMPUTED_VALUE"""),FALSE)</f>
        <v>0</v>
      </c>
      <c r="AG614" s="5" t="str">
        <f ca="1">IFERROR(__xludf.DUMMYFUNCTION("""COMPUTED_VALUE"""),"INSPECCIONES REALIZADAS")</f>
        <v>INSPECCIONES REALIZADAS</v>
      </c>
      <c r="AH614" s="5"/>
    </row>
    <row r="615" spans="1:34">
      <c r="A615" s="5" t="str">
        <f ca="1">IFERROR(__xludf.DUMMYFUNCTION("""COMPUTED_VALUE"""),"LINEA DE ENVASADO TAMAÑO PERSONAL")</f>
        <v>LINEA DE ENVASADO TAMAÑO PERSONAL</v>
      </c>
      <c r="B615" s="5">
        <f ca="1">IFERROR(__xludf.DUMMYFUNCTION("""COMPUTED_VALUE"""),589679)</f>
        <v>589679</v>
      </c>
      <c r="C615" s="5" t="str">
        <f ca="1">IFERROR(__xludf.DUMMYFUNCTION("""COMPUTED_VALUE"""),"CODIFICADOR L3")</f>
        <v>CODIFICADOR L3</v>
      </c>
      <c r="D615" s="5">
        <f ca="1">IFERROR(__xludf.DUMMYFUNCTION("""COMPUTED_VALUE"""),13247640)</f>
        <v>13247640</v>
      </c>
      <c r="E615" s="5" t="str">
        <f ca="1">IFERROR(__xludf.DUMMYFUNCTION("""COMPUTED_VALUE"""),"INSPECCION SEMANAL INTERC ALFA LAVAL")</f>
        <v>INSPECCION SEMANAL INTERC ALFA LAVAL</v>
      </c>
      <c r="F615" s="5" t="str">
        <f ca="1">IFERROR(__xludf.DUMMYFUNCTION("""COMPUTED_VALUE"""),"Mensajes de falla y avería")</f>
        <v>Mensajes de falla y avería</v>
      </c>
      <c r="G615" s="5" t="b">
        <f ca="1">IFERROR(__xludf.DUMMYFUNCTION("""COMPUTED_VALUE"""),TRUE)</f>
        <v>1</v>
      </c>
      <c r="H615" s="5"/>
      <c r="I615" s="5"/>
      <c r="J615" s="5">
        <f ca="1">IFERROR(__xludf.DUMMYFUNCTION("""COMPUTED_VALUE"""),13247640)</f>
        <v>13247640</v>
      </c>
      <c r="K615" s="5"/>
      <c r="L615" s="18">
        <f ca="1">IFERROR(__xludf.DUMMYFUNCTION("""COMPUTED_VALUE"""),45325)</f>
        <v>45325</v>
      </c>
      <c r="M615" s="18">
        <f ca="1">IFERROR(__xludf.DUMMYFUNCTION("""COMPUTED_VALUE"""),45325)</f>
        <v>45325</v>
      </c>
      <c r="N615" s="5" t="str">
        <f ca="1">IFERROR(__xludf.DUMMYFUNCTION("""COMPUTED_VALUE"""),"Campo Rodriguez Adalcides Jesus")</f>
        <v>Campo Rodriguez Adalcides Jesus</v>
      </c>
      <c r="O615" s="2">
        <f ca="1">IFERROR(__xludf.DUMMYFUNCTION("""COMPUTED_VALUE"""),0.008333333)</f>
        <v>8.3333330000000001E-3</v>
      </c>
      <c r="P615" s="5">
        <f ca="1">IFERROR(__xludf.DUMMYFUNCTION("""COMPUTED_VALUE"""),20036419)</f>
        <v>20036419</v>
      </c>
      <c r="Q615" s="5" t="str">
        <f ca="1">IFERROR(__xludf.DUMMYFUNCTION("""COMPUTED_VALUE"""),"ws6ici2sTXo")</f>
        <v>ws6ici2sTXo</v>
      </c>
      <c r="R615" s="5">
        <f ca="1">IFERROR(__xludf.DUMMYFUNCTION("""COMPUTED_VALUE"""),410)</f>
        <v>410</v>
      </c>
      <c r="S615" s="62">
        <f ca="1">IFERROR(__xludf.DUMMYFUNCTION("""COMPUTED_VALUE"""),0.008333333)</f>
        <v>8.3333330000000001E-3</v>
      </c>
      <c r="T615" s="63" t="str">
        <f ca="1">IFERROR(__xludf.DUMMYFUNCTION("""COMPUTED_VALUE"""),"https://storage.googleapis.com/glide-prod.appspot.com/uploads-v2/ly7o78grxPaC6KdgvbpS/pub/3aRdSog0vUtuqPE8AJKD.png")</f>
        <v>https://storage.googleapis.com/glide-prod.appspot.com/uploads-v2/ly7o78grxPaC6KdgvbpS/pub/3aRdSog0vUtuqPE8AJKD.png</v>
      </c>
      <c r="U615" s="5" t="str">
        <f ca="1">IFERROR(__xludf.DUMMYFUNCTION("""COMPUTED_VALUE"""),"LINEA DE ENVASADO TAMAÑO PERSONALCODIFICADOR L3")</f>
        <v>LINEA DE ENVASADO TAMAÑO PERSONALCODIFICADOR L3</v>
      </c>
      <c r="V615" s="5"/>
      <c r="W615" s="5" t="b">
        <f ca="1">IFERROR(__xludf.DUMMYFUNCTION("""COMPUTED_VALUE"""),TRUE)</f>
        <v>1</v>
      </c>
      <c r="X615" s="5" t="str">
        <f ca="1">IFERROR(__xludf.DUMMYFUNCTION("""COMPUTED_VALUE"""),"wguerra@postobon.com.co,aprmttoyu@postobon.com.co,aprmyu@postobon.com.co,wmora@postobon.com.co,efzapata@postobon.com.co")</f>
        <v>wguerra@postobon.com.co,aprmttoyu@postobon.com.co,aprmyu@postobon.com.co,wmora@postobon.com.co,efzapata@postobon.com.co</v>
      </c>
      <c r="Y615" s="5" t="str">
        <f ca="1">IFERROR(__xludf.DUMMYFUNCTION("""COMPUTED_VALUE"""),"wguerra@postobon.com.co")</f>
        <v>wguerra@postobon.com.co</v>
      </c>
      <c r="Z615" s="5" t="str">
        <f ca="1">IFERROR(__xludf.DUMMYFUNCTION("""COMPUTED_VALUE"""),"U0GjwZ-pTCumi.XlGsYDyQ")</f>
        <v>U0GjwZ-pTCumi.XlGsYDyQ</v>
      </c>
      <c r="AA615" s="5"/>
      <c r="AB615" s="5"/>
      <c r="AC615" s="5"/>
      <c r="AD615" s="5">
        <f ca="1">IFERROR(__xludf.DUMMYFUNCTION("""COMPUTED_VALUE"""),43)</f>
        <v>43</v>
      </c>
      <c r="AE615" s="5">
        <f ca="1">IFERROR(__xludf.DUMMYFUNCTION("""COMPUTED_VALUE"""),43)</f>
        <v>43</v>
      </c>
      <c r="AF615" s="5" t="b">
        <f ca="1">IFERROR(__xludf.DUMMYFUNCTION("""COMPUTED_VALUE"""),FALSE)</f>
        <v>0</v>
      </c>
      <c r="AG615" s="5" t="str">
        <f ca="1">IFERROR(__xludf.DUMMYFUNCTION("""COMPUTED_VALUE"""),"INSPECCIONES REALIZADAS")</f>
        <v>INSPECCIONES REALIZADAS</v>
      </c>
      <c r="AH615" s="5"/>
    </row>
    <row r="616" spans="1:34">
      <c r="A616" s="5" t="str">
        <f ca="1">IFERROR(__xludf.DUMMYFUNCTION("""COMPUTED_VALUE"""),"LINEA DE ENVASADO TAMAÑO PERSONAL")</f>
        <v>LINEA DE ENVASADO TAMAÑO PERSONAL</v>
      </c>
      <c r="B616" s="5">
        <f ca="1">IFERROR(__xludf.DUMMYFUNCTION("""COMPUTED_VALUE"""),589679)</f>
        <v>589679</v>
      </c>
      <c r="C616" s="5" t="str">
        <f ca="1">IFERROR(__xludf.DUMMYFUNCTION("""COMPUTED_VALUE"""),"CODIFICADOR L3")</f>
        <v>CODIFICADOR L3</v>
      </c>
      <c r="D616" s="5">
        <f ca="1">IFERROR(__xludf.DUMMYFUNCTION("""COMPUTED_VALUE"""),13247640)</f>
        <v>13247640</v>
      </c>
      <c r="E616" s="5" t="str">
        <f ca="1">IFERROR(__xludf.DUMMYFUNCTION("""COMPUTED_VALUE"""),"INSPECCION SEMANAL INTERC ALFA LAVAL")</f>
        <v>INSPECCION SEMANAL INTERC ALFA LAVAL</v>
      </c>
      <c r="F616" s="5" t="str">
        <f ca="1">IFERROR(__xludf.DUMMYFUNCTION("""COMPUTED_VALUE"""),"Estado tiempo de Flujo")</f>
        <v>Estado tiempo de Flujo</v>
      </c>
      <c r="G616" s="5" t="b">
        <f ca="1">IFERROR(__xludf.DUMMYFUNCTION("""COMPUTED_VALUE"""),TRUE)</f>
        <v>1</v>
      </c>
      <c r="H616" s="5"/>
      <c r="I616" s="5"/>
      <c r="J616" s="5">
        <f ca="1">IFERROR(__xludf.DUMMYFUNCTION("""COMPUTED_VALUE"""),13247640)</f>
        <v>13247640</v>
      </c>
      <c r="K616" s="5"/>
      <c r="L616" s="18">
        <f ca="1">IFERROR(__xludf.DUMMYFUNCTION("""COMPUTED_VALUE"""),45325)</f>
        <v>45325</v>
      </c>
      <c r="M616" s="18">
        <f ca="1">IFERROR(__xludf.DUMMYFUNCTION("""COMPUTED_VALUE"""),45325)</f>
        <v>45325</v>
      </c>
      <c r="N616" s="5" t="str">
        <f ca="1">IFERROR(__xludf.DUMMYFUNCTION("""COMPUTED_VALUE"""),"Campo Rodriguez Adalcides Jesus")</f>
        <v>Campo Rodriguez Adalcides Jesus</v>
      </c>
      <c r="O616" s="2">
        <f ca="1">IFERROR(__xludf.DUMMYFUNCTION("""COMPUTED_VALUE"""),0.008333333)</f>
        <v>8.3333330000000001E-3</v>
      </c>
      <c r="P616" s="5">
        <f ca="1">IFERROR(__xludf.DUMMYFUNCTION("""COMPUTED_VALUE"""),20036419)</f>
        <v>20036419</v>
      </c>
      <c r="Q616" s="5" t="str">
        <f ca="1">IFERROR(__xludf.DUMMYFUNCTION("""COMPUTED_VALUE"""),"ai-cLz7lYY4")</f>
        <v>ai-cLz7lYY4</v>
      </c>
      <c r="R616" s="5">
        <f ca="1">IFERROR(__xludf.DUMMYFUNCTION("""COMPUTED_VALUE"""),410)</f>
        <v>410</v>
      </c>
      <c r="S616" s="62">
        <f ca="1">IFERROR(__xludf.DUMMYFUNCTION("""COMPUTED_VALUE"""),0.008333333)</f>
        <v>8.3333330000000001E-3</v>
      </c>
      <c r="T616" s="63" t="str">
        <f ca="1">IFERROR(__xludf.DUMMYFUNCTION("""COMPUTED_VALUE"""),"https://storage.googleapis.com/glide-prod.appspot.com/uploads-v2/ly7o78grxPaC6KdgvbpS/pub/3aRdSog0vUtuqPE8AJKD.png")</f>
        <v>https://storage.googleapis.com/glide-prod.appspot.com/uploads-v2/ly7o78grxPaC6KdgvbpS/pub/3aRdSog0vUtuqPE8AJKD.png</v>
      </c>
      <c r="U616" s="5" t="str">
        <f ca="1">IFERROR(__xludf.DUMMYFUNCTION("""COMPUTED_VALUE"""),"LINEA DE ENVASADO TAMAÑO PERSONALCODIFICADOR L3")</f>
        <v>LINEA DE ENVASADO TAMAÑO PERSONALCODIFICADOR L3</v>
      </c>
      <c r="V616" s="5"/>
      <c r="W616" s="5" t="b">
        <f ca="1">IFERROR(__xludf.DUMMYFUNCTION("""COMPUTED_VALUE"""),TRUE)</f>
        <v>1</v>
      </c>
      <c r="X616" s="5" t="str">
        <f ca="1">IFERROR(__xludf.DUMMYFUNCTION("""COMPUTED_VALUE"""),"wguerra@postobon.com.co,aprmttoyu@postobon.com.co,aprmyu@postobon.com.co,wmora@postobon.com.co,efzapata@postobon.com.co")</f>
        <v>wguerra@postobon.com.co,aprmttoyu@postobon.com.co,aprmyu@postobon.com.co,wmora@postobon.com.co,efzapata@postobon.com.co</v>
      </c>
      <c r="Y616" s="5" t="str">
        <f ca="1">IFERROR(__xludf.DUMMYFUNCTION("""COMPUTED_VALUE"""),"wguerra@postobon.com.co")</f>
        <v>wguerra@postobon.com.co</v>
      </c>
      <c r="Z616" s="5" t="str">
        <f ca="1">IFERROR(__xludf.DUMMYFUNCTION("""COMPUTED_VALUE"""),"s8E9ynV1ScmuODk8vLYpxw")</f>
        <v>s8E9ynV1ScmuODk8vLYpxw</v>
      </c>
      <c r="AA616" s="5"/>
      <c r="AB616" s="5"/>
      <c r="AC616" s="5"/>
      <c r="AD616" s="5">
        <f ca="1">IFERROR(__xludf.DUMMYFUNCTION("""COMPUTED_VALUE"""),43)</f>
        <v>43</v>
      </c>
      <c r="AE616" s="5">
        <f ca="1">IFERROR(__xludf.DUMMYFUNCTION("""COMPUTED_VALUE"""),43)</f>
        <v>43</v>
      </c>
      <c r="AF616" s="5" t="b">
        <f ca="1">IFERROR(__xludf.DUMMYFUNCTION("""COMPUTED_VALUE"""),FALSE)</f>
        <v>0</v>
      </c>
      <c r="AG616" s="5" t="str">
        <f ca="1">IFERROR(__xludf.DUMMYFUNCTION("""COMPUTED_VALUE"""),"INSPECCIONES REALIZADAS")</f>
        <v>INSPECCIONES REALIZADAS</v>
      </c>
      <c r="AH616" s="5"/>
    </row>
    <row r="617" spans="1:34">
      <c r="A617" s="5" t="str">
        <f ca="1">IFERROR(__xludf.DUMMYFUNCTION("""COMPUTED_VALUE"""),"LINEA DE ENVASADO TAMAÑO PERSONAL")</f>
        <v>LINEA DE ENVASADO TAMAÑO PERSONAL</v>
      </c>
      <c r="B617" s="5">
        <f ca="1">IFERROR(__xludf.DUMMYFUNCTION("""COMPUTED_VALUE"""),589679)</f>
        <v>589679</v>
      </c>
      <c r="C617" s="5" t="str">
        <f ca="1">IFERROR(__xludf.DUMMYFUNCTION("""COMPUTED_VALUE"""),"CODIFICADOR L3")</f>
        <v>CODIFICADOR L3</v>
      </c>
      <c r="D617" s="5">
        <f ca="1">IFERROR(__xludf.DUMMYFUNCTION("""COMPUTED_VALUE"""),13247640)</f>
        <v>13247640</v>
      </c>
      <c r="E617" s="5" t="str">
        <f ca="1">IFERROR(__xludf.DUMMYFUNCTION("""COMPUTED_VALUE"""),"INSPECCION SEMANAL INTERC ALFA LAVAL")</f>
        <v>INSPECCION SEMANAL INTERC ALFA LAVAL</v>
      </c>
      <c r="F617" s="5" t="str">
        <f ca="1">IFERROR(__xludf.DUMMYFUNCTION("""COMPUTED_VALUE"""),"Estado de formación de gota")</f>
        <v>Estado de formación de gota</v>
      </c>
      <c r="G617" s="5" t="b">
        <f ca="1">IFERROR(__xludf.DUMMYFUNCTION("""COMPUTED_VALUE"""),TRUE)</f>
        <v>1</v>
      </c>
      <c r="H617" s="5"/>
      <c r="I617" s="5"/>
      <c r="J617" s="5">
        <f ca="1">IFERROR(__xludf.DUMMYFUNCTION("""COMPUTED_VALUE"""),13247640)</f>
        <v>13247640</v>
      </c>
      <c r="K617" s="5"/>
      <c r="L617" s="18">
        <f ca="1">IFERROR(__xludf.DUMMYFUNCTION("""COMPUTED_VALUE"""),45325)</f>
        <v>45325</v>
      </c>
      <c r="M617" s="18">
        <f ca="1">IFERROR(__xludf.DUMMYFUNCTION("""COMPUTED_VALUE"""),45325)</f>
        <v>45325</v>
      </c>
      <c r="N617" s="5" t="str">
        <f ca="1">IFERROR(__xludf.DUMMYFUNCTION("""COMPUTED_VALUE"""),"Campo Rodriguez Adalcides Jesus")</f>
        <v>Campo Rodriguez Adalcides Jesus</v>
      </c>
      <c r="O617" s="2">
        <f ca="1">IFERROR(__xludf.DUMMYFUNCTION("""COMPUTED_VALUE"""),0.008333333)</f>
        <v>8.3333330000000001E-3</v>
      </c>
      <c r="P617" s="5">
        <f ca="1">IFERROR(__xludf.DUMMYFUNCTION("""COMPUTED_VALUE"""),20036419)</f>
        <v>20036419</v>
      </c>
      <c r="Q617" s="5" t="str">
        <f ca="1">IFERROR(__xludf.DUMMYFUNCTION("""COMPUTED_VALUE"""),"_NnatQV661M")</f>
        <v>_NnatQV661M</v>
      </c>
      <c r="R617" s="5">
        <f ca="1">IFERROR(__xludf.DUMMYFUNCTION("""COMPUTED_VALUE"""),410)</f>
        <v>410</v>
      </c>
      <c r="S617" s="62">
        <f ca="1">IFERROR(__xludf.DUMMYFUNCTION("""COMPUTED_VALUE"""),0.008333333)</f>
        <v>8.3333330000000001E-3</v>
      </c>
      <c r="T617" s="63" t="str">
        <f ca="1">IFERROR(__xludf.DUMMYFUNCTION("""COMPUTED_VALUE"""),"https://storage.googleapis.com/glide-prod.appspot.com/uploads-v2/ly7o78grxPaC6KdgvbpS/pub/3aRdSog0vUtuqPE8AJKD.png")</f>
        <v>https://storage.googleapis.com/glide-prod.appspot.com/uploads-v2/ly7o78grxPaC6KdgvbpS/pub/3aRdSog0vUtuqPE8AJKD.png</v>
      </c>
      <c r="U617" s="5" t="str">
        <f ca="1">IFERROR(__xludf.DUMMYFUNCTION("""COMPUTED_VALUE"""),"LINEA DE ENVASADO TAMAÑO PERSONALCODIFICADOR L3")</f>
        <v>LINEA DE ENVASADO TAMAÑO PERSONALCODIFICADOR L3</v>
      </c>
      <c r="V617" s="5"/>
      <c r="W617" s="5" t="b">
        <f ca="1">IFERROR(__xludf.DUMMYFUNCTION("""COMPUTED_VALUE"""),TRUE)</f>
        <v>1</v>
      </c>
      <c r="X617" s="5" t="str">
        <f ca="1">IFERROR(__xludf.DUMMYFUNCTION("""COMPUTED_VALUE"""),"wguerra@postobon.com.co,aprmttoyu@postobon.com.co,aprmyu@postobon.com.co,wmora@postobon.com.co,efzapata@postobon.com.co")</f>
        <v>wguerra@postobon.com.co,aprmttoyu@postobon.com.co,aprmyu@postobon.com.co,wmora@postobon.com.co,efzapata@postobon.com.co</v>
      </c>
      <c r="Y617" s="5" t="str">
        <f ca="1">IFERROR(__xludf.DUMMYFUNCTION("""COMPUTED_VALUE"""),"wguerra@postobon.com.co")</f>
        <v>wguerra@postobon.com.co</v>
      </c>
      <c r="Z617" s="5" t="str">
        <f ca="1">IFERROR(__xludf.DUMMYFUNCTION("""COMPUTED_VALUE"""),"32d9-POeSPOFjGk8rJ7Jag")</f>
        <v>32d9-POeSPOFjGk8rJ7Jag</v>
      </c>
      <c r="AA617" s="5"/>
      <c r="AB617" s="5"/>
      <c r="AC617" s="5"/>
      <c r="AD617" s="5">
        <f ca="1">IFERROR(__xludf.DUMMYFUNCTION("""COMPUTED_VALUE"""),43)</f>
        <v>43</v>
      </c>
      <c r="AE617" s="5">
        <f ca="1">IFERROR(__xludf.DUMMYFUNCTION("""COMPUTED_VALUE"""),43)</f>
        <v>43</v>
      </c>
      <c r="AF617" s="5" t="b">
        <f ca="1">IFERROR(__xludf.DUMMYFUNCTION("""COMPUTED_VALUE"""),FALSE)</f>
        <v>0</v>
      </c>
      <c r="AG617" s="5" t="str">
        <f ca="1">IFERROR(__xludf.DUMMYFUNCTION("""COMPUTED_VALUE"""),"INSPECCIONES REALIZADAS")</f>
        <v>INSPECCIONES REALIZADAS</v>
      </c>
      <c r="AH617" s="5"/>
    </row>
    <row r="618" spans="1:34">
      <c r="A618" s="5" t="str">
        <f ca="1">IFERROR(__xludf.DUMMYFUNCTION("""COMPUTED_VALUE"""),"LINEA DE ENVASADO TAMAÑO PERSONAL")</f>
        <v>LINEA DE ENVASADO TAMAÑO PERSONAL</v>
      </c>
      <c r="B618" s="5">
        <f ca="1">IFERROR(__xludf.DUMMYFUNCTION("""COMPUTED_VALUE"""),589679)</f>
        <v>589679</v>
      </c>
      <c r="C618" s="5" t="str">
        <f ca="1">IFERROR(__xludf.DUMMYFUNCTION("""COMPUTED_VALUE"""),"CODIFICADOR L3")</f>
        <v>CODIFICADOR L3</v>
      </c>
      <c r="D618" s="5">
        <f ca="1">IFERROR(__xludf.DUMMYFUNCTION("""COMPUTED_VALUE"""),13247640)</f>
        <v>13247640</v>
      </c>
      <c r="E618" s="5" t="str">
        <f ca="1">IFERROR(__xludf.DUMMYFUNCTION("""COMPUTED_VALUE"""),"INSPECCION SEMANAL INTERC ALFA LAVAL")</f>
        <v>INSPECCION SEMANAL INTERC ALFA LAVAL</v>
      </c>
      <c r="F618" s="5" t="str">
        <f ca="1">IFERROR(__xludf.DUMMYFUNCTION("""COMPUTED_VALUE"""),"Estado de alineación del chorro")</f>
        <v>Estado de alineación del chorro</v>
      </c>
      <c r="G618" s="5" t="b">
        <f ca="1">IFERROR(__xludf.DUMMYFUNCTION("""COMPUTED_VALUE"""),TRUE)</f>
        <v>1</v>
      </c>
      <c r="H618" s="5"/>
      <c r="I618" s="5"/>
      <c r="J618" s="5">
        <f ca="1">IFERROR(__xludf.DUMMYFUNCTION("""COMPUTED_VALUE"""),13247640)</f>
        <v>13247640</v>
      </c>
      <c r="K618" s="5"/>
      <c r="L618" s="18">
        <f ca="1">IFERROR(__xludf.DUMMYFUNCTION("""COMPUTED_VALUE"""),45325)</f>
        <v>45325</v>
      </c>
      <c r="M618" s="18">
        <f ca="1">IFERROR(__xludf.DUMMYFUNCTION("""COMPUTED_VALUE"""),45325)</f>
        <v>45325</v>
      </c>
      <c r="N618" s="5" t="str">
        <f ca="1">IFERROR(__xludf.DUMMYFUNCTION("""COMPUTED_VALUE"""),"Campo Rodriguez Adalcides Jesus")</f>
        <v>Campo Rodriguez Adalcides Jesus</v>
      </c>
      <c r="O618" s="2">
        <f ca="1">IFERROR(__xludf.DUMMYFUNCTION("""COMPUTED_VALUE"""),0.008333333)</f>
        <v>8.3333330000000001E-3</v>
      </c>
      <c r="P618" s="5">
        <f ca="1">IFERROR(__xludf.DUMMYFUNCTION("""COMPUTED_VALUE"""),20036419)</f>
        <v>20036419</v>
      </c>
      <c r="Q618" s="5" t="str">
        <f ca="1">IFERROR(__xludf.DUMMYFUNCTION("""COMPUTED_VALUE"""),"u9eELGZR9go")</f>
        <v>u9eELGZR9go</v>
      </c>
      <c r="R618" s="5">
        <f ca="1">IFERROR(__xludf.DUMMYFUNCTION("""COMPUTED_VALUE"""),410)</f>
        <v>410</v>
      </c>
      <c r="S618" s="62">
        <f ca="1">IFERROR(__xludf.DUMMYFUNCTION("""COMPUTED_VALUE"""),0.008333333)</f>
        <v>8.3333330000000001E-3</v>
      </c>
      <c r="T618" s="63" t="str">
        <f ca="1">IFERROR(__xludf.DUMMYFUNCTION("""COMPUTED_VALUE"""),"https://storage.googleapis.com/glide-prod.appspot.com/uploads-v2/ly7o78grxPaC6KdgvbpS/pub/3aRdSog0vUtuqPE8AJKD.png")</f>
        <v>https://storage.googleapis.com/glide-prod.appspot.com/uploads-v2/ly7o78grxPaC6KdgvbpS/pub/3aRdSog0vUtuqPE8AJKD.png</v>
      </c>
      <c r="U618" s="5" t="str">
        <f ca="1">IFERROR(__xludf.DUMMYFUNCTION("""COMPUTED_VALUE"""),"LINEA DE ENVASADO TAMAÑO PERSONALCODIFICADOR L3")</f>
        <v>LINEA DE ENVASADO TAMAÑO PERSONALCODIFICADOR L3</v>
      </c>
      <c r="V618" s="5"/>
      <c r="W618" s="5" t="b">
        <f ca="1">IFERROR(__xludf.DUMMYFUNCTION("""COMPUTED_VALUE"""),TRUE)</f>
        <v>1</v>
      </c>
      <c r="X618" s="5" t="str">
        <f ca="1">IFERROR(__xludf.DUMMYFUNCTION("""COMPUTED_VALUE"""),"wguerra@postobon.com.co,aprmttoyu@postobon.com.co,aprmyu@postobon.com.co,wmora@postobon.com.co,efzapata@postobon.com.co")</f>
        <v>wguerra@postobon.com.co,aprmttoyu@postobon.com.co,aprmyu@postobon.com.co,wmora@postobon.com.co,efzapata@postobon.com.co</v>
      </c>
      <c r="Y618" s="5" t="str">
        <f ca="1">IFERROR(__xludf.DUMMYFUNCTION("""COMPUTED_VALUE"""),"wguerra@postobon.com.co")</f>
        <v>wguerra@postobon.com.co</v>
      </c>
      <c r="Z618" s="5" t="str">
        <f ca="1">IFERROR(__xludf.DUMMYFUNCTION("""COMPUTED_VALUE"""),"UawlGoa2QCqYUhXORqRBGA")</f>
        <v>UawlGoa2QCqYUhXORqRBGA</v>
      </c>
      <c r="AA618" s="5"/>
      <c r="AB618" s="5"/>
      <c r="AC618" s="5"/>
      <c r="AD618" s="5">
        <f ca="1">IFERROR(__xludf.DUMMYFUNCTION("""COMPUTED_VALUE"""),43)</f>
        <v>43</v>
      </c>
      <c r="AE618" s="5">
        <f ca="1">IFERROR(__xludf.DUMMYFUNCTION("""COMPUTED_VALUE"""),43)</f>
        <v>43</v>
      </c>
      <c r="AF618" s="5" t="b">
        <f ca="1">IFERROR(__xludf.DUMMYFUNCTION("""COMPUTED_VALUE"""),FALSE)</f>
        <v>0</v>
      </c>
      <c r="AG618" s="5" t="str">
        <f ca="1">IFERROR(__xludf.DUMMYFUNCTION("""COMPUTED_VALUE"""),"INSPECCIONES REALIZADAS")</f>
        <v>INSPECCIONES REALIZADAS</v>
      </c>
      <c r="AH618" s="5"/>
    </row>
    <row r="619" spans="1:34">
      <c r="A619" s="5" t="str">
        <f ca="1">IFERROR(__xludf.DUMMYFUNCTION("""COMPUTED_VALUE"""),"LINEA DE ENVASADO TAMAÑO PERSONAL")</f>
        <v>LINEA DE ENVASADO TAMAÑO PERSONAL</v>
      </c>
      <c r="B619" s="5">
        <f ca="1">IFERROR(__xludf.DUMMYFUNCTION("""COMPUTED_VALUE"""),589679)</f>
        <v>589679</v>
      </c>
      <c r="C619" s="5" t="str">
        <f ca="1">IFERROR(__xludf.DUMMYFUNCTION("""COMPUTED_VALUE"""),"CODIFICADOR L3")</f>
        <v>CODIFICADOR L3</v>
      </c>
      <c r="D619" s="5">
        <f ca="1">IFERROR(__xludf.DUMMYFUNCTION("""COMPUTED_VALUE"""),13247640)</f>
        <v>13247640</v>
      </c>
      <c r="E619" s="5" t="str">
        <f ca="1">IFERROR(__xludf.DUMMYFUNCTION("""COMPUTED_VALUE"""),"INSPECCION SEMANAL INTERC ALFA LAVAL")</f>
        <v>INSPECCION SEMANAL INTERC ALFA LAVAL</v>
      </c>
      <c r="F619" s="5" t="str">
        <f ca="1">IFERROR(__xludf.DUMMYFUNCTION("""COMPUTED_VALUE"""),"Verificar impresión de código")</f>
        <v>Verificar impresión de código</v>
      </c>
      <c r="G619" s="5" t="b">
        <f ca="1">IFERROR(__xludf.DUMMYFUNCTION("""COMPUTED_VALUE"""),TRUE)</f>
        <v>1</v>
      </c>
      <c r="H619" s="5"/>
      <c r="I619" s="5"/>
      <c r="J619" s="5">
        <f ca="1">IFERROR(__xludf.DUMMYFUNCTION("""COMPUTED_VALUE"""),13247640)</f>
        <v>13247640</v>
      </c>
      <c r="K619" s="5"/>
      <c r="L619" s="18">
        <f ca="1">IFERROR(__xludf.DUMMYFUNCTION("""COMPUTED_VALUE"""),45325)</f>
        <v>45325</v>
      </c>
      <c r="M619" s="18">
        <f ca="1">IFERROR(__xludf.DUMMYFUNCTION("""COMPUTED_VALUE"""),45325)</f>
        <v>45325</v>
      </c>
      <c r="N619" s="5" t="str">
        <f ca="1">IFERROR(__xludf.DUMMYFUNCTION("""COMPUTED_VALUE"""),"Campo Rodriguez Adalcides Jesus")</f>
        <v>Campo Rodriguez Adalcides Jesus</v>
      </c>
      <c r="O619" s="2">
        <f ca="1">IFERROR(__xludf.DUMMYFUNCTION("""COMPUTED_VALUE"""),0.008333333)</f>
        <v>8.3333330000000001E-3</v>
      </c>
      <c r="P619" s="5">
        <f ca="1">IFERROR(__xludf.DUMMYFUNCTION("""COMPUTED_VALUE"""),20036419)</f>
        <v>20036419</v>
      </c>
      <c r="Q619" s="5" t="str">
        <f ca="1">IFERROR(__xludf.DUMMYFUNCTION("""COMPUTED_VALUE"""),"FSCJY8bYasM")</f>
        <v>FSCJY8bYasM</v>
      </c>
      <c r="R619" s="5">
        <f ca="1">IFERROR(__xludf.DUMMYFUNCTION("""COMPUTED_VALUE"""),410)</f>
        <v>410</v>
      </c>
      <c r="S619" s="62">
        <f ca="1">IFERROR(__xludf.DUMMYFUNCTION("""COMPUTED_VALUE"""),0.008333333)</f>
        <v>8.3333330000000001E-3</v>
      </c>
      <c r="T619" s="63" t="str">
        <f ca="1">IFERROR(__xludf.DUMMYFUNCTION("""COMPUTED_VALUE"""),"https://storage.googleapis.com/glide-prod.appspot.com/uploads-v2/ly7o78grxPaC6KdgvbpS/pub/3aRdSog0vUtuqPE8AJKD.png")</f>
        <v>https://storage.googleapis.com/glide-prod.appspot.com/uploads-v2/ly7o78grxPaC6KdgvbpS/pub/3aRdSog0vUtuqPE8AJKD.png</v>
      </c>
      <c r="U619" s="5" t="str">
        <f ca="1">IFERROR(__xludf.DUMMYFUNCTION("""COMPUTED_VALUE"""),"LINEA DE ENVASADO TAMAÑO PERSONALCODIFICADOR L3")</f>
        <v>LINEA DE ENVASADO TAMAÑO PERSONALCODIFICADOR L3</v>
      </c>
      <c r="V619" s="5"/>
      <c r="W619" s="5" t="b">
        <f ca="1">IFERROR(__xludf.DUMMYFUNCTION("""COMPUTED_VALUE"""),TRUE)</f>
        <v>1</v>
      </c>
      <c r="X619" s="5" t="str">
        <f ca="1">IFERROR(__xludf.DUMMYFUNCTION("""COMPUTED_VALUE"""),"wguerra@postobon.com.co,aprmttoyu@postobon.com.co,aprmyu@postobon.com.co,wmora@postobon.com.co,efzapata@postobon.com.co")</f>
        <v>wguerra@postobon.com.co,aprmttoyu@postobon.com.co,aprmyu@postobon.com.co,wmora@postobon.com.co,efzapata@postobon.com.co</v>
      </c>
      <c r="Y619" s="5" t="str">
        <f ca="1">IFERROR(__xludf.DUMMYFUNCTION("""COMPUTED_VALUE"""),"wguerra@postobon.com.co")</f>
        <v>wguerra@postobon.com.co</v>
      </c>
      <c r="Z619" s="5" t="str">
        <f ca="1">IFERROR(__xludf.DUMMYFUNCTION("""COMPUTED_VALUE"""),"mMLc0Sn3RyeLD1fkv2ZNgQ")</f>
        <v>mMLc0Sn3RyeLD1fkv2ZNgQ</v>
      </c>
      <c r="AA619" s="5"/>
      <c r="AB619" s="5"/>
      <c r="AC619" s="5"/>
      <c r="AD619" s="5">
        <f ca="1">IFERROR(__xludf.DUMMYFUNCTION("""COMPUTED_VALUE"""),43)</f>
        <v>43</v>
      </c>
      <c r="AE619" s="5">
        <f ca="1">IFERROR(__xludf.DUMMYFUNCTION("""COMPUTED_VALUE"""),43)</f>
        <v>43</v>
      </c>
      <c r="AF619" s="5" t="b">
        <f ca="1">IFERROR(__xludf.DUMMYFUNCTION("""COMPUTED_VALUE"""),FALSE)</f>
        <v>0</v>
      </c>
      <c r="AG619" s="5" t="str">
        <f ca="1">IFERROR(__xludf.DUMMYFUNCTION("""COMPUTED_VALUE"""),"INSPECCIONES REALIZADAS")</f>
        <v>INSPECCIONES REALIZADAS</v>
      </c>
      <c r="AH619" s="5"/>
    </row>
    <row r="620" spans="1:34">
      <c r="A620" s="5" t="str">
        <f ca="1">IFERROR(__xludf.DUMMYFUNCTION("""COMPUTED_VALUE"""),"LINEA DE ENVASADO TAMAÑO PERSONAL")</f>
        <v>LINEA DE ENVASADO TAMAÑO PERSONAL</v>
      </c>
      <c r="B620" s="5">
        <f ca="1">IFERROR(__xludf.DUMMYFUNCTION("""COMPUTED_VALUE"""),589679)</f>
        <v>589679</v>
      </c>
      <c r="C620" s="5" t="str">
        <f ca="1">IFERROR(__xludf.DUMMYFUNCTION("""COMPUTED_VALUE"""),"CODIFICADOR L3")</f>
        <v>CODIFICADOR L3</v>
      </c>
      <c r="D620" s="5">
        <f ca="1">IFERROR(__xludf.DUMMYFUNCTION("""COMPUTED_VALUE"""),13247640)</f>
        <v>13247640</v>
      </c>
      <c r="E620" s="5" t="str">
        <f ca="1">IFERROR(__xludf.DUMMYFUNCTION("""COMPUTED_VALUE"""),"INSPECCION SEMANAL INTERC ALFA LAVAL")</f>
        <v>INSPECCION SEMANAL INTERC ALFA LAVAL</v>
      </c>
      <c r="F620" s="5" t="str">
        <f ca="1">IFERROR(__xludf.DUMMYFUNCTION("""COMPUTED_VALUE"""),"Estado de sensores y/o encoder")</f>
        <v>Estado de sensores y/o encoder</v>
      </c>
      <c r="G620" s="5" t="b">
        <f ca="1">IFERROR(__xludf.DUMMYFUNCTION("""COMPUTED_VALUE"""),TRUE)</f>
        <v>1</v>
      </c>
      <c r="H620" s="5"/>
      <c r="I620" s="5"/>
      <c r="J620" s="5">
        <f ca="1">IFERROR(__xludf.DUMMYFUNCTION("""COMPUTED_VALUE"""),13247640)</f>
        <v>13247640</v>
      </c>
      <c r="K620" s="5"/>
      <c r="L620" s="18">
        <f ca="1">IFERROR(__xludf.DUMMYFUNCTION("""COMPUTED_VALUE"""),45325)</f>
        <v>45325</v>
      </c>
      <c r="M620" s="18">
        <f ca="1">IFERROR(__xludf.DUMMYFUNCTION("""COMPUTED_VALUE"""),45325)</f>
        <v>45325</v>
      </c>
      <c r="N620" s="5" t="str">
        <f ca="1">IFERROR(__xludf.DUMMYFUNCTION("""COMPUTED_VALUE"""),"Campo Rodriguez Adalcides Jesus")</f>
        <v>Campo Rodriguez Adalcides Jesus</v>
      </c>
      <c r="O620" s="2">
        <f ca="1">IFERROR(__xludf.DUMMYFUNCTION("""COMPUTED_VALUE"""),0.008333333)</f>
        <v>8.3333330000000001E-3</v>
      </c>
      <c r="P620" s="5">
        <f ca="1">IFERROR(__xludf.DUMMYFUNCTION("""COMPUTED_VALUE"""),20036419)</f>
        <v>20036419</v>
      </c>
      <c r="Q620" s="5" t="str">
        <f ca="1">IFERROR(__xludf.DUMMYFUNCTION("""COMPUTED_VALUE"""),"2okQpb4TOyc")</f>
        <v>2okQpb4TOyc</v>
      </c>
      <c r="R620" s="5">
        <f ca="1">IFERROR(__xludf.DUMMYFUNCTION("""COMPUTED_VALUE"""),410)</f>
        <v>410</v>
      </c>
      <c r="S620" s="62">
        <f ca="1">IFERROR(__xludf.DUMMYFUNCTION("""COMPUTED_VALUE"""),0.008333333)</f>
        <v>8.3333330000000001E-3</v>
      </c>
      <c r="T620" s="63" t="str">
        <f ca="1">IFERROR(__xludf.DUMMYFUNCTION("""COMPUTED_VALUE"""),"https://storage.googleapis.com/glide-prod.appspot.com/uploads-v2/ly7o78grxPaC6KdgvbpS/pub/3aRdSog0vUtuqPE8AJKD.png")</f>
        <v>https://storage.googleapis.com/glide-prod.appspot.com/uploads-v2/ly7o78grxPaC6KdgvbpS/pub/3aRdSog0vUtuqPE8AJKD.png</v>
      </c>
      <c r="U620" s="5" t="str">
        <f ca="1">IFERROR(__xludf.DUMMYFUNCTION("""COMPUTED_VALUE"""),"LINEA DE ENVASADO TAMAÑO PERSONALCODIFICADOR L3")</f>
        <v>LINEA DE ENVASADO TAMAÑO PERSONALCODIFICADOR L3</v>
      </c>
      <c r="V620" s="5"/>
      <c r="W620" s="5" t="b">
        <f ca="1">IFERROR(__xludf.DUMMYFUNCTION("""COMPUTED_VALUE"""),TRUE)</f>
        <v>1</v>
      </c>
      <c r="X620" s="5" t="str">
        <f ca="1">IFERROR(__xludf.DUMMYFUNCTION("""COMPUTED_VALUE"""),"wguerra@postobon.com.co,aprmttoyu@postobon.com.co,aprmyu@postobon.com.co,wmora@postobon.com.co,efzapata@postobon.com.co")</f>
        <v>wguerra@postobon.com.co,aprmttoyu@postobon.com.co,aprmyu@postobon.com.co,wmora@postobon.com.co,efzapata@postobon.com.co</v>
      </c>
      <c r="Y620" s="5" t="str">
        <f ca="1">IFERROR(__xludf.DUMMYFUNCTION("""COMPUTED_VALUE"""),"wguerra@postobon.com.co")</f>
        <v>wguerra@postobon.com.co</v>
      </c>
      <c r="Z620" s="5" t="str">
        <f ca="1">IFERROR(__xludf.DUMMYFUNCTION("""COMPUTED_VALUE"""),"nYogVBNHTUqSBHiaYL3fUQ")</f>
        <v>nYogVBNHTUqSBHiaYL3fUQ</v>
      </c>
      <c r="AA620" s="5"/>
      <c r="AB620" s="5"/>
      <c r="AC620" s="5"/>
      <c r="AD620" s="5">
        <f ca="1">IFERROR(__xludf.DUMMYFUNCTION("""COMPUTED_VALUE"""),43)</f>
        <v>43</v>
      </c>
      <c r="AE620" s="5">
        <f ca="1">IFERROR(__xludf.DUMMYFUNCTION("""COMPUTED_VALUE"""),43)</f>
        <v>43</v>
      </c>
      <c r="AF620" s="5" t="b">
        <f ca="1">IFERROR(__xludf.DUMMYFUNCTION("""COMPUTED_VALUE"""),FALSE)</f>
        <v>0</v>
      </c>
      <c r="AG620" s="5" t="str">
        <f ca="1">IFERROR(__xludf.DUMMYFUNCTION("""COMPUTED_VALUE"""),"INSPECCIONES REALIZADAS")</f>
        <v>INSPECCIONES REALIZADAS</v>
      </c>
      <c r="AH620" s="5"/>
    </row>
    <row r="621" spans="1:34">
      <c r="A621" s="5" t="str">
        <f ca="1">IFERROR(__xludf.DUMMYFUNCTION("""COMPUTED_VALUE"""),"LINEA DE ENVASADO TAMAÑO PERSONAL")</f>
        <v>LINEA DE ENVASADO TAMAÑO PERSONAL</v>
      </c>
      <c r="B621" s="5">
        <f ca="1">IFERROR(__xludf.DUMMYFUNCTION("""COMPUTED_VALUE"""),589679)</f>
        <v>589679</v>
      </c>
      <c r="C621" s="5" t="str">
        <f ca="1">IFERROR(__xludf.DUMMYFUNCTION("""COMPUTED_VALUE"""),"CODIFICADOR L3")</f>
        <v>CODIFICADOR L3</v>
      </c>
      <c r="D621" s="5">
        <f ca="1">IFERROR(__xludf.DUMMYFUNCTION("""COMPUTED_VALUE"""),13247640)</f>
        <v>13247640</v>
      </c>
      <c r="E621" s="5" t="str">
        <f ca="1">IFERROR(__xludf.DUMMYFUNCTION("""COMPUTED_VALUE"""),"INSPECCION SEMANAL INTERC ALFA LAVAL")</f>
        <v>INSPECCION SEMANAL INTERC ALFA LAVAL</v>
      </c>
      <c r="F621" s="5" t="str">
        <f ca="1">IFERROR(__xludf.DUMMYFUNCTION("""COMPUTED_VALUE"""),"Estado y limpieza de extractor y/o climatizador tablero eléctrico.")</f>
        <v>Estado y limpieza de extractor y/o climatizador tablero eléctrico.</v>
      </c>
      <c r="G621" s="5" t="b">
        <f ca="1">IFERROR(__xludf.DUMMYFUNCTION("""COMPUTED_VALUE"""),TRUE)</f>
        <v>1</v>
      </c>
      <c r="H621" s="5"/>
      <c r="I621" s="5"/>
      <c r="J621" s="5">
        <f ca="1">IFERROR(__xludf.DUMMYFUNCTION("""COMPUTED_VALUE"""),13247640)</f>
        <v>13247640</v>
      </c>
      <c r="K621" s="5"/>
      <c r="L621" s="18">
        <f ca="1">IFERROR(__xludf.DUMMYFUNCTION("""COMPUTED_VALUE"""),45325)</f>
        <v>45325</v>
      </c>
      <c r="M621" s="18">
        <f ca="1">IFERROR(__xludf.DUMMYFUNCTION("""COMPUTED_VALUE"""),45325)</f>
        <v>45325</v>
      </c>
      <c r="N621" s="5" t="str">
        <f ca="1">IFERROR(__xludf.DUMMYFUNCTION("""COMPUTED_VALUE"""),"Campo Rodriguez Adalcides Jesus")</f>
        <v>Campo Rodriguez Adalcides Jesus</v>
      </c>
      <c r="O621" s="2">
        <f ca="1">IFERROR(__xludf.DUMMYFUNCTION("""COMPUTED_VALUE"""),0.008333333)</f>
        <v>8.3333330000000001E-3</v>
      </c>
      <c r="P621" s="5">
        <f ca="1">IFERROR(__xludf.DUMMYFUNCTION("""COMPUTED_VALUE"""),20036419)</f>
        <v>20036419</v>
      </c>
      <c r="Q621" s="5" t="str">
        <f ca="1">IFERROR(__xludf.DUMMYFUNCTION("""COMPUTED_VALUE"""),"-tCHjw1Jvg8")</f>
        <v>-tCHjw1Jvg8</v>
      </c>
      <c r="R621" s="5">
        <f ca="1">IFERROR(__xludf.DUMMYFUNCTION("""COMPUTED_VALUE"""),410)</f>
        <v>410</v>
      </c>
      <c r="S621" s="62">
        <f ca="1">IFERROR(__xludf.DUMMYFUNCTION("""COMPUTED_VALUE"""),0.008333333)</f>
        <v>8.3333330000000001E-3</v>
      </c>
      <c r="T621" s="63" t="str">
        <f ca="1">IFERROR(__xludf.DUMMYFUNCTION("""COMPUTED_VALUE"""),"https://storage.googleapis.com/glide-prod.appspot.com/uploads-v2/ly7o78grxPaC6KdgvbpS/pub/3aRdSog0vUtuqPE8AJKD.png")</f>
        <v>https://storage.googleapis.com/glide-prod.appspot.com/uploads-v2/ly7o78grxPaC6KdgvbpS/pub/3aRdSog0vUtuqPE8AJKD.png</v>
      </c>
      <c r="U621" s="5" t="str">
        <f ca="1">IFERROR(__xludf.DUMMYFUNCTION("""COMPUTED_VALUE"""),"LINEA DE ENVASADO TAMAÑO PERSONALCODIFICADOR L3")</f>
        <v>LINEA DE ENVASADO TAMAÑO PERSONALCODIFICADOR L3</v>
      </c>
      <c r="V621" s="5"/>
      <c r="W621" s="5" t="b">
        <f ca="1">IFERROR(__xludf.DUMMYFUNCTION("""COMPUTED_VALUE"""),TRUE)</f>
        <v>1</v>
      </c>
      <c r="X621" s="5" t="str">
        <f ca="1">IFERROR(__xludf.DUMMYFUNCTION("""COMPUTED_VALUE"""),"wguerra@postobon.com.co,aprmttoyu@postobon.com.co,aprmyu@postobon.com.co,wmora@postobon.com.co,efzapata@postobon.com.co")</f>
        <v>wguerra@postobon.com.co,aprmttoyu@postobon.com.co,aprmyu@postobon.com.co,wmora@postobon.com.co,efzapata@postobon.com.co</v>
      </c>
      <c r="Y621" s="5" t="str">
        <f ca="1">IFERROR(__xludf.DUMMYFUNCTION("""COMPUTED_VALUE"""),"wguerra@postobon.com.co")</f>
        <v>wguerra@postobon.com.co</v>
      </c>
      <c r="Z621" s="5" t="str">
        <f ca="1">IFERROR(__xludf.DUMMYFUNCTION("""COMPUTED_VALUE"""),"11Cs2nvQQFKPrDpgvRSJQA")</f>
        <v>11Cs2nvQQFKPrDpgvRSJQA</v>
      </c>
      <c r="AA621" s="5"/>
      <c r="AB621" s="5"/>
      <c r="AC621" s="5"/>
      <c r="AD621" s="5">
        <f ca="1">IFERROR(__xludf.DUMMYFUNCTION("""COMPUTED_VALUE"""),43)</f>
        <v>43</v>
      </c>
      <c r="AE621" s="5">
        <f ca="1">IFERROR(__xludf.DUMMYFUNCTION("""COMPUTED_VALUE"""),43)</f>
        <v>43</v>
      </c>
      <c r="AF621" s="5" t="b">
        <f ca="1">IFERROR(__xludf.DUMMYFUNCTION("""COMPUTED_VALUE"""),FALSE)</f>
        <v>0</v>
      </c>
      <c r="AG621" s="5" t="str">
        <f ca="1">IFERROR(__xludf.DUMMYFUNCTION("""COMPUTED_VALUE"""),"INSPECCIONES REALIZADAS")</f>
        <v>INSPECCIONES REALIZADAS</v>
      </c>
      <c r="AH621" s="5"/>
    </row>
    <row r="622" spans="1:34">
      <c r="A622" s="5" t="str">
        <f ca="1">IFERROR(__xludf.DUMMYFUNCTION("""COMPUTED_VALUE"""),"EQUIPOS PARA SERVICIOS INDUSTRIALES")</f>
        <v>EQUIPOS PARA SERVICIOS INDUSTRIALES</v>
      </c>
      <c r="B622" s="5">
        <f ca="1">IFERROR(__xludf.DUMMYFUNCTION("""COMPUTED_VALUE"""),690033)</f>
        <v>690033</v>
      </c>
      <c r="C622" s="5" t="str">
        <f ca="1">IFERROR(__xludf.DUMMYFUNCTION("""COMPUTED_VALUE"""),"INTERCAMBIADOR DE CALOR")</f>
        <v>INTERCAMBIADOR DE CALOR</v>
      </c>
      <c r="D622" s="5">
        <f ca="1">IFERROR(__xludf.DUMMYFUNCTION("""COMPUTED_VALUE"""),13247498)</f>
        <v>13247498</v>
      </c>
      <c r="E622" s="5" t="str">
        <f ca="1">IFERROR(__xludf.DUMMYFUNCTION("""COMPUTED_VALUE"""),"INSPECCION SEMANAL INTERCAMBIADOR DE CAL")</f>
        <v>INSPECCION SEMANAL INTERCAMBIADOR DE CAL</v>
      </c>
      <c r="F622" s="5" t="str">
        <f ca="1">IFERROR(__xludf.DUMMYFUNCTION("""COMPUTED_VALUE"""),"PLAN MTTO MEC INTERCAMBIADOR 690033")</f>
        <v>PLAN MTTO MEC INTERCAMBIADOR 690033</v>
      </c>
      <c r="G622" s="5" t="b">
        <f ca="1">IFERROR(__xludf.DUMMYFUNCTION("""COMPUTED_VALUE"""),TRUE)</f>
        <v>1</v>
      </c>
      <c r="H622" s="5"/>
      <c r="I622" s="5"/>
      <c r="J622" s="5">
        <f ca="1">IFERROR(__xludf.DUMMYFUNCTION("""COMPUTED_VALUE"""),13247498)</f>
        <v>13247498</v>
      </c>
      <c r="K622" s="5"/>
      <c r="L622" s="18">
        <f ca="1">IFERROR(__xludf.DUMMYFUNCTION("""COMPUTED_VALUE"""),45324)</f>
        <v>45324</v>
      </c>
      <c r="M622" s="18">
        <f ca="1">IFERROR(__xludf.DUMMYFUNCTION("""COMPUTED_VALUE"""),45324)</f>
        <v>45324</v>
      </c>
      <c r="N622" s="5" t="str">
        <f ca="1">IFERROR(__xludf.DUMMYFUNCTION("""COMPUTED_VALUE"""),"Henao William")</f>
        <v>Henao William</v>
      </c>
      <c r="O622" s="2">
        <f ca="1">IFERROR(__xludf.DUMMYFUNCTION("""COMPUTED_VALUE"""),0.1)</f>
        <v>0.1</v>
      </c>
      <c r="P622" s="5">
        <f ca="1">IFERROR(__xludf.DUMMYFUNCTION("""COMPUTED_VALUE"""),20009827)</f>
        <v>20009827</v>
      </c>
      <c r="Q622" s="5" t="str">
        <f ca="1">IFERROR(__xludf.DUMMYFUNCTION("""COMPUTED_VALUE"""),"JMDPE3I-r6E")</f>
        <v>JMDPE3I-r6E</v>
      </c>
      <c r="R622" s="5">
        <f ca="1">IFERROR(__xludf.DUMMYFUNCTION("""COMPUTED_VALUE"""),410)</f>
        <v>410</v>
      </c>
      <c r="S622" s="62">
        <f ca="1">IFERROR(__xludf.DUMMYFUNCTION("""COMPUTED_VALUE"""),0.1)</f>
        <v>0.1</v>
      </c>
      <c r="T622" s="63" t="str">
        <f ca="1">IFERROR(__xludf.DUMMYFUNCTION("""COMPUTED_VALUE"""),"https://storage.googleapis.com/glide-prod.appspot.com/uploads-v2/ly7o78grxPaC6KdgvbpS/pub/3aRdSog0vUtuqPE8AJKD.png")</f>
        <v>https://storage.googleapis.com/glide-prod.appspot.com/uploads-v2/ly7o78grxPaC6KdgvbpS/pub/3aRdSog0vUtuqPE8AJKD.png</v>
      </c>
      <c r="U622" s="5" t="str">
        <f ca="1">IFERROR(__xludf.DUMMYFUNCTION("""COMPUTED_VALUE"""),"EQUIPOS PARA SERVICIOS INDUSTRIALESINTERCAMBIADOR DE CALOR")</f>
        <v>EQUIPOS PARA SERVICIOS INDUSTRIALESINTERCAMBIADOR DE CALOR</v>
      </c>
      <c r="V622" s="5"/>
      <c r="W622" s="5" t="b">
        <f ca="1">IFERROR(__xludf.DUMMYFUNCTION("""COMPUTED_VALUE"""),TRUE)</f>
        <v>1</v>
      </c>
      <c r="X622" s="5" t="str">
        <f ca="1">IFERROR(__xludf.DUMMYFUNCTION("""COMPUTED_VALUE"""),"wmazorra@postobon.com.co,aprmttoyu@postobon.com.co,aprmyu@postobon.com.co,wmora@postobon.com.co,efzapata@postobon.com.co")</f>
        <v>wmazorra@postobon.com.co,aprmttoyu@postobon.com.co,aprmyu@postobon.com.co,wmora@postobon.com.co,efzapata@postobon.com.co</v>
      </c>
      <c r="Y622" s="5" t="str">
        <f ca="1">IFERROR(__xludf.DUMMYFUNCTION("""COMPUTED_VALUE"""),"wmazorra@postobon.com.co")</f>
        <v>wmazorra@postobon.com.co</v>
      </c>
      <c r="Z622" s="5" t="str">
        <f ca="1">IFERROR(__xludf.DUMMYFUNCTION("""COMPUTED_VALUE"""),"1vwDN5dbRWKCKrGG2idL-A")</f>
        <v>1vwDN5dbRWKCKrGG2idL-A</v>
      </c>
      <c r="AA622" s="5"/>
      <c r="AB622" s="5"/>
      <c r="AC622" s="5"/>
      <c r="AD622" s="5">
        <f ca="1">IFERROR(__xludf.DUMMYFUNCTION("""COMPUTED_VALUE"""),78)</f>
        <v>78</v>
      </c>
      <c r="AE622" s="5">
        <f ca="1">IFERROR(__xludf.DUMMYFUNCTION("""COMPUTED_VALUE"""),77)</f>
        <v>77</v>
      </c>
      <c r="AF622" s="5" t="b">
        <f ca="1">IFERROR(__xludf.DUMMYFUNCTION("""COMPUTED_VALUE"""),FALSE)</f>
        <v>0</v>
      </c>
      <c r="AG622" s="5" t="str">
        <f ca="1">IFERROR(__xludf.DUMMYFUNCTION("""COMPUTED_VALUE"""),"INSPECCIONES REALIZADAS")</f>
        <v>INSPECCIONES REALIZADAS</v>
      </c>
      <c r="AH622" s="5"/>
    </row>
    <row r="623" spans="1:34">
      <c r="A623" s="5" t="str">
        <f ca="1">IFERROR(__xludf.DUMMYFUNCTION("""COMPUTED_VALUE"""),"EQUIPOS PARA SERVICIOS INDUSTRIALES JUGO")</f>
        <v>EQUIPOS PARA SERVICIOS INDUSTRIALES JUGO</v>
      </c>
      <c r="B623" s="5">
        <f ca="1">IFERROR(__xludf.DUMMYFUNCTION("""COMPUTED_VALUE"""),698414)</f>
        <v>698414</v>
      </c>
      <c r="C623" s="5" t="str">
        <f ca="1">IFERROR(__xludf.DUMMYFUNCTION("""COMPUTED_VALUE"""),"INTERCAMBIADOR DE CALOR No. 2 JUGOS")</f>
        <v>INTERCAMBIADOR DE CALOR No. 2 JUGOS</v>
      </c>
      <c r="D623" s="5">
        <f ca="1">IFERROR(__xludf.DUMMYFUNCTION("""COMPUTED_VALUE"""),13247545)</f>
        <v>13247545</v>
      </c>
      <c r="E623" s="5" t="str">
        <f ca="1">IFERROR(__xludf.DUMMYFUNCTION("""COMPUTED_VALUE"""),"INSPECCION SEMANAL INTERCAMBIADOR DE CAL")</f>
        <v>INSPECCION SEMANAL INTERCAMBIADOR DE CAL</v>
      </c>
      <c r="F623" s="5" t="str">
        <f ca="1">IFERROR(__xludf.DUMMYFUNCTION("""COMPUTED_VALUE"""),"PLAN MTTO MEC INTERC CALOR 2 JUGO 698414")</f>
        <v>PLAN MTTO MEC INTERC CALOR 2 JUGO 698414</v>
      </c>
      <c r="G623" s="5"/>
      <c r="H623" s="5"/>
      <c r="I623" s="5"/>
      <c r="J623" s="5"/>
      <c r="K623" s="5"/>
      <c r="L623" s="18">
        <f ca="1">IFERROR(__xludf.DUMMYFUNCTION("""COMPUTED_VALUE"""),45325)</f>
        <v>45325</v>
      </c>
      <c r="M623" s="18">
        <f ca="1">IFERROR(__xludf.DUMMYFUNCTION("""COMPUTED_VALUE"""),45325)</f>
        <v>45325</v>
      </c>
      <c r="N623" s="5" t="str">
        <f ca="1">IFERROR(__xludf.DUMMYFUNCTION("""COMPUTED_VALUE"""),"Lopez Raul")</f>
        <v>Lopez Raul</v>
      </c>
      <c r="O623" s="2">
        <f ca="1">IFERROR(__xludf.DUMMYFUNCTION("""COMPUTED_VALUE"""),0.1)</f>
        <v>0.1</v>
      </c>
      <c r="P623" s="5"/>
      <c r="Q623" s="5" t="str">
        <f ca="1">IFERROR(__xludf.DUMMYFUNCTION("""COMPUTED_VALUE"""),"m4-leF-3ZNI")</f>
        <v>m4-leF-3ZNI</v>
      </c>
      <c r="R623" s="5">
        <f ca="1">IFERROR(__xludf.DUMMYFUNCTION("""COMPUTED_VALUE"""),410)</f>
        <v>410</v>
      </c>
      <c r="S623" s="62">
        <f ca="1">IFERROR(__xludf.DUMMYFUNCTION("""COMPUTED_VALUE"""),0.1)</f>
        <v>0.1</v>
      </c>
      <c r="T623" s="63" t="str">
        <f ca="1">IFERROR(__xludf.DUMMYFUNCTION("""COMPUTED_VALUE"""),"https://storage.googleapis.com/glide-prod.appspot.com/uploads-v2/ly7o78grxPaC6KdgvbpS/pub/UliJWgpEaBovaFmXi6OW.png")</f>
        <v>https://storage.googleapis.com/glide-prod.appspot.com/uploads-v2/ly7o78grxPaC6KdgvbpS/pub/UliJWgpEaBovaFmXi6OW.png</v>
      </c>
      <c r="U623" s="5" t="str">
        <f ca="1">IFERROR(__xludf.DUMMYFUNCTION("""COMPUTED_VALUE"""),"EQUIPOS PARA SERVICIOS INDUSTRIALES JUGOINTERCAMBIADOR DE CALOR No. 2 JUGOS")</f>
        <v>EQUIPOS PARA SERVICIOS INDUSTRIALES JUGOINTERCAMBIADOR DE CALOR No. 2 JUGOS</v>
      </c>
      <c r="V623" s="5"/>
      <c r="W623" s="5"/>
      <c r="X623" s="5" t="str">
        <f ca="1">IFERROR(__xludf.DUMMYFUNCTION("""COMPUTED_VALUE"""),"wmazorra@postobon.com.co,aprmttoyu@postobon.com.co,aprmyu@postobon.com.co,wmora@postobon.com.co,efzapata@postobon.com.co")</f>
        <v>wmazorra@postobon.com.co,aprmttoyu@postobon.com.co,aprmyu@postobon.com.co,wmora@postobon.com.co,efzapata@postobon.com.co</v>
      </c>
      <c r="Y623" s="5" t="str">
        <f ca="1">IFERROR(__xludf.DUMMYFUNCTION("""COMPUTED_VALUE"""),"wmazorra@postobon.com.co")</f>
        <v>wmazorra@postobon.com.co</v>
      </c>
      <c r="Z623" s="5" t="str">
        <f ca="1">IFERROR(__xludf.DUMMYFUNCTION("""COMPUTED_VALUE"""),"y4Mu8YWNQ8adhVpbwfDqPA")</f>
        <v>y4Mu8YWNQ8adhVpbwfDqPA</v>
      </c>
      <c r="AA623" s="5"/>
      <c r="AB623" s="5"/>
      <c r="AC623" s="5"/>
      <c r="AD623" s="5">
        <f ca="1">IFERROR(__xludf.DUMMYFUNCTION("""COMPUTED_VALUE"""),57)</f>
        <v>57</v>
      </c>
      <c r="AE623" s="5">
        <f ca="1">IFERROR(__xludf.DUMMYFUNCTION("""COMPUTED_VALUE"""),0)</f>
        <v>0</v>
      </c>
      <c r="AF623" s="5" t="b">
        <f ca="1">IFERROR(__xludf.DUMMYFUNCTION("""COMPUTED_VALUE"""),TRUE)</f>
        <v>1</v>
      </c>
      <c r="AG623" s="5" t="str">
        <f ca="1">IFERROR(__xludf.DUMMYFUNCTION("""COMPUTED_VALUE"""),"INSPECCIONES SIN REALIZAR")</f>
        <v>INSPECCIONES SIN REALIZAR</v>
      </c>
      <c r="AH623" s="5"/>
    </row>
    <row r="624" spans="1:34">
      <c r="A624" s="5" t="str">
        <f ca="1">IFERROR(__xludf.DUMMYFUNCTION("""COMPUTED_VALUE"""),"LINEA DE ENVASADO TAMAÑO PERSONAL")</f>
        <v>LINEA DE ENVASADO TAMAÑO PERSONAL</v>
      </c>
      <c r="B624" s="5">
        <f ca="1">IFERROR(__xludf.DUMMYFUNCTION("""COMPUTED_VALUE"""),508169)</f>
        <v>508169</v>
      </c>
      <c r="C624" s="5" t="str">
        <f ca="1">IFERROR(__xludf.DUMMYFUNCTION("""COMPUTED_VALUE"""),"LAVADORA DE BOTELLAS")</f>
        <v>LAVADORA DE BOTELLAS</v>
      </c>
      <c r="D624" s="5">
        <f ca="1">IFERROR(__xludf.DUMMYFUNCTION("""COMPUTED_VALUE"""),13247627)</f>
        <v>13247627</v>
      </c>
      <c r="E624" s="5" t="str">
        <f ca="1">IFERROR(__xludf.DUMMYFUNCTION("""COMPUTED_VALUE"""),"INSPECCION SEMANAL LAVADORA DE BOTELLAS")</f>
        <v>INSPECCION SEMANAL LAVADORA DE BOTELLAS</v>
      </c>
      <c r="F624" s="5" t="str">
        <f ca="1">IFERROR(__xludf.DUMMYFUNCTION("""COMPUTED_VALUE"""),"Estado de cadenas table top mesa de cargue")</f>
        <v>Estado de cadenas table top mesa de cargue</v>
      </c>
      <c r="G624" s="5" t="b">
        <f ca="1">IFERROR(__xludf.DUMMYFUNCTION("""COMPUTED_VALUE"""),TRUE)</f>
        <v>1</v>
      </c>
      <c r="H624" s="5"/>
      <c r="I624" s="5"/>
      <c r="J624" s="5">
        <f ca="1">IFERROR(__xludf.DUMMYFUNCTION("""COMPUTED_VALUE"""),13247627)</f>
        <v>13247627</v>
      </c>
      <c r="K624" s="5"/>
      <c r="L624" s="18">
        <f ca="1">IFERROR(__xludf.DUMMYFUNCTION("""COMPUTED_VALUE"""),45324)</f>
        <v>45324</v>
      </c>
      <c r="M624" s="18">
        <f ca="1">IFERROR(__xludf.DUMMYFUNCTION("""COMPUTED_VALUE"""),45324)</f>
        <v>45324</v>
      </c>
      <c r="N624" s="5" t="str">
        <f ca="1">IFERROR(__xludf.DUMMYFUNCTION("""COMPUTED_VALUE"""),"Jimenez Jhon")</f>
        <v>Jimenez Jhon</v>
      </c>
      <c r="O624" s="2">
        <f ca="1">IFERROR(__xludf.DUMMYFUNCTION("""COMPUTED_VALUE"""),0.004)</f>
        <v>4.0000000000000001E-3</v>
      </c>
      <c r="P624" s="5">
        <f ca="1">IFERROR(__xludf.DUMMYFUNCTION("""COMPUTED_VALUE"""),20009855)</f>
        <v>20009855</v>
      </c>
      <c r="Q624" s="5" t="str">
        <f ca="1">IFERROR(__xludf.DUMMYFUNCTION("""COMPUTED_VALUE"""),"t3JSgIkAfKg")</f>
        <v>t3JSgIkAfKg</v>
      </c>
      <c r="R624" s="5">
        <f ca="1">IFERROR(__xludf.DUMMYFUNCTION("""COMPUTED_VALUE"""),410)</f>
        <v>410</v>
      </c>
      <c r="S624" s="62">
        <f ca="1">IFERROR(__xludf.DUMMYFUNCTION("""COMPUTED_VALUE"""),0.004)</f>
        <v>4.0000000000000001E-3</v>
      </c>
      <c r="T624" s="63" t="str">
        <f ca="1">IFERROR(__xludf.DUMMYFUNCTION("""COMPUTED_VALUE"""),"https://storage.googleapis.com/glide-prod.appspot.com/uploads-v2/ly7o78grxPaC6KdgvbpS/pub/3aRdSog0vUtuqPE8AJKD.png")</f>
        <v>https://storage.googleapis.com/glide-prod.appspot.com/uploads-v2/ly7o78grxPaC6KdgvbpS/pub/3aRdSog0vUtuqPE8AJKD.png</v>
      </c>
      <c r="U624" s="5" t="str">
        <f ca="1">IFERROR(__xludf.DUMMYFUNCTION("""COMPUTED_VALUE"""),"LINEA DE ENVASADO TAMAÑO PERSONALLAVADORA DE BOTELLAS")</f>
        <v>LINEA DE ENVASADO TAMAÑO PERSONALLAVADORA DE BOTELLAS</v>
      </c>
      <c r="V624" s="5"/>
      <c r="W624" s="5" t="b">
        <f ca="1">IFERROR(__xludf.DUMMYFUNCTION("""COMPUTED_VALUE"""),TRUE)</f>
        <v>1</v>
      </c>
      <c r="X624" s="5" t="str">
        <f ca="1">IFERROR(__xludf.DUMMYFUNCTION("""COMPUTED_VALUE"""),"wguerra@postobon.com.co,aprmttoyu@postobon.com.co,aprmyu@postobon.com.co,wmora@postobon.com.co,efzapata@postobon.com.co")</f>
        <v>wguerra@postobon.com.co,aprmttoyu@postobon.com.co,aprmyu@postobon.com.co,wmora@postobon.com.co,efzapata@postobon.com.co</v>
      </c>
      <c r="Y624" s="5" t="str">
        <f ca="1">IFERROR(__xludf.DUMMYFUNCTION("""COMPUTED_VALUE"""),"wguerra@postobon.com.co")</f>
        <v>wguerra@postobon.com.co</v>
      </c>
      <c r="Z624" s="5" t="str">
        <f ca="1">IFERROR(__xludf.DUMMYFUNCTION("""COMPUTED_VALUE"""),"2vrFTuAqQbSWnJYRjhl43Q")</f>
        <v>2vrFTuAqQbSWnJYRjhl43Q</v>
      </c>
      <c r="AA624" s="5"/>
      <c r="AB624" s="5"/>
      <c r="AC624" s="5"/>
      <c r="AD624" s="5">
        <f ca="1">IFERROR(__xludf.DUMMYFUNCTION("""COMPUTED_VALUE"""),68)</f>
        <v>68</v>
      </c>
      <c r="AE624" s="5">
        <f ca="1">IFERROR(__xludf.DUMMYFUNCTION("""COMPUTED_VALUE"""),68)</f>
        <v>68</v>
      </c>
      <c r="AF624" s="5" t="b">
        <f ca="1">IFERROR(__xludf.DUMMYFUNCTION("""COMPUTED_VALUE"""),FALSE)</f>
        <v>0</v>
      </c>
      <c r="AG624" s="5" t="str">
        <f ca="1">IFERROR(__xludf.DUMMYFUNCTION("""COMPUTED_VALUE"""),"INSPECCIONES REALIZADAS")</f>
        <v>INSPECCIONES REALIZADAS</v>
      </c>
      <c r="AH624" s="5"/>
    </row>
    <row r="625" spans="1:34">
      <c r="A625" s="5" t="str">
        <f ca="1">IFERROR(__xludf.DUMMYFUNCTION("""COMPUTED_VALUE"""),"LINEA DE ENVASADO TAMAÑO PERSONAL")</f>
        <v>LINEA DE ENVASADO TAMAÑO PERSONAL</v>
      </c>
      <c r="B625" s="5">
        <f ca="1">IFERROR(__xludf.DUMMYFUNCTION("""COMPUTED_VALUE"""),508169)</f>
        <v>508169</v>
      </c>
      <c r="C625" s="5" t="str">
        <f ca="1">IFERROR(__xludf.DUMMYFUNCTION("""COMPUTED_VALUE"""),"LAVADORA DE BOTELLAS")</f>
        <v>LAVADORA DE BOTELLAS</v>
      </c>
      <c r="D625" s="5">
        <f ca="1">IFERROR(__xludf.DUMMYFUNCTION("""COMPUTED_VALUE"""),13247627)</f>
        <v>13247627</v>
      </c>
      <c r="E625" s="5" t="str">
        <f ca="1">IFERROR(__xludf.DUMMYFUNCTION("""COMPUTED_VALUE"""),"INSPECCION SEMANAL LAVADORA DE BOTELLAS")</f>
        <v>INSPECCION SEMANAL LAVADORA DE BOTELLAS</v>
      </c>
      <c r="F625" s="5" t="str">
        <f ca="1">IFERROR(__xludf.DUMMYFUNCTION("""COMPUTED_VALUE"""),"Estado de piñones de mesa de cargue")</f>
        <v>Estado de piñones de mesa de cargue</v>
      </c>
      <c r="G625" s="5" t="b">
        <f ca="1">IFERROR(__xludf.DUMMYFUNCTION("""COMPUTED_VALUE"""),TRUE)</f>
        <v>1</v>
      </c>
      <c r="H625" s="5"/>
      <c r="I625" s="5"/>
      <c r="J625" s="5">
        <f ca="1">IFERROR(__xludf.DUMMYFUNCTION("""COMPUTED_VALUE"""),13247627)</f>
        <v>13247627</v>
      </c>
      <c r="K625" s="5"/>
      <c r="L625" s="18">
        <f ca="1">IFERROR(__xludf.DUMMYFUNCTION("""COMPUTED_VALUE"""),45324)</f>
        <v>45324</v>
      </c>
      <c r="M625" s="18">
        <f ca="1">IFERROR(__xludf.DUMMYFUNCTION("""COMPUTED_VALUE"""),45324)</f>
        <v>45324</v>
      </c>
      <c r="N625" s="5" t="str">
        <f ca="1">IFERROR(__xludf.DUMMYFUNCTION("""COMPUTED_VALUE"""),"Jimenez Jhon")</f>
        <v>Jimenez Jhon</v>
      </c>
      <c r="O625" s="2">
        <f ca="1">IFERROR(__xludf.DUMMYFUNCTION("""COMPUTED_VALUE"""),0.004)</f>
        <v>4.0000000000000001E-3</v>
      </c>
      <c r="P625" s="5">
        <f ca="1">IFERROR(__xludf.DUMMYFUNCTION("""COMPUTED_VALUE"""),20009855)</f>
        <v>20009855</v>
      </c>
      <c r="Q625" s="5" t="str">
        <f ca="1">IFERROR(__xludf.DUMMYFUNCTION("""COMPUTED_VALUE"""),"-kcV5W7aw1I")</f>
        <v>-kcV5W7aw1I</v>
      </c>
      <c r="R625" s="5">
        <f ca="1">IFERROR(__xludf.DUMMYFUNCTION("""COMPUTED_VALUE"""),410)</f>
        <v>410</v>
      </c>
      <c r="S625" s="62">
        <f ca="1">IFERROR(__xludf.DUMMYFUNCTION("""COMPUTED_VALUE"""),0.004)</f>
        <v>4.0000000000000001E-3</v>
      </c>
      <c r="T625" s="63" t="str">
        <f ca="1">IFERROR(__xludf.DUMMYFUNCTION("""COMPUTED_VALUE"""),"https://storage.googleapis.com/glide-prod.appspot.com/uploads-v2/ly7o78grxPaC6KdgvbpS/pub/3aRdSog0vUtuqPE8AJKD.png")</f>
        <v>https://storage.googleapis.com/glide-prod.appspot.com/uploads-v2/ly7o78grxPaC6KdgvbpS/pub/3aRdSog0vUtuqPE8AJKD.png</v>
      </c>
      <c r="U625" s="5" t="str">
        <f ca="1">IFERROR(__xludf.DUMMYFUNCTION("""COMPUTED_VALUE"""),"LINEA DE ENVASADO TAMAÑO PERSONALLAVADORA DE BOTELLAS")</f>
        <v>LINEA DE ENVASADO TAMAÑO PERSONALLAVADORA DE BOTELLAS</v>
      </c>
      <c r="V625" s="5"/>
      <c r="W625" s="5" t="b">
        <f ca="1">IFERROR(__xludf.DUMMYFUNCTION("""COMPUTED_VALUE"""),TRUE)</f>
        <v>1</v>
      </c>
      <c r="X625" s="5" t="str">
        <f ca="1">IFERROR(__xludf.DUMMYFUNCTION("""COMPUTED_VALUE"""),"wguerra@postobon.com.co,aprmttoyu@postobon.com.co,aprmyu@postobon.com.co,wmora@postobon.com.co,efzapata@postobon.com.co")</f>
        <v>wguerra@postobon.com.co,aprmttoyu@postobon.com.co,aprmyu@postobon.com.co,wmora@postobon.com.co,efzapata@postobon.com.co</v>
      </c>
      <c r="Y625" s="5" t="str">
        <f ca="1">IFERROR(__xludf.DUMMYFUNCTION("""COMPUTED_VALUE"""),"wguerra@postobon.com.co")</f>
        <v>wguerra@postobon.com.co</v>
      </c>
      <c r="Z625" s="5" t="str">
        <f ca="1">IFERROR(__xludf.DUMMYFUNCTION("""COMPUTED_VALUE"""),"odyfcE96Ty2vaCDZcPHFig")</f>
        <v>odyfcE96Ty2vaCDZcPHFig</v>
      </c>
      <c r="AA625" s="5"/>
      <c r="AB625" s="5"/>
      <c r="AC625" s="5"/>
      <c r="AD625" s="5">
        <f ca="1">IFERROR(__xludf.DUMMYFUNCTION("""COMPUTED_VALUE"""),68)</f>
        <v>68</v>
      </c>
      <c r="AE625" s="5">
        <f ca="1">IFERROR(__xludf.DUMMYFUNCTION("""COMPUTED_VALUE"""),68)</f>
        <v>68</v>
      </c>
      <c r="AF625" s="5" t="b">
        <f ca="1">IFERROR(__xludf.DUMMYFUNCTION("""COMPUTED_VALUE"""),FALSE)</f>
        <v>0</v>
      </c>
      <c r="AG625" s="5" t="str">
        <f ca="1">IFERROR(__xludf.DUMMYFUNCTION("""COMPUTED_VALUE"""),"INSPECCIONES REALIZADAS")</f>
        <v>INSPECCIONES REALIZADAS</v>
      </c>
      <c r="AH625" s="5"/>
    </row>
    <row r="626" spans="1:34">
      <c r="A626" s="5" t="str">
        <f ca="1">IFERROR(__xludf.DUMMYFUNCTION("""COMPUTED_VALUE"""),"LINEA DE ENVASADO TAMAÑO PERSONAL")</f>
        <v>LINEA DE ENVASADO TAMAÑO PERSONAL</v>
      </c>
      <c r="B626" s="5">
        <f ca="1">IFERROR(__xludf.DUMMYFUNCTION("""COMPUTED_VALUE"""),508169)</f>
        <v>508169</v>
      </c>
      <c r="C626" s="5" t="str">
        <f ca="1">IFERROR(__xludf.DUMMYFUNCTION("""COMPUTED_VALUE"""),"LAVADORA DE BOTELLAS")</f>
        <v>LAVADORA DE BOTELLAS</v>
      </c>
      <c r="D626" s="5">
        <f ca="1">IFERROR(__xludf.DUMMYFUNCTION("""COMPUTED_VALUE"""),13247627)</f>
        <v>13247627</v>
      </c>
      <c r="E626" s="5" t="str">
        <f ca="1">IFERROR(__xludf.DUMMYFUNCTION("""COMPUTED_VALUE"""),"INSPECCION SEMANAL LAVADORA DE BOTELLAS")</f>
        <v>INSPECCION SEMANAL LAVADORA DE BOTELLAS</v>
      </c>
      <c r="F626" s="5" t="str">
        <f ca="1">IFERROR(__xludf.DUMMYFUNCTION("""COMPUTED_VALUE"""),"Estado perfiles de desgaste plasticos")</f>
        <v>Estado perfiles de desgaste plasticos</v>
      </c>
      <c r="G626" s="5" t="b">
        <f ca="1">IFERROR(__xludf.DUMMYFUNCTION("""COMPUTED_VALUE"""),TRUE)</f>
        <v>1</v>
      </c>
      <c r="H626" s="5"/>
      <c r="I626" s="5"/>
      <c r="J626" s="5">
        <f ca="1">IFERROR(__xludf.DUMMYFUNCTION("""COMPUTED_VALUE"""),13247627)</f>
        <v>13247627</v>
      </c>
      <c r="K626" s="5"/>
      <c r="L626" s="18">
        <f ca="1">IFERROR(__xludf.DUMMYFUNCTION("""COMPUTED_VALUE"""),45324)</f>
        <v>45324</v>
      </c>
      <c r="M626" s="18">
        <f ca="1">IFERROR(__xludf.DUMMYFUNCTION("""COMPUTED_VALUE"""),45324)</f>
        <v>45324</v>
      </c>
      <c r="N626" s="5" t="str">
        <f ca="1">IFERROR(__xludf.DUMMYFUNCTION("""COMPUTED_VALUE"""),"Jimenez Jhon")</f>
        <v>Jimenez Jhon</v>
      </c>
      <c r="O626" s="2">
        <f ca="1">IFERROR(__xludf.DUMMYFUNCTION("""COMPUTED_VALUE"""),0.004)</f>
        <v>4.0000000000000001E-3</v>
      </c>
      <c r="P626" s="5">
        <f ca="1">IFERROR(__xludf.DUMMYFUNCTION("""COMPUTED_VALUE"""),20009855)</f>
        <v>20009855</v>
      </c>
      <c r="Q626" s="5" t="str">
        <f ca="1">IFERROR(__xludf.DUMMYFUNCTION("""COMPUTED_VALUE"""),"JPZXeNG7qHg")</f>
        <v>JPZXeNG7qHg</v>
      </c>
      <c r="R626" s="5">
        <f ca="1">IFERROR(__xludf.DUMMYFUNCTION("""COMPUTED_VALUE"""),410)</f>
        <v>410</v>
      </c>
      <c r="S626" s="62">
        <f ca="1">IFERROR(__xludf.DUMMYFUNCTION("""COMPUTED_VALUE"""),0.004)</f>
        <v>4.0000000000000001E-3</v>
      </c>
      <c r="T626" s="63" t="str">
        <f ca="1">IFERROR(__xludf.DUMMYFUNCTION("""COMPUTED_VALUE"""),"https://storage.googleapis.com/glide-prod.appspot.com/uploads-v2/ly7o78grxPaC6KdgvbpS/pub/3aRdSog0vUtuqPE8AJKD.png")</f>
        <v>https://storage.googleapis.com/glide-prod.appspot.com/uploads-v2/ly7o78grxPaC6KdgvbpS/pub/3aRdSog0vUtuqPE8AJKD.png</v>
      </c>
      <c r="U626" s="5" t="str">
        <f ca="1">IFERROR(__xludf.DUMMYFUNCTION("""COMPUTED_VALUE"""),"LINEA DE ENVASADO TAMAÑO PERSONALLAVADORA DE BOTELLAS")</f>
        <v>LINEA DE ENVASADO TAMAÑO PERSONALLAVADORA DE BOTELLAS</v>
      </c>
      <c r="V626" s="5"/>
      <c r="W626" s="5" t="b">
        <f ca="1">IFERROR(__xludf.DUMMYFUNCTION("""COMPUTED_VALUE"""),TRUE)</f>
        <v>1</v>
      </c>
      <c r="X626" s="5" t="str">
        <f ca="1">IFERROR(__xludf.DUMMYFUNCTION("""COMPUTED_VALUE"""),"wguerra@postobon.com.co,aprmttoyu@postobon.com.co,aprmyu@postobon.com.co,wmora@postobon.com.co,efzapata@postobon.com.co")</f>
        <v>wguerra@postobon.com.co,aprmttoyu@postobon.com.co,aprmyu@postobon.com.co,wmora@postobon.com.co,efzapata@postobon.com.co</v>
      </c>
      <c r="Y626" s="5" t="str">
        <f ca="1">IFERROR(__xludf.DUMMYFUNCTION("""COMPUTED_VALUE"""),"wguerra@postobon.com.co")</f>
        <v>wguerra@postobon.com.co</v>
      </c>
      <c r="Z626" s="5" t="str">
        <f ca="1">IFERROR(__xludf.DUMMYFUNCTION("""COMPUTED_VALUE"""),"0ChWYu9BT0uIuX0u.lCxlQ")</f>
        <v>0ChWYu9BT0uIuX0u.lCxlQ</v>
      </c>
      <c r="AA626" s="5"/>
      <c r="AB626" s="5"/>
      <c r="AC626" s="5"/>
      <c r="AD626" s="5">
        <f ca="1">IFERROR(__xludf.DUMMYFUNCTION("""COMPUTED_VALUE"""),68)</f>
        <v>68</v>
      </c>
      <c r="AE626" s="5">
        <f ca="1">IFERROR(__xludf.DUMMYFUNCTION("""COMPUTED_VALUE"""),68)</f>
        <v>68</v>
      </c>
      <c r="AF626" s="5" t="b">
        <f ca="1">IFERROR(__xludf.DUMMYFUNCTION("""COMPUTED_VALUE"""),FALSE)</f>
        <v>0</v>
      </c>
      <c r="AG626" s="5" t="str">
        <f ca="1">IFERROR(__xludf.DUMMYFUNCTION("""COMPUTED_VALUE"""),"INSPECCIONES REALIZADAS")</f>
        <v>INSPECCIONES REALIZADAS</v>
      </c>
      <c r="AH626" s="5"/>
    </row>
    <row r="627" spans="1:34">
      <c r="A627" s="5" t="str">
        <f ca="1">IFERROR(__xludf.DUMMYFUNCTION("""COMPUTED_VALUE"""),"LINEA DE ENVASADO TAMAÑO PERSONAL")</f>
        <v>LINEA DE ENVASADO TAMAÑO PERSONAL</v>
      </c>
      <c r="B627" s="5">
        <f ca="1">IFERROR(__xludf.DUMMYFUNCTION("""COMPUTED_VALUE"""),508169)</f>
        <v>508169</v>
      </c>
      <c r="C627" s="5" t="str">
        <f ca="1">IFERROR(__xludf.DUMMYFUNCTION("""COMPUTED_VALUE"""),"LAVADORA DE BOTELLAS")</f>
        <v>LAVADORA DE BOTELLAS</v>
      </c>
      <c r="D627" s="5">
        <f ca="1">IFERROR(__xludf.DUMMYFUNCTION("""COMPUTED_VALUE"""),13247627)</f>
        <v>13247627</v>
      </c>
      <c r="E627" s="5" t="str">
        <f ca="1">IFERROR(__xludf.DUMMYFUNCTION("""COMPUTED_VALUE"""),"INSPECCION SEMANAL LAVADORA DE BOTELLAS")</f>
        <v>INSPECCION SEMANAL LAVADORA DE BOTELLAS</v>
      </c>
      <c r="F627" s="5" t="str">
        <f ca="1">IFERROR(__xludf.DUMMYFUNCTION("""COMPUTED_VALUE"""),"Estado de agitador de envase")</f>
        <v>Estado de agitador de envase</v>
      </c>
      <c r="G627" s="5" t="b">
        <f ca="1">IFERROR(__xludf.DUMMYFUNCTION("""COMPUTED_VALUE"""),TRUE)</f>
        <v>1</v>
      </c>
      <c r="H627" s="5"/>
      <c r="I627" s="5"/>
      <c r="J627" s="5">
        <f ca="1">IFERROR(__xludf.DUMMYFUNCTION("""COMPUTED_VALUE"""),13247627)</f>
        <v>13247627</v>
      </c>
      <c r="K627" s="5"/>
      <c r="L627" s="18">
        <f ca="1">IFERROR(__xludf.DUMMYFUNCTION("""COMPUTED_VALUE"""),45324)</f>
        <v>45324</v>
      </c>
      <c r="M627" s="18">
        <f ca="1">IFERROR(__xludf.DUMMYFUNCTION("""COMPUTED_VALUE"""),45324)</f>
        <v>45324</v>
      </c>
      <c r="N627" s="5" t="str">
        <f ca="1">IFERROR(__xludf.DUMMYFUNCTION("""COMPUTED_VALUE"""),"Jimenez Jhon")</f>
        <v>Jimenez Jhon</v>
      </c>
      <c r="O627" s="2">
        <f ca="1">IFERROR(__xludf.DUMMYFUNCTION("""COMPUTED_VALUE"""),0.004)</f>
        <v>4.0000000000000001E-3</v>
      </c>
      <c r="P627" s="5">
        <f ca="1">IFERROR(__xludf.DUMMYFUNCTION("""COMPUTED_VALUE"""),20009855)</f>
        <v>20009855</v>
      </c>
      <c r="Q627" s="5" t="str">
        <f ca="1">IFERROR(__xludf.DUMMYFUNCTION("""COMPUTED_VALUE"""),"lZIdJhoOe8k")</f>
        <v>lZIdJhoOe8k</v>
      </c>
      <c r="R627" s="5">
        <f ca="1">IFERROR(__xludf.DUMMYFUNCTION("""COMPUTED_VALUE"""),410)</f>
        <v>410</v>
      </c>
      <c r="S627" s="62">
        <f ca="1">IFERROR(__xludf.DUMMYFUNCTION("""COMPUTED_VALUE"""),0.004)</f>
        <v>4.0000000000000001E-3</v>
      </c>
      <c r="T627" s="63" t="str">
        <f ca="1">IFERROR(__xludf.DUMMYFUNCTION("""COMPUTED_VALUE"""),"https://storage.googleapis.com/glide-prod.appspot.com/uploads-v2/ly7o78grxPaC6KdgvbpS/pub/3aRdSog0vUtuqPE8AJKD.png")</f>
        <v>https://storage.googleapis.com/glide-prod.appspot.com/uploads-v2/ly7o78grxPaC6KdgvbpS/pub/3aRdSog0vUtuqPE8AJKD.png</v>
      </c>
      <c r="U627" s="5" t="str">
        <f ca="1">IFERROR(__xludf.DUMMYFUNCTION("""COMPUTED_VALUE"""),"LINEA DE ENVASADO TAMAÑO PERSONALLAVADORA DE BOTELLAS")</f>
        <v>LINEA DE ENVASADO TAMAÑO PERSONALLAVADORA DE BOTELLAS</v>
      </c>
      <c r="V627" s="5"/>
      <c r="W627" s="5" t="b">
        <f ca="1">IFERROR(__xludf.DUMMYFUNCTION("""COMPUTED_VALUE"""),TRUE)</f>
        <v>1</v>
      </c>
      <c r="X627" s="5" t="str">
        <f ca="1">IFERROR(__xludf.DUMMYFUNCTION("""COMPUTED_VALUE"""),"wguerra@postobon.com.co,aprmttoyu@postobon.com.co,aprmyu@postobon.com.co,wmora@postobon.com.co,efzapata@postobon.com.co")</f>
        <v>wguerra@postobon.com.co,aprmttoyu@postobon.com.co,aprmyu@postobon.com.co,wmora@postobon.com.co,efzapata@postobon.com.co</v>
      </c>
      <c r="Y627" s="5" t="str">
        <f ca="1">IFERROR(__xludf.DUMMYFUNCTION("""COMPUTED_VALUE"""),"wguerra@postobon.com.co")</f>
        <v>wguerra@postobon.com.co</v>
      </c>
      <c r="Z627" s="5" t="str">
        <f ca="1">IFERROR(__xludf.DUMMYFUNCTION("""COMPUTED_VALUE"""),"eI5T-y8yQg63IqZJOFw1Yw")</f>
        <v>eI5T-y8yQg63IqZJOFw1Yw</v>
      </c>
      <c r="AA627" s="5"/>
      <c r="AB627" s="5"/>
      <c r="AC627" s="5"/>
      <c r="AD627" s="5">
        <f ca="1">IFERROR(__xludf.DUMMYFUNCTION("""COMPUTED_VALUE"""),68)</f>
        <v>68</v>
      </c>
      <c r="AE627" s="5">
        <f ca="1">IFERROR(__xludf.DUMMYFUNCTION("""COMPUTED_VALUE"""),68)</f>
        <v>68</v>
      </c>
      <c r="AF627" s="5" t="b">
        <f ca="1">IFERROR(__xludf.DUMMYFUNCTION("""COMPUTED_VALUE"""),FALSE)</f>
        <v>0</v>
      </c>
      <c r="AG627" s="5" t="str">
        <f ca="1">IFERROR(__xludf.DUMMYFUNCTION("""COMPUTED_VALUE"""),"INSPECCIONES REALIZADAS")</f>
        <v>INSPECCIONES REALIZADAS</v>
      </c>
      <c r="AH627" s="5"/>
    </row>
    <row r="628" spans="1:34">
      <c r="A628" s="5" t="str">
        <f ca="1">IFERROR(__xludf.DUMMYFUNCTION("""COMPUTED_VALUE"""),"LINEA DE ENVASADO TAMAÑO PERSONAL")</f>
        <v>LINEA DE ENVASADO TAMAÑO PERSONAL</v>
      </c>
      <c r="B628" s="5">
        <f ca="1">IFERROR(__xludf.DUMMYFUNCTION("""COMPUTED_VALUE"""),508169)</f>
        <v>508169</v>
      </c>
      <c r="C628" s="5" t="str">
        <f ca="1">IFERROR(__xludf.DUMMYFUNCTION("""COMPUTED_VALUE"""),"LAVADORA DE BOTELLAS")</f>
        <v>LAVADORA DE BOTELLAS</v>
      </c>
      <c r="D628" s="5">
        <f ca="1">IFERROR(__xludf.DUMMYFUNCTION("""COMPUTED_VALUE"""),13247627)</f>
        <v>13247627</v>
      </c>
      <c r="E628" s="5" t="str">
        <f ca="1">IFERROR(__xludf.DUMMYFUNCTION("""COMPUTED_VALUE"""),"INSPECCION SEMANAL LAVADORA DE BOTELLAS")</f>
        <v>INSPECCION SEMANAL LAVADORA DE BOTELLAS</v>
      </c>
      <c r="F628" s="5" t="str">
        <f ca="1">IFERROR(__xludf.DUMMYFUNCTION("""COMPUTED_VALUE"""),"Estado de tableros eléctricos de mando, control y potencia")</f>
        <v>Estado de tableros eléctricos de mando, control y potencia</v>
      </c>
      <c r="G628" s="5" t="b">
        <f ca="1">IFERROR(__xludf.DUMMYFUNCTION("""COMPUTED_VALUE"""),TRUE)</f>
        <v>1</v>
      </c>
      <c r="H628" s="5"/>
      <c r="I628" s="5"/>
      <c r="J628" s="5">
        <f ca="1">IFERROR(__xludf.DUMMYFUNCTION("""COMPUTED_VALUE"""),13247627)</f>
        <v>13247627</v>
      </c>
      <c r="K628" s="5"/>
      <c r="L628" s="18">
        <f ca="1">IFERROR(__xludf.DUMMYFUNCTION("""COMPUTED_VALUE"""),45324)</f>
        <v>45324</v>
      </c>
      <c r="M628" s="18">
        <f ca="1">IFERROR(__xludf.DUMMYFUNCTION("""COMPUTED_VALUE"""),45324)</f>
        <v>45324</v>
      </c>
      <c r="N628" s="5" t="str">
        <f ca="1">IFERROR(__xludf.DUMMYFUNCTION("""COMPUTED_VALUE"""),"Jimenez Jhon")</f>
        <v>Jimenez Jhon</v>
      </c>
      <c r="O628" s="2">
        <f ca="1">IFERROR(__xludf.DUMMYFUNCTION("""COMPUTED_VALUE"""),0.004)</f>
        <v>4.0000000000000001E-3</v>
      </c>
      <c r="P628" s="5">
        <f ca="1">IFERROR(__xludf.DUMMYFUNCTION("""COMPUTED_VALUE"""),20009855)</f>
        <v>20009855</v>
      </c>
      <c r="Q628" s="5" t="str">
        <f ca="1">IFERROR(__xludf.DUMMYFUNCTION("""COMPUTED_VALUE"""),"zUIvWbO3EI8")</f>
        <v>zUIvWbO3EI8</v>
      </c>
      <c r="R628" s="5">
        <f ca="1">IFERROR(__xludf.DUMMYFUNCTION("""COMPUTED_VALUE"""),410)</f>
        <v>410</v>
      </c>
      <c r="S628" s="62">
        <f ca="1">IFERROR(__xludf.DUMMYFUNCTION("""COMPUTED_VALUE"""),0.004)</f>
        <v>4.0000000000000001E-3</v>
      </c>
      <c r="T628" s="63" t="str">
        <f ca="1">IFERROR(__xludf.DUMMYFUNCTION("""COMPUTED_VALUE"""),"https://storage.googleapis.com/glide-prod.appspot.com/uploads-v2/ly7o78grxPaC6KdgvbpS/pub/3aRdSog0vUtuqPE8AJKD.png")</f>
        <v>https://storage.googleapis.com/glide-prod.appspot.com/uploads-v2/ly7o78grxPaC6KdgvbpS/pub/3aRdSog0vUtuqPE8AJKD.png</v>
      </c>
      <c r="U628" s="5" t="str">
        <f ca="1">IFERROR(__xludf.DUMMYFUNCTION("""COMPUTED_VALUE"""),"LINEA DE ENVASADO TAMAÑO PERSONALLAVADORA DE BOTELLAS")</f>
        <v>LINEA DE ENVASADO TAMAÑO PERSONALLAVADORA DE BOTELLAS</v>
      </c>
      <c r="V628" s="5"/>
      <c r="W628" s="5" t="b">
        <f ca="1">IFERROR(__xludf.DUMMYFUNCTION("""COMPUTED_VALUE"""),TRUE)</f>
        <v>1</v>
      </c>
      <c r="X628" s="5" t="str">
        <f ca="1">IFERROR(__xludf.DUMMYFUNCTION("""COMPUTED_VALUE"""),"wguerra@postobon.com.co,aprmttoyu@postobon.com.co,aprmyu@postobon.com.co,wmora@postobon.com.co,efzapata@postobon.com.co")</f>
        <v>wguerra@postobon.com.co,aprmttoyu@postobon.com.co,aprmyu@postobon.com.co,wmora@postobon.com.co,efzapata@postobon.com.co</v>
      </c>
      <c r="Y628" s="5" t="str">
        <f ca="1">IFERROR(__xludf.DUMMYFUNCTION("""COMPUTED_VALUE"""),"wguerra@postobon.com.co")</f>
        <v>wguerra@postobon.com.co</v>
      </c>
      <c r="Z628" s="5" t="str">
        <f ca="1">IFERROR(__xludf.DUMMYFUNCTION("""COMPUTED_VALUE"""),"khInxprSTNOcZvmzeFMfGg")</f>
        <v>khInxprSTNOcZvmzeFMfGg</v>
      </c>
      <c r="AA628" s="5"/>
      <c r="AB628" s="5"/>
      <c r="AC628" s="5"/>
      <c r="AD628" s="5">
        <f ca="1">IFERROR(__xludf.DUMMYFUNCTION("""COMPUTED_VALUE"""),68)</f>
        <v>68</v>
      </c>
      <c r="AE628" s="5">
        <f ca="1">IFERROR(__xludf.DUMMYFUNCTION("""COMPUTED_VALUE"""),68)</f>
        <v>68</v>
      </c>
      <c r="AF628" s="5" t="b">
        <f ca="1">IFERROR(__xludf.DUMMYFUNCTION("""COMPUTED_VALUE"""),FALSE)</f>
        <v>0</v>
      </c>
      <c r="AG628" s="5" t="str">
        <f ca="1">IFERROR(__xludf.DUMMYFUNCTION("""COMPUTED_VALUE"""),"INSPECCIONES REALIZADAS")</f>
        <v>INSPECCIONES REALIZADAS</v>
      </c>
      <c r="AH628" s="5"/>
    </row>
    <row r="629" spans="1:34">
      <c r="A629" s="5" t="str">
        <f ca="1">IFERROR(__xludf.DUMMYFUNCTION("""COMPUTED_VALUE"""),"LINEA DE ENVASADO TAMAÑO PERSONAL")</f>
        <v>LINEA DE ENVASADO TAMAÑO PERSONAL</v>
      </c>
      <c r="B629" s="5">
        <f ca="1">IFERROR(__xludf.DUMMYFUNCTION("""COMPUTED_VALUE"""),508169)</f>
        <v>508169</v>
      </c>
      <c r="C629" s="5" t="str">
        <f ca="1">IFERROR(__xludf.DUMMYFUNCTION("""COMPUTED_VALUE"""),"LAVADORA DE BOTELLAS")</f>
        <v>LAVADORA DE BOTELLAS</v>
      </c>
      <c r="D629" s="5">
        <f ca="1">IFERROR(__xludf.DUMMYFUNCTION("""COMPUTED_VALUE"""),13247627)</f>
        <v>13247627</v>
      </c>
      <c r="E629" s="5" t="str">
        <f ca="1">IFERROR(__xludf.DUMMYFUNCTION("""COMPUTED_VALUE"""),"INSPECCION SEMANAL LAVADORA DE BOTELLAS")</f>
        <v>INSPECCION SEMANAL LAVADORA DE BOTELLAS</v>
      </c>
      <c r="F629" s="5" t="str">
        <f ca="1">IFERROR(__xludf.DUMMYFUNCTION("""COMPUTED_VALUE"""),"Estado embrague cargue")</f>
        <v>Estado embrague cargue</v>
      </c>
      <c r="G629" s="5" t="b">
        <f ca="1">IFERROR(__xludf.DUMMYFUNCTION("""COMPUTED_VALUE"""),TRUE)</f>
        <v>1</v>
      </c>
      <c r="H629" s="5"/>
      <c r="I629" s="5"/>
      <c r="J629" s="5">
        <f ca="1">IFERROR(__xludf.DUMMYFUNCTION("""COMPUTED_VALUE"""),13247627)</f>
        <v>13247627</v>
      </c>
      <c r="K629" s="5"/>
      <c r="L629" s="18">
        <f ca="1">IFERROR(__xludf.DUMMYFUNCTION("""COMPUTED_VALUE"""),45324)</f>
        <v>45324</v>
      </c>
      <c r="M629" s="18">
        <f ca="1">IFERROR(__xludf.DUMMYFUNCTION("""COMPUTED_VALUE"""),45324)</f>
        <v>45324</v>
      </c>
      <c r="N629" s="5" t="str">
        <f ca="1">IFERROR(__xludf.DUMMYFUNCTION("""COMPUTED_VALUE"""),"Jimenez Jhon")</f>
        <v>Jimenez Jhon</v>
      </c>
      <c r="O629" s="2">
        <f ca="1">IFERROR(__xludf.DUMMYFUNCTION("""COMPUTED_VALUE"""),0.004)</f>
        <v>4.0000000000000001E-3</v>
      </c>
      <c r="P629" s="5">
        <f ca="1">IFERROR(__xludf.DUMMYFUNCTION("""COMPUTED_VALUE"""),20009855)</f>
        <v>20009855</v>
      </c>
      <c r="Q629" s="5" t="str">
        <f ca="1">IFERROR(__xludf.DUMMYFUNCTION("""COMPUTED_VALUE"""),"KrfyqDF5Sls")</f>
        <v>KrfyqDF5Sls</v>
      </c>
      <c r="R629" s="5">
        <f ca="1">IFERROR(__xludf.DUMMYFUNCTION("""COMPUTED_VALUE"""),410)</f>
        <v>410</v>
      </c>
      <c r="S629" s="62">
        <f ca="1">IFERROR(__xludf.DUMMYFUNCTION("""COMPUTED_VALUE"""),0.004)</f>
        <v>4.0000000000000001E-3</v>
      </c>
      <c r="T629" s="63" t="str">
        <f ca="1">IFERROR(__xludf.DUMMYFUNCTION("""COMPUTED_VALUE"""),"https://storage.googleapis.com/glide-prod.appspot.com/uploads-v2/ly7o78grxPaC6KdgvbpS/pub/3aRdSog0vUtuqPE8AJKD.png")</f>
        <v>https://storage.googleapis.com/glide-prod.appspot.com/uploads-v2/ly7o78grxPaC6KdgvbpS/pub/3aRdSog0vUtuqPE8AJKD.png</v>
      </c>
      <c r="U629" s="5" t="str">
        <f ca="1">IFERROR(__xludf.DUMMYFUNCTION("""COMPUTED_VALUE"""),"LINEA DE ENVASADO TAMAÑO PERSONALLAVADORA DE BOTELLAS")</f>
        <v>LINEA DE ENVASADO TAMAÑO PERSONALLAVADORA DE BOTELLAS</v>
      </c>
      <c r="V629" s="5"/>
      <c r="W629" s="5" t="b">
        <f ca="1">IFERROR(__xludf.DUMMYFUNCTION("""COMPUTED_VALUE"""),TRUE)</f>
        <v>1</v>
      </c>
      <c r="X629" s="5" t="str">
        <f ca="1">IFERROR(__xludf.DUMMYFUNCTION("""COMPUTED_VALUE"""),"wguerra@postobon.com.co,aprmttoyu@postobon.com.co,aprmyu@postobon.com.co,wmora@postobon.com.co,efzapata@postobon.com.co")</f>
        <v>wguerra@postobon.com.co,aprmttoyu@postobon.com.co,aprmyu@postobon.com.co,wmora@postobon.com.co,efzapata@postobon.com.co</v>
      </c>
      <c r="Y629" s="5" t="str">
        <f ca="1">IFERROR(__xludf.DUMMYFUNCTION("""COMPUTED_VALUE"""),"wguerra@postobon.com.co")</f>
        <v>wguerra@postobon.com.co</v>
      </c>
      <c r="Z629" s="5" t="str">
        <f ca="1">IFERROR(__xludf.DUMMYFUNCTION("""COMPUTED_VALUE"""),"NOHoSAGrSsGckzFINz4s6A")</f>
        <v>NOHoSAGrSsGckzFINz4s6A</v>
      </c>
      <c r="AA629" s="5"/>
      <c r="AB629" s="5"/>
      <c r="AC629" s="5"/>
      <c r="AD629" s="5">
        <f ca="1">IFERROR(__xludf.DUMMYFUNCTION("""COMPUTED_VALUE"""),68)</f>
        <v>68</v>
      </c>
      <c r="AE629" s="5">
        <f ca="1">IFERROR(__xludf.DUMMYFUNCTION("""COMPUTED_VALUE"""),68)</f>
        <v>68</v>
      </c>
      <c r="AF629" s="5" t="b">
        <f ca="1">IFERROR(__xludf.DUMMYFUNCTION("""COMPUTED_VALUE"""),FALSE)</f>
        <v>0</v>
      </c>
      <c r="AG629" s="5" t="str">
        <f ca="1">IFERROR(__xludf.DUMMYFUNCTION("""COMPUTED_VALUE"""),"INSPECCIONES REALIZADAS")</f>
        <v>INSPECCIONES REALIZADAS</v>
      </c>
      <c r="AH629" s="5"/>
    </row>
    <row r="630" spans="1:34">
      <c r="A630" s="5" t="str">
        <f ca="1">IFERROR(__xludf.DUMMYFUNCTION("""COMPUTED_VALUE"""),"LINEA DE ENVASADO TAMAÑO PERSONAL")</f>
        <v>LINEA DE ENVASADO TAMAÑO PERSONAL</v>
      </c>
      <c r="B630" s="5">
        <f ca="1">IFERROR(__xludf.DUMMYFUNCTION("""COMPUTED_VALUE"""),508169)</f>
        <v>508169</v>
      </c>
      <c r="C630" s="5" t="str">
        <f ca="1">IFERROR(__xludf.DUMMYFUNCTION("""COMPUTED_VALUE"""),"LAVADORA DE BOTELLAS")</f>
        <v>LAVADORA DE BOTELLAS</v>
      </c>
      <c r="D630" s="5">
        <f ca="1">IFERROR(__xludf.DUMMYFUNCTION("""COMPUTED_VALUE"""),13247627)</f>
        <v>13247627</v>
      </c>
      <c r="E630" s="5" t="str">
        <f ca="1">IFERROR(__xludf.DUMMYFUNCTION("""COMPUTED_VALUE"""),"INSPECCION SEMANAL LAVADORA DE BOTELLAS")</f>
        <v>INSPECCION SEMANAL LAVADORA DE BOTELLAS</v>
      </c>
      <c r="F630" s="5" t="str">
        <f ca="1">IFERROR(__xludf.DUMMYFUNCTION("""COMPUTED_VALUE"""),"Estados de las guías del cargue y descargue")</f>
        <v>Estados de las guías del cargue y descargue</v>
      </c>
      <c r="G630" s="5" t="b">
        <f ca="1">IFERROR(__xludf.DUMMYFUNCTION("""COMPUTED_VALUE"""),TRUE)</f>
        <v>1</v>
      </c>
      <c r="H630" s="5"/>
      <c r="I630" s="5"/>
      <c r="J630" s="5">
        <f ca="1">IFERROR(__xludf.DUMMYFUNCTION("""COMPUTED_VALUE"""),13247627)</f>
        <v>13247627</v>
      </c>
      <c r="K630" s="5"/>
      <c r="L630" s="18">
        <f ca="1">IFERROR(__xludf.DUMMYFUNCTION("""COMPUTED_VALUE"""),45324)</f>
        <v>45324</v>
      </c>
      <c r="M630" s="18">
        <f ca="1">IFERROR(__xludf.DUMMYFUNCTION("""COMPUTED_VALUE"""),45324)</f>
        <v>45324</v>
      </c>
      <c r="N630" s="5" t="str">
        <f ca="1">IFERROR(__xludf.DUMMYFUNCTION("""COMPUTED_VALUE"""),"Jimenez Jhon")</f>
        <v>Jimenez Jhon</v>
      </c>
      <c r="O630" s="2">
        <f ca="1">IFERROR(__xludf.DUMMYFUNCTION("""COMPUTED_VALUE"""),0.004)</f>
        <v>4.0000000000000001E-3</v>
      </c>
      <c r="P630" s="5">
        <f ca="1">IFERROR(__xludf.DUMMYFUNCTION("""COMPUTED_VALUE"""),20009855)</f>
        <v>20009855</v>
      </c>
      <c r="Q630" s="5" t="str">
        <f ca="1">IFERROR(__xludf.DUMMYFUNCTION("""COMPUTED_VALUE"""),"ojgSjWETqo0")</f>
        <v>ojgSjWETqo0</v>
      </c>
      <c r="R630" s="5">
        <f ca="1">IFERROR(__xludf.DUMMYFUNCTION("""COMPUTED_VALUE"""),410)</f>
        <v>410</v>
      </c>
      <c r="S630" s="62">
        <f ca="1">IFERROR(__xludf.DUMMYFUNCTION("""COMPUTED_VALUE"""),0.004)</f>
        <v>4.0000000000000001E-3</v>
      </c>
      <c r="T630" s="63" t="str">
        <f ca="1">IFERROR(__xludf.DUMMYFUNCTION("""COMPUTED_VALUE"""),"https://storage.googleapis.com/glide-prod.appspot.com/uploads-v2/ly7o78grxPaC6KdgvbpS/pub/3aRdSog0vUtuqPE8AJKD.png")</f>
        <v>https://storage.googleapis.com/glide-prod.appspot.com/uploads-v2/ly7o78grxPaC6KdgvbpS/pub/3aRdSog0vUtuqPE8AJKD.png</v>
      </c>
      <c r="U630" s="5" t="str">
        <f ca="1">IFERROR(__xludf.DUMMYFUNCTION("""COMPUTED_VALUE"""),"LINEA DE ENVASADO TAMAÑO PERSONALLAVADORA DE BOTELLAS")</f>
        <v>LINEA DE ENVASADO TAMAÑO PERSONALLAVADORA DE BOTELLAS</v>
      </c>
      <c r="V630" s="5"/>
      <c r="W630" s="5" t="b">
        <f ca="1">IFERROR(__xludf.DUMMYFUNCTION("""COMPUTED_VALUE"""),TRUE)</f>
        <v>1</v>
      </c>
      <c r="X630" s="5" t="str">
        <f ca="1">IFERROR(__xludf.DUMMYFUNCTION("""COMPUTED_VALUE"""),"wguerra@postobon.com.co,aprmttoyu@postobon.com.co,aprmyu@postobon.com.co,wmora@postobon.com.co,efzapata@postobon.com.co")</f>
        <v>wguerra@postobon.com.co,aprmttoyu@postobon.com.co,aprmyu@postobon.com.co,wmora@postobon.com.co,efzapata@postobon.com.co</v>
      </c>
      <c r="Y630" s="5" t="str">
        <f ca="1">IFERROR(__xludf.DUMMYFUNCTION("""COMPUTED_VALUE"""),"wguerra@postobon.com.co")</f>
        <v>wguerra@postobon.com.co</v>
      </c>
      <c r="Z630" s="5" t="str">
        <f ca="1">IFERROR(__xludf.DUMMYFUNCTION("""COMPUTED_VALUE"""),"ZAdnycXYSyu2j94E7jHDsg")</f>
        <v>ZAdnycXYSyu2j94E7jHDsg</v>
      </c>
      <c r="AA630" s="5"/>
      <c r="AB630" s="5"/>
      <c r="AC630" s="5"/>
      <c r="AD630" s="5">
        <f ca="1">IFERROR(__xludf.DUMMYFUNCTION("""COMPUTED_VALUE"""),68)</f>
        <v>68</v>
      </c>
      <c r="AE630" s="5">
        <f ca="1">IFERROR(__xludf.DUMMYFUNCTION("""COMPUTED_VALUE"""),68)</f>
        <v>68</v>
      </c>
      <c r="AF630" s="5" t="b">
        <f ca="1">IFERROR(__xludf.DUMMYFUNCTION("""COMPUTED_VALUE"""),FALSE)</f>
        <v>0</v>
      </c>
      <c r="AG630" s="5" t="str">
        <f ca="1">IFERROR(__xludf.DUMMYFUNCTION("""COMPUTED_VALUE"""),"INSPECCIONES REALIZADAS")</f>
        <v>INSPECCIONES REALIZADAS</v>
      </c>
      <c r="AH630" s="5"/>
    </row>
    <row r="631" spans="1:34">
      <c r="A631" s="5" t="str">
        <f ca="1">IFERROR(__xludf.DUMMYFUNCTION("""COMPUTED_VALUE"""),"LINEA DE ENVASADO TAMAÑO PERSONAL")</f>
        <v>LINEA DE ENVASADO TAMAÑO PERSONAL</v>
      </c>
      <c r="B631" s="5">
        <f ca="1">IFERROR(__xludf.DUMMYFUNCTION("""COMPUTED_VALUE"""),508169)</f>
        <v>508169</v>
      </c>
      <c r="C631" s="5" t="str">
        <f ca="1">IFERROR(__xludf.DUMMYFUNCTION("""COMPUTED_VALUE"""),"LAVADORA DE BOTELLAS")</f>
        <v>LAVADORA DE BOTELLAS</v>
      </c>
      <c r="D631" s="5">
        <f ca="1">IFERROR(__xludf.DUMMYFUNCTION("""COMPUTED_VALUE"""),13247627)</f>
        <v>13247627</v>
      </c>
      <c r="E631" s="5" t="str">
        <f ca="1">IFERROR(__xludf.DUMMYFUNCTION("""COMPUTED_VALUE"""),"INSPECCION SEMANAL LAVADORA DE BOTELLAS")</f>
        <v>INSPECCION SEMANAL LAVADORA DE BOTELLAS</v>
      </c>
      <c r="F631" s="5" t="str">
        <f ca="1">IFERROR(__xludf.DUMMYFUNCTION("""COMPUTED_VALUE"""),"Estado del flujo de agua en el pre-enjuague")</f>
        <v>Estado del flujo de agua en el pre-enjuague</v>
      </c>
      <c r="G631" s="5" t="b">
        <f ca="1">IFERROR(__xludf.DUMMYFUNCTION("""COMPUTED_VALUE"""),TRUE)</f>
        <v>1</v>
      </c>
      <c r="H631" s="5"/>
      <c r="I631" s="5"/>
      <c r="J631" s="5">
        <f ca="1">IFERROR(__xludf.DUMMYFUNCTION("""COMPUTED_VALUE"""),13247627)</f>
        <v>13247627</v>
      </c>
      <c r="K631" s="5"/>
      <c r="L631" s="18">
        <f ca="1">IFERROR(__xludf.DUMMYFUNCTION("""COMPUTED_VALUE"""),45324)</f>
        <v>45324</v>
      </c>
      <c r="M631" s="18">
        <f ca="1">IFERROR(__xludf.DUMMYFUNCTION("""COMPUTED_VALUE"""),45324)</f>
        <v>45324</v>
      </c>
      <c r="N631" s="5" t="str">
        <f ca="1">IFERROR(__xludf.DUMMYFUNCTION("""COMPUTED_VALUE"""),"Jimenez Jhon")</f>
        <v>Jimenez Jhon</v>
      </c>
      <c r="O631" s="2">
        <f ca="1">IFERROR(__xludf.DUMMYFUNCTION("""COMPUTED_VALUE"""),0.004)</f>
        <v>4.0000000000000001E-3</v>
      </c>
      <c r="P631" s="5">
        <f ca="1">IFERROR(__xludf.DUMMYFUNCTION("""COMPUTED_VALUE"""),20009855)</f>
        <v>20009855</v>
      </c>
      <c r="Q631" s="5" t="str">
        <f ca="1">IFERROR(__xludf.DUMMYFUNCTION("""COMPUTED_VALUE"""),"F6I3hfKJQ8M")</f>
        <v>F6I3hfKJQ8M</v>
      </c>
      <c r="R631" s="5">
        <f ca="1">IFERROR(__xludf.DUMMYFUNCTION("""COMPUTED_VALUE"""),410)</f>
        <v>410</v>
      </c>
      <c r="S631" s="62">
        <f ca="1">IFERROR(__xludf.DUMMYFUNCTION("""COMPUTED_VALUE"""),0.004)</f>
        <v>4.0000000000000001E-3</v>
      </c>
      <c r="T631" s="63" t="str">
        <f ca="1">IFERROR(__xludf.DUMMYFUNCTION("""COMPUTED_VALUE"""),"https://storage.googleapis.com/glide-prod.appspot.com/uploads-v2/ly7o78grxPaC6KdgvbpS/pub/3aRdSog0vUtuqPE8AJKD.png")</f>
        <v>https://storage.googleapis.com/glide-prod.appspot.com/uploads-v2/ly7o78grxPaC6KdgvbpS/pub/3aRdSog0vUtuqPE8AJKD.png</v>
      </c>
      <c r="U631" s="5" t="str">
        <f ca="1">IFERROR(__xludf.DUMMYFUNCTION("""COMPUTED_VALUE"""),"LINEA DE ENVASADO TAMAÑO PERSONALLAVADORA DE BOTELLAS")</f>
        <v>LINEA DE ENVASADO TAMAÑO PERSONALLAVADORA DE BOTELLAS</v>
      </c>
      <c r="V631" s="5"/>
      <c r="W631" s="5" t="b">
        <f ca="1">IFERROR(__xludf.DUMMYFUNCTION("""COMPUTED_VALUE"""),TRUE)</f>
        <v>1</v>
      </c>
      <c r="X631" s="5" t="str">
        <f ca="1">IFERROR(__xludf.DUMMYFUNCTION("""COMPUTED_VALUE"""),"wguerra@postobon.com.co,aprmttoyu@postobon.com.co,aprmyu@postobon.com.co,wmora@postobon.com.co,efzapata@postobon.com.co")</f>
        <v>wguerra@postobon.com.co,aprmttoyu@postobon.com.co,aprmyu@postobon.com.co,wmora@postobon.com.co,efzapata@postobon.com.co</v>
      </c>
      <c r="Y631" s="5" t="str">
        <f ca="1">IFERROR(__xludf.DUMMYFUNCTION("""COMPUTED_VALUE"""),"wguerra@postobon.com.co")</f>
        <v>wguerra@postobon.com.co</v>
      </c>
      <c r="Z631" s="5" t="str">
        <f ca="1">IFERROR(__xludf.DUMMYFUNCTION("""COMPUTED_VALUE"""),"7Ngu4OLHT52i1WQ3E2whzA")</f>
        <v>7Ngu4OLHT52i1WQ3E2whzA</v>
      </c>
      <c r="AA631" s="5"/>
      <c r="AB631" s="5"/>
      <c r="AC631" s="5"/>
      <c r="AD631" s="5">
        <f ca="1">IFERROR(__xludf.DUMMYFUNCTION("""COMPUTED_VALUE"""),68)</f>
        <v>68</v>
      </c>
      <c r="AE631" s="5">
        <f ca="1">IFERROR(__xludf.DUMMYFUNCTION("""COMPUTED_VALUE"""),68)</f>
        <v>68</v>
      </c>
      <c r="AF631" s="5" t="b">
        <f ca="1">IFERROR(__xludf.DUMMYFUNCTION("""COMPUTED_VALUE"""),FALSE)</f>
        <v>0</v>
      </c>
      <c r="AG631" s="5" t="str">
        <f ca="1">IFERROR(__xludf.DUMMYFUNCTION("""COMPUTED_VALUE"""),"INSPECCIONES REALIZADAS")</f>
        <v>INSPECCIONES REALIZADAS</v>
      </c>
      <c r="AH631" s="5"/>
    </row>
    <row r="632" spans="1:34">
      <c r="A632" s="5" t="str">
        <f ca="1">IFERROR(__xludf.DUMMYFUNCTION("""COMPUTED_VALUE"""),"LINEA DE ENVASADO TAMAÑO PERSONAL")</f>
        <v>LINEA DE ENVASADO TAMAÑO PERSONAL</v>
      </c>
      <c r="B632" s="5">
        <f ca="1">IFERROR(__xludf.DUMMYFUNCTION("""COMPUTED_VALUE"""),508169)</f>
        <v>508169</v>
      </c>
      <c r="C632" s="5" t="str">
        <f ca="1">IFERROR(__xludf.DUMMYFUNCTION("""COMPUTED_VALUE"""),"LAVADORA DE BOTELLAS")</f>
        <v>LAVADORA DE BOTELLAS</v>
      </c>
      <c r="D632" s="5">
        <f ca="1">IFERROR(__xludf.DUMMYFUNCTION("""COMPUTED_VALUE"""),13247627)</f>
        <v>13247627</v>
      </c>
      <c r="E632" s="5" t="str">
        <f ca="1">IFERROR(__xludf.DUMMYFUNCTION("""COMPUTED_VALUE"""),"INSPECCION SEMANAL LAVADORA DE BOTELLAS")</f>
        <v>INSPECCION SEMANAL LAVADORA DE BOTELLAS</v>
      </c>
      <c r="F632" s="5" t="str">
        <f ca="1">IFERROR(__xludf.DUMMYFUNCTION("""COMPUTED_VALUE"""),"Flujo de agua y centrado de boquillas enjuague")</f>
        <v>Flujo de agua y centrado de boquillas enjuague</v>
      </c>
      <c r="G632" s="5" t="b">
        <f ca="1">IFERROR(__xludf.DUMMYFUNCTION("""COMPUTED_VALUE"""),TRUE)</f>
        <v>1</v>
      </c>
      <c r="H632" s="5"/>
      <c r="I632" s="5"/>
      <c r="J632" s="5">
        <f ca="1">IFERROR(__xludf.DUMMYFUNCTION("""COMPUTED_VALUE"""),13247627)</f>
        <v>13247627</v>
      </c>
      <c r="K632" s="5"/>
      <c r="L632" s="18">
        <f ca="1">IFERROR(__xludf.DUMMYFUNCTION("""COMPUTED_VALUE"""),45324)</f>
        <v>45324</v>
      </c>
      <c r="M632" s="18">
        <f ca="1">IFERROR(__xludf.DUMMYFUNCTION("""COMPUTED_VALUE"""),45324)</f>
        <v>45324</v>
      </c>
      <c r="N632" s="5" t="str">
        <f ca="1">IFERROR(__xludf.DUMMYFUNCTION("""COMPUTED_VALUE"""),"Jimenez Jhon")</f>
        <v>Jimenez Jhon</v>
      </c>
      <c r="O632" s="2">
        <f ca="1">IFERROR(__xludf.DUMMYFUNCTION("""COMPUTED_VALUE"""),0.004)</f>
        <v>4.0000000000000001E-3</v>
      </c>
      <c r="P632" s="5">
        <f ca="1">IFERROR(__xludf.DUMMYFUNCTION("""COMPUTED_VALUE"""),20009855)</f>
        <v>20009855</v>
      </c>
      <c r="Q632" s="5" t="str">
        <f ca="1">IFERROR(__xludf.DUMMYFUNCTION("""COMPUTED_VALUE"""),"xKbk_OQzmDE")</f>
        <v>xKbk_OQzmDE</v>
      </c>
      <c r="R632" s="5">
        <f ca="1">IFERROR(__xludf.DUMMYFUNCTION("""COMPUTED_VALUE"""),410)</f>
        <v>410</v>
      </c>
      <c r="S632" s="62">
        <f ca="1">IFERROR(__xludf.DUMMYFUNCTION("""COMPUTED_VALUE"""),0.004)</f>
        <v>4.0000000000000001E-3</v>
      </c>
      <c r="T632" s="63" t="str">
        <f ca="1">IFERROR(__xludf.DUMMYFUNCTION("""COMPUTED_VALUE"""),"https://storage.googleapis.com/glide-prod.appspot.com/uploads-v2/ly7o78grxPaC6KdgvbpS/pub/3aRdSog0vUtuqPE8AJKD.png")</f>
        <v>https://storage.googleapis.com/glide-prod.appspot.com/uploads-v2/ly7o78grxPaC6KdgvbpS/pub/3aRdSog0vUtuqPE8AJKD.png</v>
      </c>
      <c r="U632" s="5" t="str">
        <f ca="1">IFERROR(__xludf.DUMMYFUNCTION("""COMPUTED_VALUE"""),"LINEA DE ENVASADO TAMAÑO PERSONALLAVADORA DE BOTELLAS")</f>
        <v>LINEA DE ENVASADO TAMAÑO PERSONALLAVADORA DE BOTELLAS</v>
      </c>
      <c r="V632" s="5"/>
      <c r="W632" s="5" t="b">
        <f ca="1">IFERROR(__xludf.DUMMYFUNCTION("""COMPUTED_VALUE"""),TRUE)</f>
        <v>1</v>
      </c>
      <c r="X632" s="5" t="str">
        <f ca="1">IFERROR(__xludf.DUMMYFUNCTION("""COMPUTED_VALUE"""),"wguerra@postobon.com.co,aprmttoyu@postobon.com.co,aprmyu@postobon.com.co,wmora@postobon.com.co,efzapata@postobon.com.co")</f>
        <v>wguerra@postobon.com.co,aprmttoyu@postobon.com.co,aprmyu@postobon.com.co,wmora@postobon.com.co,efzapata@postobon.com.co</v>
      </c>
      <c r="Y632" s="5" t="str">
        <f ca="1">IFERROR(__xludf.DUMMYFUNCTION("""COMPUTED_VALUE"""),"wguerra@postobon.com.co")</f>
        <v>wguerra@postobon.com.co</v>
      </c>
      <c r="Z632" s="5" t="str">
        <f ca="1">IFERROR(__xludf.DUMMYFUNCTION("""COMPUTED_VALUE"""),"eltd8c9US02rUB8AjXxVNA")</f>
        <v>eltd8c9US02rUB8AjXxVNA</v>
      </c>
      <c r="AA632" s="5"/>
      <c r="AB632" s="5"/>
      <c r="AC632" s="5"/>
      <c r="AD632" s="5">
        <f ca="1">IFERROR(__xludf.DUMMYFUNCTION("""COMPUTED_VALUE"""),68)</f>
        <v>68</v>
      </c>
      <c r="AE632" s="5">
        <f ca="1">IFERROR(__xludf.DUMMYFUNCTION("""COMPUTED_VALUE"""),68)</f>
        <v>68</v>
      </c>
      <c r="AF632" s="5" t="b">
        <f ca="1">IFERROR(__xludf.DUMMYFUNCTION("""COMPUTED_VALUE"""),FALSE)</f>
        <v>0</v>
      </c>
      <c r="AG632" s="5" t="str">
        <f ca="1">IFERROR(__xludf.DUMMYFUNCTION("""COMPUTED_VALUE"""),"INSPECCIONES REALIZADAS")</f>
        <v>INSPECCIONES REALIZADAS</v>
      </c>
      <c r="AH632" s="5"/>
    </row>
    <row r="633" spans="1:34">
      <c r="A633" s="5" t="str">
        <f ca="1">IFERROR(__xludf.DUMMYFUNCTION("""COMPUTED_VALUE"""),"LINEA DE ENVASADO TAMAÑO PERSONAL")</f>
        <v>LINEA DE ENVASADO TAMAÑO PERSONAL</v>
      </c>
      <c r="B633" s="5">
        <f ca="1">IFERROR(__xludf.DUMMYFUNCTION("""COMPUTED_VALUE"""),508169)</f>
        <v>508169</v>
      </c>
      <c r="C633" s="5" t="str">
        <f ca="1">IFERROR(__xludf.DUMMYFUNCTION("""COMPUTED_VALUE"""),"LAVADORA DE BOTELLAS")</f>
        <v>LAVADORA DE BOTELLAS</v>
      </c>
      <c r="D633" s="5">
        <f ca="1">IFERROR(__xludf.DUMMYFUNCTION("""COMPUTED_VALUE"""),13247627)</f>
        <v>13247627</v>
      </c>
      <c r="E633" s="5" t="str">
        <f ca="1">IFERROR(__xludf.DUMMYFUNCTION("""COMPUTED_VALUE"""),"INSPECCION SEMANAL LAVADORA DE BOTELLAS")</f>
        <v>INSPECCION SEMANAL LAVADORA DE BOTELLAS</v>
      </c>
      <c r="F633" s="5" t="str">
        <f ca="1">IFERROR(__xludf.DUMMYFUNCTION("""COMPUTED_VALUE"""),"Estado de motores y motobombas")</f>
        <v>Estado de motores y motobombas</v>
      </c>
      <c r="G633" s="5" t="b">
        <f ca="1">IFERROR(__xludf.DUMMYFUNCTION("""COMPUTED_VALUE"""),TRUE)</f>
        <v>1</v>
      </c>
      <c r="H633" s="5"/>
      <c r="I633" s="5"/>
      <c r="J633" s="5">
        <f ca="1">IFERROR(__xludf.DUMMYFUNCTION("""COMPUTED_VALUE"""),13247627)</f>
        <v>13247627</v>
      </c>
      <c r="K633" s="5"/>
      <c r="L633" s="18">
        <f ca="1">IFERROR(__xludf.DUMMYFUNCTION("""COMPUTED_VALUE"""),45324)</f>
        <v>45324</v>
      </c>
      <c r="M633" s="18">
        <f ca="1">IFERROR(__xludf.DUMMYFUNCTION("""COMPUTED_VALUE"""),45324)</f>
        <v>45324</v>
      </c>
      <c r="N633" s="5" t="str">
        <f ca="1">IFERROR(__xludf.DUMMYFUNCTION("""COMPUTED_VALUE"""),"Jimenez Jhon")</f>
        <v>Jimenez Jhon</v>
      </c>
      <c r="O633" s="2">
        <f ca="1">IFERROR(__xludf.DUMMYFUNCTION("""COMPUTED_VALUE"""),0.004)</f>
        <v>4.0000000000000001E-3</v>
      </c>
      <c r="P633" s="5">
        <f ca="1">IFERROR(__xludf.DUMMYFUNCTION("""COMPUTED_VALUE"""),20009855)</f>
        <v>20009855</v>
      </c>
      <c r="Q633" s="5" t="str">
        <f ca="1">IFERROR(__xludf.DUMMYFUNCTION("""COMPUTED_VALUE"""),"q_6FQ6P0Zu0")</f>
        <v>q_6FQ6P0Zu0</v>
      </c>
      <c r="R633" s="5">
        <f ca="1">IFERROR(__xludf.DUMMYFUNCTION("""COMPUTED_VALUE"""),410)</f>
        <v>410</v>
      </c>
      <c r="S633" s="62">
        <f ca="1">IFERROR(__xludf.DUMMYFUNCTION("""COMPUTED_VALUE"""),0.004)</f>
        <v>4.0000000000000001E-3</v>
      </c>
      <c r="T633" s="63" t="str">
        <f ca="1">IFERROR(__xludf.DUMMYFUNCTION("""COMPUTED_VALUE"""),"https://storage.googleapis.com/glide-prod.appspot.com/uploads-v2/ly7o78grxPaC6KdgvbpS/pub/3aRdSog0vUtuqPE8AJKD.png")</f>
        <v>https://storage.googleapis.com/glide-prod.appspot.com/uploads-v2/ly7o78grxPaC6KdgvbpS/pub/3aRdSog0vUtuqPE8AJKD.png</v>
      </c>
      <c r="U633" s="5" t="str">
        <f ca="1">IFERROR(__xludf.DUMMYFUNCTION("""COMPUTED_VALUE"""),"LINEA DE ENVASADO TAMAÑO PERSONALLAVADORA DE BOTELLAS")</f>
        <v>LINEA DE ENVASADO TAMAÑO PERSONALLAVADORA DE BOTELLAS</v>
      </c>
      <c r="V633" s="5"/>
      <c r="W633" s="5" t="b">
        <f ca="1">IFERROR(__xludf.DUMMYFUNCTION("""COMPUTED_VALUE"""),TRUE)</f>
        <v>1</v>
      </c>
      <c r="X633" s="5" t="str">
        <f ca="1">IFERROR(__xludf.DUMMYFUNCTION("""COMPUTED_VALUE"""),"wguerra@postobon.com.co,aprmttoyu@postobon.com.co,aprmyu@postobon.com.co,wmora@postobon.com.co,efzapata@postobon.com.co")</f>
        <v>wguerra@postobon.com.co,aprmttoyu@postobon.com.co,aprmyu@postobon.com.co,wmora@postobon.com.co,efzapata@postobon.com.co</v>
      </c>
      <c r="Y633" s="5" t="str">
        <f ca="1">IFERROR(__xludf.DUMMYFUNCTION("""COMPUTED_VALUE"""),"wguerra@postobon.com.co")</f>
        <v>wguerra@postobon.com.co</v>
      </c>
      <c r="Z633" s="5" t="str">
        <f ca="1">IFERROR(__xludf.DUMMYFUNCTION("""COMPUTED_VALUE"""),"2kWBRtAsRl6DFXAVzciM-w")</f>
        <v>2kWBRtAsRl6DFXAVzciM-w</v>
      </c>
      <c r="AA633" s="5"/>
      <c r="AB633" s="5"/>
      <c r="AC633" s="5"/>
      <c r="AD633" s="5">
        <f ca="1">IFERROR(__xludf.DUMMYFUNCTION("""COMPUTED_VALUE"""),68)</f>
        <v>68</v>
      </c>
      <c r="AE633" s="5">
        <f ca="1">IFERROR(__xludf.DUMMYFUNCTION("""COMPUTED_VALUE"""),68)</f>
        <v>68</v>
      </c>
      <c r="AF633" s="5" t="b">
        <f ca="1">IFERROR(__xludf.DUMMYFUNCTION("""COMPUTED_VALUE"""),FALSE)</f>
        <v>0</v>
      </c>
      <c r="AG633" s="5" t="str">
        <f ca="1">IFERROR(__xludf.DUMMYFUNCTION("""COMPUTED_VALUE"""),"INSPECCIONES REALIZADAS")</f>
        <v>INSPECCIONES REALIZADAS</v>
      </c>
      <c r="AH633" s="5"/>
    </row>
    <row r="634" spans="1:34">
      <c r="A634" s="5" t="str">
        <f ca="1">IFERROR(__xludf.DUMMYFUNCTION("""COMPUTED_VALUE"""),"LINEA DE ENVASADO TAMAÑO PERSONAL")</f>
        <v>LINEA DE ENVASADO TAMAÑO PERSONAL</v>
      </c>
      <c r="B634" s="5">
        <f ca="1">IFERROR(__xludf.DUMMYFUNCTION("""COMPUTED_VALUE"""),508169)</f>
        <v>508169</v>
      </c>
      <c r="C634" s="5" t="str">
        <f ca="1">IFERROR(__xludf.DUMMYFUNCTION("""COMPUTED_VALUE"""),"LAVADORA DE BOTELLAS")</f>
        <v>LAVADORA DE BOTELLAS</v>
      </c>
      <c r="D634" s="5">
        <f ca="1">IFERROR(__xludf.DUMMYFUNCTION("""COMPUTED_VALUE"""),13247627)</f>
        <v>13247627</v>
      </c>
      <c r="E634" s="5" t="str">
        <f ca="1">IFERROR(__xludf.DUMMYFUNCTION("""COMPUTED_VALUE"""),"INSPECCION SEMANAL LAVADORA DE BOTELLAS")</f>
        <v>INSPECCION SEMANAL LAVADORA DE BOTELLAS</v>
      </c>
      <c r="F634" s="5" t="str">
        <f ca="1">IFERROR(__xludf.DUMMYFUNCTION("""COMPUTED_VALUE"""),"Estado cajas reductoras")</f>
        <v>Estado cajas reductoras</v>
      </c>
      <c r="G634" s="5" t="b">
        <f ca="1">IFERROR(__xludf.DUMMYFUNCTION("""COMPUTED_VALUE"""),TRUE)</f>
        <v>1</v>
      </c>
      <c r="H634" s="5"/>
      <c r="I634" s="5"/>
      <c r="J634" s="5">
        <f ca="1">IFERROR(__xludf.DUMMYFUNCTION("""COMPUTED_VALUE"""),13247627)</f>
        <v>13247627</v>
      </c>
      <c r="K634" s="5"/>
      <c r="L634" s="18">
        <f ca="1">IFERROR(__xludf.DUMMYFUNCTION("""COMPUTED_VALUE"""),45324)</f>
        <v>45324</v>
      </c>
      <c r="M634" s="18">
        <f ca="1">IFERROR(__xludf.DUMMYFUNCTION("""COMPUTED_VALUE"""),45324)</f>
        <v>45324</v>
      </c>
      <c r="N634" s="5" t="str">
        <f ca="1">IFERROR(__xludf.DUMMYFUNCTION("""COMPUTED_VALUE"""),"Jimenez Jhon")</f>
        <v>Jimenez Jhon</v>
      </c>
      <c r="O634" s="2">
        <f ca="1">IFERROR(__xludf.DUMMYFUNCTION("""COMPUTED_VALUE"""),0.004)</f>
        <v>4.0000000000000001E-3</v>
      </c>
      <c r="P634" s="5">
        <f ca="1">IFERROR(__xludf.DUMMYFUNCTION("""COMPUTED_VALUE"""),20009855)</f>
        <v>20009855</v>
      </c>
      <c r="Q634" s="5" t="str">
        <f ca="1">IFERROR(__xludf.DUMMYFUNCTION("""COMPUTED_VALUE"""),"Ev7wvoSheDs")</f>
        <v>Ev7wvoSheDs</v>
      </c>
      <c r="R634" s="5">
        <f ca="1">IFERROR(__xludf.DUMMYFUNCTION("""COMPUTED_VALUE"""),410)</f>
        <v>410</v>
      </c>
      <c r="S634" s="62">
        <f ca="1">IFERROR(__xludf.DUMMYFUNCTION("""COMPUTED_VALUE"""),0.004)</f>
        <v>4.0000000000000001E-3</v>
      </c>
      <c r="T634" s="63" t="str">
        <f ca="1">IFERROR(__xludf.DUMMYFUNCTION("""COMPUTED_VALUE"""),"https://storage.googleapis.com/glide-prod.appspot.com/uploads-v2/ly7o78grxPaC6KdgvbpS/pub/3aRdSog0vUtuqPE8AJKD.png")</f>
        <v>https://storage.googleapis.com/glide-prod.appspot.com/uploads-v2/ly7o78grxPaC6KdgvbpS/pub/3aRdSog0vUtuqPE8AJKD.png</v>
      </c>
      <c r="U634" s="5" t="str">
        <f ca="1">IFERROR(__xludf.DUMMYFUNCTION("""COMPUTED_VALUE"""),"LINEA DE ENVASADO TAMAÑO PERSONALLAVADORA DE BOTELLAS")</f>
        <v>LINEA DE ENVASADO TAMAÑO PERSONALLAVADORA DE BOTELLAS</v>
      </c>
      <c r="V634" s="5"/>
      <c r="W634" s="5" t="b">
        <f ca="1">IFERROR(__xludf.DUMMYFUNCTION("""COMPUTED_VALUE"""),TRUE)</f>
        <v>1</v>
      </c>
      <c r="X634" s="5" t="str">
        <f ca="1">IFERROR(__xludf.DUMMYFUNCTION("""COMPUTED_VALUE"""),"wguerra@postobon.com.co,aprmttoyu@postobon.com.co,aprmyu@postobon.com.co,wmora@postobon.com.co,efzapata@postobon.com.co")</f>
        <v>wguerra@postobon.com.co,aprmttoyu@postobon.com.co,aprmyu@postobon.com.co,wmora@postobon.com.co,efzapata@postobon.com.co</v>
      </c>
      <c r="Y634" s="5" t="str">
        <f ca="1">IFERROR(__xludf.DUMMYFUNCTION("""COMPUTED_VALUE"""),"wguerra@postobon.com.co")</f>
        <v>wguerra@postobon.com.co</v>
      </c>
      <c r="Z634" s="5" t="str">
        <f ca="1">IFERROR(__xludf.DUMMYFUNCTION("""COMPUTED_VALUE"""),"xLjq.nSOQB-J1vPfNMl1jA")</f>
        <v>xLjq.nSOQB-J1vPfNMl1jA</v>
      </c>
      <c r="AA634" s="5"/>
      <c r="AB634" s="5"/>
      <c r="AC634" s="5"/>
      <c r="AD634" s="5">
        <f ca="1">IFERROR(__xludf.DUMMYFUNCTION("""COMPUTED_VALUE"""),68)</f>
        <v>68</v>
      </c>
      <c r="AE634" s="5">
        <f ca="1">IFERROR(__xludf.DUMMYFUNCTION("""COMPUTED_VALUE"""),68)</f>
        <v>68</v>
      </c>
      <c r="AF634" s="5" t="b">
        <f ca="1">IFERROR(__xludf.DUMMYFUNCTION("""COMPUTED_VALUE"""),FALSE)</f>
        <v>0</v>
      </c>
      <c r="AG634" s="5" t="str">
        <f ca="1">IFERROR(__xludf.DUMMYFUNCTION("""COMPUTED_VALUE"""),"INSPECCIONES REALIZADAS")</f>
        <v>INSPECCIONES REALIZADAS</v>
      </c>
      <c r="AH634" s="5"/>
    </row>
    <row r="635" spans="1:34">
      <c r="A635" s="5" t="str">
        <f ca="1">IFERROR(__xludf.DUMMYFUNCTION("""COMPUTED_VALUE"""),"LINEA DE ENVASADO TAMAÑO PERSONAL")</f>
        <v>LINEA DE ENVASADO TAMAÑO PERSONAL</v>
      </c>
      <c r="B635" s="5">
        <f ca="1">IFERROR(__xludf.DUMMYFUNCTION("""COMPUTED_VALUE"""),508169)</f>
        <v>508169</v>
      </c>
      <c r="C635" s="5" t="str">
        <f ca="1">IFERROR(__xludf.DUMMYFUNCTION("""COMPUTED_VALUE"""),"LAVADORA DE BOTELLAS")</f>
        <v>LAVADORA DE BOTELLAS</v>
      </c>
      <c r="D635" s="5">
        <f ca="1">IFERROR(__xludf.DUMMYFUNCTION("""COMPUTED_VALUE"""),13247627)</f>
        <v>13247627</v>
      </c>
      <c r="E635" s="5" t="str">
        <f ca="1">IFERROR(__xludf.DUMMYFUNCTION("""COMPUTED_VALUE"""),"INSPECCION SEMANAL LAVADORA DE BOTELLAS")</f>
        <v>INSPECCION SEMANAL LAVADORA DE BOTELLAS</v>
      </c>
      <c r="F635" s="5" t="str">
        <f ca="1">IFERROR(__xludf.DUMMYFUNCTION("""COMPUTED_VALUE"""),"Estado de las cortinas descarga")</f>
        <v>Estado de las cortinas descarga</v>
      </c>
      <c r="G635" s="5" t="b">
        <f ca="1">IFERROR(__xludf.DUMMYFUNCTION("""COMPUTED_VALUE"""),TRUE)</f>
        <v>1</v>
      </c>
      <c r="H635" s="5"/>
      <c r="I635" s="5"/>
      <c r="J635" s="5">
        <f ca="1">IFERROR(__xludf.DUMMYFUNCTION("""COMPUTED_VALUE"""),13247627)</f>
        <v>13247627</v>
      </c>
      <c r="K635" s="5"/>
      <c r="L635" s="18">
        <f ca="1">IFERROR(__xludf.DUMMYFUNCTION("""COMPUTED_VALUE"""),45324)</f>
        <v>45324</v>
      </c>
      <c r="M635" s="18">
        <f ca="1">IFERROR(__xludf.DUMMYFUNCTION("""COMPUTED_VALUE"""),45324)</f>
        <v>45324</v>
      </c>
      <c r="N635" s="5" t="str">
        <f ca="1">IFERROR(__xludf.DUMMYFUNCTION("""COMPUTED_VALUE"""),"Jimenez Jhon")</f>
        <v>Jimenez Jhon</v>
      </c>
      <c r="O635" s="2">
        <f ca="1">IFERROR(__xludf.DUMMYFUNCTION("""COMPUTED_VALUE"""),0.004)</f>
        <v>4.0000000000000001E-3</v>
      </c>
      <c r="P635" s="5">
        <f ca="1">IFERROR(__xludf.DUMMYFUNCTION("""COMPUTED_VALUE"""),20009855)</f>
        <v>20009855</v>
      </c>
      <c r="Q635" s="5" t="str">
        <f ca="1">IFERROR(__xludf.DUMMYFUNCTION("""COMPUTED_VALUE"""),"3WoIw7qc05c")</f>
        <v>3WoIw7qc05c</v>
      </c>
      <c r="R635" s="5">
        <f ca="1">IFERROR(__xludf.DUMMYFUNCTION("""COMPUTED_VALUE"""),410)</f>
        <v>410</v>
      </c>
      <c r="S635" s="62">
        <f ca="1">IFERROR(__xludf.DUMMYFUNCTION("""COMPUTED_VALUE"""),0.004)</f>
        <v>4.0000000000000001E-3</v>
      </c>
      <c r="T635" s="63" t="str">
        <f ca="1">IFERROR(__xludf.DUMMYFUNCTION("""COMPUTED_VALUE"""),"https://storage.googleapis.com/glide-prod.appspot.com/uploads-v2/ly7o78grxPaC6KdgvbpS/pub/3aRdSog0vUtuqPE8AJKD.png")</f>
        <v>https://storage.googleapis.com/glide-prod.appspot.com/uploads-v2/ly7o78grxPaC6KdgvbpS/pub/3aRdSog0vUtuqPE8AJKD.png</v>
      </c>
      <c r="U635" s="5" t="str">
        <f ca="1">IFERROR(__xludf.DUMMYFUNCTION("""COMPUTED_VALUE"""),"LINEA DE ENVASADO TAMAÑO PERSONALLAVADORA DE BOTELLAS")</f>
        <v>LINEA DE ENVASADO TAMAÑO PERSONALLAVADORA DE BOTELLAS</v>
      </c>
      <c r="V635" s="5"/>
      <c r="W635" s="5" t="b">
        <f ca="1">IFERROR(__xludf.DUMMYFUNCTION("""COMPUTED_VALUE"""),TRUE)</f>
        <v>1</v>
      </c>
      <c r="X635" s="5" t="str">
        <f ca="1">IFERROR(__xludf.DUMMYFUNCTION("""COMPUTED_VALUE"""),"wguerra@postobon.com.co,aprmttoyu@postobon.com.co,aprmyu@postobon.com.co,wmora@postobon.com.co,efzapata@postobon.com.co")</f>
        <v>wguerra@postobon.com.co,aprmttoyu@postobon.com.co,aprmyu@postobon.com.co,wmora@postobon.com.co,efzapata@postobon.com.co</v>
      </c>
      <c r="Y635" s="5" t="str">
        <f ca="1">IFERROR(__xludf.DUMMYFUNCTION("""COMPUTED_VALUE"""),"wguerra@postobon.com.co")</f>
        <v>wguerra@postobon.com.co</v>
      </c>
      <c r="Z635" s="5" t="str">
        <f ca="1">IFERROR(__xludf.DUMMYFUNCTION("""COMPUTED_VALUE"""),"xIOPaU7QToiXzhIpzunwvg")</f>
        <v>xIOPaU7QToiXzhIpzunwvg</v>
      </c>
      <c r="AA635" s="5"/>
      <c r="AB635" s="5"/>
      <c r="AC635" s="5"/>
      <c r="AD635" s="5">
        <f ca="1">IFERROR(__xludf.DUMMYFUNCTION("""COMPUTED_VALUE"""),68)</f>
        <v>68</v>
      </c>
      <c r="AE635" s="5">
        <f ca="1">IFERROR(__xludf.DUMMYFUNCTION("""COMPUTED_VALUE"""),68)</f>
        <v>68</v>
      </c>
      <c r="AF635" s="5" t="b">
        <f ca="1">IFERROR(__xludf.DUMMYFUNCTION("""COMPUTED_VALUE"""),FALSE)</f>
        <v>0</v>
      </c>
      <c r="AG635" s="5" t="str">
        <f ca="1">IFERROR(__xludf.DUMMYFUNCTION("""COMPUTED_VALUE"""),"INSPECCIONES REALIZADAS")</f>
        <v>INSPECCIONES REALIZADAS</v>
      </c>
      <c r="AH635" s="5"/>
    </row>
    <row r="636" spans="1:34">
      <c r="A636" s="5" t="str">
        <f ca="1">IFERROR(__xludf.DUMMYFUNCTION("""COMPUTED_VALUE"""),"LINEA DE ENVASADO TAMAÑO PERSONAL")</f>
        <v>LINEA DE ENVASADO TAMAÑO PERSONAL</v>
      </c>
      <c r="B636" s="5">
        <f ca="1">IFERROR(__xludf.DUMMYFUNCTION("""COMPUTED_VALUE"""),508169)</f>
        <v>508169</v>
      </c>
      <c r="C636" s="5" t="str">
        <f ca="1">IFERROR(__xludf.DUMMYFUNCTION("""COMPUTED_VALUE"""),"LAVADORA DE BOTELLAS")</f>
        <v>LAVADORA DE BOTELLAS</v>
      </c>
      <c r="D636" s="5">
        <f ca="1">IFERROR(__xludf.DUMMYFUNCTION("""COMPUTED_VALUE"""),13247627)</f>
        <v>13247627</v>
      </c>
      <c r="E636" s="5" t="str">
        <f ca="1">IFERROR(__xludf.DUMMYFUNCTION("""COMPUTED_VALUE"""),"INSPECCION SEMANAL LAVADORA DE BOTELLAS")</f>
        <v>INSPECCION SEMANAL LAVADORA DE BOTELLAS</v>
      </c>
      <c r="F636" s="5" t="str">
        <f ca="1">IFERROR(__xludf.DUMMYFUNCTION("""COMPUTED_VALUE"""),"Estado embrague descargue")</f>
        <v>Estado embrague descargue</v>
      </c>
      <c r="G636" s="5" t="b">
        <f ca="1">IFERROR(__xludf.DUMMYFUNCTION("""COMPUTED_VALUE"""),TRUE)</f>
        <v>1</v>
      </c>
      <c r="H636" s="5"/>
      <c r="I636" s="5"/>
      <c r="J636" s="5">
        <f ca="1">IFERROR(__xludf.DUMMYFUNCTION("""COMPUTED_VALUE"""),13247627)</f>
        <v>13247627</v>
      </c>
      <c r="K636" s="5"/>
      <c r="L636" s="18">
        <f ca="1">IFERROR(__xludf.DUMMYFUNCTION("""COMPUTED_VALUE"""),45324)</f>
        <v>45324</v>
      </c>
      <c r="M636" s="18">
        <f ca="1">IFERROR(__xludf.DUMMYFUNCTION("""COMPUTED_VALUE"""),45324)</f>
        <v>45324</v>
      </c>
      <c r="N636" s="5" t="str">
        <f ca="1">IFERROR(__xludf.DUMMYFUNCTION("""COMPUTED_VALUE"""),"Jimenez Jhon")</f>
        <v>Jimenez Jhon</v>
      </c>
      <c r="O636" s="2">
        <f ca="1">IFERROR(__xludf.DUMMYFUNCTION("""COMPUTED_VALUE"""),0.004)</f>
        <v>4.0000000000000001E-3</v>
      </c>
      <c r="P636" s="5">
        <f ca="1">IFERROR(__xludf.DUMMYFUNCTION("""COMPUTED_VALUE"""),20009855)</f>
        <v>20009855</v>
      </c>
      <c r="Q636" s="5" t="str">
        <f ca="1">IFERROR(__xludf.DUMMYFUNCTION("""COMPUTED_VALUE"""),"ecq7LM3dDqQ")</f>
        <v>ecq7LM3dDqQ</v>
      </c>
      <c r="R636" s="5">
        <f ca="1">IFERROR(__xludf.DUMMYFUNCTION("""COMPUTED_VALUE"""),410)</f>
        <v>410</v>
      </c>
      <c r="S636" s="62">
        <f ca="1">IFERROR(__xludf.DUMMYFUNCTION("""COMPUTED_VALUE"""),0.004)</f>
        <v>4.0000000000000001E-3</v>
      </c>
      <c r="T636" s="63" t="str">
        <f ca="1">IFERROR(__xludf.DUMMYFUNCTION("""COMPUTED_VALUE"""),"https://storage.googleapis.com/glide-prod.appspot.com/uploads-v2/ly7o78grxPaC6KdgvbpS/pub/3aRdSog0vUtuqPE8AJKD.png")</f>
        <v>https://storage.googleapis.com/glide-prod.appspot.com/uploads-v2/ly7o78grxPaC6KdgvbpS/pub/3aRdSog0vUtuqPE8AJKD.png</v>
      </c>
      <c r="U636" s="5" t="str">
        <f ca="1">IFERROR(__xludf.DUMMYFUNCTION("""COMPUTED_VALUE"""),"LINEA DE ENVASADO TAMAÑO PERSONALLAVADORA DE BOTELLAS")</f>
        <v>LINEA DE ENVASADO TAMAÑO PERSONALLAVADORA DE BOTELLAS</v>
      </c>
      <c r="V636" s="5"/>
      <c r="W636" s="5" t="b">
        <f ca="1">IFERROR(__xludf.DUMMYFUNCTION("""COMPUTED_VALUE"""),TRUE)</f>
        <v>1</v>
      </c>
      <c r="X636" s="5" t="str">
        <f ca="1">IFERROR(__xludf.DUMMYFUNCTION("""COMPUTED_VALUE"""),"wguerra@postobon.com.co,aprmttoyu@postobon.com.co,aprmyu@postobon.com.co,wmora@postobon.com.co,efzapata@postobon.com.co")</f>
        <v>wguerra@postobon.com.co,aprmttoyu@postobon.com.co,aprmyu@postobon.com.co,wmora@postobon.com.co,efzapata@postobon.com.co</v>
      </c>
      <c r="Y636" s="5" t="str">
        <f ca="1">IFERROR(__xludf.DUMMYFUNCTION("""COMPUTED_VALUE"""),"wguerra@postobon.com.co")</f>
        <v>wguerra@postobon.com.co</v>
      </c>
      <c r="Z636" s="5" t="str">
        <f ca="1">IFERROR(__xludf.DUMMYFUNCTION("""COMPUTED_VALUE"""),"A.kYeykLRSiDVRRsX1ftBw")</f>
        <v>A.kYeykLRSiDVRRsX1ftBw</v>
      </c>
      <c r="AA636" s="5"/>
      <c r="AB636" s="5"/>
      <c r="AC636" s="5"/>
      <c r="AD636" s="5">
        <f ca="1">IFERROR(__xludf.DUMMYFUNCTION("""COMPUTED_VALUE"""),68)</f>
        <v>68</v>
      </c>
      <c r="AE636" s="5">
        <f ca="1">IFERROR(__xludf.DUMMYFUNCTION("""COMPUTED_VALUE"""),68)</f>
        <v>68</v>
      </c>
      <c r="AF636" s="5" t="b">
        <f ca="1">IFERROR(__xludf.DUMMYFUNCTION("""COMPUTED_VALUE"""),FALSE)</f>
        <v>0</v>
      </c>
      <c r="AG636" s="5" t="str">
        <f ca="1">IFERROR(__xludf.DUMMYFUNCTION("""COMPUTED_VALUE"""),"INSPECCIONES REALIZADAS")</f>
        <v>INSPECCIONES REALIZADAS</v>
      </c>
      <c r="AH636" s="5"/>
    </row>
    <row r="637" spans="1:34">
      <c r="A637" s="5" t="str">
        <f ca="1">IFERROR(__xludf.DUMMYFUNCTION("""COMPUTED_VALUE"""),"LINEA DE ENVASADO TAMAÑO PERSONAL")</f>
        <v>LINEA DE ENVASADO TAMAÑO PERSONAL</v>
      </c>
      <c r="B637" s="5">
        <f ca="1">IFERROR(__xludf.DUMMYFUNCTION("""COMPUTED_VALUE"""),508169)</f>
        <v>508169</v>
      </c>
      <c r="C637" s="5" t="str">
        <f ca="1">IFERROR(__xludf.DUMMYFUNCTION("""COMPUTED_VALUE"""),"LAVADORA DE BOTELLAS")</f>
        <v>LAVADORA DE BOTELLAS</v>
      </c>
      <c r="D637" s="5">
        <f ca="1">IFERROR(__xludf.DUMMYFUNCTION("""COMPUTED_VALUE"""),13247627)</f>
        <v>13247627</v>
      </c>
      <c r="E637" s="5" t="str">
        <f ca="1">IFERROR(__xludf.DUMMYFUNCTION("""COMPUTED_VALUE"""),"INSPECCION SEMANAL LAVADORA DE BOTELLAS")</f>
        <v>INSPECCION SEMANAL LAVADORA DE BOTELLAS</v>
      </c>
      <c r="F637" s="5" t="str">
        <f ca="1">IFERROR(__xludf.DUMMYFUNCTION("""COMPUTED_VALUE"""),"Estado de flautas pre-rinse")</f>
        <v>Estado de flautas pre-rinse</v>
      </c>
      <c r="G637" s="5" t="b">
        <f ca="1">IFERROR(__xludf.DUMMYFUNCTION("""COMPUTED_VALUE"""),TRUE)</f>
        <v>1</v>
      </c>
      <c r="H637" s="5"/>
      <c r="I637" s="5"/>
      <c r="J637" s="5">
        <f ca="1">IFERROR(__xludf.DUMMYFUNCTION("""COMPUTED_VALUE"""),13247627)</f>
        <v>13247627</v>
      </c>
      <c r="K637" s="5"/>
      <c r="L637" s="18">
        <f ca="1">IFERROR(__xludf.DUMMYFUNCTION("""COMPUTED_VALUE"""),45324)</f>
        <v>45324</v>
      </c>
      <c r="M637" s="18">
        <f ca="1">IFERROR(__xludf.DUMMYFUNCTION("""COMPUTED_VALUE"""),45324)</f>
        <v>45324</v>
      </c>
      <c r="N637" s="5" t="str">
        <f ca="1">IFERROR(__xludf.DUMMYFUNCTION("""COMPUTED_VALUE"""),"Jimenez Jhon")</f>
        <v>Jimenez Jhon</v>
      </c>
      <c r="O637" s="2">
        <f ca="1">IFERROR(__xludf.DUMMYFUNCTION("""COMPUTED_VALUE"""),0.004)</f>
        <v>4.0000000000000001E-3</v>
      </c>
      <c r="P637" s="5">
        <f ca="1">IFERROR(__xludf.DUMMYFUNCTION("""COMPUTED_VALUE"""),20009855)</f>
        <v>20009855</v>
      </c>
      <c r="Q637" s="5" t="str">
        <f ca="1">IFERROR(__xludf.DUMMYFUNCTION("""COMPUTED_VALUE"""),"2jTeyR4ujVs")</f>
        <v>2jTeyR4ujVs</v>
      </c>
      <c r="R637" s="5">
        <f ca="1">IFERROR(__xludf.DUMMYFUNCTION("""COMPUTED_VALUE"""),410)</f>
        <v>410</v>
      </c>
      <c r="S637" s="62">
        <f ca="1">IFERROR(__xludf.DUMMYFUNCTION("""COMPUTED_VALUE"""),0.004)</f>
        <v>4.0000000000000001E-3</v>
      </c>
      <c r="T637" s="63" t="str">
        <f ca="1">IFERROR(__xludf.DUMMYFUNCTION("""COMPUTED_VALUE"""),"https://storage.googleapis.com/glide-prod.appspot.com/uploads-v2/ly7o78grxPaC6KdgvbpS/pub/3aRdSog0vUtuqPE8AJKD.png")</f>
        <v>https://storage.googleapis.com/glide-prod.appspot.com/uploads-v2/ly7o78grxPaC6KdgvbpS/pub/3aRdSog0vUtuqPE8AJKD.png</v>
      </c>
      <c r="U637" s="5" t="str">
        <f ca="1">IFERROR(__xludf.DUMMYFUNCTION("""COMPUTED_VALUE"""),"LINEA DE ENVASADO TAMAÑO PERSONALLAVADORA DE BOTELLAS")</f>
        <v>LINEA DE ENVASADO TAMAÑO PERSONALLAVADORA DE BOTELLAS</v>
      </c>
      <c r="V637" s="5"/>
      <c r="W637" s="5" t="b">
        <f ca="1">IFERROR(__xludf.DUMMYFUNCTION("""COMPUTED_VALUE"""),TRUE)</f>
        <v>1</v>
      </c>
      <c r="X637" s="5" t="str">
        <f ca="1">IFERROR(__xludf.DUMMYFUNCTION("""COMPUTED_VALUE"""),"wguerra@postobon.com.co,aprmttoyu@postobon.com.co,aprmyu@postobon.com.co,wmora@postobon.com.co,efzapata@postobon.com.co")</f>
        <v>wguerra@postobon.com.co,aprmttoyu@postobon.com.co,aprmyu@postobon.com.co,wmora@postobon.com.co,efzapata@postobon.com.co</v>
      </c>
      <c r="Y637" s="5" t="str">
        <f ca="1">IFERROR(__xludf.DUMMYFUNCTION("""COMPUTED_VALUE"""),"wguerra@postobon.com.co")</f>
        <v>wguerra@postobon.com.co</v>
      </c>
      <c r="Z637" s="5" t="str">
        <f ca="1">IFERROR(__xludf.DUMMYFUNCTION("""COMPUTED_VALUE"""),"ezLr8KVMTrO3Ky7Pb5jPsQ")</f>
        <v>ezLr8KVMTrO3Ky7Pb5jPsQ</v>
      </c>
      <c r="AA637" s="5"/>
      <c r="AB637" s="5"/>
      <c r="AC637" s="5"/>
      <c r="AD637" s="5">
        <f ca="1">IFERROR(__xludf.DUMMYFUNCTION("""COMPUTED_VALUE"""),68)</f>
        <v>68</v>
      </c>
      <c r="AE637" s="5">
        <f ca="1">IFERROR(__xludf.DUMMYFUNCTION("""COMPUTED_VALUE"""),68)</f>
        <v>68</v>
      </c>
      <c r="AF637" s="5" t="b">
        <f ca="1">IFERROR(__xludf.DUMMYFUNCTION("""COMPUTED_VALUE"""),FALSE)</f>
        <v>0</v>
      </c>
      <c r="AG637" s="5" t="str">
        <f ca="1">IFERROR(__xludf.DUMMYFUNCTION("""COMPUTED_VALUE"""),"INSPECCIONES REALIZADAS")</f>
        <v>INSPECCIONES REALIZADAS</v>
      </c>
      <c r="AH637" s="5"/>
    </row>
    <row r="638" spans="1:34">
      <c r="A638" s="5" t="str">
        <f ca="1">IFERROR(__xludf.DUMMYFUNCTION("""COMPUTED_VALUE"""),"LINEA DE ENVASADO TAMAÑO PERSONAL")</f>
        <v>LINEA DE ENVASADO TAMAÑO PERSONAL</v>
      </c>
      <c r="B638" s="5">
        <f ca="1">IFERROR(__xludf.DUMMYFUNCTION("""COMPUTED_VALUE"""),508169)</f>
        <v>508169</v>
      </c>
      <c r="C638" s="5" t="str">
        <f ca="1">IFERROR(__xludf.DUMMYFUNCTION("""COMPUTED_VALUE"""),"LAVADORA DE BOTELLAS")</f>
        <v>LAVADORA DE BOTELLAS</v>
      </c>
      <c r="D638" s="5">
        <f ca="1">IFERROR(__xludf.DUMMYFUNCTION("""COMPUTED_VALUE"""),13247627)</f>
        <v>13247627</v>
      </c>
      <c r="E638" s="5" t="str">
        <f ca="1">IFERROR(__xludf.DUMMYFUNCTION("""COMPUTED_VALUE"""),"INSPECCION SEMANAL LAVADORA DE BOTELLAS")</f>
        <v>INSPECCION SEMANAL LAVADORA DE BOTELLAS</v>
      </c>
      <c r="F638" s="5" t="str">
        <f ca="1">IFERROR(__xludf.DUMMYFUNCTION("""COMPUTED_VALUE"""),"Fugas (aceite, agua, aire y soda)")</f>
        <v>Fugas (aceite, agua, aire y soda)</v>
      </c>
      <c r="G638" s="5" t="b">
        <f ca="1">IFERROR(__xludf.DUMMYFUNCTION("""COMPUTED_VALUE"""),TRUE)</f>
        <v>1</v>
      </c>
      <c r="H638" s="5"/>
      <c r="I638" s="5"/>
      <c r="J638" s="5">
        <f ca="1">IFERROR(__xludf.DUMMYFUNCTION("""COMPUTED_VALUE"""),13247627)</f>
        <v>13247627</v>
      </c>
      <c r="K638" s="5"/>
      <c r="L638" s="18">
        <f ca="1">IFERROR(__xludf.DUMMYFUNCTION("""COMPUTED_VALUE"""),45324)</f>
        <v>45324</v>
      </c>
      <c r="M638" s="18">
        <f ca="1">IFERROR(__xludf.DUMMYFUNCTION("""COMPUTED_VALUE"""),45324)</f>
        <v>45324</v>
      </c>
      <c r="N638" s="5" t="str">
        <f ca="1">IFERROR(__xludf.DUMMYFUNCTION("""COMPUTED_VALUE"""),"Jimenez Jhon")</f>
        <v>Jimenez Jhon</v>
      </c>
      <c r="O638" s="2">
        <f ca="1">IFERROR(__xludf.DUMMYFUNCTION("""COMPUTED_VALUE"""),0.004)</f>
        <v>4.0000000000000001E-3</v>
      </c>
      <c r="P638" s="5">
        <f ca="1">IFERROR(__xludf.DUMMYFUNCTION("""COMPUTED_VALUE"""),20009855)</f>
        <v>20009855</v>
      </c>
      <c r="Q638" s="5" t="str">
        <f ca="1">IFERROR(__xludf.DUMMYFUNCTION("""COMPUTED_VALUE"""),"v9FhbnHTsHs")</f>
        <v>v9FhbnHTsHs</v>
      </c>
      <c r="R638" s="5">
        <f ca="1">IFERROR(__xludf.DUMMYFUNCTION("""COMPUTED_VALUE"""),410)</f>
        <v>410</v>
      </c>
      <c r="S638" s="62">
        <f ca="1">IFERROR(__xludf.DUMMYFUNCTION("""COMPUTED_VALUE"""),0.004)</f>
        <v>4.0000000000000001E-3</v>
      </c>
      <c r="T638" s="63" t="str">
        <f ca="1">IFERROR(__xludf.DUMMYFUNCTION("""COMPUTED_VALUE"""),"https://storage.googleapis.com/glide-prod.appspot.com/uploads-v2/ly7o78grxPaC6KdgvbpS/pub/3aRdSog0vUtuqPE8AJKD.png")</f>
        <v>https://storage.googleapis.com/glide-prod.appspot.com/uploads-v2/ly7o78grxPaC6KdgvbpS/pub/3aRdSog0vUtuqPE8AJKD.png</v>
      </c>
      <c r="U638" s="5" t="str">
        <f ca="1">IFERROR(__xludf.DUMMYFUNCTION("""COMPUTED_VALUE"""),"LINEA DE ENVASADO TAMAÑO PERSONALLAVADORA DE BOTELLAS")</f>
        <v>LINEA DE ENVASADO TAMAÑO PERSONALLAVADORA DE BOTELLAS</v>
      </c>
      <c r="V638" s="5"/>
      <c r="W638" s="5" t="b">
        <f ca="1">IFERROR(__xludf.DUMMYFUNCTION("""COMPUTED_VALUE"""),TRUE)</f>
        <v>1</v>
      </c>
      <c r="X638" s="5" t="str">
        <f ca="1">IFERROR(__xludf.DUMMYFUNCTION("""COMPUTED_VALUE"""),"wguerra@postobon.com.co,aprmttoyu@postobon.com.co,aprmyu@postobon.com.co,wmora@postobon.com.co,efzapata@postobon.com.co")</f>
        <v>wguerra@postobon.com.co,aprmttoyu@postobon.com.co,aprmyu@postobon.com.co,wmora@postobon.com.co,efzapata@postobon.com.co</v>
      </c>
      <c r="Y638" s="5" t="str">
        <f ca="1">IFERROR(__xludf.DUMMYFUNCTION("""COMPUTED_VALUE"""),"wguerra@postobon.com.co")</f>
        <v>wguerra@postobon.com.co</v>
      </c>
      <c r="Z638" s="5" t="str">
        <f ca="1">IFERROR(__xludf.DUMMYFUNCTION("""COMPUTED_VALUE"""),"PwSuoOt0SNmpIogj3QBfJw")</f>
        <v>PwSuoOt0SNmpIogj3QBfJw</v>
      </c>
      <c r="AA638" s="5"/>
      <c r="AB638" s="5"/>
      <c r="AC638" s="5"/>
      <c r="AD638" s="5">
        <f ca="1">IFERROR(__xludf.DUMMYFUNCTION("""COMPUTED_VALUE"""),68)</f>
        <v>68</v>
      </c>
      <c r="AE638" s="5">
        <f ca="1">IFERROR(__xludf.DUMMYFUNCTION("""COMPUTED_VALUE"""),68)</f>
        <v>68</v>
      </c>
      <c r="AF638" s="5" t="b">
        <f ca="1">IFERROR(__xludf.DUMMYFUNCTION("""COMPUTED_VALUE"""),FALSE)</f>
        <v>0</v>
      </c>
      <c r="AG638" s="5" t="str">
        <f ca="1">IFERROR(__xludf.DUMMYFUNCTION("""COMPUTED_VALUE"""),"INSPECCIONES REALIZADAS")</f>
        <v>INSPECCIONES REALIZADAS</v>
      </c>
      <c r="AH638" s="5"/>
    </row>
    <row r="639" spans="1:34">
      <c r="A639" s="5" t="str">
        <f ca="1">IFERROR(__xludf.DUMMYFUNCTION("""COMPUTED_VALUE"""),"LINEA DE ENVASADO TAMAÑO PERSONAL")</f>
        <v>LINEA DE ENVASADO TAMAÑO PERSONAL</v>
      </c>
      <c r="B639" s="5">
        <f ca="1">IFERROR(__xludf.DUMMYFUNCTION("""COMPUTED_VALUE"""),508169)</f>
        <v>508169</v>
      </c>
      <c r="C639" s="5" t="str">
        <f ca="1">IFERROR(__xludf.DUMMYFUNCTION("""COMPUTED_VALUE"""),"LAVADORA DE BOTELLAS")</f>
        <v>LAVADORA DE BOTELLAS</v>
      </c>
      <c r="D639" s="5">
        <f ca="1">IFERROR(__xludf.DUMMYFUNCTION("""COMPUTED_VALUE"""),13247627)</f>
        <v>13247627</v>
      </c>
      <c r="E639" s="5" t="str">
        <f ca="1">IFERROR(__xludf.DUMMYFUNCTION("""COMPUTED_VALUE"""),"INSPECCION SEMANAL LAVADORA DE BOTELLAS")</f>
        <v>INSPECCION SEMANAL LAVADORA DE BOTELLAS</v>
      </c>
      <c r="F639" s="5" t="str">
        <f ca="1">IFERROR(__xludf.DUMMYFUNCTION("""COMPUTED_VALUE"""),"Estado de punteras leva descarga")</f>
        <v>Estado de punteras leva descarga</v>
      </c>
      <c r="G639" s="5" t="b">
        <f ca="1">IFERROR(__xludf.DUMMYFUNCTION("""COMPUTED_VALUE"""),TRUE)</f>
        <v>1</v>
      </c>
      <c r="H639" s="5"/>
      <c r="I639" s="5"/>
      <c r="J639" s="5">
        <f ca="1">IFERROR(__xludf.DUMMYFUNCTION("""COMPUTED_VALUE"""),13247627)</f>
        <v>13247627</v>
      </c>
      <c r="K639" s="5"/>
      <c r="L639" s="18">
        <f ca="1">IFERROR(__xludf.DUMMYFUNCTION("""COMPUTED_VALUE"""),45324)</f>
        <v>45324</v>
      </c>
      <c r="M639" s="18">
        <f ca="1">IFERROR(__xludf.DUMMYFUNCTION("""COMPUTED_VALUE"""),45324)</f>
        <v>45324</v>
      </c>
      <c r="N639" s="5" t="str">
        <f ca="1">IFERROR(__xludf.DUMMYFUNCTION("""COMPUTED_VALUE"""),"Jimenez Jhon")</f>
        <v>Jimenez Jhon</v>
      </c>
      <c r="O639" s="2">
        <f ca="1">IFERROR(__xludf.DUMMYFUNCTION("""COMPUTED_VALUE"""),0.004)</f>
        <v>4.0000000000000001E-3</v>
      </c>
      <c r="P639" s="5">
        <f ca="1">IFERROR(__xludf.DUMMYFUNCTION("""COMPUTED_VALUE"""),20009855)</f>
        <v>20009855</v>
      </c>
      <c r="Q639" s="5" t="str">
        <f ca="1">IFERROR(__xludf.DUMMYFUNCTION("""COMPUTED_VALUE"""),"znauPP6c27M")</f>
        <v>znauPP6c27M</v>
      </c>
      <c r="R639" s="5">
        <f ca="1">IFERROR(__xludf.DUMMYFUNCTION("""COMPUTED_VALUE"""),410)</f>
        <v>410</v>
      </c>
      <c r="S639" s="62">
        <f ca="1">IFERROR(__xludf.DUMMYFUNCTION("""COMPUTED_VALUE"""),0.004)</f>
        <v>4.0000000000000001E-3</v>
      </c>
      <c r="T639" s="63" t="str">
        <f ca="1">IFERROR(__xludf.DUMMYFUNCTION("""COMPUTED_VALUE"""),"https://storage.googleapis.com/glide-prod.appspot.com/uploads-v2/ly7o78grxPaC6KdgvbpS/pub/3aRdSog0vUtuqPE8AJKD.png")</f>
        <v>https://storage.googleapis.com/glide-prod.appspot.com/uploads-v2/ly7o78grxPaC6KdgvbpS/pub/3aRdSog0vUtuqPE8AJKD.png</v>
      </c>
      <c r="U639" s="5" t="str">
        <f ca="1">IFERROR(__xludf.DUMMYFUNCTION("""COMPUTED_VALUE"""),"LINEA DE ENVASADO TAMAÑO PERSONALLAVADORA DE BOTELLAS")</f>
        <v>LINEA DE ENVASADO TAMAÑO PERSONALLAVADORA DE BOTELLAS</v>
      </c>
      <c r="V639" s="5"/>
      <c r="W639" s="5" t="b">
        <f ca="1">IFERROR(__xludf.DUMMYFUNCTION("""COMPUTED_VALUE"""),TRUE)</f>
        <v>1</v>
      </c>
      <c r="X639" s="5" t="str">
        <f ca="1">IFERROR(__xludf.DUMMYFUNCTION("""COMPUTED_VALUE"""),"wguerra@postobon.com.co,aprmttoyu@postobon.com.co,aprmyu@postobon.com.co,wmora@postobon.com.co,efzapata@postobon.com.co")</f>
        <v>wguerra@postobon.com.co,aprmttoyu@postobon.com.co,aprmyu@postobon.com.co,wmora@postobon.com.co,efzapata@postobon.com.co</v>
      </c>
      <c r="Y639" s="5" t="str">
        <f ca="1">IFERROR(__xludf.DUMMYFUNCTION("""COMPUTED_VALUE"""),"wguerra@postobon.com.co")</f>
        <v>wguerra@postobon.com.co</v>
      </c>
      <c r="Z639" s="5" t="str">
        <f ca="1">IFERROR(__xludf.DUMMYFUNCTION("""COMPUTED_VALUE"""),"silQfRT.QBK6f2d4wNGZeQ")</f>
        <v>silQfRT.QBK6f2d4wNGZeQ</v>
      </c>
      <c r="AA639" s="5"/>
      <c r="AB639" s="5"/>
      <c r="AC639" s="5"/>
      <c r="AD639" s="5">
        <f ca="1">IFERROR(__xludf.DUMMYFUNCTION("""COMPUTED_VALUE"""),68)</f>
        <v>68</v>
      </c>
      <c r="AE639" s="5">
        <f ca="1">IFERROR(__xludf.DUMMYFUNCTION("""COMPUTED_VALUE"""),68)</f>
        <v>68</v>
      </c>
      <c r="AF639" s="5" t="b">
        <f ca="1">IFERROR(__xludf.DUMMYFUNCTION("""COMPUTED_VALUE"""),FALSE)</f>
        <v>0</v>
      </c>
      <c r="AG639" s="5" t="str">
        <f ca="1">IFERROR(__xludf.DUMMYFUNCTION("""COMPUTED_VALUE"""),"INSPECCIONES REALIZADAS")</f>
        <v>INSPECCIONES REALIZADAS</v>
      </c>
      <c r="AH639" s="5"/>
    </row>
    <row r="640" spans="1:34">
      <c r="A640" s="5" t="str">
        <f ca="1">IFERROR(__xludf.DUMMYFUNCTION("""COMPUTED_VALUE"""),"LINEA DE ENVASADO TAMAÑO PERSONAL")</f>
        <v>LINEA DE ENVASADO TAMAÑO PERSONAL</v>
      </c>
      <c r="B640" s="5">
        <f ca="1">IFERROR(__xludf.DUMMYFUNCTION("""COMPUTED_VALUE"""),508169)</f>
        <v>508169</v>
      </c>
      <c r="C640" s="5" t="str">
        <f ca="1">IFERROR(__xludf.DUMMYFUNCTION("""COMPUTED_VALUE"""),"LAVADORA DE BOTELLAS")</f>
        <v>LAVADORA DE BOTELLAS</v>
      </c>
      <c r="D640" s="5">
        <f ca="1">IFERROR(__xludf.DUMMYFUNCTION("""COMPUTED_VALUE"""),13247627)</f>
        <v>13247627</v>
      </c>
      <c r="E640" s="5" t="str">
        <f ca="1">IFERROR(__xludf.DUMMYFUNCTION("""COMPUTED_VALUE"""),"INSPECCION SEMANAL LAVADORA DE BOTELLAS")</f>
        <v>INSPECCION SEMANAL LAVADORA DE BOTELLAS</v>
      </c>
      <c r="F640" s="5" t="str">
        <f ca="1">IFERROR(__xludf.DUMMYFUNCTION("""COMPUTED_VALUE"""),"Estados instrumentos de medidas")</f>
        <v>Estados instrumentos de medidas</v>
      </c>
      <c r="G640" s="5" t="b">
        <f ca="1">IFERROR(__xludf.DUMMYFUNCTION("""COMPUTED_VALUE"""),TRUE)</f>
        <v>1</v>
      </c>
      <c r="H640" s="5"/>
      <c r="I640" s="5"/>
      <c r="J640" s="5">
        <f ca="1">IFERROR(__xludf.DUMMYFUNCTION("""COMPUTED_VALUE"""),13247627)</f>
        <v>13247627</v>
      </c>
      <c r="K640" s="5"/>
      <c r="L640" s="18">
        <f ca="1">IFERROR(__xludf.DUMMYFUNCTION("""COMPUTED_VALUE"""),45324)</f>
        <v>45324</v>
      </c>
      <c r="M640" s="18">
        <f ca="1">IFERROR(__xludf.DUMMYFUNCTION("""COMPUTED_VALUE"""),45324)</f>
        <v>45324</v>
      </c>
      <c r="N640" s="5" t="str">
        <f ca="1">IFERROR(__xludf.DUMMYFUNCTION("""COMPUTED_VALUE"""),"Jimenez Jhon")</f>
        <v>Jimenez Jhon</v>
      </c>
      <c r="O640" s="2">
        <f ca="1">IFERROR(__xludf.DUMMYFUNCTION("""COMPUTED_VALUE"""),0.004)</f>
        <v>4.0000000000000001E-3</v>
      </c>
      <c r="P640" s="5">
        <f ca="1">IFERROR(__xludf.DUMMYFUNCTION("""COMPUTED_VALUE"""),20009855)</f>
        <v>20009855</v>
      </c>
      <c r="Q640" s="5" t="str">
        <f ca="1">IFERROR(__xludf.DUMMYFUNCTION("""COMPUTED_VALUE"""),"moibryEtIjY")</f>
        <v>moibryEtIjY</v>
      </c>
      <c r="R640" s="5">
        <f ca="1">IFERROR(__xludf.DUMMYFUNCTION("""COMPUTED_VALUE"""),410)</f>
        <v>410</v>
      </c>
      <c r="S640" s="62">
        <f ca="1">IFERROR(__xludf.DUMMYFUNCTION("""COMPUTED_VALUE"""),0.004)</f>
        <v>4.0000000000000001E-3</v>
      </c>
      <c r="T640" s="63" t="str">
        <f ca="1">IFERROR(__xludf.DUMMYFUNCTION("""COMPUTED_VALUE"""),"https://storage.googleapis.com/glide-prod.appspot.com/uploads-v2/ly7o78grxPaC6KdgvbpS/pub/3aRdSog0vUtuqPE8AJKD.png")</f>
        <v>https://storage.googleapis.com/glide-prod.appspot.com/uploads-v2/ly7o78grxPaC6KdgvbpS/pub/3aRdSog0vUtuqPE8AJKD.png</v>
      </c>
      <c r="U640" s="5" t="str">
        <f ca="1">IFERROR(__xludf.DUMMYFUNCTION("""COMPUTED_VALUE"""),"LINEA DE ENVASADO TAMAÑO PERSONALLAVADORA DE BOTELLAS")</f>
        <v>LINEA DE ENVASADO TAMAÑO PERSONALLAVADORA DE BOTELLAS</v>
      </c>
      <c r="V640" s="5"/>
      <c r="W640" s="5" t="b">
        <f ca="1">IFERROR(__xludf.DUMMYFUNCTION("""COMPUTED_VALUE"""),TRUE)</f>
        <v>1</v>
      </c>
      <c r="X640" s="5" t="str">
        <f ca="1">IFERROR(__xludf.DUMMYFUNCTION("""COMPUTED_VALUE"""),"wguerra@postobon.com.co,aprmttoyu@postobon.com.co,aprmyu@postobon.com.co,wmora@postobon.com.co,efzapata@postobon.com.co")</f>
        <v>wguerra@postobon.com.co,aprmttoyu@postobon.com.co,aprmyu@postobon.com.co,wmora@postobon.com.co,efzapata@postobon.com.co</v>
      </c>
      <c r="Y640" s="5" t="str">
        <f ca="1">IFERROR(__xludf.DUMMYFUNCTION("""COMPUTED_VALUE"""),"wguerra@postobon.com.co")</f>
        <v>wguerra@postobon.com.co</v>
      </c>
      <c r="Z640" s="5" t="str">
        <f ca="1">IFERROR(__xludf.DUMMYFUNCTION("""COMPUTED_VALUE"""),"W7z9Bk1kRpS-TBSQxCwp9g")</f>
        <v>W7z9Bk1kRpS-TBSQxCwp9g</v>
      </c>
      <c r="AA640" s="5"/>
      <c r="AB640" s="5"/>
      <c r="AC640" s="5"/>
      <c r="AD640" s="5">
        <f ca="1">IFERROR(__xludf.DUMMYFUNCTION("""COMPUTED_VALUE"""),68)</f>
        <v>68</v>
      </c>
      <c r="AE640" s="5">
        <f ca="1">IFERROR(__xludf.DUMMYFUNCTION("""COMPUTED_VALUE"""),68)</f>
        <v>68</v>
      </c>
      <c r="AF640" s="5" t="b">
        <f ca="1">IFERROR(__xludf.DUMMYFUNCTION("""COMPUTED_VALUE"""),FALSE)</f>
        <v>0</v>
      </c>
      <c r="AG640" s="5" t="str">
        <f ca="1">IFERROR(__xludf.DUMMYFUNCTION("""COMPUTED_VALUE"""),"INSPECCIONES REALIZADAS")</f>
        <v>INSPECCIONES REALIZADAS</v>
      </c>
      <c r="AH640" s="5"/>
    </row>
    <row r="641" spans="1:34">
      <c r="A641" s="5" t="str">
        <f ca="1">IFERROR(__xludf.DUMMYFUNCTION("""COMPUTED_VALUE"""),"LINEA DE ENVASADO TAMAÑO PERSONAL")</f>
        <v>LINEA DE ENVASADO TAMAÑO PERSONAL</v>
      </c>
      <c r="B641" s="5">
        <f ca="1">IFERROR(__xludf.DUMMYFUNCTION("""COMPUTED_VALUE"""),508169)</f>
        <v>508169</v>
      </c>
      <c r="C641" s="5" t="str">
        <f ca="1">IFERROR(__xludf.DUMMYFUNCTION("""COMPUTED_VALUE"""),"LAVADORA DE BOTELLAS")</f>
        <v>LAVADORA DE BOTELLAS</v>
      </c>
      <c r="D641" s="5">
        <f ca="1">IFERROR(__xludf.DUMMYFUNCTION("""COMPUTED_VALUE"""),13247627)</f>
        <v>13247627</v>
      </c>
      <c r="E641" s="5" t="str">
        <f ca="1">IFERROR(__xludf.DUMMYFUNCTION("""COMPUTED_VALUE"""),"INSPECCION SEMANAL LAVADORA DE BOTELLAS")</f>
        <v>INSPECCION SEMANAL LAVADORA DE BOTELLAS</v>
      </c>
      <c r="F641" s="5" t="str">
        <f ca="1">IFERROR(__xludf.DUMMYFUNCTION("""COMPUTED_VALUE"""),"Estado de la pintura")</f>
        <v>Estado de la pintura</v>
      </c>
      <c r="G641" s="5" t="b">
        <f ca="1">IFERROR(__xludf.DUMMYFUNCTION("""COMPUTED_VALUE"""),TRUE)</f>
        <v>1</v>
      </c>
      <c r="H641" s="5"/>
      <c r="I641" s="5"/>
      <c r="J641" s="5">
        <f ca="1">IFERROR(__xludf.DUMMYFUNCTION("""COMPUTED_VALUE"""),13247627)</f>
        <v>13247627</v>
      </c>
      <c r="K641" s="5"/>
      <c r="L641" s="18">
        <f ca="1">IFERROR(__xludf.DUMMYFUNCTION("""COMPUTED_VALUE"""),45324)</f>
        <v>45324</v>
      </c>
      <c r="M641" s="18">
        <f ca="1">IFERROR(__xludf.DUMMYFUNCTION("""COMPUTED_VALUE"""),45324)</f>
        <v>45324</v>
      </c>
      <c r="N641" s="5" t="str">
        <f ca="1">IFERROR(__xludf.DUMMYFUNCTION("""COMPUTED_VALUE"""),"Jimenez Jhon")</f>
        <v>Jimenez Jhon</v>
      </c>
      <c r="O641" s="2">
        <f ca="1">IFERROR(__xludf.DUMMYFUNCTION("""COMPUTED_VALUE"""),0.004)</f>
        <v>4.0000000000000001E-3</v>
      </c>
      <c r="P641" s="5">
        <f ca="1">IFERROR(__xludf.DUMMYFUNCTION("""COMPUTED_VALUE"""),20009855)</f>
        <v>20009855</v>
      </c>
      <c r="Q641" s="5" t="str">
        <f ca="1">IFERROR(__xludf.DUMMYFUNCTION("""COMPUTED_VALUE"""),"q6Elw4-3QqQ")</f>
        <v>q6Elw4-3QqQ</v>
      </c>
      <c r="R641" s="5">
        <f ca="1">IFERROR(__xludf.DUMMYFUNCTION("""COMPUTED_VALUE"""),410)</f>
        <v>410</v>
      </c>
      <c r="S641" s="62">
        <f ca="1">IFERROR(__xludf.DUMMYFUNCTION("""COMPUTED_VALUE"""),0.004)</f>
        <v>4.0000000000000001E-3</v>
      </c>
      <c r="T641" s="63" t="str">
        <f ca="1">IFERROR(__xludf.DUMMYFUNCTION("""COMPUTED_VALUE"""),"https://storage.googleapis.com/glide-prod.appspot.com/uploads-v2/ly7o78grxPaC6KdgvbpS/pub/3aRdSog0vUtuqPE8AJKD.png")</f>
        <v>https://storage.googleapis.com/glide-prod.appspot.com/uploads-v2/ly7o78grxPaC6KdgvbpS/pub/3aRdSog0vUtuqPE8AJKD.png</v>
      </c>
      <c r="U641" s="5" t="str">
        <f ca="1">IFERROR(__xludf.DUMMYFUNCTION("""COMPUTED_VALUE"""),"LINEA DE ENVASADO TAMAÑO PERSONALLAVADORA DE BOTELLAS")</f>
        <v>LINEA DE ENVASADO TAMAÑO PERSONALLAVADORA DE BOTELLAS</v>
      </c>
      <c r="V641" s="5"/>
      <c r="W641" s="5" t="b">
        <f ca="1">IFERROR(__xludf.DUMMYFUNCTION("""COMPUTED_VALUE"""),TRUE)</f>
        <v>1</v>
      </c>
      <c r="X641" s="5" t="str">
        <f ca="1">IFERROR(__xludf.DUMMYFUNCTION("""COMPUTED_VALUE"""),"wguerra@postobon.com.co,aprmttoyu@postobon.com.co,aprmyu@postobon.com.co,wmora@postobon.com.co,efzapata@postobon.com.co")</f>
        <v>wguerra@postobon.com.co,aprmttoyu@postobon.com.co,aprmyu@postobon.com.co,wmora@postobon.com.co,efzapata@postobon.com.co</v>
      </c>
      <c r="Y641" s="5" t="str">
        <f ca="1">IFERROR(__xludf.DUMMYFUNCTION("""COMPUTED_VALUE"""),"wguerra@postobon.com.co")</f>
        <v>wguerra@postobon.com.co</v>
      </c>
      <c r="Z641" s="5" t="str">
        <f ca="1">IFERROR(__xludf.DUMMYFUNCTION("""COMPUTED_VALUE"""),"erog1dYbQKeBw7YYXYDf0Q")</f>
        <v>erog1dYbQKeBw7YYXYDf0Q</v>
      </c>
      <c r="AA641" s="5"/>
      <c r="AB641" s="5"/>
      <c r="AC641" s="5"/>
      <c r="AD641" s="5">
        <f ca="1">IFERROR(__xludf.DUMMYFUNCTION("""COMPUTED_VALUE"""),68)</f>
        <v>68</v>
      </c>
      <c r="AE641" s="5">
        <f ca="1">IFERROR(__xludf.DUMMYFUNCTION("""COMPUTED_VALUE"""),68)</f>
        <v>68</v>
      </c>
      <c r="AF641" s="5" t="b">
        <f ca="1">IFERROR(__xludf.DUMMYFUNCTION("""COMPUTED_VALUE"""),FALSE)</f>
        <v>0</v>
      </c>
      <c r="AG641" s="5" t="str">
        <f ca="1">IFERROR(__xludf.DUMMYFUNCTION("""COMPUTED_VALUE"""),"INSPECCIONES REALIZADAS")</f>
        <v>INSPECCIONES REALIZADAS</v>
      </c>
      <c r="AH641" s="5"/>
    </row>
    <row r="642" spans="1:34">
      <c r="A642" s="5" t="str">
        <f ca="1">IFERROR(__xludf.DUMMYFUNCTION("""COMPUTED_VALUE"""),"LINEA DE ENVASADO TAMAÑO PERSONAL")</f>
        <v>LINEA DE ENVASADO TAMAÑO PERSONAL</v>
      </c>
      <c r="B642" s="5">
        <f ca="1">IFERROR(__xludf.DUMMYFUNCTION("""COMPUTED_VALUE"""),508169)</f>
        <v>508169</v>
      </c>
      <c r="C642" s="5" t="str">
        <f ca="1">IFERROR(__xludf.DUMMYFUNCTION("""COMPUTED_VALUE"""),"LAVADORA DE BOTELLAS")</f>
        <v>LAVADORA DE BOTELLAS</v>
      </c>
      <c r="D642" s="5">
        <f ca="1">IFERROR(__xludf.DUMMYFUNCTION("""COMPUTED_VALUE"""),13247627)</f>
        <v>13247627</v>
      </c>
      <c r="E642" s="5" t="str">
        <f ca="1">IFERROR(__xludf.DUMMYFUNCTION("""COMPUTED_VALUE"""),"INSPECCION SEMANAL LAVADORA DE BOTELLAS")</f>
        <v>INSPECCION SEMANAL LAVADORA DE BOTELLAS</v>
      </c>
      <c r="F642" s="5" t="str">
        <f ca="1">IFERROR(__xludf.DUMMYFUNCTION("""COMPUTED_VALUE"""),"Estado de electroválvulas y válvulas neumáticas")</f>
        <v>Estado de electroválvulas y válvulas neumáticas</v>
      </c>
      <c r="G642" s="5" t="b">
        <f ca="1">IFERROR(__xludf.DUMMYFUNCTION("""COMPUTED_VALUE"""),TRUE)</f>
        <v>1</v>
      </c>
      <c r="H642" s="5"/>
      <c r="I642" s="5"/>
      <c r="J642" s="5">
        <f ca="1">IFERROR(__xludf.DUMMYFUNCTION("""COMPUTED_VALUE"""),13247627)</f>
        <v>13247627</v>
      </c>
      <c r="K642" s="5"/>
      <c r="L642" s="18">
        <f ca="1">IFERROR(__xludf.DUMMYFUNCTION("""COMPUTED_VALUE"""),45324)</f>
        <v>45324</v>
      </c>
      <c r="M642" s="18">
        <f ca="1">IFERROR(__xludf.DUMMYFUNCTION("""COMPUTED_VALUE"""),45324)</f>
        <v>45324</v>
      </c>
      <c r="N642" s="5" t="str">
        <f ca="1">IFERROR(__xludf.DUMMYFUNCTION("""COMPUTED_VALUE"""),"Jimenez Jhon")</f>
        <v>Jimenez Jhon</v>
      </c>
      <c r="O642" s="2">
        <f ca="1">IFERROR(__xludf.DUMMYFUNCTION("""COMPUTED_VALUE"""),0.004)</f>
        <v>4.0000000000000001E-3</v>
      </c>
      <c r="P642" s="5">
        <f ca="1">IFERROR(__xludf.DUMMYFUNCTION("""COMPUTED_VALUE"""),20009855)</f>
        <v>20009855</v>
      </c>
      <c r="Q642" s="5" t="str">
        <f ca="1">IFERROR(__xludf.DUMMYFUNCTION("""COMPUTED_VALUE"""),"GoRVcan-knw")</f>
        <v>GoRVcan-knw</v>
      </c>
      <c r="R642" s="5">
        <f ca="1">IFERROR(__xludf.DUMMYFUNCTION("""COMPUTED_VALUE"""),410)</f>
        <v>410</v>
      </c>
      <c r="S642" s="62">
        <f ca="1">IFERROR(__xludf.DUMMYFUNCTION("""COMPUTED_VALUE"""),0.004)</f>
        <v>4.0000000000000001E-3</v>
      </c>
      <c r="T642" s="63" t="str">
        <f ca="1">IFERROR(__xludf.DUMMYFUNCTION("""COMPUTED_VALUE"""),"https://storage.googleapis.com/glide-prod.appspot.com/uploads-v2/ly7o78grxPaC6KdgvbpS/pub/3aRdSog0vUtuqPE8AJKD.png")</f>
        <v>https://storage.googleapis.com/glide-prod.appspot.com/uploads-v2/ly7o78grxPaC6KdgvbpS/pub/3aRdSog0vUtuqPE8AJKD.png</v>
      </c>
      <c r="U642" s="5" t="str">
        <f ca="1">IFERROR(__xludf.DUMMYFUNCTION("""COMPUTED_VALUE"""),"LINEA DE ENVASADO TAMAÑO PERSONALLAVADORA DE BOTELLAS")</f>
        <v>LINEA DE ENVASADO TAMAÑO PERSONALLAVADORA DE BOTELLAS</v>
      </c>
      <c r="V642" s="5"/>
      <c r="W642" s="5" t="b">
        <f ca="1">IFERROR(__xludf.DUMMYFUNCTION("""COMPUTED_VALUE"""),TRUE)</f>
        <v>1</v>
      </c>
      <c r="X642" s="5" t="str">
        <f ca="1">IFERROR(__xludf.DUMMYFUNCTION("""COMPUTED_VALUE"""),"wguerra@postobon.com.co,aprmttoyu@postobon.com.co,aprmyu@postobon.com.co,wmora@postobon.com.co,efzapata@postobon.com.co")</f>
        <v>wguerra@postobon.com.co,aprmttoyu@postobon.com.co,aprmyu@postobon.com.co,wmora@postobon.com.co,efzapata@postobon.com.co</v>
      </c>
      <c r="Y642" s="5" t="str">
        <f ca="1">IFERROR(__xludf.DUMMYFUNCTION("""COMPUTED_VALUE"""),"wguerra@postobon.com.co")</f>
        <v>wguerra@postobon.com.co</v>
      </c>
      <c r="Z642" s="5" t="str">
        <f ca="1">IFERROR(__xludf.DUMMYFUNCTION("""COMPUTED_VALUE"""),"zysW35ELS52HCxsWeMGYLA")</f>
        <v>zysW35ELS52HCxsWeMGYLA</v>
      </c>
      <c r="AA642" s="5"/>
      <c r="AB642" s="5"/>
      <c r="AC642" s="5"/>
      <c r="AD642" s="5">
        <f ca="1">IFERROR(__xludf.DUMMYFUNCTION("""COMPUTED_VALUE"""),68)</f>
        <v>68</v>
      </c>
      <c r="AE642" s="5">
        <f ca="1">IFERROR(__xludf.DUMMYFUNCTION("""COMPUTED_VALUE"""),68)</f>
        <v>68</v>
      </c>
      <c r="AF642" s="5" t="b">
        <f ca="1">IFERROR(__xludf.DUMMYFUNCTION("""COMPUTED_VALUE"""),FALSE)</f>
        <v>0</v>
      </c>
      <c r="AG642" s="5" t="str">
        <f ca="1">IFERROR(__xludf.DUMMYFUNCTION("""COMPUTED_VALUE"""),"INSPECCIONES REALIZADAS")</f>
        <v>INSPECCIONES REALIZADAS</v>
      </c>
      <c r="AH642" s="5"/>
    </row>
    <row r="643" spans="1:34">
      <c r="A643" s="5" t="str">
        <f ca="1">IFERROR(__xludf.DUMMYFUNCTION("""COMPUTED_VALUE"""),"LINEA DE ENVASADO TAMAÑO PERSONAL")</f>
        <v>LINEA DE ENVASADO TAMAÑO PERSONAL</v>
      </c>
      <c r="B643" s="5">
        <f ca="1">IFERROR(__xludf.DUMMYFUNCTION("""COMPUTED_VALUE"""),508169)</f>
        <v>508169</v>
      </c>
      <c r="C643" s="5" t="str">
        <f ca="1">IFERROR(__xludf.DUMMYFUNCTION("""COMPUTED_VALUE"""),"LAVADORA DE BOTELLAS")</f>
        <v>LAVADORA DE BOTELLAS</v>
      </c>
      <c r="D643" s="5">
        <f ca="1">IFERROR(__xludf.DUMMYFUNCTION("""COMPUTED_VALUE"""),13247627)</f>
        <v>13247627</v>
      </c>
      <c r="E643" s="5" t="str">
        <f ca="1">IFERROR(__xludf.DUMMYFUNCTION("""COMPUTED_VALUE"""),"INSPECCION SEMANAL LAVADORA DE BOTELLAS")</f>
        <v>INSPECCION SEMANAL LAVADORA DE BOTELLAS</v>
      </c>
      <c r="F643" s="5" t="str">
        <f ca="1">IFERROR(__xludf.DUMMYFUNCTION("""COMPUTED_VALUE"""),"Estado cadenas de transmisión")</f>
        <v>Estado cadenas de transmisión</v>
      </c>
      <c r="G643" s="5" t="b">
        <f ca="1">IFERROR(__xludf.DUMMYFUNCTION("""COMPUTED_VALUE"""),TRUE)</f>
        <v>1</v>
      </c>
      <c r="H643" s="5"/>
      <c r="I643" s="5"/>
      <c r="J643" s="5">
        <f ca="1">IFERROR(__xludf.DUMMYFUNCTION("""COMPUTED_VALUE"""),13247627)</f>
        <v>13247627</v>
      </c>
      <c r="K643" s="5"/>
      <c r="L643" s="18">
        <f ca="1">IFERROR(__xludf.DUMMYFUNCTION("""COMPUTED_VALUE"""),45324)</f>
        <v>45324</v>
      </c>
      <c r="M643" s="18">
        <f ca="1">IFERROR(__xludf.DUMMYFUNCTION("""COMPUTED_VALUE"""),45324)</f>
        <v>45324</v>
      </c>
      <c r="N643" s="5" t="str">
        <f ca="1">IFERROR(__xludf.DUMMYFUNCTION("""COMPUTED_VALUE"""),"Jimenez Jhon")</f>
        <v>Jimenez Jhon</v>
      </c>
      <c r="O643" s="2">
        <f ca="1">IFERROR(__xludf.DUMMYFUNCTION("""COMPUTED_VALUE"""),0.004)</f>
        <v>4.0000000000000001E-3</v>
      </c>
      <c r="P643" s="5">
        <f ca="1">IFERROR(__xludf.DUMMYFUNCTION("""COMPUTED_VALUE"""),20009855)</f>
        <v>20009855</v>
      </c>
      <c r="Q643" s="5" t="str">
        <f ca="1">IFERROR(__xludf.DUMMYFUNCTION("""COMPUTED_VALUE"""),"9h0aJnVRqT8")</f>
        <v>9h0aJnVRqT8</v>
      </c>
      <c r="R643" s="5">
        <f ca="1">IFERROR(__xludf.DUMMYFUNCTION("""COMPUTED_VALUE"""),410)</f>
        <v>410</v>
      </c>
      <c r="S643" s="62">
        <f ca="1">IFERROR(__xludf.DUMMYFUNCTION("""COMPUTED_VALUE"""),0.004)</f>
        <v>4.0000000000000001E-3</v>
      </c>
      <c r="T643" s="63" t="str">
        <f ca="1">IFERROR(__xludf.DUMMYFUNCTION("""COMPUTED_VALUE"""),"https://storage.googleapis.com/glide-prod.appspot.com/uploads-v2/ly7o78grxPaC6KdgvbpS/pub/3aRdSog0vUtuqPE8AJKD.png")</f>
        <v>https://storage.googleapis.com/glide-prod.appspot.com/uploads-v2/ly7o78grxPaC6KdgvbpS/pub/3aRdSog0vUtuqPE8AJKD.png</v>
      </c>
      <c r="U643" s="5" t="str">
        <f ca="1">IFERROR(__xludf.DUMMYFUNCTION("""COMPUTED_VALUE"""),"LINEA DE ENVASADO TAMAÑO PERSONALLAVADORA DE BOTELLAS")</f>
        <v>LINEA DE ENVASADO TAMAÑO PERSONALLAVADORA DE BOTELLAS</v>
      </c>
      <c r="V643" s="5"/>
      <c r="W643" s="5" t="b">
        <f ca="1">IFERROR(__xludf.DUMMYFUNCTION("""COMPUTED_VALUE"""),TRUE)</f>
        <v>1</v>
      </c>
      <c r="X643" s="5" t="str">
        <f ca="1">IFERROR(__xludf.DUMMYFUNCTION("""COMPUTED_VALUE"""),"wguerra@postobon.com.co,aprmttoyu@postobon.com.co,aprmyu@postobon.com.co,wmora@postobon.com.co,efzapata@postobon.com.co")</f>
        <v>wguerra@postobon.com.co,aprmttoyu@postobon.com.co,aprmyu@postobon.com.co,wmora@postobon.com.co,efzapata@postobon.com.co</v>
      </c>
      <c r="Y643" s="5" t="str">
        <f ca="1">IFERROR(__xludf.DUMMYFUNCTION("""COMPUTED_VALUE"""),"wguerra@postobon.com.co")</f>
        <v>wguerra@postobon.com.co</v>
      </c>
      <c r="Z643" s="5" t="str">
        <f ca="1">IFERROR(__xludf.DUMMYFUNCTION("""COMPUTED_VALUE"""),"8njyalNNTxOiNXWoZzDuXg")</f>
        <v>8njyalNNTxOiNXWoZzDuXg</v>
      </c>
      <c r="AA643" s="5"/>
      <c r="AB643" s="5"/>
      <c r="AC643" s="5"/>
      <c r="AD643" s="5">
        <f ca="1">IFERROR(__xludf.DUMMYFUNCTION("""COMPUTED_VALUE"""),68)</f>
        <v>68</v>
      </c>
      <c r="AE643" s="5">
        <f ca="1">IFERROR(__xludf.DUMMYFUNCTION("""COMPUTED_VALUE"""),68)</f>
        <v>68</v>
      </c>
      <c r="AF643" s="5" t="b">
        <f ca="1">IFERROR(__xludf.DUMMYFUNCTION("""COMPUTED_VALUE"""),FALSE)</f>
        <v>0</v>
      </c>
      <c r="AG643" s="5" t="str">
        <f ca="1">IFERROR(__xludf.DUMMYFUNCTION("""COMPUTED_VALUE"""),"INSPECCIONES REALIZADAS")</f>
        <v>INSPECCIONES REALIZADAS</v>
      </c>
      <c r="AH643" s="5"/>
    </row>
    <row r="644" spans="1:34">
      <c r="A644" s="5" t="str">
        <f ca="1">IFERROR(__xludf.DUMMYFUNCTION("""COMPUTED_VALUE"""),"LINEA DE ENVASADO TAMAÑO PERSONAL")</f>
        <v>LINEA DE ENVASADO TAMAÑO PERSONAL</v>
      </c>
      <c r="B644" s="5">
        <f ca="1">IFERROR(__xludf.DUMMYFUNCTION("""COMPUTED_VALUE"""),508169)</f>
        <v>508169</v>
      </c>
      <c r="C644" s="5" t="str">
        <f ca="1">IFERROR(__xludf.DUMMYFUNCTION("""COMPUTED_VALUE"""),"LAVADORA DE BOTELLAS")</f>
        <v>LAVADORA DE BOTELLAS</v>
      </c>
      <c r="D644" s="5">
        <f ca="1">IFERROR(__xludf.DUMMYFUNCTION("""COMPUTED_VALUE"""),13247627)</f>
        <v>13247627</v>
      </c>
      <c r="E644" s="5" t="str">
        <f ca="1">IFERROR(__xludf.DUMMYFUNCTION("""COMPUTED_VALUE"""),"INSPECCION SEMANAL LAVADORA DE BOTELLAS")</f>
        <v>INSPECCION SEMANAL LAVADORA DE BOTELLAS</v>
      </c>
      <c r="F644" s="5" t="str">
        <f ca="1">IFERROR(__xludf.DUMMYFUNCTION("""COMPUTED_VALUE"""),"Estado caja de transmisión y cardan")</f>
        <v>Estado caja de transmisión y cardan</v>
      </c>
      <c r="G644" s="5" t="b">
        <f ca="1">IFERROR(__xludf.DUMMYFUNCTION("""COMPUTED_VALUE"""),TRUE)</f>
        <v>1</v>
      </c>
      <c r="H644" s="5"/>
      <c r="I644" s="5"/>
      <c r="J644" s="5">
        <f ca="1">IFERROR(__xludf.DUMMYFUNCTION("""COMPUTED_VALUE"""),13247627)</f>
        <v>13247627</v>
      </c>
      <c r="K644" s="5"/>
      <c r="L644" s="18">
        <f ca="1">IFERROR(__xludf.DUMMYFUNCTION("""COMPUTED_VALUE"""),45324)</f>
        <v>45324</v>
      </c>
      <c r="M644" s="18">
        <f ca="1">IFERROR(__xludf.DUMMYFUNCTION("""COMPUTED_VALUE"""),45324)</f>
        <v>45324</v>
      </c>
      <c r="N644" s="5" t="str">
        <f ca="1">IFERROR(__xludf.DUMMYFUNCTION("""COMPUTED_VALUE"""),"Jimenez Jhon")</f>
        <v>Jimenez Jhon</v>
      </c>
      <c r="O644" s="2">
        <f ca="1">IFERROR(__xludf.DUMMYFUNCTION("""COMPUTED_VALUE"""),0.004)</f>
        <v>4.0000000000000001E-3</v>
      </c>
      <c r="P644" s="5">
        <f ca="1">IFERROR(__xludf.DUMMYFUNCTION("""COMPUTED_VALUE"""),20009855)</f>
        <v>20009855</v>
      </c>
      <c r="Q644" s="5" t="str">
        <f ca="1">IFERROR(__xludf.DUMMYFUNCTION("""COMPUTED_VALUE"""),"7brLl8aJFmA")</f>
        <v>7brLl8aJFmA</v>
      </c>
      <c r="R644" s="5">
        <f ca="1">IFERROR(__xludf.DUMMYFUNCTION("""COMPUTED_VALUE"""),410)</f>
        <v>410</v>
      </c>
      <c r="S644" s="62">
        <f ca="1">IFERROR(__xludf.DUMMYFUNCTION("""COMPUTED_VALUE"""),0.004)</f>
        <v>4.0000000000000001E-3</v>
      </c>
      <c r="T644" s="63" t="str">
        <f ca="1">IFERROR(__xludf.DUMMYFUNCTION("""COMPUTED_VALUE"""),"https://storage.googleapis.com/glide-prod.appspot.com/uploads-v2/ly7o78grxPaC6KdgvbpS/pub/3aRdSog0vUtuqPE8AJKD.png")</f>
        <v>https://storage.googleapis.com/glide-prod.appspot.com/uploads-v2/ly7o78grxPaC6KdgvbpS/pub/3aRdSog0vUtuqPE8AJKD.png</v>
      </c>
      <c r="U644" s="5" t="str">
        <f ca="1">IFERROR(__xludf.DUMMYFUNCTION("""COMPUTED_VALUE"""),"LINEA DE ENVASADO TAMAÑO PERSONALLAVADORA DE BOTELLAS")</f>
        <v>LINEA DE ENVASADO TAMAÑO PERSONALLAVADORA DE BOTELLAS</v>
      </c>
      <c r="V644" s="5"/>
      <c r="W644" s="5" t="b">
        <f ca="1">IFERROR(__xludf.DUMMYFUNCTION("""COMPUTED_VALUE"""),TRUE)</f>
        <v>1</v>
      </c>
      <c r="X644" s="5" t="str">
        <f ca="1">IFERROR(__xludf.DUMMYFUNCTION("""COMPUTED_VALUE"""),"wguerra@postobon.com.co,aprmttoyu@postobon.com.co,aprmyu@postobon.com.co,wmora@postobon.com.co,efzapata@postobon.com.co")</f>
        <v>wguerra@postobon.com.co,aprmttoyu@postobon.com.co,aprmyu@postobon.com.co,wmora@postobon.com.co,efzapata@postobon.com.co</v>
      </c>
      <c r="Y644" s="5" t="str">
        <f ca="1">IFERROR(__xludf.DUMMYFUNCTION("""COMPUTED_VALUE"""),"wguerra@postobon.com.co")</f>
        <v>wguerra@postobon.com.co</v>
      </c>
      <c r="Z644" s="5" t="str">
        <f ca="1">IFERROR(__xludf.DUMMYFUNCTION("""COMPUTED_VALUE"""),"qhIKb-vSRmOi-OdJskAmXg")</f>
        <v>qhIKb-vSRmOi-OdJskAmXg</v>
      </c>
      <c r="AA644" s="5"/>
      <c r="AB644" s="5"/>
      <c r="AC644" s="5"/>
      <c r="AD644" s="5">
        <f ca="1">IFERROR(__xludf.DUMMYFUNCTION("""COMPUTED_VALUE"""),68)</f>
        <v>68</v>
      </c>
      <c r="AE644" s="5">
        <f ca="1">IFERROR(__xludf.DUMMYFUNCTION("""COMPUTED_VALUE"""),68)</f>
        <v>68</v>
      </c>
      <c r="AF644" s="5" t="b">
        <f ca="1">IFERROR(__xludf.DUMMYFUNCTION("""COMPUTED_VALUE"""),FALSE)</f>
        <v>0</v>
      </c>
      <c r="AG644" s="5" t="str">
        <f ca="1">IFERROR(__xludf.DUMMYFUNCTION("""COMPUTED_VALUE"""),"INSPECCIONES REALIZADAS")</f>
        <v>INSPECCIONES REALIZADAS</v>
      </c>
      <c r="AH644" s="5"/>
    </row>
    <row r="645" spans="1:34">
      <c r="A645" s="5" t="str">
        <f ca="1">IFERROR(__xludf.DUMMYFUNCTION("""COMPUTED_VALUE"""),"LINEA DE ENVASADO TAMAÑO PERSONAL")</f>
        <v>LINEA DE ENVASADO TAMAÑO PERSONAL</v>
      </c>
      <c r="B645" s="5">
        <f ca="1">IFERROR(__xludf.DUMMYFUNCTION("""COMPUTED_VALUE"""),508169)</f>
        <v>508169</v>
      </c>
      <c r="C645" s="5" t="str">
        <f ca="1">IFERROR(__xludf.DUMMYFUNCTION("""COMPUTED_VALUE"""),"LAVADORA DE BOTELLAS")</f>
        <v>LAVADORA DE BOTELLAS</v>
      </c>
      <c r="D645" s="5">
        <f ca="1">IFERROR(__xludf.DUMMYFUNCTION("""COMPUTED_VALUE"""),13247627)</f>
        <v>13247627</v>
      </c>
      <c r="E645" s="5" t="str">
        <f ca="1">IFERROR(__xludf.DUMMYFUNCTION("""COMPUTED_VALUE"""),"INSPECCION SEMANAL LAVADORA DE BOTELLAS")</f>
        <v>INSPECCION SEMANAL LAVADORA DE BOTELLAS</v>
      </c>
      <c r="F645" s="5" t="str">
        <f ca="1">IFERROR(__xludf.DUMMYFUNCTION("""COMPUTED_VALUE"""),"Estado de las Canastas (punteras)")</f>
        <v>Estado de las Canastas (punteras)</v>
      </c>
      <c r="G645" s="5" t="b">
        <f ca="1">IFERROR(__xludf.DUMMYFUNCTION("""COMPUTED_VALUE"""),TRUE)</f>
        <v>1</v>
      </c>
      <c r="H645" s="5"/>
      <c r="I645" s="5"/>
      <c r="J645" s="5">
        <f ca="1">IFERROR(__xludf.DUMMYFUNCTION("""COMPUTED_VALUE"""),13247627)</f>
        <v>13247627</v>
      </c>
      <c r="K645" s="5"/>
      <c r="L645" s="18">
        <f ca="1">IFERROR(__xludf.DUMMYFUNCTION("""COMPUTED_VALUE"""),45324)</f>
        <v>45324</v>
      </c>
      <c r="M645" s="18">
        <f ca="1">IFERROR(__xludf.DUMMYFUNCTION("""COMPUTED_VALUE"""),45324)</f>
        <v>45324</v>
      </c>
      <c r="N645" s="5" t="str">
        <f ca="1">IFERROR(__xludf.DUMMYFUNCTION("""COMPUTED_VALUE"""),"Jimenez Jhon")</f>
        <v>Jimenez Jhon</v>
      </c>
      <c r="O645" s="2">
        <f ca="1">IFERROR(__xludf.DUMMYFUNCTION("""COMPUTED_VALUE"""),0.004)</f>
        <v>4.0000000000000001E-3</v>
      </c>
      <c r="P645" s="5">
        <f ca="1">IFERROR(__xludf.DUMMYFUNCTION("""COMPUTED_VALUE"""),20009855)</f>
        <v>20009855</v>
      </c>
      <c r="Q645" s="5" t="str">
        <f ca="1">IFERROR(__xludf.DUMMYFUNCTION("""COMPUTED_VALUE"""),"aMGF5kyoXLM")</f>
        <v>aMGF5kyoXLM</v>
      </c>
      <c r="R645" s="5">
        <f ca="1">IFERROR(__xludf.DUMMYFUNCTION("""COMPUTED_VALUE"""),410)</f>
        <v>410</v>
      </c>
      <c r="S645" s="62">
        <f ca="1">IFERROR(__xludf.DUMMYFUNCTION("""COMPUTED_VALUE"""),0.004)</f>
        <v>4.0000000000000001E-3</v>
      </c>
      <c r="T645" s="63" t="str">
        <f ca="1">IFERROR(__xludf.DUMMYFUNCTION("""COMPUTED_VALUE"""),"https://storage.googleapis.com/glide-prod.appspot.com/uploads-v2/ly7o78grxPaC6KdgvbpS/pub/3aRdSog0vUtuqPE8AJKD.png")</f>
        <v>https://storage.googleapis.com/glide-prod.appspot.com/uploads-v2/ly7o78grxPaC6KdgvbpS/pub/3aRdSog0vUtuqPE8AJKD.png</v>
      </c>
      <c r="U645" s="5" t="str">
        <f ca="1">IFERROR(__xludf.DUMMYFUNCTION("""COMPUTED_VALUE"""),"LINEA DE ENVASADO TAMAÑO PERSONALLAVADORA DE BOTELLAS")</f>
        <v>LINEA DE ENVASADO TAMAÑO PERSONALLAVADORA DE BOTELLAS</v>
      </c>
      <c r="V645" s="5"/>
      <c r="W645" s="5" t="b">
        <f ca="1">IFERROR(__xludf.DUMMYFUNCTION("""COMPUTED_VALUE"""),TRUE)</f>
        <v>1</v>
      </c>
      <c r="X645" s="5" t="str">
        <f ca="1">IFERROR(__xludf.DUMMYFUNCTION("""COMPUTED_VALUE"""),"wguerra@postobon.com.co,aprmttoyu@postobon.com.co,aprmyu@postobon.com.co,wmora@postobon.com.co,efzapata@postobon.com.co")</f>
        <v>wguerra@postobon.com.co,aprmttoyu@postobon.com.co,aprmyu@postobon.com.co,wmora@postobon.com.co,efzapata@postobon.com.co</v>
      </c>
      <c r="Y645" s="5" t="str">
        <f ca="1">IFERROR(__xludf.DUMMYFUNCTION("""COMPUTED_VALUE"""),"wguerra@postobon.com.co")</f>
        <v>wguerra@postobon.com.co</v>
      </c>
      <c r="Z645" s="5" t="str">
        <f ca="1">IFERROR(__xludf.DUMMYFUNCTION("""COMPUTED_VALUE"""),"XwR3KjpmS1ax2sFZOJ9O0A")</f>
        <v>XwR3KjpmS1ax2sFZOJ9O0A</v>
      </c>
      <c r="AA645" s="5"/>
      <c r="AB645" s="5"/>
      <c r="AC645" s="5"/>
      <c r="AD645" s="5">
        <f ca="1">IFERROR(__xludf.DUMMYFUNCTION("""COMPUTED_VALUE"""),68)</f>
        <v>68</v>
      </c>
      <c r="AE645" s="5">
        <f ca="1">IFERROR(__xludf.DUMMYFUNCTION("""COMPUTED_VALUE"""),68)</f>
        <v>68</v>
      </c>
      <c r="AF645" s="5" t="b">
        <f ca="1">IFERROR(__xludf.DUMMYFUNCTION("""COMPUTED_VALUE"""),FALSE)</f>
        <v>0</v>
      </c>
      <c r="AG645" s="5" t="str">
        <f ca="1">IFERROR(__xludf.DUMMYFUNCTION("""COMPUTED_VALUE"""),"INSPECCIONES REALIZADAS")</f>
        <v>INSPECCIONES REALIZADAS</v>
      </c>
      <c r="AH645" s="5"/>
    </row>
    <row r="646" spans="1:34">
      <c r="A646" s="5" t="str">
        <f ca="1">IFERROR(__xludf.DUMMYFUNCTION("""COMPUTED_VALUE"""),"LINEA DE ENVASADO TAMAÑO PERSONAL")</f>
        <v>LINEA DE ENVASADO TAMAÑO PERSONAL</v>
      </c>
      <c r="B646" s="5">
        <f ca="1">IFERROR(__xludf.DUMMYFUNCTION("""COMPUTED_VALUE"""),508169)</f>
        <v>508169</v>
      </c>
      <c r="C646" s="5" t="str">
        <f ca="1">IFERROR(__xludf.DUMMYFUNCTION("""COMPUTED_VALUE"""),"LAVADORA DE BOTELLAS")</f>
        <v>LAVADORA DE BOTELLAS</v>
      </c>
      <c r="D646" s="5">
        <f ca="1">IFERROR(__xludf.DUMMYFUNCTION("""COMPUTED_VALUE"""),13247627)</f>
        <v>13247627</v>
      </c>
      <c r="E646" s="5" t="str">
        <f ca="1">IFERROR(__xludf.DUMMYFUNCTION("""COMPUTED_VALUE"""),"INSPECCION SEMANAL LAVADORA DE BOTELLAS")</f>
        <v>INSPECCION SEMANAL LAVADORA DE BOTELLAS</v>
      </c>
      <c r="F646" s="5" t="str">
        <f ca="1">IFERROR(__xludf.DUMMYFUNCTION("""COMPUTED_VALUE"""),"Estado de los ventiladores de barrido")</f>
        <v>Estado de los ventiladores de barrido</v>
      </c>
      <c r="G646" s="5" t="b">
        <f ca="1">IFERROR(__xludf.DUMMYFUNCTION("""COMPUTED_VALUE"""),TRUE)</f>
        <v>1</v>
      </c>
      <c r="H646" s="5"/>
      <c r="I646" s="5"/>
      <c r="J646" s="5">
        <f ca="1">IFERROR(__xludf.DUMMYFUNCTION("""COMPUTED_VALUE"""),13247627)</f>
        <v>13247627</v>
      </c>
      <c r="K646" s="5"/>
      <c r="L646" s="18">
        <f ca="1">IFERROR(__xludf.DUMMYFUNCTION("""COMPUTED_VALUE"""),45324)</f>
        <v>45324</v>
      </c>
      <c r="M646" s="18">
        <f ca="1">IFERROR(__xludf.DUMMYFUNCTION("""COMPUTED_VALUE"""),45324)</f>
        <v>45324</v>
      </c>
      <c r="N646" s="5" t="str">
        <f ca="1">IFERROR(__xludf.DUMMYFUNCTION("""COMPUTED_VALUE"""),"Jimenez Jhon")</f>
        <v>Jimenez Jhon</v>
      </c>
      <c r="O646" s="2">
        <f ca="1">IFERROR(__xludf.DUMMYFUNCTION("""COMPUTED_VALUE"""),0.004)</f>
        <v>4.0000000000000001E-3</v>
      </c>
      <c r="P646" s="5">
        <f ca="1">IFERROR(__xludf.DUMMYFUNCTION("""COMPUTED_VALUE"""),20009855)</f>
        <v>20009855</v>
      </c>
      <c r="Q646" s="5" t="str">
        <f ca="1">IFERROR(__xludf.DUMMYFUNCTION("""COMPUTED_VALUE"""),"zZGBwHWvK6k")</f>
        <v>zZGBwHWvK6k</v>
      </c>
      <c r="R646" s="5">
        <f ca="1">IFERROR(__xludf.DUMMYFUNCTION("""COMPUTED_VALUE"""),410)</f>
        <v>410</v>
      </c>
      <c r="S646" s="62">
        <f ca="1">IFERROR(__xludf.DUMMYFUNCTION("""COMPUTED_VALUE"""),0.004)</f>
        <v>4.0000000000000001E-3</v>
      </c>
      <c r="T646" s="63" t="str">
        <f ca="1">IFERROR(__xludf.DUMMYFUNCTION("""COMPUTED_VALUE"""),"https://storage.googleapis.com/glide-prod.appspot.com/uploads-v2/ly7o78grxPaC6KdgvbpS/pub/3aRdSog0vUtuqPE8AJKD.png")</f>
        <v>https://storage.googleapis.com/glide-prod.appspot.com/uploads-v2/ly7o78grxPaC6KdgvbpS/pub/3aRdSog0vUtuqPE8AJKD.png</v>
      </c>
      <c r="U646" s="5" t="str">
        <f ca="1">IFERROR(__xludf.DUMMYFUNCTION("""COMPUTED_VALUE"""),"LINEA DE ENVASADO TAMAÑO PERSONALLAVADORA DE BOTELLAS")</f>
        <v>LINEA DE ENVASADO TAMAÑO PERSONALLAVADORA DE BOTELLAS</v>
      </c>
      <c r="V646" s="5"/>
      <c r="W646" s="5" t="b">
        <f ca="1">IFERROR(__xludf.DUMMYFUNCTION("""COMPUTED_VALUE"""),TRUE)</f>
        <v>1</v>
      </c>
      <c r="X646" s="5" t="str">
        <f ca="1">IFERROR(__xludf.DUMMYFUNCTION("""COMPUTED_VALUE"""),"wguerra@postobon.com.co,aprmttoyu@postobon.com.co,aprmyu@postobon.com.co,wmora@postobon.com.co,efzapata@postobon.com.co")</f>
        <v>wguerra@postobon.com.co,aprmttoyu@postobon.com.co,aprmyu@postobon.com.co,wmora@postobon.com.co,efzapata@postobon.com.co</v>
      </c>
      <c r="Y646" s="5" t="str">
        <f ca="1">IFERROR(__xludf.DUMMYFUNCTION("""COMPUTED_VALUE"""),"wguerra@postobon.com.co")</f>
        <v>wguerra@postobon.com.co</v>
      </c>
      <c r="Z646" s="5" t="str">
        <f ca="1">IFERROR(__xludf.DUMMYFUNCTION("""COMPUTED_VALUE"""),"gg9gDAKYQo-yfU5BrulJJA")</f>
        <v>gg9gDAKYQo-yfU5BrulJJA</v>
      </c>
      <c r="AA646" s="5"/>
      <c r="AB646" s="5"/>
      <c r="AC646" s="5"/>
      <c r="AD646" s="5">
        <f ca="1">IFERROR(__xludf.DUMMYFUNCTION("""COMPUTED_VALUE"""),68)</f>
        <v>68</v>
      </c>
      <c r="AE646" s="5">
        <f ca="1">IFERROR(__xludf.DUMMYFUNCTION("""COMPUTED_VALUE"""),68)</f>
        <v>68</v>
      </c>
      <c r="AF646" s="5" t="b">
        <f ca="1">IFERROR(__xludf.DUMMYFUNCTION("""COMPUTED_VALUE"""),FALSE)</f>
        <v>0</v>
      </c>
      <c r="AG646" s="5" t="str">
        <f ca="1">IFERROR(__xludf.DUMMYFUNCTION("""COMPUTED_VALUE"""),"INSPECCIONES REALIZADAS")</f>
        <v>INSPECCIONES REALIZADAS</v>
      </c>
      <c r="AH646" s="5"/>
    </row>
    <row r="647" spans="1:34">
      <c r="A647" s="5" t="str">
        <f ca="1">IFERROR(__xludf.DUMMYFUNCTION("""COMPUTED_VALUE"""),"LINEA DE ENVASADO TAMAÑO PERSONAL")</f>
        <v>LINEA DE ENVASADO TAMAÑO PERSONAL</v>
      </c>
      <c r="B647" s="5">
        <f ca="1">IFERROR(__xludf.DUMMYFUNCTION("""COMPUTED_VALUE"""),508169)</f>
        <v>508169</v>
      </c>
      <c r="C647" s="5" t="str">
        <f ca="1">IFERROR(__xludf.DUMMYFUNCTION("""COMPUTED_VALUE"""),"LAVADORA DE BOTELLAS")</f>
        <v>LAVADORA DE BOTELLAS</v>
      </c>
      <c r="D647" s="5">
        <f ca="1">IFERROR(__xludf.DUMMYFUNCTION("""COMPUTED_VALUE"""),13247627)</f>
        <v>13247627</v>
      </c>
      <c r="E647" s="5" t="str">
        <f ca="1">IFERROR(__xludf.DUMMYFUNCTION("""COMPUTED_VALUE"""),"INSPECCION SEMANAL LAVADORA DE BOTELLAS")</f>
        <v>INSPECCION SEMANAL LAVADORA DE BOTELLAS</v>
      </c>
      <c r="F647" s="5" t="str">
        <f ca="1">IFERROR(__xludf.DUMMYFUNCTION("""COMPUTED_VALUE"""),"Estado de sensores")</f>
        <v>Estado de sensores</v>
      </c>
      <c r="G647" s="5" t="b">
        <f ca="1">IFERROR(__xludf.DUMMYFUNCTION("""COMPUTED_VALUE"""),TRUE)</f>
        <v>1</v>
      </c>
      <c r="H647" s="5"/>
      <c r="I647" s="5"/>
      <c r="J647" s="5">
        <f ca="1">IFERROR(__xludf.DUMMYFUNCTION("""COMPUTED_VALUE"""),13247627)</f>
        <v>13247627</v>
      </c>
      <c r="K647" s="5"/>
      <c r="L647" s="18">
        <f ca="1">IFERROR(__xludf.DUMMYFUNCTION("""COMPUTED_VALUE"""),45324)</f>
        <v>45324</v>
      </c>
      <c r="M647" s="18">
        <f ca="1">IFERROR(__xludf.DUMMYFUNCTION("""COMPUTED_VALUE"""),45324)</f>
        <v>45324</v>
      </c>
      <c r="N647" s="5" t="str">
        <f ca="1">IFERROR(__xludf.DUMMYFUNCTION("""COMPUTED_VALUE"""),"Jimenez Jhon")</f>
        <v>Jimenez Jhon</v>
      </c>
      <c r="O647" s="2">
        <f ca="1">IFERROR(__xludf.DUMMYFUNCTION("""COMPUTED_VALUE"""),0.004)</f>
        <v>4.0000000000000001E-3</v>
      </c>
      <c r="P647" s="5">
        <f ca="1">IFERROR(__xludf.DUMMYFUNCTION("""COMPUTED_VALUE"""),20009855)</f>
        <v>20009855</v>
      </c>
      <c r="Q647" s="5" t="str">
        <f ca="1">IFERROR(__xludf.DUMMYFUNCTION("""COMPUTED_VALUE"""),"BCXAIPlglmQ")</f>
        <v>BCXAIPlglmQ</v>
      </c>
      <c r="R647" s="5">
        <f ca="1">IFERROR(__xludf.DUMMYFUNCTION("""COMPUTED_VALUE"""),410)</f>
        <v>410</v>
      </c>
      <c r="S647" s="62">
        <f ca="1">IFERROR(__xludf.DUMMYFUNCTION("""COMPUTED_VALUE"""),0.004)</f>
        <v>4.0000000000000001E-3</v>
      </c>
      <c r="T647" s="63" t="str">
        <f ca="1">IFERROR(__xludf.DUMMYFUNCTION("""COMPUTED_VALUE"""),"https://storage.googleapis.com/glide-prod.appspot.com/uploads-v2/ly7o78grxPaC6KdgvbpS/pub/3aRdSog0vUtuqPE8AJKD.png")</f>
        <v>https://storage.googleapis.com/glide-prod.appspot.com/uploads-v2/ly7o78grxPaC6KdgvbpS/pub/3aRdSog0vUtuqPE8AJKD.png</v>
      </c>
      <c r="U647" s="5" t="str">
        <f ca="1">IFERROR(__xludf.DUMMYFUNCTION("""COMPUTED_VALUE"""),"LINEA DE ENVASADO TAMAÑO PERSONALLAVADORA DE BOTELLAS")</f>
        <v>LINEA DE ENVASADO TAMAÑO PERSONALLAVADORA DE BOTELLAS</v>
      </c>
      <c r="V647" s="5"/>
      <c r="W647" s="5" t="b">
        <f ca="1">IFERROR(__xludf.DUMMYFUNCTION("""COMPUTED_VALUE"""),TRUE)</f>
        <v>1</v>
      </c>
      <c r="X647" s="5" t="str">
        <f ca="1">IFERROR(__xludf.DUMMYFUNCTION("""COMPUTED_VALUE"""),"wguerra@postobon.com.co,aprmttoyu@postobon.com.co,aprmyu@postobon.com.co,wmora@postobon.com.co,efzapata@postobon.com.co")</f>
        <v>wguerra@postobon.com.co,aprmttoyu@postobon.com.co,aprmyu@postobon.com.co,wmora@postobon.com.co,efzapata@postobon.com.co</v>
      </c>
      <c r="Y647" s="5" t="str">
        <f ca="1">IFERROR(__xludf.DUMMYFUNCTION("""COMPUTED_VALUE"""),"wguerra@postobon.com.co")</f>
        <v>wguerra@postobon.com.co</v>
      </c>
      <c r="Z647" s="5" t="str">
        <f ca="1">IFERROR(__xludf.DUMMYFUNCTION("""COMPUTED_VALUE"""),"b74qklzYR4Cq3CZ9w7xSEw")</f>
        <v>b74qklzYR4Cq3CZ9w7xSEw</v>
      </c>
      <c r="AA647" s="5"/>
      <c r="AB647" s="5"/>
      <c r="AC647" s="5"/>
      <c r="AD647" s="5">
        <f ca="1">IFERROR(__xludf.DUMMYFUNCTION("""COMPUTED_VALUE"""),68)</f>
        <v>68</v>
      </c>
      <c r="AE647" s="5">
        <f ca="1">IFERROR(__xludf.DUMMYFUNCTION("""COMPUTED_VALUE"""),68)</f>
        <v>68</v>
      </c>
      <c r="AF647" s="5" t="b">
        <f ca="1">IFERROR(__xludf.DUMMYFUNCTION("""COMPUTED_VALUE"""),FALSE)</f>
        <v>0</v>
      </c>
      <c r="AG647" s="5" t="str">
        <f ca="1">IFERROR(__xludf.DUMMYFUNCTION("""COMPUTED_VALUE"""),"INSPECCIONES REALIZADAS")</f>
        <v>INSPECCIONES REALIZADAS</v>
      </c>
      <c r="AH647" s="5"/>
    </row>
    <row r="648" spans="1:34">
      <c r="A648" s="5" t="str">
        <f ca="1">IFERROR(__xludf.DUMMYFUNCTION("""COMPUTED_VALUE"""),"LINEA DE ENVASADO TAMAÑO PERSONAL")</f>
        <v>LINEA DE ENVASADO TAMAÑO PERSONAL</v>
      </c>
      <c r="B648" s="5">
        <f ca="1">IFERROR(__xludf.DUMMYFUNCTION("""COMPUTED_VALUE"""),508169)</f>
        <v>508169</v>
      </c>
      <c r="C648" s="5" t="str">
        <f ca="1">IFERROR(__xludf.DUMMYFUNCTION("""COMPUTED_VALUE"""),"LAVADORA DE BOTELLAS")</f>
        <v>LAVADORA DE BOTELLAS</v>
      </c>
      <c r="D648" s="5">
        <f ca="1">IFERROR(__xludf.DUMMYFUNCTION("""COMPUTED_VALUE"""),13247627)</f>
        <v>13247627</v>
      </c>
      <c r="E648" s="5" t="str">
        <f ca="1">IFERROR(__xludf.DUMMYFUNCTION("""COMPUTED_VALUE"""),"INSPECCION SEMANAL LAVADORA DE BOTELLAS")</f>
        <v>INSPECCION SEMANAL LAVADORA DE BOTELLAS</v>
      </c>
      <c r="F648" s="5" t="str">
        <f ca="1">IFERROR(__xludf.DUMMYFUNCTION("""COMPUTED_VALUE"""),"Estado y limpieza de extractor y/o climatizador tablero eléctrico.")</f>
        <v>Estado y limpieza de extractor y/o climatizador tablero eléctrico.</v>
      </c>
      <c r="G648" s="5" t="b">
        <f ca="1">IFERROR(__xludf.DUMMYFUNCTION("""COMPUTED_VALUE"""),TRUE)</f>
        <v>1</v>
      </c>
      <c r="H648" s="5"/>
      <c r="I648" s="5"/>
      <c r="J648" s="5">
        <f ca="1">IFERROR(__xludf.DUMMYFUNCTION("""COMPUTED_VALUE"""),13247627)</f>
        <v>13247627</v>
      </c>
      <c r="K648" s="5"/>
      <c r="L648" s="18">
        <f ca="1">IFERROR(__xludf.DUMMYFUNCTION("""COMPUTED_VALUE"""),45324)</f>
        <v>45324</v>
      </c>
      <c r="M648" s="18">
        <f ca="1">IFERROR(__xludf.DUMMYFUNCTION("""COMPUTED_VALUE"""),45324)</f>
        <v>45324</v>
      </c>
      <c r="N648" s="5" t="str">
        <f ca="1">IFERROR(__xludf.DUMMYFUNCTION("""COMPUTED_VALUE"""),"Jimenez Jhon")</f>
        <v>Jimenez Jhon</v>
      </c>
      <c r="O648" s="2">
        <f ca="1">IFERROR(__xludf.DUMMYFUNCTION("""COMPUTED_VALUE"""),0.004)</f>
        <v>4.0000000000000001E-3</v>
      </c>
      <c r="P648" s="5">
        <f ca="1">IFERROR(__xludf.DUMMYFUNCTION("""COMPUTED_VALUE"""),20009855)</f>
        <v>20009855</v>
      </c>
      <c r="Q648" s="5" t="str">
        <f ca="1">IFERROR(__xludf.DUMMYFUNCTION("""COMPUTED_VALUE"""),"Atq3P-8BVLU")</f>
        <v>Atq3P-8BVLU</v>
      </c>
      <c r="R648" s="5">
        <f ca="1">IFERROR(__xludf.DUMMYFUNCTION("""COMPUTED_VALUE"""),410)</f>
        <v>410</v>
      </c>
      <c r="S648" s="62">
        <f ca="1">IFERROR(__xludf.DUMMYFUNCTION("""COMPUTED_VALUE"""),0.004)</f>
        <v>4.0000000000000001E-3</v>
      </c>
      <c r="T648" s="63" t="str">
        <f ca="1">IFERROR(__xludf.DUMMYFUNCTION("""COMPUTED_VALUE"""),"https://storage.googleapis.com/glide-prod.appspot.com/uploads-v2/ly7o78grxPaC6KdgvbpS/pub/3aRdSog0vUtuqPE8AJKD.png")</f>
        <v>https://storage.googleapis.com/glide-prod.appspot.com/uploads-v2/ly7o78grxPaC6KdgvbpS/pub/3aRdSog0vUtuqPE8AJKD.png</v>
      </c>
      <c r="U648" s="5" t="str">
        <f ca="1">IFERROR(__xludf.DUMMYFUNCTION("""COMPUTED_VALUE"""),"LINEA DE ENVASADO TAMAÑO PERSONALLAVADORA DE BOTELLAS")</f>
        <v>LINEA DE ENVASADO TAMAÑO PERSONALLAVADORA DE BOTELLAS</v>
      </c>
      <c r="V648" s="5"/>
      <c r="W648" s="5" t="b">
        <f ca="1">IFERROR(__xludf.DUMMYFUNCTION("""COMPUTED_VALUE"""),TRUE)</f>
        <v>1</v>
      </c>
      <c r="X648" s="5" t="str">
        <f ca="1">IFERROR(__xludf.DUMMYFUNCTION("""COMPUTED_VALUE"""),"wguerra@postobon.com.co,aprmttoyu@postobon.com.co,aprmyu@postobon.com.co,wmora@postobon.com.co,efzapata@postobon.com.co")</f>
        <v>wguerra@postobon.com.co,aprmttoyu@postobon.com.co,aprmyu@postobon.com.co,wmora@postobon.com.co,efzapata@postobon.com.co</v>
      </c>
      <c r="Y648" s="5" t="str">
        <f ca="1">IFERROR(__xludf.DUMMYFUNCTION("""COMPUTED_VALUE"""),"wguerra@postobon.com.co")</f>
        <v>wguerra@postobon.com.co</v>
      </c>
      <c r="Z648" s="5" t="str">
        <f ca="1">IFERROR(__xludf.DUMMYFUNCTION("""COMPUTED_VALUE"""),"mIOL4LdmRX6Nhxt9-PMwmg")</f>
        <v>mIOL4LdmRX6Nhxt9-PMwmg</v>
      </c>
      <c r="AA648" s="5"/>
      <c r="AB648" s="5"/>
      <c r="AC648" s="5"/>
      <c r="AD648" s="5">
        <f ca="1">IFERROR(__xludf.DUMMYFUNCTION("""COMPUTED_VALUE"""),68)</f>
        <v>68</v>
      </c>
      <c r="AE648" s="5">
        <f ca="1">IFERROR(__xludf.DUMMYFUNCTION("""COMPUTED_VALUE"""),68)</f>
        <v>68</v>
      </c>
      <c r="AF648" s="5" t="b">
        <f ca="1">IFERROR(__xludf.DUMMYFUNCTION("""COMPUTED_VALUE"""),FALSE)</f>
        <v>0</v>
      </c>
      <c r="AG648" s="5" t="str">
        <f ca="1">IFERROR(__xludf.DUMMYFUNCTION("""COMPUTED_VALUE"""),"INSPECCIONES REALIZADAS")</f>
        <v>INSPECCIONES REALIZADAS</v>
      </c>
      <c r="AH648" s="5"/>
    </row>
    <row r="649" spans="1:34">
      <c r="A649" s="5" t="str">
        <f ca="1">IFERROR(__xludf.DUMMYFUNCTION("""COMPUTED_VALUE"""),"LINEA DE PRODUCCION DE BOTELLONES DE 20")</f>
        <v>LINEA DE PRODUCCION DE BOTELLONES DE 20</v>
      </c>
      <c r="B649" s="5">
        <f ca="1">IFERROR(__xludf.DUMMYFUNCTION("""COMPUTED_VALUE"""),710129)</f>
        <v>710129</v>
      </c>
      <c r="C649" s="5" t="str">
        <f ca="1">IFERROR(__xludf.DUMMYFUNCTION("""COMPUTED_VALUE"""),"LAVADORA DE BOTELLONES")</f>
        <v>LAVADORA DE BOTELLONES</v>
      </c>
      <c r="D649" s="5">
        <f ca="1">IFERROR(__xludf.DUMMYFUNCTION("""COMPUTED_VALUE"""),13247680)</f>
        <v>13247680</v>
      </c>
      <c r="E649" s="5" t="str">
        <f ca="1">IFERROR(__xludf.DUMMYFUNCTION("""COMPUTED_VALUE"""),"INSPECCION SEMANAL LAVADORA DE BOTELLONE")</f>
        <v>INSPECCION SEMANAL LAVADORA DE BOTELLONE</v>
      </c>
      <c r="F649" s="5" t="str">
        <f ca="1">IFERROR(__xludf.DUMMYFUNCTION("""COMPUTED_VALUE"""),"VERIFICAR PRESIONES INTERNA-EXTERNA")</f>
        <v>VERIFICAR PRESIONES INTERNA-EXTERNA</v>
      </c>
      <c r="G649" s="5" t="b">
        <f ca="1">IFERROR(__xludf.DUMMYFUNCTION("""COMPUTED_VALUE"""),TRUE)</f>
        <v>1</v>
      </c>
      <c r="H649" s="5"/>
      <c r="I649" s="5"/>
      <c r="J649" s="5"/>
      <c r="K649" s="5"/>
      <c r="L649" s="18">
        <f ca="1">IFERROR(__xludf.DUMMYFUNCTION("""COMPUTED_VALUE"""),45325)</f>
        <v>45325</v>
      </c>
      <c r="M649" s="18">
        <f ca="1">IFERROR(__xludf.DUMMYFUNCTION("""COMPUTED_VALUE"""),45325)</f>
        <v>45325</v>
      </c>
      <c r="N649" s="5" t="str">
        <f ca="1">IFERROR(__xludf.DUMMYFUNCTION("""COMPUTED_VALUE"""),"Christian Camilo Ramirez Rendón")</f>
        <v>Christian Camilo Ramirez Rendón</v>
      </c>
      <c r="O649" s="2">
        <f ca="1">IFERROR(__xludf.DUMMYFUNCTION("""COMPUTED_VALUE"""),0.005555556)</f>
        <v>5.5555559999999997E-3</v>
      </c>
      <c r="P649" s="5"/>
      <c r="Q649" s="5" t="str">
        <f ca="1">IFERROR(__xludf.DUMMYFUNCTION("""COMPUTED_VALUE"""),"6DMx1hubaA0")</f>
        <v>6DMx1hubaA0</v>
      </c>
      <c r="R649" s="5">
        <f ca="1">IFERROR(__xludf.DUMMYFUNCTION("""COMPUTED_VALUE"""),410)</f>
        <v>410</v>
      </c>
      <c r="S649" s="62">
        <f ca="1">IFERROR(__xludf.DUMMYFUNCTION("""COMPUTED_VALUE"""),0.005555556)</f>
        <v>5.5555559999999997E-3</v>
      </c>
      <c r="T649" s="63" t="str">
        <f ca="1">IFERROR(__xludf.DUMMYFUNCTION("""COMPUTED_VALUE"""),"https://storage.googleapis.com/glide-prod.appspot.com/uploads-v2/ly7o78grxPaC6KdgvbpS/pub/3aRdSog0vUtuqPE8AJKD.png")</f>
        <v>https://storage.googleapis.com/glide-prod.appspot.com/uploads-v2/ly7o78grxPaC6KdgvbpS/pub/3aRdSog0vUtuqPE8AJKD.png</v>
      </c>
      <c r="U649" s="5" t="str">
        <f ca="1">IFERROR(__xludf.DUMMYFUNCTION("""COMPUTED_VALUE"""),"LINEA DE PRODUCCION DE BOTELLONES DE 20LAVADORA DE BOTELLONES")</f>
        <v>LINEA DE PRODUCCION DE BOTELLONES DE 20LAVADORA DE BOTELLONES</v>
      </c>
      <c r="V649" s="5"/>
      <c r="W649" s="5" t="b">
        <f ca="1">IFERROR(__xludf.DUMMYFUNCTION("""COMPUTED_VALUE"""),TRUE)</f>
        <v>1</v>
      </c>
      <c r="X649" s="5" t="str">
        <f ca="1">IFERROR(__xludf.DUMMYFUNCTION("""COMPUTED_VALUE"""),"achavezi@postobon.com.co,aprmttoyu@postobon.com.co,aprmyu@postobon.com.co,wmora@postobon.com.co,efzapata@postobon.com.co")</f>
        <v>achavezi@postobon.com.co,aprmttoyu@postobon.com.co,aprmyu@postobon.com.co,wmora@postobon.com.co,efzapata@postobon.com.co</v>
      </c>
      <c r="Y649" s="5" t="str">
        <f ca="1">IFERROR(__xludf.DUMMYFUNCTION("""COMPUTED_VALUE"""),"achavezi@postobon.com.co")</f>
        <v>achavezi@postobon.com.co</v>
      </c>
      <c r="Z649" s="5" t="str">
        <f ca="1">IFERROR(__xludf.DUMMYFUNCTION("""COMPUTED_VALUE"""),"lkvjSgiIS8SozcS.3j0UQg")</f>
        <v>lkvjSgiIS8SozcS.3j0UQg</v>
      </c>
      <c r="AA649" s="5"/>
      <c r="AB649" s="5"/>
      <c r="AC649" s="5"/>
      <c r="AD649" s="5">
        <f ca="1">IFERROR(__xludf.DUMMYFUNCTION("""COMPUTED_VALUE"""),67)</f>
        <v>67</v>
      </c>
      <c r="AE649" s="5">
        <f ca="1">IFERROR(__xludf.DUMMYFUNCTION("""COMPUTED_VALUE"""),67)</f>
        <v>67</v>
      </c>
      <c r="AF649" s="5" t="b">
        <f ca="1">IFERROR(__xludf.DUMMYFUNCTION("""COMPUTED_VALUE"""),FALSE)</f>
        <v>0</v>
      </c>
      <c r="AG649" s="5" t="str">
        <f ca="1">IFERROR(__xludf.DUMMYFUNCTION("""COMPUTED_VALUE"""),"INSPECCIONES REALIZADAS")</f>
        <v>INSPECCIONES REALIZADAS</v>
      </c>
      <c r="AH649" s="5"/>
    </row>
    <row r="650" spans="1:34">
      <c r="A650" s="5" t="str">
        <f ca="1">IFERROR(__xludf.DUMMYFUNCTION("""COMPUTED_VALUE"""),"LINEA DE PRODUCCION DE BOTELLONES DE 20")</f>
        <v>LINEA DE PRODUCCION DE BOTELLONES DE 20</v>
      </c>
      <c r="B650" s="5">
        <f ca="1">IFERROR(__xludf.DUMMYFUNCTION("""COMPUTED_VALUE"""),710129)</f>
        <v>710129</v>
      </c>
      <c r="C650" s="5" t="str">
        <f ca="1">IFERROR(__xludf.DUMMYFUNCTION("""COMPUTED_VALUE"""),"LAVADORA DE BOTELLONES")</f>
        <v>LAVADORA DE BOTELLONES</v>
      </c>
      <c r="D650" s="5">
        <f ca="1">IFERROR(__xludf.DUMMYFUNCTION("""COMPUTED_VALUE"""),13247680)</f>
        <v>13247680</v>
      </c>
      <c r="E650" s="5" t="str">
        <f ca="1">IFERROR(__xludf.DUMMYFUNCTION("""COMPUTED_VALUE"""),"INSPECCION SEMANAL LAVADORA DE BOTELLONE")</f>
        <v>INSPECCION SEMANAL LAVADORA DE BOTELLONE</v>
      </c>
      <c r="F650" s="5" t="str">
        <f ca="1">IFERROR(__xludf.DUMMYFUNCTION("""COMPUTED_VALUE"""),"INSP FUGA FLUIDOS")</f>
        <v>INSP FUGA FLUIDOS</v>
      </c>
      <c r="G650" s="5" t="b">
        <f ca="1">IFERROR(__xludf.DUMMYFUNCTION("""COMPUTED_VALUE"""),TRUE)</f>
        <v>1</v>
      </c>
      <c r="H650" s="5"/>
      <c r="I650" s="5"/>
      <c r="J650" s="5"/>
      <c r="K650" s="5"/>
      <c r="L650" s="18">
        <f ca="1">IFERROR(__xludf.DUMMYFUNCTION("""COMPUTED_VALUE"""),45325)</f>
        <v>45325</v>
      </c>
      <c r="M650" s="18">
        <f ca="1">IFERROR(__xludf.DUMMYFUNCTION("""COMPUTED_VALUE"""),45325)</f>
        <v>45325</v>
      </c>
      <c r="N650" s="5" t="str">
        <f ca="1">IFERROR(__xludf.DUMMYFUNCTION("""COMPUTED_VALUE"""),"Christian Camilo Ramirez Rendón")</f>
        <v>Christian Camilo Ramirez Rendón</v>
      </c>
      <c r="O650" s="2">
        <f ca="1">IFERROR(__xludf.DUMMYFUNCTION("""COMPUTED_VALUE"""),0.005555556)</f>
        <v>5.5555559999999997E-3</v>
      </c>
      <c r="P650" s="5"/>
      <c r="Q650" s="5" t="str">
        <f ca="1">IFERROR(__xludf.DUMMYFUNCTION("""COMPUTED_VALUE"""),"4SpFmzwXcV8")</f>
        <v>4SpFmzwXcV8</v>
      </c>
      <c r="R650" s="5">
        <f ca="1">IFERROR(__xludf.DUMMYFUNCTION("""COMPUTED_VALUE"""),410)</f>
        <v>410</v>
      </c>
      <c r="S650" s="62">
        <f ca="1">IFERROR(__xludf.DUMMYFUNCTION("""COMPUTED_VALUE"""),0.005555556)</f>
        <v>5.5555559999999997E-3</v>
      </c>
      <c r="T650" s="63" t="str">
        <f ca="1">IFERROR(__xludf.DUMMYFUNCTION("""COMPUTED_VALUE"""),"https://storage.googleapis.com/glide-prod.appspot.com/uploads-v2/ly7o78grxPaC6KdgvbpS/pub/3aRdSog0vUtuqPE8AJKD.png")</f>
        <v>https://storage.googleapis.com/glide-prod.appspot.com/uploads-v2/ly7o78grxPaC6KdgvbpS/pub/3aRdSog0vUtuqPE8AJKD.png</v>
      </c>
      <c r="U650" s="5" t="str">
        <f ca="1">IFERROR(__xludf.DUMMYFUNCTION("""COMPUTED_VALUE"""),"LINEA DE PRODUCCION DE BOTELLONES DE 20LAVADORA DE BOTELLONES")</f>
        <v>LINEA DE PRODUCCION DE BOTELLONES DE 20LAVADORA DE BOTELLONES</v>
      </c>
      <c r="V650" s="5"/>
      <c r="W650" s="5" t="b">
        <f ca="1">IFERROR(__xludf.DUMMYFUNCTION("""COMPUTED_VALUE"""),TRUE)</f>
        <v>1</v>
      </c>
      <c r="X650" s="5" t="str">
        <f ca="1">IFERROR(__xludf.DUMMYFUNCTION("""COMPUTED_VALUE"""),"achavezi@postobon.com.co,aprmttoyu@postobon.com.co,aprmyu@postobon.com.co,wmora@postobon.com.co,efzapata@postobon.com.co")</f>
        <v>achavezi@postobon.com.co,aprmttoyu@postobon.com.co,aprmyu@postobon.com.co,wmora@postobon.com.co,efzapata@postobon.com.co</v>
      </c>
      <c r="Y650" s="5" t="str">
        <f ca="1">IFERROR(__xludf.DUMMYFUNCTION("""COMPUTED_VALUE"""),"achavezi@postobon.com.co")</f>
        <v>achavezi@postobon.com.co</v>
      </c>
      <c r="Z650" s="5" t="str">
        <f ca="1">IFERROR(__xludf.DUMMYFUNCTION("""COMPUTED_VALUE"""),"vShGYcfuQ4ysfhYgP9iElA")</f>
        <v>vShGYcfuQ4ysfhYgP9iElA</v>
      </c>
      <c r="AA650" s="5"/>
      <c r="AB650" s="5"/>
      <c r="AC650" s="5"/>
      <c r="AD650" s="5">
        <f ca="1">IFERROR(__xludf.DUMMYFUNCTION("""COMPUTED_VALUE"""),67)</f>
        <v>67</v>
      </c>
      <c r="AE650" s="5">
        <f ca="1">IFERROR(__xludf.DUMMYFUNCTION("""COMPUTED_VALUE"""),67)</f>
        <v>67</v>
      </c>
      <c r="AF650" s="5" t="b">
        <f ca="1">IFERROR(__xludf.DUMMYFUNCTION("""COMPUTED_VALUE"""),FALSE)</f>
        <v>0</v>
      </c>
      <c r="AG650" s="5" t="str">
        <f ca="1">IFERROR(__xludf.DUMMYFUNCTION("""COMPUTED_VALUE"""),"INSPECCIONES REALIZADAS")</f>
        <v>INSPECCIONES REALIZADAS</v>
      </c>
      <c r="AH650" s="5"/>
    </row>
    <row r="651" spans="1:34">
      <c r="A651" s="5" t="str">
        <f ca="1">IFERROR(__xludf.DUMMYFUNCTION("""COMPUTED_VALUE"""),"LINEA DE PRODUCCION DE BOTELLONES DE 20")</f>
        <v>LINEA DE PRODUCCION DE BOTELLONES DE 20</v>
      </c>
      <c r="B651" s="5">
        <f ca="1">IFERROR(__xludf.DUMMYFUNCTION("""COMPUTED_VALUE"""),710129)</f>
        <v>710129</v>
      </c>
      <c r="C651" s="5" t="str">
        <f ca="1">IFERROR(__xludf.DUMMYFUNCTION("""COMPUTED_VALUE"""),"LAVADORA DE BOTELLONES")</f>
        <v>LAVADORA DE BOTELLONES</v>
      </c>
      <c r="D651" s="5">
        <f ca="1">IFERROR(__xludf.DUMMYFUNCTION("""COMPUTED_VALUE"""),13247680)</f>
        <v>13247680</v>
      </c>
      <c r="E651" s="5" t="str">
        <f ca="1">IFERROR(__xludf.DUMMYFUNCTION("""COMPUTED_VALUE"""),"INSPECCION SEMANAL LAVADORA DE BOTELLONE")</f>
        <v>INSPECCION SEMANAL LAVADORA DE BOTELLONE</v>
      </c>
      <c r="F651" s="5" t="str">
        <f ca="1">IFERROR(__xludf.DUMMYFUNCTION("""COMPUTED_VALUE"""),"INSP FUNC SENSORES NIVEL")</f>
        <v>INSP FUNC SENSORES NIVEL</v>
      </c>
      <c r="G651" s="5" t="b">
        <f ca="1">IFERROR(__xludf.DUMMYFUNCTION("""COMPUTED_VALUE"""),TRUE)</f>
        <v>1</v>
      </c>
      <c r="H651" s="5"/>
      <c r="I651" s="5"/>
      <c r="J651" s="5"/>
      <c r="K651" s="5"/>
      <c r="L651" s="18">
        <f ca="1">IFERROR(__xludf.DUMMYFUNCTION("""COMPUTED_VALUE"""),45325)</f>
        <v>45325</v>
      </c>
      <c r="M651" s="18">
        <f ca="1">IFERROR(__xludf.DUMMYFUNCTION("""COMPUTED_VALUE"""),45325)</f>
        <v>45325</v>
      </c>
      <c r="N651" s="5" t="str">
        <f ca="1">IFERROR(__xludf.DUMMYFUNCTION("""COMPUTED_VALUE"""),"Christian Camilo Ramirez Rendón")</f>
        <v>Christian Camilo Ramirez Rendón</v>
      </c>
      <c r="O651" s="2">
        <f ca="1">IFERROR(__xludf.DUMMYFUNCTION("""COMPUTED_VALUE"""),0.005555556)</f>
        <v>5.5555559999999997E-3</v>
      </c>
      <c r="P651" s="5"/>
      <c r="Q651" s="5" t="str">
        <f ca="1">IFERROR(__xludf.DUMMYFUNCTION("""COMPUTED_VALUE"""),"P-tjbaxRkL0")</f>
        <v>P-tjbaxRkL0</v>
      </c>
      <c r="R651" s="5">
        <f ca="1">IFERROR(__xludf.DUMMYFUNCTION("""COMPUTED_VALUE"""),410)</f>
        <v>410</v>
      </c>
      <c r="S651" s="62">
        <f ca="1">IFERROR(__xludf.DUMMYFUNCTION("""COMPUTED_VALUE"""),0.005555556)</f>
        <v>5.5555559999999997E-3</v>
      </c>
      <c r="T651" s="63" t="str">
        <f ca="1">IFERROR(__xludf.DUMMYFUNCTION("""COMPUTED_VALUE"""),"https://storage.googleapis.com/glide-prod.appspot.com/uploads-v2/ly7o78grxPaC6KdgvbpS/pub/3aRdSog0vUtuqPE8AJKD.png")</f>
        <v>https://storage.googleapis.com/glide-prod.appspot.com/uploads-v2/ly7o78grxPaC6KdgvbpS/pub/3aRdSog0vUtuqPE8AJKD.png</v>
      </c>
      <c r="U651" s="5" t="str">
        <f ca="1">IFERROR(__xludf.DUMMYFUNCTION("""COMPUTED_VALUE"""),"LINEA DE PRODUCCION DE BOTELLONES DE 20LAVADORA DE BOTELLONES")</f>
        <v>LINEA DE PRODUCCION DE BOTELLONES DE 20LAVADORA DE BOTELLONES</v>
      </c>
      <c r="V651" s="5"/>
      <c r="W651" s="5" t="b">
        <f ca="1">IFERROR(__xludf.DUMMYFUNCTION("""COMPUTED_VALUE"""),TRUE)</f>
        <v>1</v>
      </c>
      <c r="X651" s="5" t="str">
        <f ca="1">IFERROR(__xludf.DUMMYFUNCTION("""COMPUTED_VALUE"""),"achavezi@postobon.com.co,aprmttoyu@postobon.com.co,aprmyu@postobon.com.co,wmora@postobon.com.co,efzapata@postobon.com.co")</f>
        <v>achavezi@postobon.com.co,aprmttoyu@postobon.com.co,aprmyu@postobon.com.co,wmora@postobon.com.co,efzapata@postobon.com.co</v>
      </c>
      <c r="Y651" s="5" t="str">
        <f ca="1">IFERROR(__xludf.DUMMYFUNCTION("""COMPUTED_VALUE"""),"achavezi@postobon.com.co")</f>
        <v>achavezi@postobon.com.co</v>
      </c>
      <c r="Z651" s="5" t="str">
        <f ca="1">IFERROR(__xludf.DUMMYFUNCTION("""COMPUTED_VALUE"""),"hbvEXgA4RGCxaD7.IGOncA")</f>
        <v>hbvEXgA4RGCxaD7.IGOncA</v>
      </c>
      <c r="AA651" s="5"/>
      <c r="AB651" s="5"/>
      <c r="AC651" s="5"/>
      <c r="AD651" s="5">
        <f ca="1">IFERROR(__xludf.DUMMYFUNCTION("""COMPUTED_VALUE"""),67)</f>
        <v>67</v>
      </c>
      <c r="AE651" s="5">
        <f ca="1">IFERROR(__xludf.DUMMYFUNCTION("""COMPUTED_VALUE"""),67)</f>
        <v>67</v>
      </c>
      <c r="AF651" s="5" t="b">
        <f ca="1">IFERROR(__xludf.DUMMYFUNCTION("""COMPUTED_VALUE"""),FALSE)</f>
        <v>0</v>
      </c>
      <c r="AG651" s="5" t="str">
        <f ca="1">IFERROR(__xludf.DUMMYFUNCTION("""COMPUTED_VALUE"""),"INSPECCIONES REALIZADAS")</f>
        <v>INSPECCIONES REALIZADAS</v>
      </c>
      <c r="AH651" s="5"/>
    </row>
    <row r="652" spans="1:34">
      <c r="A652" s="5" t="str">
        <f ca="1">IFERROR(__xludf.DUMMYFUNCTION("""COMPUTED_VALUE"""),"LINEA DE PRODUCCION DE BOTELLONES DE 20")</f>
        <v>LINEA DE PRODUCCION DE BOTELLONES DE 20</v>
      </c>
      <c r="B652" s="5">
        <f ca="1">IFERROR(__xludf.DUMMYFUNCTION("""COMPUTED_VALUE"""),710129)</f>
        <v>710129</v>
      </c>
      <c r="C652" s="5" t="str">
        <f ca="1">IFERROR(__xludf.DUMMYFUNCTION("""COMPUTED_VALUE"""),"LAVADORA DE BOTELLONES")</f>
        <v>LAVADORA DE BOTELLONES</v>
      </c>
      <c r="D652" s="5">
        <f ca="1">IFERROR(__xludf.DUMMYFUNCTION("""COMPUTED_VALUE"""),13247680)</f>
        <v>13247680</v>
      </c>
      <c r="E652" s="5" t="str">
        <f ca="1">IFERROR(__xludf.DUMMYFUNCTION("""COMPUTED_VALUE"""),"INSPECCION SEMANAL LAVADORA DE BOTELLONE")</f>
        <v>INSPECCION SEMANAL LAVADORA DE BOTELLONE</v>
      </c>
      <c r="F652" s="5" t="str">
        <f ca="1">IFERROR(__xludf.DUMMYFUNCTION("""COMPUTED_VALUE"""),"INSP FUNC SOPLADORES")</f>
        <v>INSP FUNC SOPLADORES</v>
      </c>
      <c r="G652" s="5" t="b">
        <f ca="1">IFERROR(__xludf.DUMMYFUNCTION("""COMPUTED_VALUE"""),TRUE)</f>
        <v>1</v>
      </c>
      <c r="H652" s="5"/>
      <c r="I652" s="5"/>
      <c r="J652" s="5"/>
      <c r="K652" s="5"/>
      <c r="L652" s="18">
        <f ca="1">IFERROR(__xludf.DUMMYFUNCTION("""COMPUTED_VALUE"""),45325)</f>
        <v>45325</v>
      </c>
      <c r="M652" s="18">
        <f ca="1">IFERROR(__xludf.DUMMYFUNCTION("""COMPUTED_VALUE"""),45325)</f>
        <v>45325</v>
      </c>
      <c r="N652" s="5" t="str">
        <f ca="1">IFERROR(__xludf.DUMMYFUNCTION("""COMPUTED_VALUE"""),"Christian Camilo Ramirez Rendón")</f>
        <v>Christian Camilo Ramirez Rendón</v>
      </c>
      <c r="O652" s="2">
        <f ca="1">IFERROR(__xludf.DUMMYFUNCTION("""COMPUTED_VALUE"""),0.005555556)</f>
        <v>5.5555559999999997E-3</v>
      </c>
      <c r="P652" s="5"/>
      <c r="Q652" s="5" t="str">
        <f ca="1">IFERROR(__xludf.DUMMYFUNCTION("""COMPUTED_VALUE"""),"mBYMLE7o6Ho")</f>
        <v>mBYMLE7o6Ho</v>
      </c>
      <c r="R652" s="5">
        <f ca="1">IFERROR(__xludf.DUMMYFUNCTION("""COMPUTED_VALUE"""),410)</f>
        <v>410</v>
      </c>
      <c r="S652" s="62">
        <f ca="1">IFERROR(__xludf.DUMMYFUNCTION("""COMPUTED_VALUE"""),0.005555556)</f>
        <v>5.5555559999999997E-3</v>
      </c>
      <c r="T652" s="63" t="str">
        <f ca="1">IFERROR(__xludf.DUMMYFUNCTION("""COMPUTED_VALUE"""),"https://storage.googleapis.com/glide-prod.appspot.com/uploads-v2/ly7o78grxPaC6KdgvbpS/pub/3aRdSog0vUtuqPE8AJKD.png")</f>
        <v>https://storage.googleapis.com/glide-prod.appspot.com/uploads-v2/ly7o78grxPaC6KdgvbpS/pub/3aRdSog0vUtuqPE8AJKD.png</v>
      </c>
      <c r="U652" s="5" t="str">
        <f ca="1">IFERROR(__xludf.DUMMYFUNCTION("""COMPUTED_VALUE"""),"LINEA DE PRODUCCION DE BOTELLONES DE 20LAVADORA DE BOTELLONES")</f>
        <v>LINEA DE PRODUCCION DE BOTELLONES DE 20LAVADORA DE BOTELLONES</v>
      </c>
      <c r="V652" s="5"/>
      <c r="W652" s="5" t="b">
        <f ca="1">IFERROR(__xludf.DUMMYFUNCTION("""COMPUTED_VALUE"""),TRUE)</f>
        <v>1</v>
      </c>
      <c r="X652" s="5" t="str">
        <f ca="1">IFERROR(__xludf.DUMMYFUNCTION("""COMPUTED_VALUE"""),"achavezi@postobon.com.co,aprmttoyu@postobon.com.co,aprmyu@postobon.com.co,wmora@postobon.com.co,efzapata@postobon.com.co")</f>
        <v>achavezi@postobon.com.co,aprmttoyu@postobon.com.co,aprmyu@postobon.com.co,wmora@postobon.com.co,efzapata@postobon.com.co</v>
      </c>
      <c r="Y652" s="5" t="str">
        <f ca="1">IFERROR(__xludf.DUMMYFUNCTION("""COMPUTED_VALUE"""),"achavezi@postobon.com.co")</f>
        <v>achavezi@postobon.com.co</v>
      </c>
      <c r="Z652" s="5" t="str">
        <f ca="1">IFERROR(__xludf.DUMMYFUNCTION("""COMPUTED_VALUE"""),"QYYEm-VcSBaxY1-KZYFgqA")</f>
        <v>QYYEm-VcSBaxY1-KZYFgqA</v>
      </c>
      <c r="AA652" s="5"/>
      <c r="AB652" s="5"/>
      <c r="AC652" s="5"/>
      <c r="AD652" s="5">
        <f ca="1">IFERROR(__xludf.DUMMYFUNCTION("""COMPUTED_VALUE"""),67)</f>
        <v>67</v>
      </c>
      <c r="AE652" s="5">
        <f ca="1">IFERROR(__xludf.DUMMYFUNCTION("""COMPUTED_VALUE"""),67)</f>
        <v>67</v>
      </c>
      <c r="AF652" s="5" t="b">
        <f ca="1">IFERROR(__xludf.DUMMYFUNCTION("""COMPUTED_VALUE"""),FALSE)</f>
        <v>0</v>
      </c>
      <c r="AG652" s="5" t="str">
        <f ca="1">IFERROR(__xludf.DUMMYFUNCTION("""COMPUTED_VALUE"""),"INSPECCIONES REALIZADAS")</f>
        <v>INSPECCIONES REALIZADAS</v>
      </c>
      <c r="AH652" s="5"/>
    </row>
    <row r="653" spans="1:34">
      <c r="A653" s="5" t="str">
        <f ca="1">IFERROR(__xludf.DUMMYFUNCTION("""COMPUTED_VALUE"""),"LINEA DE PRODUCCION DE BOTELLONES DE 20")</f>
        <v>LINEA DE PRODUCCION DE BOTELLONES DE 20</v>
      </c>
      <c r="B653" s="5">
        <f ca="1">IFERROR(__xludf.DUMMYFUNCTION("""COMPUTED_VALUE"""),710129)</f>
        <v>710129</v>
      </c>
      <c r="C653" s="5" t="str">
        <f ca="1">IFERROR(__xludf.DUMMYFUNCTION("""COMPUTED_VALUE"""),"LAVADORA DE BOTELLONES")</f>
        <v>LAVADORA DE BOTELLONES</v>
      </c>
      <c r="D653" s="5">
        <f ca="1">IFERROR(__xludf.DUMMYFUNCTION("""COMPUTED_VALUE"""),13247680)</f>
        <v>13247680</v>
      </c>
      <c r="E653" s="5" t="str">
        <f ca="1">IFERROR(__xludf.DUMMYFUNCTION("""COMPUTED_VALUE"""),"INSPECCION SEMANAL LAVADORA DE BOTELLONE")</f>
        <v>INSPECCION SEMANAL LAVADORA DE BOTELLONE</v>
      </c>
      <c r="F653" s="5" t="str">
        <f ca="1">IFERROR(__xludf.DUMMYFUNCTION("""COMPUTED_VALUE"""),"INSP FUNC TRANSPORTADOR INTERNO")</f>
        <v>INSP FUNC TRANSPORTADOR INTERNO</v>
      </c>
      <c r="G653" s="5" t="b">
        <f ca="1">IFERROR(__xludf.DUMMYFUNCTION("""COMPUTED_VALUE"""),TRUE)</f>
        <v>1</v>
      </c>
      <c r="H653" s="5"/>
      <c r="I653" s="5"/>
      <c r="J653" s="5"/>
      <c r="K653" s="5"/>
      <c r="L653" s="18">
        <f ca="1">IFERROR(__xludf.DUMMYFUNCTION("""COMPUTED_VALUE"""),45325)</f>
        <v>45325</v>
      </c>
      <c r="M653" s="18">
        <f ca="1">IFERROR(__xludf.DUMMYFUNCTION("""COMPUTED_VALUE"""),45325)</f>
        <v>45325</v>
      </c>
      <c r="N653" s="5" t="str">
        <f ca="1">IFERROR(__xludf.DUMMYFUNCTION("""COMPUTED_VALUE"""),"Christian Camilo Ramirez Rendón")</f>
        <v>Christian Camilo Ramirez Rendón</v>
      </c>
      <c r="O653" s="2">
        <f ca="1">IFERROR(__xludf.DUMMYFUNCTION("""COMPUTED_VALUE"""),0.005555556)</f>
        <v>5.5555559999999997E-3</v>
      </c>
      <c r="P653" s="5"/>
      <c r="Q653" s="5" t="str">
        <f ca="1">IFERROR(__xludf.DUMMYFUNCTION("""COMPUTED_VALUE"""),"_c_J4l-w0XM")</f>
        <v>_c_J4l-w0XM</v>
      </c>
      <c r="R653" s="5">
        <f ca="1">IFERROR(__xludf.DUMMYFUNCTION("""COMPUTED_VALUE"""),410)</f>
        <v>410</v>
      </c>
      <c r="S653" s="62">
        <f ca="1">IFERROR(__xludf.DUMMYFUNCTION("""COMPUTED_VALUE"""),0.005555556)</f>
        <v>5.5555559999999997E-3</v>
      </c>
      <c r="T653" s="63" t="str">
        <f ca="1">IFERROR(__xludf.DUMMYFUNCTION("""COMPUTED_VALUE"""),"https://storage.googleapis.com/glide-prod.appspot.com/uploads-v2/ly7o78grxPaC6KdgvbpS/pub/3aRdSog0vUtuqPE8AJKD.png")</f>
        <v>https://storage.googleapis.com/glide-prod.appspot.com/uploads-v2/ly7o78grxPaC6KdgvbpS/pub/3aRdSog0vUtuqPE8AJKD.png</v>
      </c>
      <c r="U653" s="5" t="str">
        <f ca="1">IFERROR(__xludf.DUMMYFUNCTION("""COMPUTED_VALUE"""),"LINEA DE PRODUCCION DE BOTELLONES DE 20LAVADORA DE BOTELLONES")</f>
        <v>LINEA DE PRODUCCION DE BOTELLONES DE 20LAVADORA DE BOTELLONES</v>
      </c>
      <c r="V653" s="5"/>
      <c r="W653" s="5" t="b">
        <f ca="1">IFERROR(__xludf.DUMMYFUNCTION("""COMPUTED_VALUE"""),TRUE)</f>
        <v>1</v>
      </c>
      <c r="X653" s="5" t="str">
        <f ca="1">IFERROR(__xludf.DUMMYFUNCTION("""COMPUTED_VALUE"""),"achavezi@postobon.com.co,aprmttoyu@postobon.com.co,aprmyu@postobon.com.co,wmora@postobon.com.co,efzapata@postobon.com.co")</f>
        <v>achavezi@postobon.com.co,aprmttoyu@postobon.com.co,aprmyu@postobon.com.co,wmora@postobon.com.co,efzapata@postobon.com.co</v>
      </c>
      <c r="Y653" s="5" t="str">
        <f ca="1">IFERROR(__xludf.DUMMYFUNCTION("""COMPUTED_VALUE"""),"achavezi@postobon.com.co")</f>
        <v>achavezi@postobon.com.co</v>
      </c>
      <c r="Z653" s="5" t="str">
        <f ca="1">IFERROR(__xludf.DUMMYFUNCTION("""COMPUTED_VALUE"""),"9THzjBlJSiON4AseSlf49A")</f>
        <v>9THzjBlJSiON4AseSlf49A</v>
      </c>
      <c r="AA653" s="5"/>
      <c r="AB653" s="5"/>
      <c r="AC653" s="5"/>
      <c r="AD653" s="5">
        <f ca="1">IFERROR(__xludf.DUMMYFUNCTION("""COMPUTED_VALUE"""),67)</f>
        <v>67</v>
      </c>
      <c r="AE653" s="5">
        <f ca="1">IFERROR(__xludf.DUMMYFUNCTION("""COMPUTED_VALUE"""),67)</f>
        <v>67</v>
      </c>
      <c r="AF653" s="5" t="b">
        <f ca="1">IFERROR(__xludf.DUMMYFUNCTION("""COMPUTED_VALUE"""),FALSE)</f>
        <v>0</v>
      </c>
      <c r="AG653" s="5" t="str">
        <f ca="1">IFERROR(__xludf.DUMMYFUNCTION("""COMPUTED_VALUE"""),"INSPECCIONES REALIZADAS")</f>
        <v>INSPECCIONES REALIZADAS</v>
      </c>
      <c r="AH653" s="5"/>
    </row>
    <row r="654" spans="1:34">
      <c r="A654" s="5" t="str">
        <f ca="1">IFERROR(__xludf.DUMMYFUNCTION("""COMPUTED_VALUE"""),"LINEA DE PRODUCCION DE BOTELLONES DE 20")</f>
        <v>LINEA DE PRODUCCION DE BOTELLONES DE 20</v>
      </c>
      <c r="B654" s="5">
        <f ca="1">IFERROR(__xludf.DUMMYFUNCTION("""COMPUTED_VALUE"""),710129)</f>
        <v>710129</v>
      </c>
      <c r="C654" s="5" t="str">
        <f ca="1">IFERROR(__xludf.DUMMYFUNCTION("""COMPUTED_VALUE"""),"LAVADORA DE BOTELLONES")</f>
        <v>LAVADORA DE BOTELLONES</v>
      </c>
      <c r="D654" s="5">
        <f ca="1">IFERROR(__xludf.DUMMYFUNCTION("""COMPUTED_VALUE"""),13247680)</f>
        <v>13247680</v>
      </c>
      <c r="E654" s="5" t="str">
        <f ca="1">IFERROR(__xludf.DUMMYFUNCTION("""COMPUTED_VALUE"""),"INSPECCION SEMANAL LAVADORA DE BOTELLONE")</f>
        <v>INSPECCION SEMANAL LAVADORA DE BOTELLONE</v>
      </c>
      <c r="F654" s="5" t="str">
        <f ca="1">IFERROR(__xludf.DUMMYFUNCTION("""COMPUTED_VALUE"""),"FUNC SISTEMA NEUMATICO(CILINDROS)")</f>
        <v>FUNC SISTEMA NEUMATICO(CILINDROS)</v>
      </c>
      <c r="G654" s="5" t="b">
        <f ca="1">IFERROR(__xludf.DUMMYFUNCTION("""COMPUTED_VALUE"""),TRUE)</f>
        <v>1</v>
      </c>
      <c r="H654" s="5"/>
      <c r="I654" s="5"/>
      <c r="J654" s="5"/>
      <c r="K654" s="5"/>
      <c r="L654" s="18">
        <f ca="1">IFERROR(__xludf.DUMMYFUNCTION("""COMPUTED_VALUE"""),45325)</f>
        <v>45325</v>
      </c>
      <c r="M654" s="18">
        <f ca="1">IFERROR(__xludf.DUMMYFUNCTION("""COMPUTED_VALUE"""),45325)</f>
        <v>45325</v>
      </c>
      <c r="N654" s="5" t="str">
        <f ca="1">IFERROR(__xludf.DUMMYFUNCTION("""COMPUTED_VALUE"""),"Christian Camilo Ramirez Rendón")</f>
        <v>Christian Camilo Ramirez Rendón</v>
      </c>
      <c r="O654" s="2">
        <f ca="1">IFERROR(__xludf.DUMMYFUNCTION("""COMPUTED_VALUE"""),0.005555556)</f>
        <v>5.5555559999999997E-3</v>
      </c>
      <c r="P654" s="5"/>
      <c r="Q654" s="5" t="str">
        <f ca="1">IFERROR(__xludf.DUMMYFUNCTION("""COMPUTED_VALUE"""),"Ss131TYmbtY")</f>
        <v>Ss131TYmbtY</v>
      </c>
      <c r="R654" s="5">
        <f ca="1">IFERROR(__xludf.DUMMYFUNCTION("""COMPUTED_VALUE"""),410)</f>
        <v>410</v>
      </c>
      <c r="S654" s="62">
        <f ca="1">IFERROR(__xludf.DUMMYFUNCTION("""COMPUTED_VALUE"""),0.005555556)</f>
        <v>5.5555559999999997E-3</v>
      </c>
      <c r="T654" s="63" t="str">
        <f ca="1">IFERROR(__xludf.DUMMYFUNCTION("""COMPUTED_VALUE"""),"https://storage.googleapis.com/glide-prod.appspot.com/uploads-v2/ly7o78grxPaC6KdgvbpS/pub/3aRdSog0vUtuqPE8AJKD.png")</f>
        <v>https://storage.googleapis.com/glide-prod.appspot.com/uploads-v2/ly7o78grxPaC6KdgvbpS/pub/3aRdSog0vUtuqPE8AJKD.png</v>
      </c>
      <c r="U654" s="5" t="str">
        <f ca="1">IFERROR(__xludf.DUMMYFUNCTION("""COMPUTED_VALUE"""),"LINEA DE PRODUCCION DE BOTELLONES DE 20LAVADORA DE BOTELLONES")</f>
        <v>LINEA DE PRODUCCION DE BOTELLONES DE 20LAVADORA DE BOTELLONES</v>
      </c>
      <c r="V654" s="5"/>
      <c r="W654" s="5" t="b">
        <f ca="1">IFERROR(__xludf.DUMMYFUNCTION("""COMPUTED_VALUE"""),TRUE)</f>
        <v>1</v>
      </c>
      <c r="X654" s="5" t="str">
        <f ca="1">IFERROR(__xludf.DUMMYFUNCTION("""COMPUTED_VALUE"""),"achavezi@postobon.com.co,aprmttoyu@postobon.com.co,aprmyu@postobon.com.co,wmora@postobon.com.co,efzapata@postobon.com.co")</f>
        <v>achavezi@postobon.com.co,aprmttoyu@postobon.com.co,aprmyu@postobon.com.co,wmora@postobon.com.co,efzapata@postobon.com.co</v>
      </c>
      <c r="Y654" s="5" t="str">
        <f ca="1">IFERROR(__xludf.DUMMYFUNCTION("""COMPUTED_VALUE"""),"achavezi@postobon.com.co")</f>
        <v>achavezi@postobon.com.co</v>
      </c>
      <c r="Z654" s="5" t="str">
        <f ca="1">IFERROR(__xludf.DUMMYFUNCTION("""COMPUTED_VALUE"""),"nuqsX-MgSESCkz3yxtpSSA")</f>
        <v>nuqsX-MgSESCkz3yxtpSSA</v>
      </c>
      <c r="AA654" s="5"/>
      <c r="AB654" s="5"/>
      <c r="AC654" s="5"/>
      <c r="AD654" s="5">
        <f ca="1">IFERROR(__xludf.DUMMYFUNCTION("""COMPUTED_VALUE"""),67)</f>
        <v>67</v>
      </c>
      <c r="AE654" s="5">
        <f ca="1">IFERROR(__xludf.DUMMYFUNCTION("""COMPUTED_VALUE"""),67)</f>
        <v>67</v>
      </c>
      <c r="AF654" s="5" t="b">
        <f ca="1">IFERROR(__xludf.DUMMYFUNCTION("""COMPUTED_VALUE"""),FALSE)</f>
        <v>0</v>
      </c>
      <c r="AG654" s="5" t="str">
        <f ca="1">IFERROR(__xludf.DUMMYFUNCTION("""COMPUTED_VALUE"""),"INSPECCIONES REALIZADAS")</f>
        <v>INSPECCIONES REALIZADAS</v>
      </c>
      <c r="AH654" s="5"/>
    </row>
    <row r="655" spans="1:34">
      <c r="A655" s="5" t="str">
        <f ca="1">IFERROR(__xludf.DUMMYFUNCTION("""COMPUTED_VALUE"""),"LINEA DE PRODUCCION DE BOTELLONES DE 20")</f>
        <v>LINEA DE PRODUCCION DE BOTELLONES DE 20</v>
      </c>
      <c r="B655" s="5">
        <f ca="1">IFERROR(__xludf.DUMMYFUNCTION("""COMPUTED_VALUE"""),710129)</f>
        <v>710129</v>
      </c>
      <c r="C655" s="5" t="str">
        <f ca="1">IFERROR(__xludf.DUMMYFUNCTION("""COMPUTED_VALUE"""),"LAVADORA DE BOTELLONES")</f>
        <v>LAVADORA DE BOTELLONES</v>
      </c>
      <c r="D655" s="5">
        <f ca="1">IFERROR(__xludf.DUMMYFUNCTION("""COMPUTED_VALUE"""),13247680)</f>
        <v>13247680</v>
      </c>
      <c r="E655" s="5" t="str">
        <f ca="1">IFERROR(__xludf.DUMMYFUNCTION("""COMPUTED_VALUE"""),"INSPECCION SEMANAL LAVADORA DE BOTELLONE")</f>
        <v>INSPECCION SEMANAL LAVADORA DE BOTELLONE</v>
      </c>
      <c r="F655" s="5" t="str">
        <f ca="1">IFERROR(__xludf.DUMMYFUNCTION("""COMPUTED_VALUE"""),"ESTADO CADENAS")</f>
        <v>ESTADO CADENAS</v>
      </c>
      <c r="G655" s="5" t="b">
        <f ca="1">IFERROR(__xludf.DUMMYFUNCTION("""COMPUTED_VALUE"""),TRUE)</f>
        <v>1</v>
      </c>
      <c r="H655" s="5"/>
      <c r="I655" s="5"/>
      <c r="J655" s="5"/>
      <c r="K655" s="5"/>
      <c r="L655" s="18">
        <f ca="1">IFERROR(__xludf.DUMMYFUNCTION("""COMPUTED_VALUE"""),45325)</f>
        <v>45325</v>
      </c>
      <c r="M655" s="18">
        <f ca="1">IFERROR(__xludf.DUMMYFUNCTION("""COMPUTED_VALUE"""),45325)</f>
        <v>45325</v>
      </c>
      <c r="N655" s="5" t="str">
        <f ca="1">IFERROR(__xludf.DUMMYFUNCTION("""COMPUTED_VALUE"""),"Christian Camilo Ramirez Rendón")</f>
        <v>Christian Camilo Ramirez Rendón</v>
      </c>
      <c r="O655" s="2">
        <f ca="1">IFERROR(__xludf.DUMMYFUNCTION("""COMPUTED_VALUE"""),0.005555556)</f>
        <v>5.5555559999999997E-3</v>
      </c>
      <c r="P655" s="5"/>
      <c r="Q655" s="5" t="str">
        <f ca="1">IFERROR(__xludf.DUMMYFUNCTION("""COMPUTED_VALUE"""),"cQrVjAnUnAM")</f>
        <v>cQrVjAnUnAM</v>
      </c>
      <c r="R655" s="5">
        <f ca="1">IFERROR(__xludf.DUMMYFUNCTION("""COMPUTED_VALUE"""),410)</f>
        <v>410</v>
      </c>
      <c r="S655" s="62">
        <f ca="1">IFERROR(__xludf.DUMMYFUNCTION("""COMPUTED_VALUE"""),0.005555556)</f>
        <v>5.5555559999999997E-3</v>
      </c>
      <c r="T655" s="63" t="str">
        <f ca="1">IFERROR(__xludf.DUMMYFUNCTION("""COMPUTED_VALUE"""),"https://storage.googleapis.com/glide-prod.appspot.com/uploads-v2/ly7o78grxPaC6KdgvbpS/pub/3aRdSog0vUtuqPE8AJKD.png")</f>
        <v>https://storage.googleapis.com/glide-prod.appspot.com/uploads-v2/ly7o78grxPaC6KdgvbpS/pub/3aRdSog0vUtuqPE8AJKD.png</v>
      </c>
      <c r="U655" s="5" t="str">
        <f ca="1">IFERROR(__xludf.DUMMYFUNCTION("""COMPUTED_VALUE"""),"LINEA DE PRODUCCION DE BOTELLONES DE 20LAVADORA DE BOTELLONES")</f>
        <v>LINEA DE PRODUCCION DE BOTELLONES DE 20LAVADORA DE BOTELLONES</v>
      </c>
      <c r="V655" s="5"/>
      <c r="W655" s="5" t="b">
        <f ca="1">IFERROR(__xludf.DUMMYFUNCTION("""COMPUTED_VALUE"""),TRUE)</f>
        <v>1</v>
      </c>
      <c r="X655" s="5" t="str">
        <f ca="1">IFERROR(__xludf.DUMMYFUNCTION("""COMPUTED_VALUE"""),"achavezi@postobon.com.co,aprmttoyu@postobon.com.co,aprmyu@postobon.com.co,wmora@postobon.com.co,efzapata@postobon.com.co")</f>
        <v>achavezi@postobon.com.co,aprmttoyu@postobon.com.co,aprmyu@postobon.com.co,wmora@postobon.com.co,efzapata@postobon.com.co</v>
      </c>
      <c r="Y655" s="5" t="str">
        <f ca="1">IFERROR(__xludf.DUMMYFUNCTION("""COMPUTED_VALUE"""),"achavezi@postobon.com.co")</f>
        <v>achavezi@postobon.com.co</v>
      </c>
      <c r="Z655" s="5" t="str">
        <f ca="1">IFERROR(__xludf.DUMMYFUNCTION("""COMPUTED_VALUE"""),"Cln6yrf4Q0KF-Hw-Qvmdzg")</f>
        <v>Cln6yrf4Q0KF-Hw-Qvmdzg</v>
      </c>
      <c r="AA655" s="5"/>
      <c r="AB655" s="5"/>
      <c r="AC655" s="5"/>
      <c r="AD655" s="5">
        <f ca="1">IFERROR(__xludf.DUMMYFUNCTION("""COMPUTED_VALUE"""),67)</f>
        <v>67</v>
      </c>
      <c r="AE655" s="5">
        <f ca="1">IFERROR(__xludf.DUMMYFUNCTION("""COMPUTED_VALUE"""),67)</f>
        <v>67</v>
      </c>
      <c r="AF655" s="5" t="b">
        <f ca="1">IFERROR(__xludf.DUMMYFUNCTION("""COMPUTED_VALUE"""),FALSE)</f>
        <v>0</v>
      </c>
      <c r="AG655" s="5" t="str">
        <f ca="1">IFERROR(__xludf.DUMMYFUNCTION("""COMPUTED_VALUE"""),"INSPECCIONES REALIZADAS")</f>
        <v>INSPECCIONES REALIZADAS</v>
      </c>
      <c r="AH655" s="5"/>
    </row>
    <row r="656" spans="1:34">
      <c r="A656" s="5" t="str">
        <f ca="1">IFERROR(__xludf.DUMMYFUNCTION("""COMPUTED_VALUE"""),"LINEA DE PRODUCCION DE BOTELLONES DE 20")</f>
        <v>LINEA DE PRODUCCION DE BOTELLONES DE 20</v>
      </c>
      <c r="B656" s="5">
        <f ca="1">IFERROR(__xludf.DUMMYFUNCTION("""COMPUTED_VALUE"""),710129)</f>
        <v>710129</v>
      </c>
      <c r="C656" s="5" t="str">
        <f ca="1">IFERROR(__xludf.DUMMYFUNCTION("""COMPUTED_VALUE"""),"LAVADORA DE BOTELLONES")</f>
        <v>LAVADORA DE BOTELLONES</v>
      </c>
      <c r="D656" s="5">
        <f ca="1">IFERROR(__xludf.DUMMYFUNCTION("""COMPUTED_VALUE"""),13247680)</f>
        <v>13247680</v>
      </c>
      <c r="E656" s="5" t="str">
        <f ca="1">IFERROR(__xludf.DUMMYFUNCTION("""COMPUTED_VALUE"""),"INSPECCION SEMANAL LAVADORA DE BOTELLONE")</f>
        <v>INSPECCION SEMANAL LAVADORA DE BOTELLONE</v>
      </c>
      <c r="F656" s="5" t="str">
        <f ca="1">IFERROR(__xludf.DUMMYFUNCTION("""COMPUTED_VALUE"""),"FUNC BOQUILLAS LAVADO")</f>
        <v>FUNC BOQUILLAS LAVADO</v>
      </c>
      <c r="G656" s="5" t="b">
        <f ca="1">IFERROR(__xludf.DUMMYFUNCTION("""COMPUTED_VALUE"""),TRUE)</f>
        <v>1</v>
      </c>
      <c r="H656" s="5"/>
      <c r="I656" s="5"/>
      <c r="J656" s="5"/>
      <c r="K656" s="5"/>
      <c r="L656" s="18">
        <f ca="1">IFERROR(__xludf.DUMMYFUNCTION("""COMPUTED_VALUE"""),45325)</f>
        <v>45325</v>
      </c>
      <c r="M656" s="18">
        <f ca="1">IFERROR(__xludf.DUMMYFUNCTION("""COMPUTED_VALUE"""),45325)</f>
        <v>45325</v>
      </c>
      <c r="N656" s="5" t="str">
        <f ca="1">IFERROR(__xludf.DUMMYFUNCTION("""COMPUTED_VALUE"""),"Christian Camilo Ramirez Rendón")</f>
        <v>Christian Camilo Ramirez Rendón</v>
      </c>
      <c r="O656" s="2">
        <f ca="1">IFERROR(__xludf.DUMMYFUNCTION("""COMPUTED_VALUE"""),0.005555556)</f>
        <v>5.5555559999999997E-3</v>
      </c>
      <c r="P656" s="5"/>
      <c r="Q656" s="5" t="str">
        <f ca="1">IFERROR(__xludf.DUMMYFUNCTION("""COMPUTED_VALUE"""),"vDW2JHZOXto")</f>
        <v>vDW2JHZOXto</v>
      </c>
      <c r="R656" s="5">
        <f ca="1">IFERROR(__xludf.DUMMYFUNCTION("""COMPUTED_VALUE"""),410)</f>
        <v>410</v>
      </c>
      <c r="S656" s="62">
        <f ca="1">IFERROR(__xludf.DUMMYFUNCTION("""COMPUTED_VALUE"""),0.005555556)</f>
        <v>5.5555559999999997E-3</v>
      </c>
      <c r="T656" s="63" t="str">
        <f ca="1">IFERROR(__xludf.DUMMYFUNCTION("""COMPUTED_VALUE"""),"https://storage.googleapis.com/glide-prod.appspot.com/uploads-v2/ly7o78grxPaC6KdgvbpS/pub/3aRdSog0vUtuqPE8AJKD.png")</f>
        <v>https://storage.googleapis.com/glide-prod.appspot.com/uploads-v2/ly7o78grxPaC6KdgvbpS/pub/3aRdSog0vUtuqPE8AJKD.png</v>
      </c>
      <c r="U656" s="5" t="str">
        <f ca="1">IFERROR(__xludf.DUMMYFUNCTION("""COMPUTED_VALUE"""),"LINEA DE PRODUCCION DE BOTELLONES DE 20LAVADORA DE BOTELLONES")</f>
        <v>LINEA DE PRODUCCION DE BOTELLONES DE 20LAVADORA DE BOTELLONES</v>
      </c>
      <c r="V656" s="5"/>
      <c r="W656" s="5" t="b">
        <f ca="1">IFERROR(__xludf.DUMMYFUNCTION("""COMPUTED_VALUE"""),TRUE)</f>
        <v>1</v>
      </c>
      <c r="X656" s="5" t="str">
        <f ca="1">IFERROR(__xludf.DUMMYFUNCTION("""COMPUTED_VALUE"""),"achavezi@postobon.com.co,aprmttoyu@postobon.com.co,aprmyu@postobon.com.co,wmora@postobon.com.co,efzapata@postobon.com.co")</f>
        <v>achavezi@postobon.com.co,aprmttoyu@postobon.com.co,aprmyu@postobon.com.co,wmora@postobon.com.co,efzapata@postobon.com.co</v>
      </c>
      <c r="Y656" s="5" t="str">
        <f ca="1">IFERROR(__xludf.DUMMYFUNCTION("""COMPUTED_VALUE"""),"achavezi@postobon.com.co")</f>
        <v>achavezi@postobon.com.co</v>
      </c>
      <c r="Z656" s="5" t="str">
        <f ca="1">IFERROR(__xludf.DUMMYFUNCTION("""COMPUTED_VALUE"""),"W4mGzI2ETMCYJaO3Rs8uKA")</f>
        <v>W4mGzI2ETMCYJaO3Rs8uKA</v>
      </c>
      <c r="AA656" s="5"/>
      <c r="AB656" s="5"/>
      <c r="AC656" s="5"/>
      <c r="AD656" s="5">
        <f ca="1">IFERROR(__xludf.DUMMYFUNCTION("""COMPUTED_VALUE"""),67)</f>
        <v>67</v>
      </c>
      <c r="AE656" s="5">
        <f ca="1">IFERROR(__xludf.DUMMYFUNCTION("""COMPUTED_VALUE"""),67)</f>
        <v>67</v>
      </c>
      <c r="AF656" s="5" t="b">
        <f ca="1">IFERROR(__xludf.DUMMYFUNCTION("""COMPUTED_VALUE"""),FALSE)</f>
        <v>0</v>
      </c>
      <c r="AG656" s="5" t="str">
        <f ca="1">IFERROR(__xludf.DUMMYFUNCTION("""COMPUTED_VALUE"""),"INSPECCIONES REALIZADAS")</f>
        <v>INSPECCIONES REALIZADAS</v>
      </c>
      <c r="AH656" s="5"/>
    </row>
    <row r="657" spans="1:34">
      <c r="A657" s="5" t="str">
        <f ca="1">IFERROR(__xludf.DUMMYFUNCTION("""COMPUTED_VALUE"""),"LINEA DE PRODUCCION DE BOTELLONES DE 20")</f>
        <v>LINEA DE PRODUCCION DE BOTELLONES DE 20</v>
      </c>
      <c r="B657" s="5">
        <f ca="1">IFERROR(__xludf.DUMMYFUNCTION("""COMPUTED_VALUE"""),710129)</f>
        <v>710129</v>
      </c>
      <c r="C657" s="5" t="str">
        <f ca="1">IFERROR(__xludf.DUMMYFUNCTION("""COMPUTED_VALUE"""),"LAVADORA DE BOTELLONES")</f>
        <v>LAVADORA DE BOTELLONES</v>
      </c>
      <c r="D657" s="5">
        <f ca="1">IFERROR(__xludf.DUMMYFUNCTION("""COMPUTED_VALUE"""),13247680)</f>
        <v>13247680</v>
      </c>
      <c r="E657" s="5" t="str">
        <f ca="1">IFERROR(__xludf.DUMMYFUNCTION("""COMPUTED_VALUE"""),"INSPECCION SEMANAL LAVADORA DE BOTELLONE")</f>
        <v>INSPECCION SEMANAL LAVADORA DE BOTELLONE</v>
      </c>
      <c r="F657" s="5" t="str">
        <f ca="1">IFERROR(__xludf.DUMMYFUNCTION("""COMPUTED_VALUE"""),"INSP BALISA Y SENSOR INDUCTIVO")</f>
        <v>INSP BALISA Y SENSOR INDUCTIVO</v>
      </c>
      <c r="G657" s="5" t="b">
        <f ca="1">IFERROR(__xludf.DUMMYFUNCTION("""COMPUTED_VALUE"""),TRUE)</f>
        <v>1</v>
      </c>
      <c r="H657" s="5"/>
      <c r="I657" s="5"/>
      <c r="J657" s="5"/>
      <c r="K657" s="5"/>
      <c r="L657" s="18">
        <f ca="1">IFERROR(__xludf.DUMMYFUNCTION("""COMPUTED_VALUE"""),45325)</f>
        <v>45325</v>
      </c>
      <c r="M657" s="18">
        <f ca="1">IFERROR(__xludf.DUMMYFUNCTION("""COMPUTED_VALUE"""),45325)</f>
        <v>45325</v>
      </c>
      <c r="N657" s="5" t="str">
        <f ca="1">IFERROR(__xludf.DUMMYFUNCTION("""COMPUTED_VALUE"""),"Christian Camilo Ramirez Rendón")</f>
        <v>Christian Camilo Ramirez Rendón</v>
      </c>
      <c r="O657" s="2">
        <f ca="1">IFERROR(__xludf.DUMMYFUNCTION("""COMPUTED_VALUE"""),0.005555556)</f>
        <v>5.5555559999999997E-3</v>
      </c>
      <c r="P657" s="5"/>
      <c r="Q657" s="5" t="str">
        <f ca="1">IFERROR(__xludf.DUMMYFUNCTION("""COMPUTED_VALUE"""),"ixAJG4u34rY")</f>
        <v>ixAJG4u34rY</v>
      </c>
      <c r="R657" s="5">
        <f ca="1">IFERROR(__xludf.DUMMYFUNCTION("""COMPUTED_VALUE"""),410)</f>
        <v>410</v>
      </c>
      <c r="S657" s="62">
        <f ca="1">IFERROR(__xludf.DUMMYFUNCTION("""COMPUTED_VALUE"""),0.005555556)</f>
        <v>5.5555559999999997E-3</v>
      </c>
      <c r="T657" s="63" t="str">
        <f ca="1">IFERROR(__xludf.DUMMYFUNCTION("""COMPUTED_VALUE"""),"https://storage.googleapis.com/glide-prod.appspot.com/uploads-v2/ly7o78grxPaC6KdgvbpS/pub/3aRdSog0vUtuqPE8AJKD.png")</f>
        <v>https://storage.googleapis.com/glide-prod.appspot.com/uploads-v2/ly7o78grxPaC6KdgvbpS/pub/3aRdSog0vUtuqPE8AJKD.png</v>
      </c>
      <c r="U657" s="5" t="str">
        <f ca="1">IFERROR(__xludf.DUMMYFUNCTION("""COMPUTED_VALUE"""),"LINEA DE PRODUCCION DE BOTELLONES DE 20LAVADORA DE BOTELLONES")</f>
        <v>LINEA DE PRODUCCION DE BOTELLONES DE 20LAVADORA DE BOTELLONES</v>
      </c>
      <c r="V657" s="5"/>
      <c r="W657" s="5" t="b">
        <f ca="1">IFERROR(__xludf.DUMMYFUNCTION("""COMPUTED_VALUE"""),TRUE)</f>
        <v>1</v>
      </c>
      <c r="X657" s="5" t="str">
        <f ca="1">IFERROR(__xludf.DUMMYFUNCTION("""COMPUTED_VALUE"""),"achavezi@postobon.com.co,aprmttoyu@postobon.com.co,aprmyu@postobon.com.co,wmora@postobon.com.co,efzapata@postobon.com.co")</f>
        <v>achavezi@postobon.com.co,aprmttoyu@postobon.com.co,aprmyu@postobon.com.co,wmora@postobon.com.co,efzapata@postobon.com.co</v>
      </c>
      <c r="Y657" s="5" t="str">
        <f ca="1">IFERROR(__xludf.DUMMYFUNCTION("""COMPUTED_VALUE"""),"achavezi@postobon.com.co")</f>
        <v>achavezi@postobon.com.co</v>
      </c>
      <c r="Z657" s="5" t="str">
        <f ca="1">IFERROR(__xludf.DUMMYFUNCTION("""COMPUTED_VALUE"""),"fcbrnRIpRa2VHvcnYVvZVw")</f>
        <v>fcbrnRIpRa2VHvcnYVvZVw</v>
      </c>
      <c r="AA657" s="5"/>
      <c r="AB657" s="5"/>
      <c r="AC657" s="5"/>
      <c r="AD657" s="5">
        <f ca="1">IFERROR(__xludf.DUMMYFUNCTION("""COMPUTED_VALUE"""),67)</f>
        <v>67</v>
      </c>
      <c r="AE657" s="5">
        <f ca="1">IFERROR(__xludf.DUMMYFUNCTION("""COMPUTED_VALUE"""),67)</f>
        <v>67</v>
      </c>
      <c r="AF657" s="5" t="b">
        <f ca="1">IFERROR(__xludf.DUMMYFUNCTION("""COMPUTED_VALUE"""),FALSE)</f>
        <v>0</v>
      </c>
      <c r="AG657" s="5" t="str">
        <f ca="1">IFERROR(__xludf.DUMMYFUNCTION("""COMPUTED_VALUE"""),"INSPECCIONES REALIZADAS")</f>
        <v>INSPECCIONES REALIZADAS</v>
      </c>
      <c r="AH657" s="5"/>
    </row>
    <row r="658" spans="1:34">
      <c r="A658" s="5" t="str">
        <f ca="1">IFERROR(__xludf.DUMMYFUNCTION("""COMPUTED_VALUE"""),"LINEA DE PRODUCCION DE BOTELLONES DE 20")</f>
        <v>LINEA DE PRODUCCION DE BOTELLONES DE 20</v>
      </c>
      <c r="B658" s="5">
        <f ca="1">IFERROR(__xludf.DUMMYFUNCTION("""COMPUTED_VALUE"""),710129)</f>
        <v>710129</v>
      </c>
      <c r="C658" s="5" t="str">
        <f ca="1">IFERROR(__xludf.DUMMYFUNCTION("""COMPUTED_VALUE"""),"LAVADORA DE BOTELLONES")</f>
        <v>LAVADORA DE BOTELLONES</v>
      </c>
      <c r="D658" s="5">
        <f ca="1">IFERROR(__xludf.DUMMYFUNCTION("""COMPUTED_VALUE"""),13247680)</f>
        <v>13247680</v>
      </c>
      <c r="E658" s="5" t="str">
        <f ca="1">IFERROR(__xludf.DUMMYFUNCTION("""COMPUTED_VALUE"""),"INSPECCION SEMANAL LAVADORA DE BOTELLONE")</f>
        <v>INSPECCION SEMANAL LAVADORA DE BOTELLONE</v>
      </c>
      <c r="F658" s="5" t="str">
        <f ca="1">IFERROR(__xludf.DUMMYFUNCTION("""COMPUTED_VALUE"""),"ESTADO TABLERO ELECTRICO")</f>
        <v>ESTADO TABLERO ELECTRICO</v>
      </c>
      <c r="G658" s="5" t="b">
        <f ca="1">IFERROR(__xludf.DUMMYFUNCTION("""COMPUTED_VALUE"""),TRUE)</f>
        <v>1</v>
      </c>
      <c r="H658" s="5"/>
      <c r="I658" s="5"/>
      <c r="J658" s="5"/>
      <c r="K658" s="5"/>
      <c r="L658" s="18">
        <f ca="1">IFERROR(__xludf.DUMMYFUNCTION("""COMPUTED_VALUE"""),45325)</f>
        <v>45325</v>
      </c>
      <c r="M658" s="18">
        <f ca="1">IFERROR(__xludf.DUMMYFUNCTION("""COMPUTED_VALUE"""),45325)</f>
        <v>45325</v>
      </c>
      <c r="N658" s="5" t="str">
        <f ca="1">IFERROR(__xludf.DUMMYFUNCTION("""COMPUTED_VALUE"""),"Christian Camilo Ramirez Rendón")</f>
        <v>Christian Camilo Ramirez Rendón</v>
      </c>
      <c r="O658" s="2">
        <f ca="1">IFERROR(__xludf.DUMMYFUNCTION("""COMPUTED_VALUE"""),0.005555556)</f>
        <v>5.5555559999999997E-3</v>
      </c>
      <c r="P658" s="5"/>
      <c r="Q658" s="5" t="str">
        <f ca="1">IFERROR(__xludf.DUMMYFUNCTION("""COMPUTED_VALUE"""),"m-vFHYbXofA")</f>
        <v>m-vFHYbXofA</v>
      </c>
      <c r="R658" s="5">
        <f ca="1">IFERROR(__xludf.DUMMYFUNCTION("""COMPUTED_VALUE"""),410)</f>
        <v>410</v>
      </c>
      <c r="S658" s="62">
        <f ca="1">IFERROR(__xludf.DUMMYFUNCTION("""COMPUTED_VALUE"""),0.005555556)</f>
        <v>5.5555559999999997E-3</v>
      </c>
      <c r="T658" s="63" t="str">
        <f ca="1">IFERROR(__xludf.DUMMYFUNCTION("""COMPUTED_VALUE"""),"https://storage.googleapis.com/glide-prod.appspot.com/uploads-v2/ly7o78grxPaC6KdgvbpS/pub/3aRdSog0vUtuqPE8AJKD.png")</f>
        <v>https://storage.googleapis.com/glide-prod.appspot.com/uploads-v2/ly7o78grxPaC6KdgvbpS/pub/3aRdSog0vUtuqPE8AJKD.png</v>
      </c>
      <c r="U658" s="5" t="str">
        <f ca="1">IFERROR(__xludf.DUMMYFUNCTION("""COMPUTED_VALUE"""),"LINEA DE PRODUCCION DE BOTELLONES DE 20LAVADORA DE BOTELLONES")</f>
        <v>LINEA DE PRODUCCION DE BOTELLONES DE 20LAVADORA DE BOTELLONES</v>
      </c>
      <c r="V658" s="5"/>
      <c r="W658" s="5" t="b">
        <f ca="1">IFERROR(__xludf.DUMMYFUNCTION("""COMPUTED_VALUE"""),TRUE)</f>
        <v>1</v>
      </c>
      <c r="X658" s="5" t="str">
        <f ca="1">IFERROR(__xludf.DUMMYFUNCTION("""COMPUTED_VALUE"""),"achavezi@postobon.com.co,aprmttoyu@postobon.com.co,aprmyu@postobon.com.co,wmora@postobon.com.co,efzapata@postobon.com.co")</f>
        <v>achavezi@postobon.com.co,aprmttoyu@postobon.com.co,aprmyu@postobon.com.co,wmora@postobon.com.co,efzapata@postobon.com.co</v>
      </c>
      <c r="Y658" s="5" t="str">
        <f ca="1">IFERROR(__xludf.DUMMYFUNCTION("""COMPUTED_VALUE"""),"achavezi@postobon.com.co")</f>
        <v>achavezi@postobon.com.co</v>
      </c>
      <c r="Z658" s="5" t="str">
        <f ca="1">IFERROR(__xludf.DUMMYFUNCTION("""COMPUTED_VALUE"""),"JSkJrRbvRJefllQeutsxjA")</f>
        <v>JSkJrRbvRJefllQeutsxjA</v>
      </c>
      <c r="AA658" s="5"/>
      <c r="AB658" s="5"/>
      <c r="AC658" s="5"/>
      <c r="AD658" s="5">
        <f ca="1">IFERROR(__xludf.DUMMYFUNCTION("""COMPUTED_VALUE"""),67)</f>
        <v>67</v>
      </c>
      <c r="AE658" s="5">
        <f ca="1">IFERROR(__xludf.DUMMYFUNCTION("""COMPUTED_VALUE"""),67)</f>
        <v>67</v>
      </c>
      <c r="AF658" s="5" t="b">
        <f ca="1">IFERROR(__xludf.DUMMYFUNCTION("""COMPUTED_VALUE"""),FALSE)</f>
        <v>0</v>
      </c>
      <c r="AG658" s="5" t="str">
        <f ca="1">IFERROR(__xludf.DUMMYFUNCTION("""COMPUTED_VALUE"""),"INSPECCIONES REALIZADAS")</f>
        <v>INSPECCIONES REALIZADAS</v>
      </c>
      <c r="AH658" s="5"/>
    </row>
    <row r="659" spans="1:34">
      <c r="A659" s="5" t="str">
        <f ca="1">IFERROR(__xludf.DUMMYFUNCTION("""COMPUTED_VALUE"""),"LINEA DE PRODUCCION DE BOTELLONES DE 20")</f>
        <v>LINEA DE PRODUCCION DE BOTELLONES DE 20</v>
      </c>
      <c r="B659" s="5">
        <f ca="1">IFERROR(__xludf.DUMMYFUNCTION("""COMPUTED_VALUE"""),710129)</f>
        <v>710129</v>
      </c>
      <c r="C659" s="5" t="str">
        <f ca="1">IFERROR(__xludf.DUMMYFUNCTION("""COMPUTED_VALUE"""),"LAVADORA DE BOTELLONES")</f>
        <v>LAVADORA DE BOTELLONES</v>
      </c>
      <c r="D659" s="5">
        <f ca="1">IFERROR(__xludf.DUMMYFUNCTION("""COMPUTED_VALUE"""),13247680)</f>
        <v>13247680</v>
      </c>
      <c r="E659" s="5" t="str">
        <f ca="1">IFERROR(__xludf.DUMMYFUNCTION("""COMPUTED_VALUE"""),"INSPECCION SEMANAL LAVADORA DE BOTELLONE")</f>
        <v>INSPECCION SEMANAL LAVADORA DE BOTELLONE</v>
      </c>
      <c r="F659" s="5" t="str">
        <f ca="1">IFERROR(__xludf.DUMMYFUNCTION("""COMPUTED_VALUE"""),"ESTADO GRAL ESTRUCTURA")</f>
        <v>ESTADO GRAL ESTRUCTURA</v>
      </c>
      <c r="G659" s="5" t="b">
        <f ca="1">IFERROR(__xludf.DUMMYFUNCTION("""COMPUTED_VALUE"""),TRUE)</f>
        <v>1</v>
      </c>
      <c r="H659" s="5"/>
      <c r="I659" s="5"/>
      <c r="J659" s="5"/>
      <c r="K659" s="5"/>
      <c r="L659" s="18">
        <f ca="1">IFERROR(__xludf.DUMMYFUNCTION("""COMPUTED_VALUE"""),45325)</f>
        <v>45325</v>
      </c>
      <c r="M659" s="18">
        <f ca="1">IFERROR(__xludf.DUMMYFUNCTION("""COMPUTED_VALUE"""),45325)</f>
        <v>45325</v>
      </c>
      <c r="N659" s="5" t="str">
        <f ca="1">IFERROR(__xludf.DUMMYFUNCTION("""COMPUTED_VALUE"""),"Christian Camilo Ramirez Rendón")</f>
        <v>Christian Camilo Ramirez Rendón</v>
      </c>
      <c r="O659" s="2">
        <f ca="1">IFERROR(__xludf.DUMMYFUNCTION("""COMPUTED_VALUE"""),0.005555556)</f>
        <v>5.5555559999999997E-3</v>
      </c>
      <c r="P659" s="5"/>
      <c r="Q659" s="5" t="str">
        <f ca="1">IFERROR(__xludf.DUMMYFUNCTION("""COMPUTED_VALUE"""),"Ls5vuPmsUmw")</f>
        <v>Ls5vuPmsUmw</v>
      </c>
      <c r="R659" s="5">
        <f ca="1">IFERROR(__xludf.DUMMYFUNCTION("""COMPUTED_VALUE"""),410)</f>
        <v>410</v>
      </c>
      <c r="S659" s="62">
        <f ca="1">IFERROR(__xludf.DUMMYFUNCTION("""COMPUTED_VALUE"""),0.005555556)</f>
        <v>5.5555559999999997E-3</v>
      </c>
      <c r="T659" s="63" t="str">
        <f ca="1">IFERROR(__xludf.DUMMYFUNCTION("""COMPUTED_VALUE"""),"https://storage.googleapis.com/glide-prod.appspot.com/uploads-v2/ly7o78grxPaC6KdgvbpS/pub/3aRdSog0vUtuqPE8AJKD.png")</f>
        <v>https://storage.googleapis.com/glide-prod.appspot.com/uploads-v2/ly7o78grxPaC6KdgvbpS/pub/3aRdSog0vUtuqPE8AJKD.png</v>
      </c>
      <c r="U659" s="5" t="str">
        <f ca="1">IFERROR(__xludf.DUMMYFUNCTION("""COMPUTED_VALUE"""),"LINEA DE PRODUCCION DE BOTELLONES DE 20LAVADORA DE BOTELLONES")</f>
        <v>LINEA DE PRODUCCION DE BOTELLONES DE 20LAVADORA DE BOTELLONES</v>
      </c>
      <c r="V659" s="5"/>
      <c r="W659" s="5" t="b">
        <f ca="1">IFERROR(__xludf.DUMMYFUNCTION("""COMPUTED_VALUE"""),TRUE)</f>
        <v>1</v>
      </c>
      <c r="X659" s="5" t="str">
        <f ca="1">IFERROR(__xludf.DUMMYFUNCTION("""COMPUTED_VALUE"""),"achavezi@postobon.com.co,aprmttoyu@postobon.com.co,aprmyu@postobon.com.co,wmora@postobon.com.co,efzapata@postobon.com.co")</f>
        <v>achavezi@postobon.com.co,aprmttoyu@postobon.com.co,aprmyu@postobon.com.co,wmora@postobon.com.co,efzapata@postobon.com.co</v>
      </c>
      <c r="Y659" s="5" t="str">
        <f ca="1">IFERROR(__xludf.DUMMYFUNCTION("""COMPUTED_VALUE"""),"achavezi@postobon.com.co")</f>
        <v>achavezi@postobon.com.co</v>
      </c>
      <c r="Z659" s="5" t="str">
        <f ca="1">IFERROR(__xludf.DUMMYFUNCTION("""COMPUTED_VALUE"""),"1xeDAGevR0WbrPJtytKbXQ")</f>
        <v>1xeDAGevR0WbrPJtytKbXQ</v>
      </c>
      <c r="AA659" s="5"/>
      <c r="AB659" s="5"/>
      <c r="AC659" s="5"/>
      <c r="AD659" s="5">
        <f ca="1">IFERROR(__xludf.DUMMYFUNCTION("""COMPUTED_VALUE"""),67)</f>
        <v>67</v>
      </c>
      <c r="AE659" s="5">
        <f ca="1">IFERROR(__xludf.DUMMYFUNCTION("""COMPUTED_VALUE"""),67)</f>
        <v>67</v>
      </c>
      <c r="AF659" s="5" t="b">
        <f ca="1">IFERROR(__xludf.DUMMYFUNCTION("""COMPUTED_VALUE"""),FALSE)</f>
        <v>0</v>
      </c>
      <c r="AG659" s="5" t="str">
        <f ca="1">IFERROR(__xludf.DUMMYFUNCTION("""COMPUTED_VALUE"""),"INSPECCIONES REALIZADAS")</f>
        <v>INSPECCIONES REALIZADAS</v>
      </c>
      <c r="AH659" s="5"/>
    </row>
    <row r="660" spans="1:34">
      <c r="A660" s="5" t="str">
        <f ca="1">IFERROR(__xludf.DUMMYFUNCTION("""COMPUTED_VALUE"""),"LINEA DE PRODUCCION DE BOTELLONES DE 20")</f>
        <v>LINEA DE PRODUCCION DE BOTELLONES DE 20</v>
      </c>
      <c r="B660" s="5">
        <f ca="1">IFERROR(__xludf.DUMMYFUNCTION("""COMPUTED_VALUE"""),710129)</f>
        <v>710129</v>
      </c>
      <c r="C660" s="5" t="str">
        <f ca="1">IFERROR(__xludf.DUMMYFUNCTION("""COMPUTED_VALUE"""),"LAVADORA DE BOTELLONES")</f>
        <v>LAVADORA DE BOTELLONES</v>
      </c>
      <c r="D660" s="5">
        <f ca="1">IFERROR(__xludf.DUMMYFUNCTION("""COMPUTED_VALUE"""),13247680)</f>
        <v>13247680</v>
      </c>
      <c r="E660" s="5" t="str">
        <f ca="1">IFERROR(__xludf.DUMMYFUNCTION("""COMPUTED_VALUE"""),"INSPECCION SEMANAL LAVADORA DE BOTELLONE")</f>
        <v>INSPECCION SEMANAL LAVADORA DE BOTELLONE</v>
      </c>
      <c r="F660" s="5" t="str">
        <f ca="1">IFERROR(__xludf.DUMMYFUNCTION("""COMPUTED_VALUE"""),"FRENO ENTRADA BOTELLON")</f>
        <v>FRENO ENTRADA BOTELLON</v>
      </c>
      <c r="G660" s="5" t="b">
        <f ca="1">IFERROR(__xludf.DUMMYFUNCTION("""COMPUTED_VALUE"""),TRUE)</f>
        <v>1</v>
      </c>
      <c r="H660" s="5"/>
      <c r="I660" s="5"/>
      <c r="J660" s="5"/>
      <c r="K660" s="5"/>
      <c r="L660" s="18">
        <f ca="1">IFERROR(__xludf.DUMMYFUNCTION("""COMPUTED_VALUE"""),45325)</f>
        <v>45325</v>
      </c>
      <c r="M660" s="18">
        <f ca="1">IFERROR(__xludf.DUMMYFUNCTION("""COMPUTED_VALUE"""),45325)</f>
        <v>45325</v>
      </c>
      <c r="N660" s="5" t="str">
        <f ca="1">IFERROR(__xludf.DUMMYFUNCTION("""COMPUTED_VALUE"""),"Christian Camilo Ramirez Rendón")</f>
        <v>Christian Camilo Ramirez Rendón</v>
      </c>
      <c r="O660" s="2">
        <f ca="1">IFERROR(__xludf.DUMMYFUNCTION("""COMPUTED_VALUE"""),0.005555556)</f>
        <v>5.5555559999999997E-3</v>
      </c>
      <c r="P660" s="5"/>
      <c r="Q660" s="5" t="str">
        <f ca="1">IFERROR(__xludf.DUMMYFUNCTION("""COMPUTED_VALUE"""),"MNU0Ed5l7H8")</f>
        <v>MNU0Ed5l7H8</v>
      </c>
      <c r="R660" s="5">
        <f ca="1">IFERROR(__xludf.DUMMYFUNCTION("""COMPUTED_VALUE"""),410)</f>
        <v>410</v>
      </c>
      <c r="S660" s="62">
        <f ca="1">IFERROR(__xludf.DUMMYFUNCTION("""COMPUTED_VALUE"""),0.005555556)</f>
        <v>5.5555559999999997E-3</v>
      </c>
      <c r="T660" s="63" t="str">
        <f ca="1">IFERROR(__xludf.DUMMYFUNCTION("""COMPUTED_VALUE"""),"https://storage.googleapis.com/glide-prod.appspot.com/uploads-v2/ly7o78grxPaC6KdgvbpS/pub/3aRdSog0vUtuqPE8AJKD.png")</f>
        <v>https://storage.googleapis.com/glide-prod.appspot.com/uploads-v2/ly7o78grxPaC6KdgvbpS/pub/3aRdSog0vUtuqPE8AJKD.png</v>
      </c>
      <c r="U660" s="5" t="str">
        <f ca="1">IFERROR(__xludf.DUMMYFUNCTION("""COMPUTED_VALUE"""),"LINEA DE PRODUCCION DE BOTELLONES DE 20LAVADORA DE BOTELLONES")</f>
        <v>LINEA DE PRODUCCION DE BOTELLONES DE 20LAVADORA DE BOTELLONES</v>
      </c>
      <c r="V660" s="5"/>
      <c r="W660" s="5" t="b">
        <f ca="1">IFERROR(__xludf.DUMMYFUNCTION("""COMPUTED_VALUE"""),TRUE)</f>
        <v>1</v>
      </c>
      <c r="X660" s="5" t="str">
        <f ca="1">IFERROR(__xludf.DUMMYFUNCTION("""COMPUTED_VALUE"""),"achavezi@postobon.com.co,aprmttoyu@postobon.com.co,aprmyu@postobon.com.co,wmora@postobon.com.co,efzapata@postobon.com.co")</f>
        <v>achavezi@postobon.com.co,aprmttoyu@postobon.com.co,aprmyu@postobon.com.co,wmora@postobon.com.co,efzapata@postobon.com.co</v>
      </c>
      <c r="Y660" s="5" t="str">
        <f ca="1">IFERROR(__xludf.DUMMYFUNCTION("""COMPUTED_VALUE"""),"achavezi@postobon.com.co")</f>
        <v>achavezi@postobon.com.co</v>
      </c>
      <c r="Z660" s="5" t="str">
        <f ca="1">IFERROR(__xludf.DUMMYFUNCTION("""COMPUTED_VALUE"""),"LD7Kul3RRdipEYE4RD2i6g")</f>
        <v>LD7Kul3RRdipEYE4RD2i6g</v>
      </c>
      <c r="AA660" s="5"/>
      <c r="AB660" s="5"/>
      <c r="AC660" s="5"/>
      <c r="AD660" s="5">
        <f ca="1">IFERROR(__xludf.DUMMYFUNCTION("""COMPUTED_VALUE"""),67)</f>
        <v>67</v>
      </c>
      <c r="AE660" s="5">
        <f ca="1">IFERROR(__xludf.DUMMYFUNCTION("""COMPUTED_VALUE"""),67)</f>
        <v>67</v>
      </c>
      <c r="AF660" s="5" t="b">
        <f ca="1">IFERROR(__xludf.DUMMYFUNCTION("""COMPUTED_VALUE"""),FALSE)</f>
        <v>0</v>
      </c>
      <c r="AG660" s="5" t="str">
        <f ca="1">IFERROR(__xludf.DUMMYFUNCTION("""COMPUTED_VALUE"""),"INSPECCIONES REALIZADAS")</f>
        <v>INSPECCIONES REALIZADAS</v>
      </c>
      <c r="AH660" s="5"/>
    </row>
    <row r="661" spans="1:34">
      <c r="A661" s="5" t="str">
        <f ca="1">IFERROR(__xludf.DUMMYFUNCTION("""COMPUTED_VALUE"""),"LINEA DE PRODUCCION DE BOTELLONES DE 20")</f>
        <v>LINEA DE PRODUCCION DE BOTELLONES DE 20</v>
      </c>
      <c r="B661" s="5">
        <f ca="1">IFERROR(__xludf.DUMMYFUNCTION("""COMPUTED_VALUE"""),710129)</f>
        <v>710129</v>
      </c>
      <c r="C661" s="5" t="str">
        <f ca="1">IFERROR(__xludf.DUMMYFUNCTION("""COMPUTED_VALUE"""),"LAVADORA DE BOTELLONES")</f>
        <v>LAVADORA DE BOTELLONES</v>
      </c>
      <c r="D661" s="5">
        <f ca="1">IFERROR(__xludf.DUMMYFUNCTION("""COMPUTED_VALUE"""),13247680)</f>
        <v>13247680</v>
      </c>
      <c r="E661" s="5" t="str">
        <f ca="1">IFERROR(__xludf.DUMMYFUNCTION("""COMPUTED_VALUE"""),"INSPECCION SEMANAL LAVADORA DE BOTELLONE")</f>
        <v>INSPECCION SEMANAL LAVADORA DE BOTELLONE</v>
      </c>
      <c r="F661" s="5" t="str">
        <f ca="1">IFERROR(__xludf.DUMMYFUNCTION("""COMPUTED_VALUE"""),"VOLTEADOR BOTELLON ENTRADA")</f>
        <v>VOLTEADOR BOTELLON ENTRADA</v>
      </c>
      <c r="G661" s="5" t="b">
        <f ca="1">IFERROR(__xludf.DUMMYFUNCTION("""COMPUTED_VALUE"""),TRUE)</f>
        <v>1</v>
      </c>
      <c r="H661" s="5"/>
      <c r="I661" s="5"/>
      <c r="J661" s="5"/>
      <c r="K661" s="5"/>
      <c r="L661" s="18">
        <f ca="1">IFERROR(__xludf.DUMMYFUNCTION("""COMPUTED_VALUE"""),45325)</f>
        <v>45325</v>
      </c>
      <c r="M661" s="18">
        <f ca="1">IFERROR(__xludf.DUMMYFUNCTION("""COMPUTED_VALUE"""),45325)</f>
        <v>45325</v>
      </c>
      <c r="N661" s="5" t="str">
        <f ca="1">IFERROR(__xludf.DUMMYFUNCTION("""COMPUTED_VALUE"""),"Christian Camilo Ramirez Rendón")</f>
        <v>Christian Camilo Ramirez Rendón</v>
      </c>
      <c r="O661" s="2">
        <f ca="1">IFERROR(__xludf.DUMMYFUNCTION("""COMPUTED_VALUE"""),0.005555556)</f>
        <v>5.5555559999999997E-3</v>
      </c>
      <c r="P661" s="5"/>
      <c r="Q661" s="5" t="str">
        <f ca="1">IFERROR(__xludf.DUMMYFUNCTION("""COMPUTED_VALUE"""),"Grhrcnu4PKA")</f>
        <v>Grhrcnu4PKA</v>
      </c>
      <c r="R661" s="5">
        <f ca="1">IFERROR(__xludf.DUMMYFUNCTION("""COMPUTED_VALUE"""),410)</f>
        <v>410</v>
      </c>
      <c r="S661" s="62">
        <f ca="1">IFERROR(__xludf.DUMMYFUNCTION("""COMPUTED_VALUE"""),0.005555556)</f>
        <v>5.5555559999999997E-3</v>
      </c>
      <c r="T661" s="63" t="str">
        <f ca="1">IFERROR(__xludf.DUMMYFUNCTION("""COMPUTED_VALUE"""),"https://storage.googleapis.com/glide-prod.appspot.com/uploads-v2/ly7o78grxPaC6KdgvbpS/pub/3aRdSog0vUtuqPE8AJKD.png")</f>
        <v>https://storage.googleapis.com/glide-prod.appspot.com/uploads-v2/ly7o78grxPaC6KdgvbpS/pub/3aRdSog0vUtuqPE8AJKD.png</v>
      </c>
      <c r="U661" s="5" t="str">
        <f ca="1">IFERROR(__xludf.DUMMYFUNCTION("""COMPUTED_VALUE"""),"LINEA DE PRODUCCION DE BOTELLONES DE 20LAVADORA DE BOTELLONES")</f>
        <v>LINEA DE PRODUCCION DE BOTELLONES DE 20LAVADORA DE BOTELLONES</v>
      </c>
      <c r="V661" s="5"/>
      <c r="W661" s="5" t="b">
        <f ca="1">IFERROR(__xludf.DUMMYFUNCTION("""COMPUTED_VALUE"""),TRUE)</f>
        <v>1</v>
      </c>
      <c r="X661" s="5" t="str">
        <f ca="1">IFERROR(__xludf.DUMMYFUNCTION("""COMPUTED_VALUE"""),"achavezi@postobon.com.co,aprmttoyu@postobon.com.co,aprmyu@postobon.com.co,wmora@postobon.com.co,efzapata@postobon.com.co")</f>
        <v>achavezi@postobon.com.co,aprmttoyu@postobon.com.co,aprmyu@postobon.com.co,wmora@postobon.com.co,efzapata@postobon.com.co</v>
      </c>
      <c r="Y661" s="5" t="str">
        <f ca="1">IFERROR(__xludf.DUMMYFUNCTION("""COMPUTED_VALUE"""),"achavezi@postobon.com.co")</f>
        <v>achavezi@postobon.com.co</v>
      </c>
      <c r="Z661" s="5" t="str">
        <f ca="1">IFERROR(__xludf.DUMMYFUNCTION("""COMPUTED_VALUE"""),"1llNNfZeQdOC5GOT9kF0xA")</f>
        <v>1llNNfZeQdOC5GOT9kF0xA</v>
      </c>
      <c r="AA661" s="5"/>
      <c r="AB661" s="5"/>
      <c r="AC661" s="5"/>
      <c r="AD661" s="5">
        <f ca="1">IFERROR(__xludf.DUMMYFUNCTION("""COMPUTED_VALUE"""),67)</f>
        <v>67</v>
      </c>
      <c r="AE661" s="5">
        <f ca="1">IFERROR(__xludf.DUMMYFUNCTION("""COMPUTED_VALUE"""),67)</f>
        <v>67</v>
      </c>
      <c r="AF661" s="5" t="b">
        <f ca="1">IFERROR(__xludf.DUMMYFUNCTION("""COMPUTED_VALUE"""),FALSE)</f>
        <v>0</v>
      </c>
      <c r="AG661" s="5" t="str">
        <f ca="1">IFERROR(__xludf.DUMMYFUNCTION("""COMPUTED_VALUE"""),"INSPECCIONES REALIZADAS")</f>
        <v>INSPECCIONES REALIZADAS</v>
      </c>
      <c r="AH661" s="5"/>
    </row>
    <row r="662" spans="1:34">
      <c r="A662" s="5" t="str">
        <f ca="1">IFERROR(__xludf.DUMMYFUNCTION("""COMPUTED_VALUE"""),"LINEA DE PRODUCCION DE BOTELLONES DE 20")</f>
        <v>LINEA DE PRODUCCION DE BOTELLONES DE 20</v>
      </c>
      <c r="B662" s="5">
        <f ca="1">IFERROR(__xludf.DUMMYFUNCTION("""COMPUTED_VALUE"""),710129)</f>
        <v>710129</v>
      </c>
      <c r="C662" s="5" t="str">
        <f ca="1">IFERROR(__xludf.DUMMYFUNCTION("""COMPUTED_VALUE"""),"LAVADORA DE BOTELLONES")</f>
        <v>LAVADORA DE BOTELLONES</v>
      </c>
      <c r="D662" s="5">
        <f ca="1">IFERROR(__xludf.DUMMYFUNCTION("""COMPUTED_VALUE"""),13247680)</f>
        <v>13247680</v>
      </c>
      <c r="E662" s="5" t="str">
        <f ca="1">IFERROR(__xludf.DUMMYFUNCTION("""COMPUTED_VALUE"""),"INSPECCION SEMANAL LAVADORA DE BOTELLONE")</f>
        <v>INSPECCION SEMANAL LAVADORA DE BOTELLONE</v>
      </c>
      <c r="F662" s="5" t="str">
        <f ca="1">IFERROR(__xludf.DUMMYFUNCTION("""COMPUTED_VALUE"""),"INSPECCION BOMBA DETERGENTE")</f>
        <v>INSPECCION BOMBA DETERGENTE</v>
      </c>
      <c r="G662" s="5" t="b">
        <f ca="1">IFERROR(__xludf.DUMMYFUNCTION("""COMPUTED_VALUE"""),TRUE)</f>
        <v>1</v>
      </c>
      <c r="H662" s="5"/>
      <c r="I662" s="5"/>
      <c r="J662" s="5"/>
      <c r="K662" s="5"/>
      <c r="L662" s="18">
        <f ca="1">IFERROR(__xludf.DUMMYFUNCTION("""COMPUTED_VALUE"""),45325)</f>
        <v>45325</v>
      </c>
      <c r="M662" s="18">
        <f ca="1">IFERROR(__xludf.DUMMYFUNCTION("""COMPUTED_VALUE"""),45325)</f>
        <v>45325</v>
      </c>
      <c r="N662" s="5" t="str">
        <f ca="1">IFERROR(__xludf.DUMMYFUNCTION("""COMPUTED_VALUE"""),"Christian Camilo Ramirez Rendón")</f>
        <v>Christian Camilo Ramirez Rendón</v>
      </c>
      <c r="O662" s="2">
        <f ca="1">IFERROR(__xludf.DUMMYFUNCTION("""COMPUTED_VALUE"""),0.005555556)</f>
        <v>5.5555559999999997E-3</v>
      </c>
      <c r="P662" s="5"/>
      <c r="Q662" s="5" t="str">
        <f ca="1">IFERROR(__xludf.DUMMYFUNCTION("""COMPUTED_VALUE"""),"ygMC_0-DuUM")</f>
        <v>ygMC_0-DuUM</v>
      </c>
      <c r="R662" s="5">
        <f ca="1">IFERROR(__xludf.DUMMYFUNCTION("""COMPUTED_VALUE"""),410)</f>
        <v>410</v>
      </c>
      <c r="S662" s="62">
        <f ca="1">IFERROR(__xludf.DUMMYFUNCTION("""COMPUTED_VALUE"""),0.005555556)</f>
        <v>5.5555559999999997E-3</v>
      </c>
      <c r="T662" s="63" t="str">
        <f ca="1">IFERROR(__xludf.DUMMYFUNCTION("""COMPUTED_VALUE"""),"https://storage.googleapis.com/glide-prod.appspot.com/uploads-v2/ly7o78grxPaC6KdgvbpS/pub/3aRdSog0vUtuqPE8AJKD.png")</f>
        <v>https://storage.googleapis.com/glide-prod.appspot.com/uploads-v2/ly7o78grxPaC6KdgvbpS/pub/3aRdSog0vUtuqPE8AJKD.png</v>
      </c>
      <c r="U662" s="5" t="str">
        <f ca="1">IFERROR(__xludf.DUMMYFUNCTION("""COMPUTED_VALUE"""),"LINEA DE PRODUCCION DE BOTELLONES DE 20LAVADORA DE BOTELLONES")</f>
        <v>LINEA DE PRODUCCION DE BOTELLONES DE 20LAVADORA DE BOTELLONES</v>
      </c>
      <c r="V662" s="5"/>
      <c r="W662" s="5" t="b">
        <f ca="1">IFERROR(__xludf.DUMMYFUNCTION("""COMPUTED_VALUE"""),TRUE)</f>
        <v>1</v>
      </c>
      <c r="X662" s="5" t="str">
        <f ca="1">IFERROR(__xludf.DUMMYFUNCTION("""COMPUTED_VALUE"""),"achavezi@postobon.com.co,aprmttoyu@postobon.com.co,aprmyu@postobon.com.co,wmora@postobon.com.co,efzapata@postobon.com.co")</f>
        <v>achavezi@postobon.com.co,aprmttoyu@postobon.com.co,aprmyu@postobon.com.co,wmora@postobon.com.co,efzapata@postobon.com.co</v>
      </c>
      <c r="Y662" s="5" t="str">
        <f ca="1">IFERROR(__xludf.DUMMYFUNCTION("""COMPUTED_VALUE"""),"achavezi@postobon.com.co")</f>
        <v>achavezi@postobon.com.co</v>
      </c>
      <c r="Z662" s="5" t="str">
        <f ca="1">IFERROR(__xludf.DUMMYFUNCTION("""COMPUTED_VALUE"""),"MkkZLG2kR2KaZeunKrE28Q")</f>
        <v>MkkZLG2kR2KaZeunKrE28Q</v>
      </c>
      <c r="AA662" s="5"/>
      <c r="AB662" s="5"/>
      <c r="AC662" s="5"/>
      <c r="AD662" s="5">
        <f ca="1">IFERROR(__xludf.DUMMYFUNCTION("""COMPUTED_VALUE"""),67)</f>
        <v>67</v>
      </c>
      <c r="AE662" s="5">
        <f ca="1">IFERROR(__xludf.DUMMYFUNCTION("""COMPUTED_VALUE"""),67)</f>
        <v>67</v>
      </c>
      <c r="AF662" s="5" t="b">
        <f ca="1">IFERROR(__xludf.DUMMYFUNCTION("""COMPUTED_VALUE"""),FALSE)</f>
        <v>0</v>
      </c>
      <c r="AG662" s="5" t="str">
        <f ca="1">IFERROR(__xludf.DUMMYFUNCTION("""COMPUTED_VALUE"""),"INSPECCIONES REALIZADAS")</f>
        <v>INSPECCIONES REALIZADAS</v>
      </c>
      <c r="AH662" s="5"/>
    </row>
    <row r="663" spans="1:34">
      <c r="A663" s="5" t="str">
        <f ca="1">IFERROR(__xludf.DUMMYFUNCTION("""COMPUTED_VALUE"""),"LINEA DE PRODUCCION DE BOTELLONES DE 20")</f>
        <v>LINEA DE PRODUCCION DE BOTELLONES DE 20</v>
      </c>
      <c r="B663" s="5">
        <f ca="1">IFERROR(__xludf.DUMMYFUNCTION("""COMPUTED_VALUE"""),710129)</f>
        <v>710129</v>
      </c>
      <c r="C663" s="5" t="str">
        <f ca="1">IFERROR(__xludf.DUMMYFUNCTION("""COMPUTED_VALUE"""),"LAVADORA DE BOTELLONES")</f>
        <v>LAVADORA DE BOTELLONES</v>
      </c>
      <c r="D663" s="5">
        <f ca="1">IFERROR(__xludf.DUMMYFUNCTION("""COMPUTED_VALUE"""),13247680)</f>
        <v>13247680</v>
      </c>
      <c r="E663" s="5" t="str">
        <f ca="1">IFERROR(__xludf.DUMMYFUNCTION("""COMPUTED_VALUE"""),"INSPECCION SEMANAL LAVADORA DE BOTELLONE")</f>
        <v>INSPECCION SEMANAL LAVADORA DE BOTELLONE</v>
      </c>
      <c r="F663" s="5" t="str">
        <f ca="1">IFERROR(__xludf.DUMMYFUNCTION("""COMPUTED_VALUE"""),"INSPECCION BOMBA ENJUAGUE")</f>
        <v>INSPECCION BOMBA ENJUAGUE</v>
      </c>
      <c r="G663" s="5" t="b">
        <f ca="1">IFERROR(__xludf.DUMMYFUNCTION("""COMPUTED_VALUE"""),TRUE)</f>
        <v>1</v>
      </c>
      <c r="H663" s="5"/>
      <c r="I663" s="5"/>
      <c r="J663" s="5"/>
      <c r="K663" s="5"/>
      <c r="L663" s="18">
        <f ca="1">IFERROR(__xludf.DUMMYFUNCTION("""COMPUTED_VALUE"""),45325)</f>
        <v>45325</v>
      </c>
      <c r="M663" s="18">
        <f ca="1">IFERROR(__xludf.DUMMYFUNCTION("""COMPUTED_VALUE"""),45325)</f>
        <v>45325</v>
      </c>
      <c r="N663" s="5" t="str">
        <f ca="1">IFERROR(__xludf.DUMMYFUNCTION("""COMPUTED_VALUE"""),"Christian Camilo Ramirez Rendón")</f>
        <v>Christian Camilo Ramirez Rendón</v>
      </c>
      <c r="O663" s="2">
        <f ca="1">IFERROR(__xludf.DUMMYFUNCTION("""COMPUTED_VALUE"""),0.005555556)</f>
        <v>5.5555559999999997E-3</v>
      </c>
      <c r="P663" s="5"/>
      <c r="Q663" s="5" t="str">
        <f ca="1">IFERROR(__xludf.DUMMYFUNCTION("""COMPUTED_VALUE"""),"oPUaDPvyQ2s")</f>
        <v>oPUaDPvyQ2s</v>
      </c>
      <c r="R663" s="5">
        <f ca="1">IFERROR(__xludf.DUMMYFUNCTION("""COMPUTED_VALUE"""),410)</f>
        <v>410</v>
      </c>
      <c r="S663" s="62">
        <f ca="1">IFERROR(__xludf.DUMMYFUNCTION("""COMPUTED_VALUE"""),0.005555556)</f>
        <v>5.5555559999999997E-3</v>
      </c>
      <c r="T663" s="63" t="str">
        <f ca="1">IFERROR(__xludf.DUMMYFUNCTION("""COMPUTED_VALUE"""),"https://storage.googleapis.com/glide-prod.appspot.com/uploads-v2/ly7o78grxPaC6KdgvbpS/pub/3aRdSog0vUtuqPE8AJKD.png")</f>
        <v>https://storage.googleapis.com/glide-prod.appspot.com/uploads-v2/ly7o78grxPaC6KdgvbpS/pub/3aRdSog0vUtuqPE8AJKD.png</v>
      </c>
      <c r="U663" s="5" t="str">
        <f ca="1">IFERROR(__xludf.DUMMYFUNCTION("""COMPUTED_VALUE"""),"LINEA DE PRODUCCION DE BOTELLONES DE 20LAVADORA DE BOTELLONES")</f>
        <v>LINEA DE PRODUCCION DE BOTELLONES DE 20LAVADORA DE BOTELLONES</v>
      </c>
      <c r="V663" s="5"/>
      <c r="W663" s="5" t="b">
        <f ca="1">IFERROR(__xludf.DUMMYFUNCTION("""COMPUTED_VALUE"""),TRUE)</f>
        <v>1</v>
      </c>
      <c r="X663" s="5" t="str">
        <f ca="1">IFERROR(__xludf.DUMMYFUNCTION("""COMPUTED_VALUE"""),"achavezi@postobon.com.co,aprmttoyu@postobon.com.co,aprmyu@postobon.com.co,wmora@postobon.com.co,efzapata@postobon.com.co")</f>
        <v>achavezi@postobon.com.co,aprmttoyu@postobon.com.co,aprmyu@postobon.com.co,wmora@postobon.com.co,efzapata@postobon.com.co</v>
      </c>
      <c r="Y663" s="5" t="str">
        <f ca="1">IFERROR(__xludf.DUMMYFUNCTION("""COMPUTED_VALUE"""),"achavezi@postobon.com.co")</f>
        <v>achavezi@postobon.com.co</v>
      </c>
      <c r="Z663" s="5" t="str">
        <f ca="1">IFERROR(__xludf.DUMMYFUNCTION("""COMPUTED_VALUE"""),"gqTgDZF.TZ-9uZnHgpW0dA")</f>
        <v>gqTgDZF.TZ-9uZnHgpW0dA</v>
      </c>
      <c r="AA663" s="5"/>
      <c r="AB663" s="5"/>
      <c r="AC663" s="5"/>
      <c r="AD663" s="5">
        <f ca="1">IFERROR(__xludf.DUMMYFUNCTION("""COMPUTED_VALUE"""),67)</f>
        <v>67</v>
      </c>
      <c r="AE663" s="5">
        <f ca="1">IFERROR(__xludf.DUMMYFUNCTION("""COMPUTED_VALUE"""),67)</f>
        <v>67</v>
      </c>
      <c r="AF663" s="5" t="b">
        <f ca="1">IFERROR(__xludf.DUMMYFUNCTION("""COMPUTED_VALUE"""),FALSE)</f>
        <v>0</v>
      </c>
      <c r="AG663" s="5" t="str">
        <f ca="1">IFERROR(__xludf.DUMMYFUNCTION("""COMPUTED_VALUE"""),"INSPECCIONES REALIZADAS")</f>
        <v>INSPECCIONES REALIZADAS</v>
      </c>
      <c r="AH663" s="5"/>
    </row>
    <row r="664" spans="1:34">
      <c r="A664" s="5" t="str">
        <f ca="1">IFERROR(__xludf.DUMMYFUNCTION("""COMPUTED_VALUE"""),"LINEA DE PRODUCCION DE BOTELLONES DE 20")</f>
        <v>LINEA DE PRODUCCION DE BOTELLONES DE 20</v>
      </c>
      <c r="B664" s="5">
        <f ca="1">IFERROR(__xludf.DUMMYFUNCTION("""COMPUTED_VALUE"""),710129)</f>
        <v>710129</v>
      </c>
      <c r="C664" s="5" t="str">
        <f ca="1">IFERROR(__xludf.DUMMYFUNCTION("""COMPUTED_VALUE"""),"LAVADORA DE BOTELLONES")</f>
        <v>LAVADORA DE BOTELLONES</v>
      </c>
      <c r="D664" s="5">
        <f ca="1">IFERROR(__xludf.DUMMYFUNCTION("""COMPUTED_VALUE"""),13247680)</f>
        <v>13247680</v>
      </c>
      <c r="E664" s="5" t="str">
        <f ca="1">IFERROR(__xludf.DUMMYFUNCTION("""COMPUTED_VALUE"""),"INSPECCION SEMANAL LAVADORA DE BOTELLONE")</f>
        <v>INSPECCION SEMANAL LAVADORA DE BOTELLONE</v>
      </c>
      <c r="F664" s="5" t="str">
        <f ca="1">IFERROR(__xludf.DUMMYFUNCTION("""COMPUTED_VALUE"""),"INSPECCION BOMBA LAVADO INTERNO EXTERNO")</f>
        <v>INSPECCION BOMBA LAVADO INTERNO EXTERNO</v>
      </c>
      <c r="G664" s="5" t="b">
        <f ca="1">IFERROR(__xludf.DUMMYFUNCTION("""COMPUTED_VALUE"""),TRUE)</f>
        <v>1</v>
      </c>
      <c r="H664" s="5"/>
      <c r="I664" s="5"/>
      <c r="J664" s="5"/>
      <c r="K664" s="5"/>
      <c r="L664" s="18">
        <f ca="1">IFERROR(__xludf.DUMMYFUNCTION("""COMPUTED_VALUE"""),45325)</f>
        <v>45325</v>
      </c>
      <c r="M664" s="18">
        <f ca="1">IFERROR(__xludf.DUMMYFUNCTION("""COMPUTED_VALUE"""),45325)</f>
        <v>45325</v>
      </c>
      <c r="N664" s="5" t="str">
        <f ca="1">IFERROR(__xludf.DUMMYFUNCTION("""COMPUTED_VALUE"""),"Christian Camilo Ramirez Rendón")</f>
        <v>Christian Camilo Ramirez Rendón</v>
      </c>
      <c r="O664" s="2">
        <f ca="1">IFERROR(__xludf.DUMMYFUNCTION("""COMPUTED_VALUE"""),0.005555556)</f>
        <v>5.5555559999999997E-3</v>
      </c>
      <c r="P664" s="5"/>
      <c r="Q664" s="5" t="str">
        <f ca="1">IFERROR(__xludf.DUMMYFUNCTION("""COMPUTED_VALUE"""),"-HrUFLzyMEA")</f>
        <v>-HrUFLzyMEA</v>
      </c>
      <c r="R664" s="5">
        <f ca="1">IFERROR(__xludf.DUMMYFUNCTION("""COMPUTED_VALUE"""),410)</f>
        <v>410</v>
      </c>
      <c r="S664" s="62">
        <f ca="1">IFERROR(__xludf.DUMMYFUNCTION("""COMPUTED_VALUE"""),0.005555556)</f>
        <v>5.5555559999999997E-3</v>
      </c>
      <c r="T664" s="63" t="str">
        <f ca="1">IFERROR(__xludf.DUMMYFUNCTION("""COMPUTED_VALUE"""),"https://storage.googleapis.com/glide-prod.appspot.com/uploads-v2/ly7o78grxPaC6KdgvbpS/pub/3aRdSog0vUtuqPE8AJKD.png")</f>
        <v>https://storage.googleapis.com/glide-prod.appspot.com/uploads-v2/ly7o78grxPaC6KdgvbpS/pub/3aRdSog0vUtuqPE8AJKD.png</v>
      </c>
      <c r="U664" s="5" t="str">
        <f ca="1">IFERROR(__xludf.DUMMYFUNCTION("""COMPUTED_VALUE"""),"LINEA DE PRODUCCION DE BOTELLONES DE 20LAVADORA DE BOTELLONES")</f>
        <v>LINEA DE PRODUCCION DE BOTELLONES DE 20LAVADORA DE BOTELLONES</v>
      </c>
      <c r="V664" s="5"/>
      <c r="W664" s="5" t="b">
        <f ca="1">IFERROR(__xludf.DUMMYFUNCTION("""COMPUTED_VALUE"""),TRUE)</f>
        <v>1</v>
      </c>
      <c r="X664" s="5" t="str">
        <f ca="1">IFERROR(__xludf.DUMMYFUNCTION("""COMPUTED_VALUE"""),"achavezi@postobon.com.co,aprmttoyu@postobon.com.co,aprmyu@postobon.com.co,wmora@postobon.com.co,efzapata@postobon.com.co")</f>
        <v>achavezi@postobon.com.co,aprmttoyu@postobon.com.co,aprmyu@postobon.com.co,wmora@postobon.com.co,efzapata@postobon.com.co</v>
      </c>
      <c r="Y664" s="5" t="str">
        <f ca="1">IFERROR(__xludf.DUMMYFUNCTION("""COMPUTED_VALUE"""),"achavezi@postobon.com.co")</f>
        <v>achavezi@postobon.com.co</v>
      </c>
      <c r="Z664" s="5" t="str">
        <f ca="1">IFERROR(__xludf.DUMMYFUNCTION("""COMPUTED_VALUE"""),"TwLo5kcSTUuFsNw0DonR9g")</f>
        <v>TwLo5kcSTUuFsNw0DonR9g</v>
      </c>
      <c r="AA664" s="5"/>
      <c r="AB664" s="5"/>
      <c r="AC664" s="5"/>
      <c r="AD664" s="5">
        <f ca="1">IFERROR(__xludf.DUMMYFUNCTION("""COMPUTED_VALUE"""),67)</f>
        <v>67</v>
      </c>
      <c r="AE664" s="5">
        <f ca="1">IFERROR(__xludf.DUMMYFUNCTION("""COMPUTED_VALUE"""),67)</f>
        <v>67</v>
      </c>
      <c r="AF664" s="5" t="b">
        <f ca="1">IFERROR(__xludf.DUMMYFUNCTION("""COMPUTED_VALUE"""),FALSE)</f>
        <v>0</v>
      </c>
      <c r="AG664" s="5" t="str">
        <f ca="1">IFERROR(__xludf.DUMMYFUNCTION("""COMPUTED_VALUE"""),"INSPECCIONES REALIZADAS")</f>
        <v>INSPECCIONES REALIZADAS</v>
      </c>
      <c r="AH664" s="5"/>
    </row>
    <row r="665" spans="1:34">
      <c r="A665" s="5" t="str">
        <f ca="1">IFERROR(__xludf.DUMMYFUNCTION("""COMPUTED_VALUE"""),"LINEA DE PRODUCCION DE BOTELLONES DE 20")</f>
        <v>LINEA DE PRODUCCION DE BOTELLONES DE 20</v>
      </c>
      <c r="B665" s="5">
        <f ca="1">IFERROR(__xludf.DUMMYFUNCTION("""COMPUTED_VALUE"""),710129)</f>
        <v>710129</v>
      </c>
      <c r="C665" s="5" t="str">
        <f ca="1">IFERROR(__xludf.DUMMYFUNCTION("""COMPUTED_VALUE"""),"LAVADORA DE BOTELLONES")</f>
        <v>LAVADORA DE BOTELLONES</v>
      </c>
      <c r="D665" s="5">
        <f ca="1">IFERROR(__xludf.DUMMYFUNCTION("""COMPUTED_VALUE"""),13247680)</f>
        <v>13247680</v>
      </c>
      <c r="E665" s="5" t="str">
        <f ca="1">IFERROR(__xludf.DUMMYFUNCTION("""COMPUTED_VALUE"""),"INSPECCION SEMANAL LAVADORA DE BOTELLONE")</f>
        <v>INSPECCION SEMANAL LAVADORA DE BOTELLONE</v>
      </c>
      <c r="F665" s="5" t="str">
        <f ca="1">IFERROR(__xludf.DUMMYFUNCTION("""COMPUTED_VALUE"""),"VOLTEADOR BOTELLON SALIDA")</f>
        <v>VOLTEADOR BOTELLON SALIDA</v>
      </c>
      <c r="G665" s="5" t="b">
        <f ca="1">IFERROR(__xludf.DUMMYFUNCTION("""COMPUTED_VALUE"""),TRUE)</f>
        <v>1</v>
      </c>
      <c r="H665" s="5"/>
      <c r="I665" s="5"/>
      <c r="J665" s="5"/>
      <c r="K665" s="5"/>
      <c r="L665" s="18">
        <f ca="1">IFERROR(__xludf.DUMMYFUNCTION("""COMPUTED_VALUE"""),45325)</f>
        <v>45325</v>
      </c>
      <c r="M665" s="18">
        <f ca="1">IFERROR(__xludf.DUMMYFUNCTION("""COMPUTED_VALUE"""),45325)</f>
        <v>45325</v>
      </c>
      <c r="N665" s="5" t="str">
        <f ca="1">IFERROR(__xludf.DUMMYFUNCTION("""COMPUTED_VALUE"""),"Christian Camilo Ramirez Rendón")</f>
        <v>Christian Camilo Ramirez Rendón</v>
      </c>
      <c r="O665" s="2">
        <f ca="1">IFERROR(__xludf.DUMMYFUNCTION("""COMPUTED_VALUE"""),0.005555556)</f>
        <v>5.5555559999999997E-3</v>
      </c>
      <c r="P665" s="5"/>
      <c r="Q665" s="5" t="str">
        <f ca="1">IFERROR(__xludf.DUMMYFUNCTION("""COMPUTED_VALUE"""),"UsIH61nGodw")</f>
        <v>UsIH61nGodw</v>
      </c>
      <c r="R665" s="5">
        <f ca="1">IFERROR(__xludf.DUMMYFUNCTION("""COMPUTED_VALUE"""),410)</f>
        <v>410</v>
      </c>
      <c r="S665" s="62">
        <f ca="1">IFERROR(__xludf.DUMMYFUNCTION("""COMPUTED_VALUE"""),0.005555556)</f>
        <v>5.5555559999999997E-3</v>
      </c>
      <c r="T665" s="63" t="str">
        <f ca="1">IFERROR(__xludf.DUMMYFUNCTION("""COMPUTED_VALUE"""),"https://storage.googleapis.com/glide-prod.appspot.com/uploads-v2/ly7o78grxPaC6KdgvbpS/pub/3aRdSog0vUtuqPE8AJKD.png")</f>
        <v>https://storage.googleapis.com/glide-prod.appspot.com/uploads-v2/ly7o78grxPaC6KdgvbpS/pub/3aRdSog0vUtuqPE8AJKD.png</v>
      </c>
      <c r="U665" s="5" t="str">
        <f ca="1">IFERROR(__xludf.DUMMYFUNCTION("""COMPUTED_VALUE"""),"LINEA DE PRODUCCION DE BOTELLONES DE 20LAVADORA DE BOTELLONES")</f>
        <v>LINEA DE PRODUCCION DE BOTELLONES DE 20LAVADORA DE BOTELLONES</v>
      </c>
      <c r="V665" s="5"/>
      <c r="W665" s="5" t="b">
        <f ca="1">IFERROR(__xludf.DUMMYFUNCTION("""COMPUTED_VALUE"""),TRUE)</f>
        <v>1</v>
      </c>
      <c r="X665" s="5" t="str">
        <f ca="1">IFERROR(__xludf.DUMMYFUNCTION("""COMPUTED_VALUE"""),"achavezi@postobon.com.co,aprmttoyu@postobon.com.co,aprmyu@postobon.com.co,wmora@postobon.com.co,efzapata@postobon.com.co")</f>
        <v>achavezi@postobon.com.co,aprmttoyu@postobon.com.co,aprmyu@postobon.com.co,wmora@postobon.com.co,efzapata@postobon.com.co</v>
      </c>
      <c r="Y665" s="5" t="str">
        <f ca="1">IFERROR(__xludf.DUMMYFUNCTION("""COMPUTED_VALUE"""),"achavezi@postobon.com.co")</f>
        <v>achavezi@postobon.com.co</v>
      </c>
      <c r="Z665" s="5" t="str">
        <f ca="1">IFERROR(__xludf.DUMMYFUNCTION("""COMPUTED_VALUE"""),"w4o1cOreS2i0-mVdoqU7GQ")</f>
        <v>w4o1cOreS2i0-mVdoqU7GQ</v>
      </c>
      <c r="AA665" s="5"/>
      <c r="AB665" s="5"/>
      <c r="AC665" s="5"/>
      <c r="AD665" s="5">
        <f ca="1">IFERROR(__xludf.DUMMYFUNCTION("""COMPUTED_VALUE"""),67)</f>
        <v>67</v>
      </c>
      <c r="AE665" s="5">
        <f ca="1">IFERROR(__xludf.DUMMYFUNCTION("""COMPUTED_VALUE"""),67)</f>
        <v>67</v>
      </c>
      <c r="AF665" s="5" t="b">
        <f ca="1">IFERROR(__xludf.DUMMYFUNCTION("""COMPUTED_VALUE"""),FALSE)</f>
        <v>0</v>
      </c>
      <c r="AG665" s="5" t="str">
        <f ca="1">IFERROR(__xludf.DUMMYFUNCTION("""COMPUTED_VALUE"""),"INSPECCIONES REALIZADAS")</f>
        <v>INSPECCIONES REALIZADAS</v>
      </c>
      <c r="AH665" s="5"/>
    </row>
    <row r="666" spans="1:34">
      <c r="A666" s="5" t="str">
        <f ca="1">IFERROR(__xludf.DUMMYFUNCTION("""COMPUTED_VALUE"""),"LINEA DE PRODUCCION DE BOTELLONES DE 20")</f>
        <v>LINEA DE PRODUCCION DE BOTELLONES DE 20</v>
      </c>
      <c r="B666" s="5">
        <f ca="1">IFERROR(__xludf.DUMMYFUNCTION("""COMPUTED_VALUE"""),710129)</f>
        <v>710129</v>
      </c>
      <c r="C666" s="5" t="str">
        <f ca="1">IFERROR(__xludf.DUMMYFUNCTION("""COMPUTED_VALUE"""),"LAVADORA DE BOTELLONES")</f>
        <v>LAVADORA DE BOTELLONES</v>
      </c>
      <c r="D666" s="5">
        <f ca="1">IFERROR(__xludf.DUMMYFUNCTION("""COMPUTED_VALUE"""),13247680)</f>
        <v>13247680</v>
      </c>
      <c r="E666" s="5" t="str">
        <f ca="1">IFERROR(__xludf.DUMMYFUNCTION("""COMPUTED_VALUE"""),"INSPECCION SEMANAL LAVADORA DE BOTELLONE")</f>
        <v>INSPECCION SEMANAL LAVADORA DE BOTELLONE</v>
      </c>
      <c r="F666" s="5" t="str">
        <f ca="1">IFERROR(__xludf.DUMMYFUNCTION("""COMPUTED_VALUE"""),"VERIFICAR ESTADO INSTRUMENTACION")</f>
        <v>VERIFICAR ESTADO INSTRUMENTACION</v>
      </c>
      <c r="G666" s="5" t="b">
        <f ca="1">IFERROR(__xludf.DUMMYFUNCTION("""COMPUTED_VALUE"""),TRUE)</f>
        <v>1</v>
      </c>
      <c r="H666" s="5"/>
      <c r="I666" s="5"/>
      <c r="J666" s="5"/>
      <c r="K666" s="5"/>
      <c r="L666" s="18">
        <f ca="1">IFERROR(__xludf.DUMMYFUNCTION("""COMPUTED_VALUE"""),45325)</f>
        <v>45325</v>
      </c>
      <c r="M666" s="18">
        <f ca="1">IFERROR(__xludf.DUMMYFUNCTION("""COMPUTED_VALUE"""),45325)</f>
        <v>45325</v>
      </c>
      <c r="N666" s="5" t="str">
        <f ca="1">IFERROR(__xludf.DUMMYFUNCTION("""COMPUTED_VALUE"""),"Christian Camilo Ramirez Rendón")</f>
        <v>Christian Camilo Ramirez Rendón</v>
      </c>
      <c r="O666" s="2">
        <f ca="1">IFERROR(__xludf.DUMMYFUNCTION("""COMPUTED_VALUE"""),0.005555556)</f>
        <v>5.5555559999999997E-3</v>
      </c>
      <c r="P666" s="5"/>
      <c r="Q666" s="5" t="str">
        <f ca="1">IFERROR(__xludf.DUMMYFUNCTION("""COMPUTED_VALUE"""),"9bJBGVppHuU")</f>
        <v>9bJBGVppHuU</v>
      </c>
      <c r="R666" s="5">
        <f ca="1">IFERROR(__xludf.DUMMYFUNCTION("""COMPUTED_VALUE"""),410)</f>
        <v>410</v>
      </c>
      <c r="S666" s="62">
        <f ca="1">IFERROR(__xludf.DUMMYFUNCTION("""COMPUTED_VALUE"""),0.005555556)</f>
        <v>5.5555559999999997E-3</v>
      </c>
      <c r="T666" s="63" t="str">
        <f ca="1">IFERROR(__xludf.DUMMYFUNCTION("""COMPUTED_VALUE"""),"https://storage.googleapis.com/glide-prod.appspot.com/uploads-v2/ly7o78grxPaC6KdgvbpS/pub/3aRdSog0vUtuqPE8AJKD.png")</f>
        <v>https://storage.googleapis.com/glide-prod.appspot.com/uploads-v2/ly7o78grxPaC6KdgvbpS/pub/3aRdSog0vUtuqPE8AJKD.png</v>
      </c>
      <c r="U666" s="5" t="str">
        <f ca="1">IFERROR(__xludf.DUMMYFUNCTION("""COMPUTED_VALUE"""),"LINEA DE PRODUCCION DE BOTELLONES DE 20LAVADORA DE BOTELLONES")</f>
        <v>LINEA DE PRODUCCION DE BOTELLONES DE 20LAVADORA DE BOTELLONES</v>
      </c>
      <c r="V666" s="5"/>
      <c r="W666" s="5" t="b">
        <f ca="1">IFERROR(__xludf.DUMMYFUNCTION("""COMPUTED_VALUE"""),TRUE)</f>
        <v>1</v>
      </c>
      <c r="X666" s="5" t="str">
        <f ca="1">IFERROR(__xludf.DUMMYFUNCTION("""COMPUTED_VALUE"""),"achavezi@postobon.com.co,aprmttoyu@postobon.com.co,aprmyu@postobon.com.co,wmora@postobon.com.co,efzapata@postobon.com.co")</f>
        <v>achavezi@postobon.com.co,aprmttoyu@postobon.com.co,aprmyu@postobon.com.co,wmora@postobon.com.co,efzapata@postobon.com.co</v>
      </c>
      <c r="Y666" s="5" t="str">
        <f ca="1">IFERROR(__xludf.DUMMYFUNCTION("""COMPUTED_VALUE"""),"achavezi@postobon.com.co")</f>
        <v>achavezi@postobon.com.co</v>
      </c>
      <c r="Z666" s="5" t="str">
        <f ca="1">IFERROR(__xludf.DUMMYFUNCTION("""COMPUTED_VALUE"""),"Jlp3tjBdTSG04V1KxhIMtw")</f>
        <v>Jlp3tjBdTSG04V1KxhIMtw</v>
      </c>
      <c r="AA666" s="5"/>
      <c r="AB666" s="5"/>
      <c r="AC666" s="5"/>
      <c r="AD666" s="5">
        <f ca="1">IFERROR(__xludf.DUMMYFUNCTION("""COMPUTED_VALUE"""),67)</f>
        <v>67</v>
      </c>
      <c r="AE666" s="5">
        <f ca="1">IFERROR(__xludf.DUMMYFUNCTION("""COMPUTED_VALUE"""),67)</f>
        <v>67</v>
      </c>
      <c r="AF666" s="5" t="b">
        <f ca="1">IFERROR(__xludf.DUMMYFUNCTION("""COMPUTED_VALUE"""),FALSE)</f>
        <v>0</v>
      </c>
      <c r="AG666" s="5" t="str">
        <f ca="1">IFERROR(__xludf.DUMMYFUNCTION("""COMPUTED_VALUE"""),"INSPECCIONES REALIZADAS")</f>
        <v>INSPECCIONES REALIZADAS</v>
      </c>
      <c r="AH666" s="5"/>
    </row>
    <row r="667" spans="1:34">
      <c r="A667" s="5" t="str">
        <f ca="1">IFERROR(__xludf.DUMMYFUNCTION("""COMPUTED_VALUE"""),"LINEA DE ENVASADO FAMILIAR Y PRB")</f>
        <v>LINEA DE ENVASADO FAMILIAR Y PRB</v>
      </c>
      <c r="B667" s="5">
        <f ca="1">IFERROR(__xludf.DUMMYFUNCTION("""COMPUTED_VALUE"""),560027)</f>
        <v>560027</v>
      </c>
      <c r="C667" s="5" t="str">
        <f ca="1">IFERROR(__xludf.DUMMYFUNCTION("""COMPUTED_VALUE"""),"LAVADORA DE CAJAS")</f>
        <v>LAVADORA DE CAJAS</v>
      </c>
      <c r="D667" s="5">
        <f ca="1">IFERROR(__xludf.DUMMYFUNCTION("""COMPUTED_VALUE"""),13247277)</f>
        <v>13247277</v>
      </c>
      <c r="E667" s="5" t="str">
        <f ca="1">IFERROR(__xludf.DUMMYFUNCTION("""COMPUTED_VALUE"""),"INSPECCION SEMANAL LAVADORA DE CAJAS")</f>
        <v>INSPECCION SEMANAL LAVADORA DE CAJAS</v>
      </c>
      <c r="F667" s="5" t="str">
        <f ca="1">IFERROR(__xludf.DUMMYFUNCTION("""COMPUTED_VALUE"""),"Estado de electroválvulas y válvulas neumaticas")</f>
        <v>Estado de electroválvulas y válvulas neumaticas</v>
      </c>
      <c r="G667" s="5" t="b">
        <f ca="1">IFERROR(__xludf.DUMMYFUNCTION("""COMPUTED_VALUE"""),TRUE)</f>
        <v>1</v>
      </c>
      <c r="H667" s="5"/>
      <c r="I667" s="5"/>
      <c r="J667" s="5">
        <f ca="1">IFERROR(__xludf.DUMMYFUNCTION("""COMPUTED_VALUE"""),13247277)</f>
        <v>13247277</v>
      </c>
      <c r="K667" s="5"/>
      <c r="L667" s="18">
        <f ca="1">IFERROR(__xludf.DUMMYFUNCTION("""COMPUTED_VALUE"""),45324)</f>
        <v>45324</v>
      </c>
      <c r="M667" s="18">
        <f ca="1">IFERROR(__xludf.DUMMYFUNCTION("""COMPUTED_VALUE"""),45324)</f>
        <v>45324</v>
      </c>
      <c r="N667" s="5" t="str">
        <f ca="1">IFERROR(__xludf.DUMMYFUNCTION("""COMPUTED_VALUE"""),"Paz Paz Jhon Estiven")</f>
        <v>Paz Paz Jhon Estiven</v>
      </c>
      <c r="O667" s="2">
        <f ca="1">IFERROR(__xludf.DUMMYFUNCTION("""COMPUTED_VALUE"""),0.00625)</f>
        <v>6.2500000000000003E-3</v>
      </c>
      <c r="P667" s="5">
        <f ca="1">IFERROR(__xludf.DUMMYFUNCTION("""COMPUTED_VALUE"""),20031102)</f>
        <v>20031102</v>
      </c>
      <c r="Q667" s="5" t="str">
        <f ca="1">IFERROR(__xludf.DUMMYFUNCTION("""COMPUTED_VALUE"""),"CvdEivFwTuo")</f>
        <v>CvdEivFwTuo</v>
      </c>
      <c r="R667" s="5">
        <f ca="1">IFERROR(__xludf.DUMMYFUNCTION("""COMPUTED_VALUE"""),410)</f>
        <v>410</v>
      </c>
      <c r="S667" s="62">
        <f ca="1">IFERROR(__xludf.DUMMYFUNCTION("""COMPUTED_VALUE"""),0.00625)</f>
        <v>6.2500000000000003E-3</v>
      </c>
      <c r="T667" s="63" t="str">
        <f ca="1">IFERROR(__xludf.DUMMYFUNCTION("""COMPUTED_VALUE"""),"https://storage.googleapis.com/glide-prod.appspot.com/uploads-v2/ly7o78grxPaC6KdgvbpS/pub/yvtCGRAPIbS0tVLIlehH.png")</f>
        <v>https://storage.googleapis.com/glide-prod.appspot.com/uploads-v2/ly7o78grxPaC6KdgvbpS/pub/yvtCGRAPIbS0tVLIlehH.png</v>
      </c>
      <c r="U667" s="5" t="str">
        <f ca="1">IFERROR(__xludf.DUMMYFUNCTION("""COMPUTED_VALUE"""),"LINEA DE ENVASADO FAMILIAR Y PRBLAVADORA DE CAJAS")</f>
        <v>LINEA DE ENVASADO FAMILIAR Y PRBLAVADORA DE CAJAS</v>
      </c>
      <c r="V667" s="5"/>
      <c r="W667" s="5"/>
      <c r="X667" s="5" t="str">
        <f ca="1">IFERROR(__xludf.DUMMYFUNCTION("""COMPUTED_VALUE"""),"wguerra@postobon.com.co,aprmttoyu@postobon.com.co,aprmyu@postobon.com.co,wmora@postobon.com.co,efzapata@postobon.com.co")</f>
        <v>wguerra@postobon.com.co,aprmttoyu@postobon.com.co,aprmyu@postobon.com.co,wmora@postobon.com.co,efzapata@postobon.com.co</v>
      </c>
      <c r="Y667" s="5" t="str">
        <f ca="1">IFERROR(__xludf.DUMMYFUNCTION("""COMPUTED_VALUE"""),"wguerra@postobon.com.co")</f>
        <v>wguerra@postobon.com.co</v>
      </c>
      <c r="Z667" s="5" t="str">
        <f ca="1">IFERROR(__xludf.DUMMYFUNCTION("""COMPUTED_VALUE"""),"VOKpNC8kRKWIxyeE16msqQ")</f>
        <v>VOKpNC8kRKWIxyeE16msqQ</v>
      </c>
      <c r="AA667" s="5"/>
      <c r="AB667" s="5"/>
      <c r="AC667" s="5"/>
      <c r="AD667" s="5">
        <f ca="1">IFERROR(__xludf.DUMMYFUNCTION("""COMPUTED_VALUE"""),62)</f>
        <v>62</v>
      </c>
      <c r="AE667" s="5">
        <f ca="1">IFERROR(__xludf.DUMMYFUNCTION("""COMPUTED_VALUE"""),62)</f>
        <v>62</v>
      </c>
      <c r="AF667" s="5" t="b">
        <f ca="1">IFERROR(__xludf.DUMMYFUNCTION("""COMPUTED_VALUE"""),FALSE)</f>
        <v>0</v>
      </c>
      <c r="AG667" s="5" t="str">
        <f ca="1">IFERROR(__xludf.DUMMYFUNCTION("""COMPUTED_VALUE"""),"INSPECCIONES REALIZADAS")</f>
        <v>INSPECCIONES REALIZADAS</v>
      </c>
      <c r="AH667" s="5"/>
    </row>
    <row r="668" spans="1:34">
      <c r="A668" s="5" t="str">
        <f ca="1">IFERROR(__xludf.DUMMYFUNCTION("""COMPUTED_VALUE"""),"LINEA DE ENVASADO FAMILIAR Y PRB")</f>
        <v>LINEA DE ENVASADO FAMILIAR Y PRB</v>
      </c>
      <c r="B668" s="5">
        <f ca="1">IFERROR(__xludf.DUMMYFUNCTION("""COMPUTED_VALUE"""),560027)</f>
        <v>560027</v>
      </c>
      <c r="C668" s="5" t="str">
        <f ca="1">IFERROR(__xludf.DUMMYFUNCTION("""COMPUTED_VALUE"""),"LAVADORA DE CAJAS")</f>
        <v>LAVADORA DE CAJAS</v>
      </c>
      <c r="D668" s="5">
        <f ca="1">IFERROR(__xludf.DUMMYFUNCTION("""COMPUTED_VALUE"""),13247277)</f>
        <v>13247277</v>
      </c>
      <c r="E668" s="5" t="str">
        <f ca="1">IFERROR(__xludf.DUMMYFUNCTION("""COMPUTED_VALUE"""),"INSPECCION SEMANAL LAVADORA DE CAJAS")</f>
        <v>INSPECCION SEMANAL LAVADORA DE CAJAS</v>
      </c>
      <c r="F668" s="5" t="str">
        <f ca="1">IFERROR(__xludf.DUMMYFUNCTION("""COMPUTED_VALUE"""),"Estados de las guías de entrada y salida")</f>
        <v>Estados de las guías de entrada y salida</v>
      </c>
      <c r="G668" s="5" t="b">
        <f ca="1">IFERROR(__xludf.DUMMYFUNCTION("""COMPUTED_VALUE"""),TRUE)</f>
        <v>1</v>
      </c>
      <c r="H668" s="5"/>
      <c r="I668" s="5"/>
      <c r="J668" s="5">
        <f ca="1">IFERROR(__xludf.DUMMYFUNCTION("""COMPUTED_VALUE"""),13247277)</f>
        <v>13247277</v>
      </c>
      <c r="K668" s="5"/>
      <c r="L668" s="18">
        <f ca="1">IFERROR(__xludf.DUMMYFUNCTION("""COMPUTED_VALUE"""),45324)</f>
        <v>45324</v>
      </c>
      <c r="M668" s="18">
        <f ca="1">IFERROR(__xludf.DUMMYFUNCTION("""COMPUTED_VALUE"""),45324)</f>
        <v>45324</v>
      </c>
      <c r="N668" s="5" t="str">
        <f ca="1">IFERROR(__xludf.DUMMYFUNCTION("""COMPUTED_VALUE"""),"Paz Paz Jhon Estiven")</f>
        <v>Paz Paz Jhon Estiven</v>
      </c>
      <c r="O668" s="2">
        <f ca="1">IFERROR(__xludf.DUMMYFUNCTION("""COMPUTED_VALUE"""),0.00625)</f>
        <v>6.2500000000000003E-3</v>
      </c>
      <c r="P668" s="5">
        <f ca="1">IFERROR(__xludf.DUMMYFUNCTION("""COMPUTED_VALUE"""),20031102)</f>
        <v>20031102</v>
      </c>
      <c r="Q668" s="5" t="str">
        <f ca="1">IFERROR(__xludf.DUMMYFUNCTION("""COMPUTED_VALUE"""),"XDPtR7f8InU")</f>
        <v>XDPtR7f8InU</v>
      </c>
      <c r="R668" s="5">
        <f ca="1">IFERROR(__xludf.DUMMYFUNCTION("""COMPUTED_VALUE"""),410)</f>
        <v>410</v>
      </c>
      <c r="S668" s="62">
        <f ca="1">IFERROR(__xludf.DUMMYFUNCTION("""COMPUTED_VALUE"""),0.00625)</f>
        <v>6.2500000000000003E-3</v>
      </c>
      <c r="T668" s="63" t="str">
        <f ca="1">IFERROR(__xludf.DUMMYFUNCTION("""COMPUTED_VALUE"""),"https://storage.googleapis.com/glide-prod.appspot.com/uploads-v2/ly7o78grxPaC6KdgvbpS/pub/3aRdSog0vUtuqPE8AJKD.png")</f>
        <v>https://storage.googleapis.com/glide-prod.appspot.com/uploads-v2/ly7o78grxPaC6KdgvbpS/pub/3aRdSog0vUtuqPE8AJKD.png</v>
      </c>
      <c r="U668" s="5" t="str">
        <f ca="1">IFERROR(__xludf.DUMMYFUNCTION("""COMPUTED_VALUE"""),"LINEA DE ENVASADO FAMILIAR Y PRBLAVADORA DE CAJAS")</f>
        <v>LINEA DE ENVASADO FAMILIAR Y PRBLAVADORA DE CAJAS</v>
      </c>
      <c r="V668" s="5"/>
      <c r="W668" s="5" t="b">
        <f ca="1">IFERROR(__xludf.DUMMYFUNCTION("""COMPUTED_VALUE"""),TRUE)</f>
        <v>1</v>
      </c>
      <c r="X668" s="5" t="str">
        <f ca="1">IFERROR(__xludf.DUMMYFUNCTION("""COMPUTED_VALUE"""),"wguerra@postobon.com.co,aprmttoyu@postobon.com.co,aprmyu@postobon.com.co,wmora@postobon.com.co,efzapata@postobon.com.co")</f>
        <v>wguerra@postobon.com.co,aprmttoyu@postobon.com.co,aprmyu@postobon.com.co,wmora@postobon.com.co,efzapata@postobon.com.co</v>
      </c>
      <c r="Y668" s="5" t="str">
        <f ca="1">IFERROR(__xludf.DUMMYFUNCTION("""COMPUTED_VALUE"""),"wguerra@postobon.com.co")</f>
        <v>wguerra@postobon.com.co</v>
      </c>
      <c r="Z668" s="5" t="str">
        <f ca="1">IFERROR(__xludf.DUMMYFUNCTION("""COMPUTED_VALUE"""),"Csa2VN9URBuIjo2f3w7phw")</f>
        <v>Csa2VN9URBuIjo2f3w7phw</v>
      </c>
      <c r="AA668" s="5"/>
      <c r="AB668" s="5"/>
      <c r="AC668" s="5"/>
      <c r="AD668" s="5">
        <f ca="1">IFERROR(__xludf.DUMMYFUNCTION("""COMPUTED_VALUE"""),62)</f>
        <v>62</v>
      </c>
      <c r="AE668" s="5">
        <f ca="1">IFERROR(__xludf.DUMMYFUNCTION("""COMPUTED_VALUE"""),62)</f>
        <v>62</v>
      </c>
      <c r="AF668" s="5" t="b">
        <f ca="1">IFERROR(__xludf.DUMMYFUNCTION("""COMPUTED_VALUE"""),FALSE)</f>
        <v>0</v>
      </c>
      <c r="AG668" s="5" t="str">
        <f ca="1">IFERROR(__xludf.DUMMYFUNCTION("""COMPUTED_VALUE"""),"INSPECCIONES REALIZADAS")</f>
        <v>INSPECCIONES REALIZADAS</v>
      </c>
      <c r="AH668" s="5"/>
    </row>
    <row r="669" spans="1:34">
      <c r="A669" s="5" t="str">
        <f ca="1">IFERROR(__xludf.DUMMYFUNCTION("""COMPUTED_VALUE"""),"LINEA DE ENVASADO FAMILIAR Y PRB")</f>
        <v>LINEA DE ENVASADO FAMILIAR Y PRB</v>
      </c>
      <c r="B669" s="5">
        <f ca="1">IFERROR(__xludf.DUMMYFUNCTION("""COMPUTED_VALUE"""),560027)</f>
        <v>560027</v>
      </c>
      <c r="C669" s="5" t="str">
        <f ca="1">IFERROR(__xludf.DUMMYFUNCTION("""COMPUTED_VALUE"""),"LAVADORA DE CAJAS")</f>
        <v>LAVADORA DE CAJAS</v>
      </c>
      <c r="D669" s="5">
        <f ca="1">IFERROR(__xludf.DUMMYFUNCTION("""COMPUTED_VALUE"""),13247277)</f>
        <v>13247277</v>
      </c>
      <c r="E669" s="5" t="str">
        <f ca="1">IFERROR(__xludf.DUMMYFUNCTION("""COMPUTED_VALUE"""),"INSPECCION SEMANAL LAVADORA DE CAJAS")</f>
        <v>INSPECCION SEMANAL LAVADORA DE CAJAS</v>
      </c>
      <c r="F669" s="5" t="str">
        <f ca="1">IFERROR(__xludf.DUMMYFUNCTION("""COMPUTED_VALUE"""),"Estado de boquillas de lavado")</f>
        <v>Estado de boquillas de lavado</v>
      </c>
      <c r="G669" s="5" t="b">
        <f ca="1">IFERROR(__xludf.DUMMYFUNCTION("""COMPUTED_VALUE"""),TRUE)</f>
        <v>1</v>
      </c>
      <c r="H669" s="5"/>
      <c r="I669" s="5"/>
      <c r="J669" s="5">
        <f ca="1">IFERROR(__xludf.DUMMYFUNCTION("""COMPUTED_VALUE"""),13247277)</f>
        <v>13247277</v>
      </c>
      <c r="K669" s="5"/>
      <c r="L669" s="18">
        <f ca="1">IFERROR(__xludf.DUMMYFUNCTION("""COMPUTED_VALUE"""),45324)</f>
        <v>45324</v>
      </c>
      <c r="M669" s="18">
        <f ca="1">IFERROR(__xludf.DUMMYFUNCTION("""COMPUTED_VALUE"""),45324)</f>
        <v>45324</v>
      </c>
      <c r="N669" s="5" t="str">
        <f ca="1">IFERROR(__xludf.DUMMYFUNCTION("""COMPUTED_VALUE"""),"Paz Paz Jhon Estiven")</f>
        <v>Paz Paz Jhon Estiven</v>
      </c>
      <c r="O669" s="2">
        <f ca="1">IFERROR(__xludf.DUMMYFUNCTION("""COMPUTED_VALUE"""),0.00625)</f>
        <v>6.2500000000000003E-3</v>
      </c>
      <c r="P669" s="5">
        <f ca="1">IFERROR(__xludf.DUMMYFUNCTION("""COMPUTED_VALUE"""),20031102)</f>
        <v>20031102</v>
      </c>
      <c r="Q669" s="5" t="str">
        <f ca="1">IFERROR(__xludf.DUMMYFUNCTION("""COMPUTED_VALUE"""),"yySoOlT-ohU")</f>
        <v>yySoOlT-ohU</v>
      </c>
      <c r="R669" s="5">
        <f ca="1">IFERROR(__xludf.DUMMYFUNCTION("""COMPUTED_VALUE"""),410)</f>
        <v>410</v>
      </c>
      <c r="S669" s="62">
        <f ca="1">IFERROR(__xludf.DUMMYFUNCTION("""COMPUTED_VALUE"""),0.00625)</f>
        <v>6.2500000000000003E-3</v>
      </c>
      <c r="T669" s="63" t="str">
        <f ca="1">IFERROR(__xludf.DUMMYFUNCTION("""COMPUTED_VALUE"""),"https://storage.googleapis.com/glide-prod.appspot.com/uploads-v2/ly7o78grxPaC6KdgvbpS/pub/3aRdSog0vUtuqPE8AJKD.png")</f>
        <v>https://storage.googleapis.com/glide-prod.appspot.com/uploads-v2/ly7o78grxPaC6KdgvbpS/pub/3aRdSog0vUtuqPE8AJKD.png</v>
      </c>
      <c r="U669" s="5" t="str">
        <f ca="1">IFERROR(__xludf.DUMMYFUNCTION("""COMPUTED_VALUE"""),"LINEA DE ENVASADO FAMILIAR Y PRBLAVADORA DE CAJAS")</f>
        <v>LINEA DE ENVASADO FAMILIAR Y PRBLAVADORA DE CAJAS</v>
      </c>
      <c r="V669" s="5"/>
      <c r="W669" s="5" t="b">
        <f ca="1">IFERROR(__xludf.DUMMYFUNCTION("""COMPUTED_VALUE"""),TRUE)</f>
        <v>1</v>
      </c>
      <c r="X669" s="5" t="str">
        <f ca="1">IFERROR(__xludf.DUMMYFUNCTION("""COMPUTED_VALUE"""),"wguerra@postobon.com.co,aprmttoyu@postobon.com.co,aprmyu@postobon.com.co,wmora@postobon.com.co,efzapata@postobon.com.co")</f>
        <v>wguerra@postobon.com.co,aprmttoyu@postobon.com.co,aprmyu@postobon.com.co,wmora@postobon.com.co,efzapata@postobon.com.co</v>
      </c>
      <c r="Y669" s="5" t="str">
        <f ca="1">IFERROR(__xludf.DUMMYFUNCTION("""COMPUTED_VALUE"""),"wguerra@postobon.com.co")</f>
        <v>wguerra@postobon.com.co</v>
      </c>
      <c r="Z669" s="5" t="str">
        <f ca="1">IFERROR(__xludf.DUMMYFUNCTION("""COMPUTED_VALUE"""),"KYTIeQt-SpWHNAyrCOU8QQ")</f>
        <v>KYTIeQt-SpWHNAyrCOU8QQ</v>
      </c>
      <c r="AA669" s="5"/>
      <c r="AB669" s="5"/>
      <c r="AC669" s="5"/>
      <c r="AD669" s="5">
        <f ca="1">IFERROR(__xludf.DUMMYFUNCTION("""COMPUTED_VALUE"""),62)</f>
        <v>62</v>
      </c>
      <c r="AE669" s="5">
        <f ca="1">IFERROR(__xludf.DUMMYFUNCTION("""COMPUTED_VALUE"""),62)</f>
        <v>62</v>
      </c>
      <c r="AF669" s="5" t="b">
        <f ca="1">IFERROR(__xludf.DUMMYFUNCTION("""COMPUTED_VALUE"""),FALSE)</f>
        <v>0</v>
      </c>
      <c r="AG669" s="5" t="str">
        <f ca="1">IFERROR(__xludf.DUMMYFUNCTION("""COMPUTED_VALUE"""),"INSPECCIONES REALIZADAS")</f>
        <v>INSPECCIONES REALIZADAS</v>
      </c>
      <c r="AH669" s="5"/>
    </row>
    <row r="670" spans="1:34">
      <c r="A670" s="5" t="str">
        <f ca="1">IFERROR(__xludf.DUMMYFUNCTION("""COMPUTED_VALUE"""),"LINEA DE ENVASADO FAMILIAR Y PRB")</f>
        <v>LINEA DE ENVASADO FAMILIAR Y PRB</v>
      </c>
      <c r="B670" s="5">
        <f ca="1">IFERROR(__xludf.DUMMYFUNCTION("""COMPUTED_VALUE"""),560027)</f>
        <v>560027</v>
      </c>
      <c r="C670" s="5" t="str">
        <f ca="1">IFERROR(__xludf.DUMMYFUNCTION("""COMPUTED_VALUE"""),"LAVADORA DE CAJAS")</f>
        <v>LAVADORA DE CAJAS</v>
      </c>
      <c r="D670" s="5">
        <f ca="1">IFERROR(__xludf.DUMMYFUNCTION("""COMPUTED_VALUE"""),13247277)</f>
        <v>13247277</v>
      </c>
      <c r="E670" s="5" t="str">
        <f ca="1">IFERROR(__xludf.DUMMYFUNCTION("""COMPUTED_VALUE"""),"INSPECCION SEMANAL LAVADORA DE CAJAS")</f>
        <v>INSPECCION SEMANAL LAVADORA DE CAJAS</v>
      </c>
      <c r="F670" s="5" t="str">
        <f ca="1">IFERROR(__xludf.DUMMYFUNCTION("""COMPUTED_VALUE"""),"Estado de cadenas de transmisión y mallas")</f>
        <v>Estado de cadenas de transmisión y mallas</v>
      </c>
      <c r="G670" s="5" t="b">
        <f ca="1">IFERROR(__xludf.DUMMYFUNCTION("""COMPUTED_VALUE"""),TRUE)</f>
        <v>1</v>
      </c>
      <c r="H670" s="5"/>
      <c r="I670" s="5"/>
      <c r="J670" s="5">
        <f ca="1">IFERROR(__xludf.DUMMYFUNCTION("""COMPUTED_VALUE"""),13247277)</f>
        <v>13247277</v>
      </c>
      <c r="K670" s="5"/>
      <c r="L670" s="18">
        <f ca="1">IFERROR(__xludf.DUMMYFUNCTION("""COMPUTED_VALUE"""),45324)</f>
        <v>45324</v>
      </c>
      <c r="M670" s="18">
        <f ca="1">IFERROR(__xludf.DUMMYFUNCTION("""COMPUTED_VALUE"""),45324)</f>
        <v>45324</v>
      </c>
      <c r="N670" s="5" t="str">
        <f ca="1">IFERROR(__xludf.DUMMYFUNCTION("""COMPUTED_VALUE"""),"Paz Paz Jhon Estiven")</f>
        <v>Paz Paz Jhon Estiven</v>
      </c>
      <c r="O670" s="2">
        <f ca="1">IFERROR(__xludf.DUMMYFUNCTION("""COMPUTED_VALUE"""),0.00625)</f>
        <v>6.2500000000000003E-3</v>
      </c>
      <c r="P670" s="5">
        <f ca="1">IFERROR(__xludf.DUMMYFUNCTION("""COMPUTED_VALUE"""),20031102)</f>
        <v>20031102</v>
      </c>
      <c r="Q670" s="5" t="str">
        <f ca="1">IFERROR(__xludf.DUMMYFUNCTION("""COMPUTED_VALUE"""),"5ECvAXkAXsY")</f>
        <v>5ECvAXkAXsY</v>
      </c>
      <c r="R670" s="5">
        <f ca="1">IFERROR(__xludf.DUMMYFUNCTION("""COMPUTED_VALUE"""),410)</f>
        <v>410</v>
      </c>
      <c r="S670" s="62">
        <f ca="1">IFERROR(__xludf.DUMMYFUNCTION("""COMPUTED_VALUE"""),0.00625)</f>
        <v>6.2500000000000003E-3</v>
      </c>
      <c r="T670" s="63" t="str">
        <f ca="1">IFERROR(__xludf.DUMMYFUNCTION("""COMPUTED_VALUE"""),"https://storage.googleapis.com/glide-prod.appspot.com/uploads-v2/ly7o78grxPaC6KdgvbpS/pub/3aRdSog0vUtuqPE8AJKD.png")</f>
        <v>https://storage.googleapis.com/glide-prod.appspot.com/uploads-v2/ly7o78grxPaC6KdgvbpS/pub/3aRdSog0vUtuqPE8AJKD.png</v>
      </c>
      <c r="U670" s="5" t="str">
        <f ca="1">IFERROR(__xludf.DUMMYFUNCTION("""COMPUTED_VALUE"""),"LINEA DE ENVASADO FAMILIAR Y PRBLAVADORA DE CAJAS")</f>
        <v>LINEA DE ENVASADO FAMILIAR Y PRBLAVADORA DE CAJAS</v>
      </c>
      <c r="V670" s="5"/>
      <c r="W670" s="5" t="b">
        <f ca="1">IFERROR(__xludf.DUMMYFUNCTION("""COMPUTED_VALUE"""),TRUE)</f>
        <v>1</v>
      </c>
      <c r="X670" s="5" t="str">
        <f ca="1">IFERROR(__xludf.DUMMYFUNCTION("""COMPUTED_VALUE"""),"wguerra@postobon.com.co,aprmttoyu@postobon.com.co,aprmyu@postobon.com.co,wmora@postobon.com.co,efzapata@postobon.com.co")</f>
        <v>wguerra@postobon.com.co,aprmttoyu@postobon.com.co,aprmyu@postobon.com.co,wmora@postobon.com.co,efzapata@postobon.com.co</v>
      </c>
      <c r="Y670" s="5" t="str">
        <f ca="1">IFERROR(__xludf.DUMMYFUNCTION("""COMPUTED_VALUE"""),"wguerra@postobon.com.co")</f>
        <v>wguerra@postobon.com.co</v>
      </c>
      <c r="Z670" s="5" t="str">
        <f ca="1">IFERROR(__xludf.DUMMYFUNCTION("""COMPUTED_VALUE"""),"brewaGNPR8ysUkg5uLA83A")</f>
        <v>brewaGNPR8ysUkg5uLA83A</v>
      </c>
      <c r="AA670" s="5"/>
      <c r="AB670" s="5"/>
      <c r="AC670" s="5"/>
      <c r="AD670" s="5">
        <f ca="1">IFERROR(__xludf.DUMMYFUNCTION("""COMPUTED_VALUE"""),62)</f>
        <v>62</v>
      </c>
      <c r="AE670" s="5">
        <f ca="1">IFERROR(__xludf.DUMMYFUNCTION("""COMPUTED_VALUE"""),62)</f>
        <v>62</v>
      </c>
      <c r="AF670" s="5" t="b">
        <f ca="1">IFERROR(__xludf.DUMMYFUNCTION("""COMPUTED_VALUE"""),FALSE)</f>
        <v>0</v>
      </c>
      <c r="AG670" s="5" t="str">
        <f ca="1">IFERROR(__xludf.DUMMYFUNCTION("""COMPUTED_VALUE"""),"INSPECCIONES REALIZADAS")</f>
        <v>INSPECCIONES REALIZADAS</v>
      </c>
      <c r="AH670" s="5"/>
    </row>
    <row r="671" spans="1:34">
      <c r="A671" s="5" t="str">
        <f ca="1">IFERROR(__xludf.DUMMYFUNCTION("""COMPUTED_VALUE"""),"LINEA DE ENVASADO FAMILIAR Y PRB")</f>
        <v>LINEA DE ENVASADO FAMILIAR Y PRB</v>
      </c>
      <c r="B671" s="5">
        <f ca="1">IFERROR(__xludf.DUMMYFUNCTION("""COMPUTED_VALUE"""),560027)</f>
        <v>560027</v>
      </c>
      <c r="C671" s="5" t="str">
        <f ca="1">IFERROR(__xludf.DUMMYFUNCTION("""COMPUTED_VALUE"""),"LAVADORA DE CAJAS")</f>
        <v>LAVADORA DE CAJAS</v>
      </c>
      <c r="D671" s="5">
        <f ca="1">IFERROR(__xludf.DUMMYFUNCTION("""COMPUTED_VALUE"""),13247277)</f>
        <v>13247277</v>
      </c>
      <c r="E671" s="5" t="str">
        <f ca="1">IFERROR(__xludf.DUMMYFUNCTION("""COMPUTED_VALUE"""),"INSPECCION SEMANAL LAVADORA DE CAJAS")</f>
        <v>INSPECCION SEMANAL LAVADORA DE CAJAS</v>
      </c>
      <c r="F671" s="5" t="str">
        <f ca="1">IFERROR(__xludf.DUMMYFUNCTION("""COMPUTED_VALUE"""),"Estado de motores y motobombas")</f>
        <v>Estado de motores y motobombas</v>
      </c>
      <c r="G671" s="5" t="b">
        <f ca="1">IFERROR(__xludf.DUMMYFUNCTION("""COMPUTED_VALUE"""),TRUE)</f>
        <v>1</v>
      </c>
      <c r="H671" s="5"/>
      <c r="I671" s="5"/>
      <c r="J671" s="5">
        <f ca="1">IFERROR(__xludf.DUMMYFUNCTION("""COMPUTED_VALUE"""),13247277)</f>
        <v>13247277</v>
      </c>
      <c r="K671" s="5"/>
      <c r="L671" s="18">
        <f ca="1">IFERROR(__xludf.DUMMYFUNCTION("""COMPUTED_VALUE"""),45324)</f>
        <v>45324</v>
      </c>
      <c r="M671" s="18">
        <f ca="1">IFERROR(__xludf.DUMMYFUNCTION("""COMPUTED_VALUE"""),45324)</f>
        <v>45324</v>
      </c>
      <c r="N671" s="5" t="str">
        <f ca="1">IFERROR(__xludf.DUMMYFUNCTION("""COMPUTED_VALUE"""),"Paz Paz Jhon Estiven")</f>
        <v>Paz Paz Jhon Estiven</v>
      </c>
      <c r="O671" s="2">
        <f ca="1">IFERROR(__xludf.DUMMYFUNCTION("""COMPUTED_VALUE"""),0.00625)</f>
        <v>6.2500000000000003E-3</v>
      </c>
      <c r="P671" s="5">
        <f ca="1">IFERROR(__xludf.DUMMYFUNCTION("""COMPUTED_VALUE"""),20031102)</f>
        <v>20031102</v>
      </c>
      <c r="Q671" s="5" t="str">
        <f ca="1">IFERROR(__xludf.DUMMYFUNCTION("""COMPUTED_VALUE"""),"xUgPfjOKvr0")</f>
        <v>xUgPfjOKvr0</v>
      </c>
      <c r="R671" s="5">
        <f ca="1">IFERROR(__xludf.DUMMYFUNCTION("""COMPUTED_VALUE"""),410)</f>
        <v>410</v>
      </c>
      <c r="S671" s="62">
        <f ca="1">IFERROR(__xludf.DUMMYFUNCTION("""COMPUTED_VALUE"""),0.00625)</f>
        <v>6.2500000000000003E-3</v>
      </c>
      <c r="T671" s="63" t="str">
        <f ca="1">IFERROR(__xludf.DUMMYFUNCTION("""COMPUTED_VALUE"""),"https://storage.googleapis.com/glide-prod.appspot.com/uploads-v2/ly7o78grxPaC6KdgvbpS/pub/3aRdSog0vUtuqPE8AJKD.png")</f>
        <v>https://storage.googleapis.com/glide-prod.appspot.com/uploads-v2/ly7o78grxPaC6KdgvbpS/pub/3aRdSog0vUtuqPE8AJKD.png</v>
      </c>
      <c r="U671" s="5" t="str">
        <f ca="1">IFERROR(__xludf.DUMMYFUNCTION("""COMPUTED_VALUE"""),"LINEA DE ENVASADO FAMILIAR Y PRBLAVADORA DE CAJAS")</f>
        <v>LINEA DE ENVASADO FAMILIAR Y PRBLAVADORA DE CAJAS</v>
      </c>
      <c r="V671" s="5"/>
      <c r="W671" s="5" t="b">
        <f ca="1">IFERROR(__xludf.DUMMYFUNCTION("""COMPUTED_VALUE"""),TRUE)</f>
        <v>1</v>
      </c>
      <c r="X671" s="5" t="str">
        <f ca="1">IFERROR(__xludf.DUMMYFUNCTION("""COMPUTED_VALUE"""),"wguerra@postobon.com.co,aprmttoyu@postobon.com.co,aprmyu@postobon.com.co,wmora@postobon.com.co,efzapata@postobon.com.co")</f>
        <v>wguerra@postobon.com.co,aprmttoyu@postobon.com.co,aprmyu@postobon.com.co,wmora@postobon.com.co,efzapata@postobon.com.co</v>
      </c>
      <c r="Y671" s="5" t="str">
        <f ca="1">IFERROR(__xludf.DUMMYFUNCTION("""COMPUTED_VALUE"""),"wguerra@postobon.com.co")</f>
        <v>wguerra@postobon.com.co</v>
      </c>
      <c r="Z671" s="5" t="str">
        <f ca="1">IFERROR(__xludf.DUMMYFUNCTION("""COMPUTED_VALUE"""),"HMqZxTFzSzS9bCbZ9QEhvQ")</f>
        <v>HMqZxTFzSzS9bCbZ9QEhvQ</v>
      </c>
      <c r="AA671" s="5"/>
      <c r="AB671" s="5"/>
      <c r="AC671" s="5"/>
      <c r="AD671" s="5">
        <f ca="1">IFERROR(__xludf.DUMMYFUNCTION("""COMPUTED_VALUE"""),62)</f>
        <v>62</v>
      </c>
      <c r="AE671" s="5">
        <f ca="1">IFERROR(__xludf.DUMMYFUNCTION("""COMPUTED_VALUE"""),62)</f>
        <v>62</v>
      </c>
      <c r="AF671" s="5" t="b">
        <f ca="1">IFERROR(__xludf.DUMMYFUNCTION("""COMPUTED_VALUE"""),FALSE)</f>
        <v>0</v>
      </c>
      <c r="AG671" s="5" t="str">
        <f ca="1">IFERROR(__xludf.DUMMYFUNCTION("""COMPUTED_VALUE"""),"INSPECCIONES REALIZADAS")</f>
        <v>INSPECCIONES REALIZADAS</v>
      </c>
      <c r="AH671" s="5"/>
    </row>
    <row r="672" spans="1:34">
      <c r="A672" s="5" t="str">
        <f ca="1">IFERROR(__xludf.DUMMYFUNCTION("""COMPUTED_VALUE"""),"LINEA DE ENVASADO FAMILIAR Y PRB")</f>
        <v>LINEA DE ENVASADO FAMILIAR Y PRB</v>
      </c>
      <c r="B672" s="5">
        <f ca="1">IFERROR(__xludf.DUMMYFUNCTION("""COMPUTED_VALUE"""),560027)</f>
        <v>560027</v>
      </c>
      <c r="C672" s="5" t="str">
        <f ca="1">IFERROR(__xludf.DUMMYFUNCTION("""COMPUTED_VALUE"""),"LAVADORA DE CAJAS")</f>
        <v>LAVADORA DE CAJAS</v>
      </c>
      <c r="D672" s="5">
        <f ca="1">IFERROR(__xludf.DUMMYFUNCTION("""COMPUTED_VALUE"""),13247277)</f>
        <v>13247277</v>
      </c>
      <c r="E672" s="5" t="str">
        <f ca="1">IFERROR(__xludf.DUMMYFUNCTION("""COMPUTED_VALUE"""),"INSPECCION SEMANAL LAVADORA DE CAJAS")</f>
        <v>INSPECCION SEMANAL LAVADORA DE CAJAS</v>
      </c>
      <c r="F672" s="5" t="str">
        <f ca="1">IFERROR(__xludf.DUMMYFUNCTION("""COMPUTED_VALUE"""),"Estado de cajas reductoras")</f>
        <v>Estado de cajas reductoras</v>
      </c>
      <c r="G672" s="5" t="b">
        <f ca="1">IFERROR(__xludf.DUMMYFUNCTION("""COMPUTED_VALUE"""),TRUE)</f>
        <v>1</v>
      </c>
      <c r="H672" s="5"/>
      <c r="I672" s="5"/>
      <c r="J672" s="5">
        <f ca="1">IFERROR(__xludf.DUMMYFUNCTION("""COMPUTED_VALUE"""),13247277)</f>
        <v>13247277</v>
      </c>
      <c r="K672" s="5"/>
      <c r="L672" s="18">
        <f ca="1">IFERROR(__xludf.DUMMYFUNCTION("""COMPUTED_VALUE"""),45324)</f>
        <v>45324</v>
      </c>
      <c r="M672" s="18">
        <f ca="1">IFERROR(__xludf.DUMMYFUNCTION("""COMPUTED_VALUE"""),45324)</f>
        <v>45324</v>
      </c>
      <c r="N672" s="5" t="str">
        <f ca="1">IFERROR(__xludf.DUMMYFUNCTION("""COMPUTED_VALUE"""),"Paz Paz Jhon Estiven")</f>
        <v>Paz Paz Jhon Estiven</v>
      </c>
      <c r="O672" s="2">
        <f ca="1">IFERROR(__xludf.DUMMYFUNCTION("""COMPUTED_VALUE"""),0.00625)</f>
        <v>6.2500000000000003E-3</v>
      </c>
      <c r="P672" s="5">
        <f ca="1">IFERROR(__xludf.DUMMYFUNCTION("""COMPUTED_VALUE"""),20031102)</f>
        <v>20031102</v>
      </c>
      <c r="Q672" s="5" t="str">
        <f ca="1">IFERROR(__xludf.DUMMYFUNCTION("""COMPUTED_VALUE"""),"Pl6lqgENCCA")</f>
        <v>Pl6lqgENCCA</v>
      </c>
      <c r="R672" s="5">
        <f ca="1">IFERROR(__xludf.DUMMYFUNCTION("""COMPUTED_VALUE"""),410)</f>
        <v>410</v>
      </c>
      <c r="S672" s="62">
        <f ca="1">IFERROR(__xludf.DUMMYFUNCTION("""COMPUTED_VALUE"""),0.00625)</f>
        <v>6.2500000000000003E-3</v>
      </c>
      <c r="T672" s="63" t="str">
        <f ca="1">IFERROR(__xludf.DUMMYFUNCTION("""COMPUTED_VALUE"""),"https://storage.googleapis.com/glide-prod.appspot.com/uploads-v2/ly7o78grxPaC6KdgvbpS/pub/3aRdSog0vUtuqPE8AJKD.png")</f>
        <v>https://storage.googleapis.com/glide-prod.appspot.com/uploads-v2/ly7o78grxPaC6KdgvbpS/pub/3aRdSog0vUtuqPE8AJKD.png</v>
      </c>
      <c r="U672" s="5" t="str">
        <f ca="1">IFERROR(__xludf.DUMMYFUNCTION("""COMPUTED_VALUE"""),"LINEA DE ENVASADO FAMILIAR Y PRBLAVADORA DE CAJAS")</f>
        <v>LINEA DE ENVASADO FAMILIAR Y PRBLAVADORA DE CAJAS</v>
      </c>
      <c r="V672" s="5"/>
      <c r="W672" s="5" t="b">
        <f ca="1">IFERROR(__xludf.DUMMYFUNCTION("""COMPUTED_VALUE"""),TRUE)</f>
        <v>1</v>
      </c>
      <c r="X672" s="5" t="str">
        <f ca="1">IFERROR(__xludf.DUMMYFUNCTION("""COMPUTED_VALUE"""),"wguerra@postobon.com.co,aprmttoyu@postobon.com.co,aprmyu@postobon.com.co,wmora@postobon.com.co,efzapata@postobon.com.co")</f>
        <v>wguerra@postobon.com.co,aprmttoyu@postobon.com.co,aprmyu@postobon.com.co,wmora@postobon.com.co,efzapata@postobon.com.co</v>
      </c>
      <c r="Y672" s="5" t="str">
        <f ca="1">IFERROR(__xludf.DUMMYFUNCTION("""COMPUTED_VALUE"""),"wguerra@postobon.com.co")</f>
        <v>wguerra@postobon.com.co</v>
      </c>
      <c r="Z672" s="5" t="str">
        <f ca="1">IFERROR(__xludf.DUMMYFUNCTION("""COMPUTED_VALUE"""),"o68XfFNHQBi3dNbEI5wZRg")</f>
        <v>o68XfFNHQBi3dNbEI5wZRg</v>
      </c>
      <c r="AA672" s="5"/>
      <c r="AB672" s="5"/>
      <c r="AC672" s="5"/>
      <c r="AD672" s="5">
        <f ca="1">IFERROR(__xludf.DUMMYFUNCTION("""COMPUTED_VALUE"""),62)</f>
        <v>62</v>
      </c>
      <c r="AE672" s="5">
        <f ca="1">IFERROR(__xludf.DUMMYFUNCTION("""COMPUTED_VALUE"""),62)</f>
        <v>62</v>
      </c>
      <c r="AF672" s="5" t="b">
        <f ca="1">IFERROR(__xludf.DUMMYFUNCTION("""COMPUTED_VALUE"""),FALSE)</f>
        <v>0</v>
      </c>
      <c r="AG672" s="5" t="str">
        <f ca="1">IFERROR(__xludf.DUMMYFUNCTION("""COMPUTED_VALUE"""),"INSPECCIONES REALIZADAS")</f>
        <v>INSPECCIONES REALIZADAS</v>
      </c>
      <c r="AH672" s="5"/>
    </row>
    <row r="673" spans="1:34">
      <c r="A673" s="5" t="str">
        <f ca="1">IFERROR(__xludf.DUMMYFUNCTION("""COMPUTED_VALUE"""),"LINEA DE ENVASADO FAMILIAR Y PRB")</f>
        <v>LINEA DE ENVASADO FAMILIAR Y PRB</v>
      </c>
      <c r="B673" s="5">
        <f ca="1">IFERROR(__xludf.DUMMYFUNCTION("""COMPUTED_VALUE"""),560027)</f>
        <v>560027</v>
      </c>
      <c r="C673" s="5" t="str">
        <f ca="1">IFERROR(__xludf.DUMMYFUNCTION("""COMPUTED_VALUE"""),"LAVADORA DE CAJAS")</f>
        <v>LAVADORA DE CAJAS</v>
      </c>
      <c r="D673" s="5">
        <f ca="1">IFERROR(__xludf.DUMMYFUNCTION("""COMPUTED_VALUE"""),13247277)</f>
        <v>13247277</v>
      </c>
      <c r="E673" s="5" t="str">
        <f ca="1">IFERROR(__xludf.DUMMYFUNCTION("""COMPUTED_VALUE"""),"INSPECCION SEMANAL LAVADORA DE CAJAS")</f>
        <v>INSPECCION SEMANAL LAVADORA DE CAJAS</v>
      </c>
      <c r="F673" s="5" t="str">
        <f ca="1">IFERROR(__xludf.DUMMYFUNCTION("""COMPUTED_VALUE"""),"Estado del transportador superior")</f>
        <v>Estado del transportador superior</v>
      </c>
      <c r="G673" s="5" t="b">
        <f ca="1">IFERROR(__xludf.DUMMYFUNCTION("""COMPUTED_VALUE"""),TRUE)</f>
        <v>1</v>
      </c>
      <c r="H673" s="5"/>
      <c r="I673" s="5"/>
      <c r="J673" s="5">
        <f ca="1">IFERROR(__xludf.DUMMYFUNCTION("""COMPUTED_VALUE"""),13247277)</f>
        <v>13247277</v>
      </c>
      <c r="K673" s="5"/>
      <c r="L673" s="18">
        <f ca="1">IFERROR(__xludf.DUMMYFUNCTION("""COMPUTED_VALUE"""),45324)</f>
        <v>45324</v>
      </c>
      <c r="M673" s="18">
        <f ca="1">IFERROR(__xludf.DUMMYFUNCTION("""COMPUTED_VALUE"""),45324)</f>
        <v>45324</v>
      </c>
      <c r="N673" s="5" t="str">
        <f ca="1">IFERROR(__xludf.DUMMYFUNCTION("""COMPUTED_VALUE"""),"Paz Paz Jhon Estiven")</f>
        <v>Paz Paz Jhon Estiven</v>
      </c>
      <c r="O673" s="2">
        <f ca="1">IFERROR(__xludf.DUMMYFUNCTION("""COMPUTED_VALUE"""),0.00625)</f>
        <v>6.2500000000000003E-3</v>
      </c>
      <c r="P673" s="5">
        <f ca="1">IFERROR(__xludf.DUMMYFUNCTION("""COMPUTED_VALUE"""),20031102)</f>
        <v>20031102</v>
      </c>
      <c r="Q673" s="5" t="str">
        <f ca="1">IFERROR(__xludf.DUMMYFUNCTION("""COMPUTED_VALUE"""),"VgyD7Fye_hk")</f>
        <v>VgyD7Fye_hk</v>
      </c>
      <c r="R673" s="5">
        <f ca="1">IFERROR(__xludf.DUMMYFUNCTION("""COMPUTED_VALUE"""),410)</f>
        <v>410</v>
      </c>
      <c r="S673" s="62">
        <f ca="1">IFERROR(__xludf.DUMMYFUNCTION("""COMPUTED_VALUE"""),0.00625)</f>
        <v>6.2500000000000003E-3</v>
      </c>
      <c r="T673" s="63" t="str">
        <f ca="1">IFERROR(__xludf.DUMMYFUNCTION("""COMPUTED_VALUE"""),"https://storage.googleapis.com/glide-prod.appspot.com/uploads-v2/ly7o78grxPaC6KdgvbpS/pub/3aRdSog0vUtuqPE8AJKD.png")</f>
        <v>https://storage.googleapis.com/glide-prod.appspot.com/uploads-v2/ly7o78grxPaC6KdgvbpS/pub/3aRdSog0vUtuqPE8AJKD.png</v>
      </c>
      <c r="U673" s="5" t="str">
        <f ca="1">IFERROR(__xludf.DUMMYFUNCTION("""COMPUTED_VALUE"""),"LINEA DE ENVASADO FAMILIAR Y PRBLAVADORA DE CAJAS")</f>
        <v>LINEA DE ENVASADO FAMILIAR Y PRBLAVADORA DE CAJAS</v>
      </c>
      <c r="V673" s="5"/>
      <c r="W673" s="5" t="b">
        <f ca="1">IFERROR(__xludf.DUMMYFUNCTION("""COMPUTED_VALUE"""),TRUE)</f>
        <v>1</v>
      </c>
      <c r="X673" s="5" t="str">
        <f ca="1">IFERROR(__xludf.DUMMYFUNCTION("""COMPUTED_VALUE"""),"wguerra@postobon.com.co,aprmttoyu@postobon.com.co,aprmyu@postobon.com.co,wmora@postobon.com.co,efzapata@postobon.com.co")</f>
        <v>wguerra@postobon.com.co,aprmttoyu@postobon.com.co,aprmyu@postobon.com.co,wmora@postobon.com.co,efzapata@postobon.com.co</v>
      </c>
      <c r="Y673" s="5" t="str">
        <f ca="1">IFERROR(__xludf.DUMMYFUNCTION("""COMPUTED_VALUE"""),"wguerra@postobon.com.co")</f>
        <v>wguerra@postobon.com.co</v>
      </c>
      <c r="Z673" s="5" t="str">
        <f ca="1">IFERROR(__xludf.DUMMYFUNCTION("""COMPUTED_VALUE"""),"zIYMqcssQn6biB3OifzE.A")</f>
        <v>zIYMqcssQn6biB3OifzE.A</v>
      </c>
      <c r="AA673" s="5"/>
      <c r="AB673" s="5"/>
      <c r="AC673" s="5"/>
      <c r="AD673" s="5">
        <f ca="1">IFERROR(__xludf.DUMMYFUNCTION("""COMPUTED_VALUE"""),62)</f>
        <v>62</v>
      </c>
      <c r="AE673" s="5">
        <f ca="1">IFERROR(__xludf.DUMMYFUNCTION("""COMPUTED_VALUE"""),62)</f>
        <v>62</v>
      </c>
      <c r="AF673" s="5" t="b">
        <f ca="1">IFERROR(__xludf.DUMMYFUNCTION("""COMPUTED_VALUE"""),FALSE)</f>
        <v>0</v>
      </c>
      <c r="AG673" s="5" t="str">
        <f ca="1">IFERROR(__xludf.DUMMYFUNCTION("""COMPUTED_VALUE"""),"INSPECCIONES REALIZADAS")</f>
        <v>INSPECCIONES REALIZADAS</v>
      </c>
      <c r="AH673" s="5"/>
    </row>
    <row r="674" spans="1:34">
      <c r="A674" s="5" t="str">
        <f ca="1">IFERROR(__xludf.DUMMYFUNCTION("""COMPUTED_VALUE"""),"LINEA DE ENVASADO FAMILIAR Y PRB")</f>
        <v>LINEA DE ENVASADO FAMILIAR Y PRB</v>
      </c>
      <c r="B674" s="5">
        <f ca="1">IFERROR(__xludf.DUMMYFUNCTION("""COMPUTED_VALUE"""),560027)</f>
        <v>560027</v>
      </c>
      <c r="C674" s="5" t="str">
        <f ca="1">IFERROR(__xludf.DUMMYFUNCTION("""COMPUTED_VALUE"""),"LAVADORA DE CAJAS")</f>
        <v>LAVADORA DE CAJAS</v>
      </c>
      <c r="D674" s="5">
        <f ca="1">IFERROR(__xludf.DUMMYFUNCTION("""COMPUTED_VALUE"""),13247277)</f>
        <v>13247277</v>
      </c>
      <c r="E674" s="5" t="str">
        <f ca="1">IFERROR(__xludf.DUMMYFUNCTION("""COMPUTED_VALUE"""),"INSPECCION SEMANAL LAVADORA DE CAJAS")</f>
        <v>INSPECCION SEMANAL LAVADORA DE CAJAS</v>
      </c>
      <c r="F674" s="5" t="str">
        <f ca="1">IFERROR(__xludf.DUMMYFUNCTION("""COMPUTED_VALUE"""),"Estado del transportador interior")</f>
        <v>Estado del transportador interior</v>
      </c>
      <c r="G674" s="5" t="b">
        <f ca="1">IFERROR(__xludf.DUMMYFUNCTION("""COMPUTED_VALUE"""),TRUE)</f>
        <v>1</v>
      </c>
      <c r="H674" s="5"/>
      <c r="I674" s="5"/>
      <c r="J674" s="5">
        <f ca="1">IFERROR(__xludf.DUMMYFUNCTION("""COMPUTED_VALUE"""),13247277)</f>
        <v>13247277</v>
      </c>
      <c r="K674" s="5"/>
      <c r="L674" s="18">
        <f ca="1">IFERROR(__xludf.DUMMYFUNCTION("""COMPUTED_VALUE"""),45324)</f>
        <v>45324</v>
      </c>
      <c r="M674" s="18">
        <f ca="1">IFERROR(__xludf.DUMMYFUNCTION("""COMPUTED_VALUE"""),45324)</f>
        <v>45324</v>
      </c>
      <c r="N674" s="5" t="str">
        <f ca="1">IFERROR(__xludf.DUMMYFUNCTION("""COMPUTED_VALUE"""),"Paz Paz Jhon Estiven")</f>
        <v>Paz Paz Jhon Estiven</v>
      </c>
      <c r="O674" s="2">
        <f ca="1">IFERROR(__xludf.DUMMYFUNCTION("""COMPUTED_VALUE"""),0.00625)</f>
        <v>6.2500000000000003E-3</v>
      </c>
      <c r="P674" s="5">
        <f ca="1">IFERROR(__xludf.DUMMYFUNCTION("""COMPUTED_VALUE"""),20031102)</f>
        <v>20031102</v>
      </c>
      <c r="Q674" s="5" t="str">
        <f ca="1">IFERROR(__xludf.DUMMYFUNCTION("""COMPUTED_VALUE"""),"r4iClSKdgO8")</f>
        <v>r4iClSKdgO8</v>
      </c>
      <c r="R674" s="5">
        <f ca="1">IFERROR(__xludf.DUMMYFUNCTION("""COMPUTED_VALUE"""),410)</f>
        <v>410</v>
      </c>
      <c r="S674" s="62">
        <f ca="1">IFERROR(__xludf.DUMMYFUNCTION("""COMPUTED_VALUE"""),0.00625)</f>
        <v>6.2500000000000003E-3</v>
      </c>
      <c r="T674" s="63" t="str">
        <f ca="1">IFERROR(__xludf.DUMMYFUNCTION("""COMPUTED_VALUE"""),"https://storage.googleapis.com/glide-prod.appspot.com/uploads-v2/ly7o78grxPaC6KdgvbpS/pub/3aRdSog0vUtuqPE8AJKD.png")</f>
        <v>https://storage.googleapis.com/glide-prod.appspot.com/uploads-v2/ly7o78grxPaC6KdgvbpS/pub/3aRdSog0vUtuqPE8AJKD.png</v>
      </c>
      <c r="U674" s="5" t="str">
        <f ca="1">IFERROR(__xludf.DUMMYFUNCTION("""COMPUTED_VALUE"""),"LINEA DE ENVASADO FAMILIAR Y PRBLAVADORA DE CAJAS")</f>
        <v>LINEA DE ENVASADO FAMILIAR Y PRBLAVADORA DE CAJAS</v>
      </c>
      <c r="V674" s="5"/>
      <c r="W674" s="5" t="b">
        <f ca="1">IFERROR(__xludf.DUMMYFUNCTION("""COMPUTED_VALUE"""),TRUE)</f>
        <v>1</v>
      </c>
      <c r="X674" s="5" t="str">
        <f ca="1">IFERROR(__xludf.DUMMYFUNCTION("""COMPUTED_VALUE"""),"wguerra@postobon.com.co,aprmttoyu@postobon.com.co,aprmyu@postobon.com.co,wmora@postobon.com.co,efzapata@postobon.com.co")</f>
        <v>wguerra@postobon.com.co,aprmttoyu@postobon.com.co,aprmyu@postobon.com.co,wmora@postobon.com.co,efzapata@postobon.com.co</v>
      </c>
      <c r="Y674" s="5" t="str">
        <f ca="1">IFERROR(__xludf.DUMMYFUNCTION("""COMPUTED_VALUE"""),"wguerra@postobon.com.co")</f>
        <v>wguerra@postobon.com.co</v>
      </c>
      <c r="Z674" s="5" t="str">
        <f ca="1">IFERROR(__xludf.DUMMYFUNCTION("""COMPUTED_VALUE"""),"GJG2X1gQTzmtkZ52DpeQHQ")</f>
        <v>GJG2X1gQTzmtkZ52DpeQHQ</v>
      </c>
      <c r="AA674" s="5"/>
      <c r="AB674" s="5"/>
      <c r="AC674" s="5"/>
      <c r="AD674" s="5">
        <f ca="1">IFERROR(__xludf.DUMMYFUNCTION("""COMPUTED_VALUE"""),62)</f>
        <v>62</v>
      </c>
      <c r="AE674" s="5">
        <f ca="1">IFERROR(__xludf.DUMMYFUNCTION("""COMPUTED_VALUE"""),62)</f>
        <v>62</v>
      </c>
      <c r="AF674" s="5" t="b">
        <f ca="1">IFERROR(__xludf.DUMMYFUNCTION("""COMPUTED_VALUE"""),FALSE)</f>
        <v>0</v>
      </c>
      <c r="AG674" s="5" t="str">
        <f ca="1">IFERROR(__xludf.DUMMYFUNCTION("""COMPUTED_VALUE"""),"INSPECCIONES REALIZADAS")</f>
        <v>INSPECCIONES REALIZADAS</v>
      </c>
      <c r="AH674" s="5"/>
    </row>
    <row r="675" spans="1:34">
      <c r="A675" s="5" t="str">
        <f ca="1">IFERROR(__xludf.DUMMYFUNCTION("""COMPUTED_VALUE"""),"LINEA DE ENVASADO FAMILIAR Y PRB")</f>
        <v>LINEA DE ENVASADO FAMILIAR Y PRB</v>
      </c>
      <c r="B675" s="5">
        <f ca="1">IFERROR(__xludf.DUMMYFUNCTION("""COMPUTED_VALUE"""),560027)</f>
        <v>560027</v>
      </c>
      <c r="C675" s="5" t="str">
        <f ca="1">IFERROR(__xludf.DUMMYFUNCTION("""COMPUTED_VALUE"""),"LAVADORA DE CAJAS")</f>
        <v>LAVADORA DE CAJAS</v>
      </c>
      <c r="D675" s="5">
        <f ca="1">IFERROR(__xludf.DUMMYFUNCTION("""COMPUTED_VALUE"""),13247277)</f>
        <v>13247277</v>
      </c>
      <c r="E675" s="5" t="str">
        <f ca="1">IFERROR(__xludf.DUMMYFUNCTION("""COMPUTED_VALUE"""),"INSPECCION SEMANAL LAVADORA DE CAJAS")</f>
        <v>INSPECCION SEMANAL LAVADORA DE CAJAS</v>
      </c>
      <c r="F675" s="5" t="str">
        <f ca="1">IFERROR(__xludf.DUMMYFUNCTION("""COMPUTED_VALUE"""),"Estado de piñones")</f>
        <v>Estado de piñones</v>
      </c>
      <c r="G675" s="5" t="b">
        <f ca="1">IFERROR(__xludf.DUMMYFUNCTION("""COMPUTED_VALUE"""),TRUE)</f>
        <v>1</v>
      </c>
      <c r="H675" s="5"/>
      <c r="I675" s="5"/>
      <c r="J675" s="5">
        <f ca="1">IFERROR(__xludf.DUMMYFUNCTION("""COMPUTED_VALUE"""),13247277)</f>
        <v>13247277</v>
      </c>
      <c r="K675" s="5"/>
      <c r="L675" s="18">
        <f ca="1">IFERROR(__xludf.DUMMYFUNCTION("""COMPUTED_VALUE"""),45324)</f>
        <v>45324</v>
      </c>
      <c r="M675" s="18">
        <f ca="1">IFERROR(__xludf.DUMMYFUNCTION("""COMPUTED_VALUE"""),45324)</f>
        <v>45324</v>
      </c>
      <c r="N675" s="5" t="str">
        <f ca="1">IFERROR(__xludf.DUMMYFUNCTION("""COMPUTED_VALUE"""),"Paz Paz Jhon Estiven")</f>
        <v>Paz Paz Jhon Estiven</v>
      </c>
      <c r="O675" s="2">
        <f ca="1">IFERROR(__xludf.DUMMYFUNCTION("""COMPUTED_VALUE"""),0.00625)</f>
        <v>6.2500000000000003E-3</v>
      </c>
      <c r="P675" s="5">
        <f ca="1">IFERROR(__xludf.DUMMYFUNCTION("""COMPUTED_VALUE"""),20031102)</f>
        <v>20031102</v>
      </c>
      <c r="Q675" s="5" t="str">
        <f ca="1">IFERROR(__xludf.DUMMYFUNCTION("""COMPUTED_VALUE"""),"wCbEGLdVIPY")</f>
        <v>wCbEGLdVIPY</v>
      </c>
      <c r="R675" s="5">
        <f ca="1">IFERROR(__xludf.DUMMYFUNCTION("""COMPUTED_VALUE"""),410)</f>
        <v>410</v>
      </c>
      <c r="S675" s="62">
        <f ca="1">IFERROR(__xludf.DUMMYFUNCTION("""COMPUTED_VALUE"""),0.00625)</f>
        <v>6.2500000000000003E-3</v>
      </c>
      <c r="T675" s="63" t="str">
        <f ca="1">IFERROR(__xludf.DUMMYFUNCTION("""COMPUTED_VALUE"""),"https://storage.googleapis.com/glide-prod.appspot.com/uploads-v2/ly7o78grxPaC6KdgvbpS/pub/3aRdSog0vUtuqPE8AJKD.png")</f>
        <v>https://storage.googleapis.com/glide-prod.appspot.com/uploads-v2/ly7o78grxPaC6KdgvbpS/pub/3aRdSog0vUtuqPE8AJKD.png</v>
      </c>
      <c r="U675" s="5" t="str">
        <f ca="1">IFERROR(__xludf.DUMMYFUNCTION("""COMPUTED_VALUE"""),"LINEA DE ENVASADO FAMILIAR Y PRBLAVADORA DE CAJAS")</f>
        <v>LINEA DE ENVASADO FAMILIAR Y PRBLAVADORA DE CAJAS</v>
      </c>
      <c r="V675" s="5"/>
      <c r="W675" s="5" t="b">
        <f ca="1">IFERROR(__xludf.DUMMYFUNCTION("""COMPUTED_VALUE"""),TRUE)</f>
        <v>1</v>
      </c>
      <c r="X675" s="5" t="str">
        <f ca="1">IFERROR(__xludf.DUMMYFUNCTION("""COMPUTED_VALUE"""),"wguerra@postobon.com.co,aprmttoyu@postobon.com.co,aprmyu@postobon.com.co,wmora@postobon.com.co,efzapata@postobon.com.co")</f>
        <v>wguerra@postobon.com.co,aprmttoyu@postobon.com.co,aprmyu@postobon.com.co,wmora@postobon.com.co,efzapata@postobon.com.co</v>
      </c>
      <c r="Y675" s="5" t="str">
        <f ca="1">IFERROR(__xludf.DUMMYFUNCTION("""COMPUTED_VALUE"""),"wguerra@postobon.com.co")</f>
        <v>wguerra@postobon.com.co</v>
      </c>
      <c r="Z675" s="5" t="str">
        <f ca="1">IFERROR(__xludf.DUMMYFUNCTION("""COMPUTED_VALUE"""),"a.Y9-YiVDTm22RCgxRzwbZw")</f>
        <v>a.Y9-YiVDTm22RCgxRzwbZw</v>
      </c>
      <c r="AA675" s="5"/>
      <c r="AB675" s="5"/>
      <c r="AC675" s="5"/>
      <c r="AD675" s="5">
        <f ca="1">IFERROR(__xludf.DUMMYFUNCTION("""COMPUTED_VALUE"""),62)</f>
        <v>62</v>
      </c>
      <c r="AE675" s="5">
        <f ca="1">IFERROR(__xludf.DUMMYFUNCTION("""COMPUTED_VALUE"""),62)</f>
        <v>62</v>
      </c>
      <c r="AF675" s="5" t="b">
        <f ca="1">IFERROR(__xludf.DUMMYFUNCTION("""COMPUTED_VALUE"""),FALSE)</f>
        <v>0</v>
      </c>
      <c r="AG675" s="5" t="str">
        <f ca="1">IFERROR(__xludf.DUMMYFUNCTION("""COMPUTED_VALUE"""),"INSPECCIONES REALIZADAS")</f>
        <v>INSPECCIONES REALIZADAS</v>
      </c>
      <c r="AH675" s="5"/>
    </row>
    <row r="676" spans="1:34">
      <c r="A676" s="5" t="str">
        <f ca="1">IFERROR(__xludf.DUMMYFUNCTION("""COMPUTED_VALUE"""),"LINEA DE ENVASADO FAMILIAR Y PRB")</f>
        <v>LINEA DE ENVASADO FAMILIAR Y PRB</v>
      </c>
      <c r="B676" s="5">
        <f ca="1">IFERROR(__xludf.DUMMYFUNCTION("""COMPUTED_VALUE"""),560027)</f>
        <v>560027</v>
      </c>
      <c r="C676" s="5" t="str">
        <f ca="1">IFERROR(__xludf.DUMMYFUNCTION("""COMPUTED_VALUE"""),"LAVADORA DE CAJAS")</f>
        <v>LAVADORA DE CAJAS</v>
      </c>
      <c r="D676" s="5">
        <f ca="1">IFERROR(__xludf.DUMMYFUNCTION("""COMPUTED_VALUE"""),13247277)</f>
        <v>13247277</v>
      </c>
      <c r="E676" s="5" t="str">
        <f ca="1">IFERROR(__xludf.DUMMYFUNCTION("""COMPUTED_VALUE"""),"INSPECCION SEMANAL LAVADORA DE CAJAS")</f>
        <v>INSPECCION SEMANAL LAVADORA DE CAJAS</v>
      </c>
      <c r="F676" s="5" t="str">
        <f ca="1">IFERROR(__xludf.DUMMYFUNCTION("""COMPUTED_VALUE"""),"Fugas (aceite, agua, aire, sanitizante).")</f>
        <v>Fugas (aceite, agua, aire, sanitizante).</v>
      </c>
      <c r="G676" s="5" t="b">
        <f ca="1">IFERROR(__xludf.DUMMYFUNCTION("""COMPUTED_VALUE"""),TRUE)</f>
        <v>1</v>
      </c>
      <c r="H676" s="5"/>
      <c r="I676" s="5"/>
      <c r="J676" s="5">
        <f ca="1">IFERROR(__xludf.DUMMYFUNCTION("""COMPUTED_VALUE"""),13247277)</f>
        <v>13247277</v>
      </c>
      <c r="K676" s="5"/>
      <c r="L676" s="18">
        <f ca="1">IFERROR(__xludf.DUMMYFUNCTION("""COMPUTED_VALUE"""),45324)</f>
        <v>45324</v>
      </c>
      <c r="M676" s="18">
        <f ca="1">IFERROR(__xludf.DUMMYFUNCTION("""COMPUTED_VALUE"""),45324)</f>
        <v>45324</v>
      </c>
      <c r="N676" s="5" t="str">
        <f ca="1">IFERROR(__xludf.DUMMYFUNCTION("""COMPUTED_VALUE"""),"Paz Paz Jhon Estiven")</f>
        <v>Paz Paz Jhon Estiven</v>
      </c>
      <c r="O676" s="2">
        <f ca="1">IFERROR(__xludf.DUMMYFUNCTION("""COMPUTED_VALUE"""),0.00625)</f>
        <v>6.2500000000000003E-3</v>
      </c>
      <c r="P676" s="5">
        <f ca="1">IFERROR(__xludf.DUMMYFUNCTION("""COMPUTED_VALUE"""),20031102)</f>
        <v>20031102</v>
      </c>
      <c r="Q676" s="5" t="str">
        <f ca="1">IFERROR(__xludf.DUMMYFUNCTION("""COMPUTED_VALUE"""),"nYByh_KCsZA")</f>
        <v>nYByh_KCsZA</v>
      </c>
      <c r="R676" s="5">
        <f ca="1">IFERROR(__xludf.DUMMYFUNCTION("""COMPUTED_VALUE"""),410)</f>
        <v>410</v>
      </c>
      <c r="S676" s="62">
        <f ca="1">IFERROR(__xludf.DUMMYFUNCTION("""COMPUTED_VALUE"""),0.00625)</f>
        <v>6.2500000000000003E-3</v>
      </c>
      <c r="T676" s="63" t="str">
        <f ca="1">IFERROR(__xludf.DUMMYFUNCTION("""COMPUTED_VALUE"""),"https://storage.googleapis.com/glide-prod.appspot.com/uploads-v2/ly7o78grxPaC6KdgvbpS/pub/3aRdSog0vUtuqPE8AJKD.png")</f>
        <v>https://storage.googleapis.com/glide-prod.appspot.com/uploads-v2/ly7o78grxPaC6KdgvbpS/pub/3aRdSog0vUtuqPE8AJKD.png</v>
      </c>
      <c r="U676" s="5" t="str">
        <f ca="1">IFERROR(__xludf.DUMMYFUNCTION("""COMPUTED_VALUE"""),"LINEA DE ENVASADO FAMILIAR Y PRBLAVADORA DE CAJAS")</f>
        <v>LINEA DE ENVASADO FAMILIAR Y PRBLAVADORA DE CAJAS</v>
      </c>
      <c r="V676" s="5"/>
      <c r="W676" s="5" t="b">
        <f ca="1">IFERROR(__xludf.DUMMYFUNCTION("""COMPUTED_VALUE"""),TRUE)</f>
        <v>1</v>
      </c>
      <c r="X676" s="5" t="str">
        <f ca="1">IFERROR(__xludf.DUMMYFUNCTION("""COMPUTED_VALUE"""),"wguerra@postobon.com.co,aprmttoyu@postobon.com.co,aprmyu@postobon.com.co,wmora@postobon.com.co,efzapata@postobon.com.co")</f>
        <v>wguerra@postobon.com.co,aprmttoyu@postobon.com.co,aprmyu@postobon.com.co,wmora@postobon.com.co,efzapata@postobon.com.co</v>
      </c>
      <c r="Y676" s="5" t="str">
        <f ca="1">IFERROR(__xludf.DUMMYFUNCTION("""COMPUTED_VALUE"""),"wguerra@postobon.com.co")</f>
        <v>wguerra@postobon.com.co</v>
      </c>
      <c r="Z676" s="5" t="str">
        <f ca="1">IFERROR(__xludf.DUMMYFUNCTION("""COMPUTED_VALUE"""),"cVGvhJnGQTyU0fkRH9guvQ")</f>
        <v>cVGvhJnGQTyU0fkRH9guvQ</v>
      </c>
      <c r="AA676" s="5"/>
      <c r="AB676" s="5"/>
      <c r="AC676" s="5"/>
      <c r="AD676" s="5">
        <f ca="1">IFERROR(__xludf.DUMMYFUNCTION("""COMPUTED_VALUE"""),62)</f>
        <v>62</v>
      </c>
      <c r="AE676" s="5">
        <f ca="1">IFERROR(__xludf.DUMMYFUNCTION("""COMPUTED_VALUE"""),62)</f>
        <v>62</v>
      </c>
      <c r="AF676" s="5" t="b">
        <f ca="1">IFERROR(__xludf.DUMMYFUNCTION("""COMPUTED_VALUE"""),FALSE)</f>
        <v>0</v>
      </c>
      <c r="AG676" s="5" t="str">
        <f ca="1">IFERROR(__xludf.DUMMYFUNCTION("""COMPUTED_VALUE"""),"INSPECCIONES REALIZADAS")</f>
        <v>INSPECCIONES REALIZADAS</v>
      </c>
      <c r="AH676" s="5"/>
    </row>
    <row r="677" spans="1:34">
      <c r="A677" s="5" t="str">
        <f ca="1">IFERROR(__xludf.DUMMYFUNCTION("""COMPUTED_VALUE"""),"LINEA DE ENVASADO FAMILIAR Y PRB")</f>
        <v>LINEA DE ENVASADO FAMILIAR Y PRB</v>
      </c>
      <c r="B677" s="5">
        <f ca="1">IFERROR(__xludf.DUMMYFUNCTION("""COMPUTED_VALUE"""),560027)</f>
        <v>560027</v>
      </c>
      <c r="C677" s="5" t="str">
        <f ca="1">IFERROR(__xludf.DUMMYFUNCTION("""COMPUTED_VALUE"""),"LAVADORA DE CAJAS")</f>
        <v>LAVADORA DE CAJAS</v>
      </c>
      <c r="D677" s="5">
        <f ca="1">IFERROR(__xludf.DUMMYFUNCTION("""COMPUTED_VALUE"""),13247277)</f>
        <v>13247277</v>
      </c>
      <c r="E677" s="5" t="str">
        <f ca="1">IFERROR(__xludf.DUMMYFUNCTION("""COMPUTED_VALUE"""),"INSPECCION SEMANAL LAVADORA DE CAJAS")</f>
        <v>INSPECCION SEMANAL LAVADORA DE CAJAS</v>
      </c>
      <c r="F677" s="5" t="str">
        <f ca="1">IFERROR(__xludf.DUMMYFUNCTION("""COMPUTED_VALUE"""),"Estado volteadores de cajas")</f>
        <v>Estado volteadores de cajas</v>
      </c>
      <c r="G677" s="5" t="b">
        <f ca="1">IFERROR(__xludf.DUMMYFUNCTION("""COMPUTED_VALUE"""),TRUE)</f>
        <v>1</v>
      </c>
      <c r="H677" s="5"/>
      <c r="I677" s="5"/>
      <c r="J677" s="5">
        <f ca="1">IFERROR(__xludf.DUMMYFUNCTION("""COMPUTED_VALUE"""),13247277)</f>
        <v>13247277</v>
      </c>
      <c r="K677" s="5"/>
      <c r="L677" s="18">
        <f ca="1">IFERROR(__xludf.DUMMYFUNCTION("""COMPUTED_VALUE"""),45324)</f>
        <v>45324</v>
      </c>
      <c r="M677" s="18">
        <f ca="1">IFERROR(__xludf.DUMMYFUNCTION("""COMPUTED_VALUE"""),45324)</f>
        <v>45324</v>
      </c>
      <c r="N677" s="5" t="str">
        <f ca="1">IFERROR(__xludf.DUMMYFUNCTION("""COMPUTED_VALUE"""),"Paz Paz Jhon Estiven")</f>
        <v>Paz Paz Jhon Estiven</v>
      </c>
      <c r="O677" s="2">
        <f ca="1">IFERROR(__xludf.DUMMYFUNCTION("""COMPUTED_VALUE"""),0.00625)</f>
        <v>6.2500000000000003E-3</v>
      </c>
      <c r="P677" s="5">
        <f ca="1">IFERROR(__xludf.DUMMYFUNCTION("""COMPUTED_VALUE"""),20031102)</f>
        <v>20031102</v>
      </c>
      <c r="Q677" s="5" t="str">
        <f ca="1">IFERROR(__xludf.DUMMYFUNCTION("""COMPUTED_VALUE"""),"g_gbbHMoX2M")</f>
        <v>g_gbbHMoX2M</v>
      </c>
      <c r="R677" s="5">
        <f ca="1">IFERROR(__xludf.DUMMYFUNCTION("""COMPUTED_VALUE"""),410)</f>
        <v>410</v>
      </c>
      <c r="S677" s="62">
        <f ca="1">IFERROR(__xludf.DUMMYFUNCTION("""COMPUTED_VALUE"""),0.00625)</f>
        <v>6.2500000000000003E-3</v>
      </c>
      <c r="T677" s="63" t="str">
        <f ca="1">IFERROR(__xludf.DUMMYFUNCTION("""COMPUTED_VALUE"""),"https://storage.googleapis.com/glide-prod.appspot.com/uploads-v2/ly7o78grxPaC6KdgvbpS/pub/3aRdSog0vUtuqPE8AJKD.png")</f>
        <v>https://storage.googleapis.com/glide-prod.appspot.com/uploads-v2/ly7o78grxPaC6KdgvbpS/pub/3aRdSog0vUtuqPE8AJKD.png</v>
      </c>
      <c r="U677" s="5" t="str">
        <f ca="1">IFERROR(__xludf.DUMMYFUNCTION("""COMPUTED_VALUE"""),"LINEA DE ENVASADO FAMILIAR Y PRBLAVADORA DE CAJAS")</f>
        <v>LINEA DE ENVASADO FAMILIAR Y PRBLAVADORA DE CAJAS</v>
      </c>
      <c r="V677" s="5"/>
      <c r="W677" s="5" t="b">
        <f ca="1">IFERROR(__xludf.DUMMYFUNCTION("""COMPUTED_VALUE"""),TRUE)</f>
        <v>1</v>
      </c>
      <c r="X677" s="5" t="str">
        <f ca="1">IFERROR(__xludf.DUMMYFUNCTION("""COMPUTED_VALUE"""),"wguerra@postobon.com.co,aprmttoyu@postobon.com.co,aprmyu@postobon.com.co,wmora@postobon.com.co,efzapata@postobon.com.co")</f>
        <v>wguerra@postobon.com.co,aprmttoyu@postobon.com.co,aprmyu@postobon.com.co,wmora@postobon.com.co,efzapata@postobon.com.co</v>
      </c>
      <c r="Y677" s="5" t="str">
        <f ca="1">IFERROR(__xludf.DUMMYFUNCTION("""COMPUTED_VALUE"""),"wguerra@postobon.com.co")</f>
        <v>wguerra@postobon.com.co</v>
      </c>
      <c r="Z677" s="5" t="str">
        <f ca="1">IFERROR(__xludf.DUMMYFUNCTION("""COMPUTED_VALUE"""),"CQ61SpceSLa6XA8nYbOR3A")</f>
        <v>CQ61SpceSLa6XA8nYbOR3A</v>
      </c>
      <c r="AA677" s="5"/>
      <c r="AB677" s="5"/>
      <c r="AC677" s="5"/>
      <c r="AD677" s="5">
        <f ca="1">IFERROR(__xludf.DUMMYFUNCTION("""COMPUTED_VALUE"""),62)</f>
        <v>62</v>
      </c>
      <c r="AE677" s="5">
        <f ca="1">IFERROR(__xludf.DUMMYFUNCTION("""COMPUTED_VALUE"""),62)</f>
        <v>62</v>
      </c>
      <c r="AF677" s="5" t="b">
        <f ca="1">IFERROR(__xludf.DUMMYFUNCTION("""COMPUTED_VALUE"""),FALSE)</f>
        <v>0</v>
      </c>
      <c r="AG677" s="5" t="str">
        <f ca="1">IFERROR(__xludf.DUMMYFUNCTION("""COMPUTED_VALUE"""),"INSPECCIONES REALIZADAS")</f>
        <v>INSPECCIONES REALIZADAS</v>
      </c>
      <c r="AH677" s="5"/>
    </row>
    <row r="678" spans="1:34">
      <c r="A678" s="5" t="str">
        <f ca="1">IFERROR(__xludf.DUMMYFUNCTION("""COMPUTED_VALUE"""),"LINEA DE ENVASADO FAMILIAR Y PRB")</f>
        <v>LINEA DE ENVASADO FAMILIAR Y PRB</v>
      </c>
      <c r="B678" s="5">
        <f ca="1">IFERROR(__xludf.DUMMYFUNCTION("""COMPUTED_VALUE"""),560027)</f>
        <v>560027</v>
      </c>
      <c r="C678" s="5" t="str">
        <f ca="1">IFERROR(__xludf.DUMMYFUNCTION("""COMPUTED_VALUE"""),"LAVADORA DE CAJAS")</f>
        <v>LAVADORA DE CAJAS</v>
      </c>
      <c r="D678" s="5">
        <f ca="1">IFERROR(__xludf.DUMMYFUNCTION("""COMPUTED_VALUE"""),13247277)</f>
        <v>13247277</v>
      </c>
      <c r="E678" s="5" t="str">
        <f ca="1">IFERROR(__xludf.DUMMYFUNCTION("""COMPUTED_VALUE"""),"INSPECCION SEMANAL LAVADORA DE CAJAS")</f>
        <v>INSPECCION SEMANAL LAVADORA DE CAJAS</v>
      </c>
      <c r="F678" s="5" t="str">
        <f ca="1">IFERROR(__xludf.DUMMYFUNCTION("""COMPUTED_VALUE"""),"Estados instrumentos de medidas")</f>
        <v>Estados instrumentos de medidas</v>
      </c>
      <c r="G678" s="5" t="b">
        <f ca="1">IFERROR(__xludf.DUMMYFUNCTION("""COMPUTED_VALUE"""),TRUE)</f>
        <v>1</v>
      </c>
      <c r="H678" s="5"/>
      <c r="I678" s="5"/>
      <c r="J678" s="5">
        <f ca="1">IFERROR(__xludf.DUMMYFUNCTION("""COMPUTED_VALUE"""),13247277)</f>
        <v>13247277</v>
      </c>
      <c r="K678" s="5"/>
      <c r="L678" s="18">
        <f ca="1">IFERROR(__xludf.DUMMYFUNCTION("""COMPUTED_VALUE"""),45324)</f>
        <v>45324</v>
      </c>
      <c r="M678" s="18">
        <f ca="1">IFERROR(__xludf.DUMMYFUNCTION("""COMPUTED_VALUE"""),45324)</f>
        <v>45324</v>
      </c>
      <c r="N678" s="5" t="str">
        <f ca="1">IFERROR(__xludf.DUMMYFUNCTION("""COMPUTED_VALUE"""),"Paz Paz Jhon Estiven")</f>
        <v>Paz Paz Jhon Estiven</v>
      </c>
      <c r="O678" s="2">
        <f ca="1">IFERROR(__xludf.DUMMYFUNCTION("""COMPUTED_VALUE"""),0.00625)</f>
        <v>6.2500000000000003E-3</v>
      </c>
      <c r="P678" s="5">
        <f ca="1">IFERROR(__xludf.DUMMYFUNCTION("""COMPUTED_VALUE"""),20031102)</f>
        <v>20031102</v>
      </c>
      <c r="Q678" s="5" t="str">
        <f ca="1">IFERROR(__xludf.DUMMYFUNCTION("""COMPUTED_VALUE"""),"TmDKC0oxr1Q")</f>
        <v>TmDKC0oxr1Q</v>
      </c>
      <c r="R678" s="5">
        <f ca="1">IFERROR(__xludf.DUMMYFUNCTION("""COMPUTED_VALUE"""),410)</f>
        <v>410</v>
      </c>
      <c r="S678" s="62">
        <f ca="1">IFERROR(__xludf.DUMMYFUNCTION("""COMPUTED_VALUE"""),0.00625)</f>
        <v>6.2500000000000003E-3</v>
      </c>
      <c r="T678" s="63" t="str">
        <f ca="1">IFERROR(__xludf.DUMMYFUNCTION("""COMPUTED_VALUE"""),"https://storage.googleapis.com/glide-prod.appspot.com/uploads-v2/ly7o78grxPaC6KdgvbpS/pub/3aRdSog0vUtuqPE8AJKD.png")</f>
        <v>https://storage.googleapis.com/glide-prod.appspot.com/uploads-v2/ly7o78grxPaC6KdgvbpS/pub/3aRdSog0vUtuqPE8AJKD.png</v>
      </c>
      <c r="U678" s="5" t="str">
        <f ca="1">IFERROR(__xludf.DUMMYFUNCTION("""COMPUTED_VALUE"""),"LINEA DE ENVASADO FAMILIAR Y PRBLAVADORA DE CAJAS")</f>
        <v>LINEA DE ENVASADO FAMILIAR Y PRBLAVADORA DE CAJAS</v>
      </c>
      <c r="V678" s="5"/>
      <c r="W678" s="5" t="b">
        <f ca="1">IFERROR(__xludf.DUMMYFUNCTION("""COMPUTED_VALUE"""),TRUE)</f>
        <v>1</v>
      </c>
      <c r="X678" s="5" t="str">
        <f ca="1">IFERROR(__xludf.DUMMYFUNCTION("""COMPUTED_VALUE"""),"wguerra@postobon.com.co,aprmttoyu@postobon.com.co,aprmyu@postobon.com.co,wmora@postobon.com.co,efzapata@postobon.com.co")</f>
        <v>wguerra@postobon.com.co,aprmttoyu@postobon.com.co,aprmyu@postobon.com.co,wmora@postobon.com.co,efzapata@postobon.com.co</v>
      </c>
      <c r="Y678" s="5" t="str">
        <f ca="1">IFERROR(__xludf.DUMMYFUNCTION("""COMPUTED_VALUE"""),"wguerra@postobon.com.co")</f>
        <v>wguerra@postobon.com.co</v>
      </c>
      <c r="Z678" s="5" t="str">
        <f ca="1">IFERROR(__xludf.DUMMYFUNCTION("""COMPUTED_VALUE"""),"9F91JtVwTQSiKxivqNML6w")</f>
        <v>9F91JtVwTQSiKxivqNML6w</v>
      </c>
      <c r="AA678" s="5"/>
      <c r="AB678" s="5"/>
      <c r="AC678" s="5"/>
      <c r="AD678" s="5">
        <f ca="1">IFERROR(__xludf.DUMMYFUNCTION("""COMPUTED_VALUE"""),62)</f>
        <v>62</v>
      </c>
      <c r="AE678" s="5">
        <f ca="1">IFERROR(__xludf.DUMMYFUNCTION("""COMPUTED_VALUE"""),62)</f>
        <v>62</v>
      </c>
      <c r="AF678" s="5" t="b">
        <f ca="1">IFERROR(__xludf.DUMMYFUNCTION("""COMPUTED_VALUE"""),FALSE)</f>
        <v>0</v>
      </c>
      <c r="AG678" s="5" t="str">
        <f ca="1">IFERROR(__xludf.DUMMYFUNCTION("""COMPUTED_VALUE"""),"INSPECCIONES REALIZADAS")</f>
        <v>INSPECCIONES REALIZADAS</v>
      </c>
      <c r="AH678" s="5"/>
    </row>
    <row r="679" spans="1:34">
      <c r="A679" s="5" t="str">
        <f ca="1">IFERROR(__xludf.DUMMYFUNCTION("""COMPUTED_VALUE"""),"LINEA DE ENVASADO FAMILIAR Y PRB")</f>
        <v>LINEA DE ENVASADO FAMILIAR Y PRB</v>
      </c>
      <c r="B679" s="5">
        <f ca="1">IFERROR(__xludf.DUMMYFUNCTION("""COMPUTED_VALUE"""),560027)</f>
        <v>560027</v>
      </c>
      <c r="C679" s="5" t="str">
        <f ca="1">IFERROR(__xludf.DUMMYFUNCTION("""COMPUTED_VALUE"""),"LAVADORA DE CAJAS")</f>
        <v>LAVADORA DE CAJAS</v>
      </c>
      <c r="D679" s="5">
        <f ca="1">IFERROR(__xludf.DUMMYFUNCTION("""COMPUTED_VALUE"""),13247277)</f>
        <v>13247277</v>
      </c>
      <c r="E679" s="5" t="str">
        <f ca="1">IFERROR(__xludf.DUMMYFUNCTION("""COMPUTED_VALUE"""),"INSPECCION SEMANAL LAVADORA DE CAJAS")</f>
        <v>INSPECCION SEMANAL LAVADORA DE CAJAS</v>
      </c>
      <c r="F679" s="5" t="str">
        <f ca="1">IFERROR(__xludf.DUMMYFUNCTION("""COMPUTED_VALUE"""),"Estado de tableros eléctricos de mando, control y potencia")</f>
        <v>Estado de tableros eléctricos de mando, control y potencia</v>
      </c>
      <c r="G679" s="5" t="b">
        <f ca="1">IFERROR(__xludf.DUMMYFUNCTION("""COMPUTED_VALUE"""),TRUE)</f>
        <v>1</v>
      </c>
      <c r="H679" s="5"/>
      <c r="I679" s="5"/>
      <c r="J679" s="5">
        <f ca="1">IFERROR(__xludf.DUMMYFUNCTION("""COMPUTED_VALUE"""),13247277)</f>
        <v>13247277</v>
      </c>
      <c r="K679" s="5"/>
      <c r="L679" s="18">
        <f ca="1">IFERROR(__xludf.DUMMYFUNCTION("""COMPUTED_VALUE"""),45324)</f>
        <v>45324</v>
      </c>
      <c r="M679" s="18">
        <f ca="1">IFERROR(__xludf.DUMMYFUNCTION("""COMPUTED_VALUE"""),45324)</f>
        <v>45324</v>
      </c>
      <c r="N679" s="5" t="str">
        <f ca="1">IFERROR(__xludf.DUMMYFUNCTION("""COMPUTED_VALUE"""),"Paz Paz Jhon Estiven")</f>
        <v>Paz Paz Jhon Estiven</v>
      </c>
      <c r="O679" s="2">
        <f ca="1">IFERROR(__xludf.DUMMYFUNCTION("""COMPUTED_VALUE"""),0.00625)</f>
        <v>6.2500000000000003E-3</v>
      </c>
      <c r="P679" s="5">
        <f ca="1">IFERROR(__xludf.DUMMYFUNCTION("""COMPUTED_VALUE"""),20031102)</f>
        <v>20031102</v>
      </c>
      <c r="Q679" s="5" t="str">
        <f ca="1">IFERROR(__xludf.DUMMYFUNCTION("""COMPUTED_VALUE"""),"CyTFNpnTOYM")</f>
        <v>CyTFNpnTOYM</v>
      </c>
      <c r="R679" s="5">
        <f ca="1">IFERROR(__xludf.DUMMYFUNCTION("""COMPUTED_VALUE"""),410)</f>
        <v>410</v>
      </c>
      <c r="S679" s="62">
        <f ca="1">IFERROR(__xludf.DUMMYFUNCTION("""COMPUTED_VALUE"""),0.00625)</f>
        <v>6.2500000000000003E-3</v>
      </c>
      <c r="T679" s="63" t="str">
        <f ca="1">IFERROR(__xludf.DUMMYFUNCTION("""COMPUTED_VALUE"""),"https://storage.googleapis.com/glide-prod.appspot.com/uploads-v2/ly7o78grxPaC6KdgvbpS/pub/3aRdSog0vUtuqPE8AJKD.png")</f>
        <v>https://storage.googleapis.com/glide-prod.appspot.com/uploads-v2/ly7o78grxPaC6KdgvbpS/pub/3aRdSog0vUtuqPE8AJKD.png</v>
      </c>
      <c r="U679" s="5" t="str">
        <f ca="1">IFERROR(__xludf.DUMMYFUNCTION("""COMPUTED_VALUE"""),"LINEA DE ENVASADO FAMILIAR Y PRBLAVADORA DE CAJAS")</f>
        <v>LINEA DE ENVASADO FAMILIAR Y PRBLAVADORA DE CAJAS</v>
      </c>
      <c r="V679" s="5"/>
      <c r="W679" s="5" t="b">
        <f ca="1">IFERROR(__xludf.DUMMYFUNCTION("""COMPUTED_VALUE"""),TRUE)</f>
        <v>1</v>
      </c>
      <c r="X679" s="5" t="str">
        <f ca="1">IFERROR(__xludf.DUMMYFUNCTION("""COMPUTED_VALUE"""),"wguerra@postobon.com.co,aprmttoyu@postobon.com.co,aprmyu@postobon.com.co,wmora@postobon.com.co,efzapata@postobon.com.co")</f>
        <v>wguerra@postobon.com.co,aprmttoyu@postobon.com.co,aprmyu@postobon.com.co,wmora@postobon.com.co,efzapata@postobon.com.co</v>
      </c>
      <c r="Y679" s="5" t="str">
        <f ca="1">IFERROR(__xludf.DUMMYFUNCTION("""COMPUTED_VALUE"""),"wguerra@postobon.com.co")</f>
        <v>wguerra@postobon.com.co</v>
      </c>
      <c r="Z679" s="5" t="str">
        <f ca="1">IFERROR(__xludf.DUMMYFUNCTION("""COMPUTED_VALUE"""),"pUeryQ5JTTeq07ZDI2..9A")</f>
        <v>pUeryQ5JTTeq07ZDI2..9A</v>
      </c>
      <c r="AA679" s="5"/>
      <c r="AB679" s="5"/>
      <c r="AC679" s="5"/>
      <c r="AD679" s="5">
        <f ca="1">IFERROR(__xludf.DUMMYFUNCTION("""COMPUTED_VALUE"""),62)</f>
        <v>62</v>
      </c>
      <c r="AE679" s="5">
        <f ca="1">IFERROR(__xludf.DUMMYFUNCTION("""COMPUTED_VALUE"""),62)</f>
        <v>62</v>
      </c>
      <c r="AF679" s="5" t="b">
        <f ca="1">IFERROR(__xludf.DUMMYFUNCTION("""COMPUTED_VALUE"""),FALSE)</f>
        <v>0</v>
      </c>
      <c r="AG679" s="5" t="str">
        <f ca="1">IFERROR(__xludf.DUMMYFUNCTION("""COMPUTED_VALUE"""),"INSPECCIONES REALIZADAS")</f>
        <v>INSPECCIONES REALIZADAS</v>
      </c>
      <c r="AH679" s="5"/>
    </row>
    <row r="680" spans="1:34">
      <c r="A680" s="5" t="str">
        <f ca="1">IFERROR(__xludf.DUMMYFUNCTION("""COMPUTED_VALUE"""),"LINEA DE ENVASADO FAMILIAR Y PRB")</f>
        <v>LINEA DE ENVASADO FAMILIAR Y PRB</v>
      </c>
      <c r="B680" s="5">
        <f ca="1">IFERROR(__xludf.DUMMYFUNCTION("""COMPUTED_VALUE"""),560027)</f>
        <v>560027</v>
      </c>
      <c r="C680" s="5" t="str">
        <f ca="1">IFERROR(__xludf.DUMMYFUNCTION("""COMPUTED_VALUE"""),"LAVADORA DE CAJAS")</f>
        <v>LAVADORA DE CAJAS</v>
      </c>
      <c r="D680" s="5">
        <f ca="1">IFERROR(__xludf.DUMMYFUNCTION("""COMPUTED_VALUE"""),13247277)</f>
        <v>13247277</v>
      </c>
      <c r="E680" s="5" t="str">
        <f ca="1">IFERROR(__xludf.DUMMYFUNCTION("""COMPUTED_VALUE"""),"INSPECCION SEMANAL LAVADORA DE CAJAS")</f>
        <v>INSPECCION SEMANAL LAVADORA DE CAJAS</v>
      </c>
      <c r="F680" s="5" t="str">
        <f ca="1">IFERROR(__xludf.DUMMYFUNCTION("""COMPUTED_VALUE"""),"Estado sistema de vapor")</f>
        <v>Estado sistema de vapor</v>
      </c>
      <c r="G680" s="5" t="b">
        <f ca="1">IFERROR(__xludf.DUMMYFUNCTION("""COMPUTED_VALUE"""),TRUE)</f>
        <v>1</v>
      </c>
      <c r="H680" s="5"/>
      <c r="I680" s="5"/>
      <c r="J680" s="5">
        <f ca="1">IFERROR(__xludf.DUMMYFUNCTION("""COMPUTED_VALUE"""),13247277)</f>
        <v>13247277</v>
      </c>
      <c r="K680" s="5"/>
      <c r="L680" s="18">
        <f ca="1">IFERROR(__xludf.DUMMYFUNCTION("""COMPUTED_VALUE"""),45324)</f>
        <v>45324</v>
      </c>
      <c r="M680" s="18">
        <f ca="1">IFERROR(__xludf.DUMMYFUNCTION("""COMPUTED_VALUE"""),45324)</f>
        <v>45324</v>
      </c>
      <c r="N680" s="5" t="str">
        <f ca="1">IFERROR(__xludf.DUMMYFUNCTION("""COMPUTED_VALUE"""),"Paz Paz Jhon Estiven")</f>
        <v>Paz Paz Jhon Estiven</v>
      </c>
      <c r="O680" s="2">
        <f ca="1">IFERROR(__xludf.DUMMYFUNCTION("""COMPUTED_VALUE"""),0.00625)</f>
        <v>6.2500000000000003E-3</v>
      </c>
      <c r="P680" s="5">
        <f ca="1">IFERROR(__xludf.DUMMYFUNCTION("""COMPUTED_VALUE"""),20031102)</f>
        <v>20031102</v>
      </c>
      <c r="Q680" s="5" t="str">
        <f ca="1">IFERROR(__xludf.DUMMYFUNCTION("""COMPUTED_VALUE"""),"6YMe79lW1lM")</f>
        <v>6YMe79lW1lM</v>
      </c>
      <c r="R680" s="5">
        <f ca="1">IFERROR(__xludf.DUMMYFUNCTION("""COMPUTED_VALUE"""),410)</f>
        <v>410</v>
      </c>
      <c r="S680" s="62">
        <f ca="1">IFERROR(__xludf.DUMMYFUNCTION("""COMPUTED_VALUE"""),0.00625)</f>
        <v>6.2500000000000003E-3</v>
      </c>
      <c r="T680" s="63" t="str">
        <f ca="1">IFERROR(__xludf.DUMMYFUNCTION("""COMPUTED_VALUE"""),"https://storage.googleapis.com/glide-prod.appspot.com/uploads-v2/ly7o78grxPaC6KdgvbpS/pub/3aRdSog0vUtuqPE8AJKD.png")</f>
        <v>https://storage.googleapis.com/glide-prod.appspot.com/uploads-v2/ly7o78grxPaC6KdgvbpS/pub/3aRdSog0vUtuqPE8AJKD.png</v>
      </c>
      <c r="U680" s="5" t="str">
        <f ca="1">IFERROR(__xludf.DUMMYFUNCTION("""COMPUTED_VALUE"""),"LINEA DE ENVASADO FAMILIAR Y PRBLAVADORA DE CAJAS")</f>
        <v>LINEA DE ENVASADO FAMILIAR Y PRBLAVADORA DE CAJAS</v>
      </c>
      <c r="V680" s="5"/>
      <c r="W680" s="5" t="b">
        <f ca="1">IFERROR(__xludf.DUMMYFUNCTION("""COMPUTED_VALUE"""),TRUE)</f>
        <v>1</v>
      </c>
      <c r="X680" s="5" t="str">
        <f ca="1">IFERROR(__xludf.DUMMYFUNCTION("""COMPUTED_VALUE"""),"wguerra@postobon.com.co,aprmttoyu@postobon.com.co,aprmyu@postobon.com.co,wmora@postobon.com.co,efzapata@postobon.com.co")</f>
        <v>wguerra@postobon.com.co,aprmttoyu@postobon.com.co,aprmyu@postobon.com.co,wmora@postobon.com.co,efzapata@postobon.com.co</v>
      </c>
      <c r="Y680" s="5" t="str">
        <f ca="1">IFERROR(__xludf.DUMMYFUNCTION("""COMPUTED_VALUE"""),"wguerra@postobon.com.co")</f>
        <v>wguerra@postobon.com.co</v>
      </c>
      <c r="Z680" s="5" t="str">
        <f ca="1">IFERROR(__xludf.DUMMYFUNCTION("""COMPUTED_VALUE"""),"aBKOm8WZTeiGUeTgIb0D4w")</f>
        <v>aBKOm8WZTeiGUeTgIb0D4w</v>
      </c>
      <c r="AA680" s="5"/>
      <c r="AB680" s="5"/>
      <c r="AC680" s="5"/>
      <c r="AD680" s="5">
        <f ca="1">IFERROR(__xludf.DUMMYFUNCTION("""COMPUTED_VALUE"""),62)</f>
        <v>62</v>
      </c>
      <c r="AE680" s="5">
        <f ca="1">IFERROR(__xludf.DUMMYFUNCTION("""COMPUTED_VALUE"""),62)</f>
        <v>62</v>
      </c>
      <c r="AF680" s="5" t="b">
        <f ca="1">IFERROR(__xludf.DUMMYFUNCTION("""COMPUTED_VALUE"""),FALSE)</f>
        <v>0</v>
      </c>
      <c r="AG680" s="5" t="str">
        <f ca="1">IFERROR(__xludf.DUMMYFUNCTION("""COMPUTED_VALUE"""),"INSPECCIONES REALIZADAS")</f>
        <v>INSPECCIONES REALIZADAS</v>
      </c>
      <c r="AH680" s="5"/>
    </row>
    <row r="681" spans="1:34">
      <c r="A681" s="5" t="str">
        <f ca="1">IFERROR(__xludf.DUMMYFUNCTION("""COMPUTED_VALUE"""),"LINEA DE ENVASADO FAMILIAR Y PRB")</f>
        <v>LINEA DE ENVASADO FAMILIAR Y PRB</v>
      </c>
      <c r="B681" s="5">
        <f ca="1">IFERROR(__xludf.DUMMYFUNCTION("""COMPUTED_VALUE"""),560027)</f>
        <v>560027</v>
      </c>
      <c r="C681" s="5" t="str">
        <f ca="1">IFERROR(__xludf.DUMMYFUNCTION("""COMPUTED_VALUE"""),"LAVADORA DE CAJAS")</f>
        <v>LAVADORA DE CAJAS</v>
      </c>
      <c r="D681" s="5">
        <f ca="1">IFERROR(__xludf.DUMMYFUNCTION("""COMPUTED_VALUE"""),13247277)</f>
        <v>13247277</v>
      </c>
      <c r="E681" s="5" t="str">
        <f ca="1">IFERROR(__xludf.DUMMYFUNCTION("""COMPUTED_VALUE"""),"INSPECCION SEMANAL LAVADORA DE CAJAS")</f>
        <v>INSPECCION SEMANAL LAVADORA DE CAJAS</v>
      </c>
      <c r="F681" s="5" t="str">
        <f ca="1">IFERROR(__xludf.DUMMYFUNCTION("""COMPUTED_VALUE"""),"Estado de sensores")</f>
        <v>Estado de sensores</v>
      </c>
      <c r="G681" s="5" t="b">
        <f ca="1">IFERROR(__xludf.DUMMYFUNCTION("""COMPUTED_VALUE"""),TRUE)</f>
        <v>1</v>
      </c>
      <c r="H681" s="5"/>
      <c r="I681" s="5"/>
      <c r="J681" s="5">
        <f ca="1">IFERROR(__xludf.DUMMYFUNCTION("""COMPUTED_VALUE"""),13247277)</f>
        <v>13247277</v>
      </c>
      <c r="K681" s="5"/>
      <c r="L681" s="18">
        <f ca="1">IFERROR(__xludf.DUMMYFUNCTION("""COMPUTED_VALUE"""),45324)</f>
        <v>45324</v>
      </c>
      <c r="M681" s="18">
        <f ca="1">IFERROR(__xludf.DUMMYFUNCTION("""COMPUTED_VALUE"""),45324)</f>
        <v>45324</v>
      </c>
      <c r="N681" s="5" t="str">
        <f ca="1">IFERROR(__xludf.DUMMYFUNCTION("""COMPUTED_VALUE"""),"Paz Paz Jhon Estiven")</f>
        <v>Paz Paz Jhon Estiven</v>
      </c>
      <c r="O681" s="2">
        <f ca="1">IFERROR(__xludf.DUMMYFUNCTION("""COMPUTED_VALUE"""),0.00625)</f>
        <v>6.2500000000000003E-3</v>
      </c>
      <c r="P681" s="5">
        <f ca="1">IFERROR(__xludf.DUMMYFUNCTION("""COMPUTED_VALUE"""),20031102)</f>
        <v>20031102</v>
      </c>
      <c r="Q681" s="5" t="str">
        <f ca="1">IFERROR(__xludf.DUMMYFUNCTION("""COMPUTED_VALUE"""),"WTW-9uOYy2A")</f>
        <v>WTW-9uOYy2A</v>
      </c>
      <c r="R681" s="5">
        <f ca="1">IFERROR(__xludf.DUMMYFUNCTION("""COMPUTED_VALUE"""),410)</f>
        <v>410</v>
      </c>
      <c r="S681" s="62">
        <f ca="1">IFERROR(__xludf.DUMMYFUNCTION("""COMPUTED_VALUE"""),0.00625)</f>
        <v>6.2500000000000003E-3</v>
      </c>
      <c r="T681" s="63" t="str">
        <f ca="1">IFERROR(__xludf.DUMMYFUNCTION("""COMPUTED_VALUE"""),"https://storage.googleapis.com/glide-prod.appspot.com/uploads-v2/ly7o78grxPaC6KdgvbpS/pub/3aRdSog0vUtuqPE8AJKD.png")</f>
        <v>https://storage.googleapis.com/glide-prod.appspot.com/uploads-v2/ly7o78grxPaC6KdgvbpS/pub/3aRdSog0vUtuqPE8AJKD.png</v>
      </c>
      <c r="U681" s="5" t="str">
        <f ca="1">IFERROR(__xludf.DUMMYFUNCTION("""COMPUTED_VALUE"""),"LINEA DE ENVASADO FAMILIAR Y PRBLAVADORA DE CAJAS")</f>
        <v>LINEA DE ENVASADO FAMILIAR Y PRBLAVADORA DE CAJAS</v>
      </c>
      <c r="V681" s="5"/>
      <c r="W681" s="5" t="b">
        <f ca="1">IFERROR(__xludf.DUMMYFUNCTION("""COMPUTED_VALUE"""),TRUE)</f>
        <v>1</v>
      </c>
      <c r="X681" s="5" t="str">
        <f ca="1">IFERROR(__xludf.DUMMYFUNCTION("""COMPUTED_VALUE"""),"wguerra@postobon.com.co,aprmttoyu@postobon.com.co,aprmyu@postobon.com.co,wmora@postobon.com.co,efzapata@postobon.com.co")</f>
        <v>wguerra@postobon.com.co,aprmttoyu@postobon.com.co,aprmyu@postobon.com.co,wmora@postobon.com.co,efzapata@postobon.com.co</v>
      </c>
      <c r="Y681" s="5" t="str">
        <f ca="1">IFERROR(__xludf.DUMMYFUNCTION("""COMPUTED_VALUE"""),"wguerra@postobon.com.co")</f>
        <v>wguerra@postobon.com.co</v>
      </c>
      <c r="Z681" s="5" t="str">
        <f ca="1">IFERROR(__xludf.DUMMYFUNCTION("""COMPUTED_VALUE"""),"SxLU06RORQykAFPusYH5-A")</f>
        <v>SxLU06RORQykAFPusYH5-A</v>
      </c>
      <c r="AA681" s="5"/>
      <c r="AB681" s="5"/>
      <c r="AC681" s="5"/>
      <c r="AD681" s="5">
        <f ca="1">IFERROR(__xludf.DUMMYFUNCTION("""COMPUTED_VALUE"""),62)</f>
        <v>62</v>
      </c>
      <c r="AE681" s="5">
        <f ca="1">IFERROR(__xludf.DUMMYFUNCTION("""COMPUTED_VALUE"""),62)</f>
        <v>62</v>
      </c>
      <c r="AF681" s="5" t="b">
        <f ca="1">IFERROR(__xludf.DUMMYFUNCTION("""COMPUTED_VALUE"""),FALSE)</f>
        <v>0</v>
      </c>
      <c r="AG681" s="5" t="str">
        <f ca="1">IFERROR(__xludf.DUMMYFUNCTION("""COMPUTED_VALUE"""),"INSPECCIONES REALIZADAS")</f>
        <v>INSPECCIONES REALIZADAS</v>
      </c>
      <c r="AH681" s="5"/>
    </row>
    <row r="682" spans="1:34">
      <c r="A682" s="5" t="str">
        <f ca="1">IFERROR(__xludf.DUMMYFUNCTION("""COMPUTED_VALUE"""),"LINEA DE ENVASADO FAMILIAR Y PRB")</f>
        <v>LINEA DE ENVASADO FAMILIAR Y PRB</v>
      </c>
      <c r="B682" s="5">
        <f ca="1">IFERROR(__xludf.DUMMYFUNCTION("""COMPUTED_VALUE"""),560027)</f>
        <v>560027</v>
      </c>
      <c r="C682" s="5" t="str">
        <f ca="1">IFERROR(__xludf.DUMMYFUNCTION("""COMPUTED_VALUE"""),"LAVADORA DE CAJAS")</f>
        <v>LAVADORA DE CAJAS</v>
      </c>
      <c r="D682" s="5">
        <f ca="1">IFERROR(__xludf.DUMMYFUNCTION("""COMPUTED_VALUE"""),13247277)</f>
        <v>13247277</v>
      </c>
      <c r="E682" s="5" t="str">
        <f ca="1">IFERROR(__xludf.DUMMYFUNCTION("""COMPUTED_VALUE"""),"INSPECCION SEMANAL LAVADORA DE CAJAS")</f>
        <v>INSPECCION SEMANAL LAVADORA DE CAJAS</v>
      </c>
      <c r="F682" s="5" t="str">
        <f ca="1">IFERROR(__xludf.DUMMYFUNCTION("""COMPUTED_VALUE"""),"Estado y limpieza de extractor y/o climatizador tablero eléctrico.")</f>
        <v>Estado y limpieza de extractor y/o climatizador tablero eléctrico.</v>
      </c>
      <c r="G682" s="5" t="b">
        <f ca="1">IFERROR(__xludf.DUMMYFUNCTION("""COMPUTED_VALUE"""),TRUE)</f>
        <v>1</v>
      </c>
      <c r="H682" s="5"/>
      <c r="I682" s="5"/>
      <c r="J682" s="5">
        <f ca="1">IFERROR(__xludf.DUMMYFUNCTION("""COMPUTED_VALUE"""),13247277)</f>
        <v>13247277</v>
      </c>
      <c r="K682" s="5"/>
      <c r="L682" s="18">
        <f ca="1">IFERROR(__xludf.DUMMYFUNCTION("""COMPUTED_VALUE"""),45324)</f>
        <v>45324</v>
      </c>
      <c r="M682" s="18">
        <f ca="1">IFERROR(__xludf.DUMMYFUNCTION("""COMPUTED_VALUE"""),45324)</f>
        <v>45324</v>
      </c>
      <c r="N682" s="5" t="str">
        <f ca="1">IFERROR(__xludf.DUMMYFUNCTION("""COMPUTED_VALUE"""),"Paz Paz Jhon Estiven")</f>
        <v>Paz Paz Jhon Estiven</v>
      </c>
      <c r="O682" s="2">
        <f ca="1">IFERROR(__xludf.DUMMYFUNCTION("""COMPUTED_VALUE"""),0.00625)</f>
        <v>6.2500000000000003E-3</v>
      </c>
      <c r="P682" s="5">
        <f ca="1">IFERROR(__xludf.DUMMYFUNCTION("""COMPUTED_VALUE"""),20031102)</f>
        <v>20031102</v>
      </c>
      <c r="Q682" s="5" t="str">
        <f ca="1">IFERROR(__xludf.DUMMYFUNCTION("""COMPUTED_VALUE"""),"9uOJbeT52Oo")</f>
        <v>9uOJbeT52Oo</v>
      </c>
      <c r="R682" s="5">
        <f ca="1">IFERROR(__xludf.DUMMYFUNCTION("""COMPUTED_VALUE"""),410)</f>
        <v>410</v>
      </c>
      <c r="S682" s="62">
        <f ca="1">IFERROR(__xludf.DUMMYFUNCTION("""COMPUTED_VALUE"""),0.00625)</f>
        <v>6.2500000000000003E-3</v>
      </c>
      <c r="T682" s="63" t="str">
        <f ca="1">IFERROR(__xludf.DUMMYFUNCTION("""COMPUTED_VALUE"""),"https://storage.googleapis.com/glide-prod.appspot.com/uploads-v2/ly7o78grxPaC6KdgvbpS/pub/3aRdSog0vUtuqPE8AJKD.png")</f>
        <v>https://storage.googleapis.com/glide-prod.appspot.com/uploads-v2/ly7o78grxPaC6KdgvbpS/pub/3aRdSog0vUtuqPE8AJKD.png</v>
      </c>
      <c r="U682" s="5" t="str">
        <f ca="1">IFERROR(__xludf.DUMMYFUNCTION("""COMPUTED_VALUE"""),"LINEA DE ENVASADO FAMILIAR Y PRBLAVADORA DE CAJAS")</f>
        <v>LINEA DE ENVASADO FAMILIAR Y PRBLAVADORA DE CAJAS</v>
      </c>
      <c r="V682" s="5"/>
      <c r="W682" s="5" t="b">
        <f ca="1">IFERROR(__xludf.DUMMYFUNCTION("""COMPUTED_VALUE"""),TRUE)</f>
        <v>1</v>
      </c>
      <c r="X682" s="5" t="str">
        <f ca="1">IFERROR(__xludf.DUMMYFUNCTION("""COMPUTED_VALUE"""),"wguerra@postobon.com.co,aprmttoyu@postobon.com.co,aprmyu@postobon.com.co,wmora@postobon.com.co,efzapata@postobon.com.co")</f>
        <v>wguerra@postobon.com.co,aprmttoyu@postobon.com.co,aprmyu@postobon.com.co,wmora@postobon.com.co,efzapata@postobon.com.co</v>
      </c>
      <c r="Y682" s="5" t="str">
        <f ca="1">IFERROR(__xludf.DUMMYFUNCTION("""COMPUTED_VALUE"""),"wguerra@postobon.com.co")</f>
        <v>wguerra@postobon.com.co</v>
      </c>
      <c r="Z682" s="5" t="str">
        <f ca="1">IFERROR(__xludf.DUMMYFUNCTION("""COMPUTED_VALUE"""),"pgJ-261FTOeEAc5dBIW2dw")</f>
        <v>pgJ-261FTOeEAc5dBIW2dw</v>
      </c>
      <c r="AA682" s="5"/>
      <c r="AB682" s="5"/>
      <c r="AC682" s="5"/>
      <c r="AD682" s="5">
        <f ca="1">IFERROR(__xludf.DUMMYFUNCTION("""COMPUTED_VALUE"""),62)</f>
        <v>62</v>
      </c>
      <c r="AE682" s="5">
        <f ca="1">IFERROR(__xludf.DUMMYFUNCTION("""COMPUTED_VALUE"""),62)</f>
        <v>62</v>
      </c>
      <c r="AF682" s="5" t="b">
        <f ca="1">IFERROR(__xludf.DUMMYFUNCTION("""COMPUTED_VALUE"""),FALSE)</f>
        <v>0</v>
      </c>
      <c r="AG682" s="5" t="str">
        <f ca="1">IFERROR(__xludf.DUMMYFUNCTION("""COMPUTED_VALUE"""),"INSPECCIONES REALIZADAS")</f>
        <v>INSPECCIONES REALIZADAS</v>
      </c>
      <c r="AH682" s="5"/>
    </row>
    <row r="683" spans="1:34">
      <c r="A683" s="5" t="str">
        <f ca="1">IFERROR(__xludf.DUMMYFUNCTION("""COMPUTED_VALUE"""),"LINEA DE ENVASADO TAMAÑO PERSONAL")</f>
        <v>LINEA DE ENVASADO TAMAÑO PERSONAL</v>
      </c>
      <c r="B683" s="5">
        <f ca="1">IFERROR(__xludf.DUMMYFUNCTION("""COMPUTED_VALUE"""),560025)</f>
        <v>560025</v>
      </c>
      <c r="C683" s="5" t="str">
        <f ca="1">IFERROR(__xludf.DUMMYFUNCTION("""COMPUTED_VALUE"""),"LAVADORA DE CAJAS")</f>
        <v>LAVADORA DE CAJAS</v>
      </c>
      <c r="D683" s="5">
        <f ca="1">IFERROR(__xludf.DUMMYFUNCTION("""COMPUTED_VALUE"""),13247629)</f>
        <v>13247629</v>
      </c>
      <c r="E683" s="5" t="str">
        <f ca="1">IFERROR(__xludf.DUMMYFUNCTION("""COMPUTED_VALUE"""),"INSPECCION SEMANAL LAVADORA DE CAJAS")</f>
        <v>INSPECCION SEMANAL LAVADORA DE CAJAS</v>
      </c>
      <c r="F683" s="5" t="str">
        <f ca="1">IFERROR(__xludf.DUMMYFUNCTION("""COMPUTED_VALUE"""),"Estado de electroválvulas y válvulas neumaticas")</f>
        <v>Estado de electroválvulas y válvulas neumaticas</v>
      </c>
      <c r="G683" s="5" t="b">
        <f ca="1">IFERROR(__xludf.DUMMYFUNCTION("""COMPUTED_VALUE"""),TRUE)</f>
        <v>1</v>
      </c>
      <c r="H683" s="5"/>
      <c r="I683" s="5"/>
      <c r="J683" s="5">
        <f ca="1">IFERROR(__xludf.DUMMYFUNCTION("""COMPUTED_VALUE"""),13247629)</f>
        <v>13247629</v>
      </c>
      <c r="K683" s="5"/>
      <c r="L683" s="18">
        <f ca="1">IFERROR(__xludf.DUMMYFUNCTION("""COMPUTED_VALUE"""),45324)</f>
        <v>45324</v>
      </c>
      <c r="M683" s="18">
        <f ca="1">IFERROR(__xludf.DUMMYFUNCTION("""COMPUTED_VALUE"""),45324)</f>
        <v>45324</v>
      </c>
      <c r="N683" s="5" t="str">
        <f ca="1">IFERROR(__xludf.DUMMYFUNCTION("""COMPUTED_VALUE"""),"Martinez Carlos")</f>
        <v>Martinez Carlos</v>
      </c>
      <c r="O683" s="2">
        <f ca="1">IFERROR(__xludf.DUMMYFUNCTION("""COMPUTED_VALUE"""),0.00625)</f>
        <v>6.2500000000000003E-3</v>
      </c>
      <c r="P683" s="5">
        <f ca="1">IFERROR(__xludf.DUMMYFUNCTION("""COMPUTED_VALUE"""),20009951)</f>
        <v>20009951</v>
      </c>
      <c r="Q683" s="5" t="str">
        <f ca="1">IFERROR(__xludf.DUMMYFUNCTION("""COMPUTED_VALUE"""),"gChhmXfyUcw")</f>
        <v>gChhmXfyUcw</v>
      </c>
      <c r="R683" s="5">
        <f ca="1">IFERROR(__xludf.DUMMYFUNCTION("""COMPUTED_VALUE"""),410)</f>
        <v>410</v>
      </c>
      <c r="S683" s="62">
        <f ca="1">IFERROR(__xludf.DUMMYFUNCTION("""COMPUTED_VALUE"""),0.00625)</f>
        <v>6.2500000000000003E-3</v>
      </c>
      <c r="T683" s="63" t="str">
        <f ca="1">IFERROR(__xludf.DUMMYFUNCTION("""COMPUTED_VALUE"""),"https://storage.googleapis.com/glide-prod.appspot.com/uploads-v2/ly7o78grxPaC6KdgvbpS/pub/3aRdSog0vUtuqPE8AJKD.png")</f>
        <v>https://storage.googleapis.com/glide-prod.appspot.com/uploads-v2/ly7o78grxPaC6KdgvbpS/pub/3aRdSog0vUtuqPE8AJKD.png</v>
      </c>
      <c r="U683" s="5" t="str">
        <f ca="1">IFERROR(__xludf.DUMMYFUNCTION("""COMPUTED_VALUE"""),"LINEA DE ENVASADO TAMAÑO PERSONALLAVADORA DE CAJAS")</f>
        <v>LINEA DE ENVASADO TAMAÑO PERSONALLAVADORA DE CAJAS</v>
      </c>
      <c r="V683" s="5"/>
      <c r="W683" s="5" t="b">
        <f ca="1">IFERROR(__xludf.DUMMYFUNCTION("""COMPUTED_VALUE"""),TRUE)</f>
        <v>1</v>
      </c>
      <c r="X683" s="5" t="str">
        <f ca="1">IFERROR(__xludf.DUMMYFUNCTION("""COMPUTED_VALUE"""),"wguerra@postobon.com.co,aprmttoyu@postobon.com.co,aprmyu@postobon.com.co,wmora@postobon.com.co,efzapata@postobon.com.co")</f>
        <v>wguerra@postobon.com.co,aprmttoyu@postobon.com.co,aprmyu@postobon.com.co,wmora@postobon.com.co,efzapata@postobon.com.co</v>
      </c>
      <c r="Y683" s="5" t="str">
        <f ca="1">IFERROR(__xludf.DUMMYFUNCTION("""COMPUTED_VALUE"""),"wguerra@postobon.com.co")</f>
        <v>wguerra@postobon.com.co</v>
      </c>
      <c r="Z683" s="5" t="str">
        <f ca="1">IFERROR(__xludf.DUMMYFUNCTION("""COMPUTED_VALUE"""),"wL15CJpJTjqAmuSZvAFp5Q")</f>
        <v>wL15CJpJTjqAmuSZvAFp5Q</v>
      </c>
      <c r="AA683" s="5"/>
      <c r="AB683" s="5"/>
      <c r="AC683" s="5"/>
      <c r="AD683" s="5">
        <f ca="1">IFERROR(__xludf.DUMMYFUNCTION("""COMPUTED_VALUE"""),16)</f>
        <v>16</v>
      </c>
      <c r="AE683" s="5">
        <f ca="1">IFERROR(__xludf.DUMMYFUNCTION("""COMPUTED_VALUE"""),16)</f>
        <v>16</v>
      </c>
      <c r="AF683" s="5" t="b">
        <f ca="1">IFERROR(__xludf.DUMMYFUNCTION("""COMPUTED_VALUE"""),FALSE)</f>
        <v>0</v>
      </c>
      <c r="AG683" s="5" t="str">
        <f ca="1">IFERROR(__xludf.DUMMYFUNCTION("""COMPUTED_VALUE"""),"INSPECCIONES REALIZADAS")</f>
        <v>INSPECCIONES REALIZADAS</v>
      </c>
      <c r="AH683" s="5"/>
    </row>
    <row r="684" spans="1:34">
      <c r="A684" s="5" t="str">
        <f ca="1">IFERROR(__xludf.DUMMYFUNCTION("""COMPUTED_VALUE"""),"LINEA DE ENVASADO TAMAÑO PERSONAL")</f>
        <v>LINEA DE ENVASADO TAMAÑO PERSONAL</v>
      </c>
      <c r="B684" s="5">
        <f ca="1">IFERROR(__xludf.DUMMYFUNCTION("""COMPUTED_VALUE"""),560025)</f>
        <v>560025</v>
      </c>
      <c r="C684" s="5" t="str">
        <f ca="1">IFERROR(__xludf.DUMMYFUNCTION("""COMPUTED_VALUE"""),"LAVADORA DE CAJAS")</f>
        <v>LAVADORA DE CAJAS</v>
      </c>
      <c r="D684" s="5">
        <f ca="1">IFERROR(__xludf.DUMMYFUNCTION("""COMPUTED_VALUE"""),13247629)</f>
        <v>13247629</v>
      </c>
      <c r="E684" s="5" t="str">
        <f ca="1">IFERROR(__xludf.DUMMYFUNCTION("""COMPUTED_VALUE"""),"INSPECCION SEMANAL LAVADORA DE CAJAS")</f>
        <v>INSPECCION SEMANAL LAVADORA DE CAJAS</v>
      </c>
      <c r="F684" s="5" t="str">
        <f ca="1">IFERROR(__xludf.DUMMYFUNCTION("""COMPUTED_VALUE"""),"Estados de las guías de entrada y salida")</f>
        <v>Estados de las guías de entrada y salida</v>
      </c>
      <c r="G684" s="5" t="b">
        <f ca="1">IFERROR(__xludf.DUMMYFUNCTION("""COMPUTED_VALUE"""),TRUE)</f>
        <v>1</v>
      </c>
      <c r="H684" s="5"/>
      <c r="I684" s="5"/>
      <c r="J684" s="5">
        <f ca="1">IFERROR(__xludf.DUMMYFUNCTION("""COMPUTED_VALUE"""),13247629)</f>
        <v>13247629</v>
      </c>
      <c r="K684" s="5"/>
      <c r="L684" s="18">
        <f ca="1">IFERROR(__xludf.DUMMYFUNCTION("""COMPUTED_VALUE"""),45324)</f>
        <v>45324</v>
      </c>
      <c r="M684" s="18">
        <f ca="1">IFERROR(__xludf.DUMMYFUNCTION("""COMPUTED_VALUE"""),45324)</f>
        <v>45324</v>
      </c>
      <c r="N684" s="5" t="str">
        <f ca="1">IFERROR(__xludf.DUMMYFUNCTION("""COMPUTED_VALUE"""),"Martinez Carlos")</f>
        <v>Martinez Carlos</v>
      </c>
      <c r="O684" s="2">
        <f ca="1">IFERROR(__xludf.DUMMYFUNCTION("""COMPUTED_VALUE"""),0.00625)</f>
        <v>6.2500000000000003E-3</v>
      </c>
      <c r="P684" s="5">
        <f ca="1">IFERROR(__xludf.DUMMYFUNCTION("""COMPUTED_VALUE"""),20009951)</f>
        <v>20009951</v>
      </c>
      <c r="Q684" s="5" t="str">
        <f ca="1">IFERROR(__xludf.DUMMYFUNCTION("""COMPUTED_VALUE"""),"hnbfTKuLhJE")</f>
        <v>hnbfTKuLhJE</v>
      </c>
      <c r="R684" s="5">
        <f ca="1">IFERROR(__xludf.DUMMYFUNCTION("""COMPUTED_VALUE"""),410)</f>
        <v>410</v>
      </c>
      <c r="S684" s="62">
        <f ca="1">IFERROR(__xludf.DUMMYFUNCTION("""COMPUTED_VALUE"""),0.00625)</f>
        <v>6.2500000000000003E-3</v>
      </c>
      <c r="T684" s="63" t="str">
        <f ca="1">IFERROR(__xludf.DUMMYFUNCTION("""COMPUTED_VALUE"""),"https://storage.googleapis.com/glide-prod.appspot.com/uploads-v2/ly7o78grxPaC6KdgvbpS/pub/3aRdSog0vUtuqPE8AJKD.png")</f>
        <v>https://storage.googleapis.com/glide-prod.appspot.com/uploads-v2/ly7o78grxPaC6KdgvbpS/pub/3aRdSog0vUtuqPE8AJKD.png</v>
      </c>
      <c r="U684" s="5" t="str">
        <f ca="1">IFERROR(__xludf.DUMMYFUNCTION("""COMPUTED_VALUE"""),"LINEA DE ENVASADO TAMAÑO PERSONALLAVADORA DE CAJAS")</f>
        <v>LINEA DE ENVASADO TAMAÑO PERSONALLAVADORA DE CAJAS</v>
      </c>
      <c r="V684" s="5"/>
      <c r="W684" s="5" t="b">
        <f ca="1">IFERROR(__xludf.DUMMYFUNCTION("""COMPUTED_VALUE"""),TRUE)</f>
        <v>1</v>
      </c>
      <c r="X684" s="5" t="str">
        <f ca="1">IFERROR(__xludf.DUMMYFUNCTION("""COMPUTED_VALUE"""),"wguerra@postobon.com.co,aprmttoyu@postobon.com.co,aprmyu@postobon.com.co,wmora@postobon.com.co,efzapata@postobon.com.co")</f>
        <v>wguerra@postobon.com.co,aprmttoyu@postobon.com.co,aprmyu@postobon.com.co,wmora@postobon.com.co,efzapata@postobon.com.co</v>
      </c>
      <c r="Y684" s="5" t="str">
        <f ca="1">IFERROR(__xludf.DUMMYFUNCTION("""COMPUTED_VALUE"""),"wguerra@postobon.com.co")</f>
        <v>wguerra@postobon.com.co</v>
      </c>
      <c r="Z684" s="5" t="str">
        <f ca="1">IFERROR(__xludf.DUMMYFUNCTION("""COMPUTED_VALUE"""),"Pxd6QF7iT5K-HzA8.TKHAg")</f>
        <v>Pxd6QF7iT5K-HzA8.TKHAg</v>
      </c>
      <c r="AA684" s="5"/>
      <c r="AB684" s="5"/>
      <c r="AC684" s="5"/>
      <c r="AD684" s="5">
        <f ca="1">IFERROR(__xludf.DUMMYFUNCTION("""COMPUTED_VALUE"""),16)</f>
        <v>16</v>
      </c>
      <c r="AE684" s="5">
        <f ca="1">IFERROR(__xludf.DUMMYFUNCTION("""COMPUTED_VALUE"""),16)</f>
        <v>16</v>
      </c>
      <c r="AF684" s="5" t="b">
        <f ca="1">IFERROR(__xludf.DUMMYFUNCTION("""COMPUTED_VALUE"""),FALSE)</f>
        <v>0</v>
      </c>
      <c r="AG684" s="5" t="str">
        <f ca="1">IFERROR(__xludf.DUMMYFUNCTION("""COMPUTED_VALUE"""),"INSPECCIONES REALIZADAS")</f>
        <v>INSPECCIONES REALIZADAS</v>
      </c>
      <c r="AH684" s="5"/>
    </row>
    <row r="685" spans="1:34">
      <c r="A685" s="5" t="str">
        <f ca="1">IFERROR(__xludf.DUMMYFUNCTION("""COMPUTED_VALUE"""),"LINEA DE ENVASADO TAMAÑO PERSONAL")</f>
        <v>LINEA DE ENVASADO TAMAÑO PERSONAL</v>
      </c>
      <c r="B685" s="5">
        <f ca="1">IFERROR(__xludf.DUMMYFUNCTION("""COMPUTED_VALUE"""),560025)</f>
        <v>560025</v>
      </c>
      <c r="C685" s="5" t="str">
        <f ca="1">IFERROR(__xludf.DUMMYFUNCTION("""COMPUTED_VALUE"""),"LAVADORA DE CAJAS")</f>
        <v>LAVADORA DE CAJAS</v>
      </c>
      <c r="D685" s="5">
        <f ca="1">IFERROR(__xludf.DUMMYFUNCTION("""COMPUTED_VALUE"""),13247629)</f>
        <v>13247629</v>
      </c>
      <c r="E685" s="5" t="str">
        <f ca="1">IFERROR(__xludf.DUMMYFUNCTION("""COMPUTED_VALUE"""),"INSPECCION SEMANAL LAVADORA DE CAJAS")</f>
        <v>INSPECCION SEMANAL LAVADORA DE CAJAS</v>
      </c>
      <c r="F685" s="5" t="str">
        <f ca="1">IFERROR(__xludf.DUMMYFUNCTION("""COMPUTED_VALUE"""),"Estado de boquillas de lavado")</f>
        <v>Estado de boquillas de lavado</v>
      </c>
      <c r="G685" s="5" t="b">
        <f ca="1">IFERROR(__xludf.DUMMYFUNCTION("""COMPUTED_VALUE"""),TRUE)</f>
        <v>1</v>
      </c>
      <c r="H685" s="5"/>
      <c r="I685" s="5"/>
      <c r="J685" s="5">
        <f ca="1">IFERROR(__xludf.DUMMYFUNCTION("""COMPUTED_VALUE"""),13247629)</f>
        <v>13247629</v>
      </c>
      <c r="K685" s="5"/>
      <c r="L685" s="18">
        <f ca="1">IFERROR(__xludf.DUMMYFUNCTION("""COMPUTED_VALUE"""),45324)</f>
        <v>45324</v>
      </c>
      <c r="M685" s="18">
        <f ca="1">IFERROR(__xludf.DUMMYFUNCTION("""COMPUTED_VALUE"""),45324)</f>
        <v>45324</v>
      </c>
      <c r="N685" s="5" t="str">
        <f ca="1">IFERROR(__xludf.DUMMYFUNCTION("""COMPUTED_VALUE"""),"Martinez Carlos")</f>
        <v>Martinez Carlos</v>
      </c>
      <c r="O685" s="2">
        <f ca="1">IFERROR(__xludf.DUMMYFUNCTION("""COMPUTED_VALUE"""),0.00625)</f>
        <v>6.2500000000000003E-3</v>
      </c>
      <c r="P685" s="5">
        <f ca="1">IFERROR(__xludf.DUMMYFUNCTION("""COMPUTED_VALUE"""),20009951)</f>
        <v>20009951</v>
      </c>
      <c r="Q685" s="5" t="str">
        <f ca="1">IFERROR(__xludf.DUMMYFUNCTION("""COMPUTED_VALUE"""),"UcL8ld58vIA")</f>
        <v>UcL8ld58vIA</v>
      </c>
      <c r="R685" s="5">
        <f ca="1">IFERROR(__xludf.DUMMYFUNCTION("""COMPUTED_VALUE"""),410)</f>
        <v>410</v>
      </c>
      <c r="S685" s="62">
        <f ca="1">IFERROR(__xludf.DUMMYFUNCTION("""COMPUTED_VALUE"""),0.00625)</f>
        <v>6.2500000000000003E-3</v>
      </c>
      <c r="T685" s="63" t="str">
        <f ca="1">IFERROR(__xludf.DUMMYFUNCTION("""COMPUTED_VALUE"""),"https://storage.googleapis.com/glide-prod.appspot.com/uploads-v2/ly7o78grxPaC6KdgvbpS/pub/3aRdSog0vUtuqPE8AJKD.png")</f>
        <v>https://storage.googleapis.com/glide-prod.appspot.com/uploads-v2/ly7o78grxPaC6KdgvbpS/pub/3aRdSog0vUtuqPE8AJKD.png</v>
      </c>
      <c r="U685" s="5" t="str">
        <f ca="1">IFERROR(__xludf.DUMMYFUNCTION("""COMPUTED_VALUE"""),"LINEA DE ENVASADO TAMAÑO PERSONALLAVADORA DE CAJAS")</f>
        <v>LINEA DE ENVASADO TAMAÑO PERSONALLAVADORA DE CAJAS</v>
      </c>
      <c r="V685" s="5"/>
      <c r="W685" s="5" t="b">
        <f ca="1">IFERROR(__xludf.DUMMYFUNCTION("""COMPUTED_VALUE"""),TRUE)</f>
        <v>1</v>
      </c>
      <c r="X685" s="5" t="str">
        <f ca="1">IFERROR(__xludf.DUMMYFUNCTION("""COMPUTED_VALUE"""),"wguerra@postobon.com.co,aprmttoyu@postobon.com.co,aprmyu@postobon.com.co,wmora@postobon.com.co,efzapata@postobon.com.co")</f>
        <v>wguerra@postobon.com.co,aprmttoyu@postobon.com.co,aprmyu@postobon.com.co,wmora@postobon.com.co,efzapata@postobon.com.co</v>
      </c>
      <c r="Y685" s="5" t="str">
        <f ca="1">IFERROR(__xludf.DUMMYFUNCTION("""COMPUTED_VALUE"""),"wguerra@postobon.com.co")</f>
        <v>wguerra@postobon.com.co</v>
      </c>
      <c r="Z685" s="5" t="str">
        <f ca="1">IFERROR(__xludf.DUMMYFUNCTION("""COMPUTED_VALUE"""),"Rt8-UEbxQHymD7uTAP9pNA")</f>
        <v>Rt8-UEbxQHymD7uTAP9pNA</v>
      </c>
      <c r="AA685" s="5"/>
      <c r="AB685" s="5"/>
      <c r="AC685" s="5"/>
      <c r="AD685" s="5">
        <f ca="1">IFERROR(__xludf.DUMMYFUNCTION("""COMPUTED_VALUE"""),16)</f>
        <v>16</v>
      </c>
      <c r="AE685" s="5">
        <f ca="1">IFERROR(__xludf.DUMMYFUNCTION("""COMPUTED_VALUE"""),16)</f>
        <v>16</v>
      </c>
      <c r="AF685" s="5" t="b">
        <f ca="1">IFERROR(__xludf.DUMMYFUNCTION("""COMPUTED_VALUE"""),FALSE)</f>
        <v>0</v>
      </c>
      <c r="AG685" s="5" t="str">
        <f ca="1">IFERROR(__xludf.DUMMYFUNCTION("""COMPUTED_VALUE"""),"INSPECCIONES REALIZADAS")</f>
        <v>INSPECCIONES REALIZADAS</v>
      </c>
      <c r="AH685" s="5"/>
    </row>
    <row r="686" spans="1:34">
      <c r="A686" s="5" t="str">
        <f ca="1">IFERROR(__xludf.DUMMYFUNCTION("""COMPUTED_VALUE"""),"LINEA DE ENVASADO TAMAÑO PERSONAL")</f>
        <v>LINEA DE ENVASADO TAMAÑO PERSONAL</v>
      </c>
      <c r="B686" s="5">
        <f ca="1">IFERROR(__xludf.DUMMYFUNCTION("""COMPUTED_VALUE"""),560025)</f>
        <v>560025</v>
      </c>
      <c r="C686" s="5" t="str">
        <f ca="1">IFERROR(__xludf.DUMMYFUNCTION("""COMPUTED_VALUE"""),"LAVADORA DE CAJAS")</f>
        <v>LAVADORA DE CAJAS</v>
      </c>
      <c r="D686" s="5">
        <f ca="1">IFERROR(__xludf.DUMMYFUNCTION("""COMPUTED_VALUE"""),13247629)</f>
        <v>13247629</v>
      </c>
      <c r="E686" s="5" t="str">
        <f ca="1">IFERROR(__xludf.DUMMYFUNCTION("""COMPUTED_VALUE"""),"INSPECCION SEMANAL LAVADORA DE CAJAS")</f>
        <v>INSPECCION SEMANAL LAVADORA DE CAJAS</v>
      </c>
      <c r="F686" s="5" t="str">
        <f ca="1">IFERROR(__xludf.DUMMYFUNCTION("""COMPUTED_VALUE"""),"Estado de cadenas de transmisión y mallas")</f>
        <v>Estado de cadenas de transmisión y mallas</v>
      </c>
      <c r="G686" s="5" t="b">
        <f ca="1">IFERROR(__xludf.DUMMYFUNCTION("""COMPUTED_VALUE"""),TRUE)</f>
        <v>1</v>
      </c>
      <c r="H686" s="5"/>
      <c r="I686" s="5"/>
      <c r="J686" s="5">
        <f ca="1">IFERROR(__xludf.DUMMYFUNCTION("""COMPUTED_VALUE"""),13247629)</f>
        <v>13247629</v>
      </c>
      <c r="K686" s="5"/>
      <c r="L686" s="18">
        <f ca="1">IFERROR(__xludf.DUMMYFUNCTION("""COMPUTED_VALUE"""),45324)</f>
        <v>45324</v>
      </c>
      <c r="M686" s="18">
        <f ca="1">IFERROR(__xludf.DUMMYFUNCTION("""COMPUTED_VALUE"""),45324)</f>
        <v>45324</v>
      </c>
      <c r="N686" s="5" t="str">
        <f ca="1">IFERROR(__xludf.DUMMYFUNCTION("""COMPUTED_VALUE"""),"Martinez Carlos")</f>
        <v>Martinez Carlos</v>
      </c>
      <c r="O686" s="2">
        <f ca="1">IFERROR(__xludf.DUMMYFUNCTION("""COMPUTED_VALUE"""),0.00625)</f>
        <v>6.2500000000000003E-3</v>
      </c>
      <c r="P686" s="5">
        <f ca="1">IFERROR(__xludf.DUMMYFUNCTION("""COMPUTED_VALUE"""),20009951)</f>
        <v>20009951</v>
      </c>
      <c r="Q686" s="5" t="str">
        <f ca="1">IFERROR(__xludf.DUMMYFUNCTION("""COMPUTED_VALUE"""),"krnAwA7r6nc")</f>
        <v>krnAwA7r6nc</v>
      </c>
      <c r="R686" s="5">
        <f ca="1">IFERROR(__xludf.DUMMYFUNCTION("""COMPUTED_VALUE"""),410)</f>
        <v>410</v>
      </c>
      <c r="S686" s="62">
        <f ca="1">IFERROR(__xludf.DUMMYFUNCTION("""COMPUTED_VALUE"""),0.00625)</f>
        <v>6.2500000000000003E-3</v>
      </c>
      <c r="T686" s="63" t="str">
        <f ca="1">IFERROR(__xludf.DUMMYFUNCTION("""COMPUTED_VALUE"""),"https://storage.googleapis.com/glide-prod.appspot.com/uploads-v2/ly7o78grxPaC6KdgvbpS/pub/3aRdSog0vUtuqPE8AJKD.png")</f>
        <v>https://storage.googleapis.com/glide-prod.appspot.com/uploads-v2/ly7o78grxPaC6KdgvbpS/pub/3aRdSog0vUtuqPE8AJKD.png</v>
      </c>
      <c r="U686" s="5" t="str">
        <f ca="1">IFERROR(__xludf.DUMMYFUNCTION("""COMPUTED_VALUE"""),"LINEA DE ENVASADO TAMAÑO PERSONALLAVADORA DE CAJAS")</f>
        <v>LINEA DE ENVASADO TAMAÑO PERSONALLAVADORA DE CAJAS</v>
      </c>
      <c r="V686" s="5"/>
      <c r="W686" s="5" t="b">
        <f ca="1">IFERROR(__xludf.DUMMYFUNCTION("""COMPUTED_VALUE"""),TRUE)</f>
        <v>1</v>
      </c>
      <c r="X686" s="5" t="str">
        <f ca="1">IFERROR(__xludf.DUMMYFUNCTION("""COMPUTED_VALUE"""),"wguerra@postobon.com.co,aprmttoyu@postobon.com.co,aprmyu@postobon.com.co,wmora@postobon.com.co,efzapata@postobon.com.co")</f>
        <v>wguerra@postobon.com.co,aprmttoyu@postobon.com.co,aprmyu@postobon.com.co,wmora@postobon.com.co,efzapata@postobon.com.co</v>
      </c>
      <c r="Y686" s="5" t="str">
        <f ca="1">IFERROR(__xludf.DUMMYFUNCTION("""COMPUTED_VALUE"""),"wguerra@postobon.com.co")</f>
        <v>wguerra@postobon.com.co</v>
      </c>
      <c r="Z686" s="5" t="str">
        <f ca="1">IFERROR(__xludf.DUMMYFUNCTION("""COMPUTED_VALUE"""),"JGHOx9WQRS6MMhBbhGcerA")</f>
        <v>JGHOx9WQRS6MMhBbhGcerA</v>
      </c>
      <c r="AA686" s="5"/>
      <c r="AB686" s="5"/>
      <c r="AC686" s="5"/>
      <c r="AD686" s="5">
        <f ca="1">IFERROR(__xludf.DUMMYFUNCTION("""COMPUTED_VALUE"""),16)</f>
        <v>16</v>
      </c>
      <c r="AE686" s="5">
        <f ca="1">IFERROR(__xludf.DUMMYFUNCTION("""COMPUTED_VALUE"""),16)</f>
        <v>16</v>
      </c>
      <c r="AF686" s="5" t="b">
        <f ca="1">IFERROR(__xludf.DUMMYFUNCTION("""COMPUTED_VALUE"""),FALSE)</f>
        <v>0</v>
      </c>
      <c r="AG686" s="5" t="str">
        <f ca="1">IFERROR(__xludf.DUMMYFUNCTION("""COMPUTED_VALUE"""),"INSPECCIONES REALIZADAS")</f>
        <v>INSPECCIONES REALIZADAS</v>
      </c>
      <c r="AH686" s="5"/>
    </row>
    <row r="687" spans="1:34">
      <c r="A687" s="5" t="str">
        <f ca="1">IFERROR(__xludf.DUMMYFUNCTION("""COMPUTED_VALUE"""),"LINEA DE ENVASADO TAMAÑO PERSONAL")</f>
        <v>LINEA DE ENVASADO TAMAÑO PERSONAL</v>
      </c>
      <c r="B687" s="5">
        <f ca="1">IFERROR(__xludf.DUMMYFUNCTION("""COMPUTED_VALUE"""),560025)</f>
        <v>560025</v>
      </c>
      <c r="C687" s="5" t="str">
        <f ca="1">IFERROR(__xludf.DUMMYFUNCTION("""COMPUTED_VALUE"""),"LAVADORA DE CAJAS")</f>
        <v>LAVADORA DE CAJAS</v>
      </c>
      <c r="D687" s="5">
        <f ca="1">IFERROR(__xludf.DUMMYFUNCTION("""COMPUTED_VALUE"""),13247629)</f>
        <v>13247629</v>
      </c>
      <c r="E687" s="5" t="str">
        <f ca="1">IFERROR(__xludf.DUMMYFUNCTION("""COMPUTED_VALUE"""),"INSPECCION SEMANAL LAVADORA DE CAJAS")</f>
        <v>INSPECCION SEMANAL LAVADORA DE CAJAS</v>
      </c>
      <c r="F687" s="5" t="str">
        <f ca="1">IFERROR(__xludf.DUMMYFUNCTION("""COMPUTED_VALUE"""),"Estado de motores y motobombas")</f>
        <v>Estado de motores y motobombas</v>
      </c>
      <c r="G687" s="5" t="b">
        <f ca="1">IFERROR(__xludf.DUMMYFUNCTION("""COMPUTED_VALUE"""),TRUE)</f>
        <v>1</v>
      </c>
      <c r="H687" s="5"/>
      <c r="I687" s="5"/>
      <c r="J687" s="5">
        <f ca="1">IFERROR(__xludf.DUMMYFUNCTION("""COMPUTED_VALUE"""),13247629)</f>
        <v>13247629</v>
      </c>
      <c r="K687" s="5"/>
      <c r="L687" s="18">
        <f ca="1">IFERROR(__xludf.DUMMYFUNCTION("""COMPUTED_VALUE"""),45324)</f>
        <v>45324</v>
      </c>
      <c r="M687" s="18">
        <f ca="1">IFERROR(__xludf.DUMMYFUNCTION("""COMPUTED_VALUE"""),45324)</f>
        <v>45324</v>
      </c>
      <c r="N687" s="5" t="str">
        <f ca="1">IFERROR(__xludf.DUMMYFUNCTION("""COMPUTED_VALUE"""),"Martinez Carlos")</f>
        <v>Martinez Carlos</v>
      </c>
      <c r="O687" s="2">
        <f ca="1">IFERROR(__xludf.DUMMYFUNCTION("""COMPUTED_VALUE"""),0.00625)</f>
        <v>6.2500000000000003E-3</v>
      </c>
      <c r="P687" s="5">
        <f ca="1">IFERROR(__xludf.DUMMYFUNCTION("""COMPUTED_VALUE"""),20009951)</f>
        <v>20009951</v>
      </c>
      <c r="Q687" s="5" t="str">
        <f ca="1">IFERROR(__xludf.DUMMYFUNCTION("""COMPUTED_VALUE"""),"DgkPWGPlW1c")</f>
        <v>DgkPWGPlW1c</v>
      </c>
      <c r="R687" s="5">
        <f ca="1">IFERROR(__xludf.DUMMYFUNCTION("""COMPUTED_VALUE"""),410)</f>
        <v>410</v>
      </c>
      <c r="S687" s="62">
        <f ca="1">IFERROR(__xludf.DUMMYFUNCTION("""COMPUTED_VALUE"""),0.00625)</f>
        <v>6.2500000000000003E-3</v>
      </c>
      <c r="T687" s="63" t="str">
        <f ca="1">IFERROR(__xludf.DUMMYFUNCTION("""COMPUTED_VALUE"""),"https://storage.googleapis.com/glide-prod.appspot.com/uploads-v2/ly7o78grxPaC6KdgvbpS/pub/3aRdSog0vUtuqPE8AJKD.png")</f>
        <v>https://storage.googleapis.com/glide-prod.appspot.com/uploads-v2/ly7o78grxPaC6KdgvbpS/pub/3aRdSog0vUtuqPE8AJKD.png</v>
      </c>
      <c r="U687" s="5" t="str">
        <f ca="1">IFERROR(__xludf.DUMMYFUNCTION("""COMPUTED_VALUE"""),"LINEA DE ENVASADO TAMAÑO PERSONALLAVADORA DE CAJAS")</f>
        <v>LINEA DE ENVASADO TAMAÑO PERSONALLAVADORA DE CAJAS</v>
      </c>
      <c r="V687" s="5"/>
      <c r="W687" s="5" t="b">
        <f ca="1">IFERROR(__xludf.DUMMYFUNCTION("""COMPUTED_VALUE"""),TRUE)</f>
        <v>1</v>
      </c>
      <c r="X687" s="5" t="str">
        <f ca="1">IFERROR(__xludf.DUMMYFUNCTION("""COMPUTED_VALUE"""),"wguerra@postobon.com.co,aprmttoyu@postobon.com.co,aprmyu@postobon.com.co,wmora@postobon.com.co,efzapata@postobon.com.co")</f>
        <v>wguerra@postobon.com.co,aprmttoyu@postobon.com.co,aprmyu@postobon.com.co,wmora@postobon.com.co,efzapata@postobon.com.co</v>
      </c>
      <c r="Y687" s="5" t="str">
        <f ca="1">IFERROR(__xludf.DUMMYFUNCTION("""COMPUTED_VALUE"""),"wguerra@postobon.com.co")</f>
        <v>wguerra@postobon.com.co</v>
      </c>
      <c r="Z687" s="5" t="str">
        <f ca="1">IFERROR(__xludf.DUMMYFUNCTION("""COMPUTED_VALUE"""),"AqlCDRWGQTukvbNfNX3QJg")</f>
        <v>AqlCDRWGQTukvbNfNX3QJg</v>
      </c>
      <c r="AA687" s="5"/>
      <c r="AB687" s="5"/>
      <c r="AC687" s="5"/>
      <c r="AD687" s="5">
        <f ca="1">IFERROR(__xludf.DUMMYFUNCTION("""COMPUTED_VALUE"""),16)</f>
        <v>16</v>
      </c>
      <c r="AE687" s="5">
        <f ca="1">IFERROR(__xludf.DUMMYFUNCTION("""COMPUTED_VALUE"""),16)</f>
        <v>16</v>
      </c>
      <c r="AF687" s="5" t="b">
        <f ca="1">IFERROR(__xludf.DUMMYFUNCTION("""COMPUTED_VALUE"""),FALSE)</f>
        <v>0</v>
      </c>
      <c r="AG687" s="5" t="str">
        <f ca="1">IFERROR(__xludf.DUMMYFUNCTION("""COMPUTED_VALUE"""),"INSPECCIONES REALIZADAS")</f>
        <v>INSPECCIONES REALIZADAS</v>
      </c>
      <c r="AH687" s="5"/>
    </row>
    <row r="688" spans="1:34">
      <c r="A688" s="5" t="str">
        <f ca="1">IFERROR(__xludf.DUMMYFUNCTION("""COMPUTED_VALUE"""),"LINEA DE ENVASADO TAMAÑO PERSONAL")</f>
        <v>LINEA DE ENVASADO TAMAÑO PERSONAL</v>
      </c>
      <c r="B688" s="5">
        <f ca="1">IFERROR(__xludf.DUMMYFUNCTION("""COMPUTED_VALUE"""),560025)</f>
        <v>560025</v>
      </c>
      <c r="C688" s="5" t="str">
        <f ca="1">IFERROR(__xludf.DUMMYFUNCTION("""COMPUTED_VALUE"""),"LAVADORA DE CAJAS")</f>
        <v>LAVADORA DE CAJAS</v>
      </c>
      <c r="D688" s="5">
        <f ca="1">IFERROR(__xludf.DUMMYFUNCTION("""COMPUTED_VALUE"""),13247629)</f>
        <v>13247629</v>
      </c>
      <c r="E688" s="5" t="str">
        <f ca="1">IFERROR(__xludf.DUMMYFUNCTION("""COMPUTED_VALUE"""),"INSPECCION SEMANAL LAVADORA DE CAJAS")</f>
        <v>INSPECCION SEMANAL LAVADORA DE CAJAS</v>
      </c>
      <c r="F688" s="5" t="str">
        <f ca="1">IFERROR(__xludf.DUMMYFUNCTION("""COMPUTED_VALUE"""),"Estado de cajas reductoras")</f>
        <v>Estado de cajas reductoras</v>
      </c>
      <c r="G688" s="5" t="b">
        <f ca="1">IFERROR(__xludf.DUMMYFUNCTION("""COMPUTED_VALUE"""),TRUE)</f>
        <v>1</v>
      </c>
      <c r="H688" s="5"/>
      <c r="I688" s="5"/>
      <c r="J688" s="5">
        <f ca="1">IFERROR(__xludf.DUMMYFUNCTION("""COMPUTED_VALUE"""),13247629)</f>
        <v>13247629</v>
      </c>
      <c r="K688" s="5"/>
      <c r="L688" s="18">
        <f ca="1">IFERROR(__xludf.DUMMYFUNCTION("""COMPUTED_VALUE"""),45324)</f>
        <v>45324</v>
      </c>
      <c r="M688" s="18">
        <f ca="1">IFERROR(__xludf.DUMMYFUNCTION("""COMPUTED_VALUE"""),45324)</f>
        <v>45324</v>
      </c>
      <c r="N688" s="5" t="str">
        <f ca="1">IFERROR(__xludf.DUMMYFUNCTION("""COMPUTED_VALUE"""),"Martinez Carlos")</f>
        <v>Martinez Carlos</v>
      </c>
      <c r="O688" s="2">
        <f ca="1">IFERROR(__xludf.DUMMYFUNCTION("""COMPUTED_VALUE"""),0.00625)</f>
        <v>6.2500000000000003E-3</v>
      </c>
      <c r="P688" s="5">
        <f ca="1">IFERROR(__xludf.DUMMYFUNCTION("""COMPUTED_VALUE"""),20009951)</f>
        <v>20009951</v>
      </c>
      <c r="Q688" s="5" t="str">
        <f ca="1">IFERROR(__xludf.DUMMYFUNCTION("""COMPUTED_VALUE"""),"r81l3svXYM4")</f>
        <v>r81l3svXYM4</v>
      </c>
      <c r="R688" s="5">
        <f ca="1">IFERROR(__xludf.DUMMYFUNCTION("""COMPUTED_VALUE"""),410)</f>
        <v>410</v>
      </c>
      <c r="S688" s="62">
        <f ca="1">IFERROR(__xludf.DUMMYFUNCTION("""COMPUTED_VALUE"""),0.00625)</f>
        <v>6.2500000000000003E-3</v>
      </c>
      <c r="T688" s="63" t="str">
        <f ca="1">IFERROR(__xludf.DUMMYFUNCTION("""COMPUTED_VALUE"""),"https://storage.googleapis.com/glide-prod.appspot.com/uploads-v2/ly7o78grxPaC6KdgvbpS/pub/3aRdSog0vUtuqPE8AJKD.png")</f>
        <v>https://storage.googleapis.com/glide-prod.appspot.com/uploads-v2/ly7o78grxPaC6KdgvbpS/pub/3aRdSog0vUtuqPE8AJKD.png</v>
      </c>
      <c r="U688" s="5" t="str">
        <f ca="1">IFERROR(__xludf.DUMMYFUNCTION("""COMPUTED_VALUE"""),"LINEA DE ENVASADO TAMAÑO PERSONALLAVADORA DE CAJAS")</f>
        <v>LINEA DE ENVASADO TAMAÑO PERSONALLAVADORA DE CAJAS</v>
      </c>
      <c r="V688" s="5"/>
      <c r="W688" s="5" t="b">
        <f ca="1">IFERROR(__xludf.DUMMYFUNCTION("""COMPUTED_VALUE"""),TRUE)</f>
        <v>1</v>
      </c>
      <c r="X688" s="5" t="str">
        <f ca="1">IFERROR(__xludf.DUMMYFUNCTION("""COMPUTED_VALUE"""),"wguerra@postobon.com.co,aprmttoyu@postobon.com.co,aprmyu@postobon.com.co,wmora@postobon.com.co,efzapata@postobon.com.co")</f>
        <v>wguerra@postobon.com.co,aprmttoyu@postobon.com.co,aprmyu@postobon.com.co,wmora@postobon.com.co,efzapata@postobon.com.co</v>
      </c>
      <c r="Y688" s="5" t="str">
        <f ca="1">IFERROR(__xludf.DUMMYFUNCTION("""COMPUTED_VALUE"""),"wguerra@postobon.com.co")</f>
        <v>wguerra@postobon.com.co</v>
      </c>
      <c r="Z688" s="5" t="str">
        <f ca="1">IFERROR(__xludf.DUMMYFUNCTION("""COMPUTED_VALUE"""),"DkteL1vSQe6WHZAxEbHf1g")</f>
        <v>DkteL1vSQe6WHZAxEbHf1g</v>
      </c>
      <c r="AA688" s="5"/>
      <c r="AB688" s="5"/>
      <c r="AC688" s="5"/>
      <c r="AD688" s="5">
        <f ca="1">IFERROR(__xludf.DUMMYFUNCTION("""COMPUTED_VALUE"""),16)</f>
        <v>16</v>
      </c>
      <c r="AE688" s="5">
        <f ca="1">IFERROR(__xludf.DUMMYFUNCTION("""COMPUTED_VALUE"""),16)</f>
        <v>16</v>
      </c>
      <c r="AF688" s="5" t="b">
        <f ca="1">IFERROR(__xludf.DUMMYFUNCTION("""COMPUTED_VALUE"""),FALSE)</f>
        <v>0</v>
      </c>
      <c r="AG688" s="5" t="str">
        <f ca="1">IFERROR(__xludf.DUMMYFUNCTION("""COMPUTED_VALUE"""),"INSPECCIONES REALIZADAS")</f>
        <v>INSPECCIONES REALIZADAS</v>
      </c>
      <c r="AH688" s="5"/>
    </row>
    <row r="689" spans="1:34">
      <c r="A689" s="5" t="str">
        <f ca="1">IFERROR(__xludf.DUMMYFUNCTION("""COMPUTED_VALUE"""),"LINEA DE ENVASADO TAMAÑO PERSONAL")</f>
        <v>LINEA DE ENVASADO TAMAÑO PERSONAL</v>
      </c>
      <c r="B689" s="5">
        <f ca="1">IFERROR(__xludf.DUMMYFUNCTION("""COMPUTED_VALUE"""),560025)</f>
        <v>560025</v>
      </c>
      <c r="C689" s="5" t="str">
        <f ca="1">IFERROR(__xludf.DUMMYFUNCTION("""COMPUTED_VALUE"""),"LAVADORA DE CAJAS")</f>
        <v>LAVADORA DE CAJAS</v>
      </c>
      <c r="D689" s="5">
        <f ca="1">IFERROR(__xludf.DUMMYFUNCTION("""COMPUTED_VALUE"""),13247629)</f>
        <v>13247629</v>
      </c>
      <c r="E689" s="5" t="str">
        <f ca="1">IFERROR(__xludf.DUMMYFUNCTION("""COMPUTED_VALUE"""),"INSPECCION SEMANAL LAVADORA DE CAJAS")</f>
        <v>INSPECCION SEMANAL LAVADORA DE CAJAS</v>
      </c>
      <c r="F689" s="5" t="str">
        <f ca="1">IFERROR(__xludf.DUMMYFUNCTION("""COMPUTED_VALUE"""),"Estado del transportador superior")</f>
        <v>Estado del transportador superior</v>
      </c>
      <c r="G689" s="5" t="b">
        <f ca="1">IFERROR(__xludf.DUMMYFUNCTION("""COMPUTED_VALUE"""),TRUE)</f>
        <v>1</v>
      </c>
      <c r="H689" s="5"/>
      <c r="I689" s="5"/>
      <c r="J689" s="5">
        <f ca="1">IFERROR(__xludf.DUMMYFUNCTION("""COMPUTED_VALUE"""),13247629)</f>
        <v>13247629</v>
      </c>
      <c r="K689" s="5"/>
      <c r="L689" s="18">
        <f ca="1">IFERROR(__xludf.DUMMYFUNCTION("""COMPUTED_VALUE"""),45324)</f>
        <v>45324</v>
      </c>
      <c r="M689" s="18">
        <f ca="1">IFERROR(__xludf.DUMMYFUNCTION("""COMPUTED_VALUE"""),45324)</f>
        <v>45324</v>
      </c>
      <c r="N689" s="5" t="str">
        <f ca="1">IFERROR(__xludf.DUMMYFUNCTION("""COMPUTED_VALUE"""),"Martinez Carlos")</f>
        <v>Martinez Carlos</v>
      </c>
      <c r="O689" s="2">
        <f ca="1">IFERROR(__xludf.DUMMYFUNCTION("""COMPUTED_VALUE"""),0.00625)</f>
        <v>6.2500000000000003E-3</v>
      </c>
      <c r="P689" s="5">
        <f ca="1">IFERROR(__xludf.DUMMYFUNCTION("""COMPUTED_VALUE"""),20009951)</f>
        <v>20009951</v>
      </c>
      <c r="Q689" s="5" t="str">
        <f ca="1">IFERROR(__xludf.DUMMYFUNCTION("""COMPUTED_VALUE"""),"vFBjoacMZSM")</f>
        <v>vFBjoacMZSM</v>
      </c>
      <c r="R689" s="5">
        <f ca="1">IFERROR(__xludf.DUMMYFUNCTION("""COMPUTED_VALUE"""),410)</f>
        <v>410</v>
      </c>
      <c r="S689" s="62">
        <f ca="1">IFERROR(__xludf.DUMMYFUNCTION("""COMPUTED_VALUE"""),0.00625)</f>
        <v>6.2500000000000003E-3</v>
      </c>
      <c r="T689" s="63" t="str">
        <f ca="1">IFERROR(__xludf.DUMMYFUNCTION("""COMPUTED_VALUE"""),"https://storage.googleapis.com/glide-prod.appspot.com/uploads-v2/ly7o78grxPaC6KdgvbpS/pub/3aRdSog0vUtuqPE8AJKD.png")</f>
        <v>https://storage.googleapis.com/glide-prod.appspot.com/uploads-v2/ly7o78grxPaC6KdgvbpS/pub/3aRdSog0vUtuqPE8AJKD.png</v>
      </c>
      <c r="U689" s="5" t="str">
        <f ca="1">IFERROR(__xludf.DUMMYFUNCTION("""COMPUTED_VALUE"""),"LINEA DE ENVASADO TAMAÑO PERSONALLAVADORA DE CAJAS")</f>
        <v>LINEA DE ENVASADO TAMAÑO PERSONALLAVADORA DE CAJAS</v>
      </c>
      <c r="V689" s="5"/>
      <c r="W689" s="5" t="b">
        <f ca="1">IFERROR(__xludf.DUMMYFUNCTION("""COMPUTED_VALUE"""),TRUE)</f>
        <v>1</v>
      </c>
      <c r="X689" s="5" t="str">
        <f ca="1">IFERROR(__xludf.DUMMYFUNCTION("""COMPUTED_VALUE"""),"wguerra@postobon.com.co,aprmttoyu@postobon.com.co,aprmyu@postobon.com.co,wmora@postobon.com.co,efzapata@postobon.com.co")</f>
        <v>wguerra@postobon.com.co,aprmttoyu@postobon.com.co,aprmyu@postobon.com.co,wmora@postobon.com.co,efzapata@postobon.com.co</v>
      </c>
      <c r="Y689" s="5" t="str">
        <f ca="1">IFERROR(__xludf.DUMMYFUNCTION("""COMPUTED_VALUE"""),"wguerra@postobon.com.co")</f>
        <v>wguerra@postobon.com.co</v>
      </c>
      <c r="Z689" s="5" t="str">
        <f ca="1">IFERROR(__xludf.DUMMYFUNCTION("""COMPUTED_VALUE"""),"MeX-7-KOQb-fKsHRdt6Agg")</f>
        <v>MeX-7-KOQb-fKsHRdt6Agg</v>
      </c>
      <c r="AA689" s="5"/>
      <c r="AB689" s="5"/>
      <c r="AC689" s="5"/>
      <c r="AD689" s="5">
        <f ca="1">IFERROR(__xludf.DUMMYFUNCTION("""COMPUTED_VALUE"""),16)</f>
        <v>16</v>
      </c>
      <c r="AE689" s="5">
        <f ca="1">IFERROR(__xludf.DUMMYFUNCTION("""COMPUTED_VALUE"""),16)</f>
        <v>16</v>
      </c>
      <c r="AF689" s="5" t="b">
        <f ca="1">IFERROR(__xludf.DUMMYFUNCTION("""COMPUTED_VALUE"""),FALSE)</f>
        <v>0</v>
      </c>
      <c r="AG689" s="5" t="str">
        <f ca="1">IFERROR(__xludf.DUMMYFUNCTION("""COMPUTED_VALUE"""),"INSPECCIONES REALIZADAS")</f>
        <v>INSPECCIONES REALIZADAS</v>
      </c>
      <c r="AH689" s="5"/>
    </row>
    <row r="690" spans="1:34">
      <c r="A690" s="5" t="str">
        <f ca="1">IFERROR(__xludf.DUMMYFUNCTION("""COMPUTED_VALUE"""),"LINEA DE ENVASADO TAMAÑO PERSONAL")</f>
        <v>LINEA DE ENVASADO TAMAÑO PERSONAL</v>
      </c>
      <c r="B690" s="5">
        <f ca="1">IFERROR(__xludf.DUMMYFUNCTION("""COMPUTED_VALUE"""),560025)</f>
        <v>560025</v>
      </c>
      <c r="C690" s="5" t="str">
        <f ca="1">IFERROR(__xludf.DUMMYFUNCTION("""COMPUTED_VALUE"""),"LAVADORA DE CAJAS")</f>
        <v>LAVADORA DE CAJAS</v>
      </c>
      <c r="D690" s="5">
        <f ca="1">IFERROR(__xludf.DUMMYFUNCTION("""COMPUTED_VALUE"""),13247629)</f>
        <v>13247629</v>
      </c>
      <c r="E690" s="5" t="str">
        <f ca="1">IFERROR(__xludf.DUMMYFUNCTION("""COMPUTED_VALUE"""),"INSPECCION SEMANAL LAVADORA DE CAJAS")</f>
        <v>INSPECCION SEMANAL LAVADORA DE CAJAS</v>
      </c>
      <c r="F690" s="5" t="str">
        <f ca="1">IFERROR(__xludf.DUMMYFUNCTION("""COMPUTED_VALUE"""),"Estado del transportador interior")</f>
        <v>Estado del transportador interior</v>
      </c>
      <c r="G690" s="5" t="b">
        <f ca="1">IFERROR(__xludf.DUMMYFUNCTION("""COMPUTED_VALUE"""),TRUE)</f>
        <v>1</v>
      </c>
      <c r="H690" s="5"/>
      <c r="I690" s="5"/>
      <c r="J690" s="5">
        <f ca="1">IFERROR(__xludf.DUMMYFUNCTION("""COMPUTED_VALUE"""),13247629)</f>
        <v>13247629</v>
      </c>
      <c r="K690" s="5"/>
      <c r="L690" s="18">
        <f ca="1">IFERROR(__xludf.DUMMYFUNCTION("""COMPUTED_VALUE"""),45324)</f>
        <v>45324</v>
      </c>
      <c r="M690" s="18">
        <f ca="1">IFERROR(__xludf.DUMMYFUNCTION("""COMPUTED_VALUE"""),45324)</f>
        <v>45324</v>
      </c>
      <c r="N690" s="5" t="str">
        <f ca="1">IFERROR(__xludf.DUMMYFUNCTION("""COMPUTED_VALUE"""),"Martinez Carlos")</f>
        <v>Martinez Carlos</v>
      </c>
      <c r="O690" s="2">
        <f ca="1">IFERROR(__xludf.DUMMYFUNCTION("""COMPUTED_VALUE"""),0.00625)</f>
        <v>6.2500000000000003E-3</v>
      </c>
      <c r="P690" s="5">
        <f ca="1">IFERROR(__xludf.DUMMYFUNCTION("""COMPUTED_VALUE"""),20009951)</f>
        <v>20009951</v>
      </c>
      <c r="Q690" s="5" t="str">
        <f ca="1">IFERROR(__xludf.DUMMYFUNCTION("""COMPUTED_VALUE"""),"Bgj7QwqoYCM")</f>
        <v>Bgj7QwqoYCM</v>
      </c>
      <c r="R690" s="5">
        <f ca="1">IFERROR(__xludf.DUMMYFUNCTION("""COMPUTED_VALUE"""),410)</f>
        <v>410</v>
      </c>
      <c r="S690" s="62">
        <f ca="1">IFERROR(__xludf.DUMMYFUNCTION("""COMPUTED_VALUE"""),0.00625)</f>
        <v>6.2500000000000003E-3</v>
      </c>
      <c r="T690" s="63" t="str">
        <f ca="1">IFERROR(__xludf.DUMMYFUNCTION("""COMPUTED_VALUE"""),"https://storage.googleapis.com/glide-prod.appspot.com/uploads-v2/ly7o78grxPaC6KdgvbpS/pub/3aRdSog0vUtuqPE8AJKD.png")</f>
        <v>https://storage.googleapis.com/glide-prod.appspot.com/uploads-v2/ly7o78grxPaC6KdgvbpS/pub/3aRdSog0vUtuqPE8AJKD.png</v>
      </c>
      <c r="U690" s="5" t="str">
        <f ca="1">IFERROR(__xludf.DUMMYFUNCTION("""COMPUTED_VALUE"""),"LINEA DE ENVASADO TAMAÑO PERSONALLAVADORA DE CAJAS")</f>
        <v>LINEA DE ENVASADO TAMAÑO PERSONALLAVADORA DE CAJAS</v>
      </c>
      <c r="V690" s="5"/>
      <c r="W690" s="5" t="b">
        <f ca="1">IFERROR(__xludf.DUMMYFUNCTION("""COMPUTED_VALUE"""),TRUE)</f>
        <v>1</v>
      </c>
      <c r="X690" s="5" t="str">
        <f ca="1">IFERROR(__xludf.DUMMYFUNCTION("""COMPUTED_VALUE"""),"wguerra@postobon.com.co,aprmttoyu@postobon.com.co,aprmyu@postobon.com.co,wmora@postobon.com.co,efzapata@postobon.com.co")</f>
        <v>wguerra@postobon.com.co,aprmttoyu@postobon.com.co,aprmyu@postobon.com.co,wmora@postobon.com.co,efzapata@postobon.com.co</v>
      </c>
      <c r="Y690" s="5" t="str">
        <f ca="1">IFERROR(__xludf.DUMMYFUNCTION("""COMPUTED_VALUE"""),"wguerra@postobon.com.co")</f>
        <v>wguerra@postobon.com.co</v>
      </c>
      <c r="Z690" s="5" t="str">
        <f ca="1">IFERROR(__xludf.DUMMYFUNCTION("""COMPUTED_VALUE"""),"NpE.ZLrEQxiqtRKctZM81w")</f>
        <v>NpE.ZLrEQxiqtRKctZM81w</v>
      </c>
      <c r="AA690" s="5"/>
      <c r="AB690" s="5"/>
      <c r="AC690" s="5"/>
      <c r="AD690" s="5">
        <f ca="1">IFERROR(__xludf.DUMMYFUNCTION("""COMPUTED_VALUE"""),16)</f>
        <v>16</v>
      </c>
      <c r="AE690" s="5">
        <f ca="1">IFERROR(__xludf.DUMMYFUNCTION("""COMPUTED_VALUE"""),16)</f>
        <v>16</v>
      </c>
      <c r="AF690" s="5" t="b">
        <f ca="1">IFERROR(__xludf.DUMMYFUNCTION("""COMPUTED_VALUE"""),FALSE)</f>
        <v>0</v>
      </c>
      <c r="AG690" s="5" t="str">
        <f ca="1">IFERROR(__xludf.DUMMYFUNCTION("""COMPUTED_VALUE"""),"INSPECCIONES REALIZADAS")</f>
        <v>INSPECCIONES REALIZADAS</v>
      </c>
      <c r="AH690" s="5"/>
    </row>
    <row r="691" spans="1:34">
      <c r="A691" s="5" t="str">
        <f ca="1">IFERROR(__xludf.DUMMYFUNCTION("""COMPUTED_VALUE"""),"LINEA DE ENVASADO TAMAÑO PERSONAL")</f>
        <v>LINEA DE ENVASADO TAMAÑO PERSONAL</v>
      </c>
      <c r="B691" s="5">
        <f ca="1">IFERROR(__xludf.DUMMYFUNCTION("""COMPUTED_VALUE"""),560025)</f>
        <v>560025</v>
      </c>
      <c r="C691" s="5" t="str">
        <f ca="1">IFERROR(__xludf.DUMMYFUNCTION("""COMPUTED_VALUE"""),"LAVADORA DE CAJAS")</f>
        <v>LAVADORA DE CAJAS</v>
      </c>
      <c r="D691" s="5">
        <f ca="1">IFERROR(__xludf.DUMMYFUNCTION("""COMPUTED_VALUE"""),13247629)</f>
        <v>13247629</v>
      </c>
      <c r="E691" s="5" t="str">
        <f ca="1">IFERROR(__xludf.DUMMYFUNCTION("""COMPUTED_VALUE"""),"INSPECCION SEMANAL LAVADORA DE CAJAS")</f>
        <v>INSPECCION SEMANAL LAVADORA DE CAJAS</v>
      </c>
      <c r="F691" s="5" t="str">
        <f ca="1">IFERROR(__xludf.DUMMYFUNCTION("""COMPUTED_VALUE"""),"Estado de piñones")</f>
        <v>Estado de piñones</v>
      </c>
      <c r="G691" s="5" t="b">
        <f ca="1">IFERROR(__xludf.DUMMYFUNCTION("""COMPUTED_VALUE"""),TRUE)</f>
        <v>1</v>
      </c>
      <c r="H691" s="5"/>
      <c r="I691" s="5"/>
      <c r="J691" s="5">
        <f ca="1">IFERROR(__xludf.DUMMYFUNCTION("""COMPUTED_VALUE"""),13247629)</f>
        <v>13247629</v>
      </c>
      <c r="K691" s="5"/>
      <c r="L691" s="18">
        <f ca="1">IFERROR(__xludf.DUMMYFUNCTION("""COMPUTED_VALUE"""),45324)</f>
        <v>45324</v>
      </c>
      <c r="M691" s="18">
        <f ca="1">IFERROR(__xludf.DUMMYFUNCTION("""COMPUTED_VALUE"""),45324)</f>
        <v>45324</v>
      </c>
      <c r="N691" s="5" t="str">
        <f ca="1">IFERROR(__xludf.DUMMYFUNCTION("""COMPUTED_VALUE"""),"Martinez Carlos")</f>
        <v>Martinez Carlos</v>
      </c>
      <c r="O691" s="2">
        <f ca="1">IFERROR(__xludf.DUMMYFUNCTION("""COMPUTED_VALUE"""),0.00625)</f>
        <v>6.2500000000000003E-3</v>
      </c>
      <c r="P691" s="5">
        <f ca="1">IFERROR(__xludf.DUMMYFUNCTION("""COMPUTED_VALUE"""),20009951)</f>
        <v>20009951</v>
      </c>
      <c r="Q691" s="5" t="str">
        <f ca="1">IFERROR(__xludf.DUMMYFUNCTION("""COMPUTED_VALUE"""),"Ks8eZ11ejN0")</f>
        <v>Ks8eZ11ejN0</v>
      </c>
      <c r="R691" s="5">
        <f ca="1">IFERROR(__xludf.DUMMYFUNCTION("""COMPUTED_VALUE"""),410)</f>
        <v>410</v>
      </c>
      <c r="S691" s="62">
        <f ca="1">IFERROR(__xludf.DUMMYFUNCTION("""COMPUTED_VALUE"""),0.00625)</f>
        <v>6.2500000000000003E-3</v>
      </c>
      <c r="T691" s="63" t="str">
        <f ca="1">IFERROR(__xludf.DUMMYFUNCTION("""COMPUTED_VALUE"""),"https://storage.googleapis.com/glide-prod.appspot.com/uploads-v2/ly7o78grxPaC6KdgvbpS/pub/3aRdSog0vUtuqPE8AJKD.png")</f>
        <v>https://storage.googleapis.com/glide-prod.appspot.com/uploads-v2/ly7o78grxPaC6KdgvbpS/pub/3aRdSog0vUtuqPE8AJKD.png</v>
      </c>
      <c r="U691" s="5" t="str">
        <f ca="1">IFERROR(__xludf.DUMMYFUNCTION("""COMPUTED_VALUE"""),"LINEA DE ENVASADO TAMAÑO PERSONALLAVADORA DE CAJAS")</f>
        <v>LINEA DE ENVASADO TAMAÑO PERSONALLAVADORA DE CAJAS</v>
      </c>
      <c r="V691" s="5"/>
      <c r="W691" s="5" t="b">
        <f ca="1">IFERROR(__xludf.DUMMYFUNCTION("""COMPUTED_VALUE"""),TRUE)</f>
        <v>1</v>
      </c>
      <c r="X691" s="5" t="str">
        <f ca="1">IFERROR(__xludf.DUMMYFUNCTION("""COMPUTED_VALUE"""),"wguerra@postobon.com.co,aprmttoyu@postobon.com.co,aprmyu@postobon.com.co,wmora@postobon.com.co,efzapata@postobon.com.co")</f>
        <v>wguerra@postobon.com.co,aprmttoyu@postobon.com.co,aprmyu@postobon.com.co,wmora@postobon.com.co,efzapata@postobon.com.co</v>
      </c>
      <c r="Y691" s="5" t="str">
        <f ca="1">IFERROR(__xludf.DUMMYFUNCTION("""COMPUTED_VALUE"""),"wguerra@postobon.com.co")</f>
        <v>wguerra@postobon.com.co</v>
      </c>
      <c r="Z691" s="5" t="str">
        <f ca="1">IFERROR(__xludf.DUMMYFUNCTION("""COMPUTED_VALUE"""),"j9q4gMyfR5uyp6Ra7D.-Ww")</f>
        <v>j9q4gMyfR5uyp6Ra7D.-Ww</v>
      </c>
      <c r="AA691" s="5"/>
      <c r="AB691" s="5"/>
      <c r="AC691" s="5"/>
      <c r="AD691" s="5">
        <f ca="1">IFERROR(__xludf.DUMMYFUNCTION("""COMPUTED_VALUE"""),16)</f>
        <v>16</v>
      </c>
      <c r="AE691" s="5">
        <f ca="1">IFERROR(__xludf.DUMMYFUNCTION("""COMPUTED_VALUE"""),16)</f>
        <v>16</v>
      </c>
      <c r="AF691" s="5" t="b">
        <f ca="1">IFERROR(__xludf.DUMMYFUNCTION("""COMPUTED_VALUE"""),FALSE)</f>
        <v>0</v>
      </c>
      <c r="AG691" s="5" t="str">
        <f ca="1">IFERROR(__xludf.DUMMYFUNCTION("""COMPUTED_VALUE"""),"INSPECCIONES REALIZADAS")</f>
        <v>INSPECCIONES REALIZADAS</v>
      </c>
      <c r="AH691" s="5"/>
    </row>
    <row r="692" spans="1:34">
      <c r="A692" s="5" t="str">
        <f ca="1">IFERROR(__xludf.DUMMYFUNCTION("""COMPUTED_VALUE"""),"LINEA DE ENVASADO TAMAÑO PERSONAL")</f>
        <v>LINEA DE ENVASADO TAMAÑO PERSONAL</v>
      </c>
      <c r="B692" s="5">
        <f ca="1">IFERROR(__xludf.DUMMYFUNCTION("""COMPUTED_VALUE"""),560025)</f>
        <v>560025</v>
      </c>
      <c r="C692" s="5" t="str">
        <f ca="1">IFERROR(__xludf.DUMMYFUNCTION("""COMPUTED_VALUE"""),"LAVADORA DE CAJAS")</f>
        <v>LAVADORA DE CAJAS</v>
      </c>
      <c r="D692" s="5">
        <f ca="1">IFERROR(__xludf.DUMMYFUNCTION("""COMPUTED_VALUE"""),13247629)</f>
        <v>13247629</v>
      </c>
      <c r="E692" s="5" t="str">
        <f ca="1">IFERROR(__xludf.DUMMYFUNCTION("""COMPUTED_VALUE"""),"INSPECCION SEMANAL LAVADORA DE CAJAS")</f>
        <v>INSPECCION SEMANAL LAVADORA DE CAJAS</v>
      </c>
      <c r="F692" s="5" t="str">
        <f ca="1">IFERROR(__xludf.DUMMYFUNCTION("""COMPUTED_VALUE"""),"Fugas (aceite, agua, aire, sanitizante).")</f>
        <v>Fugas (aceite, agua, aire, sanitizante).</v>
      </c>
      <c r="G692" s="5" t="b">
        <f ca="1">IFERROR(__xludf.DUMMYFUNCTION("""COMPUTED_VALUE"""),TRUE)</f>
        <v>1</v>
      </c>
      <c r="H692" s="5"/>
      <c r="I692" s="5"/>
      <c r="J692" s="5">
        <f ca="1">IFERROR(__xludf.DUMMYFUNCTION("""COMPUTED_VALUE"""),13247629)</f>
        <v>13247629</v>
      </c>
      <c r="K692" s="5"/>
      <c r="L692" s="18">
        <f ca="1">IFERROR(__xludf.DUMMYFUNCTION("""COMPUTED_VALUE"""),45324)</f>
        <v>45324</v>
      </c>
      <c r="M692" s="18">
        <f ca="1">IFERROR(__xludf.DUMMYFUNCTION("""COMPUTED_VALUE"""),45324)</f>
        <v>45324</v>
      </c>
      <c r="N692" s="5" t="str">
        <f ca="1">IFERROR(__xludf.DUMMYFUNCTION("""COMPUTED_VALUE"""),"Martinez Carlos")</f>
        <v>Martinez Carlos</v>
      </c>
      <c r="O692" s="2">
        <f ca="1">IFERROR(__xludf.DUMMYFUNCTION("""COMPUTED_VALUE"""),0.00625)</f>
        <v>6.2500000000000003E-3</v>
      </c>
      <c r="P692" s="5">
        <f ca="1">IFERROR(__xludf.DUMMYFUNCTION("""COMPUTED_VALUE"""),20009951)</f>
        <v>20009951</v>
      </c>
      <c r="Q692" s="5" t="str">
        <f ca="1">IFERROR(__xludf.DUMMYFUNCTION("""COMPUTED_VALUE"""),"WrJ-yXdBo04")</f>
        <v>WrJ-yXdBo04</v>
      </c>
      <c r="R692" s="5">
        <f ca="1">IFERROR(__xludf.DUMMYFUNCTION("""COMPUTED_VALUE"""),410)</f>
        <v>410</v>
      </c>
      <c r="S692" s="62">
        <f ca="1">IFERROR(__xludf.DUMMYFUNCTION("""COMPUTED_VALUE"""),0.00625)</f>
        <v>6.2500000000000003E-3</v>
      </c>
      <c r="T692" s="63" t="str">
        <f ca="1">IFERROR(__xludf.DUMMYFUNCTION("""COMPUTED_VALUE"""),"https://storage.googleapis.com/glide-prod.appspot.com/uploads-v2/ly7o78grxPaC6KdgvbpS/pub/3aRdSog0vUtuqPE8AJKD.png")</f>
        <v>https://storage.googleapis.com/glide-prod.appspot.com/uploads-v2/ly7o78grxPaC6KdgvbpS/pub/3aRdSog0vUtuqPE8AJKD.png</v>
      </c>
      <c r="U692" s="5" t="str">
        <f ca="1">IFERROR(__xludf.DUMMYFUNCTION("""COMPUTED_VALUE"""),"LINEA DE ENVASADO TAMAÑO PERSONALLAVADORA DE CAJAS")</f>
        <v>LINEA DE ENVASADO TAMAÑO PERSONALLAVADORA DE CAJAS</v>
      </c>
      <c r="V692" s="5"/>
      <c r="W692" s="5" t="b">
        <f ca="1">IFERROR(__xludf.DUMMYFUNCTION("""COMPUTED_VALUE"""),TRUE)</f>
        <v>1</v>
      </c>
      <c r="X692" s="5" t="str">
        <f ca="1">IFERROR(__xludf.DUMMYFUNCTION("""COMPUTED_VALUE"""),"wguerra@postobon.com.co,aprmttoyu@postobon.com.co,aprmyu@postobon.com.co,wmora@postobon.com.co,efzapata@postobon.com.co")</f>
        <v>wguerra@postobon.com.co,aprmttoyu@postobon.com.co,aprmyu@postobon.com.co,wmora@postobon.com.co,efzapata@postobon.com.co</v>
      </c>
      <c r="Y692" s="5" t="str">
        <f ca="1">IFERROR(__xludf.DUMMYFUNCTION("""COMPUTED_VALUE"""),"wguerra@postobon.com.co")</f>
        <v>wguerra@postobon.com.co</v>
      </c>
      <c r="Z692" s="5" t="str">
        <f ca="1">IFERROR(__xludf.DUMMYFUNCTION("""COMPUTED_VALUE"""),"KzHisC8UTX-CEQsAUiwU-g")</f>
        <v>KzHisC8UTX-CEQsAUiwU-g</v>
      </c>
      <c r="AA692" s="5"/>
      <c r="AB692" s="5"/>
      <c r="AC692" s="5"/>
      <c r="AD692" s="5">
        <f ca="1">IFERROR(__xludf.DUMMYFUNCTION("""COMPUTED_VALUE"""),16)</f>
        <v>16</v>
      </c>
      <c r="AE692" s="5">
        <f ca="1">IFERROR(__xludf.DUMMYFUNCTION("""COMPUTED_VALUE"""),16)</f>
        <v>16</v>
      </c>
      <c r="AF692" s="5" t="b">
        <f ca="1">IFERROR(__xludf.DUMMYFUNCTION("""COMPUTED_VALUE"""),FALSE)</f>
        <v>0</v>
      </c>
      <c r="AG692" s="5" t="str">
        <f ca="1">IFERROR(__xludf.DUMMYFUNCTION("""COMPUTED_VALUE"""),"INSPECCIONES REALIZADAS")</f>
        <v>INSPECCIONES REALIZADAS</v>
      </c>
      <c r="AH692" s="5"/>
    </row>
    <row r="693" spans="1:34">
      <c r="A693" s="5" t="str">
        <f ca="1">IFERROR(__xludf.DUMMYFUNCTION("""COMPUTED_VALUE"""),"LINEA DE ENVASADO TAMAÑO PERSONAL")</f>
        <v>LINEA DE ENVASADO TAMAÑO PERSONAL</v>
      </c>
      <c r="B693" s="5">
        <f ca="1">IFERROR(__xludf.DUMMYFUNCTION("""COMPUTED_VALUE"""),560025)</f>
        <v>560025</v>
      </c>
      <c r="C693" s="5" t="str">
        <f ca="1">IFERROR(__xludf.DUMMYFUNCTION("""COMPUTED_VALUE"""),"LAVADORA DE CAJAS")</f>
        <v>LAVADORA DE CAJAS</v>
      </c>
      <c r="D693" s="5">
        <f ca="1">IFERROR(__xludf.DUMMYFUNCTION("""COMPUTED_VALUE"""),13247629)</f>
        <v>13247629</v>
      </c>
      <c r="E693" s="5" t="str">
        <f ca="1">IFERROR(__xludf.DUMMYFUNCTION("""COMPUTED_VALUE"""),"INSPECCION SEMANAL LAVADORA DE CAJAS")</f>
        <v>INSPECCION SEMANAL LAVADORA DE CAJAS</v>
      </c>
      <c r="F693" s="5" t="str">
        <f ca="1">IFERROR(__xludf.DUMMYFUNCTION("""COMPUTED_VALUE"""),"Estado volteadores de cajas")</f>
        <v>Estado volteadores de cajas</v>
      </c>
      <c r="G693" s="5" t="b">
        <f ca="1">IFERROR(__xludf.DUMMYFUNCTION("""COMPUTED_VALUE"""),TRUE)</f>
        <v>1</v>
      </c>
      <c r="H693" s="5"/>
      <c r="I693" s="5"/>
      <c r="J693" s="5">
        <f ca="1">IFERROR(__xludf.DUMMYFUNCTION("""COMPUTED_VALUE"""),13247629)</f>
        <v>13247629</v>
      </c>
      <c r="K693" s="5"/>
      <c r="L693" s="18">
        <f ca="1">IFERROR(__xludf.DUMMYFUNCTION("""COMPUTED_VALUE"""),45324)</f>
        <v>45324</v>
      </c>
      <c r="M693" s="18">
        <f ca="1">IFERROR(__xludf.DUMMYFUNCTION("""COMPUTED_VALUE"""),45324)</f>
        <v>45324</v>
      </c>
      <c r="N693" s="5" t="str">
        <f ca="1">IFERROR(__xludf.DUMMYFUNCTION("""COMPUTED_VALUE"""),"Martinez Carlos")</f>
        <v>Martinez Carlos</v>
      </c>
      <c r="O693" s="2">
        <f ca="1">IFERROR(__xludf.DUMMYFUNCTION("""COMPUTED_VALUE"""),0.00625)</f>
        <v>6.2500000000000003E-3</v>
      </c>
      <c r="P693" s="5">
        <f ca="1">IFERROR(__xludf.DUMMYFUNCTION("""COMPUTED_VALUE"""),20009951)</f>
        <v>20009951</v>
      </c>
      <c r="Q693" s="5" t="str">
        <f ca="1">IFERROR(__xludf.DUMMYFUNCTION("""COMPUTED_VALUE"""),"Hq0hv5pKlIk")</f>
        <v>Hq0hv5pKlIk</v>
      </c>
      <c r="R693" s="5">
        <f ca="1">IFERROR(__xludf.DUMMYFUNCTION("""COMPUTED_VALUE"""),410)</f>
        <v>410</v>
      </c>
      <c r="S693" s="62">
        <f ca="1">IFERROR(__xludf.DUMMYFUNCTION("""COMPUTED_VALUE"""),0.00625)</f>
        <v>6.2500000000000003E-3</v>
      </c>
      <c r="T693" s="63" t="str">
        <f ca="1">IFERROR(__xludf.DUMMYFUNCTION("""COMPUTED_VALUE"""),"https://storage.googleapis.com/glide-prod.appspot.com/uploads-v2/ly7o78grxPaC6KdgvbpS/pub/3aRdSog0vUtuqPE8AJKD.png")</f>
        <v>https://storage.googleapis.com/glide-prod.appspot.com/uploads-v2/ly7o78grxPaC6KdgvbpS/pub/3aRdSog0vUtuqPE8AJKD.png</v>
      </c>
      <c r="U693" s="5" t="str">
        <f ca="1">IFERROR(__xludf.DUMMYFUNCTION("""COMPUTED_VALUE"""),"LINEA DE ENVASADO TAMAÑO PERSONALLAVADORA DE CAJAS")</f>
        <v>LINEA DE ENVASADO TAMAÑO PERSONALLAVADORA DE CAJAS</v>
      </c>
      <c r="V693" s="5"/>
      <c r="W693" s="5" t="b">
        <f ca="1">IFERROR(__xludf.DUMMYFUNCTION("""COMPUTED_VALUE"""),TRUE)</f>
        <v>1</v>
      </c>
      <c r="X693" s="5" t="str">
        <f ca="1">IFERROR(__xludf.DUMMYFUNCTION("""COMPUTED_VALUE"""),"wguerra@postobon.com.co,aprmttoyu@postobon.com.co,aprmyu@postobon.com.co,wmora@postobon.com.co,efzapata@postobon.com.co")</f>
        <v>wguerra@postobon.com.co,aprmttoyu@postobon.com.co,aprmyu@postobon.com.co,wmora@postobon.com.co,efzapata@postobon.com.co</v>
      </c>
      <c r="Y693" s="5" t="str">
        <f ca="1">IFERROR(__xludf.DUMMYFUNCTION("""COMPUTED_VALUE"""),"wguerra@postobon.com.co")</f>
        <v>wguerra@postobon.com.co</v>
      </c>
      <c r="Z693" s="5" t="str">
        <f ca="1">IFERROR(__xludf.DUMMYFUNCTION("""COMPUTED_VALUE"""),"DgVwrn4dT4KVNti1D5v-iQ")</f>
        <v>DgVwrn4dT4KVNti1D5v-iQ</v>
      </c>
      <c r="AA693" s="5"/>
      <c r="AB693" s="5"/>
      <c r="AC693" s="5"/>
      <c r="AD693" s="5">
        <f ca="1">IFERROR(__xludf.DUMMYFUNCTION("""COMPUTED_VALUE"""),16)</f>
        <v>16</v>
      </c>
      <c r="AE693" s="5">
        <f ca="1">IFERROR(__xludf.DUMMYFUNCTION("""COMPUTED_VALUE"""),16)</f>
        <v>16</v>
      </c>
      <c r="AF693" s="5" t="b">
        <f ca="1">IFERROR(__xludf.DUMMYFUNCTION("""COMPUTED_VALUE"""),FALSE)</f>
        <v>0</v>
      </c>
      <c r="AG693" s="5" t="str">
        <f ca="1">IFERROR(__xludf.DUMMYFUNCTION("""COMPUTED_VALUE"""),"INSPECCIONES REALIZADAS")</f>
        <v>INSPECCIONES REALIZADAS</v>
      </c>
      <c r="AH693" s="5"/>
    </row>
    <row r="694" spans="1:34">
      <c r="A694" s="5" t="str">
        <f ca="1">IFERROR(__xludf.DUMMYFUNCTION("""COMPUTED_VALUE"""),"LINEA DE ENVASADO TAMAÑO PERSONAL")</f>
        <v>LINEA DE ENVASADO TAMAÑO PERSONAL</v>
      </c>
      <c r="B694" s="5">
        <f ca="1">IFERROR(__xludf.DUMMYFUNCTION("""COMPUTED_VALUE"""),560025)</f>
        <v>560025</v>
      </c>
      <c r="C694" s="5" t="str">
        <f ca="1">IFERROR(__xludf.DUMMYFUNCTION("""COMPUTED_VALUE"""),"LAVADORA DE CAJAS")</f>
        <v>LAVADORA DE CAJAS</v>
      </c>
      <c r="D694" s="5">
        <f ca="1">IFERROR(__xludf.DUMMYFUNCTION("""COMPUTED_VALUE"""),13247629)</f>
        <v>13247629</v>
      </c>
      <c r="E694" s="5" t="str">
        <f ca="1">IFERROR(__xludf.DUMMYFUNCTION("""COMPUTED_VALUE"""),"INSPECCION SEMANAL LAVADORA DE CAJAS")</f>
        <v>INSPECCION SEMANAL LAVADORA DE CAJAS</v>
      </c>
      <c r="F694" s="5" t="str">
        <f ca="1">IFERROR(__xludf.DUMMYFUNCTION("""COMPUTED_VALUE"""),"Estados instrumentos de medidas")</f>
        <v>Estados instrumentos de medidas</v>
      </c>
      <c r="G694" s="5" t="b">
        <f ca="1">IFERROR(__xludf.DUMMYFUNCTION("""COMPUTED_VALUE"""),TRUE)</f>
        <v>1</v>
      </c>
      <c r="H694" s="5"/>
      <c r="I694" s="5"/>
      <c r="J694" s="5">
        <f ca="1">IFERROR(__xludf.DUMMYFUNCTION("""COMPUTED_VALUE"""),13247629)</f>
        <v>13247629</v>
      </c>
      <c r="K694" s="5"/>
      <c r="L694" s="18">
        <f ca="1">IFERROR(__xludf.DUMMYFUNCTION("""COMPUTED_VALUE"""),45324)</f>
        <v>45324</v>
      </c>
      <c r="M694" s="18">
        <f ca="1">IFERROR(__xludf.DUMMYFUNCTION("""COMPUTED_VALUE"""),45324)</f>
        <v>45324</v>
      </c>
      <c r="N694" s="5" t="str">
        <f ca="1">IFERROR(__xludf.DUMMYFUNCTION("""COMPUTED_VALUE"""),"Martinez Carlos")</f>
        <v>Martinez Carlos</v>
      </c>
      <c r="O694" s="2">
        <f ca="1">IFERROR(__xludf.DUMMYFUNCTION("""COMPUTED_VALUE"""),0.00625)</f>
        <v>6.2500000000000003E-3</v>
      </c>
      <c r="P694" s="5">
        <f ca="1">IFERROR(__xludf.DUMMYFUNCTION("""COMPUTED_VALUE"""),20009951)</f>
        <v>20009951</v>
      </c>
      <c r="Q694" s="5" t="str">
        <f ca="1">IFERROR(__xludf.DUMMYFUNCTION("""COMPUTED_VALUE"""),"VKwz2JY2-tU")</f>
        <v>VKwz2JY2-tU</v>
      </c>
      <c r="R694" s="5">
        <f ca="1">IFERROR(__xludf.DUMMYFUNCTION("""COMPUTED_VALUE"""),410)</f>
        <v>410</v>
      </c>
      <c r="S694" s="62">
        <f ca="1">IFERROR(__xludf.DUMMYFUNCTION("""COMPUTED_VALUE"""),0.00625)</f>
        <v>6.2500000000000003E-3</v>
      </c>
      <c r="T694" s="63" t="str">
        <f ca="1">IFERROR(__xludf.DUMMYFUNCTION("""COMPUTED_VALUE"""),"https://storage.googleapis.com/glide-prod.appspot.com/uploads-v2/ly7o78grxPaC6KdgvbpS/pub/3aRdSog0vUtuqPE8AJKD.png")</f>
        <v>https://storage.googleapis.com/glide-prod.appspot.com/uploads-v2/ly7o78grxPaC6KdgvbpS/pub/3aRdSog0vUtuqPE8AJKD.png</v>
      </c>
      <c r="U694" s="5" t="str">
        <f ca="1">IFERROR(__xludf.DUMMYFUNCTION("""COMPUTED_VALUE"""),"LINEA DE ENVASADO TAMAÑO PERSONALLAVADORA DE CAJAS")</f>
        <v>LINEA DE ENVASADO TAMAÑO PERSONALLAVADORA DE CAJAS</v>
      </c>
      <c r="V694" s="5"/>
      <c r="W694" s="5" t="b">
        <f ca="1">IFERROR(__xludf.DUMMYFUNCTION("""COMPUTED_VALUE"""),TRUE)</f>
        <v>1</v>
      </c>
      <c r="X694" s="5" t="str">
        <f ca="1">IFERROR(__xludf.DUMMYFUNCTION("""COMPUTED_VALUE"""),"wguerra@postobon.com.co,aprmttoyu@postobon.com.co,aprmyu@postobon.com.co,wmora@postobon.com.co,efzapata@postobon.com.co")</f>
        <v>wguerra@postobon.com.co,aprmttoyu@postobon.com.co,aprmyu@postobon.com.co,wmora@postobon.com.co,efzapata@postobon.com.co</v>
      </c>
      <c r="Y694" s="5" t="str">
        <f ca="1">IFERROR(__xludf.DUMMYFUNCTION("""COMPUTED_VALUE"""),"wguerra@postobon.com.co")</f>
        <v>wguerra@postobon.com.co</v>
      </c>
      <c r="Z694" s="5" t="str">
        <f ca="1">IFERROR(__xludf.DUMMYFUNCTION("""COMPUTED_VALUE"""),"eAIY7k.fQpKN4oDW3p5lhQ")</f>
        <v>eAIY7k.fQpKN4oDW3p5lhQ</v>
      </c>
      <c r="AA694" s="5"/>
      <c r="AB694" s="5"/>
      <c r="AC694" s="5"/>
      <c r="AD694" s="5">
        <f ca="1">IFERROR(__xludf.DUMMYFUNCTION("""COMPUTED_VALUE"""),16)</f>
        <v>16</v>
      </c>
      <c r="AE694" s="5">
        <f ca="1">IFERROR(__xludf.DUMMYFUNCTION("""COMPUTED_VALUE"""),16)</f>
        <v>16</v>
      </c>
      <c r="AF694" s="5" t="b">
        <f ca="1">IFERROR(__xludf.DUMMYFUNCTION("""COMPUTED_VALUE"""),FALSE)</f>
        <v>0</v>
      </c>
      <c r="AG694" s="5" t="str">
        <f ca="1">IFERROR(__xludf.DUMMYFUNCTION("""COMPUTED_VALUE"""),"INSPECCIONES REALIZADAS")</f>
        <v>INSPECCIONES REALIZADAS</v>
      </c>
      <c r="AH694" s="5"/>
    </row>
    <row r="695" spans="1:34">
      <c r="A695" s="5" t="str">
        <f ca="1">IFERROR(__xludf.DUMMYFUNCTION("""COMPUTED_VALUE"""),"LINEA DE ENVASADO TAMAÑO PERSONAL")</f>
        <v>LINEA DE ENVASADO TAMAÑO PERSONAL</v>
      </c>
      <c r="B695" s="5">
        <f ca="1">IFERROR(__xludf.DUMMYFUNCTION("""COMPUTED_VALUE"""),560025)</f>
        <v>560025</v>
      </c>
      <c r="C695" s="5" t="str">
        <f ca="1">IFERROR(__xludf.DUMMYFUNCTION("""COMPUTED_VALUE"""),"LAVADORA DE CAJAS")</f>
        <v>LAVADORA DE CAJAS</v>
      </c>
      <c r="D695" s="5">
        <f ca="1">IFERROR(__xludf.DUMMYFUNCTION("""COMPUTED_VALUE"""),13247629)</f>
        <v>13247629</v>
      </c>
      <c r="E695" s="5" t="str">
        <f ca="1">IFERROR(__xludf.DUMMYFUNCTION("""COMPUTED_VALUE"""),"INSPECCION SEMANAL LAVADORA DE CAJAS")</f>
        <v>INSPECCION SEMANAL LAVADORA DE CAJAS</v>
      </c>
      <c r="F695" s="5" t="str">
        <f ca="1">IFERROR(__xludf.DUMMYFUNCTION("""COMPUTED_VALUE"""),"Estado de tableros eléctricos de mando, control y potencia")</f>
        <v>Estado de tableros eléctricos de mando, control y potencia</v>
      </c>
      <c r="G695" s="5" t="b">
        <f ca="1">IFERROR(__xludf.DUMMYFUNCTION("""COMPUTED_VALUE"""),TRUE)</f>
        <v>1</v>
      </c>
      <c r="H695" s="5"/>
      <c r="I695" s="5"/>
      <c r="J695" s="5">
        <f ca="1">IFERROR(__xludf.DUMMYFUNCTION("""COMPUTED_VALUE"""),13247629)</f>
        <v>13247629</v>
      </c>
      <c r="K695" s="5"/>
      <c r="L695" s="18">
        <f ca="1">IFERROR(__xludf.DUMMYFUNCTION("""COMPUTED_VALUE"""),45324)</f>
        <v>45324</v>
      </c>
      <c r="M695" s="18">
        <f ca="1">IFERROR(__xludf.DUMMYFUNCTION("""COMPUTED_VALUE"""),45324)</f>
        <v>45324</v>
      </c>
      <c r="N695" s="5" t="str">
        <f ca="1">IFERROR(__xludf.DUMMYFUNCTION("""COMPUTED_VALUE"""),"Martinez Carlos")</f>
        <v>Martinez Carlos</v>
      </c>
      <c r="O695" s="2">
        <f ca="1">IFERROR(__xludf.DUMMYFUNCTION("""COMPUTED_VALUE"""),0.00625)</f>
        <v>6.2500000000000003E-3</v>
      </c>
      <c r="P695" s="5">
        <f ca="1">IFERROR(__xludf.DUMMYFUNCTION("""COMPUTED_VALUE"""),20009951)</f>
        <v>20009951</v>
      </c>
      <c r="Q695" s="5" t="str">
        <f ca="1">IFERROR(__xludf.DUMMYFUNCTION("""COMPUTED_VALUE"""),"ePaxDF1DTQA")</f>
        <v>ePaxDF1DTQA</v>
      </c>
      <c r="R695" s="5">
        <f ca="1">IFERROR(__xludf.DUMMYFUNCTION("""COMPUTED_VALUE"""),410)</f>
        <v>410</v>
      </c>
      <c r="S695" s="62">
        <f ca="1">IFERROR(__xludf.DUMMYFUNCTION("""COMPUTED_VALUE"""),0.00625)</f>
        <v>6.2500000000000003E-3</v>
      </c>
      <c r="T695" s="63" t="str">
        <f ca="1">IFERROR(__xludf.DUMMYFUNCTION("""COMPUTED_VALUE"""),"https://storage.googleapis.com/glide-prod.appspot.com/uploads-v2/ly7o78grxPaC6KdgvbpS/pub/3aRdSog0vUtuqPE8AJKD.png")</f>
        <v>https://storage.googleapis.com/glide-prod.appspot.com/uploads-v2/ly7o78grxPaC6KdgvbpS/pub/3aRdSog0vUtuqPE8AJKD.png</v>
      </c>
      <c r="U695" s="5" t="str">
        <f ca="1">IFERROR(__xludf.DUMMYFUNCTION("""COMPUTED_VALUE"""),"LINEA DE ENVASADO TAMAÑO PERSONALLAVADORA DE CAJAS")</f>
        <v>LINEA DE ENVASADO TAMAÑO PERSONALLAVADORA DE CAJAS</v>
      </c>
      <c r="V695" s="5"/>
      <c r="W695" s="5" t="b">
        <f ca="1">IFERROR(__xludf.DUMMYFUNCTION("""COMPUTED_VALUE"""),TRUE)</f>
        <v>1</v>
      </c>
      <c r="X695" s="5" t="str">
        <f ca="1">IFERROR(__xludf.DUMMYFUNCTION("""COMPUTED_VALUE"""),"wguerra@postobon.com.co,aprmttoyu@postobon.com.co,aprmyu@postobon.com.co,wmora@postobon.com.co,efzapata@postobon.com.co")</f>
        <v>wguerra@postobon.com.co,aprmttoyu@postobon.com.co,aprmyu@postobon.com.co,wmora@postobon.com.co,efzapata@postobon.com.co</v>
      </c>
      <c r="Y695" s="5" t="str">
        <f ca="1">IFERROR(__xludf.DUMMYFUNCTION("""COMPUTED_VALUE"""),"wguerra@postobon.com.co")</f>
        <v>wguerra@postobon.com.co</v>
      </c>
      <c r="Z695" s="5" t="str">
        <f ca="1">IFERROR(__xludf.DUMMYFUNCTION("""COMPUTED_VALUE"""),"K6v95AsxQLKkRVzvR4XjsQ")</f>
        <v>K6v95AsxQLKkRVzvR4XjsQ</v>
      </c>
      <c r="AA695" s="5"/>
      <c r="AB695" s="5"/>
      <c r="AC695" s="5"/>
      <c r="AD695" s="5">
        <f ca="1">IFERROR(__xludf.DUMMYFUNCTION("""COMPUTED_VALUE"""),16)</f>
        <v>16</v>
      </c>
      <c r="AE695" s="5">
        <f ca="1">IFERROR(__xludf.DUMMYFUNCTION("""COMPUTED_VALUE"""),16)</f>
        <v>16</v>
      </c>
      <c r="AF695" s="5" t="b">
        <f ca="1">IFERROR(__xludf.DUMMYFUNCTION("""COMPUTED_VALUE"""),FALSE)</f>
        <v>0</v>
      </c>
      <c r="AG695" s="5" t="str">
        <f ca="1">IFERROR(__xludf.DUMMYFUNCTION("""COMPUTED_VALUE"""),"INSPECCIONES REALIZADAS")</f>
        <v>INSPECCIONES REALIZADAS</v>
      </c>
      <c r="AH695" s="5"/>
    </row>
    <row r="696" spans="1:34">
      <c r="A696" s="5" t="str">
        <f ca="1">IFERROR(__xludf.DUMMYFUNCTION("""COMPUTED_VALUE"""),"LINEA DE ENVASADO TAMAÑO PERSONAL")</f>
        <v>LINEA DE ENVASADO TAMAÑO PERSONAL</v>
      </c>
      <c r="B696" s="5">
        <f ca="1">IFERROR(__xludf.DUMMYFUNCTION("""COMPUTED_VALUE"""),560025)</f>
        <v>560025</v>
      </c>
      <c r="C696" s="5" t="str">
        <f ca="1">IFERROR(__xludf.DUMMYFUNCTION("""COMPUTED_VALUE"""),"LAVADORA DE CAJAS")</f>
        <v>LAVADORA DE CAJAS</v>
      </c>
      <c r="D696" s="5">
        <f ca="1">IFERROR(__xludf.DUMMYFUNCTION("""COMPUTED_VALUE"""),13247629)</f>
        <v>13247629</v>
      </c>
      <c r="E696" s="5" t="str">
        <f ca="1">IFERROR(__xludf.DUMMYFUNCTION("""COMPUTED_VALUE"""),"INSPECCION SEMANAL LAVADORA DE CAJAS")</f>
        <v>INSPECCION SEMANAL LAVADORA DE CAJAS</v>
      </c>
      <c r="F696" s="5" t="str">
        <f ca="1">IFERROR(__xludf.DUMMYFUNCTION("""COMPUTED_VALUE"""),"Estado sistema de vapor")</f>
        <v>Estado sistema de vapor</v>
      </c>
      <c r="G696" s="5" t="b">
        <f ca="1">IFERROR(__xludf.DUMMYFUNCTION("""COMPUTED_VALUE"""),TRUE)</f>
        <v>1</v>
      </c>
      <c r="H696" s="5"/>
      <c r="I696" s="5"/>
      <c r="J696" s="5">
        <f ca="1">IFERROR(__xludf.DUMMYFUNCTION("""COMPUTED_VALUE"""),13247629)</f>
        <v>13247629</v>
      </c>
      <c r="K696" s="5"/>
      <c r="L696" s="18">
        <f ca="1">IFERROR(__xludf.DUMMYFUNCTION("""COMPUTED_VALUE"""),45324)</f>
        <v>45324</v>
      </c>
      <c r="M696" s="18">
        <f ca="1">IFERROR(__xludf.DUMMYFUNCTION("""COMPUTED_VALUE"""),45324)</f>
        <v>45324</v>
      </c>
      <c r="N696" s="5" t="str">
        <f ca="1">IFERROR(__xludf.DUMMYFUNCTION("""COMPUTED_VALUE"""),"Martinez Carlos")</f>
        <v>Martinez Carlos</v>
      </c>
      <c r="O696" s="2">
        <f ca="1">IFERROR(__xludf.DUMMYFUNCTION("""COMPUTED_VALUE"""),0.00625)</f>
        <v>6.2500000000000003E-3</v>
      </c>
      <c r="P696" s="5">
        <f ca="1">IFERROR(__xludf.DUMMYFUNCTION("""COMPUTED_VALUE"""),20009951)</f>
        <v>20009951</v>
      </c>
      <c r="Q696" s="5" t="str">
        <f ca="1">IFERROR(__xludf.DUMMYFUNCTION("""COMPUTED_VALUE"""),"hTYlW1QFJYU")</f>
        <v>hTYlW1QFJYU</v>
      </c>
      <c r="R696" s="5">
        <f ca="1">IFERROR(__xludf.DUMMYFUNCTION("""COMPUTED_VALUE"""),410)</f>
        <v>410</v>
      </c>
      <c r="S696" s="62">
        <f ca="1">IFERROR(__xludf.DUMMYFUNCTION("""COMPUTED_VALUE"""),0.00625)</f>
        <v>6.2500000000000003E-3</v>
      </c>
      <c r="T696" s="63" t="str">
        <f ca="1">IFERROR(__xludf.DUMMYFUNCTION("""COMPUTED_VALUE"""),"https://storage.googleapis.com/glide-prod.appspot.com/uploads-v2/ly7o78grxPaC6KdgvbpS/pub/3aRdSog0vUtuqPE8AJKD.png")</f>
        <v>https://storage.googleapis.com/glide-prod.appspot.com/uploads-v2/ly7o78grxPaC6KdgvbpS/pub/3aRdSog0vUtuqPE8AJKD.png</v>
      </c>
      <c r="U696" s="5" t="str">
        <f ca="1">IFERROR(__xludf.DUMMYFUNCTION("""COMPUTED_VALUE"""),"LINEA DE ENVASADO TAMAÑO PERSONALLAVADORA DE CAJAS")</f>
        <v>LINEA DE ENVASADO TAMAÑO PERSONALLAVADORA DE CAJAS</v>
      </c>
      <c r="V696" s="5"/>
      <c r="W696" s="5" t="b">
        <f ca="1">IFERROR(__xludf.DUMMYFUNCTION("""COMPUTED_VALUE"""),TRUE)</f>
        <v>1</v>
      </c>
      <c r="X696" s="5" t="str">
        <f ca="1">IFERROR(__xludf.DUMMYFUNCTION("""COMPUTED_VALUE"""),"wguerra@postobon.com.co,aprmttoyu@postobon.com.co,aprmyu@postobon.com.co,wmora@postobon.com.co,efzapata@postobon.com.co")</f>
        <v>wguerra@postobon.com.co,aprmttoyu@postobon.com.co,aprmyu@postobon.com.co,wmora@postobon.com.co,efzapata@postobon.com.co</v>
      </c>
      <c r="Y696" s="5" t="str">
        <f ca="1">IFERROR(__xludf.DUMMYFUNCTION("""COMPUTED_VALUE"""),"wguerra@postobon.com.co")</f>
        <v>wguerra@postobon.com.co</v>
      </c>
      <c r="Z696" s="5" t="str">
        <f ca="1">IFERROR(__xludf.DUMMYFUNCTION("""COMPUTED_VALUE"""),"wA-.oNCSQUSFrjgcETF3VQ")</f>
        <v>wA-.oNCSQUSFrjgcETF3VQ</v>
      </c>
      <c r="AA696" s="5"/>
      <c r="AB696" s="5"/>
      <c r="AC696" s="5"/>
      <c r="AD696" s="5">
        <f ca="1">IFERROR(__xludf.DUMMYFUNCTION("""COMPUTED_VALUE"""),16)</f>
        <v>16</v>
      </c>
      <c r="AE696" s="5">
        <f ca="1">IFERROR(__xludf.DUMMYFUNCTION("""COMPUTED_VALUE"""),16)</f>
        <v>16</v>
      </c>
      <c r="AF696" s="5" t="b">
        <f ca="1">IFERROR(__xludf.DUMMYFUNCTION("""COMPUTED_VALUE"""),FALSE)</f>
        <v>0</v>
      </c>
      <c r="AG696" s="5" t="str">
        <f ca="1">IFERROR(__xludf.DUMMYFUNCTION("""COMPUTED_VALUE"""),"INSPECCIONES REALIZADAS")</f>
        <v>INSPECCIONES REALIZADAS</v>
      </c>
      <c r="AH696" s="5"/>
    </row>
    <row r="697" spans="1:34">
      <c r="A697" s="5" t="str">
        <f ca="1">IFERROR(__xludf.DUMMYFUNCTION("""COMPUTED_VALUE"""),"LINEA DE ENVASADO TAMAÑO PERSONAL")</f>
        <v>LINEA DE ENVASADO TAMAÑO PERSONAL</v>
      </c>
      <c r="B697" s="5">
        <f ca="1">IFERROR(__xludf.DUMMYFUNCTION("""COMPUTED_VALUE"""),560025)</f>
        <v>560025</v>
      </c>
      <c r="C697" s="5" t="str">
        <f ca="1">IFERROR(__xludf.DUMMYFUNCTION("""COMPUTED_VALUE"""),"LAVADORA DE CAJAS")</f>
        <v>LAVADORA DE CAJAS</v>
      </c>
      <c r="D697" s="5">
        <f ca="1">IFERROR(__xludf.DUMMYFUNCTION("""COMPUTED_VALUE"""),13247629)</f>
        <v>13247629</v>
      </c>
      <c r="E697" s="5" t="str">
        <f ca="1">IFERROR(__xludf.DUMMYFUNCTION("""COMPUTED_VALUE"""),"INSPECCION SEMANAL LAVADORA DE CAJAS")</f>
        <v>INSPECCION SEMANAL LAVADORA DE CAJAS</v>
      </c>
      <c r="F697" s="5" t="str">
        <f ca="1">IFERROR(__xludf.DUMMYFUNCTION("""COMPUTED_VALUE"""),"Estado de sensores")</f>
        <v>Estado de sensores</v>
      </c>
      <c r="G697" s="5" t="b">
        <f ca="1">IFERROR(__xludf.DUMMYFUNCTION("""COMPUTED_VALUE"""),TRUE)</f>
        <v>1</v>
      </c>
      <c r="H697" s="5"/>
      <c r="I697" s="5"/>
      <c r="J697" s="5">
        <f ca="1">IFERROR(__xludf.DUMMYFUNCTION("""COMPUTED_VALUE"""),13247629)</f>
        <v>13247629</v>
      </c>
      <c r="K697" s="5"/>
      <c r="L697" s="18">
        <f ca="1">IFERROR(__xludf.DUMMYFUNCTION("""COMPUTED_VALUE"""),45324)</f>
        <v>45324</v>
      </c>
      <c r="M697" s="18">
        <f ca="1">IFERROR(__xludf.DUMMYFUNCTION("""COMPUTED_VALUE"""),45324)</f>
        <v>45324</v>
      </c>
      <c r="N697" s="5" t="str">
        <f ca="1">IFERROR(__xludf.DUMMYFUNCTION("""COMPUTED_VALUE"""),"Martinez Carlos")</f>
        <v>Martinez Carlos</v>
      </c>
      <c r="O697" s="2">
        <f ca="1">IFERROR(__xludf.DUMMYFUNCTION("""COMPUTED_VALUE"""),0.00625)</f>
        <v>6.2500000000000003E-3</v>
      </c>
      <c r="P697" s="5">
        <f ca="1">IFERROR(__xludf.DUMMYFUNCTION("""COMPUTED_VALUE"""),20009951)</f>
        <v>20009951</v>
      </c>
      <c r="Q697" s="5" t="str">
        <f ca="1">IFERROR(__xludf.DUMMYFUNCTION("""COMPUTED_VALUE"""),"CBZdMO9cQP4")</f>
        <v>CBZdMO9cQP4</v>
      </c>
      <c r="R697" s="5">
        <f ca="1">IFERROR(__xludf.DUMMYFUNCTION("""COMPUTED_VALUE"""),410)</f>
        <v>410</v>
      </c>
      <c r="S697" s="62">
        <f ca="1">IFERROR(__xludf.DUMMYFUNCTION("""COMPUTED_VALUE"""),0.00625)</f>
        <v>6.2500000000000003E-3</v>
      </c>
      <c r="T697" s="63" t="str">
        <f ca="1">IFERROR(__xludf.DUMMYFUNCTION("""COMPUTED_VALUE"""),"https://storage.googleapis.com/glide-prod.appspot.com/uploads-v2/ly7o78grxPaC6KdgvbpS/pub/3aRdSog0vUtuqPE8AJKD.png")</f>
        <v>https://storage.googleapis.com/glide-prod.appspot.com/uploads-v2/ly7o78grxPaC6KdgvbpS/pub/3aRdSog0vUtuqPE8AJKD.png</v>
      </c>
      <c r="U697" s="5" t="str">
        <f ca="1">IFERROR(__xludf.DUMMYFUNCTION("""COMPUTED_VALUE"""),"LINEA DE ENVASADO TAMAÑO PERSONALLAVADORA DE CAJAS")</f>
        <v>LINEA DE ENVASADO TAMAÑO PERSONALLAVADORA DE CAJAS</v>
      </c>
      <c r="V697" s="5"/>
      <c r="W697" s="5" t="b">
        <f ca="1">IFERROR(__xludf.DUMMYFUNCTION("""COMPUTED_VALUE"""),TRUE)</f>
        <v>1</v>
      </c>
      <c r="X697" s="5" t="str">
        <f ca="1">IFERROR(__xludf.DUMMYFUNCTION("""COMPUTED_VALUE"""),"wguerra@postobon.com.co,aprmttoyu@postobon.com.co,aprmyu@postobon.com.co,wmora@postobon.com.co,efzapata@postobon.com.co")</f>
        <v>wguerra@postobon.com.co,aprmttoyu@postobon.com.co,aprmyu@postobon.com.co,wmora@postobon.com.co,efzapata@postobon.com.co</v>
      </c>
      <c r="Y697" s="5" t="str">
        <f ca="1">IFERROR(__xludf.DUMMYFUNCTION("""COMPUTED_VALUE"""),"wguerra@postobon.com.co")</f>
        <v>wguerra@postobon.com.co</v>
      </c>
      <c r="Z697" s="5" t="str">
        <f ca="1">IFERROR(__xludf.DUMMYFUNCTION("""COMPUTED_VALUE"""),"thECatcGRBqVvNUxCgSXSQ")</f>
        <v>thECatcGRBqVvNUxCgSXSQ</v>
      </c>
      <c r="AA697" s="5"/>
      <c r="AB697" s="5"/>
      <c r="AC697" s="5"/>
      <c r="AD697" s="5">
        <f ca="1">IFERROR(__xludf.DUMMYFUNCTION("""COMPUTED_VALUE"""),16)</f>
        <v>16</v>
      </c>
      <c r="AE697" s="5">
        <f ca="1">IFERROR(__xludf.DUMMYFUNCTION("""COMPUTED_VALUE"""),16)</f>
        <v>16</v>
      </c>
      <c r="AF697" s="5" t="b">
        <f ca="1">IFERROR(__xludf.DUMMYFUNCTION("""COMPUTED_VALUE"""),FALSE)</f>
        <v>0</v>
      </c>
      <c r="AG697" s="5" t="str">
        <f ca="1">IFERROR(__xludf.DUMMYFUNCTION("""COMPUTED_VALUE"""),"INSPECCIONES REALIZADAS")</f>
        <v>INSPECCIONES REALIZADAS</v>
      </c>
      <c r="AH697" s="5"/>
    </row>
    <row r="698" spans="1:34">
      <c r="A698" s="5" t="str">
        <f ca="1">IFERROR(__xludf.DUMMYFUNCTION("""COMPUTED_VALUE"""),"LINEA DE ENVASADO TAMAÑO PERSONAL")</f>
        <v>LINEA DE ENVASADO TAMAÑO PERSONAL</v>
      </c>
      <c r="B698" s="5">
        <f ca="1">IFERROR(__xludf.DUMMYFUNCTION("""COMPUTED_VALUE"""),560025)</f>
        <v>560025</v>
      </c>
      <c r="C698" s="5" t="str">
        <f ca="1">IFERROR(__xludf.DUMMYFUNCTION("""COMPUTED_VALUE"""),"LAVADORA DE CAJAS")</f>
        <v>LAVADORA DE CAJAS</v>
      </c>
      <c r="D698" s="5">
        <f ca="1">IFERROR(__xludf.DUMMYFUNCTION("""COMPUTED_VALUE"""),13247629)</f>
        <v>13247629</v>
      </c>
      <c r="E698" s="5" t="str">
        <f ca="1">IFERROR(__xludf.DUMMYFUNCTION("""COMPUTED_VALUE"""),"INSPECCION SEMANAL LAVADORA DE CAJAS")</f>
        <v>INSPECCION SEMANAL LAVADORA DE CAJAS</v>
      </c>
      <c r="F698" s="5" t="str">
        <f ca="1">IFERROR(__xludf.DUMMYFUNCTION("""COMPUTED_VALUE"""),"Estado y limpieza de extractor y/o climatizador tablero eléctrico.")</f>
        <v>Estado y limpieza de extractor y/o climatizador tablero eléctrico.</v>
      </c>
      <c r="G698" s="5" t="b">
        <f ca="1">IFERROR(__xludf.DUMMYFUNCTION("""COMPUTED_VALUE"""),TRUE)</f>
        <v>1</v>
      </c>
      <c r="H698" s="5"/>
      <c r="I698" s="5"/>
      <c r="J698" s="5">
        <f ca="1">IFERROR(__xludf.DUMMYFUNCTION("""COMPUTED_VALUE"""),13247629)</f>
        <v>13247629</v>
      </c>
      <c r="K698" s="5"/>
      <c r="L698" s="18">
        <f ca="1">IFERROR(__xludf.DUMMYFUNCTION("""COMPUTED_VALUE"""),45324)</f>
        <v>45324</v>
      </c>
      <c r="M698" s="18">
        <f ca="1">IFERROR(__xludf.DUMMYFUNCTION("""COMPUTED_VALUE"""),45324)</f>
        <v>45324</v>
      </c>
      <c r="N698" s="5" t="str">
        <f ca="1">IFERROR(__xludf.DUMMYFUNCTION("""COMPUTED_VALUE"""),"Martinez Carlos")</f>
        <v>Martinez Carlos</v>
      </c>
      <c r="O698" s="2">
        <f ca="1">IFERROR(__xludf.DUMMYFUNCTION("""COMPUTED_VALUE"""),0.00625)</f>
        <v>6.2500000000000003E-3</v>
      </c>
      <c r="P698" s="5">
        <f ca="1">IFERROR(__xludf.DUMMYFUNCTION("""COMPUTED_VALUE"""),20009951)</f>
        <v>20009951</v>
      </c>
      <c r="Q698" s="5" t="str">
        <f ca="1">IFERROR(__xludf.DUMMYFUNCTION("""COMPUTED_VALUE"""),"Km5UeolLumw")</f>
        <v>Km5UeolLumw</v>
      </c>
      <c r="R698" s="5">
        <f ca="1">IFERROR(__xludf.DUMMYFUNCTION("""COMPUTED_VALUE"""),410)</f>
        <v>410</v>
      </c>
      <c r="S698" s="62">
        <f ca="1">IFERROR(__xludf.DUMMYFUNCTION("""COMPUTED_VALUE"""),0.00625)</f>
        <v>6.2500000000000003E-3</v>
      </c>
      <c r="T698" s="63" t="str">
        <f ca="1">IFERROR(__xludf.DUMMYFUNCTION("""COMPUTED_VALUE"""),"https://storage.googleapis.com/glide-prod.appspot.com/uploads-v2/ly7o78grxPaC6KdgvbpS/pub/3aRdSog0vUtuqPE8AJKD.png")</f>
        <v>https://storage.googleapis.com/glide-prod.appspot.com/uploads-v2/ly7o78grxPaC6KdgvbpS/pub/3aRdSog0vUtuqPE8AJKD.png</v>
      </c>
      <c r="U698" s="5" t="str">
        <f ca="1">IFERROR(__xludf.DUMMYFUNCTION("""COMPUTED_VALUE"""),"LINEA DE ENVASADO TAMAÑO PERSONALLAVADORA DE CAJAS")</f>
        <v>LINEA DE ENVASADO TAMAÑO PERSONALLAVADORA DE CAJAS</v>
      </c>
      <c r="V698" s="5"/>
      <c r="W698" s="5" t="b">
        <f ca="1">IFERROR(__xludf.DUMMYFUNCTION("""COMPUTED_VALUE"""),TRUE)</f>
        <v>1</v>
      </c>
      <c r="X698" s="5" t="str">
        <f ca="1">IFERROR(__xludf.DUMMYFUNCTION("""COMPUTED_VALUE"""),"wguerra@postobon.com.co,aprmttoyu@postobon.com.co,aprmyu@postobon.com.co,wmora@postobon.com.co,efzapata@postobon.com.co")</f>
        <v>wguerra@postobon.com.co,aprmttoyu@postobon.com.co,aprmyu@postobon.com.co,wmora@postobon.com.co,efzapata@postobon.com.co</v>
      </c>
      <c r="Y698" s="5" t="str">
        <f ca="1">IFERROR(__xludf.DUMMYFUNCTION("""COMPUTED_VALUE"""),"wguerra@postobon.com.co")</f>
        <v>wguerra@postobon.com.co</v>
      </c>
      <c r="Z698" s="5" t="str">
        <f ca="1">IFERROR(__xludf.DUMMYFUNCTION("""COMPUTED_VALUE"""),"CS5lpLM1T8CPRru2l14zEQ")</f>
        <v>CS5lpLM1T8CPRru2l14zEQ</v>
      </c>
      <c r="AA698" s="5"/>
      <c r="AB698" s="5"/>
      <c r="AC698" s="5"/>
      <c r="AD698" s="5">
        <f ca="1">IFERROR(__xludf.DUMMYFUNCTION("""COMPUTED_VALUE"""),16)</f>
        <v>16</v>
      </c>
      <c r="AE698" s="5">
        <f ca="1">IFERROR(__xludf.DUMMYFUNCTION("""COMPUTED_VALUE"""),16)</f>
        <v>16</v>
      </c>
      <c r="AF698" s="5" t="b">
        <f ca="1">IFERROR(__xludf.DUMMYFUNCTION("""COMPUTED_VALUE"""),FALSE)</f>
        <v>0</v>
      </c>
      <c r="AG698" s="5" t="str">
        <f ca="1">IFERROR(__xludf.DUMMYFUNCTION("""COMPUTED_VALUE"""),"INSPECCIONES REALIZADAS")</f>
        <v>INSPECCIONES REALIZADAS</v>
      </c>
      <c r="AH698" s="5"/>
    </row>
    <row r="699" spans="1:34">
      <c r="A699" s="5" t="str">
        <f ca="1">IFERROR(__xludf.DUMMYFUNCTION("""COMPUTED_VALUE"""),"LINEA DE PRODUCCION DE BOTELLONES DE 20")</f>
        <v>LINEA DE PRODUCCION DE BOTELLONES DE 20</v>
      </c>
      <c r="B699" s="5">
        <f ca="1">IFERROR(__xludf.DUMMYFUNCTION("""COMPUTED_VALUE"""),719519)</f>
        <v>719519</v>
      </c>
      <c r="C699" s="5" t="str">
        <f ca="1">IFERROR(__xludf.DUMMYFUNCTION("""COMPUTED_VALUE"""),"LAVADORA DE HUACALES")</f>
        <v>LAVADORA DE HUACALES</v>
      </c>
      <c r="D699" s="5">
        <f ca="1">IFERROR(__xludf.DUMMYFUNCTION("""COMPUTED_VALUE"""),13247681)</f>
        <v>13247681</v>
      </c>
      <c r="E699" s="5" t="str">
        <f ca="1">IFERROR(__xludf.DUMMYFUNCTION("""COMPUTED_VALUE"""),"INSPECCION SEMANAL LAVADORA DE HUACALES")</f>
        <v>INSPECCION SEMANAL LAVADORA DE HUACALES</v>
      </c>
      <c r="F699" s="5" t="str">
        <f ca="1">IFERROR(__xludf.DUMMYFUNCTION("""COMPUTED_VALUE"""),"VERIFICAR PRESION CHORROS INTERNOS")</f>
        <v>VERIFICAR PRESION CHORROS INTERNOS</v>
      </c>
      <c r="G699" s="5" t="b">
        <f ca="1">IFERROR(__xludf.DUMMYFUNCTION("""COMPUTED_VALUE"""),TRUE)</f>
        <v>1</v>
      </c>
      <c r="H699" s="5"/>
      <c r="I699" s="5"/>
      <c r="J699" s="5">
        <f ca="1">IFERROR(__xludf.DUMMYFUNCTION("""COMPUTED_VALUE"""),13247681)</f>
        <v>13247681</v>
      </c>
      <c r="K699" s="5"/>
      <c r="L699" s="18">
        <f ca="1">IFERROR(__xludf.DUMMYFUNCTION("""COMPUTED_VALUE"""),45324)</f>
        <v>45324</v>
      </c>
      <c r="M699" s="18">
        <f ca="1">IFERROR(__xludf.DUMMYFUNCTION("""COMPUTED_VALUE"""),45324)</f>
        <v>45324</v>
      </c>
      <c r="N699" s="5" t="str">
        <f ca="1">IFERROR(__xludf.DUMMYFUNCTION("""COMPUTED_VALUE"""),"Víctor David Burbano Gómez")</f>
        <v>Víctor David Burbano Gómez</v>
      </c>
      <c r="O699" s="2">
        <f ca="1">IFERROR(__xludf.DUMMYFUNCTION("""COMPUTED_VALUE"""),0.0125)</f>
        <v>1.2500000000000001E-2</v>
      </c>
      <c r="P699" s="5">
        <f ca="1">IFERROR(__xludf.DUMMYFUNCTION("""COMPUTED_VALUE"""),20065447)</f>
        <v>20065447</v>
      </c>
      <c r="Q699" s="5" t="str">
        <f ca="1">IFERROR(__xludf.DUMMYFUNCTION("""COMPUTED_VALUE"""),"QNqg8Xb2zM4")</f>
        <v>QNqg8Xb2zM4</v>
      </c>
      <c r="R699" s="5">
        <f ca="1">IFERROR(__xludf.DUMMYFUNCTION("""COMPUTED_VALUE"""),410)</f>
        <v>410</v>
      </c>
      <c r="S699" s="62">
        <f ca="1">IFERROR(__xludf.DUMMYFUNCTION("""COMPUTED_VALUE"""),0.0125)</f>
        <v>1.2500000000000001E-2</v>
      </c>
      <c r="T699" s="63" t="str">
        <f ca="1">IFERROR(__xludf.DUMMYFUNCTION("""COMPUTED_VALUE"""),"https://storage.googleapis.com/glide-prod.appspot.com/uploads-v2/ly7o78grxPaC6KdgvbpS/pub/3aRdSog0vUtuqPE8AJKD.png")</f>
        <v>https://storage.googleapis.com/glide-prod.appspot.com/uploads-v2/ly7o78grxPaC6KdgvbpS/pub/3aRdSog0vUtuqPE8AJKD.png</v>
      </c>
      <c r="U699" s="5" t="str">
        <f ca="1">IFERROR(__xludf.DUMMYFUNCTION("""COMPUTED_VALUE"""),"LINEA DE PRODUCCION DE BOTELLONES DE 20LAVADORA DE HUACALES")</f>
        <v>LINEA DE PRODUCCION DE BOTELLONES DE 20LAVADORA DE HUACALES</v>
      </c>
      <c r="V699" s="5"/>
      <c r="W699" s="5" t="b">
        <f ca="1">IFERROR(__xludf.DUMMYFUNCTION("""COMPUTED_VALUE"""),TRUE)</f>
        <v>1</v>
      </c>
      <c r="X699" s="5" t="str">
        <f ca="1">IFERROR(__xludf.DUMMYFUNCTION("""COMPUTED_VALUE"""),"achavezi@postobon.com.co,aprmttoyu@postobon.com.co,aprmyu@postobon.com.co,wmora@postobon.com.co,efzapata@postobon.com.co")</f>
        <v>achavezi@postobon.com.co,aprmttoyu@postobon.com.co,aprmyu@postobon.com.co,wmora@postobon.com.co,efzapata@postobon.com.co</v>
      </c>
      <c r="Y699" s="5" t="str">
        <f ca="1">IFERROR(__xludf.DUMMYFUNCTION("""COMPUTED_VALUE"""),"achavezi@postobon.com.co")</f>
        <v>achavezi@postobon.com.co</v>
      </c>
      <c r="Z699" s="5" t="str">
        <f ca="1">IFERROR(__xludf.DUMMYFUNCTION("""COMPUTED_VALUE"""),"p7w55..xSK6mWFv.6.gbvg")</f>
        <v>p7w55..xSK6mWFv.6.gbvg</v>
      </c>
      <c r="AA699" s="5"/>
      <c r="AB699" s="5"/>
      <c r="AC699" s="5"/>
      <c r="AD699" s="5">
        <f ca="1">IFERROR(__xludf.DUMMYFUNCTION("""COMPUTED_VALUE"""),62)</f>
        <v>62</v>
      </c>
      <c r="AE699" s="5">
        <f ca="1">IFERROR(__xludf.DUMMYFUNCTION("""COMPUTED_VALUE"""),62)</f>
        <v>62</v>
      </c>
      <c r="AF699" s="5" t="b">
        <f ca="1">IFERROR(__xludf.DUMMYFUNCTION("""COMPUTED_VALUE"""),FALSE)</f>
        <v>0</v>
      </c>
      <c r="AG699" s="5" t="str">
        <f ca="1">IFERROR(__xludf.DUMMYFUNCTION("""COMPUTED_VALUE"""),"INSPECCIONES REALIZADAS")</f>
        <v>INSPECCIONES REALIZADAS</v>
      </c>
      <c r="AH699" s="5"/>
    </row>
    <row r="700" spans="1:34">
      <c r="A700" s="5" t="str">
        <f ca="1">IFERROR(__xludf.DUMMYFUNCTION("""COMPUTED_VALUE"""),"LINEA DE PRODUCCION DE BOTELLONES DE 20")</f>
        <v>LINEA DE PRODUCCION DE BOTELLONES DE 20</v>
      </c>
      <c r="B700" s="5">
        <f ca="1">IFERROR(__xludf.DUMMYFUNCTION("""COMPUTED_VALUE"""),719519)</f>
        <v>719519</v>
      </c>
      <c r="C700" s="5" t="str">
        <f ca="1">IFERROR(__xludf.DUMMYFUNCTION("""COMPUTED_VALUE"""),"LAVADORA DE HUACALES")</f>
        <v>LAVADORA DE HUACALES</v>
      </c>
      <c r="D700" s="5">
        <f ca="1">IFERROR(__xludf.DUMMYFUNCTION("""COMPUTED_VALUE"""),13247681)</f>
        <v>13247681</v>
      </c>
      <c r="E700" s="5" t="str">
        <f ca="1">IFERROR(__xludf.DUMMYFUNCTION("""COMPUTED_VALUE"""),"INSPECCION SEMANAL LAVADORA DE HUACALES")</f>
        <v>INSPECCION SEMANAL LAVADORA DE HUACALES</v>
      </c>
      <c r="F700" s="5" t="str">
        <f ca="1">IFERROR(__xludf.DUMMYFUNCTION("""COMPUTED_VALUE"""),"INSP SENSORES NIVEL")</f>
        <v>INSP SENSORES NIVEL</v>
      </c>
      <c r="G700" s="5" t="b">
        <f ca="1">IFERROR(__xludf.DUMMYFUNCTION("""COMPUTED_VALUE"""),TRUE)</f>
        <v>1</v>
      </c>
      <c r="H700" s="5"/>
      <c r="I700" s="5"/>
      <c r="J700" s="5">
        <f ca="1">IFERROR(__xludf.DUMMYFUNCTION("""COMPUTED_VALUE"""),13247681)</f>
        <v>13247681</v>
      </c>
      <c r="K700" s="5"/>
      <c r="L700" s="18">
        <f ca="1">IFERROR(__xludf.DUMMYFUNCTION("""COMPUTED_VALUE"""),45324)</f>
        <v>45324</v>
      </c>
      <c r="M700" s="18">
        <f ca="1">IFERROR(__xludf.DUMMYFUNCTION("""COMPUTED_VALUE"""),45324)</f>
        <v>45324</v>
      </c>
      <c r="N700" s="5" t="str">
        <f ca="1">IFERROR(__xludf.DUMMYFUNCTION("""COMPUTED_VALUE"""),"Víctor David Burbano Gómez")</f>
        <v>Víctor David Burbano Gómez</v>
      </c>
      <c r="O700" s="2">
        <f ca="1">IFERROR(__xludf.DUMMYFUNCTION("""COMPUTED_VALUE"""),0.0125)</f>
        <v>1.2500000000000001E-2</v>
      </c>
      <c r="P700" s="5">
        <f ca="1">IFERROR(__xludf.DUMMYFUNCTION("""COMPUTED_VALUE"""),20065447)</f>
        <v>20065447</v>
      </c>
      <c r="Q700" s="5" t="str">
        <f ca="1">IFERROR(__xludf.DUMMYFUNCTION("""COMPUTED_VALUE"""),"-0Hl2SakQs4")</f>
        <v>-0Hl2SakQs4</v>
      </c>
      <c r="R700" s="5">
        <f ca="1">IFERROR(__xludf.DUMMYFUNCTION("""COMPUTED_VALUE"""),410)</f>
        <v>410</v>
      </c>
      <c r="S700" s="62">
        <f ca="1">IFERROR(__xludf.DUMMYFUNCTION("""COMPUTED_VALUE"""),0.0125)</f>
        <v>1.2500000000000001E-2</v>
      </c>
      <c r="T700" s="63" t="str">
        <f ca="1">IFERROR(__xludf.DUMMYFUNCTION("""COMPUTED_VALUE"""),"https://storage.googleapis.com/glide-prod.appspot.com/uploads-v2/ly7o78grxPaC6KdgvbpS/pub/3aRdSog0vUtuqPE8AJKD.png")</f>
        <v>https://storage.googleapis.com/glide-prod.appspot.com/uploads-v2/ly7o78grxPaC6KdgvbpS/pub/3aRdSog0vUtuqPE8AJKD.png</v>
      </c>
      <c r="U700" s="5" t="str">
        <f ca="1">IFERROR(__xludf.DUMMYFUNCTION("""COMPUTED_VALUE"""),"LINEA DE PRODUCCION DE BOTELLONES DE 20LAVADORA DE HUACALES")</f>
        <v>LINEA DE PRODUCCION DE BOTELLONES DE 20LAVADORA DE HUACALES</v>
      </c>
      <c r="V700" s="5"/>
      <c r="W700" s="5" t="b">
        <f ca="1">IFERROR(__xludf.DUMMYFUNCTION("""COMPUTED_VALUE"""),TRUE)</f>
        <v>1</v>
      </c>
      <c r="X700" s="5" t="str">
        <f ca="1">IFERROR(__xludf.DUMMYFUNCTION("""COMPUTED_VALUE"""),"achavezi@postobon.com.co,aprmttoyu@postobon.com.co,aprmyu@postobon.com.co,wmora@postobon.com.co,efzapata@postobon.com.co")</f>
        <v>achavezi@postobon.com.co,aprmttoyu@postobon.com.co,aprmyu@postobon.com.co,wmora@postobon.com.co,efzapata@postobon.com.co</v>
      </c>
      <c r="Y700" s="5" t="str">
        <f ca="1">IFERROR(__xludf.DUMMYFUNCTION("""COMPUTED_VALUE"""),"achavezi@postobon.com.co")</f>
        <v>achavezi@postobon.com.co</v>
      </c>
      <c r="Z700" s="5" t="str">
        <f ca="1">IFERROR(__xludf.DUMMYFUNCTION("""COMPUTED_VALUE"""),"2JwhNoNfSAqcuwoVE4ZCUg")</f>
        <v>2JwhNoNfSAqcuwoVE4ZCUg</v>
      </c>
      <c r="AA700" s="5"/>
      <c r="AB700" s="5"/>
      <c r="AC700" s="5"/>
      <c r="AD700" s="5">
        <f ca="1">IFERROR(__xludf.DUMMYFUNCTION("""COMPUTED_VALUE"""),62)</f>
        <v>62</v>
      </c>
      <c r="AE700" s="5">
        <f ca="1">IFERROR(__xludf.DUMMYFUNCTION("""COMPUTED_VALUE"""),62)</f>
        <v>62</v>
      </c>
      <c r="AF700" s="5" t="b">
        <f ca="1">IFERROR(__xludf.DUMMYFUNCTION("""COMPUTED_VALUE"""),FALSE)</f>
        <v>0</v>
      </c>
      <c r="AG700" s="5" t="str">
        <f ca="1">IFERROR(__xludf.DUMMYFUNCTION("""COMPUTED_VALUE"""),"INSPECCIONES REALIZADAS")</f>
        <v>INSPECCIONES REALIZADAS</v>
      </c>
      <c r="AH700" s="5"/>
    </row>
    <row r="701" spans="1:34">
      <c r="A701" s="5" t="str">
        <f ca="1">IFERROR(__xludf.DUMMYFUNCTION("""COMPUTED_VALUE"""),"LINEA DE PRODUCCION DE BOTELLONES DE 20")</f>
        <v>LINEA DE PRODUCCION DE BOTELLONES DE 20</v>
      </c>
      <c r="B701" s="5">
        <f ca="1">IFERROR(__xludf.DUMMYFUNCTION("""COMPUTED_VALUE"""),719519)</f>
        <v>719519</v>
      </c>
      <c r="C701" s="5" t="str">
        <f ca="1">IFERROR(__xludf.DUMMYFUNCTION("""COMPUTED_VALUE"""),"LAVADORA DE HUACALES")</f>
        <v>LAVADORA DE HUACALES</v>
      </c>
      <c r="D701" s="5">
        <f ca="1">IFERROR(__xludf.DUMMYFUNCTION("""COMPUTED_VALUE"""),13247681)</f>
        <v>13247681</v>
      </c>
      <c r="E701" s="5" t="str">
        <f ca="1">IFERROR(__xludf.DUMMYFUNCTION("""COMPUTED_VALUE"""),"INSPECCION SEMANAL LAVADORA DE HUACALES")</f>
        <v>INSPECCION SEMANAL LAVADORA DE HUACALES</v>
      </c>
      <c r="F701" s="5" t="str">
        <f ca="1">IFERROR(__xludf.DUMMYFUNCTION("""COMPUTED_VALUE"""),"FUNC TERMOMETROS")</f>
        <v>FUNC TERMOMETROS</v>
      </c>
      <c r="G701" s="5" t="b">
        <f ca="1">IFERROR(__xludf.DUMMYFUNCTION("""COMPUTED_VALUE"""),TRUE)</f>
        <v>1</v>
      </c>
      <c r="H701" s="5"/>
      <c r="I701" s="5"/>
      <c r="J701" s="5">
        <f ca="1">IFERROR(__xludf.DUMMYFUNCTION("""COMPUTED_VALUE"""),13247681)</f>
        <v>13247681</v>
      </c>
      <c r="K701" s="5"/>
      <c r="L701" s="18">
        <f ca="1">IFERROR(__xludf.DUMMYFUNCTION("""COMPUTED_VALUE"""),45324)</f>
        <v>45324</v>
      </c>
      <c r="M701" s="18">
        <f ca="1">IFERROR(__xludf.DUMMYFUNCTION("""COMPUTED_VALUE"""),45324)</f>
        <v>45324</v>
      </c>
      <c r="N701" s="5" t="str">
        <f ca="1">IFERROR(__xludf.DUMMYFUNCTION("""COMPUTED_VALUE"""),"Víctor David Burbano Gómez")</f>
        <v>Víctor David Burbano Gómez</v>
      </c>
      <c r="O701" s="2">
        <f ca="1">IFERROR(__xludf.DUMMYFUNCTION("""COMPUTED_VALUE"""),0.0125)</f>
        <v>1.2500000000000001E-2</v>
      </c>
      <c r="P701" s="5">
        <f ca="1">IFERROR(__xludf.DUMMYFUNCTION("""COMPUTED_VALUE"""),20065447)</f>
        <v>20065447</v>
      </c>
      <c r="Q701" s="5" t="str">
        <f ca="1">IFERROR(__xludf.DUMMYFUNCTION("""COMPUTED_VALUE"""),"iTHuLcU_ysg")</f>
        <v>iTHuLcU_ysg</v>
      </c>
      <c r="R701" s="5">
        <f ca="1">IFERROR(__xludf.DUMMYFUNCTION("""COMPUTED_VALUE"""),410)</f>
        <v>410</v>
      </c>
      <c r="S701" s="62">
        <f ca="1">IFERROR(__xludf.DUMMYFUNCTION("""COMPUTED_VALUE"""),0.0125)</f>
        <v>1.2500000000000001E-2</v>
      </c>
      <c r="T701" s="63" t="str">
        <f ca="1">IFERROR(__xludf.DUMMYFUNCTION("""COMPUTED_VALUE"""),"https://storage.googleapis.com/glide-prod.appspot.com/uploads-v2/ly7o78grxPaC6KdgvbpS/pub/3aRdSog0vUtuqPE8AJKD.png")</f>
        <v>https://storage.googleapis.com/glide-prod.appspot.com/uploads-v2/ly7o78grxPaC6KdgvbpS/pub/3aRdSog0vUtuqPE8AJKD.png</v>
      </c>
      <c r="U701" s="5" t="str">
        <f ca="1">IFERROR(__xludf.DUMMYFUNCTION("""COMPUTED_VALUE"""),"LINEA DE PRODUCCION DE BOTELLONES DE 20LAVADORA DE HUACALES")</f>
        <v>LINEA DE PRODUCCION DE BOTELLONES DE 20LAVADORA DE HUACALES</v>
      </c>
      <c r="V701" s="5"/>
      <c r="W701" s="5" t="b">
        <f ca="1">IFERROR(__xludf.DUMMYFUNCTION("""COMPUTED_VALUE"""),TRUE)</f>
        <v>1</v>
      </c>
      <c r="X701" s="5" t="str">
        <f ca="1">IFERROR(__xludf.DUMMYFUNCTION("""COMPUTED_VALUE"""),"achavezi@postobon.com.co,aprmttoyu@postobon.com.co,aprmyu@postobon.com.co,wmora@postobon.com.co,efzapata@postobon.com.co")</f>
        <v>achavezi@postobon.com.co,aprmttoyu@postobon.com.co,aprmyu@postobon.com.co,wmora@postobon.com.co,efzapata@postobon.com.co</v>
      </c>
      <c r="Y701" s="5" t="str">
        <f ca="1">IFERROR(__xludf.DUMMYFUNCTION("""COMPUTED_VALUE"""),"achavezi@postobon.com.co")</f>
        <v>achavezi@postobon.com.co</v>
      </c>
      <c r="Z701" s="5" t="str">
        <f ca="1">IFERROR(__xludf.DUMMYFUNCTION("""COMPUTED_VALUE"""),"nINEyEjrR3m-QQelW1soWQ")</f>
        <v>nINEyEjrR3m-QQelW1soWQ</v>
      </c>
      <c r="AA701" s="5"/>
      <c r="AB701" s="5"/>
      <c r="AC701" s="5"/>
      <c r="AD701" s="5">
        <f ca="1">IFERROR(__xludf.DUMMYFUNCTION("""COMPUTED_VALUE"""),62)</f>
        <v>62</v>
      </c>
      <c r="AE701" s="5">
        <f ca="1">IFERROR(__xludf.DUMMYFUNCTION("""COMPUTED_VALUE"""),62)</f>
        <v>62</v>
      </c>
      <c r="AF701" s="5" t="b">
        <f ca="1">IFERROR(__xludf.DUMMYFUNCTION("""COMPUTED_VALUE"""),FALSE)</f>
        <v>0</v>
      </c>
      <c r="AG701" s="5" t="str">
        <f ca="1">IFERROR(__xludf.DUMMYFUNCTION("""COMPUTED_VALUE"""),"INSPECCIONES REALIZADAS")</f>
        <v>INSPECCIONES REALIZADAS</v>
      </c>
      <c r="AH701" s="5"/>
    </row>
    <row r="702" spans="1:34">
      <c r="A702" s="5" t="str">
        <f ca="1">IFERROR(__xludf.DUMMYFUNCTION("""COMPUTED_VALUE"""),"LINEA DE PRODUCCION DE BOTELLONES DE 20")</f>
        <v>LINEA DE PRODUCCION DE BOTELLONES DE 20</v>
      </c>
      <c r="B702" s="5">
        <f ca="1">IFERROR(__xludf.DUMMYFUNCTION("""COMPUTED_VALUE"""),719519)</f>
        <v>719519</v>
      </c>
      <c r="C702" s="5" t="str">
        <f ca="1">IFERROR(__xludf.DUMMYFUNCTION("""COMPUTED_VALUE"""),"LAVADORA DE HUACALES")</f>
        <v>LAVADORA DE HUACALES</v>
      </c>
      <c r="D702" s="5">
        <f ca="1">IFERROR(__xludf.DUMMYFUNCTION("""COMPUTED_VALUE"""),13247681)</f>
        <v>13247681</v>
      </c>
      <c r="E702" s="5" t="str">
        <f ca="1">IFERROR(__xludf.DUMMYFUNCTION("""COMPUTED_VALUE"""),"INSPECCION SEMANAL LAVADORA DE HUACALES")</f>
        <v>INSPECCION SEMANAL LAVADORA DE HUACALES</v>
      </c>
      <c r="F702" s="5" t="str">
        <f ca="1">IFERROR(__xludf.DUMMYFUNCTION("""COMPUTED_VALUE"""),"INSP SISTEMA NEUMATICO(VALVULAS,UNIDAD MTTO)")</f>
        <v>INSP SISTEMA NEUMATICO(VALVULAS,UNIDAD MTTO)</v>
      </c>
      <c r="G702" s="5" t="b">
        <f ca="1">IFERROR(__xludf.DUMMYFUNCTION("""COMPUTED_VALUE"""),TRUE)</f>
        <v>1</v>
      </c>
      <c r="H702" s="5"/>
      <c r="I702" s="5"/>
      <c r="J702" s="5">
        <f ca="1">IFERROR(__xludf.DUMMYFUNCTION("""COMPUTED_VALUE"""),13247681)</f>
        <v>13247681</v>
      </c>
      <c r="K702" s="5"/>
      <c r="L702" s="18">
        <f ca="1">IFERROR(__xludf.DUMMYFUNCTION("""COMPUTED_VALUE"""),45324)</f>
        <v>45324</v>
      </c>
      <c r="M702" s="18">
        <f ca="1">IFERROR(__xludf.DUMMYFUNCTION("""COMPUTED_VALUE"""),45324)</f>
        <v>45324</v>
      </c>
      <c r="N702" s="5" t="str">
        <f ca="1">IFERROR(__xludf.DUMMYFUNCTION("""COMPUTED_VALUE"""),"Víctor David Burbano Gómez")</f>
        <v>Víctor David Burbano Gómez</v>
      </c>
      <c r="O702" s="2">
        <f ca="1">IFERROR(__xludf.DUMMYFUNCTION("""COMPUTED_VALUE"""),0.0125)</f>
        <v>1.2500000000000001E-2</v>
      </c>
      <c r="P702" s="5">
        <f ca="1">IFERROR(__xludf.DUMMYFUNCTION("""COMPUTED_VALUE"""),20065447)</f>
        <v>20065447</v>
      </c>
      <c r="Q702" s="5" t="str">
        <f ca="1">IFERROR(__xludf.DUMMYFUNCTION("""COMPUTED_VALUE"""),"FXOj1DRgpI4")</f>
        <v>FXOj1DRgpI4</v>
      </c>
      <c r="R702" s="5">
        <f ca="1">IFERROR(__xludf.DUMMYFUNCTION("""COMPUTED_VALUE"""),410)</f>
        <v>410</v>
      </c>
      <c r="S702" s="62">
        <f ca="1">IFERROR(__xludf.DUMMYFUNCTION("""COMPUTED_VALUE"""),0.0125)</f>
        <v>1.2500000000000001E-2</v>
      </c>
      <c r="T702" s="63" t="str">
        <f ca="1">IFERROR(__xludf.DUMMYFUNCTION("""COMPUTED_VALUE"""),"https://storage.googleapis.com/glide-prod.appspot.com/uploads-v2/ly7o78grxPaC6KdgvbpS/pub/3aRdSog0vUtuqPE8AJKD.png")</f>
        <v>https://storage.googleapis.com/glide-prod.appspot.com/uploads-v2/ly7o78grxPaC6KdgvbpS/pub/3aRdSog0vUtuqPE8AJKD.png</v>
      </c>
      <c r="U702" s="5" t="str">
        <f ca="1">IFERROR(__xludf.DUMMYFUNCTION("""COMPUTED_VALUE"""),"LINEA DE PRODUCCION DE BOTELLONES DE 20LAVADORA DE HUACALES")</f>
        <v>LINEA DE PRODUCCION DE BOTELLONES DE 20LAVADORA DE HUACALES</v>
      </c>
      <c r="V702" s="5"/>
      <c r="W702" s="5" t="b">
        <f ca="1">IFERROR(__xludf.DUMMYFUNCTION("""COMPUTED_VALUE"""),TRUE)</f>
        <v>1</v>
      </c>
      <c r="X702" s="5" t="str">
        <f ca="1">IFERROR(__xludf.DUMMYFUNCTION("""COMPUTED_VALUE"""),"achavezi@postobon.com.co,aprmttoyu@postobon.com.co,aprmyu@postobon.com.co,wmora@postobon.com.co,efzapata@postobon.com.co")</f>
        <v>achavezi@postobon.com.co,aprmttoyu@postobon.com.co,aprmyu@postobon.com.co,wmora@postobon.com.co,efzapata@postobon.com.co</v>
      </c>
      <c r="Y702" s="5" t="str">
        <f ca="1">IFERROR(__xludf.DUMMYFUNCTION("""COMPUTED_VALUE"""),"achavezi@postobon.com.co")</f>
        <v>achavezi@postobon.com.co</v>
      </c>
      <c r="Z702" s="5" t="str">
        <f ca="1">IFERROR(__xludf.DUMMYFUNCTION("""COMPUTED_VALUE"""),"8nH9wEX1Rh6gXkz3p2S0gw")</f>
        <v>8nH9wEX1Rh6gXkz3p2S0gw</v>
      </c>
      <c r="AA702" s="5"/>
      <c r="AB702" s="5"/>
      <c r="AC702" s="5"/>
      <c r="AD702" s="5">
        <f ca="1">IFERROR(__xludf.DUMMYFUNCTION("""COMPUTED_VALUE"""),62)</f>
        <v>62</v>
      </c>
      <c r="AE702" s="5">
        <f ca="1">IFERROR(__xludf.DUMMYFUNCTION("""COMPUTED_VALUE"""),62)</f>
        <v>62</v>
      </c>
      <c r="AF702" s="5" t="b">
        <f ca="1">IFERROR(__xludf.DUMMYFUNCTION("""COMPUTED_VALUE"""),FALSE)</f>
        <v>0</v>
      </c>
      <c r="AG702" s="5" t="str">
        <f ca="1">IFERROR(__xludf.DUMMYFUNCTION("""COMPUTED_VALUE"""),"INSPECCIONES REALIZADAS")</f>
        <v>INSPECCIONES REALIZADAS</v>
      </c>
      <c r="AH702" s="5"/>
    </row>
    <row r="703" spans="1:34">
      <c r="A703" s="5" t="str">
        <f ca="1">IFERROR(__xludf.DUMMYFUNCTION("""COMPUTED_VALUE"""),"LINEA DE PRODUCCION DE BOTELLONES DE 20")</f>
        <v>LINEA DE PRODUCCION DE BOTELLONES DE 20</v>
      </c>
      <c r="B703" s="5">
        <f ca="1">IFERROR(__xludf.DUMMYFUNCTION("""COMPUTED_VALUE"""),719519)</f>
        <v>719519</v>
      </c>
      <c r="C703" s="5" t="str">
        <f ca="1">IFERROR(__xludf.DUMMYFUNCTION("""COMPUTED_VALUE"""),"LAVADORA DE HUACALES")</f>
        <v>LAVADORA DE HUACALES</v>
      </c>
      <c r="D703" s="5">
        <f ca="1">IFERROR(__xludf.DUMMYFUNCTION("""COMPUTED_VALUE"""),13247681)</f>
        <v>13247681</v>
      </c>
      <c r="E703" s="5" t="str">
        <f ca="1">IFERROR(__xludf.DUMMYFUNCTION("""COMPUTED_VALUE"""),"INSPECCION SEMANAL LAVADORA DE HUACALES")</f>
        <v>INSPECCION SEMANAL LAVADORA DE HUACALES</v>
      </c>
      <c r="F703" s="5" t="str">
        <f ca="1">IFERROR(__xludf.DUMMYFUNCTION("""COMPUTED_VALUE"""),"ESTADO TRANSPORTADOR INTERNO")</f>
        <v>ESTADO TRANSPORTADOR INTERNO</v>
      </c>
      <c r="G703" s="5" t="b">
        <f ca="1">IFERROR(__xludf.DUMMYFUNCTION("""COMPUTED_VALUE"""),TRUE)</f>
        <v>1</v>
      </c>
      <c r="H703" s="5"/>
      <c r="I703" s="5"/>
      <c r="J703" s="5">
        <f ca="1">IFERROR(__xludf.DUMMYFUNCTION("""COMPUTED_VALUE"""),13247681)</f>
        <v>13247681</v>
      </c>
      <c r="K703" s="5"/>
      <c r="L703" s="18">
        <f ca="1">IFERROR(__xludf.DUMMYFUNCTION("""COMPUTED_VALUE"""),45324)</f>
        <v>45324</v>
      </c>
      <c r="M703" s="18">
        <f ca="1">IFERROR(__xludf.DUMMYFUNCTION("""COMPUTED_VALUE"""),45324)</f>
        <v>45324</v>
      </c>
      <c r="N703" s="5" t="str">
        <f ca="1">IFERROR(__xludf.DUMMYFUNCTION("""COMPUTED_VALUE"""),"Víctor David Burbano Gómez")</f>
        <v>Víctor David Burbano Gómez</v>
      </c>
      <c r="O703" s="2">
        <f ca="1">IFERROR(__xludf.DUMMYFUNCTION("""COMPUTED_VALUE"""),0.0125)</f>
        <v>1.2500000000000001E-2</v>
      </c>
      <c r="P703" s="5">
        <f ca="1">IFERROR(__xludf.DUMMYFUNCTION("""COMPUTED_VALUE"""),20065447)</f>
        <v>20065447</v>
      </c>
      <c r="Q703" s="5" t="str">
        <f ca="1">IFERROR(__xludf.DUMMYFUNCTION("""COMPUTED_VALUE"""),"rCav4WiKY1c")</f>
        <v>rCav4WiKY1c</v>
      </c>
      <c r="R703" s="5">
        <f ca="1">IFERROR(__xludf.DUMMYFUNCTION("""COMPUTED_VALUE"""),410)</f>
        <v>410</v>
      </c>
      <c r="S703" s="62">
        <f ca="1">IFERROR(__xludf.DUMMYFUNCTION("""COMPUTED_VALUE"""),0.0125)</f>
        <v>1.2500000000000001E-2</v>
      </c>
      <c r="T703" s="63" t="str">
        <f ca="1">IFERROR(__xludf.DUMMYFUNCTION("""COMPUTED_VALUE"""),"https://storage.googleapis.com/glide-prod.appspot.com/uploads-v2/ly7o78grxPaC6KdgvbpS/pub/3aRdSog0vUtuqPE8AJKD.png")</f>
        <v>https://storage.googleapis.com/glide-prod.appspot.com/uploads-v2/ly7o78grxPaC6KdgvbpS/pub/3aRdSog0vUtuqPE8AJKD.png</v>
      </c>
      <c r="U703" s="5" t="str">
        <f ca="1">IFERROR(__xludf.DUMMYFUNCTION("""COMPUTED_VALUE"""),"LINEA DE PRODUCCION DE BOTELLONES DE 20LAVADORA DE HUACALES")</f>
        <v>LINEA DE PRODUCCION DE BOTELLONES DE 20LAVADORA DE HUACALES</v>
      </c>
      <c r="V703" s="5"/>
      <c r="W703" s="5" t="b">
        <f ca="1">IFERROR(__xludf.DUMMYFUNCTION("""COMPUTED_VALUE"""),TRUE)</f>
        <v>1</v>
      </c>
      <c r="X703" s="5" t="str">
        <f ca="1">IFERROR(__xludf.DUMMYFUNCTION("""COMPUTED_VALUE"""),"achavezi@postobon.com.co,aprmttoyu@postobon.com.co,aprmyu@postobon.com.co,wmora@postobon.com.co,efzapata@postobon.com.co")</f>
        <v>achavezi@postobon.com.co,aprmttoyu@postobon.com.co,aprmyu@postobon.com.co,wmora@postobon.com.co,efzapata@postobon.com.co</v>
      </c>
      <c r="Y703" s="5" t="str">
        <f ca="1">IFERROR(__xludf.DUMMYFUNCTION("""COMPUTED_VALUE"""),"achavezi@postobon.com.co")</f>
        <v>achavezi@postobon.com.co</v>
      </c>
      <c r="Z703" s="5" t="str">
        <f ca="1">IFERROR(__xludf.DUMMYFUNCTION("""COMPUTED_VALUE"""),"RRvFloVUTjScxbeRfL7WLQ")</f>
        <v>RRvFloVUTjScxbeRfL7WLQ</v>
      </c>
      <c r="AA703" s="5"/>
      <c r="AB703" s="5"/>
      <c r="AC703" s="5"/>
      <c r="AD703" s="5">
        <f ca="1">IFERROR(__xludf.DUMMYFUNCTION("""COMPUTED_VALUE"""),62)</f>
        <v>62</v>
      </c>
      <c r="AE703" s="5">
        <f ca="1">IFERROR(__xludf.DUMMYFUNCTION("""COMPUTED_VALUE"""),62)</f>
        <v>62</v>
      </c>
      <c r="AF703" s="5" t="b">
        <f ca="1">IFERROR(__xludf.DUMMYFUNCTION("""COMPUTED_VALUE"""),FALSE)</f>
        <v>0</v>
      </c>
      <c r="AG703" s="5" t="str">
        <f ca="1">IFERROR(__xludf.DUMMYFUNCTION("""COMPUTED_VALUE"""),"INSPECCIONES REALIZADAS")</f>
        <v>INSPECCIONES REALIZADAS</v>
      </c>
      <c r="AH703" s="5"/>
    </row>
    <row r="704" spans="1:34">
      <c r="A704" s="5" t="str">
        <f ca="1">IFERROR(__xludf.DUMMYFUNCTION("""COMPUTED_VALUE"""),"LINEA DE PRODUCCION DE BOTELLONES DE 20")</f>
        <v>LINEA DE PRODUCCION DE BOTELLONES DE 20</v>
      </c>
      <c r="B704" s="5">
        <f ca="1">IFERROR(__xludf.DUMMYFUNCTION("""COMPUTED_VALUE"""),719519)</f>
        <v>719519</v>
      </c>
      <c r="C704" s="5" t="str">
        <f ca="1">IFERROR(__xludf.DUMMYFUNCTION("""COMPUTED_VALUE"""),"LAVADORA DE HUACALES")</f>
        <v>LAVADORA DE HUACALES</v>
      </c>
      <c r="D704" s="5">
        <f ca="1">IFERROR(__xludf.DUMMYFUNCTION("""COMPUTED_VALUE"""),13247681)</f>
        <v>13247681</v>
      </c>
      <c r="E704" s="5" t="str">
        <f ca="1">IFERROR(__xludf.DUMMYFUNCTION("""COMPUTED_VALUE"""),"INSPECCION SEMANAL LAVADORA DE HUACALES")</f>
        <v>INSPECCION SEMANAL LAVADORA DE HUACALES</v>
      </c>
      <c r="F704" s="5" t="str">
        <f ca="1">IFERROR(__xludf.DUMMYFUNCTION("""COMPUTED_VALUE"""),"FUNC BOMBA LAVADO-ENJUAGUE")</f>
        <v>FUNC BOMBA LAVADO-ENJUAGUE</v>
      </c>
      <c r="G704" s="5" t="b">
        <f ca="1">IFERROR(__xludf.DUMMYFUNCTION("""COMPUTED_VALUE"""),TRUE)</f>
        <v>1</v>
      </c>
      <c r="H704" s="5"/>
      <c r="I704" s="5"/>
      <c r="J704" s="5">
        <f ca="1">IFERROR(__xludf.DUMMYFUNCTION("""COMPUTED_VALUE"""),13247681)</f>
        <v>13247681</v>
      </c>
      <c r="K704" s="5"/>
      <c r="L704" s="18">
        <f ca="1">IFERROR(__xludf.DUMMYFUNCTION("""COMPUTED_VALUE"""),45324)</f>
        <v>45324</v>
      </c>
      <c r="M704" s="18">
        <f ca="1">IFERROR(__xludf.DUMMYFUNCTION("""COMPUTED_VALUE"""),45324)</f>
        <v>45324</v>
      </c>
      <c r="N704" s="5" t="str">
        <f ca="1">IFERROR(__xludf.DUMMYFUNCTION("""COMPUTED_VALUE"""),"Víctor David Burbano Gómez")</f>
        <v>Víctor David Burbano Gómez</v>
      </c>
      <c r="O704" s="2">
        <f ca="1">IFERROR(__xludf.DUMMYFUNCTION("""COMPUTED_VALUE"""),0.0125)</f>
        <v>1.2500000000000001E-2</v>
      </c>
      <c r="P704" s="5">
        <f ca="1">IFERROR(__xludf.DUMMYFUNCTION("""COMPUTED_VALUE"""),20065447)</f>
        <v>20065447</v>
      </c>
      <c r="Q704" s="5" t="str">
        <f ca="1">IFERROR(__xludf.DUMMYFUNCTION("""COMPUTED_VALUE"""),"D0XRXKkqL30")</f>
        <v>D0XRXKkqL30</v>
      </c>
      <c r="R704" s="5">
        <f ca="1">IFERROR(__xludf.DUMMYFUNCTION("""COMPUTED_VALUE"""),410)</f>
        <v>410</v>
      </c>
      <c r="S704" s="62">
        <f ca="1">IFERROR(__xludf.DUMMYFUNCTION("""COMPUTED_VALUE"""),0.0125)</f>
        <v>1.2500000000000001E-2</v>
      </c>
      <c r="T704" s="63" t="str">
        <f ca="1">IFERROR(__xludf.DUMMYFUNCTION("""COMPUTED_VALUE"""),"https://storage.googleapis.com/glide-prod.appspot.com/uploads-v2/ly7o78grxPaC6KdgvbpS/pub/3aRdSog0vUtuqPE8AJKD.png")</f>
        <v>https://storage.googleapis.com/glide-prod.appspot.com/uploads-v2/ly7o78grxPaC6KdgvbpS/pub/3aRdSog0vUtuqPE8AJKD.png</v>
      </c>
      <c r="U704" s="5" t="str">
        <f ca="1">IFERROR(__xludf.DUMMYFUNCTION("""COMPUTED_VALUE"""),"LINEA DE PRODUCCION DE BOTELLONES DE 20LAVADORA DE HUACALES")</f>
        <v>LINEA DE PRODUCCION DE BOTELLONES DE 20LAVADORA DE HUACALES</v>
      </c>
      <c r="V704" s="5"/>
      <c r="W704" s="5" t="b">
        <f ca="1">IFERROR(__xludf.DUMMYFUNCTION("""COMPUTED_VALUE"""),TRUE)</f>
        <v>1</v>
      </c>
      <c r="X704" s="5" t="str">
        <f ca="1">IFERROR(__xludf.DUMMYFUNCTION("""COMPUTED_VALUE"""),"achavezi@postobon.com.co,aprmttoyu@postobon.com.co,aprmyu@postobon.com.co,wmora@postobon.com.co,efzapata@postobon.com.co")</f>
        <v>achavezi@postobon.com.co,aprmttoyu@postobon.com.co,aprmyu@postobon.com.co,wmora@postobon.com.co,efzapata@postobon.com.co</v>
      </c>
      <c r="Y704" s="5" t="str">
        <f ca="1">IFERROR(__xludf.DUMMYFUNCTION("""COMPUTED_VALUE"""),"achavezi@postobon.com.co")</f>
        <v>achavezi@postobon.com.co</v>
      </c>
      <c r="Z704" s="5" t="str">
        <f ca="1">IFERROR(__xludf.DUMMYFUNCTION("""COMPUTED_VALUE"""),"E4-1RgP4SyK4LVsiUEEqoA")</f>
        <v>E4-1RgP4SyK4LVsiUEEqoA</v>
      </c>
      <c r="AA704" s="5"/>
      <c r="AB704" s="5"/>
      <c r="AC704" s="5"/>
      <c r="AD704" s="5">
        <f ca="1">IFERROR(__xludf.DUMMYFUNCTION("""COMPUTED_VALUE"""),62)</f>
        <v>62</v>
      </c>
      <c r="AE704" s="5">
        <f ca="1">IFERROR(__xludf.DUMMYFUNCTION("""COMPUTED_VALUE"""),62)</f>
        <v>62</v>
      </c>
      <c r="AF704" s="5" t="b">
        <f ca="1">IFERROR(__xludf.DUMMYFUNCTION("""COMPUTED_VALUE"""),FALSE)</f>
        <v>0</v>
      </c>
      <c r="AG704" s="5" t="str">
        <f ca="1">IFERROR(__xludf.DUMMYFUNCTION("""COMPUTED_VALUE"""),"INSPECCIONES REALIZADAS")</f>
        <v>INSPECCIONES REALIZADAS</v>
      </c>
      <c r="AH704" s="5"/>
    </row>
    <row r="705" spans="1:34">
      <c r="A705" s="5" t="str">
        <f ca="1">IFERROR(__xludf.DUMMYFUNCTION("""COMPUTED_VALUE"""),"LINEA DE PRODUCCION DE BOTELLONES DE 20")</f>
        <v>LINEA DE PRODUCCION DE BOTELLONES DE 20</v>
      </c>
      <c r="B705" s="5">
        <f ca="1">IFERROR(__xludf.DUMMYFUNCTION("""COMPUTED_VALUE"""),719519)</f>
        <v>719519</v>
      </c>
      <c r="C705" s="5" t="str">
        <f ca="1">IFERROR(__xludf.DUMMYFUNCTION("""COMPUTED_VALUE"""),"LAVADORA DE HUACALES")</f>
        <v>LAVADORA DE HUACALES</v>
      </c>
      <c r="D705" s="5">
        <f ca="1">IFERROR(__xludf.DUMMYFUNCTION("""COMPUTED_VALUE"""),13247681)</f>
        <v>13247681</v>
      </c>
      <c r="E705" s="5" t="str">
        <f ca="1">IFERROR(__xludf.DUMMYFUNCTION("""COMPUTED_VALUE"""),"INSPECCION SEMANAL LAVADORA DE HUACALES")</f>
        <v>INSPECCION SEMANAL LAVADORA DE HUACALES</v>
      </c>
      <c r="F705" s="5" t="str">
        <f ca="1">IFERROR(__xludf.DUMMYFUNCTION("""COMPUTED_VALUE"""),"INSP FUGA FLUIDOS")</f>
        <v>INSP FUGA FLUIDOS</v>
      </c>
      <c r="G705" s="5" t="b">
        <f ca="1">IFERROR(__xludf.DUMMYFUNCTION("""COMPUTED_VALUE"""),TRUE)</f>
        <v>1</v>
      </c>
      <c r="H705" s="5"/>
      <c r="I705" s="5"/>
      <c r="J705" s="5">
        <f ca="1">IFERROR(__xludf.DUMMYFUNCTION("""COMPUTED_VALUE"""),13247681)</f>
        <v>13247681</v>
      </c>
      <c r="K705" s="5"/>
      <c r="L705" s="18">
        <f ca="1">IFERROR(__xludf.DUMMYFUNCTION("""COMPUTED_VALUE"""),45324)</f>
        <v>45324</v>
      </c>
      <c r="M705" s="18">
        <f ca="1">IFERROR(__xludf.DUMMYFUNCTION("""COMPUTED_VALUE"""),45324)</f>
        <v>45324</v>
      </c>
      <c r="N705" s="5" t="str">
        <f ca="1">IFERROR(__xludf.DUMMYFUNCTION("""COMPUTED_VALUE"""),"Víctor David Burbano Gómez")</f>
        <v>Víctor David Burbano Gómez</v>
      </c>
      <c r="O705" s="2">
        <f ca="1">IFERROR(__xludf.DUMMYFUNCTION("""COMPUTED_VALUE"""),0.0125)</f>
        <v>1.2500000000000001E-2</v>
      </c>
      <c r="P705" s="5">
        <f ca="1">IFERROR(__xludf.DUMMYFUNCTION("""COMPUTED_VALUE"""),20065447)</f>
        <v>20065447</v>
      </c>
      <c r="Q705" s="5" t="str">
        <f ca="1">IFERROR(__xludf.DUMMYFUNCTION("""COMPUTED_VALUE"""),"A0m_QxcqcJc")</f>
        <v>A0m_QxcqcJc</v>
      </c>
      <c r="R705" s="5">
        <f ca="1">IFERROR(__xludf.DUMMYFUNCTION("""COMPUTED_VALUE"""),410)</f>
        <v>410</v>
      </c>
      <c r="S705" s="62">
        <f ca="1">IFERROR(__xludf.DUMMYFUNCTION("""COMPUTED_VALUE"""),0.0125)</f>
        <v>1.2500000000000001E-2</v>
      </c>
      <c r="T705" s="63" t="str">
        <f ca="1">IFERROR(__xludf.DUMMYFUNCTION("""COMPUTED_VALUE"""),"https://storage.googleapis.com/glide-prod.appspot.com/uploads-v2/ly7o78grxPaC6KdgvbpS/pub/3aRdSog0vUtuqPE8AJKD.png")</f>
        <v>https://storage.googleapis.com/glide-prod.appspot.com/uploads-v2/ly7o78grxPaC6KdgvbpS/pub/3aRdSog0vUtuqPE8AJKD.png</v>
      </c>
      <c r="U705" s="5" t="str">
        <f ca="1">IFERROR(__xludf.DUMMYFUNCTION("""COMPUTED_VALUE"""),"LINEA DE PRODUCCION DE BOTELLONES DE 20LAVADORA DE HUACALES")</f>
        <v>LINEA DE PRODUCCION DE BOTELLONES DE 20LAVADORA DE HUACALES</v>
      </c>
      <c r="V705" s="5"/>
      <c r="W705" s="5" t="b">
        <f ca="1">IFERROR(__xludf.DUMMYFUNCTION("""COMPUTED_VALUE"""),TRUE)</f>
        <v>1</v>
      </c>
      <c r="X705" s="5" t="str">
        <f ca="1">IFERROR(__xludf.DUMMYFUNCTION("""COMPUTED_VALUE"""),"achavezi@postobon.com.co,aprmttoyu@postobon.com.co,aprmyu@postobon.com.co,wmora@postobon.com.co,efzapata@postobon.com.co")</f>
        <v>achavezi@postobon.com.co,aprmttoyu@postobon.com.co,aprmyu@postobon.com.co,wmora@postobon.com.co,efzapata@postobon.com.co</v>
      </c>
      <c r="Y705" s="5" t="str">
        <f ca="1">IFERROR(__xludf.DUMMYFUNCTION("""COMPUTED_VALUE"""),"achavezi@postobon.com.co")</f>
        <v>achavezi@postobon.com.co</v>
      </c>
      <c r="Z705" s="5" t="str">
        <f ca="1">IFERROR(__xludf.DUMMYFUNCTION("""COMPUTED_VALUE"""),"XOaAQFeVSaa5-rgbPLxE7w")</f>
        <v>XOaAQFeVSaa5-rgbPLxE7w</v>
      </c>
      <c r="AA705" s="5"/>
      <c r="AB705" s="5"/>
      <c r="AC705" s="5"/>
      <c r="AD705" s="5">
        <f ca="1">IFERROR(__xludf.DUMMYFUNCTION("""COMPUTED_VALUE"""),62)</f>
        <v>62</v>
      </c>
      <c r="AE705" s="5">
        <f ca="1">IFERROR(__xludf.DUMMYFUNCTION("""COMPUTED_VALUE"""),62)</f>
        <v>62</v>
      </c>
      <c r="AF705" s="5" t="b">
        <f ca="1">IFERROR(__xludf.DUMMYFUNCTION("""COMPUTED_VALUE"""),FALSE)</f>
        <v>0</v>
      </c>
      <c r="AG705" s="5" t="str">
        <f ca="1">IFERROR(__xludf.DUMMYFUNCTION("""COMPUTED_VALUE"""),"INSPECCIONES REALIZADAS")</f>
        <v>INSPECCIONES REALIZADAS</v>
      </c>
      <c r="AH705" s="5"/>
    </row>
    <row r="706" spans="1:34">
      <c r="A706" s="5" t="str">
        <f ca="1">IFERROR(__xludf.DUMMYFUNCTION("""COMPUTED_VALUE"""),"LINEA DE PRODUCCION DE BOTELLONES DE 20")</f>
        <v>LINEA DE PRODUCCION DE BOTELLONES DE 20</v>
      </c>
      <c r="B706" s="5">
        <f ca="1">IFERROR(__xludf.DUMMYFUNCTION("""COMPUTED_VALUE"""),719519)</f>
        <v>719519</v>
      </c>
      <c r="C706" s="5" t="str">
        <f ca="1">IFERROR(__xludf.DUMMYFUNCTION("""COMPUTED_VALUE"""),"LAVADORA DE HUACALES")</f>
        <v>LAVADORA DE HUACALES</v>
      </c>
      <c r="D706" s="5">
        <f ca="1">IFERROR(__xludf.DUMMYFUNCTION("""COMPUTED_VALUE"""),13247681)</f>
        <v>13247681</v>
      </c>
      <c r="E706" s="5" t="str">
        <f ca="1">IFERROR(__xludf.DUMMYFUNCTION("""COMPUTED_VALUE"""),"INSPECCION SEMANAL LAVADORA DE HUACALES")</f>
        <v>INSPECCION SEMANAL LAVADORA DE HUACALES</v>
      </c>
      <c r="F706" s="5" t="str">
        <f ca="1">IFERROR(__xludf.DUMMYFUNCTION("""COMPUTED_VALUE"""),"ESTADO MALLAS TANQUES")</f>
        <v>ESTADO MALLAS TANQUES</v>
      </c>
      <c r="G706" s="5" t="b">
        <f ca="1">IFERROR(__xludf.DUMMYFUNCTION("""COMPUTED_VALUE"""),TRUE)</f>
        <v>1</v>
      </c>
      <c r="H706" s="5"/>
      <c r="I706" s="5"/>
      <c r="J706" s="5">
        <f ca="1">IFERROR(__xludf.DUMMYFUNCTION("""COMPUTED_VALUE"""),13247681)</f>
        <v>13247681</v>
      </c>
      <c r="K706" s="5"/>
      <c r="L706" s="18">
        <f ca="1">IFERROR(__xludf.DUMMYFUNCTION("""COMPUTED_VALUE"""),45324)</f>
        <v>45324</v>
      </c>
      <c r="M706" s="18">
        <f ca="1">IFERROR(__xludf.DUMMYFUNCTION("""COMPUTED_VALUE"""),45324)</f>
        <v>45324</v>
      </c>
      <c r="N706" s="5" t="str">
        <f ca="1">IFERROR(__xludf.DUMMYFUNCTION("""COMPUTED_VALUE"""),"Víctor David Burbano Gómez")</f>
        <v>Víctor David Burbano Gómez</v>
      </c>
      <c r="O706" s="2">
        <f ca="1">IFERROR(__xludf.DUMMYFUNCTION("""COMPUTED_VALUE"""),0.0125)</f>
        <v>1.2500000000000001E-2</v>
      </c>
      <c r="P706" s="5">
        <f ca="1">IFERROR(__xludf.DUMMYFUNCTION("""COMPUTED_VALUE"""),20065447)</f>
        <v>20065447</v>
      </c>
      <c r="Q706" s="5" t="str">
        <f ca="1">IFERROR(__xludf.DUMMYFUNCTION("""COMPUTED_VALUE"""),"IqmoSZrTqgc")</f>
        <v>IqmoSZrTqgc</v>
      </c>
      <c r="R706" s="5">
        <f ca="1">IFERROR(__xludf.DUMMYFUNCTION("""COMPUTED_VALUE"""),410)</f>
        <v>410</v>
      </c>
      <c r="S706" s="62">
        <f ca="1">IFERROR(__xludf.DUMMYFUNCTION("""COMPUTED_VALUE"""),0.0125)</f>
        <v>1.2500000000000001E-2</v>
      </c>
      <c r="T706" s="63" t="str">
        <f ca="1">IFERROR(__xludf.DUMMYFUNCTION("""COMPUTED_VALUE"""),"https://storage.googleapis.com/glide-prod.appspot.com/uploads-v2/ly7o78grxPaC6KdgvbpS/pub/3aRdSog0vUtuqPE8AJKD.png")</f>
        <v>https://storage.googleapis.com/glide-prod.appspot.com/uploads-v2/ly7o78grxPaC6KdgvbpS/pub/3aRdSog0vUtuqPE8AJKD.png</v>
      </c>
      <c r="U706" s="5" t="str">
        <f ca="1">IFERROR(__xludf.DUMMYFUNCTION("""COMPUTED_VALUE"""),"LINEA DE PRODUCCION DE BOTELLONES DE 20LAVADORA DE HUACALES")</f>
        <v>LINEA DE PRODUCCION DE BOTELLONES DE 20LAVADORA DE HUACALES</v>
      </c>
      <c r="V706" s="5"/>
      <c r="W706" s="5" t="b">
        <f ca="1">IFERROR(__xludf.DUMMYFUNCTION("""COMPUTED_VALUE"""),TRUE)</f>
        <v>1</v>
      </c>
      <c r="X706" s="5" t="str">
        <f ca="1">IFERROR(__xludf.DUMMYFUNCTION("""COMPUTED_VALUE"""),"achavezi@postobon.com.co,aprmttoyu@postobon.com.co,aprmyu@postobon.com.co,wmora@postobon.com.co,efzapata@postobon.com.co")</f>
        <v>achavezi@postobon.com.co,aprmttoyu@postobon.com.co,aprmyu@postobon.com.co,wmora@postobon.com.co,efzapata@postobon.com.co</v>
      </c>
      <c r="Y706" s="5" t="str">
        <f ca="1">IFERROR(__xludf.DUMMYFUNCTION("""COMPUTED_VALUE"""),"achavezi@postobon.com.co")</f>
        <v>achavezi@postobon.com.co</v>
      </c>
      <c r="Z706" s="5" t="str">
        <f ca="1">IFERROR(__xludf.DUMMYFUNCTION("""COMPUTED_VALUE"""),"kHF4TUHrQCmQlRjMAwts3g")</f>
        <v>kHF4TUHrQCmQlRjMAwts3g</v>
      </c>
      <c r="AA706" s="5"/>
      <c r="AB706" s="5"/>
      <c r="AC706" s="5"/>
      <c r="AD706" s="5">
        <f ca="1">IFERROR(__xludf.DUMMYFUNCTION("""COMPUTED_VALUE"""),62)</f>
        <v>62</v>
      </c>
      <c r="AE706" s="5">
        <f ca="1">IFERROR(__xludf.DUMMYFUNCTION("""COMPUTED_VALUE"""),62)</f>
        <v>62</v>
      </c>
      <c r="AF706" s="5" t="b">
        <f ca="1">IFERROR(__xludf.DUMMYFUNCTION("""COMPUTED_VALUE"""),FALSE)</f>
        <v>0</v>
      </c>
      <c r="AG706" s="5" t="str">
        <f ca="1">IFERROR(__xludf.DUMMYFUNCTION("""COMPUTED_VALUE"""),"INSPECCIONES REALIZADAS")</f>
        <v>INSPECCIONES REALIZADAS</v>
      </c>
      <c r="AH706" s="5"/>
    </row>
    <row r="707" spans="1:34">
      <c r="A707" s="5" t="str">
        <f ca="1">IFERROR(__xludf.DUMMYFUNCTION("""COMPUTED_VALUE"""),"LINEA DE ENVASADO JUGOS PET HOT FILL")</f>
        <v>LINEA DE ENVASADO JUGOS PET HOT FILL</v>
      </c>
      <c r="B707" s="5">
        <f ca="1">IFERROR(__xludf.DUMMYFUNCTION("""COMPUTED_VALUE"""),900301)</f>
        <v>900301</v>
      </c>
      <c r="C707" s="5" t="str">
        <f ca="1">IFERROR(__xludf.DUMMYFUNCTION("""COMPUTED_VALUE"""),"LIMPIEZA (CIP)")</f>
        <v>LIMPIEZA (CIP)</v>
      </c>
      <c r="D707" s="5">
        <f ca="1">IFERROR(__xludf.DUMMYFUNCTION("""COMPUTED_VALUE"""),13247765)</f>
        <v>13247765</v>
      </c>
      <c r="E707" s="5" t="str">
        <f ca="1">IFERROR(__xludf.DUMMYFUNCTION("""COMPUTED_VALUE"""),"INSPECCION SEMANAL LIMPIEZA (CIP)")</f>
        <v>INSPECCION SEMANAL LIMPIEZA (CIP)</v>
      </c>
      <c r="F707" s="5" t="str">
        <f ca="1">IFERROR(__xludf.DUMMYFUNCTION("""COMPUTED_VALUE"""),"INSPECCION FUGAS DE PRODUCTO")</f>
        <v>INSPECCION FUGAS DE PRODUCTO</v>
      </c>
      <c r="G707" s="5"/>
      <c r="H707" s="5"/>
      <c r="I707" s="5"/>
      <c r="J707" s="5"/>
      <c r="K707" s="5"/>
      <c r="L707" s="18">
        <f ca="1">IFERROR(__xludf.DUMMYFUNCTION("""COMPUTED_VALUE"""),45325)</f>
        <v>45325</v>
      </c>
      <c r="M707" s="18">
        <f ca="1">IFERROR(__xludf.DUMMYFUNCTION("""COMPUTED_VALUE"""),45325)</f>
        <v>45325</v>
      </c>
      <c r="N707" s="5" t="str">
        <f ca="1">IFERROR(__xludf.DUMMYFUNCTION("""COMPUTED_VALUE"""),"Jhonnys Arturo Fernández Suarez")</f>
        <v>Jhonnys Arturo Fernández Suarez</v>
      </c>
      <c r="O707" s="2">
        <f ca="1">IFERROR(__xludf.DUMMYFUNCTION("""COMPUTED_VALUE"""),0.033333333)</f>
        <v>3.3333333E-2</v>
      </c>
      <c r="P707" s="5"/>
      <c r="Q707" s="5" t="str">
        <f ca="1">IFERROR(__xludf.DUMMYFUNCTION("""COMPUTED_VALUE"""),"q7jDKSADV-0")</f>
        <v>q7jDKSADV-0</v>
      </c>
      <c r="R707" s="5">
        <f ca="1">IFERROR(__xludf.DUMMYFUNCTION("""COMPUTED_VALUE"""),410)</f>
        <v>410</v>
      </c>
      <c r="S707" s="62">
        <f ca="1">IFERROR(__xludf.DUMMYFUNCTION("""COMPUTED_VALUE"""),0.033333333)</f>
        <v>3.3333333E-2</v>
      </c>
      <c r="T707" s="63" t="str">
        <f ca="1">IFERROR(__xludf.DUMMYFUNCTION("""COMPUTED_VALUE"""),"https://storage.googleapis.com/glide-prod.appspot.com/uploads-v2/ly7o78grxPaC6KdgvbpS/pub/UliJWgpEaBovaFmXi6OW.png")</f>
        <v>https://storage.googleapis.com/glide-prod.appspot.com/uploads-v2/ly7o78grxPaC6KdgvbpS/pub/UliJWgpEaBovaFmXi6OW.png</v>
      </c>
      <c r="U707" s="5" t="str">
        <f ca="1">IFERROR(__xludf.DUMMYFUNCTION("""COMPUTED_VALUE"""),"LINEA DE ENVASADO JUGOS PET HOT FILLLIMPIEZA (CIP)")</f>
        <v>LINEA DE ENVASADO JUGOS PET HOT FILLLIMPIEZA (CIP)</v>
      </c>
      <c r="V707" s="5"/>
      <c r="W707" s="5"/>
      <c r="X707" s="5" t="str">
        <f ca="1">IFERROR(__xludf.DUMMYFUNCTION("""COMPUTED_VALUE"""),"achavezi@postobon.com.co,aprmttoyu@postobon.com.co,aprmyu@postobon.com.co,wmora@postobon.com.co,efzapata@postobon.com.co")</f>
        <v>achavezi@postobon.com.co,aprmttoyu@postobon.com.co,aprmyu@postobon.com.co,wmora@postobon.com.co,efzapata@postobon.com.co</v>
      </c>
      <c r="Y707" s="5" t="str">
        <f ca="1">IFERROR(__xludf.DUMMYFUNCTION("""COMPUTED_VALUE"""),"achavezi@postobon.com.co")</f>
        <v>achavezi@postobon.com.co</v>
      </c>
      <c r="Z707" s="5" t="str">
        <f ca="1">IFERROR(__xludf.DUMMYFUNCTION("""COMPUTED_VALUE"""),"Rj4yrEfVRk2Dkcu545N0SQ")</f>
        <v>Rj4yrEfVRk2Dkcu545N0SQ</v>
      </c>
      <c r="AA707" s="5"/>
      <c r="AB707" s="5"/>
      <c r="AC707" s="5"/>
      <c r="AD707" s="5">
        <f ca="1">IFERROR(__xludf.DUMMYFUNCTION("""COMPUTED_VALUE"""),27)</f>
        <v>27</v>
      </c>
      <c r="AE707" s="5">
        <f ca="1">IFERROR(__xludf.DUMMYFUNCTION("""COMPUTED_VALUE"""),5)</f>
        <v>5</v>
      </c>
      <c r="AF707" s="5" t="b">
        <f ca="1">IFERROR(__xludf.DUMMYFUNCTION("""COMPUTED_VALUE"""),TRUE)</f>
        <v>1</v>
      </c>
      <c r="AG707" s="5" t="str">
        <f ca="1">IFERROR(__xludf.DUMMYFUNCTION("""COMPUTED_VALUE"""),"INSPECCIONES SIN REALIZAR")</f>
        <v>INSPECCIONES SIN REALIZAR</v>
      </c>
      <c r="AH707" s="5"/>
    </row>
    <row r="708" spans="1:34">
      <c r="A708" s="5" t="str">
        <f ca="1">IFERROR(__xludf.DUMMYFUNCTION("""COMPUTED_VALUE"""),"LINEA DE ENVASADO JUGOS PET HOT FILL")</f>
        <v>LINEA DE ENVASADO JUGOS PET HOT FILL</v>
      </c>
      <c r="B708" s="5">
        <f ca="1">IFERROR(__xludf.DUMMYFUNCTION("""COMPUTED_VALUE"""),900301)</f>
        <v>900301</v>
      </c>
      <c r="C708" s="5" t="str">
        <f ca="1">IFERROR(__xludf.DUMMYFUNCTION("""COMPUTED_VALUE"""),"LIMPIEZA (CIP)")</f>
        <v>LIMPIEZA (CIP)</v>
      </c>
      <c r="D708" s="5">
        <f ca="1">IFERROR(__xludf.DUMMYFUNCTION("""COMPUTED_VALUE"""),13247765)</f>
        <v>13247765</v>
      </c>
      <c r="E708" s="5" t="str">
        <f ca="1">IFERROR(__xludf.DUMMYFUNCTION("""COMPUTED_VALUE"""),"INSPECCION SEMANAL LIMPIEZA (CIP)")</f>
        <v>INSPECCION SEMANAL LIMPIEZA (CIP)</v>
      </c>
      <c r="F708" s="5" t="str">
        <f ca="1">IFERROR(__xludf.DUMMYFUNCTION("""COMPUTED_VALUE"""),"ESTADO BOMBAS DOSIFICADORAS")</f>
        <v>ESTADO BOMBAS DOSIFICADORAS</v>
      </c>
      <c r="G708" s="5"/>
      <c r="H708" s="5"/>
      <c r="I708" s="5"/>
      <c r="J708" s="5"/>
      <c r="K708" s="5"/>
      <c r="L708" s="18">
        <f ca="1">IFERROR(__xludf.DUMMYFUNCTION("""COMPUTED_VALUE"""),45325)</f>
        <v>45325</v>
      </c>
      <c r="M708" s="18">
        <f ca="1">IFERROR(__xludf.DUMMYFUNCTION("""COMPUTED_VALUE"""),45325)</f>
        <v>45325</v>
      </c>
      <c r="N708" s="5" t="str">
        <f ca="1">IFERROR(__xludf.DUMMYFUNCTION("""COMPUTED_VALUE"""),"Jhonnys Arturo Fernández Suarez")</f>
        <v>Jhonnys Arturo Fernández Suarez</v>
      </c>
      <c r="O708" s="2">
        <f ca="1">IFERROR(__xludf.DUMMYFUNCTION("""COMPUTED_VALUE"""),0.033333333)</f>
        <v>3.3333333E-2</v>
      </c>
      <c r="P708" s="5"/>
      <c r="Q708" s="5" t="str">
        <f ca="1">IFERROR(__xludf.DUMMYFUNCTION("""COMPUTED_VALUE"""),"vSmiZiiB1bU")</f>
        <v>vSmiZiiB1bU</v>
      </c>
      <c r="R708" s="5">
        <f ca="1">IFERROR(__xludf.DUMMYFUNCTION("""COMPUTED_VALUE"""),410)</f>
        <v>410</v>
      </c>
      <c r="S708" s="62">
        <f ca="1">IFERROR(__xludf.DUMMYFUNCTION("""COMPUTED_VALUE"""),0.033333333)</f>
        <v>3.3333333E-2</v>
      </c>
      <c r="T708" s="63" t="str">
        <f ca="1">IFERROR(__xludf.DUMMYFUNCTION("""COMPUTED_VALUE"""),"https://storage.googleapis.com/glide-prod.appspot.com/uploads-v2/ly7o78grxPaC6KdgvbpS/pub/UliJWgpEaBovaFmXi6OW.png")</f>
        <v>https://storage.googleapis.com/glide-prod.appspot.com/uploads-v2/ly7o78grxPaC6KdgvbpS/pub/UliJWgpEaBovaFmXi6OW.png</v>
      </c>
      <c r="U708" s="5" t="str">
        <f ca="1">IFERROR(__xludf.DUMMYFUNCTION("""COMPUTED_VALUE"""),"LINEA DE ENVASADO JUGOS PET HOT FILLLIMPIEZA (CIP)")</f>
        <v>LINEA DE ENVASADO JUGOS PET HOT FILLLIMPIEZA (CIP)</v>
      </c>
      <c r="V708" s="5"/>
      <c r="W708" s="5"/>
      <c r="X708" s="5" t="str">
        <f ca="1">IFERROR(__xludf.DUMMYFUNCTION("""COMPUTED_VALUE"""),"achavezi@postobon.com.co,aprmttoyu@postobon.com.co,aprmyu@postobon.com.co,wmora@postobon.com.co,efzapata@postobon.com.co")</f>
        <v>achavezi@postobon.com.co,aprmttoyu@postobon.com.co,aprmyu@postobon.com.co,wmora@postobon.com.co,efzapata@postobon.com.co</v>
      </c>
      <c r="Y708" s="5" t="str">
        <f ca="1">IFERROR(__xludf.DUMMYFUNCTION("""COMPUTED_VALUE"""),"achavezi@postobon.com.co")</f>
        <v>achavezi@postobon.com.co</v>
      </c>
      <c r="Z708" s="5" t="str">
        <f ca="1">IFERROR(__xludf.DUMMYFUNCTION("""COMPUTED_VALUE"""),"Zt241dSmT.Cs43U9TunPYw")</f>
        <v>Zt241dSmT.Cs43U9TunPYw</v>
      </c>
      <c r="AA708" s="5"/>
      <c r="AB708" s="5"/>
      <c r="AC708" s="5"/>
      <c r="AD708" s="5">
        <f ca="1">IFERROR(__xludf.DUMMYFUNCTION("""COMPUTED_VALUE"""),27)</f>
        <v>27</v>
      </c>
      <c r="AE708" s="5">
        <f ca="1">IFERROR(__xludf.DUMMYFUNCTION("""COMPUTED_VALUE"""),5)</f>
        <v>5</v>
      </c>
      <c r="AF708" s="5" t="b">
        <f ca="1">IFERROR(__xludf.DUMMYFUNCTION("""COMPUTED_VALUE"""),TRUE)</f>
        <v>1</v>
      </c>
      <c r="AG708" s="5" t="str">
        <f ca="1">IFERROR(__xludf.DUMMYFUNCTION("""COMPUTED_VALUE"""),"INSPECCIONES SIN REALIZAR")</f>
        <v>INSPECCIONES SIN REALIZAR</v>
      </c>
      <c r="AH708" s="5"/>
    </row>
    <row r="709" spans="1:34">
      <c r="A709" s="5" t="str">
        <f ca="1">IFERROR(__xludf.DUMMYFUNCTION("""COMPUTED_VALUE"""),"LINEA DE ENVASADO JUGOS PET HOT FILL")</f>
        <v>LINEA DE ENVASADO JUGOS PET HOT FILL</v>
      </c>
      <c r="B709" s="5">
        <f ca="1">IFERROR(__xludf.DUMMYFUNCTION("""COMPUTED_VALUE"""),900301)</f>
        <v>900301</v>
      </c>
      <c r="C709" s="5" t="str">
        <f ca="1">IFERROR(__xludf.DUMMYFUNCTION("""COMPUTED_VALUE"""),"LIMPIEZA (CIP)")</f>
        <v>LIMPIEZA (CIP)</v>
      </c>
      <c r="D709" s="5">
        <f ca="1">IFERROR(__xludf.DUMMYFUNCTION("""COMPUTED_VALUE"""),13247765)</f>
        <v>13247765</v>
      </c>
      <c r="E709" s="5" t="str">
        <f ca="1">IFERROR(__xludf.DUMMYFUNCTION("""COMPUTED_VALUE"""),"INSPECCION SEMANAL LIMPIEZA (CIP)")</f>
        <v>INSPECCION SEMANAL LIMPIEZA (CIP)</v>
      </c>
      <c r="F709" s="5" t="str">
        <f ca="1">IFERROR(__xludf.DUMMYFUNCTION("""COMPUTED_VALUE"""),"ESTADO VALVULAS")</f>
        <v>ESTADO VALVULAS</v>
      </c>
      <c r="G709" s="5"/>
      <c r="H709" s="5"/>
      <c r="I709" s="5"/>
      <c r="J709" s="5"/>
      <c r="K709" s="5"/>
      <c r="L709" s="18">
        <f ca="1">IFERROR(__xludf.DUMMYFUNCTION("""COMPUTED_VALUE"""),45325)</f>
        <v>45325</v>
      </c>
      <c r="M709" s="18">
        <f ca="1">IFERROR(__xludf.DUMMYFUNCTION("""COMPUTED_VALUE"""),45325)</f>
        <v>45325</v>
      </c>
      <c r="N709" s="5" t="str">
        <f ca="1">IFERROR(__xludf.DUMMYFUNCTION("""COMPUTED_VALUE"""),"Jhonnys Arturo Fernández Suarez")</f>
        <v>Jhonnys Arturo Fernández Suarez</v>
      </c>
      <c r="O709" s="2">
        <f ca="1">IFERROR(__xludf.DUMMYFUNCTION("""COMPUTED_VALUE"""),0.033333333)</f>
        <v>3.3333333E-2</v>
      </c>
      <c r="P709" s="5"/>
      <c r="Q709" s="5" t="str">
        <f ca="1">IFERROR(__xludf.DUMMYFUNCTION("""COMPUTED_VALUE"""),"3V69aeKTS4Y")</f>
        <v>3V69aeKTS4Y</v>
      </c>
      <c r="R709" s="5">
        <f ca="1">IFERROR(__xludf.DUMMYFUNCTION("""COMPUTED_VALUE"""),410)</f>
        <v>410</v>
      </c>
      <c r="S709" s="62">
        <f ca="1">IFERROR(__xludf.DUMMYFUNCTION("""COMPUTED_VALUE"""),0.033333333)</f>
        <v>3.3333333E-2</v>
      </c>
      <c r="T709" s="63" t="str">
        <f ca="1">IFERROR(__xludf.DUMMYFUNCTION("""COMPUTED_VALUE"""),"https://storage.googleapis.com/glide-prod.appspot.com/uploads-v2/ly7o78grxPaC6KdgvbpS/pub/UliJWgpEaBovaFmXi6OW.png")</f>
        <v>https://storage.googleapis.com/glide-prod.appspot.com/uploads-v2/ly7o78grxPaC6KdgvbpS/pub/UliJWgpEaBovaFmXi6OW.png</v>
      </c>
      <c r="U709" s="5" t="str">
        <f ca="1">IFERROR(__xludf.DUMMYFUNCTION("""COMPUTED_VALUE"""),"LINEA DE ENVASADO JUGOS PET HOT FILLLIMPIEZA (CIP)")</f>
        <v>LINEA DE ENVASADO JUGOS PET HOT FILLLIMPIEZA (CIP)</v>
      </c>
      <c r="V709" s="5"/>
      <c r="W709" s="5"/>
      <c r="X709" s="5" t="str">
        <f ca="1">IFERROR(__xludf.DUMMYFUNCTION("""COMPUTED_VALUE"""),"achavezi@postobon.com.co,aprmttoyu@postobon.com.co,aprmyu@postobon.com.co,wmora@postobon.com.co,efzapata@postobon.com.co")</f>
        <v>achavezi@postobon.com.co,aprmttoyu@postobon.com.co,aprmyu@postobon.com.co,wmora@postobon.com.co,efzapata@postobon.com.co</v>
      </c>
      <c r="Y709" s="5" t="str">
        <f ca="1">IFERROR(__xludf.DUMMYFUNCTION("""COMPUTED_VALUE"""),"achavezi@postobon.com.co")</f>
        <v>achavezi@postobon.com.co</v>
      </c>
      <c r="Z709" s="5" t="str">
        <f ca="1">IFERROR(__xludf.DUMMYFUNCTION("""COMPUTED_VALUE"""),"RtEe0zYSRoSwXxQLSZ7XmQ")</f>
        <v>RtEe0zYSRoSwXxQLSZ7XmQ</v>
      </c>
      <c r="AA709" s="5"/>
      <c r="AB709" s="5"/>
      <c r="AC709" s="5"/>
      <c r="AD709" s="5">
        <f ca="1">IFERROR(__xludf.DUMMYFUNCTION("""COMPUTED_VALUE"""),27)</f>
        <v>27</v>
      </c>
      <c r="AE709" s="5">
        <f ca="1">IFERROR(__xludf.DUMMYFUNCTION("""COMPUTED_VALUE"""),5)</f>
        <v>5</v>
      </c>
      <c r="AF709" s="5" t="b">
        <f ca="1">IFERROR(__xludf.DUMMYFUNCTION("""COMPUTED_VALUE"""),TRUE)</f>
        <v>1</v>
      </c>
      <c r="AG709" s="5" t="str">
        <f ca="1">IFERROR(__xludf.DUMMYFUNCTION("""COMPUTED_VALUE"""),"INSPECCIONES SIN REALIZAR")</f>
        <v>INSPECCIONES SIN REALIZAR</v>
      </c>
      <c r="AH709" s="5"/>
    </row>
    <row r="710" spans="1:34">
      <c r="A710" s="5" t="str">
        <f ca="1">IFERROR(__xludf.DUMMYFUNCTION("""COMPUTED_VALUE"""),"LINEA DE ENVASADO FAMILIAR Y PRB")</f>
        <v>LINEA DE ENVASADO FAMILIAR Y PRB</v>
      </c>
      <c r="B710" s="5">
        <f ca="1">IFERROR(__xludf.DUMMYFUNCTION("""COMPUTED_VALUE"""),510001)</f>
        <v>510001</v>
      </c>
      <c r="C710" s="5" t="str">
        <f ca="1">IFERROR(__xludf.DUMMYFUNCTION("""COMPUTED_VALUE"""),"LLENADORA")</f>
        <v>LLENADORA</v>
      </c>
      <c r="D710" s="5">
        <f ca="1">IFERROR(__xludf.DUMMYFUNCTION("""COMPUTED_VALUE"""),13247279)</f>
        <v>13247279</v>
      </c>
      <c r="E710" s="5" t="str">
        <f ca="1">IFERROR(__xludf.DUMMYFUNCTION("""COMPUTED_VALUE"""),"INSPECCION SEMANAL LLENADORA")</f>
        <v>INSPECCION SEMANAL LLENADORA</v>
      </c>
      <c r="F710" s="5" t="str">
        <f ca="1">IFERROR(__xludf.DUMMYFUNCTION("""COMPUTED_VALUE"""),"Fugas de aire, aceite o agua")</f>
        <v>Fugas de aire, aceite o agua</v>
      </c>
      <c r="G710" s="5" t="b">
        <f ca="1">IFERROR(__xludf.DUMMYFUNCTION("""COMPUTED_VALUE"""),TRUE)</f>
        <v>1</v>
      </c>
      <c r="H710" s="5"/>
      <c r="I710" s="5"/>
      <c r="J710" s="5">
        <f ca="1">IFERROR(__xludf.DUMMYFUNCTION("""COMPUTED_VALUE"""),13247279)</f>
        <v>13247279</v>
      </c>
      <c r="K710" s="5"/>
      <c r="L710" s="18">
        <f ca="1">IFERROR(__xludf.DUMMYFUNCTION("""COMPUTED_VALUE"""),45324)</f>
        <v>45324</v>
      </c>
      <c r="M710" s="18">
        <f ca="1">IFERROR(__xludf.DUMMYFUNCTION("""COMPUTED_VALUE"""),45324)</f>
        <v>45324</v>
      </c>
      <c r="N710" s="5" t="str">
        <f ca="1">IFERROR(__xludf.DUMMYFUNCTION("""COMPUTED_VALUE"""),"Poveda Jorge")</f>
        <v>Poveda Jorge</v>
      </c>
      <c r="O710" s="2">
        <f ca="1">IFERROR(__xludf.DUMMYFUNCTION("""COMPUTED_VALUE"""),0.043478261)</f>
        <v>4.3478260999999997E-2</v>
      </c>
      <c r="P710" s="5">
        <f ca="1">IFERROR(__xludf.DUMMYFUNCTION("""COMPUTED_VALUE"""),20038806)</f>
        <v>20038806</v>
      </c>
      <c r="Q710" s="5" t="str">
        <f ca="1">IFERROR(__xludf.DUMMYFUNCTION("""COMPUTED_VALUE"""),"k841VbztvDs")</f>
        <v>k841VbztvDs</v>
      </c>
      <c r="R710" s="5">
        <f ca="1">IFERROR(__xludf.DUMMYFUNCTION("""COMPUTED_VALUE"""),410)</f>
        <v>410</v>
      </c>
      <c r="S710" s="62">
        <f ca="1">IFERROR(__xludf.DUMMYFUNCTION("""COMPUTED_VALUE"""),0.043478261)</f>
        <v>4.3478260999999997E-2</v>
      </c>
      <c r="T710" s="63" t="str">
        <f ca="1">IFERROR(__xludf.DUMMYFUNCTION("""COMPUTED_VALUE"""),"https://storage.googleapis.com/glide-prod.appspot.com/uploads-v2/ly7o78grxPaC6KdgvbpS/pub/3aRdSog0vUtuqPE8AJKD.png")</f>
        <v>https://storage.googleapis.com/glide-prod.appspot.com/uploads-v2/ly7o78grxPaC6KdgvbpS/pub/3aRdSog0vUtuqPE8AJKD.png</v>
      </c>
      <c r="U710" s="5" t="str">
        <f ca="1">IFERROR(__xludf.DUMMYFUNCTION("""COMPUTED_VALUE"""),"LINEA DE ENVASADO FAMILIAR Y PRBLLENADORA")</f>
        <v>LINEA DE ENVASADO FAMILIAR Y PRBLLENADORA</v>
      </c>
      <c r="V710" s="5"/>
      <c r="W710" s="5" t="b">
        <f ca="1">IFERROR(__xludf.DUMMYFUNCTION("""COMPUTED_VALUE"""),TRUE)</f>
        <v>1</v>
      </c>
      <c r="X710" s="5" t="str">
        <f ca="1">IFERROR(__xludf.DUMMYFUNCTION("""COMPUTED_VALUE"""),"wguerra@postobon.com.co,aprmttoyu@postobon.com.co,aprmyu@postobon.com.co,wmora@postobon.com.co,efzapata@postobon.com.co")</f>
        <v>wguerra@postobon.com.co,aprmttoyu@postobon.com.co,aprmyu@postobon.com.co,wmora@postobon.com.co,efzapata@postobon.com.co</v>
      </c>
      <c r="Y710" s="5" t="str">
        <f ca="1">IFERROR(__xludf.DUMMYFUNCTION("""COMPUTED_VALUE"""),"wguerra@postobon.com.co")</f>
        <v>wguerra@postobon.com.co</v>
      </c>
      <c r="Z710" s="5" t="str">
        <f ca="1">IFERROR(__xludf.DUMMYFUNCTION("""COMPUTED_VALUE"""),"IdP7beDBQuqHAfIwOS2yjg")</f>
        <v>IdP7beDBQuqHAfIwOS2yjg</v>
      </c>
      <c r="AA710" s="5"/>
      <c r="AB710" s="5"/>
      <c r="AC710" s="5"/>
      <c r="AD710" s="5">
        <f ca="1">IFERROR(__xludf.DUMMYFUNCTION("""COMPUTED_VALUE"""),42)</f>
        <v>42</v>
      </c>
      <c r="AE710" s="5">
        <f ca="1">IFERROR(__xludf.DUMMYFUNCTION("""COMPUTED_VALUE"""),42)</f>
        <v>42</v>
      </c>
      <c r="AF710" s="5" t="b">
        <f ca="1">IFERROR(__xludf.DUMMYFUNCTION("""COMPUTED_VALUE"""),FALSE)</f>
        <v>0</v>
      </c>
      <c r="AG710" s="5" t="str">
        <f ca="1">IFERROR(__xludf.DUMMYFUNCTION("""COMPUTED_VALUE"""),"INSPECCIONES REALIZADAS")</f>
        <v>INSPECCIONES REALIZADAS</v>
      </c>
      <c r="AH710" s="5"/>
    </row>
    <row r="711" spans="1:34">
      <c r="A711" s="5" t="str">
        <f ca="1">IFERROR(__xludf.DUMMYFUNCTION("""COMPUTED_VALUE"""),"LINEA DE ENVASADO FAMILIAR Y PRB")</f>
        <v>LINEA DE ENVASADO FAMILIAR Y PRB</v>
      </c>
      <c r="B711" s="5">
        <f ca="1">IFERROR(__xludf.DUMMYFUNCTION("""COMPUTED_VALUE"""),510001)</f>
        <v>510001</v>
      </c>
      <c r="C711" s="5" t="str">
        <f ca="1">IFERROR(__xludf.DUMMYFUNCTION("""COMPUTED_VALUE"""),"LLENADORA")</f>
        <v>LLENADORA</v>
      </c>
      <c r="D711" s="5">
        <f ca="1">IFERROR(__xludf.DUMMYFUNCTION("""COMPUTED_VALUE"""),13247279)</f>
        <v>13247279</v>
      </c>
      <c r="E711" s="5" t="str">
        <f ca="1">IFERROR(__xludf.DUMMYFUNCTION("""COMPUTED_VALUE"""),"INSPECCION SEMANAL LLENADORA")</f>
        <v>INSPECCION SEMANAL LLENADORA</v>
      </c>
      <c r="F711" s="5" t="str">
        <f ca="1">IFERROR(__xludf.DUMMYFUNCTION("""COMPUTED_VALUE"""),"Estado de pistones elevadores")</f>
        <v>Estado de pistones elevadores</v>
      </c>
      <c r="G711" s="5" t="b">
        <f ca="1">IFERROR(__xludf.DUMMYFUNCTION("""COMPUTED_VALUE"""),TRUE)</f>
        <v>1</v>
      </c>
      <c r="H711" s="5"/>
      <c r="I711" s="5"/>
      <c r="J711" s="5">
        <f ca="1">IFERROR(__xludf.DUMMYFUNCTION("""COMPUTED_VALUE"""),13247279)</f>
        <v>13247279</v>
      </c>
      <c r="K711" s="5"/>
      <c r="L711" s="18">
        <f ca="1">IFERROR(__xludf.DUMMYFUNCTION("""COMPUTED_VALUE"""),45324)</f>
        <v>45324</v>
      </c>
      <c r="M711" s="18">
        <f ca="1">IFERROR(__xludf.DUMMYFUNCTION("""COMPUTED_VALUE"""),45324)</f>
        <v>45324</v>
      </c>
      <c r="N711" s="5" t="str">
        <f ca="1">IFERROR(__xludf.DUMMYFUNCTION("""COMPUTED_VALUE"""),"Poveda Jorge")</f>
        <v>Poveda Jorge</v>
      </c>
      <c r="O711" s="2">
        <f ca="1">IFERROR(__xludf.DUMMYFUNCTION("""COMPUTED_VALUE"""),0.043478261)</f>
        <v>4.3478260999999997E-2</v>
      </c>
      <c r="P711" s="5">
        <f ca="1">IFERROR(__xludf.DUMMYFUNCTION("""COMPUTED_VALUE"""),20038806)</f>
        <v>20038806</v>
      </c>
      <c r="Q711" s="5" t="str">
        <f ca="1">IFERROR(__xludf.DUMMYFUNCTION("""COMPUTED_VALUE"""),"lYR0vfai9Ww")</f>
        <v>lYR0vfai9Ww</v>
      </c>
      <c r="R711" s="5">
        <f ca="1">IFERROR(__xludf.DUMMYFUNCTION("""COMPUTED_VALUE"""),410)</f>
        <v>410</v>
      </c>
      <c r="S711" s="62">
        <f ca="1">IFERROR(__xludf.DUMMYFUNCTION("""COMPUTED_VALUE"""),0.043478261)</f>
        <v>4.3478260999999997E-2</v>
      </c>
      <c r="T711" s="63" t="str">
        <f ca="1">IFERROR(__xludf.DUMMYFUNCTION("""COMPUTED_VALUE"""),"https://storage.googleapis.com/glide-prod.appspot.com/uploads-v2/ly7o78grxPaC6KdgvbpS/pub/3aRdSog0vUtuqPE8AJKD.png")</f>
        <v>https://storage.googleapis.com/glide-prod.appspot.com/uploads-v2/ly7o78grxPaC6KdgvbpS/pub/3aRdSog0vUtuqPE8AJKD.png</v>
      </c>
      <c r="U711" s="5" t="str">
        <f ca="1">IFERROR(__xludf.DUMMYFUNCTION("""COMPUTED_VALUE"""),"LINEA DE ENVASADO FAMILIAR Y PRBLLENADORA")</f>
        <v>LINEA DE ENVASADO FAMILIAR Y PRBLLENADORA</v>
      </c>
      <c r="V711" s="5"/>
      <c r="W711" s="5" t="b">
        <f ca="1">IFERROR(__xludf.DUMMYFUNCTION("""COMPUTED_VALUE"""),TRUE)</f>
        <v>1</v>
      </c>
      <c r="X711" s="5" t="str">
        <f ca="1">IFERROR(__xludf.DUMMYFUNCTION("""COMPUTED_VALUE"""),"wguerra@postobon.com.co,aprmttoyu@postobon.com.co,aprmyu@postobon.com.co,wmora@postobon.com.co,efzapata@postobon.com.co")</f>
        <v>wguerra@postobon.com.co,aprmttoyu@postobon.com.co,aprmyu@postobon.com.co,wmora@postobon.com.co,efzapata@postobon.com.co</v>
      </c>
      <c r="Y711" s="5" t="str">
        <f ca="1">IFERROR(__xludf.DUMMYFUNCTION("""COMPUTED_VALUE"""),"wguerra@postobon.com.co")</f>
        <v>wguerra@postobon.com.co</v>
      </c>
      <c r="Z711" s="5" t="str">
        <f ca="1">IFERROR(__xludf.DUMMYFUNCTION("""COMPUTED_VALUE"""),"DVDF9nW9RMSsc3Ws.0RWnQ")</f>
        <v>DVDF9nW9RMSsc3Ws.0RWnQ</v>
      </c>
      <c r="AA711" s="5"/>
      <c r="AB711" s="5"/>
      <c r="AC711" s="5"/>
      <c r="AD711" s="5">
        <f ca="1">IFERROR(__xludf.DUMMYFUNCTION("""COMPUTED_VALUE"""),42)</f>
        <v>42</v>
      </c>
      <c r="AE711" s="5">
        <f ca="1">IFERROR(__xludf.DUMMYFUNCTION("""COMPUTED_VALUE"""),42)</f>
        <v>42</v>
      </c>
      <c r="AF711" s="5" t="b">
        <f ca="1">IFERROR(__xludf.DUMMYFUNCTION("""COMPUTED_VALUE"""),FALSE)</f>
        <v>0</v>
      </c>
      <c r="AG711" s="5" t="str">
        <f ca="1">IFERROR(__xludf.DUMMYFUNCTION("""COMPUTED_VALUE"""),"INSPECCIONES REALIZADAS")</f>
        <v>INSPECCIONES REALIZADAS</v>
      </c>
      <c r="AH711" s="5"/>
    </row>
    <row r="712" spans="1:34">
      <c r="A712" s="5" t="str">
        <f ca="1">IFERROR(__xludf.DUMMYFUNCTION("""COMPUTED_VALUE"""),"LINEA DE ENVASADO FAMILIAR Y PRB")</f>
        <v>LINEA DE ENVASADO FAMILIAR Y PRB</v>
      </c>
      <c r="B712" s="5">
        <f ca="1">IFERROR(__xludf.DUMMYFUNCTION("""COMPUTED_VALUE"""),510001)</f>
        <v>510001</v>
      </c>
      <c r="C712" s="5" t="str">
        <f ca="1">IFERROR(__xludf.DUMMYFUNCTION("""COMPUTED_VALUE"""),"LLENADORA")</f>
        <v>LLENADORA</v>
      </c>
      <c r="D712" s="5">
        <f ca="1">IFERROR(__xludf.DUMMYFUNCTION("""COMPUTED_VALUE"""),13247279)</f>
        <v>13247279</v>
      </c>
      <c r="E712" s="5" t="str">
        <f ca="1">IFERROR(__xludf.DUMMYFUNCTION("""COMPUTED_VALUE"""),"INSPECCION SEMANAL LLENADORA")</f>
        <v>INSPECCION SEMANAL LLENADORA</v>
      </c>
      <c r="F712" s="5" t="str">
        <f ca="1">IFERROR(__xludf.DUMMYFUNCTION("""COMPUTED_VALUE"""),"Estado de sistema de lubricacion (lubricontrol)")</f>
        <v>Estado de sistema de lubricacion (lubricontrol)</v>
      </c>
      <c r="G712" s="5" t="b">
        <f ca="1">IFERROR(__xludf.DUMMYFUNCTION("""COMPUTED_VALUE"""),TRUE)</f>
        <v>1</v>
      </c>
      <c r="H712" s="5"/>
      <c r="I712" s="5"/>
      <c r="J712" s="5">
        <f ca="1">IFERROR(__xludf.DUMMYFUNCTION("""COMPUTED_VALUE"""),13247279)</f>
        <v>13247279</v>
      </c>
      <c r="K712" s="5"/>
      <c r="L712" s="18">
        <f ca="1">IFERROR(__xludf.DUMMYFUNCTION("""COMPUTED_VALUE"""),45324)</f>
        <v>45324</v>
      </c>
      <c r="M712" s="18">
        <f ca="1">IFERROR(__xludf.DUMMYFUNCTION("""COMPUTED_VALUE"""),45324)</f>
        <v>45324</v>
      </c>
      <c r="N712" s="5" t="str">
        <f ca="1">IFERROR(__xludf.DUMMYFUNCTION("""COMPUTED_VALUE"""),"Poveda Jorge")</f>
        <v>Poveda Jorge</v>
      </c>
      <c r="O712" s="2">
        <f ca="1">IFERROR(__xludf.DUMMYFUNCTION("""COMPUTED_VALUE"""),0.043478261)</f>
        <v>4.3478260999999997E-2</v>
      </c>
      <c r="P712" s="5">
        <f ca="1">IFERROR(__xludf.DUMMYFUNCTION("""COMPUTED_VALUE"""),20038806)</f>
        <v>20038806</v>
      </c>
      <c r="Q712" s="5" t="str">
        <f ca="1">IFERROR(__xludf.DUMMYFUNCTION("""COMPUTED_VALUE"""),"BZC3ufEZZvw")</f>
        <v>BZC3ufEZZvw</v>
      </c>
      <c r="R712" s="5">
        <f ca="1">IFERROR(__xludf.DUMMYFUNCTION("""COMPUTED_VALUE"""),410)</f>
        <v>410</v>
      </c>
      <c r="S712" s="62">
        <f ca="1">IFERROR(__xludf.DUMMYFUNCTION("""COMPUTED_VALUE"""),0.043478261)</f>
        <v>4.3478260999999997E-2</v>
      </c>
      <c r="T712" s="63" t="str">
        <f ca="1">IFERROR(__xludf.DUMMYFUNCTION("""COMPUTED_VALUE"""),"https://storage.googleapis.com/glide-prod.appspot.com/uploads-v2/ly7o78grxPaC6KdgvbpS/pub/3aRdSog0vUtuqPE8AJKD.png")</f>
        <v>https://storage.googleapis.com/glide-prod.appspot.com/uploads-v2/ly7o78grxPaC6KdgvbpS/pub/3aRdSog0vUtuqPE8AJKD.png</v>
      </c>
      <c r="U712" s="5" t="str">
        <f ca="1">IFERROR(__xludf.DUMMYFUNCTION("""COMPUTED_VALUE"""),"LINEA DE ENVASADO FAMILIAR Y PRBLLENADORA")</f>
        <v>LINEA DE ENVASADO FAMILIAR Y PRBLLENADORA</v>
      </c>
      <c r="V712" s="5"/>
      <c r="W712" s="5" t="b">
        <f ca="1">IFERROR(__xludf.DUMMYFUNCTION("""COMPUTED_VALUE"""),TRUE)</f>
        <v>1</v>
      </c>
      <c r="X712" s="5" t="str">
        <f ca="1">IFERROR(__xludf.DUMMYFUNCTION("""COMPUTED_VALUE"""),"wguerra@postobon.com.co,aprmttoyu@postobon.com.co,aprmyu@postobon.com.co,wmora@postobon.com.co,efzapata@postobon.com.co")</f>
        <v>wguerra@postobon.com.co,aprmttoyu@postobon.com.co,aprmyu@postobon.com.co,wmora@postobon.com.co,efzapata@postobon.com.co</v>
      </c>
      <c r="Y712" s="5" t="str">
        <f ca="1">IFERROR(__xludf.DUMMYFUNCTION("""COMPUTED_VALUE"""),"wguerra@postobon.com.co")</f>
        <v>wguerra@postobon.com.co</v>
      </c>
      <c r="Z712" s="5" t="str">
        <f ca="1">IFERROR(__xludf.DUMMYFUNCTION("""COMPUTED_VALUE"""),"5ANpSpr8Qo6f7-FG0iiQpQ")</f>
        <v>5ANpSpr8Qo6f7-FG0iiQpQ</v>
      </c>
      <c r="AA712" s="5"/>
      <c r="AB712" s="5"/>
      <c r="AC712" s="5"/>
      <c r="AD712" s="5">
        <f ca="1">IFERROR(__xludf.DUMMYFUNCTION("""COMPUTED_VALUE"""),42)</f>
        <v>42</v>
      </c>
      <c r="AE712" s="5">
        <f ca="1">IFERROR(__xludf.DUMMYFUNCTION("""COMPUTED_VALUE"""),42)</f>
        <v>42</v>
      </c>
      <c r="AF712" s="5" t="b">
        <f ca="1">IFERROR(__xludf.DUMMYFUNCTION("""COMPUTED_VALUE"""),FALSE)</f>
        <v>0</v>
      </c>
      <c r="AG712" s="5" t="str">
        <f ca="1">IFERROR(__xludf.DUMMYFUNCTION("""COMPUTED_VALUE"""),"INSPECCIONES REALIZADAS")</f>
        <v>INSPECCIONES REALIZADAS</v>
      </c>
      <c r="AH712" s="5"/>
    </row>
    <row r="713" spans="1:34">
      <c r="A713" s="5" t="str">
        <f ca="1">IFERROR(__xludf.DUMMYFUNCTION("""COMPUTED_VALUE"""),"LINEA DE ENVASADO FAMILIAR Y PRB")</f>
        <v>LINEA DE ENVASADO FAMILIAR Y PRB</v>
      </c>
      <c r="B713" s="5">
        <f ca="1">IFERROR(__xludf.DUMMYFUNCTION("""COMPUTED_VALUE"""),510001)</f>
        <v>510001</v>
      </c>
      <c r="C713" s="5" t="str">
        <f ca="1">IFERROR(__xludf.DUMMYFUNCTION("""COMPUTED_VALUE"""),"LLENADORA")</f>
        <v>LLENADORA</v>
      </c>
      <c r="D713" s="5">
        <f ca="1">IFERROR(__xludf.DUMMYFUNCTION("""COMPUTED_VALUE"""),13247279)</f>
        <v>13247279</v>
      </c>
      <c r="E713" s="5" t="str">
        <f ca="1">IFERROR(__xludf.DUMMYFUNCTION("""COMPUTED_VALUE"""),"INSPECCION SEMANAL LLENADORA")</f>
        <v>INSPECCION SEMANAL LLENADORA</v>
      </c>
      <c r="F713" s="5" t="str">
        <f ca="1">IFERROR(__xludf.DUMMYFUNCTION("""COMPUTED_VALUE"""),"Estado de motores")</f>
        <v>Estado de motores</v>
      </c>
      <c r="G713" s="5" t="b">
        <f ca="1">IFERROR(__xludf.DUMMYFUNCTION("""COMPUTED_VALUE"""),TRUE)</f>
        <v>1</v>
      </c>
      <c r="H713" s="5"/>
      <c r="I713" s="5"/>
      <c r="J713" s="5">
        <f ca="1">IFERROR(__xludf.DUMMYFUNCTION("""COMPUTED_VALUE"""),13247279)</f>
        <v>13247279</v>
      </c>
      <c r="K713" s="5"/>
      <c r="L713" s="18">
        <f ca="1">IFERROR(__xludf.DUMMYFUNCTION("""COMPUTED_VALUE"""),45324)</f>
        <v>45324</v>
      </c>
      <c r="M713" s="18">
        <f ca="1">IFERROR(__xludf.DUMMYFUNCTION("""COMPUTED_VALUE"""),45324)</f>
        <v>45324</v>
      </c>
      <c r="N713" s="5" t="str">
        <f ca="1">IFERROR(__xludf.DUMMYFUNCTION("""COMPUTED_VALUE"""),"Poveda Jorge")</f>
        <v>Poveda Jorge</v>
      </c>
      <c r="O713" s="2">
        <f ca="1">IFERROR(__xludf.DUMMYFUNCTION("""COMPUTED_VALUE"""),0.043478261)</f>
        <v>4.3478260999999997E-2</v>
      </c>
      <c r="P713" s="5">
        <f ca="1">IFERROR(__xludf.DUMMYFUNCTION("""COMPUTED_VALUE"""),20038806)</f>
        <v>20038806</v>
      </c>
      <c r="Q713" s="5" t="str">
        <f ca="1">IFERROR(__xludf.DUMMYFUNCTION("""COMPUTED_VALUE"""),"WO01fF8xU54")</f>
        <v>WO01fF8xU54</v>
      </c>
      <c r="R713" s="5">
        <f ca="1">IFERROR(__xludf.DUMMYFUNCTION("""COMPUTED_VALUE"""),410)</f>
        <v>410</v>
      </c>
      <c r="S713" s="62">
        <f ca="1">IFERROR(__xludf.DUMMYFUNCTION("""COMPUTED_VALUE"""),0.043478261)</f>
        <v>4.3478260999999997E-2</v>
      </c>
      <c r="T713" s="63" t="str">
        <f ca="1">IFERROR(__xludf.DUMMYFUNCTION("""COMPUTED_VALUE"""),"https://storage.googleapis.com/glide-prod.appspot.com/uploads-v2/ly7o78grxPaC6KdgvbpS/pub/3aRdSog0vUtuqPE8AJKD.png")</f>
        <v>https://storage.googleapis.com/glide-prod.appspot.com/uploads-v2/ly7o78grxPaC6KdgvbpS/pub/3aRdSog0vUtuqPE8AJKD.png</v>
      </c>
      <c r="U713" s="5" t="str">
        <f ca="1">IFERROR(__xludf.DUMMYFUNCTION("""COMPUTED_VALUE"""),"LINEA DE ENVASADO FAMILIAR Y PRBLLENADORA")</f>
        <v>LINEA DE ENVASADO FAMILIAR Y PRBLLENADORA</v>
      </c>
      <c r="V713" s="5"/>
      <c r="W713" s="5" t="b">
        <f ca="1">IFERROR(__xludf.DUMMYFUNCTION("""COMPUTED_VALUE"""),TRUE)</f>
        <v>1</v>
      </c>
      <c r="X713" s="5" t="str">
        <f ca="1">IFERROR(__xludf.DUMMYFUNCTION("""COMPUTED_VALUE"""),"wguerra@postobon.com.co,aprmttoyu@postobon.com.co,aprmyu@postobon.com.co,wmora@postobon.com.co,efzapata@postobon.com.co")</f>
        <v>wguerra@postobon.com.co,aprmttoyu@postobon.com.co,aprmyu@postobon.com.co,wmora@postobon.com.co,efzapata@postobon.com.co</v>
      </c>
      <c r="Y713" s="5" t="str">
        <f ca="1">IFERROR(__xludf.DUMMYFUNCTION("""COMPUTED_VALUE"""),"wguerra@postobon.com.co")</f>
        <v>wguerra@postobon.com.co</v>
      </c>
      <c r="Z713" s="5" t="str">
        <f ca="1">IFERROR(__xludf.DUMMYFUNCTION("""COMPUTED_VALUE"""),"W4qVxNyESQGZP8JkJJI3oQ")</f>
        <v>W4qVxNyESQGZP8JkJJI3oQ</v>
      </c>
      <c r="AA713" s="5"/>
      <c r="AB713" s="5"/>
      <c r="AC713" s="5"/>
      <c r="AD713" s="5">
        <f ca="1">IFERROR(__xludf.DUMMYFUNCTION("""COMPUTED_VALUE"""),42)</f>
        <v>42</v>
      </c>
      <c r="AE713" s="5">
        <f ca="1">IFERROR(__xludf.DUMMYFUNCTION("""COMPUTED_VALUE"""),42)</f>
        <v>42</v>
      </c>
      <c r="AF713" s="5" t="b">
        <f ca="1">IFERROR(__xludf.DUMMYFUNCTION("""COMPUTED_VALUE"""),FALSE)</f>
        <v>0</v>
      </c>
      <c r="AG713" s="5" t="str">
        <f ca="1">IFERROR(__xludf.DUMMYFUNCTION("""COMPUTED_VALUE"""),"INSPECCIONES REALIZADAS")</f>
        <v>INSPECCIONES REALIZADAS</v>
      </c>
      <c r="AH713" s="5"/>
    </row>
    <row r="714" spans="1:34">
      <c r="A714" s="5" t="str">
        <f ca="1">IFERROR(__xludf.DUMMYFUNCTION("""COMPUTED_VALUE"""),"LINEA DE ENVASADO FAMILIAR Y PRB")</f>
        <v>LINEA DE ENVASADO FAMILIAR Y PRB</v>
      </c>
      <c r="B714" s="5">
        <f ca="1">IFERROR(__xludf.DUMMYFUNCTION("""COMPUTED_VALUE"""),510001)</f>
        <v>510001</v>
      </c>
      <c r="C714" s="5" t="str">
        <f ca="1">IFERROR(__xludf.DUMMYFUNCTION("""COMPUTED_VALUE"""),"LLENADORA")</f>
        <v>LLENADORA</v>
      </c>
      <c r="D714" s="5">
        <f ca="1">IFERROR(__xludf.DUMMYFUNCTION("""COMPUTED_VALUE"""),13247279)</f>
        <v>13247279</v>
      </c>
      <c r="E714" s="5" t="str">
        <f ca="1">IFERROR(__xludf.DUMMYFUNCTION("""COMPUTED_VALUE"""),"INSPECCION SEMANAL LLENADORA")</f>
        <v>INSPECCION SEMANAL LLENADORA</v>
      </c>
      <c r="F714" s="5" t="str">
        <f ca="1">IFERROR(__xludf.DUMMYFUNCTION("""COMPUTED_VALUE"""),"Estado de cajas reductoras")</f>
        <v>Estado de cajas reductoras</v>
      </c>
      <c r="G714" s="5" t="b">
        <f ca="1">IFERROR(__xludf.DUMMYFUNCTION("""COMPUTED_VALUE"""),TRUE)</f>
        <v>1</v>
      </c>
      <c r="H714" s="5"/>
      <c r="I714" s="5"/>
      <c r="J714" s="5">
        <f ca="1">IFERROR(__xludf.DUMMYFUNCTION("""COMPUTED_VALUE"""),13247279)</f>
        <v>13247279</v>
      </c>
      <c r="K714" s="5"/>
      <c r="L714" s="18">
        <f ca="1">IFERROR(__xludf.DUMMYFUNCTION("""COMPUTED_VALUE"""),45324)</f>
        <v>45324</v>
      </c>
      <c r="M714" s="18">
        <f ca="1">IFERROR(__xludf.DUMMYFUNCTION("""COMPUTED_VALUE"""),45324)</f>
        <v>45324</v>
      </c>
      <c r="N714" s="5" t="str">
        <f ca="1">IFERROR(__xludf.DUMMYFUNCTION("""COMPUTED_VALUE"""),"Poveda Jorge")</f>
        <v>Poveda Jorge</v>
      </c>
      <c r="O714" s="2">
        <f ca="1">IFERROR(__xludf.DUMMYFUNCTION("""COMPUTED_VALUE"""),0.043478261)</f>
        <v>4.3478260999999997E-2</v>
      </c>
      <c r="P714" s="5">
        <f ca="1">IFERROR(__xludf.DUMMYFUNCTION("""COMPUTED_VALUE"""),20038806)</f>
        <v>20038806</v>
      </c>
      <c r="Q714" s="5" t="str">
        <f ca="1">IFERROR(__xludf.DUMMYFUNCTION("""COMPUTED_VALUE"""),"7izBK_5x1TY")</f>
        <v>7izBK_5x1TY</v>
      </c>
      <c r="R714" s="5">
        <f ca="1">IFERROR(__xludf.DUMMYFUNCTION("""COMPUTED_VALUE"""),410)</f>
        <v>410</v>
      </c>
      <c r="S714" s="62">
        <f ca="1">IFERROR(__xludf.DUMMYFUNCTION("""COMPUTED_VALUE"""),0.043478261)</f>
        <v>4.3478260999999997E-2</v>
      </c>
      <c r="T714" s="63" t="str">
        <f ca="1">IFERROR(__xludf.DUMMYFUNCTION("""COMPUTED_VALUE"""),"https://storage.googleapis.com/glide-prod.appspot.com/uploads-v2/ly7o78grxPaC6KdgvbpS/pub/3aRdSog0vUtuqPE8AJKD.png")</f>
        <v>https://storage.googleapis.com/glide-prod.appspot.com/uploads-v2/ly7o78grxPaC6KdgvbpS/pub/3aRdSog0vUtuqPE8AJKD.png</v>
      </c>
      <c r="U714" s="5" t="str">
        <f ca="1">IFERROR(__xludf.DUMMYFUNCTION("""COMPUTED_VALUE"""),"LINEA DE ENVASADO FAMILIAR Y PRBLLENADORA")</f>
        <v>LINEA DE ENVASADO FAMILIAR Y PRBLLENADORA</v>
      </c>
      <c r="V714" s="5"/>
      <c r="W714" s="5" t="b">
        <f ca="1">IFERROR(__xludf.DUMMYFUNCTION("""COMPUTED_VALUE"""),TRUE)</f>
        <v>1</v>
      </c>
      <c r="X714" s="5" t="str">
        <f ca="1">IFERROR(__xludf.DUMMYFUNCTION("""COMPUTED_VALUE"""),"wguerra@postobon.com.co,aprmttoyu@postobon.com.co,aprmyu@postobon.com.co,wmora@postobon.com.co,efzapata@postobon.com.co")</f>
        <v>wguerra@postobon.com.co,aprmttoyu@postobon.com.co,aprmyu@postobon.com.co,wmora@postobon.com.co,efzapata@postobon.com.co</v>
      </c>
      <c r="Y714" s="5" t="str">
        <f ca="1">IFERROR(__xludf.DUMMYFUNCTION("""COMPUTED_VALUE"""),"wguerra@postobon.com.co")</f>
        <v>wguerra@postobon.com.co</v>
      </c>
      <c r="Z714" s="5" t="str">
        <f ca="1">IFERROR(__xludf.DUMMYFUNCTION("""COMPUTED_VALUE"""),"K8epX.jFSVu3WvAERQXn0w")</f>
        <v>K8epX.jFSVu3WvAERQXn0w</v>
      </c>
      <c r="AA714" s="5"/>
      <c r="AB714" s="5"/>
      <c r="AC714" s="5"/>
      <c r="AD714" s="5">
        <f ca="1">IFERROR(__xludf.DUMMYFUNCTION("""COMPUTED_VALUE"""),42)</f>
        <v>42</v>
      </c>
      <c r="AE714" s="5">
        <f ca="1">IFERROR(__xludf.DUMMYFUNCTION("""COMPUTED_VALUE"""),42)</f>
        <v>42</v>
      </c>
      <c r="AF714" s="5" t="b">
        <f ca="1">IFERROR(__xludf.DUMMYFUNCTION("""COMPUTED_VALUE"""),FALSE)</f>
        <v>0</v>
      </c>
      <c r="AG714" s="5" t="str">
        <f ca="1">IFERROR(__xludf.DUMMYFUNCTION("""COMPUTED_VALUE"""),"INSPECCIONES REALIZADAS")</f>
        <v>INSPECCIONES REALIZADAS</v>
      </c>
      <c r="AH714" s="5"/>
    </row>
    <row r="715" spans="1:34">
      <c r="A715" s="5" t="str">
        <f ca="1">IFERROR(__xludf.DUMMYFUNCTION("""COMPUTED_VALUE"""),"LINEA DE ENVASADO FAMILIAR Y PRB")</f>
        <v>LINEA DE ENVASADO FAMILIAR Y PRB</v>
      </c>
      <c r="B715" s="5">
        <f ca="1">IFERROR(__xludf.DUMMYFUNCTION("""COMPUTED_VALUE"""),510001)</f>
        <v>510001</v>
      </c>
      <c r="C715" s="5" t="str">
        <f ca="1">IFERROR(__xludf.DUMMYFUNCTION("""COMPUTED_VALUE"""),"LLENADORA")</f>
        <v>LLENADORA</v>
      </c>
      <c r="D715" s="5">
        <f ca="1">IFERROR(__xludf.DUMMYFUNCTION("""COMPUTED_VALUE"""),13247279)</f>
        <v>13247279</v>
      </c>
      <c r="E715" s="5" t="str">
        <f ca="1">IFERROR(__xludf.DUMMYFUNCTION("""COMPUTED_VALUE"""),"INSPECCION SEMANAL LLENADORA")</f>
        <v>INSPECCION SEMANAL LLENADORA</v>
      </c>
      <c r="F715" s="5" t="str">
        <f ca="1">IFERROR(__xludf.DUMMYFUNCTION("""COMPUTED_VALUE"""),"Estado de resortes centradores")</f>
        <v>Estado de resortes centradores</v>
      </c>
      <c r="G715" s="5" t="b">
        <f ca="1">IFERROR(__xludf.DUMMYFUNCTION("""COMPUTED_VALUE"""),TRUE)</f>
        <v>1</v>
      </c>
      <c r="H715" s="5"/>
      <c r="I715" s="5"/>
      <c r="J715" s="5">
        <f ca="1">IFERROR(__xludf.DUMMYFUNCTION("""COMPUTED_VALUE"""),13247279)</f>
        <v>13247279</v>
      </c>
      <c r="K715" s="5"/>
      <c r="L715" s="18">
        <f ca="1">IFERROR(__xludf.DUMMYFUNCTION("""COMPUTED_VALUE"""),45324)</f>
        <v>45324</v>
      </c>
      <c r="M715" s="18">
        <f ca="1">IFERROR(__xludf.DUMMYFUNCTION("""COMPUTED_VALUE"""),45324)</f>
        <v>45324</v>
      </c>
      <c r="N715" s="5" t="str">
        <f ca="1">IFERROR(__xludf.DUMMYFUNCTION("""COMPUTED_VALUE"""),"Poveda Jorge")</f>
        <v>Poveda Jorge</v>
      </c>
      <c r="O715" s="2">
        <f ca="1">IFERROR(__xludf.DUMMYFUNCTION("""COMPUTED_VALUE"""),0.043478261)</f>
        <v>4.3478260999999997E-2</v>
      </c>
      <c r="P715" s="5">
        <f ca="1">IFERROR(__xludf.DUMMYFUNCTION("""COMPUTED_VALUE"""),20038806)</f>
        <v>20038806</v>
      </c>
      <c r="Q715" s="5" t="str">
        <f ca="1">IFERROR(__xludf.DUMMYFUNCTION("""COMPUTED_VALUE"""),"1kNoNfbmMgA")</f>
        <v>1kNoNfbmMgA</v>
      </c>
      <c r="R715" s="5">
        <f ca="1">IFERROR(__xludf.DUMMYFUNCTION("""COMPUTED_VALUE"""),410)</f>
        <v>410</v>
      </c>
      <c r="S715" s="62">
        <f ca="1">IFERROR(__xludf.DUMMYFUNCTION("""COMPUTED_VALUE"""),0.043478261)</f>
        <v>4.3478260999999997E-2</v>
      </c>
      <c r="T715" s="63" t="str">
        <f ca="1">IFERROR(__xludf.DUMMYFUNCTION("""COMPUTED_VALUE"""),"https://storage.googleapis.com/glide-prod.appspot.com/uploads-v2/ly7o78grxPaC6KdgvbpS/pub/3aRdSog0vUtuqPE8AJKD.png")</f>
        <v>https://storage.googleapis.com/glide-prod.appspot.com/uploads-v2/ly7o78grxPaC6KdgvbpS/pub/3aRdSog0vUtuqPE8AJKD.png</v>
      </c>
      <c r="U715" s="5" t="str">
        <f ca="1">IFERROR(__xludf.DUMMYFUNCTION("""COMPUTED_VALUE"""),"LINEA DE ENVASADO FAMILIAR Y PRBLLENADORA")</f>
        <v>LINEA DE ENVASADO FAMILIAR Y PRBLLENADORA</v>
      </c>
      <c r="V715" s="5"/>
      <c r="W715" s="5" t="b">
        <f ca="1">IFERROR(__xludf.DUMMYFUNCTION("""COMPUTED_VALUE"""),TRUE)</f>
        <v>1</v>
      </c>
      <c r="X715" s="5" t="str">
        <f ca="1">IFERROR(__xludf.DUMMYFUNCTION("""COMPUTED_VALUE"""),"wguerra@postobon.com.co,aprmttoyu@postobon.com.co,aprmyu@postobon.com.co,wmora@postobon.com.co,efzapata@postobon.com.co")</f>
        <v>wguerra@postobon.com.co,aprmttoyu@postobon.com.co,aprmyu@postobon.com.co,wmora@postobon.com.co,efzapata@postobon.com.co</v>
      </c>
      <c r="Y715" s="5" t="str">
        <f ca="1">IFERROR(__xludf.DUMMYFUNCTION("""COMPUTED_VALUE"""),"wguerra@postobon.com.co")</f>
        <v>wguerra@postobon.com.co</v>
      </c>
      <c r="Z715" s="5" t="str">
        <f ca="1">IFERROR(__xludf.DUMMYFUNCTION("""COMPUTED_VALUE"""),"rkGXcJWCSp2J9DjgByyE8g")</f>
        <v>rkGXcJWCSp2J9DjgByyE8g</v>
      </c>
      <c r="AA715" s="5"/>
      <c r="AB715" s="5"/>
      <c r="AC715" s="5"/>
      <c r="AD715" s="5">
        <f ca="1">IFERROR(__xludf.DUMMYFUNCTION("""COMPUTED_VALUE"""),42)</f>
        <v>42</v>
      </c>
      <c r="AE715" s="5">
        <f ca="1">IFERROR(__xludf.DUMMYFUNCTION("""COMPUTED_VALUE"""),42)</f>
        <v>42</v>
      </c>
      <c r="AF715" s="5" t="b">
        <f ca="1">IFERROR(__xludf.DUMMYFUNCTION("""COMPUTED_VALUE"""),FALSE)</f>
        <v>0</v>
      </c>
      <c r="AG715" s="5" t="str">
        <f ca="1">IFERROR(__xludf.DUMMYFUNCTION("""COMPUTED_VALUE"""),"INSPECCIONES REALIZADAS")</f>
        <v>INSPECCIONES REALIZADAS</v>
      </c>
      <c r="AH715" s="5"/>
    </row>
    <row r="716" spans="1:34">
      <c r="A716" s="5" t="str">
        <f ca="1">IFERROR(__xludf.DUMMYFUNCTION("""COMPUTED_VALUE"""),"LINEA DE ENVASADO FAMILIAR Y PRB")</f>
        <v>LINEA DE ENVASADO FAMILIAR Y PRB</v>
      </c>
      <c r="B716" s="5">
        <f ca="1">IFERROR(__xludf.DUMMYFUNCTION("""COMPUTED_VALUE"""),510001)</f>
        <v>510001</v>
      </c>
      <c r="C716" s="5" t="str">
        <f ca="1">IFERROR(__xludf.DUMMYFUNCTION("""COMPUTED_VALUE"""),"LLENADORA")</f>
        <v>LLENADORA</v>
      </c>
      <c r="D716" s="5">
        <f ca="1">IFERROR(__xludf.DUMMYFUNCTION("""COMPUTED_VALUE"""),13247279)</f>
        <v>13247279</v>
      </c>
      <c r="E716" s="5" t="str">
        <f ca="1">IFERROR(__xludf.DUMMYFUNCTION("""COMPUTED_VALUE"""),"INSPECCION SEMANAL LLENADORA")</f>
        <v>INSPECCION SEMANAL LLENADORA</v>
      </c>
      <c r="F716" s="5" t="str">
        <f ca="1">IFERROR(__xludf.DUMMYFUNCTION("""COMPUTED_VALUE"""),"Estado de válvulas de llenado")</f>
        <v>Estado de válvulas de llenado</v>
      </c>
      <c r="G716" s="5" t="b">
        <f ca="1">IFERROR(__xludf.DUMMYFUNCTION("""COMPUTED_VALUE"""),TRUE)</f>
        <v>1</v>
      </c>
      <c r="H716" s="5"/>
      <c r="I716" s="5"/>
      <c r="J716" s="5">
        <f ca="1">IFERROR(__xludf.DUMMYFUNCTION("""COMPUTED_VALUE"""),13247279)</f>
        <v>13247279</v>
      </c>
      <c r="K716" s="5"/>
      <c r="L716" s="18">
        <f ca="1">IFERROR(__xludf.DUMMYFUNCTION("""COMPUTED_VALUE"""),45324)</f>
        <v>45324</v>
      </c>
      <c r="M716" s="18">
        <f ca="1">IFERROR(__xludf.DUMMYFUNCTION("""COMPUTED_VALUE"""),45324)</f>
        <v>45324</v>
      </c>
      <c r="N716" s="5" t="str">
        <f ca="1">IFERROR(__xludf.DUMMYFUNCTION("""COMPUTED_VALUE"""),"Poveda Jorge")</f>
        <v>Poveda Jorge</v>
      </c>
      <c r="O716" s="2">
        <f ca="1">IFERROR(__xludf.DUMMYFUNCTION("""COMPUTED_VALUE"""),0.043478261)</f>
        <v>4.3478260999999997E-2</v>
      </c>
      <c r="P716" s="5">
        <f ca="1">IFERROR(__xludf.DUMMYFUNCTION("""COMPUTED_VALUE"""),20038806)</f>
        <v>20038806</v>
      </c>
      <c r="Q716" s="5" t="str">
        <f ca="1">IFERROR(__xludf.DUMMYFUNCTION("""COMPUTED_VALUE"""),"kImltmAyAjA")</f>
        <v>kImltmAyAjA</v>
      </c>
      <c r="R716" s="5">
        <f ca="1">IFERROR(__xludf.DUMMYFUNCTION("""COMPUTED_VALUE"""),410)</f>
        <v>410</v>
      </c>
      <c r="S716" s="62">
        <f ca="1">IFERROR(__xludf.DUMMYFUNCTION("""COMPUTED_VALUE"""),0.043478261)</f>
        <v>4.3478260999999997E-2</v>
      </c>
      <c r="T716" s="63" t="str">
        <f ca="1">IFERROR(__xludf.DUMMYFUNCTION("""COMPUTED_VALUE"""),"https://storage.googleapis.com/glide-prod.appspot.com/uploads-v2/ly7o78grxPaC6KdgvbpS/pub/3aRdSog0vUtuqPE8AJKD.png")</f>
        <v>https://storage.googleapis.com/glide-prod.appspot.com/uploads-v2/ly7o78grxPaC6KdgvbpS/pub/3aRdSog0vUtuqPE8AJKD.png</v>
      </c>
      <c r="U716" s="5" t="str">
        <f ca="1">IFERROR(__xludf.DUMMYFUNCTION("""COMPUTED_VALUE"""),"LINEA DE ENVASADO FAMILIAR Y PRBLLENADORA")</f>
        <v>LINEA DE ENVASADO FAMILIAR Y PRBLLENADORA</v>
      </c>
      <c r="V716" s="5"/>
      <c r="W716" s="5" t="b">
        <f ca="1">IFERROR(__xludf.DUMMYFUNCTION("""COMPUTED_VALUE"""),TRUE)</f>
        <v>1</v>
      </c>
      <c r="X716" s="5" t="str">
        <f ca="1">IFERROR(__xludf.DUMMYFUNCTION("""COMPUTED_VALUE"""),"wguerra@postobon.com.co,aprmttoyu@postobon.com.co,aprmyu@postobon.com.co,wmora@postobon.com.co,efzapata@postobon.com.co")</f>
        <v>wguerra@postobon.com.co,aprmttoyu@postobon.com.co,aprmyu@postobon.com.co,wmora@postobon.com.co,efzapata@postobon.com.co</v>
      </c>
      <c r="Y716" s="5" t="str">
        <f ca="1">IFERROR(__xludf.DUMMYFUNCTION("""COMPUTED_VALUE"""),"wguerra@postobon.com.co")</f>
        <v>wguerra@postobon.com.co</v>
      </c>
      <c r="Z716" s="5" t="str">
        <f ca="1">IFERROR(__xludf.DUMMYFUNCTION("""COMPUTED_VALUE"""),"dfgaZV89SOWxeknVeC8ZzA")</f>
        <v>dfgaZV89SOWxeknVeC8ZzA</v>
      </c>
      <c r="AA716" s="5"/>
      <c r="AB716" s="5"/>
      <c r="AC716" s="5"/>
      <c r="AD716" s="5">
        <f ca="1">IFERROR(__xludf.DUMMYFUNCTION("""COMPUTED_VALUE"""),42)</f>
        <v>42</v>
      </c>
      <c r="AE716" s="5">
        <f ca="1">IFERROR(__xludf.DUMMYFUNCTION("""COMPUTED_VALUE"""),42)</f>
        <v>42</v>
      </c>
      <c r="AF716" s="5" t="b">
        <f ca="1">IFERROR(__xludf.DUMMYFUNCTION("""COMPUTED_VALUE"""),FALSE)</f>
        <v>0</v>
      </c>
      <c r="AG716" s="5" t="str">
        <f ca="1">IFERROR(__xludf.DUMMYFUNCTION("""COMPUTED_VALUE"""),"INSPECCIONES REALIZADAS")</f>
        <v>INSPECCIONES REALIZADAS</v>
      </c>
      <c r="AH716" s="5"/>
    </row>
    <row r="717" spans="1:34">
      <c r="A717" s="5" t="str">
        <f ca="1">IFERROR(__xludf.DUMMYFUNCTION("""COMPUTED_VALUE"""),"LINEA DE ENVASADO FAMILIAR Y PRB")</f>
        <v>LINEA DE ENVASADO FAMILIAR Y PRB</v>
      </c>
      <c r="B717" s="5">
        <f ca="1">IFERROR(__xludf.DUMMYFUNCTION("""COMPUTED_VALUE"""),510001)</f>
        <v>510001</v>
      </c>
      <c r="C717" s="5" t="str">
        <f ca="1">IFERROR(__xludf.DUMMYFUNCTION("""COMPUTED_VALUE"""),"LLENADORA")</f>
        <v>LLENADORA</v>
      </c>
      <c r="D717" s="5">
        <f ca="1">IFERROR(__xludf.DUMMYFUNCTION("""COMPUTED_VALUE"""),13247279)</f>
        <v>13247279</v>
      </c>
      <c r="E717" s="5" t="str">
        <f ca="1">IFERROR(__xludf.DUMMYFUNCTION("""COMPUTED_VALUE"""),"INSPECCION SEMANAL LLENADORA")</f>
        <v>INSPECCION SEMANAL LLENADORA</v>
      </c>
      <c r="F717" s="5" t="str">
        <f ca="1">IFERROR(__xludf.DUMMYFUNCTION("""COMPUTED_VALUE"""),"Estado de válvulas neumáticas")</f>
        <v>Estado de válvulas neumáticas</v>
      </c>
      <c r="G717" s="5" t="b">
        <f ca="1">IFERROR(__xludf.DUMMYFUNCTION("""COMPUTED_VALUE"""),TRUE)</f>
        <v>1</v>
      </c>
      <c r="H717" s="5"/>
      <c r="I717" s="5"/>
      <c r="J717" s="5">
        <f ca="1">IFERROR(__xludf.DUMMYFUNCTION("""COMPUTED_VALUE"""),13247279)</f>
        <v>13247279</v>
      </c>
      <c r="K717" s="5"/>
      <c r="L717" s="18">
        <f ca="1">IFERROR(__xludf.DUMMYFUNCTION("""COMPUTED_VALUE"""),45324)</f>
        <v>45324</v>
      </c>
      <c r="M717" s="18">
        <f ca="1">IFERROR(__xludf.DUMMYFUNCTION("""COMPUTED_VALUE"""),45324)</f>
        <v>45324</v>
      </c>
      <c r="N717" s="5" t="str">
        <f ca="1">IFERROR(__xludf.DUMMYFUNCTION("""COMPUTED_VALUE"""),"Poveda Jorge")</f>
        <v>Poveda Jorge</v>
      </c>
      <c r="O717" s="2">
        <f ca="1">IFERROR(__xludf.DUMMYFUNCTION("""COMPUTED_VALUE"""),0.043478261)</f>
        <v>4.3478260999999997E-2</v>
      </c>
      <c r="P717" s="5">
        <f ca="1">IFERROR(__xludf.DUMMYFUNCTION("""COMPUTED_VALUE"""),20038806)</f>
        <v>20038806</v>
      </c>
      <c r="Q717" s="5" t="str">
        <f ca="1">IFERROR(__xludf.DUMMYFUNCTION("""COMPUTED_VALUE"""),"M3aTJKH-mxA")</f>
        <v>M3aTJKH-mxA</v>
      </c>
      <c r="R717" s="5">
        <f ca="1">IFERROR(__xludf.DUMMYFUNCTION("""COMPUTED_VALUE"""),410)</f>
        <v>410</v>
      </c>
      <c r="S717" s="62">
        <f ca="1">IFERROR(__xludf.DUMMYFUNCTION("""COMPUTED_VALUE"""),0.043478261)</f>
        <v>4.3478260999999997E-2</v>
      </c>
      <c r="T717" s="63" t="str">
        <f ca="1">IFERROR(__xludf.DUMMYFUNCTION("""COMPUTED_VALUE"""),"https://storage.googleapis.com/glide-prod.appspot.com/uploads-v2/ly7o78grxPaC6KdgvbpS/pub/3aRdSog0vUtuqPE8AJKD.png")</f>
        <v>https://storage.googleapis.com/glide-prod.appspot.com/uploads-v2/ly7o78grxPaC6KdgvbpS/pub/3aRdSog0vUtuqPE8AJKD.png</v>
      </c>
      <c r="U717" s="5" t="str">
        <f ca="1">IFERROR(__xludf.DUMMYFUNCTION("""COMPUTED_VALUE"""),"LINEA DE ENVASADO FAMILIAR Y PRBLLENADORA")</f>
        <v>LINEA DE ENVASADO FAMILIAR Y PRBLLENADORA</v>
      </c>
      <c r="V717" s="5"/>
      <c r="W717" s="5" t="b">
        <f ca="1">IFERROR(__xludf.DUMMYFUNCTION("""COMPUTED_VALUE"""),TRUE)</f>
        <v>1</v>
      </c>
      <c r="X717" s="5" t="str">
        <f ca="1">IFERROR(__xludf.DUMMYFUNCTION("""COMPUTED_VALUE"""),"wguerra@postobon.com.co,aprmttoyu@postobon.com.co,aprmyu@postobon.com.co,wmora@postobon.com.co,efzapata@postobon.com.co")</f>
        <v>wguerra@postobon.com.co,aprmttoyu@postobon.com.co,aprmyu@postobon.com.co,wmora@postobon.com.co,efzapata@postobon.com.co</v>
      </c>
      <c r="Y717" s="5" t="str">
        <f ca="1">IFERROR(__xludf.DUMMYFUNCTION("""COMPUTED_VALUE"""),"wguerra@postobon.com.co")</f>
        <v>wguerra@postobon.com.co</v>
      </c>
      <c r="Z717" s="5" t="str">
        <f ca="1">IFERROR(__xludf.DUMMYFUNCTION("""COMPUTED_VALUE"""),"CvEWD1zHRV-9.6am8Y3BCw")</f>
        <v>CvEWD1zHRV-9.6am8Y3BCw</v>
      </c>
      <c r="AA717" s="5"/>
      <c r="AB717" s="5"/>
      <c r="AC717" s="5"/>
      <c r="AD717" s="5">
        <f ca="1">IFERROR(__xludf.DUMMYFUNCTION("""COMPUTED_VALUE"""),42)</f>
        <v>42</v>
      </c>
      <c r="AE717" s="5">
        <f ca="1">IFERROR(__xludf.DUMMYFUNCTION("""COMPUTED_VALUE"""),42)</f>
        <v>42</v>
      </c>
      <c r="AF717" s="5" t="b">
        <f ca="1">IFERROR(__xludf.DUMMYFUNCTION("""COMPUTED_VALUE"""),FALSE)</f>
        <v>0</v>
      </c>
      <c r="AG717" s="5" t="str">
        <f ca="1">IFERROR(__xludf.DUMMYFUNCTION("""COMPUTED_VALUE"""),"INSPECCIONES REALIZADAS")</f>
        <v>INSPECCIONES REALIZADAS</v>
      </c>
      <c r="AH717" s="5"/>
    </row>
    <row r="718" spans="1:34">
      <c r="A718" s="5" t="str">
        <f ca="1">IFERROR(__xludf.DUMMYFUNCTION("""COMPUTED_VALUE"""),"LINEA DE ENVASADO FAMILIAR Y PRB")</f>
        <v>LINEA DE ENVASADO FAMILIAR Y PRB</v>
      </c>
      <c r="B718" s="5">
        <f ca="1">IFERROR(__xludf.DUMMYFUNCTION("""COMPUTED_VALUE"""),510001)</f>
        <v>510001</v>
      </c>
      <c r="C718" s="5" t="str">
        <f ca="1">IFERROR(__xludf.DUMMYFUNCTION("""COMPUTED_VALUE"""),"LLENADORA")</f>
        <v>LLENADORA</v>
      </c>
      <c r="D718" s="5">
        <f ca="1">IFERROR(__xludf.DUMMYFUNCTION("""COMPUTED_VALUE"""),13247279)</f>
        <v>13247279</v>
      </c>
      <c r="E718" s="5" t="str">
        <f ca="1">IFERROR(__xludf.DUMMYFUNCTION("""COMPUTED_VALUE"""),"INSPECCION SEMANAL LLENADORA")</f>
        <v>INSPECCION SEMANAL LLENADORA</v>
      </c>
      <c r="F718" s="5" t="str">
        <f ca="1">IFERROR(__xludf.DUMMYFUNCTION("""COMPUTED_VALUE"""),"Estado de electroválvulas")</f>
        <v>Estado de electroválvulas</v>
      </c>
      <c r="G718" s="5" t="b">
        <f ca="1">IFERROR(__xludf.DUMMYFUNCTION("""COMPUTED_VALUE"""),TRUE)</f>
        <v>1</v>
      </c>
      <c r="H718" s="5"/>
      <c r="I718" s="5"/>
      <c r="J718" s="5">
        <f ca="1">IFERROR(__xludf.DUMMYFUNCTION("""COMPUTED_VALUE"""),13247279)</f>
        <v>13247279</v>
      </c>
      <c r="K718" s="5"/>
      <c r="L718" s="18">
        <f ca="1">IFERROR(__xludf.DUMMYFUNCTION("""COMPUTED_VALUE"""),45324)</f>
        <v>45324</v>
      </c>
      <c r="M718" s="18">
        <f ca="1">IFERROR(__xludf.DUMMYFUNCTION("""COMPUTED_VALUE"""),45324)</f>
        <v>45324</v>
      </c>
      <c r="N718" s="5" t="str">
        <f ca="1">IFERROR(__xludf.DUMMYFUNCTION("""COMPUTED_VALUE"""),"Poveda Jorge")</f>
        <v>Poveda Jorge</v>
      </c>
      <c r="O718" s="2">
        <f ca="1">IFERROR(__xludf.DUMMYFUNCTION("""COMPUTED_VALUE"""),0.043478261)</f>
        <v>4.3478260999999997E-2</v>
      </c>
      <c r="P718" s="5">
        <f ca="1">IFERROR(__xludf.DUMMYFUNCTION("""COMPUTED_VALUE"""),20038806)</f>
        <v>20038806</v>
      </c>
      <c r="Q718" s="5" t="str">
        <f ca="1">IFERROR(__xludf.DUMMYFUNCTION("""COMPUTED_VALUE"""),"31RyploEHAo")</f>
        <v>31RyploEHAo</v>
      </c>
      <c r="R718" s="5">
        <f ca="1">IFERROR(__xludf.DUMMYFUNCTION("""COMPUTED_VALUE"""),410)</f>
        <v>410</v>
      </c>
      <c r="S718" s="62">
        <f ca="1">IFERROR(__xludf.DUMMYFUNCTION("""COMPUTED_VALUE"""),0.043478261)</f>
        <v>4.3478260999999997E-2</v>
      </c>
      <c r="T718" s="63" t="str">
        <f ca="1">IFERROR(__xludf.DUMMYFUNCTION("""COMPUTED_VALUE"""),"https://storage.googleapis.com/glide-prod.appspot.com/uploads-v2/ly7o78grxPaC6KdgvbpS/pub/3aRdSog0vUtuqPE8AJKD.png")</f>
        <v>https://storage.googleapis.com/glide-prod.appspot.com/uploads-v2/ly7o78grxPaC6KdgvbpS/pub/3aRdSog0vUtuqPE8AJKD.png</v>
      </c>
      <c r="U718" s="5" t="str">
        <f ca="1">IFERROR(__xludf.DUMMYFUNCTION("""COMPUTED_VALUE"""),"LINEA DE ENVASADO FAMILIAR Y PRBLLENADORA")</f>
        <v>LINEA DE ENVASADO FAMILIAR Y PRBLLENADORA</v>
      </c>
      <c r="V718" s="5"/>
      <c r="W718" s="5" t="b">
        <f ca="1">IFERROR(__xludf.DUMMYFUNCTION("""COMPUTED_VALUE"""),TRUE)</f>
        <v>1</v>
      </c>
      <c r="X718" s="5" t="str">
        <f ca="1">IFERROR(__xludf.DUMMYFUNCTION("""COMPUTED_VALUE"""),"wguerra@postobon.com.co,aprmttoyu@postobon.com.co,aprmyu@postobon.com.co,wmora@postobon.com.co,efzapata@postobon.com.co")</f>
        <v>wguerra@postobon.com.co,aprmttoyu@postobon.com.co,aprmyu@postobon.com.co,wmora@postobon.com.co,efzapata@postobon.com.co</v>
      </c>
      <c r="Y718" s="5" t="str">
        <f ca="1">IFERROR(__xludf.DUMMYFUNCTION("""COMPUTED_VALUE"""),"wguerra@postobon.com.co")</f>
        <v>wguerra@postobon.com.co</v>
      </c>
      <c r="Z718" s="5" t="str">
        <f ca="1">IFERROR(__xludf.DUMMYFUNCTION("""COMPUTED_VALUE"""),"a-F.r6CXKQqWCcNQszIHDXA")</f>
        <v>a-F.r6CXKQqWCcNQszIHDXA</v>
      </c>
      <c r="AA718" s="5"/>
      <c r="AB718" s="5"/>
      <c r="AC718" s="5"/>
      <c r="AD718" s="5">
        <f ca="1">IFERROR(__xludf.DUMMYFUNCTION("""COMPUTED_VALUE"""),42)</f>
        <v>42</v>
      </c>
      <c r="AE718" s="5">
        <f ca="1">IFERROR(__xludf.DUMMYFUNCTION("""COMPUTED_VALUE"""),42)</f>
        <v>42</v>
      </c>
      <c r="AF718" s="5" t="b">
        <f ca="1">IFERROR(__xludf.DUMMYFUNCTION("""COMPUTED_VALUE"""),FALSE)</f>
        <v>0</v>
      </c>
      <c r="AG718" s="5" t="str">
        <f ca="1">IFERROR(__xludf.DUMMYFUNCTION("""COMPUTED_VALUE"""),"INSPECCIONES REALIZADAS")</f>
        <v>INSPECCIONES REALIZADAS</v>
      </c>
      <c r="AH718" s="5"/>
    </row>
    <row r="719" spans="1:34">
      <c r="A719" s="5" t="str">
        <f ca="1">IFERROR(__xludf.DUMMYFUNCTION("""COMPUTED_VALUE"""),"LINEA DE ENVASADO FAMILIAR Y PRB")</f>
        <v>LINEA DE ENVASADO FAMILIAR Y PRB</v>
      </c>
      <c r="B719" s="5">
        <f ca="1">IFERROR(__xludf.DUMMYFUNCTION("""COMPUTED_VALUE"""),510001)</f>
        <v>510001</v>
      </c>
      <c r="C719" s="5" t="str">
        <f ca="1">IFERROR(__xludf.DUMMYFUNCTION("""COMPUTED_VALUE"""),"LLENADORA")</f>
        <v>LLENADORA</v>
      </c>
      <c r="D719" s="5">
        <f ca="1">IFERROR(__xludf.DUMMYFUNCTION("""COMPUTED_VALUE"""),13247279)</f>
        <v>13247279</v>
      </c>
      <c r="E719" s="5" t="str">
        <f ca="1">IFERROR(__xludf.DUMMYFUNCTION("""COMPUTED_VALUE"""),"INSPECCION SEMANAL LLENADORA")</f>
        <v>INSPECCION SEMANAL LLENADORA</v>
      </c>
      <c r="F719" s="5" t="str">
        <f ca="1">IFERROR(__xludf.DUMMYFUNCTION("""COMPUTED_VALUE"""),"Estado instrumentos de medidas")</f>
        <v>Estado instrumentos de medidas</v>
      </c>
      <c r="G719" s="5" t="b">
        <f ca="1">IFERROR(__xludf.DUMMYFUNCTION("""COMPUTED_VALUE"""),TRUE)</f>
        <v>1</v>
      </c>
      <c r="H719" s="5"/>
      <c r="I719" s="5"/>
      <c r="J719" s="5">
        <f ca="1">IFERROR(__xludf.DUMMYFUNCTION("""COMPUTED_VALUE"""),13247279)</f>
        <v>13247279</v>
      </c>
      <c r="K719" s="5"/>
      <c r="L719" s="18">
        <f ca="1">IFERROR(__xludf.DUMMYFUNCTION("""COMPUTED_VALUE"""),45324)</f>
        <v>45324</v>
      </c>
      <c r="M719" s="18">
        <f ca="1">IFERROR(__xludf.DUMMYFUNCTION("""COMPUTED_VALUE"""),45324)</f>
        <v>45324</v>
      </c>
      <c r="N719" s="5" t="str">
        <f ca="1">IFERROR(__xludf.DUMMYFUNCTION("""COMPUTED_VALUE"""),"Poveda Jorge")</f>
        <v>Poveda Jorge</v>
      </c>
      <c r="O719" s="2">
        <f ca="1">IFERROR(__xludf.DUMMYFUNCTION("""COMPUTED_VALUE"""),0.043478261)</f>
        <v>4.3478260999999997E-2</v>
      </c>
      <c r="P719" s="5">
        <f ca="1">IFERROR(__xludf.DUMMYFUNCTION("""COMPUTED_VALUE"""),20038806)</f>
        <v>20038806</v>
      </c>
      <c r="Q719" s="5" t="str">
        <f ca="1">IFERROR(__xludf.DUMMYFUNCTION("""COMPUTED_VALUE"""),"LUDekSzF3TY")</f>
        <v>LUDekSzF3TY</v>
      </c>
      <c r="R719" s="5">
        <f ca="1">IFERROR(__xludf.DUMMYFUNCTION("""COMPUTED_VALUE"""),410)</f>
        <v>410</v>
      </c>
      <c r="S719" s="62">
        <f ca="1">IFERROR(__xludf.DUMMYFUNCTION("""COMPUTED_VALUE"""),0.043478261)</f>
        <v>4.3478260999999997E-2</v>
      </c>
      <c r="T719" s="63" t="str">
        <f ca="1">IFERROR(__xludf.DUMMYFUNCTION("""COMPUTED_VALUE"""),"https://storage.googleapis.com/glide-prod.appspot.com/uploads-v2/ly7o78grxPaC6KdgvbpS/pub/3aRdSog0vUtuqPE8AJKD.png")</f>
        <v>https://storage.googleapis.com/glide-prod.appspot.com/uploads-v2/ly7o78grxPaC6KdgvbpS/pub/3aRdSog0vUtuqPE8AJKD.png</v>
      </c>
      <c r="U719" s="5" t="str">
        <f ca="1">IFERROR(__xludf.DUMMYFUNCTION("""COMPUTED_VALUE"""),"LINEA DE ENVASADO FAMILIAR Y PRBLLENADORA")</f>
        <v>LINEA DE ENVASADO FAMILIAR Y PRBLLENADORA</v>
      </c>
      <c r="V719" s="5"/>
      <c r="W719" s="5" t="b">
        <f ca="1">IFERROR(__xludf.DUMMYFUNCTION("""COMPUTED_VALUE"""),TRUE)</f>
        <v>1</v>
      </c>
      <c r="X719" s="5" t="str">
        <f ca="1">IFERROR(__xludf.DUMMYFUNCTION("""COMPUTED_VALUE"""),"wguerra@postobon.com.co,aprmttoyu@postobon.com.co,aprmyu@postobon.com.co,wmora@postobon.com.co,efzapata@postobon.com.co")</f>
        <v>wguerra@postobon.com.co,aprmttoyu@postobon.com.co,aprmyu@postobon.com.co,wmora@postobon.com.co,efzapata@postobon.com.co</v>
      </c>
      <c r="Y719" s="5" t="str">
        <f ca="1">IFERROR(__xludf.DUMMYFUNCTION("""COMPUTED_VALUE"""),"wguerra@postobon.com.co")</f>
        <v>wguerra@postobon.com.co</v>
      </c>
      <c r="Z719" s="5" t="str">
        <f ca="1">IFERROR(__xludf.DUMMYFUNCTION("""COMPUTED_VALUE"""),"sJAmvrqNSAe5kNiB9HoSRw")</f>
        <v>sJAmvrqNSAe5kNiB9HoSRw</v>
      </c>
      <c r="AA719" s="5"/>
      <c r="AB719" s="5"/>
      <c r="AC719" s="5"/>
      <c r="AD719" s="5">
        <f ca="1">IFERROR(__xludf.DUMMYFUNCTION("""COMPUTED_VALUE"""),42)</f>
        <v>42</v>
      </c>
      <c r="AE719" s="5">
        <f ca="1">IFERROR(__xludf.DUMMYFUNCTION("""COMPUTED_VALUE"""),42)</f>
        <v>42</v>
      </c>
      <c r="AF719" s="5" t="b">
        <f ca="1">IFERROR(__xludf.DUMMYFUNCTION("""COMPUTED_VALUE"""),FALSE)</f>
        <v>0</v>
      </c>
      <c r="AG719" s="5" t="str">
        <f ca="1">IFERROR(__xludf.DUMMYFUNCTION("""COMPUTED_VALUE"""),"INSPECCIONES REALIZADAS")</f>
        <v>INSPECCIONES REALIZADAS</v>
      </c>
      <c r="AH719" s="5"/>
    </row>
    <row r="720" spans="1:34">
      <c r="A720" s="5" t="str">
        <f ca="1">IFERROR(__xludf.DUMMYFUNCTION("""COMPUTED_VALUE"""),"LINEA DE ENVASADO FAMILIAR Y PRB")</f>
        <v>LINEA DE ENVASADO FAMILIAR Y PRB</v>
      </c>
      <c r="B720" s="5">
        <f ca="1">IFERROR(__xludf.DUMMYFUNCTION("""COMPUTED_VALUE"""),510001)</f>
        <v>510001</v>
      </c>
      <c r="C720" s="5" t="str">
        <f ca="1">IFERROR(__xludf.DUMMYFUNCTION("""COMPUTED_VALUE"""),"LLENADORA")</f>
        <v>LLENADORA</v>
      </c>
      <c r="D720" s="5">
        <f ca="1">IFERROR(__xludf.DUMMYFUNCTION("""COMPUTED_VALUE"""),13247279)</f>
        <v>13247279</v>
      </c>
      <c r="E720" s="5" t="str">
        <f ca="1">IFERROR(__xludf.DUMMYFUNCTION("""COMPUTED_VALUE"""),"INSPECCION SEMANAL LLENADORA")</f>
        <v>INSPECCION SEMANAL LLENADORA</v>
      </c>
      <c r="F720" s="5" t="str">
        <f ca="1">IFERROR(__xludf.DUMMYFUNCTION("""COMPUTED_VALUE"""),"Estado de tuberías y empaquetaduras")</f>
        <v>Estado de tuberías y empaquetaduras</v>
      </c>
      <c r="G720" s="5" t="b">
        <f ca="1">IFERROR(__xludf.DUMMYFUNCTION("""COMPUTED_VALUE"""),TRUE)</f>
        <v>1</v>
      </c>
      <c r="H720" s="5"/>
      <c r="I720" s="5"/>
      <c r="J720" s="5">
        <f ca="1">IFERROR(__xludf.DUMMYFUNCTION("""COMPUTED_VALUE"""),13247279)</f>
        <v>13247279</v>
      </c>
      <c r="K720" s="5"/>
      <c r="L720" s="18">
        <f ca="1">IFERROR(__xludf.DUMMYFUNCTION("""COMPUTED_VALUE"""),45324)</f>
        <v>45324</v>
      </c>
      <c r="M720" s="18">
        <f ca="1">IFERROR(__xludf.DUMMYFUNCTION("""COMPUTED_VALUE"""),45324)</f>
        <v>45324</v>
      </c>
      <c r="N720" s="5" t="str">
        <f ca="1">IFERROR(__xludf.DUMMYFUNCTION("""COMPUTED_VALUE"""),"Poveda Jorge")</f>
        <v>Poveda Jorge</v>
      </c>
      <c r="O720" s="2">
        <f ca="1">IFERROR(__xludf.DUMMYFUNCTION("""COMPUTED_VALUE"""),0.043478261)</f>
        <v>4.3478260999999997E-2</v>
      </c>
      <c r="P720" s="5">
        <f ca="1">IFERROR(__xludf.DUMMYFUNCTION("""COMPUTED_VALUE"""),20038806)</f>
        <v>20038806</v>
      </c>
      <c r="Q720" s="5" t="str">
        <f ca="1">IFERROR(__xludf.DUMMYFUNCTION("""COMPUTED_VALUE"""),"5oJmOaEWd0Y")</f>
        <v>5oJmOaEWd0Y</v>
      </c>
      <c r="R720" s="5">
        <f ca="1">IFERROR(__xludf.DUMMYFUNCTION("""COMPUTED_VALUE"""),410)</f>
        <v>410</v>
      </c>
      <c r="S720" s="62">
        <f ca="1">IFERROR(__xludf.DUMMYFUNCTION("""COMPUTED_VALUE"""),0.043478261)</f>
        <v>4.3478260999999997E-2</v>
      </c>
      <c r="T720" s="63" t="str">
        <f ca="1">IFERROR(__xludf.DUMMYFUNCTION("""COMPUTED_VALUE"""),"https://storage.googleapis.com/glide-prod.appspot.com/uploads-v2/ly7o78grxPaC6KdgvbpS/pub/3aRdSog0vUtuqPE8AJKD.png")</f>
        <v>https://storage.googleapis.com/glide-prod.appspot.com/uploads-v2/ly7o78grxPaC6KdgvbpS/pub/3aRdSog0vUtuqPE8AJKD.png</v>
      </c>
      <c r="U720" s="5" t="str">
        <f ca="1">IFERROR(__xludf.DUMMYFUNCTION("""COMPUTED_VALUE"""),"LINEA DE ENVASADO FAMILIAR Y PRBLLENADORA")</f>
        <v>LINEA DE ENVASADO FAMILIAR Y PRBLLENADORA</v>
      </c>
      <c r="V720" s="5"/>
      <c r="W720" s="5" t="b">
        <f ca="1">IFERROR(__xludf.DUMMYFUNCTION("""COMPUTED_VALUE"""),TRUE)</f>
        <v>1</v>
      </c>
      <c r="X720" s="5" t="str">
        <f ca="1">IFERROR(__xludf.DUMMYFUNCTION("""COMPUTED_VALUE"""),"wguerra@postobon.com.co,aprmttoyu@postobon.com.co,aprmyu@postobon.com.co,wmora@postobon.com.co,efzapata@postobon.com.co")</f>
        <v>wguerra@postobon.com.co,aprmttoyu@postobon.com.co,aprmyu@postobon.com.co,wmora@postobon.com.co,efzapata@postobon.com.co</v>
      </c>
      <c r="Y720" s="5" t="str">
        <f ca="1">IFERROR(__xludf.DUMMYFUNCTION("""COMPUTED_VALUE"""),"wguerra@postobon.com.co")</f>
        <v>wguerra@postobon.com.co</v>
      </c>
      <c r="Z720" s="5" t="str">
        <f ca="1">IFERROR(__xludf.DUMMYFUNCTION("""COMPUTED_VALUE"""),"kBcYRPZaTmGnyKMJ.exvZw")</f>
        <v>kBcYRPZaTmGnyKMJ.exvZw</v>
      </c>
      <c r="AA720" s="5"/>
      <c r="AB720" s="5"/>
      <c r="AC720" s="5"/>
      <c r="AD720" s="5">
        <f ca="1">IFERROR(__xludf.DUMMYFUNCTION("""COMPUTED_VALUE"""),42)</f>
        <v>42</v>
      </c>
      <c r="AE720" s="5">
        <f ca="1">IFERROR(__xludf.DUMMYFUNCTION("""COMPUTED_VALUE"""),42)</f>
        <v>42</v>
      </c>
      <c r="AF720" s="5" t="b">
        <f ca="1">IFERROR(__xludf.DUMMYFUNCTION("""COMPUTED_VALUE"""),FALSE)</f>
        <v>0</v>
      </c>
      <c r="AG720" s="5" t="str">
        <f ca="1">IFERROR(__xludf.DUMMYFUNCTION("""COMPUTED_VALUE"""),"INSPECCIONES REALIZADAS")</f>
        <v>INSPECCIONES REALIZADAS</v>
      </c>
      <c r="AH720" s="5"/>
    </row>
    <row r="721" spans="1:34">
      <c r="A721" s="5" t="str">
        <f ca="1">IFERROR(__xludf.DUMMYFUNCTION("""COMPUTED_VALUE"""),"LINEA DE ENVASADO FAMILIAR Y PRB")</f>
        <v>LINEA DE ENVASADO FAMILIAR Y PRB</v>
      </c>
      <c r="B721" s="5">
        <f ca="1">IFERROR(__xludf.DUMMYFUNCTION("""COMPUTED_VALUE"""),510001)</f>
        <v>510001</v>
      </c>
      <c r="C721" s="5" t="str">
        <f ca="1">IFERROR(__xludf.DUMMYFUNCTION("""COMPUTED_VALUE"""),"LLENADORA")</f>
        <v>LLENADORA</v>
      </c>
      <c r="D721" s="5">
        <f ca="1">IFERROR(__xludf.DUMMYFUNCTION("""COMPUTED_VALUE"""),13247279)</f>
        <v>13247279</v>
      </c>
      <c r="E721" s="5" t="str">
        <f ca="1">IFERROR(__xludf.DUMMYFUNCTION("""COMPUTED_VALUE"""),"INSPECCION SEMANAL LLENADORA")</f>
        <v>INSPECCION SEMANAL LLENADORA</v>
      </c>
      <c r="F721" s="5" t="str">
        <f ca="1">IFERROR(__xludf.DUMMYFUNCTION("""COMPUTED_VALUE"""),"Estado unidad de mantenimiento neumatica")</f>
        <v>Estado unidad de mantenimiento neumatica</v>
      </c>
      <c r="G721" s="5" t="b">
        <f ca="1">IFERROR(__xludf.DUMMYFUNCTION("""COMPUTED_VALUE"""),TRUE)</f>
        <v>1</v>
      </c>
      <c r="H721" s="5"/>
      <c r="I721" s="5"/>
      <c r="J721" s="5">
        <f ca="1">IFERROR(__xludf.DUMMYFUNCTION("""COMPUTED_VALUE"""),13247279)</f>
        <v>13247279</v>
      </c>
      <c r="K721" s="5"/>
      <c r="L721" s="18">
        <f ca="1">IFERROR(__xludf.DUMMYFUNCTION("""COMPUTED_VALUE"""),45324)</f>
        <v>45324</v>
      </c>
      <c r="M721" s="18">
        <f ca="1">IFERROR(__xludf.DUMMYFUNCTION("""COMPUTED_VALUE"""),45324)</f>
        <v>45324</v>
      </c>
      <c r="N721" s="5" t="str">
        <f ca="1">IFERROR(__xludf.DUMMYFUNCTION("""COMPUTED_VALUE"""),"Poveda Jorge")</f>
        <v>Poveda Jorge</v>
      </c>
      <c r="O721" s="2">
        <f ca="1">IFERROR(__xludf.DUMMYFUNCTION("""COMPUTED_VALUE"""),0.043478261)</f>
        <v>4.3478260999999997E-2</v>
      </c>
      <c r="P721" s="5">
        <f ca="1">IFERROR(__xludf.DUMMYFUNCTION("""COMPUTED_VALUE"""),20038806)</f>
        <v>20038806</v>
      </c>
      <c r="Q721" s="5" t="str">
        <f ca="1">IFERROR(__xludf.DUMMYFUNCTION("""COMPUTED_VALUE"""),"L4jRxf35kp4")</f>
        <v>L4jRxf35kp4</v>
      </c>
      <c r="R721" s="5">
        <f ca="1">IFERROR(__xludf.DUMMYFUNCTION("""COMPUTED_VALUE"""),410)</f>
        <v>410</v>
      </c>
      <c r="S721" s="62">
        <f ca="1">IFERROR(__xludf.DUMMYFUNCTION("""COMPUTED_VALUE"""),0.043478261)</f>
        <v>4.3478260999999997E-2</v>
      </c>
      <c r="T721" s="63" t="str">
        <f ca="1">IFERROR(__xludf.DUMMYFUNCTION("""COMPUTED_VALUE"""),"https://storage.googleapis.com/glide-prod.appspot.com/uploads-v2/ly7o78grxPaC6KdgvbpS/pub/3aRdSog0vUtuqPE8AJKD.png")</f>
        <v>https://storage.googleapis.com/glide-prod.appspot.com/uploads-v2/ly7o78grxPaC6KdgvbpS/pub/3aRdSog0vUtuqPE8AJKD.png</v>
      </c>
      <c r="U721" s="5" t="str">
        <f ca="1">IFERROR(__xludf.DUMMYFUNCTION("""COMPUTED_VALUE"""),"LINEA DE ENVASADO FAMILIAR Y PRBLLENADORA")</f>
        <v>LINEA DE ENVASADO FAMILIAR Y PRBLLENADORA</v>
      </c>
      <c r="V721" s="5"/>
      <c r="W721" s="5" t="b">
        <f ca="1">IFERROR(__xludf.DUMMYFUNCTION("""COMPUTED_VALUE"""),TRUE)</f>
        <v>1</v>
      </c>
      <c r="X721" s="5" t="str">
        <f ca="1">IFERROR(__xludf.DUMMYFUNCTION("""COMPUTED_VALUE"""),"wguerra@postobon.com.co,aprmttoyu@postobon.com.co,aprmyu@postobon.com.co,wmora@postobon.com.co,efzapata@postobon.com.co")</f>
        <v>wguerra@postobon.com.co,aprmttoyu@postobon.com.co,aprmyu@postobon.com.co,wmora@postobon.com.co,efzapata@postobon.com.co</v>
      </c>
      <c r="Y721" s="5" t="str">
        <f ca="1">IFERROR(__xludf.DUMMYFUNCTION("""COMPUTED_VALUE"""),"wguerra@postobon.com.co")</f>
        <v>wguerra@postobon.com.co</v>
      </c>
      <c r="Z721" s="5" t="str">
        <f ca="1">IFERROR(__xludf.DUMMYFUNCTION("""COMPUTED_VALUE"""),"xTaTig0jSNKpGNDW7wnofg")</f>
        <v>xTaTig0jSNKpGNDW7wnofg</v>
      </c>
      <c r="AA721" s="5"/>
      <c r="AB721" s="5"/>
      <c r="AC721" s="5"/>
      <c r="AD721" s="5">
        <f ca="1">IFERROR(__xludf.DUMMYFUNCTION("""COMPUTED_VALUE"""),42)</f>
        <v>42</v>
      </c>
      <c r="AE721" s="5">
        <f ca="1">IFERROR(__xludf.DUMMYFUNCTION("""COMPUTED_VALUE"""),42)</f>
        <v>42</v>
      </c>
      <c r="AF721" s="5" t="b">
        <f ca="1">IFERROR(__xludf.DUMMYFUNCTION("""COMPUTED_VALUE"""),FALSE)</f>
        <v>0</v>
      </c>
      <c r="AG721" s="5" t="str">
        <f ca="1">IFERROR(__xludf.DUMMYFUNCTION("""COMPUTED_VALUE"""),"INSPECCIONES REALIZADAS")</f>
        <v>INSPECCIONES REALIZADAS</v>
      </c>
      <c r="AH721" s="5"/>
    </row>
    <row r="722" spans="1:34">
      <c r="A722" s="5" t="str">
        <f ca="1">IFERROR(__xludf.DUMMYFUNCTION("""COMPUTED_VALUE"""),"LINEA DE ENVASADO FAMILIAR Y PRB")</f>
        <v>LINEA DE ENVASADO FAMILIAR Y PRB</v>
      </c>
      <c r="B722" s="5">
        <f ca="1">IFERROR(__xludf.DUMMYFUNCTION("""COMPUTED_VALUE"""),510001)</f>
        <v>510001</v>
      </c>
      <c r="C722" s="5" t="str">
        <f ca="1">IFERROR(__xludf.DUMMYFUNCTION("""COMPUTED_VALUE"""),"LLENADORA")</f>
        <v>LLENADORA</v>
      </c>
      <c r="D722" s="5">
        <f ca="1">IFERROR(__xludf.DUMMYFUNCTION("""COMPUTED_VALUE"""),13247279)</f>
        <v>13247279</v>
      </c>
      <c r="E722" s="5" t="str">
        <f ca="1">IFERROR(__xludf.DUMMYFUNCTION("""COMPUTED_VALUE"""),"INSPECCION SEMANAL LLENADORA")</f>
        <v>INSPECCION SEMANAL LLENADORA</v>
      </c>
      <c r="F722" s="5" t="str">
        <f ca="1">IFERROR(__xludf.DUMMYFUNCTION("""COMPUTED_VALUE"""),"Estado de guías de pistones y rodillos")</f>
        <v>Estado de guías de pistones y rodillos</v>
      </c>
      <c r="G722" s="5" t="b">
        <f ca="1">IFERROR(__xludf.DUMMYFUNCTION("""COMPUTED_VALUE"""),TRUE)</f>
        <v>1</v>
      </c>
      <c r="H722" s="5"/>
      <c r="I722" s="5"/>
      <c r="J722" s="5">
        <f ca="1">IFERROR(__xludf.DUMMYFUNCTION("""COMPUTED_VALUE"""),13247279)</f>
        <v>13247279</v>
      </c>
      <c r="K722" s="5"/>
      <c r="L722" s="18">
        <f ca="1">IFERROR(__xludf.DUMMYFUNCTION("""COMPUTED_VALUE"""),45324)</f>
        <v>45324</v>
      </c>
      <c r="M722" s="18">
        <f ca="1">IFERROR(__xludf.DUMMYFUNCTION("""COMPUTED_VALUE"""),45324)</f>
        <v>45324</v>
      </c>
      <c r="N722" s="5" t="str">
        <f ca="1">IFERROR(__xludf.DUMMYFUNCTION("""COMPUTED_VALUE"""),"Poveda Jorge")</f>
        <v>Poveda Jorge</v>
      </c>
      <c r="O722" s="2">
        <f ca="1">IFERROR(__xludf.DUMMYFUNCTION("""COMPUTED_VALUE"""),0.043478261)</f>
        <v>4.3478260999999997E-2</v>
      </c>
      <c r="P722" s="5">
        <f ca="1">IFERROR(__xludf.DUMMYFUNCTION("""COMPUTED_VALUE"""),20038806)</f>
        <v>20038806</v>
      </c>
      <c r="Q722" s="5" t="str">
        <f ca="1">IFERROR(__xludf.DUMMYFUNCTION("""COMPUTED_VALUE"""),"n25uJmAvvEU")</f>
        <v>n25uJmAvvEU</v>
      </c>
      <c r="R722" s="5">
        <f ca="1">IFERROR(__xludf.DUMMYFUNCTION("""COMPUTED_VALUE"""),410)</f>
        <v>410</v>
      </c>
      <c r="S722" s="62">
        <f ca="1">IFERROR(__xludf.DUMMYFUNCTION("""COMPUTED_VALUE"""),0.043478261)</f>
        <v>4.3478260999999997E-2</v>
      </c>
      <c r="T722" s="63" t="str">
        <f ca="1">IFERROR(__xludf.DUMMYFUNCTION("""COMPUTED_VALUE"""),"https://storage.googleapis.com/glide-prod.appspot.com/uploads-v2/ly7o78grxPaC6KdgvbpS/pub/3aRdSog0vUtuqPE8AJKD.png")</f>
        <v>https://storage.googleapis.com/glide-prod.appspot.com/uploads-v2/ly7o78grxPaC6KdgvbpS/pub/3aRdSog0vUtuqPE8AJKD.png</v>
      </c>
      <c r="U722" s="5" t="str">
        <f ca="1">IFERROR(__xludf.DUMMYFUNCTION("""COMPUTED_VALUE"""),"LINEA DE ENVASADO FAMILIAR Y PRBLLENADORA")</f>
        <v>LINEA DE ENVASADO FAMILIAR Y PRBLLENADORA</v>
      </c>
      <c r="V722" s="5"/>
      <c r="W722" s="5" t="b">
        <f ca="1">IFERROR(__xludf.DUMMYFUNCTION("""COMPUTED_VALUE"""),TRUE)</f>
        <v>1</v>
      </c>
      <c r="X722" s="5" t="str">
        <f ca="1">IFERROR(__xludf.DUMMYFUNCTION("""COMPUTED_VALUE"""),"wguerra@postobon.com.co,aprmttoyu@postobon.com.co,aprmyu@postobon.com.co,wmora@postobon.com.co,efzapata@postobon.com.co")</f>
        <v>wguerra@postobon.com.co,aprmttoyu@postobon.com.co,aprmyu@postobon.com.co,wmora@postobon.com.co,efzapata@postobon.com.co</v>
      </c>
      <c r="Y722" s="5" t="str">
        <f ca="1">IFERROR(__xludf.DUMMYFUNCTION("""COMPUTED_VALUE"""),"wguerra@postobon.com.co")</f>
        <v>wguerra@postobon.com.co</v>
      </c>
      <c r="Z722" s="5" t="str">
        <f ca="1">IFERROR(__xludf.DUMMYFUNCTION("""COMPUTED_VALUE"""),"uuelCiioTbuvPsnC-Sa-wg")</f>
        <v>uuelCiioTbuvPsnC-Sa-wg</v>
      </c>
      <c r="AA722" s="5"/>
      <c r="AB722" s="5"/>
      <c r="AC722" s="5"/>
      <c r="AD722" s="5">
        <f ca="1">IFERROR(__xludf.DUMMYFUNCTION("""COMPUTED_VALUE"""),42)</f>
        <v>42</v>
      </c>
      <c r="AE722" s="5">
        <f ca="1">IFERROR(__xludf.DUMMYFUNCTION("""COMPUTED_VALUE"""),42)</f>
        <v>42</v>
      </c>
      <c r="AF722" s="5" t="b">
        <f ca="1">IFERROR(__xludf.DUMMYFUNCTION("""COMPUTED_VALUE"""),FALSE)</f>
        <v>0</v>
      </c>
      <c r="AG722" s="5" t="str">
        <f ca="1">IFERROR(__xludf.DUMMYFUNCTION("""COMPUTED_VALUE"""),"INSPECCIONES REALIZADAS")</f>
        <v>INSPECCIONES REALIZADAS</v>
      </c>
      <c r="AH722" s="5"/>
    </row>
    <row r="723" spans="1:34">
      <c r="A723" s="5" t="str">
        <f ca="1">IFERROR(__xludf.DUMMYFUNCTION("""COMPUTED_VALUE"""),"LINEA DE ENVASADO FAMILIAR Y PRB")</f>
        <v>LINEA DE ENVASADO FAMILIAR Y PRB</v>
      </c>
      <c r="B723" s="5">
        <f ca="1">IFERROR(__xludf.DUMMYFUNCTION("""COMPUTED_VALUE"""),510001)</f>
        <v>510001</v>
      </c>
      <c r="C723" s="5" t="str">
        <f ca="1">IFERROR(__xludf.DUMMYFUNCTION("""COMPUTED_VALUE"""),"LLENADORA")</f>
        <v>LLENADORA</v>
      </c>
      <c r="D723" s="5">
        <f ca="1">IFERROR(__xludf.DUMMYFUNCTION("""COMPUTED_VALUE"""),13247279)</f>
        <v>13247279</v>
      </c>
      <c r="E723" s="5" t="str">
        <f ca="1">IFERROR(__xludf.DUMMYFUNCTION("""COMPUTED_VALUE"""),"INSPECCION SEMANAL LLENADORA")</f>
        <v>INSPECCION SEMANAL LLENADORA</v>
      </c>
      <c r="F723" s="5" t="str">
        <f ca="1">IFERROR(__xludf.DUMMYFUNCTION("""COMPUTED_VALUE"""),"Estado de nivel de llenado")</f>
        <v>Estado de nivel de llenado</v>
      </c>
      <c r="G723" s="5" t="b">
        <f ca="1">IFERROR(__xludf.DUMMYFUNCTION("""COMPUTED_VALUE"""),TRUE)</f>
        <v>1</v>
      </c>
      <c r="H723" s="5"/>
      <c r="I723" s="5"/>
      <c r="J723" s="5">
        <f ca="1">IFERROR(__xludf.DUMMYFUNCTION("""COMPUTED_VALUE"""),13247279)</f>
        <v>13247279</v>
      </c>
      <c r="K723" s="5"/>
      <c r="L723" s="18">
        <f ca="1">IFERROR(__xludf.DUMMYFUNCTION("""COMPUTED_VALUE"""),45324)</f>
        <v>45324</v>
      </c>
      <c r="M723" s="18">
        <f ca="1">IFERROR(__xludf.DUMMYFUNCTION("""COMPUTED_VALUE"""),45324)</f>
        <v>45324</v>
      </c>
      <c r="N723" s="5" t="str">
        <f ca="1">IFERROR(__xludf.DUMMYFUNCTION("""COMPUTED_VALUE"""),"Poveda Jorge")</f>
        <v>Poveda Jorge</v>
      </c>
      <c r="O723" s="2">
        <f ca="1">IFERROR(__xludf.DUMMYFUNCTION("""COMPUTED_VALUE"""),0.043478261)</f>
        <v>4.3478260999999997E-2</v>
      </c>
      <c r="P723" s="5">
        <f ca="1">IFERROR(__xludf.DUMMYFUNCTION("""COMPUTED_VALUE"""),20038806)</f>
        <v>20038806</v>
      </c>
      <c r="Q723" s="5" t="str">
        <f ca="1">IFERROR(__xludf.DUMMYFUNCTION("""COMPUTED_VALUE"""),"rhXyQyBYuPY")</f>
        <v>rhXyQyBYuPY</v>
      </c>
      <c r="R723" s="5">
        <f ca="1">IFERROR(__xludf.DUMMYFUNCTION("""COMPUTED_VALUE"""),410)</f>
        <v>410</v>
      </c>
      <c r="S723" s="62">
        <f ca="1">IFERROR(__xludf.DUMMYFUNCTION("""COMPUTED_VALUE"""),0.043478261)</f>
        <v>4.3478260999999997E-2</v>
      </c>
      <c r="T723" s="63" t="str">
        <f ca="1">IFERROR(__xludf.DUMMYFUNCTION("""COMPUTED_VALUE"""),"https://storage.googleapis.com/glide-prod.appspot.com/uploads-v2/ly7o78grxPaC6KdgvbpS/pub/3aRdSog0vUtuqPE8AJKD.png")</f>
        <v>https://storage.googleapis.com/glide-prod.appspot.com/uploads-v2/ly7o78grxPaC6KdgvbpS/pub/3aRdSog0vUtuqPE8AJKD.png</v>
      </c>
      <c r="U723" s="5" t="str">
        <f ca="1">IFERROR(__xludf.DUMMYFUNCTION("""COMPUTED_VALUE"""),"LINEA DE ENVASADO FAMILIAR Y PRBLLENADORA")</f>
        <v>LINEA DE ENVASADO FAMILIAR Y PRBLLENADORA</v>
      </c>
      <c r="V723" s="5"/>
      <c r="W723" s="5" t="b">
        <f ca="1">IFERROR(__xludf.DUMMYFUNCTION("""COMPUTED_VALUE"""),TRUE)</f>
        <v>1</v>
      </c>
      <c r="X723" s="5" t="str">
        <f ca="1">IFERROR(__xludf.DUMMYFUNCTION("""COMPUTED_VALUE"""),"wguerra@postobon.com.co,aprmttoyu@postobon.com.co,aprmyu@postobon.com.co,wmora@postobon.com.co,efzapata@postobon.com.co")</f>
        <v>wguerra@postobon.com.co,aprmttoyu@postobon.com.co,aprmyu@postobon.com.co,wmora@postobon.com.co,efzapata@postobon.com.co</v>
      </c>
      <c r="Y723" s="5" t="str">
        <f ca="1">IFERROR(__xludf.DUMMYFUNCTION("""COMPUTED_VALUE"""),"wguerra@postobon.com.co")</f>
        <v>wguerra@postobon.com.co</v>
      </c>
      <c r="Z723" s="5" t="str">
        <f ca="1">IFERROR(__xludf.DUMMYFUNCTION("""COMPUTED_VALUE"""),"uUN.uB0rTXWS4jgYDq.8Vg")</f>
        <v>uUN.uB0rTXWS4jgYDq.8Vg</v>
      </c>
      <c r="AA723" s="5"/>
      <c r="AB723" s="5"/>
      <c r="AC723" s="5"/>
      <c r="AD723" s="5">
        <f ca="1">IFERROR(__xludf.DUMMYFUNCTION("""COMPUTED_VALUE"""),42)</f>
        <v>42</v>
      </c>
      <c r="AE723" s="5">
        <f ca="1">IFERROR(__xludf.DUMMYFUNCTION("""COMPUTED_VALUE"""),42)</f>
        <v>42</v>
      </c>
      <c r="AF723" s="5" t="b">
        <f ca="1">IFERROR(__xludf.DUMMYFUNCTION("""COMPUTED_VALUE"""),FALSE)</f>
        <v>0</v>
      </c>
      <c r="AG723" s="5" t="str">
        <f ca="1">IFERROR(__xludf.DUMMYFUNCTION("""COMPUTED_VALUE"""),"INSPECCIONES REALIZADAS")</f>
        <v>INSPECCIONES REALIZADAS</v>
      </c>
      <c r="AH723" s="5"/>
    </row>
    <row r="724" spans="1:34">
      <c r="A724" s="5" t="str">
        <f ca="1">IFERROR(__xludf.DUMMYFUNCTION("""COMPUTED_VALUE"""),"LINEA DE ENVASADO FAMILIAR Y PRB")</f>
        <v>LINEA DE ENVASADO FAMILIAR Y PRB</v>
      </c>
      <c r="B724" s="5">
        <f ca="1">IFERROR(__xludf.DUMMYFUNCTION("""COMPUTED_VALUE"""),510001)</f>
        <v>510001</v>
      </c>
      <c r="C724" s="5" t="str">
        <f ca="1">IFERROR(__xludf.DUMMYFUNCTION("""COMPUTED_VALUE"""),"LLENADORA")</f>
        <v>LLENADORA</v>
      </c>
      <c r="D724" s="5">
        <f ca="1">IFERROR(__xludf.DUMMYFUNCTION("""COMPUTED_VALUE"""),13247279)</f>
        <v>13247279</v>
      </c>
      <c r="E724" s="5" t="str">
        <f ca="1">IFERROR(__xludf.DUMMYFUNCTION("""COMPUTED_VALUE"""),"INSPECCION SEMANAL LLENADORA")</f>
        <v>INSPECCION SEMANAL LLENADORA</v>
      </c>
      <c r="F724" s="5" t="str">
        <f ca="1">IFERROR(__xludf.DUMMYFUNCTION("""COMPUTED_VALUE"""),"Estado de guías plásticas y estrellas de transferencia")</f>
        <v>Estado de guías plásticas y estrellas de transferencia</v>
      </c>
      <c r="G724" s="5" t="b">
        <f ca="1">IFERROR(__xludf.DUMMYFUNCTION("""COMPUTED_VALUE"""),TRUE)</f>
        <v>1</v>
      </c>
      <c r="H724" s="5"/>
      <c r="I724" s="5"/>
      <c r="J724" s="5">
        <f ca="1">IFERROR(__xludf.DUMMYFUNCTION("""COMPUTED_VALUE"""),13247279)</f>
        <v>13247279</v>
      </c>
      <c r="K724" s="5"/>
      <c r="L724" s="18">
        <f ca="1">IFERROR(__xludf.DUMMYFUNCTION("""COMPUTED_VALUE"""),45324)</f>
        <v>45324</v>
      </c>
      <c r="M724" s="18">
        <f ca="1">IFERROR(__xludf.DUMMYFUNCTION("""COMPUTED_VALUE"""),45324)</f>
        <v>45324</v>
      </c>
      <c r="N724" s="5" t="str">
        <f ca="1">IFERROR(__xludf.DUMMYFUNCTION("""COMPUTED_VALUE"""),"Poveda Jorge")</f>
        <v>Poveda Jorge</v>
      </c>
      <c r="O724" s="2">
        <f ca="1">IFERROR(__xludf.DUMMYFUNCTION("""COMPUTED_VALUE"""),0.043478261)</f>
        <v>4.3478260999999997E-2</v>
      </c>
      <c r="P724" s="5">
        <f ca="1">IFERROR(__xludf.DUMMYFUNCTION("""COMPUTED_VALUE"""),20038806)</f>
        <v>20038806</v>
      </c>
      <c r="Q724" s="5" t="str">
        <f ca="1">IFERROR(__xludf.DUMMYFUNCTION("""COMPUTED_VALUE"""),"6DKxDfASCzc")</f>
        <v>6DKxDfASCzc</v>
      </c>
      <c r="R724" s="5">
        <f ca="1">IFERROR(__xludf.DUMMYFUNCTION("""COMPUTED_VALUE"""),410)</f>
        <v>410</v>
      </c>
      <c r="S724" s="62">
        <f ca="1">IFERROR(__xludf.DUMMYFUNCTION("""COMPUTED_VALUE"""),0.043478261)</f>
        <v>4.3478260999999997E-2</v>
      </c>
      <c r="T724" s="63" t="str">
        <f ca="1">IFERROR(__xludf.DUMMYFUNCTION("""COMPUTED_VALUE"""),"https://storage.googleapis.com/glide-prod.appspot.com/uploads-v2/ly7o78grxPaC6KdgvbpS/pub/3aRdSog0vUtuqPE8AJKD.png")</f>
        <v>https://storage.googleapis.com/glide-prod.appspot.com/uploads-v2/ly7o78grxPaC6KdgvbpS/pub/3aRdSog0vUtuqPE8AJKD.png</v>
      </c>
      <c r="U724" s="5" t="str">
        <f ca="1">IFERROR(__xludf.DUMMYFUNCTION("""COMPUTED_VALUE"""),"LINEA DE ENVASADO FAMILIAR Y PRBLLENADORA")</f>
        <v>LINEA DE ENVASADO FAMILIAR Y PRBLLENADORA</v>
      </c>
      <c r="V724" s="5"/>
      <c r="W724" s="5" t="b">
        <f ca="1">IFERROR(__xludf.DUMMYFUNCTION("""COMPUTED_VALUE"""),TRUE)</f>
        <v>1</v>
      </c>
      <c r="X724" s="5" t="str">
        <f ca="1">IFERROR(__xludf.DUMMYFUNCTION("""COMPUTED_VALUE"""),"wguerra@postobon.com.co,aprmttoyu@postobon.com.co,aprmyu@postobon.com.co,wmora@postobon.com.co,efzapata@postobon.com.co")</f>
        <v>wguerra@postobon.com.co,aprmttoyu@postobon.com.co,aprmyu@postobon.com.co,wmora@postobon.com.co,efzapata@postobon.com.co</v>
      </c>
      <c r="Y724" s="5" t="str">
        <f ca="1">IFERROR(__xludf.DUMMYFUNCTION("""COMPUTED_VALUE"""),"wguerra@postobon.com.co")</f>
        <v>wguerra@postobon.com.co</v>
      </c>
      <c r="Z724" s="5" t="str">
        <f ca="1">IFERROR(__xludf.DUMMYFUNCTION("""COMPUTED_VALUE"""),"3BE.pF6bQF-Nzo37ktYiug")</f>
        <v>3BE.pF6bQF-Nzo37ktYiug</v>
      </c>
      <c r="AA724" s="5"/>
      <c r="AB724" s="5"/>
      <c r="AC724" s="5"/>
      <c r="AD724" s="5">
        <f ca="1">IFERROR(__xludf.DUMMYFUNCTION("""COMPUTED_VALUE"""),42)</f>
        <v>42</v>
      </c>
      <c r="AE724" s="5">
        <f ca="1">IFERROR(__xludf.DUMMYFUNCTION("""COMPUTED_VALUE"""),42)</f>
        <v>42</v>
      </c>
      <c r="AF724" s="5" t="b">
        <f ca="1">IFERROR(__xludf.DUMMYFUNCTION("""COMPUTED_VALUE"""),FALSE)</f>
        <v>0</v>
      </c>
      <c r="AG724" s="5" t="str">
        <f ca="1">IFERROR(__xludf.DUMMYFUNCTION("""COMPUTED_VALUE"""),"INSPECCIONES REALIZADAS")</f>
        <v>INSPECCIONES REALIZADAS</v>
      </c>
      <c r="AH724" s="5"/>
    </row>
    <row r="725" spans="1:34">
      <c r="A725" s="5" t="str">
        <f ca="1">IFERROR(__xludf.DUMMYFUNCTION("""COMPUTED_VALUE"""),"LINEA DE ENVASADO FAMILIAR Y PRB")</f>
        <v>LINEA DE ENVASADO FAMILIAR Y PRB</v>
      </c>
      <c r="B725" s="5">
        <f ca="1">IFERROR(__xludf.DUMMYFUNCTION("""COMPUTED_VALUE"""),510001)</f>
        <v>510001</v>
      </c>
      <c r="C725" s="5" t="str">
        <f ca="1">IFERROR(__xludf.DUMMYFUNCTION("""COMPUTED_VALUE"""),"LLENADORA")</f>
        <v>LLENADORA</v>
      </c>
      <c r="D725" s="5">
        <f ca="1">IFERROR(__xludf.DUMMYFUNCTION("""COMPUTED_VALUE"""),13247279)</f>
        <v>13247279</v>
      </c>
      <c r="E725" s="5" t="str">
        <f ca="1">IFERROR(__xludf.DUMMYFUNCTION("""COMPUTED_VALUE"""),"INSPECCION SEMANAL LLENADORA")</f>
        <v>INSPECCION SEMANAL LLENADORA</v>
      </c>
      <c r="F725" s="5" t="str">
        <f ca="1">IFERROR(__xludf.DUMMYFUNCTION("""COMPUTED_VALUE"""),"Estado de tableros eléctricos de mando, control y potencia")</f>
        <v>Estado de tableros eléctricos de mando, control y potencia</v>
      </c>
      <c r="G725" s="5" t="b">
        <f ca="1">IFERROR(__xludf.DUMMYFUNCTION("""COMPUTED_VALUE"""),TRUE)</f>
        <v>1</v>
      </c>
      <c r="H725" s="5"/>
      <c r="I725" s="5"/>
      <c r="J725" s="5">
        <f ca="1">IFERROR(__xludf.DUMMYFUNCTION("""COMPUTED_VALUE"""),13247279)</f>
        <v>13247279</v>
      </c>
      <c r="K725" s="5"/>
      <c r="L725" s="18">
        <f ca="1">IFERROR(__xludf.DUMMYFUNCTION("""COMPUTED_VALUE"""),45324)</f>
        <v>45324</v>
      </c>
      <c r="M725" s="18">
        <f ca="1">IFERROR(__xludf.DUMMYFUNCTION("""COMPUTED_VALUE"""),45324)</f>
        <v>45324</v>
      </c>
      <c r="N725" s="5" t="str">
        <f ca="1">IFERROR(__xludf.DUMMYFUNCTION("""COMPUTED_VALUE"""),"Poveda Jorge")</f>
        <v>Poveda Jorge</v>
      </c>
      <c r="O725" s="2">
        <f ca="1">IFERROR(__xludf.DUMMYFUNCTION("""COMPUTED_VALUE"""),0.043478261)</f>
        <v>4.3478260999999997E-2</v>
      </c>
      <c r="P725" s="5">
        <f ca="1">IFERROR(__xludf.DUMMYFUNCTION("""COMPUTED_VALUE"""),20038806)</f>
        <v>20038806</v>
      </c>
      <c r="Q725" s="5" t="str">
        <f ca="1">IFERROR(__xludf.DUMMYFUNCTION("""COMPUTED_VALUE"""),"PIkLiG4m1_Q")</f>
        <v>PIkLiG4m1_Q</v>
      </c>
      <c r="R725" s="5">
        <f ca="1">IFERROR(__xludf.DUMMYFUNCTION("""COMPUTED_VALUE"""),410)</f>
        <v>410</v>
      </c>
      <c r="S725" s="62">
        <f ca="1">IFERROR(__xludf.DUMMYFUNCTION("""COMPUTED_VALUE"""),0.043478261)</f>
        <v>4.3478260999999997E-2</v>
      </c>
      <c r="T725" s="63" t="str">
        <f ca="1">IFERROR(__xludf.DUMMYFUNCTION("""COMPUTED_VALUE"""),"https://storage.googleapis.com/glide-prod.appspot.com/uploads-v2/ly7o78grxPaC6KdgvbpS/pub/3aRdSog0vUtuqPE8AJKD.png")</f>
        <v>https://storage.googleapis.com/glide-prod.appspot.com/uploads-v2/ly7o78grxPaC6KdgvbpS/pub/3aRdSog0vUtuqPE8AJKD.png</v>
      </c>
      <c r="U725" s="5" t="str">
        <f ca="1">IFERROR(__xludf.DUMMYFUNCTION("""COMPUTED_VALUE"""),"LINEA DE ENVASADO FAMILIAR Y PRBLLENADORA")</f>
        <v>LINEA DE ENVASADO FAMILIAR Y PRBLLENADORA</v>
      </c>
      <c r="V725" s="5"/>
      <c r="W725" s="5" t="b">
        <f ca="1">IFERROR(__xludf.DUMMYFUNCTION("""COMPUTED_VALUE"""),TRUE)</f>
        <v>1</v>
      </c>
      <c r="X725" s="5" t="str">
        <f ca="1">IFERROR(__xludf.DUMMYFUNCTION("""COMPUTED_VALUE"""),"wguerra@postobon.com.co,aprmttoyu@postobon.com.co,aprmyu@postobon.com.co,wmora@postobon.com.co,efzapata@postobon.com.co")</f>
        <v>wguerra@postobon.com.co,aprmttoyu@postobon.com.co,aprmyu@postobon.com.co,wmora@postobon.com.co,efzapata@postobon.com.co</v>
      </c>
      <c r="Y725" s="5" t="str">
        <f ca="1">IFERROR(__xludf.DUMMYFUNCTION("""COMPUTED_VALUE"""),"wguerra@postobon.com.co")</f>
        <v>wguerra@postobon.com.co</v>
      </c>
      <c r="Z725" s="5" t="str">
        <f ca="1">IFERROR(__xludf.DUMMYFUNCTION("""COMPUTED_VALUE"""),"YLYQijRlSvq1UzodufWkyw")</f>
        <v>YLYQijRlSvq1UzodufWkyw</v>
      </c>
      <c r="AA725" s="5"/>
      <c r="AB725" s="5"/>
      <c r="AC725" s="5"/>
      <c r="AD725" s="5">
        <f ca="1">IFERROR(__xludf.DUMMYFUNCTION("""COMPUTED_VALUE"""),42)</f>
        <v>42</v>
      </c>
      <c r="AE725" s="5">
        <f ca="1">IFERROR(__xludf.DUMMYFUNCTION("""COMPUTED_VALUE"""),42)</f>
        <v>42</v>
      </c>
      <c r="AF725" s="5" t="b">
        <f ca="1">IFERROR(__xludf.DUMMYFUNCTION("""COMPUTED_VALUE"""),FALSE)</f>
        <v>0</v>
      </c>
      <c r="AG725" s="5" t="str">
        <f ca="1">IFERROR(__xludf.DUMMYFUNCTION("""COMPUTED_VALUE"""),"INSPECCIONES REALIZADAS")</f>
        <v>INSPECCIONES REALIZADAS</v>
      </c>
      <c r="AH725" s="5"/>
    </row>
    <row r="726" spans="1:34">
      <c r="A726" s="5" t="str">
        <f ca="1">IFERROR(__xludf.DUMMYFUNCTION("""COMPUTED_VALUE"""),"LINEA DE ENVASADO FAMILIAR Y PRB")</f>
        <v>LINEA DE ENVASADO FAMILIAR Y PRB</v>
      </c>
      <c r="B726" s="5">
        <f ca="1">IFERROR(__xludf.DUMMYFUNCTION("""COMPUTED_VALUE"""),510001)</f>
        <v>510001</v>
      </c>
      <c r="C726" s="5" t="str">
        <f ca="1">IFERROR(__xludf.DUMMYFUNCTION("""COMPUTED_VALUE"""),"LLENADORA")</f>
        <v>LLENADORA</v>
      </c>
      <c r="D726" s="5">
        <f ca="1">IFERROR(__xludf.DUMMYFUNCTION("""COMPUTED_VALUE"""),13247279)</f>
        <v>13247279</v>
      </c>
      <c r="E726" s="5" t="str">
        <f ca="1">IFERROR(__xludf.DUMMYFUNCTION("""COMPUTED_VALUE"""),"INSPECCION SEMANAL LLENADORA")</f>
        <v>INSPECCION SEMANAL LLENADORA</v>
      </c>
      <c r="F726" s="5" t="str">
        <f ca="1">IFERROR(__xludf.DUMMYFUNCTION("""COMPUTED_VALUE"""),"Estado de tornillos del árbol Central que sostienen el Bowl")</f>
        <v>Estado de tornillos del árbol Central que sostienen el Bowl</v>
      </c>
      <c r="G726" s="5" t="b">
        <f ca="1">IFERROR(__xludf.DUMMYFUNCTION("""COMPUTED_VALUE"""),TRUE)</f>
        <v>1</v>
      </c>
      <c r="H726" s="5"/>
      <c r="I726" s="5"/>
      <c r="J726" s="5">
        <f ca="1">IFERROR(__xludf.DUMMYFUNCTION("""COMPUTED_VALUE"""),13247279)</f>
        <v>13247279</v>
      </c>
      <c r="K726" s="5"/>
      <c r="L726" s="18">
        <f ca="1">IFERROR(__xludf.DUMMYFUNCTION("""COMPUTED_VALUE"""),45324)</f>
        <v>45324</v>
      </c>
      <c r="M726" s="18">
        <f ca="1">IFERROR(__xludf.DUMMYFUNCTION("""COMPUTED_VALUE"""),45324)</f>
        <v>45324</v>
      </c>
      <c r="N726" s="5" t="str">
        <f ca="1">IFERROR(__xludf.DUMMYFUNCTION("""COMPUTED_VALUE"""),"Poveda Jorge")</f>
        <v>Poveda Jorge</v>
      </c>
      <c r="O726" s="2">
        <f ca="1">IFERROR(__xludf.DUMMYFUNCTION("""COMPUTED_VALUE"""),0.043478261)</f>
        <v>4.3478260999999997E-2</v>
      </c>
      <c r="P726" s="5">
        <f ca="1">IFERROR(__xludf.DUMMYFUNCTION("""COMPUTED_VALUE"""),20038806)</f>
        <v>20038806</v>
      </c>
      <c r="Q726" s="5" t="str">
        <f ca="1">IFERROR(__xludf.DUMMYFUNCTION("""COMPUTED_VALUE"""),"hLYJhGNUE0k")</f>
        <v>hLYJhGNUE0k</v>
      </c>
      <c r="R726" s="5">
        <f ca="1">IFERROR(__xludf.DUMMYFUNCTION("""COMPUTED_VALUE"""),410)</f>
        <v>410</v>
      </c>
      <c r="S726" s="62">
        <f ca="1">IFERROR(__xludf.DUMMYFUNCTION("""COMPUTED_VALUE"""),0.043478261)</f>
        <v>4.3478260999999997E-2</v>
      </c>
      <c r="T726" s="63" t="str">
        <f ca="1">IFERROR(__xludf.DUMMYFUNCTION("""COMPUTED_VALUE"""),"https://storage.googleapis.com/glide-prod.appspot.com/uploads-v2/ly7o78grxPaC6KdgvbpS/pub/3aRdSog0vUtuqPE8AJKD.png")</f>
        <v>https://storage.googleapis.com/glide-prod.appspot.com/uploads-v2/ly7o78grxPaC6KdgvbpS/pub/3aRdSog0vUtuqPE8AJKD.png</v>
      </c>
      <c r="U726" s="5" t="str">
        <f ca="1">IFERROR(__xludf.DUMMYFUNCTION("""COMPUTED_VALUE"""),"LINEA DE ENVASADO FAMILIAR Y PRBLLENADORA")</f>
        <v>LINEA DE ENVASADO FAMILIAR Y PRBLLENADORA</v>
      </c>
      <c r="V726" s="5"/>
      <c r="W726" s="5" t="b">
        <f ca="1">IFERROR(__xludf.DUMMYFUNCTION("""COMPUTED_VALUE"""),TRUE)</f>
        <v>1</v>
      </c>
      <c r="X726" s="5" t="str">
        <f ca="1">IFERROR(__xludf.DUMMYFUNCTION("""COMPUTED_VALUE"""),"wguerra@postobon.com.co,aprmttoyu@postobon.com.co,aprmyu@postobon.com.co,wmora@postobon.com.co,efzapata@postobon.com.co")</f>
        <v>wguerra@postobon.com.co,aprmttoyu@postobon.com.co,aprmyu@postobon.com.co,wmora@postobon.com.co,efzapata@postobon.com.co</v>
      </c>
      <c r="Y726" s="5" t="str">
        <f ca="1">IFERROR(__xludf.DUMMYFUNCTION("""COMPUTED_VALUE"""),"wguerra@postobon.com.co")</f>
        <v>wguerra@postobon.com.co</v>
      </c>
      <c r="Z726" s="5" t="str">
        <f ca="1">IFERROR(__xludf.DUMMYFUNCTION("""COMPUTED_VALUE"""),"boxXGVc2SViEekGIcxNk1g")</f>
        <v>boxXGVc2SViEekGIcxNk1g</v>
      </c>
      <c r="AA726" s="5"/>
      <c r="AB726" s="5"/>
      <c r="AC726" s="5"/>
      <c r="AD726" s="5">
        <f ca="1">IFERROR(__xludf.DUMMYFUNCTION("""COMPUTED_VALUE"""),42)</f>
        <v>42</v>
      </c>
      <c r="AE726" s="5">
        <f ca="1">IFERROR(__xludf.DUMMYFUNCTION("""COMPUTED_VALUE"""),42)</f>
        <v>42</v>
      </c>
      <c r="AF726" s="5" t="b">
        <f ca="1">IFERROR(__xludf.DUMMYFUNCTION("""COMPUTED_VALUE"""),FALSE)</f>
        <v>0</v>
      </c>
      <c r="AG726" s="5" t="str">
        <f ca="1">IFERROR(__xludf.DUMMYFUNCTION("""COMPUTED_VALUE"""),"INSPECCIONES REALIZADAS")</f>
        <v>INSPECCIONES REALIZADAS</v>
      </c>
      <c r="AH726" s="5"/>
    </row>
    <row r="727" spans="1:34">
      <c r="A727" s="5" t="str">
        <f ca="1">IFERROR(__xludf.DUMMYFUNCTION("""COMPUTED_VALUE"""),"LINEA DE ENVASADO FAMILIAR Y PRB")</f>
        <v>LINEA DE ENVASADO FAMILIAR Y PRB</v>
      </c>
      <c r="B727" s="5">
        <f ca="1">IFERROR(__xludf.DUMMYFUNCTION("""COMPUTED_VALUE"""),510001)</f>
        <v>510001</v>
      </c>
      <c r="C727" s="5" t="str">
        <f ca="1">IFERROR(__xludf.DUMMYFUNCTION("""COMPUTED_VALUE"""),"LLENADORA")</f>
        <v>LLENADORA</v>
      </c>
      <c r="D727" s="5">
        <f ca="1">IFERROR(__xludf.DUMMYFUNCTION("""COMPUTED_VALUE"""),13247279)</f>
        <v>13247279</v>
      </c>
      <c r="E727" s="5" t="str">
        <f ca="1">IFERROR(__xludf.DUMMYFUNCTION("""COMPUTED_VALUE"""),"INSPECCION SEMANAL LLENADORA")</f>
        <v>INSPECCION SEMANAL LLENADORA</v>
      </c>
      <c r="F727" s="5" t="str">
        <f ca="1">IFERROR(__xludf.DUMMYFUNCTION("""COMPUTED_VALUE"""),"Estado tazón de la llenadora")</f>
        <v>Estado tazón de la llenadora</v>
      </c>
      <c r="G727" s="5" t="b">
        <f ca="1">IFERROR(__xludf.DUMMYFUNCTION("""COMPUTED_VALUE"""),TRUE)</f>
        <v>1</v>
      </c>
      <c r="H727" s="5"/>
      <c r="I727" s="5"/>
      <c r="J727" s="5">
        <f ca="1">IFERROR(__xludf.DUMMYFUNCTION("""COMPUTED_VALUE"""),13247279)</f>
        <v>13247279</v>
      </c>
      <c r="K727" s="5"/>
      <c r="L727" s="18">
        <f ca="1">IFERROR(__xludf.DUMMYFUNCTION("""COMPUTED_VALUE"""),45324)</f>
        <v>45324</v>
      </c>
      <c r="M727" s="18">
        <f ca="1">IFERROR(__xludf.DUMMYFUNCTION("""COMPUTED_VALUE"""),45324)</f>
        <v>45324</v>
      </c>
      <c r="N727" s="5" t="str">
        <f ca="1">IFERROR(__xludf.DUMMYFUNCTION("""COMPUTED_VALUE"""),"Poveda Jorge")</f>
        <v>Poveda Jorge</v>
      </c>
      <c r="O727" s="2">
        <f ca="1">IFERROR(__xludf.DUMMYFUNCTION("""COMPUTED_VALUE"""),0.043478261)</f>
        <v>4.3478260999999997E-2</v>
      </c>
      <c r="P727" s="5">
        <f ca="1">IFERROR(__xludf.DUMMYFUNCTION("""COMPUTED_VALUE"""),20038806)</f>
        <v>20038806</v>
      </c>
      <c r="Q727" s="5" t="str">
        <f ca="1">IFERROR(__xludf.DUMMYFUNCTION("""COMPUTED_VALUE"""),"6UqRv3kKxhc")</f>
        <v>6UqRv3kKxhc</v>
      </c>
      <c r="R727" s="5">
        <f ca="1">IFERROR(__xludf.DUMMYFUNCTION("""COMPUTED_VALUE"""),410)</f>
        <v>410</v>
      </c>
      <c r="S727" s="62">
        <f ca="1">IFERROR(__xludf.DUMMYFUNCTION("""COMPUTED_VALUE"""),0.043478261)</f>
        <v>4.3478260999999997E-2</v>
      </c>
      <c r="T727" s="63" t="str">
        <f ca="1">IFERROR(__xludf.DUMMYFUNCTION("""COMPUTED_VALUE"""),"https://storage.googleapis.com/glide-prod.appspot.com/uploads-v2/ly7o78grxPaC6KdgvbpS/pub/3aRdSog0vUtuqPE8AJKD.png")</f>
        <v>https://storage.googleapis.com/glide-prod.appspot.com/uploads-v2/ly7o78grxPaC6KdgvbpS/pub/3aRdSog0vUtuqPE8AJKD.png</v>
      </c>
      <c r="U727" s="5" t="str">
        <f ca="1">IFERROR(__xludf.DUMMYFUNCTION("""COMPUTED_VALUE"""),"LINEA DE ENVASADO FAMILIAR Y PRBLLENADORA")</f>
        <v>LINEA DE ENVASADO FAMILIAR Y PRBLLENADORA</v>
      </c>
      <c r="V727" s="5"/>
      <c r="W727" s="5" t="b">
        <f ca="1">IFERROR(__xludf.DUMMYFUNCTION("""COMPUTED_VALUE"""),TRUE)</f>
        <v>1</v>
      </c>
      <c r="X727" s="5" t="str">
        <f ca="1">IFERROR(__xludf.DUMMYFUNCTION("""COMPUTED_VALUE"""),"wguerra@postobon.com.co,aprmttoyu@postobon.com.co,aprmyu@postobon.com.co,wmora@postobon.com.co,efzapata@postobon.com.co")</f>
        <v>wguerra@postobon.com.co,aprmttoyu@postobon.com.co,aprmyu@postobon.com.co,wmora@postobon.com.co,efzapata@postobon.com.co</v>
      </c>
      <c r="Y727" s="5" t="str">
        <f ca="1">IFERROR(__xludf.DUMMYFUNCTION("""COMPUTED_VALUE"""),"wguerra@postobon.com.co")</f>
        <v>wguerra@postobon.com.co</v>
      </c>
      <c r="Z727" s="5" t="str">
        <f ca="1">IFERROR(__xludf.DUMMYFUNCTION("""COMPUTED_VALUE"""),"k.ohyWUKTAOcqOZiCMWWcg")</f>
        <v>k.ohyWUKTAOcqOZiCMWWcg</v>
      </c>
      <c r="AA727" s="5"/>
      <c r="AB727" s="5"/>
      <c r="AC727" s="5"/>
      <c r="AD727" s="5">
        <f ca="1">IFERROR(__xludf.DUMMYFUNCTION("""COMPUTED_VALUE"""),42)</f>
        <v>42</v>
      </c>
      <c r="AE727" s="5">
        <f ca="1">IFERROR(__xludf.DUMMYFUNCTION("""COMPUTED_VALUE"""),42)</f>
        <v>42</v>
      </c>
      <c r="AF727" s="5" t="b">
        <f ca="1">IFERROR(__xludf.DUMMYFUNCTION("""COMPUTED_VALUE"""),FALSE)</f>
        <v>0</v>
      </c>
      <c r="AG727" s="5" t="str">
        <f ca="1">IFERROR(__xludf.DUMMYFUNCTION("""COMPUTED_VALUE"""),"INSPECCIONES REALIZADAS")</f>
        <v>INSPECCIONES REALIZADAS</v>
      </c>
      <c r="AH727" s="5"/>
    </row>
    <row r="728" spans="1:34">
      <c r="A728" s="5" t="str">
        <f ca="1">IFERROR(__xludf.DUMMYFUNCTION("""COMPUTED_VALUE"""),"LINEA DE ENVASADO FAMILIAR Y PRB")</f>
        <v>LINEA DE ENVASADO FAMILIAR Y PRB</v>
      </c>
      <c r="B728" s="5">
        <f ca="1">IFERROR(__xludf.DUMMYFUNCTION("""COMPUTED_VALUE"""),510001)</f>
        <v>510001</v>
      </c>
      <c r="C728" s="5" t="str">
        <f ca="1">IFERROR(__xludf.DUMMYFUNCTION("""COMPUTED_VALUE"""),"LLENADORA")</f>
        <v>LLENADORA</v>
      </c>
      <c r="D728" s="5">
        <f ca="1">IFERROR(__xludf.DUMMYFUNCTION("""COMPUTED_VALUE"""),13247279)</f>
        <v>13247279</v>
      </c>
      <c r="E728" s="5" t="str">
        <f ca="1">IFERROR(__xludf.DUMMYFUNCTION("""COMPUTED_VALUE"""),"INSPECCION SEMANAL LLENADORA")</f>
        <v>INSPECCION SEMANAL LLENADORA</v>
      </c>
      <c r="F728" s="5" t="str">
        <f ca="1">IFERROR(__xludf.DUMMYFUNCTION("""COMPUTED_VALUE"""),"Estado acoples de silicona")</f>
        <v>Estado acoples de silicona</v>
      </c>
      <c r="G728" s="5" t="b">
        <f ca="1">IFERROR(__xludf.DUMMYFUNCTION("""COMPUTED_VALUE"""),TRUE)</f>
        <v>1</v>
      </c>
      <c r="H728" s="5"/>
      <c r="I728" s="5"/>
      <c r="J728" s="5">
        <f ca="1">IFERROR(__xludf.DUMMYFUNCTION("""COMPUTED_VALUE"""),13247279)</f>
        <v>13247279</v>
      </c>
      <c r="K728" s="5"/>
      <c r="L728" s="18">
        <f ca="1">IFERROR(__xludf.DUMMYFUNCTION("""COMPUTED_VALUE"""),45324)</f>
        <v>45324</v>
      </c>
      <c r="M728" s="18">
        <f ca="1">IFERROR(__xludf.DUMMYFUNCTION("""COMPUTED_VALUE"""),45324)</f>
        <v>45324</v>
      </c>
      <c r="N728" s="5" t="str">
        <f ca="1">IFERROR(__xludf.DUMMYFUNCTION("""COMPUTED_VALUE"""),"Poveda Jorge")</f>
        <v>Poveda Jorge</v>
      </c>
      <c r="O728" s="2">
        <f ca="1">IFERROR(__xludf.DUMMYFUNCTION("""COMPUTED_VALUE"""),0.043478261)</f>
        <v>4.3478260999999997E-2</v>
      </c>
      <c r="P728" s="5">
        <f ca="1">IFERROR(__xludf.DUMMYFUNCTION("""COMPUTED_VALUE"""),20038806)</f>
        <v>20038806</v>
      </c>
      <c r="Q728" s="5" t="str">
        <f ca="1">IFERROR(__xludf.DUMMYFUNCTION("""COMPUTED_VALUE"""),"XXbn5Zyf_L0")</f>
        <v>XXbn5Zyf_L0</v>
      </c>
      <c r="R728" s="5">
        <f ca="1">IFERROR(__xludf.DUMMYFUNCTION("""COMPUTED_VALUE"""),410)</f>
        <v>410</v>
      </c>
      <c r="S728" s="62">
        <f ca="1">IFERROR(__xludf.DUMMYFUNCTION("""COMPUTED_VALUE"""),0.043478261)</f>
        <v>4.3478260999999997E-2</v>
      </c>
      <c r="T728" s="63" t="str">
        <f ca="1">IFERROR(__xludf.DUMMYFUNCTION("""COMPUTED_VALUE"""),"https://storage.googleapis.com/glide-prod.appspot.com/uploads-v2/ly7o78grxPaC6KdgvbpS/pub/3aRdSog0vUtuqPE8AJKD.png")</f>
        <v>https://storage.googleapis.com/glide-prod.appspot.com/uploads-v2/ly7o78grxPaC6KdgvbpS/pub/3aRdSog0vUtuqPE8AJKD.png</v>
      </c>
      <c r="U728" s="5" t="str">
        <f ca="1">IFERROR(__xludf.DUMMYFUNCTION("""COMPUTED_VALUE"""),"LINEA DE ENVASADO FAMILIAR Y PRBLLENADORA")</f>
        <v>LINEA DE ENVASADO FAMILIAR Y PRBLLENADORA</v>
      </c>
      <c r="V728" s="5"/>
      <c r="W728" s="5" t="b">
        <f ca="1">IFERROR(__xludf.DUMMYFUNCTION("""COMPUTED_VALUE"""),TRUE)</f>
        <v>1</v>
      </c>
      <c r="X728" s="5" t="str">
        <f ca="1">IFERROR(__xludf.DUMMYFUNCTION("""COMPUTED_VALUE"""),"wguerra@postobon.com.co,aprmttoyu@postobon.com.co,aprmyu@postobon.com.co,wmora@postobon.com.co,efzapata@postobon.com.co")</f>
        <v>wguerra@postobon.com.co,aprmttoyu@postobon.com.co,aprmyu@postobon.com.co,wmora@postobon.com.co,efzapata@postobon.com.co</v>
      </c>
      <c r="Y728" s="5" t="str">
        <f ca="1">IFERROR(__xludf.DUMMYFUNCTION("""COMPUTED_VALUE"""),"wguerra@postobon.com.co")</f>
        <v>wguerra@postobon.com.co</v>
      </c>
      <c r="Z728" s="5" t="str">
        <f ca="1">IFERROR(__xludf.DUMMYFUNCTION("""COMPUTED_VALUE"""),"jzBd3oB5SG-.Q275oFmU-g")</f>
        <v>jzBd3oB5SG-.Q275oFmU-g</v>
      </c>
      <c r="AA728" s="5"/>
      <c r="AB728" s="5"/>
      <c r="AC728" s="5"/>
      <c r="AD728" s="5">
        <f ca="1">IFERROR(__xludf.DUMMYFUNCTION("""COMPUTED_VALUE"""),42)</f>
        <v>42</v>
      </c>
      <c r="AE728" s="5">
        <f ca="1">IFERROR(__xludf.DUMMYFUNCTION("""COMPUTED_VALUE"""),42)</f>
        <v>42</v>
      </c>
      <c r="AF728" s="5" t="b">
        <f ca="1">IFERROR(__xludf.DUMMYFUNCTION("""COMPUTED_VALUE"""),FALSE)</f>
        <v>0</v>
      </c>
      <c r="AG728" s="5" t="str">
        <f ca="1">IFERROR(__xludf.DUMMYFUNCTION("""COMPUTED_VALUE"""),"INSPECCIONES REALIZADAS")</f>
        <v>INSPECCIONES REALIZADAS</v>
      </c>
      <c r="AH728" s="5"/>
    </row>
    <row r="729" spans="1:34">
      <c r="A729" s="5" t="str">
        <f ca="1">IFERROR(__xludf.DUMMYFUNCTION("""COMPUTED_VALUE"""),"LINEA DE ENVASADO FAMILIAR Y PRB")</f>
        <v>LINEA DE ENVASADO FAMILIAR Y PRB</v>
      </c>
      <c r="B729" s="5">
        <f ca="1">IFERROR(__xludf.DUMMYFUNCTION("""COMPUTED_VALUE"""),510001)</f>
        <v>510001</v>
      </c>
      <c r="C729" s="5" t="str">
        <f ca="1">IFERROR(__xludf.DUMMYFUNCTION("""COMPUTED_VALUE"""),"LLENADORA")</f>
        <v>LLENADORA</v>
      </c>
      <c r="D729" s="5">
        <f ca="1">IFERROR(__xludf.DUMMYFUNCTION("""COMPUTED_VALUE"""),13247279)</f>
        <v>13247279</v>
      </c>
      <c r="E729" s="5" t="str">
        <f ca="1">IFERROR(__xludf.DUMMYFUNCTION("""COMPUTED_VALUE"""),"INSPECCION SEMANAL LLENADORA")</f>
        <v>INSPECCION SEMANAL LLENADORA</v>
      </c>
      <c r="F729" s="5" t="str">
        <f ca="1">IFERROR(__xludf.DUMMYFUNCTION("""COMPUTED_VALUE"""),"Estado tensor de correa")</f>
        <v>Estado tensor de correa</v>
      </c>
      <c r="G729" s="5" t="b">
        <f ca="1">IFERROR(__xludf.DUMMYFUNCTION("""COMPUTED_VALUE"""),TRUE)</f>
        <v>1</v>
      </c>
      <c r="H729" s="5"/>
      <c r="I729" s="5"/>
      <c r="J729" s="5">
        <f ca="1">IFERROR(__xludf.DUMMYFUNCTION("""COMPUTED_VALUE"""),13247279)</f>
        <v>13247279</v>
      </c>
      <c r="K729" s="5"/>
      <c r="L729" s="18">
        <f ca="1">IFERROR(__xludf.DUMMYFUNCTION("""COMPUTED_VALUE"""),45324)</f>
        <v>45324</v>
      </c>
      <c r="M729" s="18">
        <f ca="1">IFERROR(__xludf.DUMMYFUNCTION("""COMPUTED_VALUE"""),45324)</f>
        <v>45324</v>
      </c>
      <c r="N729" s="5" t="str">
        <f ca="1">IFERROR(__xludf.DUMMYFUNCTION("""COMPUTED_VALUE"""),"Poveda Jorge")</f>
        <v>Poveda Jorge</v>
      </c>
      <c r="O729" s="2">
        <f ca="1">IFERROR(__xludf.DUMMYFUNCTION("""COMPUTED_VALUE"""),0.043478261)</f>
        <v>4.3478260999999997E-2</v>
      </c>
      <c r="P729" s="5">
        <f ca="1">IFERROR(__xludf.DUMMYFUNCTION("""COMPUTED_VALUE"""),20038806)</f>
        <v>20038806</v>
      </c>
      <c r="Q729" s="5" t="str">
        <f ca="1">IFERROR(__xludf.DUMMYFUNCTION("""COMPUTED_VALUE"""),"-UW2trNHKK0")</f>
        <v>-UW2trNHKK0</v>
      </c>
      <c r="R729" s="5">
        <f ca="1">IFERROR(__xludf.DUMMYFUNCTION("""COMPUTED_VALUE"""),410)</f>
        <v>410</v>
      </c>
      <c r="S729" s="62">
        <f ca="1">IFERROR(__xludf.DUMMYFUNCTION("""COMPUTED_VALUE"""),0.043478261)</f>
        <v>4.3478260999999997E-2</v>
      </c>
      <c r="T729" s="63" t="str">
        <f ca="1">IFERROR(__xludf.DUMMYFUNCTION("""COMPUTED_VALUE"""),"https://storage.googleapis.com/glide-prod.appspot.com/uploads-v2/ly7o78grxPaC6KdgvbpS/pub/3aRdSog0vUtuqPE8AJKD.png")</f>
        <v>https://storage.googleapis.com/glide-prod.appspot.com/uploads-v2/ly7o78grxPaC6KdgvbpS/pub/3aRdSog0vUtuqPE8AJKD.png</v>
      </c>
      <c r="U729" s="5" t="str">
        <f ca="1">IFERROR(__xludf.DUMMYFUNCTION("""COMPUTED_VALUE"""),"LINEA DE ENVASADO FAMILIAR Y PRBLLENADORA")</f>
        <v>LINEA DE ENVASADO FAMILIAR Y PRBLLENADORA</v>
      </c>
      <c r="V729" s="5"/>
      <c r="W729" s="5" t="b">
        <f ca="1">IFERROR(__xludf.DUMMYFUNCTION("""COMPUTED_VALUE"""),TRUE)</f>
        <v>1</v>
      </c>
      <c r="X729" s="5" t="str">
        <f ca="1">IFERROR(__xludf.DUMMYFUNCTION("""COMPUTED_VALUE"""),"wguerra@postobon.com.co,aprmttoyu@postobon.com.co,aprmyu@postobon.com.co,wmora@postobon.com.co,efzapata@postobon.com.co")</f>
        <v>wguerra@postobon.com.co,aprmttoyu@postobon.com.co,aprmyu@postobon.com.co,wmora@postobon.com.co,efzapata@postobon.com.co</v>
      </c>
      <c r="Y729" s="5" t="str">
        <f ca="1">IFERROR(__xludf.DUMMYFUNCTION("""COMPUTED_VALUE"""),"wguerra@postobon.com.co")</f>
        <v>wguerra@postobon.com.co</v>
      </c>
      <c r="Z729" s="5" t="str">
        <f ca="1">IFERROR(__xludf.DUMMYFUNCTION("""COMPUTED_VALUE"""),"cQ30ZamtR7esGjpEflsx9A")</f>
        <v>cQ30ZamtR7esGjpEflsx9A</v>
      </c>
      <c r="AA729" s="5"/>
      <c r="AB729" s="5"/>
      <c r="AC729" s="5"/>
      <c r="AD729" s="5">
        <f ca="1">IFERROR(__xludf.DUMMYFUNCTION("""COMPUTED_VALUE"""),42)</f>
        <v>42</v>
      </c>
      <c r="AE729" s="5">
        <f ca="1">IFERROR(__xludf.DUMMYFUNCTION("""COMPUTED_VALUE"""),42)</f>
        <v>42</v>
      </c>
      <c r="AF729" s="5" t="b">
        <f ca="1">IFERROR(__xludf.DUMMYFUNCTION("""COMPUTED_VALUE"""),FALSE)</f>
        <v>0</v>
      </c>
      <c r="AG729" s="5" t="str">
        <f ca="1">IFERROR(__xludf.DUMMYFUNCTION("""COMPUTED_VALUE"""),"INSPECCIONES REALIZADAS")</f>
        <v>INSPECCIONES REALIZADAS</v>
      </c>
      <c r="AH729" s="5"/>
    </row>
    <row r="730" spans="1:34">
      <c r="A730" s="5" t="str">
        <f ca="1">IFERROR(__xludf.DUMMYFUNCTION("""COMPUTED_VALUE"""),"LINEA DE ENVASADO FAMILIAR Y PRB")</f>
        <v>LINEA DE ENVASADO FAMILIAR Y PRB</v>
      </c>
      <c r="B730" s="5">
        <f ca="1">IFERROR(__xludf.DUMMYFUNCTION("""COMPUTED_VALUE"""),510001)</f>
        <v>510001</v>
      </c>
      <c r="C730" s="5" t="str">
        <f ca="1">IFERROR(__xludf.DUMMYFUNCTION("""COMPUTED_VALUE"""),"LLENADORA")</f>
        <v>LLENADORA</v>
      </c>
      <c r="D730" s="5">
        <f ca="1">IFERROR(__xludf.DUMMYFUNCTION("""COMPUTED_VALUE"""),13247279)</f>
        <v>13247279</v>
      </c>
      <c r="E730" s="5" t="str">
        <f ca="1">IFERROR(__xludf.DUMMYFUNCTION("""COMPUTED_VALUE"""),"INSPECCION SEMANAL LLENADORA")</f>
        <v>INSPECCION SEMANAL LLENADORA</v>
      </c>
      <c r="F730" s="5" t="str">
        <f ca="1">IFERROR(__xludf.DUMMYFUNCTION("""COMPUTED_VALUE"""),"Estado de los piñones")</f>
        <v>Estado de los piñones</v>
      </c>
      <c r="G730" s="5" t="b">
        <f ca="1">IFERROR(__xludf.DUMMYFUNCTION("""COMPUTED_VALUE"""),TRUE)</f>
        <v>1</v>
      </c>
      <c r="H730" s="5"/>
      <c r="I730" s="5"/>
      <c r="J730" s="5">
        <f ca="1">IFERROR(__xludf.DUMMYFUNCTION("""COMPUTED_VALUE"""),13247279)</f>
        <v>13247279</v>
      </c>
      <c r="K730" s="5"/>
      <c r="L730" s="18">
        <f ca="1">IFERROR(__xludf.DUMMYFUNCTION("""COMPUTED_VALUE"""),45324)</f>
        <v>45324</v>
      </c>
      <c r="M730" s="18">
        <f ca="1">IFERROR(__xludf.DUMMYFUNCTION("""COMPUTED_VALUE"""),45324)</f>
        <v>45324</v>
      </c>
      <c r="N730" s="5" t="str">
        <f ca="1">IFERROR(__xludf.DUMMYFUNCTION("""COMPUTED_VALUE"""),"Poveda Jorge")</f>
        <v>Poveda Jorge</v>
      </c>
      <c r="O730" s="2">
        <f ca="1">IFERROR(__xludf.DUMMYFUNCTION("""COMPUTED_VALUE"""),0.043478261)</f>
        <v>4.3478260999999997E-2</v>
      </c>
      <c r="P730" s="5">
        <f ca="1">IFERROR(__xludf.DUMMYFUNCTION("""COMPUTED_VALUE"""),20038806)</f>
        <v>20038806</v>
      </c>
      <c r="Q730" s="5" t="str">
        <f ca="1">IFERROR(__xludf.DUMMYFUNCTION("""COMPUTED_VALUE"""),"sVoUvDoTXeQ")</f>
        <v>sVoUvDoTXeQ</v>
      </c>
      <c r="R730" s="5">
        <f ca="1">IFERROR(__xludf.DUMMYFUNCTION("""COMPUTED_VALUE"""),410)</f>
        <v>410</v>
      </c>
      <c r="S730" s="62">
        <f ca="1">IFERROR(__xludf.DUMMYFUNCTION("""COMPUTED_VALUE"""),0.043478261)</f>
        <v>4.3478260999999997E-2</v>
      </c>
      <c r="T730" s="63" t="str">
        <f ca="1">IFERROR(__xludf.DUMMYFUNCTION("""COMPUTED_VALUE"""),"https://storage.googleapis.com/glide-prod.appspot.com/uploads-v2/ly7o78grxPaC6KdgvbpS/pub/3aRdSog0vUtuqPE8AJKD.png")</f>
        <v>https://storage.googleapis.com/glide-prod.appspot.com/uploads-v2/ly7o78grxPaC6KdgvbpS/pub/3aRdSog0vUtuqPE8AJKD.png</v>
      </c>
      <c r="U730" s="5" t="str">
        <f ca="1">IFERROR(__xludf.DUMMYFUNCTION("""COMPUTED_VALUE"""),"LINEA DE ENVASADO FAMILIAR Y PRBLLENADORA")</f>
        <v>LINEA DE ENVASADO FAMILIAR Y PRBLLENADORA</v>
      </c>
      <c r="V730" s="5"/>
      <c r="W730" s="5" t="b">
        <f ca="1">IFERROR(__xludf.DUMMYFUNCTION("""COMPUTED_VALUE"""),TRUE)</f>
        <v>1</v>
      </c>
      <c r="X730" s="5" t="str">
        <f ca="1">IFERROR(__xludf.DUMMYFUNCTION("""COMPUTED_VALUE"""),"wguerra@postobon.com.co,aprmttoyu@postobon.com.co,aprmyu@postobon.com.co,wmora@postobon.com.co,efzapata@postobon.com.co")</f>
        <v>wguerra@postobon.com.co,aprmttoyu@postobon.com.co,aprmyu@postobon.com.co,wmora@postobon.com.co,efzapata@postobon.com.co</v>
      </c>
      <c r="Y730" s="5" t="str">
        <f ca="1">IFERROR(__xludf.DUMMYFUNCTION("""COMPUTED_VALUE"""),"wguerra@postobon.com.co")</f>
        <v>wguerra@postobon.com.co</v>
      </c>
      <c r="Z730" s="5" t="str">
        <f ca="1">IFERROR(__xludf.DUMMYFUNCTION("""COMPUTED_VALUE"""),"rO1yK-luRgWfYkqyGRN1RQ")</f>
        <v>rO1yK-luRgWfYkqyGRN1RQ</v>
      </c>
      <c r="AA730" s="5"/>
      <c r="AB730" s="5"/>
      <c r="AC730" s="5"/>
      <c r="AD730" s="5">
        <f ca="1">IFERROR(__xludf.DUMMYFUNCTION("""COMPUTED_VALUE"""),42)</f>
        <v>42</v>
      </c>
      <c r="AE730" s="5">
        <f ca="1">IFERROR(__xludf.DUMMYFUNCTION("""COMPUTED_VALUE"""),42)</f>
        <v>42</v>
      </c>
      <c r="AF730" s="5" t="b">
        <f ca="1">IFERROR(__xludf.DUMMYFUNCTION("""COMPUTED_VALUE"""),FALSE)</f>
        <v>0</v>
      </c>
      <c r="AG730" s="5" t="str">
        <f ca="1">IFERROR(__xludf.DUMMYFUNCTION("""COMPUTED_VALUE"""),"INSPECCIONES REALIZADAS")</f>
        <v>INSPECCIONES REALIZADAS</v>
      </c>
      <c r="AH730" s="5"/>
    </row>
    <row r="731" spans="1:34">
      <c r="A731" s="5" t="str">
        <f ca="1">IFERROR(__xludf.DUMMYFUNCTION("""COMPUTED_VALUE"""),"LINEA DE ENVASADO FAMILIAR Y PRB")</f>
        <v>LINEA DE ENVASADO FAMILIAR Y PRB</v>
      </c>
      <c r="B731" s="5">
        <f ca="1">IFERROR(__xludf.DUMMYFUNCTION("""COMPUTED_VALUE"""),510001)</f>
        <v>510001</v>
      </c>
      <c r="C731" s="5" t="str">
        <f ca="1">IFERROR(__xludf.DUMMYFUNCTION("""COMPUTED_VALUE"""),"LLENADORA")</f>
        <v>LLENADORA</v>
      </c>
      <c r="D731" s="5">
        <f ca="1">IFERROR(__xludf.DUMMYFUNCTION("""COMPUTED_VALUE"""),13247279)</f>
        <v>13247279</v>
      </c>
      <c r="E731" s="5" t="str">
        <f ca="1">IFERROR(__xludf.DUMMYFUNCTION("""COMPUTED_VALUE"""),"INSPECCION SEMANAL LLENADORA")</f>
        <v>INSPECCION SEMANAL LLENADORA</v>
      </c>
      <c r="F731" s="5" t="str">
        <f ca="1">IFERROR(__xludf.DUMMYFUNCTION("""COMPUTED_VALUE"""),"Estado sistema de duchas y semillenado")</f>
        <v>Estado sistema de duchas y semillenado</v>
      </c>
      <c r="G731" s="5" t="b">
        <f ca="1">IFERROR(__xludf.DUMMYFUNCTION("""COMPUTED_VALUE"""),TRUE)</f>
        <v>1</v>
      </c>
      <c r="H731" s="5"/>
      <c r="I731" s="5"/>
      <c r="J731" s="5">
        <f ca="1">IFERROR(__xludf.DUMMYFUNCTION("""COMPUTED_VALUE"""),13247279)</f>
        <v>13247279</v>
      </c>
      <c r="K731" s="5"/>
      <c r="L731" s="18">
        <f ca="1">IFERROR(__xludf.DUMMYFUNCTION("""COMPUTED_VALUE"""),45324)</f>
        <v>45324</v>
      </c>
      <c r="M731" s="18">
        <f ca="1">IFERROR(__xludf.DUMMYFUNCTION("""COMPUTED_VALUE"""),45324)</f>
        <v>45324</v>
      </c>
      <c r="N731" s="5" t="str">
        <f ca="1">IFERROR(__xludf.DUMMYFUNCTION("""COMPUTED_VALUE"""),"Poveda Jorge")</f>
        <v>Poveda Jorge</v>
      </c>
      <c r="O731" s="2">
        <f ca="1">IFERROR(__xludf.DUMMYFUNCTION("""COMPUTED_VALUE"""),0.043478261)</f>
        <v>4.3478260999999997E-2</v>
      </c>
      <c r="P731" s="5">
        <f ca="1">IFERROR(__xludf.DUMMYFUNCTION("""COMPUTED_VALUE"""),20038806)</f>
        <v>20038806</v>
      </c>
      <c r="Q731" s="5" t="str">
        <f ca="1">IFERROR(__xludf.DUMMYFUNCTION("""COMPUTED_VALUE"""),"w9X1EBRbD9I")</f>
        <v>w9X1EBRbD9I</v>
      </c>
      <c r="R731" s="5">
        <f ca="1">IFERROR(__xludf.DUMMYFUNCTION("""COMPUTED_VALUE"""),410)</f>
        <v>410</v>
      </c>
      <c r="S731" s="62">
        <f ca="1">IFERROR(__xludf.DUMMYFUNCTION("""COMPUTED_VALUE"""),0.043478261)</f>
        <v>4.3478260999999997E-2</v>
      </c>
      <c r="T731" s="63" t="str">
        <f ca="1">IFERROR(__xludf.DUMMYFUNCTION("""COMPUTED_VALUE"""),"https://storage.googleapis.com/glide-prod.appspot.com/uploads-v2/ly7o78grxPaC6KdgvbpS/pub/3aRdSog0vUtuqPE8AJKD.png")</f>
        <v>https://storage.googleapis.com/glide-prod.appspot.com/uploads-v2/ly7o78grxPaC6KdgvbpS/pub/3aRdSog0vUtuqPE8AJKD.png</v>
      </c>
      <c r="U731" s="5" t="str">
        <f ca="1">IFERROR(__xludf.DUMMYFUNCTION("""COMPUTED_VALUE"""),"LINEA DE ENVASADO FAMILIAR Y PRBLLENADORA")</f>
        <v>LINEA DE ENVASADO FAMILIAR Y PRBLLENADORA</v>
      </c>
      <c r="V731" s="5"/>
      <c r="W731" s="5" t="b">
        <f ca="1">IFERROR(__xludf.DUMMYFUNCTION("""COMPUTED_VALUE"""),TRUE)</f>
        <v>1</v>
      </c>
      <c r="X731" s="5" t="str">
        <f ca="1">IFERROR(__xludf.DUMMYFUNCTION("""COMPUTED_VALUE"""),"wguerra@postobon.com.co,aprmttoyu@postobon.com.co,aprmyu@postobon.com.co,wmora@postobon.com.co,efzapata@postobon.com.co")</f>
        <v>wguerra@postobon.com.co,aprmttoyu@postobon.com.co,aprmyu@postobon.com.co,wmora@postobon.com.co,efzapata@postobon.com.co</v>
      </c>
      <c r="Y731" s="5" t="str">
        <f ca="1">IFERROR(__xludf.DUMMYFUNCTION("""COMPUTED_VALUE"""),"wguerra@postobon.com.co")</f>
        <v>wguerra@postobon.com.co</v>
      </c>
      <c r="Z731" s="5" t="str">
        <f ca="1">IFERROR(__xludf.DUMMYFUNCTION("""COMPUTED_VALUE"""),"J5GwYVn5Qw-e8NcgZg-oSA")</f>
        <v>J5GwYVn5Qw-e8NcgZg-oSA</v>
      </c>
      <c r="AA731" s="5"/>
      <c r="AB731" s="5"/>
      <c r="AC731" s="5"/>
      <c r="AD731" s="5">
        <f ca="1">IFERROR(__xludf.DUMMYFUNCTION("""COMPUTED_VALUE"""),42)</f>
        <v>42</v>
      </c>
      <c r="AE731" s="5">
        <f ca="1">IFERROR(__xludf.DUMMYFUNCTION("""COMPUTED_VALUE"""),42)</f>
        <v>42</v>
      </c>
      <c r="AF731" s="5" t="b">
        <f ca="1">IFERROR(__xludf.DUMMYFUNCTION("""COMPUTED_VALUE"""),FALSE)</f>
        <v>0</v>
      </c>
      <c r="AG731" s="5" t="str">
        <f ca="1">IFERROR(__xludf.DUMMYFUNCTION("""COMPUTED_VALUE"""),"INSPECCIONES REALIZADAS")</f>
        <v>INSPECCIONES REALIZADAS</v>
      </c>
      <c r="AH731" s="5"/>
    </row>
    <row r="732" spans="1:34">
      <c r="A732" s="5" t="str">
        <f ca="1">IFERROR(__xludf.DUMMYFUNCTION("""COMPUTED_VALUE"""),"LINEA DE ENVASADO FAMILIAR Y PRB")</f>
        <v>LINEA DE ENVASADO FAMILIAR Y PRB</v>
      </c>
      <c r="B732" s="5">
        <f ca="1">IFERROR(__xludf.DUMMYFUNCTION("""COMPUTED_VALUE"""),510001)</f>
        <v>510001</v>
      </c>
      <c r="C732" s="5" t="str">
        <f ca="1">IFERROR(__xludf.DUMMYFUNCTION("""COMPUTED_VALUE"""),"LLENADORA")</f>
        <v>LLENADORA</v>
      </c>
      <c r="D732" s="5">
        <f ca="1">IFERROR(__xludf.DUMMYFUNCTION("""COMPUTED_VALUE"""),13247279)</f>
        <v>13247279</v>
      </c>
      <c r="E732" s="5" t="str">
        <f ca="1">IFERROR(__xludf.DUMMYFUNCTION("""COMPUTED_VALUE"""),"INSPECCION SEMANAL LLENADORA")</f>
        <v>INSPECCION SEMANAL LLENADORA</v>
      </c>
      <c r="F732" s="5" t="str">
        <f ca="1">IFERROR(__xludf.DUMMYFUNCTION("""COMPUTED_VALUE"""),"Estado y limpieza de extractor y/o climatizador tablero eléctrico")</f>
        <v>Estado y limpieza de extractor y/o climatizador tablero eléctrico</v>
      </c>
      <c r="G732" s="5" t="b">
        <f ca="1">IFERROR(__xludf.DUMMYFUNCTION("""COMPUTED_VALUE"""),TRUE)</f>
        <v>1</v>
      </c>
      <c r="H732" s="5"/>
      <c r="I732" s="5"/>
      <c r="J732" s="5">
        <f ca="1">IFERROR(__xludf.DUMMYFUNCTION("""COMPUTED_VALUE"""),13247279)</f>
        <v>13247279</v>
      </c>
      <c r="K732" s="5"/>
      <c r="L732" s="18">
        <f ca="1">IFERROR(__xludf.DUMMYFUNCTION("""COMPUTED_VALUE"""),45324)</f>
        <v>45324</v>
      </c>
      <c r="M732" s="18">
        <f ca="1">IFERROR(__xludf.DUMMYFUNCTION("""COMPUTED_VALUE"""),45324)</f>
        <v>45324</v>
      </c>
      <c r="N732" s="5" t="str">
        <f ca="1">IFERROR(__xludf.DUMMYFUNCTION("""COMPUTED_VALUE"""),"Poveda Jorge")</f>
        <v>Poveda Jorge</v>
      </c>
      <c r="O732" s="2">
        <f ca="1">IFERROR(__xludf.DUMMYFUNCTION("""COMPUTED_VALUE"""),0.043478261)</f>
        <v>4.3478260999999997E-2</v>
      </c>
      <c r="P732" s="5">
        <f ca="1">IFERROR(__xludf.DUMMYFUNCTION("""COMPUTED_VALUE"""),20038806)</f>
        <v>20038806</v>
      </c>
      <c r="Q732" s="5" t="str">
        <f ca="1">IFERROR(__xludf.DUMMYFUNCTION("""COMPUTED_VALUE"""),"E8pANIzLuLo")</f>
        <v>E8pANIzLuLo</v>
      </c>
      <c r="R732" s="5">
        <f ca="1">IFERROR(__xludf.DUMMYFUNCTION("""COMPUTED_VALUE"""),410)</f>
        <v>410</v>
      </c>
      <c r="S732" s="62">
        <f ca="1">IFERROR(__xludf.DUMMYFUNCTION("""COMPUTED_VALUE"""),0.043478261)</f>
        <v>4.3478260999999997E-2</v>
      </c>
      <c r="T732" s="63" t="str">
        <f ca="1">IFERROR(__xludf.DUMMYFUNCTION("""COMPUTED_VALUE"""),"https://storage.googleapis.com/glide-prod.appspot.com/uploads-v2/ly7o78grxPaC6KdgvbpS/pub/3aRdSog0vUtuqPE8AJKD.png")</f>
        <v>https://storage.googleapis.com/glide-prod.appspot.com/uploads-v2/ly7o78grxPaC6KdgvbpS/pub/3aRdSog0vUtuqPE8AJKD.png</v>
      </c>
      <c r="U732" s="5" t="str">
        <f ca="1">IFERROR(__xludf.DUMMYFUNCTION("""COMPUTED_VALUE"""),"LINEA DE ENVASADO FAMILIAR Y PRBLLENADORA")</f>
        <v>LINEA DE ENVASADO FAMILIAR Y PRBLLENADORA</v>
      </c>
      <c r="V732" s="5"/>
      <c r="W732" s="5" t="b">
        <f ca="1">IFERROR(__xludf.DUMMYFUNCTION("""COMPUTED_VALUE"""),TRUE)</f>
        <v>1</v>
      </c>
      <c r="X732" s="5" t="str">
        <f ca="1">IFERROR(__xludf.DUMMYFUNCTION("""COMPUTED_VALUE"""),"wguerra@postobon.com.co,aprmttoyu@postobon.com.co,aprmyu@postobon.com.co,wmora@postobon.com.co,efzapata@postobon.com.co")</f>
        <v>wguerra@postobon.com.co,aprmttoyu@postobon.com.co,aprmyu@postobon.com.co,wmora@postobon.com.co,efzapata@postobon.com.co</v>
      </c>
      <c r="Y732" s="5" t="str">
        <f ca="1">IFERROR(__xludf.DUMMYFUNCTION("""COMPUTED_VALUE"""),"wguerra@postobon.com.co")</f>
        <v>wguerra@postobon.com.co</v>
      </c>
      <c r="Z732" s="5" t="str">
        <f ca="1">IFERROR(__xludf.DUMMYFUNCTION("""COMPUTED_VALUE"""),"CY8zdgKJRHyfQbU1O1kfPg")</f>
        <v>CY8zdgKJRHyfQbU1O1kfPg</v>
      </c>
      <c r="AA732" s="5"/>
      <c r="AB732" s="5"/>
      <c r="AC732" s="5"/>
      <c r="AD732" s="5">
        <f ca="1">IFERROR(__xludf.DUMMYFUNCTION("""COMPUTED_VALUE"""),42)</f>
        <v>42</v>
      </c>
      <c r="AE732" s="5">
        <f ca="1">IFERROR(__xludf.DUMMYFUNCTION("""COMPUTED_VALUE"""),42)</f>
        <v>42</v>
      </c>
      <c r="AF732" s="5" t="b">
        <f ca="1">IFERROR(__xludf.DUMMYFUNCTION("""COMPUTED_VALUE"""),FALSE)</f>
        <v>0</v>
      </c>
      <c r="AG732" s="5" t="str">
        <f ca="1">IFERROR(__xludf.DUMMYFUNCTION("""COMPUTED_VALUE"""),"INSPECCIONES REALIZADAS")</f>
        <v>INSPECCIONES REALIZADAS</v>
      </c>
      <c r="AH732" s="5"/>
    </row>
    <row r="733" spans="1:34">
      <c r="A733" s="5" t="str">
        <f ca="1">IFERROR(__xludf.DUMMYFUNCTION("""COMPUTED_VALUE"""),"LINEA DE ENVASADO TAMAÑO PERSONAL")</f>
        <v>LINEA DE ENVASADO TAMAÑO PERSONAL</v>
      </c>
      <c r="B733" s="5">
        <f ca="1">IFERROR(__xludf.DUMMYFUNCTION("""COMPUTED_VALUE"""),828592)</f>
        <v>828592</v>
      </c>
      <c r="C733" s="5" t="str">
        <f ca="1">IFERROR(__xludf.DUMMYFUNCTION("""COMPUTED_VALUE"""),"LLENADORA")</f>
        <v>LLENADORA</v>
      </c>
      <c r="D733" s="5">
        <f ca="1">IFERROR(__xludf.DUMMYFUNCTION("""COMPUTED_VALUE"""),13247632)</f>
        <v>13247632</v>
      </c>
      <c r="E733" s="5" t="str">
        <f ca="1">IFERROR(__xludf.DUMMYFUNCTION("""COMPUTED_VALUE"""),"INSPECCION SEMANAL LLENADORA")</f>
        <v>INSPECCION SEMANAL LLENADORA</v>
      </c>
      <c r="F733" s="5" t="str">
        <f ca="1">IFERROR(__xludf.DUMMYFUNCTION("""COMPUTED_VALUE"""),"Fugas de aire, aceite o agua")</f>
        <v>Fugas de aire, aceite o agua</v>
      </c>
      <c r="G733" s="5" t="b">
        <f ca="1">IFERROR(__xludf.DUMMYFUNCTION("""COMPUTED_VALUE"""),TRUE)</f>
        <v>1</v>
      </c>
      <c r="H733" s="5"/>
      <c r="I733" s="5"/>
      <c r="J733" s="5">
        <f ca="1">IFERROR(__xludf.DUMMYFUNCTION("""COMPUTED_VALUE"""),13247632)</f>
        <v>13247632</v>
      </c>
      <c r="K733" s="5"/>
      <c r="L733" s="18">
        <f ca="1">IFERROR(__xludf.DUMMYFUNCTION("""COMPUTED_VALUE"""),45325)</f>
        <v>45325</v>
      </c>
      <c r="M733" s="18">
        <f ca="1">IFERROR(__xludf.DUMMYFUNCTION("""COMPUTED_VALUE"""),45325)</f>
        <v>45325</v>
      </c>
      <c r="N733" s="5" t="str">
        <f ca="1">IFERROR(__xludf.DUMMYFUNCTION("""COMPUTED_VALUE"""),"Jimenez Jhon")</f>
        <v>Jimenez Jhon</v>
      </c>
      <c r="O733" s="2">
        <f ca="1">IFERROR(__xludf.DUMMYFUNCTION("""COMPUTED_VALUE"""),0.04)</f>
        <v>0.04</v>
      </c>
      <c r="P733" s="5">
        <f ca="1">IFERROR(__xludf.DUMMYFUNCTION("""COMPUTED_VALUE"""),20009055)</f>
        <v>20009055</v>
      </c>
      <c r="Q733" s="5" t="str">
        <f ca="1">IFERROR(__xludf.DUMMYFUNCTION("""COMPUTED_VALUE"""),"Pj_YZ0c3spA")</f>
        <v>Pj_YZ0c3spA</v>
      </c>
      <c r="R733" s="5">
        <f ca="1">IFERROR(__xludf.DUMMYFUNCTION("""COMPUTED_VALUE"""),410)</f>
        <v>410</v>
      </c>
      <c r="S733" s="62">
        <f ca="1">IFERROR(__xludf.DUMMYFUNCTION("""COMPUTED_VALUE"""),0.04)</f>
        <v>0.04</v>
      </c>
      <c r="T733" s="63" t="str">
        <f ca="1">IFERROR(__xludf.DUMMYFUNCTION("""COMPUTED_VALUE"""),"https://storage.googleapis.com/glide-prod.appspot.com/uploads-v2/ly7o78grxPaC6KdgvbpS/pub/3aRdSog0vUtuqPE8AJKD.png")</f>
        <v>https://storage.googleapis.com/glide-prod.appspot.com/uploads-v2/ly7o78grxPaC6KdgvbpS/pub/3aRdSog0vUtuqPE8AJKD.png</v>
      </c>
      <c r="U733" s="5" t="str">
        <f ca="1">IFERROR(__xludf.DUMMYFUNCTION("""COMPUTED_VALUE"""),"LINEA DE ENVASADO TAMAÑO PERSONALLLENADORA")</f>
        <v>LINEA DE ENVASADO TAMAÑO PERSONALLLENADORA</v>
      </c>
      <c r="V733" s="5"/>
      <c r="W733" s="5" t="b">
        <f ca="1">IFERROR(__xludf.DUMMYFUNCTION("""COMPUTED_VALUE"""),TRUE)</f>
        <v>1</v>
      </c>
      <c r="X733" s="5" t="str">
        <f ca="1">IFERROR(__xludf.DUMMYFUNCTION("""COMPUTED_VALUE"""),"wguerra@postobon.com.co,aprmttoyu@postobon.com.co,aprmyu@postobon.com.co,wmora@postobon.com.co,efzapata@postobon.com.co")</f>
        <v>wguerra@postobon.com.co,aprmttoyu@postobon.com.co,aprmyu@postobon.com.co,wmora@postobon.com.co,efzapata@postobon.com.co</v>
      </c>
      <c r="Y733" s="5" t="str">
        <f ca="1">IFERROR(__xludf.DUMMYFUNCTION("""COMPUTED_VALUE"""),"wguerra@postobon.com.co")</f>
        <v>wguerra@postobon.com.co</v>
      </c>
      <c r="Z733" s="5" t="str">
        <f ca="1">IFERROR(__xludf.DUMMYFUNCTION("""COMPUTED_VALUE"""),"7FcdYlbjStC-Ad8TD6hkvg")</f>
        <v>7FcdYlbjStC-Ad8TD6hkvg</v>
      </c>
      <c r="AA733" s="5"/>
      <c r="AB733" s="5"/>
      <c r="AC733" s="5"/>
      <c r="AD733" s="5">
        <f ca="1">IFERROR(__xludf.DUMMYFUNCTION("""COMPUTED_VALUE"""),68)</f>
        <v>68</v>
      </c>
      <c r="AE733" s="5">
        <f ca="1">IFERROR(__xludf.DUMMYFUNCTION("""COMPUTED_VALUE"""),68)</f>
        <v>68</v>
      </c>
      <c r="AF733" s="5" t="b">
        <f ca="1">IFERROR(__xludf.DUMMYFUNCTION("""COMPUTED_VALUE"""),FALSE)</f>
        <v>0</v>
      </c>
      <c r="AG733" s="5" t="str">
        <f ca="1">IFERROR(__xludf.DUMMYFUNCTION("""COMPUTED_VALUE"""),"INSPECCIONES REALIZADAS")</f>
        <v>INSPECCIONES REALIZADAS</v>
      </c>
      <c r="AH733" s="5"/>
    </row>
    <row r="734" spans="1:34">
      <c r="A734" s="5" t="str">
        <f ca="1">IFERROR(__xludf.DUMMYFUNCTION("""COMPUTED_VALUE"""),"LINEA DE ENVASADO TAMAÑO PERSONAL")</f>
        <v>LINEA DE ENVASADO TAMAÑO PERSONAL</v>
      </c>
      <c r="B734" s="5">
        <f ca="1">IFERROR(__xludf.DUMMYFUNCTION("""COMPUTED_VALUE"""),828592)</f>
        <v>828592</v>
      </c>
      <c r="C734" s="5" t="str">
        <f ca="1">IFERROR(__xludf.DUMMYFUNCTION("""COMPUTED_VALUE"""),"LLENADORA")</f>
        <v>LLENADORA</v>
      </c>
      <c r="D734" s="5">
        <f ca="1">IFERROR(__xludf.DUMMYFUNCTION("""COMPUTED_VALUE"""),13247632)</f>
        <v>13247632</v>
      </c>
      <c r="E734" s="5" t="str">
        <f ca="1">IFERROR(__xludf.DUMMYFUNCTION("""COMPUTED_VALUE"""),"INSPECCION SEMANAL LLENADORA")</f>
        <v>INSPECCION SEMANAL LLENADORA</v>
      </c>
      <c r="F734" s="5" t="str">
        <f ca="1">IFERROR(__xludf.DUMMYFUNCTION("""COMPUTED_VALUE"""),"Estado de pistones elevadores")</f>
        <v>Estado de pistones elevadores</v>
      </c>
      <c r="G734" s="5" t="b">
        <f ca="1">IFERROR(__xludf.DUMMYFUNCTION("""COMPUTED_VALUE"""),TRUE)</f>
        <v>1</v>
      </c>
      <c r="H734" s="5"/>
      <c r="I734" s="5"/>
      <c r="J734" s="5">
        <f ca="1">IFERROR(__xludf.DUMMYFUNCTION("""COMPUTED_VALUE"""),13247632)</f>
        <v>13247632</v>
      </c>
      <c r="K734" s="5"/>
      <c r="L734" s="18">
        <f ca="1">IFERROR(__xludf.DUMMYFUNCTION("""COMPUTED_VALUE"""),45325)</f>
        <v>45325</v>
      </c>
      <c r="M734" s="18">
        <f ca="1">IFERROR(__xludf.DUMMYFUNCTION("""COMPUTED_VALUE"""),45325)</f>
        <v>45325</v>
      </c>
      <c r="N734" s="5" t="str">
        <f ca="1">IFERROR(__xludf.DUMMYFUNCTION("""COMPUTED_VALUE"""),"Jimenez Jhon")</f>
        <v>Jimenez Jhon</v>
      </c>
      <c r="O734" s="2">
        <f ca="1">IFERROR(__xludf.DUMMYFUNCTION("""COMPUTED_VALUE"""),0.04)</f>
        <v>0.04</v>
      </c>
      <c r="P734" s="5">
        <f ca="1">IFERROR(__xludf.DUMMYFUNCTION("""COMPUTED_VALUE"""),20009855)</f>
        <v>20009855</v>
      </c>
      <c r="Q734" s="5" t="str">
        <f ca="1">IFERROR(__xludf.DUMMYFUNCTION("""COMPUTED_VALUE"""),"-zm7X4gXYsA")</f>
        <v>-zm7X4gXYsA</v>
      </c>
      <c r="R734" s="5">
        <f ca="1">IFERROR(__xludf.DUMMYFUNCTION("""COMPUTED_VALUE"""),410)</f>
        <v>410</v>
      </c>
      <c r="S734" s="62">
        <f ca="1">IFERROR(__xludf.DUMMYFUNCTION("""COMPUTED_VALUE"""),0.04)</f>
        <v>0.04</v>
      </c>
      <c r="T734" s="63" t="str">
        <f ca="1">IFERROR(__xludf.DUMMYFUNCTION("""COMPUTED_VALUE"""),"https://storage.googleapis.com/glide-prod.appspot.com/uploads-v2/ly7o78grxPaC6KdgvbpS/pub/3aRdSog0vUtuqPE8AJKD.png")</f>
        <v>https://storage.googleapis.com/glide-prod.appspot.com/uploads-v2/ly7o78grxPaC6KdgvbpS/pub/3aRdSog0vUtuqPE8AJKD.png</v>
      </c>
      <c r="U734" s="5" t="str">
        <f ca="1">IFERROR(__xludf.DUMMYFUNCTION("""COMPUTED_VALUE"""),"LINEA DE ENVASADO TAMAÑO PERSONALLLENADORA")</f>
        <v>LINEA DE ENVASADO TAMAÑO PERSONALLLENADORA</v>
      </c>
      <c r="V734" s="5"/>
      <c r="W734" s="5" t="b">
        <f ca="1">IFERROR(__xludf.DUMMYFUNCTION("""COMPUTED_VALUE"""),TRUE)</f>
        <v>1</v>
      </c>
      <c r="X734" s="5" t="str">
        <f ca="1">IFERROR(__xludf.DUMMYFUNCTION("""COMPUTED_VALUE"""),"wguerra@postobon.com.co,aprmttoyu@postobon.com.co,aprmyu@postobon.com.co,wmora@postobon.com.co,efzapata@postobon.com.co")</f>
        <v>wguerra@postobon.com.co,aprmttoyu@postobon.com.co,aprmyu@postobon.com.co,wmora@postobon.com.co,efzapata@postobon.com.co</v>
      </c>
      <c r="Y734" s="5" t="str">
        <f ca="1">IFERROR(__xludf.DUMMYFUNCTION("""COMPUTED_VALUE"""),"wguerra@postobon.com.co")</f>
        <v>wguerra@postobon.com.co</v>
      </c>
      <c r="Z734" s="5" t="str">
        <f ca="1">IFERROR(__xludf.DUMMYFUNCTION("""COMPUTED_VALUE"""),"ld5L.8CvRW-XZYdNwjw2Og")</f>
        <v>ld5L.8CvRW-XZYdNwjw2Og</v>
      </c>
      <c r="AA734" s="5"/>
      <c r="AB734" s="5"/>
      <c r="AC734" s="5"/>
      <c r="AD734" s="5">
        <f ca="1">IFERROR(__xludf.DUMMYFUNCTION("""COMPUTED_VALUE"""),68)</f>
        <v>68</v>
      </c>
      <c r="AE734" s="5">
        <f ca="1">IFERROR(__xludf.DUMMYFUNCTION("""COMPUTED_VALUE"""),68)</f>
        <v>68</v>
      </c>
      <c r="AF734" s="5" t="b">
        <f ca="1">IFERROR(__xludf.DUMMYFUNCTION("""COMPUTED_VALUE"""),FALSE)</f>
        <v>0</v>
      </c>
      <c r="AG734" s="5" t="str">
        <f ca="1">IFERROR(__xludf.DUMMYFUNCTION("""COMPUTED_VALUE"""),"INSPECCIONES REALIZADAS")</f>
        <v>INSPECCIONES REALIZADAS</v>
      </c>
      <c r="AH734" s="5"/>
    </row>
    <row r="735" spans="1:34">
      <c r="A735" s="5" t="str">
        <f ca="1">IFERROR(__xludf.DUMMYFUNCTION("""COMPUTED_VALUE"""),"LINEA DE ENVASADO TAMAÑO PERSONAL")</f>
        <v>LINEA DE ENVASADO TAMAÑO PERSONAL</v>
      </c>
      <c r="B735" s="5">
        <f ca="1">IFERROR(__xludf.DUMMYFUNCTION("""COMPUTED_VALUE"""),828592)</f>
        <v>828592</v>
      </c>
      <c r="C735" s="5" t="str">
        <f ca="1">IFERROR(__xludf.DUMMYFUNCTION("""COMPUTED_VALUE"""),"LLENADORA")</f>
        <v>LLENADORA</v>
      </c>
      <c r="D735" s="5">
        <f ca="1">IFERROR(__xludf.DUMMYFUNCTION("""COMPUTED_VALUE"""),13247632)</f>
        <v>13247632</v>
      </c>
      <c r="E735" s="5" t="str">
        <f ca="1">IFERROR(__xludf.DUMMYFUNCTION("""COMPUTED_VALUE"""),"INSPECCION SEMANAL LLENADORA")</f>
        <v>INSPECCION SEMANAL LLENADORA</v>
      </c>
      <c r="F735" s="5" t="str">
        <f ca="1">IFERROR(__xludf.DUMMYFUNCTION("""COMPUTED_VALUE"""),"Estado de sistema de lubricacion (lubricontrol)")</f>
        <v>Estado de sistema de lubricacion (lubricontrol)</v>
      </c>
      <c r="G735" s="5" t="b">
        <f ca="1">IFERROR(__xludf.DUMMYFUNCTION("""COMPUTED_VALUE"""),TRUE)</f>
        <v>1</v>
      </c>
      <c r="H735" s="5"/>
      <c r="I735" s="5"/>
      <c r="J735" s="5">
        <f ca="1">IFERROR(__xludf.DUMMYFUNCTION("""COMPUTED_VALUE"""),13247632)</f>
        <v>13247632</v>
      </c>
      <c r="K735" s="5"/>
      <c r="L735" s="18">
        <f ca="1">IFERROR(__xludf.DUMMYFUNCTION("""COMPUTED_VALUE"""),45325)</f>
        <v>45325</v>
      </c>
      <c r="M735" s="18">
        <f ca="1">IFERROR(__xludf.DUMMYFUNCTION("""COMPUTED_VALUE"""),45325)</f>
        <v>45325</v>
      </c>
      <c r="N735" s="5" t="str">
        <f ca="1">IFERROR(__xludf.DUMMYFUNCTION("""COMPUTED_VALUE"""),"Jimenez Jhon")</f>
        <v>Jimenez Jhon</v>
      </c>
      <c r="O735" s="2">
        <f ca="1">IFERROR(__xludf.DUMMYFUNCTION("""COMPUTED_VALUE"""),0.04)</f>
        <v>0.04</v>
      </c>
      <c r="P735" s="5">
        <f ca="1">IFERROR(__xludf.DUMMYFUNCTION("""COMPUTED_VALUE"""),20009855)</f>
        <v>20009855</v>
      </c>
      <c r="Q735" s="5" t="str">
        <f ca="1">IFERROR(__xludf.DUMMYFUNCTION("""COMPUTED_VALUE"""),"1WCYkdjrGFE")</f>
        <v>1WCYkdjrGFE</v>
      </c>
      <c r="R735" s="5">
        <f ca="1">IFERROR(__xludf.DUMMYFUNCTION("""COMPUTED_VALUE"""),410)</f>
        <v>410</v>
      </c>
      <c r="S735" s="62">
        <f ca="1">IFERROR(__xludf.DUMMYFUNCTION("""COMPUTED_VALUE"""),0.04)</f>
        <v>0.04</v>
      </c>
      <c r="T735" s="63" t="str">
        <f ca="1">IFERROR(__xludf.DUMMYFUNCTION("""COMPUTED_VALUE"""),"https://storage.googleapis.com/glide-prod.appspot.com/uploads-v2/ly7o78grxPaC6KdgvbpS/pub/3aRdSog0vUtuqPE8AJKD.png")</f>
        <v>https://storage.googleapis.com/glide-prod.appspot.com/uploads-v2/ly7o78grxPaC6KdgvbpS/pub/3aRdSog0vUtuqPE8AJKD.png</v>
      </c>
      <c r="U735" s="5" t="str">
        <f ca="1">IFERROR(__xludf.DUMMYFUNCTION("""COMPUTED_VALUE"""),"LINEA DE ENVASADO TAMAÑO PERSONALLLENADORA")</f>
        <v>LINEA DE ENVASADO TAMAÑO PERSONALLLENADORA</v>
      </c>
      <c r="V735" s="5"/>
      <c r="W735" s="5" t="b">
        <f ca="1">IFERROR(__xludf.DUMMYFUNCTION("""COMPUTED_VALUE"""),TRUE)</f>
        <v>1</v>
      </c>
      <c r="X735" s="5" t="str">
        <f ca="1">IFERROR(__xludf.DUMMYFUNCTION("""COMPUTED_VALUE"""),"wguerra@postobon.com.co,aprmttoyu@postobon.com.co,aprmyu@postobon.com.co,wmora@postobon.com.co,efzapata@postobon.com.co")</f>
        <v>wguerra@postobon.com.co,aprmttoyu@postobon.com.co,aprmyu@postobon.com.co,wmora@postobon.com.co,efzapata@postobon.com.co</v>
      </c>
      <c r="Y735" s="5" t="str">
        <f ca="1">IFERROR(__xludf.DUMMYFUNCTION("""COMPUTED_VALUE"""),"wguerra@postobon.com.co")</f>
        <v>wguerra@postobon.com.co</v>
      </c>
      <c r="Z735" s="5" t="str">
        <f ca="1">IFERROR(__xludf.DUMMYFUNCTION("""COMPUTED_VALUE"""),"CDcH8h-NRse5G2szEQ3VQQ")</f>
        <v>CDcH8h-NRse5G2szEQ3VQQ</v>
      </c>
      <c r="AA735" s="5"/>
      <c r="AB735" s="5"/>
      <c r="AC735" s="5"/>
      <c r="AD735" s="5">
        <f ca="1">IFERROR(__xludf.DUMMYFUNCTION("""COMPUTED_VALUE"""),68)</f>
        <v>68</v>
      </c>
      <c r="AE735" s="5">
        <f ca="1">IFERROR(__xludf.DUMMYFUNCTION("""COMPUTED_VALUE"""),68)</f>
        <v>68</v>
      </c>
      <c r="AF735" s="5" t="b">
        <f ca="1">IFERROR(__xludf.DUMMYFUNCTION("""COMPUTED_VALUE"""),FALSE)</f>
        <v>0</v>
      </c>
      <c r="AG735" s="5" t="str">
        <f ca="1">IFERROR(__xludf.DUMMYFUNCTION("""COMPUTED_VALUE"""),"INSPECCIONES REALIZADAS")</f>
        <v>INSPECCIONES REALIZADAS</v>
      </c>
      <c r="AH735" s="5"/>
    </row>
    <row r="736" spans="1:34">
      <c r="A736" s="5" t="str">
        <f ca="1">IFERROR(__xludf.DUMMYFUNCTION("""COMPUTED_VALUE"""),"LINEA DE ENVASADO TAMAÑO PERSONAL")</f>
        <v>LINEA DE ENVASADO TAMAÑO PERSONAL</v>
      </c>
      <c r="B736" s="5">
        <f ca="1">IFERROR(__xludf.DUMMYFUNCTION("""COMPUTED_VALUE"""),828592)</f>
        <v>828592</v>
      </c>
      <c r="C736" s="5" t="str">
        <f ca="1">IFERROR(__xludf.DUMMYFUNCTION("""COMPUTED_VALUE"""),"LLENADORA")</f>
        <v>LLENADORA</v>
      </c>
      <c r="D736" s="5">
        <f ca="1">IFERROR(__xludf.DUMMYFUNCTION("""COMPUTED_VALUE"""),13247632)</f>
        <v>13247632</v>
      </c>
      <c r="E736" s="5" t="str">
        <f ca="1">IFERROR(__xludf.DUMMYFUNCTION("""COMPUTED_VALUE"""),"INSPECCION SEMANAL LLENADORA")</f>
        <v>INSPECCION SEMANAL LLENADORA</v>
      </c>
      <c r="F736" s="5" t="str">
        <f ca="1">IFERROR(__xludf.DUMMYFUNCTION("""COMPUTED_VALUE"""),"Estado de motores")</f>
        <v>Estado de motores</v>
      </c>
      <c r="G736" s="5" t="b">
        <f ca="1">IFERROR(__xludf.DUMMYFUNCTION("""COMPUTED_VALUE"""),TRUE)</f>
        <v>1</v>
      </c>
      <c r="H736" s="5"/>
      <c r="I736" s="5"/>
      <c r="J736" s="5">
        <f ca="1">IFERROR(__xludf.DUMMYFUNCTION("""COMPUTED_VALUE"""),13247632)</f>
        <v>13247632</v>
      </c>
      <c r="K736" s="5"/>
      <c r="L736" s="18">
        <f ca="1">IFERROR(__xludf.DUMMYFUNCTION("""COMPUTED_VALUE"""),45325)</f>
        <v>45325</v>
      </c>
      <c r="M736" s="18">
        <f ca="1">IFERROR(__xludf.DUMMYFUNCTION("""COMPUTED_VALUE"""),45325)</f>
        <v>45325</v>
      </c>
      <c r="N736" s="5" t="str">
        <f ca="1">IFERROR(__xludf.DUMMYFUNCTION("""COMPUTED_VALUE"""),"Jimenez Jhon")</f>
        <v>Jimenez Jhon</v>
      </c>
      <c r="O736" s="2">
        <f ca="1">IFERROR(__xludf.DUMMYFUNCTION("""COMPUTED_VALUE"""),0.04)</f>
        <v>0.04</v>
      </c>
      <c r="P736" s="5">
        <f ca="1">IFERROR(__xludf.DUMMYFUNCTION("""COMPUTED_VALUE"""),20009855)</f>
        <v>20009855</v>
      </c>
      <c r="Q736" s="5" t="str">
        <f ca="1">IFERROR(__xludf.DUMMYFUNCTION("""COMPUTED_VALUE"""),"8kcVsOKH9rg")</f>
        <v>8kcVsOKH9rg</v>
      </c>
      <c r="R736" s="5">
        <f ca="1">IFERROR(__xludf.DUMMYFUNCTION("""COMPUTED_VALUE"""),410)</f>
        <v>410</v>
      </c>
      <c r="S736" s="62">
        <f ca="1">IFERROR(__xludf.DUMMYFUNCTION("""COMPUTED_VALUE"""),0.04)</f>
        <v>0.04</v>
      </c>
      <c r="T736" s="63" t="str">
        <f ca="1">IFERROR(__xludf.DUMMYFUNCTION("""COMPUTED_VALUE"""),"https://storage.googleapis.com/glide-prod.appspot.com/uploads-v2/ly7o78grxPaC6KdgvbpS/pub/3aRdSog0vUtuqPE8AJKD.png")</f>
        <v>https://storage.googleapis.com/glide-prod.appspot.com/uploads-v2/ly7o78grxPaC6KdgvbpS/pub/3aRdSog0vUtuqPE8AJKD.png</v>
      </c>
      <c r="U736" s="5" t="str">
        <f ca="1">IFERROR(__xludf.DUMMYFUNCTION("""COMPUTED_VALUE"""),"LINEA DE ENVASADO TAMAÑO PERSONALLLENADORA")</f>
        <v>LINEA DE ENVASADO TAMAÑO PERSONALLLENADORA</v>
      </c>
      <c r="V736" s="5"/>
      <c r="W736" s="5" t="b">
        <f ca="1">IFERROR(__xludf.DUMMYFUNCTION("""COMPUTED_VALUE"""),TRUE)</f>
        <v>1</v>
      </c>
      <c r="X736" s="5" t="str">
        <f ca="1">IFERROR(__xludf.DUMMYFUNCTION("""COMPUTED_VALUE"""),"wguerra@postobon.com.co,aprmttoyu@postobon.com.co,aprmyu@postobon.com.co,wmora@postobon.com.co,efzapata@postobon.com.co")</f>
        <v>wguerra@postobon.com.co,aprmttoyu@postobon.com.co,aprmyu@postobon.com.co,wmora@postobon.com.co,efzapata@postobon.com.co</v>
      </c>
      <c r="Y736" s="5" t="str">
        <f ca="1">IFERROR(__xludf.DUMMYFUNCTION("""COMPUTED_VALUE"""),"wguerra@postobon.com.co")</f>
        <v>wguerra@postobon.com.co</v>
      </c>
      <c r="Z736" s="5" t="str">
        <f ca="1">IFERROR(__xludf.DUMMYFUNCTION("""COMPUTED_VALUE"""),"ze0PZEqNQqKr-bOm3Zj2hQ")</f>
        <v>ze0PZEqNQqKr-bOm3Zj2hQ</v>
      </c>
      <c r="AA736" s="5"/>
      <c r="AB736" s="5"/>
      <c r="AC736" s="5"/>
      <c r="AD736" s="5">
        <f ca="1">IFERROR(__xludf.DUMMYFUNCTION("""COMPUTED_VALUE"""),68)</f>
        <v>68</v>
      </c>
      <c r="AE736" s="5">
        <f ca="1">IFERROR(__xludf.DUMMYFUNCTION("""COMPUTED_VALUE"""),68)</f>
        <v>68</v>
      </c>
      <c r="AF736" s="5" t="b">
        <f ca="1">IFERROR(__xludf.DUMMYFUNCTION("""COMPUTED_VALUE"""),FALSE)</f>
        <v>0</v>
      </c>
      <c r="AG736" s="5" t="str">
        <f ca="1">IFERROR(__xludf.DUMMYFUNCTION("""COMPUTED_VALUE"""),"INSPECCIONES REALIZADAS")</f>
        <v>INSPECCIONES REALIZADAS</v>
      </c>
      <c r="AH736" s="5"/>
    </row>
    <row r="737" spans="1:34">
      <c r="A737" s="5" t="str">
        <f ca="1">IFERROR(__xludf.DUMMYFUNCTION("""COMPUTED_VALUE"""),"LINEA DE ENVASADO TAMAÑO PERSONAL")</f>
        <v>LINEA DE ENVASADO TAMAÑO PERSONAL</v>
      </c>
      <c r="B737" s="5">
        <f ca="1">IFERROR(__xludf.DUMMYFUNCTION("""COMPUTED_VALUE"""),828592)</f>
        <v>828592</v>
      </c>
      <c r="C737" s="5" t="str">
        <f ca="1">IFERROR(__xludf.DUMMYFUNCTION("""COMPUTED_VALUE"""),"LLENADORA")</f>
        <v>LLENADORA</v>
      </c>
      <c r="D737" s="5">
        <f ca="1">IFERROR(__xludf.DUMMYFUNCTION("""COMPUTED_VALUE"""),13247632)</f>
        <v>13247632</v>
      </c>
      <c r="E737" s="5" t="str">
        <f ca="1">IFERROR(__xludf.DUMMYFUNCTION("""COMPUTED_VALUE"""),"INSPECCION SEMANAL LLENADORA")</f>
        <v>INSPECCION SEMANAL LLENADORA</v>
      </c>
      <c r="F737" s="5" t="str">
        <f ca="1">IFERROR(__xludf.DUMMYFUNCTION("""COMPUTED_VALUE"""),"Estado de cajas reductoras")</f>
        <v>Estado de cajas reductoras</v>
      </c>
      <c r="G737" s="5" t="b">
        <f ca="1">IFERROR(__xludf.DUMMYFUNCTION("""COMPUTED_VALUE"""),TRUE)</f>
        <v>1</v>
      </c>
      <c r="H737" s="5"/>
      <c r="I737" s="5"/>
      <c r="J737" s="5">
        <f ca="1">IFERROR(__xludf.DUMMYFUNCTION("""COMPUTED_VALUE"""),13247632)</f>
        <v>13247632</v>
      </c>
      <c r="K737" s="5"/>
      <c r="L737" s="18">
        <f ca="1">IFERROR(__xludf.DUMMYFUNCTION("""COMPUTED_VALUE"""),45325)</f>
        <v>45325</v>
      </c>
      <c r="M737" s="18">
        <f ca="1">IFERROR(__xludf.DUMMYFUNCTION("""COMPUTED_VALUE"""),45325)</f>
        <v>45325</v>
      </c>
      <c r="N737" s="5" t="str">
        <f ca="1">IFERROR(__xludf.DUMMYFUNCTION("""COMPUTED_VALUE"""),"Jimenez Jhon")</f>
        <v>Jimenez Jhon</v>
      </c>
      <c r="O737" s="2">
        <f ca="1">IFERROR(__xludf.DUMMYFUNCTION("""COMPUTED_VALUE"""),0.04)</f>
        <v>0.04</v>
      </c>
      <c r="P737" s="5">
        <f ca="1">IFERROR(__xludf.DUMMYFUNCTION("""COMPUTED_VALUE"""),20009855)</f>
        <v>20009855</v>
      </c>
      <c r="Q737" s="5" t="str">
        <f ca="1">IFERROR(__xludf.DUMMYFUNCTION("""COMPUTED_VALUE"""),"3sJzZmes_dA")</f>
        <v>3sJzZmes_dA</v>
      </c>
      <c r="R737" s="5">
        <f ca="1">IFERROR(__xludf.DUMMYFUNCTION("""COMPUTED_VALUE"""),410)</f>
        <v>410</v>
      </c>
      <c r="S737" s="62">
        <f ca="1">IFERROR(__xludf.DUMMYFUNCTION("""COMPUTED_VALUE"""),0.04)</f>
        <v>0.04</v>
      </c>
      <c r="T737" s="63" t="str">
        <f ca="1">IFERROR(__xludf.DUMMYFUNCTION("""COMPUTED_VALUE"""),"https://storage.googleapis.com/glide-prod.appspot.com/uploads-v2/ly7o78grxPaC6KdgvbpS/pub/3aRdSog0vUtuqPE8AJKD.png")</f>
        <v>https://storage.googleapis.com/glide-prod.appspot.com/uploads-v2/ly7o78grxPaC6KdgvbpS/pub/3aRdSog0vUtuqPE8AJKD.png</v>
      </c>
      <c r="U737" s="5" t="str">
        <f ca="1">IFERROR(__xludf.DUMMYFUNCTION("""COMPUTED_VALUE"""),"LINEA DE ENVASADO TAMAÑO PERSONALLLENADORA")</f>
        <v>LINEA DE ENVASADO TAMAÑO PERSONALLLENADORA</v>
      </c>
      <c r="V737" s="5"/>
      <c r="W737" s="5" t="b">
        <f ca="1">IFERROR(__xludf.DUMMYFUNCTION("""COMPUTED_VALUE"""),TRUE)</f>
        <v>1</v>
      </c>
      <c r="X737" s="5" t="str">
        <f ca="1">IFERROR(__xludf.DUMMYFUNCTION("""COMPUTED_VALUE"""),"wguerra@postobon.com.co,aprmttoyu@postobon.com.co,aprmyu@postobon.com.co,wmora@postobon.com.co,efzapata@postobon.com.co")</f>
        <v>wguerra@postobon.com.co,aprmttoyu@postobon.com.co,aprmyu@postobon.com.co,wmora@postobon.com.co,efzapata@postobon.com.co</v>
      </c>
      <c r="Y737" s="5" t="str">
        <f ca="1">IFERROR(__xludf.DUMMYFUNCTION("""COMPUTED_VALUE"""),"wguerra@postobon.com.co")</f>
        <v>wguerra@postobon.com.co</v>
      </c>
      <c r="Z737" s="5" t="str">
        <f ca="1">IFERROR(__xludf.DUMMYFUNCTION("""COMPUTED_VALUE"""),"vniGI2qvT0SLmSnokI1n4g")</f>
        <v>vniGI2qvT0SLmSnokI1n4g</v>
      </c>
      <c r="AA737" s="5"/>
      <c r="AB737" s="5"/>
      <c r="AC737" s="5"/>
      <c r="AD737" s="5">
        <f ca="1">IFERROR(__xludf.DUMMYFUNCTION("""COMPUTED_VALUE"""),68)</f>
        <v>68</v>
      </c>
      <c r="AE737" s="5">
        <f ca="1">IFERROR(__xludf.DUMMYFUNCTION("""COMPUTED_VALUE"""),68)</f>
        <v>68</v>
      </c>
      <c r="AF737" s="5" t="b">
        <f ca="1">IFERROR(__xludf.DUMMYFUNCTION("""COMPUTED_VALUE"""),FALSE)</f>
        <v>0</v>
      </c>
      <c r="AG737" s="5" t="str">
        <f ca="1">IFERROR(__xludf.DUMMYFUNCTION("""COMPUTED_VALUE"""),"INSPECCIONES REALIZADAS")</f>
        <v>INSPECCIONES REALIZADAS</v>
      </c>
      <c r="AH737" s="5"/>
    </row>
    <row r="738" spans="1:34">
      <c r="A738" s="5" t="str">
        <f ca="1">IFERROR(__xludf.DUMMYFUNCTION("""COMPUTED_VALUE"""),"LINEA DE ENVASADO TAMAÑO PERSONAL")</f>
        <v>LINEA DE ENVASADO TAMAÑO PERSONAL</v>
      </c>
      <c r="B738" s="5">
        <f ca="1">IFERROR(__xludf.DUMMYFUNCTION("""COMPUTED_VALUE"""),828592)</f>
        <v>828592</v>
      </c>
      <c r="C738" s="5" t="str">
        <f ca="1">IFERROR(__xludf.DUMMYFUNCTION("""COMPUTED_VALUE"""),"LLENADORA")</f>
        <v>LLENADORA</v>
      </c>
      <c r="D738" s="5">
        <f ca="1">IFERROR(__xludf.DUMMYFUNCTION("""COMPUTED_VALUE"""),13247632)</f>
        <v>13247632</v>
      </c>
      <c r="E738" s="5" t="str">
        <f ca="1">IFERROR(__xludf.DUMMYFUNCTION("""COMPUTED_VALUE"""),"INSPECCION SEMANAL LLENADORA")</f>
        <v>INSPECCION SEMANAL LLENADORA</v>
      </c>
      <c r="F738" s="5" t="str">
        <f ca="1">IFERROR(__xludf.DUMMYFUNCTION("""COMPUTED_VALUE"""),"Estado de resortes centradores")</f>
        <v>Estado de resortes centradores</v>
      </c>
      <c r="G738" s="5" t="b">
        <f ca="1">IFERROR(__xludf.DUMMYFUNCTION("""COMPUTED_VALUE"""),TRUE)</f>
        <v>1</v>
      </c>
      <c r="H738" s="5"/>
      <c r="I738" s="5"/>
      <c r="J738" s="5">
        <f ca="1">IFERROR(__xludf.DUMMYFUNCTION("""COMPUTED_VALUE"""),13247632)</f>
        <v>13247632</v>
      </c>
      <c r="K738" s="5"/>
      <c r="L738" s="18">
        <f ca="1">IFERROR(__xludf.DUMMYFUNCTION("""COMPUTED_VALUE"""),45325)</f>
        <v>45325</v>
      </c>
      <c r="M738" s="18">
        <f ca="1">IFERROR(__xludf.DUMMYFUNCTION("""COMPUTED_VALUE"""),45325)</f>
        <v>45325</v>
      </c>
      <c r="N738" s="5" t="str">
        <f ca="1">IFERROR(__xludf.DUMMYFUNCTION("""COMPUTED_VALUE"""),"Jimenez Jhon")</f>
        <v>Jimenez Jhon</v>
      </c>
      <c r="O738" s="2">
        <f ca="1">IFERROR(__xludf.DUMMYFUNCTION("""COMPUTED_VALUE"""),0.04)</f>
        <v>0.04</v>
      </c>
      <c r="P738" s="5">
        <f ca="1">IFERROR(__xludf.DUMMYFUNCTION("""COMPUTED_VALUE"""),20009855)</f>
        <v>20009855</v>
      </c>
      <c r="Q738" s="5" t="str">
        <f ca="1">IFERROR(__xludf.DUMMYFUNCTION("""COMPUTED_VALUE"""),"6eNhnkqOO5g")</f>
        <v>6eNhnkqOO5g</v>
      </c>
      <c r="R738" s="5">
        <f ca="1">IFERROR(__xludf.DUMMYFUNCTION("""COMPUTED_VALUE"""),410)</f>
        <v>410</v>
      </c>
      <c r="S738" s="62">
        <f ca="1">IFERROR(__xludf.DUMMYFUNCTION("""COMPUTED_VALUE"""),0.04)</f>
        <v>0.04</v>
      </c>
      <c r="T738" s="63" t="str">
        <f ca="1">IFERROR(__xludf.DUMMYFUNCTION("""COMPUTED_VALUE"""),"https://storage.googleapis.com/glide-prod.appspot.com/uploads-v2/ly7o78grxPaC6KdgvbpS/pub/3aRdSog0vUtuqPE8AJKD.png")</f>
        <v>https://storage.googleapis.com/glide-prod.appspot.com/uploads-v2/ly7o78grxPaC6KdgvbpS/pub/3aRdSog0vUtuqPE8AJKD.png</v>
      </c>
      <c r="U738" s="5" t="str">
        <f ca="1">IFERROR(__xludf.DUMMYFUNCTION("""COMPUTED_VALUE"""),"LINEA DE ENVASADO TAMAÑO PERSONALLLENADORA")</f>
        <v>LINEA DE ENVASADO TAMAÑO PERSONALLLENADORA</v>
      </c>
      <c r="V738" s="5"/>
      <c r="W738" s="5" t="b">
        <f ca="1">IFERROR(__xludf.DUMMYFUNCTION("""COMPUTED_VALUE"""),TRUE)</f>
        <v>1</v>
      </c>
      <c r="X738" s="5" t="str">
        <f ca="1">IFERROR(__xludf.DUMMYFUNCTION("""COMPUTED_VALUE"""),"wguerra@postobon.com.co,aprmttoyu@postobon.com.co,aprmyu@postobon.com.co,wmora@postobon.com.co,efzapata@postobon.com.co")</f>
        <v>wguerra@postobon.com.co,aprmttoyu@postobon.com.co,aprmyu@postobon.com.co,wmora@postobon.com.co,efzapata@postobon.com.co</v>
      </c>
      <c r="Y738" s="5" t="str">
        <f ca="1">IFERROR(__xludf.DUMMYFUNCTION("""COMPUTED_VALUE"""),"wguerra@postobon.com.co")</f>
        <v>wguerra@postobon.com.co</v>
      </c>
      <c r="Z738" s="5" t="str">
        <f ca="1">IFERROR(__xludf.DUMMYFUNCTION("""COMPUTED_VALUE"""),"2AN0r7F8SLScO7nCEJwClA")</f>
        <v>2AN0r7F8SLScO7nCEJwClA</v>
      </c>
      <c r="AA738" s="5"/>
      <c r="AB738" s="5"/>
      <c r="AC738" s="5"/>
      <c r="AD738" s="5">
        <f ca="1">IFERROR(__xludf.DUMMYFUNCTION("""COMPUTED_VALUE"""),68)</f>
        <v>68</v>
      </c>
      <c r="AE738" s="5">
        <f ca="1">IFERROR(__xludf.DUMMYFUNCTION("""COMPUTED_VALUE"""),68)</f>
        <v>68</v>
      </c>
      <c r="AF738" s="5" t="b">
        <f ca="1">IFERROR(__xludf.DUMMYFUNCTION("""COMPUTED_VALUE"""),FALSE)</f>
        <v>0</v>
      </c>
      <c r="AG738" s="5" t="str">
        <f ca="1">IFERROR(__xludf.DUMMYFUNCTION("""COMPUTED_VALUE"""),"INSPECCIONES REALIZADAS")</f>
        <v>INSPECCIONES REALIZADAS</v>
      </c>
      <c r="AH738" s="5"/>
    </row>
    <row r="739" spans="1:34">
      <c r="A739" s="5" t="str">
        <f ca="1">IFERROR(__xludf.DUMMYFUNCTION("""COMPUTED_VALUE"""),"LINEA DE ENVASADO TAMAÑO PERSONAL")</f>
        <v>LINEA DE ENVASADO TAMAÑO PERSONAL</v>
      </c>
      <c r="B739" s="5">
        <f ca="1">IFERROR(__xludf.DUMMYFUNCTION("""COMPUTED_VALUE"""),828592)</f>
        <v>828592</v>
      </c>
      <c r="C739" s="5" t="str">
        <f ca="1">IFERROR(__xludf.DUMMYFUNCTION("""COMPUTED_VALUE"""),"LLENADORA")</f>
        <v>LLENADORA</v>
      </c>
      <c r="D739" s="5">
        <f ca="1">IFERROR(__xludf.DUMMYFUNCTION("""COMPUTED_VALUE"""),13247632)</f>
        <v>13247632</v>
      </c>
      <c r="E739" s="5" t="str">
        <f ca="1">IFERROR(__xludf.DUMMYFUNCTION("""COMPUTED_VALUE"""),"INSPECCION SEMANAL LLENADORA")</f>
        <v>INSPECCION SEMANAL LLENADORA</v>
      </c>
      <c r="F739" s="5" t="str">
        <f ca="1">IFERROR(__xludf.DUMMYFUNCTION("""COMPUTED_VALUE"""),"Estado de válvulas de llenado")</f>
        <v>Estado de válvulas de llenado</v>
      </c>
      <c r="G739" s="5" t="b">
        <f ca="1">IFERROR(__xludf.DUMMYFUNCTION("""COMPUTED_VALUE"""),TRUE)</f>
        <v>1</v>
      </c>
      <c r="H739" s="5"/>
      <c r="I739" s="5"/>
      <c r="J739" s="5">
        <f ca="1">IFERROR(__xludf.DUMMYFUNCTION("""COMPUTED_VALUE"""),13247632)</f>
        <v>13247632</v>
      </c>
      <c r="K739" s="5"/>
      <c r="L739" s="18">
        <f ca="1">IFERROR(__xludf.DUMMYFUNCTION("""COMPUTED_VALUE"""),45325)</f>
        <v>45325</v>
      </c>
      <c r="M739" s="18">
        <f ca="1">IFERROR(__xludf.DUMMYFUNCTION("""COMPUTED_VALUE"""),45325)</f>
        <v>45325</v>
      </c>
      <c r="N739" s="5" t="str">
        <f ca="1">IFERROR(__xludf.DUMMYFUNCTION("""COMPUTED_VALUE"""),"Jimenez Jhon")</f>
        <v>Jimenez Jhon</v>
      </c>
      <c r="O739" s="2">
        <f ca="1">IFERROR(__xludf.DUMMYFUNCTION("""COMPUTED_VALUE"""),0.04)</f>
        <v>0.04</v>
      </c>
      <c r="P739" s="5">
        <f ca="1">IFERROR(__xludf.DUMMYFUNCTION("""COMPUTED_VALUE"""),20009855)</f>
        <v>20009855</v>
      </c>
      <c r="Q739" s="5" t="str">
        <f ca="1">IFERROR(__xludf.DUMMYFUNCTION("""COMPUTED_VALUE"""),"2V5Dt9PH6o8")</f>
        <v>2V5Dt9PH6o8</v>
      </c>
      <c r="R739" s="5">
        <f ca="1">IFERROR(__xludf.DUMMYFUNCTION("""COMPUTED_VALUE"""),410)</f>
        <v>410</v>
      </c>
      <c r="S739" s="62">
        <f ca="1">IFERROR(__xludf.DUMMYFUNCTION("""COMPUTED_VALUE"""),0.04)</f>
        <v>0.04</v>
      </c>
      <c r="T739" s="63" t="str">
        <f ca="1">IFERROR(__xludf.DUMMYFUNCTION("""COMPUTED_VALUE"""),"https://storage.googleapis.com/glide-prod.appspot.com/uploads-v2/ly7o78grxPaC6KdgvbpS/pub/3aRdSog0vUtuqPE8AJKD.png")</f>
        <v>https://storage.googleapis.com/glide-prod.appspot.com/uploads-v2/ly7o78grxPaC6KdgvbpS/pub/3aRdSog0vUtuqPE8AJKD.png</v>
      </c>
      <c r="U739" s="5" t="str">
        <f ca="1">IFERROR(__xludf.DUMMYFUNCTION("""COMPUTED_VALUE"""),"LINEA DE ENVASADO TAMAÑO PERSONALLLENADORA")</f>
        <v>LINEA DE ENVASADO TAMAÑO PERSONALLLENADORA</v>
      </c>
      <c r="V739" s="5"/>
      <c r="W739" s="5" t="b">
        <f ca="1">IFERROR(__xludf.DUMMYFUNCTION("""COMPUTED_VALUE"""),TRUE)</f>
        <v>1</v>
      </c>
      <c r="X739" s="5" t="str">
        <f ca="1">IFERROR(__xludf.DUMMYFUNCTION("""COMPUTED_VALUE"""),"wguerra@postobon.com.co,aprmttoyu@postobon.com.co,aprmyu@postobon.com.co,wmora@postobon.com.co,efzapata@postobon.com.co")</f>
        <v>wguerra@postobon.com.co,aprmttoyu@postobon.com.co,aprmyu@postobon.com.co,wmora@postobon.com.co,efzapata@postobon.com.co</v>
      </c>
      <c r="Y739" s="5" t="str">
        <f ca="1">IFERROR(__xludf.DUMMYFUNCTION("""COMPUTED_VALUE"""),"wguerra@postobon.com.co")</f>
        <v>wguerra@postobon.com.co</v>
      </c>
      <c r="Z739" s="5" t="str">
        <f ca="1">IFERROR(__xludf.DUMMYFUNCTION("""COMPUTED_VALUE"""),"Cbj1L5TLT6W6rlKiBAZC2g")</f>
        <v>Cbj1L5TLT6W6rlKiBAZC2g</v>
      </c>
      <c r="AA739" s="5"/>
      <c r="AB739" s="5"/>
      <c r="AC739" s="5"/>
      <c r="AD739" s="5">
        <f ca="1">IFERROR(__xludf.DUMMYFUNCTION("""COMPUTED_VALUE"""),68)</f>
        <v>68</v>
      </c>
      <c r="AE739" s="5">
        <f ca="1">IFERROR(__xludf.DUMMYFUNCTION("""COMPUTED_VALUE"""),68)</f>
        <v>68</v>
      </c>
      <c r="AF739" s="5" t="b">
        <f ca="1">IFERROR(__xludf.DUMMYFUNCTION("""COMPUTED_VALUE"""),FALSE)</f>
        <v>0</v>
      </c>
      <c r="AG739" s="5" t="str">
        <f ca="1">IFERROR(__xludf.DUMMYFUNCTION("""COMPUTED_VALUE"""),"INSPECCIONES REALIZADAS")</f>
        <v>INSPECCIONES REALIZADAS</v>
      </c>
      <c r="AH739" s="5"/>
    </row>
    <row r="740" spans="1:34">
      <c r="A740" s="5" t="str">
        <f ca="1">IFERROR(__xludf.DUMMYFUNCTION("""COMPUTED_VALUE"""),"LINEA DE ENVASADO TAMAÑO PERSONAL")</f>
        <v>LINEA DE ENVASADO TAMAÑO PERSONAL</v>
      </c>
      <c r="B740" s="5">
        <f ca="1">IFERROR(__xludf.DUMMYFUNCTION("""COMPUTED_VALUE"""),828592)</f>
        <v>828592</v>
      </c>
      <c r="C740" s="5" t="str">
        <f ca="1">IFERROR(__xludf.DUMMYFUNCTION("""COMPUTED_VALUE"""),"LLENADORA")</f>
        <v>LLENADORA</v>
      </c>
      <c r="D740" s="5">
        <f ca="1">IFERROR(__xludf.DUMMYFUNCTION("""COMPUTED_VALUE"""),13247632)</f>
        <v>13247632</v>
      </c>
      <c r="E740" s="5" t="str">
        <f ca="1">IFERROR(__xludf.DUMMYFUNCTION("""COMPUTED_VALUE"""),"INSPECCION SEMANAL LLENADORA")</f>
        <v>INSPECCION SEMANAL LLENADORA</v>
      </c>
      <c r="F740" s="5" t="str">
        <f ca="1">IFERROR(__xludf.DUMMYFUNCTION("""COMPUTED_VALUE"""),"Estado de válvulas neumáticas")</f>
        <v>Estado de válvulas neumáticas</v>
      </c>
      <c r="G740" s="5" t="b">
        <f ca="1">IFERROR(__xludf.DUMMYFUNCTION("""COMPUTED_VALUE"""),TRUE)</f>
        <v>1</v>
      </c>
      <c r="H740" s="5"/>
      <c r="I740" s="5"/>
      <c r="J740" s="5">
        <f ca="1">IFERROR(__xludf.DUMMYFUNCTION("""COMPUTED_VALUE"""),13247632)</f>
        <v>13247632</v>
      </c>
      <c r="K740" s="5"/>
      <c r="L740" s="18">
        <f ca="1">IFERROR(__xludf.DUMMYFUNCTION("""COMPUTED_VALUE"""),45325)</f>
        <v>45325</v>
      </c>
      <c r="M740" s="18">
        <f ca="1">IFERROR(__xludf.DUMMYFUNCTION("""COMPUTED_VALUE"""),45325)</f>
        <v>45325</v>
      </c>
      <c r="N740" s="5" t="str">
        <f ca="1">IFERROR(__xludf.DUMMYFUNCTION("""COMPUTED_VALUE"""),"Jimenez Jhon")</f>
        <v>Jimenez Jhon</v>
      </c>
      <c r="O740" s="2">
        <f ca="1">IFERROR(__xludf.DUMMYFUNCTION("""COMPUTED_VALUE"""),0.04)</f>
        <v>0.04</v>
      </c>
      <c r="P740" s="5">
        <f ca="1">IFERROR(__xludf.DUMMYFUNCTION("""COMPUTED_VALUE"""),20009855)</f>
        <v>20009855</v>
      </c>
      <c r="Q740" s="5" t="str">
        <f ca="1">IFERROR(__xludf.DUMMYFUNCTION("""COMPUTED_VALUE"""),"vd8GU5-QJ2Q")</f>
        <v>vd8GU5-QJ2Q</v>
      </c>
      <c r="R740" s="5">
        <f ca="1">IFERROR(__xludf.DUMMYFUNCTION("""COMPUTED_VALUE"""),410)</f>
        <v>410</v>
      </c>
      <c r="S740" s="62">
        <f ca="1">IFERROR(__xludf.DUMMYFUNCTION("""COMPUTED_VALUE"""),0.04)</f>
        <v>0.04</v>
      </c>
      <c r="T740" s="63" t="str">
        <f ca="1">IFERROR(__xludf.DUMMYFUNCTION("""COMPUTED_VALUE"""),"https://storage.googleapis.com/glide-prod.appspot.com/uploads-v2/ly7o78grxPaC6KdgvbpS/pub/3aRdSog0vUtuqPE8AJKD.png")</f>
        <v>https://storage.googleapis.com/glide-prod.appspot.com/uploads-v2/ly7o78grxPaC6KdgvbpS/pub/3aRdSog0vUtuqPE8AJKD.png</v>
      </c>
      <c r="U740" s="5" t="str">
        <f ca="1">IFERROR(__xludf.DUMMYFUNCTION("""COMPUTED_VALUE"""),"LINEA DE ENVASADO TAMAÑO PERSONALLLENADORA")</f>
        <v>LINEA DE ENVASADO TAMAÑO PERSONALLLENADORA</v>
      </c>
      <c r="V740" s="5"/>
      <c r="W740" s="5" t="b">
        <f ca="1">IFERROR(__xludf.DUMMYFUNCTION("""COMPUTED_VALUE"""),TRUE)</f>
        <v>1</v>
      </c>
      <c r="X740" s="5" t="str">
        <f ca="1">IFERROR(__xludf.DUMMYFUNCTION("""COMPUTED_VALUE"""),"wguerra@postobon.com.co,aprmttoyu@postobon.com.co,aprmyu@postobon.com.co,wmora@postobon.com.co,efzapata@postobon.com.co")</f>
        <v>wguerra@postobon.com.co,aprmttoyu@postobon.com.co,aprmyu@postobon.com.co,wmora@postobon.com.co,efzapata@postobon.com.co</v>
      </c>
      <c r="Y740" s="5" t="str">
        <f ca="1">IFERROR(__xludf.DUMMYFUNCTION("""COMPUTED_VALUE"""),"wguerra@postobon.com.co")</f>
        <v>wguerra@postobon.com.co</v>
      </c>
      <c r="Z740" s="5" t="str">
        <f ca="1">IFERROR(__xludf.DUMMYFUNCTION("""COMPUTED_VALUE"""),"XwMIhsOzTQalKI1syCd4bA")</f>
        <v>XwMIhsOzTQalKI1syCd4bA</v>
      </c>
      <c r="AA740" s="5"/>
      <c r="AB740" s="5"/>
      <c r="AC740" s="5"/>
      <c r="AD740" s="5">
        <f ca="1">IFERROR(__xludf.DUMMYFUNCTION("""COMPUTED_VALUE"""),68)</f>
        <v>68</v>
      </c>
      <c r="AE740" s="5">
        <f ca="1">IFERROR(__xludf.DUMMYFUNCTION("""COMPUTED_VALUE"""),68)</f>
        <v>68</v>
      </c>
      <c r="AF740" s="5" t="b">
        <f ca="1">IFERROR(__xludf.DUMMYFUNCTION("""COMPUTED_VALUE"""),FALSE)</f>
        <v>0</v>
      </c>
      <c r="AG740" s="5" t="str">
        <f ca="1">IFERROR(__xludf.DUMMYFUNCTION("""COMPUTED_VALUE"""),"INSPECCIONES REALIZADAS")</f>
        <v>INSPECCIONES REALIZADAS</v>
      </c>
      <c r="AH740" s="5"/>
    </row>
    <row r="741" spans="1:34">
      <c r="A741" s="5" t="str">
        <f ca="1">IFERROR(__xludf.DUMMYFUNCTION("""COMPUTED_VALUE"""),"LINEA DE ENVASADO TAMAÑO PERSONAL")</f>
        <v>LINEA DE ENVASADO TAMAÑO PERSONAL</v>
      </c>
      <c r="B741" s="5">
        <f ca="1">IFERROR(__xludf.DUMMYFUNCTION("""COMPUTED_VALUE"""),828592)</f>
        <v>828592</v>
      </c>
      <c r="C741" s="5" t="str">
        <f ca="1">IFERROR(__xludf.DUMMYFUNCTION("""COMPUTED_VALUE"""),"LLENADORA")</f>
        <v>LLENADORA</v>
      </c>
      <c r="D741" s="5">
        <f ca="1">IFERROR(__xludf.DUMMYFUNCTION("""COMPUTED_VALUE"""),13247632)</f>
        <v>13247632</v>
      </c>
      <c r="E741" s="5" t="str">
        <f ca="1">IFERROR(__xludf.DUMMYFUNCTION("""COMPUTED_VALUE"""),"INSPECCION SEMANAL LLENADORA")</f>
        <v>INSPECCION SEMANAL LLENADORA</v>
      </c>
      <c r="F741" s="5" t="str">
        <f ca="1">IFERROR(__xludf.DUMMYFUNCTION("""COMPUTED_VALUE"""),"Estado de electroválvulas")</f>
        <v>Estado de electroválvulas</v>
      </c>
      <c r="G741" s="5" t="b">
        <f ca="1">IFERROR(__xludf.DUMMYFUNCTION("""COMPUTED_VALUE"""),TRUE)</f>
        <v>1</v>
      </c>
      <c r="H741" s="5"/>
      <c r="I741" s="5"/>
      <c r="J741" s="5">
        <f ca="1">IFERROR(__xludf.DUMMYFUNCTION("""COMPUTED_VALUE"""),13247632)</f>
        <v>13247632</v>
      </c>
      <c r="K741" s="5"/>
      <c r="L741" s="18">
        <f ca="1">IFERROR(__xludf.DUMMYFUNCTION("""COMPUTED_VALUE"""),45325)</f>
        <v>45325</v>
      </c>
      <c r="M741" s="18">
        <f ca="1">IFERROR(__xludf.DUMMYFUNCTION("""COMPUTED_VALUE"""),45325)</f>
        <v>45325</v>
      </c>
      <c r="N741" s="5" t="str">
        <f ca="1">IFERROR(__xludf.DUMMYFUNCTION("""COMPUTED_VALUE"""),"Jimenez Jhon")</f>
        <v>Jimenez Jhon</v>
      </c>
      <c r="O741" s="2">
        <f ca="1">IFERROR(__xludf.DUMMYFUNCTION("""COMPUTED_VALUE"""),0.04)</f>
        <v>0.04</v>
      </c>
      <c r="P741" s="5">
        <f ca="1">IFERROR(__xludf.DUMMYFUNCTION("""COMPUTED_VALUE"""),20009855)</f>
        <v>20009855</v>
      </c>
      <c r="Q741" s="5" t="str">
        <f ca="1">IFERROR(__xludf.DUMMYFUNCTION("""COMPUTED_VALUE"""),"0Vnrt9-Jl2I")</f>
        <v>0Vnrt9-Jl2I</v>
      </c>
      <c r="R741" s="5">
        <f ca="1">IFERROR(__xludf.DUMMYFUNCTION("""COMPUTED_VALUE"""),410)</f>
        <v>410</v>
      </c>
      <c r="S741" s="62">
        <f ca="1">IFERROR(__xludf.DUMMYFUNCTION("""COMPUTED_VALUE"""),0.04)</f>
        <v>0.04</v>
      </c>
      <c r="T741" s="63" t="str">
        <f ca="1">IFERROR(__xludf.DUMMYFUNCTION("""COMPUTED_VALUE"""),"https://storage.googleapis.com/glide-prod.appspot.com/uploads-v2/ly7o78grxPaC6KdgvbpS/pub/3aRdSog0vUtuqPE8AJKD.png")</f>
        <v>https://storage.googleapis.com/glide-prod.appspot.com/uploads-v2/ly7o78grxPaC6KdgvbpS/pub/3aRdSog0vUtuqPE8AJKD.png</v>
      </c>
      <c r="U741" s="5" t="str">
        <f ca="1">IFERROR(__xludf.DUMMYFUNCTION("""COMPUTED_VALUE"""),"LINEA DE ENVASADO TAMAÑO PERSONALLLENADORA")</f>
        <v>LINEA DE ENVASADO TAMAÑO PERSONALLLENADORA</v>
      </c>
      <c r="V741" s="5"/>
      <c r="W741" s="5" t="b">
        <f ca="1">IFERROR(__xludf.DUMMYFUNCTION("""COMPUTED_VALUE"""),TRUE)</f>
        <v>1</v>
      </c>
      <c r="X741" s="5" t="str">
        <f ca="1">IFERROR(__xludf.DUMMYFUNCTION("""COMPUTED_VALUE"""),"wguerra@postobon.com.co,aprmttoyu@postobon.com.co,aprmyu@postobon.com.co,wmora@postobon.com.co,efzapata@postobon.com.co")</f>
        <v>wguerra@postobon.com.co,aprmttoyu@postobon.com.co,aprmyu@postobon.com.co,wmora@postobon.com.co,efzapata@postobon.com.co</v>
      </c>
      <c r="Y741" s="5" t="str">
        <f ca="1">IFERROR(__xludf.DUMMYFUNCTION("""COMPUTED_VALUE"""),"wguerra@postobon.com.co")</f>
        <v>wguerra@postobon.com.co</v>
      </c>
      <c r="Z741" s="5" t="str">
        <f ca="1">IFERROR(__xludf.DUMMYFUNCTION("""COMPUTED_VALUE"""),"zRCPKimkRjaf6XePwh9Neg")</f>
        <v>zRCPKimkRjaf6XePwh9Neg</v>
      </c>
      <c r="AA741" s="5"/>
      <c r="AB741" s="5"/>
      <c r="AC741" s="5"/>
      <c r="AD741" s="5">
        <f ca="1">IFERROR(__xludf.DUMMYFUNCTION("""COMPUTED_VALUE"""),68)</f>
        <v>68</v>
      </c>
      <c r="AE741" s="5">
        <f ca="1">IFERROR(__xludf.DUMMYFUNCTION("""COMPUTED_VALUE"""),68)</f>
        <v>68</v>
      </c>
      <c r="AF741" s="5" t="b">
        <f ca="1">IFERROR(__xludf.DUMMYFUNCTION("""COMPUTED_VALUE"""),FALSE)</f>
        <v>0</v>
      </c>
      <c r="AG741" s="5" t="str">
        <f ca="1">IFERROR(__xludf.DUMMYFUNCTION("""COMPUTED_VALUE"""),"INSPECCIONES REALIZADAS")</f>
        <v>INSPECCIONES REALIZADAS</v>
      </c>
      <c r="AH741" s="5"/>
    </row>
    <row r="742" spans="1:34">
      <c r="A742" s="5" t="str">
        <f ca="1">IFERROR(__xludf.DUMMYFUNCTION("""COMPUTED_VALUE"""),"LINEA DE ENVASADO TAMAÑO PERSONAL")</f>
        <v>LINEA DE ENVASADO TAMAÑO PERSONAL</v>
      </c>
      <c r="B742" s="5">
        <f ca="1">IFERROR(__xludf.DUMMYFUNCTION("""COMPUTED_VALUE"""),828592)</f>
        <v>828592</v>
      </c>
      <c r="C742" s="5" t="str">
        <f ca="1">IFERROR(__xludf.DUMMYFUNCTION("""COMPUTED_VALUE"""),"LLENADORA")</f>
        <v>LLENADORA</v>
      </c>
      <c r="D742" s="5">
        <f ca="1">IFERROR(__xludf.DUMMYFUNCTION("""COMPUTED_VALUE"""),13247632)</f>
        <v>13247632</v>
      </c>
      <c r="E742" s="5" t="str">
        <f ca="1">IFERROR(__xludf.DUMMYFUNCTION("""COMPUTED_VALUE"""),"INSPECCION SEMANAL LLENADORA")</f>
        <v>INSPECCION SEMANAL LLENADORA</v>
      </c>
      <c r="F742" s="5" t="str">
        <f ca="1">IFERROR(__xludf.DUMMYFUNCTION("""COMPUTED_VALUE"""),"Estado instrumentos de medidas")</f>
        <v>Estado instrumentos de medidas</v>
      </c>
      <c r="G742" s="5" t="b">
        <f ca="1">IFERROR(__xludf.DUMMYFUNCTION("""COMPUTED_VALUE"""),TRUE)</f>
        <v>1</v>
      </c>
      <c r="H742" s="5"/>
      <c r="I742" s="5"/>
      <c r="J742" s="5">
        <f ca="1">IFERROR(__xludf.DUMMYFUNCTION("""COMPUTED_VALUE"""),13247632)</f>
        <v>13247632</v>
      </c>
      <c r="K742" s="5"/>
      <c r="L742" s="18">
        <f ca="1">IFERROR(__xludf.DUMMYFUNCTION("""COMPUTED_VALUE"""),45325)</f>
        <v>45325</v>
      </c>
      <c r="M742" s="18">
        <f ca="1">IFERROR(__xludf.DUMMYFUNCTION("""COMPUTED_VALUE"""),45325)</f>
        <v>45325</v>
      </c>
      <c r="N742" s="5" t="str">
        <f ca="1">IFERROR(__xludf.DUMMYFUNCTION("""COMPUTED_VALUE"""),"Jimenez Jhon")</f>
        <v>Jimenez Jhon</v>
      </c>
      <c r="O742" s="2">
        <f ca="1">IFERROR(__xludf.DUMMYFUNCTION("""COMPUTED_VALUE"""),0.04)</f>
        <v>0.04</v>
      </c>
      <c r="P742" s="5">
        <f ca="1">IFERROR(__xludf.DUMMYFUNCTION("""COMPUTED_VALUE"""),20009855)</f>
        <v>20009855</v>
      </c>
      <c r="Q742" s="5" t="str">
        <f ca="1">IFERROR(__xludf.DUMMYFUNCTION("""COMPUTED_VALUE"""),"BLleqgGhjE8")</f>
        <v>BLleqgGhjE8</v>
      </c>
      <c r="R742" s="5">
        <f ca="1">IFERROR(__xludf.DUMMYFUNCTION("""COMPUTED_VALUE"""),410)</f>
        <v>410</v>
      </c>
      <c r="S742" s="62">
        <f ca="1">IFERROR(__xludf.DUMMYFUNCTION("""COMPUTED_VALUE"""),0.04)</f>
        <v>0.04</v>
      </c>
      <c r="T742" s="63" t="str">
        <f ca="1">IFERROR(__xludf.DUMMYFUNCTION("""COMPUTED_VALUE"""),"https://storage.googleapis.com/glide-prod.appspot.com/uploads-v2/ly7o78grxPaC6KdgvbpS/pub/3aRdSog0vUtuqPE8AJKD.png")</f>
        <v>https://storage.googleapis.com/glide-prod.appspot.com/uploads-v2/ly7o78grxPaC6KdgvbpS/pub/3aRdSog0vUtuqPE8AJKD.png</v>
      </c>
      <c r="U742" s="5" t="str">
        <f ca="1">IFERROR(__xludf.DUMMYFUNCTION("""COMPUTED_VALUE"""),"LINEA DE ENVASADO TAMAÑO PERSONALLLENADORA")</f>
        <v>LINEA DE ENVASADO TAMAÑO PERSONALLLENADORA</v>
      </c>
      <c r="V742" s="5"/>
      <c r="W742" s="5" t="b">
        <f ca="1">IFERROR(__xludf.DUMMYFUNCTION("""COMPUTED_VALUE"""),TRUE)</f>
        <v>1</v>
      </c>
      <c r="X742" s="5" t="str">
        <f ca="1">IFERROR(__xludf.DUMMYFUNCTION("""COMPUTED_VALUE"""),"wguerra@postobon.com.co,aprmttoyu@postobon.com.co,aprmyu@postobon.com.co,wmora@postobon.com.co,efzapata@postobon.com.co")</f>
        <v>wguerra@postobon.com.co,aprmttoyu@postobon.com.co,aprmyu@postobon.com.co,wmora@postobon.com.co,efzapata@postobon.com.co</v>
      </c>
      <c r="Y742" s="5" t="str">
        <f ca="1">IFERROR(__xludf.DUMMYFUNCTION("""COMPUTED_VALUE"""),"wguerra@postobon.com.co")</f>
        <v>wguerra@postobon.com.co</v>
      </c>
      <c r="Z742" s="5" t="str">
        <f ca="1">IFERROR(__xludf.DUMMYFUNCTION("""COMPUTED_VALUE"""),"djSRCNW2QmiOPjpzZ3rnLQ")</f>
        <v>djSRCNW2QmiOPjpzZ3rnLQ</v>
      </c>
      <c r="AA742" s="5"/>
      <c r="AB742" s="5"/>
      <c r="AC742" s="5"/>
      <c r="AD742" s="5">
        <f ca="1">IFERROR(__xludf.DUMMYFUNCTION("""COMPUTED_VALUE"""),68)</f>
        <v>68</v>
      </c>
      <c r="AE742" s="5">
        <f ca="1">IFERROR(__xludf.DUMMYFUNCTION("""COMPUTED_VALUE"""),68)</f>
        <v>68</v>
      </c>
      <c r="AF742" s="5" t="b">
        <f ca="1">IFERROR(__xludf.DUMMYFUNCTION("""COMPUTED_VALUE"""),FALSE)</f>
        <v>0</v>
      </c>
      <c r="AG742" s="5" t="str">
        <f ca="1">IFERROR(__xludf.DUMMYFUNCTION("""COMPUTED_VALUE"""),"INSPECCIONES REALIZADAS")</f>
        <v>INSPECCIONES REALIZADAS</v>
      </c>
      <c r="AH742" s="5"/>
    </row>
    <row r="743" spans="1:34">
      <c r="A743" s="5" t="str">
        <f ca="1">IFERROR(__xludf.DUMMYFUNCTION("""COMPUTED_VALUE"""),"LINEA DE ENVASADO TAMAÑO PERSONAL")</f>
        <v>LINEA DE ENVASADO TAMAÑO PERSONAL</v>
      </c>
      <c r="B743" s="5">
        <f ca="1">IFERROR(__xludf.DUMMYFUNCTION("""COMPUTED_VALUE"""),828592)</f>
        <v>828592</v>
      </c>
      <c r="C743" s="5" t="str">
        <f ca="1">IFERROR(__xludf.DUMMYFUNCTION("""COMPUTED_VALUE"""),"LLENADORA")</f>
        <v>LLENADORA</v>
      </c>
      <c r="D743" s="5">
        <f ca="1">IFERROR(__xludf.DUMMYFUNCTION("""COMPUTED_VALUE"""),13247632)</f>
        <v>13247632</v>
      </c>
      <c r="E743" s="5" t="str">
        <f ca="1">IFERROR(__xludf.DUMMYFUNCTION("""COMPUTED_VALUE"""),"INSPECCION SEMANAL LLENADORA")</f>
        <v>INSPECCION SEMANAL LLENADORA</v>
      </c>
      <c r="F743" s="5" t="str">
        <f ca="1">IFERROR(__xludf.DUMMYFUNCTION("""COMPUTED_VALUE"""),"Estado de tuberías y empaquetaduras")</f>
        <v>Estado de tuberías y empaquetaduras</v>
      </c>
      <c r="G743" s="5" t="b">
        <f ca="1">IFERROR(__xludf.DUMMYFUNCTION("""COMPUTED_VALUE"""),TRUE)</f>
        <v>1</v>
      </c>
      <c r="H743" s="5"/>
      <c r="I743" s="5"/>
      <c r="J743" s="5">
        <f ca="1">IFERROR(__xludf.DUMMYFUNCTION("""COMPUTED_VALUE"""),13247632)</f>
        <v>13247632</v>
      </c>
      <c r="K743" s="5"/>
      <c r="L743" s="18">
        <f ca="1">IFERROR(__xludf.DUMMYFUNCTION("""COMPUTED_VALUE"""),45325)</f>
        <v>45325</v>
      </c>
      <c r="M743" s="18">
        <f ca="1">IFERROR(__xludf.DUMMYFUNCTION("""COMPUTED_VALUE"""),45325)</f>
        <v>45325</v>
      </c>
      <c r="N743" s="5" t="str">
        <f ca="1">IFERROR(__xludf.DUMMYFUNCTION("""COMPUTED_VALUE"""),"Jimenez Jhon")</f>
        <v>Jimenez Jhon</v>
      </c>
      <c r="O743" s="2">
        <f ca="1">IFERROR(__xludf.DUMMYFUNCTION("""COMPUTED_VALUE"""),0.04)</f>
        <v>0.04</v>
      </c>
      <c r="P743" s="5">
        <f ca="1">IFERROR(__xludf.DUMMYFUNCTION("""COMPUTED_VALUE"""),20009855)</f>
        <v>20009855</v>
      </c>
      <c r="Q743" s="5" t="str">
        <f ca="1">IFERROR(__xludf.DUMMYFUNCTION("""COMPUTED_VALUE"""),"n8FYMbnUDJU")</f>
        <v>n8FYMbnUDJU</v>
      </c>
      <c r="R743" s="5">
        <f ca="1">IFERROR(__xludf.DUMMYFUNCTION("""COMPUTED_VALUE"""),410)</f>
        <v>410</v>
      </c>
      <c r="S743" s="62">
        <f ca="1">IFERROR(__xludf.DUMMYFUNCTION("""COMPUTED_VALUE"""),0.04)</f>
        <v>0.04</v>
      </c>
      <c r="T743" s="63" t="str">
        <f ca="1">IFERROR(__xludf.DUMMYFUNCTION("""COMPUTED_VALUE"""),"https://storage.googleapis.com/glide-prod.appspot.com/uploads-v2/ly7o78grxPaC6KdgvbpS/pub/3aRdSog0vUtuqPE8AJKD.png")</f>
        <v>https://storage.googleapis.com/glide-prod.appspot.com/uploads-v2/ly7o78grxPaC6KdgvbpS/pub/3aRdSog0vUtuqPE8AJKD.png</v>
      </c>
      <c r="U743" s="5" t="str">
        <f ca="1">IFERROR(__xludf.DUMMYFUNCTION("""COMPUTED_VALUE"""),"LINEA DE ENVASADO TAMAÑO PERSONALLLENADORA")</f>
        <v>LINEA DE ENVASADO TAMAÑO PERSONALLLENADORA</v>
      </c>
      <c r="V743" s="5"/>
      <c r="W743" s="5" t="b">
        <f ca="1">IFERROR(__xludf.DUMMYFUNCTION("""COMPUTED_VALUE"""),TRUE)</f>
        <v>1</v>
      </c>
      <c r="X743" s="5" t="str">
        <f ca="1">IFERROR(__xludf.DUMMYFUNCTION("""COMPUTED_VALUE"""),"wguerra@postobon.com.co,aprmttoyu@postobon.com.co,aprmyu@postobon.com.co,wmora@postobon.com.co,efzapata@postobon.com.co")</f>
        <v>wguerra@postobon.com.co,aprmttoyu@postobon.com.co,aprmyu@postobon.com.co,wmora@postobon.com.co,efzapata@postobon.com.co</v>
      </c>
      <c r="Y743" s="5" t="str">
        <f ca="1">IFERROR(__xludf.DUMMYFUNCTION("""COMPUTED_VALUE"""),"wguerra@postobon.com.co")</f>
        <v>wguerra@postobon.com.co</v>
      </c>
      <c r="Z743" s="5" t="str">
        <f ca="1">IFERROR(__xludf.DUMMYFUNCTION("""COMPUTED_VALUE"""),"q8t.mJd7Sr-E6jcnqGr5Lg")</f>
        <v>q8t.mJd7Sr-E6jcnqGr5Lg</v>
      </c>
      <c r="AA743" s="5"/>
      <c r="AB743" s="5"/>
      <c r="AC743" s="5"/>
      <c r="AD743" s="5">
        <f ca="1">IFERROR(__xludf.DUMMYFUNCTION("""COMPUTED_VALUE"""),68)</f>
        <v>68</v>
      </c>
      <c r="AE743" s="5">
        <f ca="1">IFERROR(__xludf.DUMMYFUNCTION("""COMPUTED_VALUE"""),68)</f>
        <v>68</v>
      </c>
      <c r="AF743" s="5" t="b">
        <f ca="1">IFERROR(__xludf.DUMMYFUNCTION("""COMPUTED_VALUE"""),FALSE)</f>
        <v>0</v>
      </c>
      <c r="AG743" s="5" t="str">
        <f ca="1">IFERROR(__xludf.DUMMYFUNCTION("""COMPUTED_VALUE"""),"INSPECCIONES REALIZADAS")</f>
        <v>INSPECCIONES REALIZADAS</v>
      </c>
      <c r="AH743" s="5"/>
    </row>
    <row r="744" spans="1:34">
      <c r="A744" s="5" t="str">
        <f ca="1">IFERROR(__xludf.DUMMYFUNCTION("""COMPUTED_VALUE"""),"LINEA DE ENVASADO TAMAÑO PERSONAL")</f>
        <v>LINEA DE ENVASADO TAMAÑO PERSONAL</v>
      </c>
      <c r="B744" s="5">
        <f ca="1">IFERROR(__xludf.DUMMYFUNCTION("""COMPUTED_VALUE"""),828592)</f>
        <v>828592</v>
      </c>
      <c r="C744" s="5" t="str">
        <f ca="1">IFERROR(__xludf.DUMMYFUNCTION("""COMPUTED_VALUE"""),"LLENADORA")</f>
        <v>LLENADORA</v>
      </c>
      <c r="D744" s="5">
        <f ca="1">IFERROR(__xludf.DUMMYFUNCTION("""COMPUTED_VALUE"""),13247632)</f>
        <v>13247632</v>
      </c>
      <c r="E744" s="5" t="str">
        <f ca="1">IFERROR(__xludf.DUMMYFUNCTION("""COMPUTED_VALUE"""),"INSPECCION SEMANAL LLENADORA")</f>
        <v>INSPECCION SEMANAL LLENADORA</v>
      </c>
      <c r="F744" s="5" t="str">
        <f ca="1">IFERROR(__xludf.DUMMYFUNCTION("""COMPUTED_VALUE"""),"Estado unidad de mantenimiento neumatica")</f>
        <v>Estado unidad de mantenimiento neumatica</v>
      </c>
      <c r="G744" s="5" t="b">
        <f ca="1">IFERROR(__xludf.DUMMYFUNCTION("""COMPUTED_VALUE"""),TRUE)</f>
        <v>1</v>
      </c>
      <c r="H744" s="5"/>
      <c r="I744" s="5"/>
      <c r="J744" s="5">
        <f ca="1">IFERROR(__xludf.DUMMYFUNCTION("""COMPUTED_VALUE"""),13247632)</f>
        <v>13247632</v>
      </c>
      <c r="K744" s="5"/>
      <c r="L744" s="18">
        <f ca="1">IFERROR(__xludf.DUMMYFUNCTION("""COMPUTED_VALUE"""),45325)</f>
        <v>45325</v>
      </c>
      <c r="M744" s="18">
        <f ca="1">IFERROR(__xludf.DUMMYFUNCTION("""COMPUTED_VALUE"""),45325)</f>
        <v>45325</v>
      </c>
      <c r="N744" s="5" t="str">
        <f ca="1">IFERROR(__xludf.DUMMYFUNCTION("""COMPUTED_VALUE"""),"Jimenez Jhon")</f>
        <v>Jimenez Jhon</v>
      </c>
      <c r="O744" s="2">
        <f ca="1">IFERROR(__xludf.DUMMYFUNCTION("""COMPUTED_VALUE"""),0.04)</f>
        <v>0.04</v>
      </c>
      <c r="P744" s="5">
        <f ca="1">IFERROR(__xludf.DUMMYFUNCTION("""COMPUTED_VALUE"""),20009855)</f>
        <v>20009855</v>
      </c>
      <c r="Q744" s="5" t="str">
        <f ca="1">IFERROR(__xludf.DUMMYFUNCTION("""COMPUTED_VALUE"""),"k7F07h3iJwM")</f>
        <v>k7F07h3iJwM</v>
      </c>
      <c r="R744" s="5">
        <f ca="1">IFERROR(__xludf.DUMMYFUNCTION("""COMPUTED_VALUE"""),410)</f>
        <v>410</v>
      </c>
      <c r="S744" s="62">
        <f ca="1">IFERROR(__xludf.DUMMYFUNCTION("""COMPUTED_VALUE"""),0.04)</f>
        <v>0.04</v>
      </c>
      <c r="T744" s="63" t="str">
        <f ca="1">IFERROR(__xludf.DUMMYFUNCTION("""COMPUTED_VALUE"""),"https://storage.googleapis.com/glide-prod.appspot.com/uploads-v2/ly7o78grxPaC6KdgvbpS/pub/3aRdSog0vUtuqPE8AJKD.png")</f>
        <v>https://storage.googleapis.com/glide-prod.appspot.com/uploads-v2/ly7o78grxPaC6KdgvbpS/pub/3aRdSog0vUtuqPE8AJKD.png</v>
      </c>
      <c r="U744" s="5" t="str">
        <f ca="1">IFERROR(__xludf.DUMMYFUNCTION("""COMPUTED_VALUE"""),"LINEA DE ENVASADO TAMAÑO PERSONALLLENADORA")</f>
        <v>LINEA DE ENVASADO TAMAÑO PERSONALLLENADORA</v>
      </c>
      <c r="V744" s="5"/>
      <c r="W744" s="5" t="b">
        <f ca="1">IFERROR(__xludf.DUMMYFUNCTION("""COMPUTED_VALUE"""),TRUE)</f>
        <v>1</v>
      </c>
      <c r="X744" s="5" t="str">
        <f ca="1">IFERROR(__xludf.DUMMYFUNCTION("""COMPUTED_VALUE"""),"wguerra@postobon.com.co,aprmttoyu@postobon.com.co,aprmyu@postobon.com.co,wmora@postobon.com.co,efzapata@postobon.com.co")</f>
        <v>wguerra@postobon.com.co,aprmttoyu@postobon.com.co,aprmyu@postobon.com.co,wmora@postobon.com.co,efzapata@postobon.com.co</v>
      </c>
      <c r="Y744" s="5" t="str">
        <f ca="1">IFERROR(__xludf.DUMMYFUNCTION("""COMPUTED_VALUE"""),"wguerra@postobon.com.co")</f>
        <v>wguerra@postobon.com.co</v>
      </c>
      <c r="Z744" s="5" t="str">
        <f ca="1">IFERROR(__xludf.DUMMYFUNCTION("""COMPUTED_VALUE"""),"mhWWI89aSoWgAge80VSX.Q")</f>
        <v>mhWWI89aSoWgAge80VSX.Q</v>
      </c>
      <c r="AA744" s="5"/>
      <c r="AB744" s="5"/>
      <c r="AC744" s="5"/>
      <c r="AD744" s="5">
        <f ca="1">IFERROR(__xludf.DUMMYFUNCTION("""COMPUTED_VALUE"""),68)</f>
        <v>68</v>
      </c>
      <c r="AE744" s="5">
        <f ca="1">IFERROR(__xludf.DUMMYFUNCTION("""COMPUTED_VALUE"""),68)</f>
        <v>68</v>
      </c>
      <c r="AF744" s="5" t="b">
        <f ca="1">IFERROR(__xludf.DUMMYFUNCTION("""COMPUTED_VALUE"""),FALSE)</f>
        <v>0</v>
      </c>
      <c r="AG744" s="5" t="str">
        <f ca="1">IFERROR(__xludf.DUMMYFUNCTION("""COMPUTED_VALUE"""),"INSPECCIONES REALIZADAS")</f>
        <v>INSPECCIONES REALIZADAS</v>
      </c>
      <c r="AH744" s="5"/>
    </row>
    <row r="745" spans="1:34">
      <c r="A745" s="5" t="str">
        <f ca="1">IFERROR(__xludf.DUMMYFUNCTION("""COMPUTED_VALUE"""),"LINEA DE ENVASADO TAMAÑO PERSONAL")</f>
        <v>LINEA DE ENVASADO TAMAÑO PERSONAL</v>
      </c>
      <c r="B745" s="5">
        <f ca="1">IFERROR(__xludf.DUMMYFUNCTION("""COMPUTED_VALUE"""),828592)</f>
        <v>828592</v>
      </c>
      <c r="C745" s="5" t="str">
        <f ca="1">IFERROR(__xludf.DUMMYFUNCTION("""COMPUTED_VALUE"""),"LLENADORA")</f>
        <v>LLENADORA</v>
      </c>
      <c r="D745" s="5">
        <f ca="1">IFERROR(__xludf.DUMMYFUNCTION("""COMPUTED_VALUE"""),13247632)</f>
        <v>13247632</v>
      </c>
      <c r="E745" s="5" t="str">
        <f ca="1">IFERROR(__xludf.DUMMYFUNCTION("""COMPUTED_VALUE"""),"INSPECCION SEMANAL LLENADORA")</f>
        <v>INSPECCION SEMANAL LLENADORA</v>
      </c>
      <c r="F745" s="5" t="str">
        <f ca="1">IFERROR(__xludf.DUMMYFUNCTION("""COMPUTED_VALUE"""),"Estado de guías de pistones y rodillos")</f>
        <v>Estado de guías de pistones y rodillos</v>
      </c>
      <c r="G745" s="5" t="b">
        <f ca="1">IFERROR(__xludf.DUMMYFUNCTION("""COMPUTED_VALUE"""),TRUE)</f>
        <v>1</v>
      </c>
      <c r="H745" s="5"/>
      <c r="I745" s="5"/>
      <c r="J745" s="5">
        <f ca="1">IFERROR(__xludf.DUMMYFUNCTION("""COMPUTED_VALUE"""),13247632)</f>
        <v>13247632</v>
      </c>
      <c r="K745" s="5"/>
      <c r="L745" s="18">
        <f ca="1">IFERROR(__xludf.DUMMYFUNCTION("""COMPUTED_VALUE"""),45325)</f>
        <v>45325</v>
      </c>
      <c r="M745" s="18">
        <f ca="1">IFERROR(__xludf.DUMMYFUNCTION("""COMPUTED_VALUE"""),45325)</f>
        <v>45325</v>
      </c>
      <c r="N745" s="5" t="str">
        <f ca="1">IFERROR(__xludf.DUMMYFUNCTION("""COMPUTED_VALUE"""),"Jimenez Jhon")</f>
        <v>Jimenez Jhon</v>
      </c>
      <c r="O745" s="2">
        <f ca="1">IFERROR(__xludf.DUMMYFUNCTION("""COMPUTED_VALUE"""),0.04)</f>
        <v>0.04</v>
      </c>
      <c r="P745" s="5">
        <f ca="1">IFERROR(__xludf.DUMMYFUNCTION("""COMPUTED_VALUE"""),20009855)</f>
        <v>20009855</v>
      </c>
      <c r="Q745" s="5" t="str">
        <f ca="1">IFERROR(__xludf.DUMMYFUNCTION("""COMPUTED_VALUE"""),"iJoSOHQjCtQ")</f>
        <v>iJoSOHQjCtQ</v>
      </c>
      <c r="R745" s="5">
        <f ca="1">IFERROR(__xludf.DUMMYFUNCTION("""COMPUTED_VALUE"""),410)</f>
        <v>410</v>
      </c>
      <c r="S745" s="62">
        <f ca="1">IFERROR(__xludf.DUMMYFUNCTION("""COMPUTED_VALUE"""),0.04)</f>
        <v>0.04</v>
      </c>
      <c r="T745" s="63" t="str">
        <f ca="1">IFERROR(__xludf.DUMMYFUNCTION("""COMPUTED_VALUE"""),"https://storage.googleapis.com/glide-prod.appspot.com/uploads-v2/ly7o78grxPaC6KdgvbpS/pub/3aRdSog0vUtuqPE8AJKD.png")</f>
        <v>https://storage.googleapis.com/glide-prod.appspot.com/uploads-v2/ly7o78grxPaC6KdgvbpS/pub/3aRdSog0vUtuqPE8AJKD.png</v>
      </c>
      <c r="U745" s="5" t="str">
        <f ca="1">IFERROR(__xludf.DUMMYFUNCTION("""COMPUTED_VALUE"""),"LINEA DE ENVASADO TAMAÑO PERSONALLLENADORA")</f>
        <v>LINEA DE ENVASADO TAMAÑO PERSONALLLENADORA</v>
      </c>
      <c r="V745" s="5"/>
      <c r="W745" s="5" t="b">
        <f ca="1">IFERROR(__xludf.DUMMYFUNCTION("""COMPUTED_VALUE"""),TRUE)</f>
        <v>1</v>
      </c>
      <c r="X745" s="5" t="str">
        <f ca="1">IFERROR(__xludf.DUMMYFUNCTION("""COMPUTED_VALUE"""),"wguerra@postobon.com.co,aprmttoyu@postobon.com.co,aprmyu@postobon.com.co,wmora@postobon.com.co,efzapata@postobon.com.co")</f>
        <v>wguerra@postobon.com.co,aprmttoyu@postobon.com.co,aprmyu@postobon.com.co,wmora@postobon.com.co,efzapata@postobon.com.co</v>
      </c>
      <c r="Y745" s="5" t="str">
        <f ca="1">IFERROR(__xludf.DUMMYFUNCTION("""COMPUTED_VALUE"""),"wguerra@postobon.com.co")</f>
        <v>wguerra@postobon.com.co</v>
      </c>
      <c r="Z745" s="5" t="str">
        <f ca="1">IFERROR(__xludf.DUMMYFUNCTION("""COMPUTED_VALUE"""),"QEmkjVeYRWyuUJDLxq-6-g")</f>
        <v>QEmkjVeYRWyuUJDLxq-6-g</v>
      </c>
      <c r="AA745" s="5"/>
      <c r="AB745" s="5"/>
      <c r="AC745" s="5"/>
      <c r="AD745" s="5">
        <f ca="1">IFERROR(__xludf.DUMMYFUNCTION("""COMPUTED_VALUE"""),68)</f>
        <v>68</v>
      </c>
      <c r="AE745" s="5">
        <f ca="1">IFERROR(__xludf.DUMMYFUNCTION("""COMPUTED_VALUE"""),68)</f>
        <v>68</v>
      </c>
      <c r="AF745" s="5" t="b">
        <f ca="1">IFERROR(__xludf.DUMMYFUNCTION("""COMPUTED_VALUE"""),FALSE)</f>
        <v>0</v>
      </c>
      <c r="AG745" s="5" t="str">
        <f ca="1">IFERROR(__xludf.DUMMYFUNCTION("""COMPUTED_VALUE"""),"INSPECCIONES REALIZADAS")</f>
        <v>INSPECCIONES REALIZADAS</v>
      </c>
      <c r="AH745" s="5"/>
    </row>
    <row r="746" spans="1:34">
      <c r="A746" s="5" t="str">
        <f ca="1">IFERROR(__xludf.DUMMYFUNCTION("""COMPUTED_VALUE"""),"LINEA DE ENVASADO TAMAÑO PERSONAL")</f>
        <v>LINEA DE ENVASADO TAMAÑO PERSONAL</v>
      </c>
      <c r="B746" s="5">
        <f ca="1">IFERROR(__xludf.DUMMYFUNCTION("""COMPUTED_VALUE"""),828592)</f>
        <v>828592</v>
      </c>
      <c r="C746" s="5" t="str">
        <f ca="1">IFERROR(__xludf.DUMMYFUNCTION("""COMPUTED_VALUE"""),"LLENADORA")</f>
        <v>LLENADORA</v>
      </c>
      <c r="D746" s="5">
        <f ca="1">IFERROR(__xludf.DUMMYFUNCTION("""COMPUTED_VALUE"""),13247632)</f>
        <v>13247632</v>
      </c>
      <c r="E746" s="5" t="str">
        <f ca="1">IFERROR(__xludf.DUMMYFUNCTION("""COMPUTED_VALUE"""),"INSPECCION SEMANAL LLENADORA")</f>
        <v>INSPECCION SEMANAL LLENADORA</v>
      </c>
      <c r="F746" s="5" t="str">
        <f ca="1">IFERROR(__xludf.DUMMYFUNCTION("""COMPUTED_VALUE"""),"Estado de nivel de llenado")</f>
        <v>Estado de nivel de llenado</v>
      </c>
      <c r="G746" s="5" t="b">
        <f ca="1">IFERROR(__xludf.DUMMYFUNCTION("""COMPUTED_VALUE"""),TRUE)</f>
        <v>1</v>
      </c>
      <c r="H746" s="5"/>
      <c r="I746" s="5"/>
      <c r="J746" s="5">
        <f ca="1">IFERROR(__xludf.DUMMYFUNCTION("""COMPUTED_VALUE"""),13247632)</f>
        <v>13247632</v>
      </c>
      <c r="K746" s="5"/>
      <c r="L746" s="18">
        <f ca="1">IFERROR(__xludf.DUMMYFUNCTION("""COMPUTED_VALUE"""),45325)</f>
        <v>45325</v>
      </c>
      <c r="M746" s="18">
        <f ca="1">IFERROR(__xludf.DUMMYFUNCTION("""COMPUTED_VALUE"""),45325)</f>
        <v>45325</v>
      </c>
      <c r="N746" s="5" t="str">
        <f ca="1">IFERROR(__xludf.DUMMYFUNCTION("""COMPUTED_VALUE"""),"Jimenez Jhon")</f>
        <v>Jimenez Jhon</v>
      </c>
      <c r="O746" s="2">
        <f ca="1">IFERROR(__xludf.DUMMYFUNCTION("""COMPUTED_VALUE"""),0.04)</f>
        <v>0.04</v>
      </c>
      <c r="P746" s="5">
        <f ca="1">IFERROR(__xludf.DUMMYFUNCTION("""COMPUTED_VALUE"""),20009855)</f>
        <v>20009855</v>
      </c>
      <c r="Q746" s="5" t="str">
        <f ca="1">IFERROR(__xludf.DUMMYFUNCTION("""COMPUTED_VALUE"""),"jUOTm0DkzkU")</f>
        <v>jUOTm0DkzkU</v>
      </c>
      <c r="R746" s="5">
        <f ca="1">IFERROR(__xludf.DUMMYFUNCTION("""COMPUTED_VALUE"""),410)</f>
        <v>410</v>
      </c>
      <c r="S746" s="62">
        <f ca="1">IFERROR(__xludf.DUMMYFUNCTION("""COMPUTED_VALUE"""),0.04)</f>
        <v>0.04</v>
      </c>
      <c r="T746" s="63" t="str">
        <f ca="1">IFERROR(__xludf.DUMMYFUNCTION("""COMPUTED_VALUE"""),"https://storage.googleapis.com/glide-prod.appspot.com/uploads-v2/ly7o78grxPaC6KdgvbpS/pub/3aRdSog0vUtuqPE8AJKD.png")</f>
        <v>https://storage.googleapis.com/glide-prod.appspot.com/uploads-v2/ly7o78grxPaC6KdgvbpS/pub/3aRdSog0vUtuqPE8AJKD.png</v>
      </c>
      <c r="U746" s="5" t="str">
        <f ca="1">IFERROR(__xludf.DUMMYFUNCTION("""COMPUTED_VALUE"""),"LINEA DE ENVASADO TAMAÑO PERSONALLLENADORA")</f>
        <v>LINEA DE ENVASADO TAMAÑO PERSONALLLENADORA</v>
      </c>
      <c r="V746" s="5"/>
      <c r="W746" s="5" t="b">
        <f ca="1">IFERROR(__xludf.DUMMYFUNCTION("""COMPUTED_VALUE"""),TRUE)</f>
        <v>1</v>
      </c>
      <c r="X746" s="5" t="str">
        <f ca="1">IFERROR(__xludf.DUMMYFUNCTION("""COMPUTED_VALUE"""),"wguerra@postobon.com.co,aprmttoyu@postobon.com.co,aprmyu@postobon.com.co,wmora@postobon.com.co,efzapata@postobon.com.co")</f>
        <v>wguerra@postobon.com.co,aprmttoyu@postobon.com.co,aprmyu@postobon.com.co,wmora@postobon.com.co,efzapata@postobon.com.co</v>
      </c>
      <c r="Y746" s="5" t="str">
        <f ca="1">IFERROR(__xludf.DUMMYFUNCTION("""COMPUTED_VALUE"""),"wguerra@postobon.com.co")</f>
        <v>wguerra@postobon.com.co</v>
      </c>
      <c r="Z746" s="5" t="str">
        <f ca="1">IFERROR(__xludf.DUMMYFUNCTION("""COMPUTED_VALUE"""),"GhYKFidiQmW2LsVYJrmqww")</f>
        <v>GhYKFidiQmW2LsVYJrmqww</v>
      </c>
      <c r="AA746" s="5"/>
      <c r="AB746" s="5"/>
      <c r="AC746" s="5"/>
      <c r="AD746" s="5">
        <f ca="1">IFERROR(__xludf.DUMMYFUNCTION("""COMPUTED_VALUE"""),68)</f>
        <v>68</v>
      </c>
      <c r="AE746" s="5">
        <f ca="1">IFERROR(__xludf.DUMMYFUNCTION("""COMPUTED_VALUE"""),68)</f>
        <v>68</v>
      </c>
      <c r="AF746" s="5" t="b">
        <f ca="1">IFERROR(__xludf.DUMMYFUNCTION("""COMPUTED_VALUE"""),FALSE)</f>
        <v>0</v>
      </c>
      <c r="AG746" s="5" t="str">
        <f ca="1">IFERROR(__xludf.DUMMYFUNCTION("""COMPUTED_VALUE"""),"INSPECCIONES REALIZADAS")</f>
        <v>INSPECCIONES REALIZADAS</v>
      </c>
      <c r="AH746" s="5"/>
    </row>
    <row r="747" spans="1:34">
      <c r="A747" s="5" t="str">
        <f ca="1">IFERROR(__xludf.DUMMYFUNCTION("""COMPUTED_VALUE"""),"LINEA DE ENVASADO TAMAÑO PERSONAL")</f>
        <v>LINEA DE ENVASADO TAMAÑO PERSONAL</v>
      </c>
      <c r="B747" s="5">
        <f ca="1">IFERROR(__xludf.DUMMYFUNCTION("""COMPUTED_VALUE"""),828592)</f>
        <v>828592</v>
      </c>
      <c r="C747" s="5" t="str">
        <f ca="1">IFERROR(__xludf.DUMMYFUNCTION("""COMPUTED_VALUE"""),"LLENADORA")</f>
        <v>LLENADORA</v>
      </c>
      <c r="D747" s="5">
        <f ca="1">IFERROR(__xludf.DUMMYFUNCTION("""COMPUTED_VALUE"""),13247632)</f>
        <v>13247632</v>
      </c>
      <c r="E747" s="5" t="str">
        <f ca="1">IFERROR(__xludf.DUMMYFUNCTION("""COMPUTED_VALUE"""),"INSPECCION SEMANAL LLENADORA")</f>
        <v>INSPECCION SEMANAL LLENADORA</v>
      </c>
      <c r="F747" s="5" t="str">
        <f ca="1">IFERROR(__xludf.DUMMYFUNCTION("""COMPUTED_VALUE"""),"Estado de guías plásticas y estrellas de transferencia")</f>
        <v>Estado de guías plásticas y estrellas de transferencia</v>
      </c>
      <c r="G747" s="5" t="b">
        <f ca="1">IFERROR(__xludf.DUMMYFUNCTION("""COMPUTED_VALUE"""),TRUE)</f>
        <v>1</v>
      </c>
      <c r="H747" s="5"/>
      <c r="I747" s="5"/>
      <c r="J747" s="5">
        <f ca="1">IFERROR(__xludf.DUMMYFUNCTION("""COMPUTED_VALUE"""),13247632)</f>
        <v>13247632</v>
      </c>
      <c r="K747" s="5"/>
      <c r="L747" s="18">
        <f ca="1">IFERROR(__xludf.DUMMYFUNCTION("""COMPUTED_VALUE"""),45325)</f>
        <v>45325</v>
      </c>
      <c r="M747" s="18">
        <f ca="1">IFERROR(__xludf.DUMMYFUNCTION("""COMPUTED_VALUE"""),45325)</f>
        <v>45325</v>
      </c>
      <c r="N747" s="5" t="str">
        <f ca="1">IFERROR(__xludf.DUMMYFUNCTION("""COMPUTED_VALUE"""),"Jimenez Jhon")</f>
        <v>Jimenez Jhon</v>
      </c>
      <c r="O747" s="2">
        <f ca="1">IFERROR(__xludf.DUMMYFUNCTION("""COMPUTED_VALUE"""),0.04)</f>
        <v>0.04</v>
      </c>
      <c r="P747" s="5">
        <f ca="1">IFERROR(__xludf.DUMMYFUNCTION("""COMPUTED_VALUE"""),20009855)</f>
        <v>20009855</v>
      </c>
      <c r="Q747" s="5" t="str">
        <f ca="1">IFERROR(__xludf.DUMMYFUNCTION("""COMPUTED_VALUE"""),"v2kVlYeEHz8")</f>
        <v>v2kVlYeEHz8</v>
      </c>
      <c r="R747" s="5">
        <f ca="1">IFERROR(__xludf.DUMMYFUNCTION("""COMPUTED_VALUE"""),410)</f>
        <v>410</v>
      </c>
      <c r="S747" s="62">
        <f ca="1">IFERROR(__xludf.DUMMYFUNCTION("""COMPUTED_VALUE"""),0.04)</f>
        <v>0.04</v>
      </c>
      <c r="T747" s="63" t="str">
        <f ca="1">IFERROR(__xludf.DUMMYFUNCTION("""COMPUTED_VALUE"""),"https://storage.googleapis.com/glide-prod.appspot.com/uploads-v2/ly7o78grxPaC6KdgvbpS/pub/3aRdSog0vUtuqPE8AJKD.png")</f>
        <v>https://storage.googleapis.com/glide-prod.appspot.com/uploads-v2/ly7o78grxPaC6KdgvbpS/pub/3aRdSog0vUtuqPE8AJKD.png</v>
      </c>
      <c r="U747" s="5" t="str">
        <f ca="1">IFERROR(__xludf.DUMMYFUNCTION("""COMPUTED_VALUE"""),"LINEA DE ENVASADO TAMAÑO PERSONALLLENADORA")</f>
        <v>LINEA DE ENVASADO TAMAÑO PERSONALLLENADORA</v>
      </c>
      <c r="V747" s="5"/>
      <c r="W747" s="5" t="b">
        <f ca="1">IFERROR(__xludf.DUMMYFUNCTION("""COMPUTED_VALUE"""),TRUE)</f>
        <v>1</v>
      </c>
      <c r="X747" s="5" t="str">
        <f ca="1">IFERROR(__xludf.DUMMYFUNCTION("""COMPUTED_VALUE"""),"wguerra@postobon.com.co,aprmttoyu@postobon.com.co,aprmyu@postobon.com.co,wmora@postobon.com.co,efzapata@postobon.com.co")</f>
        <v>wguerra@postobon.com.co,aprmttoyu@postobon.com.co,aprmyu@postobon.com.co,wmora@postobon.com.co,efzapata@postobon.com.co</v>
      </c>
      <c r="Y747" s="5" t="str">
        <f ca="1">IFERROR(__xludf.DUMMYFUNCTION("""COMPUTED_VALUE"""),"wguerra@postobon.com.co")</f>
        <v>wguerra@postobon.com.co</v>
      </c>
      <c r="Z747" s="5" t="str">
        <f ca="1">IFERROR(__xludf.DUMMYFUNCTION("""COMPUTED_VALUE"""),"UD-uIuXBRCucHVKbmmjuhA")</f>
        <v>UD-uIuXBRCucHVKbmmjuhA</v>
      </c>
      <c r="AA747" s="5"/>
      <c r="AB747" s="5"/>
      <c r="AC747" s="5"/>
      <c r="AD747" s="5">
        <f ca="1">IFERROR(__xludf.DUMMYFUNCTION("""COMPUTED_VALUE"""),68)</f>
        <v>68</v>
      </c>
      <c r="AE747" s="5">
        <f ca="1">IFERROR(__xludf.DUMMYFUNCTION("""COMPUTED_VALUE"""),68)</f>
        <v>68</v>
      </c>
      <c r="AF747" s="5" t="b">
        <f ca="1">IFERROR(__xludf.DUMMYFUNCTION("""COMPUTED_VALUE"""),FALSE)</f>
        <v>0</v>
      </c>
      <c r="AG747" s="5" t="str">
        <f ca="1">IFERROR(__xludf.DUMMYFUNCTION("""COMPUTED_VALUE"""),"INSPECCIONES REALIZADAS")</f>
        <v>INSPECCIONES REALIZADAS</v>
      </c>
      <c r="AH747" s="5"/>
    </row>
    <row r="748" spans="1:34">
      <c r="A748" s="5" t="str">
        <f ca="1">IFERROR(__xludf.DUMMYFUNCTION("""COMPUTED_VALUE"""),"LINEA DE ENVASADO TAMAÑO PERSONAL")</f>
        <v>LINEA DE ENVASADO TAMAÑO PERSONAL</v>
      </c>
      <c r="B748" s="5">
        <f ca="1">IFERROR(__xludf.DUMMYFUNCTION("""COMPUTED_VALUE"""),828592)</f>
        <v>828592</v>
      </c>
      <c r="C748" s="5" t="str">
        <f ca="1">IFERROR(__xludf.DUMMYFUNCTION("""COMPUTED_VALUE"""),"LLENADORA")</f>
        <v>LLENADORA</v>
      </c>
      <c r="D748" s="5">
        <f ca="1">IFERROR(__xludf.DUMMYFUNCTION("""COMPUTED_VALUE"""),13247632)</f>
        <v>13247632</v>
      </c>
      <c r="E748" s="5" t="str">
        <f ca="1">IFERROR(__xludf.DUMMYFUNCTION("""COMPUTED_VALUE"""),"INSPECCION SEMANAL LLENADORA")</f>
        <v>INSPECCION SEMANAL LLENADORA</v>
      </c>
      <c r="F748" s="5" t="str">
        <f ca="1">IFERROR(__xludf.DUMMYFUNCTION("""COMPUTED_VALUE"""),"Estado de tableros eléctricos de mando, control y potencia")</f>
        <v>Estado de tableros eléctricos de mando, control y potencia</v>
      </c>
      <c r="G748" s="5" t="b">
        <f ca="1">IFERROR(__xludf.DUMMYFUNCTION("""COMPUTED_VALUE"""),TRUE)</f>
        <v>1</v>
      </c>
      <c r="H748" s="5"/>
      <c r="I748" s="5"/>
      <c r="J748" s="5">
        <f ca="1">IFERROR(__xludf.DUMMYFUNCTION("""COMPUTED_VALUE"""),13247632)</f>
        <v>13247632</v>
      </c>
      <c r="K748" s="5"/>
      <c r="L748" s="18">
        <f ca="1">IFERROR(__xludf.DUMMYFUNCTION("""COMPUTED_VALUE"""),45325)</f>
        <v>45325</v>
      </c>
      <c r="M748" s="18">
        <f ca="1">IFERROR(__xludf.DUMMYFUNCTION("""COMPUTED_VALUE"""),45325)</f>
        <v>45325</v>
      </c>
      <c r="N748" s="5" t="str">
        <f ca="1">IFERROR(__xludf.DUMMYFUNCTION("""COMPUTED_VALUE"""),"Jimenez Jhon")</f>
        <v>Jimenez Jhon</v>
      </c>
      <c r="O748" s="2">
        <f ca="1">IFERROR(__xludf.DUMMYFUNCTION("""COMPUTED_VALUE"""),0.04)</f>
        <v>0.04</v>
      </c>
      <c r="P748" s="5">
        <f ca="1">IFERROR(__xludf.DUMMYFUNCTION("""COMPUTED_VALUE"""),20009855)</f>
        <v>20009855</v>
      </c>
      <c r="Q748" s="5" t="str">
        <f ca="1">IFERROR(__xludf.DUMMYFUNCTION("""COMPUTED_VALUE"""),"TBG-2HeCX4Y")</f>
        <v>TBG-2HeCX4Y</v>
      </c>
      <c r="R748" s="5">
        <f ca="1">IFERROR(__xludf.DUMMYFUNCTION("""COMPUTED_VALUE"""),410)</f>
        <v>410</v>
      </c>
      <c r="S748" s="62">
        <f ca="1">IFERROR(__xludf.DUMMYFUNCTION("""COMPUTED_VALUE"""),0.04)</f>
        <v>0.04</v>
      </c>
      <c r="T748" s="63" t="str">
        <f ca="1">IFERROR(__xludf.DUMMYFUNCTION("""COMPUTED_VALUE"""),"https://storage.googleapis.com/glide-prod.appspot.com/uploads-v2/ly7o78grxPaC6KdgvbpS/pub/3aRdSog0vUtuqPE8AJKD.png")</f>
        <v>https://storage.googleapis.com/glide-prod.appspot.com/uploads-v2/ly7o78grxPaC6KdgvbpS/pub/3aRdSog0vUtuqPE8AJKD.png</v>
      </c>
      <c r="U748" s="5" t="str">
        <f ca="1">IFERROR(__xludf.DUMMYFUNCTION("""COMPUTED_VALUE"""),"LINEA DE ENVASADO TAMAÑO PERSONALLLENADORA")</f>
        <v>LINEA DE ENVASADO TAMAÑO PERSONALLLENADORA</v>
      </c>
      <c r="V748" s="5"/>
      <c r="W748" s="5" t="b">
        <f ca="1">IFERROR(__xludf.DUMMYFUNCTION("""COMPUTED_VALUE"""),TRUE)</f>
        <v>1</v>
      </c>
      <c r="X748" s="5" t="str">
        <f ca="1">IFERROR(__xludf.DUMMYFUNCTION("""COMPUTED_VALUE"""),"wguerra@postobon.com.co,aprmttoyu@postobon.com.co,aprmyu@postobon.com.co,wmora@postobon.com.co,efzapata@postobon.com.co")</f>
        <v>wguerra@postobon.com.co,aprmttoyu@postobon.com.co,aprmyu@postobon.com.co,wmora@postobon.com.co,efzapata@postobon.com.co</v>
      </c>
      <c r="Y748" s="5" t="str">
        <f ca="1">IFERROR(__xludf.DUMMYFUNCTION("""COMPUTED_VALUE"""),"wguerra@postobon.com.co")</f>
        <v>wguerra@postobon.com.co</v>
      </c>
      <c r="Z748" s="5" t="str">
        <f ca="1">IFERROR(__xludf.DUMMYFUNCTION("""COMPUTED_VALUE"""),"iM.GsrhoSx-DRG.ExBYZCA")</f>
        <v>iM.GsrhoSx-DRG.ExBYZCA</v>
      </c>
      <c r="AA748" s="5"/>
      <c r="AB748" s="5"/>
      <c r="AC748" s="5"/>
      <c r="AD748" s="5">
        <f ca="1">IFERROR(__xludf.DUMMYFUNCTION("""COMPUTED_VALUE"""),68)</f>
        <v>68</v>
      </c>
      <c r="AE748" s="5">
        <f ca="1">IFERROR(__xludf.DUMMYFUNCTION("""COMPUTED_VALUE"""),68)</f>
        <v>68</v>
      </c>
      <c r="AF748" s="5" t="b">
        <f ca="1">IFERROR(__xludf.DUMMYFUNCTION("""COMPUTED_VALUE"""),FALSE)</f>
        <v>0</v>
      </c>
      <c r="AG748" s="5" t="str">
        <f ca="1">IFERROR(__xludf.DUMMYFUNCTION("""COMPUTED_VALUE"""),"INSPECCIONES REALIZADAS")</f>
        <v>INSPECCIONES REALIZADAS</v>
      </c>
      <c r="AH748" s="5"/>
    </row>
    <row r="749" spans="1:34">
      <c r="A749" s="5" t="str">
        <f ca="1">IFERROR(__xludf.DUMMYFUNCTION("""COMPUTED_VALUE"""),"LINEA DE ENVASADO TAMAÑO PERSONAL")</f>
        <v>LINEA DE ENVASADO TAMAÑO PERSONAL</v>
      </c>
      <c r="B749" s="5">
        <f ca="1">IFERROR(__xludf.DUMMYFUNCTION("""COMPUTED_VALUE"""),828592)</f>
        <v>828592</v>
      </c>
      <c r="C749" s="5" t="str">
        <f ca="1">IFERROR(__xludf.DUMMYFUNCTION("""COMPUTED_VALUE"""),"LLENADORA")</f>
        <v>LLENADORA</v>
      </c>
      <c r="D749" s="5">
        <f ca="1">IFERROR(__xludf.DUMMYFUNCTION("""COMPUTED_VALUE"""),13247632)</f>
        <v>13247632</v>
      </c>
      <c r="E749" s="5" t="str">
        <f ca="1">IFERROR(__xludf.DUMMYFUNCTION("""COMPUTED_VALUE"""),"INSPECCION SEMANAL LLENADORA")</f>
        <v>INSPECCION SEMANAL LLENADORA</v>
      </c>
      <c r="F749" s="5" t="str">
        <f ca="1">IFERROR(__xludf.DUMMYFUNCTION("""COMPUTED_VALUE"""),"Estado de tornillos del árbol Central que sostienen el Bowl")</f>
        <v>Estado de tornillos del árbol Central que sostienen el Bowl</v>
      </c>
      <c r="G749" s="5" t="b">
        <f ca="1">IFERROR(__xludf.DUMMYFUNCTION("""COMPUTED_VALUE"""),TRUE)</f>
        <v>1</v>
      </c>
      <c r="H749" s="5"/>
      <c r="I749" s="5"/>
      <c r="J749" s="5">
        <f ca="1">IFERROR(__xludf.DUMMYFUNCTION("""COMPUTED_VALUE"""),13247632)</f>
        <v>13247632</v>
      </c>
      <c r="K749" s="5"/>
      <c r="L749" s="18">
        <f ca="1">IFERROR(__xludf.DUMMYFUNCTION("""COMPUTED_VALUE"""),45325)</f>
        <v>45325</v>
      </c>
      <c r="M749" s="18">
        <f ca="1">IFERROR(__xludf.DUMMYFUNCTION("""COMPUTED_VALUE"""),45325)</f>
        <v>45325</v>
      </c>
      <c r="N749" s="5" t="str">
        <f ca="1">IFERROR(__xludf.DUMMYFUNCTION("""COMPUTED_VALUE"""),"Jimenez Jhon")</f>
        <v>Jimenez Jhon</v>
      </c>
      <c r="O749" s="2">
        <f ca="1">IFERROR(__xludf.DUMMYFUNCTION("""COMPUTED_VALUE"""),0.04)</f>
        <v>0.04</v>
      </c>
      <c r="P749" s="5">
        <f ca="1">IFERROR(__xludf.DUMMYFUNCTION("""COMPUTED_VALUE"""),20009855)</f>
        <v>20009855</v>
      </c>
      <c r="Q749" s="5" t="str">
        <f ca="1">IFERROR(__xludf.DUMMYFUNCTION("""COMPUTED_VALUE"""),"-M9icnu-76w")</f>
        <v>-M9icnu-76w</v>
      </c>
      <c r="R749" s="5">
        <f ca="1">IFERROR(__xludf.DUMMYFUNCTION("""COMPUTED_VALUE"""),410)</f>
        <v>410</v>
      </c>
      <c r="S749" s="62">
        <f ca="1">IFERROR(__xludf.DUMMYFUNCTION("""COMPUTED_VALUE"""),0.04)</f>
        <v>0.04</v>
      </c>
      <c r="T749" s="63" t="str">
        <f ca="1">IFERROR(__xludf.DUMMYFUNCTION("""COMPUTED_VALUE"""),"https://storage.googleapis.com/glide-prod.appspot.com/uploads-v2/ly7o78grxPaC6KdgvbpS/pub/3aRdSog0vUtuqPE8AJKD.png")</f>
        <v>https://storage.googleapis.com/glide-prod.appspot.com/uploads-v2/ly7o78grxPaC6KdgvbpS/pub/3aRdSog0vUtuqPE8AJKD.png</v>
      </c>
      <c r="U749" s="5" t="str">
        <f ca="1">IFERROR(__xludf.DUMMYFUNCTION("""COMPUTED_VALUE"""),"LINEA DE ENVASADO TAMAÑO PERSONALLLENADORA")</f>
        <v>LINEA DE ENVASADO TAMAÑO PERSONALLLENADORA</v>
      </c>
      <c r="V749" s="5"/>
      <c r="W749" s="5" t="b">
        <f ca="1">IFERROR(__xludf.DUMMYFUNCTION("""COMPUTED_VALUE"""),TRUE)</f>
        <v>1</v>
      </c>
      <c r="X749" s="5" t="str">
        <f ca="1">IFERROR(__xludf.DUMMYFUNCTION("""COMPUTED_VALUE"""),"wguerra@postobon.com.co,aprmttoyu@postobon.com.co,aprmyu@postobon.com.co,wmora@postobon.com.co,efzapata@postobon.com.co")</f>
        <v>wguerra@postobon.com.co,aprmttoyu@postobon.com.co,aprmyu@postobon.com.co,wmora@postobon.com.co,efzapata@postobon.com.co</v>
      </c>
      <c r="Y749" s="5" t="str">
        <f ca="1">IFERROR(__xludf.DUMMYFUNCTION("""COMPUTED_VALUE"""),"wguerra@postobon.com.co")</f>
        <v>wguerra@postobon.com.co</v>
      </c>
      <c r="Z749" s="5" t="str">
        <f ca="1">IFERROR(__xludf.DUMMYFUNCTION("""COMPUTED_VALUE"""),"Usmcm1GHTaaGz0koAcT71A")</f>
        <v>Usmcm1GHTaaGz0koAcT71A</v>
      </c>
      <c r="AA749" s="5"/>
      <c r="AB749" s="5"/>
      <c r="AC749" s="5"/>
      <c r="AD749" s="5">
        <f ca="1">IFERROR(__xludf.DUMMYFUNCTION("""COMPUTED_VALUE"""),68)</f>
        <v>68</v>
      </c>
      <c r="AE749" s="5">
        <f ca="1">IFERROR(__xludf.DUMMYFUNCTION("""COMPUTED_VALUE"""),68)</f>
        <v>68</v>
      </c>
      <c r="AF749" s="5" t="b">
        <f ca="1">IFERROR(__xludf.DUMMYFUNCTION("""COMPUTED_VALUE"""),FALSE)</f>
        <v>0</v>
      </c>
      <c r="AG749" s="5" t="str">
        <f ca="1">IFERROR(__xludf.DUMMYFUNCTION("""COMPUTED_VALUE"""),"INSPECCIONES REALIZADAS")</f>
        <v>INSPECCIONES REALIZADAS</v>
      </c>
      <c r="AH749" s="5"/>
    </row>
    <row r="750" spans="1:34">
      <c r="A750" s="5" t="str">
        <f ca="1">IFERROR(__xludf.DUMMYFUNCTION("""COMPUTED_VALUE"""),"LINEA DE ENVASADO TAMAÑO PERSONAL")</f>
        <v>LINEA DE ENVASADO TAMAÑO PERSONAL</v>
      </c>
      <c r="B750" s="5">
        <f ca="1">IFERROR(__xludf.DUMMYFUNCTION("""COMPUTED_VALUE"""),828592)</f>
        <v>828592</v>
      </c>
      <c r="C750" s="5" t="str">
        <f ca="1">IFERROR(__xludf.DUMMYFUNCTION("""COMPUTED_VALUE"""),"LLENADORA")</f>
        <v>LLENADORA</v>
      </c>
      <c r="D750" s="5">
        <f ca="1">IFERROR(__xludf.DUMMYFUNCTION("""COMPUTED_VALUE"""),13247632)</f>
        <v>13247632</v>
      </c>
      <c r="E750" s="5" t="str">
        <f ca="1">IFERROR(__xludf.DUMMYFUNCTION("""COMPUTED_VALUE"""),"INSPECCION SEMANAL LLENADORA")</f>
        <v>INSPECCION SEMANAL LLENADORA</v>
      </c>
      <c r="F750" s="5" t="str">
        <f ca="1">IFERROR(__xludf.DUMMYFUNCTION("""COMPUTED_VALUE"""),"Estado tazón de la llenadora")</f>
        <v>Estado tazón de la llenadora</v>
      </c>
      <c r="G750" s="5" t="b">
        <f ca="1">IFERROR(__xludf.DUMMYFUNCTION("""COMPUTED_VALUE"""),TRUE)</f>
        <v>1</v>
      </c>
      <c r="H750" s="5"/>
      <c r="I750" s="5"/>
      <c r="J750" s="5">
        <f ca="1">IFERROR(__xludf.DUMMYFUNCTION("""COMPUTED_VALUE"""),13247632)</f>
        <v>13247632</v>
      </c>
      <c r="K750" s="5"/>
      <c r="L750" s="18">
        <f ca="1">IFERROR(__xludf.DUMMYFUNCTION("""COMPUTED_VALUE"""),45325)</f>
        <v>45325</v>
      </c>
      <c r="M750" s="18">
        <f ca="1">IFERROR(__xludf.DUMMYFUNCTION("""COMPUTED_VALUE"""),45325)</f>
        <v>45325</v>
      </c>
      <c r="N750" s="5" t="str">
        <f ca="1">IFERROR(__xludf.DUMMYFUNCTION("""COMPUTED_VALUE"""),"Jimenez Jhon")</f>
        <v>Jimenez Jhon</v>
      </c>
      <c r="O750" s="2">
        <f ca="1">IFERROR(__xludf.DUMMYFUNCTION("""COMPUTED_VALUE"""),0.04)</f>
        <v>0.04</v>
      </c>
      <c r="P750" s="5">
        <f ca="1">IFERROR(__xludf.DUMMYFUNCTION("""COMPUTED_VALUE"""),20009855)</f>
        <v>20009855</v>
      </c>
      <c r="Q750" s="5" t="str">
        <f ca="1">IFERROR(__xludf.DUMMYFUNCTION("""COMPUTED_VALUE"""),"k2rXBwh4euo")</f>
        <v>k2rXBwh4euo</v>
      </c>
      <c r="R750" s="5">
        <f ca="1">IFERROR(__xludf.DUMMYFUNCTION("""COMPUTED_VALUE"""),410)</f>
        <v>410</v>
      </c>
      <c r="S750" s="62">
        <f ca="1">IFERROR(__xludf.DUMMYFUNCTION("""COMPUTED_VALUE"""),0.04)</f>
        <v>0.04</v>
      </c>
      <c r="T750" s="63" t="str">
        <f ca="1">IFERROR(__xludf.DUMMYFUNCTION("""COMPUTED_VALUE"""),"https://storage.googleapis.com/glide-prod.appspot.com/uploads-v2/ly7o78grxPaC6KdgvbpS/pub/3aRdSog0vUtuqPE8AJKD.png")</f>
        <v>https://storage.googleapis.com/glide-prod.appspot.com/uploads-v2/ly7o78grxPaC6KdgvbpS/pub/3aRdSog0vUtuqPE8AJKD.png</v>
      </c>
      <c r="U750" s="5" t="str">
        <f ca="1">IFERROR(__xludf.DUMMYFUNCTION("""COMPUTED_VALUE"""),"LINEA DE ENVASADO TAMAÑO PERSONALLLENADORA")</f>
        <v>LINEA DE ENVASADO TAMAÑO PERSONALLLENADORA</v>
      </c>
      <c r="V750" s="5"/>
      <c r="W750" s="5" t="b">
        <f ca="1">IFERROR(__xludf.DUMMYFUNCTION("""COMPUTED_VALUE"""),TRUE)</f>
        <v>1</v>
      </c>
      <c r="X750" s="5" t="str">
        <f ca="1">IFERROR(__xludf.DUMMYFUNCTION("""COMPUTED_VALUE"""),"wguerra@postobon.com.co,aprmttoyu@postobon.com.co,aprmyu@postobon.com.co,wmora@postobon.com.co,efzapata@postobon.com.co")</f>
        <v>wguerra@postobon.com.co,aprmttoyu@postobon.com.co,aprmyu@postobon.com.co,wmora@postobon.com.co,efzapata@postobon.com.co</v>
      </c>
      <c r="Y750" s="5" t="str">
        <f ca="1">IFERROR(__xludf.DUMMYFUNCTION("""COMPUTED_VALUE"""),"wguerra@postobon.com.co")</f>
        <v>wguerra@postobon.com.co</v>
      </c>
      <c r="Z750" s="5" t="str">
        <f ca="1">IFERROR(__xludf.DUMMYFUNCTION("""COMPUTED_VALUE"""),"hLI6wo5UTiWPUejcxs4F9w")</f>
        <v>hLI6wo5UTiWPUejcxs4F9w</v>
      </c>
      <c r="AA750" s="5"/>
      <c r="AB750" s="5"/>
      <c r="AC750" s="5"/>
      <c r="AD750" s="5">
        <f ca="1">IFERROR(__xludf.DUMMYFUNCTION("""COMPUTED_VALUE"""),68)</f>
        <v>68</v>
      </c>
      <c r="AE750" s="5">
        <f ca="1">IFERROR(__xludf.DUMMYFUNCTION("""COMPUTED_VALUE"""),68)</f>
        <v>68</v>
      </c>
      <c r="AF750" s="5" t="b">
        <f ca="1">IFERROR(__xludf.DUMMYFUNCTION("""COMPUTED_VALUE"""),FALSE)</f>
        <v>0</v>
      </c>
      <c r="AG750" s="5" t="str">
        <f ca="1">IFERROR(__xludf.DUMMYFUNCTION("""COMPUTED_VALUE"""),"INSPECCIONES REALIZADAS")</f>
        <v>INSPECCIONES REALIZADAS</v>
      </c>
      <c r="AH750" s="5"/>
    </row>
    <row r="751" spans="1:34">
      <c r="A751" s="5" t="str">
        <f ca="1">IFERROR(__xludf.DUMMYFUNCTION("""COMPUTED_VALUE"""),"LINEA DE ENVASADO TAMAÑO PERSONAL")</f>
        <v>LINEA DE ENVASADO TAMAÑO PERSONAL</v>
      </c>
      <c r="B751" s="5">
        <f ca="1">IFERROR(__xludf.DUMMYFUNCTION("""COMPUTED_VALUE"""),828592)</f>
        <v>828592</v>
      </c>
      <c r="C751" s="5" t="str">
        <f ca="1">IFERROR(__xludf.DUMMYFUNCTION("""COMPUTED_VALUE"""),"LLENADORA")</f>
        <v>LLENADORA</v>
      </c>
      <c r="D751" s="5">
        <f ca="1">IFERROR(__xludf.DUMMYFUNCTION("""COMPUTED_VALUE"""),13247632)</f>
        <v>13247632</v>
      </c>
      <c r="E751" s="5" t="str">
        <f ca="1">IFERROR(__xludf.DUMMYFUNCTION("""COMPUTED_VALUE"""),"INSPECCION SEMANAL LLENADORA")</f>
        <v>INSPECCION SEMANAL LLENADORA</v>
      </c>
      <c r="F751" s="5" t="str">
        <f ca="1">IFERROR(__xludf.DUMMYFUNCTION("""COMPUTED_VALUE"""),"Estado acoples de silicona")</f>
        <v>Estado acoples de silicona</v>
      </c>
      <c r="G751" s="5" t="b">
        <f ca="1">IFERROR(__xludf.DUMMYFUNCTION("""COMPUTED_VALUE"""),TRUE)</f>
        <v>1</v>
      </c>
      <c r="H751" s="5"/>
      <c r="I751" s="5"/>
      <c r="J751" s="5">
        <f ca="1">IFERROR(__xludf.DUMMYFUNCTION("""COMPUTED_VALUE"""),13247632)</f>
        <v>13247632</v>
      </c>
      <c r="K751" s="5"/>
      <c r="L751" s="18">
        <f ca="1">IFERROR(__xludf.DUMMYFUNCTION("""COMPUTED_VALUE"""),45325)</f>
        <v>45325</v>
      </c>
      <c r="M751" s="18">
        <f ca="1">IFERROR(__xludf.DUMMYFUNCTION("""COMPUTED_VALUE"""),45325)</f>
        <v>45325</v>
      </c>
      <c r="N751" s="5" t="str">
        <f ca="1">IFERROR(__xludf.DUMMYFUNCTION("""COMPUTED_VALUE"""),"Jimenez Jhon")</f>
        <v>Jimenez Jhon</v>
      </c>
      <c r="O751" s="2">
        <f ca="1">IFERROR(__xludf.DUMMYFUNCTION("""COMPUTED_VALUE"""),0.04)</f>
        <v>0.04</v>
      </c>
      <c r="P751" s="5">
        <f ca="1">IFERROR(__xludf.DUMMYFUNCTION("""COMPUTED_VALUE"""),20009855)</f>
        <v>20009855</v>
      </c>
      <c r="Q751" s="5" t="str">
        <f ca="1">IFERROR(__xludf.DUMMYFUNCTION("""COMPUTED_VALUE"""),"TWZRXz5uIyk")</f>
        <v>TWZRXz5uIyk</v>
      </c>
      <c r="R751" s="5">
        <f ca="1">IFERROR(__xludf.DUMMYFUNCTION("""COMPUTED_VALUE"""),410)</f>
        <v>410</v>
      </c>
      <c r="S751" s="62">
        <f ca="1">IFERROR(__xludf.DUMMYFUNCTION("""COMPUTED_VALUE"""),0.04)</f>
        <v>0.04</v>
      </c>
      <c r="T751" s="63" t="str">
        <f ca="1">IFERROR(__xludf.DUMMYFUNCTION("""COMPUTED_VALUE"""),"https://storage.googleapis.com/glide-prod.appspot.com/uploads-v2/ly7o78grxPaC6KdgvbpS/pub/3aRdSog0vUtuqPE8AJKD.png")</f>
        <v>https://storage.googleapis.com/glide-prod.appspot.com/uploads-v2/ly7o78grxPaC6KdgvbpS/pub/3aRdSog0vUtuqPE8AJKD.png</v>
      </c>
      <c r="U751" s="5" t="str">
        <f ca="1">IFERROR(__xludf.DUMMYFUNCTION("""COMPUTED_VALUE"""),"LINEA DE ENVASADO TAMAÑO PERSONALLLENADORA")</f>
        <v>LINEA DE ENVASADO TAMAÑO PERSONALLLENADORA</v>
      </c>
      <c r="V751" s="5"/>
      <c r="W751" s="5" t="b">
        <f ca="1">IFERROR(__xludf.DUMMYFUNCTION("""COMPUTED_VALUE"""),TRUE)</f>
        <v>1</v>
      </c>
      <c r="X751" s="5" t="str">
        <f ca="1">IFERROR(__xludf.DUMMYFUNCTION("""COMPUTED_VALUE"""),"wguerra@postobon.com.co,aprmttoyu@postobon.com.co,aprmyu@postobon.com.co,wmora@postobon.com.co,efzapata@postobon.com.co")</f>
        <v>wguerra@postobon.com.co,aprmttoyu@postobon.com.co,aprmyu@postobon.com.co,wmora@postobon.com.co,efzapata@postobon.com.co</v>
      </c>
      <c r="Y751" s="5" t="str">
        <f ca="1">IFERROR(__xludf.DUMMYFUNCTION("""COMPUTED_VALUE"""),"wguerra@postobon.com.co")</f>
        <v>wguerra@postobon.com.co</v>
      </c>
      <c r="Z751" s="5" t="str">
        <f ca="1">IFERROR(__xludf.DUMMYFUNCTION("""COMPUTED_VALUE"""),"f5b-kpw5QQG.uyUMnVEcyA")</f>
        <v>f5b-kpw5QQG.uyUMnVEcyA</v>
      </c>
      <c r="AA751" s="5"/>
      <c r="AB751" s="5"/>
      <c r="AC751" s="5"/>
      <c r="AD751" s="5">
        <f ca="1">IFERROR(__xludf.DUMMYFUNCTION("""COMPUTED_VALUE"""),68)</f>
        <v>68</v>
      </c>
      <c r="AE751" s="5">
        <f ca="1">IFERROR(__xludf.DUMMYFUNCTION("""COMPUTED_VALUE"""),68)</f>
        <v>68</v>
      </c>
      <c r="AF751" s="5" t="b">
        <f ca="1">IFERROR(__xludf.DUMMYFUNCTION("""COMPUTED_VALUE"""),FALSE)</f>
        <v>0</v>
      </c>
      <c r="AG751" s="5" t="str">
        <f ca="1">IFERROR(__xludf.DUMMYFUNCTION("""COMPUTED_VALUE"""),"INSPECCIONES REALIZADAS")</f>
        <v>INSPECCIONES REALIZADAS</v>
      </c>
      <c r="AH751" s="5"/>
    </row>
    <row r="752" spans="1:34">
      <c r="A752" s="5" t="str">
        <f ca="1">IFERROR(__xludf.DUMMYFUNCTION("""COMPUTED_VALUE"""),"LINEA DE ENVASADO TAMAÑO PERSONAL")</f>
        <v>LINEA DE ENVASADO TAMAÑO PERSONAL</v>
      </c>
      <c r="B752" s="5">
        <f ca="1">IFERROR(__xludf.DUMMYFUNCTION("""COMPUTED_VALUE"""),828592)</f>
        <v>828592</v>
      </c>
      <c r="C752" s="5" t="str">
        <f ca="1">IFERROR(__xludf.DUMMYFUNCTION("""COMPUTED_VALUE"""),"LLENADORA")</f>
        <v>LLENADORA</v>
      </c>
      <c r="D752" s="5">
        <f ca="1">IFERROR(__xludf.DUMMYFUNCTION("""COMPUTED_VALUE"""),13247632)</f>
        <v>13247632</v>
      </c>
      <c r="E752" s="5" t="str">
        <f ca="1">IFERROR(__xludf.DUMMYFUNCTION("""COMPUTED_VALUE"""),"INSPECCION SEMANAL LLENADORA")</f>
        <v>INSPECCION SEMANAL LLENADORA</v>
      </c>
      <c r="F752" s="5" t="str">
        <f ca="1">IFERROR(__xludf.DUMMYFUNCTION("""COMPUTED_VALUE"""),"Estado tensor de correa")</f>
        <v>Estado tensor de correa</v>
      </c>
      <c r="G752" s="5" t="b">
        <f ca="1">IFERROR(__xludf.DUMMYFUNCTION("""COMPUTED_VALUE"""),TRUE)</f>
        <v>1</v>
      </c>
      <c r="H752" s="5"/>
      <c r="I752" s="5"/>
      <c r="J752" s="5">
        <f ca="1">IFERROR(__xludf.DUMMYFUNCTION("""COMPUTED_VALUE"""),13247632)</f>
        <v>13247632</v>
      </c>
      <c r="K752" s="5"/>
      <c r="L752" s="18">
        <f ca="1">IFERROR(__xludf.DUMMYFUNCTION("""COMPUTED_VALUE"""),45325)</f>
        <v>45325</v>
      </c>
      <c r="M752" s="18">
        <f ca="1">IFERROR(__xludf.DUMMYFUNCTION("""COMPUTED_VALUE"""),45325)</f>
        <v>45325</v>
      </c>
      <c r="N752" s="5" t="str">
        <f ca="1">IFERROR(__xludf.DUMMYFUNCTION("""COMPUTED_VALUE"""),"Jimenez Jhon")</f>
        <v>Jimenez Jhon</v>
      </c>
      <c r="O752" s="2">
        <f ca="1">IFERROR(__xludf.DUMMYFUNCTION("""COMPUTED_VALUE"""),0.04)</f>
        <v>0.04</v>
      </c>
      <c r="P752" s="5">
        <f ca="1">IFERROR(__xludf.DUMMYFUNCTION("""COMPUTED_VALUE"""),20009855)</f>
        <v>20009855</v>
      </c>
      <c r="Q752" s="5" t="str">
        <f ca="1">IFERROR(__xludf.DUMMYFUNCTION("""COMPUTED_VALUE"""),"0bfh24B_75E")</f>
        <v>0bfh24B_75E</v>
      </c>
      <c r="R752" s="5">
        <f ca="1">IFERROR(__xludf.DUMMYFUNCTION("""COMPUTED_VALUE"""),410)</f>
        <v>410</v>
      </c>
      <c r="S752" s="62">
        <f ca="1">IFERROR(__xludf.DUMMYFUNCTION("""COMPUTED_VALUE"""),0.04)</f>
        <v>0.04</v>
      </c>
      <c r="T752" s="63" t="str">
        <f ca="1">IFERROR(__xludf.DUMMYFUNCTION("""COMPUTED_VALUE"""),"https://storage.googleapis.com/glide-prod.appspot.com/uploads-v2/ly7o78grxPaC6KdgvbpS/pub/3aRdSog0vUtuqPE8AJKD.png")</f>
        <v>https://storage.googleapis.com/glide-prod.appspot.com/uploads-v2/ly7o78grxPaC6KdgvbpS/pub/3aRdSog0vUtuqPE8AJKD.png</v>
      </c>
      <c r="U752" s="5" t="str">
        <f ca="1">IFERROR(__xludf.DUMMYFUNCTION("""COMPUTED_VALUE"""),"LINEA DE ENVASADO TAMAÑO PERSONALLLENADORA")</f>
        <v>LINEA DE ENVASADO TAMAÑO PERSONALLLENADORA</v>
      </c>
      <c r="V752" s="5"/>
      <c r="W752" s="5" t="b">
        <f ca="1">IFERROR(__xludf.DUMMYFUNCTION("""COMPUTED_VALUE"""),TRUE)</f>
        <v>1</v>
      </c>
      <c r="X752" s="5" t="str">
        <f ca="1">IFERROR(__xludf.DUMMYFUNCTION("""COMPUTED_VALUE"""),"wguerra@postobon.com.co,aprmttoyu@postobon.com.co,aprmyu@postobon.com.co,wmora@postobon.com.co,efzapata@postobon.com.co")</f>
        <v>wguerra@postobon.com.co,aprmttoyu@postobon.com.co,aprmyu@postobon.com.co,wmora@postobon.com.co,efzapata@postobon.com.co</v>
      </c>
      <c r="Y752" s="5" t="str">
        <f ca="1">IFERROR(__xludf.DUMMYFUNCTION("""COMPUTED_VALUE"""),"wguerra@postobon.com.co")</f>
        <v>wguerra@postobon.com.co</v>
      </c>
      <c r="Z752" s="5" t="str">
        <f ca="1">IFERROR(__xludf.DUMMYFUNCTION("""COMPUTED_VALUE"""),"n6KBDOPYSgmmfHR98hMKUg")</f>
        <v>n6KBDOPYSgmmfHR98hMKUg</v>
      </c>
      <c r="AA752" s="5"/>
      <c r="AB752" s="5"/>
      <c r="AC752" s="5"/>
      <c r="AD752" s="5">
        <f ca="1">IFERROR(__xludf.DUMMYFUNCTION("""COMPUTED_VALUE"""),68)</f>
        <v>68</v>
      </c>
      <c r="AE752" s="5">
        <f ca="1">IFERROR(__xludf.DUMMYFUNCTION("""COMPUTED_VALUE"""),68)</f>
        <v>68</v>
      </c>
      <c r="AF752" s="5" t="b">
        <f ca="1">IFERROR(__xludf.DUMMYFUNCTION("""COMPUTED_VALUE"""),FALSE)</f>
        <v>0</v>
      </c>
      <c r="AG752" s="5" t="str">
        <f ca="1">IFERROR(__xludf.DUMMYFUNCTION("""COMPUTED_VALUE"""),"INSPECCIONES REALIZADAS")</f>
        <v>INSPECCIONES REALIZADAS</v>
      </c>
      <c r="AH752" s="5"/>
    </row>
    <row r="753" spans="1:34">
      <c r="A753" s="5" t="str">
        <f ca="1">IFERROR(__xludf.DUMMYFUNCTION("""COMPUTED_VALUE"""),"LINEA DE ENVASADO TAMAÑO PERSONAL")</f>
        <v>LINEA DE ENVASADO TAMAÑO PERSONAL</v>
      </c>
      <c r="B753" s="5">
        <f ca="1">IFERROR(__xludf.DUMMYFUNCTION("""COMPUTED_VALUE"""),828592)</f>
        <v>828592</v>
      </c>
      <c r="C753" s="5" t="str">
        <f ca="1">IFERROR(__xludf.DUMMYFUNCTION("""COMPUTED_VALUE"""),"LLENADORA")</f>
        <v>LLENADORA</v>
      </c>
      <c r="D753" s="5">
        <f ca="1">IFERROR(__xludf.DUMMYFUNCTION("""COMPUTED_VALUE"""),13247632)</f>
        <v>13247632</v>
      </c>
      <c r="E753" s="5" t="str">
        <f ca="1">IFERROR(__xludf.DUMMYFUNCTION("""COMPUTED_VALUE"""),"INSPECCION SEMANAL LLENADORA")</f>
        <v>INSPECCION SEMANAL LLENADORA</v>
      </c>
      <c r="F753" s="5" t="str">
        <f ca="1">IFERROR(__xludf.DUMMYFUNCTION("""COMPUTED_VALUE"""),"Estado de los piñones")</f>
        <v>Estado de los piñones</v>
      </c>
      <c r="G753" s="5" t="b">
        <f ca="1">IFERROR(__xludf.DUMMYFUNCTION("""COMPUTED_VALUE"""),TRUE)</f>
        <v>1</v>
      </c>
      <c r="H753" s="5"/>
      <c r="I753" s="5"/>
      <c r="J753" s="5">
        <f ca="1">IFERROR(__xludf.DUMMYFUNCTION("""COMPUTED_VALUE"""),13247632)</f>
        <v>13247632</v>
      </c>
      <c r="K753" s="5"/>
      <c r="L753" s="18">
        <f ca="1">IFERROR(__xludf.DUMMYFUNCTION("""COMPUTED_VALUE"""),45325)</f>
        <v>45325</v>
      </c>
      <c r="M753" s="18">
        <f ca="1">IFERROR(__xludf.DUMMYFUNCTION("""COMPUTED_VALUE"""),45325)</f>
        <v>45325</v>
      </c>
      <c r="N753" s="5" t="str">
        <f ca="1">IFERROR(__xludf.DUMMYFUNCTION("""COMPUTED_VALUE"""),"Jimenez Jhon")</f>
        <v>Jimenez Jhon</v>
      </c>
      <c r="O753" s="2">
        <f ca="1">IFERROR(__xludf.DUMMYFUNCTION("""COMPUTED_VALUE"""),0.04)</f>
        <v>0.04</v>
      </c>
      <c r="P753" s="5">
        <f ca="1">IFERROR(__xludf.DUMMYFUNCTION("""COMPUTED_VALUE"""),20009855)</f>
        <v>20009855</v>
      </c>
      <c r="Q753" s="5" t="str">
        <f ca="1">IFERROR(__xludf.DUMMYFUNCTION("""COMPUTED_VALUE"""),"3Dnl0s1rJIk")</f>
        <v>3Dnl0s1rJIk</v>
      </c>
      <c r="R753" s="5">
        <f ca="1">IFERROR(__xludf.DUMMYFUNCTION("""COMPUTED_VALUE"""),410)</f>
        <v>410</v>
      </c>
      <c r="S753" s="62">
        <f ca="1">IFERROR(__xludf.DUMMYFUNCTION("""COMPUTED_VALUE"""),0.04)</f>
        <v>0.04</v>
      </c>
      <c r="T753" s="63" t="str">
        <f ca="1">IFERROR(__xludf.DUMMYFUNCTION("""COMPUTED_VALUE"""),"https://storage.googleapis.com/glide-prod.appspot.com/uploads-v2/ly7o78grxPaC6KdgvbpS/pub/3aRdSog0vUtuqPE8AJKD.png")</f>
        <v>https://storage.googleapis.com/glide-prod.appspot.com/uploads-v2/ly7o78grxPaC6KdgvbpS/pub/3aRdSog0vUtuqPE8AJKD.png</v>
      </c>
      <c r="U753" s="5" t="str">
        <f ca="1">IFERROR(__xludf.DUMMYFUNCTION("""COMPUTED_VALUE"""),"LINEA DE ENVASADO TAMAÑO PERSONALLLENADORA")</f>
        <v>LINEA DE ENVASADO TAMAÑO PERSONALLLENADORA</v>
      </c>
      <c r="V753" s="5"/>
      <c r="W753" s="5" t="b">
        <f ca="1">IFERROR(__xludf.DUMMYFUNCTION("""COMPUTED_VALUE"""),TRUE)</f>
        <v>1</v>
      </c>
      <c r="X753" s="5" t="str">
        <f ca="1">IFERROR(__xludf.DUMMYFUNCTION("""COMPUTED_VALUE"""),"wguerra@postobon.com.co,aprmttoyu@postobon.com.co,aprmyu@postobon.com.co,wmora@postobon.com.co,efzapata@postobon.com.co")</f>
        <v>wguerra@postobon.com.co,aprmttoyu@postobon.com.co,aprmyu@postobon.com.co,wmora@postobon.com.co,efzapata@postobon.com.co</v>
      </c>
      <c r="Y753" s="5" t="str">
        <f ca="1">IFERROR(__xludf.DUMMYFUNCTION("""COMPUTED_VALUE"""),"wguerra@postobon.com.co")</f>
        <v>wguerra@postobon.com.co</v>
      </c>
      <c r="Z753" s="5" t="str">
        <f ca="1">IFERROR(__xludf.DUMMYFUNCTION("""COMPUTED_VALUE"""),"gE410lbaTlmBeTlgp6txKg")</f>
        <v>gE410lbaTlmBeTlgp6txKg</v>
      </c>
      <c r="AA753" s="5"/>
      <c r="AB753" s="5"/>
      <c r="AC753" s="5"/>
      <c r="AD753" s="5">
        <f ca="1">IFERROR(__xludf.DUMMYFUNCTION("""COMPUTED_VALUE"""),68)</f>
        <v>68</v>
      </c>
      <c r="AE753" s="5">
        <f ca="1">IFERROR(__xludf.DUMMYFUNCTION("""COMPUTED_VALUE"""),68)</f>
        <v>68</v>
      </c>
      <c r="AF753" s="5" t="b">
        <f ca="1">IFERROR(__xludf.DUMMYFUNCTION("""COMPUTED_VALUE"""),FALSE)</f>
        <v>0</v>
      </c>
      <c r="AG753" s="5" t="str">
        <f ca="1">IFERROR(__xludf.DUMMYFUNCTION("""COMPUTED_VALUE"""),"INSPECCIONES REALIZADAS")</f>
        <v>INSPECCIONES REALIZADAS</v>
      </c>
      <c r="AH753" s="5"/>
    </row>
    <row r="754" spans="1:34">
      <c r="A754" s="5" t="str">
        <f ca="1">IFERROR(__xludf.DUMMYFUNCTION("""COMPUTED_VALUE"""),"LINEA DE ENVASADO TAMAÑO PERSONAL")</f>
        <v>LINEA DE ENVASADO TAMAÑO PERSONAL</v>
      </c>
      <c r="B754" s="5">
        <f ca="1">IFERROR(__xludf.DUMMYFUNCTION("""COMPUTED_VALUE"""),828592)</f>
        <v>828592</v>
      </c>
      <c r="C754" s="5" t="str">
        <f ca="1">IFERROR(__xludf.DUMMYFUNCTION("""COMPUTED_VALUE"""),"LLENADORA")</f>
        <v>LLENADORA</v>
      </c>
      <c r="D754" s="5">
        <f ca="1">IFERROR(__xludf.DUMMYFUNCTION("""COMPUTED_VALUE"""),13247632)</f>
        <v>13247632</v>
      </c>
      <c r="E754" s="5" t="str">
        <f ca="1">IFERROR(__xludf.DUMMYFUNCTION("""COMPUTED_VALUE"""),"INSPECCION SEMANAL LLENADORA")</f>
        <v>INSPECCION SEMANAL LLENADORA</v>
      </c>
      <c r="F754" s="5" t="str">
        <f ca="1">IFERROR(__xludf.DUMMYFUNCTION("""COMPUTED_VALUE"""),"Estado sistema de duchas y semillenado")</f>
        <v>Estado sistema de duchas y semillenado</v>
      </c>
      <c r="G754" s="5" t="b">
        <f ca="1">IFERROR(__xludf.DUMMYFUNCTION("""COMPUTED_VALUE"""),TRUE)</f>
        <v>1</v>
      </c>
      <c r="H754" s="5"/>
      <c r="I754" s="5"/>
      <c r="J754" s="5">
        <f ca="1">IFERROR(__xludf.DUMMYFUNCTION("""COMPUTED_VALUE"""),13247632)</f>
        <v>13247632</v>
      </c>
      <c r="K754" s="5"/>
      <c r="L754" s="18">
        <f ca="1">IFERROR(__xludf.DUMMYFUNCTION("""COMPUTED_VALUE"""),45325)</f>
        <v>45325</v>
      </c>
      <c r="M754" s="18">
        <f ca="1">IFERROR(__xludf.DUMMYFUNCTION("""COMPUTED_VALUE"""),45325)</f>
        <v>45325</v>
      </c>
      <c r="N754" s="5" t="str">
        <f ca="1">IFERROR(__xludf.DUMMYFUNCTION("""COMPUTED_VALUE"""),"Jimenez Jhon")</f>
        <v>Jimenez Jhon</v>
      </c>
      <c r="O754" s="2">
        <f ca="1">IFERROR(__xludf.DUMMYFUNCTION("""COMPUTED_VALUE"""),0.04)</f>
        <v>0.04</v>
      </c>
      <c r="P754" s="5">
        <f ca="1">IFERROR(__xludf.DUMMYFUNCTION("""COMPUTED_VALUE"""),20009855)</f>
        <v>20009855</v>
      </c>
      <c r="Q754" s="5" t="str">
        <f ca="1">IFERROR(__xludf.DUMMYFUNCTION("""COMPUTED_VALUE"""),"uga_Orh4DHw")</f>
        <v>uga_Orh4DHw</v>
      </c>
      <c r="R754" s="5">
        <f ca="1">IFERROR(__xludf.DUMMYFUNCTION("""COMPUTED_VALUE"""),410)</f>
        <v>410</v>
      </c>
      <c r="S754" s="62">
        <f ca="1">IFERROR(__xludf.DUMMYFUNCTION("""COMPUTED_VALUE"""),0.04)</f>
        <v>0.04</v>
      </c>
      <c r="T754" s="63" t="str">
        <f ca="1">IFERROR(__xludf.DUMMYFUNCTION("""COMPUTED_VALUE"""),"https://storage.googleapis.com/glide-prod.appspot.com/uploads-v2/ly7o78grxPaC6KdgvbpS/pub/3aRdSog0vUtuqPE8AJKD.png")</f>
        <v>https://storage.googleapis.com/glide-prod.appspot.com/uploads-v2/ly7o78grxPaC6KdgvbpS/pub/3aRdSog0vUtuqPE8AJKD.png</v>
      </c>
      <c r="U754" s="5" t="str">
        <f ca="1">IFERROR(__xludf.DUMMYFUNCTION("""COMPUTED_VALUE"""),"LINEA DE ENVASADO TAMAÑO PERSONALLLENADORA")</f>
        <v>LINEA DE ENVASADO TAMAÑO PERSONALLLENADORA</v>
      </c>
      <c r="V754" s="5"/>
      <c r="W754" s="5" t="b">
        <f ca="1">IFERROR(__xludf.DUMMYFUNCTION("""COMPUTED_VALUE"""),TRUE)</f>
        <v>1</v>
      </c>
      <c r="X754" s="5" t="str">
        <f ca="1">IFERROR(__xludf.DUMMYFUNCTION("""COMPUTED_VALUE"""),"wguerra@postobon.com.co,aprmttoyu@postobon.com.co,aprmyu@postobon.com.co,wmora@postobon.com.co,efzapata@postobon.com.co")</f>
        <v>wguerra@postobon.com.co,aprmttoyu@postobon.com.co,aprmyu@postobon.com.co,wmora@postobon.com.co,efzapata@postobon.com.co</v>
      </c>
      <c r="Y754" s="5" t="str">
        <f ca="1">IFERROR(__xludf.DUMMYFUNCTION("""COMPUTED_VALUE"""),"wguerra@postobon.com.co")</f>
        <v>wguerra@postobon.com.co</v>
      </c>
      <c r="Z754" s="5" t="str">
        <f ca="1">IFERROR(__xludf.DUMMYFUNCTION("""COMPUTED_VALUE"""),"CWvkYZ9XQ66a2FkoZP0uHA")</f>
        <v>CWvkYZ9XQ66a2FkoZP0uHA</v>
      </c>
      <c r="AA754" s="5"/>
      <c r="AB754" s="5"/>
      <c r="AC754" s="5"/>
      <c r="AD754" s="5">
        <f ca="1">IFERROR(__xludf.DUMMYFUNCTION("""COMPUTED_VALUE"""),68)</f>
        <v>68</v>
      </c>
      <c r="AE754" s="5">
        <f ca="1">IFERROR(__xludf.DUMMYFUNCTION("""COMPUTED_VALUE"""),68)</f>
        <v>68</v>
      </c>
      <c r="AF754" s="5" t="b">
        <f ca="1">IFERROR(__xludf.DUMMYFUNCTION("""COMPUTED_VALUE"""),FALSE)</f>
        <v>0</v>
      </c>
      <c r="AG754" s="5" t="str">
        <f ca="1">IFERROR(__xludf.DUMMYFUNCTION("""COMPUTED_VALUE"""),"INSPECCIONES REALIZADAS")</f>
        <v>INSPECCIONES REALIZADAS</v>
      </c>
      <c r="AH754" s="5"/>
    </row>
    <row r="755" spans="1:34">
      <c r="A755" s="5" t="str">
        <f ca="1">IFERROR(__xludf.DUMMYFUNCTION("""COMPUTED_VALUE"""),"LINEA DE ENVASADO TAMAÑO PERSONAL")</f>
        <v>LINEA DE ENVASADO TAMAÑO PERSONAL</v>
      </c>
      <c r="B755" s="5">
        <f ca="1">IFERROR(__xludf.DUMMYFUNCTION("""COMPUTED_VALUE"""),828592)</f>
        <v>828592</v>
      </c>
      <c r="C755" s="5" t="str">
        <f ca="1">IFERROR(__xludf.DUMMYFUNCTION("""COMPUTED_VALUE"""),"LLENADORA")</f>
        <v>LLENADORA</v>
      </c>
      <c r="D755" s="5">
        <f ca="1">IFERROR(__xludf.DUMMYFUNCTION("""COMPUTED_VALUE"""),13247632)</f>
        <v>13247632</v>
      </c>
      <c r="E755" s="5" t="str">
        <f ca="1">IFERROR(__xludf.DUMMYFUNCTION("""COMPUTED_VALUE"""),"INSPECCION SEMANAL LLENADORA")</f>
        <v>INSPECCION SEMANAL LLENADORA</v>
      </c>
      <c r="F755" s="5" t="str">
        <f ca="1">IFERROR(__xludf.DUMMYFUNCTION("""COMPUTED_VALUE"""),"Formato de manejo envase")</f>
        <v>Formato de manejo envase</v>
      </c>
      <c r="G755" s="5" t="b">
        <f ca="1">IFERROR(__xludf.DUMMYFUNCTION("""COMPUTED_VALUE"""),TRUE)</f>
        <v>1</v>
      </c>
      <c r="H755" s="5"/>
      <c r="I755" s="5"/>
      <c r="J755" s="5">
        <f ca="1">IFERROR(__xludf.DUMMYFUNCTION("""COMPUTED_VALUE"""),13247632)</f>
        <v>13247632</v>
      </c>
      <c r="K755" s="5"/>
      <c r="L755" s="18">
        <f ca="1">IFERROR(__xludf.DUMMYFUNCTION("""COMPUTED_VALUE"""),45325)</f>
        <v>45325</v>
      </c>
      <c r="M755" s="18">
        <f ca="1">IFERROR(__xludf.DUMMYFUNCTION("""COMPUTED_VALUE"""),45325)</f>
        <v>45325</v>
      </c>
      <c r="N755" s="5" t="str">
        <f ca="1">IFERROR(__xludf.DUMMYFUNCTION("""COMPUTED_VALUE"""),"Jimenez Jhon")</f>
        <v>Jimenez Jhon</v>
      </c>
      <c r="O755" s="2">
        <f ca="1">IFERROR(__xludf.DUMMYFUNCTION("""COMPUTED_VALUE"""),0.04)</f>
        <v>0.04</v>
      </c>
      <c r="P755" s="5">
        <f ca="1">IFERROR(__xludf.DUMMYFUNCTION("""COMPUTED_VALUE"""),20009855)</f>
        <v>20009855</v>
      </c>
      <c r="Q755" s="5" t="str">
        <f ca="1">IFERROR(__xludf.DUMMYFUNCTION("""COMPUTED_VALUE"""),"mys9bAuFUas")</f>
        <v>mys9bAuFUas</v>
      </c>
      <c r="R755" s="5">
        <f ca="1">IFERROR(__xludf.DUMMYFUNCTION("""COMPUTED_VALUE"""),410)</f>
        <v>410</v>
      </c>
      <c r="S755" s="62">
        <f ca="1">IFERROR(__xludf.DUMMYFUNCTION("""COMPUTED_VALUE"""),0.04)</f>
        <v>0.04</v>
      </c>
      <c r="T755" s="63" t="str">
        <f ca="1">IFERROR(__xludf.DUMMYFUNCTION("""COMPUTED_VALUE"""),"https://storage.googleapis.com/glide-prod.appspot.com/uploads-v2/ly7o78grxPaC6KdgvbpS/pub/3aRdSog0vUtuqPE8AJKD.png")</f>
        <v>https://storage.googleapis.com/glide-prod.appspot.com/uploads-v2/ly7o78grxPaC6KdgvbpS/pub/3aRdSog0vUtuqPE8AJKD.png</v>
      </c>
      <c r="U755" s="5" t="str">
        <f ca="1">IFERROR(__xludf.DUMMYFUNCTION("""COMPUTED_VALUE"""),"LINEA DE ENVASADO TAMAÑO PERSONALLLENADORA")</f>
        <v>LINEA DE ENVASADO TAMAÑO PERSONALLLENADORA</v>
      </c>
      <c r="V755" s="5"/>
      <c r="W755" s="5" t="b">
        <f ca="1">IFERROR(__xludf.DUMMYFUNCTION("""COMPUTED_VALUE"""),TRUE)</f>
        <v>1</v>
      </c>
      <c r="X755" s="5" t="str">
        <f ca="1">IFERROR(__xludf.DUMMYFUNCTION("""COMPUTED_VALUE"""),"wguerra@postobon.com.co,aprmttoyu@postobon.com.co,aprmyu@postobon.com.co,wmora@postobon.com.co,efzapata@postobon.com.co")</f>
        <v>wguerra@postobon.com.co,aprmttoyu@postobon.com.co,aprmyu@postobon.com.co,wmora@postobon.com.co,efzapata@postobon.com.co</v>
      </c>
      <c r="Y755" s="5" t="str">
        <f ca="1">IFERROR(__xludf.DUMMYFUNCTION("""COMPUTED_VALUE"""),"wguerra@postobon.com.co")</f>
        <v>wguerra@postobon.com.co</v>
      </c>
      <c r="Z755" s="5" t="str">
        <f ca="1">IFERROR(__xludf.DUMMYFUNCTION("""COMPUTED_VALUE"""),"gfeTLhxQTx6cNDsmjF7kkw")</f>
        <v>gfeTLhxQTx6cNDsmjF7kkw</v>
      </c>
      <c r="AA755" s="5"/>
      <c r="AB755" s="5"/>
      <c r="AC755" s="5"/>
      <c r="AD755" s="5">
        <f ca="1">IFERROR(__xludf.DUMMYFUNCTION("""COMPUTED_VALUE"""),68)</f>
        <v>68</v>
      </c>
      <c r="AE755" s="5">
        <f ca="1">IFERROR(__xludf.DUMMYFUNCTION("""COMPUTED_VALUE"""),68)</f>
        <v>68</v>
      </c>
      <c r="AF755" s="5" t="b">
        <f ca="1">IFERROR(__xludf.DUMMYFUNCTION("""COMPUTED_VALUE"""),FALSE)</f>
        <v>0</v>
      </c>
      <c r="AG755" s="5" t="str">
        <f ca="1">IFERROR(__xludf.DUMMYFUNCTION("""COMPUTED_VALUE"""),"INSPECCIONES REALIZADAS")</f>
        <v>INSPECCIONES REALIZADAS</v>
      </c>
      <c r="AH755" s="5"/>
    </row>
    <row r="756" spans="1:34">
      <c r="A756" s="5" t="str">
        <f ca="1">IFERROR(__xludf.DUMMYFUNCTION("""COMPUTED_VALUE"""),"LINEA DE ENVASADO TAMAÑO PERSONAL")</f>
        <v>LINEA DE ENVASADO TAMAÑO PERSONAL</v>
      </c>
      <c r="B756" s="5">
        <f ca="1">IFERROR(__xludf.DUMMYFUNCTION("""COMPUTED_VALUE"""),828592)</f>
        <v>828592</v>
      </c>
      <c r="C756" s="5" t="str">
        <f ca="1">IFERROR(__xludf.DUMMYFUNCTION("""COMPUTED_VALUE"""),"LLENADORA")</f>
        <v>LLENADORA</v>
      </c>
      <c r="D756" s="5">
        <f ca="1">IFERROR(__xludf.DUMMYFUNCTION("""COMPUTED_VALUE"""),13247632)</f>
        <v>13247632</v>
      </c>
      <c r="E756" s="5" t="str">
        <f ca="1">IFERROR(__xludf.DUMMYFUNCTION("""COMPUTED_VALUE"""),"INSPECCION SEMANAL LLENADORA")</f>
        <v>INSPECCION SEMANAL LLENADORA</v>
      </c>
      <c r="F756" s="5" t="str">
        <f ca="1">IFERROR(__xludf.DUMMYFUNCTION("""COMPUTED_VALUE"""),"Estado sistema coronador")</f>
        <v>Estado sistema coronador</v>
      </c>
      <c r="G756" s="5" t="b">
        <f ca="1">IFERROR(__xludf.DUMMYFUNCTION("""COMPUTED_VALUE"""),TRUE)</f>
        <v>1</v>
      </c>
      <c r="H756" s="5"/>
      <c r="I756" s="5"/>
      <c r="J756" s="5">
        <f ca="1">IFERROR(__xludf.DUMMYFUNCTION("""COMPUTED_VALUE"""),13247632)</f>
        <v>13247632</v>
      </c>
      <c r="K756" s="5"/>
      <c r="L756" s="18">
        <f ca="1">IFERROR(__xludf.DUMMYFUNCTION("""COMPUTED_VALUE"""),45325)</f>
        <v>45325</v>
      </c>
      <c r="M756" s="18">
        <f ca="1">IFERROR(__xludf.DUMMYFUNCTION("""COMPUTED_VALUE"""),45325)</f>
        <v>45325</v>
      </c>
      <c r="N756" s="5" t="str">
        <f ca="1">IFERROR(__xludf.DUMMYFUNCTION("""COMPUTED_VALUE"""),"Jimenez Jhon")</f>
        <v>Jimenez Jhon</v>
      </c>
      <c r="O756" s="2">
        <f ca="1">IFERROR(__xludf.DUMMYFUNCTION("""COMPUTED_VALUE"""),0.04)</f>
        <v>0.04</v>
      </c>
      <c r="P756" s="5">
        <f ca="1">IFERROR(__xludf.DUMMYFUNCTION("""COMPUTED_VALUE"""),20009855)</f>
        <v>20009855</v>
      </c>
      <c r="Q756" s="5" t="str">
        <f ca="1">IFERROR(__xludf.DUMMYFUNCTION("""COMPUTED_VALUE"""),"Gd0L3X10s7k")</f>
        <v>Gd0L3X10s7k</v>
      </c>
      <c r="R756" s="5">
        <f ca="1">IFERROR(__xludf.DUMMYFUNCTION("""COMPUTED_VALUE"""),410)</f>
        <v>410</v>
      </c>
      <c r="S756" s="62">
        <f ca="1">IFERROR(__xludf.DUMMYFUNCTION("""COMPUTED_VALUE"""),0.04)</f>
        <v>0.04</v>
      </c>
      <c r="T756" s="63" t="str">
        <f ca="1">IFERROR(__xludf.DUMMYFUNCTION("""COMPUTED_VALUE"""),"https://storage.googleapis.com/glide-prod.appspot.com/uploads-v2/ly7o78grxPaC6KdgvbpS/pub/3aRdSog0vUtuqPE8AJKD.png")</f>
        <v>https://storage.googleapis.com/glide-prod.appspot.com/uploads-v2/ly7o78grxPaC6KdgvbpS/pub/3aRdSog0vUtuqPE8AJKD.png</v>
      </c>
      <c r="U756" s="5" t="str">
        <f ca="1">IFERROR(__xludf.DUMMYFUNCTION("""COMPUTED_VALUE"""),"LINEA DE ENVASADO TAMAÑO PERSONALLLENADORA")</f>
        <v>LINEA DE ENVASADO TAMAÑO PERSONALLLENADORA</v>
      </c>
      <c r="V756" s="5"/>
      <c r="W756" s="5" t="b">
        <f ca="1">IFERROR(__xludf.DUMMYFUNCTION("""COMPUTED_VALUE"""),TRUE)</f>
        <v>1</v>
      </c>
      <c r="X756" s="5" t="str">
        <f ca="1">IFERROR(__xludf.DUMMYFUNCTION("""COMPUTED_VALUE"""),"wguerra@postobon.com.co,aprmttoyu@postobon.com.co,aprmyu@postobon.com.co,wmora@postobon.com.co,efzapata@postobon.com.co")</f>
        <v>wguerra@postobon.com.co,aprmttoyu@postobon.com.co,aprmyu@postobon.com.co,wmora@postobon.com.co,efzapata@postobon.com.co</v>
      </c>
      <c r="Y756" s="5" t="str">
        <f ca="1">IFERROR(__xludf.DUMMYFUNCTION("""COMPUTED_VALUE"""),"wguerra@postobon.com.co")</f>
        <v>wguerra@postobon.com.co</v>
      </c>
      <c r="Z756" s="5" t="str">
        <f ca="1">IFERROR(__xludf.DUMMYFUNCTION("""COMPUTED_VALUE"""),"YPNf58-VQIWIYEEjoJ0YsA")</f>
        <v>YPNf58-VQIWIYEEjoJ0YsA</v>
      </c>
      <c r="AA756" s="5"/>
      <c r="AB756" s="5"/>
      <c r="AC756" s="5"/>
      <c r="AD756" s="5">
        <f ca="1">IFERROR(__xludf.DUMMYFUNCTION("""COMPUTED_VALUE"""),68)</f>
        <v>68</v>
      </c>
      <c r="AE756" s="5">
        <f ca="1">IFERROR(__xludf.DUMMYFUNCTION("""COMPUTED_VALUE"""),68)</f>
        <v>68</v>
      </c>
      <c r="AF756" s="5" t="b">
        <f ca="1">IFERROR(__xludf.DUMMYFUNCTION("""COMPUTED_VALUE"""),FALSE)</f>
        <v>0</v>
      </c>
      <c r="AG756" s="5" t="str">
        <f ca="1">IFERROR(__xludf.DUMMYFUNCTION("""COMPUTED_VALUE"""),"INSPECCIONES REALIZADAS")</f>
        <v>INSPECCIONES REALIZADAS</v>
      </c>
      <c r="AH756" s="5"/>
    </row>
    <row r="757" spans="1:34">
      <c r="A757" s="5" t="str">
        <f ca="1">IFERROR(__xludf.DUMMYFUNCTION("""COMPUTED_VALUE"""),"LINEA DE ENVASADO TAMAÑO PERSONAL")</f>
        <v>LINEA DE ENVASADO TAMAÑO PERSONAL</v>
      </c>
      <c r="B757" s="5">
        <f ca="1">IFERROR(__xludf.DUMMYFUNCTION("""COMPUTED_VALUE"""),828592)</f>
        <v>828592</v>
      </c>
      <c r="C757" s="5" t="str">
        <f ca="1">IFERROR(__xludf.DUMMYFUNCTION("""COMPUTED_VALUE"""),"LLENADORA")</f>
        <v>LLENADORA</v>
      </c>
      <c r="D757" s="5">
        <f ca="1">IFERROR(__xludf.DUMMYFUNCTION("""COMPUTED_VALUE"""),13247632)</f>
        <v>13247632</v>
      </c>
      <c r="E757" s="5" t="str">
        <f ca="1">IFERROR(__xludf.DUMMYFUNCTION("""COMPUTED_VALUE"""),"INSPECCION SEMANAL LLENADORA")</f>
        <v>INSPECCION SEMANAL LLENADORA</v>
      </c>
      <c r="F757" s="5" t="str">
        <f ca="1">IFERROR(__xludf.DUMMYFUNCTION("""COMPUTED_VALUE"""),"Estado y limpieza de extractor y/o climatizador tablero eléctrico")</f>
        <v>Estado y limpieza de extractor y/o climatizador tablero eléctrico</v>
      </c>
      <c r="G757" s="5" t="b">
        <f ca="1">IFERROR(__xludf.DUMMYFUNCTION("""COMPUTED_VALUE"""),TRUE)</f>
        <v>1</v>
      </c>
      <c r="H757" s="5"/>
      <c r="I757" s="5"/>
      <c r="J757" s="5">
        <f ca="1">IFERROR(__xludf.DUMMYFUNCTION("""COMPUTED_VALUE"""),13247632)</f>
        <v>13247632</v>
      </c>
      <c r="K757" s="5"/>
      <c r="L757" s="18">
        <f ca="1">IFERROR(__xludf.DUMMYFUNCTION("""COMPUTED_VALUE"""),45325)</f>
        <v>45325</v>
      </c>
      <c r="M757" s="18">
        <f ca="1">IFERROR(__xludf.DUMMYFUNCTION("""COMPUTED_VALUE"""),45325)</f>
        <v>45325</v>
      </c>
      <c r="N757" s="5" t="str">
        <f ca="1">IFERROR(__xludf.DUMMYFUNCTION("""COMPUTED_VALUE"""),"Jimenez Jhon")</f>
        <v>Jimenez Jhon</v>
      </c>
      <c r="O757" s="2">
        <f ca="1">IFERROR(__xludf.DUMMYFUNCTION("""COMPUTED_VALUE"""),0.04)</f>
        <v>0.04</v>
      </c>
      <c r="P757" s="5">
        <f ca="1">IFERROR(__xludf.DUMMYFUNCTION("""COMPUTED_VALUE"""),20009855)</f>
        <v>20009855</v>
      </c>
      <c r="Q757" s="5" t="str">
        <f ca="1">IFERROR(__xludf.DUMMYFUNCTION("""COMPUTED_VALUE"""),"VmLnl_jDRu4")</f>
        <v>VmLnl_jDRu4</v>
      </c>
      <c r="R757" s="5">
        <f ca="1">IFERROR(__xludf.DUMMYFUNCTION("""COMPUTED_VALUE"""),410)</f>
        <v>410</v>
      </c>
      <c r="S757" s="62">
        <f ca="1">IFERROR(__xludf.DUMMYFUNCTION("""COMPUTED_VALUE"""),0.04)</f>
        <v>0.04</v>
      </c>
      <c r="T757" s="63" t="str">
        <f ca="1">IFERROR(__xludf.DUMMYFUNCTION("""COMPUTED_VALUE"""),"https://storage.googleapis.com/glide-prod.appspot.com/uploads-v2/ly7o78grxPaC6KdgvbpS/pub/3aRdSog0vUtuqPE8AJKD.png")</f>
        <v>https://storage.googleapis.com/glide-prod.appspot.com/uploads-v2/ly7o78grxPaC6KdgvbpS/pub/3aRdSog0vUtuqPE8AJKD.png</v>
      </c>
      <c r="U757" s="5" t="str">
        <f ca="1">IFERROR(__xludf.DUMMYFUNCTION("""COMPUTED_VALUE"""),"LINEA DE ENVASADO TAMAÑO PERSONALLLENADORA")</f>
        <v>LINEA DE ENVASADO TAMAÑO PERSONALLLENADORA</v>
      </c>
      <c r="V757" s="5"/>
      <c r="W757" s="5" t="b">
        <f ca="1">IFERROR(__xludf.DUMMYFUNCTION("""COMPUTED_VALUE"""),TRUE)</f>
        <v>1</v>
      </c>
      <c r="X757" s="5" t="str">
        <f ca="1">IFERROR(__xludf.DUMMYFUNCTION("""COMPUTED_VALUE"""),"wguerra@postobon.com.co,aprmttoyu@postobon.com.co,aprmyu@postobon.com.co,wmora@postobon.com.co,efzapata@postobon.com.co")</f>
        <v>wguerra@postobon.com.co,aprmttoyu@postobon.com.co,aprmyu@postobon.com.co,wmora@postobon.com.co,efzapata@postobon.com.co</v>
      </c>
      <c r="Y757" s="5" t="str">
        <f ca="1">IFERROR(__xludf.DUMMYFUNCTION("""COMPUTED_VALUE"""),"wguerra@postobon.com.co")</f>
        <v>wguerra@postobon.com.co</v>
      </c>
      <c r="Z757" s="5" t="str">
        <f ca="1">IFERROR(__xludf.DUMMYFUNCTION("""COMPUTED_VALUE"""),"X8z1R5k2SBG5lEZ3x6s3gA")</f>
        <v>X8z1R5k2SBG5lEZ3x6s3gA</v>
      </c>
      <c r="AA757" s="5"/>
      <c r="AB757" s="5"/>
      <c r="AC757" s="5"/>
      <c r="AD757" s="5">
        <f ca="1">IFERROR(__xludf.DUMMYFUNCTION("""COMPUTED_VALUE"""),68)</f>
        <v>68</v>
      </c>
      <c r="AE757" s="5">
        <f ca="1">IFERROR(__xludf.DUMMYFUNCTION("""COMPUTED_VALUE"""),68)</f>
        <v>68</v>
      </c>
      <c r="AF757" s="5" t="b">
        <f ca="1">IFERROR(__xludf.DUMMYFUNCTION("""COMPUTED_VALUE"""),FALSE)</f>
        <v>0</v>
      </c>
      <c r="AG757" s="5" t="str">
        <f ca="1">IFERROR(__xludf.DUMMYFUNCTION("""COMPUTED_VALUE"""),"INSPECCIONES REALIZADAS")</f>
        <v>INSPECCIONES REALIZADAS</v>
      </c>
      <c r="AH757" s="5"/>
    </row>
    <row r="758" spans="1:34">
      <c r="A758" s="5" t="str">
        <f ca="1">IFERROR(__xludf.DUMMYFUNCTION("""COMPUTED_VALUE"""),"LINEA DE ENVASADO PET NO RETORNABLE")</f>
        <v>LINEA DE ENVASADO PET NO RETORNABLE</v>
      </c>
      <c r="B758" s="5">
        <f ca="1">IFERROR(__xludf.DUMMYFUNCTION("""COMPUTED_VALUE"""),518635)</f>
        <v>518635</v>
      </c>
      <c r="C758" s="5" t="str">
        <f ca="1">IFERROR(__xludf.DUMMYFUNCTION("""COMPUTED_VALUE"""),"LLENADORA")</f>
        <v>LLENADORA</v>
      </c>
      <c r="D758" s="5">
        <f ca="1">IFERROR(__xludf.DUMMYFUNCTION("""COMPUTED_VALUE"""),13247832)</f>
        <v>13247832</v>
      </c>
      <c r="E758" s="5" t="str">
        <f ca="1">IFERROR(__xludf.DUMMYFUNCTION("""COMPUTED_VALUE"""),"INSPECCION SEMANAL LLENADORA")</f>
        <v>INSPECCION SEMANAL LLENADORA</v>
      </c>
      <c r="F758" s="5" t="str">
        <f ca="1">IFERROR(__xludf.DUMMYFUNCTION("""COMPUTED_VALUE"""),"PISTONES ELEVACION CARRUSEL")</f>
        <v>PISTONES ELEVACION CARRUSEL</v>
      </c>
      <c r="G758" s="5" t="b">
        <f ca="1">IFERROR(__xludf.DUMMYFUNCTION("""COMPUTED_VALUE"""),TRUE)</f>
        <v>1</v>
      </c>
      <c r="H758" s="5"/>
      <c r="I758" s="5"/>
      <c r="J758" s="5"/>
      <c r="K758" s="5"/>
      <c r="L758" s="18">
        <f ca="1">IFERROR(__xludf.DUMMYFUNCTION("""COMPUTED_VALUE"""),45325)</f>
        <v>45325</v>
      </c>
      <c r="M758" s="18">
        <f ca="1">IFERROR(__xludf.DUMMYFUNCTION("""COMPUTED_VALUE"""),45325)</f>
        <v>45325</v>
      </c>
      <c r="N758" s="5" t="str">
        <f ca="1">IFERROR(__xludf.DUMMYFUNCTION("""COMPUTED_VALUE"""),"FRANCO HERRERA ALEJANDRO")</f>
        <v>FRANCO HERRERA ALEJANDRO</v>
      </c>
      <c r="O758" s="2">
        <f ca="1">IFERROR(__xludf.DUMMYFUNCTION("""COMPUTED_VALUE"""),0.003571429)</f>
        <v>3.5714290000000001E-3</v>
      </c>
      <c r="P758" s="5"/>
      <c r="Q758" s="5" t="str">
        <f ca="1">IFERROR(__xludf.DUMMYFUNCTION("""COMPUTED_VALUE"""),"tbdO5lHF_wg")</f>
        <v>tbdO5lHF_wg</v>
      </c>
      <c r="R758" s="5">
        <f ca="1">IFERROR(__xludf.DUMMYFUNCTION("""COMPUTED_VALUE"""),410)</f>
        <v>410</v>
      </c>
      <c r="S758" s="62">
        <f ca="1">IFERROR(__xludf.DUMMYFUNCTION("""COMPUTED_VALUE"""),0.003571429)</f>
        <v>3.5714290000000001E-3</v>
      </c>
      <c r="T758" s="63" t="str">
        <f ca="1">IFERROR(__xludf.DUMMYFUNCTION("""COMPUTED_VALUE"""),"https://storage.googleapis.com/glide-prod.appspot.com/uploads-v2/ly7o78grxPaC6KdgvbpS/pub/3aRdSog0vUtuqPE8AJKD.png")</f>
        <v>https://storage.googleapis.com/glide-prod.appspot.com/uploads-v2/ly7o78grxPaC6KdgvbpS/pub/3aRdSog0vUtuqPE8AJKD.png</v>
      </c>
      <c r="U758" s="5" t="str">
        <f ca="1">IFERROR(__xludf.DUMMYFUNCTION("""COMPUTED_VALUE"""),"LINEA DE ENVASADO PET NO RETORNABLELLENADORA")</f>
        <v>LINEA DE ENVASADO PET NO RETORNABLELLENADORA</v>
      </c>
      <c r="V758" s="5"/>
      <c r="W758" s="5" t="b">
        <f ca="1">IFERROR(__xludf.DUMMYFUNCTION("""COMPUTED_VALUE"""),TRUE)</f>
        <v>1</v>
      </c>
      <c r="X758" s="5" t="str">
        <f ca="1">IFERROR(__xludf.DUMMYFUNCTION("""COMPUTED_VALUE"""),"wguerra@postobon.com.co,aprmttoyu@postobon.com.co,aprmyu@postobon.com.co,wmora@postobon.com.co,efzapata@postobon.com.co")</f>
        <v>wguerra@postobon.com.co,aprmttoyu@postobon.com.co,aprmyu@postobon.com.co,wmora@postobon.com.co,efzapata@postobon.com.co</v>
      </c>
      <c r="Y758" s="5" t="str">
        <f ca="1">IFERROR(__xludf.DUMMYFUNCTION("""COMPUTED_VALUE"""),"wguerra@postobon.com.co")</f>
        <v>wguerra@postobon.com.co</v>
      </c>
      <c r="Z758" s="5" t="str">
        <f ca="1">IFERROR(__xludf.DUMMYFUNCTION("""COMPUTED_VALUE"""),"eigV86tNQDCKeLW3KykMUQ")</f>
        <v>eigV86tNQDCKeLW3KykMUQ</v>
      </c>
      <c r="AA758" s="5"/>
      <c r="AB758" s="5"/>
      <c r="AC758" s="5"/>
      <c r="AD758" s="5">
        <f ca="1">IFERROR(__xludf.DUMMYFUNCTION("""COMPUTED_VALUE"""),30)</f>
        <v>30</v>
      </c>
      <c r="AE758" s="5">
        <f ca="1">IFERROR(__xludf.DUMMYFUNCTION("""COMPUTED_VALUE"""),30)</f>
        <v>30</v>
      </c>
      <c r="AF758" s="5" t="b">
        <f ca="1">IFERROR(__xludf.DUMMYFUNCTION("""COMPUTED_VALUE"""),FALSE)</f>
        <v>0</v>
      </c>
      <c r="AG758" s="5" t="str">
        <f ca="1">IFERROR(__xludf.DUMMYFUNCTION("""COMPUTED_VALUE"""),"INSPECCIONES REALIZADAS")</f>
        <v>INSPECCIONES REALIZADAS</v>
      </c>
      <c r="AH758" s="5"/>
    </row>
    <row r="759" spans="1:34">
      <c r="A759" s="5" t="str">
        <f ca="1">IFERROR(__xludf.DUMMYFUNCTION("""COMPUTED_VALUE"""),"LINEA DE ENVASADO PET NO RETORNABLE")</f>
        <v>LINEA DE ENVASADO PET NO RETORNABLE</v>
      </c>
      <c r="B759" s="5">
        <f ca="1">IFERROR(__xludf.DUMMYFUNCTION("""COMPUTED_VALUE"""),518635)</f>
        <v>518635</v>
      </c>
      <c r="C759" s="5" t="str">
        <f ca="1">IFERROR(__xludf.DUMMYFUNCTION("""COMPUTED_VALUE"""),"LLENADORA")</f>
        <v>LLENADORA</v>
      </c>
      <c r="D759" s="5">
        <f ca="1">IFERROR(__xludf.DUMMYFUNCTION("""COMPUTED_VALUE"""),13247832)</f>
        <v>13247832</v>
      </c>
      <c r="E759" s="5" t="str">
        <f ca="1">IFERROR(__xludf.DUMMYFUNCTION("""COMPUTED_VALUE"""),"INSPECCION SEMANAL LLENADORA")</f>
        <v>INSPECCION SEMANAL LLENADORA</v>
      </c>
      <c r="F759" s="5" t="str">
        <f ca="1">IFERROR(__xludf.DUMMYFUNCTION("""COMPUTED_VALUE"""),"SELLADO VALVULAS LLENADO/CENTRADORES")</f>
        <v>SELLADO VALVULAS LLENADO/CENTRADORES</v>
      </c>
      <c r="G759" s="5" t="b">
        <f ca="1">IFERROR(__xludf.DUMMYFUNCTION("""COMPUTED_VALUE"""),TRUE)</f>
        <v>1</v>
      </c>
      <c r="H759" s="5"/>
      <c r="I759" s="5"/>
      <c r="J759" s="5"/>
      <c r="K759" s="5"/>
      <c r="L759" s="18">
        <f ca="1">IFERROR(__xludf.DUMMYFUNCTION("""COMPUTED_VALUE"""),45325)</f>
        <v>45325</v>
      </c>
      <c r="M759" s="18">
        <f ca="1">IFERROR(__xludf.DUMMYFUNCTION("""COMPUTED_VALUE"""),45325)</f>
        <v>45325</v>
      </c>
      <c r="N759" s="5" t="str">
        <f ca="1">IFERROR(__xludf.DUMMYFUNCTION("""COMPUTED_VALUE"""),"FRANCO HERRERA ALEJANDRO")</f>
        <v>FRANCO HERRERA ALEJANDRO</v>
      </c>
      <c r="O759" s="2">
        <f ca="1">IFERROR(__xludf.DUMMYFUNCTION("""COMPUTED_VALUE"""),0.003571429)</f>
        <v>3.5714290000000001E-3</v>
      </c>
      <c r="P759" s="5"/>
      <c r="Q759" s="5" t="str">
        <f ca="1">IFERROR(__xludf.DUMMYFUNCTION("""COMPUTED_VALUE"""),"HCqryB9XyLc")</f>
        <v>HCqryB9XyLc</v>
      </c>
      <c r="R759" s="5">
        <f ca="1">IFERROR(__xludf.DUMMYFUNCTION("""COMPUTED_VALUE"""),410)</f>
        <v>410</v>
      </c>
      <c r="S759" s="62">
        <f ca="1">IFERROR(__xludf.DUMMYFUNCTION("""COMPUTED_VALUE"""),0.003571429)</f>
        <v>3.5714290000000001E-3</v>
      </c>
      <c r="T759" s="63" t="str">
        <f ca="1">IFERROR(__xludf.DUMMYFUNCTION("""COMPUTED_VALUE"""),"https://storage.googleapis.com/glide-prod.appspot.com/uploads-v2/ly7o78grxPaC6KdgvbpS/pub/3aRdSog0vUtuqPE8AJKD.png")</f>
        <v>https://storage.googleapis.com/glide-prod.appspot.com/uploads-v2/ly7o78grxPaC6KdgvbpS/pub/3aRdSog0vUtuqPE8AJKD.png</v>
      </c>
      <c r="U759" s="5" t="str">
        <f ca="1">IFERROR(__xludf.DUMMYFUNCTION("""COMPUTED_VALUE"""),"LINEA DE ENVASADO PET NO RETORNABLELLENADORA")</f>
        <v>LINEA DE ENVASADO PET NO RETORNABLELLENADORA</v>
      </c>
      <c r="V759" s="5"/>
      <c r="W759" s="5" t="b">
        <f ca="1">IFERROR(__xludf.DUMMYFUNCTION("""COMPUTED_VALUE"""),TRUE)</f>
        <v>1</v>
      </c>
      <c r="X759" s="5" t="str">
        <f ca="1">IFERROR(__xludf.DUMMYFUNCTION("""COMPUTED_VALUE"""),"wguerra@postobon.com.co,aprmttoyu@postobon.com.co,aprmyu@postobon.com.co,wmora@postobon.com.co,efzapata@postobon.com.co")</f>
        <v>wguerra@postobon.com.co,aprmttoyu@postobon.com.co,aprmyu@postobon.com.co,wmora@postobon.com.co,efzapata@postobon.com.co</v>
      </c>
      <c r="Y759" s="5" t="str">
        <f ca="1">IFERROR(__xludf.DUMMYFUNCTION("""COMPUTED_VALUE"""),"wguerra@postobon.com.co")</f>
        <v>wguerra@postobon.com.co</v>
      </c>
      <c r="Z759" s="5" t="str">
        <f ca="1">IFERROR(__xludf.DUMMYFUNCTION("""COMPUTED_VALUE"""),"enM-hFCJRSq7UbNxKmgm-w")</f>
        <v>enM-hFCJRSq7UbNxKmgm-w</v>
      </c>
      <c r="AA759" s="5"/>
      <c r="AB759" s="5"/>
      <c r="AC759" s="5"/>
      <c r="AD759" s="5">
        <f ca="1">IFERROR(__xludf.DUMMYFUNCTION("""COMPUTED_VALUE"""),30)</f>
        <v>30</v>
      </c>
      <c r="AE759" s="5">
        <f ca="1">IFERROR(__xludf.DUMMYFUNCTION("""COMPUTED_VALUE"""),30)</f>
        <v>30</v>
      </c>
      <c r="AF759" s="5" t="b">
        <f ca="1">IFERROR(__xludf.DUMMYFUNCTION("""COMPUTED_VALUE"""),FALSE)</f>
        <v>0</v>
      </c>
      <c r="AG759" s="5" t="str">
        <f ca="1">IFERROR(__xludf.DUMMYFUNCTION("""COMPUTED_VALUE"""),"INSPECCIONES REALIZADAS")</f>
        <v>INSPECCIONES REALIZADAS</v>
      </c>
      <c r="AH759" s="5"/>
    </row>
    <row r="760" spans="1:34">
      <c r="A760" s="5" t="str">
        <f ca="1">IFERROR(__xludf.DUMMYFUNCTION("""COMPUTED_VALUE"""),"LINEA DE ENVASADO PET NO RETORNABLE")</f>
        <v>LINEA DE ENVASADO PET NO RETORNABLE</v>
      </c>
      <c r="B760" s="5">
        <f ca="1">IFERROR(__xludf.DUMMYFUNCTION("""COMPUTED_VALUE"""),518635)</f>
        <v>518635</v>
      </c>
      <c r="C760" s="5" t="str">
        <f ca="1">IFERROR(__xludf.DUMMYFUNCTION("""COMPUTED_VALUE"""),"LLENADORA")</f>
        <v>LLENADORA</v>
      </c>
      <c r="D760" s="5">
        <f ca="1">IFERROR(__xludf.DUMMYFUNCTION("""COMPUTED_VALUE"""),13247832)</f>
        <v>13247832</v>
      </c>
      <c r="E760" s="5" t="str">
        <f ca="1">IFERROR(__xludf.DUMMYFUNCTION("""COMPUTED_VALUE"""),"INSPECCION SEMANAL LLENADORA")</f>
        <v>INSPECCION SEMANAL LLENADORA</v>
      </c>
      <c r="F760" s="5" t="str">
        <f ca="1">IFERROR(__xludf.DUMMYFUNCTION("""COMPUTED_VALUE"""),"SISTEMA NEUMATICO(TUBERIA,VALVULAS,GRIFOS)")</f>
        <v>SISTEMA NEUMATICO(TUBERIA,VALVULAS,GRIFOS)</v>
      </c>
      <c r="G760" s="5" t="b">
        <f ca="1">IFERROR(__xludf.DUMMYFUNCTION("""COMPUTED_VALUE"""),TRUE)</f>
        <v>1</v>
      </c>
      <c r="H760" s="5"/>
      <c r="I760" s="5"/>
      <c r="J760" s="5"/>
      <c r="K760" s="5"/>
      <c r="L760" s="18">
        <f ca="1">IFERROR(__xludf.DUMMYFUNCTION("""COMPUTED_VALUE"""),45325)</f>
        <v>45325</v>
      </c>
      <c r="M760" s="18">
        <f ca="1">IFERROR(__xludf.DUMMYFUNCTION("""COMPUTED_VALUE"""),45325)</f>
        <v>45325</v>
      </c>
      <c r="N760" s="5" t="str">
        <f ca="1">IFERROR(__xludf.DUMMYFUNCTION("""COMPUTED_VALUE"""),"FRANCO HERRERA ALEJANDRO")</f>
        <v>FRANCO HERRERA ALEJANDRO</v>
      </c>
      <c r="O760" s="2">
        <f ca="1">IFERROR(__xludf.DUMMYFUNCTION("""COMPUTED_VALUE"""),0.003571429)</f>
        <v>3.5714290000000001E-3</v>
      </c>
      <c r="P760" s="5"/>
      <c r="Q760" s="5" t="str">
        <f ca="1">IFERROR(__xludf.DUMMYFUNCTION("""COMPUTED_VALUE"""),"4yy0iuqhmN8")</f>
        <v>4yy0iuqhmN8</v>
      </c>
      <c r="R760" s="5">
        <f ca="1">IFERROR(__xludf.DUMMYFUNCTION("""COMPUTED_VALUE"""),410)</f>
        <v>410</v>
      </c>
      <c r="S760" s="62">
        <f ca="1">IFERROR(__xludf.DUMMYFUNCTION("""COMPUTED_VALUE"""),0.003571429)</f>
        <v>3.5714290000000001E-3</v>
      </c>
      <c r="T760" s="63" t="str">
        <f ca="1">IFERROR(__xludf.DUMMYFUNCTION("""COMPUTED_VALUE"""),"https://storage.googleapis.com/glide-prod.appspot.com/uploads-v2/ly7o78grxPaC6KdgvbpS/pub/3aRdSog0vUtuqPE8AJKD.png")</f>
        <v>https://storage.googleapis.com/glide-prod.appspot.com/uploads-v2/ly7o78grxPaC6KdgvbpS/pub/3aRdSog0vUtuqPE8AJKD.png</v>
      </c>
      <c r="U760" s="5" t="str">
        <f ca="1">IFERROR(__xludf.DUMMYFUNCTION("""COMPUTED_VALUE"""),"LINEA DE ENVASADO PET NO RETORNABLELLENADORA")</f>
        <v>LINEA DE ENVASADO PET NO RETORNABLELLENADORA</v>
      </c>
      <c r="V760" s="5"/>
      <c r="W760" s="5" t="b">
        <f ca="1">IFERROR(__xludf.DUMMYFUNCTION("""COMPUTED_VALUE"""),TRUE)</f>
        <v>1</v>
      </c>
      <c r="X760" s="5" t="str">
        <f ca="1">IFERROR(__xludf.DUMMYFUNCTION("""COMPUTED_VALUE"""),"wguerra@postobon.com.co,aprmttoyu@postobon.com.co,aprmyu@postobon.com.co,wmora@postobon.com.co,efzapata@postobon.com.co")</f>
        <v>wguerra@postobon.com.co,aprmttoyu@postobon.com.co,aprmyu@postobon.com.co,wmora@postobon.com.co,efzapata@postobon.com.co</v>
      </c>
      <c r="Y760" s="5" t="str">
        <f ca="1">IFERROR(__xludf.DUMMYFUNCTION("""COMPUTED_VALUE"""),"wguerra@postobon.com.co")</f>
        <v>wguerra@postobon.com.co</v>
      </c>
      <c r="Z760" s="5" t="str">
        <f ca="1">IFERROR(__xludf.DUMMYFUNCTION("""COMPUTED_VALUE"""),"7G3ffBVTQ5OG6n2wAvAv5Q")</f>
        <v>7G3ffBVTQ5OG6n2wAvAv5Q</v>
      </c>
      <c r="AA760" s="5"/>
      <c r="AB760" s="5"/>
      <c r="AC760" s="5"/>
      <c r="AD760" s="5">
        <f ca="1">IFERROR(__xludf.DUMMYFUNCTION("""COMPUTED_VALUE"""),30)</f>
        <v>30</v>
      </c>
      <c r="AE760" s="5">
        <f ca="1">IFERROR(__xludf.DUMMYFUNCTION("""COMPUTED_VALUE"""),30)</f>
        <v>30</v>
      </c>
      <c r="AF760" s="5" t="b">
        <f ca="1">IFERROR(__xludf.DUMMYFUNCTION("""COMPUTED_VALUE"""),FALSE)</f>
        <v>0</v>
      </c>
      <c r="AG760" s="5" t="str">
        <f ca="1">IFERROR(__xludf.DUMMYFUNCTION("""COMPUTED_VALUE"""),"INSPECCIONES REALIZADAS")</f>
        <v>INSPECCIONES REALIZADAS</v>
      </c>
      <c r="AH760" s="5"/>
    </row>
    <row r="761" spans="1:34">
      <c r="A761" s="5" t="str">
        <f ca="1">IFERROR(__xludf.DUMMYFUNCTION("""COMPUTED_VALUE"""),"LINEA DE ENVASADO PET NO RETORNABLE")</f>
        <v>LINEA DE ENVASADO PET NO RETORNABLE</v>
      </c>
      <c r="B761" s="5">
        <f ca="1">IFERROR(__xludf.DUMMYFUNCTION("""COMPUTED_VALUE"""),518635)</f>
        <v>518635</v>
      </c>
      <c r="C761" s="5" t="str">
        <f ca="1">IFERROR(__xludf.DUMMYFUNCTION("""COMPUTED_VALUE"""),"LLENADORA")</f>
        <v>LLENADORA</v>
      </c>
      <c r="D761" s="5">
        <f ca="1">IFERROR(__xludf.DUMMYFUNCTION("""COMPUTED_VALUE"""),13247832)</f>
        <v>13247832</v>
      </c>
      <c r="E761" s="5" t="str">
        <f ca="1">IFERROR(__xludf.DUMMYFUNCTION("""COMPUTED_VALUE"""),"INSPECCION SEMANAL LLENADORA")</f>
        <v>INSPECCION SEMANAL LLENADORA</v>
      </c>
      <c r="F761" s="5" t="str">
        <f ca="1">IFERROR(__xludf.DUMMYFUNCTION("""COMPUTED_VALUE"""),"INSP UNIDAD MTTO AIRE")</f>
        <v>INSP UNIDAD MTTO AIRE</v>
      </c>
      <c r="G761" s="5" t="b">
        <f ca="1">IFERROR(__xludf.DUMMYFUNCTION("""COMPUTED_VALUE"""),TRUE)</f>
        <v>1</v>
      </c>
      <c r="H761" s="5"/>
      <c r="I761" s="5"/>
      <c r="J761" s="5"/>
      <c r="K761" s="5"/>
      <c r="L761" s="18">
        <f ca="1">IFERROR(__xludf.DUMMYFUNCTION("""COMPUTED_VALUE"""),45325)</f>
        <v>45325</v>
      </c>
      <c r="M761" s="18">
        <f ca="1">IFERROR(__xludf.DUMMYFUNCTION("""COMPUTED_VALUE"""),45325)</f>
        <v>45325</v>
      </c>
      <c r="N761" s="5" t="str">
        <f ca="1">IFERROR(__xludf.DUMMYFUNCTION("""COMPUTED_VALUE"""),"FRANCO HERRERA ALEJANDRO")</f>
        <v>FRANCO HERRERA ALEJANDRO</v>
      </c>
      <c r="O761" s="2">
        <f ca="1">IFERROR(__xludf.DUMMYFUNCTION("""COMPUTED_VALUE"""),0.003571429)</f>
        <v>3.5714290000000001E-3</v>
      </c>
      <c r="P761" s="5"/>
      <c r="Q761" s="5" t="str">
        <f ca="1">IFERROR(__xludf.DUMMYFUNCTION("""COMPUTED_VALUE"""),"XiXbTb9rg1c")</f>
        <v>XiXbTb9rg1c</v>
      </c>
      <c r="R761" s="5">
        <f ca="1">IFERROR(__xludf.DUMMYFUNCTION("""COMPUTED_VALUE"""),410)</f>
        <v>410</v>
      </c>
      <c r="S761" s="62">
        <f ca="1">IFERROR(__xludf.DUMMYFUNCTION("""COMPUTED_VALUE"""),0.003571429)</f>
        <v>3.5714290000000001E-3</v>
      </c>
      <c r="T761" s="63" t="str">
        <f ca="1">IFERROR(__xludf.DUMMYFUNCTION("""COMPUTED_VALUE"""),"https://storage.googleapis.com/glide-prod.appspot.com/uploads-v2/ly7o78grxPaC6KdgvbpS/pub/3aRdSog0vUtuqPE8AJKD.png")</f>
        <v>https://storage.googleapis.com/glide-prod.appspot.com/uploads-v2/ly7o78grxPaC6KdgvbpS/pub/3aRdSog0vUtuqPE8AJKD.png</v>
      </c>
      <c r="U761" s="5" t="str">
        <f ca="1">IFERROR(__xludf.DUMMYFUNCTION("""COMPUTED_VALUE"""),"LINEA DE ENVASADO PET NO RETORNABLELLENADORA")</f>
        <v>LINEA DE ENVASADO PET NO RETORNABLELLENADORA</v>
      </c>
      <c r="V761" s="5"/>
      <c r="W761" s="5" t="b">
        <f ca="1">IFERROR(__xludf.DUMMYFUNCTION("""COMPUTED_VALUE"""),TRUE)</f>
        <v>1</v>
      </c>
      <c r="X761" s="5" t="str">
        <f ca="1">IFERROR(__xludf.DUMMYFUNCTION("""COMPUTED_VALUE"""),"wguerra@postobon.com.co,aprmttoyu@postobon.com.co,aprmyu@postobon.com.co,wmora@postobon.com.co,efzapata@postobon.com.co")</f>
        <v>wguerra@postobon.com.co,aprmttoyu@postobon.com.co,aprmyu@postobon.com.co,wmora@postobon.com.co,efzapata@postobon.com.co</v>
      </c>
      <c r="Y761" s="5" t="str">
        <f ca="1">IFERROR(__xludf.DUMMYFUNCTION("""COMPUTED_VALUE"""),"wguerra@postobon.com.co")</f>
        <v>wguerra@postobon.com.co</v>
      </c>
      <c r="Z761" s="5" t="str">
        <f ca="1">IFERROR(__xludf.DUMMYFUNCTION("""COMPUTED_VALUE"""),"V-6WW6XOQxyDr03oG7RkCQ")</f>
        <v>V-6WW6XOQxyDr03oG7RkCQ</v>
      </c>
      <c r="AA761" s="5"/>
      <c r="AB761" s="5"/>
      <c r="AC761" s="5"/>
      <c r="AD761" s="5">
        <f ca="1">IFERROR(__xludf.DUMMYFUNCTION("""COMPUTED_VALUE"""),30)</f>
        <v>30</v>
      </c>
      <c r="AE761" s="5">
        <f ca="1">IFERROR(__xludf.DUMMYFUNCTION("""COMPUTED_VALUE"""),30)</f>
        <v>30</v>
      </c>
      <c r="AF761" s="5" t="b">
        <f ca="1">IFERROR(__xludf.DUMMYFUNCTION("""COMPUTED_VALUE"""),FALSE)</f>
        <v>0</v>
      </c>
      <c r="AG761" s="5" t="str">
        <f ca="1">IFERROR(__xludf.DUMMYFUNCTION("""COMPUTED_VALUE"""),"INSPECCIONES REALIZADAS")</f>
        <v>INSPECCIONES REALIZADAS</v>
      </c>
      <c r="AH761" s="5"/>
    </row>
    <row r="762" spans="1:34">
      <c r="A762" s="5" t="str">
        <f ca="1">IFERROR(__xludf.DUMMYFUNCTION("""COMPUTED_VALUE"""),"LINEA DE ENVASADO PET NO RETORNABLE")</f>
        <v>LINEA DE ENVASADO PET NO RETORNABLE</v>
      </c>
      <c r="B762" s="5">
        <f ca="1">IFERROR(__xludf.DUMMYFUNCTION("""COMPUTED_VALUE"""),518635)</f>
        <v>518635</v>
      </c>
      <c r="C762" s="5" t="str">
        <f ca="1">IFERROR(__xludf.DUMMYFUNCTION("""COMPUTED_VALUE"""),"LLENADORA")</f>
        <v>LLENADORA</v>
      </c>
      <c r="D762" s="5">
        <f ca="1">IFERROR(__xludf.DUMMYFUNCTION("""COMPUTED_VALUE"""),13247832)</f>
        <v>13247832</v>
      </c>
      <c r="E762" s="5" t="str">
        <f ca="1">IFERROR(__xludf.DUMMYFUNCTION("""COMPUTED_VALUE"""),"INSPECCION SEMANAL LLENADORA")</f>
        <v>INSPECCION SEMANAL LLENADORA</v>
      </c>
      <c r="F762" s="5" t="str">
        <f ca="1">IFERROR(__xludf.DUMMYFUNCTION("""COMPUTED_VALUE"""),"INSTRUMENTACION")</f>
        <v>INSTRUMENTACION</v>
      </c>
      <c r="G762" s="5" t="b">
        <f ca="1">IFERROR(__xludf.DUMMYFUNCTION("""COMPUTED_VALUE"""),TRUE)</f>
        <v>1</v>
      </c>
      <c r="H762" s="5"/>
      <c r="I762" s="5"/>
      <c r="J762" s="5"/>
      <c r="K762" s="5"/>
      <c r="L762" s="18">
        <f ca="1">IFERROR(__xludf.DUMMYFUNCTION("""COMPUTED_VALUE"""),45325)</f>
        <v>45325</v>
      </c>
      <c r="M762" s="18">
        <f ca="1">IFERROR(__xludf.DUMMYFUNCTION("""COMPUTED_VALUE"""),45325)</f>
        <v>45325</v>
      </c>
      <c r="N762" s="5" t="str">
        <f ca="1">IFERROR(__xludf.DUMMYFUNCTION("""COMPUTED_VALUE"""),"FRANCO HERRERA ALEJANDRO")</f>
        <v>FRANCO HERRERA ALEJANDRO</v>
      </c>
      <c r="O762" s="2">
        <f ca="1">IFERROR(__xludf.DUMMYFUNCTION("""COMPUTED_VALUE"""),0.003571429)</f>
        <v>3.5714290000000001E-3</v>
      </c>
      <c r="P762" s="5"/>
      <c r="Q762" s="5" t="str">
        <f ca="1">IFERROR(__xludf.DUMMYFUNCTION("""COMPUTED_VALUE"""),"1JcRAZdTYog")</f>
        <v>1JcRAZdTYog</v>
      </c>
      <c r="R762" s="5">
        <f ca="1">IFERROR(__xludf.DUMMYFUNCTION("""COMPUTED_VALUE"""),410)</f>
        <v>410</v>
      </c>
      <c r="S762" s="62">
        <f ca="1">IFERROR(__xludf.DUMMYFUNCTION("""COMPUTED_VALUE"""),0.003571429)</f>
        <v>3.5714290000000001E-3</v>
      </c>
      <c r="T762" s="63" t="str">
        <f ca="1">IFERROR(__xludf.DUMMYFUNCTION("""COMPUTED_VALUE"""),"https://storage.googleapis.com/glide-prod.appspot.com/uploads-v2/ly7o78grxPaC6KdgvbpS/pub/3aRdSog0vUtuqPE8AJKD.png")</f>
        <v>https://storage.googleapis.com/glide-prod.appspot.com/uploads-v2/ly7o78grxPaC6KdgvbpS/pub/3aRdSog0vUtuqPE8AJKD.png</v>
      </c>
      <c r="U762" s="5" t="str">
        <f ca="1">IFERROR(__xludf.DUMMYFUNCTION("""COMPUTED_VALUE"""),"LINEA DE ENVASADO PET NO RETORNABLELLENADORA")</f>
        <v>LINEA DE ENVASADO PET NO RETORNABLELLENADORA</v>
      </c>
      <c r="V762" s="5"/>
      <c r="W762" s="5" t="b">
        <f ca="1">IFERROR(__xludf.DUMMYFUNCTION("""COMPUTED_VALUE"""),TRUE)</f>
        <v>1</v>
      </c>
      <c r="X762" s="5" t="str">
        <f ca="1">IFERROR(__xludf.DUMMYFUNCTION("""COMPUTED_VALUE"""),"wguerra@postobon.com.co,aprmttoyu@postobon.com.co,aprmyu@postobon.com.co,wmora@postobon.com.co,efzapata@postobon.com.co")</f>
        <v>wguerra@postobon.com.co,aprmttoyu@postobon.com.co,aprmyu@postobon.com.co,wmora@postobon.com.co,efzapata@postobon.com.co</v>
      </c>
      <c r="Y762" s="5" t="str">
        <f ca="1">IFERROR(__xludf.DUMMYFUNCTION("""COMPUTED_VALUE"""),"wguerra@postobon.com.co")</f>
        <v>wguerra@postobon.com.co</v>
      </c>
      <c r="Z762" s="5" t="str">
        <f ca="1">IFERROR(__xludf.DUMMYFUNCTION("""COMPUTED_VALUE"""),"Uk9ztI5lRfS4BGhj9BNB5A")</f>
        <v>Uk9ztI5lRfS4BGhj9BNB5A</v>
      </c>
      <c r="AA762" s="5"/>
      <c r="AB762" s="5"/>
      <c r="AC762" s="5"/>
      <c r="AD762" s="5">
        <f ca="1">IFERROR(__xludf.DUMMYFUNCTION("""COMPUTED_VALUE"""),30)</f>
        <v>30</v>
      </c>
      <c r="AE762" s="5">
        <f ca="1">IFERROR(__xludf.DUMMYFUNCTION("""COMPUTED_VALUE"""),30)</f>
        <v>30</v>
      </c>
      <c r="AF762" s="5" t="b">
        <f ca="1">IFERROR(__xludf.DUMMYFUNCTION("""COMPUTED_VALUE"""),FALSE)</f>
        <v>0</v>
      </c>
      <c r="AG762" s="5" t="str">
        <f ca="1">IFERROR(__xludf.DUMMYFUNCTION("""COMPUTED_VALUE"""),"INSPECCIONES REALIZADAS")</f>
        <v>INSPECCIONES REALIZADAS</v>
      </c>
      <c r="AH762" s="5"/>
    </row>
    <row r="763" spans="1:34">
      <c r="A763" s="5" t="str">
        <f ca="1">IFERROR(__xludf.DUMMYFUNCTION("""COMPUTED_VALUE"""),"LINEA DE ENVASADO PET NO RETORNABLE")</f>
        <v>LINEA DE ENVASADO PET NO RETORNABLE</v>
      </c>
      <c r="B763" s="5">
        <f ca="1">IFERROR(__xludf.DUMMYFUNCTION("""COMPUTED_VALUE"""),518635)</f>
        <v>518635</v>
      </c>
      <c r="C763" s="5" t="str">
        <f ca="1">IFERROR(__xludf.DUMMYFUNCTION("""COMPUTED_VALUE"""),"LLENADORA")</f>
        <v>LLENADORA</v>
      </c>
      <c r="D763" s="5">
        <f ca="1">IFERROR(__xludf.DUMMYFUNCTION("""COMPUTED_VALUE"""),13247832)</f>
        <v>13247832</v>
      </c>
      <c r="E763" s="5" t="str">
        <f ca="1">IFERROR(__xludf.DUMMYFUNCTION("""COMPUTED_VALUE"""),"INSPECCION SEMANAL LLENADORA")</f>
        <v>INSPECCION SEMANAL LLENADORA</v>
      </c>
      <c r="F763" s="5" t="str">
        <f ca="1">IFERROR(__xludf.DUMMYFUNCTION("""COMPUTED_VALUE"""),"INSP INTERCAMBIADOR Y REJILLA AIRE")</f>
        <v>INSP INTERCAMBIADOR Y REJILLA AIRE</v>
      </c>
      <c r="G763" s="5" t="b">
        <f ca="1">IFERROR(__xludf.DUMMYFUNCTION("""COMPUTED_VALUE"""),TRUE)</f>
        <v>1</v>
      </c>
      <c r="H763" s="5"/>
      <c r="I763" s="5"/>
      <c r="J763" s="5"/>
      <c r="K763" s="5"/>
      <c r="L763" s="18">
        <f ca="1">IFERROR(__xludf.DUMMYFUNCTION("""COMPUTED_VALUE"""),45325)</f>
        <v>45325</v>
      </c>
      <c r="M763" s="18">
        <f ca="1">IFERROR(__xludf.DUMMYFUNCTION("""COMPUTED_VALUE"""),45325)</f>
        <v>45325</v>
      </c>
      <c r="N763" s="5" t="str">
        <f ca="1">IFERROR(__xludf.DUMMYFUNCTION("""COMPUTED_VALUE"""),"FRANCO HERRERA ALEJANDRO")</f>
        <v>FRANCO HERRERA ALEJANDRO</v>
      </c>
      <c r="O763" s="2">
        <f ca="1">IFERROR(__xludf.DUMMYFUNCTION("""COMPUTED_VALUE"""),0.003571429)</f>
        <v>3.5714290000000001E-3</v>
      </c>
      <c r="P763" s="5"/>
      <c r="Q763" s="5" t="str">
        <f ca="1">IFERROR(__xludf.DUMMYFUNCTION("""COMPUTED_VALUE"""),"QMEt8YmqPWw")</f>
        <v>QMEt8YmqPWw</v>
      </c>
      <c r="R763" s="5">
        <f ca="1">IFERROR(__xludf.DUMMYFUNCTION("""COMPUTED_VALUE"""),410)</f>
        <v>410</v>
      </c>
      <c r="S763" s="62">
        <f ca="1">IFERROR(__xludf.DUMMYFUNCTION("""COMPUTED_VALUE"""),0.003571429)</f>
        <v>3.5714290000000001E-3</v>
      </c>
      <c r="T763" s="63" t="str">
        <f ca="1">IFERROR(__xludf.DUMMYFUNCTION("""COMPUTED_VALUE"""),"https://storage.googleapis.com/glide-prod.appspot.com/uploads-v2/ly7o78grxPaC6KdgvbpS/pub/3aRdSog0vUtuqPE8AJKD.png")</f>
        <v>https://storage.googleapis.com/glide-prod.appspot.com/uploads-v2/ly7o78grxPaC6KdgvbpS/pub/3aRdSog0vUtuqPE8AJKD.png</v>
      </c>
      <c r="U763" s="5" t="str">
        <f ca="1">IFERROR(__xludf.DUMMYFUNCTION("""COMPUTED_VALUE"""),"LINEA DE ENVASADO PET NO RETORNABLELLENADORA")</f>
        <v>LINEA DE ENVASADO PET NO RETORNABLELLENADORA</v>
      </c>
      <c r="V763" s="5"/>
      <c r="W763" s="5" t="b">
        <f ca="1">IFERROR(__xludf.DUMMYFUNCTION("""COMPUTED_VALUE"""),TRUE)</f>
        <v>1</v>
      </c>
      <c r="X763" s="5" t="str">
        <f ca="1">IFERROR(__xludf.DUMMYFUNCTION("""COMPUTED_VALUE"""),"wguerra@postobon.com.co,aprmttoyu@postobon.com.co,aprmyu@postobon.com.co,wmora@postobon.com.co,efzapata@postobon.com.co")</f>
        <v>wguerra@postobon.com.co,aprmttoyu@postobon.com.co,aprmyu@postobon.com.co,wmora@postobon.com.co,efzapata@postobon.com.co</v>
      </c>
      <c r="Y763" s="5" t="str">
        <f ca="1">IFERROR(__xludf.DUMMYFUNCTION("""COMPUTED_VALUE"""),"wguerra@postobon.com.co")</f>
        <v>wguerra@postobon.com.co</v>
      </c>
      <c r="Z763" s="5" t="str">
        <f ca="1">IFERROR(__xludf.DUMMYFUNCTION("""COMPUTED_VALUE"""),"h66ufgBnQh2ovPpXgAVgzA")</f>
        <v>h66ufgBnQh2ovPpXgAVgzA</v>
      </c>
      <c r="AA763" s="5"/>
      <c r="AB763" s="5"/>
      <c r="AC763" s="5"/>
      <c r="AD763" s="5">
        <f ca="1">IFERROR(__xludf.DUMMYFUNCTION("""COMPUTED_VALUE"""),30)</f>
        <v>30</v>
      </c>
      <c r="AE763" s="5">
        <f ca="1">IFERROR(__xludf.DUMMYFUNCTION("""COMPUTED_VALUE"""),30)</f>
        <v>30</v>
      </c>
      <c r="AF763" s="5" t="b">
        <f ca="1">IFERROR(__xludf.DUMMYFUNCTION("""COMPUTED_VALUE"""),FALSE)</f>
        <v>0</v>
      </c>
      <c r="AG763" s="5" t="str">
        <f ca="1">IFERROR(__xludf.DUMMYFUNCTION("""COMPUTED_VALUE"""),"INSPECCIONES REALIZADAS")</f>
        <v>INSPECCIONES REALIZADAS</v>
      </c>
      <c r="AH763" s="5"/>
    </row>
    <row r="764" spans="1:34">
      <c r="A764" s="5" t="str">
        <f ca="1">IFERROR(__xludf.DUMMYFUNCTION("""COMPUTED_VALUE"""),"LINEA DE ENVASADO PET NO RETORNABLE")</f>
        <v>LINEA DE ENVASADO PET NO RETORNABLE</v>
      </c>
      <c r="B764" s="5">
        <f ca="1">IFERROR(__xludf.DUMMYFUNCTION("""COMPUTED_VALUE"""),518635)</f>
        <v>518635</v>
      </c>
      <c r="C764" s="5" t="str">
        <f ca="1">IFERROR(__xludf.DUMMYFUNCTION("""COMPUTED_VALUE"""),"LLENADORA")</f>
        <v>LLENADORA</v>
      </c>
      <c r="D764" s="5">
        <f ca="1">IFERROR(__xludf.DUMMYFUNCTION("""COMPUTED_VALUE"""),13247832)</f>
        <v>13247832</v>
      </c>
      <c r="E764" s="5" t="str">
        <f ca="1">IFERROR(__xludf.DUMMYFUNCTION("""COMPUTED_VALUE"""),"INSPECCION SEMANAL LLENADORA")</f>
        <v>INSPECCION SEMANAL LLENADORA</v>
      </c>
      <c r="F764" s="5" t="str">
        <f ca="1">IFERROR(__xludf.DUMMYFUNCTION("""COMPUTED_VALUE"""),"ESCAPES FLUIDOS")</f>
        <v>ESCAPES FLUIDOS</v>
      </c>
      <c r="G764" s="5" t="b">
        <f ca="1">IFERROR(__xludf.DUMMYFUNCTION("""COMPUTED_VALUE"""),TRUE)</f>
        <v>1</v>
      </c>
      <c r="H764" s="5"/>
      <c r="I764" s="5"/>
      <c r="J764" s="5"/>
      <c r="K764" s="5"/>
      <c r="L764" s="18">
        <f ca="1">IFERROR(__xludf.DUMMYFUNCTION("""COMPUTED_VALUE"""),45325)</f>
        <v>45325</v>
      </c>
      <c r="M764" s="18">
        <f ca="1">IFERROR(__xludf.DUMMYFUNCTION("""COMPUTED_VALUE"""),45325)</f>
        <v>45325</v>
      </c>
      <c r="N764" s="5" t="str">
        <f ca="1">IFERROR(__xludf.DUMMYFUNCTION("""COMPUTED_VALUE"""),"FRANCO HERRERA ALEJANDRO")</f>
        <v>FRANCO HERRERA ALEJANDRO</v>
      </c>
      <c r="O764" s="2">
        <f ca="1">IFERROR(__xludf.DUMMYFUNCTION("""COMPUTED_VALUE"""),0.003571429)</f>
        <v>3.5714290000000001E-3</v>
      </c>
      <c r="P764" s="5"/>
      <c r="Q764" s="5" t="str">
        <f ca="1">IFERROR(__xludf.DUMMYFUNCTION("""COMPUTED_VALUE"""),"XDO2gVmT5xs")</f>
        <v>XDO2gVmT5xs</v>
      </c>
      <c r="R764" s="5">
        <f ca="1">IFERROR(__xludf.DUMMYFUNCTION("""COMPUTED_VALUE"""),410)</f>
        <v>410</v>
      </c>
      <c r="S764" s="62">
        <f ca="1">IFERROR(__xludf.DUMMYFUNCTION("""COMPUTED_VALUE"""),0.003571429)</f>
        <v>3.5714290000000001E-3</v>
      </c>
      <c r="T764" s="63" t="str">
        <f ca="1">IFERROR(__xludf.DUMMYFUNCTION("""COMPUTED_VALUE"""),"https://storage.googleapis.com/glide-prod.appspot.com/uploads-v2/ly7o78grxPaC6KdgvbpS/pub/3aRdSog0vUtuqPE8AJKD.png")</f>
        <v>https://storage.googleapis.com/glide-prod.appspot.com/uploads-v2/ly7o78grxPaC6KdgvbpS/pub/3aRdSog0vUtuqPE8AJKD.png</v>
      </c>
      <c r="U764" s="5" t="str">
        <f ca="1">IFERROR(__xludf.DUMMYFUNCTION("""COMPUTED_VALUE"""),"LINEA DE ENVASADO PET NO RETORNABLELLENADORA")</f>
        <v>LINEA DE ENVASADO PET NO RETORNABLELLENADORA</v>
      </c>
      <c r="V764" s="5"/>
      <c r="W764" s="5" t="b">
        <f ca="1">IFERROR(__xludf.DUMMYFUNCTION("""COMPUTED_VALUE"""),TRUE)</f>
        <v>1</v>
      </c>
      <c r="X764" s="5" t="str">
        <f ca="1">IFERROR(__xludf.DUMMYFUNCTION("""COMPUTED_VALUE"""),"wguerra@postobon.com.co,aprmttoyu@postobon.com.co,aprmyu@postobon.com.co,wmora@postobon.com.co,efzapata@postobon.com.co")</f>
        <v>wguerra@postobon.com.co,aprmttoyu@postobon.com.co,aprmyu@postobon.com.co,wmora@postobon.com.co,efzapata@postobon.com.co</v>
      </c>
      <c r="Y764" s="5" t="str">
        <f ca="1">IFERROR(__xludf.DUMMYFUNCTION("""COMPUTED_VALUE"""),"wguerra@postobon.com.co")</f>
        <v>wguerra@postobon.com.co</v>
      </c>
      <c r="Z764" s="5" t="str">
        <f ca="1">IFERROR(__xludf.DUMMYFUNCTION("""COMPUTED_VALUE"""),"xH4KiL61TQ-38JK4L4XDuA")</f>
        <v>xH4KiL61TQ-38JK4L4XDuA</v>
      </c>
      <c r="AA764" s="5"/>
      <c r="AB764" s="5"/>
      <c r="AC764" s="5"/>
      <c r="AD764" s="5">
        <f ca="1">IFERROR(__xludf.DUMMYFUNCTION("""COMPUTED_VALUE"""),30)</f>
        <v>30</v>
      </c>
      <c r="AE764" s="5">
        <f ca="1">IFERROR(__xludf.DUMMYFUNCTION("""COMPUTED_VALUE"""),30)</f>
        <v>30</v>
      </c>
      <c r="AF764" s="5" t="b">
        <f ca="1">IFERROR(__xludf.DUMMYFUNCTION("""COMPUTED_VALUE"""),FALSE)</f>
        <v>0</v>
      </c>
      <c r="AG764" s="5" t="str">
        <f ca="1">IFERROR(__xludf.DUMMYFUNCTION("""COMPUTED_VALUE"""),"INSPECCIONES REALIZADAS")</f>
        <v>INSPECCIONES REALIZADAS</v>
      </c>
      <c r="AH764" s="5"/>
    </row>
    <row r="765" spans="1:34">
      <c r="A765" s="5" t="str">
        <f ca="1">IFERROR(__xludf.DUMMYFUNCTION("""COMPUTED_VALUE"""),"LINEA DE ENVASADO PET NO RETORNABLE")</f>
        <v>LINEA DE ENVASADO PET NO RETORNABLE</v>
      </c>
      <c r="B765" s="5">
        <f ca="1">IFERROR(__xludf.DUMMYFUNCTION("""COMPUTED_VALUE"""),518635)</f>
        <v>518635</v>
      </c>
      <c r="C765" s="5" t="str">
        <f ca="1">IFERROR(__xludf.DUMMYFUNCTION("""COMPUTED_VALUE"""),"LLENADORA")</f>
        <v>LLENADORA</v>
      </c>
      <c r="D765" s="5">
        <f ca="1">IFERROR(__xludf.DUMMYFUNCTION("""COMPUTED_VALUE"""),13247832)</f>
        <v>13247832</v>
      </c>
      <c r="E765" s="5" t="str">
        <f ca="1">IFERROR(__xludf.DUMMYFUNCTION("""COMPUTED_VALUE"""),"INSPECCION SEMANAL LLENADORA")</f>
        <v>INSPECCION SEMANAL LLENADORA</v>
      </c>
      <c r="F765" s="5" t="str">
        <f ca="1">IFERROR(__xludf.DUMMYFUNCTION("""COMPUTED_VALUE"""),"ESTADO ESTRELLAS Y PINZAS")</f>
        <v>ESTADO ESTRELLAS Y PINZAS</v>
      </c>
      <c r="G765" s="5" t="b">
        <f ca="1">IFERROR(__xludf.DUMMYFUNCTION("""COMPUTED_VALUE"""),TRUE)</f>
        <v>1</v>
      </c>
      <c r="H765" s="5"/>
      <c r="I765" s="5"/>
      <c r="J765" s="5"/>
      <c r="K765" s="5"/>
      <c r="L765" s="18">
        <f ca="1">IFERROR(__xludf.DUMMYFUNCTION("""COMPUTED_VALUE"""),45325)</f>
        <v>45325</v>
      </c>
      <c r="M765" s="18">
        <f ca="1">IFERROR(__xludf.DUMMYFUNCTION("""COMPUTED_VALUE"""),45325)</f>
        <v>45325</v>
      </c>
      <c r="N765" s="5" t="str">
        <f ca="1">IFERROR(__xludf.DUMMYFUNCTION("""COMPUTED_VALUE"""),"FRANCO HERRERA ALEJANDRO")</f>
        <v>FRANCO HERRERA ALEJANDRO</v>
      </c>
      <c r="O765" s="2">
        <f ca="1">IFERROR(__xludf.DUMMYFUNCTION("""COMPUTED_VALUE"""),0.003571429)</f>
        <v>3.5714290000000001E-3</v>
      </c>
      <c r="P765" s="5"/>
      <c r="Q765" s="5" t="str">
        <f ca="1">IFERROR(__xludf.DUMMYFUNCTION("""COMPUTED_VALUE"""),"gABr7tVp17s")</f>
        <v>gABr7tVp17s</v>
      </c>
      <c r="R765" s="5">
        <f ca="1">IFERROR(__xludf.DUMMYFUNCTION("""COMPUTED_VALUE"""),410)</f>
        <v>410</v>
      </c>
      <c r="S765" s="62">
        <f ca="1">IFERROR(__xludf.DUMMYFUNCTION("""COMPUTED_VALUE"""),0.003571429)</f>
        <v>3.5714290000000001E-3</v>
      </c>
      <c r="T765" s="63" t="str">
        <f ca="1">IFERROR(__xludf.DUMMYFUNCTION("""COMPUTED_VALUE"""),"https://storage.googleapis.com/glide-prod.appspot.com/uploads-v2/ly7o78grxPaC6KdgvbpS/pub/3aRdSog0vUtuqPE8AJKD.png")</f>
        <v>https://storage.googleapis.com/glide-prod.appspot.com/uploads-v2/ly7o78grxPaC6KdgvbpS/pub/3aRdSog0vUtuqPE8AJKD.png</v>
      </c>
      <c r="U765" s="5" t="str">
        <f ca="1">IFERROR(__xludf.DUMMYFUNCTION("""COMPUTED_VALUE"""),"LINEA DE ENVASADO PET NO RETORNABLELLENADORA")</f>
        <v>LINEA DE ENVASADO PET NO RETORNABLELLENADORA</v>
      </c>
      <c r="V765" s="5"/>
      <c r="W765" s="5" t="b">
        <f ca="1">IFERROR(__xludf.DUMMYFUNCTION("""COMPUTED_VALUE"""),TRUE)</f>
        <v>1</v>
      </c>
      <c r="X765" s="5" t="str">
        <f ca="1">IFERROR(__xludf.DUMMYFUNCTION("""COMPUTED_VALUE"""),"wguerra@postobon.com.co,aprmttoyu@postobon.com.co,aprmyu@postobon.com.co,wmora@postobon.com.co,efzapata@postobon.com.co")</f>
        <v>wguerra@postobon.com.co,aprmttoyu@postobon.com.co,aprmyu@postobon.com.co,wmora@postobon.com.co,efzapata@postobon.com.co</v>
      </c>
      <c r="Y765" s="5" t="str">
        <f ca="1">IFERROR(__xludf.DUMMYFUNCTION("""COMPUTED_VALUE"""),"wguerra@postobon.com.co")</f>
        <v>wguerra@postobon.com.co</v>
      </c>
      <c r="Z765" s="5" t="str">
        <f ca="1">IFERROR(__xludf.DUMMYFUNCTION("""COMPUTED_VALUE"""),"a.D4EPj0nQPeyIK5v8xZsJg")</f>
        <v>a.D4EPj0nQPeyIK5v8xZsJg</v>
      </c>
      <c r="AA765" s="5"/>
      <c r="AB765" s="5"/>
      <c r="AC765" s="5"/>
      <c r="AD765" s="5">
        <f ca="1">IFERROR(__xludf.DUMMYFUNCTION("""COMPUTED_VALUE"""),30)</f>
        <v>30</v>
      </c>
      <c r="AE765" s="5">
        <f ca="1">IFERROR(__xludf.DUMMYFUNCTION("""COMPUTED_VALUE"""),30)</f>
        <v>30</v>
      </c>
      <c r="AF765" s="5" t="b">
        <f ca="1">IFERROR(__xludf.DUMMYFUNCTION("""COMPUTED_VALUE"""),FALSE)</f>
        <v>0</v>
      </c>
      <c r="AG765" s="5" t="str">
        <f ca="1">IFERROR(__xludf.DUMMYFUNCTION("""COMPUTED_VALUE"""),"INSPECCIONES REALIZADAS")</f>
        <v>INSPECCIONES REALIZADAS</v>
      </c>
      <c r="AH765" s="5"/>
    </row>
    <row r="766" spans="1:34">
      <c r="A766" s="5" t="str">
        <f ca="1">IFERROR(__xludf.DUMMYFUNCTION("""COMPUTED_VALUE"""),"LINEA DE ENVASADO PET NO RETORNABLE")</f>
        <v>LINEA DE ENVASADO PET NO RETORNABLE</v>
      </c>
      <c r="B766" s="5">
        <f ca="1">IFERROR(__xludf.DUMMYFUNCTION("""COMPUTED_VALUE"""),518635)</f>
        <v>518635</v>
      </c>
      <c r="C766" s="5" t="str">
        <f ca="1">IFERROR(__xludf.DUMMYFUNCTION("""COMPUTED_VALUE"""),"LLENADORA")</f>
        <v>LLENADORA</v>
      </c>
      <c r="D766" s="5">
        <f ca="1">IFERROR(__xludf.DUMMYFUNCTION("""COMPUTED_VALUE"""),13247832)</f>
        <v>13247832</v>
      </c>
      <c r="E766" s="5" t="str">
        <f ca="1">IFERROR(__xludf.DUMMYFUNCTION("""COMPUTED_VALUE"""),"INSPECCION SEMANAL LLENADORA")</f>
        <v>INSPECCION SEMANAL LLENADORA</v>
      </c>
      <c r="F766" s="5" t="str">
        <f ca="1">IFERROR(__xludf.DUMMYFUNCTION("""COMPUTED_VALUE"""),"FORMATOS MANEJO ENVASES")</f>
        <v>FORMATOS MANEJO ENVASES</v>
      </c>
      <c r="G766" s="5" t="b">
        <f ca="1">IFERROR(__xludf.DUMMYFUNCTION("""COMPUTED_VALUE"""),TRUE)</f>
        <v>1</v>
      </c>
      <c r="H766" s="5"/>
      <c r="I766" s="5"/>
      <c r="J766" s="5"/>
      <c r="K766" s="5"/>
      <c r="L766" s="18">
        <f ca="1">IFERROR(__xludf.DUMMYFUNCTION("""COMPUTED_VALUE"""),45325)</f>
        <v>45325</v>
      </c>
      <c r="M766" s="18">
        <f ca="1">IFERROR(__xludf.DUMMYFUNCTION("""COMPUTED_VALUE"""),45325)</f>
        <v>45325</v>
      </c>
      <c r="N766" s="5" t="str">
        <f ca="1">IFERROR(__xludf.DUMMYFUNCTION("""COMPUTED_VALUE"""),"FRANCO HERRERA ALEJANDRO")</f>
        <v>FRANCO HERRERA ALEJANDRO</v>
      </c>
      <c r="O766" s="2">
        <f ca="1">IFERROR(__xludf.DUMMYFUNCTION("""COMPUTED_VALUE"""),0.003571429)</f>
        <v>3.5714290000000001E-3</v>
      </c>
      <c r="P766" s="5"/>
      <c r="Q766" s="5" t="str">
        <f ca="1">IFERROR(__xludf.DUMMYFUNCTION("""COMPUTED_VALUE"""),"LWu_Ziihrug")</f>
        <v>LWu_Ziihrug</v>
      </c>
      <c r="R766" s="5">
        <f ca="1">IFERROR(__xludf.DUMMYFUNCTION("""COMPUTED_VALUE"""),410)</f>
        <v>410</v>
      </c>
      <c r="S766" s="62">
        <f ca="1">IFERROR(__xludf.DUMMYFUNCTION("""COMPUTED_VALUE"""),0.003571429)</f>
        <v>3.5714290000000001E-3</v>
      </c>
      <c r="T766" s="63" t="str">
        <f ca="1">IFERROR(__xludf.DUMMYFUNCTION("""COMPUTED_VALUE"""),"https://storage.googleapis.com/glide-prod.appspot.com/uploads-v2/ly7o78grxPaC6KdgvbpS/pub/3aRdSog0vUtuqPE8AJKD.png")</f>
        <v>https://storage.googleapis.com/glide-prod.appspot.com/uploads-v2/ly7o78grxPaC6KdgvbpS/pub/3aRdSog0vUtuqPE8AJKD.png</v>
      </c>
      <c r="U766" s="5" t="str">
        <f ca="1">IFERROR(__xludf.DUMMYFUNCTION("""COMPUTED_VALUE"""),"LINEA DE ENVASADO PET NO RETORNABLELLENADORA")</f>
        <v>LINEA DE ENVASADO PET NO RETORNABLELLENADORA</v>
      </c>
      <c r="V766" s="5"/>
      <c r="W766" s="5" t="b">
        <f ca="1">IFERROR(__xludf.DUMMYFUNCTION("""COMPUTED_VALUE"""),TRUE)</f>
        <v>1</v>
      </c>
      <c r="X766" s="5" t="str">
        <f ca="1">IFERROR(__xludf.DUMMYFUNCTION("""COMPUTED_VALUE"""),"wguerra@postobon.com.co,aprmttoyu@postobon.com.co,aprmyu@postobon.com.co,wmora@postobon.com.co,efzapata@postobon.com.co")</f>
        <v>wguerra@postobon.com.co,aprmttoyu@postobon.com.co,aprmyu@postobon.com.co,wmora@postobon.com.co,efzapata@postobon.com.co</v>
      </c>
      <c r="Y766" s="5" t="str">
        <f ca="1">IFERROR(__xludf.DUMMYFUNCTION("""COMPUTED_VALUE"""),"wguerra@postobon.com.co")</f>
        <v>wguerra@postobon.com.co</v>
      </c>
      <c r="Z766" s="5" t="str">
        <f ca="1">IFERROR(__xludf.DUMMYFUNCTION("""COMPUTED_VALUE"""),"iPZkfQWeSpir-FTlUINFCg")</f>
        <v>iPZkfQWeSpir-FTlUINFCg</v>
      </c>
      <c r="AA766" s="5"/>
      <c r="AB766" s="5"/>
      <c r="AC766" s="5"/>
      <c r="AD766" s="5">
        <f ca="1">IFERROR(__xludf.DUMMYFUNCTION("""COMPUTED_VALUE"""),30)</f>
        <v>30</v>
      </c>
      <c r="AE766" s="5">
        <f ca="1">IFERROR(__xludf.DUMMYFUNCTION("""COMPUTED_VALUE"""),30)</f>
        <v>30</v>
      </c>
      <c r="AF766" s="5" t="b">
        <f ca="1">IFERROR(__xludf.DUMMYFUNCTION("""COMPUTED_VALUE"""),FALSE)</f>
        <v>0</v>
      </c>
      <c r="AG766" s="5" t="str">
        <f ca="1">IFERROR(__xludf.DUMMYFUNCTION("""COMPUTED_VALUE"""),"INSPECCIONES REALIZADAS")</f>
        <v>INSPECCIONES REALIZADAS</v>
      </c>
      <c r="AH766" s="5"/>
    </row>
    <row r="767" spans="1:34">
      <c r="A767" s="5" t="str">
        <f ca="1">IFERROR(__xludf.DUMMYFUNCTION("""COMPUTED_VALUE"""),"LINEA DE ENVASADO PET NO RETORNABLE")</f>
        <v>LINEA DE ENVASADO PET NO RETORNABLE</v>
      </c>
      <c r="B767" s="5">
        <f ca="1">IFERROR(__xludf.DUMMYFUNCTION("""COMPUTED_VALUE"""),518635)</f>
        <v>518635</v>
      </c>
      <c r="C767" s="5" t="str">
        <f ca="1">IFERROR(__xludf.DUMMYFUNCTION("""COMPUTED_VALUE"""),"LLENADORA")</f>
        <v>LLENADORA</v>
      </c>
      <c r="D767" s="5">
        <f ca="1">IFERROR(__xludf.DUMMYFUNCTION("""COMPUTED_VALUE"""),13247832)</f>
        <v>13247832</v>
      </c>
      <c r="E767" s="5" t="str">
        <f ca="1">IFERROR(__xludf.DUMMYFUNCTION("""COMPUTED_VALUE"""),"INSPECCION SEMANAL LLENADORA")</f>
        <v>INSPECCION SEMANAL LLENADORA</v>
      </c>
      <c r="F767" s="5" t="str">
        <f ca="1">IFERROR(__xludf.DUMMYFUNCTION("""COMPUTED_VALUE"""),"FUNC VALVULA REGULADORA PRODUCTO")</f>
        <v>FUNC VALVULA REGULADORA PRODUCTO</v>
      </c>
      <c r="G767" s="5" t="b">
        <f ca="1">IFERROR(__xludf.DUMMYFUNCTION("""COMPUTED_VALUE"""),TRUE)</f>
        <v>1</v>
      </c>
      <c r="H767" s="5"/>
      <c r="I767" s="5"/>
      <c r="J767" s="5"/>
      <c r="K767" s="5"/>
      <c r="L767" s="18">
        <f ca="1">IFERROR(__xludf.DUMMYFUNCTION("""COMPUTED_VALUE"""),45325)</f>
        <v>45325</v>
      </c>
      <c r="M767" s="18">
        <f ca="1">IFERROR(__xludf.DUMMYFUNCTION("""COMPUTED_VALUE"""),45325)</f>
        <v>45325</v>
      </c>
      <c r="N767" s="5" t="str">
        <f ca="1">IFERROR(__xludf.DUMMYFUNCTION("""COMPUTED_VALUE"""),"FRANCO HERRERA ALEJANDRO")</f>
        <v>FRANCO HERRERA ALEJANDRO</v>
      </c>
      <c r="O767" s="2">
        <f ca="1">IFERROR(__xludf.DUMMYFUNCTION("""COMPUTED_VALUE"""),0.003571429)</f>
        <v>3.5714290000000001E-3</v>
      </c>
      <c r="P767" s="5"/>
      <c r="Q767" s="5" t="str">
        <f ca="1">IFERROR(__xludf.DUMMYFUNCTION("""COMPUTED_VALUE"""),"6wAsE2DwVhQ")</f>
        <v>6wAsE2DwVhQ</v>
      </c>
      <c r="R767" s="5">
        <f ca="1">IFERROR(__xludf.DUMMYFUNCTION("""COMPUTED_VALUE"""),410)</f>
        <v>410</v>
      </c>
      <c r="S767" s="62">
        <f ca="1">IFERROR(__xludf.DUMMYFUNCTION("""COMPUTED_VALUE"""),0.003571429)</f>
        <v>3.5714290000000001E-3</v>
      </c>
      <c r="T767" s="63" t="str">
        <f ca="1">IFERROR(__xludf.DUMMYFUNCTION("""COMPUTED_VALUE"""),"https://storage.googleapis.com/glide-prod.appspot.com/uploads-v2/ly7o78grxPaC6KdgvbpS/pub/3aRdSog0vUtuqPE8AJKD.png")</f>
        <v>https://storage.googleapis.com/glide-prod.appspot.com/uploads-v2/ly7o78grxPaC6KdgvbpS/pub/3aRdSog0vUtuqPE8AJKD.png</v>
      </c>
      <c r="U767" s="5" t="str">
        <f ca="1">IFERROR(__xludf.DUMMYFUNCTION("""COMPUTED_VALUE"""),"LINEA DE ENVASADO PET NO RETORNABLELLENADORA")</f>
        <v>LINEA DE ENVASADO PET NO RETORNABLELLENADORA</v>
      </c>
      <c r="V767" s="5"/>
      <c r="W767" s="5" t="b">
        <f ca="1">IFERROR(__xludf.DUMMYFUNCTION("""COMPUTED_VALUE"""),TRUE)</f>
        <v>1</v>
      </c>
      <c r="X767" s="5" t="str">
        <f ca="1">IFERROR(__xludf.DUMMYFUNCTION("""COMPUTED_VALUE"""),"wguerra@postobon.com.co,aprmttoyu@postobon.com.co,aprmyu@postobon.com.co,wmora@postobon.com.co,efzapata@postobon.com.co")</f>
        <v>wguerra@postobon.com.co,aprmttoyu@postobon.com.co,aprmyu@postobon.com.co,wmora@postobon.com.co,efzapata@postobon.com.co</v>
      </c>
      <c r="Y767" s="5" t="str">
        <f ca="1">IFERROR(__xludf.DUMMYFUNCTION("""COMPUTED_VALUE"""),"wguerra@postobon.com.co")</f>
        <v>wguerra@postobon.com.co</v>
      </c>
      <c r="Z767" s="5" t="str">
        <f ca="1">IFERROR(__xludf.DUMMYFUNCTION("""COMPUTED_VALUE"""),"Wpy0c9kRTfGiDJmy6ehsxA")</f>
        <v>Wpy0c9kRTfGiDJmy6ehsxA</v>
      </c>
      <c r="AA767" s="5"/>
      <c r="AB767" s="5"/>
      <c r="AC767" s="5"/>
      <c r="AD767" s="5">
        <f ca="1">IFERROR(__xludf.DUMMYFUNCTION("""COMPUTED_VALUE"""),30)</f>
        <v>30</v>
      </c>
      <c r="AE767" s="5">
        <f ca="1">IFERROR(__xludf.DUMMYFUNCTION("""COMPUTED_VALUE"""),30)</f>
        <v>30</v>
      </c>
      <c r="AF767" s="5" t="b">
        <f ca="1">IFERROR(__xludf.DUMMYFUNCTION("""COMPUTED_VALUE"""),FALSE)</f>
        <v>0</v>
      </c>
      <c r="AG767" s="5" t="str">
        <f ca="1">IFERROR(__xludf.DUMMYFUNCTION("""COMPUTED_VALUE"""),"INSPECCIONES REALIZADAS")</f>
        <v>INSPECCIONES REALIZADAS</v>
      </c>
      <c r="AH767" s="5"/>
    </row>
    <row r="768" spans="1:34">
      <c r="A768" s="5" t="str">
        <f ca="1">IFERROR(__xludf.DUMMYFUNCTION("""COMPUTED_VALUE"""),"LINEA DE ENVASADO PET NO RETORNABLE")</f>
        <v>LINEA DE ENVASADO PET NO RETORNABLE</v>
      </c>
      <c r="B768" s="5">
        <f ca="1">IFERROR(__xludf.DUMMYFUNCTION("""COMPUTED_VALUE"""),518635)</f>
        <v>518635</v>
      </c>
      <c r="C768" s="5" t="str">
        <f ca="1">IFERROR(__xludf.DUMMYFUNCTION("""COMPUTED_VALUE"""),"LLENADORA")</f>
        <v>LLENADORA</v>
      </c>
      <c r="D768" s="5">
        <f ca="1">IFERROR(__xludf.DUMMYFUNCTION("""COMPUTED_VALUE"""),13247832)</f>
        <v>13247832</v>
      </c>
      <c r="E768" s="5" t="str">
        <f ca="1">IFERROR(__xludf.DUMMYFUNCTION("""COMPUTED_VALUE"""),"INSPECCION SEMANAL LLENADORA")</f>
        <v>INSPECCION SEMANAL LLENADORA</v>
      </c>
      <c r="F768" s="5" t="str">
        <f ca="1">IFERROR(__xludf.DUMMYFUNCTION("""COMPUTED_VALUE"""),"ESTADO PARTE SUP-INF CARRUSEL")</f>
        <v>ESTADO PARTE SUP-INF CARRUSEL</v>
      </c>
      <c r="G768" s="5" t="b">
        <f ca="1">IFERROR(__xludf.DUMMYFUNCTION("""COMPUTED_VALUE"""),TRUE)</f>
        <v>1</v>
      </c>
      <c r="H768" s="5"/>
      <c r="I768" s="5"/>
      <c r="J768" s="5"/>
      <c r="K768" s="5"/>
      <c r="L768" s="18">
        <f ca="1">IFERROR(__xludf.DUMMYFUNCTION("""COMPUTED_VALUE"""),45325)</f>
        <v>45325</v>
      </c>
      <c r="M768" s="18">
        <f ca="1">IFERROR(__xludf.DUMMYFUNCTION("""COMPUTED_VALUE"""),45325)</f>
        <v>45325</v>
      </c>
      <c r="N768" s="5" t="str">
        <f ca="1">IFERROR(__xludf.DUMMYFUNCTION("""COMPUTED_VALUE"""),"FRANCO HERRERA ALEJANDRO")</f>
        <v>FRANCO HERRERA ALEJANDRO</v>
      </c>
      <c r="O768" s="2">
        <f ca="1">IFERROR(__xludf.DUMMYFUNCTION("""COMPUTED_VALUE"""),0.003571429)</f>
        <v>3.5714290000000001E-3</v>
      </c>
      <c r="P768" s="5"/>
      <c r="Q768" s="5" t="str">
        <f ca="1">IFERROR(__xludf.DUMMYFUNCTION("""COMPUTED_VALUE"""),"tuUj7byEgqg")</f>
        <v>tuUj7byEgqg</v>
      </c>
      <c r="R768" s="5">
        <f ca="1">IFERROR(__xludf.DUMMYFUNCTION("""COMPUTED_VALUE"""),410)</f>
        <v>410</v>
      </c>
      <c r="S768" s="62">
        <f ca="1">IFERROR(__xludf.DUMMYFUNCTION("""COMPUTED_VALUE"""),0.003571429)</f>
        <v>3.5714290000000001E-3</v>
      </c>
      <c r="T768" s="63" t="str">
        <f ca="1">IFERROR(__xludf.DUMMYFUNCTION("""COMPUTED_VALUE"""),"https://storage.googleapis.com/glide-prod.appspot.com/uploads-v2/ly7o78grxPaC6KdgvbpS/pub/3aRdSog0vUtuqPE8AJKD.png")</f>
        <v>https://storage.googleapis.com/glide-prod.appspot.com/uploads-v2/ly7o78grxPaC6KdgvbpS/pub/3aRdSog0vUtuqPE8AJKD.png</v>
      </c>
      <c r="U768" s="5" t="str">
        <f ca="1">IFERROR(__xludf.DUMMYFUNCTION("""COMPUTED_VALUE"""),"LINEA DE ENVASADO PET NO RETORNABLELLENADORA")</f>
        <v>LINEA DE ENVASADO PET NO RETORNABLELLENADORA</v>
      </c>
      <c r="V768" s="5"/>
      <c r="W768" s="5" t="b">
        <f ca="1">IFERROR(__xludf.DUMMYFUNCTION("""COMPUTED_VALUE"""),TRUE)</f>
        <v>1</v>
      </c>
      <c r="X768" s="5" t="str">
        <f ca="1">IFERROR(__xludf.DUMMYFUNCTION("""COMPUTED_VALUE"""),"wguerra@postobon.com.co,aprmttoyu@postobon.com.co,aprmyu@postobon.com.co,wmora@postobon.com.co,efzapata@postobon.com.co")</f>
        <v>wguerra@postobon.com.co,aprmttoyu@postobon.com.co,aprmyu@postobon.com.co,wmora@postobon.com.co,efzapata@postobon.com.co</v>
      </c>
      <c r="Y768" s="5" t="str">
        <f ca="1">IFERROR(__xludf.DUMMYFUNCTION("""COMPUTED_VALUE"""),"wguerra@postobon.com.co")</f>
        <v>wguerra@postobon.com.co</v>
      </c>
      <c r="Z768" s="5" t="str">
        <f ca="1">IFERROR(__xludf.DUMMYFUNCTION("""COMPUTED_VALUE"""),"WXU4LfNkQ9i9MdAlOE4B2g")</f>
        <v>WXU4LfNkQ9i9MdAlOE4B2g</v>
      </c>
      <c r="AA768" s="5"/>
      <c r="AB768" s="5"/>
      <c r="AC768" s="5"/>
      <c r="AD768" s="5">
        <f ca="1">IFERROR(__xludf.DUMMYFUNCTION("""COMPUTED_VALUE"""),30)</f>
        <v>30</v>
      </c>
      <c r="AE768" s="5">
        <f ca="1">IFERROR(__xludf.DUMMYFUNCTION("""COMPUTED_VALUE"""),30)</f>
        <v>30</v>
      </c>
      <c r="AF768" s="5" t="b">
        <f ca="1">IFERROR(__xludf.DUMMYFUNCTION("""COMPUTED_VALUE"""),FALSE)</f>
        <v>0</v>
      </c>
      <c r="AG768" s="5" t="str">
        <f ca="1">IFERROR(__xludf.DUMMYFUNCTION("""COMPUTED_VALUE"""),"INSPECCIONES REALIZADAS")</f>
        <v>INSPECCIONES REALIZADAS</v>
      </c>
      <c r="AH768" s="5"/>
    </row>
    <row r="769" spans="1:34">
      <c r="A769" s="5" t="str">
        <f ca="1">IFERROR(__xludf.DUMMYFUNCTION("""COMPUTED_VALUE"""),"LINEA DE ENVASADO PET NO RETORNABLE")</f>
        <v>LINEA DE ENVASADO PET NO RETORNABLE</v>
      </c>
      <c r="B769" s="5">
        <f ca="1">IFERROR(__xludf.DUMMYFUNCTION("""COMPUTED_VALUE"""),518635)</f>
        <v>518635</v>
      </c>
      <c r="C769" s="5" t="str">
        <f ca="1">IFERROR(__xludf.DUMMYFUNCTION("""COMPUTED_VALUE"""),"LLENADORA")</f>
        <v>LLENADORA</v>
      </c>
      <c r="D769" s="5">
        <f ca="1">IFERROR(__xludf.DUMMYFUNCTION("""COMPUTED_VALUE"""),13247832)</f>
        <v>13247832</v>
      </c>
      <c r="E769" s="5" t="str">
        <f ca="1">IFERROR(__xludf.DUMMYFUNCTION("""COMPUTED_VALUE"""),"INSPECCION SEMANAL LLENADORA")</f>
        <v>INSPECCION SEMANAL LLENADORA</v>
      </c>
      <c r="F769" s="5" t="str">
        <f ca="1">IFERROR(__xludf.DUMMYFUNCTION("""COMPUTED_VALUE"""),"INSP ROTACION CARRUSE(UNION ROTACION BOLAS)")</f>
        <v>INSP ROTACION CARRUSE(UNION ROTACION BOLAS)</v>
      </c>
      <c r="G769" s="5" t="b">
        <f ca="1">IFERROR(__xludf.DUMMYFUNCTION("""COMPUTED_VALUE"""),TRUE)</f>
        <v>1</v>
      </c>
      <c r="H769" s="5"/>
      <c r="I769" s="5"/>
      <c r="J769" s="5"/>
      <c r="K769" s="5"/>
      <c r="L769" s="18">
        <f ca="1">IFERROR(__xludf.DUMMYFUNCTION("""COMPUTED_VALUE"""),45325)</f>
        <v>45325</v>
      </c>
      <c r="M769" s="18">
        <f ca="1">IFERROR(__xludf.DUMMYFUNCTION("""COMPUTED_VALUE"""),45325)</f>
        <v>45325</v>
      </c>
      <c r="N769" s="5" t="str">
        <f ca="1">IFERROR(__xludf.DUMMYFUNCTION("""COMPUTED_VALUE"""),"FRANCO HERRERA ALEJANDRO")</f>
        <v>FRANCO HERRERA ALEJANDRO</v>
      </c>
      <c r="O769" s="2">
        <f ca="1">IFERROR(__xludf.DUMMYFUNCTION("""COMPUTED_VALUE"""),0.003571429)</f>
        <v>3.5714290000000001E-3</v>
      </c>
      <c r="P769" s="5"/>
      <c r="Q769" s="5" t="str">
        <f ca="1">IFERROR(__xludf.DUMMYFUNCTION("""COMPUTED_VALUE"""),"kB4m0NTwTQI")</f>
        <v>kB4m0NTwTQI</v>
      </c>
      <c r="R769" s="5">
        <f ca="1">IFERROR(__xludf.DUMMYFUNCTION("""COMPUTED_VALUE"""),410)</f>
        <v>410</v>
      </c>
      <c r="S769" s="62">
        <f ca="1">IFERROR(__xludf.DUMMYFUNCTION("""COMPUTED_VALUE"""),0.003571429)</f>
        <v>3.5714290000000001E-3</v>
      </c>
      <c r="T769" s="63" t="str">
        <f ca="1">IFERROR(__xludf.DUMMYFUNCTION("""COMPUTED_VALUE"""),"https://storage.googleapis.com/glide-prod.appspot.com/uploads-v2/ly7o78grxPaC6KdgvbpS/pub/3aRdSog0vUtuqPE8AJKD.png")</f>
        <v>https://storage.googleapis.com/glide-prod.appspot.com/uploads-v2/ly7o78grxPaC6KdgvbpS/pub/3aRdSog0vUtuqPE8AJKD.png</v>
      </c>
      <c r="U769" s="5" t="str">
        <f ca="1">IFERROR(__xludf.DUMMYFUNCTION("""COMPUTED_VALUE"""),"LINEA DE ENVASADO PET NO RETORNABLELLENADORA")</f>
        <v>LINEA DE ENVASADO PET NO RETORNABLELLENADORA</v>
      </c>
      <c r="V769" s="5"/>
      <c r="W769" s="5" t="b">
        <f ca="1">IFERROR(__xludf.DUMMYFUNCTION("""COMPUTED_VALUE"""),TRUE)</f>
        <v>1</v>
      </c>
      <c r="X769" s="5" t="str">
        <f ca="1">IFERROR(__xludf.DUMMYFUNCTION("""COMPUTED_VALUE"""),"wguerra@postobon.com.co,aprmttoyu@postobon.com.co,aprmyu@postobon.com.co,wmora@postobon.com.co,efzapata@postobon.com.co")</f>
        <v>wguerra@postobon.com.co,aprmttoyu@postobon.com.co,aprmyu@postobon.com.co,wmora@postobon.com.co,efzapata@postobon.com.co</v>
      </c>
      <c r="Y769" s="5" t="str">
        <f ca="1">IFERROR(__xludf.DUMMYFUNCTION("""COMPUTED_VALUE"""),"wguerra@postobon.com.co")</f>
        <v>wguerra@postobon.com.co</v>
      </c>
      <c r="Z769" s="5" t="str">
        <f ca="1">IFERROR(__xludf.DUMMYFUNCTION("""COMPUTED_VALUE"""),"QIokY8v9Tc6hPBaS5kpSUw")</f>
        <v>QIokY8v9Tc6hPBaS5kpSUw</v>
      </c>
      <c r="AA769" s="5"/>
      <c r="AB769" s="5"/>
      <c r="AC769" s="5"/>
      <c r="AD769" s="5">
        <f ca="1">IFERROR(__xludf.DUMMYFUNCTION("""COMPUTED_VALUE"""),30)</f>
        <v>30</v>
      </c>
      <c r="AE769" s="5">
        <f ca="1">IFERROR(__xludf.DUMMYFUNCTION("""COMPUTED_VALUE"""),30)</f>
        <v>30</v>
      </c>
      <c r="AF769" s="5" t="b">
        <f ca="1">IFERROR(__xludf.DUMMYFUNCTION("""COMPUTED_VALUE"""),FALSE)</f>
        <v>0</v>
      </c>
      <c r="AG769" s="5" t="str">
        <f ca="1">IFERROR(__xludf.DUMMYFUNCTION("""COMPUTED_VALUE"""),"INSPECCIONES REALIZADAS")</f>
        <v>INSPECCIONES REALIZADAS</v>
      </c>
      <c r="AH769" s="5"/>
    </row>
    <row r="770" spans="1:34">
      <c r="A770" s="5" t="str">
        <f ca="1">IFERROR(__xludf.DUMMYFUNCTION("""COMPUTED_VALUE"""),"LINEA DE ENVASADO PET NO RETORNABLE")</f>
        <v>LINEA DE ENVASADO PET NO RETORNABLE</v>
      </c>
      <c r="B770" s="5">
        <f ca="1">IFERROR(__xludf.DUMMYFUNCTION("""COMPUTED_VALUE"""),518635)</f>
        <v>518635</v>
      </c>
      <c r="C770" s="5" t="str">
        <f ca="1">IFERROR(__xludf.DUMMYFUNCTION("""COMPUTED_VALUE"""),"LLENADORA")</f>
        <v>LLENADORA</v>
      </c>
      <c r="D770" s="5">
        <f ca="1">IFERROR(__xludf.DUMMYFUNCTION("""COMPUTED_VALUE"""),13247832)</f>
        <v>13247832</v>
      </c>
      <c r="E770" s="5" t="str">
        <f ca="1">IFERROR(__xludf.DUMMYFUNCTION("""COMPUTED_VALUE"""),"INSPECCION SEMANAL LLENADORA")</f>
        <v>INSPECCION SEMANAL LLENADORA</v>
      </c>
      <c r="F770" s="5" t="str">
        <f ca="1">IFERROR(__xludf.DUMMYFUNCTION("""COMPUTED_VALUE"""),"TUBERIAS Y ACCESORIOS")</f>
        <v>TUBERIAS Y ACCESORIOS</v>
      </c>
      <c r="G770" s="5" t="b">
        <f ca="1">IFERROR(__xludf.DUMMYFUNCTION("""COMPUTED_VALUE"""),TRUE)</f>
        <v>1</v>
      </c>
      <c r="H770" s="5"/>
      <c r="I770" s="5"/>
      <c r="J770" s="5"/>
      <c r="K770" s="5"/>
      <c r="L770" s="18">
        <f ca="1">IFERROR(__xludf.DUMMYFUNCTION("""COMPUTED_VALUE"""),45325)</f>
        <v>45325</v>
      </c>
      <c r="M770" s="18">
        <f ca="1">IFERROR(__xludf.DUMMYFUNCTION("""COMPUTED_VALUE"""),45325)</f>
        <v>45325</v>
      </c>
      <c r="N770" s="5" t="str">
        <f ca="1">IFERROR(__xludf.DUMMYFUNCTION("""COMPUTED_VALUE"""),"FRANCO HERRERA ALEJANDRO")</f>
        <v>FRANCO HERRERA ALEJANDRO</v>
      </c>
      <c r="O770" s="2">
        <f ca="1">IFERROR(__xludf.DUMMYFUNCTION("""COMPUTED_VALUE"""),0.003571429)</f>
        <v>3.5714290000000001E-3</v>
      </c>
      <c r="P770" s="5"/>
      <c r="Q770" s="5" t="str">
        <f ca="1">IFERROR(__xludf.DUMMYFUNCTION("""COMPUTED_VALUE"""),"IAgv8FKLUHM")</f>
        <v>IAgv8FKLUHM</v>
      </c>
      <c r="R770" s="5">
        <f ca="1">IFERROR(__xludf.DUMMYFUNCTION("""COMPUTED_VALUE"""),410)</f>
        <v>410</v>
      </c>
      <c r="S770" s="62">
        <f ca="1">IFERROR(__xludf.DUMMYFUNCTION("""COMPUTED_VALUE"""),0.003571429)</f>
        <v>3.5714290000000001E-3</v>
      </c>
      <c r="T770" s="63" t="str">
        <f ca="1">IFERROR(__xludf.DUMMYFUNCTION("""COMPUTED_VALUE"""),"https://storage.googleapis.com/glide-prod.appspot.com/uploads-v2/ly7o78grxPaC6KdgvbpS/pub/3aRdSog0vUtuqPE8AJKD.png")</f>
        <v>https://storage.googleapis.com/glide-prod.appspot.com/uploads-v2/ly7o78grxPaC6KdgvbpS/pub/3aRdSog0vUtuqPE8AJKD.png</v>
      </c>
      <c r="U770" s="5" t="str">
        <f ca="1">IFERROR(__xludf.DUMMYFUNCTION("""COMPUTED_VALUE"""),"LINEA DE ENVASADO PET NO RETORNABLELLENADORA")</f>
        <v>LINEA DE ENVASADO PET NO RETORNABLELLENADORA</v>
      </c>
      <c r="V770" s="5"/>
      <c r="W770" s="5" t="b">
        <f ca="1">IFERROR(__xludf.DUMMYFUNCTION("""COMPUTED_VALUE"""),TRUE)</f>
        <v>1</v>
      </c>
      <c r="X770" s="5" t="str">
        <f ca="1">IFERROR(__xludf.DUMMYFUNCTION("""COMPUTED_VALUE"""),"wguerra@postobon.com.co,aprmttoyu@postobon.com.co,aprmyu@postobon.com.co,wmora@postobon.com.co,efzapata@postobon.com.co")</f>
        <v>wguerra@postobon.com.co,aprmttoyu@postobon.com.co,aprmyu@postobon.com.co,wmora@postobon.com.co,efzapata@postobon.com.co</v>
      </c>
      <c r="Y770" s="5" t="str">
        <f ca="1">IFERROR(__xludf.DUMMYFUNCTION("""COMPUTED_VALUE"""),"wguerra@postobon.com.co")</f>
        <v>wguerra@postobon.com.co</v>
      </c>
      <c r="Z770" s="5" t="str">
        <f ca="1">IFERROR(__xludf.DUMMYFUNCTION("""COMPUTED_VALUE"""),"01U4YvfLS9uYTOaxoPmE9A")</f>
        <v>01U4YvfLS9uYTOaxoPmE9A</v>
      </c>
      <c r="AA770" s="5"/>
      <c r="AB770" s="5"/>
      <c r="AC770" s="5"/>
      <c r="AD770" s="5">
        <f ca="1">IFERROR(__xludf.DUMMYFUNCTION("""COMPUTED_VALUE"""),30)</f>
        <v>30</v>
      </c>
      <c r="AE770" s="5">
        <f ca="1">IFERROR(__xludf.DUMMYFUNCTION("""COMPUTED_VALUE"""),30)</f>
        <v>30</v>
      </c>
      <c r="AF770" s="5" t="b">
        <f ca="1">IFERROR(__xludf.DUMMYFUNCTION("""COMPUTED_VALUE"""),FALSE)</f>
        <v>0</v>
      </c>
      <c r="AG770" s="5" t="str">
        <f ca="1">IFERROR(__xludf.DUMMYFUNCTION("""COMPUTED_VALUE"""),"INSPECCIONES REALIZADAS")</f>
        <v>INSPECCIONES REALIZADAS</v>
      </c>
      <c r="AH770" s="5"/>
    </row>
    <row r="771" spans="1:34">
      <c r="A771" s="5" t="str">
        <f ca="1">IFERROR(__xludf.DUMMYFUNCTION("""COMPUTED_VALUE"""),"LINEA DE ENVASADO PET NO RETORNABLE")</f>
        <v>LINEA DE ENVASADO PET NO RETORNABLE</v>
      </c>
      <c r="B771" s="5">
        <f ca="1">IFERROR(__xludf.DUMMYFUNCTION("""COMPUTED_VALUE"""),518635)</f>
        <v>518635</v>
      </c>
      <c r="C771" s="5" t="str">
        <f ca="1">IFERROR(__xludf.DUMMYFUNCTION("""COMPUTED_VALUE"""),"LLENADORA")</f>
        <v>LLENADORA</v>
      </c>
      <c r="D771" s="5">
        <f ca="1">IFERROR(__xludf.DUMMYFUNCTION("""COMPUTED_VALUE"""),13247832)</f>
        <v>13247832</v>
      </c>
      <c r="E771" s="5" t="str">
        <f ca="1">IFERROR(__xludf.DUMMYFUNCTION("""COMPUTED_VALUE"""),"INSPECCION SEMANAL LLENADORA")</f>
        <v>INSPECCION SEMANAL LLENADORA</v>
      </c>
      <c r="F771" s="5" t="str">
        <f ca="1">IFERROR(__xludf.DUMMYFUNCTION("""COMPUTED_VALUE"""),"TRANSMISION PPAL(ARBOL)/MOTORES")</f>
        <v>TRANSMISION PPAL(ARBOL)/MOTORES</v>
      </c>
      <c r="G771" s="5" t="b">
        <f ca="1">IFERROR(__xludf.DUMMYFUNCTION("""COMPUTED_VALUE"""),TRUE)</f>
        <v>1</v>
      </c>
      <c r="H771" s="5"/>
      <c r="I771" s="5"/>
      <c r="J771" s="5"/>
      <c r="K771" s="5"/>
      <c r="L771" s="18">
        <f ca="1">IFERROR(__xludf.DUMMYFUNCTION("""COMPUTED_VALUE"""),45325)</f>
        <v>45325</v>
      </c>
      <c r="M771" s="18">
        <f ca="1">IFERROR(__xludf.DUMMYFUNCTION("""COMPUTED_VALUE"""),45325)</f>
        <v>45325</v>
      </c>
      <c r="N771" s="5" t="str">
        <f ca="1">IFERROR(__xludf.DUMMYFUNCTION("""COMPUTED_VALUE"""),"FRANCO HERRERA ALEJANDRO")</f>
        <v>FRANCO HERRERA ALEJANDRO</v>
      </c>
      <c r="O771" s="2">
        <f ca="1">IFERROR(__xludf.DUMMYFUNCTION("""COMPUTED_VALUE"""),0.003571429)</f>
        <v>3.5714290000000001E-3</v>
      </c>
      <c r="P771" s="5"/>
      <c r="Q771" s="5" t="str">
        <f ca="1">IFERROR(__xludf.DUMMYFUNCTION("""COMPUTED_VALUE"""),"iVOrVLfuJLM")</f>
        <v>iVOrVLfuJLM</v>
      </c>
      <c r="R771" s="5">
        <f ca="1">IFERROR(__xludf.DUMMYFUNCTION("""COMPUTED_VALUE"""),410)</f>
        <v>410</v>
      </c>
      <c r="S771" s="62">
        <f ca="1">IFERROR(__xludf.DUMMYFUNCTION("""COMPUTED_VALUE"""),0.003571429)</f>
        <v>3.5714290000000001E-3</v>
      </c>
      <c r="T771" s="63" t="str">
        <f ca="1">IFERROR(__xludf.DUMMYFUNCTION("""COMPUTED_VALUE"""),"https://storage.googleapis.com/glide-prod.appspot.com/uploads-v2/ly7o78grxPaC6KdgvbpS/pub/3aRdSog0vUtuqPE8AJKD.png")</f>
        <v>https://storage.googleapis.com/glide-prod.appspot.com/uploads-v2/ly7o78grxPaC6KdgvbpS/pub/3aRdSog0vUtuqPE8AJKD.png</v>
      </c>
      <c r="U771" s="5" t="str">
        <f ca="1">IFERROR(__xludf.DUMMYFUNCTION("""COMPUTED_VALUE"""),"LINEA DE ENVASADO PET NO RETORNABLELLENADORA")</f>
        <v>LINEA DE ENVASADO PET NO RETORNABLELLENADORA</v>
      </c>
      <c r="V771" s="5"/>
      <c r="W771" s="5" t="b">
        <f ca="1">IFERROR(__xludf.DUMMYFUNCTION("""COMPUTED_VALUE"""),TRUE)</f>
        <v>1</v>
      </c>
      <c r="X771" s="5" t="str">
        <f ca="1">IFERROR(__xludf.DUMMYFUNCTION("""COMPUTED_VALUE"""),"wguerra@postobon.com.co,aprmttoyu@postobon.com.co,aprmyu@postobon.com.co,wmora@postobon.com.co,efzapata@postobon.com.co")</f>
        <v>wguerra@postobon.com.co,aprmttoyu@postobon.com.co,aprmyu@postobon.com.co,wmora@postobon.com.co,efzapata@postobon.com.co</v>
      </c>
      <c r="Y771" s="5" t="str">
        <f ca="1">IFERROR(__xludf.DUMMYFUNCTION("""COMPUTED_VALUE"""),"wguerra@postobon.com.co")</f>
        <v>wguerra@postobon.com.co</v>
      </c>
      <c r="Z771" s="5" t="str">
        <f ca="1">IFERROR(__xludf.DUMMYFUNCTION("""COMPUTED_VALUE"""),"6MMwr4hFSFOMrV9QiLP9jQ")</f>
        <v>6MMwr4hFSFOMrV9QiLP9jQ</v>
      </c>
      <c r="AA771" s="5"/>
      <c r="AB771" s="5"/>
      <c r="AC771" s="5"/>
      <c r="AD771" s="5">
        <f ca="1">IFERROR(__xludf.DUMMYFUNCTION("""COMPUTED_VALUE"""),30)</f>
        <v>30</v>
      </c>
      <c r="AE771" s="5">
        <f ca="1">IFERROR(__xludf.DUMMYFUNCTION("""COMPUTED_VALUE"""),30)</f>
        <v>30</v>
      </c>
      <c r="AF771" s="5" t="b">
        <f ca="1">IFERROR(__xludf.DUMMYFUNCTION("""COMPUTED_VALUE"""),FALSE)</f>
        <v>0</v>
      </c>
      <c r="AG771" s="5" t="str">
        <f ca="1">IFERROR(__xludf.DUMMYFUNCTION("""COMPUTED_VALUE"""),"INSPECCIONES REALIZADAS")</f>
        <v>INSPECCIONES REALIZADAS</v>
      </c>
      <c r="AH771" s="5"/>
    </row>
    <row r="772" spans="1:34">
      <c r="A772" s="5" t="str">
        <f ca="1">IFERROR(__xludf.DUMMYFUNCTION("""COMPUTED_VALUE"""),"LINEA DE ENVASADO PET NO RETORNABLE")</f>
        <v>LINEA DE ENVASADO PET NO RETORNABLE</v>
      </c>
      <c r="B772" s="5">
        <f ca="1">IFERROR(__xludf.DUMMYFUNCTION("""COMPUTED_VALUE"""),518635)</f>
        <v>518635</v>
      </c>
      <c r="C772" s="5" t="str">
        <f ca="1">IFERROR(__xludf.DUMMYFUNCTION("""COMPUTED_VALUE"""),"LLENADORA")</f>
        <v>LLENADORA</v>
      </c>
      <c r="D772" s="5">
        <f ca="1">IFERROR(__xludf.DUMMYFUNCTION("""COMPUTED_VALUE"""),13247832)</f>
        <v>13247832</v>
      </c>
      <c r="E772" s="5" t="str">
        <f ca="1">IFERROR(__xludf.DUMMYFUNCTION("""COMPUTED_VALUE"""),"INSPECCION SEMANAL LLENADORA")</f>
        <v>INSPECCION SEMANAL LLENADORA</v>
      </c>
      <c r="F772" s="5" t="str">
        <f ca="1">IFERROR(__xludf.DUMMYFUNCTION("""COMPUTED_VALUE"""),"Equipo electrico/electronico")</f>
        <v>Equipo electrico/electronico</v>
      </c>
      <c r="G772" s="5" t="b">
        <f ca="1">IFERROR(__xludf.DUMMYFUNCTION("""COMPUTED_VALUE"""),TRUE)</f>
        <v>1</v>
      </c>
      <c r="H772" s="5"/>
      <c r="I772" s="5"/>
      <c r="J772" s="5"/>
      <c r="K772" s="5"/>
      <c r="L772" s="18">
        <f ca="1">IFERROR(__xludf.DUMMYFUNCTION("""COMPUTED_VALUE"""),45325)</f>
        <v>45325</v>
      </c>
      <c r="M772" s="18">
        <f ca="1">IFERROR(__xludf.DUMMYFUNCTION("""COMPUTED_VALUE"""),45325)</f>
        <v>45325</v>
      </c>
      <c r="N772" s="5" t="str">
        <f ca="1">IFERROR(__xludf.DUMMYFUNCTION("""COMPUTED_VALUE"""),"FRANCO HERRERA ALEJANDRO")</f>
        <v>FRANCO HERRERA ALEJANDRO</v>
      </c>
      <c r="O772" s="2">
        <f ca="1">IFERROR(__xludf.DUMMYFUNCTION("""COMPUTED_VALUE"""),0.003571429)</f>
        <v>3.5714290000000001E-3</v>
      </c>
      <c r="P772" s="5"/>
      <c r="Q772" s="5" t="str">
        <f ca="1">IFERROR(__xludf.DUMMYFUNCTION("""COMPUTED_VALUE"""),"IbD9xR0nH2Y")</f>
        <v>IbD9xR0nH2Y</v>
      </c>
      <c r="R772" s="5">
        <f ca="1">IFERROR(__xludf.DUMMYFUNCTION("""COMPUTED_VALUE"""),410)</f>
        <v>410</v>
      </c>
      <c r="S772" s="62">
        <f ca="1">IFERROR(__xludf.DUMMYFUNCTION("""COMPUTED_VALUE"""),0.003571429)</f>
        <v>3.5714290000000001E-3</v>
      </c>
      <c r="T772" s="63" t="str">
        <f ca="1">IFERROR(__xludf.DUMMYFUNCTION("""COMPUTED_VALUE"""),"https://storage.googleapis.com/glide-prod.appspot.com/uploads-v2/ly7o78grxPaC6KdgvbpS/pub/3aRdSog0vUtuqPE8AJKD.png")</f>
        <v>https://storage.googleapis.com/glide-prod.appspot.com/uploads-v2/ly7o78grxPaC6KdgvbpS/pub/3aRdSog0vUtuqPE8AJKD.png</v>
      </c>
      <c r="U772" s="5" t="str">
        <f ca="1">IFERROR(__xludf.DUMMYFUNCTION("""COMPUTED_VALUE"""),"LINEA DE ENVASADO PET NO RETORNABLELLENADORA")</f>
        <v>LINEA DE ENVASADO PET NO RETORNABLELLENADORA</v>
      </c>
      <c r="V772" s="5"/>
      <c r="W772" s="5" t="b">
        <f ca="1">IFERROR(__xludf.DUMMYFUNCTION("""COMPUTED_VALUE"""),TRUE)</f>
        <v>1</v>
      </c>
      <c r="X772" s="5" t="str">
        <f ca="1">IFERROR(__xludf.DUMMYFUNCTION("""COMPUTED_VALUE"""),"wguerra@postobon.com.co,aprmttoyu@postobon.com.co,aprmyu@postobon.com.co,wmora@postobon.com.co,efzapata@postobon.com.co")</f>
        <v>wguerra@postobon.com.co,aprmttoyu@postobon.com.co,aprmyu@postobon.com.co,wmora@postobon.com.co,efzapata@postobon.com.co</v>
      </c>
      <c r="Y772" s="5" t="str">
        <f ca="1">IFERROR(__xludf.DUMMYFUNCTION("""COMPUTED_VALUE"""),"wguerra@postobon.com.co")</f>
        <v>wguerra@postobon.com.co</v>
      </c>
      <c r="Z772" s="5" t="str">
        <f ca="1">IFERROR(__xludf.DUMMYFUNCTION("""COMPUTED_VALUE"""),"k83CcWksRy-cxAxZQmcFnA")</f>
        <v>k83CcWksRy-cxAxZQmcFnA</v>
      </c>
      <c r="AA772" s="5"/>
      <c r="AB772" s="5"/>
      <c r="AC772" s="5"/>
      <c r="AD772" s="5">
        <f ca="1">IFERROR(__xludf.DUMMYFUNCTION("""COMPUTED_VALUE"""),30)</f>
        <v>30</v>
      </c>
      <c r="AE772" s="5">
        <f ca="1">IFERROR(__xludf.DUMMYFUNCTION("""COMPUTED_VALUE"""),30)</f>
        <v>30</v>
      </c>
      <c r="AF772" s="5" t="b">
        <f ca="1">IFERROR(__xludf.DUMMYFUNCTION("""COMPUTED_VALUE"""),FALSE)</f>
        <v>0</v>
      </c>
      <c r="AG772" s="5" t="str">
        <f ca="1">IFERROR(__xludf.DUMMYFUNCTION("""COMPUTED_VALUE"""),"INSPECCIONES REALIZADAS")</f>
        <v>INSPECCIONES REALIZADAS</v>
      </c>
      <c r="AH772" s="5"/>
    </row>
    <row r="773" spans="1:34">
      <c r="A773" s="5" t="str">
        <f ca="1">IFERROR(__xludf.DUMMYFUNCTION("""COMPUTED_VALUE"""),"LINEA DE ENVASADO PET NO RETORNABLE")</f>
        <v>LINEA DE ENVASADO PET NO RETORNABLE</v>
      </c>
      <c r="B773" s="5">
        <f ca="1">IFERROR(__xludf.DUMMYFUNCTION("""COMPUTED_VALUE"""),518635)</f>
        <v>518635</v>
      </c>
      <c r="C773" s="5" t="str">
        <f ca="1">IFERROR(__xludf.DUMMYFUNCTION("""COMPUTED_VALUE"""),"LLENADORA")</f>
        <v>LLENADORA</v>
      </c>
      <c r="D773" s="5">
        <f ca="1">IFERROR(__xludf.DUMMYFUNCTION("""COMPUTED_VALUE"""),13247832)</f>
        <v>13247832</v>
      </c>
      <c r="E773" s="5" t="str">
        <f ca="1">IFERROR(__xludf.DUMMYFUNCTION("""COMPUTED_VALUE"""),"INSPECCION SEMANAL LLENADORA")</f>
        <v>INSPECCION SEMANAL LLENADORA</v>
      </c>
      <c r="F773" s="5" t="str">
        <f ca="1">IFERROR(__xludf.DUMMYFUNCTION("""COMPUTED_VALUE"""),"INSP FILTRO TABLERO ELECTRICO")</f>
        <v>INSP FILTRO TABLERO ELECTRICO</v>
      </c>
      <c r="G773" s="5" t="b">
        <f ca="1">IFERROR(__xludf.DUMMYFUNCTION("""COMPUTED_VALUE"""),TRUE)</f>
        <v>1</v>
      </c>
      <c r="H773" s="5"/>
      <c r="I773" s="5"/>
      <c r="J773" s="5"/>
      <c r="K773" s="5"/>
      <c r="L773" s="18">
        <f ca="1">IFERROR(__xludf.DUMMYFUNCTION("""COMPUTED_VALUE"""),45325)</f>
        <v>45325</v>
      </c>
      <c r="M773" s="18">
        <f ca="1">IFERROR(__xludf.DUMMYFUNCTION("""COMPUTED_VALUE"""),45325)</f>
        <v>45325</v>
      </c>
      <c r="N773" s="5" t="str">
        <f ca="1">IFERROR(__xludf.DUMMYFUNCTION("""COMPUTED_VALUE"""),"FRANCO HERRERA ALEJANDRO")</f>
        <v>FRANCO HERRERA ALEJANDRO</v>
      </c>
      <c r="O773" s="2">
        <f ca="1">IFERROR(__xludf.DUMMYFUNCTION("""COMPUTED_VALUE"""),0.003571429)</f>
        <v>3.5714290000000001E-3</v>
      </c>
      <c r="P773" s="5"/>
      <c r="Q773" s="5" t="str">
        <f ca="1">IFERROR(__xludf.DUMMYFUNCTION("""COMPUTED_VALUE"""),"KDL64GtlsGA")</f>
        <v>KDL64GtlsGA</v>
      </c>
      <c r="R773" s="5">
        <f ca="1">IFERROR(__xludf.DUMMYFUNCTION("""COMPUTED_VALUE"""),410)</f>
        <v>410</v>
      </c>
      <c r="S773" s="62">
        <f ca="1">IFERROR(__xludf.DUMMYFUNCTION("""COMPUTED_VALUE"""),0.003571429)</f>
        <v>3.5714290000000001E-3</v>
      </c>
      <c r="T773" s="63" t="str">
        <f ca="1">IFERROR(__xludf.DUMMYFUNCTION("""COMPUTED_VALUE"""),"https://storage.googleapis.com/glide-prod.appspot.com/uploads-v2/ly7o78grxPaC6KdgvbpS/pub/3aRdSog0vUtuqPE8AJKD.png")</f>
        <v>https://storage.googleapis.com/glide-prod.appspot.com/uploads-v2/ly7o78grxPaC6KdgvbpS/pub/3aRdSog0vUtuqPE8AJKD.png</v>
      </c>
      <c r="U773" s="5" t="str">
        <f ca="1">IFERROR(__xludf.DUMMYFUNCTION("""COMPUTED_VALUE"""),"LINEA DE ENVASADO PET NO RETORNABLELLENADORA")</f>
        <v>LINEA DE ENVASADO PET NO RETORNABLELLENADORA</v>
      </c>
      <c r="V773" s="5"/>
      <c r="W773" s="5" t="b">
        <f ca="1">IFERROR(__xludf.DUMMYFUNCTION("""COMPUTED_VALUE"""),TRUE)</f>
        <v>1</v>
      </c>
      <c r="X773" s="5" t="str">
        <f ca="1">IFERROR(__xludf.DUMMYFUNCTION("""COMPUTED_VALUE"""),"wguerra@postobon.com.co,aprmttoyu@postobon.com.co,aprmyu@postobon.com.co,wmora@postobon.com.co,efzapata@postobon.com.co")</f>
        <v>wguerra@postobon.com.co,aprmttoyu@postobon.com.co,aprmyu@postobon.com.co,wmora@postobon.com.co,efzapata@postobon.com.co</v>
      </c>
      <c r="Y773" s="5" t="str">
        <f ca="1">IFERROR(__xludf.DUMMYFUNCTION("""COMPUTED_VALUE"""),"wguerra@postobon.com.co")</f>
        <v>wguerra@postobon.com.co</v>
      </c>
      <c r="Z773" s="5" t="str">
        <f ca="1">IFERROR(__xludf.DUMMYFUNCTION("""COMPUTED_VALUE"""),"wil2FsR2RUamHKNZ0CJWvQ")</f>
        <v>wil2FsR2RUamHKNZ0CJWvQ</v>
      </c>
      <c r="AA773" s="5"/>
      <c r="AB773" s="5"/>
      <c r="AC773" s="5"/>
      <c r="AD773" s="5">
        <f ca="1">IFERROR(__xludf.DUMMYFUNCTION("""COMPUTED_VALUE"""),30)</f>
        <v>30</v>
      </c>
      <c r="AE773" s="5">
        <f ca="1">IFERROR(__xludf.DUMMYFUNCTION("""COMPUTED_VALUE"""),30)</f>
        <v>30</v>
      </c>
      <c r="AF773" s="5" t="b">
        <f ca="1">IFERROR(__xludf.DUMMYFUNCTION("""COMPUTED_VALUE"""),FALSE)</f>
        <v>0</v>
      </c>
      <c r="AG773" s="5" t="str">
        <f ca="1">IFERROR(__xludf.DUMMYFUNCTION("""COMPUTED_VALUE"""),"INSPECCIONES REALIZADAS")</f>
        <v>INSPECCIONES REALIZADAS</v>
      </c>
      <c r="AH773" s="5"/>
    </row>
    <row r="774" spans="1:34">
      <c r="A774" s="5" t="str">
        <f ca="1">IFERROR(__xludf.DUMMYFUNCTION("""COMPUTED_VALUE"""),"LINEA DE ENVASADO PET NO RETORNABLE")</f>
        <v>LINEA DE ENVASADO PET NO RETORNABLE</v>
      </c>
      <c r="B774" s="5">
        <f ca="1">IFERROR(__xludf.DUMMYFUNCTION("""COMPUTED_VALUE"""),518635)</f>
        <v>518635</v>
      </c>
      <c r="C774" s="5" t="str">
        <f ca="1">IFERROR(__xludf.DUMMYFUNCTION("""COMPUTED_VALUE"""),"LLENADORA")</f>
        <v>LLENADORA</v>
      </c>
      <c r="D774" s="5">
        <f ca="1">IFERROR(__xludf.DUMMYFUNCTION("""COMPUTED_VALUE"""),13247832)</f>
        <v>13247832</v>
      </c>
      <c r="E774" s="5" t="str">
        <f ca="1">IFERROR(__xludf.DUMMYFUNCTION("""COMPUTED_VALUE"""),"INSPECCION SEMANAL LLENADORA")</f>
        <v>INSPECCION SEMANAL LLENADORA</v>
      </c>
      <c r="F774" s="5" t="str">
        <f ca="1">IFERROR(__xludf.DUMMYFUNCTION("""COMPUTED_VALUE"""),"INSP FUN FRENO MOTOR")</f>
        <v>INSP FUN FRENO MOTOR</v>
      </c>
      <c r="G774" s="5" t="b">
        <f ca="1">IFERROR(__xludf.DUMMYFUNCTION("""COMPUTED_VALUE"""),TRUE)</f>
        <v>1</v>
      </c>
      <c r="H774" s="5"/>
      <c r="I774" s="5"/>
      <c r="J774" s="5"/>
      <c r="K774" s="5"/>
      <c r="L774" s="18">
        <f ca="1">IFERROR(__xludf.DUMMYFUNCTION("""COMPUTED_VALUE"""),45325)</f>
        <v>45325</v>
      </c>
      <c r="M774" s="18">
        <f ca="1">IFERROR(__xludf.DUMMYFUNCTION("""COMPUTED_VALUE"""),45325)</f>
        <v>45325</v>
      </c>
      <c r="N774" s="5" t="str">
        <f ca="1">IFERROR(__xludf.DUMMYFUNCTION("""COMPUTED_VALUE"""),"FRANCO HERRERA ALEJANDRO")</f>
        <v>FRANCO HERRERA ALEJANDRO</v>
      </c>
      <c r="O774" s="2">
        <f ca="1">IFERROR(__xludf.DUMMYFUNCTION("""COMPUTED_VALUE"""),0.003571429)</f>
        <v>3.5714290000000001E-3</v>
      </c>
      <c r="P774" s="5"/>
      <c r="Q774" s="5" t="str">
        <f ca="1">IFERROR(__xludf.DUMMYFUNCTION("""COMPUTED_VALUE"""),"gAx1OFNkIIs")</f>
        <v>gAx1OFNkIIs</v>
      </c>
      <c r="R774" s="5">
        <f ca="1">IFERROR(__xludf.DUMMYFUNCTION("""COMPUTED_VALUE"""),410)</f>
        <v>410</v>
      </c>
      <c r="S774" s="62">
        <f ca="1">IFERROR(__xludf.DUMMYFUNCTION("""COMPUTED_VALUE"""),0.003571429)</f>
        <v>3.5714290000000001E-3</v>
      </c>
      <c r="T774" s="63" t="str">
        <f ca="1">IFERROR(__xludf.DUMMYFUNCTION("""COMPUTED_VALUE"""),"https://storage.googleapis.com/glide-prod.appspot.com/uploads-v2/ly7o78grxPaC6KdgvbpS/pub/3aRdSog0vUtuqPE8AJKD.png")</f>
        <v>https://storage.googleapis.com/glide-prod.appspot.com/uploads-v2/ly7o78grxPaC6KdgvbpS/pub/3aRdSog0vUtuqPE8AJKD.png</v>
      </c>
      <c r="U774" s="5" t="str">
        <f ca="1">IFERROR(__xludf.DUMMYFUNCTION("""COMPUTED_VALUE"""),"LINEA DE ENVASADO PET NO RETORNABLELLENADORA")</f>
        <v>LINEA DE ENVASADO PET NO RETORNABLELLENADORA</v>
      </c>
      <c r="V774" s="5"/>
      <c r="W774" s="5" t="b">
        <f ca="1">IFERROR(__xludf.DUMMYFUNCTION("""COMPUTED_VALUE"""),TRUE)</f>
        <v>1</v>
      </c>
      <c r="X774" s="5" t="str">
        <f ca="1">IFERROR(__xludf.DUMMYFUNCTION("""COMPUTED_VALUE"""),"wguerra@postobon.com.co,aprmttoyu@postobon.com.co,aprmyu@postobon.com.co,wmora@postobon.com.co,efzapata@postobon.com.co")</f>
        <v>wguerra@postobon.com.co,aprmttoyu@postobon.com.co,aprmyu@postobon.com.co,wmora@postobon.com.co,efzapata@postobon.com.co</v>
      </c>
      <c r="Y774" s="5" t="str">
        <f ca="1">IFERROR(__xludf.DUMMYFUNCTION("""COMPUTED_VALUE"""),"wguerra@postobon.com.co")</f>
        <v>wguerra@postobon.com.co</v>
      </c>
      <c r="Z774" s="5" t="str">
        <f ca="1">IFERROR(__xludf.DUMMYFUNCTION("""COMPUTED_VALUE"""),"2ULrxmz6TRmOsB5waYlWEA")</f>
        <v>2ULrxmz6TRmOsB5waYlWEA</v>
      </c>
      <c r="AA774" s="5"/>
      <c r="AB774" s="5"/>
      <c r="AC774" s="5"/>
      <c r="AD774" s="5">
        <f ca="1">IFERROR(__xludf.DUMMYFUNCTION("""COMPUTED_VALUE"""),30)</f>
        <v>30</v>
      </c>
      <c r="AE774" s="5">
        <f ca="1">IFERROR(__xludf.DUMMYFUNCTION("""COMPUTED_VALUE"""),30)</f>
        <v>30</v>
      </c>
      <c r="AF774" s="5" t="b">
        <f ca="1">IFERROR(__xludf.DUMMYFUNCTION("""COMPUTED_VALUE"""),FALSE)</f>
        <v>0</v>
      </c>
      <c r="AG774" s="5" t="str">
        <f ca="1">IFERROR(__xludf.DUMMYFUNCTION("""COMPUTED_VALUE"""),"INSPECCIONES REALIZADAS")</f>
        <v>INSPECCIONES REALIZADAS</v>
      </c>
      <c r="AH774" s="5"/>
    </row>
    <row r="775" spans="1:34">
      <c r="A775" s="5" t="str">
        <f ca="1">IFERROR(__xludf.DUMMYFUNCTION("""COMPUTED_VALUE"""),"LINEA DE ENVASADO PET NO RETORNABLE")</f>
        <v>LINEA DE ENVASADO PET NO RETORNABLE</v>
      </c>
      <c r="B775" s="5">
        <f ca="1">IFERROR(__xludf.DUMMYFUNCTION("""COMPUTED_VALUE"""),518635)</f>
        <v>518635</v>
      </c>
      <c r="C775" s="5" t="str">
        <f ca="1">IFERROR(__xludf.DUMMYFUNCTION("""COMPUTED_VALUE"""),"LLENADORA")</f>
        <v>LLENADORA</v>
      </c>
      <c r="D775" s="5">
        <f ca="1">IFERROR(__xludf.DUMMYFUNCTION("""COMPUTED_VALUE"""),13247832)</f>
        <v>13247832</v>
      </c>
      <c r="E775" s="5" t="str">
        <f ca="1">IFERROR(__xludf.DUMMYFUNCTION("""COMPUTED_VALUE"""),"INSPECCION SEMANAL LLENADORA")</f>
        <v>INSPECCION SEMANAL LLENADORA</v>
      </c>
      <c r="F775" s="5" t="str">
        <f ca="1">IFERROR(__xludf.DUMMYFUNCTION("""COMPUTED_VALUE"""),"ESTADO CUERPO PPAL(PUERTAS LATERAL)")</f>
        <v>ESTADO CUERPO PPAL(PUERTAS LATERAL)</v>
      </c>
      <c r="G775" s="5" t="b">
        <f ca="1">IFERROR(__xludf.DUMMYFUNCTION("""COMPUTED_VALUE"""),TRUE)</f>
        <v>1</v>
      </c>
      <c r="H775" s="5"/>
      <c r="I775" s="5"/>
      <c r="J775" s="5"/>
      <c r="K775" s="5"/>
      <c r="L775" s="18">
        <f ca="1">IFERROR(__xludf.DUMMYFUNCTION("""COMPUTED_VALUE"""),45325)</f>
        <v>45325</v>
      </c>
      <c r="M775" s="18">
        <f ca="1">IFERROR(__xludf.DUMMYFUNCTION("""COMPUTED_VALUE"""),45325)</f>
        <v>45325</v>
      </c>
      <c r="N775" s="5" t="str">
        <f ca="1">IFERROR(__xludf.DUMMYFUNCTION("""COMPUTED_VALUE"""),"FRANCO HERRERA ALEJANDRO")</f>
        <v>FRANCO HERRERA ALEJANDRO</v>
      </c>
      <c r="O775" s="2">
        <f ca="1">IFERROR(__xludf.DUMMYFUNCTION("""COMPUTED_VALUE"""),0.003571429)</f>
        <v>3.5714290000000001E-3</v>
      </c>
      <c r="P775" s="5"/>
      <c r="Q775" s="5" t="str">
        <f ca="1">IFERROR(__xludf.DUMMYFUNCTION("""COMPUTED_VALUE"""),"ovKWsUNHD3c")</f>
        <v>ovKWsUNHD3c</v>
      </c>
      <c r="R775" s="5">
        <f ca="1">IFERROR(__xludf.DUMMYFUNCTION("""COMPUTED_VALUE"""),410)</f>
        <v>410</v>
      </c>
      <c r="S775" s="62">
        <f ca="1">IFERROR(__xludf.DUMMYFUNCTION("""COMPUTED_VALUE"""),0.003571429)</f>
        <v>3.5714290000000001E-3</v>
      </c>
      <c r="T775" s="63" t="str">
        <f ca="1">IFERROR(__xludf.DUMMYFUNCTION("""COMPUTED_VALUE"""),"https://storage.googleapis.com/glide-prod.appspot.com/uploads-v2/ly7o78grxPaC6KdgvbpS/pub/3aRdSog0vUtuqPE8AJKD.png")</f>
        <v>https://storage.googleapis.com/glide-prod.appspot.com/uploads-v2/ly7o78grxPaC6KdgvbpS/pub/3aRdSog0vUtuqPE8AJKD.png</v>
      </c>
      <c r="U775" s="5" t="str">
        <f ca="1">IFERROR(__xludf.DUMMYFUNCTION("""COMPUTED_VALUE"""),"LINEA DE ENVASADO PET NO RETORNABLELLENADORA")</f>
        <v>LINEA DE ENVASADO PET NO RETORNABLELLENADORA</v>
      </c>
      <c r="V775" s="5"/>
      <c r="W775" s="5" t="b">
        <f ca="1">IFERROR(__xludf.DUMMYFUNCTION("""COMPUTED_VALUE"""),TRUE)</f>
        <v>1</v>
      </c>
      <c r="X775" s="5" t="str">
        <f ca="1">IFERROR(__xludf.DUMMYFUNCTION("""COMPUTED_VALUE"""),"wguerra@postobon.com.co,aprmttoyu@postobon.com.co,aprmyu@postobon.com.co,wmora@postobon.com.co,efzapata@postobon.com.co")</f>
        <v>wguerra@postobon.com.co,aprmttoyu@postobon.com.co,aprmyu@postobon.com.co,wmora@postobon.com.co,efzapata@postobon.com.co</v>
      </c>
      <c r="Y775" s="5" t="str">
        <f ca="1">IFERROR(__xludf.DUMMYFUNCTION("""COMPUTED_VALUE"""),"wguerra@postobon.com.co")</f>
        <v>wguerra@postobon.com.co</v>
      </c>
      <c r="Z775" s="5" t="str">
        <f ca="1">IFERROR(__xludf.DUMMYFUNCTION("""COMPUTED_VALUE"""),"vzG9TOiZQDiPEP4s3eXwQQ")</f>
        <v>vzG9TOiZQDiPEP4s3eXwQQ</v>
      </c>
      <c r="AA775" s="5"/>
      <c r="AB775" s="5"/>
      <c r="AC775" s="5"/>
      <c r="AD775" s="5">
        <f ca="1">IFERROR(__xludf.DUMMYFUNCTION("""COMPUTED_VALUE"""),30)</f>
        <v>30</v>
      </c>
      <c r="AE775" s="5">
        <f ca="1">IFERROR(__xludf.DUMMYFUNCTION("""COMPUTED_VALUE"""),30)</f>
        <v>30</v>
      </c>
      <c r="AF775" s="5" t="b">
        <f ca="1">IFERROR(__xludf.DUMMYFUNCTION("""COMPUTED_VALUE"""),FALSE)</f>
        <v>0</v>
      </c>
      <c r="AG775" s="5" t="str">
        <f ca="1">IFERROR(__xludf.DUMMYFUNCTION("""COMPUTED_VALUE"""),"INSPECCIONES REALIZADAS")</f>
        <v>INSPECCIONES REALIZADAS</v>
      </c>
      <c r="AH775" s="5"/>
    </row>
    <row r="776" spans="1:34">
      <c r="A776" s="5" t="str">
        <f ca="1">IFERROR(__xludf.DUMMYFUNCTION("""COMPUTED_VALUE"""),"LINEA DE ENVASADO PET NO RETORNABLE")</f>
        <v>LINEA DE ENVASADO PET NO RETORNABLE</v>
      </c>
      <c r="B776" s="5">
        <f ca="1">IFERROR(__xludf.DUMMYFUNCTION("""COMPUTED_VALUE"""),518635)</f>
        <v>518635</v>
      </c>
      <c r="C776" s="5" t="str">
        <f ca="1">IFERROR(__xludf.DUMMYFUNCTION("""COMPUTED_VALUE"""),"LLENADORA")</f>
        <v>LLENADORA</v>
      </c>
      <c r="D776" s="5">
        <f ca="1">IFERROR(__xludf.DUMMYFUNCTION("""COMPUTED_VALUE"""),13247832)</f>
        <v>13247832</v>
      </c>
      <c r="E776" s="5" t="str">
        <f ca="1">IFERROR(__xludf.DUMMYFUNCTION("""COMPUTED_VALUE"""),"INSPECCION SEMANAL LLENADORA")</f>
        <v>INSPECCION SEMANAL LLENADORA</v>
      </c>
      <c r="F776" s="5" t="str">
        <f ca="1">IFERROR(__xludf.DUMMYFUNCTION("""COMPUTED_VALUE"""),"INSP. TABLERO ELECTRICO/CLIMATIZADOR")</f>
        <v>INSP. TABLERO ELECTRICO/CLIMATIZADOR</v>
      </c>
      <c r="G776" s="5" t="b">
        <f ca="1">IFERROR(__xludf.DUMMYFUNCTION("""COMPUTED_VALUE"""),TRUE)</f>
        <v>1</v>
      </c>
      <c r="H776" s="5"/>
      <c r="I776" s="5"/>
      <c r="J776" s="5"/>
      <c r="K776" s="5"/>
      <c r="L776" s="18">
        <f ca="1">IFERROR(__xludf.DUMMYFUNCTION("""COMPUTED_VALUE"""),45325)</f>
        <v>45325</v>
      </c>
      <c r="M776" s="18">
        <f ca="1">IFERROR(__xludf.DUMMYFUNCTION("""COMPUTED_VALUE"""),45325)</f>
        <v>45325</v>
      </c>
      <c r="N776" s="5" t="str">
        <f ca="1">IFERROR(__xludf.DUMMYFUNCTION("""COMPUTED_VALUE"""),"FRANCO HERRERA ALEJANDRO")</f>
        <v>FRANCO HERRERA ALEJANDRO</v>
      </c>
      <c r="O776" s="2">
        <f ca="1">IFERROR(__xludf.DUMMYFUNCTION("""COMPUTED_VALUE"""),0.003571429)</f>
        <v>3.5714290000000001E-3</v>
      </c>
      <c r="P776" s="5"/>
      <c r="Q776" s="5" t="str">
        <f ca="1">IFERROR(__xludf.DUMMYFUNCTION("""COMPUTED_VALUE"""),"fK71mzmSuAg")</f>
        <v>fK71mzmSuAg</v>
      </c>
      <c r="R776" s="5">
        <f ca="1">IFERROR(__xludf.DUMMYFUNCTION("""COMPUTED_VALUE"""),410)</f>
        <v>410</v>
      </c>
      <c r="S776" s="62">
        <f ca="1">IFERROR(__xludf.DUMMYFUNCTION("""COMPUTED_VALUE"""),0.003571429)</f>
        <v>3.5714290000000001E-3</v>
      </c>
      <c r="T776" s="63" t="str">
        <f ca="1">IFERROR(__xludf.DUMMYFUNCTION("""COMPUTED_VALUE"""),"https://storage.googleapis.com/glide-prod.appspot.com/uploads-v2/ly7o78grxPaC6KdgvbpS/pub/3aRdSog0vUtuqPE8AJKD.png")</f>
        <v>https://storage.googleapis.com/glide-prod.appspot.com/uploads-v2/ly7o78grxPaC6KdgvbpS/pub/3aRdSog0vUtuqPE8AJKD.png</v>
      </c>
      <c r="U776" s="5" t="str">
        <f ca="1">IFERROR(__xludf.DUMMYFUNCTION("""COMPUTED_VALUE"""),"LINEA DE ENVASADO PET NO RETORNABLELLENADORA")</f>
        <v>LINEA DE ENVASADO PET NO RETORNABLELLENADORA</v>
      </c>
      <c r="V776" s="5"/>
      <c r="W776" s="5" t="b">
        <f ca="1">IFERROR(__xludf.DUMMYFUNCTION("""COMPUTED_VALUE"""),TRUE)</f>
        <v>1</v>
      </c>
      <c r="X776" s="5" t="str">
        <f ca="1">IFERROR(__xludf.DUMMYFUNCTION("""COMPUTED_VALUE"""),"wguerra@postobon.com.co,aprmttoyu@postobon.com.co,aprmyu@postobon.com.co,wmora@postobon.com.co,efzapata@postobon.com.co")</f>
        <v>wguerra@postobon.com.co,aprmttoyu@postobon.com.co,aprmyu@postobon.com.co,wmora@postobon.com.co,efzapata@postobon.com.co</v>
      </c>
      <c r="Y776" s="5" t="str">
        <f ca="1">IFERROR(__xludf.DUMMYFUNCTION("""COMPUTED_VALUE"""),"wguerra@postobon.com.co")</f>
        <v>wguerra@postobon.com.co</v>
      </c>
      <c r="Z776" s="5" t="str">
        <f ca="1">IFERROR(__xludf.DUMMYFUNCTION("""COMPUTED_VALUE"""),"RgvolsuQS7CwBNmyYuhgWg")</f>
        <v>RgvolsuQS7CwBNmyYuhgWg</v>
      </c>
      <c r="AA776" s="5"/>
      <c r="AB776" s="5"/>
      <c r="AC776" s="5"/>
      <c r="AD776" s="5">
        <f ca="1">IFERROR(__xludf.DUMMYFUNCTION("""COMPUTED_VALUE"""),30)</f>
        <v>30</v>
      </c>
      <c r="AE776" s="5">
        <f ca="1">IFERROR(__xludf.DUMMYFUNCTION("""COMPUTED_VALUE"""),30)</f>
        <v>30</v>
      </c>
      <c r="AF776" s="5" t="b">
        <f ca="1">IFERROR(__xludf.DUMMYFUNCTION("""COMPUTED_VALUE"""),FALSE)</f>
        <v>0</v>
      </c>
      <c r="AG776" s="5" t="str">
        <f ca="1">IFERROR(__xludf.DUMMYFUNCTION("""COMPUTED_VALUE"""),"INSPECCIONES REALIZADAS")</f>
        <v>INSPECCIONES REALIZADAS</v>
      </c>
      <c r="AH776" s="5"/>
    </row>
    <row r="777" spans="1:34">
      <c r="A777" s="5" t="str">
        <f ca="1">IFERROR(__xludf.DUMMYFUNCTION("""COMPUTED_VALUE"""),"LINEA DE ENVASADO PET NO RETORNABLE")</f>
        <v>LINEA DE ENVASADO PET NO RETORNABLE</v>
      </c>
      <c r="B777" s="5">
        <f ca="1">IFERROR(__xludf.DUMMYFUNCTION("""COMPUTED_VALUE"""),518635)</f>
        <v>518635</v>
      </c>
      <c r="C777" s="5" t="str">
        <f ca="1">IFERROR(__xludf.DUMMYFUNCTION("""COMPUTED_VALUE"""),"LLENADORA")</f>
        <v>LLENADORA</v>
      </c>
      <c r="D777" s="5">
        <f ca="1">IFERROR(__xludf.DUMMYFUNCTION("""COMPUTED_VALUE"""),13247832)</f>
        <v>13247832</v>
      </c>
      <c r="E777" s="5" t="str">
        <f ca="1">IFERROR(__xludf.DUMMYFUNCTION("""COMPUTED_VALUE"""),"INSPECCION SEMANAL LLENADORA")</f>
        <v>INSPECCION SEMANAL LLENADORA</v>
      </c>
      <c r="F777" s="5" t="str">
        <f ca="1">IFERROR(__xludf.DUMMYFUNCTION("""COMPUTED_VALUE"""),"FUNC MOTORREDUCTORES TAPONADOR")</f>
        <v>FUNC MOTORREDUCTORES TAPONADOR</v>
      </c>
      <c r="G777" s="5" t="b">
        <f ca="1">IFERROR(__xludf.DUMMYFUNCTION("""COMPUTED_VALUE"""),TRUE)</f>
        <v>1</v>
      </c>
      <c r="H777" s="5"/>
      <c r="I777" s="5"/>
      <c r="J777" s="5"/>
      <c r="K777" s="5"/>
      <c r="L777" s="18">
        <f ca="1">IFERROR(__xludf.DUMMYFUNCTION("""COMPUTED_VALUE"""),45325)</f>
        <v>45325</v>
      </c>
      <c r="M777" s="18">
        <f ca="1">IFERROR(__xludf.DUMMYFUNCTION("""COMPUTED_VALUE"""),45325)</f>
        <v>45325</v>
      </c>
      <c r="N777" s="5" t="str">
        <f ca="1">IFERROR(__xludf.DUMMYFUNCTION("""COMPUTED_VALUE"""),"FRANCO HERRERA ALEJANDRO")</f>
        <v>FRANCO HERRERA ALEJANDRO</v>
      </c>
      <c r="O777" s="2">
        <f ca="1">IFERROR(__xludf.DUMMYFUNCTION("""COMPUTED_VALUE"""),0.003571429)</f>
        <v>3.5714290000000001E-3</v>
      </c>
      <c r="P777" s="5"/>
      <c r="Q777" s="5" t="str">
        <f ca="1">IFERROR(__xludf.DUMMYFUNCTION("""COMPUTED_VALUE"""),"BhC--5IZVSA")</f>
        <v>BhC--5IZVSA</v>
      </c>
      <c r="R777" s="5">
        <f ca="1">IFERROR(__xludf.DUMMYFUNCTION("""COMPUTED_VALUE"""),410)</f>
        <v>410</v>
      </c>
      <c r="S777" s="62">
        <f ca="1">IFERROR(__xludf.DUMMYFUNCTION("""COMPUTED_VALUE"""),0.003571429)</f>
        <v>3.5714290000000001E-3</v>
      </c>
      <c r="T777" s="63" t="str">
        <f ca="1">IFERROR(__xludf.DUMMYFUNCTION("""COMPUTED_VALUE"""),"https://storage.googleapis.com/glide-prod.appspot.com/uploads-v2/ly7o78grxPaC6KdgvbpS/pub/3aRdSog0vUtuqPE8AJKD.png")</f>
        <v>https://storage.googleapis.com/glide-prod.appspot.com/uploads-v2/ly7o78grxPaC6KdgvbpS/pub/3aRdSog0vUtuqPE8AJKD.png</v>
      </c>
      <c r="U777" s="5" t="str">
        <f ca="1">IFERROR(__xludf.DUMMYFUNCTION("""COMPUTED_VALUE"""),"LINEA DE ENVASADO PET NO RETORNABLELLENADORA")</f>
        <v>LINEA DE ENVASADO PET NO RETORNABLELLENADORA</v>
      </c>
      <c r="V777" s="5"/>
      <c r="W777" s="5" t="b">
        <f ca="1">IFERROR(__xludf.DUMMYFUNCTION("""COMPUTED_VALUE"""),TRUE)</f>
        <v>1</v>
      </c>
      <c r="X777" s="5" t="str">
        <f ca="1">IFERROR(__xludf.DUMMYFUNCTION("""COMPUTED_VALUE"""),"wguerra@postobon.com.co,aprmttoyu@postobon.com.co,aprmyu@postobon.com.co,wmora@postobon.com.co,efzapata@postobon.com.co")</f>
        <v>wguerra@postobon.com.co,aprmttoyu@postobon.com.co,aprmyu@postobon.com.co,wmora@postobon.com.co,efzapata@postobon.com.co</v>
      </c>
      <c r="Y777" s="5" t="str">
        <f ca="1">IFERROR(__xludf.DUMMYFUNCTION("""COMPUTED_VALUE"""),"wguerra@postobon.com.co")</f>
        <v>wguerra@postobon.com.co</v>
      </c>
      <c r="Z777" s="5" t="str">
        <f ca="1">IFERROR(__xludf.DUMMYFUNCTION("""COMPUTED_VALUE"""),"weSRecSIQ3isU2v4r-HbVw")</f>
        <v>weSRecSIQ3isU2v4r-HbVw</v>
      </c>
      <c r="AA777" s="5"/>
      <c r="AB777" s="5"/>
      <c r="AC777" s="5"/>
      <c r="AD777" s="5">
        <f ca="1">IFERROR(__xludf.DUMMYFUNCTION("""COMPUTED_VALUE"""),30)</f>
        <v>30</v>
      </c>
      <c r="AE777" s="5">
        <f ca="1">IFERROR(__xludf.DUMMYFUNCTION("""COMPUTED_VALUE"""),30)</f>
        <v>30</v>
      </c>
      <c r="AF777" s="5" t="b">
        <f ca="1">IFERROR(__xludf.DUMMYFUNCTION("""COMPUTED_VALUE"""),FALSE)</f>
        <v>0</v>
      </c>
      <c r="AG777" s="5" t="str">
        <f ca="1">IFERROR(__xludf.DUMMYFUNCTION("""COMPUTED_VALUE"""),"INSPECCIONES REALIZADAS")</f>
        <v>INSPECCIONES REALIZADAS</v>
      </c>
      <c r="AH777" s="5"/>
    </row>
    <row r="778" spans="1:34">
      <c r="A778" s="5" t="str">
        <f ca="1">IFERROR(__xludf.DUMMYFUNCTION("""COMPUTED_VALUE"""),"LINEA DE ENVASADO PET NO RETORNABLE")</f>
        <v>LINEA DE ENVASADO PET NO RETORNABLE</v>
      </c>
      <c r="B778" s="5">
        <f ca="1">IFERROR(__xludf.DUMMYFUNCTION("""COMPUTED_VALUE"""),518635)</f>
        <v>518635</v>
      </c>
      <c r="C778" s="5" t="str">
        <f ca="1">IFERROR(__xludf.DUMMYFUNCTION("""COMPUTED_VALUE"""),"LLENADORA")</f>
        <v>LLENADORA</v>
      </c>
      <c r="D778" s="5">
        <f ca="1">IFERROR(__xludf.DUMMYFUNCTION("""COMPUTED_VALUE"""),13247832)</f>
        <v>13247832</v>
      </c>
      <c r="E778" s="5" t="str">
        <f ca="1">IFERROR(__xludf.DUMMYFUNCTION("""COMPUTED_VALUE"""),"INSPECCION SEMANAL LLENADORA")</f>
        <v>INSPECCION SEMANAL LLENADORA</v>
      </c>
      <c r="F778" s="5" t="str">
        <f ca="1">IFERROR(__xludf.DUMMYFUNCTION("""COMPUTED_VALUE"""),"ESTADO BANDAS ALIMENTACION TAPONADOR")</f>
        <v>ESTADO BANDAS ALIMENTACION TAPONADOR</v>
      </c>
      <c r="G778" s="5" t="b">
        <f ca="1">IFERROR(__xludf.DUMMYFUNCTION("""COMPUTED_VALUE"""),TRUE)</f>
        <v>1</v>
      </c>
      <c r="H778" s="5"/>
      <c r="I778" s="5"/>
      <c r="J778" s="5"/>
      <c r="K778" s="5"/>
      <c r="L778" s="18">
        <f ca="1">IFERROR(__xludf.DUMMYFUNCTION("""COMPUTED_VALUE"""),45325)</f>
        <v>45325</v>
      </c>
      <c r="M778" s="18">
        <f ca="1">IFERROR(__xludf.DUMMYFUNCTION("""COMPUTED_VALUE"""),45325)</f>
        <v>45325</v>
      </c>
      <c r="N778" s="5" t="str">
        <f ca="1">IFERROR(__xludf.DUMMYFUNCTION("""COMPUTED_VALUE"""),"FRANCO HERRERA ALEJANDRO")</f>
        <v>FRANCO HERRERA ALEJANDRO</v>
      </c>
      <c r="O778" s="2">
        <f ca="1">IFERROR(__xludf.DUMMYFUNCTION("""COMPUTED_VALUE"""),0.003571429)</f>
        <v>3.5714290000000001E-3</v>
      </c>
      <c r="P778" s="5"/>
      <c r="Q778" s="5" t="str">
        <f ca="1">IFERROR(__xludf.DUMMYFUNCTION("""COMPUTED_VALUE"""),"OZxTsxiz2Gs")</f>
        <v>OZxTsxiz2Gs</v>
      </c>
      <c r="R778" s="5">
        <f ca="1">IFERROR(__xludf.DUMMYFUNCTION("""COMPUTED_VALUE"""),410)</f>
        <v>410</v>
      </c>
      <c r="S778" s="62">
        <f ca="1">IFERROR(__xludf.DUMMYFUNCTION("""COMPUTED_VALUE"""),0.003571429)</f>
        <v>3.5714290000000001E-3</v>
      </c>
      <c r="T778" s="63" t="str">
        <f ca="1">IFERROR(__xludf.DUMMYFUNCTION("""COMPUTED_VALUE"""),"https://storage.googleapis.com/glide-prod.appspot.com/uploads-v2/ly7o78grxPaC6KdgvbpS/pub/3aRdSog0vUtuqPE8AJKD.png")</f>
        <v>https://storage.googleapis.com/glide-prod.appspot.com/uploads-v2/ly7o78grxPaC6KdgvbpS/pub/3aRdSog0vUtuqPE8AJKD.png</v>
      </c>
      <c r="U778" s="5" t="str">
        <f ca="1">IFERROR(__xludf.DUMMYFUNCTION("""COMPUTED_VALUE"""),"LINEA DE ENVASADO PET NO RETORNABLELLENADORA")</f>
        <v>LINEA DE ENVASADO PET NO RETORNABLELLENADORA</v>
      </c>
      <c r="V778" s="5"/>
      <c r="W778" s="5" t="b">
        <f ca="1">IFERROR(__xludf.DUMMYFUNCTION("""COMPUTED_VALUE"""),TRUE)</f>
        <v>1</v>
      </c>
      <c r="X778" s="5" t="str">
        <f ca="1">IFERROR(__xludf.DUMMYFUNCTION("""COMPUTED_VALUE"""),"wguerra@postobon.com.co,aprmttoyu@postobon.com.co,aprmyu@postobon.com.co,wmora@postobon.com.co,efzapata@postobon.com.co")</f>
        <v>wguerra@postobon.com.co,aprmttoyu@postobon.com.co,aprmyu@postobon.com.co,wmora@postobon.com.co,efzapata@postobon.com.co</v>
      </c>
      <c r="Y778" s="5" t="str">
        <f ca="1">IFERROR(__xludf.DUMMYFUNCTION("""COMPUTED_VALUE"""),"wguerra@postobon.com.co")</f>
        <v>wguerra@postobon.com.co</v>
      </c>
      <c r="Z778" s="5" t="str">
        <f ca="1">IFERROR(__xludf.DUMMYFUNCTION("""COMPUTED_VALUE"""),"v-5mJX.bTXeb4LUvcYkq9Q")</f>
        <v>v-5mJX.bTXeb4LUvcYkq9Q</v>
      </c>
      <c r="AA778" s="5"/>
      <c r="AB778" s="5"/>
      <c r="AC778" s="5"/>
      <c r="AD778" s="5">
        <f ca="1">IFERROR(__xludf.DUMMYFUNCTION("""COMPUTED_VALUE"""),30)</f>
        <v>30</v>
      </c>
      <c r="AE778" s="5">
        <f ca="1">IFERROR(__xludf.DUMMYFUNCTION("""COMPUTED_VALUE"""),30)</f>
        <v>30</v>
      </c>
      <c r="AF778" s="5" t="b">
        <f ca="1">IFERROR(__xludf.DUMMYFUNCTION("""COMPUTED_VALUE"""),FALSE)</f>
        <v>0</v>
      </c>
      <c r="AG778" s="5" t="str">
        <f ca="1">IFERROR(__xludf.DUMMYFUNCTION("""COMPUTED_VALUE"""),"INSPECCIONES REALIZADAS")</f>
        <v>INSPECCIONES REALIZADAS</v>
      </c>
      <c r="AH778" s="5"/>
    </row>
    <row r="779" spans="1:34">
      <c r="A779" s="5" t="str">
        <f ca="1">IFERROR(__xludf.DUMMYFUNCTION("""COMPUTED_VALUE"""),"LINEA DE ENVASADO PET NO RETORNABLE")</f>
        <v>LINEA DE ENVASADO PET NO RETORNABLE</v>
      </c>
      <c r="B779" s="5">
        <f ca="1">IFERROR(__xludf.DUMMYFUNCTION("""COMPUTED_VALUE"""),518635)</f>
        <v>518635</v>
      </c>
      <c r="C779" s="5" t="str">
        <f ca="1">IFERROR(__xludf.DUMMYFUNCTION("""COMPUTED_VALUE"""),"LLENADORA")</f>
        <v>LLENADORA</v>
      </c>
      <c r="D779" s="5">
        <f ca="1">IFERROR(__xludf.DUMMYFUNCTION("""COMPUTED_VALUE"""),13247832)</f>
        <v>13247832</v>
      </c>
      <c r="E779" s="5" t="str">
        <f ca="1">IFERROR(__xludf.DUMMYFUNCTION("""COMPUTED_VALUE"""),"INSPECCION SEMANAL LLENADORA")</f>
        <v>INSPECCION SEMANAL LLENADORA</v>
      </c>
      <c r="F779" s="5" t="str">
        <f ca="1">IFERROR(__xludf.DUMMYFUNCTION("""COMPUTED_VALUE"""),"INSP SISTEMA NEUMATICO TAPONADOR")</f>
        <v>INSP SISTEMA NEUMATICO TAPONADOR</v>
      </c>
      <c r="G779" s="5" t="b">
        <f ca="1">IFERROR(__xludf.DUMMYFUNCTION("""COMPUTED_VALUE"""),TRUE)</f>
        <v>1</v>
      </c>
      <c r="H779" s="5"/>
      <c r="I779" s="5"/>
      <c r="J779" s="5"/>
      <c r="K779" s="5"/>
      <c r="L779" s="18">
        <f ca="1">IFERROR(__xludf.DUMMYFUNCTION("""COMPUTED_VALUE"""),45325)</f>
        <v>45325</v>
      </c>
      <c r="M779" s="18">
        <f ca="1">IFERROR(__xludf.DUMMYFUNCTION("""COMPUTED_VALUE"""),45325)</f>
        <v>45325</v>
      </c>
      <c r="N779" s="5" t="str">
        <f ca="1">IFERROR(__xludf.DUMMYFUNCTION("""COMPUTED_VALUE"""),"FRANCO HERRERA ALEJANDRO")</f>
        <v>FRANCO HERRERA ALEJANDRO</v>
      </c>
      <c r="O779" s="2">
        <f ca="1">IFERROR(__xludf.DUMMYFUNCTION("""COMPUTED_VALUE"""),0.003571429)</f>
        <v>3.5714290000000001E-3</v>
      </c>
      <c r="P779" s="5"/>
      <c r="Q779" s="5" t="str">
        <f ca="1">IFERROR(__xludf.DUMMYFUNCTION("""COMPUTED_VALUE"""),"nTavyA4g5X4")</f>
        <v>nTavyA4g5X4</v>
      </c>
      <c r="R779" s="5">
        <f ca="1">IFERROR(__xludf.DUMMYFUNCTION("""COMPUTED_VALUE"""),410)</f>
        <v>410</v>
      </c>
      <c r="S779" s="62">
        <f ca="1">IFERROR(__xludf.DUMMYFUNCTION("""COMPUTED_VALUE"""),0.003571429)</f>
        <v>3.5714290000000001E-3</v>
      </c>
      <c r="T779" s="63" t="str">
        <f ca="1">IFERROR(__xludf.DUMMYFUNCTION("""COMPUTED_VALUE"""),"https://storage.googleapis.com/glide-prod.appspot.com/uploads-v2/ly7o78grxPaC6KdgvbpS/pub/3aRdSog0vUtuqPE8AJKD.png")</f>
        <v>https://storage.googleapis.com/glide-prod.appspot.com/uploads-v2/ly7o78grxPaC6KdgvbpS/pub/3aRdSog0vUtuqPE8AJKD.png</v>
      </c>
      <c r="U779" s="5" t="str">
        <f ca="1">IFERROR(__xludf.DUMMYFUNCTION("""COMPUTED_VALUE"""),"LINEA DE ENVASADO PET NO RETORNABLELLENADORA")</f>
        <v>LINEA DE ENVASADO PET NO RETORNABLELLENADORA</v>
      </c>
      <c r="V779" s="5"/>
      <c r="W779" s="5" t="b">
        <f ca="1">IFERROR(__xludf.DUMMYFUNCTION("""COMPUTED_VALUE"""),TRUE)</f>
        <v>1</v>
      </c>
      <c r="X779" s="5" t="str">
        <f ca="1">IFERROR(__xludf.DUMMYFUNCTION("""COMPUTED_VALUE"""),"wguerra@postobon.com.co,aprmttoyu@postobon.com.co,aprmyu@postobon.com.co,wmora@postobon.com.co,efzapata@postobon.com.co")</f>
        <v>wguerra@postobon.com.co,aprmttoyu@postobon.com.co,aprmyu@postobon.com.co,wmora@postobon.com.co,efzapata@postobon.com.co</v>
      </c>
      <c r="Y779" s="5" t="str">
        <f ca="1">IFERROR(__xludf.DUMMYFUNCTION("""COMPUTED_VALUE"""),"wguerra@postobon.com.co")</f>
        <v>wguerra@postobon.com.co</v>
      </c>
      <c r="Z779" s="5" t="str">
        <f ca="1">IFERROR(__xludf.DUMMYFUNCTION("""COMPUTED_VALUE"""),"xbrn6b6DQzK94wQQP3fLhA")</f>
        <v>xbrn6b6DQzK94wQQP3fLhA</v>
      </c>
      <c r="AA779" s="5"/>
      <c r="AB779" s="5"/>
      <c r="AC779" s="5"/>
      <c r="AD779" s="5">
        <f ca="1">IFERROR(__xludf.DUMMYFUNCTION("""COMPUTED_VALUE"""),30)</f>
        <v>30</v>
      </c>
      <c r="AE779" s="5">
        <f ca="1">IFERROR(__xludf.DUMMYFUNCTION("""COMPUTED_VALUE"""),30)</f>
        <v>30</v>
      </c>
      <c r="AF779" s="5" t="b">
        <f ca="1">IFERROR(__xludf.DUMMYFUNCTION("""COMPUTED_VALUE"""),FALSE)</f>
        <v>0</v>
      </c>
      <c r="AG779" s="5" t="str">
        <f ca="1">IFERROR(__xludf.DUMMYFUNCTION("""COMPUTED_VALUE"""),"INSPECCIONES REALIZADAS")</f>
        <v>INSPECCIONES REALIZADAS</v>
      </c>
      <c r="AH779" s="5"/>
    </row>
    <row r="780" spans="1:34">
      <c r="A780" s="5" t="str">
        <f ca="1">IFERROR(__xludf.DUMMYFUNCTION("""COMPUTED_VALUE"""),"LINEA DE ENVASADO PET NO RETORNABLE")</f>
        <v>LINEA DE ENVASADO PET NO RETORNABLE</v>
      </c>
      <c r="B780" s="5">
        <f ca="1">IFERROR(__xludf.DUMMYFUNCTION("""COMPUTED_VALUE"""),518635)</f>
        <v>518635</v>
      </c>
      <c r="C780" s="5" t="str">
        <f ca="1">IFERROR(__xludf.DUMMYFUNCTION("""COMPUTED_VALUE"""),"LLENADORA")</f>
        <v>LLENADORA</v>
      </c>
      <c r="D780" s="5">
        <f ca="1">IFERROR(__xludf.DUMMYFUNCTION("""COMPUTED_VALUE"""),13247832)</f>
        <v>13247832</v>
      </c>
      <c r="E780" s="5" t="str">
        <f ca="1">IFERROR(__xludf.DUMMYFUNCTION("""COMPUTED_VALUE"""),"INSPECCION SEMANAL LLENADORA")</f>
        <v>INSPECCION SEMANAL LLENADORA</v>
      </c>
      <c r="F780" s="5" t="str">
        <f ca="1">IFERROR(__xludf.DUMMYFUNCTION("""COMPUTED_VALUE"""),"FUNC SENSORES TAPAS TAPONADOR")</f>
        <v>FUNC SENSORES TAPAS TAPONADOR</v>
      </c>
      <c r="G780" s="5" t="b">
        <f ca="1">IFERROR(__xludf.DUMMYFUNCTION("""COMPUTED_VALUE"""),TRUE)</f>
        <v>1</v>
      </c>
      <c r="H780" s="5"/>
      <c r="I780" s="5"/>
      <c r="J780" s="5"/>
      <c r="K780" s="5"/>
      <c r="L780" s="18">
        <f ca="1">IFERROR(__xludf.DUMMYFUNCTION("""COMPUTED_VALUE"""),45325)</f>
        <v>45325</v>
      </c>
      <c r="M780" s="18">
        <f ca="1">IFERROR(__xludf.DUMMYFUNCTION("""COMPUTED_VALUE"""),45325)</f>
        <v>45325</v>
      </c>
      <c r="N780" s="5" t="str">
        <f ca="1">IFERROR(__xludf.DUMMYFUNCTION("""COMPUTED_VALUE"""),"FRANCO HERRERA ALEJANDRO")</f>
        <v>FRANCO HERRERA ALEJANDRO</v>
      </c>
      <c r="O780" s="2">
        <f ca="1">IFERROR(__xludf.DUMMYFUNCTION("""COMPUTED_VALUE"""),0.003571429)</f>
        <v>3.5714290000000001E-3</v>
      </c>
      <c r="P780" s="5"/>
      <c r="Q780" s="5" t="str">
        <f ca="1">IFERROR(__xludf.DUMMYFUNCTION("""COMPUTED_VALUE"""),"Gnr2ojZ09KY")</f>
        <v>Gnr2ojZ09KY</v>
      </c>
      <c r="R780" s="5">
        <f ca="1">IFERROR(__xludf.DUMMYFUNCTION("""COMPUTED_VALUE"""),410)</f>
        <v>410</v>
      </c>
      <c r="S780" s="62">
        <f ca="1">IFERROR(__xludf.DUMMYFUNCTION("""COMPUTED_VALUE"""),0.003571429)</f>
        <v>3.5714290000000001E-3</v>
      </c>
      <c r="T780" s="63" t="str">
        <f ca="1">IFERROR(__xludf.DUMMYFUNCTION("""COMPUTED_VALUE"""),"https://storage.googleapis.com/glide-prod.appspot.com/uploads-v2/ly7o78grxPaC6KdgvbpS/pub/3aRdSog0vUtuqPE8AJKD.png")</f>
        <v>https://storage.googleapis.com/glide-prod.appspot.com/uploads-v2/ly7o78grxPaC6KdgvbpS/pub/3aRdSog0vUtuqPE8AJKD.png</v>
      </c>
      <c r="U780" s="5" t="str">
        <f ca="1">IFERROR(__xludf.DUMMYFUNCTION("""COMPUTED_VALUE"""),"LINEA DE ENVASADO PET NO RETORNABLELLENADORA")</f>
        <v>LINEA DE ENVASADO PET NO RETORNABLELLENADORA</v>
      </c>
      <c r="V780" s="5"/>
      <c r="W780" s="5" t="b">
        <f ca="1">IFERROR(__xludf.DUMMYFUNCTION("""COMPUTED_VALUE"""),TRUE)</f>
        <v>1</v>
      </c>
      <c r="X780" s="5" t="str">
        <f ca="1">IFERROR(__xludf.DUMMYFUNCTION("""COMPUTED_VALUE"""),"wguerra@postobon.com.co,aprmttoyu@postobon.com.co,aprmyu@postobon.com.co,wmora@postobon.com.co,efzapata@postobon.com.co")</f>
        <v>wguerra@postobon.com.co,aprmttoyu@postobon.com.co,aprmyu@postobon.com.co,wmora@postobon.com.co,efzapata@postobon.com.co</v>
      </c>
      <c r="Y780" s="5" t="str">
        <f ca="1">IFERROR(__xludf.DUMMYFUNCTION("""COMPUTED_VALUE"""),"wguerra@postobon.com.co")</f>
        <v>wguerra@postobon.com.co</v>
      </c>
      <c r="Z780" s="5" t="str">
        <f ca="1">IFERROR(__xludf.DUMMYFUNCTION("""COMPUTED_VALUE"""),"9N5A1LaGRVW.pHCECHSMBA")</f>
        <v>9N5A1LaGRVW.pHCECHSMBA</v>
      </c>
      <c r="AA780" s="5"/>
      <c r="AB780" s="5"/>
      <c r="AC780" s="5"/>
      <c r="AD780" s="5">
        <f ca="1">IFERROR(__xludf.DUMMYFUNCTION("""COMPUTED_VALUE"""),30)</f>
        <v>30</v>
      </c>
      <c r="AE780" s="5">
        <f ca="1">IFERROR(__xludf.DUMMYFUNCTION("""COMPUTED_VALUE"""),30)</f>
        <v>30</v>
      </c>
      <c r="AF780" s="5" t="b">
        <f ca="1">IFERROR(__xludf.DUMMYFUNCTION("""COMPUTED_VALUE"""),FALSE)</f>
        <v>0</v>
      </c>
      <c r="AG780" s="5" t="str">
        <f ca="1">IFERROR(__xludf.DUMMYFUNCTION("""COMPUTED_VALUE"""),"INSPECCIONES REALIZADAS")</f>
        <v>INSPECCIONES REALIZADAS</v>
      </c>
      <c r="AH780" s="5"/>
    </row>
    <row r="781" spans="1:34">
      <c r="A781" s="5" t="str">
        <f ca="1">IFERROR(__xludf.DUMMYFUNCTION("""COMPUTED_VALUE"""),"LINEA DE ENVASADO PET NO RETORNABLE")</f>
        <v>LINEA DE ENVASADO PET NO RETORNABLE</v>
      </c>
      <c r="B781" s="5">
        <f ca="1">IFERROR(__xludf.DUMMYFUNCTION("""COMPUTED_VALUE"""),518635)</f>
        <v>518635</v>
      </c>
      <c r="C781" s="5" t="str">
        <f ca="1">IFERROR(__xludf.DUMMYFUNCTION("""COMPUTED_VALUE"""),"LLENADORA")</f>
        <v>LLENADORA</v>
      </c>
      <c r="D781" s="5">
        <f ca="1">IFERROR(__xludf.DUMMYFUNCTION("""COMPUTED_VALUE"""),13247832)</f>
        <v>13247832</v>
      </c>
      <c r="E781" s="5" t="str">
        <f ca="1">IFERROR(__xludf.DUMMYFUNCTION("""COMPUTED_VALUE"""),"INSPECCION SEMANAL LLENADORA")</f>
        <v>INSPECCION SEMANAL LLENADORA</v>
      </c>
      <c r="F781" s="5" t="str">
        <f ca="1">IFERROR(__xludf.DUMMYFUNCTION("""COMPUTED_VALUE"""),"INSP TABLERO ELECTRICO TAPONADOR")</f>
        <v>INSP TABLERO ELECTRICO TAPONADOR</v>
      </c>
      <c r="G781" s="5" t="b">
        <f ca="1">IFERROR(__xludf.DUMMYFUNCTION("""COMPUTED_VALUE"""),TRUE)</f>
        <v>1</v>
      </c>
      <c r="H781" s="5"/>
      <c r="I781" s="5"/>
      <c r="J781" s="5"/>
      <c r="K781" s="5"/>
      <c r="L781" s="18">
        <f ca="1">IFERROR(__xludf.DUMMYFUNCTION("""COMPUTED_VALUE"""),45325)</f>
        <v>45325</v>
      </c>
      <c r="M781" s="18">
        <f ca="1">IFERROR(__xludf.DUMMYFUNCTION("""COMPUTED_VALUE"""),45325)</f>
        <v>45325</v>
      </c>
      <c r="N781" s="5" t="str">
        <f ca="1">IFERROR(__xludf.DUMMYFUNCTION("""COMPUTED_VALUE"""),"FRANCO HERRERA ALEJANDRO")</f>
        <v>FRANCO HERRERA ALEJANDRO</v>
      </c>
      <c r="O781" s="2">
        <f ca="1">IFERROR(__xludf.DUMMYFUNCTION("""COMPUTED_VALUE"""),0.003571429)</f>
        <v>3.5714290000000001E-3</v>
      </c>
      <c r="P781" s="5"/>
      <c r="Q781" s="5" t="str">
        <f ca="1">IFERROR(__xludf.DUMMYFUNCTION("""COMPUTED_VALUE"""),"jVrs8huMWZs")</f>
        <v>jVrs8huMWZs</v>
      </c>
      <c r="R781" s="5">
        <f ca="1">IFERROR(__xludf.DUMMYFUNCTION("""COMPUTED_VALUE"""),410)</f>
        <v>410</v>
      </c>
      <c r="S781" s="62">
        <f ca="1">IFERROR(__xludf.DUMMYFUNCTION("""COMPUTED_VALUE"""),0.003571429)</f>
        <v>3.5714290000000001E-3</v>
      </c>
      <c r="T781" s="63" t="str">
        <f ca="1">IFERROR(__xludf.DUMMYFUNCTION("""COMPUTED_VALUE"""),"https://storage.googleapis.com/glide-prod.appspot.com/uploads-v2/ly7o78grxPaC6KdgvbpS/pub/3aRdSog0vUtuqPE8AJKD.png")</f>
        <v>https://storage.googleapis.com/glide-prod.appspot.com/uploads-v2/ly7o78grxPaC6KdgvbpS/pub/3aRdSog0vUtuqPE8AJKD.png</v>
      </c>
      <c r="U781" s="5" t="str">
        <f ca="1">IFERROR(__xludf.DUMMYFUNCTION("""COMPUTED_VALUE"""),"LINEA DE ENVASADO PET NO RETORNABLELLENADORA")</f>
        <v>LINEA DE ENVASADO PET NO RETORNABLELLENADORA</v>
      </c>
      <c r="V781" s="5"/>
      <c r="W781" s="5" t="b">
        <f ca="1">IFERROR(__xludf.DUMMYFUNCTION("""COMPUTED_VALUE"""),TRUE)</f>
        <v>1</v>
      </c>
      <c r="X781" s="5" t="str">
        <f ca="1">IFERROR(__xludf.DUMMYFUNCTION("""COMPUTED_VALUE"""),"wguerra@postobon.com.co,aprmttoyu@postobon.com.co,aprmyu@postobon.com.co,wmora@postobon.com.co,efzapata@postobon.com.co")</f>
        <v>wguerra@postobon.com.co,aprmttoyu@postobon.com.co,aprmyu@postobon.com.co,wmora@postobon.com.co,efzapata@postobon.com.co</v>
      </c>
      <c r="Y781" s="5" t="str">
        <f ca="1">IFERROR(__xludf.DUMMYFUNCTION("""COMPUTED_VALUE"""),"wguerra@postobon.com.co")</f>
        <v>wguerra@postobon.com.co</v>
      </c>
      <c r="Z781" s="5" t="str">
        <f ca="1">IFERROR(__xludf.DUMMYFUNCTION("""COMPUTED_VALUE"""),"eVbFqqYDRb2lgaAHQUEzZw")</f>
        <v>eVbFqqYDRb2lgaAHQUEzZw</v>
      </c>
      <c r="AA781" s="5"/>
      <c r="AB781" s="5"/>
      <c r="AC781" s="5"/>
      <c r="AD781" s="5">
        <f ca="1">IFERROR(__xludf.DUMMYFUNCTION("""COMPUTED_VALUE"""),30)</f>
        <v>30</v>
      </c>
      <c r="AE781" s="5">
        <f ca="1">IFERROR(__xludf.DUMMYFUNCTION("""COMPUTED_VALUE"""),30)</f>
        <v>30</v>
      </c>
      <c r="AF781" s="5" t="b">
        <f ca="1">IFERROR(__xludf.DUMMYFUNCTION("""COMPUTED_VALUE"""),FALSE)</f>
        <v>0</v>
      </c>
      <c r="AG781" s="5" t="str">
        <f ca="1">IFERROR(__xludf.DUMMYFUNCTION("""COMPUTED_VALUE"""),"INSPECCIONES REALIZADAS")</f>
        <v>INSPECCIONES REALIZADAS</v>
      </c>
      <c r="AH781" s="5"/>
    </row>
    <row r="782" spans="1:34">
      <c r="A782" s="5" t="str">
        <f ca="1">IFERROR(__xludf.DUMMYFUNCTION("""COMPUTED_VALUE"""),"LINEA DE ENVASADO PET NO RETORNABLE")</f>
        <v>LINEA DE ENVASADO PET NO RETORNABLE</v>
      </c>
      <c r="B782" s="5">
        <f ca="1">IFERROR(__xludf.DUMMYFUNCTION("""COMPUTED_VALUE"""),518635)</f>
        <v>518635</v>
      </c>
      <c r="C782" s="5" t="str">
        <f ca="1">IFERROR(__xludf.DUMMYFUNCTION("""COMPUTED_VALUE"""),"LLENADORA")</f>
        <v>LLENADORA</v>
      </c>
      <c r="D782" s="5">
        <f ca="1">IFERROR(__xludf.DUMMYFUNCTION("""COMPUTED_VALUE"""),13247832)</f>
        <v>13247832</v>
      </c>
      <c r="E782" s="5" t="str">
        <f ca="1">IFERROR(__xludf.DUMMYFUNCTION("""COMPUTED_VALUE"""),"INSPECCION SEMANAL LLENADORA")</f>
        <v>INSPECCION SEMANAL LLENADORA</v>
      </c>
      <c r="F782" s="5" t="str">
        <f ca="1">IFERROR(__xludf.DUMMYFUNCTION("""COMPUTED_VALUE"""),"REVISAR QUE LOS CHUCK NO HAGAN CONTACTO CON LA ESTRELLA DEL PICK AND PLACE, QUEDAN SEPARADOS A 1.5 mm Y LAS PUNTAS ANTIRROTACION ESTAN EN BUEN ESTADO")</f>
        <v>REVISAR QUE LOS CHUCK NO HAGAN CONTACTO CON LA ESTRELLA DEL PICK AND PLACE, QUEDAN SEPARADOS A 1.5 mm Y LAS PUNTAS ANTIRROTACION ESTAN EN BUEN ESTADO</v>
      </c>
      <c r="G782" s="5" t="b">
        <f ca="1">IFERROR(__xludf.DUMMYFUNCTION("""COMPUTED_VALUE"""),TRUE)</f>
        <v>1</v>
      </c>
      <c r="H782" s="5"/>
      <c r="I782" s="5"/>
      <c r="J782" s="5"/>
      <c r="K782" s="5"/>
      <c r="L782" s="18">
        <f ca="1">IFERROR(__xludf.DUMMYFUNCTION("""COMPUTED_VALUE"""),45325)</f>
        <v>45325</v>
      </c>
      <c r="M782" s="18">
        <f ca="1">IFERROR(__xludf.DUMMYFUNCTION("""COMPUTED_VALUE"""),45325)</f>
        <v>45325</v>
      </c>
      <c r="N782" s="5" t="str">
        <f ca="1">IFERROR(__xludf.DUMMYFUNCTION("""COMPUTED_VALUE"""),"FRANCO HERRERA ALEJANDRO")</f>
        <v>FRANCO HERRERA ALEJANDRO</v>
      </c>
      <c r="O782" s="2">
        <f ca="1">IFERROR(__xludf.DUMMYFUNCTION("""COMPUTED_VALUE"""),0.003571429)</f>
        <v>3.5714290000000001E-3</v>
      </c>
      <c r="P782" s="5"/>
      <c r="Q782" s="5" t="str">
        <f ca="1">IFERROR(__xludf.DUMMYFUNCTION("""COMPUTED_VALUE"""),"EzQgoFLOZQ4")</f>
        <v>EzQgoFLOZQ4</v>
      </c>
      <c r="R782" s="5">
        <f ca="1">IFERROR(__xludf.DUMMYFUNCTION("""COMPUTED_VALUE"""),410)</f>
        <v>410</v>
      </c>
      <c r="S782" s="62">
        <f ca="1">IFERROR(__xludf.DUMMYFUNCTION("""COMPUTED_VALUE"""),0.003571429)</f>
        <v>3.5714290000000001E-3</v>
      </c>
      <c r="T782" s="63" t="str">
        <f ca="1">IFERROR(__xludf.DUMMYFUNCTION("""COMPUTED_VALUE"""),"https://storage.googleapis.com/glide-prod.appspot.com/uploads-v2/ly7o78grxPaC6KdgvbpS/pub/3aRdSog0vUtuqPE8AJKD.png")</f>
        <v>https://storage.googleapis.com/glide-prod.appspot.com/uploads-v2/ly7o78grxPaC6KdgvbpS/pub/3aRdSog0vUtuqPE8AJKD.png</v>
      </c>
      <c r="U782" s="5" t="str">
        <f ca="1">IFERROR(__xludf.DUMMYFUNCTION("""COMPUTED_VALUE"""),"LINEA DE ENVASADO PET NO RETORNABLELLENADORA")</f>
        <v>LINEA DE ENVASADO PET NO RETORNABLELLENADORA</v>
      </c>
      <c r="V782" s="5"/>
      <c r="W782" s="5" t="b">
        <f ca="1">IFERROR(__xludf.DUMMYFUNCTION("""COMPUTED_VALUE"""),TRUE)</f>
        <v>1</v>
      </c>
      <c r="X782" s="5" t="str">
        <f ca="1">IFERROR(__xludf.DUMMYFUNCTION("""COMPUTED_VALUE"""),"wguerra@postobon.com.co,aprmttoyu@postobon.com.co,aprmyu@postobon.com.co,wmora@postobon.com.co,efzapata@postobon.com.co")</f>
        <v>wguerra@postobon.com.co,aprmttoyu@postobon.com.co,aprmyu@postobon.com.co,wmora@postobon.com.co,efzapata@postobon.com.co</v>
      </c>
      <c r="Y782" s="5" t="str">
        <f ca="1">IFERROR(__xludf.DUMMYFUNCTION("""COMPUTED_VALUE"""),"wguerra@postobon.com.co")</f>
        <v>wguerra@postobon.com.co</v>
      </c>
      <c r="Z782" s="5" t="str">
        <f ca="1">IFERROR(__xludf.DUMMYFUNCTION("""COMPUTED_VALUE"""),"EPAJDtLRQn2KoZq0mOVK5Q")</f>
        <v>EPAJDtLRQn2KoZq0mOVK5Q</v>
      </c>
      <c r="AA782" s="5"/>
      <c r="AB782" s="5"/>
      <c r="AC782" s="5"/>
      <c r="AD782" s="5">
        <f ca="1">IFERROR(__xludf.DUMMYFUNCTION("""COMPUTED_VALUE"""),30)</f>
        <v>30</v>
      </c>
      <c r="AE782" s="5">
        <f ca="1">IFERROR(__xludf.DUMMYFUNCTION("""COMPUTED_VALUE"""),30)</f>
        <v>30</v>
      </c>
      <c r="AF782" s="5" t="b">
        <f ca="1">IFERROR(__xludf.DUMMYFUNCTION("""COMPUTED_VALUE"""),FALSE)</f>
        <v>0</v>
      </c>
      <c r="AG782" s="5" t="str">
        <f ca="1">IFERROR(__xludf.DUMMYFUNCTION("""COMPUTED_VALUE"""),"INSPECCIONES REALIZADAS")</f>
        <v>INSPECCIONES REALIZADAS</v>
      </c>
      <c r="AH782" s="5"/>
    </row>
    <row r="783" spans="1:34">
      <c r="A783" s="5" t="str">
        <f ca="1">IFERROR(__xludf.DUMMYFUNCTION("""COMPUTED_VALUE"""),"LINEA DE ENVASADO PET NO RETORNABLE")</f>
        <v>LINEA DE ENVASADO PET NO RETORNABLE</v>
      </c>
      <c r="B783" s="5">
        <f ca="1">IFERROR(__xludf.DUMMYFUNCTION("""COMPUTED_VALUE"""),518635)</f>
        <v>518635</v>
      </c>
      <c r="C783" s="5" t="str">
        <f ca="1">IFERROR(__xludf.DUMMYFUNCTION("""COMPUTED_VALUE"""),"LLENADORA")</f>
        <v>LLENADORA</v>
      </c>
      <c r="D783" s="5">
        <f ca="1">IFERROR(__xludf.DUMMYFUNCTION("""COMPUTED_VALUE"""),13247832)</f>
        <v>13247832</v>
      </c>
      <c r="E783" s="5" t="str">
        <f ca="1">IFERROR(__xludf.DUMMYFUNCTION("""COMPUTED_VALUE"""),"INSPECCION SEMANAL LLENADORA")</f>
        <v>INSPECCION SEMANAL LLENADORA</v>
      </c>
      <c r="F783" s="5" t="str">
        <f ca="1">IFERROR(__xludf.DUMMYFUNCTION("""COMPUTED_VALUE"""),"AJUSTE DE LA ALTURA DE LA MESA DEL PICK AND PLACE PARA LA TAPA LINER LESS CSD8, QUEDANDO CON TOLERANCIA DE 0.2 mm")</f>
        <v>AJUSTE DE LA ALTURA DE LA MESA DEL PICK AND PLACE PARA LA TAPA LINER LESS CSD8, QUEDANDO CON TOLERANCIA DE 0.2 mm</v>
      </c>
      <c r="G783" s="5" t="b">
        <f ca="1">IFERROR(__xludf.DUMMYFUNCTION("""COMPUTED_VALUE"""),TRUE)</f>
        <v>1</v>
      </c>
      <c r="H783" s="5"/>
      <c r="I783" s="5"/>
      <c r="J783" s="5"/>
      <c r="K783" s="5"/>
      <c r="L783" s="18">
        <f ca="1">IFERROR(__xludf.DUMMYFUNCTION("""COMPUTED_VALUE"""),45325)</f>
        <v>45325</v>
      </c>
      <c r="M783" s="18">
        <f ca="1">IFERROR(__xludf.DUMMYFUNCTION("""COMPUTED_VALUE"""),45325)</f>
        <v>45325</v>
      </c>
      <c r="N783" s="5" t="str">
        <f ca="1">IFERROR(__xludf.DUMMYFUNCTION("""COMPUTED_VALUE"""),"FRANCO HERRERA ALEJANDRO")</f>
        <v>FRANCO HERRERA ALEJANDRO</v>
      </c>
      <c r="O783" s="2">
        <f ca="1">IFERROR(__xludf.DUMMYFUNCTION("""COMPUTED_VALUE"""),0.003571429)</f>
        <v>3.5714290000000001E-3</v>
      </c>
      <c r="P783" s="5"/>
      <c r="Q783" s="5" t="str">
        <f ca="1">IFERROR(__xludf.DUMMYFUNCTION("""COMPUTED_VALUE"""),"WArloyWFYx0")</f>
        <v>WArloyWFYx0</v>
      </c>
      <c r="R783" s="5">
        <f ca="1">IFERROR(__xludf.DUMMYFUNCTION("""COMPUTED_VALUE"""),410)</f>
        <v>410</v>
      </c>
      <c r="S783" s="62">
        <f ca="1">IFERROR(__xludf.DUMMYFUNCTION("""COMPUTED_VALUE"""),0.003571429)</f>
        <v>3.5714290000000001E-3</v>
      </c>
      <c r="T783" s="63" t="str">
        <f ca="1">IFERROR(__xludf.DUMMYFUNCTION("""COMPUTED_VALUE"""),"https://storage.googleapis.com/glide-prod.appspot.com/uploads-v2/ly7o78grxPaC6KdgvbpS/pub/3aRdSog0vUtuqPE8AJKD.png")</f>
        <v>https://storage.googleapis.com/glide-prod.appspot.com/uploads-v2/ly7o78grxPaC6KdgvbpS/pub/3aRdSog0vUtuqPE8AJKD.png</v>
      </c>
      <c r="U783" s="5" t="str">
        <f ca="1">IFERROR(__xludf.DUMMYFUNCTION("""COMPUTED_VALUE"""),"LINEA DE ENVASADO PET NO RETORNABLELLENADORA")</f>
        <v>LINEA DE ENVASADO PET NO RETORNABLELLENADORA</v>
      </c>
      <c r="V783" s="5"/>
      <c r="W783" s="5" t="b">
        <f ca="1">IFERROR(__xludf.DUMMYFUNCTION("""COMPUTED_VALUE"""),TRUE)</f>
        <v>1</v>
      </c>
      <c r="X783" s="5" t="str">
        <f ca="1">IFERROR(__xludf.DUMMYFUNCTION("""COMPUTED_VALUE"""),"wguerra@postobon.com.co,aprmttoyu@postobon.com.co,aprmyu@postobon.com.co,wmora@postobon.com.co,efzapata@postobon.com.co")</f>
        <v>wguerra@postobon.com.co,aprmttoyu@postobon.com.co,aprmyu@postobon.com.co,wmora@postobon.com.co,efzapata@postobon.com.co</v>
      </c>
      <c r="Y783" s="5" t="str">
        <f ca="1">IFERROR(__xludf.DUMMYFUNCTION("""COMPUTED_VALUE"""),"wguerra@postobon.com.co")</f>
        <v>wguerra@postobon.com.co</v>
      </c>
      <c r="Z783" s="5" t="str">
        <f ca="1">IFERROR(__xludf.DUMMYFUNCTION("""COMPUTED_VALUE"""),"tMrxGs.nQ6KfmOrYMTvZgQ")</f>
        <v>tMrxGs.nQ6KfmOrYMTvZgQ</v>
      </c>
      <c r="AA783" s="5"/>
      <c r="AB783" s="5"/>
      <c r="AC783" s="5"/>
      <c r="AD783" s="5">
        <f ca="1">IFERROR(__xludf.DUMMYFUNCTION("""COMPUTED_VALUE"""),30)</f>
        <v>30</v>
      </c>
      <c r="AE783" s="5">
        <f ca="1">IFERROR(__xludf.DUMMYFUNCTION("""COMPUTED_VALUE"""),30)</f>
        <v>30</v>
      </c>
      <c r="AF783" s="5" t="b">
        <f ca="1">IFERROR(__xludf.DUMMYFUNCTION("""COMPUTED_VALUE"""),FALSE)</f>
        <v>0</v>
      </c>
      <c r="AG783" s="5" t="str">
        <f ca="1">IFERROR(__xludf.DUMMYFUNCTION("""COMPUTED_VALUE"""),"INSPECCIONES REALIZADAS")</f>
        <v>INSPECCIONES REALIZADAS</v>
      </c>
      <c r="AH783" s="5"/>
    </row>
    <row r="784" spans="1:34">
      <c r="A784" s="5" t="str">
        <f ca="1">IFERROR(__xludf.DUMMYFUNCTION("""COMPUTED_VALUE"""),"LINEA DE ENVASADO PET NO RETORNABLE")</f>
        <v>LINEA DE ENVASADO PET NO RETORNABLE</v>
      </c>
      <c r="B784" s="5">
        <f ca="1">IFERROR(__xludf.DUMMYFUNCTION("""COMPUTED_VALUE"""),518635)</f>
        <v>518635</v>
      </c>
      <c r="C784" s="5" t="str">
        <f ca="1">IFERROR(__xludf.DUMMYFUNCTION("""COMPUTED_VALUE"""),"LLENADORA")</f>
        <v>LLENADORA</v>
      </c>
      <c r="D784" s="5">
        <f ca="1">IFERROR(__xludf.DUMMYFUNCTION("""COMPUTED_VALUE"""),13247832)</f>
        <v>13247832</v>
      </c>
      <c r="E784" s="5" t="str">
        <f ca="1">IFERROR(__xludf.DUMMYFUNCTION("""COMPUTED_VALUE"""),"INSPECCION SEMANAL LLENADORA")</f>
        <v>INSPECCION SEMANAL LLENADORA</v>
      </c>
      <c r="F784" s="5" t="str">
        <f ca="1">IFERROR(__xludf.DUMMYFUNCTION("""COMPUTED_VALUE"""),"LIMPIEZA DE LA CARRILERA")</f>
        <v>LIMPIEZA DE LA CARRILERA</v>
      </c>
      <c r="G784" s="5" t="b">
        <f ca="1">IFERROR(__xludf.DUMMYFUNCTION("""COMPUTED_VALUE"""),TRUE)</f>
        <v>1</v>
      </c>
      <c r="H784" s="5"/>
      <c r="I784" s="5"/>
      <c r="J784" s="5"/>
      <c r="K784" s="5"/>
      <c r="L784" s="18">
        <f ca="1">IFERROR(__xludf.DUMMYFUNCTION("""COMPUTED_VALUE"""),45325)</f>
        <v>45325</v>
      </c>
      <c r="M784" s="18">
        <f ca="1">IFERROR(__xludf.DUMMYFUNCTION("""COMPUTED_VALUE"""),45325)</f>
        <v>45325</v>
      </c>
      <c r="N784" s="5" t="str">
        <f ca="1">IFERROR(__xludf.DUMMYFUNCTION("""COMPUTED_VALUE"""),"FRANCO HERRERA ALEJANDRO")</f>
        <v>FRANCO HERRERA ALEJANDRO</v>
      </c>
      <c r="O784" s="2">
        <f ca="1">IFERROR(__xludf.DUMMYFUNCTION("""COMPUTED_VALUE"""),0.003571429)</f>
        <v>3.5714290000000001E-3</v>
      </c>
      <c r="P784" s="5"/>
      <c r="Q784" s="5" t="str">
        <f ca="1">IFERROR(__xludf.DUMMYFUNCTION("""COMPUTED_VALUE"""),"GvRtbtF346g")</f>
        <v>GvRtbtF346g</v>
      </c>
      <c r="R784" s="5">
        <f ca="1">IFERROR(__xludf.DUMMYFUNCTION("""COMPUTED_VALUE"""),410)</f>
        <v>410</v>
      </c>
      <c r="S784" s="62">
        <f ca="1">IFERROR(__xludf.DUMMYFUNCTION("""COMPUTED_VALUE"""),0.003571429)</f>
        <v>3.5714290000000001E-3</v>
      </c>
      <c r="T784" s="63" t="str">
        <f ca="1">IFERROR(__xludf.DUMMYFUNCTION("""COMPUTED_VALUE"""),"https://storage.googleapis.com/glide-prod.appspot.com/uploads-v2/ly7o78grxPaC6KdgvbpS/pub/3aRdSog0vUtuqPE8AJKD.png")</f>
        <v>https://storage.googleapis.com/glide-prod.appspot.com/uploads-v2/ly7o78grxPaC6KdgvbpS/pub/3aRdSog0vUtuqPE8AJKD.png</v>
      </c>
      <c r="U784" s="5" t="str">
        <f ca="1">IFERROR(__xludf.DUMMYFUNCTION("""COMPUTED_VALUE"""),"LINEA DE ENVASADO PET NO RETORNABLELLENADORA")</f>
        <v>LINEA DE ENVASADO PET NO RETORNABLELLENADORA</v>
      </c>
      <c r="V784" s="5"/>
      <c r="W784" s="5" t="b">
        <f ca="1">IFERROR(__xludf.DUMMYFUNCTION("""COMPUTED_VALUE"""),TRUE)</f>
        <v>1</v>
      </c>
      <c r="X784" s="5" t="str">
        <f ca="1">IFERROR(__xludf.DUMMYFUNCTION("""COMPUTED_VALUE"""),"wguerra@postobon.com.co,aprmttoyu@postobon.com.co,aprmyu@postobon.com.co,wmora@postobon.com.co,efzapata@postobon.com.co")</f>
        <v>wguerra@postobon.com.co,aprmttoyu@postobon.com.co,aprmyu@postobon.com.co,wmora@postobon.com.co,efzapata@postobon.com.co</v>
      </c>
      <c r="Y784" s="5" t="str">
        <f ca="1">IFERROR(__xludf.DUMMYFUNCTION("""COMPUTED_VALUE"""),"wguerra@postobon.com.co")</f>
        <v>wguerra@postobon.com.co</v>
      </c>
      <c r="Z784" s="5" t="str">
        <f ca="1">IFERROR(__xludf.DUMMYFUNCTION("""COMPUTED_VALUE"""),"nd0MwYE3SSaLo.NpgZV4yg")</f>
        <v>nd0MwYE3SSaLo.NpgZV4yg</v>
      </c>
      <c r="AA784" s="5"/>
      <c r="AB784" s="5"/>
      <c r="AC784" s="5"/>
      <c r="AD784" s="5">
        <f ca="1">IFERROR(__xludf.DUMMYFUNCTION("""COMPUTED_VALUE"""),30)</f>
        <v>30</v>
      </c>
      <c r="AE784" s="5">
        <f ca="1">IFERROR(__xludf.DUMMYFUNCTION("""COMPUTED_VALUE"""),30)</f>
        <v>30</v>
      </c>
      <c r="AF784" s="5" t="b">
        <f ca="1">IFERROR(__xludf.DUMMYFUNCTION("""COMPUTED_VALUE"""),FALSE)</f>
        <v>0</v>
      </c>
      <c r="AG784" s="5" t="str">
        <f ca="1">IFERROR(__xludf.DUMMYFUNCTION("""COMPUTED_VALUE"""),"INSPECCIONES REALIZADAS")</f>
        <v>INSPECCIONES REALIZADAS</v>
      </c>
      <c r="AH784" s="5"/>
    </row>
    <row r="785" spans="1:34">
      <c r="A785" s="5" t="str">
        <f ca="1">IFERROR(__xludf.DUMMYFUNCTION("""COMPUTED_VALUE"""),"LINEA DE ENVASADO PET NO RETORNABLE")</f>
        <v>LINEA DE ENVASADO PET NO RETORNABLE</v>
      </c>
      <c r="B785" s="5">
        <f ca="1">IFERROR(__xludf.DUMMYFUNCTION("""COMPUTED_VALUE"""),518635)</f>
        <v>518635</v>
      </c>
      <c r="C785" s="5" t="str">
        <f ca="1">IFERROR(__xludf.DUMMYFUNCTION("""COMPUTED_VALUE"""),"LLENADORA")</f>
        <v>LLENADORA</v>
      </c>
      <c r="D785" s="5">
        <f ca="1">IFERROR(__xludf.DUMMYFUNCTION("""COMPUTED_VALUE"""),13247832)</f>
        <v>13247832</v>
      </c>
      <c r="E785" s="5" t="str">
        <f ca="1">IFERROR(__xludf.DUMMYFUNCTION("""COMPUTED_VALUE"""),"INSPECCION SEMANAL LLENADORA")</f>
        <v>INSPECCION SEMANAL LLENADORA</v>
      </c>
      <c r="F785" s="5" t="str">
        <f ca="1">IFERROR(__xludf.DUMMYFUNCTION("""COMPUTED_VALUE"""),"CORONADORES TAPONADOR")</f>
        <v>CORONADORES TAPONADOR</v>
      </c>
      <c r="G785" s="5" t="b">
        <f ca="1">IFERROR(__xludf.DUMMYFUNCTION("""COMPUTED_VALUE"""),TRUE)</f>
        <v>1</v>
      </c>
      <c r="H785" s="5"/>
      <c r="I785" s="5"/>
      <c r="J785" s="5"/>
      <c r="K785" s="5"/>
      <c r="L785" s="18">
        <f ca="1">IFERROR(__xludf.DUMMYFUNCTION("""COMPUTED_VALUE"""),45325)</f>
        <v>45325</v>
      </c>
      <c r="M785" s="18">
        <f ca="1">IFERROR(__xludf.DUMMYFUNCTION("""COMPUTED_VALUE"""),45325)</f>
        <v>45325</v>
      </c>
      <c r="N785" s="5" t="str">
        <f ca="1">IFERROR(__xludf.DUMMYFUNCTION("""COMPUTED_VALUE"""),"FRANCO HERRERA ALEJANDRO")</f>
        <v>FRANCO HERRERA ALEJANDRO</v>
      </c>
      <c r="O785" s="2">
        <f ca="1">IFERROR(__xludf.DUMMYFUNCTION("""COMPUTED_VALUE"""),0.003571429)</f>
        <v>3.5714290000000001E-3</v>
      </c>
      <c r="P785" s="5"/>
      <c r="Q785" s="5" t="str">
        <f ca="1">IFERROR(__xludf.DUMMYFUNCTION("""COMPUTED_VALUE"""),"wF4ITmePbTo")</f>
        <v>wF4ITmePbTo</v>
      </c>
      <c r="R785" s="5">
        <f ca="1">IFERROR(__xludf.DUMMYFUNCTION("""COMPUTED_VALUE"""),410)</f>
        <v>410</v>
      </c>
      <c r="S785" s="62">
        <f ca="1">IFERROR(__xludf.DUMMYFUNCTION("""COMPUTED_VALUE"""),0.003571429)</f>
        <v>3.5714290000000001E-3</v>
      </c>
      <c r="T785" s="63" t="str">
        <f ca="1">IFERROR(__xludf.DUMMYFUNCTION("""COMPUTED_VALUE"""),"https://storage.googleapis.com/glide-prod.appspot.com/uploads-v2/ly7o78grxPaC6KdgvbpS/pub/3aRdSog0vUtuqPE8AJKD.png")</f>
        <v>https://storage.googleapis.com/glide-prod.appspot.com/uploads-v2/ly7o78grxPaC6KdgvbpS/pub/3aRdSog0vUtuqPE8AJKD.png</v>
      </c>
      <c r="U785" s="5" t="str">
        <f ca="1">IFERROR(__xludf.DUMMYFUNCTION("""COMPUTED_VALUE"""),"LINEA DE ENVASADO PET NO RETORNABLELLENADORA")</f>
        <v>LINEA DE ENVASADO PET NO RETORNABLELLENADORA</v>
      </c>
      <c r="V785" s="5"/>
      <c r="W785" s="5" t="b">
        <f ca="1">IFERROR(__xludf.DUMMYFUNCTION("""COMPUTED_VALUE"""),TRUE)</f>
        <v>1</v>
      </c>
      <c r="X785" s="5" t="str">
        <f ca="1">IFERROR(__xludf.DUMMYFUNCTION("""COMPUTED_VALUE"""),"wguerra@postobon.com.co,aprmttoyu@postobon.com.co,aprmyu@postobon.com.co,wmora@postobon.com.co,efzapata@postobon.com.co")</f>
        <v>wguerra@postobon.com.co,aprmttoyu@postobon.com.co,aprmyu@postobon.com.co,wmora@postobon.com.co,efzapata@postobon.com.co</v>
      </c>
      <c r="Y785" s="5" t="str">
        <f ca="1">IFERROR(__xludf.DUMMYFUNCTION("""COMPUTED_VALUE"""),"wguerra@postobon.com.co")</f>
        <v>wguerra@postobon.com.co</v>
      </c>
      <c r="Z785" s="5" t="str">
        <f ca="1">IFERROR(__xludf.DUMMYFUNCTION("""COMPUTED_VALUE"""),"DvSXkQ11Q-i2nxtrJtmH4w")</f>
        <v>DvSXkQ11Q-i2nxtrJtmH4w</v>
      </c>
      <c r="AA785" s="5"/>
      <c r="AB785" s="5"/>
      <c r="AC785" s="5"/>
      <c r="AD785" s="5">
        <f ca="1">IFERROR(__xludf.DUMMYFUNCTION("""COMPUTED_VALUE"""),30)</f>
        <v>30</v>
      </c>
      <c r="AE785" s="5">
        <f ca="1">IFERROR(__xludf.DUMMYFUNCTION("""COMPUTED_VALUE"""),30)</f>
        <v>30</v>
      </c>
      <c r="AF785" s="5" t="b">
        <f ca="1">IFERROR(__xludf.DUMMYFUNCTION("""COMPUTED_VALUE"""),FALSE)</f>
        <v>0</v>
      </c>
      <c r="AG785" s="5" t="str">
        <f ca="1">IFERROR(__xludf.DUMMYFUNCTION("""COMPUTED_VALUE"""),"INSPECCIONES REALIZADAS")</f>
        <v>INSPECCIONES REALIZADAS</v>
      </c>
      <c r="AH785" s="5"/>
    </row>
    <row r="786" spans="1:34">
      <c r="A786" s="5" t="str">
        <f ca="1">IFERROR(__xludf.DUMMYFUNCTION("""COMPUTED_VALUE"""),"LINEA DE ENVASADO JUGOS PET HOT FILL")</f>
        <v>LINEA DE ENVASADO JUGOS PET HOT FILL</v>
      </c>
      <c r="B786" s="5">
        <f ca="1">IFERROR(__xludf.DUMMYFUNCTION("""COMPUTED_VALUE"""),900303)</f>
        <v>900303</v>
      </c>
      <c r="C786" s="5" t="str">
        <f ca="1">IFERROR(__xludf.DUMMYFUNCTION("""COMPUTED_VALUE"""),"LLENADORA")</f>
        <v>LLENADORA</v>
      </c>
      <c r="D786" s="5">
        <f ca="1">IFERROR(__xludf.DUMMYFUNCTION("""COMPUTED_VALUE"""),13247767)</f>
        <v>13247767</v>
      </c>
      <c r="E786" s="5" t="str">
        <f ca="1">IFERROR(__xludf.DUMMYFUNCTION("""COMPUTED_VALUE"""),"INSPECCION SEMANAL LLENADORA")</f>
        <v>INSPECCION SEMANAL LLENADORA</v>
      </c>
      <c r="F786" s="5" t="str">
        <f ca="1">IFERROR(__xludf.DUMMYFUNCTION("""COMPUTED_VALUE"""),"INSP. UNIDAD DE MATTO AIRE")</f>
        <v>INSP. UNIDAD DE MATTO AIRE</v>
      </c>
      <c r="G786" s="5" t="b">
        <f ca="1">IFERROR(__xludf.DUMMYFUNCTION("""COMPUTED_VALUE"""),TRUE)</f>
        <v>1</v>
      </c>
      <c r="H786" s="5"/>
      <c r="I786" s="5"/>
      <c r="J786" s="5">
        <f ca="1">IFERROR(__xludf.DUMMYFUNCTION("""COMPUTED_VALUE"""),13247767)</f>
        <v>13247767</v>
      </c>
      <c r="K786" s="5"/>
      <c r="L786" s="18">
        <f ca="1">IFERROR(__xludf.DUMMYFUNCTION("""COMPUTED_VALUE"""),45325)</f>
        <v>45325</v>
      </c>
      <c r="M786" s="18">
        <f ca="1">IFERROR(__xludf.DUMMYFUNCTION("""COMPUTED_VALUE"""),45325)</f>
        <v>45325</v>
      </c>
      <c r="N786" s="5" t="str">
        <f ca="1">IFERROR(__xludf.DUMMYFUNCTION("""COMPUTED_VALUE"""),"Franco Castillo Brayan Steven")</f>
        <v>Franco Castillo Brayan Steven</v>
      </c>
      <c r="O786" s="2">
        <f ca="1">IFERROR(__xludf.DUMMYFUNCTION("""COMPUTED_VALUE"""),0.041666667)</f>
        <v>4.1666666999999998E-2</v>
      </c>
      <c r="P786" s="5">
        <f ca="1">IFERROR(__xludf.DUMMYFUNCTION("""COMPUTED_VALUE"""),20009758)</f>
        <v>20009758</v>
      </c>
      <c r="Q786" s="5" t="str">
        <f ca="1">IFERROR(__xludf.DUMMYFUNCTION("""COMPUTED_VALUE"""),"3S684foHE9U")</f>
        <v>3S684foHE9U</v>
      </c>
      <c r="R786" s="5">
        <f ca="1">IFERROR(__xludf.DUMMYFUNCTION("""COMPUTED_VALUE"""),410)</f>
        <v>410</v>
      </c>
      <c r="S786" s="62">
        <f ca="1">IFERROR(__xludf.DUMMYFUNCTION("""COMPUTED_VALUE"""),0.041666667)</f>
        <v>4.1666666999999998E-2</v>
      </c>
      <c r="T786" s="63" t="str">
        <f ca="1">IFERROR(__xludf.DUMMYFUNCTION("""COMPUTED_VALUE"""),"https://storage.googleapis.com/glide-prod.appspot.com/uploads-v2/ly7o78grxPaC6KdgvbpS/pub/3aRdSog0vUtuqPE8AJKD.png")</f>
        <v>https://storage.googleapis.com/glide-prod.appspot.com/uploads-v2/ly7o78grxPaC6KdgvbpS/pub/3aRdSog0vUtuqPE8AJKD.png</v>
      </c>
      <c r="U786" s="5" t="str">
        <f ca="1">IFERROR(__xludf.DUMMYFUNCTION("""COMPUTED_VALUE"""),"LINEA DE ENVASADO JUGOS PET HOT FILLLLENADORA")</f>
        <v>LINEA DE ENVASADO JUGOS PET HOT FILLLLENADORA</v>
      </c>
      <c r="V786" s="5"/>
      <c r="W786" s="5" t="b">
        <f ca="1">IFERROR(__xludf.DUMMYFUNCTION("""COMPUTED_VALUE"""),TRUE)</f>
        <v>1</v>
      </c>
      <c r="X786" s="5" t="str">
        <f ca="1">IFERROR(__xludf.DUMMYFUNCTION("""COMPUTED_VALUE"""),"achavezi@postobon.com.co,aprmttoyu@postobon.com.co,aprmyu@postobon.com.co,wmora@postobon.com.co,efzapata@postobon.com.co")</f>
        <v>achavezi@postobon.com.co,aprmttoyu@postobon.com.co,aprmyu@postobon.com.co,wmora@postobon.com.co,efzapata@postobon.com.co</v>
      </c>
      <c r="Y786" s="5" t="str">
        <f ca="1">IFERROR(__xludf.DUMMYFUNCTION("""COMPUTED_VALUE"""),"achavezi@postobon.com.co")</f>
        <v>achavezi@postobon.com.co</v>
      </c>
      <c r="Z786" s="5" t="str">
        <f ca="1">IFERROR(__xludf.DUMMYFUNCTION("""COMPUTED_VALUE"""),"a-n71XRGjQ1eB5kCB-Dpi6A")</f>
        <v>a-n71XRGjQ1eB5kCB-Dpi6A</v>
      </c>
      <c r="AA786" s="5"/>
      <c r="AB786" s="5"/>
      <c r="AC786" s="5"/>
      <c r="AD786" s="5">
        <f ca="1">IFERROR(__xludf.DUMMYFUNCTION("""COMPUTED_VALUE"""),24)</f>
        <v>24</v>
      </c>
      <c r="AE786" s="5">
        <f ca="1">IFERROR(__xludf.DUMMYFUNCTION("""COMPUTED_VALUE"""),24)</f>
        <v>24</v>
      </c>
      <c r="AF786" s="5" t="b">
        <f ca="1">IFERROR(__xludf.DUMMYFUNCTION("""COMPUTED_VALUE"""),FALSE)</f>
        <v>0</v>
      </c>
      <c r="AG786" s="5" t="str">
        <f ca="1">IFERROR(__xludf.DUMMYFUNCTION("""COMPUTED_VALUE"""),"INSPECCIONES REALIZADAS")</f>
        <v>INSPECCIONES REALIZADAS</v>
      </c>
      <c r="AH786" s="5"/>
    </row>
    <row r="787" spans="1:34">
      <c r="A787" s="5" t="str">
        <f ca="1">IFERROR(__xludf.DUMMYFUNCTION("""COMPUTED_VALUE"""),"LINEA DE ENVASADO JUGOS PET HOT FILL")</f>
        <v>LINEA DE ENVASADO JUGOS PET HOT FILL</v>
      </c>
      <c r="B787" s="5">
        <f ca="1">IFERROR(__xludf.DUMMYFUNCTION("""COMPUTED_VALUE"""),900303)</f>
        <v>900303</v>
      </c>
      <c r="C787" s="5" t="str">
        <f ca="1">IFERROR(__xludf.DUMMYFUNCTION("""COMPUTED_VALUE"""),"LLENADORA")</f>
        <v>LLENADORA</v>
      </c>
      <c r="D787" s="5">
        <f ca="1">IFERROR(__xludf.DUMMYFUNCTION("""COMPUTED_VALUE"""),13247767)</f>
        <v>13247767</v>
      </c>
      <c r="E787" s="5" t="str">
        <f ca="1">IFERROR(__xludf.DUMMYFUNCTION("""COMPUTED_VALUE"""),"INSPECCION SEMANAL LLENADORA")</f>
        <v>INSPECCION SEMANAL LLENADORA</v>
      </c>
      <c r="F787" s="5" t="str">
        <f ca="1">IFERROR(__xludf.DUMMYFUNCTION("""COMPUTED_VALUE"""),"INSTRUMENTACION")</f>
        <v>INSTRUMENTACION</v>
      </c>
      <c r="G787" s="5" t="b">
        <f ca="1">IFERROR(__xludf.DUMMYFUNCTION("""COMPUTED_VALUE"""),TRUE)</f>
        <v>1</v>
      </c>
      <c r="H787" s="5"/>
      <c r="I787" s="5"/>
      <c r="J787" s="5">
        <f ca="1">IFERROR(__xludf.DUMMYFUNCTION("""COMPUTED_VALUE"""),13247767)</f>
        <v>13247767</v>
      </c>
      <c r="K787" s="5"/>
      <c r="L787" s="18">
        <f ca="1">IFERROR(__xludf.DUMMYFUNCTION("""COMPUTED_VALUE"""),45325)</f>
        <v>45325</v>
      </c>
      <c r="M787" s="18">
        <f ca="1">IFERROR(__xludf.DUMMYFUNCTION("""COMPUTED_VALUE"""),45325)</f>
        <v>45325</v>
      </c>
      <c r="N787" s="5" t="str">
        <f ca="1">IFERROR(__xludf.DUMMYFUNCTION("""COMPUTED_VALUE"""),"Franco Castillo Brayan Steven")</f>
        <v>Franco Castillo Brayan Steven</v>
      </c>
      <c r="O787" s="2">
        <f ca="1">IFERROR(__xludf.DUMMYFUNCTION("""COMPUTED_VALUE"""),0.041666667)</f>
        <v>4.1666666999999998E-2</v>
      </c>
      <c r="P787" s="5">
        <f ca="1">IFERROR(__xludf.DUMMYFUNCTION("""COMPUTED_VALUE"""),20009758)</f>
        <v>20009758</v>
      </c>
      <c r="Q787" s="5" t="str">
        <f ca="1">IFERROR(__xludf.DUMMYFUNCTION("""COMPUTED_VALUE"""),"0qQlEO0bQ4U")</f>
        <v>0qQlEO0bQ4U</v>
      </c>
      <c r="R787" s="5">
        <f ca="1">IFERROR(__xludf.DUMMYFUNCTION("""COMPUTED_VALUE"""),410)</f>
        <v>410</v>
      </c>
      <c r="S787" s="62">
        <f ca="1">IFERROR(__xludf.DUMMYFUNCTION("""COMPUTED_VALUE"""),0.041666667)</f>
        <v>4.1666666999999998E-2</v>
      </c>
      <c r="T787" s="63" t="str">
        <f ca="1">IFERROR(__xludf.DUMMYFUNCTION("""COMPUTED_VALUE"""),"https://storage.googleapis.com/glide-prod.appspot.com/uploads-v2/ly7o78grxPaC6KdgvbpS/pub/3aRdSog0vUtuqPE8AJKD.png")</f>
        <v>https://storage.googleapis.com/glide-prod.appspot.com/uploads-v2/ly7o78grxPaC6KdgvbpS/pub/3aRdSog0vUtuqPE8AJKD.png</v>
      </c>
      <c r="U787" s="5" t="str">
        <f ca="1">IFERROR(__xludf.DUMMYFUNCTION("""COMPUTED_VALUE"""),"LINEA DE ENVASADO JUGOS PET HOT FILLLLENADORA")</f>
        <v>LINEA DE ENVASADO JUGOS PET HOT FILLLLENADORA</v>
      </c>
      <c r="V787" s="5"/>
      <c r="W787" s="5" t="b">
        <f ca="1">IFERROR(__xludf.DUMMYFUNCTION("""COMPUTED_VALUE"""),TRUE)</f>
        <v>1</v>
      </c>
      <c r="X787" s="5" t="str">
        <f ca="1">IFERROR(__xludf.DUMMYFUNCTION("""COMPUTED_VALUE"""),"achavezi@postobon.com.co,aprmttoyu@postobon.com.co,aprmyu@postobon.com.co,wmora@postobon.com.co,efzapata@postobon.com.co")</f>
        <v>achavezi@postobon.com.co,aprmttoyu@postobon.com.co,aprmyu@postobon.com.co,wmora@postobon.com.co,efzapata@postobon.com.co</v>
      </c>
      <c r="Y787" s="5" t="str">
        <f ca="1">IFERROR(__xludf.DUMMYFUNCTION("""COMPUTED_VALUE"""),"achavezi@postobon.com.co")</f>
        <v>achavezi@postobon.com.co</v>
      </c>
      <c r="Z787" s="5" t="str">
        <f ca="1">IFERROR(__xludf.DUMMYFUNCTION("""COMPUTED_VALUE"""),"VoSZEZS1RAmJySf1PIEPRA")</f>
        <v>VoSZEZS1RAmJySf1PIEPRA</v>
      </c>
      <c r="AA787" s="5"/>
      <c r="AB787" s="5"/>
      <c r="AC787" s="5"/>
      <c r="AD787" s="5">
        <f ca="1">IFERROR(__xludf.DUMMYFUNCTION("""COMPUTED_VALUE"""),24)</f>
        <v>24</v>
      </c>
      <c r="AE787" s="5">
        <f ca="1">IFERROR(__xludf.DUMMYFUNCTION("""COMPUTED_VALUE"""),24)</f>
        <v>24</v>
      </c>
      <c r="AF787" s="5" t="b">
        <f ca="1">IFERROR(__xludf.DUMMYFUNCTION("""COMPUTED_VALUE"""),FALSE)</f>
        <v>0</v>
      </c>
      <c r="AG787" s="5" t="str">
        <f ca="1">IFERROR(__xludf.DUMMYFUNCTION("""COMPUTED_VALUE"""),"INSPECCIONES REALIZADAS")</f>
        <v>INSPECCIONES REALIZADAS</v>
      </c>
      <c r="AH787" s="5"/>
    </row>
    <row r="788" spans="1:34">
      <c r="A788" s="5" t="str">
        <f ca="1">IFERROR(__xludf.DUMMYFUNCTION("""COMPUTED_VALUE"""),"LINEA DE ENVASADO JUGOS PET HOT FILL")</f>
        <v>LINEA DE ENVASADO JUGOS PET HOT FILL</v>
      </c>
      <c r="B788" s="5">
        <f ca="1">IFERROR(__xludf.DUMMYFUNCTION("""COMPUTED_VALUE"""),900303)</f>
        <v>900303</v>
      </c>
      <c r="C788" s="5" t="str">
        <f ca="1">IFERROR(__xludf.DUMMYFUNCTION("""COMPUTED_VALUE"""),"LLENADORA")</f>
        <v>LLENADORA</v>
      </c>
      <c r="D788" s="5">
        <f ca="1">IFERROR(__xludf.DUMMYFUNCTION("""COMPUTED_VALUE"""),13247767)</f>
        <v>13247767</v>
      </c>
      <c r="E788" s="5" t="str">
        <f ca="1">IFERROR(__xludf.DUMMYFUNCTION("""COMPUTED_VALUE"""),"INSPECCION SEMANAL LLENADORA")</f>
        <v>INSPECCION SEMANAL LLENADORA</v>
      </c>
      <c r="F788" s="5" t="str">
        <f ca="1">IFERROR(__xludf.DUMMYFUNCTION("""COMPUTED_VALUE"""),"ESCAPE DE FLUIDOS")</f>
        <v>ESCAPE DE FLUIDOS</v>
      </c>
      <c r="G788" s="5" t="b">
        <f ca="1">IFERROR(__xludf.DUMMYFUNCTION("""COMPUTED_VALUE"""),TRUE)</f>
        <v>1</v>
      </c>
      <c r="H788" s="5"/>
      <c r="I788" s="5"/>
      <c r="J788" s="5">
        <f ca="1">IFERROR(__xludf.DUMMYFUNCTION("""COMPUTED_VALUE"""),13247767)</f>
        <v>13247767</v>
      </c>
      <c r="K788" s="5"/>
      <c r="L788" s="18">
        <f ca="1">IFERROR(__xludf.DUMMYFUNCTION("""COMPUTED_VALUE"""),45325)</f>
        <v>45325</v>
      </c>
      <c r="M788" s="18">
        <f ca="1">IFERROR(__xludf.DUMMYFUNCTION("""COMPUTED_VALUE"""),45325)</f>
        <v>45325</v>
      </c>
      <c r="N788" s="5" t="str">
        <f ca="1">IFERROR(__xludf.DUMMYFUNCTION("""COMPUTED_VALUE"""),"Franco Castillo Brayan Steven")</f>
        <v>Franco Castillo Brayan Steven</v>
      </c>
      <c r="O788" s="2">
        <f ca="1">IFERROR(__xludf.DUMMYFUNCTION("""COMPUTED_VALUE"""),0.041666667)</f>
        <v>4.1666666999999998E-2</v>
      </c>
      <c r="P788" s="5">
        <f ca="1">IFERROR(__xludf.DUMMYFUNCTION("""COMPUTED_VALUE"""),20009758)</f>
        <v>20009758</v>
      </c>
      <c r="Q788" s="5" t="str">
        <f ca="1">IFERROR(__xludf.DUMMYFUNCTION("""COMPUTED_VALUE"""),"UJpzDh30vN4")</f>
        <v>UJpzDh30vN4</v>
      </c>
      <c r="R788" s="5">
        <f ca="1">IFERROR(__xludf.DUMMYFUNCTION("""COMPUTED_VALUE"""),410)</f>
        <v>410</v>
      </c>
      <c r="S788" s="62">
        <f ca="1">IFERROR(__xludf.DUMMYFUNCTION("""COMPUTED_VALUE"""),0.041666667)</f>
        <v>4.1666666999999998E-2</v>
      </c>
      <c r="T788" s="63" t="str">
        <f ca="1">IFERROR(__xludf.DUMMYFUNCTION("""COMPUTED_VALUE"""),"https://storage.googleapis.com/glide-prod.appspot.com/uploads-v2/ly7o78grxPaC6KdgvbpS/pub/3aRdSog0vUtuqPE8AJKD.png")</f>
        <v>https://storage.googleapis.com/glide-prod.appspot.com/uploads-v2/ly7o78grxPaC6KdgvbpS/pub/3aRdSog0vUtuqPE8AJKD.png</v>
      </c>
      <c r="U788" s="5" t="str">
        <f ca="1">IFERROR(__xludf.DUMMYFUNCTION("""COMPUTED_VALUE"""),"LINEA DE ENVASADO JUGOS PET HOT FILLLLENADORA")</f>
        <v>LINEA DE ENVASADO JUGOS PET HOT FILLLLENADORA</v>
      </c>
      <c r="V788" s="5"/>
      <c r="W788" s="5" t="b">
        <f ca="1">IFERROR(__xludf.DUMMYFUNCTION("""COMPUTED_VALUE"""),TRUE)</f>
        <v>1</v>
      </c>
      <c r="X788" s="5" t="str">
        <f ca="1">IFERROR(__xludf.DUMMYFUNCTION("""COMPUTED_VALUE"""),"achavezi@postobon.com.co,aprmttoyu@postobon.com.co,aprmyu@postobon.com.co,wmora@postobon.com.co,efzapata@postobon.com.co")</f>
        <v>achavezi@postobon.com.co,aprmttoyu@postobon.com.co,aprmyu@postobon.com.co,wmora@postobon.com.co,efzapata@postobon.com.co</v>
      </c>
      <c r="Y788" s="5" t="str">
        <f ca="1">IFERROR(__xludf.DUMMYFUNCTION("""COMPUTED_VALUE"""),"achavezi@postobon.com.co")</f>
        <v>achavezi@postobon.com.co</v>
      </c>
      <c r="Z788" s="5" t="str">
        <f ca="1">IFERROR(__xludf.DUMMYFUNCTION("""COMPUTED_VALUE"""),"3REyQmhvRGuT-9Roc9GIqA")</f>
        <v>3REyQmhvRGuT-9Roc9GIqA</v>
      </c>
      <c r="AA788" s="5"/>
      <c r="AB788" s="5"/>
      <c r="AC788" s="5"/>
      <c r="AD788" s="5">
        <f ca="1">IFERROR(__xludf.DUMMYFUNCTION("""COMPUTED_VALUE"""),24)</f>
        <v>24</v>
      </c>
      <c r="AE788" s="5">
        <f ca="1">IFERROR(__xludf.DUMMYFUNCTION("""COMPUTED_VALUE"""),24)</f>
        <v>24</v>
      </c>
      <c r="AF788" s="5" t="b">
        <f ca="1">IFERROR(__xludf.DUMMYFUNCTION("""COMPUTED_VALUE"""),FALSE)</f>
        <v>0</v>
      </c>
      <c r="AG788" s="5" t="str">
        <f ca="1">IFERROR(__xludf.DUMMYFUNCTION("""COMPUTED_VALUE"""),"INSPECCIONES REALIZADAS")</f>
        <v>INSPECCIONES REALIZADAS</v>
      </c>
      <c r="AH788" s="5"/>
    </row>
    <row r="789" spans="1:34">
      <c r="A789" s="5" t="str">
        <f ca="1">IFERROR(__xludf.DUMMYFUNCTION("""COMPUTED_VALUE"""),"LINEA DE ENVASADO JUGOS PET HOT FILL")</f>
        <v>LINEA DE ENVASADO JUGOS PET HOT FILL</v>
      </c>
      <c r="B789" s="5">
        <f ca="1">IFERROR(__xludf.DUMMYFUNCTION("""COMPUTED_VALUE"""),900303)</f>
        <v>900303</v>
      </c>
      <c r="C789" s="5" t="str">
        <f ca="1">IFERROR(__xludf.DUMMYFUNCTION("""COMPUTED_VALUE"""),"LLENADORA")</f>
        <v>LLENADORA</v>
      </c>
      <c r="D789" s="5">
        <f ca="1">IFERROR(__xludf.DUMMYFUNCTION("""COMPUTED_VALUE"""),13247767)</f>
        <v>13247767</v>
      </c>
      <c r="E789" s="5" t="str">
        <f ca="1">IFERROR(__xludf.DUMMYFUNCTION("""COMPUTED_VALUE"""),"INSPECCION SEMANAL LLENADORA")</f>
        <v>INSPECCION SEMANAL LLENADORA</v>
      </c>
      <c r="F789" s="5" t="str">
        <f ca="1">IFERROR(__xludf.DUMMYFUNCTION("""COMPUTED_VALUE"""),"ESTADO DE ESTRELLAS Y PINZAS")</f>
        <v>ESTADO DE ESTRELLAS Y PINZAS</v>
      </c>
      <c r="G789" s="5" t="b">
        <f ca="1">IFERROR(__xludf.DUMMYFUNCTION("""COMPUTED_VALUE"""),TRUE)</f>
        <v>1</v>
      </c>
      <c r="H789" s="5"/>
      <c r="I789" s="5"/>
      <c r="J789" s="5">
        <f ca="1">IFERROR(__xludf.DUMMYFUNCTION("""COMPUTED_VALUE"""),13247767)</f>
        <v>13247767</v>
      </c>
      <c r="K789" s="5"/>
      <c r="L789" s="18">
        <f ca="1">IFERROR(__xludf.DUMMYFUNCTION("""COMPUTED_VALUE"""),45325)</f>
        <v>45325</v>
      </c>
      <c r="M789" s="18">
        <f ca="1">IFERROR(__xludf.DUMMYFUNCTION("""COMPUTED_VALUE"""),45325)</f>
        <v>45325</v>
      </c>
      <c r="N789" s="5" t="str">
        <f ca="1">IFERROR(__xludf.DUMMYFUNCTION("""COMPUTED_VALUE"""),"Franco Castillo Brayan Steven")</f>
        <v>Franco Castillo Brayan Steven</v>
      </c>
      <c r="O789" s="2">
        <f ca="1">IFERROR(__xludf.DUMMYFUNCTION("""COMPUTED_VALUE"""),0.041666667)</f>
        <v>4.1666666999999998E-2</v>
      </c>
      <c r="P789" s="5">
        <f ca="1">IFERROR(__xludf.DUMMYFUNCTION("""COMPUTED_VALUE"""),20009758)</f>
        <v>20009758</v>
      </c>
      <c r="Q789" s="5" t="str">
        <f ca="1">IFERROR(__xludf.DUMMYFUNCTION("""COMPUTED_VALUE"""),"wTFdUeV1bNc")</f>
        <v>wTFdUeV1bNc</v>
      </c>
      <c r="R789" s="5">
        <f ca="1">IFERROR(__xludf.DUMMYFUNCTION("""COMPUTED_VALUE"""),410)</f>
        <v>410</v>
      </c>
      <c r="S789" s="62">
        <f ca="1">IFERROR(__xludf.DUMMYFUNCTION("""COMPUTED_VALUE"""),0.041666667)</f>
        <v>4.1666666999999998E-2</v>
      </c>
      <c r="T789" s="63" t="str">
        <f ca="1">IFERROR(__xludf.DUMMYFUNCTION("""COMPUTED_VALUE"""),"https://storage.googleapis.com/glide-prod.appspot.com/uploads-v2/ly7o78grxPaC6KdgvbpS/pub/3aRdSog0vUtuqPE8AJKD.png")</f>
        <v>https://storage.googleapis.com/glide-prod.appspot.com/uploads-v2/ly7o78grxPaC6KdgvbpS/pub/3aRdSog0vUtuqPE8AJKD.png</v>
      </c>
      <c r="U789" s="5" t="str">
        <f ca="1">IFERROR(__xludf.DUMMYFUNCTION("""COMPUTED_VALUE"""),"LINEA DE ENVASADO JUGOS PET HOT FILLLLENADORA")</f>
        <v>LINEA DE ENVASADO JUGOS PET HOT FILLLLENADORA</v>
      </c>
      <c r="V789" s="5"/>
      <c r="W789" s="5" t="b">
        <f ca="1">IFERROR(__xludf.DUMMYFUNCTION("""COMPUTED_VALUE"""),TRUE)</f>
        <v>1</v>
      </c>
      <c r="X789" s="5" t="str">
        <f ca="1">IFERROR(__xludf.DUMMYFUNCTION("""COMPUTED_VALUE"""),"achavezi@postobon.com.co,aprmttoyu@postobon.com.co,aprmyu@postobon.com.co,wmora@postobon.com.co,efzapata@postobon.com.co")</f>
        <v>achavezi@postobon.com.co,aprmttoyu@postobon.com.co,aprmyu@postobon.com.co,wmora@postobon.com.co,efzapata@postobon.com.co</v>
      </c>
      <c r="Y789" s="5" t="str">
        <f ca="1">IFERROR(__xludf.DUMMYFUNCTION("""COMPUTED_VALUE"""),"achavezi@postobon.com.co")</f>
        <v>achavezi@postobon.com.co</v>
      </c>
      <c r="Z789" s="5" t="str">
        <f ca="1">IFERROR(__xludf.DUMMYFUNCTION("""COMPUTED_VALUE"""),"u-C6ALBFQPOXizPNDsrDjg")</f>
        <v>u-C6ALBFQPOXizPNDsrDjg</v>
      </c>
      <c r="AA789" s="5"/>
      <c r="AB789" s="5"/>
      <c r="AC789" s="5"/>
      <c r="AD789" s="5">
        <f ca="1">IFERROR(__xludf.DUMMYFUNCTION("""COMPUTED_VALUE"""),24)</f>
        <v>24</v>
      </c>
      <c r="AE789" s="5">
        <f ca="1">IFERROR(__xludf.DUMMYFUNCTION("""COMPUTED_VALUE"""),24)</f>
        <v>24</v>
      </c>
      <c r="AF789" s="5" t="b">
        <f ca="1">IFERROR(__xludf.DUMMYFUNCTION("""COMPUTED_VALUE"""),FALSE)</f>
        <v>0</v>
      </c>
      <c r="AG789" s="5" t="str">
        <f ca="1">IFERROR(__xludf.DUMMYFUNCTION("""COMPUTED_VALUE"""),"INSPECCIONES REALIZADAS")</f>
        <v>INSPECCIONES REALIZADAS</v>
      </c>
      <c r="AH789" s="5"/>
    </row>
    <row r="790" spans="1:34">
      <c r="A790" s="5" t="str">
        <f ca="1">IFERROR(__xludf.DUMMYFUNCTION("""COMPUTED_VALUE"""),"LINEA DE ENVASADO JUGOS PET HOT FILL")</f>
        <v>LINEA DE ENVASADO JUGOS PET HOT FILL</v>
      </c>
      <c r="B790" s="5">
        <f ca="1">IFERROR(__xludf.DUMMYFUNCTION("""COMPUTED_VALUE"""),900303)</f>
        <v>900303</v>
      </c>
      <c r="C790" s="5" t="str">
        <f ca="1">IFERROR(__xludf.DUMMYFUNCTION("""COMPUTED_VALUE"""),"LLENADORA")</f>
        <v>LLENADORA</v>
      </c>
      <c r="D790" s="5">
        <f ca="1">IFERROR(__xludf.DUMMYFUNCTION("""COMPUTED_VALUE"""),13247767)</f>
        <v>13247767</v>
      </c>
      <c r="E790" s="5" t="str">
        <f ca="1">IFERROR(__xludf.DUMMYFUNCTION("""COMPUTED_VALUE"""),"INSPECCION SEMANAL LLENADORA")</f>
        <v>INSPECCION SEMANAL LLENADORA</v>
      </c>
      <c r="F790" s="5" t="str">
        <f ca="1">IFERROR(__xludf.DUMMYFUNCTION("""COMPUTED_VALUE"""),"INSP. FILTRO TABERO ELECTRICO")</f>
        <v>INSP. FILTRO TABERO ELECTRICO</v>
      </c>
      <c r="G790" s="5" t="b">
        <f ca="1">IFERROR(__xludf.DUMMYFUNCTION("""COMPUTED_VALUE"""),TRUE)</f>
        <v>1</v>
      </c>
      <c r="H790" s="5"/>
      <c r="I790" s="5"/>
      <c r="J790" s="5">
        <f ca="1">IFERROR(__xludf.DUMMYFUNCTION("""COMPUTED_VALUE"""),13247767)</f>
        <v>13247767</v>
      </c>
      <c r="K790" s="5"/>
      <c r="L790" s="18">
        <f ca="1">IFERROR(__xludf.DUMMYFUNCTION("""COMPUTED_VALUE"""),45325)</f>
        <v>45325</v>
      </c>
      <c r="M790" s="18">
        <f ca="1">IFERROR(__xludf.DUMMYFUNCTION("""COMPUTED_VALUE"""),45325)</f>
        <v>45325</v>
      </c>
      <c r="N790" s="5" t="str">
        <f ca="1">IFERROR(__xludf.DUMMYFUNCTION("""COMPUTED_VALUE"""),"Franco Castillo Brayan Steven")</f>
        <v>Franco Castillo Brayan Steven</v>
      </c>
      <c r="O790" s="2">
        <f ca="1">IFERROR(__xludf.DUMMYFUNCTION("""COMPUTED_VALUE"""),0.041666667)</f>
        <v>4.1666666999999998E-2</v>
      </c>
      <c r="P790" s="5">
        <f ca="1">IFERROR(__xludf.DUMMYFUNCTION("""COMPUTED_VALUE"""),20009758)</f>
        <v>20009758</v>
      </c>
      <c r="Q790" s="5" t="str">
        <f ca="1">IFERROR(__xludf.DUMMYFUNCTION("""COMPUTED_VALUE"""),"1qc5nE-ziyI")</f>
        <v>1qc5nE-ziyI</v>
      </c>
      <c r="R790" s="5">
        <f ca="1">IFERROR(__xludf.DUMMYFUNCTION("""COMPUTED_VALUE"""),410)</f>
        <v>410</v>
      </c>
      <c r="S790" s="62">
        <f ca="1">IFERROR(__xludf.DUMMYFUNCTION("""COMPUTED_VALUE"""),0.041666667)</f>
        <v>4.1666666999999998E-2</v>
      </c>
      <c r="T790" s="63" t="str">
        <f ca="1">IFERROR(__xludf.DUMMYFUNCTION("""COMPUTED_VALUE"""),"https://storage.googleapis.com/glide-prod.appspot.com/uploads-v2/ly7o78grxPaC6KdgvbpS/pub/3aRdSog0vUtuqPE8AJKD.png")</f>
        <v>https://storage.googleapis.com/glide-prod.appspot.com/uploads-v2/ly7o78grxPaC6KdgvbpS/pub/3aRdSog0vUtuqPE8AJKD.png</v>
      </c>
      <c r="U790" s="5" t="str">
        <f ca="1">IFERROR(__xludf.DUMMYFUNCTION("""COMPUTED_VALUE"""),"LINEA DE ENVASADO JUGOS PET HOT FILLLLENADORA")</f>
        <v>LINEA DE ENVASADO JUGOS PET HOT FILLLLENADORA</v>
      </c>
      <c r="V790" s="5"/>
      <c r="W790" s="5" t="b">
        <f ca="1">IFERROR(__xludf.DUMMYFUNCTION("""COMPUTED_VALUE"""),TRUE)</f>
        <v>1</v>
      </c>
      <c r="X790" s="5" t="str">
        <f ca="1">IFERROR(__xludf.DUMMYFUNCTION("""COMPUTED_VALUE"""),"achavezi@postobon.com.co,aprmttoyu@postobon.com.co,aprmyu@postobon.com.co,wmora@postobon.com.co,efzapata@postobon.com.co")</f>
        <v>achavezi@postobon.com.co,aprmttoyu@postobon.com.co,aprmyu@postobon.com.co,wmora@postobon.com.co,efzapata@postobon.com.co</v>
      </c>
      <c r="Y790" s="5" t="str">
        <f ca="1">IFERROR(__xludf.DUMMYFUNCTION("""COMPUTED_VALUE"""),"achavezi@postobon.com.co")</f>
        <v>achavezi@postobon.com.co</v>
      </c>
      <c r="Z790" s="5" t="str">
        <f ca="1">IFERROR(__xludf.DUMMYFUNCTION("""COMPUTED_VALUE"""),"EWlYT8cLRXiw5ot2DygUZQ")</f>
        <v>EWlYT8cLRXiw5ot2DygUZQ</v>
      </c>
      <c r="AA790" s="5"/>
      <c r="AB790" s="5"/>
      <c r="AC790" s="5"/>
      <c r="AD790" s="5">
        <f ca="1">IFERROR(__xludf.DUMMYFUNCTION("""COMPUTED_VALUE"""),24)</f>
        <v>24</v>
      </c>
      <c r="AE790" s="5">
        <f ca="1">IFERROR(__xludf.DUMMYFUNCTION("""COMPUTED_VALUE"""),24)</f>
        <v>24</v>
      </c>
      <c r="AF790" s="5" t="b">
        <f ca="1">IFERROR(__xludf.DUMMYFUNCTION("""COMPUTED_VALUE"""),FALSE)</f>
        <v>0</v>
      </c>
      <c r="AG790" s="5" t="str">
        <f ca="1">IFERROR(__xludf.DUMMYFUNCTION("""COMPUTED_VALUE"""),"INSPECCIONES REALIZADAS")</f>
        <v>INSPECCIONES REALIZADAS</v>
      </c>
      <c r="AH790" s="5"/>
    </row>
    <row r="791" spans="1:34">
      <c r="A791" s="5" t="str">
        <f ca="1">IFERROR(__xludf.DUMMYFUNCTION("""COMPUTED_VALUE"""),"LINEA DE ENVASADO JUGOS PET HOT FILL")</f>
        <v>LINEA DE ENVASADO JUGOS PET HOT FILL</v>
      </c>
      <c r="B791" s="5">
        <f ca="1">IFERROR(__xludf.DUMMYFUNCTION("""COMPUTED_VALUE"""),900303)</f>
        <v>900303</v>
      </c>
      <c r="C791" s="5" t="str">
        <f ca="1">IFERROR(__xludf.DUMMYFUNCTION("""COMPUTED_VALUE"""),"LLENADORA")</f>
        <v>LLENADORA</v>
      </c>
      <c r="D791" s="5">
        <f ca="1">IFERROR(__xludf.DUMMYFUNCTION("""COMPUTED_VALUE"""),13247767)</f>
        <v>13247767</v>
      </c>
      <c r="E791" s="5" t="str">
        <f ca="1">IFERROR(__xludf.DUMMYFUNCTION("""COMPUTED_VALUE"""),"INSPECCION SEMANAL LLENADORA")</f>
        <v>INSPECCION SEMANAL LLENADORA</v>
      </c>
      <c r="F791" s="5" t="str">
        <f ca="1">IFERROR(__xludf.DUMMYFUNCTION("""COMPUTED_VALUE"""),"INSP. TUBERIAS Y ACCESORIOS")</f>
        <v>INSP. TUBERIAS Y ACCESORIOS</v>
      </c>
      <c r="G791" s="5" t="b">
        <f ca="1">IFERROR(__xludf.DUMMYFUNCTION("""COMPUTED_VALUE"""),TRUE)</f>
        <v>1</v>
      </c>
      <c r="H791" s="5"/>
      <c r="I791" s="5"/>
      <c r="J791" s="5">
        <f ca="1">IFERROR(__xludf.DUMMYFUNCTION("""COMPUTED_VALUE"""),13247767)</f>
        <v>13247767</v>
      </c>
      <c r="K791" s="5"/>
      <c r="L791" s="18">
        <f ca="1">IFERROR(__xludf.DUMMYFUNCTION("""COMPUTED_VALUE"""),45325)</f>
        <v>45325</v>
      </c>
      <c r="M791" s="18">
        <f ca="1">IFERROR(__xludf.DUMMYFUNCTION("""COMPUTED_VALUE"""),45325)</f>
        <v>45325</v>
      </c>
      <c r="N791" s="5" t="str">
        <f ca="1">IFERROR(__xludf.DUMMYFUNCTION("""COMPUTED_VALUE"""),"Franco Castillo Brayan Steven")</f>
        <v>Franco Castillo Brayan Steven</v>
      </c>
      <c r="O791" s="2">
        <f ca="1">IFERROR(__xludf.DUMMYFUNCTION("""COMPUTED_VALUE"""),0.041666667)</f>
        <v>4.1666666999999998E-2</v>
      </c>
      <c r="P791" s="5">
        <f ca="1">IFERROR(__xludf.DUMMYFUNCTION("""COMPUTED_VALUE"""),20009758)</f>
        <v>20009758</v>
      </c>
      <c r="Q791" s="5" t="str">
        <f ca="1">IFERROR(__xludf.DUMMYFUNCTION("""COMPUTED_VALUE"""),"4KHlAWQm1xQ")</f>
        <v>4KHlAWQm1xQ</v>
      </c>
      <c r="R791" s="5">
        <f ca="1">IFERROR(__xludf.DUMMYFUNCTION("""COMPUTED_VALUE"""),410)</f>
        <v>410</v>
      </c>
      <c r="S791" s="62">
        <f ca="1">IFERROR(__xludf.DUMMYFUNCTION("""COMPUTED_VALUE"""),0.041666667)</f>
        <v>4.1666666999999998E-2</v>
      </c>
      <c r="T791" s="63" t="str">
        <f ca="1">IFERROR(__xludf.DUMMYFUNCTION("""COMPUTED_VALUE"""),"https://storage.googleapis.com/glide-prod.appspot.com/uploads-v2/ly7o78grxPaC6KdgvbpS/pub/3aRdSog0vUtuqPE8AJKD.png")</f>
        <v>https://storage.googleapis.com/glide-prod.appspot.com/uploads-v2/ly7o78grxPaC6KdgvbpS/pub/3aRdSog0vUtuqPE8AJKD.png</v>
      </c>
      <c r="U791" s="5" t="str">
        <f ca="1">IFERROR(__xludf.DUMMYFUNCTION("""COMPUTED_VALUE"""),"LINEA DE ENVASADO JUGOS PET HOT FILLLLENADORA")</f>
        <v>LINEA DE ENVASADO JUGOS PET HOT FILLLLENADORA</v>
      </c>
      <c r="V791" s="5"/>
      <c r="W791" s="5" t="b">
        <f ca="1">IFERROR(__xludf.DUMMYFUNCTION("""COMPUTED_VALUE"""),TRUE)</f>
        <v>1</v>
      </c>
      <c r="X791" s="5" t="str">
        <f ca="1">IFERROR(__xludf.DUMMYFUNCTION("""COMPUTED_VALUE"""),"achavezi@postobon.com.co,aprmttoyu@postobon.com.co,aprmyu@postobon.com.co,wmora@postobon.com.co,efzapata@postobon.com.co")</f>
        <v>achavezi@postobon.com.co,aprmttoyu@postobon.com.co,aprmyu@postobon.com.co,wmora@postobon.com.co,efzapata@postobon.com.co</v>
      </c>
      <c r="Y791" s="5" t="str">
        <f ca="1">IFERROR(__xludf.DUMMYFUNCTION("""COMPUTED_VALUE"""),"achavezi@postobon.com.co")</f>
        <v>achavezi@postobon.com.co</v>
      </c>
      <c r="Z791" s="5" t="str">
        <f ca="1">IFERROR(__xludf.DUMMYFUNCTION("""COMPUTED_VALUE"""),"bNLlJS-0RvKMEKfEqbXRbw")</f>
        <v>bNLlJS-0RvKMEKfEqbXRbw</v>
      </c>
      <c r="AA791" s="5"/>
      <c r="AB791" s="5"/>
      <c r="AC791" s="5"/>
      <c r="AD791" s="5">
        <f ca="1">IFERROR(__xludf.DUMMYFUNCTION("""COMPUTED_VALUE"""),24)</f>
        <v>24</v>
      </c>
      <c r="AE791" s="5">
        <f ca="1">IFERROR(__xludf.DUMMYFUNCTION("""COMPUTED_VALUE"""),24)</f>
        <v>24</v>
      </c>
      <c r="AF791" s="5" t="b">
        <f ca="1">IFERROR(__xludf.DUMMYFUNCTION("""COMPUTED_VALUE"""),FALSE)</f>
        <v>0</v>
      </c>
      <c r="AG791" s="5" t="str">
        <f ca="1">IFERROR(__xludf.DUMMYFUNCTION("""COMPUTED_VALUE"""),"INSPECCIONES REALIZADAS")</f>
        <v>INSPECCIONES REALIZADAS</v>
      </c>
      <c r="AH791" s="5"/>
    </row>
    <row r="792" spans="1:34">
      <c r="A792" s="5" t="str">
        <f ca="1">IFERROR(__xludf.DUMMYFUNCTION("""COMPUTED_VALUE"""),"LINEA DE ENVASADO JUGOS PET HOT FILL")</f>
        <v>LINEA DE ENVASADO JUGOS PET HOT FILL</v>
      </c>
      <c r="B792" s="5">
        <f ca="1">IFERROR(__xludf.DUMMYFUNCTION("""COMPUTED_VALUE"""),900303)</f>
        <v>900303</v>
      </c>
      <c r="C792" s="5" t="str">
        <f ca="1">IFERROR(__xludf.DUMMYFUNCTION("""COMPUTED_VALUE"""),"LLENADORA")</f>
        <v>LLENADORA</v>
      </c>
      <c r="D792" s="5">
        <f ca="1">IFERROR(__xludf.DUMMYFUNCTION("""COMPUTED_VALUE"""),13247767)</f>
        <v>13247767</v>
      </c>
      <c r="E792" s="5" t="str">
        <f ca="1">IFERROR(__xludf.DUMMYFUNCTION("""COMPUTED_VALUE"""),"INSPECCION SEMANAL LLENADORA")</f>
        <v>INSPECCION SEMANAL LLENADORA</v>
      </c>
      <c r="F792" s="5" t="str">
        <f ca="1">IFERROR(__xludf.DUMMYFUNCTION("""COMPUTED_VALUE"""),"INSP. SISTEMA NEUMATICO")</f>
        <v>INSP. SISTEMA NEUMATICO</v>
      </c>
      <c r="G792" s="5" t="b">
        <f ca="1">IFERROR(__xludf.DUMMYFUNCTION("""COMPUTED_VALUE"""),TRUE)</f>
        <v>1</v>
      </c>
      <c r="H792" s="5"/>
      <c r="I792" s="5"/>
      <c r="J792" s="5">
        <f ca="1">IFERROR(__xludf.DUMMYFUNCTION("""COMPUTED_VALUE"""),13247767)</f>
        <v>13247767</v>
      </c>
      <c r="K792" s="5"/>
      <c r="L792" s="18">
        <f ca="1">IFERROR(__xludf.DUMMYFUNCTION("""COMPUTED_VALUE"""),45325)</f>
        <v>45325</v>
      </c>
      <c r="M792" s="18">
        <f ca="1">IFERROR(__xludf.DUMMYFUNCTION("""COMPUTED_VALUE"""),45325)</f>
        <v>45325</v>
      </c>
      <c r="N792" s="5" t="str">
        <f ca="1">IFERROR(__xludf.DUMMYFUNCTION("""COMPUTED_VALUE"""),"Franco Castillo Brayan Steven")</f>
        <v>Franco Castillo Brayan Steven</v>
      </c>
      <c r="O792" s="2">
        <f ca="1">IFERROR(__xludf.DUMMYFUNCTION("""COMPUTED_VALUE"""),0.041666667)</f>
        <v>4.1666666999999998E-2</v>
      </c>
      <c r="P792" s="5">
        <f ca="1">IFERROR(__xludf.DUMMYFUNCTION("""COMPUTED_VALUE"""),20009758)</f>
        <v>20009758</v>
      </c>
      <c r="Q792" s="5" t="str">
        <f ca="1">IFERROR(__xludf.DUMMYFUNCTION("""COMPUTED_VALUE"""),"0hw1er9iyOc")</f>
        <v>0hw1er9iyOc</v>
      </c>
      <c r="R792" s="5">
        <f ca="1">IFERROR(__xludf.DUMMYFUNCTION("""COMPUTED_VALUE"""),410)</f>
        <v>410</v>
      </c>
      <c r="S792" s="62">
        <f ca="1">IFERROR(__xludf.DUMMYFUNCTION("""COMPUTED_VALUE"""),0.041666667)</f>
        <v>4.1666666999999998E-2</v>
      </c>
      <c r="T792" s="63" t="str">
        <f ca="1">IFERROR(__xludf.DUMMYFUNCTION("""COMPUTED_VALUE"""),"https://storage.googleapis.com/glide-prod.appspot.com/uploads-v2/ly7o78grxPaC6KdgvbpS/pub/3aRdSog0vUtuqPE8AJKD.png")</f>
        <v>https://storage.googleapis.com/glide-prod.appspot.com/uploads-v2/ly7o78grxPaC6KdgvbpS/pub/3aRdSog0vUtuqPE8AJKD.png</v>
      </c>
      <c r="U792" s="5" t="str">
        <f ca="1">IFERROR(__xludf.DUMMYFUNCTION("""COMPUTED_VALUE"""),"LINEA DE ENVASADO JUGOS PET HOT FILLLLENADORA")</f>
        <v>LINEA DE ENVASADO JUGOS PET HOT FILLLLENADORA</v>
      </c>
      <c r="V792" s="5"/>
      <c r="W792" s="5" t="b">
        <f ca="1">IFERROR(__xludf.DUMMYFUNCTION("""COMPUTED_VALUE"""),TRUE)</f>
        <v>1</v>
      </c>
      <c r="X792" s="5" t="str">
        <f ca="1">IFERROR(__xludf.DUMMYFUNCTION("""COMPUTED_VALUE"""),"achavezi@postobon.com.co,aprmttoyu@postobon.com.co,aprmyu@postobon.com.co,wmora@postobon.com.co,efzapata@postobon.com.co")</f>
        <v>achavezi@postobon.com.co,aprmttoyu@postobon.com.co,aprmyu@postobon.com.co,wmora@postobon.com.co,efzapata@postobon.com.co</v>
      </c>
      <c r="Y792" s="5" t="str">
        <f ca="1">IFERROR(__xludf.DUMMYFUNCTION("""COMPUTED_VALUE"""),"achavezi@postobon.com.co")</f>
        <v>achavezi@postobon.com.co</v>
      </c>
      <c r="Z792" s="5" t="str">
        <f ca="1">IFERROR(__xludf.DUMMYFUNCTION("""COMPUTED_VALUE"""),"ZESMVGgRTyGlQmcsFRdOnA")</f>
        <v>ZESMVGgRTyGlQmcsFRdOnA</v>
      </c>
      <c r="AA792" s="5"/>
      <c r="AB792" s="5"/>
      <c r="AC792" s="5"/>
      <c r="AD792" s="5">
        <f ca="1">IFERROR(__xludf.DUMMYFUNCTION("""COMPUTED_VALUE"""),24)</f>
        <v>24</v>
      </c>
      <c r="AE792" s="5">
        <f ca="1">IFERROR(__xludf.DUMMYFUNCTION("""COMPUTED_VALUE"""),24)</f>
        <v>24</v>
      </c>
      <c r="AF792" s="5" t="b">
        <f ca="1">IFERROR(__xludf.DUMMYFUNCTION("""COMPUTED_VALUE"""),FALSE)</f>
        <v>0</v>
      </c>
      <c r="AG792" s="5" t="str">
        <f ca="1">IFERROR(__xludf.DUMMYFUNCTION("""COMPUTED_VALUE"""),"INSPECCIONES REALIZADAS")</f>
        <v>INSPECCIONES REALIZADAS</v>
      </c>
      <c r="AH792" s="5"/>
    </row>
    <row r="793" spans="1:34">
      <c r="A793" s="5" t="str">
        <f ca="1">IFERROR(__xludf.DUMMYFUNCTION("""COMPUTED_VALUE"""),"LINEA DE ENVASADO JUGOS PET HOT FILL")</f>
        <v>LINEA DE ENVASADO JUGOS PET HOT FILL</v>
      </c>
      <c r="B793" s="5">
        <f ca="1">IFERROR(__xludf.DUMMYFUNCTION("""COMPUTED_VALUE"""),900303)</f>
        <v>900303</v>
      </c>
      <c r="C793" s="5" t="str">
        <f ca="1">IFERROR(__xludf.DUMMYFUNCTION("""COMPUTED_VALUE"""),"LLENADORA")</f>
        <v>LLENADORA</v>
      </c>
      <c r="D793" s="5">
        <f ca="1">IFERROR(__xludf.DUMMYFUNCTION("""COMPUTED_VALUE"""),13247767)</f>
        <v>13247767</v>
      </c>
      <c r="E793" s="5" t="str">
        <f ca="1">IFERROR(__xludf.DUMMYFUNCTION("""COMPUTED_VALUE"""),"INSPECCION SEMANAL LLENADORA")</f>
        <v>INSPECCION SEMANAL LLENADORA</v>
      </c>
      <c r="F793" s="5" t="str">
        <f ca="1">IFERROR(__xludf.DUMMYFUNCTION("""COMPUTED_VALUE"""),"SELLADO DE VALVULAS DE LLENADO")</f>
        <v>SELLADO DE VALVULAS DE LLENADO</v>
      </c>
      <c r="G793" s="5" t="b">
        <f ca="1">IFERROR(__xludf.DUMMYFUNCTION("""COMPUTED_VALUE"""),TRUE)</f>
        <v>1</v>
      </c>
      <c r="H793" s="5"/>
      <c r="I793" s="5"/>
      <c r="J793" s="5">
        <f ca="1">IFERROR(__xludf.DUMMYFUNCTION("""COMPUTED_VALUE"""),13247767)</f>
        <v>13247767</v>
      </c>
      <c r="K793" s="5"/>
      <c r="L793" s="18">
        <f ca="1">IFERROR(__xludf.DUMMYFUNCTION("""COMPUTED_VALUE"""),45325)</f>
        <v>45325</v>
      </c>
      <c r="M793" s="18">
        <f ca="1">IFERROR(__xludf.DUMMYFUNCTION("""COMPUTED_VALUE"""),45325)</f>
        <v>45325</v>
      </c>
      <c r="N793" s="5" t="str">
        <f ca="1">IFERROR(__xludf.DUMMYFUNCTION("""COMPUTED_VALUE"""),"Franco Castillo Brayan Steven")</f>
        <v>Franco Castillo Brayan Steven</v>
      </c>
      <c r="O793" s="2">
        <f ca="1">IFERROR(__xludf.DUMMYFUNCTION("""COMPUTED_VALUE"""),0.041666667)</f>
        <v>4.1666666999999998E-2</v>
      </c>
      <c r="P793" s="5">
        <f ca="1">IFERROR(__xludf.DUMMYFUNCTION("""COMPUTED_VALUE"""),20009758)</f>
        <v>20009758</v>
      </c>
      <c r="Q793" s="5" t="str">
        <f ca="1">IFERROR(__xludf.DUMMYFUNCTION("""COMPUTED_VALUE"""),"6t0bm3OE4Eg")</f>
        <v>6t0bm3OE4Eg</v>
      </c>
      <c r="R793" s="5">
        <f ca="1">IFERROR(__xludf.DUMMYFUNCTION("""COMPUTED_VALUE"""),410)</f>
        <v>410</v>
      </c>
      <c r="S793" s="62">
        <f ca="1">IFERROR(__xludf.DUMMYFUNCTION("""COMPUTED_VALUE"""),0.041666667)</f>
        <v>4.1666666999999998E-2</v>
      </c>
      <c r="T793" s="63" t="str">
        <f ca="1">IFERROR(__xludf.DUMMYFUNCTION("""COMPUTED_VALUE"""),"https://storage.googleapis.com/glide-prod.appspot.com/uploads-v2/ly7o78grxPaC6KdgvbpS/pub/3aRdSog0vUtuqPE8AJKD.png")</f>
        <v>https://storage.googleapis.com/glide-prod.appspot.com/uploads-v2/ly7o78grxPaC6KdgvbpS/pub/3aRdSog0vUtuqPE8AJKD.png</v>
      </c>
      <c r="U793" s="5" t="str">
        <f ca="1">IFERROR(__xludf.DUMMYFUNCTION("""COMPUTED_VALUE"""),"LINEA DE ENVASADO JUGOS PET HOT FILLLLENADORA")</f>
        <v>LINEA DE ENVASADO JUGOS PET HOT FILLLLENADORA</v>
      </c>
      <c r="V793" s="5"/>
      <c r="W793" s="5" t="b">
        <f ca="1">IFERROR(__xludf.DUMMYFUNCTION("""COMPUTED_VALUE"""),TRUE)</f>
        <v>1</v>
      </c>
      <c r="X793" s="5" t="str">
        <f ca="1">IFERROR(__xludf.DUMMYFUNCTION("""COMPUTED_VALUE"""),"achavezi@postobon.com.co,aprmttoyu@postobon.com.co,aprmyu@postobon.com.co,wmora@postobon.com.co,efzapata@postobon.com.co")</f>
        <v>achavezi@postobon.com.co,aprmttoyu@postobon.com.co,aprmyu@postobon.com.co,wmora@postobon.com.co,efzapata@postobon.com.co</v>
      </c>
      <c r="Y793" s="5" t="str">
        <f ca="1">IFERROR(__xludf.DUMMYFUNCTION("""COMPUTED_VALUE"""),"achavezi@postobon.com.co")</f>
        <v>achavezi@postobon.com.co</v>
      </c>
      <c r="Z793" s="5" t="str">
        <f ca="1">IFERROR(__xludf.DUMMYFUNCTION("""COMPUTED_VALUE"""),"HVwe1AncTn2CaWs9rSBIkw")</f>
        <v>HVwe1AncTn2CaWs9rSBIkw</v>
      </c>
      <c r="AA793" s="5"/>
      <c r="AB793" s="5"/>
      <c r="AC793" s="5"/>
      <c r="AD793" s="5">
        <f ca="1">IFERROR(__xludf.DUMMYFUNCTION("""COMPUTED_VALUE"""),24)</f>
        <v>24</v>
      </c>
      <c r="AE793" s="5">
        <f ca="1">IFERROR(__xludf.DUMMYFUNCTION("""COMPUTED_VALUE"""),24)</f>
        <v>24</v>
      </c>
      <c r="AF793" s="5" t="b">
        <f ca="1">IFERROR(__xludf.DUMMYFUNCTION("""COMPUTED_VALUE"""),FALSE)</f>
        <v>0</v>
      </c>
      <c r="AG793" s="5" t="str">
        <f ca="1">IFERROR(__xludf.DUMMYFUNCTION("""COMPUTED_VALUE"""),"INSPECCIONES REALIZADAS")</f>
        <v>INSPECCIONES REALIZADAS</v>
      </c>
      <c r="AH793" s="5"/>
    </row>
    <row r="794" spans="1:34">
      <c r="A794" s="5" t="str">
        <f ca="1">IFERROR(__xludf.DUMMYFUNCTION("""COMPUTED_VALUE"""),"LINEA DE ENVASADO JUGOS PET HOT FILL")</f>
        <v>LINEA DE ENVASADO JUGOS PET HOT FILL</v>
      </c>
      <c r="B794" s="5">
        <f ca="1">IFERROR(__xludf.DUMMYFUNCTION("""COMPUTED_VALUE"""),900303)</f>
        <v>900303</v>
      </c>
      <c r="C794" s="5" t="str">
        <f ca="1">IFERROR(__xludf.DUMMYFUNCTION("""COMPUTED_VALUE"""),"LLENADORA")</f>
        <v>LLENADORA</v>
      </c>
      <c r="D794" s="5">
        <f ca="1">IFERROR(__xludf.DUMMYFUNCTION("""COMPUTED_VALUE"""),13247767)</f>
        <v>13247767</v>
      </c>
      <c r="E794" s="5" t="str">
        <f ca="1">IFERROR(__xludf.DUMMYFUNCTION("""COMPUTED_VALUE"""),"INSPECCION SEMANAL LLENADORA")</f>
        <v>INSPECCION SEMANAL LLENADORA</v>
      </c>
      <c r="F794" s="5" t="str">
        <f ca="1">IFERROR(__xludf.DUMMYFUNCTION("""COMPUTED_VALUE"""),"INSP. FORMATOS MANEJO ENVASES")</f>
        <v>INSP. FORMATOS MANEJO ENVASES</v>
      </c>
      <c r="G794" s="5" t="b">
        <f ca="1">IFERROR(__xludf.DUMMYFUNCTION("""COMPUTED_VALUE"""),TRUE)</f>
        <v>1</v>
      </c>
      <c r="H794" s="5"/>
      <c r="I794" s="5"/>
      <c r="J794" s="5">
        <f ca="1">IFERROR(__xludf.DUMMYFUNCTION("""COMPUTED_VALUE"""),13247767)</f>
        <v>13247767</v>
      </c>
      <c r="K794" s="5"/>
      <c r="L794" s="18">
        <f ca="1">IFERROR(__xludf.DUMMYFUNCTION("""COMPUTED_VALUE"""),45325)</f>
        <v>45325</v>
      </c>
      <c r="M794" s="18">
        <f ca="1">IFERROR(__xludf.DUMMYFUNCTION("""COMPUTED_VALUE"""),45325)</f>
        <v>45325</v>
      </c>
      <c r="N794" s="5" t="str">
        <f ca="1">IFERROR(__xludf.DUMMYFUNCTION("""COMPUTED_VALUE"""),"Franco Castillo Brayan Steven")</f>
        <v>Franco Castillo Brayan Steven</v>
      </c>
      <c r="O794" s="2">
        <f ca="1">IFERROR(__xludf.DUMMYFUNCTION("""COMPUTED_VALUE"""),0.041666667)</f>
        <v>4.1666666999999998E-2</v>
      </c>
      <c r="P794" s="5">
        <f ca="1">IFERROR(__xludf.DUMMYFUNCTION("""COMPUTED_VALUE"""),20009758)</f>
        <v>20009758</v>
      </c>
      <c r="Q794" s="5" t="str">
        <f ca="1">IFERROR(__xludf.DUMMYFUNCTION("""COMPUTED_VALUE"""),"Xo3wJrtoDUc")</f>
        <v>Xo3wJrtoDUc</v>
      </c>
      <c r="R794" s="5">
        <f ca="1">IFERROR(__xludf.DUMMYFUNCTION("""COMPUTED_VALUE"""),410)</f>
        <v>410</v>
      </c>
      <c r="S794" s="62">
        <f ca="1">IFERROR(__xludf.DUMMYFUNCTION("""COMPUTED_VALUE"""),0.041666667)</f>
        <v>4.1666666999999998E-2</v>
      </c>
      <c r="T794" s="63" t="str">
        <f ca="1">IFERROR(__xludf.DUMMYFUNCTION("""COMPUTED_VALUE"""),"https://storage.googleapis.com/glide-prod.appspot.com/uploads-v2/ly7o78grxPaC6KdgvbpS/pub/3aRdSog0vUtuqPE8AJKD.png")</f>
        <v>https://storage.googleapis.com/glide-prod.appspot.com/uploads-v2/ly7o78grxPaC6KdgvbpS/pub/3aRdSog0vUtuqPE8AJKD.png</v>
      </c>
      <c r="U794" s="5" t="str">
        <f ca="1">IFERROR(__xludf.DUMMYFUNCTION("""COMPUTED_VALUE"""),"LINEA DE ENVASADO JUGOS PET HOT FILLLLENADORA")</f>
        <v>LINEA DE ENVASADO JUGOS PET HOT FILLLLENADORA</v>
      </c>
      <c r="V794" s="5"/>
      <c r="W794" s="5" t="b">
        <f ca="1">IFERROR(__xludf.DUMMYFUNCTION("""COMPUTED_VALUE"""),TRUE)</f>
        <v>1</v>
      </c>
      <c r="X794" s="5" t="str">
        <f ca="1">IFERROR(__xludf.DUMMYFUNCTION("""COMPUTED_VALUE"""),"achavezi@postobon.com.co,aprmttoyu@postobon.com.co,aprmyu@postobon.com.co,wmora@postobon.com.co,efzapata@postobon.com.co")</f>
        <v>achavezi@postobon.com.co,aprmttoyu@postobon.com.co,aprmyu@postobon.com.co,wmora@postobon.com.co,efzapata@postobon.com.co</v>
      </c>
      <c r="Y794" s="5" t="str">
        <f ca="1">IFERROR(__xludf.DUMMYFUNCTION("""COMPUTED_VALUE"""),"achavezi@postobon.com.co")</f>
        <v>achavezi@postobon.com.co</v>
      </c>
      <c r="Z794" s="5" t="str">
        <f ca="1">IFERROR(__xludf.DUMMYFUNCTION("""COMPUTED_VALUE"""),"rmET-Mf1SRe4K1Fr8y3RIA")</f>
        <v>rmET-Mf1SRe4K1Fr8y3RIA</v>
      </c>
      <c r="AA794" s="5"/>
      <c r="AB794" s="5"/>
      <c r="AC794" s="5"/>
      <c r="AD794" s="5">
        <f ca="1">IFERROR(__xludf.DUMMYFUNCTION("""COMPUTED_VALUE"""),24)</f>
        <v>24</v>
      </c>
      <c r="AE794" s="5">
        <f ca="1">IFERROR(__xludf.DUMMYFUNCTION("""COMPUTED_VALUE"""),24)</f>
        <v>24</v>
      </c>
      <c r="AF794" s="5" t="b">
        <f ca="1">IFERROR(__xludf.DUMMYFUNCTION("""COMPUTED_VALUE"""),FALSE)</f>
        <v>0</v>
      </c>
      <c r="AG794" s="5" t="str">
        <f ca="1">IFERROR(__xludf.DUMMYFUNCTION("""COMPUTED_VALUE"""),"INSPECCIONES REALIZADAS")</f>
        <v>INSPECCIONES REALIZADAS</v>
      </c>
      <c r="AH794" s="5"/>
    </row>
    <row r="795" spans="1:34">
      <c r="A795" s="5" t="str">
        <f ca="1">IFERROR(__xludf.DUMMYFUNCTION("""COMPUTED_VALUE"""),"LINEA DE ENVASADO JUGOS PET HOT FILL")</f>
        <v>LINEA DE ENVASADO JUGOS PET HOT FILL</v>
      </c>
      <c r="B795" s="5">
        <f ca="1">IFERROR(__xludf.DUMMYFUNCTION("""COMPUTED_VALUE"""),900303)</f>
        <v>900303</v>
      </c>
      <c r="C795" s="5" t="str">
        <f ca="1">IFERROR(__xludf.DUMMYFUNCTION("""COMPUTED_VALUE"""),"LLENADORA")</f>
        <v>LLENADORA</v>
      </c>
      <c r="D795" s="5">
        <f ca="1">IFERROR(__xludf.DUMMYFUNCTION("""COMPUTED_VALUE"""),13247767)</f>
        <v>13247767</v>
      </c>
      <c r="E795" s="5" t="str">
        <f ca="1">IFERROR(__xludf.DUMMYFUNCTION("""COMPUTED_VALUE"""),"INSPECCION SEMANAL LLENADORA")</f>
        <v>INSPECCION SEMANAL LLENADORA</v>
      </c>
      <c r="F795" s="5" t="str">
        <f ca="1">IFERROR(__xludf.DUMMYFUNCTION("""COMPUTED_VALUE"""),"INSP. EQUIPOS ELECTRICOS")</f>
        <v>INSP. EQUIPOS ELECTRICOS</v>
      </c>
      <c r="G795" s="5" t="b">
        <f ca="1">IFERROR(__xludf.DUMMYFUNCTION("""COMPUTED_VALUE"""),TRUE)</f>
        <v>1</v>
      </c>
      <c r="H795" s="5"/>
      <c r="I795" s="5"/>
      <c r="J795" s="5">
        <f ca="1">IFERROR(__xludf.DUMMYFUNCTION("""COMPUTED_VALUE"""),13247767)</f>
        <v>13247767</v>
      </c>
      <c r="K795" s="5"/>
      <c r="L795" s="18">
        <f ca="1">IFERROR(__xludf.DUMMYFUNCTION("""COMPUTED_VALUE"""),45325)</f>
        <v>45325</v>
      </c>
      <c r="M795" s="18">
        <f ca="1">IFERROR(__xludf.DUMMYFUNCTION("""COMPUTED_VALUE"""),45325)</f>
        <v>45325</v>
      </c>
      <c r="N795" s="5" t="str">
        <f ca="1">IFERROR(__xludf.DUMMYFUNCTION("""COMPUTED_VALUE"""),"Franco Castillo Brayan Steven")</f>
        <v>Franco Castillo Brayan Steven</v>
      </c>
      <c r="O795" s="2">
        <f ca="1">IFERROR(__xludf.DUMMYFUNCTION("""COMPUTED_VALUE"""),0.041666667)</f>
        <v>4.1666666999999998E-2</v>
      </c>
      <c r="P795" s="5">
        <f ca="1">IFERROR(__xludf.DUMMYFUNCTION("""COMPUTED_VALUE"""),20009758)</f>
        <v>20009758</v>
      </c>
      <c r="Q795" s="5" t="str">
        <f ca="1">IFERROR(__xludf.DUMMYFUNCTION("""COMPUTED_VALUE"""),"bYmSW3_9cu0")</f>
        <v>bYmSW3_9cu0</v>
      </c>
      <c r="R795" s="5">
        <f ca="1">IFERROR(__xludf.DUMMYFUNCTION("""COMPUTED_VALUE"""),410)</f>
        <v>410</v>
      </c>
      <c r="S795" s="62">
        <f ca="1">IFERROR(__xludf.DUMMYFUNCTION("""COMPUTED_VALUE"""),0.041666667)</f>
        <v>4.1666666999999998E-2</v>
      </c>
      <c r="T795" s="63" t="str">
        <f ca="1">IFERROR(__xludf.DUMMYFUNCTION("""COMPUTED_VALUE"""),"https://storage.googleapis.com/glide-prod.appspot.com/uploads-v2/ly7o78grxPaC6KdgvbpS/pub/3aRdSog0vUtuqPE8AJKD.png")</f>
        <v>https://storage.googleapis.com/glide-prod.appspot.com/uploads-v2/ly7o78grxPaC6KdgvbpS/pub/3aRdSog0vUtuqPE8AJKD.png</v>
      </c>
      <c r="U795" s="5" t="str">
        <f ca="1">IFERROR(__xludf.DUMMYFUNCTION("""COMPUTED_VALUE"""),"LINEA DE ENVASADO JUGOS PET HOT FILLLLENADORA")</f>
        <v>LINEA DE ENVASADO JUGOS PET HOT FILLLLENADORA</v>
      </c>
      <c r="V795" s="5"/>
      <c r="W795" s="5" t="b">
        <f ca="1">IFERROR(__xludf.DUMMYFUNCTION("""COMPUTED_VALUE"""),TRUE)</f>
        <v>1</v>
      </c>
      <c r="X795" s="5" t="str">
        <f ca="1">IFERROR(__xludf.DUMMYFUNCTION("""COMPUTED_VALUE"""),"achavezi@postobon.com.co,aprmttoyu@postobon.com.co,aprmyu@postobon.com.co,wmora@postobon.com.co,efzapata@postobon.com.co")</f>
        <v>achavezi@postobon.com.co,aprmttoyu@postobon.com.co,aprmyu@postobon.com.co,wmora@postobon.com.co,efzapata@postobon.com.co</v>
      </c>
      <c r="Y795" s="5" t="str">
        <f ca="1">IFERROR(__xludf.DUMMYFUNCTION("""COMPUTED_VALUE"""),"achavezi@postobon.com.co")</f>
        <v>achavezi@postobon.com.co</v>
      </c>
      <c r="Z795" s="5" t="str">
        <f ca="1">IFERROR(__xludf.DUMMYFUNCTION("""COMPUTED_VALUE"""),"xB.sUeTFQ4iXohOREkl.4Q")</f>
        <v>xB.sUeTFQ4iXohOREkl.4Q</v>
      </c>
      <c r="AA795" s="5"/>
      <c r="AB795" s="5"/>
      <c r="AC795" s="5"/>
      <c r="AD795" s="5">
        <f ca="1">IFERROR(__xludf.DUMMYFUNCTION("""COMPUTED_VALUE"""),24)</f>
        <v>24</v>
      </c>
      <c r="AE795" s="5">
        <f ca="1">IFERROR(__xludf.DUMMYFUNCTION("""COMPUTED_VALUE"""),24)</f>
        <v>24</v>
      </c>
      <c r="AF795" s="5" t="b">
        <f ca="1">IFERROR(__xludf.DUMMYFUNCTION("""COMPUTED_VALUE"""),FALSE)</f>
        <v>0</v>
      </c>
      <c r="AG795" s="5" t="str">
        <f ca="1">IFERROR(__xludf.DUMMYFUNCTION("""COMPUTED_VALUE"""),"INSPECCIONES REALIZADAS")</f>
        <v>INSPECCIONES REALIZADAS</v>
      </c>
      <c r="AH795" s="5"/>
    </row>
    <row r="796" spans="1:34">
      <c r="A796" s="5" t="str">
        <f ca="1">IFERROR(__xludf.DUMMYFUNCTION("""COMPUTED_VALUE"""),"LINEA DE ENVASADO JUGOS PET HOT FILL")</f>
        <v>LINEA DE ENVASADO JUGOS PET HOT FILL</v>
      </c>
      <c r="B796" s="5">
        <f ca="1">IFERROR(__xludf.DUMMYFUNCTION("""COMPUTED_VALUE"""),900303)</f>
        <v>900303</v>
      </c>
      <c r="C796" s="5" t="str">
        <f ca="1">IFERROR(__xludf.DUMMYFUNCTION("""COMPUTED_VALUE"""),"LLENADORA")</f>
        <v>LLENADORA</v>
      </c>
      <c r="D796" s="5">
        <f ca="1">IFERROR(__xludf.DUMMYFUNCTION("""COMPUTED_VALUE"""),13247767)</f>
        <v>13247767</v>
      </c>
      <c r="E796" s="5" t="str">
        <f ca="1">IFERROR(__xludf.DUMMYFUNCTION("""COMPUTED_VALUE"""),"INSPECCION SEMANAL LLENADORA")</f>
        <v>INSPECCION SEMANAL LLENADORA</v>
      </c>
      <c r="F796" s="5" t="str">
        <f ca="1">IFERROR(__xludf.DUMMYFUNCTION("""COMPUTED_VALUE"""),"FUNC. DUCHAS DE REFRI. FONDO ENV.")</f>
        <v>FUNC. DUCHAS DE REFRI. FONDO ENV.</v>
      </c>
      <c r="G796" s="5" t="b">
        <f ca="1">IFERROR(__xludf.DUMMYFUNCTION("""COMPUTED_VALUE"""),TRUE)</f>
        <v>1</v>
      </c>
      <c r="H796" s="5"/>
      <c r="I796" s="5"/>
      <c r="J796" s="5">
        <f ca="1">IFERROR(__xludf.DUMMYFUNCTION("""COMPUTED_VALUE"""),13247767)</f>
        <v>13247767</v>
      </c>
      <c r="K796" s="5"/>
      <c r="L796" s="18">
        <f ca="1">IFERROR(__xludf.DUMMYFUNCTION("""COMPUTED_VALUE"""),45325)</f>
        <v>45325</v>
      </c>
      <c r="M796" s="18">
        <f ca="1">IFERROR(__xludf.DUMMYFUNCTION("""COMPUTED_VALUE"""),45325)</f>
        <v>45325</v>
      </c>
      <c r="N796" s="5" t="str">
        <f ca="1">IFERROR(__xludf.DUMMYFUNCTION("""COMPUTED_VALUE"""),"Franco Castillo Brayan Steven")</f>
        <v>Franco Castillo Brayan Steven</v>
      </c>
      <c r="O796" s="2">
        <f ca="1">IFERROR(__xludf.DUMMYFUNCTION("""COMPUTED_VALUE"""),0.041666667)</f>
        <v>4.1666666999999998E-2</v>
      </c>
      <c r="P796" s="5">
        <f ca="1">IFERROR(__xludf.DUMMYFUNCTION("""COMPUTED_VALUE"""),20009758)</f>
        <v>20009758</v>
      </c>
      <c r="Q796" s="5" t="str">
        <f ca="1">IFERROR(__xludf.DUMMYFUNCTION("""COMPUTED_VALUE"""),"miw4o6P3IaE")</f>
        <v>miw4o6P3IaE</v>
      </c>
      <c r="R796" s="5">
        <f ca="1">IFERROR(__xludf.DUMMYFUNCTION("""COMPUTED_VALUE"""),410)</f>
        <v>410</v>
      </c>
      <c r="S796" s="62">
        <f ca="1">IFERROR(__xludf.DUMMYFUNCTION("""COMPUTED_VALUE"""),0.041666667)</f>
        <v>4.1666666999999998E-2</v>
      </c>
      <c r="T796" s="63" t="str">
        <f ca="1">IFERROR(__xludf.DUMMYFUNCTION("""COMPUTED_VALUE"""),"https://storage.googleapis.com/glide-prod.appspot.com/uploads-v2/ly7o78grxPaC6KdgvbpS/pub/3aRdSog0vUtuqPE8AJKD.png")</f>
        <v>https://storage.googleapis.com/glide-prod.appspot.com/uploads-v2/ly7o78grxPaC6KdgvbpS/pub/3aRdSog0vUtuqPE8AJKD.png</v>
      </c>
      <c r="U796" s="5" t="str">
        <f ca="1">IFERROR(__xludf.DUMMYFUNCTION("""COMPUTED_VALUE"""),"LINEA DE ENVASADO JUGOS PET HOT FILLLLENADORA")</f>
        <v>LINEA DE ENVASADO JUGOS PET HOT FILLLLENADORA</v>
      </c>
      <c r="V796" s="5"/>
      <c r="W796" s="5" t="b">
        <f ca="1">IFERROR(__xludf.DUMMYFUNCTION("""COMPUTED_VALUE"""),TRUE)</f>
        <v>1</v>
      </c>
      <c r="X796" s="5" t="str">
        <f ca="1">IFERROR(__xludf.DUMMYFUNCTION("""COMPUTED_VALUE"""),"achavezi@postobon.com.co,aprmttoyu@postobon.com.co,aprmyu@postobon.com.co,wmora@postobon.com.co,efzapata@postobon.com.co")</f>
        <v>achavezi@postobon.com.co,aprmttoyu@postobon.com.co,aprmyu@postobon.com.co,wmora@postobon.com.co,efzapata@postobon.com.co</v>
      </c>
      <c r="Y796" s="5" t="str">
        <f ca="1">IFERROR(__xludf.DUMMYFUNCTION("""COMPUTED_VALUE"""),"achavezi@postobon.com.co")</f>
        <v>achavezi@postobon.com.co</v>
      </c>
      <c r="Z796" s="5" t="str">
        <f ca="1">IFERROR(__xludf.DUMMYFUNCTION("""COMPUTED_VALUE"""),"zghJyEaqSlitXL4Aixtrsg")</f>
        <v>zghJyEaqSlitXL4Aixtrsg</v>
      </c>
      <c r="AA796" s="5"/>
      <c r="AB796" s="5"/>
      <c r="AC796" s="5"/>
      <c r="AD796" s="5">
        <f ca="1">IFERROR(__xludf.DUMMYFUNCTION("""COMPUTED_VALUE"""),24)</f>
        <v>24</v>
      </c>
      <c r="AE796" s="5">
        <f ca="1">IFERROR(__xludf.DUMMYFUNCTION("""COMPUTED_VALUE"""),24)</f>
        <v>24</v>
      </c>
      <c r="AF796" s="5" t="b">
        <f ca="1">IFERROR(__xludf.DUMMYFUNCTION("""COMPUTED_VALUE"""),FALSE)</f>
        <v>0</v>
      </c>
      <c r="AG796" s="5" t="str">
        <f ca="1">IFERROR(__xludf.DUMMYFUNCTION("""COMPUTED_VALUE"""),"INSPECCIONES REALIZADAS")</f>
        <v>INSPECCIONES REALIZADAS</v>
      </c>
      <c r="AH796" s="5"/>
    </row>
    <row r="797" spans="1:34">
      <c r="A797" s="5" t="str">
        <f ca="1">IFERROR(__xludf.DUMMYFUNCTION("""COMPUTED_VALUE"""),"LINEA DE ENVASADO JUGOS PET HOT FILL")</f>
        <v>LINEA DE ENVASADO JUGOS PET HOT FILL</v>
      </c>
      <c r="B797" s="5">
        <f ca="1">IFERROR(__xludf.DUMMYFUNCTION("""COMPUTED_VALUE"""),900303)</f>
        <v>900303</v>
      </c>
      <c r="C797" s="5" t="str">
        <f ca="1">IFERROR(__xludf.DUMMYFUNCTION("""COMPUTED_VALUE"""),"LLENADORA")</f>
        <v>LLENADORA</v>
      </c>
      <c r="D797" s="5">
        <f ca="1">IFERROR(__xludf.DUMMYFUNCTION("""COMPUTED_VALUE"""),13247767)</f>
        <v>13247767</v>
      </c>
      <c r="E797" s="5" t="str">
        <f ca="1">IFERROR(__xludf.DUMMYFUNCTION("""COMPUTED_VALUE"""),"INSPECCION SEMANAL LLENADORA")</f>
        <v>INSPECCION SEMANAL LLENADORA</v>
      </c>
      <c r="F797" s="5" t="str">
        <f ca="1">IFERROR(__xludf.DUMMYFUNCTION("""COMPUTED_VALUE"""),"INSP. SISTEMA LUBRICACION")</f>
        <v>INSP. SISTEMA LUBRICACION</v>
      </c>
      <c r="G797" s="5" t="b">
        <f ca="1">IFERROR(__xludf.DUMMYFUNCTION("""COMPUTED_VALUE"""),TRUE)</f>
        <v>1</v>
      </c>
      <c r="H797" s="5"/>
      <c r="I797" s="5"/>
      <c r="J797" s="5">
        <f ca="1">IFERROR(__xludf.DUMMYFUNCTION("""COMPUTED_VALUE"""),13247767)</f>
        <v>13247767</v>
      </c>
      <c r="K797" s="5"/>
      <c r="L797" s="18">
        <f ca="1">IFERROR(__xludf.DUMMYFUNCTION("""COMPUTED_VALUE"""),45325)</f>
        <v>45325</v>
      </c>
      <c r="M797" s="18">
        <f ca="1">IFERROR(__xludf.DUMMYFUNCTION("""COMPUTED_VALUE"""),45325)</f>
        <v>45325</v>
      </c>
      <c r="N797" s="5" t="str">
        <f ca="1">IFERROR(__xludf.DUMMYFUNCTION("""COMPUTED_VALUE"""),"Franco Castillo Brayan Steven")</f>
        <v>Franco Castillo Brayan Steven</v>
      </c>
      <c r="O797" s="2">
        <f ca="1">IFERROR(__xludf.DUMMYFUNCTION("""COMPUTED_VALUE"""),0.041666667)</f>
        <v>4.1666666999999998E-2</v>
      </c>
      <c r="P797" s="5">
        <f ca="1">IFERROR(__xludf.DUMMYFUNCTION("""COMPUTED_VALUE"""),20009758)</f>
        <v>20009758</v>
      </c>
      <c r="Q797" s="5" t="str">
        <f ca="1">IFERROR(__xludf.DUMMYFUNCTION("""COMPUTED_VALUE"""),"w9z50iiopOQ")</f>
        <v>w9z50iiopOQ</v>
      </c>
      <c r="R797" s="5">
        <f ca="1">IFERROR(__xludf.DUMMYFUNCTION("""COMPUTED_VALUE"""),410)</f>
        <v>410</v>
      </c>
      <c r="S797" s="62">
        <f ca="1">IFERROR(__xludf.DUMMYFUNCTION("""COMPUTED_VALUE"""),0.041666667)</f>
        <v>4.1666666999999998E-2</v>
      </c>
      <c r="T797" s="63" t="str">
        <f ca="1">IFERROR(__xludf.DUMMYFUNCTION("""COMPUTED_VALUE"""),"https://storage.googleapis.com/glide-prod.appspot.com/uploads-v2/ly7o78grxPaC6KdgvbpS/pub/3aRdSog0vUtuqPE8AJKD.png")</f>
        <v>https://storage.googleapis.com/glide-prod.appspot.com/uploads-v2/ly7o78grxPaC6KdgvbpS/pub/3aRdSog0vUtuqPE8AJKD.png</v>
      </c>
      <c r="U797" s="5" t="str">
        <f ca="1">IFERROR(__xludf.DUMMYFUNCTION("""COMPUTED_VALUE"""),"LINEA DE ENVASADO JUGOS PET HOT FILLLLENADORA")</f>
        <v>LINEA DE ENVASADO JUGOS PET HOT FILLLLENADORA</v>
      </c>
      <c r="V797" s="5"/>
      <c r="W797" s="5" t="b">
        <f ca="1">IFERROR(__xludf.DUMMYFUNCTION("""COMPUTED_VALUE"""),TRUE)</f>
        <v>1</v>
      </c>
      <c r="X797" s="5" t="str">
        <f ca="1">IFERROR(__xludf.DUMMYFUNCTION("""COMPUTED_VALUE"""),"achavezi@postobon.com.co,aprmttoyu@postobon.com.co,aprmyu@postobon.com.co,wmora@postobon.com.co,efzapata@postobon.com.co")</f>
        <v>achavezi@postobon.com.co,aprmttoyu@postobon.com.co,aprmyu@postobon.com.co,wmora@postobon.com.co,efzapata@postobon.com.co</v>
      </c>
      <c r="Y797" s="5" t="str">
        <f ca="1">IFERROR(__xludf.DUMMYFUNCTION("""COMPUTED_VALUE"""),"achavezi@postobon.com.co")</f>
        <v>achavezi@postobon.com.co</v>
      </c>
      <c r="Z797" s="5" t="str">
        <f ca="1">IFERROR(__xludf.DUMMYFUNCTION("""COMPUTED_VALUE"""),"z.JpEN55R8yRXE3s7UsOcQ")</f>
        <v>z.JpEN55R8yRXE3s7UsOcQ</v>
      </c>
      <c r="AA797" s="5"/>
      <c r="AB797" s="5"/>
      <c r="AC797" s="5"/>
      <c r="AD797" s="5">
        <f ca="1">IFERROR(__xludf.DUMMYFUNCTION("""COMPUTED_VALUE"""),24)</f>
        <v>24</v>
      </c>
      <c r="AE797" s="5">
        <f ca="1">IFERROR(__xludf.DUMMYFUNCTION("""COMPUTED_VALUE"""),24)</f>
        <v>24</v>
      </c>
      <c r="AF797" s="5" t="b">
        <f ca="1">IFERROR(__xludf.DUMMYFUNCTION("""COMPUTED_VALUE"""),FALSE)</f>
        <v>0</v>
      </c>
      <c r="AG797" s="5" t="str">
        <f ca="1">IFERROR(__xludf.DUMMYFUNCTION("""COMPUTED_VALUE"""),"INSPECCIONES REALIZADAS")</f>
        <v>INSPECCIONES REALIZADAS</v>
      </c>
      <c r="AH797" s="5"/>
    </row>
    <row r="798" spans="1:34">
      <c r="A798" s="5" t="str">
        <f ca="1">IFERROR(__xludf.DUMMYFUNCTION("""COMPUTED_VALUE"""),"LINEA DE ENVASADO JUGOS PET HOT FILL")</f>
        <v>LINEA DE ENVASADO JUGOS PET HOT FILL</v>
      </c>
      <c r="B798" s="5">
        <f ca="1">IFERROR(__xludf.DUMMYFUNCTION("""COMPUTED_VALUE"""),900303)</f>
        <v>900303</v>
      </c>
      <c r="C798" s="5" t="str">
        <f ca="1">IFERROR(__xludf.DUMMYFUNCTION("""COMPUTED_VALUE"""),"LLENADORA")</f>
        <v>LLENADORA</v>
      </c>
      <c r="D798" s="5">
        <f ca="1">IFERROR(__xludf.DUMMYFUNCTION("""COMPUTED_VALUE"""),13247767)</f>
        <v>13247767</v>
      </c>
      <c r="E798" s="5" t="str">
        <f ca="1">IFERROR(__xludf.DUMMYFUNCTION("""COMPUTED_VALUE"""),"INSPECCION SEMANAL LLENADORA")</f>
        <v>INSPECCION SEMANAL LLENADORA</v>
      </c>
      <c r="F798" s="5" t="str">
        <f ca="1">IFERROR(__xludf.DUMMYFUNCTION("""COMPUTED_VALUE"""),"INSP. TRANSMISION PRINCIPAL")</f>
        <v>INSP. TRANSMISION PRINCIPAL</v>
      </c>
      <c r="G798" s="5" t="b">
        <f ca="1">IFERROR(__xludf.DUMMYFUNCTION("""COMPUTED_VALUE"""),TRUE)</f>
        <v>1</v>
      </c>
      <c r="H798" s="5"/>
      <c r="I798" s="5"/>
      <c r="J798" s="5">
        <f ca="1">IFERROR(__xludf.DUMMYFUNCTION("""COMPUTED_VALUE"""),13247767)</f>
        <v>13247767</v>
      </c>
      <c r="K798" s="5"/>
      <c r="L798" s="18">
        <f ca="1">IFERROR(__xludf.DUMMYFUNCTION("""COMPUTED_VALUE"""),45325)</f>
        <v>45325</v>
      </c>
      <c r="M798" s="18">
        <f ca="1">IFERROR(__xludf.DUMMYFUNCTION("""COMPUTED_VALUE"""),45325)</f>
        <v>45325</v>
      </c>
      <c r="N798" s="5" t="str">
        <f ca="1">IFERROR(__xludf.DUMMYFUNCTION("""COMPUTED_VALUE"""),"Franco Castillo Brayan Steven")</f>
        <v>Franco Castillo Brayan Steven</v>
      </c>
      <c r="O798" s="2">
        <f ca="1">IFERROR(__xludf.DUMMYFUNCTION("""COMPUTED_VALUE"""),0.041666667)</f>
        <v>4.1666666999999998E-2</v>
      </c>
      <c r="P798" s="5">
        <f ca="1">IFERROR(__xludf.DUMMYFUNCTION("""COMPUTED_VALUE"""),20009758)</f>
        <v>20009758</v>
      </c>
      <c r="Q798" s="5" t="str">
        <f ca="1">IFERROR(__xludf.DUMMYFUNCTION("""COMPUTED_VALUE"""),"0dGX_pCt7K8")</f>
        <v>0dGX_pCt7K8</v>
      </c>
      <c r="R798" s="5">
        <f ca="1">IFERROR(__xludf.DUMMYFUNCTION("""COMPUTED_VALUE"""),410)</f>
        <v>410</v>
      </c>
      <c r="S798" s="62">
        <f ca="1">IFERROR(__xludf.DUMMYFUNCTION("""COMPUTED_VALUE"""),0.041666667)</f>
        <v>4.1666666999999998E-2</v>
      </c>
      <c r="T798" s="63" t="str">
        <f ca="1">IFERROR(__xludf.DUMMYFUNCTION("""COMPUTED_VALUE"""),"https://storage.googleapis.com/glide-prod.appspot.com/uploads-v2/ly7o78grxPaC6KdgvbpS/pub/3aRdSog0vUtuqPE8AJKD.png")</f>
        <v>https://storage.googleapis.com/glide-prod.appspot.com/uploads-v2/ly7o78grxPaC6KdgvbpS/pub/3aRdSog0vUtuqPE8AJKD.png</v>
      </c>
      <c r="U798" s="5" t="str">
        <f ca="1">IFERROR(__xludf.DUMMYFUNCTION("""COMPUTED_VALUE"""),"LINEA DE ENVASADO JUGOS PET HOT FILLLLENADORA")</f>
        <v>LINEA DE ENVASADO JUGOS PET HOT FILLLLENADORA</v>
      </c>
      <c r="V798" s="5"/>
      <c r="W798" s="5" t="b">
        <f ca="1">IFERROR(__xludf.DUMMYFUNCTION("""COMPUTED_VALUE"""),TRUE)</f>
        <v>1</v>
      </c>
      <c r="X798" s="5" t="str">
        <f ca="1">IFERROR(__xludf.DUMMYFUNCTION("""COMPUTED_VALUE"""),"achavezi@postobon.com.co,aprmttoyu@postobon.com.co,aprmyu@postobon.com.co,wmora@postobon.com.co,efzapata@postobon.com.co")</f>
        <v>achavezi@postobon.com.co,aprmttoyu@postobon.com.co,aprmyu@postobon.com.co,wmora@postobon.com.co,efzapata@postobon.com.co</v>
      </c>
      <c r="Y798" s="5" t="str">
        <f ca="1">IFERROR(__xludf.DUMMYFUNCTION("""COMPUTED_VALUE"""),"achavezi@postobon.com.co")</f>
        <v>achavezi@postobon.com.co</v>
      </c>
      <c r="Z798" s="5" t="str">
        <f ca="1">IFERROR(__xludf.DUMMYFUNCTION("""COMPUTED_VALUE"""),"l18qz-Z.SC-ErjaQweR9XQ")</f>
        <v>l18qz-Z.SC-ErjaQweR9XQ</v>
      </c>
      <c r="AA798" s="5"/>
      <c r="AB798" s="5"/>
      <c r="AC798" s="5"/>
      <c r="AD798" s="5">
        <f ca="1">IFERROR(__xludf.DUMMYFUNCTION("""COMPUTED_VALUE"""),24)</f>
        <v>24</v>
      </c>
      <c r="AE798" s="5">
        <f ca="1">IFERROR(__xludf.DUMMYFUNCTION("""COMPUTED_VALUE"""),24)</f>
        <v>24</v>
      </c>
      <c r="AF798" s="5" t="b">
        <f ca="1">IFERROR(__xludf.DUMMYFUNCTION("""COMPUTED_VALUE"""),FALSE)</f>
        <v>0</v>
      </c>
      <c r="AG798" s="5" t="str">
        <f ca="1">IFERROR(__xludf.DUMMYFUNCTION("""COMPUTED_VALUE"""),"INSPECCIONES REALIZADAS")</f>
        <v>INSPECCIONES REALIZADAS</v>
      </c>
      <c r="AH798" s="5"/>
    </row>
    <row r="799" spans="1:34">
      <c r="A799" s="5" t="str">
        <f ca="1">IFERROR(__xludf.DUMMYFUNCTION("""COMPUTED_VALUE"""),"LINEA DE ENVASADO JUGOS PET HOT FILL")</f>
        <v>LINEA DE ENVASADO JUGOS PET HOT FILL</v>
      </c>
      <c r="B799" s="5">
        <f ca="1">IFERROR(__xludf.DUMMYFUNCTION("""COMPUTED_VALUE"""),900303)</f>
        <v>900303</v>
      </c>
      <c r="C799" s="5" t="str">
        <f ca="1">IFERROR(__xludf.DUMMYFUNCTION("""COMPUTED_VALUE"""),"LLENADORA")</f>
        <v>LLENADORA</v>
      </c>
      <c r="D799" s="5">
        <f ca="1">IFERROR(__xludf.DUMMYFUNCTION("""COMPUTED_VALUE"""),13247767)</f>
        <v>13247767</v>
      </c>
      <c r="E799" s="5" t="str">
        <f ca="1">IFERROR(__xludf.DUMMYFUNCTION("""COMPUTED_VALUE"""),"INSPECCION SEMANAL LLENADORA")</f>
        <v>INSPECCION SEMANAL LLENADORA</v>
      </c>
      <c r="F799" s="5" t="str">
        <f ca="1">IFERROR(__xludf.DUMMYFUNCTION("""COMPUTED_VALUE"""),"INSP. RUIDOS EXTRAÑOS")</f>
        <v>INSP. RUIDOS EXTRAÑOS</v>
      </c>
      <c r="G799" s="5" t="b">
        <f ca="1">IFERROR(__xludf.DUMMYFUNCTION("""COMPUTED_VALUE"""),TRUE)</f>
        <v>1</v>
      </c>
      <c r="H799" s="5"/>
      <c r="I799" s="5"/>
      <c r="J799" s="5">
        <f ca="1">IFERROR(__xludf.DUMMYFUNCTION("""COMPUTED_VALUE"""),13247767)</f>
        <v>13247767</v>
      </c>
      <c r="K799" s="5"/>
      <c r="L799" s="18">
        <f ca="1">IFERROR(__xludf.DUMMYFUNCTION("""COMPUTED_VALUE"""),45325)</f>
        <v>45325</v>
      </c>
      <c r="M799" s="18">
        <f ca="1">IFERROR(__xludf.DUMMYFUNCTION("""COMPUTED_VALUE"""),45325)</f>
        <v>45325</v>
      </c>
      <c r="N799" s="5" t="str">
        <f ca="1">IFERROR(__xludf.DUMMYFUNCTION("""COMPUTED_VALUE"""),"Franco Castillo Brayan Steven")</f>
        <v>Franco Castillo Brayan Steven</v>
      </c>
      <c r="O799" s="2">
        <f ca="1">IFERROR(__xludf.DUMMYFUNCTION("""COMPUTED_VALUE"""),0.041666667)</f>
        <v>4.1666666999999998E-2</v>
      </c>
      <c r="P799" s="5">
        <f ca="1">IFERROR(__xludf.DUMMYFUNCTION("""COMPUTED_VALUE"""),20009758)</f>
        <v>20009758</v>
      </c>
      <c r="Q799" s="5" t="str">
        <f ca="1">IFERROR(__xludf.DUMMYFUNCTION("""COMPUTED_VALUE"""),"Tn9gEs9Si1M")</f>
        <v>Tn9gEs9Si1M</v>
      </c>
      <c r="R799" s="5">
        <f ca="1">IFERROR(__xludf.DUMMYFUNCTION("""COMPUTED_VALUE"""),410)</f>
        <v>410</v>
      </c>
      <c r="S799" s="62">
        <f ca="1">IFERROR(__xludf.DUMMYFUNCTION("""COMPUTED_VALUE"""),0.041666667)</f>
        <v>4.1666666999999998E-2</v>
      </c>
      <c r="T799" s="63" t="str">
        <f ca="1">IFERROR(__xludf.DUMMYFUNCTION("""COMPUTED_VALUE"""),"https://storage.googleapis.com/glide-prod.appspot.com/uploads-v2/ly7o78grxPaC6KdgvbpS/pub/3aRdSog0vUtuqPE8AJKD.png")</f>
        <v>https://storage.googleapis.com/glide-prod.appspot.com/uploads-v2/ly7o78grxPaC6KdgvbpS/pub/3aRdSog0vUtuqPE8AJKD.png</v>
      </c>
      <c r="U799" s="5" t="str">
        <f ca="1">IFERROR(__xludf.DUMMYFUNCTION("""COMPUTED_VALUE"""),"LINEA DE ENVASADO JUGOS PET HOT FILLLLENADORA")</f>
        <v>LINEA DE ENVASADO JUGOS PET HOT FILLLLENADORA</v>
      </c>
      <c r="V799" s="5"/>
      <c r="W799" s="5" t="b">
        <f ca="1">IFERROR(__xludf.DUMMYFUNCTION("""COMPUTED_VALUE"""),TRUE)</f>
        <v>1</v>
      </c>
      <c r="X799" s="5" t="str">
        <f ca="1">IFERROR(__xludf.DUMMYFUNCTION("""COMPUTED_VALUE"""),"achavezi@postobon.com.co,aprmttoyu@postobon.com.co,aprmyu@postobon.com.co,wmora@postobon.com.co,efzapata@postobon.com.co")</f>
        <v>achavezi@postobon.com.co,aprmttoyu@postobon.com.co,aprmyu@postobon.com.co,wmora@postobon.com.co,efzapata@postobon.com.co</v>
      </c>
      <c r="Y799" s="5" t="str">
        <f ca="1">IFERROR(__xludf.DUMMYFUNCTION("""COMPUTED_VALUE"""),"achavezi@postobon.com.co")</f>
        <v>achavezi@postobon.com.co</v>
      </c>
      <c r="Z799" s="5" t="str">
        <f ca="1">IFERROR(__xludf.DUMMYFUNCTION("""COMPUTED_VALUE"""),"SRw35FKvTwut80b0x3joKg")</f>
        <v>SRw35FKvTwut80b0x3joKg</v>
      </c>
      <c r="AA799" s="5"/>
      <c r="AB799" s="5"/>
      <c r="AC799" s="5"/>
      <c r="AD799" s="5">
        <f ca="1">IFERROR(__xludf.DUMMYFUNCTION("""COMPUTED_VALUE"""),24)</f>
        <v>24</v>
      </c>
      <c r="AE799" s="5">
        <f ca="1">IFERROR(__xludf.DUMMYFUNCTION("""COMPUTED_VALUE"""),24)</f>
        <v>24</v>
      </c>
      <c r="AF799" s="5" t="b">
        <f ca="1">IFERROR(__xludf.DUMMYFUNCTION("""COMPUTED_VALUE"""),FALSE)</f>
        <v>0</v>
      </c>
      <c r="AG799" s="5" t="str">
        <f ca="1">IFERROR(__xludf.DUMMYFUNCTION("""COMPUTED_VALUE"""),"INSPECCIONES REALIZADAS")</f>
        <v>INSPECCIONES REALIZADAS</v>
      </c>
      <c r="AH799" s="5"/>
    </row>
    <row r="800" spans="1:34">
      <c r="A800" s="5" t="str">
        <f ca="1">IFERROR(__xludf.DUMMYFUNCTION("""COMPUTED_VALUE"""),"LINEA DE ENVASADO JUGOS PET HOT FILL")</f>
        <v>LINEA DE ENVASADO JUGOS PET HOT FILL</v>
      </c>
      <c r="B800" s="5">
        <f ca="1">IFERROR(__xludf.DUMMYFUNCTION("""COMPUTED_VALUE"""),900303)</f>
        <v>900303</v>
      </c>
      <c r="C800" s="5" t="str">
        <f ca="1">IFERROR(__xludf.DUMMYFUNCTION("""COMPUTED_VALUE"""),"LLENADORA")</f>
        <v>LLENADORA</v>
      </c>
      <c r="D800" s="5">
        <f ca="1">IFERROR(__xludf.DUMMYFUNCTION("""COMPUTED_VALUE"""),13247767)</f>
        <v>13247767</v>
      </c>
      <c r="E800" s="5" t="str">
        <f ca="1">IFERROR(__xludf.DUMMYFUNCTION("""COMPUTED_VALUE"""),"INSPECCION SEMANAL LLENADORA")</f>
        <v>INSPECCION SEMANAL LLENADORA</v>
      </c>
      <c r="F800" s="5" t="str">
        <f ca="1">IFERROR(__xludf.DUMMYFUNCTION("""COMPUTED_VALUE"""),"ESTADO MOTORES")</f>
        <v>ESTADO MOTORES</v>
      </c>
      <c r="G800" s="5" t="b">
        <f ca="1">IFERROR(__xludf.DUMMYFUNCTION("""COMPUTED_VALUE"""),TRUE)</f>
        <v>1</v>
      </c>
      <c r="H800" s="5"/>
      <c r="I800" s="5"/>
      <c r="J800" s="5">
        <f ca="1">IFERROR(__xludf.DUMMYFUNCTION("""COMPUTED_VALUE"""),13247767)</f>
        <v>13247767</v>
      </c>
      <c r="K800" s="5"/>
      <c r="L800" s="18">
        <f ca="1">IFERROR(__xludf.DUMMYFUNCTION("""COMPUTED_VALUE"""),45325)</f>
        <v>45325</v>
      </c>
      <c r="M800" s="18">
        <f ca="1">IFERROR(__xludf.DUMMYFUNCTION("""COMPUTED_VALUE"""),45325)</f>
        <v>45325</v>
      </c>
      <c r="N800" s="5" t="str">
        <f ca="1">IFERROR(__xludf.DUMMYFUNCTION("""COMPUTED_VALUE"""),"Franco Castillo Brayan Steven")</f>
        <v>Franco Castillo Brayan Steven</v>
      </c>
      <c r="O800" s="2">
        <f ca="1">IFERROR(__xludf.DUMMYFUNCTION("""COMPUTED_VALUE"""),0.041666667)</f>
        <v>4.1666666999999998E-2</v>
      </c>
      <c r="P800" s="5">
        <f ca="1">IFERROR(__xludf.DUMMYFUNCTION("""COMPUTED_VALUE"""),20009758)</f>
        <v>20009758</v>
      </c>
      <c r="Q800" s="5" t="str">
        <f ca="1">IFERROR(__xludf.DUMMYFUNCTION("""COMPUTED_VALUE"""),"qsZxoARFkZ8")</f>
        <v>qsZxoARFkZ8</v>
      </c>
      <c r="R800" s="5">
        <f ca="1">IFERROR(__xludf.DUMMYFUNCTION("""COMPUTED_VALUE"""),410)</f>
        <v>410</v>
      </c>
      <c r="S800" s="62">
        <f ca="1">IFERROR(__xludf.DUMMYFUNCTION("""COMPUTED_VALUE"""),0.041666667)</f>
        <v>4.1666666999999998E-2</v>
      </c>
      <c r="T800" s="63" t="str">
        <f ca="1">IFERROR(__xludf.DUMMYFUNCTION("""COMPUTED_VALUE"""),"https://storage.googleapis.com/glide-prod.appspot.com/uploads-v2/ly7o78grxPaC6KdgvbpS/pub/3aRdSog0vUtuqPE8AJKD.png")</f>
        <v>https://storage.googleapis.com/glide-prod.appspot.com/uploads-v2/ly7o78grxPaC6KdgvbpS/pub/3aRdSog0vUtuqPE8AJKD.png</v>
      </c>
      <c r="U800" s="5" t="str">
        <f ca="1">IFERROR(__xludf.DUMMYFUNCTION("""COMPUTED_VALUE"""),"LINEA DE ENVASADO JUGOS PET HOT FILLLLENADORA")</f>
        <v>LINEA DE ENVASADO JUGOS PET HOT FILLLLENADORA</v>
      </c>
      <c r="V800" s="5"/>
      <c r="W800" s="5" t="b">
        <f ca="1">IFERROR(__xludf.DUMMYFUNCTION("""COMPUTED_VALUE"""),TRUE)</f>
        <v>1</v>
      </c>
      <c r="X800" s="5" t="str">
        <f ca="1">IFERROR(__xludf.DUMMYFUNCTION("""COMPUTED_VALUE"""),"achavezi@postobon.com.co,aprmttoyu@postobon.com.co,aprmyu@postobon.com.co,wmora@postobon.com.co,efzapata@postobon.com.co")</f>
        <v>achavezi@postobon.com.co,aprmttoyu@postobon.com.co,aprmyu@postobon.com.co,wmora@postobon.com.co,efzapata@postobon.com.co</v>
      </c>
      <c r="Y800" s="5" t="str">
        <f ca="1">IFERROR(__xludf.DUMMYFUNCTION("""COMPUTED_VALUE"""),"achavezi@postobon.com.co")</f>
        <v>achavezi@postobon.com.co</v>
      </c>
      <c r="Z800" s="5" t="str">
        <f ca="1">IFERROR(__xludf.DUMMYFUNCTION("""COMPUTED_VALUE"""),"l7C7dvPgR.SB9U.FQko-dw")</f>
        <v>l7C7dvPgR.SB9U.FQko-dw</v>
      </c>
      <c r="AA800" s="5"/>
      <c r="AB800" s="5"/>
      <c r="AC800" s="5"/>
      <c r="AD800" s="5">
        <f ca="1">IFERROR(__xludf.DUMMYFUNCTION("""COMPUTED_VALUE"""),24)</f>
        <v>24</v>
      </c>
      <c r="AE800" s="5">
        <f ca="1">IFERROR(__xludf.DUMMYFUNCTION("""COMPUTED_VALUE"""),24)</f>
        <v>24</v>
      </c>
      <c r="AF800" s="5" t="b">
        <f ca="1">IFERROR(__xludf.DUMMYFUNCTION("""COMPUTED_VALUE"""),FALSE)</f>
        <v>0</v>
      </c>
      <c r="AG800" s="5" t="str">
        <f ca="1">IFERROR(__xludf.DUMMYFUNCTION("""COMPUTED_VALUE"""),"INSPECCIONES REALIZADAS")</f>
        <v>INSPECCIONES REALIZADAS</v>
      </c>
      <c r="AH800" s="5"/>
    </row>
    <row r="801" spans="1:34">
      <c r="A801" s="5" t="str">
        <f ca="1">IFERROR(__xludf.DUMMYFUNCTION("""COMPUTED_VALUE"""),"LINEA DE ENVASADO JUGOS PET HOT FILL")</f>
        <v>LINEA DE ENVASADO JUGOS PET HOT FILL</v>
      </c>
      <c r="B801" s="5">
        <f ca="1">IFERROR(__xludf.DUMMYFUNCTION("""COMPUTED_VALUE"""),900303)</f>
        <v>900303</v>
      </c>
      <c r="C801" s="5" t="str">
        <f ca="1">IFERROR(__xludf.DUMMYFUNCTION("""COMPUTED_VALUE"""),"LLENADORA")</f>
        <v>LLENADORA</v>
      </c>
      <c r="D801" s="5">
        <f ca="1">IFERROR(__xludf.DUMMYFUNCTION("""COMPUTED_VALUE"""),13247767)</f>
        <v>13247767</v>
      </c>
      <c r="E801" s="5" t="str">
        <f ca="1">IFERROR(__xludf.DUMMYFUNCTION("""COMPUTED_VALUE"""),"INSPECCION SEMANAL LLENADORA")</f>
        <v>INSPECCION SEMANAL LLENADORA</v>
      </c>
      <c r="F801" s="5" t="str">
        <f ca="1">IFERROR(__xludf.DUMMYFUNCTION("""COMPUTED_VALUE"""),"INSP. TABLERO ELECTRICO/CLIMATIZADOR")</f>
        <v>INSP. TABLERO ELECTRICO/CLIMATIZADOR</v>
      </c>
      <c r="G801" s="5" t="b">
        <f ca="1">IFERROR(__xludf.DUMMYFUNCTION("""COMPUTED_VALUE"""),TRUE)</f>
        <v>1</v>
      </c>
      <c r="H801" s="5"/>
      <c r="I801" s="5"/>
      <c r="J801" s="5">
        <f ca="1">IFERROR(__xludf.DUMMYFUNCTION("""COMPUTED_VALUE"""),13247767)</f>
        <v>13247767</v>
      </c>
      <c r="K801" s="5"/>
      <c r="L801" s="18">
        <f ca="1">IFERROR(__xludf.DUMMYFUNCTION("""COMPUTED_VALUE"""),45325)</f>
        <v>45325</v>
      </c>
      <c r="M801" s="18">
        <f ca="1">IFERROR(__xludf.DUMMYFUNCTION("""COMPUTED_VALUE"""),45325)</f>
        <v>45325</v>
      </c>
      <c r="N801" s="5" t="str">
        <f ca="1">IFERROR(__xludf.DUMMYFUNCTION("""COMPUTED_VALUE"""),"Franco Castillo Brayan Steven")</f>
        <v>Franco Castillo Brayan Steven</v>
      </c>
      <c r="O801" s="2">
        <f ca="1">IFERROR(__xludf.DUMMYFUNCTION("""COMPUTED_VALUE"""),0.041666667)</f>
        <v>4.1666666999999998E-2</v>
      </c>
      <c r="P801" s="5">
        <f ca="1">IFERROR(__xludf.DUMMYFUNCTION("""COMPUTED_VALUE"""),20009758)</f>
        <v>20009758</v>
      </c>
      <c r="Q801" s="5" t="str">
        <f ca="1">IFERROR(__xludf.DUMMYFUNCTION("""COMPUTED_VALUE"""),"eC0adhMMWPA")</f>
        <v>eC0adhMMWPA</v>
      </c>
      <c r="R801" s="5">
        <f ca="1">IFERROR(__xludf.DUMMYFUNCTION("""COMPUTED_VALUE"""),410)</f>
        <v>410</v>
      </c>
      <c r="S801" s="62">
        <f ca="1">IFERROR(__xludf.DUMMYFUNCTION("""COMPUTED_VALUE"""),0.041666667)</f>
        <v>4.1666666999999998E-2</v>
      </c>
      <c r="T801" s="63" t="str">
        <f ca="1">IFERROR(__xludf.DUMMYFUNCTION("""COMPUTED_VALUE"""),"https://storage.googleapis.com/glide-prod.appspot.com/uploads-v2/ly7o78grxPaC6KdgvbpS/pub/3aRdSog0vUtuqPE8AJKD.png")</f>
        <v>https://storage.googleapis.com/glide-prod.appspot.com/uploads-v2/ly7o78grxPaC6KdgvbpS/pub/3aRdSog0vUtuqPE8AJKD.png</v>
      </c>
      <c r="U801" s="5" t="str">
        <f ca="1">IFERROR(__xludf.DUMMYFUNCTION("""COMPUTED_VALUE"""),"LINEA DE ENVASADO JUGOS PET HOT FILLLLENADORA")</f>
        <v>LINEA DE ENVASADO JUGOS PET HOT FILLLLENADORA</v>
      </c>
      <c r="V801" s="5"/>
      <c r="W801" s="5" t="b">
        <f ca="1">IFERROR(__xludf.DUMMYFUNCTION("""COMPUTED_VALUE"""),TRUE)</f>
        <v>1</v>
      </c>
      <c r="X801" s="5" t="str">
        <f ca="1">IFERROR(__xludf.DUMMYFUNCTION("""COMPUTED_VALUE"""),"achavezi@postobon.com.co,aprmttoyu@postobon.com.co,aprmyu@postobon.com.co,wmora@postobon.com.co,efzapata@postobon.com.co")</f>
        <v>achavezi@postobon.com.co,aprmttoyu@postobon.com.co,aprmyu@postobon.com.co,wmora@postobon.com.co,efzapata@postobon.com.co</v>
      </c>
      <c r="Y801" s="5" t="str">
        <f ca="1">IFERROR(__xludf.DUMMYFUNCTION("""COMPUTED_VALUE"""),"achavezi@postobon.com.co")</f>
        <v>achavezi@postobon.com.co</v>
      </c>
      <c r="Z801" s="5" t="str">
        <f ca="1">IFERROR(__xludf.DUMMYFUNCTION("""COMPUTED_VALUE"""),"F3YVcHFuTYKdsD0p2CFArg")</f>
        <v>F3YVcHFuTYKdsD0p2CFArg</v>
      </c>
      <c r="AA801" s="5"/>
      <c r="AB801" s="5"/>
      <c r="AC801" s="5"/>
      <c r="AD801" s="5">
        <f ca="1">IFERROR(__xludf.DUMMYFUNCTION("""COMPUTED_VALUE"""),24)</f>
        <v>24</v>
      </c>
      <c r="AE801" s="5">
        <f ca="1">IFERROR(__xludf.DUMMYFUNCTION("""COMPUTED_VALUE"""),24)</f>
        <v>24</v>
      </c>
      <c r="AF801" s="5" t="b">
        <f ca="1">IFERROR(__xludf.DUMMYFUNCTION("""COMPUTED_VALUE"""),FALSE)</f>
        <v>0</v>
      </c>
      <c r="AG801" s="5" t="str">
        <f ca="1">IFERROR(__xludf.DUMMYFUNCTION("""COMPUTED_VALUE"""),"INSPECCIONES REALIZADAS")</f>
        <v>INSPECCIONES REALIZADAS</v>
      </c>
      <c r="AH801" s="5"/>
    </row>
    <row r="802" spans="1:34">
      <c r="A802" s="5" t="str">
        <f ca="1">IFERROR(__xludf.DUMMYFUNCTION("""COMPUTED_VALUE"""),"LINEA DE ENVASADO JUGOS PET HOT FILL")</f>
        <v>LINEA DE ENVASADO JUGOS PET HOT FILL</v>
      </c>
      <c r="B802" s="5">
        <f ca="1">IFERROR(__xludf.DUMMYFUNCTION("""COMPUTED_VALUE"""),900303)</f>
        <v>900303</v>
      </c>
      <c r="C802" s="5" t="str">
        <f ca="1">IFERROR(__xludf.DUMMYFUNCTION("""COMPUTED_VALUE"""),"LLENADORA")</f>
        <v>LLENADORA</v>
      </c>
      <c r="D802" s="5">
        <f ca="1">IFERROR(__xludf.DUMMYFUNCTION("""COMPUTED_VALUE"""),13247767)</f>
        <v>13247767</v>
      </c>
      <c r="E802" s="5" t="str">
        <f ca="1">IFERROR(__xludf.DUMMYFUNCTION("""COMPUTED_VALUE"""),"INSPECCION SEMANAL LLENADORA")</f>
        <v>INSPECCION SEMANAL LLENADORA</v>
      </c>
      <c r="F802" s="5" t="str">
        <f ca="1">IFERROR(__xludf.DUMMYFUNCTION("""COMPUTED_VALUE"""),"INS. FILTRO AIRE ESTERIL ESTADO CILICA OPERACIÓN")</f>
        <v>INS. FILTRO AIRE ESTERIL ESTADO CILICA OPERACIÓN</v>
      </c>
      <c r="G802" s="5" t="b">
        <f ca="1">IFERROR(__xludf.DUMMYFUNCTION("""COMPUTED_VALUE"""),TRUE)</f>
        <v>1</v>
      </c>
      <c r="H802" s="5"/>
      <c r="I802" s="5"/>
      <c r="J802" s="5">
        <f ca="1">IFERROR(__xludf.DUMMYFUNCTION("""COMPUTED_VALUE"""),13247767)</f>
        <v>13247767</v>
      </c>
      <c r="K802" s="5"/>
      <c r="L802" s="18">
        <f ca="1">IFERROR(__xludf.DUMMYFUNCTION("""COMPUTED_VALUE"""),45325)</f>
        <v>45325</v>
      </c>
      <c r="M802" s="18">
        <f ca="1">IFERROR(__xludf.DUMMYFUNCTION("""COMPUTED_VALUE"""),45325)</f>
        <v>45325</v>
      </c>
      <c r="N802" s="5" t="str">
        <f ca="1">IFERROR(__xludf.DUMMYFUNCTION("""COMPUTED_VALUE"""),"Franco Castillo Brayan Steven")</f>
        <v>Franco Castillo Brayan Steven</v>
      </c>
      <c r="O802" s="2">
        <f ca="1">IFERROR(__xludf.DUMMYFUNCTION("""COMPUTED_VALUE"""),0.041666667)</f>
        <v>4.1666666999999998E-2</v>
      </c>
      <c r="P802" s="5">
        <f ca="1">IFERROR(__xludf.DUMMYFUNCTION("""COMPUTED_VALUE"""),20009758)</f>
        <v>20009758</v>
      </c>
      <c r="Q802" s="5" t="str">
        <f ca="1">IFERROR(__xludf.DUMMYFUNCTION("""COMPUTED_VALUE"""),"ZmVRQQBZvQg")</f>
        <v>ZmVRQQBZvQg</v>
      </c>
      <c r="R802" s="5">
        <f ca="1">IFERROR(__xludf.DUMMYFUNCTION("""COMPUTED_VALUE"""),410)</f>
        <v>410</v>
      </c>
      <c r="S802" s="62">
        <f ca="1">IFERROR(__xludf.DUMMYFUNCTION("""COMPUTED_VALUE"""),0.041666667)</f>
        <v>4.1666666999999998E-2</v>
      </c>
      <c r="T802" s="63" t="str">
        <f ca="1">IFERROR(__xludf.DUMMYFUNCTION("""COMPUTED_VALUE"""),"https://storage.googleapis.com/glide-prod.appspot.com/uploads-v2/ly7o78grxPaC6KdgvbpS/pub/3aRdSog0vUtuqPE8AJKD.png")</f>
        <v>https://storage.googleapis.com/glide-prod.appspot.com/uploads-v2/ly7o78grxPaC6KdgvbpS/pub/3aRdSog0vUtuqPE8AJKD.png</v>
      </c>
      <c r="U802" s="5" t="str">
        <f ca="1">IFERROR(__xludf.DUMMYFUNCTION("""COMPUTED_VALUE"""),"LINEA DE ENVASADO JUGOS PET HOT FILLLLENADORA")</f>
        <v>LINEA DE ENVASADO JUGOS PET HOT FILLLLENADORA</v>
      </c>
      <c r="V802" s="5"/>
      <c r="W802" s="5" t="b">
        <f ca="1">IFERROR(__xludf.DUMMYFUNCTION("""COMPUTED_VALUE"""),TRUE)</f>
        <v>1</v>
      </c>
      <c r="X802" s="5" t="str">
        <f ca="1">IFERROR(__xludf.DUMMYFUNCTION("""COMPUTED_VALUE"""),"achavezi@postobon.com.co,aprmttoyu@postobon.com.co,aprmyu@postobon.com.co,wmora@postobon.com.co,efzapata@postobon.com.co")</f>
        <v>achavezi@postobon.com.co,aprmttoyu@postobon.com.co,aprmyu@postobon.com.co,wmora@postobon.com.co,efzapata@postobon.com.co</v>
      </c>
      <c r="Y802" s="5" t="str">
        <f ca="1">IFERROR(__xludf.DUMMYFUNCTION("""COMPUTED_VALUE"""),"achavezi@postobon.com.co")</f>
        <v>achavezi@postobon.com.co</v>
      </c>
      <c r="Z802" s="5" t="str">
        <f ca="1">IFERROR(__xludf.DUMMYFUNCTION("""COMPUTED_VALUE"""),"KD6Xz2tPTG6ljxBdsZYvBA")</f>
        <v>KD6Xz2tPTG6ljxBdsZYvBA</v>
      </c>
      <c r="AA802" s="5"/>
      <c r="AB802" s="5"/>
      <c r="AC802" s="5"/>
      <c r="AD802" s="5">
        <f ca="1">IFERROR(__xludf.DUMMYFUNCTION("""COMPUTED_VALUE"""),24)</f>
        <v>24</v>
      </c>
      <c r="AE802" s="5">
        <f ca="1">IFERROR(__xludf.DUMMYFUNCTION("""COMPUTED_VALUE"""),24)</f>
        <v>24</v>
      </c>
      <c r="AF802" s="5" t="b">
        <f ca="1">IFERROR(__xludf.DUMMYFUNCTION("""COMPUTED_VALUE"""),FALSE)</f>
        <v>0</v>
      </c>
      <c r="AG802" s="5" t="str">
        <f ca="1">IFERROR(__xludf.DUMMYFUNCTION("""COMPUTED_VALUE"""),"INSPECCIONES REALIZADAS")</f>
        <v>INSPECCIONES REALIZADAS</v>
      </c>
      <c r="AH802" s="5"/>
    </row>
    <row r="803" spans="1:34">
      <c r="A803" s="5" t="str">
        <f ca="1">IFERROR(__xludf.DUMMYFUNCTION("""COMPUTED_VALUE"""),"LINEA DE ENVASADO JUGOS PET HOT FILL")</f>
        <v>LINEA DE ENVASADO JUGOS PET HOT FILL</v>
      </c>
      <c r="B803" s="5">
        <f ca="1">IFERROR(__xludf.DUMMYFUNCTION("""COMPUTED_VALUE"""),900303)</f>
        <v>900303</v>
      </c>
      <c r="C803" s="5" t="str">
        <f ca="1">IFERROR(__xludf.DUMMYFUNCTION("""COMPUTED_VALUE"""),"LLENADORA")</f>
        <v>LLENADORA</v>
      </c>
      <c r="D803" s="5">
        <f ca="1">IFERROR(__xludf.DUMMYFUNCTION("""COMPUTED_VALUE"""),13247767)</f>
        <v>13247767</v>
      </c>
      <c r="E803" s="5" t="str">
        <f ca="1">IFERROR(__xludf.DUMMYFUNCTION("""COMPUTED_VALUE"""),"INSPECCION SEMANAL LLENADORA")</f>
        <v>INSPECCION SEMANAL LLENADORA</v>
      </c>
      <c r="F803" s="5" t="str">
        <f ca="1">IFERROR(__xludf.DUMMYFUNCTION("""COMPUTED_VALUE"""),"INSP. SISTEMA NEUMATICO TAPONADOR")</f>
        <v>INSP. SISTEMA NEUMATICO TAPONADOR</v>
      </c>
      <c r="G803" s="5" t="b">
        <f ca="1">IFERROR(__xludf.DUMMYFUNCTION("""COMPUTED_VALUE"""),TRUE)</f>
        <v>1</v>
      </c>
      <c r="H803" s="5"/>
      <c r="I803" s="5"/>
      <c r="J803" s="5">
        <f ca="1">IFERROR(__xludf.DUMMYFUNCTION("""COMPUTED_VALUE"""),13247767)</f>
        <v>13247767</v>
      </c>
      <c r="K803" s="5"/>
      <c r="L803" s="18">
        <f ca="1">IFERROR(__xludf.DUMMYFUNCTION("""COMPUTED_VALUE"""),45325)</f>
        <v>45325</v>
      </c>
      <c r="M803" s="18">
        <f ca="1">IFERROR(__xludf.DUMMYFUNCTION("""COMPUTED_VALUE"""),45325)</f>
        <v>45325</v>
      </c>
      <c r="N803" s="5" t="str">
        <f ca="1">IFERROR(__xludf.DUMMYFUNCTION("""COMPUTED_VALUE"""),"Franco Castillo Brayan Steven")</f>
        <v>Franco Castillo Brayan Steven</v>
      </c>
      <c r="O803" s="2">
        <f ca="1">IFERROR(__xludf.DUMMYFUNCTION("""COMPUTED_VALUE"""),0.041666667)</f>
        <v>4.1666666999999998E-2</v>
      </c>
      <c r="P803" s="5">
        <f ca="1">IFERROR(__xludf.DUMMYFUNCTION("""COMPUTED_VALUE"""),20009758)</f>
        <v>20009758</v>
      </c>
      <c r="Q803" s="5" t="str">
        <f ca="1">IFERROR(__xludf.DUMMYFUNCTION("""COMPUTED_VALUE"""),"k9wmUcugTB8")</f>
        <v>k9wmUcugTB8</v>
      </c>
      <c r="R803" s="5">
        <f ca="1">IFERROR(__xludf.DUMMYFUNCTION("""COMPUTED_VALUE"""),410)</f>
        <v>410</v>
      </c>
      <c r="S803" s="62">
        <f ca="1">IFERROR(__xludf.DUMMYFUNCTION("""COMPUTED_VALUE"""),0.041666667)</f>
        <v>4.1666666999999998E-2</v>
      </c>
      <c r="T803" s="63" t="str">
        <f ca="1">IFERROR(__xludf.DUMMYFUNCTION("""COMPUTED_VALUE"""),"https://storage.googleapis.com/glide-prod.appspot.com/uploads-v2/ly7o78grxPaC6KdgvbpS/pub/3aRdSog0vUtuqPE8AJKD.png")</f>
        <v>https://storage.googleapis.com/glide-prod.appspot.com/uploads-v2/ly7o78grxPaC6KdgvbpS/pub/3aRdSog0vUtuqPE8AJKD.png</v>
      </c>
      <c r="U803" s="5" t="str">
        <f ca="1">IFERROR(__xludf.DUMMYFUNCTION("""COMPUTED_VALUE"""),"LINEA DE ENVASADO JUGOS PET HOT FILLLLENADORA")</f>
        <v>LINEA DE ENVASADO JUGOS PET HOT FILLLLENADORA</v>
      </c>
      <c r="V803" s="5"/>
      <c r="W803" s="5" t="b">
        <f ca="1">IFERROR(__xludf.DUMMYFUNCTION("""COMPUTED_VALUE"""),TRUE)</f>
        <v>1</v>
      </c>
      <c r="X803" s="5" t="str">
        <f ca="1">IFERROR(__xludf.DUMMYFUNCTION("""COMPUTED_VALUE"""),"achavezi@postobon.com.co,aprmttoyu@postobon.com.co,aprmyu@postobon.com.co,wmora@postobon.com.co,efzapata@postobon.com.co")</f>
        <v>achavezi@postobon.com.co,aprmttoyu@postobon.com.co,aprmyu@postobon.com.co,wmora@postobon.com.co,efzapata@postobon.com.co</v>
      </c>
      <c r="Y803" s="5" t="str">
        <f ca="1">IFERROR(__xludf.DUMMYFUNCTION("""COMPUTED_VALUE"""),"achavezi@postobon.com.co")</f>
        <v>achavezi@postobon.com.co</v>
      </c>
      <c r="Z803" s="5" t="str">
        <f ca="1">IFERROR(__xludf.DUMMYFUNCTION("""COMPUTED_VALUE"""),"KBiqrWgpSSeR1Cz6L605aw")</f>
        <v>KBiqrWgpSSeR1Cz6L605aw</v>
      </c>
      <c r="AA803" s="5"/>
      <c r="AB803" s="5"/>
      <c r="AC803" s="5"/>
      <c r="AD803" s="5">
        <f ca="1">IFERROR(__xludf.DUMMYFUNCTION("""COMPUTED_VALUE"""),24)</f>
        <v>24</v>
      </c>
      <c r="AE803" s="5">
        <f ca="1">IFERROR(__xludf.DUMMYFUNCTION("""COMPUTED_VALUE"""),24)</f>
        <v>24</v>
      </c>
      <c r="AF803" s="5" t="b">
        <f ca="1">IFERROR(__xludf.DUMMYFUNCTION("""COMPUTED_VALUE"""),FALSE)</f>
        <v>0</v>
      </c>
      <c r="AG803" s="5" t="str">
        <f ca="1">IFERROR(__xludf.DUMMYFUNCTION("""COMPUTED_VALUE"""),"INSPECCIONES REALIZADAS")</f>
        <v>INSPECCIONES REALIZADAS</v>
      </c>
      <c r="AH803" s="5"/>
    </row>
    <row r="804" spans="1:34">
      <c r="A804" s="5" t="str">
        <f ca="1">IFERROR(__xludf.DUMMYFUNCTION("""COMPUTED_VALUE"""),"LINEA DE ENVASADO JUGOS PET HOT FILL")</f>
        <v>LINEA DE ENVASADO JUGOS PET HOT FILL</v>
      </c>
      <c r="B804" s="5">
        <f ca="1">IFERROR(__xludf.DUMMYFUNCTION("""COMPUTED_VALUE"""),900303)</f>
        <v>900303</v>
      </c>
      <c r="C804" s="5" t="str">
        <f ca="1">IFERROR(__xludf.DUMMYFUNCTION("""COMPUTED_VALUE"""),"LLENADORA")</f>
        <v>LLENADORA</v>
      </c>
      <c r="D804" s="5">
        <f ca="1">IFERROR(__xludf.DUMMYFUNCTION("""COMPUTED_VALUE"""),13247767)</f>
        <v>13247767</v>
      </c>
      <c r="E804" s="5" t="str">
        <f ca="1">IFERROR(__xludf.DUMMYFUNCTION("""COMPUTED_VALUE"""),"INSPECCION SEMANAL LLENADORA")</f>
        <v>INSPECCION SEMANAL LLENADORA</v>
      </c>
      <c r="F804" s="5" t="str">
        <f ca="1">IFERROR(__xludf.DUMMYFUNCTION("""COMPUTED_VALUE"""),"FUNC. SENSORES DE TAPA TAPONADOR")</f>
        <v>FUNC. SENSORES DE TAPA TAPONADOR</v>
      </c>
      <c r="G804" s="5" t="b">
        <f ca="1">IFERROR(__xludf.DUMMYFUNCTION("""COMPUTED_VALUE"""),TRUE)</f>
        <v>1</v>
      </c>
      <c r="H804" s="5"/>
      <c r="I804" s="5"/>
      <c r="J804" s="5">
        <f ca="1">IFERROR(__xludf.DUMMYFUNCTION("""COMPUTED_VALUE"""),13247767)</f>
        <v>13247767</v>
      </c>
      <c r="K804" s="5"/>
      <c r="L804" s="18">
        <f ca="1">IFERROR(__xludf.DUMMYFUNCTION("""COMPUTED_VALUE"""),45325)</f>
        <v>45325</v>
      </c>
      <c r="M804" s="18">
        <f ca="1">IFERROR(__xludf.DUMMYFUNCTION("""COMPUTED_VALUE"""),45325)</f>
        <v>45325</v>
      </c>
      <c r="N804" s="5" t="str">
        <f ca="1">IFERROR(__xludf.DUMMYFUNCTION("""COMPUTED_VALUE"""),"Franco Castillo Brayan Steven")</f>
        <v>Franco Castillo Brayan Steven</v>
      </c>
      <c r="O804" s="2">
        <f ca="1">IFERROR(__xludf.DUMMYFUNCTION("""COMPUTED_VALUE"""),0.041666667)</f>
        <v>4.1666666999999998E-2</v>
      </c>
      <c r="P804" s="5">
        <f ca="1">IFERROR(__xludf.DUMMYFUNCTION("""COMPUTED_VALUE"""),20009758)</f>
        <v>20009758</v>
      </c>
      <c r="Q804" s="5" t="str">
        <f ca="1">IFERROR(__xludf.DUMMYFUNCTION("""COMPUTED_VALUE"""),"es7V8noB31E")</f>
        <v>es7V8noB31E</v>
      </c>
      <c r="R804" s="5">
        <f ca="1">IFERROR(__xludf.DUMMYFUNCTION("""COMPUTED_VALUE"""),410)</f>
        <v>410</v>
      </c>
      <c r="S804" s="62">
        <f ca="1">IFERROR(__xludf.DUMMYFUNCTION("""COMPUTED_VALUE"""),0.041666667)</f>
        <v>4.1666666999999998E-2</v>
      </c>
      <c r="T804" s="63" t="str">
        <f ca="1">IFERROR(__xludf.DUMMYFUNCTION("""COMPUTED_VALUE"""),"https://storage.googleapis.com/glide-prod.appspot.com/uploads-v2/ly7o78grxPaC6KdgvbpS/pub/3aRdSog0vUtuqPE8AJKD.png")</f>
        <v>https://storage.googleapis.com/glide-prod.appspot.com/uploads-v2/ly7o78grxPaC6KdgvbpS/pub/3aRdSog0vUtuqPE8AJKD.png</v>
      </c>
      <c r="U804" s="5" t="str">
        <f ca="1">IFERROR(__xludf.DUMMYFUNCTION("""COMPUTED_VALUE"""),"LINEA DE ENVASADO JUGOS PET HOT FILLLLENADORA")</f>
        <v>LINEA DE ENVASADO JUGOS PET HOT FILLLLENADORA</v>
      </c>
      <c r="V804" s="5"/>
      <c r="W804" s="5" t="b">
        <f ca="1">IFERROR(__xludf.DUMMYFUNCTION("""COMPUTED_VALUE"""),TRUE)</f>
        <v>1</v>
      </c>
      <c r="X804" s="5" t="str">
        <f ca="1">IFERROR(__xludf.DUMMYFUNCTION("""COMPUTED_VALUE"""),"achavezi@postobon.com.co,aprmttoyu@postobon.com.co,aprmyu@postobon.com.co,wmora@postobon.com.co,efzapata@postobon.com.co")</f>
        <v>achavezi@postobon.com.co,aprmttoyu@postobon.com.co,aprmyu@postobon.com.co,wmora@postobon.com.co,efzapata@postobon.com.co</v>
      </c>
      <c r="Y804" s="5" t="str">
        <f ca="1">IFERROR(__xludf.DUMMYFUNCTION("""COMPUTED_VALUE"""),"achavezi@postobon.com.co")</f>
        <v>achavezi@postobon.com.co</v>
      </c>
      <c r="Z804" s="5" t="str">
        <f ca="1">IFERROR(__xludf.DUMMYFUNCTION("""COMPUTED_VALUE"""),"emTwtEJESXiTJSVSqcCvIA")</f>
        <v>emTwtEJESXiTJSVSqcCvIA</v>
      </c>
      <c r="AA804" s="5"/>
      <c r="AB804" s="5"/>
      <c r="AC804" s="5"/>
      <c r="AD804" s="5">
        <f ca="1">IFERROR(__xludf.DUMMYFUNCTION("""COMPUTED_VALUE"""),24)</f>
        <v>24</v>
      </c>
      <c r="AE804" s="5">
        <f ca="1">IFERROR(__xludf.DUMMYFUNCTION("""COMPUTED_VALUE"""),24)</f>
        <v>24</v>
      </c>
      <c r="AF804" s="5" t="b">
        <f ca="1">IFERROR(__xludf.DUMMYFUNCTION("""COMPUTED_VALUE"""),FALSE)</f>
        <v>0</v>
      </c>
      <c r="AG804" s="5" t="str">
        <f ca="1">IFERROR(__xludf.DUMMYFUNCTION("""COMPUTED_VALUE"""),"INSPECCIONES REALIZADAS")</f>
        <v>INSPECCIONES REALIZADAS</v>
      </c>
      <c r="AH804" s="5"/>
    </row>
    <row r="805" spans="1:34">
      <c r="A805" s="5" t="str">
        <f ca="1">IFERROR(__xludf.DUMMYFUNCTION("""COMPUTED_VALUE"""),"LINEA DE ENVASADO JUGOS PET HOT FILL")</f>
        <v>LINEA DE ENVASADO JUGOS PET HOT FILL</v>
      </c>
      <c r="B805" s="5">
        <f ca="1">IFERROR(__xludf.DUMMYFUNCTION("""COMPUTED_VALUE"""),900303)</f>
        <v>900303</v>
      </c>
      <c r="C805" s="5" t="str">
        <f ca="1">IFERROR(__xludf.DUMMYFUNCTION("""COMPUTED_VALUE"""),"LLENADORA")</f>
        <v>LLENADORA</v>
      </c>
      <c r="D805" s="5">
        <f ca="1">IFERROR(__xludf.DUMMYFUNCTION("""COMPUTED_VALUE"""),13247767)</f>
        <v>13247767</v>
      </c>
      <c r="E805" s="5" t="str">
        <f ca="1">IFERROR(__xludf.DUMMYFUNCTION("""COMPUTED_VALUE"""),"INSPECCION SEMANAL LLENADORA")</f>
        <v>INSPECCION SEMANAL LLENADORA</v>
      </c>
      <c r="F805" s="5" t="str">
        <f ca="1">IFERROR(__xludf.DUMMYFUNCTION("""COMPUTED_VALUE"""),"ESTADO BANDA ALIMENTACION TAPONADOR")</f>
        <v>ESTADO BANDA ALIMENTACION TAPONADOR</v>
      </c>
      <c r="G805" s="5" t="b">
        <f ca="1">IFERROR(__xludf.DUMMYFUNCTION("""COMPUTED_VALUE"""),TRUE)</f>
        <v>1</v>
      </c>
      <c r="H805" s="5"/>
      <c r="I805" s="5"/>
      <c r="J805" s="5">
        <f ca="1">IFERROR(__xludf.DUMMYFUNCTION("""COMPUTED_VALUE"""),13247767)</f>
        <v>13247767</v>
      </c>
      <c r="K805" s="5"/>
      <c r="L805" s="18">
        <f ca="1">IFERROR(__xludf.DUMMYFUNCTION("""COMPUTED_VALUE"""),45325)</f>
        <v>45325</v>
      </c>
      <c r="M805" s="18">
        <f ca="1">IFERROR(__xludf.DUMMYFUNCTION("""COMPUTED_VALUE"""),45325)</f>
        <v>45325</v>
      </c>
      <c r="N805" s="5" t="str">
        <f ca="1">IFERROR(__xludf.DUMMYFUNCTION("""COMPUTED_VALUE"""),"Franco Castillo Brayan Steven")</f>
        <v>Franco Castillo Brayan Steven</v>
      </c>
      <c r="O805" s="2">
        <f ca="1">IFERROR(__xludf.DUMMYFUNCTION("""COMPUTED_VALUE"""),0.041666667)</f>
        <v>4.1666666999999998E-2</v>
      </c>
      <c r="P805" s="5">
        <f ca="1">IFERROR(__xludf.DUMMYFUNCTION("""COMPUTED_VALUE"""),20009758)</f>
        <v>20009758</v>
      </c>
      <c r="Q805" s="5" t="str">
        <f ca="1">IFERROR(__xludf.DUMMYFUNCTION("""COMPUTED_VALUE"""),"QrlcxRQuz1c")</f>
        <v>QrlcxRQuz1c</v>
      </c>
      <c r="R805" s="5">
        <f ca="1">IFERROR(__xludf.DUMMYFUNCTION("""COMPUTED_VALUE"""),410)</f>
        <v>410</v>
      </c>
      <c r="S805" s="62">
        <f ca="1">IFERROR(__xludf.DUMMYFUNCTION("""COMPUTED_VALUE"""),0.041666667)</f>
        <v>4.1666666999999998E-2</v>
      </c>
      <c r="T805" s="63" t="str">
        <f ca="1">IFERROR(__xludf.DUMMYFUNCTION("""COMPUTED_VALUE"""),"https://storage.googleapis.com/glide-prod.appspot.com/uploads-v2/ly7o78grxPaC6KdgvbpS/pub/3aRdSog0vUtuqPE8AJKD.png")</f>
        <v>https://storage.googleapis.com/glide-prod.appspot.com/uploads-v2/ly7o78grxPaC6KdgvbpS/pub/3aRdSog0vUtuqPE8AJKD.png</v>
      </c>
      <c r="U805" s="5" t="str">
        <f ca="1">IFERROR(__xludf.DUMMYFUNCTION("""COMPUTED_VALUE"""),"LINEA DE ENVASADO JUGOS PET HOT FILLLLENADORA")</f>
        <v>LINEA DE ENVASADO JUGOS PET HOT FILLLLENADORA</v>
      </c>
      <c r="V805" s="5"/>
      <c r="W805" s="5" t="b">
        <f ca="1">IFERROR(__xludf.DUMMYFUNCTION("""COMPUTED_VALUE"""),TRUE)</f>
        <v>1</v>
      </c>
      <c r="X805" s="5" t="str">
        <f ca="1">IFERROR(__xludf.DUMMYFUNCTION("""COMPUTED_VALUE"""),"achavezi@postobon.com.co,aprmttoyu@postobon.com.co,aprmyu@postobon.com.co,wmora@postobon.com.co,efzapata@postobon.com.co")</f>
        <v>achavezi@postobon.com.co,aprmttoyu@postobon.com.co,aprmyu@postobon.com.co,wmora@postobon.com.co,efzapata@postobon.com.co</v>
      </c>
      <c r="Y805" s="5" t="str">
        <f ca="1">IFERROR(__xludf.DUMMYFUNCTION("""COMPUTED_VALUE"""),"achavezi@postobon.com.co")</f>
        <v>achavezi@postobon.com.co</v>
      </c>
      <c r="Z805" s="5" t="str">
        <f ca="1">IFERROR(__xludf.DUMMYFUNCTION("""COMPUTED_VALUE"""),"6KIzjbj4T8muoAquwwIXBA")</f>
        <v>6KIzjbj4T8muoAquwwIXBA</v>
      </c>
      <c r="AA805" s="5"/>
      <c r="AB805" s="5"/>
      <c r="AC805" s="5"/>
      <c r="AD805" s="5">
        <f ca="1">IFERROR(__xludf.DUMMYFUNCTION("""COMPUTED_VALUE"""),24)</f>
        <v>24</v>
      </c>
      <c r="AE805" s="5">
        <f ca="1">IFERROR(__xludf.DUMMYFUNCTION("""COMPUTED_VALUE"""),24)</f>
        <v>24</v>
      </c>
      <c r="AF805" s="5" t="b">
        <f ca="1">IFERROR(__xludf.DUMMYFUNCTION("""COMPUTED_VALUE"""),FALSE)</f>
        <v>0</v>
      </c>
      <c r="AG805" s="5" t="str">
        <f ca="1">IFERROR(__xludf.DUMMYFUNCTION("""COMPUTED_VALUE"""),"INSPECCIONES REALIZADAS")</f>
        <v>INSPECCIONES REALIZADAS</v>
      </c>
      <c r="AH805" s="5"/>
    </row>
    <row r="806" spans="1:34">
      <c r="A806" s="5" t="str">
        <f ca="1">IFERROR(__xludf.DUMMYFUNCTION("""COMPUTED_VALUE"""),"LINEA DE ENVASADO JUGOS PET HOT FILL")</f>
        <v>LINEA DE ENVASADO JUGOS PET HOT FILL</v>
      </c>
      <c r="B806" s="5">
        <f ca="1">IFERROR(__xludf.DUMMYFUNCTION("""COMPUTED_VALUE"""),900303)</f>
        <v>900303</v>
      </c>
      <c r="C806" s="5" t="str">
        <f ca="1">IFERROR(__xludf.DUMMYFUNCTION("""COMPUTED_VALUE"""),"LLENADORA")</f>
        <v>LLENADORA</v>
      </c>
      <c r="D806" s="5">
        <f ca="1">IFERROR(__xludf.DUMMYFUNCTION("""COMPUTED_VALUE"""),13247767)</f>
        <v>13247767</v>
      </c>
      <c r="E806" s="5" t="str">
        <f ca="1">IFERROR(__xludf.DUMMYFUNCTION("""COMPUTED_VALUE"""),"INSPECCION SEMANAL LLENADORA")</f>
        <v>INSPECCION SEMANAL LLENADORA</v>
      </c>
      <c r="F806" s="5" t="str">
        <f ca="1">IFERROR(__xludf.DUMMYFUNCTION("""COMPUTED_VALUE"""),"ESTADO CORONADORES TAPONADOR")</f>
        <v>ESTADO CORONADORES TAPONADOR</v>
      </c>
      <c r="G806" s="5" t="b">
        <f ca="1">IFERROR(__xludf.DUMMYFUNCTION("""COMPUTED_VALUE"""),TRUE)</f>
        <v>1</v>
      </c>
      <c r="H806" s="5"/>
      <c r="I806" s="5"/>
      <c r="J806" s="5">
        <f ca="1">IFERROR(__xludf.DUMMYFUNCTION("""COMPUTED_VALUE"""),13247767)</f>
        <v>13247767</v>
      </c>
      <c r="K806" s="5"/>
      <c r="L806" s="18">
        <f ca="1">IFERROR(__xludf.DUMMYFUNCTION("""COMPUTED_VALUE"""),45325)</f>
        <v>45325</v>
      </c>
      <c r="M806" s="18">
        <f ca="1">IFERROR(__xludf.DUMMYFUNCTION("""COMPUTED_VALUE"""),45325)</f>
        <v>45325</v>
      </c>
      <c r="N806" s="5" t="str">
        <f ca="1">IFERROR(__xludf.DUMMYFUNCTION("""COMPUTED_VALUE"""),"Franco Castillo Brayan Steven")</f>
        <v>Franco Castillo Brayan Steven</v>
      </c>
      <c r="O806" s="2">
        <f ca="1">IFERROR(__xludf.DUMMYFUNCTION("""COMPUTED_VALUE"""),0.041666667)</f>
        <v>4.1666666999999998E-2</v>
      </c>
      <c r="P806" s="5">
        <f ca="1">IFERROR(__xludf.DUMMYFUNCTION("""COMPUTED_VALUE"""),20009758)</f>
        <v>20009758</v>
      </c>
      <c r="Q806" s="5" t="str">
        <f ca="1">IFERROR(__xludf.DUMMYFUNCTION("""COMPUTED_VALUE"""),"qWZA6CuM1NY")</f>
        <v>qWZA6CuM1NY</v>
      </c>
      <c r="R806" s="5">
        <f ca="1">IFERROR(__xludf.DUMMYFUNCTION("""COMPUTED_VALUE"""),410)</f>
        <v>410</v>
      </c>
      <c r="S806" s="62">
        <f ca="1">IFERROR(__xludf.DUMMYFUNCTION("""COMPUTED_VALUE"""),0.041666667)</f>
        <v>4.1666666999999998E-2</v>
      </c>
      <c r="T806" s="63" t="str">
        <f ca="1">IFERROR(__xludf.DUMMYFUNCTION("""COMPUTED_VALUE"""),"https://storage.googleapis.com/glide-prod.appspot.com/uploads-v2/ly7o78grxPaC6KdgvbpS/pub/3aRdSog0vUtuqPE8AJKD.png")</f>
        <v>https://storage.googleapis.com/glide-prod.appspot.com/uploads-v2/ly7o78grxPaC6KdgvbpS/pub/3aRdSog0vUtuqPE8AJKD.png</v>
      </c>
      <c r="U806" s="5" t="str">
        <f ca="1">IFERROR(__xludf.DUMMYFUNCTION("""COMPUTED_VALUE"""),"LINEA DE ENVASADO JUGOS PET HOT FILLLLENADORA")</f>
        <v>LINEA DE ENVASADO JUGOS PET HOT FILLLLENADORA</v>
      </c>
      <c r="V806" s="5"/>
      <c r="W806" s="5" t="b">
        <f ca="1">IFERROR(__xludf.DUMMYFUNCTION("""COMPUTED_VALUE"""),TRUE)</f>
        <v>1</v>
      </c>
      <c r="X806" s="5" t="str">
        <f ca="1">IFERROR(__xludf.DUMMYFUNCTION("""COMPUTED_VALUE"""),"achavezi@postobon.com.co,aprmttoyu@postobon.com.co,aprmyu@postobon.com.co,wmora@postobon.com.co,efzapata@postobon.com.co")</f>
        <v>achavezi@postobon.com.co,aprmttoyu@postobon.com.co,aprmyu@postobon.com.co,wmora@postobon.com.co,efzapata@postobon.com.co</v>
      </c>
      <c r="Y806" s="5" t="str">
        <f ca="1">IFERROR(__xludf.DUMMYFUNCTION("""COMPUTED_VALUE"""),"achavezi@postobon.com.co")</f>
        <v>achavezi@postobon.com.co</v>
      </c>
      <c r="Z806" s="5" t="str">
        <f ca="1">IFERROR(__xludf.DUMMYFUNCTION("""COMPUTED_VALUE"""),"M2jGc5FQRluwl2gXChZmjQ")</f>
        <v>M2jGc5FQRluwl2gXChZmjQ</v>
      </c>
      <c r="AA806" s="5"/>
      <c r="AB806" s="5"/>
      <c r="AC806" s="5"/>
      <c r="AD806" s="5">
        <f ca="1">IFERROR(__xludf.DUMMYFUNCTION("""COMPUTED_VALUE"""),24)</f>
        <v>24</v>
      </c>
      <c r="AE806" s="5">
        <f ca="1">IFERROR(__xludf.DUMMYFUNCTION("""COMPUTED_VALUE"""),24)</f>
        <v>24</v>
      </c>
      <c r="AF806" s="5" t="b">
        <f ca="1">IFERROR(__xludf.DUMMYFUNCTION("""COMPUTED_VALUE"""),FALSE)</f>
        <v>0</v>
      </c>
      <c r="AG806" s="5" t="str">
        <f ca="1">IFERROR(__xludf.DUMMYFUNCTION("""COMPUTED_VALUE"""),"INSPECCIONES REALIZADAS")</f>
        <v>INSPECCIONES REALIZADAS</v>
      </c>
      <c r="AH806" s="5"/>
    </row>
    <row r="807" spans="1:34">
      <c r="A807" s="5" t="str">
        <f ca="1">IFERROR(__xludf.DUMMYFUNCTION("""COMPUTED_VALUE"""),"LINEA DE ENVASADO JUGOS PET HOT FILL")</f>
        <v>LINEA DE ENVASADO JUGOS PET HOT FILL</v>
      </c>
      <c r="B807" s="5">
        <f ca="1">IFERROR(__xludf.DUMMYFUNCTION("""COMPUTED_VALUE"""),900303)</f>
        <v>900303</v>
      </c>
      <c r="C807" s="5" t="str">
        <f ca="1">IFERROR(__xludf.DUMMYFUNCTION("""COMPUTED_VALUE"""),"LLENADORA")</f>
        <v>LLENADORA</v>
      </c>
      <c r="D807" s="5">
        <f ca="1">IFERROR(__xludf.DUMMYFUNCTION("""COMPUTED_VALUE"""),13247767)</f>
        <v>13247767</v>
      </c>
      <c r="E807" s="5" t="str">
        <f ca="1">IFERROR(__xludf.DUMMYFUNCTION("""COMPUTED_VALUE"""),"INSPECCION SEMANAL LLENADORA")</f>
        <v>INSPECCION SEMANAL LLENADORA</v>
      </c>
      <c r="F807" s="5" t="str">
        <f ca="1">IFERROR(__xludf.DUMMYFUNCTION("""COMPUTED_VALUE"""),"VERIF. TORQUE CORONADORES TAPONADOR")</f>
        <v>VERIF. TORQUE CORONADORES TAPONADOR</v>
      </c>
      <c r="G807" s="5" t="b">
        <f ca="1">IFERROR(__xludf.DUMMYFUNCTION("""COMPUTED_VALUE"""),TRUE)</f>
        <v>1</v>
      </c>
      <c r="H807" s="5"/>
      <c r="I807" s="5"/>
      <c r="J807" s="5">
        <f ca="1">IFERROR(__xludf.DUMMYFUNCTION("""COMPUTED_VALUE"""),13247767)</f>
        <v>13247767</v>
      </c>
      <c r="K807" s="5"/>
      <c r="L807" s="18">
        <f ca="1">IFERROR(__xludf.DUMMYFUNCTION("""COMPUTED_VALUE"""),45325)</f>
        <v>45325</v>
      </c>
      <c r="M807" s="18">
        <f ca="1">IFERROR(__xludf.DUMMYFUNCTION("""COMPUTED_VALUE"""),45325)</f>
        <v>45325</v>
      </c>
      <c r="N807" s="5" t="str">
        <f ca="1">IFERROR(__xludf.DUMMYFUNCTION("""COMPUTED_VALUE"""),"Franco Castillo Brayan Steven")</f>
        <v>Franco Castillo Brayan Steven</v>
      </c>
      <c r="O807" s="2">
        <f ca="1">IFERROR(__xludf.DUMMYFUNCTION("""COMPUTED_VALUE"""),0.041666667)</f>
        <v>4.1666666999999998E-2</v>
      </c>
      <c r="P807" s="5">
        <f ca="1">IFERROR(__xludf.DUMMYFUNCTION("""COMPUTED_VALUE"""),20009758)</f>
        <v>20009758</v>
      </c>
      <c r="Q807" s="5" t="str">
        <f ca="1">IFERROR(__xludf.DUMMYFUNCTION("""COMPUTED_VALUE"""),"dI5KU29Jlrw")</f>
        <v>dI5KU29Jlrw</v>
      </c>
      <c r="R807" s="5">
        <f ca="1">IFERROR(__xludf.DUMMYFUNCTION("""COMPUTED_VALUE"""),410)</f>
        <v>410</v>
      </c>
      <c r="S807" s="62">
        <f ca="1">IFERROR(__xludf.DUMMYFUNCTION("""COMPUTED_VALUE"""),0.041666667)</f>
        <v>4.1666666999999998E-2</v>
      </c>
      <c r="T807" s="63" t="str">
        <f ca="1">IFERROR(__xludf.DUMMYFUNCTION("""COMPUTED_VALUE"""),"https://storage.googleapis.com/glide-prod.appspot.com/uploads-v2/ly7o78grxPaC6KdgvbpS/pub/3aRdSog0vUtuqPE8AJKD.png")</f>
        <v>https://storage.googleapis.com/glide-prod.appspot.com/uploads-v2/ly7o78grxPaC6KdgvbpS/pub/3aRdSog0vUtuqPE8AJKD.png</v>
      </c>
      <c r="U807" s="5" t="str">
        <f ca="1">IFERROR(__xludf.DUMMYFUNCTION("""COMPUTED_VALUE"""),"LINEA DE ENVASADO JUGOS PET HOT FILLLLENADORA")</f>
        <v>LINEA DE ENVASADO JUGOS PET HOT FILLLLENADORA</v>
      </c>
      <c r="V807" s="5"/>
      <c r="W807" s="5" t="b">
        <f ca="1">IFERROR(__xludf.DUMMYFUNCTION("""COMPUTED_VALUE"""),TRUE)</f>
        <v>1</v>
      </c>
      <c r="X807" s="5" t="str">
        <f ca="1">IFERROR(__xludf.DUMMYFUNCTION("""COMPUTED_VALUE"""),"achavezi@postobon.com.co,aprmttoyu@postobon.com.co,aprmyu@postobon.com.co,wmora@postobon.com.co,efzapata@postobon.com.co")</f>
        <v>achavezi@postobon.com.co,aprmttoyu@postobon.com.co,aprmyu@postobon.com.co,wmora@postobon.com.co,efzapata@postobon.com.co</v>
      </c>
      <c r="Y807" s="5" t="str">
        <f ca="1">IFERROR(__xludf.DUMMYFUNCTION("""COMPUTED_VALUE"""),"achavezi@postobon.com.co")</f>
        <v>achavezi@postobon.com.co</v>
      </c>
      <c r="Z807" s="5" t="str">
        <f ca="1">IFERROR(__xludf.DUMMYFUNCTION("""COMPUTED_VALUE"""),"z3a-dGxXQ1KgQ2fxP6cRQA")</f>
        <v>z3a-dGxXQ1KgQ2fxP6cRQA</v>
      </c>
      <c r="AA807" s="5"/>
      <c r="AB807" s="5"/>
      <c r="AC807" s="5"/>
      <c r="AD807" s="5">
        <f ca="1">IFERROR(__xludf.DUMMYFUNCTION("""COMPUTED_VALUE"""),24)</f>
        <v>24</v>
      </c>
      <c r="AE807" s="5">
        <f ca="1">IFERROR(__xludf.DUMMYFUNCTION("""COMPUTED_VALUE"""),24)</f>
        <v>24</v>
      </c>
      <c r="AF807" s="5" t="b">
        <f ca="1">IFERROR(__xludf.DUMMYFUNCTION("""COMPUTED_VALUE"""),FALSE)</f>
        <v>0</v>
      </c>
      <c r="AG807" s="5" t="str">
        <f ca="1">IFERROR(__xludf.DUMMYFUNCTION("""COMPUTED_VALUE"""),"INSPECCIONES REALIZADAS")</f>
        <v>INSPECCIONES REALIZADAS</v>
      </c>
      <c r="AH807" s="5"/>
    </row>
    <row r="808" spans="1:34">
      <c r="A808" s="5" t="str">
        <f ca="1">IFERROR(__xludf.DUMMYFUNCTION("""COMPUTED_VALUE"""),"LINEA DE ENVASADO JUGOS PET HOT FILL")</f>
        <v>LINEA DE ENVASADO JUGOS PET HOT FILL</v>
      </c>
      <c r="B808" s="5">
        <f ca="1">IFERROR(__xludf.DUMMYFUNCTION("""COMPUTED_VALUE"""),900303)</f>
        <v>900303</v>
      </c>
      <c r="C808" s="5" t="str">
        <f ca="1">IFERROR(__xludf.DUMMYFUNCTION("""COMPUTED_VALUE"""),"LLENADORA")</f>
        <v>LLENADORA</v>
      </c>
      <c r="D808" s="5">
        <f ca="1">IFERROR(__xludf.DUMMYFUNCTION("""COMPUTED_VALUE"""),13247767)</f>
        <v>13247767</v>
      </c>
      <c r="E808" s="5" t="str">
        <f ca="1">IFERROR(__xludf.DUMMYFUNCTION("""COMPUTED_VALUE"""),"INSPECCION SEMANAL LLENADORA")</f>
        <v>INSPECCION SEMANAL LLENADORA</v>
      </c>
      <c r="F808" s="5" t="str">
        <f ca="1">IFERROR(__xludf.DUMMYFUNCTION("""COMPUTED_VALUE"""),"ESTADO GUIA DE SALIDA TAPONADOR")</f>
        <v>ESTADO GUIA DE SALIDA TAPONADOR</v>
      </c>
      <c r="G808" s="5" t="b">
        <f ca="1">IFERROR(__xludf.DUMMYFUNCTION("""COMPUTED_VALUE"""),TRUE)</f>
        <v>1</v>
      </c>
      <c r="H808" s="5"/>
      <c r="I808" s="5"/>
      <c r="J808" s="5">
        <f ca="1">IFERROR(__xludf.DUMMYFUNCTION("""COMPUTED_VALUE"""),13247767)</f>
        <v>13247767</v>
      </c>
      <c r="K808" s="5"/>
      <c r="L808" s="18">
        <f ca="1">IFERROR(__xludf.DUMMYFUNCTION("""COMPUTED_VALUE"""),45325)</f>
        <v>45325</v>
      </c>
      <c r="M808" s="18">
        <f ca="1">IFERROR(__xludf.DUMMYFUNCTION("""COMPUTED_VALUE"""),45325)</f>
        <v>45325</v>
      </c>
      <c r="N808" s="5" t="str">
        <f ca="1">IFERROR(__xludf.DUMMYFUNCTION("""COMPUTED_VALUE"""),"Franco Castillo Brayan Steven")</f>
        <v>Franco Castillo Brayan Steven</v>
      </c>
      <c r="O808" s="2">
        <f ca="1">IFERROR(__xludf.DUMMYFUNCTION("""COMPUTED_VALUE"""),0.041666667)</f>
        <v>4.1666666999999998E-2</v>
      </c>
      <c r="P808" s="5">
        <f ca="1">IFERROR(__xludf.DUMMYFUNCTION("""COMPUTED_VALUE"""),20009758)</f>
        <v>20009758</v>
      </c>
      <c r="Q808" s="5" t="str">
        <f ca="1">IFERROR(__xludf.DUMMYFUNCTION("""COMPUTED_VALUE"""),"MEH3fEZq4SQ")</f>
        <v>MEH3fEZq4SQ</v>
      </c>
      <c r="R808" s="5">
        <f ca="1">IFERROR(__xludf.DUMMYFUNCTION("""COMPUTED_VALUE"""),410)</f>
        <v>410</v>
      </c>
      <c r="S808" s="62">
        <f ca="1">IFERROR(__xludf.DUMMYFUNCTION("""COMPUTED_VALUE"""),0.041666667)</f>
        <v>4.1666666999999998E-2</v>
      </c>
      <c r="T808" s="63" t="str">
        <f ca="1">IFERROR(__xludf.DUMMYFUNCTION("""COMPUTED_VALUE"""),"https://storage.googleapis.com/glide-prod.appspot.com/uploads-v2/ly7o78grxPaC6KdgvbpS/pub/3aRdSog0vUtuqPE8AJKD.png")</f>
        <v>https://storage.googleapis.com/glide-prod.appspot.com/uploads-v2/ly7o78grxPaC6KdgvbpS/pub/3aRdSog0vUtuqPE8AJKD.png</v>
      </c>
      <c r="U808" s="5" t="str">
        <f ca="1">IFERROR(__xludf.DUMMYFUNCTION("""COMPUTED_VALUE"""),"LINEA DE ENVASADO JUGOS PET HOT FILLLLENADORA")</f>
        <v>LINEA DE ENVASADO JUGOS PET HOT FILLLLENADORA</v>
      </c>
      <c r="V808" s="5"/>
      <c r="W808" s="5" t="b">
        <f ca="1">IFERROR(__xludf.DUMMYFUNCTION("""COMPUTED_VALUE"""),TRUE)</f>
        <v>1</v>
      </c>
      <c r="X808" s="5" t="str">
        <f ca="1">IFERROR(__xludf.DUMMYFUNCTION("""COMPUTED_VALUE"""),"achavezi@postobon.com.co,aprmttoyu@postobon.com.co,aprmyu@postobon.com.co,wmora@postobon.com.co,efzapata@postobon.com.co")</f>
        <v>achavezi@postobon.com.co,aprmttoyu@postobon.com.co,aprmyu@postobon.com.co,wmora@postobon.com.co,efzapata@postobon.com.co</v>
      </c>
      <c r="Y808" s="5" t="str">
        <f ca="1">IFERROR(__xludf.DUMMYFUNCTION("""COMPUTED_VALUE"""),"achavezi@postobon.com.co")</f>
        <v>achavezi@postobon.com.co</v>
      </c>
      <c r="Z808" s="5" t="str">
        <f ca="1">IFERROR(__xludf.DUMMYFUNCTION("""COMPUTED_VALUE"""),"xF8UU3KUSCWp2Z095EpIjg")</f>
        <v>xF8UU3KUSCWp2Z095EpIjg</v>
      </c>
      <c r="AA808" s="5"/>
      <c r="AB808" s="5"/>
      <c r="AC808" s="5"/>
      <c r="AD808" s="5">
        <f ca="1">IFERROR(__xludf.DUMMYFUNCTION("""COMPUTED_VALUE"""),24)</f>
        <v>24</v>
      </c>
      <c r="AE808" s="5">
        <f ca="1">IFERROR(__xludf.DUMMYFUNCTION("""COMPUTED_VALUE"""),24)</f>
        <v>24</v>
      </c>
      <c r="AF808" s="5" t="b">
        <f ca="1">IFERROR(__xludf.DUMMYFUNCTION("""COMPUTED_VALUE"""),FALSE)</f>
        <v>0</v>
      </c>
      <c r="AG808" s="5" t="str">
        <f ca="1">IFERROR(__xludf.DUMMYFUNCTION("""COMPUTED_VALUE"""),"INSPECCIONES REALIZADAS")</f>
        <v>INSPECCIONES REALIZADAS</v>
      </c>
      <c r="AH808" s="5"/>
    </row>
    <row r="809" spans="1:34">
      <c r="A809" s="5" t="str">
        <f ca="1">IFERROR(__xludf.DUMMYFUNCTION("""COMPUTED_VALUE"""),"LINEA DE ENVASADO JUGOS PET HOT FILL")</f>
        <v>LINEA DE ENVASADO JUGOS PET HOT FILL</v>
      </c>
      <c r="B809" s="5">
        <f ca="1">IFERROR(__xludf.DUMMYFUNCTION("""COMPUTED_VALUE"""),900303)</f>
        <v>900303</v>
      </c>
      <c r="C809" s="5" t="str">
        <f ca="1">IFERROR(__xludf.DUMMYFUNCTION("""COMPUTED_VALUE"""),"LLENADORA")</f>
        <v>LLENADORA</v>
      </c>
      <c r="D809" s="5">
        <f ca="1">IFERROR(__xludf.DUMMYFUNCTION("""COMPUTED_VALUE"""),13247767)</f>
        <v>13247767</v>
      </c>
      <c r="E809" s="5" t="str">
        <f ca="1">IFERROR(__xludf.DUMMYFUNCTION("""COMPUTED_VALUE"""),"INSPECCION SEMANAL LLENADORA")</f>
        <v>INSPECCION SEMANAL LLENADORA</v>
      </c>
      <c r="F809" s="5" t="str">
        <f ca="1">IFERROR(__xludf.DUMMYFUNCTION("""COMPUTED_VALUE"""),"ESTADO MEDIA LUNAS (PINZAS-ESTRELLAS) TAPONADOR")</f>
        <v>ESTADO MEDIA LUNAS (PINZAS-ESTRELLAS) TAPONADOR</v>
      </c>
      <c r="G809" s="5" t="b">
        <f ca="1">IFERROR(__xludf.DUMMYFUNCTION("""COMPUTED_VALUE"""),TRUE)</f>
        <v>1</v>
      </c>
      <c r="H809" s="5"/>
      <c r="I809" s="5"/>
      <c r="J809" s="5">
        <f ca="1">IFERROR(__xludf.DUMMYFUNCTION("""COMPUTED_VALUE"""),13247767)</f>
        <v>13247767</v>
      </c>
      <c r="K809" s="5"/>
      <c r="L809" s="18">
        <f ca="1">IFERROR(__xludf.DUMMYFUNCTION("""COMPUTED_VALUE"""),45325)</f>
        <v>45325</v>
      </c>
      <c r="M809" s="18">
        <f ca="1">IFERROR(__xludf.DUMMYFUNCTION("""COMPUTED_VALUE"""),45325)</f>
        <v>45325</v>
      </c>
      <c r="N809" s="5" t="str">
        <f ca="1">IFERROR(__xludf.DUMMYFUNCTION("""COMPUTED_VALUE"""),"Franco Castillo Brayan Steven")</f>
        <v>Franco Castillo Brayan Steven</v>
      </c>
      <c r="O809" s="2">
        <f ca="1">IFERROR(__xludf.DUMMYFUNCTION("""COMPUTED_VALUE"""),0.041666667)</f>
        <v>4.1666666999999998E-2</v>
      </c>
      <c r="P809" s="5">
        <f ca="1">IFERROR(__xludf.DUMMYFUNCTION("""COMPUTED_VALUE"""),20009758)</f>
        <v>20009758</v>
      </c>
      <c r="Q809" s="5" t="str">
        <f ca="1">IFERROR(__xludf.DUMMYFUNCTION("""COMPUTED_VALUE"""),"WOf07BVymEY")</f>
        <v>WOf07BVymEY</v>
      </c>
      <c r="R809" s="5">
        <f ca="1">IFERROR(__xludf.DUMMYFUNCTION("""COMPUTED_VALUE"""),410)</f>
        <v>410</v>
      </c>
      <c r="S809" s="62">
        <f ca="1">IFERROR(__xludf.DUMMYFUNCTION("""COMPUTED_VALUE"""),0.041666667)</f>
        <v>4.1666666999999998E-2</v>
      </c>
      <c r="T809" s="63" t="str">
        <f ca="1">IFERROR(__xludf.DUMMYFUNCTION("""COMPUTED_VALUE"""),"https://storage.googleapis.com/glide-prod.appspot.com/uploads-v2/ly7o78grxPaC6KdgvbpS/pub/3aRdSog0vUtuqPE8AJKD.png")</f>
        <v>https://storage.googleapis.com/glide-prod.appspot.com/uploads-v2/ly7o78grxPaC6KdgvbpS/pub/3aRdSog0vUtuqPE8AJKD.png</v>
      </c>
      <c r="U809" s="5" t="str">
        <f ca="1">IFERROR(__xludf.DUMMYFUNCTION("""COMPUTED_VALUE"""),"LINEA DE ENVASADO JUGOS PET HOT FILLLLENADORA")</f>
        <v>LINEA DE ENVASADO JUGOS PET HOT FILLLLENADORA</v>
      </c>
      <c r="V809" s="5"/>
      <c r="W809" s="5" t="b">
        <f ca="1">IFERROR(__xludf.DUMMYFUNCTION("""COMPUTED_VALUE"""),TRUE)</f>
        <v>1</v>
      </c>
      <c r="X809" s="5" t="str">
        <f ca="1">IFERROR(__xludf.DUMMYFUNCTION("""COMPUTED_VALUE"""),"achavezi@postobon.com.co,aprmttoyu@postobon.com.co,aprmyu@postobon.com.co,wmora@postobon.com.co,efzapata@postobon.com.co")</f>
        <v>achavezi@postobon.com.co,aprmttoyu@postobon.com.co,aprmyu@postobon.com.co,wmora@postobon.com.co,efzapata@postobon.com.co</v>
      </c>
      <c r="Y809" s="5" t="str">
        <f ca="1">IFERROR(__xludf.DUMMYFUNCTION("""COMPUTED_VALUE"""),"achavezi@postobon.com.co")</f>
        <v>achavezi@postobon.com.co</v>
      </c>
      <c r="Z809" s="5" t="str">
        <f ca="1">IFERROR(__xludf.DUMMYFUNCTION("""COMPUTED_VALUE"""),"avM2NtMpTXqtF84uCXXs9w")</f>
        <v>avM2NtMpTXqtF84uCXXs9w</v>
      </c>
      <c r="AA809" s="5"/>
      <c r="AB809" s="5"/>
      <c r="AC809" s="5"/>
      <c r="AD809" s="5">
        <f ca="1">IFERROR(__xludf.DUMMYFUNCTION("""COMPUTED_VALUE"""),24)</f>
        <v>24</v>
      </c>
      <c r="AE809" s="5">
        <f ca="1">IFERROR(__xludf.DUMMYFUNCTION("""COMPUTED_VALUE"""),24)</f>
        <v>24</v>
      </c>
      <c r="AF809" s="5" t="b">
        <f ca="1">IFERROR(__xludf.DUMMYFUNCTION("""COMPUTED_VALUE"""),FALSE)</f>
        <v>0</v>
      </c>
      <c r="AG809" s="5" t="str">
        <f ca="1">IFERROR(__xludf.DUMMYFUNCTION("""COMPUTED_VALUE"""),"INSPECCIONES REALIZADAS")</f>
        <v>INSPECCIONES REALIZADAS</v>
      </c>
      <c r="AH809" s="5"/>
    </row>
    <row r="810" spans="1:34">
      <c r="A810" s="5" t="str">
        <f ca="1">IFERROR(__xludf.DUMMYFUNCTION("""COMPUTED_VALUE"""),"LINEA ENVASADO BAG IN BOX DISPENSADORES")</f>
        <v>LINEA ENVASADO BAG IN BOX DISPENSADORES</v>
      </c>
      <c r="B810" s="5">
        <f ca="1">IFERROR(__xludf.DUMMYFUNCTION("""COMPUTED_VALUE"""),710174)</f>
        <v>710174</v>
      </c>
      <c r="C810" s="5" t="str">
        <f ca="1">IFERROR(__xludf.DUMMYFUNCTION("""COMPUTED_VALUE"""),"LLENADORA DE BOLSAS BAG IN BOX")</f>
        <v>LLENADORA DE BOLSAS BAG IN BOX</v>
      </c>
      <c r="D810" s="5">
        <f ca="1">IFERROR(__xludf.DUMMYFUNCTION("""COMPUTED_VALUE"""),13247793)</f>
        <v>13247793</v>
      </c>
      <c r="E810" s="5" t="str">
        <f ca="1">IFERROR(__xludf.DUMMYFUNCTION("""COMPUTED_VALUE"""),"INSPECCION SEMANAL LLENADORA DE BOLSAS B")</f>
        <v>INSPECCION SEMANAL LLENADORA DE BOLSAS B</v>
      </c>
      <c r="F810" s="5" t="str">
        <f ca="1">IFERROR(__xludf.DUMMYFUNCTION("""COMPUTED_VALUE"""),"BOMBA ALIMENTACION SALA JARABE")</f>
        <v>BOMBA ALIMENTACION SALA JARABE</v>
      </c>
      <c r="G810" s="5" t="b">
        <f ca="1">IFERROR(__xludf.DUMMYFUNCTION("""COMPUTED_VALUE"""),TRUE)</f>
        <v>1</v>
      </c>
      <c r="H810" s="5"/>
      <c r="I810" s="5"/>
      <c r="J810" s="5">
        <f ca="1">IFERROR(__xludf.DUMMYFUNCTION("""COMPUTED_VALUE"""),13247793)</f>
        <v>13247793</v>
      </c>
      <c r="K810" s="5"/>
      <c r="L810" s="18">
        <f ca="1">IFERROR(__xludf.DUMMYFUNCTION("""COMPUTED_VALUE"""),45324)</f>
        <v>45324</v>
      </c>
      <c r="M810" s="18">
        <f ca="1">IFERROR(__xludf.DUMMYFUNCTION("""COMPUTED_VALUE"""),45324)</f>
        <v>45324</v>
      </c>
      <c r="N810" s="5" t="str">
        <f ca="1">IFERROR(__xludf.DUMMYFUNCTION("""COMPUTED_VALUE"""),"MARIO ALBERTO MARTÍNEZ MORA")</f>
        <v>MARIO ALBERTO MARTÍNEZ MORA</v>
      </c>
      <c r="O810" s="2">
        <f ca="1">IFERROR(__xludf.DUMMYFUNCTION("""COMPUTED_VALUE"""),0.009090909)</f>
        <v>9.0909089999999994E-3</v>
      </c>
      <c r="P810" s="5">
        <f ca="1">IFERROR(__xludf.DUMMYFUNCTION("""COMPUTED_VALUE"""),94542837)</f>
        <v>94542837</v>
      </c>
      <c r="Q810" s="5" t="str">
        <f ca="1">IFERROR(__xludf.DUMMYFUNCTION("""COMPUTED_VALUE"""),"OypsPDYYYhI")</f>
        <v>OypsPDYYYhI</v>
      </c>
      <c r="R810" s="5">
        <f ca="1">IFERROR(__xludf.DUMMYFUNCTION("""COMPUTED_VALUE"""),410)</f>
        <v>410</v>
      </c>
      <c r="S810" s="62">
        <f ca="1">IFERROR(__xludf.DUMMYFUNCTION("""COMPUTED_VALUE"""),0.009090909)</f>
        <v>9.0909089999999994E-3</v>
      </c>
      <c r="T810" s="63" t="str">
        <f ca="1">IFERROR(__xludf.DUMMYFUNCTION("""COMPUTED_VALUE"""),"https://storage.googleapis.com/glide-prod.appspot.com/uploads-v2/ly7o78grxPaC6KdgvbpS/pub/3aRdSog0vUtuqPE8AJKD.png")</f>
        <v>https://storage.googleapis.com/glide-prod.appspot.com/uploads-v2/ly7o78grxPaC6KdgvbpS/pub/3aRdSog0vUtuqPE8AJKD.png</v>
      </c>
      <c r="U810" s="5" t="str">
        <f ca="1">IFERROR(__xludf.DUMMYFUNCTION("""COMPUTED_VALUE"""),"LINEA ENVASADO BAG IN BOX DISPENSADORESLLENADORA DE BOLSAS BAG IN BOX")</f>
        <v>LINEA ENVASADO BAG IN BOX DISPENSADORESLLENADORA DE BOLSAS BAG IN BOX</v>
      </c>
      <c r="V810" s="5"/>
      <c r="W810" s="5" t="b">
        <f ca="1">IFERROR(__xludf.DUMMYFUNCTION("""COMPUTED_VALUE"""),TRUE)</f>
        <v>1</v>
      </c>
      <c r="X810" s="5" t="str">
        <f ca="1">IFERROR(__xludf.DUMMYFUNCTION("""COMPUTED_VALUE"""),"wguerra@postobon.com.co,aprmttoyu@postobon.com.co,aprmyu@postobon.com.co,wmora@postobon.com.co,efzapata@postobon.com.co")</f>
        <v>wguerra@postobon.com.co,aprmttoyu@postobon.com.co,aprmyu@postobon.com.co,wmora@postobon.com.co,efzapata@postobon.com.co</v>
      </c>
      <c r="Y810" s="5" t="str">
        <f ca="1">IFERROR(__xludf.DUMMYFUNCTION("""COMPUTED_VALUE"""),"wguerra@postobon.com.co")</f>
        <v>wguerra@postobon.com.co</v>
      </c>
      <c r="Z810" s="5" t="str">
        <f ca="1">IFERROR(__xludf.DUMMYFUNCTION("""COMPUTED_VALUE"""),"PqINu7UnQaapQHFDBvjNDg")</f>
        <v>PqINu7UnQaapQHFDBvjNDg</v>
      </c>
      <c r="AA810" s="5"/>
      <c r="AB810" s="5"/>
      <c r="AC810" s="5"/>
      <c r="AD810" s="5">
        <f ca="1">IFERROR(__xludf.DUMMYFUNCTION("""COMPUTED_VALUE"""),65)</f>
        <v>65</v>
      </c>
      <c r="AE810" s="5">
        <f ca="1">IFERROR(__xludf.DUMMYFUNCTION("""COMPUTED_VALUE"""),65)</f>
        <v>65</v>
      </c>
      <c r="AF810" s="5" t="b">
        <f ca="1">IFERROR(__xludf.DUMMYFUNCTION("""COMPUTED_VALUE"""),FALSE)</f>
        <v>0</v>
      </c>
      <c r="AG810" s="5" t="str">
        <f ca="1">IFERROR(__xludf.DUMMYFUNCTION("""COMPUTED_VALUE"""),"INSPECCIONES REALIZADAS")</f>
        <v>INSPECCIONES REALIZADAS</v>
      </c>
      <c r="AH810" s="5"/>
    </row>
    <row r="811" spans="1:34">
      <c r="A811" s="5" t="str">
        <f ca="1">IFERROR(__xludf.DUMMYFUNCTION("""COMPUTED_VALUE"""),"LINEA ENVASADO BAG IN BOX DISPENSADORES")</f>
        <v>LINEA ENVASADO BAG IN BOX DISPENSADORES</v>
      </c>
      <c r="B811" s="5">
        <f ca="1">IFERROR(__xludf.DUMMYFUNCTION("""COMPUTED_VALUE"""),710174)</f>
        <v>710174</v>
      </c>
      <c r="C811" s="5" t="str">
        <f ca="1">IFERROR(__xludf.DUMMYFUNCTION("""COMPUTED_VALUE"""),"LLENADORA DE BOLSAS BAG IN BOX")</f>
        <v>LLENADORA DE BOLSAS BAG IN BOX</v>
      </c>
      <c r="D811" s="5">
        <f ca="1">IFERROR(__xludf.DUMMYFUNCTION("""COMPUTED_VALUE"""),13247793)</f>
        <v>13247793</v>
      </c>
      <c r="E811" s="5" t="str">
        <f ca="1">IFERROR(__xludf.DUMMYFUNCTION("""COMPUTED_VALUE"""),"INSPECCION SEMANAL LLENADORA DE BOLSAS B")</f>
        <v>INSPECCION SEMANAL LLENADORA DE BOLSAS B</v>
      </c>
      <c r="F811" s="5" t="str">
        <f ca="1">IFERROR(__xludf.DUMMYFUNCTION("""COMPUTED_VALUE"""),"ESCAPE FLUIDOS")</f>
        <v>ESCAPE FLUIDOS</v>
      </c>
      <c r="G811" s="5" t="b">
        <f ca="1">IFERROR(__xludf.DUMMYFUNCTION("""COMPUTED_VALUE"""),TRUE)</f>
        <v>1</v>
      </c>
      <c r="H811" s="5"/>
      <c r="I811" s="5"/>
      <c r="J811" s="5">
        <f ca="1">IFERROR(__xludf.DUMMYFUNCTION("""COMPUTED_VALUE"""),13247793)</f>
        <v>13247793</v>
      </c>
      <c r="K811" s="5"/>
      <c r="L811" s="18">
        <f ca="1">IFERROR(__xludf.DUMMYFUNCTION("""COMPUTED_VALUE"""),45324)</f>
        <v>45324</v>
      </c>
      <c r="M811" s="18">
        <f ca="1">IFERROR(__xludf.DUMMYFUNCTION("""COMPUTED_VALUE"""),45324)</f>
        <v>45324</v>
      </c>
      <c r="N811" s="5" t="str">
        <f ca="1">IFERROR(__xludf.DUMMYFUNCTION("""COMPUTED_VALUE"""),"MARIO ALBERTO MARTÍNEZ MORA")</f>
        <v>MARIO ALBERTO MARTÍNEZ MORA</v>
      </c>
      <c r="O811" s="2">
        <f ca="1">IFERROR(__xludf.DUMMYFUNCTION("""COMPUTED_VALUE"""),0.009090909)</f>
        <v>9.0909089999999994E-3</v>
      </c>
      <c r="P811" s="5">
        <f ca="1">IFERROR(__xludf.DUMMYFUNCTION("""COMPUTED_VALUE"""),94542837)</f>
        <v>94542837</v>
      </c>
      <c r="Q811" s="5" t="str">
        <f ca="1">IFERROR(__xludf.DUMMYFUNCTION("""COMPUTED_VALUE"""),"SmlKlw87GWA")</f>
        <v>SmlKlw87GWA</v>
      </c>
      <c r="R811" s="5">
        <f ca="1">IFERROR(__xludf.DUMMYFUNCTION("""COMPUTED_VALUE"""),410)</f>
        <v>410</v>
      </c>
      <c r="S811" s="62">
        <f ca="1">IFERROR(__xludf.DUMMYFUNCTION("""COMPUTED_VALUE"""),0.009090909)</f>
        <v>9.0909089999999994E-3</v>
      </c>
      <c r="T811" s="63" t="str">
        <f ca="1">IFERROR(__xludf.DUMMYFUNCTION("""COMPUTED_VALUE"""),"https://storage.googleapis.com/glide-prod.appspot.com/uploads-v2/ly7o78grxPaC6KdgvbpS/pub/3aRdSog0vUtuqPE8AJKD.png")</f>
        <v>https://storage.googleapis.com/glide-prod.appspot.com/uploads-v2/ly7o78grxPaC6KdgvbpS/pub/3aRdSog0vUtuqPE8AJKD.png</v>
      </c>
      <c r="U811" s="5" t="str">
        <f ca="1">IFERROR(__xludf.DUMMYFUNCTION("""COMPUTED_VALUE"""),"LINEA ENVASADO BAG IN BOX DISPENSADORESLLENADORA DE BOLSAS BAG IN BOX")</f>
        <v>LINEA ENVASADO BAG IN BOX DISPENSADORESLLENADORA DE BOLSAS BAG IN BOX</v>
      </c>
      <c r="V811" s="5"/>
      <c r="W811" s="5" t="b">
        <f ca="1">IFERROR(__xludf.DUMMYFUNCTION("""COMPUTED_VALUE"""),TRUE)</f>
        <v>1</v>
      </c>
      <c r="X811" s="5" t="str">
        <f ca="1">IFERROR(__xludf.DUMMYFUNCTION("""COMPUTED_VALUE"""),"wguerra@postobon.com.co,aprmttoyu@postobon.com.co,aprmyu@postobon.com.co,wmora@postobon.com.co,efzapata@postobon.com.co")</f>
        <v>wguerra@postobon.com.co,aprmttoyu@postobon.com.co,aprmyu@postobon.com.co,wmora@postobon.com.co,efzapata@postobon.com.co</v>
      </c>
      <c r="Y811" s="5" t="str">
        <f ca="1">IFERROR(__xludf.DUMMYFUNCTION("""COMPUTED_VALUE"""),"wguerra@postobon.com.co")</f>
        <v>wguerra@postobon.com.co</v>
      </c>
      <c r="Z811" s="5" t="str">
        <f ca="1">IFERROR(__xludf.DUMMYFUNCTION("""COMPUTED_VALUE"""),"JxmSmUYXSuyT-sAYqt4yhA")</f>
        <v>JxmSmUYXSuyT-sAYqt4yhA</v>
      </c>
      <c r="AA811" s="5"/>
      <c r="AB811" s="5"/>
      <c r="AC811" s="5"/>
      <c r="AD811" s="5">
        <f ca="1">IFERROR(__xludf.DUMMYFUNCTION("""COMPUTED_VALUE"""),65)</f>
        <v>65</v>
      </c>
      <c r="AE811" s="5">
        <f ca="1">IFERROR(__xludf.DUMMYFUNCTION("""COMPUTED_VALUE"""),65)</f>
        <v>65</v>
      </c>
      <c r="AF811" s="5" t="b">
        <f ca="1">IFERROR(__xludf.DUMMYFUNCTION("""COMPUTED_VALUE"""),FALSE)</f>
        <v>0</v>
      </c>
      <c r="AG811" s="5" t="str">
        <f ca="1">IFERROR(__xludf.DUMMYFUNCTION("""COMPUTED_VALUE"""),"INSPECCIONES REALIZADAS")</f>
        <v>INSPECCIONES REALIZADAS</v>
      </c>
      <c r="AH811" s="5"/>
    </row>
    <row r="812" spans="1:34">
      <c r="A812" s="5" t="str">
        <f ca="1">IFERROR(__xludf.DUMMYFUNCTION("""COMPUTED_VALUE"""),"LINEA ENVASADO BAG IN BOX DISPENSADORES")</f>
        <v>LINEA ENVASADO BAG IN BOX DISPENSADORES</v>
      </c>
      <c r="B812" s="5">
        <f ca="1">IFERROR(__xludf.DUMMYFUNCTION("""COMPUTED_VALUE"""),710174)</f>
        <v>710174</v>
      </c>
      <c r="C812" s="5" t="str">
        <f ca="1">IFERROR(__xludf.DUMMYFUNCTION("""COMPUTED_VALUE"""),"LLENADORA DE BOLSAS BAG IN BOX")</f>
        <v>LLENADORA DE BOLSAS BAG IN BOX</v>
      </c>
      <c r="D812" s="5">
        <f ca="1">IFERROR(__xludf.DUMMYFUNCTION("""COMPUTED_VALUE"""),13247793)</f>
        <v>13247793</v>
      </c>
      <c r="E812" s="5" t="str">
        <f ca="1">IFERROR(__xludf.DUMMYFUNCTION("""COMPUTED_VALUE"""),"INSPECCION SEMANAL LLENADORA DE BOLSAS B")</f>
        <v>INSPECCION SEMANAL LLENADORA DE BOLSAS B</v>
      </c>
      <c r="F812" s="5" t="str">
        <f ca="1">IFERROR(__xludf.DUMMYFUNCTION("""COMPUTED_VALUE"""),"INSTRUMENTOS MEDICION")</f>
        <v>INSTRUMENTOS MEDICION</v>
      </c>
      <c r="G812" s="5" t="b">
        <f ca="1">IFERROR(__xludf.DUMMYFUNCTION("""COMPUTED_VALUE"""),TRUE)</f>
        <v>1</v>
      </c>
      <c r="H812" s="5"/>
      <c r="I812" s="5"/>
      <c r="J812" s="5">
        <f ca="1">IFERROR(__xludf.DUMMYFUNCTION("""COMPUTED_VALUE"""),13247793)</f>
        <v>13247793</v>
      </c>
      <c r="K812" s="5"/>
      <c r="L812" s="18">
        <f ca="1">IFERROR(__xludf.DUMMYFUNCTION("""COMPUTED_VALUE"""),45324)</f>
        <v>45324</v>
      </c>
      <c r="M812" s="18">
        <f ca="1">IFERROR(__xludf.DUMMYFUNCTION("""COMPUTED_VALUE"""),45324)</f>
        <v>45324</v>
      </c>
      <c r="N812" s="5" t="str">
        <f ca="1">IFERROR(__xludf.DUMMYFUNCTION("""COMPUTED_VALUE"""),"MARIO ALBERTO MARTÍNEZ MORA")</f>
        <v>MARIO ALBERTO MARTÍNEZ MORA</v>
      </c>
      <c r="O812" s="2">
        <f ca="1">IFERROR(__xludf.DUMMYFUNCTION("""COMPUTED_VALUE"""),0.009090909)</f>
        <v>9.0909089999999994E-3</v>
      </c>
      <c r="P812" s="5">
        <f ca="1">IFERROR(__xludf.DUMMYFUNCTION("""COMPUTED_VALUE"""),94542837)</f>
        <v>94542837</v>
      </c>
      <c r="Q812" s="5" t="str">
        <f ca="1">IFERROR(__xludf.DUMMYFUNCTION("""COMPUTED_VALUE"""),"BIN0p9o_idI")</f>
        <v>BIN0p9o_idI</v>
      </c>
      <c r="R812" s="5">
        <f ca="1">IFERROR(__xludf.DUMMYFUNCTION("""COMPUTED_VALUE"""),410)</f>
        <v>410</v>
      </c>
      <c r="S812" s="62">
        <f ca="1">IFERROR(__xludf.DUMMYFUNCTION("""COMPUTED_VALUE"""),0.009090909)</f>
        <v>9.0909089999999994E-3</v>
      </c>
      <c r="T812" s="63" t="str">
        <f ca="1">IFERROR(__xludf.DUMMYFUNCTION("""COMPUTED_VALUE"""),"https://storage.googleapis.com/glide-prod.appspot.com/uploads-v2/ly7o78grxPaC6KdgvbpS/pub/3aRdSog0vUtuqPE8AJKD.png")</f>
        <v>https://storage.googleapis.com/glide-prod.appspot.com/uploads-v2/ly7o78grxPaC6KdgvbpS/pub/3aRdSog0vUtuqPE8AJKD.png</v>
      </c>
      <c r="U812" s="5" t="str">
        <f ca="1">IFERROR(__xludf.DUMMYFUNCTION("""COMPUTED_VALUE"""),"LINEA ENVASADO BAG IN BOX DISPENSADORESLLENADORA DE BOLSAS BAG IN BOX")</f>
        <v>LINEA ENVASADO BAG IN BOX DISPENSADORESLLENADORA DE BOLSAS BAG IN BOX</v>
      </c>
      <c r="V812" s="5"/>
      <c r="W812" s="5" t="b">
        <f ca="1">IFERROR(__xludf.DUMMYFUNCTION("""COMPUTED_VALUE"""),TRUE)</f>
        <v>1</v>
      </c>
      <c r="X812" s="5" t="str">
        <f ca="1">IFERROR(__xludf.DUMMYFUNCTION("""COMPUTED_VALUE"""),"wguerra@postobon.com.co,aprmttoyu@postobon.com.co,aprmyu@postobon.com.co,wmora@postobon.com.co,efzapata@postobon.com.co")</f>
        <v>wguerra@postobon.com.co,aprmttoyu@postobon.com.co,aprmyu@postobon.com.co,wmora@postobon.com.co,efzapata@postobon.com.co</v>
      </c>
      <c r="Y812" s="5" t="str">
        <f ca="1">IFERROR(__xludf.DUMMYFUNCTION("""COMPUTED_VALUE"""),"wguerra@postobon.com.co")</f>
        <v>wguerra@postobon.com.co</v>
      </c>
      <c r="Z812" s="5" t="str">
        <f ca="1">IFERROR(__xludf.DUMMYFUNCTION("""COMPUTED_VALUE"""),"0JIRdEHyRzilAha2zcGaVA")</f>
        <v>0JIRdEHyRzilAha2zcGaVA</v>
      </c>
      <c r="AA812" s="5"/>
      <c r="AB812" s="5"/>
      <c r="AC812" s="5"/>
      <c r="AD812" s="5">
        <f ca="1">IFERROR(__xludf.DUMMYFUNCTION("""COMPUTED_VALUE"""),65)</f>
        <v>65</v>
      </c>
      <c r="AE812" s="5">
        <f ca="1">IFERROR(__xludf.DUMMYFUNCTION("""COMPUTED_VALUE"""),65)</f>
        <v>65</v>
      </c>
      <c r="AF812" s="5" t="b">
        <f ca="1">IFERROR(__xludf.DUMMYFUNCTION("""COMPUTED_VALUE"""),FALSE)</f>
        <v>0</v>
      </c>
      <c r="AG812" s="5" t="str">
        <f ca="1">IFERROR(__xludf.DUMMYFUNCTION("""COMPUTED_VALUE"""),"INSPECCIONES REALIZADAS")</f>
        <v>INSPECCIONES REALIZADAS</v>
      </c>
      <c r="AH812" s="5"/>
    </row>
    <row r="813" spans="1:34">
      <c r="A813" s="5" t="str">
        <f ca="1">IFERROR(__xludf.DUMMYFUNCTION("""COMPUTED_VALUE"""),"LINEA ENVASADO BAG IN BOX DISPENSADORES")</f>
        <v>LINEA ENVASADO BAG IN BOX DISPENSADORES</v>
      </c>
      <c r="B813" s="5">
        <f ca="1">IFERROR(__xludf.DUMMYFUNCTION("""COMPUTED_VALUE"""),710174)</f>
        <v>710174</v>
      </c>
      <c r="C813" s="5" t="str">
        <f ca="1">IFERROR(__xludf.DUMMYFUNCTION("""COMPUTED_VALUE"""),"LLENADORA DE BOLSAS BAG IN BOX")</f>
        <v>LLENADORA DE BOLSAS BAG IN BOX</v>
      </c>
      <c r="D813" s="5">
        <f ca="1">IFERROR(__xludf.DUMMYFUNCTION("""COMPUTED_VALUE"""),13247793)</f>
        <v>13247793</v>
      </c>
      <c r="E813" s="5" t="str">
        <f ca="1">IFERROR(__xludf.DUMMYFUNCTION("""COMPUTED_VALUE"""),"INSPECCION SEMANAL LLENADORA DE BOLSAS B")</f>
        <v>INSPECCION SEMANAL LLENADORA DE BOLSAS B</v>
      </c>
      <c r="F813" s="5" t="str">
        <f ca="1">IFERROR(__xludf.DUMMYFUNCTION("""COMPUTED_VALUE"""),"SISTEMA LLENADO-VALVULA")</f>
        <v>SISTEMA LLENADO-VALVULA</v>
      </c>
      <c r="G813" s="5" t="b">
        <f ca="1">IFERROR(__xludf.DUMMYFUNCTION("""COMPUTED_VALUE"""),TRUE)</f>
        <v>1</v>
      </c>
      <c r="H813" s="5"/>
      <c r="I813" s="5"/>
      <c r="J813" s="5">
        <f ca="1">IFERROR(__xludf.DUMMYFUNCTION("""COMPUTED_VALUE"""),13247793)</f>
        <v>13247793</v>
      </c>
      <c r="K813" s="5"/>
      <c r="L813" s="18">
        <f ca="1">IFERROR(__xludf.DUMMYFUNCTION("""COMPUTED_VALUE"""),45324)</f>
        <v>45324</v>
      </c>
      <c r="M813" s="18">
        <f ca="1">IFERROR(__xludf.DUMMYFUNCTION("""COMPUTED_VALUE"""),45324)</f>
        <v>45324</v>
      </c>
      <c r="N813" s="5" t="str">
        <f ca="1">IFERROR(__xludf.DUMMYFUNCTION("""COMPUTED_VALUE"""),"MARIO ALBERTO MARTÍNEZ MORA")</f>
        <v>MARIO ALBERTO MARTÍNEZ MORA</v>
      </c>
      <c r="O813" s="2">
        <f ca="1">IFERROR(__xludf.DUMMYFUNCTION("""COMPUTED_VALUE"""),0.009090909)</f>
        <v>9.0909089999999994E-3</v>
      </c>
      <c r="P813" s="5">
        <f ca="1">IFERROR(__xludf.DUMMYFUNCTION("""COMPUTED_VALUE"""),94542837)</f>
        <v>94542837</v>
      </c>
      <c r="Q813" s="5" t="str">
        <f ca="1">IFERROR(__xludf.DUMMYFUNCTION("""COMPUTED_VALUE"""),"lSM3tEWNZlU")</f>
        <v>lSM3tEWNZlU</v>
      </c>
      <c r="R813" s="5">
        <f ca="1">IFERROR(__xludf.DUMMYFUNCTION("""COMPUTED_VALUE"""),410)</f>
        <v>410</v>
      </c>
      <c r="S813" s="62">
        <f ca="1">IFERROR(__xludf.DUMMYFUNCTION("""COMPUTED_VALUE"""),0.009090909)</f>
        <v>9.0909089999999994E-3</v>
      </c>
      <c r="T813" s="63" t="str">
        <f ca="1">IFERROR(__xludf.DUMMYFUNCTION("""COMPUTED_VALUE"""),"https://storage.googleapis.com/glide-prod.appspot.com/uploads-v2/ly7o78grxPaC6KdgvbpS/pub/3aRdSog0vUtuqPE8AJKD.png")</f>
        <v>https://storage.googleapis.com/glide-prod.appspot.com/uploads-v2/ly7o78grxPaC6KdgvbpS/pub/3aRdSog0vUtuqPE8AJKD.png</v>
      </c>
      <c r="U813" s="5" t="str">
        <f ca="1">IFERROR(__xludf.DUMMYFUNCTION("""COMPUTED_VALUE"""),"LINEA ENVASADO BAG IN BOX DISPENSADORESLLENADORA DE BOLSAS BAG IN BOX")</f>
        <v>LINEA ENVASADO BAG IN BOX DISPENSADORESLLENADORA DE BOLSAS BAG IN BOX</v>
      </c>
      <c r="V813" s="5"/>
      <c r="W813" s="5" t="b">
        <f ca="1">IFERROR(__xludf.DUMMYFUNCTION("""COMPUTED_VALUE"""),TRUE)</f>
        <v>1</v>
      </c>
      <c r="X813" s="5" t="str">
        <f ca="1">IFERROR(__xludf.DUMMYFUNCTION("""COMPUTED_VALUE"""),"wguerra@postobon.com.co,aprmttoyu@postobon.com.co,aprmyu@postobon.com.co,wmora@postobon.com.co,efzapata@postobon.com.co")</f>
        <v>wguerra@postobon.com.co,aprmttoyu@postobon.com.co,aprmyu@postobon.com.co,wmora@postobon.com.co,efzapata@postobon.com.co</v>
      </c>
      <c r="Y813" s="5" t="str">
        <f ca="1">IFERROR(__xludf.DUMMYFUNCTION("""COMPUTED_VALUE"""),"wguerra@postobon.com.co")</f>
        <v>wguerra@postobon.com.co</v>
      </c>
      <c r="Z813" s="5" t="str">
        <f ca="1">IFERROR(__xludf.DUMMYFUNCTION("""COMPUTED_VALUE"""),"h1sq2Ao0Tpis-0g7-n8Wxw")</f>
        <v>h1sq2Ao0Tpis-0g7-n8Wxw</v>
      </c>
      <c r="AA813" s="5"/>
      <c r="AB813" s="5"/>
      <c r="AC813" s="5"/>
      <c r="AD813" s="5">
        <f ca="1">IFERROR(__xludf.DUMMYFUNCTION("""COMPUTED_VALUE"""),65)</f>
        <v>65</v>
      </c>
      <c r="AE813" s="5">
        <f ca="1">IFERROR(__xludf.DUMMYFUNCTION("""COMPUTED_VALUE"""),65)</f>
        <v>65</v>
      </c>
      <c r="AF813" s="5" t="b">
        <f ca="1">IFERROR(__xludf.DUMMYFUNCTION("""COMPUTED_VALUE"""),FALSE)</f>
        <v>0</v>
      </c>
      <c r="AG813" s="5" t="str">
        <f ca="1">IFERROR(__xludf.DUMMYFUNCTION("""COMPUTED_VALUE"""),"INSPECCIONES REALIZADAS")</f>
        <v>INSPECCIONES REALIZADAS</v>
      </c>
      <c r="AH813" s="5"/>
    </row>
    <row r="814" spans="1:34">
      <c r="A814" s="5" t="str">
        <f ca="1">IFERROR(__xludf.DUMMYFUNCTION("""COMPUTED_VALUE"""),"LINEA ENVASADO BAG IN BOX DISPENSADORES")</f>
        <v>LINEA ENVASADO BAG IN BOX DISPENSADORES</v>
      </c>
      <c r="B814" s="5">
        <f ca="1">IFERROR(__xludf.DUMMYFUNCTION("""COMPUTED_VALUE"""),710174)</f>
        <v>710174</v>
      </c>
      <c r="C814" s="5" t="str">
        <f ca="1">IFERROR(__xludf.DUMMYFUNCTION("""COMPUTED_VALUE"""),"LLENADORA DE BOLSAS BAG IN BOX")</f>
        <v>LLENADORA DE BOLSAS BAG IN BOX</v>
      </c>
      <c r="D814" s="5">
        <f ca="1">IFERROR(__xludf.DUMMYFUNCTION("""COMPUTED_VALUE"""),13247793)</f>
        <v>13247793</v>
      </c>
      <c r="E814" s="5" t="str">
        <f ca="1">IFERROR(__xludf.DUMMYFUNCTION("""COMPUTED_VALUE"""),"INSPECCION SEMANAL LLENADORA DE BOLSAS B")</f>
        <v>INSPECCION SEMANAL LLENADORA DE BOLSAS B</v>
      </c>
      <c r="F814" s="5" t="str">
        <f ca="1">IFERROR(__xludf.DUMMYFUNCTION("""COMPUTED_VALUE"""),"SISTEMA DE VACIO")</f>
        <v>SISTEMA DE VACIO</v>
      </c>
      <c r="G814" s="5" t="b">
        <f ca="1">IFERROR(__xludf.DUMMYFUNCTION("""COMPUTED_VALUE"""),TRUE)</f>
        <v>1</v>
      </c>
      <c r="H814" s="5"/>
      <c r="I814" s="5"/>
      <c r="J814" s="5">
        <f ca="1">IFERROR(__xludf.DUMMYFUNCTION("""COMPUTED_VALUE"""),13247793)</f>
        <v>13247793</v>
      </c>
      <c r="K814" s="5"/>
      <c r="L814" s="18">
        <f ca="1">IFERROR(__xludf.DUMMYFUNCTION("""COMPUTED_VALUE"""),45324)</f>
        <v>45324</v>
      </c>
      <c r="M814" s="18">
        <f ca="1">IFERROR(__xludf.DUMMYFUNCTION("""COMPUTED_VALUE"""),45324)</f>
        <v>45324</v>
      </c>
      <c r="N814" s="5" t="str">
        <f ca="1">IFERROR(__xludf.DUMMYFUNCTION("""COMPUTED_VALUE"""),"MARIO ALBERTO MARTÍNEZ MORA")</f>
        <v>MARIO ALBERTO MARTÍNEZ MORA</v>
      </c>
      <c r="O814" s="2">
        <f ca="1">IFERROR(__xludf.DUMMYFUNCTION("""COMPUTED_VALUE"""),0.009090909)</f>
        <v>9.0909089999999994E-3</v>
      </c>
      <c r="P814" s="5">
        <f ca="1">IFERROR(__xludf.DUMMYFUNCTION("""COMPUTED_VALUE"""),94542837)</f>
        <v>94542837</v>
      </c>
      <c r="Q814" s="5" t="str">
        <f ca="1">IFERROR(__xludf.DUMMYFUNCTION("""COMPUTED_VALUE"""),"PRzsYPg_-0o")</f>
        <v>PRzsYPg_-0o</v>
      </c>
      <c r="R814" s="5">
        <f ca="1">IFERROR(__xludf.DUMMYFUNCTION("""COMPUTED_VALUE"""),410)</f>
        <v>410</v>
      </c>
      <c r="S814" s="62">
        <f ca="1">IFERROR(__xludf.DUMMYFUNCTION("""COMPUTED_VALUE"""),0.009090909)</f>
        <v>9.0909089999999994E-3</v>
      </c>
      <c r="T814" s="63" t="str">
        <f ca="1">IFERROR(__xludf.DUMMYFUNCTION("""COMPUTED_VALUE"""),"https://storage.googleapis.com/glide-prod.appspot.com/uploads-v2/ly7o78grxPaC6KdgvbpS/pub/3aRdSog0vUtuqPE8AJKD.png")</f>
        <v>https://storage.googleapis.com/glide-prod.appspot.com/uploads-v2/ly7o78grxPaC6KdgvbpS/pub/3aRdSog0vUtuqPE8AJKD.png</v>
      </c>
      <c r="U814" s="5" t="str">
        <f ca="1">IFERROR(__xludf.DUMMYFUNCTION("""COMPUTED_VALUE"""),"LINEA ENVASADO BAG IN BOX DISPENSADORESLLENADORA DE BOLSAS BAG IN BOX")</f>
        <v>LINEA ENVASADO BAG IN BOX DISPENSADORESLLENADORA DE BOLSAS BAG IN BOX</v>
      </c>
      <c r="V814" s="5"/>
      <c r="W814" s="5" t="b">
        <f ca="1">IFERROR(__xludf.DUMMYFUNCTION("""COMPUTED_VALUE"""),TRUE)</f>
        <v>1</v>
      </c>
      <c r="X814" s="5" t="str">
        <f ca="1">IFERROR(__xludf.DUMMYFUNCTION("""COMPUTED_VALUE"""),"wguerra@postobon.com.co,aprmttoyu@postobon.com.co,aprmyu@postobon.com.co,wmora@postobon.com.co,efzapata@postobon.com.co")</f>
        <v>wguerra@postobon.com.co,aprmttoyu@postobon.com.co,aprmyu@postobon.com.co,wmora@postobon.com.co,efzapata@postobon.com.co</v>
      </c>
      <c r="Y814" s="5" t="str">
        <f ca="1">IFERROR(__xludf.DUMMYFUNCTION("""COMPUTED_VALUE"""),"wguerra@postobon.com.co")</f>
        <v>wguerra@postobon.com.co</v>
      </c>
      <c r="Z814" s="5" t="str">
        <f ca="1">IFERROR(__xludf.DUMMYFUNCTION("""COMPUTED_VALUE"""),"Kcfy3cnkQwG788Lz9Q.sTw")</f>
        <v>Kcfy3cnkQwG788Lz9Q.sTw</v>
      </c>
      <c r="AA814" s="5"/>
      <c r="AB814" s="5"/>
      <c r="AC814" s="5"/>
      <c r="AD814" s="5">
        <f ca="1">IFERROR(__xludf.DUMMYFUNCTION("""COMPUTED_VALUE"""),65)</f>
        <v>65</v>
      </c>
      <c r="AE814" s="5">
        <f ca="1">IFERROR(__xludf.DUMMYFUNCTION("""COMPUTED_VALUE"""),65)</f>
        <v>65</v>
      </c>
      <c r="AF814" s="5" t="b">
        <f ca="1">IFERROR(__xludf.DUMMYFUNCTION("""COMPUTED_VALUE"""),FALSE)</f>
        <v>0</v>
      </c>
      <c r="AG814" s="5" t="str">
        <f ca="1">IFERROR(__xludf.DUMMYFUNCTION("""COMPUTED_VALUE"""),"INSPECCIONES REALIZADAS")</f>
        <v>INSPECCIONES REALIZADAS</v>
      </c>
      <c r="AH814" s="5"/>
    </row>
    <row r="815" spans="1:34">
      <c r="A815" s="5" t="str">
        <f ca="1">IFERROR(__xludf.DUMMYFUNCTION("""COMPUTED_VALUE"""),"LINEA ENVASADO BAG IN BOX DISPENSADORES")</f>
        <v>LINEA ENVASADO BAG IN BOX DISPENSADORES</v>
      </c>
      <c r="B815" s="5">
        <f ca="1">IFERROR(__xludf.DUMMYFUNCTION("""COMPUTED_VALUE"""),710174)</f>
        <v>710174</v>
      </c>
      <c r="C815" s="5" t="str">
        <f ca="1">IFERROR(__xludf.DUMMYFUNCTION("""COMPUTED_VALUE"""),"LLENADORA DE BOLSAS BAG IN BOX")</f>
        <v>LLENADORA DE BOLSAS BAG IN BOX</v>
      </c>
      <c r="D815" s="5">
        <f ca="1">IFERROR(__xludf.DUMMYFUNCTION("""COMPUTED_VALUE"""),13247793)</f>
        <v>13247793</v>
      </c>
      <c r="E815" s="5" t="str">
        <f ca="1">IFERROR(__xludf.DUMMYFUNCTION("""COMPUTED_VALUE"""),"INSPECCION SEMANAL LLENADORA DE BOLSAS B")</f>
        <v>INSPECCION SEMANAL LLENADORA DE BOLSAS B</v>
      </c>
      <c r="F815" s="5" t="str">
        <f ca="1">IFERROR(__xludf.DUMMYFUNCTION("""COMPUTED_VALUE"""),"SISTEMA DE CAPSULADO")</f>
        <v>SISTEMA DE CAPSULADO</v>
      </c>
      <c r="G815" s="5" t="b">
        <f ca="1">IFERROR(__xludf.DUMMYFUNCTION("""COMPUTED_VALUE"""),TRUE)</f>
        <v>1</v>
      </c>
      <c r="H815" s="5"/>
      <c r="I815" s="5"/>
      <c r="J815" s="5">
        <f ca="1">IFERROR(__xludf.DUMMYFUNCTION("""COMPUTED_VALUE"""),13247793)</f>
        <v>13247793</v>
      </c>
      <c r="K815" s="5"/>
      <c r="L815" s="18">
        <f ca="1">IFERROR(__xludf.DUMMYFUNCTION("""COMPUTED_VALUE"""),45324)</f>
        <v>45324</v>
      </c>
      <c r="M815" s="18">
        <f ca="1">IFERROR(__xludf.DUMMYFUNCTION("""COMPUTED_VALUE"""),45324)</f>
        <v>45324</v>
      </c>
      <c r="N815" s="5" t="str">
        <f ca="1">IFERROR(__xludf.DUMMYFUNCTION("""COMPUTED_VALUE"""),"MARIO ALBERTO MARTÍNEZ MORA")</f>
        <v>MARIO ALBERTO MARTÍNEZ MORA</v>
      </c>
      <c r="O815" s="2">
        <f ca="1">IFERROR(__xludf.DUMMYFUNCTION("""COMPUTED_VALUE"""),0.009090909)</f>
        <v>9.0909089999999994E-3</v>
      </c>
      <c r="P815" s="5">
        <f ca="1">IFERROR(__xludf.DUMMYFUNCTION("""COMPUTED_VALUE"""),94542837)</f>
        <v>94542837</v>
      </c>
      <c r="Q815" s="5" t="str">
        <f ca="1">IFERROR(__xludf.DUMMYFUNCTION("""COMPUTED_VALUE"""),"72UmMHxM7oI")</f>
        <v>72UmMHxM7oI</v>
      </c>
      <c r="R815" s="5">
        <f ca="1">IFERROR(__xludf.DUMMYFUNCTION("""COMPUTED_VALUE"""),410)</f>
        <v>410</v>
      </c>
      <c r="S815" s="62">
        <f ca="1">IFERROR(__xludf.DUMMYFUNCTION("""COMPUTED_VALUE"""),0.009090909)</f>
        <v>9.0909089999999994E-3</v>
      </c>
      <c r="T815" s="63" t="str">
        <f ca="1">IFERROR(__xludf.DUMMYFUNCTION("""COMPUTED_VALUE"""),"https://storage.googleapis.com/glide-prod.appspot.com/uploads-v2/ly7o78grxPaC6KdgvbpS/pub/3aRdSog0vUtuqPE8AJKD.png")</f>
        <v>https://storage.googleapis.com/glide-prod.appspot.com/uploads-v2/ly7o78grxPaC6KdgvbpS/pub/3aRdSog0vUtuqPE8AJKD.png</v>
      </c>
      <c r="U815" s="5" t="str">
        <f ca="1">IFERROR(__xludf.DUMMYFUNCTION("""COMPUTED_VALUE"""),"LINEA ENVASADO BAG IN BOX DISPENSADORESLLENADORA DE BOLSAS BAG IN BOX")</f>
        <v>LINEA ENVASADO BAG IN BOX DISPENSADORESLLENADORA DE BOLSAS BAG IN BOX</v>
      </c>
      <c r="V815" s="5"/>
      <c r="W815" s="5" t="b">
        <f ca="1">IFERROR(__xludf.DUMMYFUNCTION("""COMPUTED_VALUE"""),TRUE)</f>
        <v>1</v>
      </c>
      <c r="X815" s="5" t="str">
        <f ca="1">IFERROR(__xludf.DUMMYFUNCTION("""COMPUTED_VALUE"""),"wguerra@postobon.com.co,aprmttoyu@postobon.com.co,aprmyu@postobon.com.co,wmora@postobon.com.co,efzapata@postobon.com.co")</f>
        <v>wguerra@postobon.com.co,aprmttoyu@postobon.com.co,aprmyu@postobon.com.co,wmora@postobon.com.co,efzapata@postobon.com.co</v>
      </c>
      <c r="Y815" s="5" t="str">
        <f ca="1">IFERROR(__xludf.DUMMYFUNCTION("""COMPUTED_VALUE"""),"wguerra@postobon.com.co")</f>
        <v>wguerra@postobon.com.co</v>
      </c>
      <c r="Z815" s="5" t="str">
        <f ca="1">IFERROR(__xludf.DUMMYFUNCTION("""COMPUTED_VALUE"""),"1zgKvkvCQeaHMzZ2dDbbbA")</f>
        <v>1zgKvkvCQeaHMzZ2dDbbbA</v>
      </c>
      <c r="AA815" s="5"/>
      <c r="AB815" s="5"/>
      <c r="AC815" s="5"/>
      <c r="AD815" s="5">
        <f ca="1">IFERROR(__xludf.DUMMYFUNCTION("""COMPUTED_VALUE"""),65)</f>
        <v>65</v>
      </c>
      <c r="AE815" s="5">
        <f ca="1">IFERROR(__xludf.DUMMYFUNCTION("""COMPUTED_VALUE"""),65)</f>
        <v>65</v>
      </c>
      <c r="AF815" s="5" t="b">
        <f ca="1">IFERROR(__xludf.DUMMYFUNCTION("""COMPUTED_VALUE"""),FALSE)</f>
        <v>0</v>
      </c>
      <c r="AG815" s="5" t="str">
        <f ca="1">IFERROR(__xludf.DUMMYFUNCTION("""COMPUTED_VALUE"""),"INSPECCIONES REALIZADAS")</f>
        <v>INSPECCIONES REALIZADAS</v>
      </c>
      <c r="AH815" s="5"/>
    </row>
    <row r="816" spans="1:34">
      <c r="A816" s="5" t="str">
        <f ca="1">IFERROR(__xludf.DUMMYFUNCTION("""COMPUTED_VALUE"""),"LINEA ENVASADO BAG IN BOX DISPENSADORES")</f>
        <v>LINEA ENVASADO BAG IN BOX DISPENSADORES</v>
      </c>
      <c r="B816" s="5">
        <f ca="1">IFERROR(__xludf.DUMMYFUNCTION("""COMPUTED_VALUE"""),710174)</f>
        <v>710174</v>
      </c>
      <c r="C816" s="5" t="str">
        <f ca="1">IFERROR(__xludf.DUMMYFUNCTION("""COMPUTED_VALUE"""),"LLENADORA DE BOLSAS BAG IN BOX")</f>
        <v>LLENADORA DE BOLSAS BAG IN BOX</v>
      </c>
      <c r="D816" s="5">
        <f ca="1">IFERROR(__xludf.DUMMYFUNCTION("""COMPUTED_VALUE"""),13247793)</f>
        <v>13247793</v>
      </c>
      <c r="E816" s="5" t="str">
        <f ca="1">IFERROR(__xludf.DUMMYFUNCTION("""COMPUTED_VALUE"""),"INSPECCION SEMANAL LLENADORA DE BOLSAS B")</f>
        <v>INSPECCION SEMANAL LLENADORA DE BOLSAS B</v>
      </c>
      <c r="F816" s="5" t="str">
        <f ca="1">IFERROR(__xludf.DUMMYFUNCTION("""COMPUTED_VALUE"""),"SISTEMA CIP")</f>
        <v>SISTEMA CIP</v>
      </c>
      <c r="G816" s="5" t="b">
        <f ca="1">IFERROR(__xludf.DUMMYFUNCTION("""COMPUTED_VALUE"""),TRUE)</f>
        <v>1</v>
      </c>
      <c r="H816" s="5"/>
      <c r="I816" s="5"/>
      <c r="J816" s="5">
        <f ca="1">IFERROR(__xludf.DUMMYFUNCTION("""COMPUTED_VALUE"""),13247793)</f>
        <v>13247793</v>
      </c>
      <c r="K816" s="5"/>
      <c r="L816" s="18">
        <f ca="1">IFERROR(__xludf.DUMMYFUNCTION("""COMPUTED_VALUE"""),45324)</f>
        <v>45324</v>
      </c>
      <c r="M816" s="18">
        <f ca="1">IFERROR(__xludf.DUMMYFUNCTION("""COMPUTED_VALUE"""),45324)</f>
        <v>45324</v>
      </c>
      <c r="N816" s="5" t="str">
        <f ca="1">IFERROR(__xludf.DUMMYFUNCTION("""COMPUTED_VALUE"""),"MARIO ALBERTO MARTÍNEZ MORA")</f>
        <v>MARIO ALBERTO MARTÍNEZ MORA</v>
      </c>
      <c r="O816" s="2">
        <f ca="1">IFERROR(__xludf.DUMMYFUNCTION("""COMPUTED_VALUE"""),0.009090909)</f>
        <v>9.0909089999999994E-3</v>
      </c>
      <c r="P816" s="5">
        <f ca="1">IFERROR(__xludf.DUMMYFUNCTION("""COMPUTED_VALUE"""),94542837)</f>
        <v>94542837</v>
      </c>
      <c r="Q816" s="5" t="str">
        <f ca="1">IFERROR(__xludf.DUMMYFUNCTION("""COMPUTED_VALUE"""),"sxE5Kf4Vhog")</f>
        <v>sxE5Kf4Vhog</v>
      </c>
      <c r="R816" s="5">
        <f ca="1">IFERROR(__xludf.DUMMYFUNCTION("""COMPUTED_VALUE"""),410)</f>
        <v>410</v>
      </c>
      <c r="S816" s="62">
        <f ca="1">IFERROR(__xludf.DUMMYFUNCTION("""COMPUTED_VALUE"""),0.009090909)</f>
        <v>9.0909089999999994E-3</v>
      </c>
      <c r="T816" s="63" t="str">
        <f ca="1">IFERROR(__xludf.DUMMYFUNCTION("""COMPUTED_VALUE"""),"https://storage.googleapis.com/glide-prod.appspot.com/uploads-v2/ly7o78grxPaC6KdgvbpS/pub/3aRdSog0vUtuqPE8AJKD.png")</f>
        <v>https://storage.googleapis.com/glide-prod.appspot.com/uploads-v2/ly7o78grxPaC6KdgvbpS/pub/3aRdSog0vUtuqPE8AJKD.png</v>
      </c>
      <c r="U816" s="5" t="str">
        <f ca="1">IFERROR(__xludf.DUMMYFUNCTION("""COMPUTED_VALUE"""),"LINEA ENVASADO BAG IN BOX DISPENSADORESLLENADORA DE BOLSAS BAG IN BOX")</f>
        <v>LINEA ENVASADO BAG IN BOX DISPENSADORESLLENADORA DE BOLSAS BAG IN BOX</v>
      </c>
      <c r="V816" s="5"/>
      <c r="W816" s="5" t="b">
        <f ca="1">IFERROR(__xludf.DUMMYFUNCTION("""COMPUTED_VALUE"""),TRUE)</f>
        <v>1</v>
      </c>
      <c r="X816" s="5" t="str">
        <f ca="1">IFERROR(__xludf.DUMMYFUNCTION("""COMPUTED_VALUE"""),"wguerra@postobon.com.co,aprmttoyu@postobon.com.co,aprmyu@postobon.com.co,wmora@postobon.com.co,efzapata@postobon.com.co")</f>
        <v>wguerra@postobon.com.co,aprmttoyu@postobon.com.co,aprmyu@postobon.com.co,wmora@postobon.com.co,efzapata@postobon.com.co</v>
      </c>
      <c r="Y816" s="5" t="str">
        <f ca="1">IFERROR(__xludf.DUMMYFUNCTION("""COMPUTED_VALUE"""),"wguerra@postobon.com.co")</f>
        <v>wguerra@postobon.com.co</v>
      </c>
      <c r="Z816" s="5" t="str">
        <f ca="1">IFERROR(__xludf.DUMMYFUNCTION("""COMPUTED_VALUE"""),"a-9891CamQcaIgjvfLRf8kg")</f>
        <v>a-9891CamQcaIgjvfLRf8kg</v>
      </c>
      <c r="AA816" s="5"/>
      <c r="AB816" s="5"/>
      <c r="AC816" s="5"/>
      <c r="AD816" s="5">
        <f ca="1">IFERROR(__xludf.DUMMYFUNCTION("""COMPUTED_VALUE"""),65)</f>
        <v>65</v>
      </c>
      <c r="AE816" s="5">
        <f ca="1">IFERROR(__xludf.DUMMYFUNCTION("""COMPUTED_VALUE"""),65)</f>
        <v>65</v>
      </c>
      <c r="AF816" s="5" t="b">
        <f ca="1">IFERROR(__xludf.DUMMYFUNCTION("""COMPUTED_VALUE"""),FALSE)</f>
        <v>0</v>
      </c>
      <c r="AG816" s="5" t="str">
        <f ca="1">IFERROR(__xludf.DUMMYFUNCTION("""COMPUTED_VALUE"""),"INSPECCIONES REALIZADAS")</f>
        <v>INSPECCIONES REALIZADAS</v>
      </c>
      <c r="AH816" s="5"/>
    </row>
    <row r="817" spans="1:34">
      <c r="A817" s="5" t="str">
        <f ca="1">IFERROR(__xludf.DUMMYFUNCTION("""COMPUTED_VALUE"""),"LINEA ENVASADO BAG IN BOX DISPENSADORES")</f>
        <v>LINEA ENVASADO BAG IN BOX DISPENSADORES</v>
      </c>
      <c r="B817" s="5">
        <f ca="1">IFERROR(__xludf.DUMMYFUNCTION("""COMPUTED_VALUE"""),710174)</f>
        <v>710174</v>
      </c>
      <c r="C817" s="5" t="str">
        <f ca="1">IFERROR(__xludf.DUMMYFUNCTION("""COMPUTED_VALUE"""),"LLENADORA DE BOLSAS BAG IN BOX")</f>
        <v>LLENADORA DE BOLSAS BAG IN BOX</v>
      </c>
      <c r="D817" s="5">
        <f ca="1">IFERROR(__xludf.DUMMYFUNCTION("""COMPUTED_VALUE"""),13247793)</f>
        <v>13247793</v>
      </c>
      <c r="E817" s="5" t="str">
        <f ca="1">IFERROR(__xludf.DUMMYFUNCTION("""COMPUTED_VALUE"""),"INSPECCION SEMANAL LLENADORA DE BOLSAS B")</f>
        <v>INSPECCION SEMANAL LLENADORA DE BOLSAS B</v>
      </c>
      <c r="F817" s="5" t="str">
        <f ca="1">IFERROR(__xludf.DUMMYFUNCTION("""COMPUTED_VALUE"""),"MESA DE LLENADO")</f>
        <v>MESA DE LLENADO</v>
      </c>
      <c r="G817" s="5" t="b">
        <f ca="1">IFERROR(__xludf.DUMMYFUNCTION("""COMPUTED_VALUE"""),TRUE)</f>
        <v>1</v>
      </c>
      <c r="H817" s="5"/>
      <c r="I817" s="5"/>
      <c r="J817" s="5">
        <f ca="1">IFERROR(__xludf.DUMMYFUNCTION("""COMPUTED_VALUE"""),13247793)</f>
        <v>13247793</v>
      </c>
      <c r="K817" s="5"/>
      <c r="L817" s="18">
        <f ca="1">IFERROR(__xludf.DUMMYFUNCTION("""COMPUTED_VALUE"""),45324)</f>
        <v>45324</v>
      </c>
      <c r="M817" s="18">
        <f ca="1">IFERROR(__xludf.DUMMYFUNCTION("""COMPUTED_VALUE"""),45324)</f>
        <v>45324</v>
      </c>
      <c r="N817" s="5" t="str">
        <f ca="1">IFERROR(__xludf.DUMMYFUNCTION("""COMPUTED_VALUE"""),"MARIO ALBERTO MARTÍNEZ MORA")</f>
        <v>MARIO ALBERTO MARTÍNEZ MORA</v>
      </c>
      <c r="O817" s="2">
        <f ca="1">IFERROR(__xludf.DUMMYFUNCTION("""COMPUTED_VALUE"""),0.009090909)</f>
        <v>9.0909089999999994E-3</v>
      </c>
      <c r="P817" s="5">
        <f ca="1">IFERROR(__xludf.DUMMYFUNCTION("""COMPUTED_VALUE"""),94542837)</f>
        <v>94542837</v>
      </c>
      <c r="Q817" s="5" t="str">
        <f ca="1">IFERROR(__xludf.DUMMYFUNCTION("""COMPUTED_VALUE"""),"N6fd1B1viLU")</f>
        <v>N6fd1B1viLU</v>
      </c>
      <c r="R817" s="5">
        <f ca="1">IFERROR(__xludf.DUMMYFUNCTION("""COMPUTED_VALUE"""),410)</f>
        <v>410</v>
      </c>
      <c r="S817" s="62">
        <f ca="1">IFERROR(__xludf.DUMMYFUNCTION("""COMPUTED_VALUE"""),0.009090909)</f>
        <v>9.0909089999999994E-3</v>
      </c>
      <c r="T817" s="63" t="str">
        <f ca="1">IFERROR(__xludf.DUMMYFUNCTION("""COMPUTED_VALUE"""),"https://storage.googleapis.com/glide-prod.appspot.com/uploads-v2/ly7o78grxPaC6KdgvbpS/pub/3aRdSog0vUtuqPE8AJKD.png")</f>
        <v>https://storage.googleapis.com/glide-prod.appspot.com/uploads-v2/ly7o78grxPaC6KdgvbpS/pub/3aRdSog0vUtuqPE8AJKD.png</v>
      </c>
      <c r="U817" s="5" t="str">
        <f ca="1">IFERROR(__xludf.DUMMYFUNCTION("""COMPUTED_VALUE"""),"LINEA ENVASADO BAG IN BOX DISPENSADORESLLENADORA DE BOLSAS BAG IN BOX")</f>
        <v>LINEA ENVASADO BAG IN BOX DISPENSADORESLLENADORA DE BOLSAS BAG IN BOX</v>
      </c>
      <c r="V817" s="5"/>
      <c r="W817" s="5" t="b">
        <f ca="1">IFERROR(__xludf.DUMMYFUNCTION("""COMPUTED_VALUE"""),TRUE)</f>
        <v>1</v>
      </c>
      <c r="X817" s="5" t="str">
        <f ca="1">IFERROR(__xludf.DUMMYFUNCTION("""COMPUTED_VALUE"""),"wguerra@postobon.com.co,aprmttoyu@postobon.com.co,aprmyu@postobon.com.co,wmora@postobon.com.co,efzapata@postobon.com.co")</f>
        <v>wguerra@postobon.com.co,aprmttoyu@postobon.com.co,aprmyu@postobon.com.co,wmora@postobon.com.co,efzapata@postobon.com.co</v>
      </c>
      <c r="Y817" s="5" t="str">
        <f ca="1">IFERROR(__xludf.DUMMYFUNCTION("""COMPUTED_VALUE"""),"wguerra@postobon.com.co")</f>
        <v>wguerra@postobon.com.co</v>
      </c>
      <c r="Z817" s="5" t="str">
        <f ca="1">IFERROR(__xludf.DUMMYFUNCTION("""COMPUTED_VALUE"""),"NZIjTueCTied4ufEzE5tkQ")</f>
        <v>NZIjTueCTied4ufEzE5tkQ</v>
      </c>
      <c r="AA817" s="5"/>
      <c r="AB817" s="5"/>
      <c r="AC817" s="5"/>
      <c r="AD817" s="5">
        <f ca="1">IFERROR(__xludf.DUMMYFUNCTION("""COMPUTED_VALUE"""),65)</f>
        <v>65</v>
      </c>
      <c r="AE817" s="5">
        <f ca="1">IFERROR(__xludf.DUMMYFUNCTION("""COMPUTED_VALUE"""),65)</f>
        <v>65</v>
      </c>
      <c r="AF817" s="5" t="b">
        <f ca="1">IFERROR(__xludf.DUMMYFUNCTION("""COMPUTED_VALUE"""),FALSE)</f>
        <v>0</v>
      </c>
      <c r="AG817" s="5" t="str">
        <f ca="1">IFERROR(__xludf.DUMMYFUNCTION("""COMPUTED_VALUE"""),"INSPECCIONES REALIZADAS")</f>
        <v>INSPECCIONES REALIZADAS</v>
      </c>
      <c r="AH817" s="5"/>
    </row>
    <row r="818" spans="1:34">
      <c r="A818" s="5" t="str">
        <f ca="1">IFERROR(__xludf.DUMMYFUNCTION("""COMPUTED_VALUE"""),"LINEA ENVASADO BAG IN BOX DISPENSADORES")</f>
        <v>LINEA ENVASADO BAG IN BOX DISPENSADORES</v>
      </c>
      <c r="B818" s="5">
        <f ca="1">IFERROR(__xludf.DUMMYFUNCTION("""COMPUTED_VALUE"""),710174)</f>
        <v>710174</v>
      </c>
      <c r="C818" s="5" t="str">
        <f ca="1">IFERROR(__xludf.DUMMYFUNCTION("""COMPUTED_VALUE"""),"LLENADORA DE BOLSAS BAG IN BOX")</f>
        <v>LLENADORA DE BOLSAS BAG IN BOX</v>
      </c>
      <c r="D818" s="5">
        <f ca="1">IFERROR(__xludf.DUMMYFUNCTION("""COMPUTED_VALUE"""),13247793)</f>
        <v>13247793</v>
      </c>
      <c r="E818" s="5" t="str">
        <f ca="1">IFERROR(__xludf.DUMMYFUNCTION("""COMPUTED_VALUE"""),"INSPECCION SEMANAL LLENADORA DE BOLSAS B")</f>
        <v>INSPECCION SEMANAL LLENADORA DE BOLSAS B</v>
      </c>
      <c r="F818" s="5" t="str">
        <f ca="1">IFERROR(__xludf.DUMMYFUNCTION("""COMPUTED_VALUE"""),"TRANSPORTADOR RODILLOS")</f>
        <v>TRANSPORTADOR RODILLOS</v>
      </c>
      <c r="G818" s="5" t="b">
        <f ca="1">IFERROR(__xludf.DUMMYFUNCTION("""COMPUTED_VALUE"""),TRUE)</f>
        <v>1</v>
      </c>
      <c r="H818" s="5"/>
      <c r="I818" s="5"/>
      <c r="J818" s="5">
        <f ca="1">IFERROR(__xludf.DUMMYFUNCTION("""COMPUTED_VALUE"""),13247793)</f>
        <v>13247793</v>
      </c>
      <c r="K818" s="5"/>
      <c r="L818" s="18">
        <f ca="1">IFERROR(__xludf.DUMMYFUNCTION("""COMPUTED_VALUE"""),45324)</f>
        <v>45324</v>
      </c>
      <c r="M818" s="18">
        <f ca="1">IFERROR(__xludf.DUMMYFUNCTION("""COMPUTED_VALUE"""),45324)</f>
        <v>45324</v>
      </c>
      <c r="N818" s="5" t="str">
        <f ca="1">IFERROR(__xludf.DUMMYFUNCTION("""COMPUTED_VALUE"""),"MARIO ALBERTO MARTÍNEZ MORA")</f>
        <v>MARIO ALBERTO MARTÍNEZ MORA</v>
      </c>
      <c r="O818" s="2">
        <f ca="1">IFERROR(__xludf.DUMMYFUNCTION("""COMPUTED_VALUE"""),0.009090909)</f>
        <v>9.0909089999999994E-3</v>
      </c>
      <c r="P818" s="5">
        <f ca="1">IFERROR(__xludf.DUMMYFUNCTION("""COMPUTED_VALUE"""),94542837)</f>
        <v>94542837</v>
      </c>
      <c r="Q818" s="5" t="str">
        <f ca="1">IFERROR(__xludf.DUMMYFUNCTION("""COMPUTED_VALUE"""),"mQQDrUXKhgY")</f>
        <v>mQQDrUXKhgY</v>
      </c>
      <c r="R818" s="5">
        <f ca="1">IFERROR(__xludf.DUMMYFUNCTION("""COMPUTED_VALUE"""),410)</f>
        <v>410</v>
      </c>
      <c r="S818" s="62">
        <f ca="1">IFERROR(__xludf.DUMMYFUNCTION("""COMPUTED_VALUE"""),0.009090909)</f>
        <v>9.0909089999999994E-3</v>
      </c>
      <c r="T818" s="63" t="str">
        <f ca="1">IFERROR(__xludf.DUMMYFUNCTION("""COMPUTED_VALUE"""),"https://storage.googleapis.com/glide-prod.appspot.com/uploads-v2/ly7o78grxPaC6KdgvbpS/pub/3aRdSog0vUtuqPE8AJKD.png")</f>
        <v>https://storage.googleapis.com/glide-prod.appspot.com/uploads-v2/ly7o78grxPaC6KdgvbpS/pub/3aRdSog0vUtuqPE8AJKD.png</v>
      </c>
      <c r="U818" s="5" t="str">
        <f ca="1">IFERROR(__xludf.DUMMYFUNCTION("""COMPUTED_VALUE"""),"LINEA ENVASADO BAG IN BOX DISPENSADORESLLENADORA DE BOLSAS BAG IN BOX")</f>
        <v>LINEA ENVASADO BAG IN BOX DISPENSADORESLLENADORA DE BOLSAS BAG IN BOX</v>
      </c>
      <c r="V818" s="5"/>
      <c r="W818" s="5" t="b">
        <f ca="1">IFERROR(__xludf.DUMMYFUNCTION("""COMPUTED_VALUE"""),TRUE)</f>
        <v>1</v>
      </c>
      <c r="X818" s="5" t="str">
        <f ca="1">IFERROR(__xludf.DUMMYFUNCTION("""COMPUTED_VALUE"""),"wguerra@postobon.com.co,aprmttoyu@postobon.com.co,aprmyu@postobon.com.co,wmora@postobon.com.co,efzapata@postobon.com.co")</f>
        <v>wguerra@postobon.com.co,aprmttoyu@postobon.com.co,aprmyu@postobon.com.co,wmora@postobon.com.co,efzapata@postobon.com.co</v>
      </c>
      <c r="Y818" s="5" t="str">
        <f ca="1">IFERROR(__xludf.DUMMYFUNCTION("""COMPUTED_VALUE"""),"wguerra@postobon.com.co")</f>
        <v>wguerra@postobon.com.co</v>
      </c>
      <c r="Z818" s="5" t="str">
        <f ca="1">IFERROR(__xludf.DUMMYFUNCTION("""COMPUTED_VALUE"""),"LB9SmHRDRU-gy02F-Dzdhw")</f>
        <v>LB9SmHRDRU-gy02F-Dzdhw</v>
      </c>
      <c r="AA818" s="5"/>
      <c r="AB818" s="5"/>
      <c r="AC818" s="5"/>
      <c r="AD818" s="5">
        <f ca="1">IFERROR(__xludf.DUMMYFUNCTION("""COMPUTED_VALUE"""),65)</f>
        <v>65</v>
      </c>
      <c r="AE818" s="5">
        <f ca="1">IFERROR(__xludf.DUMMYFUNCTION("""COMPUTED_VALUE"""),65)</f>
        <v>65</v>
      </c>
      <c r="AF818" s="5" t="b">
        <f ca="1">IFERROR(__xludf.DUMMYFUNCTION("""COMPUTED_VALUE"""),FALSE)</f>
        <v>0</v>
      </c>
      <c r="AG818" s="5" t="str">
        <f ca="1">IFERROR(__xludf.DUMMYFUNCTION("""COMPUTED_VALUE"""),"INSPECCIONES REALIZADAS")</f>
        <v>INSPECCIONES REALIZADAS</v>
      </c>
      <c r="AH818" s="5"/>
    </row>
    <row r="819" spans="1:34">
      <c r="A819" s="5" t="str">
        <f ca="1">IFERROR(__xludf.DUMMYFUNCTION("""COMPUTED_VALUE"""),"LINEA ENVASADO BAG IN BOX DISPENSADORES")</f>
        <v>LINEA ENVASADO BAG IN BOX DISPENSADORES</v>
      </c>
      <c r="B819" s="5">
        <f ca="1">IFERROR(__xludf.DUMMYFUNCTION("""COMPUTED_VALUE"""),710174)</f>
        <v>710174</v>
      </c>
      <c r="C819" s="5" t="str">
        <f ca="1">IFERROR(__xludf.DUMMYFUNCTION("""COMPUTED_VALUE"""),"LLENADORA DE BOLSAS BAG IN BOX")</f>
        <v>LLENADORA DE BOLSAS BAG IN BOX</v>
      </c>
      <c r="D819" s="5">
        <f ca="1">IFERROR(__xludf.DUMMYFUNCTION("""COMPUTED_VALUE"""),13247793)</f>
        <v>13247793</v>
      </c>
      <c r="E819" s="5" t="str">
        <f ca="1">IFERROR(__xludf.DUMMYFUNCTION("""COMPUTED_VALUE"""),"INSPECCION SEMANAL LLENADORA DE BOLSAS B")</f>
        <v>INSPECCION SEMANAL LLENADORA DE BOLSAS B</v>
      </c>
      <c r="F819" s="5" t="str">
        <f ca="1">IFERROR(__xludf.DUMMYFUNCTION("""COMPUTED_VALUE"""),"SISTEMA ALIMETACION AIRE")</f>
        <v>SISTEMA ALIMETACION AIRE</v>
      </c>
      <c r="G819" s="5" t="b">
        <f ca="1">IFERROR(__xludf.DUMMYFUNCTION("""COMPUTED_VALUE"""),TRUE)</f>
        <v>1</v>
      </c>
      <c r="H819" s="5"/>
      <c r="I819" s="5"/>
      <c r="J819" s="5">
        <f ca="1">IFERROR(__xludf.DUMMYFUNCTION("""COMPUTED_VALUE"""),13247793)</f>
        <v>13247793</v>
      </c>
      <c r="K819" s="5"/>
      <c r="L819" s="18">
        <f ca="1">IFERROR(__xludf.DUMMYFUNCTION("""COMPUTED_VALUE"""),45324)</f>
        <v>45324</v>
      </c>
      <c r="M819" s="18">
        <f ca="1">IFERROR(__xludf.DUMMYFUNCTION("""COMPUTED_VALUE"""),45324)</f>
        <v>45324</v>
      </c>
      <c r="N819" s="5" t="str">
        <f ca="1">IFERROR(__xludf.DUMMYFUNCTION("""COMPUTED_VALUE"""),"MARIO ALBERTO MARTÍNEZ MORA")</f>
        <v>MARIO ALBERTO MARTÍNEZ MORA</v>
      </c>
      <c r="O819" s="2">
        <f ca="1">IFERROR(__xludf.DUMMYFUNCTION("""COMPUTED_VALUE"""),0.009090909)</f>
        <v>9.0909089999999994E-3</v>
      </c>
      <c r="P819" s="5">
        <f ca="1">IFERROR(__xludf.DUMMYFUNCTION("""COMPUTED_VALUE"""),94542837)</f>
        <v>94542837</v>
      </c>
      <c r="Q819" s="5" t="str">
        <f ca="1">IFERROR(__xludf.DUMMYFUNCTION("""COMPUTED_VALUE"""),"OFKDvUNk9yk")</f>
        <v>OFKDvUNk9yk</v>
      </c>
      <c r="R819" s="5">
        <f ca="1">IFERROR(__xludf.DUMMYFUNCTION("""COMPUTED_VALUE"""),410)</f>
        <v>410</v>
      </c>
      <c r="S819" s="62">
        <f ca="1">IFERROR(__xludf.DUMMYFUNCTION("""COMPUTED_VALUE"""),0.009090909)</f>
        <v>9.0909089999999994E-3</v>
      </c>
      <c r="T819" s="63" t="str">
        <f ca="1">IFERROR(__xludf.DUMMYFUNCTION("""COMPUTED_VALUE"""),"https://storage.googleapis.com/glide-prod.appspot.com/uploads-v2/ly7o78grxPaC6KdgvbpS/pub/3aRdSog0vUtuqPE8AJKD.png")</f>
        <v>https://storage.googleapis.com/glide-prod.appspot.com/uploads-v2/ly7o78grxPaC6KdgvbpS/pub/3aRdSog0vUtuqPE8AJKD.png</v>
      </c>
      <c r="U819" s="5" t="str">
        <f ca="1">IFERROR(__xludf.DUMMYFUNCTION("""COMPUTED_VALUE"""),"LINEA ENVASADO BAG IN BOX DISPENSADORESLLENADORA DE BOLSAS BAG IN BOX")</f>
        <v>LINEA ENVASADO BAG IN BOX DISPENSADORESLLENADORA DE BOLSAS BAG IN BOX</v>
      </c>
      <c r="V819" s="5"/>
      <c r="W819" s="5" t="b">
        <f ca="1">IFERROR(__xludf.DUMMYFUNCTION("""COMPUTED_VALUE"""),TRUE)</f>
        <v>1</v>
      </c>
      <c r="X819" s="5" t="str">
        <f ca="1">IFERROR(__xludf.DUMMYFUNCTION("""COMPUTED_VALUE"""),"wguerra@postobon.com.co,aprmttoyu@postobon.com.co,aprmyu@postobon.com.co,wmora@postobon.com.co,efzapata@postobon.com.co")</f>
        <v>wguerra@postobon.com.co,aprmttoyu@postobon.com.co,aprmyu@postobon.com.co,wmora@postobon.com.co,efzapata@postobon.com.co</v>
      </c>
      <c r="Y819" s="5" t="str">
        <f ca="1">IFERROR(__xludf.DUMMYFUNCTION("""COMPUTED_VALUE"""),"wguerra@postobon.com.co")</f>
        <v>wguerra@postobon.com.co</v>
      </c>
      <c r="Z819" s="5" t="str">
        <f ca="1">IFERROR(__xludf.DUMMYFUNCTION("""COMPUTED_VALUE"""),"N-.tzPvIQA-bLxzaMXJtZA")</f>
        <v>N-.tzPvIQA-bLxzaMXJtZA</v>
      </c>
      <c r="AA819" s="5"/>
      <c r="AB819" s="5"/>
      <c r="AC819" s="5"/>
      <c r="AD819" s="5">
        <f ca="1">IFERROR(__xludf.DUMMYFUNCTION("""COMPUTED_VALUE"""),65)</f>
        <v>65</v>
      </c>
      <c r="AE819" s="5">
        <f ca="1">IFERROR(__xludf.DUMMYFUNCTION("""COMPUTED_VALUE"""),65)</f>
        <v>65</v>
      </c>
      <c r="AF819" s="5" t="b">
        <f ca="1">IFERROR(__xludf.DUMMYFUNCTION("""COMPUTED_VALUE"""),FALSE)</f>
        <v>0</v>
      </c>
      <c r="AG819" s="5" t="str">
        <f ca="1">IFERROR(__xludf.DUMMYFUNCTION("""COMPUTED_VALUE"""),"INSPECCIONES REALIZADAS")</f>
        <v>INSPECCIONES REALIZADAS</v>
      </c>
      <c r="AH819" s="5"/>
    </row>
    <row r="820" spans="1:34">
      <c r="A820" s="5" t="str">
        <f ca="1">IFERROR(__xludf.DUMMYFUNCTION("""COMPUTED_VALUE"""),"LINEA ENVASADO BAG IN BOX DISPENSADORES")</f>
        <v>LINEA ENVASADO BAG IN BOX DISPENSADORES</v>
      </c>
      <c r="B820" s="5">
        <f ca="1">IFERROR(__xludf.DUMMYFUNCTION("""COMPUTED_VALUE"""),710174)</f>
        <v>710174</v>
      </c>
      <c r="C820" s="5" t="str">
        <f ca="1">IFERROR(__xludf.DUMMYFUNCTION("""COMPUTED_VALUE"""),"LLENADORA DE BOLSAS BAG IN BOX")</f>
        <v>LLENADORA DE BOLSAS BAG IN BOX</v>
      </c>
      <c r="D820" s="5">
        <f ca="1">IFERROR(__xludf.DUMMYFUNCTION("""COMPUTED_VALUE"""),13247793)</f>
        <v>13247793</v>
      </c>
      <c r="E820" s="5" t="str">
        <f ca="1">IFERROR(__xludf.DUMMYFUNCTION("""COMPUTED_VALUE"""),"INSPECCION SEMANAL LLENADORA DE BOLSAS B")</f>
        <v>INSPECCION SEMANAL LLENADORA DE BOLSAS B</v>
      </c>
      <c r="F820" s="5" t="str">
        <f ca="1">IFERROR(__xludf.DUMMYFUNCTION("""COMPUTED_VALUE"""),"BOMBA LLENADO FINAL")</f>
        <v>BOMBA LLENADO FINAL</v>
      </c>
      <c r="G820" s="5" t="b">
        <f ca="1">IFERROR(__xludf.DUMMYFUNCTION("""COMPUTED_VALUE"""),TRUE)</f>
        <v>1</v>
      </c>
      <c r="H820" s="5"/>
      <c r="I820" s="5"/>
      <c r="J820" s="5">
        <f ca="1">IFERROR(__xludf.DUMMYFUNCTION("""COMPUTED_VALUE"""),13247793)</f>
        <v>13247793</v>
      </c>
      <c r="K820" s="5"/>
      <c r="L820" s="18">
        <f ca="1">IFERROR(__xludf.DUMMYFUNCTION("""COMPUTED_VALUE"""),45324)</f>
        <v>45324</v>
      </c>
      <c r="M820" s="18">
        <f ca="1">IFERROR(__xludf.DUMMYFUNCTION("""COMPUTED_VALUE"""),45324)</f>
        <v>45324</v>
      </c>
      <c r="N820" s="5" t="str">
        <f ca="1">IFERROR(__xludf.DUMMYFUNCTION("""COMPUTED_VALUE"""),"MARIO ALBERTO MARTÍNEZ MORA")</f>
        <v>MARIO ALBERTO MARTÍNEZ MORA</v>
      </c>
      <c r="O820" s="2">
        <f ca="1">IFERROR(__xludf.DUMMYFUNCTION("""COMPUTED_VALUE"""),0.009090909)</f>
        <v>9.0909089999999994E-3</v>
      </c>
      <c r="P820" s="5">
        <f ca="1">IFERROR(__xludf.DUMMYFUNCTION("""COMPUTED_VALUE"""),94542837)</f>
        <v>94542837</v>
      </c>
      <c r="Q820" s="5" t="str">
        <f ca="1">IFERROR(__xludf.DUMMYFUNCTION("""COMPUTED_VALUE"""),"QkapGZ07SVs")</f>
        <v>QkapGZ07SVs</v>
      </c>
      <c r="R820" s="5">
        <f ca="1">IFERROR(__xludf.DUMMYFUNCTION("""COMPUTED_VALUE"""),410)</f>
        <v>410</v>
      </c>
      <c r="S820" s="62">
        <f ca="1">IFERROR(__xludf.DUMMYFUNCTION("""COMPUTED_VALUE"""),0.009090909)</f>
        <v>9.0909089999999994E-3</v>
      </c>
      <c r="T820" s="63" t="str">
        <f ca="1">IFERROR(__xludf.DUMMYFUNCTION("""COMPUTED_VALUE"""),"https://storage.googleapis.com/glide-prod.appspot.com/uploads-v2/ly7o78grxPaC6KdgvbpS/pub/3aRdSog0vUtuqPE8AJKD.png")</f>
        <v>https://storage.googleapis.com/glide-prod.appspot.com/uploads-v2/ly7o78grxPaC6KdgvbpS/pub/3aRdSog0vUtuqPE8AJKD.png</v>
      </c>
      <c r="U820" s="5" t="str">
        <f ca="1">IFERROR(__xludf.DUMMYFUNCTION("""COMPUTED_VALUE"""),"LINEA ENVASADO BAG IN BOX DISPENSADORESLLENADORA DE BOLSAS BAG IN BOX")</f>
        <v>LINEA ENVASADO BAG IN BOX DISPENSADORESLLENADORA DE BOLSAS BAG IN BOX</v>
      </c>
      <c r="V820" s="5"/>
      <c r="W820" s="5" t="b">
        <f ca="1">IFERROR(__xludf.DUMMYFUNCTION("""COMPUTED_VALUE"""),TRUE)</f>
        <v>1</v>
      </c>
      <c r="X820" s="5" t="str">
        <f ca="1">IFERROR(__xludf.DUMMYFUNCTION("""COMPUTED_VALUE"""),"wguerra@postobon.com.co,aprmttoyu@postobon.com.co,aprmyu@postobon.com.co,wmora@postobon.com.co,efzapata@postobon.com.co")</f>
        <v>wguerra@postobon.com.co,aprmttoyu@postobon.com.co,aprmyu@postobon.com.co,wmora@postobon.com.co,efzapata@postobon.com.co</v>
      </c>
      <c r="Y820" s="5" t="str">
        <f ca="1">IFERROR(__xludf.DUMMYFUNCTION("""COMPUTED_VALUE"""),"wguerra@postobon.com.co")</f>
        <v>wguerra@postobon.com.co</v>
      </c>
      <c r="Z820" s="5" t="str">
        <f ca="1">IFERROR(__xludf.DUMMYFUNCTION("""COMPUTED_VALUE"""),"GAqux1sYT2CwnxW4McU-jw")</f>
        <v>GAqux1sYT2CwnxW4McU-jw</v>
      </c>
      <c r="AA820" s="5"/>
      <c r="AB820" s="5"/>
      <c r="AC820" s="5"/>
      <c r="AD820" s="5">
        <f ca="1">IFERROR(__xludf.DUMMYFUNCTION("""COMPUTED_VALUE"""),65)</f>
        <v>65</v>
      </c>
      <c r="AE820" s="5">
        <f ca="1">IFERROR(__xludf.DUMMYFUNCTION("""COMPUTED_VALUE"""),65)</f>
        <v>65</v>
      </c>
      <c r="AF820" s="5" t="b">
        <f ca="1">IFERROR(__xludf.DUMMYFUNCTION("""COMPUTED_VALUE"""),FALSE)</f>
        <v>0</v>
      </c>
      <c r="AG820" s="5" t="str">
        <f ca="1">IFERROR(__xludf.DUMMYFUNCTION("""COMPUTED_VALUE"""),"INSPECCIONES REALIZADAS")</f>
        <v>INSPECCIONES REALIZADAS</v>
      </c>
      <c r="AH820" s="5"/>
    </row>
    <row r="821" spans="1:34">
      <c r="A821" s="5" t="str">
        <f ca="1">IFERROR(__xludf.DUMMYFUNCTION("""COMPUTED_VALUE"""),"LINEA DE PRODUCCION DE BOTELLONES DE 20")</f>
        <v>LINEA DE PRODUCCION DE BOTELLONES DE 20</v>
      </c>
      <c r="B821" s="5">
        <f ca="1">IFERROR(__xludf.DUMMYFUNCTION("""COMPUTED_VALUE"""),719511)</f>
        <v>719511</v>
      </c>
      <c r="C821" s="5" t="str">
        <f ca="1">IFERROR(__xludf.DUMMYFUNCTION("""COMPUTED_VALUE"""),"LLENADORA DE BOTELLONES Y TAPONADORA")</f>
        <v>LLENADORA DE BOTELLONES Y TAPONADORA</v>
      </c>
      <c r="D821" s="5">
        <f ca="1">IFERROR(__xludf.DUMMYFUNCTION("""COMPUTED_VALUE"""),13247683)</f>
        <v>13247683</v>
      </c>
      <c r="E821" s="5" t="str">
        <f ca="1">IFERROR(__xludf.DUMMYFUNCTION("""COMPUTED_VALUE"""),"INSPECCION SEMANAL LLENADORA DE BOTELLON")</f>
        <v>INSPECCION SEMANAL LLENADORA DE BOTELLON</v>
      </c>
      <c r="F821" s="5" t="str">
        <f ca="1">IFERROR(__xludf.DUMMYFUNCTION("""COMPUTED_VALUE"""),"INS. ESTADO BOQUILLA DOSIFICADORA")</f>
        <v>INS. ESTADO BOQUILLA DOSIFICADORA</v>
      </c>
      <c r="G821" s="5" t="b">
        <f ca="1">IFERROR(__xludf.DUMMYFUNCTION("""COMPUTED_VALUE"""),TRUE)</f>
        <v>1</v>
      </c>
      <c r="H821" s="5"/>
      <c r="I821" s="5"/>
      <c r="J821" s="5"/>
      <c r="K821" s="5"/>
      <c r="L821" s="18">
        <f ca="1">IFERROR(__xludf.DUMMYFUNCTION("""COMPUTED_VALUE"""),45324)</f>
        <v>45324</v>
      </c>
      <c r="M821" s="18">
        <f ca="1">IFERROR(__xludf.DUMMYFUNCTION("""COMPUTED_VALUE"""),45324)</f>
        <v>45324</v>
      </c>
      <c r="N821" s="5" t="str">
        <f ca="1">IFERROR(__xludf.DUMMYFUNCTION("""COMPUTED_VALUE"""),"Christian Camilo Ramirez Rendón")</f>
        <v>Christian Camilo Ramirez Rendón</v>
      </c>
      <c r="O821" s="2">
        <f ca="1">IFERROR(__xludf.DUMMYFUNCTION("""COMPUTED_VALUE"""),0.00625)</f>
        <v>6.2500000000000003E-3</v>
      </c>
      <c r="P821" s="5"/>
      <c r="Q821" s="5" t="str">
        <f ca="1">IFERROR(__xludf.DUMMYFUNCTION("""COMPUTED_VALUE"""),"lTySPf9mQ5k")</f>
        <v>lTySPf9mQ5k</v>
      </c>
      <c r="R821" s="5">
        <f ca="1">IFERROR(__xludf.DUMMYFUNCTION("""COMPUTED_VALUE"""),410)</f>
        <v>410</v>
      </c>
      <c r="S821" s="62">
        <f ca="1">IFERROR(__xludf.DUMMYFUNCTION("""COMPUTED_VALUE"""),0.00625)</f>
        <v>6.2500000000000003E-3</v>
      </c>
      <c r="T821" s="63" t="str">
        <f ca="1">IFERROR(__xludf.DUMMYFUNCTION("""COMPUTED_VALUE"""),"https://storage.googleapis.com/glide-prod.appspot.com/uploads-v2/ly7o78grxPaC6KdgvbpS/pub/3aRdSog0vUtuqPE8AJKD.png")</f>
        <v>https://storage.googleapis.com/glide-prod.appspot.com/uploads-v2/ly7o78grxPaC6KdgvbpS/pub/3aRdSog0vUtuqPE8AJKD.png</v>
      </c>
      <c r="U821" s="5" t="str">
        <f ca="1">IFERROR(__xludf.DUMMYFUNCTION("""COMPUTED_VALUE"""),"LINEA DE PRODUCCION DE BOTELLONES DE 20LLENADORA DE BOTELLONES Y TAPONADORA")</f>
        <v>LINEA DE PRODUCCION DE BOTELLONES DE 20LLENADORA DE BOTELLONES Y TAPONADORA</v>
      </c>
      <c r="V821" s="5"/>
      <c r="W821" s="5" t="b">
        <f ca="1">IFERROR(__xludf.DUMMYFUNCTION("""COMPUTED_VALUE"""),TRUE)</f>
        <v>1</v>
      </c>
      <c r="X821" s="5" t="str">
        <f ca="1">IFERROR(__xludf.DUMMYFUNCTION("""COMPUTED_VALUE"""),"achavezi@postobon.com.co,aprmttoyu@postobon.com.co,aprmyu@postobon.com.co,wmora@postobon.com.co,efzapata@postobon.com.co")</f>
        <v>achavezi@postobon.com.co,aprmttoyu@postobon.com.co,aprmyu@postobon.com.co,wmora@postobon.com.co,efzapata@postobon.com.co</v>
      </c>
      <c r="Y821" s="5" t="str">
        <f ca="1">IFERROR(__xludf.DUMMYFUNCTION("""COMPUTED_VALUE"""),"achavezi@postobon.com.co")</f>
        <v>achavezi@postobon.com.co</v>
      </c>
      <c r="Z821" s="5" t="str">
        <f ca="1">IFERROR(__xludf.DUMMYFUNCTION("""COMPUTED_VALUE"""),"9.kWqtydSB6l7FwskQXCsw")</f>
        <v>9.kWqtydSB6l7FwskQXCsw</v>
      </c>
      <c r="AA821" s="5"/>
      <c r="AB821" s="5"/>
      <c r="AC821" s="5"/>
      <c r="AD821" s="5">
        <f ca="1">IFERROR(__xludf.DUMMYFUNCTION("""COMPUTED_VALUE"""),67)</f>
        <v>67</v>
      </c>
      <c r="AE821" s="5">
        <f ca="1">IFERROR(__xludf.DUMMYFUNCTION("""COMPUTED_VALUE"""),67)</f>
        <v>67</v>
      </c>
      <c r="AF821" s="5" t="b">
        <f ca="1">IFERROR(__xludf.DUMMYFUNCTION("""COMPUTED_VALUE"""),FALSE)</f>
        <v>0</v>
      </c>
      <c r="AG821" s="5" t="str">
        <f ca="1">IFERROR(__xludf.DUMMYFUNCTION("""COMPUTED_VALUE"""),"INSPECCIONES REALIZADAS")</f>
        <v>INSPECCIONES REALIZADAS</v>
      </c>
      <c r="AH821" s="5"/>
    </row>
    <row r="822" spans="1:34">
      <c r="A822" s="5" t="str">
        <f ca="1">IFERROR(__xludf.DUMMYFUNCTION("""COMPUTED_VALUE"""),"LINEA DE PRODUCCION DE BOTELLONES DE 20")</f>
        <v>LINEA DE PRODUCCION DE BOTELLONES DE 20</v>
      </c>
      <c r="B822" s="5">
        <f ca="1">IFERROR(__xludf.DUMMYFUNCTION("""COMPUTED_VALUE"""),719511)</f>
        <v>719511</v>
      </c>
      <c r="C822" s="5" t="str">
        <f ca="1">IFERROR(__xludf.DUMMYFUNCTION("""COMPUTED_VALUE"""),"LLENADORA DE BOTELLONES Y TAPONADORA")</f>
        <v>LLENADORA DE BOTELLONES Y TAPONADORA</v>
      </c>
      <c r="D822" s="5">
        <f ca="1">IFERROR(__xludf.DUMMYFUNCTION("""COMPUTED_VALUE"""),13247683)</f>
        <v>13247683</v>
      </c>
      <c r="E822" s="5" t="str">
        <f ca="1">IFERROR(__xludf.DUMMYFUNCTION("""COMPUTED_VALUE"""),"INSPECCION SEMANAL LLENADORA DE BOTELLON")</f>
        <v>INSPECCION SEMANAL LLENADORA DE BOTELLON</v>
      </c>
      <c r="F822" s="5" t="str">
        <f ca="1">IFERROR(__xludf.DUMMYFUNCTION("""COMPUTED_VALUE"""),"INSP NIVEL LLENADO")</f>
        <v>INSP NIVEL LLENADO</v>
      </c>
      <c r="G822" s="5" t="b">
        <f ca="1">IFERROR(__xludf.DUMMYFUNCTION("""COMPUTED_VALUE"""),TRUE)</f>
        <v>1</v>
      </c>
      <c r="H822" s="5"/>
      <c r="I822" s="5"/>
      <c r="J822" s="5"/>
      <c r="K822" s="5"/>
      <c r="L822" s="18">
        <f ca="1">IFERROR(__xludf.DUMMYFUNCTION("""COMPUTED_VALUE"""),45324)</f>
        <v>45324</v>
      </c>
      <c r="M822" s="18">
        <f ca="1">IFERROR(__xludf.DUMMYFUNCTION("""COMPUTED_VALUE"""),45324)</f>
        <v>45324</v>
      </c>
      <c r="N822" s="5" t="str">
        <f ca="1">IFERROR(__xludf.DUMMYFUNCTION("""COMPUTED_VALUE"""),"Christian Camilo Ramirez Rendón")</f>
        <v>Christian Camilo Ramirez Rendón</v>
      </c>
      <c r="O822" s="2">
        <f ca="1">IFERROR(__xludf.DUMMYFUNCTION("""COMPUTED_VALUE"""),0.00625)</f>
        <v>6.2500000000000003E-3</v>
      </c>
      <c r="P822" s="5"/>
      <c r="Q822" s="5" t="str">
        <f ca="1">IFERROR(__xludf.DUMMYFUNCTION("""COMPUTED_VALUE"""),"rE-rRsSGvMg")</f>
        <v>rE-rRsSGvMg</v>
      </c>
      <c r="R822" s="5">
        <f ca="1">IFERROR(__xludf.DUMMYFUNCTION("""COMPUTED_VALUE"""),410)</f>
        <v>410</v>
      </c>
      <c r="S822" s="62">
        <f ca="1">IFERROR(__xludf.DUMMYFUNCTION("""COMPUTED_VALUE"""),0.00625)</f>
        <v>6.2500000000000003E-3</v>
      </c>
      <c r="T822" s="63" t="str">
        <f ca="1">IFERROR(__xludf.DUMMYFUNCTION("""COMPUTED_VALUE"""),"https://storage.googleapis.com/glide-prod.appspot.com/uploads-v2/ly7o78grxPaC6KdgvbpS/pub/3aRdSog0vUtuqPE8AJKD.png")</f>
        <v>https://storage.googleapis.com/glide-prod.appspot.com/uploads-v2/ly7o78grxPaC6KdgvbpS/pub/3aRdSog0vUtuqPE8AJKD.png</v>
      </c>
      <c r="U822" s="5" t="str">
        <f ca="1">IFERROR(__xludf.DUMMYFUNCTION("""COMPUTED_VALUE"""),"LINEA DE PRODUCCION DE BOTELLONES DE 20LLENADORA DE BOTELLONES Y TAPONADORA")</f>
        <v>LINEA DE PRODUCCION DE BOTELLONES DE 20LLENADORA DE BOTELLONES Y TAPONADORA</v>
      </c>
      <c r="V822" s="5"/>
      <c r="W822" s="5" t="b">
        <f ca="1">IFERROR(__xludf.DUMMYFUNCTION("""COMPUTED_VALUE"""),TRUE)</f>
        <v>1</v>
      </c>
      <c r="X822" s="5" t="str">
        <f ca="1">IFERROR(__xludf.DUMMYFUNCTION("""COMPUTED_VALUE"""),"achavezi@postobon.com.co,aprmttoyu@postobon.com.co,aprmyu@postobon.com.co,wmora@postobon.com.co,efzapata@postobon.com.co")</f>
        <v>achavezi@postobon.com.co,aprmttoyu@postobon.com.co,aprmyu@postobon.com.co,wmora@postobon.com.co,efzapata@postobon.com.co</v>
      </c>
      <c r="Y822" s="5" t="str">
        <f ca="1">IFERROR(__xludf.DUMMYFUNCTION("""COMPUTED_VALUE"""),"achavezi@postobon.com.co")</f>
        <v>achavezi@postobon.com.co</v>
      </c>
      <c r="Z822" s="5" t="str">
        <f ca="1">IFERROR(__xludf.DUMMYFUNCTION("""COMPUTED_VALUE"""),"ZZtYusbzRhqGo84UnJzGvQ")</f>
        <v>ZZtYusbzRhqGo84UnJzGvQ</v>
      </c>
      <c r="AA822" s="5"/>
      <c r="AB822" s="5"/>
      <c r="AC822" s="5"/>
      <c r="AD822" s="5">
        <f ca="1">IFERROR(__xludf.DUMMYFUNCTION("""COMPUTED_VALUE"""),67)</f>
        <v>67</v>
      </c>
      <c r="AE822" s="5">
        <f ca="1">IFERROR(__xludf.DUMMYFUNCTION("""COMPUTED_VALUE"""),67)</f>
        <v>67</v>
      </c>
      <c r="AF822" s="5" t="b">
        <f ca="1">IFERROR(__xludf.DUMMYFUNCTION("""COMPUTED_VALUE"""),FALSE)</f>
        <v>0</v>
      </c>
      <c r="AG822" s="5" t="str">
        <f ca="1">IFERROR(__xludf.DUMMYFUNCTION("""COMPUTED_VALUE"""),"INSPECCIONES REALIZADAS")</f>
        <v>INSPECCIONES REALIZADAS</v>
      </c>
      <c r="AH822" s="5"/>
    </row>
    <row r="823" spans="1:34">
      <c r="A823" s="5" t="str">
        <f ca="1">IFERROR(__xludf.DUMMYFUNCTION("""COMPUTED_VALUE"""),"LINEA DE PRODUCCION DE BOTELLONES DE 20")</f>
        <v>LINEA DE PRODUCCION DE BOTELLONES DE 20</v>
      </c>
      <c r="B823" s="5">
        <f ca="1">IFERROR(__xludf.DUMMYFUNCTION("""COMPUTED_VALUE"""),719511)</f>
        <v>719511</v>
      </c>
      <c r="C823" s="5" t="str">
        <f ca="1">IFERROR(__xludf.DUMMYFUNCTION("""COMPUTED_VALUE"""),"LLENADORA DE BOTELLONES Y TAPONADORA")</f>
        <v>LLENADORA DE BOTELLONES Y TAPONADORA</v>
      </c>
      <c r="D823" s="5">
        <f ca="1">IFERROR(__xludf.DUMMYFUNCTION("""COMPUTED_VALUE"""),13247683)</f>
        <v>13247683</v>
      </c>
      <c r="E823" s="5" t="str">
        <f ca="1">IFERROR(__xludf.DUMMYFUNCTION("""COMPUTED_VALUE"""),"INSPECCION SEMANAL LLENADORA DE BOTELLON")</f>
        <v>INSPECCION SEMANAL LLENADORA DE BOTELLON</v>
      </c>
      <c r="F823" s="5" t="str">
        <f ca="1">IFERROR(__xludf.DUMMYFUNCTION("""COMPUTED_VALUE"""),"FUNC SENSORES INDUCTIVOS")</f>
        <v>FUNC SENSORES INDUCTIVOS</v>
      </c>
      <c r="G823" s="5" t="b">
        <f ca="1">IFERROR(__xludf.DUMMYFUNCTION("""COMPUTED_VALUE"""),TRUE)</f>
        <v>1</v>
      </c>
      <c r="H823" s="5"/>
      <c r="I823" s="5"/>
      <c r="J823" s="5"/>
      <c r="K823" s="5"/>
      <c r="L823" s="18">
        <f ca="1">IFERROR(__xludf.DUMMYFUNCTION("""COMPUTED_VALUE"""),45324)</f>
        <v>45324</v>
      </c>
      <c r="M823" s="18">
        <f ca="1">IFERROR(__xludf.DUMMYFUNCTION("""COMPUTED_VALUE"""),45324)</f>
        <v>45324</v>
      </c>
      <c r="N823" s="5" t="str">
        <f ca="1">IFERROR(__xludf.DUMMYFUNCTION("""COMPUTED_VALUE"""),"Christian Camilo Ramirez Rendón")</f>
        <v>Christian Camilo Ramirez Rendón</v>
      </c>
      <c r="O823" s="2">
        <f ca="1">IFERROR(__xludf.DUMMYFUNCTION("""COMPUTED_VALUE"""),0.00625)</f>
        <v>6.2500000000000003E-3</v>
      </c>
      <c r="P823" s="5"/>
      <c r="Q823" s="5" t="str">
        <f ca="1">IFERROR(__xludf.DUMMYFUNCTION("""COMPUTED_VALUE"""),"R1Z8yj6Cux8")</f>
        <v>R1Z8yj6Cux8</v>
      </c>
      <c r="R823" s="5">
        <f ca="1">IFERROR(__xludf.DUMMYFUNCTION("""COMPUTED_VALUE"""),410)</f>
        <v>410</v>
      </c>
      <c r="S823" s="62">
        <f ca="1">IFERROR(__xludf.DUMMYFUNCTION("""COMPUTED_VALUE"""),0.00625)</f>
        <v>6.2500000000000003E-3</v>
      </c>
      <c r="T823" s="63" t="str">
        <f ca="1">IFERROR(__xludf.DUMMYFUNCTION("""COMPUTED_VALUE"""),"https://storage.googleapis.com/glide-prod.appspot.com/uploads-v2/ly7o78grxPaC6KdgvbpS/pub/3aRdSog0vUtuqPE8AJKD.png")</f>
        <v>https://storage.googleapis.com/glide-prod.appspot.com/uploads-v2/ly7o78grxPaC6KdgvbpS/pub/3aRdSog0vUtuqPE8AJKD.png</v>
      </c>
      <c r="U823" s="5" t="str">
        <f ca="1">IFERROR(__xludf.DUMMYFUNCTION("""COMPUTED_VALUE"""),"LINEA DE PRODUCCION DE BOTELLONES DE 20LLENADORA DE BOTELLONES Y TAPONADORA")</f>
        <v>LINEA DE PRODUCCION DE BOTELLONES DE 20LLENADORA DE BOTELLONES Y TAPONADORA</v>
      </c>
      <c r="V823" s="5"/>
      <c r="W823" s="5" t="b">
        <f ca="1">IFERROR(__xludf.DUMMYFUNCTION("""COMPUTED_VALUE"""),TRUE)</f>
        <v>1</v>
      </c>
      <c r="X823" s="5" t="str">
        <f ca="1">IFERROR(__xludf.DUMMYFUNCTION("""COMPUTED_VALUE"""),"achavezi@postobon.com.co,aprmttoyu@postobon.com.co,aprmyu@postobon.com.co,wmora@postobon.com.co,efzapata@postobon.com.co")</f>
        <v>achavezi@postobon.com.co,aprmttoyu@postobon.com.co,aprmyu@postobon.com.co,wmora@postobon.com.co,efzapata@postobon.com.co</v>
      </c>
      <c r="Y823" s="5" t="str">
        <f ca="1">IFERROR(__xludf.DUMMYFUNCTION("""COMPUTED_VALUE"""),"achavezi@postobon.com.co")</f>
        <v>achavezi@postobon.com.co</v>
      </c>
      <c r="Z823" s="5" t="str">
        <f ca="1">IFERROR(__xludf.DUMMYFUNCTION("""COMPUTED_VALUE"""),"0gCF9d4SR5SNwgsGgLnOYA")</f>
        <v>0gCF9d4SR5SNwgsGgLnOYA</v>
      </c>
      <c r="AA823" s="5"/>
      <c r="AB823" s="5"/>
      <c r="AC823" s="5"/>
      <c r="AD823" s="5">
        <f ca="1">IFERROR(__xludf.DUMMYFUNCTION("""COMPUTED_VALUE"""),67)</f>
        <v>67</v>
      </c>
      <c r="AE823" s="5">
        <f ca="1">IFERROR(__xludf.DUMMYFUNCTION("""COMPUTED_VALUE"""),67)</f>
        <v>67</v>
      </c>
      <c r="AF823" s="5" t="b">
        <f ca="1">IFERROR(__xludf.DUMMYFUNCTION("""COMPUTED_VALUE"""),FALSE)</f>
        <v>0</v>
      </c>
      <c r="AG823" s="5" t="str">
        <f ca="1">IFERROR(__xludf.DUMMYFUNCTION("""COMPUTED_VALUE"""),"INSPECCIONES REALIZADAS")</f>
        <v>INSPECCIONES REALIZADAS</v>
      </c>
      <c r="AH823" s="5"/>
    </row>
    <row r="824" spans="1:34">
      <c r="A824" s="5" t="str">
        <f ca="1">IFERROR(__xludf.DUMMYFUNCTION("""COMPUTED_VALUE"""),"LINEA DE PRODUCCION DE BOTELLONES DE 20")</f>
        <v>LINEA DE PRODUCCION DE BOTELLONES DE 20</v>
      </c>
      <c r="B824" s="5">
        <f ca="1">IFERROR(__xludf.DUMMYFUNCTION("""COMPUTED_VALUE"""),719511)</f>
        <v>719511</v>
      </c>
      <c r="C824" s="5" t="str">
        <f ca="1">IFERROR(__xludf.DUMMYFUNCTION("""COMPUTED_VALUE"""),"LLENADORA DE BOTELLONES Y TAPONADORA")</f>
        <v>LLENADORA DE BOTELLONES Y TAPONADORA</v>
      </c>
      <c r="D824" s="5">
        <f ca="1">IFERROR(__xludf.DUMMYFUNCTION("""COMPUTED_VALUE"""),13247683)</f>
        <v>13247683</v>
      </c>
      <c r="E824" s="5" t="str">
        <f ca="1">IFERROR(__xludf.DUMMYFUNCTION("""COMPUTED_VALUE"""),"INSPECCION SEMANAL LLENADORA DE BOTELLON")</f>
        <v>INSPECCION SEMANAL LLENADORA DE BOTELLON</v>
      </c>
      <c r="F824" s="5" t="str">
        <f ca="1">IFERROR(__xludf.DUMMYFUNCTION("""COMPUTED_VALUE"""),"FUNC MECANISMO TELESCOPICO")</f>
        <v>FUNC MECANISMO TELESCOPICO</v>
      </c>
      <c r="G824" s="5" t="b">
        <f ca="1">IFERROR(__xludf.DUMMYFUNCTION("""COMPUTED_VALUE"""),TRUE)</f>
        <v>1</v>
      </c>
      <c r="H824" s="5"/>
      <c r="I824" s="5"/>
      <c r="J824" s="5"/>
      <c r="K824" s="5"/>
      <c r="L824" s="18">
        <f ca="1">IFERROR(__xludf.DUMMYFUNCTION("""COMPUTED_VALUE"""),45324)</f>
        <v>45324</v>
      </c>
      <c r="M824" s="18">
        <f ca="1">IFERROR(__xludf.DUMMYFUNCTION("""COMPUTED_VALUE"""),45324)</f>
        <v>45324</v>
      </c>
      <c r="N824" s="5" t="str">
        <f ca="1">IFERROR(__xludf.DUMMYFUNCTION("""COMPUTED_VALUE"""),"Christian Camilo Ramirez Rendón")</f>
        <v>Christian Camilo Ramirez Rendón</v>
      </c>
      <c r="O824" s="2">
        <f ca="1">IFERROR(__xludf.DUMMYFUNCTION("""COMPUTED_VALUE"""),0.00625)</f>
        <v>6.2500000000000003E-3</v>
      </c>
      <c r="P824" s="5"/>
      <c r="Q824" s="5" t="str">
        <f ca="1">IFERROR(__xludf.DUMMYFUNCTION("""COMPUTED_VALUE"""),"QPruY3JtZ4Y")</f>
        <v>QPruY3JtZ4Y</v>
      </c>
      <c r="R824" s="5">
        <f ca="1">IFERROR(__xludf.DUMMYFUNCTION("""COMPUTED_VALUE"""),410)</f>
        <v>410</v>
      </c>
      <c r="S824" s="62">
        <f ca="1">IFERROR(__xludf.DUMMYFUNCTION("""COMPUTED_VALUE"""),0.00625)</f>
        <v>6.2500000000000003E-3</v>
      </c>
      <c r="T824" s="63" t="str">
        <f ca="1">IFERROR(__xludf.DUMMYFUNCTION("""COMPUTED_VALUE"""),"https://storage.googleapis.com/glide-prod.appspot.com/uploads-v2/ly7o78grxPaC6KdgvbpS/pub/3aRdSog0vUtuqPE8AJKD.png")</f>
        <v>https://storage.googleapis.com/glide-prod.appspot.com/uploads-v2/ly7o78grxPaC6KdgvbpS/pub/3aRdSog0vUtuqPE8AJKD.png</v>
      </c>
      <c r="U824" s="5" t="str">
        <f ca="1">IFERROR(__xludf.DUMMYFUNCTION("""COMPUTED_VALUE"""),"LINEA DE PRODUCCION DE BOTELLONES DE 20LLENADORA DE BOTELLONES Y TAPONADORA")</f>
        <v>LINEA DE PRODUCCION DE BOTELLONES DE 20LLENADORA DE BOTELLONES Y TAPONADORA</v>
      </c>
      <c r="V824" s="5"/>
      <c r="W824" s="5" t="b">
        <f ca="1">IFERROR(__xludf.DUMMYFUNCTION("""COMPUTED_VALUE"""),TRUE)</f>
        <v>1</v>
      </c>
      <c r="X824" s="5" t="str">
        <f ca="1">IFERROR(__xludf.DUMMYFUNCTION("""COMPUTED_VALUE"""),"achavezi@postobon.com.co,aprmttoyu@postobon.com.co,aprmyu@postobon.com.co,wmora@postobon.com.co,efzapata@postobon.com.co")</f>
        <v>achavezi@postobon.com.co,aprmttoyu@postobon.com.co,aprmyu@postobon.com.co,wmora@postobon.com.co,efzapata@postobon.com.co</v>
      </c>
      <c r="Y824" s="5" t="str">
        <f ca="1">IFERROR(__xludf.DUMMYFUNCTION("""COMPUTED_VALUE"""),"achavezi@postobon.com.co")</f>
        <v>achavezi@postobon.com.co</v>
      </c>
      <c r="Z824" s="5" t="str">
        <f ca="1">IFERROR(__xludf.DUMMYFUNCTION("""COMPUTED_VALUE"""),"Pum-bVw9RVe3qfd3yPzLdQ")</f>
        <v>Pum-bVw9RVe3qfd3yPzLdQ</v>
      </c>
      <c r="AA824" s="5"/>
      <c r="AB824" s="5"/>
      <c r="AC824" s="5"/>
      <c r="AD824" s="5">
        <f ca="1">IFERROR(__xludf.DUMMYFUNCTION("""COMPUTED_VALUE"""),67)</f>
        <v>67</v>
      </c>
      <c r="AE824" s="5">
        <f ca="1">IFERROR(__xludf.DUMMYFUNCTION("""COMPUTED_VALUE"""),67)</f>
        <v>67</v>
      </c>
      <c r="AF824" s="5" t="b">
        <f ca="1">IFERROR(__xludf.DUMMYFUNCTION("""COMPUTED_VALUE"""),FALSE)</f>
        <v>0</v>
      </c>
      <c r="AG824" s="5" t="str">
        <f ca="1">IFERROR(__xludf.DUMMYFUNCTION("""COMPUTED_VALUE"""),"INSPECCIONES REALIZADAS")</f>
        <v>INSPECCIONES REALIZADAS</v>
      </c>
      <c r="AH824" s="5"/>
    </row>
    <row r="825" spans="1:34">
      <c r="A825" s="5" t="str">
        <f ca="1">IFERROR(__xludf.DUMMYFUNCTION("""COMPUTED_VALUE"""),"LINEA DE PRODUCCION DE BOTELLONES DE 20")</f>
        <v>LINEA DE PRODUCCION DE BOTELLONES DE 20</v>
      </c>
      <c r="B825" s="5">
        <f ca="1">IFERROR(__xludf.DUMMYFUNCTION("""COMPUTED_VALUE"""),719511)</f>
        <v>719511</v>
      </c>
      <c r="C825" s="5" t="str">
        <f ca="1">IFERROR(__xludf.DUMMYFUNCTION("""COMPUTED_VALUE"""),"LLENADORA DE BOTELLONES Y TAPONADORA")</f>
        <v>LLENADORA DE BOTELLONES Y TAPONADORA</v>
      </c>
      <c r="D825" s="5">
        <f ca="1">IFERROR(__xludf.DUMMYFUNCTION("""COMPUTED_VALUE"""),13247683)</f>
        <v>13247683</v>
      </c>
      <c r="E825" s="5" t="str">
        <f ca="1">IFERROR(__xludf.DUMMYFUNCTION("""COMPUTED_VALUE"""),"INSPECCION SEMANAL LLENADORA DE BOTELLON")</f>
        <v>INSPECCION SEMANAL LLENADORA DE BOTELLON</v>
      </c>
      <c r="F825" s="5" t="str">
        <f ca="1">IFERROR(__xludf.DUMMYFUNCTION("""COMPUTED_VALUE"""),"ESTADO MOTORES")</f>
        <v>ESTADO MOTORES</v>
      </c>
      <c r="G825" s="5" t="b">
        <f ca="1">IFERROR(__xludf.DUMMYFUNCTION("""COMPUTED_VALUE"""),TRUE)</f>
        <v>1</v>
      </c>
      <c r="H825" s="5"/>
      <c r="I825" s="5"/>
      <c r="J825" s="5"/>
      <c r="K825" s="5"/>
      <c r="L825" s="18">
        <f ca="1">IFERROR(__xludf.DUMMYFUNCTION("""COMPUTED_VALUE"""),45324)</f>
        <v>45324</v>
      </c>
      <c r="M825" s="18">
        <f ca="1">IFERROR(__xludf.DUMMYFUNCTION("""COMPUTED_VALUE"""),45324)</f>
        <v>45324</v>
      </c>
      <c r="N825" s="5" t="str">
        <f ca="1">IFERROR(__xludf.DUMMYFUNCTION("""COMPUTED_VALUE"""),"Christian Camilo Ramirez Rendón")</f>
        <v>Christian Camilo Ramirez Rendón</v>
      </c>
      <c r="O825" s="2">
        <f ca="1">IFERROR(__xludf.DUMMYFUNCTION("""COMPUTED_VALUE"""),0.00625)</f>
        <v>6.2500000000000003E-3</v>
      </c>
      <c r="P825" s="5"/>
      <c r="Q825" s="5" t="str">
        <f ca="1">IFERROR(__xludf.DUMMYFUNCTION("""COMPUTED_VALUE"""),"tJaapbvK0pE")</f>
        <v>tJaapbvK0pE</v>
      </c>
      <c r="R825" s="5">
        <f ca="1">IFERROR(__xludf.DUMMYFUNCTION("""COMPUTED_VALUE"""),410)</f>
        <v>410</v>
      </c>
      <c r="S825" s="62">
        <f ca="1">IFERROR(__xludf.DUMMYFUNCTION("""COMPUTED_VALUE"""),0.00625)</f>
        <v>6.2500000000000003E-3</v>
      </c>
      <c r="T825" s="63" t="str">
        <f ca="1">IFERROR(__xludf.DUMMYFUNCTION("""COMPUTED_VALUE"""),"https://storage.googleapis.com/glide-prod.appspot.com/uploads-v2/ly7o78grxPaC6KdgvbpS/pub/3aRdSog0vUtuqPE8AJKD.png")</f>
        <v>https://storage.googleapis.com/glide-prod.appspot.com/uploads-v2/ly7o78grxPaC6KdgvbpS/pub/3aRdSog0vUtuqPE8AJKD.png</v>
      </c>
      <c r="U825" s="5" t="str">
        <f ca="1">IFERROR(__xludf.DUMMYFUNCTION("""COMPUTED_VALUE"""),"LINEA DE PRODUCCION DE BOTELLONES DE 20LLENADORA DE BOTELLONES Y TAPONADORA")</f>
        <v>LINEA DE PRODUCCION DE BOTELLONES DE 20LLENADORA DE BOTELLONES Y TAPONADORA</v>
      </c>
      <c r="V825" s="5"/>
      <c r="W825" s="5" t="b">
        <f ca="1">IFERROR(__xludf.DUMMYFUNCTION("""COMPUTED_VALUE"""),TRUE)</f>
        <v>1</v>
      </c>
      <c r="X825" s="5" t="str">
        <f ca="1">IFERROR(__xludf.DUMMYFUNCTION("""COMPUTED_VALUE"""),"achavezi@postobon.com.co,aprmttoyu@postobon.com.co,aprmyu@postobon.com.co,wmora@postobon.com.co,efzapata@postobon.com.co")</f>
        <v>achavezi@postobon.com.co,aprmttoyu@postobon.com.co,aprmyu@postobon.com.co,wmora@postobon.com.co,efzapata@postobon.com.co</v>
      </c>
      <c r="Y825" s="5" t="str">
        <f ca="1">IFERROR(__xludf.DUMMYFUNCTION("""COMPUTED_VALUE"""),"achavezi@postobon.com.co")</f>
        <v>achavezi@postobon.com.co</v>
      </c>
      <c r="Z825" s="5" t="str">
        <f ca="1">IFERROR(__xludf.DUMMYFUNCTION("""COMPUTED_VALUE"""),"9q6BiA9TRrqtwz8FAhWdHw")</f>
        <v>9q6BiA9TRrqtwz8FAhWdHw</v>
      </c>
      <c r="AA825" s="5"/>
      <c r="AB825" s="5"/>
      <c r="AC825" s="5"/>
      <c r="AD825" s="5">
        <f ca="1">IFERROR(__xludf.DUMMYFUNCTION("""COMPUTED_VALUE"""),67)</f>
        <v>67</v>
      </c>
      <c r="AE825" s="5">
        <f ca="1">IFERROR(__xludf.DUMMYFUNCTION("""COMPUTED_VALUE"""),67)</f>
        <v>67</v>
      </c>
      <c r="AF825" s="5" t="b">
        <f ca="1">IFERROR(__xludf.DUMMYFUNCTION("""COMPUTED_VALUE"""),FALSE)</f>
        <v>0</v>
      </c>
      <c r="AG825" s="5" t="str">
        <f ca="1">IFERROR(__xludf.DUMMYFUNCTION("""COMPUTED_VALUE"""),"INSPECCIONES REALIZADAS")</f>
        <v>INSPECCIONES REALIZADAS</v>
      </c>
      <c r="AH825" s="5"/>
    </row>
    <row r="826" spans="1:34">
      <c r="A826" s="5" t="str">
        <f ca="1">IFERROR(__xludf.DUMMYFUNCTION("""COMPUTED_VALUE"""),"LINEA DE PRODUCCION DE BOTELLONES DE 20")</f>
        <v>LINEA DE PRODUCCION DE BOTELLONES DE 20</v>
      </c>
      <c r="B826" s="5">
        <f ca="1">IFERROR(__xludf.DUMMYFUNCTION("""COMPUTED_VALUE"""),719511)</f>
        <v>719511</v>
      </c>
      <c r="C826" s="5" t="str">
        <f ca="1">IFERROR(__xludf.DUMMYFUNCTION("""COMPUTED_VALUE"""),"LLENADORA DE BOTELLONES Y TAPONADORA")</f>
        <v>LLENADORA DE BOTELLONES Y TAPONADORA</v>
      </c>
      <c r="D826" s="5">
        <f ca="1">IFERROR(__xludf.DUMMYFUNCTION("""COMPUTED_VALUE"""),13247683)</f>
        <v>13247683</v>
      </c>
      <c r="E826" s="5" t="str">
        <f ca="1">IFERROR(__xludf.DUMMYFUNCTION("""COMPUTED_VALUE"""),"INSPECCION SEMANAL LLENADORA DE BOTELLON")</f>
        <v>INSPECCION SEMANAL LLENADORA DE BOTELLON</v>
      </c>
      <c r="F826" s="5" t="str">
        <f ca="1">IFERROR(__xludf.DUMMYFUNCTION("""COMPUTED_VALUE"""),"ESTADO MANGUERAS LLENADO")</f>
        <v>ESTADO MANGUERAS LLENADO</v>
      </c>
      <c r="G826" s="5" t="b">
        <f ca="1">IFERROR(__xludf.DUMMYFUNCTION("""COMPUTED_VALUE"""),TRUE)</f>
        <v>1</v>
      </c>
      <c r="H826" s="5"/>
      <c r="I826" s="5"/>
      <c r="J826" s="5"/>
      <c r="K826" s="5"/>
      <c r="L826" s="18">
        <f ca="1">IFERROR(__xludf.DUMMYFUNCTION("""COMPUTED_VALUE"""),45324)</f>
        <v>45324</v>
      </c>
      <c r="M826" s="18">
        <f ca="1">IFERROR(__xludf.DUMMYFUNCTION("""COMPUTED_VALUE"""),45324)</f>
        <v>45324</v>
      </c>
      <c r="N826" s="5" t="str">
        <f ca="1">IFERROR(__xludf.DUMMYFUNCTION("""COMPUTED_VALUE"""),"Christian Camilo Ramirez Rendón")</f>
        <v>Christian Camilo Ramirez Rendón</v>
      </c>
      <c r="O826" s="2">
        <f ca="1">IFERROR(__xludf.DUMMYFUNCTION("""COMPUTED_VALUE"""),0.00625)</f>
        <v>6.2500000000000003E-3</v>
      </c>
      <c r="P826" s="5"/>
      <c r="Q826" s="5" t="str">
        <f ca="1">IFERROR(__xludf.DUMMYFUNCTION("""COMPUTED_VALUE"""),"qRbdPAo6vJ0")</f>
        <v>qRbdPAo6vJ0</v>
      </c>
      <c r="R826" s="5">
        <f ca="1">IFERROR(__xludf.DUMMYFUNCTION("""COMPUTED_VALUE"""),410)</f>
        <v>410</v>
      </c>
      <c r="S826" s="62">
        <f ca="1">IFERROR(__xludf.DUMMYFUNCTION("""COMPUTED_VALUE"""),0.00625)</f>
        <v>6.2500000000000003E-3</v>
      </c>
      <c r="T826" s="63" t="str">
        <f ca="1">IFERROR(__xludf.DUMMYFUNCTION("""COMPUTED_VALUE"""),"https://storage.googleapis.com/glide-prod.appspot.com/uploads-v2/ly7o78grxPaC6KdgvbpS/pub/3aRdSog0vUtuqPE8AJKD.png")</f>
        <v>https://storage.googleapis.com/glide-prod.appspot.com/uploads-v2/ly7o78grxPaC6KdgvbpS/pub/3aRdSog0vUtuqPE8AJKD.png</v>
      </c>
      <c r="U826" s="5" t="str">
        <f ca="1">IFERROR(__xludf.DUMMYFUNCTION("""COMPUTED_VALUE"""),"LINEA DE PRODUCCION DE BOTELLONES DE 20LLENADORA DE BOTELLONES Y TAPONADORA")</f>
        <v>LINEA DE PRODUCCION DE BOTELLONES DE 20LLENADORA DE BOTELLONES Y TAPONADORA</v>
      </c>
      <c r="V826" s="5"/>
      <c r="W826" s="5" t="b">
        <f ca="1">IFERROR(__xludf.DUMMYFUNCTION("""COMPUTED_VALUE"""),TRUE)</f>
        <v>1</v>
      </c>
      <c r="X826" s="5" t="str">
        <f ca="1">IFERROR(__xludf.DUMMYFUNCTION("""COMPUTED_VALUE"""),"achavezi@postobon.com.co,aprmttoyu@postobon.com.co,aprmyu@postobon.com.co,wmora@postobon.com.co,efzapata@postobon.com.co")</f>
        <v>achavezi@postobon.com.co,aprmttoyu@postobon.com.co,aprmyu@postobon.com.co,wmora@postobon.com.co,efzapata@postobon.com.co</v>
      </c>
      <c r="Y826" s="5" t="str">
        <f ca="1">IFERROR(__xludf.DUMMYFUNCTION("""COMPUTED_VALUE"""),"achavezi@postobon.com.co")</f>
        <v>achavezi@postobon.com.co</v>
      </c>
      <c r="Z826" s="5" t="str">
        <f ca="1">IFERROR(__xludf.DUMMYFUNCTION("""COMPUTED_VALUE"""),"2WAyRN-2RZaNjIRFgaj-Qg")</f>
        <v>2WAyRN-2RZaNjIRFgaj-Qg</v>
      </c>
      <c r="AA826" s="5"/>
      <c r="AB826" s="5"/>
      <c r="AC826" s="5"/>
      <c r="AD826" s="5">
        <f ca="1">IFERROR(__xludf.DUMMYFUNCTION("""COMPUTED_VALUE"""),67)</f>
        <v>67</v>
      </c>
      <c r="AE826" s="5">
        <f ca="1">IFERROR(__xludf.DUMMYFUNCTION("""COMPUTED_VALUE"""),67)</f>
        <v>67</v>
      </c>
      <c r="AF826" s="5" t="b">
        <f ca="1">IFERROR(__xludf.DUMMYFUNCTION("""COMPUTED_VALUE"""),FALSE)</f>
        <v>0</v>
      </c>
      <c r="AG826" s="5" t="str">
        <f ca="1">IFERROR(__xludf.DUMMYFUNCTION("""COMPUTED_VALUE"""),"INSPECCIONES REALIZADAS")</f>
        <v>INSPECCIONES REALIZADAS</v>
      </c>
      <c r="AH826" s="5"/>
    </row>
    <row r="827" spans="1:34">
      <c r="A827" s="5" t="str">
        <f ca="1">IFERROR(__xludf.DUMMYFUNCTION("""COMPUTED_VALUE"""),"LINEA DE PRODUCCION DE BOTELLONES DE 20")</f>
        <v>LINEA DE PRODUCCION DE BOTELLONES DE 20</v>
      </c>
      <c r="B827" s="5">
        <f ca="1">IFERROR(__xludf.DUMMYFUNCTION("""COMPUTED_VALUE"""),719511)</f>
        <v>719511</v>
      </c>
      <c r="C827" s="5" t="str">
        <f ca="1">IFERROR(__xludf.DUMMYFUNCTION("""COMPUTED_VALUE"""),"LLENADORA DE BOTELLONES Y TAPONADORA")</f>
        <v>LLENADORA DE BOTELLONES Y TAPONADORA</v>
      </c>
      <c r="D827" s="5">
        <f ca="1">IFERROR(__xludf.DUMMYFUNCTION("""COMPUTED_VALUE"""),13247683)</f>
        <v>13247683</v>
      </c>
      <c r="E827" s="5" t="str">
        <f ca="1">IFERROR(__xludf.DUMMYFUNCTION("""COMPUTED_VALUE"""),"INSPECCION SEMANAL LLENADORA DE BOTELLON")</f>
        <v>INSPECCION SEMANAL LLENADORA DE BOTELLON</v>
      </c>
      <c r="F827" s="5" t="str">
        <f ca="1">IFERROR(__xludf.DUMMYFUNCTION("""COMPUTED_VALUE"""),"INSP FUGAS AGUA")</f>
        <v>INSP FUGAS AGUA</v>
      </c>
      <c r="G827" s="5" t="b">
        <f ca="1">IFERROR(__xludf.DUMMYFUNCTION("""COMPUTED_VALUE"""),TRUE)</f>
        <v>1</v>
      </c>
      <c r="H827" s="5"/>
      <c r="I827" s="5"/>
      <c r="J827" s="5"/>
      <c r="K827" s="5"/>
      <c r="L827" s="18">
        <f ca="1">IFERROR(__xludf.DUMMYFUNCTION("""COMPUTED_VALUE"""),45324)</f>
        <v>45324</v>
      </c>
      <c r="M827" s="18">
        <f ca="1">IFERROR(__xludf.DUMMYFUNCTION("""COMPUTED_VALUE"""),45324)</f>
        <v>45324</v>
      </c>
      <c r="N827" s="5" t="str">
        <f ca="1">IFERROR(__xludf.DUMMYFUNCTION("""COMPUTED_VALUE"""),"Christian Camilo Ramirez Rendón")</f>
        <v>Christian Camilo Ramirez Rendón</v>
      </c>
      <c r="O827" s="2">
        <f ca="1">IFERROR(__xludf.DUMMYFUNCTION("""COMPUTED_VALUE"""),0.00625)</f>
        <v>6.2500000000000003E-3</v>
      </c>
      <c r="P827" s="5"/>
      <c r="Q827" s="5" t="str">
        <f ca="1">IFERROR(__xludf.DUMMYFUNCTION("""COMPUTED_VALUE"""),"RxR29raex74")</f>
        <v>RxR29raex74</v>
      </c>
      <c r="R827" s="5">
        <f ca="1">IFERROR(__xludf.DUMMYFUNCTION("""COMPUTED_VALUE"""),410)</f>
        <v>410</v>
      </c>
      <c r="S827" s="62">
        <f ca="1">IFERROR(__xludf.DUMMYFUNCTION("""COMPUTED_VALUE"""),0.00625)</f>
        <v>6.2500000000000003E-3</v>
      </c>
      <c r="T827" s="63" t="str">
        <f ca="1">IFERROR(__xludf.DUMMYFUNCTION("""COMPUTED_VALUE"""),"https://storage.googleapis.com/glide-prod.appspot.com/uploads-v2/ly7o78grxPaC6KdgvbpS/pub/3aRdSog0vUtuqPE8AJKD.png")</f>
        <v>https://storage.googleapis.com/glide-prod.appspot.com/uploads-v2/ly7o78grxPaC6KdgvbpS/pub/3aRdSog0vUtuqPE8AJKD.png</v>
      </c>
      <c r="U827" s="5" t="str">
        <f ca="1">IFERROR(__xludf.DUMMYFUNCTION("""COMPUTED_VALUE"""),"LINEA DE PRODUCCION DE BOTELLONES DE 20LLENADORA DE BOTELLONES Y TAPONADORA")</f>
        <v>LINEA DE PRODUCCION DE BOTELLONES DE 20LLENADORA DE BOTELLONES Y TAPONADORA</v>
      </c>
      <c r="V827" s="5"/>
      <c r="W827" s="5" t="b">
        <f ca="1">IFERROR(__xludf.DUMMYFUNCTION("""COMPUTED_VALUE"""),TRUE)</f>
        <v>1</v>
      </c>
      <c r="X827" s="5" t="str">
        <f ca="1">IFERROR(__xludf.DUMMYFUNCTION("""COMPUTED_VALUE"""),"achavezi@postobon.com.co,aprmttoyu@postobon.com.co,aprmyu@postobon.com.co,wmora@postobon.com.co,efzapata@postobon.com.co")</f>
        <v>achavezi@postobon.com.co,aprmttoyu@postobon.com.co,aprmyu@postobon.com.co,wmora@postobon.com.co,efzapata@postobon.com.co</v>
      </c>
      <c r="Y827" s="5" t="str">
        <f ca="1">IFERROR(__xludf.DUMMYFUNCTION("""COMPUTED_VALUE"""),"achavezi@postobon.com.co")</f>
        <v>achavezi@postobon.com.co</v>
      </c>
      <c r="Z827" s="5" t="str">
        <f ca="1">IFERROR(__xludf.DUMMYFUNCTION("""COMPUTED_VALUE"""),"lhrzrXCuR.-mRsjxL.FsQg")</f>
        <v>lhrzrXCuR.-mRsjxL.FsQg</v>
      </c>
      <c r="AA827" s="5"/>
      <c r="AB827" s="5"/>
      <c r="AC827" s="5"/>
      <c r="AD827" s="5">
        <f ca="1">IFERROR(__xludf.DUMMYFUNCTION("""COMPUTED_VALUE"""),67)</f>
        <v>67</v>
      </c>
      <c r="AE827" s="5">
        <f ca="1">IFERROR(__xludf.DUMMYFUNCTION("""COMPUTED_VALUE"""),67)</f>
        <v>67</v>
      </c>
      <c r="AF827" s="5" t="b">
        <f ca="1">IFERROR(__xludf.DUMMYFUNCTION("""COMPUTED_VALUE"""),FALSE)</f>
        <v>0</v>
      </c>
      <c r="AG827" s="5" t="str">
        <f ca="1">IFERROR(__xludf.DUMMYFUNCTION("""COMPUTED_VALUE"""),"INSPECCIONES REALIZADAS")</f>
        <v>INSPECCIONES REALIZADAS</v>
      </c>
      <c r="AH827" s="5"/>
    </row>
    <row r="828" spans="1:34">
      <c r="A828" s="5" t="str">
        <f ca="1">IFERROR(__xludf.DUMMYFUNCTION("""COMPUTED_VALUE"""),"LINEA DE PRODUCCION DE BOTELLONES DE 20")</f>
        <v>LINEA DE PRODUCCION DE BOTELLONES DE 20</v>
      </c>
      <c r="B828" s="5">
        <f ca="1">IFERROR(__xludf.DUMMYFUNCTION("""COMPUTED_VALUE"""),719511)</f>
        <v>719511</v>
      </c>
      <c r="C828" s="5" t="str">
        <f ca="1">IFERROR(__xludf.DUMMYFUNCTION("""COMPUTED_VALUE"""),"LLENADORA DE BOTELLONES Y TAPONADORA")</f>
        <v>LLENADORA DE BOTELLONES Y TAPONADORA</v>
      </c>
      <c r="D828" s="5">
        <f ca="1">IFERROR(__xludf.DUMMYFUNCTION("""COMPUTED_VALUE"""),13247683)</f>
        <v>13247683</v>
      </c>
      <c r="E828" s="5" t="str">
        <f ca="1">IFERROR(__xludf.DUMMYFUNCTION("""COMPUTED_VALUE"""),"INSPECCION SEMANAL LLENADORA DE BOTELLON")</f>
        <v>INSPECCION SEMANAL LLENADORA DE BOTELLON</v>
      </c>
      <c r="F828" s="5" t="str">
        <f ca="1">IFERROR(__xludf.DUMMYFUNCTION("""COMPUTED_VALUE"""),"FUNC SISTEMA NEUMATICO(CILINDROS)")</f>
        <v>FUNC SISTEMA NEUMATICO(CILINDROS)</v>
      </c>
      <c r="G828" s="5" t="b">
        <f ca="1">IFERROR(__xludf.DUMMYFUNCTION("""COMPUTED_VALUE"""),TRUE)</f>
        <v>1</v>
      </c>
      <c r="H828" s="5"/>
      <c r="I828" s="5"/>
      <c r="J828" s="5"/>
      <c r="K828" s="5"/>
      <c r="L828" s="18">
        <f ca="1">IFERROR(__xludf.DUMMYFUNCTION("""COMPUTED_VALUE"""),45324)</f>
        <v>45324</v>
      </c>
      <c r="M828" s="18">
        <f ca="1">IFERROR(__xludf.DUMMYFUNCTION("""COMPUTED_VALUE"""),45324)</f>
        <v>45324</v>
      </c>
      <c r="N828" s="5" t="str">
        <f ca="1">IFERROR(__xludf.DUMMYFUNCTION("""COMPUTED_VALUE"""),"Christian Camilo Ramirez Rendón")</f>
        <v>Christian Camilo Ramirez Rendón</v>
      </c>
      <c r="O828" s="2">
        <f ca="1">IFERROR(__xludf.DUMMYFUNCTION("""COMPUTED_VALUE"""),0.00625)</f>
        <v>6.2500000000000003E-3</v>
      </c>
      <c r="P828" s="5"/>
      <c r="Q828" s="5" t="str">
        <f ca="1">IFERROR(__xludf.DUMMYFUNCTION("""COMPUTED_VALUE"""),"DO73qltLKtM")</f>
        <v>DO73qltLKtM</v>
      </c>
      <c r="R828" s="5">
        <f ca="1">IFERROR(__xludf.DUMMYFUNCTION("""COMPUTED_VALUE"""),410)</f>
        <v>410</v>
      </c>
      <c r="S828" s="62">
        <f ca="1">IFERROR(__xludf.DUMMYFUNCTION("""COMPUTED_VALUE"""),0.00625)</f>
        <v>6.2500000000000003E-3</v>
      </c>
      <c r="T828" s="63" t="str">
        <f ca="1">IFERROR(__xludf.DUMMYFUNCTION("""COMPUTED_VALUE"""),"https://storage.googleapis.com/glide-prod.appspot.com/uploads-v2/ly7o78grxPaC6KdgvbpS/pub/3aRdSog0vUtuqPE8AJKD.png")</f>
        <v>https://storage.googleapis.com/glide-prod.appspot.com/uploads-v2/ly7o78grxPaC6KdgvbpS/pub/3aRdSog0vUtuqPE8AJKD.png</v>
      </c>
      <c r="U828" s="5" t="str">
        <f ca="1">IFERROR(__xludf.DUMMYFUNCTION("""COMPUTED_VALUE"""),"LINEA DE PRODUCCION DE BOTELLONES DE 20LLENADORA DE BOTELLONES Y TAPONADORA")</f>
        <v>LINEA DE PRODUCCION DE BOTELLONES DE 20LLENADORA DE BOTELLONES Y TAPONADORA</v>
      </c>
      <c r="V828" s="5"/>
      <c r="W828" s="5" t="b">
        <f ca="1">IFERROR(__xludf.DUMMYFUNCTION("""COMPUTED_VALUE"""),TRUE)</f>
        <v>1</v>
      </c>
      <c r="X828" s="5" t="str">
        <f ca="1">IFERROR(__xludf.DUMMYFUNCTION("""COMPUTED_VALUE"""),"achavezi@postobon.com.co,aprmttoyu@postobon.com.co,aprmyu@postobon.com.co,wmora@postobon.com.co,efzapata@postobon.com.co")</f>
        <v>achavezi@postobon.com.co,aprmttoyu@postobon.com.co,aprmyu@postobon.com.co,wmora@postobon.com.co,efzapata@postobon.com.co</v>
      </c>
      <c r="Y828" s="5" t="str">
        <f ca="1">IFERROR(__xludf.DUMMYFUNCTION("""COMPUTED_VALUE"""),"achavezi@postobon.com.co")</f>
        <v>achavezi@postobon.com.co</v>
      </c>
      <c r="Z828" s="5" t="str">
        <f ca="1">IFERROR(__xludf.DUMMYFUNCTION("""COMPUTED_VALUE"""),"DKr9A-V8RuW7I-t4wu089A")</f>
        <v>DKr9A-V8RuW7I-t4wu089A</v>
      </c>
      <c r="AA828" s="5"/>
      <c r="AB828" s="5"/>
      <c r="AC828" s="5"/>
      <c r="AD828" s="5">
        <f ca="1">IFERROR(__xludf.DUMMYFUNCTION("""COMPUTED_VALUE"""),67)</f>
        <v>67</v>
      </c>
      <c r="AE828" s="5">
        <f ca="1">IFERROR(__xludf.DUMMYFUNCTION("""COMPUTED_VALUE"""),67)</f>
        <v>67</v>
      </c>
      <c r="AF828" s="5" t="b">
        <f ca="1">IFERROR(__xludf.DUMMYFUNCTION("""COMPUTED_VALUE"""),FALSE)</f>
        <v>0</v>
      </c>
      <c r="AG828" s="5" t="str">
        <f ca="1">IFERROR(__xludf.DUMMYFUNCTION("""COMPUTED_VALUE"""),"INSPECCIONES REALIZADAS")</f>
        <v>INSPECCIONES REALIZADAS</v>
      </c>
      <c r="AH828" s="5"/>
    </row>
    <row r="829" spans="1:34">
      <c r="A829" s="5" t="str">
        <f ca="1">IFERROR(__xludf.DUMMYFUNCTION("""COMPUTED_VALUE"""),"LINEA DE PRODUCCION DE BOTELLONES DE 20")</f>
        <v>LINEA DE PRODUCCION DE BOTELLONES DE 20</v>
      </c>
      <c r="B829" s="5">
        <f ca="1">IFERROR(__xludf.DUMMYFUNCTION("""COMPUTED_VALUE"""),719511)</f>
        <v>719511</v>
      </c>
      <c r="C829" s="5" t="str">
        <f ca="1">IFERROR(__xludf.DUMMYFUNCTION("""COMPUTED_VALUE"""),"LLENADORA DE BOTELLONES Y TAPONADORA")</f>
        <v>LLENADORA DE BOTELLONES Y TAPONADORA</v>
      </c>
      <c r="D829" s="5">
        <f ca="1">IFERROR(__xludf.DUMMYFUNCTION("""COMPUTED_VALUE"""),13247683)</f>
        <v>13247683</v>
      </c>
      <c r="E829" s="5" t="str">
        <f ca="1">IFERROR(__xludf.DUMMYFUNCTION("""COMPUTED_VALUE"""),"INSPECCION SEMANAL LLENADORA DE BOTELLON")</f>
        <v>INSPECCION SEMANAL LLENADORA DE BOTELLON</v>
      </c>
      <c r="F829" s="5" t="str">
        <f ca="1">IFERROR(__xludf.DUMMYFUNCTION("""COMPUTED_VALUE"""),"FRENO ENTRADA BOTELLON")</f>
        <v>FRENO ENTRADA BOTELLON</v>
      </c>
      <c r="G829" s="5" t="b">
        <f ca="1">IFERROR(__xludf.DUMMYFUNCTION("""COMPUTED_VALUE"""),TRUE)</f>
        <v>1</v>
      </c>
      <c r="H829" s="5"/>
      <c r="I829" s="5"/>
      <c r="J829" s="5"/>
      <c r="K829" s="5"/>
      <c r="L829" s="18">
        <f ca="1">IFERROR(__xludf.DUMMYFUNCTION("""COMPUTED_VALUE"""),45324)</f>
        <v>45324</v>
      </c>
      <c r="M829" s="18">
        <f ca="1">IFERROR(__xludf.DUMMYFUNCTION("""COMPUTED_VALUE"""),45324)</f>
        <v>45324</v>
      </c>
      <c r="N829" s="5" t="str">
        <f ca="1">IFERROR(__xludf.DUMMYFUNCTION("""COMPUTED_VALUE"""),"Christian Camilo Ramirez Rendón")</f>
        <v>Christian Camilo Ramirez Rendón</v>
      </c>
      <c r="O829" s="2">
        <f ca="1">IFERROR(__xludf.DUMMYFUNCTION("""COMPUTED_VALUE"""),0.00625)</f>
        <v>6.2500000000000003E-3</v>
      </c>
      <c r="P829" s="5"/>
      <c r="Q829" s="5" t="str">
        <f ca="1">IFERROR(__xludf.DUMMYFUNCTION("""COMPUTED_VALUE"""),"-UBauyRficM")</f>
        <v>-UBauyRficM</v>
      </c>
      <c r="R829" s="5">
        <f ca="1">IFERROR(__xludf.DUMMYFUNCTION("""COMPUTED_VALUE"""),410)</f>
        <v>410</v>
      </c>
      <c r="S829" s="62">
        <f ca="1">IFERROR(__xludf.DUMMYFUNCTION("""COMPUTED_VALUE"""),0.00625)</f>
        <v>6.2500000000000003E-3</v>
      </c>
      <c r="T829" s="63" t="str">
        <f ca="1">IFERROR(__xludf.DUMMYFUNCTION("""COMPUTED_VALUE"""),"https://storage.googleapis.com/glide-prod.appspot.com/uploads-v2/ly7o78grxPaC6KdgvbpS/pub/3aRdSog0vUtuqPE8AJKD.png")</f>
        <v>https://storage.googleapis.com/glide-prod.appspot.com/uploads-v2/ly7o78grxPaC6KdgvbpS/pub/3aRdSog0vUtuqPE8AJKD.png</v>
      </c>
      <c r="U829" s="5" t="str">
        <f ca="1">IFERROR(__xludf.DUMMYFUNCTION("""COMPUTED_VALUE"""),"LINEA DE PRODUCCION DE BOTELLONES DE 20LLENADORA DE BOTELLONES Y TAPONADORA")</f>
        <v>LINEA DE PRODUCCION DE BOTELLONES DE 20LLENADORA DE BOTELLONES Y TAPONADORA</v>
      </c>
      <c r="V829" s="5"/>
      <c r="W829" s="5" t="b">
        <f ca="1">IFERROR(__xludf.DUMMYFUNCTION("""COMPUTED_VALUE"""),TRUE)</f>
        <v>1</v>
      </c>
      <c r="X829" s="5" t="str">
        <f ca="1">IFERROR(__xludf.DUMMYFUNCTION("""COMPUTED_VALUE"""),"achavezi@postobon.com.co,aprmttoyu@postobon.com.co,aprmyu@postobon.com.co,wmora@postobon.com.co,efzapata@postobon.com.co")</f>
        <v>achavezi@postobon.com.co,aprmttoyu@postobon.com.co,aprmyu@postobon.com.co,wmora@postobon.com.co,efzapata@postobon.com.co</v>
      </c>
      <c r="Y829" s="5" t="str">
        <f ca="1">IFERROR(__xludf.DUMMYFUNCTION("""COMPUTED_VALUE"""),"achavezi@postobon.com.co")</f>
        <v>achavezi@postobon.com.co</v>
      </c>
      <c r="Z829" s="5" t="str">
        <f ca="1">IFERROR(__xludf.DUMMYFUNCTION("""COMPUTED_VALUE"""),"a.OeF33GcQxeza2.rFww18A")</f>
        <v>a.OeF33GcQxeza2.rFww18A</v>
      </c>
      <c r="AA829" s="5"/>
      <c r="AB829" s="5"/>
      <c r="AC829" s="5"/>
      <c r="AD829" s="5">
        <f ca="1">IFERROR(__xludf.DUMMYFUNCTION("""COMPUTED_VALUE"""),67)</f>
        <v>67</v>
      </c>
      <c r="AE829" s="5">
        <f ca="1">IFERROR(__xludf.DUMMYFUNCTION("""COMPUTED_VALUE"""),67)</f>
        <v>67</v>
      </c>
      <c r="AF829" s="5" t="b">
        <f ca="1">IFERROR(__xludf.DUMMYFUNCTION("""COMPUTED_VALUE"""),FALSE)</f>
        <v>0</v>
      </c>
      <c r="AG829" s="5" t="str">
        <f ca="1">IFERROR(__xludf.DUMMYFUNCTION("""COMPUTED_VALUE"""),"INSPECCIONES REALIZADAS")</f>
        <v>INSPECCIONES REALIZADAS</v>
      </c>
      <c r="AH829" s="5"/>
    </row>
    <row r="830" spans="1:34">
      <c r="A830" s="5" t="str">
        <f ca="1">IFERROR(__xludf.DUMMYFUNCTION("""COMPUTED_VALUE"""),"LINEA DE PRODUCCION DE BOTELLONES DE 20")</f>
        <v>LINEA DE PRODUCCION DE BOTELLONES DE 20</v>
      </c>
      <c r="B830" s="5">
        <f ca="1">IFERROR(__xludf.DUMMYFUNCTION("""COMPUTED_VALUE"""),719511)</f>
        <v>719511</v>
      </c>
      <c r="C830" s="5" t="str">
        <f ca="1">IFERROR(__xludf.DUMMYFUNCTION("""COMPUTED_VALUE"""),"LLENADORA DE BOTELLONES Y TAPONADORA")</f>
        <v>LLENADORA DE BOTELLONES Y TAPONADORA</v>
      </c>
      <c r="D830" s="5">
        <f ca="1">IFERROR(__xludf.DUMMYFUNCTION("""COMPUTED_VALUE"""),13247683)</f>
        <v>13247683</v>
      </c>
      <c r="E830" s="5" t="str">
        <f ca="1">IFERROR(__xludf.DUMMYFUNCTION("""COMPUTED_VALUE"""),"INSPECCION SEMANAL LLENADORA DE BOTELLON")</f>
        <v>INSPECCION SEMANAL LLENADORA DE BOTELLON</v>
      </c>
      <c r="F830" s="5" t="str">
        <f ca="1">IFERROR(__xludf.DUMMYFUNCTION("""COMPUTED_VALUE"""),"FUNC. BOMBA DOSIFICACION")</f>
        <v>FUNC. BOMBA DOSIFICACION</v>
      </c>
      <c r="G830" s="5" t="b">
        <f ca="1">IFERROR(__xludf.DUMMYFUNCTION("""COMPUTED_VALUE"""),TRUE)</f>
        <v>1</v>
      </c>
      <c r="H830" s="5"/>
      <c r="I830" s="5"/>
      <c r="J830" s="5"/>
      <c r="K830" s="5"/>
      <c r="L830" s="18">
        <f ca="1">IFERROR(__xludf.DUMMYFUNCTION("""COMPUTED_VALUE"""),45324)</f>
        <v>45324</v>
      </c>
      <c r="M830" s="18">
        <f ca="1">IFERROR(__xludf.DUMMYFUNCTION("""COMPUTED_VALUE"""),45324)</f>
        <v>45324</v>
      </c>
      <c r="N830" s="5" t="str">
        <f ca="1">IFERROR(__xludf.DUMMYFUNCTION("""COMPUTED_VALUE"""),"Christian Camilo Ramirez Rendón")</f>
        <v>Christian Camilo Ramirez Rendón</v>
      </c>
      <c r="O830" s="2">
        <f ca="1">IFERROR(__xludf.DUMMYFUNCTION("""COMPUTED_VALUE"""),0.00625)</f>
        <v>6.2500000000000003E-3</v>
      </c>
      <c r="P830" s="5"/>
      <c r="Q830" s="5" t="str">
        <f ca="1">IFERROR(__xludf.DUMMYFUNCTION("""COMPUTED_VALUE"""),"hvkcEY2SNiY")</f>
        <v>hvkcEY2SNiY</v>
      </c>
      <c r="R830" s="5">
        <f ca="1">IFERROR(__xludf.DUMMYFUNCTION("""COMPUTED_VALUE"""),410)</f>
        <v>410</v>
      </c>
      <c r="S830" s="62">
        <f ca="1">IFERROR(__xludf.DUMMYFUNCTION("""COMPUTED_VALUE"""),0.00625)</f>
        <v>6.2500000000000003E-3</v>
      </c>
      <c r="T830" s="63" t="str">
        <f ca="1">IFERROR(__xludf.DUMMYFUNCTION("""COMPUTED_VALUE"""),"https://storage.googleapis.com/glide-prod.appspot.com/uploads-v2/ly7o78grxPaC6KdgvbpS/pub/3aRdSog0vUtuqPE8AJKD.png")</f>
        <v>https://storage.googleapis.com/glide-prod.appspot.com/uploads-v2/ly7o78grxPaC6KdgvbpS/pub/3aRdSog0vUtuqPE8AJKD.png</v>
      </c>
      <c r="U830" s="5" t="str">
        <f ca="1">IFERROR(__xludf.DUMMYFUNCTION("""COMPUTED_VALUE"""),"LINEA DE PRODUCCION DE BOTELLONES DE 20LLENADORA DE BOTELLONES Y TAPONADORA")</f>
        <v>LINEA DE PRODUCCION DE BOTELLONES DE 20LLENADORA DE BOTELLONES Y TAPONADORA</v>
      </c>
      <c r="V830" s="5"/>
      <c r="W830" s="5" t="b">
        <f ca="1">IFERROR(__xludf.DUMMYFUNCTION("""COMPUTED_VALUE"""),TRUE)</f>
        <v>1</v>
      </c>
      <c r="X830" s="5" t="str">
        <f ca="1">IFERROR(__xludf.DUMMYFUNCTION("""COMPUTED_VALUE"""),"achavezi@postobon.com.co,aprmttoyu@postobon.com.co,aprmyu@postobon.com.co,wmora@postobon.com.co,efzapata@postobon.com.co")</f>
        <v>achavezi@postobon.com.co,aprmttoyu@postobon.com.co,aprmyu@postobon.com.co,wmora@postobon.com.co,efzapata@postobon.com.co</v>
      </c>
      <c r="Y830" s="5" t="str">
        <f ca="1">IFERROR(__xludf.DUMMYFUNCTION("""COMPUTED_VALUE"""),"achavezi@postobon.com.co")</f>
        <v>achavezi@postobon.com.co</v>
      </c>
      <c r="Z830" s="5" t="str">
        <f ca="1">IFERROR(__xludf.DUMMYFUNCTION("""COMPUTED_VALUE"""),"a.x9X-25YSDmfyS41Gy1BmQ")</f>
        <v>a.x9X-25YSDmfyS41Gy1BmQ</v>
      </c>
      <c r="AA830" s="5"/>
      <c r="AB830" s="5"/>
      <c r="AC830" s="5"/>
      <c r="AD830" s="5">
        <f ca="1">IFERROR(__xludf.DUMMYFUNCTION("""COMPUTED_VALUE"""),67)</f>
        <v>67</v>
      </c>
      <c r="AE830" s="5">
        <f ca="1">IFERROR(__xludf.DUMMYFUNCTION("""COMPUTED_VALUE"""),67)</f>
        <v>67</v>
      </c>
      <c r="AF830" s="5" t="b">
        <f ca="1">IFERROR(__xludf.DUMMYFUNCTION("""COMPUTED_VALUE"""),FALSE)</f>
        <v>0</v>
      </c>
      <c r="AG830" s="5" t="str">
        <f ca="1">IFERROR(__xludf.DUMMYFUNCTION("""COMPUTED_VALUE"""),"INSPECCIONES REALIZADAS")</f>
        <v>INSPECCIONES REALIZADAS</v>
      </c>
      <c r="AH830" s="5"/>
    </row>
    <row r="831" spans="1:34">
      <c r="A831" s="5" t="str">
        <f ca="1">IFERROR(__xludf.DUMMYFUNCTION("""COMPUTED_VALUE"""),"LINEA DE PRODUCCION DE BOTELLONES DE 20")</f>
        <v>LINEA DE PRODUCCION DE BOTELLONES DE 20</v>
      </c>
      <c r="B831" s="5">
        <f ca="1">IFERROR(__xludf.DUMMYFUNCTION("""COMPUTED_VALUE"""),719511)</f>
        <v>719511</v>
      </c>
      <c r="C831" s="5" t="str">
        <f ca="1">IFERROR(__xludf.DUMMYFUNCTION("""COMPUTED_VALUE"""),"LLENADORA DE BOTELLONES Y TAPONADORA")</f>
        <v>LLENADORA DE BOTELLONES Y TAPONADORA</v>
      </c>
      <c r="D831" s="5">
        <f ca="1">IFERROR(__xludf.DUMMYFUNCTION("""COMPUTED_VALUE"""),13247683)</f>
        <v>13247683</v>
      </c>
      <c r="E831" s="5" t="str">
        <f ca="1">IFERROR(__xludf.DUMMYFUNCTION("""COMPUTED_VALUE"""),"INSPECCION SEMANAL LLENADORA DE BOTELLON")</f>
        <v>INSPECCION SEMANAL LLENADORA DE BOTELLON</v>
      </c>
      <c r="F831" s="5" t="str">
        <f ca="1">IFERROR(__xludf.DUMMYFUNCTION("""COMPUTED_VALUE"""),"FUNCIONAMIENTO Y ESTADO DE TRANSPORTADORES")</f>
        <v>FUNCIONAMIENTO Y ESTADO DE TRANSPORTADORES</v>
      </c>
      <c r="G831" s="5" t="b">
        <f ca="1">IFERROR(__xludf.DUMMYFUNCTION("""COMPUTED_VALUE"""),TRUE)</f>
        <v>1</v>
      </c>
      <c r="H831" s="5"/>
      <c r="I831" s="5"/>
      <c r="J831" s="5"/>
      <c r="K831" s="5"/>
      <c r="L831" s="18">
        <f ca="1">IFERROR(__xludf.DUMMYFUNCTION("""COMPUTED_VALUE"""),45324)</f>
        <v>45324</v>
      </c>
      <c r="M831" s="18">
        <f ca="1">IFERROR(__xludf.DUMMYFUNCTION("""COMPUTED_VALUE"""),45324)</f>
        <v>45324</v>
      </c>
      <c r="N831" s="5" t="str">
        <f ca="1">IFERROR(__xludf.DUMMYFUNCTION("""COMPUTED_VALUE"""),"Christian Camilo Ramirez Rendón")</f>
        <v>Christian Camilo Ramirez Rendón</v>
      </c>
      <c r="O831" s="2">
        <f ca="1">IFERROR(__xludf.DUMMYFUNCTION("""COMPUTED_VALUE"""),0.00625)</f>
        <v>6.2500000000000003E-3</v>
      </c>
      <c r="P831" s="5"/>
      <c r="Q831" s="5" t="str">
        <f ca="1">IFERROR(__xludf.DUMMYFUNCTION("""COMPUTED_VALUE"""),"AeTRoTEV_gU")</f>
        <v>AeTRoTEV_gU</v>
      </c>
      <c r="R831" s="5">
        <f ca="1">IFERROR(__xludf.DUMMYFUNCTION("""COMPUTED_VALUE"""),410)</f>
        <v>410</v>
      </c>
      <c r="S831" s="62">
        <f ca="1">IFERROR(__xludf.DUMMYFUNCTION("""COMPUTED_VALUE"""),0.00625)</f>
        <v>6.2500000000000003E-3</v>
      </c>
      <c r="T831" s="63" t="str">
        <f ca="1">IFERROR(__xludf.DUMMYFUNCTION("""COMPUTED_VALUE"""),"https://storage.googleapis.com/glide-prod.appspot.com/uploads-v2/ly7o78grxPaC6KdgvbpS/pub/3aRdSog0vUtuqPE8AJKD.png")</f>
        <v>https://storage.googleapis.com/glide-prod.appspot.com/uploads-v2/ly7o78grxPaC6KdgvbpS/pub/3aRdSog0vUtuqPE8AJKD.png</v>
      </c>
      <c r="U831" s="5" t="str">
        <f ca="1">IFERROR(__xludf.DUMMYFUNCTION("""COMPUTED_VALUE"""),"LINEA DE PRODUCCION DE BOTELLONES DE 20LLENADORA DE BOTELLONES Y TAPONADORA")</f>
        <v>LINEA DE PRODUCCION DE BOTELLONES DE 20LLENADORA DE BOTELLONES Y TAPONADORA</v>
      </c>
      <c r="V831" s="5"/>
      <c r="W831" s="5" t="b">
        <f ca="1">IFERROR(__xludf.DUMMYFUNCTION("""COMPUTED_VALUE"""),TRUE)</f>
        <v>1</v>
      </c>
      <c r="X831" s="5" t="str">
        <f ca="1">IFERROR(__xludf.DUMMYFUNCTION("""COMPUTED_VALUE"""),"achavezi@postobon.com.co,aprmttoyu@postobon.com.co,aprmyu@postobon.com.co,wmora@postobon.com.co,efzapata@postobon.com.co")</f>
        <v>achavezi@postobon.com.co,aprmttoyu@postobon.com.co,aprmyu@postobon.com.co,wmora@postobon.com.co,efzapata@postobon.com.co</v>
      </c>
      <c r="Y831" s="5" t="str">
        <f ca="1">IFERROR(__xludf.DUMMYFUNCTION("""COMPUTED_VALUE"""),"achavezi@postobon.com.co")</f>
        <v>achavezi@postobon.com.co</v>
      </c>
      <c r="Z831" s="5" t="str">
        <f ca="1">IFERROR(__xludf.DUMMYFUNCTION("""COMPUTED_VALUE"""),"RH3ueomsQVSrP9mFPOFJkQ")</f>
        <v>RH3ueomsQVSrP9mFPOFJkQ</v>
      </c>
      <c r="AA831" s="5"/>
      <c r="AB831" s="5"/>
      <c r="AC831" s="5"/>
      <c r="AD831" s="5">
        <f ca="1">IFERROR(__xludf.DUMMYFUNCTION("""COMPUTED_VALUE"""),67)</f>
        <v>67</v>
      </c>
      <c r="AE831" s="5">
        <f ca="1">IFERROR(__xludf.DUMMYFUNCTION("""COMPUTED_VALUE"""),67)</f>
        <v>67</v>
      </c>
      <c r="AF831" s="5" t="b">
        <f ca="1">IFERROR(__xludf.DUMMYFUNCTION("""COMPUTED_VALUE"""),FALSE)</f>
        <v>0</v>
      </c>
      <c r="AG831" s="5" t="str">
        <f ca="1">IFERROR(__xludf.DUMMYFUNCTION("""COMPUTED_VALUE"""),"INSPECCIONES REALIZADAS")</f>
        <v>INSPECCIONES REALIZADAS</v>
      </c>
      <c r="AH831" s="5"/>
    </row>
    <row r="832" spans="1:34">
      <c r="A832" s="5" t="str">
        <f ca="1">IFERROR(__xludf.DUMMYFUNCTION("""COMPUTED_VALUE"""),"LINEA DE PRODUCCION DE BOTELLONES DE 20")</f>
        <v>LINEA DE PRODUCCION DE BOTELLONES DE 20</v>
      </c>
      <c r="B832" s="5">
        <f ca="1">IFERROR(__xludf.DUMMYFUNCTION("""COMPUTED_VALUE"""),719511)</f>
        <v>719511</v>
      </c>
      <c r="C832" s="5" t="str">
        <f ca="1">IFERROR(__xludf.DUMMYFUNCTION("""COMPUTED_VALUE"""),"LLENADORA DE BOTELLONES Y TAPONADORA")</f>
        <v>LLENADORA DE BOTELLONES Y TAPONADORA</v>
      </c>
      <c r="D832" s="5">
        <f ca="1">IFERROR(__xludf.DUMMYFUNCTION("""COMPUTED_VALUE"""),13247683)</f>
        <v>13247683</v>
      </c>
      <c r="E832" s="5" t="str">
        <f ca="1">IFERROR(__xludf.DUMMYFUNCTION("""COMPUTED_VALUE"""),"INSPECCION SEMANAL LLENADORA DE BOTELLON")</f>
        <v>INSPECCION SEMANAL LLENADORA DE BOTELLON</v>
      </c>
      <c r="F832" s="5" t="str">
        <f ca="1">IFERROR(__xludf.DUMMYFUNCTION("""COMPUTED_VALUE"""),"INS. FUNC TOLVA Y CANALETA DE SUMINISTRO")</f>
        <v>INS. FUNC TOLVA Y CANALETA DE SUMINISTRO</v>
      </c>
      <c r="G832" s="5" t="b">
        <f ca="1">IFERROR(__xludf.DUMMYFUNCTION("""COMPUTED_VALUE"""),TRUE)</f>
        <v>1</v>
      </c>
      <c r="H832" s="5"/>
      <c r="I832" s="5"/>
      <c r="J832" s="5"/>
      <c r="K832" s="5"/>
      <c r="L832" s="18">
        <f ca="1">IFERROR(__xludf.DUMMYFUNCTION("""COMPUTED_VALUE"""),45324)</f>
        <v>45324</v>
      </c>
      <c r="M832" s="18">
        <f ca="1">IFERROR(__xludf.DUMMYFUNCTION("""COMPUTED_VALUE"""),45324)</f>
        <v>45324</v>
      </c>
      <c r="N832" s="5" t="str">
        <f ca="1">IFERROR(__xludf.DUMMYFUNCTION("""COMPUTED_VALUE"""),"Christian Camilo Ramirez Rendón")</f>
        <v>Christian Camilo Ramirez Rendón</v>
      </c>
      <c r="O832" s="2">
        <f ca="1">IFERROR(__xludf.DUMMYFUNCTION("""COMPUTED_VALUE"""),0.00625)</f>
        <v>6.2500000000000003E-3</v>
      </c>
      <c r="P832" s="5"/>
      <c r="Q832" s="5" t="str">
        <f ca="1">IFERROR(__xludf.DUMMYFUNCTION("""COMPUTED_VALUE"""),"GO5fYzSOjNk")</f>
        <v>GO5fYzSOjNk</v>
      </c>
      <c r="R832" s="5">
        <f ca="1">IFERROR(__xludf.DUMMYFUNCTION("""COMPUTED_VALUE"""),410)</f>
        <v>410</v>
      </c>
      <c r="S832" s="62">
        <f ca="1">IFERROR(__xludf.DUMMYFUNCTION("""COMPUTED_VALUE"""),0.00625)</f>
        <v>6.2500000000000003E-3</v>
      </c>
      <c r="T832" s="63" t="str">
        <f ca="1">IFERROR(__xludf.DUMMYFUNCTION("""COMPUTED_VALUE"""),"https://storage.googleapis.com/glide-prod.appspot.com/uploads-v2/ly7o78grxPaC6KdgvbpS/pub/3aRdSog0vUtuqPE8AJKD.png")</f>
        <v>https://storage.googleapis.com/glide-prod.appspot.com/uploads-v2/ly7o78grxPaC6KdgvbpS/pub/3aRdSog0vUtuqPE8AJKD.png</v>
      </c>
      <c r="U832" s="5" t="str">
        <f ca="1">IFERROR(__xludf.DUMMYFUNCTION("""COMPUTED_VALUE"""),"LINEA DE PRODUCCION DE BOTELLONES DE 20LLENADORA DE BOTELLONES Y TAPONADORA")</f>
        <v>LINEA DE PRODUCCION DE BOTELLONES DE 20LLENADORA DE BOTELLONES Y TAPONADORA</v>
      </c>
      <c r="V832" s="5"/>
      <c r="W832" s="5" t="b">
        <f ca="1">IFERROR(__xludf.DUMMYFUNCTION("""COMPUTED_VALUE"""),TRUE)</f>
        <v>1</v>
      </c>
      <c r="X832" s="5" t="str">
        <f ca="1">IFERROR(__xludf.DUMMYFUNCTION("""COMPUTED_VALUE"""),"achavezi@postobon.com.co,aprmttoyu@postobon.com.co,aprmyu@postobon.com.co,wmora@postobon.com.co,efzapata@postobon.com.co")</f>
        <v>achavezi@postobon.com.co,aprmttoyu@postobon.com.co,aprmyu@postobon.com.co,wmora@postobon.com.co,efzapata@postobon.com.co</v>
      </c>
      <c r="Y832" s="5" t="str">
        <f ca="1">IFERROR(__xludf.DUMMYFUNCTION("""COMPUTED_VALUE"""),"achavezi@postobon.com.co")</f>
        <v>achavezi@postobon.com.co</v>
      </c>
      <c r="Z832" s="5" t="str">
        <f ca="1">IFERROR(__xludf.DUMMYFUNCTION("""COMPUTED_VALUE"""),"M.r2BqTqQQ6zIE1zeiH8xA")</f>
        <v>M.r2BqTqQQ6zIE1zeiH8xA</v>
      </c>
      <c r="AA832" s="5"/>
      <c r="AB832" s="5"/>
      <c r="AC832" s="5"/>
      <c r="AD832" s="5">
        <f ca="1">IFERROR(__xludf.DUMMYFUNCTION("""COMPUTED_VALUE"""),67)</f>
        <v>67</v>
      </c>
      <c r="AE832" s="5">
        <f ca="1">IFERROR(__xludf.DUMMYFUNCTION("""COMPUTED_VALUE"""),67)</f>
        <v>67</v>
      </c>
      <c r="AF832" s="5" t="b">
        <f ca="1">IFERROR(__xludf.DUMMYFUNCTION("""COMPUTED_VALUE"""),FALSE)</f>
        <v>0</v>
      </c>
      <c r="AG832" s="5" t="str">
        <f ca="1">IFERROR(__xludf.DUMMYFUNCTION("""COMPUTED_VALUE"""),"INSPECCIONES REALIZADAS")</f>
        <v>INSPECCIONES REALIZADAS</v>
      </c>
      <c r="AH832" s="5"/>
    </row>
    <row r="833" spans="1:34">
      <c r="A833" s="5" t="str">
        <f ca="1">IFERROR(__xludf.DUMMYFUNCTION("""COMPUTED_VALUE"""),"LINEA DE PRODUCCION DE BOTELLONES DE 20")</f>
        <v>LINEA DE PRODUCCION DE BOTELLONES DE 20</v>
      </c>
      <c r="B833" s="5">
        <f ca="1">IFERROR(__xludf.DUMMYFUNCTION("""COMPUTED_VALUE"""),719511)</f>
        <v>719511</v>
      </c>
      <c r="C833" s="5" t="str">
        <f ca="1">IFERROR(__xludf.DUMMYFUNCTION("""COMPUTED_VALUE"""),"LLENADORA DE BOTELLONES Y TAPONADORA")</f>
        <v>LLENADORA DE BOTELLONES Y TAPONADORA</v>
      </c>
      <c r="D833" s="5">
        <f ca="1">IFERROR(__xludf.DUMMYFUNCTION("""COMPUTED_VALUE"""),13247683)</f>
        <v>13247683</v>
      </c>
      <c r="E833" s="5" t="str">
        <f ca="1">IFERROR(__xludf.DUMMYFUNCTION("""COMPUTED_VALUE"""),"INSPECCION SEMANAL LLENADORA DE BOTELLON")</f>
        <v>INSPECCION SEMANAL LLENADORA DE BOTELLON</v>
      </c>
      <c r="F833" s="5" t="str">
        <f ca="1">IFERROR(__xludf.DUMMYFUNCTION("""COMPUTED_VALUE"""),"INS. FUNC SISTEMA VIBRACION")</f>
        <v>INS. FUNC SISTEMA VIBRACION</v>
      </c>
      <c r="G833" s="5" t="b">
        <f ca="1">IFERROR(__xludf.DUMMYFUNCTION("""COMPUTED_VALUE"""),TRUE)</f>
        <v>1</v>
      </c>
      <c r="H833" s="5"/>
      <c r="I833" s="5"/>
      <c r="J833" s="5"/>
      <c r="K833" s="5"/>
      <c r="L833" s="18">
        <f ca="1">IFERROR(__xludf.DUMMYFUNCTION("""COMPUTED_VALUE"""),45324)</f>
        <v>45324</v>
      </c>
      <c r="M833" s="18">
        <f ca="1">IFERROR(__xludf.DUMMYFUNCTION("""COMPUTED_VALUE"""),45324)</f>
        <v>45324</v>
      </c>
      <c r="N833" s="5" t="str">
        <f ca="1">IFERROR(__xludf.DUMMYFUNCTION("""COMPUTED_VALUE"""),"Christian Camilo Ramirez Rendón")</f>
        <v>Christian Camilo Ramirez Rendón</v>
      </c>
      <c r="O833" s="2">
        <f ca="1">IFERROR(__xludf.DUMMYFUNCTION("""COMPUTED_VALUE"""),0.00625)</f>
        <v>6.2500000000000003E-3</v>
      </c>
      <c r="P833" s="5"/>
      <c r="Q833" s="5" t="str">
        <f ca="1">IFERROR(__xludf.DUMMYFUNCTION("""COMPUTED_VALUE"""),"AXnxdKStrv0")</f>
        <v>AXnxdKStrv0</v>
      </c>
      <c r="R833" s="5">
        <f ca="1">IFERROR(__xludf.DUMMYFUNCTION("""COMPUTED_VALUE"""),410)</f>
        <v>410</v>
      </c>
      <c r="S833" s="62">
        <f ca="1">IFERROR(__xludf.DUMMYFUNCTION("""COMPUTED_VALUE"""),0.00625)</f>
        <v>6.2500000000000003E-3</v>
      </c>
      <c r="T833" s="63" t="str">
        <f ca="1">IFERROR(__xludf.DUMMYFUNCTION("""COMPUTED_VALUE"""),"https://storage.googleapis.com/glide-prod.appspot.com/uploads-v2/ly7o78grxPaC6KdgvbpS/pub/3aRdSog0vUtuqPE8AJKD.png")</f>
        <v>https://storage.googleapis.com/glide-prod.appspot.com/uploads-v2/ly7o78grxPaC6KdgvbpS/pub/3aRdSog0vUtuqPE8AJKD.png</v>
      </c>
      <c r="U833" s="5" t="str">
        <f ca="1">IFERROR(__xludf.DUMMYFUNCTION("""COMPUTED_VALUE"""),"LINEA DE PRODUCCION DE BOTELLONES DE 20LLENADORA DE BOTELLONES Y TAPONADORA")</f>
        <v>LINEA DE PRODUCCION DE BOTELLONES DE 20LLENADORA DE BOTELLONES Y TAPONADORA</v>
      </c>
      <c r="V833" s="5"/>
      <c r="W833" s="5" t="b">
        <f ca="1">IFERROR(__xludf.DUMMYFUNCTION("""COMPUTED_VALUE"""),TRUE)</f>
        <v>1</v>
      </c>
      <c r="X833" s="5" t="str">
        <f ca="1">IFERROR(__xludf.DUMMYFUNCTION("""COMPUTED_VALUE"""),"achavezi@postobon.com.co,aprmttoyu@postobon.com.co,aprmyu@postobon.com.co,wmora@postobon.com.co,efzapata@postobon.com.co")</f>
        <v>achavezi@postobon.com.co,aprmttoyu@postobon.com.co,aprmyu@postobon.com.co,wmora@postobon.com.co,efzapata@postobon.com.co</v>
      </c>
      <c r="Y833" s="5" t="str">
        <f ca="1">IFERROR(__xludf.DUMMYFUNCTION("""COMPUTED_VALUE"""),"achavezi@postobon.com.co")</f>
        <v>achavezi@postobon.com.co</v>
      </c>
      <c r="Z833" s="5" t="str">
        <f ca="1">IFERROR(__xludf.DUMMYFUNCTION("""COMPUTED_VALUE"""),"ijIpdMCfRmSBNuc5tX2cUg")</f>
        <v>ijIpdMCfRmSBNuc5tX2cUg</v>
      </c>
      <c r="AA833" s="5"/>
      <c r="AB833" s="5"/>
      <c r="AC833" s="5"/>
      <c r="AD833" s="5">
        <f ca="1">IFERROR(__xludf.DUMMYFUNCTION("""COMPUTED_VALUE"""),67)</f>
        <v>67</v>
      </c>
      <c r="AE833" s="5">
        <f ca="1">IFERROR(__xludf.DUMMYFUNCTION("""COMPUTED_VALUE"""),67)</f>
        <v>67</v>
      </c>
      <c r="AF833" s="5" t="b">
        <f ca="1">IFERROR(__xludf.DUMMYFUNCTION("""COMPUTED_VALUE"""),FALSE)</f>
        <v>0</v>
      </c>
      <c r="AG833" s="5" t="str">
        <f ca="1">IFERROR(__xludf.DUMMYFUNCTION("""COMPUTED_VALUE"""),"INSPECCIONES REALIZADAS")</f>
        <v>INSPECCIONES REALIZADAS</v>
      </c>
      <c r="AH833" s="5"/>
    </row>
    <row r="834" spans="1:34">
      <c r="A834" s="5" t="str">
        <f ca="1">IFERROR(__xludf.DUMMYFUNCTION("""COMPUTED_VALUE"""),"LINEA DE PRODUCCION DE BOTELLONES DE 20")</f>
        <v>LINEA DE PRODUCCION DE BOTELLONES DE 20</v>
      </c>
      <c r="B834" s="5">
        <f ca="1">IFERROR(__xludf.DUMMYFUNCTION("""COMPUTED_VALUE"""),719511)</f>
        <v>719511</v>
      </c>
      <c r="C834" s="5" t="str">
        <f ca="1">IFERROR(__xludf.DUMMYFUNCTION("""COMPUTED_VALUE"""),"LLENADORA DE BOTELLONES Y TAPONADORA")</f>
        <v>LLENADORA DE BOTELLONES Y TAPONADORA</v>
      </c>
      <c r="D834" s="5">
        <f ca="1">IFERROR(__xludf.DUMMYFUNCTION("""COMPUTED_VALUE"""),13247683)</f>
        <v>13247683</v>
      </c>
      <c r="E834" s="5" t="str">
        <f ca="1">IFERROR(__xludf.DUMMYFUNCTION("""COMPUTED_VALUE"""),"INSPECCION SEMANAL LLENADORA DE BOTELLON")</f>
        <v>INSPECCION SEMANAL LLENADORA DE BOTELLON</v>
      </c>
      <c r="F834" s="5" t="str">
        <f ca="1">IFERROR(__xludf.DUMMYFUNCTION("""COMPUTED_VALUE"""),"INS SIST NEUMATICO(CILINDRO,UNIDAD MTTO)")</f>
        <v>INS SIST NEUMATICO(CILINDRO,UNIDAD MTTO)</v>
      </c>
      <c r="G834" s="5" t="b">
        <f ca="1">IFERROR(__xludf.DUMMYFUNCTION("""COMPUTED_VALUE"""),TRUE)</f>
        <v>1</v>
      </c>
      <c r="H834" s="5"/>
      <c r="I834" s="5"/>
      <c r="J834" s="5"/>
      <c r="K834" s="5"/>
      <c r="L834" s="18">
        <f ca="1">IFERROR(__xludf.DUMMYFUNCTION("""COMPUTED_VALUE"""),45324)</f>
        <v>45324</v>
      </c>
      <c r="M834" s="18">
        <f ca="1">IFERROR(__xludf.DUMMYFUNCTION("""COMPUTED_VALUE"""),45324)</f>
        <v>45324</v>
      </c>
      <c r="N834" s="5" t="str">
        <f ca="1">IFERROR(__xludf.DUMMYFUNCTION("""COMPUTED_VALUE"""),"Christian Camilo Ramirez Rendón")</f>
        <v>Christian Camilo Ramirez Rendón</v>
      </c>
      <c r="O834" s="2">
        <f ca="1">IFERROR(__xludf.DUMMYFUNCTION("""COMPUTED_VALUE"""),0.00625)</f>
        <v>6.2500000000000003E-3</v>
      </c>
      <c r="P834" s="5"/>
      <c r="Q834" s="5" t="str">
        <f ca="1">IFERROR(__xludf.DUMMYFUNCTION("""COMPUTED_VALUE"""),"-Nq91tyh5oM")</f>
        <v>-Nq91tyh5oM</v>
      </c>
      <c r="R834" s="5">
        <f ca="1">IFERROR(__xludf.DUMMYFUNCTION("""COMPUTED_VALUE"""),410)</f>
        <v>410</v>
      </c>
      <c r="S834" s="62">
        <f ca="1">IFERROR(__xludf.DUMMYFUNCTION("""COMPUTED_VALUE"""),0.00625)</f>
        <v>6.2500000000000003E-3</v>
      </c>
      <c r="T834" s="63" t="str">
        <f ca="1">IFERROR(__xludf.DUMMYFUNCTION("""COMPUTED_VALUE"""),"https://storage.googleapis.com/glide-prod.appspot.com/uploads-v2/ly7o78grxPaC6KdgvbpS/pub/3aRdSog0vUtuqPE8AJKD.png")</f>
        <v>https://storage.googleapis.com/glide-prod.appspot.com/uploads-v2/ly7o78grxPaC6KdgvbpS/pub/3aRdSog0vUtuqPE8AJKD.png</v>
      </c>
      <c r="U834" s="5" t="str">
        <f ca="1">IFERROR(__xludf.DUMMYFUNCTION("""COMPUTED_VALUE"""),"LINEA DE PRODUCCION DE BOTELLONES DE 20LLENADORA DE BOTELLONES Y TAPONADORA")</f>
        <v>LINEA DE PRODUCCION DE BOTELLONES DE 20LLENADORA DE BOTELLONES Y TAPONADORA</v>
      </c>
      <c r="V834" s="5"/>
      <c r="W834" s="5" t="b">
        <f ca="1">IFERROR(__xludf.DUMMYFUNCTION("""COMPUTED_VALUE"""),TRUE)</f>
        <v>1</v>
      </c>
      <c r="X834" s="5" t="str">
        <f ca="1">IFERROR(__xludf.DUMMYFUNCTION("""COMPUTED_VALUE"""),"achavezi@postobon.com.co,aprmttoyu@postobon.com.co,aprmyu@postobon.com.co,wmora@postobon.com.co,efzapata@postobon.com.co")</f>
        <v>achavezi@postobon.com.co,aprmttoyu@postobon.com.co,aprmyu@postobon.com.co,wmora@postobon.com.co,efzapata@postobon.com.co</v>
      </c>
      <c r="Y834" s="5" t="str">
        <f ca="1">IFERROR(__xludf.DUMMYFUNCTION("""COMPUTED_VALUE"""),"achavezi@postobon.com.co")</f>
        <v>achavezi@postobon.com.co</v>
      </c>
      <c r="Z834" s="5" t="str">
        <f ca="1">IFERROR(__xludf.DUMMYFUNCTION("""COMPUTED_VALUE"""),"f-PvGyghQB2yZc0emE.Fkw")</f>
        <v>f-PvGyghQB2yZc0emE.Fkw</v>
      </c>
      <c r="AA834" s="5"/>
      <c r="AB834" s="5"/>
      <c r="AC834" s="5"/>
      <c r="AD834" s="5">
        <f ca="1">IFERROR(__xludf.DUMMYFUNCTION("""COMPUTED_VALUE"""),67)</f>
        <v>67</v>
      </c>
      <c r="AE834" s="5">
        <f ca="1">IFERROR(__xludf.DUMMYFUNCTION("""COMPUTED_VALUE"""),67)</f>
        <v>67</v>
      </c>
      <c r="AF834" s="5" t="b">
        <f ca="1">IFERROR(__xludf.DUMMYFUNCTION("""COMPUTED_VALUE"""),FALSE)</f>
        <v>0</v>
      </c>
      <c r="AG834" s="5" t="str">
        <f ca="1">IFERROR(__xludf.DUMMYFUNCTION("""COMPUTED_VALUE"""),"INSPECCIONES REALIZADAS")</f>
        <v>INSPECCIONES REALIZADAS</v>
      </c>
      <c r="AH834" s="5"/>
    </row>
    <row r="835" spans="1:34">
      <c r="A835" s="5" t="str">
        <f ca="1">IFERROR(__xludf.DUMMYFUNCTION("""COMPUTED_VALUE"""),"LINEA DE PRODUCCION DE BOTELLONES DE 20")</f>
        <v>LINEA DE PRODUCCION DE BOTELLONES DE 20</v>
      </c>
      <c r="B835" s="5">
        <f ca="1">IFERROR(__xludf.DUMMYFUNCTION("""COMPUTED_VALUE"""),719511)</f>
        <v>719511</v>
      </c>
      <c r="C835" s="5" t="str">
        <f ca="1">IFERROR(__xludf.DUMMYFUNCTION("""COMPUTED_VALUE"""),"LLENADORA DE BOTELLONES Y TAPONADORA")</f>
        <v>LLENADORA DE BOTELLONES Y TAPONADORA</v>
      </c>
      <c r="D835" s="5">
        <f ca="1">IFERROR(__xludf.DUMMYFUNCTION("""COMPUTED_VALUE"""),13247683)</f>
        <v>13247683</v>
      </c>
      <c r="E835" s="5" t="str">
        <f ca="1">IFERROR(__xludf.DUMMYFUNCTION("""COMPUTED_VALUE"""),"INSPECCION SEMANAL LLENADORA DE BOTELLON")</f>
        <v>INSPECCION SEMANAL LLENADORA DE BOTELLON</v>
      </c>
      <c r="F835" s="5" t="str">
        <f ca="1">IFERROR(__xludf.DUMMYFUNCTION("""COMPUTED_VALUE"""),"INS. FUNC MOTORREDUCTOR")</f>
        <v>INS. FUNC MOTORREDUCTOR</v>
      </c>
      <c r="G835" s="5" t="b">
        <f ca="1">IFERROR(__xludf.DUMMYFUNCTION("""COMPUTED_VALUE"""),TRUE)</f>
        <v>1</v>
      </c>
      <c r="H835" s="5"/>
      <c r="I835" s="5"/>
      <c r="J835" s="5"/>
      <c r="K835" s="5"/>
      <c r="L835" s="18">
        <f ca="1">IFERROR(__xludf.DUMMYFUNCTION("""COMPUTED_VALUE"""),45324)</f>
        <v>45324</v>
      </c>
      <c r="M835" s="18">
        <f ca="1">IFERROR(__xludf.DUMMYFUNCTION("""COMPUTED_VALUE"""),45324)</f>
        <v>45324</v>
      </c>
      <c r="N835" s="5" t="str">
        <f ca="1">IFERROR(__xludf.DUMMYFUNCTION("""COMPUTED_VALUE"""),"Christian Camilo Ramirez Rendón")</f>
        <v>Christian Camilo Ramirez Rendón</v>
      </c>
      <c r="O835" s="2">
        <f ca="1">IFERROR(__xludf.DUMMYFUNCTION("""COMPUTED_VALUE"""),0.00625)</f>
        <v>6.2500000000000003E-3</v>
      </c>
      <c r="P835" s="5"/>
      <c r="Q835" s="5" t="str">
        <f ca="1">IFERROR(__xludf.DUMMYFUNCTION("""COMPUTED_VALUE"""),"rKw55Ce3BdU")</f>
        <v>rKw55Ce3BdU</v>
      </c>
      <c r="R835" s="5">
        <f ca="1">IFERROR(__xludf.DUMMYFUNCTION("""COMPUTED_VALUE"""),410)</f>
        <v>410</v>
      </c>
      <c r="S835" s="62">
        <f ca="1">IFERROR(__xludf.DUMMYFUNCTION("""COMPUTED_VALUE"""),0.00625)</f>
        <v>6.2500000000000003E-3</v>
      </c>
      <c r="T835" s="63" t="str">
        <f ca="1">IFERROR(__xludf.DUMMYFUNCTION("""COMPUTED_VALUE"""),"https://storage.googleapis.com/glide-prod.appspot.com/uploads-v2/ly7o78grxPaC6KdgvbpS/pub/3aRdSog0vUtuqPE8AJKD.png")</f>
        <v>https://storage.googleapis.com/glide-prod.appspot.com/uploads-v2/ly7o78grxPaC6KdgvbpS/pub/3aRdSog0vUtuqPE8AJKD.png</v>
      </c>
      <c r="U835" s="5" t="str">
        <f ca="1">IFERROR(__xludf.DUMMYFUNCTION("""COMPUTED_VALUE"""),"LINEA DE PRODUCCION DE BOTELLONES DE 20LLENADORA DE BOTELLONES Y TAPONADORA")</f>
        <v>LINEA DE PRODUCCION DE BOTELLONES DE 20LLENADORA DE BOTELLONES Y TAPONADORA</v>
      </c>
      <c r="V835" s="5"/>
      <c r="W835" s="5" t="b">
        <f ca="1">IFERROR(__xludf.DUMMYFUNCTION("""COMPUTED_VALUE"""),TRUE)</f>
        <v>1</v>
      </c>
      <c r="X835" s="5" t="str">
        <f ca="1">IFERROR(__xludf.DUMMYFUNCTION("""COMPUTED_VALUE"""),"achavezi@postobon.com.co,aprmttoyu@postobon.com.co,aprmyu@postobon.com.co,wmora@postobon.com.co,efzapata@postobon.com.co")</f>
        <v>achavezi@postobon.com.co,aprmttoyu@postobon.com.co,aprmyu@postobon.com.co,wmora@postobon.com.co,efzapata@postobon.com.co</v>
      </c>
      <c r="Y835" s="5" t="str">
        <f ca="1">IFERROR(__xludf.DUMMYFUNCTION("""COMPUTED_VALUE"""),"achavezi@postobon.com.co")</f>
        <v>achavezi@postobon.com.co</v>
      </c>
      <c r="Z835" s="5" t="str">
        <f ca="1">IFERROR(__xludf.DUMMYFUNCTION("""COMPUTED_VALUE"""),"cNbM-rHkR0KE7c.wlKcN0Q")</f>
        <v>cNbM-rHkR0KE7c.wlKcN0Q</v>
      </c>
      <c r="AA835" s="5"/>
      <c r="AB835" s="5"/>
      <c r="AC835" s="5"/>
      <c r="AD835" s="5">
        <f ca="1">IFERROR(__xludf.DUMMYFUNCTION("""COMPUTED_VALUE"""),67)</f>
        <v>67</v>
      </c>
      <c r="AE835" s="5">
        <f ca="1">IFERROR(__xludf.DUMMYFUNCTION("""COMPUTED_VALUE"""),67)</f>
        <v>67</v>
      </c>
      <c r="AF835" s="5" t="b">
        <f ca="1">IFERROR(__xludf.DUMMYFUNCTION("""COMPUTED_VALUE"""),FALSE)</f>
        <v>0</v>
      </c>
      <c r="AG835" s="5" t="str">
        <f ca="1">IFERROR(__xludf.DUMMYFUNCTION("""COMPUTED_VALUE"""),"INSPECCIONES REALIZADAS")</f>
        <v>INSPECCIONES REALIZADAS</v>
      </c>
      <c r="AH835" s="5"/>
    </row>
    <row r="836" spans="1:34">
      <c r="A836" s="5" t="str">
        <f ca="1">IFERROR(__xludf.DUMMYFUNCTION("""COMPUTED_VALUE"""),"LINEA DE PRODUCCION DE BOTELLONES DE 20")</f>
        <v>LINEA DE PRODUCCION DE BOTELLONES DE 20</v>
      </c>
      <c r="B836" s="5">
        <f ca="1">IFERROR(__xludf.DUMMYFUNCTION("""COMPUTED_VALUE"""),719511)</f>
        <v>719511</v>
      </c>
      <c r="C836" s="5" t="str">
        <f ca="1">IFERROR(__xludf.DUMMYFUNCTION("""COMPUTED_VALUE"""),"LLENADORA DE BOTELLONES Y TAPONADORA")</f>
        <v>LLENADORA DE BOTELLONES Y TAPONADORA</v>
      </c>
      <c r="D836" s="5">
        <f ca="1">IFERROR(__xludf.DUMMYFUNCTION("""COMPUTED_VALUE"""),13247683)</f>
        <v>13247683</v>
      </c>
      <c r="E836" s="5" t="str">
        <f ca="1">IFERROR(__xludf.DUMMYFUNCTION("""COMPUTED_VALUE"""),"INSPECCION SEMANAL LLENADORA DE BOTELLON")</f>
        <v>INSPECCION SEMANAL LLENADORA DE BOTELLON</v>
      </c>
      <c r="F836" s="5" t="str">
        <f ca="1">IFERROR(__xludf.DUMMYFUNCTION("""COMPUTED_VALUE"""),"INS. FUNCIONAMIENTO Y ESTADO DE BANDA INVERTIDA")</f>
        <v>INS. FUNCIONAMIENTO Y ESTADO DE BANDA INVERTIDA</v>
      </c>
      <c r="G836" s="5" t="b">
        <f ca="1">IFERROR(__xludf.DUMMYFUNCTION("""COMPUTED_VALUE"""),TRUE)</f>
        <v>1</v>
      </c>
      <c r="H836" s="5"/>
      <c r="I836" s="5"/>
      <c r="J836" s="5"/>
      <c r="K836" s="5"/>
      <c r="L836" s="18">
        <f ca="1">IFERROR(__xludf.DUMMYFUNCTION("""COMPUTED_VALUE"""),45324)</f>
        <v>45324</v>
      </c>
      <c r="M836" s="18">
        <f ca="1">IFERROR(__xludf.DUMMYFUNCTION("""COMPUTED_VALUE"""),45324)</f>
        <v>45324</v>
      </c>
      <c r="N836" s="5" t="str">
        <f ca="1">IFERROR(__xludf.DUMMYFUNCTION("""COMPUTED_VALUE"""),"Christian Camilo Ramirez Rendón")</f>
        <v>Christian Camilo Ramirez Rendón</v>
      </c>
      <c r="O836" s="2">
        <f ca="1">IFERROR(__xludf.DUMMYFUNCTION("""COMPUTED_VALUE"""),0.00625)</f>
        <v>6.2500000000000003E-3</v>
      </c>
      <c r="P836" s="5"/>
      <c r="Q836" s="5" t="str">
        <f ca="1">IFERROR(__xludf.DUMMYFUNCTION("""COMPUTED_VALUE"""),"-3SAbD3UGRY")</f>
        <v>-3SAbD3UGRY</v>
      </c>
      <c r="R836" s="5">
        <f ca="1">IFERROR(__xludf.DUMMYFUNCTION("""COMPUTED_VALUE"""),410)</f>
        <v>410</v>
      </c>
      <c r="S836" s="62">
        <f ca="1">IFERROR(__xludf.DUMMYFUNCTION("""COMPUTED_VALUE"""),0.00625)</f>
        <v>6.2500000000000003E-3</v>
      </c>
      <c r="T836" s="63" t="str">
        <f ca="1">IFERROR(__xludf.DUMMYFUNCTION("""COMPUTED_VALUE"""),"https://storage.googleapis.com/glide-prod.appspot.com/uploads-v2/ly7o78grxPaC6KdgvbpS/pub/3aRdSog0vUtuqPE8AJKD.png")</f>
        <v>https://storage.googleapis.com/glide-prod.appspot.com/uploads-v2/ly7o78grxPaC6KdgvbpS/pub/3aRdSog0vUtuqPE8AJKD.png</v>
      </c>
      <c r="U836" s="5" t="str">
        <f ca="1">IFERROR(__xludf.DUMMYFUNCTION("""COMPUTED_VALUE"""),"LINEA DE PRODUCCION DE BOTELLONES DE 20LLENADORA DE BOTELLONES Y TAPONADORA")</f>
        <v>LINEA DE PRODUCCION DE BOTELLONES DE 20LLENADORA DE BOTELLONES Y TAPONADORA</v>
      </c>
      <c r="V836" s="5"/>
      <c r="W836" s="5" t="b">
        <f ca="1">IFERROR(__xludf.DUMMYFUNCTION("""COMPUTED_VALUE"""),TRUE)</f>
        <v>1</v>
      </c>
      <c r="X836" s="5" t="str">
        <f ca="1">IFERROR(__xludf.DUMMYFUNCTION("""COMPUTED_VALUE"""),"achavezi@postobon.com.co,aprmttoyu@postobon.com.co,aprmyu@postobon.com.co,wmora@postobon.com.co,efzapata@postobon.com.co")</f>
        <v>achavezi@postobon.com.co,aprmttoyu@postobon.com.co,aprmyu@postobon.com.co,wmora@postobon.com.co,efzapata@postobon.com.co</v>
      </c>
      <c r="Y836" s="5" t="str">
        <f ca="1">IFERROR(__xludf.DUMMYFUNCTION("""COMPUTED_VALUE"""),"achavezi@postobon.com.co")</f>
        <v>achavezi@postobon.com.co</v>
      </c>
      <c r="Z836" s="5" t="str">
        <f ca="1">IFERROR(__xludf.DUMMYFUNCTION("""COMPUTED_VALUE"""),"Mw7.affZTxW4qje55gekBA")</f>
        <v>Mw7.affZTxW4qje55gekBA</v>
      </c>
      <c r="AA836" s="5"/>
      <c r="AB836" s="5"/>
      <c r="AC836" s="5"/>
      <c r="AD836" s="5">
        <f ca="1">IFERROR(__xludf.DUMMYFUNCTION("""COMPUTED_VALUE"""),67)</f>
        <v>67</v>
      </c>
      <c r="AE836" s="5">
        <f ca="1">IFERROR(__xludf.DUMMYFUNCTION("""COMPUTED_VALUE"""),67)</f>
        <v>67</v>
      </c>
      <c r="AF836" s="5" t="b">
        <f ca="1">IFERROR(__xludf.DUMMYFUNCTION("""COMPUTED_VALUE"""),FALSE)</f>
        <v>0</v>
      </c>
      <c r="AG836" s="5" t="str">
        <f ca="1">IFERROR(__xludf.DUMMYFUNCTION("""COMPUTED_VALUE"""),"INSPECCIONES REALIZADAS")</f>
        <v>INSPECCIONES REALIZADAS</v>
      </c>
      <c r="AH836" s="5"/>
    </row>
    <row r="837" spans="1:34">
      <c r="A837" s="5" t="str">
        <f ca="1">IFERROR(__xludf.DUMMYFUNCTION("""COMPUTED_VALUE"""),"LINEA PARA EL LLENADO DE GARRAFAS")</f>
        <v>LINEA PARA EL LLENADO DE GARRAFAS</v>
      </c>
      <c r="B837" s="5">
        <f ca="1">IFERROR(__xludf.DUMMYFUNCTION("""COMPUTED_VALUE"""),710019)</f>
        <v>710019</v>
      </c>
      <c r="C837" s="5" t="str">
        <f ca="1">IFERROR(__xludf.DUMMYFUNCTION("""COMPUTED_VALUE"""),"LLENADORA DE GARRAFAS")</f>
        <v>LLENADORA DE GARRAFAS</v>
      </c>
      <c r="D837" s="5">
        <f ca="1">IFERROR(__xludf.DUMMYFUNCTION("""COMPUTED_VALUE"""),13247725)</f>
        <v>13247725</v>
      </c>
      <c r="E837" s="5" t="str">
        <f ca="1">IFERROR(__xludf.DUMMYFUNCTION("""COMPUTED_VALUE"""),"INSPECCION SEMANAL LLENADORA DE GARRAFAS")</f>
        <v>INSPECCION SEMANAL LLENADORA DE GARRAFAS</v>
      </c>
      <c r="F837" s="5" t="str">
        <f ca="1">IFERROR(__xludf.DUMMYFUNCTION("""COMPUTED_VALUE"""),"INSP. FRENO ENTRADA GARRAFA")</f>
        <v>INSP. FRENO ENTRADA GARRAFA</v>
      </c>
      <c r="G837" s="5" t="b">
        <f ca="1">IFERROR(__xludf.DUMMYFUNCTION("""COMPUTED_VALUE"""),TRUE)</f>
        <v>1</v>
      </c>
      <c r="H837" s="5"/>
      <c r="I837" s="5"/>
      <c r="J837" s="5">
        <f ca="1">IFERROR(__xludf.DUMMYFUNCTION("""COMPUTED_VALUE"""),13247725)</f>
        <v>13247725</v>
      </c>
      <c r="K837" s="5"/>
      <c r="L837" s="18">
        <f ca="1">IFERROR(__xludf.DUMMYFUNCTION("""COMPUTED_VALUE"""),45324)</f>
        <v>45324</v>
      </c>
      <c r="M837" s="18">
        <f ca="1">IFERROR(__xludf.DUMMYFUNCTION("""COMPUTED_VALUE"""),45324)</f>
        <v>45324</v>
      </c>
      <c r="N837" s="5" t="str">
        <f ca="1">IFERROR(__xludf.DUMMYFUNCTION("""COMPUTED_VALUE"""),"Víctor David Burbano Gómez")</f>
        <v>Víctor David Burbano Gómez</v>
      </c>
      <c r="O837" s="2">
        <f ca="1">IFERROR(__xludf.DUMMYFUNCTION("""COMPUTED_VALUE"""),0.007692308)</f>
        <v>7.6923080000000001E-3</v>
      </c>
      <c r="P837" s="5">
        <f ca="1">IFERROR(__xludf.DUMMYFUNCTION("""COMPUTED_VALUE"""),20065447)</f>
        <v>20065447</v>
      </c>
      <c r="Q837" s="5" t="str">
        <f ca="1">IFERROR(__xludf.DUMMYFUNCTION("""COMPUTED_VALUE"""),"vGLiHd6GvSE")</f>
        <v>vGLiHd6GvSE</v>
      </c>
      <c r="R837" s="5">
        <f ca="1">IFERROR(__xludf.DUMMYFUNCTION("""COMPUTED_VALUE"""),410)</f>
        <v>410</v>
      </c>
      <c r="S837" s="62">
        <f ca="1">IFERROR(__xludf.DUMMYFUNCTION("""COMPUTED_VALUE"""),0.007692308)</f>
        <v>7.6923080000000001E-3</v>
      </c>
      <c r="T837" s="63" t="str">
        <f ca="1">IFERROR(__xludf.DUMMYFUNCTION("""COMPUTED_VALUE"""),"https://storage.googleapis.com/glide-prod.appspot.com/uploads-v2/ly7o78grxPaC6KdgvbpS/pub/3aRdSog0vUtuqPE8AJKD.png")</f>
        <v>https://storage.googleapis.com/glide-prod.appspot.com/uploads-v2/ly7o78grxPaC6KdgvbpS/pub/3aRdSog0vUtuqPE8AJKD.png</v>
      </c>
      <c r="U837" s="5" t="str">
        <f ca="1">IFERROR(__xludf.DUMMYFUNCTION("""COMPUTED_VALUE"""),"LINEA PARA EL LLENADO DE GARRAFASLLENADORA DE GARRAFAS")</f>
        <v>LINEA PARA EL LLENADO DE GARRAFASLLENADORA DE GARRAFAS</v>
      </c>
      <c r="V837" s="5"/>
      <c r="W837" s="5" t="b">
        <f ca="1">IFERROR(__xludf.DUMMYFUNCTION("""COMPUTED_VALUE"""),TRUE)</f>
        <v>1</v>
      </c>
      <c r="X837" s="5" t="str">
        <f ca="1">IFERROR(__xludf.DUMMYFUNCTION("""COMPUTED_VALUE"""),"achavezi@postobon.com.co,aprmttoyu@postobon.com.co,aprmyu@postobon.com.co,wmora@postobon.com.co,efzapata@postobon.com.co")</f>
        <v>achavezi@postobon.com.co,aprmttoyu@postobon.com.co,aprmyu@postobon.com.co,wmora@postobon.com.co,efzapata@postobon.com.co</v>
      </c>
      <c r="Y837" s="5" t="str">
        <f ca="1">IFERROR(__xludf.DUMMYFUNCTION("""COMPUTED_VALUE"""),"achavezi@postobon.com.co")</f>
        <v>achavezi@postobon.com.co</v>
      </c>
      <c r="Z837" s="5" t="str">
        <f ca="1">IFERROR(__xludf.DUMMYFUNCTION("""COMPUTED_VALUE"""),"mDrt7.LXSWm2RLShfSzEWg")</f>
        <v>mDrt7.LXSWm2RLShfSzEWg</v>
      </c>
      <c r="AA837" s="5"/>
      <c r="AB837" s="5"/>
      <c r="AC837" s="5"/>
      <c r="AD837" s="5">
        <f ca="1">IFERROR(__xludf.DUMMYFUNCTION("""COMPUTED_VALUE"""),62)</f>
        <v>62</v>
      </c>
      <c r="AE837" s="5">
        <f ca="1">IFERROR(__xludf.DUMMYFUNCTION("""COMPUTED_VALUE"""),62)</f>
        <v>62</v>
      </c>
      <c r="AF837" s="5" t="b">
        <f ca="1">IFERROR(__xludf.DUMMYFUNCTION("""COMPUTED_VALUE"""),FALSE)</f>
        <v>0</v>
      </c>
      <c r="AG837" s="5" t="str">
        <f ca="1">IFERROR(__xludf.DUMMYFUNCTION("""COMPUTED_VALUE"""),"INSPECCIONES REALIZADAS")</f>
        <v>INSPECCIONES REALIZADAS</v>
      </c>
      <c r="AH837" s="5"/>
    </row>
    <row r="838" spans="1:34">
      <c r="A838" s="5" t="str">
        <f ca="1">IFERROR(__xludf.DUMMYFUNCTION("""COMPUTED_VALUE"""),"LINEA PARA EL LLENADO DE GARRAFAS")</f>
        <v>LINEA PARA EL LLENADO DE GARRAFAS</v>
      </c>
      <c r="B838" s="5">
        <f ca="1">IFERROR(__xludf.DUMMYFUNCTION("""COMPUTED_VALUE"""),710019)</f>
        <v>710019</v>
      </c>
      <c r="C838" s="5" t="str">
        <f ca="1">IFERROR(__xludf.DUMMYFUNCTION("""COMPUTED_VALUE"""),"LLENADORA DE GARRAFAS")</f>
        <v>LLENADORA DE GARRAFAS</v>
      </c>
      <c r="D838" s="5">
        <f ca="1">IFERROR(__xludf.DUMMYFUNCTION("""COMPUTED_VALUE"""),13247725)</f>
        <v>13247725</v>
      </c>
      <c r="E838" s="5" t="str">
        <f ca="1">IFERROR(__xludf.DUMMYFUNCTION("""COMPUTED_VALUE"""),"INSPECCION SEMANAL LLENADORA DE GARRAFAS")</f>
        <v>INSPECCION SEMANAL LLENADORA DE GARRAFAS</v>
      </c>
      <c r="F838" s="5" t="str">
        <f ca="1">IFERROR(__xludf.DUMMYFUNCTION("""COMPUTED_VALUE"""),"INSP NIVEL LLENADO")</f>
        <v>INSP NIVEL LLENADO</v>
      </c>
      <c r="G838" s="5" t="b">
        <f ca="1">IFERROR(__xludf.DUMMYFUNCTION("""COMPUTED_VALUE"""),TRUE)</f>
        <v>1</v>
      </c>
      <c r="H838" s="5"/>
      <c r="I838" s="5"/>
      <c r="J838" s="5">
        <f ca="1">IFERROR(__xludf.DUMMYFUNCTION("""COMPUTED_VALUE"""),13247725)</f>
        <v>13247725</v>
      </c>
      <c r="K838" s="5"/>
      <c r="L838" s="18">
        <f ca="1">IFERROR(__xludf.DUMMYFUNCTION("""COMPUTED_VALUE"""),45324)</f>
        <v>45324</v>
      </c>
      <c r="M838" s="18">
        <f ca="1">IFERROR(__xludf.DUMMYFUNCTION("""COMPUTED_VALUE"""),45324)</f>
        <v>45324</v>
      </c>
      <c r="N838" s="5" t="str">
        <f ca="1">IFERROR(__xludf.DUMMYFUNCTION("""COMPUTED_VALUE"""),"Víctor David Burbano Gómez")</f>
        <v>Víctor David Burbano Gómez</v>
      </c>
      <c r="O838" s="2">
        <f ca="1">IFERROR(__xludf.DUMMYFUNCTION("""COMPUTED_VALUE"""),0.007692308)</f>
        <v>7.6923080000000001E-3</v>
      </c>
      <c r="P838" s="5">
        <f ca="1">IFERROR(__xludf.DUMMYFUNCTION("""COMPUTED_VALUE"""),20065447)</f>
        <v>20065447</v>
      </c>
      <c r="Q838" s="5" t="str">
        <f ca="1">IFERROR(__xludf.DUMMYFUNCTION("""COMPUTED_VALUE"""),"6kF_QWYPqE4")</f>
        <v>6kF_QWYPqE4</v>
      </c>
      <c r="R838" s="5">
        <f ca="1">IFERROR(__xludf.DUMMYFUNCTION("""COMPUTED_VALUE"""),410)</f>
        <v>410</v>
      </c>
      <c r="S838" s="62">
        <f ca="1">IFERROR(__xludf.DUMMYFUNCTION("""COMPUTED_VALUE"""),0.007692308)</f>
        <v>7.6923080000000001E-3</v>
      </c>
      <c r="T838" s="63" t="str">
        <f ca="1">IFERROR(__xludf.DUMMYFUNCTION("""COMPUTED_VALUE"""),"https://storage.googleapis.com/glide-prod.appspot.com/uploads-v2/ly7o78grxPaC6KdgvbpS/pub/3aRdSog0vUtuqPE8AJKD.png")</f>
        <v>https://storage.googleapis.com/glide-prod.appspot.com/uploads-v2/ly7o78grxPaC6KdgvbpS/pub/3aRdSog0vUtuqPE8AJKD.png</v>
      </c>
      <c r="U838" s="5" t="str">
        <f ca="1">IFERROR(__xludf.DUMMYFUNCTION("""COMPUTED_VALUE"""),"LINEA PARA EL LLENADO DE GARRAFASLLENADORA DE GARRAFAS")</f>
        <v>LINEA PARA EL LLENADO DE GARRAFASLLENADORA DE GARRAFAS</v>
      </c>
      <c r="V838" s="5"/>
      <c r="W838" s="5" t="b">
        <f ca="1">IFERROR(__xludf.DUMMYFUNCTION("""COMPUTED_VALUE"""),TRUE)</f>
        <v>1</v>
      </c>
      <c r="X838" s="5" t="str">
        <f ca="1">IFERROR(__xludf.DUMMYFUNCTION("""COMPUTED_VALUE"""),"achavezi@postobon.com.co,aprmttoyu@postobon.com.co,aprmyu@postobon.com.co,wmora@postobon.com.co,efzapata@postobon.com.co")</f>
        <v>achavezi@postobon.com.co,aprmttoyu@postobon.com.co,aprmyu@postobon.com.co,wmora@postobon.com.co,efzapata@postobon.com.co</v>
      </c>
      <c r="Y838" s="5" t="str">
        <f ca="1">IFERROR(__xludf.DUMMYFUNCTION("""COMPUTED_VALUE"""),"achavezi@postobon.com.co")</f>
        <v>achavezi@postobon.com.co</v>
      </c>
      <c r="Z838" s="5" t="str">
        <f ca="1">IFERROR(__xludf.DUMMYFUNCTION("""COMPUTED_VALUE"""),"KbTLo0KySYmZ-OjSxpXHQg")</f>
        <v>KbTLo0KySYmZ-OjSxpXHQg</v>
      </c>
      <c r="AA838" s="5"/>
      <c r="AB838" s="5"/>
      <c r="AC838" s="5"/>
      <c r="AD838" s="5">
        <f ca="1">IFERROR(__xludf.DUMMYFUNCTION("""COMPUTED_VALUE"""),62)</f>
        <v>62</v>
      </c>
      <c r="AE838" s="5">
        <f ca="1">IFERROR(__xludf.DUMMYFUNCTION("""COMPUTED_VALUE"""),62)</f>
        <v>62</v>
      </c>
      <c r="AF838" s="5" t="b">
        <f ca="1">IFERROR(__xludf.DUMMYFUNCTION("""COMPUTED_VALUE"""),FALSE)</f>
        <v>0</v>
      </c>
      <c r="AG838" s="5" t="str">
        <f ca="1">IFERROR(__xludf.DUMMYFUNCTION("""COMPUTED_VALUE"""),"INSPECCIONES REALIZADAS")</f>
        <v>INSPECCIONES REALIZADAS</v>
      </c>
      <c r="AH838" s="5"/>
    </row>
    <row r="839" spans="1:34">
      <c r="A839" s="5" t="str">
        <f ca="1">IFERROR(__xludf.DUMMYFUNCTION("""COMPUTED_VALUE"""),"LINEA PARA EL LLENADO DE GARRAFAS")</f>
        <v>LINEA PARA EL LLENADO DE GARRAFAS</v>
      </c>
      <c r="B839" s="5">
        <f ca="1">IFERROR(__xludf.DUMMYFUNCTION("""COMPUTED_VALUE"""),710019)</f>
        <v>710019</v>
      </c>
      <c r="C839" s="5" t="str">
        <f ca="1">IFERROR(__xludf.DUMMYFUNCTION("""COMPUTED_VALUE"""),"LLENADORA DE GARRAFAS")</f>
        <v>LLENADORA DE GARRAFAS</v>
      </c>
      <c r="D839" s="5">
        <f ca="1">IFERROR(__xludf.DUMMYFUNCTION("""COMPUTED_VALUE"""),13247725)</f>
        <v>13247725</v>
      </c>
      <c r="E839" s="5" t="str">
        <f ca="1">IFERROR(__xludf.DUMMYFUNCTION("""COMPUTED_VALUE"""),"INSPECCION SEMANAL LLENADORA DE GARRAFAS")</f>
        <v>INSPECCION SEMANAL LLENADORA DE GARRAFAS</v>
      </c>
      <c r="F839" s="5" t="str">
        <f ca="1">IFERROR(__xludf.DUMMYFUNCTION("""COMPUTED_VALUE"""),"INSP. FUNCIONAMIENTO TABLERO ELECTRICO.")</f>
        <v>INSP. FUNCIONAMIENTO TABLERO ELECTRICO.</v>
      </c>
      <c r="G839" s="5" t="b">
        <f ca="1">IFERROR(__xludf.DUMMYFUNCTION("""COMPUTED_VALUE"""),TRUE)</f>
        <v>1</v>
      </c>
      <c r="H839" s="5"/>
      <c r="I839" s="5"/>
      <c r="J839" s="5">
        <f ca="1">IFERROR(__xludf.DUMMYFUNCTION("""COMPUTED_VALUE"""),13247725)</f>
        <v>13247725</v>
      </c>
      <c r="K839" s="5"/>
      <c r="L839" s="18">
        <f ca="1">IFERROR(__xludf.DUMMYFUNCTION("""COMPUTED_VALUE"""),45324)</f>
        <v>45324</v>
      </c>
      <c r="M839" s="18">
        <f ca="1">IFERROR(__xludf.DUMMYFUNCTION("""COMPUTED_VALUE"""),45324)</f>
        <v>45324</v>
      </c>
      <c r="N839" s="5" t="str">
        <f ca="1">IFERROR(__xludf.DUMMYFUNCTION("""COMPUTED_VALUE"""),"Víctor David Burbano Gómez")</f>
        <v>Víctor David Burbano Gómez</v>
      </c>
      <c r="O839" s="2">
        <f ca="1">IFERROR(__xludf.DUMMYFUNCTION("""COMPUTED_VALUE"""),0.007692308)</f>
        <v>7.6923080000000001E-3</v>
      </c>
      <c r="P839" s="5">
        <f ca="1">IFERROR(__xludf.DUMMYFUNCTION("""COMPUTED_VALUE"""),20065447)</f>
        <v>20065447</v>
      </c>
      <c r="Q839" s="5" t="str">
        <f ca="1">IFERROR(__xludf.DUMMYFUNCTION("""COMPUTED_VALUE"""),"8vQLRAjuD88")</f>
        <v>8vQLRAjuD88</v>
      </c>
      <c r="R839" s="5">
        <f ca="1">IFERROR(__xludf.DUMMYFUNCTION("""COMPUTED_VALUE"""),410)</f>
        <v>410</v>
      </c>
      <c r="S839" s="62">
        <f ca="1">IFERROR(__xludf.DUMMYFUNCTION("""COMPUTED_VALUE"""),0.007692308)</f>
        <v>7.6923080000000001E-3</v>
      </c>
      <c r="T839" s="63" t="str">
        <f ca="1">IFERROR(__xludf.DUMMYFUNCTION("""COMPUTED_VALUE"""),"https://storage.googleapis.com/glide-prod.appspot.com/uploads-v2/ly7o78grxPaC6KdgvbpS/pub/3aRdSog0vUtuqPE8AJKD.png")</f>
        <v>https://storage.googleapis.com/glide-prod.appspot.com/uploads-v2/ly7o78grxPaC6KdgvbpS/pub/3aRdSog0vUtuqPE8AJKD.png</v>
      </c>
      <c r="U839" s="5" t="str">
        <f ca="1">IFERROR(__xludf.DUMMYFUNCTION("""COMPUTED_VALUE"""),"LINEA PARA EL LLENADO DE GARRAFASLLENADORA DE GARRAFAS")</f>
        <v>LINEA PARA EL LLENADO DE GARRAFASLLENADORA DE GARRAFAS</v>
      </c>
      <c r="V839" s="5"/>
      <c r="W839" s="5" t="b">
        <f ca="1">IFERROR(__xludf.DUMMYFUNCTION("""COMPUTED_VALUE"""),TRUE)</f>
        <v>1</v>
      </c>
      <c r="X839" s="5" t="str">
        <f ca="1">IFERROR(__xludf.DUMMYFUNCTION("""COMPUTED_VALUE"""),"achavezi@postobon.com.co,aprmttoyu@postobon.com.co,aprmyu@postobon.com.co,wmora@postobon.com.co,efzapata@postobon.com.co")</f>
        <v>achavezi@postobon.com.co,aprmttoyu@postobon.com.co,aprmyu@postobon.com.co,wmora@postobon.com.co,efzapata@postobon.com.co</v>
      </c>
      <c r="Y839" s="5" t="str">
        <f ca="1">IFERROR(__xludf.DUMMYFUNCTION("""COMPUTED_VALUE"""),"achavezi@postobon.com.co")</f>
        <v>achavezi@postobon.com.co</v>
      </c>
      <c r="Z839" s="5" t="str">
        <f ca="1">IFERROR(__xludf.DUMMYFUNCTION("""COMPUTED_VALUE"""),"MIGXpZoGSTGDuhVxZ89srA")</f>
        <v>MIGXpZoGSTGDuhVxZ89srA</v>
      </c>
      <c r="AA839" s="5"/>
      <c r="AB839" s="5"/>
      <c r="AC839" s="5"/>
      <c r="AD839" s="5">
        <f ca="1">IFERROR(__xludf.DUMMYFUNCTION("""COMPUTED_VALUE"""),62)</f>
        <v>62</v>
      </c>
      <c r="AE839" s="5">
        <f ca="1">IFERROR(__xludf.DUMMYFUNCTION("""COMPUTED_VALUE"""),62)</f>
        <v>62</v>
      </c>
      <c r="AF839" s="5" t="b">
        <f ca="1">IFERROR(__xludf.DUMMYFUNCTION("""COMPUTED_VALUE"""),FALSE)</f>
        <v>0</v>
      </c>
      <c r="AG839" s="5" t="str">
        <f ca="1">IFERROR(__xludf.DUMMYFUNCTION("""COMPUTED_VALUE"""),"INSPECCIONES REALIZADAS")</f>
        <v>INSPECCIONES REALIZADAS</v>
      </c>
      <c r="AH839" s="5"/>
    </row>
    <row r="840" spans="1:34">
      <c r="A840" s="5" t="str">
        <f ca="1">IFERROR(__xludf.DUMMYFUNCTION("""COMPUTED_VALUE"""),"LINEA PARA EL LLENADO DE GARRAFAS")</f>
        <v>LINEA PARA EL LLENADO DE GARRAFAS</v>
      </c>
      <c r="B840" s="5">
        <f ca="1">IFERROR(__xludf.DUMMYFUNCTION("""COMPUTED_VALUE"""),710019)</f>
        <v>710019</v>
      </c>
      <c r="C840" s="5" t="str">
        <f ca="1">IFERROR(__xludf.DUMMYFUNCTION("""COMPUTED_VALUE"""),"LLENADORA DE GARRAFAS")</f>
        <v>LLENADORA DE GARRAFAS</v>
      </c>
      <c r="D840" s="5">
        <f ca="1">IFERROR(__xludf.DUMMYFUNCTION("""COMPUTED_VALUE"""),13247725)</f>
        <v>13247725</v>
      </c>
      <c r="E840" s="5" t="str">
        <f ca="1">IFERROR(__xludf.DUMMYFUNCTION("""COMPUTED_VALUE"""),"INSPECCION SEMANAL LLENADORA DE GARRAFAS")</f>
        <v>INSPECCION SEMANAL LLENADORA DE GARRAFAS</v>
      </c>
      <c r="F840" s="5" t="str">
        <f ca="1">IFERROR(__xludf.DUMMYFUNCTION("""COMPUTED_VALUE"""),"INS. FUNC MECANISMO")</f>
        <v>INS. FUNC MECANISMO</v>
      </c>
      <c r="G840" s="5" t="b">
        <f ca="1">IFERROR(__xludf.DUMMYFUNCTION("""COMPUTED_VALUE"""),TRUE)</f>
        <v>1</v>
      </c>
      <c r="H840" s="5"/>
      <c r="I840" s="5"/>
      <c r="J840" s="5">
        <f ca="1">IFERROR(__xludf.DUMMYFUNCTION("""COMPUTED_VALUE"""),13247725)</f>
        <v>13247725</v>
      </c>
      <c r="K840" s="5"/>
      <c r="L840" s="18">
        <f ca="1">IFERROR(__xludf.DUMMYFUNCTION("""COMPUTED_VALUE"""),45324)</f>
        <v>45324</v>
      </c>
      <c r="M840" s="18">
        <f ca="1">IFERROR(__xludf.DUMMYFUNCTION("""COMPUTED_VALUE"""),45324)</f>
        <v>45324</v>
      </c>
      <c r="N840" s="5" t="str">
        <f ca="1">IFERROR(__xludf.DUMMYFUNCTION("""COMPUTED_VALUE"""),"Víctor David Burbano Gómez")</f>
        <v>Víctor David Burbano Gómez</v>
      </c>
      <c r="O840" s="2">
        <f ca="1">IFERROR(__xludf.DUMMYFUNCTION("""COMPUTED_VALUE"""),0.007692308)</f>
        <v>7.6923080000000001E-3</v>
      </c>
      <c r="P840" s="5">
        <f ca="1">IFERROR(__xludf.DUMMYFUNCTION("""COMPUTED_VALUE"""),20065447)</f>
        <v>20065447</v>
      </c>
      <c r="Q840" s="5" t="str">
        <f ca="1">IFERROR(__xludf.DUMMYFUNCTION("""COMPUTED_VALUE"""),"DZUIJLgQs5s")</f>
        <v>DZUIJLgQs5s</v>
      </c>
      <c r="R840" s="5">
        <f ca="1">IFERROR(__xludf.DUMMYFUNCTION("""COMPUTED_VALUE"""),410)</f>
        <v>410</v>
      </c>
      <c r="S840" s="62">
        <f ca="1">IFERROR(__xludf.DUMMYFUNCTION("""COMPUTED_VALUE"""),0.007692308)</f>
        <v>7.6923080000000001E-3</v>
      </c>
      <c r="T840" s="63" t="str">
        <f ca="1">IFERROR(__xludf.DUMMYFUNCTION("""COMPUTED_VALUE"""),"https://storage.googleapis.com/glide-prod.appspot.com/uploads-v2/ly7o78grxPaC6KdgvbpS/pub/3aRdSog0vUtuqPE8AJKD.png")</f>
        <v>https://storage.googleapis.com/glide-prod.appspot.com/uploads-v2/ly7o78grxPaC6KdgvbpS/pub/3aRdSog0vUtuqPE8AJKD.png</v>
      </c>
      <c r="U840" s="5" t="str">
        <f ca="1">IFERROR(__xludf.DUMMYFUNCTION("""COMPUTED_VALUE"""),"LINEA PARA EL LLENADO DE GARRAFASLLENADORA DE GARRAFAS")</f>
        <v>LINEA PARA EL LLENADO DE GARRAFASLLENADORA DE GARRAFAS</v>
      </c>
      <c r="V840" s="5"/>
      <c r="W840" s="5" t="b">
        <f ca="1">IFERROR(__xludf.DUMMYFUNCTION("""COMPUTED_VALUE"""),TRUE)</f>
        <v>1</v>
      </c>
      <c r="X840" s="5" t="str">
        <f ca="1">IFERROR(__xludf.DUMMYFUNCTION("""COMPUTED_VALUE"""),"achavezi@postobon.com.co,aprmttoyu@postobon.com.co,aprmyu@postobon.com.co,wmora@postobon.com.co,efzapata@postobon.com.co")</f>
        <v>achavezi@postobon.com.co,aprmttoyu@postobon.com.co,aprmyu@postobon.com.co,wmora@postobon.com.co,efzapata@postobon.com.co</v>
      </c>
      <c r="Y840" s="5" t="str">
        <f ca="1">IFERROR(__xludf.DUMMYFUNCTION("""COMPUTED_VALUE"""),"achavezi@postobon.com.co")</f>
        <v>achavezi@postobon.com.co</v>
      </c>
      <c r="Z840" s="5" t="str">
        <f ca="1">IFERROR(__xludf.DUMMYFUNCTION("""COMPUTED_VALUE"""),"zL6tcPuFTZqq5WO17z.U6Q")</f>
        <v>zL6tcPuFTZqq5WO17z.U6Q</v>
      </c>
      <c r="AA840" s="5"/>
      <c r="AB840" s="5"/>
      <c r="AC840" s="5"/>
      <c r="AD840" s="5">
        <f ca="1">IFERROR(__xludf.DUMMYFUNCTION("""COMPUTED_VALUE"""),62)</f>
        <v>62</v>
      </c>
      <c r="AE840" s="5">
        <f ca="1">IFERROR(__xludf.DUMMYFUNCTION("""COMPUTED_VALUE"""),62)</f>
        <v>62</v>
      </c>
      <c r="AF840" s="5" t="b">
        <f ca="1">IFERROR(__xludf.DUMMYFUNCTION("""COMPUTED_VALUE"""),FALSE)</f>
        <v>0</v>
      </c>
      <c r="AG840" s="5" t="str">
        <f ca="1">IFERROR(__xludf.DUMMYFUNCTION("""COMPUTED_VALUE"""),"INSPECCIONES REALIZADAS")</f>
        <v>INSPECCIONES REALIZADAS</v>
      </c>
      <c r="AH840" s="5"/>
    </row>
    <row r="841" spans="1:34">
      <c r="A841" s="5" t="str">
        <f ca="1">IFERROR(__xludf.DUMMYFUNCTION("""COMPUTED_VALUE"""),"LINEA PARA EL LLENADO DE GARRAFAS")</f>
        <v>LINEA PARA EL LLENADO DE GARRAFAS</v>
      </c>
      <c r="B841" s="5">
        <f ca="1">IFERROR(__xludf.DUMMYFUNCTION("""COMPUTED_VALUE"""),710019)</f>
        <v>710019</v>
      </c>
      <c r="C841" s="5" t="str">
        <f ca="1">IFERROR(__xludf.DUMMYFUNCTION("""COMPUTED_VALUE"""),"LLENADORA DE GARRAFAS")</f>
        <v>LLENADORA DE GARRAFAS</v>
      </c>
      <c r="D841" s="5">
        <f ca="1">IFERROR(__xludf.DUMMYFUNCTION("""COMPUTED_VALUE"""),13247725)</f>
        <v>13247725</v>
      </c>
      <c r="E841" s="5" t="str">
        <f ca="1">IFERROR(__xludf.DUMMYFUNCTION("""COMPUTED_VALUE"""),"INSPECCION SEMANAL LLENADORA DE GARRAFAS")</f>
        <v>INSPECCION SEMANAL LLENADORA DE GARRAFAS</v>
      </c>
      <c r="F841" s="5" t="str">
        <f ca="1">IFERROR(__xludf.DUMMYFUNCTION("""COMPUTED_VALUE"""),"INS. ESTADO MOTORES")</f>
        <v>INS. ESTADO MOTORES</v>
      </c>
      <c r="G841" s="5" t="b">
        <f ca="1">IFERROR(__xludf.DUMMYFUNCTION("""COMPUTED_VALUE"""),TRUE)</f>
        <v>1</v>
      </c>
      <c r="H841" s="5"/>
      <c r="I841" s="5"/>
      <c r="J841" s="5">
        <f ca="1">IFERROR(__xludf.DUMMYFUNCTION("""COMPUTED_VALUE"""),13247725)</f>
        <v>13247725</v>
      </c>
      <c r="K841" s="5"/>
      <c r="L841" s="18">
        <f ca="1">IFERROR(__xludf.DUMMYFUNCTION("""COMPUTED_VALUE"""),45324)</f>
        <v>45324</v>
      </c>
      <c r="M841" s="18">
        <f ca="1">IFERROR(__xludf.DUMMYFUNCTION("""COMPUTED_VALUE"""),45324)</f>
        <v>45324</v>
      </c>
      <c r="N841" s="5" t="str">
        <f ca="1">IFERROR(__xludf.DUMMYFUNCTION("""COMPUTED_VALUE"""),"Víctor David Burbano Gómez")</f>
        <v>Víctor David Burbano Gómez</v>
      </c>
      <c r="O841" s="2">
        <f ca="1">IFERROR(__xludf.DUMMYFUNCTION("""COMPUTED_VALUE"""),0.007692308)</f>
        <v>7.6923080000000001E-3</v>
      </c>
      <c r="P841" s="5">
        <f ca="1">IFERROR(__xludf.DUMMYFUNCTION("""COMPUTED_VALUE"""),20065447)</f>
        <v>20065447</v>
      </c>
      <c r="Q841" s="5" t="str">
        <f ca="1">IFERROR(__xludf.DUMMYFUNCTION("""COMPUTED_VALUE"""),"JbvGYtLK3cw")</f>
        <v>JbvGYtLK3cw</v>
      </c>
      <c r="R841" s="5">
        <f ca="1">IFERROR(__xludf.DUMMYFUNCTION("""COMPUTED_VALUE"""),410)</f>
        <v>410</v>
      </c>
      <c r="S841" s="62">
        <f ca="1">IFERROR(__xludf.DUMMYFUNCTION("""COMPUTED_VALUE"""),0.007692308)</f>
        <v>7.6923080000000001E-3</v>
      </c>
      <c r="T841" s="63" t="str">
        <f ca="1">IFERROR(__xludf.DUMMYFUNCTION("""COMPUTED_VALUE"""),"https://storage.googleapis.com/glide-prod.appspot.com/uploads-v2/ly7o78grxPaC6KdgvbpS/pub/3aRdSog0vUtuqPE8AJKD.png")</f>
        <v>https://storage.googleapis.com/glide-prod.appspot.com/uploads-v2/ly7o78grxPaC6KdgvbpS/pub/3aRdSog0vUtuqPE8AJKD.png</v>
      </c>
      <c r="U841" s="5" t="str">
        <f ca="1">IFERROR(__xludf.DUMMYFUNCTION("""COMPUTED_VALUE"""),"LINEA PARA EL LLENADO DE GARRAFASLLENADORA DE GARRAFAS")</f>
        <v>LINEA PARA EL LLENADO DE GARRAFASLLENADORA DE GARRAFAS</v>
      </c>
      <c r="V841" s="5"/>
      <c r="W841" s="5" t="b">
        <f ca="1">IFERROR(__xludf.DUMMYFUNCTION("""COMPUTED_VALUE"""),TRUE)</f>
        <v>1</v>
      </c>
      <c r="X841" s="5" t="str">
        <f ca="1">IFERROR(__xludf.DUMMYFUNCTION("""COMPUTED_VALUE"""),"achavezi@postobon.com.co,aprmttoyu@postobon.com.co,aprmyu@postobon.com.co,wmora@postobon.com.co,efzapata@postobon.com.co")</f>
        <v>achavezi@postobon.com.co,aprmttoyu@postobon.com.co,aprmyu@postobon.com.co,wmora@postobon.com.co,efzapata@postobon.com.co</v>
      </c>
      <c r="Y841" s="5" t="str">
        <f ca="1">IFERROR(__xludf.DUMMYFUNCTION("""COMPUTED_VALUE"""),"achavezi@postobon.com.co")</f>
        <v>achavezi@postobon.com.co</v>
      </c>
      <c r="Z841" s="5" t="str">
        <f ca="1">IFERROR(__xludf.DUMMYFUNCTION("""COMPUTED_VALUE"""),"uKxM7awVSHKnbVKq.gaSlQ")</f>
        <v>uKxM7awVSHKnbVKq.gaSlQ</v>
      </c>
      <c r="AA841" s="5"/>
      <c r="AB841" s="5"/>
      <c r="AC841" s="5"/>
      <c r="AD841" s="5">
        <f ca="1">IFERROR(__xludf.DUMMYFUNCTION("""COMPUTED_VALUE"""),62)</f>
        <v>62</v>
      </c>
      <c r="AE841" s="5">
        <f ca="1">IFERROR(__xludf.DUMMYFUNCTION("""COMPUTED_VALUE"""),62)</f>
        <v>62</v>
      </c>
      <c r="AF841" s="5" t="b">
        <f ca="1">IFERROR(__xludf.DUMMYFUNCTION("""COMPUTED_VALUE"""),FALSE)</f>
        <v>0</v>
      </c>
      <c r="AG841" s="5" t="str">
        <f ca="1">IFERROR(__xludf.DUMMYFUNCTION("""COMPUTED_VALUE"""),"INSPECCIONES REALIZADAS")</f>
        <v>INSPECCIONES REALIZADAS</v>
      </c>
      <c r="AH841" s="5"/>
    </row>
    <row r="842" spans="1:34">
      <c r="A842" s="5" t="str">
        <f ca="1">IFERROR(__xludf.DUMMYFUNCTION("""COMPUTED_VALUE"""),"LINEA PARA EL LLENADO DE GARRAFAS")</f>
        <v>LINEA PARA EL LLENADO DE GARRAFAS</v>
      </c>
      <c r="B842" s="5">
        <f ca="1">IFERROR(__xludf.DUMMYFUNCTION("""COMPUTED_VALUE"""),710019)</f>
        <v>710019</v>
      </c>
      <c r="C842" s="5" t="str">
        <f ca="1">IFERROR(__xludf.DUMMYFUNCTION("""COMPUTED_VALUE"""),"LLENADORA DE GARRAFAS")</f>
        <v>LLENADORA DE GARRAFAS</v>
      </c>
      <c r="D842" s="5">
        <f ca="1">IFERROR(__xludf.DUMMYFUNCTION("""COMPUTED_VALUE"""),13247725)</f>
        <v>13247725</v>
      </c>
      <c r="E842" s="5" t="str">
        <f ca="1">IFERROR(__xludf.DUMMYFUNCTION("""COMPUTED_VALUE"""),"INSPECCION SEMANAL LLENADORA DE GARRAFAS")</f>
        <v>INSPECCION SEMANAL LLENADORA DE GARRAFAS</v>
      </c>
      <c r="F842" s="5" t="str">
        <f ca="1">IFERROR(__xludf.DUMMYFUNCTION("""COMPUTED_VALUE"""),"INS. ESTADO DE VALVULAS LLENADO")</f>
        <v>INS. ESTADO DE VALVULAS LLENADO</v>
      </c>
      <c r="G842" s="5" t="b">
        <f ca="1">IFERROR(__xludf.DUMMYFUNCTION("""COMPUTED_VALUE"""),TRUE)</f>
        <v>1</v>
      </c>
      <c r="H842" s="5"/>
      <c r="I842" s="5"/>
      <c r="J842" s="5">
        <f ca="1">IFERROR(__xludf.DUMMYFUNCTION("""COMPUTED_VALUE"""),13247725)</f>
        <v>13247725</v>
      </c>
      <c r="K842" s="5"/>
      <c r="L842" s="18">
        <f ca="1">IFERROR(__xludf.DUMMYFUNCTION("""COMPUTED_VALUE"""),45324)</f>
        <v>45324</v>
      </c>
      <c r="M842" s="18">
        <f ca="1">IFERROR(__xludf.DUMMYFUNCTION("""COMPUTED_VALUE"""),45324)</f>
        <v>45324</v>
      </c>
      <c r="N842" s="5" t="str">
        <f ca="1">IFERROR(__xludf.DUMMYFUNCTION("""COMPUTED_VALUE"""),"Víctor David Burbano Gómez")</f>
        <v>Víctor David Burbano Gómez</v>
      </c>
      <c r="O842" s="2">
        <f ca="1">IFERROR(__xludf.DUMMYFUNCTION("""COMPUTED_VALUE"""),0.007692308)</f>
        <v>7.6923080000000001E-3</v>
      </c>
      <c r="P842" s="5">
        <f ca="1">IFERROR(__xludf.DUMMYFUNCTION("""COMPUTED_VALUE"""),20065447)</f>
        <v>20065447</v>
      </c>
      <c r="Q842" s="5" t="str">
        <f ca="1">IFERROR(__xludf.DUMMYFUNCTION("""COMPUTED_VALUE"""),"6Y42M0fNgMM")</f>
        <v>6Y42M0fNgMM</v>
      </c>
      <c r="R842" s="5">
        <f ca="1">IFERROR(__xludf.DUMMYFUNCTION("""COMPUTED_VALUE"""),410)</f>
        <v>410</v>
      </c>
      <c r="S842" s="62">
        <f ca="1">IFERROR(__xludf.DUMMYFUNCTION("""COMPUTED_VALUE"""),0.007692308)</f>
        <v>7.6923080000000001E-3</v>
      </c>
      <c r="T842" s="63" t="str">
        <f ca="1">IFERROR(__xludf.DUMMYFUNCTION("""COMPUTED_VALUE"""),"https://storage.googleapis.com/glide-prod.appspot.com/uploads-v2/ly7o78grxPaC6KdgvbpS/pub/3aRdSog0vUtuqPE8AJKD.png")</f>
        <v>https://storage.googleapis.com/glide-prod.appspot.com/uploads-v2/ly7o78grxPaC6KdgvbpS/pub/3aRdSog0vUtuqPE8AJKD.png</v>
      </c>
      <c r="U842" s="5" t="str">
        <f ca="1">IFERROR(__xludf.DUMMYFUNCTION("""COMPUTED_VALUE"""),"LINEA PARA EL LLENADO DE GARRAFASLLENADORA DE GARRAFAS")</f>
        <v>LINEA PARA EL LLENADO DE GARRAFASLLENADORA DE GARRAFAS</v>
      </c>
      <c r="V842" s="5"/>
      <c r="W842" s="5" t="b">
        <f ca="1">IFERROR(__xludf.DUMMYFUNCTION("""COMPUTED_VALUE"""),TRUE)</f>
        <v>1</v>
      </c>
      <c r="X842" s="5" t="str">
        <f ca="1">IFERROR(__xludf.DUMMYFUNCTION("""COMPUTED_VALUE"""),"achavezi@postobon.com.co,aprmttoyu@postobon.com.co,aprmyu@postobon.com.co,wmora@postobon.com.co,efzapata@postobon.com.co")</f>
        <v>achavezi@postobon.com.co,aprmttoyu@postobon.com.co,aprmyu@postobon.com.co,wmora@postobon.com.co,efzapata@postobon.com.co</v>
      </c>
      <c r="Y842" s="5" t="str">
        <f ca="1">IFERROR(__xludf.DUMMYFUNCTION("""COMPUTED_VALUE"""),"achavezi@postobon.com.co")</f>
        <v>achavezi@postobon.com.co</v>
      </c>
      <c r="Z842" s="5" t="str">
        <f ca="1">IFERROR(__xludf.DUMMYFUNCTION("""COMPUTED_VALUE"""),"Sh3mtdPdQ76XgwA-YwzXOQ")</f>
        <v>Sh3mtdPdQ76XgwA-YwzXOQ</v>
      </c>
      <c r="AA842" s="5"/>
      <c r="AB842" s="5"/>
      <c r="AC842" s="5"/>
      <c r="AD842" s="5">
        <f ca="1">IFERROR(__xludf.DUMMYFUNCTION("""COMPUTED_VALUE"""),62)</f>
        <v>62</v>
      </c>
      <c r="AE842" s="5">
        <f ca="1">IFERROR(__xludf.DUMMYFUNCTION("""COMPUTED_VALUE"""),62)</f>
        <v>62</v>
      </c>
      <c r="AF842" s="5" t="b">
        <f ca="1">IFERROR(__xludf.DUMMYFUNCTION("""COMPUTED_VALUE"""),FALSE)</f>
        <v>0</v>
      </c>
      <c r="AG842" s="5" t="str">
        <f ca="1">IFERROR(__xludf.DUMMYFUNCTION("""COMPUTED_VALUE"""),"INSPECCIONES REALIZADAS")</f>
        <v>INSPECCIONES REALIZADAS</v>
      </c>
      <c r="AH842" s="5"/>
    </row>
    <row r="843" spans="1:34">
      <c r="A843" s="5" t="str">
        <f ca="1">IFERROR(__xludf.DUMMYFUNCTION("""COMPUTED_VALUE"""),"LINEA PARA EL LLENADO DE GARRAFAS")</f>
        <v>LINEA PARA EL LLENADO DE GARRAFAS</v>
      </c>
      <c r="B843" s="5">
        <f ca="1">IFERROR(__xludf.DUMMYFUNCTION("""COMPUTED_VALUE"""),710019)</f>
        <v>710019</v>
      </c>
      <c r="C843" s="5" t="str">
        <f ca="1">IFERROR(__xludf.DUMMYFUNCTION("""COMPUTED_VALUE"""),"LLENADORA DE GARRAFAS")</f>
        <v>LLENADORA DE GARRAFAS</v>
      </c>
      <c r="D843" s="5">
        <f ca="1">IFERROR(__xludf.DUMMYFUNCTION("""COMPUTED_VALUE"""),13247725)</f>
        <v>13247725</v>
      </c>
      <c r="E843" s="5" t="str">
        <f ca="1">IFERROR(__xludf.DUMMYFUNCTION("""COMPUTED_VALUE"""),"INSPECCION SEMANAL LLENADORA DE GARRAFAS")</f>
        <v>INSPECCION SEMANAL LLENADORA DE GARRAFAS</v>
      </c>
      <c r="F843" s="5" t="str">
        <f ca="1">IFERROR(__xludf.DUMMYFUNCTION("""COMPUTED_VALUE"""),"INSP FUGAS AGUA")</f>
        <v>INSP FUGAS AGUA</v>
      </c>
      <c r="G843" s="5" t="b">
        <f ca="1">IFERROR(__xludf.DUMMYFUNCTION("""COMPUTED_VALUE"""),TRUE)</f>
        <v>1</v>
      </c>
      <c r="H843" s="5"/>
      <c r="I843" s="5"/>
      <c r="J843" s="5">
        <f ca="1">IFERROR(__xludf.DUMMYFUNCTION("""COMPUTED_VALUE"""),13247725)</f>
        <v>13247725</v>
      </c>
      <c r="K843" s="5"/>
      <c r="L843" s="18">
        <f ca="1">IFERROR(__xludf.DUMMYFUNCTION("""COMPUTED_VALUE"""),45324)</f>
        <v>45324</v>
      </c>
      <c r="M843" s="18">
        <f ca="1">IFERROR(__xludf.DUMMYFUNCTION("""COMPUTED_VALUE"""),45324)</f>
        <v>45324</v>
      </c>
      <c r="N843" s="5" t="str">
        <f ca="1">IFERROR(__xludf.DUMMYFUNCTION("""COMPUTED_VALUE"""),"Víctor David Burbano Gómez")</f>
        <v>Víctor David Burbano Gómez</v>
      </c>
      <c r="O843" s="2">
        <f ca="1">IFERROR(__xludf.DUMMYFUNCTION("""COMPUTED_VALUE"""),0.007692308)</f>
        <v>7.6923080000000001E-3</v>
      </c>
      <c r="P843" s="5">
        <f ca="1">IFERROR(__xludf.DUMMYFUNCTION("""COMPUTED_VALUE"""),20065447)</f>
        <v>20065447</v>
      </c>
      <c r="Q843" s="5" t="str">
        <f ca="1">IFERROR(__xludf.DUMMYFUNCTION("""COMPUTED_VALUE"""),"2--IleiXhi4")</f>
        <v>2--IleiXhi4</v>
      </c>
      <c r="R843" s="5">
        <f ca="1">IFERROR(__xludf.DUMMYFUNCTION("""COMPUTED_VALUE"""),410)</f>
        <v>410</v>
      </c>
      <c r="S843" s="62">
        <f ca="1">IFERROR(__xludf.DUMMYFUNCTION("""COMPUTED_VALUE"""),0.007692308)</f>
        <v>7.6923080000000001E-3</v>
      </c>
      <c r="T843" s="63" t="str">
        <f ca="1">IFERROR(__xludf.DUMMYFUNCTION("""COMPUTED_VALUE"""),"https://storage.googleapis.com/glide-prod.appspot.com/uploads-v2/ly7o78grxPaC6KdgvbpS/pub/3aRdSog0vUtuqPE8AJKD.png")</f>
        <v>https://storage.googleapis.com/glide-prod.appspot.com/uploads-v2/ly7o78grxPaC6KdgvbpS/pub/3aRdSog0vUtuqPE8AJKD.png</v>
      </c>
      <c r="U843" s="5" t="str">
        <f ca="1">IFERROR(__xludf.DUMMYFUNCTION("""COMPUTED_VALUE"""),"LINEA PARA EL LLENADO DE GARRAFASLLENADORA DE GARRAFAS")</f>
        <v>LINEA PARA EL LLENADO DE GARRAFASLLENADORA DE GARRAFAS</v>
      </c>
      <c r="V843" s="5"/>
      <c r="W843" s="5" t="b">
        <f ca="1">IFERROR(__xludf.DUMMYFUNCTION("""COMPUTED_VALUE"""),TRUE)</f>
        <v>1</v>
      </c>
      <c r="X843" s="5" t="str">
        <f ca="1">IFERROR(__xludf.DUMMYFUNCTION("""COMPUTED_VALUE"""),"achavezi@postobon.com.co,aprmttoyu@postobon.com.co,aprmyu@postobon.com.co,wmora@postobon.com.co,efzapata@postobon.com.co")</f>
        <v>achavezi@postobon.com.co,aprmttoyu@postobon.com.co,aprmyu@postobon.com.co,wmora@postobon.com.co,efzapata@postobon.com.co</v>
      </c>
      <c r="Y843" s="5" t="str">
        <f ca="1">IFERROR(__xludf.DUMMYFUNCTION("""COMPUTED_VALUE"""),"achavezi@postobon.com.co")</f>
        <v>achavezi@postobon.com.co</v>
      </c>
      <c r="Z843" s="5" t="str">
        <f ca="1">IFERROR(__xludf.DUMMYFUNCTION("""COMPUTED_VALUE"""),"32cxjgMKQ6GqChY4Pv.xRQ")</f>
        <v>32cxjgMKQ6GqChY4Pv.xRQ</v>
      </c>
      <c r="AA843" s="5"/>
      <c r="AB843" s="5"/>
      <c r="AC843" s="5"/>
      <c r="AD843" s="5">
        <f ca="1">IFERROR(__xludf.DUMMYFUNCTION("""COMPUTED_VALUE"""),62)</f>
        <v>62</v>
      </c>
      <c r="AE843" s="5">
        <f ca="1">IFERROR(__xludf.DUMMYFUNCTION("""COMPUTED_VALUE"""),62)</f>
        <v>62</v>
      </c>
      <c r="AF843" s="5" t="b">
        <f ca="1">IFERROR(__xludf.DUMMYFUNCTION("""COMPUTED_VALUE"""),FALSE)</f>
        <v>0</v>
      </c>
      <c r="AG843" s="5" t="str">
        <f ca="1">IFERROR(__xludf.DUMMYFUNCTION("""COMPUTED_VALUE"""),"INSPECCIONES REALIZADAS")</f>
        <v>INSPECCIONES REALIZADAS</v>
      </c>
      <c r="AH843" s="5"/>
    </row>
    <row r="844" spans="1:34">
      <c r="A844" s="5" t="str">
        <f ca="1">IFERROR(__xludf.DUMMYFUNCTION("""COMPUTED_VALUE"""),"LINEA PARA EL LLENADO DE GARRAFAS")</f>
        <v>LINEA PARA EL LLENADO DE GARRAFAS</v>
      </c>
      <c r="B844" s="5">
        <f ca="1">IFERROR(__xludf.DUMMYFUNCTION("""COMPUTED_VALUE"""),710019)</f>
        <v>710019</v>
      </c>
      <c r="C844" s="5" t="str">
        <f ca="1">IFERROR(__xludf.DUMMYFUNCTION("""COMPUTED_VALUE"""),"LLENADORA DE GARRAFAS")</f>
        <v>LLENADORA DE GARRAFAS</v>
      </c>
      <c r="D844" s="5">
        <f ca="1">IFERROR(__xludf.DUMMYFUNCTION("""COMPUTED_VALUE"""),13247725)</f>
        <v>13247725</v>
      </c>
      <c r="E844" s="5" t="str">
        <f ca="1">IFERROR(__xludf.DUMMYFUNCTION("""COMPUTED_VALUE"""),"INSPECCION SEMANAL LLENADORA DE GARRAFAS")</f>
        <v>INSPECCION SEMANAL LLENADORA DE GARRAFAS</v>
      </c>
      <c r="F844" s="5" t="str">
        <f ca="1">IFERROR(__xludf.DUMMYFUNCTION("""COMPUTED_VALUE"""),"INSP.FUNC SISTEMA NEUMATICO(CILINDROS)")</f>
        <v>INSP.FUNC SISTEMA NEUMATICO(CILINDROS)</v>
      </c>
      <c r="G844" s="5" t="b">
        <f ca="1">IFERROR(__xludf.DUMMYFUNCTION("""COMPUTED_VALUE"""),TRUE)</f>
        <v>1</v>
      </c>
      <c r="H844" s="5"/>
      <c r="I844" s="5"/>
      <c r="J844" s="5">
        <f ca="1">IFERROR(__xludf.DUMMYFUNCTION("""COMPUTED_VALUE"""),13247725)</f>
        <v>13247725</v>
      </c>
      <c r="K844" s="5"/>
      <c r="L844" s="18">
        <f ca="1">IFERROR(__xludf.DUMMYFUNCTION("""COMPUTED_VALUE"""),45324)</f>
        <v>45324</v>
      </c>
      <c r="M844" s="18">
        <f ca="1">IFERROR(__xludf.DUMMYFUNCTION("""COMPUTED_VALUE"""),45324)</f>
        <v>45324</v>
      </c>
      <c r="N844" s="5" t="str">
        <f ca="1">IFERROR(__xludf.DUMMYFUNCTION("""COMPUTED_VALUE"""),"Víctor David Burbano Gómez")</f>
        <v>Víctor David Burbano Gómez</v>
      </c>
      <c r="O844" s="2">
        <f ca="1">IFERROR(__xludf.DUMMYFUNCTION("""COMPUTED_VALUE"""),0.007692308)</f>
        <v>7.6923080000000001E-3</v>
      </c>
      <c r="P844" s="5">
        <f ca="1">IFERROR(__xludf.DUMMYFUNCTION("""COMPUTED_VALUE"""),20065447)</f>
        <v>20065447</v>
      </c>
      <c r="Q844" s="5" t="str">
        <f ca="1">IFERROR(__xludf.DUMMYFUNCTION("""COMPUTED_VALUE"""),"RCSn-hs6rok")</f>
        <v>RCSn-hs6rok</v>
      </c>
      <c r="R844" s="5">
        <f ca="1">IFERROR(__xludf.DUMMYFUNCTION("""COMPUTED_VALUE"""),410)</f>
        <v>410</v>
      </c>
      <c r="S844" s="62">
        <f ca="1">IFERROR(__xludf.DUMMYFUNCTION("""COMPUTED_VALUE"""),0.007692308)</f>
        <v>7.6923080000000001E-3</v>
      </c>
      <c r="T844" s="63" t="str">
        <f ca="1">IFERROR(__xludf.DUMMYFUNCTION("""COMPUTED_VALUE"""),"https://storage.googleapis.com/glide-prod.appspot.com/uploads-v2/ly7o78grxPaC6KdgvbpS/pub/3aRdSog0vUtuqPE8AJKD.png")</f>
        <v>https://storage.googleapis.com/glide-prod.appspot.com/uploads-v2/ly7o78grxPaC6KdgvbpS/pub/3aRdSog0vUtuqPE8AJKD.png</v>
      </c>
      <c r="U844" s="5" t="str">
        <f ca="1">IFERROR(__xludf.DUMMYFUNCTION("""COMPUTED_VALUE"""),"LINEA PARA EL LLENADO DE GARRAFASLLENADORA DE GARRAFAS")</f>
        <v>LINEA PARA EL LLENADO DE GARRAFASLLENADORA DE GARRAFAS</v>
      </c>
      <c r="V844" s="5"/>
      <c r="W844" s="5" t="b">
        <f ca="1">IFERROR(__xludf.DUMMYFUNCTION("""COMPUTED_VALUE"""),TRUE)</f>
        <v>1</v>
      </c>
      <c r="X844" s="5" t="str">
        <f ca="1">IFERROR(__xludf.DUMMYFUNCTION("""COMPUTED_VALUE"""),"achavezi@postobon.com.co,aprmttoyu@postobon.com.co,aprmyu@postobon.com.co,wmora@postobon.com.co,efzapata@postobon.com.co")</f>
        <v>achavezi@postobon.com.co,aprmttoyu@postobon.com.co,aprmyu@postobon.com.co,wmora@postobon.com.co,efzapata@postobon.com.co</v>
      </c>
      <c r="Y844" s="5" t="str">
        <f ca="1">IFERROR(__xludf.DUMMYFUNCTION("""COMPUTED_VALUE"""),"achavezi@postobon.com.co")</f>
        <v>achavezi@postobon.com.co</v>
      </c>
      <c r="Z844" s="5" t="str">
        <f ca="1">IFERROR(__xludf.DUMMYFUNCTION("""COMPUTED_VALUE"""),"rSONjeVGRoqFLcwP4S2EEg")</f>
        <v>rSONjeVGRoqFLcwP4S2EEg</v>
      </c>
      <c r="AA844" s="5"/>
      <c r="AB844" s="5"/>
      <c r="AC844" s="5"/>
      <c r="AD844" s="5">
        <f ca="1">IFERROR(__xludf.DUMMYFUNCTION("""COMPUTED_VALUE"""),62)</f>
        <v>62</v>
      </c>
      <c r="AE844" s="5">
        <f ca="1">IFERROR(__xludf.DUMMYFUNCTION("""COMPUTED_VALUE"""),62)</f>
        <v>62</v>
      </c>
      <c r="AF844" s="5" t="b">
        <f ca="1">IFERROR(__xludf.DUMMYFUNCTION("""COMPUTED_VALUE"""),FALSE)</f>
        <v>0</v>
      </c>
      <c r="AG844" s="5" t="str">
        <f ca="1">IFERROR(__xludf.DUMMYFUNCTION("""COMPUTED_VALUE"""),"INSPECCIONES REALIZADAS")</f>
        <v>INSPECCIONES REALIZADAS</v>
      </c>
      <c r="AH844" s="5"/>
    </row>
    <row r="845" spans="1:34">
      <c r="A845" s="5" t="str">
        <f ca="1">IFERROR(__xludf.DUMMYFUNCTION("""COMPUTED_VALUE"""),"LINEA PARA EL LLENADO DE GARRAFAS")</f>
        <v>LINEA PARA EL LLENADO DE GARRAFAS</v>
      </c>
      <c r="B845" s="5">
        <f ca="1">IFERROR(__xludf.DUMMYFUNCTION("""COMPUTED_VALUE"""),710019)</f>
        <v>710019</v>
      </c>
      <c r="C845" s="5" t="str">
        <f ca="1">IFERROR(__xludf.DUMMYFUNCTION("""COMPUTED_VALUE"""),"LLENADORA DE GARRAFAS")</f>
        <v>LLENADORA DE GARRAFAS</v>
      </c>
      <c r="D845" s="5">
        <f ca="1">IFERROR(__xludf.DUMMYFUNCTION("""COMPUTED_VALUE"""),13247725)</f>
        <v>13247725</v>
      </c>
      <c r="E845" s="5" t="str">
        <f ca="1">IFERROR(__xludf.DUMMYFUNCTION("""COMPUTED_VALUE"""),"INSPECCION SEMANAL LLENADORA DE GARRAFAS")</f>
        <v>INSPECCION SEMANAL LLENADORA DE GARRAFAS</v>
      </c>
      <c r="F845" s="5" t="str">
        <f ca="1">IFERROR(__xludf.DUMMYFUNCTION("""COMPUTED_VALUE"""),"Insp. Estado de cadena motor taponadora")</f>
        <v>Insp. Estado de cadena motor taponadora</v>
      </c>
      <c r="G845" s="5" t="b">
        <f ca="1">IFERROR(__xludf.DUMMYFUNCTION("""COMPUTED_VALUE"""),TRUE)</f>
        <v>1</v>
      </c>
      <c r="H845" s="5"/>
      <c r="I845" s="5"/>
      <c r="J845" s="5">
        <f ca="1">IFERROR(__xludf.DUMMYFUNCTION("""COMPUTED_VALUE"""),13247725)</f>
        <v>13247725</v>
      </c>
      <c r="K845" s="5"/>
      <c r="L845" s="18">
        <f ca="1">IFERROR(__xludf.DUMMYFUNCTION("""COMPUTED_VALUE"""),45324)</f>
        <v>45324</v>
      </c>
      <c r="M845" s="18">
        <f ca="1">IFERROR(__xludf.DUMMYFUNCTION("""COMPUTED_VALUE"""),45324)</f>
        <v>45324</v>
      </c>
      <c r="N845" s="5" t="str">
        <f ca="1">IFERROR(__xludf.DUMMYFUNCTION("""COMPUTED_VALUE"""),"Víctor David Burbano Gómez")</f>
        <v>Víctor David Burbano Gómez</v>
      </c>
      <c r="O845" s="2">
        <f ca="1">IFERROR(__xludf.DUMMYFUNCTION("""COMPUTED_VALUE"""),0.007692308)</f>
        <v>7.6923080000000001E-3</v>
      </c>
      <c r="P845" s="5">
        <f ca="1">IFERROR(__xludf.DUMMYFUNCTION("""COMPUTED_VALUE"""),20065447)</f>
        <v>20065447</v>
      </c>
      <c r="Q845" s="5" t="str">
        <f ca="1">IFERROR(__xludf.DUMMYFUNCTION("""COMPUTED_VALUE"""),"cYVlJYR6368")</f>
        <v>cYVlJYR6368</v>
      </c>
      <c r="R845" s="5">
        <f ca="1">IFERROR(__xludf.DUMMYFUNCTION("""COMPUTED_VALUE"""),410)</f>
        <v>410</v>
      </c>
      <c r="S845" s="62">
        <f ca="1">IFERROR(__xludf.DUMMYFUNCTION("""COMPUTED_VALUE"""),0.007692308)</f>
        <v>7.6923080000000001E-3</v>
      </c>
      <c r="T845" s="63" t="str">
        <f ca="1">IFERROR(__xludf.DUMMYFUNCTION("""COMPUTED_VALUE"""),"https://storage.googleapis.com/glide-prod.appspot.com/uploads-v2/ly7o78grxPaC6KdgvbpS/pub/3aRdSog0vUtuqPE8AJKD.png")</f>
        <v>https://storage.googleapis.com/glide-prod.appspot.com/uploads-v2/ly7o78grxPaC6KdgvbpS/pub/3aRdSog0vUtuqPE8AJKD.png</v>
      </c>
      <c r="U845" s="5" t="str">
        <f ca="1">IFERROR(__xludf.DUMMYFUNCTION("""COMPUTED_VALUE"""),"LINEA PARA EL LLENADO DE GARRAFASLLENADORA DE GARRAFAS")</f>
        <v>LINEA PARA EL LLENADO DE GARRAFASLLENADORA DE GARRAFAS</v>
      </c>
      <c r="V845" s="5"/>
      <c r="W845" s="5" t="b">
        <f ca="1">IFERROR(__xludf.DUMMYFUNCTION("""COMPUTED_VALUE"""),TRUE)</f>
        <v>1</v>
      </c>
      <c r="X845" s="5" t="str">
        <f ca="1">IFERROR(__xludf.DUMMYFUNCTION("""COMPUTED_VALUE"""),"achavezi@postobon.com.co,aprmttoyu@postobon.com.co,aprmyu@postobon.com.co,wmora@postobon.com.co,efzapata@postobon.com.co")</f>
        <v>achavezi@postobon.com.co,aprmttoyu@postobon.com.co,aprmyu@postobon.com.co,wmora@postobon.com.co,efzapata@postobon.com.co</v>
      </c>
      <c r="Y845" s="5" t="str">
        <f ca="1">IFERROR(__xludf.DUMMYFUNCTION("""COMPUTED_VALUE"""),"achavezi@postobon.com.co")</f>
        <v>achavezi@postobon.com.co</v>
      </c>
      <c r="Z845" s="5" t="str">
        <f ca="1">IFERROR(__xludf.DUMMYFUNCTION("""COMPUTED_VALUE"""),"LUirbK4gS3Cr0CkVmMDtkA")</f>
        <v>LUirbK4gS3Cr0CkVmMDtkA</v>
      </c>
      <c r="AA845" s="5"/>
      <c r="AB845" s="5"/>
      <c r="AC845" s="5"/>
      <c r="AD845" s="5">
        <f ca="1">IFERROR(__xludf.DUMMYFUNCTION("""COMPUTED_VALUE"""),62)</f>
        <v>62</v>
      </c>
      <c r="AE845" s="5">
        <f ca="1">IFERROR(__xludf.DUMMYFUNCTION("""COMPUTED_VALUE"""),62)</f>
        <v>62</v>
      </c>
      <c r="AF845" s="5" t="b">
        <f ca="1">IFERROR(__xludf.DUMMYFUNCTION("""COMPUTED_VALUE"""),FALSE)</f>
        <v>0</v>
      </c>
      <c r="AG845" s="5" t="str">
        <f ca="1">IFERROR(__xludf.DUMMYFUNCTION("""COMPUTED_VALUE"""),"INSPECCIONES REALIZADAS")</f>
        <v>INSPECCIONES REALIZADAS</v>
      </c>
      <c r="AH845" s="5"/>
    </row>
    <row r="846" spans="1:34">
      <c r="A846" s="5" t="str">
        <f ca="1">IFERROR(__xludf.DUMMYFUNCTION("""COMPUTED_VALUE"""),"LINEA PARA EL LLENADO DE GARRAFAS")</f>
        <v>LINEA PARA EL LLENADO DE GARRAFAS</v>
      </c>
      <c r="B846" s="5">
        <f ca="1">IFERROR(__xludf.DUMMYFUNCTION("""COMPUTED_VALUE"""),710019)</f>
        <v>710019</v>
      </c>
      <c r="C846" s="5" t="str">
        <f ca="1">IFERROR(__xludf.DUMMYFUNCTION("""COMPUTED_VALUE"""),"LLENADORA DE GARRAFAS")</f>
        <v>LLENADORA DE GARRAFAS</v>
      </c>
      <c r="D846" s="5">
        <f ca="1">IFERROR(__xludf.DUMMYFUNCTION("""COMPUTED_VALUE"""),13247725)</f>
        <v>13247725</v>
      </c>
      <c r="E846" s="5" t="str">
        <f ca="1">IFERROR(__xludf.DUMMYFUNCTION("""COMPUTED_VALUE"""),"INSPECCION SEMANAL LLENADORA DE GARRAFAS")</f>
        <v>INSPECCION SEMANAL LLENADORA DE GARRAFAS</v>
      </c>
      <c r="F846" s="5" t="str">
        <f ca="1">IFERROR(__xludf.DUMMYFUNCTION("""COMPUTED_VALUE"""),"Insp.funcionamiento motor taponadora")</f>
        <v>Insp.funcionamiento motor taponadora</v>
      </c>
      <c r="G846" s="5" t="b">
        <f ca="1">IFERROR(__xludf.DUMMYFUNCTION("""COMPUTED_VALUE"""),TRUE)</f>
        <v>1</v>
      </c>
      <c r="H846" s="5"/>
      <c r="I846" s="5"/>
      <c r="J846" s="5">
        <f ca="1">IFERROR(__xludf.DUMMYFUNCTION("""COMPUTED_VALUE"""),13247725)</f>
        <v>13247725</v>
      </c>
      <c r="K846" s="5"/>
      <c r="L846" s="18">
        <f ca="1">IFERROR(__xludf.DUMMYFUNCTION("""COMPUTED_VALUE"""),45324)</f>
        <v>45324</v>
      </c>
      <c r="M846" s="18">
        <f ca="1">IFERROR(__xludf.DUMMYFUNCTION("""COMPUTED_VALUE"""),45324)</f>
        <v>45324</v>
      </c>
      <c r="N846" s="5" t="str">
        <f ca="1">IFERROR(__xludf.DUMMYFUNCTION("""COMPUTED_VALUE"""),"Víctor David Burbano Gómez")</f>
        <v>Víctor David Burbano Gómez</v>
      </c>
      <c r="O846" s="2">
        <f ca="1">IFERROR(__xludf.DUMMYFUNCTION("""COMPUTED_VALUE"""),0.007692308)</f>
        <v>7.6923080000000001E-3</v>
      </c>
      <c r="P846" s="5">
        <f ca="1">IFERROR(__xludf.DUMMYFUNCTION("""COMPUTED_VALUE"""),20065447)</f>
        <v>20065447</v>
      </c>
      <c r="Q846" s="5" t="str">
        <f ca="1">IFERROR(__xludf.DUMMYFUNCTION("""COMPUTED_VALUE"""),"syhyeSq5uf8")</f>
        <v>syhyeSq5uf8</v>
      </c>
      <c r="R846" s="5">
        <f ca="1">IFERROR(__xludf.DUMMYFUNCTION("""COMPUTED_VALUE"""),410)</f>
        <v>410</v>
      </c>
      <c r="S846" s="62">
        <f ca="1">IFERROR(__xludf.DUMMYFUNCTION("""COMPUTED_VALUE"""),0.007692308)</f>
        <v>7.6923080000000001E-3</v>
      </c>
      <c r="T846" s="63" t="str">
        <f ca="1">IFERROR(__xludf.DUMMYFUNCTION("""COMPUTED_VALUE"""),"https://storage.googleapis.com/glide-prod.appspot.com/uploads-v2/ly7o78grxPaC6KdgvbpS/pub/3aRdSog0vUtuqPE8AJKD.png")</f>
        <v>https://storage.googleapis.com/glide-prod.appspot.com/uploads-v2/ly7o78grxPaC6KdgvbpS/pub/3aRdSog0vUtuqPE8AJKD.png</v>
      </c>
      <c r="U846" s="5" t="str">
        <f ca="1">IFERROR(__xludf.DUMMYFUNCTION("""COMPUTED_VALUE"""),"LINEA PARA EL LLENADO DE GARRAFASLLENADORA DE GARRAFAS")</f>
        <v>LINEA PARA EL LLENADO DE GARRAFASLLENADORA DE GARRAFAS</v>
      </c>
      <c r="V846" s="5"/>
      <c r="W846" s="5" t="b">
        <f ca="1">IFERROR(__xludf.DUMMYFUNCTION("""COMPUTED_VALUE"""),TRUE)</f>
        <v>1</v>
      </c>
      <c r="X846" s="5" t="str">
        <f ca="1">IFERROR(__xludf.DUMMYFUNCTION("""COMPUTED_VALUE"""),"achavezi@postobon.com.co,aprmttoyu@postobon.com.co,aprmyu@postobon.com.co,wmora@postobon.com.co,efzapata@postobon.com.co")</f>
        <v>achavezi@postobon.com.co,aprmttoyu@postobon.com.co,aprmyu@postobon.com.co,wmora@postobon.com.co,efzapata@postobon.com.co</v>
      </c>
      <c r="Y846" s="5" t="str">
        <f ca="1">IFERROR(__xludf.DUMMYFUNCTION("""COMPUTED_VALUE"""),"achavezi@postobon.com.co")</f>
        <v>achavezi@postobon.com.co</v>
      </c>
      <c r="Z846" s="5" t="str">
        <f ca="1">IFERROR(__xludf.DUMMYFUNCTION("""COMPUTED_VALUE"""),"C.xELzohRu2Qk2rHiE7a.w")</f>
        <v>C.xELzohRu2Qk2rHiE7a.w</v>
      </c>
      <c r="AA846" s="5"/>
      <c r="AB846" s="5"/>
      <c r="AC846" s="5"/>
      <c r="AD846" s="5">
        <f ca="1">IFERROR(__xludf.DUMMYFUNCTION("""COMPUTED_VALUE"""),62)</f>
        <v>62</v>
      </c>
      <c r="AE846" s="5">
        <f ca="1">IFERROR(__xludf.DUMMYFUNCTION("""COMPUTED_VALUE"""),62)</f>
        <v>62</v>
      </c>
      <c r="AF846" s="5" t="b">
        <f ca="1">IFERROR(__xludf.DUMMYFUNCTION("""COMPUTED_VALUE"""),FALSE)</f>
        <v>0</v>
      </c>
      <c r="AG846" s="5" t="str">
        <f ca="1">IFERROR(__xludf.DUMMYFUNCTION("""COMPUTED_VALUE"""),"INSPECCIONES REALIZADAS")</f>
        <v>INSPECCIONES REALIZADAS</v>
      </c>
      <c r="AH846" s="5"/>
    </row>
    <row r="847" spans="1:34">
      <c r="A847" s="5" t="str">
        <f ca="1">IFERROR(__xludf.DUMMYFUNCTION("""COMPUTED_VALUE"""),"LINEA PARA EL LLENADO DE GARRAFAS")</f>
        <v>LINEA PARA EL LLENADO DE GARRAFAS</v>
      </c>
      <c r="B847" s="5">
        <f ca="1">IFERROR(__xludf.DUMMYFUNCTION("""COMPUTED_VALUE"""),710019)</f>
        <v>710019</v>
      </c>
      <c r="C847" s="5" t="str">
        <f ca="1">IFERROR(__xludf.DUMMYFUNCTION("""COMPUTED_VALUE"""),"LLENADORA DE GARRAFAS")</f>
        <v>LLENADORA DE GARRAFAS</v>
      </c>
      <c r="D847" s="5">
        <f ca="1">IFERROR(__xludf.DUMMYFUNCTION("""COMPUTED_VALUE"""),13247725)</f>
        <v>13247725</v>
      </c>
      <c r="E847" s="5" t="str">
        <f ca="1">IFERROR(__xludf.DUMMYFUNCTION("""COMPUTED_VALUE"""),"INSPECCION SEMANAL LLENADORA DE GARRAFAS")</f>
        <v>INSPECCION SEMANAL LLENADORA DE GARRAFAS</v>
      </c>
      <c r="F847" s="5" t="str">
        <f ca="1">IFERROR(__xludf.DUMMYFUNCTION("""COMPUTED_VALUE"""),"Insp. Funcionamiento y estado de cadenas table top taponadora")</f>
        <v>Insp. Funcionamiento y estado de cadenas table top taponadora</v>
      </c>
      <c r="G847" s="5" t="b">
        <f ca="1">IFERROR(__xludf.DUMMYFUNCTION("""COMPUTED_VALUE"""),TRUE)</f>
        <v>1</v>
      </c>
      <c r="H847" s="5"/>
      <c r="I847" s="5"/>
      <c r="J847" s="5">
        <f ca="1">IFERROR(__xludf.DUMMYFUNCTION("""COMPUTED_VALUE"""),13247725)</f>
        <v>13247725</v>
      </c>
      <c r="K847" s="5"/>
      <c r="L847" s="18">
        <f ca="1">IFERROR(__xludf.DUMMYFUNCTION("""COMPUTED_VALUE"""),45324)</f>
        <v>45324</v>
      </c>
      <c r="M847" s="18">
        <f ca="1">IFERROR(__xludf.DUMMYFUNCTION("""COMPUTED_VALUE"""),45324)</f>
        <v>45324</v>
      </c>
      <c r="N847" s="5" t="str">
        <f ca="1">IFERROR(__xludf.DUMMYFUNCTION("""COMPUTED_VALUE"""),"Víctor David Burbano Gómez")</f>
        <v>Víctor David Burbano Gómez</v>
      </c>
      <c r="O847" s="2">
        <f ca="1">IFERROR(__xludf.DUMMYFUNCTION("""COMPUTED_VALUE"""),0.007692308)</f>
        <v>7.6923080000000001E-3</v>
      </c>
      <c r="P847" s="5">
        <f ca="1">IFERROR(__xludf.DUMMYFUNCTION("""COMPUTED_VALUE"""),20065447)</f>
        <v>20065447</v>
      </c>
      <c r="Q847" s="5" t="str">
        <f ca="1">IFERROR(__xludf.DUMMYFUNCTION("""COMPUTED_VALUE"""),"bt_ChlQzyTI")</f>
        <v>bt_ChlQzyTI</v>
      </c>
      <c r="R847" s="5">
        <f ca="1">IFERROR(__xludf.DUMMYFUNCTION("""COMPUTED_VALUE"""),410)</f>
        <v>410</v>
      </c>
      <c r="S847" s="62">
        <f ca="1">IFERROR(__xludf.DUMMYFUNCTION("""COMPUTED_VALUE"""),0.007692308)</f>
        <v>7.6923080000000001E-3</v>
      </c>
      <c r="T847" s="63" t="str">
        <f ca="1">IFERROR(__xludf.DUMMYFUNCTION("""COMPUTED_VALUE"""),"https://storage.googleapis.com/glide-prod.appspot.com/uploads-v2/ly7o78grxPaC6KdgvbpS/pub/3aRdSog0vUtuqPE8AJKD.png")</f>
        <v>https://storage.googleapis.com/glide-prod.appspot.com/uploads-v2/ly7o78grxPaC6KdgvbpS/pub/3aRdSog0vUtuqPE8AJKD.png</v>
      </c>
      <c r="U847" s="5" t="str">
        <f ca="1">IFERROR(__xludf.DUMMYFUNCTION("""COMPUTED_VALUE"""),"LINEA PARA EL LLENADO DE GARRAFASLLENADORA DE GARRAFAS")</f>
        <v>LINEA PARA EL LLENADO DE GARRAFASLLENADORA DE GARRAFAS</v>
      </c>
      <c r="V847" s="5"/>
      <c r="W847" s="5" t="b">
        <f ca="1">IFERROR(__xludf.DUMMYFUNCTION("""COMPUTED_VALUE"""),TRUE)</f>
        <v>1</v>
      </c>
      <c r="X847" s="5" t="str">
        <f ca="1">IFERROR(__xludf.DUMMYFUNCTION("""COMPUTED_VALUE"""),"achavezi@postobon.com.co,aprmttoyu@postobon.com.co,aprmyu@postobon.com.co,wmora@postobon.com.co,efzapata@postobon.com.co")</f>
        <v>achavezi@postobon.com.co,aprmttoyu@postobon.com.co,aprmyu@postobon.com.co,wmora@postobon.com.co,efzapata@postobon.com.co</v>
      </c>
      <c r="Y847" s="5" t="str">
        <f ca="1">IFERROR(__xludf.DUMMYFUNCTION("""COMPUTED_VALUE"""),"achavezi@postobon.com.co")</f>
        <v>achavezi@postobon.com.co</v>
      </c>
      <c r="Z847" s="5" t="str">
        <f ca="1">IFERROR(__xludf.DUMMYFUNCTION("""COMPUTED_VALUE"""),"HatoIDFGROSX1sU5sKfgFw")</f>
        <v>HatoIDFGROSX1sU5sKfgFw</v>
      </c>
      <c r="AA847" s="5"/>
      <c r="AB847" s="5"/>
      <c r="AC847" s="5"/>
      <c r="AD847" s="5">
        <f ca="1">IFERROR(__xludf.DUMMYFUNCTION("""COMPUTED_VALUE"""),62)</f>
        <v>62</v>
      </c>
      <c r="AE847" s="5">
        <f ca="1">IFERROR(__xludf.DUMMYFUNCTION("""COMPUTED_VALUE"""),62)</f>
        <v>62</v>
      </c>
      <c r="AF847" s="5" t="b">
        <f ca="1">IFERROR(__xludf.DUMMYFUNCTION("""COMPUTED_VALUE"""),FALSE)</f>
        <v>0</v>
      </c>
      <c r="AG847" s="5" t="str">
        <f ca="1">IFERROR(__xludf.DUMMYFUNCTION("""COMPUTED_VALUE"""),"INSPECCIONES REALIZADAS")</f>
        <v>INSPECCIONES REALIZADAS</v>
      </c>
      <c r="AH847" s="5"/>
    </row>
    <row r="848" spans="1:34">
      <c r="A848" s="5" t="str">
        <f ca="1">IFERROR(__xludf.DUMMYFUNCTION("""COMPUTED_VALUE"""),"LINEA PARA EL LLENADO DE GARRAFAS")</f>
        <v>LINEA PARA EL LLENADO DE GARRAFAS</v>
      </c>
      <c r="B848" s="5">
        <f ca="1">IFERROR(__xludf.DUMMYFUNCTION("""COMPUTED_VALUE"""),710019)</f>
        <v>710019</v>
      </c>
      <c r="C848" s="5" t="str">
        <f ca="1">IFERROR(__xludf.DUMMYFUNCTION("""COMPUTED_VALUE"""),"LLENADORA DE GARRAFAS")</f>
        <v>LLENADORA DE GARRAFAS</v>
      </c>
      <c r="D848" s="5">
        <f ca="1">IFERROR(__xludf.DUMMYFUNCTION("""COMPUTED_VALUE"""),13247725)</f>
        <v>13247725</v>
      </c>
      <c r="E848" s="5" t="str">
        <f ca="1">IFERROR(__xludf.DUMMYFUNCTION("""COMPUTED_VALUE"""),"INSPECCION SEMANAL LLENADORA DE GARRAFAS")</f>
        <v>INSPECCION SEMANAL LLENADORA DE GARRAFAS</v>
      </c>
      <c r="F848" s="5" t="str">
        <f ca="1">IFERROR(__xludf.DUMMYFUNCTION("""COMPUTED_VALUE"""),"Insp. Funcionamiento y estado de roscadores taponadora")</f>
        <v>Insp. Funcionamiento y estado de roscadores taponadora</v>
      </c>
      <c r="G848" s="5" t="b">
        <f ca="1">IFERROR(__xludf.DUMMYFUNCTION("""COMPUTED_VALUE"""),TRUE)</f>
        <v>1</v>
      </c>
      <c r="H848" s="5"/>
      <c r="I848" s="5"/>
      <c r="J848" s="5">
        <f ca="1">IFERROR(__xludf.DUMMYFUNCTION("""COMPUTED_VALUE"""),13247725)</f>
        <v>13247725</v>
      </c>
      <c r="K848" s="5"/>
      <c r="L848" s="18">
        <f ca="1">IFERROR(__xludf.DUMMYFUNCTION("""COMPUTED_VALUE"""),45324)</f>
        <v>45324</v>
      </c>
      <c r="M848" s="18">
        <f ca="1">IFERROR(__xludf.DUMMYFUNCTION("""COMPUTED_VALUE"""),45324)</f>
        <v>45324</v>
      </c>
      <c r="N848" s="5" t="str">
        <f ca="1">IFERROR(__xludf.DUMMYFUNCTION("""COMPUTED_VALUE"""),"Víctor David Burbano Gómez")</f>
        <v>Víctor David Burbano Gómez</v>
      </c>
      <c r="O848" s="2">
        <f ca="1">IFERROR(__xludf.DUMMYFUNCTION("""COMPUTED_VALUE"""),0.007692308)</f>
        <v>7.6923080000000001E-3</v>
      </c>
      <c r="P848" s="5">
        <f ca="1">IFERROR(__xludf.DUMMYFUNCTION("""COMPUTED_VALUE"""),20065447)</f>
        <v>20065447</v>
      </c>
      <c r="Q848" s="5" t="str">
        <f ca="1">IFERROR(__xludf.DUMMYFUNCTION("""COMPUTED_VALUE"""),"-6GtCd26TSs")</f>
        <v>-6GtCd26TSs</v>
      </c>
      <c r="R848" s="5">
        <f ca="1">IFERROR(__xludf.DUMMYFUNCTION("""COMPUTED_VALUE"""),410)</f>
        <v>410</v>
      </c>
      <c r="S848" s="62">
        <f ca="1">IFERROR(__xludf.DUMMYFUNCTION("""COMPUTED_VALUE"""),0.007692308)</f>
        <v>7.6923080000000001E-3</v>
      </c>
      <c r="T848" s="63" t="str">
        <f ca="1">IFERROR(__xludf.DUMMYFUNCTION("""COMPUTED_VALUE"""),"https://storage.googleapis.com/glide-prod.appspot.com/uploads-v2/ly7o78grxPaC6KdgvbpS/pub/3aRdSog0vUtuqPE8AJKD.png")</f>
        <v>https://storage.googleapis.com/glide-prod.appspot.com/uploads-v2/ly7o78grxPaC6KdgvbpS/pub/3aRdSog0vUtuqPE8AJKD.png</v>
      </c>
      <c r="U848" s="5" t="str">
        <f ca="1">IFERROR(__xludf.DUMMYFUNCTION("""COMPUTED_VALUE"""),"LINEA PARA EL LLENADO DE GARRAFASLLENADORA DE GARRAFAS")</f>
        <v>LINEA PARA EL LLENADO DE GARRAFASLLENADORA DE GARRAFAS</v>
      </c>
      <c r="V848" s="5"/>
      <c r="W848" s="5" t="b">
        <f ca="1">IFERROR(__xludf.DUMMYFUNCTION("""COMPUTED_VALUE"""),TRUE)</f>
        <v>1</v>
      </c>
      <c r="X848" s="5" t="str">
        <f ca="1">IFERROR(__xludf.DUMMYFUNCTION("""COMPUTED_VALUE"""),"achavezi@postobon.com.co,aprmttoyu@postobon.com.co,aprmyu@postobon.com.co,wmora@postobon.com.co,efzapata@postobon.com.co")</f>
        <v>achavezi@postobon.com.co,aprmttoyu@postobon.com.co,aprmyu@postobon.com.co,wmora@postobon.com.co,efzapata@postobon.com.co</v>
      </c>
      <c r="Y848" s="5" t="str">
        <f ca="1">IFERROR(__xludf.DUMMYFUNCTION("""COMPUTED_VALUE"""),"achavezi@postobon.com.co")</f>
        <v>achavezi@postobon.com.co</v>
      </c>
      <c r="Z848" s="5" t="str">
        <f ca="1">IFERROR(__xludf.DUMMYFUNCTION("""COMPUTED_VALUE"""),"m7z-.67USQCQKcsnts3mag")</f>
        <v>m7z-.67USQCQKcsnts3mag</v>
      </c>
      <c r="AA848" s="5"/>
      <c r="AB848" s="5"/>
      <c r="AC848" s="5"/>
      <c r="AD848" s="5">
        <f ca="1">IFERROR(__xludf.DUMMYFUNCTION("""COMPUTED_VALUE"""),62)</f>
        <v>62</v>
      </c>
      <c r="AE848" s="5">
        <f ca="1">IFERROR(__xludf.DUMMYFUNCTION("""COMPUTED_VALUE"""),62)</f>
        <v>62</v>
      </c>
      <c r="AF848" s="5" t="b">
        <f ca="1">IFERROR(__xludf.DUMMYFUNCTION("""COMPUTED_VALUE"""),FALSE)</f>
        <v>0</v>
      </c>
      <c r="AG848" s="5" t="str">
        <f ca="1">IFERROR(__xludf.DUMMYFUNCTION("""COMPUTED_VALUE"""),"INSPECCIONES REALIZADAS")</f>
        <v>INSPECCIONES REALIZADAS</v>
      </c>
      <c r="AH848" s="5"/>
    </row>
    <row r="849" spans="1:34">
      <c r="A849" s="5" t="str">
        <f ca="1">IFERROR(__xludf.DUMMYFUNCTION("""COMPUTED_VALUE"""),"LINEA PARA EL LLENADO DE GARRAFAS")</f>
        <v>LINEA PARA EL LLENADO DE GARRAFAS</v>
      </c>
      <c r="B849" s="5">
        <f ca="1">IFERROR(__xludf.DUMMYFUNCTION("""COMPUTED_VALUE"""),710019)</f>
        <v>710019</v>
      </c>
      <c r="C849" s="5" t="str">
        <f ca="1">IFERROR(__xludf.DUMMYFUNCTION("""COMPUTED_VALUE"""),"LLENADORA DE GARRAFAS")</f>
        <v>LLENADORA DE GARRAFAS</v>
      </c>
      <c r="D849" s="5">
        <f ca="1">IFERROR(__xludf.DUMMYFUNCTION("""COMPUTED_VALUE"""),13247725)</f>
        <v>13247725</v>
      </c>
      <c r="E849" s="5" t="str">
        <f ca="1">IFERROR(__xludf.DUMMYFUNCTION("""COMPUTED_VALUE"""),"INSPECCION SEMANAL LLENADORA DE GARRAFAS")</f>
        <v>INSPECCION SEMANAL LLENADORA DE GARRAFAS</v>
      </c>
      <c r="F849" s="5" t="str">
        <f ca="1">IFERROR(__xludf.DUMMYFUNCTION("""COMPUTED_VALUE"""),"Insp. Funcionamiento y estado de tolva de tapa taponadora")</f>
        <v>Insp. Funcionamiento y estado de tolva de tapa taponadora</v>
      </c>
      <c r="G849" s="5" t="b">
        <f ca="1">IFERROR(__xludf.DUMMYFUNCTION("""COMPUTED_VALUE"""),TRUE)</f>
        <v>1</v>
      </c>
      <c r="H849" s="5"/>
      <c r="I849" s="5"/>
      <c r="J849" s="5">
        <f ca="1">IFERROR(__xludf.DUMMYFUNCTION("""COMPUTED_VALUE"""),13247725)</f>
        <v>13247725</v>
      </c>
      <c r="K849" s="5"/>
      <c r="L849" s="18">
        <f ca="1">IFERROR(__xludf.DUMMYFUNCTION("""COMPUTED_VALUE"""),45324)</f>
        <v>45324</v>
      </c>
      <c r="M849" s="18">
        <f ca="1">IFERROR(__xludf.DUMMYFUNCTION("""COMPUTED_VALUE"""),45324)</f>
        <v>45324</v>
      </c>
      <c r="N849" s="5" t="str">
        <f ca="1">IFERROR(__xludf.DUMMYFUNCTION("""COMPUTED_VALUE"""),"Víctor David Burbano Gómez")</f>
        <v>Víctor David Burbano Gómez</v>
      </c>
      <c r="O849" s="2">
        <f ca="1">IFERROR(__xludf.DUMMYFUNCTION("""COMPUTED_VALUE"""),0.007692308)</f>
        <v>7.6923080000000001E-3</v>
      </c>
      <c r="P849" s="5">
        <f ca="1">IFERROR(__xludf.DUMMYFUNCTION("""COMPUTED_VALUE"""),20065447)</f>
        <v>20065447</v>
      </c>
      <c r="Q849" s="5" t="str">
        <f ca="1">IFERROR(__xludf.DUMMYFUNCTION("""COMPUTED_VALUE"""),"63Wa7gJ0RLg")</f>
        <v>63Wa7gJ0RLg</v>
      </c>
      <c r="R849" s="5">
        <f ca="1">IFERROR(__xludf.DUMMYFUNCTION("""COMPUTED_VALUE"""),410)</f>
        <v>410</v>
      </c>
      <c r="S849" s="62">
        <f ca="1">IFERROR(__xludf.DUMMYFUNCTION("""COMPUTED_VALUE"""),0.007692308)</f>
        <v>7.6923080000000001E-3</v>
      </c>
      <c r="T849" s="63" t="str">
        <f ca="1">IFERROR(__xludf.DUMMYFUNCTION("""COMPUTED_VALUE"""),"https://storage.googleapis.com/glide-prod.appspot.com/uploads-v2/ly7o78grxPaC6KdgvbpS/pub/3aRdSog0vUtuqPE8AJKD.png")</f>
        <v>https://storage.googleapis.com/glide-prod.appspot.com/uploads-v2/ly7o78grxPaC6KdgvbpS/pub/3aRdSog0vUtuqPE8AJKD.png</v>
      </c>
      <c r="U849" s="5" t="str">
        <f ca="1">IFERROR(__xludf.DUMMYFUNCTION("""COMPUTED_VALUE"""),"LINEA PARA EL LLENADO DE GARRAFASLLENADORA DE GARRAFAS")</f>
        <v>LINEA PARA EL LLENADO DE GARRAFASLLENADORA DE GARRAFAS</v>
      </c>
      <c r="V849" s="5"/>
      <c r="W849" s="5" t="b">
        <f ca="1">IFERROR(__xludf.DUMMYFUNCTION("""COMPUTED_VALUE"""),TRUE)</f>
        <v>1</v>
      </c>
      <c r="X849" s="5" t="str">
        <f ca="1">IFERROR(__xludf.DUMMYFUNCTION("""COMPUTED_VALUE"""),"achavezi@postobon.com.co,aprmttoyu@postobon.com.co,aprmyu@postobon.com.co,wmora@postobon.com.co,efzapata@postobon.com.co")</f>
        <v>achavezi@postobon.com.co,aprmttoyu@postobon.com.co,aprmyu@postobon.com.co,wmora@postobon.com.co,efzapata@postobon.com.co</v>
      </c>
      <c r="Y849" s="5" t="str">
        <f ca="1">IFERROR(__xludf.DUMMYFUNCTION("""COMPUTED_VALUE"""),"achavezi@postobon.com.co")</f>
        <v>achavezi@postobon.com.co</v>
      </c>
      <c r="Z849" s="5" t="str">
        <f ca="1">IFERROR(__xludf.DUMMYFUNCTION("""COMPUTED_VALUE"""),"q4Wy-lezTxOEqavRBs-z5g")</f>
        <v>q4Wy-lezTxOEqavRBs-z5g</v>
      </c>
      <c r="AA849" s="5"/>
      <c r="AB849" s="5"/>
      <c r="AC849" s="5"/>
      <c r="AD849" s="5">
        <f ca="1">IFERROR(__xludf.DUMMYFUNCTION("""COMPUTED_VALUE"""),62)</f>
        <v>62</v>
      </c>
      <c r="AE849" s="5">
        <f ca="1">IFERROR(__xludf.DUMMYFUNCTION("""COMPUTED_VALUE"""),62)</f>
        <v>62</v>
      </c>
      <c r="AF849" s="5" t="b">
        <f ca="1">IFERROR(__xludf.DUMMYFUNCTION("""COMPUTED_VALUE"""),FALSE)</f>
        <v>0</v>
      </c>
      <c r="AG849" s="5" t="str">
        <f ca="1">IFERROR(__xludf.DUMMYFUNCTION("""COMPUTED_VALUE"""),"INSPECCIONES REALIZADAS")</f>
        <v>INSPECCIONES REALIZADAS</v>
      </c>
      <c r="AH849" s="5"/>
    </row>
    <row r="850" spans="1:34">
      <c r="A850" s="5" t="str">
        <f ca="1">IFERROR(__xludf.DUMMYFUNCTION("""COMPUTED_VALUE"""),"LINEA DE ENVASADO FAMILIAR Y PRB")</f>
        <v>LINEA DE ENVASADO FAMILIAR Y PRB</v>
      </c>
      <c r="B850" s="5">
        <f ca="1">IFERROR(__xludf.DUMMYFUNCTION("""COMPUTED_VALUE"""),828655)</f>
        <v>828655</v>
      </c>
      <c r="C850" s="5" t="str">
        <f ca="1">IFERROR(__xludf.DUMMYFUNCTION("""COMPUTED_VALUE"""),"CAPSULADORA")</f>
        <v>CAPSULADORA</v>
      </c>
      <c r="D850" s="5">
        <f ca="1">IFERROR(__xludf.DUMMYFUNCTION("""COMPUTED_VALUE"""),13247265)</f>
        <v>13247265</v>
      </c>
      <c r="E850" s="5" t="str">
        <f ca="1">IFERROR(__xludf.DUMMYFUNCTION("""COMPUTED_VALUE"""),"INSPECCION SEMANAL Mecanico CAPSULADORA")</f>
        <v>INSPECCION SEMANAL Mecanico CAPSULADORA</v>
      </c>
      <c r="F850" s="5" t="str">
        <f ca="1">IFERROR(__xludf.DUMMYFUNCTION("""COMPUTED_VALUE"""),"Fugas de aire o aceite")</f>
        <v>Fugas de aire o aceite</v>
      </c>
      <c r="G850" s="5" t="b">
        <f ca="1">IFERROR(__xludf.DUMMYFUNCTION("""COMPUTED_VALUE"""),TRUE)</f>
        <v>1</v>
      </c>
      <c r="H850" s="5"/>
      <c r="I850" s="5"/>
      <c r="J850" s="5">
        <f ca="1">IFERROR(__xludf.DUMMYFUNCTION("""COMPUTED_VALUE"""),13247265)</f>
        <v>13247265</v>
      </c>
      <c r="K850" s="5"/>
      <c r="L850" s="18">
        <f ca="1">IFERROR(__xludf.DUMMYFUNCTION("""COMPUTED_VALUE"""),45324)</f>
        <v>45324</v>
      </c>
      <c r="M850" s="18">
        <f ca="1">IFERROR(__xludf.DUMMYFUNCTION("""COMPUTED_VALUE"""),45324)</f>
        <v>45324</v>
      </c>
      <c r="N850" s="5" t="str">
        <f ca="1">IFERROR(__xludf.DUMMYFUNCTION("""COMPUTED_VALUE"""),"Poveda Jorge")</f>
        <v>Poveda Jorge</v>
      </c>
      <c r="O850" s="2">
        <f ca="1">IFERROR(__xludf.DUMMYFUNCTION("""COMPUTED_VALUE"""),0.005263158)</f>
        <v>5.2631580000000004E-3</v>
      </c>
      <c r="P850" s="5">
        <f ca="1">IFERROR(__xludf.DUMMYFUNCTION("""COMPUTED_VALUE"""),20038806)</f>
        <v>20038806</v>
      </c>
      <c r="Q850" s="5" t="str">
        <f ca="1">IFERROR(__xludf.DUMMYFUNCTION("""COMPUTED_VALUE"""),"f4LCyPusirw")</f>
        <v>f4LCyPusirw</v>
      </c>
      <c r="R850" s="5">
        <f ca="1">IFERROR(__xludf.DUMMYFUNCTION("""COMPUTED_VALUE"""),410)</f>
        <v>410</v>
      </c>
      <c r="S850" s="62">
        <f ca="1">IFERROR(__xludf.DUMMYFUNCTION("""COMPUTED_VALUE"""),0.005263158)</f>
        <v>5.2631580000000004E-3</v>
      </c>
      <c r="T850" s="63" t="str">
        <f ca="1">IFERROR(__xludf.DUMMYFUNCTION("""COMPUTED_VALUE"""),"https://storage.googleapis.com/glide-prod.appspot.com/uploads-v2/ly7o78grxPaC6KdgvbpS/pub/3aRdSog0vUtuqPE8AJKD.png")</f>
        <v>https://storage.googleapis.com/glide-prod.appspot.com/uploads-v2/ly7o78grxPaC6KdgvbpS/pub/3aRdSog0vUtuqPE8AJKD.png</v>
      </c>
      <c r="U850" s="5" t="str">
        <f ca="1">IFERROR(__xludf.DUMMYFUNCTION("""COMPUTED_VALUE"""),"LINEA DE ENVASADO FAMILIAR Y PRBCAPSULADORA")</f>
        <v>LINEA DE ENVASADO FAMILIAR Y PRBCAPSULADORA</v>
      </c>
      <c r="V850" s="5"/>
      <c r="W850" s="5" t="b">
        <f ca="1">IFERROR(__xludf.DUMMYFUNCTION("""COMPUTED_VALUE"""),TRUE)</f>
        <v>1</v>
      </c>
      <c r="X850" s="5" t="str">
        <f ca="1">IFERROR(__xludf.DUMMYFUNCTION("""COMPUTED_VALUE"""),"wguerra@postobon.com.co,aprmttoyu@postobon.com.co,aprmyu@postobon.com.co,wmora@postobon.com.co,efzapata@postobon.com.co")</f>
        <v>wguerra@postobon.com.co,aprmttoyu@postobon.com.co,aprmyu@postobon.com.co,wmora@postobon.com.co,efzapata@postobon.com.co</v>
      </c>
      <c r="Y850" s="5" t="str">
        <f ca="1">IFERROR(__xludf.DUMMYFUNCTION("""COMPUTED_VALUE"""),"wguerra@postobon.com.co")</f>
        <v>wguerra@postobon.com.co</v>
      </c>
      <c r="Z850" s="5" t="str">
        <f ca="1">IFERROR(__xludf.DUMMYFUNCTION("""COMPUTED_VALUE"""),"nHTF3VNOSpqpDoyHoZFJUA")</f>
        <v>nHTF3VNOSpqpDoyHoZFJUA</v>
      </c>
      <c r="AA850" s="5"/>
      <c r="AB850" s="5"/>
      <c r="AC850" s="5"/>
      <c r="AD850" s="5">
        <f ca="1">IFERROR(__xludf.DUMMYFUNCTION("""COMPUTED_VALUE"""),42)</f>
        <v>42</v>
      </c>
      <c r="AE850" s="5">
        <f ca="1">IFERROR(__xludf.DUMMYFUNCTION("""COMPUTED_VALUE"""),42)</f>
        <v>42</v>
      </c>
      <c r="AF850" s="5" t="b">
        <f ca="1">IFERROR(__xludf.DUMMYFUNCTION("""COMPUTED_VALUE"""),FALSE)</f>
        <v>0</v>
      </c>
      <c r="AG850" s="5" t="str">
        <f ca="1">IFERROR(__xludf.DUMMYFUNCTION("""COMPUTED_VALUE"""),"INSPECCIONES REALIZADAS")</f>
        <v>INSPECCIONES REALIZADAS</v>
      </c>
      <c r="AH850" s="5"/>
    </row>
    <row r="851" spans="1:34">
      <c r="A851" s="5" t="str">
        <f ca="1">IFERROR(__xludf.DUMMYFUNCTION("""COMPUTED_VALUE"""),"LINEA DE ENVASADO FAMILIAR Y PRB")</f>
        <v>LINEA DE ENVASADO FAMILIAR Y PRB</v>
      </c>
      <c r="B851" s="5">
        <f ca="1">IFERROR(__xludf.DUMMYFUNCTION("""COMPUTED_VALUE"""),828655)</f>
        <v>828655</v>
      </c>
      <c r="C851" s="5" t="str">
        <f ca="1">IFERROR(__xludf.DUMMYFUNCTION("""COMPUTED_VALUE"""),"CAPSULADORA")</f>
        <v>CAPSULADORA</v>
      </c>
      <c r="D851" s="5">
        <f ca="1">IFERROR(__xludf.DUMMYFUNCTION("""COMPUTED_VALUE"""),13247265)</f>
        <v>13247265</v>
      </c>
      <c r="E851" s="5" t="str">
        <f ca="1">IFERROR(__xludf.DUMMYFUNCTION("""COMPUTED_VALUE"""),"INSPECCION SEMANAL Mecanico CAPSULADORA")</f>
        <v>INSPECCION SEMANAL Mecanico CAPSULADORA</v>
      </c>
      <c r="F851" s="5" t="str">
        <f ca="1">IFERROR(__xludf.DUMMYFUNCTION("""COMPUTED_VALUE"""),"Estado Instrumentos de medidas")</f>
        <v>Estado Instrumentos de medidas</v>
      </c>
      <c r="G851" s="5" t="b">
        <f ca="1">IFERROR(__xludf.DUMMYFUNCTION("""COMPUTED_VALUE"""),TRUE)</f>
        <v>1</v>
      </c>
      <c r="H851" s="5"/>
      <c r="I851" s="5"/>
      <c r="J851" s="5">
        <f ca="1">IFERROR(__xludf.DUMMYFUNCTION("""COMPUTED_VALUE"""),13247265)</f>
        <v>13247265</v>
      </c>
      <c r="K851" s="5"/>
      <c r="L851" s="18">
        <f ca="1">IFERROR(__xludf.DUMMYFUNCTION("""COMPUTED_VALUE"""),45324)</f>
        <v>45324</v>
      </c>
      <c r="M851" s="18">
        <f ca="1">IFERROR(__xludf.DUMMYFUNCTION("""COMPUTED_VALUE"""),45324)</f>
        <v>45324</v>
      </c>
      <c r="N851" s="5" t="str">
        <f ca="1">IFERROR(__xludf.DUMMYFUNCTION("""COMPUTED_VALUE"""),"Poveda Jorge")</f>
        <v>Poveda Jorge</v>
      </c>
      <c r="O851" s="2">
        <f ca="1">IFERROR(__xludf.DUMMYFUNCTION("""COMPUTED_VALUE"""),0.005263158)</f>
        <v>5.2631580000000004E-3</v>
      </c>
      <c r="P851" s="5">
        <f ca="1">IFERROR(__xludf.DUMMYFUNCTION("""COMPUTED_VALUE"""),20038806)</f>
        <v>20038806</v>
      </c>
      <c r="Q851" s="5" t="str">
        <f ca="1">IFERROR(__xludf.DUMMYFUNCTION("""COMPUTED_VALUE"""),"cP0cEUp-jrw")</f>
        <v>cP0cEUp-jrw</v>
      </c>
      <c r="R851" s="5">
        <f ca="1">IFERROR(__xludf.DUMMYFUNCTION("""COMPUTED_VALUE"""),410)</f>
        <v>410</v>
      </c>
      <c r="S851" s="62">
        <f ca="1">IFERROR(__xludf.DUMMYFUNCTION("""COMPUTED_VALUE"""),0.005263158)</f>
        <v>5.2631580000000004E-3</v>
      </c>
      <c r="T851" s="63" t="str">
        <f ca="1">IFERROR(__xludf.DUMMYFUNCTION("""COMPUTED_VALUE"""),"https://storage.googleapis.com/glide-prod.appspot.com/uploads-v2/ly7o78grxPaC6KdgvbpS/pub/3aRdSog0vUtuqPE8AJKD.png")</f>
        <v>https://storage.googleapis.com/glide-prod.appspot.com/uploads-v2/ly7o78grxPaC6KdgvbpS/pub/3aRdSog0vUtuqPE8AJKD.png</v>
      </c>
      <c r="U851" s="5" t="str">
        <f ca="1">IFERROR(__xludf.DUMMYFUNCTION("""COMPUTED_VALUE"""),"LINEA DE ENVASADO FAMILIAR Y PRBCAPSULADORA")</f>
        <v>LINEA DE ENVASADO FAMILIAR Y PRBCAPSULADORA</v>
      </c>
      <c r="V851" s="5"/>
      <c r="W851" s="5" t="b">
        <f ca="1">IFERROR(__xludf.DUMMYFUNCTION("""COMPUTED_VALUE"""),TRUE)</f>
        <v>1</v>
      </c>
      <c r="X851" s="5" t="str">
        <f ca="1">IFERROR(__xludf.DUMMYFUNCTION("""COMPUTED_VALUE"""),"wguerra@postobon.com.co,aprmttoyu@postobon.com.co,aprmyu@postobon.com.co,wmora@postobon.com.co,efzapata@postobon.com.co")</f>
        <v>wguerra@postobon.com.co,aprmttoyu@postobon.com.co,aprmyu@postobon.com.co,wmora@postobon.com.co,efzapata@postobon.com.co</v>
      </c>
      <c r="Y851" s="5" t="str">
        <f ca="1">IFERROR(__xludf.DUMMYFUNCTION("""COMPUTED_VALUE"""),"wguerra@postobon.com.co")</f>
        <v>wguerra@postobon.com.co</v>
      </c>
      <c r="Z851" s="5" t="str">
        <f ca="1">IFERROR(__xludf.DUMMYFUNCTION("""COMPUTED_VALUE"""),"cKPSkLp6SLGW2dnkPruDAg")</f>
        <v>cKPSkLp6SLGW2dnkPruDAg</v>
      </c>
      <c r="AA851" s="5"/>
      <c r="AB851" s="5"/>
      <c r="AC851" s="5"/>
      <c r="AD851" s="5">
        <f ca="1">IFERROR(__xludf.DUMMYFUNCTION("""COMPUTED_VALUE"""),42)</f>
        <v>42</v>
      </c>
      <c r="AE851" s="5">
        <f ca="1">IFERROR(__xludf.DUMMYFUNCTION("""COMPUTED_VALUE"""),42)</f>
        <v>42</v>
      </c>
      <c r="AF851" s="5" t="b">
        <f ca="1">IFERROR(__xludf.DUMMYFUNCTION("""COMPUTED_VALUE"""),FALSE)</f>
        <v>0</v>
      </c>
      <c r="AG851" s="5" t="str">
        <f ca="1">IFERROR(__xludf.DUMMYFUNCTION("""COMPUTED_VALUE"""),"INSPECCIONES REALIZADAS")</f>
        <v>INSPECCIONES REALIZADAS</v>
      </c>
      <c r="AH851" s="5"/>
    </row>
    <row r="852" spans="1:34">
      <c r="A852" s="5" t="str">
        <f ca="1">IFERROR(__xludf.DUMMYFUNCTION("""COMPUTED_VALUE"""),"LINEA DE ENVASADO FAMILIAR Y PRB")</f>
        <v>LINEA DE ENVASADO FAMILIAR Y PRB</v>
      </c>
      <c r="B852" s="5">
        <f ca="1">IFERROR(__xludf.DUMMYFUNCTION("""COMPUTED_VALUE"""),828655)</f>
        <v>828655</v>
      </c>
      <c r="C852" s="5" t="str">
        <f ca="1">IFERROR(__xludf.DUMMYFUNCTION("""COMPUTED_VALUE"""),"CAPSULADORA")</f>
        <v>CAPSULADORA</v>
      </c>
      <c r="D852" s="5">
        <f ca="1">IFERROR(__xludf.DUMMYFUNCTION("""COMPUTED_VALUE"""),13247265)</f>
        <v>13247265</v>
      </c>
      <c r="E852" s="5" t="str">
        <f ca="1">IFERROR(__xludf.DUMMYFUNCTION("""COMPUTED_VALUE"""),"INSPECCION SEMANAL Mecanico CAPSULADORA")</f>
        <v>INSPECCION SEMANAL Mecanico CAPSULADORA</v>
      </c>
      <c r="F852" s="5" t="str">
        <f ca="1">IFERROR(__xludf.DUMMYFUNCTION("""COMPUTED_VALUE"""),"Estado de pintura")</f>
        <v>Estado de pintura</v>
      </c>
      <c r="G852" s="5" t="b">
        <f ca="1">IFERROR(__xludf.DUMMYFUNCTION("""COMPUTED_VALUE"""),TRUE)</f>
        <v>1</v>
      </c>
      <c r="H852" s="5"/>
      <c r="I852" s="5"/>
      <c r="J852" s="5">
        <f ca="1">IFERROR(__xludf.DUMMYFUNCTION("""COMPUTED_VALUE"""),13247265)</f>
        <v>13247265</v>
      </c>
      <c r="K852" s="5"/>
      <c r="L852" s="18">
        <f ca="1">IFERROR(__xludf.DUMMYFUNCTION("""COMPUTED_VALUE"""),45324)</f>
        <v>45324</v>
      </c>
      <c r="M852" s="18">
        <f ca="1">IFERROR(__xludf.DUMMYFUNCTION("""COMPUTED_VALUE"""),45324)</f>
        <v>45324</v>
      </c>
      <c r="N852" s="5" t="str">
        <f ca="1">IFERROR(__xludf.DUMMYFUNCTION("""COMPUTED_VALUE"""),"Poveda Jorge")</f>
        <v>Poveda Jorge</v>
      </c>
      <c r="O852" s="2">
        <f ca="1">IFERROR(__xludf.DUMMYFUNCTION("""COMPUTED_VALUE"""),0.005263158)</f>
        <v>5.2631580000000004E-3</v>
      </c>
      <c r="P852" s="5">
        <f ca="1">IFERROR(__xludf.DUMMYFUNCTION("""COMPUTED_VALUE"""),20038806)</f>
        <v>20038806</v>
      </c>
      <c r="Q852" s="5" t="str">
        <f ca="1">IFERROR(__xludf.DUMMYFUNCTION("""COMPUTED_VALUE"""),"VeJPvjTQQkg")</f>
        <v>VeJPvjTQQkg</v>
      </c>
      <c r="R852" s="5">
        <f ca="1">IFERROR(__xludf.DUMMYFUNCTION("""COMPUTED_VALUE"""),410)</f>
        <v>410</v>
      </c>
      <c r="S852" s="62">
        <f ca="1">IFERROR(__xludf.DUMMYFUNCTION("""COMPUTED_VALUE"""),0.005263158)</f>
        <v>5.2631580000000004E-3</v>
      </c>
      <c r="T852" s="63" t="str">
        <f ca="1">IFERROR(__xludf.DUMMYFUNCTION("""COMPUTED_VALUE"""),"https://storage.googleapis.com/glide-prod.appspot.com/uploads-v2/ly7o78grxPaC6KdgvbpS/pub/3aRdSog0vUtuqPE8AJKD.png")</f>
        <v>https://storage.googleapis.com/glide-prod.appspot.com/uploads-v2/ly7o78grxPaC6KdgvbpS/pub/3aRdSog0vUtuqPE8AJKD.png</v>
      </c>
      <c r="U852" s="5" t="str">
        <f ca="1">IFERROR(__xludf.DUMMYFUNCTION("""COMPUTED_VALUE"""),"LINEA DE ENVASADO FAMILIAR Y PRBCAPSULADORA")</f>
        <v>LINEA DE ENVASADO FAMILIAR Y PRBCAPSULADORA</v>
      </c>
      <c r="V852" s="5"/>
      <c r="W852" s="5" t="b">
        <f ca="1">IFERROR(__xludf.DUMMYFUNCTION("""COMPUTED_VALUE"""),TRUE)</f>
        <v>1</v>
      </c>
      <c r="X852" s="5" t="str">
        <f ca="1">IFERROR(__xludf.DUMMYFUNCTION("""COMPUTED_VALUE"""),"wguerra@postobon.com.co,aprmttoyu@postobon.com.co,aprmyu@postobon.com.co,wmora@postobon.com.co,efzapata@postobon.com.co")</f>
        <v>wguerra@postobon.com.co,aprmttoyu@postobon.com.co,aprmyu@postobon.com.co,wmora@postobon.com.co,efzapata@postobon.com.co</v>
      </c>
      <c r="Y852" s="5" t="str">
        <f ca="1">IFERROR(__xludf.DUMMYFUNCTION("""COMPUTED_VALUE"""),"wguerra@postobon.com.co")</f>
        <v>wguerra@postobon.com.co</v>
      </c>
      <c r="Z852" s="5" t="str">
        <f ca="1">IFERROR(__xludf.DUMMYFUNCTION("""COMPUTED_VALUE"""),"8LKuDg90Ra-3jSruHtJVBg")</f>
        <v>8LKuDg90Ra-3jSruHtJVBg</v>
      </c>
      <c r="AA852" s="5"/>
      <c r="AB852" s="5"/>
      <c r="AC852" s="5"/>
      <c r="AD852" s="5">
        <f ca="1">IFERROR(__xludf.DUMMYFUNCTION("""COMPUTED_VALUE"""),42)</f>
        <v>42</v>
      </c>
      <c r="AE852" s="5">
        <f ca="1">IFERROR(__xludf.DUMMYFUNCTION("""COMPUTED_VALUE"""),42)</f>
        <v>42</v>
      </c>
      <c r="AF852" s="5" t="b">
        <f ca="1">IFERROR(__xludf.DUMMYFUNCTION("""COMPUTED_VALUE"""),FALSE)</f>
        <v>0</v>
      </c>
      <c r="AG852" s="5" t="str">
        <f ca="1">IFERROR(__xludf.DUMMYFUNCTION("""COMPUTED_VALUE"""),"INSPECCIONES REALIZADAS")</f>
        <v>INSPECCIONES REALIZADAS</v>
      </c>
      <c r="AH852" s="5"/>
    </row>
    <row r="853" spans="1:34">
      <c r="A853" s="5" t="str">
        <f ca="1">IFERROR(__xludf.DUMMYFUNCTION("""COMPUTED_VALUE"""),"LINEA DE ENVASADO FAMILIAR Y PRB")</f>
        <v>LINEA DE ENVASADO FAMILIAR Y PRB</v>
      </c>
      <c r="B853" s="5">
        <f ca="1">IFERROR(__xludf.DUMMYFUNCTION("""COMPUTED_VALUE"""),828655)</f>
        <v>828655</v>
      </c>
      <c r="C853" s="5" t="str">
        <f ca="1">IFERROR(__xludf.DUMMYFUNCTION("""COMPUTED_VALUE"""),"CAPSULADORA")</f>
        <v>CAPSULADORA</v>
      </c>
      <c r="D853" s="5">
        <f ca="1">IFERROR(__xludf.DUMMYFUNCTION("""COMPUTED_VALUE"""),13247265)</f>
        <v>13247265</v>
      </c>
      <c r="E853" s="5" t="str">
        <f ca="1">IFERROR(__xludf.DUMMYFUNCTION("""COMPUTED_VALUE"""),"INSPECCION SEMANAL Mecanico CAPSULADORA")</f>
        <v>INSPECCION SEMANAL Mecanico CAPSULADORA</v>
      </c>
      <c r="F853" s="5" t="str">
        <f ca="1">IFERROR(__xludf.DUMMYFUNCTION("""COMPUTED_VALUE"""),"Estado de motores")</f>
        <v>Estado de motores</v>
      </c>
      <c r="G853" s="5" t="b">
        <f ca="1">IFERROR(__xludf.DUMMYFUNCTION("""COMPUTED_VALUE"""),TRUE)</f>
        <v>1</v>
      </c>
      <c r="H853" s="5"/>
      <c r="I853" s="5"/>
      <c r="J853" s="5">
        <f ca="1">IFERROR(__xludf.DUMMYFUNCTION("""COMPUTED_VALUE"""),13247265)</f>
        <v>13247265</v>
      </c>
      <c r="K853" s="5"/>
      <c r="L853" s="18">
        <f ca="1">IFERROR(__xludf.DUMMYFUNCTION("""COMPUTED_VALUE"""),45324)</f>
        <v>45324</v>
      </c>
      <c r="M853" s="18">
        <f ca="1">IFERROR(__xludf.DUMMYFUNCTION("""COMPUTED_VALUE"""),45324)</f>
        <v>45324</v>
      </c>
      <c r="N853" s="5" t="str">
        <f ca="1">IFERROR(__xludf.DUMMYFUNCTION("""COMPUTED_VALUE"""),"Poveda Jorge")</f>
        <v>Poveda Jorge</v>
      </c>
      <c r="O853" s="2">
        <f ca="1">IFERROR(__xludf.DUMMYFUNCTION("""COMPUTED_VALUE"""),0.005263158)</f>
        <v>5.2631580000000004E-3</v>
      </c>
      <c r="P853" s="5">
        <f ca="1">IFERROR(__xludf.DUMMYFUNCTION("""COMPUTED_VALUE"""),20038806)</f>
        <v>20038806</v>
      </c>
      <c r="Q853" s="5" t="str">
        <f ca="1">IFERROR(__xludf.DUMMYFUNCTION("""COMPUTED_VALUE"""),"pnBJvB5MLWg")</f>
        <v>pnBJvB5MLWg</v>
      </c>
      <c r="R853" s="5">
        <f ca="1">IFERROR(__xludf.DUMMYFUNCTION("""COMPUTED_VALUE"""),410)</f>
        <v>410</v>
      </c>
      <c r="S853" s="62">
        <f ca="1">IFERROR(__xludf.DUMMYFUNCTION("""COMPUTED_VALUE"""),0.005263158)</f>
        <v>5.2631580000000004E-3</v>
      </c>
      <c r="T853" s="63" t="str">
        <f ca="1">IFERROR(__xludf.DUMMYFUNCTION("""COMPUTED_VALUE"""),"https://storage.googleapis.com/glide-prod.appspot.com/uploads-v2/ly7o78grxPaC6KdgvbpS/pub/3aRdSog0vUtuqPE8AJKD.png")</f>
        <v>https://storage.googleapis.com/glide-prod.appspot.com/uploads-v2/ly7o78grxPaC6KdgvbpS/pub/3aRdSog0vUtuqPE8AJKD.png</v>
      </c>
      <c r="U853" s="5" t="str">
        <f ca="1">IFERROR(__xludf.DUMMYFUNCTION("""COMPUTED_VALUE"""),"LINEA DE ENVASADO FAMILIAR Y PRBCAPSULADORA")</f>
        <v>LINEA DE ENVASADO FAMILIAR Y PRBCAPSULADORA</v>
      </c>
      <c r="V853" s="5"/>
      <c r="W853" s="5" t="b">
        <f ca="1">IFERROR(__xludf.DUMMYFUNCTION("""COMPUTED_VALUE"""),TRUE)</f>
        <v>1</v>
      </c>
      <c r="X853" s="5" t="str">
        <f ca="1">IFERROR(__xludf.DUMMYFUNCTION("""COMPUTED_VALUE"""),"wguerra@postobon.com.co,aprmttoyu@postobon.com.co,aprmyu@postobon.com.co,wmora@postobon.com.co,efzapata@postobon.com.co")</f>
        <v>wguerra@postobon.com.co,aprmttoyu@postobon.com.co,aprmyu@postobon.com.co,wmora@postobon.com.co,efzapata@postobon.com.co</v>
      </c>
      <c r="Y853" s="5" t="str">
        <f ca="1">IFERROR(__xludf.DUMMYFUNCTION("""COMPUTED_VALUE"""),"wguerra@postobon.com.co")</f>
        <v>wguerra@postobon.com.co</v>
      </c>
      <c r="Z853" s="5" t="str">
        <f ca="1">IFERROR(__xludf.DUMMYFUNCTION("""COMPUTED_VALUE"""),"nCoQzD71Sd6intYhqoNwQQ")</f>
        <v>nCoQzD71Sd6intYhqoNwQQ</v>
      </c>
      <c r="AA853" s="5"/>
      <c r="AB853" s="5"/>
      <c r="AC853" s="5"/>
      <c r="AD853" s="5">
        <f ca="1">IFERROR(__xludf.DUMMYFUNCTION("""COMPUTED_VALUE"""),42)</f>
        <v>42</v>
      </c>
      <c r="AE853" s="5">
        <f ca="1">IFERROR(__xludf.DUMMYFUNCTION("""COMPUTED_VALUE"""),42)</f>
        <v>42</v>
      </c>
      <c r="AF853" s="5" t="b">
        <f ca="1">IFERROR(__xludf.DUMMYFUNCTION("""COMPUTED_VALUE"""),FALSE)</f>
        <v>0</v>
      </c>
      <c r="AG853" s="5" t="str">
        <f ca="1">IFERROR(__xludf.DUMMYFUNCTION("""COMPUTED_VALUE"""),"INSPECCIONES REALIZADAS")</f>
        <v>INSPECCIONES REALIZADAS</v>
      </c>
      <c r="AH853" s="5"/>
    </row>
    <row r="854" spans="1:34">
      <c r="A854" s="5" t="str">
        <f ca="1">IFERROR(__xludf.DUMMYFUNCTION("""COMPUTED_VALUE"""),"LINEA DE ENVASADO FAMILIAR Y PRB")</f>
        <v>LINEA DE ENVASADO FAMILIAR Y PRB</v>
      </c>
      <c r="B854" s="5">
        <f ca="1">IFERROR(__xludf.DUMMYFUNCTION("""COMPUTED_VALUE"""),828655)</f>
        <v>828655</v>
      </c>
      <c r="C854" s="5" t="str">
        <f ca="1">IFERROR(__xludf.DUMMYFUNCTION("""COMPUTED_VALUE"""),"CAPSULADORA")</f>
        <v>CAPSULADORA</v>
      </c>
      <c r="D854" s="5">
        <f ca="1">IFERROR(__xludf.DUMMYFUNCTION("""COMPUTED_VALUE"""),13247265)</f>
        <v>13247265</v>
      </c>
      <c r="E854" s="5" t="str">
        <f ca="1">IFERROR(__xludf.DUMMYFUNCTION("""COMPUTED_VALUE"""),"INSPECCION SEMANAL Mecanico CAPSULADORA")</f>
        <v>INSPECCION SEMANAL Mecanico CAPSULADORA</v>
      </c>
      <c r="F854" s="5" t="str">
        <f ca="1">IFERROR(__xludf.DUMMYFUNCTION("""COMPUTED_VALUE"""),"Estado de mandril enroscador")</f>
        <v>Estado de mandril enroscador</v>
      </c>
      <c r="G854" s="5" t="b">
        <f ca="1">IFERROR(__xludf.DUMMYFUNCTION("""COMPUTED_VALUE"""),TRUE)</f>
        <v>1</v>
      </c>
      <c r="H854" s="5"/>
      <c r="I854" s="5"/>
      <c r="J854" s="5">
        <f ca="1">IFERROR(__xludf.DUMMYFUNCTION("""COMPUTED_VALUE"""),13247265)</f>
        <v>13247265</v>
      </c>
      <c r="K854" s="5"/>
      <c r="L854" s="18">
        <f ca="1">IFERROR(__xludf.DUMMYFUNCTION("""COMPUTED_VALUE"""),45324)</f>
        <v>45324</v>
      </c>
      <c r="M854" s="18">
        <f ca="1">IFERROR(__xludf.DUMMYFUNCTION("""COMPUTED_VALUE"""),45324)</f>
        <v>45324</v>
      </c>
      <c r="N854" s="5" t="str">
        <f ca="1">IFERROR(__xludf.DUMMYFUNCTION("""COMPUTED_VALUE"""),"Poveda Jorge")</f>
        <v>Poveda Jorge</v>
      </c>
      <c r="O854" s="2">
        <f ca="1">IFERROR(__xludf.DUMMYFUNCTION("""COMPUTED_VALUE"""),0.005263158)</f>
        <v>5.2631580000000004E-3</v>
      </c>
      <c r="P854" s="5">
        <f ca="1">IFERROR(__xludf.DUMMYFUNCTION("""COMPUTED_VALUE"""),20038806)</f>
        <v>20038806</v>
      </c>
      <c r="Q854" s="5" t="str">
        <f ca="1">IFERROR(__xludf.DUMMYFUNCTION("""COMPUTED_VALUE"""),"d0poRWhETRg")</f>
        <v>d0poRWhETRg</v>
      </c>
      <c r="R854" s="5">
        <f ca="1">IFERROR(__xludf.DUMMYFUNCTION("""COMPUTED_VALUE"""),410)</f>
        <v>410</v>
      </c>
      <c r="S854" s="62">
        <f ca="1">IFERROR(__xludf.DUMMYFUNCTION("""COMPUTED_VALUE"""),0.005263158)</f>
        <v>5.2631580000000004E-3</v>
      </c>
      <c r="T854" s="63" t="str">
        <f ca="1">IFERROR(__xludf.DUMMYFUNCTION("""COMPUTED_VALUE"""),"https://storage.googleapis.com/glide-prod.appspot.com/uploads-v2/ly7o78grxPaC6KdgvbpS/pub/3aRdSog0vUtuqPE8AJKD.png")</f>
        <v>https://storage.googleapis.com/glide-prod.appspot.com/uploads-v2/ly7o78grxPaC6KdgvbpS/pub/3aRdSog0vUtuqPE8AJKD.png</v>
      </c>
      <c r="U854" s="5" t="str">
        <f ca="1">IFERROR(__xludf.DUMMYFUNCTION("""COMPUTED_VALUE"""),"LINEA DE ENVASADO FAMILIAR Y PRBCAPSULADORA")</f>
        <v>LINEA DE ENVASADO FAMILIAR Y PRBCAPSULADORA</v>
      </c>
      <c r="V854" s="5"/>
      <c r="W854" s="5" t="b">
        <f ca="1">IFERROR(__xludf.DUMMYFUNCTION("""COMPUTED_VALUE"""),TRUE)</f>
        <v>1</v>
      </c>
      <c r="X854" s="5" t="str">
        <f ca="1">IFERROR(__xludf.DUMMYFUNCTION("""COMPUTED_VALUE"""),"wguerra@postobon.com.co,aprmttoyu@postobon.com.co,aprmyu@postobon.com.co,wmora@postobon.com.co,efzapata@postobon.com.co")</f>
        <v>wguerra@postobon.com.co,aprmttoyu@postobon.com.co,aprmyu@postobon.com.co,wmora@postobon.com.co,efzapata@postobon.com.co</v>
      </c>
      <c r="Y854" s="5" t="str">
        <f ca="1">IFERROR(__xludf.DUMMYFUNCTION("""COMPUTED_VALUE"""),"wguerra@postobon.com.co")</f>
        <v>wguerra@postobon.com.co</v>
      </c>
      <c r="Z854" s="5" t="str">
        <f ca="1">IFERROR(__xludf.DUMMYFUNCTION("""COMPUTED_VALUE"""),"a.0b5LyNLRay1-KJAO8BozQ")</f>
        <v>a.0b5LyNLRay1-KJAO8BozQ</v>
      </c>
      <c r="AA854" s="5"/>
      <c r="AB854" s="5"/>
      <c r="AC854" s="5"/>
      <c r="AD854" s="5">
        <f ca="1">IFERROR(__xludf.DUMMYFUNCTION("""COMPUTED_VALUE"""),42)</f>
        <v>42</v>
      </c>
      <c r="AE854" s="5">
        <f ca="1">IFERROR(__xludf.DUMMYFUNCTION("""COMPUTED_VALUE"""),42)</f>
        <v>42</v>
      </c>
      <c r="AF854" s="5" t="b">
        <f ca="1">IFERROR(__xludf.DUMMYFUNCTION("""COMPUTED_VALUE"""),FALSE)</f>
        <v>0</v>
      </c>
      <c r="AG854" s="5" t="str">
        <f ca="1">IFERROR(__xludf.DUMMYFUNCTION("""COMPUTED_VALUE"""),"INSPECCIONES REALIZADAS")</f>
        <v>INSPECCIONES REALIZADAS</v>
      </c>
      <c r="AH854" s="5"/>
    </row>
    <row r="855" spans="1:34">
      <c r="A855" s="5" t="str">
        <f ca="1">IFERROR(__xludf.DUMMYFUNCTION("""COMPUTED_VALUE"""),"LINEA DE ENVASADO FAMILIAR Y PRB")</f>
        <v>LINEA DE ENVASADO FAMILIAR Y PRB</v>
      </c>
      <c r="B855" s="5">
        <f ca="1">IFERROR(__xludf.DUMMYFUNCTION("""COMPUTED_VALUE"""),828655)</f>
        <v>828655</v>
      </c>
      <c r="C855" s="5" t="str">
        <f ca="1">IFERROR(__xludf.DUMMYFUNCTION("""COMPUTED_VALUE"""),"CAPSULADORA")</f>
        <v>CAPSULADORA</v>
      </c>
      <c r="D855" s="5">
        <f ca="1">IFERROR(__xludf.DUMMYFUNCTION("""COMPUTED_VALUE"""),13247265)</f>
        <v>13247265</v>
      </c>
      <c r="E855" s="5" t="str">
        <f ca="1">IFERROR(__xludf.DUMMYFUNCTION("""COMPUTED_VALUE"""),"INSPECCION SEMANAL Mecanico CAPSULADORA")</f>
        <v>INSPECCION SEMANAL Mecanico CAPSULADORA</v>
      </c>
      <c r="F855" s="5" t="str">
        <f ca="1">IFERROR(__xludf.DUMMYFUNCTION("""COMPUTED_VALUE"""),"Estado del posicionador")</f>
        <v>Estado del posicionador</v>
      </c>
      <c r="G855" s="5" t="b">
        <f ca="1">IFERROR(__xludf.DUMMYFUNCTION("""COMPUTED_VALUE"""),TRUE)</f>
        <v>1</v>
      </c>
      <c r="H855" s="5"/>
      <c r="I855" s="5"/>
      <c r="J855" s="5">
        <f ca="1">IFERROR(__xludf.DUMMYFUNCTION("""COMPUTED_VALUE"""),13247265)</f>
        <v>13247265</v>
      </c>
      <c r="K855" s="5"/>
      <c r="L855" s="18">
        <f ca="1">IFERROR(__xludf.DUMMYFUNCTION("""COMPUTED_VALUE"""),45324)</f>
        <v>45324</v>
      </c>
      <c r="M855" s="18">
        <f ca="1">IFERROR(__xludf.DUMMYFUNCTION("""COMPUTED_VALUE"""),45324)</f>
        <v>45324</v>
      </c>
      <c r="N855" s="5" t="str">
        <f ca="1">IFERROR(__xludf.DUMMYFUNCTION("""COMPUTED_VALUE"""),"Poveda Jorge")</f>
        <v>Poveda Jorge</v>
      </c>
      <c r="O855" s="2">
        <f ca="1">IFERROR(__xludf.DUMMYFUNCTION("""COMPUTED_VALUE"""),0.005263158)</f>
        <v>5.2631580000000004E-3</v>
      </c>
      <c r="P855" s="5">
        <f ca="1">IFERROR(__xludf.DUMMYFUNCTION("""COMPUTED_VALUE"""),20038806)</f>
        <v>20038806</v>
      </c>
      <c r="Q855" s="5" t="str">
        <f ca="1">IFERROR(__xludf.DUMMYFUNCTION("""COMPUTED_VALUE"""),"73X5RsCwE1Y")</f>
        <v>73X5RsCwE1Y</v>
      </c>
      <c r="R855" s="5">
        <f ca="1">IFERROR(__xludf.DUMMYFUNCTION("""COMPUTED_VALUE"""),410)</f>
        <v>410</v>
      </c>
      <c r="S855" s="62">
        <f ca="1">IFERROR(__xludf.DUMMYFUNCTION("""COMPUTED_VALUE"""),0.005263158)</f>
        <v>5.2631580000000004E-3</v>
      </c>
      <c r="T855" s="63" t="str">
        <f ca="1">IFERROR(__xludf.DUMMYFUNCTION("""COMPUTED_VALUE"""),"https://storage.googleapis.com/glide-prod.appspot.com/uploads-v2/ly7o78grxPaC6KdgvbpS/pub/3aRdSog0vUtuqPE8AJKD.png")</f>
        <v>https://storage.googleapis.com/glide-prod.appspot.com/uploads-v2/ly7o78grxPaC6KdgvbpS/pub/3aRdSog0vUtuqPE8AJKD.png</v>
      </c>
      <c r="U855" s="5" t="str">
        <f ca="1">IFERROR(__xludf.DUMMYFUNCTION("""COMPUTED_VALUE"""),"LINEA DE ENVASADO FAMILIAR Y PRBCAPSULADORA")</f>
        <v>LINEA DE ENVASADO FAMILIAR Y PRBCAPSULADORA</v>
      </c>
      <c r="V855" s="5"/>
      <c r="W855" s="5" t="b">
        <f ca="1">IFERROR(__xludf.DUMMYFUNCTION("""COMPUTED_VALUE"""),TRUE)</f>
        <v>1</v>
      </c>
      <c r="X855" s="5" t="str">
        <f ca="1">IFERROR(__xludf.DUMMYFUNCTION("""COMPUTED_VALUE"""),"wguerra@postobon.com.co,aprmttoyu@postobon.com.co,aprmyu@postobon.com.co,wmora@postobon.com.co,efzapata@postobon.com.co")</f>
        <v>wguerra@postobon.com.co,aprmttoyu@postobon.com.co,aprmyu@postobon.com.co,wmora@postobon.com.co,efzapata@postobon.com.co</v>
      </c>
      <c r="Y855" s="5" t="str">
        <f ca="1">IFERROR(__xludf.DUMMYFUNCTION("""COMPUTED_VALUE"""),"wguerra@postobon.com.co")</f>
        <v>wguerra@postobon.com.co</v>
      </c>
      <c r="Z855" s="5" t="str">
        <f ca="1">IFERROR(__xludf.DUMMYFUNCTION("""COMPUTED_VALUE"""),"oK8q0hzYQlmpJZYmJnmK7g")</f>
        <v>oK8q0hzYQlmpJZYmJnmK7g</v>
      </c>
      <c r="AA855" s="5"/>
      <c r="AB855" s="5"/>
      <c r="AC855" s="5"/>
      <c r="AD855" s="5">
        <f ca="1">IFERROR(__xludf.DUMMYFUNCTION("""COMPUTED_VALUE"""),42)</f>
        <v>42</v>
      </c>
      <c r="AE855" s="5">
        <f ca="1">IFERROR(__xludf.DUMMYFUNCTION("""COMPUTED_VALUE"""),42)</f>
        <v>42</v>
      </c>
      <c r="AF855" s="5" t="b">
        <f ca="1">IFERROR(__xludf.DUMMYFUNCTION("""COMPUTED_VALUE"""),FALSE)</f>
        <v>0</v>
      </c>
      <c r="AG855" s="5" t="str">
        <f ca="1">IFERROR(__xludf.DUMMYFUNCTION("""COMPUTED_VALUE"""),"INSPECCIONES REALIZADAS")</f>
        <v>INSPECCIONES REALIZADAS</v>
      </c>
      <c r="AH855" s="5"/>
    </row>
    <row r="856" spans="1:34">
      <c r="A856" s="5" t="str">
        <f ca="1">IFERROR(__xludf.DUMMYFUNCTION("""COMPUTED_VALUE"""),"LINEA DE ENVASADO FAMILIAR Y PRB")</f>
        <v>LINEA DE ENVASADO FAMILIAR Y PRB</v>
      </c>
      <c r="B856" s="5">
        <f ca="1">IFERROR(__xludf.DUMMYFUNCTION("""COMPUTED_VALUE"""),828655)</f>
        <v>828655</v>
      </c>
      <c r="C856" s="5" t="str">
        <f ca="1">IFERROR(__xludf.DUMMYFUNCTION("""COMPUTED_VALUE"""),"CAPSULADORA")</f>
        <v>CAPSULADORA</v>
      </c>
      <c r="D856" s="5">
        <f ca="1">IFERROR(__xludf.DUMMYFUNCTION("""COMPUTED_VALUE"""),13247265)</f>
        <v>13247265</v>
      </c>
      <c r="E856" s="5" t="str">
        <f ca="1">IFERROR(__xludf.DUMMYFUNCTION("""COMPUTED_VALUE"""),"INSPECCION SEMANAL Mecanico CAPSULADORA")</f>
        <v>INSPECCION SEMANAL Mecanico CAPSULADORA</v>
      </c>
      <c r="F856" s="5" t="str">
        <f ca="1">IFERROR(__xludf.DUMMYFUNCTION("""COMPUTED_VALUE"""),"Estado de guías plásticas y estrellas de transferencia")</f>
        <v>Estado de guías plásticas y estrellas de transferencia</v>
      </c>
      <c r="G856" s="5" t="b">
        <f ca="1">IFERROR(__xludf.DUMMYFUNCTION("""COMPUTED_VALUE"""),TRUE)</f>
        <v>1</v>
      </c>
      <c r="H856" s="5"/>
      <c r="I856" s="5"/>
      <c r="J856" s="5">
        <f ca="1">IFERROR(__xludf.DUMMYFUNCTION("""COMPUTED_VALUE"""),13247265)</f>
        <v>13247265</v>
      </c>
      <c r="K856" s="5"/>
      <c r="L856" s="18">
        <f ca="1">IFERROR(__xludf.DUMMYFUNCTION("""COMPUTED_VALUE"""),45324)</f>
        <v>45324</v>
      </c>
      <c r="M856" s="18">
        <f ca="1">IFERROR(__xludf.DUMMYFUNCTION("""COMPUTED_VALUE"""),45324)</f>
        <v>45324</v>
      </c>
      <c r="N856" s="5" t="str">
        <f ca="1">IFERROR(__xludf.DUMMYFUNCTION("""COMPUTED_VALUE"""),"Poveda Jorge")</f>
        <v>Poveda Jorge</v>
      </c>
      <c r="O856" s="2">
        <f ca="1">IFERROR(__xludf.DUMMYFUNCTION("""COMPUTED_VALUE"""),0.005263158)</f>
        <v>5.2631580000000004E-3</v>
      </c>
      <c r="P856" s="5">
        <f ca="1">IFERROR(__xludf.DUMMYFUNCTION("""COMPUTED_VALUE"""),20038806)</f>
        <v>20038806</v>
      </c>
      <c r="Q856" s="5" t="str">
        <f ca="1">IFERROR(__xludf.DUMMYFUNCTION("""COMPUTED_VALUE"""),"_aZCrZdTyVc")</f>
        <v>_aZCrZdTyVc</v>
      </c>
      <c r="R856" s="5">
        <f ca="1">IFERROR(__xludf.DUMMYFUNCTION("""COMPUTED_VALUE"""),410)</f>
        <v>410</v>
      </c>
      <c r="S856" s="62">
        <f ca="1">IFERROR(__xludf.DUMMYFUNCTION("""COMPUTED_VALUE"""),0.005263158)</f>
        <v>5.2631580000000004E-3</v>
      </c>
      <c r="T856" s="63" t="str">
        <f ca="1">IFERROR(__xludf.DUMMYFUNCTION("""COMPUTED_VALUE"""),"https://storage.googleapis.com/glide-prod.appspot.com/uploads-v2/ly7o78grxPaC6KdgvbpS/pub/3aRdSog0vUtuqPE8AJKD.png")</f>
        <v>https://storage.googleapis.com/glide-prod.appspot.com/uploads-v2/ly7o78grxPaC6KdgvbpS/pub/3aRdSog0vUtuqPE8AJKD.png</v>
      </c>
      <c r="U856" s="5" t="str">
        <f ca="1">IFERROR(__xludf.DUMMYFUNCTION("""COMPUTED_VALUE"""),"LINEA DE ENVASADO FAMILIAR Y PRBCAPSULADORA")</f>
        <v>LINEA DE ENVASADO FAMILIAR Y PRBCAPSULADORA</v>
      </c>
      <c r="V856" s="5"/>
      <c r="W856" s="5" t="b">
        <f ca="1">IFERROR(__xludf.DUMMYFUNCTION("""COMPUTED_VALUE"""),TRUE)</f>
        <v>1</v>
      </c>
      <c r="X856" s="5" t="str">
        <f ca="1">IFERROR(__xludf.DUMMYFUNCTION("""COMPUTED_VALUE"""),"wguerra@postobon.com.co,aprmttoyu@postobon.com.co,aprmyu@postobon.com.co,wmora@postobon.com.co,efzapata@postobon.com.co")</f>
        <v>wguerra@postobon.com.co,aprmttoyu@postobon.com.co,aprmyu@postobon.com.co,wmora@postobon.com.co,efzapata@postobon.com.co</v>
      </c>
      <c r="Y856" s="5" t="str">
        <f ca="1">IFERROR(__xludf.DUMMYFUNCTION("""COMPUTED_VALUE"""),"wguerra@postobon.com.co")</f>
        <v>wguerra@postobon.com.co</v>
      </c>
      <c r="Z856" s="5" t="str">
        <f ca="1">IFERROR(__xludf.DUMMYFUNCTION("""COMPUTED_VALUE"""),"6SelYVBaRB2mZPa0jd1Vqw")</f>
        <v>6SelYVBaRB2mZPa0jd1Vqw</v>
      </c>
      <c r="AA856" s="5"/>
      <c r="AB856" s="5"/>
      <c r="AC856" s="5"/>
      <c r="AD856" s="5">
        <f ca="1">IFERROR(__xludf.DUMMYFUNCTION("""COMPUTED_VALUE"""),42)</f>
        <v>42</v>
      </c>
      <c r="AE856" s="5">
        <f ca="1">IFERROR(__xludf.DUMMYFUNCTION("""COMPUTED_VALUE"""),42)</f>
        <v>42</v>
      </c>
      <c r="AF856" s="5" t="b">
        <f ca="1">IFERROR(__xludf.DUMMYFUNCTION("""COMPUTED_VALUE"""),FALSE)</f>
        <v>0</v>
      </c>
      <c r="AG856" s="5" t="str">
        <f ca="1">IFERROR(__xludf.DUMMYFUNCTION("""COMPUTED_VALUE"""),"INSPECCIONES REALIZADAS")</f>
        <v>INSPECCIONES REALIZADAS</v>
      </c>
      <c r="AH856" s="5"/>
    </row>
    <row r="857" spans="1:34">
      <c r="A857" s="5" t="str">
        <f ca="1">IFERROR(__xludf.DUMMYFUNCTION("""COMPUTED_VALUE"""),"LINEA DE ENVASADO FAMILIAR Y PRB")</f>
        <v>LINEA DE ENVASADO FAMILIAR Y PRB</v>
      </c>
      <c r="B857" s="5">
        <f ca="1">IFERROR(__xludf.DUMMYFUNCTION("""COMPUTED_VALUE"""),828655)</f>
        <v>828655</v>
      </c>
      <c r="C857" s="5" t="str">
        <f ca="1">IFERROR(__xludf.DUMMYFUNCTION("""COMPUTED_VALUE"""),"CAPSULADORA")</f>
        <v>CAPSULADORA</v>
      </c>
      <c r="D857" s="5">
        <f ca="1">IFERROR(__xludf.DUMMYFUNCTION("""COMPUTED_VALUE"""),13247265)</f>
        <v>13247265</v>
      </c>
      <c r="E857" s="5" t="str">
        <f ca="1">IFERROR(__xludf.DUMMYFUNCTION("""COMPUTED_VALUE"""),"INSPECCION SEMANAL Mecanico CAPSULADORA")</f>
        <v>INSPECCION SEMANAL Mecanico CAPSULADORA</v>
      </c>
      <c r="F857" s="5" t="str">
        <f ca="1">IFERROR(__xludf.DUMMYFUNCTION("""COMPUTED_VALUE"""),"Estado tornillo sin fin")</f>
        <v>Estado tornillo sin fin</v>
      </c>
      <c r="G857" s="5" t="b">
        <f ca="1">IFERROR(__xludf.DUMMYFUNCTION("""COMPUTED_VALUE"""),TRUE)</f>
        <v>1</v>
      </c>
      <c r="H857" s="5"/>
      <c r="I857" s="5"/>
      <c r="J857" s="5">
        <f ca="1">IFERROR(__xludf.DUMMYFUNCTION("""COMPUTED_VALUE"""),13247265)</f>
        <v>13247265</v>
      </c>
      <c r="K857" s="5"/>
      <c r="L857" s="18">
        <f ca="1">IFERROR(__xludf.DUMMYFUNCTION("""COMPUTED_VALUE"""),45324)</f>
        <v>45324</v>
      </c>
      <c r="M857" s="18">
        <f ca="1">IFERROR(__xludf.DUMMYFUNCTION("""COMPUTED_VALUE"""),45324)</f>
        <v>45324</v>
      </c>
      <c r="N857" s="5" t="str">
        <f ca="1">IFERROR(__xludf.DUMMYFUNCTION("""COMPUTED_VALUE"""),"Poveda Jorge")</f>
        <v>Poveda Jorge</v>
      </c>
      <c r="O857" s="2">
        <f ca="1">IFERROR(__xludf.DUMMYFUNCTION("""COMPUTED_VALUE"""),0.005263158)</f>
        <v>5.2631580000000004E-3</v>
      </c>
      <c r="P857" s="5">
        <f ca="1">IFERROR(__xludf.DUMMYFUNCTION("""COMPUTED_VALUE"""),20038806)</f>
        <v>20038806</v>
      </c>
      <c r="Q857" s="5" t="str">
        <f ca="1">IFERROR(__xludf.DUMMYFUNCTION("""COMPUTED_VALUE"""),"HEJcpxoUGVo")</f>
        <v>HEJcpxoUGVo</v>
      </c>
      <c r="R857" s="5">
        <f ca="1">IFERROR(__xludf.DUMMYFUNCTION("""COMPUTED_VALUE"""),410)</f>
        <v>410</v>
      </c>
      <c r="S857" s="62">
        <f ca="1">IFERROR(__xludf.DUMMYFUNCTION("""COMPUTED_VALUE"""),0.005263158)</f>
        <v>5.2631580000000004E-3</v>
      </c>
      <c r="T857" s="63" t="str">
        <f ca="1">IFERROR(__xludf.DUMMYFUNCTION("""COMPUTED_VALUE"""),"https://storage.googleapis.com/glide-prod.appspot.com/uploads-v2/ly7o78grxPaC6KdgvbpS/pub/3aRdSog0vUtuqPE8AJKD.png")</f>
        <v>https://storage.googleapis.com/glide-prod.appspot.com/uploads-v2/ly7o78grxPaC6KdgvbpS/pub/3aRdSog0vUtuqPE8AJKD.png</v>
      </c>
      <c r="U857" s="5" t="str">
        <f ca="1">IFERROR(__xludf.DUMMYFUNCTION("""COMPUTED_VALUE"""),"LINEA DE ENVASADO FAMILIAR Y PRBCAPSULADORA")</f>
        <v>LINEA DE ENVASADO FAMILIAR Y PRBCAPSULADORA</v>
      </c>
      <c r="V857" s="5"/>
      <c r="W857" s="5" t="b">
        <f ca="1">IFERROR(__xludf.DUMMYFUNCTION("""COMPUTED_VALUE"""),TRUE)</f>
        <v>1</v>
      </c>
      <c r="X857" s="5" t="str">
        <f ca="1">IFERROR(__xludf.DUMMYFUNCTION("""COMPUTED_VALUE"""),"wguerra@postobon.com.co,aprmttoyu@postobon.com.co,aprmyu@postobon.com.co,wmora@postobon.com.co,efzapata@postobon.com.co")</f>
        <v>wguerra@postobon.com.co,aprmttoyu@postobon.com.co,aprmyu@postobon.com.co,wmora@postobon.com.co,efzapata@postobon.com.co</v>
      </c>
      <c r="Y857" s="5" t="str">
        <f ca="1">IFERROR(__xludf.DUMMYFUNCTION("""COMPUTED_VALUE"""),"wguerra@postobon.com.co")</f>
        <v>wguerra@postobon.com.co</v>
      </c>
      <c r="Z857" s="5" t="str">
        <f ca="1">IFERROR(__xludf.DUMMYFUNCTION("""COMPUTED_VALUE"""),"2vdDCVRdTryf9YHH6zfVGA")</f>
        <v>2vdDCVRdTryf9YHH6zfVGA</v>
      </c>
      <c r="AA857" s="5"/>
      <c r="AB857" s="5"/>
      <c r="AC857" s="5"/>
      <c r="AD857" s="5">
        <f ca="1">IFERROR(__xludf.DUMMYFUNCTION("""COMPUTED_VALUE"""),42)</f>
        <v>42</v>
      </c>
      <c r="AE857" s="5">
        <f ca="1">IFERROR(__xludf.DUMMYFUNCTION("""COMPUTED_VALUE"""),42)</f>
        <v>42</v>
      </c>
      <c r="AF857" s="5" t="b">
        <f ca="1">IFERROR(__xludf.DUMMYFUNCTION("""COMPUTED_VALUE"""),FALSE)</f>
        <v>0</v>
      </c>
      <c r="AG857" s="5" t="str">
        <f ca="1">IFERROR(__xludf.DUMMYFUNCTION("""COMPUTED_VALUE"""),"INSPECCIONES REALIZADAS")</f>
        <v>INSPECCIONES REALIZADAS</v>
      </c>
      <c r="AH857" s="5"/>
    </row>
    <row r="858" spans="1:34">
      <c r="A858" s="5" t="str">
        <f ca="1">IFERROR(__xludf.DUMMYFUNCTION("""COMPUTED_VALUE"""),"LINEA DE ENVASADO FAMILIAR Y PRB")</f>
        <v>LINEA DE ENVASADO FAMILIAR Y PRB</v>
      </c>
      <c r="B858" s="5">
        <f ca="1">IFERROR(__xludf.DUMMYFUNCTION("""COMPUTED_VALUE"""),828655)</f>
        <v>828655</v>
      </c>
      <c r="C858" s="5" t="str">
        <f ca="1">IFERROR(__xludf.DUMMYFUNCTION("""COMPUTED_VALUE"""),"CAPSULADORA")</f>
        <v>CAPSULADORA</v>
      </c>
      <c r="D858" s="5">
        <f ca="1">IFERROR(__xludf.DUMMYFUNCTION("""COMPUTED_VALUE"""),13247265)</f>
        <v>13247265</v>
      </c>
      <c r="E858" s="5" t="str">
        <f ca="1">IFERROR(__xludf.DUMMYFUNCTION("""COMPUTED_VALUE"""),"INSPECCION SEMANAL Mecanico CAPSULADORA")</f>
        <v>INSPECCION SEMANAL Mecanico CAPSULADORA</v>
      </c>
      <c r="F858" s="5" t="str">
        <f ca="1">IFERROR(__xludf.DUMMYFUNCTION("""COMPUTED_VALUE"""),"Estado de sistema de lubricacion")</f>
        <v>Estado de sistema de lubricacion</v>
      </c>
      <c r="G858" s="5" t="b">
        <f ca="1">IFERROR(__xludf.DUMMYFUNCTION("""COMPUTED_VALUE"""),TRUE)</f>
        <v>1</v>
      </c>
      <c r="H858" s="5"/>
      <c r="I858" s="5"/>
      <c r="J858" s="5">
        <f ca="1">IFERROR(__xludf.DUMMYFUNCTION("""COMPUTED_VALUE"""),13247265)</f>
        <v>13247265</v>
      </c>
      <c r="K858" s="5"/>
      <c r="L858" s="18">
        <f ca="1">IFERROR(__xludf.DUMMYFUNCTION("""COMPUTED_VALUE"""),45324)</f>
        <v>45324</v>
      </c>
      <c r="M858" s="18">
        <f ca="1">IFERROR(__xludf.DUMMYFUNCTION("""COMPUTED_VALUE"""),45324)</f>
        <v>45324</v>
      </c>
      <c r="N858" s="5" t="str">
        <f ca="1">IFERROR(__xludf.DUMMYFUNCTION("""COMPUTED_VALUE"""),"Poveda Jorge")</f>
        <v>Poveda Jorge</v>
      </c>
      <c r="O858" s="2">
        <f ca="1">IFERROR(__xludf.DUMMYFUNCTION("""COMPUTED_VALUE"""),0.005263158)</f>
        <v>5.2631580000000004E-3</v>
      </c>
      <c r="P858" s="5">
        <f ca="1">IFERROR(__xludf.DUMMYFUNCTION("""COMPUTED_VALUE"""),20038806)</f>
        <v>20038806</v>
      </c>
      <c r="Q858" s="5" t="str">
        <f ca="1">IFERROR(__xludf.DUMMYFUNCTION("""COMPUTED_VALUE"""),"BAj-fQ_i5r4")</f>
        <v>BAj-fQ_i5r4</v>
      </c>
      <c r="R858" s="5">
        <f ca="1">IFERROR(__xludf.DUMMYFUNCTION("""COMPUTED_VALUE"""),410)</f>
        <v>410</v>
      </c>
      <c r="S858" s="62">
        <f ca="1">IFERROR(__xludf.DUMMYFUNCTION("""COMPUTED_VALUE"""),0.005263158)</f>
        <v>5.2631580000000004E-3</v>
      </c>
      <c r="T858" s="63" t="str">
        <f ca="1">IFERROR(__xludf.DUMMYFUNCTION("""COMPUTED_VALUE"""),"https://storage.googleapis.com/glide-prod.appspot.com/uploads-v2/ly7o78grxPaC6KdgvbpS/pub/3aRdSog0vUtuqPE8AJKD.png")</f>
        <v>https://storage.googleapis.com/glide-prod.appspot.com/uploads-v2/ly7o78grxPaC6KdgvbpS/pub/3aRdSog0vUtuqPE8AJKD.png</v>
      </c>
      <c r="U858" s="5" t="str">
        <f ca="1">IFERROR(__xludf.DUMMYFUNCTION("""COMPUTED_VALUE"""),"LINEA DE ENVASADO FAMILIAR Y PRBCAPSULADORA")</f>
        <v>LINEA DE ENVASADO FAMILIAR Y PRBCAPSULADORA</v>
      </c>
      <c r="V858" s="5"/>
      <c r="W858" s="5" t="b">
        <f ca="1">IFERROR(__xludf.DUMMYFUNCTION("""COMPUTED_VALUE"""),TRUE)</f>
        <v>1</v>
      </c>
      <c r="X858" s="5" t="str">
        <f ca="1">IFERROR(__xludf.DUMMYFUNCTION("""COMPUTED_VALUE"""),"wguerra@postobon.com.co,aprmttoyu@postobon.com.co,aprmyu@postobon.com.co,wmora@postobon.com.co,efzapata@postobon.com.co")</f>
        <v>wguerra@postobon.com.co,aprmttoyu@postobon.com.co,aprmyu@postobon.com.co,wmora@postobon.com.co,efzapata@postobon.com.co</v>
      </c>
      <c r="Y858" s="5" t="str">
        <f ca="1">IFERROR(__xludf.DUMMYFUNCTION("""COMPUTED_VALUE"""),"wguerra@postobon.com.co")</f>
        <v>wguerra@postobon.com.co</v>
      </c>
      <c r="Z858" s="5" t="str">
        <f ca="1">IFERROR(__xludf.DUMMYFUNCTION("""COMPUTED_VALUE"""),"vh7e9GmaTX6IldXKCsgMpQ")</f>
        <v>vh7e9GmaTX6IldXKCsgMpQ</v>
      </c>
      <c r="AA858" s="5"/>
      <c r="AB858" s="5"/>
      <c r="AC858" s="5"/>
      <c r="AD858" s="5">
        <f ca="1">IFERROR(__xludf.DUMMYFUNCTION("""COMPUTED_VALUE"""),42)</f>
        <v>42</v>
      </c>
      <c r="AE858" s="5">
        <f ca="1">IFERROR(__xludf.DUMMYFUNCTION("""COMPUTED_VALUE"""),42)</f>
        <v>42</v>
      </c>
      <c r="AF858" s="5" t="b">
        <f ca="1">IFERROR(__xludf.DUMMYFUNCTION("""COMPUTED_VALUE"""),FALSE)</f>
        <v>0</v>
      </c>
      <c r="AG858" s="5" t="str">
        <f ca="1">IFERROR(__xludf.DUMMYFUNCTION("""COMPUTED_VALUE"""),"INSPECCIONES REALIZADAS")</f>
        <v>INSPECCIONES REALIZADAS</v>
      </c>
      <c r="AH858" s="5"/>
    </row>
    <row r="859" spans="1:34">
      <c r="A859" s="5" t="str">
        <f ca="1">IFERROR(__xludf.DUMMYFUNCTION("""COMPUTED_VALUE"""),"LINEA DE ENVASADO FAMILIAR Y PRB")</f>
        <v>LINEA DE ENVASADO FAMILIAR Y PRB</v>
      </c>
      <c r="B859" s="5">
        <f ca="1">IFERROR(__xludf.DUMMYFUNCTION("""COMPUTED_VALUE"""),828655)</f>
        <v>828655</v>
      </c>
      <c r="C859" s="5" t="str">
        <f ca="1">IFERROR(__xludf.DUMMYFUNCTION("""COMPUTED_VALUE"""),"CAPSULADORA")</f>
        <v>CAPSULADORA</v>
      </c>
      <c r="D859" s="5">
        <f ca="1">IFERROR(__xludf.DUMMYFUNCTION("""COMPUTED_VALUE"""),13247265)</f>
        <v>13247265</v>
      </c>
      <c r="E859" s="5" t="str">
        <f ca="1">IFERROR(__xludf.DUMMYFUNCTION("""COMPUTED_VALUE"""),"INSPECCION SEMANAL Mecanico CAPSULADORA")</f>
        <v>INSPECCION SEMANAL Mecanico CAPSULADORA</v>
      </c>
      <c r="F859" s="5" t="str">
        <f ca="1">IFERROR(__xludf.DUMMYFUNCTION("""COMPUTED_VALUE"""),"Estado unidad de mantenimiento neumatica")</f>
        <v>Estado unidad de mantenimiento neumatica</v>
      </c>
      <c r="G859" s="5" t="b">
        <f ca="1">IFERROR(__xludf.DUMMYFUNCTION("""COMPUTED_VALUE"""),TRUE)</f>
        <v>1</v>
      </c>
      <c r="H859" s="5"/>
      <c r="I859" s="5"/>
      <c r="J859" s="5">
        <f ca="1">IFERROR(__xludf.DUMMYFUNCTION("""COMPUTED_VALUE"""),13247265)</f>
        <v>13247265</v>
      </c>
      <c r="K859" s="5"/>
      <c r="L859" s="18">
        <f ca="1">IFERROR(__xludf.DUMMYFUNCTION("""COMPUTED_VALUE"""),45324)</f>
        <v>45324</v>
      </c>
      <c r="M859" s="18">
        <f ca="1">IFERROR(__xludf.DUMMYFUNCTION("""COMPUTED_VALUE"""),45324)</f>
        <v>45324</v>
      </c>
      <c r="N859" s="5" t="str">
        <f ca="1">IFERROR(__xludf.DUMMYFUNCTION("""COMPUTED_VALUE"""),"Poveda Jorge")</f>
        <v>Poveda Jorge</v>
      </c>
      <c r="O859" s="2">
        <f ca="1">IFERROR(__xludf.DUMMYFUNCTION("""COMPUTED_VALUE"""),0.005263158)</f>
        <v>5.2631580000000004E-3</v>
      </c>
      <c r="P859" s="5">
        <f ca="1">IFERROR(__xludf.DUMMYFUNCTION("""COMPUTED_VALUE"""),20038806)</f>
        <v>20038806</v>
      </c>
      <c r="Q859" s="5" t="str">
        <f ca="1">IFERROR(__xludf.DUMMYFUNCTION("""COMPUTED_VALUE"""),"YkjraUzbXyE")</f>
        <v>YkjraUzbXyE</v>
      </c>
      <c r="R859" s="5">
        <f ca="1">IFERROR(__xludf.DUMMYFUNCTION("""COMPUTED_VALUE"""),410)</f>
        <v>410</v>
      </c>
      <c r="S859" s="62">
        <f ca="1">IFERROR(__xludf.DUMMYFUNCTION("""COMPUTED_VALUE"""),0.005263158)</f>
        <v>5.2631580000000004E-3</v>
      </c>
      <c r="T859" s="63" t="str">
        <f ca="1">IFERROR(__xludf.DUMMYFUNCTION("""COMPUTED_VALUE"""),"https://storage.googleapis.com/glide-prod.appspot.com/uploads-v2/ly7o78grxPaC6KdgvbpS/pub/3aRdSog0vUtuqPE8AJKD.png")</f>
        <v>https://storage.googleapis.com/glide-prod.appspot.com/uploads-v2/ly7o78grxPaC6KdgvbpS/pub/3aRdSog0vUtuqPE8AJKD.png</v>
      </c>
      <c r="U859" s="5" t="str">
        <f ca="1">IFERROR(__xludf.DUMMYFUNCTION("""COMPUTED_VALUE"""),"LINEA DE ENVASADO FAMILIAR Y PRBCAPSULADORA")</f>
        <v>LINEA DE ENVASADO FAMILIAR Y PRBCAPSULADORA</v>
      </c>
      <c r="V859" s="5"/>
      <c r="W859" s="5" t="b">
        <f ca="1">IFERROR(__xludf.DUMMYFUNCTION("""COMPUTED_VALUE"""),TRUE)</f>
        <v>1</v>
      </c>
      <c r="X859" s="5" t="str">
        <f ca="1">IFERROR(__xludf.DUMMYFUNCTION("""COMPUTED_VALUE"""),"wguerra@postobon.com.co,aprmttoyu@postobon.com.co,aprmyu@postobon.com.co,wmora@postobon.com.co,efzapata@postobon.com.co")</f>
        <v>wguerra@postobon.com.co,aprmttoyu@postobon.com.co,aprmyu@postobon.com.co,wmora@postobon.com.co,efzapata@postobon.com.co</v>
      </c>
      <c r="Y859" s="5" t="str">
        <f ca="1">IFERROR(__xludf.DUMMYFUNCTION("""COMPUTED_VALUE"""),"wguerra@postobon.com.co")</f>
        <v>wguerra@postobon.com.co</v>
      </c>
      <c r="Z859" s="5" t="str">
        <f ca="1">IFERROR(__xludf.DUMMYFUNCTION("""COMPUTED_VALUE"""),"Ue-6OrLZSnqui8jmv1aSGw")</f>
        <v>Ue-6OrLZSnqui8jmv1aSGw</v>
      </c>
      <c r="AA859" s="5"/>
      <c r="AB859" s="5"/>
      <c r="AC859" s="5"/>
      <c r="AD859" s="5">
        <f ca="1">IFERROR(__xludf.DUMMYFUNCTION("""COMPUTED_VALUE"""),42)</f>
        <v>42</v>
      </c>
      <c r="AE859" s="5">
        <f ca="1">IFERROR(__xludf.DUMMYFUNCTION("""COMPUTED_VALUE"""),42)</f>
        <v>42</v>
      </c>
      <c r="AF859" s="5" t="b">
        <f ca="1">IFERROR(__xludf.DUMMYFUNCTION("""COMPUTED_VALUE"""),FALSE)</f>
        <v>0</v>
      </c>
      <c r="AG859" s="5" t="str">
        <f ca="1">IFERROR(__xludf.DUMMYFUNCTION("""COMPUTED_VALUE"""),"INSPECCIONES REALIZADAS")</f>
        <v>INSPECCIONES REALIZADAS</v>
      </c>
      <c r="AH859" s="5"/>
    </row>
    <row r="860" spans="1:34">
      <c r="A860" s="5" t="str">
        <f ca="1">IFERROR(__xludf.DUMMYFUNCTION("""COMPUTED_VALUE"""),"LINEA DE ENVASADO FAMILIAR Y PRB")</f>
        <v>LINEA DE ENVASADO FAMILIAR Y PRB</v>
      </c>
      <c r="B860" s="5">
        <f ca="1">IFERROR(__xludf.DUMMYFUNCTION("""COMPUTED_VALUE"""),828655)</f>
        <v>828655</v>
      </c>
      <c r="C860" s="5" t="str">
        <f ca="1">IFERROR(__xludf.DUMMYFUNCTION("""COMPUTED_VALUE"""),"CAPSULADORA")</f>
        <v>CAPSULADORA</v>
      </c>
      <c r="D860" s="5">
        <f ca="1">IFERROR(__xludf.DUMMYFUNCTION("""COMPUTED_VALUE"""),13247265)</f>
        <v>13247265</v>
      </c>
      <c r="E860" s="5" t="str">
        <f ca="1">IFERROR(__xludf.DUMMYFUNCTION("""COMPUTED_VALUE"""),"INSPECCION SEMANAL Mecanico CAPSULADORA")</f>
        <v>INSPECCION SEMANAL Mecanico CAPSULADORA</v>
      </c>
      <c r="F860" s="5" t="str">
        <f ca="1">IFERROR(__xludf.DUMMYFUNCTION("""COMPUTED_VALUE"""),"Estado de tableros eléctricos de mando, control y potencia")</f>
        <v>Estado de tableros eléctricos de mando, control y potencia</v>
      </c>
      <c r="G860" s="5" t="b">
        <f ca="1">IFERROR(__xludf.DUMMYFUNCTION("""COMPUTED_VALUE"""),TRUE)</f>
        <v>1</v>
      </c>
      <c r="H860" s="5"/>
      <c r="I860" s="5"/>
      <c r="J860" s="5">
        <f ca="1">IFERROR(__xludf.DUMMYFUNCTION("""COMPUTED_VALUE"""),13247265)</f>
        <v>13247265</v>
      </c>
      <c r="K860" s="5"/>
      <c r="L860" s="18">
        <f ca="1">IFERROR(__xludf.DUMMYFUNCTION("""COMPUTED_VALUE"""),45324)</f>
        <v>45324</v>
      </c>
      <c r="M860" s="18">
        <f ca="1">IFERROR(__xludf.DUMMYFUNCTION("""COMPUTED_VALUE"""),45324)</f>
        <v>45324</v>
      </c>
      <c r="N860" s="5" t="str">
        <f ca="1">IFERROR(__xludf.DUMMYFUNCTION("""COMPUTED_VALUE"""),"Poveda Jorge")</f>
        <v>Poveda Jorge</v>
      </c>
      <c r="O860" s="2">
        <f ca="1">IFERROR(__xludf.DUMMYFUNCTION("""COMPUTED_VALUE"""),0.005263158)</f>
        <v>5.2631580000000004E-3</v>
      </c>
      <c r="P860" s="5">
        <f ca="1">IFERROR(__xludf.DUMMYFUNCTION("""COMPUTED_VALUE"""),20038806)</f>
        <v>20038806</v>
      </c>
      <c r="Q860" s="5" t="str">
        <f ca="1">IFERROR(__xludf.DUMMYFUNCTION("""COMPUTED_VALUE"""),"vV3CIrXuUOU")</f>
        <v>vV3CIrXuUOU</v>
      </c>
      <c r="R860" s="5">
        <f ca="1">IFERROR(__xludf.DUMMYFUNCTION("""COMPUTED_VALUE"""),410)</f>
        <v>410</v>
      </c>
      <c r="S860" s="62">
        <f ca="1">IFERROR(__xludf.DUMMYFUNCTION("""COMPUTED_VALUE"""),0.005263158)</f>
        <v>5.2631580000000004E-3</v>
      </c>
      <c r="T860" s="63" t="str">
        <f ca="1">IFERROR(__xludf.DUMMYFUNCTION("""COMPUTED_VALUE"""),"https://storage.googleapis.com/glide-prod.appspot.com/uploads-v2/ly7o78grxPaC6KdgvbpS/pub/3aRdSog0vUtuqPE8AJKD.png")</f>
        <v>https://storage.googleapis.com/glide-prod.appspot.com/uploads-v2/ly7o78grxPaC6KdgvbpS/pub/3aRdSog0vUtuqPE8AJKD.png</v>
      </c>
      <c r="U860" s="5" t="str">
        <f ca="1">IFERROR(__xludf.DUMMYFUNCTION("""COMPUTED_VALUE"""),"LINEA DE ENVASADO FAMILIAR Y PRBCAPSULADORA")</f>
        <v>LINEA DE ENVASADO FAMILIAR Y PRBCAPSULADORA</v>
      </c>
      <c r="V860" s="5"/>
      <c r="W860" s="5" t="b">
        <f ca="1">IFERROR(__xludf.DUMMYFUNCTION("""COMPUTED_VALUE"""),TRUE)</f>
        <v>1</v>
      </c>
      <c r="X860" s="5" t="str">
        <f ca="1">IFERROR(__xludf.DUMMYFUNCTION("""COMPUTED_VALUE"""),"wguerra@postobon.com.co,aprmttoyu@postobon.com.co,aprmyu@postobon.com.co,wmora@postobon.com.co,efzapata@postobon.com.co")</f>
        <v>wguerra@postobon.com.co,aprmttoyu@postobon.com.co,aprmyu@postobon.com.co,wmora@postobon.com.co,efzapata@postobon.com.co</v>
      </c>
      <c r="Y860" s="5" t="str">
        <f ca="1">IFERROR(__xludf.DUMMYFUNCTION("""COMPUTED_VALUE"""),"wguerra@postobon.com.co")</f>
        <v>wguerra@postobon.com.co</v>
      </c>
      <c r="Z860" s="5" t="str">
        <f ca="1">IFERROR(__xludf.DUMMYFUNCTION("""COMPUTED_VALUE"""),"oxSrbXTET5ykifjor4ZAGg")</f>
        <v>oxSrbXTET5ykifjor4ZAGg</v>
      </c>
      <c r="AA860" s="5"/>
      <c r="AB860" s="5"/>
      <c r="AC860" s="5"/>
      <c r="AD860" s="5">
        <f ca="1">IFERROR(__xludf.DUMMYFUNCTION("""COMPUTED_VALUE"""),42)</f>
        <v>42</v>
      </c>
      <c r="AE860" s="5">
        <f ca="1">IFERROR(__xludf.DUMMYFUNCTION("""COMPUTED_VALUE"""),42)</f>
        <v>42</v>
      </c>
      <c r="AF860" s="5" t="b">
        <f ca="1">IFERROR(__xludf.DUMMYFUNCTION("""COMPUTED_VALUE"""),FALSE)</f>
        <v>0</v>
      </c>
      <c r="AG860" s="5" t="str">
        <f ca="1">IFERROR(__xludf.DUMMYFUNCTION("""COMPUTED_VALUE"""),"INSPECCIONES REALIZADAS")</f>
        <v>INSPECCIONES REALIZADAS</v>
      </c>
      <c r="AH860" s="5"/>
    </row>
    <row r="861" spans="1:34">
      <c r="A861" s="5" t="str">
        <f ca="1">IFERROR(__xludf.DUMMYFUNCTION("""COMPUTED_VALUE"""),"LINEA DE ENVASADO FAMILIAR Y PRB")</f>
        <v>LINEA DE ENVASADO FAMILIAR Y PRB</v>
      </c>
      <c r="B861" s="5">
        <f ca="1">IFERROR(__xludf.DUMMYFUNCTION("""COMPUTED_VALUE"""),828655)</f>
        <v>828655</v>
      </c>
      <c r="C861" s="5" t="str">
        <f ca="1">IFERROR(__xludf.DUMMYFUNCTION("""COMPUTED_VALUE"""),"CAPSULADORA")</f>
        <v>CAPSULADORA</v>
      </c>
      <c r="D861" s="5">
        <f ca="1">IFERROR(__xludf.DUMMYFUNCTION("""COMPUTED_VALUE"""),13247265)</f>
        <v>13247265</v>
      </c>
      <c r="E861" s="5" t="str">
        <f ca="1">IFERROR(__xludf.DUMMYFUNCTION("""COMPUTED_VALUE"""),"INSPECCION SEMANAL Mecanico CAPSULADORA")</f>
        <v>INSPECCION SEMANAL Mecanico CAPSULADORA</v>
      </c>
      <c r="F861" s="5" t="str">
        <f ca="1">IFERROR(__xludf.DUMMYFUNCTION("""COMPUTED_VALUE"""),"Estado de la tolva y carrilera de tapas")</f>
        <v>Estado de la tolva y carrilera de tapas</v>
      </c>
      <c r="G861" s="5" t="b">
        <f ca="1">IFERROR(__xludf.DUMMYFUNCTION("""COMPUTED_VALUE"""),TRUE)</f>
        <v>1</v>
      </c>
      <c r="H861" s="5"/>
      <c r="I861" s="5"/>
      <c r="J861" s="5">
        <f ca="1">IFERROR(__xludf.DUMMYFUNCTION("""COMPUTED_VALUE"""),13247265)</f>
        <v>13247265</v>
      </c>
      <c r="K861" s="5"/>
      <c r="L861" s="18">
        <f ca="1">IFERROR(__xludf.DUMMYFUNCTION("""COMPUTED_VALUE"""),45324)</f>
        <v>45324</v>
      </c>
      <c r="M861" s="18">
        <f ca="1">IFERROR(__xludf.DUMMYFUNCTION("""COMPUTED_VALUE"""),45324)</f>
        <v>45324</v>
      </c>
      <c r="N861" s="5" t="str">
        <f ca="1">IFERROR(__xludf.DUMMYFUNCTION("""COMPUTED_VALUE"""),"Poveda Jorge")</f>
        <v>Poveda Jorge</v>
      </c>
      <c r="O861" s="2">
        <f ca="1">IFERROR(__xludf.DUMMYFUNCTION("""COMPUTED_VALUE"""),0.005263158)</f>
        <v>5.2631580000000004E-3</v>
      </c>
      <c r="P861" s="5">
        <f ca="1">IFERROR(__xludf.DUMMYFUNCTION("""COMPUTED_VALUE"""),20038806)</f>
        <v>20038806</v>
      </c>
      <c r="Q861" s="5" t="str">
        <f ca="1">IFERROR(__xludf.DUMMYFUNCTION("""COMPUTED_VALUE"""),"tJ1WUpTieQc")</f>
        <v>tJ1WUpTieQc</v>
      </c>
      <c r="R861" s="5">
        <f ca="1">IFERROR(__xludf.DUMMYFUNCTION("""COMPUTED_VALUE"""),410)</f>
        <v>410</v>
      </c>
      <c r="S861" s="62">
        <f ca="1">IFERROR(__xludf.DUMMYFUNCTION("""COMPUTED_VALUE"""),0.005263158)</f>
        <v>5.2631580000000004E-3</v>
      </c>
      <c r="T861" s="63" t="str">
        <f ca="1">IFERROR(__xludf.DUMMYFUNCTION("""COMPUTED_VALUE"""),"https://storage.googleapis.com/glide-prod.appspot.com/uploads-v2/ly7o78grxPaC6KdgvbpS/pub/3aRdSog0vUtuqPE8AJKD.png")</f>
        <v>https://storage.googleapis.com/glide-prod.appspot.com/uploads-v2/ly7o78grxPaC6KdgvbpS/pub/3aRdSog0vUtuqPE8AJKD.png</v>
      </c>
      <c r="U861" s="5" t="str">
        <f ca="1">IFERROR(__xludf.DUMMYFUNCTION("""COMPUTED_VALUE"""),"LINEA DE ENVASADO FAMILIAR Y PRBCAPSULADORA")</f>
        <v>LINEA DE ENVASADO FAMILIAR Y PRBCAPSULADORA</v>
      </c>
      <c r="V861" s="5"/>
      <c r="W861" s="5" t="b">
        <f ca="1">IFERROR(__xludf.DUMMYFUNCTION("""COMPUTED_VALUE"""),TRUE)</f>
        <v>1</v>
      </c>
      <c r="X861" s="5" t="str">
        <f ca="1">IFERROR(__xludf.DUMMYFUNCTION("""COMPUTED_VALUE"""),"wguerra@postobon.com.co,aprmttoyu@postobon.com.co,aprmyu@postobon.com.co,wmora@postobon.com.co,efzapata@postobon.com.co")</f>
        <v>wguerra@postobon.com.co,aprmttoyu@postobon.com.co,aprmyu@postobon.com.co,wmora@postobon.com.co,efzapata@postobon.com.co</v>
      </c>
      <c r="Y861" s="5" t="str">
        <f ca="1">IFERROR(__xludf.DUMMYFUNCTION("""COMPUTED_VALUE"""),"wguerra@postobon.com.co")</f>
        <v>wguerra@postobon.com.co</v>
      </c>
      <c r="Z861" s="5" t="str">
        <f ca="1">IFERROR(__xludf.DUMMYFUNCTION("""COMPUTED_VALUE"""),"tLpkdQFYQuuSEOPHH7nqrw")</f>
        <v>tLpkdQFYQuuSEOPHH7nqrw</v>
      </c>
      <c r="AA861" s="5"/>
      <c r="AB861" s="5"/>
      <c r="AC861" s="5"/>
      <c r="AD861" s="5">
        <f ca="1">IFERROR(__xludf.DUMMYFUNCTION("""COMPUTED_VALUE"""),42)</f>
        <v>42</v>
      </c>
      <c r="AE861" s="5">
        <f ca="1">IFERROR(__xludf.DUMMYFUNCTION("""COMPUTED_VALUE"""),42)</f>
        <v>42</v>
      </c>
      <c r="AF861" s="5" t="b">
        <f ca="1">IFERROR(__xludf.DUMMYFUNCTION("""COMPUTED_VALUE"""),FALSE)</f>
        <v>0</v>
      </c>
      <c r="AG861" s="5" t="str">
        <f ca="1">IFERROR(__xludf.DUMMYFUNCTION("""COMPUTED_VALUE"""),"INSPECCIONES REALIZADAS")</f>
        <v>INSPECCIONES REALIZADAS</v>
      </c>
      <c r="AH861" s="5"/>
    </row>
    <row r="862" spans="1:34">
      <c r="A862" s="5" t="str">
        <f ca="1">IFERROR(__xludf.DUMMYFUNCTION("""COMPUTED_VALUE"""),"LINEA DE ENVASADO FAMILIAR Y PRB")</f>
        <v>LINEA DE ENVASADO FAMILIAR Y PRB</v>
      </c>
      <c r="B862" s="5">
        <f ca="1">IFERROR(__xludf.DUMMYFUNCTION("""COMPUTED_VALUE"""),828655)</f>
        <v>828655</v>
      </c>
      <c r="C862" s="5" t="str">
        <f ca="1">IFERROR(__xludf.DUMMYFUNCTION("""COMPUTED_VALUE"""),"CAPSULADORA")</f>
        <v>CAPSULADORA</v>
      </c>
      <c r="D862" s="5">
        <f ca="1">IFERROR(__xludf.DUMMYFUNCTION("""COMPUTED_VALUE"""),13247265)</f>
        <v>13247265</v>
      </c>
      <c r="E862" s="5" t="str">
        <f ca="1">IFERROR(__xludf.DUMMYFUNCTION("""COMPUTED_VALUE"""),"INSPECCION SEMANAL Mecanico CAPSULADORA")</f>
        <v>INSPECCION SEMANAL Mecanico CAPSULADORA</v>
      </c>
      <c r="F862" s="5" t="str">
        <f ca="1">IFERROR(__xludf.DUMMYFUNCTION("""COMPUTED_VALUE"""),"Estado de cabezales")</f>
        <v>Estado de cabezales</v>
      </c>
      <c r="G862" s="5" t="b">
        <f ca="1">IFERROR(__xludf.DUMMYFUNCTION("""COMPUTED_VALUE"""),TRUE)</f>
        <v>1</v>
      </c>
      <c r="H862" s="5"/>
      <c r="I862" s="5"/>
      <c r="J862" s="5">
        <f ca="1">IFERROR(__xludf.DUMMYFUNCTION("""COMPUTED_VALUE"""),13247265)</f>
        <v>13247265</v>
      </c>
      <c r="K862" s="5"/>
      <c r="L862" s="18">
        <f ca="1">IFERROR(__xludf.DUMMYFUNCTION("""COMPUTED_VALUE"""),45324)</f>
        <v>45324</v>
      </c>
      <c r="M862" s="18">
        <f ca="1">IFERROR(__xludf.DUMMYFUNCTION("""COMPUTED_VALUE"""),45324)</f>
        <v>45324</v>
      </c>
      <c r="N862" s="5" t="str">
        <f ca="1">IFERROR(__xludf.DUMMYFUNCTION("""COMPUTED_VALUE"""),"Poveda Jorge")</f>
        <v>Poveda Jorge</v>
      </c>
      <c r="O862" s="2">
        <f ca="1">IFERROR(__xludf.DUMMYFUNCTION("""COMPUTED_VALUE"""),0.005263158)</f>
        <v>5.2631580000000004E-3</v>
      </c>
      <c r="P862" s="5">
        <f ca="1">IFERROR(__xludf.DUMMYFUNCTION("""COMPUTED_VALUE"""),20038806)</f>
        <v>20038806</v>
      </c>
      <c r="Q862" s="5" t="str">
        <f ca="1">IFERROR(__xludf.DUMMYFUNCTION("""COMPUTED_VALUE"""),"JEDphkSua-Y")</f>
        <v>JEDphkSua-Y</v>
      </c>
      <c r="R862" s="5">
        <f ca="1">IFERROR(__xludf.DUMMYFUNCTION("""COMPUTED_VALUE"""),410)</f>
        <v>410</v>
      </c>
      <c r="S862" s="62">
        <f ca="1">IFERROR(__xludf.DUMMYFUNCTION("""COMPUTED_VALUE"""),0.005263158)</f>
        <v>5.2631580000000004E-3</v>
      </c>
      <c r="T862" s="63" t="str">
        <f ca="1">IFERROR(__xludf.DUMMYFUNCTION("""COMPUTED_VALUE"""),"https://storage.googleapis.com/glide-prod.appspot.com/uploads-v2/ly7o78grxPaC6KdgvbpS/pub/3aRdSog0vUtuqPE8AJKD.png")</f>
        <v>https://storage.googleapis.com/glide-prod.appspot.com/uploads-v2/ly7o78grxPaC6KdgvbpS/pub/3aRdSog0vUtuqPE8AJKD.png</v>
      </c>
      <c r="U862" s="5" t="str">
        <f ca="1">IFERROR(__xludf.DUMMYFUNCTION("""COMPUTED_VALUE"""),"LINEA DE ENVASADO FAMILIAR Y PRBCAPSULADORA")</f>
        <v>LINEA DE ENVASADO FAMILIAR Y PRBCAPSULADORA</v>
      </c>
      <c r="V862" s="5"/>
      <c r="W862" s="5" t="b">
        <f ca="1">IFERROR(__xludf.DUMMYFUNCTION("""COMPUTED_VALUE"""),TRUE)</f>
        <v>1</v>
      </c>
      <c r="X862" s="5" t="str">
        <f ca="1">IFERROR(__xludf.DUMMYFUNCTION("""COMPUTED_VALUE"""),"wguerra@postobon.com.co,aprmttoyu@postobon.com.co,aprmyu@postobon.com.co,wmora@postobon.com.co,efzapata@postobon.com.co")</f>
        <v>wguerra@postobon.com.co,aprmttoyu@postobon.com.co,aprmyu@postobon.com.co,wmora@postobon.com.co,efzapata@postobon.com.co</v>
      </c>
      <c r="Y862" s="5" t="str">
        <f ca="1">IFERROR(__xludf.DUMMYFUNCTION("""COMPUTED_VALUE"""),"wguerra@postobon.com.co")</f>
        <v>wguerra@postobon.com.co</v>
      </c>
      <c r="Z862" s="5" t="str">
        <f ca="1">IFERROR(__xludf.DUMMYFUNCTION("""COMPUTED_VALUE"""),"NFHx49e1QzOst5takvhHxw")</f>
        <v>NFHx49e1QzOst5takvhHxw</v>
      </c>
      <c r="AA862" s="5"/>
      <c r="AB862" s="5"/>
      <c r="AC862" s="5"/>
      <c r="AD862" s="5">
        <f ca="1">IFERROR(__xludf.DUMMYFUNCTION("""COMPUTED_VALUE"""),42)</f>
        <v>42</v>
      </c>
      <c r="AE862" s="5">
        <f ca="1">IFERROR(__xludf.DUMMYFUNCTION("""COMPUTED_VALUE"""),42)</f>
        <v>42</v>
      </c>
      <c r="AF862" s="5" t="b">
        <f ca="1">IFERROR(__xludf.DUMMYFUNCTION("""COMPUTED_VALUE"""),FALSE)</f>
        <v>0</v>
      </c>
      <c r="AG862" s="5" t="str">
        <f ca="1">IFERROR(__xludf.DUMMYFUNCTION("""COMPUTED_VALUE"""),"INSPECCIONES REALIZADAS")</f>
        <v>INSPECCIONES REALIZADAS</v>
      </c>
      <c r="AH862" s="5"/>
    </row>
    <row r="863" spans="1:34">
      <c r="A863" s="5" t="str">
        <f ca="1">IFERROR(__xludf.DUMMYFUNCTION("""COMPUTED_VALUE"""),"LINEA DE ENVASADO FAMILIAR Y PRB")</f>
        <v>LINEA DE ENVASADO FAMILIAR Y PRB</v>
      </c>
      <c r="B863" s="5">
        <f ca="1">IFERROR(__xludf.DUMMYFUNCTION("""COMPUTED_VALUE"""),828655)</f>
        <v>828655</v>
      </c>
      <c r="C863" s="5" t="str">
        <f ca="1">IFERROR(__xludf.DUMMYFUNCTION("""COMPUTED_VALUE"""),"CAPSULADORA")</f>
        <v>CAPSULADORA</v>
      </c>
      <c r="D863" s="5">
        <f ca="1">IFERROR(__xludf.DUMMYFUNCTION("""COMPUTED_VALUE"""),13247265)</f>
        <v>13247265</v>
      </c>
      <c r="E863" s="5" t="str">
        <f ca="1">IFERROR(__xludf.DUMMYFUNCTION("""COMPUTED_VALUE"""),"INSPECCION SEMANAL Mecanico CAPSULADORA")</f>
        <v>INSPECCION SEMANAL Mecanico CAPSULADORA</v>
      </c>
      <c r="F863" s="5" t="str">
        <f ca="1">IFERROR(__xludf.DUMMYFUNCTION("""COMPUTED_VALUE"""),"Estado electrovalvulas")</f>
        <v>Estado electrovalvulas</v>
      </c>
      <c r="G863" s="5" t="b">
        <f ca="1">IFERROR(__xludf.DUMMYFUNCTION("""COMPUTED_VALUE"""),TRUE)</f>
        <v>1</v>
      </c>
      <c r="H863" s="5"/>
      <c r="I863" s="5"/>
      <c r="J863" s="5">
        <f ca="1">IFERROR(__xludf.DUMMYFUNCTION("""COMPUTED_VALUE"""),13247265)</f>
        <v>13247265</v>
      </c>
      <c r="K863" s="5"/>
      <c r="L863" s="18">
        <f ca="1">IFERROR(__xludf.DUMMYFUNCTION("""COMPUTED_VALUE"""),45324)</f>
        <v>45324</v>
      </c>
      <c r="M863" s="18">
        <f ca="1">IFERROR(__xludf.DUMMYFUNCTION("""COMPUTED_VALUE"""),45324)</f>
        <v>45324</v>
      </c>
      <c r="N863" s="5" t="str">
        <f ca="1">IFERROR(__xludf.DUMMYFUNCTION("""COMPUTED_VALUE"""),"Poveda Jorge")</f>
        <v>Poveda Jorge</v>
      </c>
      <c r="O863" s="2">
        <f ca="1">IFERROR(__xludf.DUMMYFUNCTION("""COMPUTED_VALUE"""),0.005263158)</f>
        <v>5.2631580000000004E-3</v>
      </c>
      <c r="P863" s="5">
        <f ca="1">IFERROR(__xludf.DUMMYFUNCTION("""COMPUTED_VALUE"""),20038806)</f>
        <v>20038806</v>
      </c>
      <c r="Q863" s="5" t="str">
        <f ca="1">IFERROR(__xludf.DUMMYFUNCTION("""COMPUTED_VALUE"""),"uJYz0FLadu8")</f>
        <v>uJYz0FLadu8</v>
      </c>
      <c r="R863" s="5">
        <f ca="1">IFERROR(__xludf.DUMMYFUNCTION("""COMPUTED_VALUE"""),410)</f>
        <v>410</v>
      </c>
      <c r="S863" s="62">
        <f ca="1">IFERROR(__xludf.DUMMYFUNCTION("""COMPUTED_VALUE"""),0.005263158)</f>
        <v>5.2631580000000004E-3</v>
      </c>
      <c r="T863" s="63" t="str">
        <f ca="1">IFERROR(__xludf.DUMMYFUNCTION("""COMPUTED_VALUE"""),"https://storage.googleapis.com/glide-prod.appspot.com/uploads-v2/ly7o78grxPaC6KdgvbpS/pub/3aRdSog0vUtuqPE8AJKD.png")</f>
        <v>https://storage.googleapis.com/glide-prod.appspot.com/uploads-v2/ly7o78grxPaC6KdgvbpS/pub/3aRdSog0vUtuqPE8AJKD.png</v>
      </c>
      <c r="U863" s="5" t="str">
        <f ca="1">IFERROR(__xludf.DUMMYFUNCTION("""COMPUTED_VALUE"""),"LINEA DE ENVASADO FAMILIAR Y PRBCAPSULADORA")</f>
        <v>LINEA DE ENVASADO FAMILIAR Y PRBCAPSULADORA</v>
      </c>
      <c r="V863" s="5"/>
      <c r="W863" s="5" t="b">
        <f ca="1">IFERROR(__xludf.DUMMYFUNCTION("""COMPUTED_VALUE"""),TRUE)</f>
        <v>1</v>
      </c>
      <c r="X863" s="5" t="str">
        <f ca="1">IFERROR(__xludf.DUMMYFUNCTION("""COMPUTED_VALUE"""),"wguerra@postobon.com.co,aprmttoyu@postobon.com.co,aprmyu@postobon.com.co,wmora@postobon.com.co,efzapata@postobon.com.co")</f>
        <v>wguerra@postobon.com.co,aprmttoyu@postobon.com.co,aprmyu@postobon.com.co,wmora@postobon.com.co,efzapata@postobon.com.co</v>
      </c>
      <c r="Y863" s="5" t="str">
        <f ca="1">IFERROR(__xludf.DUMMYFUNCTION("""COMPUTED_VALUE"""),"wguerra@postobon.com.co")</f>
        <v>wguerra@postobon.com.co</v>
      </c>
      <c r="Z863" s="5" t="str">
        <f ca="1">IFERROR(__xludf.DUMMYFUNCTION("""COMPUTED_VALUE"""),"Ph9xCTpLSUCKHdL9nZh-2w")</f>
        <v>Ph9xCTpLSUCKHdL9nZh-2w</v>
      </c>
      <c r="AA863" s="5"/>
      <c r="AB863" s="5"/>
      <c r="AC863" s="5"/>
      <c r="AD863" s="5">
        <f ca="1">IFERROR(__xludf.DUMMYFUNCTION("""COMPUTED_VALUE"""),42)</f>
        <v>42</v>
      </c>
      <c r="AE863" s="5">
        <f ca="1">IFERROR(__xludf.DUMMYFUNCTION("""COMPUTED_VALUE"""),42)</f>
        <v>42</v>
      </c>
      <c r="AF863" s="5" t="b">
        <f ca="1">IFERROR(__xludf.DUMMYFUNCTION("""COMPUTED_VALUE"""),FALSE)</f>
        <v>0</v>
      </c>
      <c r="AG863" s="5" t="str">
        <f ca="1">IFERROR(__xludf.DUMMYFUNCTION("""COMPUTED_VALUE"""),"INSPECCIONES REALIZADAS")</f>
        <v>INSPECCIONES REALIZADAS</v>
      </c>
      <c r="AH863" s="5"/>
    </row>
    <row r="864" spans="1:34">
      <c r="A864" s="5" t="str">
        <f ca="1">IFERROR(__xludf.DUMMYFUNCTION("""COMPUTED_VALUE"""),"LINEA DE ENVASADO FAMILIAR Y PRB")</f>
        <v>LINEA DE ENVASADO FAMILIAR Y PRB</v>
      </c>
      <c r="B864" s="5">
        <f ca="1">IFERROR(__xludf.DUMMYFUNCTION("""COMPUTED_VALUE"""),828655)</f>
        <v>828655</v>
      </c>
      <c r="C864" s="5" t="str">
        <f ca="1">IFERROR(__xludf.DUMMYFUNCTION("""COMPUTED_VALUE"""),"CAPSULADORA")</f>
        <v>CAPSULADORA</v>
      </c>
      <c r="D864" s="5">
        <f ca="1">IFERROR(__xludf.DUMMYFUNCTION("""COMPUTED_VALUE"""),13247265)</f>
        <v>13247265</v>
      </c>
      <c r="E864" s="5" t="str">
        <f ca="1">IFERROR(__xludf.DUMMYFUNCTION("""COMPUTED_VALUE"""),"INSPECCION SEMANAL Mecanico CAPSULADORA")</f>
        <v>INSPECCION SEMANAL Mecanico CAPSULADORA</v>
      </c>
      <c r="F864" s="5" t="str">
        <f ca="1">IFERROR(__xludf.DUMMYFUNCTION("""COMPUTED_VALUE"""),"Estado Piñoneria")</f>
        <v>Estado Piñoneria</v>
      </c>
      <c r="G864" s="5" t="b">
        <f ca="1">IFERROR(__xludf.DUMMYFUNCTION("""COMPUTED_VALUE"""),TRUE)</f>
        <v>1</v>
      </c>
      <c r="H864" s="5"/>
      <c r="I864" s="5"/>
      <c r="J864" s="5">
        <f ca="1">IFERROR(__xludf.DUMMYFUNCTION("""COMPUTED_VALUE"""),13247265)</f>
        <v>13247265</v>
      </c>
      <c r="K864" s="5"/>
      <c r="L864" s="18">
        <f ca="1">IFERROR(__xludf.DUMMYFUNCTION("""COMPUTED_VALUE"""),45324)</f>
        <v>45324</v>
      </c>
      <c r="M864" s="18">
        <f ca="1">IFERROR(__xludf.DUMMYFUNCTION("""COMPUTED_VALUE"""),45324)</f>
        <v>45324</v>
      </c>
      <c r="N864" s="5" t="str">
        <f ca="1">IFERROR(__xludf.DUMMYFUNCTION("""COMPUTED_VALUE"""),"Poveda Jorge")</f>
        <v>Poveda Jorge</v>
      </c>
      <c r="O864" s="2">
        <f ca="1">IFERROR(__xludf.DUMMYFUNCTION("""COMPUTED_VALUE"""),0.005263158)</f>
        <v>5.2631580000000004E-3</v>
      </c>
      <c r="P864" s="5">
        <f ca="1">IFERROR(__xludf.DUMMYFUNCTION("""COMPUTED_VALUE"""),20038806)</f>
        <v>20038806</v>
      </c>
      <c r="Q864" s="5" t="str">
        <f ca="1">IFERROR(__xludf.DUMMYFUNCTION("""COMPUTED_VALUE"""),"_P7fpwu7a00")</f>
        <v>_P7fpwu7a00</v>
      </c>
      <c r="R864" s="5">
        <f ca="1">IFERROR(__xludf.DUMMYFUNCTION("""COMPUTED_VALUE"""),410)</f>
        <v>410</v>
      </c>
      <c r="S864" s="62">
        <f ca="1">IFERROR(__xludf.DUMMYFUNCTION("""COMPUTED_VALUE"""),0.005263158)</f>
        <v>5.2631580000000004E-3</v>
      </c>
      <c r="T864" s="63" t="str">
        <f ca="1">IFERROR(__xludf.DUMMYFUNCTION("""COMPUTED_VALUE"""),"https://storage.googleapis.com/glide-prod.appspot.com/uploads-v2/ly7o78grxPaC6KdgvbpS/pub/3aRdSog0vUtuqPE8AJKD.png")</f>
        <v>https://storage.googleapis.com/glide-prod.appspot.com/uploads-v2/ly7o78grxPaC6KdgvbpS/pub/3aRdSog0vUtuqPE8AJKD.png</v>
      </c>
      <c r="U864" s="5" t="str">
        <f ca="1">IFERROR(__xludf.DUMMYFUNCTION("""COMPUTED_VALUE"""),"LINEA DE ENVASADO FAMILIAR Y PRBCAPSULADORA")</f>
        <v>LINEA DE ENVASADO FAMILIAR Y PRBCAPSULADORA</v>
      </c>
      <c r="V864" s="5"/>
      <c r="W864" s="5" t="b">
        <f ca="1">IFERROR(__xludf.DUMMYFUNCTION("""COMPUTED_VALUE"""),TRUE)</f>
        <v>1</v>
      </c>
      <c r="X864" s="5" t="str">
        <f ca="1">IFERROR(__xludf.DUMMYFUNCTION("""COMPUTED_VALUE"""),"wguerra@postobon.com.co,aprmttoyu@postobon.com.co,aprmyu@postobon.com.co,wmora@postobon.com.co,efzapata@postobon.com.co")</f>
        <v>wguerra@postobon.com.co,aprmttoyu@postobon.com.co,aprmyu@postobon.com.co,wmora@postobon.com.co,efzapata@postobon.com.co</v>
      </c>
      <c r="Y864" s="5" t="str">
        <f ca="1">IFERROR(__xludf.DUMMYFUNCTION("""COMPUTED_VALUE"""),"wguerra@postobon.com.co")</f>
        <v>wguerra@postobon.com.co</v>
      </c>
      <c r="Z864" s="5" t="str">
        <f ca="1">IFERROR(__xludf.DUMMYFUNCTION("""COMPUTED_VALUE"""),"MDSN3Ay2RVqYr8qAwPCaBw")</f>
        <v>MDSN3Ay2RVqYr8qAwPCaBw</v>
      </c>
      <c r="AA864" s="5"/>
      <c r="AB864" s="5"/>
      <c r="AC864" s="5"/>
      <c r="AD864" s="5">
        <f ca="1">IFERROR(__xludf.DUMMYFUNCTION("""COMPUTED_VALUE"""),42)</f>
        <v>42</v>
      </c>
      <c r="AE864" s="5">
        <f ca="1">IFERROR(__xludf.DUMMYFUNCTION("""COMPUTED_VALUE"""),42)</f>
        <v>42</v>
      </c>
      <c r="AF864" s="5" t="b">
        <f ca="1">IFERROR(__xludf.DUMMYFUNCTION("""COMPUTED_VALUE"""),FALSE)</f>
        <v>0</v>
      </c>
      <c r="AG864" s="5" t="str">
        <f ca="1">IFERROR(__xludf.DUMMYFUNCTION("""COMPUTED_VALUE"""),"INSPECCIONES REALIZADAS")</f>
        <v>INSPECCIONES REALIZADAS</v>
      </c>
      <c r="AH864" s="5"/>
    </row>
    <row r="865" spans="1:34">
      <c r="A865" s="5" t="str">
        <f ca="1">IFERROR(__xludf.DUMMYFUNCTION("""COMPUTED_VALUE"""),"LINEA DE ENVASADO FAMILIAR Y PRB")</f>
        <v>LINEA DE ENVASADO FAMILIAR Y PRB</v>
      </c>
      <c r="B865" s="5">
        <f ca="1">IFERROR(__xludf.DUMMYFUNCTION("""COMPUTED_VALUE"""),828655)</f>
        <v>828655</v>
      </c>
      <c r="C865" s="5" t="str">
        <f ca="1">IFERROR(__xludf.DUMMYFUNCTION("""COMPUTED_VALUE"""),"CAPSULADORA")</f>
        <v>CAPSULADORA</v>
      </c>
      <c r="D865" s="5">
        <f ca="1">IFERROR(__xludf.DUMMYFUNCTION("""COMPUTED_VALUE"""),13247265)</f>
        <v>13247265</v>
      </c>
      <c r="E865" s="5" t="str">
        <f ca="1">IFERROR(__xludf.DUMMYFUNCTION("""COMPUTED_VALUE"""),"INSPECCION SEMANAL Mecanico CAPSULADORA")</f>
        <v>INSPECCION SEMANAL Mecanico CAPSULADORA</v>
      </c>
      <c r="F865" s="5" t="str">
        <f ca="1">IFERROR(__xludf.DUMMYFUNCTION("""COMPUTED_VALUE"""),"Estado de correas y poleas de transmisión")</f>
        <v>Estado de correas y poleas de transmisión</v>
      </c>
      <c r="G865" s="5" t="b">
        <f ca="1">IFERROR(__xludf.DUMMYFUNCTION("""COMPUTED_VALUE"""),TRUE)</f>
        <v>1</v>
      </c>
      <c r="H865" s="5"/>
      <c r="I865" s="5"/>
      <c r="J865" s="5">
        <f ca="1">IFERROR(__xludf.DUMMYFUNCTION("""COMPUTED_VALUE"""),13247265)</f>
        <v>13247265</v>
      </c>
      <c r="K865" s="5"/>
      <c r="L865" s="18">
        <f ca="1">IFERROR(__xludf.DUMMYFUNCTION("""COMPUTED_VALUE"""),45324)</f>
        <v>45324</v>
      </c>
      <c r="M865" s="18">
        <f ca="1">IFERROR(__xludf.DUMMYFUNCTION("""COMPUTED_VALUE"""),45324)</f>
        <v>45324</v>
      </c>
      <c r="N865" s="5" t="str">
        <f ca="1">IFERROR(__xludf.DUMMYFUNCTION("""COMPUTED_VALUE"""),"Poveda Jorge")</f>
        <v>Poveda Jorge</v>
      </c>
      <c r="O865" s="2">
        <f ca="1">IFERROR(__xludf.DUMMYFUNCTION("""COMPUTED_VALUE"""),0.005263158)</f>
        <v>5.2631580000000004E-3</v>
      </c>
      <c r="P865" s="5">
        <f ca="1">IFERROR(__xludf.DUMMYFUNCTION("""COMPUTED_VALUE"""),20038806)</f>
        <v>20038806</v>
      </c>
      <c r="Q865" s="5" t="str">
        <f ca="1">IFERROR(__xludf.DUMMYFUNCTION("""COMPUTED_VALUE"""),"YTdhyKZEj3k")</f>
        <v>YTdhyKZEj3k</v>
      </c>
      <c r="R865" s="5">
        <f ca="1">IFERROR(__xludf.DUMMYFUNCTION("""COMPUTED_VALUE"""),410)</f>
        <v>410</v>
      </c>
      <c r="S865" s="62">
        <f ca="1">IFERROR(__xludf.DUMMYFUNCTION("""COMPUTED_VALUE"""),0.005263158)</f>
        <v>5.2631580000000004E-3</v>
      </c>
      <c r="T865" s="63" t="str">
        <f ca="1">IFERROR(__xludf.DUMMYFUNCTION("""COMPUTED_VALUE"""),"https://storage.googleapis.com/glide-prod.appspot.com/uploads-v2/ly7o78grxPaC6KdgvbpS/pub/3aRdSog0vUtuqPE8AJKD.png")</f>
        <v>https://storage.googleapis.com/glide-prod.appspot.com/uploads-v2/ly7o78grxPaC6KdgvbpS/pub/3aRdSog0vUtuqPE8AJKD.png</v>
      </c>
      <c r="U865" s="5" t="str">
        <f ca="1">IFERROR(__xludf.DUMMYFUNCTION("""COMPUTED_VALUE"""),"LINEA DE ENVASADO FAMILIAR Y PRBCAPSULADORA")</f>
        <v>LINEA DE ENVASADO FAMILIAR Y PRBCAPSULADORA</v>
      </c>
      <c r="V865" s="5"/>
      <c r="W865" s="5" t="b">
        <f ca="1">IFERROR(__xludf.DUMMYFUNCTION("""COMPUTED_VALUE"""),TRUE)</f>
        <v>1</v>
      </c>
      <c r="X865" s="5" t="str">
        <f ca="1">IFERROR(__xludf.DUMMYFUNCTION("""COMPUTED_VALUE"""),"wguerra@postobon.com.co,aprmttoyu@postobon.com.co,aprmyu@postobon.com.co,wmora@postobon.com.co,efzapata@postobon.com.co")</f>
        <v>wguerra@postobon.com.co,aprmttoyu@postobon.com.co,aprmyu@postobon.com.co,wmora@postobon.com.co,efzapata@postobon.com.co</v>
      </c>
      <c r="Y865" s="5" t="str">
        <f ca="1">IFERROR(__xludf.DUMMYFUNCTION("""COMPUTED_VALUE"""),"wguerra@postobon.com.co")</f>
        <v>wguerra@postobon.com.co</v>
      </c>
      <c r="Z865" s="5" t="str">
        <f ca="1">IFERROR(__xludf.DUMMYFUNCTION("""COMPUTED_VALUE"""),"wSU1NGWlQm6DaZtDKtfVbA")</f>
        <v>wSU1NGWlQm6DaZtDKtfVbA</v>
      </c>
      <c r="AA865" s="5"/>
      <c r="AB865" s="5"/>
      <c r="AC865" s="5"/>
      <c r="AD865" s="5">
        <f ca="1">IFERROR(__xludf.DUMMYFUNCTION("""COMPUTED_VALUE"""),42)</f>
        <v>42</v>
      </c>
      <c r="AE865" s="5">
        <f ca="1">IFERROR(__xludf.DUMMYFUNCTION("""COMPUTED_VALUE"""),42)</f>
        <v>42</v>
      </c>
      <c r="AF865" s="5" t="b">
        <f ca="1">IFERROR(__xludf.DUMMYFUNCTION("""COMPUTED_VALUE"""),FALSE)</f>
        <v>0</v>
      </c>
      <c r="AG865" s="5" t="str">
        <f ca="1">IFERROR(__xludf.DUMMYFUNCTION("""COMPUTED_VALUE"""),"INSPECCIONES REALIZADAS")</f>
        <v>INSPECCIONES REALIZADAS</v>
      </c>
      <c r="AH865" s="5"/>
    </row>
    <row r="866" spans="1:34">
      <c r="A866" s="5" t="str">
        <f ca="1">IFERROR(__xludf.DUMMYFUNCTION("""COMPUTED_VALUE"""),"LINEA DE ENVASADO FAMILIAR Y PRB")</f>
        <v>LINEA DE ENVASADO FAMILIAR Y PRB</v>
      </c>
      <c r="B866" s="5">
        <f ca="1">IFERROR(__xludf.DUMMYFUNCTION("""COMPUTED_VALUE"""),828655)</f>
        <v>828655</v>
      </c>
      <c r="C866" s="5" t="str">
        <f ca="1">IFERROR(__xludf.DUMMYFUNCTION("""COMPUTED_VALUE"""),"CAPSULADORA")</f>
        <v>CAPSULADORA</v>
      </c>
      <c r="D866" s="5">
        <f ca="1">IFERROR(__xludf.DUMMYFUNCTION("""COMPUTED_VALUE"""),13247265)</f>
        <v>13247265</v>
      </c>
      <c r="E866" s="5" t="str">
        <f ca="1">IFERROR(__xludf.DUMMYFUNCTION("""COMPUTED_VALUE"""),"INSPECCION SEMANAL Mecanico CAPSULADORA")</f>
        <v>INSPECCION SEMANAL Mecanico CAPSULADORA</v>
      </c>
      <c r="F866" s="5" t="str">
        <f ca="1">IFERROR(__xludf.DUMMYFUNCTION("""COMPUTED_VALUE"""),"Estado de sensores")</f>
        <v>Estado de sensores</v>
      </c>
      <c r="G866" s="5" t="b">
        <f ca="1">IFERROR(__xludf.DUMMYFUNCTION("""COMPUTED_VALUE"""),TRUE)</f>
        <v>1</v>
      </c>
      <c r="H866" s="5"/>
      <c r="I866" s="5"/>
      <c r="J866" s="5">
        <f ca="1">IFERROR(__xludf.DUMMYFUNCTION("""COMPUTED_VALUE"""),13247265)</f>
        <v>13247265</v>
      </c>
      <c r="K866" s="5"/>
      <c r="L866" s="18">
        <f ca="1">IFERROR(__xludf.DUMMYFUNCTION("""COMPUTED_VALUE"""),45324)</f>
        <v>45324</v>
      </c>
      <c r="M866" s="18">
        <f ca="1">IFERROR(__xludf.DUMMYFUNCTION("""COMPUTED_VALUE"""),45324)</f>
        <v>45324</v>
      </c>
      <c r="N866" s="5" t="str">
        <f ca="1">IFERROR(__xludf.DUMMYFUNCTION("""COMPUTED_VALUE"""),"Poveda Jorge")</f>
        <v>Poveda Jorge</v>
      </c>
      <c r="O866" s="2">
        <f ca="1">IFERROR(__xludf.DUMMYFUNCTION("""COMPUTED_VALUE"""),0.005263158)</f>
        <v>5.2631580000000004E-3</v>
      </c>
      <c r="P866" s="5">
        <f ca="1">IFERROR(__xludf.DUMMYFUNCTION("""COMPUTED_VALUE"""),20038806)</f>
        <v>20038806</v>
      </c>
      <c r="Q866" s="5" t="str">
        <f ca="1">IFERROR(__xludf.DUMMYFUNCTION("""COMPUTED_VALUE"""),"lPMUA7vTAzs")</f>
        <v>lPMUA7vTAzs</v>
      </c>
      <c r="R866" s="5">
        <f ca="1">IFERROR(__xludf.DUMMYFUNCTION("""COMPUTED_VALUE"""),410)</f>
        <v>410</v>
      </c>
      <c r="S866" s="62">
        <f ca="1">IFERROR(__xludf.DUMMYFUNCTION("""COMPUTED_VALUE"""),0.005263158)</f>
        <v>5.2631580000000004E-3</v>
      </c>
      <c r="T866" s="63" t="str">
        <f ca="1">IFERROR(__xludf.DUMMYFUNCTION("""COMPUTED_VALUE"""),"https://storage.googleapis.com/glide-prod.appspot.com/uploads-v2/ly7o78grxPaC6KdgvbpS/pub/3aRdSog0vUtuqPE8AJKD.png")</f>
        <v>https://storage.googleapis.com/glide-prod.appspot.com/uploads-v2/ly7o78grxPaC6KdgvbpS/pub/3aRdSog0vUtuqPE8AJKD.png</v>
      </c>
      <c r="U866" s="5" t="str">
        <f ca="1">IFERROR(__xludf.DUMMYFUNCTION("""COMPUTED_VALUE"""),"LINEA DE ENVASADO FAMILIAR Y PRBCAPSULADORA")</f>
        <v>LINEA DE ENVASADO FAMILIAR Y PRBCAPSULADORA</v>
      </c>
      <c r="V866" s="5"/>
      <c r="W866" s="5" t="b">
        <f ca="1">IFERROR(__xludf.DUMMYFUNCTION("""COMPUTED_VALUE"""),TRUE)</f>
        <v>1</v>
      </c>
      <c r="X866" s="5" t="str">
        <f ca="1">IFERROR(__xludf.DUMMYFUNCTION("""COMPUTED_VALUE"""),"wguerra@postobon.com.co,aprmttoyu@postobon.com.co,aprmyu@postobon.com.co,wmora@postobon.com.co,efzapata@postobon.com.co")</f>
        <v>wguerra@postobon.com.co,aprmttoyu@postobon.com.co,aprmyu@postobon.com.co,wmora@postobon.com.co,efzapata@postobon.com.co</v>
      </c>
      <c r="Y866" s="5" t="str">
        <f ca="1">IFERROR(__xludf.DUMMYFUNCTION("""COMPUTED_VALUE"""),"wguerra@postobon.com.co")</f>
        <v>wguerra@postobon.com.co</v>
      </c>
      <c r="Z866" s="5" t="str">
        <f ca="1">IFERROR(__xludf.DUMMYFUNCTION("""COMPUTED_VALUE"""),"VVNCt1tYS4GMv4Lt8jfDoQ")</f>
        <v>VVNCt1tYS4GMv4Lt8jfDoQ</v>
      </c>
      <c r="AA866" s="5"/>
      <c r="AB866" s="5"/>
      <c r="AC866" s="5"/>
      <c r="AD866" s="5">
        <f ca="1">IFERROR(__xludf.DUMMYFUNCTION("""COMPUTED_VALUE"""),42)</f>
        <v>42</v>
      </c>
      <c r="AE866" s="5">
        <f ca="1">IFERROR(__xludf.DUMMYFUNCTION("""COMPUTED_VALUE"""),42)</f>
        <v>42</v>
      </c>
      <c r="AF866" s="5" t="b">
        <f ca="1">IFERROR(__xludf.DUMMYFUNCTION("""COMPUTED_VALUE"""),FALSE)</f>
        <v>0</v>
      </c>
      <c r="AG866" s="5" t="str">
        <f ca="1">IFERROR(__xludf.DUMMYFUNCTION("""COMPUTED_VALUE"""),"INSPECCIONES REALIZADAS")</f>
        <v>INSPECCIONES REALIZADAS</v>
      </c>
      <c r="AH866" s="5"/>
    </row>
    <row r="867" spans="1:34">
      <c r="A867" s="5" t="str">
        <f ca="1">IFERROR(__xludf.DUMMYFUNCTION("""COMPUTED_VALUE"""),"LINEA DE ENVASADO FAMILIAR Y PRB")</f>
        <v>LINEA DE ENVASADO FAMILIAR Y PRB</v>
      </c>
      <c r="B867" s="5">
        <f ca="1">IFERROR(__xludf.DUMMYFUNCTION("""COMPUTED_VALUE"""),828655)</f>
        <v>828655</v>
      </c>
      <c r="C867" s="5" t="str">
        <f ca="1">IFERROR(__xludf.DUMMYFUNCTION("""COMPUTED_VALUE"""),"CAPSULADORA")</f>
        <v>CAPSULADORA</v>
      </c>
      <c r="D867" s="5">
        <f ca="1">IFERROR(__xludf.DUMMYFUNCTION("""COMPUTED_VALUE"""),13247265)</f>
        <v>13247265</v>
      </c>
      <c r="E867" s="5" t="str">
        <f ca="1">IFERROR(__xludf.DUMMYFUNCTION("""COMPUTED_VALUE"""),"INSPECCION SEMANAL Mecanico CAPSULADORA")</f>
        <v>INSPECCION SEMANAL Mecanico CAPSULADORA</v>
      </c>
      <c r="F867" s="5" t="str">
        <f ca="1">IFERROR(__xludf.DUMMYFUNCTION("""COMPUTED_VALUE"""),"Estado de banda transportadora de tapas")</f>
        <v>Estado de banda transportadora de tapas</v>
      </c>
      <c r="G867" s="5" t="b">
        <f ca="1">IFERROR(__xludf.DUMMYFUNCTION("""COMPUTED_VALUE"""),TRUE)</f>
        <v>1</v>
      </c>
      <c r="H867" s="5"/>
      <c r="I867" s="5"/>
      <c r="J867" s="5">
        <f ca="1">IFERROR(__xludf.DUMMYFUNCTION("""COMPUTED_VALUE"""),13247265)</f>
        <v>13247265</v>
      </c>
      <c r="K867" s="5"/>
      <c r="L867" s="18">
        <f ca="1">IFERROR(__xludf.DUMMYFUNCTION("""COMPUTED_VALUE"""),45324)</f>
        <v>45324</v>
      </c>
      <c r="M867" s="18">
        <f ca="1">IFERROR(__xludf.DUMMYFUNCTION("""COMPUTED_VALUE"""),45324)</f>
        <v>45324</v>
      </c>
      <c r="N867" s="5" t="str">
        <f ca="1">IFERROR(__xludf.DUMMYFUNCTION("""COMPUTED_VALUE"""),"Poveda Jorge")</f>
        <v>Poveda Jorge</v>
      </c>
      <c r="O867" s="2">
        <f ca="1">IFERROR(__xludf.DUMMYFUNCTION("""COMPUTED_VALUE"""),0.005263158)</f>
        <v>5.2631580000000004E-3</v>
      </c>
      <c r="P867" s="5">
        <f ca="1">IFERROR(__xludf.DUMMYFUNCTION("""COMPUTED_VALUE"""),20038806)</f>
        <v>20038806</v>
      </c>
      <c r="Q867" s="5" t="str">
        <f ca="1">IFERROR(__xludf.DUMMYFUNCTION("""COMPUTED_VALUE"""),"bZXty1SzCso")</f>
        <v>bZXty1SzCso</v>
      </c>
      <c r="R867" s="5">
        <f ca="1">IFERROR(__xludf.DUMMYFUNCTION("""COMPUTED_VALUE"""),410)</f>
        <v>410</v>
      </c>
      <c r="S867" s="62">
        <f ca="1">IFERROR(__xludf.DUMMYFUNCTION("""COMPUTED_VALUE"""),0.005263158)</f>
        <v>5.2631580000000004E-3</v>
      </c>
      <c r="T867" s="63" t="str">
        <f ca="1">IFERROR(__xludf.DUMMYFUNCTION("""COMPUTED_VALUE"""),"https://storage.googleapis.com/glide-prod.appspot.com/uploads-v2/ly7o78grxPaC6KdgvbpS/pub/3aRdSog0vUtuqPE8AJKD.png")</f>
        <v>https://storage.googleapis.com/glide-prod.appspot.com/uploads-v2/ly7o78grxPaC6KdgvbpS/pub/3aRdSog0vUtuqPE8AJKD.png</v>
      </c>
      <c r="U867" s="5" t="str">
        <f ca="1">IFERROR(__xludf.DUMMYFUNCTION("""COMPUTED_VALUE"""),"LINEA DE ENVASADO FAMILIAR Y PRBCAPSULADORA")</f>
        <v>LINEA DE ENVASADO FAMILIAR Y PRBCAPSULADORA</v>
      </c>
      <c r="V867" s="5"/>
      <c r="W867" s="5" t="b">
        <f ca="1">IFERROR(__xludf.DUMMYFUNCTION("""COMPUTED_VALUE"""),TRUE)</f>
        <v>1</v>
      </c>
      <c r="X867" s="5" t="str">
        <f ca="1">IFERROR(__xludf.DUMMYFUNCTION("""COMPUTED_VALUE"""),"wguerra@postobon.com.co,aprmttoyu@postobon.com.co,aprmyu@postobon.com.co,wmora@postobon.com.co,efzapata@postobon.com.co")</f>
        <v>wguerra@postobon.com.co,aprmttoyu@postobon.com.co,aprmyu@postobon.com.co,wmora@postobon.com.co,efzapata@postobon.com.co</v>
      </c>
      <c r="Y867" s="5" t="str">
        <f ca="1">IFERROR(__xludf.DUMMYFUNCTION("""COMPUTED_VALUE"""),"wguerra@postobon.com.co")</f>
        <v>wguerra@postobon.com.co</v>
      </c>
      <c r="Z867" s="5" t="str">
        <f ca="1">IFERROR(__xludf.DUMMYFUNCTION("""COMPUTED_VALUE"""),"IblrDw1NQQWIxuq63ttKdg")</f>
        <v>IblrDw1NQQWIxuq63ttKdg</v>
      </c>
      <c r="AA867" s="5"/>
      <c r="AB867" s="5"/>
      <c r="AC867" s="5"/>
      <c r="AD867" s="5">
        <f ca="1">IFERROR(__xludf.DUMMYFUNCTION("""COMPUTED_VALUE"""),42)</f>
        <v>42</v>
      </c>
      <c r="AE867" s="5">
        <f ca="1">IFERROR(__xludf.DUMMYFUNCTION("""COMPUTED_VALUE"""),42)</f>
        <v>42</v>
      </c>
      <c r="AF867" s="5" t="b">
        <f ca="1">IFERROR(__xludf.DUMMYFUNCTION("""COMPUTED_VALUE"""),FALSE)</f>
        <v>0</v>
      </c>
      <c r="AG867" s="5" t="str">
        <f ca="1">IFERROR(__xludf.DUMMYFUNCTION("""COMPUTED_VALUE"""),"INSPECCIONES REALIZADAS")</f>
        <v>INSPECCIONES REALIZADAS</v>
      </c>
      <c r="AH867" s="5"/>
    </row>
    <row r="868" spans="1:34">
      <c r="A868" s="5" t="str">
        <f ca="1">IFERROR(__xludf.DUMMYFUNCTION("""COMPUTED_VALUE"""),"LINEA DE ENVASADO FAMILIAR Y PRB")</f>
        <v>LINEA DE ENVASADO FAMILIAR Y PRB</v>
      </c>
      <c r="B868" s="5">
        <f ca="1">IFERROR(__xludf.DUMMYFUNCTION("""COMPUTED_VALUE"""),828655)</f>
        <v>828655</v>
      </c>
      <c r="C868" s="5" t="str">
        <f ca="1">IFERROR(__xludf.DUMMYFUNCTION("""COMPUTED_VALUE"""),"CAPSULADORA")</f>
        <v>CAPSULADORA</v>
      </c>
      <c r="D868" s="5">
        <f ca="1">IFERROR(__xludf.DUMMYFUNCTION("""COMPUTED_VALUE"""),13247265)</f>
        <v>13247265</v>
      </c>
      <c r="E868" s="5" t="str">
        <f ca="1">IFERROR(__xludf.DUMMYFUNCTION("""COMPUTED_VALUE"""),"INSPECCION SEMANAL Mecanico CAPSULADORA")</f>
        <v>INSPECCION SEMANAL Mecanico CAPSULADORA</v>
      </c>
      <c r="F868" s="5" t="str">
        <f ca="1">IFERROR(__xludf.DUMMYFUNCTION("""COMPUTED_VALUE"""),"Estado y limpieza de extractor y/o climatizador tablero eléctrico")</f>
        <v>Estado y limpieza de extractor y/o climatizador tablero eléctrico</v>
      </c>
      <c r="G868" s="5" t="b">
        <f ca="1">IFERROR(__xludf.DUMMYFUNCTION("""COMPUTED_VALUE"""),TRUE)</f>
        <v>1</v>
      </c>
      <c r="H868" s="5"/>
      <c r="I868" s="5"/>
      <c r="J868" s="5">
        <f ca="1">IFERROR(__xludf.DUMMYFUNCTION("""COMPUTED_VALUE"""),13247265)</f>
        <v>13247265</v>
      </c>
      <c r="K868" s="5"/>
      <c r="L868" s="18">
        <f ca="1">IFERROR(__xludf.DUMMYFUNCTION("""COMPUTED_VALUE"""),45324)</f>
        <v>45324</v>
      </c>
      <c r="M868" s="18">
        <f ca="1">IFERROR(__xludf.DUMMYFUNCTION("""COMPUTED_VALUE"""),45324)</f>
        <v>45324</v>
      </c>
      <c r="N868" s="5" t="str">
        <f ca="1">IFERROR(__xludf.DUMMYFUNCTION("""COMPUTED_VALUE"""),"Poveda Jorge")</f>
        <v>Poveda Jorge</v>
      </c>
      <c r="O868" s="2">
        <f ca="1">IFERROR(__xludf.DUMMYFUNCTION("""COMPUTED_VALUE"""),0.005263158)</f>
        <v>5.2631580000000004E-3</v>
      </c>
      <c r="P868" s="5">
        <f ca="1">IFERROR(__xludf.DUMMYFUNCTION("""COMPUTED_VALUE"""),20038806)</f>
        <v>20038806</v>
      </c>
      <c r="Q868" s="5" t="str">
        <f ca="1">IFERROR(__xludf.DUMMYFUNCTION("""COMPUTED_VALUE"""),"9p-hBHFosrY")</f>
        <v>9p-hBHFosrY</v>
      </c>
      <c r="R868" s="5">
        <f ca="1">IFERROR(__xludf.DUMMYFUNCTION("""COMPUTED_VALUE"""),410)</f>
        <v>410</v>
      </c>
      <c r="S868" s="62">
        <f ca="1">IFERROR(__xludf.DUMMYFUNCTION("""COMPUTED_VALUE"""),0.005263158)</f>
        <v>5.2631580000000004E-3</v>
      </c>
      <c r="T868" s="63" t="str">
        <f ca="1">IFERROR(__xludf.DUMMYFUNCTION("""COMPUTED_VALUE"""),"https://storage.googleapis.com/glide-prod.appspot.com/uploads-v2/ly7o78grxPaC6KdgvbpS/pub/3aRdSog0vUtuqPE8AJKD.png")</f>
        <v>https://storage.googleapis.com/glide-prod.appspot.com/uploads-v2/ly7o78grxPaC6KdgvbpS/pub/3aRdSog0vUtuqPE8AJKD.png</v>
      </c>
      <c r="U868" s="5" t="str">
        <f ca="1">IFERROR(__xludf.DUMMYFUNCTION("""COMPUTED_VALUE"""),"LINEA DE ENVASADO FAMILIAR Y PRBCAPSULADORA")</f>
        <v>LINEA DE ENVASADO FAMILIAR Y PRBCAPSULADORA</v>
      </c>
      <c r="V868" s="5"/>
      <c r="W868" s="5" t="b">
        <f ca="1">IFERROR(__xludf.DUMMYFUNCTION("""COMPUTED_VALUE"""),TRUE)</f>
        <v>1</v>
      </c>
      <c r="X868" s="5" t="str">
        <f ca="1">IFERROR(__xludf.DUMMYFUNCTION("""COMPUTED_VALUE"""),"wguerra@postobon.com.co,aprmttoyu@postobon.com.co,aprmyu@postobon.com.co,wmora@postobon.com.co,efzapata@postobon.com.co")</f>
        <v>wguerra@postobon.com.co,aprmttoyu@postobon.com.co,aprmyu@postobon.com.co,wmora@postobon.com.co,efzapata@postobon.com.co</v>
      </c>
      <c r="Y868" s="5" t="str">
        <f ca="1">IFERROR(__xludf.DUMMYFUNCTION("""COMPUTED_VALUE"""),"wguerra@postobon.com.co")</f>
        <v>wguerra@postobon.com.co</v>
      </c>
      <c r="Z868" s="5" t="str">
        <f ca="1">IFERROR(__xludf.DUMMYFUNCTION("""COMPUTED_VALUE"""),"9S.fpWdqSpy4xzTSMtTinQ")</f>
        <v>9S.fpWdqSpy4xzTSMtTinQ</v>
      </c>
      <c r="AA868" s="5"/>
      <c r="AB868" s="5"/>
      <c r="AC868" s="5"/>
      <c r="AD868" s="5">
        <f ca="1">IFERROR(__xludf.DUMMYFUNCTION("""COMPUTED_VALUE"""),42)</f>
        <v>42</v>
      </c>
      <c r="AE868" s="5">
        <f ca="1">IFERROR(__xludf.DUMMYFUNCTION("""COMPUTED_VALUE"""),42)</f>
        <v>42</v>
      </c>
      <c r="AF868" s="5" t="b">
        <f ca="1">IFERROR(__xludf.DUMMYFUNCTION("""COMPUTED_VALUE"""),FALSE)</f>
        <v>0</v>
      </c>
      <c r="AG868" s="5" t="str">
        <f ca="1">IFERROR(__xludf.DUMMYFUNCTION("""COMPUTED_VALUE"""),"INSPECCIONES REALIZADAS")</f>
        <v>INSPECCIONES REALIZADAS</v>
      </c>
      <c r="AH868" s="5"/>
    </row>
    <row r="869" spans="1:34">
      <c r="A869" s="5" t="str">
        <f ca="1">IFERROR(__xludf.DUMMYFUNCTION("""COMPUTED_VALUE"""),"LINEA DE ENVASADO JUGOS PET HOT FILL")</f>
        <v>LINEA DE ENVASADO JUGOS PET HOT FILL</v>
      </c>
      <c r="B869" s="5">
        <f ca="1">IFERROR(__xludf.DUMMYFUNCTION("""COMPUTED_VALUE"""),579063)</f>
        <v>579063</v>
      </c>
      <c r="C869" s="5" t="str">
        <f ca="1">IFERROR(__xludf.DUMMYFUNCTION("""COMPUTED_VALUE"""),"PALETIZADORA MODUPAL 2A")</f>
        <v>PALETIZADORA MODUPAL 2A</v>
      </c>
      <c r="D869" s="5">
        <f ca="1">IFERROR(__xludf.DUMMYFUNCTION("""COMPUTED_VALUE"""),13247770)</f>
        <v>13247770</v>
      </c>
      <c r="E869" s="5" t="str">
        <f ca="1">IFERROR(__xludf.DUMMYFUNCTION("""COMPUTED_VALUE"""),"INSPECCION SEMANAL MODUPAL 2A")</f>
        <v>INSPECCION SEMANAL MODUPAL 2A</v>
      </c>
      <c r="F869" s="5" t="str">
        <f ca="1">IFERROR(__xludf.DUMMYFUNCTION("""COMPUTED_VALUE"""),"ESTADO CADENAS TORNILLERIA")</f>
        <v>ESTADO CADENAS TORNILLERIA</v>
      </c>
      <c r="G869" s="5" t="b">
        <f ca="1">IFERROR(__xludf.DUMMYFUNCTION("""COMPUTED_VALUE"""),TRUE)</f>
        <v>1</v>
      </c>
      <c r="H869" s="5"/>
      <c r="I869" s="5"/>
      <c r="J869" s="5">
        <f ca="1">IFERROR(__xludf.DUMMYFUNCTION("""COMPUTED_VALUE"""),13247770)</f>
        <v>13247770</v>
      </c>
      <c r="K869" s="5"/>
      <c r="L869" s="18">
        <f ca="1">IFERROR(__xludf.DUMMYFUNCTION("""COMPUTED_VALUE"""),45324)</f>
        <v>45324</v>
      </c>
      <c r="M869" s="18">
        <f ca="1">IFERROR(__xludf.DUMMYFUNCTION("""COMPUTED_VALUE"""),45324)</f>
        <v>45324</v>
      </c>
      <c r="N869" s="5" t="str">
        <f ca="1">IFERROR(__xludf.DUMMYFUNCTION("""COMPUTED_VALUE"""),"Martinez Delgado Osver")</f>
        <v>Martinez Delgado Osver</v>
      </c>
      <c r="O869" s="2">
        <f ca="1">IFERROR(__xludf.DUMMYFUNCTION("""COMPUTED_VALUE"""),0.007692308)</f>
        <v>7.6923080000000001E-3</v>
      </c>
      <c r="P869" s="5">
        <f ca="1">IFERROR(__xludf.DUMMYFUNCTION("""COMPUTED_VALUE"""),20009942)</f>
        <v>20009942</v>
      </c>
      <c r="Q869" s="5" t="str">
        <f ca="1">IFERROR(__xludf.DUMMYFUNCTION("""COMPUTED_VALUE"""),"h-9FDv4uRvA")</f>
        <v>h-9FDv4uRvA</v>
      </c>
      <c r="R869" s="5">
        <f ca="1">IFERROR(__xludf.DUMMYFUNCTION("""COMPUTED_VALUE"""),410)</f>
        <v>410</v>
      </c>
      <c r="S869" s="62">
        <f ca="1">IFERROR(__xludf.DUMMYFUNCTION("""COMPUTED_VALUE"""),0.007692308)</f>
        <v>7.6923080000000001E-3</v>
      </c>
      <c r="T869" s="63" t="str">
        <f ca="1">IFERROR(__xludf.DUMMYFUNCTION("""COMPUTED_VALUE"""),"https://storage.googleapis.com/glide-prod.appspot.com/uploads-v2/ly7o78grxPaC6KdgvbpS/pub/3aRdSog0vUtuqPE8AJKD.png")</f>
        <v>https://storage.googleapis.com/glide-prod.appspot.com/uploads-v2/ly7o78grxPaC6KdgvbpS/pub/3aRdSog0vUtuqPE8AJKD.png</v>
      </c>
      <c r="U869" s="5" t="str">
        <f ca="1">IFERROR(__xludf.DUMMYFUNCTION("""COMPUTED_VALUE"""),"LINEA DE ENVASADO JUGOS PET HOT FILLPALETIZADORA MODUPAL 2A")</f>
        <v>LINEA DE ENVASADO JUGOS PET HOT FILLPALETIZADORA MODUPAL 2A</v>
      </c>
      <c r="V869" s="5"/>
      <c r="W869" s="5" t="b">
        <f ca="1">IFERROR(__xludf.DUMMYFUNCTION("""COMPUTED_VALUE"""),TRUE)</f>
        <v>1</v>
      </c>
      <c r="X869" s="5" t="str">
        <f ca="1">IFERROR(__xludf.DUMMYFUNCTION("""COMPUTED_VALUE"""),"achavezi@postobon.com.co,aprmttoyu@postobon.com.co,aprmyu@postobon.com.co,wmora@postobon.com.co,efzapata@postobon.com.co")</f>
        <v>achavezi@postobon.com.co,aprmttoyu@postobon.com.co,aprmyu@postobon.com.co,wmora@postobon.com.co,efzapata@postobon.com.co</v>
      </c>
      <c r="Y869" s="5" t="str">
        <f ca="1">IFERROR(__xludf.DUMMYFUNCTION("""COMPUTED_VALUE"""),"achavezi@postobon.com.co")</f>
        <v>achavezi@postobon.com.co</v>
      </c>
      <c r="Z869" s="5" t="str">
        <f ca="1">IFERROR(__xludf.DUMMYFUNCTION("""COMPUTED_VALUE"""),"XAexq0FMRAmZHKpdRsDjcg")</f>
        <v>XAexq0FMRAmZHKpdRsDjcg</v>
      </c>
      <c r="AA869" s="5"/>
      <c r="AB869" s="5"/>
      <c r="AC869" s="5"/>
      <c r="AD869" s="5">
        <f ca="1">IFERROR(__xludf.DUMMYFUNCTION("""COMPUTED_VALUE"""),21)</f>
        <v>21</v>
      </c>
      <c r="AE869" s="5">
        <f ca="1">IFERROR(__xludf.DUMMYFUNCTION("""COMPUTED_VALUE"""),21)</f>
        <v>21</v>
      </c>
      <c r="AF869" s="5" t="b">
        <f ca="1">IFERROR(__xludf.DUMMYFUNCTION("""COMPUTED_VALUE"""),FALSE)</f>
        <v>0</v>
      </c>
      <c r="AG869" s="5" t="str">
        <f ca="1">IFERROR(__xludf.DUMMYFUNCTION("""COMPUTED_VALUE"""),"INSPECCIONES REALIZADAS")</f>
        <v>INSPECCIONES REALIZADAS</v>
      </c>
      <c r="AH869" s="5"/>
    </row>
    <row r="870" spans="1:34">
      <c r="A870" s="5" t="str">
        <f ca="1">IFERROR(__xludf.DUMMYFUNCTION("""COMPUTED_VALUE"""),"LINEA DE ENVASADO JUGOS PET HOT FILL")</f>
        <v>LINEA DE ENVASADO JUGOS PET HOT FILL</v>
      </c>
      <c r="B870" s="5">
        <f ca="1">IFERROR(__xludf.DUMMYFUNCTION("""COMPUTED_VALUE"""),579063)</f>
        <v>579063</v>
      </c>
      <c r="C870" s="5" t="str">
        <f ca="1">IFERROR(__xludf.DUMMYFUNCTION("""COMPUTED_VALUE"""),"PALETIZADORA MODUPAL 2A")</f>
        <v>PALETIZADORA MODUPAL 2A</v>
      </c>
      <c r="D870" s="5">
        <f ca="1">IFERROR(__xludf.DUMMYFUNCTION("""COMPUTED_VALUE"""),13247770)</f>
        <v>13247770</v>
      </c>
      <c r="E870" s="5" t="str">
        <f ca="1">IFERROR(__xludf.DUMMYFUNCTION("""COMPUTED_VALUE"""),"INSPECCION SEMANAL MODUPAL 2A")</f>
        <v>INSPECCION SEMANAL MODUPAL 2A</v>
      </c>
      <c r="F870" s="5" t="str">
        <f ca="1">IFERROR(__xludf.DUMMYFUNCTION("""COMPUTED_VALUE"""),"INSP. CARRILES TRANSPORTE BOTELLAS")</f>
        <v>INSP. CARRILES TRANSPORTE BOTELLAS</v>
      </c>
      <c r="G870" s="5" t="b">
        <f ca="1">IFERROR(__xludf.DUMMYFUNCTION("""COMPUTED_VALUE"""),TRUE)</f>
        <v>1</v>
      </c>
      <c r="H870" s="5"/>
      <c r="I870" s="5"/>
      <c r="J870" s="5">
        <f ca="1">IFERROR(__xludf.DUMMYFUNCTION("""COMPUTED_VALUE"""),13247770)</f>
        <v>13247770</v>
      </c>
      <c r="K870" s="5"/>
      <c r="L870" s="18">
        <f ca="1">IFERROR(__xludf.DUMMYFUNCTION("""COMPUTED_VALUE"""),45324)</f>
        <v>45324</v>
      </c>
      <c r="M870" s="18">
        <f ca="1">IFERROR(__xludf.DUMMYFUNCTION("""COMPUTED_VALUE"""),45324)</f>
        <v>45324</v>
      </c>
      <c r="N870" s="5" t="str">
        <f ca="1">IFERROR(__xludf.DUMMYFUNCTION("""COMPUTED_VALUE"""),"Martinez Delgado Osver")</f>
        <v>Martinez Delgado Osver</v>
      </c>
      <c r="O870" s="2">
        <f ca="1">IFERROR(__xludf.DUMMYFUNCTION("""COMPUTED_VALUE"""),0.007692308)</f>
        <v>7.6923080000000001E-3</v>
      </c>
      <c r="P870" s="5">
        <f ca="1">IFERROR(__xludf.DUMMYFUNCTION("""COMPUTED_VALUE"""),20009942)</f>
        <v>20009942</v>
      </c>
      <c r="Q870" s="5" t="str">
        <f ca="1">IFERROR(__xludf.DUMMYFUNCTION("""COMPUTED_VALUE"""),"w4LXq_2s2HM")</f>
        <v>w4LXq_2s2HM</v>
      </c>
      <c r="R870" s="5">
        <f ca="1">IFERROR(__xludf.DUMMYFUNCTION("""COMPUTED_VALUE"""),410)</f>
        <v>410</v>
      </c>
      <c r="S870" s="62">
        <f ca="1">IFERROR(__xludf.DUMMYFUNCTION("""COMPUTED_VALUE"""),0.007692308)</f>
        <v>7.6923080000000001E-3</v>
      </c>
      <c r="T870" s="63" t="str">
        <f ca="1">IFERROR(__xludf.DUMMYFUNCTION("""COMPUTED_VALUE"""),"https://storage.googleapis.com/glide-prod.appspot.com/uploads-v2/ly7o78grxPaC6KdgvbpS/pub/3aRdSog0vUtuqPE8AJKD.png")</f>
        <v>https://storage.googleapis.com/glide-prod.appspot.com/uploads-v2/ly7o78grxPaC6KdgvbpS/pub/3aRdSog0vUtuqPE8AJKD.png</v>
      </c>
      <c r="U870" s="5" t="str">
        <f ca="1">IFERROR(__xludf.DUMMYFUNCTION("""COMPUTED_VALUE"""),"LINEA DE ENVASADO JUGOS PET HOT FILLPALETIZADORA MODUPAL 2A")</f>
        <v>LINEA DE ENVASADO JUGOS PET HOT FILLPALETIZADORA MODUPAL 2A</v>
      </c>
      <c r="V870" s="5"/>
      <c r="W870" s="5" t="b">
        <f ca="1">IFERROR(__xludf.DUMMYFUNCTION("""COMPUTED_VALUE"""),TRUE)</f>
        <v>1</v>
      </c>
      <c r="X870" s="5" t="str">
        <f ca="1">IFERROR(__xludf.DUMMYFUNCTION("""COMPUTED_VALUE"""),"achavezi@postobon.com.co,aprmttoyu@postobon.com.co,aprmyu@postobon.com.co,wmora@postobon.com.co,efzapata@postobon.com.co")</f>
        <v>achavezi@postobon.com.co,aprmttoyu@postobon.com.co,aprmyu@postobon.com.co,wmora@postobon.com.co,efzapata@postobon.com.co</v>
      </c>
      <c r="Y870" s="5" t="str">
        <f ca="1">IFERROR(__xludf.DUMMYFUNCTION("""COMPUTED_VALUE"""),"achavezi@postobon.com.co")</f>
        <v>achavezi@postobon.com.co</v>
      </c>
      <c r="Z870" s="5" t="str">
        <f ca="1">IFERROR(__xludf.DUMMYFUNCTION("""COMPUTED_VALUE"""),"TUVSf0huRQeVdEqnYcTzCw")</f>
        <v>TUVSf0huRQeVdEqnYcTzCw</v>
      </c>
      <c r="AA870" s="5"/>
      <c r="AB870" s="5"/>
      <c r="AC870" s="5"/>
      <c r="AD870" s="5">
        <f ca="1">IFERROR(__xludf.DUMMYFUNCTION("""COMPUTED_VALUE"""),21)</f>
        <v>21</v>
      </c>
      <c r="AE870" s="5">
        <f ca="1">IFERROR(__xludf.DUMMYFUNCTION("""COMPUTED_VALUE"""),21)</f>
        <v>21</v>
      </c>
      <c r="AF870" s="5" t="b">
        <f ca="1">IFERROR(__xludf.DUMMYFUNCTION("""COMPUTED_VALUE"""),FALSE)</f>
        <v>0</v>
      </c>
      <c r="AG870" s="5" t="str">
        <f ca="1">IFERROR(__xludf.DUMMYFUNCTION("""COMPUTED_VALUE"""),"INSPECCIONES REALIZADAS")</f>
        <v>INSPECCIONES REALIZADAS</v>
      </c>
      <c r="AH870" s="5"/>
    </row>
    <row r="871" spans="1:34">
      <c r="A871" s="5" t="str">
        <f ca="1">IFERROR(__xludf.DUMMYFUNCTION("""COMPUTED_VALUE"""),"LINEA DE ENVASADO JUGOS PET HOT FILL")</f>
        <v>LINEA DE ENVASADO JUGOS PET HOT FILL</v>
      </c>
      <c r="B871" s="5">
        <f ca="1">IFERROR(__xludf.DUMMYFUNCTION("""COMPUTED_VALUE"""),579063)</f>
        <v>579063</v>
      </c>
      <c r="C871" s="5" t="str">
        <f ca="1">IFERROR(__xludf.DUMMYFUNCTION("""COMPUTED_VALUE"""),"PALETIZADORA MODUPAL 2A")</f>
        <v>PALETIZADORA MODUPAL 2A</v>
      </c>
      <c r="D871" s="5">
        <f ca="1">IFERROR(__xludf.DUMMYFUNCTION("""COMPUTED_VALUE"""),13247770)</f>
        <v>13247770</v>
      </c>
      <c r="E871" s="5" t="str">
        <f ca="1">IFERROR(__xludf.DUMMYFUNCTION("""COMPUTED_VALUE"""),"INSPECCION SEMANAL MODUPAL 2A")</f>
        <v>INSPECCION SEMANAL MODUPAL 2A</v>
      </c>
      <c r="F871" s="5" t="str">
        <f ca="1">IFERROR(__xludf.DUMMYFUNCTION("""COMPUTED_VALUE"""),"ESTADO BANDA TRANSPORTADORA")</f>
        <v>ESTADO BANDA TRANSPORTADORA</v>
      </c>
      <c r="G871" s="5" t="b">
        <f ca="1">IFERROR(__xludf.DUMMYFUNCTION("""COMPUTED_VALUE"""),TRUE)</f>
        <v>1</v>
      </c>
      <c r="H871" s="5"/>
      <c r="I871" s="5"/>
      <c r="J871" s="5">
        <f ca="1">IFERROR(__xludf.DUMMYFUNCTION("""COMPUTED_VALUE"""),13247770)</f>
        <v>13247770</v>
      </c>
      <c r="K871" s="5"/>
      <c r="L871" s="18">
        <f ca="1">IFERROR(__xludf.DUMMYFUNCTION("""COMPUTED_VALUE"""),45324)</f>
        <v>45324</v>
      </c>
      <c r="M871" s="18">
        <f ca="1">IFERROR(__xludf.DUMMYFUNCTION("""COMPUTED_VALUE"""),45324)</f>
        <v>45324</v>
      </c>
      <c r="N871" s="5" t="str">
        <f ca="1">IFERROR(__xludf.DUMMYFUNCTION("""COMPUTED_VALUE"""),"Martinez Delgado Osver")</f>
        <v>Martinez Delgado Osver</v>
      </c>
      <c r="O871" s="2">
        <f ca="1">IFERROR(__xludf.DUMMYFUNCTION("""COMPUTED_VALUE"""),0.007692308)</f>
        <v>7.6923080000000001E-3</v>
      </c>
      <c r="P871" s="5">
        <f ca="1">IFERROR(__xludf.DUMMYFUNCTION("""COMPUTED_VALUE"""),20009942)</f>
        <v>20009942</v>
      </c>
      <c r="Q871" s="5" t="str">
        <f ca="1">IFERROR(__xludf.DUMMYFUNCTION("""COMPUTED_VALUE"""),"Jhb9iM2DKu8")</f>
        <v>Jhb9iM2DKu8</v>
      </c>
      <c r="R871" s="5">
        <f ca="1">IFERROR(__xludf.DUMMYFUNCTION("""COMPUTED_VALUE"""),410)</f>
        <v>410</v>
      </c>
      <c r="S871" s="62">
        <f ca="1">IFERROR(__xludf.DUMMYFUNCTION("""COMPUTED_VALUE"""),0.007692308)</f>
        <v>7.6923080000000001E-3</v>
      </c>
      <c r="T871" s="63" t="str">
        <f ca="1">IFERROR(__xludf.DUMMYFUNCTION("""COMPUTED_VALUE"""),"https://storage.googleapis.com/glide-prod.appspot.com/uploads-v2/ly7o78grxPaC6KdgvbpS/pub/3aRdSog0vUtuqPE8AJKD.png")</f>
        <v>https://storage.googleapis.com/glide-prod.appspot.com/uploads-v2/ly7o78grxPaC6KdgvbpS/pub/3aRdSog0vUtuqPE8AJKD.png</v>
      </c>
      <c r="U871" s="5" t="str">
        <f ca="1">IFERROR(__xludf.DUMMYFUNCTION("""COMPUTED_VALUE"""),"LINEA DE ENVASADO JUGOS PET HOT FILLPALETIZADORA MODUPAL 2A")</f>
        <v>LINEA DE ENVASADO JUGOS PET HOT FILLPALETIZADORA MODUPAL 2A</v>
      </c>
      <c r="V871" s="5"/>
      <c r="W871" s="5" t="b">
        <f ca="1">IFERROR(__xludf.DUMMYFUNCTION("""COMPUTED_VALUE"""),TRUE)</f>
        <v>1</v>
      </c>
      <c r="X871" s="5" t="str">
        <f ca="1">IFERROR(__xludf.DUMMYFUNCTION("""COMPUTED_VALUE"""),"achavezi@postobon.com.co,aprmttoyu@postobon.com.co,aprmyu@postobon.com.co,wmora@postobon.com.co,efzapata@postobon.com.co")</f>
        <v>achavezi@postobon.com.co,aprmttoyu@postobon.com.co,aprmyu@postobon.com.co,wmora@postobon.com.co,efzapata@postobon.com.co</v>
      </c>
      <c r="Y871" s="5" t="str">
        <f ca="1">IFERROR(__xludf.DUMMYFUNCTION("""COMPUTED_VALUE"""),"achavezi@postobon.com.co")</f>
        <v>achavezi@postobon.com.co</v>
      </c>
      <c r="Z871" s="5" t="str">
        <f ca="1">IFERROR(__xludf.DUMMYFUNCTION("""COMPUTED_VALUE"""),"bW.RGZZ-SSKmCTEJEsEPlg")</f>
        <v>bW.RGZZ-SSKmCTEJEsEPlg</v>
      </c>
      <c r="AA871" s="5"/>
      <c r="AB871" s="5"/>
      <c r="AC871" s="5"/>
      <c r="AD871" s="5">
        <f ca="1">IFERROR(__xludf.DUMMYFUNCTION("""COMPUTED_VALUE"""),21)</f>
        <v>21</v>
      </c>
      <c r="AE871" s="5">
        <f ca="1">IFERROR(__xludf.DUMMYFUNCTION("""COMPUTED_VALUE"""),21)</f>
        <v>21</v>
      </c>
      <c r="AF871" s="5" t="b">
        <f ca="1">IFERROR(__xludf.DUMMYFUNCTION("""COMPUTED_VALUE"""),FALSE)</f>
        <v>0</v>
      </c>
      <c r="AG871" s="5" t="str">
        <f ca="1">IFERROR(__xludf.DUMMYFUNCTION("""COMPUTED_VALUE"""),"INSPECCIONES REALIZADAS")</f>
        <v>INSPECCIONES REALIZADAS</v>
      </c>
      <c r="AH871" s="5"/>
    </row>
    <row r="872" spans="1:34">
      <c r="A872" s="5" t="str">
        <f ca="1">IFERROR(__xludf.DUMMYFUNCTION("""COMPUTED_VALUE"""),"LINEA DE ENVASADO JUGOS PET HOT FILL")</f>
        <v>LINEA DE ENVASADO JUGOS PET HOT FILL</v>
      </c>
      <c r="B872" s="5">
        <f ca="1">IFERROR(__xludf.DUMMYFUNCTION("""COMPUTED_VALUE"""),579063)</f>
        <v>579063</v>
      </c>
      <c r="C872" s="5" t="str">
        <f ca="1">IFERROR(__xludf.DUMMYFUNCTION("""COMPUTED_VALUE"""),"PALETIZADORA MODUPAL 2A")</f>
        <v>PALETIZADORA MODUPAL 2A</v>
      </c>
      <c r="D872" s="5">
        <f ca="1">IFERROR(__xludf.DUMMYFUNCTION("""COMPUTED_VALUE"""),13247770)</f>
        <v>13247770</v>
      </c>
      <c r="E872" s="5" t="str">
        <f ca="1">IFERROR(__xludf.DUMMYFUNCTION("""COMPUTED_VALUE"""),"INSPECCION SEMANAL MODUPAL 2A")</f>
        <v>INSPECCION SEMANAL MODUPAL 2A</v>
      </c>
      <c r="F872" s="5" t="str">
        <f ca="1">IFERROR(__xludf.DUMMYFUNCTION("""COMPUTED_VALUE"""),"ESTADO GUIAS LATERALES")</f>
        <v>ESTADO GUIAS LATERALES</v>
      </c>
      <c r="G872" s="5" t="b">
        <f ca="1">IFERROR(__xludf.DUMMYFUNCTION("""COMPUTED_VALUE"""),TRUE)</f>
        <v>1</v>
      </c>
      <c r="H872" s="5"/>
      <c r="I872" s="5"/>
      <c r="J872" s="5">
        <f ca="1">IFERROR(__xludf.DUMMYFUNCTION("""COMPUTED_VALUE"""),13247770)</f>
        <v>13247770</v>
      </c>
      <c r="K872" s="5"/>
      <c r="L872" s="18">
        <f ca="1">IFERROR(__xludf.DUMMYFUNCTION("""COMPUTED_VALUE"""),45324)</f>
        <v>45324</v>
      </c>
      <c r="M872" s="18">
        <f ca="1">IFERROR(__xludf.DUMMYFUNCTION("""COMPUTED_VALUE"""),45324)</f>
        <v>45324</v>
      </c>
      <c r="N872" s="5" t="str">
        <f ca="1">IFERROR(__xludf.DUMMYFUNCTION("""COMPUTED_VALUE"""),"Martinez Delgado Osver")</f>
        <v>Martinez Delgado Osver</v>
      </c>
      <c r="O872" s="2">
        <f ca="1">IFERROR(__xludf.DUMMYFUNCTION("""COMPUTED_VALUE"""),0.007692308)</f>
        <v>7.6923080000000001E-3</v>
      </c>
      <c r="P872" s="5">
        <f ca="1">IFERROR(__xludf.DUMMYFUNCTION("""COMPUTED_VALUE"""),20009942)</f>
        <v>20009942</v>
      </c>
      <c r="Q872" s="5" t="str">
        <f ca="1">IFERROR(__xludf.DUMMYFUNCTION("""COMPUTED_VALUE"""),"S_YKW_1Z_IU")</f>
        <v>S_YKW_1Z_IU</v>
      </c>
      <c r="R872" s="5">
        <f ca="1">IFERROR(__xludf.DUMMYFUNCTION("""COMPUTED_VALUE"""),410)</f>
        <v>410</v>
      </c>
      <c r="S872" s="62">
        <f ca="1">IFERROR(__xludf.DUMMYFUNCTION("""COMPUTED_VALUE"""),0.007692308)</f>
        <v>7.6923080000000001E-3</v>
      </c>
      <c r="T872" s="63" t="str">
        <f ca="1">IFERROR(__xludf.DUMMYFUNCTION("""COMPUTED_VALUE"""),"https://storage.googleapis.com/glide-prod.appspot.com/uploads-v2/ly7o78grxPaC6KdgvbpS/pub/3aRdSog0vUtuqPE8AJKD.png")</f>
        <v>https://storage.googleapis.com/glide-prod.appspot.com/uploads-v2/ly7o78grxPaC6KdgvbpS/pub/3aRdSog0vUtuqPE8AJKD.png</v>
      </c>
      <c r="U872" s="5" t="str">
        <f ca="1">IFERROR(__xludf.DUMMYFUNCTION("""COMPUTED_VALUE"""),"LINEA DE ENVASADO JUGOS PET HOT FILLPALETIZADORA MODUPAL 2A")</f>
        <v>LINEA DE ENVASADO JUGOS PET HOT FILLPALETIZADORA MODUPAL 2A</v>
      </c>
      <c r="V872" s="5"/>
      <c r="W872" s="5" t="b">
        <f ca="1">IFERROR(__xludf.DUMMYFUNCTION("""COMPUTED_VALUE"""),TRUE)</f>
        <v>1</v>
      </c>
      <c r="X872" s="5" t="str">
        <f ca="1">IFERROR(__xludf.DUMMYFUNCTION("""COMPUTED_VALUE"""),"achavezi@postobon.com.co,aprmttoyu@postobon.com.co,aprmyu@postobon.com.co,wmora@postobon.com.co,efzapata@postobon.com.co")</f>
        <v>achavezi@postobon.com.co,aprmttoyu@postobon.com.co,aprmyu@postobon.com.co,wmora@postobon.com.co,efzapata@postobon.com.co</v>
      </c>
      <c r="Y872" s="5" t="str">
        <f ca="1">IFERROR(__xludf.DUMMYFUNCTION("""COMPUTED_VALUE"""),"achavezi@postobon.com.co")</f>
        <v>achavezi@postobon.com.co</v>
      </c>
      <c r="Z872" s="5" t="str">
        <f ca="1">IFERROR(__xludf.DUMMYFUNCTION("""COMPUTED_VALUE"""),"w.qeiCv9TEWdQ.kHqwBLdg")</f>
        <v>w.qeiCv9TEWdQ.kHqwBLdg</v>
      </c>
      <c r="AA872" s="5"/>
      <c r="AB872" s="5"/>
      <c r="AC872" s="5"/>
      <c r="AD872" s="5">
        <f ca="1">IFERROR(__xludf.DUMMYFUNCTION("""COMPUTED_VALUE"""),21)</f>
        <v>21</v>
      </c>
      <c r="AE872" s="5">
        <f ca="1">IFERROR(__xludf.DUMMYFUNCTION("""COMPUTED_VALUE"""),21)</f>
        <v>21</v>
      </c>
      <c r="AF872" s="5" t="b">
        <f ca="1">IFERROR(__xludf.DUMMYFUNCTION("""COMPUTED_VALUE"""),FALSE)</f>
        <v>0</v>
      </c>
      <c r="AG872" s="5" t="str">
        <f ca="1">IFERROR(__xludf.DUMMYFUNCTION("""COMPUTED_VALUE"""),"INSPECCIONES REALIZADAS")</f>
        <v>INSPECCIONES REALIZADAS</v>
      </c>
      <c r="AH872" s="5"/>
    </row>
    <row r="873" spans="1:34">
      <c r="A873" s="5" t="str">
        <f ca="1">IFERROR(__xludf.DUMMYFUNCTION("""COMPUTED_VALUE"""),"LINEA DE ENVASADO JUGOS PET HOT FILL")</f>
        <v>LINEA DE ENVASADO JUGOS PET HOT FILL</v>
      </c>
      <c r="B873" s="5">
        <f ca="1">IFERROR(__xludf.DUMMYFUNCTION("""COMPUTED_VALUE"""),579063)</f>
        <v>579063</v>
      </c>
      <c r="C873" s="5" t="str">
        <f ca="1">IFERROR(__xludf.DUMMYFUNCTION("""COMPUTED_VALUE"""),"PALETIZADORA MODUPAL 2A")</f>
        <v>PALETIZADORA MODUPAL 2A</v>
      </c>
      <c r="D873" s="5">
        <f ca="1">IFERROR(__xludf.DUMMYFUNCTION("""COMPUTED_VALUE"""),13247770)</f>
        <v>13247770</v>
      </c>
      <c r="E873" s="5" t="str">
        <f ca="1">IFERROR(__xludf.DUMMYFUNCTION("""COMPUTED_VALUE"""),"INSPECCION SEMANAL MODUPAL 2A")</f>
        <v>INSPECCION SEMANAL MODUPAL 2A</v>
      </c>
      <c r="F873" s="5" t="str">
        <f ca="1">IFERROR(__xludf.DUMMYFUNCTION("""COMPUTED_VALUE"""),"INSP. UNIDAD MATTO")</f>
        <v>INSP. UNIDAD MATTO</v>
      </c>
      <c r="G873" s="5" t="b">
        <f ca="1">IFERROR(__xludf.DUMMYFUNCTION("""COMPUTED_VALUE"""),TRUE)</f>
        <v>1</v>
      </c>
      <c r="H873" s="5"/>
      <c r="I873" s="5"/>
      <c r="J873" s="5">
        <f ca="1">IFERROR(__xludf.DUMMYFUNCTION("""COMPUTED_VALUE"""),13247770)</f>
        <v>13247770</v>
      </c>
      <c r="K873" s="5"/>
      <c r="L873" s="18">
        <f ca="1">IFERROR(__xludf.DUMMYFUNCTION("""COMPUTED_VALUE"""),45324)</f>
        <v>45324</v>
      </c>
      <c r="M873" s="18">
        <f ca="1">IFERROR(__xludf.DUMMYFUNCTION("""COMPUTED_VALUE"""),45324)</f>
        <v>45324</v>
      </c>
      <c r="N873" s="5" t="str">
        <f ca="1">IFERROR(__xludf.DUMMYFUNCTION("""COMPUTED_VALUE"""),"Martinez Delgado Osver")</f>
        <v>Martinez Delgado Osver</v>
      </c>
      <c r="O873" s="2">
        <f ca="1">IFERROR(__xludf.DUMMYFUNCTION("""COMPUTED_VALUE"""),0.007692308)</f>
        <v>7.6923080000000001E-3</v>
      </c>
      <c r="P873" s="5">
        <f ca="1">IFERROR(__xludf.DUMMYFUNCTION("""COMPUTED_VALUE"""),20009942)</f>
        <v>20009942</v>
      </c>
      <c r="Q873" s="5" t="str">
        <f ca="1">IFERROR(__xludf.DUMMYFUNCTION("""COMPUTED_VALUE"""),"tFXsXozACzo")</f>
        <v>tFXsXozACzo</v>
      </c>
      <c r="R873" s="5">
        <f ca="1">IFERROR(__xludf.DUMMYFUNCTION("""COMPUTED_VALUE"""),410)</f>
        <v>410</v>
      </c>
      <c r="S873" s="62">
        <f ca="1">IFERROR(__xludf.DUMMYFUNCTION("""COMPUTED_VALUE"""),0.007692308)</f>
        <v>7.6923080000000001E-3</v>
      </c>
      <c r="T873" s="63" t="str">
        <f ca="1">IFERROR(__xludf.DUMMYFUNCTION("""COMPUTED_VALUE"""),"https://storage.googleapis.com/glide-prod.appspot.com/uploads-v2/ly7o78grxPaC6KdgvbpS/pub/3aRdSog0vUtuqPE8AJKD.png")</f>
        <v>https://storage.googleapis.com/glide-prod.appspot.com/uploads-v2/ly7o78grxPaC6KdgvbpS/pub/3aRdSog0vUtuqPE8AJKD.png</v>
      </c>
      <c r="U873" s="5" t="str">
        <f ca="1">IFERROR(__xludf.DUMMYFUNCTION("""COMPUTED_VALUE"""),"LINEA DE ENVASADO JUGOS PET HOT FILLPALETIZADORA MODUPAL 2A")</f>
        <v>LINEA DE ENVASADO JUGOS PET HOT FILLPALETIZADORA MODUPAL 2A</v>
      </c>
      <c r="V873" s="5"/>
      <c r="W873" s="5" t="b">
        <f ca="1">IFERROR(__xludf.DUMMYFUNCTION("""COMPUTED_VALUE"""),TRUE)</f>
        <v>1</v>
      </c>
      <c r="X873" s="5" t="str">
        <f ca="1">IFERROR(__xludf.DUMMYFUNCTION("""COMPUTED_VALUE"""),"achavezi@postobon.com.co,aprmttoyu@postobon.com.co,aprmyu@postobon.com.co,wmora@postobon.com.co,efzapata@postobon.com.co")</f>
        <v>achavezi@postobon.com.co,aprmttoyu@postobon.com.co,aprmyu@postobon.com.co,wmora@postobon.com.co,efzapata@postobon.com.co</v>
      </c>
      <c r="Y873" s="5" t="str">
        <f ca="1">IFERROR(__xludf.DUMMYFUNCTION("""COMPUTED_VALUE"""),"achavezi@postobon.com.co")</f>
        <v>achavezi@postobon.com.co</v>
      </c>
      <c r="Z873" s="5" t="str">
        <f ca="1">IFERROR(__xludf.DUMMYFUNCTION("""COMPUTED_VALUE"""),"dGSBBPbNToi.S-6NSsJzIA")</f>
        <v>dGSBBPbNToi.S-6NSsJzIA</v>
      </c>
      <c r="AA873" s="5"/>
      <c r="AB873" s="5"/>
      <c r="AC873" s="5"/>
      <c r="AD873" s="5">
        <f ca="1">IFERROR(__xludf.DUMMYFUNCTION("""COMPUTED_VALUE"""),21)</f>
        <v>21</v>
      </c>
      <c r="AE873" s="5">
        <f ca="1">IFERROR(__xludf.DUMMYFUNCTION("""COMPUTED_VALUE"""),21)</f>
        <v>21</v>
      </c>
      <c r="AF873" s="5" t="b">
        <f ca="1">IFERROR(__xludf.DUMMYFUNCTION("""COMPUTED_VALUE"""),FALSE)</f>
        <v>0</v>
      </c>
      <c r="AG873" s="5" t="str">
        <f ca="1">IFERROR(__xludf.DUMMYFUNCTION("""COMPUTED_VALUE"""),"INSPECCIONES REALIZADAS")</f>
        <v>INSPECCIONES REALIZADAS</v>
      </c>
      <c r="AH873" s="5"/>
    </row>
    <row r="874" spans="1:34">
      <c r="A874" s="5" t="str">
        <f ca="1">IFERROR(__xludf.DUMMYFUNCTION("""COMPUTED_VALUE"""),"LINEA DE ENVASADO JUGOS PET HOT FILL")</f>
        <v>LINEA DE ENVASADO JUGOS PET HOT FILL</v>
      </c>
      <c r="B874" s="5">
        <f ca="1">IFERROR(__xludf.DUMMYFUNCTION("""COMPUTED_VALUE"""),579063)</f>
        <v>579063</v>
      </c>
      <c r="C874" s="5" t="str">
        <f ca="1">IFERROR(__xludf.DUMMYFUNCTION("""COMPUTED_VALUE"""),"PALETIZADORA MODUPAL 2A")</f>
        <v>PALETIZADORA MODUPAL 2A</v>
      </c>
      <c r="D874" s="5">
        <f ca="1">IFERROR(__xludf.DUMMYFUNCTION("""COMPUTED_VALUE"""),13247770)</f>
        <v>13247770</v>
      </c>
      <c r="E874" s="5" t="str">
        <f ca="1">IFERROR(__xludf.DUMMYFUNCTION("""COMPUTED_VALUE"""),"INSPECCION SEMANAL MODUPAL 2A")</f>
        <v>INSPECCION SEMANAL MODUPAL 2A</v>
      </c>
      <c r="F874" s="5" t="str">
        <f ca="1">IFERROR(__xludf.DUMMYFUNCTION("""COMPUTED_VALUE"""),"INSP. SISTEMA NEUMATICO")</f>
        <v>INSP. SISTEMA NEUMATICO</v>
      </c>
      <c r="G874" s="5" t="b">
        <f ca="1">IFERROR(__xludf.DUMMYFUNCTION("""COMPUTED_VALUE"""),TRUE)</f>
        <v>1</v>
      </c>
      <c r="H874" s="5"/>
      <c r="I874" s="5"/>
      <c r="J874" s="5">
        <f ca="1">IFERROR(__xludf.DUMMYFUNCTION("""COMPUTED_VALUE"""),13247770)</f>
        <v>13247770</v>
      </c>
      <c r="K874" s="5"/>
      <c r="L874" s="18">
        <f ca="1">IFERROR(__xludf.DUMMYFUNCTION("""COMPUTED_VALUE"""),45324)</f>
        <v>45324</v>
      </c>
      <c r="M874" s="18">
        <f ca="1">IFERROR(__xludf.DUMMYFUNCTION("""COMPUTED_VALUE"""),45324)</f>
        <v>45324</v>
      </c>
      <c r="N874" s="5" t="str">
        <f ca="1">IFERROR(__xludf.DUMMYFUNCTION("""COMPUTED_VALUE"""),"Martinez Delgado Osver")</f>
        <v>Martinez Delgado Osver</v>
      </c>
      <c r="O874" s="2">
        <f ca="1">IFERROR(__xludf.DUMMYFUNCTION("""COMPUTED_VALUE"""),0.007692308)</f>
        <v>7.6923080000000001E-3</v>
      </c>
      <c r="P874" s="5">
        <f ca="1">IFERROR(__xludf.DUMMYFUNCTION("""COMPUTED_VALUE"""),20009942)</f>
        <v>20009942</v>
      </c>
      <c r="Q874" s="5" t="str">
        <f ca="1">IFERROR(__xludf.DUMMYFUNCTION("""COMPUTED_VALUE"""),"kfSWD6sg_2g")</f>
        <v>kfSWD6sg_2g</v>
      </c>
      <c r="R874" s="5">
        <f ca="1">IFERROR(__xludf.DUMMYFUNCTION("""COMPUTED_VALUE"""),410)</f>
        <v>410</v>
      </c>
      <c r="S874" s="62">
        <f ca="1">IFERROR(__xludf.DUMMYFUNCTION("""COMPUTED_VALUE"""),0.007692308)</f>
        <v>7.6923080000000001E-3</v>
      </c>
      <c r="T874" s="63" t="str">
        <f ca="1">IFERROR(__xludf.DUMMYFUNCTION("""COMPUTED_VALUE"""),"https://storage.googleapis.com/glide-prod.appspot.com/uploads-v2/ly7o78grxPaC6KdgvbpS/pub/3aRdSog0vUtuqPE8AJKD.png")</f>
        <v>https://storage.googleapis.com/glide-prod.appspot.com/uploads-v2/ly7o78grxPaC6KdgvbpS/pub/3aRdSog0vUtuqPE8AJKD.png</v>
      </c>
      <c r="U874" s="5" t="str">
        <f ca="1">IFERROR(__xludf.DUMMYFUNCTION("""COMPUTED_VALUE"""),"LINEA DE ENVASADO JUGOS PET HOT FILLPALETIZADORA MODUPAL 2A")</f>
        <v>LINEA DE ENVASADO JUGOS PET HOT FILLPALETIZADORA MODUPAL 2A</v>
      </c>
      <c r="V874" s="5"/>
      <c r="W874" s="5" t="b">
        <f ca="1">IFERROR(__xludf.DUMMYFUNCTION("""COMPUTED_VALUE"""),TRUE)</f>
        <v>1</v>
      </c>
      <c r="X874" s="5" t="str">
        <f ca="1">IFERROR(__xludf.DUMMYFUNCTION("""COMPUTED_VALUE"""),"achavezi@postobon.com.co,aprmttoyu@postobon.com.co,aprmyu@postobon.com.co,wmora@postobon.com.co,efzapata@postobon.com.co")</f>
        <v>achavezi@postobon.com.co,aprmttoyu@postobon.com.co,aprmyu@postobon.com.co,wmora@postobon.com.co,efzapata@postobon.com.co</v>
      </c>
      <c r="Y874" s="5" t="str">
        <f ca="1">IFERROR(__xludf.DUMMYFUNCTION("""COMPUTED_VALUE"""),"achavezi@postobon.com.co")</f>
        <v>achavezi@postobon.com.co</v>
      </c>
      <c r="Z874" s="5" t="str">
        <f ca="1">IFERROR(__xludf.DUMMYFUNCTION("""COMPUTED_VALUE"""),"VzBbWYXZRUWDafarEvunkQ")</f>
        <v>VzBbWYXZRUWDafarEvunkQ</v>
      </c>
      <c r="AA874" s="5"/>
      <c r="AB874" s="5"/>
      <c r="AC874" s="5"/>
      <c r="AD874" s="5">
        <f ca="1">IFERROR(__xludf.DUMMYFUNCTION("""COMPUTED_VALUE"""),21)</f>
        <v>21</v>
      </c>
      <c r="AE874" s="5">
        <f ca="1">IFERROR(__xludf.DUMMYFUNCTION("""COMPUTED_VALUE"""),21)</f>
        <v>21</v>
      </c>
      <c r="AF874" s="5" t="b">
        <f ca="1">IFERROR(__xludf.DUMMYFUNCTION("""COMPUTED_VALUE"""),FALSE)</f>
        <v>0</v>
      </c>
      <c r="AG874" s="5" t="str">
        <f ca="1">IFERROR(__xludf.DUMMYFUNCTION("""COMPUTED_VALUE"""),"INSPECCIONES REALIZADAS")</f>
        <v>INSPECCIONES REALIZADAS</v>
      </c>
      <c r="AH874" s="5"/>
    </row>
    <row r="875" spans="1:34">
      <c r="A875" s="5" t="str">
        <f ca="1">IFERROR(__xludf.DUMMYFUNCTION("""COMPUTED_VALUE"""),"LINEA DE ENVASADO JUGOS PET HOT FILL")</f>
        <v>LINEA DE ENVASADO JUGOS PET HOT FILL</v>
      </c>
      <c r="B875" s="5">
        <f ca="1">IFERROR(__xludf.DUMMYFUNCTION("""COMPUTED_VALUE"""),579063)</f>
        <v>579063</v>
      </c>
      <c r="C875" s="5" t="str">
        <f ca="1">IFERROR(__xludf.DUMMYFUNCTION("""COMPUTED_VALUE"""),"PALETIZADORA MODUPAL 2A")</f>
        <v>PALETIZADORA MODUPAL 2A</v>
      </c>
      <c r="D875" s="5">
        <f ca="1">IFERROR(__xludf.DUMMYFUNCTION("""COMPUTED_VALUE"""),13247770)</f>
        <v>13247770</v>
      </c>
      <c r="E875" s="5" t="str">
        <f ca="1">IFERROR(__xludf.DUMMYFUNCTION("""COMPUTED_VALUE"""),"INSPECCION SEMANAL MODUPAL 2A")</f>
        <v>INSPECCION SEMANAL MODUPAL 2A</v>
      </c>
      <c r="F875" s="5" t="str">
        <f ca="1">IFERROR(__xludf.DUMMYFUNCTION("""COMPUTED_VALUE"""),"INSP. DE FUGAS")</f>
        <v>INSP. DE FUGAS</v>
      </c>
      <c r="G875" s="5" t="b">
        <f ca="1">IFERROR(__xludf.DUMMYFUNCTION("""COMPUTED_VALUE"""),TRUE)</f>
        <v>1</v>
      </c>
      <c r="H875" s="5"/>
      <c r="I875" s="5"/>
      <c r="J875" s="5">
        <f ca="1">IFERROR(__xludf.DUMMYFUNCTION("""COMPUTED_VALUE"""),13247770)</f>
        <v>13247770</v>
      </c>
      <c r="K875" s="5"/>
      <c r="L875" s="18">
        <f ca="1">IFERROR(__xludf.DUMMYFUNCTION("""COMPUTED_VALUE"""),45324)</f>
        <v>45324</v>
      </c>
      <c r="M875" s="18">
        <f ca="1">IFERROR(__xludf.DUMMYFUNCTION("""COMPUTED_VALUE"""),45324)</f>
        <v>45324</v>
      </c>
      <c r="N875" s="5" t="str">
        <f ca="1">IFERROR(__xludf.DUMMYFUNCTION("""COMPUTED_VALUE"""),"Martinez Delgado Osver")</f>
        <v>Martinez Delgado Osver</v>
      </c>
      <c r="O875" s="2">
        <f ca="1">IFERROR(__xludf.DUMMYFUNCTION("""COMPUTED_VALUE"""),0.007692308)</f>
        <v>7.6923080000000001E-3</v>
      </c>
      <c r="P875" s="5">
        <f ca="1">IFERROR(__xludf.DUMMYFUNCTION("""COMPUTED_VALUE"""),20009942)</f>
        <v>20009942</v>
      </c>
      <c r="Q875" s="5" t="str">
        <f ca="1">IFERROR(__xludf.DUMMYFUNCTION("""COMPUTED_VALUE"""),"hunrjDyoGMA")</f>
        <v>hunrjDyoGMA</v>
      </c>
      <c r="R875" s="5">
        <f ca="1">IFERROR(__xludf.DUMMYFUNCTION("""COMPUTED_VALUE"""),410)</f>
        <v>410</v>
      </c>
      <c r="S875" s="62">
        <f ca="1">IFERROR(__xludf.DUMMYFUNCTION("""COMPUTED_VALUE"""),0.007692308)</f>
        <v>7.6923080000000001E-3</v>
      </c>
      <c r="T875" s="63" t="str">
        <f ca="1">IFERROR(__xludf.DUMMYFUNCTION("""COMPUTED_VALUE"""),"https://storage.googleapis.com/glide-prod.appspot.com/uploads-v2/ly7o78grxPaC6KdgvbpS/pub/3aRdSog0vUtuqPE8AJKD.png")</f>
        <v>https://storage.googleapis.com/glide-prod.appspot.com/uploads-v2/ly7o78grxPaC6KdgvbpS/pub/3aRdSog0vUtuqPE8AJKD.png</v>
      </c>
      <c r="U875" s="5" t="str">
        <f ca="1">IFERROR(__xludf.DUMMYFUNCTION("""COMPUTED_VALUE"""),"LINEA DE ENVASADO JUGOS PET HOT FILLPALETIZADORA MODUPAL 2A")</f>
        <v>LINEA DE ENVASADO JUGOS PET HOT FILLPALETIZADORA MODUPAL 2A</v>
      </c>
      <c r="V875" s="5"/>
      <c r="W875" s="5" t="b">
        <f ca="1">IFERROR(__xludf.DUMMYFUNCTION("""COMPUTED_VALUE"""),TRUE)</f>
        <v>1</v>
      </c>
      <c r="X875" s="5" t="str">
        <f ca="1">IFERROR(__xludf.DUMMYFUNCTION("""COMPUTED_VALUE"""),"achavezi@postobon.com.co,aprmttoyu@postobon.com.co,aprmyu@postobon.com.co,wmora@postobon.com.co,efzapata@postobon.com.co")</f>
        <v>achavezi@postobon.com.co,aprmttoyu@postobon.com.co,aprmyu@postobon.com.co,wmora@postobon.com.co,efzapata@postobon.com.co</v>
      </c>
      <c r="Y875" s="5" t="str">
        <f ca="1">IFERROR(__xludf.DUMMYFUNCTION("""COMPUTED_VALUE"""),"achavezi@postobon.com.co")</f>
        <v>achavezi@postobon.com.co</v>
      </c>
      <c r="Z875" s="5" t="str">
        <f ca="1">IFERROR(__xludf.DUMMYFUNCTION("""COMPUTED_VALUE"""),"Iotswb-AQyuxG4xNNY0TZw")</f>
        <v>Iotswb-AQyuxG4xNNY0TZw</v>
      </c>
      <c r="AA875" s="5"/>
      <c r="AB875" s="5"/>
      <c r="AC875" s="5"/>
      <c r="AD875" s="5">
        <f ca="1">IFERROR(__xludf.DUMMYFUNCTION("""COMPUTED_VALUE"""),21)</f>
        <v>21</v>
      </c>
      <c r="AE875" s="5">
        <f ca="1">IFERROR(__xludf.DUMMYFUNCTION("""COMPUTED_VALUE"""),21)</f>
        <v>21</v>
      </c>
      <c r="AF875" s="5" t="b">
        <f ca="1">IFERROR(__xludf.DUMMYFUNCTION("""COMPUTED_VALUE"""),FALSE)</f>
        <v>0</v>
      </c>
      <c r="AG875" s="5" t="str">
        <f ca="1">IFERROR(__xludf.DUMMYFUNCTION("""COMPUTED_VALUE"""),"INSPECCIONES REALIZADAS")</f>
        <v>INSPECCIONES REALIZADAS</v>
      </c>
      <c r="AH875" s="5"/>
    </row>
    <row r="876" spans="1:34">
      <c r="A876" s="5" t="str">
        <f ca="1">IFERROR(__xludf.DUMMYFUNCTION("""COMPUTED_VALUE"""),"LINEA DE ENVASADO JUGOS PET HOT FILL")</f>
        <v>LINEA DE ENVASADO JUGOS PET HOT FILL</v>
      </c>
      <c r="B876" s="5">
        <f ca="1">IFERROR(__xludf.DUMMYFUNCTION("""COMPUTED_VALUE"""),579063)</f>
        <v>579063</v>
      </c>
      <c r="C876" s="5" t="str">
        <f ca="1">IFERROR(__xludf.DUMMYFUNCTION("""COMPUTED_VALUE"""),"PALETIZADORA MODUPAL 2A")</f>
        <v>PALETIZADORA MODUPAL 2A</v>
      </c>
      <c r="D876" s="5">
        <f ca="1">IFERROR(__xludf.DUMMYFUNCTION("""COMPUTED_VALUE"""),13247770)</f>
        <v>13247770</v>
      </c>
      <c r="E876" s="5" t="str">
        <f ca="1">IFERROR(__xludf.DUMMYFUNCTION("""COMPUTED_VALUE"""),"INSPECCION SEMANAL MODUPAL 2A")</f>
        <v>INSPECCION SEMANAL MODUPAL 2A</v>
      </c>
      <c r="F876" s="5" t="str">
        <f ca="1">IFERROR(__xludf.DUMMYFUNCTION("""COMPUTED_VALUE"""),"FUNC BRAZO ROBOBOX")</f>
        <v>FUNC BRAZO ROBOBOX</v>
      </c>
      <c r="G876" s="5" t="b">
        <f ca="1">IFERROR(__xludf.DUMMYFUNCTION("""COMPUTED_VALUE"""),TRUE)</f>
        <v>1</v>
      </c>
      <c r="H876" s="5"/>
      <c r="I876" s="5"/>
      <c r="J876" s="5">
        <f ca="1">IFERROR(__xludf.DUMMYFUNCTION("""COMPUTED_VALUE"""),13247770)</f>
        <v>13247770</v>
      </c>
      <c r="K876" s="5"/>
      <c r="L876" s="18">
        <f ca="1">IFERROR(__xludf.DUMMYFUNCTION("""COMPUTED_VALUE"""),45324)</f>
        <v>45324</v>
      </c>
      <c r="M876" s="18">
        <f ca="1">IFERROR(__xludf.DUMMYFUNCTION("""COMPUTED_VALUE"""),45324)</f>
        <v>45324</v>
      </c>
      <c r="N876" s="5" t="str">
        <f ca="1">IFERROR(__xludf.DUMMYFUNCTION("""COMPUTED_VALUE"""),"Martinez Delgado Osver")</f>
        <v>Martinez Delgado Osver</v>
      </c>
      <c r="O876" s="2">
        <f ca="1">IFERROR(__xludf.DUMMYFUNCTION("""COMPUTED_VALUE"""),0.007692308)</f>
        <v>7.6923080000000001E-3</v>
      </c>
      <c r="P876" s="5">
        <f ca="1">IFERROR(__xludf.DUMMYFUNCTION("""COMPUTED_VALUE"""),20009942)</f>
        <v>20009942</v>
      </c>
      <c r="Q876" s="5" t="str">
        <f ca="1">IFERROR(__xludf.DUMMYFUNCTION("""COMPUTED_VALUE"""),"vt-AizO83Rc")</f>
        <v>vt-AizO83Rc</v>
      </c>
      <c r="R876" s="5">
        <f ca="1">IFERROR(__xludf.DUMMYFUNCTION("""COMPUTED_VALUE"""),410)</f>
        <v>410</v>
      </c>
      <c r="S876" s="62">
        <f ca="1">IFERROR(__xludf.DUMMYFUNCTION("""COMPUTED_VALUE"""),0.007692308)</f>
        <v>7.6923080000000001E-3</v>
      </c>
      <c r="T876" s="63" t="str">
        <f ca="1">IFERROR(__xludf.DUMMYFUNCTION("""COMPUTED_VALUE"""),"https://storage.googleapis.com/glide-prod.appspot.com/uploads-v2/ly7o78grxPaC6KdgvbpS/pub/3aRdSog0vUtuqPE8AJKD.png")</f>
        <v>https://storage.googleapis.com/glide-prod.appspot.com/uploads-v2/ly7o78grxPaC6KdgvbpS/pub/3aRdSog0vUtuqPE8AJKD.png</v>
      </c>
      <c r="U876" s="5" t="str">
        <f ca="1">IFERROR(__xludf.DUMMYFUNCTION("""COMPUTED_VALUE"""),"LINEA DE ENVASADO JUGOS PET HOT FILLPALETIZADORA MODUPAL 2A")</f>
        <v>LINEA DE ENVASADO JUGOS PET HOT FILLPALETIZADORA MODUPAL 2A</v>
      </c>
      <c r="V876" s="5"/>
      <c r="W876" s="5" t="b">
        <f ca="1">IFERROR(__xludf.DUMMYFUNCTION("""COMPUTED_VALUE"""),TRUE)</f>
        <v>1</v>
      </c>
      <c r="X876" s="5" t="str">
        <f ca="1">IFERROR(__xludf.DUMMYFUNCTION("""COMPUTED_VALUE"""),"achavezi@postobon.com.co,aprmttoyu@postobon.com.co,aprmyu@postobon.com.co,wmora@postobon.com.co,efzapata@postobon.com.co")</f>
        <v>achavezi@postobon.com.co,aprmttoyu@postobon.com.co,aprmyu@postobon.com.co,wmora@postobon.com.co,efzapata@postobon.com.co</v>
      </c>
      <c r="Y876" s="5" t="str">
        <f ca="1">IFERROR(__xludf.DUMMYFUNCTION("""COMPUTED_VALUE"""),"achavezi@postobon.com.co")</f>
        <v>achavezi@postobon.com.co</v>
      </c>
      <c r="Z876" s="5" t="str">
        <f ca="1">IFERROR(__xludf.DUMMYFUNCTION("""COMPUTED_VALUE"""),"tIyu53TkTaWZGLnxt1u4AQ")</f>
        <v>tIyu53TkTaWZGLnxt1u4AQ</v>
      </c>
      <c r="AA876" s="5"/>
      <c r="AB876" s="5"/>
      <c r="AC876" s="5"/>
      <c r="AD876" s="5">
        <f ca="1">IFERROR(__xludf.DUMMYFUNCTION("""COMPUTED_VALUE"""),21)</f>
        <v>21</v>
      </c>
      <c r="AE876" s="5">
        <f ca="1">IFERROR(__xludf.DUMMYFUNCTION("""COMPUTED_VALUE"""),21)</f>
        <v>21</v>
      </c>
      <c r="AF876" s="5" t="b">
        <f ca="1">IFERROR(__xludf.DUMMYFUNCTION("""COMPUTED_VALUE"""),FALSE)</f>
        <v>0</v>
      </c>
      <c r="AG876" s="5" t="str">
        <f ca="1">IFERROR(__xludf.DUMMYFUNCTION("""COMPUTED_VALUE"""),"INSPECCIONES REALIZADAS")</f>
        <v>INSPECCIONES REALIZADAS</v>
      </c>
      <c r="AH876" s="5"/>
    </row>
    <row r="877" spans="1:34">
      <c r="A877" s="5" t="str">
        <f ca="1">IFERROR(__xludf.DUMMYFUNCTION("""COMPUTED_VALUE"""),"LINEA DE ENVASADO JUGOS PET HOT FILL")</f>
        <v>LINEA DE ENVASADO JUGOS PET HOT FILL</v>
      </c>
      <c r="B877" s="5">
        <f ca="1">IFERROR(__xludf.DUMMYFUNCTION("""COMPUTED_VALUE"""),579063)</f>
        <v>579063</v>
      </c>
      <c r="C877" s="5" t="str">
        <f ca="1">IFERROR(__xludf.DUMMYFUNCTION("""COMPUTED_VALUE"""),"PALETIZADORA MODUPAL 2A")</f>
        <v>PALETIZADORA MODUPAL 2A</v>
      </c>
      <c r="D877" s="5">
        <f ca="1">IFERROR(__xludf.DUMMYFUNCTION("""COMPUTED_VALUE"""),13247770)</f>
        <v>13247770</v>
      </c>
      <c r="E877" s="5" t="str">
        <f ca="1">IFERROR(__xludf.DUMMYFUNCTION("""COMPUTED_VALUE"""),"INSPECCION SEMANAL MODUPAL 2A")</f>
        <v>INSPECCION SEMANAL MODUPAL 2A</v>
      </c>
      <c r="F877" s="5" t="str">
        <f ca="1">IFERROR(__xludf.DUMMYFUNCTION("""COMPUTED_VALUE"""),"ESTADO RODAMIENTOS, CORREA MODUPAL")</f>
        <v>ESTADO RODAMIENTOS, CORREA MODUPAL</v>
      </c>
      <c r="G877" s="5" t="b">
        <f ca="1">IFERROR(__xludf.DUMMYFUNCTION("""COMPUTED_VALUE"""),TRUE)</f>
        <v>1</v>
      </c>
      <c r="H877" s="5"/>
      <c r="I877" s="5"/>
      <c r="J877" s="5">
        <f ca="1">IFERROR(__xludf.DUMMYFUNCTION("""COMPUTED_VALUE"""),13247770)</f>
        <v>13247770</v>
      </c>
      <c r="K877" s="5"/>
      <c r="L877" s="18">
        <f ca="1">IFERROR(__xludf.DUMMYFUNCTION("""COMPUTED_VALUE"""),45324)</f>
        <v>45324</v>
      </c>
      <c r="M877" s="18">
        <f ca="1">IFERROR(__xludf.DUMMYFUNCTION("""COMPUTED_VALUE"""),45324)</f>
        <v>45324</v>
      </c>
      <c r="N877" s="5" t="str">
        <f ca="1">IFERROR(__xludf.DUMMYFUNCTION("""COMPUTED_VALUE"""),"Martinez Delgado Osver")</f>
        <v>Martinez Delgado Osver</v>
      </c>
      <c r="O877" s="2">
        <f ca="1">IFERROR(__xludf.DUMMYFUNCTION("""COMPUTED_VALUE"""),0.007692308)</f>
        <v>7.6923080000000001E-3</v>
      </c>
      <c r="P877" s="5">
        <f ca="1">IFERROR(__xludf.DUMMYFUNCTION("""COMPUTED_VALUE"""),20009942)</f>
        <v>20009942</v>
      </c>
      <c r="Q877" s="5" t="str">
        <f ca="1">IFERROR(__xludf.DUMMYFUNCTION("""COMPUTED_VALUE"""),"nCsAc9fJzLk")</f>
        <v>nCsAc9fJzLk</v>
      </c>
      <c r="R877" s="5">
        <f ca="1">IFERROR(__xludf.DUMMYFUNCTION("""COMPUTED_VALUE"""),410)</f>
        <v>410</v>
      </c>
      <c r="S877" s="62">
        <f ca="1">IFERROR(__xludf.DUMMYFUNCTION("""COMPUTED_VALUE"""),0.007692308)</f>
        <v>7.6923080000000001E-3</v>
      </c>
      <c r="T877" s="63" t="str">
        <f ca="1">IFERROR(__xludf.DUMMYFUNCTION("""COMPUTED_VALUE"""),"https://storage.googleapis.com/glide-prod.appspot.com/uploads-v2/ly7o78grxPaC6KdgvbpS/pub/3aRdSog0vUtuqPE8AJKD.png")</f>
        <v>https://storage.googleapis.com/glide-prod.appspot.com/uploads-v2/ly7o78grxPaC6KdgvbpS/pub/3aRdSog0vUtuqPE8AJKD.png</v>
      </c>
      <c r="U877" s="5" t="str">
        <f ca="1">IFERROR(__xludf.DUMMYFUNCTION("""COMPUTED_VALUE"""),"LINEA DE ENVASADO JUGOS PET HOT FILLPALETIZADORA MODUPAL 2A")</f>
        <v>LINEA DE ENVASADO JUGOS PET HOT FILLPALETIZADORA MODUPAL 2A</v>
      </c>
      <c r="V877" s="5"/>
      <c r="W877" s="5" t="b">
        <f ca="1">IFERROR(__xludf.DUMMYFUNCTION("""COMPUTED_VALUE"""),TRUE)</f>
        <v>1</v>
      </c>
      <c r="X877" s="5" t="str">
        <f ca="1">IFERROR(__xludf.DUMMYFUNCTION("""COMPUTED_VALUE"""),"achavezi@postobon.com.co,aprmttoyu@postobon.com.co,aprmyu@postobon.com.co,wmora@postobon.com.co,efzapata@postobon.com.co")</f>
        <v>achavezi@postobon.com.co,aprmttoyu@postobon.com.co,aprmyu@postobon.com.co,wmora@postobon.com.co,efzapata@postobon.com.co</v>
      </c>
      <c r="Y877" s="5" t="str">
        <f ca="1">IFERROR(__xludf.DUMMYFUNCTION("""COMPUTED_VALUE"""),"achavezi@postobon.com.co")</f>
        <v>achavezi@postobon.com.co</v>
      </c>
      <c r="Z877" s="5" t="str">
        <f ca="1">IFERROR(__xludf.DUMMYFUNCTION("""COMPUTED_VALUE"""),"sfBnCCMcQr2QajZDanf4NQ")</f>
        <v>sfBnCCMcQr2QajZDanf4NQ</v>
      </c>
      <c r="AA877" s="5"/>
      <c r="AB877" s="5"/>
      <c r="AC877" s="5"/>
      <c r="AD877" s="5">
        <f ca="1">IFERROR(__xludf.DUMMYFUNCTION("""COMPUTED_VALUE"""),21)</f>
        <v>21</v>
      </c>
      <c r="AE877" s="5">
        <f ca="1">IFERROR(__xludf.DUMMYFUNCTION("""COMPUTED_VALUE"""),21)</f>
        <v>21</v>
      </c>
      <c r="AF877" s="5" t="b">
        <f ca="1">IFERROR(__xludf.DUMMYFUNCTION("""COMPUTED_VALUE"""),FALSE)</f>
        <v>0</v>
      </c>
      <c r="AG877" s="5" t="str">
        <f ca="1">IFERROR(__xludf.DUMMYFUNCTION("""COMPUTED_VALUE"""),"INSPECCIONES REALIZADAS")</f>
        <v>INSPECCIONES REALIZADAS</v>
      </c>
      <c r="AH877" s="5"/>
    </row>
    <row r="878" spans="1:34">
      <c r="A878" s="5" t="str">
        <f ca="1">IFERROR(__xludf.DUMMYFUNCTION("""COMPUTED_VALUE"""),"LINEA DE ENVASADO JUGOS PET HOT FILL")</f>
        <v>LINEA DE ENVASADO JUGOS PET HOT FILL</v>
      </c>
      <c r="B878" s="5">
        <f ca="1">IFERROR(__xludf.DUMMYFUNCTION("""COMPUTED_VALUE"""),579063)</f>
        <v>579063</v>
      </c>
      <c r="C878" s="5" t="str">
        <f ca="1">IFERROR(__xludf.DUMMYFUNCTION("""COMPUTED_VALUE"""),"PALETIZADORA MODUPAL 2A")</f>
        <v>PALETIZADORA MODUPAL 2A</v>
      </c>
      <c r="D878" s="5">
        <f ca="1">IFERROR(__xludf.DUMMYFUNCTION("""COMPUTED_VALUE"""),13247770)</f>
        <v>13247770</v>
      </c>
      <c r="E878" s="5" t="str">
        <f ca="1">IFERROR(__xludf.DUMMYFUNCTION("""COMPUTED_VALUE"""),"INSPECCION SEMANAL MODUPAL 2A")</f>
        <v>INSPECCION SEMANAL MODUPAL 2A</v>
      </c>
      <c r="F878" s="5" t="str">
        <f ca="1">IFERROR(__xludf.DUMMYFUNCTION("""COMPUTED_VALUE"""),"ESTADO CARRO ELEVADOR")</f>
        <v>ESTADO CARRO ELEVADOR</v>
      </c>
      <c r="G878" s="5" t="b">
        <f ca="1">IFERROR(__xludf.DUMMYFUNCTION("""COMPUTED_VALUE"""),TRUE)</f>
        <v>1</v>
      </c>
      <c r="H878" s="5"/>
      <c r="I878" s="5"/>
      <c r="J878" s="5">
        <f ca="1">IFERROR(__xludf.DUMMYFUNCTION("""COMPUTED_VALUE"""),13247770)</f>
        <v>13247770</v>
      </c>
      <c r="K878" s="5"/>
      <c r="L878" s="18">
        <f ca="1">IFERROR(__xludf.DUMMYFUNCTION("""COMPUTED_VALUE"""),45324)</f>
        <v>45324</v>
      </c>
      <c r="M878" s="18">
        <f ca="1">IFERROR(__xludf.DUMMYFUNCTION("""COMPUTED_VALUE"""),45324)</f>
        <v>45324</v>
      </c>
      <c r="N878" s="5" t="str">
        <f ca="1">IFERROR(__xludf.DUMMYFUNCTION("""COMPUTED_VALUE"""),"Martinez Delgado Osver")</f>
        <v>Martinez Delgado Osver</v>
      </c>
      <c r="O878" s="2">
        <f ca="1">IFERROR(__xludf.DUMMYFUNCTION("""COMPUTED_VALUE"""),0.007692308)</f>
        <v>7.6923080000000001E-3</v>
      </c>
      <c r="P878" s="5">
        <f ca="1">IFERROR(__xludf.DUMMYFUNCTION("""COMPUTED_VALUE"""),20009942)</f>
        <v>20009942</v>
      </c>
      <c r="Q878" s="5" t="str">
        <f ca="1">IFERROR(__xludf.DUMMYFUNCTION("""COMPUTED_VALUE"""),"CACg4IpBATw")</f>
        <v>CACg4IpBATw</v>
      </c>
      <c r="R878" s="5">
        <f ca="1">IFERROR(__xludf.DUMMYFUNCTION("""COMPUTED_VALUE"""),410)</f>
        <v>410</v>
      </c>
      <c r="S878" s="62">
        <f ca="1">IFERROR(__xludf.DUMMYFUNCTION("""COMPUTED_VALUE"""),0.007692308)</f>
        <v>7.6923080000000001E-3</v>
      </c>
      <c r="T878" s="63" t="str">
        <f ca="1">IFERROR(__xludf.DUMMYFUNCTION("""COMPUTED_VALUE"""),"https://storage.googleapis.com/glide-prod.appspot.com/uploads-v2/ly7o78grxPaC6KdgvbpS/pub/3aRdSog0vUtuqPE8AJKD.png")</f>
        <v>https://storage.googleapis.com/glide-prod.appspot.com/uploads-v2/ly7o78grxPaC6KdgvbpS/pub/3aRdSog0vUtuqPE8AJKD.png</v>
      </c>
      <c r="U878" s="5" t="str">
        <f ca="1">IFERROR(__xludf.DUMMYFUNCTION("""COMPUTED_VALUE"""),"LINEA DE ENVASADO JUGOS PET HOT FILLPALETIZADORA MODUPAL 2A")</f>
        <v>LINEA DE ENVASADO JUGOS PET HOT FILLPALETIZADORA MODUPAL 2A</v>
      </c>
      <c r="V878" s="5"/>
      <c r="W878" s="5" t="b">
        <f ca="1">IFERROR(__xludf.DUMMYFUNCTION("""COMPUTED_VALUE"""),TRUE)</f>
        <v>1</v>
      </c>
      <c r="X878" s="5" t="str">
        <f ca="1">IFERROR(__xludf.DUMMYFUNCTION("""COMPUTED_VALUE"""),"achavezi@postobon.com.co,aprmttoyu@postobon.com.co,aprmyu@postobon.com.co,wmora@postobon.com.co,efzapata@postobon.com.co")</f>
        <v>achavezi@postobon.com.co,aprmttoyu@postobon.com.co,aprmyu@postobon.com.co,wmora@postobon.com.co,efzapata@postobon.com.co</v>
      </c>
      <c r="Y878" s="5" t="str">
        <f ca="1">IFERROR(__xludf.DUMMYFUNCTION("""COMPUTED_VALUE"""),"achavezi@postobon.com.co")</f>
        <v>achavezi@postobon.com.co</v>
      </c>
      <c r="Z878" s="5" t="str">
        <f ca="1">IFERROR(__xludf.DUMMYFUNCTION("""COMPUTED_VALUE"""),"8WDjvIWOS3OAeUscvxYniA")</f>
        <v>8WDjvIWOS3OAeUscvxYniA</v>
      </c>
      <c r="AA878" s="5"/>
      <c r="AB878" s="5"/>
      <c r="AC878" s="5"/>
      <c r="AD878" s="5">
        <f ca="1">IFERROR(__xludf.DUMMYFUNCTION("""COMPUTED_VALUE"""),21)</f>
        <v>21</v>
      </c>
      <c r="AE878" s="5">
        <f ca="1">IFERROR(__xludf.DUMMYFUNCTION("""COMPUTED_VALUE"""),21)</f>
        <v>21</v>
      </c>
      <c r="AF878" s="5" t="b">
        <f ca="1">IFERROR(__xludf.DUMMYFUNCTION("""COMPUTED_VALUE"""),FALSE)</f>
        <v>0</v>
      </c>
      <c r="AG878" s="5" t="str">
        <f ca="1">IFERROR(__xludf.DUMMYFUNCTION("""COMPUTED_VALUE"""),"INSPECCIONES REALIZADAS")</f>
        <v>INSPECCIONES REALIZADAS</v>
      </c>
      <c r="AH878" s="5"/>
    </row>
    <row r="879" spans="1:34">
      <c r="A879" s="5" t="str">
        <f ca="1">IFERROR(__xludf.DUMMYFUNCTION("""COMPUTED_VALUE"""),"LINEA DE ENVASADO JUGOS PET HOT FILL")</f>
        <v>LINEA DE ENVASADO JUGOS PET HOT FILL</v>
      </c>
      <c r="B879" s="5">
        <f ca="1">IFERROR(__xludf.DUMMYFUNCTION("""COMPUTED_VALUE"""),579063)</f>
        <v>579063</v>
      </c>
      <c r="C879" s="5" t="str">
        <f ca="1">IFERROR(__xludf.DUMMYFUNCTION("""COMPUTED_VALUE"""),"PALETIZADORA MODUPAL 2A")</f>
        <v>PALETIZADORA MODUPAL 2A</v>
      </c>
      <c r="D879" s="5">
        <f ca="1">IFERROR(__xludf.DUMMYFUNCTION("""COMPUTED_VALUE"""),13247770)</f>
        <v>13247770</v>
      </c>
      <c r="E879" s="5" t="str">
        <f ca="1">IFERROR(__xludf.DUMMYFUNCTION("""COMPUTED_VALUE"""),"INSPECCION SEMANAL MODUPAL 2A")</f>
        <v>INSPECCION SEMANAL MODUPAL 2A</v>
      </c>
      <c r="F879" s="5" t="str">
        <f ca="1">IFERROR(__xludf.DUMMYFUNCTION("""COMPUTED_VALUE"""),"ESTADO DE SENSORES")</f>
        <v>ESTADO DE SENSORES</v>
      </c>
      <c r="G879" s="5" t="b">
        <f ca="1">IFERROR(__xludf.DUMMYFUNCTION("""COMPUTED_VALUE"""),TRUE)</f>
        <v>1</v>
      </c>
      <c r="H879" s="5"/>
      <c r="I879" s="5"/>
      <c r="J879" s="5">
        <f ca="1">IFERROR(__xludf.DUMMYFUNCTION("""COMPUTED_VALUE"""),13247770)</f>
        <v>13247770</v>
      </c>
      <c r="K879" s="5"/>
      <c r="L879" s="18">
        <f ca="1">IFERROR(__xludf.DUMMYFUNCTION("""COMPUTED_VALUE"""),45324)</f>
        <v>45324</v>
      </c>
      <c r="M879" s="18">
        <f ca="1">IFERROR(__xludf.DUMMYFUNCTION("""COMPUTED_VALUE"""),45324)</f>
        <v>45324</v>
      </c>
      <c r="N879" s="5" t="str">
        <f ca="1">IFERROR(__xludf.DUMMYFUNCTION("""COMPUTED_VALUE"""),"Martinez Delgado Osver")</f>
        <v>Martinez Delgado Osver</v>
      </c>
      <c r="O879" s="2">
        <f ca="1">IFERROR(__xludf.DUMMYFUNCTION("""COMPUTED_VALUE"""),0.007692308)</f>
        <v>7.6923080000000001E-3</v>
      </c>
      <c r="P879" s="5">
        <f ca="1">IFERROR(__xludf.DUMMYFUNCTION("""COMPUTED_VALUE"""),20009942)</f>
        <v>20009942</v>
      </c>
      <c r="Q879" s="5" t="str">
        <f ca="1">IFERROR(__xludf.DUMMYFUNCTION("""COMPUTED_VALUE"""),"GXWmUriRexc")</f>
        <v>GXWmUriRexc</v>
      </c>
      <c r="R879" s="5">
        <f ca="1">IFERROR(__xludf.DUMMYFUNCTION("""COMPUTED_VALUE"""),410)</f>
        <v>410</v>
      </c>
      <c r="S879" s="62">
        <f ca="1">IFERROR(__xludf.DUMMYFUNCTION("""COMPUTED_VALUE"""),0.007692308)</f>
        <v>7.6923080000000001E-3</v>
      </c>
      <c r="T879" s="63" t="str">
        <f ca="1">IFERROR(__xludf.DUMMYFUNCTION("""COMPUTED_VALUE"""),"https://storage.googleapis.com/glide-prod.appspot.com/uploads-v2/ly7o78grxPaC6KdgvbpS/pub/3aRdSog0vUtuqPE8AJKD.png")</f>
        <v>https://storage.googleapis.com/glide-prod.appspot.com/uploads-v2/ly7o78grxPaC6KdgvbpS/pub/3aRdSog0vUtuqPE8AJKD.png</v>
      </c>
      <c r="U879" s="5" t="str">
        <f ca="1">IFERROR(__xludf.DUMMYFUNCTION("""COMPUTED_VALUE"""),"LINEA DE ENVASADO JUGOS PET HOT FILLPALETIZADORA MODUPAL 2A")</f>
        <v>LINEA DE ENVASADO JUGOS PET HOT FILLPALETIZADORA MODUPAL 2A</v>
      </c>
      <c r="V879" s="5"/>
      <c r="W879" s="5" t="b">
        <f ca="1">IFERROR(__xludf.DUMMYFUNCTION("""COMPUTED_VALUE"""),TRUE)</f>
        <v>1</v>
      </c>
      <c r="X879" s="5" t="str">
        <f ca="1">IFERROR(__xludf.DUMMYFUNCTION("""COMPUTED_VALUE"""),"achavezi@postobon.com.co,aprmttoyu@postobon.com.co,aprmyu@postobon.com.co,wmora@postobon.com.co,efzapata@postobon.com.co")</f>
        <v>achavezi@postobon.com.co,aprmttoyu@postobon.com.co,aprmyu@postobon.com.co,wmora@postobon.com.co,efzapata@postobon.com.co</v>
      </c>
      <c r="Y879" s="5" t="str">
        <f ca="1">IFERROR(__xludf.DUMMYFUNCTION("""COMPUTED_VALUE"""),"achavezi@postobon.com.co")</f>
        <v>achavezi@postobon.com.co</v>
      </c>
      <c r="Z879" s="5" t="str">
        <f ca="1">IFERROR(__xludf.DUMMYFUNCTION("""COMPUTED_VALUE"""),"eTeWGcSoRdqSZJNFp9Icew")</f>
        <v>eTeWGcSoRdqSZJNFp9Icew</v>
      </c>
      <c r="AA879" s="5"/>
      <c r="AB879" s="5"/>
      <c r="AC879" s="5"/>
      <c r="AD879" s="5">
        <f ca="1">IFERROR(__xludf.DUMMYFUNCTION("""COMPUTED_VALUE"""),21)</f>
        <v>21</v>
      </c>
      <c r="AE879" s="5">
        <f ca="1">IFERROR(__xludf.DUMMYFUNCTION("""COMPUTED_VALUE"""),21)</f>
        <v>21</v>
      </c>
      <c r="AF879" s="5" t="b">
        <f ca="1">IFERROR(__xludf.DUMMYFUNCTION("""COMPUTED_VALUE"""),FALSE)</f>
        <v>0</v>
      </c>
      <c r="AG879" s="5" t="str">
        <f ca="1">IFERROR(__xludf.DUMMYFUNCTION("""COMPUTED_VALUE"""),"INSPECCIONES REALIZADAS")</f>
        <v>INSPECCIONES REALIZADAS</v>
      </c>
      <c r="AH879" s="5"/>
    </row>
    <row r="880" spans="1:34">
      <c r="A880" s="5" t="str">
        <f ca="1">IFERROR(__xludf.DUMMYFUNCTION("""COMPUTED_VALUE"""),"LINEA DE ENVASADO JUGOS PET HOT FILL")</f>
        <v>LINEA DE ENVASADO JUGOS PET HOT FILL</v>
      </c>
      <c r="B880" s="5">
        <f ca="1">IFERROR(__xludf.DUMMYFUNCTION("""COMPUTED_VALUE"""),579063)</f>
        <v>579063</v>
      </c>
      <c r="C880" s="5" t="str">
        <f ca="1">IFERROR(__xludf.DUMMYFUNCTION("""COMPUTED_VALUE"""),"PALETIZADORA MODUPAL 2A")</f>
        <v>PALETIZADORA MODUPAL 2A</v>
      </c>
      <c r="D880" s="5">
        <f ca="1">IFERROR(__xludf.DUMMYFUNCTION("""COMPUTED_VALUE"""),13247770)</f>
        <v>13247770</v>
      </c>
      <c r="E880" s="5" t="str">
        <f ca="1">IFERROR(__xludf.DUMMYFUNCTION("""COMPUTED_VALUE"""),"INSPECCION SEMANAL MODUPAL 2A")</f>
        <v>INSPECCION SEMANAL MODUPAL 2A</v>
      </c>
      <c r="F880" s="5" t="str">
        <f ca="1">IFERROR(__xludf.DUMMYFUNCTION("""COMPUTED_VALUE"""),"INSP. TABLERO ELECTRICO/CLIMATIZADOR")</f>
        <v>INSP. TABLERO ELECTRICO/CLIMATIZADOR</v>
      </c>
      <c r="G880" s="5" t="b">
        <f ca="1">IFERROR(__xludf.DUMMYFUNCTION("""COMPUTED_VALUE"""),TRUE)</f>
        <v>1</v>
      </c>
      <c r="H880" s="5"/>
      <c r="I880" s="5"/>
      <c r="J880" s="5">
        <f ca="1">IFERROR(__xludf.DUMMYFUNCTION("""COMPUTED_VALUE"""),13247770)</f>
        <v>13247770</v>
      </c>
      <c r="K880" s="5"/>
      <c r="L880" s="18">
        <f ca="1">IFERROR(__xludf.DUMMYFUNCTION("""COMPUTED_VALUE"""),45324)</f>
        <v>45324</v>
      </c>
      <c r="M880" s="18">
        <f ca="1">IFERROR(__xludf.DUMMYFUNCTION("""COMPUTED_VALUE"""),45324)</f>
        <v>45324</v>
      </c>
      <c r="N880" s="5" t="str">
        <f ca="1">IFERROR(__xludf.DUMMYFUNCTION("""COMPUTED_VALUE"""),"Martinez Delgado Osver")</f>
        <v>Martinez Delgado Osver</v>
      </c>
      <c r="O880" s="2">
        <f ca="1">IFERROR(__xludf.DUMMYFUNCTION("""COMPUTED_VALUE"""),0.007692308)</f>
        <v>7.6923080000000001E-3</v>
      </c>
      <c r="P880" s="5">
        <f ca="1">IFERROR(__xludf.DUMMYFUNCTION("""COMPUTED_VALUE"""),20009942)</f>
        <v>20009942</v>
      </c>
      <c r="Q880" s="5" t="str">
        <f ca="1">IFERROR(__xludf.DUMMYFUNCTION("""COMPUTED_VALUE"""),"tJUzuZLWgfw")</f>
        <v>tJUzuZLWgfw</v>
      </c>
      <c r="R880" s="5">
        <f ca="1">IFERROR(__xludf.DUMMYFUNCTION("""COMPUTED_VALUE"""),410)</f>
        <v>410</v>
      </c>
      <c r="S880" s="62">
        <f ca="1">IFERROR(__xludf.DUMMYFUNCTION("""COMPUTED_VALUE"""),0.007692308)</f>
        <v>7.6923080000000001E-3</v>
      </c>
      <c r="T880" s="63" t="str">
        <f ca="1">IFERROR(__xludf.DUMMYFUNCTION("""COMPUTED_VALUE"""),"https://storage.googleapis.com/glide-prod.appspot.com/uploads-v2/ly7o78grxPaC6KdgvbpS/pub/3aRdSog0vUtuqPE8AJKD.png")</f>
        <v>https://storage.googleapis.com/glide-prod.appspot.com/uploads-v2/ly7o78grxPaC6KdgvbpS/pub/3aRdSog0vUtuqPE8AJKD.png</v>
      </c>
      <c r="U880" s="5" t="str">
        <f ca="1">IFERROR(__xludf.DUMMYFUNCTION("""COMPUTED_VALUE"""),"LINEA DE ENVASADO JUGOS PET HOT FILLPALETIZADORA MODUPAL 2A")</f>
        <v>LINEA DE ENVASADO JUGOS PET HOT FILLPALETIZADORA MODUPAL 2A</v>
      </c>
      <c r="V880" s="5"/>
      <c r="W880" s="5" t="b">
        <f ca="1">IFERROR(__xludf.DUMMYFUNCTION("""COMPUTED_VALUE"""),TRUE)</f>
        <v>1</v>
      </c>
      <c r="X880" s="5" t="str">
        <f ca="1">IFERROR(__xludf.DUMMYFUNCTION("""COMPUTED_VALUE"""),"achavezi@postobon.com.co,aprmttoyu@postobon.com.co,aprmyu@postobon.com.co,wmora@postobon.com.co,efzapata@postobon.com.co")</f>
        <v>achavezi@postobon.com.co,aprmttoyu@postobon.com.co,aprmyu@postobon.com.co,wmora@postobon.com.co,efzapata@postobon.com.co</v>
      </c>
      <c r="Y880" s="5" t="str">
        <f ca="1">IFERROR(__xludf.DUMMYFUNCTION("""COMPUTED_VALUE"""),"achavezi@postobon.com.co")</f>
        <v>achavezi@postobon.com.co</v>
      </c>
      <c r="Z880" s="5" t="str">
        <f ca="1">IFERROR(__xludf.DUMMYFUNCTION("""COMPUTED_VALUE"""),"HnUEr2orSBOzOlh9A3g2kQ")</f>
        <v>HnUEr2orSBOzOlh9A3g2kQ</v>
      </c>
      <c r="AA880" s="5"/>
      <c r="AB880" s="5"/>
      <c r="AC880" s="5"/>
      <c r="AD880" s="5">
        <f ca="1">IFERROR(__xludf.DUMMYFUNCTION("""COMPUTED_VALUE"""),21)</f>
        <v>21</v>
      </c>
      <c r="AE880" s="5">
        <f ca="1">IFERROR(__xludf.DUMMYFUNCTION("""COMPUTED_VALUE"""),21)</f>
        <v>21</v>
      </c>
      <c r="AF880" s="5" t="b">
        <f ca="1">IFERROR(__xludf.DUMMYFUNCTION("""COMPUTED_VALUE"""),FALSE)</f>
        <v>0</v>
      </c>
      <c r="AG880" s="5" t="str">
        <f ca="1">IFERROR(__xludf.DUMMYFUNCTION("""COMPUTED_VALUE"""),"INSPECCIONES REALIZADAS")</f>
        <v>INSPECCIONES REALIZADAS</v>
      </c>
      <c r="AH880" s="5"/>
    </row>
    <row r="881" spans="1:34">
      <c r="A881" s="5" t="str">
        <f ca="1">IFERROR(__xludf.DUMMYFUNCTION("""COMPUTED_VALUE"""),"LINEA DE ENVASADO JUGOS PET HOT FILL")</f>
        <v>LINEA DE ENVASADO JUGOS PET HOT FILL</v>
      </c>
      <c r="B881" s="5">
        <f ca="1">IFERROR(__xludf.DUMMYFUNCTION("""COMPUTED_VALUE"""),579063)</f>
        <v>579063</v>
      </c>
      <c r="C881" s="5" t="str">
        <f ca="1">IFERROR(__xludf.DUMMYFUNCTION("""COMPUTED_VALUE"""),"PALETIZADORA MODUPAL 2A")</f>
        <v>PALETIZADORA MODUPAL 2A</v>
      </c>
      <c r="D881" s="5">
        <f ca="1">IFERROR(__xludf.DUMMYFUNCTION("""COMPUTED_VALUE"""),13247770)</f>
        <v>13247770</v>
      </c>
      <c r="E881" s="5" t="str">
        <f ca="1">IFERROR(__xludf.DUMMYFUNCTION("""COMPUTED_VALUE"""),"INSPECCION SEMANAL MODUPAL 2A")</f>
        <v>INSPECCION SEMANAL MODUPAL 2A</v>
      </c>
      <c r="F881" s="5" t="str">
        <f ca="1">IFERROR(__xludf.DUMMYFUNCTION("""COMPUTED_VALUE"""),"FUNC SERVOMOTOR")</f>
        <v>FUNC SERVOMOTOR</v>
      </c>
      <c r="G881" s="5" t="b">
        <f ca="1">IFERROR(__xludf.DUMMYFUNCTION("""COMPUTED_VALUE"""),TRUE)</f>
        <v>1</v>
      </c>
      <c r="H881" s="5"/>
      <c r="I881" s="5"/>
      <c r="J881" s="5">
        <f ca="1">IFERROR(__xludf.DUMMYFUNCTION("""COMPUTED_VALUE"""),13247770)</f>
        <v>13247770</v>
      </c>
      <c r="K881" s="5"/>
      <c r="L881" s="18">
        <f ca="1">IFERROR(__xludf.DUMMYFUNCTION("""COMPUTED_VALUE"""),45324)</f>
        <v>45324</v>
      </c>
      <c r="M881" s="18">
        <f ca="1">IFERROR(__xludf.DUMMYFUNCTION("""COMPUTED_VALUE"""),45324)</f>
        <v>45324</v>
      </c>
      <c r="N881" s="5" t="str">
        <f ca="1">IFERROR(__xludf.DUMMYFUNCTION("""COMPUTED_VALUE"""),"Martinez Delgado Osver")</f>
        <v>Martinez Delgado Osver</v>
      </c>
      <c r="O881" s="2">
        <f ca="1">IFERROR(__xludf.DUMMYFUNCTION("""COMPUTED_VALUE"""),0.007692308)</f>
        <v>7.6923080000000001E-3</v>
      </c>
      <c r="P881" s="5">
        <f ca="1">IFERROR(__xludf.DUMMYFUNCTION("""COMPUTED_VALUE"""),20009942)</f>
        <v>20009942</v>
      </c>
      <c r="Q881" s="5" t="str">
        <f ca="1">IFERROR(__xludf.DUMMYFUNCTION("""COMPUTED_VALUE"""),"K5X5UJYgDFY")</f>
        <v>K5X5UJYgDFY</v>
      </c>
      <c r="R881" s="5">
        <f ca="1">IFERROR(__xludf.DUMMYFUNCTION("""COMPUTED_VALUE"""),410)</f>
        <v>410</v>
      </c>
      <c r="S881" s="62">
        <f ca="1">IFERROR(__xludf.DUMMYFUNCTION("""COMPUTED_VALUE"""),0.007692308)</f>
        <v>7.6923080000000001E-3</v>
      </c>
      <c r="T881" s="63" t="str">
        <f ca="1">IFERROR(__xludf.DUMMYFUNCTION("""COMPUTED_VALUE"""),"https://storage.googleapis.com/glide-prod.appspot.com/uploads-v2/ly7o78grxPaC6KdgvbpS/pub/3aRdSog0vUtuqPE8AJKD.png")</f>
        <v>https://storage.googleapis.com/glide-prod.appspot.com/uploads-v2/ly7o78grxPaC6KdgvbpS/pub/3aRdSog0vUtuqPE8AJKD.png</v>
      </c>
      <c r="U881" s="5" t="str">
        <f ca="1">IFERROR(__xludf.DUMMYFUNCTION("""COMPUTED_VALUE"""),"LINEA DE ENVASADO JUGOS PET HOT FILLPALETIZADORA MODUPAL 2A")</f>
        <v>LINEA DE ENVASADO JUGOS PET HOT FILLPALETIZADORA MODUPAL 2A</v>
      </c>
      <c r="V881" s="5"/>
      <c r="W881" s="5" t="b">
        <f ca="1">IFERROR(__xludf.DUMMYFUNCTION("""COMPUTED_VALUE"""),TRUE)</f>
        <v>1</v>
      </c>
      <c r="X881" s="5" t="str">
        <f ca="1">IFERROR(__xludf.DUMMYFUNCTION("""COMPUTED_VALUE"""),"achavezi@postobon.com.co,aprmttoyu@postobon.com.co,aprmyu@postobon.com.co,wmora@postobon.com.co,efzapata@postobon.com.co")</f>
        <v>achavezi@postobon.com.co,aprmttoyu@postobon.com.co,aprmyu@postobon.com.co,wmora@postobon.com.co,efzapata@postobon.com.co</v>
      </c>
      <c r="Y881" s="5" t="str">
        <f ca="1">IFERROR(__xludf.DUMMYFUNCTION("""COMPUTED_VALUE"""),"achavezi@postobon.com.co")</f>
        <v>achavezi@postobon.com.co</v>
      </c>
      <c r="Z881" s="5" t="str">
        <f ca="1">IFERROR(__xludf.DUMMYFUNCTION("""COMPUTED_VALUE"""),"y5iB.QxxTQGdGY-40aiYeA")</f>
        <v>y5iB.QxxTQGdGY-40aiYeA</v>
      </c>
      <c r="AA881" s="5"/>
      <c r="AB881" s="5"/>
      <c r="AC881" s="5"/>
      <c r="AD881" s="5">
        <f ca="1">IFERROR(__xludf.DUMMYFUNCTION("""COMPUTED_VALUE"""),21)</f>
        <v>21</v>
      </c>
      <c r="AE881" s="5">
        <f ca="1">IFERROR(__xludf.DUMMYFUNCTION("""COMPUTED_VALUE"""),21)</f>
        <v>21</v>
      </c>
      <c r="AF881" s="5" t="b">
        <f ca="1">IFERROR(__xludf.DUMMYFUNCTION("""COMPUTED_VALUE"""),FALSE)</f>
        <v>0</v>
      </c>
      <c r="AG881" s="5" t="str">
        <f ca="1">IFERROR(__xludf.DUMMYFUNCTION("""COMPUTED_VALUE"""),"INSPECCIONES REALIZADAS")</f>
        <v>INSPECCIONES REALIZADAS</v>
      </c>
      <c r="AH881" s="5"/>
    </row>
    <row r="882" spans="1:34">
      <c r="A882" s="5" t="str">
        <f ca="1">IFERROR(__xludf.DUMMYFUNCTION("""COMPUTED_VALUE"""),"LINEA DE ENVASADO PET NO RETORNABLE")</f>
        <v>LINEA DE ENVASADO PET NO RETORNABLE</v>
      </c>
      <c r="B882" s="5">
        <f ca="1">IFERROR(__xludf.DUMMYFUNCTION("""COMPUTED_VALUE"""),900232)</f>
        <v>900232</v>
      </c>
      <c r="C882" s="5" t="str">
        <f ca="1">IFERROR(__xludf.DUMMYFUNCTION("""COMPUTED_VALUE"""),"PALETIZADORA")</f>
        <v>PALETIZADORA</v>
      </c>
      <c r="D882" s="5">
        <f ca="1">IFERROR(__xludf.DUMMYFUNCTION("""COMPUTED_VALUE"""),13247833)</f>
        <v>13247833</v>
      </c>
      <c r="E882" s="5" t="str">
        <f ca="1">IFERROR(__xludf.DUMMYFUNCTION("""COMPUTED_VALUE"""),"INSPECCION SEMANAL PALETIZADORA")</f>
        <v>INSPECCION SEMANAL PALETIZADORA</v>
      </c>
      <c r="F882" s="5" t="str">
        <f ca="1">IFERROR(__xludf.DUMMYFUNCTION("""COMPUTED_VALUE"""),"INSP UNIDAD MTTO AIRE")</f>
        <v>INSP UNIDAD MTTO AIRE</v>
      </c>
      <c r="G882" s="5" t="b">
        <f ca="1">IFERROR(__xludf.DUMMYFUNCTION("""COMPUTED_VALUE"""),TRUE)</f>
        <v>1</v>
      </c>
      <c r="H882" s="5"/>
      <c r="I882" s="5"/>
      <c r="J882" s="5">
        <f ca="1">IFERROR(__xludf.DUMMYFUNCTION("""COMPUTED_VALUE"""),13247833)</f>
        <v>13247833</v>
      </c>
      <c r="K882" s="5"/>
      <c r="L882" s="18">
        <f ca="1">IFERROR(__xludf.DUMMYFUNCTION("""COMPUTED_VALUE"""),45324)</f>
        <v>45324</v>
      </c>
      <c r="M882" s="18">
        <f ca="1">IFERROR(__xludf.DUMMYFUNCTION("""COMPUTED_VALUE"""),45324)</f>
        <v>45324</v>
      </c>
      <c r="N882" s="5" t="str">
        <f ca="1">IFERROR(__xludf.DUMMYFUNCTION("""COMPUTED_VALUE"""),"Astaiza Hernandez John Eyder")</f>
        <v>Astaiza Hernandez John Eyder</v>
      </c>
      <c r="O882" s="2">
        <f ca="1">IFERROR(__xludf.DUMMYFUNCTION("""COMPUTED_VALUE"""),0.002777778)</f>
        <v>2.7777779999999998E-3</v>
      </c>
      <c r="P882" s="5">
        <f ca="1">IFERROR(__xludf.DUMMYFUNCTION("""COMPUTED_VALUE"""),20027410)</f>
        <v>20027410</v>
      </c>
      <c r="Q882" s="5" t="str">
        <f ca="1">IFERROR(__xludf.DUMMYFUNCTION("""COMPUTED_VALUE"""),"hmw1pMLaJGE")</f>
        <v>hmw1pMLaJGE</v>
      </c>
      <c r="R882" s="5">
        <f ca="1">IFERROR(__xludf.DUMMYFUNCTION("""COMPUTED_VALUE"""),410)</f>
        <v>410</v>
      </c>
      <c r="S882" s="62">
        <f ca="1">IFERROR(__xludf.DUMMYFUNCTION("""COMPUTED_VALUE"""),0.002777778)</f>
        <v>2.7777779999999998E-3</v>
      </c>
      <c r="T882" s="63" t="str">
        <f ca="1">IFERROR(__xludf.DUMMYFUNCTION("""COMPUTED_VALUE"""),"https://storage.googleapis.com/glide-prod.appspot.com/uploads-v2/ly7o78grxPaC6KdgvbpS/pub/3aRdSog0vUtuqPE8AJKD.png")</f>
        <v>https://storage.googleapis.com/glide-prod.appspot.com/uploads-v2/ly7o78grxPaC6KdgvbpS/pub/3aRdSog0vUtuqPE8AJKD.png</v>
      </c>
      <c r="U882" s="5" t="str">
        <f ca="1">IFERROR(__xludf.DUMMYFUNCTION("""COMPUTED_VALUE"""),"LINEA DE ENVASADO PET NO RETORNABLEPALETIZADORA")</f>
        <v>LINEA DE ENVASADO PET NO RETORNABLEPALETIZADORA</v>
      </c>
      <c r="V882" s="5"/>
      <c r="W882" s="5" t="b">
        <f ca="1">IFERROR(__xludf.DUMMYFUNCTION("""COMPUTED_VALUE"""),TRUE)</f>
        <v>1</v>
      </c>
      <c r="X882" s="5" t="str">
        <f ca="1">IFERROR(__xludf.DUMMYFUNCTION("""COMPUTED_VALUE"""),"wguerra@postobon.com.co,aprmttoyu@postobon.com.co,aprmyu@postobon.com.co,wmora@postobon.com.co,efzapata@postobon.com.co")</f>
        <v>wguerra@postobon.com.co,aprmttoyu@postobon.com.co,aprmyu@postobon.com.co,wmora@postobon.com.co,efzapata@postobon.com.co</v>
      </c>
      <c r="Y882" s="5" t="str">
        <f ca="1">IFERROR(__xludf.DUMMYFUNCTION("""COMPUTED_VALUE"""),"wguerra@postobon.com.co")</f>
        <v>wguerra@postobon.com.co</v>
      </c>
      <c r="Z882" s="5" t="str">
        <f ca="1">IFERROR(__xludf.DUMMYFUNCTION("""COMPUTED_VALUE"""),"S9sJzhIsR4qTmaimMWEDbw")</f>
        <v>S9sJzhIsR4qTmaimMWEDbw</v>
      </c>
      <c r="AA882" s="5"/>
      <c r="AB882" s="5"/>
      <c r="AC882" s="5"/>
      <c r="AD882" s="5">
        <f ca="1">IFERROR(__xludf.DUMMYFUNCTION("""COMPUTED_VALUE"""),36)</f>
        <v>36</v>
      </c>
      <c r="AE882" s="5">
        <f ca="1">IFERROR(__xludf.DUMMYFUNCTION("""COMPUTED_VALUE"""),36)</f>
        <v>36</v>
      </c>
      <c r="AF882" s="5" t="b">
        <f ca="1">IFERROR(__xludf.DUMMYFUNCTION("""COMPUTED_VALUE"""),FALSE)</f>
        <v>0</v>
      </c>
      <c r="AG882" s="5" t="str">
        <f ca="1">IFERROR(__xludf.DUMMYFUNCTION("""COMPUTED_VALUE"""),"INSPECCIONES REALIZADAS")</f>
        <v>INSPECCIONES REALIZADAS</v>
      </c>
      <c r="AH882" s="5"/>
    </row>
    <row r="883" spans="1:34">
      <c r="A883" s="5" t="str">
        <f ca="1">IFERROR(__xludf.DUMMYFUNCTION("""COMPUTED_VALUE"""),"LINEA DE ENVASADO PET NO RETORNABLE")</f>
        <v>LINEA DE ENVASADO PET NO RETORNABLE</v>
      </c>
      <c r="B883" s="5">
        <f ca="1">IFERROR(__xludf.DUMMYFUNCTION("""COMPUTED_VALUE"""),900232)</f>
        <v>900232</v>
      </c>
      <c r="C883" s="5" t="str">
        <f ca="1">IFERROR(__xludf.DUMMYFUNCTION("""COMPUTED_VALUE"""),"PALETIZADORA")</f>
        <v>PALETIZADORA</v>
      </c>
      <c r="D883" s="5">
        <f ca="1">IFERROR(__xludf.DUMMYFUNCTION("""COMPUTED_VALUE"""),13247833)</f>
        <v>13247833</v>
      </c>
      <c r="E883" s="5" t="str">
        <f ca="1">IFERROR(__xludf.DUMMYFUNCTION("""COMPUTED_VALUE"""),"INSPECCION SEMANAL PALETIZADORA")</f>
        <v>INSPECCION SEMANAL PALETIZADORA</v>
      </c>
      <c r="F883" s="5" t="str">
        <f ca="1">IFERROR(__xludf.DUMMYFUNCTION("""COMPUTED_VALUE"""),"INSP NIVEL ACEITE RECIPIENTE TENSOR CADENA")</f>
        <v>INSP NIVEL ACEITE RECIPIENTE TENSOR CADENA</v>
      </c>
      <c r="G883" s="5" t="b">
        <f ca="1">IFERROR(__xludf.DUMMYFUNCTION("""COMPUTED_VALUE"""),TRUE)</f>
        <v>1</v>
      </c>
      <c r="H883" s="5"/>
      <c r="I883" s="5"/>
      <c r="J883" s="5">
        <f ca="1">IFERROR(__xludf.DUMMYFUNCTION("""COMPUTED_VALUE"""),13247833)</f>
        <v>13247833</v>
      </c>
      <c r="K883" s="5"/>
      <c r="L883" s="18">
        <f ca="1">IFERROR(__xludf.DUMMYFUNCTION("""COMPUTED_VALUE"""),45324)</f>
        <v>45324</v>
      </c>
      <c r="M883" s="18">
        <f ca="1">IFERROR(__xludf.DUMMYFUNCTION("""COMPUTED_VALUE"""),45324)</f>
        <v>45324</v>
      </c>
      <c r="N883" s="5" t="str">
        <f ca="1">IFERROR(__xludf.DUMMYFUNCTION("""COMPUTED_VALUE"""),"Astaiza Hernandez John Eyder")</f>
        <v>Astaiza Hernandez John Eyder</v>
      </c>
      <c r="O883" s="2">
        <f ca="1">IFERROR(__xludf.DUMMYFUNCTION("""COMPUTED_VALUE"""),0.002777778)</f>
        <v>2.7777779999999998E-3</v>
      </c>
      <c r="P883" s="5">
        <f ca="1">IFERROR(__xludf.DUMMYFUNCTION("""COMPUTED_VALUE"""),20027410)</f>
        <v>20027410</v>
      </c>
      <c r="Q883" s="5" t="str">
        <f ca="1">IFERROR(__xludf.DUMMYFUNCTION("""COMPUTED_VALUE"""),"8D2krkIIH4o")</f>
        <v>8D2krkIIH4o</v>
      </c>
      <c r="R883" s="5">
        <f ca="1">IFERROR(__xludf.DUMMYFUNCTION("""COMPUTED_VALUE"""),410)</f>
        <v>410</v>
      </c>
      <c r="S883" s="62">
        <f ca="1">IFERROR(__xludf.DUMMYFUNCTION("""COMPUTED_VALUE"""),0.002777778)</f>
        <v>2.7777779999999998E-3</v>
      </c>
      <c r="T883" s="63" t="str">
        <f ca="1">IFERROR(__xludf.DUMMYFUNCTION("""COMPUTED_VALUE"""),"https://storage.googleapis.com/glide-prod.appspot.com/uploads-v2/ly7o78grxPaC6KdgvbpS/pub/3aRdSog0vUtuqPE8AJKD.png")</f>
        <v>https://storage.googleapis.com/glide-prod.appspot.com/uploads-v2/ly7o78grxPaC6KdgvbpS/pub/3aRdSog0vUtuqPE8AJKD.png</v>
      </c>
      <c r="U883" s="5" t="str">
        <f ca="1">IFERROR(__xludf.DUMMYFUNCTION("""COMPUTED_VALUE"""),"LINEA DE ENVASADO PET NO RETORNABLEPALETIZADORA")</f>
        <v>LINEA DE ENVASADO PET NO RETORNABLEPALETIZADORA</v>
      </c>
      <c r="V883" s="5"/>
      <c r="W883" s="5" t="b">
        <f ca="1">IFERROR(__xludf.DUMMYFUNCTION("""COMPUTED_VALUE"""),TRUE)</f>
        <v>1</v>
      </c>
      <c r="X883" s="5" t="str">
        <f ca="1">IFERROR(__xludf.DUMMYFUNCTION("""COMPUTED_VALUE"""),"wguerra@postobon.com.co,aprmttoyu@postobon.com.co,aprmyu@postobon.com.co,wmora@postobon.com.co,efzapata@postobon.com.co")</f>
        <v>wguerra@postobon.com.co,aprmttoyu@postobon.com.co,aprmyu@postobon.com.co,wmora@postobon.com.co,efzapata@postobon.com.co</v>
      </c>
      <c r="Y883" s="5" t="str">
        <f ca="1">IFERROR(__xludf.DUMMYFUNCTION("""COMPUTED_VALUE"""),"wguerra@postobon.com.co")</f>
        <v>wguerra@postobon.com.co</v>
      </c>
      <c r="Z883" s="5" t="str">
        <f ca="1">IFERROR(__xludf.DUMMYFUNCTION("""COMPUTED_VALUE"""),"JXt603LUQ4ev.B7-zxNBig")</f>
        <v>JXt603LUQ4ev.B7-zxNBig</v>
      </c>
      <c r="AA883" s="5"/>
      <c r="AB883" s="5"/>
      <c r="AC883" s="5"/>
      <c r="AD883" s="5">
        <f ca="1">IFERROR(__xludf.DUMMYFUNCTION("""COMPUTED_VALUE"""),36)</f>
        <v>36</v>
      </c>
      <c r="AE883" s="5">
        <f ca="1">IFERROR(__xludf.DUMMYFUNCTION("""COMPUTED_VALUE"""),36)</f>
        <v>36</v>
      </c>
      <c r="AF883" s="5" t="b">
        <f ca="1">IFERROR(__xludf.DUMMYFUNCTION("""COMPUTED_VALUE"""),FALSE)</f>
        <v>0</v>
      </c>
      <c r="AG883" s="5" t="str">
        <f ca="1">IFERROR(__xludf.DUMMYFUNCTION("""COMPUTED_VALUE"""),"INSPECCIONES REALIZADAS")</f>
        <v>INSPECCIONES REALIZADAS</v>
      </c>
      <c r="AH883" s="5"/>
    </row>
    <row r="884" spans="1:34">
      <c r="A884" s="5" t="str">
        <f ca="1">IFERROR(__xludf.DUMMYFUNCTION("""COMPUTED_VALUE"""),"LINEA DE ENVASADO PET NO RETORNABLE")</f>
        <v>LINEA DE ENVASADO PET NO RETORNABLE</v>
      </c>
      <c r="B884" s="5">
        <f ca="1">IFERROR(__xludf.DUMMYFUNCTION("""COMPUTED_VALUE"""),900232)</f>
        <v>900232</v>
      </c>
      <c r="C884" s="5" t="str">
        <f ca="1">IFERROR(__xludf.DUMMYFUNCTION("""COMPUTED_VALUE"""),"PALETIZADORA")</f>
        <v>PALETIZADORA</v>
      </c>
      <c r="D884" s="5">
        <f ca="1">IFERROR(__xludf.DUMMYFUNCTION("""COMPUTED_VALUE"""),13247833)</f>
        <v>13247833</v>
      </c>
      <c r="E884" s="5" t="str">
        <f ca="1">IFERROR(__xludf.DUMMYFUNCTION("""COMPUTED_VALUE"""),"INSPECCION SEMANAL PALETIZADORA")</f>
        <v>INSPECCION SEMANAL PALETIZADORA</v>
      </c>
      <c r="F884" s="5" t="str">
        <f ca="1">IFERROR(__xludf.DUMMYFUNCTION("""COMPUTED_VALUE"""),"ESTADO CARRO CARGADOR")</f>
        <v>ESTADO CARRO CARGADOR</v>
      </c>
      <c r="G884" s="5" t="b">
        <f ca="1">IFERROR(__xludf.DUMMYFUNCTION("""COMPUTED_VALUE"""),TRUE)</f>
        <v>1</v>
      </c>
      <c r="H884" s="5"/>
      <c r="I884" s="5"/>
      <c r="J884" s="5">
        <f ca="1">IFERROR(__xludf.DUMMYFUNCTION("""COMPUTED_VALUE"""),13247833)</f>
        <v>13247833</v>
      </c>
      <c r="K884" s="5"/>
      <c r="L884" s="18">
        <f ca="1">IFERROR(__xludf.DUMMYFUNCTION("""COMPUTED_VALUE"""),45324)</f>
        <v>45324</v>
      </c>
      <c r="M884" s="18">
        <f ca="1">IFERROR(__xludf.DUMMYFUNCTION("""COMPUTED_VALUE"""),45324)</f>
        <v>45324</v>
      </c>
      <c r="N884" s="5" t="str">
        <f ca="1">IFERROR(__xludf.DUMMYFUNCTION("""COMPUTED_VALUE"""),"Astaiza Hernandez John Eyder")</f>
        <v>Astaiza Hernandez John Eyder</v>
      </c>
      <c r="O884" s="2">
        <f ca="1">IFERROR(__xludf.DUMMYFUNCTION("""COMPUTED_VALUE"""),0.002777778)</f>
        <v>2.7777779999999998E-3</v>
      </c>
      <c r="P884" s="5">
        <f ca="1">IFERROR(__xludf.DUMMYFUNCTION("""COMPUTED_VALUE"""),20027410)</f>
        <v>20027410</v>
      </c>
      <c r="Q884" s="5" t="str">
        <f ca="1">IFERROR(__xludf.DUMMYFUNCTION("""COMPUTED_VALUE"""),"7uIJqyTkqjg")</f>
        <v>7uIJqyTkqjg</v>
      </c>
      <c r="R884" s="5">
        <f ca="1">IFERROR(__xludf.DUMMYFUNCTION("""COMPUTED_VALUE"""),410)</f>
        <v>410</v>
      </c>
      <c r="S884" s="62">
        <f ca="1">IFERROR(__xludf.DUMMYFUNCTION("""COMPUTED_VALUE"""),0.002777778)</f>
        <v>2.7777779999999998E-3</v>
      </c>
      <c r="T884" s="63" t="str">
        <f ca="1">IFERROR(__xludf.DUMMYFUNCTION("""COMPUTED_VALUE"""),"https://storage.googleapis.com/glide-prod.appspot.com/uploads-v2/ly7o78grxPaC6KdgvbpS/pub/3aRdSog0vUtuqPE8AJKD.png")</f>
        <v>https://storage.googleapis.com/glide-prod.appspot.com/uploads-v2/ly7o78grxPaC6KdgvbpS/pub/3aRdSog0vUtuqPE8AJKD.png</v>
      </c>
      <c r="U884" s="5" t="str">
        <f ca="1">IFERROR(__xludf.DUMMYFUNCTION("""COMPUTED_VALUE"""),"LINEA DE ENVASADO PET NO RETORNABLEPALETIZADORA")</f>
        <v>LINEA DE ENVASADO PET NO RETORNABLEPALETIZADORA</v>
      </c>
      <c r="V884" s="5"/>
      <c r="W884" s="5" t="b">
        <f ca="1">IFERROR(__xludf.DUMMYFUNCTION("""COMPUTED_VALUE"""),TRUE)</f>
        <v>1</v>
      </c>
      <c r="X884" s="5" t="str">
        <f ca="1">IFERROR(__xludf.DUMMYFUNCTION("""COMPUTED_VALUE"""),"wguerra@postobon.com.co,aprmttoyu@postobon.com.co,aprmyu@postobon.com.co,wmora@postobon.com.co,efzapata@postobon.com.co")</f>
        <v>wguerra@postobon.com.co,aprmttoyu@postobon.com.co,aprmyu@postobon.com.co,wmora@postobon.com.co,efzapata@postobon.com.co</v>
      </c>
      <c r="Y884" s="5" t="str">
        <f ca="1">IFERROR(__xludf.DUMMYFUNCTION("""COMPUTED_VALUE"""),"wguerra@postobon.com.co")</f>
        <v>wguerra@postobon.com.co</v>
      </c>
      <c r="Z884" s="5" t="str">
        <f ca="1">IFERROR(__xludf.DUMMYFUNCTION("""COMPUTED_VALUE"""),"hDsK9XkTTI6pAuQzN5C1Ug")</f>
        <v>hDsK9XkTTI6pAuQzN5C1Ug</v>
      </c>
      <c r="AA884" s="5"/>
      <c r="AB884" s="5"/>
      <c r="AC884" s="5"/>
      <c r="AD884" s="5">
        <f ca="1">IFERROR(__xludf.DUMMYFUNCTION("""COMPUTED_VALUE"""),36)</f>
        <v>36</v>
      </c>
      <c r="AE884" s="5">
        <f ca="1">IFERROR(__xludf.DUMMYFUNCTION("""COMPUTED_VALUE"""),36)</f>
        <v>36</v>
      </c>
      <c r="AF884" s="5" t="b">
        <f ca="1">IFERROR(__xludf.DUMMYFUNCTION("""COMPUTED_VALUE"""),FALSE)</f>
        <v>0</v>
      </c>
      <c r="AG884" s="5" t="str">
        <f ca="1">IFERROR(__xludf.DUMMYFUNCTION("""COMPUTED_VALUE"""),"INSPECCIONES REALIZADAS")</f>
        <v>INSPECCIONES REALIZADAS</v>
      </c>
      <c r="AH884" s="5"/>
    </row>
    <row r="885" spans="1:34">
      <c r="A885" s="5" t="str">
        <f ca="1">IFERROR(__xludf.DUMMYFUNCTION("""COMPUTED_VALUE"""),"LINEA DE ENVASADO PET NO RETORNABLE")</f>
        <v>LINEA DE ENVASADO PET NO RETORNABLE</v>
      </c>
      <c r="B885" s="5">
        <f ca="1">IFERROR(__xludf.DUMMYFUNCTION("""COMPUTED_VALUE"""),900232)</f>
        <v>900232</v>
      </c>
      <c r="C885" s="5" t="str">
        <f ca="1">IFERROR(__xludf.DUMMYFUNCTION("""COMPUTED_VALUE"""),"PALETIZADORA")</f>
        <v>PALETIZADORA</v>
      </c>
      <c r="D885" s="5">
        <f ca="1">IFERROR(__xludf.DUMMYFUNCTION("""COMPUTED_VALUE"""),13247833)</f>
        <v>13247833</v>
      </c>
      <c r="E885" s="5" t="str">
        <f ca="1">IFERROR(__xludf.DUMMYFUNCTION("""COMPUTED_VALUE"""),"INSPECCION SEMANAL PALETIZADORA")</f>
        <v>INSPECCION SEMANAL PALETIZADORA</v>
      </c>
      <c r="F885" s="5" t="str">
        <f ca="1">IFERROR(__xludf.DUMMYFUNCTION("""COMPUTED_VALUE"""),"INSP LEVAS EMPUJADOR FILAS")</f>
        <v>INSP LEVAS EMPUJADOR FILAS</v>
      </c>
      <c r="G885" s="5" t="b">
        <f ca="1">IFERROR(__xludf.DUMMYFUNCTION("""COMPUTED_VALUE"""),TRUE)</f>
        <v>1</v>
      </c>
      <c r="H885" s="5"/>
      <c r="I885" s="5"/>
      <c r="J885" s="5">
        <f ca="1">IFERROR(__xludf.DUMMYFUNCTION("""COMPUTED_VALUE"""),13247833)</f>
        <v>13247833</v>
      </c>
      <c r="K885" s="5"/>
      <c r="L885" s="18">
        <f ca="1">IFERROR(__xludf.DUMMYFUNCTION("""COMPUTED_VALUE"""),45324)</f>
        <v>45324</v>
      </c>
      <c r="M885" s="18">
        <f ca="1">IFERROR(__xludf.DUMMYFUNCTION("""COMPUTED_VALUE"""),45324)</f>
        <v>45324</v>
      </c>
      <c r="N885" s="5" t="str">
        <f ca="1">IFERROR(__xludf.DUMMYFUNCTION("""COMPUTED_VALUE"""),"Astaiza Hernandez John Eyder")</f>
        <v>Astaiza Hernandez John Eyder</v>
      </c>
      <c r="O885" s="2">
        <f ca="1">IFERROR(__xludf.DUMMYFUNCTION("""COMPUTED_VALUE"""),0.002777778)</f>
        <v>2.7777779999999998E-3</v>
      </c>
      <c r="P885" s="5">
        <f ca="1">IFERROR(__xludf.DUMMYFUNCTION("""COMPUTED_VALUE"""),20027410)</f>
        <v>20027410</v>
      </c>
      <c r="Q885" s="5" t="str">
        <f ca="1">IFERROR(__xludf.DUMMYFUNCTION("""COMPUTED_VALUE"""),"Pbxnl_U0jZM")</f>
        <v>Pbxnl_U0jZM</v>
      </c>
      <c r="R885" s="5">
        <f ca="1">IFERROR(__xludf.DUMMYFUNCTION("""COMPUTED_VALUE"""),410)</f>
        <v>410</v>
      </c>
      <c r="S885" s="62">
        <f ca="1">IFERROR(__xludf.DUMMYFUNCTION("""COMPUTED_VALUE"""),0.002777778)</f>
        <v>2.7777779999999998E-3</v>
      </c>
      <c r="T885" s="63" t="str">
        <f ca="1">IFERROR(__xludf.DUMMYFUNCTION("""COMPUTED_VALUE"""),"https://storage.googleapis.com/glide-prod.appspot.com/uploads-v2/ly7o78grxPaC6KdgvbpS/pub/3aRdSog0vUtuqPE8AJKD.png")</f>
        <v>https://storage.googleapis.com/glide-prod.appspot.com/uploads-v2/ly7o78grxPaC6KdgvbpS/pub/3aRdSog0vUtuqPE8AJKD.png</v>
      </c>
      <c r="U885" s="5" t="str">
        <f ca="1">IFERROR(__xludf.DUMMYFUNCTION("""COMPUTED_VALUE"""),"LINEA DE ENVASADO PET NO RETORNABLEPALETIZADORA")</f>
        <v>LINEA DE ENVASADO PET NO RETORNABLEPALETIZADORA</v>
      </c>
      <c r="V885" s="5"/>
      <c r="W885" s="5" t="b">
        <f ca="1">IFERROR(__xludf.DUMMYFUNCTION("""COMPUTED_VALUE"""),TRUE)</f>
        <v>1</v>
      </c>
      <c r="X885" s="5" t="str">
        <f ca="1">IFERROR(__xludf.DUMMYFUNCTION("""COMPUTED_VALUE"""),"wguerra@postobon.com.co,aprmttoyu@postobon.com.co,aprmyu@postobon.com.co,wmora@postobon.com.co,efzapata@postobon.com.co")</f>
        <v>wguerra@postobon.com.co,aprmttoyu@postobon.com.co,aprmyu@postobon.com.co,wmora@postobon.com.co,efzapata@postobon.com.co</v>
      </c>
      <c r="Y885" s="5" t="str">
        <f ca="1">IFERROR(__xludf.DUMMYFUNCTION("""COMPUTED_VALUE"""),"wguerra@postobon.com.co")</f>
        <v>wguerra@postobon.com.co</v>
      </c>
      <c r="Z885" s="5" t="str">
        <f ca="1">IFERROR(__xludf.DUMMYFUNCTION("""COMPUTED_VALUE"""),"ItIVWBj5QTGr2qzakXYzgA")</f>
        <v>ItIVWBj5QTGr2qzakXYzgA</v>
      </c>
      <c r="AA885" s="5"/>
      <c r="AB885" s="5"/>
      <c r="AC885" s="5"/>
      <c r="AD885" s="5">
        <f ca="1">IFERROR(__xludf.DUMMYFUNCTION("""COMPUTED_VALUE"""),36)</f>
        <v>36</v>
      </c>
      <c r="AE885" s="5">
        <f ca="1">IFERROR(__xludf.DUMMYFUNCTION("""COMPUTED_VALUE"""),36)</f>
        <v>36</v>
      </c>
      <c r="AF885" s="5" t="b">
        <f ca="1">IFERROR(__xludf.DUMMYFUNCTION("""COMPUTED_VALUE"""),FALSE)</f>
        <v>0</v>
      </c>
      <c r="AG885" s="5" t="str">
        <f ca="1">IFERROR(__xludf.DUMMYFUNCTION("""COMPUTED_VALUE"""),"INSPECCIONES REALIZADAS")</f>
        <v>INSPECCIONES REALIZADAS</v>
      </c>
      <c r="AH885" s="5"/>
    </row>
    <row r="886" spans="1:34">
      <c r="A886" s="5" t="str">
        <f ca="1">IFERROR(__xludf.DUMMYFUNCTION("""COMPUTED_VALUE"""),"LINEA DE ENVASADO PET NO RETORNABLE")</f>
        <v>LINEA DE ENVASADO PET NO RETORNABLE</v>
      </c>
      <c r="B886" s="5">
        <f ca="1">IFERROR(__xludf.DUMMYFUNCTION("""COMPUTED_VALUE"""),900232)</f>
        <v>900232</v>
      </c>
      <c r="C886" s="5" t="str">
        <f ca="1">IFERROR(__xludf.DUMMYFUNCTION("""COMPUTED_VALUE"""),"PALETIZADORA")</f>
        <v>PALETIZADORA</v>
      </c>
      <c r="D886" s="5">
        <f ca="1">IFERROR(__xludf.DUMMYFUNCTION("""COMPUTED_VALUE"""),13247833)</f>
        <v>13247833</v>
      </c>
      <c r="E886" s="5" t="str">
        <f ca="1">IFERROR(__xludf.DUMMYFUNCTION("""COMPUTED_VALUE"""),"INSPECCION SEMANAL PALETIZADORA")</f>
        <v>INSPECCION SEMANAL PALETIZADORA</v>
      </c>
      <c r="F886" s="5" t="str">
        <f ca="1">IFERROR(__xludf.DUMMYFUNCTION("""COMPUTED_VALUE"""),"INSP RODILLOS APOYO MECANISMO ELEVADOR")</f>
        <v>INSP RODILLOS APOYO MECANISMO ELEVADOR</v>
      </c>
      <c r="G886" s="5" t="b">
        <f ca="1">IFERROR(__xludf.DUMMYFUNCTION("""COMPUTED_VALUE"""),TRUE)</f>
        <v>1</v>
      </c>
      <c r="H886" s="5"/>
      <c r="I886" s="5"/>
      <c r="J886" s="5">
        <f ca="1">IFERROR(__xludf.DUMMYFUNCTION("""COMPUTED_VALUE"""),13247833)</f>
        <v>13247833</v>
      </c>
      <c r="K886" s="5"/>
      <c r="L886" s="18">
        <f ca="1">IFERROR(__xludf.DUMMYFUNCTION("""COMPUTED_VALUE"""),45324)</f>
        <v>45324</v>
      </c>
      <c r="M886" s="18">
        <f ca="1">IFERROR(__xludf.DUMMYFUNCTION("""COMPUTED_VALUE"""),45324)</f>
        <v>45324</v>
      </c>
      <c r="N886" s="5" t="str">
        <f ca="1">IFERROR(__xludf.DUMMYFUNCTION("""COMPUTED_VALUE"""),"Astaiza Hernandez John Eyder")</f>
        <v>Astaiza Hernandez John Eyder</v>
      </c>
      <c r="O886" s="2">
        <f ca="1">IFERROR(__xludf.DUMMYFUNCTION("""COMPUTED_VALUE"""),0.002777778)</f>
        <v>2.7777779999999998E-3</v>
      </c>
      <c r="P886" s="5">
        <f ca="1">IFERROR(__xludf.DUMMYFUNCTION("""COMPUTED_VALUE"""),20027410)</f>
        <v>20027410</v>
      </c>
      <c r="Q886" s="5" t="str">
        <f ca="1">IFERROR(__xludf.DUMMYFUNCTION("""COMPUTED_VALUE"""),"kI20Ll33IIM")</f>
        <v>kI20Ll33IIM</v>
      </c>
      <c r="R886" s="5">
        <f ca="1">IFERROR(__xludf.DUMMYFUNCTION("""COMPUTED_VALUE"""),410)</f>
        <v>410</v>
      </c>
      <c r="S886" s="62">
        <f ca="1">IFERROR(__xludf.DUMMYFUNCTION("""COMPUTED_VALUE"""),0.002777778)</f>
        <v>2.7777779999999998E-3</v>
      </c>
      <c r="T886" s="63" t="str">
        <f ca="1">IFERROR(__xludf.DUMMYFUNCTION("""COMPUTED_VALUE"""),"https://storage.googleapis.com/glide-prod.appspot.com/uploads-v2/ly7o78grxPaC6KdgvbpS/pub/3aRdSog0vUtuqPE8AJKD.png")</f>
        <v>https://storage.googleapis.com/glide-prod.appspot.com/uploads-v2/ly7o78grxPaC6KdgvbpS/pub/3aRdSog0vUtuqPE8AJKD.png</v>
      </c>
      <c r="U886" s="5" t="str">
        <f ca="1">IFERROR(__xludf.DUMMYFUNCTION("""COMPUTED_VALUE"""),"LINEA DE ENVASADO PET NO RETORNABLEPALETIZADORA")</f>
        <v>LINEA DE ENVASADO PET NO RETORNABLEPALETIZADORA</v>
      </c>
      <c r="V886" s="5"/>
      <c r="W886" s="5" t="b">
        <f ca="1">IFERROR(__xludf.DUMMYFUNCTION("""COMPUTED_VALUE"""),TRUE)</f>
        <v>1</v>
      </c>
      <c r="X886" s="5" t="str">
        <f ca="1">IFERROR(__xludf.DUMMYFUNCTION("""COMPUTED_VALUE"""),"wguerra@postobon.com.co,aprmttoyu@postobon.com.co,aprmyu@postobon.com.co,wmora@postobon.com.co,efzapata@postobon.com.co")</f>
        <v>wguerra@postobon.com.co,aprmttoyu@postobon.com.co,aprmyu@postobon.com.co,wmora@postobon.com.co,efzapata@postobon.com.co</v>
      </c>
      <c r="Y886" s="5" t="str">
        <f ca="1">IFERROR(__xludf.DUMMYFUNCTION("""COMPUTED_VALUE"""),"wguerra@postobon.com.co")</f>
        <v>wguerra@postobon.com.co</v>
      </c>
      <c r="Z886" s="5" t="str">
        <f ca="1">IFERROR(__xludf.DUMMYFUNCTION("""COMPUTED_VALUE"""),"5WUJcyODT2uXDm7CXRIJJg")</f>
        <v>5WUJcyODT2uXDm7CXRIJJg</v>
      </c>
      <c r="AA886" s="5"/>
      <c r="AB886" s="5"/>
      <c r="AC886" s="5"/>
      <c r="AD886" s="5">
        <f ca="1">IFERROR(__xludf.DUMMYFUNCTION("""COMPUTED_VALUE"""),36)</f>
        <v>36</v>
      </c>
      <c r="AE886" s="5">
        <f ca="1">IFERROR(__xludf.DUMMYFUNCTION("""COMPUTED_VALUE"""),36)</f>
        <v>36</v>
      </c>
      <c r="AF886" s="5" t="b">
        <f ca="1">IFERROR(__xludf.DUMMYFUNCTION("""COMPUTED_VALUE"""),FALSE)</f>
        <v>0</v>
      </c>
      <c r="AG886" s="5" t="str">
        <f ca="1">IFERROR(__xludf.DUMMYFUNCTION("""COMPUTED_VALUE"""),"INSPECCIONES REALIZADAS")</f>
        <v>INSPECCIONES REALIZADAS</v>
      </c>
      <c r="AH886" s="5"/>
    </row>
    <row r="887" spans="1:34">
      <c r="A887" s="5" t="str">
        <f ca="1">IFERROR(__xludf.DUMMYFUNCTION("""COMPUTED_VALUE"""),"LINEA DE ENVASADO PET NO RETORNABLE")</f>
        <v>LINEA DE ENVASADO PET NO RETORNABLE</v>
      </c>
      <c r="B887" s="5">
        <f ca="1">IFERROR(__xludf.DUMMYFUNCTION("""COMPUTED_VALUE"""),900232)</f>
        <v>900232</v>
      </c>
      <c r="C887" s="5" t="str">
        <f ca="1">IFERROR(__xludf.DUMMYFUNCTION("""COMPUTED_VALUE"""),"PALETIZADORA")</f>
        <v>PALETIZADORA</v>
      </c>
      <c r="D887" s="5">
        <f ca="1">IFERROR(__xludf.DUMMYFUNCTION("""COMPUTED_VALUE"""),13247833)</f>
        <v>13247833</v>
      </c>
      <c r="E887" s="5" t="str">
        <f ca="1">IFERROR(__xludf.DUMMYFUNCTION("""COMPUTED_VALUE"""),"INSPECCION SEMANAL PALETIZADORA")</f>
        <v>INSPECCION SEMANAL PALETIZADORA</v>
      </c>
      <c r="F887" s="5" t="str">
        <f ca="1">IFERROR(__xludf.DUMMYFUNCTION("""COMPUTED_VALUE"""),"INSP INTERCAMBIADOR Y REJILLA AIRE")</f>
        <v>INSP INTERCAMBIADOR Y REJILLA AIRE</v>
      </c>
      <c r="G887" s="5" t="b">
        <f ca="1">IFERROR(__xludf.DUMMYFUNCTION("""COMPUTED_VALUE"""),TRUE)</f>
        <v>1</v>
      </c>
      <c r="H887" s="5"/>
      <c r="I887" s="5"/>
      <c r="J887" s="5">
        <f ca="1">IFERROR(__xludf.DUMMYFUNCTION("""COMPUTED_VALUE"""),13247833)</f>
        <v>13247833</v>
      </c>
      <c r="K887" s="5"/>
      <c r="L887" s="18">
        <f ca="1">IFERROR(__xludf.DUMMYFUNCTION("""COMPUTED_VALUE"""),45324)</f>
        <v>45324</v>
      </c>
      <c r="M887" s="18">
        <f ca="1">IFERROR(__xludf.DUMMYFUNCTION("""COMPUTED_VALUE"""),45324)</f>
        <v>45324</v>
      </c>
      <c r="N887" s="5" t="str">
        <f ca="1">IFERROR(__xludf.DUMMYFUNCTION("""COMPUTED_VALUE"""),"Astaiza Hernandez John Eyder")</f>
        <v>Astaiza Hernandez John Eyder</v>
      </c>
      <c r="O887" s="2">
        <f ca="1">IFERROR(__xludf.DUMMYFUNCTION("""COMPUTED_VALUE"""),0.002777778)</f>
        <v>2.7777779999999998E-3</v>
      </c>
      <c r="P887" s="5">
        <f ca="1">IFERROR(__xludf.DUMMYFUNCTION("""COMPUTED_VALUE"""),20027410)</f>
        <v>20027410</v>
      </c>
      <c r="Q887" s="5" t="str">
        <f ca="1">IFERROR(__xludf.DUMMYFUNCTION("""COMPUTED_VALUE"""),"yKm8XMCFoqI")</f>
        <v>yKm8XMCFoqI</v>
      </c>
      <c r="R887" s="5">
        <f ca="1">IFERROR(__xludf.DUMMYFUNCTION("""COMPUTED_VALUE"""),410)</f>
        <v>410</v>
      </c>
      <c r="S887" s="62">
        <f ca="1">IFERROR(__xludf.DUMMYFUNCTION("""COMPUTED_VALUE"""),0.002777778)</f>
        <v>2.7777779999999998E-3</v>
      </c>
      <c r="T887" s="63" t="str">
        <f ca="1">IFERROR(__xludf.DUMMYFUNCTION("""COMPUTED_VALUE"""),"https://storage.googleapis.com/glide-prod.appspot.com/uploads-v2/ly7o78grxPaC6KdgvbpS/pub/3aRdSog0vUtuqPE8AJKD.png")</f>
        <v>https://storage.googleapis.com/glide-prod.appspot.com/uploads-v2/ly7o78grxPaC6KdgvbpS/pub/3aRdSog0vUtuqPE8AJKD.png</v>
      </c>
      <c r="U887" s="5" t="str">
        <f ca="1">IFERROR(__xludf.DUMMYFUNCTION("""COMPUTED_VALUE"""),"LINEA DE ENVASADO PET NO RETORNABLEPALETIZADORA")</f>
        <v>LINEA DE ENVASADO PET NO RETORNABLEPALETIZADORA</v>
      </c>
      <c r="V887" s="5"/>
      <c r="W887" s="5" t="b">
        <f ca="1">IFERROR(__xludf.DUMMYFUNCTION("""COMPUTED_VALUE"""),TRUE)</f>
        <v>1</v>
      </c>
      <c r="X887" s="5" t="str">
        <f ca="1">IFERROR(__xludf.DUMMYFUNCTION("""COMPUTED_VALUE"""),"wguerra@postobon.com.co,aprmttoyu@postobon.com.co,aprmyu@postobon.com.co,wmora@postobon.com.co,efzapata@postobon.com.co")</f>
        <v>wguerra@postobon.com.co,aprmttoyu@postobon.com.co,aprmyu@postobon.com.co,wmora@postobon.com.co,efzapata@postobon.com.co</v>
      </c>
      <c r="Y887" s="5" t="str">
        <f ca="1">IFERROR(__xludf.DUMMYFUNCTION("""COMPUTED_VALUE"""),"wguerra@postobon.com.co")</f>
        <v>wguerra@postobon.com.co</v>
      </c>
      <c r="Z887" s="5" t="str">
        <f ca="1">IFERROR(__xludf.DUMMYFUNCTION("""COMPUTED_VALUE"""),"Ns1cm-jgQlalv4qcz0zXnA")</f>
        <v>Ns1cm-jgQlalv4qcz0zXnA</v>
      </c>
      <c r="AA887" s="5"/>
      <c r="AB887" s="5"/>
      <c r="AC887" s="5"/>
      <c r="AD887" s="5">
        <f ca="1">IFERROR(__xludf.DUMMYFUNCTION("""COMPUTED_VALUE"""),36)</f>
        <v>36</v>
      </c>
      <c r="AE887" s="5">
        <f ca="1">IFERROR(__xludf.DUMMYFUNCTION("""COMPUTED_VALUE"""),36)</f>
        <v>36</v>
      </c>
      <c r="AF887" s="5" t="b">
        <f ca="1">IFERROR(__xludf.DUMMYFUNCTION("""COMPUTED_VALUE"""),FALSE)</f>
        <v>0</v>
      </c>
      <c r="AG887" s="5" t="str">
        <f ca="1">IFERROR(__xludf.DUMMYFUNCTION("""COMPUTED_VALUE"""),"INSPECCIONES REALIZADAS")</f>
        <v>INSPECCIONES REALIZADAS</v>
      </c>
      <c r="AH887" s="5"/>
    </row>
    <row r="888" spans="1:34">
      <c r="A888" s="5" t="str">
        <f ca="1">IFERROR(__xludf.DUMMYFUNCTION("""COMPUTED_VALUE"""),"LINEA DE ENVASADO PET NO RETORNABLE")</f>
        <v>LINEA DE ENVASADO PET NO RETORNABLE</v>
      </c>
      <c r="B888" s="5">
        <f ca="1">IFERROR(__xludf.DUMMYFUNCTION("""COMPUTED_VALUE"""),900232)</f>
        <v>900232</v>
      </c>
      <c r="C888" s="5" t="str">
        <f ca="1">IFERROR(__xludf.DUMMYFUNCTION("""COMPUTED_VALUE"""),"PALETIZADORA")</f>
        <v>PALETIZADORA</v>
      </c>
      <c r="D888" s="5">
        <f ca="1">IFERROR(__xludf.DUMMYFUNCTION("""COMPUTED_VALUE"""),13247833)</f>
        <v>13247833</v>
      </c>
      <c r="E888" s="5" t="str">
        <f ca="1">IFERROR(__xludf.DUMMYFUNCTION("""COMPUTED_VALUE"""),"INSPECCION SEMANAL PALETIZADORA")</f>
        <v>INSPECCION SEMANAL PALETIZADORA</v>
      </c>
      <c r="F888" s="5" t="str">
        <f ca="1">IFERROR(__xludf.DUMMYFUNCTION("""COMPUTED_VALUE"""),"FUNC MOTORREDUCTORES")</f>
        <v>FUNC MOTORREDUCTORES</v>
      </c>
      <c r="G888" s="5" t="b">
        <f ca="1">IFERROR(__xludf.DUMMYFUNCTION("""COMPUTED_VALUE"""),TRUE)</f>
        <v>1</v>
      </c>
      <c r="H888" s="5"/>
      <c r="I888" s="5"/>
      <c r="J888" s="5">
        <f ca="1">IFERROR(__xludf.DUMMYFUNCTION("""COMPUTED_VALUE"""),13247833)</f>
        <v>13247833</v>
      </c>
      <c r="K888" s="5"/>
      <c r="L888" s="18">
        <f ca="1">IFERROR(__xludf.DUMMYFUNCTION("""COMPUTED_VALUE"""),45324)</f>
        <v>45324</v>
      </c>
      <c r="M888" s="18">
        <f ca="1">IFERROR(__xludf.DUMMYFUNCTION("""COMPUTED_VALUE"""),45324)</f>
        <v>45324</v>
      </c>
      <c r="N888" s="5" t="str">
        <f ca="1">IFERROR(__xludf.DUMMYFUNCTION("""COMPUTED_VALUE"""),"Astaiza Hernandez John Eyder")</f>
        <v>Astaiza Hernandez John Eyder</v>
      </c>
      <c r="O888" s="2">
        <f ca="1">IFERROR(__xludf.DUMMYFUNCTION("""COMPUTED_VALUE"""),0.002777778)</f>
        <v>2.7777779999999998E-3</v>
      </c>
      <c r="P888" s="5">
        <f ca="1">IFERROR(__xludf.DUMMYFUNCTION("""COMPUTED_VALUE"""),20027410)</f>
        <v>20027410</v>
      </c>
      <c r="Q888" s="5" t="str">
        <f ca="1">IFERROR(__xludf.DUMMYFUNCTION("""COMPUTED_VALUE"""),"5kBGQGlfDck")</f>
        <v>5kBGQGlfDck</v>
      </c>
      <c r="R888" s="5">
        <f ca="1">IFERROR(__xludf.DUMMYFUNCTION("""COMPUTED_VALUE"""),410)</f>
        <v>410</v>
      </c>
      <c r="S888" s="62">
        <f ca="1">IFERROR(__xludf.DUMMYFUNCTION("""COMPUTED_VALUE"""),0.002777778)</f>
        <v>2.7777779999999998E-3</v>
      </c>
      <c r="T888" s="63" t="str">
        <f ca="1">IFERROR(__xludf.DUMMYFUNCTION("""COMPUTED_VALUE"""),"https://storage.googleapis.com/glide-prod.appspot.com/uploads-v2/ly7o78grxPaC6KdgvbpS/pub/3aRdSog0vUtuqPE8AJKD.png")</f>
        <v>https://storage.googleapis.com/glide-prod.appspot.com/uploads-v2/ly7o78grxPaC6KdgvbpS/pub/3aRdSog0vUtuqPE8AJKD.png</v>
      </c>
      <c r="U888" s="5" t="str">
        <f ca="1">IFERROR(__xludf.DUMMYFUNCTION("""COMPUTED_VALUE"""),"LINEA DE ENVASADO PET NO RETORNABLEPALETIZADORA")</f>
        <v>LINEA DE ENVASADO PET NO RETORNABLEPALETIZADORA</v>
      </c>
      <c r="V888" s="5"/>
      <c r="W888" s="5" t="b">
        <f ca="1">IFERROR(__xludf.DUMMYFUNCTION("""COMPUTED_VALUE"""),TRUE)</f>
        <v>1</v>
      </c>
      <c r="X888" s="5" t="str">
        <f ca="1">IFERROR(__xludf.DUMMYFUNCTION("""COMPUTED_VALUE"""),"wguerra@postobon.com.co,aprmttoyu@postobon.com.co,aprmyu@postobon.com.co,wmora@postobon.com.co,efzapata@postobon.com.co")</f>
        <v>wguerra@postobon.com.co,aprmttoyu@postobon.com.co,aprmyu@postobon.com.co,wmora@postobon.com.co,efzapata@postobon.com.co</v>
      </c>
      <c r="Y888" s="5" t="str">
        <f ca="1">IFERROR(__xludf.DUMMYFUNCTION("""COMPUTED_VALUE"""),"wguerra@postobon.com.co")</f>
        <v>wguerra@postobon.com.co</v>
      </c>
      <c r="Z888" s="5" t="str">
        <f ca="1">IFERROR(__xludf.DUMMYFUNCTION("""COMPUTED_VALUE"""),"c-6ombrYTbq7-fcQD0quWQ")</f>
        <v>c-6ombrYTbq7-fcQD0quWQ</v>
      </c>
      <c r="AA888" s="5"/>
      <c r="AB888" s="5"/>
      <c r="AC888" s="5"/>
      <c r="AD888" s="5">
        <f ca="1">IFERROR(__xludf.DUMMYFUNCTION("""COMPUTED_VALUE"""),36)</f>
        <v>36</v>
      </c>
      <c r="AE888" s="5">
        <f ca="1">IFERROR(__xludf.DUMMYFUNCTION("""COMPUTED_VALUE"""),36)</f>
        <v>36</v>
      </c>
      <c r="AF888" s="5" t="b">
        <f ca="1">IFERROR(__xludf.DUMMYFUNCTION("""COMPUTED_VALUE"""),FALSE)</f>
        <v>0</v>
      </c>
      <c r="AG888" s="5" t="str">
        <f ca="1">IFERROR(__xludf.DUMMYFUNCTION("""COMPUTED_VALUE"""),"INSPECCIONES REALIZADAS")</f>
        <v>INSPECCIONES REALIZADAS</v>
      </c>
      <c r="AH888" s="5"/>
    </row>
    <row r="889" spans="1:34">
      <c r="A889" s="5" t="str">
        <f ca="1">IFERROR(__xludf.DUMMYFUNCTION("""COMPUTED_VALUE"""),"LINEA DE ENVASADO PET NO RETORNABLE")</f>
        <v>LINEA DE ENVASADO PET NO RETORNABLE</v>
      </c>
      <c r="B889" s="5">
        <f ca="1">IFERROR(__xludf.DUMMYFUNCTION("""COMPUTED_VALUE"""),900232)</f>
        <v>900232</v>
      </c>
      <c r="C889" s="5" t="str">
        <f ca="1">IFERROR(__xludf.DUMMYFUNCTION("""COMPUTED_VALUE"""),"PALETIZADORA")</f>
        <v>PALETIZADORA</v>
      </c>
      <c r="D889" s="5">
        <f ca="1">IFERROR(__xludf.DUMMYFUNCTION("""COMPUTED_VALUE"""),13247833)</f>
        <v>13247833</v>
      </c>
      <c r="E889" s="5" t="str">
        <f ca="1">IFERROR(__xludf.DUMMYFUNCTION("""COMPUTED_VALUE"""),"INSPECCION SEMANAL PALETIZADORA")</f>
        <v>INSPECCION SEMANAL PALETIZADORA</v>
      </c>
      <c r="F889" s="5" t="str">
        <f ca="1">IFERROR(__xludf.DUMMYFUNCTION("""COMPUTED_VALUE"""),"INSP TABLERO ELECTRICO/CLIMATIZADOR")</f>
        <v>INSP TABLERO ELECTRICO/CLIMATIZADOR</v>
      </c>
      <c r="G889" s="5" t="b">
        <f ca="1">IFERROR(__xludf.DUMMYFUNCTION("""COMPUTED_VALUE"""),TRUE)</f>
        <v>1</v>
      </c>
      <c r="H889" s="5"/>
      <c r="I889" s="5"/>
      <c r="J889" s="5">
        <f ca="1">IFERROR(__xludf.DUMMYFUNCTION("""COMPUTED_VALUE"""),13247833)</f>
        <v>13247833</v>
      </c>
      <c r="K889" s="5"/>
      <c r="L889" s="18">
        <f ca="1">IFERROR(__xludf.DUMMYFUNCTION("""COMPUTED_VALUE"""),45324)</f>
        <v>45324</v>
      </c>
      <c r="M889" s="18">
        <f ca="1">IFERROR(__xludf.DUMMYFUNCTION("""COMPUTED_VALUE"""),45324)</f>
        <v>45324</v>
      </c>
      <c r="N889" s="5" t="str">
        <f ca="1">IFERROR(__xludf.DUMMYFUNCTION("""COMPUTED_VALUE"""),"Astaiza Hernandez John Eyder")</f>
        <v>Astaiza Hernandez John Eyder</v>
      </c>
      <c r="O889" s="2">
        <f ca="1">IFERROR(__xludf.DUMMYFUNCTION("""COMPUTED_VALUE"""),0.002777778)</f>
        <v>2.7777779999999998E-3</v>
      </c>
      <c r="P889" s="5">
        <f ca="1">IFERROR(__xludf.DUMMYFUNCTION("""COMPUTED_VALUE"""),20027410)</f>
        <v>20027410</v>
      </c>
      <c r="Q889" s="5" t="str">
        <f ca="1">IFERROR(__xludf.DUMMYFUNCTION("""COMPUTED_VALUE"""),"ttBBxZ0KVbM")</f>
        <v>ttBBxZ0KVbM</v>
      </c>
      <c r="R889" s="5">
        <f ca="1">IFERROR(__xludf.DUMMYFUNCTION("""COMPUTED_VALUE"""),410)</f>
        <v>410</v>
      </c>
      <c r="S889" s="62">
        <f ca="1">IFERROR(__xludf.DUMMYFUNCTION("""COMPUTED_VALUE"""),0.002777778)</f>
        <v>2.7777779999999998E-3</v>
      </c>
      <c r="T889" s="63" t="str">
        <f ca="1">IFERROR(__xludf.DUMMYFUNCTION("""COMPUTED_VALUE"""),"https://storage.googleapis.com/glide-prod.appspot.com/uploads-v2/ly7o78grxPaC6KdgvbpS/pub/3aRdSog0vUtuqPE8AJKD.png")</f>
        <v>https://storage.googleapis.com/glide-prod.appspot.com/uploads-v2/ly7o78grxPaC6KdgvbpS/pub/3aRdSog0vUtuqPE8AJKD.png</v>
      </c>
      <c r="U889" s="5" t="str">
        <f ca="1">IFERROR(__xludf.DUMMYFUNCTION("""COMPUTED_VALUE"""),"LINEA DE ENVASADO PET NO RETORNABLEPALETIZADORA")</f>
        <v>LINEA DE ENVASADO PET NO RETORNABLEPALETIZADORA</v>
      </c>
      <c r="V889" s="5"/>
      <c r="W889" s="5" t="b">
        <f ca="1">IFERROR(__xludf.DUMMYFUNCTION("""COMPUTED_VALUE"""),TRUE)</f>
        <v>1</v>
      </c>
      <c r="X889" s="5" t="str">
        <f ca="1">IFERROR(__xludf.DUMMYFUNCTION("""COMPUTED_VALUE"""),"wguerra@postobon.com.co,aprmttoyu@postobon.com.co,aprmyu@postobon.com.co,wmora@postobon.com.co,efzapata@postobon.com.co")</f>
        <v>wguerra@postobon.com.co,aprmttoyu@postobon.com.co,aprmyu@postobon.com.co,wmora@postobon.com.co,efzapata@postobon.com.co</v>
      </c>
      <c r="Y889" s="5" t="str">
        <f ca="1">IFERROR(__xludf.DUMMYFUNCTION("""COMPUTED_VALUE"""),"wguerra@postobon.com.co")</f>
        <v>wguerra@postobon.com.co</v>
      </c>
      <c r="Z889" s="5" t="str">
        <f ca="1">IFERROR(__xludf.DUMMYFUNCTION("""COMPUTED_VALUE"""),"rqtjfVaLQh2QVEWGH39zrw")</f>
        <v>rqtjfVaLQh2QVEWGH39zrw</v>
      </c>
      <c r="AA889" s="5"/>
      <c r="AB889" s="5"/>
      <c r="AC889" s="5"/>
      <c r="AD889" s="5">
        <f ca="1">IFERROR(__xludf.DUMMYFUNCTION("""COMPUTED_VALUE"""),36)</f>
        <v>36</v>
      </c>
      <c r="AE889" s="5">
        <f ca="1">IFERROR(__xludf.DUMMYFUNCTION("""COMPUTED_VALUE"""),36)</f>
        <v>36</v>
      </c>
      <c r="AF889" s="5" t="b">
        <f ca="1">IFERROR(__xludf.DUMMYFUNCTION("""COMPUTED_VALUE"""),FALSE)</f>
        <v>0</v>
      </c>
      <c r="AG889" s="5" t="str">
        <f ca="1">IFERROR(__xludf.DUMMYFUNCTION("""COMPUTED_VALUE"""),"INSPECCIONES REALIZADAS")</f>
        <v>INSPECCIONES REALIZADAS</v>
      </c>
      <c r="AH889" s="5"/>
    </row>
    <row r="890" spans="1:34">
      <c r="A890" s="5" t="str">
        <f ca="1">IFERROR(__xludf.DUMMYFUNCTION("""COMPUTED_VALUE"""),"LINEA DE ENVASADO PET NO RETORNABLE")</f>
        <v>LINEA DE ENVASADO PET NO RETORNABLE</v>
      </c>
      <c r="B890" s="5">
        <f ca="1">IFERROR(__xludf.DUMMYFUNCTION("""COMPUTED_VALUE"""),900232)</f>
        <v>900232</v>
      </c>
      <c r="C890" s="5" t="str">
        <f ca="1">IFERROR(__xludf.DUMMYFUNCTION("""COMPUTED_VALUE"""),"PALETIZADORA")</f>
        <v>PALETIZADORA</v>
      </c>
      <c r="D890" s="5">
        <f ca="1">IFERROR(__xludf.DUMMYFUNCTION("""COMPUTED_VALUE"""),13247833)</f>
        <v>13247833</v>
      </c>
      <c r="E890" s="5" t="str">
        <f ca="1">IFERROR(__xludf.DUMMYFUNCTION("""COMPUTED_VALUE"""),"INSPECCION SEMANAL PALETIZADORA")</f>
        <v>INSPECCION SEMANAL PALETIZADORA</v>
      </c>
      <c r="F890" s="5" t="str">
        <f ca="1">IFERROR(__xludf.DUMMYFUNCTION("""COMPUTED_VALUE"""),"ESTADO BARRERAS LUZ,INTERR PUERTA")</f>
        <v>ESTADO BARRERAS LUZ,INTERR PUERTA</v>
      </c>
      <c r="G890" s="5" t="b">
        <f ca="1">IFERROR(__xludf.DUMMYFUNCTION("""COMPUTED_VALUE"""),TRUE)</f>
        <v>1</v>
      </c>
      <c r="H890" s="5"/>
      <c r="I890" s="5"/>
      <c r="J890" s="5">
        <f ca="1">IFERROR(__xludf.DUMMYFUNCTION("""COMPUTED_VALUE"""),13247833)</f>
        <v>13247833</v>
      </c>
      <c r="K890" s="5"/>
      <c r="L890" s="18">
        <f ca="1">IFERROR(__xludf.DUMMYFUNCTION("""COMPUTED_VALUE"""),45324)</f>
        <v>45324</v>
      </c>
      <c r="M890" s="18">
        <f ca="1">IFERROR(__xludf.DUMMYFUNCTION("""COMPUTED_VALUE"""),45324)</f>
        <v>45324</v>
      </c>
      <c r="N890" s="5" t="str">
        <f ca="1">IFERROR(__xludf.DUMMYFUNCTION("""COMPUTED_VALUE"""),"Astaiza Hernandez John Eyder")</f>
        <v>Astaiza Hernandez John Eyder</v>
      </c>
      <c r="O890" s="2">
        <f ca="1">IFERROR(__xludf.DUMMYFUNCTION("""COMPUTED_VALUE"""),0.002777778)</f>
        <v>2.7777779999999998E-3</v>
      </c>
      <c r="P890" s="5">
        <f ca="1">IFERROR(__xludf.DUMMYFUNCTION("""COMPUTED_VALUE"""),20027410)</f>
        <v>20027410</v>
      </c>
      <c r="Q890" s="5" t="str">
        <f ca="1">IFERROR(__xludf.DUMMYFUNCTION("""COMPUTED_VALUE"""),"eOFiN97i9lU")</f>
        <v>eOFiN97i9lU</v>
      </c>
      <c r="R890" s="5">
        <f ca="1">IFERROR(__xludf.DUMMYFUNCTION("""COMPUTED_VALUE"""),410)</f>
        <v>410</v>
      </c>
      <c r="S890" s="62">
        <f ca="1">IFERROR(__xludf.DUMMYFUNCTION("""COMPUTED_VALUE"""),0.002777778)</f>
        <v>2.7777779999999998E-3</v>
      </c>
      <c r="T890" s="63" t="str">
        <f ca="1">IFERROR(__xludf.DUMMYFUNCTION("""COMPUTED_VALUE"""),"https://storage.googleapis.com/glide-prod.appspot.com/uploads-v2/ly7o78grxPaC6KdgvbpS/pub/3aRdSog0vUtuqPE8AJKD.png")</f>
        <v>https://storage.googleapis.com/glide-prod.appspot.com/uploads-v2/ly7o78grxPaC6KdgvbpS/pub/3aRdSog0vUtuqPE8AJKD.png</v>
      </c>
      <c r="U890" s="5" t="str">
        <f ca="1">IFERROR(__xludf.DUMMYFUNCTION("""COMPUTED_VALUE"""),"LINEA DE ENVASADO PET NO RETORNABLEPALETIZADORA")</f>
        <v>LINEA DE ENVASADO PET NO RETORNABLEPALETIZADORA</v>
      </c>
      <c r="V890" s="5"/>
      <c r="W890" s="5" t="b">
        <f ca="1">IFERROR(__xludf.DUMMYFUNCTION("""COMPUTED_VALUE"""),TRUE)</f>
        <v>1</v>
      </c>
      <c r="X890" s="5" t="str">
        <f ca="1">IFERROR(__xludf.DUMMYFUNCTION("""COMPUTED_VALUE"""),"wguerra@postobon.com.co,aprmttoyu@postobon.com.co,aprmyu@postobon.com.co,wmora@postobon.com.co,efzapata@postobon.com.co")</f>
        <v>wguerra@postobon.com.co,aprmttoyu@postobon.com.co,aprmyu@postobon.com.co,wmora@postobon.com.co,efzapata@postobon.com.co</v>
      </c>
      <c r="Y890" s="5" t="str">
        <f ca="1">IFERROR(__xludf.DUMMYFUNCTION("""COMPUTED_VALUE"""),"wguerra@postobon.com.co")</f>
        <v>wguerra@postobon.com.co</v>
      </c>
      <c r="Z890" s="5" t="str">
        <f ca="1">IFERROR(__xludf.DUMMYFUNCTION("""COMPUTED_VALUE"""),"W7rZ-2qlSNC-Rt8OZ.tgEg")</f>
        <v>W7rZ-2qlSNC-Rt8OZ.tgEg</v>
      </c>
      <c r="AA890" s="5"/>
      <c r="AB890" s="5"/>
      <c r="AC890" s="5"/>
      <c r="AD890" s="5">
        <f ca="1">IFERROR(__xludf.DUMMYFUNCTION("""COMPUTED_VALUE"""),36)</f>
        <v>36</v>
      </c>
      <c r="AE890" s="5">
        <f ca="1">IFERROR(__xludf.DUMMYFUNCTION("""COMPUTED_VALUE"""),36)</f>
        <v>36</v>
      </c>
      <c r="AF890" s="5" t="b">
        <f ca="1">IFERROR(__xludf.DUMMYFUNCTION("""COMPUTED_VALUE"""),FALSE)</f>
        <v>0</v>
      </c>
      <c r="AG890" s="5" t="str">
        <f ca="1">IFERROR(__xludf.DUMMYFUNCTION("""COMPUTED_VALUE"""),"INSPECCIONES REALIZADAS")</f>
        <v>INSPECCIONES REALIZADAS</v>
      </c>
      <c r="AH890" s="5"/>
    </row>
    <row r="891" spans="1:34">
      <c r="A891" s="5" t="str">
        <f ca="1">IFERROR(__xludf.DUMMYFUNCTION("""COMPUTED_VALUE"""),"LINEA DE ENVASADO PET NO RETORNABLE")</f>
        <v>LINEA DE ENVASADO PET NO RETORNABLE</v>
      </c>
      <c r="B891" s="5">
        <f ca="1">IFERROR(__xludf.DUMMYFUNCTION("""COMPUTED_VALUE"""),900232)</f>
        <v>900232</v>
      </c>
      <c r="C891" s="5" t="str">
        <f ca="1">IFERROR(__xludf.DUMMYFUNCTION("""COMPUTED_VALUE"""),"PALETIZADORA")</f>
        <v>PALETIZADORA</v>
      </c>
      <c r="D891" s="5">
        <f ca="1">IFERROR(__xludf.DUMMYFUNCTION("""COMPUTED_VALUE"""),13247833)</f>
        <v>13247833</v>
      </c>
      <c r="E891" s="5" t="str">
        <f ca="1">IFERROR(__xludf.DUMMYFUNCTION("""COMPUTED_VALUE"""),"INSPECCION SEMANAL PALETIZADORA")</f>
        <v>INSPECCION SEMANAL PALETIZADORA</v>
      </c>
      <c r="F891" s="5" t="str">
        <f ca="1">IFERROR(__xludf.DUMMYFUNCTION("""COMPUTED_VALUE"""),"ESTADO PULSADOR,LAMPARAS SEÑALES")</f>
        <v>ESTADO PULSADOR,LAMPARAS SEÑALES</v>
      </c>
      <c r="G891" s="5" t="b">
        <f ca="1">IFERROR(__xludf.DUMMYFUNCTION("""COMPUTED_VALUE"""),TRUE)</f>
        <v>1</v>
      </c>
      <c r="H891" s="5"/>
      <c r="I891" s="5"/>
      <c r="J891" s="5">
        <f ca="1">IFERROR(__xludf.DUMMYFUNCTION("""COMPUTED_VALUE"""),13247833)</f>
        <v>13247833</v>
      </c>
      <c r="K891" s="5"/>
      <c r="L891" s="18">
        <f ca="1">IFERROR(__xludf.DUMMYFUNCTION("""COMPUTED_VALUE"""),45324)</f>
        <v>45324</v>
      </c>
      <c r="M891" s="18">
        <f ca="1">IFERROR(__xludf.DUMMYFUNCTION("""COMPUTED_VALUE"""),45324)</f>
        <v>45324</v>
      </c>
      <c r="N891" s="5" t="str">
        <f ca="1">IFERROR(__xludf.DUMMYFUNCTION("""COMPUTED_VALUE"""),"Astaiza Hernandez John Eyder")</f>
        <v>Astaiza Hernandez John Eyder</v>
      </c>
      <c r="O891" s="2">
        <f ca="1">IFERROR(__xludf.DUMMYFUNCTION("""COMPUTED_VALUE"""),0.002777778)</f>
        <v>2.7777779999999998E-3</v>
      </c>
      <c r="P891" s="5">
        <f ca="1">IFERROR(__xludf.DUMMYFUNCTION("""COMPUTED_VALUE"""),20027410)</f>
        <v>20027410</v>
      </c>
      <c r="Q891" s="5" t="str">
        <f ca="1">IFERROR(__xludf.DUMMYFUNCTION("""COMPUTED_VALUE"""),"VY_U1naq10U")</f>
        <v>VY_U1naq10U</v>
      </c>
      <c r="R891" s="5">
        <f ca="1">IFERROR(__xludf.DUMMYFUNCTION("""COMPUTED_VALUE"""),410)</f>
        <v>410</v>
      </c>
      <c r="S891" s="62">
        <f ca="1">IFERROR(__xludf.DUMMYFUNCTION("""COMPUTED_VALUE"""),0.002777778)</f>
        <v>2.7777779999999998E-3</v>
      </c>
      <c r="T891" s="63" t="str">
        <f ca="1">IFERROR(__xludf.DUMMYFUNCTION("""COMPUTED_VALUE"""),"https://storage.googleapis.com/glide-prod.appspot.com/uploads-v2/ly7o78grxPaC6KdgvbpS/pub/3aRdSog0vUtuqPE8AJKD.png")</f>
        <v>https://storage.googleapis.com/glide-prod.appspot.com/uploads-v2/ly7o78grxPaC6KdgvbpS/pub/3aRdSog0vUtuqPE8AJKD.png</v>
      </c>
      <c r="U891" s="5" t="str">
        <f ca="1">IFERROR(__xludf.DUMMYFUNCTION("""COMPUTED_VALUE"""),"LINEA DE ENVASADO PET NO RETORNABLEPALETIZADORA")</f>
        <v>LINEA DE ENVASADO PET NO RETORNABLEPALETIZADORA</v>
      </c>
      <c r="V891" s="5"/>
      <c r="W891" s="5" t="b">
        <f ca="1">IFERROR(__xludf.DUMMYFUNCTION("""COMPUTED_VALUE"""),TRUE)</f>
        <v>1</v>
      </c>
      <c r="X891" s="5" t="str">
        <f ca="1">IFERROR(__xludf.DUMMYFUNCTION("""COMPUTED_VALUE"""),"wguerra@postobon.com.co,aprmttoyu@postobon.com.co,aprmyu@postobon.com.co,wmora@postobon.com.co,efzapata@postobon.com.co")</f>
        <v>wguerra@postobon.com.co,aprmttoyu@postobon.com.co,aprmyu@postobon.com.co,wmora@postobon.com.co,efzapata@postobon.com.co</v>
      </c>
      <c r="Y891" s="5" t="str">
        <f ca="1">IFERROR(__xludf.DUMMYFUNCTION("""COMPUTED_VALUE"""),"wguerra@postobon.com.co")</f>
        <v>wguerra@postobon.com.co</v>
      </c>
      <c r="Z891" s="5" t="str">
        <f ca="1">IFERROR(__xludf.DUMMYFUNCTION("""COMPUTED_VALUE"""),"lT7jhwAZR5C0HolYMGQETA")</f>
        <v>lT7jhwAZR5C0HolYMGQETA</v>
      </c>
      <c r="AA891" s="5"/>
      <c r="AB891" s="5"/>
      <c r="AC891" s="5"/>
      <c r="AD891" s="5">
        <f ca="1">IFERROR(__xludf.DUMMYFUNCTION("""COMPUTED_VALUE"""),36)</f>
        <v>36</v>
      </c>
      <c r="AE891" s="5">
        <f ca="1">IFERROR(__xludf.DUMMYFUNCTION("""COMPUTED_VALUE"""),36)</f>
        <v>36</v>
      </c>
      <c r="AF891" s="5" t="b">
        <f ca="1">IFERROR(__xludf.DUMMYFUNCTION("""COMPUTED_VALUE"""),FALSE)</f>
        <v>0</v>
      </c>
      <c r="AG891" s="5" t="str">
        <f ca="1">IFERROR(__xludf.DUMMYFUNCTION("""COMPUTED_VALUE"""),"INSPECCIONES REALIZADAS")</f>
        <v>INSPECCIONES REALIZADAS</v>
      </c>
      <c r="AH891" s="5"/>
    </row>
    <row r="892" spans="1:34">
      <c r="A892" s="5" t="str">
        <f ca="1">IFERROR(__xludf.DUMMYFUNCTION("""COMPUTED_VALUE"""),"LINEA DE ENVASADO PET NO RETORNABLE")</f>
        <v>LINEA DE ENVASADO PET NO RETORNABLE</v>
      </c>
      <c r="B892" s="5">
        <f ca="1">IFERROR(__xludf.DUMMYFUNCTION("""COMPUTED_VALUE"""),900232)</f>
        <v>900232</v>
      </c>
      <c r="C892" s="5" t="str">
        <f ca="1">IFERROR(__xludf.DUMMYFUNCTION("""COMPUTED_VALUE"""),"PALETIZADORA")</f>
        <v>PALETIZADORA</v>
      </c>
      <c r="D892" s="5">
        <f ca="1">IFERROR(__xludf.DUMMYFUNCTION("""COMPUTED_VALUE"""),13247833)</f>
        <v>13247833</v>
      </c>
      <c r="E892" s="5" t="str">
        <f ca="1">IFERROR(__xludf.DUMMYFUNCTION("""COMPUTED_VALUE"""),"INSPECCION SEMANAL PALETIZADORA")</f>
        <v>INSPECCION SEMANAL PALETIZADORA</v>
      </c>
      <c r="F892" s="5" t="str">
        <f ca="1">IFERROR(__xludf.DUMMYFUNCTION("""COMPUTED_VALUE"""),"INSP FILTRO AIRE ARMARIO")</f>
        <v>INSP FILTRO AIRE ARMARIO</v>
      </c>
      <c r="G892" s="5" t="b">
        <f ca="1">IFERROR(__xludf.DUMMYFUNCTION("""COMPUTED_VALUE"""),TRUE)</f>
        <v>1</v>
      </c>
      <c r="H892" s="5"/>
      <c r="I892" s="5"/>
      <c r="J892" s="5"/>
      <c r="K892" s="5"/>
      <c r="L892" s="18">
        <f ca="1">IFERROR(__xludf.DUMMYFUNCTION("""COMPUTED_VALUE"""),45324)</f>
        <v>45324</v>
      </c>
      <c r="M892" s="18">
        <f ca="1">IFERROR(__xludf.DUMMYFUNCTION("""COMPUTED_VALUE"""),45324)</f>
        <v>45324</v>
      </c>
      <c r="N892" s="5" t="str">
        <f ca="1">IFERROR(__xludf.DUMMYFUNCTION("""COMPUTED_VALUE"""),"Astaiza Hernandez John Eyder")</f>
        <v>Astaiza Hernandez John Eyder</v>
      </c>
      <c r="O892" s="2">
        <f ca="1">IFERROR(__xludf.DUMMYFUNCTION("""COMPUTED_VALUE"""),0.002777778)</f>
        <v>2.7777779999999998E-3</v>
      </c>
      <c r="P892" s="5"/>
      <c r="Q892" s="5" t="str">
        <f ca="1">IFERROR(__xludf.DUMMYFUNCTION("""COMPUTED_VALUE"""),"3vYM8sXeIKo")</f>
        <v>3vYM8sXeIKo</v>
      </c>
      <c r="R892" s="5">
        <f ca="1">IFERROR(__xludf.DUMMYFUNCTION("""COMPUTED_VALUE"""),410)</f>
        <v>410</v>
      </c>
      <c r="S892" s="62">
        <f ca="1">IFERROR(__xludf.DUMMYFUNCTION("""COMPUTED_VALUE"""),0.002777778)</f>
        <v>2.7777779999999998E-3</v>
      </c>
      <c r="T892" s="63" t="str">
        <f ca="1">IFERROR(__xludf.DUMMYFUNCTION("""COMPUTED_VALUE"""),"https://storage.googleapis.com/glide-prod.appspot.com/uploads-v2/ly7o78grxPaC6KdgvbpS/pub/yvtCGRAPIbS0tVLIlehH.png")</f>
        <v>https://storage.googleapis.com/glide-prod.appspot.com/uploads-v2/ly7o78grxPaC6KdgvbpS/pub/yvtCGRAPIbS0tVLIlehH.png</v>
      </c>
      <c r="U892" s="5" t="str">
        <f ca="1">IFERROR(__xludf.DUMMYFUNCTION("""COMPUTED_VALUE"""),"LINEA DE ENVASADO PET NO RETORNABLEPALETIZADORA")</f>
        <v>LINEA DE ENVASADO PET NO RETORNABLEPALETIZADORA</v>
      </c>
      <c r="V892" s="5"/>
      <c r="W892" s="5"/>
      <c r="X892" s="5" t="str">
        <f ca="1">IFERROR(__xludf.DUMMYFUNCTION("""COMPUTED_VALUE"""),"wguerra@postobon.com.co,aprmttoyu@postobon.com.co,aprmyu@postobon.com.co,wmora@postobon.com.co,efzapata@postobon.com.co")</f>
        <v>wguerra@postobon.com.co,aprmttoyu@postobon.com.co,aprmyu@postobon.com.co,wmora@postobon.com.co,efzapata@postobon.com.co</v>
      </c>
      <c r="Y892" s="5" t="str">
        <f ca="1">IFERROR(__xludf.DUMMYFUNCTION("""COMPUTED_VALUE"""),"wguerra@postobon.com.co")</f>
        <v>wguerra@postobon.com.co</v>
      </c>
      <c r="Z892" s="5" t="str">
        <f ca="1">IFERROR(__xludf.DUMMYFUNCTION("""COMPUTED_VALUE"""),"mgJLmE1EQEOke0OnxuFUYA")</f>
        <v>mgJLmE1EQEOke0OnxuFUYA</v>
      </c>
      <c r="AA892" s="5"/>
      <c r="AB892" s="5"/>
      <c r="AC892" s="5"/>
      <c r="AD892" s="5">
        <f ca="1">IFERROR(__xludf.DUMMYFUNCTION("""COMPUTED_VALUE"""),36)</f>
        <v>36</v>
      </c>
      <c r="AE892" s="5">
        <f ca="1">IFERROR(__xludf.DUMMYFUNCTION("""COMPUTED_VALUE"""),36)</f>
        <v>36</v>
      </c>
      <c r="AF892" s="5" t="b">
        <f ca="1">IFERROR(__xludf.DUMMYFUNCTION("""COMPUTED_VALUE"""),FALSE)</f>
        <v>0</v>
      </c>
      <c r="AG892" s="5" t="str">
        <f ca="1">IFERROR(__xludf.DUMMYFUNCTION("""COMPUTED_VALUE"""),"INSPECCIONES REALIZADAS")</f>
        <v>INSPECCIONES REALIZADAS</v>
      </c>
      <c r="AH892" s="5"/>
    </row>
    <row r="893" spans="1:34">
      <c r="A893" s="5" t="str">
        <f ca="1">IFERROR(__xludf.DUMMYFUNCTION("""COMPUTED_VALUE"""),"LINEA DE ENVASADO PET NO RETORNABLE")</f>
        <v>LINEA DE ENVASADO PET NO RETORNABLE</v>
      </c>
      <c r="B893" s="5">
        <f ca="1">IFERROR(__xludf.DUMMYFUNCTION("""COMPUTED_VALUE"""),900232)</f>
        <v>900232</v>
      </c>
      <c r="C893" s="5" t="str">
        <f ca="1">IFERROR(__xludf.DUMMYFUNCTION("""COMPUTED_VALUE"""),"PALETIZADORA")</f>
        <v>PALETIZADORA</v>
      </c>
      <c r="D893" s="5">
        <f ca="1">IFERROR(__xludf.DUMMYFUNCTION("""COMPUTED_VALUE"""),13247833)</f>
        <v>13247833</v>
      </c>
      <c r="E893" s="5" t="str">
        <f ca="1">IFERROR(__xludf.DUMMYFUNCTION("""COMPUTED_VALUE"""),"INSPECCION SEMANAL PALETIZADORA")</f>
        <v>INSPECCION SEMANAL PALETIZADORA</v>
      </c>
      <c r="F893" s="5" t="str">
        <f ca="1">IFERROR(__xludf.DUMMYFUNCTION("""COMPUTED_VALUE"""),"INSP FUGAS FLUIDOS")</f>
        <v>INSP FUGAS FLUIDOS</v>
      </c>
      <c r="G893" s="5" t="b">
        <f ca="1">IFERROR(__xludf.DUMMYFUNCTION("""COMPUTED_VALUE"""),TRUE)</f>
        <v>1</v>
      </c>
      <c r="H893" s="5"/>
      <c r="I893" s="5"/>
      <c r="J893" s="5">
        <f ca="1">IFERROR(__xludf.DUMMYFUNCTION("""COMPUTED_VALUE"""),13247833)</f>
        <v>13247833</v>
      </c>
      <c r="K893" s="5"/>
      <c r="L893" s="18">
        <f ca="1">IFERROR(__xludf.DUMMYFUNCTION("""COMPUTED_VALUE"""),45324)</f>
        <v>45324</v>
      </c>
      <c r="M893" s="18">
        <f ca="1">IFERROR(__xludf.DUMMYFUNCTION("""COMPUTED_VALUE"""),45324)</f>
        <v>45324</v>
      </c>
      <c r="N893" s="5" t="str">
        <f ca="1">IFERROR(__xludf.DUMMYFUNCTION("""COMPUTED_VALUE"""),"Astaiza Hernandez John Eyder")</f>
        <v>Astaiza Hernandez John Eyder</v>
      </c>
      <c r="O893" s="2">
        <f ca="1">IFERROR(__xludf.DUMMYFUNCTION("""COMPUTED_VALUE"""),0.002777778)</f>
        <v>2.7777779999999998E-3</v>
      </c>
      <c r="P893" s="5">
        <f ca="1">IFERROR(__xludf.DUMMYFUNCTION("""COMPUTED_VALUE"""),20027410)</f>
        <v>20027410</v>
      </c>
      <c r="Q893" s="5" t="str">
        <f ca="1">IFERROR(__xludf.DUMMYFUNCTION("""COMPUTED_VALUE"""),"yxXqCtsxe9Q")</f>
        <v>yxXqCtsxe9Q</v>
      </c>
      <c r="R893" s="5">
        <f ca="1">IFERROR(__xludf.DUMMYFUNCTION("""COMPUTED_VALUE"""),410)</f>
        <v>410</v>
      </c>
      <c r="S893" s="62">
        <f ca="1">IFERROR(__xludf.DUMMYFUNCTION("""COMPUTED_VALUE"""),0.002777778)</f>
        <v>2.7777779999999998E-3</v>
      </c>
      <c r="T893" s="63" t="str">
        <f ca="1">IFERROR(__xludf.DUMMYFUNCTION("""COMPUTED_VALUE"""),"https://storage.googleapis.com/glide-prod.appspot.com/uploads-v2/ly7o78grxPaC6KdgvbpS/pub/3aRdSog0vUtuqPE8AJKD.png")</f>
        <v>https://storage.googleapis.com/glide-prod.appspot.com/uploads-v2/ly7o78grxPaC6KdgvbpS/pub/3aRdSog0vUtuqPE8AJKD.png</v>
      </c>
      <c r="U893" s="5" t="str">
        <f ca="1">IFERROR(__xludf.DUMMYFUNCTION("""COMPUTED_VALUE"""),"LINEA DE ENVASADO PET NO RETORNABLEPALETIZADORA")</f>
        <v>LINEA DE ENVASADO PET NO RETORNABLEPALETIZADORA</v>
      </c>
      <c r="V893" s="5"/>
      <c r="W893" s="5" t="b">
        <f ca="1">IFERROR(__xludf.DUMMYFUNCTION("""COMPUTED_VALUE"""),TRUE)</f>
        <v>1</v>
      </c>
      <c r="X893" s="5" t="str">
        <f ca="1">IFERROR(__xludf.DUMMYFUNCTION("""COMPUTED_VALUE"""),"wguerra@postobon.com.co,aprmttoyu@postobon.com.co,aprmyu@postobon.com.co,wmora@postobon.com.co,efzapata@postobon.com.co")</f>
        <v>wguerra@postobon.com.co,aprmttoyu@postobon.com.co,aprmyu@postobon.com.co,wmora@postobon.com.co,efzapata@postobon.com.co</v>
      </c>
      <c r="Y893" s="5" t="str">
        <f ca="1">IFERROR(__xludf.DUMMYFUNCTION("""COMPUTED_VALUE"""),"wguerra@postobon.com.co")</f>
        <v>wguerra@postobon.com.co</v>
      </c>
      <c r="Z893" s="5" t="str">
        <f ca="1">IFERROR(__xludf.DUMMYFUNCTION("""COMPUTED_VALUE"""),"xLkiLqQqSjObIRNocZJEOw")</f>
        <v>xLkiLqQqSjObIRNocZJEOw</v>
      </c>
      <c r="AA893" s="5"/>
      <c r="AB893" s="5"/>
      <c r="AC893" s="5"/>
      <c r="AD893" s="5">
        <f ca="1">IFERROR(__xludf.DUMMYFUNCTION("""COMPUTED_VALUE"""),36)</f>
        <v>36</v>
      </c>
      <c r="AE893" s="5">
        <f ca="1">IFERROR(__xludf.DUMMYFUNCTION("""COMPUTED_VALUE"""),36)</f>
        <v>36</v>
      </c>
      <c r="AF893" s="5" t="b">
        <f ca="1">IFERROR(__xludf.DUMMYFUNCTION("""COMPUTED_VALUE"""),FALSE)</f>
        <v>0</v>
      </c>
      <c r="AG893" s="5" t="str">
        <f ca="1">IFERROR(__xludf.DUMMYFUNCTION("""COMPUTED_VALUE"""),"INSPECCIONES REALIZADAS")</f>
        <v>INSPECCIONES REALIZADAS</v>
      </c>
      <c r="AH893" s="5"/>
    </row>
    <row r="894" spans="1:34">
      <c r="A894" s="5" t="str">
        <f ca="1">IFERROR(__xludf.DUMMYFUNCTION("""COMPUTED_VALUE"""),"LINEA DE ENVASADO PET NO RETORNABLE")</f>
        <v>LINEA DE ENVASADO PET NO RETORNABLE</v>
      </c>
      <c r="B894" s="5">
        <f ca="1">IFERROR(__xludf.DUMMYFUNCTION("""COMPUTED_VALUE"""),900232)</f>
        <v>900232</v>
      </c>
      <c r="C894" s="5" t="str">
        <f ca="1">IFERROR(__xludf.DUMMYFUNCTION("""COMPUTED_VALUE"""),"PALETIZADORA")</f>
        <v>PALETIZADORA</v>
      </c>
      <c r="D894" s="5">
        <f ca="1">IFERROR(__xludf.DUMMYFUNCTION("""COMPUTED_VALUE"""),13247833)</f>
        <v>13247833</v>
      </c>
      <c r="E894" s="5" t="str">
        <f ca="1">IFERROR(__xludf.DUMMYFUNCTION("""COMPUTED_VALUE"""),"INSPECCION SEMANAL PALETIZADORA")</f>
        <v>INSPECCION SEMANAL PALETIZADORA</v>
      </c>
      <c r="F894" s="5" t="str">
        <f ca="1">IFERROR(__xludf.DUMMYFUNCTION("""COMPUTED_VALUE"""),"FUNC CILINDROS NEUMATICOS")</f>
        <v>FUNC CILINDROS NEUMATICOS</v>
      </c>
      <c r="G894" s="5" t="b">
        <f ca="1">IFERROR(__xludf.DUMMYFUNCTION("""COMPUTED_VALUE"""),TRUE)</f>
        <v>1</v>
      </c>
      <c r="H894" s="5"/>
      <c r="I894" s="5"/>
      <c r="J894" s="5">
        <f ca="1">IFERROR(__xludf.DUMMYFUNCTION("""COMPUTED_VALUE"""),13247833)</f>
        <v>13247833</v>
      </c>
      <c r="K894" s="5"/>
      <c r="L894" s="18">
        <f ca="1">IFERROR(__xludf.DUMMYFUNCTION("""COMPUTED_VALUE"""),45324)</f>
        <v>45324</v>
      </c>
      <c r="M894" s="18">
        <f ca="1">IFERROR(__xludf.DUMMYFUNCTION("""COMPUTED_VALUE"""),45324)</f>
        <v>45324</v>
      </c>
      <c r="N894" s="5" t="str">
        <f ca="1">IFERROR(__xludf.DUMMYFUNCTION("""COMPUTED_VALUE"""),"Astaiza Hernandez John Eyder")</f>
        <v>Astaiza Hernandez John Eyder</v>
      </c>
      <c r="O894" s="2">
        <f ca="1">IFERROR(__xludf.DUMMYFUNCTION("""COMPUTED_VALUE"""),0.002777778)</f>
        <v>2.7777779999999998E-3</v>
      </c>
      <c r="P894" s="5">
        <f ca="1">IFERROR(__xludf.DUMMYFUNCTION("""COMPUTED_VALUE"""),20027410)</f>
        <v>20027410</v>
      </c>
      <c r="Q894" s="5" t="str">
        <f ca="1">IFERROR(__xludf.DUMMYFUNCTION("""COMPUTED_VALUE"""),"ptej68X4zVQ")</f>
        <v>ptej68X4zVQ</v>
      </c>
      <c r="R894" s="5">
        <f ca="1">IFERROR(__xludf.DUMMYFUNCTION("""COMPUTED_VALUE"""),410)</f>
        <v>410</v>
      </c>
      <c r="S894" s="62">
        <f ca="1">IFERROR(__xludf.DUMMYFUNCTION("""COMPUTED_VALUE"""),0.002777778)</f>
        <v>2.7777779999999998E-3</v>
      </c>
      <c r="T894" s="63" t="str">
        <f ca="1">IFERROR(__xludf.DUMMYFUNCTION("""COMPUTED_VALUE"""),"https://storage.googleapis.com/glide-prod.appspot.com/uploads-v2/ly7o78grxPaC6KdgvbpS/pub/3aRdSog0vUtuqPE8AJKD.png")</f>
        <v>https://storage.googleapis.com/glide-prod.appspot.com/uploads-v2/ly7o78grxPaC6KdgvbpS/pub/3aRdSog0vUtuqPE8AJKD.png</v>
      </c>
      <c r="U894" s="5" t="str">
        <f ca="1">IFERROR(__xludf.DUMMYFUNCTION("""COMPUTED_VALUE"""),"LINEA DE ENVASADO PET NO RETORNABLEPALETIZADORA")</f>
        <v>LINEA DE ENVASADO PET NO RETORNABLEPALETIZADORA</v>
      </c>
      <c r="V894" s="5"/>
      <c r="W894" s="5" t="b">
        <f ca="1">IFERROR(__xludf.DUMMYFUNCTION("""COMPUTED_VALUE"""),TRUE)</f>
        <v>1</v>
      </c>
      <c r="X894" s="5" t="str">
        <f ca="1">IFERROR(__xludf.DUMMYFUNCTION("""COMPUTED_VALUE"""),"wguerra@postobon.com.co,aprmttoyu@postobon.com.co,aprmyu@postobon.com.co,wmora@postobon.com.co,efzapata@postobon.com.co")</f>
        <v>wguerra@postobon.com.co,aprmttoyu@postobon.com.co,aprmyu@postobon.com.co,wmora@postobon.com.co,efzapata@postobon.com.co</v>
      </c>
      <c r="Y894" s="5" t="str">
        <f ca="1">IFERROR(__xludf.DUMMYFUNCTION("""COMPUTED_VALUE"""),"wguerra@postobon.com.co")</f>
        <v>wguerra@postobon.com.co</v>
      </c>
      <c r="Z894" s="5" t="str">
        <f ca="1">IFERROR(__xludf.DUMMYFUNCTION("""COMPUTED_VALUE"""),"zS5bSCq-TFWpgQTl3wV7SA")</f>
        <v>zS5bSCq-TFWpgQTl3wV7SA</v>
      </c>
      <c r="AA894" s="5"/>
      <c r="AB894" s="5"/>
      <c r="AC894" s="5"/>
      <c r="AD894" s="5">
        <f ca="1">IFERROR(__xludf.DUMMYFUNCTION("""COMPUTED_VALUE"""),36)</f>
        <v>36</v>
      </c>
      <c r="AE894" s="5">
        <f ca="1">IFERROR(__xludf.DUMMYFUNCTION("""COMPUTED_VALUE"""),36)</f>
        <v>36</v>
      </c>
      <c r="AF894" s="5" t="b">
        <f ca="1">IFERROR(__xludf.DUMMYFUNCTION("""COMPUTED_VALUE"""),FALSE)</f>
        <v>0</v>
      </c>
      <c r="AG894" s="5" t="str">
        <f ca="1">IFERROR(__xludf.DUMMYFUNCTION("""COMPUTED_VALUE"""),"INSPECCIONES REALIZADAS")</f>
        <v>INSPECCIONES REALIZADAS</v>
      </c>
      <c r="AH894" s="5"/>
    </row>
    <row r="895" spans="1:34">
      <c r="A895" s="5" t="str">
        <f ca="1">IFERROR(__xludf.DUMMYFUNCTION("""COMPUTED_VALUE"""),"LINEA DE ENVASADO PET NO RETORNABLE")</f>
        <v>LINEA DE ENVASADO PET NO RETORNABLE</v>
      </c>
      <c r="B895" s="5">
        <f ca="1">IFERROR(__xludf.DUMMYFUNCTION("""COMPUTED_VALUE"""),900232)</f>
        <v>900232</v>
      </c>
      <c r="C895" s="5" t="str">
        <f ca="1">IFERROR(__xludf.DUMMYFUNCTION("""COMPUTED_VALUE"""),"PALETIZADORA")</f>
        <v>PALETIZADORA</v>
      </c>
      <c r="D895" s="5">
        <f ca="1">IFERROR(__xludf.DUMMYFUNCTION("""COMPUTED_VALUE"""),13247833)</f>
        <v>13247833</v>
      </c>
      <c r="E895" s="5" t="str">
        <f ca="1">IFERROR(__xludf.DUMMYFUNCTION("""COMPUTED_VALUE"""),"INSPECCION SEMANAL PALETIZADORA")</f>
        <v>INSPECCION SEMANAL PALETIZADORA</v>
      </c>
      <c r="F895" s="5" t="str">
        <f ca="1">IFERROR(__xludf.DUMMYFUNCTION("""COMPUTED_VALUE"""),"FUNC TRANSPORTADOR MULTIDIVISOR")</f>
        <v>FUNC TRANSPORTADOR MULTIDIVISOR</v>
      </c>
      <c r="G895" s="5" t="b">
        <f ca="1">IFERROR(__xludf.DUMMYFUNCTION("""COMPUTED_VALUE"""),TRUE)</f>
        <v>1</v>
      </c>
      <c r="H895" s="5"/>
      <c r="I895" s="5"/>
      <c r="J895" s="5">
        <f ca="1">IFERROR(__xludf.DUMMYFUNCTION("""COMPUTED_VALUE"""),13247833)</f>
        <v>13247833</v>
      </c>
      <c r="K895" s="5"/>
      <c r="L895" s="18">
        <f ca="1">IFERROR(__xludf.DUMMYFUNCTION("""COMPUTED_VALUE"""),45324)</f>
        <v>45324</v>
      </c>
      <c r="M895" s="18">
        <f ca="1">IFERROR(__xludf.DUMMYFUNCTION("""COMPUTED_VALUE"""),45324)</f>
        <v>45324</v>
      </c>
      <c r="N895" s="5" t="str">
        <f ca="1">IFERROR(__xludf.DUMMYFUNCTION("""COMPUTED_VALUE"""),"Astaiza Hernandez John Eyder")</f>
        <v>Astaiza Hernandez John Eyder</v>
      </c>
      <c r="O895" s="2">
        <f ca="1">IFERROR(__xludf.DUMMYFUNCTION("""COMPUTED_VALUE"""),0.002777778)</f>
        <v>2.7777779999999998E-3</v>
      </c>
      <c r="P895" s="5">
        <f ca="1">IFERROR(__xludf.DUMMYFUNCTION("""COMPUTED_VALUE"""),20027410)</f>
        <v>20027410</v>
      </c>
      <c r="Q895" s="5" t="str">
        <f ca="1">IFERROR(__xludf.DUMMYFUNCTION("""COMPUTED_VALUE"""),"mkzAB8nKQyo")</f>
        <v>mkzAB8nKQyo</v>
      </c>
      <c r="R895" s="5">
        <f ca="1">IFERROR(__xludf.DUMMYFUNCTION("""COMPUTED_VALUE"""),410)</f>
        <v>410</v>
      </c>
      <c r="S895" s="62">
        <f ca="1">IFERROR(__xludf.DUMMYFUNCTION("""COMPUTED_VALUE"""),0.002777778)</f>
        <v>2.7777779999999998E-3</v>
      </c>
      <c r="T895" s="63" t="str">
        <f ca="1">IFERROR(__xludf.DUMMYFUNCTION("""COMPUTED_VALUE"""),"https://storage.googleapis.com/glide-prod.appspot.com/uploads-v2/ly7o78grxPaC6KdgvbpS/pub/3aRdSog0vUtuqPE8AJKD.png")</f>
        <v>https://storage.googleapis.com/glide-prod.appspot.com/uploads-v2/ly7o78grxPaC6KdgvbpS/pub/3aRdSog0vUtuqPE8AJKD.png</v>
      </c>
      <c r="U895" s="5" t="str">
        <f ca="1">IFERROR(__xludf.DUMMYFUNCTION("""COMPUTED_VALUE"""),"LINEA DE ENVASADO PET NO RETORNABLEPALETIZADORA")</f>
        <v>LINEA DE ENVASADO PET NO RETORNABLEPALETIZADORA</v>
      </c>
      <c r="V895" s="5"/>
      <c r="W895" s="5" t="b">
        <f ca="1">IFERROR(__xludf.DUMMYFUNCTION("""COMPUTED_VALUE"""),TRUE)</f>
        <v>1</v>
      </c>
      <c r="X895" s="5" t="str">
        <f ca="1">IFERROR(__xludf.DUMMYFUNCTION("""COMPUTED_VALUE"""),"wguerra@postobon.com.co,aprmttoyu@postobon.com.co,aprmyu@postobon.com.co,wmora@postobon.com.co,efzapata@postobon.com.co")</f>
        <v>wguerra@postobon.com.co,aprmttoyu@postobon.com.co,aprmyu@postobon.com.co,wmora@postobon.com.co,efzapata@postobon.com.co</v>
      </c>
      <c r="Y895" s="5" t="str">
        <f ca="1">IFERROR(__xludf.DUMMYFUNCTION("""COMPUTED_VALUE"""),"wguerra@postobon.com.co")</f>
        <v>wguerra@postobon.com.co</v>
      </c>
      <c r="Z895" s="5" t="str">
        <f ca="1">IFERROR(__xludf.DUMMYFUNCTION("""COMPUTED_VALUE"""),"azBpWhhUSr67iysKuyZVOA")</f>
        <v>azBpWhhUSr67iysKuyZVOA</v>
      </c>
      <c r="AA895" s="5"/>
      <c r="AB895" s="5"/>
      <c r="AC895" s="5"/>
      <c r="AD895" s="5">
        <f ca="1">IFERROR(__xludf.DUMMYFUNCTION("""COMPUTED_VALUE"""),36)</f>
        <v>36</v>
      </c>
      <c r="AE895" s="5">
        <f ca="1">IFERROR(__xludf.DUMMYFUNCTION("""COMPUTED_VALUE"""),36)</f>
        <v>36</v>
      </c>
      <c r="AF895" s="5" t="b">
        <f ca="1">IFERROR(__xludf.DUMMYFUNCTION("""COMPUTED_VALUE"""),FALSE)</f>
        <v>0</v>
      </c>
      <c r="AG895" s="5" t="str">
        <f ca="1">IFERROR(__xludf.DUMMYFUNCTION("""COMPUTED_VALUE"""),"INSPECCIONES REALIZADAS")</f>
        <v>INSPECCIONES REALIZADAS</v>
      </c>
      <c r="AH895" s="5"/>
    </row>
    <row r="896" spans="1:34">
      <c r="A896" s="5" t="str">
        <f ca="1">IFERROR(__xludf.DUMMYFUNCTION("""COMPUTED_VALUE"""),"LINEA DE ENVASADO PET NO RETORNABLE")</f>
        <v>LINEA DE ENVASADO PET NO RETORNABLE</v>
      </c>
      <c r="B896" s="5">
        <f ca="1">IFERROR(__xludf.DUMMYFUNCTION("""COMPUTED_VALUE"""),900232)</f>
        <v>900232</v>
      </c>
      <c r="C896" s="5" t="str">
        <f ca="1">IFERROR(__xludf.DUMMYFUNCTION("""COMPUTED_VALUE"""),"PALETIZADORA")</f>
        <v>PALETIZADORA</v>
      </c>
      <c r="D896" s="5">
        <f ca="1">IFERROR(__xludf.DUMMYFUNCTION("""COMPUTED_VALUE"""),13247833)</f>
        <v>13247833</v>
      </c>
      <c r="E896" s="5" t="str">
        <f ca="1">IFERROR(__xludf.DUMMYFUNCTION("""COMPUTED_VALUE"""),"INSPECCION SEMANAL PALETIZADORA")</f>
        <v>INSPECCION SEMANAL PALETIZADORA</v>
      </c>
      <c r="F896" s="5" t="str">
        <f ca="1">IFERROR(__xludf.DUMMYFUNCTION("""COMPUTED_VALUE"""),"TENSION CADENA MULTIDIVISOR")</f>
        <v>TENSION CADENA MULTIDIVISOR</v>
      </c>
      <c r="G896" s="5" t="b">
        <f ca="1">IFERROR(__xludf.DUMMYFUNCTION("""COMPUTED_VALUE"""),TRUE)</f>
        <v>1</v>
      </c>
      <c r="H896" s="5"/>
      <c r="I896" s="5"/>
      <c r="J896" s="5">
        <f ca="1">IFERROR(__xludf.DUMMYFUNCTION("""COMPUTED_VALUE"""),13247833)</f>
        <v>13247833</v>
      </c>
      <c r="K896" s="5"/>
      <c r="L896" s="18">
        <f ca="1">IFERROR(__xludf.DUMMYFUNCTION("""COMPUTED_VALUE"""),45324)</f>
        <v>45324</v>
      </c>
      <c r="M896" s="18">
        <f ca="1">IFERROR(__xludf.DUMMYFUNCTION("""COMPUTED_VALUE"""),45324)</f>
        <v>45324</v>
      </c>
      <c r="N896" s="5" t="str">
        <f ca="1">IFERROR(__xludf.DUMMYFUNCTION("""COMPUTED_VALUE"""),"Astaiza Hernandez John Eyder")</f>
        <v>Astaiza Hernandez John Eyder</v>
      </c>
      <c r="O896" s="2">
        <f ca="1">IFERROR(__xludf.DUMMYFUNCTION("""COMPUTED_VALUE"""),0.002777778)</f>
        <v>2.7777779999999998E-3</v>
      </c>
      <c r="P896" s="5">
        <f ca="1">IFERROR(__xludf.DUMMYFUNCTION("""COMPUTED_VALUE"""),20027410)</f>
        <v>20027410</v>
      </c>
      <c r="Q896" s="5" t="str">
        <f ca="1">IFERROR(__xludf.DUMMYFUNCTION("""COMPUTED_VALUE"""),"BbtcBfj95GY")</f>
        <v>BbtcBfj95GY</v>
      </c>
      <c r="R896" s="5">
        <f ca="1">IFERROR(__xludf.DUMMYFUNCTION("""COMPUTED_VALUE"""),410)</f>
        <v>410</v>
      </c>
      <c r="S896" s="62">
        <f ca="1">IFERROR(__xludf.DUMMYFUNCTION("""COMPUTED_VALUE"""),0.002777778)</f>
        <v>2.7777779999999998E-3</v>
      </c>
      <c r="T896" s="63" t="str">
        <f ca="1">IFERROR(__xludf.DUMMYFUNCTION("""COMPUTED_VALUE"""),"https://storage.googleapis.com/glide-prod.appspot.com/uploads-v2/ly7o78grxPaC6KdgvbpS/pub/3aRdSog0vUtuqPE8AJKD.png")</f>
        <v>https://storage.googleapis.com/glide-prod.appspot.com/uploads-v2/ly7o78grxPaC6KdgvbpS/pub/3aRdSog0vUtuqPE8AJKD.png</v>
      </c>
      <c r="U896" s="5" t="str">
        <f ca="1">IFERROR(__xludf.DUMMYFUNCTION("""COMPUTED_VALUE"""),"LINEA DE ENVASADO PET NO RETORNABLEPALETIZADORA")</f>
        <v>LINEA DE ENVASADO PET NO RETORNABLEPALETIZADORA</v>
      </c>
      <c r="V896" s="5"/>
      <c r="W896" s="5" t="b">
        <f ca="1">IFERROR(__xludf.DUMMYFUNCTION("""COMPUTED_VALUE"""),TRUE)</f>
        <v>1</v>
      </c>
      <c r="X896" s="5" t="str">
        <f ca="1">IFERROR(__xludf.DUMMYFUNCTION("""COMPUTED_VALUE"""),"wguerra@postobon.com.co,aprmttoyu@postobon.com.co,aprmyu@postobon.com.co,wmora@postobon.com.co,efzapata@postobon.com.co")</f>
        <v>wguerra@postobon.com.co,aprmttoyu@postobon.com.co,aprmyu@postobon.com.co,wmora@postobon.com.co,efzapata@postobon.com.co</v>
      </c>
      <c r="Y896" s="5" t="str">
        <f ca="1">IFERROR(__xludf.DUMMYFUNCTION("""COMPUTED_VALUE"""),"wguerra@postobon.com.co")</f>
        <v>wguerra@postobon.com.co</v>
      </c>
      <c r="Z896" s="5" t="str">
        <f ca="1">IFERROR(__xludf.DUMMYFUNCTION("""COMPUTED_VALUE"""),"EEZFJMcKRRuE2RUp-RNp5Q")</f>
        <v>EEZFJMcKRRuE2RUp-RNp5Q</v>
      </c>
      <c r="AA896" s="5"/>
      <c r="AB896" s="5"/>
      <c r="AC896" s="5"/>
      <c r="AD896" s="5">
        <f ca="1">IFERROR(__xludf.DUMMYFUNCTION("""COMPUTED_VALUE"""),36)</f>
        <v>36</v>
      </c>
      <c r="AE896" s="5">
        <f ca="1">IFERROR(__xludf.DUMMYFUNCTION("""COMPUTED_VALUE"""),36)</f>
        <v>36</v>
      </c>
      <c r="AF896" s="5" t="b">
        <f ca="1">IFERROR(__xludf.DUMMYFUNCTION("""COMPUTED_VALUE"""),FALSE)</f>
        <v>0</v>
      </c>
      <c r="AG896" s="5" t="str">
        <f ca="1">IFERROR(__xludf.DUMMYFUNCTION("""COMPUTED_VALUE"""),"INSPECCIONES REALIZADAS")</f>
        <v>INSPECCIONES REALIZADAS</v>
      </c>
      <c r="AH896" s="5"/>
    </row>
    <row r="897" spans="1:34">
      <c r="A897" s="5" t="str">
        <f ca="1">IFERROR(__xludf.DUMMYFUNCTION("""COMPUTED_VALUE"""),"LINEA DE ENVASADO PET NO RETORNABLE")</f>
        <v>LINEA DE ENVASADO PET NO RETORNABLE</v>
      </c>
      <c r="B897" s="5">
        <f ca="1">IFERROR(__xludf.DUMMYFUNCTION("""COMPUTED_VALUE"""),900232)</f>
        <v>900232</v>
      </c>
      <c r="C897" s="5" t="str">
        <f ca="1">IFERROR(__xludf.DUMMYFUNCTION("""COMPUTED_VALUE"""),"PALETIZADORA")</f>
        <v>PALETIZADORA</v>
      </c>
      <c r="D897" s="5">
        <f ca="1">IFERROR(__xludf.DUMMYFUNCTION("""COMPUTED_VALUE"""),13247833)</f>
        <v>13247833</v>
      </c>
      <c r="E897" s="5" t="str">
        <f ca="1">IFERROR(__xludf.DUMMYFUNCTION("""COMPUTED_VALUE"""),"INSPECCION SEMANAL PALETIZADORA")</f>
        <v>INSPECCION SEMANAL PALETIZADORA</v>
      </c>
      <c r="F897" s="5" t="str">
        <f ca="1">IFERROR(__xludf.DUMMYFUNCTION("""COMPUTED_VALUE"""),"FUNC CILINDROS NEUMATICOS MULTIDIVISOR")</f>
        <v>FUNC CILINDROS NEUMATICOS MULTIDIVISOR</v>
      </c>
      <c r="G897" s="5" t="b">
        <f ca="1">IFERROR(__xludf.DUMMYFUNCTION("""COMPUTED_VALUE"""),TRUE)</f>
        <v>1</v>
      </c>
      <c r="H897" s="5"/>
      <c r="I897" s="5"/>
      <c r="J897" s="5">
        <f ca="1">IFERROR(__xludf.DUMMYFUNCTION("""COMPUTED_VALUE"""),13247833)</f>
        <v>13247833</v>
      </c>
      <c r="K897" s="5"/>
      <c r="L897" s="18">
        <f ca="1">IFERROR(__xludf.DUMMYFUNCTION("""COMPUTED_VALUE"""),45324)</f>
        <v>45324</v>
      </c>
      <c r="M897" s="18">
        <f ca="1">IFERROR(__xludf.DUMMYFUNCTION("""COMPUTED_VALUE"""),45324)</f>
        <v>45324</v>
      </c>
      <c r="N897" s="5" t="str">
        <f ca="1">IFERROR(__xludf.DUMMYFUNCTION("""COMPUTED_VALUE"""),"Astaiza Hernandez John Eyder")</f>
        <v>Astaiza Hernandez John Eyder</v>
      </c>
      <c r="O897" s="2">
        <f ca="1">IFERROR(__xludf.DUMMYFUNCTION("""COMPUTED_VALUE"""),0.002777778)</f>
        <v>2.7777779999999998E-3</v>
      </c>
      <c r="P897" s="5">
        <f ca="1">IFERROR(__xludf.DUMMYFUNCTION("""COMPUTED_VALUE"""),20027410)</f>
        <v>20027410</v>
      </c>
      <c r="Q897" s="5" t="str">
        <f ca="1">IFERROR(__xludf.DUMMYFUNCTION("""COMPUTED_VALUE"""),"c6DVMbFs5bQ")</f>
        <v>c6DVMbFs5bQ</v>
      </c>
      <c r="R897" s="5">
        <f ca="1">IFERROR(__xludf.DUMMYFUNCTION("""COMPUTED_VALUE"""),410)</f>
        <v>410</v>
      </c>
      <c r="S897" s="62">
        <f ca="1">IFERROR(__xludf.DUMMYFUNCTION("""COMPUTED_VALUE"""),0.002777778)</f>
        <v>2.7777779999999998E-3</v>
      </c>
      <c r="T897" s="63" t="str">
        <f ca="1">IFERROR(__xludf.DUMMYFUNCTION("""COMPUTED_VALUE"""),"https://storage.googleapis.com/glide-prod.appspot.com/uploads-v2/ly7o78grxPaC6KdgvbpS/pub/3aRdSog0vUtuqPE8AJKD.png")</f>
        <v>https://storage.googleapis.com/glide-prod.appspot.com/uploads-v2/ly7o78grxPaC6KdgvbpS/pub/3aRdSog0vUtuqPE8AJKD.png</v>
      </c>
      <c r="U897" s="5" t="str">
        <f ca="1">IFERROR(__xludf.DUMMYFUNCTION("""COMPUTED_VALUE"""),"LINEA DE ENVASADO PET NO RETORNABLEPALETIZADORA")</f>
        <v>LINEA DE ENVASADO PET NO RETORNABLEPALETIZADORA</v>
      </c>
      <c r="V897" s="5"/>
      <c r="W897" s="5" t="b">
        <f ca="1">IFERROR(__xludf.DUMMYFUNCTION("""COMPUTED_VALUE"""),TRUE)</f>
        <v>1</v>
      </c>
      <c r="X897" s="5" t="str">
        <f ca="1">IFERROR(__xludf.DUMMYFUNCTION("""COMPUTED_VALUE"""),"wguerra@postobon.com.co,aprmttoyu@postobon.com.co,aprmyu@postobon.com.co,wmora@postobon.com.co,efzapata@postobon.com.co")</f>
        <v>wguerra@postobon.com.co,aprmttoyu@postobon.com.co,aprmyu@postobon.com.co,wmora@postobon.com.co,efzapata@postobon.com.co</v>
      </c>
      <c r="Y897" s="5" t="str">
        <f ca="1">IFERROR(__xludf.DUMMYFUNCTION("""COMPUTED_VALUE"""),"wguerra@postobon.com.co")</f>
        <v>wguerra@postobon.com.co</v>
      </c>
      <c r="Z897" s="5" t="str">
        <f ca="1">IFERROR(__xludf.DUMMYFUNCTION("""COMPUTED_VALUE"""),"EilF-mYlSLKZkU8rApdkgQ")</f>
        <v>EilF-mYlSLKZkU8rApdkgQ</v>
      </c>
      <c r="AA897" s="5"/>
      <c r="AB897" s="5"/>
      <c r="AC897" s="5"/>
      <c r="AD897" s="5">
        <f ca="1">IFERROR(__xludf.DUMMYFUNCTION("""COMPUTED_VALUE"""),36)</f>
        <v>36</v>
      </c>
      <c r="AE897" s="5">
        <f ca="1">IFERROR(__xludf.DUMMYFUNCTION("""COMPUTED_VALUE"""),36)</f>
        <v>36</v>
      </c>
      <c r="AF897" s="5" t="b">
        <f ca="1">IFERROR(__xludf.DUMMYFUNCTION("""COMPUTED_VALUE"""),FALSE)</f>
        <v>0</v>
      </c>
      <c r="AG897" s="5" t="str">
        <f ca="1">IFERROR(__xludf.DUMMYFUNCTION("""COMPUTED_VALUE"""),"INSPECCIONES REALIZADAS")</f>
        <v>INSPECCIONES REALIZADAS</v>
      </c>
      <c r="AH897" s="5"/>
    </row>
    <row r="898" spans="1:34">
      <c r="A898" s="5" t="str">
        <f ca="1">IFERROR(__xludf.DUMMYFUNCTION("""COMPUTED_VALUE"""),"LINEA DE ENVASADO PET NO RETORNABLE")</f>
        <v>LINEA DE ENVASADO PET NO RETORNABLE</v>
      </c>
      <c r="B898" s="5">
        <f ca="1">IFERROR(__xludf.DUMMYFUNCTION("""COMPUTED_VALUE"""),900232)</f>
        <v>900232</v>
      </c>
      <c r="C898" s="5" t="str">
        <f ca="1">IFERROR(__xludf.DUMMYFUNCTION("""COMPUTED_VALUE"""),"PALETIZADORA")</f>
        <v>PALETIZADORA</v>
      </c>
      <c r="D898" s="5">
        <f ca="1">IFERROR(__xludf.DUMMYFUNCTION("""COMPUTED_VALUE"""),13247833)</f>
        <v>13247833</v>
      </c>
      <c r="E898" s="5" t="str">
        <f ca="1">IFERROR(__xludf.DUMMYFUNCTION("""COMPUTED_VALUE"""),"INSPECCION SEMANAL PALETIZADORA")</f>
        <v>INSPECCION SEMANAL PALETIZADORA</v>
      </c>
      <c r="F898" s="5" t="str">
        <f ca="1">IFERROR(__xludf.DUMMYFUNCTION("""COMPUTED_VALUE"""),"TABLERO CONTROL TRANSPORTE MULTIDIVISOR")</f>
        <v>TABLERO CONTROL TRANSPORTE MULTIDIVISOR</v>
      </c>
      <c r="G898" s="5" t="b">
        <f ca="1">IFERROR(__xludf.DUMMYFUNCTION("""COMPUTED_VALUE"""),TRUE)</f>
        <v>1</v>
      </c>
      <c r="H898" s="5"/>
      <c r="I898" s="5"/>
      <c r="J898" s="5">
        <f ca="1">IFERROR(__xludf.DUMMYFUNCTION("""COMPUTED_VALUE"""),13247833)</f>
        <v>13247833</v>
      </c>
      <c r="K898" s="5"/>
      <c r="L898" s="18">
        <f ca="1">IFERROR(__xludf.DUMMYFUNCTION("""COMPUTED_VALUE"""),45324)</f>
        <v>45324</v>
      </c>
      <c r="M898" s="18">
        <f ca="1">IFERROR(__xludf.DUMMYFUNCTION("""COMPUTED_VALUE"""),45324)</f>
        <v>45324</v>
      </c>
      <c r="N898" s="5" t="str">
        <f ca="1">IFERROR(__xludf.DUMMYFUNCTION("""COMPUTED_VALUE"""),"Astaiza Hernandez John Eyder")</f>
        <v>Astaiza Hernandez John Eyder</v>
      </c>
      <c r="O898" s="2">
        <f ca="1">IFERROR(__xludf.DUMMYFUNCTION("""COMPUTED_VALUE"""),0.002777778)</f>
        <v>2.7777779999999998E-3</v>
      </c>
      <c r="P898" s="5">
        <f ca="1">IFERROR(__xludf.DUMMYFUNCTION("""COMPUTED_VALUE"""),20027410)</f>
        <v>20027410</v>
      </c>
      <c r="Q898" s="5" t="str">
        <f ca="1">IFERROR(__xludf.DUMMYFUNCTION("""COMPUTED_VALUE"""),"GuXpF93vzig")</f>
        <v>GuXpF93vzig</v>
      </c>
      <c r="R898" s="5">
        <f ca="1">IFERROR(__xludf.DUMMYFUNCTION("""COMPUTED_VALUE"""),410)</f>
        <v>410</v>
      </c>
      <c r="S898" s="62">
        <f ca="1">IFERROR(__xludf.DUMMYFUNCTION("""COMPUTED_VALUE"""),0.002777778)</f>
        <v>2.7777779999999998E-3</v>
      </c>
      <c r="T898" s="63" t="str">
        <f ca="1">IFERROR(__xludf.DUMMYFUNCTION("""COMPUTED_VALUE"""),"https://storage.googleapis.com/glide-prod.appspot.com/uploads-v2/ly7o78grxPaC6KdgvbpS/pub/3aRdSog0vUtuqPE8AJKD.png")</f>
        <v>https://storage.googleapis.com/glide-prod.appspot.com/uploads-v2/ly7o78grxPaC6KdgvbpS/pub/3aRdSog0vUtuqPE8AJKD.png</v>
      </c>
      <c r="U898" s="5" t="str">
        <f ca="1">IFERROR(__xludf.DUMMYFUNCTION("""COMPUTED_VALUE"""),"LINEA DE ENVASADO PET NO RETORNABLEPALETIZADORA")</f>
        <v>LINEA DE ENVASADO PET NO RETORNABLEPALETIZADORA</v>
      </c>
      <c r="V898" s="5"/>
      <c r="W898" s="5" t="b">
        <f ca="1">IFERROR(__xludf.DUMMYFUNCTION("""COMPUTED_VALUE"""),TRUE)</f>
        <v>1</v>
      </c>
      <c r="X898" s="5" t="str">
        <f ca="1">IFERROR(__xludf.DUMMYFUNCTION("""COMPUTED_VALUE"""),"wguerra@postobon.com.co,aprmttoyu@postobon.com.co,aprmyu@postobon.com.co,wmora@postobon.com.co,efzapata@postobon.com.co")</f>
        <v>wguerra@postobon.com.co,aprmttoyu@postobon.com.co,aprmyu@postobon.com.co,wmora@postobon.com.co,efzapata@postobon.com.co</v>
      </c>
      <c r="Y898" s="5" t="str">
        <f ca="1">IFERROR(__xludf.DUMMYFUNCTION("""COMPUTED_VALUE"""),"wguerra@postobon.com.co")</f>
        <v>wguerra@postobon.com.co</v>
      </c>
      <c r="Z898" s="5" t="str">
        <f ca="1">IFERROR(__xludf.DUMMYFUNCTION("""COMPUTED_VALUE"""),"gfzzCPEFRuigCY.B5.hKUg")</f>
        <v>gfzzCPEFRuigCY.B5.hKUg</v>
      </c>
      <c r="AA898" s="5"/>
      <c r="AB898" s="5"/>
      <c r="AC898" s="5"/>
      <c r="AD898" s="5">
        <f ca="1">IFERROR(__xludf.DUMMYFUNCTION("""COMPUTED_VALUE"""),36)</f>
        <v>36</v>
      </c>
      <c r="AE898" s="5">
        <f ca="1">IFERROR(__xludf.DUMMYFUNCTION("""COMPUTED_VALUE"""),36)</f>
        <v>36</v>
      </c>
      <c r="AF898" s="5" t="b">
        <f ca="1">IFERROR(__xludf.DUMMYFUNCTION("""COMPUTED_VALUE"""),FALSE)</f>
        <v>0</v>
      </c>
      <c r="AG898" s="5" t="str">
        <f ca="1">IFERROR(__xludf.DUMMYFUNCTION("""COMPUTED_VALUE"""),"INSPECCIONES REALIZADAS")</f>
        <v>INSPECCIONES REALIZADAS</v>
      </c>
      <c r="AH898" s="5"/>
    </row>
    <row r="899" spans="1:34">
      <c r="A899" s="5" t="str">
        <f ca="1">IFERROR(__xludf.DUMMYFUNCTION("""COMPUTED_VALUE"""),"LINEA DE ENVASADO PET NO RETORNABLE")</f>
        <v>LINEA DE ENVASADO PET NO RETORNABLE</v>
      </c>
      <c r="B899" s="5">
        <f ca="1">IFERROR(__xludf.DUMMYFUNCTION("""COMPUTED_VALUE"""),900232)</f>
        <v>900232</v>
      </c>
      <c r="C899" s="5" t="str">
        <f ca="1">IFERROR(__xludf.DUMMYFUNCTION("""COMPUTED_VALUE"""),"PALETIZADORA")</f>
        <v>PALETIZADORA</v>
      </c>
      <c r="D899" s="5">
        <f ca="1">IFERROR(__xludf.DUMMYFUNCTION("""COMPUTED_VALUE"""),13247833)</f>
        <v>13247833</v>
      </c>
      <c r="E899" s="5" t="str">
        <f ca="1">IFERROR(__xludf.DUMMYFUNCTION("""COMPUTED_VALUE"""),"INSPECCION SEMANAL PALETIZADORA")</f>
        <v>INSPECCION SEMANAL PALETIZADORA</v>
      </c>
      <c r="F899" s="5" t="str">
        <f ca="1">IFERROR(__xludf.DUMMYFUNCTION("""COMPUTED_VALUE"""),"ESTADO DE EXTERNOS GIRATORIOS")</f>
        <v>ESTADO DE EXTERNOS GIRATORIOS</v>
      </c>
      <c r="G899" s="5" t="b">
        <f ca="1">IFERROR(__xludf.DUMMYFUNCTION("""COMPUTED_VALUE"""),TRUE)</f>
        <v>1</v>
      </c>
      <c r="H899" s="5"/>
      <c r="I899" s="5"/>
      <c r="J899" s="5">
        <f ca="1">IFERROR(__xludf.DUMMYFUNCTION("""COMPUTED_VALUE"""),13247833)</f>
        <v>13247833</v>
      </c>
      <c r="K899" s="5"/>
      <c r="L899" s="18">
        <f ca="1">IFERROR(__xludf.DUMMYFUNCTION("""COMPUTED_VALUE"""),45324)</f>
        <v>45324</v>
      </c>
      <c r="M899" s="18">
        <f ca="1">IFERROR(__xludf.DUMMYFUNCTION("""COMPUTED_VALUE"""),45324)</f>
        <v>45324</v>
      </c>
      <c r="N899" s="5" t="str">
        <f ca="1">IFERROR(__xludf.DUMMYFUNCTION("""COMPUTED_VALUE"""),"Astaiza Hernandez John Eyder")</f>
        <v>Astaiza Hernandez John Eyder</v>
      </c>
      <c r="O899" s="2">
        <f ca="1">IFERROR(__xludf.DUMMYFUNCTION("""COMPUTED_VALUE"""),0.002777778)</f>
        <v>2.7777779999999998E-3</v>
      </c>
      <c r="P899" s="5">
        <f ca="1">IFERROR(__xludf.DUMMYFUNCTION("""COMPUTED_VALUE"""),20027410)</f>
        <v>20027410</v>
      </c>
      <c r="Q899" s="5" t="str">
        <f ca="1">IFERROR(__xludf.DUMMYFUNCTION("""COMPUTED_VALUE"""),"gFCX8DMMhBE")</f>
        <v>gFCX8DMMhBE</v>
      </c>
      <c r="R899" s="5">
        <f ca="1">IFERROR(__xludf.DUMMYFUNCTION("""COMPUTED_VALUE"""),410)</f>
        <v>410</v>
      </c>
      <c r="S899" s="62">
        <f ca="1">IFERROR(__xludf.DUMMYFUNCTION("""COMPUTED_VALUE"""),0.002777778)</f>
        <v>2.7777779999999998E-3</v>
      </c>
      <c r="T899" s="63" t="str">
        <f ca="1">IFERROR(__xludf.DUMMYFUNCTION("""COMPUTED_VALUE"""),"https://storage.googleapis.com/glide-prod.appspot.com/uploads-v2/ly7o78grxPaC6KdgvbpS/pub/3aRdSog0vUtuqPE8AJKD.png")</f>
        <v>https://storage.googleapis.com/glide-prod.appspot.com/uploads-v2/ly7o78grxPaC6KdgvbpS/pub/3aRdSog0vUtuqPE8AJKD.png</v>
      </c>
      <c r="U899" s="5" t="str">
        <f ca="1">IFERROR(__xludf.DUMMYFUNCTION("""COMPUTED_VALUE"""),"LINEA DE ENVASADO PET NO RETORNABLEPALETIZADORA")</f>
        <v>LINEA DE ENVASADO PET NO RETORNABLEPALETIZADORA</v>
      </c>
      <c r="V899" s="5"/>
      <c r="W899" s="5" t="b">
        <f ca="1">IFERROR(__xludf.DUMMYFUNCTION("""COMPUTED_VALUE"""),TRUE)</f>
        <v>1</v>
      </c>
      <c r="X899" s="5" t="str">
        <f ca="1">IFERROR(__xludf.DUMMYFUNCTION("""COMPUTED_VALUE"""),"wguerra@postobon.com.co,aprmttoyu@postobon.com.co,aprmyu@postobon.com.co,wmora@postobon.com.co,efzapata@postobon.com.co")</f>
        <v>wguerra@postobon.com.co,aprmttoyu@postobon.com.co,aprmyu@postobon.com.co,wmora@postobon.com.co,efzapata@postobon.com.co</v>
      </c>
      <c r="Y899" s="5" t="str">
        <f ca="1">IFERROR(__xludf.DUMMYFUNCTION("""COMPUTED_VALUE"""),"wguerra@postobon.com.co")</f>
        <v>wguerra@postobon.com.co</v>
      </c>
      <c r="Z899" s="5" t="str">
        <f ca="1">IFERROR(__xludf.DUMMYFUNCTION("""COMPUTED_VALUE"""),"F0zOcwYkRM-OyymJqfDK1g")</f>
        <v>F0zOcwYkRM-OyymJqfDK1g</v>
      </c>
      <c r="AA899" s="5"/>
      <c r="AB899" s="5"/>
      <c r="AC899" s="5"/>
      <c r="AD899" s="5">
        <f ca="1">IFERROR(__xludf.DUMMYFUNCTION("""COMPUTED_VALUE"""),36)</f>
        <v>36</v>
      </c>
      <c r="AE899" s="5">
        <f ca="1">IFERROR(__xludf.DUMMYFUNCTION("""COMPUTED_VALUE"""),36)</f>
        <v>36</v>
      </c>
      <c r="AF899" s="5" t="b">
        <f ca="1">IFERROR(__xludf.DUMMYFUNCTION("""COMPUTED_VALUE"""),FALSE)</f>
        <v>0</v>
      </c>
      <c r="AG899" s="5" t="str">
        <f ca="1">IFERROR(__xludf.DUMMYFUNCTION("""COMPUTED_VALUE"""),"INSPECCIONES REALIZADAS")</f>
        <v>INSPECCIONES REALIZADAS</v>
      </c>
      <c r="AH899" s="5"/>
    </row>
    <row r="900" spans="1:34">
      <c r="A900" s="5" t="str">
        <f ca="1">IFERROR(__xludf.DUMMYFUNCTION("""COMPUTED_VALUE"""),"LINEA DE ENVASADO PET NO RETORNABLE")</f>
        <v>LINEA DE ENVASADO PET NO RETORNABLE</v>
      </c>
      <c r="B900" s="5">
        <f ca="1">IFERROR(__xludf.DUMMYFUNCTION("""COMPUTED_VALUE"""),900232)</f>
        <v>900232</v>
      </c>
      <c r="C900" s="5" t="str">
        <f ca="1">IFERROR(__xludf.DUMMYFUNCTION("""COMPUTED_VALUE"""),"PALETIZADORA")</f>
        <v>PALETIZADORA</v>
      </c>
      <c r="D900" s="5">
        <f ca="1">IFERROR(__xludf.DUMMYFUNCTION("""COMPUTED_VALUE"""),13247833)</f>
        <v>13247833</v>
      </c>
      <c r="E900" s="5" t="str">
        <f ca="1">IFERROR(__xludf.DUMMYFUNCTION("""COMPUTED_VALUE"""),"INSPECCION SEMANAL PALETIZADORA")</f>
        <v>INSPECCION SEMANAL PALETIZADORA</v>
      </c>
      <c r="F900" s="5" t="str">
        <f ca="1">IFERROR(__xludf.DUMMYFUNCTION("""COMPUTED_VALUE"""),"ESTADO DE BANDA VÍAS 1 Y 2 PRE AGRUPACIÓN")</f>
        <v>ESTADO DE BANDA VÍAS 1 Y 2 PRE AGRUPACIÓN</v>
      </c>
      <c r="G900" s="5" t="b">
        <f ca="1">IFERROR(__xludf.DUMMYFUNCTION("""COMPUTED_VALUE"""),TRUE)</f>
        <v>1</v>
      </c>
      <c r="H900" s="5"/>
      <c r="I900" s="5"/>
      <c r="J900" s="5">
        <f ca="1">IFERROR(__xludf.DUMMYFUNCTION("""COMPUTED_VALUE"""),13247833)</f>
        <v>13247833</v>
      </c>
      <c r="K900" s="5"/>
      <c r="L900" s="18">
        <f ca="1">IFERROR(__xludf.DUMMYFUNCTION("""COMPUTED_VALUE"""),45324)</f>
        <v>45324</v>
      </c>
      <c r="M900" s="18">
        <f ca="1">IFERROR(__xludf.DUMMYFUNCTION("""COMPUTED_VALUE"""),45324)</f>
        <v>45324</v>
      </c>
      <c r="N900" s="5" t="str">
        <f ca="1">IFERROR(__xludf.DUMMYFUNCTION("""COMPUTED_VALUE"""),"Astaiza Hernandez John Eyder")</f>
        <v>Astaiza Hernandez John Eyder</v>
      </c>
      <c r="O900" s="2">
        <f ca="1">IFERROR(__xludf.DUMMYFUNCTION("""COMPUTED_VALUE"""),0.002777778)</f>
        <v>2.7777779999999998E-3</v>
      </c>
      <c r="P900" s="5">
        <f ca="1">IFERROR(__xludf.DUMMYFUNCTION("""COMPUTED_VALUE"""),20027410)</f>
        <v>20027410</v>
      </c>
      <c r="Q900" s="5" t="str">
        <f ca="1">IFERROR(__xludf.DUMMYFUNCTION("""COMPUTED_VALUE"""),"o7NqM-cEvp0")</f>
        <v>o7NqM-cEvp0</v>
      </c>
      <c r="R900" s="5">
        <f ca="1">IFERROR(__xludf.DUMMYFUNCTION("""COMPUTED_VALUE"""),410)</f>
        <v>410</v>
      </c>
      <c r="S900" s="62">
        <f ca="1">IFERROR(__xludf.DUMMYFUNCTION("""COMPUTED_VALUE"""),0.002777778)</f>
        <v>2.7777779999999998E-3</v>
      </c>
      <c r="T900" s="63" t="str">
        <f ca="1">IFERROR(__xludf.DUMMYFUNCTION("""COMPUTED_VALUE"""),"https://storage.googleapis.com/glide-prod.appspot.com/uploads-v2/ly7o78grxPaC6KdgvbpS/pub/3aRdSog0vUtuqPE8AJKD.png")</f>
        <v>https://storage.googleapis.com/glide-prod.appspot.com/uploads-v2/ly7o78grxPaC6KdgvbpS/pub/3aRdSog0vUtuqPE8AJKD.png</v>
      </c>
      <c r="U900" s="5" t="str">
        <f ca="1">IFERROR(__xludf.DUMMYFUNCTION("""COMPUTED_VALUE"""),"LINEA DE ENVASADO PET NO RETORNABLEPALETIZADORA")</f>
        <v>LINEA DE ENVASADO PET NO RETORNABLEPALETIZADORA</v>
      </c>
      <c r="V900" s="5"/>
      <c r="W900" s="5" t="b">
        <f ca="1">IFERROR(__xludf.DUMMYFUNCTION("""COMPUTED_VALUE"""),TRUE)</f>
        <v>1</v>
      </c>
      <c r="X900" s="5" t="str">
        <f ca="1">IFERROR(__xludf.DUMMYFUNCTION("""COMPUTED_VALUE"""),"wguerra@postobon.com.co,aprmttoyu@postobon.com.co,aprmyu@postobon.com.co,wmora@postobon.com.co,efzapata@postobon.com.co")</f>
        <v>wguerra@postobon.com.co,aprmttoyu@postobon.com.co,aprmyu@postobon.com.co,wmora@postobon.com.co,efzapata@postobon.com.co</v>
      </c>
      <c r="Y900" s="5" t="str">
        <f ca="1">IFERROR(__xludf.DUMMYFUNCTION("""COMPUTED_VALUE"""),"wguerra@postobon.com.co")</f>
        <v>wguerra@postobon.com.co</v>
      </c>
      <c r="Z900" s="5" t="str">
        <f ca="1">IFERROR(__xludf.DUMMYFUNCTION("""COMPUTED_VALUE"""),"5oqiODSZTX25MMUKpy3gjA")</f>
        <v>5oqiODSZTX25MMUKpy3gjA</v>
      </c>
      <c r="AA900" s="5"/>
      <c r="AB900" s="5"/>
      <c r="AC900" s="5"/>
      <c r="AD900" s="5">
        <f ca="1">IFERROR(__xludf.DUMMYFUNCTION("""COMPUTED_VALUE"""),36)</f>
        <v>36</v>
      </c>
      <c r="AE900" s="5">
        <f ca="1">IFERROR(__xludf.DUMMYFUNCTION("""COMPUTED_VALUE"""),36)</f>
        <v>36</v>
      </c>
      <c r="AF900" s="5" t="b">
        <f ca="1">IFERROR(__xludf.DUMMYFUNCTION("""COMPUTED_VALUE"""),FALSE)</f>
        <v>0</v>
      </c>
      <c r="AG900" s="5" t="str">
        <f ca="1">IFERROR(__xludf.DUMMYFUNCTION("""COMPUTED_VALUE"""),"INSPECCIONES REALIZADAS")</f>
        <v>INSPECCIONES REALIZADAS</v>
      </c>
      <c r="AH900" s="5"/>
    </row>
    <row r="901" spans="1:34">
      <c r="A901" s="5" t="str">
        <f ca="1">IFERROR(__xludf.DUMMYFUNCTION("""COMPUTED_VALUE"""),"LINEA DE ENVASADO PET NO RETORNABLE")</f>
        <v>LINEA DE ENVASADO PET NO RETORNABLE</v>
      </c>
      <c r="B901" s="5">
        <f ca="1">IFERROR(__xludf.DUMMYFUNCTION("""COMPUTED_VALUE"""),900232)</f>
        <v>900232</v>
      </c>
      <c r="C901" s="5" t="str">
        <f ca="1">IFERROR(__xludf.DUMMYFUNCTION("""COMPUTED_VALUE"""),"PALETIZADORA")</f>
        <v>PALETIZADORA</v>
      </c>
      <c r="D901" s="5">
        <f ca="1">IFERROR(__xludf.DUMMYFUNCTION("""COMPUTED_VALUE"""),13247833)</f>
        <v>13247833</v>
      </c>
      <c r="E901" s="5" t="str">
        <f ca="1">IFERROR(__xludf.DUMMYFUNCTION("""COMPUTED_VALUE"""),"INSPECCION SEMANAL PALETIZADORA")</f>
        <v>INSPECCION SEMANAL PALETIZADORA</v>
      </c>
      <c r="F901" s="5" t="str">
        <f ca="1">IFERROR(__xludf.DUMMYFUNCTION("""COMPUTED_VALUE"""),"ESTADO DE RODILLOS VÍA 1 Y VÍA 2")</f>
        <v>ESTADO DE RODILLOS VÍA 1 Y VÍA 2</v>
      </c>
      <c r="G901" s="5" t="b">
        <f ca="1">IFERROR(__xludf.DUMMYFUNCTION("""COMPUTED_VALUE"""),TRUE)</f>
        <v>1</v>
      </c>
      <c r="H901" s="5"/>
      <c r="I901" s="5"/>
      <c r="J901" s="5">
        <f ca="1">IFERROR(__xludf.DUMMYFUNCTION("""COMPUTED_VALUE"""),13247833)</f>
        <v>13247833</v>
      </c>
      <c r="K901" s="5"/>
      <c r="L901" s="18">
        <f ca="1">IFERROR(__xludf.DUMMYFUNCTION("""COMPUTED_VALUE"""),45324)</f>
        <v>45324</v>
      </c>
      <c r="M901" s="18">
        <f ca="1">IFERROR(__xludf.DUMMYFUNCTION("""COMPUTED_VALUE"""),45324)</f>
        <v>45324</v>
      </c>
      <c r="N901" s="5" t="str">
        <f ca="1">IFERROR(__xludf.DUMMYFUNCTION("""COMPUTED_VALUE"""),"Astaiza Hernandez John Eyder")</f>
        <v>Astaiza Hernandez John Eyder</v>
      </c>
      <c r="O901" s="2">
        <f ca="1">IFERROR(__xludf.DUMMYFUNCTION("""COMPUTED_VALUE"""),0.002777778)</f>
        <v>2.7777779999999998E-3</v>
      </c>
      <c r="P901" s="5">
        <f ca="1">IFERROR(__xludf.DUMMYFUNCTION("""COMPUTED_VALUE"""),20027410)</f>
        <v>20027410</v>
      </c>
      <c r="Q901" s="5" t="str">
        <f ca="1">IFERROR(__xludf.DUMMYFUNCTION("""COMPUTED_VALUE"""),"8yvKVQ7ZBoo")</f>
        <v>8yvKVQ7ZBoo</v>
      </c>
      <c r="R901" s="5">
        <f ca="1">IFERROR(__xludf.DUMMYFUNCTION("""COMPUTED_VALUE"""),410)</f>
        <v>410</v>
      </c>
      <c r="S901" s="62">
        <f ca="1">IFERROR(__xludf.DUMMYFUNCTION("""COMPUTED_VALUE"""),0.002777778)</f>
        <v>2.7777779999999998E-3</v>
      </c>
      <c r="T901" s="63" t="str">
        <f ca="1">IFERROR(__xludf.DUMMYFUNCTION("""COMPUTED_VALUE"""),"https://storage.googleapis.com/glide-prod.appspot.com/uploads-v2/ly7o78grxPaC6KdgvbpS/pub/3aRdSog0vUtuqPE8AJKD.png")</f>
        <v>https://storage.googleapis.com/glide-prod.appspot.com/uploads-v2/ly7o78grxPaC6KdgvbpS/pub/3aRdSog0vUtuqPE8AJKD.png</v>
      </c>
      <c r="U901" s="5" t="str">
        <f ca="1">IFERROR(__xludf.DUMMYFUNCTION("""COMPUTED_VALUE"""),"LINEA DE ENVASADO PET NO RETORNABLEPALETIZADORA")</f>
        <v>LINEA DE ENVASADO PET NO RETORNABLEPALETIZADORA</v>
      </c>
      <c r="V901" s="5"/>
      <c r="W901" s="5" t="b">
        <f ca="1">IFERROR(__xludf.DUMMYFUNCTION("""COMPUTED_VALUE"""),TRUE)</f>
        <v>1</v>
      </c>
      <c r="X901" s="5" t="str">
        <f ca="1">IFERROR(__xludf.DUMMYFUNCTION("""COMPUTED_VALUE"""),"wguerra@postobon.com.co,aprmttoyu@postobon.com.co,aprmyu@postobon.com.co,wmora@postobon.com.co,efzapata@postobon.com.co")</f>
        <v>wguerra@postobon.com.co,aprmttoyu@postobon.com.co,aprmyu@postobon.com.co,wmora@postobon.com.co,efzapata@postobon.com.co</v>
      </c>
      <c r="Y901" s="5" t="str">
        <f ca="1">IFERROR(__xludf.DUMMYFUNCTION("""COMPUTED_VALUE"""),"wguerra@postobon.com.co")</f>
        <v>wguerra@postobon.com.co</v>
      </c>
      <c r="Z901" s="5" t="str">
        <f ca="1">IFERROR(__xludf.DUMMYFUNCTION("""COMPUTED_VALUE"""),"tsi6a.5mRemlfjeYhIMFgA")</f>
        <v>tsi6a.5mRemlfjeYhIMFgA</v>
      </c>
      <c r="AA901" s="5"/>
      <c r="AB901" s="5"/>
      <c r="AC901" s="5"/>
      <c r="AD901" s="5">
        <f ca="1">IFERROR(__xludf.DUMMYFUNCTION("""COMPUTED_VALUE"""),36)</f>
        <v>36</v>
      </c>
      <c r="AE901" s="5">
        <f ca="1">IFERROR(__xludf.DUMMYFUNCTION("""COMPUTED_VALUE"""),36)</f>
        <v>36</v>
      </c>
      <c r="AF901" s="5" t="b">
        <f ca="1">IFERROR(__xludf.DUMMYFUNCTION("""COMPUTED_VALUE"""),FALSE)</f>
        <v>0</v>
      </c>
      <c r="AG901" s="5" t="str">
        <f ca="1">IFERROR(__xludf.DUMMYFUNCTION("""COMPUTED_VALUE"""),"INSPECCIONES REALIZADAS")</f>
        <v>INSPECCIONES REALIZADAS</v>
      </c>
      <c r="AH901" s="5"/>
    </row>
    <row r="902" spans="1:34">
      <c r="A902" s="5" t="str">
        <f ca="1">IFERROR(__xludf.DUMMYFUNCTION("""COMPUTED_VALUE"""),"LINEA DE ENVASADO PET NO RETORNABLE")</f>
        <v>LINEA DE ENVASADO PET NO RETORNABLE</v>
      </c>
      <c r="B902" s="5">
        <f ca="1">IFERROR(__xludf.DUMMYFUNCTION("""COMPUTED_VALUE"""),900232)</f>
        <v>900232</v>
      </c>
      <c r="C902" s="5" t="str">
        <f ca="1">IFERROR(__xludf.DUMMYFUNCTION("""COMPUTED_VALUE"""),"PALETIZADORA")</f>
        <v>PALETIZADORA</v>
      </c>
      <c r="D902" s="5">
        <f ca="1">IFERROR(__xludf.DUMMYFUNCTION("""COMPUTED_VALUE"""),13247833)</f>
        <v>13247833</v>
      </c>
      <c r="E902" s="5" t="str">
        <f ca="1">IFERROR(__xludf.DUMMYFUNCTION("""COMPUTED_VALUE"""),"INSPECCION SEMANAL PALETIZADORA")</f>
        <v>INSPECCION SEMANAL PALETIZADORA</v>
      </c>
      <c r="F902" s="5" t="str">
        <f ca="1">IFERROR(__xludf.DUMMYFUNCTION("""COMPUTED_VALUE"""),"ESTADO DE SEPARADORES DE PAQUETES")</f>
        <v>ESTADO DE SEPARADORES DE PAQUETES</v>
      </c>
      <c r="G902" s="5" t="b">
        <f ca="1">IFERROR(__xludf.DUMMYFUNCTION("""COMPUTED_VALUE"""),TRUE)</f>
        <v>1</v>
      </c>
      <c r="H902" s="5"/>
      <c r="I902" s="5"/>
      <c r="J902" s="5">
        <f ca="1">IFERROR(__xludf.DUMMYFUNCTION("""COMPUTED_VALUE"""),13247833)</f>
        <v>13247833</v>
      </c>
      <c r="K902" s="5"/>
      <c r="L902" s="18">
        <f ca="1">IFERROR(__xludf.DUMMYFUNCTION("""COMPUTED_VALUE"""),45324)</f>
        <v>45324</v>
      </c>
      <c r="M902" s="18">
        <f ca="1">IFERROR(__xludf.DUMMYFUNCTION("""COMPUTED_VALUE"""),45324)</f>
        <v>45324</v>
      </c>
      <c r="N902" s="5" t="str">
        <f ca="1">IFERROR(__xludf.DUMMYFUNCTION("""COMPUTED_VALUE"""),"Astaiza Hernandez John Eyder")</f>
        <v>Astaiza Hernandez John Eyder</v>
      </c>
      <c r="O902" s="2">
        <f ca="1">IFERROR(__xludf.DUMMYFUNCTION("""COMPUTED_VALUE"""),0.002777778)</f>
        <v>2.7777779999999998E-3</v>
      </c>
      <c r="P902" s="5">
        <f ca="1">IFERROR(__xludf.DUMMYFUNCTION("""COMPUTED_VALUE"""),20027410)</f>
        <v>20027410</v>
      </c>
      <c r="Q902" s="5" t="str">
        <f ca="1">IFERROR(__xludf.DUMMYFUNCTION("""COMPUTED_VALUE"""),"ijWesfNxOmY")</f>
        <v>ijWesfNxOmY</v>
      </c>
      <c r="R902" s="5">
        <f ca="1">IFERROR(__xludf.DUMMYFUNCTION("""COMPUTED_VALUE"""),410)</f>
        <v>410</v>
      </c>
      <c r="S902" s="62">
        <f ca="1">IFERROR(__xludf.DUMMYFUNCTION("""COMPUTED_VALUE"""),0.002777778)</f>
        <v>2.7777779999999998E-3</v>
      </c>
      <c r="T902" s="63" t="str">
        <f ca="1">IFERROR(__xludf.DUMMYFUNCTION("""COMPUTED_VALUE"""),"https://storage.googleapis.com/glide-prod.appspot.com/uploads-v2/ly7o78grxPaC6KdgvbpS/pub/3aRdSog0vUtuqPE8AJKD.png")</f>
        <v>https://storage.googleapis.com/glide-prod.appspot.com/uploads-v2/ly7o78grxPaC6KdgvbpS/pub/3aRdSog0vUtuqPE8AJKD.png</v>
      </c>
      <c r="U902" s="5" t="str">
        <f ca="1">IFERROR(__xludf.DUMMYFUNCTION("""COMPUTED_VALUE"""),"LINEA DE ENVASADO PET NO RETORNABLEPALETIZADORA")</f>
        <v>LINEA DE ENVASADO PET NO RETORNABLEPALETIZADORA</v>
      </c>
      <c r="V902" s="5"/>
      <c r="W902" s="5" t="b">
        <f ca="1">IFERROR(__xludf.DUMMYFUNCTION("""COMPUTED_VALUE"""),TRUE)</f>
        <v>1</v>
      </c>
      <c r="X902" s="5" t="str">
        <f ca="1">IFERROR(__xludf.DUMMYFUNCTION("""COMPUTED_VALUE"""),"wguerra@postobon.com.co,aprmttoyu@postobon.com.co,aprmyu@postobon.com.co,wmora@postobon.com.co,efzapata@postobon.com.co")</f>
        <v>wguerra@postobon.com.co,aprmttoyu@postobon.com.co,aprmyu@postobon.com.co,wmora@postobon.com.co,efzapata@postobon.com.co</v>
      </c>
      <c r="Y902" s="5" t="str">
        <f ca="1">IFERROR(__xludf.DUMMYFUNCTION("""COMPUTED_VALUE"""),"wguerra@postobon.com.co")</f>
        <v>wguerra@postobon.com.co</v>
      </c>
      <c r="Z902" s="5" t="str">
        <f ca="1">IFERROR(__xludf.DUMMYFUNCTION("""COMPUTED_VALUE"""),"6xcTMBUtQIefDFKAP.mBLg")</f>
        <v>6xcTMBUtQIefDFKAP.mBLg</v>
      </c>
      <c r="AA902" s="5"/>
      <c r="AB902" s="5"/>
      <c r="AC902" s="5"/>
      <c r="AD902" s="5">
        <f ca="1">IFERROR(__xludf.DUMMYFUNCTION("""COMPUTED_VALUE"""),36)</f>
        <v>36</v>
      </c>
      <c r="AE902" s="5">
        <f ca="1">IFERROR(__xludf.DUMMYFUNCTION("""COMPUTED_VALUE"""),36)</f>
        <v>36</v>
      </c>
      <c r="AF902" s="5" t="b">
        <f ca="1">IFERROR(__xludf.DUMMYFUNCTION("""COMPUTED_VALUE"""),FALSE)</f>
        <v>0</v>
      </c>
      <c r="AG902" s="5" t="str">
        <f ca="1">IFERROR(__xludf.DUMMYFUNCTION("""COMPUTED_VALUE"""),"INSPECCIONES REALIZADAS")</f>
        <v>INSPECCIONES REALIZADAS</v>
      </c>
      <c r="AH902" s="5"/>
    </row>
    <row r="903" spans="1:34">
      <c r="A903" s="5" t="str">
        <f ca="1">IFERROR(__xludf.DUMMYFUNCTION("""COMPUTED_VALUE"""),"LINEA DE ENVASADO PET NO RETORNABLE")</f>
        <v>LINEA DE ENVASADO PET NO RETORNABLE</v>
      </c>
      <c r="B903" s="5">
        <f ca="1">IFERROR(__xludf.DUMMYFUNCTION("""COMPUTED_VALUE"""),900232)</f>
        <v>900232</v>
      </c>
      <c r="C903" s="5" t="str">
        <f ca="1">IFERROR(__xludf.DUMMYFUNCTION("""COMPUTED_VALUE"""),"PALETIZADORA")</f>
        <v>PALETIZADORA</v>
      </c>
      <c r="D903" s="5">
        <f ca="1">IFERROR(__xludf.DUMMYFUNCTION("""COMPUTED_VALUE"""),13247833)</f>
        <v>13247833</v>
      </c>
      <c r="E903" s="5" t="str">
        <f ca="1">IFERROR(__xludf.DUMMYFUNCTION("""COMPUTED_VALUE"""),"INSPECCION SEMANAL PALETIZADORA")</f>
        <v>INSPECCION SEMANAL PALETIZADORA</v>
      </c>
      <c r="F903" s="5" t="str">
        <f ca="1">IFERROR(__xludf.DUMMYFUNCTION("""COMPUTED_VALUE"""),"INSPECCIÓN LUBRICACIÓN MULTIDIVISOR")</f>
        <v>INSPECCIÓN LUBRICACIÓN MULTIDIVISOR</v>
      </c>
      <c r="G903" s="5" t="b">
        <f ca="1">IFERROR(__xludf.DUMMYFUNCTION("""COMPUTED_VALUE"""),TRUE)</f>
        <v>1</v>
      </c>
      <c r="H903" s="5"/>
      <c r="I903" s="5"/>
      <c r="J903" s="5">
        <f ca="1">IFERROR(__xludf.DUMMYFUNCTION("""COMPUTED_VALUE"""),13247833)</f>
        <v>13247833</v>
      </c>
      <c r="K903" s="5"/>
      <c r="L903" s="18">
        <f ca="1">IFERROR(__xludf.DUMMYFUNCTION("""COMPUTED_VALUE"""),45324)</f>
        <v>45324</v>
      </c>
      <c r="M903" s="18">
        <f ca="1">IFERROR(__xludf.DUMMYFUNCTION("""COMPUTED_VALUE"""),45324)</f>
        <v>45324</v>
      </c>
      <c r="N903" s="5" t="str">
        <f ca="1">IFERROR(__xludf.DUMMYFUNCTION("""COMPUTED_VALUE"""),"Astaiza Hernandez John Eyder")</f>
        <v>Astaiza Hernandez John Eyder</v>
      </c>
      <c r="O903" s="2">
        <f ca="1">IFERROR(__xludf.DUMMYFUNCTION("""COMPUTED_VALUE"""),0.002777778)</f>
        <v>2.7777779999999998E-3</v>
      </c>
      <c r="P903" s="5">
        <f ca="1">IFERROR(__xludf.DUMMYFUNCTION("""COMPUTED_VALUE"""),20027410)</f>
        <v>20027410</v>
      </c>
      <c r="Q903" s="5" t="str">
        <f ca="1">IFERROR(__xludf.DUMMYFUNCTION("""COMPUTED_VALUE"""),"aRtH9etp-mg")</f>
        <v>aRtH9etp-mg</v>
      </c>
      <c r="R903" s="5">
        <f ca="1">IFERROR(__xludf.DUMMYFUNCTION("""COMPUTED_VALUE"""),410)</f>
        <v>410</v>
      </c>
      <c r="S903" s="62">
        <f ca="1">IFERROR(__xludf.DUMMYFUNCTION("""COMPUTED_VALUE"""),0.002777778)</f>
        <v>2.7777779999999998E-3</v>
      </c>
      <c r="T903" s="63" t="str">
        <f ca="1">IFERROR(__xludf.DUMMYFUNCTION("""COMPUTED_VALUE"""),"https://storage.googleapis.com/glide-prod.appspot.com/uploads-v2/ly7o78grxPaC6KdgvbpS/pub/3aRdSog0vUtuqPE8AJKD.png")</f>
        <v>https://storage.googleapis.com/glide-prod.appspot.com/uploads-v2/ly7o78grxPaC6KdgvbpS/pub/3aRdSog0vUtuqPE8AJKD.png</v>
      </c>
      <c r="U903" s="5" t="str">
        <f ca="1">IFERROR(__xludf.DUMMYFUNCTION("""COMPUTED_VALUE"""),"LINEA DE ENVASADO PET NO RETORNABLEPALETIZADORA")</f>
        <v>LINEA DE ENVASADO PET NO RETORNABLEPALETIZADORA</v>
      </c>
      <c r="V903" s="5"/>
      <c r="W903" s="5" t="b">
        <f ca="1">IFERROR(__xludf.DUMMYFUNCTION("""COMPUTED_VALUE"""),TRUE)</f>
        <v>1</v>
      </c>
      <c r="X903" s="5" t="str">
        <f ca="1">IFERROR(__xludf.DUMMYFUNCTION("""COMPUTED_VALUE"""),"wguerra@postobon.com.co,aprmttoyu@postobon.com.co,aprmyu@postobon.com.co,wmora@postobon.com.co,efzapata@postobon.com.co")</f>
        <v>wguerra@postobon.com.co,aprmttoyu@postobon.com.co,aprmyu@postobon.com.co,wmora@postobon.com.co,efzapata@postobon.com.co</v>
      </c>
      <c r="Y903" s="5" t="str">
        <f ca="1">IFERROR(__xludf.DUMMYFUNCTION("""COMPUTED_VALUE"""),"wguerra@postobon.com.co")</f>
        <v>wguerra@postobon.com.co</v>
      </c>
      <c r="Z903" s="5" t="str">
        <f ca="1">IFERROR(__xludf.DUMMYFUNCTION("""COMPUTED_VALUE"""),"1BbRuPKqTIaokh7mpIO6oA")</f>
        <v>1BbRuPKqTIaokh7mpIO6oA</v>
      </c>
      <c r="AA903" s="5"/>
      <c r="AB903" s="5"/>
      <c r="AC903" s="5"/>
      <c r="AD903" s="5">
        <f ca="1">IFERROR(__xludf.DUMMYFUNCTION("""COMPUTED_VALUE"""),36)</f>
        <v>36</v>
      </c>
      <c r="AE903" s="5">
        <f ca="1">IFERROR(__xludf.DUMMYFUNCTION("""COMPUTED_VALUE"""),36)</f>
        <v>36</v>
      </c>
      <c r="AF903" s="5" t="b">
        <f ca="1">IFERROR(__xludf.DUMMYFUNCTION("""COMPUTED_VALUE"""),FALSE)</f>
        <v>0</v>
      </c>
      <c r="AG903" s="5" t="str">
        <f ca="1">IFERROR(__xludf.DUMMYFUNCTION("""COMPUTED_VALUE"""),"INSPECCIONES REALIZADAS")</f>
        <v>INSPECCIONES REALIZADAS</v>
      </c>
      <c r="AH903" s="5"/>
    </row>
    <row r="904" spans="1:34">
      <c r="A904" s="5" t="str">
        <f ca="1">IFERROR(__xludf.DUMMYFUNCTION("""COMPUTED_VALUE"""),"LINEA DE ENVASADO PET NO RETORNABLE")</f>
        <v>LINEA DE ENVASADO PET NO RETORNABLE</v>
      </c>
      <c r="B904" s="5">
        <f ca="1">IFERROR(__xludf.DUMMYFUNCTION("""COMPUTED_VALUE"""),900232)</f>
        <v>900232</v>
      </c>
      <c r="C904" s="5" t="str">
        <f ca="1">IFERROR(__xludf.DUMMYFUNCTION("""COMPUTED_VALUE"""),"PALETIZADORA")</f>
        <v>PALETIZADORA</v>
      </c>
      <c r="D904" s="5">
        <f ca="1">IFERROR(__xludf.DUMMYFUNCTION("""COMPUTED_VALUE"""),13247833)</f>
        <v>13247833</v>
      </c>
      <c r="E904" s="5" t="str">
        <f ca="1">IFERROR(__xludf.DUMMYFUNCTION("""COMPUTED_VALUE"""),"INSPECCION SEMANAL PALETIZADORA")</f>
        <v>INSPECCION SEMANAL PALETIZADORA</v>
      </c>
      <c r="F904" s="5" t="str">
        <f ca="1">IFERROR(__xludf.DUMMYFUNCTION("""COMPUTED_VALUE"""),"ESTADO ARAÑA SEPARADOR DE CARTÓN")</f>
        <v>ESTADO ARAÑA SEPARADOR DE CARTÓN</v>
      </c>
      <c r="G904" s="5" t="b">
        <f ca="1">IFERROR(__xludf.DUMMYFUNCTION("""COMPUTED_VALUE"""),TRUE)</f>
        <v>1</v>
      </c>
      <c r="H904" s="5"/>
      <c r="I904" s="5"/>
      <c r="J904" s="5">
        <f ca="1">IFERROR(__xludf.DUMMYFUNCTION("""COMPUTED_VALUE"""),13247833)</f>
        <v>13247833</v>
      </c>
      <c r="K904" s="5"/>
      <c r="L904" s="18">
        <f ca="1">IFERROR(__xludf.DUMMYFUNCTION("""COMPUTED_VALUE"""),45324)</f>
        <v>45324</v>
      </c>
      <c r="M904" s="18">
        <f ca="1">IFERROR(__xludf.DUMMYFUNCTION("""COMPUTED_VALUE"""),45324)</f>
        <v>45324</v>
      </c>
      <c r="N904" s="5" t="str">
        <f ca="1">IFERROR(__xludf.DUMMYFUNCTION("""COMPUTED_VALUE"""),"Astaiza Hernandez John Eyder")</f>
        <v>Astaiza Hernandez John Eyder</v>
      </c>
      <c r="O904" s="2">
        <f ca="1">IFERROR(__xludf.DUMMYFUNCTION("""COMPUTED_VALUE"""),0.002777778)</f>
        <v>2.7777779999999998E-3</v>
      </c>
      <c r="P904" s="5">
        <f ca="1">IFERROR(__xludf.DUMMYFUNCTION("""COMPUTED_VALUE"""),20027410)</f>
        <v>20027410</v>
      </c>
      <c r="Q904" s="5" t="str">
        <f ca="1">IFERROR(__xludf.DUMMYFUNCTION("""COMPUTED_VALUE"""),"15-YywEZB5I")</f>
        <v>15-YywEZB5I</v>
      </c>
      <c r="R904" s="5">
        <f ca="1">IFERROR(__xludf.DUMMYFUNCTION("""COMPUTED_VALUE"""),410)</f>
        <v>410</v>
      </c>
      <c r="S904" s="62">
        <f ca="1">IFERROR(__xludf.DUMMYFUNCTION("""COMPUTED_VALUE"""),0.002777778)</f>
        <v>2.7777779999999998E-3</v>
      </c>
      <c r="T904" s="63" t="str">
        <f ca="1">IFERROR(__xludf.DUMMYFUNCTION("""COMPUTED_VALUE"""),"https://storage.googleapis.com/glide-prod.appspot.com/uploads-v2/ly7o78grxPaC6KdgvbpS/pub/3aRdSog0vUtuqPE8AJKD.png")</f>
        <v>https://storage.googleapis.com/glide-prod.appspot.com/uploads-v2/ly7o78grxPaC6KdgvbpS/pub/3aRdSog0vUtuqPE8AJKD.png</v>
      </c>
      <c r="U904" s="5" t="str">
        <f ca="1">IFERROR(__xludf.DUMMYFUNCTION("""COMPUTED_VALUE"""),"LINEA DE ENVASADO PET NO RETORNABLEPALETIZADORA")</f>
        <v>LINEA DE ENVASADO PET NO RETORNABLEPALETIZADORA</v>
      </c>
      <c r="V904" s="5"/>
      <c r="W904" s="5" t="b">
        <f ca="1">IFERROR(__xludf.DUMMYFUNCTION("""COMPUTED_VALUE"""),TRUE)</f>
        <v>1</v>
      </c>
      <c r="X904" s="5" t="str">
        <f ca="1">IFERROR(__xludf.DUMMYFUNCTION("""COMPUTED_VALUE"""),"wguerra@postobon.com.co,aprmttoyu@postobon.com.co,aprmyu@postobon.com.co,wmora@postobon.com.co,efzapata@postobon.com.co")</f>
        <v>wguerra@postobon.com.co,aprmttoyu@postobon.com.co,aprmyu@postobon.com.co,wmora@postobon.com.co,efzapata@postobon.com.co</v>
      </c>
      <c r="Y904" s="5" t="str">
        <f ca="1">IFERROR(__xludf.DUMMYFUNCTION("""COMPUTED_VALUE"""),"wguerra@postobon.com.co")</f>
        <v>wguerra@postobon.com.co</v>
      </c>
      <c r="Z904" s="5" t="str">
        <f ca="1">IFERROR(__xludf.DUMMYFUNCTION("""COMPUTED_VALUE"""),"4RLvAqx8T9qSS.0eOU66pg")</f>
        <v>4RLvAqx8T9qSS.0eOU66pg</v>
      </c>
      <c r="AA904" s="5"/>
      <c r="AB904" s="5"/>
      <c r="AC904" s="5"/>
      <c r="AD904" s="5">
        <f ca="1">IFERROR(__xludf.DUMMYFUNCTION("""COMPUTED_VALUE"""),36)</f>
        <v>36</v>
      </c>
      <c r="AE904" s="5">
        <f ca="1">IFERROR(__xludf.DUMMYFUNCTION("""COMPUTED_VALUE"""),36)</f>
        <v>36</v>
      </c>
      <c r="AF904" s="5" t="b">
        <f ca="1">IFERROR(__xludf.DUMMYFUNCTION("""COMPUTED_VALUE"""),FALSE)</f>
        <v>0</v>
      </c>
      <c r="AG904" s="5" t="str">
        <f ca="1">IFERROR(__xludf.DUMMYFUNCTION("""COMPUTED_VALUE"""),"INSPECCIONES REALIZADAS")</f>
        <v>INSPECCIONES REALIZADAS</v>
      </c>
      <c r="AH904" s="5"/>
    </row>
    <row r="905" spans="1:34">
      <c r="A905" s="5" t="str">
        <f ca="1">IFERROR(__xludf.DUMMYFUNCTION("""COMPUTED_VALUE"""),"LINEA DE ENVASADO PET NO RETORNABLE")</f>
        <v>LINEA DE ENVASADO PET NO RETORNABLE</v>
      </c>
      <c r="B905" s="5">
        <f ca="1">IFERROR(__xludf.DUMMYFUNCTION("""COMPUTED_VALUE"""),900232)</f>
        <v>900232</v>
      </c>
      <c r="C905" s="5" t="str">
        <f ca="1">IFERROR(__xludf.DUMMYFUNCTION("""COMPUTED_VALUE"""),"PALETIZADORA")</f>
        <v>PALETIZADORA</v>
      </c>
      <c r="D905" s="5">
        <f ca="1">IFERROR(__xludf.DUMMYFUNCTION("""COMPUTED_VALUE"""),13247833)</f>
        <v>13247833</v>
      </c>
      <c r="E905" s="5" t="str">
        <f ca="1">IFERROR(__xludf.DUMMYFUNCTION("""COMPUTED_VALUE"""),"INSPECCION SEMANAL PALETIZADORA")</f>
        <v>INSPECCION SEMANAL PALETIZADORA</v>
      </c>
      <c r="F905" s="5" t="str">
        <f ca="1">IFERROR(__xludf.DUMMYFUNCTION("""COMPUTED_VALUE"""),"ESTADO DE MANGUERAS NEUMÁTICAS")</f>
        <v>ESTADO DE MANGUERAS NEUMÁTICAS</v>
      </c>
      <c r="G905" s="5" t="b">
        <f ca="1">IFERROR(__xludf.DUMMYFUNCTION("""COMPUTED_VALUE"""),TRUE)</f>
        <v>1</v>
      </c>
      <c r="H905" s="5"/>
      <c r="I905" s="5"/>
      <c r="J905" s="5">
        <f ca="1">IFERROR(__xludf.DUMMYFUNCTION("""COMPUTED_VALUE"""),13247833)</f>
        <v>13247833</v>
      </c>
      <c r="K905" s="5"/>
      <c r="L905" s="18">
        <f ca="1">IFERROR(__xludf.DUMMYFUNCTION("""COMPUTED_VALUE"""),45324)</f>
        <v>45324</v>
      </c>
      <c r="M905" s="18">
        <f ca="1">IFERROR(__xludf.DUMMYFUNCTION("""COMPUTED_VALUE"""),45324)</f>
        <v>45324</v>
      </c>
      <c r="N905" s="5" t="str">
        <f ca="1">IFERROR(__xludf.DUMMYFUNCTION("""COMPUTED_VALUE"""),"Astaiza Hernandez John Eyder")</f>
        <v>Astaiza Hernandez John Eyder</v>
      </c>
      <c r="O905" s="2">
        <f ca="1">IFERROR(__xludf.DUMMYFUNCTION("""COMPUTED_VALUE"""),0.002777778)</f>
        <v>2.7777779999999998E-3</v>
      </c>
      <c r="P905" s="5">
        <f ca="1">IFERROR(__xludf.DUMMYFUNCTION("""COMPUTED_VALUE"""),20027410)</f>
        <v>20027410</v>
      </c>
      <c r="Q905" s="5" t="str">
        <f ca="1">IFERROR(__xludf.DUMMYFUNCTION("""COMPUTED_VALUE"""),"sKyV8xqpdPU")</f>
        <v>sKyV8xqpdPU</v>
      </c>
      <c r="R905" s="5">
        <f ca="1">IFERROR(__xludf.DUMMYFUNCTION("""COMPUTED_VALUE"""),410)</f>
        <v>410</v>
      </c>
      <c r="S905" s="62">
        <f ca="1">IFERROR(__xludf.DUMMYFUNCTION("""COMPUTED_VALUE"""),0.002777778)</f>
        <v>2.7777779999999998E-3</v>
      </c>
      <c r="T905" s="63" t="str">
        <f ca="1">IFERROR(__xludf.DUMMYFUNCTION("""COMPUTED_VALUE"""),"https://storage.googleapis.com/glide-prod.appspot.com/uploads-v2/ly7o78grxPaC6KdgvbpS/pub/3aRdSog0vUtuqPE8AJKD.png")</f>
        <v>https://storage.googleapis.com/glide-prod.appspot.com/uploads-v2/ly7o78grxPaC6KdgvbpS/pub/3aRdSog0vUtuqPE8AJKD.png</v>
      </c>
      <c r="U905" s="5" t="str">
        <f ca="1">IFERROR(__xludf.DUMMYFUNCTION("""COMPUTED_VALUE"""),"LINEA DE ENVASADO PET NO RETORNABLEPALETIZADORA")</f>
        <v>LINEA DE ENVASADO PET NO RETORNABLEPALETIZADORA</v>
      </c>
      <c r="V905" s="5"/>
      <c r="W905" s="5" t="b">
        <f ca="1">IFERROR(__xludf.DUMMYFUNCTION("""COMPUTED_VALUE"""),TRUE)</f>
        <v>1</v>
      </c>
      <c r="X905" s="5" t="str">
        <f ca="1">IFERROR(__xludf.DUMMYFUNCTION("""COMPUTED_VALUE"""),"wguerra@postobon.com.co,aprmttoyu@postobon.com.co,aprmyu@postobon.com.co,wmora@postobon.com.co,efzapata@postobon.com.co")</f>
        <v>wguerra@postobon.com.co,aprmttoyu@postobon.com.co,aprmyu@postobon.com.co,wmora@postobon.com.co,efzapata@postobon.com.co</v>
      </c>
      <c r="Y905" s="5" t="str">
        <f ca="1">IFERROR(__xludf.DUMMYFUNCTION("""COMPUTED_VALUE"""),"wguerra@postobon.com.co")</f>
        <v>wguerra@postobon.com.co</v>
      </c>
      <c r="Z905" s="5" t="str">
        <f ca="1">IFERROR(__xludf.DUMMYFUNCTION("""COMPUTED_VALUE"""),"cGRcQqGnRk-dtdxFbKRomQ")</f>
        <v>cGRcQqGnRk-dtdxFbKRomQ</v>
      </c>
      <c r="AA905" s="5"/>
      <c r="AB905" s="5"/>
      <c r="AC905" s="5"/>
      <c r="AD905" s="5">
        <f ca="1">IFERROR(__xludf.DUMMYFUNCTION("""COMPUTED_VALUE"""),36)</f>
        <v>36</v>
      </c>
      <c r="AE905" s="5">
        <f ca="1">IFERROR(__xludf.DUMMYFUNCTION("""COMPUTED_VALUE"""),36)</f>
        <v>36</v>
      </c>
      <c r="AF905" s="5" t="b">
        <f ca="1">IFERROR(__xludf.DUMMYFUNCTION("""COMPUTED_VALUE"""),FALSE)</f>
        <v>0</v>
      </c>
      <c r="AG905" s="5" t="str">
        <f ca="1">IFERROR(__xludf.DUMMYFUNCTION("""COMPUTED_VALUE"""),"INSPECCIONES REALIZADAS")</f>
        <v>INSPECCIONES REALIZADAS</v>
      </c>
      <c r="AH905" s="5"/>
    </row>
    <row r="906" spans="1:34">
      <c r="A906" s="5" t="str">
        <f ca="1">IFERROR(__xludf.DUMMYFUNCTION("""COMPUTED_VALUE"""),"LINEA DE ENVASADO PET NO RETORNABLE")</f>
        <v>LINEA DE ENVASADO PET NO RETORNABLE</v>
      </c>
      <c r="B906" s="5">
        <f ca="1">IFERROR(__xludf.DUMMYFUNCTION("""COMPUTED_VALUE"""),900232)</f>
        <v>900232</v>
      </c>
      <c r="C906" s="5" t="str">
        <f ca="1">IFERROR(__xludf.DUMMYFUNCTION("""COMPUTED_VALUE"""),"PALETIZADORA")</f>
        <v>PALETIZADORA</v>
      </c>
      <c r="D906" s="5">
        <f ca="1">IFERROR(__xludf.DUMMYFUNCTION("""COMPUTED_VALUE"""),13247833)</f>
        <v>13247833</v>
      </c>
      <c r="E906" s="5" t="str">
        <f ca="1">IFERROR(__xludf.DUMMYFUNCTION("""COMPUTED_VALUE"""),"INSPECCION SEMANAL PALETIZADORA")</f>
        <v>INSPECCION SEMANAL PALETIZADORA</v>
      </c>
      <c r="F906" s="5" t="str">
        <f ca="1">IFERROR(__xludf.DUMMYFUNCTION("""COMPUTED_VALUE"""),"ESTADO DE PIÑONES-CHUMACERAS")</f>
        <v>ESTADO DE PIÑONES-CHUMACERAS</v>
      </c>
      <c r="G906" s="5" t="b">
        <f ca="1">IFERROR(__xludf.DUMMYFUNCTION("""COMPUTED_VALUE"""),TRUE)</f>
        <v>1</v>
      </c>
      <c r="H906" s="5"/>
      <c r="I906" s="5"/>
      <c r="J906" s="5">
        <f ca="1">IFERROR(__xludf.DUMMYFUNCTION("""COMPUTED_VALUE"""),13247833)</f>
        <v>13247833</v>
      </c>
      <c r="K906" s="5"/>
      <c r="L906" s="18">
        <f ca="1">IFERROR(__xludf.DUMMYFUNCTION("""COMPUTED_VALUE"""),45324)</f>
        <v>45324</v>
      </c>
      <c r="M906" s="18">
        <f ca="1">IFERROR(__xludf.DUMMYFUNCTION("""COMPUTED_VALUE"""),45324)</f>
        <v>45324</v>
      </c>
      <c r="N906" s="5" t="str">
        <f ca="1">IFERROR(__xludf.DUMMYFUNCTION("""COMPUTED_VALUE"""),"Astaiza Hernandez John Eyder")</f>
        <v>Astaiza Hernandez John Eyder</v>
      </c>
      <c r="O906" s="2">
        <f ca="1">IFERROR(__xludf.DUMMYFUNCTION("""COMPUTED_VALUE"""),0.002777778)</f>
        <v>2.7777779999999998E-3</v>
      </c>
      <c r="P906" s="5">
        <f ca="1">IFERROR(__xludf.DUMMYFUNCTION("""COMPUTED_VALUE"""),20027410)</f>
        <v>20027410</v>
      </c>
      <c r="Q906" s="5" t="str">
        <f ca="1">IFERROR(__xludf.DUMMYFUNCTION("""COMPUTED_VALUE"""),"6bv11xgAPFk")</f>
        <v>6bv11xgAPFk</v>
      </c>
      <c r="R906" s="5">
        <f ca="1">IFERROR(__xludf.DUMMYFUNCTION("""COMPUTED_VALUE"""),410)</f>
        <v>410</v>
      </c>
      <c r="S906" s="62">
        <f ca="1">IFERROR(__xludf.DUMMYFUNCTION("""COMPUTED_VALUE"""),0.002777778)</f>
        <v>2.7777779999999998E-3</v>
      </c>
      <c r="T906" s="63" t="str">
        <f ca="1">IFERROR(__xludf.DUMMYFUNCTION("""COMPUTED_VALUE"""),"https://storage.googleapis.com/glide-prod.appspot.com/uploads-v2/ly7o78grxPaC6KdgvbpS/pub/3aRdSog0vUtuqPE8AJKD.png")</f>
        <v>https://storage.googleapis.com/glide-prod.appspot.com/uploads-v2/ly7o78grxPaC6KdgvbpS/pub/3aRdSog0vUtuqPE8AJKD.png</v>
      </c>
      <c r="U906" s="5" t="str">
        <f ca="1">IFERROR(__xludf.DUMMYFUNCTION("""COMPUTED_VALUE"""),"LINEA DE ENVASADO PET NO RETORNABLEPALETIZADORA")</f>
        <v>LINEA DE ENVASADO PET NO RETORNABLEPALETIZADORA</v>
      </c>
      <c r="V906" s="5"/>
      <c r="W906" s="5" t="b">
        <f ca="1">IFERROR(__xludf.DUMMYFUNCTION("""COMPUTED_VALUE"""),TRUE)</f>
        <v>1</v>
      </c>
      <c r="X906" s="5" t="str">
        <f ca="1">IFERROR(__xludf.DUMMYFUNCTION("""COMPUTED_VALUE"""),"wguerra@postobon.com.co,aprmttoyu@postobon.com.co,aprmyu@postobon.com.co,wmora@postobon.com.co,efzapata@postobon.com.co")</f>
        <v>wguerra@postobon.com.co,aprmttoyu@postobon.com.co,aprmyu@postobon.com.co,wmora@postobon.com.co,efzapata@postobon.com.co</v>
      </c>
      <c r="Y906" s="5" t="str">
        <f ca="1">IFERROR(__xludf.DUMMYFUNCTION("""COMPUTED_VALUE"""),"wguerra@postobon.com.co")</f>
        <v>wguerra@postobon.com.co</v>
      </c>
      <c r="Z906" s="5" t="str">
        <f ca="1">IFERROR(__xludf.DUMMYFUNCTION("""COMPUTED_VALUE"""),"gQoytXsfS3W7UIpvqex3mg")</f>
        <v>gQoytXsfS3W7UIpvqex3mg</v>
      </c>
      <c r="AA906" s="5"/>
      <c r="AB906" s="5"/>
      <c r="AC906" s="5"/>
      <c r="AD906" s="5">
        <f ca="1">IFERROR(__xludf.DUMMYFUNCTION("""COMPUTED_VALUE"""),36)</f>
        <v>36</v>
      </c>
      <c r="AE906" s="5">
        <f ca="1">IFERROR(__xludf.DUMMYFUNCTION("""COMPUTED_VALUE"""),36)</f>
        <v>36</v>
      </c>
      <c r="AF906" s="5" t="b">
        <f ca="1">IFERROR(__xludf.DUMMYFUNCTION("""COMPUTED_VALUE"""),FALSE)</f>
        <v>0</v>
      </c>
      <c r="AG906" s="5" t="str">
        <f ca="1">IFERROR(__xludf.DUMMYFUNCTION("""COMPUTED_VALUE"""),"INSPECCIONES REALIZADAS")</f>
        <v>INSPECCIONES REALIZADAS</v>
      </c>
      <c r="AH906" s="5"/>
    </row>
    <row r="907" spans="1:34">
      <c r="A907" s="5" t="str">
        <f ca="1">IFERROR(__xludf.DUMMYFUNCTION("""COMPUTED_VALUE"""),"LINEA DE ENVASADO PET NO RETORNABLE")</f>
        <v>LINEA DE ENVASADO PET NO RETORNABLE</v>
      </c>
      <c r="B907" s="5">
        <f ca="1">IFERROR(__xludf.DUMMYFUNCTION("""COMPUTED_VALUE"""),900232)</f>
        <v>900232</v>
      </c>
      <c r="C907" s="5" t="str">
        <f ca="1">IFERROR(__xludf.DUMMYFUNCTION("""COMPUTED_VALUE"""),"PALETIZADORA")</f>
        <v>PALETIZADORA</v>
      </c>
      <c r="D907" s="5">
        <f ca="1">IFERROR(__xludf.DUMMYFUNCTION("""COMPUTED_VALUE"""),13247833)</f>
        <v>13247833</v>
      </c>
      <c r="E907" s="5" t="str">
        <f ca="1">IFERROR(__xludf.DUMMYFUNCTION("""COMPUTED_VALUE"""),"INSPECCION SEMANAL PALETIZADORA")</f>
        <v>INSPECCION SEMANAL PALETIZADORA</v>
      </c>
      <c r="F907" s="5" t="str">
        <f ca="1">IFERROR(__xludf.DUMMYFUNCTION("""COMPUTED_VALUE"""),"ESTADO DE SENSORES.")</f>
        <v>ESTADO DE SENSORES.</v>
      </c>
      <c r="G907" s="5" t="b">
        <f ca="1">IFERROR(__xludf.DUMMYFUNCTION("""COMPUTED_VALUE"""),TRUE)</f>
        <v>1</v>
      </c>
      <c r="H907" s="5"/>
      <c r="I907" s="5"/>
      <c r="J907" s="5">
        <f ca="1">IFERROR(__xludf.DUMMYFUNCTION("""COMPUTED_VALUE"""),13247833)</f>
        <v>13247833</v>
      </c>
      <c r="K907" s="5"/>
      <c r="L907" s="18">
        <f ca="1">IFERROR(__xludf.DUMMYFUNCTION("""COMPUTED_VALUE"""),45324)</f>
        <v>45324</v>
      </c>
      <c r="M907" s="18">
        <f ca="1">IFERROR(__xludf.DUMMYFUNCTION("""COMPUTED_VALUE"""),45324)</f>
        <v>45324</v>
      </c>
      <c r="N907" s="5" t="str">
        <f ca="1">IFERROR(__xludf.DUMMYFUNCTION("""COMPUTED_VALUE"""),"Astaiza Hernandez John Eyder")</f>
        <v>Astaiza Hernandez John Eyder</v>
      </c>
      <c r="O907" s="2">
        <f ca="1">IFERROR(__xludf.DUMMYFUNCTION("""COMPUTED_VALUE"""),0.002777778)</f>
        <v>2.7777779999999998E-3</v>
      </c>
      <c r="P907" s="5">
        <f ca="1">IFERROR(__xludf.DUMMYFUNCTION("""COMPUTED_VALUE"""),20027410)</f>
        <v>20027410</v>
      </c>
      <c r="Q907" s="5" t="str">
        <f ca="1">IFERROR(__xludf.DUMMYFUNCTION("""COMPUTED_VALUE"""),"LcbQKDtHtVs")</f>
        <v>LcbQKDtHtVs</v>
      </c>
      <c r="R907" s="5">
        <f ca="1">IFERROR(__xludf.DUMMYFUNCTION("""COMPUTED_VALUE"""),410)</f>
        <v>410</v>
      </c>
      <c r="S907" s="62">
        <f ca="1">IFERROR(__xludf.DUMMYFUNCTION("""COMPUTED_VALUE"""),0.002777778)</f>
        <v>2.7777779999999998E-3</v>
      </c>
      <c r="T907" s="63" t="str">
        <f ca="1">IFERROR(__xludf.DUMMYFUNCTION("""COMPUTED_VALUE"""),"https://storage.googleapis.com/glide-prod.appspot.com/uploads-v2/ly7o78grxPaC6KdgvbpS/pub/3aRdSog0vUtuqPE8AJKD.png")</f>
        <v>https://storage.googleapis.com/glide-prod.appspot.com/uploads-v2/ly7o78grxPaC6KdgvbpS/pub/3aRdSog0vUtuqPE8AJKD.png</v>
      </c>
      <c r="U907" s="5" t="str">
        <f ca="1">IFERROR(__xludf.DUMMYFUNCTION("""COMPUTED_VALUE"""),"LINEA DE ENVASADO PET NO RETORNABLEPALETIZADORA")</f>
        <v>LINEA DE ENVASADO PET NO RETORNABLEPALETIZADORA</v>
      </c>
      <c r="V907" s="5"/>
      <c r="W907" s="5" t="b">
        <f ca="1">IFERROR(__xludf.DUMMYFUNCTION("""COMPUTED_VALUE"""),TRUE)</f>
        <v>1</v>
      </c>
      <c r="X907" s="5" t="str">
        <f ca="1">IFERROR(__xludf.DUMMYFUNCTION("""COMPUTED_VALUE"""),"wguerra@postobon.com.co,aprmttoyu@postobon.com.co,aprmyu@postobon.com.co,wmora@postobon.com.co,efzapata@postobon.com.co")</f>
        <v>wguerra@postobon.com.co,aprmttoyu@postobon.com.co,aprmyu@postobon.com.co,wmora@postobon.com.co,efzapata@postobon.com.co</v>
      </c>
      <c r="Y907" s="5" t="str">
        <f ca="1">IFERROR(__xludf.DUMMYFUNCTION("""COMPUTED_VALUE"""),"wguerra@postobon.com.co")</f>
        <v>wguerra@postobon.com.co</v>
      </c>
      <c r="Z907" s="5" t="str">
        <f ca="1">IFERROR(__xludf.DUMMYFUNCTION("""COMPUTED_VALUE"""),"lb2NRsAETN2VWLP3uFvAQA")</f>
        <v>lb2NRsAETN2VWLP3uFvAQA</v>
      </c>
      <c r="AA907" s="5"/>
      <c r="AB907" s="5"/>
      <c r="AC907" s="5"/>
      <c r="AD907" s="5">
        <f ca="1">IFERROR(__xludf.DUMMYFUNCTION("""COMPUTED_VALUE"""),36)</f>
        <v>36</v>
      </c>
      <c r="AE907" s="5">
        <f ca="1">IFERROR(__xludf.DUMMYFUNCTION("""COMPUTED_VALUE"""),36)</f>
        <v>36</v>
      </c>
      <c r="AF907" s="5" t="b">
        <f ca="1">IFERROR(__xludf.DUMMYFUNCTION("""COMPUTED_VALUE"""),FALSE)</f>
        <v>0</v>
      </c>
      <c r="AG907" s="5" t="str">
        <f ca="1">IFERROR(__xludf.DUMMYFUNCTION("""COMPUTED_VALUE"""),"INSPECCIONES REALIZADAS")</f>
        <v>INSPECCIONES REALIZADAS</v>
      </c>
      <c r="AH907" s="5"/>
    </row>
    <row r="908" spans="1:34">
      <c r="A908" s="5" t="str">
        <f ca="1">IFERROR(__xludf.DUMMYFUNCTION("""COMPUTED_VALUE"""),"LINEA DE ENVASADO PET NO RETORNABLE")</f>
        <v>LINEA DE ENVASADO PET NO RETORNABLE</v>
      </c>
      <c r="B908" s="5">
        <f ca="1">IFERROR(__xludf.DUMMYFUNCTION("""COMPUTED_VALUE"""),900232)</f>
        <v>900232</v>
      </c>
      <c r="C908" s="5" t="str">
        <f ca="1">IFERROR(__xludf.DUMMYFUNCTION("""COMPUTED_VALUE"""),"PALETIZADORA")</f>
        <v>PALETIZADORA</v>
      </c>
      <c r="D908" s="5">
        <f ca="1">IFERROR(__xludf.DUMMYFUNCTION("""COMPUTED_VALUE"""),13247833)</f>
        <v>13247833</v>
      </c>
      <c r="E908" s="5" t="str">
        <f ca="1">IFERROR(__xludf.DUMMYFUNCTION("""COMPUTED_VALUE"""),"INSPECCION SEMANAL PALETIZADORA")</f>
        <v>INSPECCION SEMANAL PALETIZADORA</v>
      </c>
      <c r="F908" s="5" t="str">
        <f ca="1">IFERROR(__xludf.DUMMYFUNCTION("""COMPUTED_VALUE"""),"INSP BARRERAS LUZ,REFLETORES COLOCADOR CAPAS")</f>
        <v>INSP BARRERAS LUZ,REFLETORES COLOCADOR CAPAS</v>
      </c>
      <c r="G908" s="5" t="b">
        <f ca="1">IFERROR(__xludf.DUMMYFUNCTION("""COMPUTED_VALUE"""),TRUE)</f>
        <v>1</v>
      </c>
      <c r="H908" s="5"/>
      <c r="I908" s="5"/>
      <c r="J908" s="5">
        <f ca="1">IFERROR(__xludf.DUMMYFUNCTION("""COMPUTED_VALUE"""),13247833)</f>
        <v>13247833</v>
      </c>
      <c r="K908" s="5"/>
      <c r="L908" s="18">
        <f ca="1">IFERROR(__xludf.DUMMYFUNCTION("""COMPUTED_VALUE"""),45324)</f>
        <v>45324</v>
      </c>
      <c r="M908" s="18">
        <f ca="1">IFERROR(__xludf.DUMMYFUNCTION("""COMPUTED_VALUE"""),45324)</f>
        <v>45324</v>
      </c>
      <c r="N908" s="5" t="str">
        <f ca="1">IFERROR(__xludf.DUMMYFUNCTION("""COMPUTED_VALUE"""),"Astaiza Hernandez John Eyder")</f>
        <v>Astaiza Hernandez John Eyder</v>
      </c>
      <c r="O908" s="2">
        <f ca="1">IFERROR(__xludf.DUMMYFUNCTION("""COMPUTED_VALUE"""),0.002777778)</f>
        <v>2.7777779999999998E-3</v>
      </c>
      <c r="P908" s="5">
        <f ca="1">IFERROR(__xludf.DUMMYFUNCTION("""COMPUTED_VALUE"""),20027410)</f>
        <v>20027410</v>
      </c>
      <c r="Q908" s="5" t="str">
        <f ca="1">IFERROR(__xludf.DUMMYFUNCTION("""COMPUTED_VALUE"""),"swSFrgRsx3M")</f>
        <v>swSFrgRsx3M</v>
      </c>
      <c r="R908" s="5">
        <f ca="1">IFERROR(__xludf.DUMMYFUNCTION("""COMPUTED_VALUE"""),410)</f>
        <v>410</v>
      </c>
      <c r="S908" s="62">
        <f ca="1">IFERROR(__xludf.DUMMYFUNCTION("""COMPUTED_VALUE"""),0.002777778)</f>
        <v>2.7777779999999998E-3</v>
      </c>
      <c r="T908" s="63" t="str">
        <f ca="1">IFERROR(__xludf.DUMMYFUNCTION("""COMPUTED_VALUE"""),"https://storage.googleapis.com/glide-prod.appspot.com/uploads-v2/ly7o78grxPaC6KdgvbpS/pub/3aRdSog0vUtuqPE8AJKD.png")</f>
        <v>https://storage.googleapis.com/glide-prod.appspot.com/uploads-v2/ly7o78grxPaC6KdgvbpS/pub/3aRdSog0vUtuqPE8AJKD.png</v>
      </c>
      <c r="U908" s="5" t="str">
        <f ca="1">IFERROR(__xludf.DUMMYFUNCTION("""COMPUTED_VALUE"""),"LINEA DE ENVASADO PET NO RETORNABLEPALETIZADORA")</f>
        <v>LINEA DE ENVASADO PET NO RETORNABLEPALETIZADORA</v>
      </c>
      <c r="V908" s="5"/>
      <c r="W908" s="5" t="b">
        <f ca="1">IFERROR(__xludf.DUMMYFUNCTION("""COMPUTED_VALUE"""),TRUE)</f>
        <v>1</v>
      </c>
      <c r="X908" s="5" t="str">
        <f ca="1">IFERROR(__xludf.DUMMYFUNCTION("""COMPUTED_VALUE"""),"wguerra@postobon.com.co,aprmttoyu@postobon.com.co,aprmyu@postobon.com.co,wmora@postobon.com.co,efzapata@postobon.com.co")</f>
        <v>wguerra@postobon.com.co,aprmttoyu@postobon.com.co,aprmyu@postobon.com.co,wmora@postobon.com.co,efzapata@postobon.com.co</v>
      </c>
      <c r="Y908" s="5" t="str">
        <f ca="1">IFERROR(__xludf.DUMMYFUNCTION("""COMPUTED_VALUE"""),"wguerra@postobon.com.co")</f>
        <v>wguerra@postobon.com.co</v>
      </c>
      <c r="Z908" s="5" t="str">
        <f ca="1">IFERROR(__xludf.DUMMYFUNCTION("""COMPUTED_VALUE"""),"8BB4bUCuQ9GPKEg4jTjR1g")</f>
        <v>8BB4bUCuQ9GPKEg4jTjR1g</v>
      </c>
      <c r="AA908" s="5"/>
      <c r="AB908" s="5"/>
      <c r="AC908" s="5"/>
      <c r="AD908" s="5">
        <f ca="1">IFERROR(__xludf.DUMMYFUNCTION("""COMPUTED_VALUE"""),36)</f>
        <v>36</v>
      </c>
      <c r="AE908" s="5">
        <f ca="1">IFERROR(__xludf.DUMMYFUNCTION("""COMPUTED_VALUE"""),36)</f>
        <v>36</v>
      </c>
      <c r="AF908" s="5" t="b">
        <f ca="1">IFERROR(__xludf.DUMMYFUNCTION("""COMPUTED_VALUE"""),FALSE)</f>
        <v>0</v>
      </c>
      <c r="AG908" s="5" t="str">
        <f ca="1">IFERROR(__xludf.DUMMYFUNCTION("""COMPUTED_VALUE"""),"INSPECCIONES REALIZADAS")</f>
        <v>INSPECCIONES REALIZADAS</v>
      </c>
      <c r="AH908" s="5"/>
    </row>
    <row r="909" spans="1:34">
      <c r="A909" s="5" t="str">
        <f ca="1">IFERROR(__xludf.DUMMYFUNCTION("""COMPUTED_VALUE"""),"LINEA DE ENVASADO PET NO RETORNABLE")</f>
        <v>LINEA DE ENVASADO PET NO RETORNABLE</v>
      </c>
      <c r="B909" s="5">
        <f ca="1">IFERROR(__xludf.DUMMYFUNCTION("""COMPUTED_VALUE"""),900232)</f>
        <v>900232</v>
      </c>
      <c r="C909" s="5" t="str">
        <f ca="1">IFERROR(__xludf.DUMMYFUNCTION("""COMPUTED_VALUE"""),"PALETIZADORA")</f>
        <v>PALETIZADORA</v>
      </c>
      <c r="D909" s="5">
        <f ca="1">IFERROR(__xludf.DUMMYFUNCTION("""COMPUTED_VALUE"""),13247833)</f>
        <v>13247833</v>
      </c>
      <c r="E909" s="5" t="str">
        <f ca="1">IFERROR(__xludf.DUMMYFUNCTION("""COMPUTED_VALUE"""),"INSPECCION SEMANAL PALETIZADORA")</f>
        <v>INSPECCION SEMANAL PALETIZADORA</v>
      </c>
      <c r="F909" s="5" t="str">
        <f ca="1">IFERROR(__xludf.DUMMYFUNCTION("""COMPUTED_VALUE"""),"ESTADO SENSORES COLOCADOR CAPAS")</f>
        <v>ESTADO SENSORES COLOCADOR CAPAS</v>
      </c>
      <c r="G909" s="5" t="b">
        <f ca="1">IFERROR(__xludf.DUMMYFUNCTION("""COMPUTED_VALUE"""),TRUE)</f>
        <v>1</v>
      </c>
      <c r="H909" s="5"/>
      <c r="I909" s="5"/>
      <c r="J909" s="5">
        <f ca="1">IFERROR(__xludf.DUMMYFUNCTION("""COMPUTED_VALUE"""),13247833)</f>
        <v>13247833</v>
      </c>
      <c r="K909" s="5"/>
      <c r="L909" s="18">
        <f ca="1">IFERROR(__xludf.DUMMYFUNCTION("""COMPUTED_VALUE"""),45324)</f>
        <v>45324</v>
      </c>
      <c r="M909" s="18">
        <f ca="1">IFERROR(__xludf.DUMMYFUNCTION("""COMPUTED_VALUE"""),45324)</f>
        <v>45324</v>
      </c>
      <c r="N909" s="5" t="str">
        <f ca="1">IFERROR(__xludf.DUMMYFUNCTION("""COMPUTED_VALUE"""),"Astaiza Hernandez John Eyder")</f>
        <v>Astaiza Hernandez John Eyder</v>
      </c>
      <c r="O909" s="2">
        <f ca="1">IFERROR(__xludf.DUMMYFUNCTION("""COMPUTED_VALUE"""),0.002777778)</f>
        <v>2.7777779999999998E-3</v>
      </c>
      <c r="P909" s="5">
        <f ca="1">IFERROR(__xludf.DUMMYFUNCTION("""COMPUTED_VALUE"""),20027410)</f>
        <v>20027410</v>
      </c>
      <c r="Q909" s="5" t="str">
        <f ca="1">IFERROR(__xludf.DUMMYFUNCTION("""COMPUTED_VALUE"""),"qk4zcxr2EpQ")</f>
        <v>qk4zcxr2EpQ</v>
      </c>
      <c r="R909" s="5">
        <f ca="1">IFERROR(__xludf.DUMMYFUNCTION("""COMPUTED_VALUE"""),410)</f>
        <v>410</v>
      </c>
      <c r="S909" s="62">
        <f ca="1">IFERROR(__xludf.DUMMYFUNCTION("""COMPUTED_VALUE"""),0.002777778)</f>
        <v>2.7777779999999998E-3</v>
      </c>
      <c r="T909" s="63" t="str">
        <f ca="1">IFERROR(__xludf.DUMMYFUNCTION("""COMPUTED_VALUE"""),"https://storage.googleapis.com/glide-prod.appspot.com/uploads-v2/ly7o78grxPaC6KdgvbpS/pub/3aRdSog0vUtuqPE8AJKD.png")</f>
        <v>https://storage.googleapis.com/glide-prod.appspot.com/uploads-v2/ly7o78grxPaC6KdgvbpS/pub/3aRdSog0vUtuqPE8AJKD.png</v>
      </c>
      <c r="U909" s="5" t="str">
        <f ca="1">IFERROR(__xludf.DUMMYFUNCTION("""COMPUTED_VALUE"""),"LINEA DE ENVASADO PET NO RETORNABLEPALETIZADORA")</f>
        <v>LINEA DE ENVASADO PET NO RETORNABLEPALETIZADORA</v>
      </c>
      <c r="V909" s="5"/>
      <c r="W909" s="5" t="b">
        <f ca="1">IFERROR(__xludf.DUMMYFUNCTION("""COMPUTED_VALUE"""),TRUE)</f>
        <v>1</v>
      </c>
      <c r="X909" s="5" t="str">
        <f ca="1">IFERROR(__xludf.DUMMYFUNCTION("""COMPUTED_VALUE"""),"wguerra@postobon.com.co,aprmttoyu@postobon.com.co,aprmyu@postobon.com.co,wmora@postobon.com.co,efzapata@postobon.com.co")</f>
        <v>wguerra@postobon.com.co,aprmttoyu@postobon.com.co,aprmyu@postobon.com.co,wmora@postobon.com.co,efzapata@postobon.com.co</v>
      </c>
      <c r="Y909" s="5" t="str">
        <f ca="1">IFERROR(__xludf.DUMMYFUNCTION("""COMPUTED_VALUE"""),"wguerra@postobon.com.co")</f>
        <v>wguerra@postobon.com.co</v>
      </c>
      <c r="Z909" s="5" t="str">
        <f ca="1">IFERROR(__xludf.DUMMYFUNCTION("""COMPUTED_VALUE"""),"aZQkYwmjQumissub4MaPYA")</f>
        <v>aZQkYwmjQumissub4MaPYA</v>
      </c>
      <c r="AA909" s="5"/>
      <c r="AB909" s="5"/>
      <c r="AC909" s="5"/>
      <c r="AD909" s="5">
        <f ca="1">IFERROR(__xludf.DUMMYFUNCTION("""COMPUTED_VALUE"""),36)</f>
        <v>36</v>
      </c>
      <c r="AE909" s="5">
        <f ca="1">IFERROR(__xludf.DUMMYFUNCTION("""COMPUTED_VALUE"""),36)</f>
        <v>36</v>
      </c>
      <c r="AF909" s="5" t="b">
        <f ca="1">IFERROR(__xludf.DUMMYFUNCTION("""COMPUTED_VALUE"""),FALSE)</f>
        <v>0</v>
      </c>
      <c r="AG909" s="5" t="str">
        <f ca="1">IFERROR(__xludf.DUMMYFUNCTION("""COMPUTED_VALUE"""),"INSPECCIONES REALIZADAS")</f>
        <v>INSPECCIONES REALIZADAS</v>
      </c>
      <c r="AH909" s="5"/>
    </row>
    <row r="910" spans="1:34">
      <c r="A910" s="5" t="str">
        <f ca="1">IFERROR(__xludf.DUMMYFUNCTION("""COMPUTED_VALUE"""),"LINEA DE ENVASADO PET NO RETORNABLE")</f>
        <v>LINEA DE ENVASADO PET NO RETORNABLE</v>
      </c>
      <c r="B910" s="5">
        <f ca="1">IFERROR(__xludf.DUMMYFUNCTION("""COMPUTED_VALUE"""),900232)</f>
        <v>900232</v>
      </c>
      <c r="C910" s="5" t="str">
        <f ca="1">IFERROR(__xludf.DUMMYFUNCTION("""COMPUTED_VALUE"""),"PALETIZADORA")</f>
        <v>PALETIZADORA</v>
      </c>
      <c r="D910" s="5">
        <f ca="1">IFERROR(__xludf.DUMMYFUNCTION("""COMPUTED_VALUE"""),13247833)</f>
        <v>13247833</v>
      </c>
      <c r="E910" s="5" t="str">
        <f ca="1">IFERROR(__xludf.DUMMYFUNCTION("""COMPUTED_VALUE"""),"INSPECCION SEMANAL PALETIZADORA")</f>
        <v>INSPECCION SEMANAL PALETIZADORA</v>
      </c>
      <c r="F910" s="5" t="str">
        <f ca="1">IFERROR(__xludf.DUMMYFUNCTION("""COMPUTED_VALUE"""),"INSP FILTRO AIRE MARCO ASPIRACION COLOCADOR CAPAS")</f>
        <v>INSP FILTRO AIRE MARCO ASPIRACION COLOCADOR CAPAS</v>
      </c>
      <c r="G910" s="5" t="b">
        <f ca="1">IFERROR(__xludf.DUMMYFUNCTION("""COMPUTED_VALUE"""),TRUE)</f>
        <v>1</v>
      </c>
      <c r="H910" s="5"/>
      <c r="I910" s="5"/>
      <c r="J910" s="5">
        <f ca="1">IFERROR(__xludf.DUMMYFUNCTION("""COMPUTED_VALUE"""),13247833)</f>
        <v>13247833</v>
      </c>
      <c r="K910" s="5"/>
      <c r="L910" s="18">
        <f ca="1">IFERROR(__xludf.DUMMYFUNCTION("""COMPUTED_VALUE"""),45324)</f>
        <v>45324</v>
      </c>
      <c r="M910" s="18">
        <f ca="1">IFERROR(__xludf.DUMMYFUNCTION("""COMPUTED_VALUE"""),45324)</f>
        <v>45324</v>
      </c>
      <c r="N910" s="5" t="str">
        <f ca="1">IFERROR(__xludf.DUMMYFUNCTION("""COMPUTED_VALUE"""),"Astaiza Hernandez John Eyder")</f>
        <v>Astaiza Hernandez John Eyder</v>
      </c>
      <c r="O910" s="2">
        <f ca="1">IFERROR(__xludf.DUMMYFUNCTION("""COMPUTED_VALUE"""),0.002777778)</f>
        <v>2.7777779999999998E-3</v>
      </c>
      <c r="P910" s="5">
        <f ca="1">IFERROR(__xludf.DUMMYFUNCTION("""COMPUTED_VALUE"""),20027410)</f>
        <v>20027410</v>
      </c>
      <c r="Q910" s="5" t="str">
        <f ca="1">IFERROR(__xludf.DUMMYFUNCTION("""COMPUTED_VALUE"""),"D6cYceX_1oQ")</f>
        <v>D6cYceX_1oQ</v>
      </c>
      <c r="R910" s="5">
        <f ca="1">IFERROR(__xludf.DUMMYFUNCTION("""COMPUTED_VALUE"""),410)</f>
        <v>410</v>
      </c>
      <c r="S910" s="62">
        <f ca="1">IFERROR(__xludf.DUMMYFUNCTION("""COMPUTED_VALUE"""),0.002777778)</f>
        <v>2.7777779999999998E-3</v>
      </c>
      <c r="T910" s="63" t="str">
        <f ca="1">IFERROR(__xludf.DUMMYFUNCTION("""COMPUTED_VALUE"""),"https://storage.googleapis.com/glide-prod.appspot.com/uploads-v2/ly7o78grxPaC6KdgvbpS/pub/3aRdSog0vUtuqPE8AJKD.png")</f>
        <v>https://storage.googleapis.com/glide-prod.appspot.com/uploads-v2/ly7o78grxPaC6KdgvbpS/pub/3aRdSog0vUtuqPE8AJKD.png</v>
      </c>
      <c r="U910" s="5" t="str">
        <f ca="1">IFERROR(__xludf.DUMMYFUNCTION("""COMPUTED_VALUE"""),"LINEA DE ENVASADO PET NO RETORNABLEPALETIZADORA")</f>
        <v>LINEA DE ENVASADO PET NO RETORNABLEPALETIZADORA</v>
      </c>
      <c r="V910" s="5"/>
      <c r="W910" s="5" t="b">
        <f ca="1">IFERROR(__xludf.DUMMYFUNCTION("""COMPUTED_VALUE"""),TRUE)</f>
        <v>1</v>
      </c>
      <c r="X910" s="5" t="str">
        <f ca="1">IFERROR(__xludf.DUMMYFUNCTION("""COMPUTED_VALUE"""),"wguerra@postobon.com.co,aprmttoyu@postobon.com.co,aprmyu@postobon.com.co,wmora@postobon.com.co,efzapata@postobon.com.co")</f>
        <v>wguerra@postobon.com.co,aprmttoyu@postobon.com.co,aprmyu@postobon.com.co,wmora@postobon.com.co,efzapata@postobon.com.co</v>
      </c>
      <c r="Y910" s="5" t="str">
        <f ca="1">IFERROR(__xludf.DUMMYFUNCTION("""COMPUTED_VALUE"""),"wguerra@postobon.com.co")</f>
        <v>wguerra@postobon.com.co</v>
      </c>
      <c r="Z910" s="5" t="str">
        <f ca="1">IFERROR(__xludf.DUMMYFUNCTION("""COMPUTED_VALUE"""),"lsCvaZ0eTDuKUughBK7YDw")</f>
        <v>lsCvaZ0eTDuKUughBK7YDw</v>
      </c>
      <c r="AA910" s="5"/>
      <c r="AB910" s="5"/>
      <c r="AC910" s="5"/>
      <c r="AD910" s="5">
        <f ca="1">IFERROR(__xludf.DUMMYFUNCTION("""COMPUTED_VALUE"""),36)</f>
        <v>36</v>
      </c>
      <c r="AE910" s="5">
        <f ca="1">IFERROR(__xludf.DUMMYFUNCTION("""COMPUTED_VALUE"""),36)</f>
        <v>36</v>
      </c>
      <c r="AF910" s="5" t="b">
        <f ca="1">IFERROR(__xludf.DUMMYFUNCTION("""COMPUTED_VALUE"""),FALSE)</f>
        <v>0</v>
      </c>
      <c r="AG910" s="5" t="str">
        <f ca="1">IFERROR(__xludf.DUMMYFUNCTION("""COMPUTED_VALUE"""),"INSPECCIONES REALIZADAS")</f>
        <v>INSPECCIONES REALIZADAS</v>
      </c>
      <c r="AH910" s="5"/>
    </row>
    <row r="911" spans="1:34">
      <c r="A911" s="5" t="str">
        <f ca="1">IFERROR(__xludf.DUMMYFUNCTION("""COMPUTED_VALUE"""),"LINEA DE ENVASADO PET NO RETORNABLE")</f>
        <v>LINEA DE ENVASADO PET NO RETORNABLE</v>
      </c>
      <c r="B911" s="5">
        <f ca="1">IFERROR(__xludf.DUMMYFUNCTION("""COMPUTED_VALUE"""),900232)</f>
        <v>900232</v>
      </c>
      <c r="C911" s="5" t="str">
        <f ca="1">IFERROR(__xludf.DUMMYFUNCTION("""COMPUTED_VALUE"""),"PALETIZADORA")</f>
        <v>PALETIZADORA</v>
      </c>
      <c r="D911" s="5">
        <f ca="1">IFERROR(__xludf.DUMMYFUNCTION("""COMPUTED_VALUE"""),13247833)</f>
        <v>13247833</v>
      </c>
      <c r="E911" s="5" t="str">
        <f ca="1">IFERROR(__xludf.DUMMYFUNCTION("""COMPUTED_VALUE"""),"INSPECCION SEMANAL PALETIZADORA")</f>
        <v>INSPECCION SEMANAL PALETIZADORA</v>
      </c>
      <c r="F911" s="5" t="str">
        <f ca="1">IFERROR(__xludf.DUMMYFUNCTION("""COMPUTED_VALUE"""),"INSP FILTRO AIRE TABLERO ELECTRICO COLOCADOR CAPAS")</f>
        <v>INSP FILTRO AIRE TABLERO ELECTRICO COLOCADOR CAPAS</v>
      </c>
      <c r="G911" s="5" t="b">
        <f ca="1">IFERROR(__xludf.DUMMYFUNCTION("""COMPUTED_VALUE"""),TRUE)</f>
        <v>1</v>
      </c>
      <c r="H911" s="5"/>
      <c r="I911" s="5"/>
      <c r="J911" s="5">
        <f ca="1">IFERROR(__xludf.DUMMYFUNCTION("""COMPUTED_VALUE"""),13247833)</f>
        <v>13247833</v>
      </c>
      <c r="K911" s="5"/>
      <c r="L911" s="18">
        <f ca="1">IFERROR(__xludf.DUMMYFUNCTION("""COMPUTED_VALUE"""),45324)</f>
        <v>45324</v>
      </c>
      <c r="M911" s="18">
        <f ca="1">IFERROR(__xludf.DUMMYFUNCTION("""COMPUTED_VALUE"""),45324)</f>
        <v>45324</v>
      </c>
      <c r="N911" s="5" t="str">
        <f ca="1">IFERROR(__xludf.DUMMYFUNCTION("""COMPUTED_VALUE"""),"Astaiza Hernandez John Eyder")</f>
        <v>Astaiza Hernandez John Eyder</v>
      </c>
      <c r="O911" s="2">
        <f ca="1">IFERROR(__xludf.DUMMYFUNCTION("""COMPUTED_VALUE"""),0.002777778)</f>
        <v>2.7777779999999998E-3</v>
      </c>
      <c r="P911" s="5">
        <f ca="1">IFERROR(__xludf.DUMMYFUNCTION("""COMPUTED_VALUE"""),20027410)</f>
        <v>20027410</v>
      </c>
      <c r="Q911" s="5" t="str">
        <f ca="1">IFERROR(__xludf.DUMMYFUNCTION("""COMPUTED_VALUE"""),"Tk9AZIGjJ-s")</f>
        <v>Tk9AZIGjJ-s</v>
      </c>
      <c r="R911" s="5">
        <f ca="1">IFERROR(__xludf.DUMMYFUNCTION("""COMPUTED_VALUE"""),410)</f>
        <v>410</v>
      </c>
      <c r="S911" s="62">
        <f ca="1">IFERROR(__xludf.DUMMYFUNCTION("""COMPUTED_VALUE"""),0.002777778)</f>
        <v>2.7777779999999998E-3</v>
      </c>
      <c r="T911" s="63" t="str">
        <f ca="1">IFERROR(__xludf.DUMMYFUNCTION("""COMPUTED_VALUE"""),"https://storage.googleapis.com/glide-prod.appspot.com/uploads-v2/ly7o78grxPaC6KdgvbpS/pub/3aRdSog0vUtuqPE8AJKD.png")</f>
        <v>https://storage.googleapis.com/glide-prod.appspot.com/uploads-v2/ly7o78grxPaC6KdgvbpS/pub/3aRdSog0vUtuqPE8AJKD.png</v>
      </c>
      <c r="U911" s="5" t="str">
        <f ca="1">IFERROR(__xludf.DUMMYFUNCTION("""COMPUTED_VALUE"""),"LINEA DE ENVASADO PET NO RETORNABLEPALETIZADORA")</f>
        <v>LINEA DE ENVASADO PET NO RETORNABLEPALETIZADORA</v>
      </c>
      <c r="V911" s="5"/>
      <c r="W911" s="5" t="b">
        <f ca="1">IFERROR(__xludf.DUMMYFUNCTION("""COMPUTED_VALUE"""),TRUE)</f>
        <v>1</v>
      </c>
      <c r="X911" s="5" t="str">
        <f ca="1">IFERROR(__xludf.DUMMYFUNCTION("""COMPUTED_VALUE"""),"wguerra@postobon.com.co,aprmttoyu@postobon.com.co,aprmyu@postobon.com.co,wmora@postobon.com.co,efzapata@postobon.com.co")</f>
        <v>wguerra@postobon.com.co,aprmttoyu@postobon.com.co,aprmyu@postobon.com.co,wmora@postobon.com.co,efzapata@postobon.com.co</v>
      </c>
      <c r="Y911" s="5" t="str">
        <f ca="1">IFERROR(__xludf.DUMMYFUNCTION("""COMPUTED_VALUE"""),"wguerra@postobon.com.co")</f>
        <v>wguerra@postobon.com.co</v>
      </c>
      <c r="Z911" s="5" t="str">
        <f ca="1">IFERROR(__xludf.DUMMYFUNCTION("""COMPUTED_VALUE"""),"gD7QJeZvSTm1Z5hXa5ZLIw")</f>
        <v>gD7QJeZvSTm1Z5hXa5ZLIw</v>
      </c>
      <c r="AA911" s="5"/>
      <c r="AB911" s="5"/>
      <c r="AC911" s="5"/>
      <c r="AD911" s="5">
        <f ca="1">IFERROR(__xludf.DUMMYFUNCTION("""COMPUTED_VALUE"""),36)</f>
        <v>36</v>
      </c>
      <c r="AE911" s="5">
        <f ca="1">IFERROR(__xludf.DUMMYFUNCTION("""COMPUTED_VALUE"""),36)</f>
        <v>36</v>
      </c>
      <c r="AF911" s="5" t="b">
        <f ca="1">IFERROR(__xludf.DUMMYFUNCTION("""COMPUTED_VALUE"""),FALSE)</f>
        <v>0</v>
      </c>
      <c r="AG911" s="5" t="str">
        <f ca="1">IFERROR(__xludf.DUMMYFUNCTION("""COMPUTED_VALUE"""),"INSPECCIONES REALIZADAS")</f>
        <v>INSPECCIONES REALIZADAS</v>
      </c>
      <c r="AH911" s="5"/>
    </row>
    <row r="912" spans="1:34">
      <c r="A912" s="5" t="str">
        <f ca="1">IFERROR(__xludf.DUMMYFUNCTION("""COMPUTED_VALUE"""),"LINEA DE ENVASADO PET NO RETORNABLE")</f>
        <v>LINEA DE ENVASADO PET NO RETORNABLE</v>
      </c>
      <c r="B912" s="5">
        <f ca="1">IFERROR(__xludf.DUMMYFUNCTION("""COMPUTED_VALUE"""),900232)</f>
        <v>900232</v>
      </c>
      <c r="C912" s="5" t="str">
        <f ca="1">IFERROR(__xludf.DUMMYFUNCTION("""COMPUTED_VALUE"""),"PALETIZADORA")</f>
        <v>PALETIZADORA</v>
      </c>
      <c r="D912" s="5">
        <f ca="1">IFERROR(__xludf.DUMMYFUNCTION("""COMPUTED_VALUE"""),13247833)</f>
        <v>13247833</v>
      </c>
      <c r="E912" s="5" t="str">
        <f ca="1">IFERROR(__xludf.DUMMYFUNCTION("""COMPUTED_VALUE"""),"INSPECCION SEMANAL PALETIZADORA")</f>
        <v>INSPECCION SEMANAL PALETIZADORA</v>
      </c>
      <c r="F912" s="5" t="str">
        <f ca="1">IFERROR(__xludf.DUMMYFUNCTION("""COMPUTED_VALUE"""),"INSP SILENCIADOR VALVULA ASPIRACION COLOCADOR CAPAS")</f>
        <v>INSP SILENCIADOR VALVULA ASPIRACION COLOCADOR CAPAS</v>
      </c>
      <c r="G912" s="5" t="b">
        <f ca="1">IFERROR(__xludf.DUMMYFUNCTION("""COMPUTED_VALUE"""),TRUE)</f>
        <v>1</v>
      </c>
      <c r="H912" s="5"/>
      <c r="I912" s="5"/>
      <c r="J912" s="5">
        <f ca="1">IFERROR(__xludf.DUMMYFUNCTION("""COMPUTED_VALUE"""),13247833)</f>
        <v>13247833</v>
      </c>
      <c r="K912" s="5"/>
      <c r="L912" s="18">
        <f ca="1">IFERROR(__xludf.DUMMYFUNCTION("""COMPUTED_VALUE"""),45324)</f>
        <v>45324</v>
      </c>
      <c r="M912" s="18">
        <f ca="1">IFERROR(__xludf.DUMMYFUNCTION("""COMPUTED_VALUE"""),45324)</f>
        <v>45324</v>
      </c>
      <c r="N912" s="5" t="str">
        <f ca="1">IFERROR(__xludf.DUMMYFUNCTION("""COMPUTED_VALUE"""),"Astaiza Hernandez John Eyder")</f>
        <v>Astaiza Hernandez John Eyder</v>
      </c>
      <c r="O912" s="2">
        <f ca="1">IFERROR(__xludf.DUMMYFUNCTION("""COMPUTED_VALUE"""),0.002777778)</f>
        <v>2.7777779999999998E-3</v>
      </c>
      <c r="P912" s="5">
        <f ca="1">IFERROR(__xludf.DUMMYFUNCTION("""COMPUTED_VALUE"""),20027410)</f>
        <v>20027410</v>
      </c>
      <c r="Q912" s="5" t="str">
        <f ca="1">IFERROR(__xludf.DUMMYFUNCTION("""COMPUTED_VALUE"""),"DyH-anKA_m4")</f>
        <v>DyH-anKA_m4</v>
      </c>
      <c r="R912" s="5">
        <f ca="1">IFERROR(__xludf.DUMMYFUNCTION("""COMPUTED_VALUE"""),410)</f>
        <v>410</v>
      </c>
      <c r="S912" s="62">
        <f ca="1">IFERROR(__xludf.DUMMYFUNCTION("""COMPUTED_VALUE"""),0.002777778)</f>
        <v>2.7777779999999998E-3</v>
      </c>
      <c r="T912" s="63" t="str">
        <f ca="1">IFERROR(__xludf.DUMMYFUNCTION("""COMPUTED_VALUE"""),"https://storage.googleapis.com/glide-prod.appspot.com/uploads-v2/ly7o78grxPaC6KdgvbpS/pub/3aRdSog0vUtuqPE8AJKD.png")</f>
        <v>https://storage.googleapis.com/glide-prod.appspot.com/uploads-v2/ly7o78grxPaC6KdgvbpS/pub/3aRdSog0vUtuqPE8AJKD.png</v>
      </c>
      <c r="U912" s="5" t="str">
        <f ca="1">IFERROR(__xludf.DUMMYFUNCTION("""COMPUTED_VALUE"""),"LINEA DE ENVASADO PET NO RETORNABLEPALETIZADORA")</f>
        <v>LINEA DE ENVASADO PET NO RETORNABLEPALETIZADORA</v>
      </c>
      <c r="V912" s="5"/>
      <c r="W912" s="5" t="b">
        <f ca="1">IFERROR(__xludf.DUMMYFUNCTION("""COMPUTED_VALUE"""),TRUE)</f>
        <v>1</v>
      </c>
      <c r="X912" s="5" t="str">
        <f ca="1">IFERROR(__xludf.DUMMYFUNCTION("""COMPUTED_VALUE"""),"wguerra@postobon.com.co,aprmttoyu@postobon.com.co,aprmyu@postobon.com.co,wmora@postobon.com.co,efzapata@postobon.com.co")</f>
        <v>wguerra@postobon.com.co,aprmttoyu@postobon.com.co,aprmyu@postobon.com.co,wmora@postobon.com.co,efzapata@postobon.com.co</v>
      </c>
      <c r="Y912" s="5" t="str">
        <f ca="1">IFERROR(__xludf.DUMMYFUNCTION("""COMPUTED_VALUE"""),"wguerra@postobon.com.co")</f>
        <v>wguerra@postobon.com.co</v>
      </c>
      <c r="Z912" s="5" t="str">
        <f ca="1">IFERROR(__xludf.DUMMYFUNCTION("""COMPUTED_VALUE"""),"1GwTBULKRsyzShVMAsZEbg")</f>
        <v>1GwTBULKRsyzShVMAsZEbg</v>
      </c>
      <c r="AA912" s="5"/>
      <c r="AB912" s="5"/>
      <c r="AC912" s="5"/>
      <c r="AD912" s="5">
        <f ca="1">IFERROR(__xludf.DUMMYFUNCTION("""COMPUTED_VALUE"""),36)</f>
        <v>36</v>
      </c>
      <c r="AE912" s="5">
        <f ca="1">IFERROR(__xludf.DUMMYFUNCTION("""COMPUTED_VALUE"""),36)</f>
        <v>36</v>
      </c>
      <c r="AF912" s="5" t="b">
        <f ca="1">IFERROR(__xludf.DUMMYFUNCTION("""COMPUTED_VALUE"""),FALSE)</f>
        <v>0</v>
      </c>
      <c r="AG912" s="5" t="str">
        <f ca="1">IFERROR(__xludf.DUMMYFUNCTION("""COMPUTED_VALUE"""),"INSPECCIONES REALIZADAS")</f>
        <v>INSPECCIONES REALIZADAS</v>
      </c>
      <c r="AH912" s="5"/>
    </row>
    <row r="913" spans="1:34">
      <c r="A913" s="5" t="str">
        <f ca="1">IFERROR(__xludf.DUMMYFUNCTION("""COMPUTED_VALUE"""),"LINEA DE ENVASADO PET NO RETORNABLE")</f>
        <v>LINEA DE ENVASADO PET NO RETORNABLE</v>
      </c>
      <c r="B913" s="5">
        <f ca="1">IFERROR(__xludf.DUMMYFUNCTION("""COMPUTED_VALUE"""),900232)</f>
        <v>900232</v>
      </c>
      <c r="C913" s="5" t="str">
        <f ca="1">IFERROR(__xludf.DUMMYFUNCTION("""COMPUTED_VALUE"""),"PALETIZADORA")</f>
        <v>PALETIZADORA</v>
      </c>
      <c r="D913" s="5">
        <f ca="1">IFERROR(__xludf.DUMMYFUNCTION("""COMPUTED_VALUE"""),13247833)</f>
        <v>13247833</v>
      </c>
      <c r="E913" s="5" t="str">
        <f ca="1">IFERROR(__xludf.DUMMYFUNCTION("""COMPUTED_VALUE"""),"INSPECCION SEMANAL PALETIZADORA")</f>
        <v>INSPECCION SEMANAL PALETIZADORA</v>
      </c>
      <c r="F913" s="5" t="str">
        <f ca="1">IFERROR(__xludf.DUMMYFUNCTION("""COMPUTED_VALUE"""),"INSP INTERCAMBIADOR Y REJILLA AIRE COLOCADOR CAPAS")</f>
        <v>INSP INTERCAMBIADOR Y REJILLA AIRE COLOCADOR CAPAS</v>
      </c>
      <c r="G913" s="5" t="b">
        <f ca="1">IFERROR(__xludf.DUMMYFUNCTION("""COMPUTED_VALUE"""),TRUE)</f>
        <v>1</v>
      </c>
      <c r="H913" s="5"/>
      <c r="I913" s="5"/>
      <c r="J913" s="5">
        <f ca="1">IFERROR(__xludf.DUMMYFUNCTION("""COMPUTED_VALUE"""),13247833)</f>
        <v>13247833</v>
      </c>
      <c r="K913" s="5"/>
      <c r="L913" s="18">
        <f ca="1">IFERROR(__xludf.DUMMYFUNCTION("""COMPUTED_VALUE"""),45324)</f>
        <v>45324</v>
      </c>
      <c r="M913" s="18">
        <f ca="1">IFERROR(__xludf.DUMMYFUNCTION("""COMPUTED_VALUE"""),45324)</f>
        <v>45324</v>
      </c>
      <c r="N913" s="5" t="str">
        <f ca="1">IFERROR(__xludf.DUMMYFUNCTION("""COMPUTED_VALUE"""),"Astaiza Hernandez John Eyder")</f>
        <v>Astaiza Hernandez John Eyder</v>
      </c>
      <c r="O913" s="2">
        <f ca="1">IFERROR(__xludf.DUMMYFUNCTION("""COMPUTED_VALUE"""),0.002777778)</f>
        <v>2.7777779999999998E-3</v>
      </c>
      <c r="P913" s="5">
        <f ca="1">IFERROR(__xludf.DUMMYFUNCTION("""COMPUTED_VALUE"""),20027410)</f>
        <v>20027410</v>
      </c>
      <c r="Q913" s="5" t="str">
        <f ca="1">IFERROR(__xludf.DUMMYFUNCTION("""COMPUTED_VALUE"""),"PCq-FV87GrE")</f>
        <v>PCq-FV87GrE</v>
      </c>
      <c r="R913" s="5">
        <f ca="1">IFERROR(__xludf.DUMMYFUNCTION("""COMPUTED_VALUE"""),410)</f>
        <v>410</v>
      </c>
      <c r="S913" s="62">
        <f ca="1">IFERROR(__xludf.DUMMYFUNCTION("""COMPUTED_VALUE"""),0.002777778)</f>
        <v>2.7777779999999998E-3</v>
      </c>
      <c r="T913" s="63" t="str">
        <f ca="1">IFERROR(__xludf.DUMMYFUNCTION("""COMPUTED_VALUE"""),"https://storage.googleapis.com/glide-prod.appspot.com/uploads-v2/ly7o78grxPaC6KdgvbpS/pub/3aRdSog0vUtuqPE8AJKD.png")</f>
        <v>https://storage.googleapis.com/glide-prod.appspot.com/uploads-v2/ly7o78grxPaC6KdgvbpS/pub/3aRdSog0vUtuqPE8AJKD.png</v>
      </c>
      <c r="U913" s="5" t="str">
        <f ca="1">IFERROR(__xludf.DUMMYFUNCTION("""COMPUTED_VALUE"""),"LINEA DE ENVASADO PET NO RETORNABLEPALETIZADORA")</f>
        <v>LINEA DE ENVASADO PET NO RETORNABLEPALETIZADORA</v>
      </c>
      <c r="V913" s="5"/>
      <c r="W913" s="5" t="b">
        <f ca="1">IFERROR(__xludf.DUMMYFUNCTION("""COMPUTED_VALUE"""),TRUE)</f>
        <v>1</v>
      </c>
      <c r="X913" s="5" t="str">
        <f ca="1">IFERROR(__xludf.DUMMYFUNCTION("""COMPUTED_VALUE"""),"wguerra@postobon.com.co,aprmttoyu@postobon.com.co,aprmyu@postobon.com.co,wmora@postobon.com.co,efzapata@postobon.com.co")</f>
        <v>wguerra@postobon.com.co,aprmttoyu@postobon.com.co,aprmyu@postobon.com.co,wmora@postobon.com.co,efzapata@postobon.com.co</v>
      </c>
      <c r="Y913" s="5" t="str">
        <f ca="1">IFERROR(__xludf.DUMMYFUNCTION("""COMPUTED_VALUE"""),"wguerra@postobon.com.co")</f>
        <v>wguerra@postobon.com.co</v>
      </c>
      <c r="Z913" s="5" t="str">
        <f ca="1">IFERROR(__xludf.DUMMYFUNCTION("""COMPUTED_VALUE"""),"3iuxo8-kSaeohf6j1ITjxg")</f>
        <v>3iuxo8-kSaeohf6j1ITjxg</v>
      </c>
      <c r="AA913" s="5"/>
      <c r="AB913" s="5"/>
      <c r="AC913" s="5"/>
      <c r="AD913" s="5">
        <f ca="1">IFERROR(__xludf.DUMMYFUNCTION("""COMPUTED_VALUE"""),36)</f>
        <v>36</v>
      </c>
      <c r="AE913" s="5">
        <f ca="1">IFERROR(__xludf.DUMMYFUNCTION("""COMPUTED_VALUE"""),36)</f>
        <v>36</v>
      </c>
      <c r="AF913" s="5" t="b">
        <f ca="1">IFERROR(__xludf.DUMMYFUNCTION("""COMPUTED_VALUE"""),FALSE)</f>
        <v>0</v>
      </c>
      <c r="AG913" s="5" t="str">
        <f ca="1">IFERROR(__xludf.DUMMYFUNCTION("""COMPUTED_VALUE"""),"INSPECCIONES REALIZADAS")</f>
        <v>INSPECCIONES REALIZADAS</v>
      </c>
      <c r="AH913" s="5"/>
    </row>
    <row r="914" spans="1:34">
      <c r="A914" s="5" t="str">
        <f ca="1">IFERROR(__xludf.DUMMYFUNCTION("""COMPUTED_VALUE"""),"LINEA DE ENVASADO PET NO RETORNABLE")</f>
        <v>LINEA DE ENVASADO PET NO RETORNABLE</v>
      </c>
      <c r="B914" s="5">
        <f ca="1">IFERROR(__xludf.DUMMYFUNCTION("""COMPUTED_VALUE"""),900232)</f>
        <v>900232</v>
      </c>
      <c r="C914" s="5" t="str">
        <f ca="1">IFERROR(__xludf.DUMMYFUNCTION("""COMPUTED_VALUE"""),"PALETIZADORA")</f>
        <v>PALETIZADORA</v>
      </c>
      <c r="D914" s="5">
        <f ca="1">IFERROR(__xludf.DUMMYFUNCTION("""COMPUTED_VALUE"""),13247833)</f>
        <v>13247833</v>
      </c>
      <c r="E914" s="5" t="str">
        <f ca="1">IFERROR(__xludf.DUMMYFUNCTION("""COMPUTED_VALUE"""),"INSPECCION SEMANAL PALETIZADORA")</f>
        <v>INSPECCION SEMANAL PALETIZADORA</v>
      </c>
      <c r="F914" s="5" t="str">
        <f ca="1">IFERROR(__xludf.DUMMYFUNCTION("""COMPUTED_VALUE"""),"ESTADO-TENSION CORREAS Y CADENAS COLOCADOR CAPAS")</f>
        <v>ESTADO-TENSION CORREAS Y CADENAS COLOCADOR CAPAS</v>
      </c>
      <c r="G914" s="5" t="b">
        <f ca="1">IFERROR(__xludf.DUMMYFUNCTION("""COMPUTED_VALUE"""),TRUE)</f>
        <v>1</v>
      </c>
      <c r="H914" s="5"/>
      <c r="I914" s="5"/>
      <c r="J914" s="5">
        <f ca="1">IFERROR(__xludf.DUMMYFUNCTION("""COMPUTED_VALUE"""),13247833)</f>
        <v>13247833</v>
      </c>
      <c r="K914" s="5"/>
      <c r="L914" s="18">
        <f ca="1">IFERROR(__xludf.DUMMYFUNCTION("""COMPUTED_VALUE"""),45324)</f>
        <v>45324</v>
      </c>
      <c r="M914" s="18">
        <f ca="1">IFERROR(__xludf.DUMMYFUNCTION("""COMPUTED_VALUE"""),45324)</f>
        <v>45324</v>
      </c>
      <c r="N914" s="5" t="str">
        <f ca="1">IFERROR(__xludf.DUMMYFUNCTION("""COMPUTED_VALUE"""),"Astaiza Hernandez John Eyder")</f>
        <v>Astaiza Hernandez John Eyder</v>
      </c>
      <c r="O914" s="2">
        <f ca="1">IFERROR(__xludf.DUMMYFUNCTION("""COMPUTED_VALUE"""),0.002777778)</f>
        <v>2.7777779999999998E-3</v>
      </c>
      <c r="P914" s="5">
        <f ca="1">IFERROR(__xludf.DUMMYFUNCTION("""COMPUTED_VALUE"""),20027410)</f>
        <v>20027410</v>
      </c>
      <c r="Q914" s="5" t="str">
        <f ca="1">IFERROR(__xludf.DUMMYFUNCTION("""COMPUTED_VALUE"""),"NPFW15R3BsM")</f>
        <v>NPFW15R3BsM</v>
      </c>
      <c r="R914" s="5">
        <f ca="1">IFERROR(__xludf.DUMMYFUNCTION("""COMPUTED_VALUE"""),410)</f>
        <v>410</v>
      </c>
      <c r="S914" s="62">
        <f ca="1">IFERROR(__xludf.DUMMYFUNCTION("""COMPUTED_VALUE"""),0.002777778)</f>
        <v>2.7777779999999998E-3</v>
      </c>
      <c r="T914" s="63" t="str">
        <f ca="1">IFERROR(__xludf.DUMMYFUNCTION("""COMPUTED_VALUE"""),"https://storage.googleapis.com/glide-prod.appspot.com/uploads-v2/ly7o78grxPaC6KdgvbpS/pub/3aRdSog0vUtuqPE8AJKD.png")</f>
        <v>https://storage.googleapis.com/glide-prod.appspot.com/uploads-v2/ly7o78grxPaC6KdgvbpS/pub/3aRdSog0vUtuqPE8AJKD.png</v>
      </c>
      <c r="U914" s="5" t="str">
        <f ca="1">IFERROR(__xludf.DUMMYFUNCTION("""COMPUTED_VALUE"""),"LINEA DE ENVASADO PET NO RETORNABLEPALETIZADORA")</f>
        <v>LINEA DE ENVASADO PET NO RETORNABLEPALETIZADORA</v>
      </c>
      <c r="V914" s="5"/>
      <c r="W914" s="5" t="b">
        <f ca="1">IFERROR(__xludf.DUMMYFUNCTION("""COMPUTED_VALUE"""),TRUE)</f>
        <v>1</v>
      </c>
      <c r="X914" s="5" t="str">
        <f ca="1">IFERROR(__xludf.DUMMYFUNCTION("""COMPUTED_VALUE"""),"wguerra@postobon.com.co,aprmttoyu@postobon.com.co,aprmyu@postobon.com.co,wmora@postobon.com.co,efzapata@postobon.com.co")</f>
        <v>wguerra@postobon.com.co,aprmttoyu@postobon.com.co,aprmyu@postobon.com.co,wmora@postobon.com.co,efzapata@postobon.com.co</v>
      </c>
      <c r="Y914" s="5" t="str">
        <f ca="1">IFERROR(__xludf.DUMMYFUNCTION("""COMPUTED_VALUE"""),"wguerra@postobon.com.co")</f>
        <v>wguerra@postobon.com.co</v>
      </c>
      <c r="Z914" s="5" t="str">
        <f ca="1">IFERROR(__xludf.DUMMYFUNCTION("""COMPUTED_VALUE"""),"L6rIuhXuS6OqnoBzXGyZbw")</f>
        <v>L6rIuhXuS6OqnoBzXGyZbw</v>
      </c>
      <c r="AA914" s="5"/>
      <c r="AB914" s="5"/>
      <c r="AC914" s="5"/>
      <c r="AD914" s="5">
        <f ca="1">IFERROR(__xludf.DUMMYFUNCTION("""COMPUTED_VALUE"""),36)</f>
        <v>36</v>
      </c>
      <c r="AE914" s="5">
        <f ca="1">IFERROR(__xludf.DUMMYFUNCTION("""COMPUTED_VALUE"""),36)</f>
        <v>36</v>
      </c>
      <c r="AF914" s="5" t="b">
        <f ca="1">IFERROR(__xludf.DUMMYFUNCTION("""COMPUTED_VALUE"""),FALSE)</f>
        <v>0</v>
      </c>
      <c r="AG914" s="5" t="str">
        <f ca="1">IFERROR(__xludf.DUMMYFUNCTION("""COMPUTED_VALUE"""),"INSPECCIONES REALIZADAS")</f>
        <v>INSPECCIONES REALIZADAS</v>
      </c>
      <c r="AH914" s="5"/>
    </row>
    <row r="915" spans="1:34">
      <c r="A915" s="5" t="str">
        <f ca="1">IFERROR(__xludf.DUMMYFUNCTION("""COMPUTED_VALUE"""),"LINEA DE ENVASADO PET NO RETORNABLE")</f>
        <v>LINEA DE ENVASADO PET NO RETORNABLE</v>
      </c>
      <c r="B915" s="5">
        <f ca="1">IFERROR(__xludf.DUMMYFUNCTION("""COMPUTED_VALUE"""),900232)</f>
        <v>900232</v>
      </c>
      <c r="C915" s="5" t="str">
        <f ca="1">IFERROR(__xludf.DUMMYFUNCTION("""COMPUTED_VALUE"""),"PALETIZADORA")</f>
        <v>PALETIZADORA</v>
      </c>
      <c r="D915" s="5">
        <f ca="1">IFERROR(__xludf.DUMMYFUNCTION("""COMPUTED_VALUE"""),13247833)</f>
        <v>13247833</v>
      </c>
      <c r="E915" s="5" t="str">
        <f ca="1">IFERROR(__xludf.DUMMYFUNCTION("""COMPUTED_VALUE"""),"INSPECCION SEMANAL PALETIZADORA")</f>
        <v>INSPECCION SEMANAL PALETIZADORA</v>
      </c>
      <c r="F915" s="5" t="str">
        <f ca="1">IFERROR(__xludf.DUMMYFUNCTION("""COMPUTED_VALUE"""),"FUNC FRENOS SERVOMOTOR COLOCADOR CAPAS")</f>
        <v>FUNC FRENOS SERVOMOTOR COLOCADOR CAPAS</v>
      </c>
      <c r="G915" s="5" t="b">
        <f ca="1">IFERROR(__xludf.DUMMYFUNCTION("""COMPUTED_VALUE"""),TRUE)</f>
        <v>1</v>
      </c>
      <c r="H915" s="5"/>
      <c r="I915" s="5"/>
      <c r="J915" s="5">
        <f ca="1">IFERROR(__xludf.DUMMYFUNCTION("""COMPUTED_VALUE"""),13247833)</f>
        <v>13247833</v>
      </c>
      <c r="K915" s="5"/>
      <c r="L915" s="18">
        <f ca="1">IFERROR(__xludf.DUMMYFUNCTION("""COMPUTED_VALUE"""),45324)</f>
        <v>45324</v>
      </c>
      <c r="M915" s="18">
        <f ca="1">IFERROR(__xludf.DUMMYFUNCTION("""COMPUTED_VALUE"""),45324)</f>
        <v>45324</v>
      </c>
      <c r="N915" s="5" t="str">
        <f ca="1">IFERROR(__xludf.DUMMYFUNCTION("""COMPUTED_VALUE"""),"Astaiza Hernandez John Eyder")</f>
        <v>Astaiza Hernandez John Eyder</v>
      </c>
      <c r="O915" s="2">
        <f ca="1">IFERROR(__xludf.DUMMYFUNCTION("""COMPUTED_VALUE"""),0.002777778)</f>
        <v>2.7777779999999998E-3</v>
      </c>
      <c r="P915" s="5">
        <f ca="1">IFERROR(__xludf.DUMMYFUNCTION("""COMPUTED_VALUE"""),20027410)</f>
        <v>20027410</v>
      </c>
      <c r="Q915" s="5" t="str">
        <f ca="1">IFERROR(__xludf.DUMMYFUNCTION("""COMPUTED_VALUE"""),"qBVudKY6m60")</f>
        <v>qBVudKY6m60</v>
      </c>
      <c r="R915" s="5">
        <f ca="1">IFERROR(__xludf.DUMMYFUNCTION("""COMPUTED_VALUE"""),410)</f>
        <v>410</v>
      </c>
      <c r="S915" s="62">
        <f ca="1">IFERROR(__xludf.DUMMYFUNCTION("""COMPUTED_VALUE"""),0.002777778)</f>
        <v>2.7777779999999998E-3</v>
      </c>
      <c r="T915" s="63" t="str">
        <f ca="1">IFERROR(__xludf.DUMMYFUNCTION("""COMPUTED_VALUE"""),"https://storage.googleapis.com/glide-prod.appspot.com/uploads-v2/ly7o78grxPaC6KdgvbpS/pub/3aRdSog0vUtuqPE8AJKD.png")</f>
        <v>https://storage.googleapis.com/glide-prod.appspot.com/uploads-v2/ly7o78grxPaC6KdgvbpS/pub/3aRdSog0vUtuqPE8AJKD.png</v>
      </c>
      <c r="U915" s="5" t="str">
        <f ca="1">IFERROR(__xludf.DUMMYFUNCTION("""COMPUTED_VALUE"""),"LINEA DE ENVASADO PET NO RETORNABLEPALETIZADORA")</f>
        <v>LINEA DE ENVASADO PET NO RETORNABLEPALETIZADORA</v>
      </c>
      <c r="V915" s="5"/>
      <c r="W915" s="5" t="b">
        <f ca="1">IFERROR(__xludf.DUMMYFUNCTION("""COMPUTED_VALUE"""),TRUE)</f>
        <v>1</v>
      </c>
      <c r="X915" s="5" t="str">
        <f ca="1">IFERROR(__xludf.DUMMYFUNCTION("""COMPUTED_VALUE"""),"wguerra@postobon.com.co,aprmttoyu@postobon.com.co,aprmyu@postobon.com.co,wmora@postobon.com.co,efzapata@postobon.com.co")</f>
        <v>wguerra@postobon.com.co,aprmttoyu@postobon.com.co,aprmyu@postobon.com.co,wmora@postobon.com.co,efzapata@postobon.com.co</v>
      </c>
      <c r="Y915" s="5" t="str">
        <f ca="1">IFERROR(__xludf.DUMMYFUNCTION("""COMPUTED_VALUE"""),"wguerra@postobon.com.co")</f>
        <v>wguerra@postobon.com.co</v>
      </c>
      <c r="Z915" s="5" t="str">
        <f ca="1">IFERROR(__xludf.DUMMYFUNCTION("""COMPUTED_VALUE"""),"TVH9Bli9QLuukgS04GFLaA")</f>
        <v>TVH9Bli9QLuukgS04GFLaA</v>
      </c>
      <c r="AA915" s="5"/>
      <c r="AB915" s="5"/>
      <c r="AC915" s="5"/>
      <c r="AD915" s="5">
        <f ca="1">IFERROR(__xludf.DUMMYFUNCTION("""COMPUTED_VALUE"""),36)</f>
        <v>36</v>
      </c>
      <c r="AE915" s="5">
        <f ca="1">IFERROR(__xludf.DUMMYFUNCTION("""COMPUTED_VALUE"""),36)</f>
        <v>36</v>
      </c>
      <c r="AF915" s="5" t="b">
        <f ca="1">IFERROR(__xludf.DUMMYFUNCTION("""COMPUTED_VALUE"""),FALSE)</f>
        <v>0</v>
      </c>
      <c r="AG915" s="5" t="str">
        <f ca="1">IFERROR(__xludf.DUMMYFUNCTION("""COMPUTED_VALUE"""),"INSPECCIONES REALIZADAS")</f>
        <v>INSPECCIONES REALIZADAS</v>
      </c>
      <c r="AH915" s="5"/>
    </row>
    <row r="916" spans="1:34">
      <c r="A916" s="5" t="str">
        <f ca="1">IFERROR(__xludf.DUMMYFUNCTION("""COMPUTED_VALUE"""),"LINEA DE ENVASADO PET NO RETORNABLE")</f>
        <v>LINEA DE ENVASADO PET NO RETORNABLE</v>
      </c>
      <c r="B916" s="5">
        <f ca="1">IFERROR(__xludf.DUMMYFUNCTION("""COMPUTED_VALUE"""),900232)</f>
        <v>900232</v>
      </c>
      <c r="C916" s="5" t="str">
        <f ca="1">IFERROR(__xludf.DUMMYFUNCTION("""COMPUTED_VALUE"""),"PALETIZADORA")</f>
        <v>PALETIZADORA</v>
      </c>
      <c r="D916" s="5">
        <f ca="1">IFERROR(__xludf.DUMMYFUNCTION("""COMPUTED_VALUE"""),13247833)</f>
        <v>13247833</v>
      </c>
      <c r="E916" s="5" t="str">
        <f ca="1">IFERROR(__xludf.DUMMYFUNCTION("""COMPUTED_VALUE"""),"INSPECCION SEMANAL PALETIZADORA")</f>
        <v>INSPECCION SEMANAL PALETIZADORA</v>
      </c>
      <c r="F916" s="5" t="str">
        <f ca="1">IFERROR(__xludf.DUMMYFUNCTION("""COMPUTED_VALUE"""),"FUNC UNIDAD EYECTOR MARCO ASPIRACION COLOCADOR CAPAS")</f>
        <v>FUNC UNIDAD EYECTOR MARCO ASPIRACION COLOCADOR CAPAS</v>
      </c>
      <c r="G916" s="5" t="b">
        <f ca="1">IFERROR(__xludf.DUMMYFUNCTION("""COMPUTED_VALUE"""),TRUE)</f>
        <v>1</v>
      </c>
      <c r="H916" s="5"/>
      <c r="I916" s="5"/>
      <c r="J916" s="5">
        <f ca="1">IFERROR(__xludf.DUMMYFUNCTION("""COMPUTED_VALUE"""),13247833)</f>
        <v>13247833</v>
      </c>
      <c r="K916" s="5"/>
      <c r="L916" s="18">
        <f ca="1">IFERROR(__xludf.DUMMYFUNCTION("""COMPUTED_VALUE"""),45324)</f>
        <v>45324</v>
      </c>
      <c r="M916" s="18">
        <f ca="1">IFERROR(__xludf.DUMMYFUNCTION("""COMPUTED_VALUE"""),45324)</f>
        <v>45324</v>
      </c>
      <c r="N916" s="5" t="str">
        <f ca="1">IFERROR(__xludf.DUMMYFUNCTION("""COMPUTED_VALUE"""),"Astaiza Hernandez John Eyder")</f>
        <v>Astaiza Hernandez John Eyder</v>
      </c>
      <c r="O916" s="2">
        <f ca="1">IFERROR(__xludf.DUMMYFUNCTION("""COMPUTED_VALUE"""),0.002777778)</f>
        <v>2.7777779999999998E-3</v>
      </c>
      <c r="P916" s="5">
        <f ca="1">IFERROR(__xludf.DUMMYFUNCTION("""COMPUTED_VALUE"""),20027410)</f>
        <v>20027410</v>
      </c>
      <c r="Q916" s="5" t="str">
        <f ca="1">IFERROR(__xludf.DUMMYFUNCTION("""COMPUTED_VALUE"""),"_IxvHjkywqk")</f>
        <v>_IxvHjkywqk</v>
      </c>
      <c r="R916" s="5">
        <f ca="1">IFERROR(__xludf.DUMMYFUNCTION("""COMPUTED_VALUE"""),410)</f>
        <v>410</v>
      </c>
      <c r="S916" s="62">
        <f ca="1">IFERROR(__xludf.DUMMYFUNCTION("""COMPUTED_VALUE"""),0.002777778)</f>
        <v>2.7777779999999998E-3</v>
      </c>
      <c r="T916" s="63" t="str">
        <f ca="1">IFERROR(__xludf.DUMMYFUNCTION("""COMPUTED_VALUE"""),"https://storage.googleapis.com/glide-prod.appspot.com/uploads-v2/ly7o78grxPaC6KdgvbpS/pub/3aRdSog0vUtuqPE8AJKD.png")</f>
        <v>https://storage.googleapis.com/glide-prod.appspot.com/uploads-v2/ly7o78grxPaC6KdgvbpS/pub/3aRdSog0vUtuqPE8AJKD.png</v>
      </c>
      <c r="U916" s="5" t="str">
        <f ca="1">IFERROR(__xludf.DUMMYFUNCTION("""COMPUTED_VALUE"""),"LINEA DE ENVASADO PET NO RETORNABLEPALETIZADORA")</f>
        <v>LINEA DE ENVASADO PET NO RETORNABLEPALETIZADORA</v>
      </c>
      <c r="V916" s="5"/>
      <c r="W916" s="5" t="b">
        <f ca="1">IFERROR(__xludf.DUMMYFUNCTION("""COMPUTED_VALUE"""),TRUE)</f>
        <v>1</v>
      </c>
      <c r="X916" s="5" t="str">
        <f ca="1">IFERROR(__xludf.DUMMYFUNCTION("""COMPUTED_VALUE"""),"wguerra@postobon.com.co,aprmttoyu@postobon.com.co,aprmyu@postobon.com.co,wmora@postobon.com.co,efzapata@postobon.com.co")</f>
        <v>wguerra@postobon.com.co,aprmttoyu@postobon.com.co,aprmyu@postobon.com.co,wmora@postobon.com.co,efzapata@postobon.com.co</v>
      </c>
      <c r="Y916" s="5" t="str">
        <f ca="1">IFERROR(__xludf.DUMMYFUNCTION("""COMPUTED_VALUE"""),"wguerra@postobon.com.co")</f>
        <v>wguerra@postobon.com.co</v>
      </c>
      <c r="Z916" s="5" t="str">
        <f ca="1">IFERROR(__xludf.DUMMYFUNCTION("""COMPUTED_VALUE"""),"sLpokV-MSEu7.TCZ29Ywcg")</f>
        <v>sLpokV-MSEu7.TCZ29Ywcg</v>
      </c>
      <c r="AA916" s="5"/>
      <c r="AB916" s="5"/>
      <c r="AC916" s="5"/>
      <c r="AD916" s="5">
        <f ca="1">IFERROR(__xludf.DUMMYFUNCTION("""COMPUTED_VALUE"""),36)</f>
        <v>36</v>
      </c>
      <c r="AE916" s="5">
        <f ca="1">IFERROR(__xludf.DUMMYFUNCTION("""COMPUTED_VALUE"""),36)</f>
        <v>36</v>
      </c>
      <c r="AF916" s="5" t="b">
        <f ca="1">IFERROR(__xludf.DUMMYFUNCTION("""COMPUTED_VALUE"""),FALSE)</f>
        <v>0</v>
      </c>
      <c r="AG916" s="5" t="str">
        <f ca="1">IFERROR(__xludf.DUMMYFUNCTION("""COMPUTED_VALUE"""),"INSPECCIONES REALIZADAS")</f>
        <v>INSPECCIONES REALIZADAS</v>
      </c>
      <c r="AH916" s="5"/>
    </row>
    <row r="917" spans="1:34">
      <c r="A917" s="5" t="str">
        <f ca="1">IFERROR(__xludf.DUMMYFUNCTION("""COMPUTED_VALUE"""),"LINEA DE ENVASADO PET NO RETORNABLE")</f>
        <v>LINEA DE ENVASADO PET NO RETORNABLE</v>
      </c>
      <c r="B917" s="5">
        <f ca="1">IFERROR(__xludf.DUMMYFUNCTION("""COMPUTED_VALUE"""),900232)</f>
        <v>900232</v>
      </c>
      <c r="C917" s="5" t="str">
        <f ca="1">IFERROR(__xludf.DUMMYFUNCTION("""COMPUTED_VALUE"""),"PALETIZADORA")</f>
        <v>PALETIZADORA</v>
      </c>
      <c r="D917" s="5">
        <f ca="1">IFERROR(__xludf.DUMMYFUNCTION("""COMPUTED_VALUE"""),13247833)</f>
        <v>13247833</v>
      </c>
      <c r="E917" s="5" t="str">
        <f ca="1">IFERROR(__xludf.DUMMYFUNCTION("""COMPUTED_VALUE"""),"INSPECCION SEMANAL PALETIZADORA")</f>
        <v>INSPECCION SEMANAL PALETIZADORA</v>
      </c>
      <c r="F917" s="5" t="str">
        <f ca="1">IFERROR(__xludf.DUMMYFUNCTION("""COMPUTED_VALUE"""),"ESTADO CARRO GUIA COLOCADOR CAPAS")</f>
        <v>ESTADO CARRO GUIA COLOCADOR CAPAS</v>
      </c>
      <c r="G917" s="5" t="b">
        <f ca="1">IFERROR(__xludf.DUMMYFUNCTION("""COMPUTED_VALUE"""),TRUE)</f>
        <v>1</v>
      </c>
      <c r="H917" s="5"/>
      <c r="I917" s="5"/>
      <c r="J917" s="5">
        <f ca="1">IFERROR(__xludf.DUMMYFUNCTION("""COMPUTED_VALUE"""),13247833)</f>
        <v>13247833</v>
      </c>
      <c r="K917" s="5"/>
      <c r="L917" s="18">
        <f ca="1">IFERROR(__xludf.DUMMYFUNCTION("""COMPUTED_VALUE"""),45324)</f>
        <v>45324</v>
      </c>
      <c r="M917" s="18">
        <f ca="1">IFERROR(__xludf.DUMMYFUNCTION("""COMPUTED_VALUE"""),45324)</f>
        <v>45324</v>
      </c>
      <c r="N917" s="5" t="str">
        <f ca="1">IFERROR(__xludf.DUMMYFUNCTION("""COMPUTED_VALUE"""),"Astaiza Hernandez John Eyder")</f>
        <v>Astaiza Hernandez John Eyder</v>
      </c>
      <c r="O917" s="2">
        <f ca="1">IFERROR(__xludf.DUMMYFUNCTION("""COMPUTED_VALUE"""),0.002777778)</f>
        <v>2.7777779999999998E-3</v>
      </c>
      <c r="P917" s="5">
        <f ca="1">IFERROR(__xludf.DUMMYFUNCTION("""COMPUTED_VALUE"""),20027410)</f>
        <v>20027410</v>
      </c>
      <c r="Q917" s="5" t="str">
        <f ca="1">IFERROR(__xludf.DUMMYFUNCTION("""COMPUTED_VALUE"""),"QWXi_s0PET4")</f>
        <v>QWXi_s0PET4</v>
      </c>
      <c r="R917" s="5">
        <f ca="1">IFERROR(__xludf.DUMMYFUNCTION("""COMPUTED_VALUE"""),410)</f>
        <v>410</v>
      </c>
      <c r="S917" s="62">
        <f ca="1">IFERROR(__xludf.DUMMYFUNCTION("""COMPUTED_VALUE"""),0.002777778)</f>
        <v>2.7777779999999998E-3</v>
      </c>
      <c r="T917" s="63" t="str">
        <f ca="1">IFERROR(__xludf.DUMMYFUNCTION("""COMPUTED_VALUE"""),"https://storage.googleapis.com/glide-prod.appspot.com/uploads-v2/ly7o78grxPaC6KdgvbpS/pub/3aRdSog0vUtuqPE8AJKD.png")</f>
        <v>https://storage.googleapis.com/glide-prod.appspot.com/uploads-v2/ly7o78grxPaC6KdgvbpS/pub/3aRdSog0vUtuqPE8AJKD.png</v>
      </c>
      <c r="U917" s="5" t="str">
        <f ca="1">IFERROR(__xludf.DUMMYFUNCTION("""COMPUTED_VALUE"""),"LINEA DE ENVASADO PET NO RETORNABLEPALETIZADORA")</f>
        <v>LINEA DE ENVASADO PET NO RETORNABLEPALETIZADORA</v>
      </c>
      <c r="V917" s="5"/>
      <c r="W917" s="5" t="b">
        <f ca="1">IFERROR(__xludf.DUMMYFUNCTION("""COMPUTED_VALUE"""),TRUE)</f>
        <v>1</v>
      </c>
      <c r="X917" s="5" t="str">
        <f ca="1">IFERROR(__xludf.DUMMYFUNCTION("""COMPUTED_VALUE"""),"wguerra@postobon.com.co,aprmttoyu@postobon.com.co,aprmyu@postobon.com.co,wmora@postobon.com.co,efzapata@postobon.com.co")</f>
        <v>wguerra@postobon.com.co,aprmttoyu@postobon.com.co,aprmyu@postobon.com.co,wmora@postobon.com.co,efzapata@postobon.com.co</v>
      </c>
      <c r="Y917" s="5" t="str">
        <f ca="1">IFERROR(__xludf.DUMMYFUNCTION("""COMPUTED_VALUE"""),"wguerra@postobon.com.co")</f>
        <v>wguerra@postobon.com.co</v>
      </c>
      <c r="Z917" s="5" t="str">
        <f ca="1">IFERROR(__xludf.DUMMYFUNCTION("""COMPUTED_VALUE"""),"1u73grvdRgao6Btx83cbeQ")</f>
        <v>1u73grvdRgao6Btx83cbeQ</v>
      </c>
      <c r="AA917" s="5"/>
      <c r="AB917" s="5"/>
      <c r="AC917" s="5"/>
      <c r="AD917" s="5">
        <f ca="1">IFERROR(__xludf.DUMMYFUNCTION("""COMPUTED_VALUE"""),36)</f>
        <v>36</v>
      </c>
      <c r="AE917" s="5">
        <f ca="1">IFERROR(__xludf.DUMMYFUNCTION("""COMPUTED_VALUE"""),36)</f>
        <v>36</v>
      </c>
      <c r="AF917" s="5" t="b">
        <f ca="1">IFERROR(__xludf.DUMMYFUNCTION("""COMPUTED_VALUE"""),FALSE)</f>
        <v>0</v>
      </c>
      <c r="AG917" s="5" t="str">
        <f ca="1">IFERROR(__xludf.DUMMYFUNCTION("""COMPUTED_VALUE"""),"INSPECCIONES REALIZADAS")</f>
        <v>INSPECCIONES REALIZADAS</v>
      </c>
      <c r="AH917" s="5"/>
    </row>
    <row r="918" spans="1:34">
      <c r="A918" s="5" t="str">
        <f ca="1">IFERROR(__xludf.DUMMYFUNCTION("""COMPUTED_VALUE"""),"LINEA PET CSD - LINEA 10")</f>
        <v>LINEA PET CSD - LINEA 10</v>
      </c>
      <c r="B918" s="5">
        <f ca="1">IFERROR(__xludf.DUMMYFUNCTION("""COMPUTED_VALUE"""),579080)</f>
        <v>579080</v>
      </c>
      <c r="C918" s="5" t="str">
        <f ca="1">IFERROR(__xludf.DUMMYFUNCTION("""COMPUTED_VALUE"""),"PALETIZADORA")</f>
        <v>PALETIZADORA</v>
      </c>
      <c r="D918" s="5">
        <f ca="1">IFERROR(__xludf.DUMMYFUNCTION("""COMPUTED_VALUE"""),13247592)</f>
        <v>13247592</v>
      </c>
      <c r="E918" s="5" t="str">
        <f ca="1">IFERROR(__xludf.DUMMYFUNCTION("""COMPUTED_VALUE"""),"INSPECCION SEMANAL PALETIZADORA MODUPAL")</f>
        <v>INSPECCION SEMANAL PALETIZADORA MODUPAL</v>
      </c>
      <c r="F918" s="5" t="str">
        <f ca="1">IFERROR(__xludf.DUMMYFUNCTION("""COMPUTED_VALUE"""),"ESTADO CADENAS TORNILLERIA")</f>
        <v>ESTADO CADENAS TORNILLERIA</v>
      </c>
      <c r="G918" s="5"/>
      <c r="H918" s="5"/>
      <c r="I918" s="5"/>
      <c r="J918" s="5"/>
      <c r="K918" s="5"/>
      <c r="L918" s="18">
        <f ca="1">IFERROR(__xludf.DUMMYFUNCTION("""COMPUTED_VALUE"""),45325)</f>
        <v>45325</v>
      </c>
      <c r="M918" s="18">
        <f ca="1">IFERROR(__xludf.DUMMYFUNCTION("""COMPUTED_VALUE"""),45325)</f>
        <v>45325</v>
      </c>
      <c r="N918" s="5" t="str">
        <f ca="1">IFERROR(__xludf.DUMMYFUNCTION("""COMPUTED_VALUE"""),"Lucumi Juan")</f>
        <v>Lucumi Juan</v>
      </c>
      <c r="O918" s="2">
        <f ca="1">IFERROR(__xludf.DUMMYFUNCTION("""COMPUTED_VALUE"""),0.004347826)</f>
        <v>4.3478259999999999E-3</v>
      </c>
      <c r="P918" s="5"/>
      <c r="Q918" s="5" t="str">
        <f ca="1">IFERROR(__xludf.DUMMYFUNCTION("""COMPUTED_VALUE"""),"vPCPeuk0BZA")</f>
        <v>vPCPeuk0BZA</v>
      </c>
      <c r="R918" s="5">
        <f ca="1">IFERROR(__xludf.DUMMYFUNCTION("""COMPUTED_VALUE"""),410)</f>
        <v>410</v>
      </c>
      <c r="S918" s="62">
        <f ca="1">IFERROR(__xludf.DUMMYFUNCTION("""COMPUTED_VALUE"""),0.004347826)</f>
        <v>4.3478259999999999E-3</v>
      </c>
      <c r="T918" s="63" t="str">
        <f ca="1">IFERROR(__xludf.DUMMYFUNCTION("""COMPUTED_VALUE"""),"https://storage.googleapis.com/glide-prod.appspot.com/uploads-v2/ly7o78grxPaC6KdgvbpS/pub/UliJWgpEaBovaFmXi6OW.png")</f>
        <v>https://storage.googleapis.com/glide-prod.appspot.com/uploads-v2/ly7o78grxPaC6KdgvbpS/pub/UliJWgpEaBovaFmXi6OW.png</v>
      </c>
      <c r="U918" s="5" t="str">
        <f ca="1">IFERROR(__xludf.DUMMYFUNCTION("""COMPUTED_VALUE"""),"LINEA PET CSD - LINEA 10PALETIZADORA")</f>
        <v>LINEA PET CSD - LINEA 10PALETIZADORA</v>
      </c>
      <c r="V918" s="5"/>
      <c r="W918" s="5"/>
      <c r="X918" s="5" t="str">
        <f ca="1">IFERROR(__xludf.DUMMYFUNCTION("""COMPUTED_VALUE"""),"wmazorra@postobon.com.co,aprmttoyu@postobon.com.co,aprmyu@postobon.com.co,wmora@postobon.com.co,efzapata@postobon.com.co")</f>
        <v>wmazorra@postobon.com.co,aprmttoyu@postobon.com.co,aprmyu@postobon.com.co,wmora@postobon.com.co,efzapata@postobon.com.co</v>
      </c>
      <c r="Y918" s="5" t="str">
        <f ca="1">IFERROR(__xludf.DUMMYFUNCTION("""COMPUTED_VALUE"""),"wmazorra@postobon.com.co")</f>
        <v>wmazorra@postobon.com.co</v>
      </c>
      <c r="Z918" s="5" t="str">
        <f ca="1">IFERROR(__xludf.DUMMYFUNCTION("""COMPUTED_VALUE"""),"Fd3mhcOSQvScv-ZCZnhSnw")</f>
        <v>Fd3mhcOSQvScv-ZCZnhSnw</v>
      </c>
      <c r="AA918" s="5"/>
      <c r="AB918" s="5"/>
      <c r="AC918" s="5"/>
      <c r="AD918" s="5">
        <f ca="1">IFERROR(__xludf.DUMMYFUNCTION("""COMPUTED_VALUE"""),24)</f>
        <v>24</v>
      </c>
      <c r="AE918" s="5">
        <f ca="1">IFERROR(__xludf.DUMMYFUNCTION("""COMPUTED_VALUE"""),0)</f>
        <v>0</v>
      </c>
      <c r="AF918" s="5" t="b">
        <f ca="1">IFERROR(__xludf.DUMMYFUNCTION("""COMPUTED_VALUE"""),TRUE)</f>
        <v>1</v>
      </c>
      <c r="AG918" s="5" t="str">
        <f ca="1">IFERROR(__xludf.DUMMYFUNCTION("""COMPUTED_VALUE"""),"INSPECCIONES SIN REALIZAR")</f>
        <v>INSPECCIONES SIN REALIZAR</v>
      </c>
      <c r="AH918" s="5"/>
    </row>
    <row r="919" spans="1:34">
      <c r="A919" s="5" t="str">
        <f ca="1">IFERROR(__xludf.DUMMYFUNCTION("""COMPUTED_VALUE"""),"LINEA PET CSD - LINEA 10")</f>
        <v>LINEA PET CSD - LINEA 10</v>
      </c>
      <c r="B919" s="5">
        <f ca="1">IFERROR(__xludf.DUMMYFUNCTION("""COMPUTED_VALUE"""),579080)</f>
        <v>579080</v>
      </c>
      <c r="C919" s="5" t="str">
        <f ca="1">IFERROR(__xludf.DUMMYFUNCTION("""COMPUTED_VALUE"""),"PALETIZADORA")</f>
        <v>PALETIZADORA</v>
      </c>
      <c r="D919" s="5">
        <f ca="1">IFERROR(__xludf.DUMMYFUNCTION("""COMPUTED_VALUE"""),13247592)</f>
        <v>13247592</v>
      </c>
      <c r="E919" s="5" t="str">
        <f ca="1">IFERROR(__xludf.DUMMYFUNCTION("""COMPUTED_VALUE"""),"INSPECCION SEMANAL PALETIZADORA MODUPAL")</f>
        <v>INSPECCION SEMANAL PALETIZADORA MODUPAL</v>
      </c>
      <c r="F919" s="5" t="str">
        <f ca="1">IFERROR(__xludf.DUMMYFUNCTION("""COMPUTED_VALUE"""),"INSP. CARRILES TRANSPORTE BOTELLAS")</f>
        <v>INSP. CARRILES TRANSPORTE BOTELLAS</v>
      </c>
      <c r="G919" s="5"/>
      <c r="H919" s="5"/>
      <c r="I919" s="5"/>
      <c r="J919" s="5"/>
      <c r="K919" s="5"/>
      <c r="L919" s="18">
        <f ca="1">IFERROR(__xludf.DUMMYFUNCTION("""COMPUTED_VALUE"""),45325)</f>
        <v>45325</v>
      </c>
      <c r="M919" s="18">
        <f ca="1">IFERROR(__xludf.DUMMYFUNCTION("""COMPUTED_VALUE"""),45325)</f>
        <v>45325</v>
      </c>
      <c r="N919" s="5" t="str">
        <f ca="1">IFERROR(__xludf.DUMMYFUNCTION("""COMPUTED_VALUE"""),"Lucumi Juan")</f>
        <v>Lucumi Juan</v>
      </c>
      <c r="O919" s="2">
        <f ca="1">IFERROR(__xludf.DUMMYFUNCTION("""COMPUTED_VALUE"""),0.004347826)</f>
        <v>4.3478259999999999E-3</v>
      </c>
      <c r="P919" s="5"/>
      <c r="Q919" s="5" t="str">
        <f ca="1">IFERROR(__xludf.DUMMYFUNCTION("""COMPUTED_VALUE"""),"Pb9GMSm_QyE")</f>
        <v>Pb9GMSm_QyE</v>
      </c>
      <c r="R919" s="5">
        <f ca="1">IFERROR(__xludf.DUMMYFUNCTION("""COMPUTED_VALUE"""),410)</f>
        <v>410</v>
      </c>
      <c r="S919" s="62">
        <f ca="1">IFERROR(__xludf.DUMMYFUNCTION("""COMPUTED_VALUE"""),0.004347826)</f>
        <v>4.3478259999999999E-3</v>
      </c>
      <c r="T919" s="63" t="str">
        <f ca="1">IFERROR(__xludf.DUMMYFUNCTION("""COMPUTED_VALUE"""),"https://storage.googleapis.com/glide-prod.appspot.com/uploads-v2/ly7o78grxPaC6KdgvbpS/pub/UliJWgpEaBovaFmXi6OW.png")</f>
        <v>https://storage.googleapis.com/glide-prod.appspot.com/uploads-v2/ly7o78grxPaC6KdgvbpS/pub/UliJWgpEaBovaFmXi6OW.png</v>
      </c>
      <c r="U919" s="5" t="str">
        <f ca="1">IFERROR(__xludf.DUMMYFUNCTION("""COMPUTED_VALUE"""),"LINEA PET CSD - LINEA 10PALETIZADORA")</f>
        <v>LINEA PET CSD - LINEA 10PALETIZADORA</v>
      </c>
      <c r="V919" s="5"/>
      <c r="W919" s="5"/>
      <c r="X919" s="5" t="str">
        <f ca="1">IFERROR(__xludf.DUMMYFUNCTION("""COMPUTED_VALUE"""),"wmazorra@postobon.com.co,aprmttoyu@postobon.com.co,aprmyu@postobon.com.co,wmora@postobon.com.co,efzapata@postobon.com.co")</f>
        <v>wmazorra@postobon.com.co,aprmttoyu@postobon.com.co,aprmyu@postobon.com.co,wmora@postobon.com.co,efzapata@postobon.com.co</v>
      </c>
      <c r="Y919" s="5" t="str">
        <f ca="1">IFERROR(__xludf.DUMMYFUNCTION("""COMPUTED_VALUE"""),"wmazorra@postobon.com.co")</f>
        <v>wmazorra@postobon.com.co</v>
      </c>
      <c r="Z919" s="5" t="str">
        <f ca="1">IFERROR(__xludf.DUMMYFUNCTION("""COMPUTED_VALUE"""),"sUOTDOSlTu2k2782O9zmvg")</f>
        <v>sUOTDOSlTu2k2782O9zmvg</v>
      </c>
      <c r="AA919" s="5"/>
      <c r="AB919" s="5"/>
      <c r="AC919" s="5"/>
      <c r="AD919" s="5">
        <f ca="1">IFERROR(__xludf.DUMMYFUNCTION("""COMPUTED_VALUE"""),24)</f>
        <v>24</v>
      </c>
      <c r="AE919" s="5">
        <f ca="1">IFERROR(__xludf.DUMMYFUNCTION("""COMPUTED_VALUE"""),0)</f>
        <v>0</v>
      </c>
      <c r="AF919" s="5" t="b">
        <f ca="1">IFERROR(__xludf.DUMMYFUNCTION("""COMPUTED_VALUE"""),TRUE)</f>
        <v>1</v>
      </c>
      <c r="AG919" s="5" t="str">
        <f ca="1">IFERROR(__xludf.DUMMYFUNCTION("""COMPUTED_VALUE"""),"INSPECCIONES SIN REALIZAR")</f>
        <v>INSPECCIONES SIN REALIZAR</v>
      </c>
      <c r="AH919" s="5"/>
    </row>
    <row r="920" spans="1:34">
      <c r="A920" s="5" t="str">
        <f ca="1">IFERROR(__xludf.DUMMYFUNCTION("""COMPUTED_VALUE"""),"LINEA PET CSD - LINEA 10")</f>
        <v>LINEA PET CSD - LINEA 10</v>
      </c>
      <c r="B920" s="5">
        <f ca="1">IFERROR(__xludf.DUMMYFUNCTION("""COMPUTED_VALUE"""),579080)</f>
        <v>579080</v>
      </c>
      <c r="C920" s="5" t="str">
        <f ca="1">IFERROR(__xludf.DUMMYFUNCTION("""COMPUTED_VALUE"""),"PALETIZADORA")</f>
        <v>PALETIZADORA</v>
      </c>
      <c r="D920" s="5">
        <f ca="1">IFERROR(__xludf.DUMMYFUNCTION("""COMPUTED_VALUE"""),13247592)</f>
        <v>13247592</v>
      </c>
      <c r="E920" s="5" t="str">
        <f ca="1">IFERROR(__xludf.DUMMYFUNCTION("""COMPUTED_VALUE"""),"INSPECCION SEMANAL PALETIZADORA MODUPAL")</f>
        <v>INSPECCION SEMANAL PALETIZADORA MODUPAL</v>
      </c>
      <c r="F920" s="5" t="str">
        <f ca="1">IFERROR(__xludf.DUMMYFUNCTION("""COMPUTED_VALUE"""),"ESTADO BANDA TRANSPORTADORA")</f>
        <v>ESTADO BANDA TRANSPORTADORA</v>
      </c>
      <c r="G920" s="5"/>
      <c r="H920" s="5"/>
      <c r="I920" s="5"/>
      <c r="J920" s="5"/>
      <c r="K920" s="5"/>
      <c r="L920" s="18">
        <f ca="1">IFERROR(__xludf.DUMMYFUNCTION("""COMPUTED_VALUE"""),45325)</f>
        <v>45325</v>
      </c>
      <c r="M920" s="18">
        <f ca="1">IFERROR(__xludf.DUMMYFUNCTION("""COMPUTED_VALUE"""),45325)</f>
        <v>45325</v>
      </c>
      <c r="N920" s="5" t="str">
        <f ca="1">IFERROR(__xludf.DUMMYFUNCTION("""COMPUTED_VALUE"""),"Lucumi Juan")</f>
        <v>Lucumi Juan</v>
      </c>
      <c r="O920" s="2">
        <f ca="1">IFERROR(__xludf.DUMMYFUNCTION("""COMPUTED_VALUE"""),0.004347826)</f>
        <v>4.3478259999999999E-3</v>
      </c>
      <c r="P920" s="5"/>
      <c r="Q920" s="5" t="str">
        <f ca="1">IFERROR(__xludf.DUMMYFUNCTION("""COMPUTED_VALUE"""),"OUxO7HQwuGQ")</f>
        <v>OUxO7HQwuGQ</v>
      </c>
      <c r="R920" s="5">
        <f ca="1">IFERROR(__xludf.DUMMYFUNCTION("""COMPUTED_VALUE"""),410)</f>
        <v>410</v>
      </c>
      <c r="S920" s="62">
        <f ca="1">IFERROR(__xludf.DUMMYFUNCTION("""COMPUTED_VALUE"""),0.004347826)</f>
        <v>4.3478259999999999E-3</v>
      </c>
      <c r="T920" s="63" t="str">
        <f ca="1">IFERROR(__xludf.DUMMYFUNCTION("""COMPUTED_VALUE"""),"https://storage.googleapis.com/glide-prod.appspot.com/uploads-v2/ly7o78grxPaC6KdgvbpS/pub/UliJWgpEaBovaFmXi6OW.png")</f>
        <v>https://storage.googleapis.com/glide-prod.appspot.com/uploads-v2/ly7o78grxPaC6KdgvbpS/pub/UliJWgpEaBovaFmXi6OW.png</v>
      </c>
      <c r="U920" s="5" t="str">
        <f ca="1">IFERROR(__xludf.DUMMYFUNCTION("""COMPUTED_VALUE"""),"LINEA PET CSD - LINEA 10PALETIZADORA")</f>
        <v>LINEA PET CSD - LINEA 10PALETIZADORA</v>
      </c>
      <c r="V920" s="5"/>
      <c r="W920" s="5"/>
      <c r="X920" s="5" t="str">
        <f ca="1">IFERROR(__xludf.DUMMYFUNCTION("""COMPUTED_VALUE"""),"wmazorra@postobon.com.co,aprmttoyu@postobon.com.co,aprmyu@postobon.com.co,wmora@postobon.com.co,efzapata@postobon.com.co")</f>
        <v>wmazorra@postobon.com.co,aprmttoyu@postobon.com.co,aprmyu@postobon.com.co,wmora@postobon.com.co,efzapata@postobon.com.co</v>
      </c>
      <c r="Y920" s="5" t="str">
        <f ca="1">IFERROR(__xludf.DUMMYFUNCTION("""COMPUTED_VALUE"""),"wmazorra@postobon.com.co")</f>
        <v>wmazorra@postobon.com.co</v>
      </c>
      <c r="Z920" s="5" t="str">
        <f ca="1">IFERROR(__xludf.DUMMYFUNCTION("""COMPUTED_VALUE"""),"qL.B7OZKTYyCVg23aX4fGA")</f>
        <v>qL.B7OZKTYyCVg23aX4fGA</v>
      </c>
      <c r="AA920" s="5"/>
      <c r="AB920" s="5"/>
      <c r="AC920" s="5"/>
      <c r="AD920" s="5">
        <f ca="1">IFERROR(__xludf.DUMMYFUNCTION("""COMPUTED_VALUE"""),24)</f>
        <v>24</v>
      </c>
      <c r="AE920" s="5">
        <f ca="1">IFERROR(__xludf.DUMMYFUNCTION("""COMPUTED_VALUE"""),0)</f>
        <v>0</v>
      </c>
      <c r="AF920" s="5" t="b">
        <f ca="1">IFERROR(__xludf.DUMMYFUNCTION("""COMPUTED_VALUE"""),TRUE)</f>
        <v>1</v>
      </c>
      <c r="AG920" s="5" t="str">
        <f ca="1">IFERROR(__xludf.DUMMYFUNCTION("""COMPUTED_VALUE"""),"INSPECCIONES SIN REALIZAR")</f>
        <v>INSPECCIONES SIN REALIZAR</v>
      </c>
      <c r="AH920" s="5"/>
    </row>
    <row r="921" spans="1:34">
      <c r="A921" s="5" t="str">
        <f ca="1">IFERROR(__xludf.DUMMYFUNCTION("""COMPUTED_VALUE"""),"LINEA PET CSD - LINEA 10")</f>
        <v>LINEA PET CSD - LINEA 10</v>
      </c>
      <c r="B921" s="5">
        <f ca="1">IFERROR(__xludf.DUMMYFUNCTION("""COMPUTED_VALUE"""),579080)</f>
        <v>579080</v>
      </c>
      <c r="C921" s="5" t="str">
        <f ca="1">IFERROR(__xludf.DUMMYFUNCTION("""COMPUTED_VALUE"""),"PALETIZADORA")</f>
        <v>PALETIZADORA</v>
      </c>
      <c r="D921" s="5">
        <f ca="1">IFERROR(__xludf.DUMMYFUNCTION("""COMPUTED_VALUE"""),13247592)</f>
        <v>13247592</v>
      </c>
      <c r="E921" s="5" t="str">
        <f ca="1">IFERROR(__xludf.DUMMYFUNCTION("""COMPUTED_VALUE"""),"INSPECCION SEMANAL PALETIZADORA MODUPAL")</f>
        <v>INSPECCION SEMANAL PALETIZADORA MODUPAL</v>
      </c>
      <c r="F921" s="5" t="str">
        <f ca="1">IFERROR(__xludf.DUMMYFUNCTION("""COMPUTED_VALUE"""),"ESTADO GUIAS LATERALES")</f>
        <v>ESTADO GUIAS LATERALES</v>
      </c>
      <c r="G921" s="5"/>
      <c r="H921" s="5"/>
      <c r="I921" s="5"/>
      <c r="J921" s="5"/>
      <c r="K921" s="5"/>
      <c r="L921" s="18">
        <f ca="1">IFERROR(__xludf.DUMMYFUNCTION("""COMPUTED_VALUE"""),45325)</f>
        <v>45325</v>
      </c>
      <c r="M921" s="18">
        <f ca="1">IFERROR(__xludf.DUMMYFUNCTION("""COMPUTED_VALUE"""),45325)</f>
        <v>45325</v>
      </c>
      <c r="N921" s="5" t="str">
        <f ca="1">IFERROR(__xludf.DUMMYFUNCTION("""COMPUTED_VALUE"""),"Lucumi Juan")</f>
        <v>Lucumi Juan</v>
      </c>
      <c r="O921" s="2">
        <f ca="1">IFERROR(__xludf.DUMMYFUNCTION("""COMPUTED_VALUE"""),0.004347826)</f>
        <v>4.3478259999999999E-3</v>
      </c>
      <c r="P921" s="5"/>
      <c r="Q921" s="5" t="str">
        <f ca="1">IFERROR(__xludf.DUMMYFUNCTION("""COMPUTED_VALUE"""),"HJn2b_XgT4M")</f>
        <v>HJn2b_XgT4M</v>
      </c>
      <c r="R921" s="5">
        <f ca="1">IFERROR(__xludf.DUMMYFUNCTION("""COMPUTED_VALUE"""),410)</f>
        <v>410</v>
      </c>
      <c r="S921" s="62">
        <f ca="1">IFERROR(__xludf.DUMMYFUNCTION("""COMPUTED_VALUE"""),0.004347826)</f>
        <v>4.3478259999999999E-3</v>
      </c>
      <c r="T921" s="63" t="str">
        <f ca="1">IFERROR(__xludf.DUMMYFUNCTION("""COMPUTED_VALUE"""),"https://storage.googleapis.com/glide-prod.appspot.com/uploads-v2/ly7o78grxPaC6KdgvbpS/pub/UliJWgpEaBovaFmXi6OW.png")</f>
        <v>https://storage.googleapis.com/glide-prod.appspot.com/uploads-v2/ly7o78grxPaC6KdgvbpS/pub/UliJWgpEaBovaFmXi6OW.png</v>
      </c>
      <c r="U921" s="5" t="str">
        <f ca="1">IFERROR(__xludf.DUMMYFUNCTION("""COMPUTED_VALUE"""),"LINEA PET CSD - LINEA 10PALETIZADORA")</f>
        <v>LINEA PET CSD - LINEA 10PALETIZADORA</v>
      </c>
      <c r="V921" s="5"/>
      <c r="W921" s="5"/>
      <c r="X921" s="5" t="str">
        <f ca="1">IFERROR(__xludf.DUMMYFUNCTION("""COMPUTED_VALUE"""),"wmazorra@postobon.com.co,aprmttoyu@postobon.com.co,aprmyu@postobon.com.co,wmora@postobon.com.co,efzapata@postobon.com.co")</f>
        <v>wmazorra@postobon.com.co,aprmttoyu@postobon.com.co,aprmyu@postobon.com.co,wmora@postobon.com.co,efzapata@postobon.com.co</v>
      </c>
      <c r="Y921" s="5" t="str">
        <f ca="1">IFERROR(__xludf.DUMMYFUNCTION("""COMPUTED_VALUE"""),"wmazorra@postobon.com.co")</f>
        <v>wmazorra@postobon.com.co</v>
      </c>
      <c r="Z921" s="5" t="str">
        <f ca="1">IFERROR(__xludf.DUMMYFUNCTION("""COMPUTED_VALUE"""),"mdHuG2W7QBi8iUtWjT0rvg")</f>
        <v>mdHuG2W7QBi8iUtWjT0rvg</v>
      </c>
      <c r="AA921" s="5"/>
      <c r="AB921" s="5"/>
      <c r="AC921" s="5"/>
      <c r="AD921" s="5">
        <f ca="1">IFERROR(__xludf.DUMMYFUNCTION("""COMPUTED_VALUE"""),24)</f>
        <v>24</v>
      </c>
      <c r="AE921" s="5">
        <f ca="1">IFERROR(__xludf.DUMMYFUNCTION("""COMPUTED_VALUE"""),0)</f>
        <v>0</v>
      </c>
      <c r="AF921" s="5" t="b">
        <f ca="1">IFERROR(__xludf.DUMMYFUNCTION("""COMPUTED_VALUE"""),TRUE)</f>
        <v>1</v>
      </c>
      <c r="AG921" s="5" t="str">
        <f ca="1">IFERROR(__xludf.DUMMYFUNCTION("""COMPUTED_VALUE"""),"INSPECCIONES SIN REALIZAR")</f>
        <v>INSPECCIONES SIN REALIZAR</v>
      </c>
      <c r="AH921" s="5"/>
    </row>
    <row r="922" spans="1:34">
      <c r="A922" s="5" t="str">
        <f ca="1">IFERROR(__xludf.DUMMYFUNCTION("""COMPUTED_VALUE"""),"LINEA PET CSD - LINEA 10")</f>
        <v>LINEA PET CSD - LINEA 10</v>
      </c>
      <c r="B922" s="5">
        <f ca="1">IFERROR(__xludf.DUMMYFUNCTION("""COMPUTED_VALUE"""),579080)</f>
        <v>579080</v>
      </c>
      <c r="C922" s="5" t="str">
        <f ca="1">IFERROR(__xludf.DUMMYFUNCTION("""COMPUTED_VALUE"""),"PALETIZADORA")</f>
        <v>PALETIZADORA</v>
      </c>
      <c r="D922" s="5">
        <f ca="1">IFERROR(__xludf.DUMMYFUNCTION("""COMPUTED_VALUE"""),13247592)</f>
        <v>13247592</v>
      </c>
      <c r="E922" s="5" t="str">
        <f ca="1">IFERROR(__xludf.DUMMYFUNCTION("""COMPUTED_VALUE"""),"INSPECCION SEMANAL PALETIZADORA MODUPAL")</f>
        <v>INSPECCION SEMANAL PALETIZADORA MODUPAL</v>
      </c>
      <c r="F922" s="5" t="str">
        <f ca="1">IFERROR(__xludf.DUMMYFUNCTION("""COMPUTED_VALUE"""),"INSP. UNIDAD MATTO")</f>
        <v>INSP. UNIDAD MATTO</v>
      </c>
      <c r="G922" s="5"/>
      <c r="H922" s="5"/>
      <c r="I922" s="5"/>
      <c r="J922" s="5"/>
      <c r="K922" s="5"/>
      <c r="L922" s="18">
        <f ca="1">IFERROR(__xludf.DUMMYFUNCTION("""COMPUTED_VALUE"""),45325)</f>
        <v>45325</v>
      </c>
      <c r="M922" s="18">
        <f ca="1">IFERROR(__xludf.DUMMYFUNCTION("""COMPUTED_VALUE"""),45325)</f>
        <v>45325</v>
      </c>
      <c r="N922" s="5" t="str">
        <f ca="1">IFERROR(__xludf.DUMMYFUNCTION("""COMPUTED_VALUE"""),"Lucumi Juan")</f>
        <v>Lucumi Juan</v>
      </c>
      <c r="O922" s="2">
        <f ca="1">IFERROR(__xludf.DUMMYFUNCTION("""COMPUTED_VALUE"""),0.004347826)</f>
        <v>4.3478259999999999E-3</v>
      </c>
      <c r="P922" s="5"/>
      <c r="Q922" s="5" t="str">
        <f ca="1">IFERROR(__xludf.DUMMYFUNCTION("""COMPUTED_VALUE"""),"8cfgG5KyeRo")</f>
        <v>8cfgG5KyeRo</v>
      </c>
      <c r="R922" s="5">
        <f ca="1">IFERROR(__xludf.DUMMYFUNCTION("""COMPUTED_VALUE"""),410)</f>
        <v>410</v>
      </c>
      <c r="S922" s="62">
        <f ca="1">IFERROR(__xludf.DUMMYFUNCTION("""COMPUTED_VALUE"""),0.004347826)</f>
        <v>4.3478259999999999E-3</v>
      </c>
      <c r="T922" s="63" t="str">
        <f ca="1">IFERROR(__xludf.DUMMYFUNCTION("""COMPUTED_VALUE"""),"https://storage.googleapis.com/glide-prod.appspot.com/uploads-v2/ly7o78grxPaC6KdgvbpS/pub/UliJWgpEaBovaFmXi6OW.png")</f>
        <v>https://storage.googleapis.com/glide-prod.appspot.com/uploads-v2/ly7o78grxPaC6KdgvbpS/pub/UliJWgpEaBovaFmXi6OW.png</v>
      </c>
      <c r="U922" s="5" t="str">
        <f ca="1">IFERROR(__xludf.DUMMYFUNCTION("""COMPUTED_VALUE"""),"LINEA PET CSD - LINEA 10PALETIZADORA")</f>
        <v>LINEA PET CSD - LINEA 10PALETIZADORA</v>
      </c>
      <c r="V922" s="5"/>
      <c r="W922" s="5"/>
      <c r="X922" s="5" t="str">
        <f ca="1">IFERROR(__xludf.DUMMYFUNCTION("""COMPUTED_VALUE"""),"wmazorra@postobon.com.co,aprmttoyu@postobon.com.co,aprmyu@postobon.com.co,wmora@postobon.com.co,efzapata@postobon.com.co")</f>
        <v>wmazorra@postobon.com.co,aprmttoyu@postobon.com.co,aprmyu@postobon.com.co,wmora@postobon.com.co,efzapata@postobon.com.co</v>
      </c>
      <c r="Y922" s="5" t="str">
        <f ca="1">IFERROR(__xludf.DUMMYFUNCTION("""COMPUTED_VALUE"""),"wmazorra@postobon.com.co")</f>
        <v>wmazorra@postobon.com.co</v>
      </c>
      <c r="Z922" s="5" t="str">
        <f ca="1">IFERROR(__xludf.DUMMYFUNCTION("""COMPUTED_VALUE"""),"VkyW5S9GQd-WrWp3Kw56gA")</f>
        <v>VkyW5S9GQd-WrWp3Kw56gA</v>
      </c>
      <c r="AA922" s="5"/>
      <c r="AB922" s="5"/>
      <c r="AC922" s="5"/>
      <c r="AD922" s="5">
        <f ca="1">IFERROR(__xludf.DUMMYFUNCTION("""COMPUTED_VALUE"""),24)</f>
        <v>24</v>
      </c>
      <c r="AE922" s="5">
        <f ca="1">IFERROR(__xludf.DUMMYFUNCTION("""COMPUTED_VALUE"""),0)</f>
        <v>0</v>
      </c>
      <c r="AF922" s="5" t="b">
        <f ca="1">IFERROR(__xludf.DUMMYFUNCTION("""COMPUTED_VALUE"""),TRUE)</f>
        <v>1</v>
      </c>
      <c r="AG922" s="5" t="str">
        <f ca="1">IFERROR(__xludf.DUMMYFUNCTION("""COMPUTED_VALUE"""),"INSPECCIONES SIN REALIZAR")</f>
        <v>INSPECCIONES SIN REALIZAR</v>
      </c>
      <c r="AH922" s="5"/>
    </row>
    <row r="923" spans="1:34">
      <c r="A923" s="5" t="str">
        <f ca="1">IFERROR(__xludf.DUMMYFUNCTION("""COMPUTED_VALUE"""),"LINEA PET CSD - LINEA 10")</f>
        <v>LINEA PET CSD - LINEA 10</v>
      </c>
      <c r="B923" s="5">
        <f ca="1">IFERROR(__xludf.DUMMYFUNCTION("""COMPUTED_VALUE"""),579080)</f>
        <v>579080</v>
      </c>
      <c r="C923" s="5" t="str">
        <f ca="1">IFERROR(__xludf.DUMMYFUNCTION("""COMPUTED_VALUE"""),"PALETIZADORA")</f>
        <v>PALETIZADORA</v>
      </c>
      <c r="D923" s="5">
        <f ca="1">IFERROR(__xludf.DUMMYFUNCTION("""COMPUTED_VALUE"""),13247592)</f>
        <v>13247592</v>
      </c>
      <c r="E923" s="5" t="str">
        <f ca="1">IFERROR(__xludf.DUMMYFUNCTION("""COMPUTED_VALUE"""),"INSPECCION SEMANAL PALETIZADORA MODUPAL")</f>
        <v>INSPECCION SEMANAL PALETIZADORA MODUPAL</v>
      </c>
      <c r="F923" s="5" t="str">
        <f ca="1">IFERROR(__xludf.DUMMYFUNCTION("""COMPUTED_VALUE"""),"INSP. SISTEMA NEUMATICO")</f>
        <v>INSP. SISTEMA NEUMATICO</v>
      </c>
      <c r="G923" s="5"/>
      <c r="H923" s="5"/>
      <c r="I923" s="5"/>
      <c r="J923" s="5"/>
      <c r="K923" s="5"/>
      <c r="L923" s="18">
        <f ca="1">IFERROR(__xludf.DUMMYFUNCTION("""COMPUTED_VALUE"""),45325)</f>
        <v>45325</v>
      </c>
      <c r="M923" s="18">
        <f ca="1">IFERROR(__xludf.DUMMYFUNCTION("""COMPUTED_VALUE"""),45325)</f>
        <v>45325</v>
      </c>
      <c r="N923" s="5" t="str">
        <f ca="1">IFERROR(__xludf.DUMMYFUNCTION("""COMPUTED_VALUE"""),"Lucumi Juan")</f>
        <v>Lucumi Juan</v>
      </c>
      <c r="O923" s="2">
        <f ca="1">IFERROR(__xludf.DUMMYFUNCTION("""COMPUTED_VALUE"""),0.004347826)</f>
        <v>4.3478259999999999E-3</v>
      </c>
      <c r="P923" s="5"/>
      <c r="Q923" s="5" t="str">
        <f ca="1">IFERROR(__xludf.DUMMYFUNCTION("""COMPUTED_VALUE"""),"EgNvXCHOaxs")</f>
        <v>EgNvXCHOaxs</v>
      </c>
      <c r="R923" s="5">
        <f ca="1">IFERROR(__xludf.DUMMYFUNCTION("""COMPUTED_VALUE"""),410)</f>
        <v>410</v>
      </c>
      <c r="S923" s="62">
        <f ca="1">IFERROR(__xludf.DUMMYFUNCTION("""COMPUTED_VALUE"""),0.004347826)</f>
        <v>4.3478259999999999E-3</v>
      </c>
      <c r="T923" s="63" t="str">
        <f ca="1">IFERROR(__xludf.DUMMYFUNCTION("""COMPUTED_VALUE"""),"https://storage.googleapis.com/glide-prod.appspot.com/uploads-v2/ly7o78grxPaC6KdgvbpS/pub/UliJWgpEaBovaFmXi6OW.png")</f>
        <v>https://storage.googleapis.com/glide-prod.appspot.com/uploads-v2/ly7o78grxPaC6KdgvbpS/pub/UliJWgpEaBovaFmXi6OW.png</v>
      </c>
      <c r="U923" s="5" t="str">
        <f ca="1">IFERROR(__xludf.DUMMYFUNCTION("""COMPUTED_VALUE"""),"LINEA PET CSD - LINEA 10PALETIZADORA")</f>
        <v>LINEA PET CSD - LINEA 10PALETIZADORA</v>
      </c>
      <c r="V923" s="5"/>
      <c r="W923" s="5"/>
      <c r="X923" s="5" t="str">
        <f ca="1">IFERROR(__xludf.DUMMYFUNCTION("""COMPUTED_VALUE"""),"wmazorra@postobon.com.co,aprmttoyu@postobon.com.co,aprmyu@postobon.com.co,wmora@postobon.com.co,efzapata@postobon.com.co")</f>
        <v>wmazorra@postobon.com.co,aprmttoyu@postobon.com.co,aprmyu@postobon.com.co,wmora@postobon.com.co,efzapata@postobon.com.co</v>
      </c>
      <c r="Y923" s="5" t="str">
        <f ca="1">IFERROR(__xludf.DUMMYFUNCTION("""COMPUTED_VALUE"""),"wmazorra@postobon.com.co")</f>
        <v>wmazorra@postobon.com.co</v>
      </c>
      <c r="Z923" s="5" t="str">
        <f ca="1">IFERROR(__xludf.DUMMYFUNCTION("""COMPUTED_VALUE"""),"BcFhuCySTzGR0-EdPKKNpQ")</f>
        <v>BcFhuCySTzGR0-EdPKKNpQ</v>
      </c>
      <c r="AA923" s="5"/>
      <c r="AB923" s="5"/>
      <c r="AC923" s="5"/>
      <c r="AD923" s="5">
        <f ca="1">IFERROR(__xludf.DUMMYFUNCTION("""COMPUTED_VALUE"""),24)</f>
        <v>24</v>
      </c>
      <c r="AE923" s="5">
        <f ca="1">IFERROR(__xludf.DUMMYFUNCTION("""COMPUTED_VALUE"""),0)</f>
        <v>0</v>
      </c>
      <c r="AF923" s="5" t="b">
        <f ca="1">IFERROR(__xludf.DUMMYFUNCTION("""COMPUTED_VALUE"""),TRUE)</f>
        <v>1</v>
      </c>
      <c r="AG923" s="5" t="str">
        <f ca="1">IFERROR(__xludf.DUMMYFUNCTION("""COMPUTED_VALUE"""),"INSPECCIONES SIN REALIZAR")</f>
        <v>INSPECCIONES SIN REALIZAR</v>
      </c>
      <c r="AH923" s="5"/>
    </row>
    <row r="924" spans="1:34">
      <c r="A924" s="5" t="str">
        <f ca="1">IFERROR(__xludf.DUMMYFUNCTION("""COMPUTED_VALUE"""),"LINEA PET CSD - LINEA 10")</f>
        <v>LINEA PET CSD - LINEA 10</v>
      </c>
      <c r="B924" s="5">
        <f ca="1">IFERROR(__xludf.DUMMYFUNCTION("""COMPUTED_VALUE"""),579080)</f>
        <v>579080</v>
      </c>
      <c r="C924" s="5" t="str">
        <f ca="1">IFERROR(__xludf.DUMMYFUNCTION("""COMPUTED_VALUE"""),"PALETIZADORA")</f>
        <v>PALETIZADORA</v>
      </c>
      <c r="D924" s="5">
        <f ca="1">IFERROR(__xludf.DUMMYFUNCTION("""COMPUTED_VALUE"""),13247592)</f>
        <v>13247592</v>
      </c>
      <c r="E924" s="5" t="str">
        <f ca="1">IFERROR(__xludf.DUMMYFUNCTION("""COMPUTED_VALUE"""),"INSPECCION SEMANAL PALETIZADORA MODUPAL")</f>
        <v>INSPECCION SEMANAL PALETIZADORA MODUPAL</v>
      </c>
      <c r="F924" s="5" t="str">
        <f ca="1">IFERROR(__xludf.DUMMYFUNCTION("""COMPUTED_VALUE"""),"INSP. DE FUGAS")</f>
        <v>INSP. DE FUGAS</v>
      </c>
      <c r="G924" s="5"/>
      <c r="H924" s="5"/>
      <c r="I924" s="5"/>
      <c r="J924" s="5"/>
      <c r="K924" s="5"/>
      <c r="L924" s="18">
        <f ca="1">IFERROR(__xludf.DUMMYFUNCTION("""COMPUTED_VALUE"""),45325)</f>
        <v>45325</v>
      </c>
      <c r="M924" s="18">
        <f ca="1">IFERROR(__xludf.DUMMYFUNCTION("""COMPUTED_VALUE"""),45325)</f>
        <v>45325</v>
      </c>
      <c r="N924" s="5" t="str">
        <f ca="1">IFERROR(__xludf.DUMMYFUNCTION("""COMPUTED_VALUE"""),"Lucumi Juan")</f>
        <v>Lucumi Juan</v>
      </c>
      <c r="O924" s="2">
        <f ca="1">IFERROR(__xludf.DUMMYFUNCTION("""COMPUTED_VALUE"""),0.004347826)</f>
        <v>4.3478259999999999E-3</v>
      </c>
      <c r="P924" s="5"/>
      <c r="Q924" s="5" t="str">
        <f ca="1">IFERROR(__xludf.DUMMYFUNCTION("""COMPUTED_VALUE"""),"GQ0nhuyexgg")</f>
        <v>GQ0nhuyexgg</v>
      </c>
      <c r="R924" s="5">
        <f ca="1">IFERROR(__xludf.DUMMYFUNCTION("""COMPUTED_VALUE"""),410)</f>
        <v>410</v>
      </c>
      <c r="S924" s="62">
        <f ca="1">IFERROR(__xludf.DUMMYFUNCTION("""COMPUTED_VALUE"""),0.004347826)</f>
        <v>4.3478259999999999E-3</v>
      </c>
      <c r="T924" s="63" t="str">
        <f ca="1">IFERROR(__xludf.DUMMYFUNCTION("""COMPUTED_VALUE"""),"https://storage.googleapis.com/glide-prod.appspot.com/uploads-v2/ly7o78grxPaC6KdgvbpS/pub/UliJWgpEaBovaFmXi6OW.png")</f>
        <v>https://storage.googleapis.com/glide-prod.appspot.com/uploads-v2/ly7o78grxPaC6KdgvbpS/pub/UliJWgpEaBovaFmXi6OW.png</v>
      </c>
      <c r="U924" s="5" t="str">
        <f ca="1">IFERROR(__xludf.DUMMYFUNCTION("""COMPUTED_VALUE"""),"LINEA PET CSD - LINEA 10PALETIZADORA")</f>
        <v>LINEA PET CSD - LINEA 10PALETIZADORA</v>
      </c>
      <c r="V924" s="5"/>
      <c r="W924" s="5"/>
      <c r="X924" s="5" t="str">
        <f ca="1">IFERROR(__xludf.DUMMYFUNCTION("""COMPUTED_VALUE"""),"wmazorra@postobon.com.co,aprmttoyu@postobon.com.co,aprmyu@postobon.com.co,wmora@postobon.com.co,efzapata@postobon.com.co")</f>
        <v>wmazorra@postobon.com.co,aprmttoyu@postobon.com.co,aprmyu@postobon.com.co,wmora@postobon.com.co,efzapata@postobon.com.co</v>
      </c>
      <c r="Y924" s="5" t="str">
        <f ca="1">IFERROR(__xludf.DUMMYFUNCTION("""COMPUTED_VALUE"""),"wmazorra@postobon.com.co")</f>
        <v>wmazorra@postobon.com.co</v>
      </c>
      <c r="Z924" s="5" t="str">
        <f ca="1">IFERROR(__xludf.DUMMYFUNCTION("""COMPUTED_VALUE"""),"KOVNs0lGST2ijWQ7.EUQUg")</f>
        <v>KOVNs0lGST2ijWQ7.EUQUg</v>
      </c>
      <c r="AA924" s="5"/>
      <c r="AB924" s="5"/>
      <c r="AC924" s="5"/>
      <c r="AD924" s="5">
        <f ca="1">IFERROR(__xludf.DUMMYFUNCTION("""COMPUTED_VALUE"""),24)</f>
        <v>24</v>
      </c>
      <c r="AE924" s="5">
        <f ca="1">IFERROR(__xludf.DUMMYFUNCTION("""COMPUTED_VALUE"""),0)</f>
        <v>0</v>
      </c>
      <c r="AF924" s="5" t="b">
        <f ca="1">IFERROR(__xludf.DUMMYFUNCTION("""COMPUTED_VALUE"""),TRUE)</f>
        <v>1</v>
      </c>
      <c r="AG924" s="5" t="str">
        <f ca="1">IFERROR(__xludf.DUMMYFUNCTION("""COMPUTED_VALUE"""),"INSPECCIONES SIN REALIZAR")</f>
        <v>INSPECCIONES SIN REALIZAR</v>
      </c>
      <c r="AH924" s="5"/>
    </row>
    <row r="925" spans="1:34">
      <c r="A925" s="5" t="str">
        <f ca="1">IFERROR(__xludf.DUMMYFUNCTION("""COMPUTED_VALUE"""),"LINEA PET CSD - LINEA 10")</f>
        <v>LINEA PET CSD - LINEA 10</v>
      </c>
      <c r="B925" s="5">
        <f ca="1">IFERROR(__xludf.DUMMYFUNCTION("""COMPUTED_VALUE"""),579080)</f>
        <v>579080</v>
      </c>
      <c r="C925" s="5" t="str">
        <f ca="1">IFERROR(__xludf.DUMMYFUNCTION("""COMPUTED_VALUE"""),"PALETIZADORA")</f>
        <v>PALETIZADORA</v>
      </c>
      <c r="D925" s="5">
        <f ca="1">IFERROR(__xludf.DUMMYFUNCTION("""COMPUTED_VALUE"""),13247592)</f>
        <v>13247592</v>
      </c>
      <c r="E925" s="5" t="str">
        <f ca="1">IFERROR(__xludf.DUMMYFUNCTION("""COMPUTED_VALUE"""),"INSPECCION SEMANAL PALETIZADORA MODUPAL")</f>
        <v>INSPECCION SEMANAL PALETIZADORA MODUPAL</v>
      </c>
      <c r="F925" s="5" t="str">
        <f ca="1">IFERROR(__xludf.DUMMYFUNCTION("""COMPUTED_VALUE"""),"FUNC BRAZO ROBOBOX")</f>
        <v>FUNC BRAZO ROBOBOX</v>
      </c>
      <c r="G925" s="5"/>
      <c r="H925" s="5"/>
      <c r="I925" s="5"/>
      <c r="J925" s="5"/>
      <c r="K925" s="5"/>
      <c r="L925" s="18">
        <f ca="1">IFERROR(__xludf.DUMMYFUNCTION("""COMPUTED_VALUE"""),45325)</f>
        <v>45325</v>
      </c>
      <c r="M925" s="18">
        <f ca="1">IFERROR(__xludf.DUMMYFUNCTION("""COMPUTED_VALUE"""),45325)</f>
        <v>45325</v>
      </c>
      <c r="N925" s="5" t="str">
        <f ca="1">IFERROR(__xludf.DUMMYFUNCTION("""COMPUTED_VALUE"""),"Lucumi Juan")</f>
        <v>Lucumi Juan</v>
      </c>
      <c r="O925" s="2">
        <f ca="1">IFERROR(__xludf.DUMMYFUNCTION("""COMPUTED_VALUE"""),0.004347826)</f>
        <v>4.3478259999999999E-3</v>
      </c>
      <c r="P925" s="5"/>
      <c r="Q925" s="5" t="str">
        <f ca="1">IFERROR(__xludf.DUMMYFUNCTION("""COMPUTED_VALUE"""),"k5wxBpPkg74")</f>
        <v>k5wxBpPkg74</v>
      </c>
      <c r="R925" s="5">
        <f ca="1">IFERROR(__xludf.DUMMYFUNCTION("""COMPUTED_VALUE"""),410)</f>
        <v>410</v>
      </c>
      <c r="S925" s="62">
        <f ca="1">IFERROR(__xludf.DUMMYFUNCTION("""COMPUTED_VALUE"""),0.004347826)</f>
        <v>4.3478259999999999E-3</v>
      </c>
      <c r="T925" s="63" t="str">
        <f ca="1">IFERROR(__xludf.DUMMYFUNCTION("""COMPUTED_VALUE"""),"https://storage.googleapis.com/glide-prod.appspot.com/uploads-v2/ly7o78grxPaC6KdgvbpS/pub/UliJWgpEaBovaFmXi6OW.png")</f>
        <v>https://storage.googleapis.com/glide-prod.appspot.com/uploads-v2/ly7o78grxPaC6KdgvbpS/pub/UliJWgpEaBovaFmXi6OW.png</v>
      </c>
      <c r="U925" s="5" t="str">
        <f ca="1">IFERROR(__xludf.DUMMYFUNCTION("""COMPUTED_VALUE"""),"LINEA PET CSD - LINEA 10PALETIZADORA")</f>
        <v>LINEA PET CSD - LINEA 10PALETIZADORA</v>
      </c>
      <c r="V925" s="5"/>
      <c r="W925" s="5"/>
      <c r="X925" s="5" t="str">
        <f ca="1">IFERROR(__xludf.DUMMYFUNCTION("""COMPUTED_VALUE"""),"wmazorra@postobon.com.co,aprmttoyu@postobon.com.co,aprmyu@postobon.com.co,wmora@postobon.com.co,efzapata@postobon.com.co")</f>
        <v>wmazorra@postobon.com.co,aprmttoyu@postobon.com.co,aprmyu@postobon.com.co,wmora@postobon.com.co,efzapata@postobon.com.co</v>
      </c>
      <c r="Y925" s="5" t="str">
        <f ca="1">IFERROR(__xludf.DUMMYFUNCTION("""COMPUTED_VALUE"""),"wmazorra@postobon.com.co")</f>
        <v>wmazorra@postobon.com.co</v>
      </c>
      <c r="Z925" s="5" t="str">
        <f ca="1">IFERROR(__xludf.DUMMYFUNCTION("""COMPUTED_VALUE"""),"HnfJ7yokS6O2DRXsfb7P.g")</f>
        <v>HnfJ7yokS6O2DRXsfb7P.g</v>
      </c>
      <c r="AA925" s="5"/>
      <c r="AB925" s="5"/>
      <c r="AC925" s="5"/>
      <c r="AD925" s="5">
        <f ca="1">IFERROR(__xludf.DUMMYFUNCTION("""COMPUTED_VALUE"""),24)</f>
        <v>24</v>
      </c>
      <c r="AE925" s="5">
        <f ca="1">IFERROR(__xludf.DUMMYFUNCTION("""COMPUTED_VALUE"""),0)</f>
        <v>0</v>
      </c>
      <c r="AF925" s="5" t="b">
        <f ca="1">IFERROR(__xludf.DUMMYFUNCTION("""COMPUTED_VALUE"""),TRUE)</f>
        <v>1</v>
      </c>
      <c r="AG925" s="5" t="str">
        <f ca="1">IFERROR(__xludf.DUMMYFUNCTION("""COMPUTED_VALUE"""),"INSPECCIONES SIN REALIZAR")</f>
        <v>INSPECCIONES SIN REALIZAR</v>
      </c>
      <c r="AH925" s="5"/>
    </row>
    <row r="926" spans="1:34">
      <c r="A926" s="5" t="str">
        <f ca="1">IFERROR(__xludf.DUMMYFUNCTION("""COMPUTED_VALUE"""),"LINEA PET CSD - LINEA 10")</f>
        <v>LINEA PET CSD - LINEA 10</v>
      </c>
      <c r="B926" s="5">
        <f ca="1">IFERROR(__xludf.DUMMYFUNCTION("""COMPUTED_VALUE"""),579080)</f>
        <v>579080</v>
      </c>
      <c r="C926" s="5" t="str">
        <f ca="1">IFERROR(__xludf.DUMMYFUNCTION("""COMPUTED_VALUE"""),"PALETIZADORA")</f>
        <v>PALETIZADORA</v>
      </c>
      <c r="D926" s="5">
        <f ca="1">IFERROR(__xludf.DUMMYFUNCTION("""COMPUTED_VALUE"""),13247592)</f>
        <v>13247592</v>
      </c>
      <c r="E926" s="5" t="str">
        <f ca="1">IFERROR(__xludf.DUMMYFUNCTION("""COMPUTED_VALUE"""),"INSPECCION SEMANAL PALETIZADORA MODUPAL")</f>
        <v>INSPECCION SEMANAL PALETIZADORA MODUPAL</v>
      </c>
      <c r="F926" s="5" t="str">
        <f ca="1">IFERROR(__xludf.DUMMYFUNCTION("""COMPUTED_VALUE"""),"ESTADO RODAMIENTOS, CORREA MODUPAL")</f>
        <v>ESTADO RODAMIENTOS, CORREA MODUPAL</v>
      </c>
      <c r="G926" s="5"/>
      <c r="H926" s="5"/>
      <c r="I926" s="5"/>
      <c r="J926" s="5"/>
      <c r="K926" s="5"/>
      <c r="L926" s="18">
        <f ca="1">IFERROR(__xludf.DUMMYFUNCTION("""COMPUTED_VALUE"""),45325)</f>
        <v>45325</v>
      </c>
      <c r="M926" s="18">
        <f ca="1">IFERROR(__xludf.DUMMYFUNCTION("""COMPUTED_VALUE"""),45325)</f>
        <v>45325</v>
      </c>
      <c r="N926" s="5" t="str">
        <f ca="1">IFERROR(__xludf.DUMMYFUNCTION("""COMPUTED_VALUE"""),"Lucumi Juan")</f>
        <v>Lucumi Juan</v>
      </c>
      <c r="O926" s="2">
        <f ca="1">IFERROR(__xludf.DUMMYFUNCTION("""COMPUTED_VALUE"""),0.004347826)</f>
        <v>4.3478259999999999E-3</v>
      </c>
      <c r="P926" s="5"/>
      <c r="Q926" s="5" t="str">
        <f ca="1">IFERROR(__xludf.DUMMYFUNCTION("""COMPUTED_VALUE"""),"agUR1229GBs")</f>
        <v>agUR1229GBs</v>
      </c>
      <c r="R926" s="5">
        <f ca="1">IFERROR(__xludf.DUMMYFUNCTION("""COMPUTED_VALUE"""),410)</f>
        <v>410</v>
      </c>
      <c r="S926" s="62">
        <f ca="1">IFERROR(__xludf.DUMMYFUNCTION("""COMPUTED_VALUE"""),0.004347826)</f>
        <v>4.3478259999999999E-3</v>
      </c>
      <c r="T926" s="63" t="str">
        <f ca="1">IFERROR(__xludf.DUMMYFUNCTION("""COMPUTED_VALUE"""),"https://storage.googleapis.com/glide-prod.appspot.com/uploads-v2/ly7o78grxPaC6KdgvbpS/pub/UliJWgpEaBovaFmXi6OW.png")</f>
        <v>https://storage.googleapis.com/glide-prod.appspot.com/uploads-v2/ly7o78grxPaC6KdgvbpS/pub/UliJWgpEaBovaFmXi6OW.png</v>
      </c>
      <c r="U926" s="5" t="str">
        <f ca="1">IFERROR(__xludf.DUMMYFUNCTION("""COMPUTED_VALUE"""),"LINEA PET CSD - LINEA 10PALETIZADORA")</f>
        <v>LINEA PET CSD - LINEA 10PALETIZADORA</v>
      </c>
      <c r="V926" s="5"/>
      <c r="W926" s="5"/>
      <c r="X926" s="5" t="str">
        <f ca="1">IFERROR(__xludf.DUMMYFUNCTION("""COMPUTED_VALUE"""),"wmazorra@postobon.com.co,aprmttoyu@postobon.com.co,aprmyu@postobon.com.co,wmora@postobon.com.co,efzapata@postobon.com.co")</f>
        <v>wmazorra@postobon.com.co,aprmttoyu@postobon.com.co,aprmyu@postobon.com.co,wmora@postobon.com.co,efzapata@postobon.com.co</v>
      </c>
      <c r="Y926" s="5" t="str">
        <f ca="1">IFERROR(__xludf.DUMMYFUNCTION("""COMPUTED_VALUE"""),"wmazorra@postobon.com.co")</f>
        <v>wmazorra@postobon.com.co</v>
      </c>
      <c r="Z926" s="5" t="str">
        <f ca="1">IFERROR(__xludf.DUMMYFUNCTION("""COMPUTED_VALUE"""),"68rX9DgvRFiNnjE.eTI7uw")</f>
        <v>68rX9DgvRFiNnjE.eTI7uw</v>
      </c>
      <c r="AA926" s="5"/>
      <c r="AB926" s="5"/>
      <c r="AC926" s="5"/>
      <c r="AD926" s="5">
        <f ca="1">IFERROR(__xludf.DUMMYFUNCTION("""COMPUTED_VALUE"""),24)</f>
        <v>24</v>
      </c>
      <c r="AE926" s="5">
        <f ca="1">IFERROR(__xludf.DUMMYFUNCTION("""COMPUTED_VALUE"""),0)</f>
        <v>0</v>
      </c>
      <c r="AF926" s="5" t="b">
        <f ca="1">IFERROR(__xludf.DUMMYFUNCTION("""COMPUTED_VALUE"""),TRUE)</f>
        <v>1</v>
      </c>
      <c r="AG926" s="5" t="str">
        <f ca="1">IFERROR(__xludf.DUMMYFUNCTION("""COMPUTED_VALUE"""),"INSPECCIONES SIN REALIZAR")</f>
        <v>INSPECCIONES SIN REALIZAR</v>
      </c>
      <c r="AH926" s="5"/>
    </row>
    <row r="927" spans="1:34">
      <c r="A927" s="5" t="str">
        <f ca="1">IFERROR(__xludf.DUMMYFUNCTION("""COMPUTED_VALUE"""),"LINEA PET CSD - LINEA 10")</f>
        <v>LINEA PET CSD - LINEA 10</v>
      </c>
      <c r="B927" s="5">
        <f ca="1">IFERROR(__xludf.DUMMYFUNCTION("""COMPUTED_VALUE"""),579080)</f>
        <v>579080</v>
      </c>
      <c r="C927" s="5" t="str">
        <f ca="1">IFERROR(__xludf.DUMMYFUNCTION("""COMPUTED_VALUE"""),"PALETIZADORA")</f>
        <v>PALETIZADORA</v>
      </c>
      <c r="D927" s="5">
        <f ca="1">IFERROR(__xludf.DUMMYFUNCTION("""COMPUTED_VALUE"""),13247592)</f>
        <v>13247592</v>
      </c>
      <c r="E927" s="5" t="str">
        <f ca="1">IFERROR(__xludf.DUMMYFUNCTION("""COMPUTED_VALUE"""),"INSPECCION SEMANAL PALETIZADORA MODUPAL")</f>
        <v>INSPECCION SEMANAL PALETIZADORA MODUPAL</v>
      </c>
      <c r="F927" s="5" t="str">
        <f ca="1">IFERROR(__xludf.DUMMYFUNCTION("""COMPUTED_VALUE"""),"ESTADO CARRO ELEVADOR")</f>
        <v>ESTADO CARRO ELEVADOR</v>
      </c>
      <c r="G927" s="5"/>
      <c r="H927" s="5"/>
      <c r="I927" s="5"/>
      <c r="J927" s="5"/>
      <c r="K927" s="5"/>
      <c r="L927" s="18">
        <f ca="1">IFERROR(__xludf.DUMMYFUNCTION("""COMPUTED_VALUE"""),45325)</f>
        <v>45325</v>
      </c>
      <c r="M927" s="18">
        <f ca="1">IFERROR(__xludf.DUMMYFUNCTION("""COMPUTED_VALUE"""),45325)</f>
        <v>45325</v>
      </c>
      <c r="N927" s="5" t="str">
        <f ca="1">IFERROR(__xludf.DUMMYFUNCTION("""COMPUTED_VALUE"""),"Lucumi Juan")</f>
        <v>Lucumi Juan</v>
      </c>
      <c r="O927" s="2">
        <f ca="1">IFERROR(__xludf.DUMMYFUNCTION("""COMPUTED_VALUE"""),0.004347826)</f>
        <v>4.3478259999999999E-3</v>
      </c>
      <c r="P927" s="5"/>
      <c r="Q927" s="5" t="str">
        <f ca="1">IFERROR(__xludf.DUMMYFUNCTION("""COMPUTED_VALUE"""),"gWVbkSC4iQc")</f>
        <v>gWVbkSC4iQc</v>
      </c>
      <c r="R927" s="5">
        <f ca="1">IFERROR(__xludf.DUMMYFUNCTION("""COMPUTED_VALUE"""),410)</f>
        <v>410</v>
      </c>
      <c r="S927" s="62">
        <f ca="1">IFERROR(__xludf.DUMMYFUNCTION("""COMPUTED_VALUE"""),0.004347826)</f>
        <v>4.3478259999999999E-3</v>
      </c>
      <c r="T927" s="63" t="str">
        <f ca="1">IFERROR(__xludf.DUMMYFUNCTION("""COMPUTED_VALUE"""),"https://storage.googleapis.com/glide-prod.appspot.com/uploads-v2/ly7o78grxPaC6KdgvbpS/pub/UliJWgpEaBovaFmXi6OW.png")</f>
        <v>https://storage.googleapis.com/glide-prod.appspot.com/uploads-v2/ly7o78grxPaC6KdgvbpS/pub/UliJWgpEaBovaFmXi6OW.png</v>
      </c>
      <c r="U927" s="5" t="str">
        <f ca="1">IFERROR(__xludf.DUMMYFUNCTION("""COMPUTED_VALUE"""),"LINEA PET CSD - LINEA 10PALETIZADORA")</f>
        <v>LINEA PET CSD - LINEA 10PALETIZADORA</v>
      </c>
      <c r="V927" s="5"/>
      <c r="W927" s="5"/>
      <c r="X927" s="5" t="str">
        <f ca="1">IFERROR(__xludf.DUMMYFUNCTION("""COMPUTED_VALUE"""),"wmazorra@postobon.com.co,aprmttoyu@postobon.com.co,aprmyu@postobon.com.co,wmora@postobon.com.co,efzapata@postobon.com.co")</f>
        <v>wmazorra@postobon.com.co,aprmttoyu@postobon.com.co,aprmyu@postobon.com.co,wmora@postobon.com.co,efzapata@postobon.com.co</v>
      </c>
      <c r="Y927" s="5" t="str">
        <f ca="1">IFERROR(__xludf.DUMMYFUNCTION("""COMPUTED_VALUE"""),"wmazorra@postobon.com.co")</f>
        <v>wmazorra@postobon.com.co</v>
      </c>
      <c r="Z927" s="5" t="str">
        <f ca="1">IFERROR(__xludf.DUMMYFUNCTION("""COMPUTED_VALUE"""),"zFF66QDHQtyvk0t48dCK0Q")</f>
        <v>zFF66QDHQtyvk0t48dCK0Q</v>
      </c>
      <c r="AA927" s="5"/>
      <c r="AB927" s="5"/>
      <c r="AC927" s="5"/>
      <c r="AD927" s="5">
        <f ca="1">IFERROR(__xludf.DUMMYFUNCTION("""COMPUTED_VALUE"""),24)</f>
        <v>24</v>
      </c>
      <c r="AE927" s="5">
        <f ca="1">IFERROR(__xludf.DUMMYFUNCTION("""COMPUTED_VALUE"""),0)</f>
        <v>0</v>
      </c>
      <c r="AF927" s="5" t="b">
        <f ca="1">IFERROR(__xludf.DUMMYFUNCTION("""COMPUTED_VALUE"""),TRUE)</f>
        <v>1</v>
      </c>
      <c r="AG927" s="5" t="str">
        <f ca="1">IFERROR(__xludf.DUMMYFUNCTION("""COMPUTED_VALUE"""),"INSPECCIONES SIN REALIZAR")</f>
        <v>INSPECCIONES SIN REALIZAR</v>
      </c>
      <c r="AH927" s="5"/>
    </row>
    <row r="928" spans="1:34">
      <c r="A928" s="5" t="str">
        <f ca="1">IFERROR(__xludf.DUMMYFUNCTION("""COMPUTED_VALUE"""),"LINEA PET CSD - LINEA 10")</f>
        <v>LINEA PET CSD - LINEA 10</v>
      </c>
      <c r="B928" s="5">
        <f ca="1">IFERROR(__xludf.DUMMYFUNCTION("""COMPUTED_VALUE"""),579080)</f>
        <v>579080</v>
      </c>
      <c r="C928" s="5" t="str">
        <f ca="1">IFERROR(__xludf.DUMMYFUNCTION("""COMPUTED_VALUE"""),"PALETIZADORA")</f>
        <v>PALETIZADORA</v>
      </c>
      <c r="D928" s="5">
        <f ca="1">IFERROR(__xludf.DUMMYFUNCTION("""COMPUTED_VALUE"""),13247592)</f>
        <v>13247592</v>
      </c>
      <c r="E928" s="5" t="str">
        <f ca="1">IFERROR(__xludf.DUMMYFUNCTION("""COMPUTED_VALUE"""),"INSPECCION SEMANAL PALETIZADORA MODUPAL")</f>
        <v>INSPECCION SEMANAL PALETIZADORA MODUPAL</v>
      </c>
      <c r="F928" s="5" t="str">
        <f ca="1">IFERROR(__xludf.DUMMYFUNCTION("""COMPUTED_VALUE"""),"ESTADO DE SENSORES")</f>
        <v>ESTADO DE SENSORES</v>
      </c>
      <c r="G928" s="5"/>
      <c r="H928" s="5"/>
      <c r="I928" s="5"/>
      <c r="J928" s="5"/>
      <c r="K928" s="5"/>
      <c r="L928" s="18">
        <f ca="1">IFERROR(__xludf.DUMMYFUNCTION("""COMPUTED_VALUE"""),45325)</f>
        <v>45325</v>
      </c>
      <c r="M928" s="18">
        <f ca="1">IFERROR(__xludf.DUMMYFUNCTION("""COMPUTED_VALUE"""),45325)</f>
        <v>45325</v>
      </c>
      <c r="N928" s="5" t="str">
        <f ca="1">IFERROR(__xludf.DUMMYFUNCTION("""COMPUTED_VALUE"""),"Lucumi Juan")</f>
        <v>Lucumi Juan</v>
      </c>
      <c r="O928" s="2">
        <f ca="1">IFERROR(__xludf.DUMMYFUNCTION("""COMPUTED_VALUE"""),0.004347826)</f>
        <v>4.3478259999999999E-3</v>
      </c>
      <c r="P928" s="5"/>
      <c r="Q928" s="5" t="str">
        <f ca="1">IFERROR(__xludf.DUMMYFUNCTION("""COMPUTED_VALUE"""),"gZQbu6_Y_LM")</f>
        <v>gZQbu6_Y_LM</v>
      </c>
      <c r="R928" s="5">
        <f ca="1">IFERROR(__xludf.DUMMYFUNCTION("""COMPUTED_VALUE"""),410)</f>
        <v>410</v>
      </c>
      <c r="S928" s="62">
        <f ca="1">IFERROR(__xludf.DUMMYFUNCTION("""COMPUTED_VALUE"""),0.004347826)</f>
        <v>4.3478259999999999E-3</v>
      </c>
      <c r="T928" s="63" t="str">
        <f ca="1">IFERROR(__xludf.DUMMYFUNCTION("""COMPUTED_VALUE"""),"https://storage.googleapis.com/glide-prod.appspot.com/uploads-v2/ly7o78grxPaC6KdgvbpS/pub/UliJWgpEaBovaFmXi6OW.png")</f>
        <v>https://storage.googleapis.com/glide-prod.appspot.com/uploads-v2/ly7o78grxPaC6KdgvbpS/pub/UliJWgpEaBovaFmXi6OW.png</v>
      </c>
      <c r="U928" s="5" t="str">
        <f ca="1">IFERROR(__xludf.DUMMYFUNCTION("""COMPUTED_VALUE"""),"LINEA PET CSD - LINEA 10PALETIZADORA")</f>
        <v>LINEA PET CSD - LINEA 10PALETIZADORA</v>
      </c>
      <c r="V928" s="5"/>
      <c r="W928" s="5"/>
      <c r="X928" s="5" t="str">
        <f ca="1">IFERROR(__xludf.DUMMYFUNCTION("""COMPUTED_VALUE"""),"wmazorra@postobon.com.co,aprmttoyu@postobon.com.co,aprmyu@postobon.com.co,wmora@postobon.com.co,efzapata@postobon.com.co")</f>
        <v>wmazorra@postobon.com.co,aprmttoyu@postobon.com.co,aprmyu@postobon.com.co,wmora@postobon.com.co,efzapata@postobon.com.co</v>
      </c>
      <c r="Y928" s="5" t="str">
        <f ca="1">IFERROR(__xludf.DUMMYFUNCTION("""COMPUTED_VALUE"""),"wmazorra@postobon.com.co")</f>
        <v>wmazorra@postobon.com.co</v>
      </c>
      <c r="Z928" s="5" t="str">
        <f ca="1">IFERROR(__xludf.DUMMYFUNCTION("""COMPUTED_VALUE"""),"aRrmEKoCQy2TlUlzx-UjSA")</f>
        <v>aRrmEKoCQy2TlUlzx-UjSA</v>
      </c>
      <c r="AA928" s="5"/>
      <c r="AB928" s="5"/>
      <c r="AC928" s="5"/>
      <c r="AD928" s="5">
        <f ca="1">IFERROR(__xludf.DUMMYFUNCTION("""COMPUTED_VALUE"""),24)</f>
        <v>24</v>
      </c>
      <c r="AE928" s="5">
        <f ca="1">IFERROR(__xludf.DUMMYFUNCTION("""COMPUTED_VALUE"""),0)</f>
        <v>0</v>
      </c>
      <c r="AF928" s="5" t="b">
        <f ca="1">IFERROR(__xludf.DUMMYFUNCTION("""COMPUTED_VALUE"""),TRUE)</f>
        <v>1</v>
      </c>
      <c r="AG928" s="5" t="str">
        <f ca="1">IFERROR(__xludf.DUMMYFUNCTION("""COMPUTED_VALUE"""),"INSPECCIONES SIN REALIZAR")</f>
        <v>INSPECCIONES SIN REALIZAR</v>
      </c>
      <c r="AH928" s="5"/>
    </row>
    <row r="929" spans="1:34">
      <c r="A929" s="5" t="str">
        <f ca="1">IFERROR(__xludf.DUMMYFUNCTION("""COMPUTED_VALUE"""),"LINEA PET CSD - LINEA 10")</f>
        <v>LINEA PET CSD - LINEA 10</v>
      </c>
      <c r="B929" s="5">
        <f ca="1">IFERROR(__xludf.DUMMYFUNCTION("""COMPUTED_VALUE"""),579080)</f>
        <v>579080</v>
      </c>
      <c r="C929" s="5" t="str">
        <f ca="1">IFERROR(__xludf.DUMMYFUNCTION("""COMPUTED_VALUE"""),"PALETIZADORA")</f>
        <v>PALETIZADORA</v>
      </c>
      <c r="D929" s="5">
        <f ca="1">IFERROR(__xludf.DUMMYFUNCTION("""COMPUTED_VALUE"""),13247592)</f>
        <v>13247592</v>
      </c>
      <c r="E929" s="5" t="str">
        <f ca="1">IFERROR(__xludf.DUMMYFUNCTION("""COMPUTED_VALUE"""),"INSPECCION SEMANAL PALETIZADORA MODUPAL")</f>
        <v>INSPECCION SEMANAL PALETIZADORA MODUPAL</v>
      </c>
      <c r="F929" s="5" t="str">
        <f ca="1">IFERROR(__xludf.DUMMYFUNCTION("""COMPUTED_VALUE"""),"INSP. TABLERO ELECTRICO/CLIMATIZADOR")</f>
        <v>INSP. TABLERO ELECTRICO/CLIMATIZADOR</v>
      </c>
      <c r="G929" s="5"/>
      <c r="H929" s="5"/>
      <c r="I929" s="5"/>
      <c r="J929" s="5"/>
      <c r="K929" s="5"/>
      <c r="L929" s="18">
        <f ca="1">IFERROR(__xludf.DUMMYFUNCTION("""COMPUTED_VALUE"""),45325)</f>
        <v>45325</v>
      </c>
      <c r="M929" s="18">
        <f ca="1">IFERROR(__xludf.DUMMYFUNCTION("""COMPUTED_VALUE"""),45325)</f>
        <v>45325</v>
      </c>
      <c r="N929" s="5" t="str">
        <f ca="1">IFERROR(__xludf.DUMMYFUNCTION("""COMPUTED_VALUE"""),"Lucumi Juan")</f>
        <v>Lucumi Juan</v>
      </c>
      <c r="O929" s="2">
        <f ca="1">IFERROR(__xludf.DUMMYFUNCTION("""COMPUTED_VALUE"""),0.004347826)</f>
        <v>4.3478259999999999E-3</v>
      </c>
      <c r="P929" s="5"/>
      <c r="Q929" s="5" t="str">
        <f ca="1">IFERROR(__xludf.DUMMYFUNCTION("""COMPUTED_VALUE"""),"Pwh4XvbL3Yo")</f>
        <v>Pwh4XvbL3Yo</v>
      </c>
      <c r="R929" s="5">
        <f ca="1">IFERROR(__xludf.DUMMYFUNCTION("""COMPUTED_VALUE"""),410)</f>
        <v>410</v>
      </c>
      <c r="S929" s="62">
        <f ca="1">IFERROR(__xludf.DUMMYFUNCTION("""COMPUTED_VALUE"""),0.004347826)</f>
        <v>4.3478259999999999E-3</v>
      </c>
      <c r="T929" s="63" t="str">
        <f ca="1">IFERROR(__xludf.DUMMYFUNCTION("""COMPUTED_VALUE"""),"https://storage.googleapis.com/glide-prod.appspot.com/uploads-v2/ly7o78grxPaC6KdgvbpS/pub/UliJWgpEaBovaFmXi6OW.png")</f>
        <v>https://storage.googleapis.com/glide-prod.appspot.com/uploads-v2/ly7o78grxPaC6KdgvbpS/pub/UliJWgpEaBovaFmXi6OW.png</v>
      </c>
      <c r="U929" s="5" t="str">
        <f ca="1">IFERROR(__xludf.DUMMYFUNCTION("""COMPUTED_VALUE"""),"LINEA PET CSD - LINEA 10PALETIZADORA")</f>
        <v>LINEA PET CSD - LINEA 10PALETIZADORA</v>
      </c>
      <c r="V929" s="5"/>
      <c r="W929" s="5"/>
      <c r="X929" s="5" t="str">
        <f ca="1">IFERROR(__xludf.DUMMYFUNCTION("""COMPUTED_VALUE"""),"wmazorra@postobon.com.co,aprmttoyu@postobon.com.co,aprmyu@postobon.com.co,wmora@postobon.com.co,efzapata@postobon.com.co")</f>
        <v>wmazorra@postobon.com.co,aprmttoyu@postobon.com.co,aprmyu@postobon.com.co,wmora@postobon.com.co,efzapata@postobon.com.co</v>
      </c>
      <c r="Y929" s="5" t="str">
        <f ca="1">IFERROR(__xludf.DUMMYFUNCTION("""COMPUTED_VALUE"""),"wmazorra@postobon.com.co")</f>
        <v>wmazorra@postobon.com.co</v>
      </c>
      <c r="Z929" s="5" t="str">
        <f ca="1">IFERROR(__xludf.DUMMYFUNCTION("""COMPUTED_VALUE"""),"pBJKvZ7hQVqMSJOs0S35yw")</f>
        <v>pBJKvZ7hQVqMSJOs0S35yw</v>
      </c>
      <c r="AA929" s="5"/>
      <c r="AB929" s="5"/>
      <c r="AC929" s="5"/>
      <c r="AD929" s="5">
        <f ca="1">IFERROR(__xludf.DUMMYFUNCTION("""COMPUTED_VALUE"""),24)</f>
        <v>24</v>
      </c>
      <c r="AE929" s="5">
        <f ca="1">IFERROR(__xludf.DUMMYFUNCTION("""COMPUTED_VALUE"""),0)</f>
        <v>0</v>
      </c>
      <c r="AF929" s="5" t="b">
        <f ca="1">IFERROR(__xludf.DUMMYFUNCTION("""COMPUTED_VALUE"""),TRUE)</f>
        <v>1</v>
      </c>
      <c r="AG929" s="5" t="str">
        <f ca="1">IFERROR(__xludf.DUMMYFUNCTION("""COMPUTED_VALUE"""),"INSPECCIONES SIN REALIZAR")</f>
        <v>INSPECCIONES SIN REALIZAR</v>
      </c>
      <c r="AH929" s="5"/>
    </row>
    <row r="930" spans="1:34">
      <c r="A930" s="5" t="str">
        <f ca="1">IFERROR(__xludf.DUMMYFUNCTION("""COMPUTED_VALUE"""),"LINEA PET CSD - LINEA 10")</f>
        <v>LINEA PET CSD - LINEA 10</v>
      </c>
      <c r="B930" s="5">
        <f ca="1">IFERROR(__xludf.DUMMYFUNCTION("""COMPUTED_VALUE"""),579080)</f>
        <v>579080</v>
      </c>
      <c r="C930" s="5" t="str">
        <f ca="1">IFERROR(__xludf.DUMMYFUNCTION("""COMPUTED_VALUE"""),"PALETIZADORA")</f>
        <v>PALETIZADORA</v>
      </c>
      <c r="D930" s="5">
        <f ca="1">IFERROR(__xludf.DUMMYFUNCTION("""COMPUTED_VALUE"""),13247592)</f>
        <v>13247592</v>
      </c>
      <c r="E930" s="5" t="str">
        <f ca="1">IFERROR(__xludf.DUMMYFUNCTION("""COMPUTED_VALUE"""),"INSPECCION SEMANAL PALETIZADORA MODUPAL")</f>
        <v>INSPECCION SEMANAL PALETIZADORA MODUPAL</v>
      </c>
      <c r="F930" s="5" t="str">
        <f ca="1">IFERROR(__xludf.DUMMYFUNCTION("""COMPUTED_VALUE"""),"FUNC SERVOMOTOR")</f>
        <v>FUNC SERVOMOTOR</v>
      </c>
      <c r="G930" s="5"/>
      <c r="H930" s="5"/>
      <c r="I930" s="5"/>
      <c r="J930" s="5"/>
      <c r="K930" s="5"/>
      <c r="L930" s="18">
        <f ca="1">IFERROR(__xludf.DUMMYFUNCTION("""COMPUTED_VALUE"""),45325)</f>
        <v>45325</v>
      </c>
      <c r="M930" s="18">
        <f ca="1">IFERROR(__xludf.DUMMYFUNCTION("""COMPUTED_VALUE"""),45325)</f>
        <v>45325</v>
      </c>
      <c r="N930" s="5" t="str">
        <f ca="1">IFERROR(__xludf.DUMMYFUNCTION("""COMPUTED_VALUE"""),"Lucumi Juan")</f>
        <v>Lucumi Juan</v>
      </c>
      <c r="O930" s="2">
        <f ca="1">IFERROR(__xludf.DUMMYFUNCTION("""COMPUTED_VALUE"""),0.004347826)</f>
        <v>4.3478259999999999E-3</v>
      </c>
      <c r="P930" s="5"/>
      <c r="Q930" s="5" t="str">
        <f ca="1">IFERROR(__xludf.DUMMYFUNCTION("""COMPUTED_VALUE"""),"P5qs4iHtfJk")</f>
        <v>P5qs4iHtfJk</v>
      </c>
      <c r="R930" s="5">
        <f ca="1">IFERROR(__xludf.DUMMYFUNCTION("""COMPUTED_VALUE"""),410)</f>
        <v>410</v>
      </c>
      <c r="S930" s="62">
        <f ca="1">IFERROR(__xludf.DUMMYFUNCTION("""COMPUTED_VALUE"""),0.004347826)</f>
        <v>4.3478259999999999E-3</v>
      </c>
      <c r="T930" s="63" t="str">
        <f ca="1">IFERROR(__xludf.DUMMYFUNCTION("""COMPUTED_VALUE"""),"https://storage.googleapis.com/glide-prod.appspot.com/uploads-v2/ly7o78grxPaC6KdgvbpS/pub/UliJWgpEaBovaFmXi6OW.png")</f>
        <v>https://storage.googleapis.com/glide-prod.appspot.com/uploads-v2/ly7o78grxPaC6KdgvbpS/pub/UliJWgpEaBovaFmXi6OW.png</v>
      </c>
      <c r="U930" s="5" t="str">
        <f ca="1">IFERROR(__xludf.DUMMYFUNCTION("""COMPUTED_VALUE"""),"LINEA PET CSD - LINEA 10PALETIZADORA")</f>
        <v>LINEA PET CSD - LINEA 10PALETIZADORA</v>
      </c>
      <c r="V930" s="5"/>
      <c r="W930" s="5"/>
      <c r="X930" s="5" t="str">
        <f ca="1">IFERROR(__xludf.DUMMYFUNCTION("""COMPUTED_VALUE"""),"wmazorra@postobon.com.co,aprmttoyu@postobon.com.co,aprmyu@postobon.com.co,wmora@postobon.com.co,efzapata@postobon.com.co")</f>
        <v>wmazorra@postobon.com.co,aprmttoyu@postobon.com.co,aprmyu@postobon.com.co,wmora@postobon.com.co,efzapata@postobon.com.co</v>
      </c>
      <c r="Y930" s="5" t="str">
        <f ca="1">IFERROR(__xludf.DUMMYFUNCTION("""COMPUTED_VALUE"""),"wmazorra@postobon.com.co")</f>
        <v>wmazorra@postobon.com.co</v>
      </c>
      <c r="Z930" s="5" t="str">
        <f ca="1">IFERROR(__xludf.DUMMYFUNCTION("""COMPUTED_VALUE"""),"EUDPVG4aT2Kwn6rehweLog")</f>
        <v>EUDPVG4aT2Kwn6rehweLog</v>
      </c>
      <c r="AA930" s="5"/>
      <c r="AB930" s="5"/>
      <c r="AC930" s="5"/>
      <c r="AD930" s="5">
        <f ca="1">IFERROR(__xludf.DUMMYFUNCTION("""COMPUTED_VALUE"""),24)</f>
        <v>24</v>
      </c>
      <c r="AE930" s="5">
        <f ca="1">IFERROR(__xludf.DUMMYFUNCTION("""COMPUTED_VALUE"""),0)</f>
        <v>0</v>
      </c>
      <c r="AF930" s="5" t="b">
        <f ca="1">IFERROR(__xludf.DUMMYFUNCTION("""COMPUTED_VALUE"""),TRUE)</f>
        <v>1</v>
      </c>
      <c r="AG930" s="5" t="str">
        <f ca="1">IFERROR(__xludf.DUMMYFUNCTION("""COMPUTED_VALUE"""),"INSPECCIONES SIN REALIZAR")</f>
        <v>INSPECCIONES SIN REALIZAR</v>
      </c>
      <c r="AH930" s="5"/>
    </row>
    <row r="931" spans="1:34">
      <c r="A931" s="5" t="str">
        <f ca="1">IFERROR(__xludf.DUMMYFUNCTION("""COMPUTED_VALUE"""),"LINEA PET CSD - LINEA 10")</f>
        <v>LINEA PET CSD - LINEA 10</v>
      </c>
      <c r="B931" s="5">
        <f ca="1">IFERROR(__xludf.DUMMYFUNCTION("""COMPUTED_VALUE"""),579080)</f>
        <v>579080</v>
      </c>
      <c r="C931" s="5" t="str">
        <f ca="1">IFERROR(__xludf.DUMMYFUNCTION("""COMPUTED_VALUE"""),"PALETIZADORA")</f>
        <v>PALETIZADORA</v>
      </c>
      <c r="D931" s="5">
        <f ca="1">IFERROR(__xludf.DUMMYFUNCTION("""COMPUTED_VALUE"""),13247592)</f>
        <v>13247592</v>
      </c>
      <c r="E931" s="5" t="str">
        <f ca="1">IFERROR(__xludf.DUMMYFUNCTION("""COMPUTED_VALUE"""),"INSPECCION SEMANAL PALETIZADORA MODUPAL")</f>
        <v>INSPECCION SEMANAL PALETIZADORA MODUPAL</v>
      </c>
      <c r="F931" s="5" t="str">
        <f ca="1">IFERROR(__xludf.DUMMYFUNCTION("""COMPUTED_VALUE"""),"INSP BARRERAS LUZ,REFLETORES COLOCADOR CAPAS")</f>
        <v>INSP BARRERAS LUZ,REFLETORES COLOCADOR CAPAS</v>
      </c>
      <c r="G931" s="5"/>
      <c r="H931" s="5"/>
      <c r="I931" s="5"/>
      <c r="J931" s="5"/>
      <c r="K931" s="5"/>
      <c r="L931" s="18">
        <f ca="1">IFERROR(__xludf.DUMMYFUNCTION("""COMPUTED_VALUE"""),45325)</f>
        <v>45325</v>
      </c>
      <c r="M931" s="18">
        <f ca="1">IFERROR(__xludf.DUMMYFUNCTION("""COMPUTED_VALUE"""),45325)</f>
        <v>45325</v>
      </c>
      <c r="N931" s="5" t="str">
        <f ca="1">IFERROR(__xludf.DUMMYFUNCTION("""COMPUTED_VALUE"""),"Lucumi Juan")</f>
        <v>Lucumi Juan</v>
      </c>
      <c r="O931" s="2">
        <f ca="1">IFERROR(__xludf.DUMMYFUNCTION("""COMPUTED_VALUE"""),0.004347826)</f>
        <v>4.3478259999999999E-3</v>
      </c>
      <c r="P931" s="5"/>
      <c r="Q931" s="5" t="str">
        <f ca="1">IFERROR(__xludf.DUMMYFUNCTION("""COMPUTED_VALUE"""),"wO_h5v7zWs4")</f>
        <v>wO_h5v7zWs4</v>
      </c>
      <c r="R931" s="5">
        <f ca="1">IFERROR(__xludf.DUMMYFUNCTION("""COMPUTED_VALUE"""),410)</f>
        <v>410</v>
      </c>
      <c r="S931" s="62">
        <f ca="1">IFERROR(__xludf.DUMMYFUNCTION("""COMPUTED_VALUE"""),0.004347826)</f>
        <v>4.3478259999999999E-3</v>
      </c>
      <c r="T931" s="63" t="str">
        <f ca="1">IFERROR(__xludf.DUMMYFUNCTION("""COMPUTED_VALUE"""),"https://storage.googleapis.com/glide-prod.appspot.com/uploads-v2/ly7o78grxPaC6KdgvbpS/pub/UliJWgpEaBovaFmXi6OW.png")</f>
        <v>https://storage.googleapis.com/glide-prod.appspot.com/uploads-v2/ly7o78grxPaC6KdgvbpS/pub/UliJWgpEaBovaFmXi6OW.png</v>
      </c>
      <c r="U931" s="5" t="str">
        <f ca="1">IFERROR(__xludf.DUMMYFUNCTION("""COMPUTED_VALUE"""),"LINEA PET CSD - LINEA 10PALETIZADORA")</f>
        <v>LINEA PET CSD - LINEA 10PALETIZADORA</v>
      </c>
      <c r="V931" s="5"/>
      <c r="W931" s="5"/>
      <c r="X931" s="5" t="str">
        <f ca="1">IFERROR(__xludf.DUMMYFUNCTION("""COMPUTED_VALUE"""),"wmazorra@postobon.com.co,aprmttoyu@postobon.com.co,aprmyu@postobon.com.co,wmora@postobon.com.co,efzapata@postobon.com.co")</f>
        <v>wmazorra@postobon.com.co,aprmttoyu@postobon.com.co,aprmyu@postobon.com.co,wmora@postobon.com.co,efzapata@postobon.com.co</v>
      </c>
      <c r="Y931" s="5" t="str">
        <f ca="1">IFERROR(__xludf.DUMMYFUNCTION("""COMPUTED_VALUE"""),"wmazorra@postobon.com.co")</f>
        <v>wmazorra@postobon.com.co</v>
      </c>
      <c r="Z931" s="5" t="str">
        <f ca="1">IFERROR(__xludf.DUMMYFUNCTION("""COMPUTED_VALUE"""),"D5WEx06hQ-WWgY0MzEK2pA")</f>
        <v>D5WEx06hQ-WWgY0MzEK2pA</v>
      </c>
      <c r="AA931" s="5"/>
      <c r="AB931" s="5"/>
      <c r="AC931" s="5"/>
      <c r="AD931" s="5">
        <f ca="1">IFERROR(__xludf.DUMMYFUNCTION("""COMPUTED_VALUE"""),24)</f>
        <v>24</v>
      </c>
      <c r="AE931" s="5">
        <f ca="1">IFERROR(__xludf.DUMMYFUNCTION("""COMPUTED_VALUE"""),0)</f>
        <v>0</v>
      </c>
      <c r="AF931" s="5" t="b">
        <f ca="1">IFERROR(__xludf.DUMMYFUNCTION("""COMPUTED_VALUE"""),TRUE)</f>
        <v>1</v>
      </c>
      <c r="AG931" s="5" t="str">
        <f ca="1">IFERROR(__xludf.DUMMYFUNCTION("""COMPUTED_VALUE"""),"INSPECCIONES SIN REALIZAR")</f>
        <v>INSPECCIONES SIN REALIZAR</v>
      </c>
      <c r="AH931" s="5"/>
    </row>
    <row r="932" spans="1:34">
      <c r="A932" s="5" t="str">
        <f ca="1">IFERROR(__xludf.DUMMYFUNCTION("""COMPUTED_VALUE"""),"LINEA PET CSD - LINEA 10")</f>
        <v>LINEA PET CSD - LINEA 10</v>
      </c>
      <c r="B932" s="5">
        <f ca="1">IFERROR(__xludf.DUMMYFUNCTION("""COMPUTED_VALUE"""),579080)</f>
        <v>579080</v>
      </c>
      <c r="C932" s="5" t="str">
        <f ca="1">IFERROR(__xludf.DUMMYFUNCTION("""COMPUTED_VALUE"""),"PALETIZADORA")</f>
        <v>PALETIZADORA</v>
      </c>
      <c r="D932" s="5">
        <f ca="1">IFERROR(__xludf.DUMMYFUNCTION("""COMPUTED_VALUE"""),13247592)</f>
        <v>13247592</v>
      </c>
      <c r="E932" s="5" t="str">
        <f ca="1">IFERROR(__xludf.DUMMYFUNCTION("""COMPUTED_VALUE"""),"INSPECCION SEMANAL PALETIZADORA MODUPAL")</f>
        <v>INSPECCION SEMANAL PALETIZADORA MODUPAL</v>
      </c>
      <c r="F932" s="5" t="str">
        <f ca="1">IFERROR(__xludf.DUMMYFUNCTION("""COMPUTED_VALUE"""),"ESTADO SENSORES COLOCADOR CAPAS")</f>
        <v>ESTADO SENSORES COLOCADOR CAPAS</v>
      </c>
      <c r="G932" s="5"/>
      <c r="H932" s="5"/>
      <c r="I932" s="5"/>
      <c r="J932" s="5"/>
      <c r="K932" s="5"/>
      <c r="L932" s="18">
        <f ca="1">IFERROR(__xludf.DUMMYFUNCTION("""COMPUTED_VALUE"""),45325)</f>
        <v>45325</v>
      </c>
      <c r="M932" s="18">
        <f ca="1">IFERROR(__xludf.DUMMYFUNCTION("""COMPUTED_VALUE"""),45325)</f>
        <v>45325</v>
      </c>
      <c r="N932" s="5" t="str">
        <f ca="1">IFERROR(__xludf.DUMMYFUNCTION("""COMPUTED_VALUE"""),"Lucumi Juan")</f>
        <v>Lucumi Juan</v>
      </c>
      <c r="O932" s="2">
        <f ca="1">IFERROR(__xludf.DUMMYFUNCTION("""COMPUTED_VALUE"""),0.004347826)</f>
        <v>4.3478259999999999E-3</v>
      </c>
      <c r="P932" s="5"/>
      <c r="Q932" s="5" t="str">
        <f ca="1">IFERROR(__xludf.DUMMYFUNCTION("""COMPUTED_VALUE"""),"XaNmvrg5mkQ")</f>
        <v>XaNmvrg5mkQ</v>
      </c>
      <c r="R932" s="5">
        <f ca="1">IFERROR(__xludf.DUMMYFUNCTION("""COMPUTED_VALUE"""),410)</f>
        <v>410</v>
      </c>
      <c r="S932" s="62">
        <f ca="1">IFERROR(__xludf.DUMMYFUNCTION("""COMPUTED_VALUE"""),0.004347826)</f>
        <v>4.3478259999999999E-3</v>
      </c>
      <c r="T932" s="63" t="str">
        <f ca="1">IFERROR(__xludf.DUMMYFUNCTION("""COMPUTED_VALUE"""),"https://storage.googleapis.com/glide-prod.appspot.com/uploads-v2/ly7o78grxPaC6KdgvbpS/pub/UliJWgpEaBovaFmXi6OW.png")</f>
        <v>https://storage.googleapis.com/glide-prod.appspot.com/uploads-v2/ly7o78grxPaC6KdgvbpS/pub/UliJWgpEaBovaFmXi6OW.png</v>
      </c>
      <c r="U932" s="5" t="str">
        <f ca="1">IFERROR(__xludf.DUMMYFUNCTION("""COMPUTED_VALUE"""),"LINEA PET CSD - LINEA 10PALETIZADORA")</f>
        <v>LINEA PET CSD - LINEA 10PALETIZADORA</v>
      </c>
      <c r="V932" s="5"/>
      <c r="W932" s="5"/>
      <c r="X932" s="5" t="str">
        <f ca="1">IFERROR(__xludf.DUMMYFUNCTION("""COMPUTED_VALUE"""),"wmazorra@postobon.com.co,aprmttoyu@postobon.com.co,aprmyu@postobon.com.co,wmora@postobon.com.co,efzapata@postobon.com.co")</f>
        <v>wmazorra@postobon.com.co,aprmttoyu@postobon.com.co,aprmyu@postobon.com.co,wmora@postobon.com.co,efzapata@postobon.com.co</v>
      </c>
      <c r="Y932" s="5" t="str">
        <f ca="1">IFERROR(__xludf.DUMMYFUNCTION("""COMPUTED_VALUE"""),"wmazorra@postobon.com.co")</f>
        <v>wmazorra@postobon.com.co</v>
      </c>
      <c r="Z932" s="5" t="str">
        <f ca="1">IFERROR(__xludf.DUMMYFUNCTION("""COMPUTED_VALUE"""),"plWx8XHMRMy7owkSzSfXZA")</f>
        <v>plWx8XHMRMy7owkSzSfXZA</v>
      </c>
      <c r="AA932" s="5"/>
      <c r="AB932" s="5"/>
      <c r="AC932" s="5"/>
      <c r="AD932" s="5">
        <f ca="1">IFERROR(__xludf.DUMMYFUNCTION("""COMPUTED_VALUE"""),24)</f>
        <v>24</v>
      </c>
      <c r="AE932" s="5">
        <f ca="1">IFERROR(__xludf.DUMMYFUNCTION("""COMPUTED_VALUE"""),0)</f>
        <v>0</v>
      </c>
      <c r="AF932" s="5" t="b">
        <f ca="1">IFERROR(__xludf.DUMMYFUNCTION("""COMPUTED_VALUE"""),TRUE)</f>
        <v>1</v>
      </c>
      <c r="AG932" s="5" t="str">
        <f ca="1">IFERROR(__xludf.DUMMYFUNCTION("""COMPUTED_VALUE"""),"INSPECCIONES SIN REALIZAR")</f>
        <v>INSPECCIONES SIN REALIZAR</v>
      </c>
      <c r="AH932" s="5"/>
    </row>
    <row r="933" spans="1:34">
      <c r="A933" s="5" t="str">
        <f ca="1">IFERROR(__xludf.DUMMYFUNCTION("""COMPUTED_VALUE"""),"LINEA PET CSD - LINEA 10")</f>
        <v>LINEA PET CSD - LINEA 10</v>
      </c>
      <c r="B933" s="5">
        <f ca="1">IFERROR(__xludf.DUMMYFUNCTION("""COMPUTED_VALUE"""),579080)</f>
        <v>579080</v>
      </c>
      <c r="C933" s="5" t="str">
        <f ca="1">IFERROR(__xludf.DUMMYFUNCTION("""COMPUTED_VALUE"""),"PALETIZADORA")</f>
        <v>PALETIZADORA</v>
      </c>
      <c r="D933" s="5">
        <f ca="1">IFERROR(__xludf.DUMMYFUNCTION("""COMPUTED_VALUE"""),13247592)</f>
        <v>13247592</v>
      </c>
      <c r="E933" s="5" t="str">
        <f ca="1">IFERROR(__xludf.DUMMYFUNCTION("""COMPUTED_VALUE"""),"INSPECCION SEMANAL PALETIZADORA MODUPAL")</f>
        <v>INSPECCION SEMANAL PALETIZADORA MODUPAL</v>
      </c>
      <c r="F933" s="5" t="str">
        <f ca="1">IFERROR(__xludf.DUMMYFUNCTION("""COMPUTED_VALUE"""),"INSP FILTRO AIRE MARCO ASPIRACION COLOCADOR CAPAS")</f>
        <v>INSP FILTRO AIRE MARCO ASPIRACION COLOCADOR CAPAS</v>
      </c>
      <c r="G933" s="5"/>
      <c r="H933" s="5"/>
      <c r="I933" s="5"/>
      <c r="J933" s="5"/>
      <c r="K933" s="5"/>
      <c r="L933" s="18">
        <f ca="1">IFERROR(__xludf.DUMMYFUNCTION("""COMPUTED_VALUE"""),45325)</f>
        <v>45325</v>
      </c>
      <c r="M933" s="18">
        <f ca="1">IFERROR(__xludf.DUMMYFUNCTION("""COMPUTED_VALUE"""),45325)</f>
        <v>45325</v>
      </c>
      <c r="N933" s="5" t="str">
        <f ca="1">IFERROR(__xludf.DUMMYFUNCTION("""COMPUTED_VALUE"""),"Lucumi Juan")</f>
        <v>Lucumi Juan</v>
      </c>
      <c r="O933" s="2">
        <f ca="1">IFERROR(__xludf.DUMMYFUNCTION("""COMPUTED_VALUE"""),0.004347826)</f>
        <v>4.3478259999999999E-3</v>
      </c>
      <c r="P933" s="5"/>
      <c r="Q933" s="5" t="str">
        <f ca="1">IFERROR(__xludf.DUMMYFUNCTION("""COMPUTED_VALUE"""),"hi2pNyab4oE")</f>
        <v>hi2pNyab4oE</v>
      </c>
      <c r="R933" s="5">
        <f ca="1">IFERROR(__xludf.DUMMYFUNCTION("""COMPUTED_VALUE"""),410)</f>
        <v>410</v>
      </c>
      <c r="S933" s="62">
        <f ca="1">IFERROR(__xludf.DUMMYFUNCTION("""COMPUTED_VALUE"""),0.004347826)</f>
        <v>4.3478259999999999E-3</v>
      </c>
      <c r="T933" s="63" t="str">
        <f ca="1">IFERROR(__xludf.DUMMYFUNCTION("""COMPUTED_VALUE"""),"https://storage.googleapis.com/glide-prod.appspot.com/uploads-v2/ly7o78grxPaC6KdgvbpS/pub/UliJWgpEaBovaFmXi6OW.png")</f>
        <v>https://storage.googleapis.com/glide-prod.appspot.com/uploads-v2/ly7o78grxPaC6KdgvbpS/pub/UliJWgpEaBovaFmXi6OW.png</v>
      </c>
      <c r="U933" s="5" t="str">
        <f ca="1">IFERROR(__xludf.DUMMYFUNCTION("""COMPUTED_VALUE"""),"LINEA PET CSD - LINEA 10PALETIZADORA")</f>
        <v>LINEA PET CSD - LINEA 10PALETIZADORA</v>
      </c>
      <c r="V933" s="5"/>
      <c r="W933" s="5"/>
      <c r="X933" s="5" t="str">
        <f ca="1">IFERROR(__xludf.DUMMYFUNCTION("""COMPUTED_VALUE"""),"wmazorra@postobon.com.co,aprmttoyu@postobon.com.co,aprmyu@postobon.com.co,wmora@postobon.com.co,efzapata@postobon.com.co")</f>
        <v>wmazorra@postobon.com.co,aprmttoyu@postobon.com.co,aprmyu@postobon.com.co,wmora@postobon.com.co,efzapata@postobon.com.co</v>
      </c>
      <c r="Y933" s="5" t="str">
        <f ca="1">IFERROR(__xludf.DUMMYFUNCTION("""COMPUTED_VALUE"""),"wmazorra@postobon.com.co")</f>
        <v>wmazorra@postobon.com.co</v>
      </c>
      <c r="Z933" s="5" t="str">
        <f ca="1">IFERROR(__xludf.DUMMYFUNCTION("""COMPUTED_VALUE"""),"a-LG7exMJTWGcCRCUoS4UuA")</f>
        <v>a-LG7exMJTWGcCRCUoS4UuA</v>
      </c>
      <c r="AA933" s="5"/>
      <c r="AB933" s="5"/>
      <c r="AC933" s="5"/>
      <c r="AD933" s="5">
        <f ca="1">IFERROR(__xludf.DUMMYFUNCTION("""COMPUTED_VALUE"""),24)</f>
        <v>24</v>
      </c>
      <c r="AE933" s="5">
        <f ca="1">IFERROR(__xludf.DUMMYFUNCTION("""COMPUTED_VALUE"""),0)</f>
        <v>0</v>
      </c>
      <c r="AF933" s="5" t="b">
        <f ca="1">IFERROR(__xludf.DUMMYFUNCTION("""COMPUTED_VALUE"""),TRUE)</f>
        <v>1</v>
      </c>
      <c r="AG933" s="5" t="str">
        <f ca="1">IFERROR(__xludf.DUMMYFUNCTION("""COMPUTED_VALUE"""),"INSPECCIONES SIN REALIZAR")</f>
        <v>INSPECCIONES SIN REALIZAR</v>
      </c>
      <c r="AH933" s="5"/>
    </row>
    <row r="934" spans="1:34">
      <c r="A934" s="5" t="str">
        <f ca="1">IFERROR(__xludf.DUMMYFUNCTION("""COMPUTED_VALUE"""),"LINEA PET CSD - LINEA 10")</f>
        <v>LINEA PET CSD - LINEA 10</v>
      </c>
      <c r="B934" s="5">
        <f ca="1">IFERROR(__xludf.DUMMYFUNCTION("""COMPUTED_VALUE"""),579080)</f>
        <v>579080</v>
      </c>
      <c r="C934" s="5" t="str">
        <f ca="1">IFERROR(__xludf.DUMMYFUNCTION("""COMPUTED_VALUE"""),"PALETIZADORA")</f>
        <v>PALETIZADORA</v>
      </c>
      <c r="D934" s="5">
        <f ca="1">IFERROR(__xludf.DUMMYFUNCTION("""COMPUTED_VALUE"""),13247592)</f>
        <v>13247592</v>
      </c>
      <c r="E934" s="5" t="str">
        <f ca="1">IFERROR(__xludf.DUMMYFUNCTION("""COMPUTED_VALUE"""),"INSPECCION SEMANAL PALETIZADORA MODUPAL")</f>
        <v>INSPECCION SEMANAL PALETIZADORA MODUPAL</v>
      </c>
      <c r="F934" s="5" t="str">
        <f ca="1">IFERROR(__xludf.DUMMYFUNCTION("""COMPUTED_VALUE"""),"INSP FILTRO AIRE TABLERO ELECTRICO COLOCADOR CAPAS")</f>
        <v>INSP FILTRO AIRE TABLERO ELECTRICO COLOCADOR CAPAS</v>
      </c>
      <c r="G934" s="5"/>
      <c r="H934" s="5"/>
      <c r="I934" s="5"/>
      <c r="J934" s="5"/>
      <c r="K934" s="5"/>
      <c r="L934" s="18">
        <f ca="1">IFERROR(__xludf.DUMMYFUNCTION("""COMPUTED_VALUE"""),45325)</f>
        <v>45325</v>
      </c>
      <c r="M934" s="18">
        <f ca="1">IFERROR(__xludf.DUMMYFUNCTION("""COMPUTED_VALUE"""),45325)</f>
        <v>45325</v>
      </c>
      <c r="N934" s="5" t="str">
        <f ca="1">IFERROR(__xludf.DUMMYFUNCTION("""COMPUTED_VALUE"""),"Lucumi Juan")</f>
        <v>Lucumi Juan</v>
      </c>
      <c r="O934" s="2">
        <f ca="1">IFERROR(__xludf.DUMMYFUNCTION("""COMPUTED_VALUE"""),0.004347826)</f>
        <v>4.3478259999999999E-3</v>
      </c>
      <c r="P934" s="5"/>
      <c r="Q934" s="5" t="str">
        <f ca="1">IFERROR(__xludf.DUMMYFUNCTION("""COMPUTED_VALUE"""),"iLeL_02kfXE")</f>
        <v>iLeL_02kfXE</v>
      </c>
      <c r="R934" s="5">
        <f ca="1">IFERROR(__xludf.DUMMYFUNCTION("""COMPUTED_VALUE"""),410)</f>
        <v>410</v>
      </c>
      <c r="S934" s="62">
        <f ca="1">IFERROR(__xludf.DUMMYFUNCTION("""COMPUTED_VALUE"""),0.004347826)</f>
        <v>4.3478259999999999E-3</v>
      </c>
      <c r="T934" s="63" t="str">
        <f ca="1">IFERROR(__xludf.DUMMYFUNCTION("""COMPUTED_VALUE"""),"https://storage.googleapis.com/glide-prod.appspot.com/uploads-v2/ly7o78grxPaC6KdgvbpS/pub/UliJWgpEaBovaFmXi6OW.png")</f>
        <v>https://storage.googleapis.com/glide-prod.appspot.com/uploads-v2/ly7o78grxPaC6KdgvbpS/pub/UliJWgpEaBovaFmXi6OW.png</v>
      </c>
      <c r="U934" s="5" t="str">
        <f ca="1">IFERROR(__xludf.DUMMYFUNCTION("""COMPUTED_VALUE"""),"LINEA PET CSD - LINEA 10PALETIZADORA")</f>
        <v>LINEA PET CSD - LINEA 10PALETIZADORA</v>
      </c>
      <c r="V934" s="5"/>
      <c r="W934" s="5"/>
      <c r="X934" s="5" t="str">
        <f ca="1">IFERROR(__xludf.DUMMYFUNCTION("""COMPUTED_VALUE"""),"wmazorra@postobon.com.co,aprmttoyu@postobon.com.co,aprmyu@postobon.com.co,wmora@postobon.com.co,efzapata@postobon.com.co")</f>
        <v>wmazorra@postobon.com.co,aprmttoyu@postobon.com.co,aprmyu@postobon.com.co,wmora@postobon.com.co,efzapata@postobon.com.co</v>
      </c>
      <c r="Y934" s="5" t="str">
        <f ca="1">IFERROR(__xludf.DUMMYFUNCTION("""COMPUTED_VALUE"""),"wmazorra@postobon.com.co")</f>
        <v>wmazorra@postobon.com.co</v>
      </c>
      <c r="Z934" s="5" t="str">
        <f ca="1">IFERROR(__xludf.DUMMYFUNCTION("""COMPUTED_VALUE"""),"6dN5oHdKSEeJKhXO-izIqw")</f>
        <v>6dN5oHdKSEeJKhXO-izIqw</v>
      </c>
      <c r="AA934" s="5"/>
      <c r="AB934" s="5"/>
      <c r="AC934" s="5"/>
      <c r="AD934" s="5">
        <f ca="1">IFERROR(__xludf.DUMMYFUNCTION("""COMPUTED_VALUE"""),24)</f>
        <v>24</v>
      </c>
      <c r="AE934" s="5">
        <f ca="1">IFERROR(__xludf.DUMMYFUNCTION("""COMPUTED_VALUE"""),0)</f>
        <v>0</v>
      </c>
      <c r="AF934" s="5" t="b">
        <f ca="1">IFERROR(__xludf.DUMMYFUNCTION("""COMPUTED_VALUE"""),TRUE)</f>
        <v>1</v>
      </c>
      <c r="AG934" s="5" t="str">
        <f ca="1">IFERROR(__xludf.DUMMYFUNCTION("""COMPUTED_VALUE"""),"INSPECCIONES SIN REALIZAR")</f>
        <v>INSPECCIONES SIN REALIZAR</v>
      </c>
      <c r="AH934" s="5"/>
    </row>
    <row r="935" spans="1:34">
      <c r="A935" s="5" t="str">
        <f ca="1">IFERROR(__xludf.DUMMYFUNCTION("""COMPUTED_VALUE"""),"LINEA PET CSD - LINEA 10")</f>
        <v>LINEA PET CSD - LINEA 10</v>
      </c>
      <c r="B935" s="5">
        <f ca="1">IFERROR(__xludf.DUMMYFUNCTION("""COMPUTED_VALUE"""),579080)</f>
        <v>579080</v>
      </c>
      <c r="C935" s="5" t="str">
        <f ca="1">IFERROR(__xludf.DUMMYFUNCTION("""COMPUTED_VALUE"""),"PALETIZADORA")</f>
        <v>PALETIZADORA</v>
      </c>
      <c r="D935" s="5">
        <f ca="1">IFERROR(__xludf.DUMMYFUNCTION("""COMPUTED_VALUE"""),13247592)</f>
        <v>13247592</v>
      </c>
      <c r="E935" s="5" t="str">
        <f ca="1">IFERROR(__xludf.DUMMYFUNCTION("""COMPUTED_VALUE"""),"INSPECCION SEMANAL PALETIZADORA MODUPAL")</f>
        <v>INSPECCION SEMANAL PALETIZADORA MODUPAL</v>
      </c>
      <c r="F935" s="5" t="str">
        <f ca="1">IFERROR(__xludf.DUMMYFUNCTION("""COMPUTED_VALUE"""),"INSP SILENCIADOR VALVULA ASPIRACIO COLOCADOR CAPAS")</f>
        <v>INSP SILENCIADOR VALVULA ASPIRACIO COLOCADOR CAPAS</v>
      </c>
      <c r="G935" s="5"/>
      <c r="H935" s="5"/>
      <c r="I935" s="5"/>
      <c r="J935" s="5"/>
      <c r="K935" s="5"/>
      <c r="L935" s="18">
        <f ca="1">IFERROR(__xludf.DUMMYFUNCTION("""COMPUTED_VALUE"""),45325)</f>
        <v>45325</v>
      </c>
      <c r="M935" s="18">
        <f ca="1">IFERROR(__xludf.DUMMYFUNCTION("""COMPUTED_VALUE"""),45325)</f>
        <v>45325</v>
      </c>
      <c r="N935" s="5" t="str">
        <f ca="1">IFERROR(__xludf.DUMMYFUNCTION("""COMPUTED_VALUE"""),"Lucumi Juan")</f>
        <v>Lucumi Juan</v>
      </c>
      <c r="O935" s="2">
        <f ca="1">IFERROR(__xludf.DUMMYFUNCTION("""COMPUTED_VALUE"""),0.004347826)</f>
        <v>4.3478259999999999E-3</v>
      </c>
      <c r="P935" s="5"/>
      <c r="Q935" s="5" t="str">
        <f ca="1">IFERROR(__xludf.DUMMYFUNCTION("""COMPUTED_VALUE"""),"NGZfFIETai4")</f>
        <v>NGZfFIETai4</v>
      </c>
      <c r="R935" s="5">
        <f ca="1">IFERROR(__xludf.DUMMYFUNCTION("""COMPUTED_VALUE"""),410)</f>
        <v>410</v>
      </c>
      <c r="S935" s="62">
        <f ca="1">IFERROR(__xludf.DUMMYFUNCTION("""COMPUTED_VALUE"""),0.004347826)</f>
        <v>4.3478259999999999E-3</v>
      </c>
      <c r="T935" s="63" t="str">
        <f ca="1">IFERROR(__xludf.DUMMYFUNCTION("""COMPUTED_VALUE"""),"https://storage.googleapis.com/glide-prod.appspot.com/uploads-v2/ly7o78grxPaC6KdgvbpS/pub/UliJWgpEaBovaFmXi6OW.png")</f>
        <v>https://storage.googleapis.com/glide-prod.appspot.com/uploads-v2/ly7o78grxPaC6KdgvbpS/pub/UliJWgpEaBovaFmXi6OW.png</v>
      </c>
      <c r="U935" s="5" t="str">
        <f ca="1">IFERROR(__xludf.DUMMYFUNCTION("""COMPUTED_VALUE"""),"LINEA PET CSD - LINEA 10PALETIZADORA")</f>
        <v>LINEA PET CSD - LINEA 10PALETIZADORA</v>
      </c>
      <c r="V935" s="5"/>
      <c r="W935" s="5"/>
      <c r="X935" s="5" t="str">
        <f ca="1">IFERROR(__xludf.DUMMYFUNCTION("""COMPUTED_VALUE"""),"wmazorra@postobon.com.co,aprmttoyu@postobon.com.co,aprmyu@postobon.com.co,wmora@postobon.com.co,efzapata@postobon.com.co")</f>
        <v>wmazorra@postobon.com.co,aprmttoyu@postobon.com.co,aprmyu@postobon.com.co,wmora@postobon.com.co,efzapata@postobon.com.co</v>
      </c>
      <c r="Y935" s="5" t="str">
        <f ca="1">IFERROR(__xludf.DUMMYFUNCTION("""COMPUTED_VALUE"""),"wmazorra@postobon.com.co")</f>
        <v>wmazorra@postobon.com.co</v>
      </c>
      <c r="Z935" s="5" t="str">
        <f ca="1">IFERROR(__xludf.DUMMYFUNCTION("""COMPUTED_VALUE"""),"vv9bLRSFRn2.R-goxmxp.Q")</f>
        <v>vv9bLRSFRn2.R-goxmxp.Q</v>
      </c>
      <c r="AA935" s="5"/>
      <c r="AB935" s="5"/>
      <c r="AC935" s="5"/>
      <c r="AD935" s="5">
        <f ca="1">IFERROR(__xludf.DUMMYFUNCTION("""COMPUTED_VALUE"""),24)</f>
        <v>24</v>
      </c>
      <c r="AE935" s="5">
        <f ca="1">IFERROR(__xludf.DUMMYFUNCTION("""COMPUTED_VALUE"""),0)</f>
        <v>0</v>
      </c>
      <c r="AF935" s="5" t="b">
        <f ca="1">IFERROR(__xludf.DUMMYFUNCTION("""COMPUTED_VALUE"""),TRUE)</f>
        <v>1</v>
      </c>
      <c r="AG935" s="5" t="str">
        <f ca="1">IFERROR(__xludf.DUMMYFUNCTION("""COMPUTED_VALUE"""),"INSPECCIONES SIN REALIZAR")</f>
        <v>INSPECCIONES SIN REALIZAR</v>
      </c>
      <c r="AH935" s="5"/>
    </row>
    <row r="936" spans="1:34">
      <c r="A936" s="5" t="str">
        <f ca="1">IFERROR(__xludf.DUMMYFUNCTION("""COMPUTED_VALUE"""),"LINEA PET CSD - LINEA 10")</f>
        <v>LINEA PET CSD - LINEA 10</v>
      </c>
      <c r="B936" s="5">
        <f ca="1">IFERROR(__xludf.DUMMYFUNCTION("""COMPUTED_VALUE"""),579080)</f>
        <v>579080</v>
      </c>
      <c r="C936" s="5" t="str">
        <f ca="1">IFERROR(__xludf.DUMMYFUNCTION("""COMPUTED_VALUE"""),"PALETIZADORA")</f>
        <v>PALETIZADORA</v>
      </c>
      <c r="D936" s="5">
        <f ca="1">IFERROR(__xludf.DUMMYFUNCTION("""COMPUTED_VALUE"""),13247592)</f>
        <v>13247592</v>
      </c>
      <c r="E936" s="5" t="str">
        <f ca="1">IFERROR(__xludf.DUMMYFUNCTION("""COMPUTED_VALUE"""),"INSPECCION SEMANAL PALETIZADORA MODUPAL")</f>
        <v>INSPECCION SEMANAL PALETIZADORA MODUPAL</v>
      </c>
      <c r="F936" s="5" t="str">
        <f ca="1">IFERROR(__xludf.DUMMYFUNCTION("""COMPUTED_VALUE"""),"INSP INTERCAMBIADOR Y REJILLA AIRE COLOCADOR CAPAS")</f>
        <v>INSP INTERCAMBIADOR Y REJILLA AIRE COLOCADOR CAPAS</v>
      </c>
      <c r="G936" s="5"/>
      <c r="H936" s="5"/>
      <c r="I936" s="5"/>
      <c r="J936" s="5"/>
      <c r="K936" s="5"/>
      <c r="L936" s="18">
        <f ca="1">IFERROR(__xludf.DUMMYFUNCTION("""COMPUTED_VALUE"""),45325)</f>
        <v>45325</v>
      </c>
      <c r="M936" s="18">
        <f ca="1">IFERROR(__xludf.DUMMYFUNCTION("""COMPUTED_VALUE"""),45325)</f>
        <v>45325</v>
      </c>
      <c r="N936" s="5" t="str">
        <f ca="1">IFERROR(__xludf.DUMMYFUNCTION("""COMPUTED_VALUE"""),"Lucumi Juan")</f>
        <v>Lucumi Juan</v>
      </c>
      <c r="O936" s="2">
        <f ca="1">IFERROR(__xludf.DUMMYFUNCTION("""COMPUTED_VALUE"""),0.004347826)</f>
        <v>4.3478259999999999E-3</v>
      </c>
      <c r="P936" s="5"/>
      <c r="Q936" s="5" t="str">
        <f ca="1">IFERROR(__xludf.DUMMYFUNCTION("""COMPUTED_VALUE"""),"1NE0Ngw_nDU")</f>
        <v>1NE0Ngw_nDU</v>
      </c>
      <c r="R936" s="5">
        <f ca="1">IFERROR(__xludf.DUMMYFUNCTION("""COMPUTED_VALUE"""),410)</f>
        <v>410</v>
      </c>
      <c r="S936" s="62">
        <f ca="1">IFERROR(__xludf.DUMMYFUNCTION("""COMPUTED_VALUE"""),0.004347826)</f>
        <v>4.3478259999999999E-3</v>
      </c>
      <c r="T936" s="63" t="str">
        <f ca="1">IFERROR(__xludf.DUMMYFUNCTION("""COMPUTED_VALUE"""),"https://storage.googleapis.com/glide-prod.appspot.com/uploads-v2/ly7o78grxPaC6KdgvbpS/pub/UliJWgpEaBovaFmXi6OW.png")</f>
        <v>https://storage.googleapis.com/glide-prod.appspot.com/uploads-v2/ly7o78grxPaC6KdgvbpS/pub/UliJWgpEaBovaFmXi6OW.png</v>
      </c>
      <c r="U936" s="5" t="str">
        <f ca="1">IFERROR(__xludf.DUMMYFUNCTION("""COMPUTED_VALUE"""),"LINEA PET CSD - LINEA 10PALETIZADORA")</f>
        <v>LINEA PET CSD - LINEA 10PALETIZADORA</v>
      </c>
      <c r="V936" s="5"/>
      <c r="W936" s="5"/>
      <c r="X936" s="5" t="str">
        <f ca="1">IFERROR(__xludf.DUMMYFUNCTION("""COMPUTED_VALUE"""),"wmazorra@postobon.com.co,aprmttoyu@postobon.com.co,aprmyu@postobon.com.co,wmora@postobon.com.co,efzapata@postobon.com.co")</f>
        <v>wmazorra@postobon.com.co,aprmttoyu@postobon.com.co,aprmyu@postobon.com.co,wmora@postobon.com.co,efzapata@postobon.com.co</v>
      </c>
      <c r="Y936" s="5" t="str">
        <f ca="1">IFERROR(__xludf.DUMMYFUNCTION("""COMPUTED_VALUE"""),"wmazorra@postobon.com.co")</f>
        <v>wmazorra@postobon.com.co</v>
      </c>
      <c r="Z936" s="5" t="str">
        <f ca="1">IFERROR(__xludf.DUMMYFUNCTION("""COMPUTED_VALUE"""),"MpE50Lk7S9ORSWIlkXUSKg")</f>
        <v>MpE50Lk7S9ORSWIlkXUSKg</v>
      </c>
      <c r="AA936" s="5"/>
      <c r="AB936" s="5"/>
      <c r="AC936" s="5"/>
      <c r="AD936" s="5">
        <f ca="1">IFERROR(__xludf.DUMMYFUNCTION("""COMPUTED_VALUE"""),24)</f>
        <v>24</v>
      </c>
      <c r="AE936" s="5">
        <f ca="1">IFERROR(__xludf.DUMMYFUNCTION("""COMPUTED_VALUE"""),0)</f>
        <v>0</v>
      </c>
      <c r="AF936" s="5" t="b">
        <f ca="1">IFERROR(__xludf.DUMMYFUNCTION("""COMPUTED_VALUE"""),TRUE)</f>
        <v>1</v>
      </c>
      <c r="AG936" s="5" t="str">
        <f ca="1">IFERROR(__xludf.DUMMYFUNCTION("""COMPUTED_VALUE"""),"INSPECCIONES SIN REALIZAR")</f>
        <v>INSPECCIONES SIN REALIZAR</v>
      </c>
      <c r="AH936" s="5"/>
    </row>
    <row r="937" spans="1:34">
      <c r="A937" s="5" t="str">
        <f ca="1">IFERROR(__xludf.DUMMYFUNCTION("""COMPUTED_VALUE"""),"LINEA PET CSD - LINEA 10")</f>
        <v>LINEA PET CSD - LINEA 10</v>
      </c>
      <c r="B937" s="5">
        <f ca="1">IFERROR(__xludf.DUMMYFUNCTION("""COMPUTED_VALUE"""),579080)</f>
        <v>579080</v>
      </c>
      <c r="C937" s="5" t="str">
        <f ca="1">IFERROR(__xludf.DUMMYFUNCTION("""COMPUTED_VALUE"""),"PALETIZADORA")</f>
        <v>PALETIZADORA</v>
      </c>
      <c r="D937" s="5">
        <f ca="1">IFERROR(__xludf.DUMMYFUNCTION("""COMPUTED_VALUE"""),13247592)</f>
        <v>13247592</v>
      </c>
      <c r="E937" s="5" t="str">
        <f ca="1">IFERROR(__xludf.DUMMYFUNCTION("""COMPUTED_VALUE"""),"INSPECCION SEMANAL PALETIZADORA MODUPAL")</f>
        <v>INSPECCION SEMANAL PALETIZADORA MODUPAL</v>
      </c>
      <c r="F937" s="5" t="str">
        <f ca="1">IFERROR(__xludf.DUMMYFUNCTION("""COMPUTED_VALUE"""),"ESTADO-TENSION CORREAS Y CADENAS COLOCADOR CAPAS")</f>
        <v>ESTADO-TENSION CORREAS Y CADENAS COLOCADOR CAPAS</v>
      </c>
      <c r="G937" s="5"/>
      <c r="H937" s="5"/>
      <c r="I937" s="5"/>
      <c r="J937" s="5"/>
      <c r="K937" s="5"/>
      <c r="L937" s="18">
        <f ca="1">IFERROR(__xludf.DUMMYFUNCTION("""COMPUTED_VALUE"""),45325)</f>
        <v>45325</v>
      </c>
      <c r="M937" s="18">
        <f ca="1">IFERROR(__xludf.DUMMYFUNCTION("""COMPUTED_VALUE"""),45325)</f>
        <v>45325</v>
      </c>
      <c r="N937" s="5" t="str">
        <f ca="1">IFERROR(__xludf.DUMMYFUNCTION("""COMPUTED_VALUE"""),"Lucumi Juan")</f>
        <v>Lucumi Juan</v>
      </c>
      <c r="O937" s="2">
        <f ca="1">IFERROR(__xludf.DUMMYFUNCTION("""COMPUTED_VALUE"""),0.004347826)</f>
        <v>4.3478259999999999E-3</v>
      </c>
      <c r="P937" s="5"/>
      <c r="Q937" s="5" t="str">
        <f ca="1">IFERROR(__xludf.DUMMYFUNCTION("""COMPUTED_VALUE"""),"sBPyqzS68Ac")</f>
        <v>sBPyqzS68Ac</v>
      </c>
      <c r="R937" s="5">
        <f ca="1">IFERROR(__xludf.DUMMYFUNCTION("""COMPUTED_VALUE"""),410)</f>
        <v>410</v>
      </c>
      <c r="S937" s="62">
        <f ca="1">IFERROR(__xludf.DUMMYFUNCTION("""COMPUTED_VALUE"""),0.004347826)</f>
        <v>4.3478259999999999E-3</v>
      </c>
      <c r="T937" s="63" t="str">
        <f ca="1">IFERROR(__xludf.DUMMYFUNCTION("""COMPUTED_VALUE"""),"https://storage.googleapis.com/glide-prod.appspot.com/uploads-v2/ly7o78grxPaC6KdgvbpS/pub/UliJWgpEaBovaFmXi6OW.png")</f>
        <v>https://storage.googleapis.com/glide-prod.appspot.com/uploads-v2/ly7o78grxPaC6KdgvbpS/pub/UliJWgpEaBovaFmXi6OW.png</v>
      </c>
      <c r="U937" s="5" t="str">
        <f ca="1">IFERROR(__xludf.DUMMYFUNCTION("""COMPUTED_VALUE"""),"LINEA PET CSD - LINEA 10PALETIZADORA")</f>
        <v>LINEA PET CSD - LINEA 10PALETIZADORA</v>
      </c>
      <c r="V937" s="5"/>
      <c r="W937" s="5"/>
      <c r="X937" s="5" t="str">
        <f ca="1">IFERROR(__xludf.DUMMYFUNCTION("""COMPUTED_VALUE"""),"wmazorra@postobon.com.co,aprmttoyu@postobon.com.co,aprmyu@postobon.com.co,wmora@postobon.com.co,efzapata@postobon.com.co")</f>
        <v>wmazorra@postobon.com.co,aprmttoyu@postobon.com.co,aprmyu@postobon.com.co,wmora@postobon.com.co,efzapata@postobon.com.co</v>
      </c>
      <c r="Y937" s="5" t="str">
        <f ca="1">IFERROR(__xludf.DUMMYFUNCTION("""COMPUTED_VALUE"""),"wmazorra@postobon.com.co")</f>
        <v>wmazorra@postobon.com.co</v>
      </c>
      <c r="Z937" s="5" t="str">
        <f ca="1">IFERROR(__xludf.DUMMYFUNCTION("""COMPUTED_VALUE"""),"oXLEJVt1SE-Z.pqosjAtpA")</f>
        <v>oXLEJVt1SE-Z.pqosjAtpA</v>
      </c>
      <c r="AA937" s="5"/>
      <c r="AB937" s="5"/>
      <c r="AC937" s="5"/>
      <c r="AD937" s="5">
        <f ca="1">IFERROR(__xludf.DUMMYFUNCTION("""COMPUTED_VALUE"""),24)</f>
        <v>24</v>
      </c>
      <c r="AE937" s="5">
        <f ca="1">IFERROR(__xludf.DUMMYFUNCTION("""COMPUTED_VALUE"""),0)</f>
        <v>0</v>
      </c>
      <c r="AF937" s="5" t="b">
        <f ca="1">IFERROR(__xludf.DUMMYFUNCTION("""COMPUTED_VALUE"""),TRUE)</f>
        <v>1</v>
      </c>
      <c r="AG937" s="5" t="str">
        <f ca="1">IFERROR(__xludf.DUMMYFUNCTION("""COMPUTED_VALUE"""),"INSPECCIONES SIN REALIZAR")</f>
        <v>INSPECCIONES SIN REALIZAR</v>
      </c>
      <c r="AH937" s="5"/>
    </row>
    <row r="938" spans="1:34">
      <c r="A938" s="5" t="str">
        <f ca="1">IFERROR(__xludf.DUMMYFUNCTION("""COMPUTED_VALUE"""),"LINEA PET CSD - LINEA 10")</f>
        <v>LINEA PET CSD - LINEA 10</v>
      </c>
      <c r="B938" s="5">
        <f ca="1">IFERROR(__xludf.DUMMYFUNCTION("""COMPUTED_VALUE"""),579080)</f>
        <v>579080</v>
      </c>
      <c r="C938" s="5" t="str">
        <f ca="1">IFERROR(__xludf.DUMMYFUNCTION("""COMPUTED_VALUE"""),"PALETIZADORA")</f>
        <v>PALETIZADORA</v>
      </c>
      <c r="D938" s="5">
        <f ca="1">IFERROR(__xludf.DUMMYFUNCTION("""COMPUTED_VALUE"""),13247592)</f>
        <v>13247592</v>
      </c>
      <c r="E938" s="5" t="str">
        <f ca="1">IFERROR(__xludf.DUMMYFUNCTION("""COMPUTED_VALUE"""),"INSPECCION SEMANAL PALETIZADORA MODUPAL")</f>
        <v>INSPECCION SEMANAL PALETIZADORA MODUPAL</v>
      </c>
      <c r="F938" s="5" t="str">
        <f ca="1">IFERROR(__xludf.DUMMYFUNCTION("""COMPUTED_VALUE"""),"FUNC FRENOS SERVOMOTOR COLOCADOR CAPAS")</f>
        <v>FUNC FRENOS SERVOMOTOR COLOCADOR CAPAS</v>
      </c>
      <c r="G938" s="5"/>
      <c r="H938" s="5"/>
      <c r="I938" s="5"/>
      <c r="J938" s="5"/>
      <c r="K938" s="5"/>
      <c r="L938" s="18">
        <f ca="1">IFERROR(__xludf.DUMMYFUNCTION("""COMPUTED_VALUE"""),45325)</f>
        <v>45325</v>
      </c>
      <c r="M938" s="18">
        <f ca="1">IFERROR(__xludf.DUMMYFUNCTION("""COMPUTED_VALUE"""),45325)</f>
        <v>45325</v>
      </c>
      <c r="N938" s="5" t="str">
        <f ca="1">IFERROR(__xludf.DUMMYFUNCTION("""COMPUTED_VALUE"""),"Lucumi Juan")</f>
        <v>Lucumi Juan</v>
      </c>
      <c r="O938" s="2">
        <f ca="1">IFERROR(__xludf.DUMMYFUNCTION("""COMPUTED_VALUE"""),0.004347826)</f>
        <v>4.3478259999999999E-3</v>
      </c>
      <c r="P938" s="5"/>
      <c r="Q938" s="5" t="str">
        <f ca="1">IFERROR(__xludf.DUMMYFUNCTION("""COMPUTED_VALUE"""),"aE1S-_j5LrU")</f>
        <v>aE1S-_j5LrU</v>
      </c>
      <c r="R938" s="5">
        <f ca="1">IFERROR(__xludf.DUMMYFUNCTION("""COMPUTED_VALUE"""),410)</f>
        <v>410</v>
      </c>
      <c r="S938" s="62">
        <f ca="1">IFERROR(__xludf.DUMMYFUNCTION("""COMPUTED_VALUE"""),0.004347826)</f>
        <v>4.3478259999999999E-3</v>
      </c>
      <c r="T938" s="63" t="str">
        <f ca="1">IFERROR(__xludf.DUMMYFUNCTION("""COMPUTED_VALUE"""),"https://storage.googleapis.com/glide-prod.appspot.com/uploads-v2/ly7o78grxPaC6KdgvbpS/pub/UliJWgpEaBovaFmXi6OW.png")</f>
        <v>https://storage.googleapis.com/glide-prod.appspot.com/uploads-v2/ly7o78grxPaC6KdgvbpS/pub/UliJWgpEaBovaFmXi6OW.png</v>
      </c>
      <c r="U938" s="5" t="str">
        <f ca="1">IFERROR(__xludf.DUMMYFUNCTION("""COMPUTED_VALUE"""),"LINEA PET CSD - LINEA 10PALETIZADORA")</f>
        <v>LINEA PET CSD - LINEA 10PALETIZADORA</v>
      </c>
      <c r="V938" s="5"/>
      <c r="W938" s="5"/>
      <c r="X938" s="5" t="str">
        <f ca="1">IFERROR(__xludf.DUMMYFUNCTION("""COMPUTED_VALUE"""),"wmazorra@postobon.com.co,aprmttoyu@postobon.com.co,aprmyu@postobon.com.co,wmora@postobon.com.co,efzapata@postobon.com.co")</f>
        <v>wmazorra@postobon.com.co,aprmttoyu@postobon.com.co,aprmyu@postobon.com.co,wmora@postobon.com.co,efzapata@postobon.com.co</v>
      </c>
      <c r="Y938" s="5" t="str">
        <f ca="1">IFERROR(__xludf.DUMMYFUNCTION("""COMPUTED_VALUE"""),"wmazorra@postobon.com.co")</f>
        <v>wmazorra@postobon.com.co</v>
      </c>
      <c r="Z938" s="5" t="str">
        <f ca="1">IFERROR(__xludf.DUMMYFUNCTION("""COMPUTED_VALUE"""),"3CAbUo.NTrua-cOE2AZrFg")</f>
        <v>3CAbUo.NTrua-cOE2AZrFg</v>
      </c>
      <c r="AA938" s="5"/>
      <c r="AB938" s="5"/>
      <c r="AC938" s="5"/>
      <c r="AD938" s="5">
        <f ca="1">IFERROR(__xludf.DUMMYFUNCTION("""COMPUTED_VALUE"""),24)</f>
        <v>24</v>
      </c>
      <c r="AE938" s="5">
        <f ca="1">IFERROR(__xludf.DUMMYFUNCTION("""COMPUTED_VALUE"""),0)</f>
        <v>0</v>
      </c>
      <c r="AF938" s="5" t="b">
        <f ca="1">IFERROR(__xludf.DUMMYFUNCTION("""COMPUTED_VALUE"""),TRUE)</f>
        <v>1</v>
      </c>
      <c r="AG938" s="5" t="str">
        <f ca="1">IFERROR(__xludf.DUMMYFUNCTION("""COMPUTED_VALUE"""),"INSPECCIONES SIN REALIZAR")</f>
        <v>INSPECCIONES SIN REALIZAR</v>
      </c>
      <c r="AH938" s="5"/>
    </row>
    <row r="939" spans="1:34">
      <c r="A939" s="5" t="str">
        <f ca="1">IFERROR(__xludf.DUMMYFUNCTION("""COMPUTED_VALUE"""),"LINEA PET CSD - LINEA 10")</f>
        <v>LINEA PET CSD - LINEA 10</v>
      </c>
      <c r="B939" s="5">
        <f ca="1">IFERROR(__xludf.DUMMYFUNCTION("""COMPUTED_VALUE"""),579080)</f>
        <v>579080</v>
      </c>
      <c r="C939" s="5" t="str">
        <f ca="1">IFERROR(__xludf.DUMMYFUNCTION("""COMPUTED_VALUE"""),"PALETIZADORA")</f>
        <v>PALETIZADORA</v>
      </c>
      <c r="D939" s="5">
        <f ca="1">IFERROR(__xludf.DUMMYFUNCTION("""COMPUTED_VALUE"""),13247592)</f>
        <v>13247592</v>
      </c>
      <c r="E939" s="5" t="str">
        <f ca="1">IFERROR(__xludf.DUMMYFUNCTION("""COMPUTED_VALUE"""),"INSPECCION SEMANAL PALETIZADORA MODUPAL")</f>
        <v>INSPECCION SEMANAL PALETIZADORA MODUPAL</v>
      </c>
      <c r="F939" s="5" t="str">
        <f ca="1">IFERROR(__xludf.DUMMYFUNCTION("""COMPUTED_VALUE"""),"FUNC UNIDAD EYECTOR MARCO ASPIRACION COLOCADOR CAPAS")</f>
        <v>FUNC UNIDAD EYECTOR MARCO ASPIRACION COLOCADOR CAPAS</v>
      </c>
      <c r="G939" s="5"/>
      <c r="H939" s="5"/>
      <c r="I939" s="5"/>
      <c r="J939" s="5"/>
      <c r="K939" s="5"/>
      <c r="L939" s="18">
        <f ca="1">IFERROR(__xludf.DUMMYFUNCTION("""COMPUTED_VALUE"""),45325)</f>
        <v>45325</v>
      </c>
      <c r="M939" s="18">
        <f ca="1">IFERROR(__xludf.DUMMYFUNCTION("""COMPUTED_VALUE"""),45325)</f>
        <v>45325</v>
      </c>
      <c r="N939" s="5" t="str">
        <f ca="1">IFERROR(__xludf.DUMMYFUNCTION("""COMPUTED_VALUE"""),"Lucumi Juan")</f>
        <v>Lucumi Juan</v>
      </c>
      <c r="O939" s="2">
        <f ca="1">IFERROR(__xludf.DUMMYFUNCTION("""COMPUTED_VALUE"""),0.004347826)</f>
        <v>4.3478259999999999E-3</v>
      </c>
      <c r="P939" s="5"/>
      <c r="Q939" s="5" t="str">
        <f ca="1">IFERROR(__xludf.DUMMYFUNCTION("""COMPUTED_VALUE"""),"sQ4GgI3kOJA")</f>
        <v>sQ4GgI3kOJA</v>
      </c>
      <c r="R939" s="5">
        <f ca="1">IFERROR(__xludf.DUMMYFUNCTION("""COMPUTED_VALUE"""),410)</f>
        <v>410</v>
      </c>
      <c r="S939" s="62">
        <f ca="1">IFERROR(__xludf.DUMMYFUNCTION("""COMPUTED_VALUE"""),0.004347826)</f>
        <v>4.3478259999999999E-3</v>
      </c>
      <c r="T939" s="63" t="str">
        <f ca="1">IFERROR(__xludf.DUMMYFUNCTION("""COMPUTED_VALUE"""),"https://storage.googleapis.com/glide-prod.appspot.com/uploads-v2/ly7o78grxPaC6KdgvbpS/pub/UliJWgpEaBovaFmXi6OW.png")</f>
        <v>https://storage.googleapis.com/glide-prod.appspot.com/uploads-v2/ly7o78grxPaC6KdgvbpS/pub/UliJWgpEaBovaFmXi6OW.png</v>
      </c>
      <c r="U939" s="5" t="str">
        <f ca="1">IFERROR(__xludf.DUMMYFUNCTION("""COMPUTED_VALUE"""),"LINEA PET CSD - LINEA 10PALETIZADORA")</f>
        <v>LINEA PET CSD - LINEA 10PALETIZADORA</v>
      </c>
      <c r="V939" s="5"/>
      <c r="W939" s="5"/>
      <c r="X939" s="5" t="str">
        <f ca="1">IFERROR(__xludf.DUMMYFUNCTION("""COMPUTED_VALUE"""),"wmazorra@postobon.com.co,aprmttoyu@postobon.com.co,aprmyu@postobon.com.co,wmora@postobon.com.co,efzapata@postobon.com.co")</f>
        <v>wmazorra@postobon.com.co,aprmttoyu@postobon.com.co,aprmyu@postobon.com.co,wmora@postobon.com.co,efzapata@postobon.com.co</v>
      </c>
      <c r="Y939" s="5" t="str">
        <f ca="1">IFERROR(__xludf.DUMMYFUNCTION("""COMPUTED_VALUE"""),"wmazorra@postobon.com.co")</f>
        <v>wmazorra@postobon.com.co</v>
      </c>
      <c r="Z939" s="63" t="str">
        <f ca="1">IFERROR(__xludf.DUMMYFUNCTION("""COMPUTED_VALUE"""),"1b7iOmGCRamktu1lhsr.Gg")</f>
        <v>1b7iOmGCRamktu1lhsr.Gg</v>
      </c>
      <c r="AA939" s="5"/>
      <c r="AB939" s="5"/>
      <c r="AC939" s="5"/>
      <c r="AD939" s="5">
        <f ca="1">IFERROR(__xludf.DUMMYFUNCTION("""COMPUTED_VALUE"""),24)</f>
        <v>24</v>
      </c>
      <c r="AE939" s="5">
        <f ca="1">IFERROR(__xludf.DUMMYFUNCTION("""COMPUTED_VALUE"""),0)</f>
        <v>0</v>
      </c>
      <c r="AF939" s="5" t="b">
        <f ca="1">IFERROR(__xludf.DUMMYFUNCTION("""COMPUTED_VALUE"""),TRUE)</f>
        <v>1</v>
      </c>
      <c r="AG939" s="5" t="str">
        <f ca="1">IFERROR(__xludf.DUMMYFUNCTION("""COMPUTED_VALUE"""),"INSPECCIONES SIN REALIZAR")</f>
        <v>INSPECCIONES SIN REALIZAR</v>
      </c>
      <c r="AH939" s="5"/>
    </row>
    <row r="940" spans="1:34">
      <c r="A940" s="5" t="str">
        <f ca="1">IFERROR(__xludf.DUMMYFUNCTION("""COMPUTED_VALUE"""),"LINEA PET CSD - LINEA 10")</f>
        <v>LINEA PET CSD - LINEA 10</v>
      </c>
      <c r="B940" s="5">
        <f ca="1">IFERROR(__xludf.DUMMYFUNCTION("""COMPUTED_VALUE"""),579080)</f>
        <v>579080</v>
      </c>
      <c r="C940" s="5" t="str">
        <f ca="1">IFERROR(__xludf.DUMMYFUNCTION("""COMPUTED_VALUE"""),"PALETIZADORA")</f>
        <v>PALETIZADORA</v>
      </c>
      <c r="D940" s="5">
        <f ca="1">IFERROR(__xludf.DUMMYFUNCTION("""COMPUTED_VALUE"""),13247592)</f>
        <v>13247592</v>
      </c>
      <c r="E940" s="5" t="str">
        <f ca="1">IFERROR(__xludf.DUMMYFUNCTION("""COMPUTED_VALUE"""),"INSPECCION SEMANAL PALETIZADORA MODUPAL")</f>
        <v>INSPECCION SEMANAL PALETIZADORA MODUPAL</v>
      </c>
      <c r="F940" s="5" t="str">
        <f ca="1">IFERROR(__xludf.DUMMYFUNCTION("""COMPUTED_VALUE"""),"ESTADO CARRO GUIA COLOCADOR CAPAS")</f>
        <v>ESTADO CARRO GUIA COLOCADOR CAPAS</v>
      </c>
      <c r="G940" s="5"/>
      <c r="H940" s="5"/>
      <c r="I940" s="5"/>
      <c r="J940" s="5"/>
      <c r="K940" s="5"/>
      <c r="L940" s="18">
        <f ca="1">IFERROR(__xludf.DUMMYFUNCTION("""COMPUTED_VALUE"""),45325)</f>
        <v>45325</v>
      </c>
      <c r="M940" s="18">
        <f ca="1">IFERROR(__xludf.DUMMYFUNCTION("""COMPUTED_VALUE"""),45325)</f>
        <v>45325</v>
      </c>
      <c r="N940" s="5" t="str">
        <f ca="1">IFERROR(__xludf.DUMMYFUNCTION("""COMPUTED_VALUE"""),"Lucumi Juan")</f>
        <v>Lucumi Juan</v>
      </c>
      <c r="O940" s="2">
        <f ca="1">IFERROR(__xludf.DUMMYFUNCTION("""COMPUTED_VALUE"""),0.004347826)</f>
        <v>4.3478259999999999E-3</v>
      </c>
      <c r="P940" s="5"/>
      <c r="Q940" s="5" t="str">
        <f ca="1">IFERROR(__xludf.DUMMYFUNCTION("""COMPUTED_VALUE"""),"f-hEEHHulhg")</f>
        <v>f-hEEHHulhg</v>
      </c>
      <c r="R940" s="5">
        <f ca="1">IFERROR(__xludf.DUMMYFUNCTION("""COMPUTED_VALUE"""),410)</f>
        <v>410</v>
      </c>
      <c r="S940" s="62">
        <f ca="1">IFERROR(__xludf.DUMMYFUNCTION("""COMPUTED_VALUE"""),0.004347826)</f>
        <v>4.3478259999999999E-3</v>
      </c>
      <c r="T940" s="63" t="str">
        <f ca="1">IFERROR(__xludf.DUMMYFUNCTION("""COMPUTED_VALUE"""),"https://storage.googleapis.com/glide-prod.appspot.com/uploads-v2/ly7o78grxPaC6KdgvbpS/pub/UliJWgpEaBovaFmXi6OW.png")</f>
        <v>https://storage.googleapis.com/glide-prod.appspot.com/uploads-v2/ly7o78grxPaC6KdgvbpS/pub/UliJWgpEaBovaFmXi6OW.png</v>
      </c>
      <c r="U940" s="5" t="str">
        <f ca="1">IFERROR(__xludf.DUMMYFUNCTION("""COMPUTED_VALUE"""),"LINEA PET CSD - LINEA 10PALETIZADORA")</f>
        <v>LINEA PET CSD - LINEA 10PALETIZADORA</v>
      </c>
      <c r="V940" s="5"/>
      <c r="W940" s="5"/>
      <c r="X940" s="5" t="str">
        <f ca="1">IFERROR(__xludf.DUMMYFUNCTION("""COMPUTED_VALUE"""),"wmazorra@postobon.com.co,aprmttoyu@postobon.com.co,aprmyu@postobon.com.co,wmora@postobon.com.co,efzapata@postobon.com.co")</f>
        <v>wmazorra@postobon.com.co,aprmttoyu@postobon.com.co,aprmyu@postobon.com.co,wmora@postobon.com.co,efzapata@postobon.com.co</v>
      </c>
      <c r="Y940" s="5" t="str">
        <f ca="1">IFERROR(__xludf.DUMMYFUNCTION("""COMPUTED_VALUE"""),"wmazorra@postobon.com.co")</f>
        <v>wmazorra@postobon.com.co</v>
      </c>
      <c r="Z940" s="5" t="str">
        <f ca="1">IFERROR(__xludf.DUMMYFUNCTION("""COMPUTED_VALUE"""),"d1IiD4ybRpycSrKCTM4Q3A")</f>
        <v>d1IiD4ybRpycSrKCTM4Q3A</v>
      </c>
      <c r="AA940" s="5"/>
      <c r="AB940" s="5"/>
      <c r="AC940" s="5"/>
      <c r="AD940" s="5">
        <f ca="1">IFERROR(__xludf.DUMMYFUNCTION("""COMPUTED_VALUE"""),24)</f>
        <v>24</v>
      </c>
      <c r="AE940" s="5">
        <f ca="1">IFERROR(__xludf.DUMMYFUNCTION("""COMPUTED_VALUE"""),0)</f>
        <v>0</v>
      </c>
      <c r="AF940" s="5" t="b">
        <f ca="1">IFERROR(__xludf.DUMMYFUNCTION("""COMPUTED_VALUE"""),TRUE)</f>
        <v>1</v>
      </c>
      <c r="AG940" s="5" t="str">
        <f ca="1">IFERROR(__xludf.DUMMYFUNCTION("""COMPUTED_VALUE"""),"INSPECCIONES SIN REALIZAR")</f>
        <v>INSPECCIONES SIN REALIZAR</v>
      </c>
      <c r="AH940" s="5"/>
    </row>
    <row r="941" spans="1:34">
      <c r="A941" s="5" t="str">
        <f ca="1">IFERROR(__xludf.DUMMYFUNCTION("""COMPUTED_VALUE"""),"LINEA DE ENVASADO JUGOS PET HOT FILL")</f>
        <v>LINEA DE ENVASADO JUGOS PET HOT FILL</v>
      </c>
      <c r="B941" s="5">
        <f ca="1">IFERROR(__xludf.DUMMYFUNCTION("""COMPUTED_VALUE"""),690104)</f>
        <v>690104</v>
      </c>
      <c r="C941" s="5" t="str">
        <f ca="1">IFERROR(__xludf.DUMMYFUNCTION("""COMPUTED_VALUE"""),"PASTEURIZADOR")</f>
        <v>PASTEURIZADOR</v>
      </c>
      <c r="D941" s="5">
        <f ca="1">IFERROR(__xludf.DUMMYFUNCTION("""COMPUTED_VALUE"""),13247773)</f>
        <v>13247773</v>
      </c>
      <c r="E941" s="5" t="str">
        <f ca="1">IFERROR(__xludf.DUMMYFUNCTION("""COMPUTED_VALUE"""),"INSPECCION SEMANAL PASTEURIZADOR")</f>
        <v>INSPECCION SEMANAL PASTEURIZADOR</v>
      </c>
      <c r="F941" s="5" t="str">
        <f ca="1">IFERROR(__xludf.DUMMYFUNCTION("""COMPUTED_VALUE"""),"INSPECCION FUGAS TUBERIA")</f>
        <v>INSPECCION FUGAS TUBERIA</v>
      </c>
      <c r="G941" s="5"/>
      <c r="H941" s="5"/>
      <c r="I941" s="5"/>
      <c r="J941" s="5"/>
      <c r="K941" s="5"/>
      <c r="L941" s="18">
        <f ca="1">IFERROR(__xludf.DUMMYFUNCTION("""COMPUTED_VALUE"""),45325)</f>
        <v>45325</v>
      </c>
      <c r="M941" s="18">
        <f ca="1">IFERROR(__xludf.DUMMYFUNCTION("""COMPUTED_VALUE"""),45325)</f>
        <v>45325</v>
      </c>
      <c r="N941" s="5" t="str">
        <f ca="1">IFERROR(__xludf.DUMMYFUNCTION("""COMPUTED_VALUE"""),"Jhonnys Arturo Fernández Suarez")</f>
        <v>Jhonnys Arturo Fernández Suarez</v>
      </c>
      <c r="O941" s="2">
        <f ca="1">IFERROR(__xludf.DUMMYFUNCTION("""COMPUTED_VALUE"""),0.01)</f>
        <v>0.01</v>
      </c>
      <c r="P941" s="5"/>
      <c r="Q941" s="5" t="str">
        <f ca="1">IFERROR(__xludf.DUMMYFUNCTION("""COMPUTED_VALUE"""),"P4pAk0O8wW4")</f>
        <v>P4pAk0O8wW4</v>
      </c>
      <c r="R941" s="5">
        <f ca="1">IFERROR(__xludf.DUMMYFUNCTION("""COMPUTED_VALUE"""),410)</f>
        <v>410</v>
      </c>
      <c r="S941" s="62">
        <f ca="1">IFERROR(__xludf.DUMMYFUNCTION("""COMPUTED_VALUE"""),0.01)</f>
        <v>0.01</v>
      </c>
      <c r="T941" s="63" t="str">
        <f ca="1">IFERROR(__xludf.DUMMYFUNCTION("""COMPUTED_VALUE"""),"https://storage.googleapis.com/glide-prod.appspot.com/uploads-v2/ly7o78grxPaC6KdgvbpS/pub/UliJWgpEaBovaFmXi6OW.png")</f>
        <v>https://storage.googleapis.com/glide-prod.appspot.com/uploads-v2/ly7o78grxPaC6KdgvbpS/pub/UliJWgpEaBovaFmXi6OW.png</v>
      </c>
      <c r="U941" s="5" t="str">
        <f ca="1">IFERROR(__xludf.DUMMYFUNCTION("""COMPUTED_VALUE"""),"LINEA DE ENVASADO JUGOS PET HOT FILLPASTEURIZADOR")</f>
        <v>LINEA DE ENVASADO JUGOS PET HOT FILLPASTEURIZADOR</v>
      </c>
      <c r="V941" s="5"/>
      <c r="W941" s="5"/>
      <c r="X941" s="5" t="str">
        <f ca="1">IFERROR(__xludf.DUMMYFUNCTION("""COMPUTED_VALUE"""),"achavezi@postobon.com.co,aprmttoyu@postobon.com.co,aprmyu@postobon.com.co,wmora@postobon.com.co,efzapata@postobon.com.co")</f>
        <v>achavezi@postobon.com.co,aprmttoyu@postobon.com.co,aprmyu@postobon.com.co,wmora@postobon.com.co,efzapata@postobon.com.co</v>
      </c>
      <c r="Y941" s="5" t="str">
        <f ca="1">IFERROR(__xludf.DUMMYFUNCTION("""COMPUTED_VALUE"""),"achavezi@postobon.com.co")</f>
        <v>achavezi@postobon.com.co</v>
      </c>
      <c r="Z941" s="5" t="str">
        <f ca="1">IFERROR(__xludf.DUMMYFUNCTION("""COMPUTED_VALUE"""),"JekL.7H8SzuwQoj85XER1w")</f>
        <v>JekL.7H8SzuwQoj85XER1w</v>
      </c>
      <c r="AA941" s="5"/>
      <c r="AB941" s="5"/>
      <c r="AC941" s="5"/>
      <c r="AD941" s="5">
        <f ca="1">IFERROR(__xludf.DUMMYFUNCTION("""COMPUTED_VALUE"""),27)</f>
        <v>27</v>
      </c>
      <c r="AE941" s="5">
        <f ca="1">IFERROR(__xludf.DUMMYFUNCTION("""COMPUTED_VALUE"""),5)</f>
        <v>5</v>
      </c>
      <c r="AF941" s="5" t="b">
        <f ca="1">IFERROR(__xludf.DUMMYFUNCTION("""COMPUTED_VALUE"""),TRUE)</f>
        <v>1</v>
      </c>
      <c r="AG941" s="5" t="str">
        <f ca="1">IFERROR(__xludf.DUMMYFUNCTION("""COMPUTED_VALUE"""),"INSPECCIONES SIN REALIZAR")</f>
        <v>INSPECCIONES SIN REALIZAR</v>
      </c>
      <c r="AH941" s="5"/>
    </row>
    <row r="942" spans="1:34">
      <c r="A942" s="5" t="str">
        <f ca="1">IFERROR(__xludf.DUMMYFUNCTION("""COMPUTED_VALUE"""),"LINEA DE ENVASADO JUGOS PET HOT FILL")</f>
        <v>LINEA DE ENVASADO JUGOS PET HOT FILL</v>
      </c>
      <c r="B942" s="5">
        <f ca="1">IFERROR(__xludf.DUMMYFUNCTION("""COMPUTED_VALUE"""),690104)</f>
        <v>690104</v>
      </c>
      <c r="C942" s="5" t="str">
        <f ca="1">IFERROR(__xludf.DUMMYFUNCTION("""COMPUTED_VALUE"""),"PASTEURIZADOR")</f>
        <v>PASTEURIZADOR</v>
      </c>
      <c r="D942" s="5">
        <f ca="1">IFERROR(__xludf.DUMMYFUNCTION("""COMPUTED_VALUE"""),13247773)</f>
        <v>13247773</v>
      </c>
      <c r="E942" s="5" t="str">
        <f ca="1">IFERROR(__xludf.DUMMYFUNCTION("""COMPUTED_VALUE"""),"INSPECCION SEMANAL PASTEURIZADOR")</f>
        <v>INSPECCION SEMANAL PASTEURIZADOR</v>
      </c>
      <c r="F942" s="5" t="str">
        <f ca="1">IFERROR(__xludf.DUMMYFUNCTION("""COMPUTED_VALUE"""),"ESTADO VALVULAS")</f>
        <v>ESTADO VALVULAS</v>
      </c>
      <c r="G942" s="5"/>
      <c r="H942" s="5"/>
      <c r="I942" s="5"/>
      <c r="J942" s="5"/>
      <c r="K942" s="5"/>
      <c r="L942" s="18">
        <f ca="1">IFERROR(__xludf.DUMMYFUNCTION("""COMPUTED_VALUE"""),45325)</f>
        <v>45325</v>
      </c>
      <c r="M942" s="18">
        <f ca="1">IFERROR(__xludf.DUMMYFUNCTION("""COMPUTED_VALUE"""),45325)</f>
        <v>45325</v>
      </c>
      <c r="N942" s="5" t="str">
        <f ca="1">IFERROR(__xludf.DUMMYFUNCTION("""COMPUTED_VALUE"""),"Jhonnys Arturo Fernández Suarez")</f>
        <v>Jhonnys Arturo Fernández Suarez</v>
      </c>
      <c r="O942" s="2">
        <f ca="1">IFERROR(__xludf.DUMMYFUNCTION("""COMPUTED_VALUE"""),0.01)</f>
        <v>0.01</v>
      </c>
      <c r="P942" s="5"/>
      <c r="Q942" s="5" t="str">
        <f ca="1">IFERROR(__xludf.DUMMYFUNCTION("""COMPUTED_VALUE"""),"esYMV8lgtPw")</f>
        <v>esYMV8lgtPw</v>
      </c>
      <c r="R942" s="5">
        <f ca="1">IFERROR(__xludf.DUMMYFUNCTION("""COMPUTED_VALUE"""),410)</f>
        <v>410</v>
      </c>
      <c r="S942" s="62">
        <f ca="1">IFERROR(__xludf.DUMMYFUNCTION("""COMPUTED_VALUE"""),0.01)</f>
        <v>0.01</v>
      </c>
      <c r="T942" s="63" t="str">
        <f ca="1">IFERROR(__xludf.DUMMYFUNCTION("""COMPUTED_VALUE"""),"https://storage.googleapis.com/glide-prod.appspot.com/uploads-v2/ly7o78grxPaC6KdgvbpS/pub/UliJWgpEaBovaFmXi6OW.png")</f>
        <v>https://storage.googleapis.com/glide-prod.appspot.com/uploads-v2/ly7o78grxPaC6KdgvbpS/pub/UliJWgpEaBovaFmXi6OW.png</v>
      </c>
      <c r="U942" s="5" t="str">
        <f ca="1">IFERROR(__xludf.DUMMYFUNCTION("""COMPUTED_VALUE"""),"LINEA DE ENVASADO JUGOS PET HOT FILLPASTEURIZADOR")</f>
        <v>LINEA DE ENVASADO JUGOS PET HOT FILLPASTEURIZADOR</v>
      </c>
      <c r="V942" s="5"/>
      <c r="W942" s="5"/>
      <c r="X942" s="5" t="str">
        <f ca="1">IFERROR(__xludf.DUMMYFUNCTION("""COMPUTED_VALUE"""),"achavezi@postobon.com.co,aprmttoyu@postobon.com.co,aprmyu@postobon.com.co,wmora@postobon.com.co,efzapata@postobon.com.co")</f>
        <v>achavezi@postobon.com.co,aprmttoyu@postobon.com.co,aprmyu@postobon.com.co,wmora@postobon.com.co,efzapata@postobon.com.co</v>
      </c>
      <c r="Y942" s="5" t="str">
        <f ca="1">IFERROR(__xludf.DUMMYFUNCTION("""COMPUTED_VALUE"""),"achavezi@postobon.com.co")</f>
        <v>achavezi@postobon.com.co</v>
      </c>
      <c r="Z942" s="5" t="str">
        <f ca="1">IFERROR(__xludf.DUMMYFUNCTION("""COMPUTED_VALUE"""),"xT3n51uZRLmzQSU7q0D2ig")</f>
        <v>xT3n51uZRLmzQSU7q0D2ig</v>
      </c>
      <c r="AA942" s="5"/>
      <c r="AB942" s="5"/>
      <c r="AC942" s="5"/>
      <c r="AD942" s="5">
        <f ca="1">IFERROR(__xludf.DUMMYFUNCTION("""COMPUTED_VALUE"""),27)</f>
        <v>27</v>
      </c>
      <c r="AE942" s="5">
        <f ca="1">IFERROR(__xludf.DUMMYFUNCTION("""COMPUTED_VALUE"""),5)</f>
        <v>5</v>
      </c>
      <c r="AF942" s="5" t="b">
        <f ca="1">IFERROR(__xludf.DUMMYFUNCTION("""COMPUTED_VALUE"""),TRUE)</f>
        <v>1</v>
      </c>
      <c r="AG942" s="5" t="str">
        <f ca="1">IFERROR(__xludf.DUMMYFUNCTION("""COMPUTED_VALUE"""),"INSPECCIONES SIN REALIZAR")</f>
        <v>INSPECCIONES SIN REALIZAR</v>
      </c>
      <c r="AH942" s="5"/>
    </row>
    <row r="943" spans="1:34">
      <c r="A943" s="5" t="str">
        <f ca="1">IFERROR(__xludf.DUMMYFUNCTION("""COMPUTED_VALUE"""),"LINEA DE ENVASADO JUGOS PET HOT FILL")</f>
        <v>LINEA DE ENVASADO JUGOS PET HOT FILL</v>
      </c>
      <c r="B943" s="5">
        <f ca="1">IFERROR(__xludf.DUMMYFUNCTION("""COMPUTED_VALUE"""),690104)</f>
        <v>690104</v>
      </c>
      <c r="C943" s="5" t="str">
        <f ca="1">IFERROR(__xludf.DUMMYFUNCTION("""COMPUTED_VALUE"""),"PASTEURIZADOR")</f>
        <v>PASTEURIZADOR</v>
      </c>
      <c r="D943" s="5">
        <f ca="1">IFERROR(__xludf.DUMMYFUNCTION("""COMPUTED_VALUE"""),13247773)</f>
        <v>13247773</v>
      </c>
      <c r="E943" s="5" t="str">
        <f ca="1">IFERROR(__xludf.DUMMYFUNCTION("""COMPUTED_VALUE"""),"INSPECCION SEMANAL PASTEURIZADOR")</f>
        <v>INSPECCION SEMANAL PASTEURIZADOR</v>
      </c>
      <c r="F943" s="5" t="str">
        <f ca="1">IFERROR(__xludf.DUMMYFUNCTION("""COMPUTED_VALUE"""),"ESTADO EMPAQUES TANQUE")</f>
        <v>ESTADO EMPAQUES TANQUE</v>
      </c>
      <c r="G943" s="5"/>
      <c r="H943" s="5"/>
      <c r="I943" s="5"/>
      <c r="J943" s="5"/>
      <c r="K943" s="5"/>
      <c r="L943" s="18">
        <f ca="1">IFERROR(__xludf.DUMMYFUNCTION("""COMPUTED_VALUE"""),45325)</f>
        <v>45325</v>
      </c>
      <c r="M943" s="18">
        <f ca="1">IFERROR(__xludf.DUMMYFUNCTION("""COMPUTED_VALUE"""),45325)</f>
        <v>45325</v>
      </c>
      <c r="N943" s="5" t="str">
        <f ca="1">IFERROR(__xludf.DUMMYFUNCTION("""COMPUTED_VALUE"""),"Jhonnys Arturo Fernández Suarez")</f>
        <v>Jhonnys Arturo Fernández Suarez</v>
      </c>
      <c r="O943" s="2">
        <f ca="1">IFERROR(__xludf.DUMMYFUNCTION("""COMPUTED_VALUE"""),0.01)</f>
        <v>0.01</v>
      </c>
      <c r="P943" s="5"/>
      <c r="Q943" s="5" t="str">
        <f ca="1">IFERROR(__xludf.DUMMYFUNCTION("""COMPUTED_VALUE"""),"MmkjuBMKSkg")</f>
        <v>MmkjuBMKSkg</v>
      </c>
      <c r="R943" s="5">
        <f ca="1">IFERROR(__xludf.DUMMYFUNCTION("""COMPUTED_VALUE"""),410)</f>
        <v>410</v>
      </c>
      <c r="S943" s="62">
        <f ca="1">IFERROR(__xludf.DUMMYFUNCTION("""COMPUTED_VALUE"""),0.01)</f>
        <v>0.01</v>
      </c>
      <c r="T943" s="63" t="str">
        <f ca="1">IFERROR(__xludf.DUMMYFUNCTION("""COMPUTED_VALUE"""),"https://storage.googleapis.com/glide-prod.appspot.com/uploads-v2/ly7o78grxPaC6KdgvbpS/pub/UliJWgpEaBovaFmXi6OW.png")</f>
        <v>https://storage.googleapis.com/glide-prod.appspot.com/uploads-v2/ly7o78grxPaC6KdgvbpS/pub/UliJWgpEaBovaFmXi6OW.png</v>
      </c>
      <c r="U943" s="5" t="str">
        <f ca="1">IFERROR(__xludf.DUMMYFUNCTION("""COMPUTED_VALUE"""),"LINEA DE ENVASADO JUGOS PET HOT FILLPASTEURIZADOR")</f>
        <v>LINEA DE ENVASADO JUGOS PET HOT FILLPASTEURIZADOR</v>
      </c>
      <c r="V943" s="5"/>
      <c r="W943" s="5"/>
      <c r="X943" s="5" t="str">
        <f ca="1">IFERROR(__xludf.DUMMYFUNCTION("""COMPUTED_VALUE"""),"achavezi@postobon.com.co,aprmttoyu@postobon.com.co,aprmyu@postobon.com.co,wmora@postobon.com.co,efzapata@postobon.com.co")</f>
        <v>achavezi@postobon.com.co,aprmttoyu@postobon.com.co,aprmyu@postobon.com.co,wmora@postobon.com.co,efzapata@postobon.com.co</v>
      </c>
      <c r="Y943" s="5" t="str">
        <f ca="1">IFERROR(__xludf.DUMMYFUNCTION("""COMPUTED_VALUE"""),"achavezi@postobon.com.co")</f>
        <v>achavezi@postobon.com.co</v>
      </c>
      <c r="Z943" s="5" t="str">
        <f ca="1">IFERROR(__xludf.DUMMYFUNCTION("""COMPUTED_VALUE"""),"ztg4s3SmQ0m6tboiOZckwA")</f>
        <v>ztg4s3SmQ0m6tboiOZckwA</v>
      </c>
      <c r="AA943" s="5"/>
      <c r="AB943" s="5"/>
      <c r="AC943" s="5"/>
      <c r="AD943" s="5">
        <f ca="1">IFERROR(__xludf.DUMMYFUNCTION("""COMPUTED_VALUE"""),27)</f>
        <v>27</v>
      </c>
      <c r="AE943" s="5">
        <f ca="1">IFERROR(__xludf.DUMMYFUNCTION("""COMPUTED_VALUE"""),5)</f>
        <v>5</v>
      </c>
      <c r="AF943" s="5" t="b">
        <f ca="1">IFERROR(__xludf.DUMMYFUNCTION("""COMPUTED_VALUE"""),TRUE)</f>
        <v>1</v>
      </c>
      <c r="AG943" s="5" t="str">
        <f ca="1">IFERROR(__xludf.DUMMYFUNCTION("""COMPUTED_VALUE"""),"INSPECCIONES SIN REALIZAR")</f>
        <v>INSPECCIONES SIN REALIZAR</v>
      </c>
      <c r="AH943" s="5"/>
    </row>
    <row r="944" spans="1:34">
      <c r="A944" s="5" t="str">
        <f ca="1">IFERROR(__xludf.DUMMYFUNCTION("""COMPUTED_VALUE"""),"LINEA DE ENVASADO JUGOS PET HOT FILL")</f>
        <v>LINEA DE ENVASADO JUGOS PET HOT FILL</v>
      </c>
      <c r="B944" s="5">
        <f ca="1">IFERROR(__xludf.DUMMYFUNCTION("""COMPUTED_VALUE"""),690104)</f>
        <v>690104</v>
      </c>
      <c r="C944" s="5" t="str">
        <f ca="1">IFERROR(__xludf.DUMMYFUNCTION("""COMPUTED_VALUE"""),"PASTEURIZADOR")</f>
        <v>PASTEURIZADOR</v>
      </c>
      <c r="D944" s="5">
        <f ca="1">IFERROR(__xludf.DUMMYFUNCTION("""COMPUTED_VALUE"""),13247773)</f>
        <v>13247773</v>
      </c>
      <c r="E944" s="5" t="str">
        <f ca="1">IFERROR(__xludf.DUMMYFUNCTION("""COMPUTED_VALUE"""),"INSPECCION SEMANAL PASTEURIZADOR")</f>
        <v>INSPECCION SEMANAL PASTEURIZADOR</v>
      </c>
      <c r="F944" s="5" t="str">
        <f ca="1">IFERROR(__xludf.DUMMYFUNCTION("""COMPUTED_VALUE"""),"REVISION FUNCIONAMIENTO INTERCAMBIADORES VAPOR")</f>
        <v>REVISION FUNCIONAMIENTO INTERCAMBIADORES VAPOR</v>
      </c>
      <c r="G944" s="5"/>
      <c r="H944" s="5"/>
      <c r="I944" s="5"/>
      <c r="J944" s="5"/>
      <c r="K944" s="5"/>
      <c r="L944" s="18">
        <f ca="1">IFERROR(__xludf.DUMMYFUNCTION("""COMPUTED_VALUE"""),45325)</f>
        <v>45325</v>
      </c>
      <c r="M944" s="18">
        <f ca="1">IFERROR(__xludf.DUMMYFUNCTION("""COMPUTED_VALUE"""),45325)</f>
        <v>45325</v>
      </c>
      <c r="N944" s="5" t="str">
        <f ca="1">IFERROR(__xludf.DUMMYFUNCTION("""COMPUTED_VALUE"""),"Jhonnys Arturo Fernández Suarez")</f>
        <v>Jhonnys Arturo Fernández Suarez</v>
      </c>
      <c r="O944" s="2">
        <f ca="1">IFERROR(__xludf.DUMMYFUNCTION("""COMPUTED_VALUE"""),0.01)</f>
        <v>0.01</v>
      </c>
      <c r="P944" s="5"/>
      <c r="Q944" s="5" t="str">
        <f ca="1">IFERROR(__xludf.DUMMYFUNCTION("""COMPUTED_VALUE"""),"RnBjC8-vBBU")</f>
        <v>RnBjC8-vBBU</v>
      </c>
      <c r="R944" s="5">
        <f ca="1">IFERROR(__xludf.DUMMYFUNCTION("""COMPUTED_VALUE"""),410)</f>
        <v>410</v>
      </c>
      <c r="S944" s="62">
        <f ca="1">IFERROR(__xludf.DUMMYFUNCTION("""COMPUTED_VALUE"""),0.01)</f>
        <v>0.01</v>
      </c>
      <c r="T944" s="63" t="str">
        <f ca="1">IFERROR(__xludf.DUMMYFUNCTION("""COMPUTED_VALUE"""),"https://storage.googleapis.com/glide-prod.appspot.com/uploads-v2/ly7o78grxPaC6KdgvbpS/pub/UliJWgpEaBovaFmXi6OW.png")</f>
        <v>https://storage.googleapis.com/glide-prod.appspot.com/uploads-v2/ly7o78grxPaC6KdgvbpS/pub/UliJWgpEaBovaFmXi6OW.png</v>
      </c>
      <c r="U944" s="5" t="str">
        <f ca="1">IFERROR(__xludf.DUMMYFUNCTION("""COMPUTED_VALUE"""),"LINEA DE ENVASADO JUGOS PET HOT FILLPASTEURIZADOR")</f>
        <v>LINEA DE ENVASADO JUGOS PET HOT FILLPASTEURIZADOR</v>
      </c>
      <c r="V944" s="5"/>
      <c r="W944" s="5"/>
      <c r="X944" s="5" t="str">
        <f ca="1">IFERROR(__xludf.DUMMYFUNCTION("""COMPUTED_VALUE"""),"achavezi@postobon.com.co,aprmttoyu@postobon.com.co,aprmyu@postobon.com.co,wmora@postobon.com.co,efzapata@postobon.com.co")</f>
        <v>achavezi@postobon.com.co,aprmttoyu@postobon.com.co,aprmyu@postobon.com.co,wmora@postobon.com.co,efzapata@postobon.com.co</v>
      </c>
      <c r="Y944" s="5" t="str">
        <f ca="1">IFERROR(__xludf.DUMMYFUNCTION("""COMPUTED_VALUE"""),"achavezi@postobon.com.co")</f>
        <v>achavezi@postobon.com.co</v>
      </c>
      <c r="Z944" s="5" t="str">
        <f ca="1">IFERROR(__xludf.DUMMYFUNCTION("""COMPUTED_VALUE"""),"V8oqtxAjRaCfD3ZW3awSlQ")</f>
        <v>V8oqtxAjRaCfD3ZW3awSlQ</v>
      </c>
      <c r="AA944" s="5"/>
      <c r="AB944" s="5"/>
      <c r="AC944" s="5"/>
      <c r="AD944" s="5">
        <f ca="1">IFERROR(__xludf.DUMMYFUNCTION("""COMPUTED_VALUE"""),27)</f>
        <v>27</v>
      </c>
      <c r="AE944" s="5">
        <f ca="1">IFERROR(__xludf.DUMMYFUNCTION("""COMPUTED_VALUE"""),5)</f>
        <v>5</v>
      </c>
      <c r="AF944" s="5" t="b">
        <f ca="1">IFERROR(__xludf.DUMMYFUNCTION("""COMPUTED_VALUE"""),TRUE)</f>
        <v>1</v>
      </c>
      <c r="AG944" s="5" t="str">
        <f ca="1">IFERROR(__xludf.DUMMYFUNCTION("""COMPUTED_VALUE"""),"INSPECCIONES SIN REALIZAR")</f>
        <v>INSPECCIONES SIN REALIZAR</v>
      </c>
      <c r="AH944" s="5"/>
    </row>
    <row r="945" spans="1:34">
      <c r="A945" s="5" t="str">
        <f ca="1">IFERROR(__xludf.DUMMYFUNCTION("""COMPUTED_VALUE"""),"LINEA DE ENVASADO JUGOS PET HOT FILL")</f>
        <v>LINEA DE ENVASADO JUGOS PET HOT FILL</v>
      </c>
      <c r="B945" s="5">
        <f ca="1">IFERROR(__xludf.DUMMYFUNCTION("""COMPUTED_VALUE"""),690104)</f>
        <v>690104</v>
      </c>
      <c r="C945" s="5" t="str">
        <f ca="1">IFERROR(__xludf.DUMMYFUNCTION("""COMPUTED_VALUE"""),"PASTEURIZADOR")</f>
        <v>PASTEURIZADOR</v>
      </c>
      <c r="D945" s="5">
        <f ca="1">IFERROR(__xludf.DUMMYFUNCTION("""COMPUTED_VALUE"""),13247773)</f>
        <v>13247773</v>
      </c>
      <c r="E945" s="5" t="str">
        <f ca="1">IFERROR(__xludf.DUMMYFUNCTION("""COMPUTED_VALUE"""),"INSPECCION SEMANAL PASTEURIZADOR")</f>
        <v>INSPECCION SEMANAL PASTEURIZADOR</v>
      </c>
      <c r="F945" s="5" t="str">
        <f ca="1">IFERROR(__xludf.DUMMYFUNCTION("""COMPUTED_VALUE"""),"ESTADO INTERCAMBIADOR TUBULAR")</f>
        <v>ESTADO INTERCAMBIADOR TUBULAR</v>
      </c>
      <c r="G945" s="5"/>
      <c r="H945" s="5"/>
      <c r="I945" s="5"/>
      <c r="J945" s="5"/>
      <c r="K945" s="5"/>
      <c r="L945" s="18">
        <f ca="1">IFERROR(__xludf.DUMMYFUNCTION("""COMPUTED_VALUE"""),45325)</f>
        <v>45325</v>
      </c>
      <c r="M945" s="18">
        <f ca="1">IFERROR(__xludf.DUMMYFUNCTION("""COMPUTED_VALUE"""),45325)</f>
        <v>45325</v>
      </c>
      <c r="N945" s="5" t="str">
        <f ca="1">IFERROR(__xludf.DUMMYFUNCTION("""COMPUTED_VALUE"""),"Jhonnys Arturo Fernández Suarez")</f>
        <v>Jhonnys Arturo Fernández Suarez</v>
      </c>
      <c r="O945" s="2">
        <f ca="1">IFERROR(__xludf.DUMMYFUNCTION("""COMPUTED_VALUE"""),0.01)</f>
        <v>0.01</v>
      </c>
      <c r="P945" s="5"/>
      <c r="Q945" s="5" t="str">
        <f ca="1">IFERROR(__xludf.DUMMYFUNCTION("""COMPUTED_VALUE"""),"cUqmSYk3DSU")</f>
        <v>cUqmSYk3DSU</v>
      </c>
      <c r="R945" s="5">
        <f ca="1">IFERROR(__xludf.DUMMYFUNCTION("""COMPUTED_VALUE"""),410)</f>
        <v>410</v>
      </c>
      <c r="S945" s="62">
        <f ca="1">IFERROR(__xludf.DUMMYFUNCTION("""COMPUTED_VALUE"""),0.01)</f>
        <v>0.01</v>
      </c>
      <c r="T945" s="63" t="str">
        <f ca="1">IFERROR(__xludf.DUMMYFUNCTION("""COMPUTED_VALUE"""),"https://storage.googleapis.com/glide-prod.appspot.com/uploads-v2/ly7o78grxPaC6KdgvbpS/pub/UliJWgpEaBovaFmXi6OW.png")</f>
        <v>https://storage.googleapis.com/glide-prod.appspot.com/uploads-v2/ly7o78grxPaC6KdgvbpS/pub/UliJWgpEaBovaFmXi6OW.png</v>
      </c>
      <c r="U945" s="5" t="str">
        <f ca="1">IFERROR(__xludf.DUMMYFUNCTION("""COMPUTED_VALUE"""),"LINEA DE ENVASADO JUGOS PET HOT FILLPASTEURIZADOR")</f>
        <v>LINEA DE ENVASADO JUGOS PET HOT FILLPASTEURIZADOR</v>
      </c>
      <c r="V945" s="5"/>
      <c r="W945" s="5"/>
      <c r="X945" s="5" t="str">
        <f ca="1">IFERROR(__xludf.DUMMYFUNCTION("""COMPUTED_VALUE"""),"achavezi@postobon.com.co,aprmttoyu@postobon.com.co,aprmyu@postobon.com.co,wmora@postobon.com.co,efzapata@postobon.com.co")</f>
        <v>achavezi@postobon.com.co,aprmttoyu@postobon.com.co,aprmyu@postobon.com.co,wmora@postobon.com.co,efzapata@postobon.com.co</v>
      </c>
      <c r="Y945" s="5" t="str">
        <f ca="1">IFERROR(__xludf.DUMMYFUNCTION("""COMPUTED_VALUE"""),"achavezi@postobon.com.co")</f>
        <v>achavezi@postobon.com.co</v>
      </c>
      <c r="Z945" s="5" t="str">
        <f ca="1">IFERROR(__xludf.DUMMYFUNCTION("""COMPUTED_VALUE"""),"aixoX5K7QWG5MCjJAEBMfw")</f>
        <v>aixoX5K7QWG5MCjJAEBMfw</v>
      </c>
      <c r="AA945" s="5"/>
      <c r="AB945" s="5"/>
      <c r="AC945" s="5"/>
      <c r="AD945" s="5">
        <f ca="1">IFERROR(__xludf.DUMMYFUNCTION("""COMPUTED_VALUE"""),27)</f>
        <v>27</v>
      </c>
      <c r="AE945" s="5">
        <f ca="1">IFERROR(__xludf.DUMMYFUNCTION("""COMPUTED_VALUE"""),5)</f>
        <v>5</v>
      </c>
      <c r="AF945" s="5" t="b">
        <f ca="1">IFERROR(__xludf.DUMMYFUNCTION("""COMPUTED_VALUE"""),TRUE)</f>
        <v>1</v>
      </c>
      <c r="AG945" s="5" t="str">
        <f ca="1">IFERROR(__xludf.DUMMYFUNCTION("""COMPUTED_VALUE"""),"INSPECCIONES SIN REALIZAR")</f>
        <v>INSPECCIONES SIN REALIZAR</v>
      </c>
      <c r="AH945" s="5"/>
    </row>
    <row r="946" spans="1:34">
      <c r="A946" s="5" t="str">
        <f ca="1">IFERROR(__xludf.DUMMYFUNCTION("""COMPUTED_VALUE"""),"LINEA DE ENVASADO JUGOS PET HOT FILL")</f>
        <v>LINEA DE ENVASADO JUGOS PET HOT FILL</v>
      </c>
      <c r="B946" s="5">
        <f ca="1">IFERROR(__xludf.DUMMYFUNCTION("""COMPUTED_VALUE"""),690104)</f>
        <v>690104</v>
      </c>
      <c r="C946" s="5" t="str">
        <f ca="1">IFERROR(__xludf.DUMMYFUNCTION("""COMPUTED_VALUE"""),"PASTEURIZADOR")</f>
        <v>PASTEURIZADOR</v>
      </c>
      <c r="D946" s="5">
        <f ca="1">IFERROR(__xludf.DUMMYFUNCTION("""COMPUTED_VALUE"""),13247773)</f>
        <v>13247773</v>
      </c>
      <c r="E946" s="5" t="str">
        <f ca="1">IFERROR(__xludf.DUMMYFUNCTION("""COMPUTED_VALUE"""),"INSPECCION SEMANAL PASTEURIZADOR")</f>
        <v>INSPECCION SEMANAL PASTEURIZADOR</v>
      </c>
      <c r="F946" s="5" t="str">
        <f ca="1">IFERROR(__xludf.DUMMYFUNCTION("""COMPUTED_VALUE"""),"ESTADO VALVULAS VAPOR ENTRADA")</f>
        <v>ESTADO VALVULAS VAPOR ENTRADA</v>
      </c>
      <c r="G946" s="5"/>
      <c r="H946" s="5"/>
      <c r="I946" s="5"/>
      <c r="J946" s="5"/>
      <c r="K946" s="5"/>
      <c r="L946" s="18">
        <f ca="1">IFERROR(__xludf.DUMMYFUNCTION("""COMPUTED_VALUE"""),45325)</f>
        <v>45325</v>
      </c>
      <c r="M946" s="18">
        <f ca="1">IFERROR(__xludf.DUMMYFUNCTION("""COMPUTED_VALUE"""),45325)</f>
        <v>45325</v>
      </c>
      <c r="N946" s="5" t="str">
        <f ca="1">IFERROR(__xludf.DUMMYFUNCTION("""COMPUTED_VALUE"""),"Jhonnys Arturo Fernández Suarez")</f>
        <v>Jhonnys Arturo Fernández Suarez</v>
      </c>
      <c r="O946" s="2">
        <f ca="1">IFERROR(__xludf.DUMMYFUNCTION("""COMPUTED_VALUE"""),0.01)</f>
        <v>0.01</v>
      </c>
      <c r="P946" s="5"/>
      <c r="Q946" s="5" t="str">
        <f ca="1">IFERROR(__xludf.DUMMYFUNCTION("""COMPUTED_VALUE"""),"ZW8yebSINKA")</f>
        <v>ZW8yebSINKA</v>
      </c>
      <c r="R946" s="5">
        <f ca="1">IFERROR(__xludf.DUMMYFUNCTION("""COMPUTED_VALUE"""),410)</f>
        <v>410</v>
      </c>
      <c r="S946" s="62">
        <f ca="1">IFERROR(__xludf.DUMMYFUNCTION("""COMPUTED_VALUE"""),0.01)</f>
        <v>0.01</v>
      </c>
      <c r="T946" s="63" t="str">
        <f ca="1">IFERROR(__xludf.DUMMYFUNCTION("""COMPUTED_VALUE"""),"https://storage.googleapis.com/glide-prod.appspot.com/uploads-v2/ly7o78grxPaC6KdgvbpS/pub/UliJWgpEaBovaFmXi6OW.png")</f>
        <v>https://storage.googleapis.com/glide-prod.appspot.com/uploads-v2/ly7o78grxPaC6KdgvbpS/pub/UliJWgpEaBovaFmXi6OW.png</v>
      </c>
      <c r="U946" s="5" t="str">
        <f ca="1">IFERROR(__xludf.DUMMYFUNCTION("""COMPUTED_VALUE"""),"LINEA DE ENVASADO JUGOS PET HOT FILLPASTEURIZADOR")</f>
        <v>LINEA DE ENVASADO JUGOS PET HOT FILLPASTEURIZADOR</v>
      </c>
      <c r="V946" s="5"/>
      <c r="W946" s="5"/>
      <c r="X946" s="5" t="str">
        <f ca="1">IFERROR(__xludf.DUMMYFUNCTION("""COMPUTED_VALUE"""),"achavezi@postobon.com.co,aprmttoyu@postobon.com.co,aprmyu@postobon.com.co,wmora@postobon.com.co,efzapata@postobon.com.co")</f>
        <v>achavezi@postobon.com.co,aprmttoyu@postobon.com.co,aprmyu@postobon.com.co,wmora@postobon.com.co,efzapata@postobon.com.co</v>
      </c>
      <c r="Y946" s="5" t="str">
        <f ca="1">IFERROR(__xludf.DUMMYFUNCTION("""COMPUTED_VALUE"""),"achavezi@postobon.com.co")</f>
        <v>achavezi@postobon.com.co</v>
      </c>
      <c r="Z946" s="5" t="str">
        <f ca="1">IFERROR(__xludf.DUMMYFUNCTION("""COMPUTED_VALUE"""),"7vjhoSi8R2mRF.BAmjK5sg")</f>
        <v>7vjhoSi8R2mRF.BAmjK5sg</v>
      </c>
      <c r="AA946" s="5"/>
      <c r="AB946" s="5"/>
      <c r="AC946" s="5"/>
      <c r="AD946" s="5">
        <f ca="1">IFERROR(__xludf.DUMMYFUNCTION("""COMPUTED_VALUE"""),27)</f>
        <v>27</v>
      </c>
      <c r="AE946" s="5">
        <f ca="1">IFERROR(__xludf.DUMMYFUNCTION("""COMPUTED_VALUE"""),5)</f>
        <v>5</v>
      </c>
      <c r="AF946" s="5" t="b">
        <f ca="1">IFERROR(__xludf.DUMMYFUNCTION("""COMPUTED_VALUE"""),TRUE)</f>
        <v>1</v>
      </c>
      <c r="AG946" s="5" t="str">
        <f ca="1">IFERROR(__xludf.DUMMYFUNCTION("""COMPUTED_VALUE"""),"INSPECCIONES SIN REALIZAR")</f>
        <v>INSPECCIONES SIN REALIZAR</v>
      </c>
      <c r="AH946" s="5"/>
    </row>
    <row r="947" spans="1:34">
      <c r="A947" s="5" t="str">
        <f ca="1">IFERROR(__xludf.DUMMYFUNCTION("""COMPUTED_VALUE"""),"LINEA DE ENVASADO JUGOS PET HOT FILL")</f>
        <v>LINEA DE ENVASADO JUGOS PET HOT FILL</v>
      </c>
      <c r="B947" s="5">
        <f ca="1">IFERROR(__xludf.DUMMYFUNCTION("""COMPUTED_VALUE"""),690104)</f>
        <v>690104</v>
      </c>
      <c r="C947" s="5" t="str">
        <f ca="1">IFERROR(__xludf.DUMMYFUNCTION("""COMPUTED_VALUE"""),"PASTEURIZADOR")</f>
        <v>PASTEURIZADOR</v>
      </c>
      <c r="D947" s="5">
        <f ca="1">IFERROR(__xludf.DUMMYFUNCTION("""COMPUTED_VALUE"""),13247773)</f>
        <v>13247773</v>
      </c>
      <c r="E947" s="5" t="str">
        <f ca="1">IFERROR(__xludf.DUMMYFUNCTION("""COMPUTED_VALUE"""),"INSPECCION SEMANAL PASTEURIZADOR")</f>
        <v>INSPECCION SEMANAL PASTEURIZADOR</v>
      </c>
      <c r="F947" s="5" t="str">
        <f ca="1">IFERROR(__xludf.DUMMYFUNCTION("""COMPUTED_VALUE"""),"ESTADO TRAMPA CONDENSADO")</f>
        <v>ESTADO TRAMPA CONDENSADO</v>
      </c>
      <c r="G947" s="5"/>
      <c r="H947" s="5"/>
      <c r="I947" s="5"/>
      <c r="J947" s="5"/>
      <c r="K947" s="5"/>
      <c r="L947" s="18">
        <f ca="1">IFERROR(__xludf.DUMMYFUNCTION("""COMPUTED_VALUE"""),45325)</f>
        <v>45325</v>
      </c>
      <c r="M947" s="18">
        <f ca="1">IFERROR(__xludf.DUMMYFUNCTION("""COMPUTED_VALUE"""),45325)</f>
        <v>45325</v>
      </c>
      <c r="N947" s="5" t="str">
        <f ca="1">IFERROR(__xludf.DUMMYFUNCTION("""COMPUTED_VALUE"""),"Jhonnys Arturo Fernández Suarez")</f>
        <v>Jhonnys Arturo Fernández Suarez</v>
      </c>
      <c r="O947" s="2">
        <f ca="1">IFERROR(__xludf.DUMMYFUNCTION("""COMPUTED_VALUE"""),0.01)</f>
        <v>0.01</v>
      </c>
      <c r="P947" s="5"/>
      <c r="Q947" s="5" t="str">
        <f ca="1">IFERROR(__xludf.DUMMYFUNCTION("""COMPUTED_VALUE"""),"XxE0QrWrcjQ")</f>
        <v>XxE0QrWrcjQ</v>
      </c>
      <c r="R947" s="5">
        <f ca="1">IFERROR(__xludf.DUMMYFUNCTION("""COMPUTED_VALUE"""),410)</f>
        <v>410</v>
      </c>
      <c r="S947" s="62">
        <f ca="1">IFERROR(__xludf.DUMMYFUNCTION("""COMPUTED_VALUE"""),0.01)</f>
        <v>0.01</v>
      </c>
      <c r="T947" s="63" t="str">
        <f ca="1">IFERROR(__xludf.DUMMYFUNCTION("""COMPUTED_VALUE"""),"https://storage.googleapis.com/glide-prod.appspot.com/uploads-v2/ly7o78grxPaC6KdgvbpS/pub/UliJWgpEaBovaFmXi6OW.png")</f>
        <v>https://storage.googleapis.com/glide-prod.appspot.com/uploads-v2/ly7o78grxPaC6KdgvbpS/pub/UliJWgpEaBovaFmXi6OW.png</v>
      </c>
      <c r="U947" s="5" t="str">
        <f ca="1">IFERROR(__xludf.DUMMYFUNCTION("""COMPUTED_VALUE"""),"LINEA DE ENVASADO JUGOS PET HOT FILLPASTEURIZADOR")</f>
        <v>LINEA DE ENVASADO JUGOS PET HOT FILLPASTEURIZADOR</v>
      </c>
      <c r="V947" s="5"/>
      <c r="W947" s="5"/>
      <c r="X947" s="5" t="str">
        <f ca="1">IFERROR(__xludf.DUMMYFUNCTION("""COMPUTED_VALUE"""),"achavezi@postobon.com.co,aprmttoyu@postobon.com.co,aprmyu@postobon.com.co,wmora@postobon.com.co,efzapata@postobon.com.co")</f>
        <v>achavezi@postobon.com.co,aprmttoyu@postobon.com.co,aprmyu@postobon.com.co,wmora@postobon.com.co,efzapata@postobon.com.co</v>
      </c>
      <c r="Y947" s="5" t="str">
        <f ca="1">IFERROR(__xludf.DUMMYFUNCTION("""COMPUTED_VALUE"""),"achavezi@postobon.com.co")</f>
        <v>achavezi@postobon.com.co</v>
      </c>
      <c r="Z947" s="5" t="str">
        <f ca="1">IFERROR(__xludf.DUMMYFUNCTION("""COMPUTED_VALUE"""),"WsSyV6D5Qu-jKZ2CbXjykg")</f>
        <v>WsSyV6D5Qu-jKZ2CbXjykg</v>
      </c>
      <c r="AA947" s="5"/>
      <c r="AB947" s="5"/>
      <c r="AC947" s="5"/>
      <c r="AD947" s="5">
        <f ca="1">IFERROR(__xludf.DUMMYFUNCTION("""COMPUTED_VALUE"""),27)</f>
        <v>27</v>
      </c>
      <c r="AE947" s="5">
        <f ca="1">IFERROR(__xludf.DUMMYFUNCTION("""COMPUTED_VALUE"""),5)</f>
        <v>5</v>
      </c>
      <c r="AF947" s="5" t="b">
        <f ca="1">IFERROR(__xludf.DUMMYFUNCTION("""COMPUTED_VALUE"""),TRUE)</f>
        <v>1</v>
      </c>
      <c r="AG947" s="5" t="str">
        <f ca="1">IFERROR(__xludf.DUMMYFUNCTION("""COMPUTED_VALUE"""),"INSPECCIONES SIN REALIZAR")</f>
        <v>INSPECCIONES SIN REALIZAR</v>
      </c>
      <c r="AH947" s="5"/>
    </row>
    <row r="948" spans="1:34">
      <c r="A948" s="5" t="str">
        <f ca="1">IFERROR(__xludf.DUMMYFUNCTION("""COMPUTED_VALUE"""),"LINEA DE ENVASADO JUGOS PET HOT FILL")</f>
        <v>LINEA DE ENVASADO JUGOS PET HOT FILL</v>
      </c>
      <c r="B948" s="5">
        <f ca="1">IFERROR(__xludf.DUMMYFUNCTION("""COMPUTED_VALUE"""),690104)</f>
        <v>690104</v>
      </c>
      <c r="C948" s="5" t="str">
        <f ca="1">IFERROR(__xludf.DUMMYFUNCTION("""COMPUTED_VALUE"""),"PASTEURIZADOR")</f>
        <v>PASTEURIZADOR</v>
      </c>
      <c r="D948" s="5">
        <f ca="1">IFERROR(__xludf.DUMMYFUNCTION("""COMPUTED_VALUE"""),13247773)</f>
        <v>13247773</v>
      </c>
      <c r="E948" s="5" t="str">
        <f ca="1">IFERROR(__xludf.DUMMYFUNCTION("""COMPUTED_VALUE"""),"INSPECCION SEMANAL PASTEURIZADOR")</f>
        <v>INSPECCION SEMANAL PASTEURIZADOR</v>
      </c>
      <c r="F948" s="5" t="str">
        <f ca="1">IFERROR(__xludf.DUMMYFUNCTION("""COMPUTED_VALUE"""),"ESTADO TABLERO ELECTRICO")</f>
        <v>ESTADO TABLERO ELECTRICO</v>
      </c>
      <c r="G948" s="5"/>
      <c r="H948" s="5"/>
      <c r="I948" s="5"/>
      <c r="J948" s="5"/>
      <c r="K948" s="5"/>
      <c r="L948" s="18">
        <f ca="1">IFERROR(__xludf.DUMMYFUNCTION("""COMPUTED_VALUE"""),45325)</f>
        <v>45325</v>
      </c>
      <c r="M948" s="18">
        <f ca="1">IFERROR(__xludf.DUMMYFUNCTION("""COMPUTED_VALUE"""),45325)</f>
        <v>45325</v>
      </c>
      <c r="N948" s="5" t="str">
        <f ca="1">IFERROR(__xludf.DUMMYFUNCTION("""COMPUTED_VALUE"""),"Jhonnys Arturo Fernández Suarez")</f>
        <v>Jhonnys Arturo Fernández Suarez</v>
      </c>
      <c r="O948" s="2">
        <f ca="1">IFERROR(__xludf.DUMMYFUNCTION("""COMPUTED_VALUE"""),0.01)</f>
        <v>0.01</v>
      </c>
      <c r="P948" s="5"/>
      <c r="Q948" s="5" t="str">
        <f ca="1">IFERROR(__xludf.DUMMYFUNCTION("""COMPUTED_VALUE"""),"i6vNS0HLnRs")</f>
        <v>i6vNS0HLnRs</v>
      </c>
      <c r="R948" s="5">
        <f ca="1">IFERROR(__xludf.DUMMYFUNCTION("""COMPUTED_VALUE"""),410)</f>
        <v>410</v>
      </c>
      <c r="S948" s="62">
        <f ca="1">IFERROR(__xludf.DUMMYFUNCTION("""COMPUTED_VALUE"""),0.01)</f>
        <v>0.01</v>
      </c>
      <c r="T948" s="63" t="str">
        <f ca="1">IFERROR(__xludf.DUMMYFUNCTION("""COMPUTED_VALUE"""),"https://storage.googleapis.com/glide-prod.appspot.com/uploads-v2/ly7o78grxPaC6KdgvbpS/pub/UliJWgpEaBovaFmXi6OW.png")</f>
        <v>https://storage.googleapis.com/glide-prod.appspot.com/uploads-v2/ly7o78grxPaC6KdgvbpS/pub/UliJWgpEaBovaFmXi6OW.png</v>
      </c>
      <c r="U948" s="5" t="str">
        <f ca="1">IFERROR(__xludf.DUMMYFUNCTION("""COMPUTED_VALUE"""),"LINEA DE ENVASADO JUGOS PET HOT FILLPASTEURIZADOR")</f>
        <v>LINEA DE ENVASADO JUGOS PET HOT FILLPASTEURIZADOR</v>
      </c>
      <c r="V948" s="5"/>
      <c r="W948" s="5"/>
      <c r="X948" s="5" t="str">
        <f ca="1">IFERROR(__xludf.DUMMYFUNCTION("""COMPUTED_VALUE"""),"achavezi@postobon.com.co,aprmttoyu@postobon.com.co,aprmyu@postobon.com.co,wmora@postobon.com.co,efzapata@postobon.com.co")</f>
        <v>achavezi@postobon.com.co,aprmttoyu@postobon.com.co,aprmyu@postobon.com.co,wmora@postobon.com.co,efzapata@postobon.com.co</v>
      </c>
      <c r="Y948" s="5" t="str">
        <f ca="1">IFERROR(__xludf.DUMMYFUNCTION("""COMPUTED_VALUE"""),"achavezi@postobon.com.co")</f>
        <v>achavezi@postobon.com.co</v>
      </c>
      <c r="Z948" s="5" t="str">
        <f ca="1">IFERROR(__xludf.DUMMYFUNCTION("""COMPUTED_VALUE"""),"IPX2JhDqRMmcFkJGr4p2BA")</f>
        <v>IPX2JhDqRMmcFkJGr4p2BA</v>
      </c>
      <c r="AA948" s="5"/>
      <c r="AB948" s="5"/>
      <c r="AC948" s="5"/>
      <c r="AD948" s="5">
        <f ca="1">IFERROR(__xludf.DUMMYFUNCTION("""COMPUTED_VALUE"""),27)</f>
        <v>27</v>
      </c>
      <c r="AE948" s="5">
        <f ca="1">IFERROR(__xludf.DUMMYFUNCTION("""COMPUTED_VALUE"""),5)</f>
        <v>5</v>
      </c>
      <c r="AF948" s="5" t="b">
        <f ca="1">IFERROR(__xludf.DUMMYFUNCTION("""COMPUTED_VALUE"""),TRUE)</f>
        <v>1</v>
      </c>
      <c r="AG948" s="5" t="str">
        <f ca="1">IFERROR(__xludf.DUMMYFUNCTION("""COMPUTED_VALUE"""),"INSPECCIONES SIN REALIZAR")</f>
        <v>INSPECCIONES SIN REALIZAR</v>
      </c>
      <c r="AH948" s="5"/>
    </row>
    <row r="949" spans="1:34">
      <c r="A949" s="5" t="str">
        <f ca="1">IFERROR(__xludf.DUMMYFUNCTION("""COMPUTED_VALUE"""),"LINEA DE ENVASADO JUGOS PET HOT FILL")</f>
        <v>LINEA DE ENVASADO JUGOS PET HOT FILL</v>
      </c>
      <c r="B949" s="5">
        <f ca="1">IFERROR(__xludf.DUMMYFUNCTION("""COMPUTED_VALUE"""),690104)</f>
        <v>690104</v>
      </c>
      <c r="C949" s="5" t="str">
        <f ca="1">IFERROR(__xludf.DUMMYFUNCTION("""COMPUTED_VALUE"""),"PASTEURIZADOR")</f>
        <v>PASTEURIZADOR</v>
      </c>
      <c r="D949" s="5">
        <f ca="1">IFERROR(__xludf.DUMMYFUNCTION("""COMPUTED_VALUE"""),13247773)</f>
        <v>13247773</v>
      </c>
      <c r="E949" s="5" t="str">
        <f ca="1">IFERROR(__xludf.DUMMYFUNCTION("""COMPUTED_VALUE"""),"INSPECCION SEMANAL PASTEURIZADOR")</f>
        <v>INSPECCION SEMANAL PASTEURIZADOR</v>
      </c>
      <c r="F949" s="5" t="str">
        <f ca="1">IFERROR(__xludf.DUMMYFUNCTION("""COMPUTED_VALUE"""),"FUNCIONAMIENTO UPS")</f>
        <v>FUNCIONAMIENTO UPS</v>
      </c>
      <c r="G949" s="5"/>
      <c r="H949" s="5"/>
      <c r="I949" s="5"/>
      <c r="J949" s="5"/>
      <c r="K949" s="5"/>
      <c r="L949" s="18">
        <f ca="1">IFERROR(__xludf.DUMMYFUNCTION("""COMPUTED_VALUE"""),45325)</f>
        <v>45325</v>
      </c>
      <c r="M949" s="18">
        <f ca="1">IFERROR(__xludf.DUMMYFUNCTION("""COMPUTED_VALUE"""),45325)</f>
        <v>45325</v>
      </c>
      <c r="N949" s="5" t="str">
        <f ca="1">IFERROR(__xludf.DUMMYFUNCTION("""COMPUTED_VALUE"""),"Jhonnys Arturo Fernández Suarez")</f>
        <v>Jhonnys Arturo Fernández Suarez</v>
      </c>
      <c r="O949" s="2">
        <f ca="1">IFERROR(__xludf.DUMMYFUNCTION("""COMPUTED_VALUE"""),0.01)</f>
        <v>0.01</v>
      </c>
      <c r="P949" s="5"/>
      <c r="Q949" s="5" t="str">
        <f ca="1">IFERROR(__xludf.DUMMYFUNCTION("""COMPUTED_VALUE"""),"FoSvwiKP6jY")</f>
        <v>FoSvwiKP6jY</v>
      </c>
      <c r="R949" s="5">
        <f ca="1">IFERROR(__xludf.DUMMYFUNCTION("""COMPUTED_VALUE"""),410)</f>
        <v>410</v>
      </c>
      <c r="S949" s="62">
        <f ca="1">IFERROR(__xludf.DUMMYFUNCTION("""COMPUTED_VALUE"""),0.01)</f>
        <v>0.01</v>
      </c>
      <c r="T949" s="63" t="str">
        <f ca="1">IFERROR(__xludf.DUMMYFUNCTION("""COMPUTED_VALUE"""),"https://storage.googleapis.com/glide-prod.appspot.com/uploads-v2/ly7o78grxPaC6KdgvbpS/pub/UliJWgpEaBovaFmXi6OW.png")</f>
        <v>https://storage.googleapis.com/glide-prod.appspot.com/uploads-v2/ly7o78grxPaC6KdgvbpS/pub/UliJWgpEaBovaFmXi6OW.png</v>
      </c>
      <c r="U949" s="5" t="str">
        <f ca="1">IFERROR(__xludf.DUMMYFUNCTION("""COMPUTED_VALUE"""),"LINEA DE ENVASADO JUGOS PET HOT FILLPASTEURIZADOR")</f>
        <v>LINEA DE ENVASADO JUGOS PET HOT FILLPASTEURIZADOR</v>
      </c>
      <c r="V949" s="5"/>
      <c r="W949" s="5"/>
      <c r="X949" s="5" t="str">
        <f ca="1">IFERROR(__xludf.DUMMYFUNCTION("""COMPUTED_VALUE"""),"achavezi@postobon.com.co,aprmttoyu@postobon.com.co,aprmyu@postobon.com.co,wmora@postobon.com.co,efzapata@postobon.com.co")</f>
        <v>achavezi@postobon.com.co,aprmttoyu@postobon.com.co,aprmyu@postobon.com.co,wmora@postobon.com.co,efzapata@postobon.com.co</v>
      </c>
      <c r="Y949" s="5" t="str">
        <f ca="1">IFERROR(__xludf.DUMMYFUNCTION("""COMPUTED_VALUE"""),"achavezi@postobon.com.co")</f>
        <v>achavezi@postobon.com.co</v>
      </c>
      <c r="Z949" s="5" t="str">
        <f ca="1">IFERROR(__xludf.DUMMYFUNCTION("""COMPUTED_VALUE"""),"WX0V0JF3RrmdNnFIYfhFTA")</f>
        <v>WX0V0JF3RrmdNnFIYfhFTA</v>
      </c>
      <c r="AA949" s="5"/>
      <c r="AB949" s="5"/>
      <c r="AC949" s="5"/>
      <c r="AD949" s="5">
        <f ca="1">IFERROR(__xludf.DUMMYFUNCTION("""COMPUTED_VALUE"""),27)</f>
        <v>27</v>
      </c>
      <c r="AE949" s="5">
        <f ca="1">IFERROR(__xludf.DUMMYFUNCTION("""COMPUTED_VALUE"""),5)</f>
        <v>5</v>
      </c>
      <c r="AF949" s="5" t="b">
        <f ca="1">IFERROR(__xludf.DUMMYFUNCTION("""COMPUTED_VALUE"""),TRUE)</f>
        <v>1</v>
      </c>
      <c r="AG949" s="5" t="str">
        <f ca="1">IFERROR(__xludf.DUMMYFUNCTION("""COMPUTED_VALUE"""),"INSPECCIONES SIN REALIZAR")</f>
        <v>INSPECCIONES SIN REALIZAR</v>
      </c>
      <c r="AH949" s="5"/>
    </row>
    <row r="950" spans="1:34">
      <c r="A950" s="5" t="str">
        <f ca="1">IFERROR(__xludf.DUMMYFUNCTION("""COMPUTED_VALUE"""),"LINEA DE ENVASADO JUGOS PET HOT FILL")</f>
        <v>LINEA DE ENVASADO JUGOS PET HOT FILL</v>
      </c>
      <c r="B950" s="5">
        <f ca="1">IFERROR(__xludf.DUMMYFUNCTION("""COMPUTED_VALUE"""),690104)</f>
        <v>690104</v>
      </c>
      <c r="C950" s="5" t="str">
        <f ca="1">IFERROR(__xludf.DUMMYFUNCTION("""COMPUTED_VALUE"""),"PASTEURIZADOR")</f>
        <v>PASTEURIZADOR</v>
      </c>
      <c r="D950" s="5">
        <f ca="1">IFERROR(__xludf.DUMMYFUNCTION("""COMPUTED_VALUE"""),13247773)</f>
        <v>13247773</v>
      </c>
      <c r="E950" s="5" t="str">
        <f ca="1">IFERROR(__xludf.DUMMYFUNCTION("""COMPUTED_VALUE"""),"INSPECCION SEMANAL PASTEURIZADOR")</f>
        <v>INSPECCION SEMANAL PASTEURIZADOR</v>
      </c>
      <c r="F950" s="5" t="str">
        <f ca="1">IFERROR(__xludf.DUMMYFUNCTION("""COMPUTED_VALUE"""),"ESTADO SENSORES Y CABLEADO")</f>
        <v>ESTADO SENSORES Y CABLEADO</v>
      </c>
      <c r="G950" s="5"/>
      <c r="H950" s="5"/>
      <c r="I950" s="5"/>
      <c r="J950" s="5"/>
      <c r="K950" s="5"/>
      <c r="L950" s="18">
        <f ca="1">IFERROR(__xludf.DUMMYFUNCTION("""COMPUTED_VALUE"""),45325)</f>
        <v>45325</v>
      </c>
      <c r="M950" s="18">
        <f ca="1">IFERROR(__xludf.DUMMYFUNCTION("""COMPUTED_VALUE"""),45325)</f>
        <v>45325</v>
      </c>
      <c r="N950" s="5" t="str">
        <f ca="1">IFERROR(__xludf.DUMMYFUNCTION("""COMPUTED_VALUE"""),"Jhonnys Arturo Fernández Suarez")</f>
        <v>Jhonnys Arturo Fernández Suarez</v>
      </c>
      <c r="O950" s="2">
        <f ca="1">IFERROR(__xludf.DUMMYFUNCTION("""COMPUTED_VALUE"""),0.01)</f>
        <v>0.01</v>
      </c>
      <c r="P950" s="5"/>
      <c r="Q950" s="5" t="str">
        <f ca="1">IFERROR(__xludf.DUMMYFUNCTION("""COMPUTED_VALUE"""),"_qa8slJoudQ")</f>
        <v>_qa8slJoudQ</v>
      </c>
      <c r="R950" s="5">
        <f ca="1">IFERROR(__xludf.DUMMYFUNCTION("""COMPUTED_VALUE"""),410)</f>
        <v>410</v>
      </c>
      <c r="S950" s="62">
        <f ca="1">IFERROR(__xludf.DUMMYFUNCTION("""COMPUTED_VALUE"""),0.01)</f>
        <v>0.01</v>
      </c>
      <c r="T950" s="63" t="str">
        <f ca="1">IFERROR(__xludf.DUMMYFUNCTION("""COMPUTED_VALUE"""),"https://storage.googleapis.com/glide-prod.appspot.com/uploads-v2/ly7o78grxPaC6KdgvbpS/pub/UliJWgpEaBovaFmXi6OW.png")</f>
        <v>https://storage.googleapis.com/glide-prod.appspot.com/uploads-v2/ly7o78grxPaC6KdgvbpS/pub/UliJWgpEaBovaFmXi6OW.png</v>
      </c>
      <c r="U950" s="5" t="str">
        <f ca="1">IFERROR(__xludf.DUMMYFUNCTION("""COMPUTED_VALUE"""),"LINEA DE ENVASADO JUGOS PET HOT FILLPASTEURIZADOR")</f>
        <v>LINEA DE ENVASADO JUGOS PET HOT FILLPASTEURIZADOR</v>
      </c>
      <c r="V950" s="5"/>
      <c r="W950" s="5"/>
      <c r="X950" s="5" t="str">
        <f ca="1">IFERROR(__xludf.DUMMYFUNCTION("""COMPUTED_VALUE"""),"achavezi@postobon.com.co,aprmttoyu@postobon.com.co,aprmyu@postobon.com.co,wmora@postobon.com.co,efzapata@postobon.com.co")</f>
        <v>achavezi@postobon.com.co,aprmttoyu@postobon.com.co,aprmyu@postobon.com.co,wmora@postobon.com.co,efzapata@postobon.com.co</v>
      </c>
      <c r="Y950" s="5" t="str">
        <f ca="1">IFERROR(__xludf.DUMMYFUNCTION("""COMPUTED_VALUE"""),"achavezi@postobon.com.co")</f>
        <v>achavezi@postobon.com.co</v>
      </c>
      <c r="Z950" s="5" t="str">
        <f ca="1">IFERROR(__xludf.DUMMYFUNCTION("""COMPUTED_VALUE"""),"Sd.EJrg-RD-ST7j6zuPs.g")</f>
        <v>Sd.EJrg-RD-ST7j6zuPs.g</v>
      </c>
      <c r="AA950" s="5"/>
      <c r="AB950" s="5"/>
      <c r="AC950" s="5"/>
      <c r="AD950" s="5">
        <f ca="1">IFERROR(__xludf.DUMMYFUNCTION("""COMPUTED_VALUE"""),27)</f>
        <v>27</v>
      </c>
      <c r="AE950" s="5">
        <f ca="1">IFERROR(__xludf.DUMMYFUNCTION("""COMPUTED_VALUE"""),5)</f>
        <v>5</v>
      </c>
      <c r="AF950" s="5" t="b">
        <f ca="1">IFERROR(__xludf.DUMMYFUNCTION("""COMPUTED_VALUE"""),TRUE)</f>
        <v>1</v>
      </c>
      <c r="AG950" s="5" t="str">
        <f ca="1">IFERROR(__xludf.DUMMYFUNCTION("""COMPUTED_VALUE"""),"INSPECCIONES SIN REALIZAR")</f>
        <v>INSPECCIONES SIN REALIZAR</v>
      </c>
      <c r="AH950" s="5"/>
    </row>
    <row r="951" spans="1:34">
      <c r="A951" s="5" t="str">
        <f ca="1">IFERROR(__xludf.DUMMYFUNCTION("""COMPUTED_VALUE"""),"EQUIPOS PARA SERVICIOS INDUSTRIALES")</f>
        <v>EQUIPOS PARA SERVICIOS INDUSTRIALES</v>
      </c>
      <c r="B951" s="5">
        <f ca="1">IFERROR(__xludf.DUMMYFUNCTION("""COMPUTED_VALUE"""),679377)</f>
        <v>679377</v>
      </c>
      <c r="C951" s="5" t="str">
        <f ca="1">IFERROR(__xludf.DUMMYFUNCTION("""COMPUTED_VALUE"""),"PLANTA ELECTRICA Nº 3")</f>
        <v>PLANTA ELECTRICA Nº 3</v>
      </c>
      <c r="D951" s="5">
        <f ca="1">IFERROR(__xludf.DUMMYFUNCTION("""COMPUTED_VALUE"""),13247555)</f>
        <v>13247555</v>
      </c>
      <c r="E951" s="5" t="str">
        <f ca="1">IFERROR(__xludf.DUMMYFUNCTION("""COMPUTED_VALUE"""),"INSPECCION SEMANAL PLANTA ELECTRICA")</f>
        <v>INSPECCION SEMANAL PLANTA ELECTRICA</v>
      </c>
      <c r="F951" s="5" t="str">
        <f ca="1">IFERROR(__xludf.DUMMYFUNCTION("""COMPUTED_VALUE"""),"INSP FILTRO TRAMPA")</f>
        <v>INSP FILTRO TRAMPA</v>
      </c>
      <c r="G951" s="5" t="b">
        <f ca="1">IFERROR(__xludf.DUMMYFUNCTION("""COMPUTED_VALUE"""),TRUE)</f>
        <v>1</v>
      </c>
      <c r="H951" s="5"/>
      <c r="I951" s="5"/>
      <c r="J951" s="5">
        <f ca="1">IFERROR(__xludf.DUMMYFUNCTION("""COMPUTED_VALUE"""),13247555)</f>
        <v>13247555</v>
      </c>
      <c r="K951" s="5"/>
      <c r="L951" s="18">
        <f ca="1">IFERROR(__xludf.DUMMYFUNCTION("""COMPUTED_VALUE"""),45325)</f>
        <v>45325</v>
      </c>
      <c r="M951" s="18">
        <f ca="1">IFERROR(__xludf.DUMMYFUNCTION("""COMPUTED_VALUE"""),45325)</f>
        <v>45325</v>
      </c>
      <c r="N951" s="5" t="str">
        <f ca="1">IFERROR(__xludf.DUMMYFUNCTION("""COMPUTED_VALUE"""),"JEFFERSON BRAVO PIEDRAHITA")</f>
        <v>JEFFERSON BRAVO PIEDRAHITA</v>
      </c>
      <c r="O951" s="2">
        <f ca="1">IFERROR(__xludf.DUMMYFUNCTION("""COMPUTED_VALUE"""),0.005263158)</f>
        <v>5.2631580000000004E-3</v>
      </c>
      <c r="P951" s="5">
        <f ca="1">IFERROR(__xludf.DUMMYFUNCTION("""COMPUTED_VALUE"""),1130593135)</f>
        <v>1130593135</v>
      </c>
      <c r="Q951" s="5" t="str">
        <f ca="1">IFERROR(__xludf.DUMMYFUNCTION("""COMPUTED_VALUE"""),"rqFNgG7YBL8")</f>
        <v>rqFNgG7YBL8</v>
      </c>
      <c r="R951" s="5">
        <f ca="1">IFERROR(__xludf.DUMMYFUNCTION("""COMPUTED_VALUE"""),410)</f>
        <v>410</v>
      </c>
      <c r="S951" s="62">
        <f ca="1">IFERROR(__xludf.DUMMYFUNCTION("""COMPUTED_VALUE"""),0.005263158)</f>
        <v>5.2631580000000004E-3</v>
      </c>
      <c r="T951" s="63" t="str">
        <f ca="1">IFERROR(__xludf.DUMMYFUNCTION("""COMPUTED_VALUE"""),"https://storage.googleapis.com/glide-prod.appspot.com/uploads-v2/ly7o78grxPaC6KdgvbpS/pub/3aRdSog0vUtuqPE8AJKD.png")</f>
        <v>https://storage.googleapis.com/glide-prod.appspot.com/uploads-v2/ly7o78grxPaC6KdgvbpS/pub/3aRdSog0vUtuqPE8AJKD.png</v>
      </c>
      <c r="U951" s="5" t="str">
        <f ca="1">IFERROR(__xludf.DUMMYFUNCTION("""COMPUTED_VALUE"""),"EQUIPOS PARA SERVICIOS INDUSTRIALESPLANTA ELECTRICA Nº 3")</f>
        <v>EQUIPOS PARA SERVICIOS INDUSTRIALESPLANTA ELECTRICA Nº 3</v>
      </c>
      <c r="V951" s="5"/>
      <c r="W951" s="5" t="b">
        <f ca="1">IFERROR(__xludf.DUMMYFUNCTION("""COMPUTED_VALUE"""),TRUE)</f>
        <v>1</v>
      </c>
      <c r="X951" s="5" t="str">
        <f ca="1">IFERROR(__xludf.DUMMYFUNCTION("""COMPUTED_VALUE"""),"wmazorra@postobon.com.co,aprmttoyu@postobon.com.co,aprmyu@postobon.com.co,wmora@postobon.com.co,efzapata@postobon.com.co")</f>
        <v>wmazorra@postobon.com.co,aprmttoyu@postobon.com.co,aprmyu@postobon.com.co,wmora@postobon.com.co,efzapata@postobon.com.co</v>
      </c>
      <c r="Y951" s="5" t="str">
        <f ca="1">IFERROR(__xludf.DUMMYFUNCTION("""COMPUTED_VALUE"""),"wmazorra@postobon.com.co")</f>
        <v>wmazorra@postobon.com.co</v>
      </c>
      <c r="Z951" s="5" t="str">
        <f ca="1">IFERROR(__xludf.DUMMYFUNCTION("""COMPUTED_VALUE"""),"IPIa.bZtT-COt9Pf-lp3VA")</f>
        <v>IPIa.bZtT-COt9Pf-lp3VA</v>
      </c>
      <c r="AA951" s="5"/>
      <c r="AB951" s="5"/>
      <c r="AC951" s="5"/>
      <c r="AD951" s="5">
        <f ca="1">IFERROR(__xludf.DUMMYFUNCTION("""COMPUTED_VALUE"""),57)</f>
        <v>57</v>
      </c>
      <c r="AE951" s="5">
        <f ca="1">IFERROR(__xludf.DUMMYFUNCTION("""COMPUTED_VALUE"""),57)</f>
        <v>57</v>
      </c>
      <c r="AF951" s="5" t="b">
        <f ca="1">IFERROR(__xludf.DUMMYFUNCTION("""COMPUTED_VALUE"""),FALSE)</f>
        <v>0</v>
      </c>
      <c r="AG951" s="5" t="str">
        <f ca="1">IFERROR(__xludf.DUMMYFUNCTION("""COMPUTED_VALUE"""),"INSPECCIONES REALIZADAS")</f>
        <v>INSPECCIONES REALIZADAS</v>
      </c>
      <c r="AH951" s="5"/>
    </row>
    <row r="952" spans="1:34">
      <c r="A952" s="5" t="str">
        <f ca="1">IFERROR(__xludf.DUMMYFUNCTION("""COMPUTED_VALUE"""),"EQUIPOS PARA SERVICIOS INDUSTRIALES")</f>
        <v>EQUIPOS PARA SERVICIOS INDUSTRIALES</v>
      </c>
      <c r="B952" s="5">
        <f ca="1">IFERROR(__xludf.DUMMYFUNCTION("""COMPUTED_VALUE"""),679377)</f>
        <v>679377</v>
      </c>
      <c r="C952" s="5" t="str">
        <f ca="1">IFERROR(__xludf.DUMMYFUNCTION("""COMPUTED_VALUE"""),"PLANTA ELECTRICA Nº 3")</f>
        <v>PLANTA ELECTRICA Nº 3</v>
      </c>
      <c r="D952" s="5">
        <f ca="1">IFERROR(__xludf.DUMMYFUNCTION("""COMPUTED_VALUE"""),13247555)</f>
        <v>13247555</v>
      </c>
      <c r="E952" s="5" t="str">
        <f ca="1">IFERROR(__xludf.DUMMYFUNCTION("""COMPUTED_VALUE"""),"INSPECCION SEMANAL PLANTA ELECTRICA")</f>
        <v>INSPECCION SEMANAL PLANTA ELECTRICA</v>
      </c>
      <c r="F952" s="5" t="str">
        <f ca="1">IFERROR(__xludf.DUMMYFUNCTION("""COMPUTED_VALUE"""),"INSP NIVEL ACEITE MOTOR")</f>
        <v>INSP NIVEL ACEITE MOTOR</v>
      </c>
      <c r="G952" s="5" t="b">
        <f ca="1">IFERROR(__xludf.DUMMYFUNCTION("""COMPUTED_VALUE"""),TRUE)</f>
        <v>1</v>
      </c>
      <c r="H952" s="5"/>
      <c r="I952" s="5"/>
      <c r="J952" s="5">
        <f ca="1">IFERROR(__xludf.DUMMYFUNCTION("""COMPUTED_VALUE"""),13247555)</f>
        <v>13247555</v>
      </c>
      <c r="K952" s="5"/>
      <c r="L952" s="18">
        <f ca="1">IFERROR(__xludf.DUMMYFUNCTION("""COMPUTED_VALUE"""),45325)</f>
        <v>45325</v>
      </c>
      <c r="M952" s="18">
        <f ca="1">IFERROR(__xludf.DUMMYFUNCTION("""COMPUTED_VALUE"""),45325)</f>
        <v>45325</v>
      </c>
      <c r="N952" s="5" t="str">
        <f ca="1">IFERROR(__xludf.DUMMYFUNCTION("""COMPUTED_VALUE"""),"JEFFERSON BRAVO PIEDRAHITA")</f>
        <v>JEFFERSON BRAVO PIEDRAHITA</v>
      </c>
      <c r="O952" s="2">
        <f ca="1">IFERROR(__xludf.DUMMYFUNCTION("""COMPUTED_VALUE"""),0.005263158)</f>
        <v>5.2631580000000004E-3</v>
      </c>
      <c r="P952" s="5">
        <f ca="1">IFERROR(__xludf.DUMMYFUNCTION("""COMPUTED_VALUE"""),1130593135)</f>
        <v>1130593135</v>
      </c>
      <c r="Q952" s="5" t="str">
        <f ca="1">IFERROR(__xludf.DUMMYFUNCTION("""COMPUTED_VALUE"""),"_y-78fM9-xk")</f>
        <v>_y-78fM9-xk</v>
      </c>
      <c r="R952" s="5">
        <f ca="1">IFERROR(__xludf.DUMMYFUNCTION("""COMPUTED_VALUE"""),410)</f>
        <v>410</v>
      </c>
      <c r="S952" s="62">
        <f ca="1">IFERROR(__xludf.DUMMYFUNCTION("""COMPUTED_VALUE"""),0.005263158)</f>
        <v>5.2631580000000004E-3</v>
      </c>
      <c r="T952" s="63" t="str">
        <f ca="1">IFERROR(__xludf.DUMMYFUNCTION("""COMPUTED_VALUE"""),"https://storage.googleapis.com/glide-prod.appspot.com/uploads-v2/ly7o78grxPaC6KdgvbpS/pub/3aRdSog0vUtuqPE8AJKD.png")</f>
        <v>https://storage.googleapis.com/glide-prod.appspot.com/uploads-v2/ly7o78grxPaC6KdgvbpS/pub/3aRdSog0vUtuqPE8AJKD.png</v>
      </c>
      <c r="U952" s="5" t="str">
        <f ca="1">IFERROR(__xludf.DUMMYFUNCTION("""COMPUTED_VALUE"""),"EQUIPOS PARA SERVICIOS INDUSTRIALESPLANTA ELECTRICA Nº 3")</f>
        <v>EQUIPOS PARA SERVICIOS INDUSTRIALESPLANTA ELECTRICA Nº 3</v>
      </c>
      <c r="V952" s="5"/>
      <c r="W952" s="5" t="b">
        <f ca="1">IFERROR(__xludf.DUMMYFUNCTION("""COMPUTED_VALUE"""),TRUE)</f>
        <v>1</v>
      </c>
      <c r="X952" s="5" t="str">
        <f ca="1">IFERROR(__xludf.DUMMYFUNCTION("""COMPUTED_VALUE"""),"wmazorra@postobon.com.co,aprmttoyu@postobon.com.co,aprmyu@postobon.com.co,wmora@postobon.com.co,efzapata@postobon.com.co")</f>
        <v>wmazorra@postobon.com.co,aprmttoyu@postobon.com.co,aprmyu@postobon.com.co,wmora@postobon.com.co,efzapata@postobon.com.co</v>
      </c>
      <c r="Y952" s="5" t="str">
        <f ca="1">IFERROR(__xludf.DUMMYFUNCTION("""COMPUTED_VALUE"""),"wmazorra@postobon.com.co")</f>
        <v>wmazorra@postobon.com.co</v>
      </c>
      <c r="Z952" s="5" t="str">
        <f ca="1">IFERROR(__xludf.DUMMYFUNCTION("""COMPUTED_VALUE"""),"Zh2r7k7HT-u9YqV8tLsp9Q")</f>
        <v>Zh2r7k7HT-u9YqV8tLsp9Q</v>
      </c>
      <c r="AA952" s="5"/>
      <c r="AB952" s="5"/>
      <c r="AC952" s="5"/>
      <c r="AD952" s="5">
        <f ca="1">IFERROR(__xludf.DUMMYFUNCTION("""COMPUTED_VALUE"""),57)</f>
        <v>57</v>
      </c>
      <c r="AE952" s="5">
        <f ca="1">IFERROR(__xludf.DUMMYFUNCTION("""COMPUTED_VALUE"""),57)</f>
        <v>57</v>
      </c>
      <c r="AF952" s="5" t="b">
        <f ca="1">IFERROR(__xludf.DUMMYFUNCTION("""COMPUTED_VALUE"""),FALSE)</f>
        <v>0</v>
      </c>
      <c r="AG952" s="5" t="str">
        <f ca="1">IFERROR(__xludf.DUMMYFUNCTION("""COMPUTED_VALUE"""),"INSPECCIONES REALIZADAS")</f>
        <v>INSPECCIONES REALIZADAS</v>
      </c>
      <c r="AH952" s="5"/>
    </row>
    <row r="953" spans="1:34">
      <c r="A953" s="5" t="str">
        <f ca="1">IFERROR(__xludf.DUMMYFUNCTION("""COMPUTED_VALUE"""),"EQUIPOS PARA SERVICIOS INDUSTRIALES")</f>
        <v>EQUIPOS PARA SERVICIOS INDUSTRIALES</v>
      </c>
      <c r="B953" s="5">
        <f ca="1">IFERROR(__xludf.DUMMYFUNCTION("""COMPUTED_VALUE"""),679377)</f>
        <v>679377</v>
      </c>
      <c r="C953" s="5" t="str">
        <f ca="1">IFERROR(__xludf.DUMMYFUNCTION("""COMPUTED_VALUE"""),"PLANTA ELECTRICA Nº 3")</f>
        <v>PLANTA ELECTRICA Nº 3</v>
      </c>
      <c r="D953" s="5">
        <f ca="1">IFERROR(__xludf.DUMMYFUNCTION("""COMPUTED_VALUE"""),13247555)</f>
        <v>13247555</v>
      </c>
      <c r="E953" s="5" t="str">
        <f ca="1">IFERROR(__xludf.DUMMYFUNCTION("""COMPUTED_VALUE"""),"INSPECCION SEMANAL PLANTA ELECTRICA")</f>
        <v>INSPECCION SEMANAL PLANTA ELECTRICA</v>
      </c>
      <c r="F953" s="5" t="str">
        <f ca="1">IFERROR(__xludf.DUMMYFUNCTION("""COMPUTED_VALUE"""),"INSP. NIVEL REFRIGERANTE")</f>
        <v>INSP. NIVEL REFRIGERANTE</v>
      </c>
      <c r="G953" s="5" t="b">
        <f ca="1">IFERROR(__xludf.DUMMYFUNCTION("""COMPUTED_VALUE"""),TRUE)</f>
        <v>1</v>
      </c>
      <c r="H953" s="5"/>
      <c r="I953" s="5"/>
      <c r="J953" s="5">
        <f ca="1">IFERROR(__xludf.DUMMYFUNCTION("""COMPUTED_VALUE"""),13247555)</f>
        <v>13247555</v>
      </c>
      <c r="K953" s="5"/>
      <c r="L953" s="18">
        <f ca="1">IFERROR(__xludf.DUMMYFUNCTION("""COMPUTED_VALUE"""),45325)</f>
        <v>45325</v>
      </c>
      <c r="M953" s="18">
        <f ca="1">IFERROR(__xludf.DUMMYFUNCTION("""COMPUTED_VALUE"""),45325)</f>
        <v>45325</v>
      </c>
      <c r="N953" s="5" t="str">
        <f ca="1">IFERROR(__xludf.DUMMYFUNCTION("""COMPUTED_VALUE"""),"JEFFERSON BRAVO PIEDRAHITA")</f>
        <v>JEFFERSON BRAVO PIEDRAHITA</v>
      </c>
      <c r="O953" s="2">
        <f ca="1">IFERROR(__xludf.DUMMYFUNCTION("""COMPUTED_VALUE"""),0.005263158)</f>
        <v>5.2631580000000004E-3</v>
      </c>
      <c r="P953" s="5">
        <f ca="1">IFERROR(__xludf.DUMMYFUNCTION("""COMPUTED_VALUE"""),1130593135)</f>
        <v>1130593135</v>
      </c>
      <c r="Q953" s="5" t="str">
        <f ca="1">IFERROR(__xludf.DUMMYFUNCTION("""COMPUTED_VALUE"""),"uVGe7Gh1v0E")</f>
        <v>uVGe7Gh1v0E</v>
      </c>
      <c r="R953" s="5">
        <f ca="1">IFERROR(__xludf.DUMMYFUNCTION("""COMPUTED_VALUE"""),410)</f>
        <v>410</v>
      </c>
      <c r="S953" s="62">
        <f ca="1">IFERROR(__xludf.DUMMYFUNCTION("""COMPUTED_VALUE"""),0.005263158)</f>
        <v>5.2631580000000004E-3</v>
      </c>
      <c r="T953" s="63" t="str">
        <f ca="1">IFERROR(__xludf.DUMMYFUNCTION("""COMPUTED_VALUE"""),"https://storage.googleapis.com/glide-prod.appspot.com/uploads-v2/ly7o78grxPaC6KdgvbpS/pub/3aRdSog0vUtuqPE8AJKD.png")</f>
        <v>https://storage.googleapis.com/glide-prod.appspot.com/uploads-v2/ly7o78grxPaC6KdgvbpS/pub/3aRdSog0vUtuqPE8AJKD.png</v>
      </c>
      <c r="U953" s="5" t="str">
        <f ca="1">IFERROR(__xludf.DUMMYFUNCTION("""COMPUTED_VALUE"""),"EQUIPOS PARA SERVICIOS INDUSTRIALESPLANTA ELECTRICA Nº 3")</f>
        <v>EQUIPOS PARA SERVICIOS INDUSTRIALESPLANTA ELECTRICA Nº 3</v>
      </c>
      <c r="V953" s="5"/>
      <c r="W953" s="5" t="b">
        <f ca="1">IFERROR(__xludf.DUMMYFUNCTION("""COMPUTED_VALUE"""),TRUE)</f>
        <v>1</v>
      </c>
      <c r="X953" s="5" t="str">
        <f ca="1">IFERROR(__xludf.DUMMYFUNCTION("""COMPUTED_VALUE"""),"wmazorra@postobon.com.co,aprmttoyu@postobon.com.co,aprmyu@postobon.com.co,wmora@postobon.com.co,efzapata@postobon.com.co")</f>
        <v>wmazorra@postobon.com.co,aprmttoyu@postobon.com.co,aprmyu@postobon.com.co,wmora@postobon.com.co,efzapata@postobon.com.co</v>
      </c>
      <c r="Y953" s="5" t="str">
        <f ca="1">IFERROR(__xludf.DUMMYFUNCTION("""COMPUTED_VALUE"""),"wmazorra@postobon.com.co")</f>
        <v>wmazorra@postobon.com.co</v>
      </c>
      <c r="Z953" s="5" t="str">
        <f ca="1">IFERROR(__xludf.DUMMYFUNCTION("""COMPUTED_VALUE"""),"qMa-a5AlTE2vKegdRHKo1Q")</f>
        <v>qMa-a5AlTE2vKegdRHKo1Q</v>
      </c>
      <c r="AA953" s="5"/>
      <c r="AB953" s="5"/>
      <c r="AC953" s="5"/>
      <c r="AD953" s="5">
        <f ca="1">IFERROR(__xludf.DUMMYFUNCTION("""COMPUTED_VALUE"""),57)</f>
        <v>57</v>
      </c>
      <c r="AE953" s="5">
        <f ca="1">IFERROR(__xludf.DUMMYFUNCTION("""COMPUTED_VALUE"""),57)</f>
        <v>57</v>
      </c>
      <c r="AF953" s="5" t="b">
        <f ca="1">IFERROR(__xludf.DUMMYFUNCTION("""COMPUTED_VALUE"""),FALSE)</f>
        <v>0</v>
      </c>
      <c r="AG953" s="5" t="str">
        <f ca="1">IFERROR(__xludf.DUMMYFUNCTION("""COMPUTED_VALUE"""),"INSPECCIONES REALIZADAS")</f>
        <v>INSPECCIONES REALIZADAS</v>
      </c>
      <c r="AH953" s="5"/>
    </row>
    <row r="954" spans="1:34">
      <c r="A954" s="5" t="str">
        <f ca="1">IFERROR(__xludf.DUMMYFUNCTION("""COMPUTED_VALUE"""),"EQUIPOS PARA SERVICIOS INDUSTRIALES")</f>
        <v>EQUIPOS PARA SERVICIOS INDUSTRIALES</v>
      </c>
      <c r="B954" s="5">
        <f ca="1">IFERROR(__xludf.DUMMYFUNCTION("""COMPUTED_VALUE"""),679377)</f>
        <v>679377</v>
      </c>
      <c r="C954" s="5" t="str">
        <f ca="1">IFERROR(__xludf.DUMMYFUNCTION("""COMPUTED_VALUE"""),"PLANTA ELECTRICA Nº 3")</f>
        <v>PLANTA ELECTRICA Nº 3</v>
      </c>
      <c r="D954" s="5">
        <f ca="1">IFERROR(__xludf.DUMMYFUNCTION("""COMPUTED_VALUE"""),13247555)</f>
        <v>13247555</v>
      </c>
      <c r="E954" s="5" t="str">
        <f ca="1">IFERROR(__xludf.DUMMYFUNCTION("""COMPUTED_VALUE"""),"INSPECCION SEMANAL PLANTA ELECTRICA")</f>
        <v>INSPECCION SEMANAL PLANTA ELECTRICA</v>
      </c>
      <c r="F954" s="5" t="str">
        <f ca="1">IFERROR(__xludf.DUMMYFUNCTION("""COMPUTED_VALUE"""),"INSP NIVEL COMBUSTIBLE")</f>
        <v>INSP NIVEL COMBUSTIBLE</v>
      </c>
      <c r="G954" s="5" t="b">
        <f ca="1">IFERROR(__xludf.DUMMYFUNCTION("""COMPUTED_VALUE"""),TRUE)</f>
        <v>1</v>
      </c>
      <c r="H954" s="5"/>
      <c r="I954" s="5"/>
      <c r="J954" s="5">
        <f ca="1">IFERROR(__xludf.DUMMYFUNCTION("""COMPUTED_VALUE"""),13247555)</f>
        <v>13247555</v>
      </c>
      <c r="K954" s="5"/>
      <c r="L954" s="18">
        <f ca="1">IFERROR(__xludf.DUMMYFUNCTION("""COMPUTED_VALUE"""),45325)</f>
        <v>45325</v>
      </c>
      <c r="M954" s="18">
        <f ca="1">IFERROR(__xludf.DUMMYFUNCTION("""COMPUTED_VALUE"""),45325)</f>
        <v>45325</v>
      </c>
      <c r="N954" s="5" t="str">
        <f ca="1">IFERROR(__xludf.DUMMYFUNCTION("""COMPUTED_VALUE"""),"JEFFERSON BRAVO PIEDRAHITA")</f>
        <v>JEFFERSON BRAVO PIEDRAHITA</v>
      </c>
      <c r="O954" s="2">
        <f ca="1">IFERROR(__xludf.DUMMYFUNCTION("""COMPUTED_VALUE"""),0.005263158)</f>
        <v>5.2631580000000004E-3</v>
      </c>
      <c r="P954" s="5">
        <f ca="1">IFERROR(__xludf.DUMMYFUNCTION("""COMPUTED_VALUE"""),1130593135)</f>
        <v>1130593135</v>
      </c>
      <c r="Q954" s="5" t="str">
        <f ca="1">IFERROR(__xludf.DUMMYFUNCTION("""COMPUTED_VALUE"""),"RXcbZpq5-HE")</f>
        <v>RXcbZpq5-HE</v>
      </c>
      <c r="R954" s="5">
        <f ca="1">IFERROR(__xludf.DUMMYFUNCTION("""COMPUTED_VALUE"""),410)</f>
        <v>410</v>
      </c>
      <c r="S954" s="62">
        <f ca="1">IFERROR(__xludf.DUMMYFUNCTION("""COMPUTED_VALUE"""),0.005263158)</f>
        <v>5.2631580000000004E-3</v>
      </c>
      <c r="T954" s="63" t="str">
        <f ca="1">IFERROR(__xludf.DUMMYFUNCTION("""COMPUTED_VALUE"""),"https://storage.googleapis.com/glide-prod.appspot.com/uploads-v2/ly7o78grxPaC6KdgvbpS/pub/3aRdSog0vUtuqPE8AJKD.png")</f>
        <v>https://storage.googleapis.com/glide-prod.appspot.com/uploads-v2/ly7o78grxPaC6KdgvbpS/pub/3aRdSog0vUtuqPE8AJKD.png</v>
      </c>
      <c r="U954" s="5" t="str">
        <f ca="1">IFERROR(__xludf.DUMMYFUNCTION("""COMPUTED_VALUE"""),"EQUIPOS PARA SERVICIOS INDUSTRIALESPLANTA ELECTRICA Nº 3")</f>
        <v>EQUIPOS PARA SERVICIOS INDUSTRIALESPLANTA ELECTRICA Nº 3</v>
      </c>
      <c r="V954" s="5"/>
      <c r="W954" s="5" t="b">
        <f ca="1">IFERROR(__xludf.DUMMYFUNCTION("""COMPUTED_VALUE"""),TRUE)</f>
        <v>1</v>
      </c>
      <c r="X954" s="5" t="str">
        <f ca="1">IFERROR(__xludf.DUMMYFUNCTION("""COMPUTED_VALUE"""),"wmazorra@postobon.com.co,aprmttoyu@postobon.com.co,aprmyu@postobon.com.co,wmora@postobon.com.co,efzapata@postobon.com.co")</f>
        <v>wmazorra@postobon.com.co,aprmttoyu@postobon.com.co,aprmyu@postobon.com.co,wmora@postobon.com.co,efzapata@postobon.com.co</v>
      </c>
      <c r="Y954" s="5" t="str">
        <f ca="1">IFERROR(__xludf.DUMMYFUNCTION("""COMPUTED_VALUE"""),"wmazorra@postobon.com.co")</f>
        <v>wmazorra@postobon.com.co</v>
      </c>
      <c r="Z954" s="5" t="str">
        <f ca="1">IFERROR(__xludf.DUMMYFUNCTION("""COMPUTED_VALUE"""),"k4gV59FnRYyZPYueC9GEGg")</f>
        <v>k4gV59FnRYyZPYueC9GEGg</v>
      </c>
      <c r="AA954" s="5"/>
      <c r="AB954" s="5"/>
      <c r="AC954" s="5"/>
      <c r="AD954" s="5">
        <f ca="1">IFERROR(__xludf.DUMMYFUNCTION("""COMPUTED_VALUE"""),57)</f>
        <v>57</v>
      </c>
      <c r="AE954" s="5">
        <f ca="1">IFERROR(__xludf.DUMMYFUNCTION("""COMPUTED_VALUE"""),57)</f>
        <v>57</v>
      </c>
      <c r="AF954" s="5" t="b">
        <f ca="1">IFERROR(__xludf.DUMMYFUNCTION("""COMPUTED_VALUE"""),FALSE)</f>
        <v>0</v>
      </c>
      <c r="AG954" s="5" t="str">
        <f ca="1">IFERROR(__xludf.DUMMYFUNCTION("""COMPUTED_VALUE"""),"INSPECCIONES REALIZADAS")</f>
        <v>INSPECCIONES REALIZADAS</v>
      </c>
      <c r="AH954" s="5"/>
    </row>
    <row r="955" spans="1:34">
      <c r="A955" s="5" t="str">
        <f ca="1">IFERROR(__xludf.DUMMYFUNCTION("""COMPUTED_VALUE"""),"EQUIPOS PARA SERVICIOS INDUSTRIALES")</f>
        <v>EQUIPOS PARA SERVICIOS INDUSTRIALES</v>
      </c>
      <c r="B955" s="5">
        <f ca="1">IFERROR(__xludf.DUMMYFUNCTION("""COMPUTED_VALUE"""),679377)</f>
        <v>679377</v>
      </c>
      <c r="C955" s="5" t="str">
        <f ca="1">IFERROR(__xludf.DUMMYFUNCTION("""COMPUTED_VALUE"""),"PLANTA ELECTRICA Nº 3")</f>
        <v>PLANTA ELECTRICA Nº 3</v>
      </c>
      <c r="D955" s="5">
        <f ca="1">IFERROR(__xludf.DUMMYFUNCTION("""COMPUTED_VALUE"""),13247555)</f>
        <v>13247555</v>
      </c>
      <c r="E955" s="5" t="str">
        <f ca="1">IFERROR(__xludf.DUMMYFUNCTION("""COMPUTED_VALUE"""),"INSPECCION SEMANAL PLANTA ELECTRICA")</f>
        <v>INSPECCION SEMANAL PLANTA ELECTRICA</v>
      </c>
      <c r="F955" s="5" t="str">
        <f ca="1">IFERROR(__xludf.DUMMYFUNCTION("""COMPUTED_VALUE"""),"INSP. FUSIBLES CONTROLES Y ALTERNADOR")</f>
        <v>INSP. FUSIBLES CONTROLES Y ALTERNADOR</v>
      </c>
      <c r="G955" s="5" t="b">
        <f ca="1">IFERROR(__xludf.DUMMYFUNCTION("""COMPUTED_VALUE"""),TRUE)</f>
        <v>1</v>
      </c>
      <c r="H955" s="5"/>
      <c r="I955" s="5"/>
      <c r="J955" s="5">
        <f ca="1">IFERROR(__xludf.DUMMYFUNCTION("""COMPUTED_VALUE"""),13247555)</f>
        <v>13247555</v>
      </c>
      <c r="K955" s="5"/>
      <c r="L955" s="18">
        <f ca="1">IFERROR(__xludf.DUMMYFUNCTION("""COMPUTED_VALUE"""),45325)</f>
        <v>45325</v>
      </c>
      <c r="M955" s="18">
        <f ca="1">IFERROR(__xludf.DUMMYFUNCTION("""COMPUTED_VALUE"""),45325)</f>
        <v>45325</v>
      </c>
      <c r="N955" s="5" t="str">
        <f ca="1">IFERROR(__xludf.DUMMYFUNCTION("""COMPUTED_VALUE"""),"JEFFERSON BRAVO PIEDRAHITA")</f>
        <v>JEFFERSON BRAVO PIEDRAHITA</v>
      </c>
      <c r="O955" s="2">
        <f ca="1">IFERROR(__xludf.DUMMYFUNCTION("""COMPUTED_VALUE"""),0.005263158)</f>
        <v>5.2631580000000004E-3</v>
      </c>
      <c r="P955" s="5">
        <f ca="1">IFERROR(__xludf.DUMMYFUNCTION("""COMPUTED_VALUE"""),1130593135)</f>
        <v>1130593135</v>
      </c>
      <c r="Q955" s="5" t="str">
        <f ca="1">IFERROR(__xludf.DUMMYFUNCTION("""COMPUTED_VALUE"""),"0bfvJAB2-_Y")</f>
        <v>0bfvJAB2-_Y</v>
      </c>
      <c r="R955" s="5">
        <f ca="1">IFERROR(__xludf.DUMMYFUNCTION("""COMPUTED_VALUE"""),410)</f>
        <v>410</v>
      </c>
      <c r="S955" s="62">
        <f ca="1">IFERROR(__xludf.DUMMYFUNCTION("""COMPUTED_VALUE"""),0.005263158)</f>
        <v>5.2631580000000004E-3</v>
      </c>
      <c r="T955" s="63" t="str">
        <f ca="1">IFERROR(__xludf.DUMMYFUNCTION("""COMPUTED_VALUE"""),"https://storage.googleapis.com/glide-prod.appspot.com/uploads-v2/ly7o78grxPaC6KdgvbpS/pub/3aRdSog0vUtuqPE8AJKD.png")</f>
        <v>https://storage.googleapis.com/glide-prod.appspot.com/uploads-v2/ly7o78grxPaC6KdgvbpS/pub/3aRdSog0vUtuqPE8AJKD.png</v>
      </c>
      <c r="U955" s="5" t="str">
        <f ca="1">IFERROR(__xludf.DUMMYFUNCTION("""COMPUTED_VALUE"""),"EQUIPOS PARA SERVICIOS INDUSTRIALESPLANTA ELECTRICA Nº 3")</f>
        <v>EQUIPOS PARA SERVICIOS INDUSTRIALESPLANTA ELECTRICA Nº 3</v>
      </c>
      <c r="V955" s="5"/>
      <c r="W955" s="5" t="b">
        <f ca="1">IFERROR(__xludf.DUMMYFUNCTION("""COMPUTED_VALUE"""),TRUE)</f>
        <v>1</v>
      </c>
      <c r="X955" s="5" t="str">
        <f ca="1">IFERROR(__xludf.DUMMYFUNCTION("""COMPUTED_VALUE"""),"wmazorra@postobon.com.co,aprmttoyu@postobon.com.co,aprmyu@postobon.com.co,wmora@postobon.com.co,efzapata@postobon.com.co")</f>
        <v>wmazorra@postobon.com.co,aprmttoyu@postobon.com.co,aprmyu@postobon.com.co,wmora@postobon.com.co,efzapata@postobon.com.co</v>
      </c>
      <c r="Y955" s="5" t="str">
        <f ca="1">IFERROR(__xludf.DUMMYFUNCTION("""COMPUTED_VALUE"""),"wmazorra@postobon.com.co")</f>
        <v>wmazorra@postobon.com.co</v>
      </c>
      <c r="Z955" s="5" t="str">
        <f ca="1">IFERROR(__xludf.DUMMYFUNCTION("""COMPUTED_VALUE"""),"ELY-pji1SD-q3CiDEVS9Rw")</f>
        <v>ELY-pji1SD-q3CiDEVS9Rw</v>
      </c>
      <c r="AA955" s="5"/>
      <c r="AB955" s="5"/>
      <c r="AC955" s="5"/>
      <c r="AD955" s="5">
        <f ca="1">IFERROR(__xludf.DUMMYFUNCTION("""COMPUTED_VALUE"""),57)</f>
        <v>57</v>
      </c>
      <c r="AE955" s="5">
        <f ca="1">IFERROR(__xludf.DUMMYFUNCTION("""COMPUTED_VALUE"""),57)</f>
        <v>57</v>
      </c>
      <c r="AF955" s="5" t="b">
        <f ca="1">IFERROR(__xludf.DUMMYFUNCTION("""COMPUTED_VALUE"""),FALSE)</f>
        <v>0</v>
      </c>
      <c r="AG955" s="5" t="str">
        <f ca="1">IFERROR(__xludf.DUMMYFUNCTION("""COMPUTED_VALUE"""),"INSPECCIONES REALIZADAS")</f>
        <v>INSPECCIONES REALIZADAS</v>
      </c>
      <c r="AH955" s="5"/>
    </row>
    <row r="956" spans="1:34">
      <c r="A956" s="5" t="str">
        <f ca="1">IFERROR(__xludf.DUMMYFUNCTION("""COMPUTED_VALUE"""),"EQUIPOS PARA SERVICIOS INDUSTRIALES")</f>
        <v>EQUIPOS PARA SERVICIOS INDUSTRIALES</v>
      </c>
      <c r="B956" s="5">
        <f ca="1">IFERROR(__xludf.DUMMYFUNCTION("""COMPUTED_VALUE"""),679377)</f>
        <v>679377</v>
      </c>
      <c r="C956" s="5" t="str">
        <f ca="1">IFERROR(__xludf.DUMMYFUNCTION("""COMPUTED_VALUE"""),"PLANTA ELECTRICA Nº 3")</f>
        <v>PLANTA ELECTRICA Nº 3</v>
      </c>
      <c r="D956" s="5">
        <f ca="1">IFERROR(__xludf.DUMMYFUNCTION("""COMPUTED_VALUE"""),13247555)</f>
        <v>13247555</v>
      </c>
      <c r="E956" s="5" t="str">
        <f ca="1">IFERROR(__xludf.DUMMYFUNCTION("""COMPUTED_VALUE"""),"INSPECCION SEMANAL PLANTA ELECTRICA")</f>
        <v>INSPECCION SEMANAL PLANTA ELECTRICA</v>
      </c>
      <c r="F956" s="5" t="str">
        <f ca="1">IFERROR(__xludf.DUMMYFUNCTION("""COMPUTED_VALUE"""),"INSP BATERIAS(ESTADO,CARGA)")</f>
        <v>INSP BATERIAS(ESTADO,CARGA)</v>
      </c>
      <c r="G956" s="5" t="b">
        <f ca="1">IFERROR(__xludf.DUMMYFUNCTION("""COMPUTED_VALUE"""),TRUE)</f>
        <v>1</v>
      </c>
      <c r="H956" s="5"/>
      <c r="I956" s="5"/>
      <c r="J956" s="5">
        <f ca="1">IFERROR(__xludf.DUMMYFUNCTION("""COMPUTED_VALUE"""),13247555)</f>
        <v>13247555</v>
      </c>
      <c r="K956" s="5"/>
      <c r="L956" s="18">
        <f ca="1">IFERROR(__xludf.DUMMYFUNCTION("""COMPUTED_VALUE"""),45325)</f>
        <v>45325</v>
      </c>
      <c r="M956" s="18">
        <f ca="1">IFERROR(__xludf.DUMMYFUNCTION("""COMPUTED_VALUE"""),45325)</f>
        <v>45325</v>
      </c>
      <c r="N956" s="5" t="str">
        <f ca="1">IFERROR(__xludf.DUMMYFUNCTION("""COMPUTED_VALUE"""),"JEFFERSON BRAVO PIEDRAHITA")</f>
        <v>JEFFERSON BRAVO PIEDRAHITA</v>
      </c>
      <c r="O956" s="2">
        <f ca="1">IFERROR(__xludf.DUMMYFUNCTION("""COMPUTED_VALUE"""),0.005263158)</f>
        <v>5.2631580000000004E-3</v>
      </c>
      <c r="P956" s="5">
        <f ca="1">IFERROR(__xludf.DUMMYFUNCTION("""COMPUTED_VALUE"""),1130593135)</f>
        <v>1130593135</v>
      </c>
      <c r="Q956" s="5" t="str">
        <f ca="1">IFERROR(__xludf.DUMMYFUNCTION("""COMPUTED_VALUE"""),"_xSg8jlzA34")</f>
        <v>_xSg8jlzA34</v>
      </c>
      <c r="R956" s="5">
        <f ca="1">IFERROR(__xludf.DUMMYFUNCTION("""COMPUTED_VALUE"""),410)</f>
        <v>410</v>
      </c>
      <c r="S956" s="62">
        <f ca="1">IFERROR(__xludf.DUMMYFUNCTION("""COMPUTED_VALUE"""),0.005263158)</f>
        <v>5.2631580000000004E-3</v>
      </c>
      <c r="T956" s="63" t="str">
        <f ca="1">IFERROR(__xludf.DUMMYFUNCTION("""COMPUTED_VALUE"""),"https://storage.googleapis.com/glide-prod.appspot.com/uploads-v2/ly7o78grxPaC6KdgvbpS/pub/3aRdSog0vUtuqPE8AJKD.png")</f>
        <v>https://storage.googleapis.com/glide-prod.appspot.com/uploads-v2/ly7o78grxPaC6KdgvbpS/pub/3aRdSog0vUtuqPE8AJKD.png</v>
      </c>
      <c r="U956" s="5" t="str">
        <f ca="1">IFERROR(__xludf.DUMMYFUNCTION("""COMPUTED_VALUE"""),"EQUIPOS PARA SERVICIOS INDUSTRIALESPLANTA ELECTRICA Nº 3")</f>
        <v>EQUIPOS PARA SERVICIOS INDUSTRIALESPLANTA ELECTRICA Nº 3</v>
      </c>
      <c r="V956" s="5"/>
      <c r="W956" s="5" t="b">
        <f ca="1">IFERROR(__xludf.DUMMYFUNCTION("""COMPUTED_VALUE"""),TRUE)</f>
        <v>1</v>
      </c>
      <c r="X956" s="5" t="str">
        <f ca="1">IFERROR(__xludf.DUMMYFUNCTION("""COMPUTED_VALUE"""),"wmazorra@postobon.com.co,aprmttoyu@postobon.com.co,aprmyu@postobon.com.co,wmora@postobon.com.co,efzapata@postobon.com.co")</f>
        <v>wmazorra@postobon.com.co,aprmttoyu@postobon.com.co,aprmyu@postobon.com.co,wmora@postobon.com.co,efzapata@postobon.com.co</v>
      </c>
      <c r="Y956" s="5" t="str">
        <f ca="1">IFERROR(__xludf.DUMMYFUNCTION("""COMPUTED_VALUE"""),"wmazorra@postobon.com.co")</f>
        <v>wmazorra@postobon.com.co</v>
      </c>
      <c r="Z956" s="5" t="str">
        <f ca="1">IFERROR(__xludf.DUMMYFUNCTION("""COMPUTED_VALUE"""),"dFNFDaXBQVOZdj1GWsrD4Q")</f>
        <v>dFNFDaXBQVOZdj1GWsrD4Q</v>
      </c>
      <c r="AA956" s="5"/>
      <c r="AB956" s="5"/>
      <c r="AC956" s="5"/>
      <c r="AD956" s="5">
        <f ca="1">IFERROR(__xludf.DUMMYFUNCTION("""COMPUTED_VALUE"""),57)</f>
        <v>57</v>
      </c>
      <c r="AE956" s="5">
        <f ca="1">IFERROR(__xludf.DUMMYFUNCTION("""COMPUTED_VALUE"""),57)</f>
        <v>57</v>
      </c>
      <c r="AF956" s="5" t="b">
        <f ca="1">IFERROR(__xludf.DUMMYFUNCTION("""COMPUTED_VALUE"""),FALSE)</f>
        <v>0</v>
      </c>
      <c r="AG956" s="5" t="str">
        <f ca="1">IFERROR(__xludf.DUMMYFUNCTION("""COMPUTED_VALUE"""),"INSPECCIONES REALIZADAS")</f>
        <v>INSPECCIONES REALIZADAS</v>
      </c>
      <c r="AH956" s="5" t="str">
        <f ca="1">IFERROR(__xludf.DUMMYFUNCTION("""COMPUTED_VALUE"""),"EN TRAMITE")</f>
        <v>EN TRAMITE</v>
      </c>
    </row>
    <row r="957" spans="1:34">
      <c r="A957" s="5" t="str">
        <f ca="1">IFERROR(__xludf.DUMMYFUNCTION("""COMPUTED_VALUE"""),"EQUIPOS PARA SERVICIOS INDUSTRIALES")</f>
        <v>EQUIPOS PARA SERVICIOS INDUSTRIALES</v>
      </c>
      <c r="B957" s="5">
        <f ca="1">IFERROR(__xludf.DUMMYFUNCTION("""COMPUTED_VALUE"""),679377)</f>
        <v>679377</v>
      </c>
      <c r="C957" s="5" t="str">
        <f ca="1">IFERROR(__xludf.DUMMYFUNCTION("""COMPUTED_VALUE"""),"PLANTA ELECTRICA Nº 3")</f>
        <v>PLANTA ELECTRICA Nº 3</v>
      </c>
      <c r="D957" s="5">
        <f ca="1">IFERROR(__xludf.DUMMYFUNCTION("""COMPUTED_VALUE"""),13247555)</f>
        <v>13247555</v>
      </c>
      <c r="E957" s="5" t="str">
        <f ca="1">IFERROR(__xludf.DUMMYFUNCTION("""COMPUTED_VALUE"""),"INSPECCION SEMANAL PLANTA ELECTRICA")</f>
        <v>INSPECCION SEMANAL PLANTA ELECTRICA</v>
      </c>
      <c r="F957" s="5" t="str">
        <f ca="1">IFERROR(__xludf.DUMMYFUNCTION("""COMPUTED_VALUE"""),"INSP FILTRO AIRE")</f>
        <v>INSP FILTRO AIRE</v>
      </c>
      <c r="G957" s="5" t="b">
        <f ca="1">IFERROR(__xludf.DUMMYFUNCTION("""COMPUTED_VALUE"""),TRUE)</f>
        <v>1</v>
      </c>
      <c r="H957" s="5"/>
      <c r="I957" s="5"/>
      <c r="J957" s="5">
        <f ca="1">IFERROR(__xludf.DUMMYFUNCTION("""COMPUTED_VALUE"""),13247555)</f>
        <v>13247555</v>
      </c>
      <c r="K957" s="5"/>
      <c r="L957" s="18">
        <f ca="1">IFERROR(__xludf.DUMMYFUNCTION("""COMPUTED_VALUE"""),45325)</f>
        <v>45325</v>
      </c>
      <c r="M957" s="18">
        <f ca="1">IFERROR(__xludf.DUMMYFUNCTION("""COMPUTED_VALUE"""),45325)</f>
        <v>45325</v>
      </c>
      <c r="N957" s="5" t="str">
        <f ca="1">IFERROR(__xludf.DUMMYFUNCTION("""COMPUTED_VALUE"""),"JEFFERSON BRAVO PIEDRAHITA")</f>
        <v>JEFFERSON BRAVO PIEDRAHITA</v>
      </c>
      <c r="O957" s="2">
        <f ca="1">IFERROR(__xludf.DUMMYFUNCTION("""COMPUTED_VALUE"""),0.005263158)</f>
        <v>5.2631580000000004E-3</v>
      </c>
      <c r="P957" s="5">
        <f ca="1">IFERROR(__xludf.DUMMYFUNCTION("""COMPUTED_VALUE"""),1130593135)</f>
        <v>1130593135</v>
      </c>
      <c r="Q957" s="5" t="str">
        <f ca="1">IFERROR(__xludf.DUMMYFUNCTION("""COMPUTED_VALUE"""),"5LBD7R4VkR0")</f>
        <v>5LBD7R4VkR0</v>
      </c>
      <c r="R957" s="5">
        <f ca="1">IFERROR(__xludf.DUMMYFUNCTION("""COMPUTED_VALUE"""),410)</f>
        <v>410</v>
      </c>
      <c r="S957" s="62">
        <f ca="1">IFERROR(__xludf.DUMMYFUNCTION("""COMPUTED_VALUE"""),0.005263158)</f>
        <v>5.2631580000000004E-3</v>
      </c>
      <c r="T957" s="63" t="str">
        <f ca="1">IFERROR(__xludf.DUMMYFUNCTION("""COMPUTED_VALUE"""),"https://storage.googleapis.com/glide-prod.appspot.com/uploads-v2/ly7o78grxPaC6KdgvbpS/pub/3aRdSog0vUtuqPE8AJKD.png")</f>
        <v>https://storage.googleapis.com/glide-prod.appspot.com/uploads-v2/ly7o78grxPaC6KdgvbpS/pub/3aRdSog0vUtuqPE8AJKD.png</v>
      </c>
      <c r="U957" s="5" t="str">
        <f ca="1">IFERROR(__xludf.DUMMYFUNCTION("""COMPUTED_VALUE"""),"EQUIPOS PARA SERVICIOS INDUSTRIALESPLANTA ELECTRICA Nº 3")</f>
        <v>EQUIPOS PARA SERVICIOS INDUSTRIALESPLANTA ELECTRICA Nº 3</v>
      </c>
      <c r="V957" s="5"/>
      <c r="W957" s="5" t="b">
        <f ca="1">IFERROR(__xludf.DUMMYFUNCTION("""COMPUTED_VALUE"""),TRUE)</f>
        <v>1</v>
      </c>
      <c r="X957" s="5" t="str">
        <f ca="1">IFERROR(__xludf.DUMMYFUNCTION("""COMPUTED_VALUE"""),"wmazorra@postobon.com.co,aprmttoyu@postobon.com.co,aprmyu@postobon.com.co,wmora@postobon.com.co,efzapata@postobon.com.co")</f>
        <v>wmazorra@postobon.com.co,aprmttoyu@postobon.com.co,aprmyu@postobon.com.co,wmora@postobon.com.co,efzapata@postobon.com.co</v>
      </c>
      <c r="Y957" s="5" t="str">
        <f ca="1">IFERROR(__xludf.DUMMYFUNCTION("""COMPUTED_VALUE"""),"wmazorra@postobon.com.co")</f>
        <v>wmazorra@postobon.com.co</v>
      </c>
      <c r="Z957" s="5" t="str">
        <f ca="1">IFERROR(__xludf.DUMMYFUNCTION("""COMPUTED_VALUE"""),"XC04zVq3TNeWWnkT6THVkg")</f>
        <v>XC04zVq3TNeWWnkT6THVkg</v>
      </c>
      <c r="AA957" s="5"/>
      <c r="AB957" s="5"/>
      <c r="AC957" s="5"/>
      <c r="AD957" s="5">
        <f ca="1">IFERROR(__xludf.DUMMYFUNCTION("""COMPUTED_VALUE"""),57)</f>
        <v>57</v>
      </c>
      <c r="AE957" s="5">
        <f ca="1">IFERROR(__xludf.DUMMYFUNCTION("""COMPUTED_VALUE"""),57)</f>
        <v>57</v>
      </c>
      <c r="AF957" s="5" t="b">
        <f ca="1">IFERROR(__xludf.DUMMYFUNCTION("""COMPUTED_VALUE"""),FALSE)</f>
        <v>0</v>
      </c>
      <c r="AG957" s="5" t="str">
        <f ca="1">IFERROR(__xludf.DUMMYFUNCTION("""COMPUTED_VALUE"""),"INSPECCIONES REALIZADAS")</f>
        <v>INSPECCIONES REALIZADAS</v>
      </c>
      <c r="AH957" s="5"/>
    </row>
    <row r="958" spans="1:34">
      <c r="A958" s="5" t="str">
        <f ca="1">IFERROR(__xludf.DUMMYFUNCTION("""COMPUTED_VALUE"""),"EQUIPOS PARA SERVICIOS INDUSTRIALES")</f>
        <v>EQUIPOS PARA SERVICIOS INDUSTRIALES</v>
      </c>
      <c r="B958" s="5">
        <f ca="1">IFERROR(__xludf.DUMMYFUNCTION("""COMPUTED_VALUE"""),679377)</f>
        <v>679377</v>
      </c>
      <c r="C958" s="5" t="str">
        <f ca="1">IFERROR(__xludf.DUMMYFUNCTION("""COMPUTED_VALUE"""),"PLANTA ELECTRICA Nº 3")</f>
        <v>PLANTA ELECTRICA Nº 3</v>
      </c>
      <c r="D958" s="5">
        <f ca="1">IFERROR(__xludf.DUMMYFUNCTION("""COMPUTED_VALUE"""),13247555)</f>
        <v>13247555</v>
      </c>
      <c r="E958" s="5" t="str">
        <f ca="1">IFERROR(__xludf.DUMMYFUNCTION("""COMPUTED_VALUE"""),"INSPECCION SEMANAL PLANTA ELECTRICA")</f>
        <v>INSPECCION SEMANAL PLANTA ELECTRICA</v>
      </c>
      <c r="F958" s="5" t="str">
        <f ca="1">IFERROR(__xludf.DUMMYFUNCTION("""COMPUTED_VALUE"""),"INSP LUGAR DESPEJADO (LIMPIO)")</f>
        <v>INSP LUGAR DESPEJADO (LIMPIO)</v>
      </c>
      <c r="G958" s="5" t="b">
        <f ca="1">IFERROR(__xludf.DUMMYFUNCTION("""COMPUTED_VALUE"""),TRUE)</f>
        <v>1</v>
      </c>
      <c r="H958" s="5"/>
      <c r="I958" s="5"/>
      <c r="J958" s="5">
        <f ca="1">IFERROR(__xludf.DUMMYFUNCTION("""COMPUTED_VALUE"""),13247555)</f>
        <v>13247555</v>
      </c>
      <c r="K958" s="5"/>
      <c r="L958" s="18">
        <f ca="1">IFERROR(__xludf.DUMMYFUNCTION("""COMPUTED_VALUE"""),45325)</f>
        <v>45325</v>
      </c>
      <c r="M958" s="18">
        <f ca="1">IFERROR(__xludf.DUMMYFUNCTION("""COMPUTED_VALUE"""),45325)</f>
        <v>45325</v>
      </c>
      <c r="N958" s="5" t="str">
        <f ca="1">IFERROR(__xludf.DUMMYFUNCTION("""COMPUTED_VALUE"""),"JEFFERSON BRAVO PIEDRAHITA")</f>
        <v>JEFFERSON BRAVO PIEDRAHITA</v>
      </c>
      <c r="O958" s="2">
        <f ca="1">IFERROR(__xludf.DUMMYFUNCTION("""COMPUTED_VALUE"""),0.005263158)</f>
        <v>5.2631580000000004E-3</v>
      </c>
      <c r="P958" s="5">
        <f ca="1">IFERROR(__xludf.DUMMYFUNCTION("""COMPUTED_VALUE"""),1130593135)</f>
        <v>1130593135</v>
      </c>
      <c r="Q958" s="5" t="str">
        <f ca="1">IFERROR(__xludf.DUMMYFUNCTION("""COMPUTED_VALUE"""),"ZbFhcOE7j7Q")</f>
        <v>ZbFhcOE7j7Q</v>
      </c>
      <c r="R958" s="5">
        <f ca="1">IFERROR(__xludf.DUMMYFUNCTION("""COMPUTED_VALUE"""),410)</f>
        <v>410</v>
      </c>
      <c r="S958" s="62">
        <f ca="1">IFERROR(__xludf.DUMMYFUNCTION("""COMPUTED_VALUE"""),0.005263158)</f>
        <v>5.2631580000000004E-3</v>
      </c>
      <c r="T958" s="63" t="str">
        <f ca="1">IFERROR(__xludf.DUMMYFUNCTION("""COMPUTED_VALUE"""),"https://storage.googleapis.com/glide-prod.appspot.com/uploads-v2/ly7o78grxPaC6KdgvbpS/pub/3aRdSog0vUtuqPE8AJKD.png")</f>
        <v>https://storage.googleapis.com/glide-prod.appspot.com/uploads-v2/ly7o78grxPaC6KdgvbpS/pub/3aRdSog0vUtuqPE8AJKD.png</v>
      </c>
      <c r="U958" s="5" t="str">
        <f ca="1">IFERROR(__xludf.DUMMYFUNCTION("""COMPUTED_VALUE"""),"EQUIPOS PARA SERVICIOS INDUSTRIALESPLANTA ELECTRICA Nº 3")</f>
        <v>EQUIPOS PARA SERVICIOS INDUSTRIALESPLANTA ELECTRICA Nº 3</v>
      </c>
      <c r="V958" s="5"/>
      <c r="W958" s="5" t="b">
        <f ca="1">IFERROR(__xludf.DUMMYFUNCTION("""COMPUTED_VALUE"""),TRUE)</f>
        <v>1</v>
      </c>
      <c r="X958" s="5" t="str">
        <f ca="1">IFERROR(__xludf.DUMMYFUNCTION("""COMPUTED_VALUE"""),"wmazorra@postobon.com.co,aprmttoyu@postobon.com.co,aprmyu@postobon.com.co,wmora@postobon.com.co,efzapata@postobon.com.co")</f>
        <v>wmazorra@postobon.com.co,aprmttoyu@postobon.com.co,aprmyu@postobon.com.co,wmora@postobon.com.co,efzapata@postobon.com.co</v>
      </c>
      <c r="Y958" s="5" t="str">
        <f ca="1">IFERROR(__xludf.DUMMYFUNCTION("""COMPUTED_VALUE"""),"wmazorra@postobon.com.co")</f>
        <v>wmazorra@postobon.com.co</v>
      </c>
      <c r="Z958" s="5" t="str">
        <f ca="1">IFERROR(__xludf.DUMMYFUNCTION("""COMPUTED_VALUE"""),"yXIx3rZfQqGsuuwXArnC5g")</f>
        <v>yXIx3rZfQqGsuuwXArnC5g</v>
      </c>
      <c r="AA958" s="5"/>
      <c r="AB958" s="5"/>
      <c r="AC958" s="5"/>
      <c r="AD958" s="5">
        <f ca="1">IFERROR(__xludf.DUMMYFUNCTION("""COMPUTED_VALUE"""),57)</f>
        <v>57</v>
      </c>
      <c r="AE958" s="5">
        <f ca="1">IFERROR(__xludf.DUMMYFUNCTION("""COMPUTED_VALUE"""),57)</f>
        <v>57</v>
      </c>
      <c r="AF958" s="5" t="b">
        <f ca="1">IFERROR(__xludf.DUMMYFUNCTION("""COMPUTED_VALUE"""),FALSE)</f>
        <v>0</v>
      </c>
      <c r="AG958" s="5" t="str">
        <f ca="1">IFERROR(__xludf.DUMMYFUNCTION("""COMPUTED_VALUE"""),"INSPECCIONES REALIZADAS")</f>
        <v>INSPECCIONES REALIZADAS</v>
      </c>
      <c r="AH958" s="5"/>
    </row>
    <row r="959" spans="1:34">
      <c r="A959" s="5" t="str">
        <f ca="1">IFERROR(__xludf.DUMMYFUNCTION("""COMPUTED_VALUE"""),"EQUIPOS PARA SERVICIOS INDUSTRIALES")</f>
        <v>EQUIPOS PARA SERVICIOS INDUSTRIALES</v>
      </c>
      <c r="B959" s="5">
        <f ca="1">IFERROR(__xludf.DUMMYFUNCTION("""COMPUTED_VALUE"""),679377)</f>
        <v>679377</v>
      </c>
      <c r="C959" s="5" t="str">
        <f ca="1">IFERROR(__xludf.DUMMYFUNCTION("""COMPUTED_VALUE"""),"PLANTA ELECTRICA Nº 3")</f>
        <v>PLANTA ELECTRICA Nº 3</v>
      </c>
      <c r="D959" s="5">
        <f ca="1">IFERROR(__xludf.DUMMYFUNCTION("""COMPUTED_VALUE"""),13247555)</f>
        <v>13247555</v>
      </c>
      <c r="E959" s="5" t="str">
        <f ca="1">IFERROR(__xludf.DUMMYFUNCTION("""COMPUTED_VALUE"""),"INSPECCION SEMANAL PLANTA ELECTRICA")</f>
        <v>INSPECCION SEMANAL PLANTA ELECTRICA</v>
      </c>
      <c r="F959" s="5" t="str">
        <f ca="1">IFERROR(__xludf.DUMMYFUNCTION("""COMPUTED_VALUE"""),"INSP RUIDOS EXTRAÑOS")</f>
        <v>INSP RUIDOS EXTRAÑOS</v>
      </c>
      <c r="G959" s="5" t="b">
        <f ca="1">IFERROR(__xludf.DUMMYFUNCTION("""COMPUTED_VALUE"""),TRUE)</f>
        <v>1</v>
      </c>
      <c r="H959" s="5"/>
      <c r="I959" s="5"/>
      <c r="J959" s="5">
        <f ca="1">IFERROR(__xludf.DUMMYFUNCTION("""COMPUTED_VALUE"""),13247555)</f>
        <v>13247555</v>
      </c>
      <c r="K959" s="5"/>
      <c r="L959" s="18">
        <f ca="1">IFERROR(__xludf.DUMMYFUNCTION("""COMPUTED_VALUE"""),45325)</f>
        <v>45325</v>
      </c>
      <c r="M959" s="18">
        <f ca="1">IFERROR(__xludf.DUMMYFUNCTION("""COMPUTED_VALUE"""),45325)</f>
        <v>45325</v>
      </c>
      <c r="N959" s="5" t="str">
        <f ca="1">IFERROR(__xludf.DUMMYFUNCTION("""COMPUTED_VALUE"""),"JEFFERSON BRAVO PIEDRAHITA")</f>
        <v>JEFFERSON BRAVO PIEDRAHITA</v>
      </c>
      <c r="O959" s="2">
        <f ca="1">IFERROR(__xludf.DUMMYFUNCTION("""COMPUTED_VALUE"""),0.005263158)</f>
        <v>5.2631580000000004E-3</v>
      </c>
      <c r="P959" s="5">
        <f ca="1">IFERROR(__xludf.DUMMYFUNCTION("""COMPUTED_VALUE"""),1130593135)</f>
        <v>1130593135</v>
      </c>
      <c r="Q959" s="5" t="str">
        <f ca="1">IFERROR(__xludf.DUMMYFUNCTION("""COMPUTED_VALUE"""),"e78jtgkcjKE")</f>
        <v>e78jtgkcjKE</v>
      </c>
      <c r="R959" s="5">
        <f ca="1">IFERROR(__xludf.DUMMYFUNCTION("""COMPUTED_VALUE"""),410)</f>
        <v>410</v>
      </c>
      <c r="S959" s="62">
        <f ca="1">IFERROR(__xludf.DUMMYFUNCTION("""COMPUTED_VALUE"""),0.005263158)</f>
        <v>5.2631580000000004E-3</v>
      </c>
      <c r="T959" s="63" t="str">
        <f ca="1">IFERROR(__xludf.DUMMYFUNCTION("""COMPUTED_VALUE"""),"https://storage.googleapis.com/glide-prod.appspot.com/uploads-v2/ly7o78grxPaC6KdgvbpS/pub/3aRdSog0vUtuqPE8AJKD.png")</f>
        <v>https://storage.googleapis.com/glide-prod.appspot.com/uploads-v2/ly7o78grxPaC6KdgvbpS/pub/3aRdSog0vUtuqPE8AJKD.png</v>
      </c>
      <c r="U959" s="5" t="str">
        <f ca="1">IFERROR(__xludf.DUMMYFUNCTION("""COMPUTED_VALUE"""),"EQUIPOS PARA SERVICIOS INDUSTRIALESPLANTA ELECTRICA Nº 3")</f>
        <v>EQUIPOS PARA SERVICIOS INDUSTRIALESPLANTA ELECTRICA Nº 3</v>
      </c>
      <c r="V959" s="5"/>
      <c r="W959" s="5" t="b">
        <f ca="1">IFERROR(__xludf.DUMMYFUNCTION("""COMPUTED_VALUE"""),TRUE)</f>
        <v>1</v>
      </c>
      <c r="X959" s="5" t="str">
        <f ca="1">IFERROR(__xludf.DUMMYFUNCTION("""COMPUTED_VALUE"""),"wmazorra@postobon.com.co,aprmttoyu@postobon.com.co,aprmyu@postobon.com.co,wmora@postobon.com.co,efzapata@postobon.com.co")</f>
        <v>wmazorra@postobon.com.co,aprmttoyu@postobon.com.co,aprmyu@postobon.com.co,wmora@postobon.com.co,efzapata@postobon.com.co</v>
      </c>
      <c r="Y959" s="5" t="str">
        <f ca="1">IFERROR(__xludf.DUMMYFUNCTION("""COMPUTED_VALUE"""),"wmazorra@postobon.com.co")</f>
        <v>wmazorra@postobon.com.co</v>
      </c>
      <c r="Z959" s="5" t="str">
        <f ca="1">IFERROR(__xludf.DUMMYFUNCTION("""COMPUTED_VALUE"""),"VAm5wbDzTqieCzTHIKwDCA")</f>
        <v>VAm5wbDzTqieCzTHIKwDCA</v>
      </c>
      <c r="AA959" s="5"/>
      <c r="AB959" s="5"/>
      <c r="AC959" s="5"/>
      <c r="AD959" s="5">
        <f ca="1">IFERROR(__xludf.DUMMYFUNCTION("""COMPUTED_VALUE"""),57)</f>
        <v>57</v>
      </c>
      <c r="AE959" s="5">
        <f ca="1">IFERROR(__xludf.DUMMYFUNCTION("""COMPUTED_VALUE"""),57)</f>
        <v>57</v>
      </c>
      <c r="AF959" s="5" t="b">
        <f ca="1">IFERROR(__xludf.DUMMYFUNCTION("""COMPUTED_VALUE"""),FALSE)</f>
        <v>0</v>
      </c>
      <c r="AG959" s="5" t="str">
        <f ca="1">IFERROR(__xludf.DUMMYFUNCTION("""COMPUTED_VALUE"""),"INSPECCIONES REALIZADAS")</f>
        <v>INSPECCIONES REALIZADAS</v>
      </c>
      <c r="AH959" s="5"/>
    </row>
    <row r="960" spans="1:34">
      <c r="A960" s="5" t="str">
        <f ca="1">IFERROR(__xludf.DUMMYFUNCTION("""COMPUTED_VALUE"""),"EQUIPOS PARA SERVICIOS INDUSTRIALES")</f>
        <v>EQUIPOS PARA SERVICIOS INDUSTRIALES</v>
      </c>
      <c r="B960" s="5">
        <f ca="1">IFERROR(__xludf.DUMMYFUNCTION("""COMPUTED_VALUE"""),679377)</f>
        <v>679377</v>
      </c>
      <c r="C960" s="5" t="str">
        <f ca="1">IFERROR(__xludf.DUMMYFUNCTION("""COMPUTED_VALUE"""),"PLANTA ELECTRICA Nº 3")</f>
        <v>PLANTA ELECTRICA Nº 3</v>
      </c>
      <c r="D960" s="5">
        <f ca="1">IFERROR(__xludf.DUMMYFUNCTION("""COMPUTED_VALUE"""),13247555)</f>
        <v>13247555</v>
      </c>
      <c r="E960" s="5" t="str">
        <f ca="1">IFERROR(__xludf.DUMMYFUNCTION("""COMPUTED_VALUE"""),"INSPECCION SEMANAL PLANTA ELECTRICA")</f>
        <v>INSPECCION SEMANAL PLANTA ELECTRICA</v>
      </c>
      <c r="F960" s="5" t="str">
        <f ca="1">IFERROR(__xludf.DUMMYFUNCTION("""COMPUTED_VALUE"""),"INSP CORREAS")</f>
        <v>INSP CORREAS</v>
      </c>
      <c r="G960" s="5" t="b">
        <f ca="1">IFERROR(__xludf.DUMMYFUNCTION("""COMPUTED_VALUE"""),TRUE)</f>
        <v>1</v>
      </c>
      <c r="H960" s="5"/>
      <c r="I960" s="5"/>
      <c r="J960" s="5">
        <f ca="1">IFERROR(__xludf.DUMMYFUNCTION("""COMPUTED_VALUE"""),13247555)</f>
        <v>13247555</v>
      </c>
      <c r="K960" s="5"/>
      <c r="L960" s="18">
        <f ca="1">IFERROR(__xludf.DUMMYFUNCTION("""COMPUTED_VALUE"""),45325)</f>
        <v>45325</v>
      </c>
      <c r="M960" s="18">
        <f ca="1">IFERROR(__xludf.DUMMYFUNCTION("""COMPUTED_VALUE"""),45325)</f>
        <v>45325</v>
      </c>
      <c r="N960" s="5" t="str">
        <f ca="1">IFERROR(__xludf.DUMMYFUNCTION("""COMPUTED_VALUE"""),"JEFFERSON BRAVO PIEDRAHITA")</f>
        <v>JEFFERSON BRAVO PIEDRAHITA</v>
      </c>
      <c r="O960" s="2">
        <f ca="1">IFERROR(__xludf.DUMMYFUNCTION("""COMPUTED_VALUE"""),0.005263158)</f>
        <v>5.2631580000000004E-3</v>
      </c>
      <c r="P960" s="5">
        <f ca="1">IFERROR(__xludf.DUMMYFUNCTION("""COMPUTED_VALUE"""),1130593135)</f>
        <v>1130593135</v>
      </c>
      <c r="Q960" s="5" t="str">
        <f ca="1">IFERROR(__xludf.DUMMYFUNCTION("""COMPUTED_VALUE"""),"biehXgsJg_Y")</f>
        <v>biehXgsJg_Y</v>
      </c>
      <c r="R960" s="5">
        <f ca="1">IFERROR(__xludf.DUMMYFUNCTION("""COMPUTED_VALUE"""),410)</f>
        <v>410</v>
      </c>
      <c r="S960" s="62">
        <f ca="1">IFERROR(__xludf.DUMMYFUNCTION("""COMPUTED_VALUE"""),0.005263158)</f>
        <v>5.2631580000000004E-3</v>
      </c>
      <c r="T960" s="63" t="str">
        <f ca="1">IFERROR(__xludf.DUMMYFUNCTION("""COMPUTED_VALUE"""),"https://storage.googleapis.com/glide-prod.appspot.com/uploads-v2/ly7o78grxPaC6KdgvbpS/pub/3aRdSog0vUtuqPE8AJKD.png")</f>
        <v>https://storage.googleapis.com/glide-prod.appspot.com/uploads-v2/ly7o78grxPaC6KdgvbpS/pub/3aRdSog0vUtuqPE8AJKD.png</v>
      </c>
      <c r="U960" s="5" t="str">
        <f ca="1">IFERROR(__xludf.DUMMYFUNCTION("""COMPUTED_VALUE"""),"EQUIPOS PARA SERVICIOS INDUSTRIALESPLANTA ELECTRICA Nº 3")</f>
        <v>EQUIPOS PARA SERVICIOS INDUSTRIALESPLANTA ELECTRICA Nº 3</v>
      </c>
      <c r="V960" s="5"/>
      <c r="W960" s="5" t="b">
        <f ca="1">IFERROR(__xludf.DUMMYFUNCTION("""COMPUTED_VALUE"""),TRUE)</f>
        <v>1</v>
      </c>
      <c r="X960" s="5" t="str">
        <f ca="1">IFERROR(__xludf.DUMMYFUNCTION("""COMPUTED_VALUE"""),"wmazorra@postobon.com.co,aprmttoyu@postobon.com.co,aprmyu@postobon.com.co,wmora@postobon.com.co,efzapata@postobon.com.co")</f>
        <v>wmazorra@postobon.com.co,aprmttoyu@postobon.com.co,aprmyu@postobon.com.co,wmora@postobon.com.co,efzapata@postobon.com.co</v>
      </c>
      <c r="Y960" s="5" t="str">
        <f ca="1">IFERROR(__xludf.DUMMYFUNCTION("""COMPUTED_VALUE"""),"wmazorra@postobon.com.co")</f>
        <v>wmazorra@postobon.com.co</v>
      </c>
      <c r="Z960" s="5" t="str">
        <f ca="1">IFERROR(__xludf.DUMMYFUNCTION("""COMPUTED_VALUE"""),"23Vr4h44Ta2zBxCW.lsloQ")</f>
        <v>23Vr4h44Ta2zBxCW.lsloQ</v>
      </c>
      <c r="AA960" s="5"/>
      <c r="AB960" s="5"/>
      <c r="AC960" s="5"/>
      <c r="AD960" s="5">
        <f ca="1">IFERROR(__xludf.DUMMYFUNCTION("""COMPUTED_VALUE"""),57)</f>
        <v>57</v>
      </c>
      <c r="AE960" s="5">
        <f ca="1">IFERROR(__xludf.DUMMYFUNCTION("""COMPUTED_VALUE"""),57)</f>
        <v>57</v>
      </c>
      <c r="AF960" s="5" t="b">
        <f ca="1">IFERROR(__xludf.DUMMYFUNCTION("""COMPUTED_VALUE"""),FALSE)</f>
        <v>0</v>
      </c>
      <c r="AG960" s="5" t="str">
        <f ca="1">IFERROR(__xludf.DUMMYFUNCTION("""COMPUTED_VALUE"""),"INSPECCIONES REALIZADAS")</f>
        <v>INSPECCIONES REALIZADAS</v>
      </c>
      <c r="AH960" s="5"/>
    </row>
    <row r="961" spans="1:34">
      <c r="A961" s="5" t="str">
        <f ca="1">IFERROR(__xludf.DUMMYFUNCTION("""COMPUTED_VALUE"""),"EQUIPOS PARA SERVICIOS INDUSTRIALES")</f>
        <v>EQUIPOS PARA SERVICIOS INDUSTRIALES</v>
      </c>
      <c r="B961" s="5">
        <f ca="1">IFERROR(__xludf.DUMMYFUNCTION("""COMPUTED_VALUE"""),679377)</f>
        <v>679377</v>
      </c>
      <c r="C961" s="5" t="str">
        <f ca="1">IFERROR(__xludf.DUMMYFUNCTION("""COMPUTED_VALUE"""),"PLANTA ELECTRICA Nº 3")</f>
        <v>PLANTA ELECTRICA Nº 3</v>
      </c>
      <c r="D961" s="5">
        <f ca="1">IFERROR(__xludf.DUMMYFUNCTION("""COMPUTED_VALUE"""),13247555)</f>
        <v>13247555</v>
      </c>
      <c r="E961" s="5" t="str">
        <f ca="1">IFERROR(__xludf.DUMMYFUNCTION("""COMPUTED_VALUE"""),"INSPECCION SEMANAL PLANTA ELECTRICA")</f>
        <v>INSPECCION SEMANAL PLANTA ELECTRICA</v>
      </c>
      <c r="F961" s="5" t="str">
        <f ca="1">IFERROR(__xludf.DUMMYFUNCTION("""COMPUTED_VALUE"""),"INSP FUGA FLUIDOS")</f>
        <v>INSP FUGA FLUIDOS</v>
      </c>
      <c r="G961" s="5" t="b">
        <f ca="1">IFERROR(__xludf.DUMMYFUNCTION("""COMPUTED_VALUE"""),TRUE)</f>
        <v>1</v>
      </c>
      <c r="H961" s="5"/>
      <c r="I961" s="5"/>
      <c r="J961" s="5">
        <f ca="1">IFERROR(__xludf.DUMMYFUNCTION("""COMPUTED_VALUE"""),13247555)</f>
        <v>13247555</v>
      </c>
      <c r="K961" s="5"/>
      <c r="L961" s="18">
        <f ca="1">IFERROR(__xludf.DUMMYFUNCTION("""COMPUTED_VALUE"""),45325)</f>
        <v>45325</v>
      </c>
      <c r="M961" s="18">
        <f ca="1">IFERROR(__xludf.DUMMYFUNCTION("""COMPUTED_VALUE"""),45325)</f>
        <v>45325</v>
      </c>
      <c r="N961" s="5" t="str">
        <f ca="1">IFERROR(__xludf.DUMMYFUNCTION("""COMPUTED_VALUE"""),"JEFFERSON BRAVO PIEDRAHITA")</f>
        <v>JEFFERSON BRAVO PIEDRAHITA</v>
      </c>
      <c r="O961" s="2">
        <f ca="1">IFERROR(__xludf.DUMMYFUNCTION("""COMPUTED_VALUE"""),0.005263158)</f>
        <v>5.2631580000000004E-3</v>
      </c>
      <c r="P961" s="5">
        <f ca="1">IFERROR(__xludf.DUMMYFUNCTION("""COMPUTED_VALUE"""),1130593135)</f>
        <v>1130593135</v>
      </c>
      <c r="Q961" s="5" t="str">
        <f ca="1">IFERROR(__xludf.DUMMYFUNCTION("""COMPUTED_VALUE"""),"K0iKwh_X4Eo")</f>
        <v>K0iKwh_X4Eo</v>
      </c>
      <c r="R961" s="5">
        <f ca="1">IFERROR(__xludf.DUMMYFUNCTION("""COMPUTED_VALUE"""),410)</f>
        <v>410</v>
      </c>
      <c r="S961" s="62">
        <f ca="1">IFERROR(__xludf.DUMMYFUNCTION("""COMPUTED_VALUE"""),0.005263158)</f>
        <v>5.2631580000000004E-3</v>
      </c>
      <c r="T961" s="63" t="str">
        <f ca="1">IFERROR(__xludf.DUMMYFUNCTION("""COMPUTED_VALUE"""),"https://storage.googleapis.com/glide-prod.appspot.com/uploads-v2/ly7o78grxPaC6KdgvbpS/pub/3aRdSog0vUtuqPE8AJKD.png")</f>
        <v>https://storage.googleapis.com/glide-prod.appspot.com/uploads-v2/ly7o78grxPaC6KdgvbpS/pub/3aRdSog0vUtuqPE8AJKD.png</v>
      </c>
      <c r="U961" s="5" t="str">
        <f ca="1">IFERROR(__xludf.DUMMYFUNCTION("""COMPUTED_VALUE"""),"EQUIPOS PARA SERVICIOS INDUSTRIALESPLANTA ELECTRICA Nº 3")</f>
        <v>EQUIPOS PARA SERVICIOS INDUSTRIALESPLANTA ELECTRICA Nº 3</v>
      </c>
      <c r="V961" s="5"/>
      <c r="W961" s="5" t="b">
        <f ca="1">IFERROR(__xludf.DUMMYFUNCTION("""COMPUTED_VALUE"""),TRUE)</f>
        <v>1</v>
      </c>
      <c r="X961" s="5" t="str">
        <f ca="1">IFERROR(__xludf.DUMMYFUNCTION("""COMPUTED_VALUE"""),"wmazorra@postobon.com.co,aprmttoyu@postobon.com.co,aprmyu@postobon.com.co,wmora@postobon.com.co,efzapata@postobon.com.co")</f>
        <v>wmazorra@postobon.com.co,aprmttoyu@postobon.com.co,aprmyu@postobon.com.co,wmora@postobon.com.co,efzapata@postobon.com.co</v>
      </c>
      <c r="Y961" s="5" t="str">
        <f ca="1">IFERROR(__xludf.DUMMYFUNCTION("""COMPUTED_VALUE"""),"wmazorra@postobon.com.co")</f>
        <v>wmazorra@postobon.com.co</v>
      </c>
      <c r="Z961" s="5" t="str">
        <f ca="1">IFERROR(__xludf.DUMMYFUNCTION("""COMPUTED_VALUE"""),"RJtpJd4uT3CB6i7m892ngA")</f>
        <v>RJtpJd4uT3CB6i7m892ngA</v>
      </c>
      <c r="AA961" s="5"/>
      <c r="AB961" s="5"/>
      <c r="AC961" s="5"/>
      <c r="AD961" s="5">
        <f ca="1">IFERROR(__xludf.DUMMYFUNCTION("""COMPUTED_VALUE"""),57)</f>
        <v>57</v>
      </c>
      <c r="AE961" s="5">
        <f ca="1">IFERROR(__xludf.DUMMYFUNCTION("""COMPUTED_VALUE"""),57)</f>
        <v>57</v>
      </c>
      <c r="AF961" s="5" t="b">
        <f ca="1">IFERROR(__xludf.DUMMYFUNCTION("""COMPUTED_VALUE"""),FALSE)</f>
        <v>0</v>
      </c>
      <c r="AG961" s="5" t="str">
        <f ca="1">IFERROR(__xludf.DUMMYFUNCTION("""COMPUTED_VALUE"""),"INSPECCIONES REALIZADAS")</f>
        <v>INSPECCIONES REALIZADAS</v>
      </c>
      <c r="AH961" s="5"/>
    </row>
    <row r="962" spans="1:34">
      <c r="A962" s="5" t="str">
        <f ca="1">IFERROR(__xludf.DUMMYFUNCTION("""COMPUTED_VALUE"""),"EQUIPOS PARA SERVICIOS INDUSTRIALES")</f>
        <v>EQUIPOS PARA SERVICIOS INDUSTRIALES</v>
      </c>
      <c r="B962" s="5">
        <f ca="1">IFERROR(__xludf.DUMMYFUNCTION("""COMPUTED_VALUE"""),679377)</f>
        <v>679377</v>
      </c>
      <c r="C962" s="5" t="str">
        <f ca="1">IFERROR(__xludf.DUMMYFUNCTION("""COMPUTED_VALUE"""),"PLANTA ELECTRICA Nº 3")</f>
        <v>PLANTA ELECTRICA Nº 3</v>
      </c>
      <c r="D962" s="5">
        <f ca="1">IFERROR(__xludf.DUMMYFUNCTION("""COMPUTED_VALUE"""),13247555)</f>
        <v>13247555</v>
      </c>
      <c r="E962" s="5" t="str">
        <f ca="1">IFERROR(__xludf.DUMMYFUNCTION("""COMPUTED_VALUE"""),"INSPECCION SEMANAL PLANTA ELECTRICA")</f>
        <v>INSPECCION SEMANAL PLANTA ELECTRICA</v>
      </c>
      <c r="F962" s="5" t="str">
        <f ca="1">IFERROR(__xludf.DUMMYFUNCTION("""COMPUTED_VALUE"""),"INSP TABLERO MONITOR(PRESION FILTRO COMBUSTIBLE/ACEITE,AIRE ADMISION)")</f>
        <v>INSP TABLERO MONITOR(PRESION FILTRO COMBUSTIBLE/ACEITE,AIRE ADMISION)</v>
      </c>
      <c r="G962" s="5" t="b">
        <f ca="1">IFERROR(__xludf.DUMMYFUNCTION("""COMPUTED_VALUE"""),TRUE)</f>
        <v>1</v>
      </c>
      <c r="H962" s="5"/>
      <c r="I962" s="5"/>
      <c r="J962" s="5">
        <f ca="1">IFERROR(__xludf.DUMMYFUNCTION("""COMPUTED_VALUE"""),13247555)</f>
        <v>13247555</v>
      </c>
      <c r="K962" s="5"/>
      <c r="L962" s="18">
        <f ca="1">IFERROR(__xludf.DUMMYFUNCTION("""COMPUTED_VALUE"""),45325)</f>
        <v>45325</v>
      </c>
      <c r="M962" s="18">
        <f ca="1">IFERROR(__xludf.DUMMYFUNCTION("""COMPUTED_VALUE"""),45325)</f>
        <v>45325</v>
      </c>
      <c r="N962" s="5" t="str">
        <f ca="1">IFERROR(__xludf.DUMMYFUNCTION("""COMPUTED_VALUE"""),"JEFFERSON BRAVO PIEDRAHITA")</f>
        <v>JEFFERSON BRAVO PIEDRAHITA</v>
      </c>
      <c r="O962" s="2">
        <f ca="1">IFERROR(__xludf.DUMMYFUNCTION("""COMPUTED_VALUE"""),0.005263158)</f>
        <v>5.2631580000000004E-3</v>
      </c>
      <c r="P962" s="5">
        <f ca="1">IFERROR(__xludf.DUMMYFUNCTION("""COMPUTED_VALUE"""),1130593135)</f>
        <v>1130593135</v>
      </c>
      <c r="Q962" s="5" t="str">
        <f ca="1">IFERROR(__xludf.DUMMYFUNCTION("""COMPUTED_VALUE"""),"s2NGeJsX8Do")</f>
        <v>s2NGeJsX8Do</v>
      </c>
      <c r="R962" s="5">
        <f ca="1">IFERROR(__xludf.DUMMYFUNCTION("""COMPUTED_VALUE"""),410)</f>
        <v>410</v>
      </c>
      <c r="S962" s="62">
        <f ca="1">IFERROR(__xludf.DUMMYFUNCTION("""COMPUTED_VALUE"""),0.005263158)</f>
        <v>5.2631580000000004E-3</v>
      </c>
      <c r="T962" s="63" t="str">
        <f ca="1">IFERROR(__xludf.DUMMYFUNCTION("""COMPUTED_VALUE"""),"https://storage.googleapis.com/glide-prod.appspot.com/uploads-v2/ly7o78grxPaC6KdgvbpS/pub/3aRdSog0vUtuqPE8AJKD.png")</f>
        <v>https://storage.googleapis.com/glide-prod.appspot.com/uploads-v2/ly7o78grxPaC6KdgvbpS/pub/3aRdSog0vUtuqPE8AJKD.png</v>
      </c>
      <c r="U962" s="5" t="str">
        <f ca="1">IFERROR(__xludf.DUMMYFUNCTION("""COMPUTED_VALUE"""),"EQUIPOS PARA SERVICIOS INDUSTRIALESPLANTA ELECTRICA Nº 3")</f>
        <v>EQUIPOS PARA SERVICIOS INDUSTRIALESPLANTA ELECTRICA Nº 3</v>
      </c>
      <c r="V962" s="5"/>
      <c r="W962" s="5" t="b">
        <f ca="1">IFERROR(__xludf.DUMMYFUNCTION("""COMPUTED_VALUE"""),TRUE)</f>
        <v>1</v>
      </c>
      <c r="X962" s="5" t="str">
        <f ca="1">IFERROR(__xludf.DUMMYFUNCTION("""COMPUTED_VALUE"""),"wmazorra@postobon.com.co,aprmttoyu@postobon.com.co,aprmyu@postobon.com.co,wmora@postobon.com.co,efzapata@postobon.com.co")</f>
        <v>wmazorra@postobon.com.co,aprmttoyu@postobon.com.co,aprmyu@postobon.com.co,wmora@postobon.com.co,efzapata@postobon.com.co</v>
      </c>
      <c r="Y962" s="5" t="str">
        <f ca="1">IFERROR(__xludf.DUMMYFUNCTION("""COMPUTED_VALUE"""),"wmazorra@postobon.com.co")</f>
        <v>wmazorra@postobon.com.co</v>
      </c>
      <c r="Z962" s="5" t="str">
        <f ca="1">IFERROR(__xludf.DUMMYFUNCTION("""COMPUTED_VALUE"""),"IyRz79r.Q2WupgM44nKXJg")</f>
        <v>IyRz79r.Q2WupgM44nKXJg</v>
      </c>
      <c r="AA962" s="5"/>
      <c r="AB962" s="5"/>
      <c r="AC962" s="5"/>
      <c r="AD962" s="5">
        <f ca="1">IFERROR(__xludf.DUMMYFUNCTION("""COMPUTED_VALUE"""),57)</f>
        <v>57</v>
      </c>
      <c r="AE962" s="5">
        <f ca="1">IFERROR(__xludf.DUMMYFUNCTION("""COMPUTED_VALUE"""),57)</f>
        <v>57</v>
      </c>
      <c r="AF962" s="5" t="b">
        <f ca="1">IFERROR(__xludf.DUMMYFUNCTION("""COMPUTED_VALUE"""),FALSE)</f>
        <v>0</v>
      </c>
      <c r="AG962" s="5" t="str">
        <f ca="1">IFERROR(__xludf.DUMMYFUNCTION("""COMPUTED_VALUE"""),"INSPECCIONES REALIZADAS")</f>
        <v>INSPECCIONES REALIZADAS</v>
      </c>
      <c r="AH962" s="5"/>
    </row>
    <row r="963" spans="1:34">
      <c r="A963" s="5" t="str">
        <f ca="1">IFERROR(__xludf.DUMMYFUNCTION("""COMPUTED_VALUE"""),"EQUIPOS PARA SERVICIOS INDUSTRIALES")</f>
        <v>EQUIPOS PARA SERVICIOS INDUSTRIALES</v>
      </c>
      <c r="B963" s="5">
        <f ca="1">IFERROR(__xludf.DUMMYFUNCTION("""COMPUTED_VALUE"""),679377)</f>
        <v>679377</v>
      </c>
      <c r="C963" s="5" t="str">
        <f ca="1">IFERROR(__xludf.DUMMYFUNCTION("""COMPUTED_VALUE"""),"PLANTA ELECTRICA Nº 3")</f>
        <v>PLANTA ELECTRICA Nº 3</v>
      </c>
      <c r="D963" s="5">
        <f ca="1">IFERROR(__xludf.DUMMYFUNCTION("""COMPUTED_VALUE"""),13247555)</f>
        <v>13247555</v>
      </c>
      <c r="E963" s="5" t="str">
        <f ca="1">IFERROR(__xludf.DUMMYFUNCTION("""COMPUTED_VALUE"""),"INSPECCION SEMANAL PLANTA ELECTRICA")</f>
        <v>INSPECCION SEMANAL PLANTA ELECTRICA</v>
      </c>
      <c r="F963" s="5" t="str">
        <f ca="1">IFERROR(__xludf.DUMMYFUNCTION("""COMPUTED_VALUE"""),"INSP TEMP DEVANADO GENERADOR")</f>
        <v>INSP TEMP DEVANADO GENERADOR</v>
      </c>
      <c r="G963" s="5" t="b">
        <f ca="1">IFERROR(__xludf.DUMMYFUNCTION("""COMPUTED_VALUE"""),TRUE)</f>
        <v>1</v>
      </c>
      <c r="H963" s="5"/>
      <c r="I963" s="5"/>
      <c r="J963" s="5">
        <f ca="1">IFERROR(__xludf.DUMMYFUNCTION("""COMPUTED_VALUE"""),13247555)</f>
        <v>13247555</v>
      </c>
      <c r="K963" s="5"/>
      <c r="L963" s="18">
        <f ca="1">IFERROR(__xludf.DUMMYFUNCTION("""COMPUTED_VALUE"""),45325)</f>
        <v>45325</v>
      </c>
      <c r="M963" s="18">
        <f ca="1">IFERROR(__xludf.DUMMYFUNCTION("""COMPUTED_VALUE"""),45325)</f>
        <v>45325</v>
      </c>
      <c r="N963" s="5" t="str">
        <f ca="1">IFERROR(__xludf.DUMMYFUNCTION("""COMPUTED_VALUE"""),"JEFFERSON BRAVO PIEDRAHITA")</f>
        <v>JEFFERSON BRAVO PIEDRAHITA</v>
      </c>
      <c r="O963" s="2">
        <f ca="1">IFERROR(__xludf.DUMMYFUNCTION("""COMPUTED_VALUE"""),0.005263158)</f>
        <v>5.2631580000000004E-3</v>
      </c>
      <c r="P963" s="5">
        <f ca="1">IFERROR(__xludf.DUMMYFUNCTION("""COMPUTED_VALUE"""),1130593135)</f>
        <v>1130593135</v>
      </c>
      <c r="Q963" s="5" t="str">
        <f ca="1">IFERROR(__xludf.DUMMYFUNCTION("""COMPUTED_VALUE"""),"hr4mrQ5065s")</f>
        <v>hr4mrQ5065s</v>
      </c>
      <c r="R963" s="5">
        <f ca="1">IFERROR(__xludf.DUMMYFUNCTION("""COMPUTED_VALUE"""),410)</f>
        <v>410</v>
      </c>
      <c r="S963" s="62">
        <f ca="1">IFERROR(__xludf.DUMMYFUNCTION("""COMPUTED_VALUE"""),0.005263158)</f>
        <v>5.2631580000000004E-3</v>
      </c>
      <c r="T963" s="63" t="str">
        <f ca="1">IFERROR(__xludf.DUMMYFUNCTION("""COMPUTED_VALUE"""),"https://storage.googleapis.com/glide-prod.appspot.com/uploads-v2/ly7o78grxPaC6KdgvbpS/pub/3aRdSog0vUtuqPE8AJKD.png")</f>
        <v>https://storage.googleapis.com/glide-prod.appspot.com/uploads-v2/ly7o78grxPaC6KdgvbpS/pub/3aRdSog0vUtuqPE8AJKD.png</v>
      </c>
      <c r="U963" s="5" t="str">
        <f ca="1">IFERROR(__xludf.DUMMYFUNCTION("""COMPUTED_VALUE"""),"EQUIPOS PARA SERVICIOS INDUSTRIALESPLANTA ELECTRICA Nº 3")</f>
        <v>EQUIPOS PARA SERVICIOS INDUSTRIALESPLANTA ELECTRICA Nº 3</v>
      </c>
      <c r="V963" s="5"/>
      <c r="W963" s="5" t="b">
        <f ca="1">IFERROR(__xludf.DUMMYFUNCTION("""COMPUTED_VALUE"""),TRUE)</f>
        <v>1</v>
      </c>
      <c r="X963" s="5" t="str">
        <f ca="1">IFERROR(__xludf.DUMMYFUNCTION("""COMPUTED_VALUE"""),"wmazorra@postobon.com.co,aprmttoyu@postobon.com.co,aprmyu@postobon.com.co,wmora@postobon.com.co,efzapata@postobon.com.co")</f>
        <v>wmazorra@postobon.com.co,aprmttoyu@postobon.com.co,aprmyu@postobon.com.co,wmora@postobon.com.co,efzapata@postobon.com.co</v>
      </c>
      <c r="Y963" s="5" t="str">
        <f ca="1">IFERROR(__xludf.DUMMYFUNCTION("""COMPUTED_VALUE"""),"wmazorra@postobon.com.co")</f>
        <v>wmazorra@postobon.com.co</v>
      </c>
      <c r="Z963" s="5" t="str">
        <f ca="1">IFERROR(__xludf.DUMMYFUNCTION("""COMPUTED_VALUE"""),"zNAdteZkQbm3SMI7xyxJ7A")</f>
        <v>zNAdteZkQbm3SMI7xyxJ7A</v>
      </c>
      <c r="AA963" s="5"/>
      <c r="AB963" s="5"/>
      <c r="AC963" s="5"/>
      <c r="AD963" s="5">
        <f ca="1">IFERROR(__xludf.DUMMYFUNCTION("""COMPUTED_VALUE"""),57)</f>
        <v>57</v>
      </c>
      <c r="AE963" s="5">
        <f ca="1">IFERROR(__xludf.DUMMYFUNCTION("""COMPUTED_VALUE"""),57)</f>
        <v>57</v>
      </c>
      <c r="AF963" s="5" t="b">
        <f ca="1">IFERROR(__xludf.DUMMYFUNCTION("""COMPUTED_VALUE"""),FALSE)</f>
        <v>0</v>
      </c>
      <c r="AG963" s="5" t="str">
        <f ca="1">IFERROR(__xludf.DUMMYFUNCTION("""COMPUTED_VALUE"""),"INSPECCIONES REALIZADAS")</f>
        <v>INSPECCIONES REALIZADAS</v>
      </c>
      <c r="AH963" s="5"/>
    </row>
    <row r="964" spans="1:34">
      <c r="A964" s="5" t="str">
        <f ca="1">IFERROR(__xludf.DUMMYFUNCTION("""COMPUTED_VALUE"""),"EQUIPOS PARA SERVICIOS INDUSTRIALES")</f>
        <v>EQUIPOS PARA SERVICIOS INDUSTRIALES</v>
      </c>
      <c r="B964" s="5">
        <f ca="1">IFERROR(__xludf.DUMMYFUNCTION("""COMPUTED_VALUE"""),679377)</f>
        <v>679377</v>
      </c>
      <c r="C964" s="5" t="str">
        <f ca="1">IFERROR(__xludf.DUMMYFUNCTION("""COMPUTED_VALUE"""),"PLANTA ELECTRICA Nº 3")</f>
        <v>PLANTA ELECTRICA Nº 3</v>
      </c>
      <c r="D964" s="5">
        <f ca="1">IFERROR(__xludf.DUMMYFUNCTION("""COMPUTED_VALUE"""),13247555)</f>
        <v>13247555</v>
      </c>
      <c r="E964" s="5" t="str">
        <f ca="1">IFERROR(__xludf.DUMMYFUNCTION("""COMPUTED_VALUE"""),"INSPECCION SEMANAL PLANTA ELECTRICA")</f>
        <v>INSPECCION SEMANAL PLANTA ELECTRICA</v>
      </c>
      <c r="F964" s="5" t="str">
        <f ca="1">IFERROR(__xludf.DUMMYFUNCTION("""COMPUTED_VALUE"""),"INSP CALENTADOR CAMISAS")</f>
        <v>INSP CALENTADOR CAMISAS</v>
      </c>
      <c r="G964" s="5" t="b">
        <f ca="1">IFERROR(__xludf.DUMMYFUNCTION("""COMPUTED_VALUE"""),TRUE)</f>
        <v>1</v>
      </c>
      <c r="H964" s="5"/>
      <c r="I964" s="5"/>
      <c r="J964" s="5">
        <f ca="1">IFERROR(__xludf.DUMMYFUNCTION("""COMPUTED_VALUE"""),13247555)</f>
        <v>13247555</v>
      </c>
      <c r="K964" s="5"/>
      <c r="L964" s="18">
        <f ca="1">IFERROR(__xludf.DUMMYFUNCTION("""COMPUTED_VALUE"""),45325)</f>
        <v>45325</v>
      </c>
      <c r="M964" s="18">
        <f ca="1">IFERROR(__xludf.DUMMYFUNCTION("""COMPUTED_VALUE"""),45325)</f>
        <v>45325</v>
      </c>
      <c r="N964" s="5" t="str">
        <f ca="1">IFERROR(__xludf.DUMMYFUNCTION("""COMPUTED_VALUE"""),"JEFFERSON BRAVO PIEDRAHITA")</f>
        <v>JEFFERSON BRAVO PIEDRAHITA</v>
      </c>
      <c r="O964" s="2">
        <f ca="1">IFERROR(__xludf.DUMMYFUNCTION("""COMPUTED_VALUE"""),0.005263158)</f>
        <v>5.2631580000000004E-3</v>
      </c>
      <c r="P964" s="5">
        <f ca="1">IFERROR(__xludf.DUMMYFUNCTION("""COMPUTED_VALUE"""),1130593135)</f>
        <v>1130593135</v>
      </c>
      <c r="Q964" s="5" t="str">
        <f ca="1">IFERROR(__xludf.DUMMYFUNCTION("""COMPUTED_VALUE"""),"Mhtj0r8WQU8")</f>
        <v>Mhtj0r8WQU8</v>
      </c>
      <c r="R964" s="5">
        <f ca="1">IFERROR(__xludf.DUMMYFUNCTION("""COMPUTED_VALUE"""),410)</f>
        <v>410</v>
      </c>
      <c r="S964" s="62">
        <f ca="1">IFERROR(__xludf.DUMMYFUNCTION("""COMPUTED_VALUE"""),0.005263158)</f>
        <v>5.2631580000000004E-3</v>
      </c>
      <c r="T964" s="63" t="str">
        <f ca="1">IFERROR(__xludf.DUMMYFUNCTION("""COMPUTED_VALUE"""),"https://storage.googleapis.com/glide-prod.appspot.com/uploads-v2/ly7o78grxPaC6KdgvbpS/pub/3aRdSog0vUtuqPE8AJKD.png")</f>
        <v>https://storage.googleapis.com/glide-prod.appspot.com/uploads-v2/ly7o78grxPaC6KdgvbpS/pub/3aRdSog0vUtuqPE8AJKD.png</v>
      </c>
      <c r="U964" s="5" t="str">
        <f ca="1">IFERROR(__xludf.DUMMYFUNCTION("""COMPUTED_VALUE"""),"EQUIPOS PARA SERVICIOS INDUSTRIALESPLANTA ELECTRICA Nº 3")</f>
        <v>EQUIPOS PARA SERVICIOS INDUSTRIALESPLANTA ELECTRICA Nº 3</v>
      </c>
      <c r="V964" s="5"/>
      <c r="W964" s="5" t="b">
        <f ca="1">IFERROR(__xludf.DUMMYFUNCTION("""COMPUTED_VALUE"""),TRUE)</f>
        <v>1</v>
      </c>
      <c r="X964" s="5" t="str">
        <f ca="1">IFERROR(__xludf.DUMMYFUNCTION("""COMPUTED_VALUE"""),"wmazorra@postobon.com.co,aprmttoyu@postobon.com.co,aprmyu@postobon.com.co,wmora@postobon.com.co,efzapata@postobon.com.co")</f>
        <v>wmazorra@postobon.com.co,aprmttoyu@postobon.com.co,aprmyu@postobon.com.co,wmora@postobon.com.co,efzapata@postobon.com.co</v>
      </c>
      <c r="Y964" s="5" t="str">
        <f ca="1">IFERROR(__xludf.DUMMYFUNCTION("""COMPUTED_VALUE"""),"wmazorra@postobon.com.co")</f>
        <v>wmazorra@postobon.com.co</v>
      </c>
      <c r="Z964" s="5" t="str">
        <f ca="1">IFERROR(__xludf.DUMMYFUNCTION("""COMPUTED_VALUE"""),"v4umvdAFRieL4o1kH6W.hA")</f>
        <v>v4umvdAFRieL4o1kH6W.hA</v>
      </c>
      <c r="AA964" s="5"/>
      <c r="AB964" s="5"/>
      <c r="AC964" s="5"/>
      <c r="AD964" s="5">
        <f ca="1">IFERROR(__xludf.DUMMYFUNCTION("""COMPUTED_VALUE"""),57)</f>
        <v>57</v>
      </c>
      <c r="AE964" s="5">
        <f ca="1">IFERROR(__xludf.DUMMYFUNCTION("""COMPUTED_VALUE"""),57)</f>
        <v>57</v>
      </c>
      <c r="AF964" s="5" t="b">
        <f ca="1">IFERROR(__xludf.DUMMYFUNCTION("""COMPUTED_VALUE"""),FALSE)</f>
        <v>0</v>
      </c>
      <c r="AG964" s="5" t="str">
        <f ca="1">IFERROR(__xludf.DUMMYFUNCTION("""COMPUTED_VALUE"""),"INSPECCIONES REALIZADAS")</f>
        <v>INSPECCIONES REALIZADAS</v>
      </c>
      <c r="AH964" s="5"/>
    </row>
    <row r="965" spans="1:34">
      <c r="A965" s="5" t="str">
        <f ca="1">IFERROR(__xludf.DUMMYFUNCTION("""COMPUTED_VALUE"""),"EQUIPOS PARA SERVICIOS INDUSTRIALES")</f>
        <v>EQUIPOS PARA SERVICIOS INDUSTRIALES</v>
      </c>
      <c r="B965" s="5">
        <f ca="1">IFERROR(__xludf.DUMMYFUNCTION("""COMPUTED_VALUE"""),679377)</f>
        <v>679377</v>
      </c>
      <c r="C965" s="5" t="str">
        <f ca="1">IFERROR(__xludf.DUMMYFUNCTION("""COMPUTED_VALUE"""),"PLANTA ELECTRICA Nº 3")</f>
        <v>PLANTA ELECTRICA Nº 3</v>
      </c>
      <c r="D965" s="5">
        <f ca="1">IFERROR(__xludf.DUMMYFUNCTION("""COMPUTED_VALUE"""),13247555)</f>
        <v>13247555</v>
      </c>
      <c r="E965" s="5" t="str">
        <f ca="1">IFERROR(__xludf.DUMMYFUNCTION("""COMPUTED_VALUE"""),"INSPECCION SEMANAL PLANTA ELECTRICA")</f>
        <v>INSPECCION SEMANAL PLANTA ELECTRICA</v>
      </c>
      <c r="F965" s="5" t="str">
        <f ca="1">IFERROR(__xludf.DUMMYFUNCTION("""COMPUTED_VALUE"""),"INS VOLTAJE,FRECUENCIA")</f>
        <v>INS VOLTAJE,FRECUENCIA</v>
      </c>
      <c r="G965" s="5" t="b">
        <f ca="1">IFERROR(__xludf.DUMMYFUNCTION("""COMPUTED_VALUE"""),TRUE)</f>
        <v>1</v>
      </c>
      <c r="H965" s="5"/>
      <c r="I965" s="5"/>
      <c r="J965" s="5">
        <f ca="1">IFERROR(__xludf.DUMMYFUNCTION("""COMPUTED_VALUE"""),13247555)</f>
        <v>13247555</v>
      </c>
      <c r="K965" s="5"/>
      <c r="L965" s="18">
        <f ca="1">IFERROR(__xludf.DUMMYFUNCTION("""COMPUTED_VALUE"""),45325)</f>
        <v>45325</v>
      </c>
      <c r="M965" s="18">
        <f ca="1">IFERROR(__xludf.DUMMYFUNCTION("""COMPUTED_VALUE"""),45325)</f>
        <v>45325</v>
      </c>
      <c r="N965" s="5" t="str">
        <f ca="1">IFERROR(__xludf.DUMMYFUNCTION("""COMPUTED_VALUE"""),"JEFFERSON BRAVO PIEDRAHITA")</f>
        <v>JEFFERSON BRAVO PIEDRAHITA</v>
      </c>
      <c r="O965" s="2">
        <f ca="1">IFERROR(__xludf.DUMMYFUNCTION("""COMPUTED_VALUE"""),0.005263158)</f>
        <v>5.2631580000000004E-3</v>
      </c>
      <c r="P965" s="5">
        <f ca="1">IFERROR(__xludf.DUMMYFUNCTION("""COMPUTED_VALUE"""),1130593135)</f>
        <v>1130593135</v>
      </c>
      <c r="Q965" s="5" t="str">
        <f ca="1">IFERROR(__xludf.DUMMYFUNCTION("""COMPUTED_VALUE"""),"xrWpDCUGx50")</f>
        <v>xrWpDCUGx50</v>
      </c>
      <c r="R965" s="5">
        <f ca="1">IFERROR(__xludf.DUMMYFUNCTION("""COMPUTED_VALUE"""),410)</f>
        <v>410</v>
      </c>
      <c r="S965" s="62">
        <f ca="1">IFERROR(__xludf.DUMMYFUNCTION("""COMPUTED_VALUE"""),0.005263158)</f>
        <v>5.2631580000000004E-3</v>
      </c>
      <c r="T965" s="63" t="str">
        <f ca="1">IFERROR(__xludf.DUMMYFUNCTION("""COMPUTED_VALUE"""),"https://storage.googleapis.com/glide-prod.appspot.com/uploads-v2/ly7o78grxPaC6KdgvbpS/pub/3aRdSog0vUtuqPE8AJKD.png")</f>
        <v>https://storage.googleapis.com/glide-prod.appspot.com/uploads-v2/ly7o78grxPaC6KdgvbpS/pub/3aRdSog0vUtuqPE8AJKD.png</v>
      </c>
      <c r="U965" s="5" t="str">
        <f ca="1">IFERROR(__xludf.DUMMYFUNCTION("""COMPUTED_VALUE"""),"EQUIPOS PARA SERVICIOS INDUSTRIALESPLANTA ELECTRICA Nº 3")</f>
        <v>EQUIPOS PARA SERVICIOS INDUSTRIALESPLANTA ELECTRICA Nº 3</v>
      </c>
      <c r="V965" s="5"/>
      <c r="W965" s="5" t="b">
        <f ca="1">IFERROR(__xludf.DUMMYFUNCTION("""COMPUTED_VALUE"""),TRUE)</f>
        <v>1</v>
      </c>
      <c r="X965" s="5" t="str">
        <f ca="1">IFERROR(__xludf.DUMMYFUNCTION("""COMPUTED_VALUE"""),"wmazorra@postobon.com.co,aprmttoyu@postobon.com.co,aprmyu@postobon.com.co,wmora@postobon.com.co,efzapata@postobon.com.co")</f>
        <v>wmazorra@postobon.com.co,aprmttoyu@postobon.com.co,aprmyu@postobon.com.co,wmora@postobon.com.co,efzapata@postobon.com.co</v>
      </c>
      <c r="Y965" s="5" t="str">
        <f ca="1">IFERROR(__xludf.DUMMYFUNCTION("""COMPUTED_VALUE"""),"wmazorra@postobon.com.co")</f>
        <v>wmazorra@postobon.com.co</v>
      </c>
      <c r="Z965" s="5" t="str">
        <f ca="1">IFERROR(__xludf.DUMMYFUNCTION("""COMPUTED_VALUE"""),"pNzxusDaSomAA2CwercRZA")</f>
        <v>pNzxusDaSomAA2CwercRZA</v>
      </c>
      <c r="AA965" s="5"/>
      <c r="AB965" s="5"/>
      <c r="AC965" s="5"/>
      <c r="AD965" s="5">
        <f ca="1">IFERROR(__xludf.DUMMYFUNCTION("""COMPUTED_VALUE"""),57)</f>
        <v>57</v>
      </c>
      <c r="AE965" s="5">
        <f ca="1">IFERROR(__xludf.DUMMYFUNCTION("""COMPUTED_VALUE"""),57)</f>
        <v>57</v>
      </c>
      <c r="AF965" s="5" t="b">
        <f ca="1">IFERROR(__xludf.DUMMYFUNCTION("""COMPUTED_VALUE"""),FALSE)</f>
        <v>0</v>
      </c>
      <c r="AG965" s="5" t="str">
        <f ca="1">IFERROR(__xludf.DUMMYFUNCTION("""COMPUTED_VALUE"""),"INSPECCIONES REALIZADAS")</f>
        <v>INSPECCIONES REALIZADAS</v>
      </c>
      <c r="AH965" s="5"/>
    </row>
    <row r="966" spans="1:34">
      <c r="A966" s="5" t="str">
        <f ca="1">IFERROR(__xludf.DUMMYFUNCTION("""COMPUTED_VALUE"""),"EQUIPOS PARA SERVICIOS INDUSTRIALES")</f>
        <v>EQUIPOS PARA SERVICIOS INDUSTRIALES</v>
      </c>
      <c r="B966" s="5">
        <f ca="1">IFERROR(__xludf.DUMMYFUNCTION("""COMPUTED_VALUE"""),679377)</f>
        <v>679377</v>
      </c>
      <c r="C966" s="5" t="str">
        <f ca="1">IFERROR(__xludf.DUMMYFUNCTION("""COMPUTED_VALUE"""),"PLANTA ELECTRICA Nº 3")</f>
        <v>PLANTA ELECTRICA Nº 3</v>
      </c>
      <c r="D966" s="5">
        <f ca="1">IFERROR(__xludf.DUMMYFUNCTION("""COMPUTED_VALUE"""),13247555)</f>
        <v>13247555</v>
      </c>
      <c r="E966" s="5" t="str">
        <f ca="1">IFERROR(__xludf.DUMMYFUNCTION("""COMPUTED_VALUE"""),"INSPECCION SEMANAL PLANTA ELECTRICA")</f>
        <v>INSPECCION SEMANAL PLANTA ELECTRICA</v>
      </c>
      <c r="F966" s="5" t="str">
        <f ca="1">IFERROR(__xludf.DUMMYFUNCTION("""COMPUTED_VALUE"""),"COMPROBAR CONEXIONES MOTOR")</f>
        <v>COMPROBAR CONEXIONES MOTOR</v>
      </c>
      <c r="G966" s="5" t="b">
        <f ca="1">IFERROR(__xludf.DUMMYFUNCTION("""COMPUTED_VALUE"""),TRUE)</f>
        <v>1</v>
      </c>
      <c r="H966" s="5"/>
      <c r="I966" s="5"/>
      <c r="J966" s="5">
        <f ca="1">IFERROR(__xludf.DUMMYFUNCTION("""COMPUTED_VALUE"""),13247555)</f>
        <v>13247555</v>
      </c>
      <c r="K966" s="5"/>
      <c r="L966" s="18">
        <f ca="1">IFERROR(__xludf.DUMMYFUNCTION("""COMPUTED_VALUE"""),45325)</f>
        <v>45325</v>
      </c>
      <c r="M966" s="18">
        <f ca="1">IFERROR(__xludf.DUMMYFUNCTION("""COMPUTED_VALUE"""),45325)</f>
        <v>45325</v>
      </c>
      <c r="N966" s="5" t="str">
        <f ca="1">IFERROR(__xludf.DUMMYFUNCTION("""COMPUTED_VALUE"""),"JEFFERSON BRAVO PIEDRAHITA")</f>
        <v>JEFFERSON BRAVO PIEDRAHITA</v>
      </c>
      <c r="O966" s="2">
        <f ca="1">IFERROR(__xludf.DUMMYFUNCTION("""COMPUTED_VALUE"""),0.005263158)</f>
        <v>5.2631580000000004E-3</v>
      </c>
      <c r="P966" s="5">
        <f ca="1">IFERROR(__xludf.DUMMYFUNCTION("""COMPUTED_VALUE"""),1130593135)</f>
        <v>1130593135</v>
      </c>
      <c r="Q966" s="5" t="str">
        <f ca="1">IFERROR(__xludf.DUMMYFUNCTION("""COMPUTED_VALUE"""),"PptHYRJSmoY")</f>
        <v>PptHYRJSmoY</v>
      </c>
      <c r="R966" s="5">
        <f ca="1">IFERROR(__xludf.DUMMYFUNCTION("""COMPUTED_VALUE"""),410)</f>
        <v>410</v>
      </c>
      <c r="S966" s="62">
        <f ca="1">IFERROR(__xludf.DUMMYFUNCTION("""COMPUTED_VALUE"""),0.005263158)</f>
        <v>5.2631580000000004E-3</v>
      </c>
      <c r="T966" s="63" t="str">
        <f ca="1">IFERROR(__xludf.DUMMYFUNCTION("""COMPUTED_VALUE"""),"https://storage.googleapis.com/glide-prod.appspot.com/uploads-v2/ly7o78grxPaC6KdgvbpS/pub/3aRdSog0vUtuqPE8AJKD.png")</f>
        <v>https://storage.googleapis.com/glide-prod.appspot.com/uploads-v2/ly7o78grxPaC6KdgvbpS/pub/3aRdSog0vUtuqPE8AJKD.png</v>
      </c>
      <c r="U966" s="5" t="str">
        <f ca="1">IFERROR(__xludf.DUMMYFUNCTION("""COMPUTED_VALUE"""),"EQUIPOS PARA SERVICIOS INDUSTRIALESPLANTA ELECTRICA Nº 3")</f>
        <v>EQUIPOS PARA SERVICIOS INDUSTRIALESPLANTA ELECTRICA Nº 3</v>
      </c>
      <c r="V966" s="5"/>
      <c r="W966" s="5" t="b">
        <f ca="1">IFERROR(__xludf.DUMMYFUNCTION("""COMPUTED_VALUE"""),TRUE)</f>
        <v>1</v>
      </c>
      <c r="X966" s="5" t="str">
        <f ca="1">IFERROR(__xludf.DUMMYFUNCTION("""COMPUTED_VALUE"""),"wmazorra@postobon.com.co,aprmttoyu@postobon.com.co,aprmyu@postobon.com.co,wmora@postobon.com.co,efzapata@postobon.com.co")</f>
        <v>wmazorra@postobon.com.co,aprmttoyu@postobon.com.co,aprmyu@postobon.com.co,wmora@postobon.com.co,efzapata@postobon.com.co</v>
      </c>
      <c r="Y966" s="5" t="str">
        <f ca="1">IFERROR(__xludf.DUMMYFUNCTION("""COMPUTED_VALUE"""),"wmazorra@postobon.com.co")</f>
        <v>wmazorra@postobon.com.co</v>
      </c>
      <c r="Z966" s="5" t="str">
        <f ca="1">IFERROR(__xludf.DUMMYFUNCTION("""COMPUTED_VALUE"""),"Ys3V9aRuStCr3Fv9NcnEHQ")</f>
        <v>Ys3V9aRuStCr3Fv9NcnEHQ</v>
      </c>
      <c r="AA966" s="5"/>
      <c r="AB966" s="5"/>
      <c r="AC966" s="5"/>
      <c r="AD966" s="5">
        <f ca="1">IFERROR(__xludf.DUMMYFUNCTION("""COMPUTED_VALUE"""),57)</f>
        <v>57</v>
      </c>
      <c r="AE966" s="5">
        <f ca="1">IFERROR(__xludf.DUMMYFUNCTION("""COMPUTED_VALUE"""),57)</f>
        <v>57</v>
      </c>
      <c r="AF966" s="5" t="b">
        <f ca="1">IFERROR(__xludf.DUMMYFUNCTION("""COMPUTED_VALUE"""),FALSE)</f>
        <v>0</v>
      </c>
      <c r="AG966" s="5" t="str">
        <f ca="1">IFERROR(__xludf.DUMMYFUNCTION("""COMPUTED_VALUE"""),"INSPECCIONES REALIZADAS")</f>
        <v>INSPECCIONES REALIZADAS</v>
      </c>
      <c r="AH966" s="5"/>
    </row>
    <row r="967" spans="1:34">
      <c r="A967" s="5" t="str">
        <f ca="1">IFERROR(__xludf.DUMMYFUNCTION("""COMPUTED_VALUE"""),"EQUIPOS PARA SERVICIOS INDUSTRIALES")</f>
        <v>EQUIPOS PARA SERVICIOS INDUSTRIALES</v>
      </c>
      <c r="B967" s="5">
        <f ca="1">IFERROR(__xludf.DUMMYFUNCTION("""COMPUTED_VALUE"""),679377)</f>
        <v>679377</v>
      </c>
      <c r="C967" s="5" t="str">
        <f ca="1">IFERROR(__xludf.DUMMYFUNCTION("""COMPUTED_VALUE"""),"PLANTA ELECTRICA Nº 3")</f>
        <v>PLANTA ELECTRICA Nº 3</v>
      </c>
      <c r="D967" s="5">
        <f ca="1">IFERROR(__xludf.DUMMYFUNCTION("""COMPUTED_VALUE"""),13247555)</f>
        <v>13247555</v>
      </c>
      <c r="E967" s="5" t="str">
        <f ca="1">IFERROR(__xludf.DUMMYFUNCTION("""COMPUTED_VALUE"""),"INSPECCION SEMANAL PLANTA ELECTRICA")</f>
        <v>INSPECCION SEMANAL PLANTA ELECTRICA</v>
      </c>
      <c r="F967" s="5" t="str">
        <f ca="1">IFERROR(__xludf.DUMMYFUNCTION("""COMPUTED_VALUE"""),"INSP GENERADOR")</f>
        <v>INSP GENERADOR</v>
      </c>
      <c r="G967" s="5" t="b">
        <f ca="1">IFERROR(__xludf.DUMMYFUNCTION("""COMPUTED_VALUE"""),TRUE)</f>
        <v>1</v>
      </c>
      <c r="H967" s="5"/>
      <c r="I967" s="5"/>
      <c r="J967" s="5">
        <f ca="1">IFERROR(__xludf.DUMMYFUNCTION("""COMPUTED_VALUE"""),13247555)</f>
        <v>13247555</v>
      </c>
      <c r="K967" s="5"/>
      <c r="L967" s="18">
        <f ca="1">IFERROR(__xludf.DUMMYFUNCTION("""COMPUTED_VALUE"""),45325)</f>
        <v>45325</v>
      </c>
      <c r="M967" s="18">
        <f ca="1">IFERROR(__xludf.DUMMYFUNCTION("""COMPUTED_VALUE"""),45325)</f>
        <v>45325</v>
      </c>
      <c r="N967" s="5" t="str">
        <f ca="1">IFERROR(__xludf.DUMMYFUNCTION("""COMPUTED_VALUE"""),"JEFFERSON BRAVO PIEDRAHITA")</f>
        <v>JEFFERSON BRAVO PIEDRAHITA</v>
      </c>
      <c r="O967" s="2">
        <f ca="1">IFERROR(__xludf.DUMMYFUNCTION("""COMPUTED_VALUE"""),0.005263158)</f>
        <v>5.2631580000000004E-3</v>
      </c>
      <c r="P967" s="5">
        <f ca="1">IFERROR(__xludf.DUMMYFUNCTION("""COMPUTED_VALUE"""),1130593135)</f>
        <v>1130593135</v>
      </c>
      <c r="Q967" s="5" t="str">
        <f ca="1">IFERROR(__xludf.DUMMYFUNCTION("""COMPUTED_VALUE"""),"6PV3HOLsCV0")</f>
        <v>6PV3HOLsCV0</v>
      </c>
      <c r="R967" s="5">
        <f ca="1">IFERROR(__xludf.DUMMYFUNCTION("""COMPUTED_VALUE"""),410)</f>
        <v>410</v>
      </c>
      <c r="S967" s="62">
        <f ca="1">IFERROR(__xludf.DUMMYFUNCTION("""COMPUTED_VALUE"""),0.005263158)</f>
        <v>5.2631580000000004E-3</v>
      </c>
      <c r="T967" s="63" t="str">
        <f ca="1">IFERROR(__xludf.DUMMYFUNCTION("""COMPUTED_VALUE"""),"https://storage.googleapis.com/glide-prod.appspot.com/uploads-v2/ly7o78grxPaC6KdgvbpS/pub/3aRdSog0vUtuqPE8AJKD.png")</f>
        <v>https://storage.googleapis.com/glide-prod.appspot.com/uploads-v2/ly7o78grxPaC6KdgvbpS/pub/3aRdSog0vUtuqPE8AJKD.png</v>
      </c>
      <c r="U967" s="5" t="str">
        <f ca="1">IFERROR(__xludf.DUMMYFUNCTION("""COMPUTED_VALUE"""),"EQUIPOS PARA SERVICIOS INDUSTRIALESPLANTA ELECTRICA Nº 3")</f>
        <v>EQUIPOS PARA SERVICIOS INDUSTRIALESPLANTA ELECTRICA Nº 3</v>
      </c>
      <c r="V967" s="5"/>
      <c r="W967" s="5" t="b">
        <f ca="1">IFERROR(__xludf.DUMMYFUNCTION("""COMPUTED_VALUE"""),TRUE)</f>
        <v>1</v>
      </c>
      <c r="X967" s="5" t="str">
        <f ca="1">IFERROR(__xludf.DUMMYFUNCTION("""COMPUTED_VALUE"""),"wmazorra@postobon.com.co,aprmttoyu@postobon.com.co,aprmyu@postobon.com.co,wmora@postobon.com.co,efzapata@postobon.com.co")</f>
        <v>wmazorra@postobon.com.co,aprmttoyu@postobon.com.co,aprmyu@postobon.com.co,wmora@postobon.com.co,efzapata@postobon.com.co</v>
      </c>
      <c r="Y967" s="5" t="str">
        <f ca="1">IFERROR(__xludf.DUMMYFUNCTION("""COMPUTED_VALUE"""),"wmazorra@postobon.com.co")</f>
        <v>wmazorra@postobon.com.co</v>
      </c>
      <c r="Z967" s="5" t="str">
        <f ca="1">IFERROR(__xludf.DUMMYFUNCTION("""COMPUTED_VALUE"""),"04.Lu0mjRUKuemqMn-vIig")</f>
        <v>04.Lu0mjRUKuemqMn-vIig</v>
      </c>
      <c r="AA967" s="5"/>
      <c r="AB967" s="5"/>
      <c r="AC967" s="5"/>
      <c r="AD967" s="5">
        <f ca="1">IFERROR(__xludf.DUMMYFUNCTION("""COMPUTED_VALUE"""),57)</f>
        <v>57</v>
      </c>
      <c r="AE967" s="5">
        <f ca="1">IFERROR(__xludf.DUMMYFUNCTION("""COMPUTED_VALUE"""),57)</f>
        <v>57</v>
      </c>
      <c r="AF967" s="5" t="b">
        <f ca="1">IFERROR(__xludf.DUMMYFUNCTION("""COMPUTED_VALUE"""),FALSE)</f>
        <v>0</v>
      </c>
      <c r="AG967" s="5" t="str">
        <f ca="1">IFERROR(__xludf.DUMMYFUNCTION("""COMPUTED_VALUE"""),"INSPECCIONES REALIZADAS")</f>
        <v>INSPECCIONES REALIZADAS</v>
      </c>
      <c r="AH967" s="5"/>
    </row>
    <row r="968" spans="1:34">
      <c r="A968" s="5" t="str">
        <f ca="1">IFERROR(__xludf.DUMMYFUNCTION("""COMPUTED_VALUE"""),"EQUIPOS PARA SERVICIOS INDUSTRIALES")</f>
        <v>EQUIPOS PARA SERVICIOS INDUSTRIALES</v>
      </c>
      <c r="B968" s="5">
        <f ca="1">IFERROR(__xludf.DUMMYFUNCTION("""COMPUTED_VALUE"""),679377)</f>
        <v>679377</v>
      </c>
      <c r="C968" s="5" t="str">
        <f ca="1">IFERROR(__xludf.DUMMYFUNCTION("""COMPUTED_VALUE"""),"PLANTA ELECTRICA Nº 3")</f>
        <v>PLANTA ELECTRICA Nº 3</v>
      </c>
      <c r="D968" s="5">
        <f ca="1">IFERROR(__xludf.DUMMYFUNCTION("""COMPUTED_VALUE"""),13247555)</f>
        <v>13247555</v>
      </c>
      <c r="E968" s="5" t="str">
        <f ca="1">IFERROR(__xludf.DUMMYFUNCTION("""COMPUTED_VALUE"""),"INSPECCION SEMANAL PLANTA ELECTRICA")</f>
        <v>INSPECCION SEMANAL PLANTA ELECTRICA</v>
      </c>
      <c r="F968" s="5" t="str">
        <f ca="1">IFERROR(__xludf.DUMMYFUNCTION("""COMPUTED_VALUE"""),"INSP ALARMAS-FALLAS CONTROL")</f>
        <v>INSP ALARMAS-FALLAS CONTROL</v>
      </c>
      <c r="G968" s="5" t="b">
        <f ca="1">IFERROR(__xludf.DUMMYFUNCTION("""COMPUTED_VALUE"""),TRUE)</f>
        <v>1</v>
      </c>
      <c r="H968" s="5"/>
      <c r="I968" s="5"/>
      <c r="J968" s="5">
        <f ca="1">IFERROR(__xludf.DUMMYFUNCTION("""COMPUTED_VALUE"""),13247555)</f>
        <v>13247555</v>
      </c>
      <c r="K968" s="5"/>
      <c r="L968" s="18">
        <f ca="1">IFERROR(__xludf.DUMMYFUNCTION("""COMPUTED_VALUE"""),45325)</f>
        <v>45325</v>
      </c>
      <c r="M968" s="18">
        <f ca="1">IFERROR(__xludf.DUMMYFUNCTION("""COMPUTED_VALUE"""),45325)</f>
        <v>45325</v>
      </c>
      <c r="N968" s="5" t="str">
        <f ca="1">IFERROR(__xludf.DUMMYFUNCTION("""COMPUTED_VALUE"""),"JEFFERSON BRAVO PIEDRAHITA")</f>
        <v>JEFFERSON BRAVO PIEDRAHITA</v>
      </c>
      <c r="O968" s="2">
        <f ca="1">IFERROR(__xludf.DUMMYFUNCTION("""COMPUTED_VALUE"""),0.005263158)</f>
        <v>5.2631580000000004E-3</v>
      </c>
      <c r="P968" s="5">
        <f ca="1">IFERROR(__xludf.DUMMYFUNCTION("""COMPUTED_VALUE"""),1130593135)</f>
        <v>1130593135</v>
      </c>
      <c r="Q968" s="5" t="str">
        <f ca="1">IFERROR(__xludf.DUMMYFUNCTION("""COMPUTED_VALUE"""),"AsLLua8i16Q")</f>
        <v>AsLLua8i16Q</v>
      </c>
      <c r="R968" s="5">
        <f ca="1">IFERROR(__xludf.DUMMYFUNCTION("""COMPUTED_VALUE"""),410)</f>
        <v>410</v>
      </c>
      <c r="S968" s="62">
        <f ca="1">IFERROR(__xludf.DUMMYFUNCTION("""COMPUTED_VALUE"""),0.005263158)</f>
        <v>5.2631580000000004E-3</v>
      </c>
      <c r="T968" s="63" t="str">
        <f ca="1">IFERROR(__xludf.DUMMYFUNCTION("""COMPUTED_VALUE"""),"https://storage.googleapis.com/glide-prod.appspot.com/uploads-v2/ly7o78grxPaC6KdgvbpS/pub/3aRdSog0vUtuqPE8AJKD.png")</f>
        <v>https://storage.googleapis.com/glide-prod.appspot.com/uploads-v2/ly7o78grxPaC6KdgvbpS/pub/3aRdSog0vUtuqPE8AJKD.png</v>
      </c>
      <c r="U968" s="5" t="str">
        <f ca="1">IFERROR(__xludf.DUMMYFUNCTION("""COMPUTED_VALUE"""),"EQUIPOS PARA SERVICIOS INDUSTRIALESPLANTA ELECTRICA Nº 3")</f>
        <v>EQUIPOS PARA SERVICIOS INDUSTRIALESPLANTA ELECTRICA Nº 3</v>
      </c>
      <c r="V968" s="5"/>
      <c r="W968" s="5" t="b">
        <f ca="1">IFERROR(__xludf.DUMMYFUNCTION("""COMPUTED_VALUE"""),TRUE)</f>
        <v>1</v>
      </c>
      <c r="X968" s="5" t="str">
        <f ca="1">IFERROR(__xludf.DUMMYFUNCTION("""COMPUTED_VALUE"""),"wmazorra@postobon.com.co,aprmttoyu@postobon.com.co,aprmyu@postobon.com.co,wmora@postobon.com.co,efzapata@postobon.com.co")</f>
        <v>wmazorra@postobon.com.co,aprmttoyu@postobon.com.co,aprmyu@postobon.com.co,wmora@postobon.com.co,efzapata@postobon.com.co</v>
      </c>
      <c r="Y968" s="5" t="str">
        <f ca="1">IFERROR(__xludf.DUMMYFUNCTION("""COMPUTED_VALUE"""),"wmazorra@postobon.com.co")</f>
        <v>wmazorra@postobon.com.co</v>
      </c>
      <c r="Z968" s="5" t="str">
        <f ca="1">IFERROR(__xludf.DUMMYFUNCTION("""COMPUTED_VALUE"""),"jWCQ0NleRWewJiFa2fbRcQ")</f>
        <v>jWCQ0NleRWewJiFa2fbRcQ</v>
      </c>
      <c r="AA968" s="5"/>
      <c r="AB968" s="5"/>
      <c r="AC968" s="5"/>
      <c r="AD968" s="5">
        <f ca="1">IFERROR(__xludf.DUMMYFUNCTION("""COMPUTED_VALUE"""),57)</f>
        <v>57</v>
      </c>
      <c r="AE968" s="5">
        <f ca="1">IFERROR(__xludf.DUMMYFUNCTION("""COMPUTED_VALUE"""),57)</f>
        <v>57</v>
      </c>
      <c r="AF968" s="5" t="b">
        <f ca="1">IFERROR(__xludf.DUMMYFUNCTION("""COMPUTED_VALUE"""),FALSE)</f>
        <v>0</v>
      </c>
      <c r="AG968" s="5" t="str">
        <f ca="1">IFERROR(__xludf.DUMMYFUNCTION("""COMPUTED_VALUE"""),"INSPECCIONES REALIZADAS")</f>
        <v>INSPECCIONES REALIZADAS</v>
      </c>
      <c r="AH968" s="5"/>
    </row>
    <row r="969" spans="1:34">
      <c r="A969" s="5" t="str">
        <f ca="1">IFERROR(__xludf.DUMMYFUNCTION("""COMPUTED_VALUE"""),"EQUIPOS PARA SERVICIOS INDUSTRIALES")</f>
        <v>EQUIPOS PARA SERVICIOS INDUSTRIALES</v>
      </c>
      <c r="B969" s="5">
        <f ca="1">IFERROR(__xludf.DUMMYFUNCTION("""COMPUTED_VALUE"""),679377)</f>
        <v>679377</v>
      </c>
      <c r="C969" s="5" t="str">
        <f ca="1">IFERROR(__xludf.DUMMYFUNCTION("""COMPUTED_VALUE"""),"PLANTA ELECTRICA Nº 3")</f>
        <v>PLANTA ELECTRICA Nº 3</v>
      </c>
      <c r="D969" s="5">
        <f ca="1">IFERROR(__xludf.DUMMYFUNCTION("""COMPUTED_VALUE"""),13247555)</f>
        <v>13247555</v>
      </c>
      <c r="E969" s="5" t="str">
        <f ca="1">IFERROR(__xludf.DUMMYFUNCTION("""COMPUTED_VALUE"""),"INSPECCION SEMANAL PLANTA ELECTRICA")</f>
        <v>INSPECCION SEMANAL PLANTA ELECTRICA</v>
      </c>
      <c r="F969" s="5" t="str">
        <f ca="1">IFERROR(__xludf.DUMMYFUNCTION("""COMPUTED_VALUE"""),"INSP. TABLERO ELECTRICO/CLIMATIZADOR")</f>
        <v>INSP. TABLERO ELECTRICO/CLIMATIZADOR</v>
      </c>
      <c r="G969" s="5" t="b">
        <f ca="1">IFERROR(__xludf.DUMMYFUNCTION("""COMPUTED_VALUE"""),TRUE)</f>
        <v>1</v>
      </c>
      <c r="H969" s="5"/>
      <c r="I969" s="5"/>
      <c r="J969" s="5">
        <f ca="1">IFERROR(__xludf.DUMMYFUNCTION("""COMPUTED_VALUE"""),13247555)</f>
        <v>13247555</v>
      </c>
      <c r="K969" s="5"/>
      <c r="L969" s="18">
        <f ca="1">IFERROR(__xludf.DUMMYFUNCTION("""COMPUTED_VALUE"""),45325)</f>
        <v>45325</v>
      </c>
      <c r="M969" s="18">
        <f ca="1">IFERROR(__xludf.DUMMYFUNCTION("""COMPUTED_VALUE"""),45325)</f>
        <v>45325</v>
      </c>
      <c r="N969" s="5" t="str">
        <f ca="1">IFERROR(__xludf.DUMMYFUNCTION("""COMPUTED_VALUE"""),"JEFFERSON BRAVO PIEDRAHITA")</f>
        <v>JEFFERSON BRAVO PIEDRAHITA</v>
      </c>
      <c r="O969" s="2">
        <f ca="1">IFERROR(__xludf.DUMMYFUNCTION("""COMPUTED_VALUE"""),0.005263158)</f>
        <v>5.2631580000000004E-3</v>
      </c>
      <c r="P969" s="5">
        <f ca="1">IFERROR(__xludf.DUMMYFUNCTION("""COMPUTED_VALUE"""),1130593135)</f>
        <v>1130593135</v>
      </c>
      <c r="Q969" s="5" t="str">
        <f ca="1">IFERROR(__xludf.DUMMYFUNCTION("""COMPUTED_VALUE"""),"1nhuT0duYi0")</f>
        <v>1nhuT0duYi0</v>
      </c>
      <c r="R969" s="5">
        <f ca="1">IFERROR(__xludf.DUMMYFUNCTION("""COMPUTED_VALUE"""),410)</f>
        <v>410</v>
      </c>
      <c r="S969" s="62">
        <f ca="1">IFERROR(__xludf.DUMMYFUNCTION("""COMPUTED_VALUE"""),0.005263158)</f>
        <v>5.2631580000000004E-3</v>
      </c>
      <c r="T969" s="63" t="str">
        <f ca="1">IFERROR(__xludf.DUMMYFUNCTION("""COMPUTED_VALUE"""),"https://storage.googleapis.com/glide-prod.appspot.com/uploads-v2/ly7o78grxPaC6KdgvbpS/pub/3aRdSog0vUtuqPE8AJKD.png")</f>
        <v>https://storage.googleapis.com/glide-prod.appspot.com/uploads-v2/ly7o78grxPaC6KdgvbpS/pub/3aRdSog0vUtuqPE8AJKD.png</v>
      </c>
      <c r="U969" s="5" t="str">
        <f ca="1">IFERROR(__xludf.DUMMYFUNCTION("""COMPUTED_VALUE"""),"EQUIPOS PARA SERVICIOS INDUSTRIALESPLANTA ELECTRICA Nº 3")</f>
        <v>EQUIPOS PARA SERVICIOS INDUSTRIALESPLANTA ELECTRICA Nº 3</v>
      </c>
      <c r="V969" s="5"/>
      <c r="W969" s="5" t="b">
        <f ca="1">IFERROR(__xludf.DUMMYFUNCTION("""COMPUTED_VALUE"""),TRUE)</f>
        <v>1</v>
      </c>
      <c r="X969" s="5" t="str">
        <f ca="1">IFERROR(__xludf.DUMMYFUNCTION("""COMPUTED_VALUE"""),"wmazorra@postobon.com.co,aprmttoyu@postobon.com.co,aprmyu@postobon.com.co,wmora@postobon.com.co,efzapata@postobon.com.co")</f>
        <v>wmazorra@postobon.com.co,aprmttoyu@postobon.com.co,aprmyu@postobon.com.co,wmora@postobon.com.co,efzapata@postobon.com.co</v>
      </c>
      <c r="Y969" s="5" t="str">
        <f ca="1">IFERROR(__xludf.DUMMYFUNCTION("""COMPUTED_VALUE"""),"wmazorra@postobon.com.co")</f>
        <v>wmazorra@postobon.com.co</v>
      </c>
      <c r="Z969" s="5" t="str">
        <f ca="1">IFERROR(__xludf.DUMMYFUNCTION("""COMPUTED_VALUE"""),"Y9hfgtocSiK.kjHK4Uq1pA")</f>
        <v>Y9hfgtocSiK.kjHK4Uq1pA</v>
      </c>
      <c r="AA969" s="5"/>
      <c r="AB969" s="5"/>
      <c r="AC969" s="5"/>
      <c r="AD969" s="5">
        <f ca="1">IFERROR(__xludf.DUMMYFUNCTION("""COMPUTED_VALUE"""),57)</f>
        <v>57</v>
      </c>
      <c r="AE969" s="5">
        <f ca="1">IFERROR(__xludf.DUMMYFUNCTION("""COMPUTED_VALUE"""),57)</f>
        <v>57</v>
      </c>
      <c r="AF969" s="5" t="b">
        <f ca="1">IFERROR(__xludf.DUMMYFUNCTION("""COMPUTED_VALUE"""),FALSE)</f>
        <v>0</v>
      </c>
      <c r="AG969" s="5" t="str">
        <f ca="1">IFERROR(__xludf.DUMMYFUNCTION("""COMPUTED_VALUE"""),"INSPECCIONES REALIZADAS")</f>
        <v>INSPECCIONES REALIZADAS</v>
      </c>
      <c r="AH969" s="5"/>
    </row>
    <row r="970" spans="1:34">
      <c r="A970" s="5" t="str">
        <f ca="1">IFERROR(__xludf.DUMMYFUNCTION("""COMPUTED_VALUE"""),"EQUIPOS PARA SERVICIOS INDUSTRIALES")</f>
        <v>EQUIPOS PARA SERVICIOS INDUSTRIALES</v>
      </c>
      <c r="B970" s="5">
        <f ca="1">IFERROR(__xludf.DUMMYFUNCTION("""COMPUTED_VALUE"""),679356)</f>
        <v>679356</v>
      </c>
      <c r="C970" s="5" t="str">
        <f ca="1">IFERROR(__xludf.DUMMYFUNCTION("""COMPUTED_VALUE"""),"PLANTA ELECTRICA")</f>
        <v>PLANTA ELECTRICA</v>
      </c>
      <c r="D970" s="5">
        <f ca="1">IFERROR(__xludf.DUMMYFUNCTION("""COMPUTED_VALUE"""),13247501)</f>
        <v>13247501</v>
      </c>
      <c r="E970" s="5" t="str">
        <f ca="1">IFERROR(__xludf.DUMMYFUNCTION("""COMPUTED_VALUE"""),"INSPECCION SEMANAL PLANTA ELECTRICA")</f>
        <v>INSPECCION SEMANAL PLANTA ELECTRICA</v>
      </c>
      <c r="F970" s="5" t="str">
        <f ca="1">IFERROR(__xludf.DUMMYFUNCTION("""COMPUTED_VALUE"""),"INSP FILTRO TRAMPA")</f>
        <v>INSP FILTRO TRAMPA</v>
      </c>
      <c r="G970" s="5" t="b">
        <f ca="1">IFERROR(__xludf.DUMMYFUNCTION("""COMPUTED_VALUE"""),TRUE)</f>
        <v>1</v>
      </c>
      <c r="H970" s="5"/>
      <c r="I970" s="5"/>
      <c r="J970" s="5">
        <f ca="1">IFERROR(__xludf.DUMMYFUNCTION("""COMPUTED_VALUE"""),13247501)</f>
        <v>13247501</v>
      </c>
      <c r="K970" s="5"/>
      <c r="L970" s="18">
        <f ca="1">IFERROR(__xludf.DUMMYFUNCTION("""COMPUTED_VALUE"""),45325)</f>
        <v>45325</v>
      </c>
      <c r="M970" s="18">
        <f ca="1">IFERROR(__xludf.DUMMYFUNCTION("""COMPUTED_VALUE"""),45325)</f>
        <v>45325</v>
      </c>
      <c r="N970" s="5" t="str">
        <f ca="1">IFERROR(__xludf.DUMMYFUNCTION("""COMPUTED_VALUE"""),"JEFFERSON BRAVO PIEDRAHITA")</f>
        <v>JEFFERSON BRAVO PIEDRAHITA</v>
      </c>
      <c r="O970" s="2">
        <f ca="1">IFERROR(__xludf.DUMMYFUNCTION("""COMPUTED_VALUE"""),0.005263158)</f>
        <v>5.2631580000000004E-3</v>
      </c>
      <c r="P970" s="5">
        <f ca="1">IFERROR(__xludf.DUMMYFUNCTION("""COMPUTED_VALUE"""),1130593135)</f>
        <v>1130593135</v>
      </c>
      <c r="Q970" s="5" t="str">
        <f ca="1">IFERROR(__xludf.DUMMYFUNCTION("""COMPUTED_VALUE"""),"vH50drrwECk")</f>
        <v>vH50drrwECk</v>
      </c>
      <c r="R970" s="5">
        <f ca="1">IFERROR(__xludf.DUMMYFUNCTION("""COMPUTED_VALUE"""),410)</f>
        <v>410</v>
      </c>
      <c r="S970" s="62">
        <f ca="1">IFERROR(__xludf.DUMMYFUNCTION("""COMPUTED_VALUE"""),0.005263158)</f>
        <v>5.2631580000000004E-3</v>
      </c>
      <c r="T970" s="63" t="str">
        <f ca="1">IFERROR(__xludf.DUMMYFUNCTION("""COMPUTED_VALUE"""),"https://storage.googleapis.com/glide-prod.appspot.com/uploads-v2/ly7o78grxPaC6KdgvbpS/pub/3aRdSog0vUtuqPE8AJKD.png")</f>
        <v>https://storage.googleapis.com/glide-prod.appspot.com/uploads-v2/ly7o78grxPaC6KdgvbpS/pub/3aRdSog0vUtuqPE8AJKD.png</v>
      </c>
      <c r="U970" s="5" t="str">
        <f ca="1">IFERROR(__xludf.DUMMYFUNCTION("""COMPUTED_VALUE"""),"EQUIPOS PARA SERVICIOS INDUSTRIALESPLANTA ELECTRICA")</f>
        <v>EQUIPOS PARA SERVICIOS INDUSTRIALESPLANTA ELECTRICA</v>
      </c>
      <c r="V970" s="5"/>
      <c r="W970" s="5" t="b">
        <f ca="1">IFERROR(__xludf.DUMMYFUNCTION("""COMPUTED_VALUE"""),TRUE)</f>
        <v>1</v>
      </c>
      <c r="X970" s="5" t="str">
        <f ca="1">IFERROR(__xludf.DUMMYFUNCTION("""COMPUTED_VALUE"""),"wmazorra@postobon.com.co,aprmttoyu@postobon.com.co,aprmyu@postobon.com.co,wmora@postobon.com.co,efzapata@postobon.com.co")</f>
        <v>wmazorra@postobon.com.co,aprmttoyu@postobon.com.co,aprmyu@postobon.com.co,wmora@postobon.com.co,efzapata@postobon.com.co</v>
      </c>
      <c r="Y970" s="5" t="str">
        <f ca="1">IFERROR(__xludf.DUMMYFUNCTION("""COMPUTED_VALUE"""),"wmazorra@postobon.com.co")</f>
        <v>wmazorra@postobon.com.co</v>
      </c>
      <c r="Z970" s="5" t="str">
        <f ca="1">IFERROR(__xludf.DUMMYFUNCTION("""COMPUTED_VALUE"""),"c-hEwjI3Slim15gR8hAO2A")</f>
        <v>c-hEwjI3Slim15gR8hAO2A</v>
      </c>
      <c r="AA970" s="5"/>
      <c r="AB970" s="5"/>
      <c r="AC970" s="5"/>
      <c r="AD970" s="5">
        <f ca="1">IFERROR(__xludf.DUMMYFUNCTION("""COMPUTED_VALUE"""),57)</f>
        <v>57</v>
      </c>
      <c r="AE970" s="5">
        <f ca="1">IFERROR(__xludf.DUMMYFUNCTION("""COMPUTED_VALUE"""),57)</f>
        <v>57</v>
      </c>
      <c r="AF970" s="5" t="b">
        <f ca="1">IFERROR(__xludf.DUMMYFUNCTION("""COMPUTED_VALUE"""),FALSE)</f>
        <v>0</v>
      </c>
      <c r="AG970" s="5" t="str">
        <f ca="1">IFERROR(__xludf.DUMMYFUNCTION("""COMPUTED_VALUE"""),"INSPECCIONES REALIZADAS")</f>
        <v>INSPECCIONES REALIZADAS</v>
      </c>
      <c r="AH970" s="5"/>
    </row>
    <row r="971" spans="1:34">
      <c r="A971" s="5" t="str">
        <f ca="1">IFERROR(__xludf.DUMMYFUNCTION("""COMPUTED_VALUE"""),"EQUIPOS PARA SERVICIOS INDUSTRIALES")</f>
        <v>EQUIPOS PARA SERVICIOS INDUSTRIALES</v>
      </c>
      <c r="B971" s="5">
        <f ca="1">IFERROR(__xludf.DUMMYFUNCTION("""COMPUTED_VALUE"""),679356)</f>
        <v>679356</v>
      </c>
      <c r="C971" s="5" t="str">
        <f ca="1">IFERROR(__xludf.DUMMYFUNCTION("""COMPUTED_VALUE"""),"PLANTA ELECTRICA")</f>
        <v>PLANTA ELECTRICA</v>
      </c>
      <c r="D971" s="5">
        <f ca="1">IFERROR(__xludf.DUMMYFUNCTION("""COMPUTED_VALUE"""),13247501)</f>
        <v>13247501</v>
      </c>
      <c r="E971" s="5" t="str">
        <f ca="1">IFERROR(__xludf.DUMMYFUNCTION("""COMPUTED_VALUE"""),"INSPECCION SEMANAL PLANTA ELECTRICA")</f>
        <v>INSPECCION SEMANAL PLANTA ELECTRICA</v>
      </c>
      <c r="F971" s="5" t="str">
        <f ca="1">IFERROR(__xludf.DUMMYFUNCTION("""COMPUTED_VALUE"""),"INSP NIVEL ACEITE MOTOR")</f>
        <v>INSP NIVEL ACEITE MOTOR</v>
      </c>
      <c r="G971" s="5" t="b">
        <f ca="1">IFERROR(__xludf.DUMMYFUNCTION("""COMPUTED_VALUE"""),TRUE)</f>
        <v>1</v>
      </c>
      <c r="H971" s="5"/>
      <c r="I971" s="5"/>
      <c r="J971" s="5">
        <f ca="1">IFERROR(__xludf.DUMMYFUNCTION("""COMPUTED_VALUE"""),13247501)</f>
        <v>13247501</v>
      </c>
      <c r="K971" s="5"/>
      <c r="L971" s="18">
        <f ca="1">IFERROR(__xludf.DUMMYFUNCTION("""COMPUTED_VALUE"""),45325)</f>
        <v>45325</v>
      </c>
      <c r="M971" s="18">
        <f ca="1">IFERROR(__xludf.DUMMYFUNCTION("""COMPUTED_VALUE"""),45325)</f>
        <v>45325</v>
      </c>
      <c r="N971" s="5" t="str">
        <f ca="1">IFERROR(__xludf.DUMMYFUNCTION("""COMPUTED_VALUE"""),"JEFFERSON BRAVO PIEDRAHITA")</f>
        <v>JEFFERSON BRAVO PIEDRAHITA</v>
      </c>
      <c r="O971" s="2">
        <f ca="1">IFERROR(__xludf.DUMMYFUNCTION("""COMPUTED_VALUE"""),0.005263158)</f>
        <v>5.2631580000000004E-3</v>
      </c>
      <c r="P971" s="5">
        <f ca="1">IFERROR(__xludf.DUMMYFUNCTION("""COMPUTED_VALUE"""),1130593135)</f>
        <v>1130593135</v>
      </c>
      <c r="Q971" s="5" t="str">
        <f ca="1">IFERROR(__xludf.DUMMYFUNCTION("""COMPUTED_VALUE"""),"nQ7idn8OnF8")</f>
        <v>nQ7idn8OnF8</v>
      </c>
      <c r="R971" s="5">
        <f ca="1">IFERROR(__xludf.DUMMYFUNCTION("""COMPUTED_VALUE"""),410)</f>
        <v>410</v>
      </c>
      <c r="S971" s="62">
        <f ca="1">IFERROR(__xludf.DUMMYFUNCTION("""COMPUTED_VALUE"""),0.005263158)</f>
        <v>5.2631580000000004E-3</v>
      </c>
      <c r="T971" s="63" t="str">
        <f ca="1">IFERROR(__xludf.DUMMYFUNCTION("""COMPUTED_VALUE"""),"https://storage.googleapis.com/glide-prod.appspot.com/uploads-v2/ly7o78grxPaC6KdgvbpS/pub/3aRdSog0vUtuqPE8AJKD.png")</f>
        <v>https://storage.googleapis.com/glide-prod.appspot.com/uploads-v2/ly7o78grxPaC6KdgvbpS/pub/3aRdSog0vUtuqPE8AJKD.png</v>
      </c>
      <c r="U971" s="5" t="str">
        <f ca="1">IFERROR(__xludf.DUMMYFUNCTION("""COMPUTED_VALUE"""),"EQUIPOS PARA SERVICIOS INDUSTRIALESPLANTA ELECTRICA")</f>
        <v>EQUIPOS PARA SERVICIOS INDUSTRIALESPLANTA ELECTRICA</v>
      </c>
      <c r="V971" s="5"/>
      <c r="W971" s="5" t="b">
        <f ca="1">IFERROR(__xludf.DUMMYFUNCTION("""COMPUTED_VALUE"""),TRUE)</f>
        <v>1</v>
      </c>
      <c r="X971" s="5" t="str">
        <f ca="1">IFERROR(__xludf.DUMMYFUNCTION("""COMPUTED_VALUE"""),"wmazorra@postobon.com.co,aprmttoyu@postobon.com.co,aprmyu@postobon.com.co,wmora@postobon.com.co,efzapata@postobon.com.co")</f>
        <v>wmazorra@postobon.com.co,aprmttoyu@postobon.com.co,aprmyu@postobon.com.co,wmora@postobon.com.co,efzapata@postobon.com.co</v>
      </c>
      <c r="Y971" s="5" t="str">
        <f ca="1">IFERROR(__xludf.DUMMYFUNCTION("""COMPUTED_VALUE"""),"wmazorra@postobon.com.co")</f>
        <v>wmazorra@postobon.com.co</v>
      </c>
      <c r="Z971" s="5" t="str">
        <f ca="1">IFERROR(__xludf.DUMMYFUNCTION("""COMPUTED_VALUE"""),"9T3H9pYoQxSSk.-W3STTFw")</f>
        <v>9T3H9pYoQxSSk.-W3STTFw</v>
      </c>
      <c r="AA971" s="5"/>
      <c r="AB971" s="5"/>
      <c r="AC971" s="5"/>
      <c r="AD971" s="5">
        <f ca="1">IFERROR(__xludf.DUMMYFUNCTION("""COMPUTED_VALUE"""),57)</f>
        <v>57</v>
      </c>
      <c r="AE971" s="5">
        <f ca="1">IFERROR(__xludf.DUMMYFUNCTION("""COMPUTED_VALUE"""),57)</f>
        <v>57</v>
      </c>
      <c r="AF971" s="5" t="b">
        <f ca="1">IFERROR(__xludf.DUMMYFUNCTION("""COMPUTED_VALUE"""),FALSE)</f>
        <v>0</v>
      </c>
      <c r="AG971" s="5" t="str">
        <f ca="1">IFERROR(__xludf.DUMMYFUNCTION("""COMPUTED_VALUE"""),"INSPECCIONES REALIZADAS")</f>
        <v>INSPECCIONES REALIZADAS</v>
      </c>
      <c r="AH971" s="5"/>
    </row>
    <row r="972" spans="1:34">
      <c r="A972" s="5" t="str">
        <f ca="1">IFERROR(__xludf.DUMMYFUNCTION("""COMPUTED_VALUE"""),"EQUIPOS PARA SERVICIOS INDUSTRIALES")</f>
        <v>EQUIPOS PARA SERVICIOS INDUSTRIALES</v>
      </c>
      <c r="B972" s="5">
        <f ca="1">IFERROR(__xludf.DUMMYFUNCTION("""COMPUTED_VALUE"""),679356)</f>
        <v>679356</v>
      </c>
      <c r="C972" s="5" t="str">
        <f ca="1">IFERROR(__xludf.DUMMYFUNCTION("""COMPUTED_VALUE"""),"PLANTA ELECTRICA")</f>
        <v>PLANTA ELECTRICA</v>
      </c>
      <c r="D972" s="5">
        <f ca="1">IFERROR(__xludf.DUMMYFUNCTION("""COMPUTED_VALUE"""),13247501)</f>
        <v>13247501</v>
      </c>
      <c r="E972" s="5" t="str">
        <f ca="1">IFERROR(__xludf.DUMMYFUNCTION("""COMPUTED_VALUE"""),"INSPECCION SEMANAL PLANTA ELECTRICA")</f>
        <v>INSPECCION SEMANAL PLANTA ELECTRICA</v>
      </c>
      <c r="F972" s="5" t="str">
        <f ca="1">IFERROR(__xludf.DUMMYFUNCTION("""COMPUTED_VALUE"""),"INSP. NIVEL REFRIGERANTE")</f>
        <v>INSP. NIVEL REFRIGERANTE</v>
      </c>
      <c r="G972" s="5" t="b">
        <f ca="1">IFERROR(__xludf.DUMMYFUNCTION("""COMPUTED_VALUE"""),TRUE)</f>
        <v>1</v>
      </c>
      <c r="H972" s="5"/>
      <c r="I972" s="5"/>
      <c r="J972" s="5">
        <f ca="1">IFERROR(__xludf.DUMMYFUNCTION("""COMPUTED_VALUE"""),13247501)</f>
        <v>13247501</v>
      </c>
      <c r="K972" s="5"/>
      <c r="L972" s="18">
        <f ca="1">IFERROR(__xludf.DUMMYFUNCTION("""COMPUTED_VALUE"""),45325)</f>
        <v>45325</v>
      </c>
      <c r="M972" s="18">
        <f ca="1">IFERROR(__xludf.DUMMYFUNCTION("""COMPUTED_VALUE"""),45325)</f>
        <v>45325</v>
      </c>
      <c r="N972" s="5" t="str">
        <f ca="1">IFERROR(__xludf.DUMMYFUNCTION("""COMPUTED_VALUE"""),"JEFFERSON BRAVO PIEDRAHITA")</f>
        <v>JEFFERSON BRAVO PIEDRAHITA</v>
      </c>
      <c r="O972" s="2">
        <f ca="1">IFERROR(__xludf.DUMMYFUNCTION("""COMPUTED_VALUE"""),0.005263158)</f>
        <v>5.2631580000000004E-3</v>
      </c>
      <c r="P972" s="5">
        <f ca="1">IFERROR(__xludf.DUMMYFUNCTION("""COMPUTED_VALUE"""),1130593135)</f>
        <v>1130593135</v>
      </c>
      <c r="Q972" s="5" t="str">
        <f ca="1">IFERROR(__xludf.DUMMYFUNCTION("""COMPUTED_VALUE"""),"M-aa3rQzuNQ")</f>
        <v>M-aa3rQzuNQ</v>
      </c>
      <c r="R972" s="5">
        <f ca="1">IFERROR(__xludf.DUMMYFUNCTION("""COMPUTED_VALUE"""),410)</f>
        <v>410</v>
      </c>
      <c r="S972" s="62">
        <f ca="1">IFERROR(__xludf.DUMMYFUNCTION("""COMPUTED_VALUE"""),0.005263158)</f>
        <v>5.2631580000000004E-3</v>
      </c>
      <c r="T972" s="63" t="str">
        <f ca="1">IFERROR(__xludf.DUMMYFUNCTION("""COMPUTED_VALUE"""),"https://storage.googleapis.com/glide-prod.appspot.com/uploads-v2/ly7o78grxPaC6KdgvbpS/pub/3aRdSog0vUtuqPE8AJKD.png")</f>
        <v>https://storage.googleapis.com/glide-prod.appspot.com/uploads-v2/ly7o78grxPaC6KdgvbpS/pub/3aRdSog0vUtuqPE8AJKD.png</v>
      </c>
      <c r="U972" s="5" t="str">
        <f ca="1">IFERROR(__xludf.DUMMYFUNCTION("""COMPUTED_VALUE"""),"EQUIPOS PARA SERVICIOS INDUSTRIALESPLANTA ELECTRICA")</f>
        <v>EQUIPOS PARA SERVICIOS INDUSTRIALESPLANTA ELECTRICA</v>
      </c>
      <c r="V972" s="5"/>
      <c r="W972" s="5" t="b">
        <f ca="1">IFERROR(__xludf.DUMMYFUNCTION("""COMPUTED_VALUE"""),TRUE)</f>
        <v>1</v>
      </c>
      <c r="X972" s="5" t="str">
        <f ca="1">IFERROR(__xludf.DUMMYFUNCTION("""COMPUTED_VALUE"""),"wmazorra@postobon.com.co,aprmttoyu@postobon.com.co,aprmyu@postobon.com.co,wmora@postobon.com.co,efzapata@postobon.com.co")</f>
        <v>wmazorra@postobon.com.co,aprmttoyu@postobon.com.co,aprmyu@postobon.com.co,wmora@postobon.com.co,efzapata@postobon.com.co</v>
      </c>
      <c r="Y972" s="5" t="str">
        <f ca="1">IFERROR(__xludf.DUMMYFUNCTION("""COMPUTED_VALUE"""),"wmazorra@postobon.com.co")</f>
        <v>wmazorra@postobon.com.co</v>
      </c>
      <c r="Z972" s="5" t="str">
        <f ca="1">IFERROR(__xludf.DUMMYFUNCTION("""COMPUTED_VALUE"""),"BJ9Msw.CQ3qSzEHBBVVkeA")</f>
        <v>BJ9Msw.CQ3qSzEHBBVVkeA</v>
      </c>
      <c r="AA972" s="5"/>
      <c r="AB972" s="5"/>
      <c r="AC972" s="5"/>
      <c r="AD972" s="5">
        <f ca="1">IFERROR(__xludf.DUMMYFUNCTION("""COMPUTED_VALUE"""),57)</f>
        <v>57</v>
      </c>
      <c r="AE972" s="5">
        <f ca="1">IFERROR(__xludf.DUMMYFUNCTION("""COMPUTED_VALUE"""),57)</f>
        <v>57</v>
      </c>
      <c r="AF972" s="5" t="b">
        <f ca="1">IFERROR(__xludf.DUMMYFUNCTION("""COMPUTED_VALUE"""),FALSE)</f>
        <v>0</v>
      </c>
      <c r="AG972" s="5" t="str">
        <f ca="1">IFERROR(__xludf.DUMMYFUNCTION("""COMPUTED_VALUE"""),"INSPECCIONES REALIZADAS")</f>
        <v>INSPECCIONES REALIZADAS</v>
      </c>
      <c r="AH972" s="5"/>
    </row>
    <row r="973" spans="1:34">
      <c r="A973" s="5" t="str">
        <f ca="1">IFERROR(__xludf.DUMMYFUNCTION("""COMPUTED_VALUE"""),"EQUIPOS PARA SERVICIOS INDUSTRIALES")</f>
        <v>EQUIPOS PARA SERVICIOS INDUSTRIALES</v>
      </c>
      <c r="B973" s="5">
        <f ca="1">IFERROR(__xludf.DUMMYFUNCTION("""COMPUTED_VALUE"""),679356)</f>
        <v>679356</v>
      </c>
      <c r="C973" s="5" t="str">
        <f ca="1">IFERROR(__xludf.DUMMYFUNCTION("""COMPUTED_VALUE"""),"PLANTA ELECTRICA")</f>
        <v>PLANTA ELECTRICA</v>
      </c>
      <c r="D973" s="5">
        <f ca="1">IFERROR(__xludf.DUMMYFUNCTION("""COMPUTED_VALUE"""),13247501)</f>
        <v>13247501</v>
      </c>
      <c r="E973" s="5" t="str">
        <f ca="1">IFERROR(__xludf.DUMMYFUNCTION("""COMPUTED_VALUE"""),"INSPECCION SEMANAL PLANTA ELECTRICA")</f>
        <v>INSPECCION SEMANAL PLANTA ELECTRICA</v>
      </c>
      <c r="F973" s="5" t="str">
        <f ca="1">IFERROR(__xludf.DUMMYFUNCTION("""COMPUTED_VALUE"""),"INSP NIVEL COMBUSTIBLE")</f>
        <v>INSP NIVEL COMBUSTIBLE</v>
      </c>
      <c r="G973" s="5" t="b">
        <f ca="1">IFERROR(__xludf.DUMMYFUNCTION("""COMPUTED_VALUE"""),TRUE)</f>
        <v>1</v>
      </c>
      <c r="H973" s="5"/>
      <c r="I973" s="5"/>
      <c r="J973" s="5">
        <f ca="1">IFERROR(__xludf.DUMMYFUNCTION("""COMPUTED_VALUE"""),13247501)</f>
        <v>13247501</v>
      </c>
      <c r="K973" s="5"/>
      <c r="L973" s="18">
        <f ca="1">IFERROR(__xludf.DUMMYFUNCTION("""COMPUTED_VALUE"""),45325)</f>
        <v>45325</v>
      </c>
      <c r="M973" s="18">
        <f ca="1">IFERROR(__xludf.DUMMYFUNCTION("""COMPUTED_VALUE"""),45325)</f>
        <v>45325</v>
      </c>
      <c r="N973" s="5" t="str">
        <f ca="1">IFERROR(__xludf.DUMMYFUNCTION("""COMPUTED_VALUE"""),"JEFFERSON BRAVO PIEDRAHITA")</f>
        <v>JEFFERSON BRAVO PIEDRAHITA</v>
      </c>
      <c r="O973" s="2">
        <f ca="1">IFERROR(__xludf.DUMMYFUNCTION("""COMPUTED_VALUE"""),0.005263158)</f>
        <v>5.2631580000000004E-3</v>
      </c>
      <c r="P973" s="5">
        <f ca="1">IFERROR(__xludf.DUMMYFUNCTION("""COMPUTED_VALUE"""),1130593135)</f>
        <v>1130593135</v>
      </c>
      <c r="Q973" s="5" t="str">
        <f ca="1">IFERROR(__xludf.DUMMYFUNCTION("""COMPUTED_VALUE"""),"C73Jicmttjw")</f>
        <v>C73Jicmttjw</v>
      </c>
      <c r="R973" s="5">
        <f ca="1">IFERROR(__xludf.DUMMYFUNCTION("""COMPUTED_VALUE"""),410)</f>
        <v>410</v>
      </c>
      <c r="S973" s="62">
        <f ca="1">IFERROR(__xludf.DUMMYFUNCTION("""COMPUTED_VALUE"""),0.005263158)</f>
        <v>5.2631580000000004E-3</v>
      </c>
      <c r="T973" s="63" t="str">
        <f ca="1">IFERROR(__xludf.DUMMYFUNCTION("""COMPUTED_VALUE"""),"https://storage.googleapis.com/glide-prod.appspot.com/uploads-v2/ly7o78grxPaC6KdgvbpS/pub/3aRdSog0vUtuqPE8AJKD.png")</f>
        <v>https://storage.googleapis.com/glide-prod.appspot.com/uploads-v2/ly7o78grxPaC6KdgvbpS/pub/3aRdSog0vUtuqPE8AJKD.png</v>
      </c>
      <c r="U973" s="5" t="str">
        <f ca="1">IFERROR(__xludf.DUMMYFUNCTION("""COMPUTED_VALUE"""),"EQUIPOS PARA SERVICIOS INDUSTRIALESPLANTA ELECTRICA")</f>
        <v>EQUIPOS PARA SERVICIOS INDUSTRIALESPLANTA ELECTRICA</v>
      </c>
      <c r="V973" s="5"/>
      <c r="W973" s="5" t="b">
        <f ca="1">IFERROR(__xludf.DUMMYFUNCTION("""COMPUTED_VALUE"""),TRUE)</f>
        <v>1</v>
      </c>
      <c r="X973" s="5" t="str">
        <f ca="1">IFERROR(__xludf.DUMMYFUNCTION("""COMPUTED_VALUE"""),"wmazorra@postobon.com.co,aprmttoyu@postobon.com.co,aprmyu@postobon.com.co,wmora@postobon.com.co,efzapata@postobon.com.co")</f>
        <v>wmazorra@postobon.com.co,aprmttoyu@postobon.com.co,aprmyu@postobon.com.co,wmora@postobon.com.co,efzapata@postobon.com.co</v>
      </c>
      <c r="Y973" s="5" t="str">
        <f ca="1">IFERROR(__xludf.DUMMYFUNCTION("""COMPUTED_VALUE"""),"wmazorra@postobon.com.co")</f>
        <v>wmazorra@postobon.com.co</v>
      </c>
      <c r="Z973" s="5" t="str">
        <f ca="1">IFERROR(__xludf.DUMMYFUNCTION("""COMPUTED_VALUE"""),"4nFHRnyRSue0.q4WKNVvgA")</f>
        <v>4nFHRnyRSue0.q4WKNVvgA</v>
      </c>
      <c r="AA973" s="5"/>
      <c r="AB973" s="5"/>
      <c r="AC973" s="5"/>
      <c r="AD973" s="5">
        <f ca="1">IFERROR(__xludf.DUMMYFUNCTION("""COMPUTED_VALUE"""),57)</f>
        <v>57</v>
      </c>
      <c r="AE973" s="5">
        <f ca="1">IFERROR(__xludf.DUMMYFUNCTION("""COMPUTED_VALUE"""),57)</f>
        <v>57</v>
      </c>
      <c r="AF973" s="5" t="b">
        <f ca="1">IFERROR(__xludf.DUMMYFUNCTION("""COMPUTED_VALUE"""),FALSE)</f>
        <v>0</v>
      </c>
      <c r="AG973" s="5" t="str">
        <f ca="1">IFERROR(__xludf.DUMMYFUNCTION("""COMPUTED_VALUE"""),"INSPECCIONES REALIZADAS")</f>
        <v>INSPECCIONES REALIZADAS</v>
      </c>
      <c r="AH973" s="5"/>
    </row>
    <row r="974" spans="1:34">
      <c r="A974" s="5" t="str">
        <f ca="1">IFERROR(__xludf.DUMMYFUNCTION("""COMPUTED_VALUE"""),"EQUIPOS PARA SERVICIOS INDUSTRIALES")</f>
        <v>EQUIPOS PARA SERVICIOS INDUSTRIALES</v>
      </c>
      <c r="B974" s="5">
        <f ca="1">IFERROR(__xludf.DUMMYFUNCTION("""COMPUTED_VALUE"""),679356)</f>
        <v>679356</v>
      </c>
      <c r="C974" s="5" t="str">
        <f ca="1">IFERROR(__xludf.DUMMYFUNCTION("""COMPUTED_VALUE"""),"PLANTA ELECTRICA")</f>
        <v>PLANTA ELECTRICA</v>
      </c>
      <c r="D974" s="5">
        <f ca="1">IFERROR(__xludf.DUMMYFUNCTION("""COMPUTED_VALUE"""),13247501)</f>
        <v>13247501</v>
      </c>
      <c r="E974" s="5" t="str">
        <f ca="1">IFERROR(__xludf.DUMMYFUNCTION("""COMPUTED_VALUE"""),"INSPECCION SEMANAL PLANTA ELECTRICA")</f>
        <v>INSPECCION SEMANAL PLANTA ELECTRICA</v>
      </c>
      <c r="F974" s="5" t="str">
        <f ca="1">IFERROR(__xludf.DUMMYFUNCTION("""COMPUTED_VALUE"""),"INSP. FUSIBLES CONTROLES Y ALTERNADOR")</f>
        <v>INSP. FUSIBLES CONTROLES Y ALTERNADOR</v>
      </c>
      <c r="G974" s="5" t="b">
        <f ca="1">IFERROR(__xludf.DUMMYFUNCTION("""COMPUTED_VALUE"""),TRUE)</f>
        <v>1</v>
      </c>
      <c r="H974" s="5"/>
      <c r="I974" s="5"/>
      <c r="J974" s="5">
        <f ca="1">IFERROR(__xludf.DUMMYFUNCTION("""COMPUTED_VALUE"""),13247501)</f>
        <v>13247501</v>
      </c>
      <c r="K974" s="5"/>
      <c r="L974" s="18">
        <f ca="1">IFERROR(__xludf.DUMMYFUNCTION("""COMPUTED_VALUE"""),45325)</f>
        <v>45325</v>
      </c>
      <c r="M974" s="18">
        <f ca="1">IFERROR(__xludf.DUMMYFUNCTION("""COMPUTED_VALUE"""),45325)</f>
        <v>45325</v>
      </c>
      <c r="N974" s="5" t="str">
        <f ca="1">IFERROR(__xludf.DUMMYFUNCTION("""COMPUTED_VALUE"""),"JEFFERSON BRAVO PIEDRAHITA")</f>
        <v>JEFFERSON BRAVO PIEDRAHITA</v>
      </c>
      <c r="O974" s="2">
        <f ca="1">IFERROR(__xludf.DUMMYFUNCTION("""COMPUTED_VALUE"""),0.005263158)</f>
        <v>5.2631580000000004E-3</v>
      </c>
      <c r="P974" s="5">
        <f ca="1">IFERROR(__xludf.DUMMYFUNCTION("""COMPUTED_VALUE"""),1130593135)</f>
        <v>1130593135</v>
      </c>
      <c r="Q974" s="5" t="str">
        <f ca="1">IFERROR(__xludf.DUMMYFUNCTION("""COMPUTED_VALUE"""),"4ts9rdH_wiA")</f>
        <v>4ts9rdH_wiA</v>
      </c>
      <c r="R974" s="5">
        <f ca="1">IFERROR(__xludf.DUMMYFUNCTION("""COMPUTED_VALUE"""),410)</f>
        <v>410</v>
      </c>
      <c r="S974" s="62">
        <f ca="1">IFERROR(__xludf.DUMMYFUNCTION("""COMPUTED_VALUE"""),0.005263158)</f>
        <v>5.2631580000000004E-3</v>
      </c>
      <c r="T974" s="63" t="str">
        <f ca="1">IFERROR(__xludf.DUMMYFUNCTION("""COMPUTED_VALUE"""),"https://storage.googleapis.com/glide-prod.appspot.com/uploads-v2/ly7o78grxPaC6KdgvbpS/pub/3aRdSog0vUtuqPE8AJKD.png")</f>
        <v>https://storage.googleapis.com/glide-prod.appspot.com/uploads-v2/ly7o78grxPaC6KdgvbpS/pub/3aRdSog0vUtuqPE8AJKD.png</v>
      </c>
      <c r="U974" s="5" t="str">
        <f ca="1">IFERROR(__xludf.DUMMYFUNCTION("""COMPUTED_VALUE"""),"EQUIPOS PARA SERVICIOS INDUSTRIALESPLANTA ELECTRICA")</f>
        <v>EQUIPOS PARA SERVICIOS INDUSTRIALESPLANTA ELECTRICA</v>
      </c>
      <c r="V974" s="5"/>
      <c r="W974" s="5" t="b">
        <f ca="1">IFERROR(__xludf.DUMMYFUNCTION("""COMPUTED_VALUE"""),TRUE)</f>
        <v>1</v>
      </c>
      <c r="X974" s="5" t="str">
        <f ca="1">IFERROR(__xludf.DUMMYFUNCTION("""COMPUTED_VALUE"""),"wmazorra@postobon.com.co,aprmttoyu@postobon.com.co,aprmyu@postobon.com.co,wmora@postobon.com.co,efzapata@postobon.com.co")</f>
        <v>wmazorra@postobon.com.co,aprmttoyu@postobon.com.co,aprmyu@postobon.com.co,wmora@postobon.com.co,efzapata@postobon.com.co</v>
      </c>
      <c r="Y974" s="5" t="str">
        <f ca="1">IFERROR(__xludf.DUMMYFUNCTION("""COMPUTED_VALUE"""),"wmazorra@postobon.com.co")</f>
        <v>wmazorra@postobon.com.co</v>
      </c>
      <c r="Z974" s="5" t="str">
        <f ca="1">IFERROR(__xludf.DUMMYFUNCTION("""COMPUTED_VALUE"""),"UzGyVZ93Qf2HQE5ilkof2g")</f>
        <v>UzGyVZ93Qf2HQE5ilkof2g</v>
      </c>
      <c r="AA974" s="5"/>
      <c r="AB974" s="5"/>
      <c r="AC974" s="5"/>
      <c r="AD974" s="5">
        <f ca="1">IFERROR(__xludf.DUMMYFUNCTION("""COMPUTED_VALUE"""),57)</f>
        <v>57</v>
      </c>
      <c r="AE974" s="5">
        <f ca="1">IFERROR(__xludf.DUMMYFUNCTION("""COMPUTED_VALUE"""),57)</f>
        <v>57</v>
      </c>
      <c r="AF974" s="5" t="b">
        <f ca="1">IFERROR(__xludf.DUMMYFUNCTION("""COMPUTED_VALUE"""),FALSE)</f>
        <v>0</v>
      </c>
      <c r="AG974" s="5" t="str">
        <f ca="1">IFERROR(__xludf.DUMMYFUNCTION("""COMPUTED_VALUE"""),"INSPECCIONES REALIZADAS")</f>
        <v>INSPECCIONES REALIZADAS</v>
      </c>
      <c r="AH974" s="5"/>
    </row>
    <row r="975" spans="1:34">
      <c r="A975" s="5" t="str">
        <f ca="1">IFERROR(__xludf.DUMMYFUNCTION("""COMPUTED_VALUE"""),"EQUIPOS PARA SERVICIOS INDUSTRIALES")</f>
        <v>EQUIPOS PARA SERVICIOS INDUSTRIALES</v>
      </c>
      <c r="B975" s="5">
        <f ca="1">IFERROR(__xludf.DUMMYFUNCTION("""COMPUTED_VALUE"""),679356)</f>
        <v>679356</v>
      </c>
      <c r="C975" s="5" t="str">
        <f ca="1">IFERROR(__xludf.DUMMYFUNCTION("""COMPUTED_VALUE"""),"PLANTA ELECTRICA")</f>
        <v>PLANTA ELECTRICA</v>
      </c>
      <c r="D975" s="5">
        <f ca="1">IFERROR(__xludf.DUMMYFUNCTION("""COMPUTED_VALUE"""),13247501)</f>
        <v>13247501</v>
      </c>
      <c r="E975" s="5" t="str">
        <f ca="1">IFERROR(__xludf.DUMMYFUNCTION("""COMPUTED_VALUE"""),"INSPECCION SEMANAL PLANTA ELECTRICA")</f>
        <v>INSPECCION SEMANAL PLANTA ELECTRICA</v>
      </c>
      <c r="F975" s="5" t="str">
        <f ca="1">IFERROR(__xludf.DUMMYFUNCTION("""COMPUTED_VALUE"""),"INSP BATERIAS(ESTADO,CARGA)")</f>
        <v>INSP BATERIAS(ESTADO,CARGA)</v>
      </c>
      <c r="G975" s="5" t="b">
        <f ca="1">IFERROR(__xludf.DUMMYFUNCTION("""COMPUTED_VALUE"""),TRUE)</f>
        <v>1</v>
      </c>
      <c r="H975" s="5"/>
      <c r="I975" s="5"/>
      <c r="J975" s="5">
        <f ca="1">IFERROR(__xludf.DUMMYFUNCTION("""COMPUTED_VALUE"""),13247501)</f>
        <v>13247501</v>
      </c>
      <c r="K975" s="5"/>
      <c r="L975" s="18">
        <f ca="1">IFERROR(__xludf.DUMMYFUNCTION("""COMPUTED_VALUE"""),45325)</f>
        <v>45325</v>
      </c>
      <c r="M975" s="18">
        <f ca="1">IFERROR(__xludf.DUMMYFUNCTION("""COMPUTED_VALUE"""),45325)</f>
        <v>45325</v>
      </c>
      <c r="N975" s="5" t="str">
        <f ca="1">IFERROR(__xludf.DUMMYFUNCTION("""COMPUTED_VALUE"""),"JEFFERSON BRAVO PIEDRAHITA")</f>
        <v>JEFFERSON BRAVO PIEDRAHITA</v>
      </c>
      <c r="O975" s="2">
        <f ca="1">IFERROR(__xludf.DUMMYFUNCTION("""COMPUTED_VALUE"""),0.005263158)</f>
        <v>5.2631580000000004E-3</v>
      </c>
      <c r="P975" s="5">
        <f ca="1">IFERROR(__xludf.DUMMYFUNCTION("""COMPUTED_VALUE"""),1130593135)</f>
        <v>1130593135</v>
      </c>
      <c r="Q975" s="5" t="str">
        <f ca="1">IFERROR(__xludf.DUMMYFUNCTION("""COMPUTED_VALUE"""),"sQFlWih1Rzs")</f>
        <v>sQFlWih1Rzs</v>
      </c>
      <c r="R975" s="5">
        <f ca="1">IFERROR(__xludf.DUMMYFUNCTION("""COMPUTED_VALUE"""),410)</f>
        <v>410</v>
      </c>
      <c r="S975" s="62">
        <f ca="1">IFERROR(__xludf.DUMMYFUNCTION("""COMPUTED_VALUE"""),0.005263158)</f>
        <v>5.2631580000000004E-3</v>
      </c>
      <c r="T975" s="63" t="str">
        <f ca="1">IFERROR(__xludf.DUMMYFUNCTION("""COMPUTED_VALUE"""),"https://storage.googleapis.com/glide-prod.appspot.com/uploads-v2/ly7o78grxPaC6KdgvbpS/pub/3aRdSog0vUtuqPE8AJKD.png")</f>
        <v>https://storage.googleapis.com/glide-prod.appspot.com/uploads-v2/ly7o78grxPaC6KdgvbpS/pub/3aRdSog0vUtuqPE8AJKD.png</v>
      </c>
      <c r="U975" s="5" t="str">
        <f ca="1">IFERROR(__xludf.DUMMYFUNCTION("""COMPUTED_VALUE"""),"EQUIPOS PARA SERVICIOS INDUSTRIALESPLANTA ELECTRICA")</f>
        <v>EQUIPOS PARA SERVICIOS INDUSTRIALESPLANTA ELECTRICA</v>
      </c>
      <c r="V975" s="5"/>
      <c r="W975" s="5" t="b">
        <f ca="1">IFERROR(__xludf.DUMMYFUNCTION("""COMPUTED_VALUE"""),TRUE)</f>
        <v>1</v>
      </c>
      <c r="X975" s="5" t="str">
        <f ca="1">IFERROR(__xludf.DUMMYFUNCTION("""COMPUTED_VALUE"""),"wmazorra@postobon.com.co,aprmttoyu@postobon.com.co,aprmyu@postobon.com.co,wmora@postobon.com.co,efzapata@postobon.com.co")</f>
        <v>wmazorra@postobon.com.co,aprmttoyu@postobon.com.co,aprmyu@postobon.com.co,wmora@postobon.com.co,efzapata@postobon.com.co</v>
      </c>
      <c r="Y975" s="5" t="str">
        <f ca="1">IFERROR(__xludf.DUMMYFUNCTION("""COMPUTED_VALUE"""),"wmazorra@postobon.com.co")</f>
        <v>wmazorra@postobon.com.co</v>
      </c>
      <c r="Z975" s="5" t="str">
        <f ca="1">IFERROR(__xludf.DUMMYFUNCTION("""COMPUTED_VALUE"""),"FYUPw8zjSyyCHznPgSoFHw")</f>
        <v>FYUPw8zjSyyCHznPgSoFHw</v>
      </c>
      <c r="AA975" s="5"/>
      <c r="AB975" s="5"/>
      <c r="AC975" s="5"/>
      <c r="AD975" s="5">
        <f ca="1">IFERROR(__xludf.DUMMYFUNCTION("""COMPUTED_VALUE"""),57)</f>
        <v>57</v>
      </c>
      <c r="AE975" s="5">
        <f ca="1">IFERROR(__xludf.DUMMYFUNCTION("""COMPUTED_VALUE"""),57)</f>
        <v>57</v>
      </c>
      <c r="AF975" s="5" t="b">
        <f ca="1">IFERROR(__xludf.DUMMYFUNCTION("""COMPUTED_VALUE"""),FALSE)</f>
        <v>0</v>
      </c>
      <c r="AG975" s="5" t="str">
        <f ca="1">IFERROR(__xludf.DUMMYFUNCTION("""COMPUTED_VALUE"""),"INSPECCIONES REALIZADAS")</f>
        <v>INSPECCIONES REALIZADAS</v>
      </c>
      <c r="AH975" s="5"/>
    </row>
    <row r="976" spans="1:34">
      <c r="A976" s="5" t="str">
        <f ca="1">IFERROR(__xludf.DUMMYFUNCTION("""COMPUTED_VALUE"""),"EQUIPOS PARA SERVICIOS INDUSTRIALES")</f>
        <v>EQUIPOS PARA SERVICIOS INDUSTRIALES</v>
      </c>
      <c r="B976" s="5">
        <f ca="1">IFERROR(__xludf.DUMMYFUNCTION("""COMPUTED_VALUE"""),679356)</f>
        <v>679356</v>
      </c>
      <c r="C976" s="5" t="str">
        <f ca="1">IFERROR(__xludf.DUMMYFUNCTION("""COMPUTED_VALUE"""),"PLANTA ELECTRICA")</f>
        <v>PLANTA ELECTRICA</v>
      </c>
      <c r="D976" s="5">
        <f ca="1">IFERROR(__xludf.DUMMYFUNCTION("""COMPUTED_VALUE"""),13247501)</f>
        <v>13247501</v>
      </c>
      <c r="E976" s="5" t="str">
        <f ca="1">IFERROR(__xludf.DUMMYFUNCTION("""COMPUTED_VALUE"""),"INSPECCION SEMANAL PLANTA ELECTRICA")</f>
        <v>INSPECCION SEMANAL PLANTA ELECTRICA</v>
      </c>
      <c r="F976" s="5" t="str">
        <f ca="1">IFERROR(__xludf.DUMMYFUNCTION("""COMPUTED_VALUE"""),"INSP FILTRO AIRE")</f>
        <v>INSP FILTRO AIRE</v>
      </c>
      <c r="G976" s="5" t="b">
        <f ca="1">IFERROR(__xludf.DUMMYFUNCTION("""COMPUTED_VALUE"""),TRUE)</f>
        <v>1</v>
      </c>
      <c r="H976" s="5"/>
      <c r="I976" s="5"/>
      <c r="J976" s="5">
        <f ca="1">IFERROR(__xludf.DUMMYFUNCTION("""COMPUTED_VALUE"""),13247501)</f>
        <v>13247501</v>
      </c>
      <c r="K976" s="5"/>
      <c r="L976" s="18">
        <f ca="1">IFERROR(__xludf.DUMMYFUNCTION("""COMPUTED_VALUE"""),45325)</f>
        <v>45325</v>
      </c>
      <c r="M976" s="18">
        <f ca="1">IFERROR(__xludf.DUMMYFUNCTION("""COMPUTED_VALUE"""),45325)</f>
        <v>45325</v>
      </c>
      <c r="N976" s="5" t="str">
        <f ca="1">IFERROR(__xludf.DUMMYFUNCTION("""COMPUTED_VALUE"""),"JEFFERSON BRAVO PIEDRAHITA")</f>
        <v>JEFFERSON BRAVO PIEDRAHITA</v>
      </c>
      <c r="O976" s="2">
        <f ca="1">IFERROR(__xludf.DUMMYFUNCTION("""COMPUTED_VALUE"""),0.005263158)</f>
        <v>5.2631580000000004E-3</v>
      </c>
      <c r="P976" s="5">
        <f ca="1">IFERROR(__xludf.DUMMYFUNCTION("""COMPUTED_VALUE"""),1130593135)</f>
        <v>1130593135</v>
      </c>
      <c r="Q976" s="5" t="str">
        <f ca="1">IFERROR(__xludf.DUMMYFUNCTION("""COMPUTED_VALUE"""),"35YOz0HpE_M")</f>
        <v>35YOz0HpE_M</v>
      </c>
      <c r="R976" s="5">
        <f ca="1">IFERROR(__xludf.DUMMYFUNCTION("""COMPUTED_VALUE"""),410)</f>
        <v>410</v>
      </c>
      <c r="S976" s="62">
        <f ca="1">IFERROR(__xludf.DUMMYFUNCTION("""COMPUTED_VALUE"""),0.005263158)</f>
        <v>5.2631580000000004E-3</v>
      </c>
      <c r="T976" s="63" t="str">
        <f ca="1">IFERROR(__xludf.DUMMYFUNCTION("""COMPUTED_VALUE"""),"https://storage.googleapis.com/glide-prod.appspot.com/uploads-v2/ly7o78grxPaC6KdgvbpS/pub/3aRdSog0vUtuqPE8AJKD.png")</f>
        <v>https://storage.googleapis.com/glide-prod.appspot.com/uploads-v2/ly7o78grxPaC6KdgvbpS/pub/3aRdSog0vUtuqPE8AJKD.png</v>
      </c>
      <c r="U976" s="5" t="str">
        <f ca="1">IFERROR(__xludf.DUMMYFUNCTION("""COMPUTED_VALUE"""),"EQUIPOS PARA SERVICIOS INDUSTRIALESPLANTA ELECTRICA")</f>
        <v>EQUIPOS PARA SERVICIOS INDUSTRIALESPLANTA ELECTRICA</v>
      </c>
      <c r="V976" s="5"/>
      <c r="W976" s="5" t="b">
        <f ca="1">IFERROR(__xludf.DUMMYFUNCTION("""COMPUTED_VALUE"""),TRUE)</f>
        <v>1</v>
      </c>
      <c r="X976" s="5" t="str">
        <f ca="1">IFERROR(__xludf.DUMMYFUNCTION("""COMPUTED_VALUE"""),"wmazorra@postobon.com.co,aprmttoyu@postobon.com.co,aprmyu@postobon.com.co,wmora@postobon.com.co,efzapata@postobon.com.co")</f>
        <v>wmazorra@postobon.com.co,aprmttoyu@postobon.com.co,aprmyu@postobon.com.co,wmora@postobon.com.co,efzapata@postobon.com.co</v>
      </c>
      <c r="Y976" s="5" t="str">
        <f ca="1">IFERROR(__xludf.DUMMYFUNCTION("""COMPUTED_VALUE"""),"wmazorra@postobon.com.co")</f>
        <v>wmazorra@postobon.com.co</v>
      </c>
      <c r="Z976" s="5" t="str">
        <f ca="1">IFERROR(__xludf.DUMMYFUNCTION("""COMPUTED_VALUE"""),"PcCPq.DfRnaTzWbO9trrYw")</f>
        <v>PcCPq.DfRnaTzWbO9trrYw</v>
      </c>
      <c r="AA976" s="5"/>
      <c r="AB976" s="5"/>
      <c r="AC976" s="5"/>
      <c r="AD976" s="5">
        <f ca="1">IFERROR(__xludf.DUMMYFUNCTION("""COMPUTED_VALUE"""),57)</f>
        <v>57</v>
      </c>
      <c r="AE976" s="5">
        <f ca="1">IFERROR(__xludf.DUMMYFUNCTION("""COMPUTED_VALUE"""),57)</f>
        <v>57</v>
      </c>
      <c r="AF976" s="5" t="b">
        <f ca="1">IFERROR(__xludf.DUMMYFUNCTION("""COMPUTED_VALUE"""),FALSE)</f>
        <v>0</v>
      </c>
      <c r="AG976" s="5" t="str">
        <f ca="1">IFERROR(__xludf.DUMMYFUNCTION("""COMPUTED_VALUE"""),"INSPECCIONES REALIZADAS")</f>
        <v>INSPECCIONES REALIZADAS</v>
      </c>
      <c r="AH976" s="5"/>
    </row>
    <row r="977" spans="1:34">
      <c r="A977" s="5" t="str">
        <f ca="1">IFERROR(__xludf.DUMMYFUNCTION("""COMPUTED_VALUE"""),"EQUIPOS PARA SERVICIOS INDUSTRIALES")</f>
        <v>EQUIPOS PARA SERVICIOS INDUSTRIALES</v>
      </c>
      <c r="B977" s="5">
        <f ca="1">IFERROR(__xludf.DUMMYFUNCTION("""COMPUTED_VALUE"""),679356)</f>
        <v>679356</v>
      </c>
      <c r="C977" s="5" t="str">
        <f ca="1">IFERROR(__xludf.DUMMYFUNCTION("""COMPUTED_VALUE"""),"PLANTA ELECTRICA")</f>
        <v>PLANTA ELECTRICA</v>
      </c>
      <c r="D977" s="5">
        <f ca="1">IFERROR(__xludf.DUMMYFUNCTION("""COMPUTED_VALUE"""),13247501)</f>
        <v>13247501</v>
      </c>
      <c r="E977" s="5" t="str">
        <f ca="1">IFERROR(__xludf.DUMMYFUNCTION("""COMPUTED_VALUE"""),"INSPECCION SEMANAL PLANTA ELECTRICA")</f>
        <v>INSPECCION SEMANAL PLANTA ELECTRICA</v>
      </c>
      <c r="F977" s="5" t="str">
        <f ca="1">IFERROR(__xludf.DUMMYFUNCTION("""COMPUTED_VALUE"""),"INSP LUGAR DESPEJADO (LIMPIO)")</f>
        <v>INSP LUGAR DESPEJADO (LIMPIO)</v>
      </c>
      <c r="G977" s="5" t="b">
        <f ca="1">IFERROR(__xludf.DUMMYFUNCTION("""COMPUTED_VALUE"""),TRUE)</f>
        <v>1</v>
      </c>
      <c r="H977" s="5"/>
      <c r="I977" s="5"/>
      <c r="J977" s="5">
        <f ca="1">IFERROR(__xludf.DUMMYFUNCTION("""COMPUTED_VALUE"""),13247501)</f>
        <v>13247501</v>
      </c>
      <c r="K977" s="5"/>
      <c r="L977" s="18">
        <f ca="1">IFERROR(__xludf.DUMMYFUNCTION("""COMPUTED_VALUE"""),45325)</f>
        <v>45325</v>
      </c>
      <c r="M977" s="18">
        <f ca="1">IFERROR(__xludf.DUMMYFUNCTION("""COMPUTED_VALUE"""),45325)</f>
        <v>45325</v>
      </c>
      <c r="N977" s="5" t="str">
        <f ca="1">IFERROR(__xludf.DUMMYFUNCTION("""COMPUTED_VALUE"""),"JEFFERSON BRAVO PIEDRAHITA")</f>
        <v>JEFFERSON BRAVO PIEDRAHITA</v>
      </c>
      <c r="O977" s="2">
        <f ca="1">IFERROR(__xludf.DUMMYFUNCTION("""COMPUTED_VALUE"""),0.005263158)</f>
        <v>5.2631580000000004E-3</v>
      </c>
      <c r="P977" s="5">
        <f ca="1">IFERROR(__xludf.DUMMYFUNCTION("""COMPUTED_VALUE"""),1130593135)</f>
        <v>1130593135</v>
      </c>
      <c r="Q977" s="5" t="str">
        <f ca="1">IFERROR(__xludf.DUMMYFUNCTION("""COMPUTED_VALUE"""),"W-dTZOqce24")</f>
        <v>W-dTZOqce24</v>
      </c>
      <c r="R977" s="5">
        <f ca="1">IFERROR(__xludf.DUMMYFUNCTION("""COMPUTED_VALUE"""),410)</f>
        <v>410</v>
      </c>
      <c r="S977" s="62">
        <f ca="1">IFERROR(__xludf.DUMMYFUNCTION("""COMPUTED_VALUE"""),0.005263158)</f>
        <v>5.2631580000000004E-3</v>
      </c>
      <c r="T977" s="63" t="str">
        <f ca="1">IFERROR(__xludf.DUMMYFUNCTION("""COMPUTED_VALUE"""),"https://storage.googleapis.com/glide-prod.appspot.com/uploads-v2/ly7o78grxPaC6KdgvbpS/pub/3aRdSog0vUtuqPE8AJKD.png")</f>
        <v>https://storage.googleapis.com/glide-prod.appspot.com/uploads-v2/ly7o78grxPaC6KdgvbpS/pub/3aRdSog0vUtuqPE8AJKD.png</v>
      </c>
      <c r="U977" s="5" t="str">
        <f ca="1">IFERROR(__xludf.DUMMYFUNCTION("""COMPUTED_VALUE"""),"EQUIPOS PARA SERVICIOS INDUSTRIALESPLANTA ELECTRICA")</f>
        <v>EQUIPOS PARA SERVICIOS INDUSTRIALESPLANTA ELECTRICA</v>
      </c>
      <c r="V977" s="5"/>
      <c r="W977" s="5" t="b">
        <f ca="1">IFERROR(__xludf.DUMMYFUNCTION("""COMPUTED_VALUE"""),TRUE)</f>
        <v>1</v>
      </c>
      <c r="X977" s="5" t="str">
        <f ca="1">IFERROR(__xludf.DUMMYFUNCTION("""COMPUTED_VALUE"""),"wmazorra@postobon.com.co,aprmttoyu@postobon.com.co,aprmyu@postobon.com.co,wmora@postobon.com.co,efzapata@postobon.com.co")</f>
        <v>wmazorra@postobon.com.co,aprmttoyu@postobon.com.co,aprmyu@postobon.com.co,wmora@postobon.com.co,efzapata@postobon.com.co</v>
      </c>
      <c r="Y977" s="5" t="str">
        <f ca="1">IFERROR(__xludf.DUMMYFUNCTION("""COMPUTED_VALUE"""),"wmazorra@postobon.com.co")</f>
        <v>wmazorra@postobon.com.co</v>
      </c>
      <c r="Z977" s="5" t="str">
        <f ca="1">IFERROR(__xludf.DUMMYFUNCTION("""COMPUTED_VALUE"""),"7Wbx7OycQfWMj8r65PS9nA")</f>
        <v>7Wbx7OycQfWMj8r65PS9nA</v>
      </c>
      <c r="AA977" s="5"/>
      <c r="AB977" s="5"/>
      <c r="AC977" s="5"/>
      <c r="AD977" s="5">
        <f ca="1">IFERROR(__xludf.DUMMYFUNCTION("""COMPUTED_VALUE"""),57)</f>
        <v>57</v>
      </c>
      <c r="AE977" s="5">
        <f ca="1">IFERROR(__xludf.DUMMYFUNCTION("""COMPUTED_VALUE"""),57)</f>
        <v>57</v>
      </c>
      <c r="AF977" s="5" t="b">
        <f ca="1">IFERROR(__xludf.DUMMYFUNCTION("""COMPUTED_VALUE"""),FALSE)</f>
        <v>0</v>
      </c>
      <c r="AG977" s="5" t="str">
        <f ca="1">IFERROR(__xludf.DUMMYFUNCTION("""COMPUTED_VALUE"""),"INSPECCIONES REALIZADAS")</f>
        <v>INSPECCIONES REALIZADAS</v>
      </c>
      <c r="AH977" s="5"/>
    </row>
    <row r="978" spans="1:34">
      <c r="A978" s="5" t="str">
        <f ca="1">IFERROR(__xludf.DUMMYFUNCTION("""COMPUTED_VALUE"""),"EQUIPOS PARA SERVICIOS INDUSTRIALES")</f>
        <v>EQUIPOS PARA SERVICIOS INDUSTRIALES</v>
      </c>
      <c r="B978" s="5">
        <f ca="1">IFERROR(__xludf.DUMMYFUNCTION("""COMPUTED_VALUE"""),679356)</f>
        <v>679356</v>
      </c>
      <c r="C978" s="5" t="str">
        <f ca="1">IFERROR(__xludf.DUMMYFUNCTION("""COMPUTED_VALUE"""),"PLANTA ELECTRICA")</f>
        <v>PLANTA ELECTRICA</v>
      </c>
      <c r="D978" s="5">
        <f ca="1">IFERROR(__xludf.DUMMYFUNCTION("""COMPUTED_VALUE"""),13247501)</f>
        <v>13247501</v>
      </c>
      <c r="E978" s="5" t="str">
        <f ca="1">IFERROR(__xludf.DUMMYFUNCTION("""COMPUTED_VALUE"""),"INSPECCION SEMANAL PLANTA ELECTRICA")</f>
        <v>INSPECCION SEMANAL PLANTA ELECTRICA</v>
      </c>
      <c r="F978" s="5" t="str">
        <f ca="1">IFERROR(__xludf.DUMMYFUNCTION("""COMPUTED_VALUE"""),"INSP RUIDOS EXTRAÑOS")</f>
        <v>INSP RUIDOS EXTRAÑOS</v>
      </c>
      <c r="G978" s="5" t="b">
        <f ca="1">IFERROR(__xludf.DUMMYFUNCTION("""COMPUTED_VALUE"""),TRUE)</f>
        <v>1</v>
      </c>
      <c r="H978" s="5"/>
      <c r="I978" s="5"/>
      <c r="J978" s="5">
        <f ca="1">IFERROR(__xludf.DUMMYFUNCTION("""COMPUTED_VALUE"""),13247501)</f>
        <v>13247501</v>
      </c>
      <c r="K978" s="5"/>
      <c r="L978" s="18">
        <f ca="1">IFERROR(__xludf.DUMMYFUNCTION("""COMPUTED_VALUE"""),45325)</f>
        <v>45325</v>
      </c>
      <c r="M978" s="18">
        <f ca="1">IFERROR(__xludf.DUMMYFUNCTION("""COMPUTED_VALUE"""),45325)</f>
        <v>45325</v>
      </c>
      <c r="N978" s="5" t="str">
        <f ca="1">IFERROR(__xludf.DUMMYFUNCTION("""COMPUTED_VALUE"""),"JEFFERSON BRAVO PIEDRAHITA")</f>
        <v>JEFFERSON BRAVO PIEDRAHITA</v>
      </c>
      <c r="O978" s="2">
        <f ca="1">IFERROR(__xludf.DUMMYFUNCTION("""COMPUTED_VALUE"""),0.005263158)</f>
        <v>5.2631580000000004E-3</v>
      </c>
      <c r="P978" s="5">
        <f ca="1">IFERROR(__xludf.DUMMYFUNCTION("""COMPUTED_VALUE"""),1130593135)</f>
        <v>1130593135</v>
      </c>
      <c r="Q978" s="5" t="str">
        <f ca="1">IFERROR(__xludf.DUMMYFUNCTION("""COMPUTED_VALUE"""),"C3ANmjxNa1I")</f>
        <v>C3ANmjxNa1I</v>
      </c>
      <c r="R978" s="5">
        <f ca="1">IFERROR(__xludf.DUMMYFUNCTION("""COMPUTED_VALUE"""),410)</f>
        <v>410</v>
      </c>
      <c r="S978" s="62">
        <f ca="1">IFERROR(__xludf.DUMMYFUNCTION("""COMPUTED_VALUE"""),0.005263158)</f>
        <v>5.2631580000000004E-3</v>
      </c>
      <c r="T978" s="63" t="str">
        <f ca="1">IFERROR(__xludf.DUMMYFUNCTION("""COMPUTED_VALUE"""),"https://storage.googleapis.com/glide-prod.appspot.com/uploads-v2/ly7o78grxPaC6KdgvbpS/pub/3aRdSog0vUtuqPE8AJKD.png")</f>
        <v>https://storage.googleapis.com/glide-prod.appspot.com/uploads-v2/ly7o78grxPaC6KdgvbpS/pub/3aRdSog0vUtuqPE8AJKD.png</v>
      </c>
      <c r="U978" s="5" t="str">
        <f ca="1">IFERROR(__xludf.DUMMYFUNCTION("""COMPUTED_VALUE"""),"EQUIPOS PARA SERVICIOS INDUSTRIALESPLANTA ELECTRICA")</f>
        <v>EQUIPOS PARA SERVICIOS INDUSTRIALESPLANTA ELECTRICA</v>
      </c>
      <c r="V978" s="5"/>
      <c r="W978" s="5" t="b">
        <f ca="1">IFERROR(__xludf.DUMMYFUNCTION("""COMPUTED_VALUE"""),TRUE)</f>
        <v>1</v>
      </c>
      <c r="X978" s="5" t="str">
        <f ca="1">IFERROR(__xludf.DUMMYFUNCTION("""COMPUTED_VALUE"""),"wmazorra@postobon.com.co,aprmttoyu@postobon.com.co,aprmyu@postobon.com.co,wmora@postobon.com.co,efzapata@postobon.com.co")</f>
        <v>wmazorra@postobon.com.co,aprmttoyu@postobon.com.co,aprmyu@postobon.com.co,wmora@postobon.com.co,efzapata@postobon.com.co</v>
      </c>
      <c r="Y978" s="5" t="str">
        <f ca="1">IFERROR(__xludf.DUMMYFUNCTION("""COMPUTED_VALUE"""),"wmazorra@postobon.com.co")</f>
        <v>wmazorra@postobon.com.co</v>
      </c>
      <c r="Z978" s="5" t="str">
        <f ca="1">IFERROR(__xludf.DUMMYFUNCTION("""COMPUTED_VALUE"""),"I3vYDTgHR6Kj--cky-Wa.w")</f>
        <v>I3vYDTgHR6Kj--cky-Wa.w</v>
      </c>
      <c r="AA978" s="5"/>
      <c r="AB978" s="5"/>
      <c r="AC978" s="5"/>
      <c r="AD978" s="5">
        <f ca="1">IFERROR(__xludf.DUMMYFUNCTION("""COMPUTED_VALUE"""),57)</f>
        <v>57</v>
      </c>
      <c r="AE978" s="5">
        <f ca="1">IFERROR(__xludf.DUMMYFUNCTION("""COMPUTED_VALUE"""),57)</f>
        <v>57</v>
      </c>
      <c r="AF978" s="5" t="b">
        <f ca="1">IFERROR(__xludf.DUMMYFUNCTION("""COMPUTED_VALUE"""),FALSE)</f>
        <v>0</v>
      </c>
      <c r="AG978" s="5" t="str">
        <f ca="1">IFERROR(__xludf.DUMMYFUNCTION("""COMPUTED_VALUE"""),"INSPECCIONES REALIZADAS")</f>
        <v>INSPECCIONES REALIZADAS</v>
      </c>
      <c r="AH978" s="5"/>
    </row>
    <row r="979" spans="1:34">
      <c r="A979" s="5" t="str">
        <f ca="1">IFERROR(__xludf.DUMMYFUNCTION("""COMPUTED_VALUE"""),"EQUIPOS PARA SERVICIOS INDUSTRIALES")</f>
        <v>EQUIPOS PARA SERVICIOS INDUSTRIALES</v>
      </c>
      <c r="B979" s="5">
        <f ca="1">IFERROR(__xludf.DUMMYFUNCTION("""COMPUTED_VALUE"""),679356)</f>
        <v>679356</v>
      </c>
      <c r="C979" s="5" t="str">
        <f ca="1">IFERROR(__xludf.DUMMYFUNCTION("""COMPUTED_VALUE"""),"PLANTA ELECTRICA")</f>
        <v>PLANTA ELECTRICA</v>
      </c>
      <c r="D979" s="5">
        <f ca="1">IFERROR(__xludf.DUMMYFUNCTION("""COMPUTED_VALUE"""),13247501)</f>
        <v>13247501</v>
      </c>
      <c r="E979" s="5" t="str">
        <f ca="1">IFERROR(__xludf.DUMMYFUNCTION("""COMPUTED_VALUE"""),"INSPECCION SEMANAL PLANTA ELECTRICA")</f>
        <v>INSPECCION SEMANAL PLANTA ELECTRICA</v>
      </c>
      <c r="F979" s="5" t="str">
        <f ca="1">IFERROR(__xludf.DUMMYFUNCTION("""COMPUTED_VALUE"""),"INSP CORREAS")</f>
        <v>INSP CORREAS</v>
      </c>
      <c r="G979" s="5" t="b">
        <f ca="1">IFERROR(__xludf.DUMMYFUNCTION("""COMPUTED_VALUE"""),TRUE)</f>
        <v>1</v>
      </c>
      <c r="H979" s="5"/>
      <c r="I979" s="5"/>
      <c r="J979" s="5">
        <f ca="1">IFERROR(__xludf.DUMMYFUNCTION("""COMPUTED_VALUE"""),13247501)</f>
        <v>13247501</v>
      </c>
      <c r="K979" s="5"/>
      <c r="L979" s="18">
        <f ca="1">IFERROR(__xludf.DUMMYFUNCTION("""COMPUTED_VALUE"""),45325)</f>
        <v>45325</v>
      </c>
      <c r="M979" s="18">
        <f ca="1">IFERROR(__xludf.DUMMYFUNCTION("""COMPUTED_VALUE"""),45325)</f>
        <v>45325</v>
      </c>
      <c r="N979" s="5" t="str">
        <f ca="1">IFERROR(__xludf.DUMMYFUNCTION("""COMPUTED_VALUE"""),"JEFFERSON BRAVO PIEDRAHITA")</f>
        <v>JEFFERSON BRAVO PIEDRAHITA</v>
      </c>
      <c r="O979" s="2">
        <f ca="1">IFERROR(__xludf.DUMMYFUNCTION("""COMPUTED_VALUE"""),0.005263158)</f>
        <v>5.2631580000000004E-3</v>
      </c>
      <c r="P979" s="5">
        <f ca="1">IFERROR(__xludf.DUMMYFUNCTION("""COMPUTED_VALUE"""),1130593135)</f>
        <v>1130593135</v>
      </c>
      <c r="Q979" s="5" t="str">
        <f ca="1">IFERROR(__xludf.DUMMYFUNCTION("""COMPUTED_VALUE"""),"xhZW6cqXYtg")</f>
        <v>xhZW6cqXYtg</v>
      </c>
      <c r="R979" s="5">
        <f ca="1">IFERROR(__xludf.DUMMYFUNCTION("""COMPUTED_VALUE"""),410)</f>
        <v>410</v>
      </c>
      <c r="S979" s="62">
        <f ca="1">IFERROR(__xludf.DUMMYFUNCTION("""COMPUTED_VALUE"""),0.005263158)</f>
        <v>5.2631580000000004E-3</v>
      </c>
      <c r="T979" s="63" t="str">
        <f ca="1">IFERROR(__xludf.DUMMYFUNCTION("""COMPUTED_VALUE"""),"https://storage.googleapis.com/glide-prod.appspot.com/uploads-v2/ly7o78grxPaC6KdgvbpS/pub/yvtCGRAPIbS0tVLIlehH.png")</f>
        <v>https://storage.googleapis.com/glide-prod.appspot.com/uploads-v2/ly7o78grxPaC6KdgvbpS/pub/yvtCGRAPIbS0tVLIlehH.png</v>
      </c>
      <c r="U979" s="5" t="str">
        <f ca="1">IFERROR(__xludf.DUMMYFUNCTION("""COMPUTED_VALUE"""),"EQUIPOS PARA SERVICIOS INDUSTRIALESPLANTA ELECTRICA")</f>
        <v>EQUIPOS PARA SERVICIOS INDUSTRIALESPLANTA ELECTRICA</v>
      </c>
      <c r="V979" s="5"/>
      <c r="W979" s="5"/>
      <c r="X979" s="5" t="str">
        <f ca="1">IFERROR(__xludf.DUMMYFUNCTION("""COMPUTED_VALUE"""),"wmazorra@postobon.com.co,aprmttoyu@postobon.com.co,aprmyu@postobon.com.co,wmora@postobon.com.co,efzapata@postobon.com.co")</f>
        <v>wmazorra@postobon.com.co,aprmttoyu@postobon.com.co,aprmyu@postobon.com.co,wmora@postobon.com.co,efzapata@postobon.com.co</v>
      </c>
      <c r="Y979" s="5" t="str">
        <f ca="1">IFERROR(__xludf.DUMMYFUNCTION("""COMPUTED_VALUE"""),"wmazorra@postobon.com.co")</f>
        <v>wmazorra@postobon.com.co</v>
      </c>
      <c r="Z979" s="5" t="str">
        <f ca="1">IFERROR(__xludf.DUMMYFUNCTION("""COMPUTED_VALUE"""),"bwS1Ccv3QFuv7zEIj2JQ2Q")</f>
        <v>bwS1Ccv3QFuv7zEIj2JQ2Q</v>
      </c>
      <c r="AA979" s="5"/>
      <c r="AB979" s="5"/>
      <c r="AC979" s="5"/>
      <c r="AD979" s="5">
        <f ca="1">IFERROR(__xludf.DUMMYFUNCTION("""COMPUTED_VALUE"""),57)</f>
        <v>57</v>
      </c>
      <c r="AE979" s="5">
        <f ca="1">IFERROR(__xludf.DUMMYFUNCTION("""COMPUTED_VALUE"""),57)</f>
        <v>57</v>
      </c>
      <c r="AF979" s="5" t="b">
        <f ca="1">IFERROR(__xludf.DUMMYFUNCTION("""COMPUTED_VALUE"""),FALSE)</f>
        <v>0</v>
      </c>
      <c r="AG979" s="5" t="str">
        <f ca="1">IFERROR(__xludf.DUMMYFUNCTION("""COMPUTED_VALUE"""),"INSPECCIONES REALIZADAS")</f>
        <v>INSPECCIONES REALIZADAS</v>
      </c>
      <c r="AH979" s="5"/>
    </row>
    <row r="980" spans="1:34">
      <c r="A980" s="5" t="str">
        <f ca="1">IFERROR(__xludf.DUMMYFUNCTION("""COMPUTED_VALUE"""),"EQUIPOS PARA SERVICIOS INDUSTRIALES")</f>
        <v>EQUIPOS PARA SERVICIOS INDUSTRIALES</v>
      </c>
      <c r="B980" s="5">
        <f ca="1">IFERROR(__xludf.DUMMYFUNCTION("""COMPUTED_VALUE"""),679356)</f>
        <v>679356</v>
      </c>
      <c r="C980" s="5" t="str">
        <f ca="1">IFERROR(__xludf.DUMMYFUNCTION("""COMPUTED_VALUE"""),"PLANTA ELECTRICA")</f>
        <v>PLANTA ELECTRICA</v>
      </c>
      <c r="D980" s="5">
        <f ca="1">IFERROR(__xludf.DUMMYFUNCTION("""COMPUTED_VALUE"""),13247501)</f>
        <v>13247501</v>
      </c>
      <c r="E980" s="5" t="str">
        <f ca="1">IFERROR(__xludf.DUMMYFUNCTION("""COMPUTED_VALUE"""),"INSPECCION SEMANAL PLANTA ELECTRICA")</f>
        <v>INSPECCION SEMANAL PLANTA ELECTRICA</v>
      </c>
      <c r="F980" s="5" t="str">
        <f ca="1">IFERROR(__xludf.DUMMYFUNCTION("""COMPUTED_VALUE"""),"INSP FUGA FLUIDOS")</f>
        <v>INSP FUGA FLUIDOS</v>
      </c>
      <c r="G980" s="5" t="b">
        <f ca="1">IFERROR(__xludf.DUMMYFUNCTION("""COMPUTED_VALUE"""),TRUE)</f>
        <v>1</v>
      </c>
      <c r="H980" s="5"/>
      <c r="I980" s="5"/>
      <c r="J980" s="5">
        <f ca="1">IFERROR(__xludf.DUMMYFUNCTION("""COMPUTED_VALUE"""),13247501)</f>
        <v>13247501</v>
      </c>
      <c r="K980" s="5"/>
      <c r="L980" s="18">
        <f ca="1">IFERROR(__xludf.DUMMYFUNCTION("""COMPUTED_VALUE"""),45325)</f>
        <v>45325</v>
      </c>
      <c r="M980" s="18">
        <f ca="1">IFERROR(__xludf.DUMMYFUNCTION("""COMPUTED_VALUE"""),45325)</f>
        <v>45325</v>
      </c>
      <c r="N980" s="5" t="str">
        <f ca="1">IFERROR(__xludf.DUMMYFUNCTION("""COMPUTED_VALUE"""),"JEFFERSON BRAVO PIEDRAHITA")</f>
        <v>JEFFERSON BRAVO PIEDRAHITA</v>
      </c>
      <c r="O980" s="2">
        <f ca="1">IFERROR(__xludf.DUMMYFUNCTION("""COMPUTED_VALUE"""),0.005263158)</f>
        <v>5.2631580000000004E-3</v>
      </c>
      <c r="P980" s="5">
        <f ca="1">IFERROR(__xludf.DUMMYFUNCTION("""COMPUTED_VALUE"""),1130593135)</f>
        <v>1130593135</v>
      </c>
      <c r="Q980" s="5" t="str">
        <f ca="1">IFERROR(__xludf.DUMMYFUNCTION("""COMPUTED_VALUE"""),"pFKcpGgm70s")</f>
        <v>pFKcpGgm70s</v>
      </c>
      <c r="R980" s="5">
        <f ca="1">IFERROR(__xludf.DUMMYFUNCTION("""COMPUTED_VALUE"""),410)</f>
        <v>410</v>
      </c>
      <c r="S980" s="62">
        <f ca="1">IFERROR(__xludf.DUMMYFUNCTION("""COMPUTED_VALUE"""),0.005263158)</f>
        <v>5.2631580000000004E-3</v>
      </c>
      <c r="T980" s="63" t="str">
        <f ca="1">IFERROR(__xludf.DUMMYFUNCTION("""COMPUTED_VALUE"""),"https://storage.googleapis.com/glide-prod.appspot.com/uploads-v2/ly7o78grxPaC6KdgvbpS/pub/3aRdSog0vUtuqPE8AJKD.png")</f>
        <v>https://storage.googleapis.com/glide-prod.appspot.com/uploads-v2/ly7o78grxPaC6KdgvbpS/pub/3aRdSog0vUtuqPE8AJKD.png</v>
      </c>
      <c r="U980" s="5" t="str">
        <f ca="1">IFERROR(__xludf.DUMMYFUNCTION("""COMPUTED_VALUE"""),"EQUIPOS PARA SERVICIOS INDUSTRIALESPLANTA ELECTRICA")</f>
        <v>EQUIPOS PARA SERVICIOS INDUSTRIALESPLANTA ELECTRICA</v>
      </c>
      <c r="V980" s="5"/>
      <c r="W980" s="5" t="b">
        <f ca="1">IFERROR(__xludf.DUMMYFUNCTION("""COMPUTED_VALUE"""),TRUE)</f>
        <v>1</v>
      </c>
      <c r="X980" s="5" t="str">
        <f ca="1">IFERROR(__xludf.DUMMYFUNCTION("""COMPUTED_VALUE"""),"wmazorra@postobon.com.co,aprmttoyu@postobon.com.co,aprmyu@postobon.com.co,wmora@postobon.com.co,efzapata@postobon.com.co")</f>
        <v>wmazorra@postobon.com.co,aprmttoyu@postobon.com.co,aprmyu@postobon.com.co,wmora@postobon.com.co,efzapata@postobon.com.co</v>
      </c>
      <c r="Y980" s="5" t="str">
        <f ca="1">IFERROR(__xludf.DUMMYFUNCTION("""COMPUTED_VALUE"""),"wmazorra@postobon.com.co")</f>
        <v>wmazorra@postobon.com.co</v>
      </c>
      <c r="Z980" s="5" t="str">
        <f ca="1">IFERROR(__xludf.DUMMYFUNCTION("""COMPUTED_VALUE"""),"f6Nj5nH5TdaMFpyCkvAIJw")</f>
        <v>f6Nj5nH5TdaMFpyCkvAIJw</v>
      </c>
      <c r="AA980" s="5"/>
      <c r="AB980" s="5"/>
      <c r="AC980" s="5"/>
      <c r="AD980" s="5">
        <f ca="1">IFERROR(__xludf.DUMMYFUNCTION("""COMPUTED_VALUE"""),57)</f>
        <v>57</v>
      </c>
      <c r="AE980" s="5">
        <f ca="1">IFERROR(__xludf.DUMMYFUNCTION("""COMPUTED_VALUE"""),57)</f>
        <v>57</v>
      </c>
      <c r="AF980" s="5" t="b">
        <f ca="1">IFERROR(__xludf.DUMMYFUNCTION("""COMPUTED_VALUE"""),FALSE)</f>
        <v>0</v>
      </c>
      <c r="AG980" s="5" t="str">
        <f ca="1">IFERROR(__xludf.DUMMYFUNCTION("""COMPUTED_VALUE"""),"INSPECCIONES REALIZADAS")</f>
        <v>INSPECCIONES REALIZADAS</v>
      </c>
      <c r="AH980" s="5"/>
    </row>
    <row r="981" spans="1:34">
      <c r="A981" s="5" t="str">
        <f ca="1">IFERROR(__xludf.DUMMYFUNCTION("""COMPUTED_VALUE"""),"EQUIPOS PARA SERVICIOS INDUSTRIALES")</f>
        <v>EQUIPOS PARA SERVICIOS INDUSTRIALES</v>
      </c>
      <c r="B981" s="5">
        <f ca="1">IFERROR(__xludf.DUMMYFUNCTION("""COMPUTED_VALUE"""),679356)</f>
        <v>679356</v>
      </c>
      <c r="C981" s="5" t="str">
        <f ca="1">IFERROR(__xludf.DUMMYFUNCTION("""COMPUTED_VALUE"""),"PLANTA ELECTRICA")</f>
        <v>PLANTA ELECTRICA</v>
      </c>
      <c r="D981" s="5">
        <f ca="1">IFERROR(__xludf.DUMMYFUNCTION("""COMPUTED_VALUE"""),13247501)</f>
        <v>13247501</v>
      </c>
      <c r="E981" s="5" t="str">
        <f ca="1">IFERROR(__xludf.DUMMYFUNCTION("""COMPUTED_VALUE"""),"INSPECCION SEMANAL PLANTA ELECTRICA")</f>
        <v>INSPECCION SEMANAL PLANTA ELECTRICA</v>
      </c>
      <c r="F981" s="5" t="str">
        <f ca="1">IFERROR(__xludf.DUMMYFUNCTION("""COMPUTED_VALUE"""),"INSP TABLERO MONITOR(PRESION FILTRO COMBUSTIBLE/ACEITE,AIRE ADMISION)")</f>
        <v>INSP TABLERO MONITOR(PRESION FILTRO COMBUSTIBLE/ACEITE,AIRE ADMISION)</v>
      </c>
      <c r="G981" s="5" t="b">
        <f ca="1">IFERROR(__xludf.DUMMYFUNCTION("""COMPUTED_VALUE"""),TRUE)</f>
        <v>1</v>
      </c>
      <c r="H981" s="5"/>
      <c r="I981" s="5"/>
      <c r="J981" s="5">
        <f ca="1">IFERROR(__xludf.DUMMYFUNCTION("""COMPUTED_VALUE"""),13247501)</f>
        <v>13247501</v>
      </c>
      <c r="K981" s="5"/>
      <c r="L981" s="18">
        <f ca="1">IFERROR(__xludf.DUMMYFUNCTION("""COMPUTED_VALUE"""),45325)</f>
        <v>45325</v>
      </c>
      <c r="M981" s="18">
        <f ca="1">IFERROR(__xludf.DUMMYFUNCTION("""COMPUTED_VALUE"""),45325)</f>
        <v>45325</v>
      </c>
      <c r="N981" s="5" t="str">
        <f ca="1">IFERROR(__xludf.DUMMYFUNCTION("""COMPUTED_VALUE"""),"JEFFERSON BRAVO PIEDRAHITA")</f>
        <v>JEFFERSON BRAVO PIEDRAHITA</v>
      </c>
      <c r="O981" s="2">
        <f ca="1">IFERROR(__xludf.DUMMYFUNCTION("""COMPUTED_VALUE"""),0.005263158)</f>
        <v>5.2631580000000004E-3</v>
      </c>
      <c r="P981" s="5">
        <f ca="1">IFERROR(__xludf.DUMMYFUNCTION("""COMPUTED_VALUE"""),1130593135)</f>
        <v>1130593135</v>
      </c>
      <c r="Q981" s="5" t="str">
        <f ca="1">IFERROR(__xludf.DUMMYFUNCTION("""COMPUTED_VALUE"""),"TUktjf5urwM")</f>
        <v>TUktjf5urwM</v>
      </c>
      <c r="R981" s="5">
        <f ca="1">IFERROR(__xludf.DUMMYFUNCTION("""COMPUTED_VALUE"""),410)</f>
        <v>410</v>
      </c>
      <c r="S981" s="62">
        <f ca="1">IFERROR(__xludf.DUMMYFUNCTION("""COMPUTED_VALUE"""),0.005263158)</f>
        <v>5.2631580000000004E-3</v>
      </c>
      <c r="T981" s="63" t="str">
        <f ca="1">IFERROR(__xludf.DUMMYFUNCTION("""COMPUTED_VALUE"""),"https://storage.googleapis.com/glide-prod.appspot.com/uploads-v2/ly7o78grxPaC6KdgvbpS/pub/yvtCGRAPIbS0tVLIlehH.png")</f>
        <v>https://storage.googleapis.com/glide-prod.appspot.com/uploads-v2/ly7o78grxPaC6KdgvbpS/pub/yvtCGRAPIbS0tVLIlehH.png</v>
      </c>
      <c r="U981" s="5" t="str">
        <f ca="1">IFERROR(__xludf.DUMMYFUNCTION("""COMPUTED_VALUE"""),"EQUIPOS PARA SERVICIOS INDUSTRIALESPLANTA ELECTRICA")</f>
        <v>EQUIPOS PARA SERVICIOS INDUSTRIALESPLANTA ELECTRICA</v>
      </c>
      <c r="V981" s="5"/>
      <c r="W981" s="5"/>
      <c r="X981" s="5" t="str">
        <f ca="1">IFERROR(__xludf.DUMMYFUNCTION("""COMPUTED_VALUE"""),"wmazorra@postobon.com.co,aprmttoyu@postobon.com.co,aprmyu@postobon.com.co,wmora@postobon.com.co,efzapata@postobon.com.co")</f>
        <v>wmazorra@postobon.com.co,aprmttoyu@postobon.com.co,aprmyu@postobon.com.co,wmora@postobon.com.co,efzapata@postobon.com.co</v>
      </c>
      <c r="Y981" s="5" t="str">
        <f ca="1">IFERROR(__xludf.DUMMYFUNCTION("""COMPUTED_VALUE"""),"wmazorra@postobon.com.co")</f>
        <v>wmazorra@postobon.com.co</v>
      </c>
      <c r="Z981" s="5" t="str">
        <f ca="1">IFERROR(__xludf.DUMMYFUNCTION("""COMPUTED_VALUE"""),"jNfo14b5QXek5d6Wue0QUg")</f>
        <v>jNfo14b5QXek5d6Wue0QUg</v>
      </c>
      <c r="AA981" s="5"/>
      <c r="AB981" s="5"/>
      <c r="AC981" s="5"/>
      <c r="AD981" s="5">
        <f ca="1">IFERROR(__xludf.DUMMYFUNCTION("""COMPUTED_VALUE"""),57)</f>
        <v>57</v>
      </c>
      <c r="AE981" s="5">
        <f ca="1">IFERROR(__xludf.DUMMYFUNCTION("""COMPUTED_VALUE"""),57)</f>
        <v>57</v>
      </c>
      <c r="AF981" s="5" t="b">
        <f ca="1">IFERROR(__xludf.DUMMYFUNCTION("""COMPUTED_VALUE"""),FALSE)</f>
        <v>0</v>
      </c>
      <c r="AG981" s="5" t="str">
        <f ca="1">IFERROR(__xludf.DUMMYFUNCTION("""COMPUTED_VALUE"""),"INSPECCIONES REALIZADAS")</f>
        <v>INSPECCIONES REALIZADAS</v>
      </c>
      <c r="AH981" s="5"/>
    </row>
    <row r="982" spans="1:34">
      <c r="A982" s="5" t="str">
        <f ca="1">IFERROR(__xludf.DUMMYFUNCTION("""COMPUTED_VALUE"""),"EQUIPOS PARA SERVICIOS INDUSTRIALES")</f>
        <v>EQUIPOS PARA SERVICIOS INDUSTRIALES</v>
      </c>
      <c r="B982" s="5">
        <f ca="1">IFERROR(__xludf.DUMMYFUNCTION("""COMPUTED_VALUE"""),679356)</f>
        <v>679356</v>
      </c>
      <c r="C982" s="5" t="str">
        <f ca="1">IFERROR(__xludf.DUMMYFUNCTION("""COMPUTED_VALUE"""),"PLANTA ELECTRICA")</f>
        <v>PLANTA ELECTRICA</v>
      </c>
      <c r="D982" s="5">
        <f ca="1">IFERROR(__xludf.DUMMYFUNCTION("""COMPUTED_VALUE"""),13247501)</f>
        <v>13247501</v>
      </c>
      <c r="E982" s="5" t="str">
        <f ca="1">IFERROR(__xludf.DUMMYFUNCTION("""COMPUTED_VALUE"""),"INSPECCION SEMANAL PLANTA ELECTRICA")</f>
        <v>INSPECCION SEMANAL PLANTA ELECTRICA</v>
      </c>
      <c r="F982" s="5" t="str">
        <f ca="1">IFERROR(__xludf.DUMMYFUNCTION("""COMPUTED_VALUE"""),"INSP TEMP DEVANADO GENERADOR")</f>
        <v>INSP TEMP DEVANADO GENERADOR</v>
      </c>
      <c r="G982" s="5" t="b">
        <f ca="1">IFERROR(__xludf.DUMMYFUNCTION("""COMPUTED_VALUE"""),TRUE)</f>
        <v>1</v>
      </c>
      <c r="H982" s="5"/>
      <c r="I982" s="5"/>
      <c r="J982" s="5">
        <f ca="1">IFERROR(__xludf.DUMMYFUNCTION("""COMPUTED_VALUE"""),13247501)</f>
        <v>13247501</v>
      </c>
      <c r="K982" s="5"/>
      <c r="L982" s="18">
        <f ca="1">IFERROR(__xludf.DUMMYFUNCTION("""COMPUTED_VALUE"""),45325)</f>
        <v>45325</v>
      </c>
      <c r="M982" s="18">
        <f ca="1">IFERROR(__xludf.DUMMYFUNCTION("""COMPUTED_VALUE"""),45325)</f>
        <v>45325</v>
      </c>
      <c r="N982" s="5" t="str">
        <f ca="1">IFERROR(__xludf.DUMMYFUNCTION("""COMPUTED_VALUE"""),"JEFFERSON BRAVO PIEDRAHITA")</f>
        <v>JEFFERSON BRAVO PIEDRAHITA</v>
      </c>
      <c r="O982" s="2">
        <f ca="1">IFERROR(__xludf.DUMMYFUNCTION("""COMPUTED_VALUE"""),0.005263158)</f>
        <v>5.2631580000000004E-3</v>
      </c>
      <c r="P982" s="5">
        <f ca="1">IFERROR(__xludf.DUMMYFUNCTION("""COMPUTED_VALUE"""),1130593135)</f>
        <v>1130593135</v>
      </c>
      <c r="Q982" s="5" t="str">
        <f ca="1">IFERROR(__xludf.DUMMYFUNCTION("""COMPUTED_VALUE"""),"VJ1-ZnOhc6Y")</f>
        <v>VJ1-ZnOhc6Y</v>
      </c>
      <c r="R982" s="5">
        <f ca="1">IFERROR(__xludf.DUMMYFUNCTION("""COMPUTED_VALUE"""),410)</f>
        <v>410</v>
      </c>
      <c r="S982" s="62">
        <f ca="1">IFERROR(__xludf.DUMMYFUNCTION("""COMPUTED_VALUE"""),0.005263158)</f>
        <v>5.2631580000000004E-3</v>
      </c>
      <c r="T982" s="63" t="str">
        <f ca="1">IFERROR(__xludf.DUMMYFUNCTION("""COMPUTED_VALUE"""),"https://storage.googleapis.com/glide-prod.appspot.com/uploads-v2/ly7o78grxPaC6KdgvbpS/pub/3aRdSog0vUtuqPE8AJKD.png")</f>
        <v>https://storage.googleapis.com/glide-prod.appspot.com/uploads-v2/ly7o78grxPaC6KdgvbpS/pub/3aRdSog0vUtuqPE8AJKD.png</v>
      </c>
      <c r="U982" s="5" t="str">
        <f ca="1">IFERROR(__xludf.DUMMYFUNCTION("""COMPUTED_VALUE"""),"EQUIPOS PARA SERVICIOS INDUSTRIALESPLANTA ELECTRICA")</f>
        <v>EQUIPOS PARA SERVICIOS INDUSTRIALESPLANTA ELECTRICA</v>
      </c>
      <c r="V982" s="5"/>
      <c r="W982" s="5" t="b">
        <f ca="1">IFERROR(__xludf.DUMMYFUNCTION("""COMPUTED_VALUE"""),TRUE)</f>
        <v>1</v>
      </c>
      <c r="X982" s="5" t="str">
        <f ca="1">IFERROR(__xludf.DUMMYFUNCTION("""COMPUTED_VALUE"""),"wmazorra@postobon.com.co,aprmttoyu@postobon.com.co,aprmyu@postobon.com.co,wmora@postobon.com.co,efzapata@postobon.com.co")</f>
        <v>wmazorra@postobon.com.co,aprmttoyu@postobon.com.co,aprmyu@postobon.com.co,wmora@postobon.com.co,efzapata@postobon.com.co</v>
      </c>
      <c r="Y982" s="5" t="str">
        <f ca="1">IFERROR(__xludf.DUMMYFUNCTION("""COMPUTED_VALUE"""),"wmazorra@postobon.com.co")</f>
        <v>wmazorra@postobon.com.co</v>
      </c>
      <c r="Z982" s="5" t="str">
        <f ca="1">IFERROR(__xludf.DUMMYFUNCTION("""COMPUTED_VALUE"""),"gFOpPLd5SnOGGTsiYA0Fvw")</f>
        <v>gFOpPLd5SnOGGTsiYA0Fvw</v>
      </c>
      <c r="AA982" s="5"/>
      <c r="AB982" s="5"/>
      <c r="AC982" s="5"/>
      <c r="AD982" s="5">
        <f ca="1">IFERROR(__xludf.DUMMYFUNCTION("""COMPUTED_VALUE"""),57)</f>
        <v>57</v>
      </c>
      <c r="AE982" s="5">
        <f ca="1">IFERROR(__xludf.DUMMYFUNCTION("""COMPUTED_VALUE"""),57)</f>
        <v>57</v>
      </c>
      <c r="AF982" s="5" t="b">
        <f ca="1">IFERROR(__xludf.DUMMYFUNCTION("""COMPUTED_VALUE"""),FALSE)</f>
        <v>0</v>
      </c>
      <c r="AG982" s="5" t="str">
        <f ca="1">IFERROR(__xludf.DUMMYFUNCTION("""COMPUTED_VALUE"""),"INSPECCIONES REALIZADAS")</f>
        <v>INSPECCIONES REALIZADAS</v>
      </c>
      <c r="AH982" s="5"/>
    </row>
    <row r="983" spans="1:34">
      <c r="A983" s="5" t="str">
        <f ca="1">IFERROR(__xludf.DUMMYFUNCTION("""COMPUTED_VALUE"""),"EQUIPOS PARA SERVICIOS INDUSTRIALES")</f>
        <v>EQUIPOS PARA SERVICIOS INDUSTRIALES</v>
      </c>
      <c r="B983" s="5">
        <f ca="1">IFERROR(__xludf.DUMMYFUNCTION("""COMPUTED_VALUE"""),679356)</f>
        <v>679356</v>
      </c>
      <c r="C983" s="5" t="str">
        <f ca="1">IFERROR(__xludf.DUMMYFUNCTION("""COMPUTED_VALUE"""),"PLANTA ELECTRICA")</f>
        <v>PLANTA ELECTRICA</v>
      </c>
      <c r="D983" s="5">
        <f ca="1">IFERROR(__xludf.DUMMYFUNCTION("""COMPUTED_VALUE"""),13247501)</f>
        <v>13247501</v>
      </c>
      <c r="E983" s="5" t="str">
        <f ca="1">IFERROR(__xludf.DUMMYFUNCTION("""COMPUTED_VALUE"""),"INSPECCION SEMANAL PLANTA ELECTRICA")</f>
        <v>INSPECCION SEMANAL PLANTA ELECTRICA</v>
      </c>
      <c r="F983" s="5" t="str">
        <f ca="1">IFERROR(__xludf.DUMMYFUNCTION("""COMPUTED_VALUE"""),"INSP CALENTADOR CAMISAS")</f>
        <v>INSP CALENTADOR CAMISAS</v>
      </c>
      <c r="G983" s="5" t="b">
        <f ca="1">IFERROR(__xludf.DUMMYFUNCTION("""COMPUTED_VALUE"""),TRUE)</f>
        <v>1</v>
      </c>
      <c r="H983" s="5"/>
      <c r="I983" s="5"/>
      <c r="J983" s="5">
        <f ca="1">IFERROR(__xludf.DUMMYFUNCTION("""COMPUTED_VALUE"""),13247501)</f>
        <v>13247501</v>
      </c>
      <c r="K983" s="5"/>
      <c r="L983" s="18">
        <f ca="1">IFERROR(__xludf.DUMMYFUNCTION("""COMPUTED_VALUE"""),45325)</f>
        <v>45325</v>
      </c>
      <c r="M983" s="18">
        <f ca="1">IFERROR(__xludf.DUMMYFUNCTION("""COMPUTED_VALUE"""),45325)</f>
        <v>45325</v>
      </c>
      <c r="N983" s="5" t="str">
        <f ca="1">IFERROR(__xludf.DUMMYFUNCTION("""COMPUTED_VALUE"""),"JEFFERSON BRAVO PIEDRAHITA")</f>
        <v>JEFFERSON BRAVO PIEDRAHITA</v>
      </c>
      <c r="O983" s="2">
        <f ca="1">IFERROR(__xludf.DUMMYFUNCTION("""COMPUTED_VALUE"""),0.005263158)</f>
        <v>5.2631580000000004E-3</v>
      </c>
      <c r="P983" s="5">
        <f ca="1">IFERROR(__xludf.DUMMYFUNCTION("""COMPUTED_VALUE"""),1130593135)</f>
        <v>1130593135</v>
      </c>
      <c r="Q983" s="5" t="str">
        <f ca="1">IFERROR(__xludf.DUMMYFUNCTION("""COMPUTED_VALUE"""),"IohQOkztGhQ")</f>
        <v>IohQOkztGhQ</v>
      </c>
      <c r="R983" s="5">
        <f ca="1">IFERROR(__xludf.DUMMYFUNCTION("""COMPUTED_VALUE"""),410)</f>
        <v>410</v>
      </c>
      <c r="S983" s="62">
        <f ca="1">IFERROR(__xludf.DUMMYFUNCTION("""COMPUTED_VALUE"""),0.005263158)</f>
        <v>5.2631580000000004E-3</v>
      </c>
      <c r="T983" s="63" t="str">
        <f ca="1">IFERROR(__xludf.DUMMYFUNCTION("""COMPUTED_VALUE"""),"https://storage.googleapis.com/glide-prod.appspot.com/uploads-v2/ly7o78grxPaC6KdgvbpS/pub/3aRdSog0vUtuqPE8AJKD.png")</f>
        <v>https://storage.googleapis.com/glide-prod.appspot.com/uploads-v2/ly7o78grxPaC6KdgvbpS/pub/3aRdSog0vUtuqPE8AJKD.png</v>
      </c>
      <c r="U983" s="5" t="str">
        <f ca="1">IFERROR(__xludf.DUMMYFUNCTION("""COMPUTED_VALUE"""),"EQUIPOS PARA SERVICIOS INDUSTRIALESPLANTA ELECTRICA")</f>
        <v>EQUIPOS PARA SERVICIOS INDUSTRIALESPLANTA ELECTRICA</v>
      </c>
      <c r="V983" s="5"/>
      <c r="W983" s="5" t="b">
        <f ca="1">IFERROR(__xludf.DUMMYFUNCTION("""COMPUTED_VALUE"""),TRUE)</f>
        <v>1</v>
      </c>
      <c r="X983" s="5" t="str">
        <f ca="1">IFERROR(__xludf.DUMMYFUNCTION("""COMPUTED_VALUE"""),"wmazorra@postobon.com.co,aprmttoyu@postobon.com.co,aprmyu@postobon.com.co,wmora@postobon.com.co,efzapata@postobon.com.co")</f>
        <v>wmazorra@postobon.com.co,aprmttoyu@postobon.com.co,aprmyu@postobon.com.co,wmora@postobon.com.co,efzapata@postobon.com.co</v>
      </c>
      <c r="Y983" s="5" t="str">
        <f ca="1">IFERROR(__xludf.DUMMYFUNCTION("""COMPUTED_VALUE"""),"wmazorra@postobon.com.co")</f>
        <v>wmazorra@postobon.com.co</v>
      </c>
      <c r="Z983" s="5" t="str">
        <f ca="1">IFERROR(__xludf.DUMMYFUNCTION("""COMPUTED_VALUE"""),"Opp7eM4-TPSkon1eb7qkbA")</f>
        <v>Opp7eM4-TPSkon1eb7qkbA</v>
      </c>
      <c r="AA983" s="5"/>
      <c r="AB983" s="5"/>
      <c r="AC983" s="5"/>
      <c r="AD983" s="5">
        <f ca="1">IFERROR(__xludf.DUMMYFUNCTION("""COMPUTED_VALUE"""),57)</f>
        <v>57</v>
      </c>
      <c r="AE983" s="5">
        <f ca="1">IFERROR(__xludf.DUMMYFUNCTION("""COMPUTED_VALUE"""),57)</f>
        <v>57</v>
      </c>
      <c r="AF983" s="5" t="b">
        <f ca="1">IFERROR(__xludf.DUMMYFUNCTION("""COMPUTED_VALUE"""),FALSE)</f>
        <v>0</v>
      </c>
      <c r="AG983" s="5" t="str">
        <f ca="1">IFERROR(__xludf.DUMMYFUNCTION("""COMPUTED_VALUE"""),"INSPECCIONES REALIZADAS")</f>
        <v>INSPECCIONES REALIZADAS</v>
      </c>
      <c r="AH983" s="5"/>
    </row>
    <row r="984" spans="1:34">
      <c r="A984" s="5" t="str">
        <f ca="1">IFERROR(__xludf.DUMMYFUNCTION("""COMPUTED_VALUE"""),"EQUIPOS PARA SERVICIOS INDUSTRIALES")</f>
        <v>EQUIPOS PARA SERVICIOS INDUSTRIALES</v>
      </c>
      <c r="B984" s="5">
        <f ca="1">IFERROR(__xludf.DUMMYFUNCTION("""COMPUTED_VALUE"""),679356)</f>
        <v>679356</v>
      </c>
      <c r="C984" s="5" t="str">
        <f ca="1">IFERROR(__xludf.DUMMYFUNCTION("""COMPUTED_VALUE"""),"PLANTA ELECTRICA")</f>
        <v>PLANTA ELECTRICA</v>
      </c>
      <c r="D984" s="5">
        <f ca="1">IFERROR(__xludf.DUMMYFUNCTION("""COMPUTED_VALUE"""),13247501)</f>
        <v>13247501</v>
      </c>
      <c r="E984" s="5" t="str">
        <f ca="1">IFERROR(__xludf.DUMMYFUNCTION("""COMPUTED_VALUE"""),"INSPECCION SEMANAL PLANTA ELECTRICA")</f>
        <v>INSPECCION SEMANAL PLANTA ELECTRICA</v>
      </c>
      <c r="F984" s="5" t="str">
        <f ca="1">IFERROR(__xludf.DUMMYFUNCTION("""COMPUTED_VALUE"""),"INS VOLTAJE,FRECUENCIA")</f>
        <v>INS VOLTAJE,FRECUENCIA</v>
      </c>
      <c r="G984" s="5" t="b">
        <f ca="1">IFERROR(__xludf.DUMMYFUNCTION("""COMPUTED_VALUE"""),TRUE)</f>
        <v>1</v>
      </c>
      <c r="H984" s="5"/>
      <c r="I984" s="5"/>
      <c r="J984" s="5">
        <f ca="1">IFERROR(__xludf.DUMMYFUNCTION("""COMPUTED_VALUE"""),13247501)</f>
        <v>13247501</v>
      </c>
      <c r="K984" s="5"/>
      <c r="L984" s="18">
        <f ca="1">IFERROR(__xludf.DUMMYFUNCTION("""COMPUTED_VALUE"""),45325)</f>
        <v>45325</v>
      </c>
      <c r="M984" s="18">
        <f ca="1">IFERROR(__xludf.DUMMYFUNCTION("""COMPUTED_VALUE"""),45325)</f>
        <v>45325</v>
      </c>
      <c r="N984" s="5" t="str">
        <f ca="1">IFERROR(__xludf.DUMMYFUNCTION("""COMPUTED_VALUE"""),"JEFFERSON BRAVO PIEDRAHITA")</f>
        <v>JEFFERSON BRAVO PIEDRAHITA</v>
      </c>
      <c r="O984" s="2">
        <f ca="1">IFERROR(__xludf.DUMMYFUNCTION("""COMPUTED_VALUE"""),0.005263158)</f>
        <v>5.2631580000000004E-3</v>
      </c>
      <c r="P984" s="5">
        <f ca="1">IFERROR(__xludf.DUMMYFUNCTION("""COMPUTED_VALUE"""),1130593135)</f>
        <v>1130593135</v>
      </c>
      <c r="Q984" s="5" t="str">
        <f ca="1">IFERROR(__xludf.DUMMYFUNCTION("""COMPUTED_VALUE"""),"TG_PJCyX934")</f>
        <v>TG_PJCyX934</v>
      </c>
      <c r="R984" s="5">
        <f ca="1">IFERROR(__xludf.DUMMYFUNCTION("""COMPUTED_VALUE"""),410)</f>
        <v>410</v>
      </c>
      <c r="S984" s="62">
        <f ca="1">IFERROR(__xludf.DUMMYFUNCTION("""COMPUTED_VALUE"""),0.005263158)</f>
        <v>5.2631580000000004E-3</v>
      </c>
      <c r="T984" s="63" t="str">
        <f ca="1">IFERROR(__xludf.DUMMYFUNCTION("""COMPUTED_VALUE"""),"https://storage.googleapis.com/glide-prod.appspot.com/uploads-v2/ly7o78grxPaC6KdgvbpS/pub/3aRdSog0vUtuqPE8AJKD.png")</f>
        <v>https://storage.googleapis.com/glide-prod.appspot.com/uploads-v2/ly7o78grxPaC6KdgvbpS/pub/3aRdSog0vUtuqPE8AJKD.png</v>
      </c>
      <c r="U984" s="5" t="str">
        <f ca="1">IFERROR(__xludf.DUMMYFUNCTION("""COMPUTED_VALUE"""),"EQUIPOS PARA SERVICIOS INDUSTRIALESPLANTA ELECTRICA")</f>
        <v>EQUIPOS PARA SERVICIOS INDUSTRIALESPLANTA ELECTRICA</v>
      </c>
      <c r="V984" s="5"/>
      <c r="W984" s="5" t="b">
        <f ca="1">IFERROR(__xludf.DUMMYFUNCTION("""COMPUTED_VALUE"""),TRUE)</f>
        <v>1</v>
      </c>
      <c r="X984" s="5" t="str">
        <f ca="1">IFERROR(__xludf.DUMMYFUNCTION("""COMPUTED_VALUE"""),"wmazorra@postobon.com.co,aprmttoyu@postobon.com.co,aprmyu@postobon.com.co,wmora@postobon.com.co,efzapata@postobon.com.co")</f>
        <v>wmazorra@postobon.com.co,aprmttoyu@postobon.com.co,aprmyu@postobon.com.co,wmora@postobon.com.co,efzapata@postobon.com.co</v>
      </c>
      <c r="Y984" s="5" t="str">
        <f ca="1">IFERROR(__xludf.DUMMYFUNCTION("""COMPUTED_VALUE"""),"wmazorra@postobon.com.co")</f>
        <v>wmazorra@postobon.com.co</v>
      </c>
      <c r="Z984" s="5" t="str">
        <f ca="1">IFERROR(__xludf.DUMMYFUNCTION("""COMPUTED_VALUE"""),"Cs4NUxHKRVWNW9nFOzOisg")</f>
        <v>Cs4NUxHKRVWNW9nFOzOisg</v>
      </c>
      <c r="AA984" s="5"/>
      <c r="AB984" s="5"/>
      <c r="AC984" s="5"/>
      <c r="AD984" s="5">
        <f ca="1">IFERROR(__xludf.DUMMYFUNCTION("""COMPUTED_VALUE"""),57)</f>
        <v>57</v>
      </c>
      <c r="AE984" s="5">
        <f ca="1">IFERROR(__xludf.DUMMYFUNCTION("""COMPUTED_VALUE"""),57)</f>
        <v>57</v>
      </c>
      <c r="AF984" s="5" t="b">
        <f ca="1">IFERROR(__xludf.DUMMYFUNCTION("""COMPUTED_VALUE"""),FALSE)</f>
        <v>0</v>
      </c>
      <c r="AG984" s="5" t="str">
        <f ca="1">IFERROR(__xludf.DUMMYFUNCTION("""COMPUTED_VALUE"""),"INSPECCIONES REALIZADAS")</f>
        <v>INSPECCIONES REALIZADAS</v>
      </c>
      <c r="AH984" s="5"/>
    </row>
    <row r="985" spans="1:34">
      <c r="A985" s="5" t="str">
        <f ca="1">IFERROR(__xludf.DUMMYFUNCTION("""COMPUTED_VALUE"""),"EQUIPOS PARA SERVICIOS INDUSTRIALES")</f>
        <v>EQUIPOS PARA SERVICIOS INDUSTRIALES</v>
      </c>
      <c r="B985" s="5">
        <f ca="1">IFERROR(__xludf.DUMMYFUNCTION("""COMPUTED_VALUE"""),679356)</f>
        <v>679356</v>
      </c>
      <c r="C985" s="5" t="str">
        <f ca="1">IFERROR(__xludf.DUMMYFUNCTION("""COMPUTED_VALUE"""),"PLANTA ELECTRICA")</f>
        <v>PLANTA ELECTRICA</v>
      </c>
      <c r="D985" s="5">
        <f ca="1">IFERROR(__xludf.DUMMYFUNCTION("""COMPUTED_VALUE"""),13247501)</f>
        <v>13247501</v>
      </c>
      <c r="E985" s="5" t="str">
        <f ca="1">IFERROR(__xludf.DUMMYFUNCTION("""COMPUTED_VALUE"""),"INSPECCION SEMANAL PLANTA ELECTRICA")</f>
        <v>INSPECCION SEMANAL PLANTA ELECTRICA</v>
      </c>
      <c r="F985" s="5" t="str">
        <f ca="1">IFERROR(__xludf.DUMMYFUNCTION("""COMPUTED_VALUE"""),"COMPROBAR CONEXIONES MOTOR")</f>
        <v>COMPROBAR CONEXIONES MOTOR</v>
      </c>
      <c r="G985" s="5" t="b">
        <f ca="1">IFERROR(__xludf.DUMMYFUNCTION("""COMPUTED_VALUE"""),TRUE)</f>
        <v>1</v>
      </c>
      <c r="H985" s="5"/>
      <c r="I985" s="5"/>
      <c r="J985" s="5">
        <f ca="1">IFERROR(__xludf.DUMMYFUNCTION("""COMPUTED_VALUE"""),13247501)</f>
        <v>13247501</v>
      </c>
      <c r="K985" s="5"/>
      <c r="L985" s="18">
        <f ca="1">IFERROR(__xludf.DUMMYFUNCTION("""COMPUTED_VALUE"""),45325)</f>
        <v>45325</v>
      </c>
      <c r="M985" s="18">
        <f ca="1">IFERROR(__xludf.DUMMYFUNCTION("""COMPUTED_VALUE"""),45325)</f>
        <v>45325</v>
      </c>
      <c r="N985" s="5" t="str">
        <f ca="1">IFERROR(__xludf.DUMMYFUNCTION("""COMPUTED_VALUE"""),"JEFFERSON BRAVO PIEDRAHITA")</f>
        <v>JEFFERSON BRAVO PIEDRAHITA</v>
      </c>
      <c r="O985" s="2">
        <f ca="1">IFERROR(__xludf.DUMMYFUNCTION("""COMPUTED_VALUE"""),0.005263158)</f>
        <v>5.2631580000000004E-3</v>
      </c>
      <c r="P985" s="5">
        <f ca="1">IFERROR(__xludf.DUMMYFUNCTION("""COMPUTED_VALUE"""),1130593135)</f>
        <v>1130593135</v>
      </c>
      <c r="Q985" s="5" t="str">
        <f ca="1">IFERROR(__xludf.DUMMYFUNCTION("""COMPUTED_VALUE"""),"LuoBiXGzN_Q")</f>
        <v>LuoBiXGzN_Q</v>
      </c>
      <c r="R985" s="5">
        <f ca="1">IFERROR(__xludf.DUMMYFUNCTION("""COMPUTED_VALUE"""),410)</f>
        <v>410</v>
      </c>
      <c r="S985" s="62">
        <f ca="1">IFERROR(__xludf.DUMMYFUNCTION("""COMPUTED_VALUE"""),0.005263158)</f>
        <v>5.2631580000000004E-3</v>
      </c>
      <c r="T985" s="63" t="str">
        <f ca="1">IFERROR(__xludf.DUMMYFUNCTION("""COMPUTED_VALUE"""),"https://storage.googleapis.com/glide-prod.appspot.com/uploads-v2/ly7o78grxPaC6KdgvbpS/pub/3aRdSog0vUtuqPE8AJKD.png")</f>
        <v>https://storage.googleapis.com/glide-prod.appspot.com/uploads-v2/ly7o78grxPaC6KdgvbpS/pub/3aRdSog0vUtuqPE8AJKD.png</v>
      </c>
      <c r="U985" s="5" t="str">
        <f ca="1">IFERROR(__xludf.DUMMYFUNCTION("""COMPUTED_VALUE"""),"EQUIPOS PARA SERVICIOS INDUSTRIALESPLANTA ELECTRICA")</f>
        <v>EQUIPOS PARA SERVICIOS INDUSTRIALESPLANTA ELECTRICA</v>
      </c>
      <c r="V985" s="5"/>
      <c r="W985" s="5" t="b">
        <f ca="1">IFERROR(__xludf.DUMMYFUNCTION("""COMPUTED_VALUE"""),TRUE)</f>
        <v>1</v>
      </c>
      <c r="X985" s="5" t="str">
        <f ca="1">IFERROR(__xludf.DUMMYFUNCTION("""COMPUTED_VALUE"""),"wmazorra@postobon.com.co,aprmttoyu@postobon.com.co,aprmyu@postobon.com.co,wmora@postobon.com.co,efzapata@postobon.com.co")</f>
        <v>wmazorra@postobon.com.co,aprmttoyu@postobon.com.co,aprmyu@postobon.com.co,wmora@postobon.com.co,efzapata@postobon.com.co</v>
      </c>
      <c r="Y985" s="5" t="str">
        <f ca="1">IFERROR(__xludf.DUMMYFUNCTION("""COMPUTED_VALUE"""),"wmazorra@postobon.com.co")</f>
        <v>wmazorra@postobon.com.co</v>
      </c>
      <c r="Z985" s="5" t="str">
        <f ca="1">IFERROR(__xludf.DUMMYFUNCTION("""COMPUTED_VALUE"""),"lCQgTa6bQ8KiGyPr2ulttg")</f>
        <v>lCQgTa6bQ8KiGyPr2ulttg</v>
      </c>
      <c r="AA985" s="5"/>
      <c r="AB985" s="5"/>
      <c r="AC985" s="5"/>
      <c r="AD985" s="5">
        <f ca="1">IFERROR(__xludf.DUMMYFUNCTION("""COMPUTED_VALUE"""),57)</f>
        <v>57</v>
      </c>
      <c r="AE985" s="5">
        <f ca="1">IFERROR(__xludf.DUMMYFUNCTION("""COMPUTED_VALUE"""),57)</f>
        <v>57</v>
      </c>
      <c r="AF985" s="5" t="b">
        <f ca="1">IFERROR(__xludf.DUMMYFUNCTION("""COMPUTED_VALUE"""),FALSE)</f>
        <v>0</v>
      </c>
      <c r="AG985" s="5" t="str">
        <f ca="1">IFERROR(__xludf.DUMMYFUNCTION("""COMPUTED_VALUE"""),"INSPECCIONES REALIZADAS")</f>
        <v>INSPECCIONES REALIZADAS</v>
      </c>
      <c r="AH985" s="5"/>
    </row>
    <row r="986" spans="1:34">
      <c r="A986" s="5" t="str">
        <f ca="1">IFERROR(__xludf.DUMMYFUNCTION("""COMPUTED_VALUE"""),"EQUIPOS PARA SERVICIOS INDUSTRIALES")</f>
        <v>EQUIPOS PARA SERVICIOS INDUSTRIALES</v>
      </c>
      <c r="B986" s="5">
        <f ca="1">IFERROR(__xludf.DUMMYFUNCTION("""COMPUTED_VALUE"""),679356)</f>
        <v>679356</v>
      </c>
      <c r="C986" s="5" t="str">
        <f ca="1">IFERROR(__xludf.DUMMYFUNCTION("""COMPUTED_VALUE"""),"PLANTA ELECTRICA")</f>
        <v>PLANTA ELECTRICA</v>
      </c>
      <c r="D986" s="5">
        <f ca="1">IFERROR(__xludf.DUMMYFUNCTION("""COMPUTED_VALUE"""),13247501)</f>
        <v>13247501</v>
      </c>
      <c r="E986" s="5" t="str">
        <f ca="1">IFERROR(__xludf.DUMMYFUNCTION("""COMPUTED_VALUE"""),"INSPECCION SEMANAL PLANTA ELECTRICA")</f>
        <v>INSPECCION SEMANAL PLANTA ELECTRICA</v>
      </c>
      <c r="F986" s="5" t="str">
        <f ca="1">IFERROR(__xludf.DUMMYFUNCTION("""COMPUTED_VALUE"""),"INSP GENERADOR")</f>
        <v>INSP GENERADOR</v>
      </c>
      <c r="G986" s="5" t="b">
        <f ca="1">IFERROR(__xludf.DUMMYFUNCTION("""COMPUTED_VALUE"""),TRUE)</f>
        <v>1</v>
      </c>
      <c r="H986" s="5"/>
      <c r="I986" s="5"/>
      <c r="J986" s="5">
        <f ca="1">IFERROR(__xludf.DUMMYFUNCTION("""COMPUTED_VALUE"""),13247501)</f>
        <v>13247501</v>
      </c>
      <c r="K986" s="5"/>
      <c r="L986" s="18">
        <f ca="1">IFERROR(__xludf.DUMMYFUNCTION("""COMPUTED_VALUE"""),45325)</f>
        <v>45325</v>
      </c>
      <c r="M986" s="18">
        <f ca="1">IFERROR(__xludf.DUMMYFUNCTION("""COMPUTED_VALUE"""),45325)</f>
        <v>45325</v>
      </c>
      <c r="N986" s="5" t="str">
        <f ca="1">IFERROR(__xludf.DUMMYFUNCTION("""COMPUTED_VALUE"""),"JEFFERSON BRAVO PIEDRAHITA")</f>
        <v>JEFFERSON BRAVO PIEDRAHITA</v>
      </c>
      <c r="O986" s="2">
        <f ca="1">IFERROR(__xludf.DUMMYFUNCTION("""COMPUTED_VALUE"""),0.005263158)</f>
        <v>5.2631580000000004E-3</v>
      </c>
      <c r="P986" s="5">
        <f ca="1">IFERROR(__xludf.DUMMYFUNCTION("""COMPUTED_VALUE"""),1130593135)</f>
        <v>1130593135</v>
      </c>
      <c r="Q986" s="5" t="str">
        <f ca="1">IFERROR(__xludf.DUMMYFUNCTION("""COMPUTED_VALUE"""),"MTWJfDLHUEQ")</f>
        <v>MTWJfDLHUEQ</v>
      </c>
      <c r="R986" s="5">
        <f ca="1">IFERROR(__xludf.DUMMYFUNCTION("""COMPUTED_VALUE"""),410)</f>
        <v>410</v>
      </c>
      <c r="S986" s="62">
        <f ca="1">IFERROR(__xludf.DUMMYFUNCTION("""COMPUTED_VALUE"""),0.005263158)</f>
        <v>5.2631580000000004E-3</v>
      </c>
      <c r="T986" s="63" t="str">
        <f ca="1">IFERROR(__xludf.DUMMYFUNCTION("""COMPUTED_VALUE"""),"https://storage.googleapis.com/glide-prod.appspot.com/uploads-v2/ly7o78grxPaC6KdgvbpS/pub/3aRdSog0vUtuqPE8AJKD.png")</f>
        <v>https://storage.googleapis.com/glide-prod.appspot.com/uploads-v2/ly7o78grxPaC6KdgvbpS/pub/3aRdSog0vUtuqPE8AJKD.png</v>
      </c>
      <c r="U986" s="5" t="str">
        <f ca="1">IFERROR(__xludf.DUMMYFUNCTION("""COMPUTED_VALUE"""),"EQUIPOS PARA SERVICIOS INDUSTRIALESPLANTA ELECTRICA")</f>
        <v>EQUIPOS PARA SERVICIOS INDUSTRIALESPLANTA ELECTRICA</v>
      </c>
      <c r="V986" s="5"/>
      <c r="W986" s="5" t="b">
        <f ca="1">IFERROR(__xludf.DUMMYFUNCTION("""COMPUTED_VALUE"""),TRUE)</f>
        <v>1</v>
      </c>
      <c r="X986" s="5" t="str">
        <f ca="1">IFERROR(__xludf.DUMMYFUNCTION("""COMPUTED_VALUE"""),"wmazorra@postobon.com.co,aprmttoyu@postobon.com.co,aprmyu@postobon.com.co,wmora@postobon.com.co,efzapata@postobon.com.co")</f>
        <v>wmazorra@postobon.com.co,aprmttoyu@postobon.com.co,aprmyu@postobon.com.co,wmora@postobon.com.co,efzapata@postobon.com.co</v>
      </c>
      <c r="Y986" s="5" t="str">
        <f ca="1">IFERROR(__xludf.DUMMYFUNCTION("""COMPUTED_VALUE"""),"wmazorra@postobon.com.co")</f>
        <v>wmazorra@postobon.com.co</v>
      </c>
      <c r="Z986" s="5" t="str">
        <f ca="1">IFERROR(__xludf.DUMMYFUNCTION("""COMPUTED_VALUE"""),"qBSmgAbCQYSzMGTbc-pNZg")</f>
        <v>qBSmgAbCQYSzMGTbc-pNZg</v>
      </c>
      <c r="AA986" s="5"/>
      <c r="AB986" s="5"/>
      <c r="AC986" s="5"/>
      <c r="AD986" s="5">
        <f ca="1">IFERROR(__xludf.DUMMYFUNCTION("""COMPUTED_VALUE"""),57)</f>
        <v>57</v>
      </c>
      <c r="AE986" s="5">
        <f ca="1">IFERROR(__xludf.DUMMYFUNCTION("""COMPUTED_VALUE"""),57)</f>
        <v>57</v>
      </c>
      <c r="AF986" s="5" t="b">
        <f ca="1">IFERROR(__xludf.DUMMYFUNCTION("""COMPUTED_VALUE"""),FALSE)</f>
        <v>0</v>
      </c>
      <c r="AG986" s="5" t="str">
        <f ca="1">IFERROR(__xludf.DUMMYFUNCTION("""COMPUTED_VALUE"""),"INSPECCIONES REALIZADAS")</f>
        <v>INSPECCIONES REALIZADAS</v>
      </c>
      <c r="AH986" s="5"/>
    </row>
    <row r="987" spans="1:34">
      <c r="A987" s="5" t="str">
        <f ca="1">IFERROR(__xludf.DUMMYFUNCTION("""COMPUTED_VALUE"""),"EQUIPOS PARA SERVICIOS INDUSTRIALES")</f>
        <v>EQUIPOS PARA SERVICIOS INDUSTRIALES</v>
      </c>
      <c r="B987" s="5">
        <f ca="1">IFERROR(__xludf.DUMMYFUNCTION("""COMPUTED_VALUE"""),679356)</f>
        <v>679356</v>
      </c>
      <c r="C987" s="5" t="str">
        <f ca="1">IFERROR(__xludf.DUMMYFUNCTION("""COMPUTED_VALUE"""),"PLANTA ELECTRICA")</f>
        <v>PLANTA ELECTRICA</v>
      </c>
      <c r="D987" s="5">
        <f ca="1">IFERROR(__xludf.DUMMYFUNCTION("""COMPUTED_VALUE"""),13247501)</f>
        <v>13247501</v>
      </c>
      <c r="E987" s="5" t="str">
        <f ca="1">IFERROR(__xludf.DUMMYFUNCTION("""COMPUTED_VALUE"""),"INSPECCION SEMANAL PLANTA ELECTRICA")</f>
        <v>INSPECCION SEMANAL PLANTA ELECTRICA</v>
      </c>
      <c r="F987" s="5" t="str">
        <f ca="1">IFERROR(__xludf.DUMMYFUNCTION("""COMPUTED_VALUE"""),"INSP ALARMAS-FALLAS CONTROL")</f>
        <v>INSP ALARMAS-FALLAS CONTROL</v>
      </c>
      <c r="G987" s="5" t="b">
        <f ca="1">IFERROR(__xludf.DUMMYFUNCTION("""COMPUTED_VALUE"""),TRUE)</f>
        <v>1</v>
      </c>
      <c r="H987" s="5"/>
      <c r="I987" s="5"/>
      <c r="J987" s="5">
        <f ca="1">IFERROR(__xludf.DUMMYFUNCTION("""COMPUTED_VALUE"""),13247501)</f>
        <v>13247501</v>
      </c>
      <c r="K987" s="5"/>
      <c r="L987" s="18">
        <f ca="1">IFERROR(__xludf.DUMMYFUNCTION("""COMPUTED_VALUE"""),45325)</f>
        <v>45325</v>
      </c>
      <c r="M987" s="18">
        <f ca="1">IFERROR(__xludf.DUMMYFUNCTION("""COMPUTED_VALUE"""),45325)</f>
        <v>45325</v>
      </c>
      <c r="N987" s="5" t="str">
        <f ca="1">IFERROR(__xludf.DUMMYFUNCTION("""COMPUTED_VALUE"""),"JEFFERSON BRAVO PIEDRAHITA")</f>
        <v>JEFFERSON BRAVO PIEDRAHITA</v>
      </c>
      <c r="O987" s="2">
        <f ca="1">IFERROR(__xludf.DUMMYFUNCTION("""COMPUTED_VALUE"""),0.005263158)</f>
        <v>5.2631580000000004E-3</v>
      </c>
      <c r="P987" s="5">
        <f ca="1">IFERROR(__xludf.DUMMYFUNCTION("""COMPUTED_VALUE"""),1130593135)</f>
        <v>1130593135</v>
      </c>
      <c r="Q987" s="5" t="str">
        <f ca="1">IFERROR(__xludf.DUMMYFUNCTION("""COMPUTED_VALUE"""),"xj0q1ozLaDE")</f>
        <v>xj0q1ozLaDE</v>
      </c>
      <c r="R987" s="5">
        <f ca="1">IFERROR(__xludf.DUMMYFUNCTION("""COMPUTED_VALUE"""),410)</f>
        <v>410</v>
      </c>
      <c r="S987" s="62">
        <f ca="1">IFERROR(__xludf.DUMMYFUNCTION("""COMPUTED_VALUE"""),0.005263158)</f>
        <v>5.2631580000000004E-3</v>
      </c>
      <c r="T987" s="63" t="str">
        <f ca="1">IFERROR(__xludf.DUMMYFUNCTION("""COMPUTED_VALUE"""),"https://storage.googleapis.com/glide-prod.appspot.com/uploads-v2/ly7o78grxPaC6KdgvbpS/pub/3aRdSog0vUtuqPE8AJKD.png")</f>
        <v>https://storage.googleapis.com/glide-prod.appspot.com/uploads-v2/ly7o78grxPaC6KdgvbpS/pub/3aRdSog0vUtuqPE8AJKD.png</v>
      </c>
      <c r="U987" s="5" t="str">
        <f ca="1">IFERROR(__xludf.DUMMYFUNCTION("""COMPUTED_VALUE"""),"EQUIPOS PARA SERVICIOS INDUSTRIALESPLANTA ELECTRICA")</f>
        <v>EQUIPOS PARA SERVICIOS INDUSTRIALESPLANTA ELECTRICA</v>
      </c>
      <c r="V987" s="5"/>
      <c r="W987" s="5" t="b">
        <f ca="1">IFERROR(__xludf.DUMMYFUNCTION("""COMPUTED_VALUE"""),TRUE)</f>
        <v>1</v>
      </c>
      <c r="X987" s="5" t="str">
        <f ca="1">IFERROR(__xludf.DUMMYFUNCTION("""COMPUTED_VALUE"""),"wmazorra@postobon.com.co,aprmttoyu@postobon.com.co,aprmyu@postobon.com.co,wmora@postobon.com.co,efzapata@postobon.com.co")</f>
        <v>wmazorra@postobon.com.co,aprmttoyu@postobon.com.co,aprmyu@postobon.com.co,wmora@postobon.com.co,efzapata@postobon.com.co</v>
      </c>
      <c r="Y987" s="5" t="str">
        <f ca="1">IFERROR(__xludf.DUMMYFUNCTION("""COMPUTED_VALUE"""),"wmazorra@postobon.com.co")</f>
        <v>wmazorra@postobon.com.co</v>
      </c>
      <c r="Z987" s="5" t="str">
        <f ca="1">IFERROR(__xludf.DUMMYFUNCTION("""COMPUTED_VALUE"""),"k0il3N5wT5W2z8L6.a9J9A")</f>
        <v>k0il3N5wT5W2z8L6.a9J9A</v>
      </c>
      <c r="AA987" s="5"/>
      <c r="AB987" s="5"/>
      <c r="AC987" s="5"/>
      <c r="AD987" s="5">
        <f ca="1">IFERROR(__xludf.DUMMYFUNCTION("""COMPUTED_VALUE"""),57)</f>
        <v>57</v>
      </c>
      <c r="AE987" s="5">
        <f ca="1">IFERROR(__xludf.DUMMYFUNCTION("""COMPUTED_VALUE"""),57)</f>
        <v>57</v>
      </c>
      <c r="AF987" s="5" t="b">
        <f ca="1">IFERROR(__xludf.DUMMYFUNCTION("""COMPUTED_VALUE"""),FALSE)</f>
        <v>0</v>
      </c>
      <c r="AG987" s="5" t="str">
        <f ca="1">IFERROR(__xludf.DUMMYFUNCTION("""COMPUTED_VALUE"""),"INSPECCIONES REALIZADAS")</f>
        <v>INSPECCIONES REALIZADAS</v>
      </c>
      <c r="AH987" s="5"/>
    </row>
    <row r="988" spans="1:34">
      <c r="A988" s="5" t="str">
        <f ca="1">IFERROR(__xludf.DUMMYFUNCTION("""COMPUTED_VALUE"""),"EQUIPOS PARA SERVICIOS INDUSTRIALES")</f>
        <v>EQUIPOS PARA SERVICIOS INDUSTRIALES</v>
      </c>
      <c r="B988" s="5">
        <f ca="1">IFERROR(__xludf.DUMMYFUNCTION("""COMPUTED_VALUE"""),679356)</f>
        <v>679356</v>
      </c>
      <c r="C988" s="5" t="str">
        <f ca="1">IFERROR(__xludf.DUMMYFUNCTION("""COMPUTED_VALUE"""),"PLANTA ELECTRICA")</f>
        <v>PLANTA ELECTRICA</v>
      </c>
      <c r="D988" s="5">
        <f ca="1">IFERROR(__xludf.DUMMYFUNCTION("""COMPUTED_VALUE"""),13247501)</f>
        <v>13247501</v>
      </c>
      <c r="E988" s="5" t="str">
        <f ca="1">IFERROR(__xludf.DUMMYFUNCTION("""COMPUTED_VALUE"""),"INSPECCION SEMANAL PLANTA ELECTRICA")</f>
        <v>INSPECCION SEMANAL PLANTA ELECTRICA</v>
      </c>
      <c r="F988" s="5" t="str">
        <f ca="1">IFERROR(__xludf.DUMMYFUNCTION("""COMPUTED_VALUE"""),"INSP. TABLERO ELECTRICO/CLIMATIZADOR")</f>
        <v>INSP. TABLERO ELECTRICO/CLIMATIZADOR</v>
      </c>
      <c r="G988" s="5" t="b">
        <f ca="1">IFERROR(__xludf.DUMMYFUNCTION("""COMPUTED_VALUE"""),TRUE)</f>
        <v>1</v>
      </c>
      <c r="H988" s="5"/>
      <c r="I988" s="5"/>
      <c r="J988" s="5">
        <f ca="1">IFERROR(__xludf.DUMMYFUNCTION("""COMPUTED_VALUE"""),13247501)</f>
        <v>13247501</v>
      </c>
      <c r="K988" s="5"/>
      <c r="L988" s="18">
        <f ca="1">IFERROR(__xludf.DUMMYFUNCTION("""COMPUTED_VALUE"""),45325)</f>
        <v>45325</v>
      </c>
      <c r="M988" s="18">
        <f ca="1">IFERROR(__xludf.DUMMYFUNCTION("""COMPUTED_VALUE"""),45325)</f>
        <v>45325</v>
      </c>
      <c r="N988" s="5" t="str">
        <f ca="1">IFERROR(__xludf.DUMMYFUNCTION("""COMPUTED_VALUE"""),"JEFFERSON BRAVO PIEDRAHITA")</f>
        <v>JEFFERSON BRAVO PIEDRAHITA</v>
      </c>
      <c r="O988" s="2">
        <f ca="1">IFERROR(__xludf.DUMMYFUNCTION("""COMPUTED_VALUE"""),0.005263158)</f>
        <v>5.2631580000000004E-3</v>
      </c>
      <c r="P988" s="5">
        <f ca="1">IFERROR(__xludf.DUMMYFUNCTION("""COMPUTED_VALUE"""),1130593135)</f>
        <v>1130593135</v>
      </c>
      <c r="Q988" s="5" t="str">
        <f ca="1">IFERROR(__xludf.DUMMYFUNCTION("""COMPUTED_VALUE"""),"gDoa6GDCU1I")</f>
        <v>gDoa6GDCU1I</v>
      </c>
      <c r="R988" s="5">
        <f ca="1">IFERROR(__xludf.DUMMYFUNCTION("""COMPUTED_VALUE"""),410)</f>
        <v>410</v>
      </c>
      <c r="S988" s="62">
        <f ca="1">IFERROR(__xludf.DUMMYFUNCTION("""COMPUTED_VALUE"""),0.005263158)</f>
        <v>5.2631580000000004E-3</v>
      </c>
      <c r="T988" s="63" t="str">
        <f ca="1">IFERROR(__xludf.DUMMYFUNCTION("""COMPUTED_VALUE"""),"https://storage.googleapis.com/glide-prod.appspot.com/uploads-v2/ly7o78grxPaC6KdgvbpS/pub/3aRdSog0vUtuqPE8AJKD.png")</f>
        <v>https://storage.googleapis.com/glide-prod.appspot.com/uploads-v2/ly7o78grxPaC6KdgvbpS/pub/3aRdSog0vUtuqPE8AJKD.png</v>
      </c>
      <c r="U988" s="5" t="str">
        <f ca="1">IFERROR(__xludf.DUMMYFUNCTION("""COMPUTED_VALUE"""),"EQUIPOS PARA SERVICIOS INDUSTRIALESPLANTA ELECTRICA")</f>
        <v>EQUIPOS PARA SERVICIOS INDUSTRIALESPLANTA ELECTRICA</v>
      </c>
      <c r="V988" s="5"/>
      <c r="W988" s="5" t="b">
        <f ca="1">IFERROR(__xludf.DUMMYFUNCTION("""COMPUTED_VALUE"""),TRUE)</f>
        <v>1</v>
      </c>
      <c r="X988" s="5" t="str">
        <f ca="1">IFERROR(__xludf.DUMMYFUNCTION("""COMPUTED_VALUE"""),"wmazorra@postobon.com.co,aprmttoyu@postobon.com.co,aprmyu@postobon.com.co,wmora@postobon.com.co,efzapata@postobon.com.co")</f>
        <v>wmazorra@postobon.com.co,aprmttoyu@postobon.com.co,aprmyu@postobon.com.co,wmora@postobon.com.co,efzapata@postobon.com.co</v>
      </c>
      <c r="Y988" s="5" t="str">
        <f ca="1">IFERROR(__xludf.DUMMYFUNCTION("""COMPUTED_VALUE"""),"wmazorra@postobon.com.co")</f>
        <v>wmazorra@postobon.com.co</v>
      </c>
      <c r="Z988" s="5" t="str">
        <f ca="1">IFERROR(__xludf.DUMMYFUNCTION("""COMPUTED_VALUE"""),"Rk1d4OnBTNuDqMbBFf53ig")</f>
        <v>Rk1d4OnBTNuDqMbBFf53ig</v>
      </c>
      <c r="AA988" s="5"/>
      <c r="AB988" s="5"/>
      <c r="AC988" s="5"/>
      <c r="AD988" s="5">
        <f ca="1">IFERROR(__xludf.DUMMYFUNCTION("""COMPUTED_VALUE"""),57)</f>
        <v>57</v>
      </c>
      <c r="AE988" s="5">
        <f ca="1">IFERROR(__xludf.DUMMYFUNCTION("""COMPUTED_VALUE"""),57)</f>
        <v>57</v>
      </c>
      <c r="AF988" s="5" t="b">
        <f ca="1">IFERROR(__xludf.DUMMYFUNCTION("""COMPUTED_VALUE"""),FALSE)</f>
        <v>0</v>
      </c>
      <c r="AG988" s="5" t="str">
        <f ca="1">IFERROR(__xludf.DUMMYFUNCTION("""COMPUTED_VALUE"""),"INSPECCIONES REALIZADAS")</f>
        <v>INSPECCIONES REALIZADAS</v>
      </c>
      <c r="AH988" s="5"/>
    </row>
    <row r="989" spans="1:34">
      <c r="A989" s="5" t="str">
        <f ca="1">IFERROR(__xludf.DUMMYFUNCTION("""COMPUTED_VALUE"""),"EQUIPOS PARA SERVICIOS INDUSTRIALES")</f>
        <v>EQUIPOS PARA SERVICIOS INDUSTRIALES</v>
      </c>
      <c r="B989" s="5">
        <f ca="1">IFERROR(__xludf.DUMMYFUNCTION("""COMPUTED_VALUE"""),679376)</f>
        <v>679376</v>
      </c>
      <c r="C989" s="5" t="str">
        <f ca="1">IFERROR(__xludf.DUMMYFUNCTION("""COMPUTED_VALUE"""),"PLANTA ELECTRICA Nº 2")</f>
        <v>PLANTA ELECTRICA Nº 2</v>
      </c>
      <c r="D989" s="5">
        <f ca="1">IFERROR(__xludf.DUMMYFUNCTION("""COMPUTED_VALUE"""),13247552)</f>
        <v>13247552</v>
      </c>
      <c r="E989" s="5" t="str">
        <f ca="1">IFERROR(__xludf.DUMMYFUNCTION("""COMPUTED_VALUE"""),"INSPECCION SEMANAL PLANTA ELECTRICA")</f>
        <v>INSPECCION SEMANAL PLANTA ELECTRICA</v>
      </c>
      <c r="F989" s="5" t="str">
        <f ca="1">IFERROR(__xludf.DUMMYFUNCTION("""COMPUTED_VALUE"""),"INSP FILTRO TRAMPA")</f>
        <v>INSP FILTRO TRAMPA</v>
      </c>
      <c r="G989" s="5" t="b">
        <f ca="1">IFERROR(__xludf.DUMMYFUNCTION("""COMPUTED_VALUE"""),TRUE)</f>
        <v>1</v>
      </c>
      <c r="H989" s="5"/>
      <c r="I989" s="5"/>
      <c r="J989" s="5">
        <f ca="1">IFERROR(__xludf.DUMMYFUNCTION("""COMPUTED_VALUE"""),13247552)</f>
        <v>13247552</v>
      </c>
      <c r="K989" s="5"/>
      <c r="L989" s="18">
        <f ca="1">IFERROR(__xludf.DUMMYFUNCTION("""COMPUTED_VALUE"""),45324)</f>
        <v>45324</v>
      </c>
      <c r="M989" s="18">
        <f ca="1">IFERROR(__xludf.DUMMYFUNCTION("""COMPUTED_VALUE"""),45324)</f>
        <v>45324</v>
      </c>
      <c r="N989" s="5" t="str">
        <f ca="1">IFERROR(__xludf.DUMMYFUNCTION("""COMPUTED_VALUE"""),"JEFFERSON BRAVO PIEDRAHITA")</f>
        <v>JEFFERSON BRAVO PIEDRAHITA</v>
      </c>
      <c r="O989" s="2">
        <f ca="1">IFERROR(__xludf.DUMMYFUNCTION("""COMPUTED_VALUE"""),0.005263158)</f>
        <v>5.2631580000000004E-3</v>
      </c>
      <c r="P989" s="5">
        <f ca="1">IFERROR(__xludf.DUMMYFUNCTION("""COMPUTED_VALUE"""),1130593135)</f>
        <v>1130593135</v>
      </c>
      <c r="Q989" s="5" t="str">
        <f ca="1">IFERROR(__xludf.DUMMYFUNCTION("""COMPUTED_VALUE"""),"q7wFOSDIFPA")</f>
        <v>q7wFOSDIFPA</v>
      </c>
      <c r="R989" s="5">
        <f ca="1">IFERROR(__xludf.DUMMYFUNCTION("""COMPUTED_VALUE"""),410)</f>
        <v>410</v>
      </c>
      <c r="S989" s="62">
        <f ca="1">IFERROR(__xludf.DUMMYFUNCTION("""COMPUTED_VALUE"""),0.005263158)</f>
        <v>5.2631580000000004E-3</v>
      </c>
      <c r="T989" s="63" t="str">
        <f ca="1">IFERROR(__xludf.DUMMYFUNCTION("""COMPUTED_VALUE"""),"https://storage.googleapis.com/glide-prod.appspot.com/uploads-v2/ly7o78grxPaC6KdgvbpS/pub/3aRdSog0vUtuqPE8AJKD.png")</f>
        <v>https://storage.googleapis.com/glide-prod.appspot.com/uploads-v2/ly7o78grxPaC6KdgvbpS/pub/3aRdSog0vUtuqPE8AJKD.png</v>
      </c>
      <c r="U989" s="5" t="str">
        <f ca="1">IFERROR(__xludf.DUMMYFUNCTION("""COMPUTED_VALUE"""),"EQUIPOS PARA SERVICIOS INDUSTRIALESPLANTA ELECTRICA Nº 2")</f>
        <v>EQUIPOS PARA SERVICIOS INDUSTRIALESPLANTA ELECTRICA Nº 2</v>
      </c>
      <c r="V989" s="5"/>
      <c r="W989" s="5" t="b">
        <f ca="1">IFERROR(__xludf.DUMMYFUNCTION("""COMPUTED_VALUE"""),TRUE)</f>
        <v>1</v>
      </c>
      <c r="X989" s="5" t="str">
        <f ca="1">IFERROR(__xludf.DUMMYFUNCTION("""COMPUTED_VALUE"""),"wmazorra@postobon.com.co,aprmttoyu@postobon.com.co,aprmyu@postobon.com.co,wmora@postobon.com.co,efzapata@postobon.com.co")</f>
        <v>wmazorra@postobon.com.co,aprmttoyu@postobon.com.co,aprmyu@postobon.com.co,wmora@postobon.com.co,efzapata@postobon.com.co</v>
      </c>
      <c r="Y989" s="5" t="str">
        <f ca="1">IFERROR(__xludf.DUMMYFUNCTION("""COMPUTED_VALUE"""),"wmazorra@postobon.com.co")</f>
        <v>wmazorra@postobon.com.co</v>
      </c>
      <c r="Z989" s="5" t="str">
        <f ca="1">IFERROR(__xludf.DUMMYFUNCTION("""COMPUTED_VALUE"""),"ZSOUgRaoRQOGbYHouI98LQ")</f>
        <v>ZSOUgRaoRQOGbYHouI98LQ</v>
      </c>
      <c r="AA989" s="5"/>
      <c r="AB989" s="5"/>
      <c r="AC989" s="5"/>
      <c r="AD989" s="5">
        <f ca="1">IFERROR(__xludf.DUMMYFUNCTION("""COMPUTED_VALUE"""),57)</f>
        <v>57</v>
      </c>
      <c r="AE989" s="5">
        <f ca="1">IFERROR(__xludf.DUMMYFUNCTION("""COMPUTED_VALUE"""),57)</f>
        <v>57</v>
      </c>
      <c r="AF989" s="5" t="b">
        <f ca="1">IFERROR(__xludf.DUMMYFUNCTION("""COMPUTED_VALUE"""),FALSE)</f>
        <v>0</v>
      </c>
      <c r="AG989" s="5" t="str">
        <f ca="1">IFERROR(__xludf.DUMMYFUNCTION("""COMPUTED_VALUE"""),"INSPECCIONES REALIZADAS")</f>
        <v>INSPECCIONES REALIZADAS</v>
      </c>
      <c r="AH989" s="5"/>
    </row>
    <row r="990" spans="1:34">
      <c r="A990" s="5" t="str">
        <f ca="1">IFERROR(__xludf.DUMMYFUNCTION("""COMPUTED_VALUE"""),"EQUIPOS PARA SERVICIOS INDUSTRIALES")</f>
        <v>EQUIPOS PARA SERVICIOS INDUSTRIALES</v>
      </c>
      <c r="B990" s="5">
        <f ca="1">IFERROR(__xludf.DUMMYFUNCTION("""COMPUTED_VALUE"""),679376)</f>
        <v>679376</v>
      </c>
      <c r="C990" s="5" t="str">
        <f ca="1">IFERROR(__xludf.DUMMYFUNCTION("""COMPUTED_VALUE"""),"PLANTA ELECTRICA Nº 2")</f>
        <v>PLANTA ELECTRICA Nº 2</v>
      </c>
      <c r="D990" s="5">
        <f ca="1">IFERROR(__xludf.DUMMYFUNCTION("""COMPUTED_VALUE"""),13247552)</f>
        <v>13247552</v>
      </c>
      <c r="E990" s="5" t="str">
        <f ca="1">IFERROR(__xludf.DUMMYFUNCTION("""COMPUTED_VALUE"""),"INSPECCION SEMANAL PLANTA ELECTRICA")</f>
        <v>INSPECCION SEMANAL PLANTA ELECTRICA</v>
      </c>
      <c r="F990" s="5" t="str">
        <f ca="1">IFERROR(__xludf.DUMMYFUNCTION("""COMPUTED_VALUE"""),"INSP NIVEL ACEITE MOTOR")</f>
        <v>INSP NIVEL ACEITE MOTOR</v>
      </c>
      <c r="G990" s="5" t="b">
        <f ca="1">IFERROR(__xludf.DUMMYFUNCTION("""COMPUTED_VALUE"""),TRUE)</f>
        <v>1</v>
      </c>
      <c r="H990" s="5"/>
      <c r="I990" s="5"/>
      <c r="J990" s="5">
        <f ca="1">IFERROR(__xludf.DUMMYFUNCTION("""COMPUTED_VALUE"""),13247552)</f>
        <v>13247552</v>
      </c>
      <c r="K990" s="5"/>
      <c r="L990" s="18">
        <f ca="1">IFERROR(__xludf.DUMMYFUNCTION("""COMPUTED_VALUE"""),45324)</f>
        <v>45324</v>
      </c>
      <c r="M990" s="18">
        <f ca="1">IFERROR(__xludf.DUMMYFUNCTION("""COMPUTED_VALUE"""),45324)</f>
        <v>45324</v>
      </c>
      <c r="N990" s="5" t="str">
        <f ca="1">IFERROR(__xludf.DUMMYFUNCTION("""COMPUTED_VALUE"""),"JEFFERSON BRAVO PIEDRAHITA")</f>
        <v>JEFFERSON BRAVO PIEDRAHITA</v>
      </c>
      <c r="O990" s="2">
        <f ca="1">IFERROR(__xludf.DUMMYFUNCTION("""COMPUTED_VALUE"""),0.005263158)</f>
        <v>5.2631580000000004E-3</v>
      </c>
      <c r="P990" s="5">
        <f ca="1">IFERROR(__xludf.DUMMYFUNCTION("""COMPUTED_VALUE"""),1130593135)</f>
        <v>1130593135</v>
      </c>
      <c r="Q990" s="5" t="str">
        <f ca="1">IFERROR(__xludf.DUMMYFUNCTION("""COMPUTED_VALUE"""),"pTEXvxoIs1g")</f>
        <v>pTEXvxoIs1g</v>
      </c>
      <c r="R990" s="5">
        <f ca="1">IFERROR(__xludf.DUMMYFUNCTION("""COMPUTED_VALUE"""),410)</f>
        <v>410</v>
      </c>
      <c r="S990" s="62">
        <f ca="1">IFERROR(__xludf.DUMMYFUNCTION("""COMPUTED_VALUE"""),0.005263158)</f>
        <v>5.2631580000000004E-3</v>
      </c>
      <c r="T990" s="63" t="str">
        <f ca="1">IFERROR(__xludf.DUMMYFUNCTION("""COMPUTED_VALUE"""),"https://storage.googleapis.com/glide-prod.appspot.com/uploads-v2/ly7o78grxPaC6KdgvbpS/pub/3aRdSog0vUtuqPE8AJKD.png")</f>
        <v>https://storage.googleapis.com/glide-prod.appspot.com/uploads-v2/ly7o78grxPaC6KdgvbpS/pub/3aRdSog0vUtuqPE8AJKD.png</v>
      </c>
      <c r="U990" s="5" t="str">
        <f ca="1">IFERROR(__xludf.DUMMYFUNCTION("""COMPUTED_VALUE"""),"EQUIPOS PARA SERVICIOS INDUSTRIALESPLANTA ELECTRICA Nº 2")</f>
        <v>EQUIPOS PARA SERVICIOS INDUSTRIALESPLANTA ELECTRICA Nº 2</v>
      </c>
      <c r="V990" s="5"/>
      <c r="W990" s="5" t="b">
        <f ca="1">IFERROR(__xludf.DUMMYFUNCTION("""COMPUTED_VALUE"""),TRUE)</f>
        <v>1</v>
      </c>
      <c r="X990" s="5" t="str">
        <f ca="1">IFERROR(__xludf.DUMMYFUNCTION("""COMPUTED_VALUE"""),"wmazorra@postobon.com.co,aprmttoyu@postobon.com.co,aprmyu@postobon.com.co,wmora@postobon.com.co,efzapata@postobon.com.co")</f>
        <v>wmazorra@postobon.com.co,aprmttoyu@postobon.com.co,aprmyu@postobon.com.co,wmora@postobon.com.co,efzapata@postobon.com.co</v>
      </c>
      <c r="Y990" s="5" t="str">
        <f ca="1">IFERROR(__xludf.DUMMYFUNCTION("""COMPUTED_VALUE"""),"wmazorra@postobon.com.co")</f>
        <v>wmazorra@postobon.com.co</v>
      </c>
      <c r="Z990" s="5" t="str">
        <f ca="1">IFERROR(__xludf.DUMMYFUNCTION("""COMPUTED_VALUE"""),"TmW6YO5-TaWKkixUoThtZQ")</f>
        <v>TmW6YO5-TaWKkixUoThtZQ</v>
      </c>
      <c r="AA990" s="5"/>
      <c r="AB990" s="5"/>
      <c r="AC990" s="5"/>
      <c r="AD990" s="5">
        <f ca="1">IFERROR(__xludf.DUMMYFUNCTION("""COMPUTED_VALUE"""),57)</f>
        <v>57</v>
      </c>
      <c r="AE990" s="5">
        <f ca="1">IFERROR(__xludf.DUMMYFUNCTION("""COMPUTED_VALUE"""),57)</f>
        <v>57</v>
      </c>
      <c r="AF990" s="5" t="b">
        <f ca="1">IFERROR(__xludf.DUMMYFUNCTION("""COMPUTED_VALUE"""),FALSE)</f>
        <v>0</v>
      </c>
      <c r="AG990" s="5" t="str">
        <f ca="1">IFERROR(__xludf.DUMMYFUNCTION("""COMPUTED_VALUE"""),"INSPECCIONES REALIZADAS")</f>
        <v>INSPECCIONES REALIZADAS</v>
      </c>
      <c r="AH990" s="5"/>
    </row>
    <row r="991" spans="1:34">
      <c r="A991" s="5" t="str">
        <f ca="1">IFERROR(__xludf.DUMMYFUNCTION("""COMPUTED_VALUE"""),"EQUIPOS PARA SERVICIOS INDUSTRIALES")</f>
        <v>EQUIPOS PARA SERVICIOS INDUSTRIALES</v>
      </c>
      <c r="B991" s="5">
        <f ca="1">IFERROR(__xludf.DUMMYFUNCTION("""COMPUTED_VALUE"""),679376)</f>
        <v>679376</v>
      </c>
      <c r="C991" s="5" t="str">
        <f ca="1">IFERROR(__xludf.DUMMYFUNCTION("""COMPUTED_VALUE"""),"PLANTA ELECTRICA Nº 2")</f>
        <v>PLANTA ELECTRICA Nº 2</v>
      </c>
      <c r="D991" s="5">
        <f ca="1">IFERROR(__xludf.DUMMYFUNCTION("""COMPUTED_VALUE"""),13247552)</f>
        <v>13247552</v>
      </c>
      <c r="E991" s="5" t="str">
        <f ca="1">IFERROR(__xludf.DUMMYFUNCTION("""COMPUTED_VALUE"""),"INSPECCION SEMANAL PLANTA ELECTRICA")</f>
        <v>INSPECCION SEMANAL PLANTA ELECTRICA</v>
      </c>
      <c r="F991" s="5" t="str">
        <f ca="1">IFERROR(__xludf.DUMMYFUNCTION("""COMPUTED_VALUE"""),"INSP. NIVEL REFRIGERANTE")</f>
        <v>INSP. NIVEL REFRIGERANTE</v>
      </c>
      <c r="G991" s="5" t="b">
        <f ca="1">IFERROR(__xludf.DUMMYFUNCTION("""COMPUTED_VALUE"""),TRUE)</f>
        <v>1</v>
      </c>
      <c r="H991" s="5"/>
      <c r="I991" s="5"/>
      <c r="J991" s="5">
        <f ca="1">IFERROR(__xludf.DUMMYFUNCTION("""COMPUTED_VALUE"""),13247552)</f>
        <v>13247552</v>
      </c>
      <c r="K991" s="5"/>
      <c r="L991" s="18">
        <f ca="1">IFERROR(__xludf.DUMMYFUNCTION("""COMPUTED_VALUE"""),45324)</f>
        <v>45324</v>
      </c>
      <c r="M991" s="18">
        <f ca="1">IFERROR(__xludf.DUMMYFUNCTION("""COMPUTED_VALUE"""),45324)</f>
        <v>45324</v>
      </c>
      <c r="N991" s="5" t="str">
        <f ca="1">IFERROR(__xludf.DUMMYFUNCTION("""COMPUTED_VALUE"""),"JEFFERSON BRAVO PIEDRAHITA")</f>
        <v>JEFFERSON BRAVO PIEDRAHITA</v>
      </c>
      <c r="O991" s="2">
        <f ca="1">IFERROR(__xludf.DUMMYFUNCTION("""COMPUTED_VALUE"""),0.005263158)</f>
        <v>5.2631580000000004E-3</v>
      </c>
      <c r="P991" s="5">
        <f ca="1">IFERROR(__xludf.DUMMYFUNCTION("""COMPUTED_VALUE"""),1130593135)</f>
        <v>1130593135</v>
      </c>
      <c r="Q991" s="5" t="str">
        <f ca="1">IFERROR(__xludf.DUMMYFUNCTION("""COMPUTED_VALUE"""),"VHqUBjT9Ah0")</f>
        <v>VHqUBjT9Ah0</v>
      </c>
      <c r="R991" s="5">
        <f ca="1">IFERROR(__xludf.DUMMYFUNCTION("""COMPUTED_VALUE"""),410)</f>
        <v>410</v>
      </c>
      <c r="S991" s="62">
        <f ca="1">IFERROR(__xludf.DUMMYFUNCTION("""COMPUTED_VALUE"""),0.005263158)</f>
        <v>5.2631580000000004E-3</v>
      </c>
      <c r="T991" s="63" t="str">
        <f ca="1">IFERROR(__xludf.DUMMYFUNCTION("""COMPUTED_VALUE"""),"https://storage.googleapis.com/glide-prod.appspot.com/uploads-v2/ly7o78grxPaC6KdgvbpS/pub/3aRdSog0vUtuqPE8AJKD.png")</f>
        <v>https://storage.googleapis.com/glide-prod.appspot.com/uploads-v2/ly7o78grxPaC6KdgvbpS/pub/3aRdSog0vUtuqPE8AJKD.png</v>
      </c>
      <c r="U991" s="5" t="str">
        <f ca="1">IFERROR(__xludf.DUMMYFUNCTION("""COMPUTED_VALUE"""),"EQUIPOS PARA SERVICIOS INDUSTRIALESPLANTA ELECTRICA Nº 2")</f>
        <v>EQUIPOS PARA SERVICIOS INDUSTRIALESPLANTA ELECTRICA Nº 2</v>
      </c>
      <c r="V991" s="5"/>
      <c r="W991" s="5" t="b">
        <f ca="1">IFERROR(__xludf.DUMMYFUNCTION("""COMPUTED_VALUE"""),TRUE)</f>
        <v>1</v>
      </c>
      <c r="X991" s="5" t="str">
        <f ca="1">IFERROR(__xludf.DUMMYFUNCTION("""COMPUTED_VALUE"""),"wmazorra@postobon.com.co,aprmttoyu@postobon.com.co,aprmyu@postobon.com.co,wmora@postobon.com.co,efzapata@postobon.com.co")</f>
        <v>wmazorra@postobon.com.co,aprmttoyu@postobon.com.co,aprmyu@postobon.com.co,wmora@postobon.com.co,efzapata@postobon.com.co</v>
      </c>
      <c r="Y991" s="5" t="str">
        <f ca="1">IFERROR(__xludf.DUMMYFUNCTION("""COMPUTED_VALUE"""),"wmazorra@postobon.com.co")</f>
        <v>wmazorra@postobon.com.co</v>
      </c>
      <c r="Z991" s="5" t="str">
        <f ca="1">IFERROR(__xludf.DUMMYFUNCTION("""COMPUTED_VALUE"""),"G7cJzA7ZTQmm.2aSpITq6Q")</f>
        <v>G7cJzA7ZTQmm.2aSpITq6Q</v>
      </c>
      <c r="AA991" s="5"/>
      <c r="AB991" s="5"/>
      <c r="AC991" s="5"/>
      <c r="AD991" s="5">
        <f ca="1">IFERROR(__xludf.DUMMYFUNCTION("""COMPUTED_VALUE"""),57)</f>
        <v>57</v>
      </c>
      <c r="AE991" s="5">
        <f ca="1">IFERROR(__xludf.DUMMYFUNCTION("""COMPUTED_VALUE"""),57)</f>
        <v>57</v>
      </c>
      <c r="AF991" s="5" t="b">
        <f ca="1">IFERROR(__xludf.DUMMYFUNCTION("""COMPUTED_VALUE"""),FALSE)</f>
        <v>0</v>
      </c>
      <c r="AG991" s="5" t="str">
        <f ca="1">IFERROR(__xludf.DUMMYFUNCTION("""COMPUTED_VALUE"""),"INSPECCIONES REALIZADAS")</f>
        <v>INSPECCIONES REALIZADAS</v>
      </c>
      <c r="AH991" s="5"/>
    </row>
    <row r="992" spans="1:34">
      <c r="A992" s="5" t="str">
        <f ca="1">IFERROR(__xludf.DUMMYFUNCTION("""COMPUTED_VALUE"""),"EQUIPOS PARA SERVICIOS INDUSTRIALES")</f>
        <v>EQUIPOS PARA SERVICIOS INDUSTRIALES</v>
      </c>
      <c r="B992" s="5">
        <f ca="1">IFERROR(__xludf.DUMMYFUNCTION("""COMPUTED_VALUE"""),679376)</f>
        <v>679376</v>
      </c>
      <c r="C992" s="5" t="str">
        <f ca="1">IFERROR(__xludf.DUMMYFUNCTION("""COMPUTED_VALUE"""),"PLANTA ELECTRICA Nº 2")</f>
        <v>PLANTA ELECTRICA Nº 2</v>
      </c>
      <c r="D992" s="5">
        <f ca="1">IFERROR(__xludf.DUMMYFUNCTION("""COMPUTED_VALUE"""),13247552)</f>
        <v>13247552</v>
      </c>
      <c r="E992" s="5" t="str">
        <f ca="1">IFERROR(__xludf.DUMMYFUNCTION("""COMPUTED_VALUE"""),"INSPECCION SEMANAL PLANTA ELECTRICA")</f>
        <v>INSPECCION SEMANAL PLANTA ELECTRICA</v>
      </c>
      <c r="F992" s="5" t="str">
        <f ca="1">IFERROR(__xludf.DUMMYFUNCTION("""COMPUTED_VALUE"""),"INSP NIVEL COMBUSTIBLE")</f>
        <v>INSP NIVEL COMBUSTIBLE</v>
      </c>
      <c r="G992" s="5" t="b">
        <f ca="1">IFERROR(__xludf.DUMMYFUNCTION("""COMPUTED_VALUE"""),TRUE)</f>
        <v>1</v>
      </c>
      <c r="H992" s="5"/>
      <c r="I992" s="5"/>
      <c r="J992" s="5">
        <f ca="1">IFERROR(__xludf.DUMMYFUNCTION("""COMPUTED_VALUE"""),13247552)</f>
        <v>13247552</v>
      </c>
      <c r="K992" s="5"/>
      <c r="L992" s="18">
        <f ca="1">IFERROR(__xludf.DUMMYFUNCTION("""COMPUTED_VALUE"""),45324)</f>
        <v>45324</v>
      </c>
      <c r="M992" s="18">
        <f ca="1">IFERROR(__xludf.DUMMYFUNCTION("""COMPUTED_VALUE"""),45324)</f>
        <v>45324</v>
      </c>
      <c r="N992" s="5" t="str">
        <f ca="1">IFERROR(__xludf.DUMMYFUNCTION("""COMPUTED_VALUE"""),"JEFFERSON BRAVO PIEDRAHITA")</f>
        <v>JEFFERSON BRAVO PIEDRAHITA</v>
      </c>
      <c r="O992" s="2">
        <f ca="1">IFERROR(__xludf.DUMMYFUNCTION("""COMPUTED_VALUE"""),0.005263158)</f>
        <v>5.2631580000000004E-3</v>
      </c>
      <c r="P992" s="5">
        <f ca="1">IFERROR(__xludf.DUMMYFUNCTION("""COMPUTED_VALUE"""),1130593135)</f>
        <v>1130593135</v>
      </c>
      <c r="Q992" s="5" t="str">
        <f ca="1">IFERROR(__xludf.DUMMYFUNCTION("""COMPUTED_VALUE"""),"ZrY-tsE79C0")</f>
        <v>ZrY-tsE79C0</v>
      </c>
      <c r="R992" s="5">
        <f ca="1">IFERROR(__xludf.DUMMYFUNCTION("""COMPUTED_VALUE"""),410)</f>
        <v>410</v>
      </c>
      <c r="S992" s="62">
        <f ca="1">IFERROR(__xludf.DUMMYFUNCTION("""COMPUTED_VALUE"""),0.005263158)</f>
        <v>5.2631580000000004E-3</v>
      </c>
      <c r="T992" s="63" t="str">
        <f ca="1">IFERROR(__xludf.DUMMYFUNCTION("""COMPUTED_VALUE"""),"https://storage.googleapis.com/glide-prod.appspot.com/uploads-v2/ly7o78grxPaC6KdgvbpS/pub/3aRdSog0vUtuqPE8AJKD.png")</f>
        <v>https://storage.googleapis.com/glide-prod.appspot.com/uploads-v2/ly7o78grxPaC6KdgvbpS/pub/3aRdSog0vUtuqPE8AJKD.png</v>
      </c>
      <c r="U992" s="5" t="str">
        <f ca="1">IFERROR(__xludf.DUMMYFUNCTION("""COMPUTED_VALUE"""),"EQUIPOS PARA SERVICIOS INDUSTRIALESPLANTA ELECTRICA Nº 2")</f>
        <v>EQUIPOS PARA SERVICIOS INDUSTRIALESPLANTA ELECTRICA Nº 2</v>
      </c>
      <c r="V992" s="5"/>
      <c r="W992" s="5" t="b">
        <f ca="1">IFERROR(__xludf.DUMMYFUNCTION("""COMPUTED_VALUE"""),TRUE)</f>
        <v>1</v>
      </c>
      <c r="X992" s="5" t="str">
        <f ca="1">IFERROR(__xludf.DUMMYFUNCTION("""COMPUTED_VALUE"""),"wmazorra@postobon.com.co,aprmttoyu@postobon.com.co,aprmyu@postobon.com.co,wmora@postobon.com.co,efzapata@postobon.com.co")</f>
        <v>wmazorra@postobon.com.co,aprmttoyu@postobon.com.co,aprmyu@postobon.com.co,wmora@postobon.com.co,efzapata@postobon.com.co</v>
      </c>
      <c r="Y992" s="5" t="str">
        <f ca="1">IFERROR(__xludf.DUMMYFUNCTION("""COMPUTED_VALUE"""),"wmazorra@postobon.com.co")</f>
        <v>wmazorra@postobon.com.co</v>
      </c>
      <c r="Z992" s="5" t="str">
        <f ca="1">IFERROR(__xludf.DUMMYFUNCTION("""COMPUTED_VALUE"""),"0Q2Vzi9CT5mm4SQWs83slg")</f>
        <v>0Q2Vzi9CT5mm4SQWs83slg</v>
      </c>
      <c r="AA992" s="5"/>
      <c r="AB992" s="5"/>
      <c r="AC992" s="5"/>
      <c r="AD992" s="5">
        <f ca="1">IFERROR(__xludf.DUMMYFUNCTION("""COMPUTED_VALUE"""),57)</f>
        <v>57</v>
      </c>
      <c r="AE992" s="5">
        <f ca="1">IFERROR(__xludf.DUMMYFUNCTION("""COMPUTED_VALUE"""),57)</f>
        <v>57</v>
      </c>
      <c r="AF992" s="5" t="b">
        <f ca="1">IFERROR(__xludf.DUMMYFUNCTION("""COMPUTED_VALUE"""),FALSE)</f>
        <v>0</v>
      </c>
      <c r="AG992" s="5" t="str">
        <f ca="1">IFERROR(__xludf.DUMMYFUNCTION("""COMPUTED_VALUE"""),"INSPECCIONES REALIZADAS")</f>
        <v>INSPECCIONES REALIZADAS</v>
      </c>
      <c r="AH992" s="5"/>
    </row>
    <row r="993" spans="1:34">
      <c r="A993" s="5" t="str">
        <f ca="1">IFERROR(__xludf.DUMMYFUNCTION("""COMPUTED_VALUE"""),"EQUIPOS PARA SERVICIOS INDUSTRIALES")</f>
        <v>EQUIPOS PARA SERVICIOS INDUSTRIALES</v>
      </c>
      <c r="B993" s="5">
        <f ca="1">IFERROR(__xludf.DUMMYFUNCTION("""COMPUTED_VALUE"""),679376)</f>
        <v>679376</v>
      </c>
      <c r="C993" s="5" t="str">
        <f ca="1">IFERROR(__xludf.DUMMYFUNCTION("""COMPUTED_VALUE"""),"PLANTA ELECTRICA Nº 2")</f>
        <v>PLANTA ELECTRICA Nº 2</v>
      </c>
      <c r="D993" s="5">
        <f ca="1">IFERROR(__xludf.DUMMYFUNCTION("""COMPUTED_VALUE"""),13247552)</f>
        <v>13247552</v>
      </c>
      <c r="E993" s="5" t="str">
        <f ca="1">IFERROR(__xludf.DUMMYFUNCTION("""COMPUTED_VALUE"""),"INSPECCION SEMANAL PLANTA ELECTRICA")</f>
        <v>INSPECCION SEMANAL PLANTA ELECTRICA</v>
      </c>
      <c r="F993" s="5" t="str">
        <f ca="1">IFERROR(__xludf.DUMMYFUNCTION("""COMPUTED_VALUE"""),"INSP. FUSIBLES CONTROLES Y ALTERNADOR")</f>
        <v>INSP. FUSIBLES CONTROLES Y ALTERNADOR</v>
      </c>
      <c r="G993" s="5" t="b">
        <f ca="1">IFERROR(__xludf.DUMMYFUNCTION("""COMPUTED_VALUE"""),TRUE)</f>
        <v>1</v>
      </c>
      <c r="H993" s="5"/>
      <c r="I993" s="5"/>
      <c r="J993" s="5">
        <f ca="1">IFERROR(__xludf.DUMMYFUNCTION("""COMPUTED_VALUE"""),13247552)</f>
        <v>13247552</v>
      </c>
      <c r="K993" s="5"/>
      <c r="L993" s="18">
        <f ca="1">IFERROR(__xludf.DUMMYFUNCTION("""COMPUTED_VALUE"""),45324)</f>
        <v>45324</v>
      </c>
      <c r="M993" s="18">
        <f ca="1">IFERROR(__xludf.DUMMYFUNCTION("""COMPUTED_VALUE"""),45324)</f>
        <v>45324</v>
      </c>
      <c r="N993" s="5" t="str">
        <f ca="1">IFERROR(__xludf.DUMMYFUNCTION("""COMPUTED_VALUE"""),"JEFFERSON BRAVO PIEDRAHITA")</f>
        <v>JEFFERSON BRAVO PIEDRAHITA</v>
      </c>
      <c r="O993" s="2">
        <f ca="1">IFERROR(__xludf.DUMMYFUNCTION("""COMPUTED_VALUE"""),0.005263158)</f>
        <v>5.2631580000000004E-3</v>
      </c>
      <c r="P993" s="5">
        <f ca="1">IFERROR(__xludf.DUMMYFUNCTION("""COMPUTED_VALUE"""),1130593135)</f>
        <v>1130593135</v>
      </c>
      <c r="Q993" s="5" t="str">
        <f ca="1">IFERROR(__xludf.DUMMYFUNCTION("""COMPUTED_VALUE"""),"ZzPiLCLcr1w")</f>
        <v>ZzPiLCLcr1w</v>
      </c>
      <c r="R993" s="5">
        <f ca="1">IFERROR(__xludf.DUMMYFUNCTION("""COMPUTED_VALUE"""),410)</f>
        <v>410</v>
      </c>
      <c r="S993" s="62">
        <f ca="1">IFERROR(__xludf.DUMMYFUNCTION("""COMPUTED_VALUE"""),0.005263158)</f>
        <v>5.2631580000000004E-3</v>
      </c>
      <c r="T993" s="63" t="str">
        <f ca="1">IFERROR(__xludf.DUMMYFUNCTION("""COMPUTED_VALUE"""),"https://storage.googleapis.com/glide-prod.appspot.com/uploads-v2/ly7o78grxPaC6KdgvbpS/pub/3aRdSog0vUtuqPE8AJKD.png")</f>
        <v>https://storage.googleapis.com/glide-prod.appspot.com/uploads-v2/ly7o78grxPaC6KdgvbpS/pub/3aRdSog0vUtuqPE8AJKD.png</v>
      </c>
      <c r="U993" s="5" t="str">
        <f ca="1">IFERROR(__xludf.DUMMYFUNCTION("""COMPUTED_VALUE"""),"EQUIPOS PARA SERVICIOS INDUSTRIALESPLANTA ELECTRICA Nº 2")</f>
        <v>EQUIPOS PARA SERVICIOS INDUSTRIALESPLANTA ELECTRICA Nº 2</v>
      </c>
      <c r="V993" s="5"/>
      <c r="W993" s="5" t="b">
        <f ca="1">IFERROR(__xludf.DUMMYFUNCTION("""COMPUTED_VALUE"""),TRUE)</f>
        <v>1</v>
      </c>
      <c r="X993" s="5" t="str">
        <f ca="1">IFERROR(__xludf.DUMMYFUNCTION("""COMPUTED_VALUE"""),"wmazorra@postobon.com.co,aprmttoyu@postobon.com.co,aprmyu@postobon.com.co,wmora@postobon.com.co,efzapata@postobon.com.co")</f>
        <v>wmazorra@postobon.com.co,aprmttoyu@postobon.com.co,aprmyu@postobon.com.co,wmora@postobon.com.co,efzapata@postobon.com.co</v>
      </c>
      <c r="Y993" s="5" t="str">
        <f ca="1">IFERROR(__xludf.DUMMYFUNCTION("""COMPUTED_VALUE"""),"wmazorra@postobon.com.co")</f>
        <v>wmazorra@postobon.com.co</v>
      </c>
      <c r="Z993" s="5" t="str">
        <f ca="1">IFERROR(__xludf.DUMMYFUNCTION("""COMPUTED_VALUE"""),"48FoSgKQSRi2Zz3uIeOiLA")</f>
        <v>48FoSgKQSRi2Zz3uIeOiLA</v>
      </c>
      <c r="AA993" s="5"/>
      <c r="AB993" s="5"/>
      <c r="AC993" s="5"/>
      <c r="AD993" s="5">
        <f ca="1">IFERROR(__xludf.DUMMYFUNCTION("""COMPUTED_VALUE"""),57)</f>
        <v>57</v>
      </c>
      <c r="AE993" s="5">
        <f ca="1">IFERROR(__xludf.DUMMYFUNCTION("""COMPUTED_VALUE"""),57)</f>
        <v>57</v>
      </c>
      <c r="AF993" s="5" t="b">
        <f ca="1">IFERROR(__xludf.DUMMYFUNCTION("""COMPUTED_VALUE"""),FALSE)</f>
        <v>0</v>
      </c>
      <c r="AG993" s="5" t="str">
        <f ca="1">IFERROR(__xludf.DUMMYFUNCTION("""COMPUTED_VALUE"""),"INSPECCIONES REALIZADAS")</f>
        <v>INSPECCIONES REALIZADAS</v>
      </c>
      <c r="AH993" s="5"/>
    </row>
    <row r="994" spans="1:34">
      <c r="A994" s="5" t="str">
        <f ca="1">IFERROR(__xludf.DUMMYFUNCTION("""COMPUTED_VALUE"""),"EQUIPOS PARA SERVICIOS INDUSTRIALES")</f>
        <v>EQUIPOS PARA SERVICIOS INDUSTRIALES</v>
      </c>
      <c r="B994" s="5">
        <f ca="1">IFERROR(__xludf.DUMMYFUNCTION("""COMPUTED_VALUE"""),679376)</f>
        <v>679376</v>
      </c>
      <c r="C994" s="5" t="str">
        <f ca="1">IFERROR(__xludf.DUMMYFUNCTION("""COMPUTED_VALUE"""),"PLANTA ELECTRICA Nº 2")</f>
        <v>PLANTA ELECTRICA Nº 2</v>
      </c>
      <c r="D994" s="5">
        <f ca="1">IFERROR(__xludf.DUMMYFUNCTION("""COMPUTED_VALUE"""),13247552)</f>
        <v>13247552</v>
      </c>
      <c r="E994" s="5" t="str">
        <f ca="1">IFERROR(__xludf.DUMMYFUNCTION("""COMPUTED_VALUE"""),"INSPECCION SEMANAL PLANTA ELECTRICA")</f>
        <v>INSPECCION SEMANAL PLANTA ELECTRICA</v>
      </c>
      <c r="F994" s="5" t="str">
        <f ca="1">IFERROR(__xludf.DUMMYFUNCTION("""COMPUTED_VALUE"""),"INSP BATERIAS(ESTADO,CARGA)")</f>
        <v>INSP BATERIAS(ESTADO,CARGA)</v>
      </c>
      <c r="G994" s="5" t="b">
        <f ca="1">IFERROR(__xludf.DUMMYFUNCTION("""COMPUTED_VALUE"""),TRUE)</f>
        <v>1</v>
      </c>
      <c r="H994" s="5"/>
      <c r="I994" s="5"/>
      <c r="J994" s="5">
        <f ca="1">IFERROR(__xludf.DUMMYFUNCTION("""COMPUTED_VALUE"""),13247552)</f>
        <v>13247552</v>
      </c>
      <c r="K994" s="5"/>
      <c r="L994" s="18">
        <f ca="1">IFERROR(__xludf.DUMMYFUNCTION("""COMPUTED_VALUE"""),45324)</f>
        <v>45324</v>
      </c>
      <c r="M994" s="18">
        <f ca="1">IFERROR(__xludf.DUMMYFUNCTION("""COMPUTED_VALUE"""),45324)</f>
        <v>45324</v>
      </c>
      <c r="N994" s="5" t="str">
        <f ca="1">IFERROR(__xludf.DUMMYFUNCTION("""COMPUTED_VALUE"""),"JEFFERSON BRAVO PIEDRAHITA")</f>
        <v>JEFFERSON BRAVO PIEDRAHITA</v>
      </c>
      <c r="O994" s="2">
        <f ca="1">IFERROR(__xludf.DUMMYFUNCTION("""COMPUTED_VALUE"""),0.005263158)</f>
        <v>5.2631580000000004E-3</v>
      </c>
      <c r="P994" s="5">
        <f ca="1">IFERROR(__xludf.DUMMYFUNCTION("""COMPUTED_VALUE"""),1130593135)</f>
        <v>1130593135</v>
      </c>
      <c r="Q994" s="5" t="str">
        <f ca="1">IFERROR(__xludf.DUMMYFUNCTION("""COMPUTED_VALUE"""),"xmcynJVH1vM")</f>
        <v>xmcynJVH1vM</v>
      </c>
      <c r="R994" s="5">
        <f ca="1">IFERROR(__xludf.DUMMYFUNCTION("""COMPUTED_VALUE"""),410)</f>
        <v>410</v>
      </c>
      <c r="S994" s="62">
        <f ca="1">IFERROR(__xludf.DUMMYFUNCTION("""COMPUTED_VALUE"""),0.005263158)</f>
        <v>5.2631580000000004E-3</v>
      </c>
      <c r="T994" s="63" t="str">
        <f ca="1">IFERROR(__xludf.DUMMYFUNCTION("""COMPUTED_VALUE"""),"https://storage.googleapis.com/glide-prod.appspot.com/uploads-v2/ly7o78grxPaC6KdgvbpS/pub/3aRdSog0vUtuqPE8AJKD.png")</f>
        <v>https://storage.googleapis.com/glide-prod.appspot.com/uploads-v2/ly7o78grxPaC6KdgvbpS/pub/3aRdSog0vUtuqPE8AJKD.png</v>
      </c>
      <c r="U994" s="5" t="str">
        <f ca="1">IFERROR(__xludf.DUMMYFUNCTION("""COMPUTED_VALUE"""),"EQUIPOS PARA SERVICIOS INDUSTRIALESPLANTA ELECTRICA Nº 2")</f>
        <v>EQUIPOS PARA SERVICIOS INDUSTRIALESPLANTA ELECTRICA Nº 2</v>
      </c>
      <c r="V994" s="5"/>
      <c r="W994" s="5" t="b">
        <f ca="1">IFERROR(__xludf.DUMMYFUNCTION("""COMPUTED_VALUE"""),TRUE)</f>
        <v>1</v>
      </c>
      <c r="X994" s="5" t="str">
        <f ca="1">IFERROR(__xludf.DUMMYFUNCTION("""COMPUTED_VALUE"""),"wmazorra@postobon.com.co,aprmttoyu@postobon.com.co,aprmyu@postobon.com.co,wmora@postobon.com.co,efzapata@postobon.com.co")</f>
        <v>wmazorra@postobon.com.co,aprmttoyu@postobon.com.co,aprmyu@postobon.com.co,wmora@postobon.com.co,efzapata@postobon.com.co</v>
      </c>
      <c r="Y994" s="5" t="str">
        <f ca="1">IFERROR(__xludf.DUMMYFUNCTION("""COMPUTED_VALUE"""),"wmazorra@postobon.com.co")</f>
        <v>wmazorra@postobon.com.co</v>
      </c>
      <c r="Z994" s="5" t="str">
        <f ca="1">IFERROR(__xludf.DUMMYFUNCTION("""COMPUTED_VALUE"""),"Prdft6CzRKaPEaxafSvBLQ")</f>
        <v>Prdft6CzRKaPEaxafSvBLQ</v>
      </c>
      <c r="AA994" s="5"/>
      <c r="AB994" s="5"/>
      <c r="AC994" s="5"/>
      <c r="AD994" s="5">
        <f ca="1">IFERROR(__xludf.DUMMYFUNCTION("""COMPUTED_VALUE"""),57)</f>
        <v>57</v>
      </c>
      <c r="AE994" s="5">
        <f ca="1">IFERROR(__xludf.DUMMYFUNCTION("""COMPUTED_VALUE"""),57)</f>
        <v>57</v>
      </c>
      <c r="AF994" s="5" t="b">
        <f ca="1">IFERROR(__xludf.DUMMYFUNCTION("""COMPUTED_VALUE"""),FALSE)</f>
        <v>0</v>
      </c>
      <c r="AG994" s="5" t="str">
        <f ca="1">IFERROR(__xludf.DUMMYFUNCTION("""COMPUTED_VALUE"""),"INSPECCIONES REALIZADAS")</f>
        <v>INSPECCIONES REALIZADAS</v>
      </c>
      <c r="AH994" s="5"/>
    </row>
    <row r="995" spans="1:34">
      <c r="A995" s="5" t="str">
        <f ca="1">IFERROR(__xludf.DUMMYFUNCTION("""COMPUTED_VALUE"""),"EQUIPOS PARA SERVICIOS INDUSTRIALES")</f>
        <v>EQUIPOS PARA SERVICIOS INDUSTRIALES</v>
      </c>
      <c r="B995" s="5">
        <f ca="1">IFERROR(__xludf.DUMMYFUNCTION("""COMPUTED_VALUE"""),679376)</f>
        <v>679376</v>
      </c>
      <c r="C995" s="5" t="str">
        <f ca="1">IFERROR(__xludf.DUMMYFUNCTION("""COMPUTED_VALUE"""),"PLANTA ELECTRICA Nº 2")</f>
        <v>PLANTA ELECTRICA Nº 2</v>
      </c>
      <c r="D995" s="5">
        <f ca="1">IFERROR(__xludf.DUMMYFUNCTION("""COMPUTED_VALUE"""),13247552)</f>
        <v>13247552</v>
      </c>
      <c r="E995" s="5" t="str">
        <f ca="1">IFERROR(__xludf.DUMMYFUNCTION("""COMPUTED_VALUE"""),"INSPECCION SEMANAL PLANTA ELECTRICA")</f>
        <v>INSPECCION SEMANAL PLANTA ELECTRICA</v>
      </c>
      <c r="F995" s="5" t="str">
        <f ca="1">IFERROR(__xludf.DUMMYFUNCTION("""COMPUTED_VALUE"""),"INSP FILTRO AIRE")</f>
        <v>INSP FILTRO AIRE</v>
      </c>
      <c r="G995" s="5" t="b">
        <f ca="1">IFERROR(__xludf.DUMMYFUNCTION("""COMPUTED_VALUE"""),TRUE)</f>
        <v>1</v>
      </c>
      <c r="H995" s="5"/>
      <c r="I995" s="5"/>
      <c r="J995" s="5">
        <f ca="1">IFERROR(__xludf.DUMMYFUNCTION("""COMPUTED_VALUE"""),13247552)</f>
        <v>13247552</v>
      </c>
      <c r="K995" s="5"/>
      <c r="L995" s="18">
        <f ca="1">IFERROR(__xludf.DUMMYFUNCTION("""COMPUTED_VALUE"""),45324)</f>
        <v>45324</v>
      </c>
      <c r="M995" s="18">
        <f ca="1">IFERROR(__xludf.DUMMYFUNCTION("""COMPUTED_VALUE"""),45324)</f>
        <v>45324</v>
      </c>
      <c r="N995" s="5" t="str">
        <f ca="1">IFERROR(__xludf.DUMMYFUNCTION("""COMPUTED_VALUE"""),"JEFFERSON BRAVO PIEDRAHITA")</f>
        <v>JEFFERSON BRAVO PIEDRAHITA</v>
      </c>
      <c r="O995" s="2">
        <f ca="1">IFERROR(__xludf.DUMMYFUNCTION("""COMPUTED_VALUE"""),0.005263158)</f>
        <v>5.2631580000000004E-3</v>
      </c>
      <c r="P995" s="5">
        <f ca="1">IFERROR(__xludf.DUMMYFUNCTION("""COMPUTED_VALUE"""),1130593135)</f>
        <v>1130593135</v>
      </c>
      <c r="Q995" s="5" t="str">
        <f ca="1">IFERROR(__xludf.DUMMYFUNCTION("""COMPUTED_VALUE"""),"SWHliKyA2JE")</f>
        <v>SWHliKyA2JE</v>
      </c>
      <c r="R995" s="5">
        <f ca="1">IFERROR(__xludf.DUMMYFUNCTION("""COMPUTED_VALUE"""),410)</f>
        <v>410</v>
      </c>
      <c r="S995" s="62">
        <f ca="1">IFERROR(__xludf.DUMMYFUNCTION("""COMPUTED_VALUE"""),0.005263158)</f>
        <v>5.2631580000000004E-3</v>
      </c>
      <c r="T995" s="63" t="str">
        <f ca="1">IFERROR(__xludf.DUMMYFUNCTION("""COMPUTED_VALUE"""),"https://storage.googleapis.com/glide-prod.appspot.com/uploads-v2/ly7o78grxPaC6KdgvbpS/pub/3aRdSog0vUtuqPE8AJKD.png")</f>
        <v>https://storage.googleapis.com/glide-prod.appspot.com/uploads-v2/ly7o78grxPaC6KdgvbpS/pub/3aRdSog0vUtuqPE8AJKD.png</v>
      </c>
      <c r="U995" s="5" t="str">
        <f ca="1">IFERROR(__xludf.DUMMYFUNCTION("""COMPUTED_VALUE"""),"EQUIPOS PARA SERVICIOS INDUSTRIALESPLANTA ELECTRICA Nº 2")</f>
        <v>EQUIPOS PARA SERVICIOS INDUSTRIALESPLANTA ELECTRICA Nº 2</v>
      </c>
      <c r="V995" s="5"/>
      <c r="W995" s="5" t="b">
        <f ca="1">IFERROR(__xludf.DUMMYFUNCTION("""COMPUTED_VALUE"""),TRUE)</f>
        <v>1</v>
      </c>
      <c r="X995" s="5" t="str">
        <f ca="1">IFERROR(__xludf.DUMMYFUNCTION("""COMPUTED_VALUE"""),"wmazorra@postobon.com.co,aprmttoyu@postobon.com.co,aprmyu@postobon.com.co,wmora@postobon.com.co,efzapata@postobon.com.co")</f>
        <v>wmazorra@postobon.com.co,aprmttoyu@postobon.com.co,aprmyu@postobon.com.co,wmora@postobon.com.co,efzapata@postobon.com.co</v>
      </c>
      <c r="Y995" s="5" t="str">
        <f ca="1">IFERROR(__xludf.DUMMYFUNCTION("""COMPUTED_VALUE"""),"wmazorra@postobon.com.co")</f>
        <v>wmazorra@postobon.com.co</v>
      </c>
      <c r="Z995" s="5" t="str">
        <f ca="1">IFERROR(__xludf.DUMMYFUNCTION("""COMPUTED_VALUE"""),"zCUMhNkYQpesomsxm05VSw")</f>
        <v>zCUMhNkYQpesomsxm05VSw</v>
      </c>
      <c r="AA995" s="5"/>
      <c r="AB995" s="5"/>
      <c r="AC995" s="5"/>
      <c r="AD995" s="5">
        <f ca="1">IFERROR(__xludf.DUMMYFUNCTION("""COMPUTED_VALUE"""),57)</f>
        <v>57</v>
      </c>
      <c r="AE995" s="5">
        <f ca="1">IFERROR(__xludf.DUMMYFUNCTION("""COMPUTED_VALUE"""),57)</f>
        <v>57</v>
      </c>
      <c r="AF995" s="5" t="b">
        <f ca="1">IFERROR(__xludf.DUMMYFUNCTION("""COMPUTED_VALUE"""),FALSE)</f>
        <v>0</v>
      </c>
      <c r="AG995" s="5" t="str">
        <f ca="1">IFERROR(__xludf.DUMMYFUNCTION("""COMPUTED_VALUE"""),"INSPECCIONES REALIZADAS")</f>
        <v>INSPECCIONES REALIZADAS</v>
      </c>
      <c r="AH995" s="5"/>
    </row>
    <row r="996" spans="1:34">
      <c r="A996" s="5" t="str">
        <f ca="1">IFERROR(__xludf.DUMMYFUNCTION("""COMPUTED_VALUE"""),"EQUIPOS PARA SERVICIOS INDUSTRIALES")</f>
        <v>EQUIPOS PARA SERVICIOS INDUSTRIALES</v>
      </c>
      <c r="B996" s="5">
        <f ca="1">IFERROR(__xludf.DUMMYFUNCTION("""COMPUTED_VALUE"""),679376)</f>
        <v>679376</v>
      </c>
      <c r="C996" s="5" t="str">
        <f ca="1">IFERROR(__xludf.DUMMYFUNCTION("""COMPUTED_VALUE"""),"PLANTA ELECTRICA Nº 2")</f>
        <v>PLANTA ELECTRICA Nº 2</v>
      </c>
      <c r="D996" s="5">
        <f ca="1">IFERROR(__xludf.DUMMYFUNCTION("""COMPUTED_VALUE"""),13247552)</f>
        <v>13247552</v>
      </c>
      <c r="E996" s="5" t="str">
        <f ca="1">IFERROR(__xludf.DUMMYFUNCTION("""COMPUTED_VALUE"""),"INSPECCION SEMANAL PLANTA ELECTRICA")</f>
        <v>INSPECCION SEMANAL PLANTA ELECTRICA</v>
      </c>
      <c r="F996" s="5" t="str">
        <f ca="1">IFERROR(__xludf.DUMMYFUNCTION("""COMPUTED_VALUE"""),"INSP LUGAR DESPEJADO (LIMPIO)")</f>
        <v>INSP LUGAR DESPEJADO (LIMPIO)</v>
      </c>
      <c r="G996" s="5" t="b">
        <f ca="1">IFERROR(__xludf.DUMMYFUNCTION("""COMPUTED_VALUE"""),TRUE)</f>
        <v>1</v>
      </c>
      <c r="H996" s="5"/>
      <c r="I996" s="5"/>
      <c r="J996" s="5">
        <f ca="1">IFERROR(__xludf.DUMMYFUNCTION("""COMPUTED_VALUE"""),13247552)</f>
        <v>13247552</v>
      </c>
      <c r="K996" s="5"/>
      <c r="L996" s="18">
        <f ca="1">IFERROR(__xludf.DUMMYFUNCTION("""COMPUTED_VALUE"""),45324)</f>
        <v>45324</v>
      </c>
      <c r="M996" s="18">
        <f ca="1">IFERROR(__xludf.DUMMYFUNCTION("""COMPUTED_VALUE"""),45324)</f>
        <v>45324</v>
      </c>
      <c r="N996" s="5" t="str">
        <f ca="1">IFERROR(__xludf.DUMMYFUNCTION("""COMPUTED_VALUE"""),"JEFFERSON BRAVO PIEDRAHITA")</f>
        <v>JEFFERSON BRAVO PIEDRAHITA</v>
      </c>
      <c r="O996" s="2">
        <f ca="1">IFERROR(__xludf.DUMMYFUNCTION("""COMPUTED_VALUE"""),0.005263158)</f>
        <v>5.2631580000000004E-3</v>
      </c>
      <c r="P996" s="5">
        <f ca="1">IFERROR(__xludf.DUMMYFUNCTION("""COMPUTED_VALUE"""),1130593135)</f>
        <v>1130593135</v>
      </c>
      <c r="Q996" s="5" t="str">
        <f ca="1">IFERROR(__xludf.DUMMYFUNCTION("""COMPUTED_VALUE"""),"7UZzFs81FQE")</f>
        <v>7UZzFs81FQE</v>
      </c>
      <c r="R996" s="5">
        <f ca="1">IFERROR(__xludf.DUMMYFUNCTION("""COMPUTED_VALUE"""),410)</f>
        <v>410</v>
      </c>
      <c r="S996" s="62">
        <f ca="1">IFERROR(__xludf.DUMMYFUNCTION("""COMPUTED_VALUE"""),0.005263158)</f>
        <v>5.2631580000000004E-3</v>
      </c>
      <c r="T996" s="63" t="str">
        <f ca="1">IFERROR(__xludf.DUMMYFUNCTION("""COMPUTED_VALUE"""),"https://storage.googleapis.com/glide-prod.appspot.com/uploads-v2/ly7o78grxPaC6KdgvbpS/pub/3aRdSog0vUtuqPE8AJKD.png")</f>
        <v>https://storage.googleapis.com/glide-prod.appspot.com/uploads-v2/ly7o78grxPaC6KdgvbpS/pub/3aRdSog0vUtuqPE8AJKD.png</v>
      </c>
      <c r="U996" s="5" t="str">
        <f ca="1">IFERROR(__xludf.DUMMYFUNCTION("""COMPUTED_VALUE"""),"EQUIPOS PARA SERVICIOS INDUSTRIALESPLANTA ELECTRICA Nº 2")</f>
        <v>EQUIPOS PARA SERVICIOS INDUSTRIALESPLANTA ELECTRICA Nº 2</v>
      </c>
      <c r="V996" s="5"/>
      <c r="W996" s="5" t="b">
        <f ca="1">IFERROR(__xludf.DUMMYFUNCTION("""COMPUTED_VALUE"""),TRUE)</f>
        <v>1</v>
      </c>
      <c r="X996" s="5" t="str">
        <f ca="1">IFERROR(__xludf.DUMMYFUNCTION("""COMPUTED_VALUE"""),"wmazorra@postobon.com.co,aprmttoyu@postobon.com.co,aprmyu@postobon.com.co,wmora@postobon.com.co,efzapata@postobon.com.co")</f>
        <v>wmazorra@postobon.com.co,aprmttoyu@postobon.com.co,aprmyu@postobon.com.co,wmora@postobon.com.co,efzapata@postobon.com.co</v>
      </c>
      <c r="Y996" s="5" t="str">
        <f ca="1">IFERROR(__xludf.DUMMYFUNCTION("""COMPUTED_VALUE"""),"wmazorra@postobon.com.co")</f>
        <v>wmazorra@postobon.com.co</v>
      </c>
      <c r="Z996" s="5" t="str">
        <f ca="1">IFERROR(__xludf.DUMMYFUNCTION("""COMPUTED_VALUE"""),"zkDoyQWLRWm9npBr0NrJ4g")</f>
        <v>zkDoyQWLRWm9npBr0NrJ4g</v>
      </c>
      <c r="AA996" s="5"/>
      <c r="AB996" s="5"/>
      <c r="AC996" s="5"/>
      <c r="AD996" s="5">
        <f ca="1">IFERROR(__xludf.DUMMYFUNCTION("""COMPUTED_VALUE"""),57)</f>
        <v>57</v>
      </c>
      <c r="AE996" s="5">
        <f ca="1">IFERROR(__xludf.DUMMYFUNCTION("""COMPUTED_VALUE"""),57)</f>
        <v>57</v>
      </c>
      <c r="AF996" s="5" t="b">
        <f ca="1">IFERROR(__xludf.DUMMYFUNCTION("""COMPUTED_VALUE"""),FALSE)</f>
        <v>0</v>
      </c>
      <c r="AG996" s="5" t="str">
        <f ca="1">IFERROR(__xludf.DUMMYFUNCTION("""COMPUTED_VALUE"""),"INSPECCIONES REALIZADAS")</f>
        <v>INSPECCIONES REALIZADAS</v>
      </c>
      <c r="AH996" s="5"/>
    </row>
    <row r="997" spans="1:34">
      <c r="A997" s="5" t="str">
        <f ca="1">IFERROR(__xludf.DUMMYFUNCTION("""COMPUTED_VALUE"""),"EQUIPOS PARA SERVICIOS INDUSTRIALES")</f>
        <v>EQUIPOS PARA SERVICIOS INDUSTRIALES</v>
      </c>
      <c r="B997" s="5">
        <f ca="1">IFERROR(__xludf.DUMMYFUNCTION("""COMPUTED_VALUE"""),679376)</f>
        <v>679376</v>
      </c>
      <c r="C997" s="5" t="str">
        <f ca="1">IFERROR(__xludf.DUMMYFUNCTION("""COMPUTED_VALUE"""),"PLANTA ELECTRICA Nº 2")</f>
        <v>PLANTA ELECTRICA Nº 2</v>
      </c>
      <c r="D997" s="5">
        <f ca="1">IFERROR(__xludf.DUMMYFUNCTION("""COMPUTED_VALUE"""),13247552)</f>
        <v>13247552</v>
      </c>
      <c r="E997" s="5" t="str">
        <f ca="1">IFERROR(__xludf.DUMMYFUNCTION("""COMPUTED_VALUE"""),"INSPECCION SEMANAL PLANTA ELECTRICA")</f>
        <v>INSPECCION SEMANAL PLANTA ELECTRICA</v>
      </c>
      <c r="F997" s="5" t="str">
        <f ca="1">IFERROR(__xludf.DUMMYFUNCTION("""COMPUTED_VALUE"""),"INSP RUIDOS EXTRAÑOS")</f>
        <v>INSP RUIDOS EXTRAÑOS</v>
      </c>
      <c r="G997" s="5" t="b">
        <f ca="1">IFERROR(__xludf.DUMMYFUNCTION("""COMPUTED_VALUE"""),TRUE)</f>
        <v>1</v>
      </c>
      <c r="H997" s="5"/>
      <c r="I997" s="5"/>
      <c r="J997" s="5">
        <f ca="1">IFERROR(__xludf.DUMMYFUNCTION("""COMPUTED_VALUE"""),13247552)</f>
        <v>13247552</v>
      </c>
      <c r="K997" s="5"/>
      <c r="L997" s="18">
        <f ca="1">IFERROR(__xludf.DUMMYFUNCTION("""COMPUTED_VALUE"""),45324)</f>
        <v>45324</v>
      </c>
      <c r="M997" s="18">
        <f ca="1">IFERROR(__xludf.DUMMYFUNCTION("""COMPUTED_VALUE"""),45324)</f>
        <v>45324</v>
      </c>
      <c r="N997" s="5" t="str">
        <f ca="1">IFERROR(__xludf.DUMMYFUNCTION("""COMPUTED_VALUE"""),"JEFFERSON BRAVO PIEDRAHITA")</f>
        <v>JEFFERSON BRAVO PIEDRAHITA</v>
      </c>
      <c r="O997" s="2">
        <f ca="1">IFERROR(__xludf.DUMMYFUNCTION("""COMPUTED_VALUE"""),0.005263158)</f>
        <v>5.2631580000000004E-3</v>
      </c>
      <c r="P997" s="5">
        <f ca="1">IFERROR(__xludf.DUMMYFUNCTION("""COMPUTED_VALUE"""),1130593135)</f>
        <v>1130593135</v>
      </c>
      <c r="Q997" s="5" t="str">
        <f ca="1">IFERROR(__xludf.DUMMYFUNCTION("""COMPUTED_VALUE"""),"VK0LawOyGSM")</f>
        <v>VK0LawOyGSM</v>
      </c>
      <c r="R997" s="5">
        <f ca="1">IFERROR(__xludf.DUMMYFUNCTION("""COMPUTED_VALUE"""),410)</f>
        <v>410</v>
      </c>
      <c r="S997" s="62">
        <f ca="1">IFERROR(__xludf.DUMMYFUNCTION("""COMPUTED_VALUE"""),0.005263158)</f>
        <v>5.2631580000000004E-3</v>
      </c>
      <c r="T997" s="63" t="str">
        <f ca="1">IFERROR(__xludf.DUMMYFUNCTION("""COMPUTED_VALUE"""),"https://storage.googleapis.com/glide-prod.appspot.com/uploads-v2/ly7o78grxPaC6KdgvbpS/pub/3aRdSog0vUtuqPE8AJKD.png")</f>
        <v>https://storage.googleapis.com/glide-prod.appspot.com/uploads-v2/ly7o78grxPaC6KdgvbpS/pub/3aRdSog0vUtuqPE8AJKD.png</v>
      </c>
      <c r="U997" s="5" t="str">
        <f ca="1">IFERROR(__xludf.DUMMYFUNCTION("""COMPUTED_VALUE"""),"EQUIPOS PARA SERVICIOS INDUSTRIALESPLANTA ELECTRICA Nº 2")</f>
        <v>EQUIPOS PARA SERVICIOS INDUSTRIALESPLANTA ELECTRICA Nº 2</v>
      </c>
      <c r="V997" s="5"/>
      <c r="W997" s="5" t="b">
        <f ca="1">IFERROR(__xludf.DUMMYFUNCTION("""COMPUTED_VALUE"""),TRUE)</f>
        <v>1</v>
      </c>
      <c r="X997" s="5" t="str">
        <f ca="1">IFERROR(__xludf.DUMMYFUNCTION("""COMPUTED_VALUE"""),"wmazorra@postobon.com.co,aprmttoyu@postobon.com.co,aprmyu@postobon.com.co,wmora@postobon.com.co,efzapata@postobon.com.co")</f>
        <v>wmazorra@postobon.com.co,aprmttoyu@postobon.com.co,aprmyu@postobon.com.co,wmora@postobon.com.co,efzapata@postobon.com.co</v>
      </c>
      <c r="Y997" s="5" t="str">
        <f ca="1">IFERROR(__xludf.DUMMYFUNCTION("""COMPUTED_VALUE"""),"wmazorra@postobon.com.co")</f>
        <v>wmazorra@postobon.com.co</v>
      </c>
      <c r="Z997" s="5" t="str">
        <f ca="1">IFERROR(__xludf.DUMMYFUNCTION("""COMPUTED_VALUE"""),"WuzYiJuITd6b3nxh1C9hgQ")</f>
        <v>WuzYiJuITd6b3nxh1C9hgQ</v>
      </c>
      <c r="AA997" s="5"/>
      <c r="AB997" s="5"/>
      <c r="AC997" s="5"/>
      <c r="AD997" s="5">
        <f ca="1">IFERROR(__xludf.DUMMYFUNCTION("""COMPUTED_VALUE"""),57)</f>
        <v>57</v>
      </c>
      <c r="AE997" s="5">
        <f ca="1">IFERROR(__xludf.DUMMYFUNCTION("""COMPUTED_VALUE"""),57)</f>
        <v>57</v>
      </c>
      <c r="AF997" s="5" t="b">
        <f ca="1">IFERROR(__xludf.DUMMYFUNCTION("""COMPUTED_VALUE"""),FALSE)</f>
        <v>0</v>
      </c>
      <c r="AG997" s="5" t="str">
        <f ca="1">IFERROR(__xludf.DUMMYFUNCTION("""COMPUTED_VALUE"""),"INSPECCIONES REALIZADAS")</f>
        <v>INSPECCIONES REALIZADAS</v>
      </c>
      <c r="AH997" s="5"/>
    </row>
    <row r="998" spans="1:34">
      <c r="A998" s="5" t="str">
        <f ca="1">IFERROR(__xludf.DUMMYFUNCTION("""COMPUTED_VALUE"""),"EQUIPOS PARA SERVICIOS INDUSTRIALES")</f>
        <v>EQUIPOS PARA SERVICIOS INDUSTRIALES</v>
      </c>
      <c r="B998" s="5">
        <f ca="1">IFERROR(__xludf.DUMMYFUNCTION("""COMPUTED_VALUE"""),679376)</f>
        <v>679376</v>
      </c>
      <c r="C998" s="5" t="str">
        <f ca="1">IFERROR(__xludf.DUMMYFUNCTION("""COMPUTED_VALUE"""),"PLANTA ELECTRICA Nº 2")</f>
        <v>PLANTA ELECTRICA Nº 2</v>
      </c>
      <c r="D998" s="5">
        <f ca="1">IFERROR(__xludf.DUMMYFUNCTION("""COMPUTED_VALUE"""),13247552)</f>
        <v>13247552</v>
      </c>
      <c r="E998" s="5" t="str">
        <f ca="1">IFERROR(__xludf.DUMMYFUNCTION("""COMPUTED_VALUE"""),"INSPECCION SEMANAL PLANTA ELECTRICA")</f>
        <v>INSPECCION SEMANAL PLANTA ELECTRICA</v>
      </c>
      <c r="F998" s="5" t="str">
        <f ca="1">IFERROR(__xludf.DUMMYFUNCTION("""COMPUTED_VALUE"""),"INSP CORREAS")</f>
        <v>INSP CORREAS</v>
      </c>
      <c r="G998" s="5" t="b">
        <f ca="1">IFERROR(__xludf.DUMMYFUNCTION("""COMPUTED_VALUE"""),TRUE)</f>
        <v>1</v>
      </c>
      <c r="H998" s="5"/>
      <c r="I998" s="5"/>
      <c r="J998" s="5">
        <f ca="1">IFERROR(__xludf.DUMMYFUNCTION("""COMPUTED_VALUE"""),13247552)</f>
        <v>13247552</v>
      </c>
      <c r="K998" s="5"/>
      <c r="L998" s="18">
        <f ca="1">IFERROR(__xludf.DUMMYFUNCTION("""COMPUTED_VALUE"""),45324)</f>
        <v>45324</v>
      </c>
      <c r="M998" s="18">
        <f ca="1">IFERROR(__xludf.DUMMYFUNCTION("""COMPUTED_VALUE"""),45324)</f>
        <v>45324</v>
      </c>
      <c r="N998" s="5" t="str">
        <f ca="1">IFERROR(__xludf.DUMMYFUNCTION("""COMPUTED_VALUE"""),"JEFFERSON BRAVO PIEDRAHITA")</f>
        <v>JEFFERSON BRAVO PIEDRAHITA</v>
      </c>
      <c r="O998" s="2">
        <f ca="1">IFERROR(__xludf.DUMMYFUNCTION("""COMPUTED_VALUE"""),0.005263158)</f>
        <v>5.2631580000000004E-3</v>
      </c>
      <c r="P998" s="5">
        <f ca="1">IFERROR(__xludf.DUMMYFUNCTION("""COMPUTED_VALUE"""),1130593135)</f>
        <v>1130593135</v>
      </c>
      <c r="Q998" s="5" t="str">
        <f ca="1">IFERROR(__xludf.DUMMYFUNCTION("""COMPUTED_VALUE"""),"xFZ0d098UfQ")</f>
        <v>xFZ0d098UfQ</v>
      </c>
      <c r="R998" s="5">
        <f ca="1">IFERROR(__xludf.DUMMYFUNCTION("""COMPUTED_VALUE"""),410)</f>
        <v>410</v>
      </c>
      <c r="S998" s="62">
        <f ca="1">IFERROR(__xludf.DUMMYFUNCTION("""COMPUTED_VALUE"""),0.005263158)</f>
        <v>5.2631580000000004E-3</v>
      </c>
      <c r="T998" s="63" t="str">
        <f ca="1">IFERROR(__xludf.DUMMYFUNCTION("""COMPUTED_VALUE"""),"https://storage.googleapis.com/glide-prod.appspot.com/uploads-v2/ly7o78grxPaC6KdgvbpS/pub/yvtCGRAPIbS0tVLIlehH.png")</f>
        <v>https://storage.googleapis.com/glide-prod.appspot.com/uploads-v2/ly7o78grxPaC6KdgvbpS/pub/yvtCGRAPIbS0tVLIlehH.png</v>
      </c>
      <c r="U998" s="5" t="str">
        <f ca="1">IFERROR(__xludf.DUMMYFUNCTION("""COMPUTED_VALUE"""),"EQUIPOS PARA SERVICIOS INDUSTRIALESPLANTA ELECTRICA Nº 2")</f>
        <v>EQUIPOS PARA SERVICIOS INDUSTRIALESPLANTA ELECTRICA Nº 2</v>
      </c>
      <c r="V998" s="5"/>
      <c r="W998" s="5"/>
      <c r="X998" s="5" t="str">
        <f ca="1">IFERROR(__xludf.DUMMYFUNCTION("""COMPUTED_VALUE"""),"wmazorra@postobon.com.co,aprmttoyu@postobon.com.co,aprmyu@postobon.com.co,wmora@postobon.com.co,efzapata@postobon.com.co")</f>
        <v>wmazorra@postobon.com.co,aprmttoyu@postobon.com.co,aprmyu@postobon.com.co,wmora@postobon.com.co,efzapata@postobon.com.co</v>
      </c>
      <c r="Y998" s="5" t="str">
        <f ca="1">IFERROR(__xludf.DUMMYFUNCTION("""COMPUTED_VALUE"""),"wmazorra@postobon.com.co")</f>
        <v>wmazorra@postobon.com.co</v>
      </c>
      <c r="Z998" s="5" t="str">
        <f ca="1">IFERROR(__xludf.DUMMYFUNCTION("""COMPUTED_VALUE"""),"84Wih.00ShyaAtGFbAQo4Q")</f>
        <v>84Wih.00ShyaAtGFbAQo4Q</v>
      </c>
      <c r="AA998" s="5"/>
      <c r="AB998" s="5"/>
      <c r="AC998" s="5"/>
      <c r="AD998" s="5">
        <f ca="1">IFERROR(__xludf.DUMMYFUNCTION("""COMPUTED_VALUE"""),57)</f>
        <v>57</v>
      </c>
      <c r="AE998" s="5">
        <f ca="1">IFERROR(__xludf.DUMMYFUNCTION("""COMPUTED_VALUE"""),57)</f>
        <v>57</v>
      </c>
      <c r="AF998" s="5" t="b">
        <f ca="1">IFERROR(__xludf.DUMMYFUNCTION("""COMPUTED_VALUE"""),FALSE)</f>
        <v>0</v>
      </c>
      <c r="AG998" s="5" t="str">
        <f ca="1">IFERROR(__xludf.DUMMYFUNCTION("""COMPUTED_VALUE"""),"INSPECCIONES REALIZADAS")</f>
        <v>INSPECCIONES REALIZADAS</v>
      </c>
      <c r="AH998" s="5"/>
    </row>
    <row r="999" spans="1:34">
      <c r="A999" s="5" t="str">
        <f ca="1">IFERROR(__xludf.DUMMYFUNCTION("""COMPUTED_VALUE"""),"EQUIPOS PARA SERVICIOS INDUSTRIALES")</f>
        <v>EQUIPOS PARA SERVICIOS INDUSTRIALES</v>
      </c>
      <c r="B999" s="5">
        <f ca="1">IFERROR(__xludf.DUMMYFUNCTION("""COMPUTED_VALUE"""),679376)</f>
        <v>679376</v>
      </c>
      <c r="C999" s="5" t="str">
        <f ca="1">IFERROR(__xludf.DUMMYFUNCTION("""COMPUTED_VALUE"""),"PLANTA ELECTRICA Nº 2")</f>
        <v>PLANTA ELECTRICA Nº 2</v>
      </c>
      <c r="D999" s="5">
        <f ca="1">IFERROR(__xludf.DUMMYFUNCTION("""COMPUTED_VALUE"""),13247552)</f>
        <v>13247552</v>
      </c>
      <c r="E999" s="5" t="str">
        <f ca="1">IFERROR(__xludf.DUMMYFUNCTION("""COMPUTED_VALUE"""),"INSPECCION SEMANAL PLANTA ELECTRICA")</f>
        <v>INSPECCION SEMANAL PLANTA ELECTRICA</v>
      </c>
      <c r="F999" s="5" t="str">
        <f ca="1">IFERROR(__xludf.DUMMYFUNCTION("""COMPUTED_VALUE"""),"INSP FUGA FLUIDOS")</f>
        <v>INSP FUGA FLUIDOS</v>
      </c>
      <c r="G999" s="5" t="b">
        <f ca="1">IFERROR(__xludf.DUMMYFUNCTION("""COMPUTED_VALUE"""),TRUE)</f>
        <v>1</v>
      </c>
      <c r="H999" s="5"/>
      <c r="I999" s="5"/>
      <c r="J999" s="5">
        <f ca="1">IFERROR(__xludf.DUMMYFUNCTION("""COMPUTED_VALUE"""),13247552)</f>
        <v>13247552</v>
      </c>
      <c r="K999" s="5"/>
      <c r="L999" s="18">
        <f ca="1">IFERROR(__xludf.DUMMYFUNCTION("""COMPUTED_VALUE"""),45324)</f>
        <v>45324</v>
      </c>
      <c r="M999" s="18">
        <f ca="1">IFERROR(__xludf.DUMMYFUNCTION("""COMPUTED_VALUE"""),45324)</f>
        <v>45324</v>
      </c>
      <c r="N999" s="5" t="str">
        <f ca="1">IFERROR(__xludf.DUMMYFUNCTION("""COMPUTED_VALUE"""),"JEFFERSON BRAVO PIEDRAHITA")</f>
        <v>JEFFERSON BRAVO PIEDRAHITA</v>
      </c>
      <c r="O999" s="2">
        <f ca="1">IFERROR(__xludf.DUMMYFUNCTION("""COMPUTED_VALUE"""),0.005263158)</f>
        <v>5.2631580000000004E-3</v>
      </c>
      <c r="P999" s="5">
        <f ca="1">IFERROR(__xludf.DUMMYFUNCTION("""COMPUTED_VALUE"""),1130593135)</f>
        <v>1130593135</v>
      </c>
      <c r="Q999" s="5" t="str">
        <f ca="1">IFERROR(__xludf.DUMMYFUNCTION("""COMPUTED_VALUE"""),"yNN1-TbWask")</f>
        <v>yNN1-TbWask</v>
      </c>
      <c r="R999" s="5">
        <f ca="1">IFERROR(__xludf.DUMMYFUNCTION("""COMPUTED_VALUE"""),410)</f>
        <v>410</v>
      </c>
      <c r="S999" s="62">
        <f ca="1">IFERROR(__xludf.DUMMYFUNCTION("""COMPUTED_VALUE"""),0.005263158)</f>
        <v>5.2631580000000004E-3</v>
      </c>
      <c r="T999" s="63" t="str">
        <f ca="1">IFERROR(__xludf.DUMMYFUNCTION("""COMPUTED_VALUE"""),"https://storage.googleapis.com/glide-prod.appspot.com/uploads-v2/ly7o78grxPaC6KdgvbpS/pub/3aRdSog0vUtuqPE8AJKD.png")</f>
        <v>https://storage.googleapis.com/glide-prod.appspot.com/uploads-v2/ly7o78grxPaC6KdgvbpS/pub/3aRdSog0vUtuqPE8AJKD.png</v>
      </c>
      <c r="U999" s="5" t="str">
        <f ca="1">IFERROR(__xludf.DUMMYFUNCTION("""COMPUTED_VALUE"""),"EQUIPOS PARA SERVICIOS INDUSTRIALESPLANTA ELECTRICA Nº 2")</f>
        <v>EQUIPOS PARA SERVICIOS INDUSTRIALESPLANTA ELECTRICA Nº 2</v>
      </c>
      <c r="V999" s="5"/>
      <c r="W999" s="5" t="b">
        <f ca="1">IFERROR(__xludf.DUMMYFUNCTION("""COMPUTED_VALUE"""),TRUE)</f>
        <v>1</v>
      </c>
      <c r="X999" s="5" t="str">
        <f ca="1">IFERROR(__xludf.DUMMYFUNCTION("""COMPUTED_VALUE"""),"wmazorra@postobon.com.co,aprmttoyu@postobon.com.co,aprmyu@postobon.com.co,wmora@postobon.com.co,efzapata@postobon.com.co")</f>
        <v>wmazorra@postobon.com.co,aprmttoyu@postobon.com.co,aprmyu@postobon.com.co,wmora@postobon.com.co,efzapata@postobon.com.co</v>
      </c>
      <c r="Y999" s="5" t="str">
        <f ca="1">IFERROR(__xludf.DUMMYFUNCTION("""COMPUTED_VALUE"""),"wmazorra@postobon.com.co")</f>
        <v>wmazorra@postobon.com.co</v>
      </c>
      <c r="Z999" s="5" t="str">
        <f ca="1">IFERROR(__xludf.DUMMYFUNCTION("""COMPUTED_VALUE"""),"7hUNO80OR0CiA1-o3P3rTg")</f>
        <v>7hUNO80OR0CiA1-o3P3rTg</v>
      </c>
      <c r="AA999" s="5"/>
      <c r="AB999" s="5"/>
      <c r="AC999" s="5"/>
      <c r="AD999" s="5">
        <f ca="1">IFERROR(__xludf.DUMMYFUNCTION("""COMPUTED_VALUE"""),57)</f>
        <v>57</v>
      </c>
      <c r="AE999" s="5">
        <f ca="1">IFERROR(__xludf.DUMMYFUNCTION("""COMPUTED_VALUE"""),57)</f>
        <v>57</v>
      </c>
      <c r="AF999" s="5" t="b">
        <f ca="1">IFERROR(__xludf.DUMMYFUNCTION("""COMPUTED_VALUE"""),FALSE)</f>
        <v>0</v>
      </c>
      <c r="AG999" s="5" t="str">
        <f ca="1">IFERROR(__xludf.DUMMYFUNCTION("""COMPUTED_VALUE"""),"INSPECCIONES REALIZADAS")</f>
        <v>INSPECCIONES REALIZADAS</v>
      </c>
      <c r="AH999" s="5"/>
    </row>
    <row r="1000" spans="1:34">
      <c r="A1000" s="5" t="str">
        <f ca="1">IFERROR(__xludf.DUMMYFUNCTION("""COMPUTED_VALUE"""),"EQUIPOS PARA SERVICIOS INDUSTRIALES")</f>
        <v>EQUIPOS PARA SERVICIOS INDUSTRIALES</v>
      </c>
      <c r="B1000" s="5">
        <f ca="1">IFERROR(__xludf.DUMMYFUNCTION("""COMPUTED_VALUE"""),679376)</f>
        <v>679376</v>
      </c>
      <c r="C1000" s="5" t="str">
        <f ca="1">IFERROR(__xludf.DUMMYFUNCTION("""COMPUTED_VALUE"""),"PLANTA ELECTRICA Nº 2")</f>
        <v>PLANTA ELECTRICA Nº 2</v>
      </c>
      <c r="D1000" s="5">
        <f ca="1">IFERROR(__xludf.DUMMYFUNCTION("""COMPUTED_VALUE"""),13247552)</f>
        <v>13247552</v>
      </c>
      <c r="E1000" s="5" t="str">
        <f ca="1">IFERROR(__xludf.DUMMYFUNCTION("""COMPUTED_VALUE"""),"INSPECCION SEMANAL PLANTA ELECTRICA")</f>
        <v>INSPECCION SEMANAL PLANTA ELECTRICA</v>
      </c>
      <c r="F1000" s="5" t="str">
        <f ca="1">IFERROR(__xludf.DUMMYFUNCTION("""COMPUTED_VALUE"""),"INSP TABLERO MONITOR(PRESION FILTRO COMBUSTIBLE/ACEITE,AIRE ADMISION)")</f>
        <v>INSP TABLERO MONITOR(PRESION FILTRO COMBUSTIBLE/ACEITE,AIRE ADMISION)</v>
      </c>
      <c r="G1000" s="5" t="b">
        <f ca="1">IFERROR(__xludf.DUMMYFUNCTION("""COMPUTED_VALUE"""),TRUE)</f>
        <v>1</v>
      </c>
      <c r="H1000" s="5"/>
      <c r="I1000" s="5"/>
      <c r="J1000" s="5">
        <f ca="1">IFERROR(__xludf.DUMMYFUNCTION("""COMPUTED_VALUE"""),13247552)</f>
        <v>13247552</v>
      </c>
      <c r="K1000" s="5"/>
      <c r="L1000" s="18">
        <f ca="1">IFERROR(__xludf.DUMMYFUNCTION("""COMPUTED_VALUE"""),45324)</f>
        <v>45324</v>
      </c>
      <c r="M1000" s="18">
        <f ca="1">IFERROR(__xludf.DUMMYFUNCTION("""COMPUTED_VALUE"""),45324)</f>
        <v>45324</v>
      </c>
      <c r="N1000" s="5" t="str">
        <f ca="1">IFERROR(__xludf.DUMMYFUNCTION("""COMPUTED_VALUE"""),"JEFFERSON BRAVO PIEDRAHITA")</f>
        <v>JEFFERSON BRAVO PIEDRAHITA</v>
      </c>
      <c r="O1000" s="2">
        <f ca="1">IFERROR(__xludf.DUMMYFUNCTION("""COMPUTED_VALUE"""),0.005263158)</f>
        <v>5.2631580000000004E-3</v>
      </c>
      <c r="P1000" s="5">
        <f ca="1">IFERROR(__xludf.DUMMYFUNCTION("""COMPUTED_VALUE"""),1130593135)</f>
        <v>1130593135</v>
      </c>
      <c r="Q1000" s="5" t="str">
        <f ca="1">IFERROR(__xludf.DUMMYFUNCTION("""COMPUTED_VALUE"""),"O5BB5M1mRSk")</f>
        <v>O5BB5M1mRSk</v>
      </c>
      <c r="R1000" s="5">
        <f ca="1">IFERROR(__xludf.DUMMYFUNCTION("""COMPUTED_VALUE"""),410)</f>
        <v>410</v>
      </c>
      <c r="S1000" s="62">
        <f ca="1">IFERROR(__xludf.DUMMYFUNCTION("""COMPUTED_VALUE"""),0.005263158)</f>
        <v>5.2631580000000004E-3</v>
      </c>
      <c r="T1000" s="63" t="str">
        <f ca="1">IFERROR(__xludf.DUMMYFUNCTION("""COMPUTED_VALUE"""),"https://storage.googleapis.com/glide-prod.appspot.com/uploads-v2/ly7o78grxPaC6KdgvbpS/pub/yvtCGRAPIbS0tVLIlehH.png")</f>
        <v>https://storage.googleapis.com/glide-prod.appspot.com/uploads-v2/ly7o78grxPaC6KdgvbpS/pub/yvtCGRAPIbS0tVLIlehH.png</v>
      </c>
      <c r="U1000" s="5" t="str">
        <f ca="1">IFERROR(__xludf.DUMMYFUNCTION("""COMPUTED_VALUE"""),"EQUIPOS PARA SERVICIOS INDUSTRIALESPLANTA ELECTRICA Nº 2")</f>
        <v>EQUIPOS PARA SERVICIOS INDUSTRIALESPLANTA ELECTRICA Nº 2</v>
      </c>
      <c r="V1000" s="5"/>
      <c r="W1000" s="5"/>
      <c r="X1000" s="5" t="str">
        <f ca="1">IFERROR(__xludf.DUMMYFUNCTION("""COMPUTED_VALUE"""),"wmazorra@postobon.com.co,aprmttoyu@postobon.com.co,aprmyu@postobon.com.co,wmora@postobon.com.co,efzapata@postobon.com.co")</f>
        <v>wmazorra@postobon.com.co,aprmttoyu@postobon.com.co,aprmyu@postobon.com.co,wmora@postobon.com.co,efzapata@postobon.com.co</v>
      </c>
      <c r="Y1000" s="5" t="str">
        <f ca="1">IFERROR(__xludf.DUMMYFUNCTION("""COMPUTED_VALUE"""),"wmazorra@postobon.com.co")</f>
        <v>wmazorra@postobon.com.co</v>
      </c>
      <c r="Z1000" s="5" t="str">
        <f ca="1">IFERROR(__xludf.DUMMYFUNCTION("""COMPUTED_VALUE"""),"9elBxEbOSVeGe83jCz6aCQ")</f>
        <v>9elBxEbOSVeGe83jCz6aCQ</v>
      </c>
      <c r="AA1000" s="5"/>
      <c r="AB1000" s="5"/>
      <c r="AC1000" s="5"/>
      <c r="AD1000" s="5">
        <f ca="1">IFERROR(__xludf.DUMMYFUNCTION("""COMPUTED_VALUE"""),57)</f>
        <v>57</v>
      </c>
      <c r="AE1000" s="5">
        <f ca="1">IFERROR(__xludf.DUMMYFUNCTION("""COMPUTED_VALUE"""),57)</f>
        <v>57</v>
      </c>
      <c r="AF1000" s="5" t="b">
        <f ca="1">IFERROR(__xludf.DUMMYFUNCTION("""COMPUTED_VALUE"""),FALSE)</f>
        <v>0</v>
      </c>
      <c r="AG1000" s="5" t="str">
        <f ca="1">IFERROR(__xludf.DUMMYFUNCTION("""COMPUTED_VALUE"""),"INSPECCIONES REALIZADAS")</f>
        <v>INSPECCIONES REALIZADAS</v>
      </c>
      <c r="AH1000" s="5"/>
    </row>
    <row r="1001" spans="1:34">
      <c r="A1001" s="5" t="str">
        <f ca="1">IFERROR(__xludf.DUMMYFUNCTION("""COMPUTED_VALUE"""),"EQUIPOS PARA SERVICIOS INDUSTRIALES")</f>
        <v>EQUIPOS PARA SERVICIOS INDUSTRIALES</v>
      </c>
      <c r="B1001" s="5">
        <f ca="1">IFERROR(__xludf.DUMMYFUNCTION("""COMPUTED_VALUE"""),679376)</f>
        <v>679376</v>
      </c>
      <c r="C1001" s="5" t="str">
        <f ca="1">IFERROR(__xludf.DUMMYFUNCTION("""COMPUTED_VALUE"""),"PLANTA ELECTRICA Nº 2")</f>
        <v>PLANTA ELECTRICA Nº 2</v>
      </c>
      <c r="D1001" s="5">
        <f ca="1">IFERROR(__xludf.DUMMYFUNCTION("""COMPUTED_VALUE"""),13247552)</f>
        <v>13247552</v>
      </c>
      <c r="E1001" s="5" t="str">
        <f ca="1">IFERROR(__xludf.DUMMYFUNCTION("""COMPUTED_VALUE"""),"INSPECCION SEMANAL PLANTA ELECTRICA")</f>
        <v>INSPECCION SEMANAL PLANTA ELECTRICA</v>
      </c>
      <c r="F1001" s="5" t="str">
        <f ca="1">IFERROR(__xludf.DUMMYFUNCTION("""COMPUTED_VALUE"""),"INSP TEMP DEVANADO GENERADOR")</f>
        <v>INSP TEMP DEVANADO GENERADOR</v>
      </c>
      <c r="G1001" s="5" t="b">
        <f ca="1">IFERROR(__xludf.DUMMYFUNCTION("""COMPUTED_VALUE"""),TRUE)</f>
        <v>1</v>
      </c>
      <c r="H1001" s="5"/>
      <c r="I1001" s="5"/>
      <c r="J1001" s="5">
        <f ca="1">IFERROR(__xludf.DUMMYFUNCTION("""COMPUTED_VALUE"""),13247552)</f>
        <v>13247552</v>
      </c>
      <c r="K1001" s="5"/>
      <c r="L1001" s="18">
        <f ca="1">IFERROR(__xludf.DUMMYFUNCTION("""COMPUTED_VALUE"""),45324)</f>
        <v>45324</v>
      </c>
      <c r="M1001" s="18">
        <f ca="1">IFERROR(__xludf.DUMMYFUNCTION("""COMPUTED_VALUE"""),45324)</f>
        <v>45324</v>
      </c>
      <c r="N1001" s="5" t="str">
        <f ca="1">IFERROR(__xludf.DUMMYFUNCTION("""COMPUTED_VALUE"""),"JEFFERSON BRAVO PIEDRAHITA")</f>
        <v>JEFFERSON BRAVO PIEDRAHITA</v>
      </c>
      <c r="O1001" s="2">
        <f ca="1">IFERROR(__xludf.DUMMYFUNCTION("""COMPUTED_VALUE"""),0.005263158)</f>
        <v>5.2631580000000004E-3</v>
      </c>
      <c r="P1001" s="5">
        <f ca="1">IFERROR(__xludf.DUMMYFUNCTION("""COMPUTED_VALUE"""),1130593135)</f>
        <v>1130593135</v>
      </c>
      <c r="Q1001" s="5" t="str">
        <f ca="1">IFERROR(__xludf.DUMMYFUNCTION("""COMPUTED_VALUE"""),"l0wwq4WBj-U")</f>
        <v>l0wwq4WBj-U</v>
      </c>
      <c r="R1001" s="5">
        <f ca="1">IFERROR(__xludf.DUMMYFUNCTION("""COMPUTED_VALUE"""),410)</f>
        <v>410</v>
      </c>
      <c r="S1001" s="62">
        <f ca="1">IFERROR(__xludf.DUMMYFUNCTION("""COMPUTED_VALUE"""),0.005263158)</f>
        <v>5.2631580000000004E-3</v>
      </c>
      <c r="T1001" s="63" t="str">
        <f ca="1">IFERROR(__xludf.DUMMYFUNCTION("""COMPUTED_VALUE"""),"https://storage.googleapis.com/glide-prod.appspot.com/uploads-v2/ly7o78grxPaC6KdgvbpS/pub/3aRdSog0vUtuqPE8AJKD.png")</f>
        <v>https://storage.googleapis.com/glide-prod.appspot.com/uploads-v2/ly7o78grxPaC6KdgvbpS/pub/3aRdSog0vUtuqPE8AJKD.png</v>
      </c>
      <c r="U1001" s="5" t="str">
        <f ca="1">IFERROR(__xludf.DUMMYFUNCTION("""COMPUTED_VALUE"""),"EQUIPOS PARA SERVICIOS INDUSTRIALESPLANTA ELECTRICA Nº 2")</f>
        <v>EQUIPOS PARA SERVICIOS INDUSTRIALESPLANTA ELECTRICA Nº 2</v>
      </c>
      <c r="V1001" s="5"/>
      <c r="W1001" s="5" t="b">
        <f ca="1">IFERROR(__xludf.DUMMYFUNCTION("""COMPUTED_VALUE"""),TRUE)</f>
        <v>1</v>
      </c>
      <c r="X1001" s="5" t="str">
        <f ca="1">IFERROR(__xludf.DUMMYFUNCTION("""COMPUTED_VALUE"""),"wmazorra@postobon.com.co,aprmttoyu@postobon.com.co,aprmyu@postobon.com.co,wmora@postobon.com.co,efzapata@postobon.com.co")</f>
        <v>wmazorra@postobon.com.co,aprmttoyu@postobon.com.co,aprmyu@postobon.com.co,wmora@postobon.com.co,efzapata@postobon.com.co</v>
      </c>
      <c r="Y1001" s="5" t="str">
        <f ca="1">IFERROR(__xludf.DUMMYFUNCTION("""COMPUTED_VALUE"""),"wmazorra@postobon.com.co")</f>
        <v>wmazorra@postobon.com.co</v>
      </c>
      <c r="Z1001" s="5" t="str">
        <f ca="1">IFERROR(__xludf.DUMMYFUNCTION("""COMPUTED_VALUE"""),"goFdQOKSTcKL2EZc.WT5DA")</f>
        <v>goFdQOKSTcKL2EZc.WT5DA</v>
      </c>
      <c r="AA1001" s="5"/>
      <c r="AB1001" s="5"/>
      <c r="AC1001" s="5"/>
      <c r="AD1001" s="5">
        <f ca="1">IFERROR(__xludf.DUMMYFUNCTION("""COMPUTED_VALUE"""),57)</f>
        <v>57</v>
      </c>
      <c r="AE1001" s="5">
        <f ca="1">IFERROR(__xludf.DUMMYFUNCTION("""COMPUTED_VALUE"""),57)</f>
        <v>57</v>
      </c>
      <c r="AF1001" s="5" t="b">
        <f ca="1">IFERROR(__xludf.DUMMYFUNCTION("""COMPUTED_VALUE"""),FALSE)</f>
        <v>0</v>
      </c>
      <c r="AG1001" s="5" t="str">
        <f ca="1">IFERROR(__xludf.DUMMYFUNCTION("""COMPUTED_VALUE"""),"INSPECCIONES REALIZADAS")</f>
        <v>INSPECCIONES REALIZADAS</v>
      </c>
      <c r="AH1001" s="5"/>
    </row>
    <row r="1002" spans="1:34">
      <c r="A1002" s="5" t="str">
        <f ca="1">IFERROR(__xludf.DUMMYFUNCTION("""COMPUTED_VALUE"""),"EQUIPOS PARA SERVICIOS INDUSTRIALES")</f>
        <v>EQUIPOS PARA SERVICIOS INDUSTRIALES</v>
      </c>
      <c r="B1002" s="5">
        <f ca="1">IFERROR(__xludf.DUMMYFUNCTION("""COMPUTED_VALUE"""),679376)</f>
        <v>679376</v>
      </c>
      <c r="C1002" s="5" t="str">
        <f ca="1">IFERROR(__xludf.DUMMYFUNCTION("""COMPUTED_VALUE"""),"PLANTA ELECTRICA Nº 2")</f>
        <v>PLANTA ELECTRICA Nº 2</v>
      </c>
      <c r="D1002" s="5">
        <f ca="1">IFERROR(__xludf.DUMMYFUNCTION("""COMPUTED_VALUE"""),13247552)</f>
        <v>13247552</v>
      </c>
      <c r="E1002" s="5" t="str">
        <f ca="1">IFERROR(__xludf.DUMMYFUNCTION("""COMPUTED_VALUE"""),"INSPECCION SEMANAL PLANTA ELECTRICA")</f>
        <v>INSPECCION SEMANAL PLANTA ELECTRICA</v>
      </c>
      <c r="F1002" s="5" t="str">
        <f ca="1">IFERROR(__xludf.DUMMYFUNCTION("""COMPUTED_VALUE"""),"INSP CALENTADOR CAMISAS")</f>
        <v>INSP CALENTADOR CAMISAS</v>
      </c>
      <c r="G1002" s="5" t="b">
        <f ca="1">IFERROR(__xludf.DUMMYFUNCTION("""COMPUTED_VALUE"""),TRUE)</f>
        <v>1</v>
      </c>
      <c r="H1002" s="5"/>
      <c r="I1002" s="5"/>
      <c r="J1002" s="5">
        <f ca="1">IFERROR(__xludf.DUMMYFUNCTION("""COMPUTED_VALUE"""),13247552)</f>
        <v>13247552</v>
      </c>
      <c r="K1002" s="5"/>
      <c r="L1002" s="18">
        <f ca="1">IFERROR(__xludf.DUMMYFUNCTION("""COMPUTED_VALUE"""),45324)</f>
        <v>45324</v>
      </c>
      <c r="M1002" s="18">
        <f ca="1">IFERROR(__xludf.DUMMYFUNCTION("""COMPUTED_VALUE"""),45324)</f>
        <v>45324</v>
      </c>
      <c r="N1002" s="5" t="str">
        <f ca="1">IFERROR(__xludf.DUMMYFUNCTION("""COMPUTED_VALUE"""),"JEFFERSON BRAVO PIEDRAHITA")</f>
        <v>JEFFERSON BRAVO PIEDRAHITA</v>
      </c>
      <c r="O1002" s="2">
        <f ca="1">IFERROR(__xludf.DUMMYFUNCTION("""COMPUTED_VALUE"""),0.005263158)</f>
        <v>5.2631580000000004E-3</v>
      </c>
      <c r="P1002" s="5">
        <f ca="1">IFERROR(__xludf.DUMMYFUNCTION("""COMPUTED_VALUE"""),1130593135)</f>
        <v>1130593135</v>
      </c>
      <c r="Q1002" s="5" t="str">
        <f ca="1">IFERROR(__xludf.DUMMYFUNCTION("""COMPUTED_VALUE"""),"Nz3vSyPaPoQ")</f>
        <v>Nz3vSyPaPoQ</v>
      </c>
      <c r="R1002" s="5">
        <f ca="1">IFERROR(__xludf.DUMMYFUNCTION("""COMPUTED_VALUE"""),410)</f>
        <v>410</v>
      </c>
      <c r="S1002" s="62">
        <f ca="1">IFERROR(__xludf.DUMMYFUNCTION("""COMPUTED_VALUE"""),0.005263158)</f>
        <v>5.2631580000000004E-3</v>
      </c>
      <c r="T1002" s="63" t="str">
        <f ca="1">IFERROR(__xludf.DUMMYFUNCTION("""COMPUTED_VALUE"""),"https://storage.googleapis.com/glide-prod.appspot.com/uploads-v2/ly7o78grxPaC6KdgvbpS/pub/3aRdSog0vUtuqPE8AJKD.png")</f>
        <v>https://storage.googleapis.com/glide-prod.appspot.com/uploads-v2/ly7o78grxPaC6KdgvbpS/pub/3aRdSog0vUtuqPE8AJKD.png</v>
      </c>
      <c r="U1002" s="5" t="str">
        <f ca="1">IFERROR(__xludf.DUMMYFUNCTION("""COMPUTED_VALUE"""),"EQUIPOS PARA SERVICIOS INDUSTRIALESPLANTA ELECTRICA Nº 2")</f>
        <v>EQUIPOS PARA SERVICIOS INDUSTRIALESPLANTA ELECTRICA Nº 2</v>
      </c>
      <c r="V1002" s="5"/>
      <c r="W1002" s="5" t="b">
        <f ca="1">IFERROR(__xludf.DUMMYFUNCTION("""COMPUTED_VALUE"""),TRUE)</f>
        <v>1</v>
      </c>
      <c r="X1002" s="5" t="str">
        <f ca="1">IFERROR(__xludf.DUMMYFUNCTION("""COMPUTED_VALUE"""),"wmazorra@postobon.com.co,aprmttoyu@postobon.com.co,aprmyu@postobon.com.co,wmora@postobon.com.co,efzapata@postobon.com.co")</f>
        <v>wmazorra@postobon.com.co,aprmttoyu@postobon.com.co,aprmyu@postobon.com.co,wmora@postobon.com.co,efzapata@postobon.com.co</v>
      </c>
      <c r="Y1002" s="5" t="str">
        <f ca="1">IFERROR(__xludf.DUMMYFUNCTION("""COMPUTED_VALUE"""),"wmazorra@postobon.com.co")</f>
        <v>wmazorra@postobon.com.co</v>
      </c>
      <c r="Z1002" s="5" t="str">
        <f ca="1">IFERROR(__xludf.DUMMYFUNCTION("""COMPUTED_VALUE"""),"2b15iQxiSOuUV559Eo198g")</f>
        <v>2b15iQxiSOuUV559Eo198g</v>
      </c>
      <c r="AA1002" s="5"/>
      <c r="AB1002" s="5"/>
      <c r="AC1002" s="5"/>
      <c r="AD1002" s="5">
        <f ca="1">IFERROR(__xludf.DUMMYFUNCTION("""COMPUTED_VALUE"""),57)</f>
        <v>57</v>
      </c>
      <c r="AE1002" s="5">
        <f ca="1">IFERROR(__xludf.DUMMYFUNCTION("""COMPUTED_VALUE"""),57)</f>
        <v>57</v>
      </c>
      <c r="AF1002" s="5" t="b">
        <f ca="1">IFERROR(__xludf.DUMMYFUNCTION("""COMPUTED_VALUE"""),FALSE)</f>
        <v>0</v>
      </c>
      <c r="AG1002" s="5" t="str">
        <f ca="1">IFERROR(__xludf.DUMMYFUNCTION("""COMPUTED_VALUE"""),"INSPECCIONES REALIZADAS")</f>
        <v>INSPECCIONES REALIZADAS</v>
      </c>
      <c r="AH1002" s="5"/>
    </row>
    <row r="1003" spans="1:34">
      <c r="A1003" s="5" t="str">
        <f ca="1">IFERROR(__xludf.DUMMYFUNCTION("""COMPUTED_VALUE"""),"EQUIPOS PARA SERVICIOS INDUSTRIALES")</f>
        <v>EQUIPOS PARA SERVICIOS INDUSTRIALES</v>
      </c>
      <c r="B1003" s="5">
        <f ca="1">IFERROR(__xludf.DUMMYFUNCTION("""COMPUTED_VALUE"""),679376)</f>
        <v>679376</v>
      </c>
      <c r="C1003" s="5" t="str">
        <f ca="1">IFERROR(__xludf.DUMMYFUNCTION("""COMPUTED_VALUE"""),"PLANTA ELECTRICA Nº 2")</f>
        <v>PLANTA ELECTRICA Nº 2</v>
      </c>
      <c r="D1003" s="5">
        <f ca="1">IFERROR(__xludf.DUMMYFUNCTION("""COMPUTED_VALUE"""),13247552)</f>
        <v>13247552</v>
      </c>
      <c r="E1003" s="5" t="str">
        <f ca="1">IFERROR(__xludf.DUMMYFUNCTION("""COMPUTED_VALUE"""),"INSPECCION SEMANAL PLANTA ELECTRICA")</f>
        <v>INSPECCION SEMANAL PLANTA ELECTRICA</v>
      </c>
      <c r="F1003" s="5" t="str">
        <f ca="1">IFERROR(__xludf.DUMMYFUNCTION("""COMPUTED_VALUE"""),"INS VOLTAJE,FRECUENCIA")</f>
        <v>INS VOLTAJE,FRECUENCIA</v>
      </c>
      <c r="G1003" s="5" t="b">
        <f ca="1">IFERROR(__xludf.DUMMYFUNCTION("""COMPUTED_VALUE"""),TRUE)</f>
        <v>1</v>
      </c>
      <c r="H1003" s="5"/>
      <c r="I1003" s="5"/>
      <c r="J1003" s="5">
        <f ca="1">IFERROR(__xludf.DUMMYFUNCTION("""COMPUTED_VALUE"""),13247552)</f>
        <v>13247552</v>
      </c>
      <c r="K1003" s="5"/>
      <c r="L1003" s="18">
        <f ca="1">IFERROR(__xludf.DUMMYFUNCTION("""COMPUTED_VALUE"""),45324)</f>
        <v>45324</v>
      </c>
      <c r="M1003" s="18">
        <f ca="1">IFERROR(__xludf.DUMMYFUNCTION("""COMPUTED_VALUE"""),45324)</f>
        <v>45324</v>
      </c>
      <c r="N1003" s="5" t="str">
        <f ca="1">IFERROR(__xludf.DUMMYFUNCTION("""COMPUTED_VALUE"""),"JEFFERSON BRAVO PIEDRAHITA")</f>
        <v>JEFFERSON BRAVO PIEDRAHITA</v>
      </c>
      <c r="O1003" s="2">
        <f ca="1">IFERROR(__xludf.DUMMYFUNCTION("""COMPUTED_VALUE"""),0.005263158)</f>
        <v>5.2631580000000004E-3</v>
      </c>
      <c r="P1003" s="5">
        <f ca="1">IFERROR(__xludf.DUMMYFUNCTION("""COMPUTED_VALUE"""),1130593135)</f>
        <v>1130593135</v>
      </c>
      <c r="Q1003" s="5" t="str">
        <f ca="1">IFERROR(__xludf.DUMMYFUNCTION("""COMPUTED_VALUE"""),"Y8pOkaZpN6I")</f>
        <v>Y8pOkaZpN6I</v>
      </c>
      <c r="R1003" s="5">
        <f ca="1">IFERROR(__xludf.DUMMYFUNCTION("""COMPUTED_VALUE"""),410)</f>
        <v>410</v>
      </c>
      <c r="S1003" s="62">
        <f ca="1">IFERROR(__xludf.DUMMYFUNCTION("""COMPUTED_VALUE"""),0.005263158)</f>
        <v>5.2631580000000004E-3</v>
      </c>
      <c r="T1003" s="63" t="str">
        <f ca="1">IFERROR(__xludf.DUMMYFUNCTION("""COMPUTED_VALUE"""),"https://storage.googleapis.com/glide-prod.appspot.com/uploads-v2/ly7o78grxPaC6KdgvbpS/pub/3aRdSog0vUtuqPE8AJKD.png")</f>
        <v>https://storage.googleapis.com/glide-prod.appspot.com/uploads-v2/ly7o78grxPaC6KdgvbpS/pub/3aRdSog0vUtuqPE8AJKD.png</v>
      </c>
      <c r="U1003" s="5" t="str">
        <f ca="1">IFERROR(__xludf.DUMMYFUNCTION("""COMPUTED_VALUE"""),"EQUIPOS PARA SERVICIOS INDUSTRIALESPLANTA ELECTRICA Nº 2")</f>
        <v>EQUIPOS PARA SERVICIOS INDUSTRIALESPLANTA ELECTRICA Nº 2</v>
      </c>
      <c r="V1003" s="5"/>
      <c r="W1003" s="5" t="b">
        <f ca="1">IFERROR(__xludf.DUMMYFUNCTION("""COMPUTED_VALUE"""),TRUE)</f>
        <v>1</v>
      </c>
      <c r="X1003" s="5" t="str">
        <f ca="1">IFERROR(__xludf.DUMMYFUNCTION("""COMPUTED_VALUE"""),"wmazorra@postobon.com.co,aprmttoyu@postobon.com.co,aprmyu@postobon.com.co,wmora@postobon.com.co,efzapata@postobon.com.co")</f>
        <v>wmazorra@postobon.com.co,aprmttoyu@postobon.com.co,aprmyu@postobon.com.co,wmora@postobon.com.co,efzapata@postobon.com.co</v>
      </c>
      <c r="Y1003" s="5" t="str">
        <f ca="1">IFERROR(__xludf.DUMMYFUNCTION("""COMPUTED_VALUE"""),"wmazorra@postobon.com.co")</f>
        <v>wmazorra@postobon.com.co</v>
      </c>
      <c r="Z1003" s="5" t="str">
        <f ca="1">IFERROR(__xludf.DUMMYFUNCTION("""COMPUTED_VALUE"""),"bw4-VYHKStese4dFN4hfjg")</f>
        <v>bw4-VYHKStese4dFN4hfjg</v>
      </c>
      <c r="AA1003" s="5"/>
      <c r="AB1003" s="5"/>
      <c r="AC1003" s="5"/>
      <c r="AD1003" s="5">
        <f ca="1">IFERROR(__xludf.DUMMYFUNCTION("""COMPUTED_VALUE"""),57)</f>
        <v>57</v>
      </c>
      <c r="AE1003" s="5">
        <f ca="1">IFERROR(__xludf.DUMMYFUNCTION("""COMPUTED_VALUE"""),57)</f>
        <v>57</v>
      </c>
      <c r="AF1003" s="5" t="b">
        <f ca="1">IFERROR(__xludf.DUMMYFUNCTION("""COMPUTED_VALUE"""),FALSE)</f>
        <v>0</v>
      </c>
      <c r="AG1003" s="5" t="str">
        <f ca="1">IFERROR(__xludf.DUMMYFUNCTION("""COMPUTED_VALUE"""),"INSPECCIONES REALIZADAS")</f>
        <v>INSPECCIONES REALIZADAS</v>
      </c>
      <c r="AH1003" s="5"/>
    </row>
    <row r="1004" spans="1:34">
      <c r="A1004" s="5" t="str">
        <f ca="1">IFERROR(__xludf.DUMMYFUNCTION("""COMPUTED_VALUE"""),"EQUIPOS PARA SERVICIOS INDUSTRIALES")</f>
        <v>EQUIPOS PARA SERVICIOS INDUSTRIALES</v>
      </c>
      <c r="B1004" s="5">
        <f ca="1">IFERROR(__xludf.DUMMYFUNCTION("""COMPUTED_VALUE"""),679376)</f>
        <v>679376</v>
      </c>
      <c r="C1004" s="5" t="str">
        <f ca="1">IFERROR(__xludf.DUMMYFUNCTION("""COMPUTED_VALUE"""),"PLANTA ELECTRICA Nº 2")</f>
        <v>PLANTA ELECTRICA Nº 2</v>
      </c>
      <c r="D1004" s="5">
        <f ca="1">IFERROR(__xludf.DUMMYFUNCTION("""COMPUTED_VALUE"""),13247552)</f>
        <v>13247552</v>
      </c>
      <c r="E1004" s="5" t="str">
        <f ca="1">IFERROR(__xludf.DUMMYFUNCTION("""COMPUTED_VALUE"""),"INSPECCION SEMANAL PLANTA ELECTRICA")</f>
        <v>INSPECCION SEMANAL PLANTA ELECTRICA</v>
      </c>
      <c r="F1004" s="5" t="str">
        <f ca="1">IFERROR(__xludf.DUMMYFUNCTION("""COMPUTED_VALUE"""),"COMPROBAR CONEXIONES MOTOR")</f>
        <v>COMPROBAR CONEXIONES MOTOR</v>
      </c>
      <c r="G1004" s="5" t="b">
        <f ca="1">IFERROR(__xludf.DUMMYFUNCTION("""COMPUTED_VALUE"""),TRUE)</f>
        <v>1</v>
      </c>
      <c r="H1004" s="5"/>
      <c r="I1004" s="5"/>
      <c r="J1004" s="5">
        <f ca="1">IFERROR(__xludf.DUMMYFUNCTION("""COMPUTED_VALUE"""),13247552)</f>
        <v>13247552</v>
      </c>
      <c r="K1004" s="5"/>
      <c r="L1004" s="18">
        <f ca="1">IFERROR(__xludf.DUMMYFUNCTION("""COMPUTED_VALUE"""),45324)</f>
        <v>45324</v>
      </c>
      <c r="M1004" s="18">
        <f ca="1">IFERROR(__xludf.DUMMYFUNCTION("""COMPUTED_VALUE"""),45324)</f>
        <v>45324</v>
      </c>
      <c r="N1004" s="5" t="str">
        <f ca="1">IFERROR(__xludf.DUMMYFUNCTION("""COMPUTED_VALUE"""),"JEFFERSON BRAVO PIEDRAHITA")</f>
        <v>JEFFERSON BRAVO PIEDRAHITA</v>
      </c>
      <c r="O1004" s="2">
        <f ca="1">IFERROR(__xludf.DUMMYFUNCTION("""COMPUTED_VALUE"""),0.005263158)</f>
        <v>5.2631580000000004E-3</v>
      </c>
      <c r="P1004" s="5">
        <f ca="1">IFERROR(__xludf.DUMMYFUNCTION("""COMPUTED_VALUE"""),1130593135)</f>
        <v>1130593135</v>
      </c>
      <c r="Q1004" s="5" t="str">
        <f ca="1">IFERROR(__xludf.DUMMYFUNCTION("""COMPUTED_VALUE"""),"rzll649KJhU")</f>
        <v>rzll649KJhU</v>
      </c>
      <c r="R1004" s="5">
        <f ca="1">IFERROR(__xludf.DUMMYFUNCTION("""COMPUTED_VALUE"""),410)</f>
        <v>410</v>
      </c>
      <c r="S1004" s="62">
        <f ca="1">IFERROR(__xludf.DUMMYFUNCTION("""COMPUTED_VALUE"""),0.005263158)</f>
        <v>5.2631580000000004E-3</v>
      </c>
      <c r="T1004" s="63" t="str">
        <f ca="1">IFERROR(__xludf.DUMMYFUNCTION("""COMPUTED_VALUE"""),"https://storage.googleapis.com/glide-prod.appspot.com/uploads-v2/ly7o78grxPaC6KdgvbpS/pub/3aRdSog0vUtuqPE8AJKD.png")</f>
        <v>https://storage.googleapis.com/glide-prod.appspot.com/uploads-v2/ly7o78grxPaC6KdgvbpS/pub/3aRdSog0vUtuqPE8AJKD.png</v>
      </c>
      <c r="U1004" s="5" t="str">
        <f ca="1">IFERROR(__xludf.DUMMYFUNCTION("""COMPUTED_VALUE"""),"EQUIPOS PARA SERVICIOS INDUSTRIALESPLANTA ELECTRICA Nº 2")</f>
        <v>EQUIPOS PARA SERVICIOS INDUSTRIALESPLANTA ELECTRICA Nº 2</v>
      </c>
      <c r="V1004" s="5"/>
      <c r="W1004" s="5" t="b">
        <f ca="1">IFERROR(__xludf.DUMMYFUNCTION("""COMPUTED_VALUE"""),TRUE)</f>
        <v>1</v>
      </c>
      <c r="X1004" s="5" t="str">
        <f ca="1">IFERROR(__xludf.DUMMYFUNCTION("""COMPUTED_VALUE"""),"wmazorra@postobon.com.co,aprmttoyu@postobon.com.co,aprmyu@postobon.com.co,wmora@postobon.com.co,efzapata@postobon.com.co")</f>
        <v>wmazorra@postobon.com.co,aprmttoyu@postobon.com.co,aprmyu@postobon.com.co,wmora@postobon.com.co,efzapata@postobon.com.co</v>
      </c>
      <c r="Y1004" s="5" t="str">
        <f ca="1">IFERROR(__xludf.DUMMYFUNCTION("""COMPUTED_VALUE"""),"wmazorra@postobon.com.co")</f>
        <v>wmazorra@postobon.com.co</v>
      </c>
      <c r="Z1004" s="5" t="str">
        <f ca="1">IFERROR(__xludf.DUMMYFUNCTION("""COMPUTED_VALUE"""),"3Be1jVbgRqiNoURJM7wkGQ")</f>
        <v>3Be1jVbgRqiNoURJM7wkGQ</v>
      </c>
      <c r="AA1004" s="5"/>
      <c r="AB1004" s="5"/>
      <c r="AC1004" s="5"/>
      <c r="AD1004" s="5">
        <f ca="1">IFERROR(__xludf.DUMMYFUNCTION("""COMPUTED_VALUE"""),57)</f>
        <v>57</v>
      </c>
      <c r="AE1004" s="5">
        <f ca="1">IFERROR(__xludf.DUMMYFUNCTION("""COMPUTED_VALUE"""),57)</f>
        <v>57</v>
      </c>
      <c r="AF1004" s="5" t="b">
        <f ca="1">IFERROR(__xludf.DUMMYFUNCTION("""COMPUTED_VALUE"""),FALSE)</f>
        <v>0</v>
      </c>
      <c r="AG1004" s="5" t="str">
        <f ca="1">IFERROR(__xludf.DUMMYFUNCTION("""COMPUTED_VALUE"""),"INSPECCIONES REALIZADAS")</f>
        <v>INSPECCIONES REALIZADAS</v>
      </c>
      <c r="AH1004" s="5"/>
    </row>
    <row r="1005" spans="1:34">
      <c r="A1005" s="5" t="str">
        <f ca="1">IFERROR(__xludf.DUMMYFUNCTION("""COMPUTED_VALUE"""),"EQUIPOS PARA SERVICIOS INDUSTRIALES")</f>
        <v>EQUIPOS PARA SERVICIOS INDUSTRIALES</v>
      </c>
      <c r="B1005" s="5">
        <f ca="1">IFERROR(__xludf.DUMMYFUNCTION("""COMPUTED_VALUE"""),679376)</f>
        <v>679376</v>
      </c>
      <c r="C1005" s="5" t="str">
        <f ca="1">IFERROR(__xludf.DUMMYFUNCTION("""COMPUTED_VALUE"""),"PLANTA ELECTRICA Nº 2")</f>
        <v>PLANTA ELECTRICA Nº 2</v>
      </c>
      <c r="D1005" s="5">
        <f ca="1">IFERROR(__xludf.DUMMYFUNCTION("""COMPUTED_VALUE"""),13247552)</f>
        <v>13247552</v>
      </c>
      <c r="E1005" s="5" t="str">
        <f ca="1">IFERROR(__xludf.DUMMYFUNCTION("""COMPUTED_VALUE"""),"INSPECCION SEMANAL PLANTA ELECTRICA")</f>
        <v>INSPECCION SEMANAL PLANTA ELECTRICA</v>
      </c>
      <c r="F1005" s="5" t="str">
        <f ca="1">IFERROR(__xludf.DUMMYFUNCTION("""COMPUTED_VALUE"""),"INSP GENERADOR")</f>
        <v>INSP GENERADOR</v>
      </c>
      <c r="G1005" s="5" t="b">
        <f ca="1">IFERROR(__xludf.DUMMYFUNCTION("""COMPUTED_VALUE"""),TRUE)</f>
        <v>1</v>
      </c>
      <c r="H1005" s="5"/>
      <c r="I1005" s="5"/>
      <c r="J1005" s="5">
        <f ca="1">IFERROR(__xludf.DUMMYFUNCTION("""COMPUTED_VALUE"""),13247552)</f>
        <v>13247552</v>
      </c>
      <c r="K1005" s="5"/>
      <c r="L1005" s="18">
        <f ca="1">IFERROR(__xludf.DUMMYFUNCTION("""COMPUTED_VALUE"""),45324)</f>
        <v>45324</v>
      </c>
      <c r="M1005" s="18">
        <f ca="1">IFERROR(__xludf.DUMMYFUNCTION("""COMPUTED_VALUE"""),45324)</f>
        <v>45324</v>
      </c>
      <c r="N1005" s="5" t="str">
        <f ca="1">IFERROR(__xludf.DUMMYFUNCTION("""COMPUTED_VALUE"""),"JEFFERSON BRAVO PIEDRAHITA")</f>
        <v>JEFFERSON BRAVO PIEDRAHITA</v>
      </c>
      <c r="O1005" s="2">
        <f ca="1">IFERROR(__xludf.DUMMYFUNCTION("""COMPUTED_VALUE"""),0.005263158)</f>
        <v>5.2631580000000004E-3</v>
      </c>
      <c r="P1005" s="5">
        <f ca="1">IFERROR(__xludf.DUMMYFUNCTION("""COMPUTED_VALUE"""),1130593135)</f>
        <v>1130593135</v>
      </c>
      <c r="Q1005" s="5" t="str">
        <f ca="1">IFERROR(__xludf.DUMMYFUNCTION("""COMPUTED_VALUE"""),"edHmrLiCD88")</f>
        <v>edHmrLiCD88</v>
      </c>
      <c r="R1005" s="5">
        <f ca="1">IFERROR(__xludf.DUMMYFUNCTION("""COMPUTED_VALUE"""),410)</f>
        <v>410</v>
      </c>
      <c r="S1005" s="62">
        <f ca="1">IFERROR(__xludf.DUMMYFUNCTION("""COMPUTED_VALUE"""),0.005263158)</f>
        <v>5.2631580000000004E-3</v>
      </c>
      <c r="T1005" s="63" t="str">
        <f ca="1">IFERROR(__xludf.DUMMYFUNCTION("""COMPUTED_VALUE"""),"https://storage.googleapis.com/glide-prod.appspot.com/uploads-v2/ly7o78grxPaC6KdgvbpS/pub/3aRdSog0vUtuqPE8AJKD.png")</f>
        <v>https://storage.googleapis.com/glide-prod.appspot.com/uploads-v2/ly7o78grxPaC6KdgvbpS/pub/3aRdSog0vUtuqPE8AJKD.png</v>
      </c>
      <c r="U1005" s="5" t="str">
        <f ca="1">IFERROR(__xludf.DUMMYFUNCTION("""COMPUTED_VALUE"""),"EQUIPOS PARA SERVICIOS INDUSTRIALESPLANTA ELECTRICA Nº 2")</f>
        <v>EQUIPOS PARA SERVICIOS INDUSTRIALESPLANTA ELECTRICA Nº 2</v>
      </c>
      <c r="V1005" s="5"/>
      <c r="W1005" s="5" t="b">
        <f ca="1">IFERROR(__xludf.DUMMYFUNCTION("""COMPUTED_VALUE"""),TRUE)</f>
        <v>1</v>
      </c>
      <c r="X1005" s="5" t="str">
        <f ca="1">IFERROR(__xludf.DUMMYFUNCTION("""COMPUTED_VALUE"""),"wmazorra@postobon.com.co,aprmttoyu@postobon.com.co,aprmyu@postobon.com.co,wmora@postobon.com.co,efzapata@postobon.com.co")</f>
        <v>wmazorra@postobon.com.co,aprmttoyu@postobon.com.co,aprmyu@postobon.com.co,wmora@postobon.com.co,efzapata@postobon.com.co</v>
      </c>
      <c r="Y1005" s="5" t="str">
        <f ca="1">IFERROR(__xludf.DUMMYFUNCTION("""COMPUTED_VALUE"""),"wmazorra@postobon.com.co")</f>
        <v>wmazorra@postobon.com.co</v>
      </c>
      <c r="Z1005" s="5" t="str">
        <f ca="1">IFERROR(__xludf.DUMMYFUNCTION("""COMPUTED_VALUE"""),"r2IuEflpT9u6BlvH3XaEvg")</f>
        <v>r2IuEflpT9u6BlvH3XaEvg</v>
      </c>
      <c r="AA1005" s="5"/>
      <c r="AB1005" s="5"/>
      <c r="AC1005" s="5"/>
      <c r="AD1005" s="5">
        <f ca="1">IFERROR(__xludf.DUMMYFUNCTION("""COMPUTED_VALUE"""),57)</f>
        <v>57</v>
      </c>
      <c r="AE1005" s="5">
        <f ca="1">IFERROR(__xludf.DUMMYFUNCTION("""COMPUTED_VALUE"""),57)</f>
        <v>57</v>
      </c>
      <c r="AF1005" s="5" t="b">
        <f ca="1">IFERROR(__xludf.DUMMYFUNCTION("""COMPUTED_VALUE"""),FALSE)</f>
        <v>0</v>
      </c>
      <c r="AG1005" s="5" t="str">
        <f ca="1">IFERROR(__xludf.DUMMYFUNCTION("""COMPUTED_VALUE"""),"INSPECCIONES REALIZADAS")</f>
        <v>INSPECCIONES REALIZADAS</v>
      </c>
      <c r="AH1005" s="5"/>
    </row>
    <row r="1006" spans="1:34">
      <c r="A1006" s="5" t="str">
        <f ca="1">IFERROR(__xludf.DUMMYFUNCTION("""COMPUTED_VALUE"""),"EQUIPOS PARA SERVICIOS INDUSTRIALES")</f>
        <v>EQUIPOS PARA SERVICIOS INDUSTRIALES</v>
      </c>
      <c r="B1006" s="5">
        <f ca="1">IFERROR(__xludf.DUMMYFUNCTION("""COMPUTED_VALUE"""),679376)</f>
        <v>679376</v>
      </c>
      <c r="C1006" s="5" t="str">
        <f ca="1">IFERROR(__xludf.DUMMYFUNCTION("""COMPUTED_VALUE"""),"PLANTA ELECTRICA Nº 2")</f>
        <v>PLANTA ELECTRICA Nº 2</v>
      </c>
      <c r="D1006" s="5">
        <f ca="1">IFERROR(__xludf.DUMMYFUNCTION("""COMPUTED_VALUE"""),13247552)</f>
        <v>13247552</v>
      </c>
      <c r="E1006" s="5" t="str">
        <f ca="1">IFERROR(__xludf.DUMMYFUNCTION("""COMPUTED_VALUE"""),"INSPECCION SEMANAL PLANTA ELECTRICA")</f>
        <v>INSPECCION SEMANAL PLANTA ELECTRICA</v>
      </c>
      <c r="F1006" s="5" t="str">
        <f ca="1">IFERROR(__xludf.DUMMYFUNCTION("""COMPUTED_VALUE"""),"INSP ALARMAS-FALLAS CONTROL")</f>
        <v>INSP ALARMAS-FALLAS CONTROL</v>
      </c>
      <c r="G1006" s="5" t="b">
        <f ca="1">IFERROR(__xludf.DUMMYFUNCTION("""COMPUTED_VALUE"""),TRUE)</f>
        <v>1</v>
      </c>
      <c r="H1006" s="5"/>
      <c r="I1006" s="5"/>
      <c r="J1006" s="5">
        <f ca="1">IFERROR(__xludf.DUMMYFUNCTION("""COMPUTED_VALUE"""),13247552)</f>
        <v>13247552</v>
      </c>
      <c r="K1006" s="5"/>
      <c r="L1006" s="18">
        <f ca="1">IFERROR(__xludf.DUMMYFUNCTION("""COMPUTED_VALUE"""),45324)</f>
        <v>45324</v>
      </c>
      <c r="M1006" s="18">
        <f ca="1">IFERROR(__xludf.DUMMYFUNCTION("""COMPUTED_VALUE"""),45324)</f>
        <v>45324</v>
      </c>
      <c r="N1006" s="5" t="str">
        <f ca="1">IFERROR(__xludf.DUMMYFUNCTION("""COMPUTED_VALUE"""),"JEFFERSON BRAVO PIEDRAHITA")</f>
        <v>JEFFERSON BRAVO PIEDRAHITA</v>
      </c>
      <c r="O1006" s="2">
        <f ca="1">IFERROR(__xludf.DUMMYFUNCTION("""COMPUTED_VALUE"""),0.005263158)</f>
        <v>5.2631580000000004E-3</v>
      </c>
      <c r="P1006" s="5">
        <f ca="1">IFERROR(__xludf.DUMMYFUNCTION("""COMPUTED_VALUE"""),1130593135)</f>
        <v>1130593135</v>
      </c>
      <c r="Q1006" s="5" t="str">
        <f ca="1">IFERROR(__xludf.DUMMYFUNCTION("""COMPUTED_VALUE"""),"zO1q6Deq790")</f>
        <v>zO1q6Deq790</v>
      </c>
      <c r="R1006" s="5">
        <f ca="1">IFERROR(__xludf.DUMMYFUNCTION("""COMPUTED_VALUE"""),410)</f>
        <v>410</v>
      </c>
      <c r="S1006" s="62">
        <f ca="1">IFERROR(__xludf.DUMMYFUNCTION("""COMPUTED_VALUE"""),0.005263158)</f>
        <v>5.2631580000000004E-3</v>
      </c>
      <c r="T1006" s="63" t="str">
        <f ca="1">IFERROR(__xludf.DUMMYFUNCTION("""COMPUTED_VALUE"""),"https://storage.googleapis.com/glide-prod.appspot.com/uploads-v2/ly7o78grxPaC6KdgvbpS/pub/3aRdSog0vUtuqPE8AJKD.png")</f>
        <v>https://storage.googleapis.com/glide-prod.appspot.com/uploads-v2/ly7o78grxPaC6KdgvbpS/pub/3aRdSog0vUtuqPE8AJKD.png</v>
      </c>
      <c r="U1006" s="5" t="str">
        <f ca="1">IFERROR(__xludf.DUMMYFUNCTION("""COMPUTED_VALUE"""),"EQUIPOS PARA SERVICIOS INDUSTRIALESPLANTA ELECTRICA Nº 2")</f>
        <v>EQUIPOS PARA SERVICIOS INDUSTRIALESPLANTA ELECTRICA Nº 2</v>
      </c>
      <c r="V1006" s="5"/>
      <c r="W1006" s="5" t="b">
        <f ca="1">IFERROR(__xludf.DUMMYFUNCTION("""COMPUTED_VALUE"""),TRUE)</f>
        <v>1</v>
      </c>
      <c r="X1006" s="5" t="str">
        <f ca="1">IFERROR(__xludf.DUMMYFUNCTION("""COMPUTED_VALUE"""),"wmazorra@postobon.com.co,aprmttoyu@postobon.com.co,aprmyu@postobon.com.co,wmora@postobon.com.co,efzapata@postobon.com.co")</f>
        <v>wmazorra@postobon.com.co,aprmttoyu@postobon.com.co,aprmyu@postobon.com.co,wmora@postobon.com.co,efzapata@postobon.com.co</v>
      </c>
      <c r="Y1006" s="5" t="str">
        <f ca="1">IFERROR(__xludf.DUMMYFUNCTION("""COMPUTED_VALUE"""),"wmazorra@postobon.com.co")</f>
        <v>wmazorra@postobon.com.co</v>
      </c>
      <c r="Z1006" s="5" t="str">
        <f ca="1">IFERROR(__xludf.DUMMYFUNCTION("""COMPUTED_VALUE"""),"EKpgtmOxRc6rBB8O88ESTQ")</f>
        <v>EKpgtmOxRc6rBB8O88ESTQ</v>
      </c>
      <c r="AA1006" s="5"/>
      <c r="AB1006" s="5"/>
      <c r="AC1006" s="5"/>
      <c r="AD1006" s="5">
        <f ca="1">IFERROR(__xludf.DUMMYFUNCTION("""COMPUTED_VALUE"""),57)</f>
        <v>57</v>
      </c>
      <c r="AE1006" s="5">
        <f ca="1">IFERROR(__xludf.DUMMYFUNCTION("""COMPUTED_VALUE"""),57)</f>
        <v>57</v>
      </c>
      <c r="AF1006" s="5" t="b">
        <f ca="1">IFERROR(__xludf.DUMMYFUNCTION("""COMPUTED_VALUE"""),FALSE)</f>
        <v>0</v>
      </c>
      <c r="AG1006" s="5" t="str">
        <f ca="1">IFERROR(__xludf.DUMMYFUNCTION("""COMPUTED_VALUE"""),"INSPECCIONES REALIZADAS")</f>
        <v>INSPECCIONES REALIZADAS</v>
      </c>
      <c r="AH1006" s="5"/>
    </row>
    <row r="1007" spans="1:34">
      <c r="A1007" s="5" t="str">
        <f ca="1">IFERROR(__xludf.DUMMYFUNCTION("""COMPUTED_VALUE"""),"EQUIPOS PARA SERVICIOS INDUSTRIALES")</f>
        <v>EQUIPOS PARA SERVICIOS INDUSTRIALES</v>
      </c>
      <c r="B1007" s="5">
        <f ca="1">IFERROR(__xludf.DUMMYFUNCTION("""COMPUTED_VALUE"""),679376)</f>
        <v>679376</v>
      </c>
      <c r="C1007" s="5" t="str">
        <f ca="1">IFERROR(__xludf.DUMMYFUNCTION("""COMPUTED_VALUE"""),"PLANTA ELECTRICA Nº 2")</f>
        <v>PLANTA ELECTRICA Nº 2</v>
      </c>
      <c r="D1007" s="5">
        <f ca="1">IFERROR(__xludf.DUMMYFUNCTION("""COMPUTED_VALUE"""),13247552)</f>
        <v>13247552</v>
      </c>
      <c r="E1007" s="5" t="str">
        <f ca="1">IFERROR(__xludf.DUMMYFUNCTION("""COMPUTED_VALUE"""),"INSPECCION SEMANAL PLANTA ELECTRICA")</f>
        <v>INSPECCION SEMANAL PLANTA ELECTRICA</v>
      </c>
      <c r="F1007" s="5" t="str">
        <f ca="1">IFERROR(__xludf.DUMMYFUNCTION("""COMPUTED_VALUE"""),"INSP. TABLERO ELECTRICO/CLIMATIZADOR")</f>
        <v>INSP. TABLERO ELECTRICO/CLIMATIZADOR</v>
      </c>
      <c r="G1007" s="5" t="b">
        <f ca="1">IFERROR(__xludf.DUMMYFUNCTION("""COMPUTED_VALUE"""),TRUE)</f>
        <v>1</v>
      </c>
      <c r="H1007" s="5"/>
      <c r="I1007" s="5"/>
      <c r="J1007" s="5">
        <f ca="1">IFERROR(__xludf.DUMMYFUNCTION("""COMPUTED_VALUE"""),13247552)</f>
        <v>13247552</v>
      </c>
      <c r="K1007" s="5"/>
      <c r="L1007" s="18">
        <f ca="1">IFERROR(__xludf.DUMMYFUNCTION("""COMPUTED_VALUE"""),45324)</f>
        <v>45324</v>
      </c>
      <c r="M1007" s="18">
        <f ca="1">IFERROR(__xludf.DUMMYFUNCTION("""COMPUTED_VALUE"""),45324)</f>
        <v>45324</v>
      </c>
      <c r="N1007" s="5" t="str">
        <f ca="1">IFERROR(__xludf.DUMMYFUNCTION("""COMPUTED_VALUE"""),"JEFFERSON BRAVO PIEDRAHITA")</f>
        <v>JEFFERSON BRAVO PIEDRAHITA</v>
      </c>
      <c r="O1007" s="2">
        <f ca="1">IFERROR(__xludf.DUMMYFUNCTION("""COMPUTED_VALUE"""),0.005263158)</f>
        <v>5.2631580000000004E-3</v>
      </c>
      <c r="P1007" s="5">
        <f ca="1">IFERROR(__xludf.DUMMYFUNCTION("""COMPUTED_VALUE"""),1130593135)</f>
        <v>1130593135</v>
      </c>
      <c r="Q1007" s="5" t="str">
        <f ca="1">IFERROR(__xludf.DUMMYFUNCTION("""COMPUTED_VALUE"""),"bfN0egkShGY")</f>
        <v>bfN0egkShGY</v>
      </c>
      <c r="R1007" s="5">
        <f ca="1">IFERROR(__xludf.DUMMYFUNCTION("""COMPUTED_VALUE"""),410)</f>
        <v>410</v>
      </c>
      <c r="S1007" s="62">
        <f ca="1">IFERROR(__xludf.DUMMYFUNCTION("""COMPUTED_VALUE"""),0.005263158)</f>
        <v>5.2631580000000004E-3</v>
      </c>
      <c r="T1007" s="63" t="str">
        <f ca="1">IFERROR(__xludf.DUMMYFUNCTION("""COMPUTED_VALUE"""),"https://storage.googleapis.com/glide-prod.appspot.com/uploads-v2/ly7o78grxPaC6KdgvbpS/pub/3aRdSog0vUtuqPE8AJKD.png")</f>
        <v>https://storage.googleapis.com/glide-prod.appspot.com/uploads-v2/ly7o78grxPaC6KdgvbpS/pub/3aRdSog0vUtuqPE8AJKD.png</v>
      </c>
      <c r="U1007" s="5" t="str">
        <f ca="1">IFERROR(__xludf.DUMMYFUNCTION("""COMPUTED_VALUE"""),"EQUIPOS PARA SERVICIOS INDUSTRIALESPLANTA ELECTRICA Nº 2")</f>
        <v>EQUIPOS PARA SERVICIOS INDUSTRIALESPLANTA ELECTRICA Nº 2</v>
      </c>
      <c r="V1007" s="5"/>
      <c r="W1007" s="5" t="b">
        <f ca="1">IFERROR(__xludf.DUMMYFUNCTION("""COMPUTED_VALUE"""),TRUE)</f>
        <v>1</v>
      </c>
      <c r="X1007" s="5" t="str">
        <f ca="1">IFERROR(__xludf.DUMMYFUNCTION("""COMPUTED_VALUE"""),"wmazorra@postobon.com.co,aprmttoyu@postobon.com.co,aprmyu@postobon.com.co,wmora@postobon.com.co,efzapata@postobon.com.co")</f>
        <v>wmazorra@postobon.com.co,aprmttoyu@postobon.com.co,aprmyu@postobon.com.co,wmora@postobon.com.co,efzapata@postobon.com.co</v>
      </c>
      <c r="Y1007" s="5" t="str">
        <f ca="1">IFERROR(__xludf.DUMMYFUNCTION("""COMPUTED_VALUE"""),"wmazorra@postobon.com.co")</f>
        <v>wmazorra@postobon.com.co</v>
      </c>
      <c r="Z1007" s="5" t="str">
        <f ca="1">IFERROR(__xludf.DUMMYFUNCTION("""COMPUTED_VALUE"""),"UkswIxyyS9WmHh3cuikjLQ")</f>
        <v>UkswIxyyS9WmHh3cuikjLQ</v>
      </c>
      <c r="AA1007" s="5"/>
      <c r="AB1007" s="5"/>
      <c r="AC1007" s="5"/>
      <c r="AD1007" s="5">
        <f ca="1">IFERROR(__xludf.DUMMYFUNCTION("""COMPUTED_VALUE"""),57)</f>
        <v>57</v>
      </c>
      <c r="AE1007" s="5">
        <f ca="1">IFERROR(__xludf.DUMMYFUNCTION("""COMPUTED_VALUE"""),57)</f>
        <v>57</v>
      </c>
      <c r="AF1007" s="5" t="b">
        <f ca="1">IFERROR(__xludf.DUMMYFUNCTION("""COMPUTED_VALUE"""),FALSE)</f>
        <v>0</v>
      </c>
      <c r="AG1007" s="5" t="str">
        <f ca="1">IFERROR(__xludf.DUMMYFUNCTION("""COMPUTED_VALUE"""),"INSPECCIONES REALIZADAS")</f>
        <v>INSPECCIONES REALIZADAS</v>
      </c>
      <c r="AH1007" s="5"/>
    </row>
    <row r="1008" spans="1:34">
      <c r="A1008" s="5" t="str">
        <f ca="1">IFERROR(__xludf.DUMMYFUNCTION("""COMPUTED_VALUE"""),"LINEA DE PRODUCCION DE BOTELLONES DE 20")</f>
        <v>LINEA DE PRODUCCION DE BOTELLONES DE 20</v>
      </c>
      <c r="B1008" s="5">
        <f ca="1">IFERROR(__xludf.DUMMYFUNCTION("""COMPUTED_VALUE"""),508239)</f>
        <v>508239</v>
      </c>
      <c r="C1008" s="5" t="str">
        <f ca="1">IFERROR(__xludf.DUMMYFUNCTION("""COMPUTED_VALUE"""),"PRELAVADORA DE BOTELLONES")</f>
        <v>PRELAVADORA DE BOTELLONES</v>
      </c>
      <c r="D1008" s="5">
        <f ca="1">IFERROR(__xludf.DUMMYFUNCTION("""COMPUTED_VALUE"""),13247685)</f>
        <v>13247685</v>
      </c>
      <c r="E1008" s="5" t="str">
        <f ca="1">IFERROR(__xludf.DUMMYFUNCTION("""COMPUTED_VALUE"""),"INSPECCION SEMANAL PRELAVADORA DE BOTELL")</f>
        <v>INSPECCION SEMANAL PRELAVADORA DE BOTELL</v>
      </c>
      <c r="F1008" s="5" t="str">
        <f ca="1">IFERROR(__xludf.DUMMYFUNCTION("""COMPUTED_VALUE"""),"VERIFICAR PRESION PRELAVADO (20-30 psi)")</f>
        <v>VERIFICAR PRESION PRELAVADO (20-30 psi)</v>
      </c>
      <c r="G1008" s="5" t="b">
        <f ca="1">IFERROR(__xludf.DUMMYFUNCTION("""COMPUTED_VALUE"""),TRUE)</f>
        <v>1</v>
      </c>
      <c r="H1008" s="5"/>
      <c r="I1008" s="5"/>
      <c r="J1008" s="5"/>
      <c r="K1008" s="5"/>
      <c r="L1008" s="18">
        <f ca="1">IFERROR(__xludf.DUMMYFUNCTION("""COMPUTED_VALUE"""),45324)</f>
        <v>45324</v>
      </c>
      <c r="M1008" s="18">
        <f ca="1">IFERROR(__xludf.DUMMYFUNCTION("""COMPUTED_VALUE"""),45324)</f>
        <v>45324</v>
      </c>
      <c r="N1008" s="5" t="str">
        <f ca="1">IFERROR(__xludf.DUMMYFUNCTION("""COMPUTED_VALUE"""),"Christian Camilo Ramirez Rendón")</f>
        <v>Christian Camilo Ramirez Rendón</v>
      </c>
      <c r="O1008" s="2">
        <f ca="1">IFERROR(__xludf.DUMMYFUNCTION("""COMPUTED_VALUE"""),0.02)</f>
        <v>0.02</v>
      </c>
      <c r="P1008" s="5"/>
      <c r="Q1008" s="5" t="str">
        <f ca="1">IFERROR(__xludf.DUMMYFUNCTION("""COMPUTED_VALUE"""),"rQsqYm9NfuY")</f>
        <v>rQsqYm9NfuY</v>
      </c>
      <c r="R1008" s="5">
        <f ca="1">IFERROR(__xludf.DUMMYFUNCTION("""COMPUTED_VALUE"""),410)</f>
        <v>410</v>
      </c>
      <c r="S1008" s="62">
        <f ca="1">IFERROR(__xludf.DUMMYFUNCTION("""COMPUTED_VALUE"""),0.02)</f>
        <v>0.02</v>
      </c>
      <c r="T1008" s="63" t="str">
        <f ca="1">IFERROR(__xludf.DUMMYFUNCTION("""COMPUTED_VALUE"""),"https://storage.googleapis.com/glide-prod.appspot.com/uploads-v2/ly7o78grxPaC6KdgvbpS/pub/3aRdSog0vUtuqPE8AJKD.png")</f>
        <v>https://storage.googleapis.com/glide-prod.appspot.com/uploads-v2/ly7o78grxPaC6KdgvbpS/pub/3aRdSog0vUtuqPE8AJKD.png</v>
      </c>
      <c r="U1008" s="5" t="str">
        <f ca="1">IFERROR(__xludf.DUMMYFUNCTION("""COMPUTED_VALUE"""),"LINEA DE PRODUCCION DE BOTELLONES DE 20PRELAVADORA DE BOTELLONES")</f>
        <v>LINEA DE PRODUCCION DE BOTELLONES DE 20PRELAVADORA DE BOTELLONES</v>
      </c>
      <c r="V1008" s="5"/>
      <c r="W1008" s="5" t="b">
        <f ca="1">IFERROR(__xludf.DUMMYFUNCTION("""COMPUTED_VALUE"""),TRUE)</f>
        <v>1</v>
      </c>
      <c r="X1008" s="5" t="str">
        <f ca="1">IFERROR(__xludf.DUMMYFUNCTION("""COMPUTED_VALUE"""),"achavezi@postobon.com.co,aprmttoyu@postobon.com.co,aprmyu@postobon.com.co,wmora@postobon.com.co,efzapata@postobon.com.co")</f>
        <v>achavezi@postobon.com.co,aprmttoyu@postobon.com.co,aprmyu@postobon.com.co,wmora@postobon.com.co,efzapata@postobon.com.co</v>
      </c>
      <c r="Y1008" s="5" t="str">
        <f ca="1">IFERROR(__xludf.DUMMYFUNCTION("""COMPUTED_VALUE"""),"achavezi@postobon.com.co")</f>
        <v>achavezi@postobon.com.co</v>
      </c>
      <c r="Z1008" s="5" t="str">
        <f ca="1">IFERROR(__xludf.DUMMYFUNCTION("""COMPUTED_VALUE"""),"d3of2lAPSyKgnqqvgtOmew")</f>
        <v>d3of2lAPSyKgnqqvgtOmew</v>
      </c>
      <c r="AA1008" s="5"/>
      <c r="AB1008" s="5"/>
      <c r="AC1008" s="5"/>
      <c r="AD1008" s="5">
        <f ca="1">IFERROR(__xludf.DUMMYFUNCTION("""COMPUTED_VALUE"""),67)</f>
        <v>67</v>
      </c>
      <c r="AE1008" s="5">
        <f ca="1">IFERROR(__xludf.DUMMYFUNCTION("""COMPUTED_VALUE"""),67)</f>
        <v>67</v>
      </c>
      <c r="AF1008" s="5" t="b">
        <f ca="1">IFERROR(__xludf.DUMMYFUNCTION("""COMPUTED_VALUE"""),FALSE)</f>
        <v>0</v>
      </c>
      <c r="AG1008" s="5" t="str">
        <f ca="1">IFERROR(__xludf.DUMMYFUNCTION("""COMPUTED_VALUE"""),"INSPECCIONES REALIZADAS")</f>
        <v>INSPECCIONES REALIZADAS</v>
      </c>
      <c r="AH1008" s="5"/>
    </row>
    <row r="1009" spans="1:34">
      <c r="A1009" s="5" t="str">
        <f ca="1">IFERROR(__xludf.DUMMYFUNCTION("""COMPUTED_VALUE"""),"LINEA DE PRODUCCION DE BOTELLONES DE 20")</f>
        <v>LINEA DE PRODUCCION DE BOTELLONES DE 20</v>
      </c>
      <c r="B1009" s="5">
        <f ca="1">IFERROR(__xludf.DUMMYFUNCTION("""COMPUTED_VALUE"""),508239)</f>
        <v>508239</v>
      </c>
      <c r="C1009" s="5" t="str">
        <f ca="1">IFERROR(__xludf.DUMMYFUNCTION("""COMPUTED_VALUE"""),"PRELAVADORA DE BOTELLONES")</f>
        <v>PRELAVADORA DE BOTELLONES</v>
      </c>
      <c r="D1009" s="5">
        <f ca="1">IFERROR(__xludf.DUMMYFUNCTION("""COMPUTED_VALUE"""),13247685)</f>
        <v>13247685</v>
      </c>
      <c r="E1009" s="5" t="str">
        <f ca="1">IFERROR(__xludf.DUMMYFUNCTION("""COMPUTED_VALUE"""),"INSPECCION SEMANAL PRELAVADORA DE BOTELL")</f>
        <v>INSPECCION SEMANAL PRELAVADORA DE BOTELL</v>
      </c>
      <c r="F1009" s="5" t="str">
        <f ca="1">IFERROR(__xludf.DUMMYFUNCTION("""COMPUTED_VALUE"""),"INSP. POSICION BOQUILLAS")</f>
        <v>INSP. POSICION BOQUILLAS</v>
      </c>
      <c r="G1009" s="5" t="b">
        <f ca="1">IFERROR(__xludf.DUMMYFUNCTION("""COMPUTED_VALUE"""),TRUE)</f>
        <v>1</v>
      </c>
      <c r="H1009" s="5"/>
      <c r="I1009" s="5"/>
      <c r="J1009" s="5"/>
      <c r="K1009" s="5"/>
      <c r="L1009" s="18">
        <f ca="1">IFERROR(__xludf.DUMMYFUNCTION("""COMPUTED_VALUE"""),45324)</f>
        <v>45324</v>
      </c>
      <c r="M1009" s="18">
        <f ca="1">IFERROR(__xludf.DUMMYFUNCTION("""COMPUTED_VALUE"""),45324)</f>
        <v>45324</v>
      </c>
      <c r="N1009" s="5" t="str">
        <f ca="1">IFERROR(__xludf.DUMMYFUNCTION("""COMPUTED_VALUE"""),"Christian Camilo Ramirez Rendón")</f>
        <v>Christian Camilo Ramirez Rendón</v>
      </c>
      <c r="O1009" s="2">
        <f ca="1">IFERROR(__xludf.DUMMYFUNCTION("""COMPUTED_VALUE"""),0.02)</f>
        <v>0.02</v>
      </c>
      <c r="P1009" s="5"/>
      <c r="Q1009" s="5" t="str">
        <f ca="1">IFERROR(__xludf.DUMMYFUNCTION("""COMPUTED_VALUE"""),"e3YnhxtE8XQ")</f>
        <v>e3YnhxtE8XQ</v>
      </c>
      <c r="R1009" s="5">
        <f ca="1">IFERROR(__xludf.DUMMYFUNCTION("""COMPUTED_VALUE"""),410)</f>
        <v>410</v>
      </c>
      <c r="S1009" s="62">
        <f ca="1">IFERROR(__xludf.DUMMYFUNCTION("""COMPUTED_VALUE"""),0.02)</f>
        <v>0.02</v>
      </c>
      <c r="T1009" s="63" t="str">
        <f ca="1">IFERROR(__xludf.DUMMYFUNCTION("""COMPUTED_VALUE"""),"https://storage.googleapis.com/glide-prod.appspot.com/uploads-v2/ly7o78grxPaC6KdgvbpS/pub/3aRdSog0vUtuqPE8AJKD.png")</f>
        <v>https://storage.googleapis.com/glide-prod.appspot.com/uploads-v2/ly7o78grxPaC6KdgvbpS/pub/3aRdSog0vUtuqPE8AJKD.png</v>
      </c>
      <c r="U1009" s="5" t="str">
        <f ca="1">IFERROR(__xludf.DUMMYFUNCTION("""COMPUTED_VALUE"""),"LINEA DE PRODUCCION DE BOTELLONES DE 20PRELAVADORA DE BOTELLONES")</f>
        <v>LINEA DE PRODUCCION DE BOTELLONES DE 20PRELAVADORA DE BOTELLONES</v>
      </c>
      <c r="V1009" s="5"/>
      <c r="W1009" s="5" t="b">
        <f ca="1">IFERROR(__xludf.DUMMYFUNCTION("""COMPUTED_VALUE"""),TRUE)</f>
        <v>1</v>
      </c>
      <c r="X1009" s="5" t="str">
        <f ca="1">IFERROR(__xludf.DUMMYFUNCTION("""COMPUTED_VALUE"""),"achavezi@postobon.com.co,aprmttoyu@postobon.com.co,aprmyu@postobon.com.co,wmora@postobon.com.co,efzapata@postobon.com.co")</f>
        <v>achavezi@postobon.com.co,aprmttoyu@postobon.com.co,aprmyu@postobon.com.co,wmora@postobon.com.co,efzapata@postobon.com.co</v>
      </c>
      <c r="Y1009" s="5" t="str">
        <f ca="1">IFERROR(__xludf.DUMMYFUNCTION("""COMPUTED_VALUE"""),"achavezi@postobon.com.co")</f>
        <v>achavezi@postobon.com.co</v>
      </c>
      <c r="Z1009" s="5" t="str">
        <f ca="1">IFERROR(__xludf.DUMMYFUNCTION("""COMPUTED_VALUE"""),"XRyFxPu4SB6.4GB6cfErIQ")</f>
        <v>XRyFxPu4SB6.4GB6cfErIQ</v>
      </c>
      <c r="AA1009" s="5"/>
      <c r="AB1009" s="5"/>
      <c r="AC1009" s="5"/>
      <c r="AD1009" s="5">
        <f ca="1">IFERROR(__xludf.DUMMYFUNCTION("""COMPUTED_VALUE"""),67)</f>
        <v>67</v>
      </c>
      <c r="AE1009" s="5">
        <f ca="1">IFERROR(__xludf.DUMMYFUNCTION("""COMPUTED_VALUE"""),67)</f>
        <v>67</v>
      </c>
      <c r="AF1009" s="5" t="b">
        <f ca="1">IFERROR(__xludf.DUMMYFUNCTION("""COMPUTED_VALUE"""),FALSE)</f>
        <v>0</v>
      </c>
      <c r="AG1009" s="5" t="str">
        <f ca="1">IFERROR(__xludf.DUMMYFUNCTION("""COMPUTED_VALUE"""),"INSPECCIONES REALIZADAS")</f>
        <v>INSPECCIONES REALIZADAS</v>
      </c>
      <c r="AH1009" s="5"/>
    </row>
    <row r="1010" spans="1:34">
      <c r="A1010" s="5" t="str">
        <f ca="1">IFERROR(__xludf.DUMMYFUNCTION("""COMPUTED_VALUE"""),"LINEA DE PRODUCCION DE BOTELLONES DE 20")</f>
        <v>LINEA DE PRODUCCION DE BOTELLONES DE 20</v>
      </c>
      <c r="B1010" s="5">
        <f ca="1">IFERROR(__xludf.DUMMYFUNCTION("""COMPUTED_VALUE"""),508239)</f>
        <v>508239</v>
      </c>
      <c r="C1010" s="5" t="str">
        <f ca="1">IFERROR(__xludf.DUMMYFUNCTION("""COMPUTED_VALUE"""),"PRELAVADORA DE BOTELLONES")</f>
        <v>PRELAVADORA DE BOTELLONES</v>
      </c>
      <c r="D1010" s="5">
        <f ca="1">IFERROR(__xludf.DUMMYFUNCTION("""COMPUTED_VALUE"""),13247685)</f>
        <v>13247685</v>
      </c>
      <c r="E1010" s="5" t="str">
        <f ca="1">IFERROR(__xludf.DUMMYFUNCTION("""COMPUTED_VALUE"""),"INSPECCION SEMANAL PRELAVADORA DE BOTELL")</f>
        <v>INSPECCION SEMANAL PRELAVADORA DE BOTELL</v>
      </c>
      <c r="F1010" s="5" t="str">
        <f ca="1">IFERROR(__xludf.DUMMYFUNCTION("""COMPUTED_VALUE"""),"FUNC TRANSPORTADOR INTERNO")</f>
        <v>FUNC TRANSPORTADOR INTERNO</v>
      </c>
      <c r="G1010" s="5" t="b">
        <f ca="1">IFERROR(__xludf.DUMMYFUNCTION("""COMPUTED_VALUE"""),TRUE)</f>
        <v>1</v>
      </c>
      <c r="H1010" s="5"/>
      <c r="I1010" s="5"/>
      <c r="J1010" s="5"/>
      <c r="K1010" s="5"/>
      <c r="L1010" s="18">
        <f ca="1">IFERROR(__xludf.DUMMYFUNCTION("""COMPUTED_VALUE"""),45324)</f>
        <v>45324</v>
      </c>
      <c r="M1010" s="18">
        <f ca="1">IFERROR(__xludf.DUMMYFUNCTION("""COMPUTED_VALUE"""),45324)</f>
        <v>45324</v>
      </c>
      <c r="N1010" s="5" t="str">
        <f ca="1">IFERROR(__xludf.DUMMYFUNCTION("""COMPUTED_VALUE"""),"Christian Camilo Ramirez Rendón")</f>
        <v>Christian Camilo Ramirez Rendón</v>
      </c>
      <c r="O1010" s="2">
        <f ca="1">IFERROR(__xludf.DUMMYFUNCTION("""COMPUTED_VALUE"""),0.02)</f>
        <v>0.02</v>
      </c>
      <c r="P1010" s="5"/>
      <c r="Q1010" s="5" t="str">
        <f ca="1">IFERROR(__xludf.DUMMYFUNCTION("""COMPUTED_VALUE"""),"-gbhnY7iBkY")</f>
        <v>-gbhnY7iBkY</v>
      </c>
      <c r="R1010" s="5">
        <f ca="1">IFERROR(__xludf.DUMMYFUNCTION("""COMPUTED_VALUE"""),410)</f>
        <v>410</v>
      </c>
      <c r="S1010" s="62">
        <f ca="1">IFERROR(__xludf.DUMMYFUNCTION("""COMPUTED_VALUE"""),0.02)</f>
        <v>0.02</v>
      </c>
      <c r="T1010" s="63" t="str">
        <f ca="1">IFERROR(__xludf.DUMMYFUNCTION("""COMPUTED_VALUE"""),"https://storage.googleapis.com/glide-prod.appspot.com/uploads-v2/ly7o78grxPaC6KdgvbpS/pub/3aRdSog0vUtuqPE8AJKD.png")</f>
        <v>https://storage.googleapis.com/glide-prod.appspot.com/uploads-v2/ly7o78grxPaC6KdgvbpS/pub/3aRdSog0vUtuqPE8AJKD.png</v>
      </c>
      <c r="U1010" s="5" t="str">
        <f ca="1">IFERROR(__xludf.DUMMYFUNCTION("""COMPUTED_VALUE"""),"LINEA DE PRODUCCION DE BOTELLONES DE 20PRELAVADORA DE BOTELLONES")</f>
        <v>LINEA DE PRODUCCION DE BOTELLONES DE 20PRELAVADORA DE BOTELLONES</v>
      </c>
      <c r="V1010" s="5"/>
      <c r="W1010" s="5" t="b">
        <f ca="1">IFERROR(__xludf.DUMMYFUNCTION("""COMPUTED_VALUE"""),TRUE)</f>
        <v>1</v>
      </c>
      <c r="X1010" s="5" t="str">
        <f ca="1">IFERROR(__xludf.DUMMYFUNCTION("""COMPUTED_VALUE"""),"achavezi@postobon.com.co,aprmttoyu@postobon.com.co,aprmyu@postobon.com.co,wmora@postobon.com.co,efzapata@postobon.com.co")</f>
        <v>achavezi@postobon.com.co,aprmttoyu@postobon.com.co,aprmyu@postobon.com.co,wmora@postobon.com.co,efzapata@postobon.com.co</v>
      </c>
      <c r="Y1010" s="5" t="str">
        <f ca="1">IFERROR(__xludf.DUMMYFUNCTION("""COMPUTED_VALUE"""),"achavezi@postobon.com.co")</f>
        <v>achavezi@postobon.com.co</v>
      </c>
      <c r="Z1010" s="5" t="str">
        <f ca="1">IFERROR(__xludf.DUMMYFUNCTION("""COMPUTED_VALUE"""),"OBI6NwvYS0G.KmnliIt1Uw")</f>
        <v>OBI6NwvYS0G.KmnliIt1Uw</v>
      </c>
      <c r="AA1010" s="5"/>
      <c r="AB1010" s="5"/>
      <c r="AC1010" s="5"/>
      <c r="AD1010" s="5">
        <f ca="1">IFERROR(__xludf.DUMMYFUNCTION("""COMPUTED_VALUE"""),67)</f>
        <v>67</v>
      </c>
      <c r="AE1010" s="5">
        <f ca="1">IFERROR(__xludf.DUMMYFUNCTION("""COMPUTED_VALUE"""),67)</f>
        <v>67</v>
      </c>
      <c r="AF1010" s="5" t="b">
        <f ca="1">IFERROR(__xludf.DUMMYFUNCTION("""COMPUTED_VALUE"""),FALSE)</f>
        <v>0</v>
      </c>
      <c r="AG1010" s="5" t="str">
        <f ca="1">IFERROR(__xludf.DUMMYFUNCTION("""COMPUTED_VALUE"""),"INSPECCIONES REALIZADAS")</f>
        <v>INSPECCIONES REALIZADAS</v>
      </c>
      <c r="AH1010" s="5"/>
    </row>
    <row r="1011" spans="1:34">
      <c r="A1011" s="5" t="str">
        <f ca="1">IFERROR(__xludf.DUMMYFUNCTION("""COMPUTED_VALUE"""),"LINEA DE PRODUCCION DE BOTELLONES DE 20")</f>
        <v>LINEA DE PRODUCCION DE BOTELLONES DE 20</v>
      </c>
      <c r="B1011" s="5">
        <f ca="1">IFERROR(__xludf.DUMMYFUNCTION("""COMPUTED_VALUE"""),508239)</f>
        <v>508239</v>
      </c>
      <c r="C1011" s="5" t="str">
        <f ca="1">IFERROR(__xludf.DUMMYFUNCTION("""COMPUTED_VALUE"""),"PRELAVADORA DE BOTELLONES")</f>
        <v>PRELAVADORA DE BOTELLONES</v>
      </c>
      <c r="D1011" s="5">
        <f ca="1">IFERROR(__xludf.DUMMYFUNCTION("""COMPUTED_VALUE"""),13247685)</f>
        <v>13247685</v>
      </c>
      <c r="E1011" s="5" t="str">
        <f ca="1">IFERROR(__xludf.DUMMYFUNCTION("""COMPUTED_VALUE"""),"INSPECCION SEMANAL PRELAVADORA DE BOTELL")</f>
        <v>INSPECCION SEMANAL PRELAVADORA DE BOTELL</v>
      </c>
      <c r="F1011" s="5" t="str">
        <f ca="1">IFERROR(__xludf.DUMMYFUNCTION("""COMPUTED_VALUE"""),"FUNCIONAMIENTO BOMBA")</f>
        <v>FUNCIONAMIENTO BOMBA</v>
      </c>
      <c r="G1011" s="5" t="b">
        <f ca="1">IFERROR(__xludf.DUMMYFUNCTION("""COMPUTED_VALUE"""),TRUE)</f>
        <v>1</v>
      </c>
      <c r="H1011" s="5"/>
      <c r="I1011" s="5"/>
      <c r="J1011" s="5"/>
      <c r="K1011" s="5"/>
      <c r="L1011" s="18">
        <f ca="1">IFERROR(__xludf.DUMMYFUNCTION("""COMPUTED_VALUE"""),45324)</f>
        <v>45324</v>
      </c>
      <c r="M1011" s="18">
        <f ca="1">IFERROR(__xludf.DUMMYFUNCTION("""COMPUTED_VALUE"""),45324)</f>
        <v>45324</v>
      </c>
      <c r="N1011" s="5" t="str">
        <f ca="1">IFERROR(__xludf.DUMMYFUNCTION("""COMPUTED_VALUE"""),"Christian Camilo Ramirez Rendón")</f>
        <v>Christian Camilo Ramirez Rendón</v>
      </c>
      <c r="O1011" s="2">
        <f ca="1">IFERROR(__xludf.DUMMYFUNCTION("""COMPUTED_VALUE"""),0.02)</f>
        <v>0.02</v>
      </c>
      <c r="P1011" s="5"/>
      <c r="Q1011" s="5" t="str">
        <f ca="1">IFERROR(__xludf.DUMMYFUNCTION("""COMPUTED_VALUE"""),"ICntm5KFu_E")</f>
        <v>ICntm5KFu_E</v>
      </c>
      <c r="R1011" s="5">
        <f ca="1">IFERROR(__xludf.DUMMYFUNCTION("""COMPUTED_VALUE"""),410)</f>
        <v>410</v>
      </c>
      <c r="S1011" s="62">
        <f ca="1">IFERROR(__xludf.DUMMYFUNCTION("""COMPUTED_VALUE"""),0.02)</f>
        <v>0.02</v>
      </c>
      <c r="T1011" s="63" t="str">
        <f ca="1">IFERROR(__xludf.DUMMYFUNCTION("""COMPUTED_VALUE"""),"https://storage.googleapis.com/glide-prod.appspot.com/uploads-v2/ly7o78grxPaC6KdgvbpS/pub/3aRdSog0vUtuqPE8AJKD.png")</f>
        <v>https://storage.googleapis.com/glide-prod.appspot.com/uploads-v2/ly7o78grxPaC6KdgvbpS/pub/3aRdSog0vUtuqPE8AJKD.png</v>
      </c>
      <c r="U1011" s="5" t="str">
        <f ca="1">IFERROR(__xludf.DUMMYFUNCTION("""COMPUTED_VALUE"""),"LINEA DE PRODUCCION DE BOTELLONES DE 20PRELAVADORA DE BOTELLONES")</f>
        <v>LINEA DE PRODUCCION DE BOTELLONES DE 20PRELAVADORA DE BOTELLONES</v>
      </c>
      <c r="V1011" s="5"/>
      <c r="W1011" s="5" t="b">
        <f ca="1">IFERROR(__xludf.DUMMYFUNCTION("""COMPUTED_VALUE"""),TRUE)</f>
        <v>1</v>
      </c>
      <c r="X1011" s="5" t="str">
        <f ca="1">IFERROR(__xludf.DUMMYFUNCTION("""COMPUTED_VALUE"""),"achavezi@postobon.com.co,aprmttoyu@postobon.com.co,aprmyu@postobon.com.co,wmora@postobon.com.co,efzapata@postobon.com.co")</f>
        <v>achavezi@postobon.com.co,aprmttoyu@postobon.com.co,aprmyu@postobon.com.co,wmora@postobon.com.co,efzapata@postobon.com.co</v>
      </c>
      <c r="Y1011" s="5" t="str">
        <f ca="1">IFERROR(__xludf.DUMMYFUNCTION("""COMPUTED_VALUE"""),"achavezi@postobon.com.co")</f>
        <v>achavezi@postobon.com.co</v>
      </c>
      <c r="Z1011" s="5" t="str">
        <f ca="1">IFERROR(__xludf.DUMMYFUNCTION("""COMPUTED_VALUE"""),"bmvpjIR7Sku5DYAbCCrBoA")</f>
        <v>bmvpjIR7Sku5DYAbCCrBoA</v>
      </c>
      <c r="AA1011" s="5"/>
      <c r="AB1011" s="5"/>
      <c r="AC1011" s="5"/>
      <c r="AD1011" s="5">
        <f ca="1">IFERROR(__xludf.DUMMYFUNCTION("""COMPUTED_VALUE"""),67)</f>
        <v>67</v>
      </c>
      <c r="AE1011" s="5">
        <f ca="1">IFERROR(__xludf.DUMMYFUNCTION("""COMPUTED_VALUE"""),67)</f>
        <v>67</v>
      </c>
      <c r="AF1011" s="5" t="b">
        <f ca="1">IFERROR(__xludf.DUMMYFUNCTION("""COMPUTED_VALUE"""),FALSE)</f>
        <v>0</v>
      </c>
      <c r="AG1011" s="5" t="str">
        <f ca="1">IFERROR(__xludf.DUMMYFUNCTION("""COMPUTED_VALUE"""),"INSPECCIONES REALIZADAS")</f>
        <v>INSPECCIONES REALIZADAS</v>
      </c>
      <c r="AH1011" s="5"/>
    </row>
    <row r="1012" spans="1:34">
      <c r="A1012" s="5" t="str">
        <f ca="1">IFERROR(__xludf.DUMMYFUNCTION("""COMPUTED_VALUE"""),"LINEA DE PRODUCCION DE BOTELLONES DE 20")</f>
        <v>LINEA DE PRODUCCION DE BOTELLONES DE 20</v>
      </c>
      <c r="B1012" s="5">
        <f ca="1">IFERROR(__xludf.DUMMYFUNCTION("""COMPUTED_VALUE"""),508239)</f>
        <v>508239</v>
      </c>
      <c r="C1012" s="5" t="str">
        <f ca="1">IFERROR(__xludf.DUMMYFUNCTION("""COMPUTED_VALUE"""),"PRELAVADORA DE BOTELLONES")</f>
        <v>PRELAVADORA DE BOTELLONES</v>
      </c>
      <c r="D1012" s="5">
        <f ca="1">IFERROR(__xludf.DUMMYFUNCTION("""COMPUTED_VALUE"""),13247685)</f>
        <v>13247685</v>
      </c>
      <c r="E1012" s="5" t="str">
        <f ca="1">IFERROR(__xludf.DUMMYFUNCTION("""COMPUTED_VALUE"""),"INSPECCION SEMANAL PRELAVADORA DE BOTELL")</f>
        <v>INSPECCION SEMANAL PRELAVADORA DE BOTELL</v>
      </c>
      <c r="F1012" s="5" t="str">
        <f ca="1">IFERROR(__xludf.DUMMYFUNCTION("""COMPUTED_VALUE"""),"SENSOR DE NIVEL TANQUE")</f>
        <v>SENSOR DE NIVEL TANQUE</v>
      </c>
      <c r="G1012" s="5" t="b">
        <f ca="1">IFERROR(__xludf.DUMMYFUNCTION("""COMPUTED_VALUE"""),TRUE)</f>
        <v>1</v>
      </c>
      <c r="H1012" s="5"/>
      <c r="I1012" s="5"/>
      <c r="J1012" s="5"/>
      <c r="K1012" s="5"/>
      <c r="L1012" s="18">
        <f ca="1">IFERROR(__xludf.DUMMYFUNCTION("""COMPUTED_VALUE"""),45324)</f>
        <v>45324</v>
      </c>
      <c r="M1012" s="18">
        <f ca="1">IFERROR(__xludf.DUMMYFUNCTION("""COMPUTED_VALUE"""),45324)</f>
        <v>45324</v>
      </c>
      <c r="N1012" s="5" t="str">
        <f ca="1">IFERROR(__xludf.DUMMYFUNCTION("""COMPUTED_VALUE"""),"Christian Camilo Ramirez Rendón")</f>
        <v>Christian Camilo Ramirez Rendón</v>
      </c>
      <c r="O1012" s="2">
        <f ca="1">IFERROR(__xludf.DUMMYFUNCTION("""COMPUTED_VALUE"""),0.02)</f>
        <v>0.02</v>
      </c>
      <c r="P1012" s="5"/>
      <c r="Q1012" s="5" t="str">
        <f ca="1">IFERROR(__xludf.DUMMYFUNCTION("""COMPUTED_VALUE"""),"JX4WMm4hBeo")</f>
        <v>JX4WMm4hBeo</v>
      </c>
      <c r="R1012" s="5">
        <f ca="1">IFERROR(__xludf.DUMMYFUNCTION("""COMPUTED_VALUE"""),410)</f>
        <v>410</v>
      </c>
      <c r="S1012" s="62">
        <f ca="1">IFERROR(__xludf.DUMMYFUNCTION("""COMPUTED_VALUE"""),0.02)</f>
        <v>0.02</v>
      </c>
      <c r="T1012" s="63" t="str">
        <f ca="1">IFERROR(__xludf.DUMMYFUNCTION("""COMPUTED_VALUE"""),"https://storage.googleapis.com/glide-prod.appspot.com/uploads-v2/ly7o78grxPaC6KdgvbpS/pub/3aRdSog0vUtuqPE8AJKD.png")</f>
        <v>https://storage.googleapis.com/glide-prod.appspot.com/uploads-v2/ly7o78grxPaC6KdgvbpS/pub/3aRdSog0vUtuqPE8AJKD.png</v>
      </c>
      <c r="U1012" s="5" t="str">
        <f ca="1">IFERROR(__xludf.DUMMYFUNCTION("""COMPUTED_VALUE"""),"LINEA DE PRODUCCION DE BOTELLONES DE 20PRELAVADORA DE BOTELLONES")</f>
        <v>LINEA DE PRODUCCION DE BOTELLONES DE 20PRELAVADORA DE BOTELLONES</v>
      </c>
      <c r="V1012" s="5"/>
      <c r="W1012" s="5" t="b">
        <f ca="1">IFERROR(__xludf.DUMMYFUNCTION("""COMPUTED_VALUE"""),TRUE)</f>
        <v>1</v>
      </c>
      <c r="X1012" s="5" t="str">
        <f ca="1">IFERROR(__xludf.DUMMYFUNCTION("""COMPUTED_VALUE"""),"achavezi@postobon.com.co,aprmttoyu@postobon.com.co,aprmyu@postobon.com.co,wmora@postobon.com.co,efzapata@postobon.com.co")</f>
        <v>achavezi@postobon.com.co,aprmttoyu@postobon.com.co,aprmyu@postobon.com.co,wmora@postobon.com.co,efzapata@postobon.com.co</v>
      </c>
      <c r="Y1012" s="5" t="str">
        <f ca="1">IFERROR(__xludf.DUMMYFUNCTION("""COMPUTED_VALUE"""),"achavezi@postobon.com.co")</f>
        <v>achavezi@postobon.com.co</v>
      </c>
      <c r="Z1012" s="5" t="str">
        <f ca="1">IFERROR(__xludf.DUMMYFUNCTION("""COMPUTED_VALUE"""),"SxDy1p3uQb-7fsNPonpUvg")</f>
        <v>SxDy1p3uQb-7fsNPonpUvg</v>
      </c>
      <c r="AA1012" s="5"/>
      <c r="AB1012" s="5"/>
      <c r="AC1012" s="5"/>
      <c r="AD1012" s="5">
        <f ca="1">IFERROR(__xludf.DUMMYFUNCTION("""COMPUTED_VALUE"""),67)</f>
        <v>67</v>
      </c>
      <c r="AE1012" s="5">
        <f ca="1">IFERROR(__xludf.DUMMYFUNCTION("""COMPUTED_VALUE"""),67)</f>
        <v>67</v>
      </c>
      <c r="AF1012" s="5" t="b">
        <f ca="1">IFERROR(__xludf.DUMMYFUNCTION("""COMPUTED_VALUE"""),FALSE)</f>
        <v>0</v>
      </c>
      <c r="AG1012" s="5" t="str">
        <f ca="1">IFERROR(__xludf.DUMMYFUNCTION("""COMPUTED_VALUE"""),"INSPECCIONES REALIZADAS")</f>
        <v>INSPECCIONES REALIZADAS</v>
      </c>
      <c r="AH1012" s="5"/>
    </row>
    <row r="1013" spans="1:34">
      <c r="A1013" s="5" t="str">
        <f ca="1">IFERROR(__xludf.DUMMYFUNCTION("""COMPUTED_VALUE"""),"LINEA DE ENVASADO PET NO RETORNABLE")</f>
        <v>LINEA DE ENVASADO PET NO RETORNABLE</v>
      </c>
      <c r="B1013" s="5">
        <f ca="1">IFERROR(__xludf.DUMMYFUNCTION("""COMPUTED_VALUE"""),900230)</f>
        <v>900230</v>
      </c>
      <c r="C1013" s="5" t="str">
        <f ca="1">IFERROR(__xludf.DUMMYFUNCTION("""COMPUTED_VALUE"""),"PROCESADOR DE BEBIDA")</f>
        <v>PROCESADOR DE BEBIDA</v>
      </c>
      <c r="D1013" s="5">
        <f ca="1">IFERROR(__xludf.DUMMYFUNCTION("""COMPUTED_VALUE"""),13247836)</f>
        <v>13247836</v>
      </c>
      <c r="E1013" s="5" t="str">
        <f ca="1">IFERROR(__xludf.DUMMYFUNCTION("""COMPUTED_VALUE"""),"INSPECCION SEMANAL PROCESADOR DE BEBIDA")</f>
        <v>INSPECCION SEMANAL PROCESADOR DE BEBIDA</v>
      </c>
      <c r="F1013" s="5" t="str">
        <f ca="1">IFERROR(__xludf.DUMMYFUNCTION("""COMPUTED_VALUE"""),"ESTADO INSTRUMENTOS")</f>
        <v>ESTADO INSTRUMENTOS</v>
      </c>
      <c r="G1013" s="5" t="b">
        <f ca="1">IFERROR(__xludf.DUMMYFUNCTION("""COMPUTED_VALUE"""),TRUE)</f>
        <v>1</v>
      </c>
      <c r="H1013" s="5"/>
      <c r="I1013" s="5"/>
      <c r="J1013" s="5">
        <f ca="1">IFERROR(__xludf.DUMMYFUNCTION("""COMPUTED_VALUE"""),13247836)</f>
        <v>13247836</v>
      </c>
      <c r="K1013" s="5"/>
      <c r="L1013" s="18">
        <f ca="1">IFERROR(__xludf.DUMMYFUNCTION("""COMPUTED_VALUE"""),45325)</f>
        <v>45325</v>
      </c>
      <c r="M1013" s="18">
        <f ca="1">IFERROR(__xludf.DUMMYFUNCTION("""COMPUTED_VALUE"""),45325)</f>
        <v>45325</v>
      </c>
      <c r="N1013" s="5" t="str">
        <f ca="1">IFERROR(__xludf.DUMMYFUNCTION("""COMPUTED_VALUE"""),"Leon Narvaez Andres Felipe")</f>
        <v>Leon Narvaez Andres Felipe</v>
      </c>
      <c r="O1013" s="2">
        <f ca="1">IFERROR(__xludf.DUMMYFUNCTION("""COMPUTED_VALUE"""),0.011111111)</f>
        <v>1.1111111E-2</v>
      </c>
      <c r="P1013" s="5">
        <f ca="1">IFERROR(__xludf.DUMMYFUNCTION("""COMPUTED_VALUE"""),20009879)</f>
        <v>20009879</v>
      </c>
      <c r="Q1013" s="5" t="str">
        <f ca="1">IFERROR(__xludf.DUMMYFUNCTION("""COMPUTED_VALUE"""),"Bn1RvnNpSQg")</f>
        <v>Bn1RvnNpSQg</v>
      </c>
      <c r="R1013" s="5">
        <f ca="1">IFERROR(__xludf.DUMMYFUNCTION("""COMPUTED_VALUE"""),410)</f>
        <v>410</v>
      </c>
      <c r="S1013" s="62">
        <f ca="1">IFERROR(__xludf.DUMMYFUNCTION("""COMPUTED_VALUE"""),0.011111111)</f>
        <v>1.1111111E-2</v>
      </c>
      <c r="T1013" s="63" t="str">
        <f ca="1">IFERROR(__xludf.DUMMYFUNCTION("""COMPUTED_VALUE"""),"https://storage.googleapis.com/glide-prod.appspot.com/uploads-v2/ly7o78grxPaC6KdgvbpS/pub/3aRdSog0vUtuqPE8AJKD.png")</f>
        <v>https://storage.googleapis.com/glide-prod.appspot.com/uploads-v2/ly7o78grxPaC6KdgvbpS/pub/3aRdSog0vUtuqPE8AJKD.png</v>
      </c>
      <c r="U1013" s="5" t="str">
        <f ca="1">IFERROR(__xludf.DUMMYFUNCTION("""COMPUTED_VALUE"""),"LINEA DE ENVASADO PET NO RETORNABLEPROCESADOR DE BEBIDA")</f>
        <v>LINEA DE ENVASADO PET NO RETORNABLEPROCESADOR DE BEBIDA</v>
      </c>
      <c r="V1013" s="5"/>
      <c r="W1013" s="5" t="b">
        <f ca="1">IFERROR(__xludf.DUMMYFUNCTION("""COMPUTED_VALUE"""),TRUE)</f>
        <v>1</v>
      </c>
      <c r="X1013" s="5" t="str">
        <f ca="1">IFERROR(__xludf.DUMMYFUNCTION("""COMPUTED_VALUE"""),"wguerra@postobon.com.co,aprmttoyu@postobon.com.co,aprmyu@postobon.com.co,wmora@postobon.com.co,efzapata@postobon.com.co")</f>
        <v>wguerra@postobon.com.co,aprmttoyu@postobon.com.co,aprmyu@postobon.com.co,wmora@postobon.com.co,efzapata@postobon.com.co</v>
      </c>
      <c r="Y1013" s="5" t="str">
        <f ca="1">IFERROR(__xludf.DUMMYFUNCTION("""COMPUTED_VALUE"""),"wguerra@postobon.com.co")</f>
        <v>wguerra@postobon.com.co</v>
      </c>
      <c r="Z1013" s="5" t="str">
        <f ca="1">IFERROR(__xludf.DUMMYFUNCTION("""COMPUTED_VALUE"""),"LHU3vauESoSQ.09LeQLBMA")</f>
        <v>LHU3vauESoSQ.09LeQLBMA</v>
      </c>
      <c r="AA1013" s="5"/>
      <c r="AB1013" s="5"/>
      <c r="AC1013" s="5"/>
      <c r="AD1013" s="5">
        <f ca="1">IFERROR(__xludf.DUMMYFUNCTION("""COMPUTED_VALUE"""),25)</f>
        <v>25</v>
      </c>
      <c r="AE1013" s="5">
        <f ca="1">IFERROR(__xludf.DUMMYFUNCTION("""COMPUTED_VALUE"""),25)</f>
        <v>25</v>
      </c>
      <c r="AF1013" s="5" t="b">
        <f ca="1">IFERROR(__xludf.DUMMYFUNCTION("""COMPUTED_VALUE"""),FALSE)</f>
        <v>0</v>
      </c>
      <c r="AG1013" s="5" t="str">
        <f ca="1">IFERROR(__xludf.DUMMYFUNCTION("""COMPUTED_VALUE"""),"INSPECCIONES REALIZADAS")</f>
        <v>INSPECCIONES REALIZADAS</v>
      </c>
      <c r="AH1013" s="5"/>
    </row>
    <row r="1014" spans="1:34">
      <c r="A1014" s="5" t="str">
        <f ca="1">IFERROR(__xludf.DUMMYFUNCTION("""COMPUTED_VALUE"""),"LINEA DE ENVASADO PET NO RETORNABLE")</f>
        <v>LINEA DE ENVASADO PET NO RETORNABLE</v>
      </c>
      <c r="B1014" s="5">
        <f ca="1">IFERROR(__xludf.DUMMYFUNCTION("""COMPUTED_VALUE"""),900230)</f>
        <v>900230</v>
      </c>
      <c r="C1014" s="5" t="str">
        <f ca="1">IFERROR(__xludf.DUMMYFUNCTION("""COMPUTED_VALUE"""),"PROCESADOR DE BEBIDA")</f>
        <v>PROCESADOR DE BEBIDA</v>
      </c>
      <c r="D1014" s="5">
        <f ca="1">IFERROR(__xludf.DUMMYFUNCTION("""COMPUTED_VALUE"""),13247836)</f>
        <v>13247836</v>
      </c>
      <c r="E1014" s="5" t="str">
        <f ca="1">IFERROR(__xludf.DUMMYFUNCTION("""COMPUTED_VALUE"""),"INSPECCION SEMANAL PROCESADOR DE BEBIDA")</f>
        <v>INSPECCION SEMANAL PROCESADOR DE BEBIDA</v>
      </c>
      <c r="F1014" s="5" t="str">
        <f ca="1">IFERROR(__xludf.DUMMYFUNCTION("""COMPUTED_VALUE"""),"ESCAPES FLUIDOS(AIRE,CO2,AGUA)")</f>
        <v>ESCAPES FLUIDOS(AIRE,CO2,AGUA)</v>
      </c>
      <c r="G1014" s="5" t="b">
        <f ca="1">IFERROR(__xludf.DUMMYFUNCTION("""COMPUTED_VALUE"""),TRUE)</f>
        <v>1</v>
      </c>
      <c r="H1014" s="5"/>
      <c r="I1014" s="5"/>
      <c r="J1014" s="5">
        <f ca="1">IFERROR(__xludf.DUMMYFUNCTION("""COMPUTED_VALUE"""),13247836)</f>
        <v>13247836</v>
      </c>
      <c r="K1014" s="5"/>
      <c r="L1014" s="18">
        <f ca="1">IFERROR(__xludf.DUMMYFUNCTION("""COMPUTED_VALUE"""),45325)</f>
        <v>45325</v>
      </c>
      <c r="M1014" s="18">
        <f ca="1">IFERROR(__xludf.DUMMYFUNCTION("""COMPUTED_VALUE"""),45325)</f>
        <v>45325</v>
      </c>
      <c r="N1014" s="5" t="str">
        <f ca="1">IFERROR(__xludf.DUMMYFUNCTION("""COMPUTED_VALUE"""),"Leon Narvaez Andres Felipe")</f>
        <v>Leon Narvaez Andres Felipe</v>
      </c>
      <c r="O1014" s="2">
        <f ca="1">IFERROR(__xludf.DUMMYFUNCTION("""COMPUTED_VALUE"""),0.011111111)</f>
        <v>1.1111111E-2</v>
      </c>
      <c r="P1014" s="5">
        <f ca="1">IFERROR(__xludf.DUMMYFUNCTION("""COMPUTED_VALUE"""),20009879)</f>
        <v>20009879</v>
      </c>
      <c r="Q1014" s="5" t="str">
        <f ca="1">IFERROR(__xludf.DUMMYFUNCTION("""COMPUTED_VALUE"""),"EjoQFTFNt_0")</f>
        <v>EjoQFTFNt_0</v>
      </c>
      <c r="R1014" s="5">
        <f ca="1">IFERROR(__xludf.DUMMYFUNCTION("""COMPUTED_VALUE"""),410)</f>
        <v>410</v>
      </c>
      <c r="S1014" s="62">
        <f ca="1">IFERROR(__xludf.DUMMYFUNCTION("""COMPUTED_VALUE"""),0.011111111)</f>
        <v>1.1111111E-2</v>
      </c>
      <c r="T1014" s="63" t="str">
        <f ca="1">IFERROR(__xludf.DUMMYFUNCTION("""COMPUTED_VALUE"""),"https://storage.googleapis.com/glide-prod.appspot.com/uploads-v2/ly7o78grxPaC6KdgvbpS/pub/3aRdSog0vUtuqPE8AJKD.png")</f>
        <v>https://storage.googleapis.com/glide-prod.appspot.com/uploads-v2/ly7o78grxPaC6KdgvbpS/pub/3aRdSog0vUtuqPE8AJKD.png</v>
      </c>
      <c r="U1014" s="5" t="str">
        <f ca="1">IFERROR(__xludf.DUMMYFUNCTION("""COMPUTED_VALUE"""),"LINEA DE ENVASADO PET NO RETORNABLEPROCESADOR DE BEBIDA")</f>
        <v>LINEA DE ENVASADO PET NO RETORNABLEPROCESADOR DE BEBIDA</v>
      </c>
      <c r="V1014" s="5"/>
      <c r="W1014" s="5" t="b">
        <f ca="1">IFERROR(__xludf.DUMMYFUNCTION("""COMPUTED_VALUE"""),TRUE)</f>
        <v>1</v>
      </c>
      <c r="X1014" s="5" t="str">
        <f ca="1">IFERROR(__xludf.DUMMYFUNCTION("""COMPUTED_VALUE"""),"wguerra@postobon.com.co,aprmttoyu@postobon.com.co,aprmyu@postobon.com.co,wmora@postobon.com.co,efzapata@postobon.com.co")</f>
        <v>wguerra@postobon.com.co,aprmttoyu@postobon.com.co,aprmyu@postobon.com.co,wmora@postobon.com.co,efzapata@postobon.com.co</v>
      </c>
      <c r="Y1014" s="5" t="str">
        <f ca="1">IFERROR(__xludf.DUMMYFUNCTION("""COMPUTED_VALUE"""),"wguerra@postobon.com.co")</f>
        <v>wguerra@postobon.com.co</v>
      </c>
      <c r="Z1014" s="5" t="str">
        <f ca="1">IFERROR(__xludf.DUMMYFUNCTION("""COMPUTED_VALUE"""),"zR3-g0dVSyqHXNjeyfHZ7Q")</f>
        <v>zR3-g0dVSyqHXNjeyfHZ7Q</v>
      </c>
      <c r="AA1014" s="5"/>
      <c r="AB1014" s="5"/>
      <c r="AC1014" s="5"/>
      <c r="AD1014" s="5">
        <f ca="1">IFERROR(__xludf.DUMMYFUNCTION("""COMPUTED_VALUE"""),25)</f>
        <v>25</v>
      </c>
      <c r="AE1014" s="5">
        <f ca="1">IFERROR(__xludf.DUMMYFUNCTION("""COMPUTED_VALUE"""),25)</f>
        <v>25</v>
      </c>
      <c r="AF1014" s="5" t="b">
        <f ca="1">IFERROR(__xludf.DUMMYFUNCTION("""COMPUTED_VALUE"""),FALSE)</f>
        <v>0</v>
      </c>
      <c r="AG1014" s="5" t="str">
        <f ca="1">IFERROR(__xludf.DUMMYFUNCTION("""COMPUTED_VALUE"""),"INSPECCIONES REALIZADAS")</f>
        <v>INSPECCIONES REALIZADAS</v>
      </c>
      <c r="AH1014" s="5"/>
    </row>
    <row r="1015" spans="1:34">
      <c r="A1015" s="5" t="str">
        <f ca="1">IFERROR(__xludf.DUMMYFUNCTION("""COMPUTED_VALUE"""),"LINEA DE ENVASADO PET NO RETORNABLE")</f>
        <v>LINEA DE ENVASADO PET NO RETORNABLE</v>
      </c>
      <c r="B1015" s="5">
        <f ca="1">IFERROR(__xludf.DUMMYFUNCTION("""COMPUTED_VALUE"""),900230)</f>
        <v>900230</v>
      </c>
      <c r="C1015" s="5" t="str">
        <f ca="1">IFERROR(__xludf.DUMMYFUNCTION("""COMPUTED_VALUE"""),"PROCESADOR DE BEBIDA")</f>
        <v>PROCESADOR DE BEBIDA</v>
      </c>
      <c r="D1015" s="5">
        <f ca="1">IFERROR(__xludf.DUMMYFUNCTION("""COMPUTED_VALUE"""),13247836)</f>
        <v>13247836</v>
      </c>
      <c r="E1015" s="5" t="str">
        <f ca="1">IFERROR(__xludf.DUMMYFUNCTION("""COMPUTED_VALUE"""),"INSPECCION SEMANAL PROCESADOR DE BEBIDA")</f>
        <v>INSPECCION SEMANAL PROCESADOR DE BEBIDA</v>
      </c>
      <c r="F1015" s="5" t="str">
        <f ca="1">IFERROR(__xludf.DUMMYFUNCTION("""COMPUTED_VALUE"""),"ESTADO TUBERIA")</f>
        <v>ESTADO TUBERIA</v>
      </c>
      <c r="G1015" s="5" t="b">
        <f ca="1">IFERROR(__xludf.DUMMYFUNCTION("""COMPUTED_VALUE"""),TRUE)</f>
        <v>1</v>
      </c>
      <c r="H1015" s="5"/>
      <c r="I1015" s="5"/>
      <c r="J1015" s="5">
        <f ca="1">IFERROR(__xludf.DUMMYFUNCTION("""COMPUTED_VALUE"""),13247836)</f>
        <v>13247836</v>
      </c>
      <c r="K1015" s="5"/>
      <c r="L1015" s="18">
        <f ca="1">IFERROR(__xludf.DUMMYFUNCTION("""COMPUTED_VALUE"""),45325)</f>
        <v>45325</v>
      </c>
      <c r="M1015" s="18">
        <f ca="1">IFERROR(__xludf.DUMMYFUNCTION("""COMPUTED_VALUE"""),45325)</f>
        <v>45325</v>
      </c>
      <c r="N1015" s="5" t="str">
        <f ca="1">IFERROR(__xludf.DUMMYFUNCTION("""COMPUTED_VALUE"""),"Leon Narvaez Andres Felipe")</f>
        <v>Leon Narvaez Andres Felipe</v>
      </c>
      <c r="O1015" s="2">
        <f ca="1">IFERROR(__xludf.DUMMYFUNCTION("""COMPUTED_VALUE"""),0.011111111)</f>
        <v>1.1111111E-2</v>
      </c>
      <c r="P1015" s="5">
        <f ca="1">IFERROR(__xludf.DUMMYFUNCTION("""COMPUTED_VALUE"""),20009879)</f>
        <v>20009879</v>
      </c>
      <c r="Q1015" s="5" t="str">
        <f ca="1">IFERROR(__xludf.DUMMYFUNCTION("""COMPUTED_VALUE"""),"YUb86BJtGrU")</f>
        <v>YUb86BJtGrU</v>
      </c>
      <c r="R1015" s="5">
        <f ca="1">IFERROR(__xludf.DUMMYFUNCTION("""COMPUTED_VALUE"""),410)</f>
        <v>410</v>
      </c>
      <c r="S1015" s="62">
        <f ca="1">IFERROR(__xludf.DUMMYFUNCTION("""COMPUTED_VALUE"""),0.011111111)</f>
        <v>1.1111111E-2</v>
      </c>
      <c r="T1015" s="63" t="str">
        <f ca="1">IFERROR(__xludf.DUMMYFUNCTION("""COMPUTED_VALUE"""),"https://storage.googleapis.com/glide-prod.appspot.com/uploads-v2/ly7o78grxPaC6KdgvbpS/pub/3aRdSog0vUtuqPE8AJKD.png")</f>
        <v>https://storage.googleapis.com/glide-prod.appspot.com/uploads-v2/ly7o78grxPaC6KdgvbpS/pub/3aRdSog0vUtuqPE8AJKD.png</v>
      </c>
      <c r="U1015" s="5" t="str">
        <f ca="1">IFERROR(__xludf.DUMMYFUNCTION("""COMPUTED_VALUE"""),"LINEA DE ENVASADO PET NO RETORNABLEPROCESADOR DE BEBIDA")</f>
        <v>LINEA DE ENVASADO PET NO RETORNABLEPROCESADOR DE BEBIDA</v>
      </c>
      <c r="V1015" s="5"/>
      <c r="W1015" s="5" t="b">
        <f ca="1">IFERROR(__xludf.DUMMYFUNCTION("""COMPUTED_VALUE"""),TRUE)</f>
        <v>1</v>
      </c>
      <c r="X1015" s="5" t="str">
        <f ca="1">IFERROR(__xludf.DUMMYFUNCTION("""COMPUTED_VALUE"""),"wguerra@postobon.com.co,aprmttoyu@postobon.com.co,aprmyu@postobon.com.co,wmora@postobon.com.co,efzapata@postobon.com.co")</f>
        <v>wguerra@postobon.com.co,aprmttoyu@postobon.com.co,aprmyu@postobon.com.co,wmora@postobon.com.co,efzapata@postobon.com.co</v>
      </c>
      <c r="Y1015" s="5" t="str">
        <f ca="1">IFERROR(__xludf.DUMMYFUNCTION("""COMPUTED_VALUE"""),"wguerra@postobon.com.co")</f>
        <v>wguerra@postobon.com.co</v>
      </c>
      <c r="Z1015" s="5" t="str">
        <f ca="1">IFERROR(__xludf.DUMMYFUNCTION("""COMPUTED_VALUE"""),"kV23ScL-QNOLyffCuzuIFg")</f>
        <v>kV23ScL-QNOLyffCuzuIFg</v>
      </c>
      <c r="AA1015" s="5"/>
      <c r="AB1015" s="5"/>
      <c r="AC1015" s="5"/>
      <c r="AD1015" s="5">
        <f ca="1">IFERROR(__xludf.DUMMYFUNCTION("""COMPUTED_VALUE"""),25)</f>
        <v>25</v>
      </c>
      <c r="AE1015" s="5">
        <f ca="1">IFERROR(__xludf.DUMMYFUNCTION("""COMPUTED_VALUE"""),25)</f>
        <v>25</v>
      </c>
      <c r="AF1015" s="5" t="b">
        <f ca="1">IFERROR(__xludf.DUMMYFUNCTION("""COMPUTED_VALUE"""),FALSE)</f>
        <v>0</v>
      </c>
      <c r="AG1015" s="5" t="str">
        <f ca="1">IFERROR(__xludf.DUMMYFUNCTION("""COMPUTED_VALUE"""),"INSPECCIONES REALIZADAS")</f>
        <v>INSPECCIONES REALIZADAS</v>
      </c>
      <c r="AH1015" s="5"/>
    </row>
    <row r="1016" spans="1:34">
      <c r="A1016" s="5" t="str">
        <f ca="1">IFERROR(__xludf.DUMMYFUNCTION("""COMPUTED_VALUE"""),"LINEA DE ENVASADO PET NO RETORNABLE")</f>
        <v>LINEA DE ENVASADO PET NO RETORNABLE</v>
      </c>
      <c r="B1016" s="5">
        <f ca="1">IFERROR(__xludf.DUMMYFUNCTION("""COMPUTED_VALUE"""),900230)</f>
        <v>900230</v>
      </c>
      <c r="C1016" s="5" t="str">
        <f ca="1">IFERROR(__xludf.DUMMYFUNCTION("""COMPUTED_VALUE"""),"PROCESADOR DE BEBIDA")</f>
        <v>PROCESADOR DE BEBIDA</v>
      </c>
      <c r="D1016" s="5">
        <f ca="1">IFERROR(__xludf.DUMMYFUNCTION("""COMPUTED_VALUE"""),13247836)</f>
        <v>13247836</v>
      </c>
      <c r="E1016" s="5" t="str">
        <f ca="1">IFERROR(__xludf.DUMMYFUNCTION("""COMPUTED_VALUE"""),"INSPECCION SEMANAL PROCESADOR DE BEBIDA")</f>
        <v>INSPECCION SEMANAL PROCESADOR DE BEBIDA</v>
      </c>
      <c r="F1016" s="5" t="str">
        <f ca="1">IFERROR(__xludf.DUMMYFUNCTION("""COMPUTED_VALUE"""),"ESTADO DE BOMBAS")</f>
        <v>ESTADO DE BOMBAS</v>
      </c>
      <c r="G1016" s="5" t="b">
        <f ca="1">IFERROR(__xludf.DUMMYFUNCTION("""COMPUTED_VALUE"""),TRUE)</f>
        <v>1</v>
      </c>
      <c r="H1016" s="5"/>
      <c r="I1016" s="5"/>
      <c r="J1016" s="5">
        <f ca="1">IFERROR(__xludf.DUMMYFUNCTION("""COMPUTED_VALUE"""),13247836)</f>
        <v>13247836</v>
      </c>
      <c r="K1016" s="5"/>
      <c r="L1016" s="18">
        <f ca="1">IFERROR(__xludf.DUMMYFUNCTION("""COMPUTED_VALUE"""),45325)</f>
        <v>45325</v>
      </c>
      <c r="M1016" s="18">
        <f ca="1">IFERROR(__xludf.DUMMYFUNCTION("""COMPUTED_VALUE"""),45325)</f>
        <v>45325</v>
      </c>
      <c r="N1016" s="5" t="str">
        <f ca="1">IFERROR(__xludf.DUMMYFUNCTION("""COMPUTED_VALUE"""),"Leon Narvaez Andres Felipe")</f>
        <v>Leon Narvaez Andres Felipe</v>
      </c>
      <c r="O1016" s="2">
        <f ca="1">IFERROR(__xludf.DUMMYFUNCTION("""COMPUTED_VALUE"""),0.011111111)</f>
        <v>1.1111111E-2</v>
      </c>
      <c r="P1016" s="5">
        <f ca="1">IFERROR(__xludf.DUMMYFUNCTION("""COMPUTED_VALUE"""),20009879)</f>
        <v>20009879</v>
      </c>
      <c r="Q1016" s="5" t="str">
        <f ca="1">IFERROR(__xludf.DUMMYFUNCTION("""COMPUTED_VALUE"""),"c1f1qIdOzKg")</f>
        <v>c1f1qIdOzKg</v>
      </c>
      <c r="R1016" s="5">
        <f ca="1">IFERROR(__xludf.DUMMYFUNCTION("""COMPUTED_VALUE"""),410)</f>
        <v>410</v>
      </c>
      <c r="S1016" s="62">
        <f ca="1">IFERROR(__xludf.DUMMYFUNCTION("""COMPUTED_VALUE"""),0.011111111)</f>
        <v>1.1111111E-2</v>
      </c>
      <c r="T1016" s="63" t="str">
        <f ca="1">IFERROR(__xludf.DUMMYFUNCTION("""COMPUTED_VALUE"""),"https://storage.googleapis.com/glide-prod.appspot.com/uploads-v2/ly7o78grxPaC6KdgvbpS/pub/3aRdSog0vUtuqPE8AJKD.png")</f>
        <v>https://storage.googleapis.com/glide-prod.appspot.com/uploads-v2/ly7o78grxPaC6KdgvbpS/pub/3aRdSog0vUtuqPE8AJKD.png</v>
      </c>
      <c r="U1016" s="5" t="str">
        <f ca="1">IFERROR(__xludf.DUMMYFUNCTION("""COMPUTED_VALUE"""),"LINEA DE ENVASADO PET NO RETORNABLEPROCESADOR DE BEBIDA")</f>
        <v>LINEA DE ENVASADO PET NO RETORNABLEPROCESADOR DE BEBIDA</v>
      </c>
      <c r="V1016" s="5"/>
      <c r="W1016" s="5" t="b">
        <f ca="1">IFERROR(__xludf.DUMMYFUNCTION("""COMPUTED_VALUE"""),TRUE)</f>
        <v>1</v>
      </c>
      <c r="X1016" s="5" t="str">
        <f ca="1">IFERROR(__xludf.DUMMYFUNCTION("""COMPUTED_VALUE"""),"wguerra@postobon.com.co,aprmttoyu@postobon.com.co,aprmyu@postobon.com.co,wmora@postobon.com.co,efzapata@postobon.com.co")</f>
        <v>wguerra@postobon.com.co,aprmttoyu@postobon.com.co,aprmyu@postobon.com.co,wmora@postobon.com.co,efzapata@postobon.com.co</v>
      </c>
      <c r="Y1016" s="5" t="str">
        <f ca="1">IFERROR(__xludf.DUMMYFUNCTION("""COMPUTED_VALUE"""),"wguerra@postobon.com.co")</f>
        <v>wguerra@postobon.com.co</v>
      </c>
      <c r="Z1016" s="5" t="str">
        <f ca="1">IFERROR(__xludf.DUMMYFUNCTION("""COMPUTED_VALUE"""),"xer1radVRmaTu4N0eh0oAA")</f>
        <v>xer1radVRmaTu4N0eh0oAA</v>
      </c>
      <c r="AA1016" s="5"/>
      <c r="AB1016" s="5"/>
      <c r="AC1016" s="5"/>
      <c r="AD1016" s="5">
        <f ca="1">IFERROR(__xludf.DUMMYFUNCTION("""COMPUTED_VALUE"""),25)</f>
        <v>25</v>
      </c>
      <c r="AE1016" s="5">
        <f ca="1">IFERROR(__xludf.DUMMYFUNCTION("""COMPUTED_VALUE"""),25)</f>
        <v>25</v>
      </c>
      <c r="AF1016" s="5" t="b">
        <f ca="1">IFERROR(__xludf.DUMMYFUNCTION("""COMPUTED_VALUE"""),FALSE)</f>
        <v>0</v>
      </c>
      <c r="AG1016" s="5" t="str">
        <f ca="1">IFERROR(__xludf.DUMMYFUNCTION("""COMPUTED_VALUE"""),"INSPECCIONES REALIZADAS")</f>
        <v>INSPECCIONES REALIZADAS</v>
      </c>
      <c r="AH1016" s="5"/>
    </row>
    <row r="1017" spans="1:34">
      <c r="A1017" s="5" t="str">
        <f ca="1">IFERROR(__xludf.DUMMYFUNCTION("""COMPUTED_VALUE"""),"LINEA DE ENVASADO PET NO RETORNABLE")</f>
        <v>LINEA DE ENVASADO PET NO RETORNABLE</v>
      </c>
      <c r="B1017" s="5">
        <f ca="1">IFERROR(__xludf.DUMMYFUNCTION("""COMPUTED_VALUE"""),900230)</f>
        <v>900230</v>
      </c>
      <c r="C1017" s="5" t="str">
        <f ca="1">IFERROR(__xludf.DUMMYFUNCTION("""COMPUTED_VALUE"""),"PROCESADOR DE BEBIDA")</f>
        <v>PROCESADOR DE BEBIDA</v>
      </c>
      <c r="D1017" s="5">
        <f ca="1">IFERROR(__xludf.DUMMYFUNCTION("""COMPUTED_VALUE"""),13247836)</f>
        <v>13247836</v>
      </c>
      <c r="E1017" s="5" t="str">
        <f ca="1">IFERROR(__xludf.DUMMYFUNCTION("""COMPUTED_VALUE"""),"INSPECCION SEMANAL PROCESADOR DE BEBIDA")</f>
        <v>INSPECCION SEMANAL PROCESADOR DE BEBIDA</v>
      </c>
      <c r="F1017" s="5" t="str">
        <f ca="1">IFERROR(__xludf.DUMMYFUNCTION("""COMPUTED_VALUE"""),"ESTADO INTERFAZ VISUAL CONTROL")</f>
        <v>ESTADO INTERFAZ VISUAL CONTROL</v>
      </c>
      <c r="G1017" s="5" t="b">
        <f ca="1">IFERROR(__xludf.DUMMYFUNCTION("""COMPUTED_VALUE"""),TRUE)</f>
        <v>1</v>
      </c>
      <c r="H1017" s="5"/>
      <c r="I1017" s="5"/>
      <c r="J1017" s="5">
        <f ca="1">IFERROR(__xludf.DUMMYFUNCTION("""COMPUTED_VALUE"""),13247836)</f>
        <v>13247836</v>
      </c>
      <c r="K1017" s="5"/>
      <c r="L1017" s="18">
        <f ca="1">IFERROR(__xludf.DUMMYFUNCTION("""COMPUTED_VALUE"""),45325)</f>
        <v>45325</v>
      </c>
      <c r="M1017" s="18">
        <f ca="1">IFERROR(__xludf.DUMMYFUNCTION("""COMPUTED_VALUE"""),45325)</f>
        <v>45325</v>
      </c>
      <c r="N1017" s="5" t="str">
        <f ca="1">IFERROR(__xludf.DUMMYFUNCTION("""COMPUTED_VALUE"""),"Leon Narvaez Andres Felipe")</f>
        <v>Leon Narvaez Andres Felipe</v>
      </c>
      <c r="O1017" s="2">
        <f ca="1">IFERROR(__xludf.DUMMYFUNCTION("""COMPUTED_VALUE"""),0.011111111)</f>
        <v>1.1111111E-2</v>
      </c>
      <c r="P1017" s="5">
        <f ca="1">IFERROR(__xludf.DUMMYFUNCTION("""COMPUTED_VALUE"""),20009879)</f>
        <v>20009879</v>
      </c>
      <c r="Q1017" s="5" t="str">
        <f ca="1">IFERROR(__xludf.DUMMYFUNCTION("""COMPUTED_VALUE"""),"zshhYW4gjyQ")</f>
        <v>zshhYW4gjyQ</v>
      </c>
      <c r="R1017" s="5">
        <f ca="1">IFERROR(__xludf.DUMMYFUNCTION("""COMPUTED_VALUE"""),410)</f>
        <v>410</v>
      </c>
      <c r="S1017" s="62">
        <f ca="1">IFERROR(__xludf.DUMMYFUNCTION("""COMPUTED_VALUE"""),0.011111111)</f>
        <v>1.1111111E-2</v>
      </c>
      <c r="T1017" s="63" t="str">
        <f ca="1">IFERROR(__xludf.DUMMYFUNCTION("""COMPUTED_VALUE"""),"https://storage.googleapis.com/glide-prod.appspot.com/uploads-v2/ly7o78grxPaC6KdgvbpS/pub/3aRdSog0vUtuqPE8AJKD.png")</f>
        <v>https://storage.googleapis.com/glide-prod.appspot.com/uploads-v2/ly7o78grxPaC6KdgvbpS/pub/3aRdSog0vUtuqPE8AJKD.png</v>
      </c>
      <c r="U1017" s="5" t="str">
        <f ca="1">IFERROR(__xludf.DUMMYFUNCTION("""COMPUTED_VALUE"""),"LINEA DE ENVASADO PET NO RETORNABLEPROCESADOR DE BEBIDA")</f>
        <v>LINEA DE ENVASADO PET NO RETORNABLEPROCESADOR DE BEBIDA</v>
      </c>
      <c r="V1017" s="5"/>
      <c r="W1017" s="5" t="b">
        <f ca="1">IFERROR(__xludf.DUMMYFUNCTION("""COMPUTED_VALUE"""),TRUE)</f>
        <v>1</v>
      </c>
      <c r="X1017" s="5" t="str">
        <f ca="1">IFERROR(__xludf.DUMMYFUNCTION("""COMPUTED_VALUE"""),"wguerra@postobon.com.co,aprmttoyu@postobon.com.co,aprmyu@postobon.com.co,wmora@postobon.com.co,efzapata@postobon.com.co")</f>
        <v>wguerra@postobon.com.co,aprmttoyu@postobon.com.co,aprmyu@postobon.com.co,wmora@postobon.com.co,efzapata@postobon.com.co</v>
      </c>
      <c r="Y1017" s="5" t="str">
        <f ca="1">IFERROR(__xludf.DUMMYFUNCTION("""COMPUTED_VALUE"""),"wguerra@postobon.com.co")</f>
        <v>wguerra@postobon.com.co</v>
      </c>
      <c r="Z1017" s="5" t="str">
        <f ca="1">IFERROR(__xludf.DUMMYFUNCTION("""COMPUTED_VALUE"""),"toHghAIhSDeZmTWE4GuQgg")</f>
        <v>toHghAIhSDeZmTWE4GuQgg</v>
      </c>
      <c r="AA1017" s="5"/>
      <c r="AB1017" s="5"/>
      <c r="AC1017" s="5"/>
      <c r="AD1017" s="5">
        <f ca="1">IFERROR(__xludf.DUMMYFUNCTION("""COMPUTED_VALUE"""),25)</f>
        <v>25</v>
      </c>
      <c r="AE1017" s="5">
        <f ca="1">IFERROR(__xludf.DUMMYFUNCTION("""COMPUTED_VALUE"""),25)</f>
        <v>25</v>
      </c>
      <c r="AF1017" s="5" t="b">
        <f ca="1">IFERROR(__xludf.DUMMYFUNCTION("""COMPUTED_VALUE"""),FALSE)</f>
        <v>0</v>
      </c>
      <c r="AG1017" s="5" t="str">
        <f ca="1">IFERROR(__xludf.DUMMYFUNCTION("""COMPUTED_VALUE"""),"INSPECCIONES REALIZADAS")</f>
        <v>INSPECCIONES REALIZADAS</v>
      </c>
      <c r="AH1017" s="5"/>
    </row>
    <row r="1018" spans="1:34">
      <c r="A1018" s="5" t="str">
        <f ca="1">IFERROR(__xludf.DUMMYFUNCTION("""COMPUTED_VALUE"""),"LINEA DE ENVASADO PET NO RETORNABLE")</f>
        <v>LINEA DE ENVASADO PET NO RETORNABLE</v>
      </c>
      <c r="B1018" s="5">
        <f ca="1">IFERROR(__xludf.DUMMYFUNCTION("""COMPUTED_VALUE"""),900230)</f>
        <v>900230</v>
      </c>
      <c r="C1018" s="5" t="str">
        <f ca="1">IFERROR(__xludf.DUMMYFUNCTION("""COMPUTED_VALUE"""),"PROCESADOR DE BEBIDA")</f>
        <v>PROCESADOR DE BEBIDA</v>
      </c>
      <c r="D1018" s="5">
        <f ca="1">IFERROR(__xludf.DUMMYFUNCTION("""COMPUTED_VALUE"""),13247836)</f>
        <v>13247836</v>
      </c>
      <c r="E1018" s="5" t="str">
        <f ca="1">IFERROR(__xludf.DUMMYFUNCTION("""COMPUTED_VALUE"""),"INSPECCION SEMANAL PROCESADOR DE BEBIDA")</f>
        <v>INSPECCION SEMANAL PROCESADOR DE BEBIDA</v>
      </c>
      <c r="F1018" s="5" t="str">
        <f ca="1">IFERROR(__xludf.DUMMYFUNCTION("""COMPUTED_VALUE"""),"INSP INTERCAMBIADOR Y REJILLA AIRE")</f>
        <v>INSP INTERCAMBIADOR Y REJILLA AIRE</v>
      </c>
      <c r="G1018" s="5" t="b">
        <f ca="1">IFERROR(__xludf.DUMMYFUNCTION("""COMPUTED_VALUE"""),TRUE)</f>
        <v>1</v>
      </c>
      <c r="H1018" s="5"/>
      <c r="I1018" s="5"/>
      <c r="J1018" s="5">
        <f ca="1">IFERROR(__xludf.DUMMYFUNCTION("""COMPUTED_VALUE"""),13247836)</f>
        <v>13247836</v>
      </c>
      <c r="K1018" s="5"/>
      <c r="L1018" s="18">
        <f ca="1">IFERROR(__xludf.DUMMYFUNCTION("""COMPUTED_VALUE"""),45325)</f>
        <v>45325</v>
      </c>
      <c r="M1018" s="18">
        <f ca="1">IFERROR(__xludf.DUMMYFUNCTION("""COMPUTED_VALUE"""),45325)</f>
        <v>45325</v>
      </c>
      <c r="N1018" s="5" t="str">
        <f ca="1">IFERROR(__xludf.DUMMYFUNCTION("""COMPUTED_VALUE"""),"Leon Narvaez Andres Felipe")</f>
        <v>Leon Narvaez Andres Felipe</v>
      </c>
      <c r="O1018" s="2">
        <f ca="1">IFERROR(__xludf.DUMMYFUNCTION("""COMPUTED_VALUE"""),0.011111111)</f>
        <v>1.1111111E-2</v>
      </c>
      <c r="P1018" s="5">
        <f ca="1">IFERROR(__xludf.DUMMYFUNCTION("""COMPUTED_VALUE"""),20009879)</f>
        <v>20009879</v>
      </c>
      <c r="Q1018" s="5" t="str">
        <f ca="1">IFERROR(__xludf.DUMMYFUNCTION("""COMPUTED_VALUE"""),"dKIlC-ZGw7o")</f>
        <v>dKIlC-ZGw7o</v>
      </c>
      <c r="R1018" s="5">
        <f ca="1">IFERROR(__xludf.DUMMYFUNCTION("""COMPUTED_VALUE"""),410)</f>
        <v>410</v>
      </c>
      <c r="S1018" s="62">
        <f ca="1">IFERROR(__xludf.DUMMYFUNCTION("""COMPUTED_VALUE"""),0.011111111)</f>
        <v>1.1111111E-2</v>
      </c>
      <c r="T1018" s="63" t="str">
        <f ca="1">IFERROR(__xludf.DUMMYFUNCTION("""COMPUTED_VALUE"""),"https://storage.googleapis.com/glide-prod.appspot.com/uploads-v2/ly7o78grxPaC6KdgvbpS/pub/3aRdSog0vUtuqPE8AJKD.png")</f>
        <v>https://storage.googleapis.com/glide-prod.appspot.com/uploads-v2/ly7o78grxPaC6KdgvbpS/pub/3aRdSog0vUtuqPE8AJKD.png</v>
      </c>
      <c r="U1018" s="5" t="str">
        <f ca="1">IFERROR(__xludf.DUMMYFUNCTION("""COMPUTED_VALUE"""),"LINEA DE ENVASADO PET NO RETORNABLEPROCESADOR DE BEBIDA")</f>
        <v>LINEA DE ENVASADO PET NO RETORNABLEPROCESADOR DE BEBIDA</v>
      </c>
      <c r="V1018" s="5"/>
      <c r="W1018" s="5" t="b">
        <f ca="1">IFERROR(__xludf.DUMMYFUNCTION("""COMPUTED_VALUE"""),TRUE)</f>
        <v>1</v>
      </c>
      <c r="X1018" s="5" t="str">
        <f ca="1">IFERROR(__xludf.DUMMYFUNCTION("""COMPUTED_VALUE"""),"wguerra@postobon.com.co,aprmttoyu@postobon.com.co,aprmyu@postobon.com.co,wmora@postobon.com.co,efzapata@postobon.com.co")</f>
        <v>wguerra@postobon.com.co,aprmttoyu@postobon.com.co,aprmyu@postobon.com.co,wmora@postobon.com.co,efzapata@postobon.com.co</v>
      </c>
      <c r="Y1018" s="5" t="str">
        <f ca="1">IFERROR(__xludf.DUMMYFUNCTION("""COMPUTED_VALUE"""),"wguerra@postobon.com.co")</f>
        <v>wguerra@postobon.com.co</v>
      </c>
      <c r="Z1018" s="5" t="str">
        <f ca="1">IFERROR(__xludf.DUMMYFUNCTION("""COMPUTED_VALUE"""),"ZXoAHgCnRGyoeOcxFyTymg")</f>
        <v>ZXoAHgCnRGyoeOcxFyTymg</v>
      </c>
      <c r="AA1018" s="5"/>
      <c r="AB1018" s="5"/>
      <c r="AC1018" s="5"/>
      <c r="AD1018" s="5">
        <f ca="1">IFERROR(__xludf.DUMMYFUNCTION("""COMPUTED_VALUE"""),25)</f>
        <v>25</v>
      </c>
      <c r="AE1018" s="5">
        <f ca="1">IFERROR(__xludf.DUMMYFUNCTION("""COMPUTED_VALUE"""),25)</f>
        <v>25</v>
      </c>
      <c r="AF1018" s="5" t="b">
        <f ca="1">IFERROR(__xludf.DUMMYFUNCTION("""COMPUTED_VALUE"""),FALSE)</f>
        <v>0</v>
      </c>
      <c r="AG1018" s="5" t="str">
        <f ca="1">IFERROR(__xludf.DUMMYFUNCTION("""COMPUTED_VALUE"""),"INSPECCIONES REALIZADAS")</f>
        <v>INSPECCIONES REALIZADAS</v>
      </c>
      <c r="AH1018" s="5"/>
    </row>
    <row r="1019" spans="1:34">
      <c r="A1019" s="5" t="str">
        <f ca="1">IFERROR(__xludf.DUMMYFUNCTION("""COMPUTED_VALUE"""),"LINEA DE ENVASADO PET NO RETORNABLE")</f>
        <v>LINEA DE ENVASADO PET NO RETORNABLE</v>
      </c>
      <c r="B1019" s="5">
        <f ca="1">IFERROR(__xludf.DUMMYFUNCTION("""COMPUTED_VALUE"""),900230)</f>
        <v>900230</v>
      </c>
      <c r="C1019" s="5" t="str">
        <f ca="1">IFERROR(__xludf.DUMMYFUNCTION("""COMPUTED_VALUE"""),"PROCESADOR DE BEBIDA")</f>
        <v>PROCESADOR DE BEBIDA</v>
      </c>
      <c r="D1019" s="5">
        <f ca="1">IFERROR(__xludf.DUMMYFUNCTION("""COMPUTED_VALUE"""),13247836)</f>
        <v>13247836</v>
      </c>
      <c r="E1019" s="5" t="str">
        <f ca="1">IFERROR(__xludf.DUMMYFUNCTION("""COMPUTED_VALUE"""),"INSPECCION SEMANAL PROCESADOR DE BEBIDA")</f>
        <v>INSPECCION SEMANAL PROCESADOR DE BEBIDA</v>
      </c>
      <c r="F1019" s="5" t="str">
        <f ca="1">IFERROR(__xludf.DUMMYFUNCTION("""COMPUTED_VALUE"""),"PRESION AIRE DE TRABAJO")</f>
        <v>PRESION AIRE DE TRABAJO</v>
      </c>
      <c r="G1019" s="5" t="b">
        <f ca="1">IFERROR(__xludf.DUMMYFUNCTION("""COMPUTED_VALUE"""),TRUE)</f>
        <v>1</v>
      </c>
      <c r="H1019" s="5"/>
      <c r="I1019" s="5"/>
      <c r="J1019" s="5">
        <f ca="1">IFERROR(__xludf.DUMMYFUNCTION("""COMPUTED_VALUE"""),13247836)</f>
        <v>13247836</v>
      </c>
      <c r="K1019" s="5"/>
      <c r="L1019" s="18">
        <f ca="1">IFERROR(__xludf.DUMMYFUNCTION("""COMPUTED_VALUE"""),45325)</f>
        <v>45325</v>
      </c>
      <c r="M1019" s="18">
        <f ca="1">IFERROR(__xludf.DUMMYFUNCTION("""COMPUTED_VALUE"""),45325)</f>
        <v>45325</v>
      </c>
      <c r="N1019" s="5" t="str">
        <f ca="1">IFERROR(__xludf.DUMMYFUNCTION("""COMPUTED_VALUE"""),"Leon Narvaez Andres Felipe")</f>
        <v>Leon Narvaez Andres Felipe</v>
      </c>
      <c r="O1019" s="2">
        <f ca="1">IFERROR(__xludf.DUMMYFUNCTION("""COMPUTED_VALUE"""),0.011111111)</f>
        <v>1.1111111E-2</v>
      </c>
      <c r="P1019" s="5">
        <f ca="1">IFERROR(__xludf.DUMMYFUNCTION("""COMPUTED_VALUE"""),20009879)</f>
        <v>20009879</v>
      </c>
      <c r="Q1019" s="5" t="str">
        <f ca="1">IFERROR(__xludf.DUMMYFUNCTION("""COMPUTED_VALUE"""),"bJIDB_5InMY")</f>
        <v>bJIDB_5InMY</v>
      </c>
      <c r="R1019" s="5">
        <f ca="1">IFERROR(__xludf.DUMMYFUNCTION("""COMPUTED_VALUE"""),410)</f>
        <v>410</v>
      </c>
      <c r="S1019" s="62">
        <f ca="1">IFERROR(__xludf.DUMMYFUNCTION("""COMPUTED_VALUE"""),0.011111111)</f>
        <v>1.1111111E-2</v>
      </c>
      <c r="T1019" s="63" t="str">
        <f ca="1">IFERROR(__xludf.DUMMYFUNCTION("""COMPUTED_VALUE"""),"https://storage.googleapis.com/glide-prod.appspot.com/uploads-v2/ly7o78grxPaC6KdgvbpS/pub/3aRdSog0vUtuqPE8AJKD.png")</f>
        <v>https://storage.googleapis.com/glide-prod.appspot.com/uploads-v2/ly7o78grxPaC6KdgvbpS/pub/3aRdSog0vUtuqPE8AJKD.png</v>
      </c>
      <c r="U1019" s="5" t="str">
        <f ca="1">IFERROR(__xludf.DUMMYFUNCTION("""COMPUTED_VALUE"""),"LINEA DE ENVASADO PET NO RETORNABLEPROCESADOR DE BEBIDA")</f>
        <v>LINEA DE ENVASADO PET NO RETORNABLEPROCESADOR DE BEBIDA</v>
      </c>
      <c r="V1019" s="5"/>
      <c r="W1019" s="5" t="b">
        <f ca="1">IFERROR(__xludf.DUMMYFUNCTION("""COMPUTED_VALUE"""),TRUE)</f>
        <v>1</v>
      </c>
      <c r="X1019" s="5" t="str">
        <f ca="1">IFERROR(__xludf.DUMMYFUNCTION("""COMPUTED_VALUE"""),"wguerra@postobon.com.co,aprmttoyu@postobon.com.co,aprmyu@postobon.com.co,wmora@postobon.com.co,efzapata@postobon.com.co")</f>
        <v>wguerra@postobon.com.co,aprmttoyu@postobon.com.co,aprmyu@postobon.com.co,wmora@postobon.com.co,efzapata@postobon.com.co</v>
      </c>
      <c r="Y1019" s="5" t="str">
        <f ca="1">IFERROR(__xludf.DUMMYFUNCTION("""COMPUTED_VALUE"""),"wguerra@postobon.com.co")</f>
        <v>wguerra@postobon.com.co</v>
      </c>
      <c r="Z1019" s="5" t="str">
        <f ca="1">IFERROR(__xludf.DUMMYFUNCTION("""COMPUTED_VALUE"""),"qx4m2D1eQtS6pwSNkvCGUQ")</f>
        <v>qx4m2D1eQtS6pwSNkvCGUQ</v>
      </c>
      <c r="AA1019" s="5"/>
      <c r="AB1019" s="5"/>
      <c r="AC1019" s="5"/>
      <c r="AD1019" s="5">
        <f ca="1">IFERROR(__xludf.DUMMYFUNCTION("""COMPUTED_VALUE"""),25)</f>
        <v>25</v>
      </c>
      <c r="AE1019" s="5">
        <f ca="1">IFERROR(__xludf.DUMMYFUNCTION("""COMPUTED_VALUE"""),25)</f>
        <v>25</v>
      </c>
      <c r="AF1019" s="5" t="b">
        <f ca="1">IFERROR(__xludf.DUMMYFUNCTION("""COMPUTED_VALUE"""),FALSE)</f>
        <v>0</v>
      </c>
      <c r="AG1019" s="5" t="str">
        <f ca="1">IFERROR(__xludf.DUMMYFUNCTION("""COMPUTED_VALUE"""),"INSPECCIONES REALIZADAS")</f>
        <v>INSPECCIONES REALIZADAS</v>
      </c>
      <c r="AH1019" s="5"/>
    </row>
    <row r="1020" spans="1:34">
      <c r="A1020" s="5" t="str">
        <f ca="1">IFERROR(__xludf.DUMMYFUNCTION("""COMPUTED_VALUE"""),"LINEA DE ENVASADO PET NO RETORNABLE")</f>
        <v>LINEA DE ENVASADO PET NO RETORNABLE</v>
      </c>
      <c r="B1020" s="5">
        <f ca="1">IFERROR(__xludf.DUMMYFUNCTION("""COMPUTED_VALUE"""),900230)</f>
        <v>900230</v>
      </c>
      <c r="C1020" s="5" t="str">
        <f ca="1">IFERROR(__xludf.DUMMYFUNCTION("""COMPUTED_VALUE"""),"PROCESADOR DE BEBIDA")</f>
        <v>PROCESADOR DE BEBIDA</v>
      </c>
      <c r="D1020" s="5">
        <f ca="1">IFERROR(__xludf.DUMMYFUNCTION("""COMPUTED_VALUE"""),13247836)</f>
        <v>13247836</v>
      </c>
      <c r="E1020" s="5" t="str">
        <f ca="1">IFERROR(__xludf.DUMMYFUNCTION("""COMPUTED_VALUE"""),"INSPECCION SEMANAL PROCESADOR DE BEBIDA")</f>
        <v>INSPECCION SEMANAL PROCESADOR DE BEBIDA</v>
      </c>
      <c r="F1020" s="5" t="str">
        <f ca="1">IFERROR(__xludf.DUMMYFUNCTION("""COMPUTED_VALUE"""),"LIMPIEZA ASPECTO GRAL")</f>
        <v>LIMPIEZA ASPECTO GRAL</v>
      </c>
      <c r="G1020" s="5" t="b">
        <f ca="1">IFERROR(__xludf.DUMMYFUNCTION("""COMPUTED_VALUE"""),TRUE)</f>
        <v>1</v>
      </c>
      <c r="H1020" s="5"/>
      <c r="I1020" s="5"/>
      <c r="J1020" s="5">
        <f ca="1">IFERROR(__xludf.DUMMYFUNCTION("""COMPUTED_VALUE"""),13247836)</f>
        <v>13247836</v>
      </c>
      <c r="K1020" s="5"/>
      <c r="L1020" s="18">
        <f ca="1">IFERROR(__xludf.DUMMYFUNCTION("""COMPUTED_VALUE"""),45325)</f>
        <v>45325</v>
      </c>
      <c r="M1020" s="18">
        <f ca="1">IFERROR(__xludf.DUMMYFUNCTION("""COMPUTED_VALUE"""),45325)</f>
        <v>45325</v>
      </c>
      <c r="N1020" s="5" t="str">
        <f ca="1">IFERROR(__xludf.DUMMYFUNCTION("""COMPUTED_VALUE"""),"Leon Narvaez Andres Felipe")</f>
        <v>Leon Narvaez Andres Felipe</v>
      </c>
      <c r="O1020" s="2">
        <f ca="1">IFERROR(__xludf.DUMMYFUNCTION("""COMPUTED_VALUE"""),0.011111111)</f>
        <v>1.1111111E-2</v>
      </c>
      <c r="P1020" s="5">
        <f ca="1">IFERROR(__xludf.DUMMYFUNCTION("""COMPUTED_VALUE"""),20009879)</f>
        <v>20009879</v>
      </c>
      <c r="Q1020" s="5" t="str">
        <f ca="1">IFERROR(__xludf.DUMMYFUNCTION("""COMPUTED_VALUE"""),"Qmgm-alG05M")</f>
        <v>Qmgm-alG05M</v>
      </c>
      <c r="R1020" s="5">
        <f ca="1">IFERROR(__xludf.DUMMYFUNCTION("""COMPUTED_VALUE"""),410)</f>
        <v>410</v>
      </c>
      <c r="S1020" s="62">
        <f ca="1">IFERROR(__xludf.DUMMYFUNCTION("""COMPUTED_VALUE"""),0.011111111)</f>
        <v>1.1111111E-2</v>
      </c>
      <c r="T1020" s="63" t="str">
        <f ca="1">IFERROR(__xludf.DUMMYFUNCTION("""COMPUTED_VALUE"""),"https://storage.googleapis.com/glide-prod.appspot.com/uploads-v2/ly7o78grxPaC6KdgvbpS/pub/3aRdSog0vUtuqPE8AJKD.png")</f>
        <v>https://storage.googleapis.com/glide-prod.appspot.com/uploads-v2/ly7o78grxPaC6KdgvbpS/pub/3aRdSog0vUtuqPE8AJKD.png</v>
      </c>
      <c r="U1020" s="5" t="str">
        <f ca="1">IFERROR(__xludf.DUMMYFUNCTION("""COMPUTED_VALUE"""),"LINEA DE ENVASADO PET NO RETORNABLEPROCESADOR DE BEBIDA")</f>
        <v>LINEA DE ENVASADO PET NO RETORNABLEPROCESADOR DE BEBIDA</v>
      </c>
      <c r="V1020" s="5"/>
      <c r="W1020" s="5" t="b">
        <f ca="1">IFERROR(__xludf.DUMMYFUNCTION("""COMPUTED_VALUE"""),TRUE)</f>
        <v>1</v>
      </c>
      <c r="X1020" s="5" t="str">
        <f ca="1">IFERROR(__xludf.DUMMYFUNCTION("""COMPUTED_VALUE"""),"wguerra@postobon.com.co,aprmttoyu@postobon.com.co,aprmyu@postobon.com.co,wmora@postobon.com.co,efzapata@postobon.com.co")</f>
        <v>wguerra@postobon.com.co,aprmttoyu@postobon.com.co,aprmyu@postobon.com.co,wmora@postobon.com.co,efzapata@postobon.com.co</v>
      </c>
      <c r="Y1020" s="5" t="str">
        <f ca="1">IFERROR(__xludf.DUMMYFUNCTION("""COMPUTED_VALUE"""),"wguerra@postobon.com.co")</f>
        <v>wguerra@postobon.com.co</v>
      </c>
      <c r="Z1020" s="5" t="str">
        <f ca="1">IFERROR(__xludf.DUMMYFUNCTION("""COMPUTED_VALUE"""),"aiG1h9y8Rve97AdrGJlPww")</f>
        <v>aiG1h9y8Rve97AdrGJlPww</v>
      </c>
      <c r="AA1020" s="5"/>
      <c r="AB1020" s="5"/>
      <c r="AC1020" s="5"/>
      <c r="AD1020" s="5">
        <f ca="1">IFERROR(__xludf.DUMMYFUNCTION("""COMPUTED_VALUE"""),25)</f>
        <v>25</v>
      </c>
      <c r="AE1020" s="5">
        <f ca="1">IFERROR(__xludf.DUMMYFUNCTION("""COMPUTED_VALUE"""),25)</f>
        <v>25</v>
      </c>
      <c r="AF1020" s="5" t="b">
        <f ca="1">IFERROR(__xludf.DUMMYFUNCTION("""COMPUTED_VALUE"""),FALSE)</f>
        <v>0</v>
      </c>
      <c r="AG1020" s="5" t="str">
        <f ca="1">IFERROR(__xludf.DUMMYFUNCTION("""COMPUTED_VALUE"""),"INSPECCIONES REALIZADAS")</f>
        <v>INSPECCIONES REALIZADAS</v>
      </c>
      <c r="AH1020" s="5"/>
    </row>
    <row r="1021" spans="1:34">
      <c r="A1021" s="5" t="str">
        <f ca="1">IFERROR(__xludf.DUMMYFUNCTION("""COMPUTED_VALUE"""),"LINEA DE ENVASADO PET NO RETORNABLE")</f>
        <v>LINEA DE ENVASADO PET NO RETORNABLE</v>
      </c>
      <c r="B1021" s="5">
        <f ca="1">IFERROR(__xludf.DUMMYFUNCTION("""COMPUTED_VALUE"""),900230)</f>
        <v>900230</v>
      </c>
      <c r="C1021" s="5" t="str">
        <f ca="1">IFERROR(__xludf.DUMMYFUNCTION("""COMPUTED_VALUE"""),"PROCESADOR DE BEBIDA")</f>
        <v>PROCESADOR DE BEBIDA</v>
      </c>
      <c r="D1021" s="5">
        <f ca="1">IFERROR(__xludf.DUMMYFUNCTION("""COMPUTED_VALUE"""),13247836)</f>
        <v>13247836</v>
      </c>
      <c r="E1021" s="5" t="str">
        <f ca="1">IFERROR(__xludf.DUMMYFUNCTION("""COMPUTED_VALUE"""),"INSPECCION SEMANAL PROCESADOR DE BEBIDA")</f>
        <v>INSPECCION SEMANAL PROCESADOR DE BEBIDA</v>
      </c>
      <c r="F1021" s="5" t="str">
        <f ca="1">IFERROR(__xludf.DUMMYFUNCTION("""COMPUTED_VALUE"""),"TABLERO ELECTRICO/CLIMATIZADOR")</f>
        <v>TABLERO ELECTRICO/CLIMATIZADOR</v>
      </c>
      <c r="G1021" s="5" t="b">
        <f ca="1">IFERROR(__xludf.DUMMYFUNCTION("""COMPUTED_VALUE"""),TRUE)</f>
        <v>1</v>
      </c>
      <c r="H1021" s="5"/>
      <c r="I1021" s="5"/>
      <c r="J1021" s="5">
        <f ca="1">IFERROR(__xludf.DUMMYFUNCTION("""COMPUTED_VALUE"""),13247836)</f>
        <v>13247836</v>
      </c>
      <c r="K1021" s="5"/>
      <c r="L1021" s="18">
        <f ca="1">IFERROR(__xludf.DUMMYFUNCTION("""COMPUTED_VALUE"""),45325)</f>
        <v>45325</v>
      </c>
      <c r="M1021" s="18">
        <f ca="1">IFERROR(__xludf.DUMMYFUNCTION("""COMPUTED_VALUE"""),45325)</f>
        <v>45325</v>
      </c>
      <c r="N1021" s="5" t="str">
        <f ca="1">IFERROR(__xludf.DUMMYFUNCTION("""COMPUTED_VALUE"""),"Leon Narvaez Andres Felipe")</f>
        <v>Leon Narvaez Andres Felipe</v>
      </c>
      <c r="O1021" s="2">
        <f ca="1">IFERROR(__xludf.DUMMYFUNCTION("""COMPUTED_VALUE"""),0.011111111)</f>
        <v>1.1111111E-2</v>
      </c>
      <c r="P1021" s="5">
        <f ca="1">IFERROR(__xludf.DUMMYFUNCTION("""COMPUTED_VALUE"""),20009879)</f>
        <v>20009879</v>
      </c>
      <c r="Q1021" s="5" t="str">
        <f ca="1">IFERROR(__xludf.DUMMYFUNCTION("""COMPUTED_VALUE"""),"Q-THXF3Nsa4")</f>
        <v>Q-THXF3Nsa4</v>
      </c>
      <c r="R1021" s="5">
        <f ca="1">IFERROR(__xludf.DUMMYFUNCTION("""COMPUTED_VALUE"""),410)</f>
        <v>410</v>
      </c>
      <c r="S1021" s="62">
        <f ca="1">IFERROR(__xludf.DUMMYFUNCTION("""COMPUTED_VALUE"""),0.011111111)</f>
        <v>1.1111111E-2</v>
      </c>
      <c r="T1021" s="63" t="str">
        <f ca="1">IFERROR(__xludf.DUMMYFUNCTION("""COMPUTED_VALUE"""),"https://storage.googleapis.com/glide-prod.appspot.com/uploads-v2/ly7o78grxPaC6KdgvbpS/pub/3aRdSog0vUtuqPE8AJKD.png")</f>
        <v>https://storage.googleapis.com/glide-prod.appspot.com/uploads-v2/ly7o78grxPaC6KdgvbpS/pub/3aRdSog0vUtuqPE8AJKD.png</v>
      </c>
      <c r="U1021" s="5" t="str">
        <f ca="1">IFERROR(__xludf.DUMMYFUNCTION("""COMPUTED_VALUE"""),"LINEA DE ENVASADO PET NO RETORNABLEPROCESADOR DE BEBIDA")</f>
        <v>LINEA DE ENVASADO PET NO RETORNABLEPROCESADOR DE BEBIDA</v>
      </c>
      <c r="V1021" s="5"/>
      <c r="W1021" s="5" t="b">
        <f ca="1">IFERROR(__xludf.DUMMYFUNCTION("""COMPUTED_VALUE"""),TRUE)</f>
        <v>1</v>
      </c>
      <c r="X1021" s="5" t="str">
        <f ca="1">IFERROR(__xludf.DUMMYFUNCTION("""COMPUTED_VALUE"""),"wguerra@postobon.com.co,aprmttoyu@postobon.com.co,aprmyu@postobon.com.co,wmora@postobon.com.co,efzapata@postobon.com.co")</f>
        <v>wguerra@postobon.com.co,aprmttoyu@postobon.com.co,aprmyu@postobon.com.co,wmora@postobon.com.co,efzapata@postobon.com.co</v>
      </c>
      <c r="Y1021" s="5" t="str">
        <f ca="1">IFERROR(__xludf.DUMMYFUNCTION("""COMPUTED_VALUE"""),"wguerra@postobon.com.co")</f>
        <v>wguerra@postobon.com.co</v>
      </c>
      <c r="Z1021" s="5" t="str">
        <f ca="1">IFERROR(__xludf.DUMMYFUNCTION("""COMPUTED_VALUE"""),"TN53p5cAQVepq2oGXmHDMQ")</f>
        <v>TN53p5cAQVepq2oGXmHDMQ</v>
      </c>
      <c r="AA1021" s="5"/>
      <c r="AB1021" s="5"/>
      <c r="AC1021" s="5"/>
      <c r="AD1021" s="5">
        <f ca="1">IFERROR(__xludf.DUMMYFUNCTION("""COMPUTED_VALUE"""),25)</f>
        <v>25</v>
      </c>
      <c r="AE1021" s="5">
        <f ca="1">IFERROR(__xludf.DUMMYFUNCTION("""COMPUTED_VALUE"""),25)</f>
        <v>25</v>
      </c>
      <c r="AF1021" s="5" t="b">
        <f ca="1">IFERROR(__xludf.DUMMYFUNCTION("""COMPUTED_VALUE"""),FALSE)</f>
        <v>0</v>
      </c>
      <c r="AG1021" s="5" t="str">
        <f ca="1">IFERROR(__xludf.DUMMYFUNCTION("""COMPUTED_VALUE"""),"INSPECCIONES REALIZADAS")</f>
        <v>INSPECCIONES REALIZADAS</v>
      </c>
      <c r="AH1021" s="5"/>
    </row>
    <row r="1022" spans="1:34">
      <c r="A1022" s="5" t="str">
        <f ca="1">IFERROR(__xludf.DUMMYFUNCTION("""COMPUTED_VALUE"""),"LINEA DE ENVASADO FAMILIAR Y PRB")</f>
        <v>LINEA DE ENVASADO FAMILIAR Y PRB</v>
      </c>
      <c r="B1022" s="5">
        <f ca="1">IFERROR(__xludf.DUMMYFUNCTION("""COMPUTED_VALUE"""),900234)</f>
        <v>900234</v>
      </c>
      <c r="C1022" s="5" t="str">
        <f ca="1">IFERROR(__xludf.DUMMYFUNCTION("""COMPUTED_VALUE"""),"PROCESADOR DE BEBIDA")</f>
        <v>PROCESADOR DE BEBIDA</v>
      </c>
      <c r="D1022" s="5">
        <f ca="1">IFERROR(__xludf.DUMMYFUNCTION("""COMPUTED_VALUE"""),13247281)</f>
        <v>13247281</v>
      </c>
      <c r="E1022" s="5" t="str">
        <f ca="1">IFERROR(__xludf.DUMMYFUNCTION("""COMPUTED_VALUE"""),"INSPECCION SEMANAL PROCESADOR DE BEBIDA")</f>
        <v>INSPECCION SEMANAL PROCESADOR DE BEBIDA</v>
      </c>
      <c r="F1022" s="5" t="str">
        <f ca="1">IFERROR(__xludf.DUMMYFUNCTION("""COMPUTED_VALUE"""),"Fugas (aire, agua, co2, jarabe)")</f>
        <v>Fugas (aire, agua, co2, jarabe)</v>
      </c>
      <c r="G1022" s="5" t="b">
        <f ca="1">IFERROR(__xludf.DUMMYFUNCTION("""COMPUTED_VALUE"""),TRUE)</f>
        <v>1</v>
      </c>
      <c r="H1022" s="5"/>
      <c r="I1022" s="5"/>
      <c r="J1022" s="5">
        <f ca="1">IFERROR(__xludf.DUMMYFUNCTION("""COMPUTED_VALUE"""),13247281)</f>
        <v>13247281</v>
      </c>
      <c r="K1022" s="5"/>
      <c r="L1022" s="18">
        <f ca="1">IFERROR(__xludf.DUMMYFUNCTION("""COMPUTED_VALUE"""),45324)</f>
        <v>45324</v>
      </c>
      <c r="M1022" s="18">
        <f ca="1">IFERROR(__xludf.DUMMYFUNCTION("""COMPUTED_VALUE"""),45324)</f>
        <v>45324</v>
      </c>
      <c r="N1022" s="5" t="str">
        <f ca="1">IFERROR(__xludf.DUMMYFUNCTION("""COMPUTED_VALUE"""),"Paz Paz Jhon Estiven")</f>
        <v>Paz Paz Jhon Estiven</v>
      </c>
      <c r="O1022" s="2">
        <f ca="1">IFERROR(__xludf.DUMMYFUNCTION("""COMPUTED_VALUE"""),0.007142857)</f>
        <v>7.1428569999999999E-3</v>
      </c>
      <c r="P1022" s="5">
        <f ca="1">IFERROR(__xludf.DUMMYFUNCTION("""COMPUTED_VALUE"""),20031102)</f>
        <v>20031102</v>
      </c>
      <c r="Q1022" s="5" t="str">
        <f ca="1">IFERROR(__xludf.DUMMYFUNCTION("""COMPUTED_VALUE"""),"ylb0vMQEdig")</f>
        <v>ylb0vMQEdig</v>
      </c>
      <c r="R1022" s="5">
        <f ca="1">IFERROR(__xludf.DUMMYFUNCTION("""COMPUTED_VALUE"""),410)</f>
        <v>410</v>
      </c>
      <c r="S1022" s="62">
        <f ca="1">IFERROR(__xludf.DUMMYFUNCTION("""COMPUTED_VALUE"""),0.007142857)</f>
        <v>7.1428569999999999E-3</v>
      </c>
      <c r="T1022" s="63" t="str">
        <f ca="1">IFERROR(__xludf.DUMMYFUNCTION("""COMPUTED_VALUE"""),"https://storage.googleapis.com/glide-prod.appspot.com/uploads-v2/ly7o78grxPaC6KdgvbpS/pub/3aRdSog0vUtuqPE8AJKD.png")</f>
        <v>https://storage.googleapis.com/glide-prod.appspot.com/uploads-v2/ly7o78grxPaC6KdgvbpS/pub/3aRdSog0vUtuqPE8AJKD.png</v>
      </c>
      <c r="U1022" s="5" t="str">
        <f ca="1">IFERROR(__xludf.DUMMYFUNCTION("""COMPUTED_VALUE"""),"LINEA DE ENVASADO FAMILIAR Y PRBPROCESADOR DE BEBIDA")</f>
        <v>LINEA DE ENVASADO FAMILIAR Y PRBPROCESADOR DE BEBIDA</v>
      </c>
      <c r="V1022" s="5"/>
      <c r="W1022" s="5" t="b">
        <f ca="1">IFERROR(__xludf.DUMMYFUNCTION("""COMPUTED_VALUE"""),TRUE)</f>
        <v>1</v>
      </c>
      <c r="X1022" s="5" t="str">
        <f ca="1">IFERROR(__xludf.DUMMYFUNCTION("""COMPUTED_VALUE"""),"wguerra@postobon.com.co,aprmttoyu@postobon.com.co,aprmyu@postobon.com.co,wmora@postobon.com.co,efzapata@postobon.com.co")</f>
        <v>wguerra@postobon.com.co,aprmttoyu@postobon.com.co,aprmyu@postobon.com.co,wmora@postobon.com.co,efzapata@postobon.com.co</v>
      </c>
      <c r="Y1022" s="5" t="str">
        <f ca="1">IFERROR(__xludf.DUMMYFUNCTION("""COMPUTED_VALUE"""),"wguerra@postobon.com.co")</f>
        <v>wguerra@postobon.com.co</v>
      </c>
      <c r="Z1022" s="5" t="str">
        <f ca="1">IFERROR(__xludf.DUMMYFUNCTION("""COMPUTED_VALUE"""),"EbRCPV3zREKgbY59X4BKAg")</f>
        <v>EbRCPV3zREKgbY59X4BKAg</v>
      </c>
      <c r="AA1022" s="5"/>
      <c r="AB1022" s="5"/>
      <c r="AC1022" s="5"/>
      <c r="AD1022" s="5">
        <f ca="1">IFERROR(__xludf.DUMMYFUNCTION("""COMPUTED_VALUE"""),62)</f>
        <v>62</v>
      </c>
      <c r="AE1022" s="5">
        <f ca="1">IFERROR(__xludf.DUMMYFUNCTION("""COMPUTED_VALUE"""),62)</f>
        <v>62</v>
      </c>
      <c r="AF1022" s="5" t="b">
        <f ca="1">IFERROR(__xludf.DUMMYFUNCTION("""COMPUTED_VALUE"""),FALSE)</f>
        <v>0</v>
      </c>
      <c r="AG1022" s="5" t="str">
        <f ca="1">IFERROR(__xludf.DUMMYFUNCTION("""COMPUTED_VALUE"""),"INSPECCIONES REALIZADAS")</f>
        <v>INSPECCIONES REALIZADAS</v>
      </c>
      <c r="AH1022" s="5"/>
    </row>
    <row r="1023" spans="1:34">
      <c r="A1023" s="5" t="str">
        <f ca="1">IFERROR(__xludf.DUMMYFUNCTION("""COMPUTED_VALUE"""),"LINEA DE ENVASADO FAMILIAR Y PRB")</f>
        <v>LINEA DE ENVASADO FAMILIAR Y PRB</v>
      </c>
      <c r="B1023" s="5">
        <f ca="1">IFERROR(__xludf.DUMMYFUNCTION("""COMPUTED_VALUE"""),900234)</f>
        <v>900234</v>
      </c>
      <c r="C1023" s="5" t="str">
        <f ca="1">IFERROR(__xludf.DUMMYFUNCTION("""COMPUTED_VALUE"""),"PROCESADOR DE BEBIDA")</f>
        <v>PROCESADOR DE BEBIDA</v>
      </c>
      <c r="D1023" s="5">
        <f ca="1">IFERROR(__xludf.DUMMYFUNCTION("""COMPUTED_VALUE"""),13247281)</f>
        <v>13247281</v>
      </c>
      <c r="E1023" s="5" t="str">
        <f ca="1">IFERROR(__xludf.DUMMYFUNCTION("""COMPUTED_VALUE"""),"INSPECCION SEMANAL PROCESADOR DE BEBIDA")</f>
        <v>INSPECCION SEMANAL PROCESADOR DE BEBIDA</v>
      </c>
      <c r="F1023" s="5" t="str">
        <f ca="1">IFERROR(__xludf.DUMMYFUNCTION("""COMPUTED_VALUE"""),"Estado sistema de enfriamiento bomba vacio")</f>
        <v>Estado sistema de enfriamiento bomba vacio</v>
      </c>
      <c r="G1023" s="5" t="b">
        <f ca="1">IFERROR(__xludf.DUMMYFUNCTION("""COMPUTED_VALUE"""),TRUE)</f>
        <v>1</v>
      </c>
      <c r="H1023" s="5"/>
      <c r="I1023" s="5"/>
      <c r="J1023" s="5">
        <f ca="1">IFERROR(__xludf.DUMMYFUNCTION("""COMPUTED_VALUE"""),13247281)</f>
        <v>13247281</v>
      </c>
      <c r="K1023" s="5"/>
      <c r="L1023" s="18">
        <f ca="1">IFERROR(__xludf.DUMMYFUNCTION("""COMPUTED_VALUE"""),45324)</f>
        <v>45324</v>
      </c>
      <c r="M1023" s="18">
        <f ca="1">IFERROR(__xludf.DUMMYFUNCTION("""COMPUTED_VALUE"""),45324)</f>
        <v>45324</v>
      </c>
      <c r="N1023" s="5" t="str">
        <f ca="1">IFERROR(__xludf.DUMMYFUNCTION("""COMPUTED_VALUE"""),"Paz Paz Jhon Estiven")</f>
        <v>Paz Paz Jhon Estiven</v>
      </c>
      <c r="O1023" s="2">
        <f ca="1">IFERROR(__xludf.DUMMYFUNCTION("""COMPUTED_VALUE"""),0.007142857)</f>
        <v>7.1428569999999999E-3</v>
      </c>
      <c r="P1023" s="5">
        <f ca="1">IFERROR(__xludf.DUMMYFUNCTION("""COMPUTED_VALUE"""),20031102)</f>
        <v>20031102</v>
      </c>
      <c r="Q1023" s="5" t="str">
        <f ca="1">IFERROR(__xludf.DUMMYFUNCTION("""COMPUTED_VALUE"""),"hq39S2mHCwc")</f>
        <v>hq39S2mHCwc</v>
      </c>
      <c r="R1023" s="5">
        <f ca="1">IFERROR(__xludf.DUMMYFUNCTION("""COMPUTED_VALUE"""),410)</f>
        <v>410</v>
      </c>
      <c r="S1023" s="62">
        <f ca="1">IFERROR(__xludf.DUMMYFUNCTION("""COMPUTED_VALUE"""),0.007142857)</f>
        <v>7.1428569999999999E-3</v>
      </c>
      <c r="T1023" s="63" t="str">
        <f ca="1">IFERROR(__xludf.DUMMYFUNCTION("""COMPUTED_VALUE"""),"https://storage.googleapis.com/glide-prod.appspot.com/uploads-v2/ly7o78grxPaC6KdgvbpS/pub/3aRdSog0vUtuqPE8AJKD.png")</f>
        <v>https://storage.googleapis.com/glide-prod.appspot.com/uploads-v2/ly7o78grxPaC6KdgvbpS/pub/3aRdSog0vUtuqPE8AJKD.png</v>
      </c>
      <c r="U1023" s="5" t="str">
        <f ca="1">IFERROR(__xludf.DUMMYFUNCTION("""COMPUTED_VALUE"""),"LINEA DE ENVASADO FAMILIAR Y PRBPROCESADOR DE BEBIDA")</f>
        <v>LINEA DE ENVASADO FAMILIAR Y PRBPROCESADOR DE BEBIDA</v>
      </c>
      <c r="V1023" s="5"/>
      <c r="W1023" s="5" t="b">
        <f ca="1">IFERROR(__xludf.DUMMYFUNCTION("""COMPUTED_VALUE"""),TRUE)</f>
        <v>1</v>
      </c>
      <c r="X1023" s="5" t="str">
        <f ca="1">IFERROR(__xludf.DUMMYFUNCTION("""COMPUTED_VALUE"""),"wguerra@postobon.com.co,aprmttoyu@postobon.com.co,aprmyu@postobon.com.co,wmora@postobon.com.co,efzapata@postobon.com.co")</f>
        <v>wguerra@postobon.com.co,aprmttoyu@postobon.com.co,aprmyu@postobon.com.co,wmora@postobon.com.co,efzapata@postobon.com.co</v>
      </c>
      <c r="Y1023" s="5" t="str">
        <f ca="1">IFERROR(__xludf.DUMMYFUNCTION("""COMPUTED_VALUE"""),"wguerra@postobon.com.co")</f>
        <v>wguerra@postobon.com.co</v>
      </c>
      <c r="Z1023" s="5" t="str">
        <f ca="1">IFERROR(__xludf.DUMMYFUNCTION("""COMPUTED_VALUE"""),"lIx5spA-RvmpYdW7h83OZw")</f>
        <v>lIx5spA-RvmpYdW7h83OZw</v>
      </c>
      <c r="AA1023" s="5"/>
      <c r="AB1023" s="5"/>
      <c r="AC1023" s="5"/>
      <c r="AD1023" s="5">
        <f ca="1">IFERROR(__xludf.DUMMYFUNCTION("""COMPUTED_VALUE"""),62)</f>
        <v>62</v>
      </c>
      <c r="AE1023" s="5">
        <f ca="1">IFERROR(__xludf.DUMMYFUNCTION("""COMPUTED_VALUE"""),62)</f>
        <v>62</v>
      </c>
      <c r="AF1023" s="5" t="b">
        <f ca="1">IFERROR(__xludf.DUMMYFUNCTION("""COMPUTED_VALUE"""),FALSE)</f>
        <v>0</v>
      </c>
      <c r="AG1023" s="5" t="str">
        <f ca="1">IFERROR(__xludf.DUMMYFUNCTION("""COMPUTED_VALUE"""),"INSPECCIONES REALIZADAS")</f>
        <v>INSPECCIONES REALIZADAS</v>
      </c>
      <c r="AH1023" s="5"/>
    </row>
    <row r="1024" spans="1:34">
      <c r="A1024" s="5" t="str">
        <f ca="1">IFERROR(__xludf.DUMMYFUNCTION("""COMPUTED_VALUE"""),"LINEA DE ENVASADO FAMILIAR Y PRB")</f>
        <v>LINEA DE ENVASADO FAMILIAR Y PRB</v>
      </c>
      <c r="B1024" s="5">
        <f ca="1">IFERROR(__xludf.DUMMYFUNCTION("""COMPUTED_VALUE"""),900234)</f>
        <v>900234</v>
      </c>
      <c r="C1024" s="5" t="str">
        <f ca="1">IFERROR(__xludf.DUMMYFUNCTION("""COMPUTED_VALUE"""),"PROCESADOR DE BEBIDA")</f>
        <v>PROCESADOR DE BEBIDA</v>
      </c>
      <c r="D1024" s="5">
        <f ca="1">IFERROR(__xludf.DUMMYFUNCTION("""COMPUTED_VALUE"""),13247281)</f>
        <v>13247281</v>
      </c>
      <c r="E1024" s="5" t="str">
        <f ca="1">IFERROR(__xludf.DUMMYFUNCTION("""COMPUTED_VALUE"""),"INSPECCION SEMANAL PROCESADOR DE BEBIDA")</f>
        <v>INSPECCION SEMANAL PROCESADOR DE BEBIDA</v>
      </c>
      <c r="F1024" s="5" t="str">
        <f ca="1">IFERROR(__xludf.DUMMYFUNCTION("""COMPUTED_VALUE"""),"Estado mangueras")</f>
        <v>Estado mangueras</v>
      </c>
      <c r="G1024" s="5" t="b">
        <f ca="1">IFERROR(__xludf.DUMMYFUNCTION("""COMPUTED_VALUE"""),TRUE)</f>
        <v>1</v>
      </c>
      <c r="H1024" s="5"/>
      <c r="I1024" s="5"/>
      <c r="J1024" s="5">
        <f ca="1">IFERROR(__xludf.DUMMYFUNCTION("""COMPUTED_VALUE"""),13247281)</f>
        <v>13247281</v>
      </c>
      <c r="K1024" s="5"/>
      <c r="L1024" s="18">
        <f ca="1">IFERROR(__xludf.DUMMYFUNCTION("""COMPUTED_VALUE"""),45324)</f>
        <v>45324</v>
      </c>
      <c r="M1024" s="18">
        <f ca="1">IFERROR(__xludf.DUMMYFUNCTION("""COMPUTED_VALUE"""),45324)</f>
        <v>45324</v>
      </c>
      <c r="N1024" s="5" t="str">
        <f ca="1">IFERROR(__xludf.DUMMYFUNCTION("""COMPUTED_VALUE"""),"Paz Paz Jhon Estiven")</f>
        <v>Paz Paz Jhon Estiven</v>
      </c>
      <c r="O1024" s="2">
        <f ca="1">IFERROR(__xludf.DUMMYFUNCTION("""COMPUTED_VALUE"""),0.007142857)</f>
        <v>7.1428569999999999E-3</v>
      </c>
      <c r="P1024" s="5">
        <f ca="1">IFERROR(__xludf.DUMMYFUNCTION("""COMPUTED_VALUE"""),20031102)</f>
        <v>20031102</v>
      </c>
      <c r="Q1024" s="5" t="str">
        <f ca="1">IFERROR(__xludf.DUMMYFUNCTION("""COMPUTED_VALUE"""),"6hC-65wGpUY")</f>
        <v>6hC-65wGpUY</v>
      </c>
      <c r="R1024" s="5">
        <f ca="1">IFERROR(__xludf.DUMMYFUNCTION("""COMPUTED_VALUE"""),410)</f>
        <v>410</v>
      </c>
      <c r="S1024" s="62">
        <f ca="1">IFERROR(__xludf.DUMMYFUNCTION("""COMPUTED_VALUE"""),0.007142857)</f>
        <v>7.1428569999999999E-3</v>
      </c>
      <c r="T1024" s="63" t="str">
        <f ca="1">IFERROR(__xludf.DUMMYFUNCTION("""COMPUTED_VALUE"""),"https://storage.googleapis.com/glide-prod.appspot.com/uploads-v2/ly7o78grxPaC6KdgvbpS/pub/3aRdSog0vUtuqPE8AJKD.png")</f>
        <v>https://storage.googleapis.com/glide-prod.appspot.com/uploads-v2/ly7o78grxPaC6KdgvbpS/pub/3aRdSog0vUtuqPE8AJKD.png</v>
      </c>
      <c r="U1024" s="5" t="str">
        <f ca="1">IFERROR(__xludf.DUMMYFUNCTION("""COMPUTED_VALUE"""),"LINEA DE ENVASADO FAMILIAR Y PRBPROCESADOR DE BEBIDA")</f>
        <v>LINEA DE ENVASADO FAMILIAR Y PRBPROCESADOR DE BEBIDA</v>
      </c>
      <c r="V1024" s="5"/>
      <c r="W1024" s="5" t="b">
        <f ca="1">IFERROR(__xludf.DUMMYFUNCTION("""COMPUTED_VALUE"""),TRUE)</f>
        <v>1</v>
      </c>
      <c r="X1024" s="5" t="str">
        <f ca="1">IFERROR(__xludf.DUMMYFUNCTION("""COMPUTED_VALUE"""),"wguerra@postobon.com.co,aprmttoyu@postobon.com.co,aprmyu@postobon.com.co,wmora@postobon.com.co,efzapata@postobon.com.co")</f>
        <v>wguerra@postobon.com.co,aprmttoyu@postobon.com.co,aprmyu@postobon.com.co,wmora@postobon.com.co,efzapata@postobon.com.co</v>
      </c>
      <c r="Y1024" s="5" t="str">
        <f ca="1">IFERROR(__xludf.DUMMYFUNCTION("""COMPUTED_VALUE"""),"wguerra@postobon.com.co")</f>
        <v>wguerra@postobon.com.co</v>
      </c>
      <c r="Z1024" s="5" t="str">
        <f ca="1">IFERROR(__xludf.DUMMYFUNCTION("""COMPUTED_VALUE"""),"ybDq4MLvRSi5J0hHm4YhSw")</f>
        <v>ybDq4MLvRSi5J0hHm4YhSw</v>
      </c>
      <c r="AA1024" s="5"/>
      <c r="AB1024" s="5"/>
      <c r="AC1024" s="5"/>
      <c r="AD1024" s="5">
        <f ca="1">IFERROR(__xludf.DUMMYFUNCTION("""COMPUTED_VALUE"""),62)</f>
        <v>62</v>
      </c>
      <c r="AE1024" s="5">
        <f ca="1">IFERROR(__xludf.DUMMYFUNCTION("""COMPUTED_VALUE"""),62)</f>
        <v>62</v>
      </c>
      <c r="AF1024" s="5" t="b">
        <f ca="1">IFERROR(__xludf.DUMMYFUNCTION("""COMPUTED_VALUE"""),FALSE)</f>
        <v>0</v>
      </c>
      <c r="AG1024" s="5" t="str">
        <f ca="1">IFERROR(__xludf.DUMMYFUNCTION("""COMPUTED_VALUE"""),"INSPECCIONES REALIZADAS")</f>
        <v>INSPECCIONES REALIZADAS</v>
      </c>
      <c r="AH1024" s="5"/>
    </row>
    <row r="1025" spans="1:34">
      <c r="A1025" s="5" t="str">
        <f ca="1">IFERROR(__xludf.DUMMYFUNCTION("""COMPUTED_VALUE"""),"LINEA DE ENVASADO FAMILIAR Y PRB")</f>
        <v>LINEA DE ENVASADO FAMILIAR Y PRB</v>
      </c>
      <c r="B1025" s="5">
        <f ca="1">IFERROR(__xludf.DUMMYFUNCTION("""COMPUTED_VALUE"""),900234)</f>
        <v>900234</v>
      </c>
      <c r="C1025" s="5" t="str">
        <f ca="1">IFERROR(__xludf.DUMMYFUNCTION("""COMPUTED_VALUE"""),"PROCESADOR DE BEBIDA")</f>
        <v>PROCESADOR DE BEBIDA</v>
      </c>
      <c r="D1025" s="5">
        <f ca="1">IFERROR(__xludf.DUMMYFUNCTION("""COMPUTED_VALUE"""),13247281)</f>
        <v>13247281</v>
      </c>
      <c r="E1025" s="5" t="str">
        <f ca="1">IFERROR(__xludf.DUMMYFUNCTION("""COMPUTED_VALUE"""),"INSPECCION SEMANAL PROCESADOR DE BEBIDA")</f>
        <v>INSPECCION SEMANAL PROCESADOR DE BEBIDA</v>
      </c>
      <c r="F1025" s="5" t="str">
        <f ca="1">IFERROR(__xludf.DUMMYFUNCTION("""COMPUTED_VALUE"""),"Estado de motobombas")</f>
        <v>Estado de motobombas</v>
      </c>
      <c r="G1025" s="5" t="b">
        <f ca="1">IFERROR(__xludf.DUMMYFUNCTION("""COMPUTED_VALUE"""),TRUE)</f>
        <v>1</v>
      </c>
      <c r="H1025" s="5"/>
      <c r="I1025" s="5"/>
      <c r="J1025" s="5">
        <f ca="1">IFERROR(__xludf.DUMMYFUNCTION("""COMPUTED_VALUE"""),13247281)</f>
        <v>13247281</v>
      </c>
      <c r="K1025" s="5"/>
      <c r="L1025" s="18">
        <f ca="1">IFERROR(__xludf.DUMMYFUNCTION("""COMPUTED_VALUE"""),45324)</f>
        <v>45324</v>
      </c>
      <c r="M1025" s="18">
        <f ca="1">IFERROR(__xludf.DUMMYFUNCTION("""COMPUTED_VALUE"""),45324)</f>
        <v>45324</v>
      </c>
      <c r="N1025" s="5" t="str">
        <f ca="1">IFERROR(__xludf.DUMMYFUNCTION("""COMPUTED_VALUE"""),"Paz Paz Jhon Estiven")</f>
        <v>Paz Paz Jhon Estiven</v>
      </c>
      <c r="O1025" s="2">
        <f ca="1">IFERROR(__xludf.DUMMYFUNCTION("""COMPUTED_VALUE"""),0.007142857)</f>
        <v>7.1428569999999999E-3</v>
      </c>
      <c r="P1025" s="5">
        <f ca="1">IFERROR(__xludf.DUMMYFUNCTION("""COMPUTED_VALUE"""),20031102)</f>
        <v>20031102</v>
      </c>
      <c r="Q1025" s="5" t="str">
        <f ca="1">IFERROR(__xludf.DUMMYFUNCTION("""COMPUTED_VALUE"""),"Q9URkMp91hM")</f>
        <v>Q9URkMp91hM</v>
      </c>
      <c r="R1025" s="5">
        <f ca="1">IFERROR(__xludf.DUMMYFUNCTION("""COMPUTED_VALUE"""),410)</f>
        <v>410</v>
      </c>
      <c r="S1025" s="62">
        <f ca="1">IFERROR(__xludf.DUMMYFUNCTION("""COMPUTED_VALUE"""),0.007142857)</f>
        <v>7.1428569999999999E-3</v>
      </c>
      <c r="T1025" s="63" t="str">
        <f ca="1">IFERROR(__xludf.DUMMYFUNCTION("""COMPUTED_VALUE"""),"https://storage.googleapis.com/glide-prod.appspot.com/uploads-v2/ly7o78grxPaC6KdgvbpS/pub/3aRdSog0vUtuqPE8AJKD.png")</f>
        <v>https://storage.googleapis.com/glide-prod.appspot.com/uploads-v2/ly7o78grxPaC6KdgvbpS/pub/3aRdSog0vUtuqPE8AJKD.png</v>
      </c>
      <c r="U1025" s="5" t="str">
        <f ca="1">IFERROR(__xludf.DUMMYFUNCTION("""COMPUTED_VALUE"""),"LINEA DE ENVASADO FAMILIAR Y PRBPROCESADOR DE BEBIDA")</f>
        <v>LINEA DE ENVASADO FAMILIAR Y PRBPROCESADOR DE BEBIDA</v>
      </c>
      <c r="V1025" s="5"/>
      <c r="W1025" s="5" t="b">
        <f ca="1">IFERROR(__xludf.DUMMYFUNCTION("""COMPUTED_VALUE"""),TRUE)</f>
        <v>1</v>
      </c>
      <c r="X1025" s="5" t="str">
        <f ca="1">IFERROR(__xludf.DUMMYFUNCTION("""COMPUTED_VALUE"""),"wguerra@postobon.com.co,aprmttoyu@postobon.com.co,aprmyu@postobon.com.co,wmora@postobon.com.co,efzapata@postobon.com.co")</f>
        <v>wguerra@postobon.com.co,aprmttoyu@postobon.com.co,aprmyu@postobon.com.co,wmora@postobon.com.co,efzapata@postobon.com.co</v>
      </c>
      <c r="Y1025" s="5" t="str">
        <f ca="1">IFERROR(__xludf.DUMMYFUNCTION("""COMPUTED_VALUE"""),"wguerra@postobon.com.co")</f>
        <v>wguerra@postobon.com.co</v>
      </c>
      <c r="Z1025" s="5" t="str">
        <f ca="1">IFERROR(__xludf.DUMMYFUNCTION("""COMPUTED_VALUE"""),"3qFNI2AxQ.uUNtTwblTnEg")</f>
        <v>3qFNI2AxQ.uUNtTwblTnEg</v>
      </c>
      <c r="AA1025" s="5"/>
      <c r="AB1025" s="5"/>
      <c r="AC1025" s="5"/>
      <c r="AD1025" s="5">
        <f ca="1">IFERROR(__xludf.DUMMYFUNCTION("""COMPUTED_VALUE"""),62)</f>
        <v>62</v>
      </c>
      <c r="AE1025" s="5">
        <f ca="1">IFERROR(__xludf.DUMMYFUNCTION("""COMPUTED_VALUE"""),62)</f>
        <v>62</v>
      </c>
      <c r="AF1025" s="5" t="b">
        <f ca="1">IFERROR(__xludf.DUMMYFUNCTION("""COMPUTED_VALUE"""),FALSE)</f>
        <v>0</v>
      </c>
      <c r="AG1025" s="5" t="str">
        <f ca="1">IFERROR(__xludf.DUMMYFUNCTION("""COMPUTED_VALUE"""),"INSPECCIONES REALIZADAS")</f>
        <v>INSPECCIONES REALIZADAS</v>
      </c>
      <c r="AH1025" s="5"/>
    </row>
    <row r="1026" spans="1:34">
      <c r="A1026" s="5" t="str">
        <f ca="1">IFERROR(__xludf.DUMMYFUNCTION("""COMPUTED_VALUE"""),"LINEA DE ENVASADO FAMILIAR Y PRB")</f>
        <v>LINEA DE ENVASADO FAMILIAR Y PRB</v>
      </c>
      <c r="B1026" s="5">
        <f ca="1">IFERROR(__xludf.DUMMYFUNCTION("""COMPUTED_VALUE"""),900234)</f>
        <v>900234</v>
      </c>
      <c r="C1026" s="5" t="str">
        <f ca="1">IFERROR(__xludf.DUMMYFUNCTION("""COMPUTED_VALUE"""),"PROCESADOR DE BEBIDA")</f>
        <v>PROCESADOR DE BEBIDA</v>
      </c>
      <c r="D1026" s="5">
        <f ca="1">IFERROR(__xludf.DUMMYFUNCTION("""COMPUTED_VALUE"""),13247281)</f>
        <v>13247281</v>
      </c>
      <c r="E1026" s="5" t="str">
        <f ca="1">IFERROR(__xludf.DUMMYFUNCTION("""COMPUTED_VALUE"""),"INSPECCION SEMANAL PROCESADOR DE BEBIDA")</f>
        <v>INSPECCION SEMANAL PROCESADOR DE BEBIDA</v>
      </c>
      <c r="F1026" s="5" t="str">
        <f ca="1">IFERROR(__xludf.DUMMYFUNCTION("""COMPUTED_VALUE"""),"Estado unidad de mantenimiento neumatica")</f>
        <v>Estado unidad de mantenimiento neumatica</v>
      </c>
      <c r="G1026" s="5" t="b">
        <f ca="1">IFERROR(__xludf.DUMMYFUNCTION("""COMPUTED_VALUE"""),TRUE)</f>
        <v>1</v>
      </c>
      <c r="H1026" s="5"/>
      <c r="I1026" s="5"/>
      <c r="J1026" s="5">
        <f ca="1">IFERROR(__xludf.DUMMYFUNCTION("""COMPUTED_VALUE"""),13247281)</f>
        <v>13247281</v>
      </c>
      <c r="K1026" s="5"/>
      <c r="L1026" s="18">
        <f ca="1">IFERROR(__xludf.DUMMYFUNCTION("""COMPUTED_VALUE"""),45324)</f>
        <v>45324</v>
      </c>
      <c r="M1026" s="18">
        <f ca="1">IFERROR(__xludf.DUMMYFUNCTION("""COMPUTED_VALUE"""),45324)</f>
        <v>45324</v>
      </c>
      <c r="N1026" s="5" t="str">
        <f ca="1">IFERROR(__xludf.DUMMYFUNCTION("""COMPUTED_VALUE"""),"Paz Paz Jhon Estiven")</f>
        <v>Paz Paz Jhon Estiven</v>
      </c>
      <c r="O1026" s="2">
        <f ca="1">IFERROR(__xludf.DUMMYFUNCTION("""COMPUTED_VALUE"""),0.007142857)</f>
        <v>7.1428569999999999E-3</v>
      </c>
      <c r="P1026" s="5">
        <f ca="1">IFERROR(__xludf.DUMMYFUNCTION("""COMPUTED_VALUE"""),20031102)</f>
        <v>20031102</v>
      </c>
      <c r="Q1026" s="5" t="str">
        <f ca="1">IFERROR(__xludf.DUMMYFUNCTION("""COMPUTED_VALUE"""),"cMCYqa8EgZI")</f>
        <v>cMCYqa8EgZI</v>
      </c>
      <c r="R1026" s="5">
        <f ca="1">IFERROR(__xludf.DUMMYFUNCTION("""COMPUTED_VALUE"""),410)</f>
        <v>410</v>
      </c>
      <c r="S1026" s="62">
        <f ca="1">IFERROR(__xludf.DUMMYFUNCTION("""COMPUTED_VALUE"""),0.007142857)</f>
        <v>7.1428569999999999E-3</v>
      </c>
      <c r="T1026" s="63" t="str">
        <f ca="1">IFERROR(__xludf.DUMMYFUNCTION("""COMPUTED_VALUE"""),"https://storage.googleapis.com/glide-prod.appspot.com/uploads-v2/ly7o78grxPaC6KdgvbpS/pub/3aRdSog0vUtuqPE8AJKD.png")</f>
        <v>https://storage.googleapis.com/glide-prod.appspot.com/uploads-v2/ly7o78grxPaC6KdgvbpS/pub/3aRdSog0vUtuqPE8AJKD.png</v>
      </c>
      <c r="U1026" s="5" t="str">
        <f ca="1">IFERROR(__xludf.DUMMYFUNCTION("""COMPUTED_VALUE"""),"LINEA DE ENVASADO FAMILIAR Y PRBPROCESADOR DE BEBIDA")</f>
        <v>LINEA DE ENVASADO FAMILIAR Y PRBPROCESADOR DE BEBIDA</v>
      </c>
      <c r="V1026" s="5"/>
      <c r="W1026" s="5" t="b">
        <f ca="1">IFERROR(__xludf.DUMMYFUNCTION("""COMPUTED_VALUE"""),TRUE)</f>
        <v>1</v>
      </c>
      <c r="X1026" s="5" t="str">
        <f ca="1">IFERROR(__xludf.DUMMYFUNCTION("""COMPUTED_VALUE"""),"wguerra@postobon.com.co,aprmttoyu@postobon.com.co,aprmyu@postobon.com.co,wmora@postobon.com.co,efzapata@postobon.com.co")</f>
        <v>wguerra@postobon.com.co,aprmttoyu@postobon.com.co,aprmyu@postobon.com.co,wmora@postobon.com.co,efzapata@postobon.com.co</v>
      </c>
      <c r="Y1026" s="5" t="str">
        <f ca="1">IFERROR(__xludf.DUMMYFUNCTION("""COMPUTED_VALUE"""),"wguerra@postobon.com.co")</f>
        <v>wguerra@postobon.com.co</v>
      </c>
      <c r="Z1026" s="5" t="str">
        <f ca="1">IFERROR(__xludf.DUMMYFUNCTION("""COMPUTED_VALUE"""),"fDPR1pdNTeSaufuCEKquCw")</f>
        <v>fDPR1pdNTeSaufuCEKquCw</v>
      </c>
      <c r="AA1026" s="5"/>
      <c r="AB1026" s="5"/>
      <c r="AC1026" s="5"/>
      <c r="AD1026" s="5">
        <f ca="1">IFERROR(__xludf.DUMMYFUNCTION("""COMPUTED_VALUE"""),62)</f>
        <v>62</v>
      </c>
      <c r="AE1026" s="5">
        <f ca="1">IFERROR(__xludf.DUMMYFUNCTION("""COMPUTED_VALUE"""),62)</f>
        <v>62</v>
      </c>
      <c r="AF1026" s="5" t="b">
        <f ca="1">IFERROR(__xludf.DUMMYFUNCTION("""COMPUTED_VALUE"""),FALSE)</f>
        <v>0</v>
      </c>
      <c r="AG1026" s="5" t="str">
        <f ca="1">IFERROR(__xludf.DUMMYFUNCTION("""COMPUTED_VALUE"""),"INSPECCIONES REALIZADAS")</f>
        <v>INSPECCIONES REALIZADAS</v>
      </c>
      <c r="AH1026" s="5"/>
    </row>
    <row r="1027" spans="1:34">
      <c r="A1027" s="5" t="str">
        <f ca="1">IFERROR(__xludf.DUMMYFUNCTION("""COMPUTED_VALUE"""),"LINEA DE ENVASADO FAMILIAR Y PRB")</f>
        <v>LINEA DE ENVASADO FAMILIAR Y PRB</v>
      </c>
      <c r="B1027" s="5">
        <f ca="1">IFERROR(__xludf.DUMMYFUNCTION("""COMPUTED_VALUE"""),900234)</f>
        <v>900234</v>
      </c>
      <c r="C1027" s="5" t="str">
        <f ca="1">IFERROR(__xludf.DUMMYFUNCTION("""COMPUTED_VALUE"""),"PROCESADOR DE BEBIDA")</f>
        <v>PROCESADOR DE BEBIDA</v>
      </c>
      <c r="D1027" s="5">
        <f ca="1">IFERROR(__xludf.DUMMYFUNCTION("""COMPUTED_VALUE"""),13247281)</f>
        <v>13247281</v>
      </c>
      <c r="E1027" s="5" t="str">
        <f ca="1">IFERROR(__xludf.DUMMYFUNCTION("""COMPUTED_VALUE"""),"INSPECCION SEMANAL PROCESADOR DE BEBIDA")</f>
        <v>INSPECCION SEMANAL PROCESADOR DE BEBIDA</v>
      </c>
      <c r="F1027" s="5" t="str">
        <f ca="1">IFERROR(__xludf.DUMMYFUNCTION("""COMPUTED_VALUE"""),"Estado Instrumentos de medidas")</f>
        <v>Estado Instrumentos de medidas</v>
      </c>
      <c r="G1027" s="5" t="b">
        <f ca="1">IFERROR(__xludf.DUMMYFUNCTION("""COMPUTED_VALUE"""),TRUE)</f>
        <v>1</v>
      </c>
      <c r="H1027" s="5"/>
      <c r="I1027" s="5"/>
      <c r="J1027" s="5">
        <f ca="1">IFERROR(__xludf.DUMMYFUNCTION("""COMPUTED_VALUE"""),13247281)</f>
        <v>13247281</v>
      </c>
      <c r="K1027" s="5"/>
      <c r="L1027" s="18">
        <f ca="1">IFERROR(__xludf.DUMMYFUNCTION("""COMPUTED_VALUE"""),45324)</f>
        <v>45324</v>
      </c>
      <c r="M1027" s="18">
        <f ca="1">IFERROR(__xludf.DUMMYFUNCTION("""COMPUTED_VALUE"""),45324)</f>
        <v>45324</v>
      </c>
      <c r="N1027" s="5" t="str">
        <f ca="1">IFERROR(__xludf.DUMMYFUNCTION("""COMPUTED_VALUE"""),"Paz Paz Jhon Estiven")</f>
        <v>Paz Paz Jhon Estiven</v>
      </c>
      <c r="O1027" s="2">
        <f ca="1">IFERROR(__xludf.DUMMYFUNCTION("""COMPUTED_VALUE"""),0.007142857)</f>
        <v>7.1428569999999999E-3</v>
      </c>
      <c r="P1027" s="5">
        <f ca="1">IFERROR(__xludf.DUMMYFUNCTION("""COMPUTED_VALUE"""),20031102)</f>
        <v>20031102</v>
      </c>
      <c r="Q1027" s="5" t="str">
        <f ca="1">IFERROR(__xludf.DUMMYFUNCTION("""COMPUTED_VALUE"""),"TjG3p71VIIE")</f>
        <v>TjG3p71VIIE</v>
      </c>
      <c r="R1027" s="5">
        <f ca="1">IFERROR(__xludf.DUMMYFUNCTION("""COMPUTED_VALUE"""),410)</f>
        <v>410</v>
      </c>
      <c r="S1027" s="62">
        <f ca="1">IFERROR(__xludf.DUMMYFUNCTION("""COMPUTED_VALUE"""),0.007142857)</f>
        <v>7.1428569999999999E-3</v>
      </c>
      <c r="T1027" s="63" t="str">
        <f ca="1">IFERROR(__xludf.DUMMYFUNCTION("""COMPUTED_VALUE"""),"https://storage.googleapis.com/glide-prod.appspot.com/uploads-v2/ly7o78grxPaC6KdgvbpS/pub/3aRdSog0vUtuqPE8AJKD.png")</f>
        <v>https://storage.googleapis.com/glide-prod.appspot.com/uploads-v2/ly7o78grxPaC6KdgvbpS/pub/3aRdSog0vUtuqPE8AJKD.png</v>
      </c>
      <c r="U1027" s="5" t="str">
        <f ca="1">IFERROR(__xludf.DUMMYFUNCTION("""COMPUTED_VALUE"""),"LINEA DE ENVASADO FAMILIAR Y PRBPROCESADOR DE BEBIDA")</f>
        <v>LINEA DE ENVASADO FAMILIAR Y PRBPROCESADOR DE BEBIDA</v>
      </c>
      <c r="V1027" s="5"/>
      <c r="W1027" s="5" t="b">
        <f ca="1">IFERROR(__xludf.DUMMYFUNCTION("""COMPUTED_VALUE"""),TRUE)</f>
        <v>1</v>
      </c>
      <c r="X1027" s="5" t="str">
        <f ca="1">IFERROR(__xludf.DUMMYFUNCTION("""COMPUTED_VALUE"""),"wguerra@postobon.com.co,aprmttoyu@postobon.com.co,aprmyu@postobon.com.co,wmora@postobon.com.co,efzapata@postobon.com.co")</f>
        <v>wguerra@postobon.com.co,aprmttoyu@postobon.com.co,aprmyu@postobon.com.co,wmora@postobon.com.co,efzapata@postobon.com.co</v>
      </c>
      <c r="Y1027" s="5" t="str">
        <f ca="1">IFERROR(__xludf.DUMMYFUNCTION("""COMPUTED_VALUE"""),"wguerra@postobon.com.co")</f>
        <v>wguerra@postobon.com.co</v>
      </c>
      <c r="Z1027" s="5" t="str">
        <f ca="1">IFERROR(__xludf.DUMMYFUNCTION("""COMPUTED_VALUE"""),"a.KHubpG9SgCamHQeEomOgQ")</f>
        <v>a.KHubpG9SgCamHQeEomOgQ</v>
      </c>
      <c r="AA1027" s="5"/>
      <c r="AB1027" s="5"/>
      <c r="AC1027" s="5"/>
      <c r="AD1027" s="5">
        <f ca="1">IFERROR(__xludf.DUMMYFUNCTION("""COMPUTED_VALUE"""),62)</f>
        <v>62</v>
      </c>
      <c r="AE1027" s="5">
        <f ca="1">IFERROR(__xludf.DUMMYFUNCTION("""COMPUTED_VALUE"""),62)</f>
        <v>62</v>
      </c>
      <c r="AF1027" s="5" t="b">
        <f ca="1">IFERROR(__xludf.DUMMYFUNCTION("""COMPUTED_VALUE"""),FALSE)</f>
        <v>0</v>
      </c>
      <c r="AG1027" s="5" t="str">
        <f ca="1">IFERROR(__xludf.DUMMYFUNCTION("""COMPUTED_VALUE"""),"INSPECCIONES REALIZADAS")</f>
        <v>INSPECCIONES REALIZADAS</v>
      </c>
      <c r="AH1027" s="5"/>
    </row>
    <row r="1028" spans="1:34">
      <c r="A1028" s="5" t="str">
        <f ca="1">IFERROR(__xludf.DUMMYFUNCTION("""COMPUTED_VALUE"""),"LINEA DE ENVASADO FAMILIAR Y PRB")</f>
        <v>LINEA DE ENVASADO FAMILIAR Y PRB</v>
      </c>
      <c r="B1028" s="5">
        <f ca="1">IFERROR(__xludf.DUMMYFUNCTION("""COMPUTED_VALUE"""),900234)</f>
        <v>900234</v>
      </c>
      <c r="C1028" s="5" t="str">
        <f ca="1">IFERROR(__xludf.DUMMYFUNCTION("""COMPUTED_VALUE"""),"PROCESADOR DE BEBIDA")</f>
        <v>PROCESADOR DE BEBIDA</v>
      </c>
      <c r="D1028" s="5">
        <f ca="1">IFERROR(__xludf.DUMMYFUNCTION("""COMPUTED_VALUE"""),13247281)</f>
        <v>13247281</v>
      </c>
      <c r="E1028" s="5" t="str">
        <f ca="1">IFERROR(__xludf.DUMMYFUNCTION("""COMPUTED_VALUE"""),"INSPECCION SEMANAL PROCESADOR DE BEBIDA")</f>
        <v>INSPECCION SEMANAL PROCESADOR DE BEBIDA</v>
      </c>
      <c r="F1028" s="5" t="str">
        <f ca="1">IFERROR(__xludf.DUMMYFUNCTION("""COMPUTED_VALUE"""),"Estado de electroválvulas")</f>
        <v>Estado de electroválvulas</v>
      </c>
      <c r="G1028" s="5" t="b">
        <f ca="1">IFERROR(__xludf.DUMMYFUNCTION("""COMPUTED_VALUE"""),TRUE)</f>
        <v>1</v>
      </c>
      <c r="H1028" s="5"/>
      <c r="I1028" s="5"/>
      <c r="J1028" s="5">
        <f ca="1">IFERROR(__xludf.DUMMYFUNCTION("""COMPUTED_VALUE"""),13247281)</f>
        <v>13247281</v>
      </c>
      <c r="K1028" s="5"/>
      <c r="L1028" s="18">
        <f ca="1">IFERROR(__xludf.DUMMYFUNCTION("""COMPUTED_VALUE"""),45324)</f>
        <v>45324</v>
      </c>
      <c r="M1028" s="18">
        <f ca="1">IFERROR(__xludf.DUMMYFUNCTION("""COMPUTED_VALUE"""),45324)</f>
        <v>45324</v>
      </c>
      <c r="N1028" s="5" t="str">
        <f ca="1">IFERROR(__xludf.DUMMYFUNCTION("""COMPUTED_VALUE"""),"Paz Paz Jhon Estiven")</f>
        <v>Paz Paz Jhon Estiven</v>
      </c>
      <c r="O1028" s="2">
        <f ca="1">IFERROR(__xludf.DUMMYFUNCTION("""COMPUTED_VALUE"""),0.007142857)</f>
        <v>7.1428569999999999E-3</v>
      </c>
      <c r="P1028" s="5">
        <f ca="1">IFERROR(__xludf.DUMMYFUNCTION("""COMPUTED_VALUE"""),20031102)</f>
        <v>20031102</v>
      </c>
      <c r="Q1028" s="5" t="str">
        <f ca="1">IFERROR(__xludf.DUMMYFUNCTION("""COMPUTED_VALUE"""),"UGV7k7cfkjk")</f>
        <v>UGV7k7cfkjk</v>
      </c>
      <c r="R1028" s="5">
        <f ca="1">IFERROR(__xludf.DUMMYFUNCTION("""COMPUTED_VALUE"""),410)</f>
        <v>410</v>
      </c>
      <c r="S1028" s="62">
        <f ca="1">IFERROR(__xludf.DUMMYFUNCTION("""COMPUTED_VALUE"""),0.007142857)</f>
        <v>7.1428569999999999E-3</v>
      </c>
      <c r="T1028" s="63" t="str">
        <f ca="1">IFERROR(__xludf.DUMMYFUNCTION("""COMPUTED_VALUE"""),"https://storage.googleapis.com/glide-prod.appspot.com/uploads-v2/ly7o78grxPaC6KdgvbpS/pub/3aRdSog0vUtuqPE8AJKD.png")</f>
        <v>https://storage.googleapis.com/glide-prod.appspot.com/uploads-v2/ly7o78grxPaC6KdgvbpS/pub/3aRdSog0vUtuqPE8AJKD.png</v>
      </c>
      <c r="U1028" s="5" t="str">
        <f ca="1">IFERROR(__xludf.DUMMYFUNCTION("""COMPUTED_VALUE"""),"LINEA DE ENVASADO FAMILIAR Y PRBPROCESADOR DE BEBIDA")</f>
        <v>LINEA DE ENVASADO FAMILIAR Y PRBPROCESADOR DE BEBIDA</v>
      </c>
      <c r="V1028" s="5"/>
      <c r="W1028" s="5" t="b">
        <f ca="1">IFERROR(__xludf.DUMMYFUNCTION("""COMPUTED_VALUE"""),TRUE)</f>
        <v>1</v>
      </c>
      <c r="X1028" s="5" t="str">
        <f ca="1">IFERROR(__xludf.DUMMYFUNCTION("""COMPUTED_VALUE"""),"wguerra@postobon.com.co,aprmttoyu@postobon.com.co,aprmyu@postobon.com.co,wmora@postobon.com.co,efzapata@postobon.com.co")</f>
        <v>wguerra@postobon.com.co,aprmttoyu@postobon.com.co,aprmyu@postobon.com.co,wmora@postobon.com.co,efzapata@postobon.com.co</v>
      </c>
      <c r="Y1028" s="5" t="str">
        <f ca="1">IFERROR(__xludf.DUMMYFUNCTION("""COMPUTED_VALUE"""),"wguerra@postobon.com.co")</f>
        <v>wguerra@postobon.com.co</v>
      </c>
      <c r="Z1028" s="5" t="str">
        <f ca="1">IFERROR(__xludf.DUMMYFUNCTION("""COMPUTED_VALUE"""),"qHnQGsz-Tm-8xBcIxSOnQQ")</f>
        <v>qHnQGsz-Tm-8xBcIxSOnQQ</v>
      </c>
      <c r="AA1028" s="5"/>
      <c r="AB1028" s="5"/>
      <c r="AC1028" s="5"/>
      <c r="AD1028" s="5">
        <f ca="1">IFERROR(__xludf.DUMMYFUNCTION("""COMPUTED_VALUE"""),62)</f>
        <v>62</v>
      </c>
      <c r="AE1028" s="5">
        <f ca="1">IFERROR(__xludf.DUMMYFUNCTION("""COMPUTED_VALUE"""),62)</f>
        <v>62</v>
      </c>
      <c r="AF1028" s="5" t="b">
        <f ca="1">IFERROR(__xludf.DUMMYFUNCTION("""COMPUTED_VALUE"""),FALSE)</f>
        <v>0</v>
      </c>
      <c r="AG1028" s="5" t="str">
        <f ca="1">IFERROR(__xludf.DUMMYFUNCTION("""COMPUTED_VALUE"""),"INSPECCIONES REALIZADAS")</f>
        <v>INSPECCIONES REALIZADAS</v>
      </c>
      <c r="AH1028" s="5"/>
    </row>
    <row r="1029" spans="1:34">
      <c r="A1029" s="5" t="str">
        <f ca="1">IFERROR(__xludf.DUMMYFUNCTION("""COMPUTED_VALUE"""),"LINEA DE ENVASADO FAMILIAR Y PRB")</f>
        <v>LINEA DE ENVASADO FAMILIAR Y PRB</v>
      </c>
      <c r="B1029" s="5">
        <f ca="1">IFERROR(__xludf.DUMMYFUNCTION("""COMPUTED_VALUE"""),900234)</f>
        <v>900234</v>
      </c>
      <c r="C1029" s="5" t="str">
        <f ca="1">IFERROR(__xludf.DUMMYFUNCTION("""COMPUTED_VALUE"""),"PROCESADOR DE BEBIDA")</f>
        <v>PROCESADOR DE BEBIDA</v>
      </c>
      <c r="D1029" s="5">
        <f ca="1">IFERROR(__xludf.DUMMYFUNCTION("""COMPUTED_VALUE"""),13247281)</f>
        <v>13247281</v>
      </c>
      <c r="E1029" s="5" t="str">
        <f ca="1">IFERROR(__xludf.DUMMYFUNCTION("""COMPUTED_VALUE"""),"INSPECCION SEMANAL PROCESADOR DE BEBIDA")</f>
        <v>INSPECCION SEMANAL PROCESADOR DE BEBIDA</v>
      </c>
      <c r="F1029" s="5" t="str">
        <f ca="1">IFERROR(__xludf.DUMMYFUNCTION("""COMPUTED_VALUE"""),"Estado de válvulas neumáticas (proporcionales, de compuerta, diafragma)")</f>
        <v>Estado de válvulas neumáticas (proporcionales, de compuerta, diafragma)</v>
      </c>
      <c r="G1029" s="5" t="b">
        <f ca="1">IFERROR(__xludf.DUMMYFUNCTION("""COMPUTED_VALUE"""),TRUE)</f>
        <v>1</v>
      </c>
      <c r="H1029" s="5"/>
      <c r="I1029" s="5"/>
      <c r="J1029" s="5">
        <f ca="1">IFERROR(__xludf.DUMMYFUNCTION("""COMPUTED_VALUE"""),13247281)</f>
        <v>13247281</v>
      </c>
      <c r="K1029" s="5"/>
      <c r="L1029" s="18">
        <f ca="1">IFERROR(__xludf.DUMMYFUNCTION("""COMPUTED_VALUE"""),45324)</f>
        <v>45324</v>
      </c>
      <c r="M1029" s="18">
        <f ca="1">IFERROR(__xludf.DUMMYFUNCTION("""COMPUTED_VALUE"""),45324)</f>
        <v>45324</v>
      </c>
      <c r="N1029" s="5" t="str">
        <f ca="1">IFERROR(__xludf.DUMMYFUNCTION("""COMPUTED_VALUE"""),"Paz Paz Jhon Estiven")</f>
        <v>Paz Paz Jhon Estiven</v>
      </c>
      <c r="O1029" s="2">
        <f ca="1">IFERROR(__xludf.DUMMYFUNCTION("""COMPUTED_VALUE"""),0.007142857)</f>
        <v>7.1428569999999999E-3</v>
      </c>
      <c r="P1029" s="5">
        <f ca="1">IFERROR(__xludf.DUMMYFUNCTION("""COMPUTED_VALUE"""),20031102)</f>
        <v>20031102</v>
      </c>
      <c r="Q1029" s="5" t="str">
        <f ca="1">IFERROR(__xludf.DUMMYFUNCTION("""COMPUTED_VALUE"""),"VZPTRgWW1AQ")</f>
        <v>VZPTRgWW1AQ</v>
      </c>
      <c r="R1029" s="5">
        <f ca="1">IFERROR(__xludf.DUMMYFUNCTION("""COMPUTED_VALUE"""),410)</f>
        <v>410</v>
      </c>
      <c r="S1029" s="62">
        <f ca="1">IFERROR(__xludf.DUMMYFUNCTION("""COMPUTED_VALUE"""),0.007142857)</f>
        <v>7.1428569999999999E-3</v>
      </c>
      <c r="T1029" s="63" t="str">
        <f ca="1">IFERROR(__xludf.DUMMYFUNCTION("""COMPUTED_VALUE"""),"https://storage.googleapis.com/glide-prod.appspot.com/uploads-v2/ly7o78grxPaC6KdgvbpS/pub/3aRdSog0vUtuqPE8AJKD.png")</f>
        <v>https://storage.googleapis.com/glide-prod.appspot.com/uploads-v2/ly7o78grxPaC6KdgvbpS/pub/3aRdSog0vUtuqPE8AJKD.png</v>
      </c>
      <c r="U1029" s="5" t="str">
        <f ca="1">IFERROR(__xludf.DUMMYFUNCTION("""COMPUTED_VALUE"""),"LINEA DE ENVASADO FAMILIAR Y PRBPROCESADOR DE BEBIDA")</f>
        <v>LINEA DE ENVASADO FAMILIAR Y PRBPROCESADOR DE BEBIDA</v>
      </c>
      <c r="V1029" s="5"/>
      <c r="W1029" s="5" t="b">
        <f ca="1">IFERROR(__xludf.DUMMYFUNCTION("""COMPUTED_VALUE"""),TRUE)</f>
        <v>1</v>
      </c>
      <c r="X1029" s="5" t="str">
        <f ca="1">IFERROR(__xludf.DUMMYFUNCTION("""COMPUTED_VALUE"""),"wguerra@postobon.com.co,aprmttoyu@postobon.com.co,aprmyu@postobon.com.co,wmora@postobon.com.co,efzapata@postobon.com.co")</f>
        <v>wguerra@postobon.com.co,aprmttoyu@postobon.com.co,aprmyu@postobon.com.co,wmora@postobon.com.co,efzapata@postobon.com.co</v>
      </c>
      <c r="Y1029" s="5" t="str">
        <f ca="1">IFERROR(__xludf.DUMMYFUNCTION("""COMPUTED_VALUE"""),"wguerra@postobon.com.co")</f>
        <v>wguerra@postobon.com.co</v>
      </c>
      <c r="Z1029" s="5" t="str">
        <f ca="1">IFERROR(__xludf.DUMMYFUNCTION("""COMPUTED_VALUE"""),"5Rj5-sbxQCCkmlj5u1dQsA")</f>
        <v>5Rj5-sbxQCCkmlj5u1dQsA</v>
      </c>
      <c r="AA1029" s="5"/>
      <c r="AB1029" s="5"/>
      <c r="AC1029" s="5"/>
      <c r="AD1029" s="5">
        <f ca="1">IFERROR(__xludf.DUMMYFUNCTION("""COMPUTED_VALUE"""),62)</f>
        <v>62</v>
      </c>
      <c r="AE1029" s="5">
        <f ca="1">IFERROR(__xludf.DUMMYFUNCTION("""COMPUTED_VALUE"""),62)</f>
        <v>62</v>
      </c>
      <c r="AF1029" s="5" t="b">
        <f ca="1">IFERROR(__xludf.DUMMYFUNCTION("""COMPUTED_VALUE"""),FALSE)</f>
        <v>0</v>
      </c>
      <c r="AG1029" s="5" t="str">
        <f ca="1">IFERROR(__xludf.DUMMYFUNCTION("""COMPUTED_VALUE"""),"INSPECCIONES REALIZADAS")</f>
        <v>INSPECCIONES REALIZADAS</v>
      </c>
      <c r="AH1029" s="5"/>
    </row>
    <row r="1030" spans="1:34">
      <c r="A1030" s="5" t="str">
        <f ca="1">IFERROR(__xludf.DUMMYFUNCTION("""COMPUTED_VALUE"""),"LINEA DE ENVASADO FAMILIAR Y PRB")</f>
        <v>LINEA DE ENVASADO FAMILIAR Y PRB</v>
      </c>
      <c r="B1030" s="5">
        <f ca="1">IFERROR(__xludf.DUMMYFUNCTION("""COMPUTED_VALUE"""),900234)</f>
        <v>900234</v>
      </c>
      <c r="C1030" s="5" t="str">
        <f ca="1">IFERROR(__xludf.DUMMYFUNCTION("""COMPUTED_VALUE"""),"PROCESADOR DE BEBIDA")</f>
        <v>PROCESADOR DE BEBIDA</v>
      </c>
      <c r="D1030" s="5">
        <f ca="1">IFERROR(__xludf.DUMMYFUNCTION("""COMPUTED_VALUE"""),13247281)</f>
        <v>13247281</v>
      </c>
      <c r="E1030" s="5" t="str">
        <f ca="1">IFERROR(__xludf.DUMMYFUNCTION("""COMPUTED_VALUE"""),"INSPECCION SEMANAL PROCESADOR DE BEBIDA")</f>
        <v>INSPECCION SEMANAL PROCESADOR DE BEBIDA</v>
      </c>
      <c r="F1030" s="5" t="str">
        <f ca="1">IFERROR(__xludf.DUMMYFUNCTION("""COMPUTED_VALUE"""),"Estado de tableros eléctricos de mando, control y potencia")</f>
        <v>Estado de tableros eléctricos de mando, control y potencia</v>
      </c>
      <c r="G1030" s="5" t="b">
        <f ca="1">IFERROR(__xludf.DUMMYFUNCTION("""COMPUTED_VALUE"""),TRUE)</f>
        <v>1</v>
      </c>
      <c r="H1030" s="5"/>
      <c r="I1030" s="5"/>
      <c r="J1030" s="5">
        <f ca="1">IFERROR(__xludf.DUMMYFUNCTION("""COMPUTED_VALUE"""),13247281)</f>
        <v>13247281</v>
      </c>
      <c r="K1030" s="5"/>
      <c r="L1030" s="18">
        <f ca="1">IFERROR(__xludf.DUMMYFUNCTION("""COMPUTED_VALUE"""),45324)</f>
        <v>45324</v>
      </c>
      <c r="M1030" s="18">
        <f ca="1">IFERROR(__xludf.DUMMYFUNCTION("""COMPUTED_VALUE"""),45324)</f>
        <v>45324</v>
      </c>
      <c r="N1030" s="5" t="str">
        <f ca="1">IFERROR(__xludf.DUMMYFUNCTION("""COMPUTED_VALUE"""),"Paz Paz Jhon Estiven")</f>
        <v>Paz Paz Jhon Estiven</v>
      </c>
      <c r="O1030" s="2">
        <f ca="1">IFERROR(__xludf.DUMMYFUNCTION("""COMPUTED_VALUE"""),0.007142857)</f>
        <v>7.1428569999999999E-3</v>
      </c>
      <c r="P1030" s="5">
        <f ca="1">IFERROR(__xludf.DUMMYFUNCTION("""COMPUTED_VALUE"""),20031102)</f>
        <v>20031102</v>
      </c>
      <c r="Q1030" s="5" t="str">
        <f ca="1">IFERROR(__xludf.DUMMYFUNCTION("""COMPUTED_VALUE"""),"EExOv5yj884")</f>
        <v>EExOv5yj884</v>
      </c>
      <c r="R1030" s="5">
        <f ca="1">IFERROR(__xludf.DUMMYFUNCTION("""COMPUTED_VALUE"""),410)</f>
        <v>410</v>
      </c>
      <c r="S1030" s="62">
        <f ca="1">IFERROR(__xludf.DUMMYFUNCTION("""COMPUTED_VALUE"""),0.007142857)</f>
        <v>7.1428569999999999E-3</v>
      </c>
      <c r="T1030" s="63" t="str">
        <f ca="1">IFERROR(__xludf.DUMMYFUNCTION("""COMPUTED_VALUE"""),"https://storage.googleapis.com/glide-prod.appspot.com/uploads-v2/ly7o78grxPaC6KdgvbpS/pub/3aRdSog0vUtuqPE8AJKD.png")</f>
        <v>https://storage.googleapis.com/glide-prod.appspot.com/uploads-v2/ly7o78grxPaC6KdgvbpS/pub/3aRdSog0vUtuqPE8AJKD.png</v>
      </c>
      <c r="U1030" s="5" t="str">
        <f ca="1">IFERROR(__xludf.DUMMYFUNCTION("""COMPUTED_VALUE"""),"LINEA DE ENVASADO FAMILIAR Y PRBPROCESADOR DE BEBIDA")</f>
        <v>LINEA DE ENVASADO FAMILIAR Y PRBPROCESADOR DE BEBIDA</v>
      </c>
      <c r="V1030" s="5"/>
      <c r="W1030" s="5" t="b">
        <f ca="1">IFERROR(__xludf.DUMMYFUNCTION("""COMPUTED_VALUE"""),TRUE)</f>
        <v>1</v>
      </c>
      <c r="X1030" s="5" t="str">
        <f ca="1">IFERROR(__xludf.DUMMYFUNCTION("""COMPUTED_VALUE"""),"wguerra@postobon.com.co,aprmttoyu@postobon.com.co,aprmyu@postobon.com.co,wmora@postobon.com.co,efzapata@postobon.com.co")</f>
        <v>wguerra@postobon.com.co,aprmttoyu@postobon.com.co,aprmyu@postobon.com.co,wmora@postobon.com.co,efzapata@postobon.com.co</v>
      </c>
      <c r="Y1030" s="5" t="str">
        <f ca="1">IFERROR(__xludf.DUMMYFUNCTION("""COMPUTED_VALUE"""),"wguerra@postobon.com.co")</f>
        <v>wguerra@postobon.com.co</v>
      </c>
      <c r="Z1030" s="5" t="str">
        <f ca="1">IFERROR(__xludf.DUMMYFUNCTION("""COMPUTED_VALUE"""),"J6ztX6ZoT-yI.1dQP1X-zQ")</f>
        <v>J6ztX6ZoT-yI.1dQP1X-zQ</v>
      </c>
      <c r="AA1030" s="5"/>
      <c r="AB1030" s="5"/>
      <c r="AC1030" s="5"/>
      <c r="AD1030" s="5">
        <f ca="1">IFERROR(__xludf.DUMMYFUNCTION("""COMPUTED_VALUE"""),62)</f>
        <v>62</v>
      </c>
      <c r="AE1030" s="5">
        <f ca="1">IFERROR(__xludf.DUMMYFUNCTION("""COMPUTED_VALUE"""),62)</f>
        <v>62</v>
      </c>
      <c r="AF1030" s="5" t="b">
        <f ca="1">IFERROR(__xludf.DUMMYFUNCTION("""COMPUTED_VALUE"""),FALSE)</f>
        <v>0</v>
      </c>
      <c r="AG1030" s="5" t="str">
        <f ca="1">IFERROR(__xludf.DUMMYFUNCTION("""COMPUTED_VALUE"""),"INSPECCIONES REALIZADAS")</f>
        <v>INSPECCIONES REALIZADAS</v>
      </c>
      <c r="AH1030" s="5"/>
    </row>
    <row r="1031" spans="1:34">
      <c r="A1031" s="5" t="str">
        <f ca="1">IFERROR(__xludf.DUMMYFUNCTION("""COMPUTED_VALUE"""),"LINEA DE ENVASADO FAMILIAR Y PRB")</f>
        <v>LINEA DE ENVASADO FAMILIAR Y PRB</v>
      </c>
      <c r="B1031" s="5">
        <f ca="1">IFERROR(__xludf.DUMMYFUNCTION("""COMPUTED_VALUE"""),900234)</f>
        <v>900234</v>
      </c>
      <c r="C1031" s="5" t="str">
        <f ca="1">IFERROR(__xludf.DUMMYFUNCTION("""COMPUTED_VALUE"""),"PROCESADOR DE BEBIDA")</f>
        <v>PROCESADOR DE BEBIDA</v>
      </c>
      <c r="D1031" s="5">
        <f ca="1">IFERROR(__xludf.DUMMYFUNCTION("""COMPUTED_VALUE"""),13247281)</f>
        <v>13247281</v>
      </c>
      <c r="E1031" s="5" t="str">
        <f ca="1">IFERROR(__xludf.DUMMYFUNCTION("""COMPUTED_VALUE"""),"INSPECCION SEMANAL PROCESADOR DE BEBIDA")</f>
        <v>INSPECCION SEMANAL PROCESADOR DE BEBIDA</v>
      </c>
      <c r="F1031" s="5" t="str">
        <f ca="1">IFERROR(__xludf.DUMMYFUNCTION("""COMPUTED_VALUE"""),"Estado de tuberías, tanques y empaquetaduras")</f>
        <v>Estado de tuberías, tanques y empaquetaduras</v>
      </c>
      <c r="G1031" s="5" t="b">
        <f ca="1">IFERROR(__xludf.DUMMYFUNCTION("""COMPUTED_VALUE"""),TRUE)</f>
        <v>1</v>
      </c>
      <c r="H1031" s="5"/>
      <c r="I1031" s="5"/>
      <c r="J1031" s="5">
        <f ca="1">IFERROR(__xludf.DUMMYFUNCTION("""COMPUTED_VALUE"""),13247281)</f>
        <v>13247281</v>
      </c>
      <c r="K1031" s="5"/>
      <c r="L1031" s="18">
        <f ca="1">IFERROR(__xludf.DUMMYFUNCTION("""COMPUTED_VALUE"""),45324)</f>
        <v>45324</v>
      </c>
      <c r="M1031" s="18">
        <f ca="1">IFERROR(__xludf.DUMMYFUNCTION("""COMPUTED_VALUE"""),45324)</f>
        <v>45324</v>
      </c>
      <c r="N1031" s="5" t="str">
        <f ca="1">IFERROR(__xludf.DUMMYFUNCTION("""COMPUTED_VALUE"""),"Paz Paz Jhon Estiven")</f>
        <v>Paz Paz Jhon Estiven</v>
      </c>
      <c r="O1031" s="2">
        <f ca="1">IFERROR(__xludf.DUMMYFUNCTION("""COMPUTED_VALUE"""),0.007142857)</f>
        <v>7.1428569999999999E-3</v>
      </c>
      <c r="P1031" s="5">
        <f ca="1">IFERROR(__xludf.DUMMYFUNCTION("""COMPUTED_VALUE"""),20031102)</f>
        <v>20031102</v>
      </c>
      <c r="Q1031" s="5" t="str">
        <f ca="1">IFERROR(__xludf.DUMMYFUNCTION("""COMPUTED_VALUE"""),"4bt9Qwz6MNE")</f>
        <v>4bt9Qwz6MNE</v>
      </c>
      <c r="R1031" s="5">
        <f ca="1">IFERROR(__xludf.DUMMYFUNCTION("""COMPUTED_VALUE"""),410)</f>
        <v>410</v>
      </c>
      <c r="S1031" s="62">
        <f ca="1">IFERROR(__xludf.DUMMYFUNCTION("""COMPUTED_VALUE"""),0.007142857)</f>
        <v>7.1428569999999999E-3</v>
      </c>
      <c r="T1031" s="63" t="str">
        <f ca="1">IFERROR(__xludf.DUMMYFUNCTION("""COMPUTED_VALUE"""),"https://storage.googleapis.com/glide-prod.appspot.com/uploads-v2/ly7o78grxPaC6KdgvbpS/pub/3aRdSog0vUtuqPE8AJKD.png")</f>
        <v>https://storage.googleapis.com/glide-prod.appspot.com/uploads-v2/ly7o78grxPaC6KdgvbpS/pub/3aRdSog0vUtuqPE8AJKD.png</v>
      </c>
      <c r="U1031" s="5" t="str">
        <f ca="1">IFERROR(__xludf.DUMMYFUNCTION("""COMPUTED_VALUE"""),"LINEA DE ENVASADO FAMILIAR Y PRBPROCESADOR DE BEBIDA")</f>
        <v>LINEA DE ENVASADO FAMILIAR Y PRBPROCESADOR DE BEBIDA</v>
      </c>
      <c r="V1031" s="5"/>
      <c r="W1031" s="5" t="b">
        <f ca="1">IFERROR(__xludf.DUMMYFUNCTION("""COMPUTED_VALUE"""),TRUE)</f>
        <v>1</v>
      </c>
      <c r="X1031" s="5" t="str">
        <f ca="1">IFERROR(__xludf.DUMMYFUNCTION("""COMPUTED_VALUE"""),"wguerra@postobon.com.co,aprmttoyu@postobon.com.co,aprmyu@postobon.com.co,wmora@postobon.com.co,efzapata@postobon.com.co")</f>
        <v>wguerra@postobon.com.co,aprmttoyu@postobon.com.co,aprmyu@postobon.com.co,wmora@postobon.com.co,efzapata@postobon.com.co</v>
      </c>
      <c r="Y1031" s="5" t="str">
        <f ca="1">IFERROR(__xludf.DUMMYFUNCTION("""COMPUTED_VALUE"""),"wguerra@postobon.com.co")</f>
        <v>wguerra@postobon.com.co</v>
      </c>
      <c r="Z1031" s="5" t="str">
        <f ca="1">IFERROR(__xludf.DUMMYFUNCTION("""COMPUTED_VALUE"""),"Y5cR3sP3Tcuks5oCoWn10w")</f>
        <v>Y5cR3sP3Tcuks5oCoWn10w</v>
      </c>
      <c r="AA1031" s="5"/>
      <c r="AB1031" s="5"/>
      <c r="AC1031" s="5"/>
      <c r="AD1031" s="5">
        <f ca="1">IFERROR(__xludf.DUMMYFUNCTION("""COMPUTED_VALUE"""),62)</f>
        <v>62</v>
      </c>
      <c r="AE1031" s="5">
        <f ca="1">IFERROR(__xludf.DUMMYFUNCTION("""COMPUTED_VALUE"""),62)</f>
        <v>62</v>
      </c>
      <c r="AF1031" s="5" t="b">
        <f ca="1">IFERROR(__xludf.DUMMYFUNCTION("""COMPUTED_VALUE"""),FALSE)</f>
        <v>0</v>
      </c>
      <c r="AG1031" s="5" t="str">
        <f ca="1">IFERROR(__xludf.DUMMYFUNCTION("""COMPUTED_VALUE"""),"INSPECCIONES REALIZADAS")</f>
        <v>INSPECCIONES REALIZADAS</v>
      </c>
      <c r="AH1031" s="5"/>
    </row>
    <row r="1032" spans="1:34">
      <c r="A1032" s="5" t="str">
        <f ca="1">IFERROR(__xludf.DUMMYFUNCTION("""COMPUTED_VALUE"""),"LINEA DE ENVASADO FAMILIAR Y PRB")</f>
        <v>LINEA DE ENVASADO FAMILIAR Y PRB</v>
      </c>
      <c r="B1032" s="5">
        <f ca="1">IFERROR(__xludf.DUMMYFUNCTION("""COMPUTED_VALUE"""),900234)</f>
        <v>900234</v>
      </c>
      <c r="C1032" s="5" t="str">
        <f ca="1">IFERROR(__xludf.DUMMYFUNCTION("""COMPUTED_VALUE"""),"PROCESADOR DE BEBIDA")</f>
        <v>PROCESADOR DE BEBIDA</v>
      </c>
      <c r="D1032" s="5">
        <f ca="1">IFERROR(__xludf.DUMMYFUNCTION("""COMPUTED_VALUE"""),13247281)</f>
        <v>13247281</v>
      </c>
      <c r="E1032" s="5" t="str">
        <f ca="1">IFERROR(__xludf.DUMMYFUNCTION("""COMPUTED_VALUE"""),"INSPECCION SEMANAL PROCESADOR DE BEBIDA")</f>
        <v>INSPECCION SEMANAL PROCESADOR DE BEBIDA</v>
      </c>
      <c r="F1032" s="5" t="str">
        <f ca="1">IFERROR(__xludf.DUMMYFUNCTION("""COMPUTED_VALUE"""),"Estado pintura intercambiador de placas")</f>
        <v>Estado pintura intercambiador de placas</v>
      </c>
      <c r="G1032" s="5" t="b">
        <f ca="1">IFERROR(__xludf.DUMMYFUNCTION("""COMPUTED_VALUE"""),TRUE)</f>
        <v>1</v>
      </c>
      <c r="H1032" s="5"/>
      <c r="I1032" s="5"/>
      <c r="J1032" s="5">
        <f ca="1">IFERROR(__xludf.DUMMYFUNCTION("""COMPUTED_VALUE"""),13247281)</f>
        <v>13247281</v>
      </c>
      <c r="K1032" s="5"/>
      <c r="L1032" s="18">
        <f ca="1">IFERROR(__xludf.DUMMYFUNCTION("""COMPUTED_VALUE"""),45324)</f>
        <v>45324</v>
      </c>
      <c r="M1032" s="18">
        <f ca="1">IFERROR(__xludf.DUMMYFUNCTION("""COMPUTED_VALUE"""),45324)</f>
        <v>45324</v>
      </c>
      <c r="N1032" s="5" t="str">
        <f ca="1">IFERROR(__xludf.DUMMYFUNCTION("""COMPUTED_VALUE"""),"Paz Paz Jhon Estiven")</f>
        <v>Paz Paz Jhon Estiven</v>
      </c>
      <c r="O1032" s="2">
        <f ca="1">IFERROR(__xludf.DUMMYFUNCTION("""COMPUTED_VALUE"""),0.007142857)</f>
        <v>7.1428569999999999E-3</v>
      </c>
      <c r="P1032" s="5">
        <f ca="1">IFERROR(__xludf.DUMMYFUNCTION("""COMPUTED_VALUE"""),20031102)</f>
        <v>20031102</v>
      </c>
      <c r="Q1032" s="5" t="str">
        <f ca="1">IFERROR(__xludf.DUMMYFUNCTION("""COMPUTED_VALUE"""),"U_png-Hsd90")</f>
        <v>U_png-Hsd90</v>
      </c>
      <c r="R1032" s="5">
        <f ca="1">IFERROR(__xludf.DUMMYFUNCTION("""COMPUTED_VALUE"""),410)</f>
        <v>410</v>
      </c>
      <c r="S1032" s="62">
        <f ca="1">IFERROR(__xludf.DUMMYFUNCTION("""COMPUTED_VALUE"""),0.007142857)</f>
        <v>7.1428569999999999E-3</v>
      </c>
      <c r="T1032" s="63" t="str">
        <f ca="1">IFERROR(__xludf.DUMMYFUNCTION("""COMPUTED_VALUE"""),"https://storage.googleapis.com/glide-prod.appspot.com/uploads-v2/ly7o78grxPaC6KdgvbpS/pub/3aRdSog0vUtuqPE8AJKD.png")</f>
        <v>https://storage.googleapis.com/glide-prod.appspot.com/uploads-v2/ly7o78grxPaC6KdgvbpS/pub/3aRdSog0vUtuqPE8AJKD.png</v>
      </c>
      <c r="U1032" s="5" t="str">
        <f ca="1">IFERROR(__xludf.DUMMYFUNCTION("""COMPUTED_VALUE"""),"LINEA DE ENVASADO FAMILIAR Y PRBPROCESADOR DE BEBIDA")</f>
        <v>LINEA DE ENVASADO FAMILIAR Y PRBPROCESADOR DE BEBIDA</v>
      </c>
      <c r="V1032" s="5"/>
      <c r="W1032" s="5" t="b">
        <f ca="1">IFERROR(__xludf.DUMMYFUNCTION("""COMPUTED_VALUE"""),TRUE)</f>
        <v>1</v>
      </c>
      <c r="X1032" s="5" t="str">
        <f ca="1">IFERROR(__xludf.DUMMYFUNCTION("""COMPUTED_VALUE"""),"wguerra@postobon.com.co,aprmttoyu@postobon.com.co,aprmyu@postobon.com.co,wmora@postobon.com.co,efzapata@postobon.com.co")</f>
        <v>wguerra@postobon.com.co,aprmttoyu@postobon.com.co,aprmyu@postobon.com.co,wmora@postobon.com.co,efzapata@postobon.com.co</v>
      </c>
      <c r="Y1032" s="5" t="str">
        <f ca="1">IFERROR(__xludf.DUMMYFUNCTION("""COMPUTED_VALUE"""),"wguerra@postobon.com.co")</f>
        <v>wguerra@postobon.com.co</v>
      </c>
      <c r="Z1032" s="5" t="str">
        <f ca="1">IFERROR(__xludf.DUMMYFUNCTION("""COMPUTED_VALUE"""),"hEdDuY3SQGeEYKiH5IGD8Q")</f>
        <v>hEdDuY3SQGeEYKiH5IGD8Q</v>
      </c>
      <c r="AA1032" s="5"/>
      <c r="AB1032" s="5"/>
      <c r="AC1032" s="5"/>
      <c r="AD1032" s="5">
        <f ca="1">IFERROR(__xludf.DUMMYFUNCTION("""COMPUTED_VALUE"""),62)</f>
        <v>62</v>
      </c>
      <c r="AE1032" s="5">
        <f ca="1">IFERROR(__xludf.DUMMYFUNCTION("""COMPUTED_VALUE"""),62)</f>
        <v>62</v>
      </c>
      <c r="AF1032" s="5" t="b">
        <f ca="1">IFERROR(__xludf.DUMMYFUNCTION("""COMPUTED_VALUE"""),FALSE)</f>
        <v>0</v>
      </c>
      <c r="AG1032" s="5" t="str">
        <f ca="1">IFERROR(__xludf.DUMMYFUNCTION("""COMPUTED_VALUE"""),"INSPECCIONES REALIZADAS")</f>
        <v>INSPECCIONES REALIZADAS</v>
      </c>
      <c r="AH1032" s="5"/>
    </row>
    <row r="1033" spans="1:34">
      <c r="A1033" s="5" t="str">
        <f ca="1">IFERROR(__xludf.DUMMYFUNCTION("""COMPUTED_VALUE"""),"LINEA DE ENVASADO FAMILIAR Y PRB")</f>
        <v>LINEA DE ENVASADO FAMILIAR Y PRB</v>
      </c>
      <c r="B1033" s="5">
        <f ca="1">IFERROR(__xludf.DUMMYFUNCTION("""COMPUTED_VALUE"""),900234)</f>
        <v>900234</v>
      </c>
      <c r="C1033" s="5" t="str">
        <f ca="1">IFERROR(__xludf.DUMMYFUNCTION("""COMPUTED_VALUE"""),"PROCESADOR DE BEBIDA")</f>
        <v>PROCESADOR DE BEBIDA</v>
      </c>
      <c r="D1033" s="5">
        <f ca="1">IFERROR(__xludf.DUMMYFUNCTION("""COMPUTED_VALUE"""),13247281)</f>
        <v>13247281</v>
      </c>
      <c r="E1033" s="5" t="str">
        <f ca="1">IFERROR(__xludf.DUMMYFUNCTION("""COMPUTED_VALUE"""),"INSPECCION SEMANAL PROCESADOR DE BEBIDA")</f>
        <v>INSPECCION SEMANAL PROCESADOR DE BEBIDA</v>
      </c>
      <c r="F1033" s="5" t="str">
        <f ca="1">IFERROR(__xludf.DUMMYFUNCTION("""COMPUTED_VALUE"""),"Estado sistema de refrigeración")</f>
        <v>Estado sistema de refrigeración</v>
      </c>
      <c r="G1033" s="5" t="b">
        <f ca="1">IFERROR(__xludf.DUMMYFUNCTION("""COMPUTED_VALUE"""),TRUE)</f>
        <v>1</v>
      </c>
      <c r="H1033" s="5"/>
      <c r="I1033" s="5"/>
      <c r="J1033" s="5">
        <f ca="1">IFERROR(__xludf.DUMMYFUNCTION("""COMPUTED_VALUE"""),13247281)</f>
        <v>13247281</v>
      </c>
      <c r="K1033" s="5"/>
      <c r="L1033" s="18">
        <f ca="1">IFERROR(__xludf.DUMMYFUNCTION("""COMPUTED_VALUE"""),45324)</f>
        <v>45324</v>
      </c>
      <c r="M1033" s="18">
        <f ca="1">IFERROR(__xludf.DUMMYFUNCTION("""COMPUTED_VALUE"""),45324)</f>
        <v>45324</v>
      </c>
      <c r="N1033" s="5" t="str">
        <f ca="1">IFERROR(__xludf.DUMMYFUNCTION("""COMPUTED_VALUE"""),"Paz Paz Jhon Estiven")</f>
        <v>Paz Paz Jhon Estiven</v>
      </c>
      <c r="O1033" s="2">
        <f ca="1">IFERROR(__xludf.DUMMYFUNCTION("""COMPUTED_VALUE"""),0.007142857)</f>
        <v>7.1428569999999999E-3</v>
      </c>
      <c r="P1033" s="5">
        <f ca="1">IFERROR(__xludf.DUMMYFUNCTION("""COMPUTED_VALUE"""),20031102)</f>
        <v>20031102</v>
      </c>
      <c r="Q1033" s="5" t="str">
        <f ca="1">IFERROR(__xludf.DUMMYFUNCTION("""COMPUTED_VALUE"""),"260sLas93sM")</f>
        <v>260sLas93sM</v>
      </c>
      <c r="R1033" s="5">
        <f ca="1">IFERROR(__xludf.DUMMYFUNCTION("""COMPUTED_VALUE"""),410)</f>
        <v>410</v>
      </c>
      <c r="S1033" s="62">
        <f ca="1">IFERROR(__xludf.DUMMYFUNCTION("""COMPUTED_VALUE"""),0.007142857)</f>
        <v>7.1428569999999999E-3</v>
      </c>
      <c r="T1033" s="63" t="str">
        <f ca="1">IFERROR(__xludf.DUMMYFUNCTION("""COMPUTED_VALUE"""),"https://storage.googleapis.com/glide-prod.appspot.com/uploads-v2/ly7o78grxPaC6KdgvbpS/pub/3aRdSog0vUtuqPE8AJKD.png")</f>
        <v>https://storage.googleapis.com/glide-prod.appspot.com/uploads-v2/ly7o78grxPaC6KdgvbpS/pub/3aRdSog0vUtuqPE8AJKD.png</v>
      </c>
      <c r="U1033" s="5" t="str">
        <f ca="1">IFERROR(__xludf.DUMMYFUNCTION("""COMPUTED_VALUE"""),"LINEA DE ENVASADO FAMILIAR Y PRBPROCESADOR DE BEBIDA")</f>
        <v>LINEA DE ENVASADO FAMILIAR Y PRBPROCESADOR DE BEBIDA</v>
      </c>
      <c r="V1033" s="5"/>
      <c r="W1033" s="5" t="b">
        <f ca="1">IFERROR(__xludf.DUMMYFUNCTION("""COMPUTED_VALUE"""),TRUE)</f>
        <v>1</v>
      </c>
      <c r="X1033" s="5" t="str">
        <f ca="1">IFERROR(__xludf.DUMMYFUNCTION("""COMPUTED_VALUE"""),"wguerra@postobon.com.co,aprmttoyu@postobon.com.co,aprmyu@postobon.com.co,wmora@postobon.com.co,efzapata@postobon.com.co")</f>
        <v>wguerra@postobon.com.co,aprmttoyu@postobon.com.co,aprmyu@postobon.com.co,wmora@postobon.com.co,efzapata@postobon.com.co</v>
      </c>
      <c r="Y1033" s="5" t="str">
        <f ca="1">IFERROR(__xludf.DUMMYFUNCTION("""COMPUTED_VALUE"""),"wguerra@postobon.com.co")</f>
        <v>wguerra@postobon.com.co</v>
      </c>
      <c r="Z1033" s="5" t="str">
        <f ca="1">IFERROR(__xludf.DUMMYFUNCTION("""COMPUTED_VALUE"""),"UirJRLTaS5eGxf9JHarXtQ")</f>
        <v>UirJRLTaS5eGxf9JHarXtQ</v>
      </c>
      <c r="AA1033" s="5"/>
      <c r="AB1033" s="5"/>
      <c r="AC1033" s="5"/>
      <c r="AD1033" s="5">
        <f ca="1">IFERROR(__xludf.DUMMYFUNCTION("""COMPUTED_VALUE"""),62)</f>
        <v>62</v>
      </c>
      <c r="AE1033" s="5">
        <f ca="1">IFERROR(__xludf.DUMMYFUNCTION("""COMPUTED_VALUE"""),62)</f>
        <v>62</v>
      </c>
      <c r="AF1033" s="5" t="b">
        <f ca="1">IFERROR(__xludf.DUMMYFUNCTION("""COMPUTED_VALUE"""),FALSE)</f>
        <v>0</v>
      </c>
      <c r="AG1033" s="5" t="str">
        <f ca="1">IFERROR(__xludf.DUMMYFUNCTION("""COMPUTED_VALUE"""),"INSPECCIONES REALIZADAS")</f>
        <v>INSPECCIONES REALIZADAS</v>
      </c>
      <c r="AH1033" s="5"/>
    </row>
    <row r="1034" spans="1:34">
      <c r="A1034" s="5" t="str">
        <f ca="1">IFERROR(__xludf.DUMMYFUNCTION("""COMPUTED_VALUE"""),"LINEA DE ENVASADO FAMILIAR Y PRB")</f>
        <v>LINEA DE ENVASADO FAMILIAR Y PRB</v>
      </c>
      <c r="B1034" s="5">
        <f ca="1">IFERROR(__xludf.DUMMYFUNCTION("""COMPUTED_VALUE"""),900234)</f>
        <v>900234</v>
      </c>
      <c r="C1034" s="5" t="str">
        <f ca="1">IFERROR(__xludf.DUMMYFUNCTION("""COMPUTED_VALUE"""),"PROCESADOR DE BEBIDA")</f>
        <v>PROCESADOR DE BEBIDA</v>
      </c>
      <c r="D1034" s="5">
        <f ca="1">IFERROR(__xludf.DUMMYFUNCTION("""COMPUTED_VALUE"""),13247281)</f>
        <v>13247281</v>
      </c>
      <c r="E1034" s="5" t="str">
        <f ca="1">IFERROR(__xludf.DUMMYFUNCTION("""COMPUTED_VALUE"""),"INSPECCION SEMANAL PROCESADOR DE BEBIDA")</f>
        <v>INSPECCION SEMANAL PROCESADOR DE BEBIDA</v>
      </c>
      <c r="F1034" s="5" t="str">
        <f ca="1">IFERROR(__xludf.DUMMYFUNCTION("""COMPUTED_VALUE"""),"Estado de sensores")</f>
        <v>Estado de sensores</v>
      </c>
      <c r="G1034" s="5" t="b">
        <f ca="1">IFERROR(__xludf.DUMMYFUNCTION("""COMPUTED_VALUE"""),TRUE)</f>
        <v>1</v>
      </c>
      <c r="H1034" s="5"/>
      <c r="I1034" s="5"/>
      <c r="J1034" s="5">
        <f ca="1">IFERROR(__xludf.DUMMYFUNCTION("""COMPUTED_VALUE"""),13247281)</f>
        <v>13247281</v>
      </c>
      <c r="K1034" s="5"/>
      <c r="L1034" s="18">
        <f ca="1">IFERROR(__xludf.DUMMYFUNCTION("""COMPUTED_VALUE"""),45324)</f>
        <v>45324</v>
      </c>
      <c r="M1034" s="18">
        <f ca="1">IFERROR(__xludf.DUMMYFUNCTION("""COMPUTED_VALUE"""),45324)</f>
        <v>45324</v>
      </c>
      <c r="N1034" s="5" t="str">
        <f ca="1">IFERROR(__xludf.DUMMYFUNCTION("""COMPUTED_VALUE"""),"Paz Paz Jhon Estiven")</f>
        <v>Paz Paz Jhon Estiven</v>
      </c>
      <c r="O1034" s="2">
        <f ca="1">IFERROR(__xludf.DUMMYFUNCTION("""COMPUTED_VALUE"""),0.007142857)</f>
        <v>7.1428569999999999E-3</v>
      </c>
      <c r="P1034" s="5">
        <f ca="1">IFERROR(__xludf.DUMMYFUNCTION("""COMPUTED_VALUE"""),20031102)</f>
        <v>20031102</v>
      </c>
      <c r="Q1034" s="5" t="str">
        <f ca="1">IFERROR(__xludf.DUMMYFUNCTION("""COMPUTED_VALUE"""),"3HmpH-6D_jw")</f>
        <v>3HmpH-6D_jw</v>
      </c>
      <c r="R1034" s="5">
        <f ca="1">IFERROR(__xludf.DUMMYFUNCTION("""COMPUTED_VALUE"""),410)</f>
        <v>410</v>
      </c>
      <c r="S1034" s="62">
        <f ca="1">IFERROR(__xludf.DUMMYFUNCTION("""COMPUTED_VALUE"""),0.007142857)</f>
        <v>7.1428569999999999E-3</v>
      </c>
      <c r="T1034" s="63" t="str">
        <f ca="1">IFERROR(__xludf.DUMMYFUNCTION("""COMPUTED_VALUE"""),"https://storage.googleapis.com/glide-prod.appspot.com/uploads-v2/ly7o78grxPaC6KdgvbpS/pub/3aRdSog0vUtuqPE8AJKD.png")</f>
        <v>https://storage.googleapis.com/glide-prod.appspot.com/uploads-v2/ly7o78grxPaC6KdgvbpS/pub/3aRdSog0vUtuqPE8AJKD.png</v>
      </c>
      <c r="U1034" s="5" t="str">
        <f ca="1">IFERROR(__xludf.DUMMYFUNCTION("""COMPUTED_VALUE"""),"LINEA DE ENVASADO FAMILIAR Y PRBPROCESADOR DE BEBIDA")</f>
        <v>LINEA DE ENVASADO FAMILIAR Y PRBPROCESADOR DE BEBIDA</v>
      </c>
      <c r="V1034" s="5"/>
      <c r="W1034" s="5" t="b">
        <f ca="1">IFERROR(__xludf.DUMMYFUNCTION("""COMPUTED_VALUE"""),TRUE)</f>
        <v>1</v>
      </c>
      <c r="X1034" s="5" t="str">
        <f ca="1">IFERROR(__xludf.DUMMYFUNCTION("""COMPUTED_VALUE"""),"wguerra@postobon.com.co,aprmttoyu@postobon.com.co,aprmyu@postobon.com.co,wmora@postobon.com.co,efzapata@postobon.com.co")</f>
        <v>wguerra@postobon.com.co,aprmttoyu@postobon.com.co,aprmyu@postobon.com.co,wmora@postobon.com.co,efzapata@postobon.com.co</v>
      </c>
      <c r="Y1034" s="5" t="str">
        <f ca="1">IFERROR(__xludf.DUMMYFUNCTION("""COMPUTED_VALUE"""),"wguerra@postobon.com.co")</f>
        <v>wguerra@postobon.com.co</v>
      </c>
      <c r="Z1034" s="5" t="str">
        <f ca="1">IFERROR(__xludf.DUMMYFUNCTION("""COMPUTED_VALUE"""),"tal-upbHTIeh6twKIc4ujQ")</f>
        <v>tal-upbHTIeh6twKIc4ujQ</v>
      </c>
      <c r="AA1034" s="5"/>
      <c r="AB1034" s="5"/>
      <c r="AC1034" s="5"/>
      <c r="AD1034" s="5">
        <f ca="1">IFERROR(__xludf.DUMMYFUNCTION("""COMPUTED_VALUE"""),62)</f>
        <v>62</v>
      </c>
      <c r="AE1034" s="5">
        <f ca="1">IFERROR(__xludf.DUMMYFUNCTION("""COMPUTED_VALUE"""),62)</f>
        <v>62</v>
      </c>
      <c r="AF1034" s="5" t="b">
        <f ca="1">IFERROR(__xludf.DUMMYFUNCTION("""COMPUTED_VALUE"""),FALSE)</f>
        <v>0</v>
      </c>
      <c r="AG1034" s="5" t="str">
        <f ca="1">IFERROR(__xludf.DUMMYFUNCTION("""COMPUTED_VALUE"""),"INSPECCIONES REALIZADAS")</f>
        <v>INSPECCIONES REALIZADAS</v>
      </c>
      <c r="AH1034" s="5"/>
    </row>
    <row r="1035" spans="1:34">
      <c r="A1035" s="5" t="str">
        <f ca="1">IFERROR(__xludf.DUMMYFUNCTION("""COMPUTED_VALUE"""),"LINEA DE ENVASADO FAMILIAR Y PRB")</f>
        <v>LINEA DE ENVASADO FAMILIAR Y PRB</v>
      </c>
      <c r="B1035" s="5">
        <f ca="1">IFERROR(__xludf.DUMMYFUNCTION("""COMPUTED_VALUE"""),900234)</f>
        <v>900234</v>
      </c>
      <c r="C1035" s="5" t="str">
        <f ca="1">IFERROR(__xludf.DUMMYFUNCTION("""COMPUTED_VALUE"""),"PROCESADOR DE BEBIDA")</f>
        <v>PROCESADOR DE BEBIDA</v>
      </c>
      <c r="D1035" s="5">
        <f ca="1">IFERROR(__xludf.DUMMYFUNCTION("""COMPUTED_VALUE"""),13247281)</f>
        <v>13247281</v>
      </c>
      <c r="E1035" s="5" t="str">
        <f ca="1">IFERROR(__xludf.DUMMYFUNCTION("""COMPUTED_VALUE"""),"INSPECCION SEMANAL PROCESADOR DE BEBIDA")</f>
        <v>INSPECCION SEMANAL PROCESADOR DE BEBIDA</v>
      </c>
      <c r="F1035" s="5" t="str">
        <f ca="1">IFERROR(__xludf.DUMMYFUNCTION("""COMPUTED_VALUE"""),"Estado y limpieza de extractor y/o climatizador tablero eléctrico")</f>
        <v>Estado y limpieza de extractor y/o climatizador tablero eléctrico</v>
      </c>
      <c r="G1035" s="5" t="b">
        <f ca="1">IFERROR(__xludf.DUMMYFUNCTION("""COMPUTED_VALUE"""),TRUE)</f>
        <v>1</v>
      </c>
      <c r="H1035" s="5"/>
      <c r="I1035" s="5"/>
      <c r="J1035" s="5">
        <f ca="1">IFERROR(__xludf.DUMMYFUNCTION("""COMPUTED_VALUE"""),13247281)</f>
        <v>13247281</v>
      </c>
      <c r="K1035" s="5"/>
      <c r="L1035" s="18">
        <f ca="1">IFERROR(__xludf.DUMMYFUNCTION("""COMPUTED_VALUE"""),45324)</f>
        <v>45324</v>
      </c>
      <c r="M1035" s="18">
        <f ca="1">IFERROR(__xludf.DUMMYFUNCTION("""COMPUTED_VALUE"""),45324)</f>
        <v>45324</v>
      </c>
      <c r="N1035" s="5" t="str">
        <f ca="1">IFERROR(__xludf.DUMMYFUNCTION("""COMPUTED_VALUE"""),"Paz Paz Jhon Estiven")</f>
        <v>Paz Paz Jhon Estiven</v>
      </c>
      <c r="O1035" s="2">
        <f ca="1">IFERROR(__xludf.DUMMYFUNCTION("""COMPUTED_VALUE"""),0.007142857)</f>
        <v>7.1428569999999999E-3</v>
      </c>
      <c r="P1035" s="5">
        <f ca="1">IFERROR(__xludf.DUMMYFUNCTION("""COMPUTED_VALUE"""),20031102)</f>
        <v>20031102</v>
      </c>
      <c r="Q1035" s="5" t="str">
        <f ca="1">IFERROR(__xludf.DUMMYFUNCTION("""COMPUTED_VALUE"""),"sdkQ5oKmsVw")</f>
        <v>sdkQ5oKmsVw</v>
      </c>
      <c r="R1035" s="5">
        <f ca="1">IFERROR(__xludf.DUMMYFUNCTION("""COMPUTED_VALUE"""),410)</f>
        <v>410</v>
      </c>
      <c r="S1035" s="62">
        <f ca="1">IFERROR(__xludf.DUMMYFUNCTION("""COMPUTED_VALUE"""),0.007142857)</f>
        <v>7.1428569999999999E-3</v>
      </c>
      <c r="T1035" s="63" t="str">
        <f ca="1">IFERROR(__xludf.DUMMYFUNCTION("""COMPUTED_VALUE"""),"https://storage.googleapis.com/glide-prod.appspot.com/uploads-v2/ly7o78grxPaC6KdgvbpS/pub/3aRdSog0vUtuqPE8AJKD.png")</f>
        <v>https://storage.googleapis.com/glide-prod.appspot.com/uploads-v2/ly7o78grxPaC6KdgvbpS/pub/3aRdSog0vUtuqPE8AJKD.png</v>
      </c>
      <c r="U1035" s="5" t="str">
        <f ca="1">IFERROR(__xludf.DUMMYFUNCTION("""COMPUTED_VALUE"""),"LINEA DE ENVASADO FAMILIAR Y PRBPROCESADOR DE BEBIDA")</f>
        <v>LINEA DE ENVASADO FAMILIAR Y PRBPROCESADOR DE BEBIDA</v>
      </c>
      <c r="V1035" s="5"/>
      <c r="W1035" s="5" t="b">
        <f ca="1">IFERROR(__xludf.DUMMYFUNCTION("""COMPUTED_VALUE"""),TRUE)</f>
        <v>1</v>
      </c>
      <c r="X1035" s="5" t="str">
        <f ca="1">IFERROR(__xludf.DUMMYFUNCTION("""COMPUTED_VALUE"""),"wguerra@postobon.com.co,aprmttoyu@postobon.com.co,aprmyu@postobon.com.co,wmora@postobon.com.co,efzapata@postobon.com.co")</f>
        <v>wguerra@postobon.com.co,aprmttoyu@postobon.com.co,aprmyu@postobon.com.co,wmora@postobon.com.co,efzapata@postobon.com.co</v>
      </c>
      <c r="Y1035" s="5" t="str">
        <f ca="1">IFERROR(__xludf.DUMMYFUNCTION("""COMPUTED_VALUE"""),"wguerra@postobon.com.co")</f>
        <v>wguerra@postobon.com.co</v>
      </c>
      <c r="Z1035" s="5" t="str">
        <f ca="1">IFERROR(__xludf.DUMMYFUNCTION("""COMPUTED_VALUE"""),"3IEx57nQREKUAdKww19pPQ")</f>
        <v>3IEx57nQREKUAdKww19pPQ</v>
      </c>
      <c r="AA1035" s="5"/>
      <c r="AB1035" s="5"/>
      <c r="AC1035" s="5"/>
      <c r="AD1035" s="5">
        <f ca="1">IFERROR(__xludf.DUMMYFUNCTION("""COMPUTED_VALUE"""),62)</f>
        <v>62</v>
      </c>
      <c r="AE1035" s="5">
        <f ca="1">IFERROR(__xludf.DUMMYFUNCTION("""COMPUTED_VALUE"""),62)</f>
        <v>62</v>
      </c>
      <c r="AF1035" s="5" t="b">
        <f ca="1">IFERROR(__xludf.DUMMYFUNCTION("""COMPUTED_VALUE"""),FALSE)</f>
        <v>0</v>
      </c>
      <c r="AG1035" s="5" t="str">
        <f ca="1">IFERROR(__xludf.DUMMYFUNCTION("""COMPUTED_VALUE"""),"INSPECCIONES REALIZADAS")</f>
        <v>INSPECCIONES REALIZADAS</v>
      </c>
      <c r="AH1035" s="5"/>
    </row>
    <row r="1036" spans="1:34">
      <c r="A1036" s="5" t="str">
        <f ca="1">IFERROR(__xludf.DUMMYFUNCTION("""COMPUTED_VALUE"""),"LINEA DE ENVASADO TAMAÑO PERSONAL")</f>
        <v>LINEA DE ENVASADO TAMAÑO PERSONAL</v>
      </c>
      <c r="B1036" s="5">
        <f ca="1">IFERROR(__xludf.DUMMYFUNCTION("""COMPUTED_VALUE"""),900235)</f>
        <v>900235</v>
      </c>
      <c r="C1036" s="5" t="str">
        <f ca="1">IFERROR(__xludf.DUMMYFUNCTION("""COMPUTED_VALUE"""),"PROCESADOR DE BEBIDA")</f>
        <v>PROCESADOR DE BEBIDA</v>
      </c>
      <c r="D1036" s="5">
        <f ca="1">IFERROR(__xludf.DUMMYFUNCTION("""COMPUTED_VALUE"""),13247633)</f>
        <v>13247633</v>
      </c>
      <c r="E1036" s="5" t="str">
        <f ca="1">IFERROR(__xludf.DUMMYFUNCTION("""COMPUTED_VALUE"""),"INSPECCION SEMANAL PROCESADOR DE BEBIDA")</f>
        <v>INSPECCION SEMANAL PROCESADOR DE BEBIDA</v>
      </c>
      <c r="F1036" s="5" t="str">
        <f ca="1">IFERROR(__xludf.DUMMYFUNCTION("""COMPUTED_VALUE"""),"Fugas (aire, agua, co2, jarabe)")</f>
        <v>Fugas (aire, agua, co2, jarabe)</v>
      </c>
      <c r="G1036" s="5" t="b">
        <f ca="1">IFERROR(__xludf.DUMMYFUNCTION("""COMPUTED_VALUE"""),TRUE)</f>
        <v>1</v>
      </c>
      <c r="H1036" s="5"/>
      <c r="I1036" s="5"/>
      <c r="J1036" s="5">
        <f ca="1">IFERROR(__xludf.DUMMYFUNCTION("""COMPUTED_VALUE"""),13247633)</f>
        <v>13247633</v>
      </c>
      <c r="K1036" s="5"/>
      <c r="L1036" s="18">
        <f ca="1">IFERROR(__xludf.DUMMYFUNCTION("""COMPUTED_VALUE"""),45324)</f>
        <v>45324</v>
      </c>
      <c r="M1036" s="18">
        <f ca="1">IFERROR(__xludf.DUMMYFUNCTION("""COMPUTED_VALUE"""),45324)</f>
        <v>45324</v>
      </c>
      <c r="N1036" s="5" t="str">
        <f ca="1">IFERROR(__xludf.DUMMYFUNCTION("""COMPUTED_VALUE"""),"Paz Paz Jhon Estiven")</f>
        <v>Paz Paz Jhon Estiven</v>
      </c>
      <c r="O1036" s="2">
        <f ca="1">IFERROR(__xludf.DUMMYFUNCTION("""COMPUTED_VALUE"""),0.007142857)</f>
        <v>7.1428569999999999E-3</v>
      </c>
      <c r="P1036" s="5">
        <f ca="1">IFERROR(__xludf.DUMMYFUNCTION("""COMPUTED_VALUE"""),20031102)</f>
        <v>20031102</v>
      </c>
      <c r="Q1036" s="5" t="str">
        <f ca="1">IFERROR(__xludf.DUMMYFUNCTION("""COMPUTED_VALUE"""),"M6eIfVtaHMQ")</f>
        <v>M6eIfVtaHMQ</v>
      </c>
      <c r="R1036" s="5">
        <f ca="1">IFERROR(__xludf.DUMMYFUNCTION("""COMPUTED_VALUE"""),410)</f>
        <v>410</v>
      </c>
      <c r="S1036" s="62">
        <f ca="1">IFERROR(__xludf.DUMMYFUNCTION("""COMPUTED_VALUE"""),0.007142857)</f>
        <v>7.1428569999999999E-3</v>
      </c>
      <c r="T1036" s="63" t="str">
        <f ca="1">IFERROR(__xludf.DUMMYFUNCTION("""COMPUTED_VALUE"""),"https://storage.googleapis.com/glide-prod.appspot.com/uploads-v2/ly7o78grxPaC6KdgvbpS/pub/3aRdSog0vUtuqPE8AJKD.png")</f>
        <v>https://storage.googleapis.com/glide-prod.appspot.com/uploads-v2/ly7o78grxPaC6KdgvbpS/pub/3aRdSog0vUtuqPE8AJKD.png</v>
      </c>
      <c r="U1036" s="5" t="str">
        <f ca="1">IFERROR(__xludf.DUMMYFUNCTION("""COMPUTED_VALUE"""),"LINEA DE ENVASADO TAMAÑO PERSONALPROCESADOR DE BEBIDA")</f>
        <v>LINEA DE ENVASADO TAMAÑO PERSONALPROCESADOR DE BEBIDA</v>
      </c>
      <c r="V1036" s="5"/>
      <c r="W1036" s="5" t="b">
        <f ca="1">IFERROR(__xludf.DUMMYFUNCTION("""COMPUTED_VALUE"""),TRUE)</f>
        <v>1</v>
      </c>
      <c r="X1036" s="5" t="str">
        <f ca="1">IFERROR(__xludf.DUMMYFUNCTION("""COMPUTED_VALUE"""),"wguerra@postobon.com.co,aprmttoyu@postobon.com.co,aprmyu@postobon.com.co,wmora@postobon.com.co,efzapata@postobon.com.co")</f>
        <v>wguerra@postobon.com.co,aprmttoyu@postobon.com.co,aprmyu@postobon.com.co,wmora@postobon.com.co,efzapata@postobon.com.co</v>
      </c>
      <c r="Y1036" s="5" t="str">
        <f ca="1">IFERROR(__xludf.DUMMYFUNCTION("""COMPUTED_VALUE"""),"wguerra@postobon.com.co")</f>
        <v>wguerra@postobon.com.co</v>
      </c>
      <c r="Z1036" s="5" t="str">
        <f ca="1">IFERROR(__xludf.DUMMYFUNCTION("""COMPUTED_VALUE"""),"4M5m9zFGS4uAk.RwmoUCHQ")</f>
        <v>4M5m9zFGS4uAk.RwmoUCHQ</v>
      </c>
      <c r="AA1036" s="5"/>
      <c r="AB1036" s="5"/>
      <c r="AC1036" s="5"/>
      <c r="AD1036" s="5">
        <f ca="1">IFERROR(__xludf.DUMMYFUNCTION("""COMPUTED_VALUE"""),62)</f>
        <v>62</v>
      </c>
      <c r="AE1036" s="5">
        <f ca="1">IFERROR(__xludf.DUMMYFUNCTION("""COMPUTED_VALUE"""),62)</f>
        <v>62</v>
      </c>
      <c r="AF1036" s="5" t="b">
        <f ca="1">IFERROR(__xludf.DUMMYFUNCTION("""COMPUTED_VALUE"""),FALSE)</f>
        <v>0</v>
      </c>
      <c r="AG1036" s="5" t="str">
        <f ca="1">IFERROR(__xludf.DUMMYFUNCTION("""COMPUTED_VALUE"""),"INSPECCIONES REALIZADAS")</f>
        <v>INSPECCIONES REALIZADAS</v>
      </c>
      <c r="AH1036" s="5"/>
    </row>
    <row r="1037" spans="1:34">
      <c r="A1037" s="5" t="str">
        <f ca="1">IFERROR(__xludf.DUMMYFUNCTION("""COMPUTED_VALUE"""),"LINEA DE ENVASADO TAMAÑO PERSONAL")</f>
        <v>LINEA DE ENVASADO TAMAÑO PERSONAL</v>
      </c>
      <c r="B1037" s="5">
        <f ca="1">IFERROR(__xludf.DUMMYFUNCTION("""COMPUTED_VALUE"""),900235)</f>
        <v>900235</v>
      </c>
      <c r="C1037" s="5" t="str">
        <f ca="1">IFERROR(__xludf.DUMMYFUNCTION("""COMPUTED_VALUE"""),"PROCESADOR DE BEBIDA")</f>
        <v>PROCESADOR DE BEBIDA</v>
      </c>
      <c r="D1037" s="5">
        <f ca="1">IFERROR(__xludf.DUMMYFUNCTION("""COMPUTED_VALUE"""),13247633)</f>
        <v>13247633</v>
      </c>
      <c r="E1037" s="5" t="str">
        <f ca="1">IFERROR(__xludf.DUMMYFUNCTION("""COMPUTED_VALUE"""),"INSPECCION SEMANAL PROCESADOR DE BEBIDA")</f>
        <v>INSPECCION SEMANAL PROCESADOR DE BEBIDA</v>
      </c>
      <c r="F1037" s="5" t="str">
        <f ca="1">IFERROR(__xludf.DUMMYFUNCTION("""COMPUTED_VALUE"""),"Estado sistema de enfriamiento bomba vacio")</f>
        <v>Estado sistema de enfriamiento bomba vacio</v>
      </c>
      <c r="G1037" s="5" t="b">
        <f ca="1">IFERROR(__xludf.DUMMYFUNCTION("""COMPUTED_VALUE"""),TRUE)</f>
        <v>1</v>
      </c>
      <c r="H1037" s="5"/>
      <c r="I1037" s="5"/>
      <c r="J1037" s="5">
        <f ca="1">IFERROR(__xludf.DUMMYFUNCTION("""COMPUTED_VALUE"""),13247633)</f>
        <v>13247633</v>
      </c>
      <c r="K1037" s="5"/>
      <c r="L1037" s="18">
        <f ca="1">IFERROR(__xludf.DUMMYFUNCTION("""COMPUTED_VALUE"""),45324)</f>
        <v>45324</v>
      </c>
      <c r="M1037" s="18">
        <f ca="1">IFERROR(__xludf.DUMMYFUNCTION("""COMPUTED_VALUE"""),45324)</f>
        <v>45324</v>
      </c>
      <c r="N1037" s="5" t="str">
        <f ca="1">IFERROR(__xludf.DUMMYFUNCTION("""COMPUTED_VALUE"""),"Paz Paz Jhon Estiven")</f>
        <v>Paz Paz Jhon Estiven</v>
      </c>
      <c r="O1037" s="2">
        <f ca="1">IFERROR(__xludf.DUMMYFUNCTION("""COMPUTED_VALUE"""),0.007142857)</f>
        <v>7.1428569999999999E-3</v>
      </c>
      <c r="P1037" s="5">
        <f ca="1">IFERROR(__xludf.DUMMYFUNCTION("""COMPUTED_VALUE"""),20031102)</f>
        <v>20031102</v>
      </c>
      <c r="Q1037" s="5" t="str">
        <f ca="1">IFERROR(__xludf.DUMMYFUNCTION("""COMPUTED_VALUE"""),"YXuLHTNe8NQ")</f>
        <v>YXuLHTNe8NQ</v>
      </c>
      <c r="R1037" s="5">
        <f ca="1">IFERROR(__xludf.DUMMYFUNCTION("""COMPUTED_VALUE"""),410)</f>
        <v>410</v>
      </c>
      <c r="S1037" s="62">
        <f ca="1">IFERROR(__xludf.DUMMYFUNCTION("""COMPUTED_VALUE"""),0.007142857)</f>
        <v>7.1428569999999999E-3</v>
      </c>
      <c r="T1037" s="63" t="str">
        <f ca="1">IFERROR(__xludf.DUMMYFUNCTION("""COMPUTED_VALUE"""),"https://storage.googleapis.com/glide-prod.appspot.com/uploads-v2/ly7o78grxPaC6KdgvbpS/pub/3aRdSog0vUtuqPE8AJKD.png")</f>
        <v>https://storage.googleapis.com/glide-prod.appspot.com/uploads-v2/ly7o78grxPaC6KdgvbpS/pub/3aRdSog0vUtuqPE8AJKD.png</v>
      </c>
      <c r="U1037" s="5" t="str">
        <f ca="1">IFERROR(__xludf.DUMMYFUNCTION("""COMPUTED_VALUE"""),"LINEA DE ENVASADO TAMAÑO PERSONALPROCESADOR DE BEBIDA")</f>
        <v>LINEA DE ENVASADO TAMAÑO PERSONALPROCESADOR DE BEBIDA</v>
      </c>
      <c r="V1037" s="5"/>
      <c r="W1037" s="5" t="b">
        <f ca="1">IFERROR(__xludf.DUMMYFUNCTION("""COMPUTED_VALUE"""),TRUE)</f>
        <v>1</v>
      </c>
      <c r="X1037" s="5" t="str">
        <f ca="1">IFERROR(__xludf.DUMMYFUNCTION("""COMPUTED_VALUE"""),"wguerra@postobon.com.co,aprmttoyu@postobon.com.co,aprmyu@postobon.com.co,wmora@postobon.com.co,efzapata@postobon.com.co")</f>
        <v>wguerra@postobon.com.co,aprmttoyu@postobon.com.co,aprmyu@postobon.com.co,wmora@postobon.com.co,efzapata@postobon.com.co</v>
      </c>
      <c r="Y1037" s="5" t="str">
        <f ca="1">IFERROR(__xludf.DUMMYFUNCTION("""COMPUTED_VALUE"""),"wguerra@postobon.com.co")</f>
        <v>wguerra@postobon.com.co</v>
      </c>
      <c r="Z1037" s="5" t="str">
        <f ca="1">IFERROR(__xludf.DUMMYFUNCTION("""COMPUTED_VALUE"""),"VeyvCdYrQE-EpNyeWLQvbA")</f>
        <v>VeyvCdYrQE-EpNyeWLQvbA</v>
      </c>
      <c r="AA1037" s="5"/>
      <c r="AB1037" s="5"/>
      <c r="AC1037" s="5"/>
      <c r="AD1037" s="5">
        <f ca="1">IFERROR(__xludf.DUMMYFUNCTION("""COMPUTED_VALUE"""),62)</f>
        <v>62</v>
      </c>
      <c r="AE1037" s="5">
        <f ca="1">IFERROR(__xludf.DUMMYFUNCTION("""COMPUTED_VALUE"""),62)</f>
        <v>62</v>
      </c>
      <c r="AF1037" s="5" t="b">
        <f ca="1">IFERROR(__xludf.DUMMYFUNCTION("""COMPUTED_VALUE"""),FALSE)</f>
        <v>0</v>
      </c>
      <c r="AG1037" s="5" t="str">
        <f ca="1">IFERROR(__xludf.DUMMYFUNCTION("""COMPUTED_VALUE"""),"INSPECCIONES REALIZADAS")</f>
        <v>INSPECCIONES REALIZADAS</v>
      </c>
      <c r="AH1037" s="5"/>
    </row>
    <row r="1038" spans="1:34">
      <c r="A1038" s="5" t="str">
        <f ca="1">IFERROR(__xludf.DUMMYFUNCTION("""COMPUTED_VALUE"""),"LINEA DE ENVASADO TAMAÑO PERSONAL")</f>
        <v>LINEA DE ENVASADO TAMAÑO PERSONAL</v>
      </c>
      <c r="B1038" s="5">
        <f ca="1">IFERROR(__xludf.DUMMYFUNCTION("""COMPUTED_VALUE"""),900235)</f>
        <v>900235</v>
      </c>
      <c r="C1038" s="5" t="str">
        <f ca="1">IFERROR(__xludf.DUMMYFUNCTION("""COMPUTED_VALUE"""),"PROCESADOR DE BEBIDA")</f>
        <v>PROCESADOR DE BEBIDA</v>
      </c>
      <c r="D1038" s="5">
        <f ca="1">IFERROR(__xludf.DUMMYFUNCTION("""COMPUTED_VALUE"""),13247633)</f>
        <v>13247633</v>
      </c>
      <c r="E1038" s="5" t="str">
        <f ca="1">IFERROR(__xludf.DUMMYFUNCTION("""COMPUTED_VALUE"""),"INSPECCION SEMANAL PROCESADOR DE BEBIDA")</f>
        <v>INSPECCION SEMANAL PROCESADOR DE BEBIDA</v>
      </c>
      <c r="F1038" s="5" t="str">
        <f ca="1">IFERROR(__xludf.DUMMYFUNCTION("""COMPUTED_VALUE"""),"Estado mangueras")</f>
        <v>Estado mangueras</v>
      </c>
      <c r="G1038" s="5" t="b">
        <f ca="1">IFERROR(__xludf.DUMMYFUNCTION("""COMPUTED_VALUE"""),TRUE)</f>
        <v>1</v>
      </c>
      <c r="H1038" s="5"/>
      <c r="I1038" s="5"/>
      <c r="J1038" s="5">
        <f ca="1">IFERROR(__xludf.DUMMYFUNCTION("""COMPUTED_VALUE"""),13247633)</f>
        <v>13247633</v>
      </c>
      <c r="K1038" s="5"/>
      <c r="L1038" s="18">
        <f ca="1">IFERROR(__xludf.DUMMYFUNCTION("""COMPUTED_VALUE"""),45324)</f>
        <v>45324</v>
      </c>
      <c r="M1038" s="18">
        <f ca="1">IFERROR(__xludf.DUMMYFUNCTION("""COMPUTED_VALUE"""),45324)</f>
        <v>45324</v>
      </c>
      <c r="N1038" s="5" t="str">
        <f ca="1">IFERROR(__xludf.DUMMYFUNCTION("""COMPUTED_VALUE"""),"Paz Paz Jhon Estiven")</f>
        <v>Paz Paz Jhon Estiven</v>
      </c>
      <c r="O1038" s="2">
        <f ca="1">IFERROR(__xludf.DUMMYFUNCTION("""COMPUTED_VALUE"""),0.007142857)</f>
        <v>7.1428569999999999E-3</v>
      </c>
      <c r="P1038" s="5">
        <f ca="1">IFERROR(__xludf.DUMMYFUNCTION("""COMPUTED_VALUE"""),20031102)</f>
        <v>20031102</v>
      </c>
      <c r="Q1038" s="5" t="str">
        <f ca="1">IFERROR(__xludf.DUMMYFUNCTION("""COMPUTED_VALUE"""),"vRiogJFmzCU")</f>
        <v>vRiogJFmzCU</v>
      </c>
      <c r="R1038" s="5">
        <f ca="1">IFERROR(__xludf.DUMMYFUNCTION("""COMPUTED_VALUE"""),410)</f>
        <v>410</v>
      </c>
      <c r="S1038" s="62">
        <f ca="1">IFERROR(__xludf.DUMMYFUNCTION("""COMPUTED_VALUE"""),0.007142857)</f>
        <v>7.1428569999999999E-3</v>
      </c>
      <c r="T1038" s="63" t="str">
        <f ca="1">IFERROR(__xludf.DUMMYFUNCTION("""COMPUTED_VALUE"""),"https://storage.googleapis.com/glide-prod.appspot.com/uploads-v2/ly7o78grxPaC6KdgvbpS/pub/3aRdSog0vUtuqPE8AJKD.png")</f>
        <v>https://storage.googleapis.com/glide-prod.appspot.com/uploads-v2/ly7o78grxPaC6KdgvbpS/pub/3aRdSog0vUtuqPE8AJKD.png</v>
      </c>
      <c r="U1038" s="5" t="str">
        <f ca="1">IFERROR(__xludf.DUMMYFUNCTION("""COMPUTED_VALUE"""),"LINEA DE ENVASADO TAMAÑO PERSONALPROCESADOR DE BEBIDA")</f>
        <v>LINEA DE ENVASADO TAMAÑO PERSONALPROCESADOR DE BEBIDA</v>
      </c>
      <c r="V1038" s="5"/>
      <c r="W1038" s="5" t="b">
        <f ca="1">IFERROR(__xludf.DUMMYFUNCTION("""COMPUTED_VALUE"""),TRUE)</f>
        <v>1</v>
      </c>
      <c r="X1038" s="5" t="str">
        <f ca="1">IFERROR(__xludf.DUMMYFUNCTION("""COMPUTED_VALUE"""),"wguerra@postobon.com.co,aprmttoyu@postobon.com.co,aprmyu@postobon.com.co,wmora@postobon.com.co,efzapata@postobon.com.co")</f>
        <v>wguerra@postobon.com.co,aprmttoyu@postobon.com.co,aprmyu@postobon.com.co,wmora@postobon.com.co,efzapata@postobon.com.co</v>
      </c>
      <c r="Y1038" s="5" t="str">
        <f ca="1">IFERROR(__xludf.DUMMYFUNCTION("""COMPUTED_VALUE"""),"wguerra@postobon.com.co")</f>
        <v>wguerra@postobon.com.co</v>
      </c>
      <c r="Z1038" s="5" t="str">
        <f ca="1">IFERROR(__xludf.DUMMYFUNCTION("""COMPUTED_VALUE"""),"8wwUXvfsR2KNBOSkgFpd2g")</f>
        <v>8wwUXvfsR2KNBOSkgFpd2g</v>
      </c>
      <c r="AA1038" s="5"/>
      <c r="AB1038" s="5"/>
      <c r="AC1038" s="5"/>
      <c r="AD1038" s="5">
        <f ca="1">IFERROR(__xludf.DUMMYFUNCTION("""COMPUTED_VALUE"""),62)</f>
        <v>62</v>
      </c>
      <c r="AE1038" s="5">
        <f ca="1">IFERROR(__xludf.DUMMYFUNCTION("""COMPUTED_VALUE"""),62)</f>
        <v>62</v>
      </c>
      <c r="AF1038" s="5" t="b">
        <f ca="1">IFERROR(__xludf.DUMMYFUNCTION("""COMPUTED_VALUE"""),FALSE)</f>
        <v>0</v>
      </c>
      <c r="AG1038" s="5" t="str">
        <f ca="1">IFERROR(__xludf.DUMMYFUNCTION("""COMPUTED_VALUE"""),"INSPECCIONES REALIZADAS")</f>
        <v>INSPECCIONES REALIZADAS</v>
      </c>
      <c r="AH1038" s="5"/>
    </row>
    <row r="1039" spans="1:34">
      <c r="A1039" s="5" t="str">
        <f ca="1">IFERROR(__xludf.DUMMYFUNCTION("""COMPUTED_VALUE"""),"LINEA DE ENVASADO TAMAÑO PERSONAL")</f>
        <v>LINEA DE ENVASADO TAMAÑO PERSONAL</v>
      </c>
      <c r="B1039" s="5">
        <f ca="1">IFERROR(__xludf.DUMMYFUNCTION("""COMPUTED_VALUE"""),900235)</f>
        <v>900235</v>
      </c>
      <c r="C1039" s="5" t="str">
        <f ca="1">IFERROR(__xludf.DUMMYFUNCTION("""COMPUTED_VALUE"""),"PROCESADOR DE BEBIDA")</f>
        <v>PROCESADOR DE BEBIDA</v>
      </c>
      <c r="D1039" s="5">
        <f ca="1">IFERROR(__xludf.DUMMYFUNCTION("""COMPUTED_VALUE"""),13247633)</f>
        <v>13247633</v>
      </c>
      <c r="E1039" s="5" t="str">
        <f ca="1">IFERROR(__xludf.DUMMYFUNCTION("""COMPUTED_VALUE"""),"INSPECCION SEMANAL PROCESADOR DE BEBIDA")</f>
        <v>INSPECCION SEMANAL PROCESADOR DE BEBIDA</v>
      </c>
      <c r="F1039" s="5" t="str">
        <f ca="1">IFERROR(__xludf.DUMMYFUNCTION("""COMPUTED_VALUE"""),"Estado de motobombas")</f>
        <v>Estado de motobombas</v>
      </c>
      <c r="G1039" s="5" t="b">
        <f ca="1">IFERROR(__xludf.DUMMYFUNCTION("""COMPUTED_VALUE"""),TRUE)</f>
        <v>1</v>
      </c>
      <c r="H1039" s="5"/>
      <c r="I1039" s="5"/>
      <c r="J1039" s="5">
        <f ca="1">IFERROR(__xludf.DUMMYFUNCTION("""COMPUTED_VALUE"""),13247633)</f>
        <v>13247633</v>
      </c>
      <c r="K1039" s="5"/>
      <c r="L1039" s="18">
        <f ca="1">IFERROR(__xludf.DUMMYFUNCTION("""COMPUTED_VALUE"""),45324)</f>
        <v>45324</v>
      </c>
      <c r="M1039" s="18">
        <f ca="1">IFERROR(__xludf.DUMMYFUNCTION("""COMPUTED_VALUE"""),45324)</f>
        <v>45324</v>
      </c>
      <c r="N1039" s="5" t="str">
        <f ca="1">IFERROR(__xludf.DUMMYFUNCTION("""COMPUTED_VALUE"""),"Paz Paz Jhon Estiven")</f>
        <v>Paz Paz Jhon Estiven</v>
      </c>
      <c r="O1039" s="2">
        <f ca="1">IFERROR(__xludf.DUMMYFUNCTION("""COMPUTED_VALUE"""),0.007142857)</f>
        <v>7.1428569999999999E-3</v>
      </c>
      <c r="P1039" s="5">
        <f ca="1">IFERROR(__xludf.DUMMYFUNCTION("""COMPUTED_VALUE"""),20031102)</f>
        <v>20031102</v>
      </c>
      <c r="Q1039" s="5" t="str">
        <f ca="1">IFERROR(__xludf.DUMMYFUNCTION("""COMPUTED_VALUE"""),"7_nPhXcsaLQ")</f>
        <v>7_nPhXcsaLQ</v>
      </c>
      <c r="R1039" s="5">
        <f ca="1">IFERROR(__xludf.DUMMYFUNCTION("""COMPUTED_VALUE"""),410)</f>
        <v>410</v>
      </c>
      <c r="S1039" s="62">
        <f ca="1">IFERROR(__xludf.DUMMYFUNCTION("""COMPUTED_VALUE"""),0.007142857)</f>
        <v>7.1428569999999999E-3</v>
      </c>
      <c r="T1039" s="63" t="str">
        <f ca="1">IFERROR(__xludf.DUMMYFUNCTION("""COMPUTED_VALUE"""),"https://storage.googleapis.com/glide-prod.appspot.com/uploads-v2/ly7o78grxPaC6KdgvbpS/pub/3aRdSog0vUtuqPE8AJKD.png")</f>
        <v>https://storage.googleapis.com/glide-prod.appspot.com/uploads-v2/ly7o78grxPaC6KdgvbpS/pub/3aRdSog0vUtuqPE8AJKD.png</v>
      </c>
      <c r="U1039" s="5" t="str">
        <f ca="1">IFERROR(__xludf.DUMMYFUNCTION("""COMPUTED_VALUE"""),"LINEA DE ENVASADO TAMAÑO PERSONALPROCESADOR DE BEBIDA")</f>
        <v>LINEA DE ENVASADO TAMAÑO PERSONALPROCESADOR DE BEBIDA</v>
      </c>
      <c r="V1039" s="5"/>
      <c r="W1039" s="5" t="b">
        <f ca="1">IFERROR(__xludf.DUMMYFUNCTION("""COMPUTED_VALUE"""),TRUE)</f>
        <v>1</v>
      </c>
      <c r="X1039" s="5" t="str">
        <f ca="1">IFERROR(__xludf.DUMMYFUNCTION("""COMPUTED_VALUE"""),"wguerra@postobon.com.co,aprmttoyu@postobon.com.co,aprmyu@postobon.com.co,wmora@postobon.com.co,efzapata@postobon.com.co")</f>
        <v>wguerra@postobon.com.co,aprmttoyu@postobon.com.co,aprmyu@postobon.com.co,wmora@postobon.com.co,efzapata@postobon.com.co</v>
      </c>
      <c r="Y1039" s="5" t="str">
        <f ca="1">IFERROR(__xludf.DUMMYFUNCTION("""COMPUTED_VALUE"""),"wguerra@postobon.com.co")</f>
        <v>wguerra@postobon.com.co</v>
      </c>
      <c r="Z1039" s="5" t="str">
        <f ca="1">IFERROR(__xludf.DUMMYFUNCTION("""COMPUTED_VALUE"""),"QwHp6TxRTW2OMHGXZB0DVQ")</f>
        <v>QwHp6TxRTW2OMHGXZB0DVQ</v>
      </c>
      <c r="AA1039" s="5"/>
      <c r="AB1039" s="5"/>
      <c r="AC1039" s="5"/>
      <c r="AD1039" s="5">
        <f ca="1">IFERROR(__xludf.DUMMYFUNCTION("""COMPUTED_VALUE"""),62)</f>
        <v>62</v>
      </c>
      <c r="AE1039" s="5">
        <f ca="1">IFERROR(__xludf.DUMMYFUNCTION("""COMPUTED_VALUE"""),62)</f>
        <v>62</v>
      </c>
      <c r="AF1039" s="5" t="b">
        <f ca="1">IFERROR(__xludf.DUMMYFUNCTION("""COMPUTED_VALUE"""),FALSE)</f>
        <v>0</v>
      </c>
      <c r="AG1039" s="5" t="str">
        <f ca="1">IFERROR(__xludf.DUMMYFUNCTION("""COMPUTED_VALUE"""),"INSPECCIONES REALIZADAS")</f>
        <v>INSPECCIONES REALIZADAS</v>
      </c>
      <c r="AH1039" s="5"/>
    </row>
    <row r="1040" spans="1:34">
      <c r="A1040" s="5" t="str">
        <f ca="1">IFERROR(__xludf.DUMMYFUNCTION("""COMPUTED_VALUE"""),"LINEA DE ENVASADO TAMAÑO PERSONAL")</f>
        <v>LINEA DE ENVASADO TAMAÑO PERSONAL</v>
      </c>
      <c r="B1040" s="5">
        <f ca="1">IFERROR(__xludf.DUMMYFUNCTION("""COMPUTED_VALUE"""),900235)</f>
        <v>900235</v>
      </c>
      <c r="C1040" s="5" t="str">
        <f ca="1">IFERROR(__xludf.DUMMYFUNCTION("""COMPUTED_VALUE"""),"PROCESADOR DE BEBIDA")</f>
        <v>PROCESADOR DE BEBIDA</v>
      </c>
      <c r="D1040" s="5">
        <f ca="1">IFERROR(__xludf.DUMMYFUNCTION("""COMPUTED_VALUE"""),13247633)</f>
        <v>13247633</v>
      </c>
      <c r="E1040" s="5" t="str">
        <f ca="1">IFERROR(__xludf.DUMMYFUNCTION("""COMPUTED_VALUE"""),"INSPECCION SEMANAL PROCESADOR DE BEBIDA")</f>
        <v>INSPECCION SEMANAL PROCESADOR DE BEBIDA</v>
      </c>
      <c r="F1040" s="5" t="str">
        <f ca="1">IFERROR(__xludf.DUMMYFUNCTION("""COMPUTED_VALUE"""),"Estado unidad de mantenimiento neumatica")</f>
        <v>Estado unidad de mantenimiento neumatica</v>
      </c>
      <c r="G1040" s="5" t="b">
        <f ca="1">IFERROR(__xludf.DUMMYFUNCTION("""COMPUTED_VALUE"""),TRUE)</f>
        <v>1</v>
      </c>
      <c r="H1040" s="5"/>
      <c r="I1040" s="5"/>
      <c r="J1040" s="5">
        <f ca="1">IFERROR(__xludf.DUMMYFUNCTION("""COMPUTED_VALUE"""),13247633)</f>
        <v>13247633</v>
      </c>
      <c r="K1040" s="5"/>
      <c r="L1040" s="18">
        <f ca="1">IFERROR(__xludf.DUMMYFUNCTION("""COMPUTED_VALUE"""),45324)</f>
        <v>45324</v>
      </c>
      <c r="M1040" s="18">
        <f ca="1">IFERROR(__xludf.DUMMYFUNCTION("""COMPUTED_VALUE"""),45324)</f>
        <v>45324</v>
      </c>
      <c r="N1040" s="5" t="str">
        <f ca="1">IFERROR(__xludf.DUMMYFUNCTION("""COMPUTED_VALUE"""),"Paz Paz Jhon Estiven")</f>
        <v>Paz Paz Jhon Estiven</v>
      </c>
      <c r="O1040" s="2">
        <f ca="1">IFERROR(__xludf.DUMMYFUNCTION("""COMPUTED_VALUE"""),0.007142857)</f>
        <v>7.1428569999999999E-3</v>
      </c>
      <c r="P1040" s="5">
        <f ca="1">IFERROR(__xludf.DUMMYFUNCTION("""COMPUTED_VALUE"""),20031102)</f>
        <v>20031102</v>
      </c>
      <c r="Q1040" s="5" t="str">
        <f ca="1">IFERROR(__xludf.DUMMYFUNCTION("""COMPUTED_VALUE"""),"zGVqzuUGyw8")</f>
        <v>zGVqzuUGyw8</v>
      </c>
      <c r="R1040" s="5">
        <f ca="1">IFERROR(__xludf.DUMMYFUNCTION("""COMPUTED_VALUE"""),410)</f>
        <v>410</v>
      </c>
      <c r="S1040" s="62">
        <f ca="1">IFERROR(__xludf.DUMMYFUNCTION("""COMPUTED_VALUE"""),0.007142857)</f>
        <v>7.1428569999999999E-3</v>
      </c>
      <c r="T1040" s="63" t="str">
        <f ca="1">IFERROR(__xludf.DUMMYFUNCTION("""COMPUTED_VALUE"""),"https://storage.googleapis.com/glide-prod.appspot.com/uploads-v2/ly7o78grxPaC6KdgvbpS/pub/3aRdSog0vUtuqPE8AJKD.png")</f>
        <v>https://storage.googleapis.com/glide-prod.appspot.com/uploads-v2/ly7o78grxPaC6KdgvbpS/pub/3aRdSog0vUtuqPE8AJKD.png</v>
      </c>
      <c r="U1040" s="5" t="str">
        <f ca="1">IFERROR(__xludf.DUMMYFUNCTION("""COMPUTED_VALUE"""),"LINEA DE ENVASADO TAMAÑO PERSONALPROCESADOR DE BEBIDA")</f>
        <v>LINEA DE ENVASADO TAMAÑO PERSONALPROCESADOR DE BEBIDA</v>
      </c>
      <c r="V1040" s="5"/>
      <c r="W1040" s="5" t="b">
        <f ca="1">IFERROR(__xludf.DUMMYFUNCTION("""COMPUTED_VALUE"""),TRUE)</f>
        <v>1</v>
      </c>
      <c r="X1040" s="5" t="str">
        <f ca="1">IFERROR(__xludf.DUMMYFUNCTION("""COMPUTED_VALUE"""),"wguerra@postobon.com.co,aprmttoyu@postobon.com.co,aprmyu@postobon.com.co,wmora@postobon.com.co,efzapata@postobon.com.co")</f>
        <v>wguerra@postobon.com.co,aprmttoyu@postobon.com.co,aprmyu@postobon.com.co,wmora@postobon.com.co,efzapata@postobon.com.co</v>
      </c>
      <c r="Y1040" s="5" t="str">
        <f ca="1">IFERROR(__xludf.DUMMYFUNCTION("""COMPUTED_VALUE"""),"wguerra@postobon.com.co")</f>
        <v>wguerra@postobon.com.co</v>
      </c>
      <c r="Z1040" s="5" t="str">
        <f ca="1">IFERROR(__xludf.DUMMYFUNCTION("""COMPUTED_VALUE"""),"IyW0iySKQf-laaergd8yTA")</f>
        <v>IyW0iySKQf-laaergd8yTA</v>
      </c>
      <c r="AA1040" s="5"/>
      <c r="AB1040" s="5"/>
      <c r="AC1040" s="5"/>
      <c r="AD1040" s="5">
        <f ca="1">IFERROR(__xludf.DUMMYFUNCTION("""COMPUTED_VALUE"""),62)</f>
        <v>62</v>
      </c>
      <c r="AE1040" s="5">
        <f ca="1">IFERROR(__xludf.DUMMYFUNCTION("""COMPUTED_VALUE"""),62)</f>
        <v>62</v>
      </c>
      <c r="AF1040" s="5" t="b">
        <f ca="1">IFERROR(__xludf.DUMMYFUNCTION("""COMPUTED_VALUE"""),FALSE)</f>
        <v>0</v>
      </c>
      <c r="AG1040" s="5" t="str">
        <f ca="1">IFERROR(__xludf.DUMMYFUNCTION("""COMPUTED_VALUE"""),"INSPECCIONES REALIZADAS")</f>
        <v>INSPECCIONES REALIZADAS</v>
      </c>
      <c r="AH1040" s="5"/>
    </row>
    <row r="1041" spans="1:34">
      <c r="A1041" s="5" t="str">
        <f ca="1">IFERROR(__xludf.DUMMYFUNCTION("""COMPUTED_VALUE"""),"LINEA DE ENVASADO TAMAÑO PERSONAL")</f>
        <v>LINEA DE ENVASADO TAMAÑO PERSONAL</v>
      </c>
      <c r="B1041" s="5">
        <f ca="1">IFERROR(__xludf.DUMMYFUNCTION("""COMPUTED_VALUE"""),900235)</f>
        <v>900235</v>
      </c>
      <c r="C1041" s="5" t="str">
        <f ca="1">IFERROR(__xludf.DUMMYFUNCTION("""COMPUTED_VALUE"""),"PROCESADOR DE BEBIDA")</f>
        <v>PROCESADOR DE BEBIDA</v>
      </c>
      <c r="D1041" s="5">
        <f ca="1">IFERROR(__xludf.DUMMYFUNCTION("""COMPUTED_VALUE"""),13247633)</f>
        <v>13247633</v>
      </c>
      <c r="E1041" s="5" t="str">
        <f ca="1">IFERROR(__xludf.DUMMYFUNCTION("""COMPUTED_VALUE"""),"INSPECCION SEMANAL PROCESADOR DE BEBIDA")</f>
        <v>INSPECCION SEMANAL PROCESADOR DE BEBIDA</v>
      </c>
      <c r="F1041" s="5" t="str">
        <f ca="1">IFERROR(__xludf.DUMMYFUNCTION("""COMPUTED_VALUE"""),"Estado Instrumentos de medidas")</f>
        <v>Estado Instrumentos de medidas</v>
      </c>
      <c r="G1041" s="5" t="b">
        <f ca="1">IFERROR(__xludf.DUMMYFUNCTION("""COMPUTED_VALUE"""),TRUE)</f>
        <v>1</v>
      </c>
      <c r="H1041" s="5"/>
      <c r="I1041" s="5"/>
      <c r="J1041" s="5">
        <f ca="1">IFERROR(__xludf.DUMMYFUNCTION("""COMPUTED_VALUE"""),13247633)</f>
        <v>13247633</v>
      </c>
      <c r="K1041" s="5"/>
      <c r="L1041" s="18">
        <f ca="1">IFERROR(__xludf.DUMMYFUNCTION("""COMPUTED_VALUE"""),45324)</f>
        <v>45324</v>
      </c>
      <c r="M1041" s="18">
        <f ca="1">IFERROR(__xludf.DUMMYFUNCTION("""COMPUTED_VALUE"""),45324)</f>
        <v>45324</v>
      </c>
      <c r="N1041" s="5" t="str">
        <f ca="1">IFERROR(__xludf.DUMMYFUNCTION("""COMPUTED_VALUE"""),"Paz Paz Jhon Estiven")</f>
        <v>Paz Paz Jhon Estiven</v>
      </c>
      <c r="O1041" s="2">
        <f ca="1">IFERROR(__xludf.DUMMYFUNCTION("""COMPUTED_VALUE"""),0.007142857)</f>
        <v>7.1428569999999999E-3</v>
      </c>
      <c r="P1041" s="5">
        <f ca="1">IFERROR(__xludf.DUMMYFUNCTION("""COMPUTED_VALUE"""),20031102)</f>
        <v>20031102</v>
      </c>
      <c r="Q1041" s="5" t="str">
        <f ca="1">IFERROR(__xludf.DUMMYFUNCTION("""COMPUTED_VALUE"""),"I-2JTdZ57uw")</f>
        <v>I-2JTdZ57uw</v>
      </c>
      <c r="R1041" s="5">
        <f ca="1">IFERROR(__xludf.DUMMYFUNCTION("""COMPUTED_VALUE"""),410)</f>
        <v>410</v>
      </c>
      <c r="S1041" s="62">
        <f ca="1">IFERROR(__xludf.DUMMYFUNCTION("""COMPUTED_VALUE"""),0.007142857)</f>
        <v>7.1428569999999999E-3</v>
      </c>
      <c r="T1041" s="63" t="str">
        <f ca="1">IFERROR(__xludf.DUMMYFUNCTION("""COMPUTED_VALUE"""),"https://storage.googleapis.com/glide-prod.appspot.com/uploads-v2/ly7o78grxPaC6KdgvbpS/pub/3aRdSog0vUtuqPE8AJKD.png")</f>
        <v>https://storage.googleapis.com/glide-prod.appspot.com/uploads-v2/ly7o78grxPaC6KdgvbpS/pub/3aRdSog0vUtuqPE8AJKD.png</v>
      </c>
      <c r="U1041" s="5" t="str">
        <f ca="1">IFERROR(__xludf.DUMMYFUNCTION("""COMPUTED_VALUE"""),"LINEA DE ENVASADO TAMAÑO PERSONALPROCESADOR DE BEBIDA")</f>
        <v>LINEA DE ENVASADO TAMAÑO PERSONALPROCESADOR DE BEBIDA</v>
      </c>
      <c r="V1041" s="5"/>
      <c r="W1041" s="5" t="b">
        <f ca="1">IFERROR(__xludf.DUMMYFUNCTION("""COMPUTED_VALUE"""),TRUE)</f>
        <v>1</v>
      </c>
      <c r="X1041" s="5" t="str">
        <f ca="1">IFERROR(__xludf.DUMMYFUNCTION("""COMPUTED_VALUE"""),"wguerra@postobon.com.co,aprmttoyu@postobon.com.co,aprmyu@postobon.com.co,wmora@postobon.com.co,efzapata@postobon.com.co")</f>
        <v>wguerra@postobon.com.co,aprmttoyu@postobon.com.co,aprmyu@postobon.com.co,wmora@postobon.com.co,efzapata@postobon.com.co</v>
      </c>
      <c r="Y1041" s="5" t="str">
        <f ca="1">IFERROR(__xludf.DUMMYFUNCTION("""COMPUTED_VALUE"""),"wguerra@postobon.com.co")</f>
        <v>wguerra@postobon.com.co</v>
      </c>
      <c r="Z1041" s="5" t="str">
        <f ca="1">IFERROR(__xludf.DUMMYFUNCTION("""COMPUTED_VALUE"""),"Oq7RryujSL-fNK4rDD7Eww")</f>
        <v>Oq7RryujSL-fNK4rDD7Eww</v>
      </c>
      <c r="AA1041" s="5"/>
      <c r="AB1041" s="5"/>
      <c r="AC1041" s="5"/>
      <c r="AD1041" s="5">
        <f ca="1">IFERROR(__xludf.DUMMYFUNCTION("""COMPUTED_VALUE"""),62)</f>
        <v>62</v>
      </c>
      <c r="AE1041" s="5">
        <f ca="1">IFERROR(__xludf.DUMMYFUNCTION("""COMPUTED_VALUE"""),62)</f>
        <v>62</v>
      </c>
      <c r="AF1041" s="5" t="b">
        <f ca="1">IFERROR(__xludf.DUMMYFUNCTION("""COMPUTED_VALUE"""),FALSE)</f>
        <v>0</v>
      </c>
      <c r="AG1041" s="5" t="str">
        <f ca="1">IFERROR(__xludf.DUMMYFUNCTION("""COMPUTED_VALUE"""),"INSPECCIONES REALIZADAS")</f>
        <v>INSPECCIONES REALIZADAS</v>
      </c>
      <c r="AH1041" s="5"/>
    </row>
    <row r="1042" spans="1:34">
      <c r="A1042" s="5" t="str">
        <f ca="1">IFERROR(__xludf.DUMMYFUNCTION("""COMPUTED_VALUE"""),"LINEA DE ENVASADO TAMAÑO PERSONAL")</f>
        <v>LINEA DE ENVASADO TAMAÑO PERSONAL</v>
      </c>
      <c r="B1042" s="5">
        <f ca="1">IFERROR(__xludf.DUMMYFUNCTION("""COMPUTED_VALUE"""),900235)</f>
        <v>900235</v>
      </c>
      <c r="C1042" s="5" t="str">
        <f ca="1">IFERROR(__xludf.DUMMYFUNCTION("""COMPUTED_VALUE"""),"PROCESADOR DE BEBIDA")</f>
        <v>PROCESADOR DE BEBIDA</v>
      </c>
      <c r="D1042" s="5">
        <f ca="1">IFERROR(__xludf.DUMMYFUNCTION("""COMPUTED_VALUE"""),13247633)</f>
        <v>13247633</v>
      </c>
      <c r="E1042" s="5" t="str">
        <f ca="1">IFERROR(__xludf.DUMMYFUNCTION("""COMPUTED_VALUE"""),"INSPECCION SEMANAL PROCESADOR DE BEBIDA")</f>
        <v>INSPECCION SEMANAL PROCESADOR DE BEBIDA</v>
      </c>
      <c r="F1042" s="5" t="str">
        <f ca="1">IFERROR(__xludf.DUMMYFUNCTION("""COMPUTED_VALUE"""),"Estado de electroválvulas")</f>
        <v>Estado de electroválvulas</v>
      </c>
      <c r="G1042" s="5" t="b">
        <f ca="1">IFERROR(__xludf.DUMMYFUNCTION("""COMPUTED_VALUE"""),TRUE)</f>
        <v>1</v>
      </c>
      <c r="H1042" s="5"/>
      <c r="I1042" s="5"/>
      <c r="J1042" s="5">
        <f ca="1">IFERROR(__xludf.DUMMYFUNCTION("""COMPUTED_VALUE"""),13247633)</f>
        <v>13247633</v>
      </c>
      <c r="K1042" s="5"/>
      <c r="L1042" s="18">
        <f ca="1">IFERROR(__xludf.DUMMYFUNCTION("""COMPUTED_VALUE"""),45324)</f>
        <v>45324</v>
      </c>
      <c r="M1042" s="18">
        <f ca="1">IFERROR(__xludf.DUMMYFUNCTION("""COMPUTED_VALUE"""),45324)</f>
        <v>45324</v>
      </c>
      <c r="N1042" s="5" t="str">
        <f ca="1">IFERROR(__xludf.DUMMYFUNCTION("""COMPUTED_VALUE"""),"Paz Paz Jhon Estiven")</f>
        <v>Paz Paz Jhon Estiven</v>
      </c>
      <c r="O1042" s="2">
        <f ca="1">IFERROR(__xludf.DUMMYFUNCTION("""COMPUTED_VALUE"""),0.007142857)</f>
        <v>7.1428569999999999E-3</v>
      </c>
      <c r="P1042" s="5">
        <f ca="1">IFERROR(__xludf.DUMMYFUNCTION("""COMPUTED_VALUE"""),20031102)</f>
        <v>20031102</v>
      </c>
      <c r="Q1042" s="5" t="str">
        <f ca="1">IFERROR(__xludf.DUMMYFUNCTION("""COMPUTED_VALUE"""),"uEdPemL99hQ")</f>
        <v>uEdPemL99hQ</v>
      </c>
      <c r="R1042" s="5">
        <f ca="1">IFERROR(__xludf.DUMMYFUNCTION("""COMPUTED_VALUE"""),410)</f>
        <v>410</v>
      </c>
      <c r="S1042" s="62">
        <f ca="1">IFERROR(__xludf.DUMMYFUNCTION("""COMPUTED_VALUE"""),0.007142857)</f>
        <v>7.1428569999999999E-3</v>
      </c>
      <c r="T1042" s="63" t="str">
        <f ca="1">IFERROR(__xludf.DUMMYFUNCTION("""COMPUTED_VALUE"""),"https://storage.googleapis.com/glide-prod.appspot.com/uploads-v2/ly7o78grxPaC6KdgvbpS/pub/3aRdSog0vUtuqPE8AJKD.png")</f>
        <v>https://storage.googleapis.com/glide-prod.appspot.com/uploads-v2/ly7o78grxPaC6KdgvbpS/pub/3aRdSog0vUtuqPE8AJKD.png</v>
      </c>
      <c r="U1042" s="5" t="str">
        <f ca="1">IFERROR(__xludf.DUMMYFUNCTION("""COMPUTED_VALUE"""),"LINEA DE ENVASADO TAMAÑO PERSONALPROCESADOR DE BEBIDA")</f>
        <v>LINEA DE ENVASADO TAMAÑO PERSONALPROCESADOR DE BEBIDA</v>
      </c>
      <c r="V1042" s="5"/>
      <c r="W1042" s="5" t="b">
        <f ca="1">IFERROR(__xludf.DUMMYFUNCTION("""COMPUTED_VALUE"""),TRUE)</f>
        <v>1</v>
      </c>
      <c r="X1042" s="5" t="str">
        <f ca="1">IFERROR(__xludf.DUMMYFUNCTION("""COMPUTED_VALUE"""),"wguerra@postobon.com.co,aprmttoyu@postobon.com.co,aprmyu@postobon.com.co,wmora@postobon.com.co,efzapata@postobon.com.co")</f>
        <v>wguerra@postobon.com.co,aprmttoyu@postobon.com.co,aprmyu@postobon.com.co,wmora@postobon.com.co,efzapata@postobon.com.co</v>
      </c>
      <c r="Y1042" s="5" t="str">
        <f ca="1">IFERROR(__xludf.DUMMYFUNCTION("""COMPUTED_VALUE"""),"wguerra@postobon.com.co")</f>
        <v>wguerra@postobon.com.co</v>
      </c>
      <c r="Z1042" s="5" t="str">
        <f ca="1">IFERROR(__xludf.DUMMYFUNCTION("""COMPUTED_VALUE"""),"qhRhpYQVR-Cv72OXN0e6Vg")</f>
        <v>qhRhpYQVR-Cv72OXN0e6Vg</v>
      </c>
      <c r="AA1042" s="5"/>
      <c r="AB1042" s="5"/>
      <c r="AC1042" s="5"/>
      <c r="AD1042" s="5">
        <f ca="1">IFERROR(__xludf.DUMMYFUNCTION("""COMPUTED_VALUE"""),62)</f>
        <v>62</v>
      </c>
      <c r="AE1042" s="5">
        <f ca="1">IFERROR(__xludf.DUMMYFUNCTION("""COMPUTED_VALUE"""),62)</f>
        <v>62</v>
      </c>
      <c r="AF1042" s="5" t="b">
        <f ca="1">IFERROR(__xludf.DUMMYFUNCTION("""COMPUTED_VALUE"""),FALSE)</f>
        <v>0</v>
      </c>
      <c r="AG1042" s="5" t="str">
        <f ca="1">IFERROR(__xludf.DUMMYFUNCTION("""COMPUTED_VALUE"""),"INSPECCIONES REALIZADAS")</f>
        <v>INSPECCIONES REALIZADAS</v>
      </c>
      <c r="AH1042" s="5"/>
    </row>
    <row r="1043" spans="1:34">
      <c r="A1043" s="5" t="str">
        <f ca="1">IFERROR(__xludf.DUMMYFUNCTION("""COMPUTED_VALUE"""),"LINEA DE ENVASADO TAMAÑO PERSONAL")</f>
        <v>LINEA DE ENVASADO TAMAÑO PERSONAL</v>
      </c>
      <c r="B1043" s="5">
        <f ca="1">IFERROR(__xludf.DUMMYFUNCTION("""COMPUTED_VALUE"""),900235)</f>
        <v>900235</v>
      </c>
      <c r="C1043" s="5" t="str">
        <f ca="1">IFERROR(__xludf.DUMMYFUNCTION("""COMPUTED_VALUE"""),"PROCESADOR DE BEBIDA")</f>
        <v>PROCESADOR DE BEBIDA</v>
      </c>
      <c r="D1043" s="5">
        <f ca="1">IFERROR(__xludf.DUMMYFUNCTION("""COMPUTED_VALUE"""),13247633)</f>
        <v>13247633</v>
      </c>
      <c r="E1043" s="5" t="str">
        <f ca="1">IFERROR(__xludf.DUMMYFUNCTION("""COMPUTED_VALUE"""),"INSPECCION SEMANAL PROCESADOR DE BEBIDA")</f>
        <v>INSPECCION SEMANAL PROCESADOR DE BEBIDA</v>
      </c>
      <c r="F1043" s="5" t="str">
        <f ca="1">IFERROR(__xludf.DUMMYFUNCTION("""COMPUTED_VALUE"""),"Estado de válvulas neumáticas (proporcionales, de compuerta, diafragma)")</f>
        <v>Estado de válvulas neumáticas (proporcionales, de compuerta, diafragma)</v>
      </c>
      <c r="G1043" s="5" t="b">
        <f ca="1">IFERROR(__xludf.DUMMYFUNCTION("""COMPUTED_VALUE"""),TRUE)</f>
        <v>1</v>
      </c>
      <c r="H1043" s="5"/>
      <c r="I1043" s="5"/>
      <c r="J1043" s="5">
        <f ca="1">IFERROR(__xludf.DUMMYFUNCTION("""COMPUTED_VALUE"""),13247633)</f>
        <v>13247633</v>
      </c>
      <c r="K1043" s="5"/>
      <c r="L1043" s="18">
        <f ca="1">IFERROR(__xludf.DUMMYFUNCTION("""COMPUTED_VALUE"""),45324)</f>
        <v>45324</v>
      </c>
      <c r="M1043" s="18">
        <f ca="1">IFERROR(__xludf.DUMMYFUNCTION("""COMPUTED_VALUE"""),45324)</f>
        <v>45324</v>
      </c>
      <c r="N1043" s="5" t="str">
        <f ca="1">IFERROR(__xludf.DUMMYFUNCTION("""COMPUTED_VALUE"""),"Paz Paz Jhon Estiven")</f>
        <v>Paz Paz Jhon Estiven</v>
      </c>
      <c r="O1043" s="2">
        <f ca="1">IFERROR(__xludf.DUMMYFUNCTION("""COMPUTED_VALUE"""),0.007142857)</f>
        <v>7.1428569999999999E-3</v>
      </c>
      <c r="P1043" s="5">
        <f ca="1">IFERROR(__xludf.DUMMYFUNCTION("""COMPUTED_VALUE"""),20031102)</f>
        <v>20031102</v>
      </c>
      <c r="Q1043" s="5" t="str">
        <f ca="1">IFERROR(__xludf.DUMMYFUNCTION("""COMPUTED_VALUE"""),"6ZhFxJ2gTKc")</f>
        <v>6ZhFxJ2gTKc</v>
      </c>
      <c r="R1043" s="5">
        <f ca="1">IFERROR(__xludf.DUMMYFUNCTION("""COMPUTED_VALUE"""),410)</f>
        <v>410</v>
      </c>
      <c r="S1043" s="62">
        <f ca="1">IFERROR(__xludf.DUMMYFUNCTION("""COMPUTED_VALUE"""),0.007142857)</f>
        <v>7.1428569999999999E-3</v>
      </c>
      <c r="T1043" s="63" t="str">
        <f ca="1">IFERROR(__xludf.DUMMYFUNCTION("""COMPUTED_VALUE"""),"https://storage.googleapis.com/glide-prod.appspot.com/uploads-v2/ly7o78grxPaC6KdgvbpS/pub/3aRdSog0vUtuqPE8AJKD.png")</f>
        <v>https://storage.googleapis.com/glide-prod.appspot.com/uploads-v2/ly7o78grxPaC6KdgvbpS/pub/3aRdSog0vUtuqPE8AJKD.png</v>
      </c>
      <c r="U1043" s="5" t="str">
        <f ca="1">IFERROR(__xludf.DUMMYFUNCTION("""COMPUTED_VALUE"""),"LINEA DE ENVASADO TAMAÑO PERSONALPROCESADOR DE BEBIDA")</f>
        <v>LINEA DE ENVASADO TAMAÑO PERSONALPROCESADOR DE BEBIDA</v>
      </c>
      <c r="V1043" s="5"/>
      <c r="W1043" s="5" t="b">
        <f ca="1">IFERROR(__xludf.DUMMYFUNCTION("""COMPUTED_VALUE"""),TRUE)</f>
        <v>1</v>
      </c>
      <c r="X1043" s="5" t="str">
        <f ca="1">IFERROR(__xludf.DUMMYFUNCTION("""COMPUTED_VALUE"""),"wguerra@postobon.com.co,aprmttoyu@postobon.com.co,aprmyu@postobon.com.co,wmora@postobon.com.co,efzapata@postobon.com.co")</f>
        <v>wguerra@postobon.com.co,aprmttoyu@postobon.com.co,aprmyu@postobon.com.co,wmora@postobon.com.co,efzapata@postobon.com.co</v>
      </c>
      <c r="Y1043" s="5" t="str">
        <f ca="1">IFERROR(__xludf.DUMMYFUNCTION("""COMPUTED_VALUE"""),"wguerra@postobon.com.co")</f>
        <v>wguerra@postobon.com.co</v>
      </c>
      <c r="Z1043" s="5" t="str">
        <f ca="1">IFERROR(__xludf.DUMMYFUNCTION("""COMPUTED_VALUE"""),"CpRF.IRwT.mmmHU18B.EJg")</f>
        <v>CpRF.IRwT.mmmHU18B.EJg</v>
      </c>
      <c r="AA1043" s="5"/>
      <c r="AB1043" s="5"/>
      <c r="AC1043" s="5"/>
      <c r="AD1043" s="5">
        <f ca="1">IFERROR(__xludf.DUMMYFUNCTION("""COMPUTED_VALUE"""),62)</f>
        <v>62</v>
      </c>
      <c r="AE1043" s="5">
        <f ca="1">IFERROR(__xludf.DUMMYFUNCTION("""COMPUTED_VALUE"""),62)</f>
        <v>62</v>
      </c>
      <c r="AF1043" s="5" t="b">
        <f ca="1">IFERROR(__xludf.DUMMYFUNCTION("""COMPUTED_VALUE"""),FALSE)</f>
        <v>0</v>
      </c>
      <c r="AG1043" s="5" t="str">
        <f ca="1">IFERROR(__xludf.DUMMYFUNCTION("""COMPUTED_VALUE"""),"INSPECCIONES REALIZADAS")</f>
        <v>INSPECCIONES REALIZADAS</v>
      </c>
      <c r="AH1043" s="5"/>
    </row>
    <row r="1044" spans="1:34">
      <c r="A1044" s="5" t="str">
        <f ca="1">IFERROR(__xludf.DUMMYFUNCTION("""COMPUTED_VALUE"""),"LINEA DE ENVASADO TAMAÑO PERSONAL")</f>
        <v>LINEA DE ENVASADO TAMAÑO PERSONAL</v>
      </c>
      <c r="B1044" s="5">
        <f ca="1">IFERROR(__xludf.DUMMYFUNCTION("""COMPUTED_VALUE"""),900235)</f>
        <v>900235</v>
      </c>
      <c r="C1044" s="5" t="str">
        <f ca="1">IFERROR(__xludf.DUMMYFUNCTION("""COMPUTED_VALUE"""),"PROCESADOR DE BEBIDA")</f>
        <v>PROCESADOR DE BEBIDA</v>
      </c>
      <c r="D1044" s="5">
        <f ca="1">IFERROR(__xludf.DUMMYFUNCTION("""COMPUTED_VALUE"""),13247633)</f>
        <v>13247633</v>
      </c>
      <c r="E1044" s="5" t="str">
        <f ca="1">IFERROR(__xludf.DUMMYFUNCTION("""COMPUTED_VALUE"""),"INSPECCION SEMANAL PROCESADOR DE BEBIDA")</f>
        <v>INSPECCION SEMANAL PROCESADOR DE BEBIDA</v>
      </c>
      <c r="F1044" s="5" t="str">
        <f ca="1">IFERROR(__xludf.DUMMYFUNCTION("""COMPUTED_VALUE"""),"Estado de tableros eléctricos de mando, control y potencia")</f>
        <v>Estado de tableros eléctricos de mando, control y potencia</v>
      </c>
      <c r="G1044" s="5" t="b">
        <f ca="1">IFERROR(__xludf.DUMMYFUNCTION("""COMPUTED_VALUE"""),TRUE)</f>
        <v>1</v>
      </c>
      <c r="H1044" s="5"/>
      <c r="I1044" s="5"/>
      <c r="J1044" s="5">
        <f ca="1">IFERROR(__xludf.DUMMYFUNCTION("""COMPUTED_VALUE"""),13247633)</f>
        <v>13247633</v>
      </c>
      <c r="K1044" s="5"/>
      <c r="L1044" s="18">
        <f ca="1">IFERROR(__xludf.DUMMYFUNCTION("""COMPUTED_VALUE"""),45324)</f>
        <v>45324</v>
      </c>
      <c r="M1044" s="18">
        <f ca="1">IFERROR(__xludf.DUMMYFUNCTION("""COMPUTED_VALUE"""),45324)</f>
        <v>45324</v>
      </c>
      <c r="N1044" s="5" t="str">
        <f ca="1">IFERROR(__xludf.DUMMYFUNCTION("""COMPUTED_VALUE"""),"Paz Paz Jhon Estiven")</f>
        <v>Paz Paz Jhon Estiven</v>
      </c>
      <c r="O1044" s="2">
        <f ca="1">IFERROR(__xludf.DUMMYFUNCTION("""COMPUTED_VALUE"""),0.007142857)</f>
        <v>7.1428569999999999E-3</v>
      </c>
      <c r="P1044" s="5">
        <f ca="1">IFERROR(__xludf.DUMMYFUNCTION("""COMPUTED_VALUE"""),20031102)</f>
        <v>20031102</v>
      </c>
      <c r="Q1044" s="5" t="str">
        <f ca="1">IFERROR(__xludf.DUMMYFUNCTION("""COMPUTED_VALUE"""),"73vok-7G1ug")</f>
        <v>73vok-7G1ug</v>
      </c>
      <c r="R1044" s="5">
        <f ca="1">IFERROR(__xludf.DUMMYFUNCTION("""COMPUTED_VALUE"""),410)</f>
        <v>410</v>
      </c>
      <c r="S1044" s="62">
        <f ca="1">IFERROR(__xludf.DUMMYFUNCTION("""COMPUTED_VALUE"""),0.007142857)</f>
        <v>7.1428569999999999E-3</v>
      </c>
      <c r="T1044" s="63" t="str">
        <f ca="1">IFERROR(__xludf.DUMMYFUNCTION("""COMPUTED_VALUE"""),"https://storage.googleapis.com/glide-prod.appspot.com/uploads-v2/ly7o78grxPaC6KdgvbpS/pub/3aRdSog0vUtuqPE8AJKD.png")</f>
        <v>https://storage.googleapis.com/glide-prod.appspot.com/uploads-v2/ly7o78grxPaC6KdgvbpS/pub/3aRdSog0vUtuqPE8AJKD.png</v>
      </c>
      <c r="U1044" s="5" t="str">
        <f ca="1">IFERROR(__xludf.DUMMYFUNCTION("""COMPUTED_VALUE"""),"LINEA DE ENVASADO TAMAÑO PERSONALPROCESADOR DE BEBIDA")</f>
        <v>LINEA DE ENVASADO TAMAÑO PERSONALPROCESADOR DE BEBIDA</v>
      </c>
      <c r="V1044" s="5"/>
      <c r="W1044" s="5" t="b">
        <f ca="1">IFERROR(__xludf.DUMMYFUNCTION("""COMPUTED_VALUE"""),TRUE)</f>
        <v>1</v>
      </c>
      <c r="X1044" s="5" t="str">
        <f ca="1">IFERROR(__xludf.DUMMYFUNCTION("""COMPUTED_VALUE"""),"wguerra@postobon.com.co,aprmttoyu@postobon.com.co,aprmyu@postobon.com.co,wmora@postobon.com.co,efzapata@postobon.com.co")</f>
        <v>wguerra@postobon.com.co,aprmttoyu@postobon.com.co,aprmyu@postobon.com.co,wmora@postobon.com.co,efzapata@postobon.com.co</v>
      </c>
      <c r="Y1044" s="5" t="str">
        <f ca="1">IFERROR(__xludf.DUMMYFUNCTION("""COMPUTED_VALUE"""),"wguerra@postobon.com.co")</f>
        <v>wguerra@postobon.com.co</v>
      </c>
      <c r="Z1044" s="5" t="str">
        <f ca="1">IFERROR(__xludf.DUMMYFUNCTION("""COMPUTED_VALUE"""),"e3WEQ1XJTWGbkevdZt2G9A")</f>
        <v>e3WEQ1XJTWGbkevdZt2G9A</v>
      </c>
      <c r="AA1044" s="5"/>
      <c r="AB1044" s="5"/>
      <c r="AC1044" s="5"/>
      <c r="AD1044" s="5">
        <f ca="1">IFERROR(__xludf.DUMMYFUNCTION("""COMPUTED_VALUE"""),62)</f>
        <v>62</v>
      </c>
      <c r="AE1044" s="5">
        <f ca="1">IFERROR(__xludf.DUMMYFUNCTION("""COMPUTED_VALUE"""),62)</f>
        <v>62</v>
      </c>
      <c r="AF1044" s="5" t="b">
        <f ca="1">IFERROR(__xludf.DUMMYFUNCTION("""COMPUTED_VALUE"""),FALSE)</f>
        <v>0</v>
      </c>
      <c r="AG1044" s="5" t="str">
        <f ca="1">IFERROR(__xludf.DUMMYFUNCTION("""COMPUTED_VALUE"""),"INSPECCIONES REALIZADAS")</f>
        <v>INSPECCIONES REALIZADAS</v>
      </c>
      <c r="AH1044" s="5"/>
    </row>
    <row r="1045" spans="1:34">
      <c r="A1045" s="5" t="str">
        <f ca="1">IFERROR(__xludf.DUMMYFUNCTION("""COMPUTED_VALUE"""),"LINEA DE ENVASADO TAMAÑO PERSONAL")</f>
        <v>LINEA DE ENVASADO TAMAÑO PERSONAL</v>
      </c>
      <c r="B1045" s="5">
        <f ca="1">IFERROR(__xludf.DUMMYFUNCTION("""COMPUTED_VALUE"""),900235)</f>
        <v>900235</v>
      </c>
      <c r="C1045" s="5" t="str">
        <f ca="1">IFERROR(__xludf.DUMMYFUNCTION("""COMPUTED_VALUE"""),"PROCESADOR DE BEBIDA")</f>
        <v>PROCESADOR DE BEBIDA</v>
      </c>
      <c r="D1045" s="5">
        <f ca="1">IFERROR(__xludf.DUMMYFUNCTION("""COMPUTED_VALUE"""),13247633)</f>
        <v>13247633</v>
      </c>
      <c r="E1045" s="5" t="str">
        <f ca="1">IFERROR(__xludf.DUMMYFUNCTION("""COMPUTED_VALUE"""),"INSPECCION SEMANAL PROCESADOR DE BEBIDA")</f>
        <v>INSPECCION SEMANAL PROCESADOR DE BEBIDA</v>
      </c>
      <c r="F1045" s="5" t="str">
        <f ca="1">IFERROR(__xludf.DUMMYFUNCTION("""COMPUTED_VALUE"""),"Estado de tuberías, tanques y empaquetaduras")</f>
        <v>Estado de tuberías, tanques y empaquetaduras</v>
      </c>
      <c r="G1045" s="5" t="b">
        <f ca="1">IFERROR(__xludf.DUMMYFUNCTION("""COMPUTED_VALUE"""),TRUE)</f>
        <v>1</v>
      </c>
      <c r="H1045" s="5"/>
      <c r="I1045" s="5"/>
      <c r="J1045" s="5">
        <f ca="1">IFERROR(__xludf.DUMMYFUNCTION("""COMPUTED_VALUE"""),13247633)</f>
        <v>13247633</v>
      </c>
      <c r="K1045" s="5"/>
      <c r="L1045" s="18">
        <f ca="1">IFERROR(__xludf.DUMMYFUNCTION("""COMPUTED_VALUE"""),45324)</f>
        <v>45324</v>
      </c>
      <c r="M1045" s="18">
        <f ca="1">IFERROR(__xludf.DUMMYFUNCTION("""COMPUTED_VALUE"""),45324)</f>
        <v>45324</v>
      </c>
      <c r="N1045" s="5" t="str">
        <f ca="1">IFERROR(__xludf.DUMMYFUNCTION("""COMPUTED_VALUE"""),"Paz Paz Jhon Estiven")</f>
        <v>Paz Paz Jhon Estiven</v>
      </c>
      <c r="O1045" s="2">
        <f ca="1">IFERROR(__xludf.DUMMYFUNCTION("""COMPUTED_VALUE"""),0.007142857)</f>
        <v>7.1428569999999999E-3</v>
      </c>
      <c r="P1045" s="5">
        <f ca="1">IFERROR(__xludf.DUMMYFUNCTION("""COMPUTED_VALUE"""),20031102)</f>
        <v>20031102</v>
      </c>
      <c r="Q1045" s="5" t="str">
        <f ca="1">IFERROR(__xludf.DUMMYFUNCTION("""COMPUTED_VALUE"""),"Js_IEAx9bMg")</f>
        <v>Js_IEAx9bMg</v>
      </c>
      <c r="R1045" s="5">
        <f ca="1">IFERROR(__xludf.DUMMYFUNCTION("""COMPUTED_VALUE"""),410)</f>
        <v>410</v>
      </c>
      <c r="S1045" s="62">
        <f ca="1">IFERROR(__xludf.DUMMYFUNCTION("""COMPUTED_VALUE"""),0.007142857)</f>
        <v>7.1428569999999999E-3</v>
      </c>
      <c r="T1045" s="63" t="str">
        <f ca="1">IFERROR(__xludf.DUMMYFUNCTION("""COMPUTED_VALUE"""),"https://storage.googleapis.com/glide-prod.appspot.com/uploads-v2/ly7o78grxPaC6KdgvbpS/pub/3aRdSog0vUtuqPE8AJKD.png")</f>
        <v>https://storage.googleapis.com/glide-prod.appspot.com/uploads-v2/ly7o78grxPaC6KdgvbpS/pub/3aRdSog0vUtuqPE8AJKD.png</v>
      </c>
      <c r="U1045" s="5" t="str">
        <f ca="1">IFERROR(__xludf.DUMMYFUNCTION("""COMPUTED_VALUE"""),"LINEA DE ENVASADO TAMAÑO PERSONALPROCESADOR DE BEBIDA")</f>
        <v>LINEA DE ENVASADO TAMAÑO PERSONALPROCESADOR DE BEBIDA</v>
      </c>
      <c r="V1045" s="5"/>
      <c r="W1045" s="5" t="b">
        <f ca="1">IFERROR(__xludf.DUMMYFUNCTION("""COMPUTED_VALUE"""),TRUE)</f>
        <v>1</v>
      </c>
      <c r="X1045" s="5" t="str">
        <f ca="1">IFERROR(__xludf.DUMMYFUNCTION("""COMPUTED_VALUE"""),"wguerra@postobon.com.co,aprmttoyu@postobon.com.co,aprmyu@postobon.com.co,wmora@postobon.com.co,efzapata@postobon.com.co")</f>
        <v>wguerra@postobon.com.co,aprmttoyu@postobon.com.co,aprmyu@postobon.com.co,wmora@postobon.com.co,efzapata@postobon.com.co</v>
      </c>
      <c r="Y1045" s="5" t="str">
        <f ca="1">IFERROR(__xludf.DUMMYFUNCTION("""COMPUTED_VALUE"""),"wguerra@postobon.com.co")</f>
        <v>wguerra@postobon.com.co</v>
      </c>
      <c r="Z1045" s="5" t="str">
        <f ca="1">IFERROR(__xludf.DUMMYFUNCTION("""COMPUTED_VALUE"""),"N6dWQUjIT-SASeeZ7vADrQ")</f>
        <v>N6dWQUjIT-SASeeZ7vADrQ</v>
      </c>
      <c r="AA1045" s="5"/>
      <c r="AB1045" s="5"/>
      <c r="AC1045" s="5"/>
      <c r="AD1045" s="5">
        <f ca="1">IFERROR(__xludf.DUMMYFUNCTION("""COMPUTED_VALUE"""),62)</f>
        <v>62</v>
      </c>
      <c r="AE1045" s="5">
        <f ca="1">IFERROR(__xludf.DUMMYFUNCTION("""COMPUTED_VALUE"""),62)</f>
        <v>62</v>
      </c>
      <c r="AF1045" s="5" t="b">
        <f ca="1">IFERROR(__xludf.DUMMYFUNCTION("""COMPUTED_VALUE"""),FALSE)</f>
        <v>0</v>
      </c>
      <c r="AG1045" s="5" t="str">
        <f ca="1">IFERROR(__xludf.DUMMYFUNCTION("""COMPUTED_VALUE"""),"INSPECCIONES REALIZADAS")</f>
        <v>INSPECCIONES REALIZADAS</v>
      </c>
      <c r="AH1045" s="5"/>
    </row>
    <row r="1046" spans="1:34">
      <c r="A1046" s="5" t="str">
        <f ca="1">IFERROR(__xludf.DUMMYFUNCTION("""COMPUTED_VALUE"""),"LINEA DE ENVASADO TAMAÑO PERSONAL")</f>
        <v>LINEA DE ENVASADO TAMAÑO PERSONAL</v>
      </c>
      <c r="B1046" s="5">
        <f ca="1">IFERROR(__xludf.DUMMYFUNCTION("""COMPUTED_VALUE"""),900235)</f>
        <v>900235</v>
      </c>
      <c r="C1046" s="5" t="str">
        <f ca="1">IFERROR(__xludf.DUMMYFUNCTION("""COMPUTED_VALUE"""),"PROCESADOR DE BEBIDA")</f>
        <v>PROCESADOR DE BEBIDA</v>
      </c>
      <c r="D1046" s="5">
        <f ca="1">IFERROR(__xludf.DUMMYFUNCTION("""COMPUTED_VALUE"""),13247633)</f>
        <v>13247633</v>
      </c>
      <c r="E1046" s="5" t="str">
        <f ca="1">IFERROR(__xludf.DUMMYFUNCTION("""COMPUTED_VALUE"""),"INSPECCION SEMANAL PROCESADOR DE BEBIDA")</f>
        <v>INSPECCION SEMANAL PROCESADOR DE BEBIDA</v>
      </c>
      <c r="F1046" s="5" t="str">
        <f ca="1">IFERROR(__xludf.DUMMYFUNCTION("""COMPUTED_VALUE"""),"Estado pintura intercambiador de placas")</f>
        <v>Estado pintura intercambiador de placas</v>
      </c>
      <c r="G1046" s="5" t="b">
        <f ca="1">IFERROR(__xludf.DUMMYFUNCTION("""COMPUTED_VALUE"""),TRUE)</f>
        <v>1</v>
      </c>
      <c r="H1046" s="5"/>
      <c r="I1046" s="5"/>
      <c r="J1046" s="5">
        <f ca="1">IFERROR(__xludf.DUMMYFUNCTION("""COMPUTED_VALUE"""),13247633)</f>
        <v>13247633</v>
      </c>
      <c r="K1046" s="5"/>
      <c r="L1046" s="18">
        <f ca="1">IFERROR(__xludf.DUMMYFUNCTION("""COMPUTED_VALUE"""),45324)</f>
        <v>45324</v>
      </c>
      <c r="M1046" s="18">
        <f ca="1">IFERROR(__xludf.DUMMYFUNCTION("""COMPUTED_VALUE"""),45324)</f>
        <v>45324</v>
      </c>
      <c r="N1046" s="5" t="str">
        <f ca="1">IFERROR(__xludf.DUMMYFUNCTION("""COMPUTED_VALUE"""),"Paz Paz Jhon Estiven")</f>
        <v>Paz Paz Jhon Estiven</v>
      </c>
      <c r="O1046" s="2">
        <f ca="1">IFERROR(__xludf.DUMMYFUNCTION("""COMPUTED_VALUE"""),0.007142857)</f>
        <v>7.1428569999999999E-3</v>
      </c>
      <c r="P1046" s="5">
        <f ca="1">IFERROR(__xludf.DUMMYFUNCTION("""COMPUTED_VALUE"""),20031102)</f>
        <v>20031102</v>
      </c>
      <c r="Q1046" s="5" t="str">
        <f ca="1">IFERROR(__xludf.DUMMYFUNCTION("""COMPUTED_VALUE"""),"2HcGyyVUqPg")</f>
        <v>2HcGyyVUqPg</v>
      </c>
      <c r="R1046" s="5">
        <f ca="1">IFERROR(__xludf.DUMMYFUNCTION("""COMPUTED_VALUE"""),410)</f>
        <v>410</v>
      </c>
      <c r="S1046" s="62">
        <f ca="1">IFERROR(__xludf.DUMMYFUNCTION("""COMPUTED_VALUE"""),0.007142857)</f>
        <v>7.1428569999999999E-3</v>
      </c>
      <c r="T1046" s="63" t="str">
        <f ca="1">IFERROR(__xludf.DUMMYFUNCTION("""COMPUTED_VALUE"""),"https://storage.googleapis.com/glide-prod.appspot.com/uploads-v2/ly7o78grxPaC6KdgvbpS/pub/3aRdSog0vUtuqPE8AJKD.png")</f>
        <v>https://storage.googleapis.com/glide-prod.appspot.com/uploads-v2/ly7o78grxPaC6KdgvbpS/pub/3aRdSog0vUtuqPE8AJKD.png</v>
      </c>
      <c r="U1046" s="5" t="str">
        <f ca="1">IFERROR(__xludf.DUMMYFUNCTION("""COMPUTED_VALUE"""),"LINEA DE ENVASADO TAMAÑO PERSONALPROCESADOR DE BEBIDA")</f>
        <v>LINEA DE ENVASADO TAMAÑO PERSONALPROCESADOR DE BEBIDA</v>
      </c>
      <c r="V1046" s="5"/>
      <c r="W1046" s="5" t="b">
        <f ca="1">IFERROR(__xludf.DUMMYFUNCTION("""COMPUTED_VALUE"""),TRUE)</f>
        <v>1</v>
      </c>
      <c r="X1046" s="5" t="str">
        <f ca="1">IFERROR(__xludf.DUMMYFUNCTION("""COMPUTED_VALUE"""),"wguerra@postobon.com.co,aprmttoyu@postobon.com.co,aprmyu@postobon.com.co,wmora@postobon.com.co,efzapata@postobon.com.co")</f>
        <v>wguerra@postobon.com.co,aprmttoyu@postobon.com.co,aprmyu@postobon.com.co,wmora@postobon.com.co,efzapata@postobon.com.co</v>
      </c>
      <c r="Y1046" s="5" t="str">
        <f ca="1">IFERROR(__xludf.DUMMYFUNCTION("""COMPUTED_VALUE"""),"wguerra@postobon.com.co")</f>
        <v>wguerra@postobon.com.co</v>
      </c>
      <c r="Z1046" s="5" t="str">
        <f ca="1">IFERROR(__xludf.DUMMYFUNCTION("""COMPUTED_VALUE"""),"q7F8wzXzRs-jbvgUqcpw8g")</f>
        <v>q7F8wzXzRs-jbvgUqcpw8g</v>
      </c>
      <c r="AA1046" s="5"/>
      <c r="AB1046" s="5"/>
      <c r="AC1046" s="5"/>
      <c r="AD1046" s="5">
        <f ca="1">IFERROR(__xludf.DUMMYFUNCTION("""COMPUTED_VALUE"""),62)</f>
        <v>62</v>
      </c>
      <c r="AE1046" s="5">
        <f ca="1">IFERROR(__xludf.DUMMYFUNCTION("""COMPUTED_VALUE"""),62)</f>
        <v>62</v>
      </c>
      <c r="AF1046" s="5" t="b">
        <f ca="1">IFERROR(__xludf.DUMMYFUNCTION("""COMPUTED_VALUE"""),FALSE)</f>
        <v>0</v>
      </c>
      <c r="AG1046" s="5" t="str">
        <f ca="1">IFERROR(__xludf.DUMMYFUNCTION("""COMPUTED_VALUE"""),"INSPECCIONES REALIZADAS")</f>
        <v>INSPECCIONES REALIZADAS</v>
      </c>
      <c r="AH1046" s="5"/>
    </row>
    <row r="1047" spans="1:34">
      <c r="A1047" s="5" t="str">
        <f ca="1">IFERROR(__xludf.DUMMYFUNCTION("""COMPUTED_VALUE"""),"LINEA DE ENVASADO TAMAÑO PERSONAL")</f>
        <v>LINEA DE ENVASADO TAMAÑO PERSONAL</v>
      </c>
      <c r="B1047" s="5">
        <f ca="1">IFERROR(__xludf.DUMMYFUNCTION("""COMPUTED_VALUE"""),900235)</f>
        <v>900235</v>
      </c>
      <c r="C1047" s="5" t="str">
        <f ca="1">IFERROR(__xludf.DUMMYFUNCTION("""COMPUTED_VALUE"""),"PROCESADOR DE BEBIDA")</f>
        <v>PROCESADOR DE BEBIDA</v>
      </c>
      <c r="D1047" s="5">
        <f ca="1">IFERROR(__xludf.DUMMYFUNCTION("""COMPUTED_VALUE"""),13247633)</f>
        <v>13247633</v>
      </c>
      <c r="E1047" s="5" t="str">
        <f ca="1">IFERROR(__xludf.DUMMYFUNCTION("""COMPUTED_VALUE"""),"INSPECCION SEMANAL PROCESADOR DE BEBIDA")</f>
        <v>INSPECCION SEMANAL PROCESADOR DE BEBIDA</v>
      </c>
      <c r="F1047" s="5" t="str">
        <f ca="1">IFERROR(__xludf.DUMMYFUNCTION("""COMPUTED_VALUE"""),"Estado sistema de refrigeración")</f>
        <v>Estado sistema de refrigeración</v>
      </c>
      <c r="G1047" s="5" t="b">
        <f ca="1">IFERROR(__xludf.DUMMYFUNCTION("""COMPUTED_VALUE"""),TRUE)</f>
        <v>1</v>
      </c>
      <c r="H1047" s="5"/>
      <c r="I1047" s="5"/>
      <c r="J1047" s="5">
        <f ca="1">IFERROR(__xludf.DUMMYFUNCTION("""COMPUTED_VALUE"""),13247633)</f>
        <v>13247633</v>
      </c>
      <c r="K1047" s="5"/>
      <c r="L1047" s="18">
        <f ca="1">IFERROR(__xludf.DUMMYFUNCTION("""COMPUTED_VALUE"""),45324)</f>
        <v>45324</v>
      </c>
      <c r="M1047" s="18">
        <f ca="1">IFERROR(__xludf.DUMMYFUNCTION("""COMPUTED_VALUE"""),45324)</f>
        <v>45324</v>
      </c>
      <c r="N1047" s="5" t="str">
        <f ca="1">IFERROR(__xludf.DUMMYFUNCTION("""COMPUTED_VALUE"""),"Paz Paz Jhon Estiven")</f>
        <v>Paz Paz Jhon Estiven</v>
      </c>
      <c r="O1047" s="2">
        <f ca="1">IFERROR(__xludf.DUMMYFUNCTION("""COMPUTED_VALUE"""),0.007142857)</f>
        <v>7.1428569999999999E-3</v>
      </c>
      <c r="P1047" s="5">
        <f ca="1">IFERROR(__xludf.DUMMYFUNCTION("""COMPUTED_VALUE"""),20031102)</f>
        <v>20031102</v>
      </c>
      <c r="Q1047" s="5" t="str">
        <f ca="1">IFERROR(__xludf.DUMMYFUNCTION("""COMPUTED_VALUE"""),"0uGTXzIwkV4")</f>
        <v>0uGTXzIwkV4</v>
      </c>
      <c r="R1047" s="5">
        <f ca="1">IFERROR(__xludf.DUMMYFUNCTION("""COMPUTED_VALUE"""),410)</f>
        <v>410</v>
      </c>
      <c r="S1047" s="62">
        <f ca="1">IFERROR(__xludf.DUMMYFUNCTION("""COMPUTED_VALUE"""),0.007142857)</f>
        <v>7.1428569999999999E-3</v>
      </c>
      <c r="T1047" s="63" t="str">
        <f ca="1">IFERROR(__xludf.DUMMYFUNCTION("""COMPUTED_VALUE"""),"https://storage.googleapis.com/glide-prod.appspot.com/uploads-v2/ly7o78grxPaC6KdgvbpS/pub/3aRdSog0vUtuqPE8AJKD.png")</f>
        <v>https://storage.googleapis.com/glide-prod.appspot.com/uploads-v2/ly7o78grxPaC6KdgvbpS/pub/3aRdSog0vUtuqPE8AJKD.png</v>
      </c>
      <c r="U1047" s="5" t="str">
        <f ca="1">IFERROR(__xludf.DUMMYFUNCTION("""COMPUTED_VALUE"""),"LINEA DE ENVASADO TAMAÑO PERSONALPROCESADOR DE BEBIDA")</f>
        <v>LINEA DE ENVASADO TAMAÑO PERSONALPROCESADOR DE BEBIDA</v>
      </c>
      <c r="V1047" s="5"/>
      <c r="W1047" s="5" t="b">
        <f ca="1">IFERROR(__xludf.DUMMYFUNCTION("""COMPUTED_VALUE"""),TRUE)</f>
        <v>1</v>
      </c>
      <c r="X1047" s="5" t="str">
        <f ca="1">IFERROR(__xludf.DUMMYFUNCTION("""COMPUTED_VALUE"""),"wguerra@postobon.com.co,aprmttoyu@postobon.com.co,aprmyu@postobon.com.co,wmora@postobon.com.co,efzapata@postobon.com.co")</f>
        <v>wguerra@postobon.com.co,aprmttoyu@postobon.com.co,aprmyu@postobon.com.co,wmora@postobon.com.co,efzapata@postobon.com.co</v>
      </c>
      <c r="Y1047" s="5" t="str">
        <f ca="1">IFERROR(__xludf.DUMMYFUNCTION("""COMPUTED_VALUE"""),"wguerra@postobon.com.co")</f>
        <v>wguerra@postobon.com.co</v>
      </c>
      <c r="Z1047" s="5" t="str">
        <f ca="1">IFERROR(__xludf.DUMMYFUNCTION("""COMPUTED_VALUE"""),"8Ivtpw9pRe-ZDA1JwTPILw")</f>
        <v>8Ivtpw9pRe-ZDA1JwTPILw</v>
      </c>
      <c r="AA1047" s="5"/>
      <c r="AB1047" s="5"/>
      <c r="AC1047" s="5"/>
      <c r="AD1047" s="5">
        <f ca="1">IFERROR(__xludf.DUMMYFUNCTION("""COMPUTED_VALUE"""),62)</f>
        <v>62</v>
      </c>
      <c r="AE1047" s="5">
        <f ca="1">IFERROR(__xludf.DUMMYFUNCTION("""COMPUTED_VALUE"""),62)</f>
        <v>62</v>
      </c>
      <c r="AF1047" s="5" t="b">
        <f ca="1">IFERROR(__xludf.DUMMYFUNCTION("""COMPUTED_VALUE"""),FALSE)</f>
        <v>0</v>
      </c>
      <c r="AG1047" s="5" t="str">
        <f ca="1">IFERROR(__xludf.DUMMYFUNCTION("""COMPUTED_VALUE"""),"INSPECCIONES REALIZADAS")</f>
        <v>INSPECCIONES REALIZADAS</v>
      </c>
      <c r="AH1047" s="5"/>
    </row>
    <row r="1048" spans="1:34">
      <c r="A1048" s="5" t="str">
        <f ca="1">IFERROR(__xludf.DUMMYFUNCTION("""COMPUTED_VALUE"""),"LINEA DE ENVASADO TAMAÑO PERSONAL")</f>
        <v>LINEA DE ENVASADO TAMAÑO PERSONAL</v>
      </c>
      <c r="B1048" s="5">
        <f ca="1">IFERROR(__xludf.DUMMYFUNCTION("""COMPUTED_VALUE"""),900235)</f>
        <v>900235</v>
      </c>
      <c r="C1048" s="5" t="str">
        <f ca="1">IFERROR(__xludf.DUMMYFUNCTION("""COMPUTED_VALUE"""),"PROCESADOR DE BEBIDA")</f>
        <v>PROCESADOR DE BEBIDA</v>
      </c>
      <c r="D1048" s="5">
        <f ca="1">IFERROR(__xludf.DUMMYFUNCTION("""COMPUTED_VALUE"""),13247633)</f>
        <v>13247633</v>
      </c>
      <c r="E1048" s="5" t="str">
        <f ca="1">IFERROR(__xludf.DUMMYFUNCTION("""COMPUTED_VALUE"""),"INSPECCION SEMANAL PROCESADOR DE BEBIDA")</f>
        <v>INSPECCION SEMANAL PROCESADOR DE BEBIDA</v>
      </c>
      <c r="F1048" s="5" t="str">
        <f ca="1">IFERROR(__xludf.DUMMYFUNCTION("""COMPUTED_VALUE"""),"Estado de sensores")</f>
        <v>Estado de sensores</v>
      </c>
      <c r="G1048" s="5" t="b">
        <f ca="1">IFERROR(__xludf.DUMMYFUNCTION("""COMPUTED_VALUE"""),TRUE)</f>
        <v>1</v>
      </c>
      <c r="H1048" s="5"/>
      <c r="I1048" s="5"/>
      <c r="J1048" s="5">
        <f ca="1">IFERROR(__xludf.DUMMYFUNCTION("""COMPUTED_VALUE"""),13247633)</f>
        <v>13247633</v>
      </c>
      <c r="K1048" s="5"/>
      <c r="L1048" s="18">
        <f ca="1">IFERROR(__xludf.DUMMYFUNCTION("""COMPUTED_VALUE"""),45324)</f>
        <v>45324</v>
      </c>
      <c r="M1048" s="18">
        <f ca="1">IFERROR(__xludf.DUMMYFUNCTION("""COMPUTED_VALUE"""),45324)</f>
        <v>45324</v>
      </c>
      <c r="N1048" s="5" t="str">
        <f ca="1">IFERROR(__xludf.DUMMYFUNCTION("""COMPUTED_VALUE"""),"Paz Paz Jhon Estiven")</f>
        <v>Paz Paz Jhon Estiven</v>
      </c>
      <c r="O1048" s="2">
        <f ca="1">IFERROR(__xludf.DUMMYFUNCTION("""COMPUTED_VALUE"""),0.007142857)</f>
        <v>7.1428569999999999E-3</v>
      </c>
      <c r="P1048" s="5">
        <f ca="1">IFERROR(__xludf.DUMMYFUNCTION("""COMPUTED_VALUE"""),20031102)</f>
        <v>20031102</v>
      </c>
      <c r="Q1048" s="5" t="str">
        <f ca="1">IFERROR(__xludf.DUMMYFUNCTION("""COMPUTED_VALUE"""),"6lUEZ2CdBAU")</f>
        <v>6lUEZ2CdBAU</v>
      </c>
      <c r="R1048" s="5">
        <f ca="1">IFERROR(__xludf.DUMMYFUNCTION("""COMPUTED_VALUE"""),410)</f>
        <v>410</v>
      </c>
      <c r="S1048" s="62">
        <f ca="1">IFERROR(__xludf.DUMMYFUNCTION("""COMPUTED_VALUE"""),0.007142857)</f>
        <v>7.1428569999999999E-3</v>
      </c>
      <c r="T1048" s="63" t="str">
        <f ca="1">IFERROR(__xludf.DUMMYFUNCTION("""COMPUTED_VALUE"""),"https://storage.googleapis.com/glide-prod.appspot.com/uploads-v2/ly7o78grxPaC6KdgvbpS/pub/3aRdSog0vUtuqPE8AJKD.png")</f>
        <v>https://storage.googleapis.com/glide-prod.appspot.com/uploads-v2/ly7o78grxPaC6KdgvbpS/pub/3aRdSog0vUtuqPE8AJKD.png</v>
      </c>
      <c r="U1048" s="5" t="str">
        <f ca="1">IFERROR(__xludf.DUMMYFUNCTION("""COMPUTED_VALUE"""),"LINEA DE ENVASADO TAMAÑO PERSONALPROCESADOR DE BEBIDA")</f>
        <v>LINEA DE ENVASADO TAMAÑO PERSONALPROCESADOR DE BEBIDA</v>
      </c>
      <c r="V1048" s="5"/>
      <c r="W1048" s="5" t="b">
        <f ca="1">IFERROR(__xludf.DUMMYFUNCTION("""COMPUTED_VALUE"""),TRUE)</f>
        <v>1</v>
      </c>
      <c r="X1048" s="5" t="str">
        <f ca="1">IFERROR(__xludf.DUMMYFUNCTION("""COMPUTED_VALUE"""),"wguerra@postobon.com.co,aprmttoyu@postobon.com.co,aprmyu@postobon.com.co,wmora@postobon.com.co,efzapata@postobon.com.co")</f>
        <v>wguerra@postobon.com.co,aprmttoyu@postobon.com.co,aprmyu@postobon.com.co,wmora@postobon.com.co,efzapata@postobon.com.co</v>
      </c>
      <c r="Y1048" s="5" t="str">
        <f ca="1">IFERROR(__xludf.DUMMYFUNCTION("""COMPUTED_VALUE"""),"wguerra@postobon.com.co")</f>
        <v>wguerra@postobon.com.co</v>
      </c>
      <c r="Z1048" s="5" t="str">
        <f ca="1">IFERROR(__xludf.DUMMYFUNCTION("""COMPUTED_VALUE"""),"sthYtIStTU29E0A5VcirOg")</f>
        <v>sthYtIStTU29E0A5VcirOg</v>
      </c>
      <c r="AA1048" s="5"/>
      <c r="AB1048" s="5"/>
      <c r="AC1048" s="5"/>
      <c r="AD1048" s="5">
        <f ca="1">IFERROR(__xludf.DUMMYFUNCTION("""COMPUTED_VALUE"""),62)</f>
        <v>62</v>
      </c>
      <c r="AE1048" s="5">
        <f ca="1">IFERROR(__xludf.DUMMYFUNCTION("""COMPUTED_VALUE"""),62)</f>
        <v>62</v>
      </c>
      <c r="AF1048" s="5" t="b">
        <f ca="1">IFERROR(__xludf.DUMMYFUNCTION("""COMPUTED_VALUE"""),FALSE)</f>
        <v>0</v>
      </c>
      <c r="AG1048" s="5" t="str">
        <f ca="1">IFERROR(__xludf.DUMMYFUNCTION("""COMPUTED_VALUE"""),"INSPECCIONES REALIZADAS")</f>
        <v>INSPECCIONES REALIZADAS</v>
      </c>
      <c r="AH1048" s="5"/>
    </row>
    <row r="1049" spans="1:34">
      <c r="A1049" s="5" t="str">
        <f ca="1">IFERROR(__xludf.DUMMYFUNCTION("""COMPUTED_VALUE"""),"LINEA DE ENVASADO TAMAÑO PERSONAL")</f>
        <v>LINEA DE ENVASADO TAMAÑO PERSONAL</v>
      </c>
      <c r="B1049" s="5">
        <f ca="1">IFERROR(__xludf.DUMMYFUNCTION("""COMPUTED_VALUE"""),900235)</f>
        <v>900235</v>
      </c>
      <c r="C1049" s="5" t="str">
        <f ca="1">IFERROR(__xludf.DUMMYFUNCTION("""COMPUTED_VALUE"""),"PROCESADOR DE BEBIDA")</f>
        <v>PROCESADOR DE BEBIDA</v>
      </c>
      <c r="D1049" s="5">
        <f ca="1">IFERROR(__xludf.DUMMYFUNCTION("""COMPUTED_VALUE"""),13247633)</f>
        <v>13247633</v>
      </c>
      <c r="E1049" s="5" t="str">
        <f ca="1">IFERROR(__xludf.DUMMYFUNCTION("""COMPUTED_VALUE"""),"INSPECCION SEMANAL PROCESADOR DE BEBIDA")</f>
        <v>INSPECCION SEMANAL PROCESADOR DE BEBIDA</v>
      </c>
      <c r="F1049" s="5" t="str">
        <f ca="1">IFERROR(__xludf.DUMMYFUNCTION("""COMPUTED_VALUE"""),"Estado y limpieza de extractor y/o climatizador tablero eléctrico")</f>
        <v>Estado y limpieza de extractor y/o climatizador tablero eléctrico</v>
      </c>
      <c r="G1049" s="5" t="b">
        <f ca="1">IFERROR(__xludf.DUMMYFUNCTION("""COMPUTED_VALUE"""),TRUE)</f>
        <v>1</v>
      </c>
      <c r="H1049" s="5"/>
      <c r="I1049" s="5"/>
      <c r="J1049" s="5">
        <f ca="1">IFERROR(__xludf.DUMMYFUNCTION("""COMPUTED_VALUE"""),13247633)</f>
        <v>13247633</v>
      </c>
      <c r="K1049" s="5"/>
      <c r="L1049" s="18">
        <f ca="1">IFERROR(__xludf.DUMMYFUNCTION("""COMPUTED_VALUE"""),45324)</f>
        <v>45324</v>
      </c>
      <c r="M1049" s="18">
        <f ca="1">IFERROR(__xludf.DUMMYFUNCTION("""COMPUTED_VALUE"""),45324)</f>
        <v>45324</v>
      </c>
      <c r="N1049" s="5" t="str">
        <f ca="1">IFERROR(__xludf.DUMMYFUNCTION("""COMPUTED_VALUE"""),"Paz Paz Jhon Estiven")</f>
        <v>Paz Paz Jhon Estiven</v>
      </c>
      <c r="O1049" s="2">
        <f ca="1">IFERROR(__xludf.DUMMYFUNCTION("""COMPUTED_VALUE"""),0.007142857)</f>
        <v>7.1428569999999999E-3</v>
      </c>
      <c r="P1049" s="5">
        <f ca="1">IFERROR(__xludf.DUMMYFUNCTION("""COMPUTED_VALUE"""),20031102)</f>
        <v>20031102</v>
      </c>
      <c r="Q1049" s="5" t="str">
        <f ca="1">IFERROR(__xludf.DUMMYFUNCTION("""COMPUTED_VALUE"""),"V0cSJy_4s6Q")</f>
        <v>V0cSJy_4s6Q</v>
      </c>
      <c r="R1049" s="5">
        <f ca="1">IFERROR(__xludf.DUMMYFUNCTION("""COMPUTED_VALUE"""),410)</f>
        <v>410</v>
      </c>
      <c r="S1049" s="62">
        <f ca="1">IFERROR(__xludf.DUMMYFUNCTION("""COMPUTED_VALUE"""),0.007142857)</f>
        <v>7.1428569999999999E-3</v>
      </c>
      <c r="T1049" s="63" t="str">
        <f ca="1">IFERROR(__xludf.DUMMYFUNCTION("""COMPUTED_VALUE"""),"https://storage.googleapis.com/glide-prod.appspot.com/uploads-v2/ly7o78grxPaC6KdgvbpS/pub/3aRdSog0vUtuqPE8AJKD.png")</f>
        <v>https://storage.googleapis.com/glide-prod.appspot.com/uploads-v2/ly7o78grxPaC6KdgvbpS/pub/3aRdSog0vUtuqPE8AJKD.png</v>
      </c>
      <c r="U1049" s="5" t="str">
        <f ca="1">IFERROR(__xludf.DUMMYFUNCTION("""COMPUTED_VALUE"""),"LINEA DE ENVASADO TAMAÑO PERSONALPROCESADOR DE BEBIDA")</f>
        <v>LINEA DE ENVASADO TAMAÑO PERSONALPROCESADOR DE BEBIDA</v>
      </c>
      <c r="V1049" s="5"/>
      <c r="W1049" s="5" t="b">
        <f ca="1">IFERROR(__xludf.DUMMYFUNCTION("""COMPUTED_VALUE"""),TRUE)</f>
        <v>1</v>
      </c>
      <c r="X1049" s="5" t="str">
        <f ca="1">IFERROR(__xludf.DUMMYFUNCTION("""COMPUTED_VALUE"""),"wguerra@postobon.com.co,aprmttoyu@postobon.com.co,aprmyu@postobon.com.co,wmora@postobon.com.co,efzapata@postobon.com.co")</f>
        <v>wguerra@postobon.com.co,aprmttoyu@postobon.com.co,aprmyu@postobon.com.co,wmora@postobon.com.co,efzapata@postobon.com.co</v>
      </c>
      <c r="Y1049" s="5" t="str">
        <f ca="1">IFERROR(__xludf.DUMMYFUNCTION("""COMPUTED_VALUE"""),"wguerra@postobon.com.co")</f>
        <v>wguerra@postobon.com.co</v>
      </c>
      <c r="Z1049" s="5" t="str">
        <f ca="1">IFERROR(__xludf.DUMMYFUNCTION("""COMPUTED_VALUE"""),"2PFIG8ldSv-CEtv7Nejdqg")</f>
        <v>2PFIG8ldSv-CEtv7Nejdqg</v>
      </c>
      <c r="AA1049" s="5"/>
      <c r="AB1049" s="5"/>
      <c r="AC1049" s="5"/>
      <c r="AD1049" s="5">
        <f ca="1">IFERROR(__xludf.DUMMYFUNCTION("""COMPUTED_VALUE"""),62)</f>
        <v>62</v>
      </c>
      <c r="AE1049" s="5">
        <f ca="1">IFERROR(__xludf.DUMMYFUNCTION("""COMPUTED_VALUE"""),62)</f>
        <v>62</v>
      </c>
      <c r="AF1049" s="5" t="b">
        <f ca="1">IFERROR(__xludf.DUMMYFUNCTION("""COMPUTED_VALUE"""),FALSE)</f>
        <v>0</v>
      </c>
      <c r="AG1049" s="5" t="str">
        <f ca="1">IFERROR(__xludf.DUMMYFUNCTION("""COMPUTED_VALUE"""),"INSPECCIONES REALIZADAS")</f>
        <v>INSPECCIONES REALIZADAS</v>
      </c>
      <c r="AH1049" s="5"/>
    </row>
    <row r="1050" spans="1:34">
      <c r="A1050" s="5" t="str">
        <f ca="1">IFERROR(__xludf.DUMMYFUNCTION("""COMPUTED_VALUE"""),"EQUIPOS PARA SERVICIOS INDUSTRIALES")</f>
        <v>EQUIPOS PARA SERVICIOS INDUSTRIALES</v>
      </c>
      <c r="B1050" s="5">
        <f ca="1">IFERROR(__xludf.DUMMYFUNCTION("""COMPUTED_VALUE"""),749636)</f>
        <v>749636</v>
      </c>
      <c r="C1050" s="5" t="str">
        <f ca="1">IFERROR(__xludf.DUMMYFUNCTION("""COMPUTED_VALUE"""),"REDES ELECTRICAS")</f>
        <v>REDES ELECTRICAS</v>
      </c>
      <c r="D1050" s="5">
        <f ca="1">IFERROR(__xludf.DUMMYFUNCTION("""COMPUTED_VALUE"""),13247502)</f>
        <v>13247502</v>
      </c>
      <c r="E1050" s="5" t="str">
        <f ca="1">IFERROR(__xludf.DUMMYFUNCTION("""COMPUTED_VALUE"""),"INSPECCION SEMANAL REDES ELECTRICAS")</f>
        <v>INSPECCION SEMANAL REDES ELECTRICAS</v>
      </c>
      <c r="F1050" s="5" t="str">
        <f ca="1">IFERROR(__xludf.DUMMYFUNCTION("""COMPUTED_VALUE"""),"PLAN MTTO MTTO ELE REDES ELECTRIC 749636")</f>
        <v>PLAN MTTO MTTO ELE REDES ELECTRIC 749636</v>
      </c>
      <c r="G1050" s="5" t="b">
        <f ca="1">IFERROR(__xludf.DUMMYFUNCTION("""COMPUTED_VALUE"""),TRUE)</f>
        <v>1</v>
      </c>
      <c r="H1050" s="5"/>
      <c r="I1050" s="5"/>
      <c r="J1050" s="5">
        <f ca="1">IFERROR(__xludf.DUMMYFUNCTION("""COMPUTED_VALUE"""),13247502)</f>
        <v>13247502</v>
      </c>
      <c r="K1050" s="5"/>
      <c r="L1050" s="18">
        <f ca="1">IFERROR(__xludf.DUMMYFUNCTION("""COMPUTED_VALUE"""),45324)</f>
        <v>45324</v>
      </c>
      <c r="M1050" s="18">
        <f ca="1">IFERROR(__xludf.DUMMYFUNCTION("""COMPUTED_VALUE"""),45324)</f>
        <v>45324</v>
      </c>
      <c r="N1050" s="5" t="str">
        <f ca="1">IFERROR(__xludf.DUMMYFUNCTION("""COMPUTED_VALUE"""),"MUÑOZ VALENCIA JEFFERSON")</f>
        <v>MUÑOZ VALENCIA JEFFERSON</v>
      </c>
      <c r="O1050" s="2">
        <f ca="1">IFERROR(__xludf.DUMMYFUNCTION("""COMPUTED_VALUE"""),0.1)</f>
        <v>0.1</v>
      </c>
      <c r="P1050" s="5">
        <f ca="1">IFERROR(__xludf.DUMMYFUNCTION("""COMPUTED_VALUE"""),20062055)</f>
        <v>20062055</v>
      </c>
      <c r="Q1050" s="5" t="str">
        <f ca="1">IFERROR(__xludf.DUMMYFUNCTION("""COMPUTED_VALUE"""),"5nJyI-SddhI")</f>
        <v>5nJyI-SddhI</v>
      </c>
      <c r="R1050" s="5">
        <f ca="1">IFERROR(__xludf.DUMMYFUNCTION("""COMPUTED_VALUE"""),410)</f>
        <v>410</v>
      </c>
      <c r="S1050" s="62">
        <f ca="1">IFERROR(__xludf.DUMMYFUNCTION("""COMPUTED_VALUE"""),0.1)</f>
        <v>0.1</v>
      </c>
      <c r="T1050" s="63" t="str">
        <f ca="1">IFERROR(__xludf.DUMMYFUNCTION("""COMPUTED_VALUE"""),"https://storage.googleapis.com/glide-prod.appspot.com/uploads-v2/ly7o78grxPaC6KdgvbpS/pub/3aRdSog0vUtuqPE8AJKD.png")</f>
        <v>https://storage.googleapis.com/glide-prod.appspot.com/uploads-v2/ly7o78grxPaC6KdgvbpS/pub/3aRdSog0vUtuqPE8AJKD.png</v>
      </c>
      <c r="U1050" s="5" t="str">
        <f ca="1">IFERROR(__xludf.DUMMYFUNCTION("""COMPUTED_VALUE"""),"EQUIPOS PARA SERVICIOS INDUSTRIALESREDES ELECTRICAS")</f>
        <v>EQUIPOS PARA SERVICIOS INDUSTRIALESREDES ELECTRICAS</v>
      </c>
      <c r="V1050" s="5"/>
      <c r="W1050" s="5" t="b">
        <f ca="1">IFERROR(__xludf.DUMMYFUNCTION("""COMPUTED_VALUE"""),TRUE)</f>
        <v>1</v>
      </c>
      <c r="X1050" s="5" t="str">
        <f ca="1">IFERROR(__xludf.DUMMYFUNCTION("""COMPUTED_VALUE"""),"wmazorra@postobon.com.co,aprmttoyu@postobon.com.co,aprmyu@postobon.com.co,wmora@postobon.com.co,efzapata@postobon.com.co")</f>
        <v>wmazorra@postobon.com.co,aprmttoyu@postobon.com.co,aprmyu@postobon.com.co,wmora@postobon.com.co,efzapata@postobon.com.co</v>
      </c>
      <c r="Y1050" s="5" t="str">
        <f ca="1">IFERROR(__xludf.DUMMYFUNCTION("""COMPUTED_VALUE"""),"wmazorra@postobon.com.co")</f>
        <v>wmazorra@postobon.com.co</v>
      </c>
      <c r="Z1050" s="5" t="str">
        <f ca="1">IFERROR(__xludf.DUMMYFUNCTION("""COMPUTED_VALUE"""),"BjIykHQeTseQUlavEvj9fA")</f>
        <v>BjIykHQeTseQUlavEvj9fA</v>
      </c>
      <c r="AA1050" s="5"/>
      <c r="AB1050" s="5"/>
      <c r="AC1050" s="5"/>
      <c r="AD1050" s="5">
        <f ca="1">IFERROR(__xludf.DUMMYFUNCTION("""COMPUTED_VALUE"""),58)</f>
        <v>58</v>
      </c>
      <c r="AE1050" s="5">
        <f ca="1">IFERROR(__xludf.DUMMYFUNCTION("""COMPUTED_VALUE"""),58)</f>
        <v>58</v>
      </c>
      <c r="AF1050" s="5" t="b">
        <f ca="1">IFERROR(__xludf.DUMMYFUNCTION("""COMPUTED_VALUE"""),FALSE)</f>
        <v>0</v>
      </c>
      <c r="AG1050" s="5" t="str">
        <f ca="1">IFERROR(__xludf.DUMMYFUNCTION("""COMPUTED_VALUE"""),"INSPECCIONES REALIZADAS")</f>
        <v>INSPECCIONES REALIZADAS</v>
      </c>
      <c r="AH1050" s="5"/>
    </row>
    <row r="1051" spans="1:34">
      <c r="A1051" s="5" t="str">
        <f ca="1">IFERROR(__xludf.DUMMYFUNCTION("""COMPUTED_VALUE"""),"EQUIPOS PARA SERVICIOS INDUSTRIALES")</f>
        <v>EQUIPOS PARA SERVICIOS INDUSTRIALES</v>
      </c>
      <c r="B1051" s="5">
        <f ca="1">IFERROR(__xludf.DUMMYFUNCTION("""COMPUTED_VALUE"""),689634)</f>
        <v>689634</v>
      </c>
      <c r="C1051" s="5" t="str">
        <f ca="1">IFERROR(__xludf.DUMMYFUNCTION("""COMPUTED_VALUE"""),"REDES HIDRAULICAS Y NEUMATICAS")</f>
        <v>REDES HIDRAULICAS Y NEUMATICAS</v>
      </c>
      <c r="D1051" s="5">
        <f ca="1">IFERROR(__xludf.DUMMYFUNCTION("""COMPUTED_VALUE"""),13247504)</f>
        <v>13247504</v>
      </c>
      <c r="E1051" s="5" t="str">
        <f ca="1">IFERROR(__xludf.DUMMYFUNCTION("""COMPUTED_VALUE"""),"INSPECCION SEMANAL REDES HIDRAULICAS Y N")</f>
        <v>INSPECCION SEMANAL REDES HIDRAULICAS Y N</v>
      </c>
      <c r="F1051" s="5" t="str">
        <f ca="1">IFERROR(__xludf.DUMMYFUNCTION("""COMPUTED_VALUE"""),"ESCAPES DE: AIRE,AGUA,VAPOR,CO2")</f>
        <v>ESCAPES DE: AIRE,AGUA,VAPOR,CO2</v>
      </c>
      <c r="G1051" s="5" t="b">
        <f ca="1">IFERROR(__xludf.DUMMYFUNCTION("""COMPUTED_VALUE"""),TRUE)</f>
        <v>1</v>
      </c>
      <c r="H1051" s="5"/>
      <c r="I1051" s="5"/>
      <c r="J1051" s="5">
        <f ca="1">IFERROR(__xludf.DUMMYFUNCTION("""COMPUTED_VALUE"""),13247504)</f>
        <v>13247504</v>
      </c>
      <c r="K1051" s="5"/>
      <c r="L1051" s="18">
        <f ca="1">IFERROR(__xludf.DUMMYFUNCTION("""COMPUTED_VALUE"""),45324)</f>
        <v>45324</v>
      </c>
      <c r="M1051" s="18">
        <f ca="1">IFERROR(__xludf.DUMMYFUNCTION("""COMPUTED_VALUE"""),45324)</f>
        <v>45324</v>
      </c>
      <c r="N1051" s="5" t="str">
        <f ca="1">IFERROR(__xludf.DUMMYFUNCTION("""COMPUTED_VALUE"""),"Guzman Palechor Miguel Angel")</f>
        <v>Guzman Palechor Miguel Angel</v>
      </c>
      <c r="O1051" s="2">
        <f ca="1">IFERROR(__xludf.DUMMYFUNCTION("""COMPUTED_VALUE"""),0.014285714)</f>
        <v>1.4285714E-2</v>
      </c>
      <c r="P1051" s="5">
        <f ca="1">IFERROR(__xludf.DUMMYFUNCTION("""COMPUTED_VALUE"""),20009822)</f>
        <v>20009822</v>
      </c>
      <c r="Q1051" s="5" t="str">
        <f ca="1">IFERROR(__xludf.DUMMYFUNCTION("""COMPUTED_VALUE"""),"2KKYXWroIW0")</f>
        <v>2KKYXWroIW0</v>
      </c>
      <c r="R1051" s="5">
        <f ca="1">IFERROR(__xludf.DUMMYFUNCTION("""COMPUTED_VALUE"""),410)</f>
        <v>410</v>
      </c>
      <c r="S1051" s="62">
        <f ca="1">IFERROR(__xludf.DUMMYFUNCTION("""COMPUTED_VALUE"""),0.014285714)</f>
        <v>1.4285714E-2</v>
      </c>
      <c r="T1051" s="63" t="str">
        <f ca="1">IFERROR(__xludf.DUMMYFUNCTION("""COMPUTED_VALUE"""),"https://storage.googleapis.com/glide-prod.appspot.com/uploads-v2/ly7o78grxPaC6KdgvbpS/pub/3aRdSog0vUtuqPE8AJKD.png")</f>
        <v>https://storage.googleapis.com/glide-prod.appspot.com/uploads-v2/ly7o78grxPaC6KdgvbpS/pub/3aRdSog0vUtuqPE8AJKD.png</v>
      </c>
      <c r="U1051" s="5" t="str">
        <f ca="1">IFERROR(__xludf.DUMMYFUNCTION("""COMPUTED_VALUE"""),"EQUIPOS PARA SERVICIOS INDUSTRIALESREDES HIDRAULICAS Y NEUMATICAS")</f>
        <v>EQUIPOS PARA SERVICIOS INDUSTRIALESREDES HIDRAULICAS Y NEUMATICAS</v>
      </c>
      <c r="V1051" s="5"/>
      <c r="W1051" s="5" t="b">
        <f ca="1">IFERROR(__xludf.DUMMYFUNCTION("""COMPUTED_VALUE"""),TRUE)</f>
        <v>1</v>
      </c>
      <c r="X1051" s="5" t="str">
        <f ca="1">IFERROR(__xludf.DUMMYFUNCTION("""COMPUTED_VALUE"""),"wmazorra@postobon.com.co,aprmttoyu@postobon.com.co,aprmyu@postobon.com.co,wmora@postobon.com.co,efzapata@postobon.com.co")</f>
        <v>wmazorra@postobon.com.co,aprmttoyu@postobon.com.co,aprmyu@postobon.com.co,wmora@postobon.com.co,efzapata@postobon.com.co</v>
      </c>
      <c r="Y1051" s="5" t="str">
        <f ca="1">IFERROR(__xludf.DUMMYFUNCTION("""COMPUTED_VALUE"""),"wmazorra@postobon.com.co")</f>
        <v>wmazorra@postobon.com.co</v>
      </c>
      <c r="Z1051" s="5" t="str">
        <f ca="1">IFERROR(__xludf.DUMMYFUNCTION("""COMPUTED_VALUE"""),"0pNJVa-hQvqG5DCutWwO5w")</f>
        <v>0pNJVa-hQvqG5DCutWwO5w</v>
      </c>
      <c r="AA1051" s="5"/>
      <c r="AB1051" s="5"/>
      <c r="AC1051" s="5"/>
      <c r="AD1051" s="5">
        <f ca="1">IFERROR(__xludf.DUMMYFUNCTION("""COMPUTED_VALUE"""),34)</f>
        <v>34</v>
      </c>
      <c r="AE1051" s="5">
        <f ca="1">IFERROR(__xludf.DUMMYFUNCTION("""COMPUTED_VALUE"""),34)</f>
        <v>34</v>
      </c>
      <c r="AF1051" s="5" t="b">
        <f ca="1">IFERROR(__xludf.DUMMYFUNCTION("""COMPUTED_VALUE"""),FALSE)</f>
        <v>0</v>
      </c>
      <c r="AG1051" s="5" t="str">
        <f ca="1">IFERROR(__xludf.DUMMYFUNCTION("""COMPUTED_VALUE"""),"INSPECCIONES REALIZADAS")</f>
        <v>INSPECCIONES REALIZADAS</v>
      </c>
      <c r="AH1051" s="5"/>
    </row>
    <row r="1052" spans="1:34">
      <c r="A1052" s="5" t="str">
        <f ca="1">IFERROR(__xludf.DUMMYFUNCTION("""COMPUTED_VALUE"""),"EQUIPOS PARA SERVICIOS INDUSTRIALES")</f>
        <v>EQUIPOS PARA SERVICIOS INDUSTRIALES</v>
      </c>
      <c r="B1052" s="5">
        <f ca="1">IFERROR(__xludf.DUMMYFUNCTION("""COMPUTED_VALUE"""),689634)</f>
        <v>689634</v>
      </c>
      <c r="C1052" s="5" t="str">
        <f ca="1">IFERROR(__xludf.DUMMYFUNCTION("""COMPUTED_VALUE"""),"REDES HIDRAULICAS Y NEUMATICAS")</f>
        <v>REDES HIDRAULICAS Y NEUMATICAS</v>
      </c>
      <c r="D1052" s="5">
        <f ca="1">IFERROR(__xludf.DUMMYFUNCTION("""COMPUTED_VALUE"""),13247504)</f>
        <v>13247504</v>
      </c>
      <c r="E1052" s="5" t="str">
        <f ca="1">IFERROR(__xludf.DUMMYFUNCTION("""COMPUTED_VALUE"""),"INSPECCION SEMANAL REDES HIDRAULICAS Y N")</f>
        <v>INSPECCION SEMANAL REDES HIDRAULICAS Y N</v>
      </c>
      <c r="F1052" s="5" t="str">
        <f ca="1">IFERROR(__xludf.DUMMYFUNCTION("""COMPUTED_VALUE"""),"ESCAPES DE: SODA,CONDENSADO")</f>
        <v>ESCAPES DE: SODA,CONDENSADO</v>
      </c>
      <c r="G1052" s="5" t="b">
        <f ca="1">IFERROR(__xludf.DUMMYFUNCTION("""COMPUTED_VALUE"""),TRUE)</f>
        <v>1</v>
      </c>
      <c r="H1052" s="5"/>
      <c r="I1052" s="5"/>
      <c r="J1052" s="5">
        <f ca="1">IFERROR(__xludf.DUMMYFUNCTION("""COMPUTED_VALUE"""),13247504)</f>
        <v>13247504</v>
      </c>
      <c r="K1052" s="5"/>
      <c r="L1052" s="18">
        <f ca="1">IFERROR(__xludf.DUMMYFUNCTION("""COMPUTED_VALUE"""),45324)</f>
        <v>45324</v>
      </c>
      <c r="M1052" s="18">
        <f ca="1">IFERROR(__xludf.DUMMYFUNCTION("""COMPUTED_VALUE"""),45324)</f>
        <v>45324</v>
      </c>
      <c r="N1052" s="5" t="str">
        <f ca="1">IFERROR(__xludf.DUMMYFUNCTION("""COMPUTED_VALUE"""),"Guzman Palechor Miguel Angel")</f>
        <v>Guzman Palechor Miguel Angel</v>
      </c>
      <c r="O1052" s="2">
        <f ca="1">IFERROR(__xludf.DUMMYFUNCTION("""COMPUTED_VALUE"""),0.014285714)</f>
        <v>1.4285714E-2</v>
      </c>
      <c r="P1052" s="5">
        <f ca="1">IFERROR(__xludf.DUMMYFUNCTION("""COMPUTED_VALUE"""),20009822)</f>
        <v>20009822</v>
      </c>
      <c r="Q1052" s="5" t="str">
        <f ca="1">IFERROR(__xludf.DUMMYFUNCTION("""COMPUTED_VALUE"""),"jWSkEppHLAw")</f>
        <v>jWSkEppHLAw</v>
      </c>
      <c r="R1052" s="5">
        <f ca="1">IFERROR(__xludf.DUMMYFUNCTION("""COMPUTED_VALUE"""),410)</f>
        <v>410</v>
      </c>
      <c r="S1052" s="62">
        <f ca="1">IFERROR(__xludf.DUMMYFUNCTION("""COMPUTED_VALUE"""),0.014285714)</f>
        <v>1.4285714E-2</v>
      </c>
      <c r="T1052" s="63" t="str">
        <f ca="1">IFERROR(__xludf.DUMMYFUNCTION("""COMPUTED_VALUE"""),"https://storage.googleapis.com/glide-prod.appspot.com/uploads-v2/ly7o78grxPaC6KdgvbpS/pub/3aRdSog0vUtuqPE8AJKD.png")</f>
        <v>https://storage.googleapis.com/glide-prod.appspot.com/uploads-v2/ly7o78grxPaC6KdgvbpS/pub/3aRdSog0vUtuqPE8AJKD.png</v>
      </c>
      <c r="U1052" s="5" t="str">
        <f ca="1">IFERROR(__xludf.DUMMYFUNCTION("""COMPUTED_VALUE"""),"EQUIPOS PARA SERVICIOS INDUSTRIALESREDES HIDRAULICAS Y NEUMATICAS")</f>
        <v>EQUIPOS PARA SERVICIOS INDUSTRIALESREDES HIDRAULICAS Y NEUMATICAS</v>
      </c>
      <c r="V1052" s="5"/>
      <c r="W1052" s="5" t="b">
        <f ca="1">IFERROR(__xludf.DUMMYFUNCTION("""COMPUTED_VALUE"""),TRUE)</f>
        <v>1</v>
      </c>
      <c r="X1052" s="5" t="str">
        <f ca="1">IFERROR(__xludf.DUMMYFUNCTION("""COMPUTED_VALUE"""),"wmazorra@postobon.com.co,aprmttoyu@postobon.com.co,aprmyu@postobon.com.co,wmora@postobon.com.co,efzapata@postobon.com.co")</f>
        <v>wmazorra@postobon.com.co,aprmttoyu@postobon.com.co,aprmyu@postobon.com.co,wmora@postobon.com.co,efzapata@postobon.com.co</v>
      </c>
      <c r="Y1052" s="5" t="str">
        <f ca="1">IFERROR(__xludf.DUMMYFUNCTION("""COMPUTED_VALUE"""),"wmazorra@postobon.com.co")</f>
        <v>wmazorra@postobon.com.co</v>
      </c>
      <c r="Z1052" s="5" t="str">
        <f ca="1">IFERROR(__xludf.DUMMYFUNCTION("""COMPUTED_VALUE"""),"7IGXOOeqSpyrnqHE8CjnUw")</f>
        <v>7IGXOOeqSpyrnqHE8CjnUw</v>
      </c>
      <c r="AA1052" s="5"/>
      <c r="AB1052" s="5"/>
      <c r="AC1052" s="5"/>
      <c r="AD1052" s="5">
        <f ca="1">IFERROR(__xludf.DUMMYFUNCTION("""COMPUTED_VALUE"""),34)</f>
        <v>34</v>
      </c>
      <c r="AE1052" s="5">
        <f ca="1">IFERROR(__xludf.DUMMYFUNCTION("""COMPUTED_VALUE"""),34)</f>
        <v>34</v>
      </c>
      <c r="AF1052" s="5" t="b">
        <f ca="1">IFERROR(__xludf.DUMMYFUNCTION("""COMPUTED_VALUE"""),FALSE)</f>
        <v>0</v>
      </c>
      <c r="AG1052" s="5" t="str">
        <f ca="1">IFERROR(__xludf.DUMMYFUNCTION("""COMPUTED_VALUE"""),"INSPECCIONES REALIZADAS")</f>
        <v>INSPECCIONES REALIZADAS</v>
      </c>
      <c r="AH1052" s="5"/>
    </row>
    <row r="1053" spans="1:34">
      <c r="A1053" s="5" t="str">
        <f ca="1">IFERROR(__xludf.DUMMYFUNCTION("""COMPUTED_VALUE"""),"EQUIPOS PARA SERVICIOS INDUSTRIALES")</f>
        <v>EQUIPOS PARA SERVICIOS INDUSTRIALES</v>
      </c>
      <c r="B1053" s="5">
        <f ca="1">IFERROR(__xludf.DUMMYFUNCTION("""COMPUTED_VALUE"""),689634)</f>
        <v>689634</v>
      </c>
      <c r="C1053" s="5" t="str">
        <f ca="1">IFERROR(__xludf.DUMMYFUNCTION("""COMPUTED_VALUE"""),"REDES HIDRAULICAS Y NEUMATICAS")</f>
        <v>REDES HIDRAULICAS Y NEUMATICAS</v>
      </c>
      <c r="D1053" s="5">
        <f ca="1">IFERROR(__xludf.DUMMYFUNCTION("""COMPUTED_VALUE"""),13247504)</f>
        <v>13247504</v>
      </c>
      <c r="E1053" s="5" t="str">
        <f ca="1">IFERROR(__xludf.DUMMYFUNCTION("""COMPUTED_VALUE"""),"INSPECCION SEMANAL REDES HIDRAULICAS Y N")</f>
        <v>INSPECCION SEMANAL REDES HIDRAULICAS Y N</v>
      </c>
      <c r="F1053" s="5" t="str">
        <f ca="1">IFERROR(__xludf.DUMMYFUNCTION("""COMPUTED_VALUE"""),"ESCAPES: JARABE SIMPLE, TERMINADO")</f>
        <v>ESCAPES: JARABE SIMPLE, TERMINADO</v>
      </c>
      <c r="G1053" s="5" t="b">
        <f ca="1">IFERROR(__xludf.DUMMYFUNCTION("""COMPUTED_VALUE"""),TRUE)</f>
        <v>1</v>
      </c>
      <c r="H1053" s="5"/>
      <c r="I1053" s="5"/>
      <c r="J1053" s="5">
        <f ca="1">IFERROR(__xludf.DUMMYFUNCTION("""COMPUTED_VALUE"""),13247504)</f>
        <v>13247504</v>
      </c>
      <c r="K1053" s="5"/>
      <c r="L1053" s="18">
        <f ca="1">IFERROR(__xludf.DUMMYFUNCTION("""COMPUTED_VALUE"""),45324)</f>
        <v>45324</v>
      </c>
      <c r="M1053" s="18">
        <f ca="1">IFERROR(__xludf.DUMMYFUNCTION("""COMPUTED_VALUE"""),45324)</f>
        <v>45324</v>
      </c>
      <c r="N1053" s="5" t="str">
        <f ca="1">IFERROR(__xludf.DUMMYFUNCTION("""COMPUTED_VALUE"""),"Guzman Palechor Miguel Angel")</f>
        <v>Guzman Palechor Miguel Angel</v>
      </c>
      <c r="O1053" s="2">
        <f ca="1">IFERROR(__xludf.DUMMYFUNCTION("""COMPUTED_VALUE"""),0.014285714)</f>
        <v>1.4285714E-2</v>
      </c>
      <c r="P1053" s="5">
        <f ca="1">IFERROR(__xludf.DUMMYFUNCTION("""COMPUTED_VALUE"""),20009822)</f>
        <v>20009822</v>
      </c>
      <c r="Q1053" s="5" t="str">
        <f ca="1">IFERROR(__xludf.DUMMYFUNCTION("""COMPUTED_VALUE"""),"C092tsVIT18")</f>
        <v>C092tsVIT18</v>
      </c>
      <c r="R1053" s="5">
        <f ca="1">IFERROR(__xludf.DUMMYFUNCTION("""COMPUTED_VALUE"""),410)</f>
        <v>410</v>
      </c>
      <c r="S1053" s="62">
        <f ca="1">IFERROR(__xludf.DUMMYFUNCTION("""COMPUTED_VALUE"""),0.014285714)</f>
        <v>1.4285714E-2</v>
      </c>
      <c r="T1053" s="63" t="str">
        <f ca="1">IFERROR(__xludf.DUMMYFUNCTION("""COMPUTED_VALUE"""),"https://storage.googleapis.com/glide-prod.appspot.com/uploads-v2/ly7o78grxPaC6KdgvbpS/pub/3aRdSog0vUtuqPE8AJKD.png")</f>
        <v>https://storage.googleapis.com/glide-prod.appspot.com/uploads-v2/ly7o78grxPaC6KdgvbpS/pub/3aRdSog0vUtuqPE8AJKD.png</v>
      </c>
      <c r="U1053" s="5" t="str">
        <f ca="1">IFERROR(__xludf.DUMMYFUNCTION("""COMPUTED_VALUE"""),"EQUIPOS PARA SERVICIOS INDUSTRIALESREDES HIDRAULICAS Y NEUMATICAS")</f>
        <v>EQUIPOS PARA SERVICIOS INDUSTRIALESREDES HIDRAULICAS Y NEUMATICAS</v>
      </c>
      <c r="V1053" s="5"/>
      <c r="W1053" s="5" t="b">
        <f ca="1">IFERROR(__xludf.DUMMYFUNCTION("""COMPUTED_VALUE"""),TRUE)</f>
        <v>1</v>
      </c>
      <c r="X1053" s="5" t="str">
        <f ca="1">IFERROR(__xludf.DUMMYFUNCTION("""COMPUTED_VALUE"""),"wmazorra@postobon.com.co,aprmttoyu@postobon.com.co,aprmyu@postobon.com.co,wmora@postobon.com.co,efzapata@postobon.com.co")</f>
        <v>wmazorra@postobon.com.co,aprmttoyu@postobon.com.co,aprmyu@postobon.com.co,wmora@postobon.com.co,efzapata@postobon.com.co</v>
      </c>
      <c r="Y1053" s="5" t="str">
        <f ca="1">IFERROR(__xludf.DUMMYFUNCTION("""COMPUTED_VALUE"""),"wmazorra@postobon.com.co")</f>
        <v>wmazorra@postobon.com.co</v>
      </c>
      <c r="Z1053" s="5" t="str">
        <f ca="1">IFERROR(__xludf.DUMMYFUNCTION("""COMPUTED_VALUE"""),"ebXr3jqdTHSyUZ6UbAVzpA")</f>
        <v>ebXr3jqdTHSyUZ6UbAVzpA</v>
      </c>
      <c r="AA1053" s="5"/>
      <c r="AB1053" s="5"/>
      <c r="AC1053" s="5"/>
      <c r="AD1053" s="5">
        <f ca="1">IFERROR(__xludf.DUMMYFUNCTION("""COMPUTED_VALUE"""),34)</f>
        <v>34</v>
      </c>
      <c r="AE1053" s="5">
        <f ca="1">IFERROR(__xludf.DUMMYFUNCTION("""COMPUTED_VALUE"""),34)</f>
        <v>34</v>
      </c>
      <c r="AF1053" s="5" t="b">
        <f ca="1">IFERROR(__xludf.DUMMYFUNCTION("""COMPUTED_VALUE"""),FALSE)</f>
        <v>0</v>
      </c>
      <c r="AG1053" s="5" t="str">
        <f ca="1">IFERROR(__xludf.DUMMYFUNCTION("""COMPUTED_VALUE"""),"INSPECCIONES REALIZADAS")</f>
        <v>INSPECCIONES REALIZADAS</v>
      </c>
      <c r="AH1053" s="5"/>
    </row>
    <row r="1054" spans="1:34">
      <c r="A1054" s="5" t="str">
        <f ca="1">IFERROR(__xludf.DUMMYFUNCTION("""COMPUTED_VALUE"""),"EQUIPOS PARA SERVICIOS INDUSTRIALES")</f>
        <v>EQUIPOS PARA SERVICIOS INDUSTRIALES</v>
      </c>
      <c r="B1054" s="5">
        <f ca="1">IFERROR(__xludf.DUMMYFUNCTION("""COMPUTED_VALUE"""),689634)</f>
        <v>689634</v>
      </c>
      <c r="C1054" s="5" t="str">
        <f ca="1">IFERROR(__xludf.DUMMYFUNCTION("""COMPUTED_VALUE"""),"REDES HIDRAULICAS Y NEUMATICAS")</f>
        <v>REDES HIDRAULICAS Y NEUMATICAS</v>
      </c>
      <c r="D1054" s="5">
        <f ca="1">IFERROR(__xludf.DUMMYFUNCTION("""COMPUTED_VALUE"""),13247504)</f>
        <v>13247504</v>
      </c>
      <c r="E1054" s="5" t="str">
        <f ca="1">IFERROR(__xludf.DUMMYFUNCTION("""COMPUTED_VALUE"""),"INSPECCION SEMANAL REDES HIDRAULICAS Y N")</f>
        <v>INSPECCION SEMANAL REDES HIDRAULICAS Y N</v>
      </c>
      <c r="F1054" s="5" t="str">
        <f ca="1">IFERROR(__xludf.DUMMYFUNCTION("""COMPUTED_VALUE"""),"ESTADO DE TUBERIAS")</f>
        <v>ESTADO DE TUBERIAS</v>
      </c>
      <c r="G1054" s="5" t="b">
        <f ca="1">IFERROR(__xludf.DUMMYFUNCTION("""COMPUTED_VALUE"""),TRUE)</f>
        <v>1</v>
      </c>
      <c r="H1054" s="5"/>
      <c r="I1054" s="5"/>
      <c r="J1054" s="5">
        <f ca="1">IFERROR(__xludf.DUMMYFUNCTION("""COMPUTED_VALUE"""),13247504)</f>
        <v>13247504</v>
      </c>
      <c r="K1054" s="5"/>
      <c r="L1054" s="18">
        <f ca="1">IFERROR(__xludf.DUMMYFUNCTION("""COMPUTED_VALUE"""),45324)</f>
        <v>45324</v>
      </c>
      <c r="M1054" s="18">
        <f ca="1">IFERROR(__xludf.DUMMYFUNCTION("""COMPUTED_VALUE"""),45324)</f>
        <v>45324</v>
      </c>
      <c r="N1054" s="5" t="str">
        <f ca="1">IFERROR(__xludf.DUMMYFUNCTION("""COMPUTED_VALUE"""),"Guzman Palechor Miguel Angel")</f>
        <v>Guzman Palechor Miguel Angel</v>
      </c>
      <c r="O1054" s="2">
        <f ca="1">IFERROR(__xludf.DUMMYFUNCTION("""COMPUTED_VALUE"""),0.014285714)</f>
        <v>1.4285714E-2</v>
      </c>
      <c r="P1054" s="5">
        <f ca="1">IFERROR(__xludf.DUMMYFUNCTION("""COMPUTED_VALUE"""),20009822)</f>
        <v>20009822</v>
      </c>
      <c r="Q1054" s="5" t="str">
        <f ca="1">IFERROR(__xludf.DUMMYFUNCTION("""COMPUTED_VALUE"""),"OcZNFyLTCwk")</f>
        <v>OcZNFyLTCwk</v>
      </c>
      <c r="R1054" s="5">
        <f ca="1">IFERROR(__xludf.DUMMYFUNCTION("""COMPUTED_VALUE"""),410)</f>
        <v>410</v>
      </c>
      <c r="S1054" s="62">
        <f ca="1">IFERROR(__xludf.DUMMYFUNCTION("""COMPUTED_VALUE"""),0.014285714)</f>
        <v>1.4285714E-2</v>
      </c>
      <c r="T1054" s="63" t="str">
        <f ca="1">IFERROR(__xludf.DUMMYFUNCTION("""COMPUTED_VALUE"""),"https://storage.googleapis.com/glide-prod.appspot.com/uploads-v2/ly7o78grxPaC6KdgvbpS/pub/3aRdSog0vUtuqPE8AJKD.png")</f>
        <v>https://storage.googleapis.com/glide-prod.appspot.com/uploads-v2/ly7o78grxPaC6KdgvbpS/pub/3aRdSog0vUtuqPE8AJKD.png</v>
      </c>
      <c r="U1054" s="5" t="str">
        <f ca="1">IFERROR(__xludf.DUMMYFUNCTION("""COMPUTED_VALUE"""),"EQUIPOS PARA SERVICIOS INDUSTRIALESREDES HIDRAULICAS Y NEUMATICAS")</f>
        <v>EQUIPOS PARA SERVICIOS INDUSTRIALESREDES HIDRAULICAS Y NEUMATICAS</v>
      </c>
      <c r="V1054" s="5"/>
      <c r="W1054" s="5" t="b">
        <f ca="1">IFERROR(__xludf.DUMMYFUNCTION("""COMPUTED_VALUE"""),TRUE)</f>
        <v>1</v>
      </c>
      <c r="X1054" s="5" t="str">
        <f ca="1">IFERROR(__xludf.DUMMYFUNCTION("""COMPUTED_VALUE"""),"wmazorra@postobon.com.co,aprmttoyu@postobon.com.co,aprmyu@postobon.com.co,wmora@postobon.com.co,efzapata@postobon.com.co")</f>
        <v>wmazorra@postobon.com.co,aprmttoyu@postobon.com.co,aprmyu@postobon.com.co,wmora@postobon.com.co,efzapata@postobon.com.co</v>
      </c>
      <c r="Y1054" s="5" t="str">
        <f ca="1">IFERROR(__xludf.DUMMYFUNCTION("""COMPUTED_VALUE"""),"wmazorra@postobon.com.co")</f>
        <v>wmazorra@postobon.com.co</v>
      </c>
      <c r="Z1054" s="5" t="str">
        <f ca="1">IFERROR(__xludf.DUMMYFUNCTION("""COMPUTED_VALUE"""),"sPwMJD9vRe64Hzm-ttak8Q")</f>
        <v>sPwMJD9vRe64Hzm-ttak8Q</v>
      </c>
      <c r="AA1054" s="5"/>
      <c r="AB1054" s="5"/>
      <c r="AC1054" s="5"/>
      <c r="AD1054" s="5">
        <f ca="1">IFERROR(__xludf.DUMMYFUNCTION("""COMPUTED_VALUE"""),34)</f>
        <v>34</v>
      </c>
      <c r="AE1054" s="5">
        <f ca="1">IFERROR(__xludf.DUMMYFUNCTION("""COMPUTED_VALUE"""),34)</f>
        <v>34</v>
      </c>
      <c r="AF1054" s="5" t="b">
        <f ca="1">IFERROR(__xludf.DUMMYFUNCTION("""COMPUTED_VALUE"""),FALSE)</f>
        <v>0</v>
      </c>
      <c r="AG1054" s="5" t="str">
        <f ca="1">IFERROR(__xludf.DUMMYFUNCTION("""COMPUTED_VALUE"""),"INSPECCIONES REALIZADAS")</f>
        <v>INSPECCIONES REALIZADAS</v>
      </c>
      <c r="AH1054" s="5"/>
    </row>
    <row r="1055" spans="1:34">
      <c r="A1055" s="5" t="str">
        <f ca="1">IFERROR(__xludf.DUMMYFUNCTION("""COMPUTED_VALUE"""),"EQUIPOS PARA SERVICIOS INDUSTRIALES")</f>
        <v>EQUIPOS PARA SERVICIOS INDUSTRIALES</v>
      </c>
      <c r="B1055" s="5">
        <f ca="1">IFERROR(__xludf.DUMMYFUNCTION("""COMPUTED_VALUE"""),689634)</f>
        <v>689634</v>
      </c>
      <c r="C1055" s="5" t="str">
        <f ca="1">IFERROR(__xludf.DUMMYFUNCTION("""COMPUTED_VALUE"""),"REDES HIDRAULICAS Y NEUMATICAS")</f>
        <v>REDES HIDRAULICAS Y NEUMATICAS</v>
      </c>
      <c r="D1055" s="5">
        <f ca="1">IFERROR(__xludf.DUMMYFUNCTION("""COMPUTED_VALUE"""),13247504)</f>
        <v>13247504</v>
      </c>
      <c r="E1055" s="5" t="str">
        <f ca="1">IFERROR(__xludf.DUMMYFUNCTION("""COMPUTED_VALUE"""),"INSPECCION SEMANAL REDES HIDRAULICAS Y N")</f>
        <v>INSPECCION SEMANAL REDES HIDRAULICAS Y N</v>
      </c>
      <c r="F1055" s="5" t="str">
        <f ca="1">IFERROR(__xludf.DUMMYFUNCTION("""COMPUTED_VALUE"""),"ESTADO VALVULAS")</f>
        <v>ESTADO VALVULAS</v>
      </c>
      <c r="G1055" s="5" t="b">
        <f ca="1">IFERROR(__xludf.DUMMYFUNCTION("""COMPUTED_VALUE"""),TRUE)</f>
        <v>1</v>
      </c>
      <c r="H1055" s="5"/>
      <c r="I1055" s="5"/>
      <c r="J1055" s="5">
        <f ca="1">IFERROR(__xludf.DUMMYFUNCTION("""COMPUTED_VALUE"""),13247504)</f>
        <v>13247504</v>
      </c>
      <c r="K1055" s="5"/>
      <c r="L1055" s="18">
        <f ca="1">IFERROR(__xludf.DUMMYFUNCTION("""COMPUTED_VALUE"""),45324)</f>
        <v>45324</v>
      </c>
      <c r="M1055" s="18">
        <f ca="1">IFERROR(__xludf.DUMMYFUNCTION("""COMPUTED_VALUE"""),45324)</f>
        <v>45324</v>
      </c>
      <c r="N1055" s="5" t="str">
        <f ca="1">IFERROR(__xludf.DUMMYFUNCTION("""COMPUTED_VALUE"""),"Guzman Palechor Miguel Angel")</f>
        <v>Guzman Palechor Miguel Angel</v>
      </c>
      <c r="O1055" s="2">
        <f ca="1">IFERROR(__xludf.DUMMYFUNCTION("""COMPUTED_VALUE"""),0.014285714)</f>
        <v>1.4285714E-2</v>
      </c>
      <c r="P1055" s="5">
        <f ca="1">IFERROR(__xludf.DUMMYFUNCTION("""COMPUTED_VALUE"""),20009822)</f>
        <v>20009822</v>
      </c>
      <c r="Q1055" s="5" t="str">
        <f ca="1">IFERROR(__xludf.DUMMYFUNCTION("""COMPUTED_VALUE"""),"_QvCP6BVqV8")</f>
        <v>_QvCP6BVqV8</v>
      </c>
      <c r="R1055" s="5">
        <f ca="1">IFERROR(__xludf.DUMMYFUNCTION("""COMPUTED_VALUE"""),410)</f>
        <v>410</v>
      </c>
      <c r="S1055" s="62">
        <f ca="1">IFERROR(__xludf.DUMMYFUNCTION("""COMPUTED_VALUE"""),0.014285714)</f>
        <v>1.4285714E-2</v>
      </c>
      <c r="T1055" s="63" t="str">
        <f ca="1">IFERROR(__xludf.DUMMYFUNCTION("""COMPUTED_VALUE"""),"https://storage.googleapis.com/glide-prod.appspot.com/uploads-v2/ly7o78grxPaC6KdgvbpS/pub/3aRdSog0vUtuqPE8AJKD.png")</f>
        <v>https://storage.googleapis.com/glide-prod.appspot.com/uploads-v2/ly7o78grxPaC6KdgvbpS/pub/3aRdSog0vUtuqPE8AJKD.png</v>
      </c>
      <c r="U1055" s="5" t="str">
        <f ca="1">IFERROR(__xludf.DUMMYFUNCTION("""COMPUTED_VALUE"""),"EQUIPOS PARA SERVICIOS INDUSTRIALESREDES HIDRAULICAS Y NEUMATICAS")</f>
        <v>EQUIPOS PARA SERVICIOS INDUSTRIALESREDES HIDRAULICAS Y NEUMATICAS</v>
      </c>
      <c r="V1055" s="5"/>
      <c r="W1055" s="5" t="b">
        <f ca="1">IFERROR(__xludf.DUMMYFUNCTION("""COMPUTED_VALUE"""),TRUE)</f>
        <v>1</v>
      </c>
      <c r="X1055" s="5" t="str">
        <f ca="1">IFERROR(__xludf.DUMMYFUNCTION("""COMPUTED_VALUE"""),"wmazorra@postobon.com.co,aprmttoyu@postobon.com.co,aprmyu@postobon.com.co,wmora@postobon.com.co,efzapata@postobon.com.co")</f>
        <v>wmazorra@postobon.com.co,aprmttoyu@postobon.com.co,aprmyu@postobon.com.co,wmora@postobon.com.co,efzapata@postobon.com.co</v>
      </c>
      <c r="Y1055" s="5" t="str">
        <f ca="1">IFERROR(__xludf.DUMMYFUNCTION("""COMPUTED_VALUE"""),"wmazorra@postobon.com.co")</f>
        <v>wmazorra@postobon.com.co</v>
      </c>
      <c r="Z1055" s="5" t="str">
        <f ca="1">IFERROR(__xludf.DUMMYFUNCTION("""COMPUTED_VALUE"""),"Z9ahNKJzTbS6zKdZtnLP9Q")</f>
        <v>Z9ahNKJzTbS6zKdZtnLP9Q</v>
      </c>
      <c r="AA1055" s="5"/>
      <c r="AB1055" s="5"/>
      <c r="AC1055" s="5"/>
      <c r="AD1055" s="5">
        <f ca="1">IFERROR(__xludf.DUMMYFUNCTION("""COMPUTED_VALUE"""),34)</f>
        <v>34</v>
      </c>
      <c r="AE1055" s="5">
        <f ca="1">IFERROR(__xludf.DUMMYFUNCTION("""COMPUTED_VALUE"""),34)</f>
        <v>34</v>
      </c>
      <c r="AF1055" s="5" t="b">
        <f ca="1">IFERROR(__xludf.DUMMYFUNCTION("""COMPUTED_VALUE"""),FALSE)</f>
        <v>0</v>
      </c>
      <c r="AG1055" s="5" t="str">
        <f ca="1">IFERROR(__xludf.DUMMYFUNCTION("""COMPUTED_VALUE"""),"INSPECCIONES REALIZADAS")</f>
        <v>INSPECCIONES REALIZADAS</v>
      </c>
      <c r="AH1055" s="5"/>
    </row>
    <row r="1056" spans="1:34">
      <c r="A1056" s="5" t="str">
        <f ca="1">IFERROR(__xludf.DUMMYFUNCTION("""COMPUTED_VALUE"""),"EQUIPOS PARA SERVICIOS INDUSTRIALES")</f>
        <v>EQUIPOS PARA SERVICIOS INDUSTRIALES</v>
      </c>
      <c r="B1056" s="5">
        <f ca="1">IFERROR(__xludf.DUMMYFUNCTION("""COMPUTED_VALUE"""),689634)</f>
        <v>689634</v>
      </c>
      <c r="C1056" s="5" t="str">
        <f ca="1">IFERROR(__xludf.DUMMYFUNCTION("""COMPUTED_VALUE"""),"REDES HIDRAULICAS Y NEUMATICAS")</f>
        <v>REDES HIDRAULICAS Y NEUMATICAS</v>
      </c>
      <c r="D1056" s="5">
        <f ca="1">IFERROR(__xludf.DUMMYFUNCTION("""COMPUTED_VALUE"""),13247504)</f>
        <v>13247504</v>
      </c>
      <c r="E1056" s="5" t="str">
        <f ca="1">IFERROR(__xludf.DUMMYFUNCTION("""COMPUTED_VALUE"""),"INSPECCION SEMANAL REDES HIDRAULICAS Y N")</f>
        <v>INSPECCION SEMANAL REDES HIDRAULICAS Y N</v>
      </c>
      <c r="F1056" s="5" t="str">
        <f ca="1">IFERROR(__xludf.DUMMYFUNCTION("""COMPUTED_VALUE"""),"ESTADO AISLAMIENTO")</f>
        <v>ESTADO AISLAMIENTO</v>
      </c>
      <c r="G1056" s="5" t="b">
        <f ca="1">IFERROR(__xludf.DUMMYFUNCTION("""COMPUTED_VALUE"""),TRUE)</f>
        <v>1</v>
      </c>
      <c r="H1056" s="5"/>
      <c r="I1056" s="5"/>
      <c r="J1056" s="5">
        <f ca="1">IFERROR(__xludf.DUMMYFUNCTION("""COMPUTED_VALUE"""),13247504)</f>
        <v>13247504</v>
      </c>
      <c r="K1056" s="5"/>
      <c r="L1056" s="18">
        <f ca="1">IFERROR(__xludf.DUMMYFUNCTION("""COMPUTED_VALUE"""),45324)</f>
        <v>45324</v>
      </c>
      <c r="M1056" s="18">
        <f ca="1">IFERROR(__xludf.DUMMYFUNCTION("""COMPUTED_VALUE"""),45324)</f>
        <v>45324</v>
      </c>
      <c r="N1056" s="5" t="str">
        <f ca="1">IFERROR(__xludf.DUMMYFUNCTION("""COMPUTED_VALUE"""),"Guzman Palechor Miguel Angel")</f>
        <v>Guzman Palechor Miguel Angel</v>
      </c>
      <c r="O1056" s="2">
        <f ca="1">IFERROR(__xludf.DUMMYFUNCTION("""COMPUTED_VALUE"""),0.014285714)</f>
        <v>1.4285714E-2</v>
      </c>
      <c r="P1056" s="5">
        <f ca="1">IFERROR(__xludf.DUMMYFUNCTION("""COMPUTED_VALUE"""),20009822)</f>
        <v>20009822</v>
      </c>
      <c r="Q1056" s="5" t="str">
        <f ca="1">IFERROR(__xludf.DUMMYFUNCTION("""COMPUTED_VALUE"""),"-9L2qFEAs7M")</f>
        <v>-9L2qFEAs7M</v>
      </c>
      <c r="R1056" s="5">
        <f ca="1">IFERROR(__xludf.DUMMYFUNCTION("""COMPUTED_VALUE"""),410)</f>
        <v>410</v>
      </c>
      <c r="S1056" s="62">
        <f ca="1">IFERROR(__xludf.DUMMYFUNCTION("""COMPUTED_VALUE"""),0.014285714)</f>
        <v>1.4285714E-2</v>
      </c>
      <c r="T1056" s="63" t="str">
        <f ca="1">IFERROR(__xludf.DUMMYFUNCTION("""COMPUTED_VALUE"""),"https://storage.googleapis.com/glide-prod.appspot.com/uploads-v2/ly7o78grxPaC6KdgvbpS/pub/3aRdSog0vUtuqPE8AJKD.png")</f>
        <v>https://storage.googleapis.com/glide-prod.appspot.com/uploads-v2/ly7o78grxPaC6KdgvbpS/pub/3aRdSog0vUtuqPE8AJKD.png</v>
      </c>
      <c r="U1056" s="5" t="str">
        <f ca="1">IFERROR(__xludf.DUMMYFUNCTION("""COMPUTED_VALUE"""),"EQUIPOS PARA SERVICIOS INDUSTRIALESREDES HIDRAULICAS Y NEUMATICAS")</f>
        <v>EQUIPOS PARA SERVICIOS INDUSTRIALESREDES HIDRAULICAS Y NEUMATICAS</v>
      </c>
      <c r="V1056" s="5"/>
      <c r="W1056" s="5" t="b">
        <f ca="1">IFERROR(__xludf.DUMMYFUNCTION("""COMPUTED_VALUE"""),TRUE)</f>
        <v>1</v>
      </c>
      <c r="X1056" s="5" t="str">
        <f ca="1">IFERROR(__xludf.DUMMYFUNCTION("""COMPUTED_VALUE"""),"wmazorra@postobon.com.co,aprmttoyu@postobon.com.co,aprmyu@postobon.com.co,wmora@postobon.com.co,efzapata@postobon.com.co")</f>
        <v>wmazorra@postobon.com.co,aprmttoyu@postobon.com.co,aprmyu@postobon.com.co,wmora@postobon.com.co,efzapata@postobon.com.co</v>
      </c>
      <c r="Y1056" s="5" t="str">
        <f ca="1">IFERROR(__xludf.DUMMYFUNCTION("""COMPUTED_VALUE"""),"wmazorra@postobon.com.co")</f>
        <v>wmazorra@postobon.com.co</v>
      </c>
      <c r="Z1056" s="5" t="str">
        <f ca="1">IFERROR(__xludf.DUMMYFUNCTION("""COMPUTED_VALUE"""),"MX69GdreRGSgtusEyvcihQ")</f>
        <v>MX69GdreRGSgtusEyvcihQ</v>
      </c>
      <c r="AA1056" s="5"/>
      <c r="AB1056" s="5"/>
      <c r="AC1056" s="5"/>
      <c r="AD1056" s="5">
        <f ca="1">IFERROR(__xludf.DUMMYFUNCTION("""COMPUTED_VALUE"""),34)</f>
        <v>34</v>
      </c>
      <c r="AE1056" s="5">
        <f ca="1">IFERROR(__xludf.DUMMYFUNCTION("""COMPUTED_VALUE"""),34)</f>
        <v>34</v>
      </c>
      <c r="AF1056" s="5" t="b">
        <f ca="1">IFERROR(__xludf.DUMMYFUNCTION("""COMPUTED_VALUE"""),FALSE)</f>
        <v>0</v>
      </c>
      <c r="AG1056" s="5" t="str">
        <f ca="1">IFERROR(__xludf.DUMMYFUNCTION("""COMPUTED_VALUE"""),"INSPECCIONES REALIZADAS")</f>
        <v>INSPECCIONES REALIZADAS</v>
      </c>
      <c r="AH1056" s="5"/>
    </row>
    <row r="1057" spans="1:34">
      <c r="A1057" s="5" t="str">
        <f ca="1">IFERROR(__xludf.DUMMYFUNCTION("""COMPUTED_VALUE"""),"EQUIPOS PARA SERVICIOS INDUSTRIALES")</f>
        <v>EQUIPOS PARA SERVICIOS INDUSTRIALES</v>
      </c>
      <c r="B1057" s="5">
        <f ca="1">IFERROR(__xludf.DUMMYFUNCTION("""COMPUTED_VALUE"""),689634)</f>
        <v>689634</v>
      </c>
      <c r="C1057" s="5" t="str">
        <f ca="1">IFERROR(__xludf.DUMMYFUNCTION("""COMPUTED_VALUE"""),"REDES HIDRAULICAS Y NEUMATICAS")</f>
        <v>REDES HIDRAULICAS Y NEUMATICAS</v>
      </c>
      <c r="D1057" s="5">
        <f ca="1">IFERROR(__xludf.DUMMYFUNCTION("""COMPUTED_VALUE"""),13247504)</f>
        <v>13247504</v>
      </c>
      <c r="E1057" s="5" t="str">
        <f ca="1">IFERROR(__xludf.DUMMYFUNCTION("""COMPUTED_VALUE"""),"INSPECCION SEMANAL REDES HIDRAULICAS Y N")</f>
        <v>INSPECCION SEMANAL REDES HIDRAULICAS Y N</v>
      </c>
      <c r="F1057" s="5" t="str">
        <f ca="1">IFERROR(__xludf.DUMMYFUNCTION("""COMPUTED_VALUE"""),"ESTADO PINTURA")</f>
        <v>ESTADO PINTURA</v>
      </c>
      <c r="G1057" s="5" t="b">
        <f ca="1">IFERROR(__xludf.DUMMYFUNCTION("""COMPUTED_VALUE"""),TRUE)</f>
        <v>1</v>
      </c>
      <c r="H1057" s="5"/>
      <c r="I1057" s="5"/>
      <c r="J1057" s="5">
        <f ca="1">IFERROR(__xludf.DUMMYFUNCTION("""COMPUTED_VALUE"""),13247504)</f>
        <v>13247504</v>
      </c>
      <c r="K1057" s="5"/>
      <c r="L1057" s="18">
        <f ca="1">IFERROR(__xludf.DUMMYFUNCTION("""COMPUTED_VALUE"""),45324)</f>
        <v>45324</v>
      </c>
      <c r="M1057" s="18">
        <f ca="1">IFERROR(__xludf.DUMMYFUNCTION("""COMPUTED_VALUE"""),45324)</f>
        <v>45324</v>
      </c>
      <c r="N1057" s="5" t="str">
        <f ca="1">IFERROR(__xludf.DUMMYFUNCTION("""COMPUTED_VALUE"""),"Guzman Palechor Miguel Angel")</f>
        <v>Guzman Palechor Miguel Angel</v>
      </c>
      <c r="O1057" s="2">
        <f ca="1">IFERROR(__xludf.DUMMYFUNCTION("""COMPUTED_VALUE"""),0.014285714)</f>
        <v>1.4285714E-2</v>
      </c>
      <c r="P1057" s="5">
        <f ca="1">IFERROR(__xludf.DUMMYFUNCTION("""COMPUTED_VALUE"""),20009822)</f>
        <v>20009822</v>
      </c>
      <c r="Q1057" s="5" t="str">
        <f ca="1">IFERROR(__xludf.DUMMYFUNCTION("""COMPUTED_VALUE"""),"c5uFfwvhaVo")</f>
        <v>c5uFfwvhaVo</v>
      </c>
      <c r="R1057" s="5">
        <f ca="1">IFERROR(__xludf.DUMMYFUNCTION("""COMPUTED_VALUE"""),410)</f>
        <v>410</v>
      </c>
      <c r="S1057" s="62">
        <f ca="1">IFERROR(__xludf.DUMMYFUNCTION("""COMPUTED_VALUE"""),0.014285714)</f>
        <v>1.4285714E-2</v>
      </c>
      <c r="T1057" s="63" t="str">
        <f ca="1">IFERROR(__xludf.DUMMYFUNCTION("""COMPUTED_VALUE"""),"https://storage.googleapis.com/glide-prod.appspot.com/uploads-v2/ly7o78grxPaC6KdgvbpS/pub/3aRdSog0vUtuqPE8AJKD.png")</f>
        <v>https://storage.googleapis.com/glide-prod.appspot.com/uploads-v2/ly7o78grxPaC6KdgvbpS/pub/3aRdSog0vUtuqPE8AJKD.png</v>
      </c>
      <c r="U1057" s="5" t="str">
        <f ca="1">IFERROR(__xludf.DUMMYFUNCTION("""COMPUTED_VALUE"""),"EQUIPOS PARA SERVICIOS INDUSTRIALESREDES HIDRAULICAS Y NEUMATICAS")</f>
        <v>EQUIPOS PARA SERVICIOS INDUSTRIALESREDES HIDRAULICAS Y NEUMATICAS</v>
      </c>
      <c r="V1057" s="5"/>
      <c r="W1057" s="5" t="b">
        <f ca="1">IFERROR(__xludf.DUMMYFUNCTION("""COMPUTED_VALUE"""),TRUE)</f>
        <v>1</v>
      </c>
      <c r="X1057" s="5" t="str">
        <f ca="1">IFERROR(__xludf.DUMMYFUNCTION("""COMPUTED_VALUE"""),"wmazorra@postobon.com.co,aprmttoyu@postobon.com.co,aprmyu@postobon.com.co,wmora@postobon.com.co,efzapata@postobon.com.co")</f>
        <v>wmazorra@postobon.com.co,aprmttoyu@postobon.com.co,aprmyu@postobon.com.co,wmora@postobon.com.co,efzapata@postobon.com.co</v>
      </c>
      <c r="Y1057" s="5" t="str">
        <f ca="1">IFERROR(__xludf.DUMMYFUNCTION("""COMPUTED_VALUE"""),"wmazorra@postobon.com.co")</f>
        <v>wmazorra@postobon.com.co</v>
      </c>
      <c r="Z1057" s="5" t="str">
        <f ca="1">IFERROR(__xludf.DUMMYFUNCTION("""COMPUTED_VALUE"""),"32sVfifLTSy3ZXzJXRm-sw")</f>
        <v>32sVfifLTSy3ZXzJXRm-sw</v>
      </c>
      <c r="AA1057" s="5"/>
      <c r="AB1057" s="5"/>
      <c r="AC1057" s="5"/>
      <c r="AD1057" s="5">
        <f ca="1">IFERROR(__xludf.DUMMYFUNCTION("""COMPUTED_VALUE"""),34)</f>
        <v>34</v>
      </c>
      <c r="AE1057" s="5">
        <f ca="1">IFERROR(__xludf.DUMMYFUNCTION("""COMPUTED_VALUE"""),34)</f>
        <v>34</v>
      </c>
      <c r="AF1057" s="5" t="b">
        <f ca="1">IFERROR(__xludf.DUMMYFUNCTION("""COMPUTED_VALUE"""),FALSE)</f>
        <v>0</v>
      </c>
      <c r="AG1057" s="5" t="str">
        <f ca="1">IFERROR(__xludf.DUMMYFUNCTION("""COMPUTED_VALUE"""),"INSPECCIONES REALIZADAS")</f>
        <v>INSPECCIONES REALIZADAS</v>
      </c>
      <c r="AH1057" s="5"/>
    </row>
    <row r="1058" spans="1:34">
      <c r="A1058" s="5" t="str">
        <f ca="1">IFERROR(__xludf.DUMMYFUNCTION("""COMPUTED_VALUE"""),"LINEA PARA EL LLENADO DE GARRAFAS")</f>
        <v>LINEA PARA EL LLENADO DE GARRAFAS</v>
      </c>
      <c r="B1058" s="5">
        <f ca="1">IFERROR(__xludf.DUMMYFUNCTION("""COMPUTED_VALUE"""),71001903)</f>
        <v>71001903</v>
      </c>
      <c r="C1058" s="5" t="str">
        <f ca="1">IFERROR(__xludf.DUMMYFUNCTION("""COMPUTED_VALUE"""),"RINSE DE GARRAFAS")</f>
        <v>RINSE DE GARRAFAS</v>
      </c>
      <c r="D1058" s="5">
        <f ca="1">IFERROR(__xludf.DUMMYFUNCTION("""COMPUTED_VALUE"""),13247727)</f>
        <v>13247727</v>
      </c>
      <c r="E1058" s="5" t="str">
        <f ca="1">IFERROR(__xludf.DUMMYFUNCTION("""COMPUTED_VALUE"""),"INSPECCION SEMANAL RINSE DE GARRAFAS")</f>
        <v>INSPECCION SEMANAL RINSE DE GARRAFAS</v>
      </c>
      <c r="F1058" s="5" t="str">
        <f ca="1">IFERROR(__xludf.DUMMYFUNCTION("""COMPUTED_VALUE"""),"VERIFICAR PRESIONES INTERNA-EXTERNA")</f>
        <v>VERIFICAR PRESIONES INTERNA-EXTERNA</v>
      </c>
      <c r="G1058" s="5" t="b">
        <f ca="1">IFERROR(__xludf.DUMMYFUNCTION("""COMPUTED_VALUE"""),TRUE)</f>
        <v>1</v>
      </c>
      <c r="H1058" s="5"/>
      <c r="I1058" s="5"/>
      <c r="J1058" s="5">
        <f ca="1">IFERROR(__xludf.DUMMYFUNCTION("""COMPUTED_VALUE"""),13247727)</f>
        <v>13247727</v>
      </c>
      <c r="K1058" s="5"/>
      <c r="L1058" s="18">
        <f ca="1">IFERROR(__xludf.DUMMYFUNCTION("""COMPUTED_VALUE"""),45324)</f>
        <v>45324</v>
      </c>
      <c r="M1058" s="18">
        <f ca="1">IFERROR(__xludf.DUMMYFUNCTION("""COMPUTED_VALUE"""),45324)</f>
        <v>45324</v>
      </c>
      <c r="N1058" s="5" t="str">
        <f ca="1">IFERROR(__xludf.DUMMYFUNCTION("""COMPUTED_VALUE"""),"Víctor David Burbano Gómez")</f>
        <v>Víctor David Burbano Gómez</v>
      </c>
      <c r="O1058" s="2">
        <f ca="1">IFERROR(__xludf.DUMMYFUNCTION("""COMPUTED_VALUE"""),0.00625)</f>
        <v>6.2500000000000003E-3</v>
      </c>
      <c r="P1058" s="5">
        <f ca="1">IFERROR(__xludf.DUMMYFUNCTION("""COMPUTED_VALUE"""),20065447)</f>
        <v>20065447</v>
      </c>
      <c r="Q1058" s="5" t="str">
        <f ca="1">IFERROR(__xludf.DUMMYFUNCTION("""COMPUTED_VALUE"""),"X9Iv3yzX5tg")</f>
        <v>X9Iv3yzX5tg</v>
      </c>
      <c r="R1058" s="5">
        <f ca="1">IFERROR(__xludf.DUMMYFUNCTION("""COMPUTED_VALUE"""),410)</f>
        <v>410</v>
      </c>
      <c r="S1058" s="62">
        <f ca="1">IFERROR(__xludf.DUMMYFUNCTION("""COMPUTED_VALUE"""),0.00625)</f>
        <v>6.2500000000000003E-3</v>
      </c>
      <c r="T1058" s="63" t="str">
        <f ca="1">IFERROR(__xludf.DUMMYFUNCTION("""COMPUTED_VALUE"""),"https://storage.googleapis.com/glide-prod.appspot.com/uploads-v2/ly7o78grxPaC6KdgvbpS/pub/3aRdSog0vUtuqPE8AJKD.png")</f>
        <v>https://storage.googleapis.com/glide-prod.appspot.com/uploads-v2/ly7o78grxPaC6KdgvbpS/pub/3aRdSog0vUtuqPE8AJKD.png</v>
      </c>
      <c r="U1058" s="5" t="str">
        <f ca="1">IFERROR(__xludf.DUMMYFUNCTION("""COMPUTED_VALUE"""),"LINEA PARA EL LLENADO DE GARRAFASRINSE DE GARRAFAS")</f>
        <v>LINEA PARA EL LLENADO DE GARRAFASRINSE DE GARRAFAS</v>
      </c>
      <c r="V1058" s="5"/>
      <c r="W1058" s="5" t="b">
        <f ca="1">IFERROR(__xludf.DUMMYFUNCTION("""COMPUTED_VALUE"""),TRUE)</f>
        <v>1</v>
      </c>
      <c r="X1058" s="5" t="str">
        <f ca="1">IFERROR(__xludf.DUMMYFUNCTION("""COMPUTED_VALUE"""),"achavezi@postobon.com.co,aprmttoyu@postobon.com.co,aprmyu@postobon.com.co,wmora@postobon.com.co,efzapata@postobon.com.co")</f>
        <v>achavezi@postobon.com.co,aprmttoyu@postobon.com.co,aprmyu@postobon.com.co,wmora@postobon.com.co,efzapata@postobon.com.co</v>
      </c>
      <c r="Y1058" s="5" t="str">
        <f ca="1">IFERROR(__xludf.DUMMYFUNCTION("""COMPUTED_VALUE"""),"achavezi@postobon.com.co")</f>
        <v>achavezi@postobon.com.co</v>
      </c>
      <c r="Z1058" s="5" t="str">
        <f ca="1">IFERROR(__xludf.DUMMYFUNCTION("""COMPUTED_VALUE"""),"8zVzms.1Szqy7HixUBlcSg")</f>
        <v>8zVzms.1Szqy7HixUBlcSg</v>
      </c>
      <c r="AA1058" s="5"/>
      <c r="AB1058" s="5"/>
      <c r="AC1058" s="5"/>
      <c r="AD1058" s="5">
        <f ca="1">IFERROR(__xludf.DUMMYFUNCTION("""COMPUTED_VALUE"""),62)</f>
        <v>62</v>
      </c>
      <c r="AE1058" s="5">
        <f ca="1">IFERROR(__xludf.DUMMYFUNCTION("""COMPUTED_VALUE"""),62)</f>
        <v>62</v>
      </c>
      <c r="AF1058" s="5" t="b">
        <f ca="1">IFERROR(__xludf.DUMMYFUNCTION("""COMPUTED_VALUE"""),FALSE)</f>
        <v>0</v>
      </c>
      <c r="AG1058" s="5" t="str">
        <f ca="1">IFERROR(__xludf.DUMMYFUNCTION("""COMPUTED_VALUE"""),"INSPECCIONES REALIZADAS")</f>
        <v>INSPECCIONES REALIZADAS</v>
      </c>
      <c r="AH1058" s="5"/>
    </row>
    <row r="1059" spans="1:34">
      <c r="A1059" s="5" t="str">
        <f ca="1">IFERROR(__xludf.DUMMYFUNCTION("""COMPUTED_VALUE"""),"LINEA PARA EL LLENADO DE GARRAFAS")</f>
        <v>LINEA PARA EL LLENADO DE GARRAFAS</v>
      </c>
      <c r="B1059" s="5">
        <f ca="1">IFERROR(__xludf.DUMMYFUNCTION("""COMPUTED_VALUE"""),71001903)</f>
        <v>71001903</v>
      </c>
      <c r="C1059" s="5" t="str">
        <f ca="1">IFERROR(__xludf.DUMMYFUNCTION("""COMPUTED_VALUE"""),"RINSE DE GARRAFAS")</f>
        <v>RINSE DE GARRAFAS</v>
      </c>
      <c r="D1059" s="5">
        <f ca="1">IFERROR(__xludf.DUMMYFUNCTION("""COMPUTED_VALUE"""),13247727)</f>
        <v>13247727</v>
      </c>
      <c r="E1059" s="5" t="str">
        <f ca="1">IFERROR(__xludf.DUMMYFUNCTION("""COMPUTED_VALUE"""),"INSPECCION SEMANAL RINSE DE GARRAFAS")</f>
        <v>INSPECCION SEMANAL RINSE DE GARRAFAS</v>
      </c>
      <c r="F1059" s="5" t="str">
        <f ca="1">IFERROR(__xludf.DUMMYFUNCTION("""COMPUTED_VALUE"""),"INSP FUGA FLUIDOS")</f>
        <v>INSP FUGA FLUIDOS</v>
      </c>
      <c r="G1059" s="5" t="b">
        <f ca="1">IFERROR(__xludf.DUMMYFUNCTION("""COMPUTED_VALUE"""),TRUE)</f>
        <v>1</v>
      </c>
      <c r="H1059" s="5"/>
      <c r="I1059" s="5"/>
      <c r="J1059" s="5">
        <f ca="1">IFERROR(__xludf.DUMMYFUNCTION("""COMPUTED_VALUE"""),13247727)</f>
        <v>13247727</v>
      </c>
      <c r="K1059" s="5"/>
      <c r="L1059" s="18">
        <f ca="1">IFERROR(__xludf.DUMMYFUNCTION("""COMPUTED_VALUE"""),45324)</f>
        <v>45324</v>
      </c>
      <c r="M1059" s="18">
        <f ca="1">IFERROR(__xludf.DUMMYFUNCTION("""COMPUTED_VALUE"""),45324)</f>
        <v>45324</v>
      </c>
      <c r="N1059" s="5" t="str">
        <f ca="1">IFERROR(__xludf.DUMMYFUNCTION("""COMPUTED_VALUE"""),"Víctor David Burbano Gómez")</f>
        <v>Víctor David Burbano Gómez</v>
      </c>
      <c r="O1059" s="2">
        <f ca="1">IFERROR(__xludf.DUMMYFUNCTION("""COMPUTED_VALUE"""),0.00625)</f>
        <v>6.2500000000000003E-3</v>
      </c>
      <c r="P1059" s="5">
        <f ca="1">IFERROR(__xludf.DUMMYFUNCTION("""COMPUTED_VALUE"""),20065447)</f>
        <v>20065447</v>
      </c>
      <c r="Q1059" s="5" t="str">
        <f ca="1">IFERROR(__xludf.DUMMYFUNCTION("""COMPUTED_VALUE"""),"syc55lSKz6k")</f>
        <v>syc55lSKz6k</v>
      </c>
      <c r="R1059" s="5">
        <f ca="1">IFERROR(__xludf.DUMMYFUNCTION("""COMPUTED_VALUE"""),410)</f>
        <v>410</v>
      </c>
      <c r="S1059" s="62">
        <f ca="1">IFERROR(__xludf.DUMMYFUNCTION("""COMPUTED_VALUE"""),0.00625)</f>
        <v>6.2500000000000003E-3</v>
      </c>
      <c r="T1059" s="63" t="str">
        <f ca="1">IFERROR(__xludf.DUMMYFUNCTION("""COMPUTED_VALUE"""),"https://storage.googleapis.com/glide-prod.appspot.com/uploads-v2/ly7o78grxPaC6KdgvbpS/pub/3aRdSog0vUtuqPE8AJKD.png")</f>
        <v>https://storage.googleapis.com/glide-prod.appspot.com/uploads-v2/ly7o78grxPaC6KdgvbpS/pub/3aRdSog0vUtuqPE8AJKD.png</v>
      </c>
      <c r="U1059" s="5" t="str">
        <f ca="1">IFERROR(__xludf.DUMMYFUNCTION("""COMPUTED_VALUE"""),"LINEA PARA EL LLENADO DE GARRAFASRINSE DE GARRAFAS")</f>
        <v>LINEA PARA EL LLENADO DE GARRAFASRINSE DE GARRAFAS</v>
      </c>
      <c r="V1059" s="5"/>
      <c r="W1059" s="5" t="b">
        <f ca="1">IFERROR(__xludf.DUMMYFUNCTION("""COMPUTED_VALUE"""),TRUE)</f>
        <v>1</v>
      </c>
      <c r="X1059" s="5" t="str">
        <f ca="1">IFERROR(__xludf.DUMMYFUNCTION("""COMPUTED_VALUE"""),"achavezi@postobon.com.co,aprmttoyu@postobon.com.co,aprmyu@postobon.com.co,wmora@postobon.com.co,efzapata@postobon.com.co")</f>
        <v>achavezi@postobon.com.co,aprmttoyu@postobon.com.co,aprmyu@postobon.com.co,wmora@postobon.com.co,efzapata@postobon.com.co</v>
      </c>
      <c r="Y1059" s="5" t="str">
        <f ca="1">IFERROR(__xludf.DUMMYFUNCTION("""COMPUTED_VALUE"""),"achavezi@postobon.com.co")</f>
        <v>achavezi@postobon.com.co</v>
      </c>
      <c r="Z1059" s="5" t="str">
        <f ca="1">IFERROR(__xludf.DUMMYFUNCTION("""COMPUTED_VALUE"""),"97.UTSSvR2uHh6O09LgH8g")</f>
        <v>97.UTSSvR2uHh6O09LgH8g</v>
      </c>
      <c r="AA1059" s="5"/>
      <c r="AB1059" s="5"/>
      <c r="AC1059" s="5"/>
      <c r="AD1059" s="5">
        <f ca="1">IFERROR(__xludf.DUMMYFUNCTION("""COMPUTED_VALUE"""),62)</f>
        <v>62</v>
      </c>
      <c r="AE1059" s="5">
        <f ca="1">IFERROR(__xludf.DUMMYFUNCTION("""COMPUTED_VALUE"""),62)</f>
        <v>62</v>
      </c>
      <c r="AF1059" s="5" t="b">
        <f ca="1">IFERROR(__xludf.DUMMYFUNCTION("""COMPUTED_VALUE"""),FALSE)</f>
        <v>0</v>
      </c>
      <c r="AG1059" s="5" t="str">
        <f ca="1">IFERROR(__xludf.DUMMYFUNCTION("""COMPUTED_VALUE"""),"INSPECCIONES REALIZADAS")</f>
        <v>INSPECCIONES REALIZADAS</v>
      </c>
      <c r="AH1059" s="5"/>
    </row>
    <row r="1060" spans="1:34">
      <c r="A1060" s="5" t="str">
        <f ca="1">IFERROR(__xludf.DUMMYFUNCTION("""COMPUTED_VALUE"""),"LINEA PARA EL LLENADO DE GARRAFAS")</f>
        <v>LINEA PARA EL LLENADO DE GARRAFAS</v>
      </c>
      <c r="B1060" s="5">
        <f ca="1">IFERROR(__xludf.DUMMYFUNCTION("""COMPUTED_VALUE"""),71001903)</f>
        <v>71001903</v>
      </c>
      <c r="C1060" s="5" t="str">
        <f ca="1">IFERROR(__xludf.DUMMYFUNCTION("""COMPUTED_VALUE"""),"RINSE DE GARRAFAS")</f>
        <v>RINSE DE GARRAFAS</v>
      </c>
      <c r="D1060" s="5">
        <f ca="1">IFERROR(__xludf.DUMMYFUNCTION("""COMPUTED_VALUE"""),13247727)</f>
        <v>13247727</v>
      </c>
      <c r="E1060" s="5" t="str">
        <f ca="1">IFERROR(__xludf.DUMMYFUNCTION("""COMPUTED_VALUE"""),"INSPECCION SEMANAL RINSE DE GARRAFAS")</f>
        <v>INSPECCION SEMANAL RINSE DE GARRAFAS</v>
      </c>
      <c r="F1060" s="5" t="str">
        <f ca="1">IFERROR(__xludf.DUMMYFUNCTION("""COMPUTED_VALUE"""),"INSP FUNC SENSORES NIVEL")</f>
        <v>INSP FUNC SENSORES NIVEL</v>
      </c>
      <c r="G1060" s="5" t="b">
        <f ca="1">IFERROR(__xludf.DUMMYFUNCTION("""COMPUTED_VALUE"""),TRUE)</f>
        <v>1</v>
      </c>
      <c r="H1060" s="5"/>
      <c r="I1060" s="5"/>
      <c r="J1060" s="5">
        <f ca="1">IFERROR(__xludf.DUMMYFUNCTION("""COMPUTED_VALUE"""),13247727)</f>
        <v>13247727</v>
      </c>
      <c r="K1060" s="5"/>
      <c r="L1060" s="18">
        <f ca="1">IFERROR(__xludf.DUMMYFUNCTION("""COMPUTED_VALUE"""),45324)</f>
        <v>45324</v>
      </c>
      <c r="M1060" s="18">
        <f ca="1">IFERROR(__xludf.DUMMYFUNCTION("""COMPUTED_VALUE"""),45324)</f>
        <v>45324</v>
      </c>
      <c r="N1060" s="5" t="str">
        <f ca="1">IFERROR(__xludf.DUMMYFUNCTION("""COMPUTED_VALUE"""),"Víctor David Burbano Gómez")</f>
        <v>Víctor David Burbano Gómez</v>
      </c>
      <c r="O1060" s="2">
        <f ca="1">IFERROR(__xludf.DUMMYFUNCTION("""COMPUTED_VALUE"""),0.00625)</f>
        <v>6.2500000000000003E-3</v>
      </c>
      <c r="P1060" s="5">
        <f ca="1">IFERROR(__xludf.DUMMYFUNCTION("""COMPUTED_VALUE"""),20065447)</f>
        <v>20065447</v>
      </c>
      <c r="Q1060" s="5" t="str">
        <f ca="1">IFERROR(__xludf.DUMMYFUNCTION("""COMPUTED_VALUE"""),"7waKLFl2Nqg")</f>
        <v>7waKLFl2Nqg</v>
      </c>
      <c r="R1060" s="5">
        <f ca="1">IFERROR(__xludf.DUMMYFUNCTION("""COMPUTED_VALUE"""),410)</f>
        <v>410</v>
      </c>
      <c r="S1060" s="62">
        <f ca="1">IFERROR(__xludf.DUMMYFUNCTION("""COMPUTED_VALUE"""),0.00625)</f>
        <v>6.2500000000000003E-3</v>
      </c>
      <c r="T1060" s="63" t="str">
        <f ca="1">IFERROR(__xludf.DUMMYFUNCTION("""COMPUTED_VALUE"""),"https://storage.googleapis.com/glide-prod.appspot.com/uploads-v2/ly7o78grxPaC6KdgvbpS/pub/3aRdSog0vUtuqPE8AJKD.png")</f>
        <v>https://storage.googleapis.com/glide-prod.appspot.com/uploads-v2/ly7o78grxPaC6KdgvbpS/pub/3aRdSog0vUtuqPE8AJKD.png</v>
      </c>
      <c r="U1060" s="5" t="str">
        <f ca="1">IFERROR(__xludf.DUMMYFUNCTION("""COMPUTED_VALUE"""),"LINEA PARA EL LLENADO DE GARRAFASRINSE DE GARRAFAS")</f>
        <v>LINEA PARA EL LLENADO DE GARRAFASRINSE DE GARRAFAS</v>
      </c>
      <c r="V1060" s="5"/>
      <c r="W1060" s="5" t="b">
        <f ca="1">IFERROR(__xludf.DUMMYFUNCTION("""COMPUTED_VALUE"""),TRUE)</f>
        <v>1</v>
      </c>
      <c r="X1060" s="5" t="str">
        <f ca="1">IFERROR(__xludf.DUMMYFUNCTION("""COMPUTED_VALUE"""),"achavezi@postobon.com.co,aprmttoyu@postobon.com.co,aprmyu@postobon.com.co,wmora@postobon.com.co,efzapata@postobon.com.co")</f>
        <v>achavezi@postobon.com.co,aprmttoyu@postobon.com.co,aprmyu@postobon.com.co,wmora@postobon.com.co,efzapata@postobon.com.co</v>
      </c>
      <c r="Y1060" s="5" t="str">
        <f ca="1">IFERROR(__xludf.DUMMYFUNCTION("""COMPUTED_VALUE"""),"achavezi@postobon.com.co")</f>
        <v>achavezi@postobon.com.co</v>
      </c>
      <c r="Z1060" s="5" t="str">
        <f ca="1">IFERROR(__xludf.DUMMYFUNCTION("""COMPUTED_VALUE"""),"o6UrIiq5TEWeJhWOUytYTw")</f>
        <v>o6UrIiq5TEWeJhWOUytYTw</v>
      </c>
      <c r="AA1060" s="5"/>
      <c r="AB1060" s="5"/>
      <c r="AC1060" s="5"/>
      <c r="AD1060" s="5">
        <f ca="1">IFERROR(__xludf.DUMMYFUNCTION("""COMPUTED_VALUE"""),62)</f>
        <v>62</v>
      </c>
      <c r="AE1060" s="5">
        <f ca="1">IFERROR(__xludf.DUMMYFUNCTION("""COMPUTED_VALUE"""),62)</f>
        <v>62</v>
      </c>
      <c r="AF1060" s="5" t="b">
        <f ca="1">IFERROR(__xludf.DUMMYFUNCTION("""COMPUTED_VALUE"""),FALSE)</f>
        <v>0</v>
      </c>
      <c r="AG1060" s="5" t="str">
        <f ca="1">IFERROR(__xludf.DUMMYFUNCTION("""COMPUTED_VALUE"""),"INSPECCIONES REALIZADAS")</f>
        <v>INSPECCIONES REALIZADAS</v>
      </c>
      <c r="AH1060" s="5"/>
    </row>
    <row r="1061" spans="1:34">
      <c r="A1061" s="5" t="str">
        <f ca="1">IFERROR(__xludf.DUMMYFUNCTION("""COMPUTED_VALUE"""),"LINEA PARA EL LLENADO DE GARRAFAS")</f>
        <v>LINEA PARA EL LLENADO DE GARRAFAS</v>
      </c>
      <c r="B1061" s="5">
        <f ca="1">IFERROR(__xludf.DUMMYFUNCTION("""COMPUTED_VALUE"""),71001903)</f>
        <v>71001903</v>
      </c>
      <c r="C1061" s="5" t="str">
        <f ca="1">IFERROR(__xludf.DUMMYFUNCTION("""COMPUTED_VALUE"""),"RINSE DE GARRAFAS")</f>
        <v>RINSE DE GARRAFAS</v>
      </c>
      <c r="D1061" s="5">
        <f ca="1">IFERROR(__xludf.DUMMYFUNCTION("""COMPUTED_VALUE"""),13247727)</f>
        <v>13247727</v>
      </c>
      <c r="E1061" s="5" t="str">
        <f ca="1">IFERROR(__xludf.DUMMYFUNCTION("""COMPUTED_VALUE"""),"INSPECCION SEMANAL RINSE DE GARRAFAS")</f>
        <v>INSPECCION SEMANAL RINSE DE GARRAFAS</v>
      </c>
      <c r="F1061" s="5" t="str">
        <f ca="1">IFERROR(__xludf.DUMMYFUNCTION("""COMPUTED_VALUE"""),"INSP FUNC SOPLADORES")</f>
        <v>INSP FUNC SOPLADORES</v>
      </c>
      <c r="G1061" s="5" t="b">
        <f ca="1">IFERROR(__xludf.DUMMYFUNCTION("""COMPUTED_VALUE"""),TRUE)</f>
        <v>1</v>
      </c>
      <c r="H1061" s="5"/>
      <c r="I1061" s="5"/>
      <c r="J1061" s="5">
        <f ca="1">IFERROR(__xludf.DUMMYFUNCTION("""COMPUTED_VALUE"""),13247727)</f>
        <v>13247727</v>
      </c>
      <c r="K1061" s="5"/>
      <c r="L1061" s="18">
        <f ca="1">IFERROR(__xludf.DUMMYFUNCTION("""COMPUTED_VALUE"""),45324)</f>
        <v>45324</v>
      </c>
      <c r="M1061" s="18">
        <f ca="1">IFERROR(__xludf.DUMMYFUNCTION("""COMPUTED_VALUE"""),45324)</f>
        <v>45324</v>
      </c>
      <c r="N1061" s="5" t="str">
        <f ca="1">IFERROR(__xludf.DUMMYFUNCTION("""COMPUTED_VALUE"""),"Víctor David Burbano Gómez")</f>
        <v>Víctor David Burbano Gómez</v>
      </c>
      <c r="O1061" s="2">
        <f ca="1">IFERROR(__xludf.DUMMYFUNCTION("""COMPUTED_VALUE"""),0.00625)</f>
        <v>6.2500000000000003E-3</v>
      </c>
      <c r="P1061" s="5">
        <f ca="1">IFERROR(__xludf.DUMMYFUNCTION("""COMPUTED_VALUE"""),20065447)</f>
        <v>20065447</v>
      </c>
      <c r="Q1061" s="5" t="str">
        <f ca="1">IFERROR(__xludf.DUMMYFUNCTION("""COMPUTED_VALUE"""),"1Ot6AyjBLYs")</f>
        <v>1Ot6AyjBLYs</v>
      </c>
      <c r="R1061" s="5">
        <f ca="1">IFERROR(__xludf.DUMMYFUNCTION("""COMPUTED_VALUE"""),410)</f>
        <v>410</v>
      </c>
      <c r="S1061" s="62">
        <f ca="1">IFERROR(__xludf.DUMMYFUNCTION("""COMPUTED_VALUE"""),0.00625)</f>
        <v>6.2500000000000003E-3</v>
      </c>
      <c r="T1061" s="63" t="str">
        <f ca="1">IFERROR(__xludf.DUMMYFUNCTION("""COMPUTED_VALUE"""),"https://storage.googleapis.com/glide-prod.appspot.com/uploads-v2/ly7o78grxPaC6KdgvbpS/pub/3aRdSog0vUtuqPE8AJKD.png")</f>
        <v>https://storage.googleapis.com/glide-prod.appspot.com/uploads-v2/ly7o78grxPaC6KdgvbpS/pub/3aRdSog0vUtuqPE8AJKD.png</v>
      </c>
      <c r="U1061" s="5" t="str">
        <f ca="1">IFERROR(__xludf.DUMMYFUNCTION("""COMPUTED_VALUE"""),"LINEA PARA EL LLENADO DE GARRAFASRINSE DE GARRAFAS")</f>
        <v>LINEA PARA EL LLENADO DE GARRAFASRINSE DE GARRAFAS</v>
      </c>
      <c r="V1061" s="5"/>
      <c r="W1061" s="5" t="b">
        <f ca="1">IFERROR(__xludf.DUMMYFUNCTION("""COMPUTED_VALUE"""),TRUE)</f>
        <v>1</v>
      </c>
      <c r="X1061" s="5" t="str">
        <f ca="1">IFERROR(__xludf.DUMMYFUNCTION("""COMPUTED_VALUE"""),"achavezi@postobon.com.co,aprmttoyu@postobon.com.co,aprmyu@postobon.com.co,wmora@postobon.com.co,efzapata@postobon.com.co")</f>
        <v>achavezi@postobon.com.co,aprmttoyu@postobon.com.co,aprmyu@postobon.com.co,wmora@postobon.com.co,efzapata@postobon.com.co</v>
      </c>
      <c r="Y1061" s="5" t="str">
        <f ca="1">IFERROR(__xludf.DUMMYFUNCTION("""COMPUTED_VALUE"""),"achavezi@postobon.com.co")</f>
        <v>achavezi@postobon.com.co</v>
      </c>
      <c r="Z1061" s="5" t="str">
        <f ca="1">IFERROR(__xludf.DUMMYFUNCTION("""COMPUTED_VALUE"""),"8yztf2CJRlab0x2GMw9xHA")</f>
        <v>8yztf2CJRlab0x2GMw9xHA</v>
      </c>
      <c r="AA1061" s="5"/>
      <c r="AB1061" s="5"/>
      <c r="AC1061" s="5"/>
      <c r="AD1061" s="5">
        <f ca="1">IFERROR(__xludf.DUMMYFUNCTION("""COMPUTED_VALUE"""),62)</f>
        <v>62</v>
      </c>
      <c r="AE1061" s="5">
        <f ca="1">IFERROR(__xludf.DUMMYFUNCTION("""COMPUTED_VALUE"""),62)</f>
        <v>62</v>
      </c>
      <c r="AF1061" s="5" t="b">
        <f ca="1">IFERROR(__xludf.DUMMYFUNCTION("""COMPUTED_VALUE"""),FALSE)</f>
        <v>0</v>
      </c>
      <c r="AG1061" s="5" t="str">
        <f ca="1">IFERROR(__xludf.DUMMYFUNCTION("""COMPUTED_VALUE"""),"INSPECCIONES REALIZADAS")</f>
        <v>INSPECCIONES REALIZADAS</v>
      </c>
      <c r="AH1061" s="5"/>
    </row>
    <row r="1062" spans="1:34">
      <c r="A1062" s="5" t="str">
        <f ca="1">IFERROR(__xludf.DUMMYFUNCTION("""COMPUTED_VALUE"""),"LINEA PARA EL LLENADO DE GARRAFAS")</f>
        <v>LINEA PARA EL LLENADO DE GARRAFAS</v>
      </c>
      <c r="B1062" s="5">
        <f ca="1">IFERROR(__xludf.DUMMYFUNCTION("""COMPUTED_VALUE"""),71001903)</f>
        <v>71001903</v>
      </c>
      <c r="C1062" s="5" t="str">
        <f ca="1">IFERROR(__xludf.DUMMYFUNCTION("""COMPUTED_VALUE"""),"RINSE DE GARRAFAS")</f>
        <v>RINSE DE GARRAFAS</v>
      </c>
      <c r="D1062" s="5">
        <f ca="1">IFERROR(__xludf.DUMMYFUNCTION("""COMPUTED_VALUE"""),13247727)</f>
        <v>13247727</v>
      </c>
      <c r="E1062" s="5" t="str">
        <f ca="1">IFERROR(__xludf.DUMMYFUNCTION("""COMPUTED_VALUE"""),"INSPECCION SEMANAL RINSE DE GARRAFAS")</f>
        <v>INSPECCION SEMANAL RINSE DE GARRAFAS</v>
      </c>
      <c r="F1062" s="5" t="str">
        <f ca="1">IFERROR(__xludf.DUMMYFUNCTION("""COMPUTED_VALUE"""),"INSP FUNC TRANSPORTADOR INTERNO")</f>
        <v>INSP FUNC TRANSPORTADOR INTERNO</v>
      </c>
      <c r="G1062" s="5" t="b">
        <f ca="1">IFERROR(__xludf.DUMMYFUNCTION("""COMPUTED_VALUE"""),TRUE)</f>
        <v>1</v>
      </c>
      <c r="H1062" s="5"/>
      <c r="I1062" s="5"/>
      <c r="J1062" s="5">
        <f ca="1">IFERROR(__xludf.DUMMYFUNCTION("""COMPUTED_VALUE"""),13247727)</f>
        <v>13247727</v>
      </c>
      <c r="K1062" s="5"/>
      <c r="L1062" s="18">
        <f ca="1">IFERROR(__xludf.DUMMYFUNCTION("""COMPUTED_VALUE"""),45324)</f>
        <v>45324</v>
      </c>
      <c r="M1062" s="18">
        <f ca="1">IFERROR(__xludf.DUMMYFUNCTION("""COMPUTED_VALUE"""),45324)</f>
        <v>45324</v>
      </c>
      <c r="N1062" s="5" t="str">
        <f ca="1">IFERROR(__xludf.DUMMYFUNCTION("""COMPUTED_VALUE"""),"Víctor David Burbano Gómez")</f>
        <v>Víctor David Burbano Gómez</v>
      </c>
      <c r="O1062" s="2">
        <f ca="1">IFERROR(__xludf.DUMMYFUNCTION("""COMPUTED_VALUE"""),0.00625)</f>
        <v>6.2500000000000003E-3</v>
      </c>
      <c r="P1062" s="5">
        <f ca="1">IFERROR(__xludf.DUMMYFUNCTION("""COMPUTED_VALUE"""),20065447)</f>
        <v>20065447</v>
      </c>
      <c r="Q1062" s="5" t="str">
        <f ca="1">IFERROR(__xludf.DUMMYFUNCTION("""COMPUTED_VALUE"""),"5i4q4tCowHg")</f>
        <v>5i4q4tCowHg</v>
      </c>
      <c r="R1062" s="5">
        <f ca="1">IFERROR(__xludf.DUMMYFUNCTION("""COMPUTED_VALUE"""),410)</f>
        <v>410</v>
      </c>
      <c r="S1062" s="62">
        <f ca="1">IFERROR(__xludf.DUMMYFUNCTION("""COMPUTED_VALUE"""),0.00625)</f>
        <v>6.2500000000000003E-3</v>
      </c>
      <c r="T1062" s="63" t="str">
        <f ca="1">IFERROR(__xludf.DUMMYFUNCTION("""COMPUTED_VALUE"""),"https://storage.googleapis.com/glide-prod.appspot.com/uploads-v2/ly7o78grxPaC6KdgvbpS/pub/3aRdSog0vUtuqPE8AJKD.png")</f>
        <v>https://storage.googleapis.com/glide-prod.appspot.com/uploads-v2/ly7o78grxPaC6KdgvbpS/pub/3aRdSog0vUtuqPE8AJKD.png</v>
      </c>
      <c r="U1062" s="5" t="str">
        <f ca="1">IFERROR(__xludf.DUMMYFUNCTION("""COMPUTED_VALUE"""),"LINEA PARA EL LLENADO DE GARRAFASRINSE DE GARRAFAS")</f>
        <v>LINEA PARA EL LLENADO DE GARRAFASRINSE DE GARRAFAS</v>
      </c>
      <c r="V1062" s="5"/>
      <c r="W1062" s="5" t="b">
        <f ca="1">IFERROR(__xludf.DUMMYFUNCTION("""COMPUTED_VALUE"""),TRUE)</f>
        <v>1</v>
      </c>
      <c r="X1062" s="5" t="str">
        <f ca="1">IFERROR(__xludf.DUMMYFUNCTION("""COMPUTED_VALUE"""),"achavezi@postobon.com.co,aprmttoyu@postobon.com.co,aprmyu@postobon.com.co,wmora@postobon.com.co,efzapata@postobon.com.co")</f>
        <v>achavezi@postobon.com.co,aprmttoyu@postobon.com.co,aprmyu@postobon.com.co,wmora@postobon.com.co,efzapata@postobon.com.co</v>
      </c>
      <c r="Y1062" s="5" t="str">
        <f ca="1">IFERROR(__xludf.DUMMYFUNCTION("""COMPUTED_VALUE"""),"achavezi@postobon.com.co")</f>
        <v>achavezi@postobon.com.co</v>
      </c>
      <c r="Z1062" s="5" t="str">
        <f ca="1">IFERROR(__xludf.DUMMYFUNCTION("""COMPUTED_VALUE"""),"D2y3WW9IRzOh2-9ehGNZKA")</f>
        <v>D2y3WW9IRzOh2-9ehGNZKA</v>
      </c>
      <c r="AA1062" s="5"/>
      <c r="AB1062" s="5"/>
      <c r="AC1062" s="5"/>
      <c r="AD1062" s="5">
        <f ca="1">IFERROR(__xludf.DUMMYFUNCTION("""COMPUTED_VALUE"""),62)</f>
        <v>62</v>
      </c>
      <c r="AE1062" s="5">
        <f ca="1">IFERROR(__xludf.DUMMYFUNCTION("""COMPUTED_VALUE"""),62)</f>
        <v>62</v>
      </c>
      <c r="AF1062" s="5" t="b">
        <f ca="1">IFERROR(__xludf.DUMMYFUNCTION("""COMPUTED_VALUE"""),FALSE)</f>
        <v>0</v>
      </c>
      <c r="AG1062" s="5" t="str">
        <f ca="1">IFERROR(__xludf.DUMMYFUNCTION("""COMPUTED_VALUE"""),"INSPECCIONES REALIZADAS")</f>
        <v>INSPECCIONES REALIZADAS</v>
      </c>
      <c r="AH1062" s="5"/>
    </row>
    <row r="1063" spans="1:34">
      <c r="A1063" s="5" t="str">
        <f ca="1">IFERROR(__xludf.DUMMYFUNCTION("""COMPUTED_VALUE"""),"LINEA PARA EL LLENADO DE GARRAFAS")</f>
        <v>LINEA PARA EL LLENADO DE GARRAFAS</v>
      </c>
      <c r="B1063" s="5">
        <f ca="1">IFERROR(__xludf.DUMMYFUNCTION("""COMPUTED_VALUE"""),71001903)</f>
        <v>71001903</v>
      </c>
      <c r="C1063" s="5" t="str">
        <f ca="1">IFERROR(__xludf.DUMMYFUNCTION("""COMPUTED_VALUE"""),"RINSE DE GARRAFAS")</f>
        <v>RINSE DE GARRAFAS</v>
      </c>
      <c r="D1063" s="5">
        <f ca="1">IFERROR(__xludf.DUMMYFUNCTION("""COMPUTED_VALUE"""),13247727)</f>
        <v>13247727</v>
      </c>
      <c r="E1063" s="5" t="str">
        <f ca="1">IFERROR(__xludf.DUMMYFUNCTION("""COMPUTED_VALUE"""),"INSPECCION SEMANAL RINSE DE GARRAFAS")</f>
        <v>INSPECCION SEMANAL RINSE DE GARRAFAS</v>
      </c>
      <c r="F1063" s="5" t="str">
        <f ca="1">IFERROR(__xludf.DUMMYFUNCTION("""COMPUTED_VALUE"""),"FUNC SISTEMA NEUMATICO(CILINDROS)")</f>
        <v>FUNC SISTEMA NEUMATICO(CILINDROS)</v>
      </c>
      <c r="G1063" s="5" t="b">
        <f ca="1">IFERROR(__xludf.DUMMYFUNCTION("""COMPUTED_VALUE"""),TRUE)</f>
        <v>1</v>
      </c>
      <c r="H1063" s="5"/>
      <c r="I1063" s="5"/>
      <c r="J1063" s="5">
        <f ca="1">IFERROR(__xludf.DUMMYFUNCTION("""COMPUTED_VALUE"""),13247727)</f>
        <v>13247727</v>
      </c>
      <c r="K1063" s="5"/>
      <c r="L1063" s="18">
        <f ca="1">IFERROR(__xludf.DUMMYFUNCTION("""COMPUTED_VALUE"""),45324)</f>
        <v>45324</v>
      </c>
      <c r="M1063" s="18">
        <f ca="1">IFERROR(__xludf.DUMMYFUNCTION("""COMPUTED_VALUE"""),45324)</f>
        <v>45324</v>
      </c>
      <c r="N1063" s="5" t="str">
        <f ca="1">IFERROR(__xludf.DUMMYFUNCTION("""COMPUTED_VALUE"""),"Víctor David Burbano Gómez")</f>
        <v>Víctor David Burbano Gómez</v>
      </c>
      <c r="O1063" s="2">
        <f ca="1">IFERROR(__xludf.DUMMYFUNCTION("""COMPUTED_VALUE"""),0.00625)</f>
        <v>6.2500000000000003E-3</v>
      </c>
      <c r="P1063" s="5">
        <f ca="1">IFERROR(__xludf.DUMMYFUNCTION("""COMPUTED_VALUE"""),20065447)</f>
        <v>20065447</v>
      </c>
      <c r="Q1063" s="5" t="str">
        <f ca="1">IFERROR(__xludf.DUMMYFUNCTION("""COMPUTED_VALUE"""),"raJFMcq2FRM")</f>
        <v>raJFMcq2FRM</v>
      </c>
      <c r="R1063" s="5">
        <f ca="1">IFERROR(__xludf.DUMMYFUNCTION("""COMPUTED_VALUE"""),410)</f>
        <v>410</v>
      </c>
      <c r="S1063" s="62">
        <f ca="1">IFERROR(__xludf.DUMMYFUNCTION("""COMPUTED_VALUE"""),0.00625)</f>
        <v>6.2500000000000003E-3</v>
      </c>
      <c r="T1063" s="63" t="str">
        <f ca="1">IFERROR(__xludf.DUMMYFUNCTION("""COMPUTED_VALUE"""),"https://storage.googleapis.com/glide-prod.appspot.com/uploads-v2/ly7o78grxPaC6KdgvbpS/pub/3aRdSog0vUtuqPE8AJKD.png")</f>
        <v>https://storage.googleapis.com/glide-prod.appspot.com/uploads-v2/ly7o78grxPaC6KdgvbpS/pub/3aRdSog0vUtuqPE8AJKD.png</v>
      </c>
      <c r="U1063" s="5" t="str">
        <f ca="1">IFERROR(__xludf.DUMMYFUNCTION("""COMPUTED_VALUE"""),"LINEA PARA EL LLENADO DE GARRAFASRINSE DE GARRAFAS")</f>
        <v>LINEA PARA EL LLENADO DE GARRAFASRINSE DE GARRAFAS</v>
      </c>
      <c r="V1063" s="5"/>
      <c r="W1063" s="5" t="b">
        <f ca="1">IFERROR(__xludf.DUMMYFUNCTION("""COMPUTED_VALUE"""),TRUE)</f>
        <v>1</v>
      </c>
      <c r="X1063" s="5" t="str">
        <f ca="1">IFERROR(__xludf.DUMMYFUNCTION("""COMPUTED_VALUE"""),"achavezi@postobon.com.co,aprmttoyu@postobon.com.co,aprmyu@postobon.com.co,wmora@postobon.com.co,efzapata@postobon.com.co")</f>
        <v>achavezi@postobon.com.co,aprmttoyu@postobon.com.co,aprmyu@postobon.com.co,wmora@postobon.com.co,efzapata@postobon.com.co</v>
      </c>
      <c r="Y1063" s="5" t="str">
        <f ca="1">IFERROR(__xludf.DUMMYFUNCTION("""COMPUTED_VALUE"""),"achavezi@postobon.com.co")</f>
        <v>achavezi@postobon.com.co</v>
      </c>
      <c r="Z1063" s="5" t="str">
        <f ca="1">IFERROR(__xludf.DUMMYFUNCTION("""COMPUTED_VALUE"""),"v4OAyRrXSymCkpexY0i6Pw")</f>
        <v>v4OAyRrXSymCkpexY0i6Pw</v>
      </c>
      <c r="AA1063" s="5"/>
      <c r="AB1063" s="5"/>
      <c r="AC1063" s="5"/>
      <c r="AD1063" s="5">
        <f ca="1">IFERROR(__xludf.DUMMYFUNCTION("""COMPUTED_VALUE"""),62)</f>
        <v>62</v>
      </c>
      <c r="AE1063" s="5">
        <f ca="1">IFERROR(__xludf.DUMMYFUNCTION("""COMPUTED_VALUE"""),62)</f>
        <v>62</v>
      </c>
      <c r="AF1063" s="5" t="b">
        <f ca="1">IFERROR(__xludf.DUMMYFUNCTION("""COMPUTED_VALUE"""),FALSE)</f>
        <v>0</v>
      </c>
      <c r="AG1063" s="5" t="str">
        <f ca="1">IFERROR(__xludf.DUMMYFUNCTION("""COMPUTED_VALUE"""),"INSPECCIONES REALIZADAS")</f>
        <v>INSPECCIONES REALIZADAS</v>
      </c>
      <c r="AH1063" s="5"/>
    </row>
    <row r="1064" spans="1:34">
      <c r="A1064" s="5" t="str">
        <f ca="1">IFERROR(__xludf.DUMMYFUNCTION("""COMPUTED_VALUE"""),"LINEA PARA EL LLENADO DE GARRAFAS")</f>
        <v>LINEA PARA EL LLENADO DE GARRAFAS</v>
      </c>
      <c r="B1064" s="5">
        <f ca="1">IFERROR(__xludf.DUMMYFUNCTION("""COMPUTED_VALUE"""),71001903)</f>
        <v>71001903</v>
      </c>
      <c r="C1064" s="5" t="str">
        <f ca="1">IFERROR(__xludf.DUMMYFUNCTION("""COMPUTED_VALUE"""),"RINSE DE GARRAFAS")</f>
        <v>RINSE DE GARRAFAS</v>
      </c>
      <c r="D1064" s="5">
        <f ca="1">IFERROR(__xludf.DUMMYFUNCTION("""COMPUTED_VALUE"""),13247727)</f>
        <v>13247727</v>
      </c>
      <c r="E1064" s="5" t="str">
        <f ca="1">IFERROR(__xludf.DUMMYFUNCTION("""COMPUTED_VALUE"""),"INSPECCION SEMANAL RINSE DE GARRAFAS")</f>
        <v>INSPECCION SEMANAL RINSE DE GARRAFAS</v>
      </c>
      <c r="F1064" s="5" t="str">
        <f ca="1">IFERROR(__xludf.DUMMYFUNCTION("""COMPUTED_VALUE"""),"ESTADO CADENAS")</f>
        <v>ESTADO CADENAS</v>
      </c>
      <c r="G1064" s="5" t="b">
        <f ca="1">IFERROR(__xludf.DUMMYFUNCTION("""COMPUTED_VALUE"""),TRUE)</f>
        <v>1</v>
      </c>
      <c r="H1064" s="5"/>
      <c r="I1064" s="5"/>
      <c r="J1064" s="5">
        <f ca="1">IFERROR(__xludf.DUMMYFUNCTION("""COMPUTED_VALUE"""),13247727)</f>
        <v>13247727</v>
      </c>
      <c r="K1064" s="5"/>
      <c r="L1064" s="18">
        <f ca="1">IFERROR(__xludf.DUMMYFUNCTION("""COMPUTED_VALUE"""),45324)</f>
        <v>45324</v>
      </c>
      <c r="M1064" s="18">
        <f ca="1">IFERROR(__xludf.DUMMYFUNCTION("""COMPUTED_VALUE"""),45324)</f>
        <v>45324</v>
      </c>
      <c r="N1064" s="5" t="str">
        <f ca="1">IFERROR(__xludf.DUMMYFUNCTION("""COMPUTED_VALUE"""),"Víctor David Burbano Gómez")</f>
        <v>Víctor David Burbano Gómez</v>
      </c>
      <c r="O1064" s="2">
        <f ca="1">IFERROR(__xludf.DUMMYFUNCTION("""COMPUTED_VALUE"""),0.00625)</f>
        <v>6.2500000000000003E-3</v>
      </c>
      <c r="P1064" s="5">
        <f ca="1">IFERROR(__xludf.DUMMYFUNCTION("""COMPUTED_VALUE"""),20065447)</f>
        <v>20065447</v>
      </c>
      <c r="Q1064" s="5" t="str">
        <f ca="1">IFERROR(__xludf.DUMMYFUNCTION("""COMPUTED_VALUE"""),"O_0kHoBOzi4")</f>
        <v>O_0kHoBOzi4</v>
      </c>
      <c r="R1064" s="5">
        <f ca="1">IFERROR(__xludf.DUMMYFUNCTION("""COMPUTED_VALUE"""),410)</f>
        <v>410</v>
      </c>
      <c r="S1064" s="62">
        <f ca="1">IFERROR(__xludf.DUMMYFUNCTION("""COMPUTED_VALUE"""),0.00625)</f>
        <v>6.2500000000000003E-3</v>
      </c>
      <c r="T1064" s="63" t="str">
        <f ca="1">IFERROR(__xludf.DUMMYFUNCTION("""COMPUTED_VALUE"""),"https://storage.googleapis.com/glide-prod.appspot.com/uploads-v2/ly7o78grxPaC6KdgvbpS/pub/3aRdSog0vUtuqPE8AJKD.png")</f>
        <v>https://storage.googleapis.com/glide-prod.appspot.com/uploads-v2/ly7o78grxPaC6KdgvbpS/pub/3aRdSog0vUtuqPE8AJKD.png</v>
      </c>
      <c r="U1064" s="5" t="str">
        <f ca="1">IFERROR(__xludf.DUMMYFUNCTION("""COMPUTED_VALUE"""),"LINEA PARA EL LLENADO DE GARRAFASRINSE DE GARRAFAS")</f>
        <v>LINEA PARA EL LLENADO DE GARRAFASRINSE DE GARRAFAS</v>
      </c>
      <c r="V1064" s="5"/>
      <c r="W1064" s="5" t="b">
        <f ca="1">IFERROR(__xludf.DUMMYFUNCTION("""COMPUTED_VALUE"""),TRUE)</f>
        <v>1</v>
      </c>
      <c r="X1064" s="5" t="str">
        <f ca="1">IFERROR(__xludf.DUMMYFUNCTION("""COMPUTED_VALUE"""),"achavezi@postobon.com.co,aprmttoyu@postobon.com.co,aprmyu@postobon.com.co,wmora@postobon.com.co,efzapata@postobon.com.co")</f>
        <v>achavezi@postobon.com.co,aprmttoyu@postobon.com.co,aprmyu@postobon.com.co,wmora@postobon.com.co,efzapata@postobon.com.co</v>
      </c>
      <c r="Y1064" s="5" t="str">
        <f ca="1">IFERROR(__xludf.DUMMYFUNCTION("""COMPUTED_VALUE"""),"achavezi@postobon.com.co")</f>
        <v>achavezi@postobon.com.co</v>
      </c>
      <c r="Z1064" s="5" t="str">
        <f ca="1">IFERROR(__xludf.DUMMYFUNCTION("""COMPUTED_VALUE"""),"z3BChd0RQSO1OCgfY05Egw")</f>
        <v>z3BChd0RQSO1OCgfY05Egw</v>
      </c>
      <c r="AA1064" s="5"/>
      <c r="AB1064" s="5"/>
      <c r="AC1064" s="5"/>
      <c r="AD1064" s="5">
        <f ca="1">IFERROR(__xludf.DUMMYFUNCTION("""COMPUTED_VALUE"""),62)</f>
        <v>62</v>
      </c>
      <c r="AE1064" s="5">
        <f ca="1">IFERROR(__xludf.DUMMYFUNCTION("""COMPUTED_VALUE"""),62)</f>
        <v>62</v>
      </c>
      <c r="AF1064" s="5" t="b">
        <f ca="1">IFERROR(__xludf.DUMMYFUNCTION("""COMPUTED_VALUE"""),FALSE)</f>
        <v>0</v>
      </c>
      <c r="AG1064" s="5" t="str">
        <f ca="1">IFERROR(__xludf.DUMMYFUNCTION("""COMPUTED_VALUE"""),"INSPECCIONES REALIZADAS")</f>
        <v>INSPECCIONES REALIZADAS</v>
      </c>
      <c r="AH1064" s="5"/>
    </row>
    <row r="1065" spans="1:34">
      <c r="A1065" s="5" t="str">
        <f ca="1">IFERROR(__xludf.DUMMYFUNCTION("""COMPUTED_VALUE"""),"LINEA PARA EL LLENADO DE GARRAFAS")</f>
        <v>LINEA PARA EL LLENADO DE GARRAFAS</v>
      </c>
      <c r="B1065" s="5">
        <f ca="1">IFERROR(__xludf.DUMMYFUNCTION("""COMPUTED_VALUE"""),71001903)</f>
        <v>71001903</v>
      </c>
      <c r="C1065" s="5" t="str">
        <f ca="1">IFERROR(__xludf.DUMMYFUNCTION("""COMPUTED_VALUE"""),"RINSE DE GARRAFAS")</f>
        <v>RINSE DE GARRAFAS</v>
      </c>
      <c r="D1065" s="5">
        <f ca="1">IFERROR(__xludf.DUMMYFUNCTION("""COMPUTED_VALUE"""),13247727)</f>
        <v>13247727</v>
      </c>
      <c r="E1065" s="5" t="str">
        <f ca="1">IFERROR(__xludf.DUMMYFUNCTION("""COMPUTED_VALUE"""),"INSPECCION SEMANAL RINSE DE GARRAFAS")</f>
        <v>INSPECCION SEMANAL RINSE DE GARRAFAS</v>
      </c>
      <c r="F1065" s="5" t="str">
        <f ca="1">IFERROR(__xludf.DUMMYFUNCTION("""COMPUTED_VALUE"""),"FUNC BOQUILLAS LAVADO")</f>
        <v>FUNC BOQUILLAS LAVADO</v>
      </c>
      <c r="G1065" s="5" t="b">
        <f ca="1">IFERROR(__xludf.DUMMYFUNCTION("""COMPUTED_VALUE"""),TRUE)</f>
        <v>1</v>
      </c>
      <c r="H1065" s="5"/>
      <c r="I1065" s="5"/>
      <c r="J1065" s="5">
        <f ca="1">IFERROR(__xludf.DUMMYFUNCTION("""COMPUTED_VALUE"""),13247727)</f>
        <v>13247727</v>
      </c>
      <c r="K1065" s="5"/>
      <c r="L1065" s="18">
        <f ca="1">IFERROR(__xludf.DUMMYFUNCTION("""COMPUTED_VALUE"""),45324)</f>
        <v>45324</v>
      </c>
      <c r="M1065" s="18">
        <f ca="1">IFERROR(__xludf.DUMMYFUNCTION("""COMPUTED_VALUE"""),45324)</f>
        <v>45324</v>
      </c>
      <c r="N1065" s="5" t="str">
        <f ca="1">IFERROR(__xludf.DUMMYFUNCTION("""COMPUTED_VALUE"""),"Víctor David Burbano Gómez")</f>
        <v>Víctor David Burbano Gómez</v>
      </c>
      <c r="O1065" s="2">
        <f ca="1">IFERROR(__xludf.DUMMYFUNCTION("""COMPUTED_VALUE"""),0.00625)</f>
        <v>6.2500000000000003E-3</v>
      </c>
      <c r="P1065" s="5">
        <f ca="1">IFERROR(__xludf.DUMMYFUNCTION("""COMPUTED_VALUE"""),20065447)</f>
        <v>20065447</v>
      </c>
      <c r="Q1065" s="5" t="str">
        <f ca="1">IFERROR(__xludf.DUMMYFUNCTION("""COMPUTED_VALUE"""),"-mGfgC6zELg")</f>
        <v>-mGfgC6zELg</v>
      </c>
      <c r="R1065" s="5">
        <f ca="1">IFERROR(__xludf.DUMMYFUNCTION("""COMPUTED_VALUE"""),410)</f>
        <v>410</v>
      </c>
      <c r="S1065" s="62">
        <f ca="1">IFERROR(__xludf.DUMMYFUNCTION("""COMPUTED_VALUE"""),0.00625)</f>
        <v>6.2500000000000003E-3</v>
      </c>
      <c r="T1065" s="63" t="str">
        <f ca="1">IFERROR(__xludf.DUMMYFUNCTION("""COMPUTED_VALUE"""),"https://storage.googleapis.com/glide-prod.appspot.com/uploads-v2/ly7o78grxPaC6KdgvbpS/pub/3aRdSog0vUtuqPE8AJKD.png")</f>
        <v>https://storage.googleapis.com/glide-prod.appspot.com/uploads-v2/ly7o78grxPaC6KdgvbpS/pub/3aRdSog0vUtuqPE8AJKD.png</v>
      </c>
      <c r="U1065" s="5" t="str">
        <f ca="1">IFERROR(__xludf.DUMMYFUNCTION("""COMPUTED_VALUE"""),"LINEA PARA EL LLENADO DE GARRAFASRINSE DE GARRAFAS")</f>
        <v>LINEA PARA EL LLENADO DE GARRAFASRINSE DE GARRAFAS</v>
      </c>
      <c r="V1065" s="5"/>
      <c r="W1065" s="5" t="b">
        <f ca="1">IFERROR(__xludf.DUMMYFUNCTION("""COMPUTED_VALUE"""),TRUE)</f>
        <v>1</v>
      </c>
      <c r="X1065" s="5" t="str">
        <f ca="1">IFERROR(__xludf.DUMMYFUNCTION("""COMPUTED_VALUE"""),"achavezi@postobon.com.co,aprmttoyu@postobon.com.co,aprmyu@postobon.com.co,wmora@postobon.com.co,efzapata@postobon.com.co")</f>
        <v>achavezi@postobon.com.co,aprmttoyu@postobon.com.co,aprmyu@postobon.com.co,wmora@postobon.com.co,efzapata@postobon.com.co</v>
      </c>
      <c r="Y1065" s="5" t="str">
        <f ca="1">IFERROR(__xludf.DUMMYFUNCTION("""COMPUTED_VALUE"""),"achavezi@postobon.com.co")</f>
        <v>achavezi@postobon.com.co</v>
      </c>
      <c r="Z1065" s="5" t="str">
        <f ca="1">IFERROR(__xludf.DUMMYFUNCTION("""COMPUTED_VALUE"""),"r-nETKC6RumTus66srSvMg")</f>
        <v>r-nETKC6RumTus66srSvMg</v>
      </c>
      <c r="AA1065" s="5"/>
      <c r="AB1065" s="5"/>
      <c r="AC1065" s="5"/>
      <c r="AD1065" s="5">
        <f ca="1">IFERROR(__xludf.DUMMYFUNCTION("""COMPUTED_VALUE"""),62)</f>
        <v>62</v>
      </c>
      <c r="AE1065" s="5">
        <f ca="1">IFERROR(__xludf.DUMMYFUNCTION("""COMPUTED_VALUE"""),62)</f>
        <v>62</v>
      </c>
      <c r="AF1065" s="5" t="b">
        <f ca="1">IFERROR(__xludf.DUMMYFUNCTION("""COMPUTED_VALUE"""),FALSE)</f>
        <v>0</v>
      </c>
      <c r="AG1065" s="5" t="str">
        <f ca="1">IFERROR(__xludf.DUMMYFUNCTION("""COMPUTED_VALUE"""),"INSPECCIONES REALIZADAS")</f>
        <v>INSPECCIONES REALIZADAS</v>
      </c>
      <c r="AH1065" s="5"/>
    </row>
    <row r="1066" spans="1:34">
      <c r="A1066" s="5" t="str">
        <f ca="1">IFERROR(__xludf.DUMMYFUNCTION("""COMPUTED_VALUE"""),"LINEA PARA EL LLENADO DE GARRAFAS")</f>
        <v>LINEA PARA EL LLENADO DE GARRAFAS</v>
      </c>
      <c r="B1066" s="5">
        <f ca="1">IFERROR(__xludf.DUMMYFUNCTION("""COMPUTED_VALUE"""),71001903)</f>
        <v>71001903</v>
      </c>
      <c r="C1066" s="5" t="str">
        <f ca="1">IFERROR(__xludf.DUMMYFUNCTION("""COMPUTED_VALUE"""),"RINSE DE GARRAFAS")</f>
        <v>RINSE DE GARRAFAS</v>
      </c>
      <c r="D1066" s="5">
        <f ca="1">IFERROR(__xludf.DUMMYFUNCTION("""COMPUTED_VALUE"""),13247727)</f>
        <v>13247727</v>
      </c>
      <c r="E1066" s="5" t="str">
        <f ca="1">IFERROR(__xludf.DUMMYFUNCTION("""COMPUTED_VALUE"""),"INSPECCION SEMANAL RINSE DE GARRAFAS")</f>
        <v>INSPECCION SEMANAL RINSE DE GARRAFAS</v>
      </c>
      <c r="F1066" s="5" t="str">
        <f ca="1">IFERROR(__xludf.DUMMYFUNCTION("""COMPUTED_VALUE"""),"INSP BALISA Y SENSOR INDUCTIVO")</f>
        <v>INSP BALISA Y SENSOR INDUCTIVO</v>
      </c>
      <c r="G1066" s="5" t="b">
        <f ca="1">IFERROR(__xludf.DUMMYFUNCTION("""COMPUTED_VALUE"""),TRUE)</f>
        <v>1</v>
      </c>
      <c r="H1066" s="5"/>
      <c r="I1066" s="5"/>
      <c r="J1066" s="5">
        <f ca="1">IFERROR(__xludf.DUMMYFUNCTION("""COMPUTED_VALUE"""),13247727)</f>
        <v>13247727</v>
      </c>
      <c r="K1066" s="5"/>
      <c r="L1066" s="18">
        <f ca="1">IFERROR(__xludf.DUMMYFUNCTION("""COMPUTED_VALUE"""),45324)</f>
        <v>45324</v>
      </c>
      <c r="M1066" s="18">
        <f ca="1">IFERROR(__xludf.DUMMYFUNCTION("""COMPUTED_VALUE"""),45324)</f>
        <v>45324</v>
      </c>
      <c r="N1066" s="5" t="str">
        <f ca="1">IFERROR(__xludf.DUMMYFUNCTION("""COMPUTED_VALUE"""),"Víctor David Burbano Gómez")</f>
        <v>Víctor David Burbano Gómez</v>
      </c>
      <c r="O1066" s="2">
        <f ca="1">IFERROR(__xludf.DUMMYFUNCTION("""COMPUTED_VALUE"""),0.00625)</f>
        <v>6.2500000000000003E-3</v>
      </c>
      <c r="P1066" s="5">
        <f ca="1">IFERROR(__xludf.DUMMYFUNCTION("""COMPUTED_VALUE"""),20065447)</f>
        <v>20065447</v>
      </c>
      <c r="Q1066" s="5" t="str">
        <f ca="1">IFERROR(__xludf.DUMMYFUNCTION("""COMPUTED_VALUE"""),"tt8kl4_q1EQ")</f>
        <v>tt8kl4_q1EQ</v>
      </c>
      <c r="R1066" s="5">
        <f ca="1">IFERROR(__xludf.DUMMYFUNCTION("""COMPUTED_VALUE"""),410)</f>
        <v>410</v>
      </c>
      <c r="S1066" s="62">
        <f ca="1">IFERROR(__xludf.DUMMYFUNCTION("""COMPUTED_VALUE"""),0.00625)</f>
        <v>6.2500000000000003E-3</v>
      </c>
      <c r="T1066" s="63" t="str">
        <f ca="1">IFERROR(__xludf.DUMMYFUNCTION("""COMPUTED_VALUE"""),"https://storage.googleapis.com/glide-prod.appspot.com/uploads-v2/ly7o78grxPaC6KdgvbpS/pub/3aRdSog0vUtuqPE8AJKD.png")</f>
        <v>https://storage.googleapis.com/glide-prod.appspot.com/uploads-v2/ly7o78grxPaC6KdgvbpS/pub/3aRdSog0vUtuqPE8AJKD.png</v>
      </c>
      <c r="U1066" s="5" t="str">
        <f ca="1">IFERROR(__xludf.DUMMYFUNCTION("""COMPUTED_VALUE"""),"LINEA PARA EL LLENADO DE GARRAFASRINSE DE GARRAFAS")</f>
        <v>LINEA PARA EL LLENADO DE GARRAFASRINSE DE GARRAFAS</v>
      </c>
      <c r="V1066" s="5"/>
      <c r="W1066" s="5" t="b">
        <f ca="1">IFERROR(__xludf.DUMMYFUNCTION("""COMPUTED_VALUE"""),TRUE)</f>
        <v>1</v>
      </c>
      <c r="X1066" s="5" t="str">
        <f ca="1">IFERROR(__xludf.DUMMYFUNCTION("""COMPUTED_VALUE"""),"achavezi@postobon.com.co,aprmttoyu@postobon.com.co,aprmyu@postobon.com.co,wmora@postobon.com.co,efzapata@postobon.com.co")</f>
        <v>achavezi@postobon.com.co,aprmttoyu@postobon.com.co,aprmyu@postobon.com.co,wmora@postobon.com.co,efzapata@postobon.com.co</v>
      </c>
      <c r="Y1066" s="5" t="str">
        <f ca="1">IFERROR(__xludf.DUMMYFUNCTION("""COMPUTED_VALUE"""),"achavezi@postobon.com.co")</f>
        <v>achavezi@postobon.com.co</v>
      </c>
      <c r="Z1066" s="5" t="str">
        <f ca="1">IFERROR(__xludf.DUMMYFUNCTION("""COMPUTED_VALUE"""),"NAnyPJTNTbGq1XmaNsnqWQ")</f>
        <v>NAnyPJTNTbGq1XmaNsnqWQ</v>
      </c>
      <c r="AA1066" s="5"/>
      <c r="AB1066" s="5"/>
      <c r="AC1066" s="5"/>
      <c r="AD1066" s="5">
        <f ca="1">IFERROR(__xludf.DUMMYFUNCTION("""COMPUTED_VALUE"""),62)</f>
        <v>62</v>
      </c>
      <c r="AE1066" s="5">
        <f ca="1">IFERROR(__xludf.DUMMYFUNCTION("""COMPUTED_VALUE"""),62)</f>
        <v>62</v>
      </c>
      <c r="AF1066" s="5" t="b">
        <f ca="1">IFERROR(__xludf.DUMMYFUNCTION("""COMPUTED_VALUE"""),FALSE)</f>
        <v>0</v>
      </c>
      <c r="AG1066" s="5" t="str">
        <f ca="1">IFERROR(__xludf.DUMMYFUNCTION("""COMPUTED_VALUE"""),"INSPECCIONES REALIZADAS")</f>
        <v>INSPECCIONES REALIZADAS</v>
      </c>
      <c r="AH1066" s="5"/>
    </row>
    <row r="1067" spans="1:34">
      <c r="A1067" s="5" t="str">
        <f ca="1">IFERROR(__xludf.DUMMYFUNCTION("""COMPUTED_VALUE"""),"LINEA PARA EL LLENADO DE GARRAFAS")</f>
        <v>LINEA PARA EL LLENADO DE GARRAFAS</v>
      </c>
      <c r="B1067" s="5">
        <f ca="1">IFERROR(__xludf.DUMMYFUNCTION("""COMPUTED_VALUE"""),71001903)</f>
        <v>71001903</v>
      </c>
      <c r="C1067" s="5" t="str">
        <f ca="1">IFERROR(__xludf.DUMMYFUNCTION("""COMPUTED_VALUE"""),"RINSE DE GARRAFAS")</f>
        <v>RINSE DE GARRAFAS</v>
      </c>
      <c r="D1067" s="5">
        <f ca="1">IFERROR(__xludf.DUMMYFUNCTION("""COMPUTED_VALUE"""),13247727)</f>
        <v>13247727</v>
      </c>
      <c r="E1067" s="5" t="str">
        <f ca="1">IFERROR(__xludf.DUMMYFUNCTION("""COMPUTED_VALUE"""),"INSPECCION SEMANAL RINSE DE GARRAFAS")</f>
        <v>INSPECCION SEMANAL RINSE DE GARRAFAS</v>
      </c>
      <c r="F1067" s="5" t="str">
        <f ca="1">IFERROR(__xludf.DUMMYFUNCTION("""COMPUTED_VALUE"""),"ESTADO TABLERO ELECTRICO")</f>
        <v>ESTADO TABLERO ELECTRICO</v>
      </c>
      <c r="G1067" s="5" t="b">
        <f ca="1">IFERROR(__xludf.DUMMYFUNCTION("""COMPUTED_VALUE"""),TRUE)</f>
        <v>1</v>
      </c>
      <c r="H1067" s="5"/>
      <c r="I1067" s="5"/>
      <c r="J1067" s="5">
        <f ca="1">IFERROR(__xludf.DUMMYFUNCTION("""COMPUTED_VALUE"""),13247727)</f>
        <v>13247727</v>
      </c>
      <c r="K1067" s="5"/>
      <c r="L1067" s="18">
        <f ca="1">IFERROR(__xludf.DUMMYFUNCTION("""COMPUTED_VALUE"""),45324)</f>
        <v>45324</v>
      </c>
      <c r="M1067" s="18">
        <f ca="1">IFERROR(__xludf.DUMMYFUNCTION("""COMPUTED_VALUE"""),45324)</f>
        <v>45324</v>
      </c>
      <c r="N1067" s="5" t="str">
        <f ca="1">IFERROR(__xludf.DUMMYFUNCTION("""COMPUTED_VALUE"""),"Víctor David Burbano Gómez")</f>
        <v>Víctor David Burbano Gómez</v>
      </c>
      <c r="O1067" s="2">
        <f ca="1">IFERROR(__xludf.DUMMYFUNCTION("""COMPUTED_VALUE"""),0.00625)</f>
        <v>6.2500000000000003E-3</v>
      </c>
      <c r="P1067" s="5">
        <f ca="1">IFERROR(__xludf.DUMMYFUNCTION("""COMPUTED_VALUE"""),20065447)</f>
        <v>20065447</v>
      </c>
      <c r="Q1067" s="5" t="str">
        <f ca="1">IFERROR(__xludf.DUMMYFUNCTION("""COMPUTED_VALUE"""),"h3jRWu8B1S8")</f>
        <v>h3jRWu8B1S8</v>
      </c>
      <c r="R1067" s="5">
        <f ca="1">IFERROR(__xludf.DUMMYFUNCTION("""COMPUTED_VALUE"""),410)</f>
        <v>410</v>
      </c>
      <c r="S1067" s="62">
        <f ca="1">IFERROR(__xludf.DUMMYFUNCTION("""COMPUTED_VALUE"""),0.00625)</f>
        <v>6.2500000000000003E-3</v>
      </c>
      <c r="T1067" s="63" t="str">
        <f ca="1">IFERROR(__xludf.DUMMYFUNCTION("""COMPUTED_VALUE"""),"https://storage.googleapis.com/glide-prod.appspot.com/uploads-v2/ly7o78grxPaC6KdgvbpS/pub/3aRdSog0vUtuqPE8AJKD.png")</f>
        <v>https://storage.googleapis.com/glide-prod.appspot.com/uploads-v2/ly7o78grxPaC6KdgvbpS/pub/3aRdSog0vUtuqPE8AJKD.png</v>
      </c>
      <c r="U1067" s="5" t="str">
        <f ca="1">IFERROR(__xludf.DUMMYFUNCTION("""COMPUTED_VALUE"""),"LINEA PARA EL LLENADO DE GARRAFASRINSE DE GARRAFAS")</f>
        <v>LINEA PARA EL LLENADO DE GARRAFASRINSE DE GARRAFAS</v>
      </c>
      <c r="V1067" s="5"/>
      <c r="W1067" s="5" t="b">
        <f ca="1">IFERROR(__xludf.DUMMYFUNCTION("""COMPUTED_VALUE"""),TRUE)</f>
        <v>1</v>
      </c>
      <c r="X1067" s="5" t="str">
        <f ca="1">IFERROR(__xludf.DUMMYFUNCTION("""COMPUTED_VALUE"""),"achavezi@postobon.com.co,aprmttoyu@postobon.com.co,aprmyu@postobon.com.co,wmora@postobon.com.co,efzapata@postobon.com.co")</f>
        <v>achavezi@postobon.com.co,aprmttoyu@postobon.com.co,aprmyu@postobon.com.co,wmora@postobon.com.co,efzapata@postobon.com.co</v>
      </c>
      <c r="Y1067" s="5" t="str">
        <f ca="1">IFERROR(__xludf.DUMMYFUNCTION("""COMPUTED_VALUE"""),"achavezi@postobon.com.co")</f>
        <v>achavezi@postobon.com.co</v>
      </c>
      <c r="Z1067" s="5" t="str">
        <f ca="1">IFERROR(__xludf.DUMMYFUNCTION("""COMPUTED_VALUE"""),"JNvgEqIdSaCzznEkMNoVYg")</f>
        <v>JNvgEqIdSaCzznEkMNoVYg</v>
      </c>
      <c r="AA1067" s="5"/>
      <c r="AB1067" s="5"/>
      <c r="AC1067" s="5"/>
      <c r="AD1067" s="5">
        <f ca="1">IFERROR(__xludf.DUMMYFUNCTION("""COMPUTED_VALUE"""),62)</f>
        <v>62</v>
      </c>
      <c r="AE1067" s="5">
        <f ca="1">IFERROR(__xludf.DUMMYFUNCTION("""COMPUTED_VALUE"""),62)</f>
        <v>62</v>
      </c>
      <c r="AF1067" s="5" t="b">
        <f ca="1">IFERROR(__xludf.DUMMYFUNCTION("""COMPUTED_VALUE"""),FALSE)</f>
        <v>0</v>
      </c>
      <c r="AG1067" s="5" t="str">
        <f ca="1">IFERROR(__xludf.DUMMYFUNCTION("""COMPUTED_VALUE"""),"INSPECCIONES REALIZADAS")</f>
        <v>INSPECCIONES REALIZADAS</v>
      </c>
      <c r="AH1067" s="5"/>
    </row>
    <row r="1068" spans="1:34">
      <c r="A1068" s="5" t="str">
        <f ca="1">IFERROR(__xludf.DUMMYFUNCTION("""COMPUTED_VALUE"""),"LINEA PARA EL LLENADO DE GARRAFAS")</f>
        <v>LINEA PARA EL LLENADO DE GARRAFAS</v>
      </c>
      <c r="B1068" s="5">
        <f ca="1">IFERROR(__xludf.DUMMYFUNCTION("""COMPUTED_VALUE"""),71001903)</f>
        <v>71001903</v>
      </c>
      <c r="C1068" s="5" t="str">
        <f ca="1">IFERROR(__xludf.DUMMYFUNCTION("""COMPUTED_VALUE"""),"RINSE DE GARRAFAS")</f>
        <v>RINSE DE GARRAFAS</v>
      </c>
      <c r="D1068" s="5">
        <f ca="1">IFERROR(__xludf.DUMMYFUNCTION("""COMPUTED_VALUE"""),13247727)</f>
        <v>13247727</v>
      </c>
      <c r="E1068" s="5" t="str">
        <f ca="1">IFERROR(__xludf.DUMMYFUNCTION("""COMPUTED_VALUE"""),"INSPECCION SEMANAL RINSE DE GARRAFAS")</f>
        <v>INSPECCION SEMANAL RINSE DE GARRAFAS</v>
      </c>
      <c r="F1068" s="5" t="str">
        <f ca="1">IFERROR(__xludf.DUMMYFUNCTION("""COMPUTED_VALUE"""),"ESTADO GRAL ESTRUCTURA")</f>
        <v>ESTADO GRAL ESTRUCTURA</v>
      </c>
      <c r="G1068" s="5" t="b">
        <f ca="1">IFERROR(__xludf.DUMMYFUNCTION("""COMPUTED_VALUE"""),TRUE)</f>
        <v>1</v>
      </c>
      <c r="H1068" s="5"/>
      <c r="I1068" s="5"/>
      <c r="J1068" s="5">
        <f ca="1">IFERROR(__xludf.DUMMYFUNCTION("""COMPUTED_VALUE"""),13247727)</f>
        <v>13247727</v>
      </c>
      <c r="K1068" s="5"/>
      <c r="L1068" s="18">
        <f ca="1">IFERROR(__xludf.DUMMYFUNCTION("""COMPUTED_VALUE"""),45324)</f>
        <v>45324</v>
      </c>
      <c r="M1068" s="18">
        <f ca="1">IFERROR(__xludf.DUMMYFUNCTION("""COMPUTED_VALUE"""),45324)</f>
        <v>45324</v>
      </c>
      <c r="N1068" s="5" t="str">
        <f ca="1">IFERROR(__xludf.DUMMYFUNCTION("""COMPUTED_VALUE"""),"Víctor David Burbano Gómez")</f>
        <v>Víctor David Burbano Gómez</v>
      </c>
      <c r="O1068" s="2">
        <f ca="1">IFERROR(__xludf.DUMMYFUNCTION("""COMPUTED_VALUE"""),0.00625)</f>
        <v>6.2500000000000003E-3</v>
      </c>
      <c r="P1068" s="5">
        <f ca="1">IFERROR(__xludf.DUMMYFUNCTION("""COMPUTED_VALUE"""),20065447)</f>
        <v>20065447</v>
      </c>
      <c r="Q1068" s="5" t="str">
        <f ca="1">IFERROR(__xludf.DUMMYFUNCTION("""COMPUTED_VALUE"""),"4fqcg4eoGhI")</f>
        <v>4fqcg4eoGhI</v>
      </c>
      <c r="R1068" s="5">
        <f ca="1">IFERROR(__xludf.DUMMYFUNCTION("""COMPUTED_VALUE"""),410)</f>
        <v>410</v>
      </c>
      <c r="S1068" s="62">
        <f ca="1">IFERROR(__xludf.DUMMYFUNCTION("""COMPUTED_VALUE"""),0.00625)</f>
        <v>6.2500000000000003E-3</v>
      </c>
      <c r="T1068" s="63" t="str">
        <f ca="1">IFERROR(__xludf.DUMMYFUNCTION("""COMPUTED_VALUE"""),"https://storage.googleapis.com/glide-prod.appspot.com/uploads-v2/ly7o78grxPaC6KdgvbpS/pub/3aRdSog0vUtuqPE8AJKD.png")</f>
        <v>https://storage.googleapis.com/glide-prod.appspot.com/uploads-v2/ly7o78grxPaC6KdgvbpS/pub/3aRdSog0vUtuqPE8AJKD.png</v>
      </c>
      <c r="U1068" s="5" t="str">
        <f ca="1">IFERROR(__xludf.DUMMYFUNCTION("""COMPUTED_VALUE"""),"LINEA PARA EL LLENADO DE GARRAFASRINSE DE GARRAFAS")</f>
        <v>LINEA PARA EL LLENADO DE GARRAFASRINSE DE GARRAFAS</v>
      </c>
      <c r="V1068" s="5"/>
      <c r="W1068" s="5" t="b">
        <f ca="1">IFERROR(__xludf.DUMMYFUNCTION("""COMPUTED_VALUE"""),TRUE)</f>
        <v>1</v>
      </c>
      <c r="X1068" s="5" t="str">
        <f ca="1">IFERROR(__xludf.DUMMYFUNCTION("""COMPUTED_VALUE"""),"achavezi@postobon.com.co,aprmttoyu@postobon.com.co,aprmyu@postobon.com.co,wmora@postobon.com.co,efzapata@postobon.com.co")</f>
        <v>achavezi@postobon.com.co,aprmttoyu@postobon.com.co,aprmyu@postobon.com.co,wmora@postobon.com.co,efzapata@postobon.com.co</v>
      </c>
      <c r="Y1068" s="5" t="str">
        <f ca="1">IFERROR(__xludf.DUMMYFUNCTION("""COMPUTED_VALUE"""),"achavezi@postobon.com.co")</f>
        <v>achavezi@postobon.com.co</v>
      </c>
      <c r="Z1068" s="5" t="str">
        <f ca="1">IFERROR(__xludf.DUMMYFUNCTION("""COMPUTED_VALUE"""),"PDhJ.6yzSTmDBxxDM0zL3Q")</f>
        <v>PDhJ.6yzSTmDBxxDM0zL3Q</v>
      </c>
      <c r="AA1068" s="5"/>
      <c r="AB1068" s="5"/>
      <c r="AC1068" s="5"/>
      <c r="AD1068" s="5">
        <f ca="1">IFERROR(__xludf.DUMMYFUNCTION("""COMPUTED_VALUE"""),62)</f>
        <v>62</v>
      </c>
      <c r="AE1068" s="5">
        <f ca="1">IFERROR(__xludf.DUMMYFUNCTION("""COMPUTED_VALUE"""),62)</f>
        <v>62</v>
      </c>
      <c r="AF1068" s="5" t="b">
        <f ca="1">IFERROR(__xludf.DUMMYFUNCTION("""COMPUTED_VALUE"""),FALSE)</f>
        <v>0</v>
      </c>
      <c r="AG1068" s="5" t="str">
        <f ca="1">IFERROR(__xludf.DUMMYFUNCTION("""COMPUTED_VALUE"""),"INSPECCIONES REALIZADAS")</f>
        <v>INSPECCIONES REALIZADAS</v>
      </c>
      <c r="AH1068" s="5"/>
    </row>
    <row r="1069" spans="1:34">
      <c r="A1069" s="5" t="str">
        <f ca="1">IFERROR(__xludf.DUMMYFUNCTION("""COMPUTED_VALUE"""),"LINEA PARA EL LLENADO DE GARRAFAS")</f>
        <v>LINEA PARA EL LLENADO DE GARRAFAS</v>
      </c>
      <c r="B1069" s="5">
        <f ca="1">IFERROR(__xludf.DUMMYFUNCTION("""COMPUTED_VALUE"""),71001903)</f>
        <v>71001903</v>
      </c>
      <c r="C1069" s="5" t="str">
        <f ca="1">IFERROR(__xludf.DUMMYFUNCTION("""COMPUTED_VALUE"""),"RINSE DE GARRAFAS")</f>
        <v>RINSE DE GARRAFAS</v>
      </c>
      <c r="D1069" s="5">
        <f ca="1">IFERROR(__xludf.DUMMYFUNCTION("""COMPUTED_VALUE"""),13247727)</f>
        <v>13247727</v>
      </c>
      <c r="E1069" s="5" t="str">
        <f ca="1">IFERROR(__xludf.DUMMYFUNCTION("""COMPUTED_VALUE"""),"INSPECCION SEMANAL RINSE DE GARRAFAS")</f>
        <v>INSPECCION SEMANAL RINSE DE GARRAFAS</v>
      </c>
      <c r="F1069" s="5" t="str">
        <f ca="1">IFERROR(__xludf.DUMMYFUNCTION("""COMPUTED_VALUE"""),"FRENO ENTRADA BOTELLON")</f>
        <v>FRENO ENTRADA BOTELLON</v>
      </c>
      <c r="G1069" s="5" t="b">
        <f ca="1">IFERROR(__xludf.DUMMYFUNCTION("""COMPUTED_VALUE"""),TRUE)</f>
        <v>1</v>
      </c>
      <c r="H1069" s="5"/>
      <c r="I1069" s="5"/>
      <c r="J1069" s="5">
        <f ca="1">IFERROR(__xludf.DUMMYFUNCTION("""COMPUTED_VALUE"""),13247727)</f>
        <v>13247727</v>
      </c>
      <c r="K1069" s="5"/>
      <c r="L1069" s="18">
        <f ca="1">IFERROR(__xludf.DUMMYFUNCTION("""COMPUTED_VALUE"""),45324)</f>
        <v>45324</v>
      </c>
      <c r="M1069" s="18">
        <f ca="1">IFERROR(__xludf.DUMMYFUNCTION("""COMPUTED_VALUE"""),45324)</f>
        <v>45324</v>
      </c>
      <c r="N1069" s="5" t="str">
        <f ca="1">IFERROR(__xludf.DUMMYFUNCTION("""COMPUTED_VALUE"""),"Víctor David Burbano Gómez")</f>
        <v>Víctor David Burbano Gómez</v>
      </c>
      <c r="O1069" s="2">
        <f ca="1">IFERROR(__xludf.DUMMYFUNCTION("""COMPUTED_VALUE"""),0.00625)</f>
        <v>6.2500000000000003E-3</v>
      </c>
      <c r="P1069" s="5">
        <f ca="1">IFERROR(__xludf.DUMMYFUNCTION("""COMPUTED_VALUE"""),20065447)</f>
        <v>20065447</v>
      </c>
      <c r="Q1069" s="5" t="str">
        <f ca="1">IFERROR(__xludf.DUMMYFUNCTION("""COMPUTED_VALUE"""),"bBBs8iO9vnw")</f>
        <v>bBBs8iO9vnw</v>
      </c>
      <c r="R1069" s="5">
        <f ca="1">IFERROR(__xludf.DUMMYFUNCTION("""COMPUTED_VALUE"""),410)</f>
        <v>410</v>
      </c>
      <c r="S1069" s="62">
        <f ca="1">IFERROR(__xludf.DUMMYFUNCTION("""COMPUTED_VALUE"""),0.00625)</f>
        <v>6.2500000000000003E-3</v>
      </c>
      <c r="T1069" s="63" t="str">
        <f ca="1">IFERROR(__xludf.DUMMYFUNCTION("""COMPUTED_VALUE"""),"https://storage.googleapis.com/glide-prod.appspot.com/uploads-v2/ly7o78grxPaC6KdgvbpS/pub/3aRdSog0vUtuqPE8AJKD.png")</f>
        <v>https://storage.googleapis.com/glide-prod.appspot.com/uploads-v2/ly7o78grxPaC6KdgvbpS/pub/3aRdSog0vUtuqPE8AJKD.png</v>
      </c>
      <c r="U1069" s="5" t="str">
        <f ca="1">IFERROR(__xludf.DUMMYFUNCTION("""COMPUTED_VALUE"""),"LINEA PARA EL LLENADO DE GARRAFASRINSE DE GARRAFAS")</f>
        <v>LINEA PARA EL LLENADO DE GARRAFASRINSE DE GARRAFAS</v>
      </c>
      <c r="V1069" s="5"/>
      <c r="W1069" s="5" t="b">
        <f ca="1">IFERROR(__xludf.DUMMYFUNCTION("""COMPUTED_VALUE"""),TRUE)</f>
        <v>1</v>
      </c>
      <c r="X1069" s="5" t="str">
        <f ca="1">IFERROR(__xludf.DUMMYFUNCTION("""COMPUTED_VALUE"""),"achavezi@postobon.com.co,aprmttoyu@postobon.com.co,aprmyu@postobon.com.co,wmora@postobon.com.co,efzapata@postobon.com.co")</f>
        <v>achavezi@postobon.com.co,aprmttoyu@postobon.com.co,aprmyu@postobon.com.co,wmora@postobon.com.co,efzapata@postobon.com.co</v>
      </c>
      <c r="Y1069" s="5" t="str">
        <f ca="1">IFERROR(__xludf.DUMMYFUNCTION("""COMPUTED_VALUE"""),"achavezi@postobon.com.co")</f>
        <v>achavezi@postobon.com.co</v>
      </c>
      <c r="Z1069" s="5" t="str">
        <f ca="1">IFERROR(__xludf.DUMMYFUNCTION("""COMPUTED_VALUE"""),"fhgQuGG1Sem3dyYwtWMgzw")</f>
        <v>fhgQuGG1Sem3dyYwtWMgzw</v>
      </c>
      <c r="AA1069" s="5"/>
      <c r="AB1069" s="5"/>
      <c r="AC1069" s="5"/>
      <c r="AD1069" s="5">
        <f ca="1">IFERROR(__xludf.DUMMYFUNCTION("""COMPUTED_VALUE"""),62)</f>
        <v>62</v>
      </c>
      <c r="AE1069" s="5">
        <f ca="1">IFERROR(__xludf.DUMMYFUNCTION("""COMPUTED_VALUE"""),62)</f>
        <v>62</v>
      </c>
      <c r="AF1069" s="5" t="b">
        <f ca="1">IFERROR(__xludf.DUMMYFUNCTION("""COMPUTED_VALUE"""),FALSE)</f>
        <v>0</v>
      </c>
      <c r="AG1069" s="5" t="str">
        <f ca="1">IFERROR(__xludf.DUMMYFUNCTION("""COMPUTED_VALUE"""),"INSPECCIONES REALIZADAS")</f>
        <v>INSPECCIONES REALIZADAS</v>
      </c>
      <c r="AH1069" s="5"/>
    </row>
    <row r="1070" spans="1:34">
      <c r="A1070" s="5" t="str">
        <f ca="1">IFERROR(__xludf.DUMMYFUNCTION("""COMPUTED_VALUE"""),"LINEA PARA EL LLENADO DE GARRAFAS")</f>
        <v>LINEA PARA EL LLENADO DE GARRAFAS</v>
      </c>
      <c r="B1070" s="5">
        <f ca="1">IFERROR(__xludf.DUMMYFUNCTION("""COMPUTED_VALUE"""),71001903)</f>
        <v>71001903</v>
      </c>
      <c r="C1070" s="5" t="str">
        <f ca="1">IFERROR(__xludf.DUMMYFUNCTION("""COMPUTED_VALUE"""),"RINSE DE GARRAFAS")</f>
        <v>RINSE DE GARRAFAS</v>
      </c>
      <c r="D1070" s="5">
        <f ca="1">IFERROR(__xludf.DUMMYFUNCTION("""COMPUTED_VALUE"""),13247727)</f>
        <v>13247727</v>
      </c>
      <c r="E1070" s="5" t="str">
        <f ca="1">IFERROR(__xludf.DUMMYFUNCTION("""COMPUTED_VALUE"""),"INSPECCION SEMANAL RINSE DE GARRAFAS")</f>
        <v>INSPECCION SEMANAL RINSE DE GARRAFAS</v>
      </c>
      <c r="F1070" s="5" t="str">
        <f ca="1">IFERROR(__xludf.DUMMYFUNCTION("""COMPUTED_VALUE"""),"VOLTEADOR BOTELLON ENTRADA")</f>
        <v>VOLTEADOR BOTELLON ENTRADA</v>
      </c>
      <c r="G1070" s="5" t="b">
        <f ca="1">IFERROR(__xludf.DUMMYFUNCTION("""COMPUTED_VALUE"""),TRUE)</f>
        <v>1</v>
      </c>
      <c r="H1070" s="5"/>
      <c r="I1070" s="5"/>
      <c r="J1070" s="5">
        <f ca="1">IFERROR(__xludf.DUMMYFUNCTION("""COMPUTED_VALUE"""),13247727)</f>
        <v>13247727</v>
      </c>
      <c r="K1070" s="5"/>
      <c r="L1070" s="18">
        <f ca="1">IFERROR(__xludf.DUMMYFUNCTION("""COMPUTED_VALUE"""),45324)</f>
        <v>45324</v>
      </c>
      <c r="M1070" s="18">
        <f ca="1">IFERROR(__xludf.DUMMYFUNCTION("""COMPUTED_VALUE"""),45324)</f>
        <v>45324</v>
      </c>
      <c r="N1070" s="5" t="str">
        <f ca="1">IFERROR(__xludf.DUMMYFUNCTION("""COMPUTED_VALUE"""),"Víctor David Burbano Gómez")</f>
        <v>Víctor David Burbano Gómez</v>
      </c>
      <c r="O1070" s="2">
        <f ca="1">IFERROR(__xludf.DUMMYFUNCTION("""COMPUTED_VALUE"""),0.00625)</f>
        <v>6.2500000000000003E-3</v>
      </c>
      <c r="P1070" s="5">
        <f ca="1">IFERROR(__xludf.DUMMYFUNCTION("""COMPUTED_VALUE"""),20065447)</f>
        <v>20065447</v>
      </c>
      <c r="Q1070" s="5" t="str">
        <f ca="1">IFERROR(__xludf.DUMMYFUNCTION("""COMPUTED_VALUE"""),"N1eb1_7LXVw")</f>
        <v>N1eb1_7LXVw</v>
      </c>
      <c r="R1070" s="5">
        <f ca="1">IFERROR(__xludf.DUMMYFUNCTION("""COMPUTED_VALUE"""),410)</f>
        <v>410</v>
      </c>
      <c r="S1070" s="62">
        <f ca="1">IFERROR(__xludf.DUMMYFUNCTION("""COMPUTED_VALUE"""),0.00625)</f>
        <v>6.2500000000000003E-3</v>
      </c>
      <c r="T1070" s="63" t="str">
        <f ca="1">IFERROR(__xludf.DUMMYFUNCTION("""COMPUTED_VALUE"""),"https://storage.googleapis.com/glide-prod.appspot.com/uploads-v2/ly7o78grxPaC6KdgvbpS/pub/3aRdSog0vUtuqPE8AJKD.png")</f>
        <v>https://storage.googleapis.com/glide-prod.appspot.com/uploads-v2/ly7o78grxPaC6KdgvbpS/pub/3aRdSog0vUtuqPE8AJKD.png</v>
      </c>
      <c r="U1070" s="5" t="str">
        <f ca="1">IFERROR(__xludf.DUMMYFUNCTION("""COMPUTED_VALUE"""),"LINEA PARA EL LLENADO DE GARRAFASRINSE DE GARRAFAS")</f>
        <v>LINEA PARA EL LLENADO DE GARRAFASRINSE DE GARRAFAS</v>
      </c>
      <c r="V1070" s="5"/>
      <c r="W1070" s="5" t="b">
        <f ca="1">IFERROR(__xludf.DUMMYFUNCTION("""COMPUTED_VALUE"""),TRUE)</f>
        <v>1</v>
      </c>
      <c r="X1070" s="5" t="str">
        <f ca="1">IFERROR(__xludf.DUMMYFUNCTION("""COMPUTED_VALUE"""),"achavezi@postobon.com.co,aprmttoyu@postobon.com.co,aprmyu@postobon.com.co,wmora@postobon.com.co,efzapata@postobon.com.co")</f>
        <v>achavezi@postobon.com.co,aprmttoyu@postobon.com.co,aprmyu@postobon.com.co,wmora@postobon.com.co,efzapata@postobon.com.co</v>
      </c>
      <c r="Y1070" s="5" t="str">
        <f ca="1">IFERROR(__xludf.DUMMYFUNCTION("""COMPUTED_VALUE"""),"achavezi@postobon.com.co")</f>
        <v>achavezi@postobon.com.co</v>
      </c>
      <c r="Z1070" s="5" t="str">
        <f ca="1">IFERROR(__xludf.DUMMYFUNCTION("""COMPUTED_VALUE"""),"1yjFdK8UTNa8JkUYqmDSuw")</f>
        <v>1yjFdK8UTNa8JkUYqmDSuw</v>
      </c>
      <c r="AA1070" s="5"/>
      <c r="AB1070" s="5"/>
      <c r="AC1070" s="5"/>
      <c r="AD1070" s="5">
        <f ca="1">IFERROR(__xludf.DUMMYFUNCTION("""COMPUTED_VALUE"""),62)</f>
        <v>62</v>
      </c>
      <c r="AE1070" s="5">
        <f ca="1">IFERROR(__xludf.DUMMYFUNCTION("""COMPUTED_VALUE"""),62)</f>
        <v>62</v>
      </c>
      <c r="AF1070" s="5" t="b">
        <f ca="1">IFERROR(__xludf.DUMMYFUNCTION("""COMPUTED_VALUE"""),FALSE)</f>
        <v>0</v>
      </c>
      <c r="AG1070" s="5" t="str">
        <f ca="1">IFERROR(__xludf.DUMMYFUNCTION("""COMPUTED_VALUE"""),"INSPECCIONES REALIZADAS")</f>
        <v>INSPECCIONES REALIZADAS</v>
      </c>
      <c r="AH1070" s="5"/>
    </row>
    <row r="1071" spans="1:34">
      <c r="A1071" s="5" t="str">
        <f ca="1">IFERROR(__xludf.DUMMYFUNCTION("""COMPUTED_VALUE"""),"LINEA PARA EL LLENADO DE GARRAFAS")</f>
        <v>LINEA PARA EL LLENADO DE GARRAFAS</v>
      </c>
      <c r="B1071" s="5">
        <f ca="1">IFERROR(__xludf.DUMMYFUNCTION("""COMPUTED_VALUE"""),71001903)</f>
        <v>71001903</v>
      </c>
      <c r="C1071" s="5" t="str">
        <f ca="1">IFERROR(__xludf.DUMMYFUNCTION("""COMPUTED_VALUE"""),"RINSE DE GARRAFAS")</f>
        <v>RINSE DE GARRAFAS</v>
      </c>
      <c r="D1071" s="5">
        <f ca="1">IFERROR(__xludf.DUMMYFUNCTION("""COMPUTED_VALUE"""),13247727)</f>
        <v>13247727</v>
      </c>
      <c r="E1071" s="5" t="str">
        <f ca="1">IFERROR(__xludf.DUMMYFUNCTION("""COMPUTED_VALUE"""),"INSPECCION SEMANAL RINSE DE GARRAFAS")</f>
        <v>INSPECCION SEMANAL RINSE DE GARRAFAS</v>
      </c>
      <c r="F1071" s="5" t="str">
        <f ca="1">IFERROR(__xludf.DUMMYFUNCTION("""COMPUTED_VALUE"""),"VOLTEADOR BOTELLON SALIDA")</f>
        <v>VOLTEADOR BOTELLON SALIDA</v>
      </c>
      <c r="G1071" s="5" t="b">
        <f ca="1">IFERROR(__xludf.DUMMYFUNCTION("""COMPUTED_VALUE"""),TRUE)</f>
        <v>1</v>
      </c>
      <c r="H1071" s="5"/>
      <c r="I1071" s="5"/>
      <c r="J1071" s="5">
        <f ca="1">IFERROR(__xludf.DUMMYFUNCTION("""COMPUTED_VALUE"""),13247727)</f>
        <v>13247727</v>
      </c>
      <c r="K1071" s="5"/>
      <c r="L1071" s="18">
        <f ca="1">IFERROR(__xludf.DUMMYFUNCTION("""COMPUTED_VALUE"""),45324)</f>
        <v>45324</v>
      </c>
      <c r="M1071" s="18">
        <f ca="1">IFERROR(__xludf.DUMMYFUNCTION("""COMPUTED_VALUE"""),45324)</f>
        <v>45324</v>
      </c>
      <c r="N1071" s="5" t="str">
        <f ca="1">IFERROR(__xludf.DUMMYFUNCTION("""COMPUTED_VALUE"""),"Víctor David Burbano Gómez")</f>
        <v>Víctor David Burbano Gómez</v>
      </c>
      <c r="O1071" s="2">
        <f ca="1">IFERROR(__xludf.DUMMYFUNCTION("""COMPUTED_VALUE"""),0.00625)</f>
        <v>6.2500000000000003E-3</v>
      </c>
      <c r="P1071" s="5">
        <f ca="1">IFERROR(__xludf.DUMMYFUNCTION("""COMPUTED_VALUE"""),20065447)</f>
        <v>20065447</v>
      </c>
      <c r="Q1071" s="5" t="str">
        <f ca="1">IFERROR(__xludf.DUMMYFUNCTION("""COMPUTED_VALUE"""),"MxMS2BRN6is")</f>
        <v>MxMS2BRN6is</v>
      </c>
      <c r="R1071" s="5">
        <f ca="1">IFERROR(__xludf.DUMMYFUNCTION("""COMPUTED_VALUE"""),410)</f>
        <v>410</v>
      </c>
      <c r="S1071" s="62">
        <f ca="1">IFERROR(__xludf.DUMMYFUNCTION("""COMPUTED_VALUE"""),0.00625)</f>
        <v>6.2500000000000003E-3</v>
      </c>
      <c r="T1071" s="63" t="str">
        <f ca="1">IFERROR(__xludf.DUMMYFUNCTION("""COMPUTED_VALUE"""),"https://storage.googleapis.com/glide-prod.appspot.com/uploads-v2/ly7o78grxPaC6KdgvbpS/pub/3aRdSog0vUtuqPE8AJKD.png")</f>
        <v>https://storage.googleapis.com/glide-prod.appspot.com/uploads-v2/ly7o78grxPaC6KdgvbpS/pub/3aRdSog0vUtuqPE8AJKD.png</v>
      </c>
      <c r="U1071" s="5" t="str">
        <f ca="1">IFERROR(__xludf.DUMMYFUNCTION("""COMPUTED_VALUE"""),"LINEA PARA EL LLENADO DE GARRAFASRINSE DE GARRAFAS")</f>
        <v>LINEA PARA EL LLENADO DE GARRAFASRINSE DE GARRAFAS</v>
      </c>
      <c r="V1071" s="5"/>
      <c r="W1071" s="5" t="b">
        <f ca="1">IFERROR(__xludf.DUMMYFUNCTION("""COMPUTED_VALUE"""),TRUE)</f>
        <v>1</v>
      </c>
      <c r="X1071" s="5" t="str">
        <f ca="1">IFERROR(__xludf.DUMMYFUNCTION("""COMPUTED_VALUE"""),"achavezi@postobon.com.co,aprmttoyu@postobon.com.co,aprmyu@postobon.com.co,wmora@postobon.com.co,efzapata@postobon.com.co")</f>
        <v>achavezi@postobon.com.co,aprmttoyu@postobon.com.co,aprmyu@postobon.com.co,wmora@postobon.com.co,efzapata@postobon.com.co</v>
      </c>
      <c r="Y1071" s="5" t="str">
        <f ca="1">IFERROR(__xludf.DUMMYFUNCTION("""COMPUTED_VALUE"""),"achavezi@postobon.com.co")</f>
        <v>achavezi@postobon.com.co</v>
      </c>
      <c r="Z1071" s="5" t="str">
        <f ca="1">IFERROR(__xludf.DUMMYFUNCTION("""COMPUTED_VALUE"""),"5k7p47J5TdiCAJgHhi4QoQ")</f>
        <v>5k7p47J5TdiCAJgHhi4QoQ</v>
      </c>
      <c r="AA1071" s="5"/>
      <c r="AB1071" s="5"/>
      <c r="AC1071" s="5"/>
      <c r="AD1071" s="5">
        <f ca="1">IFERROR(__xludf.DUMMYFUNCTION("""COMPUTED_VALUE"""),62)</f>
        <v>62</v>
      </c>
      <c r="AE1071" s="5">
        <f ca="1">IFERROR(__xludf.DUMMYFUNCTION("""COMPUTED_VALUE"""),62)</f>
        <v>62</v>
      </c>
      <c r="AF1071" s="5" t="b">
        <f ca="1">IFERROR(__xludf.DUMMYFUNCTION("""COMPUTED_VALUE"""),FALSE)</f>
        <v>0</v>
      </c>
      <c r="AG1071" s="5" t="str">
        <f ca="1">IFERROR(__xludf.DUMMYFUNCTION("""COMPUTED_VALUE"""),"INSPECCIONES REALIZADAS")</f>
        <v>INSPECCIONES REALIZADAS</v>
      </c>
      <c r="AH1071" s="5"/>
    </row>
    <row r="1072" spans="1:34">
      <c r="A1072" s="5" t="str">
        <f ca="1">IFERROR(__xludf.DUMMYFUNCTION("""COMPUTED_VALUE"""),"LINEA PARA EL LLENADO DE GARRAFAS")</f>
        <v>LINEA PARA EL LLENADO DE GARRAFAS</v>
      </c>
      <c r="B1072" s="5">
        <f ca="1">IFERROR(__xludf.DUMMYFUNCTION("""COMPUTED_VALUE"""),71001903)</f>
        <v>71001903</v>
      </c>
      <c r="C1072" s="5" t="str">
        <f ca="1">IFERROR(__xludf.DUMMYFUNCTION("""COMPUTED_VALUE"""),"RINSE DE GARRAFAS")</f>
        <v>RINSE DE GARRAFAS</v>
      </c>
      <c r="D1072" s="5">
        <f ca="1">IFERROR(__xludf.DUMMYFUNCTION("""COMPUTED_VALUE"""),13247727)</f>
        <v>13247727</v>
      </c>
      <c r="E1072" s="5" t="str">
        <f ca="1">IFERROR(__xludf.DUMMYFUNCTION("""COMPUTED_VALUE"""),"INSPECCION SEMANAL RINSE DE GARRAFAS")</f>
        <v>INSPECCION SEMANAL RINSE DE GARRAFAS</v>
      </c>
      <c r="F1072" s="5" t="str">
        <f ca="1">IFERROR(__xludf.DUMMYFUNCTION("""COMPUTED_VALUE"""),"VERIFICAR ESTADO INSTRUMENTACION")</f>
        <v>VERIFICAR ESTADO INSTRUMENTACION</v>
      </c>
      <c r="G1072" s="5" t="b">
        <f ca="1">IFERROR(__xludf.DUMMYFUNCTION("""COMPUTED_VALUE"""),TRUE)</f>
        <v>1</v>
      </c>
      <c r="H1072" s="5"/>
      <c r="I1072" s="5"/>
      <c r="J1072" s="5">
        <f ca="1">IFERROR(__xludf.DUMMYFUNCTION("""COMPUTED_VALUE"""),13247727)</f>
        <v>13247727</v>
      </c>
      <c r="K1072" s="5"/>
      <c r="L1072" s="18">
        <f ca="1">IFERROR(__xludf.DUMMYFUNCTION("""COMPUTED_VALUE"""),45324)</f>
        <v>45324</v>
      </c>
      <c r="M1072" s="18">
        <f ca="1">IFERROR(__xludf.DUMMYFUNCTION("""COMPUTED_VALUE"""),45324)</f>
        <v>45324</v>
      </c>
      <c r="N1072" s="5" t="str">
        <f ca="1">IFERROR(__xludf.DUMMYFUNCTION("""COMPUTED_VALUE"""),"Víctor David Burbano Gómez")</f>
        <v>Víctor David Burbano Gómez</v>
      </c>
      <c r="O1072" s="2">
        <f ca="1">IFERROR(__xludf.DUMMYFUNCTION("""COMPUTED_VALUE"""),0.00625)</f>
        <v>6.2500000000000003E-3</v>
      </c>
      <c r="P1072" s="5">
        <f ca="1">IFERROR(__xludf.DUMMYFUNCTION("""COMPUTED_VALUE"""),20065447)</f>
        <v>20065447</v>
      </c>
      <c r="Q1072" s="5" t="str">
        <f ca="1">IFERROR(__xludf.DUMMYFUNCTION("""COMPUTED_VALUE"""),"x-1h182ERVg")</f>
        <v>x-1h182ERVg</v>
      </c>
      <c r="R1072" s="5">
        <f ca="1">IFERROR(__xludf.DUMMYFUNCTION("""COMPUTED_VALUE"""),410)</f>
        <v>410</v>
      </c>
      <c r="S1072" s="62">
        <f ca="1">IFERROR(__xludf.DUMMYFUNCTION("""COMPUTED_VALUE"""),0.00625)</f>
        <v>6.2500000000000003E-3</v>
      </c>
      <c r="T1072" s="63" t="str">
        <f ca="1">IFERROR(__xludf.DUMMYFUNCTION("""COMPUTED_VALUE"""),"https://storage.googleapis.com/glide-prod.appspot.com/uploads-v2/ly7o78grxPaC6KdgvbpS/pub/3aRdSog0vUtuqPE8AJKD.png")</f>
        <v>https://storage.googleapis.com/glide-prod.appspot.com/uploads-v2/ly7o78grxPaC6KdgvbpS/pub/3aRdSog0vUtuqPE8AJKD.png</v>
      </c>
      <c r="U1072" s="5" t="str">
        <f ca="1">IFERROR(__xludf.DUMMYFUNCTION("""COMPUTED_VALUE"""),"LINEA PARA EL LLENADO DE GARRAFASRINSE DE GARRAFAS")</f>
        <v>LINEA PARA EL LLENADO DE GARRAFASRINSE DE GARRAFAS</v>
      </c>
      <c r="V1072" s="5"/>
      <c r="W1072" s="5" t="b">
        <f ca="1">IFERROR(__xludf.DUMMYFUNCTION("""COMPUTED_VALUE"""),TRUE)</f>
        <v>1</v>
      </c>
      <c r="X1072" s="5" t="str">
        <f ca="1">IFERROR(__xludf.DUMMYFUNCTION("""COMPUTED_VALUE"""),"achavezi@postobon.com.co,aprmttoyu@postobon.com.co,aprmyu@postobon.com.co,wmora@postobon.com.co,efzapata@postobon.com.co")</f>
        <v>achavezi@postobon.com.co,aprmttoyu@postobon.com.co,aprmyu@postobon.com.co,wmora@postobon.com.co,efzapata@postobon.com.co</v>
      </c>
      <c r="Y1072" s="5" t="str">
        <f ca="1">IFERROR(__xludf.DUMMYFUNCTION("""COMPUTED_VALUE"""),"achavezi@postobon.com.co")</f>
        <v>achavezi@postobon.com.co</v>
      </c>
      <c r="Z1072" s="5" t="str">
        <f ca="1">IFERROR(__xludf.DUMMYFUNCTION("""COMPUTED_VALUE"""),"ke5yEELrRXCwJXVNXPYebA")</f>
        <v>ke5yEELrRXCwJXVNXPYebA</v>
      </c>
      <c r="AA1072" s="5"/>
      <c r="AB1072" s="5"/>
      <c r="AC1072" s="5"/>
      <c r="AD1072" s="5">
        <f ca="1">IFERROR(__xludf.DUMMYFUNCTION("""COMPUTED_VALUE"""),62)</f>
        <v>62</v>
      </c>
      <c r="AE1072" s="5">
        <f ca="1">IFERROR(__xludf.DUMMYFUNCTION("""COMPUTED_VALUE"""),62)</f>
        <v>62</v>
      </c>
      <c r="AF1072" s="5" t="b">
        <f ca="1">IFERROR(__xludf.DUMMYFUNCTION("""COMPUTED_VALUE"""),FALSE)</f>
        <v>0</v>
      </c>
      <c r="AG1072" s="5" t="str">
        <f ca="1">IFERROR(__xludf.DUMMYFUNCTION("""COMPUTED_VALUE"""),"INSPECCIONES REALIZADAS")</f>
        <v>INSPECCIONES REALIZADAS</v>
      </c>
      <c r="AH1072" s="5"/>
    </row>
    <row r="1073" spans="1:34">
      <c r="A1073" s="5" t="str">
        <f ca="1">IFERROR(__xludf.DUMMYFUNCTION("""COMPUTED_VALUE"""),"LINEA PARA EL LLENADO DE GARRAFAS")</f>
        <v>LINEA PARA EL LLENADO DE GARRAFAS</v>
      </c>
      <c r="B1073" s="5">
        <f ca="1">IFERROR(__xludf.DUMMYFUNCTION("""COMPUTED_VALUE"""),71001903)</f>
        <v>71001903</v>
      </c>
      <c r="C1073" s="5" t="str">
        <f ca="1">IFERROR(__xludf.DUMMYFUNCTION("""COMPUTED_VALUE"""),"RINSE DE GARRAFAS")</f>
        <v>RINSE DE GARRAFAS</v>
      </c>
      <c r="D1073" s="5">
        <f ca="1">IFERROR(__xludf.DUMMYFUNCTION("""COMPUTED_VALUE"""),13247727)</f>
        <v>13247727</v>
      </c>
      <c r="E1073" s="5" t="str">
        <f ca="1">IFERROR(__xludf.DUMMYFUNCTION("""COMPUTED_VALUE"""),"INSPECCION SEMANAL RINSE DE GARRAFAS")</f>
        <v>INSPECCION SEMANAL RINSE DE GARRAFAS</v>
      </c>
      <c r="F1073" s="5" t="str">
        <f ca="1">IFERROR(__xludf.DUMMYFUNCTION("""COMPUTED_VALUE"""),"INS, FUNC Y ESTADO DE BOMBA PRESIÓN BOQUILLAS")</f>
        <v>INS, FUNC Y ESTADO DE BOMBA PRESIÓN BOQUILLAS</v>
      </c>
      <c r="G1073" s="5" t="b">
        <f ca="1">IFERROR(__xludf.DUMMYFUNCTION("""COMPUTED_VALUE"""),TRUE)</f>
        <v>1</v>
      </c>
      <c r="H1073" s="5"/>
      <c r="I1073" s="5"/>
      <c r="J1073" s="5">
        <f ca="1">IFERROR(__xludf.DUMMYFUNCTION("""COMPUTED_VALUE"""),13247727)</f>
        <v>13247727</v>
      </c>
      <c r="K1073" s="5"/>
      <c r="L1073" s="18">
        <f ca="1">IFERROR(__xludf.DUMMYFUNCTION("""COMPUTED_VALUE"""),45324)</f>
        <v>45324</v>
      </c>
      <c r="M1073" s="18">
        <f ca="1">IFERROR(__xludf.DUMMYFUNCTION("""COMPUTED_VALUE"""),45324)</f>
        <v>45324</v>
      </c>
      <c r="N1073" s="5" t="str">
        <f ca="1">IFERROR(__xludf.DUMMYFUNCTION("""COMPUTED_VALUE"""),"Víctor David Burbano Gómez")</f>
        <v>Víctor David Burbano Gómez</v>
      </c>
      <c r="O1073" s="2">
        <f ca="1">IFERROR(__xludf.DUMMYFUNCTION("""COMPUTED_VALUE"""),0.00625)</f>
        <v>6.2500000000000003E-3</v>
      </c>
      <c r="P1073" s="5">
        <f ca="1">IFERROR(__xludf.DUMMYFUNCTION("""COMPUTED_VALUE"""),20065447)</f>
        <v>20065447</v>
      </c>
      <c r="Q1073" s="5" t="str">
        <f ca="1">IFERROR(__xludf.DUMMYFUNCTION("""COMPUTED_VALUE"""),"yoV6rjxj_tU")</f>
        <v>yoV6rjxj_tU</v>
      </c>
      <c r="R1073" s="5">
        <f ca="1">IFERROR(__xludf.DUMMYFUNCTION("""COMPUTED_VALUE"""),410)</f>
        <v>410</v>
      </c>
      <c r="S1073" s="62">
        <f ca="1">IFERROR(__xludf.DUMMYFUNCTION("""COMPUTED_VALUE"""),0.00625)</f>
        <v>6.2500000000000003E-3</v>
      </c>
      <c r="T1073" s="63" t="str">
        <f ca="1">IFERROR(__xludf.DUMMYFUNCTION("""COMPUTED_VALUE"""),"https://storage.googleapis.com/glide-prod.appspot.com/uploads-v2/ly7o78grxPaC6KdgvbpS/pub/3aRdSog0vUtuqPE8AJKD.png")</f>
        <v>https://storage.googleapis.com/glide-prod.appspot.com/uploads-v2/ly7o78grxPaC6KdgvbpS/pub/3aRdSog0vUtuqPE8AJKD.png</v>
      </c>
      <c r="U1073" s="5" t="str">
        <f ca="1">IFERROR(__xludf.DUMMYFUNCTION("""COMPUTED_VALUE"""),"LINEA PARA EL LLENADO DE GARRAFASRINSE DE GARRAFAS")</f>
        <v>LINEA PARA EL LLENADO DE GARRAFASRINSE DE GARRAFAS</v>
      </c>
      <c r="V1073" s="5"/>
      <c r="W1073" s="5" t="b">
        <f ca="1">IFERROR(__xludf.DUMMYFUNCTION("""COMPUTED_VALUE"""),TRUE)</f>
        <v>1</v>
      </c>
      <c r="X1073" s="5" t="str">
        <f ca="1">IFERROR(__xludf.DUMMYFUNCTION("""COMPUTED_VALUE"""),"achavezi@postobon.com.co,aprmttoyu@postobon.com.co,aprmyu@postobon.com.co,wmora@postobon.com.co,efzapata@postobon.com.co")</f>
        <v>achavezi@postobon.com.co,aprmttoyu@postobon.com.co,aprmyu@postobon.com.co,wmora@postobon.com.co,efzapata@postobon.com.co</v>
      </c>
      <c r="Y1073" s="5" t="str">
        <f ca="1">IFERROR(__xludf.DUMMYFUNCTION("""COMPUTED_VALUE"""),"achavezi@postobon.com.co")</f>
        <v>achavezi@postobon.com.co</v>
      </c>
      <c r="Z1073" s="5" t="str">
        <f ca="1">IFERROR(__xludf.DUMMYFUNCTION("""COMPUTED_VALUE"""),"5XQt5y4GS9S1ivXohpL-xg")</f>
        <v>5XQt5y4GS9S1ivXohpL-xg</v>
      </c>
      <c r="AA1073" s="5"/>
      <c r="AB1073" s="5"/>
      <c r="AC1073" s="5"/>
      <c r="AD1073" s="5">
        <f ca="1">IFERROR(__xludf.DUMMYFUNCTION("""COMPUTED_VALUE"""),62)</f>
        <v>62</v>
      </c>
      <c r="AE1073" s="5">
        <f ca="1">IFERROR(__xludf.DUMMYFUNCTION("""COMPUTED_VALUE"""),62)</f>
        <v>62</v>
      </c>
      <c r="AF1073" s="5" t="b">
        <f ca="1">IFERROR(__xludf.DUMMYFUNCTION("""COMPUTED_VALUE"""),FALSE)</f>
        <v>0</v>
      </c>
      <c r="AG1073" s="5" t="str">
        <f ca="1">IFERROR(__xludf.DUMMYFUNCTION("""COMPUTED_VALUE"""),"INSPECCIONES REALIZADAS")</f>
        <v>INSPECCIONES REALIZADAS</v>
      </c>
      <c r="AH1073" s="5"/>
    </row>
    <row r="1074" spans="1:34">
      <c r="A1074" s="5" t="str">
        <f ca="1">IFERROR(__xludf.DUMMYFUNCTION("""COMPUTED_VALUE"""),"LINEA PET CSD - LINEA 10")</f>
        <v>LINEA PET CSD - LINEA 10</v>
      </c>
      <c r="B1074" s="5">
        <f ca="1">IFERROR(__xludf.DUMMYFUNCTION("""COMPUTED_VALUE"""),820303)</f>
        <v>820303</v>
      </c>
      <c r="C1074" s="5" t="str">
        <f ca="1">IFERROR(__xludf.DUMMYFUNCTION("""COMPUTED_VALUE"""),"SALA LIMPIA")</f>
        <v>SALA LIMPIA</v>
      </c>
      <c r="D1074" s="5">
        <f ca="1">IFERROR(__xludf.DUMMYFUNCTION("""COMPUTED_VALUE"""),13247581)</f>
        <v>13247581</v>
      </c>
      <c r="E1074" s="5" t="str">
        <f ca="1">IFERROR(__xludf.DUMMYFUNCTION("""COMPUTED_VALUE"""),"INSPECCION SEMANAL Sala Limpia")</f>
        <v>INSPECCION SEMANAL Sala Limpia</v>
      </c>
      <c r="F1074" s="5" t="str">
        <f ca="1">IFERROR(__xludf.DUMMYFUNCTION("""COMPUTED_VALUE"""),"PLAN MTTO MEC SALA LIMPIA CSD")</f>
        <v>PLAN MTTO MEC SALA LIMPIA CSD</v>
      </c>
      <c r="G1074" s="5" t="b">
        <f ca="1">IFERROR(__xludf.DUMMYFUNCTION("""COMPUTED_VALUE"""),TRUE)</f>
        <v>1</v>
      </c>
      <c r="H1074" s="5"/>
      <c r="I1074" s="5"/>
      <c r="J1074" s="5">
        <f ca="1">IFERROR(__xludf.DUMMYFUNCTION("""COMPUTED_VALUE"""),13247581)</f>
        <v>13247581</v>
      </c>
      <c r="K1074" s="5"/>
      <c r="L1074" s="18">
        <f ca="1">IFERROR(__xludf.DUMMYFUNCTION("""COMPUTED_VALUE"""),45324)</f>
        <v>45324</v>
      </c>
      <c r="M1074" s="18">
        <f ca="1">IFERROR(__xludf.DUMMYFUNCTION("""COMPUTED_VALUE"""),45324)</f>
        <v>45324</v>
      </c>
      <c r="N1074" s="5" t="str">
        <f ca="1">IFERROR(__xludf.DUMMYFUNCTION("""COMPUTED_VALUE"""),"Bolaños Camacho Luis Miguel")</f>
        <v>Bolaños Camacho Luis Miguel</v>
      </c>
      <c r="O1074" s="2">
        <f ca="1">IFERROR(__xludf.DUMMYFUNCTION("""COMPUTED_VALUE"""),0.1)</f>
        <v>0.1</v>
      </c>
      <c r="P1074" s="5">
        <f ca="1">IFERROR(__xludf.DUMMYFUNCTION("""COMPUTED_VALUE"""),20032893)</f>
        <v>20032893</v>
      </c>
      <c r="Q1074" s="5" t="str">
        <f ca="1">IFERROR(__xludf.DUMMYFUNCTION("""COMPUTED_VALUE"""),"p3souPZEFpQ")</f>
        <v>p3souPZEFpQ</v>
      </c>
      <c r="R1074" s="5">
        <f ca="1">IFERROR(__xludf.DUMMYFUNCTION("""COMPUTED_VALUE"""),410)</f>
        <v>410</v>
      </c>
      <c r="S1074" s="62">
        <f ca="1">IFERROR(__xludf.DUMMYFUNCTION("""COMPUTED_VALUE"""),0.1)</f>
        <v>0.1</v>
      </c>
      <c r="T1074" s="63" t="str">
        <f ca="1">IFERROR(__xludf.DUMMYFUNCTION("""COMPUTED_VALUE"""),"https://storage.googleapis.com/glide-prod.appspot.com/uploads-v2/ly7o78grxPaC6KdgvbpS/pub/3aRdSog0vUtuqPE8AJKD.png")</f>
        <v>https://storage.googleapis.com/glide-prod.appspot.com/uploads-v2/ly7o78grxPaC6KdgvbpS/pub/3aRdSog0vUtuqPE8AJKD.png</v>
      </c>
      <c r="U1074" s="5" t="str">
        <f ca="1">IFERROR(__xludf.DUMMYFUNCTION("""COMPUTED_VALUE"""),"LINEA PET CSD - LINEA 10SALA LIMPIA")</f>
        <v>LINEA PET CSD - LINEA 10SALA LIMPIA</v>
      </c>
      <c r="V1074" s="5"/>
      <c r="W1074" s="5" t="b">
        <f ca="1">IFERROR(__xludf.DUMMYFUNCTION("""COMPUTED_VALUE"""),TRUE)</f>
        <v>1</v>
      </c>
      <c r="X1074" s="5" t="str">
        <f ca="1">IFERROR(__xludf.DUMMYFUNCTION("""COMPUTED_VALUE"""),"wmazorra@postobon.com.co,aprmttoyu@postobon.com.co,aprmyu@postobon.com.co,wmora@postobon.com.co,efzapata@postobon.com.co")</f>
        <v>wmazorra@postobon.com.co,aprmttoyu@postobon.com.co,aprmyu@postobon.com.co,wmora@postobon.com.co,efzapata@postobon.com.co</v>
      </c>
      <c r="Y1074" s="5" t="str">
        <f ca="1">IFERROR(__xludf.DUMMYFUNCTION("""COMPUTED_VALUE"""),"wmazorra@postobon.com.co")</f>
        <v>wmazorra@postobon.com.co</v>
      </c>
      <c r="Z1074" s="5" t="str">
        <f ca="1">IFERROR(__xludf.DUMMYFUNCTION("""COMPUTED_VALUE"""),"ntOprAbNQcCfAR-6OWh4Xw")</f>
        <v>ntOprAbNQcCfAR-6OWh4Xw</v>
      </c>
      <c r="AA1074" s="5"/>
      <c r="AB1074" s="5"/>
      <c r="AC1074" s="5"/>
      <c r="AD1074" s="5">
        <f ca="1">IFERROR(__xludf.DUMMYFUNCTION("""COMPUTED_VALUE"""),10)</f>
        <v>10</v>
      </c>
      <c r="AE1074" s="5">
        <f ca="1">IFERROR(__xludf.DUMMYFUNCTION("""COMPUTED_VALUE"""),10)</f>
        <v>10</v>
      </c>
      <c r="AF1074" s="5" t="b">
        <f ca="1">IFERROR(__xludf.DUMMYFUNCTION("""COMPUTED_VALUE"""),FALSE)</f>
        <v>0</v>
      </c>
      <c r="AG1074" s="5" t="str">
        <f ca="1">IFERROR(__xludf.DUMMYFUNCTION("""COMPUTED_VALUE"""),"INSPECCIONES REALIZADAS")</f>
        <v>INSPECCIONES REALIZADAS</v>
      </c>
      <c r="AH1074" s="5"/>
    </row>
    <row r="1075" spans="1:34">
      <c r="A1075" s="5" t="str">
        <f ca="1">IFERROR(__xludf.DUMMYFUNCTION("""COMPUTED_VALUE"""),"EQUIPOS PARA SERVICIOS INDUSTRIALES")</f>
        <v>EQUIPOS PARA SERVICIOS INDUSTRIALES</v>
      </c>
      <c r="B1075" s="5">
        <f ca="1">IFERROR(__xludf.DUMMYFUNCTION("""COMPUTED_VALUE"""),900236)</f>
        <v>900236</v>
      </c>
      <c r="C1075" s="5" t="str">
        <f ca="1">IFERROR(__xludf.DUMMYFUNCTION("""COMPUTED_VALUE"""),"SECADOR AIRE 1")</f>
        <v>SECADOR AIRE 1</v>
      </c>
      <c r="D1075" s="5">
        <f ca="1">IFERROR(__xludf.DUMMYFUNCTION("""COMPUTED_VALUE"""),13247506)</f>
        <v>13247506</v>
      </c>
      <c r="E1075" s="5" t="str">
        <f ca="1">IFERROR(__xludf.DUMMYFUNCTION("""COMPUTED_VALUE"""),"INSPECCION SEMANAL SECADOR AIRE 1")</f>
        <v>INSPECCION SEMANAL SECADOR AIRE 1</v>
      </c>
      <c r="F1075" s="5" t="str">
        <f ca="1">IFERROR(__xludf.DUMMYFUNCTION("""COMPUTED_VALUE"""),"PLAN MTTO MTTO MEC SECADOR AIRE 1 900236")</f>
        <v>PLAN MTTO MTTO MEC SECADOR AIRE 1 900236</v>
      </c>
      <c r="G1075" s="5" t="b">
        <f ca="1">IFERROR(__xludf.DUMMYFUNCTION("""COMPUTED_VALUE"""),TRUE)</f>
        <v>1</v>
      </c>
      <c r="H1075" s="5"/>
      <c r="I1075" s="5"/>
      <c r="J1075" s="5">
        <f ca="1">IFERROR(__xludf.DUMMYFUNCTION("""COMPUTED_VALUE"""),13247506)</f>
        <v>13247506</v>
      </c>
      <c r="K1075" s="5"/>
      <c r="L1075" s="18">
        <f ca="1">IFERROR(__xludf.DUMMYFUNCTION("""COMPUTED_VALUE"""),45324)</f>
        <v>45324</v>
      </c>
      <c r="M1075" s="18">
        <f ca="1">IFERROR(__xludf.DUMMYFUNCTION("""COMPUTED_VALUE"""),45324)</f>
        <v>45324</v>
      </c>
      <c r="N1075" s="5" t="str">
        <f ca="1">IFERROR(__xludf.DUMMYFUNCTION("""COMPUTED_VALUE"""),"MARIO ALBERTO MARTÍNEZ MORA")</f>
        <v>MARIO ALBERTO MARTÍNEZ MORA</v>
      </c>
      <c r="O1075" s="2">
        <f ca="1">IFERROR(__xludf.DUMMYFUNCTION("""COMPUTED_VALUE"""),0.1)</f>
        <v>0.1</v>
      </c>
      <c r="P1075" s="5">
        <f ca="1">IFERROR(__xludf.DUMMYFUNCTION("""COMPUTED_VALUE"""),94542837)</f>
        <v>94542837</v>
      </c>
      <c r="Q1075" s="5" t="str">
        <f ca="1">IFERROR(__xludf.DUMMYFUNCTION("""COMPUTED_VALUE"""),"rp1fIGswGlw")</f>
        <v>rp1fIGswGlw</v>
      </c>
      <c r="R1075" s="5">
        <f ca="1">IFERROR(__xludf.DUMMYFUNCTION("""COMPUTED_VALUE"""),410)</f>
        <v>410</v>
      </c>
      <c r="S1075" s="62">
        <f ca="1">IFERROR(__xludf.DUMMYFUNCTION("""COMPUTED_VALUE"""),0.1)</f>
        <v>0.1</v>
      </c>
      <c r="T1075" s="63" t="str">
        <f ca="1">IFERROR(__xludf.DUMMYFUNCTION("""COMPUTED_VALUE"""),"https://storage.googleapis.com/glide-prod.appspot.com/uploads-v2/ly7o78grxPaC6KdgvbpS/pub/3aRdSog0vUtuqPE8AJKD.png")</f>
        <v>https://storage.googleapis.com/glide-prod.appspot.com/uploads-v2/ly7o78grxPaC6KdgvbpS/pub/3aRdSog0vUtuqPE8AJKD.png</v>
      </c>
      <c r="U1075" s="5" t="str">
        <f ca="1">IFERROR(__xludf.DUMMYFUNCTION("""COMPUTED_VALUE"""),"EQUIPOS PARA SERVICIOS INDUSTRIALESSECADOR AIRE 1")</f>
        <v>EQUIPOS PARA SERVICIOS INDUSTRIALESSECADOR AIRE 1</v>
      </c>
      <c r="V1075" s="5"/>
      <c r="W1075" s="5" t="b">
        <f ca="1">IFERROR(__xludf.DUMMYFUNCTION("""COMPUTED_VALUE"""),TRUE)</f>
        <v>1</v>
      </c>
      <c r="X1075" s="5" t="str">
        <f ca="1">IFERROR(__xludf.DUMMYFUNCTION("""COMPUTED_VALUE"""),"wmazorra@postobon.com.co,aprmttoyu@postobon.com.co,aprmyu@postobon.com.co,wmora@postobon.com.co,efzapata@postobon.com.co")</f>
        <v>wmazorra@postobon.com.co,aprmttoyu@postobon.com.co,aprmyu@postobon.com.co,wmora@postobon.com.co,efzapata@postobon.com.co</v>
      </c>
      <c r="Y1075" s="5" t="str">
        <f ca="1">IFERROR(__xludf.DUMMYFUNCTION("""COMPUTED_VALUE"""),"wmazorra@postobon.com.co")</f>
        <v>wmazorra@postobon.com.co</v>
      </c>
      <c r="Z1075" s="5" t="str">
        <f ca="1">IFERROR(__xludf.DUMMYFUNCTION("""COMPUTED_VALUE"""),"0.NTizyXTaKgIvWB66ufGg")</f>
        <v>0.NTizyXTaKgIvWB66ufGg</v>
      </c>
      <c r="AA1075" s="5"/>
      <c r="AB1075" s="5"/>
      <c r="AC1075" s="5"/>
      <c r="AD1075" s="5">
        <f ca="1">IFERROR(__xludf.DUMMYFUNCTION("""COMPUTED_VALUE"""),65)</f>
        <v>65</v>
      </c>
      <c r="AE1075" s="5">
        <f ca="1">IFERROR(__xludf.DUMMYFUNCTION("""COMPUTED_VALUE"""),65)</f>
        <v>65</v>
      </c>
      <c r="AF1075" s="5" t="b">
        <f ca="1">IFERROR(__xludf.DUMMYFUNCTION("""COMPUTED_VALUE"""),FALSE)</f>
        <v>0</v>
      </c>
      <c r="AG1075" s="5" t="str">
        <f ca="1">IFERROR(__xludf.DUMMYFUNCTION("""COMPUTED_VALUE"""),"INSPECCIONES REALIZADAS")</f>
        <v>INSPECCIONES REALIZADAS</v>
      </c>
      <c r="AH1075" s="5"/>
    </row>
    <row r="1076" spans="1:34">
      <c r="A1076" s="5" t="str">
        <f ca="1">IFERROR(__xludf.DUMMYFUNCTION("""COMPUTED_VALUE"""),"EQUIPOS PARA SERVICIOS INDUSTRIALES")</f>
        <v>EQUIPOS PARA SERVICIOS INDUSTRIALES</v>
      </c>
      <c r="B1076" s="5">
        <f ca="1">IFERROR(__xludf.DUMMYFUNCTION("""COMPUTED_VALUE"""),900237)</f>
        <v>900237</v>
      </c>
      <c r="C1076" s="5" t="str">
        <f ca="1">IFERROR(__xludf.DUMMYFUNCTION("""COMPUTED_VALUE"""),"SECADOR AIRE 2")</f>
        <v>SECADOR AIRE 2</v>
      </c>
      <c r="D1076" s="5">
        <f ca="1">IFERROR(__xludf.DUMMYFUNCTION("""COMPUTED_VALUE"""),13247508)</f>
        <v>13247508</v>
      </c>
      <c r="E1076" s="5" t="str">
        <f ca="1">IFERROR(__xludf.DUMMYFUNCTION("""COMPUTED_VALUE"""),"INSPECCION SEMANAL SECADOR AIRE 2")</f>
        <v>INSPECCION SEMANAL SECADOR AIRE 2</v>
      </c>
      <c r="F1076" s="5" t="str">
        <f ca="1">IFERROR(__xludf.DUMMYFUNCTION("""COMPUTED_VALUE"""),"PLAN MTTO MEC SECADOR AIRE 2 900237")</f>
        <v>PLAN MTTO MEC SECADOR AIRE 2 900237</v>
      </c>
      <c r="G1076" s="5" t="b">
        <f ca="1">IFERROR(__xludf.DUMMYFUNCTION("""COMPUTED_VALUE"""),TRUE)</f>
        <v>1</v>
      </c>
      <c r="H1076" s="5"/>
      <c r="I1076" s="5"/>
      <c r="J1076" s="5">
        <f ca="1">IFERROR(__xludf.DUMMYFUNCTION("""COMPUTED_VALUE"""),13247508)</f>
        <v>13247508</v>
      </c>
      <c r="K1076" s="5"/>
      <c r="L1076" s="18">
        <f ca="1">IFERROR(__xludf.DUMMYFUNCTION("""COMPUTED_VALUE"""),45324)</f>
        <v>45324</v>
      </c>
      <c r="M1076" s="18">
        <f ca="1">IFERROR(__xludf.DUMMYFUNCTION("""COMPUTED_VALUE"""),45324)</f>
        <v>45324</v>
      </c>
      <c r="N1076" s="5" t="str">
        <f ca="1">IFERROR(__xludf.DUMMYFUNCTION("""COMPUTED_VALUE"""),"MARIO ALBERTO MARTÍNEZ MORA")</f>
        <v>MARIO ALBERTO MARTÍNEZ MORA</v>
      </c>
      <c r="O1076" s="2">
        <f ca="1">IFERROR(__xludf.DUMMYFUNCTION("""COMPUTED_VALUE"""),0.1)</f>
        <v>0.1</v>
      </c>
      <c r="P1076" s="5">
        <f ca="1">IFERROR(__xludf.DUMMYFUNCTION("""COMPUTED_VALUE"""),94542837)</f>
        <v>94542837</v>
      </c>
      <c r="Q1076" s="5" t="str">
        <f ca="1">IFERROR(__xludf.DUMMYFUNCTION("""COMPUTED_VALUE"""),"5AJi1wz1Nrw")</f>
        <v>5AJi1wz1Nrw</v>
      </c>
      <c r="R1076" s="5">
        <f ca="1">IFERROR(__xludf.DUMMYFUNCTION("""COMPUTED_VALUE"""),410)</f>
        <v>410</v>
      </c>
      <c r="S1076" s="62">
        <f ca="1">IFERROR(__xludf.DUMMYFUNCTION("""COMPUTED_VALUE"""),0.1)</f>
        <v>0.1</v>
      </c>
      <c r="T1076" s="63" t="str">
        <f ca="1">IFERROR(__xludf.DUMMYFUNCTION("""COMPUTED_VALUE"""),"https://storage.googleapis.com/glide-prod.appspot.com/uploads-v2/ly7o78grxPaC6KdgvbpS/pub/3aRdSog0vUtuqPE8AJKD.png")</f>
        <v>https://storage.googleapis.com/glide-prod.appspot.com/uploads-v2/ly7o78grxPaC6KdgvbpS/pub/3aRdSog0vUtuqPE8AJKD.png</v>
      </c>
      <c r="U1076" s="5" t="str">
        <f ca="1">IFERROR(__xludf.DUMMYFUNCTION("""COMPUTED_VALUE"""),"EQUIPOS PARA SERVICIOS INDUSTRIALESSECADOR AIRE 2")</f>
        <v>EQUIPOS PARA SERVICIOS INDUSTRIALESSECADOR AIRE 2</v>
      </c>
      <c r="V1076" s="5"/>
      <c r="W1076" s="5" t="b">
        <f ca="1">IFERROR(__xludf.DUMMYFUNCTION("""COMPUTED_VALUE"""),TRUE)</f>
        <v>1</v>
      </c>
      <c r="X1076" s="5" t="str">
        <f ca="1">IFERROR(__xludf.DUMMYFUNCTION("""COMPUTED_VALUE"""),"wmazorra@postobon.com.co,aprmttoyu@postobon.com.co,aprmyu@postobon.com.co,wmora@postobon.com.co,efzapata@postobon.com.co")</f>
        <v>wmazorra@postobon.com.co,aprmttoyu@postobon.com.co,aprmyu@postobon.com.co,wmora@postobon.com.co,efzapata@postobon.com.co</v>
      </c>
      <c r="Y1076" s="5" t="str">
        <f ca="1">IFERROR(__xludf.DUMMYFUNCTION("""COMPUTED_VALUE"""),"wmazorra@postobon.com.co")</f>
        <v>wmazorra@postobon.com.co</v>
      </c>
      <c r="Z1076" s="5" t="str">
        <f ca="1">IFERROR(__xludf.DUMMYFUNCTION("""COMPUTED_VALUE"""),"BCiOSV2-TX2JpM-seyhfpg")</f>
        <v>BCiOSV2-TX2JpM-seyhfpg</v>
      </c>
      <c r="AA1076" s="5"/>
      <c r="AB1076" s="5"/>
      <c r="AC1076" s="5"/>
      <c r="AD1076" s="5">
        <f ca="1">IFERROR(__xludf.DUMMYFUNCTION("""COMPUTED_VALUE"""),65)</f>
        <v>65</v>
      </c>
      <c r="AE1076" s="5">
        <f ca="1">IFERROR(__xludf.DUMMYFUNCTION("""COMPUTED_VALUE"""),65)</f>
        <v>65</v>
      </c>
      <c r="AF1076" s="5" t="b">
        <f ca="1">IFERROR(__xludf.DUMMYFUNCTION("""COMPUTED_VALUE"""),FALSE)</f>
        <v>0</v>
      </c>
      <c r="AG1076" s="5" t="str">
        <f ca="1">IFERROR(__xludf.DUMMYFUNCTION("""COMPUTED_VALUE"""),"INSPECCIONES REALIZADAS")</f>
        <v>INSPECCIONES REALIZADAS</v>
      </c>
      <c r="AH1076" s="5"/>
    </row>
    <row r="1077" spans="1:34">
      <c r="A1077" s="5" t="str">
        <f ca="1">IFERROR(__xludf.DUMMYFUNCTION("""COMPUTED_VALUE"""),"LINEA DE ENVASADO JUGOS PET HOT FILL")</f>
        <v>LINEA DE ENVASADO JUGOS PET HOT FILL</v>
      </c>
      <c r="B1077" s="5">
        <f ca="1">IFERROR(__xludf.DUMMYFUNCTION("""COMPUTED_VALUE"""),820138)</f>
        <v>820138</v>
      </c>
      <c r="C1077" s="5" t="str">
        <f ca="1">IFERROR(__xludf.DUMMYFUNCTION("""COMPUTED_VALUE"""),"SECADORA BOTELLAS")</f>
        <v>SECADORA BOTELLAS</v>
      </c>
      <c r="D1077" s="5">
        <f ca="1">IFERROR(__xludf.DUMMYFUNCTION("""COMPUTED_VALUE"""),13247777)</f>
        <v>13247777</v>
      </c>
      <c r="E1077" s="5" t="str">
        <f ca="1">IFERROR(__xludf.DUMMYFUNCTION("""COMPUTED_VALUE"""),"INSPECCION SEMANAL SECADORA BOTELLAS")</f>
        <v>INSPECCION SEMANAL SECADORA BOTELLAS</v>
      </c>
      <c r="F1077" s="5" t="str">
        <f ca="1">IFERROR(__xludf.DUMMYFUNCTION("""COMPUTED_VALUE"""),"ESTADO CUERPO PRINCIPAL")</f>
        <v>ESTADO CUERPO PRINCIPAL</v>
      </c>
      <c r="G1077" s="5"/>
      <c r="H1077" s="5"/>
      <c r="I1077" s="5"/>
      <c r="J1077" s="5"/>
      <c r="K1077" s="5"/>
      <c r="L1077" s="18">
        <f ca="1">IFERROR(__xludf.DUMMYFUNCTION("""COMPUTED_VALUE"""),45325)</f>
        <v>45325</v>
      </c>
      <c r="M1077" s="18">
        <f ca="1">IFERROR(__xludf.DUMMYFUNCTION("""COMPUTED_VALUE"""),45325)</f>
        <v>45325</v>
      </c>
      <c r="N1077" s="5" t="str">
        <f ca="1">IFERROR(__xludf.DUMMYFUNCTION("""COMPUTED_VALUE"""),"Lopez Correa Jonathan")</f>
        <v>Lopez Correa Jonathan</v>
      </c>
      <c r="O1077" s="2">
        <f ca="1">IFERROR(__xludf.DUMMYFUNCTION("""COMPUTED_VALUE"""),0.014285714)</f>
        <v>1.4285714E-2</v>
      </c>
      <c r="P1077" s="5"/>
      <c r="Q1077" s="5" t="str">
        <f ca="1">IFERROR(__xludf.DUMMYFUNCTION("""COMPUTED_VALUE"""),"srYk2LrGxYo")</f>
        <v>srYk2LrGxYo</v>
      </c>
      <c r="R1077" s="5">
        <f ca="1">IFERROR(__xludf.DUMMYFUNCTION("""COMPUTED_VALUE"""),410)</f>
        <v>410</v>
      </c>
      <c r="S1077" s="62">
        <f ca="1">IFERROR(__xludf.DUMMYFUNCTION("""COMPUTED_VALUE"""),0.014285714)</f>
        <v>1.4285714E-2</v>
      </c>
      <c r="T1077" s="63" t="str">
        <f ca="1">IFERROR(__xludf.DUMMYFUNCTION("""COMPUTED_VALUE"""),"https://storage.googleapis.com/glide-prod.appspot.com/uploads-v2/ly7o78grxPaC6KdgvbpS/pub/UliJWgpEaBovaFmXi6OW.png")</f>
        <v>https://storage.googleapis.com/glide-prod.appspot.com/uploads-v2/ly7o78grxPaC6KdgvbpS/pub/UliJWgpEaBovaFmXi6OW.png</v>
      </c>
      <c r="U1077" s="5" t="str">
        <f ca="1">IFERROR(__xludf.DUMMYFUNCTION("""COMPUTED_VALUE"""),"LINEA DE ENVASADO JUGOS PET HOT FILLSECADORA BOTELLAS")</f>
        <v>LINEA DE ENVASADO JUGOS PET HOT FILLSECADORA BOTELLAS</v>
      </c>
      <c r="V1077" s="5"/>
      <c r="W1077" s="5"/>
      <c r="X1077" s="5" t="str">
        <f ca="1">IFERROR(__xludf.DUMMYFUNCTION("""COMPUTED_VALUE"""),"achavezi@postobon.com.co,aprmttoyu@postobon.com.co,aprmyu@postobon.com.co,wmora@postobon.com.co,efzapata@postobon.com.co")</f>
        <v>achavezi@postobon.com.co,aprmttoyu@postobon.com.co,aprmyu@postobon.com.co,wmora@postobon.com.co,efzapata@postobon.com.co</v>
      </c>
      <c r="Y1077" s="5" t="str">
        <f ca="1">IFERROR(__xludf.DUMMYFUNCTION("""COMPUTED_VALUE"""),"achavezi@postobon.com.co")</f>
        <v>achavezi@postobon.com.co</v>
      </c>
      <c r="Z1077" s="5" t="str">
        <f ca="1">IFERROR(__xludf.DUMMYFUNCTION("""COMPUTED_VALUE"""),"KsGFG4kmSSa-X86qepJNFA")</f>
        <v>KsGFG4kmSSa-X86qepJNFA</v>
      </c>
      <c r="AA1077" s="5"/>
      <c r="AB1077" s="5"/>
      <c r="AC1077" s="5"/>
      <c r="AD1077" s="5">
        <f ca="1">IFERROR(__xludf.DUMMYFUNCTION("""COMPUTED_VALUE"""),26)</f>
        <v>26</v>
      </c>
      <c r="AE1077" s="5">
        <f ca="1">IFERROR(__xludf.DUMMYFUNCTION("""COMPUTED_VALUE"""),0)</f>
        <v>0</v>
      </c>
      <c r="AF1077" s="5" t="b">
        <f ca="1">IFERROR(__xludf.DUMMYFUNCTION("""COMPUTED_VALUE"""),TRUE)</f>
        <v>1</v>
      </c>
      <c r="AG1077" s="5" t="str">
        <f ca="1">IFERROR(__xludf.DUMMYFUNCTION("""COMPUTED_VALUE"""),"INSPECCIONES SIN REALIZAR")</f>
        <v>INSPECCIONES SIN REALIZAR</v>
      </c>
      <c r="AH1077" s="5"/>
    </row>
    <row r="1078" spans="1:34">
      <c r="A1078" s="5" t="str">
        <f ca="1">IFERROR(__xludf.DUMMYFUNCTION("""COMPUTED_VALUE"""),"LINEA DE ENVASADO JUGOS PET HOT FILL")</f>
        <v>LINEA DE ENVASADO JUGOS PET HOT FILL</v>
      </c>
      <c r="B1078" s="5">
        <f ca="1">IFERROR(__xludf.DUMMYFUNCTION("""COMPUTED_VALUE"""),820138)</f>
        <v>820138</v>
      </c>
      <c r="C1078" s="5" t="str">
        <f ca="1">IFERROR(__xludf.DUMMYFUNCTION("""COMPUTED_VALUE"""),"SECADORA BOTELLAS")</f>
        <v>SECADORA BOTELLAS</v>
      </c>
      <c r="D1078" s="5">
        <f ca="1">IFERROR(__xludf.DUMMYFUNCTION("""COMPUTED_VALUE"""),13247777)</f>
        <v>13247777</v>
      </c>
      <c r="E1078" s="5" t="str">
        <f ca="1">IFERROR(__xludf.DUMMYFUNCTION("""COMPUTED_VALUE"""),"INSPECCION SEMANAL SECADORA BOTELLAS")</f>
        <v>INSPECCION SEMANAL SECADORA BOTELLAS</v>
      </c>
      <c r="F1078" s="5" t="str">
        <f ca="1">IFERROR(__xludf.DUMMYFUNCTION("""COMPUTED_VALUE"""),"INSP. TABLERO ELECTRICO/CLIMATIZADOR")</f>
        <v>INSP. TABLERO ELECTRICO/CLIMATIZADOR</v>
      </c>
      <c r="G1078" s="5"/>
      <c r="H1078" s="5"/>
      <c r="I1078" s="5"/>
      <c r="J1078" s="5"/>
      <c r="K1078" s="5"/>
      <c r="L1078" s="18">
        <f ca="1">IFERROR(__xludf.DUMMYFUNCTION("""COMPUTED_VALUE"""),45325)</f>
        <v>45325</v>
      </c>
      <c r="M1078" s="18">
        <f ca="1">IFERROR(__xludf.DUMMYFUNCTION("""COMPUTED_VALUE"""),45325)</f>
        <v>45325</v>
      </c>
      <c r="N1078" s="5" t="str">
        <f ca="1">IFERROR(__xludf.DUMMYFUNCTION("""COMPUTED_VALUE"""),"Lopez Correa Jonathan")</f>
        <v>Lopez Correa Jonathan</v>
      </c>
      <c r="O1078" s="2">
        <f ca="1">IFERROR(__xludf.DUMMYFUNCTION("""COMPUTED_VALUE"""),0.014285714)</f>
        <v>1.4285714E-2</v>
      </c>
      <c r="P1078" s="5"/>
      <c r="Q1078" s="5" t="str">
        <f ca="1">IFERROR(__xludf.DUMMYFUNCTION("""COMPUTED_VALUE"""),"FCsOQiRLa-I")</f>
        <v>FCsOQiRLa-I</v>
      </c>
      <c r="R1078" s="5">
        <f ca="1">IFERROR(__xludf.DUMMYFUNCTION("""COMPUTED_VALUE"""),410)</f>
        <v>410</v>
      </c>
      <c r="S1078" s="62">
        <f ca="1">IFERROR(__xludf.DUMMYFUNCTION("""COMPUTED_VALUE"""),0.014285714)</f>
        <v>1.4285714E-2</v>
      </c>
      <c r="T1078" s="63" t="str">
        <f ca="1">IFERROR(__xludf.DUMMYFUNCTION("""COMPUTED_VALUE"""),"https://storage.googleapis.com/glide-prod.appspot.com/uploads-v2/ly7o78grxPaC6KdgvbpS/pub/UliJWgpEaBovaFmXi6OW.png")</f>
        <v>https://storage.googleapis.com/glide-prod.appspot.com/uploads-v2/ly7o78grxPaC6KdgvbpS/pub/UliJWgpEaBovaFmXi6OW.png</v>
      </c>
      <c r="U1078" s="5" t="str">
        <f ca="1">IFERROR(__xludf.DUMMYFUNCTION("""COMPUTED_VALUE"""),"LINEA DE ENVASADO JUGOS PET HOT FILLSECADORA BOTELLAS")</f>
        <v>LINEA DE ENVASADO JUGOS PET HOT FILLSECADORA BOTELLAS</v>
      </c>
      <c r="V1078" s="5"/>
      <c r="W1078" s="5"/>
      <c r="X1078" s="5" t="str">
        <f ca="1">IFERROR(__xludf.DUMMYFUNCTION("""COMPUTED_VALUE"""),"achavezi@postobon.com.co,aprmttoyu@postobon.com.co,aprmyu@postobon.com.co,wmora@postobon.com.co,efzapata@postobon.com.co")</f>
        <v>achavezi@postobon.com.co,aprmttoyu@postobon.com.co,aprmyu@postobon.com.co,wmora@postobon.com.co,efzapata@postobon.com.co</v>
      </c>
      <c r="Y1078" s="5" t="str">
        <f ca="1">IFERROR(__xludf.DUMMYFUNCTION("""COMPUTED_VALUE"""),"achavezi@postobon.com.co")</f>
        <v>achavezi@postobon.com.co</v>
      </c>
      <c r="Z1078" s="5" t="str">
        <f ca="1">IFERROR(__xludf.DUMMYFUNCTION("""COMPUTED_VALUE"""),"cvL0ywbwQsycVqFBuJ5yZw")</f>
        <v>cvL0ywbwQsycVqFBuJ5yZw</v>
      </c>
      <c r="AA1078" s="5"/>
      <c r="AB1078" s="5"/>
      <c r="AC1078" s="5"/>
      <c r="AD1078" s="5">
        <f ca="1">IFERROR(__xludf.DUMMYFUNCTION("""COMPUTED_VALUE"""),26)</f>
        <v>26</v>
      </c>
      <c r="AE1078" s="5">
        <f ca="1">IFERROR(__xludf.DUMMYFUNCTION("""COMPUTED_VALUE"""),0)</f>
        <v>0</v>
      </c>
      <c r="AF1078" s="5" t="b">
        <f ca="1">IFERROR(__xludf.DUMMYFUNCTION("""COMPUTED_VALUE"""),TRUE)</f>
        <v>1</v>
      </c>
      <c r="AG1078" s="5" t="str">
        <f ca="1">IFERROR(__xludf.DUMMYFUNCTION("""COMPUTED_VALUE"""),"INSPECCIONES SIN REALIZAR")</f>
        <v>INSPECCIONES SIN REALIZAR</v>
      </c>
      <c r="AH1078" s="5"/>
    </row>
    <row r="1079" spans="1:34">
      <c r="A1079" s="5" t="str">
        <f ca="1">IFERROR(__xludf.DUMMYFUNCTION("""COMPUTED_VALUE"""),"LINEA DE ENVASADO JUGOS PET HOT FILL")</f>
        <v>LINEA DE ENVASADO JUGOS PET HOT FILL</v>
      </c>
      <c r="B1079" s="5">
        <f ca="1">IFERROR(__xludf.DUMMYFUNCTION("""COMPUTED_VALUE"""),820138)</f>
        <v>820138</v>
      </c>
      <c r="C1079" s="5" t="str">
        <f ca="1">IFERROR(__xludf.DUMMYFUNCTION("""COMPUTED_VALUE"""),"SECADORA BOTELLAS")</f>
        <v>SECADORA BOTELLAS</v>
      </c>
      <c r="D1079" s="5">
        <f ca="1">IFERROR(__xludf.DUMMYFUNCTION("""COMPUTED_VALUE"""),13247777)</f>
        <v>13247777</v>
      </c>
      <c r="E1079" s="5" t="str">
        <f ca="1">IFERROR(__xludf.DUMMYFUNCTION("""COMPUTED_VALUE"""),"INSPECCION SEMANAL SECADORA BOTELLAS")</f>
        <v>INSPECCION SEMANAL SECADORA BOTELLAS</v>
      </c>
      <c r="F1079" s="5" t="str">
        <f ca="1">IFERROR(__xludf.DUMMYFUNCTION("""COMPUTED_VALUE"""),"ESTADO DE GUIAS")</f>
        <v>ESTADO DE GUIAS</v>
      </c>
      <c r="G1079" s="5"/>
      <c r="H1079" s="5"/>
      <c r="I1079" s="5"/>
      <c r="J1079" s="5"/>
      <c r="K1079" s="5"/>
      <c r="L1079" s="18">
        <f ca="1">IFERROR(__xludf.DUMMYFUNCTION("""COMPUTED_VALUE"""),45325)</f>
        <v>45325</v>
      </c>
      <c r="M1079" s="18">
        <f ca="1">IFERROR(__xludf.DUMMYFUNCTION("""COMPUTED_VALUE"""),45325)</f>
        <v>45325</v>
      </c>
      <c r="N1079" s="5" t="str">
        <f ca="1">IFERROR(__xludf.DUMMYFUNCTION("""COMPUTED_VALUE"""),"Lopez Correa Jonathan")</f>
        <v>Lopez Correa Jonathan</v>
      </c>
      <c r="O1079" s="2">
        <f ca="1">IFERROR(__xludf.DUMMYFUNCTION("""COMPUTED_VALUE"""),0.014285714)</f>
        <v>1.4285714E-2</v>
      </c>
      <c r="P1079" s="5"/>
      <c r="Q1079" s="5" t="str">
        <f ca="1">IFERROR(__xludf.DUMMYFUNCTION("""COMPUTED_VALUE"""),"_lVzfZMMdHk")</f>
        <v>_lVzfZMMdHk</v>
      </c>
      <c r="R1079" s="5">
        <f ca="1">IFERROR(__xludf.DUMMYFUNCTION("""COMPUTED_VALUE"""),410)</f>
        <v>410</v>
      </c>
      <c r="S1079" s="62">
        <f ca="1">IFERROR(__xludf.DUMMYFUNCTION("""COMPUTED_VALUE"""),0.014285714)</f>
        <v>1.4285714E-2</v>
      </c>
      <c r="T1079" s="63" t="str">
        <f ca="1">IFERROR(__xludf.DUMMYFUNCTION("""COMPUTED_VALUE"""),"https://storage.googleapis.com/glide-prod.appspot.com/uploads-v2/ly7o78grxPaC6KdgvbpS/pub/UliJWgpEaBovaFmXi6OW.png")</f>
        <v>https://storage.googleapis.com/glide-prod.appspot.com/uploads-v2/ly7o78grxPaC6KdgvbpS/pub/UliJWgpEaBovaFmXi6OW.png</v>
      </c>
      <c r="U1079" s="5" t="str">
        <f ca="1">IFERROR(__xludf.DUMMYFUNCTION("""COMPUTED_VALUE"""),"LINEA DE ENVASADO JUGOS PET HOT FILLSECADORA BOTELLAS")</f>
        <v>LINEA DE ENVASADO JUGOS PET HOT FILLSECADORA BOTELLAS</v>
      </c>
      <c r="V1079" s="5"/>
      <c r="W1079" s="5"/>
      <c r="X1079" s="5" t="str">
        <f ca="1">IFERROR(__xludf.DUMMYFUNCTION("""COMPUTED_VALUE"""),"achavezi@postobon.com.co,aprmttoyu@postobon.com.co,aprmyu@postobon.com.co,wmora@postobon.com.co,efzapata@postobon.com.co")</f>
        <v>achavezi@postobon.com.co,aprmttoyu@postobon.com.co,aprmyu@postobon.com.co,wmora@postobon.com.co,efzapata@postobon.com.co</v>
      </c>
      <c r="Y1079" s="5" t="str">
        <f ca="1">IFERROR(__xludf.DUMMYFUNCTION("""COMPUTED_VALUE"""),"achavezi@postobon.com.co")</f>
        <v>achavezi@postobon.com.co</v>
      </c>
      <c r="Z1079" s="5" t="str">
        <f ca="1">IFERROR(__xludf.DUMMYFUNCTION("""COMPUTED_VALUE"""),"s.43CyI8SReR8Q2sKaM5wQ")</f>
        <v>s.43CyI8SReR8Q2sKaM5wQ</v>
      </c>
      <c r="AA1079" s="5"/>
      <c r="AB1079" s="5"/>
      <c r="AC1079" s="5"/>
      <c r="AD1079" s="5">
        <f ca="1">IFERROR(__xludf.DUMMYFUNCTION("""COMPUTED_VALUE"""),26)</f>
        <v>26</v>
      </c>
      <c r="AE1079" s="5">
        <f ca="1">IFERROR(__xludf.DUMMYFUNCTION("""COMPUTED_VALUE"""),0)</f>
        <v>0</v>
      </c>
      <c r="AF1079" s="5" t="b">
        <f ca="1">IFERROR(__xludf.DUMMYFUNCTION("""COMPUTED_VALUE"""),TRUE)</f>
        <v>1</v>
      </c>
      <c r="AG1079" s="5" t="str">
        <f ca="1">IFERROR(__xludf.DUMMYFUNCTION("""COMPUTED_VALUE"""),"INSPECCIONES SIN REALIZAR")</f>
        <v>INSPECCIONES SIN REALIZAR</v>
      </c>
      <c r="AH1079" s="5"/>
    </row>
    <row r="1080" spans="1:34">
      <c r="A1080" s="5" t="str">
        <f ca="1">IFERROR(__xludf.DUMMYFUNCTION("""COMPUTED_VALUE"""),"LINEA DE ENVASADO JUGOS PET HOT FILL")</f>
        <v>LINEA DE ENVASADO JUGOS PET HOT FILL</v>
      </c>
      <c r="B1080" s="5">
        <f ca="1">IFERROR(__xludf.DUMMYFUNCTION("""COMPUTED_VALUE"""),820138)</f>
        <v>820138</v>
      </c>
      <c r="C1080" s="5" t="str">
        <f ca="1">IFERROR(__xludf.DUMMYFUNCTION("""COMPUTED_VALUE"""),"SECADORA BOTELLAS")</f>
        <v>SECADORA BOTELLAS</v>
      </c>
      <c r="D1080" s="5">
        <f ca="1">IFERROR(__xludf.DUMMYFUNCTION("""COMPUTED_VALUE"""),13247777)</f>
        <v>13247777</v>
      </c>
      <c r="E1080" s="5" t="str">
        <f ca="1">IFERROR(__xludf.DUMMYFUNCTION("""COMPUTED_VALUE"""),"INSPECCION SEMANAL SECADORA BOTELLAS")</f>
        <v>INSPECCION SEMANAL SECADORA BOTELLAS</v>
      </c>
      <c r="F1080" s="5" t="str">
        <f ca="1">IFERROR(__xludf.DUMMYFUNCTION("""COMPUTED_VALUE"""),"INSP. SISTEMA DE MEDICION")</f>
        <v>INSP. SISTEMA DE MEDICION</v>
      </c>
      <c r="G1080" s="5"/>
      <c r="H1080" s="5"/>
      <c r="I1080" s="5"/>
      <c r="J1080" s="5"/>
      <c r="K1080" s="5"/>
      <c r="L1080" s="18">
        <f ca="1">IFERROR(__xludf.DUMMYFUNCTION("""COMPUTED_VALUE"""),45325)</f>
        <v>45325</v>
      </c>
      <c r="M1080" s="18">
        <f ca="1">IFERROR(__xludf.DUMMYFUNCTION("""COMPUTED_VALUE"""),45325)</f>
        <v>45325</v>
      </c>
      <c r="N1080" s="5" t="str">
        <f ca="1">IFERROR(__xludf.DUMMYFUNCTION("""COMPUTED_VALUE"""),"Lopez Correa Jonathan")</f>
        <v>Lopez Correa Jonathan</v>
      </c>
      <c r="O1080" s="2">
        <f ca="1">IFERROR(__xludf.DUMMYFUNCTION("""COMPUTED_VALUE"""),0.014285714)</f>
        <v>1.4285714E-2</v>
      </c>
      <c r="P1080" s="5"/>
      <c r="Q1080" s="5" t="str">
        <f ca="1">IFERROR(__xludf.DUMMYFUNCTION("""COMPUTED_VALUE"""),"4em6CXmjXvU")</f>
        <v>4em6CXmjXvU</v>
      </c>
      <c r="R1080" s="5">
        <f ca="1">IFERROR(__xludf.DUMMYFUNCTION("""COMPUTED_VALUE"""),410)</f>
        <v>410</v>
      </c>
      <c r="S1080" s="62">
        <f ca="1">IFERROR(__xludf.DUMMYFUNCTION("""COMPUTED_VALUE"""),0.014285714)</f>
        <v>1.4285714E-2</v>
      </c>
      <c r="T1080" s="63" t="str">
        <f ca="1">IFERROR(__xludf.DUMMYFUNCTION("""COMPUTED_VALUE"""),"https://storage.googleapis.com/glide-prod.appspot.com/uploads-v2/ly7o78grxPaC6KdgvbpS/pub/UliJWgpEaBovaFmXi6OW.png")</f>
        <v>https://storage.googleapis.com/glide-prod.appspot.com/uploads-v2/ly7o78grxPaC6KdgvbpS/pub/UliJWgpEaBovaFmXi6OW.png</v>
      </c>
      <c r="U1080" s="5" t="str">
        <f ca="1">IFERROR(__xludf.DUMMYFUNCTION("""COMPUTED_VALUE"""),"LINEA DE ENVASADO JUGOS PET HOT FILLSECADORA BOTELLAS")</f>
        <v>LINEA DE ENVASADO JUGOS PET HOT FILLSECADORA BOTELLAS</v>
      </c>
      <c r="V1080" s="5"/>
      <c r="W1080" s="5"/>
      <c r="X1080" s="5" t="str">
        <f ca="1">IFERROR(__xludf.DUMMYFUNCTION("""COMPUTED_VALUE"""),"achavezi@postobon.com.co,aprmttoyu@postobon.com.co,aprmyu@postobon.com.co,wmora@postobon.com.co,efzapata@postobon.com.co")</f>
        <v>achavezi@postobon.com.co,aprmttoyu@postobon.com.co,aprmyu@postobon.com.co,wmora@postobon.com.co,efzapata@postobon.com.co</v>
      </c>
      <c r="Y1080" s="5" t="str">
        <f ca="1">IFERROR(__xludf.DUMMYFUNCTION("""COMPUTED_VALUE"""),"achavezi@postobon.com.co")</f>
        <v>achavezi@postobon.com.co</v>
      </c>
      <c r="Z1080" s="5" t="str">
        <f ca="1">IFERROR(__xludf.DUMMYFUNCTION("""COMPUTED_VALUE"""),"9vTRM9PzRwOLGWJnmmM0mw")</f>
        <v>9vTRM9PzRwOLGWJnmmM0mw</v>
      </c>
      <c r="AA1080" s="5"/>
      <c r="AB1080" s="5"/>
      <c r="AC1080" s="5"/>
      <c r="AD1080" s="5">
        <f ca="1">IFERROR(__xludf.DUMMYFUNCTION("""COMPUTED_VALUE"""),26)</f>
        <v>26</v>
      </c>
      <c r="AE1080" s="5">
        <f ca="1">IFERROR(__xludf.DUMMYFUNCTION("""COMPUTED_VALUE"""),0)</f>
        <v>0</v>
      </c>
      <c r="AF1080" s="5" t="b">
        <f ca="1">IFERROR(__xludf.DUMMYFUNCTION("""COMPUTED_VALUE"""),TRUE)</f>
        <v>1</v>
      </c>
      <c r="AG1080" s="5" t="str">
        <f ca="1">IFERROR(__xludf.DUMMYFUNCTION("""COMPUTED_VALUE"""),"INSPECCIONES SIN REALIZAR")</f>
        <v>INSPECCIONES SIN REALIZAR</v>
      </c>
      <c r="AH1080" s="5"/>
    </row>
    <row r="1081" spans="1:34">
      <c r="A1081" s="5" t="str">
        <f ca="1">IFERROR(__xludf.DUMMYFUNCTION("""COMPUTED_VALUE"""),"LINEA DE ENVASADO JUGOS PET HOT FILL")</f>
        <v>LINEA DE ENVASADO JUGOS PET HOT FILL</v>
      </c>
      <c r="B1081" s="5">
        <f ca="1">IFERROR(__xludf.DUMMYFUNCTION("""COMPUTED_VALUE"""),820138)</f>
        <v>820138</v>
      </c>
      <c r="C1081" s="5" t="str">
        <f ca="1">IFERROR(__xludf.DUMMYFUNCTION("""COMPUTED_VALUE"""),"SECADORA BOTELLAS")</f>
        <v>SECADORA BOTELLAS</v>
      </c>
      <c r="D1081" s="5">
        <f ca="1">IFERROR(__xludf.DUMMYFUNCTION("""COMPUTED_VALUE"""),13247777)</f>
        <v>13247777</v>
      </c>
      <c r="E1081" s="5" t="str">
        <f ca="1">IFERROR(__xludf.DUMMYFUNCTION("""COMPUTED_VALUE"""),"INSPECCION SEMANAL SECADORA BOTELLAS")</f>
        <v>INSPECCION SEMANAL SECADORA BOTELLAS</v>
      </c>
      <c r="F1081" s="5" t="str">
        <f ca="1">IFERROR(__xludf.DUMMYFUNCTION("""COMPUTED_VALUE"""),"INSP. BOMBAS DE VACIO")</f>
        <v>INSP. BOMBAS DE VACIO</v>
      </c>
      <c r="G1081" s="5"/>
      <c r="H1081" s="5"/>
      <c r="I1081" s="5"/>
      <c r="J1081" s="5"/>
      <c r="K1081" s="5"/>
      <c r="L1081" s="18">
        <f ca="1">IFERROR(__xludf.DUMMYFUNCTION("""COMPUTED_VALUE"""),45325)</f>
        <v>45325</v>
      </c>
      <c r="M1081" s="18">
        <f ca="1">IFERROR(__xludf.DUMMYFUNCTION("""COMPUTED_VALUE"""),45325)</f>
        <v>45325</v>
      </c>
      <c r="N1081" s="5" t="str">
        <f ca="1">IFERROR(__xludf.DUMMYFUNCTION("""COMPUTED_VALUE"""),"Lopez Correa Jonathan")</f>
        <v>Lopez Correa Jonathan</v>
      </c>
      <c r="O1081" s="2">
        <f ca="1">IFERROR(__xludf.DUMMYFUNCTION("""COMPUTED_VALUE"""),0.014285714)</f>
        <v>1.4285714E-2</v>
      </c>
      <c r="P1081" s="5"/>
      <c r="Q1081" s="5" t="str">
        <f ca="1">IFERROR(__xludf.DUMMYFUNCTION("""COMPUTED_VALUE"""),"oAc9EHkuMnM")</f>
        <v>oAc9EHkuMnM</v>
      </c>
      <c r="R1081" s="5">
        <f ca="1">IFERROR(__xludf.DUMMYFUNCTION("""COMPUTED_VALUE"""),410)</f>
        <v>410</v>
      </c>
      <c r="S1081" s="62">
        <f ca="1">IFERROR(__xludf.DUMMYFUNCTION("""COMPUTED_VALUE"""),0.014285714)</f>
        <v>1.4285714E-2</v>
      </c>
      <c r="T1081" s="63" t="str">
        <f ca="1">IFERROR(__xludf.DUMMYFUNCTION("""COMPUTED_VALUE"""),"https://storage.googleapis.com/glide-prod.appspot.com/uploads-v2/ly7o78grxPaC6KdgvbpS/pub/UliJWgpEaBovaFmXi6OW.png")</f>
        <v>https://storage.googleapis.com/glide-prod.appspot.com/uploads-v2/ly7o78grxPaC6KdgvbpS/pub/UliJWgpEaBovaFmXi6OW.png</v>
      </c>
      <c r="U1081" s="5" t="str">
        <f ca="1">IFERROR(__xludf.DUMMYFUNCTION("""COMPUTED_VALUE"""),"LINEA DE ENVASADO JUGOS PET HOT FILLSECADORA BOTELLAS")</f>
        <v>LINEA DE ENVASADO JUGOS PET HOT FILLSECADORA BOTELLAS</v>
      </c>
      <c r="V1081" s="5"/>
      <c r="W1081" s="5"/>
      <c r="X1081" s="5" t="str">
        <f ca="1">IFERROR(__xludf.DUMMYFUNCTION("""COMPUTED_VALUE"""),"achavezi@postobon.com.co,aprmttoyu@postobon.com.co,aprmyu@postobon.com.co,wmora@postobon.com.co,efzapata@postobon.com.co")</f>
        <v>achavezi@postobon.com.co,aprmttoyu@postobon.com.co,aprmyu@postobon.com.co,wmora@postobon.com.co,efzapata@postobon.com.co</v>
      </c>
      <c r="Y1081" s="5" t="str">
        <f ca="1">IFERROR(__xludf.DUMMYFUNCTION("""COMPUTED_VALUE"""),"achavezi@postobon.com.co")</f>
        <v>achavezi@postobon.com.co</v>
      </c>
      <c r="Z1081" s="5" t="str">
        <f ca="1">IFERROR(__xludf.DUMMYFUNCTION("""COMPUTED_VALUE"""),"Bmol-K.aRj6VSO0CX6WhPA")</f>
        <v>Bmol-K.aRj6VSO0CX6WhPA</v>
      </c>
      <c r="AA1081" s="5"/>
      <c r="AB1081" s="5"/>
      <c r="AC1081" s="5"/>
      <c r="AD1081" s="5">
        <f ca="1">IFERROR(__xludf.DUMMYFUNCTION("""COMPUTED_VALUE"""),26)</f>
        <v>26</v>
      </c>
      <c r="AE1081" s="5">
        <f ca="1">IFERROR(__xludf.DUMMYFUNCTION("""COMPUTED_VALUE"""),0)</f>
        <v>0</v>
      </c>
      <c r="AF1081" s="5" t="b">
        <f ca="1">IFERROR(__xludf.DUMMYFUNCTION("""COMPUTED_VALUE"""),TRUE)</f>
        <v>1</v>
      </c>
      <c r="AG1081" s="5" t="str">
        <f ca="1">IFERROR(__xludf.DUMMYFUNCTION("""COMPUTED_VALUE"""),"INSPECCIONES SIN REALIZAR")</f>
        <v>INSPECCIONES SIN REALIZAR</v>
      </c>
      <c r="AH1081" s="5"/>
    </row>
    <row r="1082" spans="1:34">
      <c r="A1082" s="5" t="str">
        <f ca="1">IFERROR(__xludf.DUMMYFUNCTION("""COMPUTED_VALUE"""),"LINEA DE ENVASADO JUGOS PET HOT FILL")</f>
        <v>LINEA DE ENVASADO JUGOS PET HOT FILL</v>
      </c>
      <c r="B1082" s="5">
        <f ca="1">IFERROR(__xludf.DUMMYFUNCTION("""COMPUTED_VALUE"""),820138)</f>
        <v>820138</v>
      </c>
      <c r="C1082" s="5" t="str">
        <f ca="1">IFERROR(__xludf.DUMMYFUNCTION("""COMPUTED_VALUE"""),"SECADORA BOTELLAS")</f>
        <v>SECADORA BOTELLAS</v>
      </c>
      <c r="D1082" s="5">
        <f ca="1">IFERROR(__xludf.DUMMYFUNCTION("""COMPUTED_VALUE"""),13247777)</f>
        <v>13247777</v>
      </c>
      <c r="E1082" s="5" t="str">
        <f ca="1">IFERROR(__xludf.DUMMYFUNCTION("""COMPUTED_VALUE"""),"INSPECCION SEMANAL SECADORA BOTELLAS")</f>
        <v>INSPECCION SEMANAL SECADORA BOTELLAS</v>
      </c>
      <c r="F1082" s="5" t="str">
        <f ca="1">IFERROR(__xludf.DUMMYFUNCTION("""COMPUTED_VALUE"""),"ESTADO DE MANGUERAS")</f>
        <v>ESTADO DE MANGUERAS</v>
      </c>
      <c r="G1082" s="5"/>
      <c r="H1082" s="5"/>
      <c r="I1082" s="5"/>
      <c r="J1082" s="5"/>
      <c r="K1082" s="5"/>
      <c r="L1082" s="18">
        <f ca="1">IFERROR(__xludf.DUMMYFUNCTION("""COMPUTED_VALUE"""),45325)</f>
        <v>45325</v>
      </c>
      <c r="M1082" s="18">
        <f ca="1">IFERROR(__xludf.DUMMYFUNCTION("""COMPUTED_VALUE"""),45325)</f>
        <v>45325</v>
      </c>
      <c r="N1082" s="5" t="str">
        <f ca="1">IFERROR(__xludf.DUMMYFUNCTION("""COMPUTED_VALUE"""),"Lopez Correa Jonathan")</f>
        <v>Lopez Correa Jonathan</v>
      </c>
      <c r="O1082" s="2">
        <f ca="1">IFERROR(__xludf.DUMMYFUNCTION("""COMPUTED_VALUE"""),0.014285714)</f>
        <v>1.4285714E-2</v>
      </c>
      <c r="P1082" s="5"/>
      <c r="Q1082" s="5" t="str">
        <f ca="1">IFERROR(__xludf.DUMMYFUNCTION("""COMPUTED_VALUE"""),"B0ieZrE3RLI")</f>
        <v>B0ieZrE3RLI</v>
      </c>
      <c r="R1082" s="5">
        <f ca="1">IFERROR(__xludf.DUMMYFUNCTION("""COMPUTED_VALUE"""),410)</f>
        <v>410</v>
      </c>
      <c r="S1082" s="62">
        <f ca="1">IFERROR(__xludf.DUMMYFUNCTION("""COMPUTED_VALUE"""),0.014285714)</f>
        <v>1.4285714E-2</v>
      </c>
      <c r="T1082" s="63" t="str">
        <f ca="1">IFERROR(__xludf.DUMMYFUNCTION("""COMPUTED_VALUE"""),"https://storage.googleapis.com/glide-prod.appspot.com/uploads-v2/ly7o78grxPaC6KdgvbpS/pub/UliJWgpEaBovaFmXi6OW.png")</f>
        <v>https://storage.googleapis.com/glide-prod.appspot.com/uploads-v2/ly7o78grxPaC6KdgvbpS/pub/UliJWgpEaBovaFmXi6OW.png</v>
      </c>
      <c r="U1082" s="5" t="str">
        <f ca="1">IFERROR(__xludf.DUMMYFUNCTION("""COMPUTED_VALUE"""),"LINEA DE ENVASADO JUGOS PET HOT FILLSECADORA BOTELLAS")</f>
        <v>LINEA DE ENVASADO JUGOS PET HOT FILLSECADORA BOTELLAS</v>
      </c>
      <c r="V1082" s="5"/>
      <c r="W1082" s="5"/>
      <c r="X1082" s="5" t="str">
        <f ca="1">IFERROR(__xludf.DUMMYFUNCTION("""COMPUTED_VALUE"""),"achavezi@postobon.com.co,aprmttoyu@postobon.com.co,aprmyu@postobon.com.co,wmora@postobon.com.co,efzapata@postobon.com.co")</f>
        <v>achavezi@postobon.com.co,aprmttoyu@postobon.com.co,aprmyu@postobon.com.co,wmora@postobon.com.co,efzapata@postobon.com.co</v>
      </c>
      <c r="Y1082" s="5" t="str">
        <f ca="1">IFERROR(__xludf.DUMMYFUNCTION("""COMPUTED_VALUE"""),"achavezi@postobon.com.co")</f>
        <v>achavezi@postobon.com.co</v>
      </c>
      <c r="Z1082" s="5" t="str">
        <f ca="1">IFERROR(__xludf.DUMMYFUNCTION("""COMPUTED_VALUE"""),"D.fZRtXnQSG76x.t-bo04A")</f>
        <v>D.fZRtXnQSG76x.t-bo04A</v>
      </c>
      <c r="AA1082" s="5"/>
      <c r="AB1082" s="5"/>
      <c r="AC1082" s="5"/>
      <c r="AD1082" s="5">
        <f ca="1">IFERROR(__xludf.DUMMYFUNCTION("""COMPUTED_VALUE"""),26)</f>
        <v>26</v>
      </c>
      <c r="AE1082" s="5">
        <f ca="1">IFERROR(__xludf.DUMMYFUNCTION("""COMPUTED_VALUE"""),0)</f>
        <v>0</v>
      </c>
      <c r="AF1082" s="5" t="b">
        <f ca="1">IFERROR(__xludf.DUMMYFUNCTION("""COMPUTED_VALUE"""),TRUE)</f>
        <v>1</v>
      </c>
      <c r="AG1082" s="5" t="str">
        <f ca="1">IFERROR(__xludf.DUMMYFUNCTION("""COMPUTED_VALUE"""),"INSPECCIONES SIN REALIZAR")</f>
        <v>INSPECCIONES SIN REALIZAR</v>
      </c>
      <c r="AH1082" s="5"/>
    </row>
    <row r="1083" spans="1:34">
      <c r="A1083" s="5" t="str">
        <f ca="1">IFERROR(__xludf.DUMMYFUNCTION("""COMPUTED_VALUE"""),"LINEA DE ENVASADO JUGOS PET HOT FILL")</f>
        <v>LINEA DE ENVASADO JUGOS PET HOT FILL</v>
      </c>
      <c r="B1083" s="5">
        <f ca="1">IFERROR(__xludf.DUMMYFUNCTION("""COMPUTED_VALUE"""),820138)</f>
        <v>820138</v>
      </c>
      <c r="C1083" s="5" t="str">
        <f ca="1">IFERROR(__xludf.DUMMYFUNCTION("""COMPUTED_VALUE"""),"SECADORA BOTELLAS")</f>
        <v>SECADORA BOTELLAS</v>
      </c>
      <c r="D1083" s="5">
        <f ca="1">IFERROR(__xludf.DUMMYFUNCTION("""COMPUTED_VALUE"""),13247777)</f>
        <v>13247777</v>
      </c>
      <c r="E1083" s="5" t="str">
        <f ca="1">IFERROR(__xludf.DUMMYFUNCTION("""COMPUTED_VALUE"""),"INSPECCION SEMANAL SECADORA BOTELLAS")</f>
        <v>INSPECCION SEMANAL SECADORA BOTELLAS</v>
      </c>
      <c r="F1083" s="5" t="str">
        <f ca="1">IFERROR(__xludf.DUMMYFUNCTION("""COMPUTED_VALUE"""),"INSP. DE BOQUILLAS")</f>
        <v>INSP. DE BOQUILLAS</v>
      </c>
      <c r="G1083" s="5"/>
      <c r="H1083" s="5"/>
      <c r="I1083" s="5"/>
      <c r="J1083" s="5"/>
      <c r="K1083" s="5"/>
      <c r="L1083" s="18">
        <f ca="1">IFERROR(__xludf.DUMMYFUNCTION("""COMPUTED_VALUE"""),45325)</f>
        <v>45325</v>
      </c>
      <c r="M1083" s="18">
        <f ca="1">IFERROR(__xludf.DUMMYFUNCTION("""COMPUTED_VALUE"""),45325)</f>
        <v>45325</v>
      </c>
      <c r="N1083" s="5" t="str">
        <f ca="1">IFERROR(__xludf.DUMMYFUNCTION("""COMPUTED_VALUE"""),"Lopez Correa Jonathan")</f>
        <v>Lopez Correa Jonathan</v>
      </c>
      <c r="O1083" s="2">
        <f ca="1">IFERROR(__xludf.DUMMYFUNCTION("""COMPUTED_VALUE"""),0.014285714)</f>
        <v>1.4285714E-2</v>
      </c>
      <c r="P1083" s="5"/>
      <c r="Q1083" s="5" t="str">
        <f ca="1">IFERROR(__xludf.DUMMYFUNCTION("""COMPUTED_VALUE"""),"De5QbBgJuno")</f>
        <v>De5QbBgJuno</v>
      </c>
      <c r="R1083" s="5">
        <f ca="1">IFERROR(__xludf.DUMMYFUNCTION("""COMPUTED_VALUE"""),410)</f>
        <v>410</v>
      </c>
      <c r="S1083" s="62">
        <f ca="1">IFERROR(__xludf.DUMMYFUNCTION("""COMPUTED_VALUE"""),0.014285714)</f>
        <v>1.4285714E-2</v>
      </c>
      <c r="T1083" s="63" t="str">
        <f ca="1">IFERROR(__xludf.DUMMYFUNCTION("""COMPUTED_VALUE"""),"https://storage.googleapis.com/glide-prod.appspot.com/uploads-v2/ly7o78grxPaC6KdgvbpS/pub/UliJWgpEaBovaFmXi6OW.png")</f>
        <v>https://storage.googleapis.com/glide-prod.appspot.com/uploads-v2/ly7o78grxPaC6KdgvbpS/pub/UliJWgpEaBovaFmXi6OW.png</v>
      </c>
      <c r="U1083" s="5" t="str">
        <f ca="1">IFERROR(__xludf.DUMMYFUNCTION("""COMPUTED_VALUE"""),"LINEA DE ENVASADO JUGOS PET HOT FILLSECADORA BOTELLAS")</f>
        <v>LINEA DE ENVASADO JUGOS PET HOT FILLSECADORA BOTELLAS</v>
      </c>
      <c r="V1083" s="5"/>
      <c r="W1083" s="5"/>
      <c r="X1083" s="5" t="str">
        <f ca="1">IFERROR(__xludf.DUMMYFUNCTION("""COMPUTED_VALUE"""),"achavezi@postobon.com.co,aprmttoyu@postobon.com.co,aprmyu@postobon.com.co,wmora@postobon.com.co,efzapata@postobon.com.co")</f>
        <v>achavezi@postobon.com.co,aprmttoyu@postobon.com.co,aprmyu@postobon.com.co,wmora@postobon.com.co,efzapata@postobon.com.co</v>
      </c>
      <c r="Y1083" s="5" t="str">
        <f ca="1">IFERROR(__xludf.DUMMYFUNCTION("""COMPUTED_VALUE"""),"achavezi@postobon.com.co")</f>
        <v>achavezi@postobon.com.co</v>
      </c>
      <c r="Z1083" s="5" t="str">
        <f ca="1">IFERROR(__xludf.DUMMYFUNCTION("""COMPUTED_VALUE"""),"h2jZeOk7RyeL7IX8Q7mBhw")</f>
        <v>h2jZeOk7RyeL7IX8Q7mBhw</v>
      </c>
      <c r="AA1083" s="5"/>
      <c r="AB1083" s="5"/>
      <c r="AC1083" s="5"/>
      <c r="AD1083" s="5">
        <f ca="1">IFERROR(__xludf.DUMMYFUNCTION("""COMPUTED_VALUE"""),26)</f>
        <v>26</v>
      </c>
      <c r="AE1083" s="5">
        <f ca="1">IFERROR(__xludf.DUMMYFUNCTION("""COMPUTED_VALUE"""),0)</f>
        <v>0</v>
      </c>
      <c r="AF1083" s="5" t="b">
        <f ca="1">IFERROR(__xludf.DUMMYFUNCTION("""COMPUTED_VALUE"""),TRUE)</f>
        <v>1</v>
      </c>
      <c r="AG1083" s="5" t="str">
        <f ca="1">IFERROR(__xludf.DUMMYFUNCTION("""COMPUTED_VALUE"""),"INSPECCIONES SIN REALIZAR")</f>
        <v>INSPECCIONES SIN REALIZAR</v>
      </c>
      <c r="AH1083" s="5"/>
    </row>
    <row r="1084" spans="1:34">
      <c r="A1084" s="5" t="str">
        <f ca="1">IFERROR(__xludf.DUMMYFUNCTION("""COMPUTED_VALUE"""),"BOMBAS DE SERVICIO PROCESO")</f>
        <v>BOMBAS DE SERVICIO PROCESO</v>
      </c>
      <c r="B1084" s="5">
        <f ca="1">IFERROR(__xludf.DUMMYFUNCTION("""COMPUTED_VALUE"""),70948910)</f>
        <v>70948910</v>
      </c>
      <c r="C1084" s="5" t="str">
        <f ca="1">IFERROR(__xludf.DUMMYFUNCTION("""COMPUTED_VALUE"""),"BOMBA AGUA SERVICIOS PRODUCCION")</f>
        <v>BOMBA AGUA SERVICIOS PRODUCCION</v>
      </c>
      <c r="D1084" s="5">
        <f ca="1">IFERROR(__xludf.DUMMYFUNCTION("""COMPUTED_VALUE"""),13247395)</f>
        <v>13247395</v>
      </c>
      <c r="E1084" s="5" t="str">
        <f ca="1">IFERROR(__xludf.DUMMYFUNCTION("""COMPUTED_VALUE"""),"INSPECCION SEMANAL SERV PRODUCCION")</f>
        <v>INSPECCION SEMANAL SERV PRODUCCION</v>
      </c>
      <c r="F1084" s="5" t="str">
        <f ca="1">IFERROR(__xludf.DUMMYFUNCTION("""COMPUTED_VALUE"""),"PLAN MTTO MEC BOMBA SERV PROD 70948910")</f>
        <v>PLAN MTTO MEC BOMBA SERV PROD 70948910</v>
      </c>
      <c r="G1084" s="5" t="b">
        <f ca="1">IFERROR(__xludf.DUMMYFUNCTION("""COMPUTED_VALUE"""),TRUE)</f>
        <v>1</v>
      </c>
      <c r="H1084" s="5"/>
      <c r="I1084" s="5"/>
      <c r="J1084" s="5">
        <f ca="1">IFERROR(__xludf.DUMMYFUNCTION("""COMPUTED_VALUE"""),13247395)</f>
        <v>13247395</v>
      </c>
      <c r="K1084" s="5"/>
      <c r="L1084" s="18">
        <f ca="1">IFERROR(__xludf.DUMMYFUNCTION("""COMPUTED_VALUE"""),45325)</f>
        <v>45325</v>
      </c>
      <c r="M1084" s="18">
        <f ca="1">IFERROR(__xludf.DUMMYFUNCTION("""COMPUTED_VALUE"""),45325)</f>
        <v>45325</v>
      </c>
      <c r="N1084" s="5" t="str">
        <f ca="1">IFERROR(__xludf.DUMMYFUNCTION("""COMPUTED_VALUE"""),"John Edier Gomez Zuñiga")</f>
        <v>John Edier Gomez Zuñiga</v>
      </c>
      <c r="O1084" s="2">
        <f ca="1">IFERROR(__xludf.DUMMYFUNCTION("""COMPUTED_VALUE"""),0.1)</f>
        <v>0.1</v>
      </c>
      <c r="P1084" s="5">
        <f ca="1">IFERROR(__xludf.DUMMYFUNCTION("""COMPUTED_VALUE"""),94539966)</f>
        <v>94539966</v>
      </c>
      <c r="Q1084" s="5" t="str">
        <f ca="1">IFERROR(__xludf.DUMMYFUNCTION("""COMPUTED_VALUE"""),"dd2yc4Sgeuo")</f>
        <v>dd2yc4Sgeuo</v>
      </c>
      <c r="R1084" s="5">
        <f ca="1">IFERROR(__xludf.DUMMYFUNCTION("""COMPUTED_VALUE"""),410)</f>
        <v>410</v>
      </c>
      <c r="S1084" s="62">
        <f ca="1">IFERROR(__xludf.DUMMYFUNCTION("""COMPUTED_VALUE"""),0.1)</f>
        <v>0.1</v>
      </c>
      <c r="T1084" s="63" t="str">
        <f ca="1">IFERROR(__xludf.DUMMYFUNCTION("""COMPUTED_VALUE"""),"https://storage.googleapis.com/glide-prod.appspot.com/uploads-v2/ly7o78grxPaC6KdgvbpS/pub/3aRdSog0vUtuqPE8AJKD.png")</f>
        <v>https://storage.googleapis.com/glide-prod.appspot.com/uploads-v2/ly7o78grxPaC6KdgvbpS/pub/3aRdSog0vUtuqPE8AJKD.png</v>
      </c>
      <c r="U1084" s="5" t="str">
        <f ca="1">IFERROR(__xludf.DUMMYFUNCTION("""COMPUTED_VALUE"""),"BOMBAS DE SERVICIO PROCESOBOMBA AGUA SERVICIOS PRODUCCION")</f>
        <v>BOMBAS DE SERVICIO PROCESOBOMBA AGUA SERVICIOS PRODUCCION</v>
      </c>
      <c r="V1084" s="5"/>
      <c r="W1084" s="5" t="b">
        <f ca="1">IFERROR(__xludf.DUMMYFUNCTION("""COMPUTED_VALUE"""),TRUE)</f>
        <v>1</v>
      </c>
      <c r="X1084" s="5" t="str">
        <f ca="1">IFERROR(__xludf.DUMMYFUNCTION("""COMPUTED_VALUE"""),"wmazorra@postobon.com.co,aprmttoyu@postobon.com.co,aprmyu@postobon.com.co,wmora@postobon.com.co,efzapata@postobon.com.co")</f>
        <v>wmazorra@postobon.com.co,aprmttoyu@postobon.com.co,aprmyu@postobon.com.co,wmora@postobon.com.co,efzapata@postobon.com.co</v>
      </c>
      <c r="Y1084" s="5" t="str">
        <f ca="1">IFERROR(__xludf.DUMMYFUNCTION("""COMPUTED_VALUE"""),"wmazorra@postobon.com.co")</f>
        <v>wmazorra@postobon.com.co</v>
      </c>
      <c r="Z1084" s="5" t="str">
        <f ca="1">IFERROR(__xludf.DUMMYFUNCTION("""COMPUTED_VALUE"""),"PrN882QnTxWR83lJCd7qcA")</f>
        <v>PrN882QnTxWR83lJCd7qcA</v>
      </c>
      <c r="AA1084" s="5"/>
      <c r="AB1084" s="5"/>
      <c r="AC1084" s="5"/>
      <c r="AD1084" s="5">
        <f ca="1">IFERROR(__xludf.DUMMYFUNCTION("""COMPUTED_VALUE"""),19)</f>
        <v>19</v>
      </c>
      <c r="AE1084" s="5">
        <f ca="1">IFERROR(__xludf.DUMMYFUNCTION("""COMPUTED_VALUE"""),19)</f>
        <v>19</v>
      </c>
      <c r="AF1084" s="5" t="b">
        <f ca="1">IFERROR(__xludf.DUMMYFUNCTION("""COMPUTED_VALUE"""),FALSE)</f>
        <v>0</v>
      </c>
      <c r="AG1084" s="5" t="str">
        <f ca="1">IFERROR(__xludf.DUMMYFUNCTION("""COMPUTED_VALUE"""),"INSPECCIONES REALIZADAS")</f>
        <v>INSPECCIONES REALIZADAS</v>
      </c>
      <c r="AH1084" s="5"/>
    </row>
    <row r="1085" spans="1:34">
      <c r="A1085" s="5" t="str">
        <f ca="1">IFERROR(__xludf.DUMMYFUNCTION("""COMPUTED_VALUE"""),"BOMBAS DE SERVICIO PROCESO")</f>
        <v>BOMBAS DE SERVICIO PROCESO</v>
      </c>
      <c r="B1085" s="5">
        <f ca="1">IFERROR(__xludf.DUMMYFUNCTION("""COMPUTED_VALUE"""),70948909)</f>
        <v>70948909</v>
      </c>
      <c r="C1085" s="5" t="str">
        <f ca="1">IFERROR(__xludf.DUMMYFUNCTION("""COMPUTED_VALUE"""),"BOMBA AGUA SERVICIOS PRODUCCION")</f>
        <v>BOMBA AGUA SERVICIOS PRODUCCION</v>
      </c>
      <c r="D1085" s="5">
        <f ca="1">IFERROR(__xludf.DUMMYFUNCTION("""COMPUTED_VALUE"""),13247392)</f>
        <v>13247392</v>
      </c>
      <c r="E1085" s="5" t="str">
        <f ca="1">IFERROR(__xludf.DUMMYFUNCTION("""COMPUTED_VALUE"""),"INSPECCION SEMANAL SERV PRODUCCION")</f>
        <v>INSPECCION SEMANAL SERV PRODUCCION</v>
      </c>
      <c r="F1085" s="5" t="str">
        <f ca="1">IFERROR(__xludf.DUMMYFUNCTION("""COMPUTED_VALUE"""),"PLAN MTTO MEC BOMBA SERV PROD 70948909")</f>
        <v>PLAN MTTO MEC BOMBA SERV PROD 70948909</v>
      </c>
      <c r="G1085" s="5" t="b">
        <f ca="1">IFERROR(__xludf.DUMMYFUNCTION("""COMPUTED_VALUE"""),TRUE)</f>
        <v>1</v>
      </c>
      <c r="H1085" s="5"/>
      <c r="I1085" s="5"/>
      <c r="J1085" s="5">
        <f ca="1">IFERROR(__xludf.DUMMYFUNCTION("""COMPUTED_VALUE"""),13247392)</f>
        <v>13247392</v>
      </c>
      <c r="K1085" s="5"/>
      <c r="L1085" s="18">
        <f ca="1">IFERROR(__xludf.DUMMYFUNCTION("""COMPUTED_VALUE"""),45324)</f>
        <v>45324</v>
      </c>
      <c r="M1085" s="18">
        <f ca="1">IFERROR(__xludf.DUMMYFUNCTION("""COMPUTED_VALUE"""),45324)</f>
        <v>45324</v>
      </c>
      <c r="N1085" s="5" t="str">
        <f ca="1">IFERROR(__xludf.DUMMYFUNCTION("""COMPUTED_VALUE"""),"John Edier Gomez Zuñiga")</f>
        <v>John Edier Gomez Zuñiga</v>
      </c>
      <c r="O1085" s="2">
        <f ca="1">IFERROR(__xludf.DUMMYFUNCTION("""COMPUTED_VALUE"""),0.1)</f>
        <v>0.1</v>
      </c>
      <c r="P1085" s="5">
        <f ca="1">IFERROR(__xludf.DUMMYFUNCTION("""COMPUTED_VALUE"""),94539966)</f>
        <v>94539966</v>
      </c>
      <c r="Q1085" s="5" t="str">
        <f ca="1">IFERROR(__xludf.DUMMYFUNCTION("""COMPUTED_VALUE"""),"vEJ1nQLvRXE")</f>
        <v>vEJ1nQLvRXE</v>
      </c>
      <c r="R1085" s="5">
        <f ca="1">IFERROR(__xludf.DUMMYFUNCTION("""COMPUTED_VALUE"""),410)</f>
        <v>410</v>
      </c>
      <c r="S1085" s="62">
        <f ca="1">IFERROR(__xludf.DUMMYFUNCTION("""COMPUTED_VALUE"""),0.1)</f>
        <v>0.1</v>
      </c>
      <c r="T1085" s="63" t="str">
        <f ca="1">IFERROR(__xludf.DUMMYFUNCTION("""COMPUTED_VALUE"""),"https://storage.googleapis.com/glide-prod.appspot.com/uploads-v2/ly7o78grxPaC6KdgvbpS/pub/3aRdSog0vUtuqPE8AJKD.png")</f>
        <v>https://storage.googleapis.com/glide-prod.appspot.com/uploads-v2/ly7o78grxPaC6KdgvbpS/pub/3aRdSog0vUtuqPE8AJKD.png</v>
      </c>
      <c r="U1085" s="5" t="str">
        <f ca="1">IFERROR(__xludf.DUMMYFUNCTION("""COMPUTED_VALUE"""),"BOMBAS DE SERVICIO PROCESOBOMBA AGUA SERVICIOS PRODUCCION")</f>
        <v>BOMBAS DE SERVICIO PROCESOBOMBA AGUA SERVICIOS PRODUCCION</v>
      </c>
      <c r="V1085" s="5"/>
      <c r="W1085" s="5" t="b">
        <f ca="1">IFERROR(__xludf.DUMMYFUNCTION("""COMPUTED_VALUE"""),TRUE)</f>
        <v>1</v>
      </c>
      <c r="X1085" s="5" t="str">
        <f ca="1">IFERROR(__xludf.DUMMYFUNCTION("""COMPUTED_VALUE"""),"wmazorra@postobon.com.co,aprmttoyu@postobon.com.co,aprmyu@postobon.com.co,wmora@postobon.com.co,efzapata@postobon.com.co")</f>
        <v>wmazorra@postobon.com.co,aprmttoyu@postobon.com.co,aprmyu@postobon.com.co,wmora@postobon.com.co,efzapata@postobon.com.co</v>
      </c>
      <c r="Y1085" s="5" t="str">
        <f ca="1">IFERROR(__xludf.DUMMYFUNCTION("""COMPUTED_VALUE"""),"wmazorra@postobon.com.co")</f>
        <v>wmazorra@postobon.com.co</v>
      </c>
      <c r="Z1085" s="5" t="str">
        <f ca="1">IFERROR(__xludf.DUMMYFUNCTION("""COMPUTED_VALUE"""),"XNoeHor8SVCYDEacBi6q8g")</f>
        <v>XNoeHor8SVCYDEacBi6q8g</v>
      </c>
      <c r="AA1085" s="5"/>
      <c r="AB1085" s="5"/>
      <c r="AC1085" s="5"/>
      <c r="AD1085" s="5">
        <f ca="1">IFERROR(__xludf.DUMMYFUNCTION("""COMPUTED_VALUE"""),19)</f>
        <v>19</v>
      </c>
      <c r="AE1085" s="5">
        <f ca="1">IFERROR(__xludf.DUMMYFUNCTION("""COMPUTED_VALUE"""),19)</f>
        <v>19</v>
      </c>
      <c r="AF1085" s="5" t="b">
        <f ca="1">IFERROR(__xludf.DUMMYFUNCTION("""COMPUTED_VALUE"""),FALSE)</f>
        <v>0</v>
      </c>
      <c r="AG1085" s="5" t="str">
        <f ca="1">IFERROR(__xludf.DUMMYFUNCTION("""COMPUTED_VALUE"""),"INSPECCIONES REALIZADAS")</f>
        <v>INSPECCIONES REALIZADAS</v>
      </c>
      <c r="AH1085" s="5"/>
    </row>
    <row r="1086" spans="1:34">
      <c r="A1086" s="5" t="str">
        <f ca="1">IFERROR(__xludf.DUMMYFUNCTION("""COMPUTED_VALUE"""),"BOMBAS DE SERVICIO PROCESO")</f>
        <v>BOMBAS DE SERVICIO PROCESO</v>
      </c>
      <c r="B1086" s="5">
        <f ca="1">IFERROR(__xludf.DUMMYFUNCTION("""COMPUTED_VALUE"""),70948911)</f>
        <v>70948911</v>
      </c>
      <c r="C1086" s="5" t="str">
        <f ca="1">IFERROR(__xludf.DUMMYFUNCTION("""COMPUTED_VALUE"""),"BOMBA AGUA SERVICIOS PRODUCCION")</f>
        <v>BOMBA AGUA SERVICIOS PRODUCCION</v>
      </c>
      <c r="D1086" s="5">
        <f ca="1">IFERROR(__xludf.DUMMYFUNCTION("""COMPUTED_VALUE"""),13247396)</f>
        <v>13247396</v>
      </c>
      <c r="E1086" s="5" t="str">
        <f ca="1">IFERROR(__xludf.DUMMYFUNCTION("""COMPUTED_VALUE"""),"INSPECCION SEMANAL SERV PRODUCCION")</f>
        <v>INSPECCION SEMANAL SERV PRODUCCION</v>
      </c>
      <c r="F1086" s="5" t="str">
        <f ca="1">IFERROR(__xludf.DUMMYFUNCTION("""COMPUTED_VALUE"""),"PLAN MTTO MEC BOMBA SERV PROD 70948911")</f>
        <v>PLAN MTTO MEC BOMBA SERV PROD 70948911</v>
      </c>
      <c r="G1086" s="5" t="b">
        <f ca="1">IFERROR(__xludf.DUMMYFUNCTION("""COMPUTED_VALUE"""),TRUE)</f>
        <v>1</v>
      </c>
      <c r="H1086" s="5"/>
      <c r="I1086" s="5"/>
      <c r="J1086" s="5">
        <f ca="1">IFERROR(__xludf.DUMMYFUNCTION("""COMPUTED_VALUE"""),13247396)</f>
        <v>13247396</v>
      </c>
      <c r="K1086" s="5"/>
      <c r="L1086" s="18">
        <f ca="1">IFERROR(__xludf.DUMMYFUNCTION("""COMPUTED_VALUE"""),45324)</f>
        <v>45324</v>
      </c>
      <c r="M1086" s="18">
        <f ca="1">IFERROR(__xludf.DUMMYFUNCTION("""COMPUTED_VALUE"""),45324)</f>
        <v>45324</v>
      </c>
      <c r="N1086" s="5" t="str">
        <f ca="1">IFERROR(__xludf.DUMMYFUNCTION("""COMPUTED_VALUE"""),"John Edier Gomez Zuñiga")</f>
        <v>John Edier Gomez Zuñiga</v>
      </c>
      <c r="O1086" s="2">
        <f ca="1">IFERROR(__xludf.DUMMYFUNCTION("""COMPUTED_VALUE"""),0.05)</f>
        <v>0.05</v>
      </c>
      <c r="P1086" s="5">
        <f ca="1">IFERROR(__xludf.DUMMYFUNCTION("""COMPUTED_VALUE"""),94539966)</f>
        <v>94539966</v>
      </c>
      <c r="Q1086" s="5" t="str">
        <f ca="1">IFERROR(__xludf.DUMMYFUNCTION("""COMPUTED_VALUE"""),"EzTTFAMCGQ4")</f>
        <v>EzTTFAMCGQ4</v>
      </c>
      <c r="R1086" s="5">
        <f ca="1">IFERROR(__xludf.DUMMYFUNCTION("""COMPUTED_VALUE"""),410)</f>
        <v>410</v>
      </c>
      <c r="S1086" s="62">
        <f ca="1">IFERROR(__xludf.DUMMYFUNCTION("""COMPUTED_VALUE"""),0.05)</f>
        <v>0.05</v>
      </c>
      <c r="T1086" s="63" t="str">
        <f ca="1">IFERROR(__xludf.DUMMYFUNCTION("""COMPUTED_VALUE"""),"https://storage.googleapis.com/glide-prod.appspot.com/uploads-v2/ly7o78grxPaC6KdgvbpS/pub/3aRdSog0vUtuqPE8AJKD.png")</f>
        <v>https://storage.googleapis.com/glide-prod.appspot.com/uploads-v2/ly7o78grxPaC6KdgvbpS/pub/3aRdSog0vUtuqPE8AJKD.png</v>
      </c>
      <c r="U1086" s="5" t="str">
        <f ca="1">IFERROR(__xludf.DUMMYFUNCTION("""COMPUTED_VALUE"""),"BOMBAS DE SERVICIO PROCESOBOMBA AGUA SERVICIOS PRODUCCION")</f>
        <v>BOMBAS DE SERVICIO PROCESOBOMBA AGUA SERVICIOS PRODUCCION</v>
      </c>
      <c r="V1086" s="5"/>
      <c r="W1086" s="5" t="b">
        <f ca="1">IFERROR(__xludf.DUMMYFUNCTION("""COMPUTED_VALUE"""),TRUE)</f>
        <v>1</v>
      </c>
      <c r="X1086" s="5" t="str">
        <f ca="1">IFERROR(__xludf.DUMMYFUNCTION("""COMPUTED_VALUE"""),"wmazorra@postobon.com.co,aprmttoyu@postobon.com.co,aprmyu@postobon.com.co,wmora@postobon.com.co,efzapata@postobon.com.co")</f>
        <v>wmazorra@postobon.com.co,aprmttoyu@postobon.com.co,aprmyu@postobon.com.co,wmora@postobon.com.co,efzapata@postobon.com.co</v>
      </c>
      <c r="Y1086" s="5" t="str">
        <f ca="1">IFERROR(__xludf.DUMMYFUNCTION("""COMPUTED_VALUE"""),"wmazorra@postobon.com.co")</f>
        <v>wmazorra@postobon.com.co</v>
      </c>
      <c r="Z1086" s="5" t="str">
        <f ca="1">IFERROR(__xludf.DUMMYFUNCTION("""COMPUTED_VALUE"""),"7ZpQhzhBRianksucNE7DgQ")</f>
        <v>7ZpQhzhBRianksucNE7DgQ</v>
      </c>
      <c r="AA1086" s="5"/>
      <c r="AB1086" s="5"/>
      <c r="AC1086" s="5"/>
      <c r="AD1086" s="5">
        <f ca="1">IFERROR(__xludf.DUMMYFUNCTION("""COMPUTED_VALUE"""),19)</f>
        <v>19</v>
      </c>
      <c r="AE1086" s="5">
        <f ca="1">IFERROR(__xludf.DUMMYFUNCTION("""COMPUTED_VALUE"""),19)</f>
        <v>19</v>
      </c>
      <c r="AF1086" s="5" t="b">
        <f ca="1">IFERROR(__xludf.DUMMYFUNCTION("""COMPUTED_VALUE"""),FALSE)</f>
        <v>0</v>
      </c>
      <c r="AG1086" s="5" t="str">
        <f ca="1">IFERROR(__xludf.DUMMYFUNCTION("""COMPUTED_VALUE"""),"INSPECCIONES REALIZADAS")</f>
        <v>INSPECCIONES REALIZADAS</v>
      </c>
      <c r="AH1086" s="5"/>
    </row>
    <row r="1087" spans="1:34">
      <c r="A1087" s="5" t="str">
        <f ca="1">IFERROR(__xludf.DUMMYFUNCTION("""COMPUTED_VALUE"""),"BOMBAS DE SERVICIO PROCESO")</f>
        <v>BOMBAS DE SERVICIO PROCESO</v>
      </c>
      <c r="B1087" s="5">
        <f ca="1">IFERROR(__xludf.DUMMYFUNCTION("""COMPUTED_VALUE"""),70948911)</f>
        <v>70948911</v>
      </c>
      <c r="C1087" s="5" t="str">
        <f ca="1">IFERROR(__xludf.DUMMYFUNCTION("""COMPUTED_VALUE"""),"BOMBA AGUA SERVICIOS PRODUCCION")</f>
        <v>BOMBA AGUA SERVICIOS PRODUCCION</v>
      </c>
      <c r="D1087" s="5">
        <f ca="1">IFERROR(__xludf.DUMMYFUNCTION("""COMPUTED_VALUE"""),13247396)</f>
        <v>13247396</v>
      </c>
      <c r="E1087" s="5" t="str">
        <f ca="1">IFERROR(__xludf.DUMMYFUNCTION("""COMPUTED_VALUE"""),"INSPECCION SEMANAL SERV PRODUCCION")</f>
        <v>INSPECCION SEMANAL SERV PRODUCCION</v>
      </c>
      <c r="F1087" s="5" t="str">
        <f ca="1">IFERROR(__xludf.DUMMYFUNCTION("""COMPUTED_VALUE"""),"PLAN MTTO ELE BOMBA SERV PROD 70948911")</f>
        <v>PLAN MTTO ELE BOMBA SERV PROD 70948911</v>
      </c>
      <c r="G1087" s="5" t="b">
        <f ca="1">IFERROR(__xludf.DUMMYFUNCTION("""COMPUTED_VALUE"""),TRUE)</f>
        <v>1</v>
      </c>
      <c r="H1087" s="5"/>
      <c r="I1087" s="5"/>
      <c r="J1087" s="5">
        <f ca="1">IFERROR(__xludf.DUMMYFUNCTION("""COMPUTED_VALUE"""),13247396)</f>
        <v>13247396</v>
      </c>
      <c r="K1087" s="5"/>
      <c r="L1087" s="18">
        <f ca="1">IFERROR(__xludf.DUMMYFUNCTION("""COMPUTED_VALUE"""),45324)</f>
        <v>45324</v>
      </c>
      <c r="M1087" s="18">
        <f ca="1">IFERROR(__xludf.DUMMYFUNCTION("""COMPUTED_VALUE"""),45324)</f>
        <v>45324</v>
      </c>
      <c r="N1087" s="5" t="str">
        <f ca="1">IFERROR(__xludf.DUMMYFUNCTION("""COMPUTED_VALUE"""),"John Edier Gomez Zuñiga")</f>
        <v>John Edier Gomez Zuñiga</v>
      </c>
      <c r="O1087" s="2">
        <f ca="1">IFERROR(__xludf.DUMMYFUNCTION("""COMPUTED_VALUE"""),0.05)</f>
        <v>0.05</v>
      </c>
      <c r="P1087" s="5">
        <f ca="1">IFERROR(__xludf.DUMMYFUNCTION("""COMPUTED_VALUE"""),94539966)</f>
        <v>94539966</v>
      </c>
      <c r="Q1087" s="5" t="str">
        <f ca="1">IFERROR(__xludf.DUMMYFUNCTION("""COMPUTED_VALUE"""),"TL_APHILtU0")</f>
        <v>TL_APHILtU0</v>
      </c>
      <c r="R1087" s="5">
        <f ca="1">IFERROR(__xludf.DUMMYFUNCTION("""COMPUTED_VALUE"""),410)</f>
        <v>410</v>
      </c>
      <c r="S1087" s="62">
        <f ca="1">IFERROR(__xludf.DUMMYFUNCTION("""COMPUTED_VALUE"""),0.05)</f>
        <v>0.05</v>
      </c>
      <c r="T1087" s="63" t="str">
        <f ca="1">IFERROR(__xludf.DUMMYFUNCTION("""COMPUTED_VALUE"""),"https://storage.googleapis.com/glide-prod.appspot.com/uploads-v2/ly7o78grxPaC6KdgvbpS/pub/3aRdSog0vUtuqPE8AJKD.png")</f>
        <v>https://storage.googleapis.com/glide-prod.appspot.com/uploads-v2/ly7o78grxPaC6KdgvbpS/pub/3aRdSog0vUtuqPE8AJKD.png</v>
      </c>
      <c r="U1087" s="5" t="str">
        <f ca="1">IFERROR(__xludf.DUMMYFUNCTION("""COMPUTED_VALUE"""),"BOMBAS DE SERVICIO PROCESOBOMBA AGUA SERVICIOS PRODUCCION")</f>
        <v>BOMBAS DE SERVICIO PROCESOBOMBA AGUA SERVICIOS PRODUCCION</v>
      </c>
      <c r="V1087" s="5"/>
      <c r="W1087" s="5" t="b">
        <f ca="1">IFERROR(__xludf.DUMMYFUNCTION("""COMPUTED_VALUE"""),TRUE)</f>
        <v>1</v>
      </c>
      <c r="X1087" s="5" t="str">
        <f ca="1">IFERROR(__xludf.DUMMYFUNCTION("""COMPUTED_VALUE"""),"wmazorra@postobon.com.co,aprmttoyu@postobon.com.co,aprmyu@postobon.com.co,wmora@postobon.com.co,efzapata@postobon.com.co")</f>
        <v>wmazorra@postobon.com.co,aprmttoyu@postobon.com.co,aprmyu@postobon.com.co,wmora@postobon.com.co,efzapata@postobon.com.co</v>
      </c>
      <c r="Y1087" s="5" t="str">
        <f ca="1">IFERROR(__xludf.DUMMYFUNCTION("""COMPUTED_VALUE"""),"wmazorra@postobon.com.co")</f>
        <v>wmazorra@postobon.com.co</v>
      </c>
      <c r="Z1087" s="5" t="str">
        <f ca="1">IFERROR(__xludf.DUMMYFUNCTION("""COMPUTED_VALUE"""),"F0s-nQzKST6QsHK7e0D7jg")</f>
        <v>F0s-nQzKST6QsHK7e0D7jg</v>
      </c>
      <c r="AA1087" s="5"/>
      <c r="AB1087" s="5"/>
      <c r="AC1087" s="5"/>
      <c r="AD1087" s="5">
        <f ca="1">IFERROR(__xludf.DUMMYFUNCTION("""COMPUTED_VALUE"""),19)</f>
        <v>19</v>
      </c>
      <c r="AE1087" s="5">
        <f ca="1">IFERROR(__xludf.DUMMYFUNCTION("""COMPUTED_VALUE"""),19)</f>
        <v>19</v>
      </c>
      <c r="AF1087" s="5" t="b">
        <f ca="1">IFERROR(__xludf.DUMMYFUNCTION("""COMPUTED_VALUE"""),FALSE)</f>
        <v>0</v>
      </c>
      <c r="AG1087" s="5" t="str">
        <f ca="1">IFERROR(__xludf.DUMMYFUNCTION("""COMPUTED_VALUE"""),"INSPECCIONES REALIZADAS")</f>
        <v>INSPECCIONES REALIZADAS</v>
      </c>
      <c r="AH1087" s="5"/>
    </row>
    <row r="1088" spans="1:34">
      <c r="A1088" s="5" t="str">
        <f ca="1">IFERROR(__xludf.DUMMYFUNCTION("""COMPUTED_VALUE"""),"BOMBAS DE SERVICIO PROCESO")</f>
        <v>BOMBAS DE SERVICIO PROCESO</v>
      </c>
      <c r="B1088" s="5">
        <f ca="1">IFERROR(__xludf.DUMMYFUNCTION("""COMPUTED_VALUE"""),70948912)</f>
        <v>70948912</v>
      </c>
      <c r="C1088" s="5" t="str">
        <f ca="1">IFERROR(__xludf.DUMMYFUNCTION("""COMPUTED_VALUE"""),"BOMBA AGUA SERVICIOS EDIFICIOS ADMINIS")</f>
        <v>BOMBA AGUA SERVICIOS EDIFICIOS ADMINIS</v>
      </c>
      <c r="D1088" s="5">
        <f ca="1">IFERROR(__xludf.DUMMYFUNCTION("""COMPUTED_VALUE"""),13247387)</f>
        <v>13247387</v>
      </c>
      <c r="E1088" s="5" t="str">
        <f ca="1">IFERROR(__xludf.DUMMYFUNCTION("""COMPUTED_VALUE"""),"INSPECCION SEMANAL SERVICIOS EDIF ADMI")</f>
        <v>INSPECCION SEMANAL SERVICIOS EDIF ADMI</v>
      </c>
      <c r="F1088" s="5" t="str">
        <f ca="1">IFERROR(__xludf.DUMMYFUNCTION("""COMPUTED_VALUE"""),"PLAN MTTO MEC BOMBA SERV EDI 70948912")</f>
        <v>PLAN MTTO MEC BOMBA SERV EDI 70948912</v>
      </c>
      <c r="G1088" s="5" t="b">
        <f ca="1">IFERROR(__xludf.DUMMYFUNCTION("""COMPUTED_VALUE"""),TRUE)</f>
        <v>1</v>
      </c>
      <c r="H1088" s="5"/>
      <c r="I1088" s="5"/>
      <c r="J1088" s="5">
        <f ca="1">IFERROR(__xludf.DUMMYFUNCTION("""COMPUTED_VALUE"""),13247387)</f>
        <v>13247387</v>
      </c>
      <c r="K1088" s="5"/>
      <c r="L1088" s="18">
        <f ca="1">IFERROR(__xludf.DUMMYFUNCTION("""COMPUTED_VALUE"""),45325)</f>
        <v>45325</v>
      </c>
      <c r="M1088" s="18">
        <f ca="1">IFERROR(__xludf.DUMMYFUNCTION("""COMPUTED_VALUE"""),45325)</f>
        <v>45325</v>
      </c>
      <c r="N1088" s="5" t="str">
        <f ca="1">IFERROR(__xludf.DUMMYFUNCTION("""COMPUTED_VALUE"""),"John Edier Gomez Zuñiga")</f>
        <v>John Edier Gomez Zuñiga</v>
      </c>
      <c r="O1088" s="2">
        <f ca="1">IFERROR(__xludf.DUMMYFUNCTION("""COMPUTED_VALUE"""),0.1)</f>
        <v>0.1</v>
      </c>
      <c r="P1088" s="5">
        <f ca="1">IFERROR(__xludf.DUMMYFUNCTION("""COMPUTED_VALUE"""),94539966)</f>
        <v>94539966</v>
      </c>
      <c r="Q1088" s="5" t="str">
        <f ca="1">IFERROR(__xludf.DUMMYFUNCTION("""COMPUTED_VALUE"""),"TYWMq-XBtdw")</f>
        <v>TYWMq-XBtdw</v>
      </c>
      <c r="R1088" s="5">
        <f ca="1">IFERROR(__xludf.DUMMYFUNCTION("""COMPUTED_VALUE"""),410)</f>
        <v>410</v>
      </c>
      <c r="S1088" s="62">
        <f ca="1">IFERROR(__xludf.DUMMYFUNCTION("""COMPUTED_VALUE"""),0.1)</f>
        <v>0.1</v>
      </c>
      <c r="T1088" s="63" t="str">
        <f ca="1">IFERROR(__xludf.DUMMYFUNCTION("""COMPUTED_VALUE"""),"https://storage.googleapis.com/glide-prod.appspot.com/uploads-v2/ly7o78grxPaC6KdgvbpS/pub/3aRdSog0vUtuqPE8AJKD.png")</f>
        <v>https://storage.googleapis.com/glide-prod.appspot.com/uploads-v2/ly7o78grxPaC6KdgvbpS/pub/3aRdSog0vUtuqPE8AJKD.png</v>
      </c>
      <c r="U1088" s="5" t="str">
        <f ca="1">IFERROR(__xludf.DUMMYFUNCTION("""COMPUTED_VALUE"""),"BOMBAS DE SERVICIO PROCESOBOMBA AGUA SERVICIOS EDIFICIOS ADMINIS")</f>
        <v>BOMBAS DE SERVICIO PROCESOBOMBA AGUA SERVICIOS EDIFICIOS ADMINIS</v>
      </c>
      <c r="V1088" s="5"/>
      <c r="W1088" s="5" t="b">
        <f ca="1">IFERROR(__xludf.DUMMYFUNCTION("""COMPUTED_VALUE"""),TRUE)</f>
        <v>1</v>
      </c>
      <c r="X1088" s="5" t="str">
        <f ca="1">IFERROR(__xludf.DUMMYFUNCTION("""COMPUTED_VALUE"""),"wmazorra@postobon.com.co,aprmttoyu@postobon.com.co,aprmyu@postobon.com.co,wmora@postobon.com.co,efzapata@postobon.com.co")</f>
        <v>wmazorra@postobon.com.co,aprmttoyu@postobon.com.co,aprmyu@postobon.com.co,wmora@postobon.com.co,efzapata@postobon.com.co</v>
      </c>
      <c r="Y1088" s="5" t="str">
        <f ca="1">IFERROR(__xludf.DUMMYFUNCTION("""COMPUTED_VALUE"""),"wmazorra@postobon.com.co")</f>
        <v>wmazorra@postobon.com.co</v>
      </c>
      <c r="Z1088" s="5" t="str">
        <f ca="1">IFERROR(__xludf.DUMMYFUNCTION("""COMPUTED_VALUE"""),"pvgRd1rdThKtqa9NN92aLA")</f>
        <v>pvgRd1rdThKtqa9NN92aLA</v>
      </c>
      <c r="AA1088" s="5"/>
      <c r="AB1088" s="5"/>
      <c r="AC1088" s="5"/>
      <c r="AD1088" s="5">
        <f ca="1">IFERROR(__xludf.DUMMYFUNCTION("""COMPUTED_VALUE"""),19)</f>
        <v>19</v>
      </c>
      <c r="AE1088" s="5">
        <f ca="1">IFERROR(__xludf.DUMMYFUNCTION("""COMPUTED_VALUE"""),19)</f>
        <v>19</v>
      </c>
      <c r="AF1088" s="5" t="b">
        <f ca="1">IFERROR(__xludf.DUMMYFUNCTION("""COMPUTED_VALUE"""),FALSE)</f>
        <v>0</v>
      </c>
      <c r="AG1088" s="5" t="str">
        <f ca="1">IFERROR(__xludf.DUMMYFUNCTION("""COMPUTED_VALUE"""),"INSPECCIONES REALIZADAS")</f>
        <v>INSPECCIONES REALIZADAS</v>
      </c>
      <c r="AH1088" s="5"/>
    </row>
    <row r="1089" spans="1:34">
      <c r="A1089" s="5" t="str">
        <f ca="1">IFERROR(__xludf.DUMMYFUNCTION("""COMPUTED_VALUE"""),"LINEA DE PRODUCCION DE BOTELLONES DE 20")</f>
        <v>LINEA DE PRODUCCION DE BOTELLONES DE 20</v>
      </c>
      <c r="B1089" s="5">
        <f ca="1">IFERROR(__xludf.DUMMYFUNCTION("""COMPUTED_VALUE"""),900242)</f>
        <v>900242</v>
      </c>
      <c r="C1089" s="5" t="str">
        <f ca="1">IFERROR(__xludf.DUMMYFUNCTION("""COMPUTED_VALUE"""),"SISTEMA CIP")</f>
        <v>SISTEMA CIP</v>
      </c>
      <c r="D1089" s="5">
        <f ca="1">IFERROR(__xludf.DUMMYFUNCTION("""COMPUTED_VALUE"""),13247688)</f>
        <v>13247688</v>
      </c>
      <c r="E1089" s="5" t="str">
        <f ca="1">IFERROR(__xludf.DUMMYFUNCTION("""COMPUTED_VALUE"""),"INSPECCION SEMANAL SISTEMA CIP")</f>
        <v>INSPECCION SEMANAL SISTEMA CIP</v>
      </c>
      <c r="F1089" s="5" t="str">
        <f ca="1">IFERROR(__xludf.DUMMYFUNCTION("""COMPUTED_VALUE"""),"MTTO ELEC-MEC TETRALCIP BOTELLON 900242")</f>
        <v>MTTO ELEC-MEC TETRALCIP BOTELLON 900242</v>
      </c>
      <c r="G1089" s="5" t="b">
        <f ca="1">IFERROR(__xludf.DUMMYFUNCTION("""COMPUTED_VALUE"""),TRUE)</f>
        <v>1</v>
      </c>
      <c r="H1089" s="5"/>
      <c r="I1089" s="5"/>
      <c r="J1089" s="5"/>
      <c r="K1089" s="5"/>
      <c r="L1089" s="18">
        <f ca="1">IFERROR(__xludf.DUMMYFUNCTION("""COMPUTED_VALUE"""),45325)</f>
        <v>45325</v>
      </c>
      <c r="M1089" s="18">
        <f ca="1">IFERROR(__xludf.DUMMYFUNCTION("""COMPUTED_VALUE"""),45325)</f>
        <v>45325</v>
      </c>
      <c r="N1089" s="5" t="str">
        <f ca="1">IFERROR(__xludf.DUMMYFUNCTION("""COMPUTED_VALUE"""),"Christian Camilo Ramirez Rendón")</f>
        <v>Christian Camilo Ramirez Rendón</v>
      </c>
      <c r="O1089" s="2">
        <f ca="1">IFERROR(__xludf.DUMMYFUNCTION("""COMPUTED_VALUE"""),0.1)</f>
        <v>0.1</v>
      </c>
      <c r="P1089" s="5"/>
      <c r="Q1089" s="5" t="str">
        <f ca="1">IFERROR(__xludf.DUMMYFUNCTION("""COMPUTED_VALUE"""),"foluWpCPsEk")</f>
        <v>foluWpCPsEk</v>
      </c>
      <c r="R1089" s="5">
        <f ca="1">IFERROR(__xludf.DUMMYFUNCTION("""COMPUTED_VALUE"""),410)</f>
        <v>410</v>
      </c>
      <c r="S1089" s="62">
        <f ca="1">IFERROR(__xludf.DUMMYFUNCTION("""COMPUTED_VALUE"""),0.1)</f>
        <v>0.1</v>
      </c>
      <c r="T1089" s="63" t="str">
        <f ca="1">IFERROR(__xludf.DUMMYFUNCTION("""COMPUTED_VALUE"""),"https://storage.googleapis.com/glide-prod.appspot.com/uploads-v2/ly7o78grxPaC6KdgvbpS/pub/3aRdSog0vUtuqPE8AJKD.png")</f>
        <v>https://storage.googleapis.com/glide-prod.appspot.com/uploads-v2/ly7o78grxPaC6KdgvbpS/pub/3aRdSog0vUtuqPE8AJKD.png</v>
      </c>
      <c r="U1089" s="5" t="str">
        <f ca="1">IFERROR(__xludf.DUMMYFUNCTION("""COMPUTED_VALUE"""),"LINEA DE PRODUCCION DE BOTELLONES DE 20SISTEMA CIP")</f>
        <v>LINEA DE PRODUCCION DE BOTELLONES DE 20SISTEMA CIP</v>
      </c>
      <c r="V1089" s="5"/>
      <c r="W1089" s="5" t="b">
        <f ca="1">IFERROR(__xludf.DUMMYFUNCTION("""COMPUTED_VALUE"""),TRUE)</f>
        <v>1</v>
      </c>
      <c r="X1089" s="5" t="str">
        <f ca="1">IFERROR(__xludf.DUMMYFUNCTION("""COMPUTED_VALUE"""),"achavezi@postobon.com.co,aprmttoyu@postobon.com.co,aprmyu@postobon.com.co,wmora@postobon.com.co,efzapata@postobon.com.co")</f>
        <v>achavezi@postobon.com.co,aprmttoyu@postobon.com.co,aprmyu@postobon.com.co,wmora@postobon.com.co,efzapata@postobon.com.co</v>
      </c>
      <c r="Y1089" s="5" t="str">
        <f ca="1">IFERROR(__xludf.DUMMYFUNCTION("""COMPUTED_VALUE"""),"achavezi@postobon.com.co")</f>
        <v>achavezi@postobon.com.co</v>
      </c>
      <c r="Z1089" s="5" t="str">
        <f ca="1">IFERROR(__xludf.DUMMYFUNCTION("""COMPUTED_VALUE"""),"uOFBq8bmSmGYHDW9n3wpIw")</f>
        <v>uOFBq8bmSmGYHDW9n3wpIw</v>
      </c>
      <c r="AA1089" s="5"/>
      <c r="AB1089" s="5"/>
      <c r="AC1089" s="5"/>
      <c r="AD1089" s="5">
        <f ca="1">IFERROR(__xludf.DUMMYFUNCTION("""COMPUTED_VALUE"""),67)</f>
        <v>67</v>
      </c>
      <c r="AE1089" s="5">
        <f ca="1">IFERROR(__xludf.DUMMYFUNCTION("""COMPUTED_VALUE"""),67)</f>
        <v>67</v>
      </c>
      <c r="AF1089" s="5" t="b">
        <f ca="1">IFERROR(__xludf.DUMMYFUNCTION("""COMPUTED_VALUE"""),FALSE)</f>
        <v>0</v>
      </c>
      <c r="AG1089" s="5" t="str">
        <f ca="1">IFERROR(__xludf.DUMMYFUNCTION("""COMPUTED_VALUE"""),"INSPECCIONES REALIZADAS")</f>
        <v>INSPECCIONES REALIZADAS</v>
      </c>
      <c r="AH1089" s="5"/>
    </row>
    <row r="1090" spans="1:34">
      <c r="A1090" s="5" t="str">
        <f ca="1">IFERROR(__xludf.DUMMYFUNCTION("""COMPUTED_VALUE"""),"LINEA DE ENVASADO JUGOS PET HOT FILL")</f>
        <v>LINEA DE ENVASADO JUGOS PET HOT FILL</v>
      </c>
      <c r="B1090" s="5">
        <f ca="1">IFERROR(__xludf.DUMMYFUNCTION("""COMPUTED_VALUE"""),90030304)</f>
        <v>90030304</v>
      </c>
      <c r="C1090" s="5" t="str">
        <f ca="1">IFERROR(__xludf.DUMMYFUNCTION("""COMPUTED_VALUE"""),"SISTEMA INYECCIÓN DE NITRÓGENO")</f>
        <v>SISTEMA INYECCIÓN DE NITRÓGENO</v>
      </c>
      <c r="D1090" s="5">
        <f ca="1">IFERROR(__xludf.DUMMYFUNCTION("""COMPUTED_VALUE"""),13247775)</f>
        <v>13247775</v>
      </c>
      <c r="E1090" s="5" t="str">
        <f ca="1">IFERROR(__xludf.DUMMYFUNCTION("""COMPUTED_VALUE"""),"INSPECCION SEMANAL SISTEMA INYECCION NIT")</f>
        <v>INSPECCION SEMANAL SISTEMA INYECCION NIT</v>
      </c>
      <c r="F1090" s="5" t="str">
        <f ca="1">IFERROR(__xludf.DUMMYFUNCTION("""COMPUTED_VALUE"""),"PLAN MTTO MEC INYECCIÓN NITR 90030304")</f>
        <v>PLAN MTTO MEC INYECCIÓN NITR 90030304</v>
      </c>
      <c r="G1090" s="5" t="b">
        <f ca="1">IFERROR(__xludf.DUMMYFUNCTION("""COMPUTED_VALUE"""),TRUE)</f>
        <v>1</v>
      </c>
      <c r="H1090" s="5"/>
      <c r="I1090" s="5"/>
      <c r="J1090" s="5"/>
      <c r="K1090" s="5"/>
      <c r="L1090" s="18">
        <f ca="1">IFERROR(__xludf.DUMMYFUNCTION("""COMPUTED_VALUE"""),45325)</f>
        <v>45325</v>
      </c>
      <c r="M1090" s="18">
        <f ca="1">IFERROR(__xludf.DUMMYFUNCTION("""COMPUTED_VALUE"""),45325)</f>
        <v>45325</v>
      </c>
      <c r="N1090" s="5" t="str">
        <f ca="1">IFERROR(__xludf.DUMMYFUNCTION("""COMPUTED_VALUE"""),"Jhonnys Arturo Fernández Suarez")</f>
        <v>Jhonnys Arturo Fernández Suarez</v>
      </c>
      <c r="O1090" s="2">
        <f ca="1">IFERROR(__xludf.DUMMYFUNCTION("""COMPUTED_VALUE"""),0.02)</f>
        <v>0.02</v>
      </c>
      <c r="P1090" s="5">
        <f ca="1">IFERROR(__xludf.DUMMYFUNCTION("""COMPUTED_VALUE"""),279805)</f>
        <v>279805</v>
      </c>
      <c r="Q1090" s="5" t="str">
        <f ca="1">IFERROR(__xludf.DUMMYFUNCTION("""COMPUTED_VALUE"""),"PjXVW0Kp60c")</f>
        <v>PjXVW0Kp60c</v>
      </c>
      <c r="R1090" s="5">
        <f ca="1">IFERROR(__xludf.DUMMYFUNCTION("""COMPUTED_VALUE"""),410)</f>
        <v>410</v>
      </c>
      <c r="S1090" s="62">
        <f ca="1">IFERROR(__xludf.DUMMYFUNCTION("""COMPUTED_VALUE"""),0.02)</f>
        <v>0.02</v>
      </c>
      <c r="T1090" s="63" t="str">
        <f ca="1">IFERROR(__xludf.DUMMYFUNCTION("""COMPUTED_VALUE"""),"https://storage.googleapis.com/glide-prod.appspot.com/uploads-v2/ly7o78grxPaC6KdgvbpS/pub/yvtCGRAPIbS0tVLIlehH.png")</f>
        <v>https://storage.googleapis.com/glide-prod.appspot.com/uploads-v2/ly7o78grxPaC6KdgvbpS/pub/yvtCGRAPIbS0tVLIlehH.png</v>
      </c>
      <c r="U1090" s="5" t="str">
        <f ca="1">IFERROR(__xludf.DUMMYFUNCTION("""COMPUTED_VALUE"""),"LINEA DE ENVASADO JUGOS PET HOT FILLSISTEMA INYECCIÓN DE NITRÓGENO")</f>
        <v>LINEA DE ENVASADO JUGOS PET HOT FILLSISTEMA INYECCIÓN DE NITRÓGENO</v>
      </c>
      <c r="V1090" s="5"/>
      <c r="W1090" s="5"/>
      <c r="X1090" s="5" t="str">
        <f ca="1">IFERROR(__xludf.DUMMYFUNCTION("""COMPUTED_VALUE"""),"achavezi@postobon.com.co,aprmttoyu@postobon.com.co,aprmyu@postobon.com.co,wmora@postobon.com.co,efzapata@postobon.com.co")</f>
        <v>achavezi@postobon.com.co,aprmttoyu@postobon.com.co,aprmyu@postobon.com.co,wmora@postobon.com.co,efzapata@postobon.com.co</v>
      </c>
      <c r="Y1090" s="5" t="str">
        <f ca="1">IFERROR(__xludf.DUMMYFUNCTION("""COMPUTED_VALUE"""),"achavezi@postobon.com.co")</f>
        <v>achavezi@postobon.com.co</v>
      </c>
      <c r="Z1090" s="5" t="str">
        <f ca="1">IFERROR(__xludf.DUMMYFUNCTION("""COMPUTED_VALUE"""),"MlUwK5GoTXK7gwTeiaxzkQ")</f>
        <v>MlUwK5GoTXK7gwTeiaxzkQ</v>
      </c>
      <c r="AA1090" s="5"/>
      <c r="AB1090" s="5"/>
      <c r="AC1090" s="5"/>
      <c r="AD1090" s="5">
        <f ca="1">IFERROR(__xludf.DUMMYFUNCTION("""COMPUTED_VALUE"""),27)</f>
        <v>27</v>
      </c>
      <c r="AE1090" s="5">
        <f ca="1">IFERROR(__xludf.DUMMYFUNCTION("""COMPUTED_VALUE"""),5)</f>
        <v>5</v>
      </c>
      <c r="AF1090" s="5" t="b">
        <f ca="1">IFERROR(__xludf.DUMMYFUNCTION("""COMPUTED_VALUE"""),FALSE)</f>
        <v>0</v>
      </c>
      <c r="AG1090" s="5" t="str">
        <f ca="1">IFERROR(__xludf.DUMMYFUNCTION("""COMPUTED_VALUE"""),"INSPECCIONES REALIZADAS")</f>
        <v>INSPECCIONES REALIZADAS</v>
      </c>
      <c r="AH1090" s="5"/>
    </row>
    <row r="1091" spans="1:34">
      <c r="A1091" s="5" t="str">
        <f ca="1">IFERROR(__xludf.DUMMYFUNCTION("""COMPUTED_VALUE"""),"BOMBAS DE SERVICIO PROCESO")</f>
        <v>BOMBAS DE SERVICIO PROCESO</v>
      </c>
      <c r="B1091" s="5">
        <f ca="1">IFERROR(__xludf.DUMMYFUNCTION("""COMPUTED_VALUE"""),70948931)</f>
        <v>70948931</v>
      </c>
      <c r="C1091" s="5" t="str">
        <f ca="1">IFERROR(__xludf.DUMMYFUNCTION("""COMPUTED_VALUE"""),"SOPLADOR TANQUES")</f>
        <v>SOPLADOR TANQUES</v>
      </c>
      <c r="D1091" s="5">
        <f ca="1">IFERROR(__xludf.DUMMYFUNCTION("""COMPUTED_VALUE"""),13247404)</f>
        <v>13247404</v>
      </c>
      <c r="E1091" s="5" t="str">
        <f ca="1">IFERROR(__xludf.DUMMYFUNCTION("""COMPUTED_VALUE"""),"INSPECCION SEMANAL SOPLADOR TANQUES")</f>
        <v>INSPECCION SEMANAL SOPLADOR TANQUES</v>
      </c>
      <c r="F1091" s="5" t="str">
        <f ca="1">IFERROR(__xludf.DUMMYFUNCTION("""COMPUTED_VALUE"""),"PLAN MTTO SOPLADOR TANQUES 70948931")</f>
        <v>PLAN MTTO SOPLADOR TANQUES 70948931</v>
      </c>
      <c r="G1091" s="5" t="b">
        <f ca="1">IFERROR(__xludf.DUMMYFUNCTION("""COMPUTED_VALUE"""),TRUE)</f>
        <v>1</v>
      </c>
      <c r="H1091" s="5"/>
      <c r="I1091" s="5"/>
      <c r="J1091" s="5">
        <f ca="1">IFERROR(__xludf.DUMMYFUNCTION("""COMPUTED_VALUE"""),13247404)</f>
        <v>13247404</v>
      </c>
      <c r="K1091" s="5"/>
      <c r="L1091" s="18">
        <f ca="1">IFERROR(__xludf.DUMMYFUNCTION("""COMPUTED_VALUE"""),45324)</f>
        <v>45324</v>
      </c>
      <c r="M1091" s="18">
        <f ca="1">IFERROR(__xludf.DUMMYFUNCTION("""COMPUTED_VALUE"""),45324)</f>
        <v>45324</v>
      </c>
      <c r="N1091" s="5" t="str">
        <f ca="1">IFERROR(__xludf.DUMMYFUNCTION("""COMPUTED_VALUE"""),"John Edier Gomez Zuñiga")</f>
        <v>John Edier Gomez Zuñiga</v>
      </c>
      <c r="O1091" s="2">
        <f ca="1">IFERROR(__xludf.DUMMYFUNCTION("""COMPUTED_VALUE"""),0.1)</f>
        <v>0.1</v>
      </c>
      <c r="P1091" s="5">
        <f ca="1">IFERROR(__xludf.DUMMYFUNCTION("""COMPUTED_VALUE"""),94539966)</f>
        <v>94539966</v>
      </c>
      <c r="Q1091" s="5" t="str">
        <f ca="1">IFERROR(__xludf.DUMMYFUNCTION("""COMPUTED_VALUE"""),"bhwFtnXZt20")</f>
        <v>bhwFtnXZt20</v>
      </c>
      <c r="R1091" s="5">
        <f ca="1">IFERROR(__xludf.DUMMYFUNCTION("""COMPUTED_VALUE"""),410)</f>
        <v>410</v>
      </c>
      <c r="S1091" s="62">
        <f ca="1">IFERROR(__xludf.DUMMYFUNCTION("""COMPUTED_VALUE"""),0.1)</f>
        <v>0.1</v>
      </c>
      <c r="T1091" s="63" t="str">
        <f ca="1">IFERROR(__xludf.DUMMYFUNCTION("""COMPUTED_VALUE"""),"https://storage.googleapis.com/glide-prod.appspot.com/uploads-v2/ly7o78grxPaC6KdgvbpS/pub/3aRdSog0vUtuqPE8AJKD.png")</f>
        <v>https://storage.googleapis.com/glide-prod.appspot.com/uploads-v2/ly7o78grxPaC6KdgvbpS/pub/3aRdSog0vUtuqPE8AJKD.png</v>
      </c>
      <c r="U1091" s="5" t="str">
        <f ca="1">IFERROR(__xludf.DUMMYFUNCTION("""COMPUTED_VALUE"""),"BOMBAS DE SERVICIO PROCESOSOPLADOR TANQUES")</f>
        <v>BOMBAS DE SERVICIO PROCESOSOPLADOR TANQUES</v>
      </c>
      <c r="V1091" s="5"/>
      <c r="W1091" s="5" t="b">
        <f ca="1">IFERROR(__xludf.DUMMYFUNCTION("""COMPUTED_VALUE"""),TRUE)</f>
        <v>1</v>
      </c>
      <c r="X1091" s="5" t="str">
        <f ca="1">IFERROR(__xludf.DUMMYFUNCTION("""COMPUTED_VALUE"""),"wmazorra@postobon.com.co,aprmttoyu@postobon.com.co,aprmyu@postobon.com.co,wmora@postobon.com.co,efzapata@postobon.com.co")</f>
        <v>wmazorra@postobon.com.co,aprmttoyu@postobon.com.co,aprmyu@postobon.com.co,wmora@postobon.com.co,efzapata@postobon.com.co</v>
      </c>
      <c r="Y1091" s="5" t="str">
        <f ca="1">IFERROR(__xludf.DUMMYFUNCTION("""COMPUTED_VALUE"""),"wmazorra@postobon.com.co")</f>
        <v>wmazorra@postobon.com.co</v>
      </c>
      <c r="Z1091" s="5" t="str">
        <f ca="1">IFERROR(__xludf.DUMMYFUNCTION("""COMPUTED_VALUE"""),"viOF.-EKTMW6l7fIHTH5KA")</f>
        <v>viOF.-EKTMW6l7fIHTH5KA</v>
      </c>
      <c r="AA1091" s="5"/>
      <c r="AB1091" s="5"/>
      <c r="AC1091" s="5"/>
      <c r="AD1091" s="5">
        <f ca="1">IFERROR(__xludf.DUMMYFUNCTION("""COMPUTED_VALUE"""),19)</f>
        <v>19</v>
      </c>
      <c r="AE1091" s="5">
        <f ca="1">IFERROR(__xludf.DUMMYFUNCTION("""COMPUTED_VALUE"""),19)</f>
        <v>19</v>
      </c>
      <c r="AF1091" s="5" t="b">
        <f ca="1">IFERROR(__xludf.DUMMYFUNCTION("""COMPUTED_VALUE"""),FALSE)</f>
        <v>0</v>
      </c>
      <c r="AG1091" s="5" t="str">
        <f ca="1">IFERROR(__xludf.DUMMYFUNCTION("""COMPUTED_VALUE"""),"INSPECCIONES REALIZADAS")</f>
        <v>INSPECCIONES REALIZADAS</v>
      </c>
      <c r="AH1091" s="5"/>
    </row>
    <row r="1092" spans="1:34">
      <c r="A1092" s="5" t="str">
        <f ca="1">IFERROR(__xludf.DUMMYFUNCTION("""COMPUTED_VALUE"""),"EQUIPOS ALTA Y BAJA TENSION ELECTRICA")</f>
        <v>EQUIPOS ALTA Y BAJA TENSION ELECTRICA</v>
      </c>
      <c r="B1092" s="5">
        <f ca="1">IFERROR(__xludf.DUMMYFUNCTION("""COMPUTED_VALUE"""),74928616)</f>
        <v>74928616</v>
      </c>
      <c r="C1092" s="5" t="str">
        <f ca="1">IFERROR(__xludf.DUMMYFUNCTION("""COMPUTED_VALUE"""),"TABL. OPTIMIZACION ENERGIA")</f>
        <v>TABL. OPTIMIZACION ENERGIA</v>
      </c>
      <c r="D1092" s="5">
        <f ca="1">IFERROR(__xludf.DUMMYFUNCTION("""COMPUTED_VALUE"""),13247430)</f>
        <v>13247430</v>
      </c>
      <c r="E1092" s="5" t="str">
        <f ca="1">IFERROR(__xludf.DUMMYFUNCTION("""COMPUTED_VALUE"""),"INSPECCION SEMANAL TABL. OPTIMIZACION EN")</f>
        <v>INSPECCION SEMANAL TABL. OPTIMIZACION EN</v>
      </c>
      <c r="F1092" s="5" t="str">
        <f ca="1">IFERROR(__xludf.DUMMYFUNCTION("""COMPUTED_VALUE"""),"PLAN MTTO CELDA BAJA TDP-3 74928616")</f>
        <v>PLAN MTTO CELDA BAJA TDP-3 74928616</v>
      </c>
      <c r="G1092" s="5" t="b">
        <f ca="1">IFERROR(__xludf.DUMMYFUNCTION("""COMPUTED_VALUE"""),TRUE)</f>
        <v>1</v>
      </c>
      <c r="H1092" s="5"/>
      <c r="I1092" s="5"/>
      <c r="J1092" s="5">
        <f ca="1">IFERROR(__xludf.DUMMYFUNCTION("""COMPUTED_VALUE"""),13247430)</f>
        <v>13247430</v>
      </c>
      <c r="K1092" s="5"/>
      <c r="L1092" s="18">
        <f ca="1">IFERROR(__xludf.DUMMYFUNCTION("""COMPUTED_VALUE"""),45324)</f>
        <v>45324</v>
      </c>
      <c r="M1092" s="18">
        <f ca="1">IFERROR(__xludf.DUMMYFUNCTION("""COMPUTED_VALUE"""),45324)</f>
        <v>45324</v>
      </c>
      <c r="N1092" s="5" t="str">
        <f ca="1">IFERROR(__xludf.DUMMYFUNCTION("""COMPUTED_VALUE"""),"MUÑOZ VALENCIA JEFFERSON")</f>
        <v>MUÑOZ VALENCIA JEFFERSON</v>
      </c>
      <c r="O1092" s="2">
        <f ca="1">IFERROR(__xludf.DUMMYFUNCTION("""COMPUTED_VALUE"""),0.1)</f>
        <v>0.1</v>
      </c>
      <c r="P1092" s="5">
        <f ca="1">IFERROR(__xludf.DUMMYFUNCTION("""COMPUTED_VALUE"""),20062055)</f>
        <v>20062055</v>
      </c>
      <c r="Q1092" s="5" t="str">
        <f ca="1">IFERROR(__xludf.DUMMYFUNCTION("""COMPUTED_VALUE"""),"LneHCFp9tec")</f>
        <v>LneHCFp9tec</v>
      </c>
      <c r="R1092" s="5">
        <f ca="1">IFERROR(__xludf.DUMMYFUNCTION("""COMPUTED_VALUE"""),410)</f>
        <v>410</v>
      </c>
      <c r="S1092" s="62">
        <f ca="1">IFERROR(__xludf.DUMMYFUNCTION("""COMPUTED_VALUE"""),0.1)</f>
        <v>0.1</v>
      </c>
      <c r="T1092" s="63" t="str">
        <f ca="1">IFERROR(__xludf.DUMMYFUNCTION("""COMPUTED_VALUE"""),"https://storage.googleapis.com/glide-prod.appspot.com/uploads-v2/ly7o78grxPaC6KdgvbpS/pub/3aRdSog0vUtuqPE8AJKD.png")</f>
        <v>https://storage.googleapis.com/glide-prod.appspot.com/uploads-v2/ly7o78grxPaC6KdgvbpS/pub/3aRdSog0vUtuqPE8AJKD.png</v>
      </c>
      <c r="U1092" s="5" t="str">
        <f ca="1">IFERROR(__xludf.DUMMYFUNCTION("""COMPUTED_VALUE"""),"EQUIPOS ALTA Y BAJA TENSION ELECTRICATABL. OPTIMIZACION ENERGIA")</f>
        <v>EQUIPOS ALTA Y BAJA TENSION ELECTRICATABL. OPTIMIZACION ENERGIA</v>
      </c>
      <c r="V1092" s="5"/>
      <c r="W1092" s="5" t="b">
        <f ca="1">IFERROR(__xludf.DUMMYFUNCTION("""COMPUTED_VALUE"""),TRUE)</f>
        <v>1</v>
      </c>
      <c r="X1092" s="5" t="str">
        <f ca="1">IFERROR(__xludf.DUMMYFUNCTION("""COMPUTED_VALUE"""),"wmazorra@postobon.com.co,aprmttoyu@postobon.com.co,aprmyu@postobon.com.co,wmora@postobon.com.co,efzapata@postobon.com.co")</f>
        <v>wmazorra@postobon.com.co,aprmttoyu@postobon.com.co,aprmyu@postobon.com.co,wmora@postobon.com.co,efzapata@postobon.com.co</v>
      </c>
      <c r="Y1092" s="5" t="str">
        <f ca="1">IFERROR(__xludf.DUMMYFUNCTION("""COMPUTED_VALUE"""),"wmazorra@postobon.com.co")</f>
        <v>wmazorra@postobon.com.co</v>
      </c>
      <c r="Z1092" s="5" t="str">
        <f ca="1">IFERROR(__xludf.DUMMYFUNCTION("""COMPUTED_VALUE"""),"w4fnRnEfRsekqxB9ghcMdQ")</f>
        <v>w4fnRnEfRsekqxB9ghcMdQ</v>
      </c>
      <c r="AA1092" s="5"/>
      <c r="AB1092" s="5"/>
      <c r="AC1092" s="5"/>
      <c r="AD1092" s="5">
        <f ca="1">IFERROR(__xludf.DUMMYFUNCTION("""COMPUTED_VALUE"""),58)</f>
        <v>58</v>
      </c>
      <c r="AE1092" s="5">
        <f ca="1">IFERROR(__xludf.DUMMYFUNCTION("""COMPUTED_VALUE"""),58)</f>
        <v>58</v>
      </c>
      <c r="AF1092" s="5" t="b">
        <f ca="1">IFERROR(__xludf.DUMMYFUNCTION("""COMPUTED_VALUE"""),FALSE)</f>
        <v>0</v>
      </c>
      <c r="AG1092" s="5" t="str">
        <f ca="1">IFERROR(__xludf.DUMMYFUNCTION("""COMPUTED_VALUE"""),"INSPECCIONES REALIZADAS")</f>
        <v>INSPECCIONES REALIZADAS</v>
      </c>
      <c r="AH1092" s="5"/>
    </row>
    <row r="1093" spans="1:34">
      <c r="A1093" s="5" t="str">
        <f ca="1">IFERROR(__xludf.DUMMYFUNCTION("""COMPUTED_VALUE"""),"EQUIPOS PARA SERVICIOS INDUSTRIALES")</f>
        <v>EQUIPOS PARA SERVICIOS INDUSTRIALES</v>
      </c>
      <c r="B1093" s="5">
        <f ca="1">IFERROR(__xludf.DUMMYFUNCTION("""COMPUTED_VALUE"""),65937001)</f>
        <v>65937001</v>
      </c>
      <c r="C1093" s="5" t="str">
        <f ca="1">IFERROR(__xludf.DUMMYFUNCTION("""COMPUTED_VALUE"""),"TANQUE DIARIO AGUA CALDERAS")</f>
        <v>TANQUE DIARIO AGUA CALDERAS</v>
      </c>
      <c r="D1093" s="5">
        <f ca="1">IFERROR(__xludf.DUMMYFUNCTION("""COMPUTED_VALUE"""),13247511)</f>
        <v>13247511</v>
      </c>
      <c r="E1093" s="5" t="str">
        <f ca="1">IFERROR(__xludf.DUMMYFUNCTION("""COMPUTED_VALUE"""),"INSPECCION SEMANAL TANQUE DIARIO AGUA C")</f>
        <v>INSPECCION SEMANAL TANQUE DIARIO AGUA C</v>
      </c>
      <c r="F1093" s="5" t="str">
        <f ca="1">IFERROR(__xludf.DUMMYFUNCTION("""COMPUTED_VALUE"""),"ESTADO TANQUES")</f>
        <v>ESTADO TANQUES</v>
      </c>
      <c r="G1093" s="5" t="b">
        <f ca="1">IFERROR(__xludf.DUMMYFUNCTION("""COMPUTED_VALUE"""),TRUE)</f>
        <v>1</v>
      </c>
      <c r="H1093" s="5"/>
      <c r="I1093" s="5"/>
      <c r="J1093" s="5">
        <f ca="1">IFERROR(__xludf.DUMMYFUNCTION("""COMPUTED_VALUE"""),13247511)</f>
        <v>13247511</v>
      </c>
      <c r="K1093" s="5"/>
      <c r="L1093" s="18">
        <f ca="1">IFERROR(__xludf.DUMMYFUNCTION("""COMPUTED_VALUE"""),45325)</f>
        <v>45325</v>
      </c>
      <c r="M1093" s="18">
        <f ca="1">IFERROR(__xludf.DUMMYFUNCTION("""COMPUTED_VALUE"""),45325)</f>
        <v>45325</v>
      </c>
      <c r="N1093" s="5" t="str">
        <f ca="1">IFERROR(__xludf.DUMMYFUNCTION("""COMPUTED_VALUE"""),"Valencia Hector")</f>
        <v>Valencia Hector</v>
      </c>
      <c r="O1093" s="2">
        <f ca="1">IFERROR(__xludf.DUMMYFUNCTION("""COMPUTED_VALUE"""),0.0125)</f>
        <v>1.2500000000000001E-2</v>
      </c>
      <c r="P1093" s="5">
        <f ca="1">IFERROR(__xludf.DUMMYFUNCTION("""COMPUTED_VALUE"""),20015139)</f>
        <v>20015139</v>
      </c>
      <c r="Q1093" s="5" t="str">
        <f ca="1">IFERROR(__xludf.DUMMYFUNCTION("""COMPUTED_VALUE"""),"dQBWYhRaWy0")</f>
        <v>dQBWYhRaWy0</v>
      </c>
      <c r="R1093" s="5">
        <f ca="1">IFERROR(__xludf.DUMMYFUNCTION("""COMPUTED_VALUE"""),410)</f>
        <v>410</v>
      </c>
      <c r="S1093" s="62">
        <f ca="1">IFERROR(__xludf.DUMMYFUNCTION("""COMPUTED_VALUE"""),0.0125)</f>
        <v>1.2500000000000001E-2</v>
      </c>
      <c r="T1093" s="63" t="str">
        <f ca="1">IFERROR(__xludf.DUMMYFUNCTION("""COMPUTED_VALUE"""),"https://storage.googleapis.com/glide-prod.appspot.com/uploads-v2/ly7o78grxPaC6KdgvbpS/pub/3aRdSog0vUtuqPE8AJKD.png")</f>
        <v>https://storage.googleapis.com/glide-prod.appspot.com/uploads-v2/ly7o78grxPaC6KdgvbpS/pub/3aRdSog0vUtuqPE8AJKD.png</v>
      </c>
      <c r="U1093" s="5" t="str">
        <f ca="1">IFERROR(__xludf.DUMMYFUNCTION("""COMPUTED_VALUE"""),"EQUIPOS PARA SERVICIOS INDUSTRIALESTANQUE DIARIO AGUA CALDERAS")</f>
        <v>EQUIPOS PARA SERVICIOS INDUSTRIALESTANQUE DIARIO AGUA CALDERAS</v>
      </c>
      <c r="V1093" s="5"/>
      <c r="W1093" s="5" t="b">
        <f ca="1">IFERROR(__xludf.DUMMYFUNCTION("""COMPUTED_VALUE"""),TRUE)</f>
        <v>1</v>
      </c>
      <c r="X1093" s="5" t="str">
        <f ca="1">IFERROR(__xludf.DUMMYFUNCTION("""COMPUTED_VALUE"""),"wmazorra@postobon.com.co,aprmttoyu@postobon.com.co,aprmyu@postobon.com.co,wmora@postobon.com.co,efzapata@postobon.com.co")</f>
        <v>wmazorra@postobon.com.co,aprmttoyu@postobon.com.co,aprmyu@postobon.com.co,wmora@postobon.com.co,efzapata@postobon.com.co</v>
      </c>
      <c r="Y1093" s="5" t="str">
        <f ca="1">IFERROR(__xludf.DUMMYFUNCTION("""COMPUTED_VALUE"""),"wmazorra@postobon.com.co")</f>
        <v>wmazorra@postobon.com.co</v>
      </c>
      <c r="Z1093" s="5" t="str">
        <f ca="1">IFERROR(__xludf.DUMMYFUNCTION("""COMPUTED_VALUE"""),"Z-uR2mC5S32EY.gaSUfd4g")</f>
        <v>Z-uR2mC5S32EY.gaSUfd4g</v>
      </c>
      <c r="AA1093" s="5"/>
      <c r="AB1093" s="5"/>
      <c r="AC1093" s="5"/>
      <c r="AD1093" s="5">
        <f ca="1">IFERROR(__xludf.DUMMYFUNCTION("""COMPUTED_VALUE"""),50)</f>
        <v>50</v>
      </c>
      <c r="AE1093" s="5">
        <f ca="1">IFERROR(__xludf.DUMMYFUNCTION("""COMPUTED_VALUE"""),50)</f>
        <v>50</v>
      </c>
      <c r="AF1093" s="5" t="b">
        <f ca="1">IFERROR(__xludf.DUMMYFUNCTION("""COMPUTED_VALUE"""),FALSE)</f>
        <v>0</v>
      </c>
      <c r="AG1093" s="5" t="str">
        <f ca="1">IFERROR(__xludf.DUMMYFUNCTION("""COMPUTED_VALUE"""),"INSPECCIONES REALIZADAS")</f>
        <v>INSPECCIONES REALIZADAS</v>
      </c>
      <c r="AH1093" s="5"/>
    </row>
    <row r="1094" spans="1:34">
      <c r="A1094" s="5" t="str">
        <f ca="1">IFERROR(__xludf.DUMMYFUNCTION("""COMPUTED_VALUE"""),"EQUIPOS PARA SERVICIOS INDUSTRIALES")</f>
        <v>EQUIPOS PARA SERVICIOS INDUSTRIALES</v>
      </c>
      <c r="B1094" s="5">
        <f ca="1">IFERROR(__xludf.DUMMYFUNCTION("""COMPUTED_VALUE"""),65937001)</f>
        <v>65937001</v>
      </c>
      <c r="C1094" s="5" t="str">
        <f ca="1">IFERROR(__xludf.DUMMYFUNCTION("""COMPUTED_VALUE"""),"TANQUE DIARIO AGUA CALDERAS")</f>
        <v>TANQUE DIARIO AGUA CALDERAS</v>
      </c>
      <c r="D1094" s="5">
        <f ca="1">IFERROR(__xludf.DUMMYFUNCTION("""COMPUTED_VALUE"""),13247511)</f>
        <v>13247511</v>
      </c>
      <c r="E1094" s="5" t="str">
        <f ca="1">IFERROR(__xludf.DUMMYFUNCTION("""COMPUTED_VALUE"""),"INSPECCION SEMANAL TANQUE DIARIO AGUA C")</f>
        <v>INSPECCION SEMANAL TANQUE DIARIO AGUA C</v>
      </c>
      <c r="F1094" s="5" t="str">
        <f ca="1">IFERROR(__xludf.DUMMYFUNCTION("""COMPUTED_VALUE"""),"VISORES NIVEL")</f>
        <v>VISORES NIVEL</v>
      </c>
      <c r="G1094" s="5" t="b">
        <f ca="1">IFERROR(__xludf.DUMMYFUNCTION("""COMPUTED_VALUE"""),TRUE)</f>
        <v>1</v>
      </c>
      <c r="H1094" s="5"/>
      <c r="I1094" s="5"/>
      <c r="J1094" s="5">
        <f ca="1">IFERROR(__xludf.DUMMYFUNCTION("""COMPUTED_VALUE"""),13247511)</f>
        <v>13247511</v>
      </c>
      <c r="K1094" s="5"/>
      <c r="L1094" s="18">
        <f ca="1">IFERROR(__xludf.DUMMYFUNCTION("""COMPUTED_VALUE"""),45325)</f>
        <v>45325</v>
      </c>
      <c r="M1094" s="18">
        <f ca="1">IFERROR(__xludf.DUMMYFUNCTION("""COMPUTED_VALUE"""),45325)</f>
        <v>45325</v>
      </c>
      <c r="N1094" s="5" t="str">
        <f ca="1">IFERROR(__xludf.DUMMYFUNCTION("""COMPUTED_VALUE"""),"Valencia Hector")</f>
        <v>Valencia Hector</v>
      </c>
      <c r="O1094" s="2">
        <f ca="1">IFERROR(__xludf.DUMMYFUNCTION("""COMPUTED_VALUE"""),0.0125)</f>
        <v>1.2500000000000001E-2</v>
      </c>
      <c r="P1094" s="5">
        <f ca="1">IFERROR(__xludf.DUMMYFUNCTION("""COMPUTED_VALUE"""),20015139)</f>
        <v>20015139</v>
      </c>
      <c r="Q1094" s="5" t="str">
        <f ca="1">IFERROR(__xludf.DUMMYFUNCTION("""COMPUTED_VALUE"""),"m_PW23Y9K-I")</f>
        <v>m_PW23Y9K-I</v>
      </c>
      <c r="R1094" s="5">
        <f ca="1">IFERROR(__xludf.DUMMYFUNCTION("""COMPUTED_VALUE"""),410)</f>
        <v>410</v>
      </c>
      <c r="S1094" s="62">
        <f ca="1">IFERROR(__xludf.DUMMYFUNCTION("""COMPUTED_VALUE"""),0.0125)</f>
        <v>1.2500000000000001E-2</v>
      </c>
      <c r="T1094" s="63" t="str">
        <f ca="1">IFERROR(__xludf.DUMMYFUNCTION("""COMPUTED_VALUE"""),"https://storage.googleapis.com/glide-prod.appspot.com/uploads-v2/ly7o78grxPaC6KdgvbpS/pub/3aRdSog0vUtuqPE8AJKD.png")</f>
        <v>https://storage.googleapis.com/glide-prod.appspot.com/uploads-v2/ly7o78grxPaC6KdgvbpS/pub/3aRdSog0vUtuqPE8AJKD.png</v>
      </c>
      <c r="U1094" s="5" t="str">
        <f ca="1">IFERROR(__xludf.DUMMYFUNCTION("""COMPUTED_VALUE"""),"EQUIPOS PARA SERVICIOS INDUSTRIALESTANQUE DIARIO AGUA CALDERAS")</f>
        <v>EQUIPOS PARA SERVICIOS INDUSTRIALESTANQUE DIARIO AGUA CALDERAS</v>
      </c>
      <c r="V1094" s="5"/>
      <c r="W1094" s="5" t="b">
        <f ca="1">IFERROR(__xludf.DUMMYFUNCTION("""COMPUTED_VALUE"""),TRUE)</f>
        <v>1</v>
      </c>
      <c r="X1094" s="5" t="str">
        <f ca="1">IFERROR(__xludf.DUMMYFUNCTION("""COMPUTED_VALUE"""),"wmazorra@postobon.com.co,aprmttoyu@postobon.com.co,aprmyu@postobon.com.co,wmora@postobon.com.co,efzapata@postobon.com.co")</f>
        <v>wmazorra@postobon.com.co,aprmttoyu@postobon.com.co,aprmyu@postobon.com.co,wmora@postobon.com.co,efzapata@postobon.com.co</v>
      </c>
      <c r="Y1094" s="5" t="str">
        <f ca="1">IFERROR(__xludf.DUMMYFUNCTION("""COMPUTED_VALUE"""),"wmazorra@postobon.com.co")</f>
        <v>wmazorra@postobon.com.co</v>
      </c>
      <c r="Z1094" s="5" t="str">
        <f ca="1">IFERROR(__xludf.DUMMYFUNCTION("""COMPUTED_VALUE"""),"pZiJhv6oS-qwzokogk4PEg")</f>
        <v>pZiJhv6oS-qwzokogk4PEg</v>
      </c>
      <c r="AA1094" s="5"/>
      <c r="AB1094" s="5"/>
      <c r="AC1094" s="5"/>
      <c r="AD1094" s="5">
        <f ca="1">IFERROR(__xludf.DUMMYFUNCTION("""COMPUTED_VALUE"""),50)</f>
        <v>50</v>
      </c>
      <c r="AE1094" s="5">
        <f ca="1">IFERROR(__xludf.DUMMYFUNCTION("""COMPUTED_VALUE"""),50)</f>
        <v>50</v>
      </c>
      <c r="AF1094" s="5" t="b">
        <f ca="1">IFERROR(__xludf.DUMMYFUNCTION("""COMPUTED_VALUE"""),FALSE)</f>
        <v>0</v>
      </c>
      <c r="AG1094" s="5" t="str">
        <f ca="1">IFERROR(__xludf.DUMMYFUNCTION("""COMPUTED_VALUE"""),"INSPECCIONES REALIZADAS")</f>
        <v>INSPECCIONES REALIZADAS</v>
      </c>
      <c r="AH1094" s="5"/>
    </row>
    <row r="1095" spans="1:34">
      <c r="A1095" s="5" t="str">
        <f ca="1">IFERROR(__xludf.DUMMYFUNCTION("""COMPUTED_VALUE"""),"EQUIPOS PARA SERVICIOS INDUSTRIALES")</f>
        <v>EQUIPOS PARA SERVICIOS INDUSTRIALES</v>
      </c>
      <c r="B1095" s="5">
        <f ca="1">IFERROR(__xludf.DUMMYFUNCTION("""COMPUTED_VALUE"""),65937001)</f>
        <v>65937001</v>
      </c>
      <c r="C1095" s="5" t="str">
        <f ca="1">IFERROR(__xludf.DUMMYFUNCTION("""COMPUTED_VALUE"""),"TANQUE DIARIO AGUA CALDERAS")</f>
        <v>TANQUE DIARIO AGUA CALDERAS</v>
      </c>
      <c r="D1095" s="5">
        <f ca="1">IFERROR(__xludf.DUMMYFUNCTION("""COMPUTED_VALUE"""),13247511)</f>
        <v>13247511</v>
      </c>
      <c r="E1095" s="5" t="str">
        <f ca="1">IFERROR(__xludf.DUMMYFUNCTION("""COMPUTED_VALUE"""),"INSPECCION SEMANAL TANQUE DIARIO AGUA C")</f>
        <v>INSPECCION SEMANAL TANQUE DIARIO AGUA C</v>
      </c>
      <c r="F1095" s="5" t="str">
        <f ca="1">IFERROR(__xludf.DUMMYFUNCTION("""COMPUTED_VALUE"""),"FUNC. VALVULAS, TUBERIAS")</f>
        <v>FUNC. VALVULAS, TUBERIAS</v>
      </c>
      <c r="G1095" s="5" t="b">
        <f ca="1">IFERROR(__xludf.DUMMYFUNCTION("""COMPUTED_VALUE"""),TRUE)</f>
        <v>1</v>
      </c>
      <c r="H1095" s="5"/>
      <c r="I1095" s="5"/>
      <c r="J1095" s="5">
        <f ca="1">IFERROR(__xludf.DUMMYFUNCTION("""COMPUTED_VALUE"""),13247511)</f>
        <v>13247511</v>
      </c>
      <c r="K1095" s="5"/>
      <c r="L1095" s="18">
        <f ca="1">IFERROR(__xludf.DUMMYFUNCTION("""COMPUTED_VALUE"""),45325)</f>
        <v>45325</v>
      </c>
      <c r="M1095" s="18">
        <f ca="1">IFERROR(__xludf.DUMMYFUNCTION("""COMPUTED_VALUE"""),45325)</f>
        <v>45325</v>
      </c>
      <c r="N1095" s="5" t="str">
        <f ca="1">IFERROR(__xludf.DUMMYFUNCTION("""COMPUTED_VALUE"""),"Valencia Hector")</f>
        <v>Valencia Hector</v>
      </c>
      <c r="O1095" s="2">
        <f ca="1">IFERROR(__xludf.DUMMYFUNCTION("""COMPUTED_VALUE"""),0.0125)</f>
        <v>1.2500000000000001E-2</v>
      </c>
      <c r="P1095" s="5">
        <f ca="1">IFERROR(__xludf.DUMMYFUNCTION("""COMPUTED_VALUE"""),20015139)</f>
        <v>20015139</v>
      </c>
      <c r="Q1095" s="5" t="str">
        <f ca="1">IFERROR(__xludf.DUMMYFUNCTION("""COMPUTED_VALUE"""),"oy3r8LdyrBE")</f>
        <v>oy3r8LdyrBE</v>
      </c>
      <c r="R1095" s="5">
        <f ca="1">IFERROR(__xludf.DUMMYFUNCTION("""COMPUTED_VALUE"""),410)</f>
        <v>410</v>
      </c>
      <c r="S1095" s="62">
        <f ca="1">IFERROR(__xludf.DUMMYFUNCTION("""COMPUTED_VALUE"""),0.0125)</f>
        <v>1.2500000000000001E-2</v>
      </c>
      <c r="T1095" s="63" t="str">
        <f ca="1">IFERROR(__xludf.DUMMYFUNCTION("""COMPUTED_VALUE"""),"https://storage.googleapis.com/glide-prod.appspot.com/uploads-v2/ly7o78grxPaC6KdgvbpS/pub/3aRdSog0vUtuqPE8AJKD.png")</f>
        <v>https://storage.googleapis.com/glide-prod.appspot.com/uploads-v2/ly7o78grxPaC6KdgvbpS/pub/3aRdSog0vUtuqPE8AJKD.png</v>
      </c>
      <c r="U1095" s="5" t="str">
        <f ca="1">IFERROR(__xludf.DUMMYFUNCTION("""COMPUTED_VALUE"""),"EQUIPOS PARA SERVICIOS INDUSTRIALESTANQUE DIARIO AGUA CALDERAS")</f>
        <v>EQUIPOS PARA SERVICIOS INDUSTRIALESTANQUE DIARIO AGUA CALDERAS</v>
      </c>
      <c r="V1095" s="5"/>
      <c r="W1095" s="5" t="b">
        <f ca="1">IFERROR(__xludf.DUMMYFUNCTION("""COMPUTED_VALUE"""),TRUE)</f>
        <v>1</v>
      </c>
      <c r="X1095" s="5" t="str">
        <f ca="1">IFERROR(__xludf.DUMMYFUNCTION("""COMPUTED_VALUE"""),"wmazorra@postobon.com.co,aprmttoyu@postobon.com.co,aprmyu@postobon.com.co,wmora@postobon.com.co,efzapata@postobon.com.co")</f>
        <v>wmazorra@postobon.com.co,aprmttoyu@postobon.com.co,aprmyu@postobon.com.co,wmora@postobon.com.co,efzapata@postobon.com.co</v>
      </c>
      <c r="Y1095" s="5" t="str">
        <f ca="1">IFERROR(__xludf.DUMMYFUNCTION("""COMPUTED_VALUE"""),"wmazorra@postobon.com.co")</f>
        <v>wmazorra@postobon.com.co</v>
      </c>
      <c r="Z1095" s="5" t="str">
        <f ca="1">IFERROR(__xludf.DUMMYFUNCTION("""COMPUTED_VALUE"""),"ZKsXlQneSgecqpiICdAWOg")</f>
        <v>ZKsXlQneSgecqpiICdAWOg</v>
      </c>
      <c r="AA1095" s="5"/>
      <c r="AB1095" s="5"/>
      <c r="AC1095" s="5"/>
      <c r="AD1095" s="5">
        <f ca="1">IFERROR(__xludf.DUMMYFUNCTION("""COMPUTED_VALUE"""),50)</f>
        <v>50</v>
      </c>
      <c r="AE1095" s="5">
        <f ca="1">IFERROR(__xludf.DUMMYFUNCTION("""COMPUTED_VALUE"""),50)</f>
        <v>50</v>
      </c>
      <c r="AF1095" s="5" t="b">
        <f ca="1">IFERROR(__xludf.DUMMYFUNCTION("""COMPUTED_VALUE"""),FALSE)</f>
        <v>0</v>
      </c>
      <c r="AG1095" s="5" t="str">
        <f ca="1">IFERROR(__xludf.DUMMYFUNCTION("""COMPUTED_VALUE"""),"INSPECCIONES REALIZADAS")</f>
        <v>INSPECCIONES REALIZADAS</v>
      </c>
      <c r="AH1095" s="5"/>
    </row>
    <row r="1096" spans="1:34">
      <c r="A1096" s="5" t="str">
        <f ca="1">IFERROR(__xludf.DUMMYFUNCTION("""COMPUTED_VALUE"""),"EQUIPOS PARA SERVICIOS INDUSTRIALES")</f>
        <v>EQUIPOS PARA SERVICIOS INDUSTRIALES</v>
      </c>
      <c r="B1096" s="5">
        <f ca="1">IFERROR(__xludf.DUMMYFUNCTION("""COMPUTED_VALUE"""),65937001)</f>
        <v>65937001</v>
      </c>
      <c r="C1096" s="5" t="str">
        <f ca="1">IFERROR(__xludf.DUMMYFUNCTION("""COMPUTED_VALUE"""),"TANQUE DIARIO AGUA CALDERAS")</f>
        <v>TANQUE DIARIO AGUA CALDERAS</v>
      </c>
      <c r="D1096" s="5">
        <f ca="1">IFERROR(__xludf.DUMMYFUNCTION("""COMPUTED_VALUE"""),13247511)</f>
        <v>13247511</v>
      </c>
      <c r="E1096" s="5" t="str">
        <f ca="1">IFERROR(__xludf.DUMMYFUNCTION("""COMPUTED_VALUE"""),"INSPECCION SEMANAL TANQUE DIARIO AGUA C")</f>
        <v>INSPECCION SEMANAL TANQUE DIARIO AGUA C</v>
      </c>
      <c r="F1096" s="5" t="str">
        <f ca="1">IFERROR(__xludf.DUMMYFUNCTION("""COMPUTED_VALUE"""),"ESCAPE FLUIDOS (CO2,ACPM,SODA,AMONIACO)")</f>
        <v>ESCAPE FLUIDOS (CO2,ACPM,SODA,AMONIACO)</v>
      </c>
      <c r="G1096" s="5" t="b">
        <f ca="1">IFERROR(__xludf.DUMMYFUNCTION("""COMPUTED_VALUE"""),TRUE)</f>
        <v>1</v>
      </c>
      <c r="H1096" s="5"/>
      <c r="I1096" s="5"/>
      <c r="J1096" s="5">
        <f ca="1">IFERROR(__xludf.DUMMYFUNCTION("""COMPUTED_VALUE"""),13247511)</f>
        <v>13247511</v>
      </c>
      <c r="K1096" s="5"/>
      <c r="L1096" s="18">
        <f ca="1">IFERROR(__xludf.DUMMYFUNCTION("""COMPUTED_VALUE"""),45325)</f>
        <v>45325</v>
      </c>
      <c r="M1096" s="18">
        <f ca="1">IFERROR(__xludf.DUMMYFUNCTION("""COMPUTED_VALUE"""),45325)</f>
        <v>45325</v>
      </c>
      <c r="N1096" s="5" t="str">
        <f ca="1">IFERROR(__xludf.DUMMYFUNCTION("""COMPUTED_VALUE"""),"Valencia Hector")</f>
        <v>Valencia Hector</v>
      </c>
      <c r="O1096" s="2">
        <f ca="1">IFERROR(__xludf.DUMMYFUNCTION("""COMPUTED_VALUE"""),0.0125)</f>
        <v>1.2500000000000001E-2</v>
      </c>
      <c r="P1096" s="5">
        <f ca="1">IFERROR(__xludf.DUMMYFUNCTION("""COMPUTED_VALUE"""),20015139)</f>
        <v>20015139</v>
      </c>
      <c r="Q1096" s="5" t="str">
        <f ca="1">IFERROR(__xludf.DUMMYFUNCTION("""COMPUTED_VALUE"""),"xWqtSdWURzA")</f>
        <v>xWqtSdWURzA</v>
      </c>
      <c r="R1096" s="5">
        <f ca="1">IFERROR(__xludf.DUMMYFUNCTION("""COMPUTED_VALUE"""),410)</f>
        <v>410</v>
      </c>
      <c r="S1096" s="62">
        <f ca="1">IFERROR(__xludf.DUMMYFUNCTION("""COMPUTED_VALUE"""),0.0125)</f>
        <v>1.2500000000000001E-2</v>
      </c>
      <c r="T1096" s="63" t="str">
        <f ca="1">IFERROR(__xludf.DUMMYFUNCTION("""COMPUTED_VALUE"""),"https://storage.googleapis.com/glide-prod.appspot.com/uploads-v2/ly7o78grxPaC6KdgvbpS/pub/3aRdSog0vUtuqPE8AJKD.png")</f>
        <v>https://storage.googleapis.com/glide-prod.appspot.com/uploads-v2/ly7o78grxPaC6KdgvbpS/pub/3aRdSog0vUtuqPE8AJKD.png</v>
      </c>
      <c r="U1096" s="5" t="str">
        <f ca="1">IFERROR(__xludf.DUMMYFUNCTION("""COMPUTED_VALUE"""),"EQUIPOS PARA SERVICIOS INDUSTRIALESTANQUE DIARIO AGUA CALDERAS")</f>
        <v>EQUIPOS PARA SERVICIOS INDUSTRIALESTANQUE DIARIO AGUA CALDERAS</v>
      </c>
      <c r="V1096" s="5"/>
      <c r="W1096" s="5" t="b">
        <f ca="1">IFERROR(__xludf.DUMMYFUNCTION("""COMPUTED_VALUE"""),TRUE)</f>
        <v>1</v>
      </c>
      <c r="X1096" s="5" t="str">
        <f ca="1">IFERROR(__xludf.DUMMYFUNCTION("""COMPUTED_VALUE"""),"wmazorra@postobon.com.co,aprmttoyu@postobon.com.co,aprmyu@postobon.com.co,wmora@postobon.com.co,efzapata@postobon.com.co")</f>
        <v>wmazorra@postobon.com.co,aprmttoyu@postobon.com.co,aprmyu@postobon.com.co,wmora@postobon.com.co,efzapata@postobon.com.co</v>
      </c>
      <c r="Y1096" s="5" t="str">
        <f ca="1">IFERROR(__xludf.DUMMYFUNCTION("""COMPUTED_VALUE"""),"wmazorra@postobon.com.co")</f>
        <v>wmazorra@postobon.com.co</v>
      </c>
      <c r="Z1096" s="5" t="str">
        <f ca="1">IFERROR(__xludf.DUMMYFUNCTION("""COMPUTED_VALUE"""),"Y6G03Y3lTmulRw1Urqc.4w")</f>
        <v>Y6G03Y3lTmulRw1Urqc.4w</v>
      </c>
      <c r="AA1096" s="5"/>
      <c r="AB1096" s="5"/>
      <c r="AC1096" s="5"/>
      <c r="AD1096" s="5">
        <f ca="1">IFERROR(__xludf.DUMMYFUNCTION("""COMPUTED_VALUE"""),50)</f>
        <v>50</v>
      </c>
      <c r="AE1096" s="5">
        <f ca="1">IFERROR(__xludf.DUMMYFUNCTION("""COMPUTED_VALUE"""),50)</f>
        <v>50</v>
      </c>
      <c r="AF1096" s="5" t="b">
        <f ca="1">IFERROR(__xludf.DUMMYFUNCTION("""COMPUTED_VALUE"""),FALSE)</f>
        <v>0</v>
      </c>
      <c r="AG1096" s="5" t="str">
        <f ca="1">IFERROR(__xludf.DUMMYFUNCTION("""COMPUTED_VALUE"""),"INSPECCIONES REALIZADAS")</f>
        <v>INSPECCIONES REALIZADAS</v>
      </c>
      <c r="AH1096" s="5"/>
    </row>
    <row r="1097" spans="1:34">
      <c r="A1097" s="5" t="str">
        <f ca="1">IFERROR(__xludf.DUMMYFUNCTION("""COMPUTED_VALUE"""),"EQUIPOS PARA SERVICIOS INDUSTRIALES")</f>
        <v>EQUIPOS PARA SERVICIOS INDUSTRIALES</v>
      </c>
      <c r="B1097" s="5">
        <f ca="1">IFERROR(__xludf.DUMMYFUNCTION("""COMPUTED_VALUE"""),65937001)</f>
        <v>65937001</v>
      </c>
      <c r="C1097" s="5" t="str">
        <f ca="1">IFERROR(__xludf.DUMMYFUNCTION("""COMPUTED_VALUE"""),"TANQUE DIARIO AGUA CALDERAS")</f>
        <v>TANQUE DIARIO AGUA CALDERAS</v>
      </c>
      <c r="D1097" s="5">
        <f ca="1">IFERROR(__xludf.DUMMYFUNCTION("""COMPUTED_VALUE"""),13247511)</f>
        <v>13247511</v>
      </c>
      <c r="E1097" s="5" t="str">
        <f ca="1">IFERROR(__xludf.DUMMYFUNCTION("""COMPUTED_VALUE"""),"INSPECCION SEMANAL TANQUE DIARIO AGUA C")</f>
        <v>INSPECCION SEMANAL TANQUE DIARIO AGUA C</v>
      </c>
      <c r="F1097" s="5" t="str">
        <f ca="1">IFERROR(__xludf.DUMMYFUNCTION("""COMPUTED_VALUE"""),"FUNC. MOTOBOM TANQUE(SODA,ACPM)")</f>
        <v>FUNC. MOTOBOM TANQUE(SODA,ACPM)</v>
      </c>
      <c r="G1097" s="5" t="b">
        <f ca="1">IFERROR(__xludf.DUMMYFUNCTION("""COMPUTED_VALUE"""),TRUE)</f>
        <v>1</v>
      </c>
      <c r="H1097" s="5"/>
      <c r="I1097" s="5"/>
      <c r="J1097" s="5">
        <f ca="1">IFERROR(__xludf.DUMMYFUNCTION("""COMPUTED_VALUE"""),13247511)</f>
        <v>13247511</v>
      </c>
      <c r="K1097" s="5"/>
      <c r="L1097" s="18">
        <f ca="1">IFERROR(__xludf.DUMMYFUNCTION("""COMPUTED_VALUE"""),45325)</f>
        <v>45325</v>
      </c>
      <c r="M1097" s="18">
        <f ca="1">IFERROR(__xludf.DUMMYFUNCTION("""COMPUTED_VALUE"""),45325)</f>
        <v>45325</v>
      </c>
      <c r="N1097" s="5" t="str">
        <f ca="1">IFERROR(__xludf.DUMMYFUNCTION("""COMPUTED_VALUE"""),"Valencia Hector")</f>
        <v>Valencia Hector</v>
      </c>
      <c r="O1097" s="2">
        <f ca="1">IFERROR(__xludf.DUMMYFUNCTION("""COMPUTED_VALUE"""),0.0125)</f>
        <v>1.2500000000000001E-2</v>
      </c>
      <c r="P1097" s="5">
        <f ca="1">IFERROR(__xludf.DUMMYFUNCTION("""COMPUTED_VALUE"""),20015139)</f>
        <v>20015139</v>
      </c>
      <c r="Q1097" s="5" t="str">
        <f ca="1">IFERROR(__xludf.DUMMYFUNCTION("""COMPUTED_VALUE"""),"LUYlo42WZ3I")</f>
        <v>LUYlo42WZ3I</v>
      </c>
      <c r="R1097" s="5">
        <f ca="1">IFERROR(__xludf.DUMMYFUNCTION("""COMPUTED_VALUE"""),410)</f>
        <v>410</v>
      </c>
      <c r="S1097" s="62">
        <f ca="1">IFERROR(__xludf.DUMMYFUNCTION("""COMPUTED_VALUE"""),0.0125)</f>
        <v>1.2500000000000001E-2</v>
      </c>
      <c r="T1097" s="63" t="str">
        <f ca="1">IFERROR(__xludf.DUMMYFUNCTION("""COMPUTED_VALUE"""),"https://storage.googleapis.com/glide-prod.appspot.com/uploads-v2/ly7o78grxPaC6KdgvbpS/pub/3aRdSog0vUtuqPE8AJKD.png")</f>
        <v>https://storage.googleapis.com/glide-prod.appspot.com/uploads-v2/ly7o78grxPaC6KdgvbpS/pub/3aRdSog0vUtuqPE8AJKD.png</v>
      </c>
      <c r="U1097" s="5" t="str">
        <f ca="1">IFERROR(__xludf.DUMMYFUNCTION("""COMPUTED_VALUE"""),"EQUIPOS PARA SERVICIOS INDUSTRIALESTANQUE DIARIO AGUA CALDERAS")</f>
        <v>EQUIPOS PARA SERVICIOS INDUSTRIALESTANQUE DIARIO AGUA CALDERAS</v>
      </c>
      <c r="V1097" s="5"/>
      <c r="W1097" s="5" t="b">
        <f ca="1">IFERROR(__xludf.DUMMYFUNCTION("""COMPUTED_VALUE"""),TRUE)</f>
        <v>1</v>
      </c>
      <c r="X1097" s="5" t="str">
        <f ca="1">IFERROR(__xludf.DUMMYFUNCTION("""COMPUTED_VALUE"""),"wmazorra@postobon.com.co,aprmttoyu@postobon.com.co,aprmyu@postobon.com.co,wmora@postobon.com.co,efzapata@postobon.com.co")</f>
        <v>wmazorra@postobon.com.co,aprmttoyu@postobon.com.co,aprmyu@postobon.com.co,wmora@postobon.com.co,efzapata@postobon.com.co</v>
      </c>
      <c r="Y1097" s="5" t="str">
        <f ca="1">IFERROR(__xludf.DUMMYFUNCTION("""COMPUTED_VALUE"""),"wmazorra@postobon.com.co")</f>
        <v>wmazorra@postobon.com.co</v>
      </c>
      <c r="Z1097" s="5" t="str">
        <f ca="1">IFERROR(__xludf.DUMMYFUNCTION("""COMPUTED_VALUE"""),"n6Wnd8bLTwCc0hx7XepLpw")</f>
        <v>n6Wnd8bLTwCc0hx7XepLpw</v>
      </c>
      <c r="AA1097" s="5"/>
      <c r="AB1097" s="5"/>
      <c r="AC1097" s="5"/>
      <c r="AD1097" s="5">
        <f ca="1">IFERROR(__xludf.DUMMYFUNCTION("""COMPUTED_VALUE"""),50)</f>
        <v>50</v>
      </c>
      <c r="AE1097" s="5">
        <f ca="1">IFERROR(__xludf.DUMMYFUNCTION("""COMPUTED_VALUE"""),50)</f>
        <v>50</v>
      </c>
      <c r="AF1097" s="5" t="b">
        <f ca="1">IFERROR(__xludf.DUMMYFUNCTION("""COMPUTED_VALUE"""),FALSE)</f>
        <v>0</v>
      </c>
      <c r="AG1097" s="5" t="str">
        <f ca="1">IFERROR(__xludf.DUMMYFUNCTION("""COMPUTED_VALUE"""),"INSPECCIONES REALIZADAS")</f>
        <v>INSPECCIONES REALIZADAS</v>
      </c>
      <c r="AH1097" s="5"/>
    </row>
    <row r="1098" spans="1:34">
      <c r="A1098" s="5" t="str">
        <f ca="1">IFERROR(__xludf.DUMMYFUNCTION("""COMPUTED_VALUE"""),"EQUIPOS PARA SERVICIOS INDUSTRIALES")</f>
        <v>EQUIPOS PARA SERVICIOS INDUSTRIALES</v>
      </c>
      <c r="B1098" s="5">
        <f ca="1">IFERROR(__xludf.DUMMYFUNCTION("""COMPUTED_VALUE"""),65937001)</f>
        <v>65937001</v>
      </c>
      <c r="C1098" s="5" t="str">
        <f ca="1">IFERROR(__xludf.DUMMYFUNCTION("""COMPUTED_VALUE"""),"TANQUE DIARIO AGUA CALDERAS")</f>
        <v>TANQUE DIARIO AGUA CALDERAS</v>
      </c>
      <c r="D1098" s="5">
        <f ca="1">IFERROR(__xludf.DUMMYFUNCTION("""COMPUTED_VALUE"""),13247511)</f>
        <v>13247511</v>
      </c>
      <c r="E1098" s="5" t="str">
        <f ca="1">IFERROR(__xludf.DUMMYFUNCTION("""COMPUTED_VALUE"""),"INSPECCION SEMANAL TANQUE DIARIO AGUA C")</f>
        <v>INSPECCION SEMANAL TANQUE DIARIO AGUA C</v>
      </c>
      <c r="F1098" s="5" t="str">
        <f ca="1">IFERROR(__xludf.DUMMYFUNCTION("""COMPUTED_VALUE"""),"INSTRUMENTOS MEDICION")</f>
        <v>INSTRUMENTOS MEDICION</v>
      </c>
      <c r="G1098" s="5" t="b">
        <f ca="1">IFERROR(__xludf.DUMMYFUNCTION("""COMPUTED_VALUE"""),TRUE)</f>
        <v>1</v>
      </c>
      <c r="H1098" s="5"/>
      <c r="I1098" s="5"/>
      <c r="J1098" s="5">
        <f ca="1">IFERROR(__xludf.DUMMYFUNCTION("""COMPUTED_VALUE"""),13247511)</f>
        <v>13247511</v>
      </c>
      <c r="K1098" s="5"/>
      <c r="L1098" s="18">
        <f ca="1">IFERROR(__xludf.DUMMYFUNCTION("""COMPUTED_VALUE"""),45325)</f>
        <v>45325</v>
      </c>
      <c r="M1098" s="18">
        <f ca="1">IFERROR(__xludf.DUMMYFUNCTION("""COMPUTED_VALUE"""),45325)</f>
        <v>45325</v>
      </c>
      <c r="N1098" s="5" t="str">
        <f ca="1">IFERROR(__xludf.DUMMYFUNCTION("""COMPUTED_VALUE"""),"Valencia Hector")</f>
        <v>Valencia Hector</v>
      </c>
      <c r="O1098" s="2">
        <f ca="1">IFERROR(__xludf.DUMMYFUNCTION("""COMPUTED_VALUE"""),0.0125)</f>
        <v>1.2500000000000001E-2</v>
      </c>
      <c r="P1098" s="5">
        <f ca="1">IFERROR(__xludf.DUMMYFUNCTION("""COMPUTED_VALUE"""),20015139)</f>
        <v>20015139</v>
      </c>
      <c r="Q1098" s="5" t="str">
        <f ca="1">IFERROR(__xludf.DUMMYFUNCTION("""COMPUTED_VALUE"""),"fFZkMQ9iqlY")</f>
        <v>fFZkMQ9iqlY</v>
      </c>
      <c r="R1098" s="5">
        <f ca="1">IFERROR(__xludf.DUMMYFUNCTION("""COMPUTED_VALUE"""),410)</f>
        <v>410</v>
      </c>
      <c r="S1098" s="62">
        <f ca="1">IFERROR(__xludf.DUMMYFUNCTION("""COMPUTED_VALUE"""),0.0125)</f>
        <v>1.2500000000000001E-2</v>
      </c>
      <c r="T1098" s="63" t="str">
        <f ca="1">IFERROR(__xludf.DUMMYFUNCTION("""COMPUTED_VALUE"""),"https://storage.googleapis.com/glide-prod.appspot.com/uploads-v2/ly7o78grxPaC6KdgvbpS/pub/3aRdSog0vUtuqPE8AJKD.png")</f>
        <v>https://storage.googleapis.com/glide-prod.appspot.com/uploads-v2/ly7o78grxPaC6KdgvbpS/pub/3aRdSog0vUtuqPE8AJKD.png</v>
      </c>
      <c r="U1098" s="5" t="str">
        <f ca="1">IFERROR(__xludf.DUMMYFUNCTION("""COMPUTED_VALUE"""),"EQUIPOS PARA SERVICIOS INDUSTRIALESTANQUE DIARIO AGUA CALDERAS")</f>
        <v>EQUIPOS PARA SERVICIOS INDUSTRIALESTANQUE DIARIO AGUA CALDERAS</v>
      </c>
      <c r="V1098" s="5"/>
      <c r="W1098" s="5" t="b">
        <f ca="1">IFERROR(__xludf.DUMMYFUNCTION("""COMPUTED_VALUE"""),TRUE)</f>
        <v>1</v>
      </c>
      <c r="X1098" s="5" t="str">
        <f ca="1">IFERROR(__xludf.DUMMYFUNCTION("""COMPUTED_VALUE"""),"wmazorra@postobon.com.co,aprmttoyu@postobon.com.co,aprmyu@postobon.com.co,wmora@postobon.com.co,efzapata@postobon.com.co")</f>
        <v>wmazorra@postobon.com.co,aprmttoyu@postobon.com.co,aprmyu@postobon.com.co,wmora@postobon.com.co,efzapata@postobon.com.co</v>
      </c>
      <c r="Y1098" s="5" t="str">
        <f ca="1">IFERROR(__xludf.DUMMYFUNCTION("""COMPUTED_VALUE"""),"wmazorra@postobon.com.co")</f>
        <v>wmazorra@postobon.com.co</v>
      </c>
      <c r="Z1098" s="5" t="str">
        <f ca="1">IFERROR(__xludf.DUMMYFUNCTION("""COMPUTED_VALUE"""),"tAbfhx7jR32eqK1pwk5dlA")</f>
        <v>tAbfhx7jR32eqK1pwk5dlA</v>
      </c>
      <c r="AA1098" s="5"/>
      <c r="AB1098" s="5"/>
      <c r="AC1098" s="5"/>
      <c r="AD1098" s="5">
        <f ca="1">IFERROR(__xludf.DUMMYFUNCTION("""COMPUTED_VALUE"""),50)</f>
        <v>50</v>
      </c>
      <c r="AE1098" s="5">
        <f ca="1">IFERROR(__xludf.DUMMYFUNCTION("""COMPUTED_VALUE"""),50)</f>
        <v>50</v>
      </c>
      <c r="AF1098" s="5" t="b">
        <f ca="1">IFERROR(__xludf.DUMMYFUNCTION("""COMPUTED_VALUE"""),FALSE)</f>
        <v>0</v>
      </c>
      <c r="AG1098" s="5" t="str">
        <f ca="1">IFERROR(__xludf.DUMMYFUNCTION("""COMPUTED_VALUE"""),"INSPECCIONES REALIZADAS")</f>
        <v>INSPECCIONES REALIZADAS</v>
      </c>
      <c r="AH1098" s="5"/>
    </row>
    <row r="1099" spans="1:34">
      <c r="A1099" s="5" t="str">
        <f ca="1">IFERROR(__xludf.DUMMYFUNCTION("""COMPUTED_VALUE"""),"EQUIPOS PARA SERVICIOS INDUSTRIALES")</f>
        <v>EQUIPOS PARA SERVICIOS INDUSTRIALES</v>
      </c>
      <c r="B1099" s="5">
        <f ca="1">IFERROR(__xludf.DUMMYFUNCTION("""COMPUTED_VALUE"""),65937001)</f>
        <v>65937001</v>
      </c>
      <c r="C1099" s="5" t="str">
        <f ca="1">IFERROR(__xludf.DUMMYFUNCTION("""COMPUTED_VALUE"""),"TANQUE DIARIO AGUA CALDERAS")</f>
        <v>TANQUE DIARIO AGUA CALDERAS</v>
      </c>
      <c r="D1099" s="5">
        <f ca="1">IFERROR(__xludf.DUMMYFUNCTION("""COMPUTED_VALUE"""),13247511)</f>
        <v>13247511</v>
      </c>
      <c r="E1099" s="5" t="str">
        <f ca="1">IFERROR(__xludf.DUMMYFUNCTION("""COMPUTED_VALUE"""),"INSPECCION SEMANAL TANQUE DIARIO AGUA C")</f>
        <v>INSPECCION SEMANAL TANQUE DIARIO AGUA C</v>
      </c>
      <c r="F1099" s="5" t="str">
        <f ca="1">IFERROR(__xludf.DUMMYFUNCTION("""COMPUTED_VALUE"""),"ESTADO GRAL PINTURA")</f>
        <v>ESTADO GRAL PINTURA</v>
      </c>
      <c r="G1099" s="5" t="b">
        <f ca="1">IFERROR(__xludf.DUMMYFUNCTION("""COMPUTED_VALUE"""),TRUE)</f>
        <v>1</v>
      </c>
      <c r="H1099" s="5"/>
      <c r="I1099" s="5"/>
      <c r="J1099" s="5">
        <f ca="1">IFERROR(__xludf.DUMMYFUNCTION("""COMPUTED_VALUE"""),13247511)</f>
        <v>13247511</v>
      </c>
      <c r="K1099" s="5"/>
      <c r="L1099" s="18">
        <f ca="1">IFERROR(__xludf.DUMMYFUNCTION("""COMPUTED_VALUE"""),45325)</f>
        <v>45325</v>
      </c>
      <c r="M1099" s="18">
        <f ca="1">IFERROR(__xludf.DUMMYFUNCTION("""COMPUTED_VALUE"""),45325)</f>
        <v>45325</v>
      </c>
      <c r="N1099" s="5" t="str">
        <f ca="1">IFERROR(__xludf.DUMMYFUNCTION("""COMPUTED_VALUE"""),"Valencia Hector")</f>
        <v>Valencia Hector</v>
      </c>
      <c r="O1099" s="2">
        <f ca="1">IFERROR(__xludf.DUMMYFUNCTION("""COMPUTED_VALUE"""),0.0125)</f>
        <v>1.2500000000000001E-2</v>
      </c>
      <c r="P1099" s="5">
        <f ca="1">IFERROR(__xludf.DUMMYFUNCTION("""COMPUTED_VALUE"""),20015139)</f>
        <v>20015139</v>
      </c>
      <c r="Q1099" s="5" t="str">
        <f ca="1">IFERROR(__xludf.DUMMYFUNCTION("""COMPUTED_VALUE"""),"9FNKOJwwV1A")</f>
        <v>9FNKOJwwV1A</v>
      </c>
      <c r="R1099" s="5">
        <f ca="1">IFERROR(__xludf.DUMMYFUNCTION("""COMPUTED_VALUE"""),410)</f>
        <v>410</v>
      </c>
      <c r="S1099" s="62">
        <f ca="1">IFERROR(__xludf.DUMMYFUNCTION("""COMPUTED_VALUE"""),0.0125)</f>
        <v>1.2500000000000001E-2</v>
      </c>
      <c r="T1099" s="63" t="str">
        <f ca="1">IFERROR(__xludf.DUMMYFUNCTION("""COMPUTED_VALUE"""),"https://storage.googleapis.com/glide-prod.appspot.com/uploads-v2/ly7o78grxPaC6KdgvbpS/pub/3aRdSog0vUtuqPE8AJKD.png")</f>
        <v>https://storage.googleapis.com/glide-prod.appspot.com/uploads-v2/ly7o78grxPaC6KdgvbpS/pub/3aRdSog0vUtuqPE8AJKD.png</v>
      </c>
      <c r="U1099" s="5" t="str">
        <f ca="1">IFERROR(__xludf.DUMMYFUNCTION("""COMPUTED_VALUE"""),"EQUIPOS PARA SERVICIOS INDUSTRIALESTANQUE DIARIO AGUA CALDERAS")</f>
        <v>EQUIPOS PARA SERVICIOS INDUSTRIALESTANQUE DIARIO AGUA CALDERAS</v>
      </c>
      <c r="V1099" s="5"/>
      <c r="W1099" s="5" t="b">
        <f ca="1">IFERROR(__xludf.DUMMYFUNCTION("""COMPUTED_VALUE"""),TRUE)</f>
        <v>1</v>
      </c>
      <c r="X1099" s="5" t="str">
        <f ca="1">IFERROR(__xludf.DUMMYFUNCTION("""COMPUTED_VALUE"""),"wmazorra@postobon.com.co,aprmttoyu@postobon.com.co,aprmyu@postobon.com.co,wmora@postobon.com.co,efzapata@postobon.com.co")</f>
        <v>wmazorra@postobon.com.co,aprmttoyu@postobon.com.co,aprmyu@postobon.com.co,wmora@postobon.com.co,efzapata@postobon.com.co</v>
      </c>
      <c r="Y1099" s="5" t="str">
        <f ca="1">IFERROR(__xludf.DUMMYFUNCTION("""COMPUTED_VALUE"""),"wmazorra@postobon.com.co")</f>
        <v>wmazorra@postobon.com.co</v>
      </c>
      <c r="Z1099" s="5" t="str">
        <f ca="1">IFERROR(__xludf.DUMMYFUNCTION("""COMPUTED_VALUE"""),"5QAOQ64dSlKhS9QDYiDPJQ")</f>
        <v>5QAOQ64dSlKhS9QDYiDPJQ</v>
      </c>
      <c r="AA1099" s="5"/>
      <c r="AB1099" s="5"/>
      <c r="AC1099" s="5"/>
      <c r="AD1099" s="5">
        <f ca="1">IFERROR(__xludf.DUMMYFUNCTION("""COMPUTED_VALUE"""),50)</f>
        <v>50</v>
      </c>
      <c r="AE1099" s="5">
        <f ca="1">IFERROR(__xludf.DUMMYFUNCTION("""COMPUTED_VALUE"""),50)</f>
        <v>50</v>
      </c>
      <c r="AF1099" s="5" t="b">
        <f ca="1">IFERROR(__xludf.DUMMYFUNCTION("""COMPUTED_VALUE"""),FALSE)</f>
        <v>0</v>
      </c>
      <c r="AG1099" s="5" t="str">
        <f ca="1">IFERROR(__xludf.DUMMYFUNCTION("""COMPUTED_VALUE"""),"INSPECCIONES REALIZADAS")</f>
        <v>INSPECCIONES REALIZADAS</v>
      </c>
      <c r="AH1099" s="5"/>
    </row>
    <row r="1100" spans="1:34">
      <c r="A1100" s="5" t="str">
        <f ca="1">IFERROR(__xludf.DUMMYFUNCTION("""COMPUTED_VALUE"""),"EQUIPOS PARA SERVICIOS INDUSTRIALES")</f>
        <v>EQUIPOS PARA SERVICIOS INDUSTRIALES</v>
      </c>
      <c r="B1100" s="5">
        <f ca="1">IFERROR(__xludf.DUMMYFUNCTION("""COMPUTED_VALUE"""),65937001)</f>
        <v>65937001</v>
      </c>
      <c r="C1100" s="5" t="str">
        <f ca="1">IFERROR(__xludf.DUMMYFUNCTION("""COMPUTED_VALUE"""),"TANQUE DIARIO AGUA CALDERAS")</f>
        <v>TANQUE DIARIO AGUA CALDERAS</v>
      </c>
      <c r="D1100" s="5">
        <f ca="1">IFERROR(__xludf.DUMMYFUNCTION("""COMPUTED_VALUE"""),13247511)</f>
        <v>13247511</v>
      </c>
      <c r="E1100" s="5" t="str">
        <f ca="1">IFERROR(__xludf.DUMMYFUNCTION("""COMPUTED_VALUE"""),"INSPECCION SEMANAL TANQUE DIARIO AGUA C")</f>
        <v>INSPECCION SEMANAL TANQUE DIARIO AGUA C</v>
      </c>
      <c r="F1100" s="5" t="str">
        <f ca="1">IFERROR(__xludf.DUMMYFUNCTION("""COMPUTED_VALUE"""),"INSP SSITEMA ELECTRICO GRAL")</f>
        <v>INSP SSITEMA ELECTRICO GRAL</v>
      </c>
      <c r="G1100" s="5" t="b">
        <f ca="1">IFERROR(__xludf.DUMMYFUNCTION("""COMPUTED_VALUE"""),TRUE)</f>
        <v>1</v>
      </c>
      <c r="H1100" s="5"/>
      <c r="I1100" s="5"/>
      <c r="J1100" s="5">
        <f ca="1">IFERROR(__xludf.DUMMYFUNCTION("""COMPUTED_VALUE"""),13247511)</f>
        <v>13247511</v>
      </c>
      <c r="K1100" s="5"/>
      <c r="L1100" s="18">
        <f ca="1">IFERROR(__xludf.DUMMYFUNCTION("""COMPUTED_VALUE"""),45325)</f>
        <v>45325</v>
      </c>
      <c r="M1100" s="18">
        <f ca="1">IFERROR(__xludf.DUMMYFUNCTION("""COMPUTED_VALUE"""),45325)</f>
        <v>45325</v>
      </c>
      <c r="N1100" s="5" t="str">
        <f ca="1">IFERROR(__xludf.DUMMYFUNCTION("""COMPUTED_VALUE"""),"Valencia Hector")</f>
        <v>Valencia Hector</v>
      </c>
      <c r="O1100" s="2">
        <f ca="1">IFERROR(__xludf.DUMMYFUNCTION("""COMPUTED_VALUE"""),0.0125)</f>
        <v>1.2500000000000001E-2</v>
      </c>
      <c r="P1100" s="5">
        <f ca="1">IFERROR(__xludf.DUMMYFUNCTION("""COMPUTED_VALUE"""),20015139)</f>
        <v>20015139</v>
      </c>
      <c r="Q1100" s="5" t="str">
        <f ca="1">IFERROR(__xludf.DUMMYFUNCTION("""COMPUTED_VALUE"""),"flIcHjijdoQ")</f>
        <v>flIcHjijdoQ</v>
      </c>
      <c r="R1100" s="5">
        <f ca="1">IFERROR(__xludf.DUMMYFUNCTION("""COMPUTED_VALUE"""),410)</f>
        <v>410</v>
      </c>
      <c r="S1100" s="62">
        <f ca="1">IFERROR(__xludf.DUMMYFUNCTION("""COMPUTED_VALUE"""),0.0125)</f>
        <v>1.2500000000000001E-2</v>
      </c>
      <c r="T1100" s="63" t="str">
        <f ca="1">IFERROR(__xludf.DUMMYFUNCTION("""COMPUTED_VALUE"""),"https://storage.googleapis.com/glide-prod.appspot.com/uploads-v2/ly7o78grxPaC6KdgvbpS/pub/3aRdSog0vUtuqPE8AJKD.png")</f>
        <v>https://storage.googleapis.com/glide-prod.appspot.com/uploads-v2/ly7o78grxPaC6KdgvbpS/pub/3aRdSog0vUtuqPE8AJKD.png</v>
      </c>
      <c r="U1100" s="5" t="str">
        <f ca="1">IFERROR(__xludf.DUMMYFUNCTION("""COMPUTED_VALUE"""),"EQUIPOS PARA SERVICIOS INDUSTRIALESTANQUE DIARIO AGUA CALDERAS")</f>
        <v>EQUIPOS PARA SERVICIOS INDUSTRIALESTANQUE DIARIO AGUA CALDERAS</v>
      </c>
      <c r="V1100" s="5"/>
      <c r="W1100" s="5" t="b">
        <f ca="1">IFERROR(__xludf.DUMMYFUNCTION("""COMPUTED_VALUE"""),TRUE)</f>
        <v>1</v>
      </c>
      <c r="X1100" s="5" t="str">
        <f ca="1">IFERROR(__xludf.DUMMYFUNCTION("""COMPUTED_VALUE"""),"wmazorra@postobon.com.co,aprmttoyu@postobon.com.co,aprmyu@postobon.com.co,wmora@postobon.com.co,efzapata@postobon.com.co")</f>
        <v>wmazorra@postobon.com.co,aprmttoyu@postobon.com.co,aprmyu@postobon.com.co,wmora@postobon.com.co,efzapata@postobon.com.co</v>
      </c>
      <c r="Y1100" s="5" t="str">
        <f ca="1">IFERROR(__xludf.DUMMYFUNCTION("""COMPUTED_VALUE"""),"wmazorra@postobon.com.co")</f>
        <v>wmazorra@postobon.com.co</v>
      </c>
      <c r="Z1100" s="5" t="str">
        <f ca="1">IFERROR(__xludf.DUMMYFUNCTION("""COMPUTED_VALUE"""),"ZpgrR3gkQ3i77C0l847T0A")</f>
        <v>ZpgrR3gkQ3i77C0l847T0A</v>
      </c>
      <c r="AA1100" s="5"/>
      <c r="AB1100" s="5"/>
      <c r="AC1100" s="5"/>
      <c r="AD1100" s="5">
        <f ca="1">IFERROR(__xludf.DUMMYFUNCTION("""COMPUTED_VALUE"""),50)</f>
        <v>50</v>
      </c>
      <c r="AE1100" s="5">
        <f ca="1">IFERROR(__xludf.DUMMYFUNCTION("""COMPUTED_VALUE"""),50)</f>
        <v>50</v>
      </c>
      <c r="AF1100" s="5" t="b">
        <f ca="1">IFERROR(__xludf.DUMMYFUNCTION("""COMPUTED_VALUE"""),FALSE)</f>
        <v>0</v>
      </c>
      <c r="AG1100" s="5" t="str">
        <f ca="1">IFERROR(__xludf.DUMMYFUNCTION("""COMPUTED_VALUE"""),"INSPECCIONES REALIZADAS")</f>
        <v>INSPECCIONES REALIZADAS</v>
      </c>
      <c r="AH1100" s="5"/>
    </row>
    <row r="1101" spans="1:34">
      <c r="A1101" s="5" t="str">
        <f ca="1">IFERROR(__xludf.DUMMYFUNCTION("""COMPUTED_VALUE"""),"EQUIPOS PARA SERVICIOS INDUSTRIALES")</f>
        <v>EQUIPOS PARA SERVICIOS INDUSTRIALES</v>
      </c>
      <c r="B1101" s="5">
        <f ca="1">IFERROR(__xludf.DUMMYFUNCTION("""COMPUTED_VALUE"""),69841201)</f>
        <v>69841201</v>
      </c>
      <c r="C1101" s="5" t="str">
        <f ca="1">IFERROR(__xludf.DUMMYFUNCTION("""COMPUTED_VALUE"""),"TANQUE AGUA REFRIGERADA")</f>
        <v>TANQUE AGUA REFRIGERADA</v>
      </c>
      <c r="D1101" s="5">
        <f ca="1">IFERROR(__xludf.DUMMYFUNCTION("""COMPUTED_VALUE"""),13247512)</f>
        <v>13247512</v>
      </c>
      <c r="E1101" s="5" t="str">
        <f ca="1">IFERROR(__xludf.DUMMYFUNCTION("""COMPUTED_VALUE"""),"INSPECCION SEMANAL TANQUE AGUA REFRIGERA")</f>
        <v>INSPECCION SEMANAL TANQUE AGUA REFRIGERA</v>
      </c>
      <c r="F1101" s="5" t="str">
        <f ca="1">IFERROR(__xludf.DUMMYFUNCTION("""COMPUTED_VALUE"""),"ESTADO TANQUES")</f>
        <v>ESTADO TANQUES</v>
      </c>
      <c r="G1101" s="5" t="b">
        <f ca="1">IFERROR(__xludf.DUMMYFUNCTION("""COMPUTED_VALUE"""),TRUE)</f>
        <v>1</v>
      </c>
      <c r="H1101" s="5"/>
      <c r="I1101" s="5"/>
      <c r="J1101" s="5">
        <f ca="1">IFERROR(__xludf.DUMMYFUNCTION("""COMPUTED_VALUE"""),13247512)</f>
        <v>13247512</v>
      </c>
      <c r="K1101" s="5"/>
      <c r="L1101" s="18">
        <f ca="1">IFERROR(__xludf.DUMMYFUNCTION("""COMPUTED_VALUE"""),45324)</f>
        <v>45324</v>
      </c>
      <c r="M1101" s="18">
        <f ca="1">IFERROR(__xludf.DUMMYFUNCTION("""COMPUTED_VALUE"""),45324)</f>
        <v>45324</v>
      </c>
      <c r="N1101" s="5" t="str">
        <f ca="1">IFERROR(__xludf.DUMMYFUNCTION("""COMPUTED_VALUE"""),"Guzman Palechor Miguel Angel")</f>
        <v>Guzman Palechor Miguel Angel</v>
      </c>
      <c r="O1101" s="2">
        <f ca="1">IFERROR(__xludf.DUMMYFUNCTION("""COMPUTED_VALUE"""),0.0125)</f>
        <v>1.2500000000000001E-2</v>
      </c>
      <c r="P1101" s="5">
        <f ca="1">IFERROR(__xludf.DUMMYFUNCTION("""COMPUTED_VALUE"""),20009822)</f>
        <v>20009822</v>
      </c>
      <c r="Q1101" s="5" t="str">
        <f ca="1">IFERROR(__xludf.DUMMYFUNCTION("""COMPUTED_VALUE"""),"INX9oFmr4DU")</f>
        <v>INX9oFmr4DU</v>
      </c>
      <c r="R1101" s="5">
        <f ca="1">IFERROR(__xludf.DUMMYFUNCTION("""COMPUTED_VALUE"""),410)</f>
        <v>410</v>
      </c>
      <c r="S1101" s="62">
        <f ca="1">IFERROR(__xludf.DUMMYFUNCTION("""COMPUTED_VALUE"""),0.0125)</f>
        <v>1.2500000000000001E-2</v>
      </c>
      <c r="T1101" s="63" t="str">
        <f ca="1">IFERROR(__xludf.DUMMYFUNCTION("""COMPUTED_VALUE"""),"https://storage.googleapis.com/glide-prod.appspot.com/uploads-v2/ly7o78grxPaC6KdgvbpS/pub/3aRdSog0vUtuqPE8AJKD.png")</f>
        <v>https://storage.googleapis.com/glide-prod.appspot.com/uploads-v2/ly7o78grxPaC6KdgvbpS/pub/3aRdSog0vUtuqPE8AJKD.png</v>
      </c>
      <c r="U1101" s="5" t="str">
        <f ca="1">IFERROR(__xludf.DUMMYFUNCTION("""COMPUTED_VALUE"""),"EQUIPOS PARA SERVICIOS INDUSTRIALESTANQUE AGUA REFRIGERADA")</f>
        <v>EQUIPOS PARA SERVICIOS INDUSTRIALESTANQUE AGUA REFRIGERADA</v>
      </c>
      <c r="V1101" s="5"/>
      <c r="W1101" s="5" t="b">
        <f ca="1">IFERROR(__xludf.DUMMYFUNCTION("""COMPUTED_VALUE"""),TRUE)</f>
        <v>1</v>
      </c>
      <c r="X1101" s="5" t="str">
        <f ca="1">IFERROR(__xludf.DUMMYFUNCTION("""COMPUTED_VALUE"""),"wmazorra@postobon.com.co,aprmttoyu@postobon.com.co,aprmyu@postobon.com.co,wmora@postobon.com.co,efzapata@postobon.com.co")</f>
        <v>wmazorra@postobon.com.co,aprmttoyu@postobon.com.co,aprmyu@postobon.com.co,wmora@postobon.com.co,efzapata@postobon.com.co</v>
      </c>
      <c r="Y1101" s="5" t="str">
        <f ca="1">IFERROR(__xludf.DUMMYFUNCTION("""COMPUTED_VALUE"""),"wmazorra@postobon.com.co")</f>
        <v>wmazorra@postobon.com.co</v>
      </c>
      <c r="Z1101" s="5" t="str">
        <f ca="1">IFERROR(__xludf.DUMMYFUNCTION("""COMPUTED_VALUE"""),"BrWyCmW6R76UodH4fnHEAw")</f>
        <v>BrWyCmW6R76UodH4fnHEAw</v>
      </c>
      <c r="AA1101" s="5"/>
      <c r="AB1101" s="5"/>
      <c r="AC1101" s="5"/>
      <c r="AD1101" s="5">
        <f ca="1">IFERROR(__xludf.DUMMYFUNCTION("""COMPUTED_VALUE"""),34)</f>
        <v>34</v>
      </c>
      <c r="AE1101" s="5">
        <f ca="1">IFERROR(__xludf.DUMMYFUNCTION("""COMPUTED_VALUE"""),34)</f>
        <v>34</v>
      </c>
      <c r="AF1101" s="5" t="b">
        <f ca="1">IFERROR(__xludf.DUMMYFUNCTION("""COMPUTED_VALUE"""),FALSE)</f>
        <v>0</v>
      </c>
      <c r="AG1101" s="5" t="str">
        <f ca="1">IFERROR(__xludf.DUMMYFUNCTION("""COMPUTED_VALUE"""),"INSPECCIONES REALIZADAS")</f>
        <v>INSPECCIONES REALIZADAS</v>
      </c>
      <c r="AH1101" s="5"/>
    </row>
    <row r="1102" spans="1:34">
      <c r="A1102" s="5" t="str">
        <f ca="1">IFERROR(__xludf.DUMMYFUNCTION("""COMPUTED_VALUE"""),"EQUIPOS PARA SERVICIOS INDUSTRIALES")</f>
        <v>EQUIPOS PARA SERVICIOS INDUSTRIALES</v>
      </c>
      <c r="B1102" s="5">
        <f ca="1">IFERROR(__xludf.DUMMYFUNCTION("""COMPUTED_VALUE"""),69841201)</f>
        <v>69841201</v>
      </c>
      <c r="C1102" s="5" t="str">
        <f ca="1">IFERROR(__xludf.DUMMYFUNCTION("""COMPUTED_VALUE"""),"TANQUE AGUA REFRIGERADA")</f>
        <v>TANQUE AGUA REFRIGERADA</v>
      </c>
      <c r="D1102" s="5">
        <f ca="1">IFERROR(__xludf.DUMMYFUNCTION("""COMPUTED_VALUE"""),13247512)</f>
        <v>13247512</v>
      </c>
      <c r="E1102" s="5" t="str">
        <f ca="1">IFERROR(__xludf.DUMMYFUNCTION("""COMPUTED_VALUE"""),"INSPECCION SEMANAL TANQUE AGUA REFRIGERA")</f>
        <v>INSPECCION SEMANAL TANQUE AGUA REFRIGERA</v>
      </c>
      <c r="F1102" s="5" t="str">
        <f ca="1">IFERROR(__xludf.DUMMYFUNCTION("""COMPUTED_VALUE"""),"VISORES NIVEL")</f>
        <v>VISORES NIVEL</v>
      </c>
      <c r="G1102" s="5" t="b">
        <f ca="1">IFERROR(__xludf.DUMMYFUNCTION("""COMPUTED_VALUE"""),TRUE)</f>
        <v>1</v>
      </c>
      <c r="H1102" s="5"/>
      <c r="I1102" s="5"/>
      <c r="J1102" s="5">
        <f ca="1">IFERROR(__xludf.DUMMYFUNCTION("""COMPUTED_VALUE"""),13247512)</f>
        <v>13247512</v>
      </c>
      <c r="K1102" s="5"/>
      <c r="L1102" s="18">
        <f ca="1">IFERROR(__xludf.DUMMYFUNCTION("""COMPUTED_VALUE"""),45324)</f>
        <v>45324</v>
      </c>
      <c r="M1102" s="18">
        <f ca="1">IFERROR(__xludf.DUMMYFUNCTION("""COMPUTED_VALUE"""),45324)</f>
        <v>45324</v>
      </c>
      <c r="N1102" s="5" t="str">
        <f ca="1">IFERROR(__xludf.DUMMYFUNCTION("""COMPUTED_VALUE"""),"Guzman Palechor Miguel Angel")</f>
        <v>Guzman Palechor Miguel Angel</v>
      </c>
      <c r="O1102" s="2">
        <f ca="1">IFERROR(__xludf.DUMMYFUNCTION("""COMPUTED_VALUE"""),0.0125)</f>
        <v>1.2500000000000001E-2</v>
      </c>
      <c r="P1102" s="5">
        <f ca="1">IFERROR(__xludf.DUMMYFUNCTION("""COMPUTED_VALUE"""),20009822)</f>
        <v>20009822</v>
      </c>
      <c r="Q1102" s="5" t="str">
        <f ca="1">IFERROR(__xludf.DUMMYFUNCTION("""COMPUTED_VALUE"""),"DXx3Xk7GzAU")</f>
        <v>DXx3Xk7GzAU</v>
      </c>
      <c r="R1102" s="5">
        <f ca="1">IFERROR(__xludf.DUMMYFUNCTION("""COMPUTED_VALUE"""),410)</f>
        <v>410</v>
      </c>
      <c r="S1102" s="62">
        <f ca="1">IFERROR(__xludf.DUMMYFUNCTION("""COMPUTED_VALUE"""),0.0125)</f>
        <v>1.2500000000000001E-2</v>
      </c>
      <c r="T1102" s="63" t="str">
        <f ca="1">IFERROR(__xludf.DUMMYFUNCTION("""COMPUTED_VALUE"""),"https://storage.googleapis.com/glide-prod.appspot.com/uploads-v2/ly7o78grxPaC6KdgvbpS/pub/3aRdSog0vUtuqPE8AJKD.png")</f>
        <v>https://storage.googleapis.com/glide-prod.appspot.com/uploads-v2/ly7o78grxPaC6KdgvbpS/pub/3aRdSog0vUtuqPE8AJKD.png</v>
      </c>
      <c r="U1102" s="5" t="str">
        <f ca="1">IFERROR(__xludf.DUMMYFUNCTION("""COMPUTED_VALUE"""),"EQUIPOS PARA SERVICIOS INDUSTRIALESTANQUE AGUA REFRIGERADA")</f>
        <v>EQUIPOS PARA SERVICIOS INDUSTRIALESTANQUE AGUA REFRIGERADA</v>
      </c>
      <c r="V1102" s="5"/>
      <c r="W1102" s="5" t="b">
        <f ca="1">IFERROR(__xludf.DUMMYFUNCTION("""COMPUTED_VALUE"""),TRUE)</f>
        <v>1</v>
      </c>
      <c r="X1102" s="5" t="str">
        <f ca="1">IFERROR(__xludf.DUMMYFUNCTION("""COMPUTED_VALUE"""),"wmazorra@postobon.com.co,aprmttoyu@postobon.com.co,aprmyu@postobon.com.co,wmora@postobon.com.co,efzapata@postobon.com.co")</f>
        <v>wmazorra@postobon.com.co,aprmttoyu@postobon.com.co,aprmyu@postobon.com.co,wmora@postobon.com.co,efzapata@postobon.com.co</v>
      </c>
      <c r="Y1102" s="5" t="str">
        <f ca="1">IFERROR(__xludf.DUMMYFUNCTION("""COMPUTED_VALUE"""),"wmazorra@postobon.com.co")</f>
        <v>wmazorra@postobon.com.co</v>
      </c>
      <c r="Z1102" s="5" t="str">
        <f ca="1">IFERROR(__xludf.DUMMYFUNCTION("""COMPUTED_VALUE"""),"RY.0rAloQPqORycQaGwHNg")</f>
        <v>RY.0rAloQPqORycQaGwHNg</v>
      </c>
      <c r="AA1102" s="5"/>
      <c r="AB1102" s="5"/>
      <c r="AC1102" s="5"/>
      <c r="AD1102" s="5">
        <f ca="1">IFERROR(__xludf.DUMMYFUNCTION("""COMPUTED_VALUE"""),34)</f>
        <v>34</v>
      </c>
      <c r="AE1102" s="5">
        <f ca="1">IFERROR(__xludf.DUMMYFUNCTION("""COMPUTED_VALUE"""),34)</f>
        <v>34</v>
      </c>
      <c r="AF1102" s="5" t="b">
        <f ca="1">IFERROR(__xludf.DUMMYFUNCTION("""COMPUTED_VALUE"""),FALSE)</f>
        <v>0</v>
      </c>
      <c r="AG1102" s="5" t="str">
        <f ca="1">IFERROR(__xludf.DUMMYFUNCTION("""COMPUTED_VALUE"""),"INSPECCIONES REALIZADAS")</f>
        <v>INSPECCIONES REALIZADAS</v>
      </c>
      <c r="AH1102" s="5"/>
    </row>
    <row r="1103" spans="1:34">
      <c r="A1103" s="5" t="str">
        <f ca="1">IFERROR(__xludf.DUMMYFUNCTION("""COMPUTED_VALUE"""),"EQUIPOS PARA SERVICIOS INDUSTRIALES")</f>
        <v>EQUIPOS PARA SERVICIOS INDUSTRIALES</v>
      </c>
      <c r="B1103" s="5">
        <f ca="1">IFERROR(__xludf.DUMMYFUNCTION("""COMPUTED_VALUE"""),69841201)</f>
        <v>69841201</v>
      </c>
      <c r="C1103" s="5" t="str">
        <f ca="1">IFERROR(__xludf.DUMMYFUNCTION("""COMPUTED_VALUE"""),"TANQUE AGUA REFRIGERADA")</f>
        <v>TANQUE AGUA REFRIGERADA</v>
      </c>
      <c r="D1103" s="5">
        <f ca="1">IFERROR(__xludf.DUMMYFUNCTION("""COMPUTED_VALUE"""),13247512)</f>
        <v>13247512</v>
      </c>
      <c r="E1103" s="5" t="str">
        <f ca="1">IFERROR(__xludf.DUMMYFUNCTION("""COMPUTED_VALUE"""),"INSPECCION SEMANAL TANQUE AGUA REFRIGERA")</f>
        <v>INSPECCION SEMANAL TANQUE AGUA REFRIGERA</v>
      </c>
      <c r="F1103" s="5" t="str">
        <f ca="1">IFERROR(__xludf.DUMMYFUNCTION("""COMPUTED_VALUE"""),"FUNC. VALVULAS, TUBERIAS")</f>
        <v>FUNC. VALVULAS, TUBERIAS</v>
      </c>
      <c r="G1103" s="5" t="b">
        <f ca="1">IFERROR(__xludf.DUMMYFUNCTION("""COMPUTED_VALUE"""),TRUE)</f>
        <v>1</v>
      </c>
      <c r="H1103" s="5"/>
      <c r="I1103" s="5"/>
      <c r="J1103" s="5">
        <f ca="1">IFERROR(__xludf.DUMMYFUNCTION("""COMPUTED_VALUE"""),13247512)</f>
        <v>13247512</v>
      </c>
      <c r="K1103" s="5"/>
      <c r="L1103" s="18">
        <f ca="1">IFERROR(__xludf.DUMMYFUNCTION("""COMPUTED_VALUE"""),45324)</f>
        <v>45324</v>
      </c>
      <c r="M1103" s="18">
        <f ca="1">IFERROR(__xludf.DUMMYFUNCTION("""COMPUTED_VALUE"""),45324)</f>
        <v>45324</v>
      </c>
      <c r="N1103" s="5" t="str">
        <f ca="1">IFERROR(__xludf.DUMMYFUNCTION("""COMPUTED_VALUE"""),"Guzman Palechor Miguel Angel")</f>
        <v>Guzman Palechor Miguel Angel</v>
      </c>
      <c r="O1103" s="2">
        <f ca="1">IFERROR(__xludf.DUMMYFUNCTION("""COMPUTED_VALUE"""),0.0125)</f>
        <v>1.2500000000000001E-2</v>
      </c>
      <c r="P1103" s="5">
        <f ca="1">IFERROR(__xludf.DUMMYFUNCTION("""COMPUTED_VALUE"""),20009822)</f>
        <v>20009822</v>
      </c>
      <c r="Q1103" s="5" t="str">
        <f ca="1">IFERROR(__xludf.DUMMYFUNCTION("""COMPUTED_VALUE"""),"9n3sNmgKKEw")</f>
        <v>9n3sNmgKKEw</v>
      </c>
      <c r="R1103" s="5">
        <f ca="1">IFERROR(__xludf.DUMMYFUNCTION("""COMPUTED_VALUE"""),410)</f>
        <v>410</v>
      </c>
      <c r="S1103" s="62">
        <f ca="1">IFERROR(__xludf.DUMMYFUNCTION("""COMPUTED_VALUE"""),0.0125)</f>
        <v>1.2500000000000001E-2</v>
      </c>
      <c r="T1103" s="63" t="str">
        <f ca="1">IFERROR(__xludf.DUMMYFUNCTION("""COMPUTED_VALUE"""),"https://storage.googleapis.com/glide-prod.appspot.com/uploads-v2/ly7o78grxPaC6KdgvbpS/pub/3aRdSog0vUtuqPE8AJKD.png")</f>
        <v>https://storage.googleapis.com/glide-prod.appspot.com/uploads-v2/ly7o78grxPaC6KdgvbpS/pub/3aRdSog0vUtuqPE8AJKD.png</v>
      </c>
      <c r="U1103" s="5" t="str">
        <f ca="1">IFERROR(__xludf.DUMMYFUNCTION("""COMPUTED_VALUE"""),"EQUIPOS PARA SERVICIOS INDUSTRIALESTANQUE AGUA REFRIGERADA")</f>
        <v>EQUIPOS PARA SERVICIOS INDUSTRIALESTANQUE AGUA REFRIGERADA</v>
      </c>
      <c r="V1103" s="5"/>
      <c r="W1103" s="5" t="b">
        <f ca="1">IFERROR(__xludf.DUMMYFUNCTION("""COMPUTED_VALUE"""),TRUE)</f>
        <v>1</v>
      </c>
      <c r="X1103" s="5" t="str">
        <f ca="1">IFERROR(__xludf.DUMMYFUNCTION("""COMPUTED_VALUE"""),"wmazorra@postobon.com.co,aprmttoyu@postobon.com.co,aprmyu@postobon.com.co,wmora@postobon.com.co,efzapata@postobon.com.co")</f>
        <v>wmazorra@postobon.com.co,aprmttoyu@postobon.com.co,aprmyu@postobon.com.co,wmora@postobon.com.co,efzapata@postobon.com.co</v>
      </c>
      <c r="Y1103" s="5" t="str">
        <f ca="1">IFERROR(__xludf.DUMMYFUNCTION("""COMPUTED_VALUE"""),"wmazorra@postobon.com.co")</f>
        <v>wmazorra@postobon.com.co</v>
      </c>
      <c r="Z1103" s="5" t="str">
        <f ca="1">IFERROR(__xludf.DUMMYFUNCTION("""COMPUTED_VALUE"""),"7kytUa5OTh6ujBcc4fOHQg")</f>
        <v>7kytUa5OTh6ujBcc4fOHQg</v>
      </c>
      <c r="AA1103" s="5"/>
      <c r="AB1103" s="5"/>
      <c r="AC1103" s="5"/>
      <c r="AD1103" s="5">
        <f ca="1">IFERROR(__xludf.DUMMYFUNCTION("""COMPUTED_VALUE"""),34)</f>
        <v>34</v>
      </c>
      <c r="AE1103" s="5">
        <f ca="1">IFERROR(__xludf.DUMMYFUNCTION("""COMPUTED_VALUE"""),34)</f>
        <v>34</v>
      </c>
      <c r="AF1103" s="5" t="b">
        <f ca="1">IFERROR(__xludf.DUMMYFUNCTION("""COMPUTED_VALUE"""),FALSE)</f>
        <v>0</v>
      </c>
      <c r="AG1103" s="5" t="str">
        <f ca="1">IFERROR(__xludf.DUMMYFUNCTION("""COMPUTED_VALUE"""),"INSPECCIONES REALIZADAS")</f>
        <v>INSPECCIONES REALIZADAS</v>
      </c>
      <c r="AH1103" s="5" t="str">
        <f ca="1">IFERROR(__xludf.DUMMYFUNCTION("""COMPUTED_VALUE"""),"EN TRAMITE")</f>
        <v>EN TRAMITE</v>
      </c>
    </row>
    <row r="1104" spans="1:34">
      <c r="A1104" s="5" t="str">
        <f ca="1">IFERROR(__xludf.DUMMYFUNCTION("""COMPUTED_VALUE"""),"EQUIPOS PARA SERVICIOS INDUSTRIALES")</f>
        <v>EQUIPOS PARA SERVICIOS INDUSTRIALES</v>
      </c>
      <c r="B1104" s="5">
        <f ca="1">IFERROR(__xludf.DUMMYFUNCTION("""COMPUTED_VALUE"""),69841201)</f>
        <v>69841201</v>
      </c>
      <c r="C1104" s="5" t="str">
        <f ca="1">IFERROR(__xludf.DUMMYFUNCTION("""COMPUTED_VALUE"""),"TANQUE AGUA REFRIGERADA")</f>
        <v>TANQUE AGUA REFRIGERADA</v>
      </c>
      <c r="D1104" s="5">
        <f ca="1">IFERROR(__xludf.DUMMYFUNCTION("""COMPUTED_VALUE"""),13247512)</f>
        <v>13247512</v>
      </c>
      <c r="E1104" s="5" t="str">
        <f ca="1">IFERROR(__xludf.DUMMYFUNCTION("""COMPUTED_VALUE"""),"INSPECCION SEMANAL TANQUE AGUA REFRIGERA")</f>
        <v>INSPECCION SEMANAL TANQUE AGUA REFRIGERA</v>
      </c>
      <c r="F1104" s="5" t="str">
        <f ca="1">IFERROR(__xludf.DUMMYFUNCTION("""COMPUTED_VALUE"""),"ESCAPE FLUIDOS (CO2,ACPM,SODA,AMONIACO)")</f>
        <v>ESCAPE FLUIDOS (CO2,ACPM,SODA,AMONIACO)</v>
      </c>
      <c r="G1104" s="5" t="b">
        <f ca="1">IFERROR(__xludf.DUMMYFUNCTION("""COMPUTED_VALUE"""),TRUE)</f>
        <v>1</v>
      </c>
      <c r="H1104" s="5"/>
      <c r="I1104" s="5"/>
      <c r="J1104" s="5">
        <f ca="1">IFERROR(__xludf.DUMMYFUNCTION("""COMPUTED_VALUE"""),13247512)</f>
        <v>13247512</v>
      </c>
      <c r="K1104" s="5"/>
      <c r="L1104" s="18">
        <f ca="1">IFERROR(__xludf.DUMMYFUNCTION("""COMPUTED_VALUE"""),45324)</f>
        <v>45324</v>
      </c>
      <c r="M1104" s="18">
        <f ca="1">IFERROR(__xludf.DUMMYFUNCTION("""COMPUTED_VALUE"""),45324)</f>
        <v>45324</v>
      </c>
      <c r="N1104" s="5" t="str">
        <f ca="1">IFERROR(__xludf.DUMMYFUNCTION("""COMPUTED_VALUE"""),"Guzman Palechor Miguel Angel")</f>
        <v>Guzman Palechor Miguel Angel</v>
      </c>
      <c r="O1104" s="2">
        <f ca="1">IFERROR(__xludf.DUMMYFUNCTION("""COMPUTED_VALUE"""),0.0125)</f>
        <v>1.2500000000000001E-2</v>
      </c>
      <c r="P1104" s="5">
        <f ca="1">IFERROR(__xludf.DUMMYFUNCTION("""COMPUTED_VALUE"""),20009822)</f>
        <v>20009822</v>
      </c>
      <c r="Q1104" s="5" t="str">
        <f ca="1">IFERROR(__xludf.DUMMYFUNCTION("""COMPUTED_VALUE"""),"2Y4HfiYnLNo")</f>
        <v>2Y4HfiYnLNo</v>
      </c>
      <c r="R1104" s="5">
        <f ca="1">IFERROR(__xludf.DUMMYFUNCTION("""COMPUTED_VALUE"""),410)</f>
        <v>410</v>
      </c>
      <c r="S1104" s="62">
        <f ca="1">IFERROR(__xludf.DUMMYFUNCTION("""COMPUTED_VALUE"""),0.0125)</f>
        <v>1.2500000000000001E-2</v>
      </c>
      <c r="T1104" s="63" t="str">
        <f ca="1">IFERROR(__xludf.DUMMYFUNCTION("""COMPUTED_VALUE"""),"https://storage.googleapis.com/glide-prod.appspot.com/uploads-v2/ly7o78grxPaC6KdgvbpS/pub/3aRdSog0vUtuqPE8AJKD.png")</f>
        <v>https://storage.googleapis.com/glide-prod.appspot.com/uploads-v2/ly7o78grxPaC6KdgvbpS/pub/3aRdSog0vUtuqPE8AJKD.png</v>
      </c>
      <c r="U1104" s="5" t="str">
        <f ca="1">IFERROR(__xludf.DUMMYFUNCTION("""COMPUTED_VALUE"""),"EQUIPOS PARA SERVICIOS INDUSTRIALESTANQUE AGUA REFRIGERADA")</f>
        <v>EQUIPOS PARA SERVICIOS INDUSTRIALESTANQUE AGUA REFRIGERADA</v>
      </c>
      <c r="V1104" s="5"/>
      <c r="W1104" s="5" t="b">
        <f ca="1">IFERROR(__xludf.DUMMYFUNCTION("""COMPUTED_VALUE"""),TRUE)</f>
        <v>1</v>
      </c>
      <c r="X1104" s="5" t="str">
        <f ca="1">IFERROR(__xludf.DUMMYFUNCTION("""COMPUTED_VALUE"""),"wmazorra@postobon.com.co,aprmttoyu@postobon.com.co,aprmyu@postobon.com.co,wmora@postobon.com.co,efzapata@postobon.com.co")</f>
        <v>wmazorra@postobon.com.co,aprmttoyu@postobon.com.co,aprmyu@postobon.com.co,wmora@postobon.com.co,efzapata@postobon.com.co</v>
      </c>
      <c r="Y1104" s="5" t="str">
        <f ca="1">IFERROR(__xludf.DUMMYFUNCTION("""COMPUTED_VALUE"""),"wmazorra@postobon.com.co")</f>
        <v>wmazorra@postobon.com.co</v>
      </c>
      <c r="Z1104" s="5" t="str">
        <f ca="1">IFERROR(__xludf.DUMMYFUNCTION("""COMPUTED_VALUE"""),"oTde0ghOQWiCZkF-avmwBQ")</f>
        <v>oTde0ghOQWiCZkF-avmwBQ</v>
      </c>
      <c r="AA1104" s="5"/>
      <c r="AB1104" s="5"/>
      <c r="AC1104" s="5"/>
      <c r="AD1104" s="5">
        <f ca="1">IFERROR(__xludf.DUMMYFUNCTION("""COMPUTED_VALUE"""),34)</f>
        <v>34</v>
      </c>
      <c r="AE1104" s="5">
        <f ca="1">IFERROR(__xludf.DUMMYFUNCTION("""COMPUTED_VALUE"""),34)</f>
        <v>34</v>
      </c>
      <c r="AF1104" s="5" t="b">
        <f ca="1">IFERROR(__xludf.DUMMYFUNCTION("""COMPUTED_VALUE"""),FALSE)</f>
        <v>0</v>
      </c>
      <c r="AG1104" s="5" t="str">
        <f ca="1">IFERROR(__xludf.DUMMYFUNCTION("""COMPUTED_VALUE"""),"INSPECCIONES REALIZADAS")</f>
        <v>INSPECCIONES REALIZADAS</v>
      </c>
      <c r="AH1104" s="5"/>
    </row>
    <row r="1105" spans="1:34">
      <c r="A1105" s="5" t="str">
        <f ca="1">IFERROR(__xludf.DUMMYFUNCTION("""COMPUTED_VALUE"""),"EQUIPOS PARA SERVICIOS INDUSTRIALES")</f>
        <v>EQUIPOS PARA SERVICIOS INDUSTRIALES</v>
      </c>
      <c r="B1105" s="5">
        <f ca="1">IFERROR(__xludf.DUMMYFUNCTION("""COMPUTED_VALUE"""),69841201)</f>
        <v>69841201</v>
      </c>
      <c r="C1105" s="5" t="str">
        <f ca="1">IFERROR(__xludf.DUMMYFUNCTION("""COMPUTED_VALUE"""),"TANQUE AGUA REFRIGERADA")</f>
        <v>TANQUE AGUA REFRIGERADA</v>
      </c>
      <c r="D1105" s="5">
        <f ca="1">IFERROR(__xludf.DUMMYFUNCTION("""COMPUTED_VALUE"""),13247512)</f>
        <v>13247512</v>
      </c>
      <c r="E1105" s="5" t="str">
        <f ca="1">IFERROR(__xludf.DUMMYFUNCTION("""COMPUTED_VALUE"""),"INSPECCION SEMANAL TANQUE AGUA REFRIGERA")</f>
        <v>INSPECCION SEMANAL TANQUE AGUA REFRIGERA</v>
      </c>
      <c r="F1105" s="5" t="str">
        <f ca="1">IFERROR(__xludf.DUMMYFUNCTION("""COMPUTED_VALUE"""),"FUNC. MOTOBOM TANQUE(SODA,ACPM)")</f>
        <v>FUNC. MOTOBOM TANQUE(SODA,ACPM)</v>
      </c>
      <c r="G1105" s="5" t="b">
        <f ca="1">IFERROR(__xludf.DUMMYFUNCTION("""COMPUTED_VALUE"""),TRUE)</f>
        <v>1</v>
      </c>
      <c r="H1105" s="5"/>
      <c r="I1105" s="5"/>
      <c r="J1105" s="5">
        <f ca="1">IFERROR(__xludf.DUMMYFUNCTION("""COMPUTED_VALUE"""),13247512)</f>
        <v>13247512</v>
      </c>
      <c r="K1105" s="5"/>
      <c r="L1105" s="18">
        <f ca="1">IFERROR(__xludf.DUMMYFUNCTION("""COMPUTED_VALUE"""),45324)</f>
        <v>45324</v>
      </c>
      <c r="M1105" s="18">
        <f ca="1">IFERROR(__xludf.DUMMYFUNCTION("""COMPUTED_VALUE"""),45324)</f>
        <v>45324</v>
      </c>
      <c r="N1105" s="5" t="str">
        <f ca="1">IFERROR(__xludf.DUMMYFUNCTION("""COMPUTED_VALUE"""),"Guzman Palechor Miguel Angel")</f>
        <v>Guzman Palechor Miguel Angel</v>
      </c>
      <c r="O1105" s="2">
        <f ca="1">IFERROR(__xludf.DUMMYFUNCTION("""COMPUTED_VALUE"""),0.0125)</f>
        <v>1.2500000000000001E-2</v>
      </c>
      <c r="P1105" s="5">
        <f ca="1">IFERROR(__xludf.DUMMYFUNCTION("""COMPUTED_VALUE"""),20009822)</f>
        <v>20009822</v>
      </c>
      <c r="Q1105" s="5" t="str">
        <f ca="1">IFERROR(__xludf.DUMMYFUNCTION("""COMPUTED_VALUE"""),"NofRJNpmxJM")</f>
        <v>NofRJNpmxJM</v>
      </c>
      <c r="R1105" s="5">
        <f ca="1">IFERROR(__xludf.DUMMYFUNCTION("""COMPUTED_VALUE"""),410)</f>
        <v>410</v>
      </c>
      <c r="S1105" s="62">
        <f ca="1">IFERROR(__xludf.DUMMYFUNCTION("""COMPUTED_VALUE"""),0.0125)</f>
        <v>1.2500000000000001E-2</v>
      </c>
      <c r="T1105" s="63" t="str">
        <f ca="1">IFERROR(__xludf.DUMMYFUNCTION("""COMPUTED_VALUE"""),"https://storage.googleapis.com/glide-prod.appspot.com/uploads-v2/ly7o78grxPaC6KdgvbpS/pub/3aRdSog0vUtuqPE8AJKD.png")</f>
        <v>https://storage.googleapis.com/glide-prod.appspot.com/uploads-v2/ly7o78grxPaC6KdgvbpS/pub/3aRdSog0vUtuqPE8AJKD.png</v>
      </c>
      <c r="U1105" s="5" t="str">
        <f ca="1">IFERROR(__xludf.DUMMYFUNCTION("""COMPUTED_VALUE"""),"EQUIPOS PARA SERVICIOS INDUSTRIALESTANQUE AGUA REFRIGERADA")</f>
        <v>EQUIPOS PARA SERVICIOS INDUSTRIALESTANQUE AGUA REFRIGERADA</v>
      </c>
      <c r="V1105" s="5"/>
      <c r="W1105" s="5" t="b">
        <f ca="1">IFERROR(__xludf.DUMMYFUNCTION("""COMPUTED_VALUE"""),TRUE)</f>
        <v>1</v>
      </c>
      <c r="X1105" s="5" t="str">
        <f ca="1">IFERROR(__xludf.DUMMYFUNCTION("""COMPUTED_VALUE"""),"wmazorra@postobon.com.co,aprmttoyu@postobon.com.co,aprmyu@postobon.com.co,wmora@postobon.com.co,efzapata@postobon.com.co")</f>
        <v>wmazorra@postobon.com.co,aprmttoyu@postobon.com.co,aprmyu@postobon.com.co,wmora@postobon.com.co,efzapata@postobon.com.co</v>
      </c>
      <c r="Y1105" s="5" t="str">
        <f ca="1">IFERROR(__xludf.DUMMYFUNCTION("""COMPUTED_VALUE"""),"wmazorra@postobon.com.co")</f>
        <v>wmazorra@postobon.com.co</v>
      </c>
      <c r="Z1105" s="5" t="str">
        <f ca="1">IFERROR(__xludf.DUMMYFUNCTION("""COMPUTED_VALUE"""),"wAZt5ZFGSC-K9sTBtGrnaA")</f>
        <v>wAZt5ZFGSC-K9sTBtGrnaA</v>
      </c>
      <c r="AA1105" s="5"/>
      <c r="AB1105" s="5"/>
      <c r="AC1105" s="5"/>
      <c r="AD1105" s="5">
        <f ca="1">IFERROR(__xludf.DUMMYFUNCTION("""COMPUTED_VALUE"""),34)</f>
        <v>34</v>
      </c>
      <c r="AE1105" s="5">
        <f ca="1">IFERROR(__xludf.DUMMYFUNCTION("""COMPUTED_VALUE"""),34)</f>
        <v>34</v>
      </c>
      <c r="AF1105" s="5" t="b">
        <f ca="1">IFERROR(__xludf.DUMMYFUNCTION("""COMPUTED_VALUE"""),FALSE)</f>
        <v>0</v>
      </c>
      <c r="AG1105" s="5" t="str">
        <f ca="1">IFERROR(__xludf.DUMMYFUNCTION("""COMPUTED_VALUE"""),"INSPECCIONES REALIZADAS")</f>
        <v>INSPECCIONES REALIZADAS</v>
      </c>
      <c r="AH1105" s="5"/>
    </row>
    <row r="1106" spans="1:34">
      <c r="A1106" s="5" t="str">
        <f ca="1">IFERROR(__xludf.DUMMYFUNCTION("""COMPUTED_VALUE"""),"EQUIPOS PARA SERVICIOS INDUSTRIALES")</f>
        <v>EQUIPOS PARA SERVICIOS INDUSTRIALES</v>
      </c>
      <c r="B1106" s="5">
        <f ca="1">IFERROR(__xludf.DUMMYFUNCTION("""COMPUTED_VALUE"""),69841201)</f>
        <v>69841201</v>
      </c>
      <c r="C1106" s="5" t="str">
        <f ca="1">IFERROR(__xludf.DUMMYFUNCTION("""COMPUTED_VALUE"""),"TANQUE AGUA REFRIGERADA")</f>
        <v>TANQUE AGUA REFRIGERADA</v>
      </c>
      <c r="D1106" s="5">
        <f ca="1">IFERROR(__xludf.DUMMYFUNCTION("""COMPUTED_VALUE"""),13247512)</f>
        <v>13247512</v>
      </c>
      <c r="E1106" s="5" t="str">
        <f ca="1">IFERROR(__xludf.DUMMYFUNCTION("""COMPUTED_VALUE"""),"INSPECCION SEMANAL TANQUE AGUA REFRIGERA")</f>
        <v>INSPECCION SEMANAL TANQUE AGUA REFRIGERA</v>
      </c>
      <c r="F1106" s="5" t="str">
        <f ca="1">IFERROR(__xludf.DUMMYFUNCTION("""COMPUTED_VALUE"""),"INSTRUMENTOS MEDICION")</f>
        <v>INSTRUMENTOS MEDICION</v>
      </c>
      <c r="G1106" s="5" t="b">
        <f ca="1">IFERROR(__xludf.DUMMYFUNCTION("""COMPUTED_VALUE"""),TRUE)</f>
        <v>1</v>
      </c>
      <c r="H1106" s="5"/>
      <c r="I1106" s="5"/>
      <c r="J1106" s="5">
        <f ca="1">IFERROR(__xludf.DUMMYFUNCTION("""COMPUTED_VALUE"""),13247512)</f>
        <v>13247512</v>
      </c>
      <c r="K1106" s="5"/>
      <c r="L1106" s="18">
        <f ca="1">IFERROR(__xludf.DUMMYFUNCTION("""COMPUTED_VALUE"""),45324)</f>
        <v>45324</v>
      </c>
      <c r="M1106" s="18">
        <f ca="1">IFERROR(__xludf.DUMMYFUNCTION("""COMPUTED_VALUE"""),45324)</f>
        <v>45324</v>
      </c>
      <c r="N1106" s="5" t="str">
        <f ca="1">IFERROR(__xludf.DUMMYFUNCTION("""COMPUTED_VALUE"""),"Guzman Palechor Miguel Angel")</f>
        <v>Guzman Palechor Miguel Angel</v>
      </c>
      <c r="O1106" s="2">
        <f ca="1">IFERROR(__xludf.DUMMYFUNCTION("""COMPUTED_VALUE"""),0.0125)</f>
        <v>1.2500000000000001E-2</v>
      </c>
      <c r="P1106" s="5">
        <f ca="1">IFERROR(__xludf.DUMMYFUNCTION("""COMPUTED_VALUE"""),20009822)</f>
        <v>20009822</v>
      </c>
      <c r="Q1106" s="5" t="str">
        <f ca="1">IFERROR(__xludf.DUMMYFUNCTION("""COMPUTED_VALUE"""),"FGKXFbDbBoI")</f>
        <v>FGKXFbDbBoI</v>
      </c>
      <c r="R1106" s="5">
        <f ca="1">IFERROR(__xludf.DUMMYFUNCTION("""COMPUTED_VALUE"""),410)</f>
        <v>410</v>
      </c>
      <c r="S1106" s="62">
        <f ca="1">IFERROR(__xludf.DUMMYFUNCTION("""COMPUTED_VALUE"""),0.0125)</f>
        <v>1.2500000000000001E-2</v>
      </c>
      <c r="T1106" s="63" t="str">
        <f ca="1">IFERROR(__xludf.DUMMYFUNCTION("""COMPUTED_VALUE"""),"https://storage.googleapis.com/glide-prod.appspot.com/uploads-v2/ly7o78grxPaC6KdgvbpS/pub/3aRdSog0vUtuqPE8AJKD.png")</f>
        <v>https://storage.googleapis.com/glide-prod.appspot.com/uploads-v2/ly7o78grxPaC6KdgvbpS/pub/3aRdSog0vUtuqPE8AJKD.png</v>
      </c>
      <c r="U1106" s="5" t="str">
        <f ca="1">IFERROR(__xludf.DUMMYFUNCTION("""COMPUTED_VALUE"""),"EQUIPOS PARA SERVICIOS INDUSTRIALESTANQUE AGUA REFRIGERADA")</f>
        <v>EQUIPOS PARA SERVICIOS INDUSTRIALESTANQUE AGUA REFRIGERADA</v>
      </c>
      <c r="V1106" s="5"/>
      <c r="W1106" s="5" t="b">
        <f ca="1">IFERROR(__xludf.DUMMYFUNCTION("""COMPUTED_VALUE"""),TRUE)</f>
        <v>1</v>
      </c>
      <c r="X1106" s="5" t="str">
        <f ca="1">IFERROR(__xludf.DUMMYFUNCTION("""COMPUTED_VALUE"""),"wmazorra@postobon.com.co,aprmttoyu@postobon.com.co,aprmyu@postobon.com.co,wmora@postobon.com.co,efzapata@postobon.com.co")</f>
        <v>wmazorra@postobon.com.co,aprmttoyu@postobon.com.co,aprmyu@postobon.com.co,wmora@postobon.com.co,efzapata@postobon.com.co</v>
      </c>
      <c r="Y1106" s="5" t="str">
        <f ca="1">IFERROR(__xludf.DUMMYFUNCTION("""COMPUTED_VALUE"""),"wmazorra@postobon.com.co")</f>
        <v>wmazorra@postobon.com.co</v>
      </c>
      <c r="Z1106" s="5" t="str">
        <f ca="1">IFERROR(__xludf.DUMMYFUNCTION("""COMPUTED_VALUE"""),"nA6Bje5cTMidh.AxtZNhoA")</f>
        <v>nA6Bje5cTMidh.AxtZNhoA</v>
      </c>
      <c r="AA1106" s="5"/>
      <c r="AB1106" s="5"/>
      <c r="AC1106" s="5"/>
      <c r="AD1106" s="5">
        <f ca="1">IFERROR(__xludf.DUMMYFUNCTION("""COMPUTED_VALUE"""),34)</f>
        <v>34</v>
      </c>
      <c r="AE1106" s="5">
        <f ca="1">IFERROR(__xludf.DUMMYFUNCTION("""COMPUTED_VALUE"""),34)</f>
        <v>34</v>
      </c>
      <c r="AF1106" s="5" t="b">
        <f ca="1">IFERROR(__xludf.DUMMYFUNCTION("""COMPUTED_VALUE"""),FALSE)</f>
        <v>0</v>
      </c>
      <c r="AG1106" s="5" t="str">
        <f ca="1">IFERROR(__xludf.DUMMYFUNCTION("""COMPUTED_VALUE"""),"INSPECCIONES REALIZADAS")</f>
        <v>INSPECCIONES REALIZADAS</v>
      </c>
      <c r="AH1106" s="5"/>
    </row>
    <row r="1107" spans="1:34">
      <c r="A1107" s="5" t="str">
        <f ca="1">IFERROR(__xludf.DUMMYFUNCTION("""COMPUTED_VALUE"""),"EQUIPOS PARA SERVICIOS INDUSTRIALES")</f>
        <v>EQUIPOS PARA SERVICIOS INDUSTRIALES</v>
      </c>
      <c r="B1107" s="5">
        <f ca="1">IFERROR(__xludf.DUMMYFUNCTION("""COMPUTED_VALUE"""),69841201)</f>
        <v>69841201</v>
      </c>
      <c r="C1107" s="5" t="str">
        <f ca="1">IFERROR(__xludf.DUMMYFUNCTION("""COMPUTED_VALUE"""),"TANQUE AGUA REFRIGERADA")</f>
        <v>TANQUE AGUA REFRIGERADA</v>
      </c>
      <c r="D1107" s="5">
        <f ca="1">IFERROR(__xludf.DUMMYFUNCTION("""COMPUTED_VALUE"""),13247512)</f>
        <v>13247512</v>
      </c>
      <c r="E1107" s="5" t="str">
        <f ca="1">IFERROR(__xludf.DUMMYFUNCTION("""COMPUTED_VALUE"""),"INSPECCION SEMANAL TANQUE AGUA REFRIGERA")</f>
        <v>INSPECCION SEMANAL TANQUE AGUA REFRIGERA</v>
      </c>
      <c r="F1107" s="5" t="str">
        <f ca="1">IFERROR(__xludf.DUMMYFUNCTION("""COMPUTED_VALUE"""),"ESTADO GRAL PINTURA")</f>
        <v>ESTADO GRAL PINTURA</v>
      </c>
      <c r="G1107" s="5" t="b">
        <f ca="1">IFERROR(__xludf.DUMMYFUNCTION("""COMPUTED_VALUE"""),TRUE)</f>
        <v>1</v>
      </c>
      <c r="H1107" s="5"/>
      <c r="I1107" s="5"/>
      <c r="J1107" s="5">
        <f ca="1">IFERROR(__xludf.DUMMYFUNCTION("""COMPUTED_VALUE"""),13247512)</f>
        <v>13247512</v>
      </c>
      <c r="K1107" s="5"/>
      <c r="L1107" s="18">
        <f ca="1">IFERROR(__xludf.DUMMYFUNCTION("""COMPUTED_VALUE"""),45324)</f>
        <v>45324</v>
      </c>
      <c r="M1107" s="18">
        <f ca="1">IFERROR(__xludf.DUMMYFUNCTION("""COMPUTED_VALUE"""),45324)</f>
        <v>45324</v>
      </c>
      <c r="N1107" s="5" t="str">
        <f ca="1">IFERROR(__xludf.DUMMYFUNCTION("""COMPUTED_VALUE"""),"Guzman Palechor Miguel Angel")</f>
        <v>Guzman Palechor Miguel Angel</v>
      </c>
      <c r="O1107" s="2">
        <f ca="1">IFERROR(__xludf.DUMMYFUNCTION("""COMPUTED_VALUE"""),0.0125)</f>
        <v>1.2500000000000001E-2</v>
      </c>
      <c r="P1107" s="5">
        <f ca="1">IFERROR(__xludf.DUMMYFUNCTION("""COMPUTED_VALUE"""),20009822)</f>
        <v>20009822</v>
      </c>
      <c r="Q1107" s="5" t="str">
        <f ca="1">IFERROR(__xludf.DUMMYFUNCTION("""COMPUTED_VALUE"""),"nWOkg3zqtXs")</f>
        <v>nWOkg3zqtXs</v>
      </c>
      <c r="R1107" s="5">
        <f ca="1">IFERROR(__xludf.DUMMYFUNCTION("""COMPUTED_VALUE"""),410)</f>
        <v>410</v>
      </c>
      <c r="S1107" s="62">
        <f ca="1">IFERROR(__xludf.DUMMYFUNCTION("""COMPUTED_VALUE"""),0.0125)</f>
        <v>1.2500000000000001E-2</v>
      </c>
      <c r="T1107" s="63" t="str">
        <f ca="1">IFERROR(__xludf.DUMMYFUNCTION("""COMPUTED_VALUE"""),"https://storage.googleapis.com/glide-prod.appspot.com/uploads-v2/ly7o78grxPaC6KdgvbpS/pub/3aRdSog0vUtuqPE8AJKD.png")</f>
        <v>https://storage.googleapis.com/glide-prod.appspot.com/uploads-v2/ly7o78grxPaC6KdgvbpS/pub/3aRdSog0vUtuqPE8AJKD.png</v>
      </c>
      <c r="U1107" s="5" t="str">
        <f ca="1">IFERROR(__xludf.DUMMYFUNCTION("""COMPUTED_VALUE"""),"EQUIPOS PARA SERVICIOS INDUSTRIALESTANQUE AGUA REFRIGERADA")</f>
        <v>EQUIPOS PARA SERVICIOS INDUSTRIALESTANQUE AGUA REFRIGERADA</v>
      </c>
      <c r="V1107" s="5"/>
      <c r="W1107" s="5" t="b">
        <f ca="1">IFERROR(__xludf.DUMMYFUNCTION("""COMPUTED_VALUE"""),TRUE)</f>
        <v>1</v>
      </c>
      <c r="X1107" s="5" t="str">
        <f ca="1">IFERROR(__xludf.DUMMYFUNCTION("""COMPUTED_VALUE"""),"wmazorra@postobon.com.co,aprmttoyu@postobon.com.co,aprmyu@postobon.com.co,wmora@postobon.com.co,efzapata@postobon.com.co")</f>
        <v>wmazorra@postobon.com.co,aprmttoyu@postobon.com.co,aprmyu@postobon.com.co,wmora@postobon.com.co,efzapata@postobon.com.co</v>
      </c>
      <c r="Y1107" s="5" t="str">
        <f ca="1">IFERROR(__xludf.DUMMYFUNCTION("""COMPUTED_VALUE"""),"wmazorra@postobon.com.co")</f>
        <v>wmazorra@postobon.com.co</v>
      </c>
      <c r="Z1107" s="5" t="str">
        <f ca="1">IFERROR(__xludf.DUMMYFUNCTION("""COMPUTED_VALUE"""),"SyJFNa9fR6CVHSFprCg5.Q")</f>
        <v>SyJFNa9fR6CVHSFprCg5.Q</v>
      </c>
      <c r="AA1107" s="5"/>
      <c r="AB1107" s="5"/>
      <c r="AC1107" s="5"/>
      <c r="AD1107" s="5">
        <f ca="1">IFERROR(__xludf.DUMMYFUNCTION("""COMPUTED_VALUE"""),34)</f>
        <v>34</v>
      </c>
      <c r="AE1107" s="5">
        <f ca="1">IFERROR(__xludf.DUMMYFUNCTION("""COMPUTED_VALUE"""),34)</f>
        <v>34</v>
      </c>
      <c r="AF1107" s="5" t="b">
        <f ca="1">IFERROR(__xludf.DUMMYFUNCTION("""COMPUTED_VALUE"""),FALSE)</f>
        <v>0</v>
      </c>
      <c r="AG1107" s="5" t="str">
        <f ca="1">IFERROR(__xludf.DUMMYFUNCTION("""COMPUTED_VALUE"""),"INSPECCIONES REALIZADAS")</f>
        <v>INSPECCIONES REALIZADAS</v>
      </c>
      <c r="AH1107" s="5"/>
    </row>
    <row r="1108" spans="1:34">
      <c r="A1108" s="5" t="str">
        <f ca="1">IFERROR(__xludf.DUMMYFUNCTION("""COMPUTED_VALUE"""),"EQUIPOS PARA SERVICIOS INDUSTRIALES")</f>
        <v>EQUIPOS PARA SERVICIOS INDUSTRIALES</v>
      </c>
      <c r="B1108" s="5">
        <f ca="1">IFERROR(__xludf.DUMMYFUNCTION("""COMPUTED_VALUE"""),69841201)</f>
        <v>69841201</v>
      </c>
      <c r="C1108" s="5" t="str">
        <f ca="1">IFERROR(__xludf.DUMMYFUNCTION("""COMPUTED_VALUE"""),"TANQUE AGUA REFRIGERADA")</f>
        <v>TANQUE AGUA REFRIGERADA</v>
      </c>
      <c r="D1108" s="5">
        <f ca="1">IFERROR(__xludf.DUMMYFUNCTION("""COMPUTED_VALUE"""),13247512)</f>
        <v>13247512</v>
      </c>
      <c r="E1108" s="5" t="str">
        <f ca="1">IFERROR(__xludf.DUMMYFUNCTION("""COMPUTED_VALUE"""),"INSPECCION SEMANAL TANQUE AGUA REFRIGERA")</f>
        <v>INSPECCION SEMANAL TANQUE AGUA REFRIGERA</v>
      </c>
      <c r="F1108" s="5" t="str">
        <f ca="1">IFERROR(__xludf.DUMMYFUNCTION("""COMPUTED_VALUE"""),"INSP SSITEMA ELECTRICO GRAL")</f>
        <v>INSP SSITEMA ELECTRICO GRAL</v>
      </c>
      <c r="G1108" s="5" t="b">
        <f ca="1">IFERROR(__xludf.DUMMYFUNCTION("""COMPUTED_VALUE"""),TRUE)</f>
        <v>1</v>
      </c>
      <c r="H1108" s="5"/>
      <c r="I1108" s="5"/>
      <c r="J1108" s="5">
        <f ca="1">IFERROR(__xludf.DUMMYFUNCTION("""COMPUTED_VALUE"""),13247512)</f>
        <v>13247512</v>
      </c>
      <c r="K1108" s="5"/>
      <c r="L1108" s="18">
        <f ca="1">IFERROR(__xludf.DUMMYFUNCTION("""COMPUTED_VALUE"""),45324)</f>
        <v>45324</v>
      </c>
      <c r="M1108" s="18">
        <f ca="1">IFERROR(__xludf.DUMMYFUNCTION("""COMPUTED_VALUE"""),45324)</f>
        <v>45324</v>
      </c>
      <c r="N1108" s="5" t="str">
        <f ca="1">IFERROR(__xludf.DUMMYFUNCTION("""COMPUTED_VALUE"""),"Guzman Palechor Miguel Angel")</f>
        <v>Guzman Palechor Miguel Angel</v>
      </c>
      <c r="O1108" s="2">
        <f ca="1">IFERROR(__xludf.DUMMYFUNCTION("""COMPUTED_VALUE"""),0.0125)</f>
        <v>1.2500000000000001E-2</v>
      </c>
      <c r="P1108" s="5">
        <f ca="1">IFERROR(__xludf.DUMMYFUNCTION("""COMPUTED_VALUE"""),20009822)</f>
        <v>20009822</v>
      </c>
      <c r="Q1108" s="5" t="str">
        <f ca="1">IFERROR(__xludf.DUMMYFUNCTION("""COMPUTED_VALUE"""),"mpltlme452M")</f>
        <v>mpltlme452M</v>
      </c>
      <c r="R1108" s="5">
        <f ca="1">IFERROR(__xludf.DUMMYFUNCTION("""COMPUTED_VALUE"""),410)</f>
        <v>410</v>
      </c>
      <c r="S1108" s="62">
        <f ca="1">IFERROR(__xludf.DUMMYFUNCTION("""COMPUTED_VALUE"""),0.0125)</f>
        <v>1.2500000000000001E-2</v>
      </c>
      <c r="T1108" s="63" t="str">
        <f ca="1">IFERROR(__xludf.DUMMYFUNCTION("""COMPUTED_VALUE"""),"https://storage.googleapis.com/glide-prod.appspot.com/uploads-v2/ly7o78grxPaC6KdgvbpS/pub/3aRdSog0vUtuqPE8AJKD.png")</f>
        <v>https://storage.googleapis.com/glide-prod.appspot.com/uploads-v2/ly7o78grxPaC6KdgvbpS/pub/3aRdSog0vUtuqPE8AJKD.png</v>
      </c>
      <c r="U1108" s="5" t="str">
        <f ca="1">IFERROR(__xludf.DUMMYFUNCTION("""COMPUTED_VALUE"""),"EQUIPOS PARA SERVICIOS INDUSTRIALESTANQUE AGUA REFRIGERADA")</f>
        <v>EQUIPOS PARA SERVICIOS INDUSTRIALESTANQUE AGUA REFRIGERADA</v>
      </c>
      <c r="V1108" s="5"/>
      <c r="W1108" s="5" t="b">
        <f ca="1">IFERROR(__xludf.DUMMYFUNCTION("""COMPUTED_VALUE"""),TRUE)</f>
        <v>1</v>
      </c>
      <c r="X1108" s="5" t="str">
        <f ca="1">IFERROR(__xludf.DUMMYFUNCTION("""COMPUTED_VALUE"""),"wmazorra@postobon.com.co,aprmttoyu@postobon.com.co,aprmyu@postobon.com.co,wmora@postobon.com.co,efzapata@postobon.com.co")</f>
        <v>wmazorra@postobon.com.co,aprmttoyu@postobon.com.co,aprmyu@postobon.com.co,wmora@postobon.com.co,efzapata@postobon.com.co</v>
      </c>
      <c r="Y1108" s="5" t="str">
        <f ca="1">IFERROR(__xludf.DUMMYFUNCTION("""COMPUTED_VALUE"""),"wmazorra@postobon.com.co")</f>
        <v>wmazorra@postobon.com.co</v>
      </c>
      <c r="Z1108" s="5" t="str">
        <f ca="1">IFERROR(__xludf.DUMMYFUNCTION("""COMPUTED_VALUE"""),"BgLUNVkkQZCeYZDM7v0AgQ")</f>
        <v>BgLUNVkkQZCeYZDM7v0AgQ</v>
      </c>
      <c r="AA1108" s="5"/>
      <c r="AB1108" s="5"/>
      <c r="AC1108" s="5"/>
      <c r="AD1108" s="5">
        <f ca="1">IFERROR(__xludf.DUMMYFUNCTION("""COMPUTED_VALUE"""),34)</f>
        <v>34</v>
      </c>
      <c r="AE1108" s="5">
        <f ca="1">IFERROR(__xludf.DUMMYFUNCTION("""COMPUTED_VALUE"""),34)</f>
        <v>34</v>
      </c>
      <c r="AF1108" s="5" t="b">
        <f ca="1">IFERROR(__xludf.DUMMYFUNCTION("""COMPUTED_VALUE"""),FALSE)</f>
        <v>0</v>
      </c>
      <c r="AG1108" s="5" t="str">
        <f ca="1">IFERROR(__xludf.DUMMYFUNCTION("""COMPUTED_VALUE"""),"INSPECCIONES REALIZADAS")</f>
        <v>INSPECCIONES REALIZADAS</v>
      </c>
      <c r="AH1108" s="5"/>
    </row>
    <row r="1109" spans="1:34">
      <c r="A1109" s="5" t="str">
        <f ca="1">IFERROR(__xludf.DUMMYFUNCTION("""COMPUTED_VALUE"""),"EQUIPOS PARA SERVICIOS INDUSTRIALES")</f>
        <v>EQUIPOS PARA SERVICIOS INDUSTRIALES</v>
      </c>
      <c r="B1109" s="5">
        <f ca="1">IFERROR(__xludf.DUMMYFUNCTION("""COMPUTED_VALUE"""),66944501)</f>
        <v>66944501</v>
      </c>
      <c r="C1109" s="5" t="str">
        <f ca="1">IFERROR(__xludf.DUMMYFUNCTION("""COMPUTED_VALUE"""),"TANQUE AGUA TORRE")</f>
        <v>TANQUE AGUA TORRE</v>
      </c>
      <c r="D1109" s="5">
        <f ca="1">IFERROR(__xludf.DUMMYFUNCTION("""COMPUTED_VALUE"""),13247514)</f>
        <v>13247514</v>
      </c>
      <c r="E1109" s="5" t="str">
        <f ca="1">IFERROR(__xludf.DUMMYFUNCTION("""COMPUTED_VALUE"""),"INSPECCION SEMANAL TANQUE AGUA TORRE")</f>
        <v>INSPECCION SEMANAL TANQUE AGUA TORRE</v>
      </c>
      <c r="F1109" s="5" t="str">
        <f ca="1">IFERROR(__xludf.DUMMYFUNCTION("""COMPUTED_VALUE"""),"ESTADO TANQUES")</f>
        <v>ESTADO TANQUES</v>
      </c>
      <c r="G1109" s="5" t="b">
        <f ca="1">IFERROR(__xludf.DUMMYFUNCTION("""COMPUTED_VALUE"""),TRUE)</f>
        <v>1</v>
      </c>
      <c r="H1109" s="5"/>
      <c r="I1109" s="5"/>
      <c r="J1109" s="5">
        <f ca="1">IFERROR(__xludf.DUMMYFUNCTION("""COMPUTED_VALUE"""),13247514)</f>
        <v>13247514</v>
      </c>
      <c r="K1109" s="5"/>
      <c r="L1109" s="18">
        <f ca="1">IFERROR(__xludf.DUMMYFUNCTION("""COMPUTED_VALUE"""),45324)</f>
        <v>45324</v>
      </c>
      <c r="M1109" s="18">
        <f ca="1">IFERROR(__xludf.DUMMYFUNCTION("""COMPUTED_VALUE"""),45324)</f>
        <v>45324</v>
      </c>
      <c r="N1109" s="5" t="str">
        <f ca="1">IFERROR(__xludf.DUMMYFUNCTION("""COMPUTED_VALUE"""),"Guzman Palechor Miguel Angel")</f>
        <v>Guzman Palechor Miguel Angel</v>
      </c>
      <c r="O1109" s="2">
        <f ca="1">IFERROR(__xludf.DUMMYFUNCTION("""COMPUTED_VALUE"""),0.0125)</f>
        <v>1.2500000000000001E-2</v>
      </c>
      <c r="P1109" s="5">
        <f ca="1">IFERROR(__xludf.DUMMYFUNCTION("""COMPUTED_VALUE"""),20009822)</f>
        <v>20009822</v>
      </c>
      <c r="Q1109" s="5" t="str">
        <f ca="1">IFERROR(__xludf.DUMMYFUNCTION("""COMPUTED_VALUE"""),"4-gcmuJXNhk")</f>
        <v>4-gcmuJXNhk</v>
      </c>
      <c r="R1109" s="5">
        <f ca="1">IFERROR(__xludf.DUMMYFUNCTION("""COMPUTED_VALUE"""),410)</f>
        <v>410</v>
      </c>
      <c r="S1109" s="62">
        <f ca="1">IFERROR(__xludf.DUMMYFUNCTION("""COMPUTED_VALUE"""),0.0125)</f>
        <v>1.2500000000000001E-2</v>
      </c>
      <c r="T1109" s="63" t="str">
        <f ca="1">IFERROR(__xludf.DUMMYFUNCTION("""COMPUTED_VALUE"""),"https://storage.googleapis.com/glide-prod.appspot.com/uploads-v2/ly7o78grxPaC6KdgvbpS/pub/3aRdSog0vUtuqPE8AJKD.png")</f>
        <v>https://storage.googleapis.com/glide-prod.appspot.com/uploads-v2/ly7o78grxPaC6KdgvbpS/pub/3aRdSog0vUtuqPE8AJKD.png</v>
      </c>
      <c r="U1109" s="5" t="str">
        <f ca="1">IFERROR(__xludf.DUMMYFUNCTION("""COMPUTED_VALUE"""),"EQUIPOS PARA SERVICIOS INDUSTRIALESTANQUE AGUA TORRE")</f>
        <v>EQUIPOS PARA SERVICIOS INDUSTRIALESTANQUE AGUA TORRE</v>
      </c>
      <c r="V1109" s="5"/>
      <c r="W1109" s="5" t="b">
        <f ca="1">IFERROR(__xludf.DUMMYFUNCTION("""COMPUTED_VALUE"""),TRUE)</f>
        <v>1</v>
      </c>
      <c r="X1109" s="5" t="str">
        <f ca="1">IFERROR(__xludf.DUMMYFUNCTION("""COMPUTED_VALUE"""),"wmazorra@postobon.com.co,aprmttoyu@postobon.com.co,aprmyu@postobon.com.co,wmora@postobon.com.co,efzapata@postobon.com.co")</f>
        <v>wmazorra@postobon.com.co,aprmttoyu@postobon.com.co,aprmyu@postobon.com.co,wmora@postobon.com.co,efzapata@postobon.com.co</v>
      </c>
      <c r="Y1109" s="5" t="str">
        <f ca="1">IFERROR(__xludf.DUMMYFUNCTION("""COMPUTED_VALUE"""),"wmazorra@postobon.com.co")</f>
        <v>wmazorra@postobon.com.co</v>
      </c>
      <c r="Z1109" s="5" t="str">
        <f ca="1">IFERROR(__xludf.DUMMYFUNCTION("""COMPUTED_VALUE"""),"oFre4qaXSamENTpzULQmZA")</f>
        <v>oFre4qaXSamENTpzULQmZA</v>
      </c>
      <c r="AA1109" s="5"/>
      <c r="AB1109" s="5"/>
      <c r="AC1109" s="5"/>
      <c r="AD1109" s="5">
        <f ca="1">IFERROR(__xludf.DUMMYFUNCTION("""COMPUTED_VALUE"""),34)</f>
        <v>34</v>
      </c>
      <c r="AE1109" s="5">
        <f ca="1">IFERROR(__xludf.DUMMYFUNCTION("""COMPUTED_VALUE"""),34)</f>
        <v>34</v>
      </c>
      <c r="AF1109" s="5" t="b">
        <f ca="1">IFERROR(__xludf.DUMMYFUNCTION("""COMPUTED_VALUE"""),FALSE)</f>
        <v>0</v>
      </c>
      <c r="AG1109" s="5" t="str">
        <f ca="1">IFERROR(__xludf.DUMMYFUNCTION("""COMPUTED_VALUE"""),"INSPECCIONES REALIZADAS")</f>
        <v>INSPECCIONES REALIZADAS</v>
      </c>
      <c r="AH1109" s="5"/>
    </row>
    <row r="1110" spans="1:34">
      <c r="A1110" s="5" t="str">
        <f ca="1">IFERROR(__xludf.DUMMYFUNCTION("""COMPUTED_VALUE"""),"EQUIPOS PARA SERVICIOS INDUSTRIALES")</f>
        <v>EQUIPOS PARA SERVICIOS INDUSTRIALES</v>
      </c>
      <c r="B1110" s="5">
        <f ca="1">IFERROR(__xludf.DUMMYFUNCTION("""COMPUTED_VALUE"""),66944501)</f>
        <v>66944501</v>
      </c>
      <c r="C1110" s="5" t="str">
        <f ca="1">IFERROR(__xludf.DUMMYFUNCTION("""COMPUTED_VALUE"""),"TANQUE AGUA TORRE")</f>
        <v>TANQUE AGUA TORRE</v>
      </c>
      <c r="D1110" s="5">
        <f ca="1">IFERROR(__xludf.DUMMYFUNCTION("""COMPUTED_VALUE"""),13247514)</f>
        <v>13247514</v>
      </c>
      <c r="E1110" s="5" t="str">
        <f ca="1">IFERROR(__xludf.DUMMYFUNCTION("""COMPUTED_VALUE"""),"INSPECCION SEMANAL TANQUE AGUA TORRE")</f>
        <v>INSPECCION SEMANAL TANQUE AGUA TORRE</v>
      </c>
      <c r="F1110" s="5" t="str">
        <f ca="1">IFERROR(__xludf.DUMMYFUNCTION("""COMPUTED_VALUE"""),"VISORES NIVEL")</f>
        <v>VISORES NIVEL</v>
      </c>
      <c r="G1110" s="5" t="b">
        <f ca="1">IFERROR(__xludf.DUMMYFUNCTION("""COMPUTED_VALUE"""),TRUE)</f>
        <v>1</v>
      </c>
      <c r="H1110" s="5"/>
      <c r="I1110" s="5"/>
      <c r="J1110" s="5">
        <f ca="1">IFERROR(__xludf.DUMMYFUNCTION("""COMPUTED_VALUE"""),13247514)</f>
        <v>13247514</v>
      </c>
      <c r="K1110" s="5"/>
      <c r="L1110" s="18">
        <f ca="1">IFERROR(__xludf.DUMMYFUNCTION("""COMPUTED_VALUE"""),45324)</f>
        <v>45324</v>
      </c>
      <c r="M1110" s="18">
        <f ca="1">IFERROR(__xludf.DUMMYFUNCTION("""COMPUTED_VALUE"""),45324)</f>
        <v>45324</v>
      </c>
      <c r="N1110" s="5" t="str">
        <f ca="1">IFERROR(__xludf.DUMMYFUNCTION("""COMPUTED_VALUE"""),"Guzman Palechor Miguel Angel")</f>
        <v>Guzman Palechor Miguel Angel</v>
      </c>
      <c r="O1110" s="2">
        <f ca="1">IFERROR(__xludf.DUMMYFUNCTION("""COMPUTED_VALUE"""),0.0125)</f>
        <v>1.2500000000000001E-2</v>
      </c>
      <c r="P1110" s="5">
        <f ca="1">IFERROR(__xludf.DUMMYFUNCTION("""COMPUTED_VALUE"""),20009822)</f>
        <v>20009822</v>
      </c>
      <c r="Q1110" s="5" t="str">
        <f ca="1">IFERROR(__xludf.DUMMYFUNCTION("""COMPUTED_VALUE"""),"JILzIAvIENU")</f>
        <v>JILzIAvIENU</v>
      </c>
      <c r="R1110" s="5">
        <f ca="1">IFERROR(__xludf.DUMMYFUNCTION("""COMPUTED_VALUE"""),410)</f>
        <v>410</v>
      </c>
      <c r="S1110" s="62">
        <f ca="1">IFERROR(__xludf.DUMMYFUNCTION("""COMPUTED_VALUE"""),0.0125)</f>
        <v>1.2500000000000001E-2</v>
      </c>
      <c r="T1110" s="63" t="str">
        <f ca="1">IFERROR(__xludf.DUMMYFUNCTION("""COMPUTED_VALUE"""),"https://storage.googleapis.com/glide-prod.appspot.com/uploads-v2/ly7o78grxPaC6KdgvbpS/pub/3aRdSog0vUtuqPE8AJKD.png")</f>
        <v>https://storage.googleapis.com/glide-prod.appspot.com/uploads-v2/ly7o78grxPaC6KdgvbpS/pub/3aRdSog0vUtuqPE8AJKD.png</v>
      </c>
      <c r="U1110" s="5" t="str">
        <f ca="1">IFERROR(__xludf.DUMMYFUNCTION("""COMPUTED_VALUE"""),"EQUIPOS PARA SERVICIOS INDUSTRIALESTANQUE AGUA TORRE")</f>
        <v>EQUIPOS PARA SERVICIOS INDUSTRIALESTANQUE AGUA TORRE</v>
      </c>
      <c r="V1110" s="5"/>
      <c r="W1110" s="5" t="b">
        <f ca="1">IFERROR(__xludf.DUMMYFUNCTION("""COMPUTED_VALUE"""),TRUE)</f>
        <v>1</v>
      </c>
      <c r="X1110" s="5" t="str">
        <f ca="1">IFERROR(__xludf.DUMMYFUNCTION("""COMPUTED_VALUE"""),"wmazorra@postobon.com.co,aprmttoyu@postobon.com.co,aprmyu@postobon.com.co,wmora@postobon.com.co,efzapata@postobon.com.co")</f>
        <v>wmazorra@postobon.com.co,aprmttoyu@postobon.com.co,aprmyu@postobon.com.co,wmora@postobon.com.co,efzapata@postobon.com.co</v>
      </c>
      <c r="Y1110" s="5" t="str">
        <f ca="1">IFERROR(__xludf.DUMMYFUNCTION("""COMPUTED_VALUE"""),"wmazorra@postobon.com.co")</f>
        <v>wmazorra@postobon.com.co</v>
      </c>
      <c r="Z1110" s="5" t="str">
        <f ca="1">IFERROR(__xludf.DUMMYFUNCTION("""COMPUTED_VALUE"""),"LcyfnjQATdSukvVjOfqInQ")</f>
        <v>LcyfnjQATdSukvVjOfqInQ</v>
      </c>
      <c r="AA1110" s="5"/>
      <c r="AB1110" s="5"/>
      <c r="AC1110" s="5"/>
      <c r="AD1110" s="5">
        <f ca="1">IFERROR(__xludf.DUMMYFUNCTION("""COMPUTED_VALUE"""),34)</f>
        <v>34</v>
      </c>
      <c r="AE1110" s="5">
        <f ca="1">IFERROR(__xludf.DUMMYFUNCTION("""COMPUTED_VALUE"""),34)</f>
        <v>34</v>
      </c>
      <c r="AF1110" s="5" t="b">
        <f ca="1">IFERROR(__xludf.DUMMYFUNCTION("""COMPUTED_VALUE"""),FALSE)</f>
        <v>0</v>
      </c>
      <c r="AG1110" s="5" t="str">
        <f ca="1">IFERROR(__xludf.DUMMYFUNCTION("""COMPUTED_VALUE"""),"INSPECCIONES REALIZADAS")</f>
        <v>INSPECCIONES REALIZADAS</v>
      </c>
      <c r="AH1110" s="5"/>
    </row>
    <row r="1111" spans="1:34">
      <c r="A1111" s="5" t="str">
        <f ca="1">IFERROR(__xludf.DUMMYFUNCTION("""COMPUTED_VALUE"""),"EQUIPOS PARA SERVICIOS INDUSTRIALES")</f>
        <v>EQUIPOS PARA SERVICIOS INDUSTRIALES</v>
      </c>
      <c r="B1111" s="5">
        <f ca="1">IFERROR(__xludf.DUMMYFUNCTION("""COMPUTED_VALUE"""),66944501)</f>
        <v>66944501</v>
      </c>
      <c r="C1111" s="5" t="str">
        <f ca="1">IFERROR(__xludf.DUMMYFUNCTION("""COMPUTED_VALUE"""),"TANQUE AGUA TORRE")</f>
        <v>TANQUE AGUA TORRE</v>
      </c>
      <c r="D1111" s="5">
        <f ca="1">IFERROR(__xludf.DUMMYFUNCTION("""COMPUTED_VALUE"""),13247514)</f>
        <v>13247514</v>
      </c>
      <c r="E1111" s="5" t="str">
        <f ca="1">IFERROR(__xludf.DUMMYFUNCTION("""COMPUTED_VALUE"""),"INSPECCION SEMANAL TANQUE AGUA TORRE")</f>
        <v>INSPECCION SEMANAL TANQUE AGUA TORRE</v>
      </c>
      <c r="F1111" s="5" t="str">
        <f ca="1">IFERROR(__xludf.DUMMYFUNCTION("""COMPUTED_VALUE"""),"FUNC. VALVULAS, TUBERIAS")</f>
        <v>FUNC. VALVULAS, TUBERIAS</v>
      </c>
      <c r="G1111" s="5" t="b">
        <f ca="1">IFERROR(__xludf.DUMMYFUNCTION("""COMPUTED_VALUE"""),TRUE)</f>
        <v>1</v>
      </c>
      <c r="H1111" s="5"/>
      <c r="I1111" s="5"/>
      <c r="J1111" s="5">
        <f ca="1">IFERROR(__xludf.DUMMYFUNCTION("""COMPUTED_VALUE"""),13247514)</f>
        <v>13247514</v>
      </c>
      <c r="K1111" s="5"/>
      <c r="L1111" s="18">
        <f ca="1">IFERROR(__xludf.DUMMYFUNCTION("""COMPUTED_VALUE"""),45324)</f>
        <v>45324</v>
      </c>
      <c r="M1111" s="18">
        <f ca="1">IFERROR(__xludf.DUMMYFUNCTION("""COMPUTED_VALUE"""),45324)</f>
        <v>45324</v>
      </c>
      <c r="N1111" s="5" t="str">
        <f ca="1">IFERROR(__xludf.DUMMYFUNCTION("""COMPUTED_VALUE"""),"Guzman Palechor Miguel Angel")</f>
        <v>Guzman Palechor Miguel Angel</v>
      </c>
      <c r="O1111" s="2">
        <f ca="1">IFERROR(__xludf.DUMMYFUNCTION("""COMPUTED_VALUE"""),0.0125)</f>
        <v>1.2500000000000001E-2</v>
      </c>
      <c r="P1111" s="5">
        <f ca="1">IFERROR(__xludf.DUMMYFUNCTION("""COMPUTED_VALUE"""),20009822)</f>
        <v>20009822</v>
      </c>
      <c r="Q1111" s="5" t="str">
        <f ca="1">IFERROR(__xludf.DUMMYFUNCTION("""COMPUTED_VALUE"""),"OmiCHU8XAo8")</f>
        <v>OmiCHU8XAo8</v>
      </c>
      <c r="R1111" s="5">
        <f ca="1">IFERROR(__xludf.DUMMYFUNCTION("""COMPUTED_VALUE"""),410)</f>
        <v>410</v>
      </c>
      <c r="S1111" s="62">
        <f ca="1">IFERROR(__xludf.DUMMYFUNCTION("""COMPUTED_VALUE"""),0.0125)</f>
        <v>1.2500000000000001E-2</v>
      </c>
      <c r="T1111" s="63" t="str">
        <f ca="1">IFERROR(__xludf.DUMMYFUNCTION("""COMPUTED_VALUE"""),"https://storage.googleapis.com/glide-prod.appspot.com/uploads-v2/ly7o78grxPaC6KdgvbpS/pub/3aRdSog0vUtuqPE8AJKD.png")</f>
        <v>https://storage.googleapis.com/glide-prod.appspot.com/uploads-v2/ly7o78grxPaC6KdgvbpS/pub/3aRdSog0vUtuqPE8AJKD.png</v>
      </c>
      <c r="U1111" s="5" t="str">
        <f ca="1">IFERROR(__xludf.DUMMYFUNCTION("""COMPUTED_VALUE"""),"EQUIPOS PARA SERVICIOS INDUSTRIALESTANQUE AGUA TORRE")</f>
        <v>EQUIPOS PARA SERVICIOS INDUSTRIALESTANQUE AGUA TORRE</v>
      </c>
      <c r="V1111" s="5"/>
      <c r="W1111" s="5" t="b">
        <f ca="1">IFERROR(__xludf.DUMMYFUNCTION("""COMPUTED_VALUE"""),TRUE)</f>
        <v>1</v>
      </c>
      <c r="X1111" s="5" t="str">
        <f ca="1">IFERROR(__xludf.DUMMYFUNCTION("""COMPUTED_VALUE"""),"wmazorra@postobon.com.co,aprmttoyu@postobon.com.co,aprmyu@postobon.com.co,wmora@postobon.com.co,efzapata@postobon.com.co")</f>
        <v>wmazorra@postobon.com.co,aprmttoyu@postobon.com.co,aprmyu@postobon.com.co,wmora@postobon.com.co,efzapata@postobon.com.co</v>
      </c>
      <c r="Y1111" s="5" t="str">
        <f ca="1">IFERROR(__xludf.DUMMYFUNCTION("""COMPUTED_VALUE"""),"wmazorra@postobon.com.co")</f>
        <v>wmazorra@postobon.com.co</v>
      </c>
      <c r="Z1111" s="5" t="str">
        <f ca="1">IFERROR(__xludf.DUMMYFUNCTION("""COMPUTED_VALUE"""),"olEvBf.TQqSjXTnKlaJUMg")</f>
        <v>olEvBf.TQqSjXTnKlaJUMg</v>
      </c>
      <c r="AA1111" s="5"/>
      <c r="AB1111" s="5"/>
      <c r="AC1111" s="5"/>
      <c r="AD1111" s="5">
        <f ca="1">IFERROR(__xludf.DUMMYFUNCTION("""COMPUTED_VALUE"""),34)</f>
        <v>34</v>
      </c>
      <c r="AE1111" s="5">
        <f ca="1">IFERROR(__xludf.DUMMYFUNCTION("""COMPUTED_VALUE"""),34)</f>
        <v>34</v>
      </c>
      <c r="AF1111" s="5" t="b">
        <f ca="1">IFERROR(__xludf.DUMMYFUNCTION("""COMPUTED_VALUE"""),FALSE)</f>
        <v>0</v>
      </c>
      <c r="AG1111" s="5" t="str">
        <f ca="1">IFERROR(__xludf.DUMMYFUNCTION("""COMPUTED_VALUE"""),"INSPECCIONES REALIZADAS")</f>
        <v>INSPECCIONES REALIZADAS</v>
      </c>
      <c r="AH1111" s="5"/>
    </row>
    <row r="1112" spans="1:34">
      <c r="A1112" s="5" t="str">
        <f ca="1">IFERROR(__xludf.DUMMYFUNCTION("""COMPUTED_VALUE"""),"EQUIPOS PARA SERVICIOS INDUSTRIALES")</f>
        <v>EQUIPOS PARA SERVICIOS INDUSTRIALES</v>
      </c>
      <c r="B1112" s="5">
        <f ca="1">IFERROR(__xludf.DUMMYFUNCTION("""COMPUTED_VALUE"""),66944501)</f>
        <v>66944501</v>
      </c>
      <c r="C1112" s="5" t="str">
        <f ca="1">IFERROR(__xludf.DUMMYFUNCTION("""COMPUTED_VALUE"""),"TANQUE AGUA TORRE")</f>
        <v>TANQUE AGUA TORRE</v>
      </c>
      <c r="D1112" s="5">
        <f ca="1">IFERROR(__xludf.DUMMYFUNCTION("""COMPUTED_VALUE"""),13247514)</f>
        <v>13247514</v>
      </c>
      <c r="E1112" s="5" t="str">
        <f ca="1">IFERROR(__xludf.DUMMYFUNCTION("""COMPUTED_VALUE"""),"INSPECCION SEMANAL TANQUE AGUA TORRE")</f>
        <v>INSPECCION SEMANAL TANQUE AGUA TORRE</v>
      </c>
      <c r="F1112" s="5" t="str">
        <f ca="1">IFERROR(__xludf.DUMMYFUNCTION("""COMPUTED_VALUE"""),"ESCAPE FLUIDOS (CO2,ACPM,SODA,AMONIACO)")</f>
        <v>ESCAPE FLUIDOS (CO2,ACPM,SODA,AMONIACO)</v>
      </c>
      <c r="G1112" s="5" t="b">
        <f ca="1">IFERROR(__xludf.DUMMYFUNCTION("""COMPUTED_VALUE"""),TRUE)</f>
        <v>1</v>
      </c>
      <c r="H1112" s="5"/>
      <c r="I1112" s="5"/>
      <c r="J1112" s="5">
        <f ca="1">IFERROR(__xludf.DUMMYFUNCTION("""COMPUTED_VALUE"""),13247514)</f>
        <v>13247514</v>
      </c>
      <c r="K1112" s="5"/>
      <c r="L1112" s="18">
        <f ca="1">IFERROR(__xludf.DUMMYFUNCTION("""COMPUTED_VALUE"""),45324)</f>
        <v>45324</v>
      </c>
      <c r="M1112" s="18">
        <f ca="1">IFERROR(__xludf.DUMMYFUNCTION("""COMPUTED_VALUE"""),45324)</f>
        <v>45324</v>
      </c>
      <c r="N1112" s="5" t="str">
        <f ca="1">IFERROR(__xludf.DUMMYFUNCTION("""COMPUTED_VALUE"""),"Guzman Palechor Miguel Angel")</f>
        <v>Guzman Palechor Miguel Angel</v>
      </c>
      <c r="O1112" s="2">
        <f ca="1">IFERROR(__xludf.DUMMYFUNCTION("""COMPUTED_VALUE"""),0.0125)</f>
        <v>1.2500000000000001E-2</v>
      </c>
      <c r="P1112" s="5">
        <f ca="1">IFERROR(__xludf.DUMMYFUNCTION("""COMPUTED_VALUE"""),20009822)</f>
        <v>20009822</v>
      </c>
      <c r="Q1112" s="5" t="str">
        <f ca="1">IFERROR(__xludf.DUMMYFUNCTION("""COMPUTED_VALUE"""),"jJQIoCz-Edk")</f>
        <v>jJQIoCz-Edk</v>
      </c>
      <c r="R1112" s="5">
        <f ca="1">IFERROR(__xludf.DUMMYFUNCTION("""COMPUTED_VALUE"""),410)</f>
        <v>410</v>
      </c>
      <c r="S1112" s="62">
        <f ca="1">IFERROR(__xludf.DUMMYFUNCTION("""COMPUTED_VALUE"""),0.0125)</f>
        <v>1.2500000000000001E-2</v>
      </c>
      <c r="T1112" s="63" t="str">
        <f ca="1">IFERROR(__xludf.DUMMYFUNCTION("""COMPUTED_VALUE"""),"https://storage.googleapis.com/glide-prod.appspot.com/uploads-v2/ly7o78grxPaC6KdgvbpS/pub/3aRdSog0vUtuqPE8AJKD.png")</f>
        <v>https://storage.googleapis.com/glide-prod.appspot.com/uploads-v2/ly7o78grxPaC6KdgvbpS/pub/3aRdSog0vUtuqPE8AJKD.png</v>
      </c>
      <c r="U1112" s="5" t="str">
        <f ca="1">IFERROR(__xludf.DUMMYFUNCTION("""COMPUTED_VALUE"""),"EQUIPOS PARA SERVICIOS INDUSTRIALESTANQUE AGUA TORRE")</f>
        <v>EQUIPOS PARA SERVICIOS INDUSTRIALESTANQUE AGUA TORRE</v>
      </c>
      <c r="V1112" s="5"/>
      <c r="W1112" s="5" t="b">
        <f ca="1">IFERROR(__xludf.DUMMYFUNCTION("""COMPUTED_VALUE"""),TRUE)</f>
        <v>1</v>
      </c>
      <c r="X1112" s="5" t="str">
        <f ca="1">IFERROR(__xludf.DUMMYFUNCTION("""COMPUTED_VALUE"""),"wmazorra@postobon.com.co,aprmttoyu@postobon.com.co,aprmyu@postobon.com.co,wmora@postobon.com.co,efzapata@postobon.com.co")</f>
        <v>wmazorra@postobon.com.co,aprmttoyu@postobon.com.co,aprmyu@postobon.com.co,wmora@postobon.com.co,efzapata@postobon.com.co</v>
      </c>
      <c r="Y1112" s="5" t="str">
        <f ca="1">IFERROR(__xludf.DUMMYFUNCTION("""COMPUTED_VALUE"""),"wmazorra@postobon.com.co")</f>
        <v>wmazorra@postobon.com.co</v>
      </c>
      <c r="Z1112" s="5" t="str">
        <f ca="1">IFERROR(__xludf.DUMMYFUNCTION("""COMPUTED_VALUE"""),"vwYoyYJaT.Gt5htNvOjsXg")</f>
        <v>vwYoyYJaT.Gt5htNvOjsXg</v>
      </c>
      <c r="AA1112" s="5"/>
      <c r="AB1112" s="5"/>
      <c r="AC1112" s="5"/>
      <c r="AD1112" s="5">
        <f ca="1">IFERROR(__xludf.DUMMYFUNCTION("""COMPUTED_VALUE"""),34)</f>
        <v>34</v>
      </c>
      <c r="AE1112" s="5">
        <f ca="1">IFERROR(__xludf.DUMMYFUNCTION("""COMPUTED_VALUE"""),34)</f>
        <v>34</v>
      </c>
      <c r="AF1112" s="5" t="b">
        <f ca="1">IFERROR(__xludf.DUMMYFUNCTION("""COMPUTED_VALUE"""),FALSE)</f>
        <v>0</v>
      </c>
      <c r="AG1112" s="5" t="str">
        <f ca="1">IFERROR(__xludf.DUMMYFUNCTION("""COMPUTED_VALUE"""),"INSPECCIONES REALIZADAS")</f>
        <v>INSPECCIONES REALIZADAS</v>
      </c>
      <c r="AH1112" s="5"/>
    </row>
    <row r="1113" spans="1:34">
      <c r="A1113" s="5" t="str">
        <f ca="1">IFERROR(__xludf.DUMMYFUNCTION("""COMPUTED_VALUE"""),"EQUIPOS PARA SERVICIOS INDUSTRIALES")</f>
        <v>EQUIPOS PARA SERVICIOS INDUSTRIALES</v>
      </c>
      <c r="B1113" s="5">
        <f ca="1">IFERROR(__xludf.DUMMYFUNCTION("""COMPUTED_VALUE"""),66944501)</f>
        <v>66944501</v>
      </c>
      <c r="C1113" s="5" t="str">
        <f ca="1">IFERROR(__xludf.DUMMYFUNCTION("""COMPUTED_VALUE"""),"TANQUE AGUA TORRE")</f>
        <v>TANQUE AGUA TORRE</v>
      </c>
      <c r="D1113" s="5">
        <f ca="1">IFERROR(__xludf.DUMMYFUNCTION("""COMPUTED_VALUE"""),13247514)</f>
        <v>13247514</v>
      </c>
      <c r="E1113" s="5" t="str">
        <f ca="1">IFERROR(__xludf.DUMMYFUNCTION("""COMPUTED_VALUE"""),"INSPECCION SEMANAL TANQUE AGUA TORRE")</f>
        <v>INSPECCION SEMANAL TANQUE AGUA TORRE</v>
      </c>
      <c r="F1113" s="5" t="str">
        <f ca="1">IFERROR(__xludf.DUMMYFUNCTION("""COMPUTED_VALUE"""),"FUNC. MOTOBOM TANQUE(SODA,ACPM)")</f>
        <v>FUNC. MOTOBOM TANQUE(SODA,ACPM)</v>
      </c>
      <c r="G1113" s="5" t="b">
        <f ca="1">IFERROR(__xludf.DUMMYFUNCTION("""COMPUTED_VALUE"""),TRUE)</f>
        <v>1</v>
      </c>
      <c r="H1113" s="5"/>
      <c r="I1113" s="5"/>
      <c r="J1113" s="5">
        <f ca="1">IFERROR(__xludf.DUMMYFUNCTION("""COMPUTED_VALUE"""),13247514)</f>
        <v>13247514</v>
      </c>
      <c r="K1113" s="5"/>
      <c r="L1113" s="18">
        <f ca="1">IFERROR(__xludf.DUMMYFUNCTION("""COMPUTED_VALUE"""),45324)</f>
        <v>45324</v>
      </c>
      <c r="M1113" s="18">
        <f ca="1">IFERROR(__xludf.DUMMYFUNCTION("""COMPUTED_VALUE"""),45324)</f>
        <v>45324</v>
      </c>
      <c r="N1113" s="5" t="str">
        <f ca="1">IFERROR(__xludf.DUMMYFUNCTION("""COMPUTED_VALUE"""),"Guzman Palechor Miguel Angel")</f>
        <v>Guzman Palechor Miguel Angel</v>
      </c>
      <c r="O1113" s="2">
        <f ca="1">IFERROR(__xludf.DUMMYFUNCTION("""COMPUTED_VALUE"""),0.0125)</f>
        <v>1.2500000000000001E-2</v>
      </c>
      <c r="P1113" s="5">
        <f ca="1">IFERROR(__xludf.DUMMYFUNCTION("""COMPUTED_VALUE"""),20009822)</f>
        <v>20009822</v>
      </c>
      <c r="Q1113" s="5" t="str">
        <f ca="1">IFERROR(__xludf.DUMMYFUNCTION("""COMPUTED_VALUE"""),"Em1q1PB4amE")</f>
        <v>Em1q1PB4amE</v>
      </c>
      <c r="R1113" s="5">
        <f ca="1">IFERROR(__xludf.DUMMYFUNCTION("""COMPUTED_VALUE"""),410)</f>
        <v>410</v>
      </c>
      <c r="S1113" s="62">
        <f ca="1">IFERROR(__xludf.DUMMYFUNCTION("""COMPUTED_VALUE"""),0.0125)</f>
        <v>1.2500000000000001E-2</v>
      </c>
      <c r="T1113" s="63" t="str">
        <f ca="1">IFERROR(__xludf.DUMMYFUNCTION("""COMPUTED_VALUE"""),"https://storage.googleapis.com/glide-prod.appspot.com/uploads-v2/ly7o78grxPaC6KdgvbpS/pub/3aRdSog0vUtuqPE8AJKD.png")</f>
        <v>https://storage.googleapis.com/glide-prod.appspot.com/uploads-v2/ly7o78grxPaC6KdgvbpS/pub/3aRdSog0vUtuqPE8AJKD.png</v>
      </c>
      <c r="U1113" s="5" t="str">
        <f ca="1">IFERROR(__xludf.DUMMYFUNCTION("""COMPUTED_VALUE"""),"EQUIPOS PARA SERVICIOS INDUSTRIALESTANQUE AGUA TORRE")</f>
        <v>EQUIPOS PARA SERVICIOS INDUSTRIALESTANQUE AGUA TORRE</v>
      </c>
      <c r="V1113" s="5"/>
      <c r="W1113" s="5" t="b">
        <f ca="1">IFERROR(__xludf.DUMMYFUNCTION("""COMPUTED_VALUE"""),TRUE)</f>
        <v>1</v>
      </c>
      <c r="X1113" s="5" t="str">
        <f ca="1">IFERROR(__xludf.DUMMYFUNCTION("""COMPUTED_VALUE"""),"wmazorra@postobon.com.co,aprmttoyu@postobon.com.co,aprmyu@postobon.com.co,wmora@postobon.com.co,efzapata@postobon.com.co")</f>
        <v>wmazorra@postobon.com.co,aprmttoyu@postobon.com.co,aprmyu@postobon.com.co,wmora@postobon.com.co,efzapata@postobon.com.co</v>
      </c>
      <c r="Y1113" s="5" t="str">
        <f ca="1">IFERROR(__xludf.DUMMYFUNCTION("""COMPUTED_VALUE"""),"wmazorra@postobon.com.co")</f>
        <v>wmazorra@postobon.com.co</v>
      </c>
      <c r="Z1113" s="5" t="str">
        <f ca="1">IFERROR(__xludf.DUMMYFUNCTION("""COMPUTED_VALUE"""),"7lNJY4tdTKmKMH61xalVtQ")</f>
        <v>7lNJY4tdTKmKMH61xalVtQ</v>
      </c>
      <c r="AA1113" s="5"/>
      <c r="AB1113" s="5"/>
      <c r="AC1113" s="5"/>
      <c r="AD1113" s="5">
        <f ca="1">IFERROR(__xludf.DUMMYFUNCTION("""COMPUTED_VALUE"""),34)</f>
        <v>34</v>
      </c>
      <c r="AE1113" s="5">
        <f ca="1">IFERROR(__xludf.DUMMYFUNCTION("""COMPUTED_VALUE"""),34)</f>
        <v>34</v>
      </c>
      <c r="AF1113" s="5" t="b">
        <f ca="1">IFERROR(__xludf.DUMMYFUNCTION("""COMPUTED_VALUE"""),FALSE)</f>
        <v>0</v>
      </c>
      <c r="AG1113" s="5" t="str">
        <f ca="1">IFERROR(__xludf.DUMMYFUNCTION("""COMPUTED_VALUE"""),"INSPECCIONES REALIZADAS")</f>
        <v>INSPECCIONES REALIZADAS</v>
      </c>
      <c r="AH1113" s="5"/>
    </row>
    <row r="1114" spans="1:34">
      <c r="A1114" s="5" t="str">
        <f ca="1">IFERROR(__xludf.DUMMYFUNCTION("""COMPUTED_VALUE"""),"EQUIPOS PARA SERVICIOS INDUSTRIALES")</f>
        <v>EQUIPOS PARA SERVICIOS INDUSTRIALES</v>
      </c>
      <c r="B1114" s="5">
        <f ca="1">IFERROR(__xludf.DUMMYFUNCTION("""COMPUTED_VALUE"""),66944501)</f>
        <v>66944501</v>
      </c>
      <c r="C1114" s="5" t="str">
        <f ca="1">IFERROR(__xludf.DUMMYFUNCTION("""COMPUTED_VALUE"""),"TANQUE AGUA TORRE")</f>
        <v>TANQUE AGUA TORRE</v>
      </c>
      <c r="D1114" s="5">
        <f ca="1">IFERROR(__xludf.DUMMYFUNCTION("""COMPUTED_VALUE"""),13247514)</f>
        <v>13247514</v>
      </c>
      <c r="E1114" s="5" t="str">
        <f ca="1">IFERROR(__xludf.DUMMYFUNCTION("""COMPUTED_VALUE"""),"INSPECCION SEMANAL TANQUE AGUA TORRE")</f>
        <v>INSPECCION SEMANAL TANQUE AGUA TORRE</v>
      </c>
      <c r="F1114" s="5" t="str">
        <f ca="1">IFERROR(__xludf.DUMMYFUNCTION("""COMPUTED_VALUE"""),"INSTRUMENTOS MEDICION")</f>
        <v>INSTRUMENTOS MEDICION</v>
      </c>
      <c r="G1114" s="5" t="b">
        <f ca="1">IFERROR(__xludf.DUMMYFUNCTION("""COMPUTED_VALUE"""),TRUE)</f>
        <v>1</v>
      </c>
      <c r="H1114" s="5"/>
      <c r="I1114" s="5"/>
      <c r="J1114" s="5">
        <f ca="1">IFERROR(__xludf.DUMMYFUNCTION("""COMPUTED_VALUE"""),13247514)</f>
        <v>13247514</v>
      </c>
      <c r="K1114" s="5"/>
      <c r="L1114" s="18">
        <f ca="1">IFERROR(__xludf.DUMMYFUNCTION("""COMPUTED_VALUE"""),45324)</f>
        <v>45324</v>
      </c>
      <c r="M1114" s="18">
        <f ca="1">IFERROR(__xludf.DUMMYFUNCTION("""COMPUTED_VALUE"""),45324)</f>
        <v>45324</v>
      </c>
      <c r="N1114" s="5" t="str">
        <f ca="1">IFERROR(__xludf.DUMMYFUNCTION("""COMPUTED_VALUE"""),"Guzman Palechor Miguel Angel")</f>
        <v>Guzman Palechor Miguel Angel</v>
      </c>
      <c r="O1114" s="2">
        <f ca="1">IFERROR(__xludf.DUMMYFUNCTION("""COMPUTED_VALUE"""),0.0125)</f>
        <v>1.2500000000000001E-2</v>
      </c>
      <c r="P1114" s="5">
        <f ca="1">IFERROR(__xludf.DUMMYFUNCTION("""COMPUTED_VALUE"""),20009822)</f>
        <v>20009822</v>
      </c>
      <c r="Q1114" s="5" t="str">
        <f ca="1">IFERROR(__xludf.DUMMYFUNCTION("""COMPUTED_VALUE"""),"jZytTdRrA6I")</f>
        <v>jZytTdRrA6I</v>
      </c>
      <c r="R1114" s="5">
        <f ca="1">IFERROR(__xludf.DUMMYFUNCTION("""COMPUTED_VALUE"""),410)</f>
        <v>410</v>
      </c>
      <c r="S1114" s="62">
        <f ca="1">IFERROR(__xludf.DUMMYFUNCTION("""COMPUTED_VALUE"""),0.0125)</f>
        <v>1.2500000000000001E-2</v>
      </c>
      <c r="T1114" s="63" t="str">
        <f ca="1">IFERROR(__xludf.DUMMYFUNCTION("""COMPUTED_VALUE"""),"https://storage.googleapis.com/glide-prod.appspot.com/uploads-v2/ly7o78grxPaC6KdgvbpS/pub/3aRdSog0vUtuqPE8AJKD.png")</f>
        <v>https://storage.googleapis.com/glide-prod.appspot.com/uploads-v2/ly7o78grxPaC6KdgvbpS/pub/3aRdSog0vUtuqPE8AJKD.png</v>
      </c>
      <c r="U1114" s="5" t="str">
        <f ca="1">IFERROR(__xludf.DUMMYFUNCTION("""COMPUTED_VALUE"""),"EQUIPOS PARA SERVICIOS INDUSTRIALESTANQUE AGUA TORRE")</f>
        <v>EQUIPOS PARA SERVICIOS INDUSTRIALESTANQUE AGUA TORRE</v>
      </c>
      <c r="V1114" s="5"/>
      <c r="W1114" s="5" t="b">
        <f ca="1">IFERROR(__xludf.DUMMYFUNCTION("""COMPUTED_VALUE"""),TRUE)</f>
        <v>1</v>
      </c>
      <c r="X1114" s="5" t="str">
        <f ca="1">IFERROR(__xludf.DUMMYFUNCTION("""COMPUTED_VALUE"""),"wmazorra@postobon.com.co,aprmttoyu@postobon.com.co,aprmyu@postobon.com.co,wmora@postobon.com.co,efzapata@postobon.com.co")</f>
        <v>wmazorra@postobon.com.co,aprmttoyu@postobon.com.co,aprmyu@postobon.com.co,wmora@postobon.com.co,efzapata@postobon.com.co</v>
      </c>
      <c r="Y1114" s="5" t="str">
        <f ca="1">IFERROR(__xludf.DUMMYFUNCTION("""COMPUTED_VALUE"""),"wmazorra@postobon.com.co")</f>
        <v>wmazorra@postobon.com.co</v>
      </c>
      <c r="Z1114" s="5" t="str">
        <f ca="1">IFERROR(__xludf.DUMMYFUNCTION("""COMPUTED_VALUE"""),"XAct8imPSQKjX9JQi3jZAA")</f>
        <v>XAct8imPSQKjX9JQi3jZAA</v>
      </c>
      <c r="AA1114" s="5"/>
      <c r="AB1114" s="5"/>
      <c r="AC1114" s="5"/>
      <c r="AD1114" s="5">
        <f ca="1">IFERROR(__xludf.DUMMYFUNCTION("""COMPUTED_VALUE"""),34)</f>
        <v>34</v>
      </c>
      <c r="AE1114" s="5">
        <f ca="1">IFERROR(__xludf.DUMMYFUNCTION("""COMPUTED_VALUE"""),34)</f>
        <v>34</v>
      </c>
      <c r="AF1114" s="5" t="b">
        <f ca="1">IFERROR(__xludf.DUMMYFUNCTION("""COMPUTED_VALUE"""),FALSE)</f>
        <v>0</v>
      </c>
      <c r="AG1114" s="5" t="str">
        <f ca="1">IFERROR(__xludf.DUMMYFUNCTION("""COMPUTED_VALUE"""),"INSPECCIONES REALIZADAS")</f>
        <v>INSPECCIONES REALIZADAS</v>
      </c>
      <c r="AH1114" s="5"/>
    </row>
    <row r="1115" spans="1:34">
      <c r="A1115" s="5" t="str">
        <f ca="1">IFERROR(__xludf.DUMMYFUNCTION("""COMPUTED_VALUE"""),"EQUIPOS PARA SERVICIOS INDUSTRIALES")</f>
        <v>EQUIPOS PARA SERVICIOS INDUSTRIALES</v>
      </c>
      <c r="B1115" s="5">
        <f ca="1">IFERROR(__xludf.DUMMYFUNCTION("""COMPUTED_VALUE"""),66944501)</f>
        <v>66944501</v>
      </c>
      <c r="C1115" s="5" t="str">
        <f ca="1">IFERROR(__xludf.DUMMYFUNCTION("""COMPUTED_VALUE"""),"TANQUE AGUA TORRE")</f>
        <v>TANQUE AGUA TORRE</v>
      </c>
      <c r="D1115" s="5">
        <f ca="1">IFERROR(__xludf.DUMMYFUNCTION("""COMPUTED_VALUE"""),13247514)</f>
        <v>13247514</v>
      </c>
      <c r="E1115" s="5" t="str">
        <f ca="1">IFERROR(__xludf.DUMMYFUNCTION("""COMPUTED_VALUE"""),"INSPECCION SEMANAL TANQUE AGUA TORRE")</f>
        <v>INSPECCION SEMANAL TANQUE AGUA TORRE</v>
      </c>
      <c r="F1115" s="5" t="str">
        <f ca="1">IFERROR(__xludf.DUMMYFUNCTION("""COMPUTED_VALUE"""),"ESTADO GRAL PINTURA")</f>
        <v>ESTADO GRAL PINTURA</v>
      </c>
      <c r="G1115" s="5" t="b">
        <f ca="1">IFERROR(__xludf.DUMMYFUNCTION("""COMPUTED_VALUE"""),TRUE)</f>
        <v>1</v>
      </c>
      <c r="H1115" s="5"/>
      <c r="I1115" s="5"/>
      <c r="J1115" s="5">
        <f ca="1">IFERROR(__xludf.DUMMYFUNCTION("""COMPUTED_VALUE"""),13247514)</f>
        <v>13247514</v>
      </c>
      <c r="K1115" s="5"/>
      <c r="L1115" s="18">
        <f ca="1">IFERROR(__xludf.DUMMYFUNCTION("""COMPUTED_VALUE"""),45324)</f>
        <v>45324</v>
      </c>
      <c r="M1115" s="18">
        <f ca="1">IFERROR(__xludf.DUMMYFUNCTION("""COMPUTED_VALUE"""),45324)</f>
        <v>45324</v>
      </c>
      <c r="N1115" s="5" t="str">
        <f ca="1">IFERROR(__xludf.DUMMYFUNCTION("""COMPUTED_VALUE"""),"Guzman Palechor Miguel Angel")</f>
        <v>Guzman Palechor Miguel Angel</v>
      </c>
      <c r="O1115" s="2">
        <f ca="1">IFERROR(__xludf.DUMMYFUNCTION("""COMPUTED_VALUE"""),0.0125)</f>
        <v>1.2500000000000001E-2</v>
      </c>
      <c r="P1115" s="5">
        <f ca="1">IFERROR(__xludf.DUMMYFUNCTION("""COMPUTED_VALUE"""),20009822)</f>
        <v>20009822</v>
      </c>
      <c r="Q1115" s="5" t="str">
        <f ca="1">IFERROR(__xludf.DUMMYFUNCTION("""COMPUTED_VALUE"""),"XpTEqMeS9Wo")</f>
        <v>XpTEqMeS9Wo</v>
      </c>
      <c r="R1115" s="5">
        <f ca="1">IFERROR(__xludf.DUMMYFUNCTION("""COMPUTED_VALUE"""),410)</f>
        <v>410</v>
      </c>
      <c r="S1115" s="62">
        <f ca="1">IFERROR(__xludf.DUMMYFUNCTION("""COMPUTED_VALUE"""),0.0125)</f>
        <v>1.2500000000000001E-2</v>
      </c>
      <c r="T1115" s="63" t="str">
        <f ca="1">IFERROR(__xludf.DUMMYFUNCTION("""COMPUTED_VALUE"""),"https://storage.googleapis.com/glide-prod.appspot.com/uploads-v2/ly7o78grxPaC6KdgvbpS/pub/3aRdSog0vUtuqPE8AJKD.png")</f>
        <v>https://storage.googleapis.com/glide-prod.appspot.com/uploads-v2/ly7o78grxPaC6KdgvbpS/pub/3aRdSog0vUtuqPE8AJKD.png</v>
      </c>
      <c r="U1115" s="5" t="str">
        <f ca="1">IFERROR(__xludf.DUMMYFUNCTION("""COMPUTED_VALUE"""),"EQUIPOS PARA SERVICIOS INDUSTRIALESTANQUE AGUA TORRE")</f>
        <v>EQUIPOS PARA SERVICIOS INDUSTRIALESTANQUE AGUA TORRE</v>
      </c>
      <c r="V1115" s="5"/>
      <c r="W1115" s="5" t="b">
        <f ca="1">IFERROR(__xludf.DUMMYFUNCTION("""COMPUTED_VALUE"""),TRUE)</f>
        <v>1</v>
      </c>
      <c r="X1115" s="5" t="str">
        <f ca="1">IFERROR(__xludf.DUMMYFUNCTION("""COMPUTED_VALUE"""),"wmazorra@postobon.com.co,aprmttoyu@postobon.com.co,aprmyu@postobon.com.co,wmora@postobon.com.co,efzapata@postobon.com.co")</f>
        <v>wmazorra@postobon.com.co,aprmttoyu@postobon.com.co,aprmyu@postobon.com.co,wmora@postobon.com.co,efzapata@postobon.com.co</v>
      </c>
      <c r="Y1115" s="5" t="str">
        <f ca="1">IFERROR(__xludf.DUMMYFUNCTION("""COMPUTED_VALUE"""),"wmazorra@postobon.com.co")</f>
        <v>wmazorra@postobon.com.co</v>
      </c>
      <c r="Z1115" s="5" t="str">
        <f ca="1">IFERROR(__xludf.DUMMYFUNCTION("""COMPUTED_VALUE"""),"C2Sfbus.SQWvQk4igHgatA")</f>
        <v>C2Sfbus.SQWvQk4igHgatA</v>
      </c>
      <c r="AA1115" s="5"/>
      <c r="AB1115" s="5"/>
      <c r="AC1115" s="5"/>
      <c r="AD1115" s="5">
        <f ca="1">IFERROR(__xludf.DUMMYFUNCTION("""COMPUTED_VALUE"""),34)</f>
        <v>34</v>
      </c>
      <c r="AE1115" s="5">
        <f ca="1">IFERROR(__xludf.DUMMYFUNCTION("""COMPUTED_VALUE"""),34)</f>
        <v>34</v>
      </c>
      <c r="AF1115" s="5" t="b">
        <f ca="1">IFERROR(__xludf.DUMMYFUNCTION("""COMPUTED_VALUE"""),FALSE)</f>
        <v>0</v>
      </c>
      <c r="AG1115" s="5" t="str">
        <f ca="1">IFERROR(__xludf.DUMMYFUNCTION("""COMPUTED_VALUE"""),"INSPECCIONES REALIZADAS")</f>
        <v>INSPECCIONES REALIZADAS</v>
      </c>
      <c r="AH1115" s="5"/>
    </row>
    <row r="1116" spans="1:34">
      <c r="A1116" s="5" t="str">
        <f ca="1">IFERROR(__xludf.DUMMYFUNCTION("""COMPUTED_VALUE"""),"EQUIPOS PARA SERVICIOS INDUSTRIALES")</f>
        <v>EQUIPOS PARA SERVICIOS INDUSTRIALES</v>
      </c>
      <c r="B1116" s="5">
        <f ca="1">IFERROR(__xludf.DUMMYFUNCTION("""COMPUTED_VALUE"""),66944501)</f>
        <v>66944501</v>
      </c>
      <c r="C1116" s="5" t="str">
        <f ca="1">IFERROR(__xludf.DUMMYFUNCTION("""COMPUTED_VALUE"""),"TANQUE AGUA TORRE")</f>
        <v>TANQUE AGUA TORRE</v>
      </c>
      <c r="D1116" s="5">
        <f ca="1">IFERROR(__xludf.DUMMYFUNCTION("""COMPUTED_VALUE"""),13247514)</f>
        <v>13247514</v>
      </c>
      <c r="E1116" s="5" t="str">
        <f ca="1">IFERROR(__xludf.DUMMYFUNCTION("""COMPUTED_VALUE"""),"INSPECCION SEMANAL TANQUE AGUA TORRE")</f>
        <v>INSPECCION SEMANAL TANQUE AGUA TORRE</v>
      </c>
      <c r="F1116" s="5" t="str">
        <f ca="1">IFERROR(__xludf.DUMMYFUNCTION("""COMPUTED_VALUE"""),"INSP SSITEMA ELECTRICO GRAL")</f>
        <v>INSP SSITEMA ELECTRICO GRAL</v>
      </c>
      <c r="G1116" s="5" t="b">
        <f ca="1">IFERROR(__xludf.DUMMYFUNCTION("""COMPUTED_VALUE"""),TRUE)</f>
        <v>1</v>
      </c>
      <c r="H1116" s="5"/>
      <c r="I1116" s="5"/>
      <c r="J1116" s="5">
        <f ca="1">IFERROR(__xludf.DUMMYFUNCTION("""COMPUTED_VALUE"""),13247514)</f>
        <v>13247514</v>
      </c>
      <c r="K1116" s="5"/>
      <c r="L1116" s="18">
        <f ca="1">IFERROR(__xludf.DUMMYFUNCTION("""COMPUTED_VALUE"""),45324)</f>
        <v>45324</v>
      </c>
      <c r="M1116" s="18">
        <f ca="1">IFERROR(__xludf.DUMMYFUNCTION("""COMPUTED_VALUE"""),45324)</f>
        <v>45324</v>
      </c>
      <c r="N1116" s="5" t="str">
        <f ca="1">IFERROR(__xludf.DUMMYFUNCTION("""COMPUTED_VALUE"""),"Guzman Palechor Miguel Angel")</f>
        <v>Guzman Palechor Miguel Angel</v>
      </c>
      <c r="O1116" s="2">
        <f ca="1">IFERROR(__xludf.DUMMYFUNCTION("""COMPUTED_VALUE"""),0.0125)</f>
        <v>1.2500000000000001E-2</v>
      </c>
      <c r="P1116" s="5">
        <f ca="1">IFERROR(__xludf.DUMMYFUNCTION("""COMPUTED_VALUE"""),20009822)</f>
        <v>20009822</v>
      </c>
      <c r="Q1116" s="5" t="str">
        <f ca="1">IFERROR(__xludf.DUMMYFUNCTION("""COMPUTED_VALUE"""),"ZIQ1WzysDkY")</f>
        <v>ZIQ1WzysDkY</v>
      </c>
      <c r="R1116" s="5">
        <f ca="1">IFERROR(__xludf.DUMMYFUNCTION("""COMPUTED_VALUE"""),410)</f>
        <v>410</v>
      </c>
      <c r="S1116" s="62">
        <f ca="1">IFERROR(__xludf.DUMMYFUNCTION("""COMPUTED_VALUE"""),0.0125)</f>
        <v>1.2500000000000001E-2</v>
      </c>
      <c r="T1116" s="63" t="str">
        <f ca="1">IFERROR(__xludf.DUMMYFUNCTION("""COMPUTED_VALUE"""),"https://storage.googleapis.com/glide-prod.appspot.com/uploads-v2/ly7o78grxPaC6KdgvbpS/pub/3aRdSog0vUtuqPE8AJKD.png")</f>
        <v>https://storage.googleapis.com/glide-prod.appspot.com/uploads-v2/ly7o78grxPaC6KdgvbpS/pub/3aRdSog0vUtuqPE8AJKD.png</v>
      </c>
      <c r="U1116" s="5" t="str">
        <f ca="1">IFERROR(__xludf.DUMMYFUNCTION("""COMPUTED_VALUE"""),"EQUIPOS PARA SERVICIOS INDUSTRIALESTANQUE AGUA TORRE")</f>
        <v>EQUIPOS PARA SERVICIOS INDUSTRIALESTANQUE AGUA TORRE</v>
      </c>
      <c r="V1116" s="5"/>
      <c r="W1116" s="5" t="b">
        <f ca="1">IFERROR(__xludf.DUMMYFUNCTION("""COMPUTED_VALUE"""),TRUE)</f>
        <v>1</v>
      </c>
      <c r="X1116" s="5" t="str">
        <f ca="1">IFERROR(__xludf.DUMMYFUNCTION("""COMPUTED_VALUE"""),"wmazorra@postobon.com.co,aprmttoyu@postobon.com.co,aprmyu@postobon.com.co,wmora@postobon.com.co,efzapata@postobon.com.co")</f>
        <v>wmazorra@postobon.com.co,aprmttoyu@postobon.com.co,aprmyu@postobon.com.co,wmora@postobon.com.co,efzapata@postobon.com.co</v>
      </c>
      <c r="Y1116" s="5" t="str">
        <f ca="1">IFERROR(__xludf.DUMMYFUNCTION("""COMPUTED_VALUE"""),"wmazorra@postobon.com.co")</f>
        <v>wmazorra@postobon.com.co</v>
      </c>
      <c r="Z1116" s="5" t="str">
        <f ca="1">IFERROR(__xludf.DUMMYFUNCTION("""COMPUTED_VALUE"""),"BOIx-g1oSraNDrHh5inrEw")</f>
        <v>BOIx-g1oSraNDrHh5inrEw</v>
      </c>
      <c r="AA1116" s="5"/>
      <c r="AB1116" s="5"/>
      <c r="AC1116" s="5"/>
      <c r="AD1116" s="5">
        <f ca="1">IFERROR(__xludf.DUMMYFUNCTION("""COMPUTED_VALUE"""),34)</f>
        <v>34</v>
      </c>
      <c r="AE1116" s="5">
        <f ca="1">IFERROR(__xludf.DUMMYFUNCTION("""COMPUTED_VALUE"""),34)</f>
        <v>34</v>
      </c>
      <c r="AF1116" s="5" t="b">
        <f ca="1">IFERROR(__xludf.DUMMYFUNCTION("""COMPUTED_VALUE"""),FALSE)</f>
        <v>0</v>
      </c>
      <c r="AG1116" s="5" t="str">
        <f ca="1">IFERROR(__xludf.DUMMYFUNCTION("""COMPUTED_VALUE"""),"INSPECCIONES REALIZADAS")</f>
        <v>INSPECCIONES REALIZADAS</v>
      </c>
      <c r="AH1116" s="5"/>
    </row>
    <row r="1117" spans="1:34">
      <c r="A1117" s="5" t="str">
        <f ca="1">IFERROR(__xludf.DUMMYFUNCTION("""COMPUTED_VALUE"""),"EQUIPOS PARA SERVICIOS INDUSTRIALES")</f>
        <v>EQUIPOS PARA SERVICIOS INDUSTRIALES</v>
      </c>
      <c r="B1117" s="5">
        <f ca="1">IFERROR(__xludf.DUMMYFUNCTION("""COMPUTED_VALUE"""),64954401)</f>
        <v>64954401</v>
      </c>
      <c r="C1117" s="5" t="str">
        <f ca="1">IFERROR(__xludf.DUMMYFUNCTION("""COMPUTED_VALUE"""),"TANQUE AIRE COMPRIMIDO 3")</f>
        <v>TANQUE AIRE COMPRIMIDO 3</v>
      </c>
      <c r="D1117" s="5">
        <f ca="1">IFERROR(__xludf.DUMMYFUNCTION("""COMPUTED_VALUE"""),13247520)</f>
        <v>13247520</v>
      </c>
      <c r="E1117" s="5" t="str">
        <f ca="1">IFERROR(__xludf.DUMMYFUNCTION("""COMPUTED_VALUE"""),"INSPECCION SEMANAL TANQUE AIRE COMPRIMID")</f>
        <v>INSPECCION SEMANAL TANQUE AIRE COMPRIMID</v>
      </c>
      <c r="F1117" s="5" t="str">
        <f ca="1">IFERROR(__xludf.DUMMYFUNCTION("""COMPUTED_VALUE"""),"ESTADO TANQUES")</f>
        <v>ESTADO TANQUES</v>
      </c>
      <c r="G1117" s="5" t="b">
        <f ca="1">IFERROR(__xludf.DUMMYFUNCTION("""COMPUTED_VALUE"""),TRUE)</f>
        <v>1</v>
      </c>
      <c r="H1117" s="5"/>
      <c r="I1117" s="5"/>
      <c r="J1117" s="5">
        <f ca="1">IFERROR(__xludf.DUMMYFUNCTION("""COMPUTED_VALUE"""),13247520)</f>
        <v>13247520</v>
      </c>
      <c r="K1117" s="5"/>
      <c r="L1117" s="18">
        <f ca="1">IFERROR(__xludf.DUMMYFUNCTION("""COMPUTED_VALUE"""),45324)</f>
        <v>45324</v>
      </c>
      <c r="M1117" s="18">
        <f ca="1">IFERROR(__xludf.DUMMYFUNCTION("""COMPUTED_VALUE"""),45324)</f>
        <v>45324</v>
      </c>
      <c r="N1117" s="5" t="str">
        <f ca="1">IFERROR(__xludf.DUMMYFUNCTION("""COMPUTED_VALUE"""),"MARIO ALBERTO MARTÍNEZ MORA")</f>
        <v>MARIO ALBERTO MARTÍNEZ MORA</v>
      </c>
      <c r="O1117" s="2">
        <f ca="1">IFERROR(__xludf.DUMMYFUNCTION("""COMPUTED_VALUE"""),0.014285714)</f>
        <v>1.4285714E-2</v>
      </c>
      <c r="P1117" s="5">
        <f ca="1">IFERROR(__xludf.DUMMYFUNCTION("""COMPUTED_VALUE"""),94542837)</f>
        <v>94542837</v>
      </c>
      <c r="Q1117" s="5" t="str">
        <f ca="1">IFERROR(__xludf.DUMMYFUNCTION("""COMPUTED_VALUE"""),"lhCElzuljQU")</f>
        <v>lhCElzuljQU</v>
      </c>
      <c r="R1117" s="5">
        <f ca="1">IFERROR(__xludf.DUMMYFUNCTION("""COMPUTED_VALUE"""),410)</f>
        <v>410</v>
      </c>
      <c r="S1117" s="62">
        <f ca="1">IFERROR(__xludf.DUMMYFUNCTION("""COMPUTED_VALUE"""),0.014285714)</f>
        <v>1.4285714E-2</v>
      </c>
      <c r="T1117" s="63" t="str">
        <f ca="1">IFERROR(__xludf.DUMMYFUNCTION("""COMPUTED_VALUE"""),"https://storage.googleapis.com/glide-prod.appspot.com/uploads-v2/ly7o78grxPaC6KdgvbpS/pub/3aRdSog0vUtuqPE8AJKD.png")</f>
        <v>https://storage.googleapis.com/glide-prod.appspot.com/uploads-v2/ly7o78grxPaC6KdgvbpS/pub/3aRdSog0vUtuqPE8AJKD.png</v>
      </c>
      <c r="U1117" s="5" t="str">
        <f ca="1">IFERROR(__xludf.DUMMYFUNCTION("""COMPUTED_VALUE"""),"EQUIPOS PARA SERVICIOS INDUSTRIALESTANQUE AIRE COMPRIMIDO 3")</f>
        <v>EQUIPOS PARA SERVICIOS INDUSTRIALESTANQUE AIRE COMPRIMIDO 3</v>
      </c>
      <c r="V1117" s="5"/>
      <c r="W1117" s="5" t="b">
        <f ca="1">IFERROR(__xludf.DUMMYFUNCTION("""COMPUTED_VALUE"""),TRUE)</f>
        <v>1</v>
      </c>
      <c r="X1117" s="5" t="str">
        <f ca="1">IFERROR(__xludf.DUMMYFUNCTION("""COMPUTED_VALUE"""),"wmazorra@postobon.com.co,aprmttoyu@postobon.com.co,aprmyu@postobon.com.co,wmora@postobon.com.co,efzapata@postobon.com.co")</f>
        <v>wmazorra@postobon.com.co,aprmttoyu@postobon.com.co,aprmyu@postobon.com.co,wmora@postobon.com.co,efzapata@postobon.com.co</v>
      </c>
      <c r="Y1117" s="5" t="str">
        <f ca="1">IFERROR(__xludf.DUMMYFUNCTION("""COMPUTED_VALUE"""),"wmazorra@postobon.com.co")</f>
        <v>wmazorra@postobon.com.co</v>
      </c>
      <c r="Z1117" s="5" t="str">
        <f ca="1">IFERROR(__xludf.DUMMYFUNCTION("""COMPUTED_VALUE"""),"LACNBMeoSwWIeoJcIN2xLg")</f>
        <v>LACNBMeoSwWIeoJcIN2xLg</v>
      </c>
      <c r="AA1117" s="5"/>
      <c r="AB1117" s="5"/>
      <c r="AC1117" s="5"/>
      <c r="AD1117" s="5">
        <f ca="1">IFERROR(__xludf.DUMMYFUNCTION("""COMPUTED_VALUE"""),65)</f>
        <v>65</v>
      </c>
      <c r="AE1117" s="5">
        <f ca="1">IFERROR(__xludf.DUMMYFUNCTION("""COMPUTED_VALUE"""),65)</f>
        <v>65</v>
      </c>
      <c r="AF1117" s="5" t="b">
        <f ca="1">IFERROR(__xludf.DUMMYFUNCTION("""COMPUTED_VALUE"""),FALSE)</f>
        <v>0</v>
      </c>
      <c r="AG1117" s="5" t="str">
        <f ca="1">IFERROR(__xludf.DUMMYFUNCTION("""COMPUTED_VALUE"""),"INSPECCIONES REALIZADAS")</f>
        <v>INSPECCIONES REALIZADAS</v>
      </c>
      <c r="AH1117" s="5"/>
    </row>
    <row r="1118" spans="1:34">
      <c r="A1118" s="5" t="str">
        <f ca="1">IFERROR(__xludf.DUMMYFUNCTION("""COMPUTED_VALUE"""),"EQUIPOS PARA SERVICIOS INDUSTRIALES")</f>
        <v>EQUIPOS PARA SERVICIOS INDUSTRIALES</v>
      </c>
      <c r="B1118" s="5">
        <f ca="1">IFERROR(__xludf.DUMMYFUNCTION("""COMPUTED_VALUE"""),64954401)</f>
        <v>64954401</v>
      </c>
      <c r="C1118" s="5" t="str">
        <f ca="1">IFERROR(__xludf.DUMMYFUNCTION("""COMPUTED_VALUE"""),"TANQUE AIRE COMPRIMIDO 3")</f>
        <v>TANQUE AIRE COMPRIMIDO 3</v>
      </c>
      <c r="D1118" s="5">
        <f ca="1">IFERROR(__xludf.DUMMYFUNCTION("""COMPUTED_VALUE"""),13247520)</f>
        <v>13247520</v>
      </c>
      <c r="E1118" s="5" t="str">
        <f ca="1">IFERROR(__xludf.DUMMYFUNCTION("""COMPUTED_VALUE"""),"INSPECCION SEMANAL TANQUE AIRE COMPRIMID")</f>
        <v>INSPECCION SEMANAL TANQUE AIRE COMPRIMID</v>
      </c>
      <c r="F1118" s="5" t="str">
        <f ca="1">IFERROR(__xludf.DUMMYFUNCTION("""COMPUTED_VALUE"""),"FUNC. VALVULAS, TUBERIAS")</f>
        <v>FUNC. VALVULAS, TUBERIAS</v>
      </c>
      <c r="G1118" s="5" t="b">
        <f ca="1">IFERROR(__xludf.DUMMYFUNCTION("""COMPUTED_VALUE"""),TRUE)</f>
        <v>1</v>
      </c>
      <c r="H1118" s="5"/>
      <c r="I1118" s="5"/>
      <c r="J1118" s="5">
        <f ca="1">IFERROR(__xludf.DUMMYFUNCTION("""COMPUTED_VALUE"""),13247520)</f>
        <v>13247520</v>
      </c>
      <c r="K1118" s="5"/>
      <c r="L1118" s="18">
        <f ca="1">IFERROR(__xludf.DUMMYFUNCTION("""COMPUTED_VALUE"""),45324)</f>
        <v>45324</v>
      </c>
      <c r="M1118" s="18">
        <f ca="1">IFERROR(__xludf.DUMMYFUNCTION("""COMPUTED_VALUE"""),45324)</f>
        <v>45324</v>
      </c>
      <c r="N1118" s="5" t="str">
        <f ca="1">IFERROR(__xludf.DUMMYFUNCTION("""COMPUTED_VALUE"""),"MARIO ALBERTO MARTÍNEZ MORA")</f>
        <v>MARIO ALBERTO MARTÍNEZ MORA</v>
      </c>
      <c r="O1118" s="2">
        <f ca="1">IFERROR(__xludf.DUMMYFUNCTION("""COMPUTED_VALUE"""),0.014285714)</f>
        <v>1.4285714E-2</v>
      </c>
      <c r="P1118" s="5">
        <f ca="1">IFERROR(__xludf.DUMMYFUNCTION("""COMPUTED_VALUE"""),94542837)</f>
        <v>94542837</v>
      </c>
      <c r="Q1118" s="5" t="str">
        <f ca="1">IFERROR(__xludf.DUMMYFUNCTION("""COMPUTED_VALUE"""),"I-SeTbJIDGg")</f>
        <v>I-SeTbJIDGg</v>
      </c>
      <c r="R1118" s="5">
        <f ca="1">IFERROR(__xludf.DUMMYFUNCTION("""COMPUTED_VALUE"""),410)</f>
        <v>410</v>
      </c>
      <c r="S1118" s="62">
        <f ca="1">IFERROR(__xludf.DUMMYFUNCTION("""COMPUTED_VALUE"""),0.014285714)</f>
        <v>1.4285714E-2</v>
      </c>
      <c r="T1118" s="63" t="str">
        <f ca="1">IFERROR(__xludf.DUMMYFUNCTION("""COMPUTED_VALUE"""),"https://storage.googleapis.com/glide-prod.appspot.com/uploads-v2/ly7o78grxPaC6KdgvbpS/pub/3aRdSog0vUtuqPE8AJKD.png")</f>
        <v>https://storage.googleapis.com/glide-prod.appspot.com/uploads-v2/ly7o78grxPaC6KdgvbpS/pub/3aRdSog0vUtuqPE8AJKD.png</v>
      </c>
      <c r="U1118" s="5" t="str">
        <f ca="1">IFERROR(__xludf.DUMMYFUNCTION("""COMPUTED_VALUE"""),"EQUIPOS PARA SERVICIOS INDUSTRIALESTANQUE AIRE COMPRIMIDO 3")</f>
        <v>EQUIPOS PARA SERVICIOS INDUSTRIALESTANQUE AIRE COMPRIMIDO 3</v>
      </c>
      <c r="V1118" s="5"/>
      <c r="W1118" s="5" t="b">
        <f ca="1">IFERROR(__xludf.DUMMYFUNCTION("""COMPUTED_VALUE"""),TRUE)</f>
        <v>1</v>
      </c>
      <c r="X1118" s="5" t="str">
        <f ca="1">IFERROR(__xludf.DUMMYFUNCTION("""COMPUTED_VALUE"""),"wmazorra@postobon.com.co,aprmttoyu@postobon.com.co,aprmyu@postobon.com.co,wmora@postobon.com.co,efzapata@postobon.com.co")</f>
        <v>wmazorra@postobon.com.co,aprmttoyu@postobon.com.co,aprmyu@postobon.com.co,wmora@postobon.com.co,efzapata@postobon.com.co</v>
      </c>
      <c r="Y1118" s="5" t="str">
        <f ca="1">IFERROR(__xludf.DUMMYFUNCTION("""COMPUTED_VALUE"""),"wmazorra@postobon.com.co")</f>
        <v>wmazorra@postobon.com.co</v>
      </c>
      <c r="Z1118" s="5" t="str">
        <f ca="1">IFERROR(__xludf.DUMMYFUNCTION("""COMPUTED_VALUE"""),"r0bj7kzoTo2Xld0EFJ6eZg")</f>
        <v>r0bj7kzoTo2Xld0EFJ6eZg</v>
      </c>
      <c r="AA1118" s="5"/>
      <c r="AB1118" s="5"/>
      <c r="AC1118" s="5"/>
      <c r="AD1118" s="5">
        <f ca="1">IFERROR(__xludf.DUMMYFUNCTION("""COMPUTED_VALUE"""),65)</f>
        <v>65</v>
      </c>
      <c r="AE1118" s="5">
        <f ca="1">IFERROR(__xludf.DUMMYFUNCTION("""COMPUTED_VALUE"""),65)</f>
        <v>65</v>
      </c>
      <c r="AF1118" s="5" t="b">
        <f ca="1">IFERROR(__xludf.DUMMYFUNCTION("""COMPUTED_VALUE"""),FALSE)</f>
        <v>0</v>
      </c>
      <c r="AG1118" s="5" t="str">
        <f ca="1">IFERROR(__xludf.DUMMYFUNCTION("""COMPUTED_VALUE"""),"INSPECCIONES REALIZADAS")</f>
        <v>INSPECCIONES REALIZADAS</v>
      </c>
      <c r="AH1118" s="5"/>
    </row>
    <row r="1119" spans="1:34">
      <c r="A1119" s="5" t="str">
        <f ca="1">IFERROR(__xludf.DUMMYFUNCTION("""COMPUTED_VALUE"""),"EQUIPOS PARA SERVICIOS INDUSTRIALES")</f>
        <v>EQUIPOS PARA SERVICIOS INDUSTRIALES</v>
      </c>
      <c r="B1119" s="5">
        <f ca="1">IFERROR(__xludf.DUMMYFUNCTION("""COMPUTED_VALUE"""),64954401)</f>
        <v>64954401</v>
      </c>
      <c r="C1119" s="5" t="str">
        <f ca="1">IFERROR(__xludf.DUMMYFUNCTION("""COMPUTED_VALUE"""),"TANQUE AIRE COMPRIMIDO 3")</f>
        <v>TANQUE AIRE COMPRIMIDO 3</v>
      </c>
      <c r="D1119" s="5">
        <f ca="1">IFERROR(__xludf.DUMMYFUNCTION("""COMPUTED_VALUE"""),13247520)</f>
        <v>13247520</v>
      </c>
      <c r="E1119" s="5" t="str">
        <f ca="1">IFERROR(__xludf.DUMMYFUNCTION("""COMPUTED_VALUE"""),"INSPECCION SEMANAL TANQUE AIRE COMPRIMID")</f>
        <v>INSPECCION SEMANAL TANQUE AIRE COMPRIMID</v>
      </c>
      <c r="F1119" s="5" t="str">
        <f ca="1">IFERROR(__xludf.DUMMYFUNCTION("""COMPUTED_VALUE"""),"ESCAPE FLUIDOS")</f>
        <v>ESCAPE FLUIDOS</v>
      </c>
      <c r="G1119" s="5" t="b">
        <f ca="1">IFERROR(__xludf.DUMMYFUNCTION("""COMPUTED_VALUE"""),TRUE)</f>
        <v>1</v>
      </c>
      <c r="H1119" s="5"/>
      <c r="I1119" s="5"/>
      <c r="J1119" s="5">
        <f ca="1">IFERROR(__xludf.DUMMYFUNCTION("""COMPUTED_VALUE"""),13247520)</f>
        <v>13247520</v>
      </c>
      <c r="K1119" s="5"/>
      <c r="L1119" s="18">
        <f ca="1">IFERROR(__xludf.DUMMYFUNCTION("""COMPUTED_VALUE"""),45324)</f>
        <v>45324</v>
      </c>
      <c r="M1119" s="18">
        <f ca="1">IFERROR(__xludf.DUMMYFUNCTION("""COMPUTED_VALUE"""),45324)</f>
        <v>45324</v>
      </c>
      <c r="N1119" s="5" t="str">
        <f ca="1">IFERROR(__xludf.DUMMYFUNCTION("""COMPUTED_VALUE"""),"MARIO ALBERTO MARTÍNEZ MORA")</f>
        <v>MARIO ALBERTO MARTÍNEZ MORA</v>
      </c>
      <c r="O1119" s="2">
        <f ca="1">IFERROR(__xludf.DUMMYFUNCTION("""COMPUTED_VALUE"""),0.014285714)</f>
        <v>1.4285714E-2</v>
      </c>
      <c r="P1119" s="5">
        <f ca="1">IFERROR(__xludf.DUMMYFUNCTION("""COMPUTED_VALUE"""),94542837)</f>
        <v>94542837</v>
      </c>
      <c r="Q1119" s="5" t="str">
        <f ca="1">IFERROR(__xludf.DUMMYFUNCTION("""COMPUTED_VALUE"""),"ifqc0Q8q-bE")</f>
        <v>ifqc0Q8q-bE</v>
      </c>
      <c r="R1119" s="5">
        <f ca="1">IFERROR(__xludf.DUMMYFUNCTION("""COMPUTED_VALUE"""),410)</f>
        <v>410</v>
      </c>
      <c r="S1119" s="62">
        <f ca="1">IFERROR(__xludf.DUMMYFUNCTION("""COMPUTED_VALUE"""),0.014285714)</f>
        <v>1.4285714E-2</v>
      </c>
      <c r="T1119" s="63" t="str">
        <f ca="1">IFERROR(__xludf.DUMMYFUNCTION("""COMPUTED_VALUE"""),"https://storage.googleapis.com/glide-prod.appspot.com/uploads-v2/ly7o78grxPaC6KdgvbpS/pub/3aRdSog0vUtuqPE8AJKD.png")</f>
        <v>https://storage.googleapis.com/glide-prod.appspot.com/uploads-v2/ly7o78grxPaC6KdgvbpS/pub/3aRdSog0vUtuqPE8AJKD.png</v>
      </c>
      <c r="U1119" s="5" t="str">
        <f ca="1">IFERROR(__xludf.DUMMYFUNCTION("""COMPUTED_VALUE"""),"EQUIPOS PARA SERVICIOS INDUSTRIALESTANQUE AIRE COMPRIMIDO 3")</f>
        <v>EQUIPOS PARA SERVICIOS INDUSTRIALESTANQUE AIRE COMPRIMIDO 3</v>
      </c>
      <c r="V1119" s="5"/>
      <c r="W1119" s="5" t="b">
        <f ca="1">IFERROR(__xludf.DUMMYFUNCTION("""COMPUTED_VALUE"""),TRUE)</f>
        <v>1</v>
      </c>
      <c r="X1119" s="5" t="str">
        <f ca="1">IFERROR(__xludf.DUMMYFUNCTION("""COMPUTED_VALUE"""),"wmazorra@postobon.com.co,aprmttoyu@postobon.com.co,aprmyu@postobon.com.co,wmora@postobon.com.co,efzapata@postobon.com.co")</f>
        <v>wmazorra@postobon.com.co,aprmttoyu@postobon.com.co,aprmyu@postobon.com.co,wmora@postobon.com.co,efzapata@postobon.com.co</v>
      </c>
      <c r="Y1119" s="5" t="str">
        <f ca="1">IFERROR(__xludf.DUMMYFUNCTION("""COMPUTED_VALUE"""),"wmazorra@postobon.com.co")</f>
        <v>wmazorra@postobon.com.co</v>
      </c>
      <c r="Z1119" s="5" t="str">
        <f ca="1">IFERROR(__xludf.DUMMYFUNCTION("""COMPUTED_VALUE"""),"1BepVrQERdCSz17rtojAGA")</f>
        <v>1BepVrQERdCSz17rtojAGA</v>
      </c>
      <c r="AA1119" s="5"/>
      <c r="AB1119" s="5"/>
      <c r="AC1119" s="5"/>
      <c r="AD1119" s="5">
        <f ca="1">IFERROR(__xludf.DUMMYFUNCTION("""COMPUTED_VALUE"""),65)</f>
        <v>65</v>
      </c>
      <c r="AE1119" s="5">
        <f ca="1">IFERROR(__xludf.DUMMYFUNCTION("""COMPUTED_VALUE"""),65)</f>
        <v>65</v>
      </c>
      <c r="AF1119" s="5" t="b">
        <f ca="1">IFERROR(__xludf.DUMMYFUNCTION("""COMPUTED_VALUE"""),FALSE)</f>
        <v>0</v>
      </c>
      <c r="AG1119" s="5" t="str">
        <f ca="1">IFERROR(__xludf.DUMMYFUNCTION("""COMPUTED_VALUE"""),"INSPECCIONES REALIZADAS")</f>
        <v>INSPECCIONES REALIZADAS</v>
      </c>
      <c r="AH1119" s="5"/>
    </row>
    <row r="1120" spans="1:34">
      <c r="A1120" s="5" t="str">
        <f ca="1">IFERROR(__xludf.DUMMYFUNCTION("""COMPUTED_VALUE"""),"EQUIPOS PARA SERVICIOS INDUSTRIALES")</f>
        <v>EQUIPOS PARA SERVICIOS INDUSTRIALES</v>
      </c>
      <c r="B1120" s="5">
        <f ca="1">IFERROR(__xludf.DUMMYFUNCTION("""COMPUTED_VALUE"""),64954401)</f>
        <v>64954401</v>
      </c>
      <c r="C1120" s="5" t="str">
        <f ca="1">IFERROR(__xludf.DUMMYFUNCTION("""COMPUTED_VALUE"""),"TANQUE AIRE COMPRIMIDO 3")</f>
        <v>TANQUE AIRE COMPRIMIDO 3</v>
      </c>
      <c r="D1120" s="5">
        <f ca="1">IFERROR(__xludf.DUMMYFUNCTION("""COMPUTED_VALUE"""),13247520)</f>
        <v>13247520</v>
      </c>
      <c r="E1120" s="5" t="str">
        <f ca="1">IFERROR(__xludf.DUMMYFUNCTION("""COMPUTED_VALUE"""),"INSPECCION SEMANAL TANQUE AIRE COMPRIMID")</f>
        <v>INSPECCION SEMANAL TANQUE AIRE COMPRIMID</v>
      </c>
      <c r="F1120" s="5" t="str">
        <f ca="1">IFERROR(__xludf.DUMMYFUNCTION("""COMPUTED_VALUE"""),"FUNC. MOTOBOM TANQUE")</f>
        <v>FUNC. MOTOBOM TANQUE</v>
      </c>
      <c r="G1120" s="5" t="b">
        <f ca="1">IFERROR(__xludf.DUMMYFUNCTION("""COMPUTED_VALUE"""),TRUE)</f>
        <v>1</v>
      </c>
      <c r="H1120" s="5"/>
      <c r="I1120" s="5"/>
      <c r="J1120" s="5">
        <f ca="1">IFERROR(__xludf.DUMMYFUNCTION("""COMPUTED_VALUE"""),13247520)</f>
        <v>13247520</v>
      </c>
      <c r="K1120" s="5"/>
      <c r="L1120" s="18">
        <f ca="1">IFERROR(__xludf.DUMMYFUNCTION("""COMPUTED_VALUE"""),45324)</f>
        <v>45324</v>
      </c>
      <c r="M1120" s="18">
        <f ca="1">IFERROR(__xludf.DUMMYFUNCTION("""COMPUTED_VALUE"""),45324)</f>
        <v>45324</v>
      </c>
      <c r="N1120" s="5" t="str">
        <f ca="1">IFERROR(__xludf.DUMMYFUNCTION("""COMPUTED_VALUE"""),"MARIO ALBERTO MARTÍNEZ MORA")</f>
        <v>MARIO ALBERTO MARTÍNEZ MORA</v>
      </c>
      <c r="O1120" s="2">
        <f ca="1">IFERROR(__xludf.DUMMYFUNCTION("""COMPUTED_VALUE"""),0.014285714)</f>
        <v>1.4285714E-2</v>
      </c>
      <c r="P1120" s="5">
        <f ca="1">IFERROR(__xludf.DUMMYFUNCTION("""COMPUTED_VALUE"""),94542837)</f>
        <v>94542837</v>
      </c>
      <c r="Q1120" s="5" t="str">
        <f ca="1">IFERROR(__xludf.DUMMYFUNCTION("""COMPUTED_VALUE"""),"M9DFS0zXZIU")</f>
        <v>M9DFS0zXZIU</v>
      </c>
      <c r="R1120" s="5">
        <f ca="1">IFERROR(__xludf.DUMMYFUNCTION("""COMPUTED_VALUE"""),410)</f>
        <v>410</v>
      </c>
      <c r="S1120" s="62">
        <f ca="1">IFERROR(__xludf.DUMMYFUNCTION("""COMPUTED_VALUE"""),0.014285714)</f>
        <v>1.4285714E-2</v>
      </c>
      <c r="T1120" s="63" t="str">
        <f ca="1">IFERROR(__xludf.DUMMYFUNCTION("""COMPUTED_VALUE"""),"https://storage.googleapis.com/glide-prod.appspot.com/uploads-v2/ly7o78grxPaC6KdgvbpS/pub/3aRdSog0vUtuqPE8AJKD.png")</f>
        <v>https://storage.googleapis.com/glide-prod.appspot.com/uploads-v2/ly7o78grxPaC6KdgvbpS/pub/3aRdSog0vUtuqPE8AJKD.png</v>
      </c>
      <c r="U1120" s="5" t="str">
        <f ca="1">IFERROR(__xludf.DUMMYFUNCTION("""COMPUTED_VALUE"""),"EQUIPOS PARA SERVICIOS INDUSTRIALESTANQUE AIRE COMPRIMIDO 3")</f>
        <v>EQUIPOS PARA SERVICIOS INDUSTRIALESTANQUE AIRE COMPRIMIDO 3</v>
      </c>
      <c r="V1120" s="5"/>
      <c r="W1120" s="5" t="b">
        <f ca="1">IFERROR(__xludf.DUMMYFUNCTION("""COMPUTED_VALUE"""),TRUE)</f>
        <v>1</v>
      </c>
      <c r="X1120" s="5" t="str">
        <f ca="1">IFERROR(__xludf.DUMMYFUNCTION("""COMPUTED_VALUE"""),"wmazorra@postobon.com.co,aprmttoyu@postobon.com.co,aprmyu@postobon.com.co,wmora@postobon.com.co,efzapata@postobon.com.co")</f>
        <v>wmazorra@postobon.com.co,aprmttoyu@postobon.com.co,aprmyu@postobon.com.co,wmora@postobon.com.co,efzapata@postobon.com.co</v>
      </c>
      <c r="Y1120" s="5" t="str">
        <f ca="1">IFERROR(__xludf.DUMMYFUNCTION("""COMPUTED_VALUE"""),"wmazorra@postobon.com.co")</f>
        <v>wmazorra@postobon.com.co</v>
      </c>
      <c r="Z1120" s="5" t="str">
        <f ca="1">IFERROR(__xludf.DUMMYFUNCTION("""COMPUTED_VALUE"""),"U5J0ZLQjQJaObP7galCIUA")</f>
        <v>U5J0ZLQjQJaObP7galCIUA</v>
      </c>
      <c r="AA1120" s="5"/>
      <c r="AB1120" s="5"/>
      <c r="AC1120" s="5"/>
      <c r="AD1120" s="5">
        <f ca="1">IFERROR(__xludf.DUMMYFUNCTION("""COMPUTED_VALUE"""),65)</f>
        <v>65</v>
      </c>
      <c r="AE1120" s="5">
        <f ca="1">IFERROR(__xludf.DUMMYFUNCTION("""COMPUTED_VALUE"""),65)</f>
        <v>65</v>
      </c>
      <c r="AF1120" s="5" t="b">
        <f ca="1">IFERROR(__xludf.DUMMYFUNCTION("""COMPUTED_VALUE"""),FALSE)</f>
        <v>0</v>
      </c>
      <c r="AG1120" s="5" t="str">
        <f ca="1">IFERROR(__xludf.DUMMYFUNCTION("""COMPUTED_VALUE"""),"INSPECCIONES REALIZADAS")</f>
        <v>INSPECCIONES REALIZADAS</v>
      </c>
      <c r="AH1120" s="5"/>
    </row>
    <row r="1121" spans="1:34">
      <c r="A1121" s="5" t="str">
        <f ca="1">IFERROR(__xludf.DUMMYFUNCTION("""COMPUTED_VALUE"""),"EQUIPOS PARA SERVICIOS INDUSTRIALES")</f>
        <v>EQUIPOS PARA SERVICIOS INDUSTRIALES</v>
      </c>
      <c r="B1121" s="5">
        <f ca="1">IFERROR(__xludf.DUMMYFUNCTION("""COMPUTED_VALUE"""),64954401)</f>
        <v>64954401</v>
      </c>
      <c r="C1121" s="5" t="str">
        <f ca="1">IFERROR(__xludf.DUMMYFUNCTION("""COMPUTED_VALUE"""),"TANQUE AIRE COMPRIMIDO 3")</f>
        <v>TANQUE AIRE COMPRIMIDO 3</v>
      </c>
      <c r="D1121" s="5">
        <f ca="1">IFERROR(__xludf.DUMMYFUNCTION("""COMPUTED_VALUE"""),13247520)</f>
        <v>13247520</v>
      </c>
      <c r="E1121" s="5" t="str">
        <f ca="1">IFERROR(__xludf.DUMMYFUNCTION("""COMPUTED_VALUE"""),"INSPECCION SEMANAL TANQUE AIRE COMPRIMID")</f>
        <v>INSPECCION SEMANAL TANQUE AIRE COMPRIMID</v>
      </c>
      <c r="F1121" s="5" t="str">
        <f ca="1">IFERROR(__xludf.DUMMYFUNCTION("""COMPUTED_VALUE"""),"INSTRUMENTOS MEDICION")</f>
        <v>INSTRUMENTOS MEDICION</v>
      </c>
      <c r="G1121" s="5" t="b">
        <f ca="1">IFERROR(__xludf.DUMMYFUNCTION("""COMPUTED_VALUE"""),TRUE)</f>
        <v>1</v>
      </c>
      <c r="H1121" s="5"/>
      <c r="I1121" s="5"/>
      <c r="J1121" s="5">
        <f ca="1">IFERROR(__xludf.DUMMYFUNCTION("""COMPUTED_VALUE"""),13247520)</f>
        <v>13247520</v>
      </c>
      <c r="K1121" s="5"/>
      <c r="L1121" s="18">
        <f ca="1">IFERROR(__xludf.DUMMYFUNCTION("""COMPUTED_VALUE"""),45324)</f>
        <v>45324</v>
      </c>
      <c r="M1121" s="18">
        <f ca="1">IFERROR(__xludf.DUMMYFUNCTION("""COMPUTED_VALUE"""),45324)</f>
        <v>45324</v>
      </c>
      <c r="N1121" s="5" t="str">
        <f ca="1">IFERROR(__xludf.DUMMYFUNCTION("""COMPUTED_VALUE"""),"MARIO ALBERTO MARTÍNEZ MORA")</f>
        <v>MARIO ALBERTO MARTÍNEZ MORA</v>
      </c>
      <c r="O1121" s="2">
        <f ca="1">IFERROR(__xludf.DUMMYFUNCTION("""COMPUTED_VALUE"""),0.014285714)</f>
        <v>1.4285714E-2</v>
      </c>
      <c r="P1121" s="5">
        <f ca="1">IFERROR(__xludf.DUMMYFUNCTION("""COMPUTED_VALUE"""),94542837)</f>
        <v>94542837</v>
      </c>
      <c r="Q1121" s="5" t="str">
        <f ca="1">IFERROR(__xludf.DUMMYFUNCTION("""COMPUTED_VALUE"""),"GG6UKYUSjYY")</f>
        <v>GG6UKYUSjYY</v>
      </c>
      <c r="R1121" s="5">
        <f ca="1">IFERROR(__xludf.DUMMYFUNCTION("""COMPUTED_VALUE"""),410)</f>
        <v>410</v>
      </c>
      <c r="S1121" s="62">
        <f ca="1">IFERROR(__xludf.DUMMYFUNCTION("""COMPUTED_VALUE"""),0.014285714)</f>
        <v>1.4285714E-2</v>
      </c>
      <c r="T1121" s="63" t="str">
        <f ca="1">IFERROR(__xludf.DUMMYFUNCTION("""COMPUTED_VALUE"""),"https://storage.googleapis.com/glide-prod.appspot.com/uploads-v2/ly7o78grxPaC6KdgvbpS/pub/3aRdSog0vUtuqPE8AJKD.png")</f>
        <v>https://storage.googleapis.com/glide-prod.appspot.com/uploads-v2/ly7o78grxPaC6KdgvbpS/pub/3aRdSog0vUtuqPE8AJKD.png</v>
      </c>
      <c r="U1121" s="5" t="str">
        <f ca="1">IFERROR(__xludf.DUMMYFUNCTION("""COMPUTED_VALUE"""),"EQUIPOS PARA SERVICIOS INDUSTRIALESTANQUE AIRE COMPRIMIDO 3")</f>
        <v>EQUIPOS PARA SERVICIOS INDUSTRIALESTANQUE AIRE COMPRIMIDO 3</v>
      </c>
      <c r="V1121" s="5"/>
      <c r="W1121" s="5" t="b">
        <f ca="1">IFERROR(__xludf.DUMMYFUNCTION("""COMPUTED_VALUE"""),TRUE)</f>
        <v>1</v>
      </c>
      <c r="X1121" s="5" t="str">
        <f ca="1">IFERROR(__xludf.DUMMYFUNCTION("""COMPUTED_VALUE"""),"wmazorra@postobon.com.co,aprmttoyu@postobon.com.co,aprmyu@postobon.com.co,wmora@postobon.com.co,efzapata@postobon.com.co")</f>
        <v>wmazorra@postobon.com.co,aprmttoyu@postobon.com.co,aprmyu@postobon.com.co,wmora@postobon.com.co,efzapata@postobon.com.co</v>
      </c>
      <c r="Y1121" s="5" t="str">
        <f ca="1">IFERROR(__xludf.DUMMYFUNCTION("""COMPUTED_VALUE"""),"wmazorra@postobon.com.co")</f>
        <v>wmazorra@postobon.com.co</v>
      </c>
      <c r="Z1121" s="5" t="str">
        <f ca="1">IFERROR(__xludf.DUMMYFUNCTION("""COMPUTED_VALUE"""),"a.xJCHzW4SeKqa3p3PhTf3w")</f>
        <v>a.xJCHzW4SeKqa3p3PhTf3w</v>
      </c>
      <c r="AA1121" s="5"/>
      <c r="AB1121" s="5"/>
      <c r="AC1121" s="5"/>
      <c r="AD1121" s="5">
        <f ca="1">IFERROR(__xludf.DUMMYFUNCTION("""COMPUTED_VALUE"""),65)</f>
        <v>65</v>
      </c>
      <c r="AE1121" s="5">
        <f ca="1">IFERROR(__xludf.DUMMYFUNCTION("""COMPUTED_VALUE"""),65)</f>
        <v>65</v>
      </c>
      <c r="AF1121" s="5" t="b">
        <f ca="1">IFERROR(__xludf.DUMMYFUNCTION("""COMPUTED_VALUE"""),FALSE)</f>
        <v>0</v>
      </c>
      <c r="AG1121" s="5" t="str">
        <f ca="1">IFERROR(__xludf.DUMMYFUNCTION("""COMPUTED_VALUE"""),"INSPECCIONES REALIZADAS")</f>
        <v>INSPECCIONES REALIZADAS</v>
      </c>
      <c r="AH1121" s="5"/>
    </row>
    <row r="1122" spans="1:34">
      <c r="A1122" s="5" t="str">
        <f ca="1">IFERROR(__xludf.DUMMYFUNCTION("""COMPUTED_VALUE"""),"EQUIPOS PARA SERVICIOS INDUSTRIALES")</f>
        <v>EQUIPOS PARA SERVICIOS INDUSTRIALES</v>
      </c>
      <c r="B1122" s="5">
        <f ca="1">IFERROR(__xludf.DUMMYFUNCTION("""COMPUTED_VALUE"""),64954401)</f>
        <v>64954401</v>
      </c>
      <c r="C1122" s="5" t="str">
        <f ca="1">IFERROR(__xludf.DUMMYFUNCTION("""COMPUTED_VALUE"""),"TANQUE AIRE COMPRIMIDO 3")</f>
        <v>TANQUE AIRE COMPRIMIDO 3</v>
      </c>
      <c r="D1122" s="5">
        <f ca="1">IFERROR(__xludf.DUMMYFUNCTION("""COMPUTED_VALUE"""),13247520)</f>
        <v>13247520</v>
      </c>
      <c r="E1122" s="5" t="str">
        <f ca="1">IFERROR(__xludf.DUMMYFUNCTION("""COMPUTED_VALUE"""),"INSPECCION SEMANAL TANQUE AIRE COMPRIMID")</f>
        <v>INSPECCION SEMANAL TANQUE AIRE COMPRIMID</v>
      </c>
      <c r="F1122" s="5" t="str">
        <f ca="1">IFERROR(__xludf.DUMMYFUNCTION("""COMPUTED_VALUE"""),"ESTADO GRAL PINTURA")</f>
        <v>ESTADO GRAL PINTURA</v>
      </c>
      <c r="G1122" s="5" t="b">
        <f ca="1">IFERROR(__xludf.DUMMYFUNCTION("""COMPUTED_VALUE"""),TRUE)</f>
        <v>1</v>
      </c>
      <c r="H1122" s="5"/>
      <c r="I1122" s="5"/>
      <c r="J1122" s="5">
        <f ca="1">IFERROR(__xludf.DUMMYFUNCTION("""COMPUTED_VALUE"""),13247520)</f>
        <v>13247520</v>
      </c>
      <c r="K1122" s="5"/>
      <c r="L1122" s="18">
        <f ca="1">IFERROR(__xludf.DUMMYFUNCTION("""COMPUTED_VALUE"""),45324)</f>
        <v>45324</v>
      </c>
      <c r="M1122" s="18">
        <f ca="1">IFERROR(__xludf.DUMMYFUNCTION("""COMPUTED_VALUE"""),45324)</f>
        <v>45324</v>
      </c>
      <c r="N1122" s="5" t="str">
        <f ca="1">IFERROR(__xludf.DUMMYFUNCTION("""COMPUTED_VALUE"""),"MARIO ALBERTO MARTÍNEZ MORA")</f>
        <v>MARIO ALBERTO MARTÍNEZ MORA</v>
      </c>
      <c r="O1122" s="2">
        <f ca="1">IFERROR(__xludf.DUMMYFUNCTION("""COMPUTED_VALUE"""),0.014285714)</f>
        <v>1.4285714E-2</v>
      </c>
      <c r="P1122" s="5">
        <f ca="1">IFERROR(__xludf.DUMMYFUNCTION("""COMPUTED_VALUE"""),94542837)</f>
        <v>94542837</v>
      </c>
      <c r="Q1122" s="5" t="str">
        <f ca="1">IFERROR(__xludf.DUMMYFUNCTION("""COMPUTED_VALUE"""),"eItauTzOFg0")</f>
        <v>eItauTzOFg0</v>
      </c>
      <c r="R1122" s="5">
        <f ca="1">IFERROR(__xludf.DUMMYFUNCTION("""COMPUTED_VALUE"""),410)</f>
        <v>410</v>
      </c>
      <c r="S1122" s="62">
        <f ca="1">IFERROR(__xludf.DUMMYFUNCTION("""COMPUTED_VALUE"""),0.014285714)</f>
        <v>1.4285714E-2</v>
      </c>
      <c r="T1122" s="63" t="str">
        <f ca="1">IFERROR(__xludf.DUMMYFUNCTION("""COMPUTED_VALUE"""),"https://storage.googleapis.com/glide-prod.appspot.com/uploads-v2/ly7o78grxPaC6KdgvbpS/pub/3aRdSog0vUtuqPE8AJKD.png")</f>
        <v>https://storage.googleapis.com/glide-prod.appspot.com/uploads-v2/ly7o78grxPaC6KdgvbpS/pub/3aRdSog0vUtuqPE8AJKD.png</v>
      </c>
      <c r="U1122" s="5" t="str">
        <f ca="1">IFERROR(__xludf.DUMMYFUNCTION("""COMPUTED_VALUE"""),"EQUIPOS PARA SERVICIOS INDUSTRIALESTANQUE AIRE COMPRIMIDO 3")</f>
        <v>EQUIPOS PARA SERVICIOS INDUSTRIALESTANQUE AIRE COMPRIMIDO 3</v>
      </c>
      <c r="V1122" s="5"/>
      <c r="W1122" s="5" t="b">
        <f ca="1">IFERROR(__xludf.DUMMYFUNCTION("""COMPUTED_VALUE"""),TRUE)</f>
        <v>1</v>
      </c>
      <c r="X1122" s="5" t="str">
        <f ca="1">IFERROR(__xludf.DUMMYFUNCTION("""COMPUTED_VALUE"""),"wmazorra@postobon.com.co,aprmttoyu@postobon.com.co,aprmyu@postobon.com.co,wmora@postobon.com.co,efzapata@postobon.com.co")</f>
        <v>wmazorra@postobon.com.co,aprmttoyu@postobon.com.co,aprmyu@postobon.com.co,wmora@postobon.com.co,efzapata@postobon.com.co</v>
      </c>
      <c r="Y1122" s="5" t="str">
        <f ca="1">IFERROR(__xludf.DUMMYFUNCTION("""COMPUTED_VALUE"""),"wmazorra@postobon.com.co")</f>
        <v>wmazorra@postobon.com.co</v>
      </c>
      <c r="Z1122" s="5" t="str">
        <f ca="1">IFERROR(__xludf.DUMMYFUNCTION("""COMPUTED_VALUE"""),"8P1PQEkrSxW8nQ4WhmbGNw")</f>
        <v>8P1PQEkrSxW8nQ4WhmbGNw</v>
      </c>
      <c r="AA1122" s="5"/>
      <c r="AB1122" s="5"/>
      <c r="AC1122" s="5"/>
      <c r="AD1122" s="5">
        <f ca="1">IFERROR(__xludf.DUMMYFUNCTION("""COMPUTED_VALUE"""),65)</f>
        <v>65</v>
      </c>
      <c r="AE1122" s="5">
        <f ca="1">IFERROR(__xludf.DUMMYFUNCTION("""COMPUTED_VALUE"""),65)</f>
        <v>65</v>
      </c>
      <c r="AF1122" s="5" t="b">
        <f ca="1">IFERROR(__xludf.DUMMYFUNCTION("""COMPUTED_VALUE"""),FALSE)</f>
        <v>0</v>
      </c>
      <c r="AG1122" s="5" t="str">
        <f ca="1">IFERROR(__xludf.DUMMYFUNCTION("""COMPUTED_VALUE"""),"INSPECCIONES REALIZADAS")</f>
        <v>INSPECCIONES REALIZADAS</v>
      </c>
      <c r="AH1122" s="5" t="str">
        <f ca="1">IFERROR(__xludf.DUMMYFUNCTION("""COMPUTED_VALUE"""),"EN TRAMITE")</f>
        <v>EN TRAMITE</v>
      </c>
    </row>
    <row r="1123" spans="1:34">
      <c r="A1123" s="5" t="str">
        <f ca="1">IFERROR(__xludf.DUMMYFUNCTION("""COMPUTED_VALUE"""),"EQUIPOS PARA SERVICIOS INDUSTRIALES")</f>
        <v>EQUIPOS PARA SERVICIOS INDUSTRIALES</v>
      </c>
      <c r="B1123" s="5">
        <f ca="1">IFERROR(__xludf.DUMMYFUNCTION("""COMPUTED_VALUE"""),64954401)</f>
        <v>64954401</v>
      </c>
      <c r="C1123" s="5" t="str">
        <f ca="1">IFERROR(__xludf.DUMMYFUNCTION("""COMPUTED_VALUE"""),"TANQUE AIRE COMPRIMIDO 3")</f>
        <v>TANQUE AIRE COMPRIMIDO 3</v>
      </c>
      <c r="D1123" s="5">
        <f ca="1">IFERROR(__xludf.DUMMYFUNCTION("""COMPUTED_VALUE"""),13247520)</f>
        <v>13247520</v>
      </c>
      <c r="E1123" s="5" t="str">
        <f ca="1">IFERROR(__xludf.DUMMYFUNCTION("""COMPUTED_VALUE"""),"INSPECCION SEMANAL TANQUE AIRE COMPRIMID")</f>
        <v>INSPECCION SEMANAL TANQUE AIRE COMPRIMID</v>
      </c>
      <c r="F1123" s="5" t="str">
        <f ca="1">IFERROR(__xludf.DUMMYFUNCTION("""COMPUTED_VALUE"""),"VERIFICA DIFERENCIAL PRESION FILTRO NML500 &lt;3PSID")</f>
        <v>VERIFICA DIFERENCIAL PRESION FILTRO NML500 &lt;3PSID</v>
      </c>
      <c r="G1123" s="5" t="b">
        <f ca="1">IFERROR(__xludf.DUMMYFUNCTION("""COMPUTED_VALUE"""),TRUE)</f>
        <v>1</v>
      </c>
      <c r="H1123" s="5"/>
      <c r="I1123" s="5"/>
      <c r="J1123" s="5">
        <f ca="1">IFERROR(__xludf.DUMMYFUNCTION("""COMPUTED_VALUE"""),13247520)</f>
        <v>13247520</v>
      </c>
      <c r="K1123" s="5"/>
      <c r="L1123" s="18">
        <f ca="1">IFERROR(__xludf.DUMMYFUNCTION("""COMPUTED_VALUE"""),45324)</f>
        <v>45324</v>
      </c>
      <c r="M1123" s="18">
        <f ca="1">IFERROR(__xludf.DUMMYFUNCTION("""COMPUTED_VALUE"""),45324)</f>
        <v>45324</v>
      </c>
      <c r="N1123" s="5" t="str">
        <f ca="1">IFERROR(__xludf.DUMMYFUNCTION("""COMPUTED_VALUE"""),"MARIO ALBERTO MARTÍNEZ MORA")</f>
        <v>MARIO ALBERTO MARTÍNEZ MORA</v>
      </c>
      <c r="O1123" s="2">
        <f ca="1">IFERROR(__xludf.DUMMYFUNCTION("""COMPUTED_VALUE"""),0.014285714)</f>
        <v>1.4285714E-2</v>
      </c>
      <c r="P1123" s="5">
        <f ca="1">IFERROR(__xludf.DUMMYFUNCTION("""COMPUTED_VALUE"""),94542837)</f>
        <v>94542837</v>
      </c>
      <c r="Q1123" s="5" t="str">
        <f ca="1">IFERROR(__xludf.DUMMYFUNCTION("""COMPUTED_VALUE"""),"O20W8yMkc8g")</f>
        <v>O20W8yMkc8g</v>
      </c>
      <c r="R1123" s="5">
        <f ca="1">IFERROR(__xludf.DUMMYFUNCTION("""COMPUTED_VALUE"""),410)</f>
        <v>410</v>
      </c>
      <c r="S1123" s="62">
        <f ca="1">IFERROR(__xludf.DUMMYFUNCTION("""COMPUTED_VALUE"""),0.014285714)</f>
        <v>1.4285714E-2</v>
      </c>
      <c r="T1123" s="63" t="str">
        <f ca="1">IFERROR(__xludf.DUMMYFUNCTION("""COMPUTED_VALUE"""),"https://storage.googleapis.com/glide-prod.appspot.com/uploads-v2/ly7o78grxPaC6KdgvbpS/pub/3aRdSog0vUtuqPE8AJKD.png")</f>
        <v>https://storage.googleapis.com/glide-prod.appspot.com/uploads-v2/ly7o78grxPaC6KdgvbpS/pub/3aRdSog0vUtuqPE8AJKD.png</v>
      </c>
      <c r="U1123" s="5" t="str">
        <f ca="1">IFERROR(__xludf.DUMMYFUNCTION("""COMPUTED_VALUE"""),"EQUIPOS PARA SERVICIOS INDUSTRIALESTANQUE AIRE COMPRIMIDO 3")</f>
        <v>EQUIPOS PARA SERVICIOS INDUSTRIALESTANQUE AIRE COMPRIMIDO 3</v>
      </c>
      <c r="V1123" s="5"/>
      <c r="W1123" s="5" t="b">
        <f ca="1">IFERROR(__xludf.DUMMYFUNCTION("""COMPUTED_VALUE"""),TRUE)</f>
        <v>1</v>
      </c>
      <c r="X1123" s="5" t="str">
        <f ca="1">IFERROR(__xludf.DUMMYFUNCTION("""COMPUTED_VALUE"""),"wmazorra@postobon.com.co,aprmttoyu@postobon.com.co,aprmyu@postobon.com.co,wmora@postobon.com.co,efzapata@postobon.com.co")</f>
        <v>wmazorra@postobon.com.co,aprmttoyu@postobon.com.co,aprmyu@postobon.com.co,wmora@postobon.com.co,efzapata@postobon.com.co</v>
      </c>
      <c r="Y1123" s="5" t="str">
        <f ca="1">IFERROR(__xludf.DUMMYFUNCTION("""COMPUTED_VALUE"""),"wmazorra@postobon.com.co")</f>
        <v>wmazorra@postobon.com.co</v>
      </c>
      <c r="Z1123" s="5" t="str">
        <f ca="1">IFERROR(__xludf.DUMMYFUNCTION("""COMPUTED_VALUE"""),"yrsyCHw5TCi6c0aCb6ihZw")</f>
        <v>yrsyCHw5TCi6c0aCb6ihZw</v>
      </c>
      <c r="AA1123" s="5"/>
      <c r="AB1123" s="5"/>
      <c r="AC1123" s="5"/>
      <c r="AD1123" s="5">
        <f ca="1">IFERROR(__xludf.DUMMYFUNCTION("""COMPUTED_VALUE"""),65)</f>
        <v>65</v>
      </c>
      <c r="AE1123" s="5">
        <f ca="1">IFERROR(__xludf.DUMMYFUNCTION("""COMPUTED_VALUE"""),65)</f>
        <v>65</v>
      </c>
      <c r="AF1123" s="5" t="b">
        <f ca="1">IFERROR(__xludf.DUMMYFUNCTION("""COMPUTED_VALUE"""),FALSE)</f>
        <v>0</v>
      </c>
      <c r="AG1123" s="5" t="str">
        <f ca="1">IFERROR(__xludf.DUMMYFUNCTION("""COMPUTED_VALUE"""),"INSPECCIONES REALIZADAS")</f>
        <v>INSPECCIONES REALIZADAS</v>
      </c>
      <c r="AH1123" s="5"/>
    </row>
    <row r="1124" spans="1:34">
      <c r="A1124" s="5" t="str">
        <f ca="1">IFERROR(__xludf.DUMMYFUNCTION("""COMPUTED_VALUE"""),"EQUIPOS PARA SERVICIOS INDUSTRIALES")</f>
        <v>EQUIPOS PARA SERVICIOS INDUSTRIALES</v>
      </c>
      <c r="B1124" s="5">
        <f ca="1">IFERROR(__xludf.DUMMYFUNCTION("""COMPUTED_VALUE"""),64954201)</f>
        <v>64954201</v>
      </c>
      <c r="C1124" s="5" t="str">
        <f ca="1">IFERROR(__xludf.DUMMYFUNCTION("""COMPUTED_VALUE"""),"TANQUE AIRE COMPRIMIDO 1")</f>
        <v>TANQUE AIRE COMPRIMIDO 1</v>
      </c>
      <c r="D1124" s="5">
        <f ca="1">IFERROR(__xludf.DUMMYFUNCTION("""COMPUTED_VALUE"""),13247517)</f>
        <v>13247517</v>
      </c>
      <c r="E1124" s="5" t="str">
        <f ca="1">IFERROR(__xludf.DUMMYFUNCTION("""COMPUTED_VALUE"""),"INSPECCION SEMANAL TANQUE AIRE COMPRIMID")</f>
        <v>INSPECCION SEMANAL TANQUE AIRE COMPRIMID</v>
      </c>
      <c r="F1124" s="5" t="str">
        <f ca="1">IFERROR(__xludf.DUMMYFUNCTION("""COMPUTED_VALUE"""),"ESTADO TANQUES")</f>
        <v>ESTADO TANQUES</v>
      </c>
      <c r="G1124" s="5" t="b">
        <f ca="1">IFERROR(__xludf.DUMMYFUNCTION("""COMPUTED_VALUE"""),TRUE)</f>
        <v>1</v>
      </c>
      <c r="H1124" s="5"/>
      <c r="I1124" s="5"/>
      <c r="J1124" s="5">
        <f ca="1">IFERROR(__xludf.DUMMYFUNCTION("""COMPUTED_VALUE"""),13247517)</f>
        <v>13247517</v>
      </c>
      <c r="K1124" s="5"/>
      <c r="L1124" s="18">
        <f ca="1">IFERROR(__xludf.DUMMYFUNCTION("""COMPUTED_VALUE"""),45325)</f>
        <v>45325</v>
      </c>
      <c r="M1124" s="18">
        <f ca="1">IFERROR(__xludf.DUMMYFUNCTION("""COMPUTED_VALUE"""),45325)</f>
        <v>45325</v>
      </c>
      <c r="N1124" s="5" t="str">
        <f ca="1">IFERROR(__xludf.DUMMYFUNCTION("""COMPUTED_VALUE"""),"MARIO ALBERTO MARTÍNEZ MORA")</f>
        <v>MARIO ALBERTO MARTÍNEZ MORA</v>
      </c>
      <c r="O1124" s="2">
        <f ca="1">IFERROR(__xludf.DUMMYFUNCTION("""COMPUTED_VALUE"""),0.014285714)</f>
        <v>1.4285714E-2</v>
      </c>
      <c r="P1124" s="5">
        <f ca="1">IFERROR(__xludf.DUMMYFUNCTION("""COMPUTED_VALUE"""),94542837)</f>
        <v>94542837</v>
      </c>
      <c r="Q1124" s="5" t="str">
        <f ca="1">IFERROR(__xludf.DUMMYFUNCTION("""COMPUTED_VALUE"""),"BsBeeloelpg")</f>
        <v>BsBeeloelpg</v>
      </c>
      <c r="R1124" s="5">
        <f ca="1">IFERROR(__xludf.DUMMYFUNCTION("""COMPUTED_VALUE"""),410)</f>
        <v>410</v>
      </c>
      <c r="S1124" s="62">
        <f ca="1">IFERROR(__xludf.DUMMYFUNCTION("""COMPUTED_VALUE"""),0.014285714)</f>
        <v>1.4285714E-2</v>
      </c>
      <c r="T1124" s="63" t="str">
        <f ca="1">IFERROR(__xludf.DUMMYFUNCTION("""COMPUTED_VALUE"""),"https://storage.googleapis.com/glide-prod.appspot.com/uploads-v2/ly7o78grxPaC6KdgvbpS/pub/3aRdSog0vUtuqPE8AJKD.png")</f>
        <v>https://storage.googleapis.com/glide-prod.appspot.com/uploads-v2/ly7o78grxPaC6KdgvbpS/pub/3aRdSog0vUtuqPE8AJKD.png</v>
      </c>
      <c r="U1124" s="5" t="str">
        <f ca="1">IFERROR(__xludf.DUMMYFUNCTION("""COMPUTED_VALUE"""),"EQUIPOS PARA SERVICIOS INDUSTRIALESTANQUE AIRE COMPRIMIDO 1")</f>
        <v>EQUIPOS PARA SERVICIOS INDUSTRIALESTANQUE AIRE COMPRIMIDO 1</v>
      </c>
      <c r="V1124" s="5"/>
      <c r="W1124" s="5" t="b">
        <f ca="1">IFERROR(__xludf.DUMMYFUNCTION("""COMPUTED_VALUE"""),TRUE)</f>
        <v>1</v>
      </c>
      <c r="X1124" s="5" t="str">
        <f ca="1">IFERROR(__xludf.DUMMYFUNCTION("""COMPUTED_VALUE"""),"wmazorra@postobon.com.co,aprmttoyu@postobon.com.co,aprmyu@postobon.com.co,wmora@postobon.com.co,efzapata@postobon.com.co")</f>
        <v>wmazorra@postobon.com.co,aprmttoyu@postobon.com.co,aprmyu@postobon.com.co,wmora@postobon.com.co,efzapata@postobon.com.co</v>
      </c>
      <c r="Y1124" s="5" t="str">
        <f ca="1">IFERROR(__xludf.DUMMYFUNCTION("""COMPUTED_VALUE"""),"wmazorra@postobon.com.co")</f>
        <v>wmazorra@postobon.com.co</v>
      </c>
      <c r="Z1124" s="5" t="str">
        <f ca="1">IFERROR(__xludf.DUMMYFUNCTION("""COMPUTED_VALUE"""),"y5g-1HIISFyyModzh.m0VA")</f>
        <v>y5g-1HIISFyyModzh.m0VA</v>
      </c>
      <c r="AA1124" s="5"/>
      <c r="AB1124" s="5"/>
      <c r="AC1124" s="5"/>
      <c r="AD1124" s="5">
        <f ca="1">IFERROR(__xludf.DUMMYFUNCTION("""COMPUTED_VALUE"""),65)</f>
        <v>65</v>
      </c>
      <c r="AE1124" s="5">
        <f ca="1">IFERROR(__xludf.DUMMYFUNCTION("""COMPUTED_VALUE"""),65)</f>
        <v>65</v>
      </c>
      <c r="AF1124" s="5" t="b">
        <f ca="1">IFERROR(__xludf.DUMMYFUNCTION("""COMPUTED_VALUE"""),FALSE)</f>
        <v>0</v>
      </c>
      <c r="AG1124" s="5" t="str">
        <f ca="1">IFERROR(__xludf.DUMMYFUNCTION("""COMPUTED_VALUE"""),"INSPECCIONES REALIZADAS")</f>
        <v>INSPECCIONES REALIZADAS</v>
      </c>
      <c r="AH1124" s="5"/>
    </row>
    <row r="1125" spans="1:34">
      <c r="A1125" s="5" t="str">
        <f ca="1">IFERROR(__xludf.DUMMYFUNCTION("""COMPUTED_VALUE"""),"EQUIPOS PARA SERVICIOS INDUSTRIALES")</f>
        <v>EQUIPOS PARA SERVICIOS INDUSTRIALES</v>
      </c>
      <c r="B1125" s="5">
        <f ca="1">IFERROR(__xludf.DUMMYFUNCTION("""COMPUTED_VALUE"""),64954201)</f>
        <v>64954201</v>
      </c>
      <c r="C1125" s="5" t="str">
        <f ca="1">IFERROR(__xludf.DUMMYFUNCTION("""COMPUTED_VALUE"""),"TANQUE AIRE COMPRIMIDO 1")</f>
        <v>TANQUE AIRE COMPRIMIDO 1</v>
      </c>
      <c r="D1125" s="5">
        <f ca="1">IFERROR(__xludf.DUMMYFUNCTION("""COMPUTED_VALUE"""),13247517)</f>
        <v>13247517</v>
      </c>
      <c r="E1125" s="5" t="str">
        <f ca="1">IFERROR(__xludf.DUMMYFUNCTION("""COMPUTED_VALUE"""),"INSPECCION SEMANAL TANQUE AIRE COMPRIMID")</f>
        <v>INSPECCION SEMANAL TANQUE AIRE COMPRIMID</v>
      </c>
      <c r="F1125" s="5" t="str">
        <f ca="1">IFERROR(__xludf.DUMMYFUNCTION("""COMPUTED_VALUE"""),"FUNC. VALVULAS, TUBERIAS")</f>
        <v>FUNC. VALVULAS, TUBERIAS</v>
      </c>
      <c r="G1125" s="5" t="b">
        <f ca="1">IFERROR(__xludf.DUMMYFUNCTION("""COMPUTED_VALUE"""),TRUE)</f>
        <v>1</v>
      </c>
      <c r="H1125" s="5"/>
      <c r="I1125" s="5"/>
      <c r="J1125" s="5">
        <f ca="1">IFERROR(__xludf.DUMMYFUNCTION("""COMPUTED_VALUE"""),13247517)</f>
        <v>13247517</v>
      </c>
      <c r="K1125" s="5"/>
      <c r="L1125" s="18">
        <f ca="1">IFERROR(__xludf.DUMMYFUNCTION("""COMPUTED_VALUE"""),45325)</f>
        <v>45325</v>
      </c>
      <c r="M1125" s="18">
        <f ca="1">IFERROR(__xludf.DUMMYFUNCTION("""COMPUTED_VALUE"""),45325)</f>
        <v>45325</v>
      </c>
      <c r="N1125" s="5" t="str">
        <f ca="1">IFERROR(__xludf.DUMMYFUNCTION("""COMPUTED_VALUE"""),"MARIO ALBERTO MARTÍNEZ MORA")</f>
        <v>MARIO ALBERTO MARTÍNEZ MORA</v>
      </c>
      <c r="O1125" s="2">
        <f ca="1">IFERROR(__xludf.DUMMYFUNCTION("""COMPUTED_VALUE"""),0.014285714)</f>
        <v>1.4285714E-2</v>
      </c>
      <c r="P1125" s="5">
        <f ca="1">IFERROR(__xludf.DUMMYFUNCTION("""COMPUTED_VALUE"""),94542837)</f>
        <v>94542837</v>
      </c>
      <c r="Q1125" s="5" t="str">
        <f ca="1">IFERROR(__xludf.DUMMYFUNCTION("""COMPUTED_VALUE"""),"a8Dvs1iWZoY")</f>
        <v>a8Dvs1iWZoY</v>
      </c>
      <c r="R1125" s="5">
        <f ca="1">IFERROR(__xludf.DUMMYFUNCTION("""COMPUTED_VALUE"""),410)</f>
        <v>410</v>
      </c>
      <c r="S1125" s="62">
        <f ca="1">IFERROR(__xludf.DUMMYFUNCTION("""COMPUTED_VALUE"""),0.014285714)</f>
        <v>1.4285714E-2</v>
      </c>
      <c r="T1125" s="63" t="str">
        <f ca="1">IFERROR(__xludf.DUMMYFUNCTION("""COMPUTED_VALUE"""),"https://storage.googleapis.com/glide-prod.appspot.com/uploads-v2/ly7o78grxPaC6KdgvbpS/pub/3aRdSog0vUtuqPE8AJKD.png")</f>
        <v>https://storage.googleapis.com/glide-prod.appspot.com/uploads-v2/ly7o78grxPaC6KdgvbpS/pub/3aRdSog0vUtuqPE8AJKD.png</v>
      </c>
      <c r="U1125" s="5" t="str">
        <f ca="1">IFERROR(__xludf.DUMMYFUNCTION("""COMPUTED_VALUE"""),"EQUIPOS PARA SERVICIOS INDUSTRIALESTANQUE AIRE COMPRIMIDO 1")</f>
        <v>EQUIPOS PARA SERVICIOS INDUSTRIALESTANQUE AIRE COMPRIMIDO 1</v>
      </c>
      <c r="V1125" s="5"/>
      <c r="W1125" s="5" t="b">
        <f ca="1">IFERROR(__xludf.DUMMYFUNCTION("""COMPUTED_VALUE"""),TRUE)</f>
        <v>1</v>
      </c>
      <c r="X1125" s="5" t="str">
        <f ca="1">IFERROR(__xludf.DUMMYFUNCTION("""COMPUTED_VALUE"""),"wmazorra@postobon.com.co,aprmttoyu@postobon.com.co,aprmyu@postobon.com.co,wmora@postobon.com.co,efzapata@postobon.com.co")</f>
        <v>wmazorra@postobon.com.co,aprmttoyu@postobon.com.co,aprmyu@postobon.com.co,wmora@postobon.com.co,efzapata@postobon.com.co</v>
      </c>
      <c r="Y1125" s="5" t="str">
        <f ca="1">IFERROR(__xludf.DUMMYFUNCTION("""COMPUTED_VALUE"""),"wmazorra@postobon.com.co")</f>
        <v>wmazorra@postobon.com.co</v>
      </c>
      <c r="Z1125" s="5" t="str">
        <f ca="1">IFERROR(__xludf.DUMMYFUNCTION("""COMPUTED_VALUE"""),"hD-S5qxRQr-OPzBFl9TW6A")</f>
        <v>hD-S5qxRQr-OPzBFl9TW6A</v>
      </c>
      <c r="AA1125" s="5"/>
      <c r="AB1125" s="5"/>
      <c r="AC1125" s="5"/>
      <c r="AD1125" s="5">
        <f ca="1">IFERROR(__xludf.DUMMYFUNCTION("""COMPUTED_VALUE"""),65)</f>
        <v>65</v>
      </c>
      <c r="AE1125" s="5">
        <f ca="1">IFERROR(__xludf.DUMMYFUNCTION("""COMPUTED_VALUE"""),65)</f>
        <v>65</v>
      </c>
      <c r="AF1125" s="5" t="b">
        <f ca="1">IFERROR(__xludf.DUMMYFUNCTION("""COMPUTED_VALUE"""),FALSE)</f>
        <v>0</v>
      </c>
      <c r="AG1125" s="5" t="str">
        <f ca="1">IFERROR(__xludf.DUMMYFUNCTION("""COMPUTED_VALUE"""),"INSPECCIONES REALIZADAS")</f>
        <v>INSPECCIONES REALIZADAS</v>
      </c>
      <c r="AH1125" s="5"/>
    </row>
    <row r="1126" spans="1:34">
      <c r="A1126" s="5" t="str">
        <f ca="1">IFERROR(__xludf.DUMMYFUNCTION("""COMPUTED_VALUE"""),"EQUIPOS PARA SERVICIOS INDUSTRIALES")</f>
        <v>EQUIPOS PARA SERVICIOS INDUSTRIALES</v>
      </c>
      <c r="B1126" s="5">
        <f ca="1">IFERROR(__xludf.DUMMYFUNCTION("""COMPUTED_VALUE"""),64954201)</f>
        <v>64954201</v>
      </c>
      <c r="C1126" s="5" t="str">
        <f ca="1">IFERROR(__xludf.DUMMYFUNCTION("""COMPUTED_VALUE"""),"TANQUE AIRE COMPRIMIDO 1")</f>
        <v>TANQUE AIRE COMPRIMIDO 1</v>
      </c>
      <c r="D1126" s="5">
        <f ca="1">IFERROR(__xludf.DUMMYFUNCTION("""COMPUTED_VALUE"""),13247517)</f>
        <v>13247517</v>
      </c>
      <c r="E1126" s="5" t="str">
        <f ca="1">IFERROR(__xludf.DUMMYFUNCTION("""COMPUTED_VALUE"""),"INSPECCION SEMANAL TANQUE AIRE COMPRIMID")</f>
        <v>INSPECCION SEMANAL TANQUE AIRE COMPRIMID</v>
      </c>
      <c r="F1126" s="5" t="str">
        <f ca="1">IFERROR(__xludf.DUMMYFUNCTION("""COMPUTED_VALUE"""),"ESCAPE FLUIDOS")</f>
        <v>ESCAPE FLUIDOS</v>
      </c>
      <c r="G1126" s="5" t="b">
        <f ca="1">IFERROR(__xludf.DUMMYFUNCTION("""COMPUTED_VALUE"""),TRUE)</f>
        <v>1</v>
      </c>
      <c r="H1126" s="5"/>
      <c r="I1126" s="5"/>
      <c r="J1126" s="5">
        <f ca="1">IFERROR(__xludf.DUMMYFUNCTION("""COMPUTED_VALUE"""),13247517)</f>
        <v>13247517</v>
      </c>
      <c r="K1126" s="5"/>
      <c r="L1126" s="18">
        <f ca="1">IFERROR(__xludf.DUMMYFUNCTION("""COMPUTED_VALUE"""),45325)</f>
        <v>45325</v>
      </c>
      <c r="M1126" s="18">
        <f ca="1">IFERROR(__xludf.DUMMYFUNCTION("""COMPUTED_VALUE"""),45325)</f>
        <v>45325</v>
      </c>
      <c r="N1126" s="5" t="str">
        <f ca="1">IFERROR(__xludf.DUMMYFUNCTION("""COMPUTED_VALUE"""),"MARIO ALBERTO MARTÍNEZ MORA")</f>
        <v>MARIO ALBERTO MARTÍNEZ MORA</v>
      </c>
      <c r="O1126" s="2">
        <f ca="1">IFERROR(__xludf.DUMMYFUNCTION("""COMPUTED_VALUE"""),0.014285714)</f>
        <v>1.4285714E-2</v>
      </c>
      <c r="P1126" s="5">
        <f ca="1">IFERROR(__xludf.DUMMYFUNCTION("""COMPUTED_VALUE"""),94542837)</f>
        <v>94542837</v>
      </c>
      <c r="Q1126" s="5" t="str">
        <f ca="1">IFERROR(__xludf.DUMMYFUNCTION("""COMPUTED_VALUE"""),"q_oCQlWhKhE")</f>
        <v>q_oCQlWhKhE</v>
      </c>
      <c r="R1126" s="5">
        <f ca="1">IFERROR(__xludf.DUMMYFUNCTION("""COMPUTED_VALUE"""),410)</f>
        <v>410</v>
      </c>
      <c r="S1126" s="62">
        <f ca="1">IFERROR(__xludf.DUMMYFUNCTION("""COMPUTED_VALUE"""),0.014285714)</f>
        <v>1.4285714E-2</v>
      </c>
      <c r="T1126" s="63" t="str">
        <f ca="1">IFERROR(__xludf.DUMMYFUNCTION("""COMPUTED_VALUE"""),"https://storage.googleapis.com/glide-prod.appspot.com/uploads-v2/ly7o78grxPaC6KdgvbpS/pub/3aRdSog0vUtuqPE8AJKD.png")</f>
        <v>https://storage.googleapis.com/glide-prod.appspot.com/uploads-v2/ly7o78grxPaC6KdgvbpS/pub/3aRdSog0vUtuqPE8AJKD.png</v>
      </c>
      <c r="U1126" s="5" t="str">
        <f ca="1">IFERROR(__xludf.DUMMYFUNCTION("""COMPUTED_VALUE"""),"EQUIPOS PARA SERVICIOS INDUSTRIALESTANQUE AIRE COMPRIMIDO 1")</f>
        <v>EQUIPOS PARA SERVICIOS INDUSTRIALESTANQUE AIRE COMPRIMIDO 1</v>
      </c>
      <c r="V1126" s="5"/>
      <c r="W1126" s="5" t="b">
        <f ca="1">IFERROR(__xludf.DUMMYFUNCTION("""COMPUTED_VALUE"""),TRUE)</f>
        <v>1</v>
      </c>
      <c r="X1126" s="5" t="str">
        <f ca="1">IFERROR(__xludf.DUMMYFUNCTION("""COMPUTED_VALUE"""),"wmazorra@postobon.com.co,aprmttoyu@postobon.com.co,aprmyu@postobon.com.co,wmora@postobon.com.co,efzapata@postobon.com.co")</f>
        <v>wmazorra@postobon.com.co,aprmttoyu@postobon.com.co,aprmyu@postobon.com.co,wmora@postobon.com.co,efzapata@postobon.com.co</v>
      </c>
      <c r="Y1126" s="5" t="str">
        <f ca="1">IFERROR(__xludf.DUMMYFUNCTION("""COMPUTED_VALUE"""),"wmazorra@postobon.com.co")</f>
        <v>wmazorra@postobon.com.co</v>
      </c>
      <c r="Z1126" s="5" t="str">
        <f ca="1">IFERROR(__xludf.DUMMYFUNCTION("""COMPUTED_VALUE"""),"wdJRUUCfSKyI65DE9TL4jw")</f>
        <v>wdJRUUCfSKyI65DE9TL4jw</v>
      </c>
      <c r="AA1126" s="5"/>
      <c r="AB1126" s="5"/>
      <c r="AC1126" s="5"/>
      <c r="AD1126" s="5">
        <f ca="1">IFERROR(__xludf.DUMMYFUNCTION("""COMPUTED_VALUE"""),65)</f>
        <v>65</v>
      </c>
      <c r="AE1126" s="5">
        <f ca="1">IFERROR(__xludf.DUMMYFUNCTION("""COMPUTED_VALUE"""),65)</f>
        <v>65</v>
      </c>
      <c r="AF1126" s="5" t="b">
        <f ca="1">IFERROR(__xludf.DUMMYFUNCTION("""COMPUTED_VALUE"""),FALSE)</f>
        <v>0</v>
      </c>
      <c r="AG1126" s="5" t="str">
        <f ca="1">IFERROR(__xludf.DUMMYFUNCTION("""COMPUTED_VALUE"""),"INSPECCIONES REALIZADAS")</f>
        <v>INSPECCIONES REALIZADAS</v>
      </c>
      <c r="AH1126" s="5"/>
    </row>
    <row r="1127" spans="1:34">
      <c r="A1127" s="5" t="str">
        <f ca="1">IFERROR(__xludf.DUMMYFUNCTION("""COMPUTED_VALUE"""),"EQUIPOS PARA SERVICIOS INDUSTRIALES")</f>
        <v>EQUIPOS PARA SERVICIOS INDUSTRIALES</v>
      </c>
      <c r="B1127" s="5">
        <f ca="1">IFERROR(__xludf.DUMMYFUNCTION("""COMPUTED_VALUE"""),64954201)</f>
        <v>64954201</v>
      </c>
      <c r="C1127" s="5" t="str">
        <f ca="1">IFERROR(__xludf.DUMMYFUNCTION("""COMPUTED_VALUE"""),"TANQUE AIRE COMPRIMIDO 1")</f>
        <v>TANQUE AIRE COMPRIMIDO 1</v>
      </c>
      <c r="D1127" s="5">
        <f ca="1">IFERROR(__xludf.DUMMYFUNCTION("""COMPUTED_VALUE"""),13247517)</f>
        <v>13247517</v>
      </c>
      <c r="E1127" s="5" t="str">
        <f ca="1">IFERROR(__xludf.DUMMYFUNCTION("""COMPUTED_VALUE"""),"INSPECCION SEMANAL TANQUE AIRE COMPRIMID")</f>
        <v>INSPECCION SEMANAL TANQUE AIRE COMPRIMID</v>
      </c>
      <c r="F1127" s="5" t="str">
        <f ca="1">IFERROR(__xludf.DUMMYFUNCTION("""COMPUTED_VALUE"""),"FUNC. MOTOBOM TANQUE")</f>
        <v>FUNC. MOTOBOM TANQUE</v>
      </c>
      <c r="G1127" s="5" t="b">
        <f ca="1">IFERROR(__xludf.DUMMYFUNCTION("""COMPUTED_VALUE"""),TRUE)</f>
        <v>1</v>
      </c>
      <c r="H1127" s="5"/>
      <c r="I1127" s="5"/>
      <c r="J1127" s="5">
        <f ca="1">IFERROR(__xludf.DUMMYFUNCTION("""COMPUTED_VALUE"""),13247517)</f>
        <v>13247517</v>
      </c>
      <c r="K1127" s="5"/>
      <c r="L1127" s="18">
        <f ca="1">IFERROR(__xludf.DUMMYFUNCTION("""COMPUTED_VALUE"""),45325)</f>
        <v>45325</v>
      </c>
      <c r="M1127" s="18">
        <f ca="1">IFERROR(__xludf.DUMMYFUNCTION("""COMPUTED_VALUE"""),45325)</f>
        <v>45325</v>
      </c>
      <c r="N1127" s="5" t="str">
        <f ca="1">IFERROR(__xludf.DUMMYFUNCTION("""COMPUTED_VALUE"""),"MARIO ALBERTO MARTÍNEZ MORA")</f>
        <v>MARIO ALBERTO MARTÍNEZ MORA</v>
      </c>
      <c r="O1127" s="2">
        <f ca="1">IFERROR(__xludf.DUMMYFUNCTION("""COMPUTED_VALUE"""),0.014285714)</f>
        <v>1.4285714E-2</v>
      </c>
      <c r="P1127" s="5">
        <f ca="1">IFERROR(__xludf.DUMMYFUNCTION("""COMPUTED_VALUE"""),94542837)</f>
        <v>94542837</v>
      </c>
      <c r="Q1127" s="5" t="str">
        <f ca="1">IFERROR(__xludf.DUMMYFUNCTION("""COMPUTED_VALUE"""),"n8v3r8uc4EA")</f>
        <v>n8v3r8uc4EA</v>
      </c>
      <c r="R1127" s="5">
        <f ca="1">IFERROR(__xludf.DUMMYFUNCTION("""COMPUTED_VALUE"""),410)</f>
        <v>410</v>
      </c>
      <c r="S1127" s="62">
        <f ca="1">IFERROR(__xludf.DUMMYFUNCTION("""COMPUTED_VALUE"""),0.014285714)</f>
        <v>1.4285714E-2</v>
      </c>
      <c r="T1127" s="63" t="str">
        <f ca="1">IFERROR(__xludf.DUMMYFUNCTION("""COMPUTED_VALUE"""),"https://storage.googleapis.com/glide-prod.appspot.com/uploads-v2/ly7o78grxPaC6KdgvbpS/pub/3aRdSog0vUtuqPE8AJKD.png")</f>
        <v>https://storage.googleapis.com/glide-prod.appspot.com/uploads-v2/ly7o78grxPaC6KdgvbpS/pub/3aRdSog0vUtuqPE8AJKD.png</v>
      </c>
      <c r="U1127" s="5" t="str">
        <f ca="1">IFERROR(__xludf.DUMMYFUNCTION("""COMPUTED_VALUE"""),"EQUIPOS PARA SERVICIOS INDUSTRIALESTANQUE AIRE COMPRIMIDO 1")</f>
        <v>EQUIPOS PARA SERVICIOS INDUSTRIALESTANQUE AIRE COMPRIMIDO 1</v>
      </c>
      <c r="V1127" s="5"/>
      <c r="W1127" s="5" t="b">
        <f ca="1">IFERROR(__xludf.DUMMYFUNCTION("""COMPUTED_VALUE"""),TRUE)</f>
        <v>1</v>
      </c>
      <c r="X1127" s="5" t="str">
        <f ca="1">IFERROR(__xludf.DUMMYFUNCTION("""COMPUTED_VALUE"""),"wmazorra@postobon.com.co,aprmttoyu@postobon.com.co,aprmyu@postobon.com.co,wmora@postobon.com.co,efzapata@postobon.com.co")</f>
        <v>wmazorra@postobon.com.co,aprmttoyu@postobon.com.co,aprmyu@postobon.com.co,wmora@postobon.com.co,efzapata@postobon.com.co</v>
      </c>
      <c r="Y1127" s="5" t="str">
        <f ca="1">IFERROR(__xludf.DUMMYFUNCTION("""COMPUTED_VALUE"""),"wmazorra@postobon.com.co")</f>
        <v>wmazorra@postobon.com.co</v>
      </c>
      <c r="Z1127" s="5" t="str">
        <f ca="1">IFERROR(__xludf.DUMMYFUNCTION("""COMPUTED_VALUE"""),"mfzdYj6lSfycv8HeFvfNaA")</f>
        <v>mfzdYj6lSfycv8HeFvfNaA</v>
      </c>
      <c r="AA1127" s="5"/>
      <c r="AB1127" s="5"/>
      <c r="AC1127" s="5"/>
      <c r="AD1127" s="5">
        <f ca="1">IFERROR(__xludf.DUMMYFUNCTION("""COMPUTED_VALUE"""),65)</f>
        <v>65</v>
      </c>
      <c r="AE1127" s="5">
        <f ca="1">IFERROR(__xludf.DUMMYFUNCTION("""COMPUTED_VALUE"""),65)</f>
        <v>65</v>
      </c>
      <c r="AF1127" s="5" t="b">
        <f ca="1">IFERROR(__xludf.DUMMYFUNCTION("""COMPUTED_VALUE"""),FALSE)</f>
        <v>0</v>
      </c>
      <c r="AG1127" s="5" t="str">
        <f ca="1">IFERROR(__xludf.DUMMYFUNCTION("""COMPUTED_VALUE"""),"INSPECCIONES REALIZADAS")</f>
        <v>INSPECCIONES REALIZADAS</v>
      </c>
      <c r="AH1127" s="5"/>
    </row>
    <row r="1128" spans="1:34">
      <c r="A1128" s="5" t="str">
        <f ca="1">IFERROR(__xludf.DUMMYFUNCTION("""COMPUTED_VALUE"""),"EQUIPOS PARA SERVICIOS INDUSTRIALES")</f>
        <v>EQUIPOS PARA SERVICIOS INDUSTRIALES</v>
      </c>
      <c r="B1128" s="5">
        <f ca="1">IFERROR(__xludf.DUMMYFUNCTION("""COMPUTED_VALUE"""),64954201)</f>
        <v>64954201</v>
      </c>
      <c r="C1128" s="5" t="str">
        <f ca="1">IFERROR(__xludf.DUMMYFUNCTION("""COMPUTED_VALUE"""),"TANQUE AIRE COMPRIMIDO 1")</f>
        <v>TANQUE AIRE COMPRIMIDO 1</v>
      </c>
      <c r="D1128" s="5">
        <f ca="1">IFERROR(__xludf.DUMMYFUNCTION("""COMPUTED_VALUE"""),13247517)</f>
        <v>13247517</v>
      </c>
      <c r="E1128" s="5" t="str">
        <f ca="1">IFERROR(__xludf.DUMMYFUNCTION("""COMPUTED_VALUE"""),"INSPECCION SEMANAL TANQUE AIRE COMPRIMID")</f>
        <v>INSPECCION SEMANAL TANQUE AIRE COMPRIMID</v>
      </c>
      <c r="F1128" s="5" t="str">
        <f ca="1">IFERROR(__xludf.DUMMYFUNCTION("""COMPUTED_VALUE"""),"INSTRUMENTOS MEDICION")</f>
        <v>INSTRUMENTOS MEDICION</v>
      </c>
      <c r="G1128" s="5" t="b">
        <f ca="1">IFERROR(__xludf.DUMMYFUNCTION("""COMPUTED_VALUE"""),TRUE)</f>
        <v>1</v>
      </c>
      <c r="H1128" s="5"/>
      <c r="I1128" s="5"/>
      <c r="J1128" s="5">
        <f ca="1">IFERROR(__xludf.DUMMYFUNCTION("""COMPUTED_VALUE"""),13247517)</f>
        <v>13247517</v>
      </c>
      <c r="K1128" s="5"/>
      <c r="L1128" s="18">
        <f ca="1">IFERROR(__xludf.DUMMYFUNCTION("""COMPUTED_VALUE"""),45325)</f>
        <v>45325</v>
      </c>
      <c r="M1128" s="18">
        <f ca="1">IFERROR(__xludf.DUMMYFUNCTION("""COMPUTED_VALUE"""),45325)</f>
        <v>45325</v>
      </c>
      <c r="N1128" s="5" t="str">
        <f ca="1">IFERROR(__xludf.DUMMYFUNCTION("""COMPUTED_VALUE"""),"MARIO ALBERTO MARTÍNEZ MORA")</f>
        <v>MARIO ALBERTO MARTÍNEZ MORA</v>
      </c>
      <c r="O1128" s="2">
        <f ca="1">IFERROR(__xludf.DUMMYFUNCTION("""COMPUTED_VALUE"""),0.014285714)</f>
        <v>1.4285714E-2</v>
      </c>
      <c r="P1128" s="5">
        <f ca="1">IFERROR(__xludf.DUMMYFUNCTION("""COMPUTED_VALUE"""),94542837)</f>
        <v>94542837</v>
      </c>
      <c r="Q1128" s="5" t="str">
        <f ca="1">IFERROR(__xludf.DUMMYFUNCTION("""COMPUTED_VALUE"""),"Xrj6c811uno")</f>
        <v>Xrj6c811uno</v>
      </c>
      <c r="R1128" s="5">
        <f ca="1">IFERROR(__xludf.DUMMYFUNCTION("""COMPUTED_VALUE"""),410)</f>
        <v>410</v>
      </c>
      <c r="S1128" s="62">
        <f ca="1">IFERROR(__xludf.DUMMYFUNCTION("""COMPUTED_VALUE"""),0.014285714)</f>
        <v>1.4285714E-2</v>
      </c>
      <c r="T1128" s="63" t="str">
        <f ca="1">IFERROR(__xludf.DUMMYFUNCTION("""COMPUTED_VALUE"""),"https://storage.googleapis.com/glide-prod.appspot.com/uploads-v2/ly7o78grxPaC6KdgvbpS/pub/3aRdSog0vUtuqPE8AJKD.png")</f>
        <v>https://storage.googleapis.com/glide-prod.appspot.com/uploads-v2/ly7o78grxPaC6KdgvbpS/pub/3aRdSog0vUtuqPE8AJKD.png</v>
      </c>
      <c r="U1128" s="5" t="str">
        <f ca="1">IFERROR(__xludf.DUMMYFUNCTION("""COMPUTED_VALUE"""),"EQUIPOS PARA SERVICIOS INDUSTRIALESTANQUE AIRE COMPRIMIDO 1")</f>
        <v>EQUIPOS PARA SERVICIOS INDUSTRIALESTANQUE AIRE COMPRIMIDO 1</v>
      </c>
      <c r="V1128" s="5"/>
      <c r="W1128" s="5" t="b">
        <f ca="1">IFERROR(__xludf.DUMMYFUNCTION("""COMPUTED_VALUE"""),TRUE)</f>
        <v>1</v>
      </c>
      <c r="X1128" s="5" t="str">
        <f ca="1">IFERROR(__xludf.DUMMYFUNCTION("""COMPUTED_VALUE"""),"wmazorra@postobon.com.co,aprmttoyu@postobon.com.co,aprmyu@postobon.com.co,wmora@postobon.com.co,efzapata@postobon.com.co")</f>
        <v>wmazorra@postobon.com.co,aprmttoyu@postobon.com.co,aprmyu@postobon.com.co,wmora@postobon.com.co,efzapata@postobon.com.co</v>
      </c>
      <c r="Y1128" s="5" t="str">
        <f ca="1">IFERROR(__xludf.DUMMYFUNCTION("""COMPUTED_VALUE"""),"wmazorra@postobon.com.co")</f>
        <v>wmazorra@postobon.com.co</v>
      </c>
      <c r="Z1128" s="5" t="str">
        <f ca="1">IFERROR(__xludf.DUMMYFUNCTION("""COMPUTED_VALUE"""),"lObOGV9CTRygKbbJjYawxA")</f>
        <v>lObOGV9CTRygKbbJjYawxA</v>
      </c>
      <c r="AA1128" s="5"/>
      <c r="AB1128" s="5"/>
      <c r="AC1128" s="5"/>
      <c r="AD1128" s="5">
        <f ca="1">IFERROR(__xludf.DUMMYFUNCTION("""COMPUTED_VALUE"""),65)</f>
        <v>65</v>
      </c>
      <c r="AE1128" s="5">
        <f ca="1">IFERROR(__xludf.DUMMYFUNCTION("""COMPUTED_VALUE"""),65)</f>
        <v>65</v>
      </c>
      <c r="AF1128" s="5" t="b">
        <f ca="1">IFERROR(__xludf.DUMMYFUNCTION("""COMPUTED_VALUE"""),FALSE)</f>
        <v>0</v>
      </c>
      <c r="AG1128" s="5" t="str">
        <f ca="1">IFERROR(__xludf.DUMMYFUNCTION("""COMPUTED_VALUE"""),"INSPECCIONES REALIZADAS")</f>
        <v>INSPECCIONES REALIZADAS</v>
      </c>
      <c r="AH1128" s="5"/>
    </row>
    <row r="1129" spans="1:34">
      <c r="A1129" s="5" t="str">
        <f ca="1">IFERROR(__xludf.DUMMYFUNCTION("""COMPUTED_VALUE"""),"EQUIPOS PARA SERVICIOS INDUSTRIALES")</f>
        <v>EQUIPOS PARA SERVICIOS INDUSTRIALES</v>
      </c>
      <c r="B1129" s="5">
        <f ca="1">IFERROR(__xludf.DUMMYFUNCTION("""COMPUTED_VALUE"""),64954201)</f>
        <v>64954201</v>
      </c>
      <c r="C1129" s="5" t="str">
        <f ca="1">IFERROR(__xludf.DUMMYFUNCTION("""COMPUTED_VALUE"""),"TANQUE AIRE COMPRIMIDO 1")</f>
        <v>TANQUE AIRE COMPRIMIDO 1</v>
      </c>
      <c r="D1129" s="5">
        <f ca="1">IFERROR(__xludf.DUMMYFUNCTION("""COMPUTED_VALUE"""),13247517)</f>
        <v>13247517</v>
      </c>
      <c r="E1129" s="5" t="str">
        <f ca="1">IFERROR(__xludf.DUMMYFUNCTION("""COMPUTED_VALUE"""),"INSPECCION SEMANAL TANQUE AIRE COMPRIMID")</f>
        <v>INSPECCION SEMANAL TANQUE AIRE COMPRIMID</v>
      </c>
      <c r="F1129" s="5" t="str">
        <f ca="1">IFERROR(__xludf.DUMMYFUNCTION("""COMPUTED_VALUE"""),"ESTADO GRAL PINTURA")</f>
        <v>ESTADO GRAL PINTURA</v>
      </c>
      <c r="G1129" s="5" t="b">
        <f ca="1">IFERROR(__xludf.DUMMYFUNCTION("""COMPUTED_VALUE"""),TRUE)</f>
        <v>1</v>
      </c>
      <c r="H1129" s="5"/>
      <c r="I1129" s="5"/>
      <c r="J1129" s="5">
        <f ca="1">IFERROR(__xludf.DUMMYFUNCTION("""COMPUTED_VALUE"""),13247517)</f>
        <v>13247517</v>
      </c>
      <c r="K1129" s="5"/>
      <c r="L1129" s="18">
        <f ca="1">IFERROR(__xludf.DUMMYFUNCTION("""COMPUTED_VALUE"""),45325)</f>
        <v>45325</v>
      </c>
      <c r="M1129" s="18">
        <f ca="1">IFERROR(__xludf.DUMMYFUNCTION("""COMPUTED_VALUE"""),45325)</f>
        <v>45325</v>
      </c>
      <c r="N1129" s="5" t="str">
        <f ca="1">IFERROR(__xludf.DUMMYFUNCTION("""COMPUTED_VALUE"""),"MARIO ALBERTO MARTÍNEZ MORA")</f>
        <v>MARIO ALBERTO MARTÍNEZ MORA</v>
      </c>
      <c r="O1129" s="2">
        <f ca="1">IFERROR(__xludf.DUMMYFUNCTION("""COMPUTED_VALUE"""),0.014285714)</f>
        <v>1.4285714E-2</v>
      </c>
      <c r="P1129" s="5">
        <f ca="1">IFERROR(__xludf.DUMMYFUNCTION("""COMPUTED_VALUE"""),94542837)</f>
        <v>94542837</v>
      </c>
      <c r="Q1129" s="5" t="str">
        <f ca="1">IFERROR(__xludf.DUMMYFUNCTION("""COMPUTED_VALUE"""),"7YrNTMiPsvI")</f>
        <v>7YrNTMiPsvI</v>
      </c>
      <c r="R1129" s="5">
        <f ca="1">IFERROR(__xludf.DUMMYFUNCTION("""COMPUTED_VALUE"""),410)</f>
        <v>410</v>
      </c>
      <c r="S1129" s="62">
        <f ca="1">IFERROR(__xludf.DUMMYFUNCTION("""COMPUTED_VALUE"""),0.014285714)</f>
        <v>1.4285714E-2</v>
      </c>
      <c r="T1129" s="63" t="str">
        <f ca="1">IFERROR(__xludf.DUMMYFUNCTION("""COMPUTED_VALUE"""),"https://storage.googleapis.com/glide-prod.appspot.com/uploads-v2/ly7o78grxPaC6KdgvbpS/pub/3aRdSog0vUtuqPE8AJKD.png")</f>
        <v>https://storage.googleapis.com/glide-prod.appspot.com/uploads-v2/ly7o78grxPaC6KdgvbpS/pub/3aRdSog0vUtuqPE8AJKD.png</v>
      </c>
      <c r="U1129" s="5" t="str">
        <f ca="1">IFERROR(__xludf.DUMMYFUNCTION("""COMPUTED_VALUE"""),"EQUIPOS PARA SERVICIOS INDUSTRIALESTANQUE AIRE COMPRIMIDO 1")</f>
        <v>EQUIPOS PARA SERVICIOS INDUSTRIALESTANQUE AIRE COMPRIMIDO 1</v>
      </c>
      <c r="V1129" s="5"/>
      <c r="W1129" s="5" t="b">
        <f ca="1">IFERROR(__xludf.DUMMYFUNCTION("""COMPUTED_VALUE"""),TRUE)</f>
        <v>1</v>
      </c>
      <c r="X1129" s="5" t="str">
        <f ca="1">IFERROR(__xludf.DUMMYFUNCTION("""COMPUTED_VALUE"""),"wmazorra@postobon.com.co,aprmttoyu@postobon.com.co,aprmyu@postobon.com.co,wmora@postobon.com.co,efzapata@postobon.com.co")</f>
        <v>wmazorra@postobon.com.co,aprmttoyu@postobon.com.co,aprmyu@postobon.com.co,wmora@postobon.com.co,efzapata@postobon.com.co</v>
      </c>
      <c r="Y1129" s="5" t="str">
        <f ca="1">IFERROR(__xludf.DUMMYFUNCTION("""COMPUTED_VALUE"""),"wmazorra@postobon.com.co")</f>
        <v>wmazorra@postobon.com.co</v>
      </c>
      <c r="Z1129" s="5" t="str">
        <f ca="1">IFERROR(__xludf.DUMMYFUNCTION("""COMPUTED_VALUE"""),"VXD9dtKlTrSz.pLiGMJztQ")</f>
        <v>VXD9dtKlTrSz.pLiGMJztQ</v>
      </c>
      <c r="AA1129" s="5"/>
      <c r="AB1129" s="5"/>
      <c r="AC1129" s="5"/>
      <c r="AD1129" s="5">
        <f ca="1">IFERROR(__xludf.DUMMYFUNCTION("""COMPUTED_VALUE"""),65)</f>
        <v>65</v>
      </c>
      <c r="AE1129" s="5">
        <f ca="1">IFERROR(__xludf.DUMMYFUNCTION("""COMPUTED_VALUE"""),65)</f>
        <v>65</v>
      </c>
      <c r="AF1129" s="5" t="b">
        <f ca="1">IFERROR(__xludf.DUMMYFUNCTION("""COMPUTED_VALUE"""),FALSE)</f>
        <v>0</v>
      </c>
      <c r="AG1129" s="5" t="str">
        <f ca="1">IFERROR(__xludf.DUMMYFUNCTION("""COMPUTED_VALUE"""),"INSPECCIONES REALIZADAS")</f>
        <v>INSPECCIONES REALIZADAS</v>
      </c>
      <c r="AH1129" s="5"/>
    </row>
    <row r="1130" spans="1:34">
      <c r="A1130" s="5" t="str">
        <f ca="1">IFERROR(__xludf.DUMMYFUNCTION("""COMPUTED_VALUE"""),"EQUIPOS PARA SERVICIOS INDUSTRIALES")</f>
        <v>EQUIPOS PARA SERVICIOS INDUSTRIALES</v>
      </c>
      <c r="B1130" s="5">
        <f ca="1">IFERROR(__xludf.DUMMYFUNCTION("""COMPUTED_VALUE"""),64954201)</f>
        <v>64954201</v>
      </c>
      <c r="C1130" s="5" t="str">
        <f ca="1">IFERROR(__xludf.DUMMYFUNCTION("""COMPUTED_VALUE"""),"TANQUE AIRE COMPRIMIDO 1")</f>
        <v>TANQUE AIRE COMPRIMIDO 1</v>
      </c>
      <c r="D1130" s="5">
        <f ca="1">IFERROR(__xludf.DUMMYFUNCTION("""COMPUTED_VALUE"""),13247517)</f>
        <v>13247517</v>
      </c>
      <c r="E1130" s="5" t="str">
        <f ca="1">IFERROR(__xludf.DUMMYFUNCTION("""COMPUTED_VALUE"""),"INSPECCION SEMANAL TANQUE AIRE COMPRIMID")</f>
        <v>INSPECCION SEMANAL TANQUE AIRE COMPRIMID</v>
      </c>
      <c r="F1130" s="5" t="str">
        <f ca="1">IFERROR(__xludf.DUMMYFUNCTION("""COMPUTED_VALUE"""),"VERIFICA DIFERENCIAL PRESION FILTRO NML500 &lt;3PSID")</f>
        <v>VERIFICA DIFERENCIAL PRESION FILTRO NML500 &lt;3PSID</v>
      </c>
      <c r="G1130" s="5" t="b">
        <f ca="1">IFERROR(__xludf.DUMMYFUNCTION("""COMPUTED_VALUE"""),TRUE)</f>
        <v>1</v>
      </c>
      <c r="H1130" s="5"/>
      <c r="I1130" s="5"/>
      <c r="J1130" s="5">
        <f ca="1">IFERROR(__xludf.DUMMYFUNCTION("""COMPUTED_VALUE"""),13247517)</f>
        <v>13247517</v>
      </c>
      <c r="K1130" s="5"/>
      <c r="L1130" s="18">
        <f ca="1">IFERROR(__xludf.DUMMYFUNCTION("""COMPUTED_VALUE"""),45325)</f>
        <v>45325</v>
      </c>
      <c r="M1130" s="18">
        <f ca="1">IFERROR(__xludf.DUMMYFUNCTION("""COMPUTED_VALUE"""),45325)</f>
        <v>45325</v>
      </c>
      <c r="N1130" s="5" t="str">
        <f ca="1">IFERROR(__xludf.DUMMYFUNCTION("""COMPUTED_VALUE"""),"MARIO ALBERTO MARTÍNEZ MORA")</f>
        <v>MARIO ALBERTO MARTÍNEZ MORA</v>
      </c>
      <c r="O1130" s="2">
        <f ca="1">IFERROR(__xludf.DUMMYFUNCTION("""COMPUTED_VALUE"""),0.014285714)</f>
        <v>1.4285714E-2</v>
      </c>
      <c r="P1130" s="5">
        <f ca="1">IFERROR(__xludf.DUMMYFUNCTION("""COMPUTED_VALUE"""),94542837)</f>
        <v>94542837</v>
      </c>
      <c r="Q1130" s="5" t="str">
        <f ca="1">IFERROR(__xludf.DUMMYFUNCTION("""COMPUTED_VALUE"""),"2IWisiy2R74")</f>
        <v>2IWisiy2R74</v>
      </c>
      <c r="R1130" s="5">
        <f ca="1">IFERROR(__xludf.DUMMYFUNCTION("""COMPUTED_VALUE"""),410)</f>
        <v>410</v>
      </c>
      <c r="S1130" s="62">
        <f ca="1">IFERROR(__xludf.DUMMYFUNCTION("""COMPUTED_VALUE"""),0.014285714)</f>
        <v>1.4285714E-2</v>
      </c>
      <c r="T1130" s="63" t="str">
        <f ca="1">IFERROR(__xludf.DUMMYFUNCTION("""COMPUTED_VALUE"""),"https://storage.googleapis.com/glide-prod.appspot.com/uploads-v2/ly7o78grxPaC6KdgvbpS/pub/3aRdSog0vUtuqPE8AJKD.png")</f>
        <v>https://storage.googleapis.com/glide-prod.appspot.com/uploads-v2/ly7o78grxPaC6KdgvbpS/pub/3aRdSog0vUtuqPE8AJKD.png</v>
      </c>
      <c r="U1130" s="5" t="str">
        <f ca="1">IFERROR(__xludf.DUMMYFUNCTION("""COMPUTED_VALUE"""),"EQUIPOS PARA SERVICIOS INDUSTRIALESTANQUE AIRE COMPRIMIDO 1")</f>
        <v>EQUIPOS PARA SERVICIOS INDUSTRIALESTANQUE AIRE COMPRIMIDO 1</v>
      </c>
      <c r="V1130" s="5"/>
      <c r="W1130" s="5" t="b">
        <f ca="1">IFERROR(__xludf.DUMMYFUNCTION("""COMPUTED_VALUE"""),TRUE)</f>
        <v>1</v>
      </c>
      <c r="X1130" s="5" t="str">
        <f ca="1">IFERROR(__xludf.DUMMYFUNCTION("""COMPUTED_VALUE"""),"wmazorra@postobon.com.co,aprmttoyu@postobon.com.co,aprmyu@postobon.com.co,wmora@postobon.com.co,efzapata@postobon.com.co")</f>
        <v>wmazorra@postobon.com.co,aprmttoyu@postobon.com.co,aprmyu@postobon.com.co,wmora@postobon.com.co,efzapata@postobon.com.co</v>
      </c>
      <c r="Y1130" s="5" t="str">
        <f ca="1">IFERROR(__xludf.DUMMYFUNCTION("""COMPUTED_VALUE"""),"wmazorra@postobon.com.co")</f>
        <v>wmazorra@postobon.com.co</v>
      </c>
      <c r="Z1130" s="5" t="str">
        <f ca="1">IFERROR(__xludf.DUMMYFUNCTION("""COMPUTED_VALUE"""),"zbB..NaIQ2KKZ-Tee25PEw")</f>
        <v>zbB..NaIQ2KKZ-Tee25PEw</v>
      </c>
      <c r="AA1130" s="5"/>
      <c r="AB1130" s="5"/>
      <c r="AC1130" s="5"/>
      <c r="AD1130" s="5">
        <f ca="1">IFERROR(__xludf.DUMMYFUNCTION("""COMPUTED_VALUE"""),65)</f>
        <v>65</v>
      </c>
      <c r="AE1130" s="5">
        <f ca="1">IFERROR(__xludf.DUMMYFUNCTION("""COMPUTED_VALUE"""),65)</f>
        <v>65</v>
      </c>
      <c r="AF1130" s="5" t="b">
        <f ca="1">IFERROR(__xludf.DUMMYFUNCTION("""COMPUTED_VALUE"""),FALSE)</f>
        <v>0</v>
      </c>
      <c r="AG1130" s="5" t="str">
        <f ca="1">IFERROR(__xludf.DUMMYFUNCTION("""COMPUTED_VALUE"""),"INSPECCIONES REALIZADAS")</f>
        <v>INSPECCIONES REALIZADAS</v>
      </c>
      <c r="AH1130" s="5" t="str">
        <f ca="1">IFERROR(__xludf.DUMMYFUNCTION("""COMPUTED_VALUE"""),"EN TRAMITE")</f>
        <v>EN TRAMITE</v>
      </c>
    </row>
    <row r="1131" spans="1:34">
      <c r="A1131" s="5" t="str">
        <f ca="1">IFERROR(__xludf.DUMMYFUNCTION("""COMPUTED_VALUE"""),"EQUIPOS PARA SERVICIOS INDUSTRIALES")</f>
        <v>EQUIPOS PARA SERVICIOS INDUSTRIALES</v>
      </c>
      <c r="B1131" s="5">
        <f ca="1">IFERROR(__xludf.DUMMYFUNCTION("""COMPUTED_VALUE"""),64954301)</f>
        <v>64954301</v>
      </c>
      <c r="C1131" s="5" t="str">
        <f ca="1">IFERROR(__xludf.DUMMYFUNCTION("""COMPUTED_VALUE"""),"TANQUE AIRE COMPRIMIDO 2")</f>
        <v>TANQUE AIRE COMPRIMIDO 2</v>
      </c>
      <c r="D1131" s="5">
        <f ca="1">IFERROR(__xludf.DUMMYFUNCTION("""COMPUTED_VALUE"""),13247519)</f>
        <v>13247519</v>
      </c>
      <c r="E1131" s="5" t="str">
        <f ca="1">IFERROR(__xludf.DUMMYFUNCTION("""COMPUTED_VALUE"""),"INSPECCION SEMANAL TANQUE AIRE COMPRIMID")</f>
        <v>INSPECCION SEMANAL TANQUE AIRE COMPRIMID</v>
      </c>
      <c r="F1131" s="5" t="str">
        <f ca="1">IFERROR(__xludf.DUMMYFUNCTION("""COMPUTED_VALUE"""),"ESTADO TANQUES")</f>
        <v>ESTADO TANQUES</v>
      </c>
      <c r="G1131" s="5" t="b">
        <f ca="1">IFERROR(__xludf.DUMMYFUNCTION("""COMPUTED_VALUE"""),TRUE)</f>
        <v>1</v>
      </c>
      <c r="H1131" s="5"/>
      <c r="I1131" s="5"/>
      <c r="J1131" s="5">
        <f ca="1">IFERROR(__xludf.DUMMYFUNCTION("""COMPUTED_VALUE"""),13247519)</f>
        <v>13247519</v>
      </c>
      <c r="K1131" s="5"/>
      <c r="L1131" s="18">
        <f ca="1">IFERROR(__xludf.DUMMYFUNCTION("""COMPUTED_VALUE"""),45325)</f>
        <v>45325</v>
      </c>
      <c r="M1131" s="18">
        <f ca="1">IFERROR(__xludf.DUMMYFUNCTION("""COMPUTED_VALUE"""),45325)</f>
        <v>45325</v>
      </c>
      <c r="N1131" s="5" t="str">
        <f ca="1">IFERROR(__xludf.DUMMYFUNCTION("""COMPUTED_VALUE"""),"MARIO ALBERTO MARTÍNEZ MORA")</f>
        <v>MARIO ALBERTO MARTÍNEZ MORA</v>
      </c>
      <c r="O1131" s="2">
        <f ca="1">IFERROR(__xludf.DUMMYFUNCTION("""COMPUTED_VALUE"""),0.014285714)</f>
        <v>1.4285714E-2</v>
      </c>
      <c r="P1131" s="5">
        <f ca="1">IFERROR(__xludf.DUMMYFUNCTION("""COMPUTED_VALUE"""),94542837)</f>
        <v>94542837</v>
      </c>
      <c r="Q1131" s="5" t="str">
        <f ca="1">IFERROR(__xludf.DUMMYFUNCTION("""COMPUTED_VALUE"""),"d3Wh1KOYZws")</f>
        <v>d3Wh1KOYZws</v>
      </c>
      <c r="R1131" s="5">
        <f ca="1">IFERROR(__xludf.DUMMYFUNCTION("""COMPUTED_VALUE"""),410)</f>
        <v>410</v>
      </c>
      <c r="S1131" s="62">
        <f ca="1">IFERROR(__xludf.DUMMYFUNCTION("""COMPUTED_VALUE"""),0.014285714)</f>
        <v>1.4285714E-2</v>
      </c>
      <c r="T1131" s="63" t="str">
        <f ca="1">IFERROR(__xludf.DUMMYFUNCTION("""COMPUTED_VALUE"""),"https://storage.googleapis.com/glide-prod.appspot.com/uploads-v2/ly7o78grxPaC6KdgvbpS/pub/3aRdSog0vUtuqPE8AJKD.png")</f>
        <v>https://storage.googleapis.com/glide-prod.appspot.com/uploads-v2/ly7o78grxPaC6KdgvbpS/pub/3aRdSog0vUtuqPE8AJKD.png</v>
      </c>
      <c r="U1131" s="5" t="str">
        <f ca="1">IFERROR(__xludf.DUMMYFUNCTION("""COMPUTED_VALUE"""),"EQUIPOS PARA SERVICIOS INDUSTRIALESTANQUE AIRE COMPRIMIDO 2")</f>
        <v>EQUIPOS PARA SERVICIOS INDUSTRIALESTANQUE AIRE COMPRIMIDO 2</v>
      </c>
      <c r="V1131" s="5"/>
      <c r="W1131" s="5" t="b">
        <f ca="1">IFERROR(__xludf.DUMMYFUNCTION("""COMPUTED_VALUE"""),TRUE)</f>
        <v>1</v>
      </c>
      <c r="X1131" s="5" t="str">
        <f ca="1">IFERROR(__xludf.DUMMYFUNCTION("""COMPUTED_VALUE"""),"wmazorra@postobon.com.co,aprmttoyu@postobon.com.co,aprmyu@postobon.com.co,wmora@postobon.com.co,efzapata@postobon.com.co")</f>
        <v>wmazorra@postobon.com.co,aprmttoyu@postobon.com.co,aprmyu@postobon.com.co,wmora@postobon.com.co,efzapata@postobon.com.co</v>
      </c>
      <c r="Y1131" s="5" t="str">
        <f ca="1">IFERROR(__xludf.DUMMYFUNCTION("""COMPUTED_VALUE"""),"wmazorra@postobon.com.co")</f>
        <v>wmazorra@postobon.com.co</v>
      </c>
      <c r="Z1131" s="5" t="str">
        <f ca="1">IFERROR(__xludf.DUMMYFUNCTION("""COMPUTED_VALUE"""),"HsQIrLDWQ9Sebsoar4Mmlw")</f>
        <v>HsQIrLDWQ9Sebsoar4Mmlw</v>
      </c>
      <c r="AA1131" s="5"/>
      <c r="AB1131" s="5"/>
      <c r="AC1131" s="5"/>
      <c r="AD1131" s="5">
        <f ca="1">IFERROR(__xludf.DUMMYFUNCTION("""COMPUTED_VALUE"""),65)</f>
        <v>65</v>
      </c>
      <c r="AE1131" s="5">
        <f ca="1">IFERROR(__xludf.DUMMYFUNCTION("""COMPUTED_VALUE"""),65)</f>
        <v>65</v>
      </c>
      <c r="AF1131" s="5" t="b">
        <f ca="1">IFERROR(__xludf.DUMMYFUNCTION("""COMPUTED_VALUE"""),FALSE)</f>
        <v>0</v>
      </c>
      <c r="AG1131" s="5" t="str">
        <f ca="1">IFERROR(__xludf.DUMMYFUNCTION("""COMPUTED_VALUE"""),"INSPECCIONES REALIZADAS")</f>
        <v>INSPECCIONES REALIZADAS</v>
      </c>
      <c r="AH1131" s="5"/>
    </row>
    <row r="1132" spans="1:34">
      <c r="A1132" s="5" t="str">
        <f ca="1">IFERROR(__xludf.DUMMYFUNCTION("""COMPUTED_VALUE"""),"EQUIPOS PARA SERVICIOS INDUSTRIALES")</f>
        <v>EQUIPOS PARA SERVICIOS INDUSTRIALES</v>
      </c>
      <c r="B1132" s="5">
        <f ca="1">IFERROR(__xludf.DUMMYFUNCTION("""COMPUTED_VALUE"""),64954301)</f>
        <v>64954301</v>
      </c>
      <c r="C1132" s="5" t="str">
        <f ca="1">IFERROR(__xludf.DUMMYFUNCTION("""COMPUTED_VALUE"""),"TANQUE AIRE COMPRIMIDO 2")</f>
        <v>TANQUE AIRE COMPRIMIDO 2</v>
      </c>
      <c r="D1132" s="5">
        <f ca="1">IFERROR(__xludf.DUMMYFUNCTION("""COMPUTED_VALUE"""),13247519)</f>
        <v>13247519</v>
      </c>
      <c r="E1132" s="5" t="str">
        <f ca="1">IFERROR(__xludf.DUMMYFUNCTION("""COMPUTED_VALUE"""),"INSPECCION SEMANAL TANQUE AIRE COMPRIMID")</f>
        <v>INSPECCION SEMANAL TANQUE AIRE COMPRIMID</v>
      </c>
      <c r="F1132" s="5" t="str">
        <f ca="1">IFERROR(__xludf.DUMMYFUNCTION("""COMPUTED_VALUE"""),"FUNC. VALVULAS, TUBERIAS")</f>
        <v>FUNC. VALVULAS, TUBERIAS</v>
      </c>
      <c r="G1132" s="5" t="b">
        <f ca="1">IFERROR(__xludf.DUMMYFUNCTION("""COMPUTED_VALUE"""),TRUE)</f>
        <v>1</v>
      </c>
      <c r="H1132" s="5"/>
      <c r="I1132" s="5"/>
      <c r="J1132" s="5">
        <f ca="1">IFERROR(__xludf.DUMMYFUNCTION("""COMPUTED_VALUE"""),13247519)</f>
        <v>13247519</v>
      </c>
      <c r="K1132" s="5"/>
      <c r="L1132" s="18">
        <f ca="1">IFERROR(__xludf.DUMMYFUNCTION("""COMPUTED_VALUE"""),45325)</f>
        <v>45325</v>
      </c>
      <c r="M1132" s="18">
        <f ca="1">IFERROR(__xludf.DUMMYFUNCTION("""COMPUTED_VALUE"""),45325)</f>
        <v>45325</v>
      </c>
      <c r="N1132" s="5" t="str">
        <f ca="1">IFERROR(__xludf.DUMMYFUNCTION("""COMPUTED_VALUE"""),"MARIO ALBERTO MARTÍNEZ MORA")</f>
        <v>MARIO ALBERTO MARTÍNEZ MORA</v>
      </c>
      <c r="O1132" s="2">
        <f ca="1">IFERROR(__xludf.DUMMYFUNCTION("""COMPUTED_VALUE"""),0.014285714)</f>
        <v>1.4285714E-2</v>
      </c>
      <c r="P1132" s="5">
        <f ca="1">IFERROR(__xludf.DUMMYFUNCTION("""COMPUTED_VALUE"""),94542837)</f>
        <v>94542837</v>
      </c>
      <c r="Q1132" s="5" t="str">
        <f ca="1">IFERROR(__xludf.DUMMYFUNCTION("""COMPUTED_VALUE"""),"XIifqk9RG58")</f>
        <v>XIifqk9RG58</v>
      </c>
      <c r="R1132" s="5">
        <f ca="1">IFERROR(__xludf.DUMMYFUNCTION("""COMPUTED_VALUE"""),410)</f>
        <v>410</v>
      </c>
      <c r="S1132" s="62">
        <f ca="1">IFERROR(__xludf.DUMMYFUNCTION("""COMPUTED_VALUE"""),0.014285714)</f>
        <v>1.4285714E-2</v>
      </c>
      <c r="T1132" s="63" t="str">
        <f ca="1">IFERROR(__xludf.DUMMYFUNCTION("""COMPUTED_VALUE"""),"https://storage.googleapis.com/glide-prod.appspot.com/uploads-v2/ly7o78grxPaC6KdgvbpS/pub/3aRdSog0vUtuqPE8AJKD.png")</f>
        <v>https://storage.googleapis.com/glide-prod.appspot.com/uploads-v2/ly7o78grxPaC6KdgvbpS/pub/3aRdSog0vUtuqPE8AJKD.png</v>
      </c>
      <c r="U1132" s="5" t="str">
        <f ca="1">IFERROR(__xludf.DUMMYFUNCTION("""COMPUTED_VALUE"""),"EQUIPOS PARA SERVICIOS INDUSTRIALESTANQUE AIRE COMPRIMIDO 2")</f>
        <v>EQUIPOS PARA SERVICIOS INDUSTRIALESTANQUE AIRE COMPRIMIDO 2</v>
      </c>
      <c r="V1132" s="5"/>
      <c r="W1132" s="5" t="b">
        <f ca="1">IFERROR(__xludf.DUMMYFUNCTION("""COMPUTED_VALUE"""),TRUE)</f>
        <v>1</v>
      </c>
      <c r="X1132" s="5" t="str">
        <f ca="1">IFERROR(__xludf.DUMMYFUNCTION("""COMPUTED_VALUE"""),"wmazorra@postobon.com.co,aprmttoyu@postobon.com.co,aprmyu@postobon.com.co,wmora@postobon.com.co,efzapata@postobon.com.co")</f>
        <v>wmazorra@postobon.com.co,aprmttoyu@postobon.com.co,aprmyu@postobon.com.co,wmora@postobon.com.co,efzapata@postobon.com.co</v>
      </c>
      <c r="Y1132" s="5" t="str">
        <f ca="1">IFERROR(__xludf.DUMMYFUNCTION("""COMPUTED_VALUE"""),"wmazorra@postobon.com.co")</f>
        <v>wmazorra@postobon.com.co</v>
      </c>
      <c r="Z1132" s="5" t="str">
        <f ca="1">IFERROR(__xludf.DUMMYFUNCTION("""COMPUTED_VALUE"""),"jjw6OdNKS9ufpt7AdVY26A")</f>
        <v>jjw6OdNKS9ufpt7AdVY26A</v>
      </c>
      <c r="AA1132" s="5"/>
      <c r="AB1132" s="5"/>
      <c r="AC1132" s="5"/>
      <c r="AD1132" s="5">
        <f ca="1">IFERROR(__xludf.DUMMYFUNCTION("""COMPUTED_VALUE"""),65)</f>
        <v>65</v>
      </c>
      <c r="AE1132" s="5">
        <f ca="1">IFERROR(__xludf.DUMMYFUNCTION("""COMPUTED_VALUE"""),65)</f>
        <v>65</v>
      </c>
      <c r="AF1132" s="5" t="b">
        <f ca="1">IFERROR(__xludf.DUMMYFUNCTION("""COMPUTED_VALUE"""),FALSE)</f>
        <v>0</v>
      </c>
      <c r="AG1132" s="5" t="str">
        <f ca="1">IFERROR(__xludf.DUMMYFUNCTION("""COMPUTED_VALUE"""),"INSPECCIONES REALIZADAS")</f>
        <v>INSPECCIONES REALIZADAS</v>
      </c>
      <c r="AH1132" s="5"/>
    </row>
    <row r="1133" spans="1:34">
      <c r="A1133" s="5" t="str">
        <f ca="1">IFERROR(__xludf.DUMMYFUNCTION("""COMPUTED_VALUE"""),"EQUIPOS PARA SERVICIOS INDUSTRIALES")</f>
        <v>EQUIPOS PARA SERVICIOS INDUSTRIALES</v>
      </c>
      <c r="B1133" s="5">
        <f ca="1">IFERROR(__xludf.DUMMYFUNCTION("""COMPUTED_VALUE"""),64954301)</f>
        <v>64954301</v>
      </c>
      <c r="C1133" s="5" t="str">
        <f ca="1">IFERROR(__xludf.DUMMYFUNCTION("""COMPUTED_VALUE"""),"TANQUE AIRE COMPRIMIDO 2")</f>
        <v>TANQUE AIRE COMPRIMIDO 2</v>
      </c>
      <c r="D1133" s="5">
        <f ca="1">IFERROR(__xludf.DUMMYFUNCTION("""COMPUTED_VALUE"""),13247519)</f>
        <v>13247519</v>
      </c>
      <c r="E1133" s="5" t="str">
        <f ca="1">IFERROR(__xludf.DUMMYFUNCTION("""COMPUTED_VALUE"""),"INSPECCION SEMANAL TANQUE AIRE COMPRIMID")</f>
        <v>INSPECCION SEMANAL TANQUE AIRE COMPRIMID</v>
      </c>
      <c r="F1133" s="5" t="str">
        <f ca="1">IFERROR(__xludf.DUMMYFUNCTION("""COMPUTED_VALUE"""),"ESCAPE FLUIDOS")</f>
        <v>ESCAPE FLUIDOS</v>
      </c>
      <c r="G1133" s="5" t="b">
        <f ca="1">IFERROR(__xludf.DUMMYFUNCTION("""COMPUTED_VALUE"""),TRUE)</f>
        <v>1</v>
      </c>
      <c r="H1133" s="5"/>
      <c r="I1133" s="5"/>
      <c r="J1133" s="5">
        <f ca="1">IFERROR(__xludf.DUMMYFUNCTION("""COMPUTED_VALUE"""),13247519)</f>
        <v>13247519</v>
      </c>
      <c r="K1133" s="5"/>
      <c r="L1133" s="18">
        <f ca="1">IFERROR(__xludf.DUMMYFUNCTION("""COMPUTED_VALUE"""),45325)</f>
        <v>45325</v>
      </c>
      <c r="M1133" s="18">
        <f ca="1">IFERROR(__xludf.DUMMYFUNCTION("""COMPUTED_VALUE"""),45325)</f>
        <v>45325</v>
      </c>
      <c r="N1133" s="5" t="str">
        <f ca="1">IFERROR(__xludf.DUMMYFUNCTION("""COMPUTED_VALUE"""),"MARIO ALBERTO MARTÍNEZ MORA")</f>
        <v>MARIO ALBERTO MARTÍNEZ MORA</v>
      </c>
      <c r="O1133" s="2">
        <f ca="1">IFERROR(__xludf.DUMMYFUNCTION("""COMPUTED_VALUE"""),0.014285714)</f>
        <v>1.4285714E-2</v>
      </c>
      <c r="P1133" s="5">
        <f ca="1">IFERROR(__xludf.DUMMYFUNCTION("""COMPUTED_VALUE"""),94542837)</f>
        <v>94542837</v>
      </c>
      <c r="Q1133" s="5" t="str">
        <f ca="1">IFERROR(__xludf.DUMMYFUNCTION("""COMPUTED_VALUE"""),"rU-SDc-tpp8")</f>
        <v>rU-SDc-tpp8</v>
      </c>
      <c r="R1133" s="5">
        <f ca="1">IFERROR(__xludf.DUMMYFUNCTION("""COMPUTED_VALUE"""),410)</f>
        <v>410</v>
      </c>
      <c r="S1133" s="62">
        <f ca="1">IFERROR(__xludf.DUMMYFUNCTION("""COMPUTED_VALUE"""),0.014285714)</f>
        <v>1.4285714E-2</v>
      </c>
      <c r="T1133" s="63" t="str">
        <f ca="1">IFERROR(__xludf.DUMMYFUNCTION("""COMPUTED_VALUE"""),"https://storage.googleapis.com/glide-prod.appspot.com/uploads-v2/ly7o78grxPaC6KdgvbpS/pub/3aRdSog0vUtuqPE8AJKD.png")</f>
        <v>https://storage.googleapis.com/glide-prod.appspot.com/uploads-v2/ly7o78grxPaC6KdgvbpS/pub/3aRdSog0vUtuqPE8AJKD.png</v>
      </c>
      <c r="U1133" s="5" t="str">
        <f ca="1">IFERROR(__xludf.DUMMYFUNCTION("""COMPUTED_VALUE"""),"EQUIPOS PARA SERVICIOS INDUSTRIALESTANQUE AIRE COMPRIMIDO 2")</f>
        <v>EQUIPOS PARA SERVICIOS INDUSTRIALESTANQUE AIRE COMPRIMIDO 2</v>
      </c>
      <c r="V1133" s="5"/>
      <c r="W1133" s="5" t="b">
        <f ca="1">IFERROR(__xludf.DUMMYFUNCTION("""COMPUTED_VALUE"""),TRUE)</f>
        <v>1</v>
      </c>
      <c r="X1133" s="5" t="str">
        <f ca="1">IFERROR(__xludf.DUMMYFUNCTION("""COMPUTED_VALUE"""),"wmazorra@postobon.com.co,aprmttoyu@postobon.com.co,aprmyu@postobon.com.co,wmora@postobon.com.co,efzapata@postobon.com.co")</f>
        <v>wmazorra@postobon.com.co,aprmttoyu@postobon.com.co,aprmyu@postobon.com.co,wmora@postobon.com.co,efzapata@postobon.com.co</v>
      </c>
      <c r="Y1133" s="5" t="str">
        <f ca="1">IFERROR(__xludf.DUMMYFUNCTION("""COMPUTED_VALUE"""),"wmazorra@postobon.com.co")</f>
        <v>wmazorra@postobon.com.co</v>
      </c>
      <c r="Z1133" s="5" t="str">
        <f ca="1">IFERROR(__xludf.DUMMYFUNCTION("""COMPUTED_VALUE"""),"8gziIdWuSrKG.qbyOp3yyA")</f>
        <v>8gziIdWuSrKG.qbyOp3yyA</v>
      </c>
      <c r="AA1133" s="5"/>
      <c r="AB1133" s="5"/>
      <c r="AC1133" s="5"/>
      <c r="AD1133" s="5">
        <f ca="1">IFERROR(__xludf.DUMMYFUNCTION("""COMPUTED_VALUE"""),65)</f>
        <v>65</v>
      </c>
      <c r="AE1133" s="5">
        <f ca="1">IFERROR(__xludf.DUMMYFUNCTION("""COMPUTED_VALUE"""),65)</f>
        <v>65</v>
      </c>
      <c r="AF1133" s="5" t="b">
        <f ca="1">IFERROR(__xludf.DUMMYFUNCTION("""COMPUTED_VALUE"""),FALSE)</f>
        <v>0</v>
      </c>
      <c r="AG1133" s="5" t="str">
        <f ca="1">IFERROR(__xludf.DUMMYFUNCTION("""COMPUTED_VALUE"""),"INSPECCIONES REALIZADAS")</f>
        <v>INSPECCIONES REALIZADAS</v>
      </c>
      <c r="AH1133" s="5"/>
    </row>
    <row r="1134" spans="1:34">
      <c r="A1134" s="5" t="str">
        <f ca="1">IFERROR(__xludf.DUMMYFUNCTION("""COMPUTED_VALUE"""),"EQUIPOS PARA SERVICIOS INDUSTRIALES")</f>
        <v>EQUIPOS PARA SERVICIOS INDUSTRIALES</v>
      </c>
      <c r="B1134" s="5">
        <f ca="1">IFERROR(__xludf.DUMMYFUNCTION("""COMPUTED_VALUE"""),64954301)</f>
        <v>64954301</v>
      </c>
      <c r="C1134" s="5" t="str">
        <f ca="1">IFERROR(__xludf.DUMMYFUNCTION("""COMPUTED_VALUE"""),"TANQUE AIRE COMPRIMIDO 2")</f>
        <v>TANQUE AIRE COMPRIMIDO 2</v>
      </c>
      <c r="D1134" s="5">
        <f ca="1">IFERROR(__xludf.DUMMYFUNCTION("""COMPUTED_VALUE"""),13247519)</f>
        <v>13247519</v>
      </c>
      <c r="E1134" s="5" t="str">
        <f ca="1">IFERROR(__xludf.DUMMYFUNCTION("""COMPUTED_VALUE"""),"INSPECCION SEMANAL TANQUE AIRE COMPRIMID")</f>
        <v>INSPECCION SEMANAL TANQUE AIRE COMPRIMID</v>
      </c>
      <c r="F1134" s="5" t="str">
        <f ca="1">IFERROR(__xludf.DUMMYFUNCTION("""COMPUTED_VALUE"""),"FUNC. MOTOBOM TANQUE")</f>
        <v>FUNC. MOTOBOM TANQUE</v>
      </c>
      <c r="G1134" s="5" t="b">
        <f ca="1">IFERROR(__xludf.DUMMYFUNCTION("""COMPUTED_VALUE"""),TRUE)</f>
        <v>1</v>
      </c>
      <c r="H1134" s="5"/>
      <c r="I1134" s="5"/>
      <c r="J1134" s="5">
        <f ca="1">IFERROR(__xludf.DUMMYFUNCTION("""COMPUTED_VALUE"""),13247519)</f>
        <v>13247519</v>
      </c>
      <c r="K1134" s="5"/>
      <c r="L1134" s="18">
        <f ca="1">IFERROR(__xludf.DUMMYFUNCTION("""COMPUTED_VALUE"""),45325)</f>
        <v>45325</v>
      </c>
      <c r="M1134" s="18">
        <f ca="1">IFERROR(__xludf.DUMMYFUNCTION("""COMPUTED_VALUE"""),45325)</f>
        <v>45325</v>
      </c>
      <c r="N1134" s="5" t="str">
        <f ca="1">IFERROR(__xludf.DUMMYFUNCTION("""COMPUTED_VALUE"""),"MARIO ALBERTO MARTÍNEZ MORA")</f>
        <v>MARIO ALBERTO MARTÍNEZ MORA</v>
      </c>
      <c r="O1134" s="2">
        <f ca="1">IFERROR(__xludf.DUMMYFUNCTION("""COMPUTED_VALUE"""),0.014285714)</f>
        <v>1.4285714E-2</v>
      </c>
      <c r="P1134" s="5">
        <f ca="1">IFERROR(__xludf.DUMMYFUNCTION("""COMPUTED_VALUE"""),94542837)</f>
        <v>94542837</v>
      </c>
      <c r="Q1134" s="5" t="str">
        <f ca="1">IFERROR(__xludf.DUMMYFUNCTION("""COMPUTED_VALUE"""),"H5vwZJAqygY")</f>
        <v>H5vwZJAqygY</v>
      </c>
      <c r="R1134" s="5">
        <f ca="1">IFERROR(__xludf.DUMMYFUNCTION("""COMPUTED_VALUE"""),410)</f>
        <v>410</v>
      </c>
      <c r="S1134" s="62">
        <f ca="1">IFERROR(__xludf.DUMMYFUNCTION("""COMPUTED_VALUE"""),0.014285714)</f>
        <v>1.4285714E-2</v>
      </c>
      <c r="T1134" s="63" t="str">
        <f ca="1">IFERROR(__xludf.DUMMYFUNCTION("""COMPUTED_VALUE"""),"https://storage.googleapis.com/glide-prod.appspot.com/uploads-v2/ly7o78grxPaC6KdgvbpS/pub/3aRdSog0vUtuqPE8AJKD.png")</f>
        <v>https://storage.googleapis.com/glide-prod.appspot.com/uploads-v2/ly7o78grxPaC6KdgvbpS/pub/3aRdSog0vUtuqPE8AJKD.png</v>
      </c>
      <c r="U1134" s="5" t="str">
        <f ca="1">IFERROR(__xludf.DUMMYFUNCTION("""COMPUTED_VALUE"""),"EQUIPOS PARA SERVICIOS INDUSTRIALESTANQUE AIRE COMPRIMIDO 2")</f>
        <v>EQUIPOS PARA SERVICIOS INDUSTRIALESTANQUE AIRE COMPRIMIDO 2</v>
      </c>
      <c r="V1134" s="5"/>
      <c r="W1134" s="5" t="b">
        <f ca="1">IFERROR(__xludf.DUMMYFUNCTION("""COMPUTED_VALUE"""),TRUE)</f>
        <v>1</v>
      </c>
      <c r="X1134" s="5" t="str">
        <f ca="1">IFERROR(__xludf.DUMMYFUNCTION("""COMPUTED_VALUE"""),"wmazorra@postobon.com.co,aprmttoyu@postobon.com.co,aprmyu@postobon.com.co,wmora@postobon.com.co,efzapata@postobon.com.co")</f>
        <v>wmazorra@postobon.com.co,aprmttoyu@postobon.com.co,aprmyu@postobon.com.co,wmora@postobon.com.co,efzapata@postobon.com.co</v>
      </c>
      <c r="Y1134" s="5" t="str">
        <f ca="1">IFERROR(__xludf.DUMMYFUNCTION("""COMPUTED_VALUE"""),"wmazorra@postobon.com.co")</f>
        <v>wmazorra@postobon.com.co</v>
      </c>
      <c r="Z1134" s="5" t="str">
        <f ca="1">IFERROR(__xludf.DUMMYFUNCTION("""COMPUTED_VALUE"""),"LydkDQ9KS7Wy1NdSr.9GlA")</f>
        <v>LydkDQ9KS7Wy1NdSr.9GlA</v>
      </c>
      <c r="AA1134" s="5"/>
      <c r="AB1134" s="5"/>
      <c r="AC1134" s="5"/>
      <c r="AD1134" s="5">
        <f ca="1">IFERROR(__xludf.DUMMYFUNCTION("""COMPUTED_VALUE"""),65)</f>
        <v>65</v>
      </c>
      <c r="AE1134" s="5">
        <f ca="1">IFERROR(__xludf.DUMMYFUNCTION("""COMPUTED_VALUE"""),65)</f>
        <v>65</v>
      </c>
      <c r="AF1134" s="5" t="b">
        <f ca="1">IFERROR(__xludf.DUMMYFUNCTION("""COMPUTED_VALUE"""),FALSE)</f>
        <v>0</v>
      </c>
      <c r="AG1134" s="5" t="str">
        <f ca="1">IFERROR(__xludf.DUMMYFUNCTION("""COMPUTED_VALUE"""),"INSPECCIONES REALIZADAS")</f>
        <v>INSPECCIONES REALIZADAS</v>
      </c>
      <c r="AH1134" s="5"/>
    </row>
    <row r="1135" spans="1:34">
      <c r="A1135" s="5" t="str">
        <f ca="1">IFERROR(__xludf.DUMMYFUNCTION("""COMPUTED_VALUE"""),"EQUIPOS PARA SERVICIOS INDUSTRIALES")</f>
        <v>EQUIPOS PARA SERVICIOS INDUSTRIALES</v>
      </c>
      <c r="B1135" s="5">
        <f ca="1">IFERROR(__xludf.DUMMYFUNCTION("""COMPUTED_VALUE"""),64954301)</f>
        <v>64954301</v>
      </c>
      <c r="C1135" s="5" t="str">
        <f ca="1">IFERROR(__xludf.DUMMYFUNCTION("""COMPUTED_VALUE"""),"TANQUE AIRE COMPRIMIDO 2")</f>
        <v>TANQUE AIRE COMPRIMIDO 2</v>
      </c>
      <c r="D1135" s="5">
        <f ca="1">IFERROR(__xludf.DUMMYFUNCTION("""COMPUTED_VALUE"""),13247519)</f>
        <v>13247519</v>
      </c>
      <c r="E1135" s="5" t="str">
        <f ca="1">IFERROR(__xludf.DUMMYFUNCTION("""COMPUTED_VALUE"""),"INSPECCION SEMANAL TANQUE AIRE COMPRIMID")</f>
        <v>INSPECCION SEMANAL TANQUE AIRE COMPRIMID</v>
      </c>
      <c r="F1135" s="5" t="str">
        <f ca="1">IFERROR(__xludf.DUMMYFUNCTION("""COMPUTED_VALUE"""),"INSTRUMENTOS MEDICION")</f>
        <v>INSTRUMENTOS MEDICION</v>
      </c>
      <c r="G1135" s="5" t="b">
        <f ca="1">IFERROR(__xludf.DUMMYFUNCTION("""COMPUTED_VALUE"""),TRUE)</f>
        <v>1</v>
      </c>
      <c r="H1135" s="5"/>
      <c r="I1135" s="5"/>
      <c r="J1135" s="5">
        <f ca="1">IFERROR(__xludf.DUMMYFUNCTION("""COMPUTED_VALUE"""),13247519)</f>
        <v>13247519</v>
      </c>
      <c r="K1135" s="5"/>
      <c r="L1135" s="18">
        <f ca="1">IFERROR(__xludf.DUMMYFUNCTION("""COMPUTED_VALUE"""),45325)</f>
        <v>45325</v>
      </c>
      <c r="M1135" s="18">
        <f ca="1">IFERROR(__xludf.DUMMYFUNCTION("""COMPUTED_VALUE"""),45325)</f>
        <v>45325</v>
      </c>
      <c r="N1135" s="5" t="str">
        <f ca="1">IFERROR(__xludf.DUMMYFUNCTION("""COMPUTED_VALUE"""),"MARIO ALBERTO MARTÍNEZ MORA")</f>
        <v>MARIO ALBERTO MARTÍNEZ MORA</v>
      </c>
      <c r="O1135" s="2">
        <f ca="1">IFERROR(__xludf.DUMMYFUNCTION("""COMPUTED_VALUE"""),0.014285714)</f>
        <v>1.4285714E-2</v>
      </c>
      <c r="P1135" s="5">
        <f ca="1">IFERROR(__xludf.DUMMYFUNCTION("""COMPUTED_VALUE"""),94542837)</f>
        <v>94542837</v>
      </c>
      <c r="Q1135" s="5" t="str">
        <f ca="1">IFERROR(__xludf.DUMMYFUNCTION("""COMPUTED_VALUE"""),"1dcXRhfSJR4")</f>
        <v>1dcXRhfSJR4</v>
      </c>
      <c r="R1135" s="5">
        <f ca="1">IFERROR(__xludf.DUMMYFUNCTION("""COMPUTED_VALUE"""),410)</f>
        <v>410</v>
      </c>
      <c r="S1135" s="62">
        <f ca="1">IFERROR(__xludf.DUMMYFUNCTION("""COMPUTED_VALUE"""),0.014285714)</f>
        <v>1.4285714E-2</v>
      </c>
      <c r="T1135" s="63" t="str">
        <f ca="1">IFERROR(__xludf.DUMMYFUNCTION("""COMPUTED_VALUE"""),"https://storage.googleapis.com/glide-prod.appspot.com/uploads-v2/ly7o78grxPaC6KdgvbpS/pub/3aRdSog0vUtuqPE8AJKD.png")</f>
        <v>https://storage.googleapis.com/glide-prod.appspot.com/uploads-v2/ly7o78grxPaC6KdgvbpS/pub/3aRdSog0vUtuqPE8AJKD.png</v>
      </c>
      <c r="U1135" s="5" t="str">
        <f ca="1">IFERROR(__xludf.DUMMYFUNCTION("""COMPUTED_VALUE"""),"EQUIPOS PARA SERVICIOS INDUSTRIALESTANQUE AIRE COMPRIMIDO 2")</f>
        <v>EQUIPOS PARA SERVICIOS INDUSTRIALESTANQUE AIRE COMPRIMIDO 2</v>
      </c>
      <c r="V1135" s="5"/>
      <c r="W1135" s="5" t="b">
        <f ca="1">IFERROR(__xludf.DUMMYFUNCTION("""COMPUTED_VALUE"""),TRUE)</f>
        <v>1</v>
      </c>
      <c r="X1135" s="5" t="str">
        <f ca="1">IFERROR(__xludf.DUMMYFUNCTION("""COMPUTED_VALUE"""),"wmazorra@postobon.com.co,aprmttoyu@postobon.com.co,aprmyu@postobon.com.co,wmora@postobon.com.co,efzapata@postobon.com.co")</f>
        <v>wmazorra@postobon.com.co,aprmttoyu@postobon.com.co,aprmyu@postobon.com.co,wmora@postobon.com.co,efzapata@postobon.com.co</v>
      </c>
      <c r="Y1135" s="5" t="str">
        <f ca="1">IFERROR(__xludf.DUMMYFUNCTION("""COMPUTED_VALUE"""),"wmazorra@postobon.com.co")</f>
        <v>wmazorra@postobon.com.co</v>
      </c>
      <c r="Z1135" s="5" t="str">
        <f ca="1">IFERROR(__xludf.DUMMYFUNCTION("""COMPUTED_VALUE"""),"1WX4cfmeRcCrr4mu-asJ1A")</f>
        <v>1WX4cfmeRcCrr4mu-asJ1A</v>
      </c>
      <c r="AA1135" s="5"/>
      <c r="AB1135" s="5"/>
      <c r="AC1135" s="5"/>
      <c r="AD1135" s="5">
        <f ca="1">IFERROR(__xludf.DUMMYFUNCTION("""COMPUTED_VALUE"""),65)</f>
        <v>65</v>
      </c>
      <c r="AE1135" s="5">
        <f ca="1">IFERROR(__xludf.DUMMYFUNCTION("""COMPUTED_VALUE"""),65)</f>
        <v>65</v>
      </c>
      <c r="AF1135" s="5" t="b">
        <f ca="1">IFERROR(__xludf.DUMMYFUNCTION("""COMPUTED_VALUE"""),FALSE)</f>
        <v>0</v>
      </c>
      <c r="AG1135" s="5" t="str">
        <f ca="1">IFERROR(__xludf.DUMMYFUNCTION("""COMPUTED_VALUE"""),"INSPECCIONES REALIZADAS")</f>
        <v>INSPECCIONES REALIZADAS</v>
      </c>
      <c r="AH1135" s="5"/>
    </row>
    <row r="1136" spans="1:34">
      <c r="A1136" s="5" t="str">
        <f ca="1">IFERROR(__xludf.DUMMYFUNCTION("""COMPUTED_VALUE"""),"EQUIPOS PARA SERVICIOS INDUSTRIALES")</f>
        <v>EQUIPOS PARA SERVICIOS INDUSTRIALES</v>
      </c>
      <c r="B1136" s="5">
        <f ca="1">IFERROR(__xludf.DUMMYFUNCTION("""COMPUTED_VALUE"""),64954301)</f>
        <v>64954301</v>
      </c>
      <c r="C1136" s="5" t="str">
        <f ca="1">IFERROR(__xludf.DUMMYFUNCTION("""COMPUTED_VALUE"""),"TANQUE AIRE COMPRIMIDO 2")</f>
        <v>TANQUE AIRE COMPRIMIDO 2</v>
      </c>
      <c r="D1136" s="5">
        <f ca="1">IFERROR(__xludf.DUMMYFUNCTION("""COMPUTED_VALUE"""),13247519)</f>
        <v>13247519</v>
      </c>
      <c r="E1136" s="5" t="str">
        <f ca="1">IFERROR(__xludf.DUMMYFUNCTION("""COMPUTED_VALUE"""),"INSPECCION SEMANAL TANQUE AIRE COMPRIMID")</f>
        <v>INSPECCION SEMANAL TANQUE AIRE COMPRIMID</v>
      </c>
      <c r="F1136" s="5" t="str">
        <f ca="1">IFERROR(__xludf.DUMMYFUNCTION("""COMPUTED_VALUE"""),"ESTADO GRAL PINTURA")</f>
        <v>ESTADO GRAL PINTURA</v>
      </c>
      <c r="G1136" s="5" t="b">
        <f ca="1">IFERROR(__xludf.DUMMYFUNCTION("""COMPUTED_VALUE"""),TRUE)</f>
        <v>1</v>
      </c>
      <c r="H1136" s="5"/>
      <c r="I1136" s="5"/>
      <c r="J1136" s="5">
        <f ca="1">IFERROR(__xludf.DUMMYFUNCTION("""COMPUTED_VALUE"""),13247519)</f>
        <v>13247519</v>
      </c>
      <c r="K1136" s="5"/>
      <c r="L1136" s="18">
        <f ca="1">IFERROR(__xludf.DUMMYFUNCTION("""COMPUTED_VALUE"""),45325)</f>
        <v>45325</v>
      </c>
      <c r="M1136" s="18">
        <f ca="1">IFERROR(__xludf.DUMMYFUNCTION("""COMPUTED_VALUE"""),45325)</f>
        <v>45325</v>
      </c>
      <c r="N1136" s="5" t="str">
        <f ca="1">IFERROR(__xludf.DUMMYFUNCTION("""COMPUTED_VALUE"""),"MARIO ALBERTO MARTÍNEZ MORA")</f>
        <v>MARIO ALBERTO MARTÍNEZ MORA</v>
      </c>
      <c r="O1136" s="2">
        <f ca="1">IFERROR(__xludf.DUMMYFUNCTION("""COMPUTED_VALUE"""),0.014285714)</f>
        <v>1.4285714E-2</v>
      </c>
      <c r="P1136" s="5">
        <f ca="1">IFERROR(__xludf.DUMMYFUNCTION("""COMPUTED_VALUE"""),94542837)</f>
        <v>94542837</v>
      </c>
      <c r="Q1136" s="5" t="str">
        <f ca="1">IFERROR(__xludf.DUMMYFUNCTION("""COMPUTED_VALUE"""),"4ICEIL39lKg")</f>
        <v>4ICEIL39lKg</v>
      </c>
      <c r="R1136" s="5">
        <f ca="1">IFERROR(__xludf.DUMMYFUNCTION("""COMPUTED_VALUE"""),410)</f>
        <v>410</v>
      </c>
      <c r="S1136" s="62">
        <f ca="1">IFERROR(__xludf.DUMMYFUNCTION("""COMPUTED_VALUE"""),0.014285714)</f>
        <v>1.4285714E-2</v>
      </c>
      <c r="T1136" s="63" t="str">
        <f ca="1">IFERROR(__xludf.DUMMYFUNCTION("""COMPUTED_VALUE"""),"https://storage.googleapis.com/glide-prod.appspot.com/uploads-v2/ly7o78grxPaC6KdgvbpS/pub/3aRdSog0vUtuqPE8AJKD.png")</f>
        <v>https://storage.googleapis.com/glide-prod.appspot.com/uploads-v2/ly7o78grxPaC6KdgvbpS/pub/3aRdSog0vUtuqPE8AJKD.png</v>
      </c>
      <c r="U1136" s="5" t="str">
        <f ca="1">IFERROR(__xludf.DUMMYFUNCTION("""COMPUTED_VALUE"""),"EQUIPOS PARA SERVICIOS INDUSTRIALESTANQUE AIRE COMPRIMIDO 2")</f>
        <v>EQUIPOS PARA SERVICIOS INDUSTRIALESTANQUE AIRE COMPRIMIDO 2</v>
      </c>
      <c r="V1136" s="5"/>
      <c r="W1136" s="5" t="b">
        <f ca="1">IFERROR(__xludf.DUMMYFUNCTION("""COMPUTED_VALUE"""),TRUE)</f>
        <v>1</v>
      </c>
      <c r="X1136" s="5" t="str">
        <f ca="1">IFERROR(__xludf.DUMMYFUNCTION("""COMPUTED_VALUE"""),"wmazorra@postobon.com.co,aprmttoyu@postobon.com.co,aprmyu@postobon.com.co,wmora@postobon.com.co,efzapata@postobon.com.co")</f>
        <v>wmazorra@postobon.com.co,aprmttoyu@postobon.com.co,aprmyu@postobon.com.co,wmora@postobon.com.co,efzapata@postobon.com.co</v>
      </c>
      <c r="Y1136" s="5" t="str">
        <f ca="1">IFERROR(__xludf.DUMMYFUNCTION("""COMPUTED_VALUE"""),"wmazorra@postobon.com.co")</f>
        <v>wmazorra@postobon.com.co</v>
      </c>
      <c r="Z1136" s="5" t="str">
        <f ca="1">IFERROR(__xludf.DUMMYFUNCTION("""COMPUTED_VALUE"""),"RXPYiSXpRfCqlgUS.F6Rgg")</f>
        <v>RXPYiSXpRfCqlgUS.F6Rgg</v>
      </c>
      <c r="AA1136" s="5"/>
      <c r="AB1136" s="5"/>
      <c r="AC1136" s="5"/>
      <c r="AD1136" s="5">
        <f ca="1">IFERROR(__xludf.DUMMYFUNCTION("""COMPUTED_VALUE"""),65)</f>
        <v>65</v>
      </c>
      <c r="AE1136" s="5">
        <f ca="1">IFERROR(__xludf.DUMMYFUNCTION("""COMPUTED_VALUE"""),65)</f>
        <v>65</v>
      </c>
      <c r="AF1136" s="5" t="b">
        <f ca="1">IFERROR(__xludf.DUMMYFUNCTION("""COMPUTED_VALUE"""),FALSE)</f>
        <v>0</v>
      </c>
      <c r="AG1136" s="5" t="str">
        <f ca="1">IFERROR(__xludf.DUMMYFUNCTION("""COMPUTED_VALUE"""),"INSPECCIONES REALIZADAS")</f>
        <v>INSPECCIONES REALIZADAS</v>
      </c>
      <c r="AH1136" s="5"/>
    </row>
    <row r="1137" spans="1:34">
      <c r="A1137" s="5" t="str">
        <f ca="1">IFERROR(__xludf.DUMMYFUNCTION("""COMPUTED_VALUE"""),"EQUIPOS PARA SERVICIOS INDUSTRIALES")</f>
        <v>EQUIPOS PARA SERVICIOS INDUSTRIALES</v>
      </c>
      <c r="B1137" s="5">
        <f ca="1">IFERROR(__xludf.DUMMYFUNCTION("""COMPUTED_VALUE"""),64954301)</f>
        <v>64954301</v>
      </c>
      <c r="C1137" s="5" t="str">
        <f ca="1">IFERROR(__xludf.DUMMYFUNCTION("""COMPUTED_VALUE"""),"TANQUE AIRE COMPRIMIDO 2")</f>
        <v>TANQUE AIRE COMPRIMIDO 2</v>
      </c>
      <c r="D1137" s="5">
        <f ca="1">IFERROR(__xludf.DUMMYFUNCTION("""COMPUTED_VALUE"""),13247519)</f>
        <v>13247519</v>
      </c>
      <c r="E1137" s="5" t="str">
        <f ca="1">IFERROR(__xludf.DUMMYFUNCTION("""COMPUTED_VALUE"""),"INSPECCION SEMANAL TANQUE AIRE COMPRIMID")</f>
        <v>INSPECCION SEMANAL TANQUE AIRE COMPRIMID</v>
      </c>
      <c r="F1137" s="5" t="str">
        <f ca="1">IFERROR(__xludf.DUMMYFUNCTION("""COMPUTED_VALUE"""),"VERIFICA DIFERENCIAL PRESION FILTRO NML500 &lt;3PSID")</f>
        <v>VERIFICA DIFERENCIAL PRESION FILTRO NML500 &lt;3PSID</v>
      </c>
      <c r="G1137" s="5" t="b">
        <f ca="1">IFERROR(__xludf.DUMMYFUNCTION("""COMPUTED_VALUE"""),TRUE)</f>
        <v>1</v>
      </c>
      <c r="H1137" s="5"/>
      <c r="I1137" s="5"/>
      <c r="J1137" s="5">
        <f ca="1">IFERROR(__xludf.DUMMYFUNCTION("""COMPUTED_VALUE"""),13247519)</f>
        <v>13247519</v>
      </c>
      <c r="K1137" s="5"/>
      <c r="L1137" s="18">
        <f ca="1">IFERROR(__xludf.DUMMYFUNCTION("""COMPUTED_VALUE"""),45325)</f>
        <v>45325</v>
      </c>
      <c r="M1137" s="18">
        <f ca="1">IFERROR(__xludf.DUMMYFUNCTION("""COMPUTED_VALUE"""),45325)</f>
        <v>45325</v>
      </c>
      <c r="N1137" s="5" t="str">
        <f ca="1">IFERROR(__xludf.DUMMYFUNCTION("""COMPUTED_VALUE"""),"MARIO ALBERTO MARTÍNEZ MORA")</f>
        <v>MARIO ALBERTO MARTÍNEZ MORA</v>
      </c>
      <c r="O1137" s="2">
        <f ca="1">IFERROR(__xludf.DUMMYFUNCTION("""COMPUTED_VALUE"""),0.014285714)</f>
        <v>1.4285714E-2</v>
      </c>
      <c r="P1137" s="5">
        <f ca="1">IFERROR(__xludf.DUMMYFUNCTION("""COMPUTED_VALUE"""),94542837)</f>
        <v>94542837</v>
      </c>
      <c r="Q1137" s="5" t="str">
        <f ca="1">IFERROR(__xludf.DUMMYFUNCTION("""COMPUTED_VALUE"""),"HLh8RSoy5Rw")</f>
        <v>HLh8RSoy5Rw</v>
      </c>
      <c r="R1137" s="5">
        <f ca="1">IFERROR(__xludf.DUMMYFUNCTION("""COMPUTED_VALUE"""),410)</f>
        <v>410</v>
      </c>
      <c r="S1137" s="62">
        <f ca="1">IFERROR(__xludf.DUMMYFUNCTION("""COMPUTED_VALUE"""),0.014285714)</f>
        <v>1.4285714E-2</v>
      </c>
      <c r="T1137" s="63" t="str">
        <f ca="1">IFERROR(__xludf.DUMMYFUNCTION("""COMPUTED_VALUE"""),"https://storage.googleapis.com/glide-prod.appspot.com/uploads-v2/ly7o78grxPaC6KdgvbpS/pub/3aRdSog0vUtuqPE8AJKD.png")</f>
        <v>https://storage.googleapis.com/glide-prod.appspot.com/uploads-v2/ly7o78grxPaC6KdgvbpS/pub/3aRdSog0vUtuqPE8AJKD.png</v>
      </c>
      <c r="U1137" s="5" t="str">
        <f ca="1">IFERROR(__xludf.DUMMYFUNCTION("""COMPUTED_VALUE"""),"EQUIPOS PARA SERVICIOS INDUSTRIALESTANQUE AIRE COMPRIMIDO 2")</f>
        <v>EQUIPOS PARA SERVICIOS INDUSTRIALESTANQUE AIRE COMPRIMIDO 2</v>
      </c>
      <c r="V1137" s="5"/>
      <c r="W1137" s="5" t="b">
        <f ca="1">IFERROR(__xludf.DUMMYFUNCTION("""COMPUTED_VALUE"""),TRUE)</f>
        <v>1</v>
      </c>
      <c r="X1137" s="5" t="str">
        <f ca="1">IFERROR(__xludf.DUMMYFUNCTION("""COMPUTED_VALUE"""),"wmazorra@postobon.com.co,aprmttoyu@postobon.com.co,aprmyu@postobon.com.co,wmora@postobon.com.co,efzapata@postobon.com.co")</f>
        <v>wmazorra@postobon.com.co,aprmttoyu@postobon.com.co,aprmyu@postobon.com.co,wmora@postobon.com.co,efzapata@postobon.com.co</v>
      </c>
      <c r="Y1137" s="5" t="str">
        <f ca="1">IFERROR(__xludf.DUMMYFUNCTION("""COMPUTED_VALUE"""),"wmazorra@postobon.com.co")</f>
        <v>wmazorra@postobon.com.co</v>
      </c>
      <c r="Z1137" s="5" t="str">
        <f ca="1">IFERROR(__xludf.DUMMYFUNCTION("""COMPUTED_VALUE"""),"1pJwycQVTp6dWp3strYwag")</f>
        <v>1pJwycQVTp6dWp3strYwag</v>
      </c>
      <c r="AA1137" s="5"/>
      <c r="AB1137" s="5"/>
      <c r="AC1137" s="5"/>
      <c r="AD1137" s="5">
        <f ca="1">IFERROR(__xludf.DUMMYFUNCTION("""COMPUTED_VALUE"""),65)</f>
        <v>65</v>
      </c>
      <c r="AE1137" s="5">
        <f ca="1">IFERROR(__xludf.DUMMYFUNCTION("""COMPUTED_VALUE"""),65)</f>
        <v>65</v>
      </c>
      <c r="AF1137" s="5" t="b">
        <f ca="1">IFERROR(__xludf.DUMMYFUNCTION("""COMPUTED_VALUE"""),FALSE)</f>
        <v>0</v>
      </c>
      <c r="AG1137" s="5" t="str">
        <f ca="1">IFERROR(__xludf.DUMMYFUNCTION("""COMPUTED_VALUE"""),"INSPECCIONES REALIZADAS")</f>
        <v>INSPECCIONES REALIZADAS</v>
      </c>
      <c r="AH1137" s="5"/>
    </row>
    <row r="1138" spans="1:34">
      <c r="A1138" s="5" t="str">
        <f ca="1">IFERROR(__xludf.DUMMYFUNCTION("""COMPUTED_VALUE"""),"EQUIPOS PARA SERVICIOS INDUSTRIALES JUGO")</f>
        <v>EQUIPOS PARA SERVICIOS INDUSTRIALES JUGO</v>
      </c>
      <c r="B1138" s="5">
        <f ca="1">IFERROR(__xludf.DUMMYFUNCTION("""COMPUTED_VALUE"""),69841402)</f>
        <v>69841402</v>
      </c>
      <c r="C1138" s="5" t="str">
        <f ca="1">IFERROR(__xludf.DUMMYFUNCTION("""COMPUTED_VALUE"""),"TANQUE ALMACENAMIENTO GLICOL JUGOS")</f>
        <v>TANQUE ALMACENAMIENTO GLICOL JUGOS</v>
      </c>
      <c r="D1138" s="5">
        <f ca="1">IFERROR(__xludf.DUMMYFUNCTION("""COMPUTED_VALUE"""),13247549)</f>
        <v>13247549</v>
      </c>
      <c r="E1138" s="5" t="str">
        <f ca="1">IFERROR(__xludf.DUMMYFUNCTION("""COMPUTED_VALUE"""),"INSPECCION SEMANAL TANQUE ALMACENAMIENTO")</f>
        <v>INSPECCION SEMANAL TANQUE ALMACENAMIENTO</v>
      </c>
      <c r="F1138" s="5" t="str">
        <f ca="1">IFERROR(__xludf.DUMMYFUNCTION("""COMPUTED_VALUE"""),"PLAN MTTO MEC TK GLICOL JUGO 69841402")</f>
        <v>PLAN MTTO MEC TK GLICOL JUGO 69841402</v>
      </c>
      <c r="G1138" s="5"/>
      <c r="H1138" s="5"/>
      <c r="I1138" s="5"/>
      <c r="J1138" s="5"/>
      <c r="K1138" s="5"/>
      <c r="L1138" s="18">
        <f ca="1">IFERROR(__xludf.DUMMYFUNCTION("""COMPUTED_VALUE"""),45325)</f>
        <v>45325</v>
      </c>
      <c r="M1138" s="18">
        <f ca="1">IFERROR(__xludf.DUMMYFUNCTION("""COMPUTED_VALUE"""),45325)</f>
        <v>45325</v>
      </c>
      <c r="N1138" s="5" t="str">
        <f ca="1">IFERROR(__xludf.DUMMYFUNCTION("""COMPUTED_VALUE"""),"Lopez Raul")</f>
        <v>Lopez Raul</v>
      </c>
      <c r="O1138" s="2">
        <f ca="1">IFERROR(__xludf.DUMMYFUNCTION("""COMPUTED_VALUE"""),0.1)</f>
        <v>0.1</v>
      </c>
      <c r="P1138" s="5"/>
      <c r="Q1138" s="5" t="str">
        <f ca="1">IFERROR(__xludf.DUMMYFUNCTION("""COMPUTED_VALUE"""),"YG4Ui69Ct9g")</f>
        <v>YG4Ui69Ct9g</v>
      </c>
      <c r="R1138" s="5">
        <f ca="1">IFERROR(__xludf.DUMMYFUNCTION("""COMPUTED_VALUE"""),410)</f>
        <v>410</v>
      </c>
      <c r="S1138" s="62">
        <f ca="1">IFERROR(__xludf.DUMMYFUNCTION("""COMPUTED_VALUE"""),0.1)</f>
        <v>0.1</v>
      </c>
      <c r="T1138" s="63" t="str">
        <f ca="1">IFERROR(__xludf.DUMMYFUNCTION("""COMPUTED_VALUE"""),"https://storage.googleapis.com/glide-prod.appspot.com/uploads-v2/ly7o78grxPaC6KdgvbpS/pub/UliJWgpEaBovaFmXi6OW.png")</f>
        <v>https://storage.googleapis.com/glide-prod.appspot.com/uploads-v2/ly7o78grxPaC6KdgvbpS/pub/UliJWgpEaBovaFmXi6OW.png</v>
      </c>
      <c r="U1138" s="5" t="str">
        <f ca="1">IFERROR(__xludf.DUMMYFUNCTION("""COMPUTED_VALUE"""),"EQUIPOS PARA SERVICIOS INDUSTRIALES JUGOTANQUE ALMACENAMIENTO GLICOL JUGOS")</f>
        <v>EQUIPOS PARA SERVICIOS INDUSTRIALES JUGOTANQUE ALMACENAMIENTO GLICOL JUGOS</v>
      </c>
      <c r="V1138" s="5"/>
      <c r="W1138" s="5"/>
      <c r="X1138" s="5" t="str">
        <f ca="1">IFERROR(__xludf.DUMMYFUNCTION("""COMPUTED_VALUE"""),"wmazorra@postobon.com.co,aprmttoyu@postobon.com.co,aprmyu@postobon.com.co,wmora@postobon.com.co,efzapata@postobon.com.co")</f>
        <v>wmazorra@postobon.com.co,aprmttoyu@postobon.com.co,aprmyu@postobon.com.co,wmora@postobon.com.co,efzapata@postobon.com.co</v>
      </c>
      <c r="Y1138" s="5" t="str">
        <f ca="1">IFERROR(__xludf.DUMMYFUNCTION("""COMPUTED_VALUE"""),"wmazorra@postobon.com.co")</f>
        <v>wmazorra@postobon.com.co</v>
      </c>
      <c r="Z1138" s="5" t="str">
        <f ca="1">IFERROR(__xludf.DUMMYFUNCTION("""COMPUTED_VALUE"""),"lANyXlA2TgqK8MGeAymebA")</f>
        <v>lANyXlA2TgqK8MGeAymebA</v>
      </c>
      <c r="AA1138" s="5"/>
      <c r="AB1138" s="5"/>
      <c r="AC1138" s="5"/>
      <c r="AD1138" s="5">
        <f ca="1">IFERROR(__xludf.DUMMYFUNCTION("""COMPUTED_VALUE"""),57)</f>
        <v>57</v>
      </c>
      <c r="AE1138" s="5">
        <f ca="1">IFERROR(__xludf.DUMMYFUNCTION("""COMPUTED_VALUE"""),0)</f>
        <v>0</v>
      </c>
      <c r="AF1138" s="5" t="b">
        <f ca="1">IFERROR(__xludf.DUMMYFUNCTION("""COMPUTED_VALUE"""),TRUE)</f>
        <v>1</v>
      </c>
      <c r="AG1138" s="5" t="str">
        <f ca="1">IFERROR(__xludf.DUMMYFUNCTION("""COMPUTED_VALUE"""),"INSPECCIONES SIN REALIZAR")</f>
        <v>INSPECCIONES SIN REALIZAR</v>
      </c>
      <c r="AH1138" s="5"/>
    </row>
    <row r="1139" spans="1:34">
      <c r="A1139" s="5" t="str">
        <f ca="1">IFERROR(__xludf.DUMMYFUNCTION("""COMPUTED_VALUE"""),"LINEA DE PRODUCCION DE BOTELLONES DE 20")</f>
        <v>LINEA DE PRODUCCION DE BOTELLONES DE 20</v>
      </c>
      <c r="B1139" s="5">
        <f ca="1">IFERROR(__xludf.DUMMYFUNCTION("""COMPUTED_VALUE"""),70948928)</f>
        <v>70948928</v>
      </c>
      <c r="C1139" s="5" t="str">
        <f ca="1">IFERROR(__xludf.DUMMYFUNCTION("""COMPUTED_VALUE"""),"TANQUE ALMACENAMIENTO DE AGUA")</f>
        <v>TANQUE ALMACENAMIENTO DE AGUA</v>
      </c>
      <c r="D1139" s="5">
        <f ca="1">IFERROR(__xludf.DUMMYFUNCTION("""COMPUTED_VALUE"""),13247689)</f>
        <v>13247689</v>
      </c>
      <c r="E1139" s="5" t="str">
        <f ca="1">IFERROR(__xludf.DUMMYFUNCTION("""COMPUTED_VALUE"""),"INSPECCION SEMANAL TANQUE ALMACENAMIENTO")</f>
        <v>INSPECCION SEMANAL TANQUE ALMACENAMIENTO</v>
      </c>
      <c r="F1139" s="5" t="str">
        <f ca="1">IFERROR(__xludf.DUMMYFUNCTION("""COMPUTED_VALUE"""),"PLAN MTTO MEC TK ALMACENAM AGUA 70948928")</f>
        <v>PLAN MTTO MEC TK ALMACENAM AGUA 70948928</v>
      </c>
      <c r="G1139" s="5" t="b">
        <f ca="1">IFERROR(__xludf.DUMMYFUNCTION("""COMPUTED_VALUE"""),TRUE)</f>
        <v>1</v>
      </c>
      <c r="H1139" s="5"/>
      <c r="I1139" s="5"/>
      <c r="J1139" s="5"/>
      <c r="K1139" s="5"/>
      <c r="L1139" s="18">
        <f ca="1">IFERROR(__xludf.DUMMYFUNCTION("""COMPUTED_VALUE"""),45324)</f>
        <v>45324</v>
      </c>
      <c r="M1139" s="18">
        <f ca="1">IFERROR(__xludf.DUMMYFUNCTION("""COMPUTED_VALUE"""),45324)</f>
        <v>45324</v>
      </c>
      <c r="N1139" s="5" t="str">
        <f ca="1">IFERROR(__xludf.DUMMYFUNCTION("""COMPUTED_VALUE"""),"Christian Camilo Ramirez Rendón")</f>
        <v>Christian Camilo Ramirez Rendón</v>
      </c>
      <c r="O1139" s="2">
        <f ca="1">IFERROR(__xludf.DUMMYFUNCTION("""COMPUTED_VALUE"""),0.1)</f>
        <v>0.1</v>
      </c>
      <c r="P1139" s="5"/>
      <c r="Q1139" s="5" t="str">
        <f ca="1">IFERROR(__xludf.DUMMYFUNCTION("""COMPUTED_VALUE"""),"d4nO05PWsXo")</f>
        <v>d4nO05PWsXo</v>
      </c>
      <c r="R1139" s="5">
        <f ca="1">IFERROR(__xludf.DUMMYFUNCTION("""COMPUTED_VALUE"""),410)</f>
        <v>410</v>
      </c>
      <c r="S1139" s="62">
        <f ca="1">IFERROR(__xludf.DUMMYFUNCTION("""COMPUTED_VALUE"""),0.1)</f>
        <v>0.1</v>
      </c>
      <c r="T1139" s="63" t="str">
        <f ca="1">IFERROR(__xludf.DUMMYFUNCTION("""COMPUTED_VALUE"""),"https://storage.googleapis.com/glide-prod.appspot.com/uploads-v2/ly7o78grxPaC6KdgvbpS/pub/3aRdSog0vUtuqPE8AJKD.png")</f>
        <v>https://storage.googleapis.com/glide-prod.appspot.com/uploads-v2/ly7o78grxPaC6KdgvbpS/pub/3aRdSog0vUtuqPE8AJKD.png</v>
      </c>
      <c r="U1139" s="5" t="str">
        <f ca="1">IFERROR(__xludf.DUMMYFUNCTION("""COMPUTED_VALUE"""),"LINEA DE PRODUCCION DE BOTELLONES DE 20TANQUE ALMACENAMIENTO DE AGUA")</f>
        <v>LINEA DE PRODUCCION DE BOTELLONES DE 20TANQUE ALMACENAMIENTO DE AGUA</v>
      </c>
      <c r="V1139" s="5"/>
      <c r="W1139" s="5" t="b">
        <f ca="1">IFERROR(__xludf.DUMMYFUNCTION("""COMPUTED_VALUE"""),TRUE)</f>
        <v>1</v>
      </c>
      <c r="X1139" s="5" t="str">
        <f ca="1">IFERROR(__xludf.DUMMYFUNCTION("""COMPUTED_VALUE"""),"achavezi@postobon.com.co,aprmttoyu@postobon.com.co,aprmyu@postobon.com.co,wmora@postobon.com.co,efzapata@postobon.com.co")</f>
        <v>achavezi@postobon.com.co,aprmttoyu@postobon.com.co,aprmyu@postobon.com.co,wmora@postobon.com.co,efzapata@postobon.com.co</v>
      </c>
      <c r="Y1139" s="5" t="str">
        <f ca="1">IFERROR(__xludf.DUMMYFUNCTION("""COMPUTED_VALUE"""),"achavezi@postobon.com.co")</f>
        <v>achavezi@postobon.com.co</v>
      </c>
      <c r="Z1139" s="5" t="str">
        <f ca="1">IFERROR(__xludf.DUMMYFUNCTION("""COMPUTED_VALUE"""),"EUoQERBNQ0G-f0gbc9K3ug")</f>
        <v>EUoQERBNQ0G-f0gbc9K3ug</v>
      </c>
      <c r="AA1139" s="5"/>
      <c r="AB1139" s="5"/>
      <c r="AC1139" s="5"/>
      <c r="AD1139" s="5">
        <f ca="1">IFERROR(__xludf.DUMMYFUNCTION("""COMPUTED_VALUE"""),67)</f>
        <v>67</v>
      </c>
      <c r="AE1139" s="5">
        <f ca="1">IFERROR(__xludf.DUMMYFUNCTION("""COMPUTED_VALUE"""),67)</f>
        <v>67</v>
      </c>
      <c r="AF1139" s="5" t="b">
        <f ca="1">IFERROR(__xludf.DUMMYFUNCTION("""COMPUTED_VALUE"""),FALSE)</f>
        <v>0</v>
      </c>
      <c r="AG1139" s="5" t="str">
        <f ca="1">IFERROR(__xludf.DUMMYFUNCTION("""COMPUTED_VALUE"""),"INSPECCIONES REALIZADAS")</f>
        <v>INSPECCIONES REALIZADAS</v>
      </c>
      <c r="AH1139" s="5"/>
    </row>
    <row r="1140" spans="1:34">
      <c r="A1140" s="5" t="str">
        <f ca="1">IFERROR(__xludf.DUMMYFUNCTION("""COMPUTED_VALUE"""),"EQUIPOS PARA SERVICIOS INDUSTRIALES JUGO")</f>
        <v>EQUIPOS PARA SERVICIOS INDUSTRIALES JUGO</v>
      </c>
      <c r="B1140" s="5">
        <f ca="1">IFERROR(__xludf.DUMMYFUNCTION("""COMPUTED_VALUE"""),69841401)</f>
        <v>69841401</v>
      </c>
      <c r="C1140" s="5" t="str">
        <f ca="1">IFERROR(__xludf.DUMMYFUNCTION("""COMPUTED_VALUE"""),"TANQUE ALMACENAMIENTO AGUA FRIA JUGOS")</f>
        <v>TANQUE ALMACENAMIENTO AGUA FRIA JUGOS</v>
      </c>
      <c r="D1140" s="5">
        <f ca="1">IFERROR(__xludf.DUMMYFUNCTION("""COMPUTED_VALUE"""),13247546)</f>
        <v>13247546</v>
      </c>
      <c r="E1140" s="5" t="str">
        <f ca="1">IFERROR(__xludf.DUMMYFUNCTION("""COMPUTED_VALUE"""),"INSPECCION SEMANAL TANQUE ALMACENAMIENTO")</f>
        <v>INSPECCION SEMANAL TANQUE ALMACENAMIENTO</v>
      </c>
      <c r="F1140" s="5" t="str">
        <f ca="1">IFERROR(__xludf.DUMMYFUNCTION("""COMPUTED_VALUE"""),"PLAN MTTO MEC TK AGUA FRIA JUG 69841401")</f>
        <v>PLAN MTTO MEC TK AGUA FRIA JUG 69841401</v>
      </c>
      <c r="G1140" s="5"/>
      <c r="H1140" s="5"/>
      <c r="I1140" s="5"/>
      <c r="J1140" s="5"/>
      <c r="K1140" s="5"/>
      <c r="L1140" s="18">
        <f ca="1">IFERROR(__xludf.DUMMYFUNCTION("""COMPUTED_VALUE"""),45324)</f>
        <v>45324</v>
      </c>
      <c r="M1140" s="18">
        <f ca="1">IFERROR(__xludf.DUMMYFUNCTION("""COMPUTED_VALUE"""),45324)</f>
        <v>45324</v>
      </c>
      <c r="N1140" s="5" t="str">
        <f ca="1">IFERROR(__xludf.DUMMYFUNCTION("""COMPUTED_VALUE"""),"Lopez Raul")</f>
        <v>Lopez Raul</v>
      </c>
      <c r="O1140" s="2">
        <f ca="1">IFERROR(__xludf.DUMMYFUNCTION("""COMPUTED_VALUE"""),0.1)</f>
        <v>0.1</v>
      </c>
      <c r="P1140" s="5"/>
      <c r="Q1140" s="5" t="str">
        <f ca="1">IFERROR(__xludf.DUMMYFUNCTION("""COMPUTED_VALUE"""),"7uxaqggIimA")</f>
        <v>7uxaqggIimA</v>
      </c>
      <c r="R1140" s="5">
        <f ca="1">IFERROR(__xludf.DUMMYFUNCTION("""COMPUTED_VALUE"""),410)</f>
        <v>410</v>
      </c>
      <c r="S1140" s="62">
        <f ca="1">IFERROR(__xludf.DUMMYFUNCTION("""COMPUTED_VALUE"""),0.1)</f>
        <v>0.1</v>
      </c>
      <c r="T1140" s="63" t="str">
        <f ca="1">IFERROR(__xludf.DUMMYFUNCTION("""COMPUTED_VALUE"""),"https://storage.googleapis.com/glide-prod.appspot.com/uploads-v2/ly7o78grxPaC6KdgvbpS/pub/UliJWgpEaBovaFmXi6OW.png")</f>
        <v>https://storage.googleapis.com/glide-prod.appspot.com/uploads-v2/ly7o78grxPaC6KdgvbpS/pub/UliJWgpEaBovaFmXi6OW.png</v>
      </c>
      <c r="U1140" s="5" t="str">
        <f ca="1">IFERROR(__xludf.DUMMYFUNCTION("""COMPUTED_VALUE"""),"EQUIPOS PARA SERVICIOS INDUSTRIALES JUGOTANQUE ALMACENAMIENTO AGUA FRIA JUGOS")</f>
        <v>EQUIPOS PARA SERVICIOS INDUSTRIALES JUGOTANQUE ALMACENAMIENTO AGUA FRIA JUGOS</v>
      </c>
      <c r="V1140" s="5"/>
      <c r="W1140" s="5"/>
      <c r="X1140" s="5" t="str">
        <f ca="1">IFERROR(__xludf.DUMMYFUNCTION("""COMPUTED_VALUE"""),"wmazorra@postobon.com.co,aprmttoyu@postobon.com.co,aprmyu@postobon.com.co,wmora@postobon.com.co,efzapata@postobon.com.co")</f>
        <v>wmazorra@postobon.com.co,aprmttoyu@postobon.com.co,aprmyu@postobon.com.co,wmora@postobon.com.co,efzapata@postobon.com.co</v>
      </c>
      <c r="Y1140" s="5" t="str">
        <f ca="1">IFERROR(__xludf.DUMMYFUNCTION("""COMPUTED_VALUE"""),"wmazorra@postobon.com.co")</f>
        <v>wmazorra@postobon.com.co</v>
      </c>
      <c r="Z1140" s="5" t="str">
        <f ca="1">IFERROR(__xludf.DUMMYFUNCTION("""COMPUTED_VALUE"""),"AWv0ZyflTVGtI24PZ145pA")</f>
        <v>AWv0ZyflTVGtI24PZ145pA</v>
      </c>
      <c r="AA1140" s="5"/>
      <c r="AB1140" s="5"/>
      <c r="AC1140" s="5"/>
      <c r="AD1140" s="5">
        <f ca="1">IFERROR(__xludf.DUMMYFUNCTION("""COMPUTED_VALUE"""),57)</f>
        <v>57</v>
      </c>
      <c r="AE1140" s="5">
        <f ca="1">IFERROR(__xludf.DUMMYFUNCTION("""COMPUTED_VALUE"""),0)</f>
        <v>0</v>
      </c>
      <c r="AF1140" s="5" t="b">
        <f ca="1">IFERROR(__xludf.DUMMYFUNCTION("""COMPUTED_VALUE"""),TRUE)</f>
        <v>1</v>
      </c>
      <c r="AG1140" s="5" t="str">
        <f ca="1">IFERROR(__xludf.DUMMYFUNCTION("""COMPUTED_VALUE"""),"INSPECCIONES SIN REALIZAR")</f>
        <v>INSPECCIONES SIN REALIZAR</v>
      </c>
      <c r="AH1140" s="5"/>
    </row>
    <row r="1141" spans="1:34">
      <c r="A1141" s="5" t="str">
        <f ca="1">IFERROR(__xludf.DUMMYFUNCTION("""COMPUTED_VALUE"""),"LINEA PARA EL LLENADO DE BOLSAS")</f>
        <v>LINEA PARA EL LLENADO DE BOLSAS</v>
      </c>
      <c r="B1141" s="5">
        <f ca="1">IFERROR(__xludf.DUMMYFUNCTION("""COMPUTED_VALUE"""),71960701)</f>
        <v>71960701</v>
      </c>
      <c r="C1141" s="5" t="str">
        <f ca="1">IFERROR(__xludf.DUMMYFUNCTION("""COMPUTED_VALUE"""),"TANQUE DE CONTACTO PARA BOLSA.")</f>
        <v>TANQUE DE CONTACTO PARA BOLSA.</v>
      </c>
      <c r="D1141" s="5">
        <f ca="1">IFERROR(__xludf.DUMMYFUNCTION("""COMPUTED_VALUE"""),13247718)</f>
        <v>13247718</v>
      </c>
      <c r="E1141" s="5" t="str">
        <f ca="1">IFERROR(__xludf.DUMMYFUNCTION("""COMPUTED_VALUE"""),"INSPECCION SEMANAL TANQUE CONTACTO BOLSA")</f>
        <v>INSPECCION SEMANAL TANQUE CONTACTO BOLSA</v>
      </c>
      <c r="F1141" s="5" t="str">
        <f ca="1">IFERROR(__xludf.DUMMYFUNCTION("""COMPUTED_VALUE"""),"REVISAR ESTADO TANQUE")</f>
        <v>REVISAR ESTADO TANQUE</v>
      </c>
      <c r="G1141" s="5" t="b">
        <f ca="1">IFERROR(__xludf.DUMMYFUNCTION("""COMPUTED_VALUE"""),TRUE)</f>
        <v>1</v>
      </c>
      <c r="H1141" s="5"/>
      <c r="I1141" s="5"/>
      <c r="J1141" s="5"/>
      <c r="K1141" s="5"/>
      <c r="L1141" s="18">
        <f ca="1">IFERROR(__xludf.DUMMYFUNCTION("""COMPUTED_VALUE"""),45325)</f>
        <v>45325</v>
      </c>
      <c r="M1141" s="18">
        <f ca="1">IFERROR(__xludf.DUMMYFUNCTION("""COMPUTED_VALUE"""),45325)</f>
        <v>45325</v>
      </c>
      <c r="N1141" s="5" t="str">
        <f ca="1">IFERROR(__xludf.DUMMYFUNCTION("""COMPUTED_VALUE"""),"Christian Camilo Ramirez Rendón")</f>
        <v>Christian Camilo Ramirez Rendón</v>
      </c>
      <c r="O1141" s="2">
        <f ca="1">IFERROR(__xludf.DUMMYFUNCTION("""COMPUTED_VALUE"""),0.033333333)</f>
        <v>3.3333333E-2</v>
      </c>
      <c r="P1141" s="5"/>
      <c r="Q1141" s="5" t="str">
        <f ca="1">IFERROR(__xludf.DUMMYFUNCTION("""COMPUTED_VALUE"""),"fT_b8pabPdE")</f>
        <v>fT_b8pabPdE</v>
      </c>
      <c r="R1141" s="5">
        <f ca="1">IFERROR(__xludf.DUMMYFUNCTION("""COMPUTED_VALUE"""),410)</f>
        <v>410</v>
      </c>
      <c r="S1141" s="62">
        <f ca="1">IFERROR(__xludf.DUMMYFUNCTION("""COMPUTED_VALUE"""),0.033333333)</f>
        <v>3.3333333E-2</v>
      </c>
      <c r="T1141" s="63" t="str">
        <f ca="1">IFERROR(__xludf.DUMMYFUNCTION("""COMPUTED_VALUE"""),"https://storage.googleapis.com/glide-prod.appspot.com/uploads-v2/ly7o78grxPaC6KdgvbpS/pub/3aRdSog0vUtuqPE8AJKD.png")</f>
        <v>https://storage.googleapis.com/glide-prod.appspot.com/uploads-v2/ly7o78grxPaC6KdgvbpS/pub/3aRdSog0vUtuqPE8AJKD.png</v>
      </c>
      <c r="U1141" s="5" t="str">
        <f ca="1">IFERROR(__xludf.DUMMYFUNCTION("""COMPUTED_VALUE"""),"LINEA PARA EL LLENADO DE BOLSASTANQUE DE CONTACTO PARA BOLSA.")</f>
        <v>LINEA PARA EL LLENADO DE BOLSASTANQUE DE CONTACTO PARA BOLSA.</v>
      </c>
      <c r="V1141" s="5"/>
      <c r="W1141" s="5" t="b">
        <f ca="1">IFERROR(__xludf.DUMMYFUNCTION("""COMPUTED_VALUE"""),TRUE)</f>
        <v>1</v>
      </c>
      <c r="X1141" s="5" t="str">
        <f ca="1">IFERROR(__xludf.DUMMYFUNCTION("""COMPUTED_VALUE"""),"achavezi@postobon.com.co,aprmttoyu@postobon.com.co,aprmyu@postobon.com.co,wmora@postobon.com.co,efzapata@postobon.com.co")</f>
        <v>achavezi@postobon.com.co,aprmttoyu@postobon.com.co,aprmyu@postobon.com.co,wmora@postobon.com.co,efzapata@postobon.com.co</v>
      </c>
      <c r="Y1141" s="5" t="str">
        <f ca="1">IFERROR(__xludf.DUMMYFUNCTION("""COMPUTED_VALUE"""),"achavezi@postobon.com.co")</f>
        <v>achavezi@postobon.com.co</v>
      </c>
      <c r="Z1141" s="5" t="str">
        <f ca="1">IFERROR(__xludf.DUMMYFUNCTION("""COMPUTED_VALUE"""),"51eXgxNfRhS71MriF-Ezhw")</f>
        <v>51eXgxNfRhS71MriF-Ezhw</v>
      </c>
      <c r="AA1141" s="5"/>
      <c r="AB1141" s="5"/>
      <c r="AC1141" s="5"/>
      <c r="AD1141" s="5">
        <f ca="1">IFERROR(__xludf.DUMMYFUNCTION("""COMPUTED_VALUE"""),67)</f>
        <v>67</v>
      </c>
      <c r="AE1141" s="5">
        <f ca="1">IFERROR(__xludf.DUMMYFUNCTION("""COMPUTED_VALUE"""),67)</f>
        <v>67</v>
      </c>
      <c r="AF1141" s="5" t="b">
        <f ca="1">IFERROR(__xludf.DUMMYFUNCTION("""COMPUTED_VALUE"""),FALSE)</f>
        <v>0</v>
      </c>
      <c r="AG1141" s="5" t="str">
        <f ca="1">IFERROR(__xludf.DUMMYFUNCTION("""COMPUTED_VALUE"""),"INSPECCIONES REALIZADAS")</f>
        <v>INSPECCIONES REALIZADAS</v>
      </c>
      <c r="AH1141" s="5" t="str">
        <f ca="1">IFERROR(__xludf.DUMMYFUNCTION("""COMPUTED_VALUE"""),"EN TRAMITE")</f>
        <v>EN TRAMITE</v>
      </c>
    </row>
    <row r="1142" spans="1:34">
      <c r="A1142" s="5" t="str">
        <f ca="1">IFERROR(__xludf.DUMMYFUNCTION("""COMPUTED_VALUE"""),"LINEA PARA EL LLENADO DE BOLSAS")</f>
        <v>LINEA PARA EL LLENADO DE BOLSAS</v>
      </c>
      <c r="B1142" s="5">
        <f ca="1">IFERROR(__xludf.DUMMYFUNCTION("""COMPUTED_VALUE"""),71960701)</f>
        <v>71960701</v>
      </c>
      <c r="C1142" s="5" t="str">
        <f ca="1">IFERROR(__xludf.DUMMYFUNCTION("""COMPUTED_VALUE"""),"TANQUE DE CONTACTO PARA BOLSA.")</f>
        <v>TANQUE DE CONTACTO PARA BOLSA.</v>
      </c>
      <c r="D1142" s="5">
        <f ca="1">IFERROR(__xludf.DUMMYFUNCTION("""COMPUTED_VALUE"""),13247718)</f>
        <v>13247718</v>
      </c>
      <c r="E1142" s="5" t="str">
        <f ca="1">IFERROR(__xludf.DUMMYFUNCTION("""COMPUTED_VALUE"""),"INSPECCION SEMANAL TANQUE CONTACTO BOLSA")</f>
        <v>INSPECCION SEMANAL TANQUE CONTACTO BOLSA</v>
      </c>
      <c r="F1142" s="5" t="str">
        <f ca="1">IFERROR(__xludf.DUMMYFUNCTION("""COMPUTED_VALUE"""),"VERIFICAR FUGAS TUBERIA")</f>
        <v>VERIFICAR FUGAS TUBERIA</v>
      </c>
      <c r="G1142" s="5" t="b">
        <f ca="1">IFERROR(__xludf.DUMMYFUNCTION("""COMPUTED_VALUE"""),TRUE)</f>
        <v>1</v>
      </c>
      <c r="H1142" s="5"/>
      <c r="I1142" s="5"/>
      <c r="J1142" s="5"/>
      <c r="K1142" s="5"/>
      <c r="L1142" s="18">
        <f ca="1">IFERROR(__xludf.DUMMYFUNCTION("""COMPUTED_VALUE"""),45325)</f>
        <v>45325</v>
      </c>
      <c r="M1142" s="18">
        <f ca="1">IFERROR(__xludf.DUMMYFUNCTION("""COMPUTED_VALUE"""),45325)</f>
        <v>45325</v>
      </c>
      <c r="N1142" s="5" t="str">
        <f ca="1">IFERROR(__xludf.DUMMYFUNCTION("""COMPUTED_VALUE"""),"Christian Camilo Ramirez Rendón")</f>
        <v>Christian Camilo Ramirez Rendón</v>
      </c>
      <c r="O1142" s="2">
        <f ca="1">IFERROR(__xludf.DUMMYFUNCTION("""COMPUTED_VALUE"""),0.033333333)</f>
        <v>3.3333333E-2</v>
      </c>
      <c r="P1142" s="5"/>
      <c r="Q1142" s="5" t="str">
        <f ca="1">IFERROR(__xludf.DUMMYFUNCTION("""COMPUTED_VALUE"""),"WR0n6G2e62I")</f>
        <v>WR0n6G2e62I</v>
      </c>
      <c r="R1142" s="5">
        <f ca="1">IFERROR(__xludf.DUMMYFUNCTION("""COMPUTED_VALUE"""),410)</f>
        <v>410</v>
      </c>
      <c r="S1142" s="62">
        <f ca="1">IFERROR(__xludf.DUMMYFUNCTION("""COMPUTED_VALUE"""),0.033333333)</f>
        <v>3.3333333E-2</v>
      </c>
      <c r="T1142" s="63" t="str">
        <f ca="1">IFERROR(__xludf.DUMMYFUNCTION("""COMPUTED_VALUE"""),"https://storage.googleapis.com/glide-prod.appspot.com/uploads-v2/ly7o78grxPaC6KdgvbpS/pub/3aRdSog0vUtuqPE8AJKD.png")</f>
        <v>https://storage.googleapis.com/glide-prod.appspot.com/uploads-v2/ly7o78grxPaC6KdgvbpS/pub/3aRdSog0vUtuqPE8AJKD.png</v>
      </c>
      <c r="U1142" s="5" t="str">
        <f ca="1">IFERROR(__xludf.DUMMYFUNCTION("""COMPUTED_VALUE"""),"LINEA PARA EL LLENADO DE BOLSASTANQUE DE CONTACTO PARA BOLSA.")</f>
        <v>LINEA PARA EL LLENADO DE BOLSASTANQUE DE CONTACTO PARA BOLSA.</v>
      </c>
      <c r="V1142" s="5"/>
      <c r="W1142" s="5" t="b">
        <f ca="1">IFERROR(__xludf.DUMMYFUNCTION("""COMPUTED_VALUE"""),TRUE)</f>
        <v>1</v>
      </c>
      <c r="X1142" s="5" t="str">
        <f ca="1">IFERROR(__xludf.DUMMYFUNCTION("""COMPUTED_VALUE"""),"achavezi@postobon.com.co,aprmttoyu@postobon.com.co,aprmyu@postobon.com.co,wmora@postobon.com.co,efzapata@postobon.com.co")</f>
        <v>achavezi@postobon.com.co,aprmttoyu@postobon.com.co,aprmyu@postobon.com.co,wmora@postobon.com.co,efzapata@postobon.com.co</v>
      </c>
      <c r="Y1142" s="5" t="str">
        <f ca="1">IFERROR(__xludf.DUMMYFUNCTION("""COMPUTED_VALUE"""),"achavezi@postobon.com.co")</f>
        <v>achavezi@postobon.com.co</v>
      </c>
      <c r="Z1142" s="5" t="str">
        <f ca="1">IFERROR(__xludf.DUMMYFUNCTION("""COMPUTED_VALUE"""),"M5BFRqqcS1WifTdWqZ-M9w")</f>
        <v>M5BFRqqcS1WifTdWqZ-M9w</v>
      </c>
      <c r="AA1142" s="5"/>
      <c r="AB1142" s="5"/>
      <c r="AC1142" s="5"/>
      <c r="AD1142" s="5">
        <f ca="1">IFERROR(__xludf.DUMMYFUNCTION("""COMPUTED_VALUE"""),67)</f>
        <v>67</v>
      </c>
      <c r="AE1142" s="5">
        <f ca="1">IFERROR(__xludf.DUMMYFUNCTION("""COMPUTED_VALUE"""),67)</f>
        <v>67</v>
      </c>
      <c r="AF1142" s="5" t="b">
        <f ca="1">IFERROR(__xludf.DUMMYFUNCTION("""COMPUTED_VALUE"""),FALSE)</f>
        <v>0</v>
      </c>
      <c r="AG1142" s="5" t="str">
        <f ca="1">IFERROR(__xludf.DUMMYFUNCTION("""COMPUTED_VALUE"""),"INSPECCIONES REALIZADAS")</f>
        <v>INSPECCIONES REALIZADAS</v>
      </c>
      <c r="AH1142" s="5"/>
    </row>
    <row r="1143" spans="1:34">
      <c r="A1143" s="5" t="str">
        <f ca="1">IFERROR(__xludf.DUMMYFUNCTION("""COMPUTED_VALUE"""),"LINEA PARA EL LLENADO DE BOLSAS")</f>
        <v>LINEA PARA EL LLENADO DE BOLSAS</v>
      </c>
      <c r="B1143" s="5">
        <f ca="1">IFERROR(__xludf.DUMMYFUNCTION("""COMPUTED_VALUE"""),71960701)</f>
        <v>71960701</v>
      </c>
      <c r="C1143" s="5" t="str">
        <f ca="1">IFERROR(__xludf.DUMMYFUNCTION("""COMPUTED_VALUE"""),"TANQUE DE CONTACTO PARA BOLSA.")</f>
        <v>TANQUE DE CONTACTO PARA BOLSA.</v>
      </c>
      <c r="D1143" s="5">
        <f ca="1">IFERROR(__xludf.DUMMYFUNCTION("""COMPUTED_VALUE"""),13247718)</f>
        <v>13247718</v>
      </c>
      <c r="E1143" s="5" t="str">
        <f ca="1">IFERROR(__xludf.DUMMYFUNCTION("""COMPUTED_VALUE"""),"INSPECCION SEMANAL TANQUE CONTACTO BOLSA")</f>
        <v>INSPECCION SEMANAL TANQUE CONTACTO BOLSA</v>
      </c>
      <c r="F1143" s="5" t="str">
        <f ca="1">IFERROR(__xludf.DUMMYFUNCTION("""COMPUTED_VALUE"""),"VERIFICAR FUNCIONAMIENTO BOMBA")</f>
        <v>VERIFICAR FUNCIONAMIENTO BOMBA</v>
      </c>
      <c r="G1143" s="5" t="b">
        <f ca="1">IFERROR(__xludf.DUMMYFUNCTION("""COMPUTED_VALUE"""),TRUE)</f>
        <v>1</v>
      </c>
      <c r="H1143" s="5"/>
      <c r="I1143" s="5"/>
      <c r="J1143" s="5"/>
      <c r="K1143" s="5"/>
      <c r="L1143" s="18">
        <f ca="1">IFERROR(__xludf.DUMMYFUNCTION("""COMPUTED_VALUE"""),45325)</f>
        <v>45325</v>
      </c>
      <c r="M1143" s="18">
        <f ca="1">IFERROR(__xludf.DUMMYFUNCTION("""COMPUTED_VALUE"""),45325)</f>
        <v>45325</v>
      </c>
      <c r="N1143" s="5" t="str">
        <f ca="1">IFERROR(__xludf.DUMMYFUNCTION("""COMPUTED_VALUE"""),"Christian Camilo Ramirez Rendón")</f>
        <v>Christian Camilo Ramirez Rendón</v>
      </c>
      <c r="O1143" s="2">
        <f ca="1">IFERROR(__xludf.DUMMYFUNCTION("""COMPUTED_VALUE"""),0.033333333)</f>
        <v>3.3333333E-2</v>
      </c>
      <c r="P1143" s="5"/>
      <c r="Q1143" s="5" t="str">
        <f ca="1">IFERROR(__xludf.DUMMYFUNCTION("""COMPUTED_VALUE"""),"g7SawI_d39w")</f>
        <v>g7SawI_d39w</v>
      </c>
      <c r="R1143" s="5">
        <f ca="1">IFERROR(__xludf.DUMMYFUNCTION("""COMPUTED_VALUE"""),410)</f>
        <v>410</v>
      </c>
      <c r="S1143" s="62">
        <f ca="1">IFERROR(__xludf.DUMMYFUNCTION("""COMPUTED_VALUE"""),0.033333333)</f>
        <v>3.3333333E-2</v>
      </c>
      <c r="T1143" s="63" t="str">
        <f ca="1">IFERROR(__xludf.DUMMYFUNCTION("""COMPUTED_VALUE"""),"https://storage.googleapis.com/glide-prod.appspot.com/uploads-v2/ly7o78grxPaC6KdgvbpS/pub/3aRdSog0vUtuqPE8AJKD.png")</f>
        <v>https://storage.googleapis.com/glide-prod.appspot.com/uploads-v2/ly7o78grxPaC6KdgvbpS/pub/3aRdSog0vUtuqPE8AJKD.png</v>
      </c>
      <c r="U1143" s="5" t="str">
        <f ca="1">IFERROR(__xludf.DUMMYFUNCTION("""COMPUTED_VALUE"""),"LINEA PARA EL LLENADO DE BOLSASTANQUE DE CONTACTO PARA BOLSA.")</f>
        <v>LINEA PARA EL LLENADO DE BOLSASTANQUE DE CONTACTO PARA BOLSA.</v>
      </c>
      <c r="V1143" s="5"/>
      <c r="W1143" s="5" t="b">
        <f ca="1">IFERROR(__xludf.DUMMYFUNCTION("""COMPUTED_VALUE"""),TRUE)</f>
        <v>1</v>
      </c>
      <c r="X1143" s="5" t="str">
        <f ca="1">IFERROR(__xludf.DUMMYFUNCTION("""COMPUTED_VALUE"""),"achavezi@postobon.com.co,aprmttoyu@postobon.com.co,aprmyu@postobon.com.co,wmora@postobon.com.co,efzapata@postobon.com.co")</f>
        <v>achavezi@postobon.com.co,aprmttoyu@postobon.com.co,aprmyu@postobon.com.co,wmora@postobon.com.co,efzapata@postobon.com.co</v>
      </c>
      <c r="Y1143" s="5" t="str">
        <f ca="1">IFERROR(__xludf.DUMMYFUNCTION("""COMPUTED_VALUE"""),"achavezi@postobon.com.co")</f>
        <v>achavezi@postobon.com.co</v>
      </c>
      <c r="Z1143" s="5" t="str">
        <f ca="1">IFERROR(__xludf.DUMMYFUNCTION("""COMPUTED_VALUE"""),"CRlai.I7Q5qBNIfvpe5VBg")</f>
        <v>CRlai.I7Q5qBNIfvpe5VBg</v>
      </c>
      <c r="AA1143" s="5"/>
      <c r="AB1143" s="5"/>
      <c r="AC1143" s="5"/>
      <c r="AD1143" s="5">
        <f ca="1">IFERROR(__xludf.DUMMYFUNCTION("""COMPUTED_VALUE"""),67)</f>
        <v>67</v>
      </c>
      <c r="AE1143" s="5">
        <f ca="1">IFERROR(__xludf.DUMMYFUNCTION("""COMPUTED_VALUE"""),67)</f>
        <v>67</v>
      </c>
      <c r="AF1143" s="5" t="b">
        <f ca="1">IFERROR(__xludf.DUMMYFUNCTION("""COMPUTED_VALUE"""),FALSE)</f>
        <v>0</v>
      </c>
      <c r="AG1143" s="5" t="str">
        <f ca="1">IFERROR(__xludf.DUMMYFUNCTION("""COMPUTED_VALUE"""),"INSPECCIONES REALIZADAS")</f>
        <v>INSPECCIONES REALIZADAS</v>
      </c>
      <c r="AH1143" s="5"/>
    </row>
    <row r="1144" spans="1:34">
      <c r="A1144" s="5" t="str">
        <f ca="1">IFERROR(__xludf.DUMMYFUNCTION("""COMPUTED_VALUE"""),"EQUIPOS PARA SERVICIOS INDUSTRIALES")</f>
        <v>EQUIPOS PARA SERVICIOS INDUSTRIALES</v>
      </c>
      <c r="B1144" s="5">
        <f ca="1">IFERROR(__xludf.DUMMYFUNCTION("""COMPUTED_VALUE"""),659632)</f>
        <v>659632</v>
      </c>
      <c r="C1144" s="5" t="str">
        <f ca="1">IFERROR(__xludf.DUMMYFUNCTION("""COMPUTED_VALUE"""),"TANQUE DE COMBUSTIBLE A.C.P.M.")</f>
        <v>TANQUE DE COMBUSTIBLE A.C.P.M.</v>
      </c>
      <c r="D1144" s="5">
        <f ca="1">IFERROR(__xludf.DUMMYFUNCTION("""COMPUTED_VALUE"""),13247522)</f>
        <v>13247522</v>
      </c>
      <c r="E1144" s="5" t="str">
        <f ca="1">IFERROR(__xludf.DUMMYFUNCTION("""COMPUTED_VALUE"""),"INSPECCION SEMANAL TANQUE DE COMBUSTIBLE")</f>
        <v>INSPECCION SEMANAL TANQUE DE COMBUSTIBLE</v>
      </c>
      <c r="F1144" s="5" t="str">
        <f ca="1">IFERROR(__xludf.DUMMYFUNCTION("""COMPUTED_VALUE"""),"ESTADO TANQUES")</f>
        <v>ESTADO TANQUES</v>
      </c>
      <c r="G1144" s="5" t="b">
        <f ca="1">IFERROR(__xludf.DUMMYFUNCTION("""COMPUTED_VALUE"""),TRUE)</f>
        <v>1</v>
      </c>
      <c r="H1144" s="5"/>
      <c r="I1144" s="5"/>
      <c r="J1144" s="5">
        <f ca="1">IFERROR(__xludf.DUMMYFUNCTION("""COMPUTED_VALUE"""),13247522)</f>
        <v>13247522</v>
      </c>
      <c r="K1144" s="5"/>
      <c r="L1144" s="18">
        <f ca="1">IFERROR(__xludf.DUMMYFUNCTION("""COMPUTED_VALUE"""),45324)</f>
        <v>45324</v>
      </c>
      <c r="M1144" s="18">
        <f ca="1">IFERROR(__xludf.DUMMYFUNCTION("""COMPUTED_VALUE"""),45324)</f>
        <v>45324</v>
      </c>
      <c r="N1144" s="5" t="str">
        <f ca="1">IFERROR(__xludf.DUMMYFUNCTION("""COMPUTED_VALUE"""),"Guzman Palechor Miguel Angel")</f>
        <v>Guzman Palechor Miguel Angel</v>
      </c>
      <c r="O1144" s="2">
        <f ca="1">IFERROR(__xludf.DUMMYFUNCTION("""COMPUTED_VALUE"""),0.0125)</f>
        <v>1.2500000000000001E-2</v>
      </c>
      <c r="P1144" s="5">
        <f ca="1">IFERROR(__xludf.DUMMYFUNCTION("""COMPUTED_VALUE"""),20009822)</f>
        <v>20009822</v>
      </c>
      <c r="Q1144" s="5" t="str">
        <f ca="1">IFERROR(__xludf.DUMMYFUNCTION("""COMPUTED_VALUE"""),"xX9C757n5As")</f>
        <v>xX9C757n5As</v>
      </c>
      <c r="R1144" s="5">
        <f ca="1">IFERROR(__xludf.DUMMYFUNCTION("""COMPUTED_VALUE"""),410)</f>
        <v>410</v>
      </c>
      <c r="S1144" s="62">
        <f ca="1">IFERROR(__xludf.DUMMYFUNCTION("""COMPUTED_VALUE"""),0.0125)</f>
        <v>1.2500000000000001E-2</v>
      </c>
      <c r="T1144" s="63" t="str">
        <f ca="1">IFERROR(__xludf.DUMMYFUNCTION("""COMPUTED_VALUE"""),"https://storage.googleapis.com/glide-prod.appspot.com/uploads-v2/ly7o78grxPaC6KdgvbpS/pub/3aRdSog0vUtuqPE8AJKD.png")</f>
        <v>https://storage.googleapis.com/glide-prod.appspot.com/uploads-v2/ly7o78grxPaC6KdgvbpS/pub/3aRdSog0vUtuqPE8AJKD.png</v>
      </c>
      <c r="U1144" s="5" t="str">
        <f ca="1">IFERROR(__xludf.DUMMYFUNCTION("""COMPUTED_VALUE"""),"EQUIPOS PARA SERVICIOS INDUSTRIALESTANQUE DE COMBUSTIBLE A.C.P.M.")</f>
        <v>EQUIPOS PARA SERVICIOS INDUSTRIALESTANQUE DE COMBUSTIBLE A.C.P.M.</v>
      </c>
      <c r="V1144" s="5"/>
      <c r="W1144" s="5" t="b">
        <f ca="1">IFERROR(__xludf.DUMMYFUNCTION("""COMPUTED_VALUE"""),TRUE)</f>
        <v>1</v>
      </c>
      <c r="X1144" s="5" t="str">
        <f ca="1">IFERROR(__xludf.DUMMYFUNCTION("""COMPUTED_VALUE"""),"wmazorra@postobon.com.co,aprmttoyu@postobon.com.co,aprmyu@postobon.com.co,wmora@postobon.com.co,efzapata@postobon.com.co")</f>
        <v>wmazorra@postobon.com.co,aprmttoyu@postobon.com.co,aprmyu@postobon.com.co,wmora@postobon.com.co,efzapata@postobon.com.co</v>
      </c>
      <c r="Y1144" s="5" t="str">
        <f ca="1">IFERROR(__xludf.DUMMYFUNCTION("""COMPUTED_VALUE"""),"wmazorra@postobon.com.co")</f>
        <v>wmazorra@postobon.com.co</v>
      </c>
      <c r="Z1144" s="5" t="str">
        <f ca="1">IFERROR(__xludf.DUMMYFUNCTION("""COMPUTED_VALUE"""),"a-zkeKHPdRPWIQQOhV6y5zg")</f>
        <v>a-zkeKHPdRPWIQQOhV6y5zg</v>
      </c>
      <c r="AA1144" s="5"/>
      <c r="AB1144" s="5"/>
      <c r="AC1144" s="5"/>
      <c r="AD1144" s="5">
        <f ca="1">IFERROR(__xludf.DUMMYFUNCTION("""COMPUTED_VALUE"""),34)</f>
        <v>34</v>
      </c>
      <c r="AE1144" s="5">
        <f ca="1">IFERROR(__xludf.DUMMYFUNCTION("""COMPUTED_VALUE"""),34)</f>
        <v>34</v>
      </c>
      <c r="AF1144" s="5" t="b">
        <f ca="1">IFERROR(__xludf.DUMMYFUNCTION("""COMPUTED_VALUE"""),FALSE)</f>
        <v>0</v>
      </c>
      <c r="AG1144" s="5" t="str">
        <f ca="1">IFERROR(__xludf.DUMMYFUNCTION("""COMPUTED_VALUE"""),"INSPECCIONES REALIZADAS")</f>
        <v>INSPECCIONES REALIZADAS</v>
      </c>
      <c r="AH1144" s="5"/>
    </row>
    <row r="1145" spans="1:34">
      <c r="A1145" s="5" t="str">
        <f ca="1">IFERROR(__xludf.DUMMYFUNCTION("""COMPUTED_VALUE"""),"EQUIPOS PARA SERVICIOS INDUSTRIALES")</f>
        <v>EQUIPOS PARA SERVICIOS INDUSTRIALES</v>
      </c>
      <c r="B1145" s="5">
        <f ca="1">IFERROR(__xludf.DUMMYFUNCTION("""COMPUTED_VALUE"""),659632)</f>
        <v>659632</v>
      </c>
      <c r="C1145" s="5" t="str">
        <f ca="1">IFERROR(__xludf.DUMMYFUNCTION("""COMPUTED_VALUE"""),"TANQUE DE COMBUSTIBLE A.C.P.M.")</f>
        <v>TANQUE DE COMBUSTIBLE A.C.P.M.</v>
      </c>
      <c r="D1145" s="5">
        <f ca="1">IFERROR(__xludf.DUMMYFUNCTION("""COMPUTED_VALUE"""),13247522)</f>
        <v>13247522</v>
      </c>
      <c r="E1145" s="5" t="str">
        <f ca="1">IFERROR(__xludf.DUMMYFUNCTION("""COMPUTED_VALUE"""),"INSPECCION SEMANAL TANQUE DE COMBUSTIBLE")</f>
        <v>INSPECCION SEMANAL TANQUE DE COMBUSTIBLE</v>
      </c>
      <c r="F1145" s="5" t="str">
        <f ca="1">IFERROR(__xludf.DUMMYFUNCTION("""COMPUTED_VALUE"""),"VISORES NIVEL")</f>
        <v>VISORES NIVEL</v>
      </c>
      <c r="G1145" s="5" t="b">
        <f ca="1">IFERROR(__xludf.DUMMYFUNCTION("""COMPUTED_VALUE"""),TRUE)</f>
        <v>1</v>
      </c>
      <c r="H1145" s="5"/>
      <c r="I1145" s="5"/>
      <c r="J1145" s="5">
        <f ca="1">IFERROR(__xludf.DUMMYFUNCTION("""COMPUTED_VALUE"""),13247522)</f>
        <v>13247522</v>
      </c>
      <c r="K1145" s="5"/>
      <c r="L1145" s="18">
        <f ca="1">IFERROR(__xludf.DUMMYFUNCTION("""COMPUTED_VALUE"""),45324)</f>
        <v>45324</v>
      </c>
      <c r="M1145" s="18">
        <f ca="1">IFERROR(__xludf.DUMMYFUNCTION("""COMPUTED_VALUE"""),45324)</f>
        <v>45324</v>
      </c>
      <c r="N1145" s="5" t="str">
        <f ca="1">IFERROR(__xludf.DUMMYFUNCTION("""COMPUTED_VALUE"""),"Guzman Palechor Miguel Angel")</f>
        <v>Guzman Palechor Miguel Angel</v>
      </c>
      <c r="O1145" s="2">
        <f ca="1">IFERROR(__xludf.DUMMYFUNCTION("""COMPUTED_VALUE"""),0.0125)</f>
        <v>1.2500000000000001E-2</v>
      </c>
      <c r="P1145" s="5">
        <f ca="1">IFERROR(__xludf.DUMMYFUNCTION("""COMPUTED_VALUE"""),20009822)</f>
        <v>20009822</v>
      </c>
      <c r="Q1145" s="5" t="str">
        <f ca="1">IFERROR(__xludf.DUMMYFUNCTION("""COMPUTED_VALUE"""),"gdQmU1zc-cQ")</f>
        <v>gdQmU1zc-cQ</v>
      </c>
      <c r="R1145" s="5">
        <f ca="1">IFERROR(__xludf.DUMMYFUNCTION("""COMPUTED_VALUE"""),410)</f>
        <v>410</v>
      </c>
      <c r="S1145" s="62">
        <f ca="1">IFERROR(__xludf.DUMMYFUNCTION("""COMPUTED_VALUE"""),0.0125)</f>
        <v>1.2500000000000001E-2</v>
      </c>
      <c r="T1145" s="63" t="str">
        <f ca="1">IFERROR(__xludf.DUMMYFUNCTION("""COMPUTED_VALUE"""),"https://storage.googleapis.com/glide-prod.appspot.com/uploads-v2/ly7o78grxPaC6KdgvbpS/pub/3aRdSog0vUtuqPE8AJKD.png")</f>
        <v>https://storage.googleapis.com/glide-prod.appspot.com/uploads-v2/ly7o78grxPaC6KdgvbpS/pub/3aRdSog0vUtuqPE8AJKD.png</v>
      </c>
      <c r="U1145" s="5" t="str">
        <f ca="1">IFERROR(__xludf.DUMMYFUNCTION("""COMPUTED_VALUE"""),"EQUIPOS PARA SERVICIOS INDUSTRIALESTANQUE DE COMBUSTIBLE A.C.P.M.")</f>
        <v>EQUIPOS PARA SERVICIOS INDUSTRIALESTANQUE DE COMBUSTIBLE A.C.P.M.</v>
      </c>
      <c r="V1145" s="5"/>
      <c r="W1145" s="5" t="b">
        <f ca="1">IFERROR(__xludf.DUMMYFUNCTION("""COMPUTED_VALUE"""),TRUE)</f>
        <v>1</v>
      </c>
      <c r="X1145" s="5" t="str">
        <f ca="1">IFERROR(__xludf.DUMMYFUNCTION("""COMPUTED_VALUE"""),"wmazorra@postobon.com.co,aprmttoyu@postobon.com.co,aprmyu@postobon.com.co,wmora@postobon.com.co,efzapata@postobon.com.co")</f>
        <v>wmazorra@postobon.com.co,aprmttoyu@postobon.com.co,aprmyu@postobon.com.co,wmora@postobon.com.co,efzapata@postobon.com.co</v>
      </c>
      <c r="Y1145" s="5" t="str">
        <f ca="1">IFERROR(__xludf.DUMMYFUNCTION("""COMPUTED_VALUE"""),"wmazorra@postobon.com.co")</f>
        <v>wmazorra@postobon.com.co</v>
      </c>
      <c r="Z1145" s="5" t="str">
        <f ca="1">IFERROR(__xludf.DUMMYFUNCTION("""COMPUTED_VALUE"""),"OJuauc5BSrKurmN0U34pqQ")</f>
        <v>OJuauc5BSrKurmN0U34pqQ</v>
      </c>
      <c r="AA1145" s="5"/>
      <c r="AB1145" s="5"/>
      <c r="AC1145" s="5"/>
      <c r="AD1145" s="5">
        <f ca="1">IFERROR(__xludf.DUMMYFUNCTION("""COMPUTED_VALUE"""),34)</f>
        <v>34</v>
      </c>
      <c r="AE1145" s="5">
        <f ca="1">IFERROR(__xludf.DUMMYFUNCTION("""COMPUTED_VALUE"""),34)</f>
        <v>34</v>
      </c>
      <c r="AF1145" s="5" t="b">
        <f ca="1">IFERROR(__xludf.DUMMYFUNCTION("""COMPUTED_VALUE"""),FALSE)</f>
        <v>0</v>
      </c>
      <c r="AG1145" s="5" t="str">
        <f ca="1">IFERROR(__xludf.DUMMYFUNCTION("""COMPUTED_VALUE"""),"INSPECCIONES REALIZADAS")</f>
        <v>INSPECCIONES REALIZADAS</v>
      </c>
      <c r="AH1145" s="5"/>
    </row>
    <row r="1146" spans="1:34">
      <c r="A1146" s="5" t="str">
        <f ca="1">IFERROR(__xludf.DUMMYFUNCTION("""COMPUTED_VALUE"""),"EQUIPOS PARA SERVICIOS INDUSTRIALES")</f>
        <v>EQUIPOS PARA SERVICIOS INDUSTRIALES</v>
      </c>
      <c r="B1146" s="5">
        <f ca="1">IFERROR(__xludf.DUMMYFUNCTION("""COMPUTED_VALUE"""),659632)</f>
        <v>659632</v>
      </c>
      <c r="C1146" s="5" t="str">
        <f ca="1">IFERROR(__xludf.DUMMYFUNCTION("""COMPUTED_VALUE"""),"TANQUE DE COMBUSTIBLE A.C.P.M.")</f>
        <v>TANQUE DE COMBUSTIBLE A.C.P.M.</v>
      </c>
      <c r="D1146" s="5">
        <f ca="1">IFERROR(__xludf.DUMMYFUNCTION("""COMPUTED_VALUE"""),13247522)</f>
        <v>13247522</v>
      </c>
      <c r="E1146" s="5" t="str">
        <f ca="1">IFERROR(__xludf.DUMMYFUNCTION("""COMPUTED_VALUE"""),"INSPECCION SEMANAL TANQUE DE COMBUSTIBLE")</f>
        <v>INSPECCION SEMANAL TANQUE DE COMBUSTIBLE</v>
      </c>
      <c r="F1146" s="5" t="str">
        <f ca="1">IFERROR(__xludf.DUMMYFUNCTION("""COMPUTED_VALUE"""),"FUNC. VALVULAS, TUBERIAS")</f>
        <v>FUNC. VALVULAS, TUBERIAS</v>
      </c>
      <c r="G1146" s="5" t="b">
        <f ca="1">IFERROR(__xludf.DUMMYFUNCTION("""COMPUTED_VALUE"""),TRUE)</f>
        <v>1</v>
      </c>
      <c r="H1146" s="5"/>
      <c r="I1146" s="5"/>
      <c r="J1146" s="5">
        <f ca="1">IFERROR(__xludf.DUMMYFUNCTION("""COMPUTED_VALUE"""),13247522)</f>
        <v>13247522</v>
      </c>
      <c r="K1146" s="5"/>
      <c r="L1146" s="18">
        <f ca="1">IFERROR(__xludf.DUMMYFUNCTION("""COMPUTED_VALUE"""),45324)</f>
        <v>45324</v>
      </c>
      <c r="M1146" s="18">
        <f ca="1">IFERROR(__xludf.DUMMYFUNCTION("""COMPUTED_VALUE"""),45324)</f>
        <v>45324</v>
      </c>
      <c r="N1146" s="5" t="str">
        <f ca="1">IFERROR(__xludf.DUMMYFUNCTION("""COMPUTED_VALUE"""),"Guzman Palechor Miguel Angel")</f>
        <v>Guzman Palechor Miguel Angel</v>
      </c>
      <c r="O1146" s="2">
        <f ca="1">IFERROR(__xludf.DUMMYFUNCTION("""COMPUTED_VALUE"""),0.0125)</f>
        <v>1.2500000000000001E-2</v>
      </c>
      <c r="P1146" s="5">
        <f ca="1">IFERROR(__xludf.DUMMYFUNCTION("""COMPUTED_VALUE"""),20009822)</f>
        <v>20009822</v>
      </c>
      <c r="Q1146" s="5" t="str">
        <f ca="1">IFERROR(__xludf.DUMMYFUNCTION("""COMPUTED_VALUE"""),"TZCkeYwmckQ")</f>
        <v>TZCkeYwmckQ</v>
      </c>
      <c r="R1146" s="5">
        <f ca="1">IFERROR(__xludf.DUMMYFUNCTION("""COMPUTED_VALUE"""),410)</f>
        <v>410</v>
      </c>
      <c r="S1146" s="62">
        <f ca="1">IFERROR(__xludf.DUMMYFUNCTION("""COMPUTED_VALUE"""),0.0125)</f>
        <v>1.2500000000000001E-2</v>
      </c>
      <c r="T1146" s="63" t="str">
        <f ca="1">IFERROR(__xludf.DUMMYFUNCTION("""COMPUTED_VALUE"""),"https://storage.googleapis.com/glide-prod.appspot.com/uploads-v2/ly7o78grxPaC6KdgvbpS/pub/3aRdSog0vUtuqPE8AJKD.png")</f>
        <v>https://storage.googleapis.com/glide-prod.appspot.com/uploads-v2/ly7o78grxPaC6KdgvbpS/pub/3aRdSog0vUtuqPE8AJKD.png</v>
      </c>
      <c r="U1146" s="5" t="str">
        <f ca="1">IFERROR(__xludf.DUMMYFUNCTION("""COMPUTED_VALUE"""),"EQUIPOS PARA SERVICIOS INDUSTRIALESTANQUE DE COMBUSTIBLE A.C.P.M.")</f>
        <v>EQUIPOS PARA SERVICIOS INDUSTRIALESTANQUE DE COMBUSTIBLE A.C.P.M.</v>
      </c>
      <c r="V1146" s="5"/>
      <c r="W1146" s="5" t="b">
        <f ca="1">IFERROR(__xludf.DUMMYFUNCTION("""COMPUTED_VALUE"""),TRUE)</f>
        <v>1</v>
      </c>
      <c r="X1146" s="5" t="str">
        <f ca="1">IFERROR(__xludf.DUMMYFUNCTION("""COMPUTED_VALUE"""),"wmazorra@postobon.com.co,aprmttoyu@postobon.com.co,aprmyu@postobon.com.co,wmora@postobon.com.co,efzapata@postobon.com.co")</f>
        <v>wmazorra@postobon.com.co,aprmttoyu@postobon.com.co,aprmyu@postobon.com.co,wmora@postobon.com.co,efzapata@postobon.com.co</v>
      </c>
      <c r="Y1146" s="5" t="str">
        <f ca="1">IFERROR(__xludf.DUMMYFUNCTION("""COMPUTED_VALUE"""),"wmazorra@postobon.com.co")</f>
        <v>wmazorra@postobon.com.co</v>
      </c>
      <c r="Z1146" s="5" t="str">
        <f ca="1">IFERROR(__xludf.DUMMYFUNCTION("""COMPUTED_VALUE"""),"DUQ90kSCT1KXKrwv3P5H0w")</f>
        <v>DUQ90kSCT1KXKrwv3P5H0w</v>
      </c>
      <c r="AA1146" s="5"/>
      <c r="AB1146" s="5"/>
      <c r="AC1146" s="5"/>
      <c r="AD1146" s="5">
        <f ca="1">IFERROR(__xludf.DUMMYFUNCTION("""COMPUTED_VALUE"""),34)</f>
        <v>34</v>
      </c>
      <c r="AE1146" s="5">
        <f ca="1">IFERROR(__xludf.DUMMYFUNCTION("""COMPUTED_VALUE"""),34)</f>
        <v>34</v>
      </c>
      <c r="AF1146" s="5" t="b">
        <f ca="1">IFERROR(__xludf.DUMMYFUNCTION("""COMPUTED_VALUE"""),FALSE)</f>
        <v>0</v>
      </c>
      <c r="AG1146" s="5" t="str">
        <f ca="1">IFERROR(__xludf.DUMMYFUNCTION("""COMPUTED_VALUE"""),"INSPECCIONES REALIZADAS")</f>
        <v>INSPECCIONES REALIZADAS</v>
      </c>
      <c r="AH1146" s="5"/>
    </row>
    <row r="1147" spans="1:34">
      <c r="A1147" s="5" t="str">
        <f ca="1">IFERROR(__xludf.DUMMYFUNCTION("""COMPUTED_VALUE"""),"EQUIPOS PARA SERVICIOS INDUSTRIALES")</f>
        <v>EQUIPOS PARA SERVICIOS INDUSTRIALES</v>
      </c>
      <c r="B1147" s="5">
        <f ca="1">IFERROR(__xludf.DUMMYFUNCTION("""COMPUTED_VALUE"""),659632)</f>
        <v>659632</v>
      </c>
      <c r="C1147" s="5" t="str">
        <f ca="1">IFERROR(__xludf.DUMMYFUNCTION("""COMPUTED_VALUE"""),"TANQUE DE COMBUSTIBLE A.C.P.M.")</f>
        <v>TANQUE DE COMBUSTIBLE A.C.P.M.</v>
      </c>
      <c r="D1147" s="5">
        <f ca="1">IFERROR(__xludf.DUMMYFUNCTION("""COMPUTED_VALUE"""),13247522)</f>
        <v>13247522</v>
      </c>
      <c r="E1147" s="5" t="str">
        <f ca="1">IFERROR(__xludf.DUMMYFUNCTION("""COMPUTED_VALUE"""),"INSPECCION SEMANAL TANQUE DE COMBUSTIBLE")</f>
        <v>INSPECCION SEMANAL TANQUE DE COMBUSTIBLE</v>
      </c>
      <c r="F1147" s="5" t="str">
        <f ca="1">IFERROR(__xludf.DUMMYFUNCTION("""COMPUTED_VALUE"""),"ESCAPE FLUIDOS (CO2,ACPM,SODA,AMONIACO)")</f>
        <v>ESCAPE FLUIDOS (CO2,ACPM,SODA,AMONIACO)</v>
      </c>
      <c r="G1147" s="5" t="b">
        <f ca="1">IFERROR(__xludf.DUMMYFUNCTION("""COMPUTED_VALUE"""),TRUE)</f>
        <v>1</v>
      </c>
      <c r="H1147" s="5"/>
      <c r="I1147" s="5"/>
      <c r="J1147" s="5">
        <f ca="1">IFERROR(__xludf.DUMMYFUNCTION("""COMPUTED_VALUE"""),13247522)</f>
        <v>13247522</v>
      </c>
      <c r="K1147" s="5"/>
      <c r="L1147" s="18">
        <f ca="1">IFERROR(__xludf.DUMMYFUNCTION("""COMPUTED_VALUE"""),45324)</f>
        <v>45324</v>
      </c>
      <c r="M1147" s="18">
        <f ca="1">IFERROR(__xludf.DUMMYFUNCTION("""COMPUTED_VALUE"""),45324)</f>
        <v>45324</v>
      </c>
      <c r="N1147" s="5" t="str">
        <f ca="1">IFERROR(__xludf.DUMMYFUNCTION("""COMPUTED_VALUE"""),"Guzman Palechor Miguel Angel")</f>
        <v>Guzman Palechor Miguel Angel</v>
      </c>
      <c r="O1147" s="2">
        <f ca="1">IFERROR(__xludf.DUMMYFUNCTION("""COMPUTED_VALUE"""),0.0125)</f>
        <v>1.2500000000000001E-2</v>
      </c>
      <c r="P1147" s="5">
        <f ca="1">IFERROR(__xludf.DUMMYFUNCTION("""COMPUTED_VALUE"""),20009822)</f>
        <v>20009822</v>
      </c>
      <c r="Q1147" s="5" t="str">
        <f ca="1">IFERROR(__xludf.DUMMYFUNCTION("""COMPUTED_VALUE"""),"96YIOIZd0_I")</f>
        <v>96YIOIZd0_I</v>
      </c>
      <c r="R1147" s="5">
        <f ca="1">IFERROR(__xludf.DUMMYFUNCTION("""COMPUTED_VALUE"""),410)</f>
        <v>410</v>
      </c>
      <c r="S1147" s="62">
        <f ca="1">IFERROR(__xludf.DUMMYFUNCTION("""COMPUTED_VALUE"""),0.0125)</f>
        <v>1.2500000000000001E-2</v>
      </c>
      <c r="T1147" s="63" t="str">
        <f ca="1">IFERROR(__xludf.DUMMYFUNCTION("""COMPUTED_VALUE"""),"https://storage.googleapis.com/glide-prod.appspot.com/uploads-v2/ly7o78grxPaC6KdgvbpS/pub/3aRdSog0vUtuqPE8AJKD.png")</f>
        <v>https://storage.googleapis.com/glide-prod.appspot.com/uploads-v2/ly7o78grxPaC6KdgvbpS/pub/3aRdSog0vUtuqPE8AJKD.png</v>
      </c>
      <c r="U1147" s="5" t="str">
        <f ca="1">IFERROR(__xludf.DUMMYFUNCTION("""COMPUTED_VALUE"""),"EQUIPOS PARA SERVICIOS INDUSTRIALESTANQUE DE COMBUSTIBLE A.C.P.M.")</f>
        <v>EQUIPOS PARA SERVICIOS INDUSTRIALESTANQUE DE COMBUSTIBLE A.C.P.M.</v>
      </c>
      <c r="V1147" s="5"/>
      <c r="W1147" s="5" t="b">
        <f ca="1">IFERROR(__xludf.DUMMYFUNCTION("""COMPUTED_VALUE"""),TRUE)</f>
        <v>1</v>
      </c>
      <c r="X1147" s="5" t="str">
        <f ca="1">IFERROR(__xludf.DUMMYFUNCTION("""COMPUTED_VALUE"""),"wmazorra@postobon.com.co,aprmttoyu@postobon.com.co,aprmyu@postobon.com.co,wmora@postobon.com.co,efzapata@postobon.com.co")</f>
        <v>wmazorra@postobon.com.co,aprmttoyu@postobon.com.co,aprmyu@postobon.com.co,wmora@postobon.com.co,efzapata@postobon.com.co</v>
      </c>
      <c r="Y1147" s="5" t="str">
        <f ca="1">IFERROR(__xludf.DUMMYFUNCTION("""COMPUTED_VALUE"""),"wmazorra@postobon.com.co")</f>
        <v>wmazorra@postobon.com.co</v>
      </c>
      <c r="Z1147" s="5" t="str">
        <f ca="1">IFERROR(__xludf.DUMMYFUNCTION("""COMPUTED_VALUE"""),"lUmDO6knQKWosDxItCGp7Q")</f>
        <v>lUmDO6knQKWosDxItCGp7Q</v>
      </c>
      <c r="AA1147" s="5"/>
      <c r="AB1147" s="5"/>
      <c r="AC1147" s="5"/>
      <c r="AD1147" s="5">
        <f ca="1">IFERROR(__xludf.DUMMYFUNCTION("""COMPUTED_VALUE"""),34)</f>
        <v>34</v>
      </c>
      <c r="AE1147" s="5">
        <f ca="1">IFERROR(__xludf.DUMMYFUNCTION("""COMPUTED_VALUE"""),34)</f>
        <v>34</v>
      </c>
      <c r="AF1147" s="5" t="b">
        <f ca="1">IFERROR(__xludf.DUMMYFUNCTION("""COMPUTED_VALUE"""),FALSE)</f>
        <v>0</v>
      </c>
      <c r="AG1147" s="5" t="str">
        <f ca="1">IFERROR(__xludf.DUMMYFUNCTION("""COMPUTED_VALUE"""),"INSPECCIONES REALIZADAS")</f>
        <v>INSPECCIONES REALIZADAS</v>
      </c>
      <c r="AH1147" s="5"/>
    </row>
    <row r="1148" spans="1:34">
      <c r="A1148" s="5" t="str">
        <f ca="1">IFERROR(__xludf.DUMMYFUNCTION("""COMPUTED_VALUE"""),"EQUIPOS PARA SERVICIOS INDUSTRIALES")</f>
        <v>EQUIPOS PARA SERVICIOS INDUSTRIALES</v>
      </c>
      <c r="B1148" s="5">
        <f ca="1">IFERROR(__xludf.DUMMYFUNCTION("""COMPUTED_VALUE"""),659632)</f>
        <v>659632</v>
      </c>
      <c r="C1148" s="5" t="str">
        <f ca="1">IFERROR(__xludf.DUMMYFUNCTION("""COMPUTED_VALUE"""),"TANQUE DE COMBUSTIBLE A.C.P.M.")</f>
        <v>TANQUE DE COMBUSTIBLE A.C.P.M.</v>
      </c>
      <c r="D1148" s="5">
        <f ca="1">IFERROR(__xludf.DUMMYFUNCTION("""COMPUTED_VALUE"""),13247522)</f>
        <v>13247522</v>
      </c>
      <c r="E1148" s="5" t="str">
        <f ca="1">IFERROR(__xludf.DUMMYFUNCTION("""COMPUTED_VALUE"""),"INSPECCION SEMANAL TANQUE DE COMBUSTIBLE")</f>
        <v>INSPECCION SEMANAL TANQUE DE COMBUSTIBLE</v>
      </c>
      <c r="F1148" s="5" t="str">
        <f ca="1">IFERROR(__xludf.DUMMYFUNCTION("""COMPUTED_VALUE"""),"FUNC. MOTOBOM TANQUE(SODA,ACPM)")</f>
        <v>FUNC. MOTOBOM TANQUE(SODA,ACPM)</v>
      </c>
      <c r="G1148" s="5" t="b">
        <f ca="1">IFERROR(__xludf.DUMMYFUNCTION("""COMPUTED_VALUE"""),TRUE)</f>
        <v>1</v>
      </c>
      <c r="H1148" s="5"/>
      <c r="I1148" s="5"/>
      <c r="J1148" s="5">
        <f ca="1">IFERROR(__xludf.DUMMYFUNCTION("""COMPUTED_VALUE"""),13247522)</f>
        <v>13247522</v>
      </c>
      <c r="K1148" s="5"/>
      <c r="L1148" s="18">
        <f ca="1">IFERROR(__xludf.DUMMYFUNCTION("""COMPUTED_VALUE"""),45324)</f>
        <v>45324</v>
      </c>
      <c r="M1148" s="18">
        <f ca="1">IFERROR(__xludf.DUMMYFUNCTION("""COMPUTED_VALUE"""),45324)</f>
        <v>45324</v>
      </c>
      <c r="N1148" s="5" t="str">
        <f ca="1">IFERROR(__xludf.DUMMYFUNCTION("""COMPUTED_VALUE"""),"Guzman Palechor Miguel Angel")</f>
        <v>Guzman Palechor Miguel Angel</v>
      </c>
      <c r="O1148" s="2">
        <f ca="1">IFERROR(__xludf.DUMMYFUNCTION("""COMPUTED_VALUE"""),0.0125)</f>
        <v>1.2500000000000001E-2</v>
      </c>
      <c r="P1148" s="5">
        <f ca="1">IFERROR(__xludf.DUMMYFUNCTION("""COMPUTED_VALUE"""),20009822)</f>
        <v>20009822</v>
      </c>
      <c r="Q1148" s="5" t="str">
        <f ca="1">IFERROR(__xludf.DUMMYFUNCTION("""COMPUTED_VALUE"""),"KUmqJTy-aq8")</f>
        <v>KUmqJTy-aq8</v>
      </c>
      <c r="R1148" s="5">
        <f ca="1">IFERROR(__xludf.DUMMYFUNCTION("""COMPUTED_VALUE"""),410)</f>
        <v>410</v>
      </c>
      <c r="S1148" s="62">
        <f ca="1">IFERROR(__xludf.DUMMYFUNCTION("""COMPUTED_VALUE"""),0.0125)</f>
        <v>1.2500000000000001E-2</v>
      </c>
      <c r="T1148" s="63" t="str">
        <f ca="1">IFERROR(__xludf.DUMMYFUNCTION("""COMPUTED_VALUE"""),"https://storage.googleapis.com/glide-prod.appspot.com/uploads-v2/ly7o78grxPaC6KdgvbpS/pub/3aRdSog0vUtuqPE8AJKD.png")</f>
        <v>https://storage.googleapis.com/glide-prod.appspot.com/uploads-v2/ly7o78grxPaC6KdgvbpS/pub/3aRdSog0vUtuqPE8AJKD.png</v>
      </c>
      <c r="U1148" s="5" t="str">
        <f ca="1">IFERROR(__xludf.DUMMYFUNCTION("""COMPUTED_VALUE"""),"EQUIPOS PARA SERVICIOS INDUSTRIALESTANQUE DE COMBUSTIBLE A.C.P.M.")</f>
        <v>EQUIPOS PARA SERVICIOS INDUSTRIALESTANQUE DE COMBUSTIBLE A.C.P.M.</v>
      </c>
      <c r="V1148" s="5"/>
      <c r="W1148" s="5" t="b">
        <f ca="1">IFERROR(__xludf.DUMMYFUNCTION("""COMPUTED_VALUE"""),TRUE)</f>
        <v>1</v>
      </c>
      <c r="X1148" s="5" t="str">
        <f ca="1">IFERROR(__xludf.DUMMYFUNCTION("""COMPUTED_VALUE"""),"wmazorra@postobon.com.co,aprmttoyu@postobon.com.co,aprmyu@postobon.com.co,wmora@postobon.com.co,efzapata@postobon.com.co")</f>
        <v>wmazorra@postobon.com.co,aprmttoyu@postobon.com.co,aprmyu@postobon.com.co,wmora@postobon.com.co,efzapata@postobon.com.co</v>
      </c>
      <c r="Y1148" s="5" t="str">
        <f ca="1">IFERROR(__xludf.DUMMYFUNCTION("""COMPUTED_VALUE"""),"wmazorra@postobon.com.co")</f>
        <v>wmazorra@postobon.com.co</v>
      </c>
      <c r="Z1148" s="5" t="str">
        <f ca="1">IFERROR(__xludf.DUMMYFUNCTION("""COMPUTED_VALUE"""),"cNS9Sw3xSemPE3v9CjQ5lQ")</f>
        <v>cNS9Sw3xSemPE3v9CjQ5lQ</v>
      </c>
      <c r="AA1148" s="5"/>
      <c r="AB1148" s="5"/>
      <c r="AC1148" s="5"/>
      <c r="AD1148" s="5">
        <f ca="1">IFERROR(__xludf.DUMMYFUNCTION("""COMPUTED_VALUE"""),34)</f>
        <v>34</v>
      </c>
      <c r="AE1148" s="5">
        <f ca="1">IFERROR(__xludf.DUMMYFUNCTION("""COMPUTED_VALUE"""),34)</f>
        <v>34</v>
      </c>
      <c r="AF1148" s="5" t="b">
        <f ca="1">IFERROR(__xludf.DUMMYFUNCTION("""COMPUTED_VALUE"""),FALSE)</f>
        <v>0</v>
      </c>
      <c r="AG1148" s="5" t="str">
        <f ca="1">IFERROR(__xludf.DUMMYFUNCTION("""COMPUTED_VALUE"""),"INSPECCIONES REALIZADAS")</f>
        <v>INSPECCIONES REALIZADAS</v>
      </c>
      <c r="AH1148" s="5"/>
    </row>
    <row r="1149" spans="1:34">
      <c r="A1149" s="5" t="str">
        <f ca="1">IFERROR(__xludf.DUMMYFUNCTION("""COMPUTED_VALUE"""),"EQUIPOS PARA SERVICIOS INDUSTRIALES")</f>
        <v>EQUIPOS PARA SERVICIOS INDUSTRIALES</v>
      </c>
      <c r="B1149" s="5">
        <f ca="1">IFERROR(__xludf.DUMMYFUNCTION("""COMPUTED_VALUE"""),659632)</f>
        <v>659632</v>
      </c>
      <c r="C1149" s="5" t="str">
        <f ca="1">IFERROR(__xludf.DUMMYFUNCTION("""COMPUTED_VALUE"""),"TANQUE DE COMBUSTIBLE A.C.P.M.")</f>
        <v>TANQUE DE COMBUSTIBLE A.C.P.M.</v>
      </c>
      <c r="D1149" s="5">
        <f ca="1">IFERROR(__xludf.DUMMYFUNCTION("""COMPUTED_VALUE"""),13247522)</f>
        <v>13247522</v>
      </c>
      <c r="E1149" s="5" t="str">
        <f ca="1">IFERROR(__xludf.DUMMYFUNCTION("""COMPUTED_VALUE"""),"INSPECCION SEMANAL TANQUE DE COMBUSTIBLE")</f>
        <v>INSPECCION SEMANAL TANQUE DE COMBUSTIBLE</v>
      </c>
      <c r="F1149" s="5" t="str">
        <f ca="1">IFERROR(__xludf.DUMMYFUNCTION("""COMPUTED_VALUE"""),"INSTRUMENTOS MEDICION")</f>
        <v>INSTRUMENTOS MEDICION</v>
      </c>
      <c r="G1149" s="5" t="b">
        <f ca="1">IFERROR(__xludf.DUMMYFUNCTION("""COMPUTED_VALUE"""),TRUE)</f>
        <v>1</v>
      </c>
      <c r="H1149" s="5"/>
      <c r="I1149" s="5"/>
      <c r="J1149" s="5">
        <f ca="1">IFERROR(__xludf.DUMMYFUNCTION("""COMPUTED_VALUE"""),13247522)</f>
        <v>13247522</v>
      </c>
      <c r="K1149" s="5"/>
      <c r="L1149" s="18">
        <f ca="1">IFERROR(__xludf.DUMMYFUNCTION("""COMPUTED_VALUE"""),45324)</f>
        <v>45324</v>
      </c>
      <c r="M1149" s="18">
        <f ca="1">IFERROR(__xludf.DUMMYFUNCTION("""COMPUTED_VALUE"""),45324)</f>
        <v>45324</v>
      </c>
      <c r="N1149" s="5" t="str">
        <f ca="1">IFERROR(__xludf.DUMMYFUNCTION("""COMPUTED_VALUE"""),"Guzman Palechor Miguel Angel")</f>
        <v>Guzman Palechor Miguel Angel</v>
      </c>
      <c r="O1149" s="2">
        <f ca="1">IFERROR(__xludf.DUMMYFUNCTION("""COMPUTED_VALUE"""),0.0125)</f>
        <v>1.2500000000000001E-2</v>
      </c>
      <c r="P1149" s="5">
        <f ca="1">IFERROR(__xludf.DUMMYFUNCTION("""COMPUTED_VALUE"""),20009822)</f>
        <v>20009822</v>
      </c>
      <c r="Q1149" s="5" t="str">
        <f ca="1">IFERROR(__xludf.DUMMYFUNCTION("""COMPUTED_VALUE"""),"m4LqBUWlV00")</f>
        <v>m4LqBUWlV00</v>
      </c>
      <c r="R1149" s="5">
        <f ca="1">IFERROR(__xludf.DUMMYFUNCTION("""COMPUTED_VALUE"""),410)</f>
        <v>410</v>
      </c>
      <c r="S1149" s="62">
        <f ca="1">IFERROR(__xludf.DUMMYFUNCTION("""COMPUTED_VALUE"""),0.0125)</f>
        <v>1.2500000000000001E-2</v>
      </c>
      <c r="T1149" s="63" t="str">
        <f ca="1">IFERROR(__xludf.DUMMYFUNCTION("""COMPUTED_VALUE"""),"https://storage.googleapis.com/glide-prod.appspot.com/uploads-v2/ly7o78grxPaC6KdgvbpS/pub/3aRdSog0vUtuqPE8AJKD.png")</f>
        <v>https://storage.googleapis.com/glide-prod.appspot.com/uploads-v2/ly7o78grxPaC6KdgvbpS/pub/3aRdSog0vUtuqPE8AJKD.png</v>
      </c>
      <c r="U1149" s="5" t="str">
        <f ca="1">IFERROR(__xludf.DUMMYFUNCTION("""COMPUTED_VALUE"""),"EQUIPOS PARA SERVICIOS INDUSTRIALESTANQUE DE COMBUSTIBLE A.C.P.M.")</f>
        <v>EQUIPOS PARA SERVICIOS INDUSTRIALESTANQUE DE COMBUSTIBLE A.C.P.M.</v>
      </c>
      <c r="V1149" s="5"/>
      <c r="W1149" s="5" t="b">
        <f ca="1">IFERROR(__xludf.DUMMYFUNCTION("""COMPUTED_VALUE"""),TRUE)</f>
        <v>1</v>
      </c>
      <c r="X1149" s="5" t="str">
        <f ca="1">IFERROR(__xludf.DUMMYFUNCTION("""COMPUTED_VALUE"""),"wmazorra@postobon.com.co,aprmttoyu@postobon.com.co,aprmyu@postobon.com.co,wmora@postobon.com.co,efzapata@postobon.com.co")</f>
        <v>wmazorra@postobon.com.co,aprmttoyu@postobon.com.co,aprmyu@postobon.com.co,wmora@postobon.com.co,efzapata@postobon.com.co</v>
      </c>
      <c r="Y1149" s="5" t="str">
        <f ca="1">IFERROR(__xludf.DUMMYFUNCTION("""COMPUTED_VALUE"""),"wmazorra@postobon.com.co")</f>
        <v>wmazorra@postobon.com.co</v>
      </c>
      <c r="Z1149" s="5" t="str">
        <f ca="1">IFERROR(__xludf.DUMMYFUNCTION("""COMPUTED_VALUE"""),"u8ObkFbpT6OL1RPnax9aUA")</f>
        <v>u8ObkFbpT6OL1RPnax9aUA</v>
      </c>
      <c r="AA1149" s="5"/>
      <c r="AB1149" s="5"/>
      <c r="AC1149" s="5"/>
      <c r="AD1149" s="5">
        <f ca="1">IFERROR(__xludf.DUMMYFUNCTION("""COMPUTED_VALUE"""),34)</f>
        <v>34</v>
      </c>
      <c r="AE1149" s="5">
        <f ca="1">IFERROR(__xludf.DUMMYFUNCTION("""COMPUTED_VALUE"""),34)</f>
        <v>34</v>
      </c>
      <c r="AF1149" s="5" t="b">
        <f ca="1">IFERROR(__xludf.DUMMYFUNCTION("""COMPUTED_VALUE"""),FALSE)</f>
        <v>0</v>
      </c>
      <c r="AG1149" s="5" t="str">
        <f ca="1">IFERROR(__xludf.DUMMYFUNCTION("""COMPUTED_VALUE"""),"INSPECCIONES REALIZADAS")</f>
        <v>INSPECCIONES REALIZADAS</v>
      </c>
      <c r="AH1149" s="5"/>
    </row>
    <row r="1150" spans="1:34">
      <c r="A1150" s="5" t="str">
        <f ca="1">IFERROR(__xludf.DUMMYFUNCTION("""COMPUTED_VALUE"""),"EQUIPOS PARA SERVICIOS INDUSTRIALES")</f>
        <v>EQUIPOS PARA SERVICIOS INDUSTRIALES</v>
      </c>
      <c r="B1150" s="5">
        <f ca="1">IFERROR(__xludf.DUMMYFUNCTION("""COMPUTED_VALUE"""),659632)</f>
        <v>659632</v>
      </c>
      <c r="C1150" s="5" t="str">
        <f ca="1">IFERROR(__xludf.DUMMYFUNCTION("""COMPUTED_VALUE"""),"TANQUE DE COMBUSTIBLE A.C.P.M.")</f>
        <v>TANQUE DE COMBUSTIBLE A.C.P.M.</v>
      </c>
      <c r="D1150" s="5">
        <f ca="1">IFERROR(__xludf.DUMMYFUNCTION("""COMPUTED_VALUE"""),13247522)</f>
        <v>13247522</v>
      </c>
      <c r="E1150" s="5" t="str">
        <f ca="1">IFERROR(__xludf.DUMMYFUNCTION("""COMPUTED_VALUE"""),"INSPECCION SEMANAL TANQUE DE COMBUSTIBLE")</f>
        <v>INSPECCION SEMANAL TANQUE DE COMBUSTIBLE</v>
      </c>
      <c r="F1150" s="5" t="str">
        <f ca="1">IFERROR(__xludf.DUMMYFUNCTION("""COMPUTED_VALUE"""),"ESTADO GRAL PINTURA")</f>
        <v>ESTADO GRAL PINTURA</v>
      </c>
      <c r="G1150" s="5" t="b">
        <f ca="1">IFERROR(__xludf.DUMMYFUNCTION("""COMPUTED_VALUE"""),TRUE)</f>
        <v>1</v>
      </c>
      <c r="H1150" s="5"/>
      <c r="I1150" s="5"/>
      <c r="J1150" s="5">
        <f ca="1">IFERROR(__xludf.DUMMYFUNCTION("""COMPUTED_VALUE"""),13247522)</f>
        <v>13247522</v>
      </c>
      <c r="K1150" s="5"/>
      <c r="L1150" s="18">
        <f ca="1">IFERROR(__xludf.DUMMYFUNCTION("""COMPUTED_VALUE"""),45324)</f>
        <v>45324</v>
      </c>
      <c r="M1150" s="18">
        <f ca="1">IFERROR(__xludf.DUMMYFUNCTION("""COMPUTED_VALUE"""),45324)</f>
        <v>45324</v>
      </c>
      <c r="N1150" s="5" t="str">
        <f ca="1">IFERROR(__xludf.DUMMYFUNCTION("""COMPUTED_VALUE"""),"Guzman Palechor Miguel Angel")</f>
        <v>Guzman Palechor Miguel Angel</v>
      </c>
      <c r="O1150" s="2">
        <f ca="1">IFERROR(__xludf.DUMMYFUNCTION("""COMPUTED_VALUE"""),0.0125)</f>
        <v>1.2500000000000001E-2</v>
      </c>
      <c r="P1150" s="5">
        <f ca="1">IFERROR(__xludf.DUMMYFUNCTION("""COMPUTED_VALUE"""),20009822)</f>
        <v>20009822</v>
      </c>
      <c r="Q1150" s="5" t="str">
        <f ca="1">IFERROR(__xludf.DUMMYFUNCTION("""COMPUTED_VALUE"""),"kO96DTM7f0A")</f>
        <v>kO96DTM7f0A</v>
      </c>
      <c r="R1150" s="5">
        <f ca="1">IFERROR(__xludf.DUMMYFUNCTION("""COMPUTED_VALUE"""),410)</f>
        <v>410</v>
      </c>
      <c r="S1150" s="62">
        <f ca="1">IFERROR(__xludf.DUMMYFUNCTION("""COMPUTED_VALUE"""),0.0125)</f>
        <v>1.2500000000000001E-2</v>
      </c>
      <c r="T1150" s="63" t="str">
        <f ca="1">IFERROR(__xludf.DUMMYFUNCTION("""COMPUTED_VALUE"""),"https://storage.googleapis.com/glide-prod.appspot.com/uploads-v2/ly7o78grxPaC6KdgvbpS/pub/3aRdSog0vUtuqPE8AJKD.png")</f>
        <v>https://storage.googleapis.com/glide-prod.appspot.com/uploads-v2/ly7o78grxPaC6KdgvbpS/pub/3aRdSog0vUtuqPE8AJKD.png</v>
      </c>
      <c r="U1150" s="5" t="str">
        <f ca="1">IFERROR(__xludf.DUMMYFUNCTION("""COMPUTED_VALUE"""),"EQUIPOS PARA SERVICIOS INDUSTRIALESTANQUE DE COMBUSTIBLE A.C.P.M.")</f>
        <v>EQUIPOS PARA SERVICIOS INDUSTRIALESTANQUE DE COMBUSTIBLE A.C.P.M.</v>
      </c>
      <c r="V1150" s="5"/>
      <c r="W1150" s="5" t="b">
        <f ca="1">IFERROR(__xludf.DUMMYFUNCTION("""COMPUTED_VALUE"""),TRUE)</f>
        <v>1</v>
      </c>
      <c r="X1150" s="5" t="str">
        <f ca="1">IFERROR(__xludf.DUMMYFUNCTION("""COMPUTED_VALUE"""),"wmazorra@postobon.com.co,aprmttoyu@postobon.com.co,aprmyu@postobon.com.co,wmora@postobon.com.co,efzapata@postobon.com.co")</f>
        <v>wmazorra@postobon.com.co,aprmttoyu@postobon.com.co,aprmyu@postobon.com.co,wmora@postobon.com.co,efzapata@postobon.com.co</v>
      </c>
      <c r="Y1150" s="5" t="str">
        <f ca="1">IFERROR(__xludf.DUMMYFUNCTION("""COMPUTED_VALUE"""),"wmazorra@postobon.com.co")</f>
        <v>wmazorra@postobon.com.co</v>
      </c>
      <c r="Z1150" s="5" t="str">
        <f ca="1">IFERROR(__xludf.DUMMYFUNCTION("""COMPUTED_VALUE"""),"fTUSZySyTSO7umMmLbb8BA")</f>
        <v>fTUSZySyTSO7umMmLbb8BA</v>
      </c>
      <c r="AA1150" s="5"/>
      <c r="AB1150" s="5"/>
      <c r="AC1150" s="5"/>
      <c r="AD1150" s="5">
        <f ca="1">IFERROR(__xludf.DUMMYFUNCTION("""COMPUTED_VALUE"""),34)</f>
        <v>34</v>
      </c>
      <c r="AE1150" s="5">
        <f ca="1">IFERROR(__xludf.DUMMYFUNCTION("""COMPUTED_VALUE"""),34)</f>
        <v>34</v>
      </c>
      <c r="AF1150" s="5" t="b">
        <f ca="1">IFERROR(__xludf.DUMMYFUNCTION("""COMPUTED_VALUE"""),FALSE)</f>
        <v>0</v>
      </c>
      <c r="AG1150" s="5" t="str">
        <f ca="1">IFERROR(__xludf.DUMMYFUNCTION("""COMPUTED_VALUE"""),"INSPECCIONES REALIZADAS")</f>
        <v>INSPECCIONES REALIZADAS</v>
      </c>
      <c r="AH1150" s="5"/>
    </row>
    <row r="1151" spans="1:34">
      <c r="A1151" s="5" t="str">
        <f ca="1">IFERROR(__xludf.DUMMYFUNCTION("""COMPUTED_VALUE"""),"EQUIPOS PARA SERVICIOS INDUSTRIALES")</f>
        <v>EQUIPOS PARA SERVICIOS INDUSTRIALES</v>
      </c>
      <c r="B1151" s="5">
        <f ca="1">IFERROR(__xludf.DUMMYFUNCTION("""COMPUTED_VALUE"""),659632)</f>
        <v>659632</v>
      </c>
      <c r="C1151" s="5" t="str">
        <f ca="1">IFERROR(__xludf.DUMMYFUNCTION("""COMPUTED_VALUE"""),"TANQUE DE COMBUSTIBLE A.C.P.M.")</f>
        <v>TANQUE DE COMBUSTIBLE A.C.P.M.</v>
      </c>
      <c r="D1151" s="5">
        <f ca="1">IFERROR(__xludf.DUMMYFUNCTION("""COMPUTED_VALUE"""),13247522)</f>
        <v>13247522</v>
      </c>
      <c r="E1151" s="5" t="str">
        <f ca="1">IFERROR(__xludf.DUMMYFUNCTION("""COMPUTED_VALUE"""),"INSPECCION SEMANAL TANQUE DE COMBUSTIBLE")</f>
        <v>INSPECCION SEMANAL TANQUE DE COMBUSTIBLE</v>
      </c>
      <c r="F1151" s="5" t="str">
        <f ca="1">IFERROR(__xludf.DUMMYFUNCTION("""COMPUTED_VALUE"""),"INSP SSITEMA ELECTRICO GRAL")</f>
        <v>INSP SSITEMA ELECTRICO GRAL</v>
      </c>
      <c r="G1151" s="5" t="b">
        <f ca="1">IFERROR(__xludf.DUMMYFUNCTION("""COMPUTED_VALUE"""),TRUE)</f>
        <v>1</v>
      </c>
      <c r="H1151" s="5"/>
      <c r="I1151" s="5"/>
      <c r="J1151" s="5">
        <f ca="1">IFERROR(__xludf.DUMMYFUNCTION("""COMPUTED_VALUE"""),13247522)</f>
        <v>13247522</v>
      </c>
      <c r="K1151" s="5"/>
      <c r="L1151" s="18">
        <f ca="1">IFERROR(__xludf.DUMMYFUNCTION("""COMPUTED_VALUE"""),45324)</f>
        <v>45324</v>
      </c>
      <c r="M1151" s="18">
        <f ca="1">IFERROR(__xludf.DUMMYFUNCTION("""COMPUTED_VALUE"""),45324)</f>
        <v>45324</v>
      </c>
      <c r="N1151" s="5" t="str">
        <f ca="1">IFERROR(__xludf.DUMMYFUNCTION("""COMPUTED_VALUE"""),"Guzman Palechor Miguel Angel")</f>
        <v>Guzman Palechor Miguel Angel</v>
      </c>
      <c r="O1151" s="2">
        <f ca="1">IFERROR(__xludf.DUMMYFUNCTION("""COMPUTED_VALUE"""),0.0125)</f>
        <v>1.2500000000000001E-2</v>
      </c>
      <c r="P1151" s="5">
        <f ca="1">IFERROR(__xludf.DUMMYFUNCTION("""COMPUTED_VALUE"""),20009822)</f>
        <v>20009822</v>
      </c>
      <c r="Q1151" s="5" t="str">
        <f ca="1">IFERROR(__xludf.DUMMYFUNCTION("""COMPUTED_VALUE"""),"pU1_PJO26Go")</f>
        <v>pU1_PJO26Go</v>
      </c>
      <c r="R1151" s="5">
        <f ca="1">IFERROR(__xludf.DUMMYFUNCTION("""COMPUTED_VALUE"""),410)</f>
        <v>410</v>
      </c>
      <c r="S1151" s="62">
        <f ca="1">IFERROR(__xludf.DUMMYFUNCTION("""COMPUTED_VALUE"""),0.0125)</f>
        <v>1.2500000000000001E-2</v>
      </c>
      <c r="T1151" s="63" t="str">
        <f ca="1">IFERROR(__xludf.DUMMYFUNCTION("""COMPUTED_VALUE"""),"https://storage.googleapis.com/glide-prod.appspot.com/uploads-v2/ly7o78grxPaC6KdgvbpS/pub/3aRdSog0vUtuqPE8AJKD.png")</f>
        <v>https://storage.googleapis.com/glide-prod.appspot.com/uploads-v2/ly7o78grxPaC6KdgvbpS/pub/3aRdSog0vUtuqPE8AJKD.png</v>
      </c>
      <c r="U1151" s="5" t="str">
        <f ca="1">IFERROR(__xludf.DUMMYFUNCTION("""COMPUTED_VALUE"""),"EQUIPOS PARA SERVICIOS INDUSTRIALESTANQUE DE COMBUSTIBLE A.C.P.M.")</f>
        <v>EQUIPOS PARA SERVICIOS INDUSTRIALESTANQUE DE COMBUSTIBLE A.C.P.M.</v>
      </c>
      <c r="V1151" s="5"/>
      <c r="W1151" s="5" t="b">
        <f ca="1">IFERROR(__xludf.DUMMYFUNCTION("""COMPUTED_VALUE"""),TRUE)</f>
        <v>1</v>
      </c>
      <c r="X1151" s="5" t="str">
        <f ca="1">IFERROR(__xludf.DUMMYFUNCTION("""COMPUTED_VALUE"""),"wmazorra@postobon.com.co,aprmttoyu@postobon.com.co,aprmyu@postobon.com.co,wmora@postobon.com.co,efzapata@postobon.com.co")</f>
        <v>wmazorra@postobon.com.co,aprmttoyu@postobon.com.co,aprmyu@postobon.com.co,wmora@postobon.com.co,efzapata@postobon.com.co</v>
      </c>
      <c r="Y1151" s="5" t="str">
        <f ca="1">IFERROR(__xludf.DUMMYFUNCTION("""COMPUTED_VALUE"""),"wmazorra@postobon.com.co")</f>
        <v>wmazorra@postobon.com.co</v>
      </c>
      <c r="Z1151" s="5" t="str">
        <f ca="1">IFERROR(__xludf.DUMMYFUNCTION("""COMPUTED_VALUE"""),"6tGHg0B0SaC4ficDT911dQ")</f>
        <v>6tGHg0B0SaC4ficDT911dQ</v>
      </c>
      <c r="AA1151" s="5"/>
      <c r="AB1151" s="5"/>
      <c r="AC1151" s="5"/>
      <c r="AD1151" s="5">
        <f ca="1">IFERROR(__xludf.DUMMYFUNCTION("""COMPUTED_VALUE"""),34)</f>
        <v>34</v>
      </c>
      <c r="AE1151" s="5">
        <f ca="1">IFERROR(__xludf.DUMMYFUNCTION("""COMPUTED_VALUE"""),34)</f>
        <v>34</v>
      </c>
      <c r="AF1151" s="5" t="b">
        <f ca="1">IFERROR(__xludf.DUMMYFUNCTION("""COMPUTED_VALUE"""),FALSE)</f>
        <v>0</v>
      </c>
      <c r="AG1151" s="5" t="str">
        <f ca="1">IFERROR(__xludf.DUMMYFUNCTION("""COMPUTED_VALUE"""),"INSPECCIONES REALIZADAS")</f>
        <v>INSPECCIONES REALIZADAS</v>
      </c>
      <c r="AH1151" s="5" t="str">
        <f ca="1">IFERROR(__xludf.DUMMYFUNCTION("""COMPUTED_VALUE"""),"EN TRAMITE")</f>
        <v>EN TRAMITE</v>
      </c>
    </row>
    <row r="1152" spans="1:34">
      <c r="A1152" s="5" t="str">
        <f ca="1">IFERROR(__xludf.DUMMYFUNCTION("""COMPUTED_VALUE"""),"LINEA DE PRODUCCION DE BOTELLONES DE 20")</f>
        <v>LINEA DE PRODUCCION DE BOTELLONES DE 20</v>
      </c>
      <c r="B1152" s="5">
        <f ca="1">IFERROR(__xludf.DUMMYFUNCTION("""COMPUTED_VALUE"""),71960601)</f>
        <v>71960601</v>
      </c>
      <c r="C1152" s="5" t="str">
        <f ca="1">IFERROR(__xludf.DUMMYFUNCTION("""COMPUTED_VALUE"""),"TANQUE DE CONTACTO PARA BOTELLON.")</f>
        <v>TANQUE DE CONTACTO PARA BOTELLON.</v>
      </c>
      <c r="D1152" s="5">
        <f ca="1">IFERROR(__xludf.DUMMYFUNCTION("""COMPUTED_VALUE"""),13247691)</f>
        <v>13247691</v>
      </c>
      <c r="E1152" s="5" t="str">
        <f ca="1">IFERROR(__xludf.DUMMYFUNCTION("""COMPUTED_VALUE"""),"INSPECCION SEMANAL TANQUE DE CONTACTO PA")</f>
        <v>INSPECCION SEMANAL TANQUE DE CONTACTO PA</v>
      </c>
      <c r="F1152" s="5" t="str">
        <f ca="1">IFERROR(__xludf.DUMMYFUNCTION("""COMPUTED_VALUE"""),"REVISAR ESTADO TANQUE")</f>
        <v>REVISAR ESTADO TANQUE</v>
      </c>
      <c r="G1152" s="5" t="b">
        <f ca="1">IFERROR(__xludf.DUMMYFUNCTION("""COMPUTED_VALUE"""),TRUE)</f>
        <v>1</v>
      </c>
      <c r="H1152" s="5"/>
      <c r="I1152" s="5"/>
      <c r="J1152" s="5"/>
      <c r="K1152" s="5"/>
      <c r="L1152" s="18">
        <f ca="1">IFERROR(__xludf.DUMMYFUNCTION("""COMPUTED_VALUE"""),45324)</f>
        <v>45324</v>
      </c>
      <c r="M1152" s="18">
        <f ca="1">IFERROR(__xludf.DUMMYFUNCTION("""COMPUTED_VALUE"""),45324)</f>
        <v>45324</v>
      </c>
      <c r="N1152" s="5" t="str">
        <f ca="1">IFERROR(__xludf.DUMMYFUNCTION("""COMPUTED_VALUE"""),"Christian Camilo Ramirez Rendón")</f>
        <v>Christian Camilo Ramirez Rendón</v>
      </c>
      <c r="O1152" s="2">
        <f ca="1">IFERROR(__xludf.DUMMYFUNCTION("""COMPUTED_VALUE"""),0.033333333)</f>
        <v>3.3333333E-2</v>
      </c>
      <c r="P1152" s="5"/>
      <c r="Q1152" s="5" t="str">
        <f ca="1">IFERROR(__xludf.DUMMYFUNCTION("""COMPUTED_VALUE"""),"2aJPMYwO2Q0")</f>
        <v>2aJPMYwO2Q0</v>
      </c>
      <c r="R1152" s="5">
        <f ca="1">IFERROR(__xludf.DUMMYFUNCTION("""COMPUTED_VALUE"""),410)</f>
        <v>410</v>
      </c>
      <c r="S1152" s="62">
        <f ca="1">IFERROR(__xludf.DUMMYFUNCTION("""COMPUTED_VALUE"""),0.033333333)</f>
        <v>3.3333333E-2</v>
      </c>
      <c r="T1152" s="63" t="str">
        <f ca="1">IFERROR(__xludf.DUMMYFUNCTION("""COMPUTED_VALUE"""),"https://storage.googleapis.com/glide-prod.appspot.com/uploads-v2/ly7o78grxPaC6KdgvbpS/pub/3aRdSog0vUtuqPE8AJKD.png")</f>
        <v>https://storage.googleapis.com/glide-prod.appspot.com/uploads-v2/ly7o78grxPaC6KdgvbpS/pub/3aRdSog0vUtuqPE8AJKD.png</v>
      </c>
      <c r="U1152" s="5" t="str">
        <f ca="1">IFERROR(__xludf.DUMMYFUNCTION("""COMPUTED_VALUE"""),"LINEA DE PRODUCCION DE BOTELLONES DE 20TANQUE DE CONTACTO PARA BOTELLON.")</f>
        <v>LINEA DE PRODUCCION DE BOTELLONES DE 20TANQUE DE CONTACTO PARA BOTELLON.</v>
      </c>
      <c r="V1152" s="5"/>
      <c r="W1152" s="5" t="b">
        <f ca="1">IFERROR(__xludf.DUMMYFUNCTION("""COMPUTED_VALUE"""),TRUE)</f>
        <v>1</v>
      </c>
      <c r="X1152" s="5" t="str">
        <f ca="1">IFERROR(__xludf.DUMMYFUNCTION("""COMPUTED_VALUE"""),"achavezi@postobon.com.co,aprmttoyu@postobon.com.co,aprmyu@postobon.com.co,wmora@postobon.com.co,efzapata@postobon.com.co")</f>
        <v>achavezi@postobon.com.co,aprmttoyu@postobon.com.co,aprmyu@postobon.com.co,wmora@postobon.com.co,efzapata@postobon.com.co</v>
      </c>
      <c r="Y1152" s="5" t="str">
        <f ca="1">IFERROR(__xludf.DUMMYFUNCTION("""COMPUTED_VALUE"""),"achavezi@postobon.com.co")</f>
        <v>achavezi@postobon.com.co</v>
      </c>
      <c r="Z1152" s="5" t="str">
        <f ca="1">IFERROR(__xludf.DUMMYFUNCTION("""COMPUTED_VALUE"""),"D6.tzd7WQXemyx23l1KHvA")</f>
        <v>D6.tzd7WQXemyx23l1KHvA</v>
      </c>
      <c r="AA1152" s="5"/>
      <c r="AB1152" s="5"/>
      <c r="AC1152" s="5"/>
      <c r="AD1152" s="5">
        <f ca="1">IFERROR(__xludf.DUMMYFUNCTION("""COMPUTED_VALUE"""),67)</f>
        <v>67</v>
      </c>
      <c r="AE1152" s="5">
        <f ca="1">IFERROR(__xludf.DUMMYFUNCTION("""COMPUTED_VALUE"""),67)</f>
        <v>67</v>
      </c>
      <c r="AF1152" s="5" t="b">
        <f ca="1">IFERROR(__xludf.DUMMYFUNCTION("""COMPUTED_VALUE"""),FALSE)</f>
        <v>0</v>
      </c>
      <c r="AG1152" s="5" t="str">
        <f ca="1">IFERROR(__xludf.DUMMYFUNCTION("""COMPUTED_VALUE"""),"INSPECCIONES REALIZADAS")</f>
        <v>INSPECCIONES REALIZADAS</v>
      </c>
      <c r="AH1152" s="5"/>
    </row>
    <row r="1153" spans="1:34">
      <c r="A1153" s="5" t="str">
        <f ca="1">IFERROR(__xludf.DUMMYFUNCTION("""COMPUTED_VALUE"""),"LINEA DE PRODUCCION DE BOTELLONES DE 20")</f>
        <v>LINEA DE PRODUCCION DE BOTELLONES DE 20</v>
      </c>
      <c r="B1153" s="5">
        <f ca="1">IFERROR(__xludf.DUMMYFUNCTION("""COMPUTED_VALUE"""),71960601)</f>
        <v>71960601</v>
      </c>
      <c r="C1153" s="5" t="str">
        <f ca="1">IFERROR(__xludf.DUMMYFUNCTION("""COMPUTED_VALUE"""),"TANQUE DE CONTACTO PARA BOTELLON.")</f>
        <v>TANQUE DE CONTACTO PARA BOTELLON.</v>
      </c>
      <c r="D1153" s="5">
        <f ca="1">IFERROR(__xludf.DUMMYFUNCTION("""COMPUTED_VALUE"""),13247691)</f>
        <v>13247691</v>
      </c>
      <c r="E1153" s="5" t="str">
        <f ca="1">IFERROR(__xludf.DUMMYFUNCTION("""COMPUTED_VALUE"""),"INSPECCION SEMANAL TANQUE DE CONTACTO PA")</f>
        <v>INSPECCION SEMANAL TANQUE DE CONTACTO PA</v>
      </c>
      <c r="F1153" s="5" t="str">
        <f ca="1">IFERROR(__xludf.DUMMYFUNCTION("""COMPUTED_VALUE"""),"VERIFICAR FUGAS TUBERIA")</f>
        <v>VERIFICAR FUGAS TUBERIA</v>
      </c>
      <c r="G1153" s="5" t="b">
        <f ca="1">IFERROR(__xludf.DUMMYFUNCTION("""COMPUTED_VALUE"""),TRUE)</f>
        <v>1</v>
      </c>
      <c r="H1153" s="5"/>
      <c r="I1153" s="5"/>
      <c r="J1153" s="5"/>
      <c r="K1153" s="5"/>
      <c r="L1153" s="18">
        <f ca="1">IFERROR(__xludf.DUMMYFUNCTION("""COMPUTED_VALUE"""),45324)</f>
        <v>45324</v>
      </c>
      <c r="M1153" s="18">
        <f ca="1">IFERROR(__xludf.DUMMYFUNCTION("""COMPUTED_VALUE"""),45324)</f>
        <v>45324</v>
      </c>
      <c r="N1153" s="5" t="str">
        <f ca="1">IFERROR(__xludf.DUMMYFUNCTION("""COMPUTED_VALUE"""),"Christian Camilo Ramirez Rendón")</f>
        <v>Christian Camilo Ramirez Rendón</v>
      </c>
      <c r="O1153" s="2">
        <f ca="1">IFERROR(__xludf.DUMMYFUNCTION("""COMPUTED_VALUE"""),0.033333333)</f>
        <v>3.3333333E-2</v>
      </c>
      <c r="P1153" s="5"/>
      <c r="Q1153" s="5" t="str">
        <f ca="1">IFERROR(__xludf.DUMMYFUNCTION("""COMPUTED_VALUE"""),"JanzLmzl8vo")</f>
        <v>JanzLmzl8vo</v>
      </c>
      <c r="R1153" s="5">
        <f ca="1">IFERROR(__xludf.DUMMYFUNCTION("""COMPUTED_VALUE"""),410)</f>
        <v>410</v>
      </c>
      <c r="S1153" s="62">
        <f ca="1">IFERROR(__xludf.DUMMYFUNCTION("""COMPUTED_VALUE"""),0.033333333)</f>
        <v>3.3333333E-2</v>
      </c>
      <c r="T1153" s="63" t="str">
        <f ca="1">IFERROR(__xludf.DUMMYFUNCTION("""COMPUTED_VALUE"""),"https://storage.googleapis.com/glide-prod.appspot.com/uploads-v2/ly7o78grxPaC6KdgvbpS/pub/3aRdSog0vUtuqPE8AJKD.png")</f>
        <v>https://storage.googleapis.com/glide-prod.appspot.com/uploads-v2/ly7o78grxPaC6KdgvbpS/pub/3aRdSog0vUtuqPE8AJKD.png</v>
      </c>
      <c r="U1153" s="5" t="str">
        <f ca="1">IFERROR(__xludf.DUMMYFUNCTION("""COMPUTED_VALUE"""),"LINEA DE PRODUCCION DE BOTELLONES DE 20TANQUE DE CONTACTO PARA BOTELLON.")</f>
        <v>LINEA DE PRODUCCION DE BOTELLONES DE 20TANQUE DE CONTACTO PARA BOTELLON.</v>
      </c>
      <c r="V1153" s="5"/>
      <c r="W1153" s="5" t="b">
        <f ca="1">IFERROR(__xludf.DUMMYFUNCTION("""COMPUTED_VALUE"""),TRUE)</f>
        <v>1</v>
      </c>
      <c r="X1153" s="5" t="str">
        <f ca="1">IFERROR(__xludf.DUMMYFUNCTION("""COMPUTED_VALUE"""),"achavezi@postobon.com.co,aprmttoyu@postobon.com.co,aprmyu@postobon.com.co,wmora@postobon.com.co,efzapata@postobon.com.co")</f>
        <v>achavezi@postobon.com.co,aprmttoyu@postobon.com.co,aprmyu@postobon.com.co,wmora@postobon.com.co,efzapata@postobon.com.co</v>
      </c>
      <c r="Y1153" s="5" t="str">
        <f ca="1">IFERROR(__xludf.DUMMYFUNCTION("""COMPUTED_VALUE"""),"achavezi@postobon.com.co")</f>
        <v>achavezi@postobon.com.co</v>
      </c>
      <c r="Z1153" s="5" t="str">
        <f ca="1">IFERROR(__xludf.DUMMYFUNCTION("""COMPUTED_VALUE"""),"lulZxWauRn2WXlJQuOmAoQ")</f>
        <v>lulZxWauRn2WXlJQuOmAoQ</v>
      </c>
      <c r="AA1153" s="5"/>
      <c r="AB1153" s="5"/>
      <c r="AC1153" s="5"/>
      <c r="AD1153" s="5">
        <f ca="1">IFERROR(__xludf.DUMMYFUNCTION("""COMPUTED_VALUE"""),67)</f>
        <v>67</v>
      </c>
      <c r="AE1153" s="5">
        <f ca="1">IFERROR(__xludf.DUMMYFUNCTION("""COMPUTED_VALUE"""),67)</f>
        <v>67</v>
      </c>
      <c r="AF1153" s="5" t="b">
        <f ca="1">IFERROR(__xludf.DUMMYFUNCTION("""COMPUTED_VALUE"""),FALSE)</f>
        <v>0</v>
      </c>
      <c r="AG1153" s="5" t="str">
        <f ca="1">IFERROR(__xludf.DUMMYFUNCTION("""COMPUTED_VALUE"""),"INSPECCIONES REALIZADAS")</f>
        <v>INSPECCIONES REALIZADAS</v>
      </c>
      <c r="AH1153" s="5"/>
    </row>
    <row r="1154" spans="1:34">
      <c r="A1154" s="5" t="str">
        <f ca="1">IFERROR(__xludf.DUMMYFUNCTION("""COMPUTED_VALUE"""),"LINEA DE PRODUCCION DE BOTELLONES DE 20")</f>
        <v>LINEA DE PRODUCCION DE BOTELLONES DE 20</v>
      </c>
      <c r="B1154" s="5">
        <f ca="1">IFERROR(__xludf.DUMMYFUNCTION("""COMPUTED_VALUE"""),71960601)</f>
        <v>71960601</v>
      </c>
      <c r="C1154" s="5" t="str">
        <f ca="1">IFERROR(__xludf.DUMMYFUNCTION("""COMPUTED_VALUE"""),"TANQUE DE CONTACTO PARA BOTELLON.")</f>
        <v>TANQUE DE CONTACTO PARA BOTELLON.</v>
      </c>
      <c r="D1154" s="5">
        <f ca="1">IFERROR(__xludf.DUMMYFUNCTION("""COMPUTED_VALUE"""),13247691)</f>
        <v>13247691</v>
      </c>
      <c r="E1154" s="5" t="str">
        <f ca="1">IFERROR(__xludf.DUMMYFUNCTION("""COMPUTED_VALUE"""),"INSPECCION SEMANAL TANQUE DE CONTACTO PA")</f>
        <v>INSPECCION SEMANAL TANQUE DE CONTACTO PA</v>
      </c>
      <c r="F1154" s="5" t="str">
        <f ca="1">IFERROR(__xludf.DUMMYFUNCTION("""COMPUTED_VALUE"""),"VERIFICAR FUNCIONAMIENTO BOMBAS")</f>
        <v>VERIFICAR FUNCIONAMIENTO BOMBAS</v>
      </c>
      <c r="G1154" s="5" t="b">
        <f ca="1">IFERROR(__xludf.DUMMYFUNCTION("""COMPUTED_VALUE"""),TRUE)</f>
        <v>1</v>
      </c>
      <c r="H1154" s="5"/>
      <c r="I1154" s="5"/>
      <c r="J1154" s="5"/>
      <c r="K1154" s="5"/>
      <c r="L1154" s="18">
        <f ca="1">IFERROR(__xludf.DUMMYFUNCTION("""COMPUTED_VALUE"""),45324)</f>
        <v>45324</v>
      </c>
      <c r="M1154" s="18">
        <f ca="1">IFERROR(__xludf.DUMMYFUNCTION("""COMPUTED_VALUE"""),45324)</f>
        <v>45324</v>
      </c>
      <c r="N1154" s="5" t="str">
        <f ca="1">IFERROR(__xludf.DUMMYFUNCTION("""COMPUTED_VALUE"""),"Christian Camilo Ramirez Rendón")</f>
        <v>Christian Camilo Ramirez Rendón</v>
      </c>
      <c r="O1154" s="2">
        <f ca="1">IFERROR(__xludf.DUMMYFUNCTION("""COMPUTED_VALUE"""),0.033333333)</f>
        <v>3.3333333E-2</v>
      </c>
      <c r="P1154" s="5"/>
      <c r="Q1154" s="5" t="str">
        <f ca="1">IFERROR(__xludf.DUMMYFUNCTION("""COMPUTED_VALUE"""),"UVc18-CByOk")</f>
        <v>UVc18-CByOk</v>
      </c>
      <c r="R1154" s="5">
        <f ca="1">IFERROR(__xludf.DUMMYFUNCTION("""COMPUTED_VALUE"""),410)</f>
        <v>410</v>
      </c>
      <c r="S1154" s="62">
        <f ca="1">IFERROR(__xludf.DUMMYFUNCTION("""COMPUTED_VALUE"""),0.033333333)</f>
        <v>3.3333333E-2</v>
      </c>
      <c r="T1154" s="63" t="str">
        <f ca="1">IFERROR(__xludf.DUMMYFUNCTION("""COMPUTED_VALUE"""),"https://storage.googleapis.com/glide-prod.appspot.com/uploads-v2/ly7o78grxPaC6KdgvbpS/pub/3aRdSog0vUtuqPE8AJKD.png")</f>
        <v>https://storage.googleapis.com/glide-prod.appspot.com/uploads-v2/ly7o78grxPaC6KdgvbpS/pub/3aRdSog0vUtuqPE8AJKD.png</v>
      </c>
      <c r="U1154" s="5" t="str">
        <f ca="1">IFERROR(__xludf.DUMMYFUNCTION("""COMPUTED_VALUE"""),"LINEA DE PRODUCCION DE BOTELLONES DE 20TANQUE DE CONTACTO PARA BOTELLON.")</f>
        <v>LINEA DE PRODUCCION DE BOTELLONES DE 20TANQUE DE CONTACTO PARA BOTELLON.</v>
      </c>
      <c r="V1154" s="5"/>
      <c r="W1154" s="5" t="b">
        <f ca="1">IFERROR(__xludf.DUMMYFUNCTION("""COMPUTED_VALUE"""),TRUE)</f>
        <v>1</v>
      </c>
      <c r="X1154" s="5" t="str">
        <f ca="1">IFERROR(__xludf.DUMMYFUNCTION("""COMPUTED_VALUE"""),"achavezi@postobon.com.co,aprmttoyu@postobon.com.co,aprmyu@postobon.com.co,wmora@postobon.com.co,efzapata@postobon.com.co")</f>
        <v>achavezi@postobon.com.co,aprmttoyu@postobon.com.co,aprmyu@postobon.com.co,wmora@postobon.com.co,efzapata@postobon.com.co</v>
      </c>
      <c r="Y1154" s="5" t="str">
        <f ca="1">IFERROR(__xludf.DUMMYFUNCTION("""COMPUTED_VALUE"""),"achavezi@postobon.com.co")</f>
        <v>achavezi@postobon.com.co</v>
      </c>
      <c r="Z1154" s="5" t="str">
        <f ca="1">IFERROR(__xludf.DUMMYFUNCTION("""COMPUTED_VALUE"""),"ze8T3RCERoeyfQwnV3.uPA")</f>
        <v>ze8T3RCERoeyfQwnV3.uPA</v>
      </c>
      <c r="AA1154" s="5"/>
      <c r="AB1154" s="5"/>
      <c r="AC1154" s="5"/>
      <c r="AD1154" s="5">
        <f ca="1">IFERROR(__xludf.DUMMYFUNCTION("""COMPUTED_VALUE"""),67)</f>
        <v>67</v>
      </c>
      <c r="AE1154" s="5">
        <f ca="1">IFERROR(__xludf.DUMMYFUNCTION("""COMPUTED_VALUE"""),67)</f>
        <v>67</v>
      </c>
      <c r="AF1154" s="5" t="b">
        <f ca="1">IFERROR(__xludf.DUMMYFUNCTION("""COMPUTED_VALUE"""),FALSE)</f>
        <v>0</v>
      </c>
      <c r="AG1154" s="5" t="str">
        <f ca="1">IFERROR(__xludf.DUMMYFUNCTION("""COMPUTED_VALUE"""),"INSPECCIONES REALIZADAS")</f>
        <v>INSPECCIONES REALIZADAS</v>
      </c>
      <c r="AH1154" s="5"/>
    </row>
    <row r="1155" spans="1:34">
      <c r="A1155" s="5" t="str">
        <f ca="1">IFERROR(__xludf.DUMMYFUNCTION("""COMPUTED_VALUE"""),"EQUIPOS PARA SERVICIOS INDUSTRIALES")</f>
        <v>EQUIPOS PARA SERVICIOS INDUSTRIALES</v>
      </c>
      <c r="B1155" s="5">
        <f ca="1">IFERROR(__xludf.DUMMYFUNCTION("""COMPUTED_VALUE"""),709725)</f>
        <v>709725</v>
      </c>
      <c r="C1155" s="5" t="str">
        <f ca="1">IFERROR(__xludf.DUMMYFUNCTION("""COMPUTED_VALUE"""),"TANQUE DE SODA CAUSTICA")</f>
        <v>TANQUE DE SODA CAUSTICA</v>
      </c>
      <c r="D1155" s="5">
        <f ca="1">IFERROR(__xludf.DUMMYFUNCTION("""COMPUTED_VALUE"""),13247524)</f>
        <v>13247524</v>
      </c>
      <c r="E1155" s="5" t="str">
        <f ca="1">IFERROR(__xludf.DUMMYFUNCTION("""COMPUTED_VALUE"""),"INSPECCION SEMANAL TANQUE DE SODA CAUSTI")</f>
        <v>INSPECCION SEMANAL TANQUE DE SODA CAUSTI</v>
      </c>
      <c r="F1155" s="5" t="str">
        <f ca="1">IFERROR(__xludf.DUMMYFUNCTION("""COMPUTED_VALUE"""),"ESTADO TANQUES")</f>
        <v>ESTADO TANQUES</v>
      </c>
      <c r="G1155" s="5" t="b">
        <f ca="1">IFERROR(__xludf.DUMMYFUNCTION("""COMPUTED_VALUE"""),TRUE)</f>
        <v>1</v>
      </c>
      <c r="H1155" s="5"/>
      <c r="I1155" s="5"/>
      <c r="J1155" s="5">
        <f ca="1">IFERROR(__xludf.DUMMYFUNCTION("""COMPUTED_VALUE"""),13247524)</f>
        <v>13247524</v>
      </c>
      <c r="K1155" s="5"/>
      <c r="L1155" s="18">
        <f ca="1">IFERROR(__xludf.DUMMYFUNCTION("""COMPUTED_VALUE"""),45324)</f>
        <v>45324</v>
      </c>
      <c r="M1155" s="18">
        <f ca="1">IFERROR(__xludf.DUMMYFUNCTION("""COMPUTED_VALUE"""),45324)</f>
        <v>45324</v>
      </c>
      <c r="N1155" s="5" t="str">
        <f ca="1">IFERROR(__xludf.DUMMYFUNCTION("""COMPUTED_VALUE"""),"MUÑOZ VALENCIA JEFFERSON")</f>
        <v>MUÑOZ VALENCIA JEFFERSON</v>
      </c>
      <c r="O1155" s="2">
        <f ca="1">IFERROR(__xludf.DUMMYFUNCTION("""COMPUTED_VALUE"""),0.0125)</f>
        <v>1.2500000000000001E-2</v>
      </c>
      <c r="P1155" s="5">
        <f ca="1">IFERROR(__xludf.DUMMYFUNCTION("""COMPUTED_VALUE"""),20062055)</f>
        <v>20062055</v>
      </c>
      <c r="Q1155" s="5" t="str">
        <f ca="1">IFERROR(__xludf.DUMMYFUNCTION("""COMPUTED_VALUE"""),"2SM7sNAdqp8")</f>
        <v>2SM7sNAdqp8</v>
      </c>
      <c r="R1155" s="5">
        <f ca="1">IFERROR(__xludf.DUMMYFUNCTION("""COMPUTED_VALUE"""),410)</f>
        <v>410</v>
      </c>
      <c r="S1155" s="62">
        <f ca="1">IFERROR(__xludf.DUMMYFUNCTION("""COMPUTED_VALUE"""),0.0125)</f>
        <v>1.2500000000000001E-2</v>
      </c>
      <c r="T1155" s="63" t="str">
        <f ca="1">IFERROR(__xludf.DUMMYFUNCTION("""COMPUTED_VALUE"""),"https://storage.googleapis.com/glide-prod.appspot.com/uploads-v2/ly7o78grxPaC6KdgvbpS/pub/3aRdSog0vUtuqPE8AJKD.png")</f>
        <v>https://storage.googleapis.com/glide-prod.appspot.com/uploads-v2/ly7o78grxPaC6KdgvbpS/pub/3aRdSog0vUtuqPE8AJKD.png</v>
      </c>
      <c r="U1155" s="5" t="str">
        <f ca="1">IFERROR(__xludf.DUMMYFUNCTION("""COMPUTED_VALUE"""),"EQUIPOS PARA SERVICIOS INDUSTRIALESTANQUE DE SODA CAUSTICA")</f>
        <v>EQUIPOS PARA SERVICIOS INDUSTRIALESTANQUE DE SODA CAUSTICA</v>
      </c>
      <c r="V1155" s="5"/>
      <c r="W1155" s="5" t="b">
        <f ca="1">IFERROR(__xludf.DUMMYFUNCTION("""COMPUTED_VALUE"""),TRUE)</f>
        <v>1</v>
      </c>
      <c r="X1155" s="5" t="str">
        <f ca="1">IFERROR(__xludf.DUMMYFUNCTION("""COMPUTED_VALUE"""),"wmazorra@postobon.com.co,aprmttoyu@postobon.com.co,aprmyu@postobon.com.co,wmora@postobon.com.co,efzapata@postobon.com.co")</f>
        <v>wmazorra@postobon.com.co,aprmttoyu@postobon.com.co,aprmyu@postobon.com.co,wmora@postobon.com.co,efzapata@postobon.com.co</v>
      </c>
      <c r="Y1155" s="5" t="str">
        <f ca="1">IFERROR(__xludf.DUMMYFUNCTION("""COMPUTED_VALUE"""),"wmazorra@postobon.com.co")</f>
        <v>wmazorra@postobon.com.co</v>
      </c>
      <c r="Z1155" s="5" t="str">
        <f ca="1">IFERROR(__xludf.DUMMYFUNCTION("""COMPUTED_VALUE"""),"bUACDN2LRGWi2e3ISogPiw")</f>
        <v>bUACDN2LRGWi2e3ISogPiw</v>
      </c>
      <c r="AA1155" s="5"/>
      <c r="AB1155" s="5"/>
      <c r="AC1155" s="5"/>
      <c r="AD1155" s="5">
        <f ca="1">IFERROR(__xludf.DUMMYFUNCTION("""COMPUTED_VALUE"""),58)</f>
        <v>58</v>
      </c>
      <c r="AE1155" s="5">
        <f ca="1">IFERROR(__xludf.DUMMYFUNCTION("""COMPUTED_VALUE"""),58)</f>
        <v>58</v>
      </c>
      <c r="AF1155" s="5" t="b">
        <f ca="1">IFERROR(__xludf.DUMMYFUNCTION("""COMPUTED_VALUE"""),FALSE)</f>
        <v>0</v>
      </c>
      <c r="AG1155" s="5" t="str">
        <f ca="1">IFERROR(__xludf.DUMMYFUNCTION("""COMPUTED_VALUE"""),"INSPECCIONES REALIZADAS")</f>
        <v>INSPECCIONES REALIZADAS</v>
      </c>
      <c r="AH1155" s="5"/>
    </row>
    <row r="1156" spans="1:34">
      <c r="A1156" s="5" t="str">
        <f ca="1">IFERROR(__xludf.DUMMYFUNCTION("""COMPUTED_VALUE"""),"EQUIPOS PARA SERVICIOS INDUSTRIALES")</f>
        <v>EQUIPOS PARA SERVICIOS INDUSTRIALES</v>
      </c>
      <c r="B1156" s="5">
        <f ca="1">IFERROR(__xludf.DUMMYFUNCTION("""COMPUTED_VALUE"""),709725)</f>
        <v>709725</v>
      </c>
      <c r="C1156" s="5" t="str">
        <f ca="1">IFERROR(__xludf.DUMMYFUNCTION("""COMPUTED_VALUE"""),"TANQUE DE SODA CAUSTICA")</f>
        <v>TANQUE DE SODA CAUSTICA</v>
      </c>
      <c r="D1156" s="5">
        <f ca="1">IFERROR(__xludf.DUMMYFUNCTION("""COMPUTED_VALUE"""),13247524)</f>
        <v>13247524</v>
      </c>
      <c r="E1156" s="5" t="str">
        <f ca="1">IFERROR(__xludf.DUMMYFUNCTION("""COMPUTED_VALUE"""),"INSPECCION SEMANAL TANQUE DE SODA CAUSTI")</f>
        <v>INSPECCION SEMANAL TANQUE DE SODA CAUSTI</v>
      </c>
      <c r="F1156" s="5" t="str">
        <f ca="1">IFERROR(__xludf.DUMMYFUNCTION("""COMPUTED_VALUE"""),"VISORES NIVEL")</f>
        <v>VISORES NIVEL</v>
      </c>
      <c r="G1156" s="5" t="b">
        <f ca="1">IFERROR(__xludf.DUMMYFUNCTION("""COMPUTED_VALUE"""),TRUE)</f>
        <v>1</v>
      </c>
      <c r="H1156" s="5"/>
      <c r="I1156" s="5"/>
      <c r="J1156" s="5">
        <f ca="1">IFERROR(__xludf.DUMMYFUNCTION("""COMPUTED_VALUE"""),13247524)</f>
        <v>13247524</v>
      </c>
      <c r="K1156" s="5"/>
      <c r="L1156" s="18">
        <f ca="1">IFERROR(__xludf.DUMMYFUNCTION("""COMPUTED_VALUE"""),45324)</f>
        <v>45324</v>
      </c>
      <c r="M1156" s="18">
        <f ca="1">IFERROR(__xludf.DUMMYFUNCTION("""COMPUTED_VALUE"""),45324)</f>
        <v>45324</v>
      </c>
      <c r="N1156" s="5" t="str">
        <f ca="1">IFERROR(__xludf.DUMMYFUNCTION("""COMPUTED_VALUE"""),"MUÑOZ VALENCIA JEFFERSON")</f>
        <v>MUÑOZ VALENCIA JEFFERSON</v>
      </c>
      <c r="O1156" s="2">
        <f ca="1">IFERROR(__xludf.DUMMYFUNCTION("""COMPUTED_VALUE"""),0.0125)</f>
        <v>1.2500000000000001E-2</v>
      </c>
      <c r="P1156" s="5">
        <f ca="1">IFERROR(__xludf.DUMMYFUNCTION("""COMPUTED_VALUE"""),20062055)</f>
        <v>20062055</v>
      </c>
      <c r="Q1156" s="5" t="str">
        <f ca="1">IFERROR(__xludf.DUMMYFUNCTION("""COMPUTED_VALUE"""),"o5dNMCdiZrc")</f>
        <v>o5dNMCdiZrc</v>
      </c>
      <c r="R1156" s="5">
        <f ca="1">IFERROR(__xludf.DUMMYFUNCTION("""COMPUTED_VALUE"""),410)</f>
        <v>410</v>
      </c>
      <c r="S1156" s="62">
        <f ca="1">IFERROR(__xludf.DUMMYFUNCTION("""COMPUTED_VALUE"""),0.0125)</f>
        <v>1.2500000000000001E-2</v>
      </c>
      <c r="T1156" s="63" t="str">
        <f ca="1">IFERROR(__xludf.DUMMYFUNCTION("""COMPUTED_VALUE"""),"https://storage.googleapis.com/glide-prod.appspot.com/uploads-v2/ly7o78grxPaC6KdgvbpS/pub/3aRdSog0vUtuqPE8AJKD.png")</f>
        <v>https://storage.googleapis.com/glide-prod.appspot.com/uploads-v2/ly7o78grxPaC6KdgvbpS/pub/3aRdSog0vUtuqPE8AJKD.png</v>
      </c>
      <c r="U1156" s="5" t="str">
        <f ca="1">IFERROR(__xludf.DUMMYFUNCTION("""COMPUTED_VALUE"""),"EQUIPOS PARA SERVICIOS INDUSTRIALESTANQUE DE SODA CAUSTICA")</f>
        <v>EQUIPOS PARA SERVICIOS INDUSTRIALESTANQUE DE SODA CAUSTICA</v>
      </c>
      <c r="V1156" s="5"/>
      <c r="W1156" s="5" t="b">
        <f ca="1">IFERROR(__xludf.DUMMYFUNCTION("""COMPUTED_VALUE"""),TRUE)</f>
        <v>1</v>
      </c>
      <c r="X1156" s="5" t="str">
        <f ca="1">IFERROR(__xludf.DUMMYFUNCTION("""COMPUTED_VALUE"""),"wmazorra@postobon.com.co,aprmttoyu@postobon.com.co,aprmyu@postobon.com.co,wmora@postobon.com.co,efzapata@postobon.com.co")</f>
        <v>wmazorra@postobon.com.co,aprmttoyu@postobon.com.co,aprmyu@postobon.com.co,wmora@postobon.com.co,efzapata@postobon.com.co</v>
      </c>
      <c r="Y1156" s="5" t="str">
        <f ca="1">IFERROR(__xludf.DUMMYFUNCTION("""COMPUTED_VALUE"""),"wmazorra@postobon.com.co")</f>
        <v>wmazorra@postobon.com.co</v>
      </c>
      <c r="Z1156" s="5" t="str">
        <f ca="1">IFERROR(__xludf.DUMMYFUNCTION("""COMPUTED_VALUE"""),"3.ku-bOTSTq1SFykNPmQIw")</f>
        <v>3.ku-bOTSTq1SFykNPmQIw</v>
      </c>
      <c r="AA1156" s="5"/>
      <c r="AB1156" s="5"/>
      <c r="AC1156" s="5"/>
      <c r="AD1156" s="5">
        <f ca="1">IFERROR(__xludf.DUMMYFUNCTION("""COMPUTED_VALUE"""),58)</f>
        <v>58</v>
      </c>
      <c r="AE1156" s="5">
        <f ca="1">IFERROR(__xludf.DUMMYFUNCTION("""COMPUTED_VALUE"""),58)</f>
        <v>58</v>
      </c>
      <c r="AF1156" s="5" t="b">
        <f ca="1">IFERROR(__xludf.DUMMYFUNCTION("""COMPUTED_VALUE"""),FALSE)</f>
        <v>0</v>
      </c>
      <c r="AG1156" s="5" t="str">
        <f ca="1">IFERROR(__xludf.DUMMYFUNCTION("""COMPUTED_VALUE"""),"INSPECCIONES REALIZADAS")</f>
        <v>INSPECCIONES REALIZADAS</v>
      </c>
      <c r="AH1156" s="5"/>
    </row>
    <row r="1157" spans="1:34">
      <c r="A1157" s="5" t="str">
        <f ca="1">IFERROR(__xludf.DUMMYFUNCTION("""COMPUTED_VALUE"""),"EQUIPOS PARA SERVICIOS INDUSTRIALES")</f>
        <v>EQUIPOS PARA SERVICIOS INDUSTRIALES</v>
      </c>
      <c r="B1157" s="5">
        <f ca="1">IFERROR(__xludf.DUMMYFUNCTION("""COMPUTED_VALUE"""),709725)</f>
        <v>709725</v>
      </c>
      <c r="C1157" s="5" t="str">
        <f ca="1">IFERROR(__xludf.DUMMYFUNCTION("""COMPUTED_VALUE"""),"TANQUE DE SODA CAUSTICA")</f>
        <v>TANQUE DE SODA CAUSTICA</v>
      </c>
      <c r="D1157" s="5">
        <f ca="1">IFERROR(__xludf.DUMMYFUNCTION("""COMPUTED_VALUE"""),13247524)</f>
        <v>13247524</v>
      </c>
      <c r="E1157" s="5" t="str">
        <f ca="1">IFERROR(__xludf.DUMMYFUNCTION("""COMPUTED_VALUE"""),"INSPECCION SEMANAL TANQUE DE SODA CAUSTI")</f>
        <v>INSPECCION SEMANAL TANQUE DE SODA CAUSTI</v>
      </c>
      <c r="F1157" s="5" t="str">
        <f ca="1">IFERROR(__xludf.DUMMYFUNCTION("""COMPUTED_VALUE"""),"FUNC. VALVULAS, TUBERIAS")</f>
        <v>FUNC. VALVULAS, TUBERIAS</v>
      </c>
      <c r="G1157" s="5" t="b">
        <f ca="1">IFERROR(__xludf.DUMMYFUNCTION("""COMPUTED_VALUE"""),TRUE)</f>
        <v>1</v>
      </c>
      <c r="H1157" s="5"/>
      <c r="I1157" s="5"/>
      <c r="J1157" s="5">
        <f ca="1">IFERROR(__xludf.DUMMYFUNCTION("""COMPUTED_VALUE"""),13247524)</f>
        <v>13247524</v>
      </c>
      <c r="K1157" s="5"/>
      <c r="L1157" s="18">
        <f ca="1">IFERROR(__xludf.DUMMYFUNCTION("""COMPUTED_VALUE"""),45324)</f>
        <v>45324</v>
      </c>
      <c r="M1157" s="18">
        <f ca="1">IFERROR(__xludf.DUMMYFUNCTION("""COMPUTED_VALUE"""),45324)</f>
        <v>45324</v>
      </c>
      <c r="N1157" s="5" t="str">
        <f ca="1">IFERROR(__xludf.DUMMYFUNCTION("""COMPUTED_VALUE"""),"MUÑOZ VALENCIA JEFFERSON")</f>
        <v>MUÑOZ VALENCIA JEFFERSON</v>
      </c>
      <c r="O1157" s="2">
        <f ca="1">IFERROR(__xludf.DUMMYFUNCTION("""COMPUTED_VALUE"""),0.0125)</f>
        <v>1.2500000000000001E-2</v>
      </c>
      <c r="P1157" s="5">
        <f ca="1">IFERROR(__xludf.DUMMYFUNCTION("""COMPUTED_VALUE"""),20062055)</f>
        <v>20062055</v>
      </c>
      <c r="Q1157" s="5" t="str">
        <f ca="1">IFERROR(__xludf.DUMMYFUNCTION("""COMPUTED_VALUE"""),"84hmE3GbTmc")</f>
        <v>84hmE3GbTmc</v>
      </c>
      <c r="R1157" s="5">
        <f ca="1">IFERROR(__xludf.DUMMYFUNCTION("""COMPUTED_VALUE"""),410)</f>
        <v>410</v>
      </c>
      <c r="S1157" s="62">
        <f ca="1">IFERROR(__xludf.DUMMYFUNCTION("""COMPUTED_VALUE"""),0.0125)</f>
        <v>1.2500000000000001E-2</v>
      </c>
      <c r="T1157" s="63" t="str">
        <f ca="1">IFERROR(__xludf.DUMMYFUNCTION("""COMPUTED_VALUE"""),"https://storage.googleapis.com/glide-prod.appspot.com/uploads-v2/ly7o78grxPaC6KdgvbpS/pub/3aRdSog0vUtuqPE8AJKD.png")</f>
        <v>https://storage.googleapis.com/glide-prod.appspot.com/uploads-v2/ly7o78grxPaC6KdgvbpS/pub/3aRdSog0vUtuqPE8AJKD.png</v>
      </c>
      <c r="U1157" s="5" t="str">
        <f ca="1">IFERROR(__xludf.DUMMYFUNCTION("""COMPUTED_VALUE"""),"EQUIPOS PARA SERVICIOS INDUSTRIALESTANQUE DE SODA CAUSTICA")</f>
        <v>EQUIPOS PARA SERVICIOS INDUSTRIALESTANQUE DE SODA CAUSTICA</v>
      </c>
      <c r="V1157" s="5"/>
      <c r="W1157" s="5" t="b">
        <f ca="1">IFERROR(__xludf.DUMMYFUNCTION("""COMPUTED_VALUE"""),TRUE)</f>
        <v>1</v>
      </c>
      <c r="X1157" s="5" t="str">
        <f ca="1">IFERROR(__xludf.DUMMYFUNCTION("""COMPUTED_VALUE"""),"wmazorra@postobon.com.co,aprmttoyu@postobon.com.co,aprmyu@postobon.com.co,wmora@postobon.com.co,efzapata@postobon.com.co")</f>
        <v>wmazorra@postobon.com.co,aprmttoyu@postobon.com.co,aprmyu@postobon.com.co,wmora@postobon.com.co,efzapata@postobon.com.co</v>
      </c>
      <c r="Y1157" s="5" t="str">
        <f ca="1">IFERROR(__xludf.DUMMYFUNCTION("""COMPUTED_VALUE"""),"wmazorra@postobon.com.co")</f>
        <v>wmazorra@postobon.com.co</v>
      </c>
      <c r="Z1157" s="5" t="str">
        <f ca="1">IFERROR(__xludf.DUMMYFUNCTION("""COMPUTED_VALUE"""),"6Vi9NG0nQcagbYgArI5O8A")</f>
        <v>6Vi9NG0nQcagbYgArI5O8A</v>
      </c>
      <c r="AA1157" s="5"/>
      <c r="AB1157" s="5"/>
      <c r="AC1157" s="5"/>
      <c r="AD1157" s="5">
        <f ca="1">IFERROR(__xludf.DUMMYFUNCTION("""COMPUTED_VALUE"""),58)</f>
        <v>58</v>
      </c>
      <c r="AE1157" s="5">
        <f ca="1">IFERROR(__xludf.DUMMYFUNCTION("""COMPUTED_VALUE"""),58)</f>
        <v>58</v>
      </c>
      <c r="AF1157" s="5" t="b">
        <f ca="1">IFERROR(__xludf.DUMMYFUNCTION("""COMPUTED_VALUE"""),FALSE)</f>
        <v>0</v>
      </c>
      <c r="AG1157" s="5" t="str">
        <f ca="1">IFERROR(__xludf.DUMMYFUNCTION("""COMPUTED_VALUE"""),"INSPECCIONES REALIZADAS")</f>
        <v>INSPECCIONES REALIZADAS</v>
      </c>
      <c r="AH1157" s="5"/>
    </row>
    <row r="1158" spans="1:34">
      <c r="A1158" s="5" t="str">
        <f ca="1">IFERROR(__xludf.DUMMYFUNCTION("""COMPUTED_VALUE"""),"EQUIPOS PARA SERVICIOS INDUSTRIALES")</f>
        <v>EQUIPOS PARA SERVICIOS INDUSTRIALES</v>
      </c>
      <c r="B1158" s="5">
        <f ca="1">IFERROR(__xludf.DUMMYFUNCTION("""COMPUTED_VALUE"""),709725)</f>
        <v>709725</v>
      </c>
      <c r="C1158" s="5" t="str">
        <f ca="1">IFERROR(__xludf.DUMMYFUNCTION("""COMPUTED_VALUE"""),"TANQUE DE SODA CAUSTICA")</f>
        <v>TANQUE DE SODA CAUSTICA</v>
      </c>
      <c r="D1158" s="5">
        <f ca="1">IFERROR(__xludf.DUMMYFUNCTION("""COMPUTED_VALUE"""),13247524)</f>
        <v>13247524</v>
      </c>
      <c r="E1158" s="5" t="str">
        <f ca="1">IFERROR(__xludf.DUMMYFUNCTION("""COMPUTED_VALUE"""),"INSPECCION SEMANAL TANQUE DE SODA CAUSTI")</f>
        <v>INSPECCION SEMANAL TANQUE DE SODA CAUSTI</v>
      </c>
      <c r="F1158" s="5" t="str">
        <f ca="1">IFERROR(__xludf.DUMMYFUNCTION("""COMPUTED_VALUE"""),"ESCAPE FLUIDOS (CO2,ACPM,SODA,AMONIACO)")</f>
        <v>ESCAPE FLUIDOS (CO2,ACPM,SODA,AMONIACO)</v>
      </c>
      <c r="G1158" s="5" t="b">
        <f ca="1">IFERROR(__xludf.DUMMYFUNCTION("""COMPUTED_VALUE"""),TRUE)</f>
        <v>1</v>
      </c>
      <c r="H1158" s="5"/>
      <c r="I1158" s="5"/>
      <c r="J1158" s="5">
        <f ca="1">IFERROR(__xludf.DUMMYFUNCTION("""COMPUTED_VALUE"""),13247524)</f>
        <v>13247524</v>
      </c>
      <c r="K1158" s="5"/>
      <c r="L1158" s="18">
        <f ca="1">IFERROR(__xludf.DUMMYFUNCTION("""COMPUTED_VALUE"""),45324)</f>
        <v>45324</v>
      </c>
      <c r="M1158" s="18">
        <f ca="1">IFERROR(__xludf.DUMMYFUNCTION("""COMPUTED_VALUE"""),45324)</f>
        <v>45324</v>
      </c>
      <c r="N1158" s="5" t="str">
        <f ca="1">IFERROR(__xludf.DUMMYFUNCTION("""COMPUTED_VALUE"""),"MUÑOZ VALENCIA JEFFERSON")</f>
        <v>MUÑOZ VALENCIA JEFFERSON</v>
      </c>
      <c r="O1158" s="2">
        <f ca="1">IFERROR(__xludf.DUMMYFUNCTION("""COMPUTED_VALUE"""),0.0125)</f>
        <v>1.2500000000000001E-2</v>
      </c>
      <c r="P1158" s="5">
        <f ca="1">IFERROR(__xludf.DUMMYFUNCTION("""COMPUTED_VALUE"""),20062055)</f>
        <v>20062055</v>
      </c>
      <c r="Q1158" s="5" t="str">
        <f ca="1">IFERROR(__xludf.DUMMYFUNCTION("""COMPUTED_VALUE"""),"IfQjf-bOFyI")</f>
        <v>IfQjf-bOFyI</v>
      </c>
      <c r="R1158" s="5">
        <f ca="1">IFERROR(__xludf.DUMMYFUNCTION("""COMPUTED_VALUE"""),410)</f>
        <v>410</v>
      </c>
      <c r="S1158" s="62">
        <f ca="1">IFERROR(__xludf.DUMMYFUNCTION("""COMPUTED_VALUE"""),0.0125)</f>
        <v>1.2500000000000001E-2</v>
      </c>
      <c r="T1158" s="63" t="str">
        <f ca="1">IFERROR(__xludf.DUMMYFUNCTION("""COMPUTED_VALUE"""),"https://storage.googleapis.com/glide-prod.appspot.com/uploads-v2/ly7o78grxPaC6KdgvbpS/pub/3aRdSog0vUtuqPE8AJKD.png")</f>
        <v>https://storage.googleapis.com/glide-prod.appspot.com/uploads-v2/ly7o78grxPaC6KdgvbpS/pub/3aRdSog0vUtuqPE8AJKD.png</v>
      </c>
      <c r="U1158" s="5" t="str">
        <f ca="1">IFERROR(__xludf.DUMMYFUNCTION("""COMPUTED_VALUE"""),"EQUIPOS PARA SERVICIOS INDUSTRIALESTANQUE DE SODA CAUSTICA")</f>
        <v>EQUIPOS PARA SERVICIOS INDUSTRIALESTANQUE DE SODA CAUSTICA</v>
      </c>
      <c r="V1158" s="5"/>
      <c r="W1158" s="5" t="b">
        <f ca="1">IFERROR(__xludf.DUMMYFUNCTION("""COMPUTED_VALUE"""),TRUE)</f>
        <v>1</v>
      </c>
      <c r="X1158" s="5" t="str">
        <f ca="1">IFERROR(__xludf.DUMMYFUNCTION("""COMPUTED_VALUE"""),"wmazorra@postobon.com.co,aprmttoyu@postobon.com.co,aprmyu@postobon.com.co,wmora@postobon.com.co,efzapata@postobon.com.co")</f>
        <v>wmazorra@postobon.com.co,aprmttoyu@postobon.com.co,aprmyu@postobon.com.co,wmora@postobon.com.co,efzapata@postobon.com.co</v>
      </c>
      <c r="Y1158" s="5" t="str">
        <f ca="1">IFERROR(__xludf.DUMMYFUNCTION("""COMPUTED_VALUE"""),"wmazorra@postobon.com.co")</f>
        <v>wmazorra@postobon.com.co</v>
      </c>
      <c r="Z1158" s="5" t="str">
        <f ca="1">IFERROR(__xludf.DUMMYFUNCTION("""COMPUTED_VALUE"""),"rcKTSHO0RrqhDtYjoDpfXg")</f>
        <v>rcKTSHO0RrqhDtYjoDpfXg</v>
      </c>
      <c r="AA1158" s="5"/>
      <c r="AB1158" s="5"/>
      <c r="AC1158" s="5"/>
      <c r="AD1158" s="5">
        <f ca="1">IFERROR(__xludf.DUMMYFUNCTION("""COMPUTED_VALUE"""),58)</f>
        <v>58</v>
      </c>
      <c r="AE1158" s="5">
        <f ca="1">IFERROR(__xludf.DUMMYFUNCTION("""COMPUTED_VALUE"""),58)</f>
        <v>58</v>
      </c>
      <c r="AF1158" s="5" t="b">
        <f ca="1">IFERROR(__xludf.DUMMYFUNCTION("""COMPUTED_VALUE"""),FALSE)</f>
        <v>0</v>
      </c>
      <c r="AG1158" s="5" t="str">
        <f ca="1">IFERROR(__xludf.DUMMYFUNCTION("""COMPUTED_VALUE"""),"INSPECCIONES REALIZADAS")</f>
        <v>INSPECCIONES REALIZADAS</v>
      </c>
      <c r="AH1158" s="5"/>
    </row>
    <row r="1159" spans="1:34">
      <c r="A1159" s="5" t="str">
        <f ca="1">IFERROR(__xludf.DUMMYFUNCTION("""COMPUTED_VALUE"""),"EQUIPOS PARA SERVICIOS INDUSTRIALES")</f>
        <v>EQUIPOS PARA SERVICIOS INDUSTRIALES</v>
      </c>
      <c r="B1159" s="5">
        <f ca="1">IFERROR(__xludf.DUMMYFUNCTION("""COMPUTED_VALUE"""),709725)</f>
        <v>709725</v>
      </c>
      <c r="C1159" s="5" t="str">
        <f ca="1">IFERROR(__xludf.DUMMYFUNCTION("""COMPUTED_VALUE"""),"TANQUE DE SODA CAUSTICA")</f>
        <v>TANQUE DE SODA CAUSTICA</v>
      </c>
      <c r="D1159" s="5">
        <f ca="1">IFERROR(__xludf.DUMMYFUNCTION("""COMPUTED_VALUE"""),13247524)</f>
        <v>13247524</v>
      </c>
      <c r="E1159" s="5" t="str">
        <f ca="1">IFERROR(__xludf.DUMMYFUNCTION("""COMPUTED_VALUE"""),"INSPECCION SEMANAL TANQUE DE SODA CAUSTI")</f>
        <v>INSPECCION SEMANAL TANQUE DE SODA CAUSTI</v>
      </c>
      <c r="F1159" s="5" t="str">
        <f ca="1">IFERROR(__xludf.DUMMYFUNCTION("""COMPUTED_VALUE"""),"FUNC. MOTOBOM TANQUE(SODA,ACPM)")</f>
        <v>FUNC. MOTOBOM TANQUE(SODA,ACPM)</v>
      </c>
      <c r="G1159" s="5" t="b">
        <f ca="1">IFERROR(__xludf.DUMMYFUNCTION("""COMPUTED_VALUE"""),TRUE)</f>
        <v>1</v>
      </c>
      <c r="H1159" s="5"/>
      <c r="I1159" s="5"/>
      <c r="J1159" s="5">
        <f ca="1">IFERROR(__xludf.DUMMYFUNCTION("""COMPUTED_VALUE"""),13247524)</f>
        <v>13247524</v>
      </c>
      <c r="K1159" s="5"/>
      <c r="L1159" s="18">
        <f ca="1">IFERROR(__xludf.DUMMYFUNCTION("""COMPUTED_VALUE"""),45324)</f>
        <v>45324</v>
      </c>
      <c r="M1159" s="18">
        <f ca="1">IFERROR(__xludf.DUMMYFUNCTION("""COMPUTED_VALUE"""),45324)</f>
        <v>45324</v>
      </c>
      <c r="N1159" s="5" t="str">
        <f ca="1">IFERROR(__xludf.DUMMYFUNCTION("""COMPUTED_VALUE"""),"MUÑOZ VALENCIA JEFFERSON")</f>
        <v>MUÑOZ VALENCIA JEFFERSON</v>
      </c>
      <c r="O1159" s="2">
        <f ca="1">IFERROR(__xludf.DUMMYFUNCTION("""COMPUTED_VALUE"""),0.0125)</f>
        <v>1.2500000000000001E-2</v>
      </c>
      <c r="P1159" s="5">
        <f ca="1">IFERROR(__xludf.DUMMYFUNCTION("""COMPUTED_VALUE"""),20062055)</f>
        <v>20062055</v>
      </c>
      <c r="Q1159" s="5" t="str">
        <f ca="1">IFERROR(__xludf.DUMMYFUNCTION("""COMPUTED_VALUE"""),"dSBEiJrPMfs")</f>
        <v>dSBEiJrPMfs</v>
      </c>
      <c r="R1159" s="5">
        <f ca="1">IFERROR(__xludf.DUMMYFUNCTION("""COMPUTED_VALUE"""),410)</f>
        <v>410</v>
      </c>
      <c r="S1159" s="62">
        <f ca="1">IFERROR(__xludf.DUMMYFUNCTION("""COMPUTED_VALUE"""),0.0125)</f>
        <v>1.2500000000000001E-2</v>
      </c>
      <c r="T1159" s="63" t="str">
        <f ca="1">IFERROR(__xludf.DUMMYFUNCTION("""COMPUTED_VALUE"""),"https://storage.googleapis.com/glide-prod.appspot.com/uploads-v2/ly7o78grxPaC6KdgvbpS/pub/3aRdSog0vUtuqPE8AJKD.png")</f>
        <v>https://storage.googleapis.com/glide-prod.appspot.com/uploads-v2/ly7o78grxPaC6KdgvbpS/pub/3aRdSog0vUtuqPE8AJKD.png</v>
      </c>
      <c r="U1159" s="5" t="str">
        <f ca="1">IFERROR(__xludf.DUMMYFUNCTION("""COMPUTED_VALUE"""),"EQUIPOS PARA SERVICIOS INDUSTRIALESTANQUE DE SODA CAUSTICA")</f>
        <v>EQUIPOS PARA SERVICIOS INDUSTRIALESTANQUE DE SODA CAUSTICA</v>
      </c>
      <c r="V1159" s="5"/>
      <c r="W1159" s="5" t="b">
        <f ca="1">IFERROR(__xludf.DUMMYFUNCTION("""COMPUTED_VALUE"""),TRUE)</f>
        <v>1</v>
      </c>
      <c r="X1159" s="5" t="str">
        <f ca="1">IFERROR(__xludf.DUMMYFUNCTION("""COMPUTED_VALUE"""),"wmazorra@postobon.com.co,aprmttoyu@postobon.com.co,aprmyu@postobon.com.co,wmora@postobon.com.co,efzapata@postobon.com.co")</f>
        <v>wmazorra@postobon.com.co,aprmttoyu@postobon.com.co,aprmyu@postobon.com.co,wmora@postobon.com.co,efzapata@postobon.com.co</v>
      </c>
      <c r="Y1159" s="5" t="str">
        <f ca="1">IFERROR(__xludf.DUMMYFUNCTION("""COMPUTED_VALUE"""),"wmazorra@postobon.com.co")</f>
        <v>wmazorra@postobon.com.co</v>
      </c>
      <c r="Z1159" s="5" t="str">
        <f ca="1">IFERROR(__xludf.DUMMYFUNCTION("""COMPUTED_VALUE"""),"Mw9YYBDDQdi2s6DlrjMKvg")</f>
        <v>Mw9YYBDDQdi2s6DlrjMKvg</v>
      </c>
      <c r="AA1159" s="5"/>
      <c r="AB1159" s="5"/>
      <c r="AC1159" s="5"/>
      <c r="AD1159" s="5">
        <f ca="1">IFERROR(__xludf.DUMMYFUNCTION("""COMPUTED_VALUE"""),58)</f>
        <v>58</v>
      </c>
      <c r="AE1159" s="5">
        <f ca="1">IFERROR(__xludf.DUMMYFUNCTION("""COMPUTED_VALUE"""),58)</f>
        <v>58</v>
      </c>
      <c r="AF1159" s="5" t="b">
        <f ca="1">IFERROR(__xludf.DUMMYFUNCTION("""COMPUTED_VALUE"""),FALSE)</f>
        <v>0</v>
      </c>
      <c r="AG1159" s="5" t="str">
        <f ca="1">IFERROR(__xludf.DUMMYFUNCTION("""COMPUTED_VALUE"""),"INSPECCIONES REALIZADAS")</f>
        <v>INSPECCIONES REALIZADAS</v>
      </c>
      <c r="AH1159" s="5"/>
    </row>
    <row r="1160" spans="1:34">
      <c r="A1160" s="5" t="str">
        <f ca="1">IFERROR(__xludf.DUMMYFUNCTION("""COMPUTED_VALUE"""),"EQUIPOS PARA SERVICIOS INDUSTRIALES")</f>
        <v>EQUIPOS PARA SERVICIOS INDUSTRIALES</v>
      </c>
      <c r="B1160" s="5">
        <f ca="1">IFERROR(__xludf.DUMMYFUNCTION("""COMPUTED_VALUE"""),709725)</f>
        <v>709725</v>
      </c>
      <c r="C1160" s="5" t="str">
        <f ca="1">IFERROR(__xludf.DUMMYFUNCTION("""COMPUTED_VALUE"""),"TANQUE DE SODA CAUSTICA")</f>
        <v>TANQUE DE SODA CAUSTICA</v>
      </c>
      <c r="D1160" s="5">
        <f ca="1">IFERROR(__xludf.DUMMYFUNCTION("""COMPUTED_VALUE"""),13247524)</f>
        <v>13247524</v>
      </c>
      <c r="E1160" s="5" t="str">
        <f ca="1">IFERROR(__xludf.DUMMYFUNCTION("""COMPUTED_VALUE"""),"INSPECCION SEMANAL TANQUE DE SODA CAUSTI")</f>
        <v>INSPECCION SEMANAL TANQUE DE SODA CAUSTI</v>
      </c>
      <c r="F1160" s="5" t="str">
        <f ca="1">IFERROR(__xludf.DUMMYFUNCTION("""COMPUTED_VALUE"""),"INSTRUMENTOS MEDICION")</f>
        <v>INSTRUMENTOS MEDICION</v>
      </c>
      <c r="G1160" s="5" t="b">
        <f ca="1">IFERROR(__xludf.DUMMYFUNCTION("""COMPUTED_VALUE"""),TRUE)</f>
        <v>1</v>
      </c>
      <c r="H1160" s="5"/>
      <c r="I1160" s="5"/>
      <c r="J1160" s="5">
        <f ca="1">IFERROR(__xludf.DUMMYFUNCTION("""COMPUTED_VALUE"""),13247524)</f>
        <v>13247524</v>
      </c>
      <c r="K1160" s="5"/>
      <c r="L1160" s="18">
        <f ca="1">IFERROR(__xludf.DUMMYFUNCTION("""COMPUTED_VALUE"""),45324)</f>
        <v>45324</v>
      </c>
      <c r="M1160" s="18">
        <f ca="1">IFERROR(__xludf.DUMMYFUNCTION("""COMPUTED_VALUE"""),45324)</f>
        <v>45324</v>
      </c>
      <c r="N1160" s="5" t="str">
        <f ca="1">IFERROR(__xludf.DUMMYFUNCTION("""COMPUTED_VALUE"""),"MUÑOZ VALENCIA JEFFERSON")</f>
        <v>MUÑOZ VALENCIA JEFFERSON</v>
      </c>
      <c r="O1160" s="2">
        <f ca="1">IFERROR(__xludf.DUMMYFUNCTION("""COMPUTED_VALUE"""),0.0125)</f>
        <v>1.2500000000000001E-2</v>
      </c>
      <c r="P1160" s="5">
        <f ca="1">IFERROR(__xludf.DUMMYFUNCTION("""COMPUTED_VALUE"""),20062055)</f>
        <v>20062055</v>
      </c>
      <c r="Q1160" s="5" t="str">
        <f ca="1">IFERROR(__xludf.DUMMYFUNCTION("""COMPUTED_VALUE"""),"9G1n9ALwHhY")</f>
        <v>9G1n9ALwHhY</v>
      </c>
      <c r="R1160" s="5">
        <f ca="1">IFERROR(__xludf.DUMMYFUNCTION("""COMPUTED_VALUE"""),410)</f>
        <v>410</v>
      </c>
      <c r="S1160" s="62">
        <f ca="1">IFERROR(__xludf.DUMMYFUNCTION("""COMPUTED_VALUE"""),0.0125)</f>
        <v>1.2500000000000001E-2</v>
      </c>
      <c r="T1160" s="63" t="str">
        <f ca="1">IFERROR(__xludf.DUMMYFUNCTION("""COMPUTED_VALUE"""),"https://storage.googleapis.com/glide-prod.appspot.com/uploads-v2/ly7o78grxPaC6KdgvbpS/pub/3aRdSog0vUtuqPE8AJKD.png")</f>
        <v>https://storage.googleapis.com/glide-prod.appspot.com/uploads-v2/ly7o78grxPaC6KdgvbpS/pub/3aRdSog0vUtuqPE8AJKD.png</v>
      </c>
      <c r="U1160" s="5" t="str">
        <f ca="1">IFERROR(__xludf.DUMMYFUNCTION("""COMPUTED_VALUE"""),"EQUIPOS PARA SERVICIOS INDUSTRIALESTANQUE DE SODA CAUSTICA")</f>
        <v>EQUIPOS PARA SERVICIOS INDUSTRIALESTANQUE DE SODA CAUSTICA</v>
      </c>
      <c r="V1160" s="5"/>
      <c r="W1160" s="5" t="b">
        <f ca="1">IFERROR(__xludf.DUMMYFUNCTION("""COMPUTED_VALUE"""),TRUE)</f>
        <v>1</v>
      </c>
      <c r="X1160" s="5" t="str">
        <f ca="1">IFERROR(__xludf.DUMMYFUNCTION("""COMPUTED_VALUE"""),"wmazorra@postobon.com.co,aprmttoyu@postobon.com.co,aprmyu@postobon.com.co,wmora@postobon.com.co,efzapata@postobon.com.co")</f>
        <v>wmazorra@postobon.com.co,aprmttoyu@postobon.com.co,aprmyu@postobon.com.co,wmora@postobon.com.co,efzapata@postobon.com.co</v>
      </c>
      <c r="Y1160" s="5" t="str">
        <f ca="1">IFERROR(__xludf.DUMMYFUNCTION("""COMPUTED_VALUE"""),"wmazorra@postobon.com.co")</f>
        <v>wmazorra@postobon.com.co</v>
      </c>
      <c r="Z1160" s="5" t="str">
        <f ca="1">IFERROR(__xludf.DUMMYFUNCTION("""COMPUTED_VALUE"""),"ZrDfFyVFT5K338b.pqOVJA")</f>
        <v>ZrDfFyVFT5K338b.pqOVJA</v>
      </c>
      <c r="AA1160" s="5"/>
      <c r="AB1160" s="5"/>
      <c r="AC1160" s="5"/>
      <c r="AD1160" s="5">
        <f ca="1">IFERROR(__xludf.DUMMYFUNCTION("""COMPUTED_VALUE"""),58)</f>
        <v>58</v>
      </c>
      <c r="AE1160" s="5">
        <f ca="1">IFERROR(__xludf.DUMMYFUNCTION("""COMPUTED_VALUE"""),58)</f>
        <v>58</v>
      </c>
      <c r="AF1160" s="5" t="b">
        <f ca="1">IFERROR(__xludf.DUMMYFUNCTION("""COMPUTED_VALUE"""),FALSE)</f>
        <v>0</v>
      </c>
      <c r="AG1160" s="5" t="str">
        <f ca="1">IFERROR(__xludf.DUMMYFUNCTION("""COMPUTED_VALUE"""),"INSPECCIONES REALIZADAS")</f>
        <v>INSPECCIONES REALIZADAS</v>
      </c>
      <c r="AH1160" s="5"/>
    </row>
    <row r="1161" spans="1:34">
      <c r="A1161" s="5" t="str">
        <f ca="1">IFERROR(__xludf.DUMMYFUNCTION("""COMPUTED_VALUE"""),"EQUIPOS PARA SERVICIOS INDUSTRIALES")</f>
        <v>EQUIPOS PARA SERVICIOS INDUSTRIALES</v>
      </c>
      <c r="B1161" s="5">
        <f ca="1">IFERROR(__xludf.DUMMYFUNCTION("""COMPUTED_VALUE"""),709725)</f>
        <v>709725</v>
      </c>
      <c r="C1161" s="5" t="str">
        <f ca="1">IFERROR(__xludf.DUMMYFUNCTION("""COMPUTED_VALUE"""),"TANQUE DE SODA CAUSTICA")</f>
        <v>TANQUE DE SODA CAUSTICA</v>
      </c>
      <c r="D1161" s="5">
        <f ca="1">IFERROR(__xludf.DUMMYFUNCTION("""COMPUTED_VALUE"""),13247524)</f>
        <v>13247524</v>
      </c>
      <c r="E1161" s="5" t="str">
        <f ca="1">IFERROR(__xludf.DUMMYFUNCTION("""COMPUTED_VALUE"""),"INSPECCION SEMANAL TANQUE DE SODA CAUSTI")</f>
        <v>INSPECCION SEMANAL TANQUE DE SODA CAUSTI</v>
      </c>
      <c r="F1161" s="5" t="str">
        <f ca="1">IFERROR(__xludf.DUMMYFUNCTION("""COMPUTED_VALUE"""),"ESTADO GRAL PINTURA")</f>
        <v>ESTADO GRAL PINTURA</v>
      </c>
      <c r="G1161" s="5" t="b">
        <f ca="1">IFERROR(__xludf.DUMMYFUNCTION("""COMPUTED_VALUE"""),TRUE)</f>
        <v>1</v>
      </c>
      <c r="H1161" s="5"/>
      <c r="I1161" s="5"/>
      <c r="J1161" s="5">
        <f ca="1">IFERROR(__xludf.DUMMYFUNCTION("""COMPUTED_VALUE"""),13247524)</f>
        <v>13247524</v>
      </c>
      <c r="K1161" s="5"/>
      <c r="L1161" s="18">
        <f ca="1">IFERROR(__xludf.DUMMYFUNCTION("""COMPUTED_VALUE"""),45324)</f>
        <v>45324</v>
      </c>
      <c r="M1161" s="18">
        <f ca="1">IFERROR(__xludf.DUMMYFUNCTION("""COMPUTED_VALUE"""),45324)</f>
        <v>45324</v>
      </c>
      <c r="N1161" s="5" t="str">
        <f ca="1">IFERROR(__xludf.DUMMYFUNCTION("""COMPUTED_VALUE"""),"MUÑOZ VALENCIA JEFFERSON")</f>
        <v>MUÑOZ VALENCIA JEFFERSON</v>
      </c>
      <c r="O1161" s="2">
        <f ca="1">IFERROR(__xludf.DUMMYFUNCTION("""COMPUTED_VALUE"""),0.0125)</f>
        <v>1.2500000000000001E-2</v>
      </c>
      <c r="P1161" s="5">
        <f ca="1">IFERROR(__xludf.DUMMYFUNCTION("""COMPUTED_VALUE"""),20062055)</f>
        <v>20062055</v>
      </c>
      <c r="Q1161" s="5" t="str">
        <f ca="1">IFERROR(__xludf.DUMMYFUNCTION("""COMPUTED_VALUE"""),"Ai4Z6meIBo0")</f>
        <v>Ai4Z6meIBo0</v>
      </c>
      <c r="R1161" s="5">
        <f ca="1">IFERROR(__xludf.DUMMYFUNCTION("""COMPUTED_VALUE"""),410)</f>
        <v>410</v>
      </c>
      <c r="S1161" s="62">
        <f ca="1">IFERROR(__xludf.DUMMYFUNCTION("""COMPUTED_VALUE"""),0.0125)</f>
        <v>1.2500000000000001E-2</v>
      </c>
      <c r="T1161" s="63" t="str">
        <f ca="1">IFERROR(__xludf.DUMMYFUNCTION("""COMPUTED_VALUE"""),"https://storage.googleapis.com/glide-prod.appspot.com/uploads-v2/ly7o78grxPaC6KdgvbpS/pub/3aRdSog0vUtuqPE8AJKD.png")</f>
        <v>https://storage.googleapis.com/glide-prod.appspot.com/uploads-v2/ly7o78grxPaC6KdgvbpS/pub/3aRdSog0vUtuqPE8AJKD.png</v>
      </c>
      <c r="U1161" s="5" t="str">
        <f ca="1">IFERROR(__xludf.DUMMYFUNCTION("""COMPUTED_VALUE"""),"EQUIPOS PARA SERVICIOS INDUSTRIALESTANQUE DE SODA CAUSTICA")</f>
        <v>EQUIPOS PARA SERVICIOS INDUSTRIALESTANQUE DE SODA CAUSTICA</v>
      </c>
      <c r="V1161" s="5"/>
      <c r="W1161" s="5" t="b">
        <f ca="1">IFERROR(__xludf.DUMMYFUNCTION("""COMPUTED_VALUE"""),TRUE)</f>
        <v>1</v>
      </c>
      <c r="X1161" s="5" t="str">
        <f ca="1">IFERROR(__xludf.DUMMYFUNCTION("""COMPUTED_VALUE"""),"wmazorra@postobon.com.co,aprmttoyu@postobon.com.co,aprmyu@postobon.com.co,wmora@postobon.com.co,efzapata@postobon.com.co")</f>
        <v>wmazorra@postobon.com.co,aprmttoyu@postobon.com.co,aprmyu@postobon.com.co,wmora@postobon.com.co,efzapata@postobon.com.co</v>
      </c>
      <c r="Y1161" s="5" t="str">
        <f ca="1">IFERROR(__xludf.DUMMYFUNCTION("""COMPUTED_VALUE"""),"wmazorra@postobon.com.co")</f>
        <v>wmazorra@postobon.com.co</v>
      </c>
      <c r="Z1161" s="5" t="str">
        <f ca="1">IFERROR(__xludf.DUMMYFUNCTION("""COMPUTED_VALUE"""),"1AwYH.ZxSrymiu4.0JjN9Q")</f>
        <v>1AwYH.ZxSrymiu4.0JjN9Q</v>
      </c>
      <c r="AA1161" s="5"/>
      <c r="AB1161" s="5"/>
      <c r="AC1161" s="5"/>
      <c r="AD1161" s="5">
        <f ca="1">IFERROR(__xludf.DUMMYFUNCTION("""COMPUTED_VALUE"""),58)</f>
        <v>58</v>
      </c>
      <c r="AE1161" s="5">
        <f ca="1">IFERROR(__xludf.DUMMYFUNCTION("""COMPUTED_VALUE"""),58)</f>
        <v>58</v>
      </c>
      <c r="AF1161" s="5" t="b">
        <f ca="1">IFERROR(__xludf.DUMMYFUNCTION("""COMPUTED_VALUE"""),FALSE)</f>
        <v>0</v>
      </c>
      <c r="AG1161" s="5" t="str">
        <f ca="1">IFERROR(__xludf.DUMMYFUNCTION("""COMPUTED_VALUE"""),"INSPECCIONES REALIZADAS")</f>
        <v>INSPECCIONES REALIZADAS</v>
      </c>
      <c r="AH1161" s="5"/>
    </row>
    <row r="1162" spans="1:34">
      <c r="A1162" s="5" t="str">
        <f ca="1">IFERROR(__xludf.DUMMYFUNCTION("""COMPUTED_VALUE"""),"EQUIPOS PARA SERVICIOS INDUSTRIALES")</f>
        <v>EQUIPOS PARA SERVICIOS INDUSTRIALES</v>
      </c>
      <c r="B1162" s="5">
        <f ca="1">IFERROR(__xludf.DUMMYFUNCTION("""COMPUTED_VALUE"""),709725)</f>
        <v>709725</v>
      </c>
      <c r="C1162" s="5" t="str">
        <f ca="1">IFERROR(__xludf.DUMMYFUNCTION("""COMPUTED_VALUE"""),"TANQUE DE SODA CAUSTICA")</f>
        <v>TANQUE DE SODA CAUSTICA</v>
      </c>
      <c r="D1162" s="5">
        <f ca="1">IFERROR(__xludf.DUMMYFUNCTION("""COMPUTED_VALUE"""),13247524)</f>
        <v>13247524</v>
      </c>
      <c r="E1162" s="5" t="str">
        <f ca="1">IFERROR(__xludf.DUMMYFUNCTION("""COMPUTED_VALUE"""),"INSPECCION SEMANAL TANQUE DE SODA CAUSTI")</f>
        <v>INSPECCION SEMANAL TANQUE DE SODA CAUSTI</v>
      </c>
      <c r="F1162" s="5" t="str">
        <f ca="1">IFERROR(__xludf.DUMMYFUNCTION("""COMPUTED_VALUE"""),"INSP SSITEMA ELECTRICO GRAL")</f>
        <v>INSP SSITEMA ELECTRICO GRAL</v>
      </c>
      <c r="G1162" s="5" t="b">
        <f ca="1">IFERROR(__xludf.DUMMYFUNCTION("""COMPUTED_VALUE"""),TRUE)</f>
        <v>1</v>
      </c>
      <c r="H1162" s="5"/>
      <c r="I1162" s="5"/>
      <c r="J1162" s="5">
        <f ca="1">IFERROR(__xludf.DUMMYFUNCTION("""COMPUTED_VALUE"""),13247524)</f>
        <v>13247524</v>
      </c>
      <c r="K1162" s="5"/>
      <c r="L1162" s="18">
        <f ca="1">IFERROR(__xludf.DUMMYFUNCTION("""COMPUTED_VALUE"""),45324)</f>
        <v>45324</v>
      </c>
      <c r="M1162" s="18">
        <f ca="1">IFERROR(__xludf.DUMMYFUNCTION("""COMPUTED_VALUE"""),45324)</f>
        <v>45324</v>
      </c>
      <c r="N1162" s="5" t="str">
        <f ca="1">IFERROR(__xludf.DUMMYFUNCTION("""COMPUTED_VALUE"""),"MUÑOZ VALENCIA JEFFERSON")</f>
        <v>MUÑOZ VALENCIA JEFFERSON</v>
      </c>
      <c r="O1162" s="2">
        <f ca="1">IFERROR(__xludf.DUMMYFUNCTION("""COMPUTED_VALUE"""),0.0125)</f>
        <v>1.2500000000000001E-2</v>
      </c>
      <c r="P1162" s="5">
        <f ca="1">IFERROR(__xludf.DUMMYFUNCTION("""COMPUTED_VALUE"""),20062055)</f>
        <v>20062055</v>
      </c>
      <c r="Q1162" s="5" t="str">
        <f ca="1">IFERROR(__xludf.DUMMYFUNCTION("""COMPUTED_VALUE"""),"dBdYKqEgF2w")</f>
        <v>dBdYKqEgF2w</v>
      </c>
      <c r="R1162" s="5">
        <f ca="1">IFERROR(__xludf.DUMMYFUNCTION("""COMPUTED_VALUE"""),410)</f>
        <v>410</v>
      </c>
      <c r="S1162" s="62">
        <f ca="1">IFERROR(__xludf.DUMMYFUNCTION("""COMPUTED_VALUE"""),0.0125)</f>
        <v>1.2500000000000001E-2</v>
      </c>
      <c r="T1162" s="63" t="str">
        <f ca="1">IFERROR(__xludf.DUMMYFUNCTION("""COMPUTED_VALUE"""),"https://storage.googleapis.com/glide-prod.appspot.com/uploads-v2/ly7o78grxPaC6KdgvbpS/pub/3aRdSog0vUtuqPE8AJKD.png")</f>
        <v>https://storage.googleapis.com/glide-prod.appspot.com/uploads-v2/ly7o78grxPaC6KdgvbpS/pub/3aRdSog0vUtuqPE8AJKD.png</v>
      </c>
      <c r="U1162" s="5" t="str">
        <f ca="1">IFERROR(__xludf.DUMMYFUNCTION("""COMPUTED_VALUE"""),"EQUIPOS PARA SERVICIOS INDUSTRIALESTANQUE DE SODA CAUSTICA")</f>
        <v>EQUIPOS PARA SERVICIOS INDUSTRIALESTANQUE DE SODA CAUSTICA</v>
      </c>
      <c r="V1162" s="5"/>
      <c r="W1162" s="5" t="b">
        <f ca="1">IFERROR(__xludf.DUMMYFUNCTION("""COMPUTED_VALUE"""),TRUE)</f>
        <v>1</v>
      </c>
      <c r="X1162" s="5" t="str">
        <f ca="1">IFERROR(__xludf.DUMMYFUNCTION("""COMPUTED_VALUE"""),"wmazorra@postobon.com.co,aprmttoyu@postobon.com.co,aprmyu@postobon.com.co,wmora@postobon.com.co,efzapata@postobon.com.co")</f>
        <v>wmazorra@postobon.com.co,aprmttoyu@postobon.com.co,aprmyu@postobon.com.co,wmora@postobon.com.co,efzapata@postobon.com.co</v>
      </c>
      <c r="Y1162" s="5" t="str">
        <f ca="1">IFERROR(__xludf.DUMMYFUNCTION("""COMPUTED_VALUE"""),"wmazorra@postobon.com.co")</f>
        <v>wmazorra@postobon.com.co</v>
      </c>
      <c r="Z1162" s="5" t="str">
        <f ca="1">IFERROR(__xludf.DUMMYFUNCTION("""COMPUTED_VALUE"""),"XRDjX-lAQUa2Wr3JvAqRFg")</f>
        <v>XRDjX-lAQUa2Wr3JvAqRFg</v>
      </c>
      <c r="AA1162" s="5"/>
      <c r="AB1162" s="5"/>
      <c r="AC1162" s="5"/>
      <c r="AD1162" s="5">
        <f ca="1">IFERROR(__xludf.DUMMYFUNCTION("""COMPUTED_VALUE"""),58)</f>
        <v>58</v>
      </c>
      <c r="AE1162" s="5">
        <f ca="1">IFERROR(__xludf.DUMMYFUNCTION("""COMPUTED_VALUE"""),58)</f>
        <v>58</v>
      </c>
      <c r="AF1162" s="5" t="b">
        <f ca="1">IFERROR(__xludf.DUMMYFUNCTION("""COMPUTED_VALUE"""),FALSE)</f>
        <v>0</v>
      </c>
      <c r="AG1162" s="5" t="str">
        <f ca="1">IFERROR(__xludf.DUMMYFUNCTION("""COMPUTED_VALUE"""),"INSPECCIONES REALIZADAS")</f>
        <v>INSPECCIONES REALIZADAS</v>
      </c>
      <c r="AH1162" s="5"/>
    </row>
    <row r="1163" spans="1:34">
      <c r="A1163" s="5" t="str">
        <f ca="1">IFERROR(__xludf.DUMMYFUNCTION("""COMPUTED_VALUE"""),"EQUIPOS PARA SERVICIOS INDUSTRIALES")</f>
        <v>EQUIPOS PARA SERVICIOS INDUSTRIALES</v>
      </c>
      <c r="B1163" s="5">
        <f ca="1">IFERROR(__xludf.DUMMYFUNCTION("""COMPUTED_VALUE"""),709727)</f>
        <v>709727</v>
      </c>
      <c r="C1163" s="5" t="str">
        <f ca="1">IFERROR(__xludf.DUMMYFUNCTION("""COMPUTED_VALUE"""),"TANQUE DE SODA CAUSTICA RECUPERADA")</f>
        <v>TANQUE DE SODA CAUSTICA RECUPERADA</v>
      </c>
      <c r="D1163" s="5">
        <f ca="1">IFERROR(__xludf.DUMMYFUNCTION("""COMPUTED_VALUE"""),13247529)</f>
        <v>13247529</v>
      </c>
      <c r="E1163" s="5" t="str">
        <f ca="1">IFERROR(__xludf.DUMMYFUNCTION("""COMPUTED_VALUE"""),"INSPECCION SEMANAL TANQUE DE SODA CAUSTI")</f>
        <v>INSPECCION SEMANAL TANQUE DE SODA CAUSTI</v>
      </c>
      <c r="F1163" s="5" t="str">
        <f ca="1">IFERROR(__xludf.DUMMYFUNCTION("""COMPUTED_VALUE"""),"PLAN MTTO MEC TK SODA CAU RECUP 709727")</f>
        <v>PLAN MTTO MEC TK SODA CAU RECUP 709727</v>
      </c>
      <c r="G1163" s="5" t="b">
        <f ca="1">IFERROR(__xludf.DUMMYFUNCTION("""COMPUTED_VALUE"""),TRUE)</f>
        <v>1</v>
      </c>
      <c r="H1163" s="5"/>
      <c r="I1163" s="5"/>
      <c r="J1163" s="5">
        <f ca="1">IFERROR(__xludf.DUMMYFUNCTION("""COMPUTED_VALUE"""),13247529)</f>
        <v>13247529</v>
      </c>
      <c r="K1163" s="5"/>
      <c r="L1163" s="18">
        <f ca="1">IFERROR(__xludf.DUMMYFUNCTION("""COMPUTED_VALUE"""),45325)</f>
        <v>45325</v>
      </c>
      <c r="M1163" s="18">
        <f ca="1">IFERROR(__xludf.DUMMYFUNCTION("""COMPUTED_VALUE"""),45325)</f>
        <v>45325</v>
      </c>
      <c r="N1163" s="5" t="str">
        <f ca="1">IFERROR(__xludf.DUMMYFUNCTION("""COMPUTED_VALUE"""),"MUÑOZ VALENCIA JEFFERSON")</f>
        <v>MUÑOZ VALENCIA JEFFERSON</v>
      </c>
      <c r="O1163" s="2">
        <f ca="1">IFERROR(__xludf.DUMMYFUNCTION("""COMPUTED_VALUE"""),0.1)</f>
        <v>0.1</v>
      </c>
      <c r="P1163" s="5">
        <f ca="1">IFERROR(__xludf.DUMMYFUNCTION("""COMPUTED_VALUE"""),20062055)</f>
        <v>20062055</v>
      </c>
      <c r="Q1163" s="5" t="str">
        <f ca="1">IFERROR(__xludf.DUMMYFUNCTION("""COMPUTED_VALUE"""),"On7fkYuSxC0")</f>
        <v>On7fkYuSxC0</v>
      </c>
      <c r="R1163" s="5">
        <f ca="1">IFERROR(__xludf.DUMMYFUNCTION("""COMPUTED_VALUE"""),410)</f>
        <v>410</v>
      </c>
      <c r="S1163" s="62">
        <f ca="1">IFERROR(__xludf.DUMMYFUNCTION("""COMPUTED_VALUE"""),0.1)</f>
        <v>0.1</v>
      </c>
      <c r="T1163" s="63" t="str">
        <f ca="1">IFERROR(__xludf.DUMMYFUNCTION("""COMPUTED_VALUE"""),"https://storage.googleapis.com/glide-prod.appspot.com/uploads-v2/ly7o78grxPaC6KdgvbpS/pub/3aRdSog0vUtuqPE8AJKD.png")</f>
        <v>https://storage.googleapis.com/glide-prod.appspot.com/uploads-v2/ly7o78grxPaC6KdgvbpS/pub/3aRdSog0vUtuqPE8AJKD.png</v>
      </c>
      <c r="U1163" s="5" t="str">
        <f ca="1">IFERROR(__xludf.DUMMYFUNCTION("""COMPUTED_VALUE"""),"EQUIPOS PARA SERVICIOS INDUSTRIALESTANQUE DE SODA CAUSTICA RECUPERADA")</f>
        <v>EQUIPOS PARA SERVICIOS INDUSTRIALESTANQUE DE SODA CAUSTICA RECUPERADA</v>
      </c>
      <c r="V1163" s="5"/>
      <c r="W1163" s="5" t="b">
        <f ca="1">IFERROR(__xludf.DUMMYFUNCTION("""COMPUTED_VALUE"""),TRUE)</f>
        <v>1</v>
      </c>
      <c r="X1163" s="5" t="str">
        <f ca="1">IFERROR(__xludf.DUMMYFUNCTION("""COMPUTED_VALUE"""),"wmazorra@postobon.com.co,aprmttoyu@postobon.com.co,aprmyu@postobon.com.co,wmora@postobon.com.co,efzapata@postobon.com.co")</f>
        <v>wmazorra@postobon.com.co,aprmttoyu@postobon.com.co,aprmyu@postobon.com.co,wmora@postobon.com.co,efzapata@postobon.com.co</v>
      </c>
      <c r="Y1163" s="5" t="str">
        <f ca="1">IFERROR(__xludf.DUMMYFUNCTION("""COMPUTED_VALUE"""),"wmazorra@postobon.com.co")</f>
        <v>wmazorra@postobon.com.co</v>
      </c>
      <c r="Z1163" s="5" t="str">
        <f ca="1">IFERROR(__xludf.DUMMYFUNCTION("""COMPUTED_VALUE"""),"TC9dnFd-S-y38kBxNGxCDQ")</f>
        <v>TC9dnFd-S-y38kBxNGxCDQ</v>
      </c>
      <c r="AA1163" s="5"/>
      <c r="AB1163" s="5"/>
      <c r="AC1163" s="5"/>
      <c r="AD1163" s="5">
        <f ca="1">IFERROR(__xludf.DUMMYFUNCTION("""COMPUTED_VALUE"""),58)</f>
        <v>58</v>
      </c>
      <c r="AE1163" s="5">
        <f ca="1">IFERROR(__xludf.DUMMYFUNCTION("""COMPUTED_VALUE"""),58)</f>
        <v>58</v>
      </c>
      <c r="AF1163" s="5" t="b">
        <f ca="1">IFERROR(__xludf.DUMMYFUNCTION("""COMPUTED_VALUE"""),FALSE)</f>
        <v>0</v>
      </c>
      <c r="AG1163" s="5" t="str">
        <f ca="1">IFERROR(__xludf.DUMMYFUNCTION("""COMPUTED_VALUE"""),"INSPECCIONES REALIZADAS")</f>
        <v>INSPECCIONES REALIZADAS</v>
      </c>
      <c r="AH1163" s="5"/>
    </row>
    <row r="1164" spans="1:34">
      <c r="A1164" s="5" t="str">
        <f ca="1">IFERROR(__xludf.DUMMYFUNCTION("""COMPUTED_VALUE"""),"EQUIPOS PARA SERVICIOS INDUSTRIALES")</f>
        <v>EQUIPOS PARA SERVICIOS INDUSTRIALES</v>
      </c>
      <c r="B1164" s="5">
        <f ca="1">IFERROR(__xludf.DUMMYFUNCTION("""COMPUTED_VALUE"""),709726)</f>
        <v>709726</v>
      </c>
      <c r="C1164" s="5" t="str">
        <f ca="1">IFERROR(__xludf.DUMMYFUNCTION("""COMPUTED_VALUE"""),"TANQUE DE SODA CAUSTICA")</f>
        <v>TANQUE DE SODA CAUSTICA</v>
      </c>
      <c r="D1164" s="5">
        <f ca="1">IFERROR(__xludf.DUMMYFUNCTION("""COMPUTED_VALUE"""),13247527)</f>
        <v>13247527</v>
      </c>
      <c r="E1164" s="5" t="str">
        <f ca="1">IFERROR(__xludf.DUMMYFUNCTION("""COMPUTED_VALUE"""),"INSPECCION SEMANAL TANQUE DE SODA CAUSTI")</f>
        <v>INSPECCION SEMANAL TANQUE DE SODA CAUSTI</v>
      </c>
      <c r="F1164" s="5" t="str">
        <f ca="1">IFERROR(__xludf.DUMMYFUNCTION("""COMPUTED_VALUE"""),"PLAN MTTO MEC TANQUE SODA CAUST 709726")</f>
        <v>PLAN MTTO MEC TANQUE SODA CAUST 709726</v>
      </c>
      <c r="G1164" s="5" t="b">
        <f ca="1">IFERROR(__xludf.DUMMYFUNCTION("""COMPUTED_VALUE"""),TRUE)</f>
        <v>1</v>
      </c>
      <c r="H1164" s="5"/>
      <c r="I1164" s="5"/>
      <c r="J1164" s="5">
        <f ca="1">IFERROR(__xludf.DUMMYFUNCTION("""COMPUTED_VALUE"""),13247527)</f>
        <v>13247527</v>
      </c>
      <c r="K1164" s="5"/>
      <c r="L1164" s="18">
        <f ca="1">IFERROR(__xludf.DUMMYFUNCTION("""COMPUTED_VALUE"""),45325)</f>
        <v>45325</v>
      </c>
      <c r="M1164" s="18">
        <f ca="1">IFERROR(__xludf.DUMMYFUNCTION("""COMPUTED_VALUE"""),45325)</f>
        <v>45325</v>
      </c>
      <c r="N1164" s="5" t="str">
        <f ca="1">IFERROR(__xludf.DUMMYFUNCTION("""COMPUTED_VALUE"""),"MUÑOZ VALENCIA JEFFERSON")</f>
        <v>MUÑOZ VALENCIA JEFFERSON</v>
      </c>
      <c r="O1164" s="2">
        <f ca="1">IFERROR(__xludf.DUMMYFUNCTION("""COMPUTED_VALUE"""),0.1)</f>
        <v>0.1</v>
      </c>
      <c r="P1164" s="5">
        <f ca="1">IFERROR(__xludf.DUMMYFUNCTION("""COMPUTED_VALUE"""),20062055)</f>
        <v>20062055</v>
      </c>
      <c r="Q1164" s="5" t="str">
        <f ca="1">IFERROR(__xludf.DUMMYFUNCTION("""COMPUTED_VALUE"""),"O9MnwrfpzjM")</f>
        <v>O9MnwrfpzjM</v>
      </c>
      <c r="R1164" s="5">
        <f ca="1">IFERROR(__xludf.DUMMYFUNCTION("""COMPUTED_VALUE"""),410)</f>
        <v>410</v>
      </c>
      <c r="S1164" s="62">
        <f ca="1">IFERROR(__xludf.DUMMYFUNCTION("""COMPUTED_VALUE"""),0.1)</f>
        <v>0.1</v>
      </c>
      <c r="T1164" s="63" t="str">
        <f ca="1">IFERROR(__xludf.DUMMYFUNCTION("""COMPUTED_VALUE"""),"https://storage.googleapis.com/glide-prod.appspot.com/uploads-v2/ly7o78grxPaC6KdgvbpS/pub/3aRdSog0vUtuqPE8AJKD.png")</f>
        <v>https://storage.googleapis.com/glide-prod.appspot.com/uploads-v2/ly7o78grxPaC6KdgvbpS/pub/3aRdSog0vUtuqPE8AJKD.png</v>
      </c>
      <c r="U1164" s="5" t="str">
        <f ca="1">IFERROR(__xludf.DUMMYFUNCTION("""COMPUTED_VALUE"""),"EQUIPOS PARA SERVICIOS INDUSTRIALESTANQUE DE SODA CAUSTICA")</f>
        <v>EQUIPOS PARA SERVICIOS INDUSTRIALESTANQUE DE SODA CAUSTICA</v>
      </c>
      <c r="V1164" s="5"/>
      <c r="W1164" s="5" t="b">
        <f ca="1">IFERROR(__xludf.DUMMYFUNCTION("""COMPUTED_VALUE"""),TRUE)</f>
        <v>1</v>
      </c>
      <c r="X1164" s="5" t="str">
        <f ca="1">IFERROR(__xludf.DUMMYFUNCTION("""COMPUTED_VALUE"""),"wmazorra@postobon.com.co,aprmttoyu@postobon.com.co,aprmyu@postobon.com.co,wmora@postobon.com.co,efzapata@postobon.com.co")</f>
        <v>wmazorra@postobon.com.co,aprmttoyu@postobon.com.co,aprmyu@postobon.com.co,wmora@postobon.com.co,efzapata@postobon.com.co</v>
      </c>
      <c r="Y1164" s="5" t="str">
        <f ca="1">IFERROR(__xludf.DUMMYFUNCTION("""COMPUTED_VALUE"""),"wmazorra@postobon.com.co")</f>
        <v>wmazorra@postobon.com.co</v>
      </c>
      <c r="Z1164" s="5" t="str">
        <f ca="1">IFERROR(__xludf.DUMMYFUNCTION("""COMPUTED_VALUE"""),"U3j1CVOxSrKP3urXDM0QlQ")</f>
        <v>U3j1CVOxSrKP3urXDM0QlQ</v>
      </c>
      <c r="AA1164" s="5"/>
      <c r="AB1164" s="5"/>
      <c r="AC1164" s="5"/>
      <c r="AD1164" s="5">
        <f ca="1">IFERROR(__xludf.DUMMYFUNCTION("""COMPUTED_VALUE"""),58)</f>
        <v>58</v>
      </c>
      <c r="AE1164" s="5">
        <f ca="1">IFERROR(__xludf.DUMMYFUNCTION("""COMPUTED_VALUE"""),58)</f>
        <v>58</v>
      </c>
      <c r="AF1164" s="5" t="b">
        <f ca="1">IFERROR(__xludf.DUMMYFUNCTION("""COMPUTED_VALUE"""),FALSE)</f>
        <v>0</v>
      </c>
      <c r="AG1164" s="5" t="str">
        <f ca="1">IFERROR(__xludf.DUMMYFUNCTION("""COMPUTED_VALUE"""),"INSPECCIONES REALIZADAS")</f>
        <v>INSPECCIONES REALIZADAS</v>
      </c>
      <c r="AH1164" s="5"/>
    </row>
    <row r="1165" spans="1:34">
      <c r="A1165" s="5" t="str">
        <f ca="1">IFERROR(__xludf.DUMMYFUNCTION("""COMPUTED_VALUE"""),"EQUIPOS PARA PREPARACION DE JARABE")</f>
        <v>EQUIPOS PARA PREPARACION DE JARABE</v>
      </c>
      <c r="B1165" s="5">
        <f ca="1">IFERROR(__xludf.DUMMYFUNCTION("""COMPUTED_VALUE"""),69963404)</f>
        <v>69963404</v>
      </c>
      <c r="C1165" s="5" t="str">
        <f ca="1">IFERROR(__xludf.DUMMYFUNCTION("""COMPUTED_VALUE"""),"TANQUE DE JARABE")</f>
        <v>TANQUE DE JARABE</v>
      </c>
      <c r="D1165" s="5">
        <f ca="1">IFERROR(__xludf.DUMMYFUNCTION("""COMPUTED_VALUE"""),13247449)</f>
        <v>13247449</v>
      </c>
      <c r="E1165" s="5" t="str">
        <f ca="1">IFERROR(__xludf.DUMMYFUNCTION("""COMPUTED_VALUE"""),"INSPECCION SEMANAL Tanque Jarabe 1")</f>
        <v>INSPECCION SEMANAL Tanque Jarabe 1</v>
      </c>
      <c r="F1165" s="5" t="str">
        <f ca="1">IFERROR(__xludf.DUMMYFUNCTION("""COMPUTED_VALUE"""),"REVISAR ESTADO TANQUE,TUBERIAS, VALVULAS")</f>
        <v>REVISAR ESTADO TANQUE,TUBERIAS, VALVULAS</v>
      </c>
      <c r="G1165" s="5" t="b">
        <f ca="1">IFERROR(__xludf.DUMMYFUNCTION("""COMPUTED_VALUE"""),TRUE)</f>
        <v>1</v>
      </c>
      <c r="H1165" s="5"/>
      <c r="I1165" s="5"/>
      <c r="J1165" s="5">
        <f ca="1">IFERROR(__xludf.DUMMYFUNCTION("""COMPUTED_VALUE"""),13247449)</f>
        <v>13247449</v>
      </c>
      <c r="K1165" s="5"/>
      <c r="L1165" s="18">
        <f ca="1">IFERROR(__xludf.DUMMYFUNCTION("""COMPUTED_VALUE"""),45325)</f>
        <v>45325</v>
      </c>
      <c r="M1165" s="18">
        <f ca="1">IFERROR(__xludf.DUMMYFUNCTION("""COMPUTED_VALUE"""),45325)</f>
        <v>45325</v>
      </c>
      <c r="N1165" s="5" t="str">
        <f ca="1">IFERROR(__xludf.DUMMYFUNCTION("""COMPUTED_VALUE"""),"Moreno Pernia Bladimir")</f>
        <v>Moreno Pernia Bladimir</v>
      </c>
      <c r="O1165" s="2">
        <f ca="1">IFERROR(__xludf.DUMMYFUNCTION("""COMPUTED_VALUE"""),0.02)</f>
        <v>0.02</v>
      </c>
      <c r="P1165" s="5">
        <f ca="1">IFERROR(__xludf.DUMMYFUNCTION("""COMPUTED_VALUE"""),20010003)</f>
        <v>20010003</v>
      </c>
      <c r="Q1165" s="5" t="str">
        <f ca="1">IFERROR(__xludf.DUMMYFUNCTION("""COMPUTED_VALUE"""),"fOKVga5xb1w")</f>
        <v>fOKVga5xb1w</v>
      </c>
      <c r="R1165" s="5">
        <f ca="1">IFERROR(__xludf.DUMMYFUNCTION("""COMPUTED_VALUE"""),410)</f>
        <v>410</v>
      </c>
      <c r="S1165" s="62">
        <f ca="1">IFERROR(__xludf.DUMMYFUNCTION("""COMPUTED_VALUE"""),0.02)</f>
        <v>0.02</v>
      </c>
      <c r="T1165" s="63" t="str">
        <f ca="1">IFERROR(__xludf.DUMMYFUNCTION("""COMPUTED_VALUE"""),"https://storage.googleapis.com/glide-prod.appspot.com/uploads-v2/ly7o78grxPaC6KdgvbpS/pub/3aRdSog0vUtuqPE8AJKD.png")</f>
        <v>https://storage.googleapis.com/glide-prod.appspot.com/uploads-v2/ly7o78grxPaC6KdgvbpS/pub/3aRdSog0vUtuqPE8AJKD.png</v>
      </c>
      <c r="U1165" s="5" t="str">
        <f ca="1">IFERROR(__xludf.DUMMYFUNCTION("""COMPUTED_VALUE"""),"EQUIPOS PARA PREPARACION DE JARABETANQUE DE JARABE")</f>
        <v>EQUIPOS PARA PREPARACION DE JARABETANQUE DE JARABE</v>
      </c>
      <c r="V1165" s="5"/>
      <c r="W1165" s="5" t="b">
        <f ca="1">IFERROR(__xludf.DUMMYFUNCTION("""COMPUTED_VALUE"""),TRUE)</f>
        <v>1</v>
      </c>
      <c r="X1165" s="5" t="str">
        <f ca="1">IFERROR(__xludf.DUMMYFUNCTION("""COMPUTED_VALUE"""),"efzapata@postobon.com.co,aprmttoyu@postobon.com.co,aprmyu@postobon.com.co,wmora@postobon.com.co,efzapata@postobon.com.co")</f>
        <v>efzapata@postobon.com.co,aprmttoyu@postobon.com.co,aprmyu@postobon.com.co,wmora@postobon.com.co,efzapata@postobon.com.co</v>
      </c>
      <c r="Y1165" s="5" t="str">
        <f ca="1">IFERROR(__xludf.DUMMYFUNCTION("""COMPUTED_VALUE"""),"efzapata@postobon.com.co")</f>
        <v>efzapata@postobon.com.co</v>
      </c>
      <c r="Z1165" s="5" t="str">
        <f ca="1">IFERROR(__xludf.DUMMYFUNCTION("""COMPUTED_VALUE"""),"5CBQjXWWT1W937esrt8NcA")</f>
        <v>5CBQjXWWT1W937esrt8NcA</v>
      </c>
      <c r="AA1165" s="5"/>
      <c r="AB1165" s="5"/>
      <c r="AC1165" s="5"/>
      <c r="AD1165" s="5">
        <f ca="1">IFERROR(__xludf.DUMMYFUNCTION("""COMPUTED_VALUE"""),35)</f>
        <v>35</v>
      </c>
      <c r="AE1165" s="5">
        <f ca="1">IFERROR(__xludf.DUMMYFUNCTION("""COMPUTED_VALUE"""),35)</f>
        <v>35</v>
      </c>
      <c r="AF1165" s="5" t="b">
        <f ca="1">IFERROR(__xludf.DUMMYFUNCTION("""COMPUTED_VALUE"""),FALSE)</f>
        <v>0</v>
      </c>
      <c r="AG1165" s="5" t="str">
        <f ca="1">IFERROR(__xludf.DUMMYFUNCTION("""COMPUTED_VALUE"""),"INSPECCIONES REALIZADAS")</f>
        <v>INSPECCIONES REALIZADAS</v>
      </c>
      <c r="AH1165" s="5"/>
    </row>
    <row r="1166" spans="1:34">
      <c r="A1166" s="5" t="str">
        <f ca="1">IFERROR(__xludf.DUMMYFUNCTION("""COMPUTED_VALUE"""),"EQUIPOS PARA PREPARACION DE JARABE")</f>
        <v>EQUIPOS PARA PREPARACION DE JARABE</v>
      </c>
      <c r="B1166" s="5">
        <f ca="1">IFERROR(__xludf.DUMMYFUNCTION("""COMPUTED_VALUE"""),69963404)</f>
        <v>69963404</v>
      </c>
      <c r="C1166" s="5" t="str">
        <f ca="1">IFERROR(__xludf.DUMMYFUNCTION("""COMPUTED_VALUE"""),"TANQUE DE JARABE")</f>
        <v>TANQUE DE JARABE</v>
      </c>
      <c r="D1166" s="5">
        <f ca="1">IFERROR(__xludf.DUMMYFUNCTION("""COMPUTED_VALUE"""),13247449)</f>
        <v>13247449</v>
      </c>
      <c r="E1166" s="5" t="str">
        <f ca="1">IFERROR(__xludf.DUMMYFUNCTION("""COMPUTED_VALUE"""),"INSPECCION SEMANAL Tanque Jarabe 1")</f>
        <v>INSPECCION SEMANAL Tanque Jarabe 1</v>
      </c>
      <c r="F1166" s="5" t="str">
        <f ca="1">IFERROR(__xludf.DUMMYFUNCTION("""COMPUTED_VALUE"""),"INSP. BOMBAS EN GENERAL")</f>
        <v>INSP. BOMBAS EN GENERAL</v>
      </c>
      <c r="G1166" s="5" t="b">
        <f ca="1">IFERROR(__xludf.DUMMYFUNCTION("""COMPUTED_VALUE"""),TRUE)</f>
        <v>1</v>
      </c>
      <c r="H1166" s="5"/>
      <c r="I1166" s="5"/>
      <c r="J1166" s="5">
        <f ca="1">IFERROR(__xludf.DUMMYFUNCTION("""COMPUTED_VALUE"""),13247449)</f>
        <v>13247449</v>
      </c>
      <c r="K1166" s="5"/>
      <c r="L1166" s="18">
        <f ca="1">IFERROR(__xludf.DUMMYFUNCTION("""COMPUTED_VALUE"""),45325)</f>
        <v>45325</v>
      </c>
      <c r="M1166" s="18">
        <f ca="1">IFERROR(__xludf.DUMMYFUNCTION("""COMPUTED_VALUE"""),45325)</f>
        <v>45325</v>
      </c>
      <c r="N1166" s="5" t="str">
        <f ca="1">IFERROR(__xludf.DUMMYFUNCTION("""COMPUTED_VALUE"""),"Moreno Pernia Bladimir")</f>
        <v>Moreno Pernia Bladimir</v>
      </c>
      <c r="O1166" s="2">
        <f ca="1">IFERROR(__xludf.DUMMYFUNCTION("""COMPUTED_VALUE"""),0.02)</f>
        <v>0.02</v>
      </c>
      <c r="P1166" s="5">
        <f ca="1">IFERROR(__xludf.DUMMYFUNCTION("""COMPUTED_VALUE"""),20010003)</f>
        <v>20010003</v>
      </c>
      <c r="Q1166" s="5" t="str">
        <f ca="1">IFERROR(__xludf.DUMMYFUNCTION("""COMPUTED_VALUE"""),"f9sbqNf-s_8")</f>
        <v>f9sbqNf-s_8</v>
      </c>
      <c r="R1166" s="5">
        <f ca="1">IFERROR(__xludf.DUMMYFUNCTION("""COMPUTED_VALUE"""),410)</f>
        <v>410</v>
      </c>
      <c r="S1166" s="62">
        <f ca="1">IFERROR(__xludf.DUMMYFUNCTION("""COMPUTED_VALUE"""),0.02)</f>
        <v>0.02</v>
      </c>
      <c r="T1166" s="63" t="str">
        <f ca="1">IFERROR(__xludf.DUMMYFUNCTION("""COMPUTED_VALUE"""),"https://storage.googleapis.com/glide-prod.appspot.com/uploads-v2/ly7o78grxPaC6KdgvbpS/pub/3aRdSog0vUtuqPE8AJKD.png")</f>
        <v>https://storage.googleapis.com/glide-prod.appspot.com/uploads-v2/ly7o78grxPaC6KdgvbpS/pub/3aRdSog0vUtuqPE8AJKD.png</v>
      </c>
      <c r="U1166" s="5" t="str">
        <f ca="1">IFERROR(__xludf.DUMMYFUNCTION("""COMPUTED_VALUE"""),"EQUIPOS PARA PREPARACION DE JARABETANQUE DE JARABE")</f>
        <v>EQUIPOS PARA PREPARACION DE JARABETANQUE DE JARABE</v>
      </c>
      <c r="V1166" s="5"/>
      <c r="W1166" s="5" t="b">
        <f ca="1">IFERROR(__xludf.DUMMYFUNCTION("""COMPUTED_VALUE"""),TRUE)</f>
        <v>1</v>
      </c>
      <c r="X1166" s="5" t="str">
        <f ca="1">IFERROR(__xludf.DUMMYFUNCTION("""COMPUTED_VALUE"""),"efzapata@postobon.com.co,aprmttoyu@postobon.com.co,aprmyu@postobon.com.co,wmora@postobon.com.co,efzapata@postobon.com.co")</f>
        <v>efzapata@postobon.com.co,aprmttoyu@postobon.com.co,aprmyu@postobon.com.co,wmora@postobon.com.co,efzapata@postobon.com.co</v>
      </c>
      <c r="Y1166" s="5" t="str">
        <f ca="1">IFERROR(__xludf.DUMMYFUNCTION("""COMPUTED_VALUE"""),"efzapata@postobon.com.co")</f>
        <v>efzapata@postobon.com.co</v>
      </c>
      <c r="Z1166" s="5" t="str">
        <f ca="1">IFERROR(__xludf.DUMMYFUNCTION("""COMPUTED_VALUE"""),"6WtU304DSsycPdnL6MCX.Q")</f>
        <v>6WtU304DSsycPdnL6MCX.Q</v>
      </c>
      <c r="AA1166" s="5"/>
      <c r="AB1166" s="5"/>
      <c r="AC1166" s="5"/>
      <c r="AD1166" s="5">
        <f ca="1">IFERROR(__xludf.DUMMYFUNCTION("""COMPUTED_VALUE"""),35)</f>
        <v>35</v>
      </c>
      <c r="AE1166" s="5">
        <f ca="1">IFERROR(__xludf.DUMMYFUNCTION("""COMPUTED_VALUE"""),35)</f>
        <v>35</v>
      </c>
      <c r="AF1166" s="5" t="b">
        <f ca="1">IFERROR(__xludf.DUMMYFUNCTION("""COMPUTED_VALUE"""),FALSE)</f>
        <v>0</v>
      </c>
      <c r="AG1166" s="5" t="str">
        <f ca="1">IFERROR(__xludf.DUMMYFUNCTION("""COMPUTED_VALUE"""),"INSPECCIONES REALIZADAS")</f>
        <v>INSPECCIONES REALIZADAS</v>
      </c>
      <c r="AH1166" s="5"/>
    </row>
    <row r="1167" spans="1:34">
      <c r="A1167" s="5" t="str">
        <f ca="1">IFERROR(__xludf.DUMMYFUNCTION("""COMPUTED_VALUE"""),"EQUIPOS PARA PREPARACION DE JARABE")</f>
        <v>EQUIPOS PARA PREPARACION DE JARABE</v>
      </c>
      <c r="B1167" s="5">
        <f ca="1">IFERROR(__xludf.DUMMYFUNCTION("""COMPUTED_VALUE"""),69963404)</f>
        <v>69963404</v>
      </c>
      <c r="C1167" s="5" t="str">
        <f ca="1">IFERROR(__xludf.DUMMYFUNCTION("""COMPUTED_VALUE"""),"TANQUE DE JARABE")</f>
        <v>TANQUE DE JARABE</v>
      </c>
      <c r="D1167" s="5">
        <f ca="1">IFERROR(__xludf.DUMMYFUNCTION("""COMPUTED_VALUE"""),13247449)</f>
        <v>13247449</v>
      </c>
      <c r="E1167" s="5" t="str">
        <f ca="1">IFERROR(__xludf.DUMMYFUNCTION("""COMPUTED_VALUE"""),"INSPECCION SEMANAL Tanque Jarabe 1")</f>
        <v>INSPECCION SEMANAL Tanque Jarabe 1</v>
      </c>
      <c r="F1167" s="5" t="str">
        <f ca="1">IFERROR(__xludf.DUMMYFUNCTION("""COMPUTED_VALUE"""),"ESCAPES FLUIDOS(AGUA,AIRE,JARABE)")</f>
        <v>ESCAPES FLUIDOS(AGUA,AIRE,JARABE)</v>
      </c>
      <c r="G1167" s="5" t="b">
        <f ca="1">IFERROR(__xludf.DUMMYFUNCTION("""COMPUTED_VALUE"""),TRUE)</f>
        <v>1</v>
      </c>
      <c r="H1167" s="5"/>
      <c r="I1167" s="5"/>
      <c r="J1167" s="5">
        <f ca="1">IFERROR(__xludf.DUMMYFUNCTION("""COMPUTED_VALUE"""),13247449)</f>
        <v>13247449</v>
      </c>
      <c r="K1167" s="5"/>
      <c r="L1167" s="18">
        <f ca="1">IFERROR(__xludf.DUMMYFUNCTION("""COMPUTED_VALUE"""),45325)</f>
        <v>45325</v>
      </c>
      <c r="M1167" s="18">
        <f ca="1">IFERROR(__xludf.DUMMYFUNCTION("""COMPUTED_VALUE"""),45325)</f>
        <v>45325</v>
      </c>
      <c r="N1167" s="5" t="str">
        <f ca="1">IFERROR(__xludf.DUMMYFUNCTION("""COMPUTED_VALUE"""),"Moreno Pernia Bladimir")</f>
        <v>Moreno Pernia Bladimir</v>
      </c>
      <c r="O1167" s="2">
        <f ca="1">IFERROR(__xludf.DUMMYFUNCTION("""COMPUTED_VALUE"""),0.02)</f>
        <v>0.02</v>
      </c>
      <c r="P1167" s="5">
        <f ca="1">IFERROR(__xludf.DUMMYFUNCTION("""COMPUTED_VALUE"""),20010003)</f>
        <v>20010003</v>
      </c>
      <c r="Q1167" s="5" t="str">
        <f ca="1">IFERROR(__xludf.DUMMYFUNCTION("""COMPUTED_VALUE"""),"ph8p3GDv96o")</f>
        <v>ph8p3GDv96o</v>
      </c>
      <c r="R1167" s="5">
        <f ca="1">IFERROR(__xludf.DUMMYFUNCTION("""COMPUTED_VALUE"""),410)</f>
        <v>410</v>
      </c>
      <c r="S1167" s="62">
        <f ca="1">IFERROR(__xludf.DUMMYFUNCTION("""COMPUTED_VALUE"""),0.02)</f>
        <v>0.02</v>
      </c>
      <c r="T1167" s="63" t="str">
        <f ca="1">IFERROR(__xludf.DUMMYFUNCTION("""COMPUTED_VALUE"""),"https://storage.googleapis.com/glide-prod.appspot.com/uploads-v2/ly7o78grxPaC6KdgvbpS/pub/3aRdSog0vUtuqPE8AJKD.png")</f>
        <v>https://storage.googleapis.com/glide-prod.appspot.com/uploads-v2/ly7o78grxPaC6KdgvbpS/pub/3aRdSog0vUtuqPE8AJKD.png</v>
      </c>
      <c r="U1167" s="5" t="str">
        <f ca="1">IFERROR(__xludf.DUMMYFUNCTION("""COMPUTED_VALUE"""),"EQUIPOS PARA PREPARACION DE JARABETANQUE DE JARABE")</f>
        <v>EQUIPOS PARA PREPARACION DE JARABETANQUE DE JARABE</v>
      </c>
      <c r="V1167" s="5"/>
      <c r="W1167" s="5" t="b">
        <f ca="1">IFERROR(__xludf.DUMMYFUNCTION("""COMPUTED_VALUE"""),TRUE)</f>
        <v>1</v>
      </c>
      <c r="X1167" s="5" t="str">
        <f ca="1">IFERROR(__xludf.DUMMYFUNCTION("""COMPUTED_VALUE"""),"efzapata@postobon.com.co,aprmttoyu@postobon.com.co,aprmyu@postobon.com.co,wmora@postobon.com.co,efzapata@postobon.com.co")</f>
        <v>efzapata@postobon.com.co,aprmttoyu@postobon.com.co,aprmyu@postobon.com.co,wmora@postobon.com.co,efzapata@postobon.com.co</v>
      </c>
      <c r="Y1167" s="5" t="str">
        <f ca="1">IFERROR(__xludf.DUMMYFUNCTION("""COMPUTED_VALUE"""),"efzapata@postobon.com.co")</f>
        <v>efzapata@postobon.com.co</v>
      </c>
      <c r="Z1167" s="5" t="str">
        <f ca="1">IFERROR(__xludf.DUMMYFUNCTION("""COMPUTED_VALUE"""),"Gvg3FwOOTqGwfgUm0fPGVQ")</f>
        <v>Gvg3FwOOTqGwfgUm0fPGVQ</v>
      </c>
      <c r="AA1167" s="5"/>
      <c r="AB1167" s="5"/>
      <c r="AC1167" s="5"/>
      <c r="AD1167" s="5">
        <f ca="1">IFERROR(__xludf.DUMMYFUNCTION("""COMPUTED_VALUE"""),35)</f>
        <v>35</v>
      </c>
      <c r="AE1167" s="5">
        <f ca="1">IFERROR(__xludf.DUMMYFUNCTION("""COMPUTED_VALUE"""),35)</f>
        <v>35</v>
      </c>
      <c r="AF1167" s="5" t="b">
        <f ca="1">IFERROR(__xludf.DUMMYFUNCTION("""COMPUTED_VALUE"""),FALSE)</f>
        <v>0</v>
      </c>
      <c r="AG1167" s="5" t="str">
        <f ca="1">IFERROR(__xludf.DUMMYFUNCTION("""COMPUTED_VALUE"""),"INSPECCIONES REALIZADAS")</f>
        <v>INSPECCIONES REALIZADAS</v>
      </c>
      <c r="AH1167" s="5"/>
    </row>
    <row r="1168" spans="1:34">
      <c r="A1168" s="5" t="str">
        <f ca="1">IFERROR(__xludf.DUMMYFUNCTION("""COMPUTED_VALUE"""),"EQUIPOS PARA PREPARACION DE JARABE")</f>
        <v>EQUIPOS PARA PREPARACION DE JARABE</v>
      </c>
      <c r="B1168" s="5">
        <f ca="1">IFERROR(__xludf.DUMMYFUNCTION("""COMPUTED_VALUE"""),69963404)</f>
        <v>69963404</v>
      </c>
      <c r="C1168" s="5" t="str">
        <f ca="1">IFERROR(__xludf.DUMMYFUNCTION("""COMPUTED_VALUE"""),"TANQUE DE JARABE")</f>
        <v>TANQUE DE JARABE</v>
      </c>
      <c r="D1168" s="5">
        <f ca="1">IFERROR(__xludf.DUMMYFUNCTION("""COMPUTED_VALUE"""),13247449)</f>
        <v>13247449</v>
      </c>
      <c r="E1168" s="5" t="str">
        <f ca="1">IFERROR(__xludf.DUMMYFUNCTION("""COMPUTED_VALUE"""),"INSPECCION SEMANAL Tanque Jarabe 1")</f>
        <v>INSPECCION SEMANAL Tanque Jarabe 1</v>
      </c>
      <c r="F1168" s="5" t="str">
        <f ca="1">IFERROR(__xludf.DUMMYFUNCTION("""COMPUTED_VALUE"""),"VERIFICAR ESTADO PIEZAS TANQUES (QUE LAS PIEZAS ESTEN COMPLETAS Y EN BUEN ESTADO)")</f>
        <v>VERIFICAR ESTADO PIEZAS TANQUES (QUE LAS PIEZAS ESTEN COMPLETAS Y EN BUEN ESTADO)</v>
      </c>
      <c r="G1168" s="5" t="b">
        <f ca="1">IFERROR(__xludf.DUMMYFUNCTION("""COMPUTED_VALUE"""),TRUE)</f>
        <v>1</v>
      </c>
      <c r="H1168" s="5"/>
      <c r="I1168" s="5"/>
      <c r="J1168" s="5">
        <f ca="1">IFERROR(__xludf.DUMMYFUNCTION("""COMPUTED_VALUE"""),13247449)</f>
        <v>13247449</v>
      </c>
      <c r="K1168" s="5"/>
      <c r="L1168" s="18">
        <f ca="1">IFERROR(__xludf.DUMMYFUNCTION("""COMPUTED_VALUE"""),45325)</f>
        <v>45325</v>
      </c>
      <c r="M1168" s="18">
        <f ca="1">IFERROR(__xludf.DUMMYFUNCTION("""COMPUTED_VALUE"""),45325)</f>
        <v>45325</v>
      </c>
      <c r="N1168" s="5" t="str">
        <f ca="1">IFERROR(__xludf.DUMMYFUNCTION("""COMPUTED_VALUE"""),"Moreno Pernia Bladimir")</f>
        <v>Moreno Pernia Bladimir</v>
      </c>
      <c r="O1168" s="2">
        <f ca="1">IFERROR(__xludf.DUMMYFUNCTION("""COMPUTED_VALUE"""),0.02)</f>
        <v>0.02</v>
      </c>
      <c r="P1168" s="5">
        <f ca="1">IFERROR(__xludf.DUMMYFUNCTION("""COMPUTED_VALUE"""),20010003)</f>
        <v>20010003</v>
      </c>
      <c r="Q1168" s="5" t="str">
        <f ca="1">IFERROR(__xludf.DUMMYFUNCTION("""COMPUTED_VALUE"""),"oBkBJmiKMhY")</f>
        <v>oBkBJmiKMhY</v>
      </c>
      <c r="R1168" s="5">
        <f ca="1">IFERROR(__xludf.DUMMYFUNCTION("""COMPUTED_VALUE"""),410)</f>
        <v>410</v>
      </c>
      <c r="S1168" s="62">
        <f ca="1">IFERROR(__xludf.DUMMYFUNCTION("""COMPUTED_VALUE"""),0.02)</f>
        <v>0.02</v>
      </c>
      <c r="T1168" s="63" t="str">
        <f ca="1">IFERROR(__xludf.DUMMYFUNCTION("""COMPUTED_VALUE"""),"https://storage.googleapis.com/glide-prod.appspot.com/uploads-v2/ly7o78grxPaC6KdgvbpS/pub/3aRdSog0vUtuqPE8AJKD.png")</f>
        <v>https://storage.googleapis.com/glide-prod.appspot.com/uploads-v2/ly7o78grxPaC6KdgvbpS/pub/3aRdSog0vUtuqPE8AJKD.png</v>
      </c>
      <c r="U1168" s="5" t="str">
        <f ca="1">IFERROR(__xludf.DUMMYFUNCTION("""COMPUTED_VALUE"""),"EQUIPOS PARA PREPARACION DE JARABETANQUE DE JARABE")</f>
        <v>EQUIPOS PARA PREPARACION DE JARABETANQUE DE JARABE</v>
      </c>
      <c r="V1168" s="5"/>
      <c r="W1168" s="5" t="b">
        <f ca="1">IFERROR(__xludf.DUMMYFUNCTION("""COMPUTED_VALUE"""),TRUE)</f>
        <v>1</v>
      </c>
      <c r="X1168" s="5" t="str">
        <f ca="1">IFERROR(__xludf.DUMMYFUNCTION("""COMPUTED_VALUE"""),"efzapata@postobon.com.co,aprmttoyu@postobon.com.co,aprmyu@postobon.com.co,wmora@postobon.com.co,efzapata@postobon.com.co")</f>
        <v>efzapata@postobon.com.co,aprmttoyu@postobon.com.co,aprmyu@postobon.com.co,wmora@postobon.com.co,efzapata@postobon.com.co</v>
      </c>
      <c r="Y1168" s="5" t="str">
        <f ca="1">IFERROR(__xludf.DUMMYFUNCTION("""COMPUTED_VALUE"""),"efzapata@postobon.com.co")</f>
        <v>efzapata@postobon.com.co</v>
      </c>
      <c r="Z1168" s="5" t="str">
        <f ca="1">IFERROR(__xludf.DUMMYFUNCTION("""COMPUTED_VALUE"""),"3.AT9CprSbmUOAE7Xb72TQ")</f>
        <v>3.AT9CprSbmUOAE7Xb72TQ</v>
      </c>
      <c r="AA1168" s="5"/>
      <c r="AB1168" s="5"/>
      <c r="AC1168" s="5"/>
      <c r="AD1168" s="5">
        <f ca="1">IFERROR(__xludf.DUMMYFUNCTION("""COMPUTED_VALUE"""),35)</f>
        <v>35</v>
      </c>
      <c r="AE1168" s="5">
        <f ca="1">IFERROR(__xludf.DUMMYFUNCTION("""COMPUTED_VALUE"""),35)</f>
        <v>35</v>
      </c>
      <c r="AF1168" s="5" t="b">
        <f ca="1">IFERROR(__xludf.DUMMYFUNCTION("""COMPUTED_VALUE"""),FALSE)</f>
        <v>0</v>
      </c>
      <c r="AG1168" s="5" t="str">
        <f ca="1">IFERROR(__xludf.DUMMYFUNCTION("""COMPUTED_VALUE"""),"INSPECCIONES REALIZADAS")</f>
        <v>INSPECCIONES REALIZADAS</v>
      </c>
      <c r="AH1168" s="5"/>
    </row>
    <row r="1169" spans="1:34">
      <c r="A1169" s="5" t="str">
        <f ca="1">IFERROR(__xludf.DUMMYFUNCTION("""COMPUTED_VALUE"""),"EQUIPOS PARA PREPARACION DE JARABE")</f>
        <v>EQUIPOS PARA PREPARACION DE JARABE</v>
      </c>
      <c r="B1169" s="5">
        <f ca="1">IFERROR(__xludf.DUMMYFUNCTION("""COMPUTED_VALUE"""),69963404)</f>
        <v>69963404</v>
      </c>
      <c r="C1169" s="5" t="str">
        <f ca="1">IFERROR(__xludf.DUMMYFUNCTION("""COMPUTED_VALUE"""),"TANQUE DE JARABE")</f>
        <v>TANQUE DE JARABE</v>
      </c>
      <c r="D1169" s="5">
        <f ca="1">IFERROR(__xludf.DUMMYFUNCTION("""COMPUTED_VALUE"""),13247449)</f>
        <v>13247449</v>
      </c>
      <c r="E1169" s="5" t="str">
        <f ca="1">IFERROR(__xludf.DUMMYFUNCTION("""COMPUTED_VALUE"""),"INSPECCION SEMANAL Tanque Jarabe 1")</f>
        <v>INSPECCION SEMANAL Tanque Jarabe 1</v>
      </c>
      <c r="F1169" s="5" t="str">
        <f ca="1">IFERROR(__xludf.DUMMYFUNCTION("""COMPUTED_VALUE"""),"MTTO MEC TK JARABE 1 JARABE TERMINADO")</f>
        <v>MTTO MEC TK JARABE 1 JARABE TERMINADO</v>
      </c>
      <c r="G1169" s="5" t="b">
        <f ca="1">IFERROR(__xludf.DUMMYFUNCTION("""COMPUTED_VALUE"""),TRUE)</f>
        <v>1</v>
      </c>
      <c r="H1169" s="5"/>
      <c r="I1169" s="5"/>
      <c r="J1169" s="5">
        <f ca="1">IFERROR(__xludf.DUMMYFUNCTION("""COMPUTED_VALUE"""),13247449)</f>
        <v>13247449</v>
      </c>
      <c r="K1169" s="5"/>
      <c r="L1169" s="18">
        <f ca="1">IFERROR(__xludf.DUMMYFUNCTION("""COMPUTED_VALUE"""),45325)</f>
        <v>45325</v>
      </c>
      <c r="M1169" s="18">
        <f ca="1">IFERROR(__xludf.DUMMYFUNCTION("""COMPUTED_VALUE"""),45325)</f>
        <v>45325</v>
      </c>
      <c r="N1169" s="5" t="str">
        <f ca="1">IFERROR(__xludf.DUMMYFUNCTION("""COMPUTED_VALUE"""),"Moreno Pernia Bladimir")</f>
        <v>Moreno Pernia Bladimir</v>
      </c>
      <c r="O1169" s="2">
        <f ca="1">IFERROR(__xludf.DUMMYFUNCTION("""COMPUTED_VALUE"""),0.02)</f>
        <v>0.02</v>
      </c>
      <c r="P1169" s="5">
        <f ca="1">IFERROR(__xludf.DUMMYFUNCTION("""COMPUTED_VALUE"""),20010003)</f>
        <v>20010003</v>
      </c>
      <c r="Q1169" s="5" t="str">
        <f ca="1">IFERROR(__xludf.DUMMYFUNCTION("""COMPUTED_VALUE"""),"_QqqFnwv85U")</f>
        <v>_QqqFnwv85U</v>
      </c>
      <c r="R1169" s="5">
        <f ca="1">IFERROR(__xludf.DUMMYFUNCTION("""COMPUTED_VALUE"""),410)</f>
        <v>410</v>
      </c>
      <c r="S1169" s="62">
        <f ca="1">IFERROR(__xludf.DUMMYFUNCTION("""COMPUTED_VALUE"""),0.02)</f>
        <v>0.02</v>
      </c>
      <c r="T1169" s="63" t="str">
        <f ca="1">IFERROR(__xludf.DUMMYFUNCTION("""COMPUTED_VALUE"""),"https://storage.googleapis.com/glide-prod.appspot.com/uploads-v2/ly7o78grxPaC6KdgvbpS/pub/3aRdSog0vUtuqPE8AJKD.png")</f>
        <v>https://storage.googleapis.com/glide-prod.appspot.com/uploads-v2/ly7o78grxPaC6KdgvbpS/pub/3aRdSog0vUtuqPE8AJKD.png</v>
      </c>
      <c r="U1169" s="5" t="str">
        <f ca="1">IFERROR(__xludf.DUMMYFUNCTION("""COMPUTED_VALUE"""),"EQUIPOS PARA PREPARACION DE JARABETANQUE DE JARABE")</f>
        <v>EQUIPOS PARA PREPARACION DE JARABETANQUE DE JARABE</v>
      </c>
      <c r="V1169" s="5"/>
      <c r="W1169" s="5" t="b">
        <f ca="1">IFERROR(__xludf.DUMMYFUNCTION("""COMPUTED_VALUE"""),TRUE)</f>
        <v>1</v>
      </c>
      <c r="X1169" s="5" t="str">
        <f ca="1">IFERROR(__xludf.DUMMYFUNCTION("""COMPUTED_VALUE"""),"efzapata@postobon.com.co,aprmttoyu@postobon.com.co,aprmyu@postobon.com.co,wmora@postobon.com.co,efzapata@postobon.com.co")</f>
        <v>efzapata@postobon.com.co,aprmttoyu@postobon.com.co,aprmyu@postobon.com.co,wmora@postobon.com.co,efzapata@postobon.com.co</v>
      </c>
      <c r="Y1169" s="5" t="str">
        <f ca="1">IFERROR(__xludf.DUMMYFUNCTION("""COMPUTED_VALUE"""),"efzapata@postobon.com.co")</f>
        <v>efzapata@postobon.com.co</v>
      </c>
      <c r="Z1169" s="5" t="str">
        <f ca="1">IFERROR(__xludf.DUMMYFUNCTION("""COMPUTED_VALUE"""),"dp1axO2XTzatOWdLk3C7cA")</f>
        <v>dp1axO2XTzatOWdLk3C7cA</v>
      </c>
      <c r="AA1169" s="5"/>
      <c r="AB1169" s="5"/>
      <c r="AC1169" s="5"/>
      <c r="AD1169" s="5">
        <f ca="1">IFERROR(__xludf.DUMMYFUNCTION("""COMPUTED_VALUE"""),35)</f>
        <v>35</v>
      </c>
      <c r="AE1169" s="5">
        <f ca="1">IFERROR(__xludf.DUMMYFUNCTION("""COMPUTED_VALUE"""),35)</f>
        <v>35</v>
      </c>
      <c r="AF1169" s="5" t="b">
        <f ca="1">IFERROR(__xludf.DUMMYFUNCTION("""COMPUTED_VALUE"""),FALSE)</f>
        <v>0</v>
      </c>
      <c r="AG1169" s="5" t="str">
        <f ca="1">IFERROR(__xludf.DUMMYFUNCTION("""COMPUTED_VALUE"""),"INSPECCIONES REALIZADAS")</f>
        <v>INSPECCIONES REALIZADAS</v>
      </c>
      <c r="AH1169" s="5"/>
    </row>
    <row r="1170" spans="1:34">
      <c r="A1170" s="5" t="str">
        <f ca="1">IFERROR(__xludf.DUMMYFUNCTION("""COMPUTED_VALUE"""),"EQUIPOS PARA PREPARACION DE JARABE")</f>
        <v>EQUIPOS PARA PREPARACION DE JARABE</v>
      </c>
      <c r="B1170" s="5">
        <f ca="1">IFERROR(__xludf.DUMMYFUNCTION("""COMPUTED_VALUE"""),69963413)</f>
        <v>69963413</v>
      </c>
      <c r="C1170" s="5" t="str">
        <f ca="1">IFERROR(__xludf.DUMMYFUNCTION("""COMPUTED_VALUE"""),"TANQUE DE JARABE")</f>
        <v>TANQUE DE JARABE</v>
      </c>
      <c r="D1170" s="5">
        <f ca="1">IFERROR(__xludf.DUMMYFUNCTION("""COMPUTED_VALUE"""),13247465)</f>
        <v>13247465</v>
      </c>
      <c r="E1170" s="5" t="str">
        <f ca="1">IFERROR(__xludf.DUMMYFUNCTION("""COMPUTED_VALUE"""),"INSPECCION SEMANAL Tanque Jarabe 10")</f>
        <v>INSPECCION SEMANAL Tanque Jarabe 10</v>
      </c>
      <c r="F1170" s="5" t="str">
        <f ca="1">IFERROR(__xludf.DUMMYFUNCTION("""COMPUTED_VALUE"""),"REVISAR ESTADO TANQUE,TUBERIAS, VALVULAS")</f>
        <v>REVISAR ESTADO TANQUE,TUBERIAS, VALVULAS</v>
      </c>
      <c r="G1170" s="5" t="b">
        <f ca="1">IFERROR(__xludf.DUMMYFUNCTION("""COMPUTED_VALUE"""),TRUE)</f>
        <v>1</v>
      </c>
      <c r="H1170" s="5"/>
      <c r="I1170" s="5"/>
      <c r="J1170" s="5">
        <f ca="1">IFERROR(__xludf.DUMMYFUNCTION("""COMPUTED_VALUE"""),13247465)</f>
        <v>13247465</v>
      </c>
      <c r="K1170" s="5"/>
      <c r="L1170" s="18">
        <f ca="1">IFERROR(__xludf.DUMMYFUNCTION("""COMPUTED_VALUE"""),45325)</f>
        <v>45325</v>
      </c>
      <c r="M1170" s="18">
        <f ca="1">IFERROR(__xludf.DUMMYFUNCTION("""COMPUTED_VALUE"""),45325)</f>
        <v>45325</v>
      </c>
      <c r="N1170" s="5" t="str">
        <f ca="1">IFERROR(__xludf.DUMMYFUNCTION("""COMPUTED_VALUE"""),"Rivas Mena Carlos Danny")</f>
        <v>Rivas Mena Carlos Danny</v>
      </c>
      <c r="O1170" s="2">
        <f ca="1">IFERROR(__xludf.DUMMYFUNCTION("""COMPUTED_VALUE"""),0.02)</f>
        <v>0.02</v>
      </c>
      <c r="P1170" s="5">
        <f ca="1">IFERROR(__xludf.DUMMYFUNCTION("""COMPUTED_VALUE"""),20016283)</f>
        <v>20016283</v>
      </c>
      <c r="Q1170" s="5" t="str">
        <f ca="1">IFERROR(__xludf.DUMMYFUNCTION("""COMPUTED_VALUE"""),"hxlan8pYPtQ")</f>
        <v>hxlan8pYPtQ</v>
      </c>
      <c r="R1170" s="5">
        <f ca="1">IFERROR(__xludf.DUMMYFUNCTION("""COMPUTED_VALUE"""),410)</f>
        <v>410</v>
      </c>
      <c r="S1170" s="62">
        <f ca="1">IFERROR(__xludf.DUMMYFUNCTION("""COMPUTED_VALUE"""),0.02)</f>
        <v>0.02</v>
      </c>
      <c r="T1170" s="63" t="str">
        <f ca="1">IFERROR(__xludf.DUMMYFUNCTION("""COMPUTED_VALUE"""),"https://storage.googleapis.com/glide-prod.appspot.com/uploads-v2/ly7o78grxPaC6KdgvbpS/pub/3aRdSog0vUtuqPE8AJKD.png")</f>
        <v>https://storage.googleapis.com/glide-prod.appspot.com/uploads-v2/ly7o78grxPaC6KdgvbpS/pub/3aRdSog0vUtuqPE8AJKD.png</v>
      </c>
      <c r="U1170" s="5" t="str">
        <f ca="1">IFERROR(__xludf.DUMMYFUNCTION("""COMPUTED_VALUE"""),"EQUIPOS PARA PREPARACION DE JARABETANQUE DE JARABE")</f>
        <v>EQUIPOS PARA PREPARACION DE JARABETANQUE DE JARABE</v>
      </c>
      <c r="V1170" s="5"/>
      <c r="W1170" s="5" t="b">
        <f ca="1">IFERROR(__xludf.DUMMYFUNCTION("""COMPUTED_VALUE"""),TRUE)</f>
        <v>1</v>
      </c>
      <c r="X1170" s="5" t="str">
        <f ca="1">IFERROR(__xludf.DUMMYFUNCTION("""COMPUTED_VALUE"""),"efzapata@postobon.com.co,aprmttoyu@postobon.com.co,aprmyu@postobon.com.co,wmora@postobon.com.co,efzapata@postobon.com.co")</f>
        <v>efzapata@postobon.com.co,aprmttoyu@postobon.com.co,aprmyu@postobon.com.co,wmora@postobon.com.co,efzapata@postobon.com.co</v>
      </c>
      <c r="Y1170" s="5" t="str">
        <f ca="1">IFERROR(__xludf.DUMMYFUNCTION("""COMPUTED_VALUE"""),"efzapata@postobon.com.co")</f>
        <v>efzapata@postobon.com.co</v>
      </c>
      <c r="Z1170" s="5" t="str">
        <f ca="1">IFERROR(__xludf.DUMMYFUNCTION("""COMPUTED_VALUE"""),"a.NrbZSnnQLW7ytm0RgR2NA")</f>
        <v>a.NrbZSnnQLW7ytm0RgR2NA</v>
      </c>
      <c r="AA1170" s="5"/>
      <c r="AB1170" s="5"/>
      <c r="AC1170" s="5"/>
      <c r="AD1170" s="5">
        <f ca="1">IFERROR(__xludf.DUMMYFUNCTION("""COMPUTED_VALUE"""),24)</f>
        <v>24</v>
      </c>
      <c r="AE1170" s="5">
        <f ca="1">IFERROR(__xludf.DUMMYFUNCTION("""COMPUTED_VALUE"""),24)</f>
        <v>24</v>
      </c>
      <c r="AF1170" s="5" t="b">
        <f ca="1">IFERROR(__xludf.DUMMYFUNCTION("""COMPUTED_VALUE"""),FALSE)</f>
        <v>0</v>
      </c>
      <c r="AG1170" s="5" t="str">
        <f ca="1">IFERROR(__xludf.DUMMYFUNCTION("""COMPUTED_VALUE"""),"INSPECCIONES REALIZADAS")</f>
        <v>INSPECCIONES REALIZADAS</v>
      </c>
      <c r="AH1170" s="5"/>
    </row>
    <row r="1171" spans="1:34">
      <c r="A1171" s="5" t="str">
        <f ca="1">IFERROR(__xludf.DUMMYFUNCTION("""COMPUTED_VALUE"""),"EQUIPOS PARA PREPARACION DE JARABE")</f>
        <v>EQUIPOS PARA PREPARACION DE JARABE</v>
      </c>
      <c r="B1171" s="5">
        <f ca="1">IFERROR(__xludf.DUMMYFUNCTION("""COMPUTED_VALUE"""),69963413)</f>
        <v>69963413</v>
      </c>
      <c r="C1171" s="5" t="str">
        <f ca="1">IFERROR(__xludf.DUMMYFUNCTION("""COMPUTED_VALUE"""),"TANQUE DE JARABE")</f>
        <v>TANQUE DE JARABE</v>
      </c>
      <c r="D1171" s="5">
        <f ca="1">IFERROR(__xludf.DUMMYFUNCTION("""COMPUTED_VALUE"""),13247465)</f>
        <v>13247465</v>
      </c>
      <c r="E1171" s="5" t="str">
        <f ca="1">IFERROR(__xludf.DUMMYFUNCTION("""COMPUTED_VALUE"""),"INSPECCION SEMANAL Tanque Jarabe 10")</f>
        <v>INSPECCION SEMANAL Tanque Jarabe 10</v>
      </c>
      <c r="F1171" s="5" t="str">
        <f ca="1">IFERROR(__xludf.DUMMYFUNCTION("""COMPUTED_VALUE"""),"INSP. BOMBAS EN GENERAL")</f>
        <v>INSP. BOMBAS EN GENERAL</v>
      </c>
      <c r="G1171" s="5" t="b">
        <f ca="1">IFERROR(__xludf.DUMMYFUNCTION("""COMPUTED_VALUE"""),TRUE)</f>
        <v>1</v>
      </c>
      <c r="H1171" s="5"/>
      <c r="I1171" s="5"/>
      <c r="J1171" s="5">
        <f ca="1">IFERROR(__xludf.DUMMYFUNCTION("""COMPUTED_VALUE"""),13247465)</f>
        <v>13247465</v>
      </c>
      <c r="K1171" s="5"/>
      <c r="L1171" s="18">
        <f ca="1">IFERROR(__xludf.DUMMYFUNCTION("""COMPUTED_VALUE"""),45325)</f>
        <v>45325</v>
      </c>
      <c r="M1171" s="18">
        <f ca="1">IFERROR(__xludf.DUMMYFUNCTION("""COMPUTED_VALUE"""),45325)</f>
        <v>45325</v>
      </c>
      <c r="N1171" s="5" t="str">
        <f ca="1">IFERROR(__xludf.DUMMYFUNCTION("""COMPUTED_VALUE"""),"Rivas Mena Carlos Danny")</f>
        <v>Rivas Mena Carlos Danny</v>
      </c>
      <c r="O1171" s="2">
        <f ca="1">IFERROR(__xludf.DUMMYFUNCTION("""COMPUTED_VALUE"""),0.02)</f>
        <v>0.02</v>
      </c>
      <c r="P1171" s="5">
        <f ca="1">IFERROR(__xludf.DUMMYFUNCTION("""COMPUTED_VALUE"""),20016283)</f>
        <v>20016283</v>
      </c>
      <c r="Q1171" s="5" t="str">
        <f ca="1">IFERROR(__xludf.DUMMYFUNCTION("""COMPUTED_VALUE"""),"YccGGN7OPkM")</f>
        <v>YccGGN7OPkM</v>
      </c>
      <c r="R1171" s="5">
        <f ca="1">IFERROR(__xludf.DUMMYFUNCTION("""COMPUTED_VALUE"""),410)</f>
        <v>410</v>
      </c>
      <c r="S1171" s="62">
        <f ca="1">IFERROR(__xludf.DUMMYFUNCTION("""COMPUTED_VALUE"""),0.02)</f>
        <v>0.02</v>
      </c>
      <c r="T1171" s="63" t="str">
        <f ca="1">IFERROR(__xludf.DUMMYFUNCTION("""COMPUTED_VALUE"""),"https://storage.googleapis.com/glide-prod.appspot.com/uploads-v2/ly7o78grxPaC6KdgvbpS/pub/3aRdSog0vUtuqPE8AJKD.png")</f>
        <v>https://storage.googleapis.com/glide-prod.appspot.com/uploads-v2/ly7o78grxPaC6KdgvbpS/pub/3aRdSog0vUtuqPE8AJKD.png</v>
      </c>
      <c r="U1171" s="5" t="str">
        <f ca="1">IFERROR(__xludf.DUMMYFUNCTION("""COMPUTED_VALUE"""),"EQUIPOS PARA PREPARACION DE JARABETANQUE DE JARABE")</f>
        <v>EQUIPOS PARA PREPARACION DE JARABETANQUE DE JARABE</v>
      </c>
      <c r="V1171" s="5"/>
      <c r="W1171" s="5" t="b">
        <f ca="1">IFERROR(__xludf.DUMMYFUNCTION("""COMPUTED_VALUE"""),TRUE)</f>
        <v>1</v>
      </c>
      <c r="X1171" s="5" t="str">
        <f ca="1">IFERROR(__xludf.DUMMYFUNCTION("""COMPUTED_VALUE"""),"efzapata@postobon.com.co,aprmttoyu@postobon.com.co,aprmyu@postobon.com.co,wmora@postobon.com.co,efzapata@postobon.com.co")</f>
        <v>efzapata@postobon.com.co,aprmttoyu@postobon.com.co,aprmyu@postobon.com.co,wmora@postobon.com.co,efzapata@postobon.com.co</v>
      </c>
      <c r="Y1171" s="5" t="str">
        <f ca="1">IFERROR(__xludf.DUMMYFUNCTION("""COMPUTED_VALUE"""),"efzapata@postobon.com.co")</f>
        <v>efzapata@postobon.com.co</v>
      </c>
      <c r="Z1171" s="5" t="str">
        <f ca="1">IFERROR(__xludf.DUMMYFUNCTION("""COMPUTED_VALUE"""),"fbqaEJCYR-mU5W3CXqyYNQ")</f>
        <v>fbqaEJCYR-mU5W3CXqyYNQ</v>
      </c>
      <c r="AA1171" s="5"/>
      <c r="AB1171" s="5"/>
      <c r="AC1171" s="5"/>
      <c r="AD1171" s="5">
        <f ca="1">IFERROR(__xludf.DUMMYFUNCTION("""COMPUTED_VALUE"""),24)</f>
        <v>24</v>
      </c>
      <c r="AE1171" s="5">
        <f ca="1">IFERROR(__xludf.DUMMYFUNCTION("""COMPUTED_VALUE"""),24)</f>
        <v>24</v>
      </c>
      <c r="AF1171" s="5" t="b">
        <f ca="1">IFERROR(__xludf.DUMMYFUNCTION("""COMPUTED_VALUE"""),FALSE)</f>
        <v>0</v>
      </c>
      <c r="AG1171" s="5" t="str">
        <f ca="1">IFERROR(__xludf.DUMMYFUNCTION("""COMPUTED_VALUE"""),"INSPECCIONES REALIZADAS")</f>
        <v>INSPECCIONES REALIZADAS</v>
      </c>
      <c r="AH1171" s="5"/>
    </row>
    <row r="1172" spans="1:34">
      <c r="A1172" s="5" t="str">
        <f ca="1">IFERROR(__xludf.DUMMYFUNCTION("""COMPUTED_VALUE"""),"EQUIPOS PARA PREPARACION DE JARABE")</f>
        <v>EQUIPOS PARA PREPARACION DE JARABE</v>
      </c>
      <c r="B1172" s="5">
        <f ca="1">IFERROR(__xludf.DUMMYFUNCTION("""COMPUTED_VALUE"""),69963413)</f>
        <v>69963413</v>
      </c>
      <c r="C1172" s="5" t="str">
        <f ca="1">IFERROR(__xludf.DUMMYFUNCTION("""COMPUTED_VALUE"""),"TANQUE DE JARABE")</f>
        <v>TANQUE DE JARABE</v>
      </c>
      <c r="D1172" s="5">
        <f ca="1">IFERROR(__xludf.DUMMYFUNCTION("""COMPUTED_VALUE"""),13247465)</f>
        <v>13247465</v>
      </c>
      <c r="E1172" s="5" t="str">
        <f ca="1">IFERROR(__xludf.DUMMYFUNCTION("""COMPUTED_VALUE"""),"INSPECCION SEMANAL Tanque Jarabe 10")</f>
        <v>INSPECCION SEMANAL Tanque Jarabe 10</v>
      </c>
      <c r="F1172" s="5" t="str">
        <f ca="1">IFERROR(__xludf.DUMMYFUNCTION("""COMPUTED_VALUE"""),"ESCAPES FLUIDOS(AGUA,AIRE,JARABE)")</f>
        <v>ESCAPES FLUIDOS(AGUA,AIRE,JARABE)</v>
      </c>
      <c r="G1172" s="5" t="b">
        <f ca="1">IFERROR(__xludf.DUMMYFUNCTION("""COMPUTED_VALUE"""),TRUE)</f>
        <v>1</v>
      </c>
      <c r="H1172" s="5"/>
      <c r="I1172" s="5"/>
      <c r="J1172" s="5">
        <f ca="1">IFERROR(__xludf.DUMMYFUNCTION("""COMPUTED_VALUE"""),13247465)</f>
        <v>13247465</v>
      </c>
      <c r="K1172" s="5"/>
      <c r="L1172" s="18">
        <f ca="1">IFERROR(__xludf.DUMMYFUNCTION("""COMPUTED_VALUE"""),45325)</f>
        <v>45325</v>
      </c>
      <c r="M1172" s="18">
        <f ca="1">IFERROR(__xludf.DUMMYFUNCTION("""COMPUTED_VALUE"""),45325)</f>
        <v>45325</v>
      </c>
      <c r="N1172" s="5" t="str">
        <f ca="1">IFERROR(__xludf.DUMMYFUNCTION("""COMPUTED_VALUE"""),"Rivas Mena Carlos Danny")</f>
        <v>Rivas Mena Carlos Danny</v>
      </c>
      <c r="O1172" s="2">
        <f ca="1">IFERROR(__xludf.DUMMYFUNCTION("""COMPUTED_VALUE"""),0.02)</f>
        <v>0.02</v>
      </c>
      <c r="P1172" s="5">
        <f ca="1">IFERROR(__xludf.DUMMYFUNCTION("""COMPUTED_VALUE"""),20016283)</f>
        <v>20016283</v>
      </c>
      <c r="Q1172" s="5" t="str">
        <f ca="1">IFERROR(__xludf.DUMMYFUNCTION("""COMPUTED_VALUE"""),"smPAsRB66H4")</f>
        <v>smPAsRB66H4</v>
      </c>
      <c r="R1172" s="5">
        <f ca="1">IFERROR(__xludf.DUMMYFUNCTION("""COMPUTED_VALUE"""),410)</f>
        <v>410</v>
      </c>
      <c r="S1172" s="62">
        <f ca="1">IFERROR(__xludf.DUMMYFUNCTION("""COMPUTED_VALUE"""),0.02)</f>
        <v>0.02</v>
      </c>
      <c r="T1172" s="63" t="str">
        <f ca="1">IFERROR(__xludf.DUMMYFUNCTION("""COMPUTED_VALUE"""),"https://storage.googleapis.com/glide-prod.appspot.com/uploads-v2/ly7o78grxPaC6KdgvbpS/pub/3aRdSog0vUtuqPE8AJKD.png")</f>
        <v>https://storage.googleapis.com/glide-prod.appspot.com/uploads-v2/ly7o78grxPaC6KdgvbpS/pub/3aRdSog0vUtuqPE8AJKD.png</v>
      </c>
      <c r="U1172" s="5" t="str">
        <f ca="1">IFERROR(__xludf.DUMMYFUNCTION("""COMPUTED_VALUE"""),"EQUIPOS PARA PREPARACION DE JARABETANQUE DE JARABE")</f>
        <v>EQUIPOS PARA PREPARACION DE JARABETANQUE DE JARABE</v>
      </c>
      <c r="V1172" s="5"/>
      <c r="W1172" s="5" t="b">
        <f ca="1">IFERROR(__xludf.DUMMYFUNCTION("""COMPUTED_VALUE"""),TRUE)</f>
        <v>1</v>
      </c>
      <c r="X1172" s="5" t="str">
        <f ca="1">IFERROR(__xludf.DUMMYFUNCTION("""COMPUTED_VALUE"""),"efzapata@postobon.com.co,aprmttoyu@postobon.com.co,aprmyu@postobon.com.co,wmora@postobon.com.co,efzapata@postobon.com.co")</f>
        <v>efzapata@postobon.com.co,aprmttoyu@postobon.com.co,aprmyu@postobon.com.co,wmora@postobon.com.co,efzapata@postobon.com.co</v>
      </c>
      <c r="Y1172" s="5" t="str">
        <f ca="1">IFERROR(__xludf.DUMMYFUNCTION("""COMPUTED_VALUE"""),"efzapata@postobon.com.co")</f>
        <v>efzapata@postobon.com.co</v>
      </c>
      <c r="Z1172" s="5" t="str">
        <f ca="1">IFERROR(__xludf.DUMMYFUNCTION("""COMPUTED_VALUE"""),"tfKK30RTQxqhLizWoCsMZQ")</f>
        <v>tfKK30RTQxqhLizWoCsMZQ</v>
      </c>
      <c r="AA1172" s="5"/>
      <c r="AB1172" s="5"/>
      <c r="AC1172" s="5"/>
      <c r="AD1172" s="5">
        <f ca="1">IFERROR(__xludf.DUMMYFUNCTION("""COMPUTED_VALUE"""),24)</f>
        <v>24</v>
      </c>
      <c r="AE1172" s="5">
        <f ca="1">IFERROR(__xludf.DUMMYFUNCTION("""COMPUTED_VALUE"""),24)</f>
        <v>24</v>
      </c>
      <c r="AF1172" s="5" t="b">
        <f ca="1">IFERROR(__xludf.DUMMYFUNCTION("""COMPUTED_VALUE"""),FALSE)</f>
        <v>0</v>
      </c>
      <c r="AG1172" s="5" t="str">
        <f ca="1">IFERROR(__xludf.DUMMYFUNCTION("""COMPUTED_VALUE"""),"INSPECCIONES REALIZADAS")</f>
        <v>INSPECCIONES REALIZADAS</v>
      </c>
      <c r="AH1172" s="5"/>
    </row>
    <row r="1173" spans="1:34">
      <c r="A1173" s="5" t="str">
        <f ca="1">IFERROR(__xludf.DUMMYFUNCTION("""COMPUTED_VALUE"""),"EQUIPOS PARA PREPARACION DE JARABE")</f>
        <v>EQUIPOS PARA PREPARACION DE JARABE</v>
      </c>
      <c r="B1173" s="5">
        <f ca="1">IFERROR(__xludf.DUMMYFUNCTION("""COMPUTED_VALUE"""),69963413)</f>
        <v>69963413</v>
      </c>
      <c r="C1173" s="5" t="str">
        <f ca="1">IFERROR(__xludf.DUMMYFUNCTION("""COMPUTED_VALUE"""),"TANQUE DE JARABE")</f>
        <v>TANQUE DE JARABE</v>
      </c>
      <c r="D1173" s="5">
        <f ca="1">IFERROR(__xludf.DUMMYFUNCTION("""COMPUTED_VALUE"""),13247465)</f>
        <v>13247465</v>
      </c>
      <c r="E1173" s="5" t="str">
        <f ca="1">IFERROR(__xludf.DUMMYFUNCTION("""COMPUTED_VALUE"""),"INSPECCION SEMANAL Tanque Jarabe 10")</f>
        <v>INSPECCION SEMANAL Tanque Jarabe 10</v>
      </c>
      <c r="F1173" s="5" t="str">
        <f ca="1">IFERROR(__xludf.DUMMYFUNCTION("""COMPUTED_VALUE"""),"VERIFICAR ESTADO PIEZAS TANQUES (QUE LAS PIEZAS ESTEN COMPLETAS Y EN BUEN ESTADO)")</f>
        <v>VERIFICAR ESTADO PIEZAS TANQUES (QUE LAS PIEZAS ESTEN COMPLETAS Y EN BUEN ESTADO)</v>
      </c>
      <c r="G1173" s="5" t="b">
        <f ca="1">IFERROR(__xludf.DUMMYFUNCTION("""COMPUTED_VALUE"""),TRUE)</f>
        <v>1</v>
      </c>
      <c r="H1173" s="5"/>
      <c r="I1173" s="5"/>
      <c r="J1173" s="5">
        <f ca="1">IFERROR(__xludf.DUMMYFUNCTION("""COMPUTED_VALUE"""),13247465)</f>
        <v>13247465</v>
      </c>
      <c r="K1173" s="5"/>
      <c r="L1173" s="18">
        <f ca="1">IFERROR(__xludf.DUMMYFUNCTION("""COMPUTED_VALUE"""),45325)</f>
        <v>45325</v>
      </c>
      <c r="M1173" s="18">
        <f ca="1">IFERROR(__xludf.DUMMYFUNCTION("""COMPUTED_VALUE"""),45325)</f>
        <v>45325</v>
      </c>
      <c r="N1173" s="5" t="str">
        <f ca="1">IFERROR(__xludf.DUMMYFUNCTION("""COMPUTED_VALUE"""),"Rivas Mena Carlos Danny")</f>
        <v>Rivas Mena Carlos Danny</v>
      </c>
      <c r="O1173" s="2">
        <f ca="1">IFERROR(__xludf.DUMMYFUNCTION("""COMPUTED_VALUE"""),0.02)</f>
        <v>0.02</v>
      </c>
      <c r="P1173" s="5">
        <f ca="1">IFERROR(__xludf.DUMMYFUNCTION("""COMPUTED_VALUE"""),20016283)</f>
        <v>20016283</v>
      </c>
      <c r="Q1173" s="5" t="str">
        <f ca="1">IFERROR(__xludf.DUMMYFUNCTION("""COMPUTED_VALUE"""),"IMRafwCwSp4")</f>
        <v>IMRafwCwSp4</v>
      </c>
      <c r="R1173" s="5">
        <f ca="1">IFERROR(__xludf.DUMMYFUNCTION("""COMPUTED_VALUE"""),410)</f>
        <v>410</v>
      </c>
      <c r="S1173" s="62">
        <f ca="1">IFERROR(__xludf.DUMMYFUNCTION("""COMPUTED_VALUE"""),0.02)</f>
        <v>0.02</v>
      </c>
      <c r="T1173" s="63" t="str">
        <f ca="1">IFERROR(__xludf.DUMMYFUNCTION("""COMPUTED_VALUE"""),"https://storage.googleapis.com/glide-prod.appspot.com/uploads-v2/ly7o78grxPaC6KdgvbpS/pub/3aRdSog0vUtuqPE8AJKD.png")</f>
        <v>https://storage.googleapis.com/glide-prod.appspot.com/uploads-v2/ly7o78grxPaC6KdgvbpS/pub/3aRdSog0vUtuqPE8AJKD.png</v>
      </c>
      <c r="U1173" s="5" t="str">
        <f ca="1">IFERROR(__xludf.DUMMYFUNCTION("""COMPUTED_VALUE"""),"EQUIPOS PARA PREPARACION DE JARABETANQUE DE JARABE")</f>
        <v>EQUIPOS PARA PREPARACION DE JARABETANQUE DE JARABE</v>
      </c>
      <c r="V1173" s="5"/>
      <c r="W1173" s="5" t="b">
        <f ca="1">IFERROR(__xludf.DUMMYFUNCTION("""COMPUTED_VALUE"""),TRUE)</f>
        <v>1</v>
      </c>
      <c r="X1173" s="5" t="str">
        <f ca="1">IFERROR(__xludf.DUMMYFUNCTION("""COMPUTED_VALUE"""),"efzapata@postobon.com.co,aprmttoyu@postobon.com.co,aprmyu@postobon.com.co,wmora@postobon.com.co,efzapata@postobon.com.co")</f>
        <v>efzapata@postobon.com.co,aprmttoyu@postobon.com.co,aprmyu@postobon.com.co,wmora@postobon.com.co,efzapata@postobon.com.co</v>
      </c>
      <c r="Y1173" s="5" t="str">
        <f ca="1">IFERROR(__xludf.DUMMYFUNCTION("""COMPUTED_VALUE"""),"efzapata@postobon.com.co")</f>
        <v>efzapata@postobon.com.co</v>
      </c>
      <c r="Z1173" s="5" t="str">
        <f ca="1">IFERROR(__xludf.DUMMYFUNCTION("""COMPUTED_VALUE"""),"LqQO.DGvRuaVSVwLrkoNXg")</f>
        <v>LqQO.DGvRuaVSVwLrkoNXg</v>
      </c>
      <c r="AA1173" s="5"/>
      <c r="AB1173" s="5"/>
      <c r="AC1173" s="5"/>
      <c r="AD1173" s="5">
        <f ca="1">IFERROR(__xludf.DUMMYFUNCTION("""COMPUTED_VALUE"""),24)</f>
        <v>24</v>
      </c>
      <c r="AE1173" s="5">
        <f ca="1">IFERROR(__xludf.DUMMYFUNCTION("""COMPUTED_VALUE"""),24)</f>
        <v>24</v>
      </c>
      <c r="AF1173" s="5" t="b">
        <f ca="1">IFERROR(__xludf.DUMMYFUNCTION("""COMPUTED_VALUE"""),FALSE)</f>
        <v>0</v>
      </c>
      <c r="AG1173" s="5" t="str">
        <f ca="1">IFERROR(__xludf.DUMMYFUNCTION("""COMPUTED_VALUE"""),"INSPECCIONES REALIZADAS")</f>
        <v>INSPECCIONES REALIZADAS</v>
      </c>
      <c r="AH1173" s="5"/>
    </row>
    <row r="1174" spans="1:34">
      <c r="A1174" s="5" t="str">
        <f ca="1">IFERROR(__xludf.DUMMYFUNCTION("""COMPUTED_VALUE"""),"EQUIPOS PARA PREPARACION DE JARABE")</f>
        <v>EQUIPOS PARA PREPARACION DE JARABE</v>
      </c>
      <c r="B1174" s="5">
        <f ca="1">IFERROR(__xludf.DUMMYFUNCTION("""COMPUTED_VALUE"""),69963413)</f>
        <v>69963413</v>
      </c>
      <c r="C1174" s="5" t="str">
        <f ca="1">IFERROR(__xludf.DUMMYFUNCTION("""COMPUTED_VALUE"""),"TANQUE DE JARABE")</f>
        <v>TANQUE DE JARABE</v>
      </c>
      <c r="D1174" s="5">
        <f ca="1">IFERROR(__xludf.DUMMYFUNCTION("""COMPUTED_VALUE"""),13247465)</f>
        <v>13247465</v>
      </c>
      <c r="E1174" s="5" t="str">
        <f ca="1">IFERROR(__xludf.DUMMYFUNCTION("""COMPUTED_VALUE"""),"INSPECCION SEMANAL Tanque Jarabe 10")</f>
        <v>INSPECCION SEMANAL Tanque Jarabe 10</v>
      </c>
      <c r="F1174" s="5" t="str">
        <f ca="1">IFERROR(__xludf.DUMMYFUNCTION("""COMPUTED_VALUE"""),"MTTO MEC TK JARABE 10 JARABE TERMINADO")</f>
        <v>MTTO MEC TK JARABE 10 JARABE TERMINADO</v>
      </c>
      <c r="G1174" s="5" t="b">
        <f ca="1">IFERROR(__xludf.DUMMYFUNCTION("""COMPUTED_VALUE"""),TRUE)</f>
        <v>1</v>
      </c>
      <c r="H1174" s="5"/>
      <c r="I1174" s="5"/>
      <c r="J1174" s="5">
        <f ca="1">IFERROR(__xludf.DUMMYFUNCTION("""COMPUTED_VALUE"""),13247465)</f>
        <v>13247465</v>
      </c>
      <c r="K1174" s="5"/>
      <c r="L1174" s="18">
        <f ca="1">IFERROR(__xludf.DUMMYFUNCTION("""COMPUTED_VALUE"""),45325)</f>
        <v>45325</v>
      </c>
      <c r="M1174" s="18">
        <f ca="1">IFERROR(__xludf.DUMMYFUNCTION("""COMPUTED_VALUE"""),45325)</f>
        <v>45325</v>
      </c>
      <c r="N1174" s="5" t="str">
        <f ca="1">IFERROR(__xludf.DUMMYFUNCTION("""COMPUTED_VALUE"""),"Rivas Mena Carlos Danny")</f>
        <v>Rivas Mena Carlos Danny</v>
      </c>
      <c r="O1174" s="2">
        <f ca="1">IFERROR(__xludf.DUMMYFUNCTION("""COMPUTED_VALUE"""),0.02)</f>
        <v>0.02</v>
      </c>
      <c r="P1174" s="5">
        <f ca="1">IFERROR(__xludf.DUMMYFUNCTION("""COMPUTED_VALUE"""),20016283)</f>
        <v>20016283</v>
      </c>
      <c r="Q1174" s="5" t="str">
        <f ca="1">IFERROR(__xludf.DUMMYFUNCTION("""COMPUTED_VALUE"""),"2Q2i0ZjdNQI")</f>
        <v>2Q2i0ZjdNQI</v>
      </c>
      <c r="R1174" s="5">
        <f ca="1">IFERROR(__xludf.DUMMYFUNCTION("""COMPUTED_VALUE"""),410)</f>
        <v>410</v>
      </c>
      <c r="S1174" s="62">
        <f ca="1">IFERROR(__xludf.DUMMYFUNCTION("""COMPUTED_VALUE"""),0.02)</f>
        <v>0.02</v>
      </c>
      <c r="T1174" s="63" t="str">
        <f ca="1">IFERROR(__xludf.DUMMYFUNCTION("""COMPUTED_VALUE"""),"https://storage.googleapis.com/glide-prod.appspot.com/uploads-v2/ly7o78grxPaC6KdgvbpS/pub/3aRdSog0vUtuqPE8AJKD.png")</f>
        <v>https://storage.googleapis.com/glide-prod.appspot.com/uploads-v2/ly7o78grxPaC6KdgvbpS/pub/3aRdSog0vUtuqPE8AJKD.png</v>
      </c>
      <c r="U1174" s="5" t="str">
        <f ca="1">IFERROR(__xludf.DUMMYFUNCTION("""COMPUTED_VALUE"""),"EQUIPOS PARA PREPARACION DE JARABETANQUE DE JARABE")</f>
        <v>EQUIPOS PARA PREPARACION DE JARABETANQUE DE JARABE</v>
      </c>
      <c r="V1174" s="5"/>
      <c r="W1174" s="5" t="b">
        <f ca="1">IFERROR(__xludf.DUMMYFUNCTION("""COMPUTED_VALUE"""),TRUE)</f>
        <v>1</v>
      </c>
      <c r="X1174" s="5" t="str">
        <f ca="1">IFERROR(__xludf.DUMMYFUNCTION("""COMPUTED_VALUE"""),"efzapata@postobon.com.co,aprmttoyu@postobon.com.co,aprmyu@postobon.com.co,wmora@postobon.com.co,efzapata@postobon.com.co")</f>
        <v>efzapata@postobon.com.co,aprmttoyu@postobon.com.co,aprmyu@postobon.com.co,wmora@postobon.com.co,efzapata@postobon.com.co</v>
      </c>
      <c r="Y1174" s="5" t="str">
        <f ca="1">IFERROR(__xludf.DUMMYFUNCTION("""COMPUTED_VALUE"""),"efzapata@postobon.com.co")</f>
        <v>efzapata@postobon.com.co</v>
      </c>
      <c r="Z1174" s="5" t="str">
        <f ca="1">IFERROR(__xludf.DUMMYFUNCTION("""COMPUTED_VALUE"""),"5KdUz8PqRLa6QG1SQEGAEQ")</f>
        <v>5KdUz8PqRLa6QG1SQEGAEQ</v>
      </c>
      <c r="AA1174" s="5"/>
      <c r="AB1174" s="5"/>
      <c r="AC1174" s="5"/>
      <c r="AD1174" s="5">
        <f ca="1">IFERROR(__xludf.DUMMYFUNCTION("""COMPUTED_VALUE"""),24)</f>
        <v>24</v>
      </c>
      <c r="AE1174" s="5">
        <f ca="1">IFERROR(__xludf.DUMMYFUNCTION("""COMPUTED_VALUE"""),24)</f>
        <v>24</v>
      </c>
      <c r="AF1174" s="5" t="b">
        <f ca="1">IFERROR(__xludf.DUMMYFUNCTION("""COMPUTED_VALUE"""),FALSE)</f>
        <v>0</v>
      </c>
      <c r="AG1174" s="5" t="str">
        <f ca="1">IFERROR(__xludf.DUMMYFUNCTION("""COMPUTED_VALUE"""),"INSPECCIONES REALIZADAS")</f>
        <v>INSPECCIONES REALIZADAS</v>
      </c>
      <c r="AH1174" s="5"/>
    </row>
    <row r="1175" spans="1:34">
      <c r="A1175" s="5" t="str">
        <f ca="1">IFERROR(__xludf.DUMMYFUNCTION("""COMPUTED_VALUE"""),"EQUIPOS PARA PREPARACION DE JARABE")</f>
        <v>EQUIPOS PARA PREPARACION DE JARABE</v>
      </c>
      <c r="B1175" s="5">
        <f ca="1">IFERROR(__xludf.DUMMYFUNCTION("""COMPUTED_VALUE"""),69963414)</f>
        <v>69963414</v>
      </c>
      <c r="C1175" s="5" t="str">
        <f ca="1">IFERROR(__xludf.DUMMYFUNCTION("""COMPUTED_VALUE"""),"TANQUE DE JARABE")</f>
        <v>TANQUE DE JARABE</v>
      </c>
      <c r="D1175" s="5">
        <f ca="1">IFERROR(__xludf.DUMMYFUNCTION("""COMPUTED_VALUE"""),13247466)</f>
        <v>13247466</v>
      </c>
      <c r="E1175" s="5" t="str">
        <f ca="1">IFERROR(__xludf.DUMMYFUNCTION("""COMPUTED_VALUE"""),"INSPECCION SEMANAL Tanque Jarabe 11")</f>
        <v>INSPECCION SEMANAL Tanque Jarabe 11</v>
      </c>
      <c r="F1175" s="5" t="str">
        <f ca="1">IFERROR(__xludf.DUMMYFUNCTION("""COMPUTED_VALUE"""),"REVISAR ESTADO TANQUE,TUBERIAS, VALVULAS")</f>
        <v>REVISAR ESTADO TANQUE,TUBERIAS, VALVULAS</v>
      </c>
      <c r="G1175" s="5" t="b">
        <f ca="1">IFERROR(__xludf.DUMMYFUNCTION("""COMPUTED_VALUE"""),TRUE)</f>
        <v>1</v>
      </c>
      <c r="H1175" s="5"/>
      <c r="I1175" s="5"/>
      <c r="J1175" s="5">
        <f ca="1">IFERROR(__xludf.DUMMYFUNCTION("""COMPUTED_VALUE"""),13247466)</f>
        <v>13247466</v>
      </c>
      <c r="K1175" s="5"/>
      <c r="L1175" s="18">
        <f ca="1">IFERROR(__xludf.DUMMYFUNCTION("""COMPUTED_VALUE"""),45324)</f>
        <v>45324</v>
      </c>
      <c r="M1175" s="18">
        <f ca="1">IFERROR(__xludf.DUMMYFUNCTION("""COMPUTED_VALUE"""),45324)</f>
        <v>45324</v>
      </c>
      <c r="N1175" s="5" t="str">
        <f ca="1">IFERROR(__xludf.DUMMYFUNCTION("""COMPUTED_VALUE"""),"Rivas Mena Carlos Danny")</f>
        <v>Rivas Mena Carlos Danny</v>
      </c>
      <c r="O1175" s="2">
        <f ca="1">IFERROR(__xludf.DUMMYFUNCTION("""COMPUTED_VALUE"""),0.02)</f>
        <v>0.02</v>
      </c>
      <c r="P1175" s="5">
        <f ca="1">IFERROR(__xludf.DUMMYFUNCTION("""COMPUTED_VALUE"""),20016283)</f>
        <v>20016283</v>
      </c>
      <c r="Q1175" s="5" t="str">
        <f ca="1">IFERROR(__xludf.DUMMYFUNCTION("""COMPUTED_VALUE"""),"IA_A4_tsU6I")</f>
        <v>IA_A4_tsU6I</v>
      </c>
      <c r="R1175" s="5">
        <f ca="1">IFERROR(__xludf.DUMMYFUNCTION("""COMPUTED_VALUE"""),410)</f>
        <v>410</v>
      </c>
      <c r="S1175" s="62">
        <f ca="1">IFERROR(__xludf.DUMMYFUNCTION("""COMPUTED_VALUE"""),0.02)</f>
        <v>0.02</v>
      </c>
      <c r="T1175" s="63" t="str">
        <f ca="1">IFERROR(__xludf.DUMMYFUNCTION("""COMPUTED_VALUE"""),"https://storage.googleapis.com/glide-prod.appspot.com/uploads-v2/ly7o78grxPaC6KdgvbpS/pub/3aRdSog0vUtuqPE8AJKD.png")</f>
        <v>https://storage.googleapis.com/glide-prod.appspot.com/uploads-v2/ly7o78grxPaC6KdgvbpS/pub/3aRdSog0vUtuqPE8AJKD.png</v>
      </c>
      <c r="U1175" s="5" t="str">
        <f ca="1">IFERROR(__xludf.DUMMYFUNCTION("""COMPUTED_VALUE"""),"EQUIPOS PARA PREPARACION DE JARABETANQUE DE JARABE")</f>
        <v>EQUIPOS PARA PREPARACION DE JARABETANQUE DE JARABE</v>
      </c>
      <c r="V1175" s="5"/>
      <c r="W1175" s="5" t="b">
        <f ca="1">IFERROR(__xludf.DUMMYFUNCTION("""COMPUTED_VALUE"""),TRUE)</f>
        <v>1</v>
      </c>
      <c r="X1175" s="5" t="str">
        <f ca="1">IFERROR(__xludf.DUMMYFUNCTION("""COMPUTED_VALUE"""),"efzapata@postobon.com.co,aprmttoyu@postobon.com.co,aprmyu@postobon.com.co,wmora@postobon.com.co,efzapata@postobon.com.co")</f>
        <v>efzapata@postobon.com.co,aprmttoyu@postobon.com.co,aprmyu@postobon.com.co,wmora@postobon.com.co,efzapata@postobon.com.co</v>
      </c>
      <c r="Y1175" s="5" t="str">
        <f ca="1">IFERROR(__xludf.DUMMYFUNCTION("""COMPUTED_VALUE"""),"efzapata@postobon.com.co")</f>
        <v>efzapata@postobon.com.co</v>
      </c>
      <c r="Z1175" s="5" t="str">
        <f ca="1">IFERROR(__xludf.DUMMYFUNCTION("""COMPUTED_VALUE"""),"EOXz37-UTgmHh1DWlafy1Q")</f>
        <v>EOXz37-UTgmHh1DWlafy1Q</v>
      </c>
      <c r="AA1175" s="5"/>
      <c r="AB1175" s="5"/>
      <c r="AC1175" s="5"/>
      <c r="AD1175" s="5">
        <f ca="1">IFERROR(__xludf.DUMMYFUNCTION("""COMPUTED_VALUE"""),24)</f>
        <v>24</v>
      </c>
      <c r="AE1175" s="5">
        <f ca="1">IFERROR(__xludf.DUMMYFUNCTION("""COMPUTED_VALUE"""),24)</f>
        <v>24</v>
      </c>
      <c r="AF1175" s="5" t="b">
        <f ca="1">IFERROR(__xludf.DUMMYFUNCTION("""COMPUTED_VALUE"""),FALSE)</f>
        <v>0</v>
      </c>
      <c r="AG1175" s="5" t="str">
        <f ca="1">IFERROR(__xludf.DUMMYFUNCTION("""COMPUTED_VALUE"""),"INSPECCIONES REALIZADAS")</f>
        <v>INSPECCIONES REALIZADAS</v>
      </c>
      <c r="AH1175" s="5"/>
    </row>
    <row r="1176" spans="1:34">
      <c r="A1176" s="5" t="str">
        <f ca="1">IFERROR(__xludf.DUMMYFUNCTION("""COMPUTED_VALUE"""),"EQUIPOS PARA PREPARACION DE JARABE")</f>
        <v>EQUIPOS PARA PREPARACION DE JARABE</v>
      </c>
      <c r="B1176" s="5">
        <f ca="1">IFERROR(__xludf.DUMMYFUNCTION("""COMPUTED_VALUE"""),69963414)</f>
        <v>69963414</v>
      </c>
      <c r="C1176" s="5" t="str">
        <f ca="1">IFERROR(__xludf.DUMMYFUNCTION("""COMPUTED_VALUE"""),"TANQUE DE JARABE")</f>
        <v>TANQUE DE JARABE</v>
      </c>
      <c r="D1176" s="5">
        <f ca="1">IFERROR(__xludf.DUMMYFUNCTION("""COMPUTED_VALUE"""),13247466)</f>
        <v>13247466</v>
      </c>
      <c r="E1176" s="5" t="str">
        <f ca="1">IFERROR(__xludf.DUMMYFUNCTION("""COMPUTED_VALUE"""),"INSPECCION SEMANAL Tanque Jarabe 11")</f>
        <v>INSPECCION SEMANAL Tanque Jarabe 11</v>
      </c>
      <c r="F1176" s="5" t="str">
        <f ca="1">IFERROR(__xludf.DUMMYFUNCTION("""COMPUTED_VALUE"""),"INSP. BOMBAS EN GENERAL")</f>
        <v>INSP. BOMBAS EN GENERAL</v>
      </c>
      <c r="G1176" s="5" t="b">
        <f ca="1">IFERROR(__xludf.DUMMYFUNCTION("""COMPUTED_VALUE"""),TRUE)</f>
        <v>1</v>
      </c>
      <c r="H1176" s="5"/>
      <c r="I1176" s="5"/>
      <c r="J1176" s="5">
        <f ca="1">IFERROR(__xludf.DUMMYFUNCTION("""COMPUTED_VALUE"""),13247466)</f>
        <v>13247466</v>
      </c>
      <c r="K1176" s="5"/>
      <c r="L1176" s="18">
        <f ca="1">IFERROR(__xludf.DUMMYFUNCTION("""COMPUTED_VALUE"""),45324)</f>
        <v>45324</v>
      </c>
      <c r="M1176" s="18">
        <f ca="1">IFERROR(__xludf.DUMMYFUNCTION("""COMPUTED_VALUE"""),45324)</f>
        <v>45324</v>
      </c>
      <c r="N1176" s="5" t="str">
        <f ca="1">IFERROR(__xludf.DUMMYFUNCTION("""COMPUTED_VALUE"""),"Rivas Mena Carlos Danny")</f>
        <v>Rivas Mena Carlos Danny</v>
      </c>
      <c r="O1176" s="2">
        <f ca="1">IFERROR(__xludf.DUMMYFUNCTION("""COMPUTED_VALUE"""),0.02)</f>
        <v>0.02</v>
      </c>
      <c r="P1176" s="5">
        <f ca="1">IFERROR(__xludf.DUMMYFUNCTION("""COMPUTED_VALUE"""),20016283)</f>
        <v>20016283</v>
      </c>
      <c r="Q1176" s="5" t="str">
        <f ca="1">IFERROR(__xludf.DUMMYFUNCTION("""COMPUTED_VALUE"""),"LW_IPflceKs")</f>
        <v>LW_IPflceKs</v>
      </c>
      <c r="R1176" s="5">
        <f ca="1">IFERROR(__xludf.DUMMYFUNCTION("""COMPUTED_VALUE"""),410)</f>
        <v>410</v>
      </c>
      <c r="S1176" s="62">
        <f ca="1">IFERROR(__xludf.DUMMYFUNCTION("""COMPUTED_VALUE"""),0.02)</f>
        <v>0.02</v>
      </c>
      <c r="T1176" s="63" t="str">
        <f ca="1">IFERROR(__xludf.DUMMYFUNCTION("""COMPUTED_VALUE"""),"https://storage.googleapis.com/glide-prod.appspot.com/uploads-v2/ly7o78grxPaC6KdgvbpS/pub/3aRdSog0vUtuqPE8AJKD.png")</f>
        <v>https://storage.googleapis.com/glide-prod.appspot.com/uploads-v2/ly7o78grxPaC6KdgvbpS/pub/3aRdSog0vUtuqPE8AJKD.png</v>
      </c>
      <c r="U1176" s="5" t="str">
        <f ca="1">IFERROR(__xludf.DUMMYFUNCTION("""COMPUTED_VALUE"""),"EQUIPOS PARA PREPARACION DE JARABETANQUE DE JARABE")</f>
        <v>EQUIPOS PARA PREPARACION DE JARABETANQUE DE JARABE</v>
      </c>
      <c r="V1176" s="5"/>
      <c r="W1176" s="5" t="b">
        <f ca="1">IFERROR(__xludf.DUMMYFUNCTION("""COMPUTED_VALUE"""),TRUE)</f>
        <v>1</v>
      </c>
      <c r="X1176" s="5" t="str">
        <f ca="1">IFERROR(__xludf.DUMMYFUNCTION("""COMPUTED_VALUE"""),"efzapata@postobon.com.co,aprmttoyu@postobon.com.co,aprmyu@postobon.com.co,wmora@postobon.com.co,efzapata@postobon.com.co")</f>
        <v>efzapata@postobon.com.co,aprmttoyu@postobon.com.co,aprmyu@postobon.com.co,wmora@postobon.com.co,efzapata@postobon.com.co</v>
      </c>
      <c r="Y1176" s="5" t="str">
        <f ca="1">IFERROR(__xludf.DUMMYFUNCTION("""COMPUTED_VALUE"""),"efzapata@postobon.com.co")</f>
        <v>efzapata@postobon.com.co</v>
      </c>
      <c r="Z1176" s="5" t="str">
        <f ca="1">IFERROR(__xludf.DUMMYFUNCTION("""COMPUTED_VALUE"""),"uezwRYkGQny3LWpAhuf8gw")</f>
        <v>uezwRYkGQny3LWpAhuf8gw</v>
      </c>
      <c r="AA1176" s="5"/>
      <c r="AB1176" s="5"/>
      <c r="AC1176" s="5"/>
      <c r="AD1176" s="5">
        <f ca="1">IFERROR(__xludf.DUMMYFUNCTION("""COMPUTED_VALUE"""),24)</f>
        <v>24</v>
      </c>
      <c r="AE1176" s="5">
        <f ca="1">IFERROR(__xludf.DUMMYFUNCTION("""COMPUTED_VALUE"""),24)</f>
        <v>24</v>
      </c>
      <c r="AF1176" s="5" t="b">
        <f ca="1">IFERROR(__xludf.DUMMYFUNCTION("""COMPUTED_VALUE"""),FALSE)</f>
        <v>0</v>
      </c>
      <c r="AG1176" s="5" t="str">
        <f ca="1">IFERROR(__xludf.DUMMYFUNCTION("""COMPUTED_VALUE"""),"INSPECCIONES REALIZADAS")</f>
        <v>INSPECCIONES REALIZADAS</v>
      </c>
      <c r="AH1176" s="5"/>
    </row>
    <row r="1177" spans="1:34">
      <c r="A1177" s="5" t="str">
        <f ca="1">IFERROR(__xludf.DUMMYFUNCTION("""COMPUTED_VALUE"""),"EQUIPOS PARA PREPARACION DE JARABE")</f>
        <v>EQUIPOS PARA PREPARACION DE JARABE</v>
      </c>
      <c r="B1177" s="5">
        <f ca="1">IFERROR(__xludf.DUMMYFUNCTION("""COMPUTED_VALUE"""),69963414)</f>
        <v>69963414</v>
      </c>
      <c r="C1177" s="5" t="str">
        <f ca="1">IFERROR(__xludf.DUMMYFUNCTION("""COMPUTED_VALUE"""),"TANQUE DE JARABE")</f>
        <v>TANQUE DE JARABE</v>
      </c>
      <c r="D1177" s="5">
        <f ca="1">IFERROR(__xludf.DUMMYFUNCTION("""COMPUTED_VALUE"""),13247466)</f>
        <v>13247466</v>
      </c>
      <c r="E1177" s="5" t="str">
        <f ca="1">IFERROR(__xludf.DUMMYFUNCTION("""COMPUTED_VALUE"""),"INSPECCION SEMANAL Tanque Jarabe 11")</f>
        <v>INSPECCION SEMANAL Tanque Jarabe 11</v>
      </c>
      <c r="F1177" s="5" t="str">
        <f ca="1">IFERROR(__xludf.DUMMYFUNCTION("""COMPUTED_VALUE"""),"ESCAPES FLUIDOS(AGUA,AIRE,JARABE)")</f>
        <v>ESCAPES FLUIDOS(AGUA,AIRE,JARABE)</v>
      </c>
      <c r="G1177" s="5" t="b">
        <f ca="1">IFERROR(__xludf.DUMMYFUNCTION("""COMPUTED_VALUE"""),TRUE)</f>
        <v>1</v>
      </c>
      <c r="H1177" s="5"/>
      <c r="I1177" s="5"/>
      <c r="J1177" s="5">
        <f ca="1">IFERROR(__xludf.DUMMYFUNCTION("""COMPUTED_VALUE"""),13247466)</f>
        <v>13247466</v>
      </c>
      <c r="K1177" s="5"/>
      <c r="L1177" s="18">
        <f ca="1">IFERROR(__xludf.DUMMYFUNCTION("""COMPUTED_VALUE"""),45324)</f>
        <v>45324</v>
      </c>
      <c r="M1177" s="18">
        <f ca="1">IFERROR(__xludf.DUMMYFUNCTION("""COMPUTED_VALUE"""),45324)</f>
        <v>45324</v>
      </c>
      <c r="N1177" s="5" t="str">
        <f ca="1">IFERROR(__xludf.DUMMYFUNCTION("""COMPUTED_VALUE"""),"Rivas Mena Carlos Danny")</f>
        <v>Rivas Mena Carlos Danny</v>
      </c>
      <c r="O1177" s="2">
        <f ca="1">IFERROR(__xludf.DUMMYFUNCTION("""COMPUTED_VALUE"""),0.02)</f>
        <v>0.02</v>
      </c>
      <c r="P1177" s="5">
        <f ca="1">IFERROR(__xludf.DUMMYFUNCTION("""COMPUTED_VALUE"""),20016283)</f>
        <v>20016283</v>
      </c>
      <c r="Q1177" s="5" t="str">
        <f ca="1">IFERROR(__xludf.DUMMYFUNCTION("""COMPUTED_VALUE"""),"Be4KvvFKswU")</f>
        <v>Be4KvvFKswU</v>
      </c>
      <c r="R1177" s="5">
        <f ca="1">IFERROR(__xludf.DUMMYFUNCTION("""COMPUTED_VALUE"""),410)</f>
        <v>410</v>
      </c>
      <c r="S1177" s="62">
        <f ca="1">IFERROR(__xludf.DUMMYFUNCTION("""COMPUTED_VALUE"""),0.02)</f>
        <v>0.02</v>
      </c>
      <c r="T1177" s="63" t="str">
        <f ca="1">IFERROR(__xludf.DUMMYFUNCTION("""COMPUTED_VALUE"""),"https://storage.googleapis.com/glide-prod.appspot.com/uploads-v2/ly7o78grxPaC6KdgvbpS/pub/3aRdSog0vUtuqPE8AJKD.png")</f>
        <v>https://storage.googleapis.com/glide-prod.appspot.com/uploads-v2/ly7o78grxPaC6KdgvbpS/pub/3aRdSog0vUtuqPE8AJKD.png</v>
      </c>
      <c r="U1177" s="5" t="str">
        <f ca="1">IFERROR(__xludf.DUMMYFUNCTION("""COMPUTED_VALUE"""),"EQUIPOS PARA PREPARACION DE JARABETANQUE DE JARABE")</f>
        <v>EQUIPOS PARA PREPARACION DE JARABETANQUE DE JARABE</v>
      </c>
      <c r="V1177" s="5"/>
      <c r="W1177" s="5" t="b">
        <f ca="1">IFERROR(__xludf.DUMMYFUNCTION("""COMPUTED_VALUE"""),TRUE)</f>
        <v>1</v>
      </c>
      <c r="X1177" s="5" t="str">
        <f ca="1">IFERROR(__xludf.DUMMYFUNCTION("""COMPUTED_VALUE"""),"efzapata@postobon.com.co,aprmttoyu@postobon.com.co,aprmyu@postobon.com.co,wmora@postobon.com.co,efzapata@postobon.com.co")</f>
        <v>efzapata@postobon.com.co,aprmttoyu@postobon.com.co,aprmyu@postobon.com.co,wmora@postobon.com.co,efzapata@postobon.com.co</v>
      </c>
      <c r="Y1177" s="5" t="str">
        <f ca="1">IFERROR(__xludf.DUMMYFUNCTION("""COMPUTED_VALUE"""),"efzapata@postobon.com.co")</f>
        <v>efzapata@postobon.com.co</v>
      </c>
      <c r="Z1177" s="5" t="str">
        <f ca="1">IFERROR(__xludf.DUMMYFUNCTION("""COMPUTED_VALUE"""),"2YeYN.njQuCCLsa8Ucl6Ig")</f>
        <v>2YeYN.njQuCCLsa8Ucl6Ig</v>
      </c>
      <c r="AA1177" s="5"/>
      <c r="AB1177" s="5"/>
      <c r="AC1177" s="5"/>
      <c r="AD1177" s="5">
        <f ca="1">IFERROR(__xludf.DUMMYFUNCTION("""COMPUTED_VALUE"""),24)</f>
        <v>24</v>
      </c>
      <c r="AE1177" s="5">
        <f ca="1">IFERROR(__xludf.DUMMYFUNCTION("""COMPUTED_VALUE"""),24)</f>
        <v>24</v>
      </c>
      <c r="AF1177" s="5" t="b">
        <f ca="1">IFERROR(__xludf.DUMMYFUNCTION("""COMPUTED_VALUE"""),FALSE)</f>
        <v>0</v>
      </c>
      <c r="AG1177" s="5" t="str">
        <f ca="1">IFERROR(__xludf.DUMMYFUNCTION("""COMPUTED_VALUE"""),"INSPECCIONES REALIZADAS")</f>
        <v>INSPECCIONES REALIZADAS</v>
      </c>
      <c r="AH1177" s="5"/>
    </row>
    <row r="1178" spans="1:34">
      <c r="A1178" s="5" t="str">
        <f ca="1">IFERROR(__xludf.DUMMYFUNCTION("""COMPUTED_VALUE"""),"EQUIPOS PARA PREPARACION DE JARABE")</f>
        <v>EQUIPOS PARA PREPARACION DE JARABE</v>
      </c>
      <c r="B1178" s="5">
        <f ca="1">IFERROR(__xludf.DUMMYFUNCTION("""COMPUTED_VALUE"""),69963414)</f>
        <v>69963414</v>
      </c>
      <c r="C1178" s="5" t="str">
        <f ca="1">IFERROR(__xludf.DUMMYFUNCTION("""COMPUTED_VALUE"""),"TANQUE DE JARABE")</f>
        <v>TANQUE DE JARABE</v>
      </c>
      <c r="D1178" s="5">
        <f ca="1">IFERROR(__xludf.DUMMYFUNCTION("""COMPUTED_VALUE"""),13247466)</f>
        <v>13247466</v>
      </c>
      <c r="E1178" s="5" t="str">
        <f ca="1">IFERROR(__xludf.DUMMYFUNCTION("""COMPUTED_VALUE"""),"INSPECCION SEMANAL Tanque Jarabe 11")</f>
        <v>INSPECCION SEMANAL Tanque Jarabe 11</v>
      </c>
      <c r="F1178" s="5" t="str">
        <f ca="1">IFERROR(__xludf.DUMMYFUNCTION("""COMPUTED_VALUE"""),"VERIFICAR ESTADO PIEZAS TANQUES (QUE LAS PIEZAS ESTEN COMPLETAS Y EN BUEN ESTADO)")</f>
        <v>VERIFICAR ESTADO PIEZAS TANQUES (QUE LAS PIEZAS ESTEN COMPLETAS Y EN BUEN ESTADO)</v>
      </c>
      <c r="G1178" s="5" t="b">
        <f ca="1">IFERROR(__xludf.DUMMYFUNCTION("""COMPUTED_VALUE"""),TRUE)</f>
        <v>1</v>
      </c>
      <c r="H1178" s="5"/>
      <c r="I1178" s="5"/>
      <c r="J1178" s="5">
        <f ca="1">IFERROR(__xludf.DUMMYFUNCTION("""COMPUTED_VALUE"""),13247466)</f>
        <v>13247466</v>
      </c>
      <c r="K1178" s="5"/>
      <c r="L1178" s="18">
        <f ca="1">IFERROR(__xludf.DUMMYFUNCTION("""COMPUTED_VALUE"""),45324)</f>
        <v>45324</v>
      </c>
      <c r="M1178" s="18">
        <f ca="1">IFERROR(__xludf.DUMMYFUNCTION("""COMPUTED_VALUE"""),45324)</f>
        <v>45324</v>
      </c>
      <c r="N1178" s="5" t="str">
        <f ca="1">IFERROR(__xludf.DUMMYFUNCTION("""COMPUTED_VALUE"""),"Rivas Mena Carlos Danny")</f>
        <v>Rivas Mena Carlos Danny</v>
      </c>
      <c r="O1178" s="2">
        <f ca="1">IFERROR(__xludf.DUMMYFUNCTION("""COMPUTED_VALUE"""),0.02)</f>
        <v>0.02</v>
      </c>
      <c r="P1178" s="5">
        <f ca="1">IFERROR(__xludf.DUMMYFUNCTION("""COMPUTED_VALUE"""),20016283)</f>
        <v>20016283</v>
      </c>
      <c r="Q1178" s="5" t="str">
        <f ca="1">IFERROR(__xludf.DUMMYFUNCTION("""COMPUTED_VALUE"""),"wR33fv1DzwI")</f>
        <v>wR33fv1DzwI</v>
      </c>
      <c r="R1178" s="5">
        <f ca="1">IFERROR(__xludf.DUMMYFUNCTION("""COMPUTED_VALUE"""),410)</f>
        <v>410</v>
      </c>
      <c r="S1178" s="62">
        <f ca="1">IFERROR(__xludf.DUMMYFUNCTION("""COMPUTED_VALUE"""),0.02)</f>
        <v>0.02</v>
      </c>
      <c r="T1178" s="63" t="str">
        <f ca="1">IFERROR(__xludf.DUMMYFUNCTION("""COMPUTED_VALUE"""),"https://storage.googleapis.com/glide-prod.appspot.com/uploads-v2/ly7o78grxPaC6KdgvbpS/pub/3aRdSog0vUtuqPE8AJKD.png")</f>
        <v>https://storage.googleapis.com/glide-prod.appspot.com/uploads-v2/ly7o78grxPaC6KdgvbpS/pub/3aRdSog0vUtuqPE8AJKD.png</v>
      </c>
      <c r="U1178" s="5" t="str">
        <f ca="1">IFERROR(__xludf.DUMMYFUNCTION("""COMPUTED_VALUE"""),"EQUIPOS PARA PREPARACION DE JARABETANQUE DE JARABE")</f>
        <v>EQUIPOS PARA PREPARACION DE JARABETANQUE DE JARABE</v>
      </c>
      <c r="V1178" s="5"/>
      <c r="W1178" s="5" t="b">
        <f ca="1">IFERROR(__xludf.DUMMYFUNCTION("""COMPUTED_VALUE"""),TRUE)</f>
        <v>1</v>
      </c>
      <c r="X1178" s="5" t="str">
        <f ca="1">IFERROR(__xludf.DUMMYFUNCTION("""COMPUTED_VALUE"""),"efzapata@postobon.com.co,aprmttoyu@postobon.com.co,aprmyu@postobon.com.co,wmora@postobon.com.co,efzapata@postobon.com.co")</f>
        <v>efzapata@postobon.com.co,aprmttoyu@postobon.com.co,aprmyu@postobon.com.co,wmora@postobon.com.co,efzapata@postobon.com.co</v>
      </c>
      <c r="Y1178" s="5" t="str">
        <f ca="1">IFERROR(__xludf.DUMMYFUNCTION("""COMPUTED_VALUE"""),"efzapata@postobon.com.co")</f>
        <v>efzapata@postobon.com.co</v>
      </c>
      <c r="Z1178" s="5" t="str">
        <f ca="1">IFERROR(__xludf.DUMMYFUNCTION("""COMPUTED_VALUE"""),"w5Mq-41JQb2CUtjHG30L8Q")</f>
        <v>w5Mq-41JQb2CUtjHG30L8Q</v>
      </c>
      <c r="AA1178" s="5"/>
      <c r="AB1178" s="5"/>
      <c r="AC1178" s="5"/>
      <c r="AD1178" s="5">
        <f ca="1">IFERROR(__xludf.DUMMYFUNCTION("""COMPUTED_VALUE"""),24)</f>
        <v>24</v>
      </c>
      <c r="AE1178" s="5">
        <f ca="1">IFERROR(__xludf.DUMMYFUNCTION("""COMPUTED_VALUE"""),24)</f>
        <v>24</v>
      </c>
      <c r="AF1178" s="5" t="b">
        <f ca="1">IFERROR(__xludf.DUMMYFUNCTION("""COMPUTED_VALUE"""),FALSE)</f>
        <v>0</v>
      </c>
      <c r="AG1178" s="5" t="str">
        <f ca="1">IFERROR(__xludf.DUMMYFUNCTION("""COMPUTED_VALUE"""),"INSPECCIONES REALIZADAS")</f>
        <v>INSPECCIONES REALIZADAS</v>
      </c>
      <c r="AH1178" s="5"/>
    </row>
    <row r="1179" spans="1:34">
      <c r="A1179" s="5" t="str">
        <f ca="1">IFERROR(__xludf.DUMMYFUNCTION("""COMPUTED_VALUE"""),"EQUIPOS PARA PREPARACION DE JARABE")</f>
        <v>EQUIPOS PARA PREPARACION DE JARABE</v>
      </c>
      <c r="B1179" s="5">
        <f ca="1">IFERROR(__xludf.DUMMYFUNCTION("""COMPUTED_VALUE"""),69963414)</f>
        <v>69963414</v>
      </c>
      <c r="C1179" s="5" t="str">
        <f ca="1">IFERROR(__xludf.DUMMYFUNCTION("""COMPUTED_VALUE"""),"TANQUE DE JARABE")</f>
        <v>TANQUE DE JARABE</v>
      </c>
      <c r="D1179" s="5">
        <f ca="1">IFERROR(__xludf.DUMMYFUNCTION("""COMPUTED_VALUE"""),13247466)</f>
        <v>13247466</v>
      </c>
      <c r="E1179" s="5" t="str">
        <f ca="1">IFERROR(__xludf.DUMMYFUNCTION("""COMPUTED_VALUE"""),"INSPECCION SEMANAL Tanque Jarabe 11")</f>
        <v>INSPECCION SEMANAL Tanque Jarabe 11</v>
      </c>
      <c r="F1179" s="5" t="str">
        <f ca="1">IFERROR(__xludf.DUMMYFUNCTION("""COMPUTED_VALUE"""),"MTTO MEC TK JARABE 11 JARABE TERMINADO")</f>
        <v>MTTO MEC TK JARABE 11 JARABE TERMINADO</v>
      </c>
      <c r="G1179" s="5" t="b">
        <f ca="1">IFERROR(__xludf.DUMMYFUNCTION("""COMPUTED_VALUE"""),TRUE)</f>
        <v>1</v>
      </c>
      <c r="H1179" s="5"/>
      <c r="I1179" s="5"/>
      <c r="J1179" s="5">
        <f ca="1">IFERROR(__xludf.DUMMYFUNCTION("""COMPUTED_VALUE"""),13247466)</f>
        <v>13247466</v>
      </c>
      <c r="K1179" s="5"/>
      <c r="L1179" s="18">
        <f ca="1">IFERROR(__xludf.DUMMYFUNCTION("""COMPUTED_VALUE"""),45324)</f>
        <v>45324</v>
      </c>
      <c r="M1179" s="18">
        <f ca="1">IFERROR(__xludf.DUMMYFUNCTION("""COMPUTED_VALUE"""),45324)</f>
        <v>45324</v>
      </c>
      <c r="N1179" s="5" t="str">
        <f ca="1">IFERROR(__xludf.DUMMYFUNCTION("""COMPUTED_VALUE"""),"Rivas Mena Carlos Danny")</f>
        <v>Rivas Mena Carlos Danny</v>
      </c>
      <c r="O1179" s="2">
        <f ca="1">IFERROR(__xludf.DUMMYFUNCTION("""COMPUTED_VALUE"""),0.02)</f>
        <v>0.02</v>
      </c>
      <c r="P1179" s="5">
        <f ca="1">IFERROR(__xludf.DUMMYFUNCTION("""COMPUTED_VALUE"""),20016283)</f>
        <v>20016283</v>
      </c>
      <c r="Q1179" s="5" t="str">
        <f ca="1">IFERROR(__xludf.DUMMYFUNCTION("""COMPUTED_VALUE"""),"OAKyHi2uoLs")</f>
        <v>OAKyHi2uoLs</v>
      </c>
      <c r="R1179" s="5">
        <f ca="1">IFERROR(__xludf.DUMMYFUNCTION("""COMPUTED_VALUE"""),410)</f>
        <v>410</v>
      </c>
      <c r="S1179" s="62">
        <f ca="1">IFERROR(__xludf.DUMMYFUNCTION("""COMPUTED_VALUE"""),0.02)</f>
        <v>0.02</v>
      </c>
      <c r="T1179" s="63" t="str">
        <f ca="1">IFERROR(__xludf.DUMMYFUNCTION("""COMPUTED_VALUE"""),"https://storage.googleapis.com/glide-prod.appspot.com/uploads-v2/ly7o78grxPaC6KdgvbpS/pub/3aRdSog0vUtuqPE8AJKD.png")</f>
        <v>https://storage.googleapis.com/glide-prod.appspot.com/uploads-v2/ly7o78grxPaC6KdgvbpS/pub/3aRdSog0vUtuqPE8AJKD.png</v>
      </c>
      <c r="U1179" s="5" t="str">
        <f ca="1">IFERROR(__xludf.DUMMYFUNCTION("""COMPUTED_VALUE"""),"EQUIPOS PARA PREPARACION DE JARABETANQUE DE JARABE")</f>
        <v>EQUIPOS PARA PREPARACION DE JARABETANQUE DE JARABE</v>
      </c>
      <c r="V1179" s="5"/>
      <c r="W1179" s="5" t="b">
        <f ca="1">IFERROR(__xludf.DUMMYFUNCTION("""COMPUTED_VALUE"""),TRUE)</f>
        <v>1</v>
      </c>
      <c r="X1179" s="5" t="str">
        <f ca="1">IFERROR(__xludf.DUMMYFUNCTION("""COMPUTED_VALUE"""),"efzapata@postobon.com.co,aprmttoyu@postobon.com.co,aprmyu@postobon.com.co,wmora@postobon.com.co,efzapata@postobon.com.co")</f>
        <v>efzapata@postobon.com.co,aprmttoyu@postobon.com.co,aprmyu@postobon.com.co,wmora@postobon.com.co,efzapata@postobon.com.co</v>
      </c>
      <c r="Y1179" s="5" t="str">
        <f ca="1">IFERROR(__xludf.DUMMYFUNCTION("""COMPUTED_VALUE"""),"efzapata@postobon.com.co")</f>
        <v>efzapata@postobon.com.co</v>
      </c>
      <c r="Z1179" s="5" t="str">
        <f ca="1">IFERROR(__xludf.DUMMYFUNCTION("""COMPUTED_VALUE"""),"uklgQayCRG2tigg4IJEF2Q")</f>
        <v>uklgQayCRG2tigg4IJEF2Q</v>
      </c>
      <c r="AA1179" s="5"/>
      <c r="AB1179" s="5"/>
      <c r="AC1179" s="5"/>
      <c r="AD1179" s="5">
        <f ca="1">IFERROR(__xludf.DUMMYFUNCTION("""COMPUTED_VALUE"""),24)</f>
        <v>24</v>
      </c>
      <c r="AE1179" s="5">
        <f ca="1">IFERROR(__xludf.DUMMYFUNCTION("""COMPUTED_VALUE"""),24)</f>
        <v>24</v>
      </c>
      <c r="AF1179" s="5" t="b">
        <f ca="1">IFERROR(__xludf.DUMMYFUNCTION("""COMPUTED_VALUE"""),FALSE)</f>
        <v>0</v>
      </c>
      <c r="AG1179" s="5" t="str">
        <f ca="1">IFERROR(__xludf.DUMMYFUNCTION("""COMPUTED_VALUE"""),"INSPECCIONES REALIZADAS")</f>
        <v>INSPECCIONES REALIZADAS</v>
      </c>
      <c r="AH1179" s="5"/>
    </row>
    <row r="1180" spans="1:34">
      <c r="A1180" s="5" t="str">
        <f ca="1">IFERROR(__xludf.DUMMYFUNCTION("""COMPUTED_VALUE"""),"EQUIPOS PARA PREPARACION DE JARABE")</f>
        <v>EQUIPOS PARA PREPARACION DE JARABE</v>
      </c>
      <c r="B1180" s="5">
        <f ca="1">IFERROR(__xludf.DUMMYFUNCTION("""COMPUTED_VALUE"""),69963406)</f>
        <v>69963406</v>
      </c>
      <c r="C1180" s="5" t="str">
        <f ca="1">IFERROR(__xludf.DUMMYFUNCTION("""COMPUTED_VALUE"""),"TANQUE DE JARABE")</f>
        <v>TANQUE DE JARABE</v>
      </c>
      <c r="D1180" s="5">
        <f ca="1">IFERROR(__xludf.DUMMYFUNCTION("""COMPUTED_VALUE"""),13247450)</f>
        <v>13247450</v>
      </c>
      <c r="E1180" s="5" t="str">
        <f ca="1">IFERROR(__xludf.DUMMYFUNCTION("""COMPUTED_VALUE"""),"INSPECCION SEMANAL Tanque Jarabe 3")</f>
        <v>INSPECCION SEMANAL Tanque Jarabe 3</v>
      </c>
      <c r="F1180" s="5" t="str">
        <f ca="1">IFERROR(__xludf.DUMMYFUNCTION("""COMPUTED_VALUE"""),"REVISAR ESTADO TANQUE,TUBERIAS, VALVULAS")</f>
        <v>REVISAR ESTADO TANQUE,TUBERIAS, VALVULAS</v>
      </c>
      <c r="G1180" s="5" t="b">
        <f ca="1">IFERROR(__xludf.DUMMYFUNCTION("""COMPUTED_VALUE"""),TRUE)</f>
        <v>1</v>
      </c>
      <c r="H1180" s="5"/>
      <c r="I1180" s="5"/>
      <c r="J1180" s="5">
        <f ca="1">IFERROR(__xludf.DUMMYFUNCTION("""COMPUTED_VALUE"""),13247450)</f>
        <v>13247450</v>
      </c>
      <c r="K1180" s="5"/>
      <c r="L1180" s="18">
        <f ca="1">IFERROR(__xludf.DUMMYFUNCTION("""COMPUTED_VALUE"""),45324)</f>
        <v>45324</v>
      </c>
      <c r="M1180" s="18">
        <f ca="1">IFERROR(__xludf.DUMMYFUNCTION("""COMPUTED_VALUE"""),45324)</f>
        <v>45324</v>
      </c>
      <c r="N1180" s="5" t="str">
        <f ca="1">IFERROR(__xludf.DUMMYFUNCTION("""COMPUTED_VALUE"""),"Moreno Pernia Bladimir")</f>
        <v>Moreno Pernia Bladimir</v>
      </c>
      <c r="O1180" s="2">
        <f ca="1">IFERROR(__xludf.DUMMYFUNCTION("""COMPUTED_VALUE"""),0.02)</f>
        <v>0.02</v>
      </c>
      <c r="P1180" s="5">
        <f ca="1">IFERROR(__xludf.DUMMYFUNCTION("""COMPUTED_VALUE"""),20010003)</f>
        <v>20010003</v>
      </c>
      <c r="Q1180" s="5" t="str">
        <f ca="1">IFERROR(__xludf.DUMMYFUNCTION("""COMPUTED_VALUE"""),"cdwkfWpP8ZI")</f>
        <v>cdwkfWpP8ZI</v>
      </c>
      <c r="R1180" s="5">
        <f ca="1">IFERROR(__xludf.DUMMYFUNCTION("""COMPUTED_VALUE"""),410)</f>
        <v>410</v>
      </c>
      <c r="S1180" s="62">
        <f ca="1">IFERROR(__xludf.DUMMYFUNCTION("""COMPUTED_VALUE"""),0.02)</f>
        <v>0.02</v>
      </c>
      <c r="T1180" s="63" t="str">
        <f ca="1">IFERROR(__xludf.DUMMYFUNCTION("""COMPUTED_VALUE"""),"https://storage.googleapis.com/glide-prod.appspot.com/uploads-v2/ly7o78grxPaC6KdgvbpS/pub/3aRdSog0vUtuqPE8AJKD.png")</f>
        <v>https://storage.googleapis.com/glide-prod.appspot.com/uploads-v2/ly7o78grxPaC6KdgvbpS/pub/3aRdSog0vUtuqPE8AJKD.png</v>
      </c>
      <c r="U1180" s="5" t="str">
        <f ca="1">IFERROR(__xludf.DUMMYFUNCTION("""COMPUTED_VALUE"""),"EQUIPOS PARA PREPARACION DE JARABETANQUE DE JARABE")</f>
        <v>EQUIPOS PARA PREPARACION DE JARABETANQUE DE JARABE</v>
      </c>
      <c r="V1180" s="5"/>
      <c r="W1180" s="5" t="b">
        <f ca="1">IFERROR(__xludf.DUMMYFUNCTION("""COMPUTED_VALUE"""),TRUE)</f>
        <v>1</v>
      </c>
      <c r="X1180" s="5" t="str">
        <f ca="1">IFERROR(__xludf.DUMMYFUNCTION("""COMPUTED_VALUE"""),"efzapata@postobon.com.co,aprmttoyu@postobon.com.co,aprmyu@postobon.com.co,wmora@postobon.com.co,efzapata@postobon.com.co")</f>
        <v>efzapata@postobon.com.co,aprmttoyu@postobon.com.co,aprmyu@postobon.com.co,wmora@postobon.com.co,efzapata@postobon.com.co</v>
      </c>
      <c r="Y1180" s="5" t="str">
        <f ca="1">IFERROR(__xludf.DUMMYFUNCTION("""COMPUTED_VALUE"""),"efzapata@postobon.com.co")</f>
        <v>efzapata@postobon.com.co</v>
      </c>
      <c r="Z1180" s="5" t="str">
        <f ca="1">IFERROR(__xludf.DUMMYFUNCTION("""COMPUTED_VALUE"""),"K1ZxXYtJQ8eeqGpHksoXsw")</f>
        <v>K1ZxXYtJQ8eeqGpHksoXsw</v>
      </c>
      <c r="AA1180" s="5"/>
      <c r="AB1180" s="5"/>
      <c r="AC1180" s="5"/>
      <c r="AD1180" s="5">
        <f ca="1">IFERROR(__xludf.DUMMYFUNCTION("""COMPUTED_VALUE"""),35)</f>
        <v>35</v>
      </c>
      <c r="AE1180" s="5">
        <f ca="1">IFERROR(__xludf.DUMMYFUNCTION("""COMPUTED_VALUE"""),35)</f>
        <v>35</v>
      </c>
      <c r="AF1180" s="5" t="b">
        <f ca="1">IFERROR(__xludf.DUMMYFUNCTION("""COMPUTED_VALUE"""),FALSE)</f>
        <v>0</v>
      </c>
      <c r="AG1180" s="5" t="str">
        <f ca="1">IFERROR(__xludf.DUMMYFUNCTION("""COMPUTED_VALUE"""),"INSPECCIONES REALIZADAS")</f>
        <v>INSPECCIONES REALIZADAS</v>
      </c>
      <c r="AH1180" s="5"/>
    </row>
    <row r="1181" spans="1:34">
      <c r="A1181" s="5" t="str">
        <f ca="1">IFERROR(__xludf.DUMMYFUNCTION("""COMPUTED_VALUE"""),"EQUIPOS PARA PREPARACION DE JARABE")</f>
        <v>EQUIPOS PARA PREPARACION DE JARABE</v>
      </c>
      <c r="B1181" s="5">
        <f ca="1">IFERROR(__xludf.DUMMYFUNCTION("""COMPUTED_VALUE"""),69963406)</f>
        <v>69963406</v>
      </c>
      <c r="C1181" s="5" t="str">
        <f ca="1">IFERROR(__xludf.DUMMYFUNCTION("""COMPUTED_VALUE"""),"TANQUE DE JARABE")</f>
        <v>TANQUE DE JARABE</v>
      </c>
      <c r="D1181" s="5">
        <f ca="1">IFERROR(__xludf.DUMMYFUNCTION("""COMPUTED_VALUE"""),13247450)</f>
        <v>13247450</v>
      </c>
      <c r="E1181" s="5" t="str">
        <f ca="1">IFERROR(__xludf.DUMMYFUNCTION("""COMPUTED_VALUE"""),"INSPECCION SEMANAL Tanque Jarabe 3")</f>
        <v>INSPECCION SEMANAL Tanque Jarabe 3</v>
      </c>
      <c r="F1181" s="5" t="str">
        <f ca="1">IFERROR(__xludf.DUMMYFUNCTION("""COMPUTED_VALUE"""),"INSP. BOMBAS EN GENERAL")</f>
        <v>INSP. BOMBAS EN GENERAL</v>
      </c>
      <c r="G1181" s="5" t="b">
        <f ca="1">IFERROR(__xludf.DUMMYFUNCTION("""COMPUTED_VALUE"""),TRUE)</f>
        <v>1</v>
      </c>
      <c r="H1181" s="5"/>
      <c r="I1181" s="5"/>
      <c r="J1181" s="5">
        <f ca="1">IFERROR(__xludf.DUMMYFUNCTION("""COMPUTED_VALUE"""),13247450)</f>
        <v>13247450</v>
      </c>
      <c r="K1181" s="5"/>
      <c r="L1181" s="18">
        <f ca="1">IFERROR(__xludf.DUMMYFUNCTION("""COMPUTED_VALUE"""),45324)</f>
        <v>45324</v>
      </c>
      <c r="M1181" s="18">
        <f ca="1">IFERROR(__xludf.DUMMYFUNCTION("""COMPUTED_VALUE"""),45324)</f>
        <v>45324</v>
      </c>
      <c r="N1181" s="5" t="str">
        <f ca="1">IFERROR(__xludf.DUMMYFUNCTION("""COMPUTED_VALUE"""),"Moreno Pernia Bladimir")</f>
        <v>Moreno Pernia Bladimir</v>
      </c>
      <c r="O1181" s="2">
        <f ca="1">IFERROR(__xludf.DUMMYFUNCTION("""COMPUTED_VALUE"""),0.02)</f>
        <v>0.02</v>
      </c>
      <c r="P1181" s="5">
        <f ca="1">IFERROR(__xludf.DUMMYFUNCTION("""COMPUTED_VALUE"""),20010003)</f>
        <v>20010003</v>
      </c>
      <c r="Q1181" s="5" t="str">
        <f ca="1">IFERROR(__xludf.DUMMYFUNCTION("""COMPUTED_VALUE"""),"tS3EZcO7D1E")</f>
        <v>tS3EZcO7D1E</v>
      </c>
      <c r="R1181" s="5">
        <f ca="1">IFERROR(__xludf.DUMMYFUNCTION("""COMPUTED_VALUE"""),410)</f>
        <v>410</v>
      </c>
      <c r="S1181" s="62">
        <f ca="1">IFERROR(__xludf.DUMMYFUNCTION("""COMPUTED_VALUE"""),0.02)</f>
        <v>0.02</v>
      </c>
      <c r="T1181" s="63" t="str">
        <f ca="1">IFERROR(__xludf.DUMMYFUNCTION("""COMPUTED_VALUE"""),"https://storage.googleapis.com/glide-prod.appspot.com/uploads-v2/ly7o78grxPaC6KdgvbpS/pub/3aRdSog0vUtuqPE8AJKD.png")</f>
        <v>https://storage.googleapis.com/glide-prod.appspot.com/uploads-v2/ly7o78grxPaC6KdgvbpS/pub/3aRdSog0vUtuqPE8AJKD.png</v>
      </c>
      <c r="U1181" s="5" t="str">
        <f ca="1">IFERROR(__xludf.DUMMYFUNCTION("""COMPUTED_VALUE"""),"EQUIPOS PARA PREPARACION DE JARABETANQUE DE JARABE")</f>
        <v>EQUIPOS PARA PREPARACION DE JARABETANQUE DE JARABE</v>
      </c>
      <c r="V1181" s="5"/>
      <c r="W1181" s="5" t="b">
        <f ca="1">IFERROR(__xludf.DUMMYFUNCTION("""COMPUTED_VALUE"""),TRUE)</f>
        <v>1</v>
      </c>
      <c r="X1181" s="5" t="str">
        <f ca="1">IFERROR(__xludf.DUMMYFUNCTION("""COMPUTED_VALUE"""),"efzapata@postobon.com.co,aprmttoyu@postobon.com.co,aprmyu@postobon.com.co,wmora@postobon.com.co,efzapata@postobon.com.co")</f>
        <v>efzapata@postobon.com.co,aprmttoyu@postobon.com.co,aprmyu@postobon.com.co,wmora@postobon.com.co,efzapata@postobon.com.co</v>
      </c>
      <c r="Y1181" s="5" t="str">
        <f ca="1">IFERROR(__xludf.DUMMYFUNCTION("""COMPUTED_VALUE"""),"efzapata@postobon.com.co")</f>
        <v>efzapata@postobon.com.co</v>
      </c>
      <c r="Z1181" s="5" t="str">
        <f ca="1">IFERROR(__xludf.DUMMYFUNCTION("""COMPUTED_VALUE"""),"bS1UXT97R2mB0CXtipyRqg")</f>
        <v>bS1UXT97R2mB0CXtipyRqg</v>
      </c>
      <c r="AA1181" s="5"/>
      <c r="AB1181" s="5"/>
      <c r="AC1181" s="5"/>
      <c r="AD1181" s="5">
        <f ca="1">IFERROR(__xludf.DUMMYFUNCTION("""COMPUTED_VALUE"""),35)</f>
        <v>35</v>
      </c>
      <c r="AE1181" s="5">
        <f ca="1">IFERROR(__xludf.DUMMYFUNCTION("""COMPUTED_VALUE"""),35)</f>
        <v>35</v>
      </c>
      <c r="AF1181" s="5" t="b">
        <f ca="1">IFERROR(__xludf.DUMMYFUNCTION("""COMPUTED_VALUE"""),FALSE)</f>
        <v>0</v>
      </c>
      <c r="AG1181" s="5" t="str">
        <f ca="1">IFERROR(__xludf.DUMMYFUNCTION("""COMPUTED_VALUE"""),"INSPECCIONES REALIZADAS")</f>
        <v>INSPECCIONES REALIZADAS</v>
      </c>
      <c r="AH1181" s="5"/>
    </row>
    <row r="1182" spans="1:34">
      <c r="A1182" s="5" t="str">
        <f ca="1">IFERROR(__xludf.DUMMYFUNCTION("""COMPUTED_VALUE"""),"EQUIPOS PARA PREPARACION DE JARABE")</f>
        <v>EQUIPOS PARA PREPARACION DE JARABE</v>
      </c>
      <c r="B1182" s="5">
        <f ca="1">IFERROR(__xludf.DUMMYFUNCTION("""COMPUTED_VALUE"""),69963406)</f>
        <v>69963406</v>
      </c>
      <c r="C1182" s="5" t="str">
        <f ca="1">IFERROR(__xludf.DUMMYFUNCTION("""COMPUTED_VALUE"""),"TANQUE DE JARABE")</f>
        <v>TANQUE DE JARABE</v>
      </c>
      <c r="D1182" s="5">
        <f ca="1">IFERROR(__xludf.DUMMYFUNCTION("""COMPUTED_VALUE"""),13247450)</f>
        <v>13247450</v>
      </c>
      <c r="E1182" s="5" t="str">
        <f ca="1">IFERROR(__xludf.DUMMYFUNCTION("""COMPUTED_VALUE"""),"INSPECCION SEMANAL Tanque Jarabe 3")</f>
        <v>INSPECCION SEMANAL Tanque Jarabe 3</v>
      </c>
      <c r="F1182" s="5" t="str">
        <f ca="1">IFERROR(__xludf.DUMMYFUNCTION("""COMPUTED_VALUE"""),"ESCAPES FLUIDOS(AGUA,AIRE,JARABE)")</f>
        <v>ESCAPES FLUIDOS(AGUA,AIRE,JARABE)</v>
      </c>
      <c r="G1182" s="5" t="b">
        <f ca="1">IFERROR(__xludf.DUMMYFUNCTION("""COMPUTED_VALUE"""),TRUE)</f>
        <v>1</v>
      </c>
      <c r="H1182" s="5"/>
      <c r="I1182" s="5"/>
      <c r="J1182" s="5">
        <f ca="1">IFERROR(__xludf.DUMMYFUNCTION("""COMPUTED_VALUE"""),13247450)</f>
        <v>13247450</v>
      </c>
      <c r="K1182" s="5"/>
      <c r="L1182" s="18">
        <f ca="1">IFERROR(__xludf.DUMMYFUNCTION("""COMPUTED_VALUE"""),45324)</f>
        <v>45324</v>
      </c>
      <c r="M1182" s="18">
        <f ca="1">IFERROR(__xludf.DUMMYFUNCTION("""COMPUTED_VALUE"""),45324)</f>
        <v>45324</v>
      </c>
      <c r="N1182" s="5" t="str">
        <f ca="1">IFERROR(__xludf.DUMMYFUNCTION("""COMPUTED_VALUE"""),"Moreno Pernia Bladimir")</f>
        <v>Moreno Pernia Bladimir</v>
      </c>
      <c r="O1182" s="2">
        <f ca="1">IFERROR(__xludf.DUMMYFUNCTION("""COMPUTED_VALUE"""),0.02)</f>
        <v>0.02</v>
      </c>
      <c r="P1182" s="5">
        <f ca="1">IFERROR(__xludf.DUMMYFUNCTION("""COMPUTED_VALUE"""),20010003)</f>
        <v>20010003</v>
      </c>
      <c r="Q1182" s="5" t="str">
        <f ca="1">IFERROR(__xludf.DUMMYFUNCTION("""COMPUTED_VALUE"""),"MxkuzBF9sc0")</f>
        <v>MxkuzBF9sc0</v>
      </c>
      <c r="R1182" s="5">
        <f ca="1">IFERROR(__xludf.DUMMYFUNCTION("""COMPUTED_VALUE"""),410)</f>
        <v>410</v>
      </c>
      <c r="S1182" s="62">
        <f ca="1">IFERROR(__xludf.DUMMYFUNCTION("""COMPUTED_VALUE"""),0.02)</f>
        <v>0.02</v>
      </c>
      <c r="T1182" s="63" t="str">
        <f ca="1">IFERROR(__xludf.DUMMYFUNCTION("""COMPUTED_VALUE"""),"https://storage.googleapis.com/glide-prod.appspot.com/uploads-v2/ly7o78grxPaC6KdgvbpS/pub/3aRdSog0vUtuqPE8AJKD.png")</f>
        <v>https://storage.googleapis.com/glide-prod.appspot.com/uploads-v2/ly7o78grxPaC6KdgvbpS/pub/3aRdSog0vUtuqPE8AJKD.png</v>
      </c>
      <c r="U1182" s="5" t="str">
        <f ca="1">IFERROR(__xludf.DUMMYFUNCTION("""COMPUTED_VALUE"""),"EQUIPOS PARA PREPARACION DE JARABETANQUE DE JARABE")</f>
        <v>EQUIPOS PARA PREPARACION DE JARABETANQUE DE JARABE</v>
      </c>
      <c r="V1182" s="5"/>
      <c r="W1182" s="5" t="b">
        <f ca="1">IFERROR(__xludf.DUMMYFUNCTION("""COMPUTED_VALUE"""),TRUE)</f>
        <v>1</v>
      </c>
      <c r="X1182" s="5" t="str">
        <f ca="1">IFERROR(__xludf.DUMMYFUNCTION("""COMPUTED_VALUE"""),"efzapata@postobon.com.co,aprmttoyu@postobon.com.co,aprmyu@postobon.com.co,wmora@postobon.com.co,efzapata@postobon.com.co")</f>
        <v>efzapata@postobon.com.co,aprmttoyu@postobon.com.co,aprmyu@postobon.com.co,wmora@postobon.com.co,efzapata@postobon.com.co</v>
      </c>
      <c r="Y1182" s="5" t="str">
        <f ca="1">IFERROR(__xludf.DUMMYFUNCTION("""COMPUTED_VALUE"""),"efzapata@postobon.com.co")</f>
        <v>efzapata@postobon.com.co</v>
      </c>
      <c r="Z1182" s="5" t="str">
        <f ca="1">IFERROR(__xludf.DUMMYFUNCTION("""COMPUTED_VALUE"""),"X3xTpvzJQNW8DMOvlIkZSQ")</f>
        <v>X3xTpvzJQNW8DMOvlIkZSQ</v>
      </c>
      <c r="AA1182" s="5"/>
      <c r="AB1182" s="5"/>
      <c r="AC1182" s="5"/>
      <c r="AD1182" s="5">
        <f ca="1">IFERROR(__xludf.DUMMYFUNCTION("""COMPUTED_VALUE"""),35)</f>
        <v>35</v>
      </c>
      <c r="AE1182" s="5">
        <f ca="1">IFERROR(__xludf.DUMMYFUNCTION("""COMPUTED_VALUE"""),35)</f>
        <v>35</v>
      </c>
      <c r="AF1182" s="5" t="b">
        <f ca="1">IFERROR(__xludf.DUMMYFUNCTION("""COMPUTED_VALUE"""),FALSE)</f>
        <v>0</v>
      </c>
      <c r="AG1182" s="5" t="str">
        <f ca="1">IFERROR(__xludf.DUMMYFUNCTION("""COMPUTED_VALUE"""),"INSPECCIONES REALIZADAS")</f>
        <v>INSPECCIONES REALIZADAS</v>
      </c>
      <c r="AH1182" s="5"/>
    </row>
    <row r="1183" spans="1:34">
      <c r="A1183" s="5" t="str">
        <f ca="1">IFERROR(__xludf.DUMMYFUNCTION("""COMPUTED_VALUE"""),"EQUIPOS PARA PREPARACION DE JARABE")</f>
        <v>EQUIPOS PARA PREPARACION DE JARABE</v>
      </c>
      <c r="B1183" s="5">
        <f ca="1">IFERROR(__xludf.DUMMYFUNCTION("""COMPUTED_VALUE"""),69963406)</f>
        <v>69963406</v>
      </c>
      <c r="C1183" s="5" t="str">
        <f ca="1">IFERROR(__xludf.DUMMYFUNCTION("""COMPUTED_VALUE"""),"TANQUE DE JARABE")</f>
        <v>TANQUE DE JARABE</v>
      </c>
      <c r="D1183" s="5">
        <f ca="1">IFERROR(__xludf.DUMMYFUNCTION("""COMPUTED_VALUE"""),13247450)</f>
        <v>13247450</v>
      </c>
      <c r="E1183" s="5" t="str">
        <f ca="1">IFERROR(__xludf.DUMMYFUNCTION("""COMPUTED_VALUE"""),"INSPECCION SEMANAL Tanque Jarabe 3")</f>
        <v>INSPECCION SEMANAL Tanque Jarabe 3</v>
      </c>
      <c r="F1183" s="5" t="str">
        <f ca="1">IFERROR(__xludf.DUMMYFUNCTION("""COMPUTED_VALUE"""),"VERIFICAR ESTADO PIEZAS TANQUES (QUE LAS PIEZAS ESTEN COMPLETAS Y EN BUEN ESTADO)")</f>
        <v>VERIFICAR ESTADO PIEZAS TANQUES (QUE LAS PIEZAS ESTEN COMPLETAS Y EN BUEN ESTADO)</v>
      </c>
      <c r="G1183" s="5" t="b">
        <f ca="1">IFERROR(__xludf.DUMMYFUNCTION("""COMPUTED_VALUE"""),TRUE)</f>
        <v>1</v>
      </c>
      <c r="H1183" s="5"/>
      <c r="I1183" s="5"/>
      <c r="J1183" s="5">
        <f ca="1">IFERROR(__xludf.DUMMYFUNCTION("""COMPUTED_VALUE"""),13247450)</f>
        <v>13247450</v>
      </c>
      <c r="K1183" s="5"/>
      <c r="L1183" s="18">
        <f ca="1">IFERROR(__xludf.DUMMYFUNCTION("""COMPUTED_VALUE"""),45324)</f>
        <v>45324</v>
      </c>
      <c r="M1183" s="18">
        <f ca="1">IFERROR(__xludf.DUMMYFUNCTION("""COMPUTED_VALUE"""),45324)</f>
        <v>45324</v>
      </c>
      <c r="N1183" s="5" t="str">
        <f ca="1">IFERROR(__xludf.DUMMYFUNCTION("""COMPUTED_VALUE"""),"Moreno Pernia Bladimir")</f>
        <v>Moreno Pernia Bladimir</v>
      </c>
      <c r="O1183" s="2">
        <f ca="1">IFERROR(__xludf.DUMMYFUNCTION("""COMPUTED_VALUE"""),0.02)</f>
        <v>0.02</v>
      </c>
      <c r="P1183" s="5">
        <f ca="1">IFERROR(__xludf.DUMMYFUNCTION("""COMPUTED_VALUE"""),20010003)</f>
        <v>20010003</v>
      </c>
      <c r="Q1183" s="5" t="str">
        <f ca="1">IFERROR(__xludf.DUMMYFUNCTION("""COMPUTED_VALUE"""),"1Aw_wbTTG_0")</f>
        <v>1Aw_wbTTG_0</v>
      </c>
      <c r="R1183" s="5">
        <f ca="1">IFERROR(__xludf.DUMMYFUNCTION("""COMPUTED_VALUE"""),410)</f>
        <v>410</v>
      </c>
      <c r="S1183" s="62">
        <f ca="1">IFERROR(__xludf.DUMMYFUNCTION("""COMPUTED_VALUE"""),0.02)</f>
        <v>0.02</v>
      </c>
      <c r="T1183" s="63" t="str">
        <f ca="1">IFERROR(__xludf.DUMMYFUNCTION("""COMPUTED_VALUE"""),"https://storage.googleapis.com/glide-prod.appspot.com/uploads-v2/ly7o78grxPaC6KdgvbpS/pub/3aRdSog0vUtuqPE8AJKD.png")</f>
        <v>https://storage.googleapis.com/glide-prod.appspot.com/uploads-v2/ly7o78grxPaC6KdgvbpS/pub/3aRdSog0vUtuqPE8AJKD.png</v>
      </c>
      <c r="U1183" s="5" t="str">
        <f ca="1">IFERROR(__xludf.DUMMYFUNCTION("""COMPUTED_VALUE"""),"EQUIPOS PARA PREPARACION DE JARABETANQUE DE JARABE")</f>
        <v>EQUIPOS PARA PREPARACION DE JARABETANQUE DE JARABE</v>
      </c>
      <c r="V1183" s="5"/>
      <c r="W1183" s="5" t="b">
        <f ca="1">IFERROR(__xludf.DUMMYFUNCTION("""COMPUTED_VALUE"""),TRUE)</f>
        <v>1</v>
      </c>
      <c r="X1183" s="5" t="str">
        <f ca="1">IFERROR(__xludf.DUMMYFUNCTION("""COMPUTED_VALUE"""),"efzapata@postobon.com.co,aprmttoyu@postobon.com.co,aprmyu@postobon.com.co,wmora@postobon.com.co,efzapata@postobon.com.co")</f>
        <v>efzapata@postobon.com.co,aprmttoyu@postobon.com.co,aprmyu@postobon.com.co,wmora@postobon.com.co,efzapata@postobon.com.co</v>
      </c>
      <c r="Y1183" s="5" t="str">
        <f ca="1">IFERROR(__xludf.DUMMYFUNCTION("""COMPUTED_VALUE"""),"efzapata@postobon.com.co")</f>
        <v>efzapata@postobon.com.co</v>
      </c>
      <c r="Z1183" s="5" t="str">
        <f ca="1">IFERROR(__xludf.DUMMYFUNCTION("""COMPUTED_VALUE"""),"3W.OA3URS3-3kGWw-PWu4g")</f>
        <v>3W.OA3URS3-3kGWw-PWu4g</v>
      </c>
      <c r="AA1183" s="5"/>
      <c r="AB1183" s="5"/>
      <c r="AC1183" s="5"/>
      <c r="AD1183" s="5">
        <f ca="1">IFERROR(__xludf.DUMMYFUNCTION("""COMPUTED_VALUE"""),35)</f>
        <v>35</v>
      </c>
      <c r="AE1183" s="5">
        <f ca="1">IFERROR(__xludf.DUMMYFUNCTION("""COMPUTED_VALUE"""),35)</f>
        <v>35</v>
      </c>
      <c r="AF1183" s="5" t="b">
        <f ca="1">IFERROR(__xludf.DUMMYFUNCTION("""COMPUTED_VALUE"""),FALSE)</f>
        <v>0</v>
      </c>
      <c r="AG1183" s="5" t="str">
        <f ca="1">IFERROR(__xludf.DUMMYFUNCTION("""COMPUTED_VALUE"""),"INSPECCIONES REALIZADAS")</f>
        <v>INSPECCIONES REALIZADAS</v>
      </c>
      <c r="AH1183" s="5"/>
    </row>
    <row r="1184" spans="1:34">
      <c r="A1184" s="5" t="str">
        <f ca="1">IFERROR(__xludf.DUMMYFUNCTION("""COMPUTED_VALUE"""),"EQUIPOS PARA PREPARACION DE JARABE")</f>
        <v>EQUIPOS PARA PREPARACION DE JARABE</v>
      </c>
      <c r="B1184" s="5">
        <f ca="1">IFERROR(__xludf.DUMMYFUNCTION("""COMPUTED_VALUE"""),69963406)</f>
        <v>69963406</v>
      </c>
      <c r="C1184" s="5" t="str">
        <f ca="1">IFERROR(__xludf.DUMMYFUNCTION("""COMPUTED_VALUE"""),"TANQUE DE JARABE")</f>
        <v>TANQUE DE JARABE</v>
      </c>
      <c r="D1184" s="5">
        <f ca="1">IFERROR(__xludf.DUMMYFUNCTION("""COMPUTED_VALUE"""),13247450)</f>
        <v>13247450</v>
      </c>
      <c r="E1184" s="5" t="str">
        <f ca="1">IFERROR(__xludf.DUMMYFUNCTION("""COMPUTED_VALUE"""),"INSPECCION SEMANAL Tanque Jarabe 3")</f>
        <v>INSPECCION SEMANAL Tanque Jarabe 3</v>
      </c>
      <c r="F1184" s="5" t="str">
        <f ca="1">IFERROR(__xludf.DUMMYFUNCTION("""COMPUTED_VALUE"""),"MTTO MEC TK JARABE 3 JARABE TERMINADO")</f>
        <v>MTTO MEC TK JARABE 3 JARABE TERMINADO</v>
      </c>
      <c r="G1184" s="5" t="b">
        <f ca="1">IFERROR(__xludf.DUMMYFUNCTION("""COMPUTED_VALUE"""),TRUE)</f>
        <v>1</v>
      </c>
      <c r="H1184" s="5"/>
      <c r="I1184" s="5"/>
      <c r="J1184" s="5">
        <f ca="1">IFERROR(__xludf.DUMMYFUNCTION("""COMPUTED_VALUE"""),13247450)</f>
        <v>13247450</v>
      </c>
      <c r="K1184" s="5"/>
      <c r="L1184" s="18">
        <f ca="1">IFERROR(__xludf.DUMMYFUNCTION("""COMPUTED_VALUE"""),45324)</f>
        <v>45324</v>
      </c>
      <c r="M1184" s="18">
        <f ca="1">IFERROR(__xludf.DUMMYFUNCTION("""COMPUTED_VALUE"""),45324)</f>
        <v>45324</v>
      </c>
      <c r="N1184" s="5" t="str">
        <f ca="1">IFERROR(__xludf.DUMMYFUNCTION("""COMPUTED_VALUE"""),"Moreno Pernia Bladimir")</f>
        <v>Moreno Pernia Bladimir</v>
      </c>
      <c r="O1184" s="2">
        <f ca="1">IFERROR(__xludf.DUMMYFUNCTION("""COMPUTED_VALUE"""),0.02)</f>
        <v>0.02</v>
      </c>
      <c r="P1184" s="5">
        <f ca="1">IFERROR(__xludf.DUMMYFUNCTION("""COMPUTED_VALUE"""),20010003)</f>
        <v>20010003</v>
      </c>
      <c r="Q1184" s="5" t="str">
        <f ca="1">IFERROR(__xludf.DUMMYFUNCTION("""COMPUTED_VALUE"""),"O-7sX-kB6Aw")</f>
        <v>O-7sX-kB6Aw</v>
      </c>
      <c r="R1184" s="5">
        <f ca="1">IFERROR(__xludf.DUMMYFUNCTION("""COMPUTED_VALUE"""),410)</f>
        <v>410</v>
      </c>
      <c r="S1184" s="62">
        <f ca="1">IFERROR(__xludf.DUMMYFUNCTION("""COMPUTED_VALUE"""),0.02)</f>
        <v>0.02</v>
      </c>
      <c r="T1184" s="63" t="str">
        <f ca="1">IFERROR(__xludf.DUMMYFUNCTION("""COMPUTED_VALUE"""),"https://storage.googleapis.com/glide-prod.appspot.com/uploads-v2/ly7o78grxPaC6KdgvbpS/pub/3aRdSog0vUtuqPE8AJKD.png")</f>
        <v>https://storage.googleapis.com/glide-prod.appspot.com/uploads-v2/ly7o78grxPaC6KdgvbpS/pub/3aRdSog0vUtuqPE8AJKD.png</v>
      </c>
      <c r="U1184" s="5" t="str">
        <f ca="1">IFERROR(__xludf.DUMMYFUNCTION("""COMPUTED_VALUE"""),"EQUIPOS PARA PREPARACION DE JARABETANQUE DE JARABE")</f>
        <v>EQUIPOS PARA PREPARACION DE JARABETANQUE DE JARABE</v>
      </c>
      <c r="V1184" s="5"/>
      <c r="W1184" s="5" t="b">
        <f ca="1">IFERROR(__xludf.DUMMYFUNCTION("""COMPUTED_VALUE"""),TRUE)</f>
        <v>1</v>
      </c>
      <c r="X1184" s="5" t="str">
        <f ca="1">IFERROR(__xludf.DUMMYFUNCTION("""COMPUTED_VALUE"""),"efzapata@postobon.com.co,aprmttoyu@postobon.com.co,aprmyu@postobon.com.co,wmora@postobon.com.co,efzapata@postobon.com.co")</f>
        <v>efzapata@postobon.com.co,aprmttoyu@postobon.com.co,aprmyu@postobon.com.co,wmora@postobon.com.co,efzapata@postobon.com.co</v>
      </c>
      <c r="Y1184" s="5" t="str">
        <f ca="1">IFERROR(__xludf.DUMMYFUNCTION("""COMPUTED_VALUE"""),"efzapata@postobon.com.co")</f>
        <v>efzapata@postobon.com.co</v>
      </c>
      <c r="Z1184" s="5" t="str">
        <f ca="1">IFERROR(__xludf.DUMMYFUNCTION("""COMPUTED_VALUE"""),"iHTcTIG-S-WpUqwgiAkiHA")</f>
        <v>iHTcTIG-S-WpUqwgiAkiHA</v>
      </c>
      <c r="AA1184" s="5"/>
      <c r="AB1184" s="5"/>
      <c r="AC1184" s="5"/>
      <c r="AD1184" s="5">
        <f ca="1">IFERROR(__xludf.DUMMYFUNCTION("""COMPUTED_VALUE"""),35)</f>
        <v>35</v>
      </c>
      <c r="AE1184" s="5">
        <f ca="1">IFERROR(__xludf.DUMMYFUNCTION("""COMPUTED_VALUE"""),35)</f>
        <v>35</v>
      </c>
      <c r="AF1184" s="5" t="b">
        <f ca="1">IFERROR(__xludf.DUMMYFUNCTION("""COMPUTED_VALUE"""),FALSE)</f>
        <v>0</v>
      </c>
      <c r="AG1184" s="5" t="str">
        <f ca="1">IFERROR(__xludf.DUMMYFUNCTION("""COMPUTED_VALUE"""),"INSPECCIONES REALIZADAS")</f>
        <v>INSPECCIONES REALIZADAS</v>
      </c>
      <c r="AH1184" s="5"/>
    </row>
    <row r="1185" spans="1:34">
      <c r="A1185" s="5" t="str">
        <f ca="1">IFERROR(__xludf.DUMMYFUNCTION("""COMPUTED_VALUE"""),"EQUIPOS PARA PREPARACION DE JARABE")</f>
        <v>EQUIPOS PARA PREPARACION DE JARABE</v>
      </c>
      <c r="B1185" s="5">
        <f ca="1">IFERROR(__xludf.DUMMYFUNCTION("""COMPUTED_VALUE"""),69963407)</f>
        <v>69963407</v>
      </c>
      <c r="C1185" s="5" t="str">
        <f ca="1">IFERROR(__xludf.DUMMYFUNCTION("""COMPUTED_VALUE"""),"TANQUE DE JARABE")</f>
        <v>TANQUE DE JARABE</v>
      </c>
      <c r="D1185" s="5">
        <f ca="1">IFERROR(__xludf.DUMMYFUNCTION("""COMPUTED_VALUE"""),13247453)</f>
        <v>13247453</v>
      </c>
      <c r="E1185" s="5" t="str">
        <f ca="1">IFERROR(__xludf.DUMMYFUNCTION("""COMPUTED_VALUE"""),"INSPECCION SEMANAL Tanque Jarabe 4")</f>
        <v>INSPECCION SEMANAL Tanque Jarabe 4</v>
      </c>
      <c r="F1185" s="5" t="str">
        <f ca="1">IFERROR(__xludf.DUMMYFUNCTION("""COMPUTED_VALUE"""),"REVISAR ESTADO TANQUE,TUBERIAS, VALVULAS")</f>
        <v>REVISAR ESTADO TANQUE,TUBERIAS, VALVULAS</v>
      </c>
      <c r="G1185" s="5" t="b">
        <f ca="1">IFERROR(__xludf.DUMMYFUNCTION("""COMPUTED_VALUE"""),TRUE)</f>
        <v>1</v>
      </c>
      <c r="H1185" s="5"/>
      <c r="I1185" s="5"/>
      <c r="J1185" s="5">
        <f ca="1">IFERROR(__xludf.DUMMYFUNCTION("""COMPUTED_VALUE"""),13247453)</f>
        <v>13247453</v>
      </c>
      <c r="K1185" s="5"/>
      <c r="L1185" s="18">
        <f ca="1">IFERROR(__xludf.DUMMYFUNCTION("""COMPUTED_VALUE"""),45325)</f>
        <v>45325</v>
      </c>
      <c r="M1185" s="18">
        <f ca="1">IFERROR(__xludf.DUMMYFUNCTION("""COMPUTED_VALUE"""),45325)</f>
        <v>45325</v>
      </c>
      <c r="N1185" s="5" t="str">
        <f ca="1">IFERROR(__xludf.DUMMYFUNCTION("""COMPUTED_VALUE"""),"Moreno Pernia Bladimir")</f>
        <v>Moreno Pernia Bladimir</v>
      </c>
      <c r="O1185" s="2">
        <f ca="1">IFERROR(__xludf.DUMMYFUNCTION("""COMPUTED_VALUE"""),0.02)</f>
        <v>0.02</v>
      </c>
      <c r="P1185" s="5">
        <f ca="1">IFERROR(__xludf.DUMMYFUNCTION("""COMPUTED_VALUE"""),20010003)</f>
        <v>20010003</v>
      </c>
      <c r="Q1185" s="5" t="str">
        <f ca="1">IFERROR(__xludf.DUMMYFUNCTION("""COMPUTED_VALUE"""),"LjZiD6ymx1A")</f>
        <v>LjZiD6ymx1A</v>
      </c>
      <c r="R1185" s="5">
        <f ca="1">IFERROR(__xludf.DUMMYFUNCTION("""COMPUTED_VALUE"""),410)</f>
        <v>410</v>
      </c>
      <c r="S1185" s="62">
        <f ca="1">IFERROR(__xludf.DUMMYFUNCTION("""COMPUTED_VALUE"""),0.02)</f>
        <v>0.02</v>
      </c>
      <c r="T1185" s="63" t="str">
        <f ca="1">IFERROR(__xludf.DUMMYFUNCTION("""COMPUTED_VALUE"""),"https://storage.googleapis.com/glide-prod.appspot.com/uploads-v2/ly7o78grxPaC6KdgvbpS/pub/3aRdSog0vUtuqPE8AJKD.png")</f>
        <v>https://storage.googleapis.com/glide-prod.appspot.com/uploads-v2/ly7o78grxPaC6KdgvbpS/pub/3aRdSog0vUtuqPE8AJKD.png</v>
      </c>
      <c r="U1185" s="5" t="str">
        <f ca="1">IFERROR(__xludf.DUMMYFUNCTION("""COMPUTED_VALUE"""),"EQUIPOS PARA PREPARACION DE JARABETANQUE DE JARABE")</f>
        <v>EQUIPOS PARA PREPARACION DE JARABETANQUE DE JARABE</v>
      </c>
      <c r="V1185" s="5"/>
      <c r="W1185" s="5" t="b">
        <f ca="1">IFERROR(__xludf.DUMMYFUNCTION("""COMPUTED_VALUE"""),TRUE)</f>
        <v>1</v>
      </c>
      <c r="X1185" s="5" t="str">
        <f ca="1">IFERROR(__xludf.DUMMYFUNCTION("""COMPUTED_VALUE"""),"efzapata@postobon.com.co,aprmttoyu@postobon.com.co,aprmyu@postobon.com.co,wmora@postobon.com.co,efzapata@postobon.com.co")</f>
        <v>efzapata@postobon.com.co,aprmttoyu@postobon.com.co,aprmyu@postobon.com.co,wmora@postobon.com.co,efzapata@postobon.com.co</v>
      </c>
      <c r="Y1185" s="5" t="str">
        <f ca="1">IFERROR(__xludf.DUMMYFUNCTION("""COMPUTED_VALUE"""),"efzapata@postobon.com.co")</f>
        <v>efzapata@postobon.com.co</v>
      </c>
      <c r="Z1185" s="5" t="str">
        <f ca="1">IFERROR(__xludf.DUMMYFUNCTION("""COMPUTED_VALUE"""),"oFhTQN6ATnCWhx7IZ9v1Hg")</f>
        <v>oFhTQN6ATnCWhx7IZ9v1Hg</v>
      </c>
      <c r="AA1185" s="5"/>
      <c r="AB1185" s="5"/>
      <c r="AC1185" s="5"/>
      <c r="AD1185" s="5">
        <f ca="1">IFERROR(__xludf.DUMMYFUNCTION("""COMPUTED_VALUE"""),35)</f>
        <v>35</v>
      </c>
      <c r="AE1185" s="5">
        <f ca="1">IFERROR(__xludf.DUMMYFUNCTION("""COMPUTED_VALUE"""),35)</f>
        <v>35</v>
      </c>
      <c r="AF1185" s="5" t="b">
        <f ca="1">IFERROR(__xludf.DUMMYFUNCTION("""COMPUTED_VALUE"""),FALSE)</f>
        <v>0</v>
      </c>
      <c r="AG1185" s="5" t="str">
        <f ca="1">IFERROR(__xludf.DUMMYFUNCTION("""COMPUTED_VALUE"""),"INSPECCIONES REALIZADAS")</f>
        <v>INSPECCIONES REALIZADAS</v>
      </c>
      <c r="AH1185" s="5"/>
    </row>
    <row r="1186" spans="1:34">
      <c r="A1186" s="5" t="str">
        <f ca="1">IFERROR(__xludf.DUMMYFUNCTION("""COMPUTED_VALUE"""),"EQUIPOS PARA PREPARACION DE JARABE")</f>
        <v>EQUIPOS PARA PREPARACION DE JARABE</v>
      </c>
      <c r="B1186" s="5">
        <f ca="1">IFERROR(__xludf.DUMMYFUNCTION("""COMPUTED_VALUE"""),69963407)</f>
        <v>69963407</v>
      </c>
      <c r="C1186" s="5" t="str">
        <f ca="1">IFERROR(__xludf.DUMMYFUNCTION("""COMPUTED_VALUE"""),"TANQUE DE JARABE")</f>
        <v>TANQUE DE JARABE</v>
      </c>
      <c r="D1186" s="5">
        <f ca="1">IFERROR(__xludf.DUMMYFUNCTION("""COMPUTED_VALUE"""),13247453)</f>
        <v>13247453</v>
      </c>
      <c r="E1186" s="5" t="str">
        <f ca="1">IFERROR(__xludf.DUMMYFUNCTION("""COMPUTED_VALUE"""),"INSPECCION SEMANAL Tanque Jarabe 4")</f>
        <v>INSPECCION SEMANAL Tanque Jarabe 4</v>
      </c>
      <c r="F1186" s="5" t="str">
        <f ca="1">IFERROR(__xludf.DUMMYFUNCTION("""COMPUTED_VALUE"""),"INSP. BOMBAS EN GENERAL")</f>
        <v>INSP. BOMBAS EN GENERAL</v>
      </c>
      <c r="G1186" s="5" t="b">
        <f ca="1">IFERROR(__xludf.DUMMYFUNCTION("""COMPUTED_VALUE"""),TRUE)</f>
        <v>1</v>
      </c>
      <c r="H1186" s="5"/>
      <c r="I1186" s="5"/>
      <c r="J1186" s="5">
        <f ca="1">IFERROR(__xludf.DUMMYFUNCTION("""COMPUTED_VALUE"""),13247453)</f>
        <v>13247453</v>
      </c>
      <c r="K1186" s="5"/>
      <c r="L1186" s="18">
        <f ca="1">IFERROR(__xludf.DUMMYFUNCTION("""COMPUTED_VALUE"""),45325)</f>
        <v>45325</v>
      </c>
      <c r="M1186" s="18">
        <f ca="1">IFERROR(__xludf.DUMMYFUNCTION("""COMPUTED_VALUE"""),45325)</f>
        <v>45325</v>
      </c>
      <c r="N1186" s="5" t="str">
        <f ca="1">IFERROR(__xludf.DUMMYFUNCTION("""COMPUTED_VALUE"""),"Moreno Pernia Bladimir")</f>
        <v>Moreno Pernia Bladimir</v>
      </c>
      <c r="O1186" s="2">
        <f ca="1">IFERROR(__xludf.DUMMYFUNCTION("""COMPUTED_VALUE"""),0.02)</f>
        <v>0.02</v>
      </c>
      <c r="P1186" s="5">
        <f ca="1">IFERROR(__xludf.DUMMYFUNCTION("""COMPUTED_VALUE"""),20010003)</f>
        <v>20010003</v>
      </c>
      <c r="Q1186" s="5" t="str">
        <f ca="1">IFERROR(__xludf.DUMMYFUNCTION("""COMPUTED_VALUE"""),"lhcAhjwZVfA")</f>
        <v>lhcAhjwZVfA</v>
      </c>
      <c r="R1186" s="5">
        <f ca="1">IFERROR(__xludf.DUMMYFUNCTION("""COMPUTED_VALUE"""),410)</f>
        <v>410</v>
      </c>
      <c r="S1186" s="62">
        <f ca="1">IFERROR(__xludf.DUMMYFUNCTION("""COMPUTED_VALUE"""),0.02)</f>
        <v>0.02</v>
      </c>
      <c r="T1186" s="63" t="str">
        <f ca="1">IFERROR(__xludf.DUMMYFUNCTION("""COMPUTED_VALUE"""),"https://storage.googleapis.com/glide-prod.appspot.com/uploads-v2/ly7o78grxPaC6KdgvbpS/pub/3aRdSog0vUtuqPE8AJKD.png")</f>
        <v>https://storage.googleapis.com/glide-prod.appspot.com/uploads-v2/ly7o78grxPaC6KdgvbpS/pub/3aRdSog0vUtuqPE8AJKD.png</v>
      </c>
      <c r="U1186" s="5" t="str">
        <f ca="1">IFERROR(__xludf.DUMMYFUNCTION("""COMPUTED_VALUE"""),"EQUIPOS PARA PREPARACION DE JARABETANQUE DE JARABE")</f>
        <v>EQUIPOS PARA PREPARACION DE JARABETANQUE DE JARABE</v>
      </c>
      <c r="V1186" s="5"/>
      <c r="W1186" s="5" t="b">
        <f ca="1">IFERROR(__xludf.DUMMYFUNCTION("""COMPUTED_VALUE"""),TRUE)</f>
        <v>1</v>
      </c>
      <c r="X1186" s="5" t="str">
        <f ca="1">IFERROR(__xludf.DUMMYFUNCTION("""COMPUTED_VALUE"""),"efzapata@postobon.com.co,aprmttoyu@postobon.com.co,aprmyu@postobon.com.co,wmora@postobon.com.co,efzapata@postobon.com.co")</f>
        <v>efzapata@postobon.com.co,aprmttoyu@postobon.com.co,aprmyu@postobon.com.co,wmora@postobon.com.co,efzapata@postobon.com.co</v>
      </c>
      <c r="Y1186" s="5" t="str">
        <f ca="1">IFERROR(__xludf.DUMMYFUNCTION("""COMPUTED_VALUE"""),"efzapata@postobon.com.co")</f>
        <v>efzapata@postobon.com.co</v>
      </c>
      <c r="Z1186" s="5" t="str">
        <f ca="1">IFERROR(__xludf.DUMMYFUNCTION("""COMPUTED_VALUE"""),"pejuhGi.QuaSAvR75o-QMQ")</f>
        <v>pejuhGi.QuaSAvR75o-QMQ</v>
      </c>
      <c r="AA1186" s="5"/>
      <c r="AB1186" s="5"/>
      <c r="AC1186" s="5"/>
      <c r="AD1186" s="5">
        <f ca="1">IFERROR(__xludf.DUMMYFUNCTION("""COMPUTED_VALUE"""),35)</f>
        <v>35</v>
      </c>
      <c r="AE1186" s="5">
        <f ca="1">IFERROR(__xludf.DUMMYFUNCTION("""COMPUTED_VALUE"""),35)</f>
        <v>35</v>
      </c>
      <c r="AF1186" s="5" t="b">
        <f ca="1">IFERROR(__xludf.DUMMYFUNCTION("""COMPUTED_VALUE"""),FALSE)</f>
        <v>0</v>
      </c>
      <c r="AG1186" s="5" t="str">
        <f ca="1">IFERROR(__xludf.DUMMYFUNCTION("""COMPUTED_VALUE"""),"INSPECCIONES REALIZADAS")</f>
        <v>INSPECCIONES REALIZADAS</v>
      </c>
      <c r="AH1186" s="5"/>
    </row>
    <row r="1187" spans="1:34">
      <c r="A1187" s="5" t="str">
        <f ca="1">IFERROR(__xludf.DUMMYFUNCTION("""COMPUTED_VALUE"""),"EQUIPOS PARA PREPARACION DE JARABE")</f>
        <v>EQUIPOS PARA PREPARACION DE JARABE</v>
      </c>
      <c r="B1187" s="5">
        <f ca="1">IFERROR(__xludf.DUMMYFUNCTION("""COMPUTED_VALUE"""),69963407)</f>
        <v>69963407</v>
      </c>
      <c r="C1187" s="5" t="str">
        <f ca="1">IFERROR(__xludf.DUMMYFUNCTION("""COMPUTED_VALUE"""),"TANQUE DE JARABE")</f>
        <v>TANQUE DE JARABE</v>
      </c>
      <c r="D1187" s="5">
        <f ca="1">IFERROR(__xludf.DUMMYFUNCTION("""COMPUTED_VALUE"""),13247453)</f>
        <v>13247453</v>
      </c>
      <c r="E1187" s="5" t="str">
        <f ca="1">IFERROR(__xludf.DUMMYFUNCTION("""COMPUTED_VALUE"""),"INSPECCION SEMANAL Tanque Jarabe 4")</f>
        <v>INSPECCION SEMANAL Tanque Jarabe 4</v>
      </c>
      <c r="F1187" s="5" t="str">
        <f ca="1">IFERROR(__xludf.DUMMYFUNCTION("""COMPUTED_VALUE"""),"ESCAPES FLUIDOS(AGUA,AIRE,JARABE)")</f>
        <v>ESCAPES FLUIDOS(AGUA,AIRE,JARABE)</v>
      </c>
      <c r="G1187" s="5" t="b">
        <f ca="1">IFERROR(__xludf.DUMMYFUNCTION("""COMPUTED_VALUE"""),TRUE)</f>
        <v>1</v>
      </c>
      <c r="H1187" s="5"/>
      <c r="I1187" s="5"/>
      <c r="J1187" s="5">
        <f ca="1">IFERROR(__xludf.DUMMYFUNCTION("""COMPUTED_VALUE"""),13247453)</f>
        <v>13247453</v>
      </c>
      <c r="K1187" s="5"/>
      <c r="L1187" s="18">
        <f ca="1">IFERROR(__xludf.DUMMYFUNCTION("""COMPUTED_VALUE"""),45325)</f>
        <v>45325</v>
      </c>
      <c r="M1187" s="18">
        <f ca="1">IFERROR(__xludf.DUMMYFUNCTION("""COMPUTED_VALUE"""),45325)</f>
        <v>45325</v>
      </c>
      <c r="N1187" s="5" t="str">
        <f ca="1">IFERROR(__xludf.DUMMYFUNCTION("""COMPUTED_VALUE"""),"Moreno Pernia Bladimir")</f>
        <v>Moreno Pernia Bladimir</v>
      </c>
      <c r="O1187" s="2">
        <f ca="1">IFERROR(__xludf.DUMMYFUNCTION("""COMPUTED_VALUE"""),0.02)</f>
        <v>0.02</v>
      </c>
      <c r="P1187" s="5">
        <f ca="1">IFERROR(__xludf.DUMMYFUNCTION("""COMPUTED_VALUE"""),20010003)</f>
        <v>20010003</v>
      </c>
      <c r="Q1187" s="5" t="str">
        <f ca="1">IFERROR(__xludf.DUMMYFUNCTION("""COMPUTED_VALUE"""),"iR2iHE6Kdy8")</f>
        <v>iR2iHE6Kdy8</v>
      </c>
      <c r="R1187" s="5">
        <f ca="1">IFERROR(__xludf.DUMMYFUNCTION("""COMPUTED_VALUE"""),410)</f>
        <v>410</v>
      </c>
      <c r="S1187" s="62">
        <f ca="1">IFERROR(__xludf.DUMMYFUNCTION("""COMPUTED_VALUE"""),0.02)</f>
        <v>0.02</v>
      </c>
      <c r="T1187" s="63" t="str">
        <f ca="1">IFERROR(__xludf.DUMMYFUNCTION("""COMPUTED_VALUE"""),"https://storage.googleapis.com/glide-prod.appspot.com/uploads-v2/ly7o78grxPaC6KdgvbpS/pub/3aRdSog0vUtuqPE8AJKD.png")</f>
        <v>https://storage.googleapis.com/glide-prod.appspot.com/uploads-v2/ly7o78grxPaC6KdgvbpS/pub/3aRdSog0vUtuqPE8AJKD.png</v>
      </c>
      <c r="U1187" s="5" t="str">
        <f ca="1">IFERROR(__xludf.DUMMYFUNCTION("""COMPUTED_VALUE"""),"EQUIPOS PARA PREPARACION DE JARABETANQUE DE JARABE")</f>
        <v>EQUIPOS PARA PREPARACION DE JARABETANQUE DE JARABE</v>
      </c>
      <c r="V1187" s="5"/>
      <c r="W1187" s="5" t="b">
        <f ca="1">IFERROR(__xludf.DUMMYFUNCTION("""COMPUTED_VALUE"""),TRUE)</f>
        <v>1</v>
      </c>
      <c r="X1187" s="5" t="str">
        <f ca="1">IFERROR(__xludf.DUMMYFUNCTION("""COMPUTED_VALUE"""),"efzapata@postobon.com.co,aprmttoyu@postobon.com.co,aprmyu@postobon.com.co,wmora@postobon.com.co,efzapata@postobon.com.co")</f>
        <v>efzapata@postobon.com.co,aprmttoyu@postobon.com.co,aprmyu@postobon.com.co,wmora@postobon.com.co,efzapata@postobon.com.co</v>
      </c>
      <c r="Y1187" s="5" t="str">
        <f ca="1">IFERROR(__xludf.DUMMYFUNCTION("""COMPUTED_VALUE"""),"efzapata@postobon.com.co")</f>
        <v>efzapata@postobon.com.co</v>
      </c>
      <c r="Z1187" s="5" t="str">
        <f ca="1">IFERROR(__xludf.DUMMYFUNCTION("""COMPUTED_VALUE"""),"zZ6eDcK7TwShpP6.SaxanQ")</f>
        <v>zZ6eDcK7TwShpP6.SaxanQ</v>
      </c>
      <c r="AA1187" s="5"/>
      <c r="AB1187" s="5"/>
      <c r="AC1187" s="5"/>
      <c r="AD1187" s="5">
        <f ca="1">IFERROR(__xludf.DUMMYFUNCTION("""COMPUTED_VALUE"""),35)</f>
        <v>35</v>
      </c>
      <c r="AE1187" s="5">
        <f ca="1">IFERROR(__xludf.DUMMYFUNCTION("""COMPUTED_VALUE"""),35)</f>
        <v>35</v>
      </c>
      <c r="AF1187" s="5" t="b">
        <f ca="1">IFERROR(__xludf.DUMMYFUNCTION("""COMPUTED_VALUE"""),FALSE)</f>
        <v>0</v>
      </c>
      <c r="AG1187" s="5" t="str">
        <f ca="1">IFERROR(__xludf.DUMMYFUNCTION("""COMPUTED_VALUE"""),"INSPECCIONES REALIZADAS")</f>
        <v>INSPECCIONES REALIZADAS</v>
      </c>
      <c r="AH1187" s="5"/>
    </row>
    <row r="1188" spans="1:34">
      <c r="A1188" s="5" t="str">
        <f ca="1">IFERROR(__xludf.DUMMYFUNCTION("""COMPUTED_VALUE"""),"EQUIPOS PARA PREPARACION DE JARABE")</f>
        <v>EQUIPOS PARA PREPARACION DE JARABE</v>
      </c>
      <c r="B1188" s="5">
        <f ca="1">IFERROR(__xludf.DUMMYFUNCTION("""COMPUTED_VALUE"""),69963407)</f>
        <v>69963407</v>
      </c>
      <c r="C1188" s="5" t="str">
        <f ca="1">IFERROR(__xludf.DUMMYFUNCTION("""COMPUTED_VALUE"""),"TANQUE DE JARABE")</f>
        <v>TANQUE DE JARABE</v>
      </c>
      <c r="D1188" s="5">
        <f ca="1">IFERROR(__xludf.DUMMYFUNCTION("""COMPUTED_VALUE"""),13247453)</f>
        <v>13247453</v>
      </c>
      <c r="E1188" s="5" t="str">
        <f ca="1">IFERROR(__xludf.DUMMYFUNCTION("""COMPUTED_VALUE"""),"INSPECCION SEMANAL Tanque Jarabe 4")</f>
        <v>INSPECCION SEMANAL Tanque Jarabe 4</v>
      </c>
      <c r="F1188" s="5" t="str">
        <f ca="1">IFERROR(__xludf.DUMMYFUNCTION("""COMPUTED_VALUE"""),"VERIFICAR ESTADO PIEZAS TANQUES (QUE LAS PIEZAS ESTEN COMPLETAS Y EN BUEN ESTADO)")</f>
        <v>VERIFICAR ESTADO PIEZAS TANQUES (QUE LAS PIEZAS ESTEN COMPLETAS Y EN BUEN ESTADO)</v>
      </c>
      <c r="G1188" s="5" t="b">
        <f ca="1">IFERROR(__xludf.DUMMYFUNCTION("""COMPUTED_VALUE"""),TRUE)</f>
        <v>1</v>
      </c>
      <c r="H1188" s="5"/>
      <c r="I1188" s="5"/>
      <c r="J1188" s="5">
        <f ca="1">IFERROR(__xludf.DUMMYFUNCTION("""COMPUTED_VALUE"""),13247453)</f>
        <v>13247453</v>
      </c>
      <c r="K1188" s="5"/>
      <c r="L1188" s="18">
        <f ca="1">IFERROR(__xludf.DUMMYFUNCTION("""COMPUTED_VALUE"""),45325)</f>
        <v>45325</v>
      </c>
      <c r="M1188" s="18">
        <f ca="1">IFERROR(__xludf.DUMMYFUNCTION("""COMPUTED_VALUE"""),45325)</f>
        <v>45325</v>
      </c>
      <c r="N1188" s="5" t="str">
        <f ca="1">IFERROR(__xludf.DUMMYFUNCTION("""COMPUTED_VALUE"""),"Moreno Pernia Bladimir")</f>
        <v>Moreno Pernia Bladimir</v>
      </c>
      <c r="O1188" s="2">
        <f ca="1">IFERROR(__xludf.DUMMYFUNCTION("""COMPUTED_VALUE"""),0.02)</f>
        <v>0.02</v>
      </c>
      <c r="P1188" s="5">
        <f ca="1">IFERROR(__xludf.DUMMYFUNCTION("""COMPUTED_VALUE"""),20010003)</f>
        <v>20010003</v>
      </c>
      <c r="Q1188" s="5" t="str">
        <f ca="1">IFERROR(__xludf.DUMMYFUNCTION("""COMPUTED_VALUE"""),"eLZF7mVpoKI")</f>
        <v>eLZF7mVpoKI</v>
      </c>
      <c r="R1188" s="5">
        <f ca="1">IFERROR(__xludf.DUMMYFUNCTION("""COMPUTED_VALUE"""),410)</f>
        <v>410</v>
      </c>
      <c r="S1188" s="62">
        <f ca="1">IFERROR(__xludf.DUMMYFUNCTION("""COMPUTED_VALUE"""),0.02)</f>
        <v>0.02</v>
      </c>
      <c r="T1188" s="63" t="str">
        <f ca="1">IFERROR(__xludf.DUMMYFUNCTION("""COMPUTED_VALUE"""),"https://storage.googleapis.com/glide-prod.appspot.com/uploads-v2/ly7o78grxPaC6KdgvbpS/pub/3aRdSog0vUtuqPE8AJKD.png")</f>
        <v>https://storage.googleapis.com/glide-prod.appspot.com/uploads-v2/ly7o78grxPaC6KdgvbpS/pub/3aRdSog0vUtuqPE8AJKD.png</v>
      </c>
      <c r="U1188" s="5" t="str">
        <f ca="1">IFERROR(__xludf.DUMMYFUNCTION("""COMPUTED_VALUE"""),"EQUIPOS PARA PREPARACION DE JARABETANQUE DE JARABE")</f>
        <v>EQUIPOS PARA PREPARACION DE JARABETANQUE DE JARABE</v>
      </c>
      <c r="V1188" s="5"/>
      <c r="W1188" s="5" t="b">
        <f ca="1">IFERROR(__xludf.DUMMYFUNCTION("""COMPUTED_VALUE"""),TRUE)</f>
        <v>1</v>
      </c>
      <c r="X1188" s="5" t="str">
        <f ca="1">IFERROR(__xludf.DUMMYFUNCTION("""COMPUTED_VALUE"""),"efzapata@postobon.com.co,aprmttoyu@postobon.com.co,aprmyu@postobon.com.co,wmora@postobon.com.co,efzapata@postobon.com.co")</f>
        <v>efzapata@postobon.com.co,aprmttoyu@postobon.com.co,aprmyu@postobon.com.co,wmora@postobon.com.co,efzapata@postobon.com.co</v>
      </c>
      <c r="Y1188" s="5" t="str">
        <f ca="1">IFERROR(__xludf.DUMMYFUNCTION("""COMPUTED_VALUE"""),"efzapata@postobon.com.co")</f>
        <v>efzapata@postobon.com.co</v>
      </c>
      <c r="Z1188" s="5" t="str">
        <f ca="1">IFERROR(__xludf.DUMMYFUNCTION("""COMPUTED_VALUE"""),"oE.KyuUdRgGvtgkjzc6PvQ")</f>
        <v>oE.KyuUdRgGvtgkjzc6PvQ</v>
      </c>
      <c r="AA1188" s="5"/>
      <c r="AB1188" s="5"/>
      <c r="AC1188" s="5"/>
      <c r="AD1188" s="5">
        <f ca="1">IFERROR(__xludf.DUMMYFUNCTION("""COMPUTED_VALUE"""),35)</f>
        <v>35</v>
      </c>
      <c r="AE1188" s="5">
        <f ca="1">IFERROR(__xludf.DUMMYFUNCTION("""COMPUTED_VALUE"""),35)</f>
        <v>35</v>
      </c>
      <c r="AF1188" s="5" t="b">
        <f ca="1">IFERROR(__xludf.DUMMYFUNCTION("""COMPUTED_VALUE"""),FALSE)</f>
        <v>0</v>
      </c>
      <c r="AG1188" s="5" t="str">
        <f ca="1">IFERROR(__xludf.DUMMYFUNCTION("""COMPUTED_VALUE"""),"INSPECCIONES REALIZADAS")</f>
        <v>INSPECCIONES REALIZADAS</v>
      </c>
      <c r="AH1188" s="5"/>
    </row>
    <row r="1189" spans="1:34">
      <c r="A1189" s="5" t="str">
        <f ca="1">IFERROR(__xludf.DUMMYFUNCTION("""COMPUTED_VALUE"""),"EQUIPOS PARA PREPARACION DE JARABE")</f>
        <v>EQUIPOS PARA PREPARACION DE JARABE</v>
      </c>
      <c r="B1189" s="5">
        <f ca="1">IFERROR(__xludf.DUMMYFUNCTION("""COMPUTED_VALUE"""),69963407)</f>
        <v>69963407</v>
      </c>
      <c r="C1189" s="5" t="str">
        <f ca="1">IFERROR(__xludf.DUMMYFUNCTION("""COMPUTED_VALUE"""),"TANQUE DE JARABE")</f>
        <v>TANQUE DE JARABE</v>
      </c>
      <c r="D1189" s="5">
        <f ca="1">IFERROR(__xludf.DUMMYFUNCTION("""COMPUTED_VALUE"""),13247453)</f>
        <v>13247453</v>
      </c>
      <c r="E1189" s="5" t="str">
        <f ca="1">IFERROR(__xludf.DUMMYFUNCTION("""COMPUTED_VALUE"""),"INSPECCION SEMANAL Tanque Jarabe 4")</f>
        <v>INSPECCION SEMANAL Tanque Jarabe 4</v>
      </c>
      <c r="F1189" s="5" t="str">
        <f ca="1">IFERROR(__xludf.DUMMYFUNCTION("""COMPUTED_VALUE"""),"MTTO MEC TK JARABE 4 JARABE TERMINADO")</f>
        <v>MTTO MEC TK JARABE 4 JARABE TERMINADO</v>
      </c>
      <c r="G1189" s="5" t="b">
        <f ca="1">IFERROR(__xludf.DUMMYFUNCTION("""COMPUTED_VALUE"""),TRUE)</f>
        <v>1</v>
      </c>
      <c r="H1189" s="5"/>
      <c r="I1189" s="5"/>
      <c r="J1189" s="5">
        <f ca="1">IFERROR(__xludf.DUMMYFUNCTION("""COMPUTED_VALUE"""),13247453)</f>
        <v>13247453</v>
      </c>
      <c r="K1189" s="5"/>
      <c r="L1189" s="18">
        <f ca="1">IFERROR(__xludf.DUMMYFUNCTION("""COMPUTED_VALUE"""),45325)</f>
        <v>45325</v>
      </c>
      <c r="M1189" s="18">
        <f ca="1">IFERROR(__xludf.DUMMYFUNCTION("""COMPUTED_VALUE"""),45325)</f>
        <v>45325</v>
      </c>
      <c r="N1189" s="5" t="str">
        <f ca="1">IFERROR(__xludf.DUMMYFUNCTION("""COMPUTED_VALUE"""),"Moreno Pernia Bladimir")</f>
        <v>Moreno Pernia Bladimir</v>
      </c>
      <c r="O1189" s="2">
        <f ca="1">IFERROR(__xludf.DUMMYFUNCTION("""COMPUTED_VALUE"""),0.02)</f>
        <v>0.02</v>
      </c>
      <c r="P1189" s="5">
        <f ca="1">IFERROR(__xludf.DUMMYFUNCTION("""COMPUTED_VALUE"""),20010003)</f>
        <v>20010003</v>
      </c>
      <c r="Q1189" s="5" t="str">
        <f ca="1">IFERROR(__xludf.DUMMYFUNCTION("""COMPUTED_VALUE"""),"nifl0trvjWQ")</f>
        <v>nifl0trvjWQ</v>
      </c>
      <c r="R1189" s="5">
        <f ca="1">IFERROR(__xludf.DUMMYFUNCTION("""COMPUTED_VALUE"""),410)</f>
        <v>410</v>
      </c>
      <c r="S1189" s="62">
        <f ca="1">IFERROR(__xludf.DUMMYFUNCTION("""COMPUTED_VALUE"""),0.02)</f>
        <v>0.02</v>
      </c>
      <c r="T1189" s="63" t="str">
        <f ca="1">IFERROR(__xludf.DUMMYFUNCTION("""COMPUTED_VALUE"""),"https://storage.googleapis.com/glide-prod.appspot.com/uploads-v2/ly7o78grxPaC6KdgvbpS/pub/3aRdSog0vUtuqPE8AJKD.png")</f>
        <v>https://storage.googleapis.com/glide-prod.appspot.com/uploads-v2/ly7o78grxPaC6KdgvbpS/pub/3aRdSog0vUtuqPE8AJKD.png</v>
      </c>
      <c r="U1189" s="5" t="str">
        <f ca="1">IFERROR(__xludf.DUMMYFUNCTION("""COMPUTED_VALUE"""),"EQUIPOS PARA PREPARACION DE JARABETANQUE DE JARABE")</f>
        <v>EQUIPOS PARA PREPARACION DE JARABETANQUE DE JARABE</v>
      </c>
      <c r="V1189" s="5"/>
      <c r="W1189" s="5" t="b">
        <f ca="1">IFERROR(__xludf.DUMMYFUNCTION("""COMPUTED_VALUE"""),TRUE)</f>
        <v>1</v>
      </c>
      <c r="X1189" s="5" t="str">
        <f ca="1">IFERROR(__xludf.DUMMYFUNCTION("""COMPUTED_VALUE"""),"efzapata@postobon.com.co,aprmttoyu@postobon.com.co,aprmyu@postobon.com.co,wmora@postobon.com.co,efzapata@postobon.com.co")</f>
        <v>efzapata@postobon.com.co,aprmttoyu@postobon.com.co,aprmyu@postobon.com.co,wmora@postobon.com.co,efzapata@postobon.com.co</v>
      </c>
      <c r="Y1189" s="5" t="str">
        <f ca="1">IFERROR(__xludf.DUMMYFUNCTION("""COMPUTED_VALUE"""),"efzapata@postobon.com.co")</f>
        <v>efzapata@postobon.com.co</v>
      </c>
      <c r="Z1189" s="5" t="str">
        <f ca="1">IFERROR(__xludf.DUMMYFUNCTION("""COMPUTED_VALUE"""),"gPOYIUYYTYqU96n2CY0KXw")</f>
        <v>gPOYIUYYTYqU96n2CY0KXw</v>
      </c>
      <c r="AA1189" s="5"/>
      <c r="AB1189" s="5"/>
      <c r="AC1189" s="5"/>
      <c r="AD1189" s="5">
        <f ca="1">IFERROR(__xludf.DUMMYFUNCTION("""COMPUTED_VALUE"""),35)</f>
        <v>35</v>
      </c>
      <c r="AE1189" s="5">
        <f ca="1">IFERROR(__xludf.DUMMYFUNCTION("""COMPUTED_VALUE"""),35)</f>
        <v>35</v>
      </c>
      <c r="AF1189" s="5" t="b">
        <f ca="1">IFERROR(__xludf.DUMMYFUNCTION("""COMPUTED_VALUE"""),FALSE)</f>
        <v>0</v>
      </c>
      <c r="AG1189" s="5" t="str">
        <f ca="1">IFERROR(__xludf.DUMMYFUNCTION("""COMPUTED_VALUE"""),"INSPECCIONES REALIZADAS")</f>
        <v>INSPECCIONES REALIZADAS</v>
      </c>
      <c r="AH1189" s="5"/>
    </row>
    <row r="1190" spans="1:34">
      <c r="A1190" s="5" t="str">
        <f ca="1">IFERROR(__xludf.DUMMYFUNCTION("""COMPUTED_VALUE"""),"EQUIPOS PARA PREPARACION DE JARABE")</f>
        <v>EQUIPOS PARA PREPARACION DE JARABE</v>
      </c>
      <c r="B1190" s="5">
        <f ca="1">IFERROR(__xludf.DUMMYFUNCTION("""COMPUTED_VALUE"""),69963408)</f>
        <v>69963408</v>
      </c>
      <c r="C1190" s="5" t="str">
        <f ca="1">IFERROR(__xludf.DUMMYFUNCTION("""COMPUTED_VALUE"""),"TANQUE DE JARABE")</f>
        <v>TANQUE DE JARABE</v>
      </c>
      <c r="D1190" s="5">
        <f ca="1">IFERROR(__xludf.DUMMYFUNCTION("""COMPUTED_VALUE"""),13247454)</f>
        <v>13247454</v>
      </c>
      <c r="E1190" s="5" t="str">
        <f ca="1">IFERROR(__xludf.DUMMYFUNCTION("""COMPUTED_VALUE"""),"INSPECCION SEMANAL Tanque Jarabe 5")</f>
        <v>INSPECCION SEMANAL Tanque Jarabe 5</v>
      </c>
      <c r="F1190" s="5" t="str">
        <f ca="1">IFERROR(__xludf.DUMMYFUNCTION("""COMPUTED_VALUE"""),"REVISAR ESTADO TANQUE,TUBERIAS, VALVULAS")</f>
        <v>REVISAR ESTADO TANQUE,TUBERIAS, VALVULAS</v>
      </c>
      <c r="G1190" s="5" t="b">
        <f ca="1">IFERROR(__xludf.DUMMYFUNCTION("""COMPUTED_VALUE"""),TRUE)</f>
        <v>1</v>
      </c>
      <c r="H1190" s="5"/>
      <c r="I1190" s="5"/>
      <c r="J1190" s="5">
        <f ca="1">IFERROR(__xludf.DUMMYFUNCTION("""COMPUTED_VALUE"""),13247454)</f>
        <v>13247454</v>
      </c>
      <c r="K1190" s="5"/>
      <c r="L1190" s="18">
        <f ca="1">IFERROR(__xludf.DUMMYFUNCTION("""COMPUTED_VALUE"""),45324)</f>
        <v>45324</v>
      </c>
      <c r="M1190" s="18">
        <f ca="1">IFERROR(__xludf.DUMMYFUNCTION("""COMPUTED_VALUE"""),45324)</f>
        <v>45324</v>
      </c>
      <c r="N1190" s="5" t="str">
        <f ca="1">IFERROR(__xludf.DUMMYFUNCTION("""COMPUTED_VALUE"""),"Moreno Pernia Bladimir")</f>
        <v>Moreno Pernia Bladimir</v>
      </c>
      <c r="O1190" s="2">
        <f ca="1">IFERROR(__xludf.DUMMYFUNCTION("""COMPUTED_VALUE"""),0.02)</f>
        <v>0.02</v>
      </c>
      <c r="P1190" s="5">
        <f ca="1">IFERROR(__xludf.DUMMYFUNCTION("""COMPUTED_VALUE"""),20010003)</f>
        <v>20010003</v>
      </c>
      <c r="Q1190" s="5" t="str">
        <f ca="1">IFERROR(__xludf.DUMMYFUNCTION("""COMPUTED_VALUE"""),"mzt6mti9YTg")</f>
        <v>mzt6mti9YTg</v>
      </c>
      <c r="R1190" s="5">
        <f ca="1">IFERROR(__xludf.DUMMYFUNCTION("""COMPUTED_VALUE"""),410)</f>
        <v>410</v>
      </c>
      <c r="S1190" s="62">
        <f ca="1">IFERROR(__xludf.DUMMYFUNCTION("""COMPUTED_VALUE"""),0.02)</f>
        <v>0.02</v>
      </c>
      <c r="T1190" s="63" t="str">
        <f ca="1">IFERROR(__xludf.DUMMYFUNCTION("""COMPUTED_VALUE"""),"https://storage.googleapis.com/glide-prod.appspot.com/uploads-v2/ly7o78grxPaC6KdgvbpS/pub/3aRdSog0vUtuqPE8AJKD.png")</f>
        <v>https://storage.googleapis.com/glide-prod.appspot.com/uploads-v2/ly7o78grxPaC6KdgvbpS/pub/3aRdSog0vUtuqPE8AJKD.png</v>
      </c>
      <c r="U1190" s="5" t="str">
        <f ca="1">IFERROR(__xludf.DUMMYFUNCTION("""COMPUTED_VALUE"""),"EQUIPOS PARA PREPARACION DE JARABETANQUE DE JARABE")</f>
        <v>EQUIPOS PARA PREPARACION DE JARABETANQUE DE JARABE</v>
      </c>
      <c r="V1190" s="5"/>
      <c r="W1190" s="5" t="b">
        <f ca="1">IFERROR(__xludf.DUMMYFUNCTION("""COMPUTED_VALUE"""),TRUE)</f>
        <v>1</v>
      </c>
      <c r="X1190" s="5" t="str">
        <f ca="1">IFERROR(__xludf.DUMMYFUNCTION("""COMPUTED_VALUE"""),"efzapata@postobon.com.co,aprmttoyu@postobon.com.co,aprmyu@postobon.com.co,wmora@postobon.com.co,efzapata@postobon.com.co")</f>
        <v>efzapata@postobon.com.co,aprmttoyu@postobon.com.co,aprmyu@postobon.com.co,wmora@postobon.com.co,efzapata@postobon.com.co</v>
      </c>
      <c r="Y1190" s="5" t="str">
        <f ca="1">IFERROR(__xludf.DUMMYFUNCTION("""COMPUTED_VALUE"""),"efzapata@postobon.com.co")</f>
        <v>efzapata@postobon.com.co</v>
      </c>
      <c r="Z1190" s="5" t="str">
        <f ca="1">IFERROR(__xludf.DUMMYFUNCTION("""COMPUTED_VALUE"""),"7aX-U0p7QQWyN65j2LIRYw")</f>
        <v>7aX-U0p7QQWyN65j2LIRYw</v>
      </c>
      <c r="AA1190" s="5"/>
      <c r="AB1190" s="5"/>
      <c r="AC1190" s="5"/>
      <c r="AD1190" s="5">
        <f ca="1">IFERROR(__xludf.DUMMYFUNCTION("""COMPUTED_VALUE"""),35)</f>
        <v>35</v>
      </c>
      <c r="AE1190" s="5">
        <f ca="1">IFERROR(__xludf.DUMMYFUNCTION("""COMPUTED_VALUE"""),35)</f>
        <v>35</v>
      </c>
      <c r="AF1190" s="5" t="b">
        <f ca="1">IFERROR(__xludf.DUMMYFUNCTION("""COMPUTED_VALUE"""),FALSE)</f>
        <v>0</v>
      </c>
      <c r="AG1190" s="5" t="str">
        <f ca="1">IFERROR(__xludf.DUMMYFUNCTION("""COMPUTED_VALUE"""),"INSPECCIONES REALIZADAS")</f>
        <v>INSPECCIONES REALIZADAS</v>
      </c>
      <c r="AH1190" s="5"/>
    </row>
    <row r="1191" spans="1:34">
      <c r="A1191" s="5" t="str">
        <f ca="1">IFERROR(__xludf.DUMMYFUNCTION("""COMPUTED_VALUE"""),"EQUIPOS PARA PREPARACION DE JARABE")</f>
        <v>EQUIPOS PARA PREPARACION DE JARABE</v>
      </c>
      <c r="B1191" s="5">
        <f ca="1">IFERROR(__xludf.DUMMYFUNCTION("""COMPUTED_VALUE"""),69963408)</f>
        <v>69963408</v>
      </c>
      <c r="C1191" s="5" t="str">
        <f ca="1">IFERROR(__xludf.DUMMYFUNCTION("""COMPUTED_VALUE"""),"TANQUE DE JARABE")</f>
        <v>TANQUE DE JARABE</v>
      </c>
      <c r="D1191" s="5">
        <f ca="1">IFERROR(__xludf.DUMMYFUNCTION("""COMPUTED_VALUE"""),13247454)</f>
        <v>13247454</v>
      </c>
      <c r="E1191" s="5" t="str">
        <f ca="1">IFERROR(__xludf.DUMMYFUNCTION("""COMPUTED_VALUE"""),"INSPECCION SEMANAL Tanque Jarabe 5")</f>
        <v>INSPECCION SEMANAL Tanque Jarabe 5</v>
      </c>
      <c r="F1191" s="5" t="str">
        <f ca="1">IFERROR(__xludf.DUMMYFUNCTION("""COMPUTED_VALUE"""),"INSP. BOMBAS EN GENERAL")</f>
        <v>INSP. BOMBAS EN GENERAL</v>
      </c>
      <c r="G1191" s="5" t="b">
        <f ca="1">IFERROR(__xludf.DUMMYFUNCTION("""COMPUTED_VALUE"""),TRUE)</f>
        <v>1</v>
      </c>
      <c r="H1191" s="5"/>
      <c r="I1191" s="5"/>
      <c r="J1191" s="5">
        <f ca="1">IFERROR(__xludf.DUMMYFUNCTION("""COMPUTED_VALUE"""),13247454)</f>
        <v>13247454</v>
      </c>
      <c r="K1191" s="5"/>
      <c r="L1191" s="18">
        <f ca="1">IFERROR(__xludf.DUMMYFUNCTION("""COMPUTED_VALUE"""),45324)</f>
        <v>45324</v>
      </c>
      <c r="M1191" s="18">
        <f ca="1">IFERROR(__xludf.DUMMYFUNCTION("""COMPUTED_VALUE"""),45324)</f>
        <v>45324</v>
      </c>
      <c r="N1191" s="5" t="str">
        <f ca="1">IFERROR(__xludf.DUMMYFUNCTION("""COMPUTED_VALUE"""),"Moreno Pernia Bladimir")</f>
        <v>Moreno Pernia Bladimir</v>
      </c>
      <c r="O1191" s="2">
        <f ca="1">IFERROR(__xludf.DUMMYFUNCTION("""COMPUTED_VALUE"""),0.02)</f>
        <v>0.02</v>
      </c>
      <c r="P1191" s="5">
        <f ca="1">IFERROR(__xludf.DUMMYFUNCTION("""COMPUTED_VALUE"""),20010003)</f>
        <v>20010003</v>
      </c>
      <c r="Q1191" s="5" t="str">
        <f ca="1">IFERROR(__xludf.DUMMYFUNCTION("""COMPUTED_VALUE"""),"iTxX__5SYxs")</f>
        <v>iTxX__5SYxs</v>
      </c>
      <c r="R1191" s="5">
        <f ca="1">IFERROR(__xludf.DUMMYFUNCTION("""COMPUTED_VALUE"""),410)</f>
        <v>410</v>
      </c>
      <c r="S1191" s="62">
        <f ca="1">IFERROR(__xludf.DUMMYFUNCTION("""COMPUTED_VALUE"""),0.02)</f>
        <v>0.02</v>
      </c>
      <c r="T1191" s="63" t="str">
        <f ca="1">IFERROR(__xludf.DUMMYFUNCTION("""COMPUTED_VALUE"""),"https://storage.googleapis.com/glide-prod.appspot.com/uploads-v2/ly7o78grxPaC6KdgvbpS/pub/3aRdSog0vUtuqPE8AJKD.png")</f>
        <v>https://storage.googleapis.com/glide-prod.appspot.com/uploads-v2/ly7o78grxPaC6KdgvbpS/pub/3aRdSog0vUtuqPE8AJKD.png</v>
      </c>
      <c r="U1191" s="5" t="str">
        <f ca="1">IFERROR(__xludf.DUMMYFUNCTION("""COMPUTED_VALUE"""),"EQUIPOS PARA PREPARACION DE JARABETANQUE DE JARABE")</f>
        <v>EQUIPOS PARA PREPARACION DE JARABETANQUE DE JARABE</v>
      </c>
      <c r="V1191" s="5"/>
      <c r="W1191" s="5" t="b">
        <f ca="1">IFERROR(__xludf.DUMMYFUNCTION("""COMPUTED_VALUE"""),TRUE)</f>
        <v>1</v>
      </c>
      <c r="X1191" s="5" t="str">
        <f ca="1">IFERROR(__xludf.DUMMYFUNCTION("""COMPUTED_VALUE"""),"efzapata@postobon.com.co,aprmttoyu@postobon.com.co,aprmyu@postobon.com.co,wmora@postobon.com.co,efzapata@postobon.com.co")</f>
        <v>efzapata@postobon.com.co,aprmttoyu@postobon.com.co,aprmyu@postobon.com.co,wmora@postobon.com.co,efzapata@postobon.com.co</v>
      </c>
      <c r="Y1191" s="5" t="str">
        <f ca="1">IFERROR(__xludf.DUMMYFUNCTION("""COMPUTED_VALUE"""),"efzapata@postobon.com.co")</f>
        <v>efzapata@postobon.com.co</v>
      </c>
      <c r="Z1191" s="5" t="str">
        <f ca="1">IFERROR(__xludf.DUMMYFUNCTION("""COMPUTED_VALUE"""),"msHHbHtgTri8WiLKff-8Hw")</f>
        <v>msHHbHtgTri8WiLKff-8Hw</v>
      </c>
      <c r="AA1191" s="5"/>
      <c r="AB1191" s="5"/>
      <c r="AC1191" s="5"/>
      <c r="AD1191" s="5">
        <f ca="1">IFERROR(__xludf.DUMMYFUNCTION("""COMPUTED_VALUE"""),35)</f>
        <v>35</v>
      </c>
      <c r="AE1191" s="5">
        <f ca="1">IFERROR(__xludf.DUMMYFUNCTION("""COMPUTED_VALUE"""),35)</f>
        <v>35</v>
      </c>
      <c r="AF1191" s="5" t="b">
        <f ca="1">IFERROR(__xludf.DUMMYFUNCTION("""COMPUTED_VALUE"""),FALSE)</f>
        <v>0</v>
      </c>
      <c r="AG1191" s="5" t="str">
        <f ca="1">IFERROR(__xludf.DUMMYFUNCTION("""COMPUTED_VALUE"""),"INSPECCIONES REALIZADAS")</f>
        <v>INSPECCIONES REALIZADAS</v>
      </c>
      <c r="AH1191" s="5"/>
    </row>
    <row r="1192" spans="1:34">
      <c r="A1192" s="5" t="str">
        <f ca="1">IFERROR(__xludf.DUMMYFUNCTION("""COMPUTED_VALUE"""),"EQUIPOS PARA PREPARACION DE JARABE")</f>
        <v>EQUIPOS PARA PREPARACION DE JARABE</v>
      </c>
      <c r="B1192" s="5">
        <f ca="1">IFERROR(__xludf.DUMMYFUNCTION("""COMPUTED_VALUE"""),69963408)</f>
        <v>69963408</v>
      </c>
      <c r="C1192" s="5" t="str">
        <f ca="1">IFERROR(__xludf.DUMMYFUNCTION("""COMPUTED_VALUE"""),"TANQUE DE JARABE")</f>
        <v>TANQUE DE JARABE</v>
      </c>
      <c r="D1192" s="5">
        <f ca="1">IFERROR(__xludf.DUMMYFUNCTION("""COMPUTED_VALUE"""),13247454)</f>
        <v>13247454</v>
      </c>
      <c r="E1192" s="5" t="str">
        <f ca="1">IFERROR(__xludf.DUMMYFUNCTION("""COMPUTED_VALUE"""),"INSPECCION SEMANAL Tanque Jarabe 5")</f>
        <v>INSPECCION SEMANAL Tanque Jarabe 5</v>
      </c>
      <c r="F1192" s="5" t="str">
        <f ca="1">IFERROR(__xludf.DUMMYFUNCTION("""COMPUTED_VALUE"""),"ESCAPES FLUIDOS(AGUA,AIRE,JARABE)")</f>
        <v>ESCAPES FLUIDOS(AGUA,AIRE,JARABE)</v>
      </c>
      <c r="G1192" s="5" t="b">
        <f ca="1">IFERROR(__xludf.DUMMYFUNCTION("""COMPUTED_VALUE"""),TRUE)</f>
        <v>1</v>
      </c>
      <c r="H1192" s="5"/>
      <c r="I1192" s="5"/>
      <c r="J1192" s="5">
        <f ca="1">IFERROR(__xludf.DUMMYFUNCTION("""COMPUTED_VALUE"""),13247454)</f>
        <v>13247454</v>
      </c>
      <c r="K1192" s="5"/>
      <c r="L1192" s="18">
        <f ca="1">IFERROR(__xludf.DUMMYFUNCTION("""COMPUTED_VALUE"""),45324)</f>
        <v>45324</v>
      </c>
      <c r="M1192" s="18">
        <f ca="1">IFERROR(__xludf.DUMMYFUNCTION("""COMPUTED_VALUE"""),45324)</f>
        <v>45324</v>
      </c>
      <c r="N1192" s="5" t="str">
        <f ca="1">IFERROR(__xludf.DUMMYFUNCTION("""COMPUTED_VALUE"""),"Moreno Pernia Bladimir")</f>
        <v>Moreno Pernia Bladimir</v>
      </c>
      <c r="O1192" s="2">
        <f ca="1">IFERROR(__xludf.DUMMYFUNCTION("""COMPUTED_VALUE"""),0.02)</f>
        <v>0.02</v>
      </c>
      <c r="P1192" s="5">
        <f ca="1">IFERROR(__xludf.DUMMYFUNCTION("""COMPUTED_VALUE"""),20010003)</f>
        <v>20010003</v>
      </c>
      <c r="Q1192" s="5" t="str">
        <f ca="1">IFERROR(__xludf.DUMMYFUNCTION("""COMPUTED_VALUE"""),"93TxnepIGh8")</f>
        <v>93TxnepIGh8</v>
      </c>
      <c r="R1192" s="5">
        <f ca="1">IFERROR(__xludf.DUMMYFUNCTION("""COMPUTED_VALUE"""),410)</f>
        <v>410</v>
      </c>
      <c r="S1192" s="62">
        <f ca="1">IFERROR(__xludf.DUMMYFUNCTION("""COMPUTED_VALUE"""),0.02)</f>
        <v>0.02</v>
      </c>
      <c r="T1192" s="63" t="str">
        <f ca="1">IFERROR(__xludf.DUMMYFUNCTION("""COMPUTED_VALUE"""),"https://storage.googleapis.com/glide-prod.appspot.com/uploads-v2/ly7o78grxPaC6KdgvbpS/pub/3aRdSog0vUtuqPE8AJKD.png")</f>
        <v>https://storage.googleapis.com/glide-prod.appspot.com/uploads-v2/ly7o78grxPaC6KdgvbpS/pub/3aRdSog0vUtuqPE8AJKD.png</v>
      </c>
      <c r="U1192" s="5" t="str">
        <f ca="1">IFERROR(__xludf.DUMMYFUNCTION("""COMPUTED_VALUE"""),"EQUIPOS PARA PREPARACION DE JARABETANQUE DE JARABE")</f>
        <v>EQUIPOS PARA PREPARACION DE JARABETANQUE DE JARABE</v>
      </c>
      <c r="V1192" s="5"/>
      <c r="W1192" s="5" t="b">
        <f ca="1">IFERROR(__xludf.DUMMYFUNCTION("""COMPUTED_VALUE"""),TRUE)</f>
        <v>1</v>
      </c>
      <c r="X1192" s="5" t="str">
        <f ca="1">IFERROR(__xludf.DUMMYFUNCTION("""COMPUTED_VALUE"""),"efzapata@postobon.com.co,aprmttoyu@postobon.com.co,aprmyu@postobon.com.co,wmora@postobon.com.co,efzapata@postobon.com.co")</f>
        <v>efzapata@postobon.com.co,aprmttoyu@postobon.com.co,aprmyu@postobon.com.co,wmora@postobon.com.co,efzapata@postobon.com.co</v>
      </c>
      <c r="Y1192" s="5" t="str">
        <f ca="1">IFERROR(__xludf.DUMMYFUNCTION("""COMPUTED_VALUE"""),"efzapata@postobon.com.co")</f>
        <v>efzapata@postobon.com.co</v>
      </c>
      <c r="Z1192" s="5" t="str">
        <f ca="1">IFERROR(__xludf.DUMMYFUNCTION("""COMPUTED_VALUE"""),"tr61enNFRD--V73nV9ZutA")</f>
        <v>tr61enNFRD--V73nV9ZutA</v>
      </c>
      <c r="AA1192" s="5"/>
      <c r="AB1192" s="5"/>
      <c r="AC1192" s="5"/>
      <c r="AD1192" s="5">
        <f ca="1">IFERROR(__xludf.DUMMYFUNCTION("""COMPUTED_VALUE"""),35)</f>
        <v>35</v>
      </c>
      <c r="AE1192" s="5">
        <f ca="1">IFERROR(__xludf.DUMMYFUNCTION("""COMPUTED_VALUE"""),35)</f>
        <v>35</v>
      </c>
      <c r="AF1192" s="5" t="b">
        <f ca="1">IFERROR(__xludf.DUMMYFUNCTION("""COMPUTED_VALUE"""),FALSE)</f>
        <v>0</v>
      </c>
      <c r="AG1192" s="5" t="str">
        <f ca="1">IFERROR(__xludf.DUMMYFUNCTION("""COMPUTED_VALUE"""),"INSPECCIONES REALIZADAS")</f>
        <v>INSPECCIONES REALIZADAS</v>
      </c>
      <c r="AH1192" s="5"/>
    </row>
    <row r="1193" spans="1:34">
      <c r="A1193" s="5" t="str">
        <f ca="1">IFERROR(__xludf.DUMMYFUNCTION("""COMPUTED_VALUE"""),"EQUIPOS PARA PREPARACION DE JARABE")</f>
        <v>EQUIPOS PARA PREPARACION DE JARABE</v>
      </c>
      <c r="B1193" s="5">
        <f ca="1">IFERROR(__xludf.DUMMYFUNCTION("""COMPUTED_VALUE"""),69963408)</f>
        <v>69963408</v>
      </c>
      <c r="C1193" s="5" t="str">
        <f ca="1">IFERROR(__xludf.DUMMYFUNCTION("""COMPUTED_VALUE"""),"TANQUE DE JARABE")</f>
        <v>TANQUE DE JARABE</v>
      </c>
      <c r="D1193" s="5">
        <f ca="1">IFERROR(__xludf.DUMMYFUNCTION("""COMPUTED_VALUE"""),13247454)</f>
        <v>13247454</v>
      </c>
      <c r="E1193" s="5" t="str">
        <f ca="1">IFERROR(__xludf.DUMMYFUNCTION("""COMPUTED_VALUE"""),"INSPECCION SEMANAL Tanque Jarabe 5")</f>
        <v>INSPECCION SEMANAL Tanque Jarabe 5</v>
      </c>
      <c r="F1193" s="5" t="str">
        <f ca="1">IFERROR(__xludf.DUMMYFUNCTION("""COMPUTED_VALUE"""),"VERIFICAR ESTADO PIEZAS TANQUES (QUE LAS PIEZAS ESTEN COMPLETAS Y EN BUEN ESTADO)")</f>
        <v>VERIFICAR ESTADO PIEZAS TANQUES (QUE LAS PIEZAS ESTEN COMPLETAS Y EN BUEN ESTADO)</v>
      </c>
      <c r="G1193" s="5" t="b">
        <f ca="1">IFERROR(__xludf.DUMMYFUNCTION("""COMPUTED_VALUE"""),TRUE)</f>
        <v>1</v>
      </c>
      <c r="H1193" s="5"/>
      <c r="I1193" s="5"/>
      <c r="J1193" s="5">
        <f ca="1">IFERROR(__xludf.DUMMYFUNCTION("""COMPUTED_VALUE"""),13247454)</f>
        <v>13247454</v>
      </c>
      <c r="K1193" s="5"/>
      <c r="L1193" s="18">
        <f ca="1">IFERROR(__xludf.DUMMYFUNCTION("""COMPUTED_VALUE"""),45324)</f>
        <v>45324</v>
      </c>
      <c r="M1193" s="18">
        <f ca="1">IFERROR(__xludf.DUMMYFUNCTION("""COMPUTED_VALUE"""),45324)</f>
        <v>45324</v>
      </c>
      <c r="N1193" s="5" t="str">
        <f ca="1">IFERROR(__xludf.DUMMYFUNCTION("""COMPUTED_VALUE"""),"Moreno Pernia Bladimir")</f>
        <v>Moreno Pernia Bladimir</v>
      </c>
      <c r="O1193" s="2">
        <f ca="1">IFERROR(__xludf.DUMMYFUNCTION("""COMPUTED_VALUE"""),0.02)</f>
        <v>0.02</v>
      </c>
      <c r="P1193" s="5">
        <f ca="1">IFERROR(__xludf.DUMMYFUNCTION("""COMPUTED_VALUE"""),20010003)</f>
        <v>20010003</v>
      </c>
      <c r="Q1193" s="5" t="str">
        <f ca="1">IFERROR(__xludf.DUMMYFUNCTION("""COMPUTED_VALUE"""),"WzyzZvmIv7w")</f>
        <v>WzyzZvmIv7w</v>
      </c>
      <c r="R1193" s="5">
        <f ca="1">IFERROR(__xludf.DUMMYFUNCTION("""COMPUTED_VALUE"""),410)</f>
        <v>410</v>
      </c>
      <c r="S1193" s="62">
        <f ca="1">IFERROR(__xludf.DUMMYFUNCTION("""COMPUTED_VALUE"""),0.02)</f>
        <v>0.02</v>
      </c>
      <c r="T1193" s="63" t="str">
        <f ca="1">IFERROR(__xludf.DUMMYFUNCTION("""COMPUTED_VALUE"""),"https://storage.googleapis.com/glide-prod.appspot.com/uploads-v2/ly7o78grxPaC6KdgvbpS/pub/3aRdSog0vUtuqPE8AJKD.png")</f>
        <v>https://storage.googleapis.com/glide-prod.appspot.com/uploads-v2/ly7o78grxPaC6KdgvbpS/pub/3aRdSog0vUtuqPE8AJKD.png</v>
      </c>
      <c r="U1193" s="5" t="str">
        <f ca="1">IFERROR(__xludf.DUMMYFUNCTION("""COMPUTED_VALUE"""),"EQUIPOS PARA PREPARACION DE JARABETANQUE DE JARABE")</f>
        <v>EQUIPOS PARA PREPARACION DE JARABETANQUE DE JARABE</v>
      </c>
      <c r="V1193" s="5"/>
      <c r="W1193" s="5" t="b">
        <f ca="1">IFERROR(__xludf.DUMMYFUNCTION("""COMPUTED_VALUE"""),TRUE)</f>
        <v>1</v>
      </c>
      <c r="X1193" s="5" t="str">
        <f ca="1">IFERROR(__xludf.DUMMYFUNCTION("""COMPUTED_VALUE"""),"efzapata@postobon.com.co,aprmttoyu@postobon.com.co,aprmyu@postobon.com.co,wmora@postobon.com.co,efzapata@postobon.com.co")</f>
        <v>efzapata@postobon.com.co,aprmttoyu@postobon.com.co,aprmyu@postobon.com.co,wmora@postobon.com.co,efzapata@postobon.com.co</v>
      </c>
      <c r="Y1193" s="5" t="str">
        <f ca="1">IFERROR(__xludf.DUMMYFUNCTION("""COMPUTED_VALUE"""),"efzapata@postobon.com.co")</f>
        <v>efzapata@postobon.com.co</v>
      </c>
      <c r="Z1193" s="5" t="str">
        <f ca="1">IFERROR(__xludf.DUMMYFUNCTION("""COMPUTED_VALUE"""),"aAd1S9FhRNSNOpPKTfaW0Q")</f>
        <v>aAd1S9FhRNSNOpPKTfaW0Q</v>
      </c>
      <c r="AA1193" s="5"/>
      <c r="AB1193" s="5"/>
      <c r="AC1193" s="5"/>
      <c r="AD1193" s="5">
        <f ca="1">IFERROR(__xludf.DUMMYFUNCTION("""COMPUTED_VALUE"""),35)</f>
        <v>35</v>
      </c>
      <c r="AE1193" s="5">
        <f ca="1">IFERROR(__xludf.DUMMYFUNCTION("""COMPUTED_VALUE"""),35)</f>
        <v>35</v>
      </c>
      <c r="AF1193" s="5" t="b">
        <f ca="1">IFERROR(__xludf.DUMMYFUNCTION("""COMPUTED_VALUE"""),FALSE)</f>
        <v>0</v>
      </c>
      <c r="AG1193" s="5" t="str">
        <f ca="1">IFERROR(__xludf.DUMMYFUNCTION("""COMPUTED_VALUE"""),"INSPECCIONES REALIZADAS")</f>
        <v>INSPECCIONES REALIZADAS</v>
      </c>
      <c r="AH1193" s="5"/>
    </row>
    <row r="1194" spans="1:34">
      <c r="A1194" s="5" t="str">
        <f ca="1">IFERROR(__xludf.DUMMYFUNCTION("""COMPUTED_VALUE"""),"EQUIPOS PARA PREPARACION DE JARABE")</f>
        <v>EQUIPOS PARA PREPARACION DE JARABE</v>
      </c>
      <c r="B1194" s="5">
        <f ca="1">IFERROR(__xludf.DUMMYFUNCTION("""COMPUTED_VALUE"""),69963408)</f>
        <v>69963408</v>
      </c>
      <c r="C1194" s="5" t="str">
        <f ca="1">IFERROR(__xludf.DUMMYFUNCTION("""COMPUTED_VALUE"""),"TANQUE DE JARABE")</f>
        <v>TANQUE DE JARABE</v>
      </c>
      <c r="D1194" s="5">
        <f ca="1">IFERROR(__xludf.DUMMYFUNCTION("""COMPUTED_VALUE"""),13247454)</f>
        <v>13247454</v>
      </c>
      <c r="E1194" s="5" t="str">
        <f ca="1">IFERROR(__xludf.DUMMYFUNCTION("""COMPUTED_VALUE"""),"INSPECCION SEMANAL Tanque Jarabe 5")</f>
        <v>INSPECCION SEMANAL Tanque Jarabe 5</v>
      </c>
      <c r="F1194" s="5" t="str">
        <f ca="1">IFERROR(__xludf.DUMMYFUNCTION("""COMPUTED_VALUE"""),"MTTO MEC TK JARABE 5 JARABE TERMINADO")</f>
        <v>MTTO MEC TK JARABE 5 JARABE TERMINADO</v>
      </c>
      <c r="G1194" s="5" t="b">
        <f ca="1">IFERROR(__xludf.DUMMYFUNCTION("""COMPUTED_VALUE"""),TRUE)</f>
        <v>1</v>
      </c>
      <c r="H1194" s="5"/>
      <c r="I1194" s="5"/>
      <c r="J1194" s="5">
        <f ca="1">IFERROR(__xludf.DUMMYFUNCTION("""COMPUTED_VALUE"""),13247454)</f>
        <v>13247454</v>
      </c>
      <c r="K1194" s="5"/>
      <c r="L1194" s="18">
        <f ca="1">IFERROR(__xludf.DUMMYFUNCTION("""COMPUTED_VALUE"""),45324)</f>
        <v>45324</v>
      </c>
      <c r="M1194" s="18">
        <f ca="1">IFERROR(__xludf.DUMMYFUNCTION("""COMPUTED_VALUE"""),45324)</f>
        <v>45324</v>
      </c>
      <c r="N1194" s="5" t="str">
        <f ca="1">IFERROR(__xludf.DUMMYFUNCTION("""COMPUTED_VALUE"""),"Moreno Pernia Bladimir")</f>
        <v>Moreno Pernia Bladimir</v>
      </c>
      <c r="O1194" s="2">
        <f ca="1">IFERROR(__xludf.DUMMYFUNCTION("""COMPUTED_VALUE"""),0.02)</f>
        <v>0.02</v>
      </c>
      <c r="P1194" s="5">
        <f ca="1">IFERROR(__xludf.DUMMYFUNCTION("""COMPUTED_VALUE"""),20010003)</f>
        <v>20010003</v>
      </c>
      <c r="Q1194" s="5" t="str">
        <f ca="1">IFERROR(__xludf.DUMMYFUNCTION("""COMPUTED_VALUE"""),"HqAMlswI-_U")</f>
        <v>HqAMlswI-_U</v>
      </c>
      <c r="R1194" s="5">
        <f ca="1">IFERROR(__xludf.DUMMYFUNCTION("""COMPUTED_VALUE"""),410)</f>
        <v>410</v>
      </c>
      <c r="S1194" s="62">
        <f ca="1">IFERROR(__xludf.DUMMYFUNCTION("""COMPUTED_VALUE"""),0.02)</f>
        <v>0.02</v>
      </c>
      <c r="T1194" s="63" t="str">
        <f ca="1">IFERROR(__xludf.DUMMYFUNCTION("""COMPUTED_VALUE"""),"https://storage.googleapis.com/glide-prod.appspot.com/uploads-v2/ly7o78grxPaC6KdgvbpS/pub/3aRdSog0vUtuqPE8AJKD.png")</f>
        <v>https://storage.googleapis.com/glide-prod.appspot.com/uploads-v2/ly7o78grxPaC6KdgvbpS/pub/3aRdSog0vUtuqPE8AJKD.png</v>
      </c>
      <c r="U1194" s="5" t="str">
        <f ca="1">IFERROR(__xludf.DUMMYFUNCTION("""COMPUTED_VALUE"""),"EQUIPOS PARA PREPARACION DE JARABETANQUE DE JARABE")</f>
        <v>EQUIPOS PARA PREPARACION DE JARABETANQUE DE JARABE</v>
      </c>
      <c r="V1194" s="5"/>
      <c r="W1194" s="5" t="b">
        <f ca="1">IFERROR(__xludf.DUMMYFUNCTION("""COMPUTED_VALUE"""),TRUE)</f>
        <v>1</v>
      </c>
      <c r="X1194" s="5" t="str">
        <f ca="1">IFERROR(__xludf.DUMMYFUNCTION("""COMPUTED_VALUE"""),"efzapata@postobon.com.co,aprmttoyu@postobon.com.co,aprmyu@postobon.com.co,wmora@postobon.com.co,efzapata@postobon.com.co")</f>
        <v>efzapata@postobon.com.co,aprmttoyu@postobon.com.co,aprmyu@postobon.com.co,wmora@postobon.com.co,efzapata@postobon.com.co</v>
      </c>
      <c r="Y1194" s="5" t="str">
        <f ca="1">IFERROR(__xludf.DUMMYFUNCTION("""COMPUTED_VALUE"""),"efzapata@postobon.com.co")</f>
        <v>efzapata@postobon.com.co</v>
      </c>
      <c r="Z1194" s="5" t="str">
        <f ca="1">IFERROR(__xludf.DUMMYFUNCTION("""COMPUTED_VALUE"""),"3Des2RtvS.ysTHnbX0GG-A")</f>
        <v>3Des2RtvS.ysTHnbX0GG-A</v>
      </c>
      <c r="AA1194" s="5"/>
      <c r="AB1194" s="5"/>
      <c r="AC1194" s="5"/>
      <c r="AD1194" s="5">
        <f ca="1">IFERROR(__xludf.DUMMYFUNCTION("""COMPUTED_VALUE"""),35)</f>
        <v>35</v>
      </c>
      <c r="AE1194" s="5">
        <f ca="1">IFERROR(__xludf.DUMMYFUNCTION("""COMPUTED_VALUE"""),35)</f>
        <v>35</v>
      </c>
      <c r="AF1194" s="5" t="b">
        <f ca="1">IFERROR(__xludf.DUMMYFUNCTION("""COMPUTED_VALUE"""),FALSE)</f>
        <v>0</v>
      </c>
      <c r="AG1194" s="5" t="str">
        <f ca="1">IFERROR(__xludf.DUMMYFUNCTION("""COMPUTED_VALUE"""),"INSPECCIONES REALIZADAS")</f>
        <v>INSPECCIONES REALIZADAS</v>
      </c>
      <c r="AH1194" s="5"/>
    </row>
    <row r="1195" spans="1:34">
      <c r="A1195" s="5" t="str">
        <f ca="1">IFERROR(__xludf.DUMMYFUNCTION("""COMPUTED_VALUE"""),"EQUIPOS PARA PREPARACION DE JARABE")</f>
        <v>EQUIPOS PARA PREPARACION DE JARABE</v>
      </c>
      <c r="B1195" s="5">
        <f ca="1">IFERROR(__xludf.DUMMYFUNCTION("""COMPUTED_VALUE"""),69963409)</f>
        <v>69963409</v>
      </c>
      <c r="C1195" s="5" t="str">
        <f ca="1">IFERROR(__xludf.DUMMYFUNCTION("""COMPUTED_VALUE"""),"TANQUE DE JARABE")</f>
        <v>TANQUE DE JARABE</v>
      </c>
      <c r="D1195" s="5">
        <f ca="1">IFERROR(__xludf.DUMMYFUNCTION("""COMPUTED_VALUE"""),13247457)</f>
        <v>13247457</v>
      </c>
      <c r="E1195" s="5" t="str">
        <f ca="1">IFERROR(__xludf.DUMMYFUNCTION("""COMPUTED_VALUE"""),"INSPECCION SEMANAL Tanque Jarabe 6")</f>
        <v>INSPECCION SEMANAL Tanque Jarabe 6</v>
      </c>
      <c r="F1195" s="5" t="str">
        <f ca="1">IFERROR(__xludf.DUMMYFUNCTION("""COMPUTED_VALUE"""),"REVISAR ESTADO TANQUE,TUBERIAS, VALVULAS")</f>
        <v>REVISAR ESTADO TANQUE,TUBERIAS, VALVULAS</v>
      </c>
      <c r="G1195" s="5" t="b">
        <f ca="1">IFERROR(__xludf.DUMMYFUNCTION("""COMPUTED_VALUE"""),TRUE)</f>
        <v>1</v>
      </c>
      <c r="H1195" s="5"/>
      <c r="I1195" s="5"/>
      <c r="J1195" s="5">
        <f ca="1">IFERROR(__xludf.DUMMYFUNCTION("""COMPUTED_VALUE"""),13247457)</f>
        <v>13247457</v>
      </c>
      <c r="K1195" s="5"/>
      <c r="L1195" s="18">
        <f ca="1">IFERROR(__xludf.DUMMYFUNCTION("""COMPUTED_VALUE"""),45325)</f>
        <v>45325</v>
      </c>
      <c r="M1195" s="18">
        <f ca="1">IFERROR(__xludf.DUMMYFUNCTION("""COMPUTED_VALUE"""),45325)</f>
        <v>45325</v>
      </c>
      <c r="N1195" s="5" t="str">
        <f ca="1">IFERROR(__xludf.DUMMYFUNCTION("""COMPUTED_VALUE"""),"Moreno Pernia Bladimir")</f>
        <v>Moreno Pernia Bladimir</v>
      </c>
      <c r="O1195" s="2">
        <f ca="1">IFERROR(__xludf.DUMMYFUNCTION("""COMPUTED_VALUE"""),0.02)</f>
        <v>0.02</v>
      </c>
      <c r="P1195" s="5">
        <f ca="1">IFERROR(__xludf.DUMMYFUNCTION("""COMPUTED_VALUE"""),20010003)</f>
        <v>20010003</v>
      </c>
      <c r="Q1195" s="5" t="str">
        <f ca="1">IFERROR(__xludf.DUMMYFUNCTION("""COMPUTED_VALUE"""),"Q9ZS0lNz89I")</f>
        <v>Q9ZS0lNz89I</v>
      </c>
      <c r="R1195" s="5">
        <f ca="1">IFERROR(__xludf.DUMMYFUNCTION("""COMPUTED_VALUE"""),410)</f>
        <v>410</v>
      </c>
      <c r="S1195" s="62">
        <f ca="1">IFERROR(__xludf.DUMMYFUNCTION("""COMPUTED_VALUE"""),0.02)</f>
        <v>0.02</v>
      </c>
      <c r="T1195" s="63" t="str">
        <f ca="1">IFERROR(__xludf.DUMMYFUNCTION("""COMPUTED_VALUE"""),"https://storage.googleapis.com/glide-prod.appspot.com/uploads-v2/ly7o78grxPaC6KdgvbpS/pub/3aRdSog0vUtuqPE8AJKD.png")</f>
        <v>https://storage.googleapis.com/glide-prod.appspot.com/uploads-v2/ly7o78grxPaC6KdgvbpS/pub/3aRdSog0vUtuqPE8AJKD.png</v>
      </c>
      <c r="U1195" s="5" t="str">
        <f ca="1">IFERROR(__xludf.DUMMYFUNCTION("""COMPUTED_VALUE"""),"EQUIPOS PARA PREPARACION DE JARABETANQUE DE JARABE")</f>
        <v>EQUIPOS PARA PREPARACION DE JARABETANQUE DE JARABE</v>
      </c>
      <c r="V1195" s="5"/>
      <c r="W1195" s="5" t="b">
        <f ca="1">IFERROR(__xludf.DUMMYFUNCTION("""COMPUTED_VALUE"""),TRUE)</f>
        <v>1</v>
      </c>
      <c r="X1195" s="5" t="str">
        <f ca="1">IFERROR(__xludf.DUMMYFUNCTION("""COMPUTED_VALUE"""),"efzapata@postobon.com.co,aprmttoyu@postobon.com.co,aprmyu@postobon.com.co,wmora@postobon.com.co,efzapata@postobon.com.co")</f>
        <v>efzapata@postobon.com.co,aprmttoyu@postobon.com.co,aprmyu@postobon.com.co,wmora@postobon.com.co,efzapata@postobon.com.co</v>
      </c>
      <c r="Y1195" s="5" t="str">
        <f ca="1">IFERROR(__xludf.DUMMYFUNCTION("""COMPUTED_VALUE"""),"efzapata@postobon.com.co")</f>
        <v>efzapata@postobon.com.co</v>
      </c>
      <c r="Z1195" s="5" t="str">
        <f ca="1">IFERROR(__xludf.DUMMYFUNCTION("""COMPUTED_VALUE"""),"FtRQl1RaSqqsH.wnWLNq6w")</f>
        <v>FtRQl1RaSqqsH.wnWLNq6w</v>
      </c>
      <c r="AA1195" s="5"/>
      <c r="AB1195" s="5"/>
      <c r="AC1195" s="5"/>
      <c r="AD1195" s="5">
        <f ca="1">IFERROR(__xludf.DUMMYFUNCTION("""COMPUTED_VALUE"""),35)</f>
        <v>35</v>
      </c>
      <c r="AE1195" s="5">
        <f ca="1">IFERROR(__xludf.DUMMYFUNCTION("""COMPUTED_VALUE"""),35)</f>
        <v>35</v>
      </c>
      <c r="AF1195" s="5" t="b">
        <f ca="1">IFERROR(__xludf.DUMMYFUNCTION("""COMPUTED_VALUE"""),FALSE)</f>
        <v>0</v>
      </c>
      <c r="AG1195" s="5" t="str">
        <f ca="1">IFERROR(__xludf.DUMMYFUNCTION("""COMPUTED_VALUE"""),"INSPECCIONES REALIZADAS")</f>
        <v>INSPECCIONES REALIZADAS</v>
      </c>
      <c r="AH1195" s="5"/>
    </row>
    <row r="1196" spans="1:34">
      <c r="A1196" s="5" t="str">
        <f ca="1">IFERROR(__xludf.DUMMYFUNCTION("""COMPUTED_VALUE"""),"EQUIPOS PARA PREPARACION DE JARABE")</f>
        <v>EQUIPOS PARA PREPARACION DE JARABE</v>
      </c>
      <c r="B1196" s="5">
        <f ca="1">IFERROR(__xludf.DUMMYFUNCTION("""COMPUTED_VALUE"""),69963409)</f>
        <v>69963409</v>
      </c>
      <c r="C1196" s="5" t="str">
        <f ca="1">IFERROR(__xludf.DUMMYFUNCTION("""COMPUTED_VALUE"""),"TANQUE DE JARABE")</f>
        <v>TANQUE DE JARABE</v>
      </c>
      <c r="D1196" s="5">
        <f ca="1">IFERROR(__xludf.DUMMYFUNCTION("""COMPUTED_VALUE"""),13247457)</f>
        <v>13247457</v>
      </c>
      <c r="E1196" s="5" t="str">
        <f ca="1">IFERROR(__xludf.DUMMYFUNCTION("""COMPUTED_VALUE"""),"INSPECCION SEMANAL Tanque Jarabe 6")</f>
        <v>INSPECCION SEMANAL Tanque Jarabe 6</v>
      </c>
      <c r="F1196" s="5" t="str">
        <f ca="1">IFERROR(__xludf.DUMMYFUNCTION("""COMPUTED_VALUE"""),"INSP. BOMBAS EN GENERAL")</f>
        <v>INSP. BOMBAS EN GENERAL</v>
      </c>
      <c r="G1196" s="5" t="b">
        <f ca="1">IFERROR(__xludf.DUMMYFUNCTION("""COMPUTED_VALUE"""),TRUE)</f>
        <v>1</v>
      </c>
      <c r="H1196" s="5"/>
      <c r="I1196" s="5"/>
      <c r="J1196" s="5">
        <f ca="1">IFERROR(__xludf.DUMMYFUNCTION("""COMPUTED_VALUE"""),13247457)</f>
        <v>13247457</v>
      </c>
      <c r="K1196" s="5"/>
      <c r="L1196" s="18">
        <f ca="1">IFERROR(__xludf.DUMMYFUNCTION("""COMPUTED_VALUE"""),45325)</f>
        <v>45325</v>
      </c>
      <c r="M1196" s="18">
        <f ca="1">IFERROR(__xludf.DUMMYFUNCTION("""COMPUTED_VALUE"""),45325)</f>
        <v>45325</v>
      </c>
      <c r="N1196" s="5" t="str">
        <f ca="1">IFERROR(__xludf.DUMMYFUNCTION("""COMPUTED_VALUE"""),"Moreno Pernia Bladimir")</f>
        <v>Moreno Pernia Bladimir</v>
      </c>
      <c r="O1196" s="2">
        <f ca="1">IFERROR(__xludf.DUMMYFUNCTION("""COMPUTED_VALUE"""),0.02)</f>
        <v>0.02</v>
      </c>
      <c r="P1196" s="5">
        <f ca="1">IFERROR(__xludf.DUMMYFUNCTION("""COMPUTED_VALUE"""),20010003)</f>
        <v>20010003</v>
      </c>
      <c r="Q1196" s="5" t="str">
        <f ca="1">IFERROR(__xludf.DUMMYFUNCTION("""COMPUTED_VALUE"""),"2XSgp_NgfAQ")</f>
        <v>2XSgp_NgfAQ</v>
      </c>
      <c r="R1196" s="5">
        <f ca="1">IFERROR(__xludf.DUMMYFUNCTION("""COMPUTED_VALUE"""),410)</f>
        <v>410</v>
      </c>
      <c r="S1196" s="62">
        <f ca="1">IFERROR(__xludf.DUMMYFUNCTION("""COMPUTED_VALUE"""),0.02)</f>
        <v>0.02</v>
      </c>
      <c r="T1196" s="63" t="str">
        <f ca="1">IFERROR(__xludf.DUMMYFUNCTION("""COMPUTED_VALUE"""),"https://storage.googleapis.com/glide-prod.appspot.com/uploads-v2/ly7o78grxPaC6KdgvbpS/pub/3aRdSog0vUtuqPE8AJKD.png")</f>
        <v>https://storage.googleapis.com/glide-prod.appspot.com/uploads-v2/ly7o78grxPaC6KdgvbpS/pub/3aRdSog0vUtuqPE8AJKD.png</v>
      </c>
      <c r="U1196" s="5" t="str">
        <f ca="1">IFERROR(__xludf.DUMMYFUNCTION("""COMPUTED_VALUE"""),"EQUIPOS PARA PREPARACION DE JARABETANQUE DE JARABE")</f>
        <v>EQUIPOS PARA PREPARACION DE JARABETANQUE DE JARABE</v>
      </c>
      <c r="V1196" s="5"/>
      <c r="W1196" s="5" t="b">
        <f ca="1">IFERROR(__xludf.DUMMYFUNCTION("""COMPUTED_VALUE"""),TRUE)</f>
        <v>1</v>
      </c>
      <c r="X1196" s="5" t="str">
        <f ca="1">IFERROR(__xludf.DUMMYFUNCTION("""COMPUTED_VALUE"""),"efzapata@postobon.com.co,aprmttoyu@postobon.com.co,aprmyu@postobon.com.co,wmora@postobon.com.co,efzapata@postobon.com.co")</f>
        <v>efzapata@postobon.com.co,aprmttoyu@postobon.com.co,aprmyu@postobon.com.co,wmora@postobon.com.co,efzapata@postobon.com.co</v>
      </c>
      <c r="Y1196" s="5" t="str">
        <f ca="1">IFERROR(__xludf.DUMMYFUNCTION("""COMPUTED_VALUE"""),"efzapata@postobon.com.co")</f>
        <v>efzapata@postobon.com.co</v>
      </c>
      <c r="Z1196" s="5" t="str">
        <f ca="1">IFERROR(__xludf.DUMMYFUNCTION("""COMPUTED_VALUE"""),"VkhxyEGqRvyV.Sc-qRuKnQ")</f>
        <v>VkhxyEGqRvyV.Sc-qRuKnQ</v>
      </c>
      <c r="AA1196" s="5"/>
      <c r="AB1196" s="5"/>
      <c r="AC1196" s="5"/>
      <c r="AD1196" s="5">
        <f ca="1">IFERROR(__xludf.DUMMYFUNCTION("""COMPUTED_VALUE"""),35)</f>
        <v>35</v>
      </c>
      <c r="AE1196" s="5">
        <f ca="1">IFERROR(__xludf.DUMMYFUNCTION("""COMPUTED_VALUE"""),35)</f>
        <v>35</v>
      </c>
      <c r="AF1196" s="5" t="b">
        <f ca="1">IFERROR(__xludf.DUMMYFUNCTION("""COMPUTED_VALUE"""),FALSE)</f>
        <v>0</v>
      </c>
      <c r="AG1196" s="5" t="str">
        <f ca="1">IFERROR(__xludf.DUMMYFUNCTION("""COMPUTED_VALUE"""),"INSPECCIONES REALIZADAS")</f>
        <v>INSPECCIONES REALIZADAS</v>
      </c>
      <c r="AH1196" s="5"/>
    </row>
    <row r="1197" spans="1:34">
      <c r="A1197" s="5" t="str">
        <f ca="1">IFERROR(__xludf.DUMMYFUNCTION("""COMPUTED_VALUE"""),"EQUIPOS PARA PREPARACION DE JARABE")</f>
        <v>EQUIPOS PARA PREPARACION DE JARABE</v>
      </c>
      <c r="B1197" s="5">
        <f ca="1">IFERROR(__xludf.DUMMYFUNCTION("""COMPUTED_VALUE"""),69963409)</f>
        <v>69963409</v>
      </c>
      <c r="C1197" s="5" t="str">
        <f ca="1">IFERROR(__xludf.DUMMYFUNCTION("""COMPUTED_VALUE"""),"TANQUE DE JARABE")</f>
        <v>TANQUE DE JARABE</v>
      </c>
      <c r="D1197" s="5">
        <f ca="1">IFERROR(__xludf.DUMMYFUNCTION("""COMPUTED_VALUE"""),13247457)</f>
        <v>13247457</v>
      </c>
      <c r="E1197" s="5" t="str">
        <f ca="1">IFERROR(__xludf.DUMMYFUNCTION("""COMPUTED_VALUE"""),"INSPECCION SEMANAL Tanque Jarabe 6")</f>
        <v>INSPECCION SEMANAL Tanque Jarabe 6</v>
      </c>
      <c r="F1197" s="5" t="str">
        <f ca="1">IFERROR(__xludf.DUMMYFUNCTION("""COMPUTED_VALUE"""),"ESCAPES FLUIDOS(AGUA,AIRE,JARABE)")</f>
        <v>ESCAPES FLUIDOS(AGUA,AIRE,JARABE)</v>
      </c>
      <c r="G1197" s="5" t="b">
        <f ca="1">IFERROR(__xludf.DUMMYFUNCTION("""COMPUTED_VALUE"""),TRUE)</f>
        <v>1</v>
      </c>
      <c r="H1197" s="5"/>
      <c r="I1197" s="5"/>
      <c r="J1197" s="5">
        <f ca="1">IFERROR(__xludf.DUMMYFUNCTION("""COMPUTED_VALUE"""),13247457)</f>
        <v>13247457</v>
      </c>
      <c r="K1197" s="5"/>
      <c r="L1197" s="18">
        <f ca="1">IFERROR(__xludf.DUMMYFUNCTION("""COMPUTED_VALUE"""),45325)</f>
        <v>45325</v>
      </c>
      <c r="M1197" s="18">
        <f ca="1">IFERROR(__xludf.DUMMYFUNCTION("""COMPUTED_VALUE"""),45325)</f>
        <v>45325</v>
      </c>
      <c r="N1197" s="5" t="str">
        <f ca="1">IFERROR(__xludf.DUMMYFUNCTION("""COMPUTED_VALUE"""),"Moreno Pernia Bladimir")</f>
        <v>Moreno Pernia Bladimir</v>
      </c>
      <c r="O1197" s="2">
        <f ca="1">IFERROR(__xludf.DUMMYFUNCTION("""COMPUTED_VALUE"""),0.02)</f>
        <v>0.02</v>
      </c>
      <c r="P1197" s="5">
        <f ca="1">IFERROR(__xludf.DUMMYFUNCTION("""COMPUTED_VALUE"""),20010003)</f>
        <v>20010003</v>
      </c>
      <c r="Q1197" s="5" t="str">
        <f ca="1">IFERROR(__xludf.DUMMYFUNCTION("""COMPUTED_VALUE"""),"K0Hlxug67RE")</f>
        <v>K0Hlxug67RE</v>
      </c>
      <c r="R1197" s="5">
        <f ca="1">IFERROR(__xludf.DUMMYFUNCTION("""COMPUTED_VALUE"""),410)</f>
        <v>410</v>
      </c>
      <c r="S1197" s="62">
        <f ca="1">IFERROR(__xludf.DUMMYFUNCTION("""COMPUTED_VALUE"""),0.02)</f>
        <v>0.02</v>
      </c>
      <c r="T1197" s="63" t="str">
        <f ca="1">IFERROR(__xludf.DUMMYFUNCTION("""COMPUTED_VALUE"""),"https://storage.googleapis.com/glide-prod.appspot.com/uploads-v2/ly7o78grxPaC6KdgvbpS/pub/3aRdSog0vUtuqPE8AJKD.png")</f>
        <v>https://storage.googleapis.com/glide-prod.appspot.com/uploads-v2/ly7o78grxPaC6KdgvbpS/pub/3aRdSog0vUtuqPE8AJKD.png</v>
      </c>
      <c r="U1197" s="5" t="str">
        <f ca="1">IFERROR(__xludf.DUMMYFUNCTION("""COMPUTED_VALUE"""),"EQUIPOS PARA PREPARACION DE JARABETANQUE DE JARABE")</f>
        <v>EQUIPOS PARA PREPARACION DE JARABETANQUE DE JARABE</v>
      </c>
      <c r="V1197" s="5"/>
      <c r="W1197" s="5" t="b">
        <f ca="1">IFERROR(__xludf.DUMMYFUNCTION("""COMPUTED_VALUE"""),TRUE)</f>
        <v>1</v>
      </c>
      <c r="X1197" s="5" t="str">
        <f ca="1">IFERROR(__xludf.DUMMYFUNCTION("""COMPUTED_VALUE"""),"efzapata@postobon.com.co,aprmttoyu@postobon.com.co,aprmyu@postobon.com.co,wmora@postobon.com.co,efzapata@postobon.com.co")</f>
        <v>efzapata@postobon.com.co,aprmttoyu@postobon.com.co,aprmyu@postobon.com.co,wmora@postobon.com.co,efzapata@postobon.com.co</v>
      </c>
      <c r="Y1197" s="5" t="str">
        <f ca="1">IFERROR(__xludf.DUMMYFUNCTION("""COMPUTED_VALUE"""),"efzapata@postobon.com.co")</f>
        <v>efzapata@postobon.com.co</v>
      </c>
      <c r="Z1197" s="5" t="str">
        <f ca="1">IFERROR(__xludf.DUMMYFUNCTION("""COMPUTED_VALUE"""),"3m5Bm2FCQJaa5Kycm.ARNg")</f>
        <v>3m5Bm2FCQJaa5Kycm.ARNg</v>
      </c>
      <c r="AA1197" s="5"/>
      <c r="AB1197" s="5"/>
      <c r="AC1197" s="5"/>
      <c r="AD1197" s="5">
        <f ca="1">IFERROR(__xludf.DUMMYFUNCTION("""COMPUTED_VALUE"""),35)</f>
        <v>35</v>
      </c>
      <c r="AE1197" s="5">
        <f ca="1">IFERROR(__xludf.DUMMYFUNCTION("""COMPUTED_VALUE"""),35)</f>
        <v>35</v>
      </c>
      <c r="AF1197" s="5" t="b">
        <f ca="1">IFERROR(__xludf.DUMMYFUNCTION("""COMPUTED_VALUE"""),FALSE)</f>
        <v>0</v>
      </c>
      <c r="AG1197" s="5" t="str">
        <f ca="1">IFERROR(__xludf.DUMMYFUNCTION("""COMPUTED_VALUE"""),"INSPECCIONES REALIZADAS")</f>
        <v>INSPECCIONES REALIZADAS</v>
      </c>
      <c r="AH1197" s="5"/>
    </row>
    <row r="1198" spans="1:34">
      <c r="A1198" s="5" t="str">
        <f ca="1">IFERROR(__xludf.DUMMYFUNCTION("""COMPUTED_VALUE"""),"EQUIPOS PARA PREPARACION DE JARABE")</f>
        <v>EQUIPOS PARA PREPARACION DE JARABE</v>
      </c>
      <c r="B1198" s="5">
        <f ca="1">IFERROR(__xludf.DUMMYFUNCTION("""COMPUTED_VALUE"""),69963409)</f>
        <v>69963409</v>
      </c>
      <c r="C1198" s="5" t="str">
        <f ca="1">IFERROR(__xludf.DUMMYFUNCTION("""COMPUTED_VALUE"""),"TANQUE DE JARABE")</f>
        <v>TANQUE DE JARABE</v>
      </c>
      <c r="D1198" s="5">
        <f ca="1">IFERROR(__xludf.DUMMYFUNCTION("""COMPUTED_VALUE"""),13247457)</f>
        <v>13247457</v>
      </c>
      <c r="E1198" s="5" t="str">
        <f ca="1">IFERROR(__xludf.DUMMYFUNCTION("""COMPUTED_VALUE"""),"INSPECCION SEMANAL Tanque Jarabe 6")</f>
        <v>INSPECCION SEMANAL Tanque Jarabe 6</v>
      </c>
      <c r="F1198" s="5" t="str">
        <f ca="1">IFERROR(__xludf.DUMMYFUNCTION("""COMPUTED_VALUE"""),"VERIFICAR ESTADO PIEZAS TANQUES (QUE LAS PIEZAS ESTEN COMPLETAS Y EN BUEN ESTADO)")</f>
        <v>VERIFICAR ESTADO PIEZAS TANQUES (QUE LAS PIEZAS ESTEN COMPLETAS Y EN BUEN ESTADO)</v>
      </c>
      <c r="G1198" s="5" t="b">
        <f ca="1">IFERROR(__xludf.DUMMYFUNCTION("""COMPUTED_VALUE"""),TRUE)</f>
        <v>1</v>
      </c>
      <c r="H1198" s="5"/>
      <c r="I1198" s="5"/>
      <c r="J1198" s="5">
        <f ca="1">IFERROR(__xludf.DUMMYFUNCTION("""COMPUTED_VALUE"""),13247457)</f>
        <v>13247457</v>
      </c>
      <c r="K1198" s="5"/>
      <c r="L1198" s="18">
        <f ca="1">IFERROR(__xludf.DUMMYFUNCTION("""COMPUTED_VALUE"""),45325)</f>
        <v>45325</v>
      </c>
      <c r="M1198" s="18">
        <f ca="1">IFERROR(__xludf.DUMMYFUNCTION("""COMPUTED_VALUE"""),45325)</f>
        <v>45325</v>
      </c>
      <c r="N1198" s="5" t="str">
        <f ca="1">IFERROR(__xludf.DUMMYFUNCTION("""COMPUTED_VALUE"""),"Moreno Pernia Bladimir")</f>
        <v>Moreno Pernia Bladimir</v>
      </c>
      <c r="O1198" s="2">
        <f ca="1">IFERROR(__xludf.DUMMYFUNCTION("""COMPUTED_VALUE"""),0.02)</f>
        <v>0.02</v>
      </c>
      <c r="P1198" s="5">
        <f ca="1">IFERROR(__xludf.DUMMYFUNCTION("""COMPUTED_VALUE"""),20010003)</f>
        <v>20010003</v>
      </c>
      <c r="Q1198" s="5" t="str">
        <f ca="1">IFERROR(__xludf.DUMMYFUNCTION("""COMPUTED_VALUE"""),"xtmdlRde3Bo")</f>
        <v>xtmdlRde3Bo</v>
      </c>
      <c r="R1198" s="5">
        <f ca="1">IFERROR(__xludf.DUMMYFUNCTION("""COMPUTED_VALUE"""),410)</f>
        <v>410</v>
      </c>
      <c r="S1198" s="62">
        <f ca="1">IFERROR(__xludf.DUMMYFUNCTION("""COMPUTED_VALUE"""),0.02)</f>
        <v>0.02</v>
      </c>
      <c r="T1198" s="63" t="str">
        <f ca="1">IFERROR(__xludf.DUMMYFUNCTION("""COMPUTED_VALUE"""),"https://storage.googleapis.com/glide-prod.appspot.com/uploads-v2/ly7o78grxPaC6KdgvbpS/pub/3aRdSog0vUtuqPE8AJKD.png")</f>
        <v>https://storage.googleapis.com/glide-prod.appspot.com/uploads-v2/ly7o78grxPaC6KdgvbpS/pub/3aRdSog0vUtuqPE8AJKD.png</v>
      </c>
      <c r="U1198" s="5" t="str">
        <f ca="1">IFERROR(__xludf.DUMMYFUNCTION("""COMPUTED_VALUE"""),"EQUIPOS PARA PREPARACION DE JARABETANQUE DE JARABE")</f>
        <v>EQUIPOS PARA PREPARACION DE JARABETANQUE DE JARABE</v>
      </c>
      <c r="V1198" s="5"/>
      <c r="W1198" s="5" t="b">
        <f ca="1">IFERROR(__xludf.DUMMYFUNCTION("""COMPUTED_VALUE"""),TRUE)</f>
        <v>1</v>
      </c>
      <c r="X1198" s="5" t="str">
        <f ca="1">IFERROR(__xludf.DUMMYFUNCTION("""COMPUTED_VALUE"""),"efzapata@postobon.com.co,aprmttoyu@postobon.com.co,aprmyu@postobon.com.co,wmora@postobon.com.co,efzapata@postobon.com.co")</f>
        <v>efzapata@postobon.com.co,aprmttoyu@postobon.com.co,aprmyu@postobon.com.co,wmora@postobon.com.co,efzapata@postobon.com.co</v>
      </c>
      <c r="Y1198" s="5" t="str">
        <f ca="1">IFERROR(__xludf.DUMMYFUNCTION("""COMPUTED_VALUE"""),"efzapata@postobon.com.co")</f>
        <v>efzapata@postobon.com.co</v>
      </c>
      <c r="Z1198" s="5" t="str">
        <f ca="1">IFERROR(__xludf.DUMMYFUNCTION("""COMPUTED_VALUE"""),"7ErTd9FtSHGDD43Ca95Fhg")</f>
        <v>7ErTd9FtSHGDD43Ca95Fhg</v>
      </c>
      <c r="AA1198" s="5"/>
      <c r="AB1198" s="5"/>
      <c r="AC1198" s="5"/>
      <c r="AD1198" s="5">
        <f ca="1">IFERROR(__xludf.DUMMYFUNCTION("""COMPUTED_VALUE"""),35)</f>
        <v>35</v>
      </c>
      <c r="AE1198" s="5">
        <f ca="1">IFERROR(__xludf.DUMMYFUNCTION("""COMPUTED_VALUE"""),35)</f>
        <v>35</v>
      </c>
      <c r="AF1198" s="5" t="b">
        <f ca="1">IFERROR(__xludf.DUMMYFUNCTION("""COMPUTED_VALUE"""),FALSE)</f>
        <v>0</v>
      </c>
      <c r="AG1198" s="5" t="str">
        <f ca="1">IFERROR(__xludf.DUMMYFUNCTION("""COMPUTED_VALUE"""),"INSPECCIONES REALIZADAS")</f>
        <v>INSPECCIONES REALIZADAS</v>
      </c>
      <c r="AH1198" s="5"/>
    </row>
    <row r="1199" spans="1:34">
      <c r="A1199" s="5" t="str">
        <f ca="1">IFERROR(__xludf.DUMMYFUNCTION("""COMPUTED_VALUE"""),"EQUIPOS PARA PREPARACION DE JARABE")</f>
        <v>EQUIPOS PARA PREPARACION DE JARABE</v>
      </c>
      <c r="B1199" s="5">
        <f ca="1">IFERROR(__xludf.DUMMYFUNCTION("""COMPUTED_VALUE"""),69963409)</f>
        <v>69963409</v>
      </c>
      <c r="C1199" s="5" t="str">
        <f ca="1">IFERROR(__xludf.DUMMYFUNCTION("""COMPUTED_VALUE"""),"TANQUE DE JARABE")</f>
        <v>TANQUE DE JARABE</v>
      </c>
      <c r="D1199" s="5">
        <f ca="1">IFERROR(__xludf.DUMMYFUNCTION("""COMPUTED_VALUE"""),13247457)</f>
        <v>13247457</v>
      </c>
      <c r="E1199" s="5" t="str">
        <f ca="1">IFERROR(__xludf.DUMMYFUNCTION("""COMPUTED_VALUE"""),"INSPECCION SEMANAL Tanque Jarabe 6")</f>
        <v>INSPECCION SEMANAL Tanque Jarabe 6</v>
      </c>
      <c r="F1199" s="5" t="str">
        <f ca="1">IFERROR(__xludf.DUMMYFUNCTION("""COMPUTED_VALUE"""),"MTTO MEC TK JARABE 6 JARABE TERMINADO")</f>
        <v>MTTO MEC TK JARABE 6 JARABE TERMINADO</v>
      </c>
      <c r="G1199" s="5" t="b">
        <f ca="1">IFERROR(__xludf.DUMMYFUNCTION("""COMPUTED_VALUE"""),TRUE)</f>
        <v>1</v>
      </c>
      <c r="H1199" s="5"/>
      <c r="I1199" s="5"/>
      <c r="J1199" s="5">
        <f ca="1">IFERROR(__xludf.DUMMYFUNCTION("""COMPUTED_VALUE"""),13247457)</f>
        <v>13247457</v>
      </c>
      <c r="K1199" s="5"/>
      <c r="L1199" s="18">
        <f ca="1">IFERROR(__xludf.DUMMYFUNCTION("""COMPUTED_VALUE"""),45325)</f>
        <v>45325</v>
      </c>
      <c r="M1199" s="18">
        <f ca="1">IFERROR(__xludf.DUMMYFUNCTION("""COMPUTED_VALUE"""),45325)</f>
        <v>45325</v>
      </c>
      <c r="N1199" s="5" t="str">
        <f ca="1">IFERROR(__xludf.DUMMYFUNCTION("""COMPUTED_VALUE"""),"Moreno Pernia Bladimir")</f>
        <v>Moreno Pernia Bladimir</v>
      </c>
      <c r="O1199" s="2">
        <f ca="1">IFERROR(__xludf.DUMMYFUNCTION("""COMPUTED_VALUE"""),0.02)</f>
        <v>0.02</v>
      </c>
      <c r="P1199" s="5">
        <f ca="1">IFERROR(__xludf.DUMMYFUNCTION("""COMPUTED_VALUE"""),20010003)</f>
        <v>20010003</v>
      </c>
      <c r="Q1199" s="5" t="str">
        <f ca="1">IFERROR(__xludf.DUMMYFUNCTION("""COMPUTED_VALUE"""),"GZvuoKmONcA")</f>
        <v>GZvuoKmONcA</v>
      </c>
      <c r="R1199" s="5">
        <f ca="1">IFERROR(__xludf.DUMMYFUNCTION("""COMPUTED_VALUE"""),410)</f>
        <v>410</v>
      </c>
      <c r="S1199" s="62">
        <f ca="1">IFERROR(__xludf.DUMMYFUNCTION("""COMPUTED_VALUE"""),0.02)</f>
        <v>0.02</v>
      </c>
      <c r="T1199" s="63" t="str">
        <f ca="1">IFERROR(__xludf.DUMMYFUNCTION("""COMPUTED_VALUE"""),"https://storage.googleapis.com/glide-prod.appspot.com/uploads-v2/ly7o78grxPaC6KdgvbpS/pub/3aRdSog0vUtuqPE8AJKD.png")</f>
        <v>https://storage.googleapis.com/glide-prod.appspot.com/uploads-v2/ly7o78grxPaC6KdgvbpS/pub/3aRdSog0vUtuqPE8AJKD.png</v>
      </c>
      <c r="U1199" s="5" t="str">
        <f ca="1">IFERROR(__xludf.DUMMYFUNCTION("""COMPUTED_VALUE"""),"EQUIPOS PARA PREPARACION DE JARABETANQUE DE JARABE")</f>
        <v>EQUIPOS PARA PREPARACION DE JARABETANQUE DE JARABE</v>
      </c>
      <c r="V1199" s="5"/>
      <c r="W1199" s="5" t="b">
        <f ca="1">IFERROR(__xludf.DUMMYFUNCTION("""COMPUTED_VALUE"""),TRUE)</f>
        <v>1</v>
      </c>
      <c r="X1199" s="5" t="str">
        <f ca="1">IFERROR(__xludf.DUMMYFUNCTION("""COMPUTED_VALUE"""),"efzapata@postobon.com.co,aprmttoyu@postobon.com.co,aprmyu@postobon.com.co,wmora@postobon.com.co,efzapata@postobon.com.co")</f>
        <v>efzapata@postobon.com.co,aprmttoyu@postobon.com.co,aprmyu@postobon.com.co,wmora@postobon.com.co,efzapata@postobon.com.co</v>
      </c>
      <c r="Y1199" s="5" t="str">
        <f ca="1">IFERROR(__xludf.DUMMYFUNCTION("""COMPUTED_VALUE"""),"efzapata@postobon.com.co")</f>
        <v>efzapata@postobon.com.co</v>
      </c>
      <c r="Z1199" s="5" t="str">
        <f ca="1">IFERROR(__xludf.DUMMYFUNCTION("""COMPUTED_VALUE"""),"bKI6p5LDQE-cpD3EEFMbRA")</f>
        <v>bKI6p5LDQE-cpD3EEFMbRA</v>
      </c>
      <c r="AA1199" s="5"/>
      <c r="AB1199" s="5"/>
      <c r="AC1199" s="5"/>
      <c r="AD1199" s="5">
        <f ca="1">IFERROR(__xludf.DUMMYFUNCTION("""COMPUTED_VALUE"""),35)</f>
        <v>35</v>
      </c>
      <c r="AE1199" s="5">
        <f ca="1">IFERROR(__xludf.DUMMYFUNCTION("""COMPUTED_VALUE"""),35)</f>
        <v>35</v>
      </c>
      <c r="AF1199" s="5" t="b">
        <f ca="1">IFERROR(__xludf.DUMMYFUNCTION("""COMPUTED_VALUE"""),FALSE)</f>
        <v>0</v>
      </c>
      <c r="AG1199" s="5" t="str">
        <f ca="1">IFERROR(__xludf.DUMMYFUNCTION("""COMPUTED_VALUE"""),"INSPECCIONES REALIZADAS")</f>
        <v>INSPECCIONES REALIZADAS</v>
      </c>
      <c r="AH1199" s="5"/>
    </row>
    <row r="1200" spans="1:34">
      <c r="A1200" s="5" t="str">
        <f ca="1">IFERROR(__xludf.DUMMYFUNCTION("""COMPUTED_VALUE"""),"EQUIPOS PARA PREPARACION DE JARABE")</f>
        <v>EQUIPOS PARA PREPARACION DE JARABE</v>
      </c>
      <c r="B1200" s="5">
        <f ca="1">IFERROR(__xludf.DUMMYFUNCTION("""COMPUTED_VALUE"""),69963410)</f>
        <v>69963410</v>
      </c>
      <c r="C1200" s="5" t="str">
        <f ca="1">IFERROR(__xludf.DUMMYFUNCTION("""COMPUTED_VALUE"""),"TANQUE DE JARABE")</f>
        <v>TANQUE DE JARABE</v>
      </c>
      <c r="D1200" s="5">
        <f ca="1">IFERROR(__xludf.DUMMYFUNCTION("""COMPUTED_VALUE"""),13247458)</f>
        <v>13247458</v>
      </c>
      <c r="E1200" s="5" t="str">
        <f ca="1">IFERROR(__xludf.DUMMYFUNCTION("""COMPUTED_VALUE"""),"INSPECCION SEMANAL Tanque Jarabe 7")</f>
        <v>INSPECCION SEMANAL Tanque Jarabe 7</v>
      </c>
      <c r="F1200" s="5" t="str">
        <f ca="1">IFERROR(__xludf.DUMMYFUNCTION("""COMPUTED_VALUE"""),"REVISAR ESTADO TANQUE,TUBERIAS, VALVULAS")</f>
        <v>REVISAR ESTADO TANQUE,TUBERIAS, VALVULAS</v>
      </c>
      <c r="G1200" s="5" t="b">
        <f ca="1">IFERROR(__xludf.DUMMYFUNCTION("""COMPUTED_VALUE"""),TRUE)</f>
        <v>1</v>
      </c>
      <c r="H1200" s="5"/>
      <c r="I1200" s="5"/>
      <c r="J1200" s="5">
        <f ca="1">IFERROR(__xludf.DUMMYFUNCTION("""COMPUTED_VALUE"""),13247458)</f>
        <v>13247458</v>
      </c>
      <c r="K1200" s="5"/>
      <c r="L1200" s="18">
        <f ca="1">IFERROR(__xludf.DUMMYFUNCTION("""COMPUTED_VALUE"""),45324)</f>
        <v>45324</v>
      </c>
      <c r="M1200" s="18">
        <f ca="1">IFERROR(__xludf.DUMMYFUNCTION("""COMPUTED_VALUE"""),45324)</f>
        <v>45324</v>
      </c>
      <c r="N1200" s="5" t="str">
        <f ca="1">IFERROR(__xludf.DUMMYFUNCTION("""COMPUTED_VALUE"""),"Moreno Pernia Bladimir")</f>
        <v>Moreno Pernia Bladimir</v>
      </c>
      <c r="O1200" s="2">
        <f ca="1">IFERROR(__xludf.DUMMYFUNCTION("""COMPUTED_VALUE"""),0.02)</f>
        <v>0.02</v>
      </c>
      <c r="P1200" s="5">
        <f ca="1">IFERROR(__xludf.DUMMYFUNCTION("""COMPUTED_VALUE"""),20010003)</f>
        <v>20010003</v>
      </c>
      <c r="Q1200" s="5" t="str">
        <f ca="1">IFERROR(__xludf.DUMMYFUNCTION("""COMPUTED_VALUE"""),"oBtYlUMNdb8")</f>
        <v>oBtYlUMNdb8</v>
      </c>
      <c r="R1200" s="5">
        <f ca="1">IFERROR(__xludf.DUMMYFUNCTION("""COMPUTED_VALUE"""),410)</f>
        <v>410</v>
      </c>
      <c r="S1200" s="62">
        <f ca="1">IFERROR(__xludf.DUMMYFUNCTION("""COMPUTED_VALUE"""),0.02)</f>
        <v>0.02</v>
      </c>
      <c r="T1200" s="63" t="str">
        <f ca="1">IFERROR(__xludf.DUMMYFUNCTION("""COMPUTED_VALUE"""),"https://storage.googleapis.com/glide-prod.appspot.com/uploads-v2/ly7o78grxPaC6KdgvbpS/pub/3aRdSog0vUtuqPE8AJKD.png")</f>
        <v>https://storage.googleapis.com/glide-prod.appspot.com/uploads-v2/ly7o78grxPaC6KdgvbpS/pub/3aRdSog0vUtuqPE8AJKD.png</v>
      </c>
      <c r="U1200" s="5" t="str">
        <f ca="1">IFERROR(__xludf.DUMMYFUNCTION("""COMPUTED_VALUE"""),"EQUIPOS PARA PREPARACION DE JARABETANQUE DE JARABE")</f>
        <v>EQUIPOS PARA PREPARACION DE JARABETANQUE DE JARABE</v>
      </c>
      <c r="V1200" s="5"/>
      <c r="W1200" s="5" t="b">
        <f ca="1">IFERROR(__xludf.DUMMYFUNCTION("""COMPUTED_VALUE"""),TRUE)</f>
        <v>1</v>
      </c>
      <c r="X1200" s="5" t="str">
        <f ca="1">IFERROR(__xludf.DUMMYFUNCTION("""COMPUTED_VALUE"""),"efzapata@postobon.com.co,aprmttoyu@postobon.com.co,aprmyu@postobon.com.co,wmora@postobon.com.co,efzapata@postobon.com.co")</f>
        <v>efzapata@postobon.com.co,aprmttoyu@postobon.com.co,aprmyu@postobon.com.co,wmora@postobon.com.co,efzapata@postobon.com.co</v>
      </c>
      <c r="Y1200" s="5" t="str">
        <f ca="1">IFERROR(__xludf.DUMMYFUNCTION("""COMPUTED_VALUE"""),"efzapata@postobon.com.co")</f>
        <v>efzapata@postobon.com.co</v>
      </c>
      <c r="Z1200" s="5" t="str">
        <f ca="1">IFERROR(__xludf.DUMMYFUNCTION("""COMPUTED_VALUE"""),"KBxNrtchRdKT3Twacb1eoQ")</f>
        <v>KBxNrtchRdKT3Twacb1eoQ</v>
      </c>
      <c r="AA1200" s="5"/>
      <c r="AB1200" s="5"/>
      <c r="AC1200" s="5"/>
      <c r="AD1200" s="5">
        <f ca="1">IFERROR(__xludf.DUMMYFUNCTION("""COMPUTED_VALUE"""),35)</f>
        <v>35</v>
      </c>
      <c r="AE1200" s="5">
        <f ca="1">IFERROR(__xludf.DUMMYFUNCTION("""COMPUTED_VALUE"""),35)</f>
        <v>35</v>
      </c>
      <c r="AF1200" s="5" t="b">
        <f ca="1">IFERROR(__xludf.DUMMYFUNCTION("""COMPUTED_VALUE"""),FALSE)</f>
        <v>0</v>
      </c>
      <c r="AG1200" s="5" t="str">
        <f ca="1">IFERROR(__xludf.DUMMYFUNCTION("""COMPUTED_VALUE"""),"INSPECCIONES REALIZADAS")</f>
        <v>INSPECCIONES REALIZADAS</v>
      </c>
      <c r="AH1200" s="5"/>
    </row>
    <row r="1201" spans="1:34">
      <c r="A1201" s="5" t="str">
        <f ca="1">IFERROR(__xludf.DUMMYFUNCTION("""COMPUTED_VALUE"""),"EQUIPOS PARA PREPARACION DE JARABE")</f>
        <v>EQUIPOS PARA PREPARACION DE JARABE</v>
      </c>
      <c r="B1201" s="5">
        <f ca="1">IFERROR(__xludf.DUMMYFUNCTION("""COMPUTED_VALUE"""),69963410)</f>
        <v>69963410</v>
      </c>
      <c r="C1201" s="5" t="str">
        <f ca="1">IFERROR(__xludf.DUMMYFUNCTION("""COMPUTED_VALUE"""),"TANQUE DE JARABE")</f>
        <v>TANQUE DE JARABE</v>
      </c>
      <c r="D1201" s="5">
        <f ca="1">IFERROR(__xludf.DUMMYFUNCTION("""COMPUTED_VALUE"""),13247458)</f>
        <v>13247458</v>
      </c>
      <c r="E1201" s="5" t="str">
        <f ca="1">IFERROR(__xludf.DUMMYFUNCTION("""COMPUTED_VALUE"""),"INSPECCION SEMANAL Tanque Jarabe 7")</f>
        <v>INSPECCION SEMANAL Tanque Jarabe 7</v>
      </c>
      <c r="F1201" s="5" t="str">
        <f ca="1">IFERROR(__xludf.DUMMYFUNCTION("""COMPUTED_VALUE"""),"INSP. BOMBAS EN GENERAL")</f>
        <v>INSP. BOMBAS EN GENERAL</v>
      </c>
      <c r="G1201" s="5" t="b">
        <f ca="1">IFERROR(__xludf.DUMMYFUNCTION("""COMPUTED_VALUE"""),TRUE)</f>
        <v>1</v>
      </c>
      <c r="H1201" s="5"/>
      <c r="I1201" s="5"/>
      <c r="J1201" s="5">
        <f ca="1">IFERROR(__xludf.DUMMYFUNCTION("""COMPUTED_VALUE"""),13247458)</f>
        <v>13247458</v>
      </c>
      <c r="K1201" s="5"/>
      <c r="L1201" s="18">
        <f ca="1">IFERROR(__xludf.DUMMYFUNCTION("""COMPUTED_VALUE"""),45324)</f>
        <v>45324</v>
      </c>
      <c r="M1201" s="18">
        <f ca="1">IFERROR(__xludf.DUMMYFUNCTION("""COMPUTED_VALUE"""),45324)</f>
        <v>45324</v>
      </c>
      <c r="N1201" s="5" t="str">
        <f ca="1">IFERROR(__xludf.DUMMYFUNCTION("""COMPUTED_VALUE"""),"Moreno Pernia Bladimir")</f>
        <v>Moreno Pernia Bladimir</v>
      </c>
      <c r="O1201" s="2">
        <f ca="1">IFERROR(__xludf.DUMMYFUNCTION("""COMPUTED_VALUE"""),0.02)</f>
        <v>0.02</v>
      </c>
      <c r="P1201" s="5">
        <f ca="1">IFERROR(__xludf.DUMMYFUNCTION("""COMPUTED_VALUE"""),20010003)</f>
        <v>20010003</v>
      </c>
      <c r="Q1201" s="5" t="str">
        <f ca="1">IFERROR(__xludf.DUMMYFUNCTION("""COMPUTED_VALUE"""),"FM1z1cp5GXM")</f>
        <v>FM1z1cp5GXM</v>
      </c>
      <c r="R1201" s="5">
        <f ca="1">IFERROR(__xludf.DUMMYFUNCTION("""COMPUTED_VALUE"""),410)</f>
        <v>410</v>
      </c>
      <c r="S1201" s="62">
        <f ca="1">IFERROR(__xludf.DUMMYFUNCTION("""COMPUTED_VALUE"""),0.02)</f>
        <v>0.02</v>
      </c>
      <c r="T1201" s="63" t="str">
        <f ca="1">IFERROR(__xludf.DUMMYFUNCTION("""COMPUTED_VALUE"""),"https://storage.googleapis.com/glide-prod.appspot.com/uploads-v2/ly7o78grxPaC6KdgvbpS/pub/3aRdSog0vUtuqPE8AJKD.png")</f>
        <v>https://storage.googleapis.com/glide-prod.appspot.com/uploads-v2/ly7o78grxPaC6KdgvbpS/pub/3aRdSog0vUtuqPE8AJKD.png</v>
      </c>
      <c r="U1201" s="5" t="str">
        <f ca="1">IFERROR(__xludf.DUMMYFUNCTION("""COMPUTED_VALUE"""),"EQUIPOS PARA PREPARACION DE JARABETANQUE DE JARABE")</f>
        <v>EQUIPOS PARA PREPARACION DE JARABETANQUE DE JARABE</v>
      </c>
      <c r="V1201" s="5"/>
      <c r="W1201" s="5" t="b">
        <f ca="1">IFERROR(__xludf.DUMMYFUNCTION("""COMPUTED_VALUE"""),TRUE)</f>
        <v>1</v>
      </c>
      <c r="X1201" s="5" t="str">
        <f ca="1">IFERROR(__xludf.DUMMYFUNCTION("""COMPUTED_VALUE"""),"efzapata@postobon.com.co,aprmttoyu@postobon.com.co,aprmyu@postobon.com.co,wmora@postobon.com.co,efzapata@postobon.com.co")</f>
        <v>efzapata@postobon.com.co,aprmttoyu@postobon.com.co,aprmyu@postobon.com.co,wmora@postobon.com.co,efzapata@postobon.com.co</v>
      </c>
      <c r="Y1201" s="5" t="str">
        <f ca="1">IFERROR(__xludf.DUMMYFUNCTION("""COMPUTED_VALUE"""),"efzapata@postobon.com.co")</f>
        <v>efzapata@postobon.com.co</v>
      </c>
      <c r="Z1201" s="5" t="str">
        <f ca="1">IFERROR(__xludf.DUMMYFUNCTION("""COMPUTED_VALUE"""),"01ANnlVlSPWT92mxWvaFrg")</f>
        <v>01ANnlVlSPWT92mxWvaFrg</v>
      </c>
      <c r="AA1201" s="5"/>
      <c r="AB1201" s="5"/>
      <c r="AC1201" s="5"/>
      <c r="AD1201" s="5">
        <f ca="1">IFERROR(__xludf.DUMMYFUNCTION("""COMPUTED_VALUE"""),35)</f>
        <v>35</v>
      </c>
      <c r="AE1201" s="5">
        <f ca="1">IFERROR(__xludf.DUMMYFUNCTION("""COMPUTED_VALUE"""),35)</f>
        <v>35</v>
      </c>
      <c r="AF1201" s="5" t="b">
        <f ca="1">IFERROR(__xludf.DUMMYFUNCTION("""COMPUTED_VALUE"""),FALSE)</f>
        <v>0</v>
      </c>
      <c r="AG1201" s="5" t="str">
        <f ca="1">IFERROR(__xludf.DUMMYFUNCTION("""COMPUTED_VALUE"""),"INSPECCIONES REALIZADAS")</f>
        <v>INSPECCIONES REALIZADAS</v>
      </c>
      <c r="AH1201" s="5"/>
    </row>
    <row r="1202" spans="1:34">
      <c r="A1202" s="5" t="str">
        <f ca="1">IFERROR(__xludf.DUMMYFUNCTION("""COMPUTED_VALUE"""),"EQUIPOS PARA PREPARACION DE JARABE")</f>
        <v>EQUIPOS PARA PREPARACION DE JARABE</v>
      </c>
      <c r="B1202" s="5">
        <f ca="1">IFERROR(__xludf.DUMMYFUNCTION("""COMPUTED_VALUE"""),69963410)</f>
        <v>69963410</v>
      </c>
      <c r="C1202" s="5" t="str">
        <f ca="1">IFERROR(__xludf.DUMMYFUNCTION("""COMPUTED_VALUE"""),"TANQUE DE JARABE")</f>
        <v>TANQUE DE JARABE</v>
      </c>
      <c r="D1202" s="5">
        <f ca="1">IFERROR(__xludf.DUMMYFUNCTION("""COMPUTED_VALUE"""),13247458)</f>
        <v>13247458</v>
      </c>
      <c r="E1202" s="5" t="str">
        <f ca="1">IFERROR(__xludf.DUMMYFUNCTION("""COMPUTED_VALUE"""),"INSPECCION SEMANAL Tanque Jarabe 7")</f>
        <v>INSPECCION SEMANAL Tanque Jarabe 7</v>
      </c>
      <c r="F1202" s="5" t="str">
        <f ca="1">IFERROR(__xludf.DUMMYFUNCTION("""COMPUTED_VALUE"""),"ESCAPES FLUIDOS(AGUA,AIRE,JARABE)")</f>
        <v>ESCAPES FLUIDOS(AGUA,AIRE,JARABE)</v>
      </c>
      <c r="G1202" s="5" t="b">
        <f ca="1">IFERROR(__xludf.DUMMYFUNCTION("""COMPUTED_VALUE"""),TRUE)</f>
        <v>1</v>
      </c>
      <c r="H1202" s="5"/>
      <c r="I1202" s="5"/>
      <c r="J1202" s="5">
        <f ca="1">IFERROR(__xludf.DUMMYFUNCTION("""COMPUTED_VALUE"""),13247458)</f>
        <v>13247458</v>
      </c>
      <c r="K1202" s="5"/>
      <c r="L1202" s="18">
        <f ca="1">IFERROR(__xludf.DUMMYFUNCTION("""COMPUTED_VALUE"""),45324)</f>
        <v>45324</v>
      </c>
      <c r="M1202" s="18">
        <f ca="1">IFERROR(__xludf.DUMMYFUNCTION("""COMPUTED_VALUE"""),45324)</f>
        <v>45324</v>
      </c>
      <c r="N1202" s="5" t="str">
        <f ca="1">IFERROR(__xludf.DUMMYFUNCTION("""COMPUTED_VALUE"""),"Moreno Pernia Bladimir")</f>
        <v>Moreno Pernia Bladimir</v>
      </c>
      <c r="O1202" s="2">
        <f ca="1">IFERROR(__xludf.DUMMYFUNCTION("""COMPUTED_VALUE"""),0.02)</f>
        <v>0.02</v>
      </c>
      <c r="P1202" s="5">
        <f ca="1">IFERROR(__xludf.DUMMYFUNCTION("""COMPUTED_VALUE"""),20010003)</f>
        <v>20010003</v>
      </c>
      <c r="Q1202" s="5" t="str">
        <f ca="1">IFERROR(__xludf.DUMMYFUNCTION("""COMPUTED_VALUE"""),"myv_UPvQ9U4")</f>
        <v>myv_UPvQ9U4</v>
      </c>
      <c r="R1202" s="5">
        <f ca="1">IFERROR(__xludf.DUMMYFUNCTION("""COMPUTED_VALUE"""),410)</f>
        <v>410</v>
      </c>
      <c r="S1202" s="62">
        <f ca="1">IFERROR(__xludf.DUMMYFUNCTION("""COMPUTED_VALUE"""),0.02)</f>
        <v>0.02</v>
      </c>
      <c r="T1202" s="63" t="str">
        <f ca="1">IFERROR(__xludf.DUMMYFUNCTION("""COMPUTED_VALUE"""),"https://storage.googleapis.com/glide-prod.appspot.com/uploads-v2/ly7o78grxPaC6KdgvbpS/pub/3aRdSog0vUtuqPE8AJKD.png")</f>
        <v>https://storage.googleapis.com/glide-prod.appspot.com/uploads-v2/ly7o78grxPaC6KdgvbpS/pub/3aRdSog0vUtuqPE8AJKD.png</v>
      </c>
      <c r="U1202" s="5" t="str">
        <f ca="1">IFERROR(__xludf.DUMMYFUNCTION("""COMPUTED_VALUE"""),"EQUIPOS PARA PREPARACION DE JARABETANQUE DE JARABE")</f>
        <v>EQUIPOS PARA PREPARACION DE JARABETANQUE DE JARABE</v>
      </c>
      <c r="V1202" s="5"/>
      <c r="W1202" s="5" t="b">
        <f ca="1">IFERROR(__xludf.DUMMYFUNCTION("""COMPUTED_VALUE"""),TRUE)</f>
        <v>1</v>
      </c>
      <c r="X1202" s="5" t="str">
        <f ca="1">IFERROR(__xludf.DUMMYFUNCTION("""COMPUTED_VALUE"""),"efzapata@postobon.com.co,aprmttoyu@postobon.com.co,aprmyu@postobon.com.co,wmora@postobon.com.co,efzapata@postobon.com.co")</f>
        <v>efzapata@postobon.com.co,aprmttoyu@postobon.com.co,aprmyu@postobon.com.co,wmora@postobon.com.co,efzapata@postobon.com.co</v>
      </c>
      <c r="Y1202" s="5" t="str">
        <f ca="1">IFERROR(__xludf.DUMMYFUNCTION("""COMPUTED_VALUE"""),"efzapata@postobon.com.co")</f>
        <v>efzapata@postobon.com.co</v>
      </c>
      <c r="Z1202" s="5" t="str">
        <f ca="1">IFERROR(__xludf.DUMMYFUNCTION("""COMPUTED_VALUE"""),"Ny2DuHA3SsS9RzXrD.niHg")</f>
        <v>Ny2DuHA3SsS9RzXrD.niHg</v>
      </c>
      <c r="AA1202" s="5"/>
      <c r="AB1202" s="5"/>
      <c r="AC1202" s="5"/>
      <c r="AD1202" s="5">
        <f ca="1">IFERROR(__xludf.DUMMYFUNCTION("""COMPUTED_VALUE"""),35)</f>
        <v>35</v>
      </c>
      <c r="AE1202" s="5">
        <f ca="1">IFERROR(__xludf.DUMMYFUNCTION("""COMPUTED_VALUE"""),35)</f>
        <v>35</v>
      </c>
      <c r="AF1202" s="5" t="b">
        <f ca="1">IFERROR(__xludf.DUMMYFUNCTION("""COMPUTED_VALUE"""),FALSE)</f>
        <v>0</v>
      </c>
      <c r="AG1202" s="5" t="str">
        <f ca="1">IFERROR(__xludf.DUMMYFUNCTION("""COMPUTED_VALUE"""),"INSPECCIONES REALIZADAS")</f>
        <v>INSPECCIONES REALIZADAS</v>
      </c>
      <c r="AH1202" s="5"/>
    </row>
    <row r="1203" spans="1:34">
      <c r="A1203" s="5" t="str">
        <f ca="1">IFERROR(__xludf.DUMMYFUNCTION("""COMPUTED_VALUE"""),"EQUIPOS PARA PREPARACION DE JARABE")</f>
        <v>EQUIPOS PARA PREPARACION DE JARABE</v>
      </c>
      <c r="B1203" s="5">
        <f ca="1">IFERROR(__xludf.DUMMYFUNCTION("""COMPUTED_VALUE"""),69963410)</f>
        <v>69963410</v>
      </c>
      <c r="C1203" s="5" t="str">
        <f ca="1">IFERROR(__xludf.DUMMYFUNCTION("""COMPUTED_VALUE"""),"TANQUE DE JARABE")</f>
        <v>TANQUE DE JARABE</v>
      </c>
      <c r="D1203" s="5">
        <f ca="1">IFERROR(__xludf.DUMMYFUNCTION("""COMPUTED_VALUE"""),13247458)</f>
        <v>13247458</v>
      </c>
      <c r="E1203" s="5" t="str">
        <f ca="1">IFERROR(__xludf.DUMMYFUNCTION("""COMPUTED_VALUE"""),"INSPECCION SEMANAL Tanque Jarabe 7")</f>
        <v>INSPECCION SEMANAL Tanque Jarabe 7</v>
      </c>
      <c r="F1203" s="5" t="str">
        <f ca="1">IFERROR(__xludf.DUMMYFUNCTION("""COMPUTED_VALUE"""),"VERIFICAR ESTADO PIEZAS TANQUES (QUE LAS PIEZAS ESTEN COMPLETAS Y EN BUEN ESTADO)")</f>
        <v>VERIFICAR ESTADO PIEZAS TANQUES (QUE LAS PIEZAS ESTEN COMPLETAS Y EN BUEN ESTADO)</v>
      </c>
      <c r="G1203" s="5" t="b">
        <f ca="1">IFERROR(__xludf.DUMMYFUNCTION("""COMPUTED_VALUE"""),TRUE)</f>
        <v>1</v>
      </c>
      <c r="H1203" s="5"/>
      <c r="I1203" s="5"/>
      <c r="J1203" s="5">
        <f ca="1">IFERROR(__xludf.DUMMYFUNCTION("""COMPUTED_VALUE"""),13247458)</f>
        <v>13247458</v>
      </c>
      <c r="K1203" s="5"/>
      <c r="L1203" s="18">
        <f ca="1">IFERROR(__xludf.DUMMYFUNCTION("""COMPUTED_VALUE"""),45324)</f>
        <v>45324</v>
      </c>
      <c r="M1203" s="18">
        <f ca="1">IFERROR(__xludf.DUMMYFUNCTION("""COMPUTED_VALUE"""),45324)</f>
        <v>45324</v>
      </c>
      <c r="N1203" s="5" t="str">
        <f ca="1">IFERROR(__xludf.DUMMYFUNCTION("""COMPUTED_VALUE"""),"Moreno Pernia Bladimir")</f>
        <v>Moreno Pernia Bladimir</v>
      </c>
      <c r="O1203" s="2">
        <f ca="1">IFERROR(__xludf.DUMMYFUNCTION("""COMPUTED_VALUE"""),0.02)</f>
        <v>0.02</v>
      </c>
      <c r="P1203" s="5">
        <f ca="1">IFERROR(__xludf.DUMMYFUNCTION("""COMPUTED_VALUE"""),20010003)</f>
        <v>20010003</v>
      </c>
      <c r="Q1203" s="5" t="str">
        <f ca="1">IFERROR(__xludf.DUMMYFUNCTION("""COMPUTED_VALUE"""),"b8rW-GnXLqo")</f>
        <v>b8rW-GnXLqo</v>
      </c>
      <c r="R1203" s="5">
        <f ca="1">IFERROR(__xludf.DUMMYFUNCTION("""COMPUTED_VALUE"""),410)</f>
        <v>410</v>
      </c>
      <c r="S1203" s="62">
        <f ca="1">IFERROR(__xludf.DUMMYFUNCTION("""COMPUTED_VALUE"""),0.02)</f>
        <v>0.02</v>
      </c>
      <c r="T1203" s="63" t="str">
        <f ca="1">IFERROR(__xludf.DUMMYFUNCTION("""COMPUTED_VALUE"""),"https://storage.googleapis.com/glide-prod.appspot.com/uploads-v2/ly7o78grxPaC6KdgvbpS/pub/3aRdSog0vUtuqPE8AJKD.png")</f>
        <v>https://storage.googleapis.com/glide-prod.appspot.com/uploads-v2/ly7o78grxPaC6KdgvbpS/pub/3aRdSog0vUtuqPE8AJKD.png</v>
      </c>
      <c r="U1203" s="5" t="str">
        <f ca="1">IFERROR(__xludf.DUMMYFUNCTION("""COMPUTED_VALUE"""),"EQUIPOS PARA PREPARACION DE JARABETANQUE DE JARABE")</f>
        <v>EQUIPOS PARA PREPARACION DE JARABETANQUE DE JARABE</v>
      </c>
      <c r="V1203" s="5"/>
      <c r="W1203" s="5" t="b">
        <f ca="1">IFERROR(__xludf.DUMMYFUNCTION("""COMPUTED_VALUE"""),TRUE)</f>
        <v>1</v>
      </c>
      <c r="X1203" s="5" t="str">
        <f ca="1">IFERROR(__xludf.DUMMYFUNCTION("""COMPUTED_VALUE"""),"efzapata@postobon.com.co,aprmttoyu@postobon.com.co,aprmyu@postobon.com.co,wmora@postobon.com.co,efzapata@postobon.com.co")</f>
        <v>efzapata@postobon.com.co,aprmttoyu@postobon.com.co,aprmyu@postobon.com.co,wmora@postobon.com.co,efzapata@postobon.com.co</v>
      </c>
      <c r="Y1203" s="5" t="str">
        <f ca="1">IFERROR(__xludf.DUMMYFUNCTION("""COMPUTED_VALUE"""),"efzapata@postobon.com.co")</f>
        <v>efzapata@postobon.com.co</v>
      </c>
      <c r="Z1203" s="5" t="str">
        <f ca="1">IFERROR(__xludf.DUMMYFUNCTION("""COMPUTED_VALUE"""),"SDaMCKa9RbKCJS-6wrbjhQ")</f>
        <v>SDaMCKa9RbKCJS-6wrbjhQ</v>
      </c>
      <c r="AA1203" s="5"/>
      <c r="AB1203" s="5"/>
      <c r="AC1203" s="5"/>
      <c r="AD1203" s="5">
        <f ca="1">IFERROR(__xludf.DUMMYFUNCTION("""COMPUTED_VALUE"""),35)</f>
        <v>35</v>
      </c>
      <c r="AE1203" s="5">
        <f ca="1">IFERROR(__xludf.DUMMYFUNCTION("""COMPUTED_VALUE"""),35)</f>
        <v>35</v>
      </c>
      <c r="AF1203" s="5" t="b">
        <f ca="1">IFERROR(__xludf.DUMMYFUNCTION("""COMPUTED_VALUE"""),FALSE)</f>
        <v>0</v>
      </c>
      <c r="AG1203" s="5" t="str">
        <f ca="1">IFERROR(__xludf.DUMMYFUNCTION("""COMPUTED_VALUE"""),"INSPECCIONES REALIZADAS")</f>
        <v>INSPECCIONES REALIZADAS</v>
      </c>
      <c r="AH1203" s="5"/>
    </row>
    <row r="1204" spans="1:34">
      <c r="A1204" s="5" t="str">
        <f ca="1">IFERROR(__xludf.DUMMYFUNCTION("""COMPUTED_VALUE"""),"EQUIPOS PARA PREPARACION DE JARABE")</f>
        <v>EQUIPOS PARA PREPARACION DE JARABE</v>
      </c>
      <c r="B1204" s="5">
        <f ca="1">IFERROR(__xludf.DUMMYFUNCTION("""COMPUTED_VALUE"""),69963410)</f>
        <v>69963410</v>
      </c>
      <c r="C1204" s="5" t="str">
        <f ca="1">IFERROR(__xludf.DUMMYFUNCTION("""COMPUTED_VALUE"""),"TANQUE DE JARABE")</f>
        <v>TANQUE DE JARABE</v>
      </c>
      <c r="D1204" s="5">
        <f ca="1">IFERROR(__xludf.DUMMYFUNCTION("""COMPUTED_VALUE"""),13247458)</f>
        <v>13247458</v>
      </c>
      <c r="E1204" s="5" t="str">
        <f ca="1">IFERROR(__xludf.DUMMYFUNCTION("""COMPUTED_VALUE"""),"INSPECCION SEMANAL Tanque Jarabe 7")</f>
        <v>INSPECCION SEMANAL Tanque Jarabe 7</v>
      </c>
      <c r="F1204" s="5" t="str">
        <f ca="1">IFERROR(__xludf.DUMMYFUNCTION("""COMPUTED_VALUE"""),"MTTO MEC TK JARABE 7 JARABE TERMINADO")</f>
        <v>MTTO MEC TK JARABE 7 JARABE TERMINADO</v>
      </c>
      <c r="G1204" s="5" t="b">
        <f ca="1">IFERROR(__xludf.DUMMYFUNCTION("""COMPUTED_VALUE"""),TRUE)</f>
        <v>1</v>
      </c>
      <c r="H1204" s="5"/>
      <c r="I1204" s="5"/>
      <c r="J1204" s="5">
        <f ca="1">IFERROR(__xludf.DUMMYFUNCTION("""COMPUTED_VALUE"""),13247458)</f>
        <v>13247458</v>
      </c>
      <c r="K1204" s="5"/>
      <c r="L1204" s="18">
        <f ca="1">IFERROR(__xludf.DUMMYFUNCTION("""COMPUTED_VALUE"""),45324)</f>
        <v>45324</v>
      </c>
      <c r="M1204" s="18">
        <f ca="1">IFERROR(__xludf.DUMMYFUNCTION("""COMPUTED_VALUE"""),45324)</f>
        <v>45324</v>
      </c>
      <c r="N1204" s="5" t="str">
        <f ca="1">IFERROR(__xludf.DUMMYFUNCTION("""COMPUTED_VALUE"""),"Moreno Pernia Bladimir")</f>
        <v>Moreno Pernia Bladimir</v>
      </c>
      <c r="O1204" s="2">
        <f ca="1">IFERROR(__xludf.DUMMYFUNCTION("""COMPUTED_VALUE"""),0.02)</f>
        <v>0.02</v>
      </c>
      <c r="P1204" s="5">
        <f ca="1">IFERROR(__xludf.DUMMYFUNCTION("""COMPUTED_VALUE"""),20010003)</f>
        <v>20010003</v>
      </c>
      <c r="Q1204" s="5" t="str">
        <f ca="1">IFERROR(__xludf.DUMMYFUNCTION("""COMPUTED_VALUE"""),"vJyBvWT579U")</f>
        <v>vJyBvWT579U</v>
      </c>
      <c r="R1204" s="5">
        <f ca="1">IFERROR(__xludf.DUMMYFUNCTION("""COMPUTED_VALUE"""),410)</f>
        <v>410</v>
      </c>
      <c r="S1204" s="62">
        <f ca="1">IFERROR(__xludf.DUMMYFUNCTION("""COMPUTED_VALUE"""),0.02)</f>
        <v>0.02</v>
      </c>
      <c r="T1204" s="63" t="str">
        <f ca="1">IFERROR(__xludf.DUMMYFUNCTION("""COMPUTED_VALUE"""),"https://storage.googleapis.com/glide-prod.appspot.com/uploads-v2/ly7o78grxPaC6KdgvbpS/pub/3aRdSog0vUtuqPE8AJKD.png")</f>
        <v>https://storage.googleapis.com/glide-prod.appspot.com/uploads-v2/ly7o78grxPaC6KdgvbpS/pub/3aRdSog0vUtuqPE8AJKD.png</v>
      </c>
      <c r="U1204" s="5" t="str">
        <f ca="1">IFERROR(__xludf.DUMMYFUNCTION("""COMPUTED_VALUE"""),"EQUIPOS PARA PREPARACION DE JARABETANQUE DE JARABE")</f>
        <v>EQUIPOS PARA PREPARACION DE JARABETANQUE DE JARABE</v>
      </c>
      <c r="V1204" s="5"/>
      <c r="W1204" s="5" t="b">
        <f ca="1">IFERROR(__xludf.DUMMYFUNCTION("""COMPUTED_VALUE"""),TRUE)</f>
        <v>1</v>
      </c>
      <c r="X1204" s="5" t="str">
        <f ca="1">IFERROR(__xludf.DUMMYFUNCTION("""COMPUTED_VALUE"""),"efzapata@postobon.com.co,aprmttoyu@postobon.com.co,aprmyu@postobon.com.co,wmora@postobon.com.co,efzapata@postobon.com.co")</f>
        <v>efzapata@postobon.com.co,aprmttoyu@postobon.com.co,aprmyu@postobon.com.co,wmora@postobon.com.co,efzapata@postobon.com.co</v>
      </c>
      <c r="Y1204" s="5" t="str">
        <f ca="1">IFERROR(__xludf.DUMMYFUNCTION("""COMPUTED_VALUE"""),"efzapata@postobon.com.co")</f>
        <v>efzapata@postobon.com.co</v>
      </c>
      <c r="Z1204" s="5" t="str">
        <f ca="1">IFERROR(__xludf.DUMMYFUNCTION("""COMPUTED_VALUE"""),"0yH3iad6TZmbyfWFRfad5w")</f>
        <v>0yH3iad6TZmbyfWFRfad5w</v>
      </c>
      <c r="AA1204" s="5"/>
      <c r="AB1204" s="5"/>
      <c r="AC1204" s="5"/>
      <c r="AD1204" s="5">
        <f ca="1">IFERROR(__xludf.DUMMYFUNCTION("""COMPUTED_VALUE"""),35)</f>
        <v>35</v>
      </c>
      <c r="AE1204" s="5">
        <f ca="1">IFERROR(__xludf.DUMMYFUNCTION("""COMPUTED_VALUE"""),35)</f>
        <v>35</v>
      </c>
      <c r="AF1204" s="5" t="b">
        <f ca="1">IFERROR(__xludf.DUMMYFUNCTION("""COMPUTED_VALUE"""),FALSE)</f>
        <v>0</v>
      </c>
      <c r="AG1204" s="5" t="str">
        <f ca="1">IFERROR(__xludf.DUMMYFUNCTION("""COMPUTED_VALUE"""),"INSPECCIONES REALIZADAS")</f>
        <v>INSPECCIONES REALIZADAS</v>
      </c>
      <c r="AH1204" s="5"/>
    </row>
    <row r="1205" spans="1:34">
      <c r="A1205" s="5" t="str">
        <f ca="1">IFERROR(__xludf.DUMMYFUNCTION("""COMPUTED_VALUE"""),"EQUIPOS PARA PREPARACION DE JARABE")</f>
        <v>EQUIPOS PARA PREPARACION DE JARABE</v>
      </c>
      <c r="B1205" s="5">
        <f ca="1">IFERROR(__xludf.DUMMYFUNCTION("""COMPUTED_VALUE"""),69963411)</f>
        <v>69963411</v>
      </c>
      <c r="C1205" s="5" t="str">
        <f ca="1">IFERROR(__xludf.DUMMYFUNCTION("""COMPUTED_VALUE"""),"TANQUE DE JARABE")</f>
        <v>TANQUE DE JARABE</v>
      </c>
      <c r="D1205" s="5">
        <f ca="1">IFERROR(__xludf.DUMMYFUNCTION("""COMPUTED_VALUE"""),13247460)</f>
        <v>13247460</v>
      </c>
      <c r="E1205" s="5" t="str">
        <f ca="1">IFERROR(__xludf.DUMMYFUNCTION("""COMPUTED_VALUE"""),"INSPECCION SEMANAL Tanque Jarabe 8")</f>
        <v>INSPECCION SEMANAL Tanque Jarabe 8</v>
      </c>
      <c r="F1205" s="5" t="str">
        <f ca="1">IFERROR(__xludf.DUMMYFUNCTION("""COMPUTED_VALUE"""),"REVISAR ESTADO TANQUE,TUBERIAS, VALVULAS")</f>
        <v>REVISAR ESTADO TANQUE,TUBERIAS, VALVULAS</v>
      </c>
      <c r="G1205" s="5" t="b">
        <f ca="1">IFERROR(__xludf.DUMMYFUNCTION("""COMPUTED_VALUE"""),TRUE)</f>
        <v>1</v>
      </c>
      <c r="H1205" s="5"/>
      <c r="I1205" s="5"/>
      <c r="J1205" s="5">
        <f ca="1">IFERROR(__xludf.DUMMYFUNCTION("""COMPUTED_VALUE"""),13247460)</f>
        <v>13247460</v>
      </c>
      <c r="K1205" s="5"/>
      <c r="L1205" s="18">
        <f ca="1">IFERROR(__xludf.DUMMYFUNCTION("""COMPUTED_VALUE"""),45324)</f>
        <v>45324</v>
      </c>
      <c r="M1205" s="18">
        <f ca="1">IFERROR(__xludf.DUMMYFUNCTION("""COMPUTED_VALUE"""),45324)</f>
        <v>45324</v>
      </c>
      <c r="N1205" s="5" t="str">
        <f ca="1">IFERROR(__xludf.DUMMYFUNCTION("""COMPUTED_VALUE"""),"Rivas Mena Carlos Danny")</f>
        <v>Rivas Mena Carlos Danny</v>
      </c>
      <c r="O1205" s="2">
        <f ca="1">IFERROR(__xludf.DUMMYFUNCTION("""COMPUTED_VALUE"""),0.02)</f>
        <v>0.02</v>
      </c>
      <c r="P1205" s="5">
        <f ca="1">IFERROR(__xludf.DUMMYFUNCTION("""COMPUTED_VALUE"""),20016283)</f>
        <v>20016283</v>
      </c>
      <c r="Q1205" s="5" t="str">
        <f ca="1">IFERROR(__xludf.DUMMYFUNCTION("""COMPUTED_VALUE"""),"oaqSWwkMD1s")</f>
        <v>oaqSWwkMD1s</v>
      </c>
      <c r="R1205" s="5">
        <f ca="1">IFERROR(__xludf.DUMMYFUNCTION("""COMPUTED_VALUE"""),410)</f>
        <v>410</v>
      </c>
      <c r="S1205" s="62">
        <f ca="1">IFERROR(__xludf.DUMMYFUNCTION("""COMPUTED_VALUE"""),0.02)</f>
        <v>0.02</v>
      </c>
      <c r="T1205" s="63" t="str">
        <f ca="1">IFERROR(__xludf.DUMMYFUNCTION("""COMPUTED_VALUE"""),"https://storage.googleapis.com/glide-prod.appspot.com/uploads-v2/ly7o78grxPaC6KdgvbpS/pub/3aRdSog0vUtuqPE8AJKD.png")</f>
        <v>https://storage.googleapis.com/glide-prod.appspot.com/uploads-v2/ly7o78grxPaC6KdgvbpS/pub/3aRdSog0vUtuqPE8AJKD.png</v>
      </c>
      <c r="U1205" s="5" t="str">
        <f ca="1">IFERROR(__xludf.DUMMYFUNCTION("""COMPUTED_VALUE"""),"EQUIPOS PARA PREPARACION DE JARABETANQUE DE JARABE")</f>
        <v>EQUIPOS PARA PREPARACION DE JARABETANQUE DE JARABE</v>
      </c>
      <c r="V1205" s="5"/>
      <c r="W1205" s="5" t="b">
        <f ca="1">IFERROR(__xludf.DUMMYFUNCTION("""COMPUTED_VALUE"""),TRUE)</f>
        <v>1</v>
      </c>
      <c r="X1205" s="5" t="str">
        <f ca="1">IFERROR(__xludf.DUMMYFUNCTION("""COMPUTED_VALUE"""),"efzapata@postobon.com.co,aprmttoyu@postobon.com.co,aprmyu@postobon.com.co,wmora@postobon.com.co,efzapata@postobon.com.co")</f>
        <v>efzapata@postobon.com.co,aprmttoyu@postobon.com.co,aprmyu@postobon.com.co,wmora@postobon.com.co,efzapata@postobon.com.co</v>
      </c>
      <c r="Y1205" s="5" t="str">
        <f ca="1">IFERROR(__xludf.DUMMYFUNCTION("""COMPUTED_VALUE"""),"efzapata@postobon.com.co")</f>
        <v>efzapata@postobon.com.co</v>
      </c>
      <c r="Z1205" s="5" t="str">
        <f ca="1">IFERROR(__xludf.DUMMYFUNCTION("""COMPUTED_VALUE"""),"TOPxFH-rT8OaIOqHK4rYlw")</f>
        <v>TOPxFH-rT8OaIOqHK4rYlw</v>
      </c>
      <c r="AA1205" s="5"/>
      <c r="AB1205" s="5"/>
      <c r="AC1205" s="5"/>
      <c r="AD1205" s="5">
        <f ca="1">IFERROR(__xludf.DUMMYFUNCTION("""COMPUTED_VALUE"""),24)</f>
        <v>24</v>
      </c>
      <c r="AE1205" s="5">
        <f ca="1">IFERROR(__xludf.DUMMYFUNCTION("""COMPUTED_VALUE"""),24)</f>
        <v>24</v>
      </c>
      <c r="AF1205" s="5" t="b">
        <f ca="1">IFERROR(__xludf.DUMMYFUNCTION("""COMPUTED_VALUE"""),FALSE)</f>
        <v>0</v>
      </c>
      <c r="AG1205" s="5" t="str">
        <f ca="1">IFERROR(__xludf.DUMMYFUNCTION("""COMPUTED_VALUE"""),"INSPECCIONES REALIZADAS")</f>
        <v>INSPECCIONES REALIZADAS</v>
      </c>
      <c r="AH1205" s="5"/>
    </row>
    <row r="1206" spans="1:34">
      <c r="A1206" s="5" t="str">
        <f ca="1">IFERROR(__xludf.DUMMYFUNCTION("""COMPUTED_VALUE"""),"EQUIPOS PARA PREPARACION DE JARABE")</f>
        <v>EQUIPOS PARA PREPARACION DE JARABE</v>
      </c>
      <c r="B1206" s="5">
        <f ca="1">IFERROR(__xludf.DUMMYFUNCTION("""COMPUTED_VALUE"""),69963411)</f>
        <v>69963411</v>
      </c>
      <c r="C1206" s="5" t="str">
        <f ca="1">IFERROR(__xludf.DUMMYFUNCTION("""COMPUTED_VALUE"""),"TANQUE DE JARABE")</f>
        <v>TANQUE DE JARABE</v>
      </c>
      <c r="D1206" s="5">
        <f ca="1">IFERROR(__xludf.DUMMYFUNCTION("""COMPUTED_VALUE"""),13247460)</f>
        <v>13247460</v>
      </c>
      <c r="E1206" s="5" t="str">
        <f ca="1">IFERROR(__xludf.DUMMYFUNCTION("""COMPUTED_VALUE"""),"INSPECCION SEMANAL Tanque Jarabe 8")</f>
        <v>INSPECCION SEMANAL Tanque Jarabe 8</v>
      </c>
      <c r="F1206" s="5" t="str">
        <f ca="1">IFERROR(__xludf.DUMMYFUNCTION("""COMPUTED_VALUE"""),"INSP. BOMBAS EN GENERAL")</f>
        <v>INSP. BOMBAS EN GENERAL</v>
      </c>
      <c r="G1206" s="5" t="b">
        <f ca="1">IFERROR(__xludf.DUMMYFUNCTION("""COMPUTED_VALUE"""),TRUE)</f>
        <v>1</v>
      </c>
      <c r="H1206" s="5"/>
      <c r="I1206" s="5"/>
      <c r="J1206" s="5">
        <f ca="1">IFERROR(__xludf.DUMMYFUNCTION("""COMPUTED_VALUE"""),13247460)</f>
        <v>13247460</v>
      </c>
      <c r="K1206" s="5"/>
      <c r="L1206" s="18">
        <f ca="1">IFERROR(__xludf.DUMMYFUNCTION("""COMPUTED_VALUE"""),45324)</f>
        <v>45324</v>
      </c>
      <c r="M1206" s="18">
        <f ca="1">IFERROR(__xludf.DUMMYFUNCTION("""COMPUTED_VALUE"""),45324)</f>
        <v>45324</v>
      </c>
      <c r="N1206" s="5" t="str">
        <f ca="1">IFERROR(__xludf.DUMMYFUNCTION("""COMPUTED_VALUE"""),"Rivas Mena Carlos Danny")</f>
        <v>Rivas Mena Carlos Danny</v>
      </c>
      <c r="O1206" s="2">
        <f ca="1">IFERROR(__xludf.DUMMYFUNCTION("""COMPUTED_VALUE"""),0.02)</f>
        <v>0.02</v>
      </c>
      <c r="P1206" s="5">
        <f ca="1">IFERROR(__xludf.DUMMYFUNCTION("""COMPUTED_VALUE"""),20016283)</f>
        <v>20016283</v>
      </c>
      <c r="Q1206" s="5" t="str">
        <f ca="1">IFERROR(__xludf.DUMMYFUNCTION("""COMPUTED_VALUE"""),"gkgQMGh_UTI")</f>
        <v>gkgQMGh_UTI</v>
      </c>
      <c r="R1206" s="5">
        <f ca="1">IFERROR(__xludf.DUMMYFUNCTION("""COMPUTED_VALUE"""),410)</f>
        <v>410</v>
      </c>
      <c r="S1206" s="62">
        <f ca="1">IFERROR(__xludf.DUMMYFUNCTION("""COMPUTED_VALUE"""),0.02)</f>
        <v>0.02</v>
      </c>
      <c r="T1206" s="63" t="str">
        <f ca="1">IFERROR(__xludf.DUMMYFUNCTION("""COMPUTED_VALUE"""),"https://storage.googleapis.com/glide-prod.appspot.com/uploads-v2/ly7o78grxPaC6KdgvbpS/pub/3aRdSog0vUtuqPE8AJKD.png")</f>
        <v>https://storage.googleapis.com/glide-prod.appspot.com/uploads-v2/ly7o78grxPaC6KdgvbpS/pub/3aRdSog0vUtuqPE8AJKD.png</v>
      </c>
      <c r="U1206" s="5" t="str">
        <f ca="1">IFERROR(__xludf.DUMMYFUNCTION("""COMPUTED_VALUE"""),"EQUIPOS PARA PREPARACION DE JARABETANQUE DE JARABE")</f>
        <v>EQUIPOS PARA PREPARACION DE JARABETANQUE DE JARABE</v>
      </c>
      <c r="V1206" s="5"/>
      <c r="W1206" s="5" t="b">
        <f ca="1">IFERROR(__xludf.DUMMYFUNCTION("""COMPUTED_VALUE"""),TRUE)</f>
        <v>1</v>
      </c>
      <c r="X1206" s="5" t="str">
        <f ca="1">IFERROR(__xludf.DUMMYFUNCTION("""COMPUTED_VALUE"""),"efzapata@postobon.com.co,aprmttoyu@postobon.com.co,aprmyu@postobon.com.co,wmora@postobon.com.co,efzapata@postobon.com.co")</f>
        <v>efzapata@postobon.com.co,aprmttoyu@postobon.com.co,aprmyu@postobon.com.co,wmora@postobon.com.co,efzapata@postobon.com.co</v>
      </c>
      <c r="Y1206" s="5" t="str">
        <f ca="1">IFERROR(__xludf.DUMMYFUNCTION("""COMPUTED_VALUE"""),"efzapata@postobon.com.co")</f>
        <v>efzapata@postobon.com.co</v>
      </c>
      <c r="Z1206" s="5" t="str">
        <f ca="1">IFERROR(__xludf.DUMMYFUNCTION("""COMPUTED_VALUE"""),"ggAiCn48QVCzw2pLW0basw")</f>
        <v>ggAiCn48QVCzw2pLW0basw</v>
      </c>
      <c r="AA1206" s="5"/>
      <c r="AB1206" s="5"/>
      <c r="AC1206" s="5"/>
      <c r="AD1206" s="5">
        <f ca="1">IFERROR(__xludf.DUMMYFUNCTION("""COMPUTED_VALUE"""),24)</f>
        <v>24</v>
      </c>
      <c r="AE1206" s="5">
        <f ca="1">IFERROR(__xludf.DUMMYFUNCTION("""COMPUTED_VALUE"""),24)</f>
        <v>24</v>
      </c>
      <c r="AF1206" s="5" t="b">
        <f ca="1">IFERROR(__xludf.DUMMYFUNCTION("""COMPUTED_VALUE"""),FALSE)</f>
        <v>0</v>
      </c>
      <c r="AG1206" s="5" t="str">
        <f ca="1">IFERROR(__xludf.DUMMYFUNCTION("""COMPUTED_VALUE"""),"INSPECCIONES REALIZADAS")</f>
        <v>INSPECCIONES REALIZADAS</v>
      </c>
      <c r="AH1206" s="5"/>
    </row>
    <row r="1207" spans="1:34">
      <c r="A1207" s="5" t="str">
        <f ca="1">IFERROR(__xludf.DUMMYFUNCTION("""COMPUTED_VALUE"""),"EQUIPOS PARA PREPARACION DE JARABE")</f>
        <v>EQUIPOS PARA PREPARACION DE JARABE</v>
      </c>
      <c r="B1207" s="5">
        <f ca="1">IFERROR(__xludf.DUMMYFUNCTION("""COMPUTED_VALUE"""),69963411)</f>
        <v>69963411</v>
      </c>
      <c r="C1207" s="5" t="str">
        <f ca="1">IFERROR(__xludf.DUMMYFUNCTION("""COMPUTED_VALUE"""),"TANQUE DE JARABE")</f>
        <v>TANQUE DE JARABE</v>
      </c>
      <c r="D1207" s="5">
        <f ca="1">IFERROR(__xludf.DUMMYFUNCTION("""COMPUTED_VALUE"""),13247460)</f>
        <v>13247460</v>
      </c>
      <c r="E1207" s="5" t="str">
        <f ca="1">IFERROR(__xludf.DUMMYFUNCTION("""COMPUTED_VALUE"""),"INSPECCION SEMANAL Tanque Jarabe 8")</f>
        <v>INSPECCION SEMANAL Tanque Jarabe 8</v>
      </c>
      <c r="F1207" s="5" t="str">
        <f ca="1">IFERROR(__xludf.DUMMYFUNCTION("""COMPUTED_VALUE"""),"ESCAPES FLUIDOS(AGUA,AIRE,JARABE)")</f>
        <v>ESCAPES FLUIDOS(AGUA,AIRE,JARABE)</v>
      </c>
      <c r="G1207" s="5" t="b">
        <f ca="1">IFERROR(__xludf.DUMMYFUNCTION("""COMPUTED_VALUE"""),TRUE)</f>
        <v>1</v>
      </c>
      <c r="H1207" s="5"/>
      <c r="I1207" s="5"/>
      <c r="J1207" s="5">
        <f ca="1">IFERROR(__xludf.DUMMYFUNCTION("""COMPUTED_VALUE"""),13247460)</f>
        <v>13247460</v>
      </c>
      <c r="K1207" s="5"/>
      <c r="L1207" s="18">
        <f ca="1">IFERROR(__xludf.DUMMYFUNCTION("""COMPUTED_VALUE"""),45324)</f>
        <v>45324</v>
      </c>
      <c r="M1207" s="18">
        <f ca="1">IFERROR(__xludf.DUMMYFUNCTION("""COMPUTED_VALUE"""),45324)</f>
        <v>45324</v>
      </c>
      <c r="N1207" s="5" t="str">
        <f ca="1">IFERROR(__xludf.DUMMYFUNCTION("""COMPUTED_VALUE"""),"Rivas Mena Carlos Danny")</f>
        <v>Rivas Mena Carlos Danny</v>
      </c>
      <c r="O1207" s="2">
        <f ca="1">IFERROR(__xludf.DUMMYFUNCTION("""COMPUTED_VALUE"""),0.02)</f>
        <v>0.02</v>
      </c>
      <c r="P1207" s="5">
        <f ca="1">IFERROR(__xludf.DUMMYFUNCTION("""COMPUTED_VALUE"""),20016283)</f>
        <v>20016283</v>
      </c>
      <c r="Q1207" s="5" t="str">
        <f ca="1">IFERROR(__xludf.DUMMYFUNCTION("""COMPUTED_VALUE"""),"w6mWsU7q-mA")</f>
        <v>w6mWsU7q-mA</v>
      </c>
      <c r="R1207" s="5">
        <f ca="1">IFERROR(__xludf.DUMMYFUNCTION("""COMPUTED_VALUE"""),410)</f>
        <v>410</v>
      </c>
      <c r="S1207" s="62">
        <f ca="1">IFERROR(__xludf.DUMMYFUNCTION("""COMPUTED_VALUE"""),0.02)</f>
        <v>0.02</v>
      </c>
      <c r="T1207" s="63" t="str">
        <f ca="1">IFERROR(__xludf.DUMMYFUNCTION("""COMPUTED_VALUE"""),"https://storage.googleapis.com/glide-prod.appspot.com/uploads-v2/ly7o78grxPaC6KdgvbpS/pub/3aRdSog0vUtuqPE8AJKD.png")</f>
        <v>https://storage.googleapis.com/glide-prod.appspot.com/uploads-v2/ly7o78grxPaC6KdgvbpS/pub/3aRdSog0vUtuqPE8AJKD.png</v>
      </c>
      <c r="U1207" s="5" t="str">
        <f ca="1">IFERROR(__xludf.DUMMYFUNCTION("""COMPUTED_VALUE"""),"EQUIPOS PARA PREPARACION DE JARABETANQUE DE JARABE")</f>
        <v>EQUIPOS PARA PREPARACION DE JARABETANQUE DE JARABE</v>
      </c>
      <c r="V1207" s="5"/>
      <c r="W1207" s="5" t="b">
        <f ca="1">IFERROR(__xludf.DUMMYFUNCTION("""COMPUTED_VALUE"""),TRUE)</f>
        <v>1</v>
      </c>
      <c r="X1207" s="5" t="str">
        <f ca="1">IFERROR(__xludf.DUMMYFUNCTION("""COMPUTED_VALUE"""),"efzapata@postobon.com.co,aprmttoyu@postobon.com.co,aprmyu@postobon.com.co,wmora@postobon.com.co,efzapata@postobon.com.co")</f>
        <v>efzapata@postobon.com.co,aprmttoyu@postobon.com.co,aprmyu@postobon.com.co,wmora@postobon.com.co,efzapata@postobon.com.co</v>
      </c>
      <c r="Y1207" s="5" t="str">
        <f ca="1">IFERROR(__xludf.DUMMYFUNCTION("""COMPUTED_VALUE"""),"efzapata@postobon.com.co")</f>
        <v>efzapata@postobon.com.co</v>
      </c>
      <c r="Z1207" s="5" t="str">
        <f ca="1">IFERROR(__xludf.DUMMYFUNCTION("""COMPUTED_VALUE"""),"e08emBmiTN6xk4DSEHOoHw")</f>
        <v>e08emBmiTN6xk4DSEHOoHw</v>
      </c>
      <c r="AA1207" s="5"/>
      <c r="AB1207" s="5"/>
      <c r="AC1207" s="5"/>
      <c r="AD1207" s="5">
        <f ca="1">IFERROR(__xludf.DUMMYFUNCTION("""COMPUTED_VALUE"""),24)</f>
        <v>24</v>
      </c>
      <c r="AE1207" s="5">
        <f ca="1">IFERROR(__xludf.DUMMYFUNCTION("""COMPUTED_VALUE"""),24)</f>
        <v>24</v>
      </c>
      <c r="AF1207" s="5" t="b">
        <f ca="1">IFERROR(__xludf.DUMMYFUNCTION("""COMPUTED_VALUE"""),FALSE)</f>
        <v>0</v>
      </c>
      <c r="AG1207" s="5" t="str">
        <f ca="1">IFERROR(__xludf.DUMMYFUNCTION("""COMPUTED_VALUE"""),"INSPECCIONES REALIZADAS")</f>
        <v>INSPECCIONES REALIZADAS</v>
      </c>
      <c r="AH1207" s="5"/>
    </row>
    <row r="1208" spans="1:34">
      <c r="A1208" s="5" t="str">
        <f ca="1">IFERROR(__xludf.DUMMYFUNCTION("""COMPUTED_VALUE"""),"EQUIPOS PARA PREPARACION DE JARABE")</f>
        <v>EQUIPOS PARA PREPARACION DE JARABE</v>
      </c>
      <c r="B1208" s="5">
        <f ca="1">IFERROR(__xludf.DUMMYFUNCTION("""COMPUTED_VALUE"""),69963411)</f>
        <v>69963411</v>
      </c>
      <c r="C1208" s="5" t="str">
        <f ca="1">IFERROR(__xludf.DUMMYFUNCTION("""COMPUTED_VALUE"""),"TANQUE DE JARABE")</f>
        <v>TANQUE DE JARABE</v>
      </c>
      <c r="D1208" s="5">
        <f ca="1">IFERROR(__xludf.DUMMYFUNCTION("""COMPUTED_VALUE"""),13247460)</f>
        <v>13247460</v>
      </c>
      <c r="E1208" s="5" t="str">
        <f ca="1">IFERROR(__xludf.DUMMYFUNCTION("""COMPUTED_VALUE"""),"INSPECCION SEMANAL Tanque Jarabe 8")</f>
        <v>INSPECCION SEMANAL Tanque Jarabe 8</v>
      </c>
      <c r="F1208" s="5" t="str">
        <f ca="1">IFERROR(__xludf.DUMMYFUNCTION("""COMPUTED_VALUE"""),"VERIFICAR ESTADO PIEZAS TANQUES (QUE LAS PIEZAS ESTEN COMPLETAS Y EN BUEN ESTADO)")</f>
        <v>VERIFICAR ESTADO PIEZAS TANQUES (QUE LAS PIEZAS ESTEN COMPLETAS Y EN BUEN ESTADO)</v>
      </c>
      <c r="G1208" s="5" t="b">
        <f ca="1">IFERROR(__xludf.DUMMYFUNCTION("""COMPUTED_VALUE"""),TRUE)</f>
        <v>1</v>
      </c>
      <c r="H1208" s="5"/>
      <c r="I1208" s="5"/>
      <c r="J1208" s="5">
        <f ca="1">IFERROR(__xludf.DUMMYFUNCTION("""COMPUTED_VALUE"""),13247460)</f>
        <v>13247460</v>
      </c>
      <c r="K1208" s="5"/>
      <c r="L1208" s="18">
        <f ca="1">IFERROR(__xludf.DUMMYFUNCTION("""COMPUTED_VALUE"""),45324)</f>
        <v>45324</v>
      </c>
      <c r="M1208" s="18">
        <f ca="1">IFERROR(__xludf.DUMMYFUNCTION("""COMPUTED_VALUE"""),45324)</f>
        <v>45324</v>
      </c>
      <c r="N1208" s="5" t="str">
        <f ca="1">IFERROR(__xludf.DUMMYFUNCTION("""COMPUTED_VALUE"""),"Rivas Mena Carlos Danny")</f>
        <v>Rivas Mena Carlos Danny</v>
      </c>
      <c r="O1208" s="2">
        <f ca="1">IFERROR(__xludf.DUMMYFUNCTION("""COMPUTED_VALUE"""),0.02)</f>
        <v>0.02</v>
      </c>
      <c r="P1208" s="5">
        <f ca="1">IFERROR(__xludf.DUMMYFUNCTION("""COMPUTED_VALUE"""),20016283)</f>
        <v>20016283</v>
      </c>
      <c r="Q1208" s="5" t="str">
        <f ca="1">IFERROR(__xludf.DUMMYFUNCTION("""COMPUTED_VALUE"""),"X6Iykg5Lllc")</f>
        <v>X6Iykg5Lllc</v>
      </c>
      <c r="R1208" s="5">
        <f ca="1">IFERROR(__xludf.DUMMYFUNCTION("""COMPUTED_VALUE"""),410)</f>
        <v>410</v>
      </c>
      <c r="S1208" s="62">
        <f ca="1">IFERROR(__xludf.DUMMYFUNCTION("""COMPUTED_VALUE"""),0.02)</f>
        <v>0.02</v>
      </c>
      <c r="T1208" s="63" t="str">
        <f ca="1">IFERROR(__xludf.DUMMYFUNCTION("""COMPUTED_VALUE"""),"https://storage.googleapis.com/glide-prod.appspot.com/uploads-v2/ly7o78grxPaC6KdgvbpS/pub/3aRdSog0vUtuqPE8AJKD.png")</f>
        <v>https://storage.googleapis.com/glide-prod.appspot.com/uploads-v2/ly7o78grxPaC6KdgvbpS/pub/3aRdSog0vUtuqPE8AJKD.png</v>
      </c>
      <c r="U1208" s="5" t="str">
        <f ca="1">IFERROR(__xludf.DUMMYFUNCTION("""COMPUTED_VALUE"""),"EQUIPOS PARA PREPARACION DE JARABETANQUE DE JARABE")</f>
        <v>EQUIPOS PARA PREPARACION DE JARABETANQUE DE JARABE</v>
      </c>
      <c r="V1208" s="5"/>
      <c r="W1208" s="5" t="b">
        <f ca="1">IFERROR(__xludf.DUMMYFUNCTION("""COMPUTED_VALUE"""),TRUE)</f>
        <v>1</v>
      </c>
      <c r="X1208" s="5" t="str">
        <f ca="1">IFERROR(__xludf.DUMMYFUNCTION("""COMPUTED_VALUE"""),"efzapata@postobon.com.co,aprmttoyu@postobon.com.co,aprmyu@postobon.com.co,wmora@postobon.com.co,efzapata@postobon.com.co")</f>
        <v>efzapata@postobon.com.co,aprmttoyu@postobon.com.co,aprmyu@postobon.com.co,wmora@postobon.com.co,efzapata@postobon.com.co</v>
      </c>
      <c r="Y1208" s="5" t="str">
        <f ca="1">IFERROR(__xludf.DUMMYFUNCTION("""COMPUTED_VALUE"""),"efzapata@postobon.com.co")</f>
        <v>efzapata@postobon.com.co</v>
      </c>
      <c r="Z1208" s="5" t="str">
        <f ca="1">IFERROR(__xludf.DUMMYFUNCTION("""COMPUTED_VALUE"""),"Bn7hGp1IRcyxHsWNbcbpJw")</f>
        <v>Bn7hGp1IRcyxHsWNbcbpJw</v>
      </c>
      <c r="AA1208" s="5"/>
      <c r="AB1208" s="5"/>
      <c r="AC1208" s="5"/>
      <c r="AD1208" s="5">
        <f ca="1">IFERROR(__xludf.DUMMYFUNCTION("""COMPUTED_VALUE"""),24)</f>
        <v>24</v>
      </c>
      <c r="AE1208" s="5">
        <f ca="1">IFERROR(__xludf.DUMMYFUNCTION("""COMPUTED_VALUE"""),24)</f>
        <v>24</v>
      </c>
      <c r="AF1208" s="5" t="b">
        <f ca="1">IFERROR(__xludf.DUMMYFUNCTION("""COMPUTED_VALUE"""),FALSE)</f>
        <v>0</v>
      </c>
      <c r="AG1208" s="5" t="str">
        <f ca="1">IFERROR(__xludf.DUMMYFUNCTION("""COMPUTED_VALUE"""),"INSPECCIONES REALIZADAS")</f>
        <v>INSPECCIONES REALIZADAS</v>
      </c>
      <c r="AH1208" s="5"/>
    </row>
    <row r="1209" spans="1:34">
      <c r="A1209" s="5" t="str">
        <f ca="1">IFERROR(__xludf.DUMMYFUNCTION("""COMPUTED_VALUE"""),"EQUIPOS PARA PREPARACION DE JARABE")</f>
        <v>EQUIPOS PARA PREPARACION DE JARABE</v>
      </c>
      <c r="B1209" s="5">
        <f ca="1">IFERROR(__xludf.DUMMYFUNCTION("""COMPUTED_VALUE"""),69963411)</f>
        <v>69963411</v>
      </c>
      <c r="C1209" s="5" t="str">
        <f ca="1">IFERROR(__xludf.DUMMYFUNCTION("""COMPUTED_VALUE"""),"TANQUE DE JARABE")</f>
        <v>TANQUE DE JARABE</v>
      </c>
      <c r="D1209" s="5">
        <f ca="1">IFERROR(__xludf.DUMMYFUNCTION("""COMPUTED_VALUE"""),13247460)</f>
        <v>13247460</v>
      </c>
      <c r="E1209" s="5" t="str">
        <f ca="1">IFERROR(__xludf.DUMMYFUNCTION("""COMPUTED_VALUE"""),"INSPECCION SEMANAL Tanque Jarabe 8")</f>
        <v>INSPECCION SEMANAL Tanque Jarabe 8</v>
      </c>
      <c r="F1209" s="5" t="str">
        <f ca="1">IFERROR(__xludf.DUMMYFUNCTION("""COMPUTED_VALUE"""),"MTTO MEC TK JARABE 8 JARABE TERMINADO")</f>
        <v>MTTO MEC TK JARABE 8 JARABE TERMINADO</v>
      </c>
      <c r="G1209" s="5" t="b">
        <f ca="1">IFERROR(__xludf.DUMMYFUNCTION("""COMPUTED_VALUE"""),TRUE)</f>
        <v>1</v>
      </c>
      <c r="H1209" s="5"/>
      <c r="I1209" s="5"/>
      <c r="J1209" s="5">
        <f ca="1">IFERROR(__xludf.DUMMYFUNCTION("""COMPUTED_VALUE"""),13247460)</f>
        <v>13247460</v>
      </c>
      <c r="K1209" s="5"/>
      <c r="L1209" s="18">
        <f ca="1">IFERROR(__xludf.DUMMYFUNCTION("""COMPUTED_VALUE"""),45324)</f>
        <v>45324</v>
      </c>
      <c r="M1209" s="18">
        <f ca="1">IFERROR(__xludf.DUMMYFUNCTION("""COMPUTED_VALUE"""),45324)</f>
        <v>45324</v>
      </c>
      <c r="N1209" s="5" t="str">
        <f ca="1">IFERROR(__xludf.DUMMYFUNCTION("""COMPUTED_VALUE"""),"Rivas Mena Carlos Danny")</f>
        <v>Rivas Mena Carlos Danny</v>
      </c>
      <c r="O1209" s="2">
        <f ca="1">IFERROR(__xludf.DUMMYFUNCTION("""COMPUTED_VALUE"""),0.02)</f>
        <v>0.02</v>
      </c>
      <c r="P1209" s="5">
        <f ca="1">IFERROR(__xludf.DUMMYFUNCTION("""COMPUTED_VALUE"""),20016283)</f>
        <v>20016283</v>
      </c>
      <c r="Q1209" s="5" t="str">
        <f ca="1">IFERROR(__xludf.DUMMYFUNCTION("""COMPUTED_VALUE"""),"HFxNaOEu50w")</f>
        <v>HFxNaOEu50w</v>
      </c>
      <c r="R1209" s="5">
        <f ca="1">IFERROR(__xludf.DUMMYFUNCTION("""COMPUTED_VALUE"""),410)</f>
        <v>410</v>
      </c>
      <c r="S1209" s="62">
        <f ca="1">IFERROR(__xludf.DUMMYFUNCTION("""COMPUTED_VALUE"""),0.02)</f>
        <v>0.02</v>
      </c>
      <c r="T1209" s="63" t="str">
        <f ca="1">IFERROR(__xludf.DUMMYFUNCTION("""COMPUTED_VALUE"""),"https://storage.googleapis.com/glide-prod.appspot.com/uploads-v2/ly7o78grxPaC6KdgvbpS/pub/3aRdSog0vUtuqPE8AJKD.png")</f>
        <v>https://storage.googleapis.com/glide-prod.appspot.com/uploads-v2/ly7o78grxPaC6KdgvbpS/pub/3aRdSog0vUtuqPE8AJKD.png</v>
      </c>
      <c r="U1209" s="5" t="str">
        <f ca="1">IFERROR(__xludf.DUMMYFUNCTION("""COMPUTED_VALUE"""),"EQUIPOS PARA PREPARACION DE JARABETANQUE DE JARABE")</f>
        <v>EQUIPOS PARA PREPARACION DE JARABETANQUE DE JARABE</v>
      </c>
      <c r="V1209" s="5"/>
      <c r="W1209" s="5" t="b">
        <f ca="1">IFERROR(__xludf.DUMMYFUNCTION("""COMPUTED_VALUE"""),TRUE)</f>
        <v>1</v>
      </c>
      <c r="X1209" s="5" t="str">
        <f ca="1">IFERROR(__xludf.DUMMYFUNCTION("""COMPUTED_VALUE"""),"efzapata@postobon.com.co,aprmttoyu@postobon.com.co,aprmyu@postobon.com.co,wmora@postobon.com.co,efzapata@postobon.com.co")</f>
        <v>efzapata@postobon.com.co,aprmttoyu@postobon.com.co,aprmyu@postobon.com.co,wmora@postobon.com.co,efzapata@postobon.com.co</v>
      </c>
      <c r="Y1209" s="5" t="str">
        <f ca="1">IFERROR(__xludf.DUMMYFUNCTION("""COMPUTED_VALUE"""),"efzapata@postobon.com.co")</f>
        <v>efzapata@postobon.com.co</v>
      </c>
      <c r="Z1209" s="5" t="str">
        <f ca="1">IFERROR(__xludf.DUMMYFUNCTION("""COMPUTED_VALUE"""),"ZJb3iQYiRGeVFcAs5d9l6w")</f>
        <v>ZJb3iQYiRGeVFcAs5d9l6w</v>
      </c>
      <c r="AA1209" s="5"/>
      <c r="AB1209" s="5"/>
      <c r="AC1209" s="5"/>
      <c r="AD1209" s="5">
        <f ca="1">IFERROR(__xludf.DUMMYFUNCTION("""COMPUTED_VALUE"""),24)</f>
        <v>24</v>
      </c>
      <c r="AE1209" s="5">
        <f ca="1">IFERROR(__xludf.DUMMYFUNCTION("""COMPUTED_VALUE"""),24)</f>
        <v>24</v>
      </c>
      <c r="AF1209" s="5" t="b">
        <f ca="1">IFERROR(__xludf.DUMMYFUNCTION("""COMPUTED_VALUE"""),FALSE)</f>
        <v>0</v>
      </c>
      <c r="AG1209" s="5" t="str">
        <f ca="1">IFERROR(__xludf.DUMMYFUNCTION("""COMPUTED_VALUE"""),"INSPECCIONES REALIZADAS")</f>
        <v>INSPECCIONES REALIZADAS</v>
      </c>
      <c r="AH1209" s="5"/>
    </row>
    <row r="1210" spans="1:34">
      <c r="A1210" s="5" t="str">
        <f ca="1">IFERROR(__xludf.DUMMYFUNCTION("""COMPUTED_VALUE"""),"EQUIPOS PARA PREPARACION DE JARABE")</f>
        <v>EQUIPOS PARA PREPARACION DE JARABE</v>
      </c>
      <c r="B1210" s="5">
        <f ca="1">IFERROR(__xludf.DUMMYFUNCTION("""COMPUTED_VALUE"""),69963412)</f>
        <v>69963412</v>
      </c>
      <c r="C1210" s="5" t="str">
        <f ca="1">IFERROR(__xludf.DUMMYFUNCTION("""COMPUTED_VALUE"""),"TANQUE DE JARABE")</f>
        <v>TANQUE DE JARABE</v>
      </c>
      <c r="D1210" s="5">
        <f ca="1">IFERROR(__xludf.DUMMYFUNCTION("""COMPUTED_VALUE"""),13247463)</f>
        <v>13247463</v>
      </c>
      <c r="E1210" s="5" t="str">
        <f ca="1">IFERROR(__xludf.DUMMYFUNCTION("""COMPUTED_VALUE"""),"INSPECCION SEMANAL Tanque Jarabe 9")</f>
        <v>INSPECCION SEMANAL Tanque Jarabe 9</v>
      </c>
      <c r="F1210" s="5" t="str">
        <f ca="1">IFERROR(__xludf.DUMMYFUNCTION("""COMPUTED_VALUE"""),"REVISAR ESTADO TANQUE,TUBERIAS, VALVULAS")</f>
        <v>REVISAR ESTADO TANQUE,TUBERIAS, VALVULAS</v>
      </c>
      <c r="G1210" s="5" t="b">
        <f ca="1">IFERROR(__xludf.DUMMYFUNCTION("""COMPUTED_VALUE"""),TRUE)</f>
        <v>1</v>
      </c>
      <c r="H1210" s="5"/>
      <c r="I1210" s="5"/>
      <c r="J1210" s="5">
        <f ca="1">IFERROR(__xludf.DUMMYFUNCTION("""COMPUTED_VALUE"""),13247463)</f>
        <v>13247463</v>
      </c>
      <c r="K1210" s="5"/>
      <c r="L1210" s="18">
        <f ca="1">IFERROR(__xludf.DUMMYFUNCTION("""COMPUTED_VALUE"""),45325)</f>
        <v>45325</v>
      </c>
      <c r="M1210" s="18">
        <f ca="1">IFERROR(__xludf.DUMMYFUNCTION("""COMPUTED_VALUE"""),45325)</f>
        <v>45325</v>
      </c>
      <c r="N1210" s="5" t="str">
        <f ca="1">IFERROR(__xludf.DUMMYFUNCTION("""COMPUTED_VALUE"""),"Rivas Mena Carlos Danny")</f>
        <v>Rivas Mena Carlos Danny</v>
      </c>
      <c r="O1210" s="2">
        <f ca="1">IFERROR(__xludf.DUMMYFUNCTION("""COMPUTED_VALUE"""),0.02)</f>
        <v>0.02</v>
      </c>
      <c r="P1210" s="5">
        <f ca="1">IFERROR(__xludf.DUMMYFUNCTION("""COMPUTED_VALUE"""),20016283)</f>
        <v>20016283</v>
      </c>
      <c r="Q1210" s="5" t="str">
        <f ca="1">IFERROR(__xludf.DUMMYFUNCTION("""COMPUTED_VALUE"""),"sPJX-mm17LI")</f>
        <v>sPJX-mm17LI</v>
      </c>
      <c r="R1210" s="5">
        <f ca="1">IFERROR(__xludf.DUMMYFUNCTION("""COMPUTED_VALUE"""),410)</f>
        <v>410</v>
      </c>
      <c r="S1210" s="62">
        <f ca="1">IFERROR(__xludf.DUMMYFUNCTION("""COMPUTED_VALUE"""),0.02)</f>
        <v>0.02</v>
      </c>
      <c r="T1210" s="63" t="str">
        <f ca="1">IFERROR(__xludf.DUMMYFUNCTION("""COMPUTED_VALUE"""),"https://storage.googleapis.com/glide-prod.appspot.com/uploads-v2/ly7o78grxPaC6KdgvbpS/pub/3aRdSog0vUtuqPE8AJKD.png")</f>
        <v>https://storage.googleapis.com/glide-prod.appspot.com/uploads-v2/ly7o78grxPaC6KdgvbpS/pub/3aRdSog0vUtuqPE8AJKD.png</v>
      </c>
      <c r="U1210" s="5" t="str">
        <f ca="1">IFERROR(__xludf.DUMMYFUNCTION("""COMPUTED_VALUE"""),"EQUIPOS PARA PREPARACION DE JARABETANQUE DE JARABE")</f>
        <v>EQUIPOS PARA PREPARACION DE JARABETANQUE DE JARABE</v>
      </c>
      <c r="V1210" s="5"/>
      <c r="W1210" s="5" t="b">
        <f ca="1">IFERROR(__xludf.DUMMYFUNCTION("""COMPUTED_VALUE"""),TRUE)</f>
        <v>1</v>
      </c>
      <c r="X1210" s="5" t="str">
        <f ca="1">IFERROR(__xludf.DUMMYFUNCTION("""COMPUTED_VALUE"""),"efzapata@postobon.com.co,aprmttoyu@postobon.com.co,aprmyu@postobon.com.co,wmora@postobon.com.co,efzapata@postobon.com.co")</f>
        <v>efzapata@postobon.com.co,aprmttoyu@postobon.com.co,aprmyu@postobon.com.co,wmora@postobon.com.co,efzapata@postobon.com.co</v>
      </c>
      <c r="Y1210" s="5" t="str">
        <f ca="1">IFERROR(__xludf.DUMMYFUNCTION("""COMPUTED_VALUE"""),"efzapata@postobon.com.co")</f>
        <v>efzapata@postobon.com.co</v>
      </c>
      <c r="Z1210" s="5" t="str">
        <f ca="1">IFERROR(__xludf.DUMMYFUNCTION("""COMPUTED_VALUE"""),"cyOt4JukQwuRwIW3dhHv4Q")</f>
        <v>cyOt4JukQwuRwIW3dhHv4Q</v>
      </c>
      <c r="AA1210" s="5"/>
      <c r="AB1210" s="5"/>
      <c r="AC1210" s="5"/>
      <c r="AD1210" s="5">
        <f ca="1">IFERROR(__xludf.DUMMYFUNCTION("""COMPUTED_VALUE"""),24)</f>
        <v>24</v>
      </c>
      <c r="AE1210" s="5">
        <f ca="1">IFERROR(__xludf.DUMMYFUNCTION("""COMPUTED_VALUE"""),24)</f>
        <v>24</v>
      </c>
      <c r="AF1210" s="5" t="b">
        <f ca="1">IFERROR(__xludf.DUMMYFUNCTION("""COMPUTED_VALUE"""),FALSE)</f>
        <v>0</v>
      </c>
      <c r="AG1210" s="5" t="str">
        <f ca="1">IFERROR(__xludf.DUMMYFUNCTION("""COMPUTED_VALUE"""),"INSPECCIONES REALIZADAS")</f>
        <v>INSPECCIONES REALIZADAS</v>
      </c>
      <c r="AH1210" s="5"/>
    </row>
    <row r="1211" spans="1:34">
      <c r="A1211" s="5" t="str">
        <f ca="1">IFERROR(__xludf.DUMMYFUNCTION("""COMPUTED_VALUE"""),"EQUIPOS PARA PREPARACION DE JARABE")</f>
        <v>EQUIPOS PARA PREPARACION DE JARABE</v>
      </c>
      <c r="B1211" s="5">
        <f ca="1">IFERROR(__xludf.DUMMYFUNCTION("""COMPUTED_VALUE"""),69963412)</f>
        <v>69963412</v>
      </c>
      <c r="C1211" s="5" t="str">
        <f ca="1">IFERROR(__xludf.DUMMYFUNCTION("""COMPUTED_VALUE"""),"TANQUE DE JARABE")</f>
        <v>TANQUE DE JARABE</v>
      </c>
      <c r="D1211" s="5">
        <f ca="1">IFERROR(__xludf.DUMMYFUNCTION("""COMPUTED_VALUE"""),13247463)</f>
        <v>13247463</v>
      </c>
      <c r="E1211" s="5" t="str">
        <f ca="1">IFERROR(__xludf.DUMMYFUNCTION("""COMPUTED_VALUE"""),"INSPECCION SEMANAL Tanque Jarabe 9")</f>
        <v>INSPECCION SEMANAL Tanque Jarabe 9</v>
      </c>
      <c r="F1211" s="5" t="str">
        <f ca="1">IFERROR(__xludf.DUMMYFUNCTION("""COMPUTED_VALUE"""),"INSP. BOMBAS EN GENERAL")</f>
        <v>INSP. BOMBAS EN GENERAL</v>
      </c>
      <c r="G1211" s="5" t="b">
        <f ca="1">IFERROR(__xludf.DUMMYFUNCTION("""COMPUTED_VALUE"""),TRUE)</f>
        <v>1</v>
      </c>
      <c r="H1211" s="5"/>
      <c r="I1211" s="5"/>
      <c r="J1211" s="5">
        <f ca="1">IFERROR(__xludf.DUMMYFUNCTION("""COMPUTED_VALUE"""),13247463)</f>
        <v>13247463</v>
      </c>
      <c r="K1211" s="5"/>
      <c r="L1211" s="18">
        <f ca="1">IFERROR(__xludf.DUMMYFUNCTION("""COMPUTED_VALUE"""),45325)</f>
        <v>45325</v>
      </c>
      <c r="M1211" s="18">
        <f ca="1">IFERROR(__xludf.DUMMYFUNCTION("""COMPUTED_VALUE"""),45325)</f>
        <v>45325</v>
      </c>
      <c r="N1211" s="5" t="str">
        <f ca="1">IFERROR(__xludf.DUMMYFUNCTION("""COMPUTED_VALUE"""),"Rivas Mena Carlos Danny")</f>
        <v>Rivas Mena Carlos Danny</v>
      </c>
      <c r="O1211" s="2">
        <f ca="1">IFERROR(__xludf.DUMMYFUNCTION("""COMPUTED_VALUE"""),0.02)</f>
        <v>0.02</v>
      </c>
      <c r="P1211" s="5">
        <f ca="1">IFERROR(__xludf.DUMMYFUNCTION("""COMPUTED_VALUE"""),20016283)</f>
        <v>20016283</v>
      </c>
      <c r="Q1211" s="5" t="str">
        <f ca="1">IFERROR(__xludf.DUMMYFUNCTION("""COMPUTED_VALUE"""),"DB3HWysBrrw")</f>
        <v>DB3HWysBrrw</v>
      </c>
      <c r="R1211" s="5">
        <f ca="1">IFERROR(__xludf.DUMMYFUNCTION("""COMPUTED_VALUE"""),410)</f>
        <v>410</v>
      </c>
      <c r="S1211" s="62">
        <f ca="1">IFERROR(__xludf.DUMMYFUNCTION("""COMPUTED_VALUE"""),0.02)</f>
        <v>0.02</v>
      </c>
      <c r="T1211" s="63" t="str">
        <f ca="1">IFERROR(__xludf.DUMMYFUNCTION("""COMPUTED_VALUE"""),"https://storage.googleapis.com/glide-prod.appspot.com/uploads-v2/ly7o78grxPaC6KdgvbpS/pub/3aRdSog0vUtuqPE8AJKD.png")</f>
        <v>https://storage.googleapis.com/glide-prod.appspot.com/uploads-v2/ly7o78grxPaC6KdgvbpS/pub/3aRdSog0vUtuqPE8AJKD.png</v>
      </c>
      <c r="U1211" s="5" t="str">
        <f ca="1">IFERROR(__xludf.DUMMYFUNCTION("""COMPUTED_VALUE"""),"EQUIPOS PARA PREPARACION DE JARABETANQUE DE JARABE")</f>
        <v>EQUIPOS PARA PREPARACION DE JARABETANQUE DE JARABE</v>
      </c>
      <c r="V1211" s="5"/>
      <c r="W1211" s="5" t="b">
        <f ca="1">IFERROR(__xludf.DUMMYFUNCTION("""COMPUTED_VALUE"""),TRUE)</f>
        <v>1</v>
      </c>
      <c r="X1211" s="5" t="str">
        <f ca="1">IFERROR(__xludf.DUMMYFUNCTION("""COMPUTED_VALUE"""),"efzapata@postobon.com.co,aprmttoyu@postobon.com.co,aprmyu@postobon.com.co,wmora@postobon.com.co,efzapata@postobon.com.co")</f>
        <v>efzapata@postobon.com.co,aprmttoyu@postobon.com.co,aprmyu@postobon.com.co,wmora@postobon.com.co,efzapata@postobon.com.co</v>
      </c>
      <c r="Y1211" s="5" t="str">
        <f ca="1">IFERROR(__xludf.DUMMYFUNCTION("""COMPUTED_VALUE"""),"efzapata@postobon.com.co")</f>
        <v>efzapata@postobon.com.co</v>
      </c>
      <c r="Z1211" s="5" t="str">
        <f ca="1">IFERROR(__xludf.DUMMYFUNCTION("""COMPUTED_VALUE"""),"HuvwVe4FT-y8e-dEMbvy2w")</f>
        <v>HuvwVe4FT-y8e-dEMbvy2w</v>
      </c>
      <c r="AA1211" s="5"/>
      <c r="AB1211" s="5"/>
      <c r="AC1211" s="5"/>
      <c r="AD1211" s="5">
        <f ca="1">IFERROR(__xludf.DUMMYFUNCTION("""COMPUTED_VALUE"""),24)</f>
        <v>24</v>
      </c>
      <c r="AE1211" s="5">
        <f ca="1">IFERROR(__xludf.DUMMYFUNCTION("""COMPUTED_VALUE"""),24)</f>
        <v>24</v>
      </c>
      <c r="AF1211" s="5" t="b">
        <f ca="1">IFERROR(__xludf.DUMMYFUNCTION("""COMPUTED_VALUE"""),FALSE)</f>
        <v>0</v>
      </c>
      <c r="AG1211" s="5" t="str">
        <f ca="1">IFERROR(__xludf.DUMMYFUNCTION("""COMPUTED_VALUE"""),"INSPECCIONES REALIZADAS")</f>
        <v>INSPECCIONES REALIZADAS</v>
      </c>
      <c r="AH1211" s="5"/>
    </row>
    <row r="1212" spans="1:34">
      <c r="A1212" s="5" t="str">
        <f ca="1">IFERROR(__xludf.DUMMYFUNCTION("""COMPUTED_VALUE"""),"EQUIPOS PARA PREPARACION DE JARABE")</f>
        <v>EQUIPOS PARA PREPARACION DE JARABE</v>
      </c>
      <c r="B1212" s="5">
        <f ca="1">IFERROR(__xludf.DUMMYFUNCTION("""COMPUTED_VALUE"""),69963412)</f>
        <v>69963412</v>
      </c>
      <c r="C1212" s="5" t="str">
        <f ca="1">IFERROR(__xludf.DUMMYFUNCTION("""COMPUTED_VALUE"""),"TANQUE DE JARABE")</f>
        <v>TANQUE DE JARABE</v>
      </c>
      <c r="D1212" s="5">
        <f ca="1">IFERROR(__xludf.DUMMYFUNCTION("""COMPUTED_VALUE"""),13247463)</f>
        <v>13247463</v>
      </c>
      <c r="E1212" s="5" t="str">
        <f ca="1">IFERROR(__xludf.DUMMYFUNCTION("""COMPUTED_VALUE"""),"INSPECCION SEMANAL Tanque Jarabe 9")</f>
        <v>INSPECCION SEMANAL Tanque Jarabe 9</v>
      </c>
      <c r="F1212" s="5" t="str">
        <f ca="1">IFERROR(__xludf.DUMMYFUNCTION("""COMPUTED_VALUE"""),"ESCAPES FLUIDOS(AGUA,AIRE,JARABE)")</f>
        <v>ESCAPES FLUIDOS(AGUA,AIRE,JARABE)</v>
      </c>
      <c r="G1212" s="5" t="b">
        <f ca="1">IFERROR(__xludf.DUMMYFUNCTION("""COMPUTED_VALUE"""),TRUE)</f>
        <v>1</v>
      </c>
      <c r="H1212" s="5"/>
      <c r="I1212" s="5"/>
      <c r="J1212" s="5">
        <f ca="1">IFERROR(__xludf.DUMMYFUNCTION("""COMPUTED_VALUE"""),13247463)</f>
        <v>13247463</v>
      </c>
      <c r="K1212" s="5"/>
      <c r="L1212" s="18">
        <f ca="1">IFERROR(__xludf.DUMMYFUNCTION("""COMPUTED_VALUE"""),45325)</f>
        <v>45325</v>
      </c>
      <c r="M1212" s="18">
        <f ca="1">IFERROR(__xludf.DUMMYFUNCTION("""COMPUTED_VALUE"""),45325)</f>
        <v>45325</v>
      </c>
      <c r="N1212" s="5" t="str">
        <f ca="1">IFERROR(__xludf.DUMMYFUNCTION("""COMPUTED_VALUE"""),"Rivas Mena Carlos Danny")</f>
        <v>Rivas Mena Carlos Danny</v>
      </c>
      <c r="O1212" s="2">
        <f ca="1">IFERROR(__xludf.DUMMYFUNCTION("""COMPUTED_VALUE"""),0.02)</f>
        <v>0.02</v>
      </c>
      <c r="P1212" s="5">
        <f ca="1">IFERROR(__xludf.DUMMYFUNCTION("""COMPUTED_VALUE"""),20016283)</f>
        <v>20016283</v>
      </c>
      <c r="Q1212" s="5" t="str">
        <f ca="1">IFERROR(__xludf.DUMMYFUNCTION("""COMPUTED_VALUE"""),"rA_ed921Pxc")</f>
        <v>rA_ed921Pxc</v>
      </c>
      <c r="R1212" s="5">
        <f ca="1">IFERROR(__xludf.DUMMYFUNCTION("""COMPUTED_VALUE"""),410)</f>
        <v>410</v>
      </c>
      <c r="S1212" s="62">
        <f ca="1">IFERROR(__xludf.DUMMYFUNCTION("""COMPUTED_VALUE"""),0.02)</f>
        <v>0.02</v>
      </c>
      <c r="T1212" s="63" t="str">
        <f ca="1">IFERROR(__xludf.DUMMYFUNCTION("""COMPUTED_VALUE"""),"https://storage.googleapis.com/glide-prod.appspot.com/uploads-v2/ly7o78grxPaC6KdgvbpS/pub/3aRdSog0vUtuqPE8AJKD.png")</f>
        <v>https://storage.googleapis.com/glide-prod.appspot.com/uploads-v2/ly7o78grxPaC6KdgvbpS/pub/3aRdSog0vUtuqPE8AJKD.png</v>
      </c>
      <c r="U1212" s="5" t="str">
        <f ca="1">IFERROR(__xludf.DUMMYFUNCTION("""COMPUTED_VALUE"""),"EQUIPOS PARA PREPARACION DE JARABETANQUE DE JARABE")</f>
        <v>EQUIPOS PARA PREPARACION DE JARABETANQUE DE JARABE</v>
      </c>
      <c r="V1212" s="5"/>
      <c r="W1212" s="5" t="b">
        <f ca="1">IFERROR(__xludf.DUMMYFUNCTION("""COMPUTED_VALUE"""),TRUE)</f>
        <v>1</v>
      </c>
      <c r="X1212" s="5" t="str">
        <f ca="1">IFERROR(__xludf.DUMMYFUNCTION("""COMPUTED_VALUE"""),"efzapata@postobon.com.co,aprmttoyu@postobon.com.co,aprmyu@postobon.com.co,wmora@postobon.com.co,efzapata@postobon.com.co")</f>
        <v>efzapata@postobon.com.co,aprmttoyu@postobon.com.co,aprmyu@postobon.com.co,wmora@postobon.com.co,efzapata@postobon.com.co</v>
      </c>
      <c r="Y1212" s="5" t="str">
        <f ca="1">IFERROR(__xludf.DUMMYFUNCTION("""COMPUTED_VALUE"""),"efzapata@postobon.com.co")</f>
        <v>efzapata@postobon.com.co</v>
      </c>
      <c r="Z1212" s="5" t="str">
        <f ca="1">IFERROR(__xludf.DUMMYFUNCTION("""COMPUTED_VALUE"""),"5VTP-AAYT5GAEpHtM-NbeA")</f>
        <v>5VTP-AAYT5GAEpHtM-NbeA</v>
      </c>
      <c r="AA1212" s="5"/>
      <c r="AB1212" s="5"/>
      <c r="AC1212" s="5"/>
      <c r="AD1212" s="5">
        <f ca="1">IFERROR(__xludf.DUMMYFUNCTION("""COMPUTED_VALUE"""),24)</f>
        <v>24</v>
      </c>
      <c r="AE1212" s="5">
        <f ca="1">IFERROR(__xludf.DUMMYFUNCTION("""COMPUTED_VALUE"""),24)</f>
        <v>24</v>
      </c>
      <c r="AF1212" s="5" t="b">
        <f ca="1">IFERROR(__xludf.DUMMYFUNCTION("""COMPUTED_VALUE"""),FALSE)</f>
        <v>0</v>
      </c>
      <c r="AG1212" s="5" t="str">
        <f ca="1">IFERROR(__xludf.DUMMYFUNCTION("""COMPUTED_VALUE"""),"INSPECCIONES REALIZADAS")</f>
        <v>INSPECCIONES REALIZADAS</v>
      </c>
      <c r="AH1212" s="5"/>
    </row>
    <row r="1213" spans="1:34">
      <c r="A1213" s="5" t="str">
        <f ca="1">IFERROR(__xludf.DUMMYFUNCTION("""COMPUTED_VALUE"""),"EQUIPOS PARA PREPARACION DE JARABE")</f>
        <v>EQUIPOS PARA PREPARACION DE JARABE</v>
      </c>
      <c r="B1213" s="5">
        <f ca="1">IFERROR(__xludf.DUMMYFUNCTION("""COMPUTED_VALUE"""),69963412)</f>
        <v>69963412</v>
      </c>
      <c r="C1213" s="5" t="str">
        <f ca="1">IFERROR(__xludf.DUMMYFUNCTION("""COMPUTED_VALUE"""),"TANQUE DE JARABE")</f>
        <v>TANQUE DE JARABE</v>
      </c>
      <c r="D1213" s="5">
        <f ca="1">IFERROR(__xludf.DUMMYFUNCTION("""COMPUTED_VALUE"""),13247463)</f>
        <v>13247463</v>
      </c>
      <c r="E1213" s="5" t="str">
        <f ca="1">IFERROR(__xludf.DUMMYFUNCTION("""COMPUTED_VALUE"""),"INSPECCION SEMANAL Tanque Jarabe 9")</f>
        <v>INSPECCION SEMANAL Tanque Jarabe 9</v>
      </c>
      <c r="F1213" s="5" t="str">
        <f ca="1">IFERROR(__xludf.DUMMYFUNCTION("""COMPUTED_VALUE"""),"VERIFICAR ESTADO PIEZAS TANQUES (QUE LAS PIEZAS ESTEN COMPLETAS Y EN BUEN ESTADO)")</f>
        <v>VERIFICAR ESTADO PIEZAS TANQUES (QUE LAS PIEZAS ESTEN COMPLETAS Y EN BUEN ESTADO)</v>
      </c>
      <c r="G1213" s="5" t="b">
        <f ca="1">IFERROR(__xludf.DUMMYFUNCTION("""COMPUTED_VALUE"""),TRUE)</f>
        <v>1</v>
      </c>
      <c r="H1213" s="5"/>
      <c r="I1213" s="5"/>
      <c r="J1213" s="5">
        <f ca="1">IFERROR(__xludf.DUMMYFUNCTION("""COMPUTED_VALUE"""),13247463)</f>
        <v>13247463</v>
      </c>
      <c r="K1213" s="5"/>
      <c r="L1213" s="18">
        <f ca="1">IFERROR(__xludf.DUMMYFUNCTION("""COMPUTED_VALUE"""),45325)</f>
        <v>45325</v>
      </c>
      <c r="M1213" s="18">
        <f ca="1">IFERROR(__xludf.DUMMYFUNCTION("""COMPUTED_VALUE"""),45325)</f>
        <v>45325</v>
      </c>
      <c r="N1213" s="5" t="str">
        <f ca="1">IFERROR(__xludf.DUMMYFUNCTION("""COMPUTED_VALUE"""),"Rivas Mena Carlos Danny")</f>
        <v>Rivas Mena Carlos Danny</v>
      </c>
      <c r="O1213" s="2">
        <f ca="1">IFERROR(__xludf.DUMMYFUNCTION("""COMPUTED_VALUE"""),0.02)</f>
        <v>0.02</v>
      </c>
      <c r="P1213" s="5">
        <f ca="1">IFERROR(__xludf.DUMMYFUNCTION("""COMPUTED_VALUE"""),20016283)</f>
        <v>20016283</v>
      </c>
      <c r="Q1213" s="5" t="str">
        <f ca="1">IFERROR(__xludf.DUMMYFUNCTION("""COMPUTED_VALUE"""),"bmcUncnS5Xw")</f>
        <v>bmcUncnS5Xw</v>
      </c>
      <c r="R1213" s="5">
        <f ca="1">IFERROR(__xludf.DUMMYFUNCTION("""COMPUTED_VALUE"""),410)</f>
        <v>410</v>
      </c>
      <c r="S1213" s="62">
        <f ca="1">IFERROR(__xludf.DUMMYFUNCTION("""COMPUTED_VALUE"""),0.02)</f>
        <v>0.02</v>
      </c>
      <c r="T1213" s="63" t="str">
        <f ca="1">IFERROR(__xludf.DUMMYFUNCTION("""COMPUTED_VALUE"""),"https://storage.googleapis.com/glide-prod.appspot.com/uploads-v2/ly7o78grxPaC6KdgvbpS/pub/3aRdSog0vUtuqPE8AJKD.png")</f>
        <v>https://storage.googleapis.com/glide-prod.appspot.com/uploads-v2/ly7o78grxPaC6KdgvbpS/pub/3aRdSog0vUtuqPE8AJKD.png</v>
      </c>
      <c r="U1213" s="5" t="str">
        <f ca="1">IFERROR(__xludf.DUMMYFUNCTION("""COMPUTED_VALUE"""),"EQUIPOS PARA PREPARACION DE JARABETANQUE DE JARABE")</f>
        <v>EQUIPOS PARA PREPARACION DE JARABETANQUE DE JARABE</v>
      </c>
      <c r="V1213" s="5"/>
      <c r="W1213" s="5" t="b">
        <f ca="1">IFERROR(__xludf.DUMMYFUNCTION("""COMPUTED_VALUE"""),TRUE)</f>
        <v>1</v>
      </c>
      <c r="X1213" s="5" t="str">
        <f ca="1">IFERROR(__xludf.DUMMYFUNCTION("""COMPUTED_VALUE"""),"efzapata@postobon.com.co,aprmttoyu@postobon.com.co,aprmyu@postobon.com.co,wmora@postobon.com.co,efzapata@postobon.com.co")</f>
        <v>efzapata@postobon.com.co,aprmttoyu@postobon.com.co,aprmyu@postobon.com.co,wmora@postobon.com.co,efzapata@postobon.com.co</v>
      </c>
      <c r="Y1213" s="5" t="str">
        <f ca="1">IFERROR(__xludf.DUMMYFUNCTION("""COMPUTED_VALUE"""),"efzapata@postobon.com.co")</f>
        <v>efzapata@postobon.com.co</v>
      </c>
      <c r="Z1213" s="5" t="str">
        <f ca="1">IFERROR(__xludf.DUMMYFUNCTION("""COMPUTED_VALUE"""),"cavknjcsQIaRH00igBjpFA")</f>
        <v>cavknjcsQIaRH00igBjpFA</v>
      </c>
      <c r="AA1213" s="5"/>
      <c r="AB1213" s="5"/>
      <c r="AC1213" s="5"/>
      <c r="AD1213" s="5">
        <f ca="1">IFERROR(__xludf.DUMMYFUNCTION("""COMPUTED_VALUE"""),24)</f>
        <v>24</v>
      </c>
      <c r="AE1213" s="5">
        <f ca="1">IFERROR(__xludf.DUMMYFUNCTION("""COMPUTED_VALUE"""),24)</f>
        <v>24</v>
      </c>
      <c r="AF1213" s="5" t="b">
        <f ca="1">IFERROR(__xludf.DUMMYFUNCTION("""COMPUTED_VALUE"""),FALSE)</f>
        <v>0</v>
      </c>
      <c r="AG1213" s="5" t="str">
        <f ca="1">IFERROR(__xludf.DUMMYFUNCTION("""COMPUTED_VALUE"""),"INSPECCIONES REALIZADAS")</f>
        <v>INSPECCIONES REALIZADAS</v>
      </c>
      <c r="AH1213" s="5"/>
    </row>
    <row r="1214" spans="1:34">
      <c r="A1214" s="5" t="str">
        <f ca="1">IFERROR(__xludf.DUMMYFUNCTION("""COMPUTED_VALUE"""),"EQUIPOS PARA PREPARACION DE JARABE")</f>
        <v>EQUIPOS PARA PREPARACION DE JARABE</v>
      </c>
      <c r="B1214" s="5">
        <f ca="1">IFERROR(__xludf.DUMMYFUNCTION("""COMPUTED_VALUE"""),69963412)</f>
        <v>69963412</v>
      </c>
      <c r="C1214" s="5" t="str">
        <f ca="1">IFERROR(__xludf.DUMMYFUNCTION("""COMPUTED_VALUE"""),"TANQUE DE JARABE")</f>
        <v>TANQUE DE JARABE</v>
      </c>
      <c r="D1214" s="5">
        <f ca="1">IFERROR(__xludf.DUMMYFUNCTION("""COMPUTED_VALUE"""),13247463)</f>
        <v>13247463</v>
      </c>
      <c r="E1214" s="5" t="str">
        <f ca="1">IFERROR(__xludf.DUMMYFUNCTION("""COMPUTED_VALUE"""),"INSPECCION SEMANAL Tanque Jarabe 9")</f>
        <v>INSPECCION SEMANAL Tanque Jarabe 9</v>
      </c>
      <c r="F1214" s="5" t="str">
        <f ca="1">IFERROR(__xludf.DUMMYFUNCTION("""COMPUTED_VALUE"""),"MTTO MEC TK JARABE 9 JARABE TERMINADO")</f>
        <v>MTTO MEC TK JARABE 9 JARABE TERMINADO</v>
      </c>
      <c r="G1214" s="5" t="b">
        <f ca="1">IFERROR(__xludf.DUMMYFUNCTION("""COMPUTED_VALUE"""),TRUE)</f>
        <v>1</v>
      </c>
      <c r="H1214" s="5"/>
      <c r="I1214" s="5"/>
      <c r="J1214" s="5">
        <f ca="1">IFERROR(__xludf.DUMMYFUNCTION("""COMPUTED_VALUE"""),13247463)</f>
        <v>13247463</v>
      </c>
      <c r="K1214" s="5"/>
      <c r="L1214" s="18">
        <f ca="1">IFERROR(__xludf.DUMMYFUNCTION("""COMPUTED_VALUE"""),45325)</f>
        <v>45325</v>
      </c>
      <c r="M1214" s="18">
        <f ca="1">IFERROR(__xludf.DUMMYFUNCTION("""COMPUTED_VALUE"""),45325)</f>
        <v>45325</v>
      </c>
      <c r="N1214" s="5" t="str">
        <f ca="1">IFERROR(__xludf.DUMMYFUNCTION("""COMPUTED_VALUE"""),"Rivas Mena Carlos Danny")</f>
        <v>Rivas Mena Carlos Danny</v>
      </c>
      <c r="O1214" s="2">
        <f ca="1">IFERROR(__xludf.DUMMYFUNCTION("""COMPUTED_VALUE"""),0.02)</f>
        <v>0.02</v>
      </c>
      <c r="P1214" s="5">
        <f ca="1">IFERROR(__xludf.DUMMYFUNCTION("""COMPUTED_VALUE"""),20016283)</f>
        <v>20016283</v>
      </c>
      <c r="Q1214" s="5" t="str">
        <f ca="1">IFERROR(__xludf.DUMMYFUNCTION("""COMPUTED_VALUE"""),"4vRxJcraeXY")</f>
        <v>4vRxJcraeXY</v>
      </c>
      <c r="R1214" s="5">
        <f ca="1">IFERROR(__xludf.DUMMYFUNCTION("""COMPUTED_VALUE"""),410)</f>
        <v>410</v>
      </c>
      <c r="S1214" s="62">
        <f ca="1">IFERROR(__xludf.DUMMYFUNCTION("""COMPUTED_VALUE"""),0.02)</f>
        <v>0.02</v>
      </c>
      <c r="T1214" s="63" t="str">
        <f ca="1">IFERROR(__xludf.DUMMYFUNCTION("""COMPUTED_VALUE"""),"https://storage.googleapis.com/glide-prod.appspot.com/uploads-v2/ly7o78grxPaC6KdgvbpS/pub/3aRdSog0vUtuqPE8AJKD.png")</f>
        <v>https://storage.googleapis.com/glide-prod.appspot.com/uploads-v2/ly7o78grxPaC6KdgvbpS/pub/3aRdSog0vUtuqPE8AJKD.png</v>
      </c>
      <c r="U1214" s="5" t="str">
        <f ca="1">IFERROR(__xludf.DUMMYFUNCTION("""COMPUTED_VALUE"""),"EQUIPOS PARA PREPARACION DE JARABETANQUE DE JARABE")</f>
        <v>EQUIPOS PARA PREPARACION DE JARABETANQUE DE JARABE</v>
      </c>
      <c r="V1214" s="5"/>
      <c r="W1214" s="5" t="b">
        <f ca="1">IFERROR(__xludf.DUMMYFUNCTION("""COMPUTED_VALUE"""),TRUE)</f>
        <v>1</v>
      </c>
      <c r="X1214" s="5" t="str">
        <f ca="1">IFERROR(__xludf.DUMMYFUNCTION("""COMPUTED_VALUE"""),"efzapata@postobon.com.co,aprmttoyu@postobon.com.co,aprmyu@postobon.com.co,wmora@postobon.com.co,efzapata@postobon.com.co")</f>
        <v>efzapata@postobon.com.co,aprmttoyu@postobon.com.co,aprmyu@postobon.com.co,wmora@postobon.com.co,efzapata@postobon.com.co</v>
      </c>
      <c r="Y1214" s="5" t="str">
        <f ca="1">IFERROR(__xludf.DUMMYFUNCTION("""COMPUTED_VALUE"""),"efzapata@postobon.com.co")</f>
        <v>efzapata@postobon.com.co</v>
      </c>
      <c r="Z1214" s="5" t="str">
        <f ca="1">IFERROR(__xludf.DUMMYFUNCTION("""COMPUTED_VALUE"""),"PzlLoci6SUO4f8nTVH4MAw")</f>
        <v>PzlLoci6SUO4f8nTVH4MAw</v>
      </c>
      <c r="AA1214" s="5"/>
      <c r="AB1214" s="5"/>
      <c r="AC1214" s="5"/>
      <c r="AD1214" s="5">
        <f ca="1">IFERROR(__xludf.DUMMYFUNCTION("""COMPUTED_VALUE"""),24)</f>
        <v>24</v>
      </c>
      <c r="AE1214" s="5">
        <f ca="1">IFERROR(__xludf.DUMMYFUNCTION("""COMPUTED_VALUE"""),24)</f>
        <v>24</v>
      </c>
      <c r="AF1214" s="5" t="b">
        <f ca="1">IFERROR(__xludf.DUMMYFUNCTION("""COMPUTED_VALUE"""),FALSE)</f>
        <v>0</v>
      </c>
      <c r="AG1214" s="5" t="str">
        <f ca="1">IFERROR(__xludf.DUMMYFUNCTION("""COMPUTED_VALUE"""),"INSPECCIONES REALIZADAS")</f>
        <v>INSPECCIONES REALIZADAS</v>
      </c>
      <c r="AH1214" s="5"/>
    </row>
    <row r="1215" spans="1:34">
      <c r="A1215" s="5" t="str">
        <f ca="1">IFERROR(__xludf.DUMMYFUNCTION("""COMPUTED_VALUE"""),"EQUIPOS PARA SERVICIOS INDUSTRIALES")</f>
        <v>EQUIPOS PARA SERVICIOS INDUSTRIALES</v>
      </c>
      <c r="B1215" s="5">
        <f ca="1">IFERROR(__xludf.DUMMYFUNCTION("""COMPUTED_VALUE"""),709930)</f>
        <v>709930</v>
      </c>
      <c r="C1215" s="5" t="str">
        <f ca="1">IFERROR(__xludf.DUMMYFUNCTION("""COMPUTED_VALUE"""),"TANQUE Y BASCULA DE CO2")</f>
        <v>TANQUE Y BASCULA DE CO2</v>
      </c>
      <c r="D1215" s="5">
        <f ca="1">IFERROR(__xludf.DUMMYFUNCTION("""COMPUTED_VALUE"""),13247530)</f>
        <v>13247530</v>
      </c>
      <c r="E1215" s="5" t="str">
        <f ca="1">IFERROR(__xludf.DUMMYFUNCTION("""COMPUTED_VALUE"""),"INSPECCION SEMANAL TANQUE Y BASCULA DE C")</f>
        <v>INSPECCION SEMANAL TANQUE Y BASCULA DE C</v>
      </c>
      <c r="F1215" s="5" t="str">
        <f ca="1">IFERROR(__xludf.DUMMYFUNCTION("""COMPUTED_VALUE"""),"PLAN MTTO ELE TANQUE-BASCULA CO2 709930")</f>
        <v>PLAN MTTO ELE TANQUE-BASCULA CO2 709930</v>
      </c>
      <c r="G1215" s="5" t="b">
        <f ca="1">IFERROR(__xludf.DUMMYFUNCTION("""COMPUTED_VALUE"""),TRUE)</f>
        <v>1</v>
      </c>
      <c r="H1215" s="5"/>
      <c r="I1215" s="5"/>
      <c r="J1215" s="5">
        <f ca="1">IFERROR(__xludf.DUMMYFUNCTION("""COMPUTED_VALUE"""),13247530)</f>
        <v>13247530</v>
      </c>
      <c r="K1215" s="5"/>
      <c r="L1215" s="18">
        <f ca="1">IFERROR(__xludf.DUMMYFUNCTION("""COMPUTED_VALUE"""),45324)</f>
        <v>45324</v>
      </c>
      <c r="M1215" s="18">
        <f ca="1">IFERROR(__xludf.DUMMYFUNCTION("""COMPUTED_VALUE"""),45324)</f>
        <v>45324</v>
      </c>
      <c r="N1215" s="5" t="str">
        <f ca="1">IFERROR(__xludf.DUMMYFUNCTION("""COMPUTED_VALUE"""),"Henao William")</f>
        <v>Henao William</v>
      </c>
      <c r="O1215" s="2">
        <f ca="1">IFERROR(__xludf.DUMMYFUNCTION("""COMPUTED_VALUE"""),0.009090909)</f>
        <v>9.0909089999999994E-3</v>
      </c>
      <c r="P1215" s="5">
        <f ca="1">IFERROR(__xludf.DUMMYFUNCTION("""COMPUTED_VALUE"""),20009827)</f>
        <v>20009827</v>
      </c>
      <c r="Q1215" s="5" t="str">
        <f ca="1">IFERROR(__xludf.DUMMYFUNCTION("""COMPUTED_VALUE"""),"HaeDJ6AcnU0")</f>
        <v>HaeDJ6AcnU0</v>
      </c>
      <c r="R1215" s="5">
        <f ca="1">IFERROR(__xludf.DUMMYFUNCTION("""COMPUTED_VALUE"""),410)</f>
        <v>410</v>
      </c>
      <c r="S1215" s="62">
        <f ca="1">IFERROR(__xludf.DUMMYFUNCTION("""COMPUTED_VALUE"""),0.009090909)</f>
        <v>9.0909089999999994E-3</v>
      </c>
      <c r="T1215" s="63" t="str">
        <f ca="1">IFERROR(__xludf.DUMMYFUNCTION("""COMPUTED_VALUE"""),"https://storage.googleapis.com/glide-prod.appspot.com/uploads-v2/ly7o78grxPaC6KdgvbpS/pub/3aRdSog0vUtuqPE8AJKD.png")</f>
        <v>https://storage.googleapis.com/glide-prod.appspot.com/uploads-v2/ly7o78grxPaC6KdgvbpS/pub/3aRdSog0vUtuqPE8AJKD.png</v>
      </c>
      <c r="U1215" s="5" t="str">
        <f ca="1">IFERROR(__xludf.DUMMYFUNCTION("""COMPUTED_VALUE"""),"EQUIPOS PARA SERVICIOS INDUSTRIALESTANQUE Y BASCULA DE CO2")</f>
        <v>EQUIPOS PARA SERVICIOS INDUSTRIALESTANQUE Y BASCULA DE CO2</v>
      </c>
      <c r="V1215" s="5"/>
      <c r="W1215" s="5" t="b">
        <f ca="1">IFERROR(__xludf.DUMMYFUNCTION("""COMPUTED_VALUE"""),TRUE)</f>
        <v>1</v>
      </c>
      <c r="X1215" s="5" t="str">
        <f ca="1">IFERROR(__xludf.DUMMYFUNCTION("""COMPUTED_VALUE"""),"wmazorra@postobon.com.co,aprmttoyu@postobon.com.co,aprmyu@postobon.com.co,wmora@postobon.com.co,efzapata@postobon.com.co")</f>
        <v>wmazorra@postobon.com.co,aprmttoyu@postobon.com.co,aprmyu@postobon.com.co,wmora@postobon.com.co,efzapata@postobon.com.co</v>
      </c>
      <c r="Y1215" s="5" t="str">
        <f ca="1">IFERROR(__xludf.DUMMYFUNCTION("""COMPUTED_VALUE"""),"wmazorra@postobon.com.co")</f>
        <v>wmazorra@postobon.com.co</v>
      </c>
      <c r="Z1215" s="5" t="str">
        <f ca="1">IFERROR(__xludf.DUMMYFUNCTION("""COMPUTED_VALUE"""),"MXOf9feNRMOAfJU3a.KmWw")</f>
        <v>MXOf9feNRMOAfJU3a.KmWw</v>
      </c>
      <c r="AA1215" s="5"/>
      <c r="AB1215" s="5"/>
      <c r="AC1215" s="5"/>
      <c r="AD1215" s="5">
        <f ca="1">IFERROR(__xludf.DUMMYFUNCTION("""COMPUTED_VALUE"""),78)</f>
        <v>78</v>
      </c>
      <c r="AE1215" s="5">
        <f ca="1">IFERROR(__xludf.DUMMYFUNCTION("""COMPUTED_VALUE"""),77)</f>
        <v>77</v>
      </c>
      <c r="AF1215" s="5" t="b">
        <f ca="1">IFERROR(__xludf.DUMMYFUNCTION("""COMPUTED_VALUE"""),FALSE)</f>
        <v>0</v>
      </c>
      <c r="AG1215" s="5" t="str">
        <f ca="1">IFERROR(__xludf.DUMMYFUNCTION("""COMPUTED_VALUE"""),"INSPECCIONES REALIZADAS")</f>
        <v>INSPECCIONES REALIZADAS</v>
      </c>
      <c r="AH1215" s="5"/>
    </row>
    <row r="1216" spans="1:34">
      <c r="A1216" s="5" t="str">
        <f ca="1">IFERROR(__xludf.DUMMYFUNCTION("""COMPUTED_VALUE"""),"LINEA DE ENVASADO JUGOS PET HOT FILL")</f>
        <v>LINEA DE ENVASADO JUGOS PET HOT FILL</v>
      </c>
      <c r="B1216" s="5">
        <f ca="1">IFERROR(__xludf.DUMMYFUNCTION("""COMPUTED_VALUE"""),739536)</f>
        <v>739536</v>
      </c>
      <c r="C1216" s="5" t="str">
        <f ca="1">IFERROR(__xludf.DUMMYFUNCTION("""COMPUTED_VALUE"""),"TERMOFORMADO FULL BODY")</f>
        <v>TERMOFORMADO FULL BODY</v>
      </c>
      <c r="D1216" s="5">
        <f ca="1">IFERROR(__xludf.DUMMYFUNCTION("""COMPUTED_VALUE"""),13247778)</f>
        <v>13247778</v>
      </c>
      <c r="E1216" s="5" t="str">
        <f ca="1">IFERROR(__xludf.DUMMYFUNCTION("""COMPUTED_VALUE"""),"INSPECCION SEMANAL TERMOFORMADO FULL BOD")</f>
        <v>INSPECCION SEMANAL TERMOFORMADO FULL BOD</v>
      </c>
      <c r="F1216" s="5" t="str">
        <f ca="1">IFERROR(__xludf.DUMMYFUNCTION("""COMPUTED_VALUE"""),"PLAN MTTO TERMOFORMADO FULL BODY 739536")</f>
        <v>PLAN MTTO TERMOFORMADO FULL BODY 739536</v>
      </c>
      <c r="G1216" s="5" t="b">
        <f ca="1">IFERROR(__xludf.DUMMYFUNCTION("""COMPUTED_VALUE"""),TRUE)</f>
        <v>1</v>
      </c>
      <c r="H1216" s="5"/>
      <c r="I1216" s="5"/>
      <c r="J1216" s="5">
        <f ca="1">IFERROR(__xludf.DUMMYFUNCTION("""COMPUTED_VALUE"""),13247778)</f>
        <v>13247778</v>
      </c>
      <c r="K1216" s="5"/>
      <c r="L1216" s="18">
        <f ca="1">IFERROR(__xludf.DUMMYFUNCTION("""COMPUTED_VALUE"""),45324)</f>
        <v>45324</v>
      </c>
      <c r="M1216" s="18">
        <f ca="1">IFERROR(__xludf.DUMMYFUNCTION("""COMPUTED_VALUE"""),45324)</f>
        <v>45324</v>
      </c>
      <c r="N1216" s="5" t="str">
        <f ca="1">IFERROR(__xludf.DUMMYFUNCTION("""COMPUTED_VALUE"""),"Bedoya Marin Johan Andres")</f>
        <v>Bedoya Marin Johan Andres</v>
      </c>
      <c r="O1216" s="2">
        <f ca="1">IFERROR(__xludf.DUMMYFUNCTION("""COMPUTED_VALUE"""),0.1)</f>
        <v>0.1</v>
      </c>
      <c r="P1216" s="5">
        <f ca="1">IFERROR(__xludf.DUMMYFUNCTION("""COMPUTED_VALUE"""),20019988)</f>
        <v>20019988</v>
      </c>
      <c r="Q1216" s="5" t="str">
        <f ca="1">IFERROR(__xludf.DUMMYFUNCTION("""COMPUTED_VALUE"""),"zo6MaG3IMWM")</f>
        <v>zo6MaG3IMWM</v>
      </c>
      <c r="R1216" s="5">
        <f ca="1">IFERROR(__xludf.DUMMYFUNCTION("""COMPUTED_VALUE"""),410)</f>
        <v>410</v>
      </c>
      <c r="S1216" s="62">
        <f ca="1">IFERROR(__xludf.DUMMYFUNCTION("""COMPUTED_VALUE"""),0.1)</f>
        <v>0.1</v>
      </c>
      <c r="T1216" s="63" t="str">
        <f ca="1">IFERROR(__xludf.DUMMYFUNCTION("""COMPUTED_VALUE"""),"https://storage.googleapis.com/glide-prod.appspot.com/uploads-v2/ly7o78grxPaC6KdgvbpS/pub/3aRdSog0vUtuqPE8AJKD.png")</f>
        <v>https://storage.googleapis.com/glide-prod.appspot.com/uploads-v2/ly7o78grxPaC6KdgvbpS/pub/3aRdSog0vUtuqPE8AJKD.png</v>
      </c>
      <c r="U1216" s="5" t="str">
        <f ca="1">IFERROR(__xludf.DUMMYFUNCTION("""COMPUTED_VALUE"""),"LINEA DE ENVASADO JUGOS PET HOT FILLTERMOFORMADO FULL BODY")</f>
        <v>LINEA DE ENVASADO JUGOS PET HOT FILLTERMOFORMADO FULL BODY</v>
      </c>
      <c r="V1216" s="5"/>
      <c r="W1216" s="5" t="b">
        <f ca="1">IFERROR(__xludf.DUMMYFUNCTION("""COMPUTED_VALUE"""),TRUE)</f>
        <v>1</v>
      </c>
      <c r="X1216" s="5" t="str">
        <f ca="1">IFERROR(__xludf.DUMMYFUNCTION("""COMPUTED_VALUE"""),"achavezi@postobon.com.co,aprmttoyu@postobon.com.co,aprmyu@postobon.com.co,wmora@postobon.com.co,efzapata@postobon.com.co")</f>
        <v>achavezi@postobon.com.co,aprmttoyu@postobon.com.co,aprmyu@postobon.com.co,wmora@postobon.com.co,efzapata@postobon.com.co</v>
      </c>
      <c r="Y1216" s="5" t="str">
        <f ca="1">IFERROR(__xludf.DUMMYFUNCTION("""COMPUTED_VALUE"""),"achavezi@postobon.com.co")</f>
        <v>achavezi@postobon.com.co</v>
      </c>
      <c r="Z1216" s="5" t="str">
        <f ca="1">IFERROR(__xludf.DUMMYFUNCTION("""COMPUTED_VALUE"""),"yaV-jeTTTF6MKsi9efOR1g")</f>
        <v>yaV-jeTTTF6MKsi9efOR1g</v>
      </c>
      <c r="AA1216" s="5"/>
      <c r="AB1216" s="5"/>
      <c r="AC1216" s="5"/>
      <c r="AD1216" s="5">
        <f ca="1">IFERROR(__xludf.DUMMYFUNCTION("""COMPUTED_VALUE"""),30)</f>
        <v>30</v>
      </c>
      <c r="AE1216" s="5">
        <f ca="1">IFERROR(__xludf.DUMMYFUNCTION("""COMPUTED_VALUE"""),30)</f>
        <v>30</v>
      </c>
      <c r="AF1216" s="5" t="b">
        <f ca="1">IFERROR(__xludf.DUMMYFUNCTION("""COMPUTED_VALUE"""),FALSE)</f>
        <v>0</v>
      </c>
      <c r="AG1216" s="5" t="str">
        <f ca="1">IFERROR(__xludf.DUMMYFUNCTION("""COMPUTED_VALUE"""),"INSPECCIONES REALIZADAS")</f>
        <v>INSPECCIONES REALIZADAS</v>
      </c>
      <c r="AH1216" s="5"/>
    </row>
    <row r="1217" spans="1:34">
      <c r="A1217" s="5" t="str">
        <f ca="1">IFERROR(__xludf.DUMMYFUNCTION("""COMPUTED_VALUE"""),"LINEA DE ENVASADO JUGOS PET HOT FILL")</f>
        <v>LINEA DE ENVASADO JUGOS PET HOT FILL</v>
      </c>
      <c r="B1217" s="5">
        <f ca="1">IFERROR(__xludf.DUMMYFUNCTION("""COMPUTED_VALUE"""),739537)</f>
        <v>739537</v>
      </c>
      <c r="C1217" s="5" t="str">
        <f ca="1">IFERROR(__xludf.DUMMYFUNCTION("""COMPUTED_VALUE"""),"TERMOFORMADO PAQUETES")</f>
        <v>TERMOFORMADO PAQUETES</v>
      </c>
      <c r="D1217" s="5">
        <f ca="1">IFERROR(__xludf.DUMMYFUNCTION("""COMPUTED_VALUE"""),13247781)</f>
        <v>13247781</v>
      </c>
      <c r="E1217" s="5" t="str">
        <f ca="1">IFERROR(__xludf.DUMMYFUNCTION("""COMPUTED_VALUE"""),"INSPECCION SEMANAL TERMOFORMADO PAQUETES")</f>
        <v>INSPECCION SEMANAL TERMOFORMADO PAQUETES</v>
      </c>
      <c r="F1217" s="5" t="str">
        <f ca="1">IFERROR(__xludf.DUMMYFUNCTION("""COMPUTED_VALUE"""),"PLAN MTTO MEC HORNO ENFARDAD 739537 L8")</f>
        <v>PLAN MTTO MEC HORNO ENFARDAD 739537 L8</v>
      </c>
      <c r="G1217" s="5"/>
      <c r="H1217" s="5"/>
      <c r="I1217" s="5"/>
      <c r="J1217" s="5"/>
      <c r="K1217" s="5"/>
      <c r="L1217" s="18">
        <f ca="1">IFERROR(__xludf.DUMMYFUNCTION("""COMPUTED_VALUE"""),45325)</f>
        <v>45325</v>
      </c>
      <c r="M1217" s="18">
        <f ca="1">IFERROR(__xludf.DUMMYFUNCTION("""COMPUTED_VALUE"""),45325)</f>
        <v>45325</v>
      </c>
      <c r="N1217" s="5" t="str">
        <f ca="1">IFERROR(__xludf.DUMMYFUNCTION("""COMPUTED_VALUE"""),"Lopez Correa Jonathan")</f>
        <v>Lopez Correa Jonathan</v>
      </c>
      <c r="O1217" s="2">
        <f ca="1">IFERROR(__xludf.DUMMYFUNCTION("""COMPUTED_VALUE"""),0.1)</f>
        <v>0.1</v>
      </c>
      <c r="P1217" s="5"/>
      <c r="Q1217" s="5" t="str">
        <f ca="1">IFERROR(__xludf.DUMMYFUNCTION("""COMPUTED_VALUE"""),"CGQGN7UXTQc")</f>
        <v>CGQGN7UXTQc</v>
      </c>
      <c r="R1217" s="5">
        <f ca="1">IFERROR(__xludf.DUMMYFUNCTION("""COMPUTED_VALUE"""),410)</f>
        <v>410</v>
      </c>
      <c r="S1217" s="62">
        <f ca="1">IFERROR(__xludf.DUMMYFUNCTION("""COMPUTED_VALUE"""),0.1)</f>
        <v>0.1</v>
      </c>
      <c r="T1217" s="63" t="str">
        <f ca="1">IFERROR(__xludf.DUMMYFUNCTION("""COMPUTED_VALUE"""),"https://storage.googleapis.com/glide-prod.appspot.com/uploads-v2/ly7o78grxPaC6KdgvbpS/pub/UliJWgpEaBovaFmXi6OW.png")</f>
        <v>https://storage.googleapis.com/glide-prod.appspot.com/uploads-v2/ly7o78grxPaC6KdgvbpS/pub/UliJWgpEaBovaFmXi6OW.png</v>
      </c>
      <c r="U1217" s="5" t="str">
        <f ca="1">IFERROR(__xludf.DUMMYFUNCTION("""COMPUTED_VALUE"""),"LINEA DE ENVASADO JUGOS PET HOT FILLTERMOFORMADO PAQUETES")</f>
        <v>LINEA DE ENVASADO JUGOS PET HOT FILLTERMOFORMADO PAQUETES</v>
      </c>
      <c r="V1217" s="5"/>
      <c r="W1217" s="5"/>
      <c r="X1217" s="5" t="str">
        <f ca="1">IFERROR(__xludf.DUMMYFUNCTION("""COMPUTED_VALUE"""),"achavezi@postobon.com.co,aprmttoyu@postobon.com.co,aprmyu@postobon.com.co,wmora@postobon.com.co,efzapata@postobon.com.co")</f>
        <v>achavezi@postobon.com.co,aprmttoyu@postobon.com.co,aprmyu@postobon.com.co,wmora@postobon.com.co,efzapata@postobon.com.co</v>
      </c>
      <c r="Y1217" s="5" t="str">
        <f ca="1">IFERROR(__xludf.DUMMYFUNCTION("""COMPUTED_VALUE"""),"achavezi@postobon.com.co")</f>
        <v>achavezi@postobon.com.co</v>
      </c>
      <c r="Z1217" s="5" t="str">
        <f ca="1">IFERROR(__xludf.DUMMYFUNCTION("""COMPUTED_VALUE"""),"WE8gdCoiTv-O7cCLgUpieA")</f>
        <v>WE8gdCoiTv-O7cCLgUpieA</v>
      </c>
      <c r="AA1217" s="5"/>
      <c r="AB1217" s="5"/>
      <c r="AC1217" s="5"/>
      <c r="AD1217" s="5">
        <f ca="1">IFERROR(__xludf.DUMMYFUNCTION("""COMPUTED_VALUE"""),26)</f>
        <v>26</v>
      </c>
      <c r="AE1217" s="5">
        <f ca="1">IFERROR(__xludf.DUMMYFUNCTION("""COMPUTED_VALUE"""),0)</f>
        <v>0</v>
      </c>
      <c r="AF1217" s="5" t="b">
        <f ca="1">IFERROR(__xludf.DUMMYFUNCTION("""COMPUTED_VALUE"""),TRUE)</f>
        <v>1</v>
      </c>
      <c r="AG1217" s="5" t="str">
        <f ca="1">IFERROR(__xludf.DUMMYFUNCTION("""COMPUTED_VALUE"""),"INSPECCIONES SIN REALIZAR")</f>
        <v>INSPECCIONES SIN REALIZAR</v>
      </c>
      <c r="AH1217" s="5"/>
    </row>
    <row r="1218" spans="1:34">
      <c r="A1218" s="5" t="str">
        <f ca="1">IFERROR(__xludf.DUMMYFUNCTION("""COMPUTED_VALUE"""),"LINEA DE ENVASADO PET NO RETORNABLE")</f>
        <v>LINEA DE ENVASADO PET NO RETORNABLE</v>
      </c>
      <c r="B1218" s="5">
        <f ca="1">IFERROR(__xludf.DUMMYFUNCTION("""COMPUTED_VALUE"""),51863501)</f>
        <v>51863501</v>
      </c>
      <c r="C1218" s="5" t="str">
        <f ca="1">IFERROR(__xludf.DUMMYFUNCTION("""COMPUTED_VALUE"""),"TOLVA DE TAPAS")</f>
        <v>TOLVA DE TAPAS</v>
      </c>
      <c r="D1218" s="5">
        <f ca="1">IFERROR(__xludf.DUMMYFUNCTION("""COMPUTED_VALUE"""),13247840)</f>
        <v>13247840</v>
      </c>
      <c r="E1218" s="5" t="str">
        <f ca="1">IFERROR(__xludf.DUMMYFUNCTION("""COMPUTED_VALUE"""),"INSPECCION SEMANAL TOLVA DE TAPAS")</f>
        <v>INSPECCION SEMANAL TOLVA DE TAPAS</v>
      </c>
      <c r="F1218" s="5" t="str">
        <f ca="1">IFERROR(__xludf.DUMMYFUNCTION("""COMPUTED_VALUE"""),"PLAN MTTO MEC TOLVA DE TAPAS 51863501 L1")</f>
        <v>PLAN MTTO MEC TOLVA DE TAPAS 51863501 L1</v>
      </c>
      <c r="G1218" s="5" t="b">
        <f ca="1">IFERROR(__xludf.DUMMYFUNCTION("""COMPUTED_VALUE"""),TRUE)</f>
        <v>1</v>
      </c>
      <c r="H1218" s="5"/>
      <c r="I1218" s="5"/>
      <c r="J1218" s="5"/>
      <c r="K1218" s="5"/>
      <c r="L1218" s="18">
        <f ca="1">IFERROR(__xludf.DUMMYFUNCTION("""COMPUTED_VALUE"""),45325)</f>
        <v>45325</v>
      </c>
      <c r="M1218" s="18">
        <f ca="1">IFERROR(__xludf.DUMMYFUNCTION("""COMPUTED_VALUE"""),45325)</f>
        <v>45325</v>
      </c>
      <c r="N1218" s="5" t="str">
        <f ca="1">IFERROR(__xludf.DUMMYFUNCTION("""COMPUTED_VALUE"""),"FRANCO HERRERA ALEJANDRO")</f>
        <v>FRANCO HERRERA ALEJANDRO</v>
      </c>
      <c r="O1218" s="2">
        <f ca="1">IFERROR(__xludf.DUMMYFUNCTION("""COMPUTED_VALUE"""),0.1)</f>
        <v>0.1</v>
      </c>
      <c r="P1218" s="5"/>
      <c r="Q1218" s="5" t="str">
        <f ca="1">IFERROR(__xludf.DUMMYFUNCTION("""COMPUTED_VALUE"""),"ziknEgk80hE")</f>
        <v>ziknEgk80hE</v>
      </c>
      <c r="R1218" s="5">
        <f ca="1">IFERROR(__xludf.DUMMYFUNCTION("""COMPUTED_VALUE"""),410)</f>
        <v>410</v>
      </c>
      <c r="S1218" s="62">
        <f ca="1">IFERROR(__xludf.DUMMYFUNCTION("""COMPUTED_VALUE"""),0.1)</f>
        <v>0.1</v>
      </c>
      <c r="T1218" s="63" t="str">
        <f ca="1">IFERROR(__xludf.DUMMYFUNCTION("""COMPUTED_VALUE"""),"https://storage.googleapis.com/glide-prod.appspot.com/uploads-v2/ly7o78grxPaC6KdgvbpS/pub/3aRdSog0vUtuqPE8AJKD.png")</f>
        <v>https://storage.googleapis.com/glide-prod.appspot.com/uploads-v2/ly7o78grxPaC6KdgvbpS/pub/3aRdSog0vUtuqPE8AJKD.png</v>
      </c>
      <c r="U1218" s="5" t="str">
        <f ca="1">IFERROR(__xludf.DUMMYFUNCTION("""COMPUTED_VALUE"""),"LINEA DE ENVASADO PET NO RETORNABLETOLVA DE TAPAS")</f>
        <v>LINEA DE ENVASADO PET NO RETORNABLETOLVA DE TAPAS</v>
      </c>
      <c r="V1218" s="5"/>
      <c r="W1218" s="5" t="b">
        <f ca="1">IFERROR(__xludf.DUMMYFUNCTION("""COMPUTED_VALUE"""),TRUE)</f>
        <v>1</v>
      </c>
      <c r="X1218" s="5" t="str">
        <f ca="1">IFERROR(__xludf.DUMMYFUNCTION("""COMPUTED_VALUE"""),"wguerra@postobon.com.co,aprmttoyu@postobon.com.co,aprmyu@postobon.com.co,wmora@postobon.com.co,efzapata@postobon.com.co")</f>
        <v>wguerra@postobon.com.co,aprmttoyu@postobon.com.co,aprmyu@postobon.com.co,wmora@postobon.com.co,efzapata@postobon.com.co</v>
      </c>
      <c r="Y1218" s="5" t="str">
        <f ca="1">IFERROR(__xludf.DUMMYFUNCTION("""COMPUTED_VALUE"""),"wguerra@postobon.com.co")</f>
        <v>wguerra@postobon.com.co</v>
      </c>
      <c r="Z1218" s="5" t="str">
        <f ca="1">IFERROR(__xludf.DUMMYFUNCTION("""COMPUTED_VALUE"""),"i6sCuhUfR4et8pBoM9ONqA")</f>
        <v>i6sCuhUfR4et8pBoM9ONqA</v>
      </c>
      <c r="AA1218" s="5"/>
      <c r="AB1218" s="5"/>
      <c r="AC1218" s="5"/>
      <c r="AD1218" s="5">
        <f ca="1">IFERROR(__xludf.DUMMYFUNCTION("""COMPUTED_VALUE"""),30)</f>
        <v>30</v>
      </c>
      <c r="AE1218" s="5">
        <f ca="1">IFERROR(__xludf.DUMMYFUNCTION("""COMPUTED_VALUE"""),30)</f>
        <v>30</v>
      </c>
      <c r="AF1218" s="5" t="b">
        <f ca="1">IFERROR(__xludf.DUMMYFUNCTION("""COMPUTED_VALUE"""),FALSE)</f>
        <v>0</v>
      </c>
      <c r="AG1218" s="5" t="str">
        <f ca="1">IFERROR(__xludf.DUMMYFUNCTION("""COMPUTED_VALUE"""),"INSPECCIONES REALIZADAS")</f>
        <v>INSPECCIONES REALIZADAS</v>
      </c>
      <c r="AH1218" s="5"/>
    </row>
    <row r="1219" spans="1:34">
      <c r="A1219" s="5" t="str">
        <f ca="1">IFERROR(__xludf.DUMMYFUNCTION("""COMPUTED_VALUE"""),"EQUIPOS PARA SERVICIOS INDUSTRIALES")</f>
        <v>EQUIPOS PARA SERVICIOS INDUSTRIALES</v>
      </c>
      <c r="B1219" s="5">
        <f ca="1">IFERROR(__xludf.DUMMYFUNCTION("""COMPUTED_VALUE"""),669446)</f>
        <v>669446</v>
      </c>
      <c r="C1219" s="5" t="str">
        <f ca="1">IFERROR(__xludf.DUMMYFUNCTION("""COMPUTED_VALUE"""),"TORRE ENFRIAMIENTO COMPRESORES REFRIGER")</f>
        <v>TORRE ENFRIAMIENTO COMPRESORES REFRIGER</v>
      </c>
      <c r="D1219" s="5">
        <f ca="1">IFERROR(__xludf.DUMMYFUNCTION("""COMPUTED_VALUE"""),13247532)</f>
        <v>13247532</v>
      </c>
      <c r="E1219" s="5" t="str">
        <f ca="1">IFERROR(__xludf.DUMMYFUNCTION("""COMPUTED_VALUE"""),"INSPECCION SEMANAL TORRE ENFRIAMIENTO CO")</f>
        <v>INSPECCION SEMANAL TORRE ENFRIAMIENTO CO</v>
      </c>
      <c r="F1219" s="5" t="str">
        <f ca="1">IFERROR(__xludf.DUMMYFUNCTION("""COMPUTED_VALUE"""),"VENTILADORES")</f>
        <v>VENTILADORES</v>
      </c>
      <c r="G1219" s="5" t="b">
        <f ca="1">IFERROR(__xludf.DUMMYFUNCTION("""COMPUTED_VALUE"""),TRUE)</f>
        <v>1</v>
      </c>
      <c r="H1219" s="5"/>
      <c r="I1219" s="5"/>
      <c r="J1219" s="5">
        <f ca="1">IFERROR(__xludf.DUMMYFUNCTION("""COMPUTED_VALUE"""),13247532)</f>
        <v>13247532</v>
      </c>
      <c r="K1219" s="5"/>
      <c r="L1219" s="18">
        <f ca="1">IFERROR(__xludf.DUMMYFUNCTION("""COMPUTED_VALUE"""),45324)</f>
        <v>45324</v>
      </c>
      <c r="M1219" s="18">
        <f ca="1">IFERROR(__xludf.DUMMYFUNCTION("""COMPUTED_VALUE"""),45324)</f>
        <v>45324</v>
      </c>
      <c r="N1219" s="5" t="str">
        <f ca="1">IFERROR(__xludf.DUMMYFUNCTION("""COMPUTED_VALUE"""),"Henao William")</f>
        <v>Henao William</v>
      </c>
      <c r="O1219" s="2">
        <f ca="1">IFERROR(__xludf.DUMMYFUNCTION("""COMPUTED_VALUE"""),0.0125)</f>
        <v>1.2500000000000001E-2</v>
      </c>
      <c r="P1219" s="5">
        <f ca="1">IFERROR(__xludf.DUMMYFUNCTION("""COMPUTED_VALUE"""),20009827)</f>
        <v>20009827</v>
      </c>
      <c r="Q1219" s="5" t="str">
        <f ca="1">IFERROR(__xludf.DUMMYFUNCTION("""COMPUTED_VALUE"""),"cRJoDh97SkM")</f>
        <v>cRJoDh97SkM</v>
      </c>
      <c r="R1219" s="5">
        <f ca="1">IFERROR(__xludf.DUMMYFUNCTION("""COMPUTED_VALUE"""),410)</f>
        <v>410</v>
      </c>
      <c r="S1219" s="62">
        <f ca="1">IFERROR(__xludf.DUMMYFUNCTION("""COMPUTED_VALUE"""),0.0125)</f>
        <v>1.2500000000000001E-2</v>
      </c>
      <c r="T1219" s="63" t="str">
        <f ca="1">IFERROR(__xludf.DUMMYFUNCTION("""COMPUTED_VALUE"""),"https://storage.googleapis.com/glide-prod.appspot.com/uploads-v2/ly7o78grxPaC6KdgvbpS/pub/3aRdSog0vUtuqPE8AJKD.png")</f>
        <v>https://storage.googleapis.com/glide-prod.appspot.com/uploads-v2/ly7o78grxPaC6KdgvbpS/pub/3aRdSog0vUtuqPE8AJKD.png</v>
      </c>
      <c r="U1219" s="5" t="str">
        <f ca="1">IFERROR(__xludf.DUMMYFUNCTION("""COMPUTED_VALUE"""),"EQUIPOS PARA SERVICIOS INDUSTRIALESTORRE ENFRIAMIENTO COMPRESORES REFRIGER")</f>
        <v>EQUIPOS PARA SERVICIOS INDUSTRIALESTORRE ENFRIAMIENTO COMPRESORES REFRIGER</v>
      </c>
      <c r="V1219" s="5"/>
      <c r="W1219" s="5" t="b">
        <f ca="1">IFERROR(__xludf.DUMMYFUNCTION("""COMPUTED_VALUE"""),TRUE)</f>
        <v>1</v>
      </c>
      <c r="X1219" s="5" t="str">
        <f ca="1">IFERROR(__xludf.DUMMYFUNCTION("""COMPUTED_VALUE"""),"wmazorra@postobon.com.co,aprmttoyu@postobon.com.co,aprmyu@postobon.com.co,wmora@postobon.com.co,efzapata@postobon.com.co")</f>
        <v>wmazorra@postobon.com.co,aprmttoyu@postobon.com.co,aprmyu@postobon.com.co,wmora@postobon.com.co,efzapata@postobon.com.co</v>
      </c>
      <c r="Y1219" s="5" t="str">
        <f ca="1">IFERROR(__xludf.DUMMYFUNCTION("""COMPUTED_VALUE"""),"wmazorra@postobon.com.co")</f>
        <v>wmazorra@postobon.com.co</v>
      </c>
      <c r="Z1219" s="5" t="str">
        <f ca="1">IFERROR(__xludf.DUMMYFUNCTION("""COMPUTED_VALUE"""),"5iFN6pO1SvmYm4ln4mD3XA")</f>
        <v>5iFN6pO1SvmYm4ln4mD3XA</v>
      </c>
      <c r="AA1219" s="5"/>
      <c r="AB1219" s="5"/>
      <c r="AC1219" s="5"/>
      <c r="AD1219" s="5">
        <f ca="1">IFERROR(__xludf.DUMMYFUNCTION("""COMPUTED_VALUE"""),78)</f>
        <v>78</v>
      </c>
      <c r="AE1219" s="5">
        <f ca="1">IFERROR(__xludf.DUMMYFUNCTION("""COMPUTED_VALUE"""),77)</f>
        <v>77</v>
      </c>
      <c r="AF1219" s="5" t="b">
        <f ca="1">IFERROR(__xludf.DUMMYFUNCTION("""COMPUTED_VALUE"""),FALSE)</f>
        <v>0</v>
      </c>
      <c r="AG1219" s="5" t="str">
        <f ca="1">IFERROR(__xludf.DUMMYFUNCTION("""COMPUTED_VALUE"""),"INSPECCIONES REALIZADAS")</f>
        <v>INSPECCIONES REALIZADAS</v>
      </c>
      <c r="AH1219" s="5"/>
    </row>
    <row r="1220" spans="1:34">
      <c r="A1220" s="5" t="str">
        <f ca="1">IFERROR(__xludf.DUMMYFUNCTION("""COMPUTED_VALUE"""),"EQUIPOS PARA SERVICIOS INDUSTRIALES")</f>
        <v>EQUIPOS PARA SERVICIOS INDUSTRIALES</v>
      </c>
      <c r="B1220" s="5">
        <f ca="1">IFERROR(__xludf.DUMMYFUNCTION("""COMPUTED_VALUE"""),669446)</f>
        <v>669446</v>
      </c>
      <c r="C1220" s="5" t="str">
        <f ca="1">IFERROR(__xludf.DUMMYFUNCTION("""COMPUTED_VALUE"""),"TORRE ENFRIAMIENTO COMPRESORES REFRIGER")</f>
        <v>TORRE ENFRIAMIENTO COMPRESORES REFRIGER</v>
      </c>
      <c r="D1220" s="5">
        <f ca="1">IFERROR(__xludf.DUMMYFUNCTION("""COMPUTED_VALUE"""),13247532)</f>
        <v>13247532</v>
      </c>
      <c r="E1220" s="5" t="str">
        <f ca="1">IFERROR(__xludf.DUMMYFUNCTION("""COMPUTED_VALUE"""),"INSPECCION SEMANAL TORRE ENFRIAMIENTO CO")</f>
        <v>INSPECCION SEMANAL TORRE ENFRIAMIENTO CO</v>
      </c>
      <c r="F1220" s="5" t="str">
        <f ca="1">IFERROR(__xludf.DUMMYFUNCTION("""COMPUTED_VALUE"""),"MOTOBOMBAS")</f>
        <v>MOTOBOMBAS</v>
      </c>
      <c r="G1220" s="5" t="b">
        <f ca="1">IFERROR(__xludf.DUMMYFUNCTION("""COMPUTED_VALUE"""),TRUE)</f>
        <v>1</v>
      </c>
      <c r="H1220" s="5"/>
      <c r="I1220" s="5"/>
      <c r="J1220" s="5">
        <f ca="1">IFERROR(__xludf.DUMMYFUNCTION("""COMPUTED_VALUE"""),13247532)</f>
        <v>13247532</v>
      </c>
      <c r="K1220" s="5"/>
      <c r="L1220" s="18">
        <f ca="1">IFERROR(__xludf.DUMMYFUNCTION("""COMPUTED_VALUE"""),45324)</f>
        <v>45324</v>
      </c>
      <c r="M1220" s="18">
        <f ca="1">IFERROR(__xludf.DUMMYFUNCTION("""COMPUTED_VALUE"""),45324)</f>
        <v>45324</v>
      </c>
      <c r="N1220" s="5" t="str">
        <f ca="1">IFERROR(__xludf.DUMMYFUNCTION("""COMPUTED_VALUE"""),"Henao William")</f>
        <v>Henao William</v>
      </c>
      <c r="O1220" s="2">
        <f ca="1">IFERROR(__xludf.DUMMYFUNCTION("""COMPUTED_VALUE"""),0.0125)</f>
        <v>1.2500000000000001E-2</v>
      </c>
      <c r="P1220" s="5">
        <f ca="1">IFERROR(__xludf.DUMMYFUNCTION("""COMPUTED_VALUE"""),20009827)</f>
        <v>20009827</v>
      </c>
      <c r="Q1220" s="5" t="str">
        <f ca="1">IFERROR(__xludf.DUMMYFUNCTION("""COMPUTED_VALUE"""),"Z-28gumOqc4")</f>
        <v>Z-28gumOqc4</v>
      </c>
      <c r="R1220" s="5">
        <f ca="1">IFERROR(__xludf.DUMMYFUNCTION("""COMPUTED_VALUE"""),410)</f>
        <v>410</v>
      </c>
      <c r="S1220" s="62">
        <f ca="1">IFERROR(__xludf.DUMMYFUNCTION("""COMPUTED_VALUE"""),0.0125)</f>
        <v>1.2500000000000001E-2</v>
      </c>
      <c r="T1220" s="63" t="str">
        <f ca="1">IFERROR(__xludf.DUMMYFUNCTION("""COMPUTED_VALUE"""),"https://storage.googleapis.com/glide-prod.appspot.com/uploads-v2/ly7o78grxPaC6KdgvbpS/pub/3aRdSog0vUtuqPE8AJKD.png")</f>
        <v>https://storage.googleapis.com/glide-prod.appspot.com/uploads-v2/ly7o78grxPaC6KdgvbpS/pub/3aRdSog0vUtuqPE8AJKD.png</v>
      </c>
      <c r="U1220" s="5" t="str">
        <f ca="1">IFERROR(__xludf.DUMMYFUNCTION("""COMPUTED_VALUE"""),"EQUIPOS PARA SERVICIOS INDUSTRIALESTORRE ENFRIAMIENTO COMPRESORES REFRIGER")</f>
        <v>EQUIPOS PARA SERVICIOS INDUSTRIALESTORRE ENFRIAMIENTO COMPRESORES REFRIGER</v>
      </c>
      <c r="V1220" s="5"/>
      <c r="W1220" s="5" t="b">
        <f ca="1">IFERROR(__xludf.DUMMYFUNCTION("""COMPUTED_VALUE"""),TRUE)</f>
        <v>1</v>
      </c>
      <c r="X1220" s="5" t="str">
        <f ca="1">IFERROR(__xludf.DUMMYFUNCTION("""COMPUTED_VALUE"""),"wmazorra@postobon.com.co,aprmttoyu@postobon.com.co,aprmyu@postobon.com.co,wmora@postobon.com.co,efzapata@postobon.com.co")</f>
        <v>wmazorra@postobon.com.co,aprmttoyu@postobon.com.co,aprmyu@postobon.com.co,wmora@postobon.com.co,efzapata@postobon.com.co</v>
      </c>
      <c r="Y1220" s="5" t="str">
        <f ca="1">IFERROR(__xludf.DUMMYFUNCTION("""COMPUTED_VALUE"""),"wmazorra@postobon.com.co")</f>
        <v>wmazorra@postobon.com.co</v>
      </c>
      <c r="Z1220" s="5" t="str">
        <f ca="1">IFERROR(__xludf.DUMMYFUNCTION("""COMPUTED_VALUE"""),"dUSgWynHQrSTBWlrVOw1pw")</f>
        <v>dUSgWynHQrSTBWlrVOw1pw</v>
      </c>
      <c r="AA1220" s="5"/>
      <c r="AB1220" s="5"/>
      <c r="AC1220" s="5"/>
      <c r="AD1220" s="5">
        <f ca="1">IFERROR(__xludf.DUMMYFUNCTION("""COMPUTED_VALUE"""),78)</f>
        <v>78</v>
      </c>
      <c r="AE1220" s="5">
        <f ca="1">IFERROR(__xludf.DUMMYFUNCTION("""COMPUTED_VALUE"""),77)</f>
        <v>77</v>
      </c>
      <c r="AF1220" s="5" t="b">
        <f ca="1">IFERROR(__xludf.DUMMYFUNCTION("""COMPUTED_VALUE"""),FALSE)</f>
        <v>0</v>
      </c>
      <c r="AG1220" s="5" t="str">
        <f ca="1">IFERROR(__xludf.DUMMYFUNCTION("""COMPUTED_VALUE"""),"INSPECCIONES REALIZADAS")</f>
        <v>INSPECCIONES REALIZADAS</v>
      </c>
      <c r="AH1220" s="5"/>
    </row>
    <row r="1221" spans="1:34">
      <c r="A1221" s="5" t="str">
        <f ca="1">IFERROR(__xludf.DUMMYFUNCTION("""COMPUTED_VALUE"""),"EQUIPOS PARA SERVICIOS INDUSTRIALES")</f>
        <v>EQUIPOS PARA SERVICIOS INDUSTRIALES</v>
      </c>
      <c r="B1221" s="5">
        <f ca="1">IFERROR(__xludf.DUMMYFUNCTION("""COMPUTED_VALUE"""),669446)</f>
        <v>669446</v>
      </c>
      <c r="C1221" s="5" t="str">
        <f ca="1">IFERROR(__xludf.DUMMYFUNCTION("""COMPUTED_VALUE"""),"TORRE ENFRIAMIENTO COMPRESORES REFRIGER")</f>
        <v>TORRE ENFRIAMIENTO COMPRESORES REFRIGER</v>
      </c>
      <c r="D1221" s="5">
        <f ca="1">IFERROR(__xludf.DUMMYFUNCTION("""COMPUTED_VALUE"""),13247532)</f>
        <v>13247532</v>
      </c>
      <c r="E1221" s="5" t="str">
        <f ca="1">IFERROR(__xludf.DUMMYFUNCTION("""COMPUTED_VALUE"""),"INSPECCION SEMANAL TORRE ENFRIAMIENTO CO")</f>
        <v>INSPECCION SEMANAL TORRE ENFRIAMIENTO CO</v>
      </c>
      <c r="F1221" s="5" t="str">
        <f ca="1">IFERROR(__xludf.DUMMYFUNCTION("""COMPUTED_VALUE"""),"ESCAPES AGUA")</f>
        <v>ESCAPES AGUA</v>
      </c>
      <c r="G1221" s="5" t="b">
        <f ca="1">IFERROR(__xludf.DUMMYFUNCTION("""COMPUTED_VALUE"""),TRUE)</f>
        <v>1</v>
      </c>
      <c r="H1221" s="5"/>
      <c r="I1221" s="5"/>
      <c r="J1221" s="5">
        <f ca="1">IFERROR(__xludf.DUMMYFUNCTION("""COMPUTED_VALUE"""),13247532)</f>
        <v>13247532</v>
      </c>
      <c r="K1221" s="5"/>
      <c r="L1221" s="18">
        <f ca="1">IFERROR(__xludf.DUMMYFUNCTION("""COMPUTED_VALUE"""),45324)</f>
        <v>45324</v>
      </c>
      <c r="M1221" s="18">
        <f ca="1">IFERROR(__xludf.DUMMYFUNCTION("""COMPUTED_VALUE"""),45324)</f>
        <v>45324</v>
      </c>
      <c r="N1221" s="5" t="str">
        <f ca="1">IFERROR(__xludf.DUMMYFUNCTION("""COMPUTED_VALUE"""),"Henao William")</f>
        <v>Henao William</v>
      </c>
      <c r="O1221" s="2">
        <f ca="1">IFERROR(__xludf.DUMMYFUNCTION("""COMPUTED_VALUE"""),0.0125)</f>
        <v>1.2500000000000001E-2</v>
      </c>
      <c r="P1221" s="5">
        <f ca="1">IFERROR(__xludf.DUMMYFUNCTION("""COMPUTED_VALUE"""),20009827)</f>
        <v>20009827</v>
      </c>
      <c r="Q1221" s="5" t="str">
        <f ca="1">IFERROR(__xludf.DUMMYFUNCTION("""COMPUTED_VALUE"""),"bC1gtvWnSPg")</f>
        <v>bC1gtvWnSPg</v>
      </c>
      <c r="R1221" s="5">
        <f ca="1">IFERROR(__xludf.DUMMYFUNCTION("""COMPUTED_VALUE"""),410)</f>
        <v>410</v>
      </c>
      <c r="S1221" s="62">
        <f ca="1">IFERROR(__xludf.DUMMYFUNCTION("""COMPUTED_VALUE"""),0.0125)</f>
        <v>1.2500000000000001E-2</v>
      </c>
      <c r="T1221" s="63" t="str">
        <f ca="1">IFERROR(__xludf.DUMMYFUNCTION("""COMPUTED_VALUE"""),"https://storage.googleapis.com/glide-prod.appspot.com/uploads-v2/ly7o78grxPaC6KdgvbpS/pub/3aRdSog0vUtuqPE8AJKD.png")</f>
        <v>https://storage.googleapis.com/glide-prod.appspot.com/uploads-v2/ly7o78grxPaC6KdgvbpS/pub/3aRdSog0vUtuqPE8AJKD.png</v>
      </c>
      <c r="U1221" s="5" t="str">
        <f ca="1">IFERROR(__xludf.DUMMYFUNCTION("""COMPUTED_VALUE"""),"EQUIPOS PARA SERVICIOS INDUSTRIALESTORRE ENFRIAMIENTO COMPRESORES REFRIGER")</f>
        <v>EQUIPOS PARA SERVICIOS INDUSTRIALESTORRE ENFRIAMIENTO COMPRESORES REFRIGER</v>
      </c>
      <c r="V1221" s="5"/>
      <c r="W1221" s="5" t="b">
        <f ca="1">IFERROR(__xludf.DUMMYFUNCTION("""COMPUTED_VALUE"""),TRUE)</f>
        <v>1</v>
      </c>
      <c r="X1221" s="5" t="str">
        <f ca="1">IFERROR(__xludf.DUMMYFUNCTION("""COMPUTED_VALUE"""),"wmazorra@postobon.com.co,aprmttoyu@postobon.com.co,aprmyu@postobon.com.co,wmora@postobon.com.co,efzapata@postobon.com.co")</f>
        <v>wmazorra@postobon.com.co,aprmttoyu@postobon.com.co,aprmyu@postobon.com.co,wmora@postobon.com.co,efzapata@postobon.com.co</v>
      </c>
      <c r="Y1221" s="5" t="str">
        <f ca="1">IFERROR(__xludf.DUMMYFUNCTION("""COMPUTED_VALUE"""),"wmazorra@postobon.com.co")</f>
        <v>wmazorra@postobon.com.co</v>
      </c>
      <c r="Z1221" s="5" t="str">
        <f ca="1">IFERROR(__xludf.DUMMYFUNCTION("""COMPUTED_VALUE"""),"HE-ImcDKSAWNPty7YQkfGA")</f>
        <v>HE-ImcDKSAWNPty7YQkfGA</v>
      </c>
      <c r="AA1221" s="5"/>
      <c r="AB1221" s="5"/>
      <c r="AC1221" s="5"/>
      <c r="AD1221" s="5">
        <f ca="1">IFERROR(__xludf.DUMMYFUNCTION("""COMPUTED_VALUE"""),78)</f>
        <v>78</v>
      </c>
      <c r="AE1221" s="5">
        <f ca="1">IFERROR(__xludf.DUMMYFUNCTION("""COMPUTED_VALUE"""),77)</f>
        <v>77</v>
      </c>
      <c r="AF1221" s="5" t="b">
        <f ca="1">IFERROR(__xludf.DUMMYFUNCTION("""COMPUTED_VALUE"""),FALSE)</f>
        <v>0</v>
      </c>
      <c r="AG1221" s="5" t="str">
        <f ca="1">IFERROR(__xludf.DUMMYFUNCTION("""COMPUTED_VALUE"""),"INSPECCIONES REALIZADAS")</f>
        <v>INSPECCIONES REALIZADAS</v>
      </c>
      <c r="AH1221" s="5"/>
    </row>
    <row r="1222" spans="1:34">
      <c r="A1222" s="5" t="str">
        <f ca="1">IFERROR(__xludf.DUMMYFUNCTION("""COMPUTED_VALUE"""),"EQUIPOS PARA SERVICIOS INDUSTRIALES")</f>
        <v>EQUIPOS PARA SERVICIOS INDUSTRIALES</v>
      </c>
      <c r="B1222" s="5">
        <f ca="1">IFERROR(__xludf.DUMMYFUNCTION("""COMPUTED_VALUE"""),669446)</f>
        <v>669446</v>
      </c>
      <c r="C1222" s="5" t="str">
        <f ca="1">IFERROR(__xludf.DUMMYFUNCTION("""COMPUTED_VALUE"""),"TORRE ENFRIAMIENTO COMPRESORES REFRIGER")</f>
        <v>TORRE ENFRIAMIENTO COMPRESORES REFRIGER</v>
      </c>
      <c r="D1222" s="5">
        <f ca="1">IFERROR(__xludf.DUMMYFUNCTION("""COMPUTED_VALUE"""),13247532)</f>
        <v>13247532</v>
      </c>
      <c r="E1222" s="5" t="str">
        <f ca="1">IFERROR(__xludf.DUMMYFUNCTION("""COMPUTED_VALUE"""),"INSPECCION SEMANAL TORRE ENFRIAMIENTO CO")</f>
        <v>INSPECCION SEMANAL TORRE ENFRIAMIENTO CO</v>
      </c>
      <c r="F1222" s="5" t="str">
        <f ca="1">IFERROR(__xludf.DUMMYFUNCTION("""COMPUTED_VALUE"""),"ESTADO BOQUILLAS")</f>
        <v>ESTADO BOQUILLAS</v>
      </c>
      <c r="G1222" s="5" t="b">
        <f ca="1">IFERROR(__xludf.DUMMYFUNCTION("""COMPUTED_VALUE"""),TRUE)</f>
        <v>1</v>
      </c>
      <c r="H1222" s="5"/>
      <c r="I1222" s="5"/>
      <c r="J1222" s="5">
        <f ca="1">IFERROR(__xludf.DUMMYFUNCTION("""COMPUTED_VALUE"""),13247532)</f>
        <v>13247532</v>
      </c>
      <c r="K1222" s="5"/>
      <c r="L1222" s="18">
        <f ca="1">IFERROR(__xludf.DUMMYFUNCTION("""COMPUTED_VALUE"""),45324)</f>
        <v>45324</v>
      </c>
      <c r="M1222" s="18">
        <f ca="1">IFERROR(__xludf.DUMMYFUNCTION("""COMPUTED_VALUE"""),45324)</f>
        <v>45324</v>
      </c>
      <c r="N1222" s="5" t="str">
        <f ca="1">IFERROR(__xludf.DUMMYFUNCTION("""COMPUTED_VALUE"""),"Henao William")</f>
        <v>Henao William</v>
      </c>
      <c r="O1222" s="2">
        <f ca="1">IFERROR(__xludf.DUMMYFUNCTION("""COMPUTED_VALUE"""),0.0125)</f>
        <v>1.2500000000000001E-2</v>
      </c>
      <c r="P1222" s="5">
        <f ca="1">IFERROR(__xludf.DUMMYFUNCTION("""COMPUTED_VALUE"""),20009827)</f>
        <v>20009827</v>
      </c>
      <c r="Q1222" s="5" t="str">
        <f ca="1">IFERROR(__xludf.DUMMYFUNCTION("""COMPUTED_VALUE"""),"K7U5jrButSM")</f>
        <v>K7U5jrButSM</v>
      </c>
      <c r="R1222" s="5">
        <f ca="1">IFERROR(__xludf.DUMMYFUNCTION("""COMPUTED_VALUE"""),410)</f>
        <v>410</v>
      </c>
      <c r="S1222" s="62">
        <f ca="1">IFERROR(__xludf.DUMMYFUNCTION("""COMPUTED_VALUE"""),0.0125)</f>
        <v>1.2500000000000001E-2</v>
      </c>
      <c r="T1222" s="63" t="str">
        <f ca="1">IFERROR(__xludf.DUMMYFUNCTION("""COMPUTED_VALUE"""),"https://storage.googleapis.com/glide-prod.appspot.com/uploads-v2/ly7o78grxPaC6KdgvbpS/pub/3aRdSog0vUtuqPE8AJKD.png")</f>
        <v>https://storage.googleapis.com/glide-prod.appspot.com/uploads-v2/ly7o78grxPaC6KdgvbpS/pub/3aRdSog0vUtuqPE8AJKD.png</v>
      </c>
      <c r="U1222" s="5" t="str">
        <f ca="1">IFERROR(__xludf.DUMMYFUNCTION("""COMPUTED_VALUE"""),"EQUIPOS PARA SERVICIOS INDUSTRIALESTORRE ENFRIAMIENTO COMPRESORES REFRIGER")</f>
        <v>EQUIPOS PARA SERVICIOS INDUSTRIALESTORRE ENFRIAMIENTO COMPRESORES REFRIGER</v>
      </c>
      <c r="V1222" s="5"/>
      <c r="W1222" s="5" t="b">
        <f ca="1">IFERROR(__xludf.DUMMYFUNCTION("""COMPUTED_VALUE"""),TRUE)</f>
        <v>1</v>
      </c>
      <c r="X1222" s="5" t="str">
        <f ca="1">IFERROR(__xludf.DUMMYFUNCTION("""COMPUTED_VALUE"""),"wmazorra@postobon.com.co,aprmttoyu@postobon.com.co,aprmyu@postobon.com.co,wmora@postobon.com.co,efzapata@postobon.com.co")</f>
        <v>wmazorra@postobon.com.co,aprmttoyu@postobon.com.co,aprmyu@postobon.com.co,wmora@postobon.com.co,efzapata@postobon.com.co</v>
      </c>
      <c r="Y1222" s="5" t="str">
        <f ca="1">IFERROR(__xludf.DUMMYFUNCTION("""COMPUTED_VALUE"""),"wmazorra@postobon.com.co")</f>
        <v>wmazorra@postobon.com.co</v>
      </c>
      <c r="Z1222" s="5" t="str">
        <f ca="1">IFERROR(__xludf.DUMMYFUNCTION("""COMPUTED_VALUE"""),"WeonrmteQ6W0Ic9h8qT1Eg")</f>
        <v>WeonrmteQ6W0Ic9h8qT1Eg</v>
      </c>
      <c r="AA1222" s="5"/>
      <c r="AB1222" s="5"/>
      <c r="AC1222" s="5"/>
      <c r="AD1222" s="5">
        <f ca="1">IFERROR(__xludf.DUMMYFUNCTION("""COMPUTED_VALUE"""),78)</f>
        <v>78</v>
      </c>
      <c r="AE1222" s="5">
        <f ca="1">IFERROR(__xludf.DUMMYFUNCTION("""COMPUTED_VALUE"""),77)</f>
        <v>77</v>
      </c>
      <c r="AF1222" s="5" t="b">
        <f ca="1">IFERROR(__xludf.DUMMYFUNCTION("""COMPUTED_VALUE"""),FALSE)</f>
        <v>0</v>
      </c>
      <c r="AG1222" s="5" t="str">
        <f ca="1">IFERROR(__xludf.DUMMYFUNCTION("""COMPUTED_VALUE"""),"INSPECCIONES REALIZADAS")</f>
        <v>INSPECCIONES REALIZADAS</v>
      </c>
      <c r="AH1222" s="5"/>
    </row>
    <row r="1223" spans="1:34">
      <c r="A1223" s="5" t="str">
        <f ca="1">IFERROR(__xludf.DUMMYFUNCTION("""COMPUTED_VALUE"""),"EQUIPOS PARA SERVICIOS INDUSTRIALES")</f>
        <v>EQUIPOS PARA SERVICIOS INDUSTRIALES</v>
      </c>
      <c r="B1223" s="5">
        <f ca="1">IFERROR(__xludf.DUMMYFUNCTION("""COMPUTED_VALUE"""),669446)</f>
        <v>669446</v>
      </c>
      <c r="C1223" s="5" t="str">
        <f ca="1">IFERROR(__xludf.DUMMYFUNCTION("""COMPUTED_VALUE"""),"TORRE ENFRIAMIENTO COMPRESORES REFRIGER")</f>
        <v>TORRE ENFRIAMIENTO COMPRESORES REFRIGER</v>
      </c>
      <c r="D1223" s="5">
        <f ca="1">IFERROR(__xludf.DUMMYFUNCTION("""COMPUTED_VALUE"""),13247532)</f>
        <v>13247532</v>
      </c>
      <c r="E1223" s="5" t="str">
        <f ca="1">IFERROR(__xludf.DUMMYFUNCTION("""COMPUTED_VALUE"""),"INSPECCION SEMANAL TORRE ENFRIAMIENTO CO")</f>
        <v>INSPECCION SEMANAL TORRE ENFRIAMIENTO CO</v>
      </c>
      <c r="F1223" s="5" t="str">
        <f ca="1">IFERROR(__xludf.DUMMYFUNCTION("""COMPUTED_VALUE"""),"ESTADO DEFLECTORES")</f>
        <v>ESTADO DEFLECTORES</v>
      </c>
      <c r="G1223" s="5" t="b">
        <f ca="1">IFERROR(__xludf.DUMMYFUNCTION("""COMPUTED_VALUE"""),TRUE)</f>
        <v>1</v>
      </c>
      <c r="H1223" s="5"/>
      <c r="I1223" s="5"/>
      <c r="J1223" s="5">
        <f ca="1">IFERROR(__xludf.DUMMYFUNCTION("""COMPUTED_VALUE"""),13247532)</f>
        <v>13247532</v>
      </c>
      <c r="K1223" s="5"/>
      <c r="L1223" s="18">
        <f ca="1">IFERROR(__xludf.DUMMYFUNCTION("""COMPUTED_VALUE"""),45324)</f>
        <v>45324</v>
      </c>
      <c r="M1223" s="18">
        <f ca="1">IFERROR(__xludf.DUMMYFUNCTION("""COMPUTED_VALUE"""),45324)</f>
        <v>45324</v>
      </c>
      <c r="N1223" s="5" t="str">
        <f ca="1">IFERROR(__xludf.DUMMYFUNCTION("""COMPUTED_VALUE"""),"Henao William")</f>
        <v>Henao William</v>
      </c>
      <c r="O1223" s="2">
        <f ca="1">IFERROR(__xludf.DUMMYFUNCTION("""COMPUTED_VALUE"""),0.0125)</f>
        <v>1.2500000000000001E-2</v>
      </c>
      <c r="P1223" s="5">
        <f ca="1">IFERROR(__xludf.DUMMYFUNCTION("""COMPUTED_VALUE"""),20009827)</f>
        <v>20009827</v>
      </c>
      <c r="Q1223" s="5" t="str">
        <f ca="1">IFERROR(__xludf.DUMMYFUNCTION("""COMPUTED_VALUE"""),"xHgJM98yS_I")</f>
        <v>xHgJM98yS_I</v>
      </c>
      <c r="R1223" s="5">
        <f ca="1">IFERROR(__xludf.DUMMYFUNCTION("""COMPUTED_VALUE"""),410)</f>
        <v>410</v>
      </c>
      <c r="S1223" s="62">
        <f ca="1">IFERROR(__xludf.DUMMYFUNCTION("""COMPUTED_VALUE"""),0.0125)</f>
        <v>1.2500000000000001E-2</v>
      </c>
      <c r="T1223" s="63" t="str">
        <f ca="1">IFERROR(__xludf.DUMMYFUNCTION("""COMPUTED_VALUE"""),"https://storage.googleapis.com/glide-prod.appspot.com/uploads-v2/ly7o78grxPaC6KdgvbpS/pub/3aRdSog0vUtuqPE8AJKD.png")</f>
        <v>https://storage.googleapis.com/glide-prod.appspot.com/uploads-v2/ly7o78grxPaC6KdgvbpS/pub/3aRdSog0vUtuqPE8AJKD.png</v>
      </c>
      <c r="U1223" s="5" t="str">
        <f ca="1">IFERROR(__xludf.DUMMYFUNCTION("""COMPUTED_VALUE"""),"EQUIPOS PARA SERVICIOS INDUSTRIALESTORRE ENFRIAMIENTO COMPRESORES REFRIGER")</f>
        <v>EQUIPOS PARA SERVICIOS INDUSTRIALESTORRE ENFRIAMIENTO COMPRESORES REFRIGER</v>
      </c>
      <c r="V1223" s="5"/>
      <c r="W1223" s="5" t="b">
        <f ca="1">IFERROR(__xludf.DUMMYFUNCTION("""COMPUTED_VALUE"""),TRUE)</f>
        <v>1</v>
      </c>
      <c r="X1223" s="5" t="str">
        <f ca="1">IFERROR(__xludf.DUMMYFUNCTION("""COMPUTED_VALUE"""),"wmazorra@postobon.com.co,aprmttoyu@postobon.com.co,aprmyu@postobon.com.co,wmora@postobon.com.co,efzapata@postobon.com.co")</f>
        <v>wmazorra@postobon.com.co,aprmttoyu@postobon.com.co,aprmyu@postobon.com.co,wmora@postobon.com.co,efzapata@postobon.com.co</v>
      </c>
      <c r="Y1223" s="5" t="str">
        <f ca="1">IFERROR(__xludf.DUMMYFUNCTION("""COMPUTED_VALUE"""),"wmazorra@postobon.com.co")</f>
        <v>wmazorra@postobon.com.co</v>
      </c>
      <c r="Z1223" s="5" t="str">
        <f ca="1">IFERROR(__xludf.DUMMYFUNCTION("""COMPUTED_VALUE"""),"E4V31zXkSmqz-KHfwkBu1w")</f>
        <v>E4V31zXkSmqz-KHfwkBu1w</v>
      </c>
      <c r="AA1223" s="5"/>
      <c r="AB1223" s="5"/>
      <c r="AC1223" s="5"/>
      <c r="AD1223" s="5">
        <f ca="1">IFERROR(__xludf.DUMMYFUNCTION("""COMPUTED_VALUE"""),78)</f>
        <v>78</v>
      </c>
      <c r="AE1223" s="5">
        <f ca="1">IFERROR(__xludf.DUMMYFUNCTION("""COMPUTED_VALUE"""),77)</f>
        <v>77</v>
      </c>
      <c r="AF1223" s="5" t="b">
        <f ca="1">IFERROR(__xludf.DUMMYFUNCTION("""COMPUTED_VALUE"""),FALSE)</f>
        <v>0</v>
      </c>
      <c r="AG1223" s="5" t="str">
        <f ca="1">IFERROR(__xludf.DUMMYFUNCTION("""COMPUTED_VALUE"""),"INSPECCIONES REALIZADAS")</f>
        <v>INSPECCIONES REALIZADAS</v>
      </c>
      <c r="AH1223" s="5"/>
    </row>
    <row r="1224" spans="1:34">
      <c r="A1224" s="5" t="str">
        <f ca="1">IFERROR(__xludf.DUMMYFUNCTION("""COMPUTED_VALUE"""),"EQUIPOS PARA SERVICIOS INDUSTRIALES")</f>
        <v>EQUIPOS PARA SERVICIOS INDUSTRIALES</v>
      </c>
      <c r="B1224" s="5">
        <f ca="1">IFERROR(__xludf.DUMMYFUNCTION("""COMPUTED_VALUE"""),669446)</f>
        <v>669446</v>
      </c>
      <c r="C1224" s="5" t="str">
        <f ca="1">IFERROR(__xludf.DUMMYFUNCTION("""COMPUTED_VALUE"""),"TORRE ENFRIAMIENTO COMPRESORES REFRIGER")</f>
        <v>TORRE ENFRIAMIENTO COMPRESORES REFRIGER</v>
      </c>
      <c r="D1224" s="5">
        <f ca="1">IFERROR(__xludf.DUMMYFUNCTION("""COMPUTED_VALUE"""),13247532)</f>
        <v>13247532</v>
      </c>
      <c r="E1224" s="5" t="str">
        <f ca="1">IFERROR(__xludf.DUMMYFUNCTION("""COMPUTED_VALUE"""),"INSPECCION SEMANAL TORRE ENFRIAMIENTO CO")</f>
        <v>INSPECCION SEMANAL TORRE ENFRIAMIENTO CO</v>
      </c>
      <c r="F1224" s="5" t="str">
        <f ca="1">IFERROR(__xludf.DUMMYFUNCTION("""COMPUTED_VALUE"""),"TUBERIAS, VALVULAS")</f>
        <v>TUBERIAS, VALVULAS</v>
      </c>
      <c r="G1224" s="5" t="b">
        <f ca="1">IFERROR(__xludf.DUMMYFUNCTION("""COMPUTED_VALUE"""),TRUE)</f>
        <v>1</v>
      </c>
      <c r="H1224" s="5"/>
      <c r="I1224" s="5"/>
      <c r="J1224" s="5">
        <f ca="1">IFERROR(__xludf.DUMMYFUNCTION("""COMPUTED_VALUE"""),13247532)</f>
        <v>13247532</v>
      </c>
      <c r="K1224" s="5"/>
      <c r="L1224" s="18">
        <f ca="1">IFERROR(__xludf.DUMMYFUNCTION("""COMPUTED_VALUE"""),45324)</f>
        <v>45324</v>
      </c>
      <c r="M1224" s="18">
        <f ca="1">IFERROR(__xludf.DUMMYFUNCTION("""COMPUTED_VALUE"""),45324)</f>
        <v>45324</v>
      </c>
      <c r="N1224" s="5" t="str">
        <f ca="1">IFERROR(__xludf.DUMMYFUNCTION("""COMPUTED_VALUE"""),"Henao William")</f>
        <v>Henao William</v>
      </c>
      <c r="O1224" s="2">
        <f ca="1">IFERROR(__xludf.DUMMYFUNCTION("""COMPUTED_VALUE"""),0.0125)</f>
        <v>1.2500000000000001E-2</v>
      </c>
      <c r="P1224" s="5">
        <f ca="1">IFERROR(__xludf.DUMMYFUNCTION("""COMPUTED_VALUE"""),20009827)</f>
        <v>20009827</v>
      </c>
      <c r="Q1224" s="5" t="str">
        <f ca="1">IFERROR(__xludf.DUMMYFUNCTION("""COMPUTED_VALUE"""),"6zH4CmUO6mI")</f>
        <v>6zH4CmUO6mI</v>
      </c>
      <c r="R1224" s="5">
        <f ca="1">IFERROR(__xludf.DUMMYFUNCTION("""COMPUTED_VALUE"""),410)</f>
        <v>410</v>
      </c>
      <c r="S1224" s="62">
        <f ca="1">IFERROR(__xludf.DUMMYFUNCTION("""COMPUTED_VALUE"""),0.0125)</f>
        <v>1.2500000000000001E-2</v>
      </c>
      <c r="T1224" s="63" t="str">
        <f ca="1">IFERROR(__xludf.DUMMYFUNCTION("""COMPUTED_VALUE"""),"https://storage.googleapis.com/glide-prod.appspot.com/uploads-v2/ly7o78grxPaC6KdgvbpS/pub/3aRdSog0vUtuqPE8AJKD.png")</f>
        <v>https://storage.googleapis.com/glide-prod.appspot.com/uploads-v2/ly7o78grxPaC6KdgvbpS/pub/3aRdSog0vUtuqPE8AJKD.png</v>
      </c>
      <c r="U1224" s="5" t="str">
        <f ca="1">IFERROR(__xludf.DUMMYFUNCTION("""COMPUTED_VALUE"""),"EQUIPOS PARA SERVICIOS INDUSTRIALESTORRE ENFRIAMIENTO COMPRESORES REFRIGER")</f>
        <v>EQUIPOS PARA SERVICIOS INDUSTRIALESTORRE ENFRIAMIENTO COMPRESORES REFRIGER</v>
      </c>
      <c r="V1224" s="5"/>
      <c r="W1224" s="5" t="b">
        <f ca="1">IFERROR(__xludf.DUMMYFUNCTION("""COMPUTED_VALUE"""),TRUE)</f>
        <v>1</v>
      </c>
      <c r="X1224" s="5" t="str">
        <f ca="1">IFERROR(__xludf.DUMMYFUNCTION("""COMPUTED_VALUE"""),"wmazorra@postobon.com.co,aprmttoyu@postobon.com.co,aprmyu@postobon.com.co,wmora@postobon.com.co,efzapata@postobon.com.co")</f>
        <v>wmazorra@postobon.com.co,aprmttoyu@postobon.com.co,aprmyu@postobon.com.co,wmora@postobon.com.co,efzapata@postobon.com.co</v>
      </c>
      <c r="Y1224" s="5" t="str">
        <f ca="1">IFERROR(__xludf.DUMMYFUNCTION("""COMPUTED_VALUE"""),"wmazorra@postobon.com.co")</f>
        <v>wmazorra@postobon.com.co</v>
      </c>
      <c r="Z1224" s="5" t="str">
        <f ca="1">IFERROR(__xludf.DUMMYFUNCTION("""COMPUTED_VALUE"""),"mwAc6G0WTNujidpqE46uCQ")</f>
        <v>mwAc6G0WTNujidpqE46uCQ</v>
      </c>
      <c r="AA1224" s="5"/>
      <c r="AB1224" s="5"/>
      <c r="AC1224" s="5"/>
      <c r="AD1224" s="5">
        <f ca="1">IFERROR(__xludf.DUMMYFUNCTION("""COMPUTED_VALUE"""),78)</f>
        <v>78</v>
      </c>
      <c r="AE1224" s="5">
        <f ca="1">IFERROR(__xludf.DUMMYFUNCTION("""COMPUTED_VALUE"""),77)</f>
        <v>77</v>
      </c>
      <c r="AF1224" s="5" t="b">
        <f ca="1">IFERROR(__xludf.DUMMYFUNCTION("""COMPUTED_VALUE"""),FALSE)</f>
        <v>0</v>
      </c>
      <c r="AG1224" s="5" t="str">
        <f ca="1">IFERROR(__xludf.DUMMYFUNCTION("""COMPUTED_VALUE"""),"INSPECCIONES REALIZADAS")</f>
        <v>INSPECCIONES REALIZADAS</v>
      </c>
      <c r="AH1224" s="5"/>
    </row>
    <row r="1225" spans="1:34">
      <c r="A1225" s="5" t="str">
        <f ca="1">IFERROR(__xludf.DUMMYFUNCTION("""COMPUTED_VALUE"""),"EQUIPOS PARA SERVICIOS INDUSTRIALES")</f>
        <v>EQUIPOS PARA SERVICIOS INDUSTRIALES</v>
      </c>
      <c r="B1225" s="5">
        <f ca="1">IFERROR(__xludf.DUMMYFUNCTION("""COMPUTED_VALUE"""),669446)</f>
        <v>669446</v>
      </c>
      <c r="C1225" s="5" t="str">
        <f ca="1">IFERROR(__xludf.DUMMYFUNCTION("""COMPUTED_VALUE"""),"TORRE ENFRIAMIENTO COMPRESORES REFRIGER")</f>
        <v>TORRE ENFRIAMIENTO COMPRESORES REFRIGER</v>
      </c>
      <c r="D1225" s="5">
        <f ca="1">IFERROR(__xludf.DUMMYFUNCTION("""COMPUTED_VALUE"""),13247532)</f>
        <v>13247532</v>
      </c>
      <c r="E1225" s="5" t="str">
        <f ca="1">IFERROR(__xludf.DUMMYFUNCTION("""COMPUTED_VALUE"""),"INSPECCION SEMANAL TORRE ENFRIAMIENTO CO")</f>
        <v>INSPECCION SEMANAL TORRE ENFRIAMIENTO CO</v>
      </c>
      <c r="F1225" s="5" t="str">
        <f ca="1">IFERROR(__xludf.DUMMYFUNCTION("""COMPUTED_VALUE"""),"ESTADO GRAL PINTURA")</f>
        <v>ESTADO GRAL PINTURA</v>
      </c>
      <c r="G1225" s="5" t="b">
        <f ca="1">IFERROR(__xludf.DUMMYFUNCTION("""COMPUTED_VALUE"""),TRUE)</f>
        <v>1</v>
      </c>
      <c r="H1225" s="5"/>
      <c r="I1225" s="5"/>
      <c r="J1225" s="5">
        <f ca="1">IFERROR(__xludf.DUMMYFUNCTION("""COMPUTED_VALUE"""),13247532)</f>
        <v>13247532</v>
      </c>
      <c r="K1225" s="5"/>
      <c r="L1225" s="18">
        <f ca="1">IFERROR(__xludf.DUMMYFUNCTION("""COMPUTED_VALUE"""),45324)</f>
        <v>45324</v>
      </c>
      <c r="M1225" s="18">
        <f ca="1">IFERROR(__xludf.DUMMYFUNCTION("""COMPUTED_VALUE"""),45324)</f>
        <v>45324</v>
      </c>
      <c r="N1225" s="5" t="str">
        <f ca="1">IFERROR(__xludf.DUMMYFUNCTION("""COMPUTED_VALUE"""),"Henao William")</f>
        <v>Henao William</v>
      </c>
      <c r="O1225" s="2">
        <f ca="1">IFERROR(__xludf.DUMMYFUNCTION("""COMPUTED_VALUE"""),0.0125)</f>
        <v>1.2500000000000001E-2</v>
      </c>
      <c r="P1225" s="5">
        <f ca="1">IFERROR(__xludf.DUMMYFUNCTION("""COMPUTED_VALUE"""),20009827)</f>
        <v>20009827</v>
      </c>
      <c r="Q1225" s="5" t="str">
        <f ca="1">IFERROR(__xludf.DUMMYFUNCTION("""COMPUTED_VALUE"""),"j5wMZhX_jGY")</f>
        <v>j5wMZhX_jGY</v>
      </c>
      <c r="R1225" s="5">
        <f ca="1">IFERROR(__xludf.DUMMYFUNCTION("""COMPUTED_VALUE"""),410)</f>
        <v>410</v>
      </c>
      <c r="S1225" s="62">
        <f ca="1">IFERROR(__xludf.DUMMYFUNCTION("""COMPUTED_VALUE"""),0.0125)</f>
        <v>1.2500000000000001E-2</v>
      </c>
      <c r="T1225" s="63" t="str">
        <f ca="1">IFERROR(__xludf.DUMMYFUNCTION("""COMPUTED_VALUE"""),"https://storage.googleapis.com/glide-prod.appspot.com/uploads-v2/ly7o78grxPaC6KdgvbpS/pub/3aRdSog0vUtuqPE8AJKD.png")</f>
        <v>https://storage.googleapis.com/glide-prod.appspot.com/uploads-v2/ly7o78grxPaC6KdgvbpS/pub/3aRdSog0vUtuqPE8AJKD.png</v>
      </c>
      <c r="U1225" s="5" t="str">
        <f ca="1">IFERROR(__xludf.DUMMYFUNCTION("""COMPUTED_VALUE"""),"EQUIPOS PARA SERVICIOS INDUSTRIALESTORRE ENFRIAMIENTO COMPRESORES REFRIGER")</f>
        <v>EQUIPOS PARA SERVICIOS INDUSTRIALESTORRE ENFRIAMIENTO COMPRESORES REFRIGER</v>
      </c>
      <c r="V1225" s="5"/>
      <c r="W1225" s="5" t="b">
        <f ca="1">IFERROR(__xludf.DUMMYFUNCTION("""COMPUTED_VALUE"""),TRUE)</f>
        <v>1</v>
      </c>
      <c r="X1225" s="5" t="str">
        <f ca="1">IFERROR(__xludf.DUMMYFUNCTION("""COMPUTED_VALUE"""),"wmazorra@postobon.com.co,aprmttoyu@postobon.com.co,aprmyu@postobon.com.co,wmora@postobon.com.co,efzapata@postobon.com.co")</f>
        <v>wmazorra@postobon.com.co,aprmttoyu@postobon.com.co,aprmyu@postobon.com.co,wmora@postobon.com.co,efzapata@postobon.com.co</v>
      </c>
      <c r="Y1225" s="5" t="str">
        <f ca="1">IFERROR(__xludf.DUMMYFUNCTION("""COMPUTED_VALUE"""),"wmazorra@postobon.com.co")</f>
        <v>wmazorra@postobon.com.co</v>
      </c>
      <c r="Z1225" s="5" t="str">
        <f ca="1">IFERROR(__xludf.DUMMYFUNCTION("""COMPUTED_VALUE"""),"8Du7qQCdRWqD0gDSaScR0w")</f>
        <v>8Du7qQCdRWqD0gDSaScR0w</v>
      </c>
      <c r="AA1225" s="5"/>
      <c r="AB1225" s="5"/>
      <c r="AC1225" s="5"/>
      <c r="AD1225" s="5">
        <f ca="1">IFERROR(__xludf.DUMMYFUNCTION("""COMPUTED_VALUE"""),78)</f>
        <v>78</v>
      </c>
      <c r="AE1225" s="5">
        <f ca="1">IFERROR(__xludf.DUMMYFUNCTION("""COMPUTED_VALUE"""),77)</f>
        <v>77</v>
      </c>
      <c r="AF1225" s="5" t="b">
        <f ca="1">IFERROR(__xludf.DUMMYFUNCTION("""COMPUTED_VALUE"""),FALSE)</f>
        <v>0</v>
      </c>
      <c r="AG1225" s="5" t="str">
        <f ca="1">IFERROR(__xludf.DUMMYFUNCTION("""COMPUTED_VALUE"""),"INSPECCIONES REALIZADAS")</f>
        <v>INSPECCIONES REALIZADAS</v>
      </c>
      <c r="AH1225" s="5"/>
    </row>
    <row r="1226" spans="1:34">
      <c r="A1226" s="5" t="str">
        <f ca="1">IFERROR(__xludf.DUMMYFUNCTION("""COMPUTED_VALUE"""),"EQUIPOS PARA SERVICIOS INDUSTRIALES")</f>
        <v>EQUIPOS PARA SERVICIOS INDUSTRIALES</v>
      </c>
      <c r="B1226" s="5">
        <f ca="1">IFERROR(__xludf.DUMMYFUNCTION("""COMPUTED_VALUE"""),669446)</f>
        <v>669446</v>
      </c>
      <c r="C1226" s="5" t="str">
        <f ca="1">IFERROR(__xludf.DUMMYFUNCTION("""COMPUTED_VALUE"""),"TORRE ENFRIAMIENTO COMPRESORES REFRIGER")</f>
        <v>TORRE ENFRIAMIENTO COMPRESORES REFRIGER</v>
      </c>
      <c r="D1226" s="5">
        <f ca="1">IFERROR(__xludf.DUMMYFUNCTION("""COMPUTED_VALUE"""),13247532)</f>
        <v>13247532</v>
      </c>
      <c r="E1226" s="5" t="str">
        <f ca="1">IFERROR(__xludf.DUMMYFUNCTION("""COMPUTED_VALUE"""),"INSPECCION SEMANAL TORRE ENFRIAMIENTO CO")</f>
        <v>INSPECCION SEMANAL TORRE ENFRIAMIENTO CO</v>
      </c>
      <c r="F1226" s="5" t="str">
        <f ca="1">IFERROR(__xludf.DUMMYFUNCTION("""COMPUTED_VALUE"""),"TABLEROS ELECTRICOS/CLIMATIZADOR")</f>
        <v>TABLEROS ELECTRICOS/CLIMATIZADOR</v>
      </c>
      <c r="G1226" s="5" t="b">
        <f ca="1">IFERROR(__xludf.DUMMYFUNCTION("""COMPUTED_VALUE"""),TRUE)</f>
        <v>1</v>
      </c>
      <c r="H1226" s="5"/>
      <c r="I1226" s="5"/>
      <c r="J1226" s="5">
        <f ca="1">IFERROR(__xludf.DUMMYFUNCTION("""COMPUTED_VALUE"""),13247532)</f>
        <v>13247532</v>
      </c>
      <c r="K1226" s="5"/>
      <c r="L1226" s="18">
        <f ca="1">IFERROR(__xludf.DUMMYFUNCTION("""COMPUTED_VALUE"""),45324)</f>
        <v>45324</v>
      </c>
      <c r="M1226" s="18">
        <f ca="1">IFERROR(__xludf.DUMMYFUNCTION("""COMPUTED_VALUE"""),45324)</f>
        <v>45324</v>
      </c>
      <c r="N1226" s="5" t="str">
        <f ca="1">IFERROR(__xludf.DUMMYFUNCTION("""COMPUTED_VALUE"""),"Henao William")</f>
        <v>Henao William</v>
      </c>
      <c r="O1226" s="2">
        <f ca="1">IFERROR(__xludf.DUMMYFUNCTION("""COMPUTED_VALUE"""),0.0125)</f>
        <v>1.2500000000000001E-2</v>
      </c>
      <c r="P1226" s="5">
        <f ca="1">IFERROR(__xludf.DUMMYFUNCTION("""COMPUTED_VALUE"""),20009827)</f>
        <v>20009827</v>
      </c>
      <c r="Q1226" s="5" t="str">
        <f ca="1">IFERROR(__xludf.DUMMYFUNCTION("""COMPUTED_VALUE"""),"HUqXm0tNhSg")</f>
        <v>HUqXm0tNhSg</v>
      </c>
      <c r="R1226" s="5">
        <f ca="1">IFERROR(__xludf.DUMMYFUNCTION("""COMPUTED_VALUE"""),410)</f>
        <v>410</v>
      </c>
      <c r="S1226" s="62">
        <f ca="1">IFERROR(__xludf.DUMMYFUNCTION("""COMPUTED_VALUE"""),0.0125)</f>
        <v>1.2500000000000001E-2</v>
      </c>
      <c r="T1226" s="63" t="str">
        <f ca="1">IFERROR(__xludf.DUMMYFUNCTION("""COMPUTED_VALUE"""),"https://storage.googleapis.com/glide-prod.appspot.com/uploads-v2/ly7o78grxPaC6KdgvbpS/pub/3aRdSog0vUtuqPE8AJKD.png")</f>
        <v>https://storage.googleapis.com/glide-prod.appspot.com/uploads-v2/ly7o78grxPaC6KdgvbpS/pub/3aRdSog0vUtuqPE8AJKD.png</v>
      </c>
      <c r="U1226" s="5" t="str">
        <f ca="1">IFERROR(__xludf.DUMMYFUNCTION("""COMPUTED_VALUE"""),"EQUIPOS PARA SERVICIOS INDUSTRIALESTORRE ENFRIAMIENTO COMPRESORES REFRIGER")</f>
        <v>EQUIPOS PARA SERVICIOS INDUSTRIALESTORRE ENFRIAMIENTO COMPRESORES REFRIGER</v>
      </c>
      <c r="V1226" s="5"/>
      <c r="W1226" s="5" t="b">
        <f ca="1">IFERROR(__xludf.DUMMYFUNCTION("""COMPUTED_VALUE"""),TRUE)</f>
        <v>1</v>
      </c>
      <c r="X1226" s="5" t="str">
        <f ca="1">IFERROR(__xludf.DUMMYFUNCTION("""COMPUTED_VALUE"""),"wmazorra@postobon.com.co,aprmttoyu@postobon.com.co,aprmyu@postobon.com.co,wmora@postobon.com.co,efzapata@postobon.com.co")</f>
        <v>wmazorra@postobon.com.co,aprmttoyu@postobon.com.co,aprmyu@postobon.com.co,wmora@postobon.com.co,efzapata@postobon.com.co</v>
      </c>
      <c r="Y1226" s="5" t="str">
        <f ca="1">IFERROR(__xludf.DUMMYFUNCTION("""COMPUTED_VALUE"""),"wmazorra@postobon.com.co")</f>
        <v>wmazorra@postobon.com.co</v>
      </c>
      <c r="Z1226" s="5" t="str">
        <f ca="1">IFERROR(__xludf.DUMMYFUNCTION("""COMPUTED_VALUE"""),"FFCI-TGAQj2qCnLJ2dkpCQ")</f>
        <v>FFCI-TGAQj2qCnLJ2dkpCQ</v>
      </c>
      <c r="AA1226" s="5"/>
      <c r="AB1226" s="5"/>
      <c r="AC1226" s="5"/>
      <c r="AD1226" s="5">
        <f ca="1">IFERROR(__xludf.DUMMYFUNCTION("""COMPUTED_VALUE"""),78)</f>
        <v>78</v>
      </c>
      <c r="AE1226" s="5">
        <f ca="1">IFERROR(__xludf.DUMMYFUNCTION("""COMPUTED_VALUE"""),77)</f>
        <v>77</v>
      </c>
      <c r="AF1226" s="5" t="b">
        <f ca="1">IFERROR(__xludf.DUMMYFUNCTION("""COMPUTED_VALUE"""),FALSE)</f>
        <v>0</v>
      </c>
      <c r="AG1226" s="5" t="str">
        <f ca="1">IFERROR(__xludf.DUMMYFUNCTION("""COMPUTED_VALUE"""),"INSPECCIONES REALIZADAS")</f>
        <v>INSPECCIONES REALIZADAS</v>
      </c>
      <c r="AH1226" s="5"/>
    </row>
    <row r="1227" spans="1:34">
      <c r="A1227" s="5" t="str">
        <f ca="1">IFERROR(__xludf.DUMMYFUNCTION("""COMPUTED_VALUE"""),"EQUIPOS PARA SERVICIOS INDUSTRIALES JUGO")</f>
        <v>EQUIPOS PARA SERVICIOS INDUSTRIALES JUGO</v>
      </c>
      <c r="B1227" s="5">
        <f ca="1">IFERROR(__xludf.DUMMYFUNCTION("""COMPUTED_VALUE"""),669451)</f>
        <v>669451</v>
      </c>
      <c r="C1227" s="5" t="str">
        <f ca="1">IFERROR(__xludf.DUMMYFUNCTION("""COMPUTED_VALUE"""),"TORRE DE ENFRIAMIENTO PARA JUGOS")</f>
        <v>TORRE DE ENFRIAMIENTO PARA JUGOS</v>
      </c>
      <c r="D1227" s="5">
        <f ca="1">IFERROR(__xludf.DUMMYFUNCTION("""COMPUTED_VALUE"""),13247550)</f>
        <v>13247550</v>
      </c>
      <c r="E1227" s="5" t="str">
        <f ca="1">IFERROR(__xludf.DUMMYFUNCTION("""COMPUTED_VALUE"""),"INSPECCION SEMANAL TORRE ENFRIAMIENTO JU")</f>
        <v>INSPECCION SEMANAL TORRE ENFRIAMIENTO JU</v>
      </c>
      <c r="F1227" s="5" t="str">
        <f ca="1">IFERROR(__xludf.DUMMYFUNCTION("""COMPUTED_VALUE"""),"VENTILADORES")</f>
        <v>VENTILADORES</v>
      </c>
      <c r="G1227" s="5"/>
      <c r="H1227" s="5"/>
      <c r="I1227" s="5"/>
      <c r="J1227" s="5"/>
      <c r="K1227" s="5"/>
      <c r="L1227" s="18">
        <f ca="1">IFERROR(__xludf.DUMMYFUNCTION("""COMPUTED_VALUE"""),45324)</f>
        <v>45324</v>
      </c>
      <c r="M1227" s="18">
        <f ca="1">IFERROR(__xludf.DUMMYFUNCTION("""COMPUTED_VALUE"""),45324)</f>
        <v>45324</v>
      </c>
      <c r="N1227" s="5" t="str">
        <f ca="1">IFERROR(__xludf.DUMMYFUNCTION("""COMPUTED_VALUE"""),"Lopez Raul")</f>
        <v>Lopez Raul</v>
      </c>
      <c r="O1227" s="2">
        <f ca="1">IFERROR(__xludf.DUMMYFUNCTION("""COMPUTED_VALUE"""),0.0125)</f>
        <v>1.2500000000000001E-2</v>
      </c>
      <c r="P1227" s="5"/>
      <c r="Q1227" s="5" t="str">
        <f ca="1">IFERROR(__xludf.DUMMYFUNCTION("""COMPUTED_VALUE"""),"bSHH-mriFHw")</f>
        <v>bSHH-mriFHw</v>
      </c>
      <c r="R1227" s="5">
        <f ca="1">IFERROR(__xludf.DUMMYFUNCTION("""COMPUTED_VALUE"""),410)</f>
        <v>410</v>
      </c>
      <c r="S1227" s="62">
        <f ca="1">IFERROR(__xludf.DUMMYFUNCTION("""COMPUTED_VALUE"""),0.0125)</f>
        <v>1.2500000000000001E-2</v>
      </c>
      <c r="T1227" s="63" t="str">
        <f ca="1">IFERROR(__xludf.DUMMYFUNCTION("""COMPUTED_VALUE"""),"https://storage.googleapis.com/glide-prod.appspot.com/uploads-v2/ly7o78grxPaC6KdgvbpS/pub/UliJWgpEaBovaFmXi6OW.png")</f>
        <v>https://storage.googleapis.com/glide-prod.appspot.com/uploads-v2/ly7o78grxPaC6KdgvbpS/pub/UliJWgpEaBovaFmXi6OW.png</v>
      </c>
      <c r="U1227" s="5" t="str">
        <f ca="1">IFERROR(__xludf.DUMMYFUNCTION("""COMPUTED_VALUE"""),"EQUIPOS PARA SERVICIOS INDUSTRIALES JUGOTORRE DE ENFRIAMIENTO PARA JUGOS")</f>
        <v>EQUIPOS PARA SERVICIOS INDUSTRIALES JUGOTORRE DE ENFRIAMIENTO PARA JUGOS</v>
      </c>
      <c r="V1227" s="5"/>
      <c r="W1227" s="5"/>
      <c r="X1227" s="5" t="str">
        <f ca="1">IFERROR(__xludf.DUMMYFUNCTION("""COMPUTED_VALUE"""),"wmazorra@postobon.com.co,aprmttoyu@postobon.com.co,aprmyu@postobon.com.co,wmora@postobon.com.co,efzapata@postobon.com.co")</f>
        <v>wmazorra@postobon.com.co,aprmttoyu@postobon.com.co,aprmyu@postobon.com.co,wmora@postobon.com.co,efzapata@postobon.com.co</v>
      </c>
      <c r="Y1227" s="5" t="str">
        <f ca="1">IFERROR(__xludf.DUMMYFUNCTION("""COMPUTED_VALUE"""),"wmazorra@postobon.com.co")</f>
        <v>wmazorra@postobon.com.co</v>
      </c>
      <c r="Z1227" s="5" t="str">
        <f ca="1">IFERROR(__xludf.DUMMYFUNCTION("""COMPUTED_VALUE"""),"doOeT9NMRWy3RRbkC3MwQQ")</f>
        <v>doOeT9NMRWy3RRbkC3MwQQ</v>
      </c>
      <c r="AA1227" s="5"/>
      <c r="AB1227" s="5"/>
      <c r="AC1227" s="5"/>
      <c r="AD1227" s="5">
        <f ca="1">IFERROR(__xludf.DUMMYFUNCTION("""COMPUTED_VALUE"""),57)</f>
        <v>57</v>
      </c>
      <c r="AE1227" s="5">
        <f ca="1">IFERROR(__xludf.DUMMYFUNCTION("""COMPUTED_VALUE"""),0)</f>
        <v>0</v>
      </c>
      <c r="AF1227" s="5" t="b">
        <f ca="1">IFERROR(__xludf.DUMMYFUNCTION("""COMPUTED_VALUE"""),TRUE)</f>
        <v>1</v>
      </c>
      <c r="AG1227" s="5" t="str">
        <f ca="1">IFERROR(__xludf.DUMMYFUNCTION("""COMPUTED_VALUE"""),"INSPECCIONES SIN REALIZAR")</f>
        <v>INSPECCIONES SIN REALIZAR</v>
      </c>
      <c r="AH1227" s="5"/>
    </row>
    <row r="1228" spans="1:34">
      <c r="A1228" s="5" t="str">
        <f ca="1">IFERROR(__xludf.DUMMYFUNCTION("""COMPUTED_VALUE"""),"EQUIPOS PARA SERVICIOS INDUSTRIALES JUGO")</f>
        <v>EQUIPOS PARA SERVICIOS INDUSTRIALES JUGO</v>
      </c>
      <c r="B1228" s="5">
        <f ca="1">IFERROR(__xludf.DUMMYFUNCTION("""COMPUTED_VALUE"""),669451)</f>
        <v>669451</v>
      </c>
      <c r="C1228" s="5" t="str">
        <f ca="1">IFERROR(__xludf.DUMMYFUNCTION("""COMPUTED_VALUE"""),"TORRE DE ENFRIAMIENTO PARA JUGOS")</f>
        <v>TORRE DE ENFRIAMIENTO PARA JUGOS</v>
      </c>
      <c r="D1228" s="5">
        <f ca="1">IFERROR(__xludf.DUMMYFUNCTION("""COMPUTED_VALUE"""),13247550)</f>
        <v>13247550</v>
      </c>
      <c r="E1228" s="5" t="str">
        <f ca="1">IFERROR(__xludf.DUMMYFUNCTION("""COMPUTED_VALUE"""),"INSPECCION SEMANAL TORRE ENFRIAMIENTO JU")</f>
        <v>INSPECCION SEMANAL TORRE ENFRIAMIENTO JU</v>
      </c>
      <c r="F1228" s="5" t="str">
        <f ca="1">IFERROR(__xludf.DUMMYFUNCTION("""COMPUTED_VALUE"""),"MOTOBOMBAS")</f>
        <v>MOTOBOMBAS</v>
      </c>
      <c r="G1228" s="5"/>
      <c r="H1228" s="5"/>
      <c r="I1228" s="5"/>
      <c r="J1228" s="5"/>
      <c r="K1228" s="5"/>
      <c r="L1228" s="18">
        <f ca="1">IFERROR(__xludf.DUMMYFUNCTION("""COMPUTED_VALUE"""),45324)</f>
        <v>45324</v>
      </c>
      <c r="M1228" s="18">
        <f ca="1">IFERROR(__xludf.DUMMYFUNCTION("""COMPUTED_VALUE"""),45324)</f>
        <v>45324</v>
      </c>
      <c r="N1228" s="5" t="str">
        <f ca="1">IFERROR(__xludf.DUMMYFUNCTION("""COMPUTED_VALUE"""),"Lopez Raul")</f>
        <v>Lopez Raul</v>
      </c>
      <c r="O1228" s="2">
        <f ca="1">IFERROR(__xludf.DUMMYFUNCTION("""COMPUTED_VALUE"""),0.0125)</f>
        <v>1.2500000000000001E-2</v>
      </c>
      <c r="P1228" s="5"/>
      <c r="Q1228" s="5" t="str">
        <f ca="1">IFERROR(__xludf.DUMMYFUNCTION("""COMPUTED_VALUE"""),"IaMN3PSl9ug")</f>
        <v>IaMN3PSl9ug</v>
      </c>
      <c r="R1228" s="5">
        <f ca="1">IFERROR(__xludf.DUMMYFUNCTION("""COMPUTED_VALUE"""),410)</f>
        <v>410</v>
      </c>
      <c r="S1228" s="62">
        <f ca="1">IFERROR(__xludf.DUMMYFUNCTION("""COMPUTED_VALUE"""),0.0125)</f>
        <v>1.2500000000000001E-2</v>
      </c>
      <c r="T1228" s="63" t="str">
        <f ca="1">IFERROR(__xludf.DUMMYFUNCTION("""COMPUTED_VALUE"""),"https://storage.googleapis.com/glide-prod.appspot.com/uploads-v2/ly7o78grxPaC6KdgvbpS/pub/UliJWgpEaBovaFmXi6OW.png")</f>
        <v>https://storage.googleapis.com/glide-prod.appspot.com/uploads-v2/ly7o78grxPaC6KdgvbpS/pub/UliJWgpEaBovaFmXi6OW.png</v>
      </c>
      <c r="U1228" s="5" t="str">
        <f ca="1">IFERROR(__xludf.DUMMYFUNCTION("""COMPUTED_VALUE"""),"EQUIPOS PARA SERVICIOS INDUSTRIALES JUGOTORRE DE ENFRIAMIENTO PARA JUGOS")</f>
        <v>EQUIPOS PARA SERVICIOS INDUSTRIALES JUGOTORRE DE ENFRIAMIENTO PARA JUGOS</v>
      </c>
      <c r="V1228" s="5"/>
      <c r="W1228" s="5"/>
      <c r="X1228" s="5" t="str">
        <f ca="1">IFERROR(__xludf.DUMMYFUNCTION("""COMPUTED_VALUE"""),"wmazorra@postobon.com.co,aprmttoyu@postobon.com.co,aprmyu@postobon.com.co,wmora@postobon.com.co,efzapata@postobon.com.co")</f>
        <v>wmazorra@postobon.com.co,aprmttoyu@postobon.com.co,aprmyu@postobon.com.co,wmora@postobon.com.co,efzapata@postobon.com.co</v>
      </c>
      <c r="Y1228" s="5" t="str">
        <f ca="1">IFERROR(__xludf.DUMMYFUNCTION("""COMPUTED_VALUE"""),"wmazorra@postobon.com.co")</f>
        <v>wmazorra@postobon.com.co</v>
      </c>
      <c r="Z1228" s="5" t="str">
        <f ca="1">IFERROR(__xludf.DUMMYFUNCTION("""COMPUTED_VALUE"""),"BXaFgPZJRVCTyyIKKEwntQ")</f>
        <v>BXaFgPZJRVCTyyIKKEwntQ</v>
      </c>
      <c r="AA1228" s="5"/>
      <c r="AB1228" s="5"/>
      <c r="AC1228" s="5"/>
      <c r="AD1228" s="5">
        <f ca="1">IFERROR(__xludf.DUMMYFUNCTION("""COMPUTED_VALUE"""),57)</f>
        <v>57</v>
      </c>
      <c r="AE1228" s="5">
        <f ca="1">IFERROR(__xludf.DUMMYFUNCTION("""COMPUTED_VALUE"""),0)</f>
        <v>0</v>
      </c>
      <c r="AF1228" s="5" t="b">
        <f ca="1">IFERROR(__xludf.DUMMYFUNCTION("""COMPUTED_VALUE"""),TRUE)</f>
        <v>1</v>
      </c>
      <c r="AG1228" s="5" t="str">
        <f ca="1">IFERROR(__xludf.DUMMYFUNCTION("""COMPUTED_VALUE"""),"INSPECCIONES SIN REALIZAR")</f>
        <v>INSPECCIONES SIN REALIZAR</v>
      </c>
      <c r="AH1228" s="5"/>
    </row>
    <row r="1229" spans="1:34">
      <c r="A1229" s="5" t="str">
        <f ca="1">IFERROR(__xludf.DUMMYFUNCTION("""COMPUTED_VALUE"""),"EQUIPOS PARA SERVICIOS INDUSTRIALES JUGO")</f>
        <v>EQUIPOS PARA SERVICIOS INDUSTRIALES JUGO</v>
      </c>
      <c r="B1229" s="5">
        <f ca="1">IFERROR(__xludf.DUMMYFUNCTION("""COMPUTED_VALUE"""),669451)</f>
        <v>669451</v>
      </c>
      <c r="C1229" s="5" t="str">
        <f ca="1">IFERROR(__xludf.DUMMYFUNCTION("""COMPUTED_VALUE"""),"TORRE DE ENFRIAMIENTO PARA JUGOS")</f>
        <v>TORRE DE ENFRIAMIENTO PARA JUGOS</v>
      </c>
      <c r="D1229" s="5">
        <f ca="1">IFERROR(__xludf.DUMMYFUNCTION("""COMPUTED_VALUE"""),13247550)</f>
        <v>13247550</v>
      </c>
      <c r="E1229" s="5" t="str">
        <f ca="1">IFERROR(__xludf.DUMMYFUNCTION("""COMPUTED_VALUE"""),"INSPECCION SEMANAL TORRE ENFRIAMIENTO JU")</f>
        <v>INSPECCION SEMANAL TORRE ENFRIAMIENTO JU</v>
      </c>
      <c r="F1229" s="5" t="str">
        <f ca="1">IFERROR(__xludf.DUMMYFUNCTION("""COMPUTED_VALUE"""),"ESCAPES AGUA")</f>
        <v>ESCAPES AGUA</v>
      </c>
      <c r="G1229" s="5"/>
      <c r="H1229" s="5"/>
      <c r="I1229" s="5"/>
      <c r="J1229" s="5"/>
      <c r="K1229" s="5"/>
      <c r="L1229" s="18">
        <f ca="1">IFERROR(__xludf.DUMMYFUNCTION("""COMPUTED_VALUE"""),45324)</f>
        <v>45324</v>
      </c>
      <c r="M1229" s="18">
        <f ca="1">IFERROR(__xludf.DUMMYFUNCTION("""COMPUTED_VALUE"""),45324)</f>
        <v>45324</v>
      </c>
      <c r="N1229" s="5" t="str">
        <f ca="1">IFERROR(__xludf.DUMMYFUNCTION("""COMPUTED_VALUE"""),"Lopez Raul")</f>
        <v>Lopez Raul</v>
      </c>
      <c r="O1229" s="2">
        <f ca="1">IFERROR(__xludf.DUMMYFUNCTION("""COMPUTED_VALUE"""),0.0125)</f>
        <v>1.2500000000000001E-2</v>
      </c>
      <c r="P1229" s="5"/>
      <c r="Q1229" s="5" t="str">
        <f ca="1">IFERROR(__xludf.DUMMYFUNCTION("""COMPUTED_VALUE"""),"dwGJ69y0HvY")</f>
        <v>dwGJ69y0HvY</v>
      </c>
      <c r="R1229" s="5">
        <f ca="1">IFERROR(__xludf.DUMMYFUNCTION("""COMPUTED_VALUE"""),410)</f>
        <v>410</v>
      </c>
      <c r="S1229" s="62">
        <f ca="1">IFERROR(__xludf.DUMMYFUNCTION("""COMPUTED_VALUE"""),0.0125)</f>
        <v>1.2500000000000001E-2</v>
      </c>
      <c r="T1229" s="63" t="str">
        <f ca="1">IFERROR(__xludf.DUMMYFUNCTION("""COMPUTED_VALUE"""),"https://storage.googleapis.com/glide-prod.appspot.com/uploads-v2/ly7o78grxPaC6KdgvbpS/pub/UliJWgpEaBovaFmXi6OW.png")</f>
        <v>https://storage.googleapis.com/glide-prod.appspot.com/uploads-v2/ly7o78grxPaC6KdgvbpS/pub/UliJWgpEaBovaFmXi6OW.png</v>
      </c>
      <c r="U1229" s="5" t="str">
        <f ca="1">IFERROR(__xludf.DUMMYFUNCTION("""COMPUTED_VALUE"""),"EQUIPOS PARA SERVICIOS INDUSTRIALES JUGOTORRE DE ENFRIAMIENTO PARA JUGOS")</f>
        <v>EQUIPOS PARA SERVICIOS INDUSTRIALES JUGOTORRE DE ENFRIAMIENTO PARA JUGOS</v>
      </c>
      <c r="V1229" s="5"/>
      <c r="W1229" s="5"/>
      <c r="X1229" s="5" t="str">
        <f ca="1">IFERROR(__xludf.DUMMYFUNCTION("""COMPUTED_VALUE"""),"wmazorra@postobon.com.co,aprmttoyu@postobon.com.co,aprmyu@postobon.com.co,wmora@postobon.com.co,efzapata@postobon.com.co")</f>
        <v>wmazorra@postobon.com.co,aprmttoyu@postobon.com.co,aprmyu@postobon.com.co,wmora@postobon.com.co,efzapata@postobon.com.co</v>
      </c>
      <c r="Y1229" s="5" t="str">
        <f ca="1">IFERROR(__xludf.DUMMYFUNCTION("""COMPUTED_VALUE"""),"wmazorra@postobon.com.co")</f>
        <v>wmazorra@postobon.com.co</v>
      </c>
      <c r="Z1229" s="5" t="str">
        <f ca="1">IFERROR(__xludf.DUMMYFUNCTION("""COMPUTED_VALUE"""),"6Qe-nL1dTMKe1xZ3gXQ-JQ")</f>
        <v>6Qe-nL1dTMKe1xZ3gXQ-JQ</v>
      </c>
      <c r="AA1229" s="5"/>
      <c r="AB1229" s="5"/>
      <c r="AC1229" s="5"/>
      <c r="AD1229" s="5">
        <f ca="1">IFERROR(__xludf.DUMMYFUNCTION("""COMPUTED_VALUE"""),57)</f>
        <v>57</v>
      </c>
      <c r="AE1229" s="5">
        <f ca="1">IFERROR(__xludf.DUMMYFUNCTION("""COMPUTED_VALUE"""),0)</f>
        <v>0</v>
      </c>
      <c r="AF1229" s="5" t="b">
        <f ca="1">IFERROR(__xludf.DUMMYFUNCTION("""COMPUTED_VALUE"""),TRUE)</f>
        <v>1</v>
      </c>
      <c r="AG1229" s="5" t="str">
        <f ca="1">IFERROR(__xludf.DUMMYFUNCTION("""COMPUTED_VALUE"""),"INSPECCIONES SIN REALIZAR")</f>
        <v>INSPECCIONES SIN REALIZAR</v>
      </c>
      <c r="AH1229" s="5"/>
    </row>
    <row r="1230" spans="1:34">
      <c r="A1230" s="5" t="str">
        <f ca="1">IFERROR(__xludf.DUMMYFUNCTION("""COMPUTED_VALUE"""),"EQUIPOS PARA SERVICIOS INDUSTRIALES JUGO")</f>
        <v>EQUIPOS PARA SERVICIOS INDUSTRIALES JUGO</v>
      </c>
      <c r="B1230" s="5">
        <f ca="1">IFERROR(__xludf.DUMMYFUNCTION("""COMPUTED_VALUE"""),669451)</f>
        <v>669451</v>
      </c>
      <c r="C1230" s="5" t="str">
        <f ca="1">IFERROR(__xludf.DUMMYFUNCTION("""COMPUTED_VALUE"""),"TORRE DE ENFRIAMIENTO PARA JUGOS")</f>
        <v>TORRE DE ENFRIAMIENTO PARA JUGOS</v>
      </c>
      <c r="D1230" s="5">
        <f ca="1">IFERROR(__xludf.DUMMYFUNCTION("""COMPUTED_VALUE"""),13247550)</f>
        <v>13247550</v>
      </c>
      <c r="E1230" s="5" t="str">
        <f ca="1">IFERROR(__xludf.DUMMYFUNCTION("""COMPUTED_VALUE"""),"INSPECCION SEMANAL TORRE ENFRIAMIENTO JU")</f>
        <v>INSPECCION SEMANAL TORRE ENFRIAMIENTO JU</v>
      </c>
      <c r="F1230" s="5" t="str">
        <f ca="1">IFERROR(__xludf.DUMMYFUNCTION("""COMPUTED_VALUE"""),"ESTADO BOQUILLAS")</f>
        <v>ESTADO BOQUILLAS</v>
      </c>
      <c r="G1230" s="5"/>
      <c r="H1230" s="5"/>
      <c r="I1230" s="5"/>
      <c r="J1230" s="5"/>
      <c r="K1230" s="5"/>
      <c r="L1230" s="18">
        <f ca="1">IFERROR(__xludf.DUMMYFUNCTION("""COMPUTED_VALUE"""),45324)</f>
        <v>45324</v>
      </c>
      <c r="M1230" s="18">
        <f ca="1">IFERROR(__xludf.DUMMYFUNCTION("""COMPUTED_VALUE"""),45324)</f>
        <v>45324</v>
      </c>
      <c r="N1230" s="5" t="str">
        <f ca="1">IFERROR(__xludf.DUMMYFUNCTION("""COMPUTED_VALUE"""),"Lopez Raul")</f>
        <v>Lopez Raul</v>
      </c>
      <c r="O1230" s="2">
        <f ca="1">IFERROR(__xludf.DUMMYFUNCTION("""COMPUTED_VALUE"""),0.0125)</f>
        <v>1.2500000000000001E-2</v>
      </c>
      <c r="P1230" s="5"/>
      <c r="Q1230" s="5" t="str">
        <f ca="1">IFERROR(__xludf.DUMMYFUNCTION("""COMPUTED_VALUE"""),"bo6SOZmpzG8")</f>
        <v>bo6SOZmpzG8</v>
      </c>
      <c r="R1230" s="5">
        <f ca="1">IFERROR(__xludf.DUMMYFUNCTION("""COMPUTED_VALUE"""),410)</f>
        <v>410</v>
      </c>
      <c r="S1230" s="62">
        <f ca="1">IFERROR(__xludf.DUMMYFUNCTION("""COMPUTED_VALUE"""),0.0125)</f>
        <v>1.2500000000000001E-2</v>
      </c>
      <c r="T1230" s="63" t="str">
        <f ca="1">IFERROR(__xludf.DUMMYFUNCTION("""COMPUTED_VALUE"""),"https://storage.googleapis.com/glide-prod.appspot.com/uploads-v2/ly7o78grxPaC6KdgvbpS/pub/UliJWgpEaBovaFmXi6OW.png")</f>
        <v>https://storage.googleapis.com/glide-prod.appspot.com/uploads-v2/ly7o78grxPaC6KdgvbpS/pub/UliJWgpEaBovaFmXi6OW.png</v>
      </c>
      <c r="U1230" s="5" t="str">
        <f ca="1">IFERROR(__xludf.DUMMYFUNCTION("""COMPUTED_VALUE"""),"EQUIPOS PARA SERVICIOS INDUSTRIALES JUGOTORRE DE ENFRIAMIENTO PARA JUGOS")</f>
        <v>EQUIPOS PARA SERVICIOS INDUSTRIALES JUGOTORRE DE ENFRIAMIENTO PARA JUGOS</v>
      </c>
      <c r="V1230" s="5"/>
      <c r="W1230" s="5"/>
      <c r="X1230" s="5" t="str">
        <f ca="1">IFERROR(__xludf.DUMMYFUNCTION("""COMPUTED_VALUE"""),"wmazorra@postobon.com.co,aprmttoyu@postobon.com.co,aprmyu@postobon.com.co,wmora@postobon.com.co,efzapata@postobon.com.co")</f>
        <v>wmazorra@postobon.com.co,aprmttoyu@postobon.com.co,aprmyu@postobon.com.co,wmora@postobon.com.co,efzapata@postobon.com.co</v>
      </c>
      <c r="Y1230" s="5" t="str">
        <f ca="1">IFERROR(__xludf.DUMMYFUNCTION("""COMPUTED_VALUE"""),"wmazorra@postobon.com.co")</f>
        <v>wmazorra@postobon.com.co</v>
      </c>
      <c r="Z1230" s="5" t="str">
        <f ca="1">IFERROR(__xludf.DUMMYFUNCTION("""COMPUTED_VALUE"""),"t4KVk98gQBuokqJdFOg3.A")</f>
        <v>t4KVk98gQBuokqJdFOg3.A</v>
      </c>
      <c r="AA1230" s="5"/>
      <c r="AB1230" s="5"/>
      <c r="AC1230" s="5"/>
      <c r="AD1230" s="5">
        <f ca="1">IFERROR(__xludf.DUMMYFUNCTION("""COMPUTED_VALUE"""),57)</f>
        <v>57</v>
      </c>
      <c r="AE1230" s="5">
        <f ca="1">IFERROR(__xludf.DUMMYFUNCTION("""COMPUTED_VALUE"""),0)</f>
        <v>0</v>
      </c>
      <c r="AF1230" s="5" t="b">
        <f ca="1">IFERROR(__xludf.DUMMYFUNCTION("""COMPUTED_VALUE"""),TRUE)</f>
        <v>1</v>
      </c>
      <c r="AG1230" s="5" t="str">
        <f ca="1">IFERROR(__xludf.DUMMYFUNCTION("""COMPUTED_VALUE"""),"INSPECCIONES SIN REALIZAR")</f>
        <v>INSPECCIONES SIN REALIZAR</v>
      </c>
      <c r="AH1230" s="5"/>
    </row>
    <row r="1231" spans="1:34">
      <c r="A1231" s="5" t="str">
        <f ca="1">IFERROR(__xludf.DUMMYFUNCTION("""COMPUTED_VALUE"""),"EQUIPOS PARA SERVICIOS INDUSTRIALES JUGO")</f>
        <v>EQUIPOS PARA SERVICIOS INDUSTRIALES JUGO</v>
      </c>
      <c r="B1231" s="5">
        <f ca="1">IFERROR(__xludf.DUMMYFUNCTION("""COMPUTED_VALUE"""),669451)</f>
        <v>669451</v>
      </c>
      <c r="C1231" s="5" t="str">
        <f ca="1">IFERROR(__xludf.DUMMYFUNCTION("""COMPUTED_VALUE"""),"TORRE DE ENFRIAMIENTO PARA JUGOS")</f>
        <v>TORRE DE ENFRIAMIENTO PARA JUGOS</v>
      </c>
      <c r="D1231" s="5">
        <f ca="1">IFERROR(__xludf.DUMMYFUNCTION("""COMPUTED_VALUE"""),13247550)</f>
        <v>13247550</v>
      </c>
      <c r="E1231" s="5" t="str">
        <f ca="1">IFERROR(__xludf.DUMMYFUNCTION("""COMPUTED_VALUE"""),"INSPECCION SEMANAL TORRE ENFRIAMIENTO JU")</f>
        <v>INSPECCION SEMANAL TORRE ENFRIAMIENTO JU</v>
      </c>
      <c r="F1231" s="5" t="str">
        <f ca="1">IFERROR(__xludf.DUMMYFUNCTION("""COMPUTED_VALUE"""),"ESTADO DE JUNTAS VIBRACIONES")</f>
        <v>ESTADO DE JUNTAS VIBRACIONES</v>
      </c>
      <c r="G1231" s="5"/>
      <c r="H1231" s="5"/>
      <c r="I1231" s="5"/>
      <c r="J1231" s="5"/>
      <c r="K1231" s="5"/>
      <c r="L1231" s="18">
        <f ca="1">IFERROR(__xludf.DUMMYFUNCTION("""COMPUTED_VALUE"""),45324)</f>
        <v>45324</v>
      </c>
      <c r="M1231" s="18">
        <f ca="1">IFERROR(__xludf.DUMMYFUNCTION("""COMPUTED_VALUE"""),45324)</f>
        <v>45324</v>
      </c>
      <c r="N1231" s="5" t="str">
        <f ca="1">IFERROR(__xludf.DUMMYFUNCTION("""COMPUTED_VALUE"""),"Lopez Raul")</f>
        <v>Lopez Raul</v>
      </c>
      <c r="O1231" s="2">
        <f ca="1">IFERROR(__xludf.DUMMYFUNCTION("""COMPUTED_VALUE"""),0.0125)</f>
        <v>1.2500000000000001E-2</v>
      </c>
      <c r="P1231" s="5"/>
      <c r="Q1231" s="5" t="str">
        <f ca="1">IFERROR(__xludf.DUMMYFUNCTION("""COMPUTED_VALUE"""),"Nc3-iUSIeHY")</f>
        <v>Nc3-iUSIeHY</v>
      </c>
      <c r="R1231" s="5">
        <f ca="1">IFERROR(__xludf.DUMMYFUNCTION("""COMPUTED_VALUE"""),410)</f>
        <v>410</v>
      </c>
      <c r="S1231" s="62">
        <f ca="1">IFERROR(__xludf.DUMMYFUNCTION("""COMPUTED_VALUE"""),0.0125)</f>
        <v>1.2500000000000001E-2</v>
      </c>
      <c r="T1231" s="63" t="str">
        <f ca="1">IFERROR(__xludf.DUMMYFUNCTION("""COMPUTED_VALUE"""),"https://storage.googleapis.com/glide-prod.appspot.com/uploads-v2/ly7o78grxPaC6KdgvbpS/pub/UliJWgpEaBovaFmXi6OW.png")</f>
        <v>https://storage.googleapis.com/glide-prod.appspot.com/uploads-v2/ly7o78grxPaC6KdgvbpS/pub/UliJWgpEaBovaFmXi6OW.png</v>
      </c>
      <c r="U1231" s="5" t="str">
        <f ca="1">IFERROR(__xludf.DUMMYFUNCTION("""COMPUTED_VALUE"""),"EQUIPOS PARA SERVICIOS INDUSTRIALES JUGOTORRE DE ENFRIAMIENTO PARA JUGOS")</f>
        <v>EQUIPOS PARA SERVICIOS INDUSTRIALES JUGOTORRE DE ENFRIAMIENTO PARA JUGOS</v>
      </c>
      <c r="V1231" s="5"/>
      <c r="W1231" s="5"/>
      <c r="X1231" s="5" t="str">
        <f ca="1">IFERROR(__xludf.DUMMYFUNCTION("""COMPUTED_VALUE"""),"wmazorra@postobon.com.co,aprmttoyu@postobon.com.co,aprmyu@postobon.com.co,wmora@postobon.com.co,efzapata@postobon.com.co")</f>
        <v>wmazorra@postobon.com.co,aprmttoyu@postobon.com.co,aprmyu@postobon.com.co,wmora@postobon.com.co,efzapata@postobon.com.co</v>
      </c>
      <c r="Y1231" s="5" t="str">
        <f ca="1">IFERROR(__xludf.DUMMYFUNCTION("""COMPUTED_VALUE"""),"wmazorra@postobon.com.co")</f>
        <v>wmazorra@postobon.com.co</v>
      </c>
      <c r="Z1231" s="5" t="str">
        <f ca="1">IFERROR(__xludf.DUMMYFUNCTION("""COMPUTED_VALUE"""),"KVnJn2UXSt69m9zC7.FYrw")</f>
        <v>KVnJn2UXSt69m9zC7.FYrw</v>
      </c>
      <c r="AA1231" s="5"/>
      <c r="AB1231" s="5"/>
      <c r="AC1231" s="5"/>
      <c r="AD1231" s="5">
        <f ca="1">IFERROR(__xludf.DUMMYFUNCTION("""COMPUTED_VALUE"""),57)</f>
        <v>57</v>
      </c>
      <c r="AE1231" s="5">
        <f ca="1">IFERROR(__xludf.DUMMYFUNCTION("""COMPUTED_VALUE"""),0)</f>
        <v>0</v>
      </c>
      <c r="AF1231" s="5" t="b">
        <f ca="1">IFERROR(__xludf.DUMMYFUNCTION("""COMPUTED_VALUE"""),TRUE)</f>
        <v>1</v>
      </c>
      <c r="AG1231" s="5" t="str">
        <f ca="1">IFERROR(__xludf.DUMMYFUNCTION("""COMPUTED_VALUE"""),"INSPECCIONES SIN REALIZAR")</f>
        <v>INSPECCIONES SIN REALIZAR</v>
      </c>
      <c r="AH1231" s="5"/>
    </row>
    <row r="1232" spans="1:34">
      <c r="A1232" s="5" t="str">
        <f ca="1">IFERROR(__xludf.DUMMYFUNCTION("""COMPUTED_VALUE"""),"EQUIPOS PARA SERVICIOS INDUSTRIALES JUGO")</f>
        <v>EQUIPOS PARA SERVICIOS INDUSTRIALES JUGO</v>
      </c>
      <c r="B1232" s="5">
        <f ca="1">IFERROR(__xludf.DUMMYFUNCTION("""COMPUTED_VALUE"""),669451)</f>
        <v>669451</v>
      </c>
      <c r="C1232" s="5" t="str">
        <f ca="1">IFERROR(__xludf.DUMMYFUNCTION("""COMPUTED_VALUE"""),"TORRE DE ENFRIAMIENTO PARA JUGOS")</f>
        <v>TORRE DE ENFRIAMIENTO PARA JUGOS</v>
      </c>
      <c r="D1232" s="5">
        <f ca="1">IFERROR(__xludf.DUMMYFUNCTION("""COMPUTED_VALUE"""),13247550)</f>
        <v>13247550</v>
      </c>
      <c r="E1232" s="5" t="str">
        <f ca="1">IFERROR(__xludf.DUMMYFUNCTION("""COMPUTED_VALUE"""),"INSPECCION SEMANAL TORRE ENFRIAMIENTO JU")</f>
        <v>INSPECCION SEMANAL TORRE ENFRIAMIENTO JU</v>
      </c>
      <c r="F1232" s="5" t="str">
        <f ca="1">IFERROR(__xludf.DUMMYFUNCTION("""COMPUTED_VALUE"""),"TUBERIAS, VALVULAS")</f>
        <v>TUBERIAS, VALVULAS</v>
      </c>
      <c r="G1232" s="5"/>
      <c r="H1232" s="5"/>
      <c r="I1232" s="5"/>
      <c r="J1232" s="5"/>
      <c r="K1232" s="5"/>
      <c r="L1232" s="18">
        <f ca="1">IFERROR(__xludf.DUMMYFUNCTION("""COMPUTED_VALUE"""),45324)</f>
        <v>45324</v>
      </c>
      <c r="M1232" s="18">
        <f ca="1">IFERROR(__xludf.DUMMYFUNCTION("""COMPUTED_VALUE"""),45324)</f>
        <v>45324</v>
      </c>
      <c r="N1232" s="5" t="str">
        <f ca="1">IFERROR(__xludf.DUMMYFUNCTION("""COMPUTED_VALUE"""),"Lopez Raul")</f>
        <v>Lopez Raul</v>
      </c>
      <c r="O1232" s="2">
        <f ca="1">IFERROR(__xludf.DUMMYFUNCTION("""COMPUTED_VALUE"""),0.0125)</f>
        <v>1.2500000000000001E-2</v>
      </c>
      <c r="P1232" s="5"/>
      <c r="Q1232" s="5" t="str">
        <f ca="1">IFERROR(__xludf.DUMMYFUNCTION("""COMPUTED_VALUE"""),"t3eem9nmFkg")</f>
        <v>t3eem9nmFkg</v>
      </c>
      <c r="R1232" s="5">
        <f ca="1">IFERROR(__xludf.DUMMYFUNCTION("""COMPUTED_VALUE"""),410)</f>
        <v>410</v>
      </c>
      <c r="S1232" s="62">
        <f ca="1">IFERROR(__xludf.DUMMYFUNCTION("""COMPUTED_VALUE"""),0.0125)</f>
        <v>1.2500000000000001E-2</v>
      </c>
      <c r="T1232" s="63" t="str">
        <f ca="1">IFERROR(__xludf.DUMMYFUNCTION("""COMPUTED_VALUE"""),"https://storage.googleapis.com/glide-prod.appspot.com/uploads-v2/ly7o78grxPaC6KdgvbpS/pub/UliJWgpEaBovaFmXi6OW.png")</f>
        <v>https://storage.googleapis.com/glide-prod.appspot.com/uploads-v2/ly7o78grxPaC6KdgvbpS/pub/UliJWgpEaBovaFmXi6OW.png</v>
      </c>
      <c r="U1232" s="5" t="str">
        <f ca="1">IFERROR(__xludf.DUMMYFUNCTION("""COMPUTED_VALUE"""),"EQUIPOS PARA SERVICIOS INDUSTRIALES JUGOTORRE DE ENFRIAMIENTO PARA JUGOS")</f>
        <v>EQUIPOS PARA SERVICIOS INDUSTRIALES JUGOTORRE DE ENFRIAMIENTO PARA JUGOS</v>
      </c>
      <c r="V1232" s="5"/>
      <c r="W1232" s="5"/>
      <c r="X1232" s="5" t="str">
        <f ca="1">IFERROR(__xludf.DUMMYFUNCTION("""COMPUTED_VALUE"""),"wmazorra@postobon.com.co,aprmttoyu@postobon.com.co,aprmyu@postobon.com.co,wmora@postobon.com.co,efzapata@postobon.com.co")</f>
        <v>wmazorra@postobon.com.co,aprmttoyu@postobon.com.co,aprmyu@postobon.com.co,wmora@postobon.com.co,efzapata@postobon.com.co</v>
      </c>
      <c r="Y1232" s="5" t="str">
        <f ca="1">IFERROR(__xludf.DUMMYFUNCTION("""COMPUTED_VALUE"""),"wmazorra@postobon.com.co")</f>
        <v>wmazorra@postobon.com.co</v>
      </c>
      <c r="Z1232" s="5" t="str">
        <f ca="1">IFERROR(__xludf.DUMMYFUNCTION("""COMPUTED_VALUE"""),"FYhFH8x9TEypsPVP4tnqiA")</f>
        <v>FYhFH8x9TEypsPVP4tnqiA</v>
      </c>
      <c r="AA1232" s="5"/>
      <c r="AB1232" s="5"/>
      <c r="AC1232" s="5"/>
      <c r="AD1232" s="5">
        <f ca="1">IFERROR(__xludf.DUMMYFUNCTION("""COMPUTED_VALUE"""),57)</f>
        <v>57</v>
      </c>
      <c r="AE1232" s="5">
        <f ca="1">IFERROR(__xludf.DUMMYFUNCTION("""COMPUTED_VALUE"""),0)</f>
        <v>0</v>
      </c>
      <c r="AF1232" s="5" t="b">
        <f ca="1">IFERROR(__xludf.DUMMYFUNCTION("""COMPUTED_VALUE"""),TRUE)</f>
        <v>1</v>
      </c>
      <c r="AG1232" s="5" t="str">
        <f ca="1">IFERROR(__xludf.DUMMYFUNCTION("""COMPUTED_VALUE"""),"INSPECCIONES SIN REALIZAR")</f>
        <v>INSPECCIONES SIN REALIZAR</v>
      </c>
      <c r="AH1232" s="5"/>
    </row>
    <row r="1233" spans="1:34">
      <c r="A1233" s="5" t="str">
        <f ca="1">IFERROR(__xludf.DUMMYFUNCTION("""COMPUTED_VALUE"""),"EQUIPOS PARA SERVICIOS INDUSTRIALES JUGO")</f>
        <v>EQUIPOS PARA SERVICIOS INDUSTRIALES JUGO</v>
      </c>
      <c r="B1233" s="5">
        <f ca="1">IFERROR(__xludf.DUMMYFUNCTION("""COMPUTED_VALUE"""),669451)</f>
        <v>669451</v>
      </c>
      <c r="C1233" s="5" t="str">
        <f ca="1">IFERROR(__xludf.DUMMYFUNCTION("""COMPUTED_VALUE"""),"TORRE DE ENFRIAMIENTO PARA JUGOS")</f>
        <v>TORRE DE ENFRIAMIENTO PARA JUGOS</v>
      </c>
      <c r="D1233" s="5">
        <f ca="1">IFERROR(__xludf.DUMMYFUNCTION("""COMPUTED_VALUE"""),13247550)</f>
        <v>13247550</v>
      </c>
      <c r="E1233" s="5" t="str">
        <f ca="1">IFERROR(__xludf.DUMMYFUNCTION("""COMPUTED_VALUE"""),"INSPECCION SEMANAL TORRE ENFRIAMIENTO JU")</f>
        <v>INSPECCION SEMANAL TORRE ENFRIAMIENTO JU</v>
      </c>
      <c r="F1233" s="5" t="str">
        <f ca="1">IFERROR(__xludf.DUMMYFUNCTION("""COMPUTED_VALUE"""),"ESTADO GRAL PINTURA")</f>
        <v>ESTADO GRAL PINTURA</v>
      </c>
      <c r="G1233" s="5"/>
      <c r="H1233" s="5"/>
      <c r="I1233" s="5"/>
      <c r="J1233" s="5"/>
      <c r="K1233" s="5"/>
      <c r="L1233" s="18">
        <f ca="1">IFERROR(__xludf.DUMMYFUNCTION("""COMPUTED_VALUE"""),45324)</f>
        <v>45324</v>
      </c>
      <c r="M1233" s="18">
        <f ca="1">IFERROR(__xludf.DUMMYFUNCTION("""COMPUTED_VALUE"""),45324)</f>
        <v>45324</v>
      </c>
      <c r="N1233" s="5" t="str">
        <f ca="1">IFERROR(__xludf.DUMMYFUNCTION("""COMPUTED_VALUE"""),"Lopez Raul")</f>
        <v>Lopez Raul</v>
      </c>
      <c r="O1233" s="2">
        <f ca="1">IFERROR(__xludf.DUMMYFUNCTION("""COMPUTED_VALUE"""),0.0125)</f>
        <v>1.2500000000000001E-2</v>
      </c>
      <c r="P1233" s="5"/>
      <c r="Q1233" s="5" t="str">
        <f ca="1">IFERROR(__xludf.DUMMYFUNCTION("""COMPUTED_VALUE"""),"ceb1NiGH4wQ")</f>
        <v>ceb1NiGH4wQ</v>
      </c>
      <c r="R1233" s="5">
        <f ca="1">IFERROR(__xludf.DUMMYFUNCTION("""COMPUTED_VALUE"""),410)</f>
        <v>410</v>
      </c>
      <c r="S1233" s="62">
        <f ca="1">IFERROR(__xludf.DUMMYFUNCTION("""COMPUTED_VALUE"""),0.0125)</f>
        <v>1.2500000000000001E-2</v>
      </c>
      <c r="T1233" s="63" t="str">
        <f ca="1">IFERROR(__xludf.DUMMYFUNCTION("""COMPUTED_VALUE"""),"https://storage.googleapis.com/glide-prod.appspot.com/uploads-v2/ly7o78grxPaC6KdgvbpS/pub/UliJWgpEaBovaFmXi6OW.png")</f>
        <v>https://storage.googleapis.com/glide-prod.appspot.com/uploads-v2/ly7o78grxPaC6KdgvbpS/pub/UliJWgpEaBovaFmXi6OW.png</v>
      </c>
      <c r="U1233" s="5" t="str">
        <f ca="1">IFERROR(__xludf.DUMMYFUNCTION("""COMPUTED_VALUE"""),"EQUIPOS PARA SERVICIOS INDUSTRIALES JUGOTORRE DE ENFRIAMIENTO PARA JUGOS")</f>
        <v>EQUIPOS PARA SERVICIOS INDUSTRIALES JUGOTORRE DE ENFRIAMIENTO PARA JUGOS</v>
      </c>
      <c r="V1233" s="5"/>
      <c r="W1233" s="5"/>
      <c r="X1233" s="5" t="str">
        <f ca="1">IFERROR(__xludf.DUMMYFUNCTION("""COMPUTED_VALUE"""),"wmazorra@postobon.com.co,aprmttoyu@postobon.com.co,aprmyu@postobon.com.co,wmora@postobon.com.co,efzapata@postobon.com.co")</f>
        <v>wmazorra@postobon.com.co,aprmttoyu@postobon.com.co,aprmyu@postobon.com.co,wmora@postobon.com.co,efzapata@postobon.com.co</v>
      </c>
      <c r="Y1233" s="5" t="str">
        <f ca="1">IFERROR(__xludf.DUMMYFUNCTION("""COMPUTED_VALUE"""),"wmazorra@postobon.com.co")</f>
        <v>wmazorra@postobon.com.co</v>
      </c>
      <c r="Z1233" s="5" t="str">
        <f ca="1">IFERROR(__xludf.DUMMYFUNCTION("""COMPUTED_VALUE"""),"ipoGuC6hSNWwf-IjUFBgDw")</f>
        <v>ipoGuC6hSNWwf-IjUFBgDw</v>
      </c>
      <c r="AA1233" s="5"/>
      <c r="AB1233" s="5"/>
      <c r="AC1233" s="5"/>
      <c r="AD1233" s="5">
        <f ca="1">IFERROR(__xludf.DUMMYFUNCTION("""COMPUTED_VALUE"""),57)</f>
        <v>57</v>
      </c>
      <c r="AE1233" s="5">
        <f ca="1">IFERROR(__xludf.DUMMYFUNCTION("""COMPUTED_VALUE"""),0)</f>
        <v>0</v>
      </c>
      <c r="AF1233" s="5" t="b">
        <f ca="1">IFERROR(__xludf.DUMMYFUNCTION("""COMPUTED_VALUE"""),TRUE)</f>
        <v>1</v>
      </c>
      <c r="AG1233" s="5" t="str">
        <f ca="1">IFERROR(__xludf.DUMMYFUNCTION("""COMPUTED_VALUE"""),"INSPECCIONES SIN REALIZAR")</f>
        <v>INSPECCIONES SIN REALIZAR</v>
      </c>
      <c r="AH1233" s="5"/>
    </row>
    <row r="1234" spans="1:34">
      <c r="A1234" s="5" t="str">
        <f ca="1">IFERROR(__xludf.DUMMYFUNCTION("""COMPUTED_VALUE"""),"EQUIPOS PARA SERVICIOS INDUSTRIALES JUGO")</f>
        <v>EQUIPOS PARA SERVICIOS INDUSTRIALES JUGO</v>
      </c>
      <c r="B1234" s="5">
        <f ca="1">IFERROR(__xludf.DUMMYFUNCTION("""COMPUTED_VALUE"""),669451)</f>
        <v>669451</v>
      </c>
      <c r="C1234" s="5" t="str">
        <f ca="1">IFERROR(__xludf.DUMMYFUNCTION("""COMPUTED_VALUE"""),"TORRE DE ENFRIAMIENTO PARA JUGOS")</f>
        <v>TORRE DE ENFRIAMIENTO PARA JUGOS</v>
      </c>
      <c r="D1234" s="5">
        <f ca="1">IFERROR(__xludf.DUMMYFUNCTION("""COMPUTED_VALUE"""),13247550)</f>
        <v>13247550</v>
      </c>
      <c r="E1234" s="5" t="str">
        <f ca="1">IFERROR(__xludf.DUMMYFUNCTION("""COMPUTED_VALUE"""),"INSPECCION SEMANAL TORRE ENFRIAMIENTO JU")</f>
        <v>INSPECCION SEMANAL TORRE ENFRIAMIENTO JU</v>
      </c>
      <c r="F1234" s="5" t="str">
        <f ca="1">IFERROR(__xludf.DUMMYFUNCTION("""COMPUTED_VALUE"""),"TABLEROS ELECTRICOS/CLIMATIZADOR")</f>
        <v>TABLEROS ELECTRICOS/CLIMATIZADOR</v>
      </c>
      <c r="G1234" s="5"/>
      <c r="H1234" s="5"/>
      <c r="I1234" s="5"/>
      <c r="J1234" s="5"/>
      <c r="K1234" s="5"/>
      <c r="L1234" s="18">
        <f ca="1">IFERROR(__xludf.DUMMYFUNCTION("""COMPUTED_VALUE"""),45324)</f>
        <v>45324</v>
      </c>
      <c r="M1234" s="18">
        <f ca="1">IFERROR(__xludf.DUMMYFUNCTION("""COMPUTED_VALUE"""),45324)</f>
        <v>45324</v>
      </c>
      <c r="N1234" s="5" t="str">
        <f ca="1">IFERROR(__xludf.DUMMYFUNCTION("""COMPUTED_VALUE"""),"Lopez Raul")</f>
        <v>Lopez Raul</v>
      </c>
      <c r="O1234" s="2">
        <f ca="1">IFERROR(__xludf.DUMMYFUNCTION("""COMPUTED_VALUE"""),0.0125)</f>
        <v>1.2500000000000001E-2</v>
      </c>
      <c r="P1234" s="5"/>
      <c r="Q1234" s="5" t="str">
        <f ca="1">IFERROR(__xludf.DUMMYFUNCTION("""COMPUTED_VALUE"""),"t5ONhz-EUnI")</f>
        <v>t5ONhz-EUnI</v>
      </c>
      <c r="R1234" s="5">
        <f ca="1">IFERROR(__xludf.DUMMYFUNCTION("""COMPUTED_VALUE"""),410)</f>
        <v>410</v>
      </c>
      <c r="S1234" s="62">
        <f ca="1">IFERROR(__xludf.DUMMYFUNCTION("""COMPUTED_VALUE"""),0.0125)</f>
        <v>1.2500000000000001E-2</v>
      </c>
      <c r="T1234" s="63" t="str">
        <f ca="1">IFERROR(__xludf.DUMMYFUNCTION("""COMPUTED_VALUE"""),"https://storage.googleapis.com/glide-prod.appspot.com/uploads-v2/ly7o78grxPaC6KdgvbpS/pub/UliJWgpEaBovaFmXi6OW.png")</f>
        <v>https://storage.googleapis.com/glide-prod.appspot.com/uploads-v2/ly7o78grxPaC6KdgvbpS/pub/UliJWgpEaBovaFmXi6OW.png</v>
      </c>
      <c r="U1234" s="5" t="str">
        <f ca="1">IFERROR(__xludf.DUMMYFUNCTION("""COMPUTED_VALUE"""),"EQUIPOS PARA SERVICIOS INDUSTRIALES JUGOTORRE DE ENFRIAMIENTO PARA JUGOS")</f>
        <v>EQUIPOS PARA SERVICIOS INDUSTRIALES JUGOTORRE DE ENFRIAMIENTO PARA JUGOS</v>
      </c>
      <c r="V1234" s="5"/>
      <c r="W1234" s="5"/>
      <c r="X1234" s="5" t="str">
        <f ca="1">IFERROR(__xludf.DUMMYFUNCTION("""COMPUTED_VALUE"""),"wmazorra@postobon.com.co,aprmttoyu@postobon.com.co,aprmyu@postobon.com.co,wmora@postobon.com.co,efzapata@postobon.com.co")</f>
        <v>wmazorra@postobon.com.co,aprmttoyu@postobon.com.co,aprmyu@postobon.com.co,wmora@postobon.com.co,efzapata@postobon.com.co</v>
      </c>
      <c r="Y1234" s="5" t="str">
        <f ca="1">IFERROR(__xludf.DUMMYFUNCTION("""COMPUTED_VALUE"""),"wmazorra@postobon.com.co")</f>
        <v>wmazorra@postobon.com.co</v>
      </c>
      <c r="Z1234" s="5" t="str">
        <f ca="1">IFERROR(__xludf.DUMMYFUNCTION("""COMPUTED_VALUE"""),"caSvbC8yTCaHnZgPO8oCcQ")</f>
        <v>caSvbC8yTCaHnZgPO8oCcQ</v>
      </c>
      <c r="AA1234" s="5"/>
      <c r="AB1234" s="5"/>
      <c r="AC1234" s="5"/>
      <c r="AD1234" s="5">
        <f ca="1">IFERROR(__xludf.DUMMYFUNCTION("""COMPUTED_VALUE"""),57)</f>
        <v>57</v>
      </c>
      <c r="AE1234" s="5">
        <f ca="1">IFERROR(__xludf.DUMMYFUNCTION("""COMPUTED_VALUE"""),0)</f>
        <v>0</v>
      </c>
      <c r="AF1234" s="5" t="b">
        <f ca="1">IFERROR(__xludf.DUMMYFUNCTION("""COMPUTED_VALUE"""),TRUE)</f>
        <v>1</v>
      </c>
      <c r="AG1234" s="5" t="str">
        <f ca="1">IFERROR(__xludf.DUMMYFUNCTION("""COMPUTED_VALUE"""),"INSPECCIONES SIN REALIZAR")</f>
        <v>INSPECCIONES SIN REALIZAR</v>
      </c>
      <c r="AH1234" s="5"/>
    </row>
    <row r="1235" spans="1:34">
      <c r="A1235" s="5" t="str">
        <f ca="1">IFERROR(__xludf.DUMMYFUNCTION("""COMPUTED_VALUE"""),"EQUIPOS ALTA Y BAJA TENSION ELECTRICA")</f>
        <v>EQUIPOS ALTA Y BAJA TENSION ELECTRICA</v>
      </c>
      <c r="B1235" s="5">
        <f ca="1">IFERROR(__xludf.DUMMYFUNCTION("""COMPUTED_VALUE"""),74928601)</f>
        <v>74928601</v>
      </c>
      <c r="C1235" s="5" t="str">
        <f ca="1">IFERROR(__xludf.DUMMYFUNCTION("""COMPUTED_VALUE"""),"TRANSFORMADOR 3F")</f>
        <v>TRANSFORMADOR 3F</v>
      </c>
      <c r="D1235" s="5">
        <f ca="1">IFERROR(__xludf.DUMMYFUNCTION("""COMPUTED_VALUE"""),13247432)</f>
        <v>13247432</v>
      </c>
      <c r="E1235" s="5" t="str">
        <f ca="1">IFERROR(__xludf.DUMMYFUNCTION("""COMPUTED_VALUE"""),"INSPECCION SEMANAL TRANSFORMADOR 3F")</f>
        <v>INSPECCION SEMANAL TRANSFORMADOR 3F</v>
      </c>
      <c r="F1235" s="5" t="str">
        <f ca="1">IFERROR(__xludf.DUMMYFUNCTION("""COMPUTED_VALUE"""),"PLAN MTTO ELE TRANSFORMAD 6MVA 74928601")</f>
        <v>PLAN MTTO ELE TRANSFORMAD 6MVA 74928601</v>
      </c>
      <c r="G1235" s="5" t="b">
        <f ca="1">IFERROR(__xludf.DUMMYFUNCTION("""COMPUTED_VALUE"""),TRUE)</f>
        <v>1</v>
      </c>
      <c r="H1235" s="5"/>
      <c r="I1235" s="5"/>
      <c r="J1235" s="5">
        <f ca="1">IFERROR(__xludf.DUMMYFUNCTION("""COMPUTED_VALUE"""),13247432)</f>
        <v>13247432</v>
      </c>
      <c r="K1235" s="5"/>
      <c r="L1235" s="18">
        <f ca="1">IFERROR(__xludf.DUMMYFUNCTION("""COMPUTED_VALUE"""),45324)</f>
        <v>45324</v>
      </c>
      <c r="M1235" s="18">
        <f ca="1">IFERROR(__xludf.DUMMYFUNCTION("""COMPUTED_VALUE"""),45324)</f>
        <v>45324</v>
      </c>
      <c r="N1235" s="5" t="str">
        <f ca="1">IFERROR(__xludf.DUMMYFUNCTION("""COMPUTED_VALUE"""),"MUÑOZ VALENCIA JEFFERSON")</f>
        <v>MUÑOZ VALENCIA JEFFERSON</v>
      </c>
      <c r="O1235" s="2">
        <f ca="1">IFERROR(__xludf.DUMMYFUNCTION("""COMPUTED_VALUE"""),0.1)</f>
        <v>0.1</v>
      </c>
      <c r="P1235" s="5">
        <f ca="1">IFERROR(__xludf.DUMMYFUNCTION("""COMPUTED_VALUE"""),20062055)</f>
        <v>20062055</v>
      </c>
      <c r="Q1235" s="5" t="str">
        <f ca="1">IFERROR(__xludf.DUMMYFUNCTION("""COMPUTED_VALUE"""),"Wb9DA3yJQ28")</f>
        <v>Wb9DA3yJQ28</v>
      </c>
      <c r="R1235" s="5">
        <f ca="1">IFERROR(__xludf.DUMMYFUNCTION("""COMPUTED_VALUE"""),410)</f>
        <v>410</v>
      </c>
      <c r="S1235" s="62">
        <f ca="1">IFERROR(__xludf.DUMMYFUNCTION("""COMPUTED_VALUE"""),0.1)</f>
        <v>0.1</v>
      </c>
      <c r="T1235" s="63" t="str">
        <f ca="1">IFERROR(__xludf.DUMMYFUNCTION("""COMPUTED_VALUE"""),"https://storage.googleapis.com/glide-prod.appspot.com/uploads-v2/ly7o78grxPaC6KdgvbpS/pub/3aRdSog0vUtuqPE8AJKD.png")</f>
        <v>https://storage.googleapis.com/glide-prod.appspot.com/uploads-v2/ly7o78grxPaC6KdgvbpS/pub/3aRdSog0vUtuqPE8AJKD.png</v>
      </c>
      <c r="U1235" s="5" t="str">
        <f ca="1">IFERROR(__xludf.DUMMYFUNCTION("""COMPUTED_VALUE"""),"EQUIPOS ALTA Y BAJA TENSION ELECTRICATRANSFORMADOR 3F")</f>
        <v>EQUIPOS ALTA Y BAJA TENSION ELECTRICATRANSFORMADOR 3F</v>
      </c>
      <c r="V1235" s="5"/>
      <c r="W1235" s="5" t="b">
        <f ca="1">IFERROR(__xludf.DUMMYFUNCTION("""COMPUTED_VALUE"""),TRUE)</f>
        <v>1</v>
      </c>
      <c r="X1235" s="5" t="str">
        <f ca="1">IFERROR(__xludf.DUMMYFUNCTION("""COMPUTED_VALUE"""),"wmazorra@postobon.com.co,aprmttoyu@postobon.com.co,aprmyu@postobon.com.co,wmora@postobon.com.co,efzapata@postobon.com.co")</f>
        <v>wmazorra@postobon.com.co,aprmttoyu@postobon.com.co,aprmyu@postobon.com.co,wmora@postobon.com.co,efzapata@postobon.com.co</v>
      </c>
      <c r="Y1235" s="5" t="str">
        <f ca="1">IFERROR(__xludf.DUMMYFUNCTION("""COMPUTED_VALUE"""),"wmazorra@postobon.com.co")</f>
        <v>wmazorra@postobon.com.co</v>
      </c>
      <c r="Z1235" s="5" t="str">
        <f ca="1">IFERROR(__xludf.DUMMYFUNCTION("""COMPUTED_VALUE"""),"HUji3OfLSpyme3OP1Gg6Rg")</f>
        <v>HUji3OfLSpyme3OP1Gg6Rg</v>
      </c>
      <c r="AA1235" s="5"/>
      <c r="AB1235" s="5"/>
      <c r="AC1235" s="5"/>
      <c r="AD1235" s="5">
        <f ca="1">IFERROR(__xludf.DUMMYFUNCTION("""COMPUTED_VALUE"""),58)</f>
        <v>58</v>
      </c>
      <c r="AE1235" s="5">
        <f ca="1">IFERROR(__xludf.DUMMYFUNCTION("""COMPUTED_VALUE"""),58)</f>
        <v>58</v>
      </c>
      <c r="AF1235" s="5" t="b">
        <f ca="1">IFERROR(__xludf.DUMMYFUNCTION("""COMPUTED_VALUE"""),FALSE)</f>
        <v>0</v>
      </c>
      <c r="AG1235" s="5" t="str">
        <f ca="1">IFERROR(__xludf.DUMMYFUNCTION("""COMPUTED_VALUE"""),"INSPECCIONES REALIZADAS")</f>
        <v>INSPECCIONES REALIZADAS</v>
      </c>
      <c r="AH1235" s="5"/>
    </row>
    <row r="1236" spans="1:34">
      <c r="A1236" s="5" t="str">
        <f ca="1">IFERROR(__xludf.DUMMYFUNCTION("""COMPUTED_VALUE"""),"EQUIPOS ALTA Y BAJA TENSION ELECTRICA")</f>
        <v>EQUIPOS ALTA Y BAJA TENSION ELECTRICA</v>
      </c>
      <c r="B1236" s="5">
        <f ca="1">IFERROR(__xludf.DUMMYFUNCTION("""COMPUTED_VALUE"""),74928602)</f>
        <v>74928602</v>
      </c>
      <c r="C1236" s="5" t="str">
        <f ca="1">IFERROR(__xludf.DUMMYFUNCTION("""COMPUTED_VALUE"""),"TRANSFORMADOR 3F 1(220V)")</f>
        <v>TRANSFORMADOR 3F 1(220V)</v>
      </c>
      <c r="D1236" s="5">
        <f ca="1">IFERROR(__xludf.DUMMYFUNCTION("""COMPUTED_VALUE"""),13247434)</f>
        <v>13247434</v>
      </c>
      <c r="E1236" s="5" t="str">
        <f ca="1">IFERROR(__xludf.DUMMYFUNCTION("""COMPUTED_VALUE"""),"INSPECCION SEMANAL TRANSFORMADOR 3F 1(22")</f>
        <v>INSPECCION SEMANAL TRANSFORMADOR 3F 1(22</v>
      </c>
      <c r="F1236" s="5" t="str">
        <f ca="1">IFERROR(__xludf.DUMMYFUNCTION("""COMPUTED_VALUE"""),"PLAN MTTO ELE TRANSFORM 1(220 74928602")</f>
        <v>PLAN MTTO ELE TRANSFORM 1(220 74928602</v>
      </c>
      <c r="G1236" s="5" t="b">
        <f ca="1">IFERROR(__xludf.DUMMYFUNCTION("""COMPUTED_VALUE"""),TRUE)</f>
        <v>1</v>
      </c>
      <c r="H1236" s="5"/>
      <c r="I1236" s="5"/>
      <c r="J1236" s="5">
        <f ca="1">IFERROR(__xludf.DUMMYFUNCTION("""COMPUTED_VALUE"""),13247434)</f>
        <v>13247434</v>
      </c>
      <c r="K1236" s="5"/>
      <c r="L1236" s="18">
        <f ca="1">IFERROR(__xludf.DUMMYFUNCTION("""COMPUTED_VALUE"""),45324)</f>
        <v>45324</v>
      </c>
      <c r="M1236" s="18">
        <f ca="1">IFERROR(__xludf.DUMMYFUNCTION("""COMPUTED_VALUE"""),45324)</f>
        <v>45324</v>
      </c>
      <c r="N1236" s="5" t="str">
        <f ca="1">IFERROR(__xludf.DUMMYFUNCTION("""COMPUTED_VALUE"""),"MUÑOZ VALENCIA JEFFERSON")</f>
        <v>MUÑOZ VALENCIA JEFFERSON</v>
      </c>
      <c r="O1236" s="2">
        <f ca="1">IFERROR(__xludf.DUMMYFUNCTION("""COMPUTED_VALUE"""),0.1)</f>
        <v>0.1</v>
      </c>
      <c r="P1236" s="5">
        <f ca="1">IFERROR(__xludf.DUMMYFUNCTION("""COMPUTED_VALUE"""),20062055)</f>
        <v>20062055</v>
      </c>
      <c r="Q1236" s="5" t="str">
        <f ca="1">IFERROR(__xludf.DUMMYFUNCTION("""COMPUTED_VALUE"""),"lO7cpoOt3ss")</f>
        <v>lO7cpoOt3ss</v>
      </c>
      <c r="R1236" s="5">
        <f ca="1">IFERROR(__xludf.DUMMYFUNCTION("""COMPUTED_VALUE"""),410)</f>
        <v>410</v>
      </c>
      <c r="S1236" s="62">
        <f ca="1">IFERROR(__xludf.DUMMYFUNCTION("""COMPUTED_VALUE"""),0.1)</f>
        <v>0.1</v>
      </c>
      <c r="T1236" s="63" t="str">
        <f ca="1">IFERROR(__xludf.DUMMYFUNCTION("""COMPUTED_VALUE"""),"https://storage.googleapis.com/glide-prod.appspot.com/uploads-v2/ly7o78grxPaC6KdgvbpS/pub/3aRdSog0vUtuqPE8AJKD.png")</f>
        <v>https://storage.googleapis.com/glide-prod.appspot.com/uploads-v2/ly7o78grxPaC6KdgvbpS/pub/3aRdSog0vUtuqPE8AJKD.png</v>
      </c>
      <c r="U1236" s="5" t="str">
        <f ca="1">IFERROR(__xludf.DUMMYFUNCTION("""COMPUTED_VALUE"""),"EQUIPOS ALTA Y BAJA TENSION ELECTRICATRANSFORMADOR 3F 1(220V)")</f>
        <v>EQUIPOS ALTA Y BAJA TENSION ELECTRICATRANSFORMADOR 3F 1(220V)</v>
      </c>
      <c r="V1236" s="5"/>
      <c r="W1236" s="5" t="b">
        <f ca="1">IFERROR(__xludf.DUMMYFUNCTION("""COMPUTED_VALUE"""),TRUE)</f>
        <v>1</v>
      </c>
      <c r="X1236" s="5" t="str">
        <f ca="1">IFERROR(__xludf.DUMMYFUNCTION("""COMPUTED_VALUE"""),"wmazorra@postobon.com.co,aprmttoyu@postobon.com.co,aprmyu@postobon.com.co,wmora@postobon.com.co,efzapata@postobon.com.co")</f>
        <v>wmazorra@postobon.com.co,aprmttoyu@postobon.com.co,aprmyu@postobon.com.co,wmora@postobon.com.co,efzapata@postobon.com.co</v>
      </c>
      <c r="Y1236" s="5" t="str">
        <f ca="1">IFERROR(__xludf.DUMMYFUNCTION("""COMPUTED_VALUE"""),"wmazorra@postobon.com.co")</f>
        <v>wmazorra@postobon.com.co</v>
      </c>
      <c r="Z1236" s="5" t="str">
        <f ca="1">IFERROR(__xludf.DUMMYFUNCTION("""COMPUTED_VALUE"""),"6ddqAh7jSSCM0rEBobiMhQ")</f>
        <v>6ddqAh7jSSCM0rEBobiMhQ</v>
      </c>
      <c r="AA1236" s="5"/>
      <c r="AB1236" s="5"/>
      <c r="AC1236" s="5"/>
      <c r="AD1236" s="5">
        <f ca="1">IFERROR(__xludf.DUMMYFUNCTION("""COMPUTED_VALUE"""),58)</f>
        <v>58</v>
      </c>
      <c r="AE1236" s="5">
        <f ca="1">IFERROR(__xludf.DUMMYFUNCTION("""COMPUTED_VALUE"""),58)</f>
        <v>58</v>
      </c>
      <c r="AF1236" s="5" t="b">
        <f ca="1">IFERROR(__xludf.DUMMYFUNCTION("""COMPUTED_VALUE"""),FALSE)</f>
        <v>0</v>
      </c>
      <c r="AG1236" s="5" t="str">
        <f ca="1">IFERROR(__xludf.DUMMYFUNCTION("""COMPUTED_VALUE"""),"INSPECCIONES REALIZADAS")</f>
        <v>INSPECCIONES REALIZADAS</v>
      </c>
      <c r="AH1236" s="5"/>
    </row>
    <row r="1237" spans="1:34">
      <c r="A1237" s="5" t="str">
        <f ca="1">IFERROR(__xludf.DUMMYFUNCTION("""COMPUTED_VALUE"""),"EQUIPOS ALTA Y BAJA TENSION ELECTRICA")</f>
        <v>EQUIPOS ALTA Y BAJA TENSION ELECTRICA</v>
      </c>
      <c r="B1237" s="5">
        <f ca="1">IFERROR(__xludf.DUMMYFUNCTION("""COMPUTED_VALUE"""),74928603)</f>
        <v>74928603</v>
      </c>
      <c r="C1237" s="5" t="str">
        <f ca="1">IFERROR(__xludf.DUMMYFUNCTION("""COMPUTED_VALUE"""),"TRANSFORMADOR 3F 2(220V)")</f>
        <v>TRANSFORMADOR 3F 2(220V)</v>
      </c>
      <c r="D1237" s="5">
        <f ca="1">IFERROR(__xludf.DUMMYFUNCTION("""COMPUTED_VALUE"""),13247436)</f>
        <v>13247436</v>
      </c>
      <c r="E1237" s="5" t="str">
        <f ca="1">IFERROR(__xludf.DUMMYFUNCTION("""COMPUTED_VALUE"""),"INSPECCION SEMANAL TRANSFORMADOR 3F 2(22")</f>
        <v>INSPECCION SEMANAL TRANSFORMADOR 3F 2(22</v>
      </c>
      <c r="F1237" s="5" t="str">
        <f ca="1">IFERROR(__xludf.DUMMYFUNCTION("""COMPUTED_VALUE"""),"PLAN MTTO ELE TRANSFORM2(220V) 74928603")</f>
        <v>PLAN MTTO ELE TRANSFORM2(220V) 74928603</v>
      </c>
      <c r="G1237" s="5" t="b">
        <f ca="1">IFERROR(__xludf.DUMMYFUNCTION("""COMPUTED_VALUE"""),TRUE)</f>
        <v>1</v>
      </c>
      <c r="H1237" s="5"/>
      <c r="I1237" s="5"/>
      <c r="J1237" s="5">
        <f ca="1">IFERROR(__xludf.DUMMYFUNCTION("""COMPUTED_VALUE"""),13247436)</f>
        <v>13247436</v>
      </c>
      <c r="K1237" s="5"/>
      <c r="L1237" s="18">
        <f ca="1">IFERROR(__xludf.DUMMYFUNCTION("""COMPUTED_VALUE"""),45324)</f>
        <v>45324</v>
      </c>
      <c r="M1237" s="18">
        <f ca="1">IFERROR(__xludf.DUMMYFUNCTION("""COMPUTED_VALUE"""),45324)</f>
        <v>45324</v>
      </c>
      <c r="N1237" s="5" t="str">
        <f ca="1">IFERROR(__xludf.DUMMYFUNCTION("""COMPUTED_VALUE"""),"MUÑOZ VALENCIA JEFFERSON")</f>
        <v>MUÑOZ VALENCIA JEFFERSON</v>
      </c>
      <c r="O1237" s="2">
        <f ca="1">IFERROR(__xludf.DUMMYFUNCTION("""COMPUTED_VALUE"""),0.1)</f>
        <v>0.1</v>
      </c>
      <c r="P1237" s="5">
        <f ca="1">IFERROR(__xludf.DUMMYFUNCTION("""COMPUTED_VALUE"""),20062055)</f>
        <v>20062055</v>
      </c>
      <c r="Q1237" s="5" t="str">
        <f ca="1">IFERROR(__xludf.DUMMYFUNCTION("""COMPUTED_VALUE"""),"y_yQZvVJr2c")</f>
        <v>y_yQZvVJr2c</v>
      </c>
      <c r="R1237" s="5">
        <f ca="1">IFERROR(__xludf.DUMMYFUNCTION("""COMPUTED_VALUE"""),410)</f>
        <v>410</v>
      </c>
      <c r="S1237" s="62">
        <f ca="1">IFERROR(__xludf.DUMMYFUNCTION("""COMPUTED_VALUE"""),0.1)</f>
        <v>0.1</v>
      </c>
      <c r="T1237" s="63" t="str">
        <f ca="1">IFERROR(__xludf.DUMMYFUNCTION("""COMPUTED_VALUE"""),"https://storage.googleapis.com/glide-prod.appspot.com/uploads-v2/ly7o78grxPaC6KdgvbpS/pub/3aRdSog0vUtuqPE8AJKD.png")</f>
        <v>https://storage.googleapis.com/glide-prod.appspot.com/uploads-v2/ly7o78grxPaC6KdgvbpS/pub/3aRdSog0vUtuqPE8AJKD.png</v>
      </c>
      <c r="U1237" s="5" t="str">
        <f ca="1">IFERROR(__xludf.DUMMYFUNCTION("""COMPUTED_VALUE"""),"EQUIPOS ALTA Y BAJA TENSION ELECTRICATRANSFORMADOR 3F 2(220V)")</f>
        <v>EQUIPOS ALTA Y BAJA TENSION ELECTRICATRANSFORMADOR 3F 2(220V)</v>
      </c>
      <c r="V1237" s="5"/>
      <c r="W1237" s="5" t="b">
        <f ca="1">IFERROR(__xludf.DUMMYFUNCTION("""COMPUTED_VALUE"""),TRUE)</f>
        <v>1</v>
      </c>
      <c r="X1237" s="5" t="str">
        <f ca="1">IFERROR(__xludf.DUMMYFUNCTION("""COMPUTED_VALUE"""),"wmazorra@postobon.com.co,aprmttoyu@postobon.com.co,aprmyu@postobon.com.co,wmora@postobon.com.co,efzapata@postobon.com.co")</f>
        <v>wmazorra@postobon.com.co,aprmttoyu@postobon.com.co,aprmyu@postobon.com.co,wmora@postobon.com.co,efzapata@postobon.com.co</v>
      </c>
      <c r="Y1237" s="5" t="str">
        <f ca="1">IFERROR(__xludf.DUMMYFUNCTION("""COMPUTED_VALUE"""),"wmazorra@postobon.com.co")</f>
        <v>wmazorra@postobon.com.co</v>
      </c>
      <c r="Z1237" s="5" t="str">
        <f ca="1">IFERROR(__xludf.DUMMYFUNCTION("""COMPUTED_VALUE"""),"xyqdFst5TDGBla6PUibpRg")</f>
        <v>xyqdFst5TDGBla6PUibpRg</v>
      </c>
      <c r="AA1237" s="5"/>
      <c r="AB1237" s="5"/>
      <c r="AC1237" s="5"/>
      <c r="AD1237" s="5">
        <f ca="1">IFERROR(__xludf.DUMMYFUNCTION("""COMPUTED_VALUE"""),58)</f>
        <v>58</v>
      </c>
      <c r="AE1237" s="5">
        <f ca="1">IFERROR(__xludf.DUMMYFUNCTION("""COMPUTED_VALUE"""),58)</f>
        <v>58</v>
      </c>
      <c r="AF1237" s="5" t="b">
        <f ca="1">IFERROR(__xludf.DUMMYFUNCTION("""COMPUTED_VALUE"""),FALSE)</f>
        <v>0</v>
      </c>
      <c r="AG1237" s="5" t="str">
        <f ca="1">IFERROR(__xludf.DUMMYFUNCTION("""COMPUTED_VALUE"""),"INSPECCIONES REALIZADAS")</f>
        <v>INSPECCIONES REALIZADAS</v>
      </c>
      <c r="AH1237" s="5"/>
    </row>
    <row r="1238" spans="1:34">
      <c r="A1238" s="5" t="str">
        <f ca="1">IFERROR(__xludf.DUMMYFUNCTION("""COMPUTED_VALUE"""),"EQUIPOS ALTA Y BAJA TENSION ELECTRICA")</f>
        <v>EQUIPOS ALTA Y BAJA TENSION ELECTRICA</v>
      </c>
      <c r="B1238" s="5">
        <f ca="1">IFERROR(__xludf.DUMMYFUNCTION("""COMPUTED_VALUE"""),74928604)</f>
        <v>74928604</v>
      </c>
      <c r="C1238" s="5" t="str">
        <f ca="1">IFERROR(__xludf.DUMMYFUNCTION("""COMPUTED_VALUE"""),"TRANSFORMADOR 3F 3(440V)")</f>
        <v>TRANSFORMADOR 3F 3(440V)</v>
      </c>
      <c r="D1238" s="5">
        <f ca="1">IFERROR(__xludf.DUMMYFUNCTION("""COMPUTED_VALUE"""),13247444)</f>
        <v>13247444</v>
      </c>
      <c r="E1238" s="5" t="str">
        <f ca="1">IFERROR(__xludf.DUMMYFUNCTION("""COMPUTED_VALUE"""),"INSPECCION SEMANAL TRANSFORMADOR 3F 3(44")</f>
        <v>INSPECCION SEMANAL TRANSFORMADOR 3F 3(44</v>
      </c>
      <c r="F1238" s="5" t="str">
        <f ca="1">IFERROR(__xludf.DUMMYFUNCTION("""COMPUTED_VALUE"""),"PLAN MTTO TRANSFORMADOR 3F 3(44 74928604")</f>
        <v>PLAN MTTO TRANSFORMADOR 3F 3(44 74928604</v>
      </c>
      <c r="G1238" s="5" t="b">
        <f ca="1">IFERROR(__xludf.DUMMYFUNCTION("""COMPUTED_VALUE"""),TRUE)</f>
        <v>1</v>
      </c>
      <c r="H1238" s="5"/>
      <c r="I1238" s="5"/>
      <c r="J1238" s="5">
        <f ca="1">IFERROR(__xludf.DUMMYFUNCTION("""COMPUTED_VALUE"""),13247444)</f>
        <v>13247444</v>
      </c>
      <c r="K1238" s="5"/>
      <c r="L1238" s="18">
        <f ca="1">IFERROR(__xludf.DUMMYFUNCTION("""COMPUTED_VALUE"""),45324)</f>
        <v>45324</v>
      </c>
      <c r="M1238" s="18">
        <f ca="1">IFERROR(__xludf.DUMMYFUNCTION("""COMPUTED_VALUE"""),45324)</f>
        <v>45324</v>
      </c>
      <c r="N1238" s="5" t="str">
        <f ca="1">IFERROR(__xludf.DUMMYFUNCTION("""COMPUTED_VALUE"""),"MUÑOZ VALENCIA JEFFERSON")</f>
        <v>MUÑOZ VALENCIA JEFFERSON</v>
      </c>
      <c r="O1238" s="2">
        <f ca="1">IFERROR(__xludf.DUMMYFUNCTION("""COMPUTED_VALUE"""),0.1)</f>
        <v>0.1</v>
      </c>
      <c r="P1238" s="5">
        <f ca="1">IFERROR(__xludf.DUMMYFUNCTION("""COMPUTED_VALUE"""),20062055)</f>
        <v>20062055</v>
      </c>
      <c r="Q1238" s="5" t="str">
        <f ca="1">IFERROR(__xludf.DUMMYFUNCTION("""COMPUTED_VALUE"""),"J0vDWgAoHnw")</f>
        <v>J0vDWgAoHnw</v>
      </c>
      <c r="R1238" s="5">
        <f ca="1">IFERROR(__xludf.DUMMYFUNCTION("""COMPUTED_VALUE"""),410)</f>
        <v>410</v>
      </c>
      <c r="S1238" s="62">
        <f ca="1">IFERROR(__xludf.DUMMYFUNCTION("""COMPUTED_VALUE"""),0.1)</f>
        <v>0.1</v>
      </c>
      <c r="T1238" s="63" t="str">
        <f ca="1">IFERROR(__xludf.DUMMYFUNCTION("""COMPUTED_VALUE"""),"https://storage.googleapis.com/glide-prod.appspot.com/uploads-v2/ly7o78grxPaC6KdgvbpS/pub/3aRdSog0vUtuqPE8AJKD.png")</f>
        <v>https://storage.googleapis.com/glide-prod.appspot.com/uploads-v2/ly7o78grxPaC6KdgvbpS/pub/3aRdSog0vUtuqPE8AJKD.png</v>
      </c>
      <c r="U1238" s="5" t="str">
        <f ca="1">IFERROR(__xludf.DUMMYFUNCTION("""COMPUTED_VALUE"""),"EQUIPOS ALTA Y BAJA TENSION ELECTRICATRANSFORMADOR 3F 3(440V)")</f>
        <v>EQUIPOS ALTA Y BAJA TENSION ELECTRICATRANSFORMADOR 3F 3(440V)</v>
      </c>
      <c r="V1238" s="5"/>
      <c r="W1238" s="5" t="b">
        <f ca="1">IFERROR(__xludf.DUMMYFUNCTION("""COMPUTED_VALUE"""),TRUE)</f>
        <v>1</v>
      </c>
      <c r="X1238" s="5" t="str">
        <f ca="1">IFERROR(__xludf.DUMMYFUNCTION("""COMPUTED_VALUE"""),"wmazorra@postobon.com.co,aprmttoyu@postobon.com.co,aprmyu@postobon.com.co,wmora@postobon.com.co,efzapata@postobon.com.co")</f>
        <v>wmazorra@postobon.com.co,aprmttoyu@postobon.com.co,aprmyu@postobon.com.co,wmora@postobon.com.co,efzapata@postobon.com.co</v>
      </c>
      <c r="Y1238" s="5" t="str">
        <f ca="1">IFERROR(__xludf.DUMMYFUNCTION("""COMPUTED_VALUE"""),"wmazorra@postobon.com.co")</f>
        <v>wmazorra@postobon.com.co</v>
      </c>
      <c r="Z1238" s="5" t="str">
        <f ca="1">IFERROR(__xludf.DUMMYFUNCTION("""COMPUTED_VALUE"""),"e0xYj2TLScSz-zSsV5he3w")</f>
        <v>e0xYj2TLScSz-zSsV5he3w</v>
      </c>
      <c r="AA1238" s="5"/>
      <c r="AB1238" s="5"/>
      <c r="AC1238" s="5"/>
      <c r="AD1238" s="5">
        <f ca="1">IFERROR(__xludf.DUMMYFUNCTION("""COMPUTED_VALUE"""),58)</f>
        <v>58</v>
      </c>
      <c r="AE1238" s="5">
        <f ca="1">IFERROR(__xludf.DUMMYFUNCTION("""COMPUTED_VALUE"""),58)</f>
        <v>58</v>
      </c>
      <c r="AF1238" s="5" t="b">
        <f ca="1">IFERROR(__xludf.DUMMYFUNCTION("""COMPUTED_VALUE"""),FALSE)</f>
        <v>0</v>
      </c>
      <c r="AG1238" s="5" t="str">
        <f ca="1">IFERROR(__xludf.DUMMYFUNCTION("""COMPUTED_VALUE"""),"INSPECCIONES REALIZADAS")</f>
        <v>INSPECCIONES REALIZADAS</v>
      </c>
      <c r="AH1238" s="5"/>
    </row>
    <row r="1239" spans="1:34">
      <c r="A1239" s="5" t="str">
        <f ca="1">IFERROR(__xludf.DUMMYFUNCTION("""COMPUTED_VALUE"""),"EQUIPOS ALTA Y BAJA TENSION ELECTRICA")</f>
        <v>EQUIPOS ALTA Y BAJA TENSION ELECTRICA</v>
      </c>
      <c r="B1239" s="5">
        <f ca="1">IFERROR(__xludf.DUMMYFUNCTION("""COMPUTED_VALUE"""),74928618)</f>
        <v>74928618</v>
      </c>
      <c r="C1239" s="5" t="str">
        <f ca="1">IFERROR(__xludf.DUMMYFUNCTION("""COMPUTED_VALUE"""),"TRANSFORMADOR 3F 3(440V)")</f>
        <v>TRANSFORMADOR 3F 3(440V)</v>
      </c>
      <c r="D1239" s="5">
        <f ca="1">IFERROR(__xludf.DUMMYFUNCTION("""COMPUTED_VALUE"""),13247439)</f>
        <v>13247439</v>
      </c>
      <c r="E1239" s="5" t="str">
        <f ca="1">IFERROR(__xludf.DUMMYFUNCTION("""COMPUTED_VALUE"""),"INSPECCION SEMANAL TRANSFORMADOR 3F 3(44")</f>
        <v>INSPECCION SEMANAL TRANSFORMADOR 3F 3(44</v>
      </c>
      <c r="F1239" s="5" t="str">
        <f ca="1">IFERROR(__xludf.DUMMYFUNCTION("""COMPUTED_VALUE"""),"PLAN MTTO ELE TRANSF 3(440V) 74928618")</f>
        <v>PLAN MTTO ELE TRANSF 3(440V) 74928618</v>
      </c>
      <c r="G1239" s="5" t="b">
        <f ca="1">IFERROR(__xludf.DUMMYFUNCTION("""COMPUTED_VALUE"""),TRUE)</f>
        <v>1</v>
      </c>
      <c r="H1239" s="5"/>
      <c r="I1239" s="5"/>
      <c r="J1239" s="5">
        <f ca="1">IFERROR(__xludf.DUMMYFUNCTION("""COMPUTED_VALUE"""),13247439)</f>
        <v>13247439</v>
      </c>
      <c r="K1239" s="5"/>
      <c r="L1239" s="18">
        <f ca="1">IFERROR(__xludf.DUMMYFUNCTION("""COMPUTED_VALUE"""),45325)</f>
        <v>45325</v>
      </c>
      <c r="M1239" s="18">
        <f ca="1">IFERROR(__xludf.DUMMYFUNCTION("""COMPUTED_VALUE"""),45325)</f>
        <v>45325</v>
      </c>
      <c r="N1239" s="5" t="str">
        <f ca="1">IFERROR(__xludf.DUMMYFUNCTION("""COMPUTED_VALUE"""),"MUÑOZ VALENCIA JEFFERSON")</f>
        <v>MUÑOZ VALENCIA JEFFERSON</v>
      </c>
      <c r="O1239" s="2">
        <f ca="1">IFERROR(__xludf.DUMMYFUNCTION("""COMPUTED_VALUE"""),0.1)</f>
        <v>0.1</v>
      </c>
      <c r="P1239" s="5">
        <f ca="1">IFERROR(__xludf.DUMMYFUNCTION("""COMPUTED_VALUE"""),20062055)</f>
        <v>20062055</v>
      </c>
      <c r="Q1239" s="5" t="str">
        <f ca="1">IFERROR(__xludf.DUMMYFUNCTION("""COMPUTED_VALUE"""),"7NVtbI3boaI")</f>
        <v>7NVtbI3boaI</v>
      </c>
      <c r="R1239" s="5">
        <f ca="1">IFERROR(__xludf.DUMMYFUNCTION("""COMPUTED_VALUE"""),410)</f>
        <v>410</v>
      </c>
      <c r="S1239" s="62">
        <f ca="1">IFERROR(__xludf.DUMMYFUNCTION("""COMPUTED_VALUE"""),0.1)</f>
        <v>0.1</v>
      </c>
      <c r="T1239" s="63" t="str">
        <f ca="1">IFERROR(__xludf.DUMMYFUNCTION("""COMPUTED_VALUE"""),"https://storage.googleapis.com/glide-prod.appspot.com/uploads-v2/ly7o78grxPaC6KdgvbpS/pub/3aRdSog0vUtuqPE8AJKD.png")</f>
        <v>https://storage.googleapis.com/glide-prod.appspot.com/uploads-v2/ly7o78grxPaC6KdgvbpS/pub/3aRdSog0vUtuqPE8AJKD.png</v>
      </c>
      <c r="U1239" s="5" t="str">
        <f ca="1">IFERROR(__xludf.DUMMYFUNCTION("""COMPUTED_VALUE"""),"EQUIPOS ALTA Y BAJA TENSION ELECTRICATRANSFORMADOR 3F 3(440V)")</f>
        <v>EQUIPOS ALTA Y BAJA TENSION ELECTRICATRANSFORMADOR 3F 3(440V)</v>
      </c>
      <c r="V1239" s="5"/>
      <c r="W1239" s="5" t="b">
        <f ca="1">IFERROR(__xludf.DUMMYFUNCTION("""COMPUTED_VALUE"""),TRUE)</f>
        <v>1</v>
      </c>
      <c r="X1239" s="5" t="str">
        <f ca="1">IFERROR(__xludf.DUMMYFUNCTION("""COMPUTED_VALUE"""),"wmazorra@postobon.com.co,aprmttoyu@postobon.com.co,aprmyu@postobon.com.co,wmora@postobon.com.co,efzapata@postobon.com.co")</f>
        <v>wmazorra@postobon.com.co,aprmttoyu@postobon.com.co,aprmyu@postobon.com.co,wmora@postobon.com.co,efzapata@postobon.com.co</v>
      </c>
      <c r="Y1239" s="5" t="str">
        <f ca="1">IFERROR(__xludf.DUMMYFUNCTION("""COMPUTED_VALUE"""),"wmazorra@postobon.com.co")</f>
        <v>wmazorra@postobon.com.co</v>
      </c>
      <c r="Z1239" s="5" t="str">
        <f ca="1">IFERROR(__xludf.DUMMYFUNCTION("""COMPUTED_VALUE"""),"8-AIuwUGTselvCg29zeDow")</f>
        <v>8-AIuwUGTselvCg29zeDow</v>
      </c>
      <c r="AA1239" s="5"/>
      <c r="AB1239" s="5"/>
      <c r="AC1239" s="5"/>
      <c r="AD1239" s="5">
        <f ca="1">IFERROR(__xludf.DUMMYFUNCTION("""COMPUTED_VALUE"""),58)</f>
        <v>58</v>
      </c>
      <c r="AE1239" s="5">
        <f ca="1">IFERROR(__xludf.DUMMYFUNCTION("""COMPUTED_VALUE"""),58)</f>
        <v>58</v>
      </c>
      <c r="AF1239" s="5" t="b">
        <f ca="1">IFERROR(__xludf.DUMMYFUNCTION("""COMPUTED_VALUE"""),FALSE)</f>
        <v>0</v>
      </c>
      <c r="AG1239" s="5" t="str">
        <f ca="1">IFERROR(__xludf.DUMMYFUNCTION("""COMPUTED_VALUE"""),"INSPECCIONES REALIZADAS")</f>
        <v>INSPECCIONES REALIZADAS</v>
      </c>
      <c r="AH1239" s="5"/>
    </row>
    <row r="1240" spans="1:34">
      <c r="A1240" s="5" t="str">
        <f ca="1">IFERROR(__xludf.DUMMYFUNCTION("""COMPUTED_VALUE"""),"LINEA PARA EL LLENADO DE BOLSAS")</f>
        <v>LINEA PARA EL LLENADO DE BOLSAS</v>
      </c>
      <c r="B1240" s="5">
        <f ca="1">IFERROR(__xludf.DUMMYFUNCTION("""COMPUTED_VALUE"""),71020001)</f>
        <v>71020001</v>
      </c>
      <c r="C1240" s="5" t="str">
        <f ca="1">IFERROR(__xludf.DUMMYFUNCTION("""COMPUTED_VALUE"""),"TRANSPORTADORES TABLETOP PARA BOLSAS.")</f>
        <v>TRANSPORTADORES TABLETOP PARA BOLSAS.</v>
      </c>
      <c r="D1240" s="5">
        <f ca="1">IFERROR(__xludf.DUMMYFUNCTION("""COMPUTED_VALUE"""),13247721)</f>
        <v>13247721</v>
      </c>
      <c r="E1240" s="5" t="str">
        <f ca="1">IFERROR(__xludf.DUMMYFUNCTION("""COMPUTED_VALUE"""),"INSPECCION SEMANAL TRANSP BOLSAS")</f>
        <v>INSPECCION SEMANAL TRANSP BOLSAS</v>
      </c>
      <c r="F1240" s="5" t="str">
        <f ca="1">IFERROR(__xludf.DUMMYFUNCTION("""COMPUTED_VALUE"""),"Ins. Estado de chumaceras y rodamientos")</f>
        <v>Ins. Estado de chumaceras y rodamientos</v>
      </c>
      <c r="G1240" s="5" t="b">
        <f ca="1">IFERROR(__xludf.DUMMYFUNCTION("""COMPUTED_VALUE"""),TRUE)</f>
        <v>1</v>
      </c>
      <c r="H1240" s="5"/>
      <c r="I1240" s="5"/>
      <c r="J1240" s="5">
        <f ca="1">IFERROR(__xludf.DUMMYFUNCTION("""COMPUTED_VALUE"""),13247721)</f>
        <v>13247721</v>
      </c>
      <c r="K1240" s="5"/>
      <c r="L1240" s="18">
        <f ca="1">IFERROR(__xludf.DUMMYFUNCTION("""COMPUTED_VALUE"""),45324)</f>
        <v>45324</v>
      </c>
      <c r="M1240" s="18">
        <f ca="1">IFERROR(__xludf.DUMMYFUNCTION("""COMPUTED_VALUE"""),45324)</f>
        <v>45324</v>
      </c>
      <c r="N1240" s="5" t="str">
        <f ca="1">IFERROR(__xludf.DUMMYFUNCTION("""COMPUTED_VALUE"""),"ESTEBAN POTOSI ISAZA")</f>
        <v>ESTEBAN POTOSI ISAZA</v>
      </c>
      <c r="O1240" s="2">
        <f ca="1">IFERROR(__xludf.DUMMYFUNCTION("""COMPUTED_VALUE"""),0.011111111)</f>
        <v>1.1111111E-2</v>
      </c>
      <c r="P1240" s="5">
        <f ca="1">IFERROR(__xludf.DUMMYFUNCTION("""COMPUTED_VALUE"""),20076884)</f>
        <v>20076884</v>
      </c>
      <c r="Q1240" s="5" t="str">
        <f ca="1">IFERROR(__xludf.DUMMYFUNCTION("""COMPUTED_VALUE"""),"k3xeDrc90Tg")</f>
        <v>k3xeDrc90Tg</v>
      </c>
      <c r="R1240" s="5">
        <f ca="1">IFERROR(__xludf.DUMMYFUNCTION("""COMPUTED_VALUE"""),410)</f>
        <v>410</v>
      </c>
      <c r="S1240" s="62">
        <f ca="1">IFERROR(__xludf.DUMMYFUNCTION("""COMPUTED_VALUE"""),0.011111111)</f>
        <v>1.1111111E-2</v>
      </c>
      <c r="T1240" s="63" t="str">
        <f ca="1">IFERROR(__xludf.DUMMYFUNCTION("""COMPUTED_VALUE"""),"https://storage.googleapis.com/glide-prod.appspot.com/uploads-v2/ly7o78grxPaC6KdgvbpS/pub/3aRdSog0vUtuqPE8AJKD.png")</f>
        <v>https://storage.googleapis.com/glide-prod.appspot.com/uploads-v2/ly7o78grxPaC6KdgvbpS/pub/3aRdSog0vUtuqPE8AJKD.png</v>
      </c>
      <c r="U1240" s="5" t="str">
        <f ca="1">IFERROR(__xludf.DUMMYFUNCTION("""COMPUTED_VALUE"""),"LINEA PARA EL LLENADO DE BOLSASTRANSPORTADORES TABLETOP PARA BOLSAS.")</f>
        <v>LINEA PARA EL LLENADO DE BOLSASTRANSPORTADORES TABLETOP PARA BOLSAS.</v>
      </c>
      <c r="V1240" s="5"/>
      <c r="W1240" s="5" t="b">
        <f ca="1">IFERROR(__xludf.DUMMYFUNCTION("""COMPUTED_VALUE"""),TRUE)</f>
        <v>1</v>
      </c>
      <c r="X1240" s="5" t="str">
        <f ca="1">IFERROR(__xludf.DUMMYFUNCTION("""COMPUTED_VALUE"""),"achavezi@postobon.com.co,aprmttoyu@postobon.com.co,aprmyu@postobon.com.co,wmora@postobon.com.co,efzapata@postobon.com.co")</f>
        <v>achavezi@postobon.com.co,aprmttoyu@postobon.com.co,aprmyu@postobon.com.co,wmora@postobon.com.co,efzapata@postobon.com.co</v>
      </c>
      <c r="Y1240" s="5" t="str">
        <f ca="1">IFERROR(__xludf.DUMMYFUNCTION("""COMPUTED_VALUE"""),"achavezi@postobon.com.co")</f>
        <v>achavezi@postobon.com.co</v>
      </c>
      <c r="Z1240" s="5" t="str">
        <f ca="1">IFERROR(__xludf.DUMMYFUNCTION("""COMPUTED_VALUE"""),"uNQ7pfl8Q9iOpCJvWRX0Pg")</f>
        <v>uNQ7pfl8Q9iOpCJvWRX0Pg</v>
      </c>
      <c r="AA1240" s="5"/>
      <c r="AB1240" s="5"/>
      <c r="AC1240" s="5"/>
      <c r="AD1240" s="5">
        <f ca="1">IFERROR(__xludf.DUMMYFUNCTION("""COMPUTED_VALUE"""),70)</f>
        <v>70</v>
      </c>
      <c r="AE1240" s="5">
        <f ca="1">IFERROR(__xludf.DUMMYFUNCTION("""COMPUTED_VALUE"""),70)</f>
        <v>70</v>
      </c>
      <c r="AF1240" s="5" t="b">
        <f ca="1">IFERROR(__xludf.DUMMYFUNCTION("""COMPUTED_VALUE"""),FALSE)</f>
        <v>0</v>
      </c>
      <c r="AG1240" s="5" t="str">
        <f ca="1">IFERROR(__xludf.DUMMYFUNCTION("""COMPUTED_VALUE"""),"INSPECCIONES REALIZADAS")</f>
        <v>INSPECCIONES REALIZADAS</v>
      </c>
      <c r="AH1240" s="5"/>
    </row>
    <row r="1241" spans="1:34">
      <c r="A1241" s="5" t="str">
        <f ca="1">IFERROR(__xludf.DUMMYFUNCTION("""COMPUTED_VALUE"""),"LINEA PARA EL LLENADO DE BOLSAS")</f>
        <v>LINEA PARA EL LLENADO DE BOLSAS</v>
      </c>
      <c r="B1241" s="5">
        <f ca="1">IFERROR(__xludf.DUMMYFUNCTION("""COMPUTED_VALUE"""),71020001)</f>
        <v>71020001</v>
      </c>
      <c r="C1241" s="5" t="str">
        <f ca="1">IFERROR(__xludf.DUMMYFUNCTION("""COMPUTED_VALUE"""),"TRANSPORTADORES TABLETOP PARA BOLSAS.")</f>
        <v>TRANSPORTADORES TABLETOP PARA BOLSAS.</v>
      </c>
      <c r="D1241" s="5">
        <f ca="1">IFERROR(__xludf.DUMMYFUNCTION("""COMPUTED_VALUE"""),13247721)</f>
        <v>13247721</v>
      </c>
      <c r="E1241" s="5" t="str">
        <f ca="1">IFERROR(__xludf.DUMMYFUNCTION("""COMPUTED_VALUE"""),"INSPECCION SEMANAL TRANSP BOLSAS")</f>
        <v>INSPECCION SEMANAL TRANSP BOLSAS</v>
      </c>
      <c r="F1241" s="5" t="str">
        <f ca="1">IFERROR(__xludf.DUMMYFUNCTION("""COMPUTED_VALUE"""),"Ins. Estado de cadenas de transmisión")</f>
        <v>Ins. Estado de cadenas de transmisión</v>
      </c>
      <c r="G1241" s="5" t="b">
        <f ca="1">IFERROR(__xludf.DUMMYFUNCTION("""COMPUTED_VALUE"""),TRUE)</f>
        <v>1</v>
      </c>
      <c r="H1241" s="5"/>
      <c r="I1241" s="5"/>
      <c r="J1241" s="5">
        <f ca="1">IFERROR(__xludf.DUMMYFUNCTION("""COMPUTED_VALUE"""),13247721)</f>
        <v>13247721</v>
      </c>
      <c r="K1241" s="5"/>
      <c r="L1241" s="18">
        <f ca="1">IFERROR(__xludf.DUMMYFUNCTION("""COMPUTED_VALUE"""),45324)</f>
        <v>45324</v>
      </c>
      <c r="M1241" s="18">
        <f ca="1">IFERROR(__xludf.DUMMYFUNCTION("""COMPUTED_VALUE"""),45324)</f>
        <v>45324</v>
      </c>
      <c r="N1241" s="5" t="str">
        <f ca="1">IFERROR(__xludf.DUMMYFUNCTION("""COMPUTED_VALUE"""),"ESTEBAN POTOSI ISAZA")</f>
        <v>ESTEBAN POTOSI ISAZA</v>
      </c>
      <c r="O1241" s="2">
        <f ca="1">IFERROR(__xludf.DUMMYFUNCTION("""COMPUTED_VALUE"""),0.011111111)</f>
        <v>1.1111111E-2</v>
      </c>
      <c r="P1241" s="5">
        <f ca="1">IFERROR(__xludf.DUMMYFUNCTION("""COMPUTED_VALUE"""),20076884)</f>
        <v>20076884</v>
      </c>
      <c r="Q1241" s="5" t="str">
        <f ca="1">IFERROR(__xludf.DUMMYFUNCTION("""COMPUTED_VALUE"""),"XMF-giuxbyU")</f>
        <v>XMF-giuxbyU</v>
      </c>
      <c r="R1241" s="5">
        <f ca="1">IFERROR(__xludf.DUMMYFUNCTION("""COMPUTED_VALUE"""),410)</f>
        <v>410</v>
      </c>
      <c r="S1241" s="62">
        <f ca="1">IFERROR(__xludf.DUMMYFUNCTION("""COMPUTED_VALUE"""),0.011111111)</f>
        <v>1.1111111E-2</v>
      </c>
      <c r="T1241" s="63" t="str">
        <f ca="1">IFERROR(__xludf.DUMMYFUNCTION("""COMPUTED_VALUE"""),"https://storage.googleapis.com/glide-prod.appspot.com/uploads-v2/ly7o78grxPaC6KdgvbpS/pub/3aRdSog0vUtuqPE8AJKD.png")</f>
        <v>https://storage.googleapis.com/glide-prod.appspot.com/uploads-v2/ly7o78grxPaC6KdgvbpS/pub/3aRdSog0vUtuqPE8AJKD.png</v>
      </c>
      <c r="U1241" s="5" t="str">
        <f ca="1">IFERROR(__xludf.DUMMYFUNCTION("""COMPUTED_VALUE"""),"LINEA PARA EL LLENADO DE BOLSASTRANSPORTADORES TABLETOP PARA BOLSAS.")</f>
        <v>LINEA PARA EL LLENADO DE BOLSASTRANSPORTADORES TABLETOP PARA BOLSAS.</v>
      </c>
      <c r="V1241" s="5"/>
      <c r="W1241" s="5" t="b">
        <f ca="1">IFERROR(__xludf.DUMMYFUNCTION("""COMPUTED_VALUE"""),TRUE)</f>
        <v>1</v>
      </c>
      <c r="X1241" s="5" t="str">
        <f ca="1">IFERROR(__xludf.DUMMYFUNCTION("""COMPUTED_VALUE"""),"achavezi@postobon.com.co,aprmttoyu@postobon.com.co,aprmyu@postobon.com.co,wmora@postobon.com.co,efzapata@postobon.com.co")</f>
        <v>achavezi@postobon.com.co,aprmttoyu@postobon.com.co,aprmyu@postobon.com.co,wmora@postobon.com.co,efzapata@postobon.com.co</v>
      </c>
      <c r="Y1241" s="5" t="str">
        <f ca="1">IFERROR(__xludf.DUMMYFUNCTION("""COMPUTED_VALUE"""),"achavezi@postobon.com.co")</f>
        <v>achavezi@postobon.com.co</v>
      </c>
      <c r="Z1241" s="5" t="str">
        <f ca="1">IFERROR(__xludf.DUMMYFUNCTION("""COMPUTED_VALUE"""),"T526xZR8SKWf0ZaFWW1Tkw")</f>
        <v>T526xZR8SKWf0ZaFWW1Tkw</v>
      </c>
      <c r="AA1241" s="5"/>
      <c r="AB1241" s="5"/>
      <c r="AC1241" s="5"/>
      <c r="AD1241" s="5">
        <f ca="1">IFERROR(__xludf.DUMMYFUNCTION("""COMPUTED_VALUE"""),70)</f>
        <v>70</v>
      </c>
      <c r="AE1241" s="5">
        <f ca="1">IFERROR(__xludf.DUMMYFUNCTION("""COMPUTED_VALUE"""),70)</f>
        <v>70</v>
      </c>
      <c r="AF1241" s="5" t="b">
        <f ca="1">IFERROR(__xludf.DUMMYFUNCTION("""COMPUTED_VALUE"""),FALSE)</f>
        <v>0</v>
      </c>
      <c r="AG1241" s="5" t="str">
        <f ca="1">IFERROR(__xludf.DUMMYFUNCTION("""COMPUTED_VALUE"""),"INSPECCIONES REALIZADAS")</f>
        <v>INSPECCIONES REALIZADAS</v>
      </c>
      <c r="AH1241" s="5"/>
    </row>
    <row r="1242" spans="1:34">
      <c r="A1242" s="5" t="str">
        <f ca="1">IFERROR(__xludf.DUMMYFUNCTION("""COMPUTED_VALUE"""),"LINEA PARA EL LLENADO DE BOLSAS")</f>
        <v>LINEA PARA EL LLENADO DE BOLSAS</v>
      </c>
      <c r="B1242" s="5">
        <f ca="1">IFERROR(__xludf.DUMMYFUNCTION("""COMPUTED_VALUE"""),71020001)</f>
        <v>71020001</v>
      </c>
      <c r="C1242" s="5" t="str">
        <f ca="1">IFERROR(__xludf.DUMMYFUNCTION("""COMPUTED_VALUE"""),"TRANSPORTADORES TABLETOP PARA BOLSAS.")</f>
        <v>TRANSPORTADORES TABLETOP PARA BOLSAS.</v>
      </c>
      <c r="D1242" s="5">
        <f ca="1">IFERROR(__xludf.DUMMYFUNCTION("""COMPUTED_VALUE"""),13247721)</f>
        <v>13247721</v>
      </c>
      <c r="E1242" s="5" t="str">
        <f ca="1">IFERROR(__xludf.DUMMYFUNCTION("""COMPUTED_VALUE"""),"INSPECCION SEMANAL TRANSP BOLSAS")</f>
        <v>INSPECCION SEMANAL TRANSP BOLSAS</v>
      </c>
      <c r="F1242" s="5" t="str">
        <f ca="1">IFERROR(__xludf.DUMMYFUNCTION("""COMPUTED_VALUE"""),"Ins. Estado de cadenas table top")</f>
        <v>Ins. Estado de cadenas table top</v>
      </c>
      <c r="G1242" s="5" t="b">
        <f ca="1">IFERROR(__xludf.DUMMYFUNCTION("""COMPUTED_VALUE"""),TRUE)</f>
        <v>1</v>
      </c>
      <c r="H1242" s="5"/>
      <c r="I1242" s="5"/>
      <c r="J1242" s="5">
        <f ca="1">IFERROR(__xludf.DUMMYFUNCTION("""COMPUTED_VALUE"""),13247721)</f>
        <v>13247721</v>
      </c>
      <c r="K1242" s="5"/>
      <c r="L1242" s="18">
        <f ca="1">IFERROR(__xludf.DUMMYFUNCTION("""COMPUTED_VALUE"""),45324)</f>
        <v>45324</v>
      </c>
      <c r="M1242" s="18">
        <f ca="1">IFERROR(__xludf.DUMMYFUNCTION("""COMPUTED_VALUE"""),45324)</f>
        <v>45324</v>
      </c>
      <c r="N1242" s="5" t="str">
        <f ca="1">IFERROR(__xludf.DUMMYFUNCTION("""COMPUTED_VALUE"""),"ESTEBAN POTOSI ISAZA")</f>
        <v>ESTEBAN POTOSI ISAZA</v>
      </c>
      <c r="O1242" s="2">
        <f ca="1">IFERROR(__xludf.DUMMYFUNCTION("""COMPUTED_VALUE"""),0.011111111)</f>
        <v>1.1111111E-2</v>
      </c>
      <c r="P1242" s="5">
        <f ca="1">IFERROR(__xludf.DUMMYFUNCTION("""COMPUTED_VALUE"""),20076884)</f>
        <v>20076884</v>
      </c>
      <c r="Q1242" s="5" t="str">
        <f ca="1">IFERROR(__xludf.DUMMYFUNCTION("""COMPUTED_VALUE"""),"3Khtoos8fgo")</f>
        <v>3Khtoos8fgo</v>
      </c>
      <c r="R1242" s="5">
        <f ca="1">IFERROR(__xludf.DUMMYFUNCTION("""COMPUTED_VALUE"""),410)</f>
        <v>410</v>
      </c>
      <c r="S1242" s="62">
        <f ca="1">IFERROR(__xludf.DUMMYFUNCTION("""COMPUTED_VALUE"""),0.011111111)</f>
        <v>1.1111111E-2</v>
      </c>
      <c r="T1242" s="63" t="str">
        <f ca="1">IFERROR(__xludf.DUMMYFUNCTION("""COMPUTED_VALUE"""),"https://storage.googleapis.com/glide-prod.appspot.com/uploads-v2/ly7o78grxPaC6KdgvbpS/pub/3aRdSog0vUtuqPE8AJKD.png")</f>
        <v>https://storage.googleapis.com/glide-prod.appspot.com/uploads-v2/ly7o78grxPaC6KdgvbpS/pub/3aRdSog0vUtuqPE8AJKD.png</v>
      </c>
      <c r="U1242" s="5" t="str">
        <f ca="1">IFERROR(__xludf.DUMMYFUNCTION("""COMPUTED_VALUE"""),"LINEA PARA EL LLENADO DE BOLSASTRANSPORTADORES TABLETOP PARA BOLSAS.")</f>
        <v>LINEA PARA EL LLENADO DE BOLSASTRANSPORTADORES TABLETOP PARA BOLSAS.</v>
      </c>
      <c r="V1242" s="5"/>
      <c r="W1242" s="5" t="b">
        <f ca="1">IFERROR(__xludf.DUMMYFUNCTION("""COMPUTED_VALUE"""),TRUE)</f>
        <v>1</v>
      </c>
      <c r="X1242" s="5" t="str">
        <f ca="1">IFERROR(__xludf.DUMMYFUNCTION("""COMPUTED_VALUE"""),"achavezi@postobon.com.co,aprmttoyu@postobon.com.co,aprmyu@postobon.com.co,wmora@postobon.com.co,efzapata@postobon.com.co")</f>
        <v>achavezi@postobon.com.co,aprmttoyu@postobon.com.co,aprmyu@postobon.com.co,wmora@postobon.com.co,efzapata@postobon.com.co</v>
      </c>
      <c r="Y1242" s="5" t="str">
        <f ca="1">IFERROR(__xludf.DUMMYFUNCTION("""COMPUTED_VALUE"""),"achavezi@postobon.com.co")</f>
        <v>achavezi@postobon.com.co</v>
      </c>
      <c r="Z1242" s="5" t="str">
        <f ca="1">IFERROR(__xludf.DUMMYFUNCTION("""COMPUTED_VALUE"""),"l38El5BfS8CW2frikW9EQg")</f>
        <v>l38El5BfS8CW2frikW9EQg</v>
      </c>
      <c r="AA1242" s="5"/>
      <c r="AB1242" s="5"/>
      <c r="AC1242" s="5"/>
      <c r="AD1242" s="5">
        <f ca="1">IFERROR(__xludf.DUMMYFUNCTION("""COMPUTED_VALUE"""),70)</f>
        <v>70</v>
      </c>
      <c r="AE1242" s="5">
        <f ca="1">IFERROR(__xludf.DUMMYFUNCTION("""COMPUTED_VALUE"""),70)</f>
        <v>70</v>
      </c>
      <c r="AF1242" s="5" t="b">
        <f ca="1">IFERROR(__xludf.DUMMYFUNCTION("""COMPUTED_VALUE"""),FALSE)</f>
        <v>0</v>
      </c>
      <c r="AG1242" s="5" t="str">
        <f ca="1">IFERROR(__xludf.DUMMYFUNCTION("""COMPUTED_VALUE"""),"INSPECCIONES REALIZADAS")</f>
        <v>INSPECCIONES REALIZADAS</v>
      </c>
      <c r="AH1242" s="5"/>
    </row>
    <row r="1243" spans="1:34">
      <c r="A1243" s="5" t="str">
        <f ca="1">IFERROR(__xludf.DUMMYFUNCTION("""COMPUTED_VALUE"""),"LINEA PARA EL LLENADO DE BOLSAS")</f>
        <v>LINEA PARA EL LLENADO DE BOLSAS</v>
      </c>
      <c r="B1243" s="5">
        <f ca="1">IFERROR(__xludf.DUMMYFUNCTION("""COMPUTED_VALUE"""),71020001)</f>
        <v>71020001</v>
      </c>
      <c r="C1243" s="5" t="str">
        <f ca="1">IFERROR(__xludf.DUMMYFUNCTION("""COMPUTED_VALUE"""),"TRANSPORTADORES TABLETOP PARA BOLSAS.")</f>
        <v>TRANSPORTADORES TABLETOP PARA BOLSAS.</v>
      </c>
      <c r="D1243" s="5">
        <f ca="1">IFERROR(__xludf.DUMMYFUNCTION("""COMPUTED_VALUE"""),13247721)</f>
        <v>13247721</v>
      </c>
      <c r="E1243" s="5" t="str">
        <f ca="1">IFERROR(__xludf.DUMMYFUNCTION("""COMPUTED_VALUE"""),"INSPECCION SEMANAL TRANSP BOLSAS")</f>
        <v>INSPECCION SEMANAL TRANSP BOLSAS</v>
      </c>
      <c r="F1243" s="5" t="str">
        <f ca="1">IFERROR(__xludf.DUMMYFUNCTION("""COMPUTED_VALUE"""),"Ins. Estado de estructuras de fijación o anclaje")</f>
        <v>Ins. Estado de estructuras de fijación o anclaje</v>
      </c>
      <c r="G1243" s="5" t="b">
        <f ca="1">IFERROR(__xludf.DUMMYFUNCTION("""COMPUTED_VALUE"""),TRUE)</f>
        <v>1</v>
      </c>
      <c r="H1243" s="5"/>
      <c r="I1243" s="5"/>
      <c r="J1243" s="5">
        <f ca="1">IFERROR(__xludf.DUMMYFUNCTION("""COMPUTED_VALUE"""),13247721)</f>
        <v>13247721</v>
      </c>
      <c r="K1243" s="5"/>
      <c r="L1243" s="18">
        <f ca="1">IFERROR(__xludf.DUMMYFUNCTION("""COMPUTED_VALUE"""),45324)</f>
        <v>45324</v>
      </c>
      <c r="M1243" s="18">
        <f ca="1">IFERROR(__xludf.DUMMYFUNCTION("""COMPUTED_VALUE"""),45324)</f>
        <v>45324</v>
      </c>
      <c r="N1243" s="5" t="str">
        <f ca="1">IFERROR(__xludf.DUMMYFUNCTION("""COMPUTED_VALUE"""),"ESTEBAN POTOSI ISAZA")</f>
        <v>ESTEBAN POTOSI ISAZA</v>
      </c>
      <c r="O1243" s="2">
        <f ca="1">IFERROR(__xludf.DUMMYFUNCTION("""COMPUTED_VALUE"""),0.011111111)</f>
        <v>1.1111111E-2</v>
      </c>
      <c r="P1243" s="5">
        <f ca="1">IFERROR(__xludf.DUMMYFUNCTION("""COMPUTED_VALUE"""),20076884)</f>
        <v>20076884</v>
      </c>
      <c r="Q1243" s="5" t="str">
        <f ca="1">IFERROR(__xludf.DUMMYFUNCTION("""COMPUTED_VALUE"""),"XIhwmcmwNxM")</f>
        <v>XIhwmcmwNxM</v>
      </c>
      <c r="R1243" s="5">
        <f ca="1">IFERROR(__xludf.DUMMYFUNCTION("""COMPUTED_VALUE"""),410)</f>
        <v>410</v>
      </c>
      <c r="S1243" s="62">
        <f ca="1">IFERROR(__xludf.DUMMYFUNCTION("""COMPUTED_VALUE"""),0.011111111)</f>
        <v>1.1111111E-2</v>
      </c>
      <c r="T1243" s="63" t="str">
        <f ca="1">IFERROR(__xludf.DUMMYFUNCTION("""COMPUTED_VALUE"""),"https://storage.googleapis.com/glide-prod.appspot.com/uploads-v2/ly7o78grxPaC6KdgvbpS/pub/3aRdSog0vUtuqPE8AJKD.png")</f>
        <v>https://storage.googleapis.com/glide-prod.appspot.com/uploads-v2/ly7o78grxPaC6KdgvbpS/pub/3aRdSog0vUtuqPE8AJKD.png</v>
      </c>
      <c r="U1243" s="5" t="str">
        <f ca="1">IFERROR(__xludf.DUMMYFUNCTION("""COMPUTED_VALUE"""),"LINEA PARA EL LLENADO DE BOLSASTRANSPORTADORES TABLETOP PARA BOLSAS.")</f>
        <v>LINEA PARA EL LLENADO DE BOLSASTRANSPORTADORES TABLETOP PARA BOLSAS.</v>
      </c>
      <c r="V1243" s="5"/>
      <c r="W1243" s="5" t="b">
        <f ca="1">IFERROR(__xludf.DUMMYFUNCTION("""COMPUTED_VALUE"""),TRUE)</f>
        <v>1</v>
      </c>
      <c r="X1243" s="5" t="str">
        <f ca="1">IFERROR(__xludf.DUMMYFUNCTION("""COMPUTED_VALUE"""),"achavezi@postobon.com.co,aprmttoyu@postobon.com.co,aprmyu@postobon.com.co,wmora@postobon.com.co,efzapata@postobon.com.co")</f>
        <v>achavezi@postobon.com.co,aprmttoyu@postobon.com.co,aprmyu@postobon.com.co,wmora@postobon.com.co,efzapata@postobon.com.co</v>
      </c>
      <c r="Y1243" s="5" t="str">
        <f ca="1">IFERROR(__xludf.DUMMYFUNCTION("""COMPUTED_VALUE"""),"achavezi@postobon.com.co")</f>
        <v>achavezi@postobon.com.co</v>
      </c>
      <c r="Z1243" s="5" t="str">
        <f ca="1">IFERROR(__xludf.DUMMYFUNCTION("""COMPUTED_VALUE"""),"7timfOO-SuKSQyqnBDpkFQ")</f>
        <v>7timfOO-SuKSQyqnBDpkFQ</v>
      </c>
      <c r="AA1243" s="5"/>
      <c r="AB1243" s="5"/>
      <c r="AC1243" s="5"/>
      <c r="AD1243" s="5">
        <f ca="1">IFERROR(__xludf.DUMMYFUNCTION("""COMPUTED_VALUE"""),70)</f>
        <v>70</v>
      </c>
      <c r="AE1243" s="5">
        <f ca="1">IFERROR(__xludf.DUMMYFUNCTION("""COMPUTED_VALUE"""),70)</f>
        <v>70</v>
      </c>
      <c r="AF1243" s="5" t="b">
        <f ca="1">IFERROR(__xludf.DUMMYFUNCTION("""COMPUTED_VALUE"""),FALSE)</f>
        <v>0</v>
      </c>
      <c r="AG1243" s="5" t="str">
        <f ca="1">IFERROR(__xludf.DUMMYFUNCTION("""COMPUTED_VALUE"""),"INSPECCIONES REALIZADAS")</f>
        <v>INSPECCIONES REALIZADAS</v>
      </c>
      <c r="AH1243" s="5"/>
    </row>
    <row r="1244" spans="1:34">
      <c r="A1244" s="5" t="str">
        <f ca="1">IFERROR(__xludf.DUMMYFUNCTION("""COMPUTED_VALUE"""),"LINEA PARA EL LLENADO DE BOLSAS")</f>
        <v>LINEA PARA EL LLENADO DE BOLSAS</v>
      </c>
      <c r="B1244" s="5">
        <f ca="1">IFERROR(__xludf.DUMMYFUNCTION("""COMPUTED_VALUE"""),71020001)</f>
        <v>71020001</v>
      </c>
      <c r="C1244" s="5" t="str">
        <f ca="1">IFERROR(__xludf.DUMMYFUNCTION("""COMPUTED_VALUE"""),"TRANSPORTADORES TABLETOP PARA BOLSAS.")</f>
        <v>TRANSPORTADORES TABLETOP PARA BOLSAS.</v>
      </c>
      <c r="D1244" s="5">
        <f ca="1">IFERROR(__xludf.DUMMYFUNCTION("""COMPUTED_VALUE"""),13247721)</f>
        <v>13247721</v>
      </c>
      <c r="E1244" s="5" t="str">
        <f ca="1">IFERROR(__xludf.DUMMYFUNCTION("""COMPUTED_VALUE"""),"INSPECCION SEMANAL TRANSP BOLSAS")</f>
        <v>INSPECCION SEMANAL TRANSP BOLSAS</v>
      </c>
      <c r="F1244" s="5" t="str">
        <f ca="1">IFERROR(__xludf.DUMMYFUNCTION("""COMPUTED_VALUE"""),"Ins. Estado de tensores de cadena")</f>
        <v>Ins. Estado de tensores de cadena</v>
      </c>
      <c r="G1244" s="5" t="b">
        <f ca="1">IFERROR(__xludf.DUMMYFUNCTION("""COMPUTED_VALUE"""),TRUE)</f>
        <v>1</v>
      </c>
      <c r="H1244" s="5"/>
      <c r="I1244" s="5"/>
      <c r="J1244" s="5">
        <f ca="1">IFERROR(__xludf.DUMMYFUNCTION("""COMPUTED_VALUE"""),13247721)</f>
        <v>13247721</v>
      </c>
      <c r="K1244" s="5"/>
      <c r="L1244" s="18">
        <f ca="1">IFERROR(__xludf.DUMMYFUNCTION("""COMPUTED_VALUE"""),45324)</f>
        <v>45324</v>
      </c>
      <c r="M1244" s="18">
        <f ca="1">IFERROR(__xludf.DUMMYFUNCTION("""COMPUTED_VALUE"""),45324)</f>
        <v>45324</v>
      </c>
      <c r="N1244" s="5" t="str">
        <f ca="1">IFERROR(__xludf.DUMMYFUNCTION("""COMPUTED_VALUE"""),"ESTEBAN POTOSI ISAZA")</f>
        <v>ESTEBAN POTOSI ISAZA</v>
      </c>
      <c r="O1244" s="2">
        <f ca="1">IFERROR(__xludf.DUMMYFUNCTION("""COMPUTED_VALUE"""),0.011111111)</f>
        <v>1.1111111E-2</v>
      </c>
      <c r="P1244" s="5">
        <f ca="1">IFERROR(__xludf.DUMMYFUNCTION("""COMPUTED_VALUE"""),20076884)</f>
        <v>20076884</v>
      </c>
      <c r="Q1244" s="5" t="str">
        <f ca="1">IFERROR(__xludf.DUMMYFUNCTION("""COMPUTED_VALUE"""),"FZQAs9WsM68")</f>
        <v>FZQAs9WsM68</v>
      </c>
      <c r="R1244" s="5">
        <f ca="1">IFERROR(__xludf.DUMMYFUNCTION("""COMPUTED_VALUE"""),410)</f>
        <v>410</v>
      </c>
      <c r="S1244" s="62">
        <f ca="1">IFERROR(__xludf.DUMMYFUNCTION("""COMPUTED_VALUE"""),0.011111111)</f>
        <v>1.1111111E-2</v>
      </c>
      <c r="T1244" s="63" t="str">
        <f ca="1">IFERROR(__xludf.DUMMYFUNCTION("""COMPUTED_VALUE"""),"https://storage.googleapis.com/glide-prod.appspot.com/uploads-v2/ly7o78grxPaC6KdgvbpS/pub/3aRdSog0vUtuqPE8AJKD.png")</f>
        <v>https://storage.googleapis.com/glide-prod.appspot.com/uploads-v2/ly7o78grxPaC6KdgvbpS/pub/3aRdSog0vUtuqPE8AJKD.png</v>
      </c>
      <c r="U1244" s="5" t="str">
        <f ca="1">IFERROR(__xludf.DUMMYFUNCTION("""COMPUTED_VALUE"""),"LINEA PARA EL LLENADO DE BOLSASTRANSPORTADORES TABLETOP PARA BOLSAS.")</f>
        <v>LINEA PARA EL LLENADO DE BOLSASTRANSPORTADORES TABLETOP PARA BOLSAS.</v>
      </c>
      <c r="V1244" s="5"/>
      <c r="W1244" s="5" t="b">
        <f ca="1">IFERROR(__xludf.DUMMYFUNCTION("""COMPUTED_VALUE"""),TRUE)</f>
        <v>1</v>
      </c>
      <c r="X1244" s="5" t="str">
        <f ca="1">IFERROR(__xludf.DUMMYFUNCTION("""COMPUTED_VALUE"""),"achavezi@postobon.com.co,aprmttoyu@postobon.com.co,aprmyu@postobon.com.co,wmora@postobon.com.co,efzapata@postobon.com.co")</f>
        <v>achavezi@postobon.com.co,aprmttoyu@postobon.com.co,aprmyu@postobon.com.co,wmora@postobon.com.co,efzapata@postobon.com.co</v>
      </c>
      <c r="Y1244" s="5" t="str">
        <f ca="1">IFERROR(__xludf.DUMMYFUNCTION("""COMPUTED_VALUE"""),"achavezi@postobon.com.co")</f>
        <v>achavezi@postobon.com.co</v>
      </c>
      <c r="Z1244" s="5" t="str">
        <f ca="1">IFERROR(__xludf.DUMMYFUNCTION("""COMPUTED_VALUE"""),"I1bii4PrQx6XQ8coRIfjXw")</f>
        <v>I1bii4PrQx6XQ8coRIfjXw</v>
      </c>
      <c r="AA1244" s="5"/>
      <c r="AB1244" s="5"/>
      <c r="AC1244" s="5"/>
      <c r="AD1244" s="5">
        <f ca="1">IFERROR(__xludf.DUMMYFUNCTION("""COMPUTED_VALUE"""),70)</f>
        <v>70</v>
      </c>
      <c r="AE1244" s="5">
        <f ca="1">IFERROR(__xludf.DUMMYFUNCTION("""COMPUTED_VALUE"""),70)</f>
        <v>70</v>
      </c>
      <c r="AF1244" s="5" t="b">
        <f ca="1">IFERROR(__xludf.DUMMYFUNCTION("""COMPUTED_VALUE"""),FALSE)</f>
        <v>0</v>
      </c>
      <c r="AG1244" s="5" t="str">
        <f ca="1">IFERROR(__xludf.DUMMYFUNCTION("""COMPUTED_VALUE"""),"INSPECCIONES REALIZADAS")</f>
        <v>INSPECCIONES REALIZADAS</v>
      </c>
      <c r="AH1244" s="5"/>
    </row>
    <row r="1245" spans="1:34">
      <c r="A1245" s="5" t="str">
        <f ca="1">IFERROR(__xludf.DUMMYFUNCTION("""COMPUTED_VALUE"""),"LINEA PARA EL LLENADO DE BOLSAS")</f>
        <v>LINEA PARA EL LLENADO DE BOLSAS</v>
      </c>
      <c r="B1245" s="5">
        <f ca="1">IFERROR(__xludf.DUMMYFUNCTION("""COMPUTED_VALUE"""),71020001)</f>
        <v>71020001</v>
      </c>
      <c r="C1245" s="5" t="str">
        <f ca="1">IFERROR(__xludf.DUMMYFUNCTION("""COMPUTED_VALUE"""),"TRANSPORTADORES TABLETOP PARA BOLSAS.")</f>
        <v>TRANSPORTADORES TABLETOP PARA BOLSAS.</v>
      </c>
      <c r="D1245" s="5">
        <f ca="1">IFERROR(__xludf.DUMMYFUNCTION("""COMPUTED_VALUE"""),13247721)</f>
        <v>13247721</v>
      </c>
      <c r="E1245" s="5" t="str">
        <f ca="1">IFERROR(__xludf.DUMMYFUNCTION("""COMPUTED_VALUE"""),"INSPECCION SEMANAL TRANSP BOLSAS")</f>
        <v>INSPECCION SEMANAL TRANSP BOLSAS</v>
      </c>
      <c r="F1245" s="5" t="str">
        <f ca="1">IFERROR(__xludf.DUMMYFUNCTION("""COMPUTED_VALUE"""),"Ins. Estado de piñones y carretas")</f>
        <v>Ins. Estado de piñones y carretas</v>
      </c>
      <c r="G1245" s="5" t="b">
        <f ca="1">IFERROR(__xludf.DUMMYFUNCTION("""COMPUTED_VALUE"""),TRUE)</f>
        <v>1</v>
      </c>
      <c r="H1245" s="5"/>
      <c r="I1245" s="5"/>
      <c r="J1245" s="5">
        <f ca="1">IFERROR(__xludf.DUMMYFUNCTION("""COMPUTED_VALUE"""),13247721)</f>
        <v>13247721</v>
      </c>
      <c r="K1245" s="5"/>
      <c r="L1245" s="18">
        <f ca="1">IFERROR(__xludf.DUMMYFUNCTION("""COMPUTED_VALUE"""),45324)</f>
        <v>45324</v>
      </c>
      <c r="M1245" s="18">
        <f ca="1">IFERROR(__xludf.DUMMYFUNCTION("""COMPUTED_VALUE"""),45324)</f>
        <v>45324</v>
      </c>
      <c r="N1245" s="5" t="str">
        <f ca="1">IFERROR(__xludf.DUMMYFUNCTION("""COMPUTED_VALUE"""),"ESTEBAN POTOSI ISAZA")</f>
        <v>ESTEBAN POTOSI ISAZA</v>
      </c>
      <c r="O1245" s="2">
        <f ca="1">IFERROR(__xludf.DUMMYFUNCTION("""COMPUTED_VALUE"""),0.011111111)</f>
        <v>1.1111111E-2</v>
      </c>
      <c r="P1245" s="5">
        <f ca="1">IFERROR(__xludf.DUMMYFUNCTION("""COMPUTED_VALUE"""),20076884)</f>
        <v>20076884</v>
      </c>
      <c r="Q1245" s="5" t="str">
        <f ca="1">IFERROR(__xludf.DUMMYFUNCTION("""COMPUTED_VALUE"""),"m04D7gY7H6w")</f>
        <v>m04D7gY7H6w</v>
      </c>
      <c r="R1245" s="5">
        <f ca="1">IFERROR(__xludf.DUMMYFUNCTION("""COMPUTED_VALUE"""),410)</f>
        <v>410</v>
      </c>
      <c r="S1245" s="62">
        <f ca="1">IFERROR(__xludf.DUMMYFUNCTION("""COMPUTED_VALUE"""),0.011111111)</f>
        <v>1.1111111E-2</v>
      </c>
      <c r="T1245" s="63" t="str">
        <f ca="1">IFERROR(__xludf.DUMMYFUNCTION("""COMPUTED_VALUE"""),"https://storage.googleapis.com/glide-prod.appspot.com/uploads-v2/ly7o78grxPaC6KdgvbpS/pub/3aRdSog0vUtuqPE8AJKD.png")</f>
        <v>https://storage.googleapis.com/glide-prod.appspot.com/uploads-v2/ly7o78grxPaC6KdgvbpS/pub/3aRdSog0vUtuqPE8AJKD.png</v>
      </c>
      <c r="U1245" s="5" t="str">
        <f ca="1">IFERROR(__xludf.DUMMYFUNCTION("""COMPUTED_VALUE"""),"LINEA PARA EL LLENADO DE BOLSASTRANSPORTADORES TABLETOP PARA BOLSAS.")</f>
        <v>LINEA PARA EL LLENADO DE BOLSASTRANSPORTADORES TABLETOP PARA BOLSAS.</v>
      </c>
      <c r="V1245" s="5"/>
      <c r="W1245" s="5" t="b">
        <f ca="1">IFERROR(__xludf.DUMMYFUNCTION("""COMPUTED_VALUE"""),TRUE)</f>
        <v>1</v>
      </c>
      <c r="X1245" s="5" t="str">
        <f ca="1">IFERROR(__xludf.DUMMYFUNCTION("""COMPUTED_VALUE"""),"achavezi@postobon.com.co,aprmttoyu@postobon.com.co,aprmyu@postobon.com.co,wmora@postobon.com.co,efzapata@postobon.com.co")</f>
        <v>achavezi@postobon.com.co,aprmttoyu@postobon.com.co,aprmyu@postobon.com.co,wmora@postobon.com.co,efzapata@postobon.com.co</v>
      </c>
      <c r="Y1245" s="5" t="str">
        <f ca="1">IFERROR(__xludf.DUMMYFUNCTION("""COMPUTED_VALUE"""),"achavezi@postobon.com.co")</f>
        <v>achavezi@postobon.com.co</v>
      </c>
      <c r="Z1245" s="5" t="str">
        <f ca="1">IFERROR(__xludf.DUMMYFUNCTION("""COMPUTED_VALUE"""),"OV90-WjTT26kKDq4bYqKTA")</f>
        <v>OV90-WjTT26kKDq4bYqKTA</v>
      </c>
      <c r="AA1245" s="5"/>
      <c r="AB1245" s="5"/>
      <c r="AC1245" s="5"/>
      <c r="AD1245" s="5">
        <f ca="1">IFERROR(__xludf.DUMMYFUNCTION("""COMPUTED_VALUE"""),70)</f>
        <v>70</v>
      </c>
      <c r="AE1245" s="5">
        <f ca="1">IFERROR(__xludf.DUMMYFUNCTION("""COMPUTED_VALUE"""),70)</f>
        <v>70</v>
      </c>
      <c r="AF1245" s="5" t="b">
        <f ca="1">IFERROR(__xludf.DUMMYFUNCTION("""COMPUTED_VALUE"""),FALSE)</f>
        <v>0</v>
      </c>
      <c r="AG1245" s="5" t="str">
        <f ca="1">IFERROR(__xludf.DUMMYFUNCTION("""COMPUTED_VALUE"""),"INSPECCIONES REALIZADAS")</f>
        <v>INSPECCIONES REALIZADAS</v>
      </c>
      <c r="AH1245" s="5"/>
    </row>
    <row r="1246" spans="1:34">
      <c r="A1246" s="5" t="str">
        <f ca="1">IFERROR(__xludf.DUMMYFUNCTION("""COMPUTED_VALUE"""),"LINEA PARA EL LLENADO DE BOLSAS")</f>
        <v>LINEA PARA EL LLENADO DE BOLSAS</v>
      </c>
      <c r="B1246" s="5">
        <f ca="1">IFERROR(__xludf.DUMMYFUNCTION("""COMPUTED_VALUE"""),71020001)</f>
        <v>71020001</v>
      </c>
      <c r="C1246" s="5" t="str">
        <f ca="1">IFERROR(__xludf.DUMMYFUNCTION("""COMPUTED_VALUE"""),"TRANSPORTADORES TABLETOP PARA BOLSAS.")</f>
        <v>TRANSPORTADORES TABLETOP PARA BOLSAS.</v>
      </c>
      <c r="D1246" s="5">
        <f ca="1">IFERROR(__xludf.DUMMYFUNCTION("""COMPUTED_VALUE"""),13247721)</f>
        <v>13247721</v>
      </c>
      <c r="E1246" s="5" t="str">
        <f ca="1">IFERROR(__xludf.DUMMYFUNCTION("""COMPUTED_VALUE"""),"INSPECCION SEMANAL TRANSP BOLSAS")</f>
        <v>INSPECCION SEMANAL TRANSP BOLSAS</v>
      </c>
      <c r="F1246" s="5" t="str">
        <f ca="1">IFERROR(__xludf.DUMMYFUNCTION("""COMPUTED_VALUE"""),"Ins. Funcionamiento de motores")</f>
        <v>Ins. Funcionamiento de motores</v>
      </c>
      <c r="G1246" s="5" t="b">
        <f ca="1">IFERROR(__xludf.DUMMYFUNCTION("""COMPUTED_VALUE"""),TRUE)</f>
        <v>1</v>
      </c>
      <c r="H1246" s="5"/>
      <c r="I1246" s="5"/>
      <c r="J1246" s="5">
        <f ca="1">IFERROR(__xludf.DUMMYFUNCTION("""COMPUTED_VALUE"""),13247721)</f>
        <v>13247721</v>
      </c>
      <c r="K1246" s="5"/>
      <c r="L1246" s="18">
        <f ca="1">IFERROR(__xludf.DUMMYFUNCTION("""COMPUTED_VALUE"""),45324)</f>
        <v>45324</v>
      </c>
      <c r="M1246" s="18">
        <f ca="1">IFERROR(__xludf.DUMMYFUNCTION("""COMPUTED_VALUE"""),45324)</f>
        <v>45324</v>
      </c>
      <c r="N1246" s="5" t="str">
        <f ca="1">IFERROR(__xludf.DUMMYFUNCTION("""COMPUTED_VALUE"""),"ESTEBAN POTOSI ISAZA")</f>
        <v>ESTEBAN POTOSI ISAZA</v>
      </c>
      <c r="O1246" s="2">
        <f ca="1">IFERROR(__xludf.DUMMYFUNCTION("""COMPUTED_VALUE"""),0.011111111)</f>
        <v>1.1111111E-2</v>
      </c>
      <c r="P1246" s="5">
        <f ca="1">IFERROR(__xludf.DUMMYFUNCTION("""COMPUTED_VALUE"""),20076884)</f>
        <v>20076884</v>
      </c>
      <c r="Q1246" s="5" t="str">
        <f ca="1">IFERROR(__xludf.DUMMYFUNCTION("""COMPUTED_VALUE"""),"_RTU0_l29ns")</f>
        <v>_RTU0_l29ns</v>
      </c>
      <c r="R1246" s="5">
        <f ca="1">IFERROR(__xludf.DUMMYFUNCTION("""COMPUTED_VALUE"""),410)</f>
        <v>410</v>
      </c>
      <c r="S1246" s="62">
        <f ca="1">IFERROR(__xludf.DUMMYFUNCTION("""COMPUTED_VALUE"""),0.011111111)</f>
        <v>1.1111111E-2</v>
      </c>
      <c r="T1246" s="63" t="str">
        <f ca="1">IFERROR(__xludf.DUMMYFUNCTION("""COMPUTED_VALUE"""),"https://storage.googleapis.com/glide-prod.appspot.com/uploads-v2/ly7o78grxPaC6KdgvbpS/pub/3aRdSog0vUtuqPE8AJKD.png")</f>
        <v>https://storage.googleapis.com/glide-prod.appspot.com/uploads-v2/ly7o78grxPaC6KdgvbpS/pub/3aRdSog0vUtuqPE8AJKD.png</v>
      </c>
      <c r="U1246" s="5" t="str">
        <f ca="1">IFERROR(__xludf.DUMMYFUNCTION("""COMPUTED_VALUE"""),"LINEA PARA EL LLENADO DE BOLSASTRANSPORTADORES TABLETOP PARA BOLSAS.")</f>
        <v>LINEA PARA EL LLENADO DE BOLSASTRANSPORTADORES TABLETOP PARA BOLSAS.</v>
      </c>
      <c r="V1246" s="5"/>
      <c r="W1246" s="5" t="b">
        <f ca="1">IFERROR(__xludf.DUMMYFUNCTION("""COMPUTED_VALUE"""),TRUE)</f>
        <v>1</v>
      </c>
      <c r="X1246" s="5" t="str">
        <f ca="1">IFERROR(__xludf.DUMMYFUNCTION("""COMPUTED_VALUE"""),"achavezi@postobon.com.co,aprmttoyu@postobon.com.co,aprmyu@postobon.com.co,wmora@postobon.com.co,efzapata@postobon.com.co")</f>
        <v>achavezi@postobon.com.co,aprmttoyu@postobon.com.co,aprmyu@postobon.com.co,wmora@postobon.com.co,efzapata@postobon.com.co</v>
      </c>
      <c r="Y1246" s="5" t="str">
        <f ca="1">IFERROR(__xludf.DUMMYFUNCTION("""COMPUTED_VALUE"""),"achavezi@postobon.com.co")</f>
        <v>achavezi@postobon.com.co</v>
      </c>
      <c r="Z1246" s="5" t="str">
        <f ca="1">IFERROR(__xludf.DUMMYFUNCTION("""COMPUTED_VALUE"""),"rW2Egjl0Sneeoxz5NOa4Tg")</f>
        <v>rW2Egjl0Sneeoxz5NOa4Tg</v>
      </c>
      <c r="AA1246" s="5"/>
      <c r="AB1246" s="5"/>
      <c r="AC1246" s="5"/>
      <c r="AD1246" s="5">
        <f ca="1">IFERROR(__xludf.DUMMYFUNCTION("""COMPUTED_VALUE"""),70)</f>
        <v>70</v>
      </c>
      <c r="AE1246" s="5">
        <f ca="1">IFERROR(__xludf.DUMMYFUNCTION("""COMPUTED_VALUE"""),70)</f>
        <v>70</v>
      </c>
      <c r="AF1246" s="5" t="b">
        <f ca="1">IFERROR(__xludf.DUMMYFUNCTION("""COMPUTED_VALUE"""),FALSE)</f>
        <v>0</v>
      </c>
      <c r="AG1246" s="5" t="str">
        <f ca="1">IFERROR(__xludf.DUMMYFUNCTION("""COMPUTED_VALUE"""),"INSPECCIONES REALIZADAS")</f>
        <v>INSPECCIONES REALIZADAS</v>
      </c>
      <c r="AH1246" s="5"/>
    </row>
    <row r="1247" spans="1:34">
      <c r="A1247" s="5" t="str">
        <f ca="1">IFERROR(__xludf.DUMMYFUNCTION("""COMPUTED_VALUE"""),"LINEA PARA EL LLENADO DE BOLSAS")</f>
        <v>LINEA PARA EL LLENADO DE BOLSAS</v>
      </c>
      <c r="B1247" s="5">
        <f ca="1">IFERROR(__xludf.DUMMYFUNCTION("""COMPUTED_VALUE"""),71020001)</f>
        <v>71020001</v>
      </c>
      <c r="C1247" s="5" t="str">
        <f ca="1">IFERROR(__xludf.DUMMYFUNCTION("""COMPUTED_VALUE"""),"TRANSPORTADORES TABLETOP PARA BOLSAS.")</f>
        <v>TRANSPORTADORES TABLETOP PARA BOLSAS.</v>
      </c>
      <c r="D1247" s="5">
        <f ca="1">IFERROR(__xludf.DUMMYFUNCTION("""COMPUTED_VALUE"""),13247721)</f>
        <v>13247721</v>
      </c>
      <c r="E1247" s="5" t="str">
        <f ca="1">IFERROR(__xludf.DUMMYFUNCTION("""COMPUTED_VALUE"""),"INSPECCION SEMANAL TRANSP BOLSAS")</f>
        <v>INSPECCION SEMANAL TRANSP BOLSAS</v>
      </c>
      <c r="F1247" s="5" t="str">
        <f ca="1">IFERROR(__xludf.DUMMYFUNCTION("""COMPUTED_VALUE"""),"Ins. Funcionamiento tablero eléctrico")</f>
        <v>Ins. Funcionamiento tablero eléctrico</v>
      </c>
      <c r="G1247" s="5" t="b">
        <f ca="1">IFERROR(__xludf.DUMMYFUNCTION("""COMPUTED_VALUE"""),TRUE)</f>
        <v>1</v>
      </c>
      <c r="H1247" s="5"/>
      <c r="I1247" s="5"/>
      <c r="J1247" s="5">
        <f ca="1">IFERROR(__xludf.DUMMYFUNCTION("""COMPUTED_VALUE"""),13247721)</f>
        <v>13247721</v>
      </c>
      <c r="K1247" s="5"/>
      <c r="L1247" s="18">
        <f ca="1">IFERROR(__xludf.DUMMYFUNCTION("""COMPUTED_VALUE"""),45324)</f>
        <v>45324</v>
      </c>
      <c r="M1247" s="18">
        <f ca="1">IFERROR(__xludf.DUMMYFUNCTION("""COMPUTED_VALUE"""),45324)</f>
        <v>45324</v>
      </c>
      <c r="N1247" s="5" t="str">
        <f ca="1">IFERROR(__xludf.DUMMYFUNCTION("""COMPUTED_VALUE"""),"ESTEBAN POTOSI ISAZA")</f>
        <v>ESTEBAN POTOSI ISAZA</v>
      </c>
      <c r="O1247" s="2">
        <f ca="1">IFERROR(__xludf.DUMMYFUNCTION("""COMPUTED_VALUE"""),0.011111111)</f>
        <v>1.1111111E-2</v>
      </c>
      <c r="P1247" s="5">
        <f ca="1">IFERROR(__xludf.DUMMYFUNCTION("""COMPUTED_VALUE"""),20076884)</f>
        <v>20076884</v>
      </c>
      <c r="Q1247" s="5" t="str">
        <f ca="1">IFERROR(__xludf.DUMMYFUNCTION("""COMPUTED_VALUE"""),"coapKa-ka6k")</f>
        <v>coapKa-ka6k</v>
      </c>
      <c r="R1247" s="5">
        <f ca="1">IFERROR(__xludf.DUMMYFUNCTION("""COMPUTED_VALUE"""),410)</f>
        <v>410</v>
      </c>
      <c r="S1247" s="62">
        <f ca="1">IFERROR(__xludf.DUMMYFUNCTION("""COMPUTED_VALUE"""),0.011111111)</f>
        <v>1.1111111E-2</v>
      </c>
      <c r="T1247" s="63" t="str">
        <f ca="1">IFERROR(__xludf.DUMMYFUNCTION("""COMPUTED_VALUE"""),"https://storage.googleapis.com/glide-prod.appspot.com/uploads-v2/ly7o78grxPaC6KdgvbpS/pub/3aRdSog0vUtuqPE8AJKD.png")</f>
        <v>https://storage.googleapis.com/glide-prod.appspot.com/uploads-v2/ly7o78grxPaC6KdgvbpS/pub/3aRdSog0vUtuqPE8AJKD.png</v>
      </c>
      <c r="U1247" s="5" t="str">
        <f ca="1">IFERROR(__xludf.DUMMYFUNCTION("""COMPUTED_VALUE"""),"LINEA PARA EL LLENADO DE BOLSASTRANSPORTADORES TABLETOP PARA BOLSAS.")</f>
        <v>LINEA PARA EL LLENADO DE BOLSASTRANSPORTADORES TABLETOP PARA BOLSAS.</v>
      </c>
      <c r="V1247" s="5"/>
      <c r="W1247" s="5" t="b">
        <f ca="1">IFERROR(__xludf.DUMMYFUNCTION("""COMPUTED_VALUE"""),TRUE)</f>
        <v>1</v>
      </c>
      <c r="X1247" s="5" t="str">
        <f ca="1">IFERROR(__xludf.DUMMYFUNCTION("""COMPUTED_VALUE"""),"achavezi@postobon.com.co,aprmttoyu@postobon.com.co,aprmyu@postobon.com.co,wmora@postobon.com.co,efzapata@postobon.com.co")</f>
        <v>achavezi@postobon.com.co,aprmttoyu@postobon.com.co,aprmyu@postobon.com.co,wmora@postobon.com.co,efzapata@postobon.com.co</v>
      </c>
      <c r="Y1247" s="5" t="str">
        <f ca="1">IFERROR(__xludf.DUMMYFUNCTION("""COMPUTED_VALUE"""),"achavezi@postobon.com.co")</f>
        <v>achavezi@postobon.com.co</v>
      </c>
      <c r="Z1247" s="5" t="str">
        <f ca="1">IFERROR(__xludf.DUMMYFUNCTION("""COMPUTED_VALUE"""),"x029l0KKR0mjQAyT1Rn5pw")</f>
        <v>x029l0KKR0mjQAyT1Rn5pw</v>
      </c>
      <c r="AA1247" s="5"/>
      <c r="AB1247" s="5"/>
      <c r="AC1247" s="5"/>
      <c r="AD1247" s="5">
        <f ca="1">IFERROR(__xludf.DUMMYFUNCTION("""COMPUTED_VALUE"""),70)</f>
        <v>70</v>
      </c>
      <c r="AE1247" s="5">
        <f ca="1">IFERROR(__xludf.DUMMYFUNCTION("""COMPUTED_VALUE"""),70)</f>
        <v>70</v>
      </c>
      <c r="AF1247" s="5" t="b">
        <f ca="1">IFERROR(__xludf.DUMMYFUNCTION("""COMPUTED_VALUE"""),FALSE)</f>
        <v>0</v>
      </c>
      <c r="AG1247" s="5" t="str">
        <f ca="1">IFERROR(__xludf.DUMMYFUNCTION("""COMPUTED_VALUE"""),"INSPECCIONES REALIZADAS")</f>
        <v>INSPECCIONES REALIZADAS</v>
      </c>
      <c r="AH1247" s="5"/>
    </row>
    <row r="1248" spans="1:34">
      <c r="A1248" s="5" t="str">
        <f ca="1">IFERROR(__xludf.DUMMYFUNCTION("""COMPUTED_VALUE"""),"LINEA PARA EL LLENADO DE BOLSAS")</f>
        <v>LINEA PARA EL LLENADO DE BOLSAS</v>
      </c>
      <c r="B1248" s="5">
        <f ca="1">IFERROR(__xludf.DUMMYFUNCTION("""COMPUTED_VALUE"""),71020001)</f>
        <v>71020001</v>
      </c>
      <c r="C1248" s="5" t="str">
        <f ca="1">IFERROR(__xludf.DUMMYFUNCTION("""COMPUTED_VALUE"""),"TRANSPORTADORES TABLETOP PARA BOLSAS.")</f>
        <v>TRANSPORTADORES TABLETOP PARA BOLSAS.</v>
      </c>
      <c r="D1248" s="5">
        <f ca="1">IFERROR(__xludf.DUMMYFUNCTION("""COMPUTED_VALUE"""),13247721)</f>
        <v>13247721</v>
      </c>
      <c r="E1248" s="5" t="str">
        <f ca="1">IFERROR(__xludf.DUMMYFUNCTION("""COMPUTED_VALUE"""),"INSPECCION SEMANAL TRANSP BOLSAS")</f>
        <v>INSPECCION SEMANAL TRANSP BOLSAS</v>
      </c>
      <c r="F1248" s="5" t="str">
        <f ca="1">IFERROR(__xludf.DUMMYFUNCTION("""COMPUTED_VALUE"""),"Ins. Funcionamiento de sensores")</f>
        <v>Ins. Funcionamiento de sensores</v>
      </c>
      <c r="G1248" s="5" t="b">
        <f ca="1">IFERROR(__xludf.DUMMYFUNCTION("""COMPUTED_VALUE"""),TRUE)</f>
        <v>1</v>
      </c>
      <c r="H1248" s="5"/>
      <c r="I1248" s="5"/>
      <c r="J1248" s="5">
        <f ca="1">IFERROR(__xludf.DUMMYFUNCTION("""COMPUTED_VALUE"""),13247721)</f>
        <v>13247721</v>
      </c>
      <c r="K1248" s="5"/>
      <c r="L1248" s="18">
        <f ca="1">IFERROR(__xludf.DUMMYFUNCTION("""COMPUTED_VALUE"""),45324)</f>
        <v>45324</v>
      </c>
      <c r="M1248" s="18">
        <f ca="1">IFERROR(__xludf.DUMMYFUNCTION("""COMPUTED_VALUE"""),45324)</f>
        <v>45324</v>
      </c>
      <c r="N1248" s="5" t="str">
        <f ca="1">IFERROR(__xludf.DUMMYFUNCTION("""COMPUTED_VALUE"""),"ESTEBAN POTOSI ISAZA")</f>
        <v>ESTEBAN POTOSI ISAZA</v>
      </c>
      <c r="O1248" s="2">
        <f ca="1">IFERROR(__xludf.DUMMYFUNCTION("""COMPUTED_VALUE"""),0.011111111)</f>
        <v>1.1111111E-2</v>
      </c>
      <c r="P1248" s="5">
        <f ca="1">IFERROR(__xludf.DUMMYFUNCTION("""COMPUTED_VALUE"""),20076884)</f>
        <v>20076884</v>
      </c>
      <c r="Q1248" s="5" t="str">
        <f ca="1">IFERROR(__xludf.DUMMYFUNCTION("""COMPUTED_VALUE"""),"Obk9e2g2MIQ")</f>
        <v>Obk9e2g2MIQ</v>
      </c>
      <c r="R1248" s="5">
        <f ca="1">IFERROR(__xludf.DUMMYFUNCTION("""COMPUTED_VALUE"""),410)</f>
        <v>410</v>
      </c>
      <c r="S1248" s="62">
        <f ca="1">IFERROR(__xludf.DUMMYFUNCTION("""COMPUTED_VALUE"""),0.011111111)</f>
        <v>1.1111111E-2</v>
      </c>
      <c r="T1248" s="63" t="str">
        <f ca="1">IFERROR(__xludf.DUMMYFUNCTION("""COMPUTED_VALUE"""),"https://storage.googleapis.com/glide-prod.appspot.com/uploads-v2/ly7o78grxPaC6KdgvbpS/pub/3aRdSog0vUtuqPE8AJKD.png")</f>
        <v>https://storage.googleapis.com/glide-prod.appspot.com/uploads-v2/ly7o78grxPaC6KdgvbpS/pub/3aRdSog0vUtuqPE8AJKD.png</v>
      </c>
      <c r="U1248" s="5" t="str">
        <f ca="1">IFERROR(__xludf.DUMMYFUNCTION("""COMPUTED_VALUE"""),"LINEA PARA EL LLENADO DE BOLSASTRANSPORTADORES TABLETOP PARA BOLSAS.")</f>
        <v>LINEA PARA EL LLENADO DE BOLSASTRANSPORTADORES TABLETOP PARA BOLSAS.</v>
      </c>
      <c r="V1248" s="5"/>
      <c r="W1248" s="5" t="b">
        <f ca="1">IFERROR(__xludf.DUMMYFUNCTION("""COMPUTED_VALUE"""),TRUE)</f>
        <v>1</v>
      </c>
      <c r="X1248" s="5" t="str">
        <f ca="1">IFERROR(__xludf.DUMMYFUNCTION("""COMPUTED_VALUE"""),"achavezi@postobon.com.co,aprmttoyu@postobon.com.co,aprmyu@postobon.com.co,wmora@postobon.com.co,efzapata@postobon.com.co")</f>
        <v>achavezi@postobon.com.co,aprmttoyu@postobon.com.co,aprmyu@postobon.com.co,wmora@postobon.com.co,efzapata@postobon.com.co</v>
      </c>
      <c r="Y1248" s="5" t="str">
        <f ca="1">IFERROR(__xludf.DUMMYFUNCTION("""COMPUTED_VALUE"""),"achavezi@postobon.com.co")</f>
        <v>achavezi@postobon.com.co</v>
      </c>
      <c r="Z1248" s="5" t="str">
        <f ca="1">IFERROR(__xludf.DUMMYFUNCTION("""COMPUTED_VALUE"""),"3opQ8rhbQmOmqP5nB.IgCg")</f>
        <v>3opQ8rhbQmOmqP5nB.IgCg</v>
      </c>
      <c r="AA1248" s="5"/>
      <c r="AB1248" s="5"/>
      <c r="AC1248" s="5"/>
      <c r="AD1248" s="5">
        <f ca="1">IFERROR(__xludf.DUMMYFUNCTION("""COMPUTED_VALUE"""),70)</f>
        <v>70</v>
      </c>
      <c r="AE1248" s="5">
        <f ca="1">IFERROR(__xludf.DUMMYFUNCTION("""COMPUTED_VALUE"""),70)</f>
        <v>70</v>
      </c>
      <c r="AF1248" s="5" t="b">
        <f ca="1">IFERROR(__xludf.DUMMYFUNCTION("""COMPUTED_VALUE"""),FALSE)</f>
        <v>0</v>
      </c>
      <c r="AG1248" s="5" t="str">
        <f ca="1">IFERROR(__xludf.DUMMYFUNCTION("""COMPUTED_VALUE"""),"INSPECCIONES REALIZADAS")</f>
        <v>INSPECCIONES REALIZADAS</v>
      </c>
      <c r="AH1248" s="5"/>
    </row>
    <row r="1249" spans="1:34">
      <c r="A1249" s="5" t="str">
        <f ca="1">IFERROR(__xludf.DUMMYFUNCTION("""COMPUTED_VALUE"""),"LINEA PARA EL LLENADO DE GARRAFAS")</f>
        <v>LINEA PARA EL LLENADO DE GARRAFAS</v>
      </c>
      <c r="B1249" s="5">
        <f ca="1">IFERROR(__xludf.DUMMYFUNCTION("""COMPUTED_VALUE"""),71001904)</f>
        <v>71001904</v>
      </c>
      <c r="C1249" s="5" t="str">
        <f ca="1">IFERROR(__xludf.DUMMYFUNCTION("""COMPUTED_VALUE"""),"TRANSPORTADOR DE GARRAFS")</f>
        <v>TRANSPORTADOR DE GARRAFS</v>
      </c>
      <c r="D1249" s="5">
        <f ca="1">IFERROR(__xludf.DUMMYFUNCTION("""COMPUTED_VALUE"""),13247730)</f>
        <v>13247730</v>
      </c>
      <c r="E1249" s="5" t="str">
        <f ca="1">IFERROR(__xludf.DUMMYFUNCTION("""COMPUTED_VALUE"""),"INSPECCION SEMANAL TRANSP DE GARRAFAS")</f>
        <v>INSPECCION SEMANAL TRANSP DE GARRAFAS</v>
      </c>
      <c r="F1249" s="5" t="str">
        <f ca="1">IFERROR(__xludf.DUMMYFUNCTION("""COMPUTED_VALUE"""),"Insp. estado de chumaceras y rodamientos")</f>
        <v>Insp. estado de chumaceras y rodamientos</v>
      </c>
      <c r="G1249" s="5" t="b">
        <f ca="1">IFERROR(__xludf.DUMMYFUNCTION("""COMPUTED_VALUE"""),TRUE)</f>
        <v>1</v>
      </c>
      <c r="H1249" s="5"/>
      <c r="I1249" s="5"/>
      <c r="J1249" s="5">
        <f ca="1">IFERROR(__xludf.DUMMYFUNCTION("""COMPUTED_VALUE"""),13247730)</f>
        <v>13247730</v>
      </c>
      <c r="K1249" s="5"/>
      <c r="L1249" s="18">
        <f ca="1">IFERROR(__xludf.DUMMYFUNCTION("""COMPUTED_VALUE"""),45325)</f>
        <v>45325</v>
      </c>
      <c r="M1249" s="18">
        <f ca="1">IFERROR(__xludf.DUMMYFUNCTION("""COMPUTED_VALUE"""),45325)</f>
        <v>45325</v>
      </c>
      <c r="N1249" s="5" t="str">
        <f ca="1">IFERROR(__xludf.DUMMYFUNCTION("""COMPUTED_VALUE"""),"Víctor David Burbano Gómez")</f>
        <v>Víctor David Burbano Gómez</v>
      </c>
      <c r="O1249" s="2">
        <f ca="1">IFERROR(__xludf.DUMMYFUNCTION("""COMPUTED_VALUE"""),0.0125)</f>
        <v>1.2500000000000001E-2</v>
      </c>
      <c r="P1249" s="5">
        <f ca="1">IFERROR(__xludf.DUMMYFUNCTION("""COMPUTED_VALUE"""),20065447)</f>
        <v>20065447</v>
      </c>
      <c r="Q1249" s="5" t="str">
        <f ca="1">IFERROR(__xludf.DUMMYFUNCTION("""COMPUTED_VALUE"""),"i-8XQBFjRT8")</f>
        <v>i-8XQBFjRT8</v>
      </c>
      <c r="R1249" s="5">
        <f ca="1">IFERROR(__xludf.DUMMYFUNCTION("""COMPUTED_VALUE"""),410)</f>
        <v>410</v>
      </c>
      <c r="S1249" s="62">
        <f ca="1">IFERROR(__xludf.DUMMYFUNCTION("""COMPUTED_VALUE"""),0.0125)</f>
        <v>1.2500000000000001E-2</v>
      </c>
      <c r="T1249" s="63" t="str">
        <f ca="1">IFERROR(__xludf.DUMMYFUNCTION("""COMPUTED_VALUE"""),"https://storage.googleapis.com/glide-prod.appspot.com/uploads-v2/ly7o78grxPaC6KdgvbpS/pub/3aRdSog0vUtuqPE8AJKD.png")</f>
        <v>https://storage.googleapis.com/glide-prod.appspot.com/uploads-v2/ly7o78grxPaC6KdgvbpS/pub/3aRdSog0vUtuqPE8AJKD.png</v>
      </c>
      <c r="U1249" s="5" t="str">
        <f ca="1">IFERROR(__xludf.DUMMYFUNCTION("""COMPUTED_VALUE"""),"LINEA PARA EL LLENADO DE GARRAFASTRANSPORTADOR DE GARRAFS")</f>
        <v>LINEA PARA EL LLENADO DE GARRAFASTRANSPORTADOR DE GARRAFS</v>
      </c>
      <c r="V1249" s="5"/>
      <c r="W1249" s="5" t="b">
        <f ca="1">IFERROR(__xludf.DUMMYFUNCTION("""COMPUTED_VALUE"""),TRUE)</f>
        <v>1</v>
      </c>
      <c r="X1249" s="5" t="str">
        <f ca="1">IFERROR(__xludf.DUMMYFUNCTION("""COMPUTED_VALUE"""),"achavezi@postobon.com.co,aprmttoyu@postobon.com.co,aprmyu@postobon.com.co,wmora@postobon.com.co,efzapata@postobon.com.co")</f>
        <v>achavezi@postobon.com.co,aprmttoyu@postobon.com.co,aprmyu@postobon.com.co,wmora@postobon.com.co,efzapata@postobon.com.co</v>
      </c>
      <c r="Y1249" s="5" t="str">
        <f ca="1">IFERROR(__xludf.DUMMYFUNCTION("""COMPUTED_VALUE"""),"achavezi@postobon.com.co")</f>
        <v>achavezi@postobon.com.co</v>
      </c>
      <c r="Z1249" s="5" t="str">
        <f ca="1">IFERROR(__xludf.DUMMYFUNCTION("""COMPUTED_VALUE"""),"ViqYsbTaR7m81fsebJMX3g")</f>
        <v>ViqYsbTaR7m81fsebJMX3g</v>
      </c>
      <c r="AA1249" s="5"/>
      <c r="AB1249" s="5"/>
      <c r="AC1249" s="5"/>
      <c r="AD1249" s="5">
        <f ca="1">IFERROR(__xludf.DUMMYFUNCTION("""COMPUTED_VALUE"""),62)</f>
        <v>62</v>
      </c>
      <c r="AE1249" s="5">
        <f ca="1">IFERROR(__xludf.DUMMYFUNCTION("""COMPUTED_VALUE"""),62)</f>
        <v>62</v>
      </c>
      <c r="AF1249" s="5" t="b">
        <f ca="1">IFERROR(__xludf.DUMMYFUNCTION("""COMPUTED_VALUE"""),FALSE)</f>
        <v>0</v>
      </c>
      <c r="AG1249" s="5" t="str">
        <f ca="1">IFERROR(__xludf.DUMMYFUNCTION("""COMPUTED_VALUE"""),"INSPECCIONES REALIZADAS")</f>
        <v>INSPECCIONES REALIZADAS</v>
      </c>
      <c r="AH1249" s="5"/>
    </row>
    <row r="1250" spans="1:34">
      <c r="A1250" s="5" t="str">
        <f ca="1">IFERROR(__xludf.DUMMYFUNCTION("""COMPUTED_VALUE"""),"LINEA PARA EL LLENADO DE GARRAFAS")</f>
        <v>LINEA PARA EL LLENADO DE GARRAFAS</v>
      </c>
      <c r="B1250" s="5">
        <f ca="1">IFERROR(__xludf.DUMMYFUNCTION("""COMPUTED_VALUE"""),71001904)</f>
        <v>71001904</v>
      </c>
      <c r="C1250" s="5" t="str">
        <f ca="1">IFERROR(__xludf.DUMMYFUNCTION("""COMPUTED_VALUE"""),"TRANSPORTADOR DE GARRAFS")</f>
        <v>TRANSPORTADOR DE GARRAFS</v>
      </c>
      <c r="D1250" s="5">
        <f ca="1">IFERROR(__xludf.DUMMYFUNCTION("""COMPUTED_VALUE"""),13247730)</f>
        <v>13247730</v>
      </c>
      <c r="E1250" s="5" t="str">
        <f ca="1">IFERROR(__xludf.DUMMYFUNCTION("""COMPUTED_VALUE"""),"INSPECCION SEMANAL TRANSP DE GARRAFAS")</f>
        <v>INSPECCION SEMANAL TRANSP DE GARRAFAS</v>
      </c>
      <c r="F1250" s="5" t="str">
        <f ca="1">IFERROR(__xludf.DUMMYFUNCTION("""COMPUTED_VALUE"""),"Insp. estado de cadenas de transmisión")</f>
        <v>Insp. estado de cadenas de transmisión</v>
      </c>
      <c r="G1250" s="5" t="b">
        <f ca="1">IFERROR(__xludf.DUMMYFUNCTION("""COMPUTED_VALUE"""),TRUE)</f>
        <v>1</v>
      </c>
      <c r="H1250" s="5"/>
      <c r="I1250" s="5"/>
      <c r="J1250" s="5">
        <f ca="1">IFERROR(__xludf.DUMMYFUNCTION("""COMPUTED_VALUE"""),13247730)</f>
        <v>13247730</v>
      </c>
      <c r="K1250" s="5"/>
      <c r="L1250" s="18">
        <f ca="1">IFERROR(__xludf.DUMMYFUNCTION("""COMPUTED_VALUE"""),45325)</f>
        <v>45325</v>
      </c>
      <c r="M1250" s="18">
        <f ca="1">IFERROR(__xludf.DUMMYFUNCTION("""COMPUTED_VALUE"""),45325)</f>
        <v>45325</v>
      </c>
      <c r="N1250" s="5" t="str">
        <f ca="1">IFERROR(__xludf.DUMMYFUNCTION("""COMPUTED_VALUE"""),"Víctor David Burbano Gómez")</f>
        <v>Víctor David Burbano Gómez</v>
      </c>
      <c r="O1250" s="2">
        <f ca="1">IFERROR(__xludf.DUMMYFUNCTION("""COMPUTED_VALUE"""),0.0125)</f>
        <v>1.2500000000000001E-2</v>
      </c>
      <c r="P1250" s="5">
        <f ca="1">IFERROR(__xludf.DUMMYFUNCTION("""COMPUTED_VALUE"""),20065447)</f>
        <v>20065447</v>
      </c>
      <c r="Q1250" s="5" t="str">
        <f ca="1">IFERROR(__xludf.DUMMYFUNCTION("""COMPUTED_VALUE"""),"rIdMDTKcRWM")</f>
        <v>rIdMDTKcRWM</v>
      </c>
      <c r="R1250" s="5">
        <f ca="1">IFERROR(__xludf.DUMMYFUNCTION("""COMPUTED_VALUE"""),410)</f>
        <v>410</v>
      </c>
      <c r="S1250" s="62">
        <f ca="1">IFERROR(__xludf.DUMMYFUNCTION("""COMPUTED_VALUE"""),0.0125)</f>
        <v>1.2500000000000001E-2</v>
      </c>
      <c r="T1250" s="63" t="str">
        <f ca="1">IFERROR(__xludf.DUMMYFUNCTION("""COMPUTED_VALUE"""),"https://storage.googleapis.com/glide-prod.appspot.com/uploads-v2/ly7o78grxPaC6KdgvbpS/pub/3aRdSog0vUtuqPE8AJKD.png")</f>
        <v>https://storage.googleapis.com/glide-prod.appspot.com/uploads-v2/ly7o78grxPaC6KdgvbpS/pub/3aRdSog0vUtuqPE8AJKD.png</v>
      </c>
      <c r="U1250" s="5" t="str">
        <f ca="1">IFERROR(__xludf.DUMMYFUNCTION("""COMPUTED_VALUE"""),"LINEA PARA EL LLENADO DE GARRAFASTRANSPORTADOR DE GARRAFS")</f>
        <v>LINEA PARA EL LLENADO DE GARRAFASTRANSPORTADOR DE GARRAFS</v>
      </c>
      <c r="V1250" s="5"/>
      <c r="W1250" s="5" t="b">
        <f ca="1">IFERROR(__xludf.DUMMYFUNCTION("""COMPUTED_VALUE"""),TRUE)</f>
        <v>1</v>
      </c>
      <c r="X1250" s="5" t="str">
        <f ca="1">IFERROR(__xludf.DUMMYFUNCTION("""COMPUTED_VALUE"""),"achavezi@postobon.com.co,aprmttoyu@postobon.com.co,aprmyu@postobon.com.co,wmora@postobon.com.co,efzapata@postobon.com.co")</f>
        <v>achavezi@postobon.com.co,aprmttoyu@postobon.com.co,aprmyu@postobon.com.co,wmora@postobon.com.co,efzapata@postobon.com.co</v>
      </c>
      <c r="Y1250" s="5" t="str">
        <f ca="1">IFERROR(__xludf.DUMMYFUNCTION("""COMPUTED_VALUE"""),"achavezi@postobon.com.co")</f>
        <v>achavezi@postobon.com.co</v>
      </c>
      <c r="Z1250" s="5" t="str">
        <f ca="1">IFERROR(__xludf.DUMMYFUNCTION("""COMPUTED_VALUE"""),"fE1dIzqqSjO7mtFBlUdm5g")</f>
        <v>fE1dIzqqSjO7mtFBlUdm5g</v>
      </c>
      <c r="AA1250" s="5"/>
      <c r="AB1250" s="5"/>
      <c r="AC1250" s="5"/>
      <c r="AD1250" s="5">
        <f ca="1">IFERROR(__xludf.DUMMYFUNCTION("""COMPUTED_VALUE"""),62)</f>
        <v>62</v>
      </c>
      <c r="AE1250" s="5">
        <f ca="1">IFERROR(__xludf.DUMMYFUNCTION("""COMPUTED_VALUE"""),62)</f>
        <v>62</v>
      </c>
      <c r="AF1250" s="5" t="b">
        <f ca="1">IFERROR(__xludf.DUMMYFUNCTION("""COMPUTED_VALUE"""),FALSE)</f>
        <v>0</v>
      </c>
      <c r="AG1250" s="5" t="str">
        <f ca="1">IFERROR(__xludf.DUMMYFUNCTION("""COMPUTED_VALUE"""),"INSPECCIONES REALIZADAS")</f>
        <v>INSPECCIONES REALIZADAS</v>
      </c>
      <c r="AH1250" s="5"/>
    </row>
    <row r="1251" spans="1:34">
      <c r="A1251" s="5" t="str">
        <f ca="1">IFERROR(__xludf.DUMMYFUNCTION("""COMPUTED_VALUE"""),"LINEA PARA EL LLENADO DE GARRAFAS")</f>
        <v>LINEA PARA EL LLENADO DE GARRAFAS</v>
      </c>
      <c r="B1251" s="5">
        <f ca="1">IFERROR(__xludf.DUMMYFUNCTION("""COMPUTED_VALUE"""),71001904)</f>
        <v>71001904</v>
      </c>
      <c r="C1251" s="5" t="str">
        <f ca="1">IFERROR(__xludf.DUMMYFUNCTION("""COMPUTED_VALUE"""),"TRANSPORTADOR DE GARRAFS")</f>
        <v>TRANSPORTADOR DE GARRAFS</v>
      </c>
      <c r="D1251" s="5">
        <f ca="1">IFERROR(__xludf.DUMMYFUNCTION("""COMPUTED_VALUE"""),13247730)</f>
        <v>13247730</v>
      </c>
      <c r="E1251" s="5" t="str">
        <f ca="1">IFERROR(__xludf.DUMMYFUNCTION("""COMPUTED_VALUE"""),"INSPECCION SEMANAL TRANSP DE GARRAFAS")</f>
        <v>INSPECCION SEMANAL TRANSP DE GARRAFAS</v>
      </c>
      <c r="F1251" s="5" t="str">
        <f ca="1">IFERROR(__xludf.DUMMYFUNCTION("""COMPUTED_VALUE"""),"Insp. estado de cadenas table top")</f>
        <v>Insp. estado de cadenas table top</v>
      </c>
      <c r="G1251" s="5" t="b">
        <f ca="1">IFERROR(__xludf.DUMMYFUNCTION("""COMPUTED_VALUE"""),TRUE)</f>
        <v>1</v>
      </c>
      <c r="H1251" s="5"/>
      <c r="I1251" s="5"/>
      <c r="J1251" s="5">
        <f ca="1">IFERROR(__xludf.DUMMYFUNCTION("""COMPUTED_VALUE"""),13247730)</f>
        <v>13247730</v>
      </c>
      <c r="K1251" s="5"/>
      <c r="L1251" s="18">
        <f ca="1">IFERROR(__xludf.DUMMYFUNCTION("""COMPUTED_VALUE"""),45325)</f>
        <v>45325</v>
      </c>
      <c r="M1251" s="18">
        <f ca="1">IFERROR(__xludf.DUMMYFUNCTION("""COMPUTED_VALUE"""),45325)</f>
        <v>45325</v>
      </c>
      <c r="N1251" s="5" t="str">
        <f ca="1">IFERROR(__xludf.DUMMYFUNCTION("""COMPUTED_VALUE"""),"Víctor David Burbano Gómez")</f>
        <v>Víctor David Burbano Gómez</v>
      </c>
      <c r="O1251" s="2">
        <f ca="1">IFERROR(__xludf.DUMMYFUNCTION("""COMPUTED_VALUE"""),0.0125)</f>
        <v>1.2500000000000001E-2</v>
      </c>
      <c r="P1251" s="5">
        <f ca="1">IFERROR(__xludf.DUMMYFUNCTION("""COMPUTED_VALUE"""),20065447)</f>
        <v>20065447</v>
      </c>
      <c r="Q1251" s="5" t="str">
        <f ca="1">IFERROR(__xludf.DUMMYFUNCTION("""COMPUTED_VALUE"""),"_U3qTHket-w")</f>
        <v>_U3qTHket-w</v>
      </c>
      <c r="R1251" s="5">
        <f ca="1">IFERROR(__xludf.DUMMYFUNCTION("""COMPUTED_VALUE"""),410)</f>
        <v>410</v>
      </c>
      <c r="S1251" s="62">
        <f ca="1">IFERROR(__xludf.DUMMYFUNCTION("""COMPUTED_VALUE"""),0.0125)</f>
        <v>1.2500000000000001E-2</v>
      </c>
      <c r="T1251" s="63" t="str">
        <f ca="1">IFERROR(__xludf.DUMMYFUNCTION("""COMPUTED_VALUE"""),"https://storage.googleapis.com/glide-prod.appspot.com/uploads-v2/ly7o78grxPaC6KdgvbpS/pub/3aRdSog0vUtuqPE8AJKD.png")</f>
        <v>https://storage.googleapis.com/glide-prod.appspot.com/uploads-v2/ly7o78grxPaC6KdgvbpS/pub/3aRdSog0vUtuqPE8AJKD.png</v>
      </c>
      <c r="U1251" s="5" t="str">
        <f ca="1">IFERROR(__xludf.DUMMYFUNCTION("""COMPUTED_VALUE"""),"LINEA PARA EL LLENADO DE GARRAFASTRANSPORTADOR DE GARRAFS")</f>
        <v>LINEA PARA EL LLENADO DE GARRAFASTRANSPORTADOR DE GARRAFS</v>
      </c>
      <c r="V1251" s="5"/>
      <c r="W1251" s="5" t="b">
        <f ca="1">IFERROR(__xludf.DUMMYFUNCTION("""COMPUTED_VALUE"""),TRUE)</f>
        <v>1</v>
      </c>
      <c r="X1251" s="5" t="str">
        <f ca="1">IFERROR(__xludf.DUMMYFUNCTION("""COMPUTED_VALUE"""),"achavezi@postobon.com.co,aprmttoyu@postobon.com.co,aprmyu@postobon.com.co,wmora@postobon.com.co,efzapata@postobon.com.co")</f>
        <v>achavezi@postobon.com.co,aprmttoyu@postobon.com.co,aprmyu@postobon.com.co,wmora@postobon.com.co,efzapata@postobon.com.co</v>
      </c>
      <c r="Y1251" s="5" t="str">
        <f ca="1">IFERROR(__xludf.DUMMYFUNCTION("""COMPUTED_VALUE"""),"achavezi@postobon.com.co")</f>
        <v>achavezi@postobon.com.co</v>
      </c>
      <c r="Z1251" s="5" t="str">
        <f ca="1">IFERROR(__xludf.DUMMYFUNCTION("""COMPUTED_VALUE"""),"IqNoPHqjQJiHMxuQ8Tc6PQ")</f>
        <v>IqNoPHqjQJiHMxuQ8Tc6PQ</v>
      </c>
      <c r="AA1251" s="5"/>
      <c r="AB1251" s="5"/>
      <c r="AC1251" s="5"/>
      <c r="AD1251" s="5">
        <f ca="1">IFERROR(__xludf.DUMMYFUNCTION("""COMPUTED_VALUE"""),62)</f>
        <v>62</v>
      </c>
      <c r="AE1251" s="5">
        <f ca="1">IFERROR(__xludf.DUMMYFUNCTION("""COMPUTED_VALUE"""),62)</f>
        <v>62</v>
      </c>
      <c r="AF1251" s="5" t="b">
        <f ca="1">IFERROR(__xludf.DUMMYFUNCTION("""COMPUTED_VALUE"""),FALSE)</f>
        <v>0</v>
      </c>
      <c r="AG1251" s="5" t="str">
        <f ca="1">IFERROR(__xludf.DUMMYFUNCTION("""COMPUTED_VALUE"""),"INSPECCIONES REALIZADAS")</f>
        <v>INSPECCIONES REALIZADAS</v>
      </c>
      <c r="AH1251" s="5"/>
    </row>
    <row r="1252" spans="1:34">
      <c r="A1252" s="5" t="str">
        <f ca="1">IFERROR(__xludf.DUMMYFUNCTION("""COMPUTED_VALUE"""),"LINEA PARA EL LLENADO DE GARRAFAS")</f>
        <v>LINEA PARA EL LLENADO DE GARRAFAS</v>
      </c>
      <c r="B1252" s="5">
        <f ca="1">IFERROR(__xludf.DUMMYFUNCTION("""COMPUTED_VALUE"""),71001904)</f>
        <v>71001904</v>
      </c>
      <c r="C1252" s="5" t="str">
        <f ca="1">IFERROR(__xludf.DUMMYFUNCTION("""COMPUTED_VALUE"""),"TRANSPORTADOR DE GARRAFS")</f>
        <v>TRANSPORTADOR DE GARRAFS</v>
      </c>
      <c r="D1252" s="5">
        <f ca="1">IFERROR(__xludf.DUMMYFUNCTION("""COMPUTED_VALUE"""),13247730)</f>
        <v>13247730</v>
      </c>
      <c r="E1252" s="5" t="str">
        <f ca="1">IFERROR(__xludf.DUMMYFUNCTION("""COMPUTED_VALUE"""),"INSPECCION SEMANAL TRANSP DE GARRAFAS")</f>
        <v>INSPECCION SEMANAL TRANSP DE GARRAFAS</v>
      </c>
      <c r="F1252" s="5" t="str">
        <f ca="1">IFERROR(__xludf.DUMMYFUNCTION("""COMPUTED_VALUE"""),"Insp. estado de estructuras de fijación o anclaje")</f>
        <v>Insp. estado de estructuras de fijación o anclaje</v>
      </c>
      <c r="G1252" s="5" t="b">
        <f ca="1">IFERROR(__xludf.DUMMYFUNCTION("""COMPUTED_VALUE"""),TRUE)</f>
        <v>1</v>
      </c>
      <c r="H1252" s="5"/>
      <c r="I1252" s="5"/>
      <c r="J1252" s="5">
        <f ca="1">IFERROR(__xludf.DUMMYFUNCTION("""COMPUTED_VALUE"""),13247730)</f>
        <v>13247730</v>
      </c>
      <c r="K1252" s="5"/>
      <c r="L1252" s="18">
        <f ca="1">IFERROR(__xludf.DUMMYFUNCTION("""COMPUTED_VALUE"""),45325)</f>
        <v>45325</v>
      </c>
      <c r="M1252" s="18">
        <f ca="1">IFERROR(__xludf.DUMMYFUNCTION("""COMPUTED_VALUE"""),45325)</f>
        <v>45325</v>
      </c>
      <c r="N1252" s="5" t="str">
        <f ca="1">IFERROR(__xludf.DUMMYFUNCTION("""COMPUTED_VALUE"""),"Víctor David Burbano Gómez")</f>
        <v>Víctor David Burbano Gómez</v>
      </c>
      <c r="O1252" s="2">
        <f ca="1">IFERROR(__xludf.DUMMYFUNCTION("""COMPUTED_VALUE"""),0.0125)</f>
        <v>1.2500000000000001E-2</v>
      </c>
      <c r="P1252" s="5">
        <f ca="1">IFERROR(__xludf.DUMMYFUNCTION("""COMPUTED_VALUE"""),20065447)</f>
        <v>20065447</v>
      </c>
      <c r="Q1252" s="5" t="str">
        <f ca="1">IFERROR(__xludf.DUMMYFUNCTION("""COMPUTED_VALUE"""),"jLrsQRYbNho")</f>
        <v>jLrsQRYbNho</v>
      </c>
      <c r="R1252" s="5">
        <f ca="1">IFERROR(__xludf.DUMMYFUNCTION("""COMPUTED_VALUE"""),410)</f>
        <v>410</v>
      </c>
      <c r="S1252" s="62">
        <f ca="1">IFERROR(__xludf.DUMMYFUNCTION("""COMPUTED_VALUE"""),0.0125)</f>
        <v>1.2500000000000001E-2</v>
      </c>
      <c r="T1252" s="63" t="str">
        <f ca="1">IFERROR(__xludf.DUMMYFUNCTION("""COMPUTED_VALUE"""),"https://storage.googleapis.com/glide-prod.appspot.com/uploads-v2/ly7o78grxPaC6KdgvbpS/pub/3aRdSog0vUtuqPE8AJKD.png")</f>
        <v>https://storage.googleapis.com/glide-prod.appspot.com/uploads-v2/ly7o78grxPaC6KdgvbpS/pub/3aRdSog0vUtuqPE8AJKD.png</v>
      </c>
      <c r="U1252" s="5" t="str">
        <f ca="1">IFERROR(__xludf.DUMMYFUNCTION("""COMPUTED_VALUE"""),"LINEA PARA EL LLENADO DE GARRAFASTRANSPORTADOR DE GARRAFS")</f>
        <v>LINEA PARA EL LLENADO DE GARRAFASTRANSPORTADOR DE GARRAFS</v>
      </c>
      <c r="V1252" s="5"/>
      <c r="W1252" s="5" t="b">
        <f ca="1">IFERROR(__xludf.DUMMYFUNCTION("""COMPUTED_VALUE"""),TRUE)</f>
        <v>1</v>
      </c>
      <c r="X1252" s="5" t="str">
        <f ca="1">IFERROR(__xludf.DUMMYFUNCTION("""COMPUTED_VALUE"""),"achavezi@postobon.com.co,aprmttoyu@postobon.com.co,aprmyu@postobon.com.co,wmora@postobon.com.co,efzapata@postobon.com.co")</f>
        <v>achavezi@postobon.com.co,aprmttoyu@postobon.com.co,aprmyu@postobon.com.co,wmora@postobon.com.co,efzapata@postobon.com.co</v>
      </c>
      <c r="Y1252" s="5" t="str">
        <f ca="1">IFERROR(__xludf.DUMMYFUNCTION("""COMPUTED_VALUE"""),"achavezi@postobon.com.co")</f>
        <v>achavezi@postobon.com.co</v>
      </c>
      <c r="Z1252" s="5" t="str">
        <f ca="1">IFERROR(__xludf.DUMMYFUNCTION("""COMPUTED_VALUE"""),"FfI6a-9fRi6GYWRhfsCjKw")</f>
        <v>FfI6a-9fRi6GYWRhfsCjKw</v>
      </c>
      <c r="AA1252" s="5"/>
      <c r="AB1252" s="5"/>
      <c r="AC1252" s="5"/>
      <c r="AD1252" s="5">
        <f ca="1">IFERROR(__xludf.DUMMYFUNCTION("""COMPUTED_VALUE"""),62)</f>
        <v>62</v>
      </c>
      <c r="AE1252" s="5">
        <f ca="1">IFERROR(__xludf.DUMMYFUNCTION("""COMPUTED_VALUE"""),62)</f>
        <v>62</v>
      </c>
      <c r="AF1252" s="5" t="b">
        <f ca="1">IFERROR(__xludf.DUMMYFUNCTION("""COMPUTED_VALUE"""),FALSE)</f>
        <v>0</v>
      </c>
      <c r="AG1252" s="5" t="str">
        <f ca="1">IFERROR(__xludf.DUMMYFUNCTION("""COMPUTED_VALUE"""),"INSPECCIONES REALIZADAS")</f>
        <v>INSPECCIONES REALIZADAS</v>
      </c>
      <c r="AH1252" s="5"/>
    </row>
    <row r="1253" spans="1:34">
      <c r="A1253" s="5" t="str">
        <f ca="1">IFERROR(__xludf.DUMMYFUNCTION("""COMPUTED_VALUE"""),"LINEA PARA EL LLENADO DE GARRAFAS")</f>
        <v>LINEA PARA EL LLENADO DE GARRAFAS</v>
      </c>
      <c r="B1253" s="5">
        <f ca="1">IFERROR(__xludf.DUMMYFUNCTION("""COMPUTED_VALUE"""),71001904)</f>
        <v>71001904</v>
      </c>
      <c r="C1253" s="5" t="str">
        <f ca="1">IFERROR(__xludf.DUMMYFUNCTION("""COMPUTED_VALUE"""),"TRANSPORTADOR DE GARRAFS")</f>
        <v>TRANSPORTADOR DE GARRAFS</v>
      </c>
      <c r="D1253" s="5">
        <f ca="1">IFERROR(__xludf.DUMMYFUNCTION("""COMPUTED_VALUE"""),13247730)</f>
        <v>13247730</v>
      </c>
      <c r="E1253" s="5" t="str">
        <f ca="1">IFERROR(__xludf.DUMMYFUNCTION("""COMPUTED_VALUE"""),"INSPECCION SEMANAL TRANSP DE GARRAFAS")</f>
        <v>INSPECCION SEMANAL TRANSP DE GARRAFAS</v>
      </c>
      <c r="F1253" s="5" t="str">
        <f ca="1">IFERROR(__xludf.DUMMYFUNCTION("""COMPUTED_VALUE"""),"Insp. estado de tensores de cadena")</f>
        <v>Insp. estado de tensores de cadena</v>
      </c>
      <c r="G1253" s="5" t="b">
        <f ca="1">IFERROR(__xludf.DUMMYFUNCTION("""COMPUTED_VALUE"""),TRUE)</f>
        <v>1</v>
      </c>
      <c r="H1253" s="5"/>
      <c r="I1253" s="5"/>
      <c r="J1253" s="5">
        <f ca="1">IFERROR(__xludf.DUMMYFUNCTION("""COMPUTED_VALUE"""),13247730)</f>
        <v>13247730</v>
      </c>
      <c r="K1253" s="5"/>
      <c r="L1253" s="18">
        <f ca="1">IFERROR(__xludf.DUMMYFUNCTION("""COMPUTED_VALUE"""),45325)</f>
        <v>45325</v>
      </c>
      <c r="M1253" s="18">
        <f ca="1">IFERROR(__xludf.DUMMYFUNCTION("""COMPUTED_VALUE"""),45325)</f>
        <v>45325</v>
      </c>
      <c r="N1253" s="5" t="str">
        <f ca="1">IFERROR(__xludf.DUMMYFUNCTION("""COMPUTED_VALUE"""),"Víctor David Burbano Gómez")</f>
        <v>Víctor David Burbano Gómez</v>
      </c>
      <c r="O1253" s="2">
        <f ca="1">IFERROR(__xludf.DUMMYFUNCTION("""COMPUTED_VALUE"""),0.0125)</f>
        <v>1.2500000000000001E-2</v>
      </c>
      <c r="P1253" s="5">
        <f ca="1">IFERROR(__xludf.DUMMYFUNCTION("""COMPUTED_VALUE"""),20065447)</f>
        <v>20065447</v>
      </c>
      <c r="Q1253" s="5" t="str">
        <f ca="1">IFERROR(__xludf.DUMMYFUNCTION("""COMPUTED_VALUE"""),"YFUI7fdRkLY")</f>
        <v>YFUI7fdRkLY</v>
      </c>
      <c r="R1253" s="5">
        <f ca="1">IFERROR(__xludf.DUMMYFUNCTION("""COMPUTED_VALUE"""),410)</f>
        <v>410</v>
      </c>
      <c r="S1253" s="62">
        <f ca="1">IFERROR(__xludf.DUMMYFUNCTION("""COMPUTED_VALUE"""),0.0125)</f>
        <v>1.2500000000000001E-2</v>
      </c>
      <c r="T1253" s="63" t="str">
        <f ca="1">IFERROR(__xludf.DUMMYFUNCTION("""COMPUTED_VALUE"""),"https://storage.googleapis.com/glide-prod.appspot.com/uploads-v2/ly7o78grxPaC6KdgvbpS/pub/3aRdSog0vUtuqPE8AJKD.png")</f>
        <v>https://storage.googleapis.com/glide-prod.appspot.com/uploads-v2/ly7o78grxPaC6KdgvbpS/pub/3aRdSog0vUtuqPE8AJKD.png</v>
      </c>
      <c r="U1253" s="5" t="str">
        <f ca="1">IFERROR(__xludf.DUMMYFUNCTION("""COMPUTED_VALUE"""),"LINEA PARA EL LLENADO DE GARRAFASTRANSPORTADOR DE GARRAFS")</f>
        <v>LINEA PARA EL LLENADO DE GARRAFASTRANSPORTADOR DE GARRAFS</v>
      </c>
      <c r="V1253" s="5"/>
      <c r="W1253" s="5" t="b">
        <f ca="1">IFERROR(__xludf.DUMMYFUNCTION("""COMPUTED_VALUE"""),TRUE)</f>
        <v>1</v>
      </c>
      <c r="X1253" s="5" t="str">
        <f ca="1">IFERROR(__xludf.DUMMYFUNCTION("""COMPUTED_VALUE"""),"achavezi@postobon.com.co,aprmttoyu@postobon.com.co,aprmyu@postobon.com.co,wmora@postobon.com.co,efzapata@postobon.com.co")</f>
        <v>achavezi@postobon.com.co,aprmttoyu@postobon.com.co,aprmyu@postobon.com.co,wmora@postobon.com.co,efzapata@postobon.com.co</v>
      </c>
      <c r="Y1253" s="5" t="str">
        <f ca="1">IFERROR(__xludf.DUMMYFUNCTION("""COMPUTED_VALUE"""),"achavezi@postobon.com.co")</f>
        <v>achavezi@postobon.com.co</v>
      </c>
      <c r="Z1253" s="5" t="str">
        <f ca="1">IFERROR(__xludf.DUMMYFUNCTION("""COMPUTED_VALUE"""),"pnFw3B7RRCqSIVmLyDVJWw")</f>
        <v>pnFw3B7RRCqSIVmLyDVJWw</v>
      </c>
      <c r="AA1253" s="5"/>
      <c r="AB1253" s="5"/>
      <c r="AC1253" s="5"/>
      <c r="AD1253" s="5">
        <f ca="1">IFERROR(__xludf.DUMMYFUNCTION("""COMPUTED_VALUE"""),62)</f>
        <v>62</v>
      </c>
      <c r="AE1253" s="5">
        <f ca="1">IFERROR(__xludf.DUMMYFUNCTION("""COMPUTED_VALUE"""),62)</f>
        <v>62</v>
      </c>
      <c r="AF1253" s="5" t="b">
        <f ca="1">IFERROR(__xludf.DUMMYFUNCTION("""COMPUTED_VALUE"""),FALSE)</f>
        <v>0</v>
      </c>
      <c r="AG1253" s="5" t="str">
        <f ca="1">IFERROR(__xludf.DUMMYFUNCTION("""COMPUTED_VALUE"""),"INSPECCIONES REALIZADAS")</f>
        <v>INSPECCIONES REALIZADAS</v>
      </c>
      <c r="AH1253" s="5"/>
    </row>
    <row r="1254" spans="1:34">
      <c r="A1254" s="5" t="str">
        <f ca="1">IFERROR(__xludf.DUMMYFUNCTION("""COMPUTED_VALUE"""),"LINEA PARA EL LLENADO DE GARRAFAS")</f>
        <v>LINEA PARA EL LLENADO DE GARRAFAS</v>
      </c>
      <c r="B1254" s="5">
        <f ca="1">IFERROR(__xludf.DUMMYFUNCTION("""COMPUTED_VALUE"""),71001904)</f>
        <v>71001904</v>
      </c>
      <c r="C1254" s="5" t="str">
        <f ca="1">IFERROR(__xludf.DUMMYFUNCTION("""COMPUTED_VALUE"""),"TRANSPORTADOR DE GARRAFS")</f>
        <v>TRANSPORTADOR DE GARRAFS</v>
      </c>
      <c r="D1254" s="5">
        <f ca="1">IFERROR(__xludf.DUMMYFUNCTION("""COMPUTED_VALUE"""),13247730)</f>
        <v>13247730</v>
      </c>
      <c r="E1254" s="5" t="str">
        <f ca="1">IFERROR(__xludf.DUMMYFUNCTION("""COMPUTED_VALUE"""),"INSPECCION SEMANAL TRANSP DE GARRAFAS")</f>
        <v>INSPECCION SEMANAL TRANSP DE GARRAFAS</v>
      </c>
      <c r="F1254" s="5" t="str">
        <f ca="1">IFERROR(__xludf.DUMMYFUNCTION("""COMPUTED_VALUE"""),"Insp. estado de piñones y carretas")</f>
        <v>Insp. estado de piñones y carretas</v>
      </c>
      <c r="G1254" s="5" t="b">
        <f ca="1">IFERROR(__xludf.DUMMYFUNCTION("""COMPUTED_VALUE"""),TRUE)</f>
        <v>1</v>
      </c>
      <c r="H1254" s="5"/>
      <c r="I1254" s="5"/>
      <c r="J1254" s="5">
        <f ca="1">IFERROR(__xludf.DUMMYFUNCTION("""COMPUTED_VALUE"""),13247730)</f>
        <v>13247730</v>
      </c>
      <c r="K1254" s="5"/>
      <c r="L1254" s="18">
        <f ca="1">IFERROR(__xludf.DUMMYFUNCTION("""COMPUTED_VALUE"""),45325)</f>
        <v>45325</v>
      </c>
      <c r="M1254" s="18">
        <f ca="1">IFERROR(__xludf.DUMMYFUNCTION("""COMPUTED_VALUE"""),45325)</f>
        <v>45325</v>
      </c>
      <c r="N1254" s="5" t="str">
        <f ca="1">IFERROR(__xludf.DUMMYFUNCTION("""COMPUTED_VALUE"""),"Víctor David Burbano Gómez")</f>
        <v>Víctor David Burbano Gómez</v>
      </c>
      <c r="O1254" s="2">
        <f ca="1">IFERROR(__xludf.DUMMYFUNCTION("""COMPUTED_VALUE"""),0.0125)</f>
        <v>1.2500000000000001E-2</v>
      </c>
      <c r="P1254" s="5">
        <f ca="1">IFERROR(__xludf.DUMMYFUNCTION("""COMPUTED_VALUE"""),20065447)</f>
        <v>20065447</v>
      </c>
      <c r="Q1254" s="5" t="str">
        <f ca="1">IFERROR(__xludf.DUMMYFUNCTION("""COMPUTED_VALUE"""),"uSiNvZGNyHw")</f>
        <v>uSiNvZGNyHw</v>
      </c>
      <c r="R1254" s="5">
        <f ca="1">IFERROR(__xludf.DUMMYFUNCTION("""COMPUTED_VALUE"""),410)</f>
        <v>410</v>
      </c>
      <c r="S1254" s="62">
        <f ca="1">IFERROR(__xludf.DUMMYFUNCTION("""COMPUTED_VALUE"""),0.0125)</f>
        <v>1.2500000000000001E-2</v>
      </c>
      <c r="T1254" s="63" t="str">
        <f ca="1">IFERROR(__xludf.DUMMYFUNCTION("""COMPUTED_VALUE"""),"https://storage.googleapis.com/glide-prod.appspot.com/uploads-v2/ly7o78grxPaC6KdgvbpS/pub/3aRdSog0vUtuqPE8AJKD.png")</f>
        <v>https://storage.googleapis.com/glide-prod.appspot.com/uploads-v2/ly7o78grxPaC6KdgvbpS/pub/3aRdSog0vUtuqPE8AJKD.png</v>
      </c>
      <c r="U1254" s="5" t="str">
        <f ca="1">IFERROR(__xludf.DUMMYFUNCTION("""COMPUTED_VALUE"""),"LINEA PARA EL LLENADO DE GARRAFASTRANSPORTADOR DE GARRAFS")</f>
        <v>LINEA PARA EL LLENADO DE GARRAFASTRANSPORTADOR DE GARRAFS</v>
      </c>
      <c r="V1254" s="5"/>
      <c r="W1254" s="5" t="b">
        <f ca="1">IFERROR(__xludf.DUMMYFUNCTION("""COMPUTED_VALUE"""),TRUE)</f>
        <v>1</v>
      </c>
      <c r="X1254" s="5" t="str">
        <f ca="1">IFERROR(__xludf.DUMMYFUNCTION("""COMPUTED_VALUE"""),"achavezi@postobon.com.co,aprmttoyu@postobon.com.co,aprmyu@postobon.com.co,wmora@postobon.com.co,efzapata@postobon.com.co")</f>
        <v>achavezi@postobon.com.co,aprmttoyu@postobon.com.co,aprmyu@postobon.com.co,wmora@postobon.com.co,efzapata@postobon.com.co</v>
      </c>
      <c r="Y1254" s="5" t="str">
        <f ca="1">IFERROR(__xludf.DUMMYFUNCTION("""COMPUTED_VALUE"""),"achavezi@postobon.com.co")</f>
        <v>achavezi@postobon.com.co</v>
      </c>
      <c r="Z1254" s="5" t="str">
        <f ca="1">IFERROR(__xludf.DUMMYFUNCTION("""COMPUTED_VALUE"""),"w1OBJE9BSQuGbO5VlcTR5A")</f>
        <v>w1OBJE9BSQuGbO5VlcTR5A</v>
      </c>
      <c r="AA1254" s="5"/>
      <c r="AB1254" s="5"/>
      <c r="AC1254" s="5"/>
      <c r="AD1254" s="5">
        <f ca="1">IFERROR(__xludf.DUMMYFUNCTION("""COMPUTED_VALUE"""),62)</f>
        <v>62</v>
      </c>
      <c r="AE1254" s="5">
        <f ca="1">IFERROR(__xludf.DUMMYFUNCTION("""COMPUTED_VALUE"""),62)</f>
        <v>62</v>
      </c>
      <c r="AF1254" s="5" t="b">
        <f ca="1">IFERROR(__xludf.DUMMYFUNCTION("""COMPUTED_VALUE"""),FALSE)</f>
        <v>0</v>
      </c>
      <c r="AG1254" s="5" t="str">
        <f ca="1">IFERROR(__xludf.DUMMYFUNCTION("""COMPUTED_VALUE"""),"INSPECCIONES REALIZADAS")</f>
        <v>INSPECCIONES REALIZADAS</v>
      </c>
      <c r="AH1254" s="5"/>
    </row>
    <row r="1255" spans="1:34">
      <c r="A1255" s="5" t="str">
        <f ca="1">IFERROR(__xludf.DUMMYFUNCTION("""COMPUTED_VALUE"""),"LINEA PARA EL LLENADO DE GARRAFAS")</f>
        <v>LINEA PARA EL LLENADO DE GARRAFAS</v>
      </c>
      <c r="B1255" s="5">
        <f ca="1">IFERROR(__xludf.DUMMYFUNCTION("""COMPUTED_VALUE"""),71001904)</f>
        <v>71001904</v>
      </c>
      <c r="C1255" s="5" t="str">
        <f ca="1">IFERROR(__xludf.DUMMYFUNCTION("""COMPUTED_VALUE"""),"TRANSPORTADOR DE GARRAFS")</f>
        <v>TRANSPORTADOR DE GARRAFS</v>
      </c>
      <c r="D1255" s="5">
        <f ca="1">IFERROR(__xludf.DUMMYFUNCTION("""COMPUTED_VALUE"""),13247730)</f>
        <v>13247730</v>
      </c>
      <c r="E1255" s="5" t="str">
        <f ca="1">IFERROR(__xludf.DUMMYFUNCTION("""COMPUTED_VALUE"""),"INSPECCION SEMANAL TRANSP DE GARRAFAS")</f>
        <v>INSPECCION SEMANAL TRANSP DE GARRAFAS</v>
      </c>
      <c r="F1255" s="5" t="str">
        <f ca="1">IFERROR(__xludf.DUMMYFUNCTION("""COMPUTED_VALUE"""),"Insp. funcionamiento de motores")</f>
        <v>Insp. funcionamiento de motores</v>
      </c>
      <c r="G1255" s="5" t="b">
        <f ca="1">IFERROR(__xludf.DUMMYFUNCTION("""COMPUTED_VALUE"""),TRUE)</f>
        <v>1</v>
      </c>
      <c r="H1255" s="5"/>
      <c r="I1255" s="5"/>
      <c r="J1255" s="5">
        <f ca="1">IFERROR(__xludf.DUMMYFUNCTION("""COMPUTED_VALUE"""),13247730)</f>
        <v>13247730</v>
      </c>
      <c r="K1255" s="5"/>
      <c r="L1255" s="18">
        <f ca="1">IFERROR(__xludf.DUMMYFUNCTION("""COMPUTED_VALUE"""),45325)</f>
        <v>45325</v>
      </c>
      <c r="M1255" s="18">
        <f ca="1">IFERROR(__xludf.DUMMYFUNCTION("""COMPUTED_VALUE"""),45325)</f>
        <v>45325</v>
      </c>
      <c r="N1255" s="5" t="str">
        <f ca="1">IFERROR(__xludf.DUMMYFUNCTION("""COMPUTED_VALUE"""),"Víctor David Burbano Gómez")</f>
        <v>Víctor David Burbano Gómez</v>
      </c>
      <c r="O1255" s="2">
        <f ca="1">IFERROR(__xludf.DUMMYFUNCTION("""COMPUTED_VALUE"""),0.0125)</f>
        <v>1.2500000000000001E-2</v>
      </c>
      <c r="P1255" s="5">
        <f ca="1">IFERROR(__xludf.DUMMYFUNCTION("""COMPUTED_VALUE"""),20065447)</f>
        <v>20065447</v>
      </c>
      <c r="Q1255" s="5" t="str">
        <f ca="1">IFERROR(__xludf.DUMMYFUNCTION("""COMPUTED_VALUE"""),"h7gULf0YRdQ")</f>
        <v>h7gULf0YRdQ</v>
      </c>
      <c r="R1255" s="5">
        <f ca="1">IFERROR(__xludf.DUMMYFUNCTION("""COMPUTED_VALUE"""),410)</f>
        <v>410</v>
      </c>
      <c r="S1255" s="62">
        <f ca="1">IFERROR(__xludf.DUMMYFUNCTION("""COMPUTED_VALUE"""),0.0125)</f>
        <v>1.2500000000000001E-2</v>
      </c>
      <c r="T1255" s="63" t="str">
        <f ca="1">IFERROR(__xludf.DUMMYFUNCTION("""COMPUTED_VALUE"""),"https://storage.googleapis.com/glide-prod.appspot.com/uploads-v2/ly7o78grxPaC6KdgvbpS/pub/3aRdSog0vUtuqPE8AJKD.png")</f>
        <v>https://storage.googleapis.com/glide-prod.appspot.com/uploads-v2/ly7o78grxPaC6KdgvbpS/pub/3aRdSog0vUtuqPE8AJKD.png</v>
      </c>
      <c r="U1255" s="5" t="str">
        <f ca="1">IFERROR(__xludf.DUMMYFUNCTION("""COMPUTED_VALUE"""),"LINEA PARA EL LLENADO DE GARRAFASTRANSPORTADOR DE GARRAFS")</f>
        <v>LINEA PARA EL LLENADO DE GARRAFASTRANSPORTADOR DE GARRAFS</v>
      </c>
      <c r="V1255" s="5"/>
      <c r="W1255" s="5" t="b">
        <f ca="1">IFERROR(__xludf.DUMMYFUNCTION("""COMPUTED_VALUE"""),TRUE)</f>
        <v>1</v>
      </c>
      <c r="X1255" s="5" t="str">
        <f ca="1">IFERROR(__xludf.DUMMYFUNCTION("""COMPUTED_VALUE"""),"achavezi@postobon.com.co,aprmttoyu@postobon.com.co,aprmyu@postobon.com.co,wmora@postobon.com.co,efzapata@postobon.com.co")</f>
        <v>achavezi@postobon.com.co,aprmttoyu@postobon.com.co,aprmyu@postobon.com.co,wmora@postobon.com.co,efzapata@postobon.com.co</v>
      </c>
      <c r="Y1255" s="5" t="str">
        <f ca="1">IFERROR(__xludf.DUMMYFUNCTION("""COMPUTED_VALUE"""),"achavezi@postobon.com.co")</f>
        <v>achavezi@postobon.com.co</v>
      </c>
      <c r="Z1255" s="5" t="str">
        <f ca="1">IFERROR(__xludf.DUMMYFUNCTION("""COMPUTED_VALUE"""),"HkT7LO8OSJG1ZdL4d6-rmQ")</f>
        <v>HkT7LO8OSJG1ZdL4d6-rmQ</v>
      </c>
      <c r="AA1255" s="5"/>
      <c r="AB1255" s="5"/>
      <c r="AC1255" s="5"/>
      <c r="AD1255" s="5">
        <f ca="1">IFERROR(__xludf.DUMMYFUNCTION("""COMPUTED_VALUE"""),62)</f>
        <v>62</v>
      </c>
      <c r="AE1255" s="5">
        <f ca="1">IFERROR(__xludf.DUMMYFUNCTION("""COMPUTED_VALUE"""),62)</f>
        <v>62</v>
      </c>
      <c r="AF1255" s="5" t="b">
        <f ca="1">IFERROR(__xludf.DUMMYFUNCTION("""COMPUTED_VALUE"""),FALSE)</f>
        <v>0</v>
      </c>
      <c r="AG1255" s="5" t="str">
        <f ca="1">IFERROR(__xludf.DUMMYFUNCTION("""COMPUTED_VALUE"""),"INSPECCIONES REALIZADAS")</f>
        <v>INSPECCIONES REALIZADAS</v>
      </c>
      <c r="AH1255" s="5"/>
    </row>
    <row r="1256" spans="1:34">
      <c r="A1256" s="5" t="str">
        <f ca="1">IFERROR(__xludf.DUMMYFUNCTION("""COMPUTED_VALUE"""),"LINEA PARA EL LLENADO DE GARRAFAS")</f>
        <v>LINEA PARA EL LLENADO DE GARRAFAS</v>
      </c>
      <c r="B1256" s="5">
        <f ca="1">IFERROR(__xludf.DUMMYFUNCTION("""COMPUTED_VALUE"""),71001904)</f>
        <v>71001904</v>
      </c>
      <c r="C1256" s="5" t="str">
        <f ca="1">IFERROR(__xludf.DUMMYFUNCTION("""COMPUTED_VALUE"""),"TRANSPORTADOR DE GARRAFS")</f>
        <v>TRANSPORTADOR DE GARRAFS</v>
      </c>
      <c r="D1256" s="5">
        <f ca="1">IFERROR(__xludf.DUMMYFUNCTION("""COMPUTED_VALUE"""),13247730)</f>
        <v>13247730</v>
      </c>
      <c r="E1256" s="5" t="str">
        <f ca="1">IFERROR(__xludf.DUMMYFUNCTION("""COMPUTED_VALUE"""),"INSPECCION SEMANAL TRANSP DE GARRAFAS")</f>
        <v>INSPECCION SEMANAL TRANSP DE GARRAFAS</v>
      </c>
      <c r="F1256" s="5" t="str">
        <f ca="1">IFERROR(__xludf.DUMMYFUNCTION("""COMPUTED_VALUE"""),"Insp. funcionamiento de sensores")</f>
        <v>Insp. funcionamiento de sensores</v>
      </c>
      <c r="G1256" s="5" t="b">
        <f ca="1">IFERROR(__xludf.DUMMYFUNCTION("""COMPUTED_VALUE"""),TRUE)</f>
        <v>1</v>
      </c>
      <c r="H1256" s="5"/>
      <c r="I1256" s="5"/>
      <c r="J1256" s="5">
        <f ca="1">IFERROR(__xludf.DUMMYFUNCTION("""COMPUTED_VALUE"""),13247730)</f>
        <v>13247730</v>
      </c>
      <c r="K1256" s="5"/>
      <c r="L1256" s="18">
        <f ca="1">IFERROR(__xludf.DUMMYFUNCTION("""COMPUTED_VALUE"""),45325)</f>
        <v>45325</v>
      </c>
      <c r="M1256" s="18">
        <f ca="1">IFERROR(__xludf.DUMMYFUNCTION("""COMPUTED_VALUE"""),45325)</f>
        <v>45325</v>
      </c>
      <c r="N1256" s="5" t="str">
        <f ca="1">IFERROR(__xludf.DUMMYFUNCTION("""COMPUTED_VALUE"""),"Víctor David Burbano Gómez")</f>
        <v>Víctor David Burbano Gómez</v>
      </c>
      <c r="O1256" s="2">
        <f ca="1">IFERROR(__xludf.DUMMYFUNCTION("""COMPUTED_VALUE"""),0.0125)</f>
        <v>1.2500000000000001E-2</v>
      </c>
      <c r="P1256" s="5">
        <f ca="1">IFERROR(__xludf.DUMMYFUNCTION("""COMPUTED_VALUE"""),20065447)</f>
        <v>20065447</v>
      </c>
      <c r="Q1256" s="5" t="str">
        <f ca="1">IFERROR(__xludf.DUMMYFUNCTION("""COMPUTED_VALUE"""),"_7v5ryYfJ0w")</f>
        <v>_7v5ryYfJ0w</v>
      </c>
      <c r="R1256" s="5">
        <f ca="1">IFERROR(__xludf.DUMMYFUNCTION("""COMPUTED_VALUE"""),410)</f>
        <v>410</v>
      </c>
      <c r="S1256" s="62">
        <f ca="1">IFERROR(__xludf.DUMMYFUNCTION("""COMPUTED_VALUE"""),0.0125)</f>
        <v>1.2500000000000001E-2</v>
      </c>
      <c r="T1256" s="63" t="str">
        <f ca="1">IFERROR(__xludf.DUMMYFUNCTION("""COMPUTED_VALUE"""),"https://storage.googleapis.com/glide-prod.appspot.com/uploads-v2/ly7o78grxPaC6KdgvbpS/pub/3aRdSog0vUtuqPE8AJKD.png")</f>
        <v>https://storage.googleapis.com/glide-prod.appspot.com/uploads-v2/ly7o78grxPaC6KdgvbpS/pub/3aRdSog0vUtuqPE8AJKD.png</v>
      </c>
      <c r="U1256" s="5" t="str">
        <f ca="1">IFERROR(__xludf.DUMMYFUNCTION("""COMPUTED_VALUE"""),"LINEA PARA EL LLENADO DE GARRAFASTRANSPORTADOR DE GARRAFS")</f>
        <v>LINEA PARA EL LLENADO DE GARRAFASTRANSPORTADOR DE GARRAFS</v>
      </c>
      <c r="V1256" s="5"/>
      <c r="W1256" s="5" t="b">
        <f ca="1">IFERROR(__xludf.DUMMYFUNCTION("""COMPUTED_VALUE"""),TRUE)</f>
        <v>1</v>
      </c>
      <c r="X1256" s="5" t="str">
        <f ca="1">IFERROR(__xludf.DUMMYFUNCTION("""COMPUTED_VALUE"""),"achavezi@postobon.com.co,aprmttoyu@postobon.com.co,aprmyu@postobon.com.co,wmora@postobon.com.co,efzapata@postobon.com.co")</f>
        <v>achavezi@postobon.com.co,aprmttoyu@postobon.com.co,aprmyu@postobon.com.co,wmora@postobon.com.co,efzapata@postobon.com.co</v>
      </c>
      <c r="Y1256" s="5" t="str">
        <f ca="1">IFERROR(__xludf.DUMMYFUNCTION("""COMPUTED_VALUE"""),"achavezi@postobon.com.co")</f>
        <v>achavezi@postobon.com.co</v>
      </c>
      <c r="Z1256" s="5" t="str">
        <f ca="1">IFERROR(__xludf.DUMMYFUNCTION("""COMPUTED_VALUE"""),"17wzTSo8S7CmiEXRr6Jxxw")</f>
        <v>17wzTSo8S7CmiEXRr6Jxxw</v>
      </c>
      <c r="AA1256" s="5"/>
      <c r="AB1256" s="5"/>
      <c r="AC1256" s="5"/>
      <c r="AD1256" s="5">
        <f ca="1">IFERROR(__xludf.DUMMYFUNCTION("""COMPUTED_VALUE"""),62)</f>
        <v>62</v>
      </c>
      <c r="AE1256" s="5">
        <f ca="1">IFERROR(__xludf.DUMMYFUNCTION("""COMPUTED_VALUE"""),62)</f>
        <v>62</v>
      </c>
      <c r="AF1256" s="5" t="b">
        <f ca="1">IFERROR(__xludf.DUMMYFUNCTION("""COMPUTED_VALUE"""),FALSE)</f>
        <v>0</v>
      </c>
      <c r="AG1256" s="5" t="str">
        <f ca="1">IFERROR(__xludf.DUMMYFUNCTION("""COMPUTED_VALUE"""),"INSPECCIONES REALIZADAS")</f>
        <v>INSPECCIONES REALIZADAS</v>
      </c>
      <c r="AH1256" s="5"/>
    </row>
    <row r="1257" spans="1:34">
      <c r="A1257" s="5" t="str">
        <f ca="1">IFERROR(__xludf.DUMMYFUNCTION("""COMPUTED_VALUE"""),"LINEA DE PRODUCCION DE BOTELLONES DE 20")</f>
        <v>LINEA DE PRODUCCION DE BOTELLONES DE 20</v>
      </c>
      <c r="B1257" s="5">
        <f ca="1">IFERROR(__xludf.DUMMYFUNCTION("""COMPUTED_VALUE"""),71951101)</f>
        <v>71951101</v>
      </c>
      <c r="C1257" s="5" t="str">
        <f ca="1">IFERROR(__xludf.DUMMYFUNCTION("""COMPUTED_VALUE"""),"TRANSPORTADORES DE BOTELLONES")</f>
        <v>TRANSPORTADORES DE BOTELLONES</v>
      </c>
      <c r="D1257" s="5">
        <f ca="1">IFERROR(__xludf.DUMMYFUNCTION("""COMPUTED_VALUE"""),13247695)</f>
        <v>13247695</v>
      </c>
      <c r="E1257" s="5" t="str">
        <f ca="1">IFERROR(__xludf.DUMMYFUNCTION("""COMPUTED_VALUE"""),"INSPECCION SEMANAL TRANSP BOTELLONES")</f>
        <v>INSPECCION SEMANAL TRANSP BOTELLONES</v>
      </c>
      <c r="F1257" s="5" t="str">
        <f ca="1">IFERROR(__xludf.DUMMYFUNCTION("""COMPUTED_VALUE"""),"Ins. Estado de chumaceras y rodamientos")</f>
        <v>Ins. Estado de chumaceras y rodamientos</v>
      </c>
      <c r="G1257" s="5" t="b">
        <f ca="1">IFERROR(__xludf.DUMMYFUNCTION("""COMPUTED_VALUE"""),TRUE)</f>
        <v>1</v>
      </c>
      <c r="H1257" s="5"/>
      <c r="I1257" s="5"/>
      <c r="J1257" s="5">
        <f ca="1">IFERROR(__xludf.DUMMYFUNCTION("""COMPUTED_VALUE"""),13247695)</f>
        <v>13247695</v>
      </c>
      <c r="K1257" s="5"/>
      <c r="L1257" s="18">
        <f ca="1">IFERROR(__xludf.DUMMYFUNCTION("""COMPUTED_VALUE"""),45324)</f>
        <v>45324</v>
      </c>
      <c r="M1257" s="18">
        <f ca="1">IFERROR(__xludf.DUMMYFUNCTION("""COMPUTED_VALUE"""),45324)</f>
        <v>45324</v>
      </c>
      <c r="N1257" s="5" t="str">
        <f ca="1">IFERROR(__xludf.DUMMYFUNCTION("""COMPUTED_VALUE"""),"Víctor David Burbano Gómez")</f>
        <v>Víctor David Burbano Gómez</v>
      </c>
      <c r="O1257" s="2">
        <f ca="1">IFERROR(__xludf.DUMMYFUNCTION("""COMPUTED_VALUE"""),0.011111111)</f>
        <v>1.1111111E-2</v>
      </c>
      <c r="P1257" s="5">
        <f ca="1">IFERROR(__xludf.DUMMYFUNCTION("""COMPUTED_VALUE"""),20065447)</f>
        <v>20065447</v>
      </c>
      <c r="Q1257" s="5" t="str">
        <f ca="1">IFERROR(__xludf.DUMMYFUNCTION("""COMPUTED_VALUE"""),"TkSmzTdcA-8")</f>
        <v>TkSmzTdcA-8</v>
      </c>
      <c r="R1257" s="5">
        <f ca="1">IFERROR(__xludf.DUMMYFUNCTION("""COMPUTED_VALUE"""),410)</f>
        <v>410</v>
      </c>
      <c r="S1257" s="62">
        <f ca="1">IFERROR(__xludf.DUMMYFUNCTION("""COMPUTED_VALUE"""),0.011111111)</f>
        <v>1.1111111E-2</v>
      </c>
      <c r="T1257" s="63" t="str">
        <f ca="1">IFERROR(__xludf.DUMMYFUNCTION("""COMPUTED_VALUE"""),"https://storage.googleapis.com/glide-prod.appspot.com/uploads-v2/ly7o78grxPaC6KdgvbpS/pub/3aRdSog0vUtuqPE8AJKD.png")</f>
        <v>https://storage.googleapis.com/glide-prod.appspot.com/uploads-v2/ly7o78grxPaC6KdgvbpS/pub/3aRdSog0vUtuqPE8AJKD.png</v>
      </c>
      <c r="U1257" s="5" t="str">
        <f ca="1">IFERROR(__xludf.DUMMYFUNCTION("""COMPUTED_VALUE"""),"LINEA DE PRODUCCION DE BOTELLONES DE 20TRANSPORTADORES DE BOTELLONES")</f>
        <v>LINEA DE PRODUCCION DE BOTELLONES DE 20TRANSPORTADORES DE BOTELLONES</v>
      </c>
      <c r="V1257" s="5"/>
      <c r="W1257" s="5" t="b">
        <f ca="1">IFERROR(__xludf.DUMMYFUNCTION("""COMPUTED_VALUE"""),TRUE)</f>
        <v>1</v>
      </c>
      <c r="X1257" s="5" t="str">
        <f ca="1">IFERROR(__xludf.DUMMYFUNCTION("""COMPUTED_VALUE"""),"achavezi@postobon.com.co,aprmttoyu@postobon.com.co,aprmyu@postobon.com.co,wmora@postobon.com.co,efzapata@postobon.com.co")</f>
        <v>achavezi@postobon.com.co,aprmttoyu@postobon.com.co,aprmyu@postobon.com.co,wmora@postobon.com.co,efzapata@postobon.com.co</v>
      </c>
      <c r="Y1257" s="5" t="str">
        <f ca="1">IFERROR(__xludf.DUMMYFUNCTION("""COMPUTED_VALUE"""),"achavezi@postobon.com.co")</f>
        <v>achavezi@postobon.com.co</v>
      </c>
      <c r="Z1257" s="5" t="str">
        <f ca="1">IFERROR(__xludf.DUMMYFUNCTION("""COMPUTED_VALUE"""),"a.5f7YjSURJmLSqgJWPlePA")</f>
        <v>a.5f7YjSURJmLSqgJWPlePA</v>
      </c>
      <c r="AA1257" s="5"/>
      <c r="AB1257" s="5"/>
      <c r="AC1257" s="5"/>
      <c r="AD1257" s="5">
        <f ca="1">IFERROR(__xludf.DUMMYFUNCTION("""COMPUTED_VALUE"""),62)</f>
        <v>62</v>
      </c>
      <c r="AE1257" s="5">
        <f ca="1">IFERROR(__xludf.DUMMYFUNCTION("""COMPUTED_VALUE"""),62)</f>
        <v>62</v>
      </c>
      <c r="AF1257" s="5" t="b">
        <f ca="1">IFERROR(__xludf.DUMMYFUNCTION("""COMPUTED_VALUE"""),FALSE)</f>
        <v>0</v>
      </c>
      <c r="AG1257" s="5" t="str">
        <f ca="1">IFERROR(__xludf.DUMMYFUNCTION("""COMPUTED_VALUE"""),"INSPECCIONES REALIZADAS")</f>
        <v>INSPECCIONES REALIZADAS</v>
      </c>
      <c r="AH1257" s="5"/>
    </row>
    <row r="1258" spans="1:34">
      <c r="A1258" s="5" t="str">
        <f ca="1">IFERROR(__xludf.DUMMYFUNCTION("""COMPUTED_VALUE"""),"LINEA DE PRODUCCION DE BOTELLONES DE 20")</f>
        <v>LINEA DE PRODUCCION DE BOTELLONES DE 20</v>
      </c>
      <c r="B1258" s="5">
        <f ca="1">IFERROR(__xludf.DUMMYFUNCTION("""COMPUTED_VALUE"""),71951101)</f>
        <v>71951101</v>
      </c>
      <c r="C1258" s="5" t="str">
        <f ca="1">IFERROR(__xludf.DUMMYFUNCTION("""COMPUTED_VALUE"""),"TRANSPORTADORES DE BOTELLONES")</f>
        <v>TRANSPORTADORES DE BOTELLONES</v>
      </c>
      <c r="D1258" s="5">
        <f ca="1">IFERROR(__xludf.DUMMYFUNCTION("""COMPUTED_VALUE"""),13247695)</f>
        <v>13247695</v>
      </c>
      <c r="E1258" s="5" t="str">
        <f ca="1">IFERROR(__xludf.DUMMYFUNCTION("""COMPUTED_VALUE"""),"INSPECCION SEMANAL TRANSP BOTELLONES")</f>
        <v>INSPECCION SEMANAL TRANSP BOTELLONES</v>
      </c>
      <c r="F1258" s="5" t="str">
        <f ca="1">IFERROR(__xludf.DUMMYFUNCTION("""COMPUTED_VALUE"""),"Ins. Estado de cadenas de transmisión")</f>
        <v>Ins. Estado de cadenas de transmisión</v>
      </c>
      <c r="G1258" s="5" t="b">
        <f ca="1">IFERROR(__xludf.DUMMYFUNCTION("""COMPUTED_VALUE"""),TRUE)</f>
        <v>1</v>
      </c>
      <c r="H1258" s="5"/>
      <c r="I1258" s="5"/>
      <c r="J1258" s="5">
        <f ca="1">IFERROR(__xludf.DUMMYFUNCTION("""COMPUTED_VALUE"""),13247695)</f>
        <v>13247695</v>
      </c>
      <c r="K1258" s="5"/>
      <c r="L1258" s="18">
        <f ca="1">IFERROR(__xludf.DUMMYFUNCTION("""COMPUTED_VALUE"""),45324)</f>
        <v>45324</v>
      </c>
      <c r="M1258" s="18">
        <f ca="1">IFERROR(__xludf.DUMMYFUNCTION("""COMPUTED_VALUE"""),45324)</f>
        <v>45324</v>
      </c>
      <c r="N1258" s="5" t="str">
        <f ca="1">IFERROR(__xludf.DUMMYFUNCTION("""COMPUTED_VALUE"""),"Víctor David Burbano Gómez")</f>
        <v>Víctor David Burbano Gómez</v>
      </c>
      <c r="O1258" s="2">
        <f ca="1">IFERROR(__xludf.DUMMYFUNCTION("""COMPUTED_VALUE"""),0.011111111)</f>
        <v>1.1111111E-2</v>
      </c>
      <c r="P1258" s="5">
        <f ca="1">IFERROR(__xludf.DUMMYFUNCTION("""COMPUTED_VALUE"""),20065447)</f>
        <v>20065447</v>
      </c>
      <c r="Q1258" s="5" t="str">
        <f ca="1">IFERROR(__xludf.DUMMYFUNCTION("""COMPUTED_VALUE"""),"fczUqExMed4")</f>
        <v>fczUqExMed4</v>
      </c>
      <c r="R1258" s="5">
        <f ca="1">IFERROR(__xludf.DUMMYFUNCTION("""COMPUTED_VALUE"""),410)</f>
        <v>410</v>
      </c>
      <c r="S1258" s="62">
        <f ca="1">IFERROR(__xludf.DUMMYFUNCTION("""COMPUTED_VALUE"""),0.011111111)</f>
        <v>1.1111111E-2</v>
      </c>
      <c r="T1258" s="63" t="str">
        <f ca="1">IFERROR(__xludf.DUMMYFUNCTION("""COMPUTED_VALUE"""),"https://storage.googleapis.com/glide-prod.appspot.com/uploads-v2/ly7o78grxPaC6KdgvbpS/pub/3aRdSog0vUtuqPE8AJKD.png")</f>
        <v>https://storage.googleapis.com/glide-prod.appspot.com/uploads-v2/ly7o78grxPaC6KdgvbpS/pub/3aRdSog0vUtuqPE8AJKD.png</v>
      </c>
      <c r="U1258" s="5" t="str">
        <f ca="1">IFERROR(__xludf.DUMMYFUNCTION("""COMPUTED_VALUE"""),"LINEA DE PRODUCCION DE BOTELLONES DE 20TRANSPORTADORES DE BOTELLONES")</f>
        <v>LINEA DE PRODUCCION DE BOTELLONES DE 20TRANSPORTADORES DE BOTELLONES</v>
      </c>
      <c r="V1258" s="5"/>
      <c r="W1258" s="5" t="b">
        <f ca="1">IFERROR(__xludf.DUMMYFUNCTION("""COMPUTED_VALUE"""),TRUE)</f>
        <v>1</v>
      </c>
      <c r="X1258" s="5" t="str">
        <f ca="1">IFERROR(__xludf.DUMMYFUNCTION("""COMPUTED_VALUE"""),"achavezi@postobon.com.co,aprmttoyu@postobon.com.co,aprmyu@postobon.com.co,wmora@postobon.com.co,efzapata@postobon.com.co")</f>
        <v>achavezi@postobon.com.co,aprmttoyu@postobon.com.co,aprmyu@postobon.com.co,wmora@postobon.com.co,efzapata@postobon.com.co</v>
      </c>
      <c r="Y1258" s="5" t="str">
        <f ca="1">IFERROR(__xludf.DUMMYFUNCTION("""COMPUTED_VALUE"""),"achavezi@postobon.com.co")</f>
        <v>achavezi@postobon.com.co</v>
      </c>
      <c r="Z1258" s="5" t="str">
        <f ca="1">IFERROR(__xludf.DUMMYFUNCTION("""COMPUTED_VALUE"""),"OKWb06j4Tb-KN7ldFhsECg")</f>
        <v>OKWb06j4Tb-KN7ldFhsECg</v>
      </c>
      <c r="AA1258" s="5"/>
      <c r="AB1258" s="5"/>
      <c r="AC1258" s="5"/>
      <c r="AD1258" s="5">
        <f ca="1">IFERROR(__xludf.DUMMYFUNCTION("""COMPUTED_VALUE"""),62)</f>
        <v>62</v>
      </c>
      <c r="AE1258" s="5">
        <f ca="1">IFERROR(__xludf.DUMMYFUNCTION("""COMPUTED_VALUE"""),62)</f>
        <v>62</v>
      </c>
      <c r="AF1258" s="5" t="b">
        <f ca="1">IFERROR(__xludf.DUMMYFUNCTION("""COMPUTED_VALUE"""),FALSE)</f>
        <v>0</v>
      </c>
      <c r="AG1258" s="5" t="str">
        <f ca="1">IFERROR(__xludf.DUMMYFUNCTION("""COMPUTED_VALUE"""),"INSPECCIONES REALIZADAS")</f>
        <v>INSPECCIONES REALIZADAS</v>
      </c>
      <c r="AH1258" s="5"/>
    </row>
    <row r="1259" spans="1:34">
      <c r="A1259" s="5" t="str">
        <f ca="1">IFERROR(__xludf.DUMMYFUNCTION("""COMPUTED_VALUE"""),"LINEA DE PRODUCCION DE BOTELLONES DE 20")</f>
        <v>LINEA DE PRODUCCION DE BOTELLONES DE 20</v>
      </c>
      <c r="B1259" s="5">
        <f ca="1">IFERROR(__xludf.DUMMYFUNCTION("""COMPUTED_VALUE"""),71951101)</f>
        <v>71951101</v>
      </c>
      <c r="C1259" s="5" t="str">
        <f ca="1">IFERROR(__xludf.DUMMYFUNCTION("""COMPUTED_VALUE"""),"TRANSPORTADORES DE BOTELLONES")</f>
        <v>TRANSPORTADORES DE BOTELLONES</v>
      </c>
      <c r="D1259" s="5">
        <f ca="1">IFERROR(__xludf.DUMMYFUNCTION("""COMPUTED_VALUE"""),13247695)</f>
        <v>13247695</v>
      </c>
      <c r="E1259" s="5" t="str">
        <f ca="1">IFERROR(__xludf.DUMMYFUNCTION("""COMPUTED_VALUE"""),"INSPECCION SEMANAL TRANSP BOTELLONES")</f>
        <v>INSPECCION SEMANAL TRANSP BOTELLONES</v>
      </c>
      <c r="F1259" s="5" t="str">
        <f ca="1">IFERROR(__xludf.DUMMYFUNCTION("""COMPUTED_VALUE"""),"Ins. Estado de cadenas transportadores")</f>
        <v>Ins. Estado de cadenas transportadores</v>
      </c>
      <c r="G1259" s="5" t="b">
        <f ca="1">IFERROR(__xludf.DUMMYFUNCTION("""COMPUTED_VALUE"""),TRUE)</f>
        <v>1</v>
      </c>
      <c r="H1259" s="5"/>
      <c r="I1259" s="5"/>
      <c r="J1259" s="5">
        <f ca="1">IFERROR(__xludf.DUMMYFUNCTION("""COMPUTED_VALUE"""),13247695)</f>
        <v>13247695</v>
      </c>
      <c r="K1259" s="5"/>
      <c r="L1259" s="18">
        <f ca="1">IFERROR(__xludf.DUMMYFUNCTION("""COMPUTED_VALUE"""),45324)</f>
        <v>45324</v>
      </c>
      <c r="M1259" s="18">
        <f ca="1">IFERROR(__xludf.DUMMYFUNCTION("""COMPUTED_VALUE"""),45324)</f>
        <v>45324</v>
      </c>
      <c r="N1259" s="5" t="str">
        <f ca="1">IFERROR(__xludf.DUMMYFUNCTION("""COMPUTED_VALUE"""),"Víctor David Burbano Gómez")</f>
        <v>Víctor David Burbano Gómez</v>
      </c>
      <c r="O1259" s="2">
        <f ca="1">IFERROR(__xludf.DUMMYFUNCTION("""COMPUTED_VALUE"""),0.011111111)</f>
        <v>1.1111111E-2</v>
      </c>
      <c r="P1259" s="5">
        <f ca="1">IFERROR(__xludf.DUMMYFUNCTION("""COMPUTED_VALUE"""),20065447)</f>
        <v>20065447</v>
      </c>
      <c r="Q1259" s="5" t="str">
        <f ca="1">IFERROR(__xludf.DUMMYFUNCTION("""COMPUTED_VALUE"""),"XSygZdq5kAI")</f>
        <v>XSygZdq5kAI</v>
      </c>
      <c r="R1259" s="5">
        <f ca="1">IFERROR(__xludf.DUMMYFUNCTION("""COMPUTED_VALUE"""),410)</f>
        <v>410</v>
      </c>
      <c r="S1259" s="62">
        <f ca="1">IFERROR(__xludf.DUMMYFUNCTION("""COMPUTED_VALUE"""),0.011111111)</f>
        <v>1.1111111E-2</v>
      </c>
      <c r="T1259" s="63" t="str">
        <f ca="1">IFERROR(__xludf.DUMMYFUNCTION("""COMPUTED_VALUE"""),"https://storage.googleapis.com/glide-prod.appspot.com/uploads-v2/ly7o78grxPaC6KdgvbpS/pub/3aRdSog0vUtuqPE8AJKD.png")</f>
        <v>https://storage.googleapis.com/glide-prod.appspot.com/uploads-v2/ly7o78grxPaC6KdgvbpS/pub/3aRdSog0vUtuqPE8AJKD.png</v>
      </c>
      <c r="U1259" s="5" t="str">
        <f ca="1">IFERROR(__xludf.DUMMYFUNCTION("""COMPUTED_VALUE"""),"LINEA DE PRODUCCION DE BOTELLONES DE 20TRANSPORTADORES DE BOTELLONES")</f>
        <v>LINEA DE PRODUCCION DE BOTELLONES DE 20TRANSPORTADORES DE BOTELLONES</v>
      </c>
      <c r="V1259" s="5"/>
      <c r="W1259" s="5" t="b">
        <f ca="1">IFERROR(__xludf.DUMMYFUNCTION("""COMPUTED_VALUE"""),TRUE)</f>
        <v>1</v>
      </c>
      <c r="X1259" s="5" t="str">
        <f ca="1">IFERROR(__xludf.DUMMYFUNCTION("""COMPUTED_VALUE"""),"achavezi@postobon.com.co,aprmttoyu@postobon.com.co,aprmyu@postobon.com.co,wmora@postobon.com.co,efzapata@postobon.com.co")</f>
        <v>achavezi@postobon.com.co,aprmttoyu@postobon.com.co,aprmyu@postobon.com.co,wmora@postobon.com.co,efzapata@postobon.com.co</v>
      </c>
      <c r="Y1259" s="5" t="str">
        <f ca="1">IFERROR(__xludf.DUMMYFUNCTION("""COMPUTED_VALUE"""),"achavezi@postobon.com.co")</f>
        <v>achavezi@postobon.com.co</v>
      </c>
      <c r="Z1259" s="5" t="str">
        <f ca="1">IFERROR(__xludf.DUMMYFUNCTION("""COMPUTED_VALUE"""),"rvUxY-ukTHicWd9lAulNKw")</f>
        <v>rvUxY-ukTHicWd9lAulNKw</v>
      </c>
      <c r="AA1259" s="5"/>
      <c r="AB1259" s="5"/>
      <c r="AC1259" s="5"/>
      <c r="AD1259" s="5">
        <f ca="1">IFERROR(__xludf.DUMMYFUNCTION("""COMPUTED_VALUE"""),62)</f>
        <v>62</v>
      </c>
      <c r="AE1259" s="5">
        <f ca="1">IFERROR(__xludf.DUMMYFUNCTION("""COMPUTED_VALUE"""),62)</f>
        <v>62</v>
      </c>
      <c r="AF1259" s="5" t="b">
        <f ca="1">IFERROR(__xludf.DUMMYFUNCTION("""COMPUTED_VALUE"""),FALSE)</f>
        <v>0</v>
      </c>
      <c r="AG1259" s="5" t="str">
        <f ca="1">IFERROR(__xludf.DUMMYFUNCTION("""COMPUTED_VALUE"""),"INSPECCIONES REALIZADAS")</f>
        <v>INSPECCIONES REALIZADAS</v>
      </c>
      <c r="AH1259" s="5"/>
    </row>
    <row r="1260" spans="1:34">
      <c r="A1260" s="5" t="str">
        <f ca="1">IFERROR(__xludf.DUMMYFUNCTION("""COMPUTED_VALUE"""),"LINEA DE PRODUCCION DE BOTELLONES DE 20")</f>
        <v>LINEA DE PRODUCCION DE BOTELLONES DE 20</v>
      </c>
      <c r="B1260" s="5">
        <f ca="1">IFERROR(__xludf.DUMMYFUNCTION("""COMPUTED_VALUE"""),71951101)</f>
        <v>71951101</v>
      </c>
      <c r="C1260" s="5" t="str">
        <f ca="1">IFERROR(__xludf.DUMMYFUNCTION("""COMPUTED_VALUE"""),"TRANSPORTADORES DE BOTELLONES")</f>
        <v>TRANSPORTADORES DE BOTELLONES</v>
      </c>
      <c r="D1260" s="5">
        <f ca="1">IFERROR(__xludf.DUMMYFUNCTION("""COMPUTED_VALUE"""),13247695)</f>
        <v>13247695</v>
      </c>
      <c r="E1260" s="5" t="str">
        <f ca="1">IFERROR(__xludf.DUMMYFUNCTION("""COMPUTED_VALUE"""),"INSPECCION SEMANAL TRANSP BOTELLONES")</f>
        <v>INSPECCION SEMANAL TRANSP BOTELLONES</v>
      </c>
      <c r="F1260" s="5" t="str">
        <f ca="1">IFERROR(__xludf.DUMMYFUNCTION("""COMPUTED_VALUE"""),"Ins. Estado de estructuras de fijación o anclaje")</f>
        <v>Ins. Estado de estructuras de fijación o anclaje</v>
      </c>
      <c r="G1260" s="5" t="b">
        <f ca="1">IFERROR(__xludf.DUMMYFUNCTION("""COMPUTED_VALUE"""),TRUE)</f>
        <v>1</v>
      </c>
      <c r="H1260" s="5"/>
      <c r="I1260" s="5"/>
      <c r="J1260" s="5">
        <f ca="1">IFERROR(__xludf.DUMMYFUNCTION("""COMPUTED_VALUE"""),13247695)</f>
        <v>13247695</v>
      </c>
      <c r="K1260" s="5"/>
      <c r="L1260" s="18">
        <f ca="1">IFERROR(__xludf.DUMMYFUNCTION("""COMPUTED_VALUE"""),45324)</f>
        <v>45324</v>
      </c>
      <c r="M1260" s="18">
        <f ca="1">IFERROR(__xludf.DUMMYFUNCTION("""COMPUTED_VALUE"""),45324)</f>
        <v>45324</v>
      </c>
      <c r="N1260" s="5" t="str">
        <f ca="1">IFERROR(__xludf.DUMMYFUNCTION("""COMPUTED_VALUE"""),"Víctor David Burbano Gómez")</f>
        <v>Víctor David Burbano Gómez</v>
      </c>
      <c r="O1260" s="2">
        <f ca="1">IFERROR(__xludf.DUMMYFUNCTION("""COMPUTED_VALUE"""),0.011111111)</f>
        <v>1.1111111E-2</v>
      </c>
      <c r="P1260" s="5">
        <f ca="1">IFERROR(__xludf.DUMMYFUNCTION("""COMPUTED_VALUE"""),20065447)</f>
        <v>20065447</v>
      </c>
      <c r="Q1260" s="5" t="str">
        <f ca="1">IFERROR(__xludf.DUMMYFUNCTION("""COMPUTED_VALUE"""),"TixS9Xz5kbk")</f>
        <v>TixS9Xz5kbk</v>
      </c>
      <c r="R1260" s="5">
        <f ca="1">IFERROR(__xludf.DUMMYFUNCTION("""COMPUTED_VALUE"""),410)</f>
        <v>410</v>
      </c>
      <c r="S1260" s="62">
        <f ca="1">IFERROR(__xludf.DUMMYFUNCTION("""COMPUTED_VALUE"""),0.011111111)</f>
        <v>1.1111111E-2</v>
      </c>
      <c r="T1260" s="63" t="str">
        <f ca="1">IFERROR(__xludf.DUMMYFUNCTION("""COMPUTED_VALUE"""),"https://storage.googleapis.com/glide-prod.appspot.com/uploads-v2/ly7o78grxPaC6KdgvbpS/pub/3aRdSog0vUtuqPE8AJKD.png")</f>
        <v>https://storage.googleapis.com/glide-prod.appspot.com/uploads-v2/ly7o78grxPaC6KdgvbpS/pub/3aRdSog0vUtuqPE8AJKD.png</v>
      </c>
      <c r="U1260" s="5" t="str">
        <f ca="1">IFERROR(__xludf.DUMMYFUNCTION("""COMPUTED_VALUE"""),"LINEA DE PRODUCCION DE BOTELLONES DE 20TRANSPORTADORES DE BOTELLONES")</f>
        <v>LINEA DE PRODUCCION DE BOTELLONES DE 20TRANSPORTADORES DE BOTELLONES</v>
      </c>
      <c r="V1260" s="5"/>
      <c r="W1260" s="5" t="b">
        <f ca="1">IFERROR(__xludf.DUMMYFUNCTION("""COMPUTED_VALUE"""),TRUE)</f>
        <v>1</v>
      </c>
      <c r="X1260" s="5" t="str">
        <f ca="1">IFERROR(__xludf.DUMMYFUNCTION("""COMPUTED_VALUE"""),"achavezi@postobon.com.co,aprmttoyu@postobon.com.co,aprmyu@postobon.com.co,wmora@postobon.com.co,efzapata@postobon.com.co")</f>
        <v>achavezi@postobon.com.co,aprmttoyu@postobon.com.co,aprmyu@postobon.com.co,wmora@postobon.com.co,efzapata@postobon.com.co</v>
      </c>
      <c r="Y1260" s="5" t="str">
        <f ca="1">IFERROR(__xludf.DUMMYFUNCTION("""COMPUTED_VALUE"""),"achavezi@postobon.com.co")</f>
        <v>achavezi@postobon.com.co</v>
      </c>
      <c r="Z1260" s="5" t="str">
        <f ca="1">IFERROR(__xludf.DUMMYFUNCTION("""COMPUTED_VALUE"""),"Gge6QgaDTh6X0L.SU9WFDg")</f>
        <v>Gge6QgaDTh6X0L.SU9WFDg</v>
      </c>
      <c r="AA1260" s="5"/>
      <c r="AB1260" s="5"/>
      <c r="AC1260" s="5"/>
      <c r="AD1260" s="5">
        <f ca="1">IFERROR(__xludf.DUMMYFUNCTION("""COMPUTED_VALUE"""),62)</f>
        <v>62</v>
      </c>
      <c r="AE1260" s="5">
        <f ca="1">IFERROR(__xludf.DUMMYFUNCTION("""COMPUTED_VALUE"""),62)</f>
        <v>62</v>
      </c>
      <c r="AF1260" s="5" t="b">
        <f ca="1">IFERROR(__xludf.DUMMYFUNCTION("""COMPUTED_VALUE"""),FALSE)</f>
        <v>0</v>
      </c>
      <c r="AG1260" s="5" t="str">
        <f ca="1">IFERROR(__xludf.DUMMYFUNCTION("""COMPUTED_VALUE"""),"INSPECCIONES REALIZADAS")</f>
        <v>INSPECCIONES REALIZADAS</v>
      </c>
      <c r="AH1260" s="5"/>
    </row>
    <row r="1261" spans="1:34">
      <c r="A1261" s="5" t="str">
        <f ca="1">IFERROR(__xludf.DUMMYFUNCTION("""COMPUTED_VALUE"""),"LINEA DE PRODUCCION DE BOTELLONES DE 20")</f>
        <v>LINEA DE PRODUCCION DE BOTELLONES DE 20</v>
      </c>
      <c r="B1261" s="5">
        <f ca="1">IFERROR(__xludf.DUMMYFUNCTION("""COMPUTED_VALUE"""),71951101)</f>
        <v>71951101</v>
      </c>
      <c r="C1261" s="5" t="str">
        <f ca="1">IFERROR(__xludf.DUMMYFUNCTION("""COMPUTED_VALUE"""),"TRANSPORTADORES DE BOTELLONES")</f>
        <v>TRANSPORTADORES DE BOTELLONES</v>
      </c>
      <c r="D1261" s="5">
        <f ca="1">IFERROR(__xludf.DUMMYFUNCTION("""COMPUTED_VALUE"""),13247695)</f>
        <v>13247695</v>
      </c>
      <c r="E1261" s="5" t="str">
        <f ca="1">IFERROR(__xludf.DUMMYFUNCTION("""COMPUTED_VALUE"""),"INSPECCION SEMANAL TRANSP BOTELLONES")</f>
        <v>INSPECCION SEMANAL TRANSP BOTELLONES</v>
      </c>
      <c r="F1261" s="5" t="str">
        <f ca="1">IFERROR(__xludf.DUMMYFUNCTION("""COMPUTED_VALUE"""),"Ins. Estado de tensores de cadena")</f>
        <v>Ins. Estado de tensores de cadena</v>
      </c>
      <c r="G1261" s="5" t="b">
        <f ca="1">IFERROR(__xludf.DUMMYFUNCTION("""COMPUTED_VALUE"""),TRUE)</f>
        <v>1</v>
      </c>
      <c r="H1261" s="5"/>
      <c r="I1261" s="5"/>
      <c r="J1261" s="5">
        <f ca="1">IFERROR(__xludf.DUMMYFUNCTION("""COMPUTED_VALUE"""),13247695)</f>
        <v>13247695</v>
      </c>
      <c r="K1261" s="5"/>
      <c r="L1261" s="18">
        <f ca="1">IFERROR(__xludf.DUMMYFUNCTION("""COMPUTED_VALUE"""),45324)</f>
        <v>45324</v>
      </c>
      <c r="M1261" s="18">
        <f ca="1">IFERROR(__xludf.DUMMYFUNCTION("""COMPUTED_VALUE"""),45324)</f>
        <v>45324</v>
      </c>
      <c r="N1261" s="5" t="str">
        <f ca="1">IFERROR(__xludf.DUMMYFUNCTION("""COMPUTED_VALUE"""),"Víctor David Burbano Gómez")</f>
        <v>Víctor David Burbano Gómez</v>
      </c>
      <c r="O1261" s="2">
        <f ca="1">IFERROR(__xludf.DUMMYFUNCTION("""COMPUTED_VALUE"""),0.011111111)</f>
        <v>1.1111111E-2</v>
      </c>
      <c r="P1261" s="5">
        <f ca="1">IFERROR(__xludf.DUMMYFUNCTION("""COMPUTED_VALUE"""),20065447)</f>
        <v>20065447</v>
      </c>
      <c r="Q1261" s="5" t="str">
        <f ca="1">IFERROR(__xludf.DUMMYFUNCTION("""COMPUTED_VALUE"""),"ild42IWG7bc")</f>
        <v>ild42IWG7bc</v>
      </c>
      <c r="R1261" s="5">
        <f ca="1">IFERROR(__xludf.DUMMYFUNCTION("""COMPUTED_VALUE"""),410)</f>
        <v>410</v>
      </c>
      <c r="S1261" s="62">
        <f ca="1">IFERROR(__xludf.DUMMYFUNCTION("""COMPUTED_VALUE"""),0.011111111)</f>
        <v>1.1111111E-2</v>
      </c>
      <c r="T1261" s="63" t="str">
        <f ca="1">IFERROR(__xludf.DUMMYFUNCTION("""COMPUTED_VALUE"""),"https://storage.googleapis.com/glide-prod.appspot.com/uploads-v2/ly7o78grxPaC6KdgvbpS/pub/3aRdSog0vUtuqPE8AJKD.png")</f>
        <v>https://storage.googleapis.com/glide-prod.appspot.com/uploads-v2/ly7o78grxPaC6KdgvbpS/pub/3aRdSog0vUtuqPE8AJKD.png</v>
      </c>
      <c r="U1261" s="5" t="str">
        <f ca="1">IFERROR(__xludf.DUMMYFUNCTION("""COMPUTED_VALUE"""),"LINEA DE PRODUCCION DE BOTELLONES DE 20TRANSPORTADORES DE BOTELLONES")</f>
        <v>LINEA DE PRODUCCION DE BOTELLONES DE 20TRANSPORTADORES DE BOTELLONES</v>
      </c>
      <c r="V1261" s="5"/>
      <c r="W1261" s="5" t="b">
        <f ca="1">IFERROR(__xludf.DUMMYFUNCTION("""COMPUTED_VALUE"""),TRUE)</f>
        <v>1</v>
      </c>
      <c r="X1261" s="5" t="str">
        <f ca="1">IFERROR(__xludf.DUMMYFUNCTION("""COMPUTED_VALUE"""),"achavezi@postobon.com.co,aprmttoyu@postobon.com.co,aprmyu@postobon.com.co,wmora@postobon.com.co,efzapata@postobon.com.co")</f>
        <v>achavezi@postobon.com.co,aprmttoyu@postobon.com.co,aprmyu@postobon.com.co,wmora@postobon.com.co,efzapata@postobon.com.co</v>
      </c>
      <c r="Y1261" s="5" t="str">
        <f ca="1">IFERROR(__xludf.DUMMYFUNCTION("""COMPUTED_VALUE"""),"achavezi@postobon.com.co")</f>
        <v>achavezi@postobon.com.co</v>
      </c>
      <c r="Z1261" s="5" t="str">
        <f ca="1">IFERROR(__xludf.DUMMYFUNCTION("""COMPUTED_VALUE"""),"0-OPROzSTEy-avYe3mr0Fw")</f>
        <v>0-OPROzSTEy-avYe3mr0Fw</v>
      </c>
      <c r="AA1261" s="5"/>
      <c r="AB1261" s="5"/>
      <c r="AC1261" s="5"/>
      <c r="AD1261" s="5">
        <f ca="1">IFERROR(__xludf.DUMMYFUNCTION("""COMPUTED_VALUE"""),62)</f>
        <v>62</v>
      </c>
      <c r="AE1261" s="5">
        <f ca="1">IFERROR(__xludf.DUMMYFUNCTION("""COMPUTED_VALUE"""),62)</f>
        <v>62</v>
      </c>
      <c r="AF1261" s="5" t="b">
        <f ca="1">IFERROR(__xludf.DUMMYFUNCTION("""COMPUTED_VALUE"""),FALSE)</f>
        <v>0</v>
      </c>
      <c r="AG1261" s="5" t="str">
        <f ca="1">IFERROR(__xludf.DUMMYFUNCTION("""COMPUTED_VALUE"""),"INSPECCIONES REALIZADAS")</f>
        <v>INSPECCIONES REALIZADAS</v>
      </c>
      <c r="AH1261" s="5"/>
    </row>
    <row r="1262" spans="1:34">
      <c r="A1262" s="5" t="str">
        <f ca="1">IFERROR(__xludf.DUMMYFUNCTION("""COMPUTED_VALUE"""),"LINEA DE PRODUCCION DE BOTELLONES DE 20")</f>
        <v>LINEA DE PRODUCCION DE BOTELLONES DE 20</v>
      </c>
      <c r="B1262" s="5">
        <f ca="1">IFERROR(__xludf.DUMMYFUNCTION("""COMPUTED_VALUE"""),71951101)</f>
        <v>71951101</v>
      </c>
      <c r="C1262" s="5" t="str">
        <f ca="1">IFERROR(__xludf.DUMMYFUNCTION("""COMPUTED_VALUE"""),"TRANSPORTADORES DE BOTELLONES")</f>
        <v>TRANSPORTADORES DE BOTELLONES</v>
      </c>
      <c r="D1262" s="5">
        <f ca="1">IFERROR(__xludf.DUMMYFUNCTION("""COMPUTED_VALUE"""),13247695)</f>
        <v>13247695</v>
      </c>
      <c r="E1262" s="5" t="str">
        <f ca="1">IFERROR(__xludf.DUMMYFUNCTION("""COMPUTED_VALUE"""),"INSPECCION SEMANAL TRANSP BOTELLONES")</f>
        <v>INSPECCION SEMANAL TRANSP BOTELLONES</v>
      </c>
      <c r="F1262" s="5" t="str">
        <f ca="1">IFERROR(__xludf.DUMMYFUNCTION("""COMPUTED_VALUE"""),"Ins. Estado de piñones y carretas")</f>
        <v>Ins. Estado de piñones y carretas</v>
      </c>
      <c r="G1262" s="5" t="b">
        <f ca="1">IFERROR(__xludf.DUMMYFUNCTION("""COMPUTED_VALUE"""),TRUE)</f>
        <v>1</v>
      </c>
      <c r="H1262" s="5"/>
      <c r="I1262" s="5"/>
      <c r="J1262" s="5">
        <f ca="1">IFERROR(__xludf.DUMMYFUNCTION("""COMPUTED_VALUE"""),13247695)</f>
        <v>13247695</v>
      </c>
      <c r="K1262" s="5"/>
      <c r="L1262" s="18">
        <f ca="1">IFERROR(__xludf.DUMMYFUNCTION("""COMPUTED_VALUE"""),45324)</f>
        <v>45324</v>
      </c>
      <c r="M1262" s="18">
        <f ca="1">IFERROR(__xludf.DUMMYFUNCTION("""COMPUTED_VALUE"""),45324)</f>
        <v>45324</v>
      </c>
      <c r="N1262" s="5" t="str">
        <f ca="1">IFERROR(__xludf.DUMMYFUNCTION("""COMPUTED_VALUE"""),"Víctor David Burbano Gómez")</f>
        <v>Víctor David Burbano Gómez</v>
      </c>
      <c r="O1262" s="2">
        <f ca="1">IFERROR(__xludf.DUMMYFUNCTION("""COMPUTED_VALUE"""),0.011111111)</f>
        <v>1.1111111E-2</v>
      </c>
      <c r="P1262" s="5">
        <f ca="1">IFERROR(__xludf.DUMMYFUNCTION("""COMPUTED_VALUE"""),20065447)</f>
        <v>20065447</v>
      </c>
      <c r="Q1262" s="5" t="str">
        <f ca="1">IFERROR(__xludf.DUMMYFUNCTION("""COMPUTED_VALUE"""),"DuzBzCx0jbs")</f>
        <v>DuzBzCx0jbs</v>
      </c>
      <c r="R1262" s="5">
        <f ca="1">IFERROR(__xludf.DUMMYFUNCTION("""COMPUTED_VALUE"""),410)</f>
        <v>410</v>
      </c>
      <c r="S1262" s="62">
        <f ca="1">IFERROR(__xludf.DUMMYFUNCTION("""COMPUTED_VALUE"""),0.011111111)</f>
        <v>1.1111111E-2</v>
      </c>
      <c r="T1262" s="63" t="str">
        <f ca="1">IFERROR(__xludf.DUMMYFUNCTION("""COMPUTED_VALUE"""),"https://storage.googleapis.com/glide-prod.appspot.com/uploads-v2/ly7o78grxPaC6KdgvbpS/pub/3aRdSog0vUtuqPE8AJKD.png")</f>
        <v>https://storage.googleapis.com/glide-prod.appspot.com/uploads-v2/ly7o78grxPaC6KdgvbpS/pub/3aRdSog0vUtuqPE8AJKD.png</v>
      </c>
      <c r="U1262" s="5" t="str">
        <f ca="1">IFERROR(__xludf.DUMMYFUNCTION("""COMPUTED_VALUE"""),"LINEA DE PRODUCCION DE BOTELLONES DE 20TRANSPORTADORES DE BOTELLONES")</f>
        <v>LINEA DE PRODUCCION DE BOTELLONES DE 20TRANSPORTADORES DE BOTELLONES</v>
      </c>
      <c r="V1262" s="5"/>
      <c r="W1262" s="5" t="b">
        <f ca="1">IFERROR(__xludf.DUMMYFUNCTION("""COMPUTED_VALUE"""),TRUE)</f>
        <v>1</v>
      </c>
      <c r="X1262" s="5" t="str">
        <f ca="1">IFERROR(__xludf.DUMMYFUNCTION("""COMPUTED_VALUE"""),"achavezi@postobon.com.co,aprmttoyu@postobon.com.co,aprmyu@postobon.com.co,wmora@postobon.com.co,efzapata@postobon.com.co")</f>
        <v>achavezi@postobon.com.co,aprmttoyu@postobon.com.co,aprmyu@postobon.com.co,wmora@postobon.com.co,efzapata@postobon.com.co</v>
      </c>
      <c r="Y1262" s="5" t="str">
        <f ca="1">IFERROR(__xludf.DUMMYFUNCTION("""COMPUTED_VALUE"""),"achavezi@postobon.com.co")</f>
        <v>achavezi@postobon.com.co</v>
      </c>
      <c r="Z1262" s="5" t="str">
        <f ca="1">IFERROR(__xludf.DUMMYFUNCTION("""COMPUTED_VALUE"""),"xYmFPPoCQsuvcP7QF8FJJw")</f>
        <v>xYmFPPoCQsuvcP7QF8FJJw</v>
      </c>
      <c r="AA1262" s="5"/>
      <c r="AB1262" s="5"/>
      <c r="AC1262" s="5"/>
      <c r="AD1262" s="5">
        <f ca="1">IFERROR(__xludf.DUMMYFUNCTION("""COMPUTED_VALUE"""),62)</f>
        <v>62</v>
      </c>
      <c r="AE1262" s="5">
        <f ca="1">IFERROR(__xludf.DUMMYFUNCTION("""COMPUTED_VALUE"""),62)</f>
        <v>62</v>
      </c>
      <c r="AF1262" s="5" t="b">
        <f ca="1">IFERROR(__xludf.DUMMYFUNCTION("""COMPUTED_VALUE"""),FALSE)</f>
        <v>0</v>
      </c>
      <c r="AG1262" s="5" t="str">
        <f ca="1">IFERROR(__xludf.DUMMYFUNCTION("""COMPUTED_VALUE"""),"INSPECCIONES REALIZADAS")</f>
        <v>INSPECCIONES REALIZADAS</v>
      </c>
      <c r="AH1262" s="5"/>
    </row>
    <row r="1263" spans="1:34">
      <c r="A1263" s="5" t="str">
        <f ca="1">IFERROR(__xludf.DUMMYFUNCTION("""COMPUTED_VALUE"""),"LINEA DE PRODUCCION DE BOTELLONES DE 20")</f>
        <v>LINEA DE PRODUCCION DE BOTELLONES DE 20</v>
      </c>
      <c r="B1263" s="5">
        <f ca="1">IFERROR(__xludf.DUMMYFUNCTION("""COMPUTED_VALUE"""),71951101)</f>
        <v>71951101</v>
      </c>
      <c r="C1263" s="5" t="str">
        <f ca="1">IFERROR(__xludf.DUMMYFUNCTION("""COMPUTED_VALUE"""),"TRANSPORTADORES DE BOTELLONES")</f>
        <v>TRANSPORTADORES DE BOTELLONES</v>
      </c>
      <c r="D1263" s="5">
        <f ca="1">IFERROR(__xludf.DUMMYFUNCTION("""COMPUTED_VALUE"""),13247695)</f>
        <v>13247695</v>
      </c>
      <c r="E1263" s="5" t="str">
        <f ca="1">IFERROR(__xludf.DUMMYFUNCTION("""COMPUTED_VALUE"""),"INSPECCION SEMANAL TRANSP BOTELLONES")</f>
        <v>INSPECCION SEMANAL TRANSP BOTELLONES</v>
      </c>
      <c r="F1263" s="5" t="str">
        <f ca="1">IFERROR(__xludf.DUMMYFUNCTION("""COMPUTED_VALUE"""),"Ins. Funcionamiento de motores")</f>
        <v>Ins. Funcionamiento de motores</v>
      </c>
      <c r="G1263" s="5" t="b">
        <f ca="1">IFERROR(__xludf.DUMMYFUNCTION("""COMPUTED_VALUE"""),TRUE)</f>
        <v>1</v>
      </c>
      <c r="H1263" s="5"/>
      <c r="I1263" s="5"/>
      <c r="J1263" s="5">
        <f ca="1">IFERROR(__xludf.DUMMYFUNCTION("""COMPUTED_VALUE"""),13247695)</f>
        <v>13247695</v>
      </c>
      <c r="K1263" s="5"/>
      <c r="L1263" s="18">
        <f ca="1">IFERROR(__xludf.DUMMYFUNCTION("""COMPUTED_VALUE"""),45324)</f>
        <v>45324</v>
      </c>
      <c r="M1263" s="18">
        <f ca="1">IFERROR(__xludf.DUMMYFUNCTION("""COMPUTED_VALUE"""),45324)</f>
        <v>45324</v>
      </c>
      <c r="N1263" s="5" t="str">
        <f ca="1">IFERROR(__xludf.DUMMYFUNCTION("""COMPUTED_VALUE"""),"Víctor David Burbano Gómez")</f>
        <v>Víctor David Burbano Gómez</v>
      </c>
      <c r="O1263" s="2">
        <f ca="1">IFERROR(__xludf.DUMMYFUNCTION("""COMPUTED_VALUE"""),0.011111111)</f>
        <v>1.1111111E-2</v>
      </c>
      <c r="P1263" s="5">
        <f ca="1">IFERROR(__xludf.DUMMYFUNCTION("""COMPUTED_VALUE"""),20065447)</f>
        <v>20065447</v>
      </c>
      <c r="Q1263" s="5" t="str">
        <f ca="1">IFERROR(__xludf.DUMMYFUNCTION("""COMPUTED_VALUE"""),"x3zqToTaK1o")</f>
        <v>x3zqToTaK1o</v>
      </c>
      <c r="R1263" s="5">
        <f ca="1">IFERROR(__xludf.DUMMYFUNCTION("""COMPUTED_VALUE"""),410)</f>
        <v>410</v>
      </c>
      <c r="S1263" s="62">
        <f ca="1">IFERROR(__xludf.DUMMYFUNCTION("""COMPUTED_VALUE"""),0.011111111)</f>
        <v>1.1111111E-2</v>
      </c>
      <c r="T1263" s="63" t="str">
        <f ca="1">IFERROR(__xludf.DUMMYFUNCTION("""COMPUTED_VALUE"""),"https://storage.googleapis.com/glide-prod.appspot.com/uploads-v2/ly7o78grxPaC6KdgvbpS/pub/3aRdSog0vUtuqPE8AJKD.png")</f>
        <v>https://storage.googleapis.com/glide-prod.appspot.com/uploads-v2/ly7o78grxPaC6KdgvbpS/pub/3aRdSog0vUtuqPE8AJKD.png</v>
      </c>
      <c r="U1263" s="5" t="str">
        <f ca="1">IFERROR(__xludf.DUMMYFUNCTION("""COMPUTED_VALUE"""),"LINEA DE PRODUCCION DE BOTELLONES DE 20TRANSPORTADORES DE BOTELLONES")</f>
        <v>LINEA DE PRODUCCION DE BOTELLONES DE 20TRANSPORTADORES DE BOTELLONES</v>
      </c>
      <c r="V1263" s="5"/>
      <c r="W1263" s="5" t="b">
        <f ca="1">IFERROR(__xludf.DUMMYFUNCTION("""COMPUTED_VALUE"""),TRUE)</f>
        <v>1</v>
      </c>
      <c r="X1263" s="5" t="str">
        <f ca="1">IFERROR(__xludf.DUMMYFUNCTION("""COMPUTED_VALUE"""),"achavezi@postobon.com.co,aprmttoyu@postobon.com.co,aprmyu@postobon.com.co,wmora@postobon.com.co,efzapata@postobon.com.co")</f>
        <v>achavezi@postobon.com.co,aprmttoyu@postobon.com.co,aprmyu@postobon.com.co,wmora@postobon.com.co,efzapata@postobon.com.co</v>
      </c>
      <c r="Y1263" s="5" t="str">
        <f ca="1">IFERROR(__xludf.DUMMYFUNCTION("""COMPUTED_VALUE"""),"achavezi@postobon.com.co")</f>
        <v>achavezi@postobon.com.co</v>
      </c>
      <c r="Z1263" s="5" t="str">
        <f ca="1">IFERROR(__xludf.DUMMYFUNCTION("""COMPUTED_VALUE"""),"pm1hHqZ0SNW7HPGigxQfuA")</f>
        <v>pm1hHqZ0SNW7HPGigxQfuA</v>
      </c>
      <c r="AA1263" s="5"/>
      <c r="AB1263" s="5"/>
      <c r="AC1263" s="5"/>
      <c r="AD1263" s="5">
        <f ca="1">IFERROR(__xludf.DUMMYFUNCTION("""COMPUTED_VALUE"""),62)</f>
        <v>62</v>
      </c>
      <c r="AE1263" s="5">
        <f ca="1">IFERROR(__xludf.DUMMYFUNCTION("""COMPUTED_VALUE"""),62)</f>
        <v>62</v>
      </c>
      <c r="AF1263" s="5" t="b">
        <f ca="1">IFERROR(__xludf.DUMMYFUNCTION("""COMPUTED_VALUE"""),FALSE)</f>
        <v>0</v>
      </c>
      <c r="AG1263" s="5" t="str">
        <f ca="1">IFERROR(__xludf.DUMMYFUNCTION("""COMPUTED_VALUE"""),"INSPECCIONES REALIZADAS")</f>
        <v>INSPECCIONES REALIZADAS</v>
      </c>
      <c r="AH1263" s="5"/>
    </row>
    <row r="1264" spans="1:34">
      <c r="A1264" s="5" t="str">
        <f ca="1">IFERROR(__xludf.DUMMYFUNCTION("""COMPUTED_VALUE"""),"LINEA DE PRODUCCION DE BOTELLONES DE 20")</f>
        <v>LINEA DE PRODUCCION DE BOTELLONES DE 20</v>
      </c>
      <c r="B1264" s="5">
        <f ca="1">IFERROR(__xludf.DUMMYFUNCTION("""COMPUTED_VALUE"""),71951101)</f>
        <v>71951101</v>
      </c>
      <c r="C1264" s="5" t="str">
        <f ca="1">IFERROR(__xludf.DUMMYFUNCTION("""COMPUTED_VALUE"""),"TRANSPORTADORES DE BOTELLONES")</f>
        <v>TRANSPORTADORES DE BOTELLONES</v>
      </c>
      <c r="D1264" s="5">
        <f ca="1">IFERROR(__xludf.DUMMYFUNCTION("""COMPUTED_VALUE"""),13247695)</f>
        <v>13247695</v>
      </c>
      <c r="E1264" s="5" t="str">
        <f ca="1">IFERROR(__xludf.DUMMYFUNCTION("""COMPUTED_VALUE"""),"INSPECCION SEMANAL TRANSP BOTELLONES")</f>
        <v>INSPECCION SEMANAL TRANSP BOTELLONES</v>
      </c>
      <c r="F1264" s="5" t="str">
        <f ca="1">IFERROR(__xludf.DUMMYFUNCTION("""COMPUTED_VALUE"""),"Ins. Funcionamiento tablero eléctrico")</f>
        <v>Ins. Funcionamiento tablero eléctrico</v>
      </c>
      <c r="G1264" s="5" t="b">
        <f ca="1">IFERROR(__xludf.DUMMYFUNCTION("""COMPUTED_VALUE"""),TRUE)</f>
        <v>1</v>
      </c>
      <c r="H1264" s="5"/>
      <c r="I1264" s="5"/>
      <c r="J1264" s="5">
        <f ca="1">IFERROR(__xludf.DUMMYFUNCTION("""COMPUTED_VALUE"""),13247695)</f>
        <v>13247695</v>
      </c>
      <c r="K1264" s="5"/>
      <c r="L1264" s="18">
        <f ca="1">IFERROR(__xludf.DUMMYFUNCTION("""COMPUTED_VALUE"""),45324)</f>
        <v>45324</v>
      </c>
      <c r="M1264" s="18">
        <f ca="1">IFERROR(__xludf.DUMMYFUNCTION("""COMPUTED_VALUE"""),45324)</f>
        <v>45324</v>
      </c>
      <c r="N1264" s="5" t="str">
        <f ca="1">IFERROR(__xludf.DUMMYFUNCTION("""COMPUTED_VALUE"""),"Víctor David Burbano Gómez")</f>
        <v>Víctor David Burbano Gómez</v>
      </c>
      <c r="O1264" s="2">
        <f ca="1">IFERROR(__xludf.DUMMYFUNCTION("""COMPUTED_VALUE"""),0.011111111)</f>
        <v>1.1111111E-2</v>
      </c>
      <c r="P1264" s="5">
        <f ca="1">IFERROR(__xludf.DUMMYFUNCTION("""COMPUTED_VALUE"""),20065447)</f>
        <v>20065447</v>
      </c>
      <c r="Q1264" s="5" t="str">
        <f ca="1">IFERROR(__xludf.DUMMYFUNCTION("""COMPUTED_VALUE"""),"_sA7iG53vlY")</f>
        <v>_sA7iG53vlY</v>
      </c>
      <c r="R1264" s="5">
        <f ca="1">IFERROR(__xludf.DUMMYFUNCTION("""COMPUTED_VALUE"""),410)</f>
        <v>410</v>
      </c>
      <c r="S1264" s="62">
        <f ca="1">IFERROR(__xludf.DUMMYFUNCTION("""COMPUTED_VALUE"""),0.011111111)</f>
        <v>1.1111111E-2</v>
      </c>
      <c r="T1264" s="63" t="str">
        <f ca="1">IFERROR(__xludf.DUMMYFUNCTION("""COMPUTED_VALUE"""),"https://storage.googleapis.com/glide-prod.appspot.com/uploads-v2/ly7o78grxPaC6KdgvbpS/pub/3aRdSog0vUtuqPE8AJKD.png")</f>
        <v>https://storage.googleapis.com/glide-prod.appspot.com/uploads-v2/ly7o78grxPaC6KdgvbpS/pub/3aRdSog0vUtuqPE8AJKD.png</v>
      </c>
      <c r="U1264" s="5" t="str">
        <f ca="1">IFERROR(__xludf.DUMMYFUNCTION("""COMPUTED_VALUE"""),"LINEA DE PRODUCCION DE BOTELLONES DE 20TRANSPORTADORES DE BOTELLONES")</f>
        <v>LINEA DE PRODUCCION DE BOTELLONES DE 20TRANSPORTADORES DE BOTELLONES</v>
      </c>
      <c r="V1264" s="5"/>
      <c r="W1264" s="5" t="b">
        <f ca="1">IFERROR(__xludf.DUMMYFUNCTION("""COMPUTED_VALUE"""),TRUE)</f>
        <v>1</v>
      </c>
      <c r="X1264" s="5" t="str">
        <f ca="1">IFERROR(__xludf.DUMMYFUNCTION("""COMPUTED_VALUE"""),"achavezi@postobon.com.co,aprmttoyu@postobon.com.co,aprmyu@postobon.com.co,wmora@postobon.com.co,efzapata@postobon.com.co")</f>
        <v>achavezi@postobon.com.co,aprmttoyu@postobon.com.co,aprmyu@postobon.com.co,wmora@postobon.com.co,efzapata@postobon.com.co</v>
      </c>
      <c r="Y1264" s="5" t="str">
        <f ca="1">IFERROR(__xludf.DUMMYFUNCTION("""COMPUTED_VALUE"""),"achavezi@postobon.com.co")</f>
        <v>achavezi@postobon.com.co</v>
      </c>
      <c r="Z1264" s="5" t="str">
        <f ca="1">IFERROR(__xludf.DUMMYFUNCTION("""COMPUTED_VALUE"""),"Wq8W-78ISwSE4.hC2-TlOg")</f>
        <v>Wq8W-78ISwSE4.hC2-TlOg</v>
      </c>
      <c r="AA1264" s="5"/>
      <c r="AB1264" s="5"/>
      <c r="AC1264" s="5"/>
      <c r="AD1264" s="5">
        <f ca="1">IFERROR(__xludf.DUMMYFUNCTION("""COMPUTED_VALUE"""),62)</f>
        <v>62</v>
      </c>
      <c r="AE1264" s="5">
        <f ca="1">IFERROR(__xludf.DUMMYFUNCTION("""COMPUTED_VALUE"""),62)</f>
        <v>62</v>
      </c>
      <c r="AF1264" s="5" t="b">
        <f ca="1">IFERROR(__xludf.DUMMYFUNCTION("""COMPUTED_VALUE"""),FALSE)</f>
        <v>0</v>
      </c>
      <c r="AG1264" s="5" t="str">
        <f ca="1">IFERROR(__xludf.DUMMYFUNCTION("""COMPUTED_VALUE"""),"INSPECCIONES REALIZADAS")</f>
        <v>INSPECCIONES REALIZADAS</v>
      </c>
      <c r="AH1264" s="5"/>
    </row>
    <row r="1265" spans="1:34">
      <c r="A1265" s="5" t="str">
        <f ca="1">IFERROR(__xludf.DUMMYFUNCTION("""COMPUTED_VALUE"""),"LINEA DE PRODUCCION DE BOTELLONES DE 20")</f>
        <v>LINEA DE PRODUCCION DE BOTELLONES DE 20</v>
      </c>
      <c r="B1265" s="5">
        <f ca="1">IFERROR(__xludf.DUMMYFUNCTION("""COMPUTED_VALUE"""),71951101)</f>
        <v>71951101</v>
      </c>
      <c r="C1265" s="5" t="str">
        <f ca="1">IFERROR(__xludf.DUMMYFUNCTION("""COMPUTED_VALUE"""),"TRANSPORTADORES DE BOTELLONES")</f>
        <v>TRANSPORTADORES DE BOTELLONES</v>
      </c>
      <c r="D1265" s="5">
        <f ca="1">IFERROR(__xludf.DUMMYFUNCTION("""COMPUTED_VALUE"""),13247695)</f>
        <v>13247695</v>
      </c>
      <c r="E1265" s="5" t="str">
        <f ca="1">IFERROR(__xludf.DUMMYFUNCTION("""COMPUTED_VALUE"""),"INSPECCION SEMANAL TRANSP BOTELLONES")</f>
        <v>INSPECCION SEMANAL TRANSP BOTELLONES</v>
      </c>
      <c r="F1265" s="5" t="str">
        <f ca="1">IFERROR(__xludf.DUMMYFUNCTION("""COMPUTED_VALUE"""),"Ins. Funcionamiento de sensores")</f>
        <v>Ins. Funcionamiento de sensores</v>
      </c>
      <c r="G1265" s="5" t="b">
        <f ca="1">IFERROR(__xludf.DUMMYFUNCTION("""COMPUTED_VALUE"""),TRUE)</f>
        <v>1</v>
      </c>
      <c r="H1265" s="5"/>
      <c r="I1265" s="5"/>
      <c r="J1265" s="5">
        <f ca="1">IFERROR(__xludf.DUMMYFUNCTION("""COMPUTED_VALUE"""),13247695)</f>
        <v>13247695</v>
      </c>
      <c r="K1265" s="5"/>
      <c r="L1265" s="18">
        <f ca="1">IFERROR(__xludf.DUMMYFUNCTION("""COMPUTED_VALUE"""),45324)</f>
        <v>45324</v>
      </c>
      <c r="M1265" s="18">
        <f ca="1">IFERROR(__xludf.DUMMYFUNCTION("""COMPUTED_VALUE"""),45324)</f>
        <v>45324</v>
      </c>
      <c r="N1265" s="5" t="str">
        <f ca="1">IFERROR(__xludf.DUMMYFUNCTION("""COMPUTED_VALUE"""),"Víctor David Burbano Gómez")</f>
        <v>Víctor David Burbano Gómez</v>
      </c>
      <c r="O1265" s="2">
        <f ca="1">IFERROR(__xludf.DUMMYFUNCTION("""COMPUTED_VALUE"""),0.011111111)</f>
        <v>1.1111111E-2</v>
      </c>
      <c r="P1265" s="5">
        <f ca="1">IFERROR(__xludf.DUMMYFUNCTION("""COMPUTED_VALUE"""),20065447)</f>
        <v>20065447</v>
      </c>
      <c r="Q1265" s="5" t="str">
        <f ca="1">IFERROR(__xludf.DUMMYFUNCTION("""COMPUTED_VALUE"""),"IkOJaB6apKQ")</f>
        <v>IkOJaB6apKQ</v>
      </c>
      <c r="R1265" s="5">
        <f ca="1">IFERROR(__xludf.DUMMYFUNCTION("""COMPUTED_VALUE"""),410)</f>
        <v>410</v>
      </c>
      <c r="S1265" s="62">
        <f ca="1">IFERROR(__xludf.DUMMYFUNCTION("""COMPUTED_VALUE"""),0.011111111)</f>
        <v>1.1111111E-2</v>
      </c>
      <c r="T1265" s="63" t="str">
        <f ca="1">IFERROR(__xludf.DUMMYFUNCTION("""COMPUTED_VALUE"""),"https://storage.googleapis.com/glide-prod.appspot.com/uploads-v2/ly7o78grxPaC6KdgvbpS/pub/3aRdSog0vUtuqPE8AJKD.png")</f>
        <v>https://storage.googleapis.com/glide-prod.appspot.com/uploads-v2/ly7o78grxPaC6KdgvbpS/pub/3aRdSog0vUtuqPE8AJKD.png</v>
      </c>
      <c r="U1265" s="5" t="str">
        <f ca="1">IFERROR(__xludf.DUMMYFUNCTION("""COMPUTED_VALUE"""),"LINEA DE PRODUCCION DE BOTELLONES DE 20TRANSPORTADORES DE BOTELLONES")</f>
        <v>LINEA DE PRODUCCION DE BOTELLONES DE 20TRANSPORTADORES DE BOTELLONES</v>
      </c>
      <c r="V1265" s="5"/>
      <c r="W1265" s="5" t="b">
        <f ca="1">IFERROR(__xludf.DUMMYFUNCTION("""COMPUTED_VALUE"""),TRUE)</f>
        <v>1</v>
      </c>
      <c r="X1265" s="5" t="str">
        <f ca="1">IFERROR(__xludf.DUMMYFUNCTION("""COMPUTED_VALUE"""),"achavezi@postobon.com.co,aprmttoyu@postobon.com.co,aprmyu@postobon.com.co,wmora@postobon.com.co,efzapata@postobon.com.co")</f>
        <v>achavezi@postobon.com.co,aprmttoyu@postobon.com.co,aprmyu@postobon.com.co,wmora@postobon.com.co,efzapata@postobon.com.co</v>
      </c>
      <c r="Y1265" s="5" t="str">
        <f ca="1">IFERROR(__xludf.DUMMYFUNCTION("""COMPUTED_VALUE"""),"achavezi@postobon.com.co")</f>
        <v>achavezi@postobon.com.co</v>
      </c>
      <c r="Z1265" s="5" t="str">
        <f ca="1">IFERROR(__xludf.DUMMYFUNCTION("""COMPUTED_VALUE"""),"8G-nrYKtS4SczU.BYfwK0g")</f>
        <v>8G-nrYKtS4SczU.BYfwK0g</v>
      </c>
      <c r="AA1265" s="5"/>
      <c r="AB1265" s="5"/>
      <c r="AC1265" s="5"/>
      <c r="AD1265" s="5">
        <f ca="1">IFERROR(__xludf.DUMMYFUNCTION("""COMPUTED_VALUE"""),62)</f>
        <v>62</v>
      </c>
      <c r="AE1265" s="5">
        <f ca="1">IFERROR(__xludf.DUMMYFUNCTION("""COMPUTED_VALUE"""),62)</f>
        <v>62</v>
      </c>
      <c r="AF1265" s="5" t="b">
        <f ca="1">IFERROR(__xludf.DUMMYFUNCTION("""COMPUTED_VALUE"""),FALSE)</f>
        <v>0</v>
      </c>
      <c r="AG1265" s="5" t="str">
        <f ca="1">IFERROR(__xludf.DUMMYFUNCTION("""COMPUTED_VALUE"""),"INSPECCIONES REALIZADAS")</f>
        <v>INSPECCIONES REALIZADAS</v>
      </c>
      <c r="AH1265" s="5"/>
    </row>
    <row r="1266" spans="1:34">
      <c r="A1266" s="5" t="str">
        <f ca="1">IFERROR(__xludf.DUMMYFUNCTION("""COMPUTED_VALUE"""),"LINEA PARA EL LLENADO DE BOLSAS")</f>
        <v>LINEA PARA EL LLENADO DE BOLSAS</v>
      </c>
      <c r="B1266" s="5">
        <f ca="1">IFERROR(__xludf.DUMMYFUNCTION("""COMPUTED_VALUE"""),829853)</f>
        <v>829853</v>
      </c>
      <c r="C1266" s="5" t="str">
        <f ca="1">IFERROR(__xludf.DUMMYFUNCTION("""COMPUTED_VALUE"""),"TRANSPORTADOR DE CAJAS")</f>
        <v>TRANSPORTADOR DE CAJAS</v>
      </c>
      <c r="D1266" s="5">
        <f ca="1">IFERROR(__xludf.DUMMYFUNCTION("""COMPUTED_VALUE"""),13247719)</f>
        <v>13247719</v>
      </c>
      <c r="E1266" s="5" t="str">
        <f ca="1">IFERROR(__xludf.DUMMYFUNCTION("""COMPUTED_VALUE"""),"INSPECCION SEMANAL TRANSP CAJAS")</f>
        <v>INSPECCION SEMANAL TRANSP CAJAS</v>
      </c>
      <c r="F1266" s="5" t="str">
        <f ca="1">IFERROR(__xludf.DUMMYFUNCTION("""COMPUTED_VALUE"""),"INS. ESTADO PERFILES, EMPACK")</f>
        <v>INS. ESTADO PERFILES, EMPACK</v>
      </c>
      <c r="G1266" s="5" t="b">
        <f ca="1">IFERROR(__xludf.DUMMYFUNCTION("""COMPUTED_VALUE"""),TRUE)</f>
        <v>1</v>
      </c>
      <c r="H1266" s="5"/>
      <c r="I1266" s="5"/>
      <c r="J1266" s="5">
        <f ca="1">IFERROR(__xludf.DUMMYFUNCTION("""COMPUTED_VALUE"""),13247719)</f>
        <v>13247719</v>
      </c>
      <c r="K1266" s="5"/>
      <c r="L1266" s="18">
        <f ca="1">IFERROR(__xludf.DUMMYFUNCTION("""COMPUTED_VALUE"""),45324)</f>
        <v>45324</v>
      </c>
      <c r="M1266" s="18">
        <f ca="1">IFERROR(__xludf.DUMMYFUNCTION("""COMPUTED_VALUE"""),45324)</f>
        <v>45324</v>
      </c>
      <c r="N1266" s="5" t="str">
        <f ca="1">IFERROR(__xludf.DUMMYFUNCTION("""COMPUTED_VALUE"""),"ESTEBAN POTOSI ISAZA")</f>
        <v>ESTEBAN POTOSI ISAZA</v>
      </c>
      <c r="O1266" s="2">
        <f ca="1">IFERROR(__xludf.DUMMYFUNCTION("""COMPUTED_VALUE"""),0.016666667)</f>
        <v>1.6666667E-2</v>
      </c>
      <c r="P1266" s="5">
        <f ca="1">IFERROR(__xludf.DUMMYFUNCTION("""COMPUTED_VALUE"""),20076884)</f>
        <v>20076884</v>
      </c>
      <c r="Q1266" s="5" t="str">
        <f ca="1">IFERROR(__xludf.DUMMYFUNCTION("""COMPUTED_VALUE"""),"68h3C9_KI3k")</f>
        <v>68h3C9_KI3k</v>
      </c>
      <c r="R1266" s="5">
        <f ca="1">IFERROR(__xludf.DUMMYFUNCTION("""COMPUTED_VALUE"""),410)</f>
        <v>410</v>
      </c>
      <c r="S1266" s="62">
        <f ca="1">IFERROR(__xludf.DUMMYFUNCTION("""COMPUTED_VALUE"""),0.016666667)</f>
        <v>1.6666667E-2</v>
      </c>
      <c r="T1266" s="63" t="str">
        <f ca="1">IFERROR(__xludf.DUMMYFUNCTION("""COMPUTED_VALUE"""),"https://storage.googleapis.com/glide-prod.appspot.com/uploads-v2/ly7o78grxPaC6KdgvbpS/pub/3aRdSog0vUtuqPE8AJKD.png")</f>
        <v>https://storage.googleapis.com/glide-prod.appspot.com/uploads-v2/ly7o78grxPaC6KdgvbpS/pub/3aRdSog0vUtuqPE8AJKD.png</v>
      </c>
      <c r="U1266" s="5" t="str">
        <f ca="1">IFERROR(__xludf.DUMMYFUNCTION("""COMPUTED_VALUE"""),"LINEA PARA EL LLENADO DE BOLSASTRANSPORTADOR DE CAJAS")</f>
        <v>LINEA PARA EL LLENADO DE BOLSASTRANSPORTADOR DE CAJAS</v>
      </c>
      <c r="V1266" s="5"/>
      <c r="W1266" s="5" t="b">
        <f ca="1">IFERROR(__xludf.DUMMYFUNCTION("""COMPUTED_VALUE"""),TRUE)</f>
        <v>1</v>
      </c>
      <c r="X1266" s="5" t="str">
        <f ca="1">IFERROR(__xludf.DUMMYFUNCTION("""COMPUTED_VALUE"""),"achavezi@postobon.com.co,aprmttoyu@postobon.com.co,aprmyu@postobon.com.co,wmora@postobon.com.co,efzapata@postobon.com.co")</f>
        <v>achavezi@postobon.com.co,aprmttoyu@postobon.com.co,aprmyu@postobon.com.co,wmora@postobon.com.co,efzapata@postobon.com.co</v>
      </c>
      <c r="Y1266" s="5" t="str">
        <f ca="1">IFERROR(__xludf.DUMMYFUNCTION("""COMPUTED_VALUE"""),"achavezi@postobon.com.co")</f>
        <v>achavezi@postobon.com.co</v>
      </c>
      <c r="Z1266" s="5" t="str">
        <f ca="1">IFERROR(__xludf.DUMMYFUNCTION("""COMPUTED_VALUE"""),"3hKc51fdRc6gJn4EgA.APQ")</f>
        <v>3hKc51fdRc6gJn4EgA.APQ</v>
      </c>
      <c r="AA1266" s="5"/>
      <c r="AB1266" s="5"/>
      <c r="AC1266" s="5"/>
      <c r="AD1266" s="5">
        <f ca="1">IFERROR(__xludf.DUMMYFUNCTION("""COMPUTED_VALUE"""),70)</f>
        <v>70</v>
      </c>
      <c r="AE1266" s="5">
        <f ca="1">IFERROR(__xludf.DUMMYFUNCTION("""COMPUTED_VALUE"""),70)</f>
        <v>70</v>
      </c>
      <c r="AF1266" s="5" t="b">
        <f ca="1">IFERROR(__xludf.DUMMYFUNCTION("""COMPUTED_VALUE"""),FALSE)</f>
        <v>0</v>
      </c>
      <c r="AG1266" s="5" t="str">
        <f ca="1">IFERROR(__xludf.DUMMYFUNCTION("""COMPUTED_VALUE"""),"INSPECCIONES REALIZADAS")</f>
        <v>INSPECCIONES REALIZADAS</v>
      </c>
      <c r="AH1266" s="5"/>
    </row>
    <row r="1267" spans="1:34">
      <c r="A1267" s="5" t="str">
        <f ca="1">IFERROR(__xludf.DUMMYFUNCTION("""COMPUTED_VALUE"""),"LINEA PARA EL LLENADO DE BOLSAS")</f>
        <v>LINEA PARA EL LLENADO DE BOLSAS</v>
      </c>
      <c r="B1267" s="5">
        <f ca="1">IFERROR(__xludf.DUMMYFUNCTION("""COMPUTED_VALUE"""),829853)</f>
        <v>829853</v>
      </c>
      <c r="C1267" s="5" t="str">
        <f ca="1">IFERROR(__xludf.DUMMYFUNCTION("""COMPUTED_VALUE"""),"TRANSPORTADOR DE CAJAS")</f>
        <v>TRANSPORTADOR DE CAJAS</v>
      </c>
      <c r="D1267" s="5">
        <f ca="1">IFERROR(__xludf.DUMMYFUNCTION("""COMPUTED_VALUE"""),13247719)</f>
        <v>13247719</v>
      </c>
      <c r="E1267" s="5" t="str">
        <f ca="1">IFERROR(__xludf.DUMMYFUNCTION("""COMPUTED_VALUE"""),"INSPECCION SEMANAL TRANSP CAJAS")</f>
        <v>INSPECCION SEMANAL TRANSP CAJAS</v>
      </c>
      <c r="F1267" s="5" t="str">
        <f ca="1">IFERROR(__xludf.DUMMYFUNCTION("""COMPUTED_VALUE"""),"INS. ESTADO PIÑONES,CHUMACERAS")</f>
        <v>INS. ESTADO PIÑONES,CHUMACERAS</v>
      </c>
      <c r="G1267" s="5" t="b">
        <f ca="1">IFERROR(__xludf.DUMMYFUNCTION("""COMPUTED_VALUE"""),TRUE)</f>
        <v>1</v>
      </c>
      <c r="H1267" s="5"/>
      <c r="I1267" s="5"/>
      <c r="J1267" s="5">
        <f ca="1">IFERROR(__xludf.DUMMYFUNCTION("""COMPUTED_VALUE"""),13247719)</f>
        <v>13247719</v>
      </c>
      <c r="K1267" s="5"/>
      <c r="L1267" s="18">
        <f ca="1">IFERROR(__xludf.DUMMYFUNCTION("""COMPUTED_VALUE"""),45324)</f>
        <v>45324</v>
      </c>
      <c r="M1267" s="18">
        <f ca="1">IFERROR(__xludf.DUMMYFUNCTION("""COMPUTED_VALUE"""),45324)</f>
        <v>45324</v>
      </c>
      <c r="N1267" s="5" t="str">
        <f ca="1">IFERROR(__xludf.DUMMYFUNCTION("""COMPUTED_VALUE"""),"ESTEBAN POTOSI ISAZA")</f>
        <v>ESTEBAN POTOSI ISAZA</v>
      </c>
      <c r="O1267" s="2">
        <f ca="1">IFERROR(__xludf.DUMMYFUNCTION("""COMPUTED_VALUE"""),0.016666667)</f>
        <v>1.6666667E-2</v>
      </c>
      <c r="P1267" s="5">
        <f ca="1">IFERROR(__xludf.DUMMYFUNCTION("""COMPUTED_VALUE"""),20076884)</f>
        <v>20076884</v>
      </c>
      <c r="Q1267" s="5" t="str">
        <f ca="1">IFERROR(__xludf.DUMMYFUNCTION("""COMPUTED_VALUE"""),"Q9wgbvJWqz8")</f>
        <v>Q9wgbvJWqz8</v>
      </c>
      <c r="R1267" s="5">
        <f ca="1">IFERROR(__xludf.DUMMYFUNCTION("""COMPUTED_VALUE"""),410)</f>
        <v>410</v>
      </c>
      <c r="S1267" s="62">
        <f ca="1">IFERROR(__xludf.DUMMYFUNCTION("""COMPUTED_VALUE"""),0.016666667)</f>
        <v>1.6666667E-2</v>
      </c>
      <c r="T1267" s="63" t="str">
        <f ca="1">IFERROR(__xludf.DUMMYFUNCTION("""COMPUTED_VALUE"""),"https://storage.googleapis.com/glide-prod.appspot.com/uploads-v2/ly7o78grxPaC6KdgvbpS/pub/3aRdSog0vUtuqPE8AJKD.png")</f>
        <v>https://storage.googleapis.com/glide-prod.appspot.com/uploads-v2/ly7o78grxPaC6KdgvbpS/pub/3aRdSog0vUtuqPE8AJKD.png</v>
      </c>
      <c r="U1267" s="5" t="str">
        <f ca="1">IFERROR(__xludf.DUMMYFUNCTION("""COMPUTED_VALUE"""),"LINEA PARA EL LLENADO DE BOLSASTRANSPORTADOR DE CAJAS")</f>
        <v>LINEA PARA EL LLENADO DE BOLSASTRANSPORTADOR DE CAJAS</v>
      </c>
      <c r="V1267" s="5"/>
      <c r="W1267" s="5" t="b">
        <f ca="1">IFERROR(__xludf.DUMMYFUNCTION("""COMPUTED_VALUE"""),TRUE)</f>
        <v>1</v>
      </c>
      <c r="X1267" s="5" t="str">
        <f ca="1">IFERROR(__xludf.DUMMYFUNCTION("""COMPUTED_VALUE"""),"achavezi@postobon.com.co,aprmttoyu@postobon.com.co,aprmyu@postobon.com.co,wmora@postobon.com.co,efzapata@postobon.com.co")</f>
        <v>achavezi@postobon.com.co,aprmttoyu@postobon.com.co,aprmyu@postobon.com.co,wmora@postobon.com.co,efzapata@postobon.com.co</v>
      </c>
      <c r="Y1267" s="5" t="str">
        <f ca="1">IFERROR(__xludf.DUMMYFUNCTION("""COMPUTED_VALUE"""),"achavezi@postobon.com.co")</f>
        <v>achavezi@postobon.com.co</v>
      </c>
      <c r="Z1267" s="5" t="str">
        <f ca="1">IFERROR(__xludf.DUMMYFUNCTION("""COMPUTED_VALUE"""),"h5wIPe1bQteClQqAj0vFMw")</f>
        <v>h5wIPe1bQteClQqAj0vFMw</v>
      </c>
      <c r="AA1267" s="5"/>
      <c r="AB1267" s="5"/>
      <c r="AC1267" s="5"/>
      <c r="AD1267" s="5">
        <f ca="1">IFERROR(__xludf.DUMMYFUNCTION("""COMPUTED_VALUE"""),70)</f>
        <v>70</v>
      </c>
      <c r="AE1267" s="5">
        <f ca="1">IFERROR(__xludf.DUMMYFUNCTION("""COMPUTED_VALUE"""),70)</f>
        <v>70</v>
      </c>
      <c r="AF1267" s="5" t="b">
        <f ca="1">IFERROR(__xludf.DUMMYFUNCTION("""COMPUTED_VALUE"""),FALSE)</f>
        <v>0</v>
      </c>
      <c r="AG1267" s="5" t="str">
        <f ca="1">IFERROR(__xludf.DUMMYFUNCTION("""COMPUTED_VALUE"""),"INSPECCIONES REALIZADAS")</f>
        <v>INSPECCIONES REALIZADAS</v>
      </c>
      <c r="AH1267" s="5"/>
    </row>
    <row r="1268" spans="1:34">
      <c r="A1268" s="5" t="str">
        <f ca="1">IFERROR(__xludf.DUMMYFUNCTION("""COMPUTED_VALUE"""),"LINEA PARA EL LLENADO DE BOLSAS")</f>
        <v>LINEA PARA EL LLENADO DE BOLSAS</v>
      </c>
      <c r="B1268" s="5">
        <f ca="1">IFERROR(__xludf.DUMMYFUNCTION("""COMPUTED_VALUE"""),829853)</f>
        <v>829853</v>
      </c>
      <c r="C1268" s="5" t="str">
        <f ca="1">IFERROR(__xludf.DUMMYFUNCTION("""COMPUTED_VALUE"""),"TRANSPORTADOR DE CAJAS")</f>
        <v>TRANSPORTADOR DE CAJAS</v>
      </c>
      <c r="D1268" s="5">
        <f ca="1">IFERROR(__xludf.DUMMYFUNCTION("""COMPUTED_VALUE"""),13247719)</f>
        <v>13247719</v>
      </c>
      <c r="E1268" s="5" t="str">
        <f ca="1">IFERROR(__xludf.DUMMYFUNCTION("""COMPUTED_VALUE"""),"INSPECCION SEMANAL TRANSP CAJAS")</f>
        <v>INSPECCION SEMANAL TRANSP CAJAS</v>
      </c>
      <c r="F1268" s="5" t="str">
        <f ca="1">IFERROR(__xludf.DUMMYFUNCTION("""COMPUTED_VALUE"""),"INS. ESTADO BARANDAS")</f>
        <v>INS. ESTADO BARANDAS</v>
      </c>
      <c r="G1268" s="5" t="b">
        <f ca="1">IFERROR(__xludf.DUMMYFUNCTION("""COMPUTED_VALUE"""),TRUE)</f>
        <v>1</v>
      </c>
      <c r="H1268" s="5"/>
      <c r="I1268" s="5"/>
      <c r="J1268" s="5">
        <f ca="1">IFERROR(__xludf.DUMMYFUNCTION("""COMPUTED_VALUE"""),13247719)</f>
        <v>13247719</v>
      </c>
      <c r="K1268" s="5"/>
      <c r="L1268" s="18">
        <f ca="1">IFERROR(__xludf.DUMMYFUNCTION("""COMPUTED_VALUE"""),45324)</f>
        <v>45324</v>
      </c>
      <c r="M1268" s="18">
        <f ca="1">IFERROR(__xludf.DUMMYFUNCTION("""COMPUTED_VALUE"""),45324)</f>
        <v>45324</v>
      </c>
      <c r="N1268" s="5" t="str">
        <f ca="1">IFERROR(__xludf.DUMMYFUNCTION("""COMPUTED_VALUE"""),"ESTEBAN POTOSI ISAZA")</f>
        <v>ESTEBAN POTOSI ISAZA</v>
      </c>
      <c r="O1268" s="2">
        <f ca="1">IFERROR(__xludf.DUMMYFUNCTION("""COMPUTED_VALUE"""),0.016666667)</f>
        <v>1.6666667E-2</v>
      </c>
      <c r="P1268" s="5">
        <f ca="1">IFERROR(__xludf.DUMMYFUNCTION("""COMPUTED_VALUE"""),20076884)</f>
        <v>20076884</v>
      </c>
      <c r="Q1268" s="5" t="str">
        <f ca="1">IFERROR(__xludf.DUMMYFUNCTION("""COMPUTED_VALUE"""),"83bPSVw2ndQ")</f>
        <v>83bPSVw2ndQ</v>
      </c>
      <c r="R1268" s="5">
        <f ca="1">IFERROR(__xludf.DUMMYFUNCTION("""COMPUTED_VALUE"""),410)</f>
        <v>410</v>
      </c>
      <c r="S1268" s="62">
        <f ca="1">IFERROR(__xludf.DUMMYFUNCTION("""COMPUTED_VALUE"""),0.016666667)</f>
        <v>1.6666667E-2</v>
      </c>
      <c r="T1268" s="63" t="str">
        <f ca="1">IFERROR(__xludf.DUMMYFUNCTION("""COMPUTED_VALUE"""),"https://storage.googleapis.com/glide-prod.appspot.com/uploads-v2/ly7o78grxPaC6KdgvbpS/pub/3aRdSog0vUtuqPE8AJKD.png")</f>
        <v>https://storage.googleapis.com/glide-prod.appspot.com/uploads-v2/ly7o78grxPaC6KdgvbpS/pub/3aRdSog0vUtuqPE8AJKD.png</v>
      </c>
      <c r="U1268" s="5" t="str">
        <f ca="1">IFERROR(__xludf.DUMMYFUNCTION("""COMPUTED_VALUE"""),"LINEA PARA EL LLENADO DE BOLSASTRANSPORTADOR DE CAJAS")</f>
        <v>LINEA PARA EL LLENADO DE BOLSASTRANSPORTADOR DE CAJAS</v>
      </c>
      <c r="V1268" s="5"/>
      <c r="W1268" s="5" t="b">
        <f ca="1">IFERROR(__xludf.DUMMYFUNCTION("""COMPUTED_VALUE"""),TRUE)</f>
        <v>1</v>
      </c>
      <c r="X1268" s="5" t="str">
        <f ca="1">IFERROR(__xludf.DUMMYFUNCTION("""COMPUTED_VALUE"""),"achavezi@postobon.com.co,aprmttoyu@postobon.com.co,aprmyu@postobon.com.co,wmora@postobon.com.co,efzapata@postobon.com.co")</f>
        <v>achavezi@postobon.com.co,aprmttoyu@postobon.com.co,aprmyu@postobon.com.co,wmora@postobon.com.co,efzapata@postobon.com.co</v>
      </c>
      <c r="Y1268" s="5" t="str">
        <f ca="1">IFERROR(__xludf.DUMMYFUNCTION("""COMPUTED_VALUE"""),"achavezi@postobon.com.co")</f>
        <v>achavezi@postobon.com.co</v>
      </c>
      <c r="Z1268" s="5" t="str">
        <f ca="1">IFERROR(__xludf.DUMMYFUNCTION("""COMPUTED_VALUE"""),"tc.On8j0RFyymLomgRv-Ew")</f>
        <v>tc.On8j0RFyymLomgRv-Ew</v>
      </c>
      <c r="AA1268" s="5"/>
      <c r="AB1268" s="5"/>
      <c r="AC1268" s="5"/>
      <c r="AD1268" s="5">
        <f ca="1">IFERROR(__xludf.DUMMYFUNCTION("""COMPUTED_VALUE"""),70)</f>
        <v>70</v>
      </c>
      <c r="AE1268" s="5">
        <f ca="1">IFERROR(__xludf.DUMMYFUNCTION("""COMPUTED_VALUE"""),70)</f>
        <v>70</v>
      </c>
      <c r="AF1268" s="5" t="b">
        <f ca="1">IFERROR(__xludf.DUMMYFUNCTION("""COMPUTED_VALUE"""),FALSE)</f>
        <v>0</v>
      </c>
      <c r="AG1268" s="5" t="str">
        <f ca="1">IFERROR(__xludf.DUMMYFUNCTION("""COMPUTED_VALUE"""),"INSPECCIONES REALIZADAS")</f>
        <v>INSPECCIONES REALIZADAS</v>
      </c>
      <c r="AH1268" s="5"/>
    </row>
    <row r="1269" spans="1:34">
      <c r="A1269" s="5" t="str">
        <f ca="1">IFERROR(__xludf.DUMMYFUNCTION("""COMPUTED_VALUE"""),"LINEA PARA EL LLENADO DE BOLSAS")</f>
        <v>LINEA PARA EL LLENADO DE BOLSAS</v>
      </c>
      <c r="B1269" s="5">
        <f ca="1">IFERROR(__xludf.DUMMYFUNCTION("""COMPUTED_VALUE"""),829853)</f>
        <v>829853</v>
      </c>
      <c r="C1269" s="5" t="str">
        <f ca="1">IFERROR(__xludf.DUMMYFUNCTION("""COMPUTED_VALUE"""),"TRANSPORTADOR DE CAJAS")</f>
        <v>TRANSPORTADOR DE CAJAS</v>
      </c>
      <c r="D1269" s="5">
        <f ca="1">IFERROR(__xludf.DUMMYFUNCTION("""COMPUTED_VALUE"""),13247719)</f>
        <v>13247719</v>
      </c>
      <c r="E1269" s="5" t="str">
        <f ca="1">IFERROR(__xludf.DUMMYFUNCTION("""COMPUTED_VALUE"""),"INSPECCION SEMANAL TRANSP CAJAS")</f>
        <v>INSPECCION SEMANAL TRANSP CAJAS</v>
      </c>
      <c r="F1269" s="5" t="str">
        <f ca="1">IFERROR(__xludf.DUMMYFUNCTION("""COMPUTED_VALUE"""),"INS. ESTADO CADENAS, TORNILLERIA")</f>
        <v>INS. ESTADO CADENAS, TORNILLERIA</v>
      </c>
      <c r="G1269" s="5" t="b">
        <f ca="1">IFERROR(__xludf.DUMMYFUNCTION("""COMPUTED_VALUE"""),TRUE)</f>
        <v>1</v>
      </c>
      <c r="H1269" s="5"/>
      <c r="I1269" s="5"/>
      <c r="J1269" s="5">
        <f ca="1">IFERROR(__xludf.DUMMYFUNCTION("""COMPUTED_VALUE"""),13247719)</f>
        <v>13247719</v>
      </c>
      <c r="K1269" s="5"/>
      <c r="L1269" s="18">
        <f ca="1">IFERROR(__xludf.DUMMYFUNCTION("""COMPUTED_VALUE"""),45324)</f>
        <v>45324</v>
      </c>
      <c r="M1269" s="18">
        <f ca="1">IFERROR(__xludf.DUMMYFUNCTION("""COMPUTED_VALUE"""),45324)</f>
        <v>45324</v>
      </c>
      <c r="N1269" s="5" t="str">
        <f ca="1">IFERROR(__xludf.DUMMYFUNCTION("""COMPUTED_VALUE"""),"ESTEBAN POTOSI ISAZA")</f>
        <v>ESTEBAN POTOSI ISAZA</v>
      </c>
      <c r="O1269" s="2">
        <f ca="1">IFERROR(__xludf.DUMMYFUNCTION("""COMPUTED_VALUE"""),0.016666667)</f>
        <v>1.6666667E-2</v>
      </c>
      <c r="P1269" s="5">
        <f ca="1">IFERROR(__xludf.DUMMYFUNCTION("""COMPUTED_VALUE"""),20076884)</f>
        <v>20076884</v>
      </c>
      <c r="Q1269" s="5" t="str">
        <f ca="1">IFERROR(__xludf.DUMMYFUNCTION("""COMPUTED_VALUE"""),"RfO3o0XMgos")</f>
        <v>RfO3o0XMgos</v>
      </c>
      <c r="R1269" s="5">
        <f ca="1">IFERROR(__xludf.DUMMYFUNCTION("""COMPUTED_VALUE"""),410)</f>
        <v>410</v>
      </c>
      <c r="S1269" s="62">
        <f ca="1">IFERROR(__xludf.DUMMYFUNCTION("""COMPUTED_VALUE"""),0.016666667)</f>
        <v>1.6666667E-2</v>
      </c>
      <c r="T1269" s="63" t="str">
        <f ca="1">IFERROR(__xludf.DUMMYFUNCTION("""COMPUTED_VALUE"""),"https://storage.googleapis.com/glide-prod.appspot.com/uploads-v2/ly7o78grxPaC6KdgvbpS/pub/3aRdSog0vUtuqPE8AJKD.png")</f>
        <v>https://storage.googleapis.com/glide-prod.appspot.com/uploads-v2/ly7o78grxPaC6KdgvbpS/pub/3aRdSog0vUtuqPE8AJKD.png</v>
      </c>
      <c r="U1269" s="5" t="str">
        <f ca="1">IFERROR(__xludf.DUMMYFUNCTION("""COMPUTED_VALUE"""),"LINEA PARA EL LLENADO DE BOLSASTRANSPORTADOR DE CAJAS")</f>
        <v>LINEA PARA EL LLENADO DE BOLSASTRANSPORTADOR DE CAJAS</v>
      </c>
      <c r="V1269" s="5"/>
      <c r="W1269" s="5" t="b">
        <f ca="1">IFERROR(__xludf.DUMMYFUNCTION("""COMPUTED_VALUE"""),TRUE)</f>
        <v>1</v>
      </c>
      <c r="X1269" s="5" t="str">
        <f ca="1">IFERROR(__xludf.DUMMYFUNCTION("""COMPUTED_VALUE"""),"achavezi@postobon.com.co,aprmttoyu@postobon.com.co,aprmyu@postobon.com.co,wmora@postobon.com.co,efzapata@postobon.com.co")</f>
        <v>achavezi@postobon.com.co,aprmttoyu@postobon.com.co,aprmyu@postobon.com.co,wmora@postobon.com.co,efzapata@postobon.com.co</v>
      </c>
      <c r="Y1269" s="5" t="str">
        <f ca="1">IFERROR(__xludf.DUMMYFUNCTION("""COMPUTED_VALUE"""),"achavezi@postobon.com.co")</f>
        <v>achavezi@postobon.com.co</v>
      </c>
      <c r="Z1269" s="5" t="str">
        <f ca="1">IFERROR(__xludf.DUMMYFUNCTION("""COMPUTED_VALUE"""),"5-b83EDIQcC7fBdjPO1lzw")</f>
        <v>5-b83EDIQcC7fBdjPO1lzw</v>
      </c>
      <c r="AA1269" s="5"/>
      <c r="AB1269" s="5"/>
      <c r="AC1269" s="5"/>
      <c r="AD1269" s="5">
        <f ca="1">IFERROR(__xludf.DUMMYFUNCTION("""COMPUTED_VALUE"""),70)</f>
        <v>70</v>
      </c>
      <c r="AE1269" s="5">
        <f ca="1">IFERROR(__xludf.DUMMYFUNCTION("""COMPUTED_VALUE"""),70)</f>
        <v>70</v>
      </c>
      <c r="AF1269" s="5" t="b">
        <f ca="1">IFERROR(__xludf.DUMMYFUNCTION("""COMPUTED_VALUE"""),FALSE)</f>
        <v>0</v>
      </c>
      <c r="AG1269" s="5" t="str">
        <f ca="1">IFERROR(__xludf.DUMMYFUNCTION("""COMPUTED_VALUE"""),"INSPECCIONES REALIZADAS")</f>
        <v>INSPECCIONES REALIZADAS</v>
      </c>
      <c r="AH1269" s="5"/>
    </row>
    <row r="1270" spans="1:34">
      <c r="A1270" s="5" t="str">
        <f ca="1">IFERROR(__xludf.DUMMYFUNCTION("""COMPUTED_VALUE"""),"LINEA PARA EL LLENADO DE BOLSAS")</f>
        <v>LINEA PARA EL LLENADO DE BOLSAS</v>
      </c>
      <c r="B1270" s="5">
        <f ca="1">IFERROR(__xludf.DUMMYFUNCTION("""COMPUTED_VALUE"""),829853)</f>
        <v>829853</v>
      </c>
      <c r="C1270" s="5" t="str">
        <f ca="1">IFERROR(__xludf.DUMMYFUNCTION("""COMPUTED_VALUE"""),"TRANSPORTADOR DE CAJAS")</f>
        <v>TRANSPORTADOR DE CAJAS</v>
      </c>
      <c r="D1270" s="5">
        <f ca="1">IFERROR(__xludf.DUMMYFUNCTION("""COMPUTED_VALUE"""),13247719)</f>
        <v>13247719</v>
      </c>
      <c r="E1270" s="5" t="str">
        <f ca="1">IFERROR(__xludf.DUMMYFUNCTION("""COMPUTED_VALUE"""),"INSPECCION SEMANAL TRANSP CAJAS")</f>
        <v>INSPECCION SEMANAL TRANSP CAJAS</v>
      </c>
      <c r="F1270" s="5" t="str">
        <f ca="1">IFERROR(__xludf.DUMMYFUNCTION("""COMPUTED_VALUE"""),"INS. RODILLOS DESLIZANTES")</f>
        <v>INS. RODILLOS DESLIZANTES</v>
      </c>
      <c r="G1270" s="5" t="b">
        <f ca="1">IFERROR(__xludf.DUMMYFUNCTION("""COMPUTED_VALUE"""),TRUE)</f>
        <v>1</v>
      </c>
      <c r="H1270" s="5"/>
      <c r="I1270" s="5"/>
      <c r="J1270" s="5">
        <f ca="1">IFERROR(__xludf.DUMMYFUNCTION("""COMPUTED_VALUE"""),13247719)</f>
        <v>13247719</v>
      </c>
      <c r="K1270" s="5"/>
      <c r="L1270" s="18">
        <f ca="1">IFERROR(__xludf.DUMMYFUNCTION("""COMPUTED_VALUE"""),45324)</f>
        <v>45324</v>
      </c>
      <c r="M1270" s="18">
        <f ca="1">IFERROR(__xludf.DUMMYFUNCTION("""COMPUTED_VALUE"""),45324)</f>
        <v>45324</v>
      </c>
      <c r="N1270" s="5" t="str">
        <f ca="1">IFERROR(__xludf.DUMMYFUNCTION("""COMPUTED_VALUE"""),"ESTEBAN POTOSI ISAZA")</f>
        <v>ESTEBAN POTOSI ISAZA</v>
      </c>
      <c r="O1270" s="2">
        <f ca="1">IFERROR(__xludf.DUMMYFUNCTION("""COMPUTED_VALUE"""),0.016666667)</f>
        <v>1.6666667E-2</v>
      </c>
      <c r="P1270" s="5">
        <f ca="1">IFERROR(__xludf.DUMMYFUNCTION("""COMPUTED_VALUE"""),20076884)</f>
        <v>20076884</v>
      </c>
      <c r="Q1270" s="5" t="str">
        <f ca="1">IFERROR(__xludf.DUMMYFUNCTION("""COMPUTED_VALUE"""),"PzOBDfp2a2Q")</f>
        <v>PzOBDfp2a2Q</v>
      </c>
      <c r="R1270" s="5">
        <f ca="1">IFERROR(__xludf.DUMMYFUNCTION("""COMPUTED_VALUE"""),410)</f>
        <v>410</v>
      </c>
      <c r="S1270" s="62">
        <f ca="1">IFERROR(__xludf.DUMMYFUNCTION("""COMPUTED_VALUE"""),0.016666667)</f>
        <v>1.6666667E-2</v>
      </c>
      <c r="T1270" s="63" t="str">
        <f ca="1">IFERROR(__xludf.DUMMYFUNCTION("""COMPUTED_VALUE"""),"https://storage.googleapis.com/glide-prod.appspot.com/uploads-v2/ly7o78grxPaC6KdgvbpS/pub/3aRdSog0vUtuqPE8AJKD.png")</f>
        <v>https://storage.googleapis.com/glide-prod.appspot.com/uploads-v2/ly7o78grxPaC6KdgvbpS/pub/3aRdSog0vUtuqPE8AJKD.png</v>
      </c>
      <c r="U1270" s="5" t="str">
        <f ca="1">IFERROR(__xludf.DUMMYFUNCTION("""COMPUTED_VALUE"""),"LINEA PARA EL LLENADO DE BOLSASTRANSPORTADOR DE CAJAS")</f>
        <v>LINEA PARA EL LLENADO DE BOLSASTRANSPORTADOR DE CAJAS</v>
      </c>
      <c r="V1270" s="5"/>
      <c r="W1270" s="5" t="b">
        <f ca="1">IFERROR(__xludf.DUMMYFUNCTION("""COMPUTED_VALUE"""),TRUE)</f>
        <v>1</v>
      </c>
      <c r="X1270" s="5" t="str">
        <f ca="1">IFERROR(__xludf.DUMMYFUNCTION("""COMPUTED_VALUE"""),"achavezi@postobon.com.co,aprmttoyu@postobon.com.co,aprmyu@postobon.com.co,wmora@postobon.com.co,efzapata@postobon.com.co")</f>
        <v>achavezi@postobon.com.co,aprmttoyu@postobon.com.co,aprmyu@postobon.com.co,wmora@postobon.com.co,efzapata@postobon.com.co</v>
      </c>
      <c r="Y1270" s="5" t="str">
        <f ca="1">IFERROR(__xludf.DUMMYFUNCTION("""COMPUTED_VALUE"""),"achavezi@postobon.com.co")</f>
        <v>achavezi@postobon.com.co</v>
      </c>
      <c r="Z1270" s="5" t="str">
        <f ca="1">IFERROR(__xludf.DUMMYFUNCTION("""COMPUTED_VALUE"""),"6EtHykeASe6ScwOW2W7aTA")</f>
        <v>6EtHykeASe6ScwOW2W7aTA</v>
      </c>
      <c r="AA1270" s="5"/>
      <c r="AB1270" s="5"/>
      <c r="AC1270" s="5"/>
      <c r="AD1270" s="5">
        <f ca="1">IFERROR(__xludf.DUMMYFUNCTION("""COMPUTED_VALUE"""),70)</f>
        <v>70</v>
      </c>
      <c r="AE1270" s="5">
        <f ca="1">IFERROR(__xludf.DUMMYFUNCTION("""COMPUTED_VALUE"""),70)</f>
        <v>70</v>
      </c>
      <c r="AF1270" s="5" t="b">
        <f ca="1">IFERROR(__xludf.DUMMYFUNCTION("""COMPUTED_VALUE"""),FALSE)</f>
        <v>0</v>
      </c>
      <c r="AG1270" s="5" t="str">
        <f ca="1">IFERROR(__xludf.DUMMYFUNCTION("""COMPUTED_VALUE"""),"INSPECCIONES REALIZADAS")</f>
        <v>INSPECCIONES REALIZADAS</v>
      </c>
      <c r="AH1270" s="5"/>
    </row>
    <row r="1271" spans="1:34">
      <c r="A1271" s="5" t="str">
        <f ca="1">IFERROR(__xludf.DUMMYFUNCTION("""COMPUTED_VALUE"""),"LINEA PARA EL LLENADO DE BOLSAS")</f>
        <v>LINEA PARA EL LLENADO DE BOLSAS</v>
      </c>
      <c r="B1271" s="5">
        <f ca="1">IFERROR(__xludf.DUMMYFUNCTION("""COMPUTED_VALUE"""),829853)</f>
        <v>829853</v>
      </c>
      <c r="C1271" s="5" t="str">
        <f ca="1">IFERROR(__xludf.DUMMYFUNCTION("""COMPUTED_VALUE"""),"TRANSPORTADOR DE CAJAS")</f>
        <v>TRANSPORTADOR DE CAJAS</v>
      </c>
      <c r="D1271" s="5">
        <f ca="1">IFERROR(__xludf.DUMMYFUNCTION("""COMPUTED_VALUE"""),13247719)</f>
        <v>13247719</v>
      </c>
      <c r="E1271" s="5" t="str">
        <f ca="1">IFERROR(__xludf.DUMMYFUNCTION("""COMPUTED_VALUE"""),"INSPECCION SEMANAL TRANSP CAJAS")</f>
        <v>INSPECCION SEMANAL TRANSP CAJAS</v>
      </c>
      <c r="F1271" s="5" t="str">
        <f ca="1">IFERROR(__xludf.DUMMYFUNCTION("""COMPUTED_VALUE"""),"INS. MOTORREDUCTORES")</f>
        <v>INS. MOTORREDUCTORES</v>
      </c>
      <c r="G1271" s="5" t="b">
        <f ca="1">IFERROR(__xludf.DUMMYFUNCTION("""COMPUTED_VALUE"""),TRUE)</f>
        <v>1</v>
      </c>
      <c r="H1271" s="5"/>
      <c r="I1271" s="5"/>
      <c r="J1271" s="5">
        <f ca="1">IFERROR(__xludf.DUMMYFUNCTION("""COMPUTED_VALUE"""),13247719)</f>
        <v>13247719</v>
      </c>
      <c r="K1271" s="5"/>
      <c r="L1271" s="18">
        <f ca="1">IFERROR(__xludf.DUMMYFUNCTION("""COMPUTED_VALUE"""),45324)</f>
        <v>45324</v>
      </c>
      <c r="M1271" s="18">
        <f ca="1">IFERROR(__xludf.DUMMYFUNCTION("""COMPUTED_VALUE"""),45324)</f>
        <v>45324</v>
      </c>
      <c r="N1271" s="5" t="str">
        <f ca="1">IFERROR(__xludf.DUMMYFUNCTION("""COMPUTED_VALUE"""),"ESTEBAN POTOSI ISAZA")</f>
        <v>ESTEBAN POTOSI ISAZA</v>
      </c>
      <c r="O1271" s="2">
        <f ca="1">IFERROR(__xludf.DUMMYFUNCTION("""COMPUTED_VALUE"""),0.016666667)</f>
        <v>1.6666667E-2</v>
      </c>
      <c r="P1271" s="5">
        <f ca="1">IFERROR(__xludf.DUMMYFUNCTION("""COMPUTED_VALUE"""),20076884)</f>
        <v>20076884</v>
      </c>
      <c r="Q1271" s="5" t="str">
        <f ca="1">IFERROR(__xludf.DUMMYFUNCTION("""COMPUTED_VALUE"""),"M6OccNT4Qqw")</f>
        <v>M6OccNT4Qqw</v>
      </c>
      <c r="R1271" s="5">
        <f ca="1">IFERROR(__xludf.DUMMYFUNCTION("""COMPUTED_VALUE"""),410)</f>
        <v>410</v>
      </c>
      <c r="S1271" s="62">
        <f ca="1">IFERROR(__xludf.DUMMYFUNCTION("""COMPUTED_VALUE"""),0.016666667)</f>
        <v>1.6666667E-2</v>
      </c>
      <c r="T1271" s="63" t="str">
        <f ca="1">IFERROR(__xludf.DUMMYFUNCTION("""COMPUTED_VALUE"""),"https://storage.googleapis.com/glide-prod.appspot.com/uploads-v2/ly7o78grxPaC6KdgvbpS/pub/3aRdSog0vUtuqPE8AJKD.png")</f>
        <v>https://storage.googleapis.com/glide-prod.appspot.com/uploads-v2/ly7o78grxPaC6KdgvbpS/pub/3aRdSog0vUtuqPE8AJKD.png</v>
      </c>
      <c r="U1271" s="5" t="str">
        <f ca="1">IFERROR(__xludf.DUMMYFUNCTION("""COMPUTED_VALUE"""),"LINEA PARA EL LLENADO DE BOLSASTRANSPORTADOR DE CAJAS")</f>
        <v>LINEA PARA EL LLENADO DE BOLSASTRANSPORTADOR DE CAJAS</v>
      </c>
      <c r="V1271" s="5"/>
      <c r="W1271" s="5" t="b">
        <f ca="1">IFERROR(__xludf.DUMMYFUNCTION("""COMPUTED_VALUE"""),TRUE)</f>
        <v>1</v>
      </c>
      <c r="X1271" s="5" t="str">
        <f ca="1">IFERROR(__xludf.DUMMYFUNCTION("""COMPUTED_VALUE"""),"achavezi@postobon.com.co,aprmttoyu@postobon.com.co,aprmyu@postobon.com.co,wmora@postobon.com.co,efzapata@postobon.com.co")</f>
        <v>achavezi@postobon.com.co,aprmttoyu@postobon.com.co,aprmyu@postobon.com.co,wmora@postobon.com.co,efzapata@postobon.com.co</v>
      </c>
      <c r="Y1271" s="5" t="str">
        <f ca="1">IFERROR(__xludf.DUMMYFUNCTION("""COMPUTED_VALUE"""),"achavezi@postobon.com.co")</f>
        <v>achavezi@postobon.com.co</v>
      </c>
      <c r="Z1271" s="5" t="str">
        <f ca="1">IFERROR(__xludf.DUMMYFUNCTION("""COMPUTED_VALUE"""),"xds2YHzyQu-esRgsyXdzSA")</f>
        <v>xds2YHzyQu-esRgsyXdzSA</v>
      </c>
      <c r="AA1271" s="5"/>
      <c r="AB1271" s="5"/>
      <c r="AC1271" s="5"/>
      <c r="AD1271" s="5">
        <f ca="1">IFERROR(__xludf.DUMMYFUNCTION("""COMPUTED_VALUE"""),70)</f>
        <v>70</v>
      </c>
      <c r="AE1271" s="5">
        <f ca="1">IFERROR(__xludf.DUMMYFUNCTION("""COMPUTED_VALUE"""),70)</f>
        <v>70</v>
      </c>
      <c r="AF1271" s="5" t="b">
        <f ca="1">IFERROR(__xludf.DUMMYFUNCTION("""COMPUTED_VALUE"""),FALSE)</f>
        <v>0</v>
      </c>
      <c r="AG1271" s="5" t="str">
        <f ca="1">IFERROR(__xludf.DUMMYFUNCTION("""COMPUTED_VALUE"""),"INSPECCIONES REALIZADAS")</f>
        <v>INSPECCIONES REALIZADAS</v>
      </c>
      <c r="AH1271" s="5"/>
    </row>
    <row r="1272" spans="1:34">
      <c r="A1272" s="5" t="str">
        <f ca="1">IFERROR(__xludf.DUMMYFUNCTION("""COMPUTED_VALUE"""),"LINEA DE ENVASADO TAMAÑO PERSONAL")</f>
        <v>LINEA DE ENVASADO TAMAÑO PERSONAL</v>
      </c>
      <c r="B1272" s="5">
        <f ca="1">IFERROR(__xludf.DUMMYFUNCTION("""COMPUTED_VALUE"""),829654)</f>
        <v>829654</v>
      </c>
      <c r="C1272" s="5" t="str">
        <f ca="1">IFERROR(__xludf.DUMMYFUNCTION("""COMPUTED_VALUE"""),"TRANSPORTADOR DE BOTELLAS")</f>
        <v>TRANSPORTADOR DE BOTELLAS</v>
      </c>
      <c r="D1272" s="5">
        <f ca="1">IFERROR(__xludf.DUMMYFUNCTION("""COMPUTED_VALUE"""),13247635)</f>
        <v>13247635</v>
      </c>
      <c r="E1272" s="5" t="str">
        <f ca="1">IFERROR(__xludf.DUMMYFUNCTION("""COMPUTED_VALUE"""),"INSPECCION SEMANAL TRANSP DE BOTELLAS")</f>
        <v>INSPECCION SEMANAL TRANSP DE BOTELLAS</v>
      </c>
      <c r="F1272" s="5" t="str">
        <f ca="1">IFERROR(__xludf.DUMMYFUNCTION("""COMPUTED_VALUE"""),"Estado de chumaceras")</f>
        <v>Estado de chumaceras</v>
      </c>
      <c r="G1272" s="5" t="b">
        <f ca="1">IFERROR(__xludf.DUMMYFUNCTION("""COMPUTED_VALUE"""),TRUE)</f>
        <v>1</v>
      </c>
      <c r="H1272" s="5"/>
      <c r="I1272" s="5"/>
      <c r="J1272" s="5">
        <f ca="1">IFERROR(__xludf.DUMMYFUNCTION("""COMPUTED_VALUE"""),13247635)</f>
        <v>13247635</v>
      </c>
      <c r="K1272" s="5"/>
      <c r="L1272" s="18">
        <f ca="1">IFERROR(__xludf.DUMMYFUNCTION("""COMPUTED_VALUE"""),45324)</f>
        <v>45324</v>
      </c>
      <c r="M1272" s="18">
        <f ca="1">IFERROR(__xludf.DUMMYFUNCTION("""COMPUTED_VALUE"""),45324)</f>
        <v>45324</v>
      </c>
      <c r="N1272" s="5" t="str">
        <f ca="1">IFERROR(__xludf.DUMMYFUNCTION("""COMPUTED_VALUE"""),"Campo Rodriguez Adalcides Jesus")</f>
        <v>Campo Rodriguez Adalcides Jesus</v>
      </c>
      <c r="O1272" s="2">
        <f ca="1">IFERROR(__xludf.DUMMYFUNCTION("""COMPUTED_VALUE"""),0.007692308)</f>
        <v>7.6923080000000001E-3</v>
      </c>
      <c r="P1272" s="5">
        <f ca="1">IFERROR(__xludf.DUMMYFUNCTION("""COMPUTED_VALUE"""),20036419)</f>
        <v>20036419</v>
      </c>
      <c r="Q1272" s="5" t="str">
        <f ca="1">IFERROR(__xludf.DUMMYFUNCTION("""COMPUTED_VALUE"""),"IOfr5auAjmo")</f>
        <v>IOfr5auAjmo</v>
      </c>
      <c r="R1272" s="5">
        <f ca="1">IFERROR(__xludf.DUMMYFUNCTION("""COMPUTED_VALUE"""),410)</f>
        <v>410</v>
      </c>
      <c r="S1272" s="62">
        <f ca="1">IFERROR(__xludf.DUMMYFUNCTION("""COMPUTED_VALUE"""),0.007692308)</f>
        <v>7.6923080000000001E-3</v>
      </c>
      <c r="T1272" s="63" t="str">
        <f ca="1">IFERROR(__xludf.DUMMYFUNCTION("""COMPUTED_VALUE"""),"https://storage.googleapis.com/glide-prod.appspot.com/uploads-v2/ly7o78grxPaC6KdgvbpS/pub/3aRdSog0vUtuqPE8AJKD.png")</f>
        <v>https://storage.googleapis.com/glide-prod.appspot.com/uploads-v2/ly7o78grxPaC6KdgvbpS/pub/3aRdSog0vUtuqPE8AJKD.png</v>
      </c>
      <c r="U1272" s="5" t="str">
        <f ca="1">IFERROR(__xludf.DUMMYFUNCTION("""COMPUTED_VALUE"""),"LINEA DE ENVASADO TAMAÑO PERSONALTRANSPORTADOR DE BOTELLAS")</f>
        <v>LINEA DE ENVASADO TAMAÑO PERSONALTRANSPORTADOR DE BOTELLAS</v>
      </c>
      <c r="V1272" s="5"/>
      <c r="W1272" s="5" t="b">
        <f ca="1">IFERROR(__xludf.DUMMYFUNCTION("""COMPUTED_VALUE"""),TRUE)</f>
        <v>1</v>
      </c>
      <c r="X1272" s="5" t="str">
        <f ca="1">IFERROR(__xludf.DUMMYFUNCTION("""COMPUTED_VALUE"""),"wguerra@postobon.com.co,aprmttoyu@postobon.com.co,aprmyu@postobon.com.co,wmora@postobon.com.co,efzapata@postobon.com.co")</f>
        <v>wguerra@postobon.com.co,aprmttoyu@postobon.com.co,aprmyu@postobon.com.co,wmora@postobon.com.co,efzapata@postobon.com.co</v>
      </c>
      <c r="Y1272" s="5" t="str">
        <f ca="1">IFERROR(__xludf.DUMMYFUNCTION("""COMPUTED_VALUE"""),"wguerra@postobon.com.co")</f>
        <v>wguerra@postobon.com.co</v>
      </c>
      <c r="Z1272" s="5" t="str">
        <f ca="1">IFERROR(__xludf.DUMMYFUNCTION("""COMPUTED_VALUE"""),"xCfqRalRTD2.N9a9QMtSeQ")</f>
        <v>xCfqRalRTD2.N9a9QMtSeQ</v>
      </c>
      <c r="AA1272" s="5"/>
      <c r="AB1272" s="5"/>
      <c r="AC1272" s="5"/>
      <c r="AD1272" s="5">
        <f ca="1">IFERROR(__xludf.DUMMYFUNCTION("""COMPUTED_VALUE"""),43)</f>
        <v>43</v>
      </c>
      <c r="AE1272" s="5">
        <f ca="1">IFERROR(__xludf.DUMMYFUNCTION("""COMPUTED_VALUE"""),43)</f>
        <v>43</v>
      </c>
      <c r="AF1272" s="5" t="b">
        <f ca="1">IFERROR(__xludf.DUMMYFUNCTION("""COMPUTED_VALUE"""),FALSE)</f>
        <v>0</v>
      </c>
      <c r="AG1272" s="5" t="str">
        <f ca="1">IFERROR(__xludf.DUMMYFUNCTION("""COMPUTED_VALUE"""),"INSPECCIONES REALIZADAS")</f>
        <v>INSPECCIONES REALIZADAS</v>
      </c>
      <c r="AH1272" s="5"/>
    </row>
    <row r="1273" spans="1:34">
      <c r="A1273" s="5" t="str">
        <f ca="1">IFERROR(__xludf.DUMMYFUNCTION("""COMPUTED_VALUE"""),"LINEA DE ENVASADO TAMAÑO PERSONAL")</f>
        <v>LINEA DE ENVASADO TAMAÑO PERSONAL</v>
      </c>
      <c r="B1273" s="5">
        <f ca="1">IFERROR(__xludf.DUMMYFUNCTION("""COMPUTED_VALUE"""),829654)</f>
        <v>829654</v>
      </c>
      <c r="C1273" s="5" t="str">
        <f ca="1">IFERROR(__xludf.DUMMYFUNCTION("""COMPUTED_VALUE"""),"TRANSPORTADOR DE BOTELLAS")</f>
        <v>TRANSPORTADOR DE BOTELLAS</v>
      </c>
      <c r="D1273" s="5">
        <f ca="1">IFERROR(__xludf.DUMMYFUNCTION("""COMPUTED_VALUE"""),13247635)</f>
        <v>13247635</v>
      </c>
      <c r="E1273" s="5" t="str">
        <f ca="1">IFERROR(__xludf.DUMMYFUNCTION("""COMPUTED_VALUE"""),"INSPECCION SEMANAL TRANSP DE BOTELLAS")</f>
        <v>INSPECCION SEMANAL TRANSP DE BOTELLAS</v>
      </c>
      <c r="F1273" s="5" t="str">
        <f ca="1">IFERROR(__xludf.DUMMYFUNCTION("""COMPUTED_VALUE"""),"Estado de cadenas de transmisión")</f>
        <v>Estado de cadenas de transmisión</v>
      </c>
      <c r="G1273" s="5" t="b">
        <f ca="1">IFERROR(__xludf.DUMMYFUNCTION("""COMPUTED_VALUE"""),TRUE)</f>
        <v>1</v>
      </c>
      <c r="H1273" s="5"/>
      <c r="I1273" s="5"/>
      <c r="J1273" s="5">
        <f ca="1">IFERROR(__xludf.DUMMYFUNCTION("""COMPUTED_VALUE"""),13247635)</f>
        <v>13247635</v>
      </c>
      <c r="K1273" s="5"/>
      <c r="L1273" s="18">
        <f ca="1">IFERROR(__xludf.DUMMYFUNCTION("""COMPUTED_VALUE"""),45324)</f>
        <v>45324</v>
      </c>
      <c r="M1273" s="18">
        <f ca="1">IFERROR(__xludf.DUMMYFUNCTION("""COMPUTED_VALUE"""),45324)</f>
        <v>45324</v>
      </c>
      <c r="N1273" s="5" t="str">
        <f ca="1">IFERROR(__xludf.DUMMYFUNCTION("""COMPUTED_VALUE"""),"Campo Rodriguez Adalcides Jesus")</f>
        <v>Campo Rodriguez Adalcides Jesus</v>
      </c>
      <c r="O1273" s="2">
        <f ca="1">IFERROR(__xludf.DUMMYFUNCTION("""COMPUTED_VALUE"""),0.007692308)</f>
        <v>7.6923080000000001E-3</v>
      </c>
      <c r="P1273" s="5">
        <f ca="1">IFERROR(__xludf.DUMMYFUNCTION("""COMPUTED_VALUE"""),20036419)</f>
        <v>20036419</v>
      </c>
      <c r="Q1273" s="5" t="str">
        <f ca="1">IFERROR(__xludf.DUMMYFUNCTION("""COMPUTED_VALUE"""),"ljIVIBXMy6c")</f>
        <v>ljIVIBXMy6c</v>
      </c>
      <c r="R1273" s="5">
        <f ca="1">IFERROR(__xludf.DUMMYFUNCTION("""COMPUTED_VALUE"""),410)</f>
        <v>410</v>
      </c>
      <c r="S1273" s="62">
        <f ca="1">IFERROR(__xludf.DUMMYFUNCTION("""COMPUTED_VALUE"""),0.007692308)</f>
        <v>7.6923080000000001E-3</v>
      </c>
      <c r="T1273" s="63" t="str">
        <f ca="1">IFERROR(__xludf.DUMMYFUNCTION("""COMPUTED_VALUE"""),"https://storage.googleapis.com/glide-prod.appspot.com/uploads-v2/ly7o78grxPaC6KdgvbpS/pub/3aRdSog0vUtuqPE8AJKD.png")</f>
        <v>https://storage.googleapis.com/glide-prod.appspot.com/uploads-v2/ly7o78grxPaC6KdgvbpS/pub/3aRdSog0vUtuqPE8AJKD.png</v>
      </c>
      <c r="U1273" s="5" t="str">
        <f ca="1">IFERROR(__xludf.DUMMYFUNCTION("""COMPUTED_VALUE"""),"LINEA DE ENVASADO TAMAÑO PERSONALTRANSPORTADOR DE BOTELLAS")</f>
        <v>LINEA DE ENVASADO TAMAÑO PERSONALTRANSPORTADOR DE BOTELLAS</v>
      </c>
      <c r="V1273" s="5"/>
      <c r="W1273" s="5" t="b">
        <f ca="1">IFERROR(__xludf.DUMMYFUNCTION("""COMPUTED_VALUE"""),TRUE)</f>
        <v>1</v>
      </c>
      <c r="X1273" s="5" t="str">
        <f ca="1">IFERROR(__xludf.DUMMYFUNCTION("""COMPUTED_VALUE"""),"wguerra@postobon.com.co,aprmttoyu@postobon.com.co,aprmyu@postobon.com.co,wmora@postobon.com.co,efzapata@postobon.com.co")</f>
        <v>wguerra@postobon.com.co,aprmttoyu@postobon.com.co,aprmyu@postobon.com.co,wmora@postobon.com.co,efzapata@postobon.com.co</v>
      </c>
      <c r="Y1273" s="5" t="str">
        <f ca="1">IFERROR(__xludf.DUMMYFUNCTION("""COMPUTED_VALUE"""),"wguerra@postobon.com.co")</f>
        <v>wguerra@postobon.com.co</v>
      </c>
      <c r="Z1273" s="5" t="str">
        <f ca="1">IFERROR(__xludf.DUMMYFUNCTION("""COMPUTED_VALUE"""),"NnYwG.OmSUubAf.8fD3-6Q")</f>
        <v>NnYwG.OmSUubAf.8fD3-6Q</v>
      </c>
      <c r="AA1273" s="5"/>
      <c r="AB1273" s="5"/>
      <c r="AC1273" s="5"/>
      <c r="AD1273" s="5">
        <f ca="1">IFERROR(__xludf.DUMMYFUNCTION("""COMPUTED_VALUE"""),43)</f>
        <v>43</v>
      </c>
      <c r="AE1273" s="5">
        <f ca="1">IFERROR(__xludf.DUMMYFUNCTION("""COMPUTED_VALUE"""),43)</f>
        <v>43</v>
      </c>
      <c r="AF1273" s="5" t="b">
        <f ca="1">IFERROR(__xludf.DUMMYFUNCTION("""COMPUTED_VALUE"""),FALSE)</f>
        <v>0</v>
      </c>
      <c r="AG1273" s="5" t="str">
        <f ca="1">IFERROR(__xludf.DUMMYFUNCTION("""COMPUTED_VALUE"""),"INSPECCIONES REALIZADAS")</f>
        <v>INSPECCIONES REALIZADAS</v>
      </c>
      <c r="AH1273" s="5"/>
    </row>
    <row r="1274" spans="1:34">
      <c r="A1274" s="5" t="str">
        <f ca="1">IFERROR(__xludf.DUMMYFUNCTION("""COMPUTED_VALUE"""),"LINEA DE ENVASADO TAMAÑO PERSONAL")</f>
        <v>LINEA DE ENVASADO TAMAÑO PERSONAL</v>
      </c>
      <c r="B1274" s="5">
        <f ca="1">IFERROR(__xludf.DUMMYFUNCTION("""COMPUTED_VALUE"""),829654)</f>
        <v>829654</v>
      </c>
      <c r="C1274" s="5" t="str">
        <f ca="1">IFERROR(__xludf.DUMMYFUNCTION("""COMPUTED_VALUE"""),"TRANSPORTADOR DE BOTELLAS")</f>
        <v>TRANSPORTADOR DE BOTELLAS</v>
      </c>
      <c r="D1274" s="5">
        <f ca="1">IFERROR(__xludf.DUMMYFUNCTION("""COMPUTED_VALUE"""),13247635)</f>
        <v>13247635</v>
      </c>
      <c r="E1274" s="5" t="str">
        <f ca="1">IFERROR(__xludf.DUMMYFUNCTION("""COMPUTED_VALUE"""),"INSPECCION SEMANAL TRANSP DE BOTELLAS")</f>
        <v>INSPECCION SEMANAL TRANSP DE BOTELLAS</v>
      </c>
      <c r="F1274" s="5" t="str">
        <f ca="1">IFERROR(__xludf.DUMMYFUNCTION("""COMPUTED_VALUE"""),"Estado de cadenas table top, flex top y magne flex")</f>
        <v>Estado de cadenas table top, flex top y magne flex</v>
      </c>
      <c r="G1274" s="5" t="b">
        <f ca="1">IFERROR(__xludf.DUMMYFUNCTION("""COMPUTED_VALUE"""),TRUE)</f>
        <v>1</v>
      </c>
      <c r="H1274" s="5"/>
      <c r="I1274" s="5"/>
      <c r="J1274" s="5">
        <f ca="1">IFERROR(__xludf.DUMMYFUNCTION("""COMPUTED_VALUE"""),13247635)</f>
        <v>13247635</v>
      </c>
      <c r="K1274" s="5"/>
      <c r="L1274" s="18">
        <f ca="1">IFERROR(__xludf.DUMMYFUNCTION("""COMPUTED_VALUE"""),45324)</f>
        <v>45324</v>
      </c>
      <c r="M1274" s="18">
        <f ca="1">IFERROR(__xludf.DUMMYFUNCTION("""COMPUTED_VALUE"""),45324)</f>
        <v>45324</v>
      </c>
      <c r="N1274" s="5" t="str">
        <f ca="1">IFERROR(__xludf.DUMMYFUNCTION("""COMPUTED_VALUE"""),"Campo Rodriguez Adalcides Jesus")</f>
        <v>Campo Rodriguez Adalcides Jesus</v>
      </c>
      <c r="O1274" s="2">
        <f ca="1">IFERROR(__xludf.DUMMYFUNCTION("""COMPUTED_VALUE"""),0.007692308)</f>
        <v>7.6923080000000001E-3</v>
      </c>
      <c r="P1274" s="5">
        <f ca="1">IFERROR(__xludf.DUMMYFUNCTION("""COMPUTED_VALUE"""),20036419)</f>
        <v>20036419</v>
      </c>
      <c r="Q1274" s="5" t="str">
        <f ca="1">IFERROR(__xludf.DUMMYFUNCTION("""COMPUTED_VALUE"""),"5vlg-ThyNz0")</f>
        <v>5vlg-ThyNz0</v>
      </c>
      <c r="R1274" s="5">
        <f ca="1">IFERROR(__xludf.DUMMYFUNCTION("""COMPUTED_VALUE"""),410)</f>
        <v>410</v>
      </c>
      <c r="S1274" s="62">
        <f ca="1">IFERROR(__xludf.DUMMYFUNCTION("""COMPUTED_VALUE"""),0.007692308)</f>
        <v>7.6923080000000001E-3</v>
      </c>
      <c r="T1274" s="63" t="str">
        <f ca="1">IFERROR(__xludf.DUMMYFUNCTION("""COMPUTED_VALUE"""),"https://storage.googleapis.com/glide-prod.appspot.com/uploads-v2/ly7o78grxPaC6KdgvbpS/pub/3aRdSog0vUtuqPE8AJKD.png")</f>
        <v>https://storage.googleapis.com/glide-prod.appspot.com/uploads-v2/ly7o78grxPaC6KdgvbpS/pub/3aRdSog0vUtuqPE8AJKD.png</v>
      </c>
      <c r="U1274" s="5" t="str">
        <f ca="1">IFERROR(__xludf.DUMMYFUNCTION("""COMPUTED_VALUE"""),"LINEA DE ENVASADO TAMAÑO PERSONALTRANSPORTADOR DE BOTELLAS")</f>
        <v>LINEA DE ENVASADO TAMAÑO PERSONALTRANSPORTADOR DE BOTELLAS</v>
      </c>
      <c r="V1274" s="5"/>
      <c r="W1274" s="5" t="b">
        <f ca="1">IFERROR(__xludf.DUMMYFUNCTION("""COMPUTED_VALUE"""),TRUE)</f>
        <v>1</v>
      </c>
      <c r="X1274" s="5" t="str">
        <f ca="1">IFERROR(__xludf.DUMMYFUNCTION("""COMPUTED_VALUE"""),"wguerra@postobon.com.co,aprmttoyu@postobon.com.co,aprmyu@postobon.com.co,wmora@postobon.com.co,efzapata@postobon.com.co")</f>
        <v>wguerra@postobon.com.co,aprmttoyu@postobon.com.co,aprmyu@postobon.com.co,wmora@postobon.com.co,efzapata@postobon.com.co</v>
      </c>
      <c r="Y1274" s="5" t="str">
        <f ca="1">IFERROR(__xludf.DUMMYFUNCTION("""COMPUTED_VALUE"""),"wguerra@postobon.com.co")</f>
        <v>wguerra@postobon.com.co</v>
      </c>
      <c r="Z1274" s="5" t="str">
        <f ca="1">IFERROR(__xludf.DUMMYFUNCTION("""COMPUTED_VALUE"""),"u2ZAqC.yS0eISfkXGB.wgA")</f>
        <v>u2ZAqC.yS0eISfkXGB.wgA</v>
      </c>
      <c r="AA1274" s="5"/>
      <c r="AB1274" s="5"/>
      <c r="AC1274" s="5"/>
      <c r="AD1274" s="5">
        <f ca="1">IFERROR(__xludf.DUMMYFUNCTION("""COMPUTED_VALUE"""),43)</f>
        <v>43</v>
      </c>
      <c r="AE1274" s="5">
        <f ca="1">IFERROR(__xludf.DUMMYFUNCTION("""COMPUTED_VALUE"""),43)</f>
        <v>43</v>
      </c>
      <c r="AF1274" s="5" t="b">
        <f ca="1">IFERROR(__xludf.DUMMYFUNCTION("""COMPUTED_VALUE"""),FALSE)</f>
        <v>0</v>
      </c>
      <c r="AG1274" s="5" t="str">
        <f ca="1">IFERROR(__xludf.DUMMYFUNCTION("""COMPUTED_VALUE"""),"INSPECCIONES REALIZADAS")</f>
        <v>INSPECCIONES REALIZADAS</v>
      </c>
      <c r="AH1274" s="5"/>
    </row>
    <row r="1275" spans="1:34">
      <c r="A1275" s="5" t="str">
        <f ca="1">IFERROR(__xludf.DUMMYFUNCTION("""COMPUTED_VALUE"""),"LINEA DE ENVASADO TAMAÑO PERSONAL")</f>
        <v>LINEA DE ENVASADO TAMAÑO PERSONAL</v>
      </c>
      <c r="B1275" s="5">
        <f ca="1">IFERROR(__xludf.DUMMYFUNCTION("""COMPUTED_VALUE"""),829654)</f>
        <v>829654</v>
      </c>
      <c r="C1275" s="5" t="str">
        <f ca="1">IFERROR(__xludf.DUMMYFUNCTION("""COMPUTED_VALUE"""),"TRANSPORTADOR DE BOTELLAS")</f>
        <v>TRANSPORTADOR DE BOTELLAS</v>
      </c>
      <c r="D1275" s="5">
        <f ca="1">IFERROR(__xludf.DUMMYFUNCTION("""COMPUTED_VALUE"""),13247635)</f>
        <v>13247635</v>
      </c>
      <c r="E1275" s="5" t="str">
        <f ca="1">IFERROR(__xludf.DUMMYFUNCTION("""COMPUTED_VALUE"""),"INSPECCION SEMANAL TRANSP DE BOTELLAS")</f>
        <v>INSPECCION SEMANAL TRANSP DE BOTELLAS</v>
      </c>
      <c r="F1275" s="5" t="str">
        <f ca="1">IFERROR(__xludf.DUMMYFUNCTION("""COMPUTED_VALUE"""),"Estado de estructuras de fijación o anclaje")</f>
        <v>Estado de estructuras de fijación o anclaje</v>
      </c>
      <c r="G1275" s="5" t="b">
        <f ca="1">IFERROR(__xludf.DUMMYFUNCTION("""COMPUTED_VALUE"""),TRUE)</f>
        <v>1</v>
      </c>
      <c r="H1275" s="5"/>
      <c r="I1275" s="5"/>
      <c r="J1275" s="5">
        <f ca="1">IFERROR(__xludf.DUMMYFUNCTION("""COMPUTED_VALUE"""),13247635)</f>
        <v>13247635</v>
      </c>
      <c r="K1275" s="5"/>
      <c r="L1275" s="18">
        <f ca="1">IFERROR(__xludf.DUMMYFUNCTION("""COMPUTED_VALUE"""),45324)</f>
        <v>45324</v>
      </c>
      <c r="M1275" s="18">
        <f ca="1">IFERROR(__xludf.DUMMYFUNCTION("""COMPUTED_VALUE"""),45324)</f>
        <v>45324</v>
      </c>
      <c r="N1275" s="5" t="str">
        <f ca="1">IFERROR(__xludf.DUMMYFUNCTION("""COMPUTED_VALUE"""),"Campo Rodriguez Adalcides Jesus")</f>
        <v>Campo Rodriguez Adalcides Jesus</v>
      </c>
      <c r="O1275" s="2">
        <f ca="1">IFERROR(__xludf.DUMMYFUNCTION("""COMPUTED_VALUE"""),0.007692308)</f>
        <v>7.6923080000000001E-3</v>
      </c>
      <c r="P1275" s="5">
        <f ca="1">IFERROR(__xludf.DUMMYFUNCTION("""COMPUTED_VALUE"""),20036419)</f>
        <v>20036419</v>
      </c>
      <c r="Q1275" s="5" t="str">
        <f ca="1">IFERROR(__xludf.DUMMYFUNCTION("""COMPUTED_VALUE"""),"tQegUdN7fHE")</f>
        <v>tQegUdN7fHE</v>
      </c>
      <c r="R1275" s="5">
        <f ca="1">IFERROR(__xludf.DUMMYFUNCTION("""COMPUTED_VALUE"""),410)</f>
        <v>410</v>
      </c>
      <c r="S1275" s="62">
        <f ca="1">IFERROR(__xludf.DUMMYFUNCTION("""COMPUTED_VALUE"""),0.007692308)</f>
        <v>7.6923080000000001E-3</v>
      </c>
      <c r="T1275" s="63" t="str">
        <f ca="1">IFERROR(__xludf.DUMMYFUNCTION("""COMPUTED_VALUE"""),"https://storage.googleapis.com/glide-prod.appspot.com/uploads-v2/ly7o78grxPaC6KdgvbpS/pub/3aRdSog0vUtuqPE8AJKD.png")</f>
        <v>https://storage.googleapis.com/glide-prod.appspot.com/uploads-v2/ly7o78grxPaC6KdgvbpS/pub/3aRdSog0vUtuqPE8AJKD.png</v>
      </c>
      <c r="U1275" s="5" t="str">
        <f ca="1">IFERROR(__xludf.DUMMYFUNCTION("""COMPUTED_VALUE"""),"LINEA DE ENVASADO TAMAÑO PERSONALTRANSPORTADOR DE BOTELLAS")</f>
        <v>LINEA DE ENVASADO TAMAÑO PERSONALTRANSPORTADOR DE BOTELLAS</v>
      </c>
      <c r="V1275" s="5"/>
      <c r="W1275" s="5" t="b">
        <f ca="1">IFERROR(__xludf.DUMMYFUNCTION("""COMPUTED_VALUE"""),TRUE)</f>
        <v>1</v>
      </c>
      <c r="X1275" s="5" t="str">
        <f ca="1">IFERROR(__xludf.DUMMYFUNCTION("""COMPUTED_VALUE"""),"wguerra@postobon.com.co,aprmttoyu@postobon.com.co,aprmyu@postobon.com.co,wmora@postobon.com.co,efzapata@postobon.com.co")</f>
        <v>wguerra@postobon.com.co,aprmttoyu@postobon.com.co,aprmyu@postobon.com.co,wmora@postobon.com.co,efzapata@postobon.com.co</v>
      </c>
      <c r="Y1275" s="5" t="str">
        <f ca="1">IFERROR(__xludf.DUMMYFUNCTION("""COMPUTED_VALUE"""),"wguerra@postobon.com.co")</f>
        <v>wguerra@postobon.com.co</v>
      </c>
      <c r="Z1275" s="5" t="str">
        <f ca="1">IFERROR(__xludf.DUMMYFUNCTION("""COMPUTED_VALUE"""),"CD4wKU1OSjSkSQyzGE27Cg")</f>
        <v>CD4wKU1OSjSkSQyzGE27Cg</v>
      </c>
      <c r="AA1275" s="5"/>
      <c r="AB1275" s="5"/>
      <c r="AC1275" s="5"/>
      <c r="AD1275" s="5">
        <f ca="1">IFERROR(__xludf.DUMMYFUNCTION("""COMPUTED_VALUE"""),43)</f>
        <v>43</v>
      </c>
      <c r="AE1275" s="5">
        <f ca="1">IFERROR(__xludf.DUMMYFUNCTION("""COMPUTED_VALUE"""),43)</f>
        <v>43</v>
      </c>
      <c r="AF1275" s="5" t="b">
        <f ca="1">IFERROR(__xludf.DUMMYFUNCTION("""COMPUTED_VALUE"""),FALSE)</f>
        <v>0</v>
      </c>
      <c r="AG1275" s="5" t="str">
        <f ca="1">IFERROR(__xludf.DUMMYFUNCTION("""COMPUTED_VALUE"""),"INSPECCIONES REALIZADAS")</f>
        <v>INSPECCIONES REALIZADAS</v>
      </c>
      <c r="AH1275" s="5"/>
    </row>
    <row r="1276" spans="1:34">
      <c r="A1276" s="5" t="str">
        <f ca="1">IFERROR(__xludf.DUMMYFUNCTION("""COMPUTED_VALUE"""),"LINEA DE ENVASADO TAMAÑO PERSONAL")</f>
        <v>LINEA DE ENVASADO TAMAÑO PERSONAL</v>
      </c>
      <c r="B1276" s="5">
        <f ca="1">IFERROR(__xludf.DUMMYFUNCTION("""COMPUTED_VALUE"""),829654)</f>
        <v>829654</v>
      </c>
      <c r="C1276" s="5" t="str">
        <f ca="1">IFERROR(__xludf.DUMMYFUNCTION("""COMPUTED_VALUE"""),"TRANSPORTADOR DE BOTELLAS")</f>
        <v>TRANSPORTADOR DE BOTELLAS</v>
      </c>
      <c r="D1276" s="5">
        <f ca="1">IFERROR(__xludf.DUMMYFUNCTION("""COMPUTED_VALUE"""),13247635)</f>
        <v>13247635</v>
      </c>
      <c r="E1276" s="5" t="str">
        <f ca="1">IFERROR(__xludf.DUMMYFUNCTION("""COMPUTED_VALUE"""),"INSPECCION SEMANAL TRANSP DE BOTELLAS")</f>
        <v>INSPECCION SEMANAL TRANSP DE BOTELLAS</v>
      </c>
      <c r="F1276" s="5" t="str">
        <f ca="1">IFERROR(__xludf.DUMMYFUNCTION("""COMPUTED_VALUE"""),"Estado de tensores de cadena")</f>
        <v>Estado de tensores de cadena</v>
      </c>
      <c r="G1276" s="5" t="b">
        <f ca="1">IFERROR(__xludf.DUMMYFUNCTION("""COMPUTED_VALUE"""),TRUE)</f>
        <v>1</v>
      </c>
      <c r="H1276" s="5"/>
      <c r="I1276" s="5"/>
      <c r="J1276" s="5">
        <f ca="1">IFERROR(__xludf.DUMMYFUNCTION("""COMPUTED_VALUE"""),13247635)</f>
        <v>13247635</v>
      </c>
      <c r="K1276" s="5"/>
      <c r="L1276" s="18">
        <f ca="1">IFERROR(__xludf.DUMMYFUNCTION("""COMPUTED_VALUE"""),45324)</f>
        <v>45324</v>
      </c>
      <c r="M1276" s="18">
        <f ca="1">IFERROR(__xludf.DUMMYFUNCTION("""COMPUTED_VALUE"""),45324)</f>
        <v>45324</v>
      </c>
      <c r="N1276" s="5" t="str">
        <f ca="1">IFERROR(__xludf.DUMMYFUNCTION("""COMPUTED_VALUE"""),"Campo Rodriguez Adalcides Jesus")</f>
        <v>Campo Rodriguez Adalcides Jesus</v>
      </c>
      <c r="O1276" s="2">
        <f ca="1">IFERROR(__xludf.DUMMYFUNCTION("""COMPUTED_VALUE"""),0.007692308)</f>
        <v>7.6923080000000001E-3</v>
      </c>
      <c r="P1276" s="5">
        <f ca="1">IFERROR(__xludf.DUMMYFUNCTION("""COMPUTED_VALUE"""),20036419)</f>
        <v>20036419</v>
      </c>
      <c r="Q1276" s="5" t="str">
        <f ca="1">IFERROR(__xludf.DUMMYFUNCTION("""COMPUTED_VALUE"""),"jQ4AlyyuhMc")</f>
        <v>jQ4AlyyuhMc</v>
      </c>
      <c r="R1276" s="5">
        <f ca="1">IFERROR(__xludf.DUMMYFUNCTION("""COMPUTED_VALUE"""),410)</f>
        <v>410</v>
      </c>
      <c r="S1276" s="62">
        <f ca="1">IFERROR(__xludf.DUMMYFUNCTION("""COMPUTED_VALUE"""),0.007692308)</f>
        <v>7.6923080000000001E-3</v>
      </c>
      <c r="T1276" s="63" t="str">
        <f ca="1">IFERROR(__xludf.DUMMYFUNCTION("""COMPUTED_VALUE"""),"https://storage.googleapis.com/glide-prod.appspot.com/uploads-v2/ly7o78grxPaC6KdgvbpS/pub/3aRdSog0vUtuqPE8AJKD.png")</f>
        <v>https://storage.googleapis.com/glide-prod.appspot.com/uploads-v2/ly7o78grxPaC6KdgvbpS/pub/3aRdSog0vUtuqPE8AJKD.png</v>
      </c>
      <c r="U1276" s="5" t="str">
        <f ca="1">IFERROR(__xludf.DUMMYFUNCTION("""COMPUTED_VALUE"""),"LINEA DE ENVASADO TAMAÑO PERSONALTRANSPORTADOR DE BOTELLAS")</f>
        <v>LINEA DE ENVASADO TAMAÑO PERSONALTRANSPORTADOR DE BOTELLAS</v>
      </c>
      <c r="V1276" s="5"/>
      <c r="W1276" s="5" t="b">
        <f ca="1">IFERROR(__xludf.DUMMYFUNCTION("""COMPUTED_VALUE"""),TRUE)</f>
        <v>1</v>
      </c>
      <c r="X1276" s="5" t="str">
        <f ca="1">IFERROR(__xludf.DUMMYFUNCTION("""COMPUTED_VALUE"""),"wguerra@postobon.com.co,aprmttoyu@postobon.com.co,aprmyu@postobon.com.co,wmora@postobon.com.co,efzapata@postobon.com.co")</f>
        <v>wguerra@postobon.com.co,aprmttoyu@postobon.com.co,aprmyu@postobon.com.co,wmora@postobon.com.co,efzapata@postobon.com.co</v>
      </c>
      <c r="Y1276" s="5" t="str">
        <f ca="1">IFERROR(__xludf.DUMMYFUNCTION("""COMPUTED_VALUE"""),"wguerra@postobon.com.co")</f>
        <v>wguerra@postobon.com.co</v>
      </c>
      <c r="Z1276" s="5" t="str">
        <f ca="1">IFERROR(__xludf.DUMMYFUNCTION("""COMPUTED_VALUE"""),"9EFSxnitSzKHQTG7xhvEhg")</f>
        <v>9EFSxnitSzKHQTG7xhvEhg</v>
      </c>
      <c r="AA1276" s="5"/>
      <c r="AB1276" s="5"/>
      <c r="AC1276" s="5"/>
      <c r="AD1276" s="5">
        <f ca="1">IFERROR(__xludf.DUMMYFUNCTION("""COMPUTED_VALUE"""),43)</f>
        <v>43</v>
      </c>
      <c r="AE1276" s="5">
        <f ca="1">IFERROR(__xludf.DUMMYFUNCTION("""COMPUTED_VALUE"""),43)</f>
        <v>43</v>
      </c>
      <c r="AF1276" s="5" t="b">
        <f ca="1">IFERROR(__xludf.DUMMYFUNCTION("""COMPUTED_VALUE"""),FALSE)</f>
        <v>0</v>
      </c>
      <c r="AG1276" s="5" t="str">
        <f ca="1">IFERROR(__xludf.DUMMYFUNCTION("""COMPUTED_VALUE"""),"INSPECCIONES REALIZADAS")</f>
        <v>INSPECCIONES REALIZADAS</v>
      </c>
      <c r="AH1276" s="5"/>
    </row>
    <row r="1277" spans="1:34">
      <c r="A1277" s="5" t="str">
        <f ca="1">IFERROR(__xludf.DUMMYFUNCTION("""COMPUTED_VALUE"""),"LINEA DE ENVASADO TAMAÑO PERSONAL")</f>
        <v>LINEA DE ENVASADO TAMAÑO PERSONAL</v>
      </c>
      <c r="B1277" s="5">
        <f ca="1">IFERROR(__xludf.DUMMYFUNCTION("""COMPUTED_VALUE"""),829654)</f>
        <v>829654</v>
      </c>
      <c r="C1277" s="5" t="str">
        <f ca="1">IFERROR(__xludf.DUMMYFUNCTION("""COMPUTED_VALUE"""),"TRANSPORTADOR DE BOTELLAS")</f>
        <v>TRANSPORTADOR DE BOTELLAS</v>
      </c>
      <c r="D1277" s="5">
        <f ca="1">IFERROR(__xludf.DUMMYFUNCTION("""COMPUTED_VALUE"""),13247635)</f>
        <v>13247635</v>
      </c>
      <c r="E1277" s="5" t="str">
        <f ca="1">IFERROR(__xludf.DUMMYFUNCTION("""COMPUTED_VALUE"""),"INSPECCION SEMANAL TRANSP DE BOTELLAS")</f>
        <v>INSPECCION SEMANAL TRANSP DE BOTELLAS</v>
      </c>
      <c r="F1277" s="5" t="str">
        <f ca="1">IFERROR(__xludf.DUMMYFUNCTION("""COMPUTED_VALUE"""),"Estado de piñones y carretas")</f>
        <v>Estado de piñones y carretas</v>
      </c>
      <c r="G1277" s="5" t="b">
        <f ca="1">IFERROR(__xludf.DUMMYFUNCTION("""COMPUTED_VALUE"""),TRUE)</f>
        <v>1</v>
      </c>
      <c r="H1277" s="5"/>
      <c r="I1277" s="5"/>
      <c r="J1277" s="5">
        <f ca="1">IFERROR(__xludf.DUMMYFUNCTION("""COMPUTED_VALUE"""),13247635)</f>
        <v>13247635</v>
      </c>
      <c r="K1277" s="5"/>
      <c r="L1277" s="18">
        <f ca="1">IFERROR(__xludf.DUMMYFUNCTION("""COMPUTED_VALUE"""),45324)</f>
        <v>45324</v>
      </c>
      <c r="M1277" s="18">
        <f ca="1">IFERROR(__xludf.DUMMYFUNCTION("""COMPUTED_VALUE"""),45324)</f>
        <v>45324</v>
      </c>
      <c r="N1277" s="5" t="str">
        <f ca="1">IFERROR(__xludf.DUMMYFUNCTION("""COMPUTED_VALUE"""),"Campo Rodriguez Adalcides Jesus")</f>
        <v>Campo Rodriguez Adalcides Jesus</v>
      </c>
      <c r="O1277" s="2">
        <f ca="1">IFERROR(__xludf.DUMMYFUNCTION("""COMPUTED_VALUE"""),0.007692308)</f>
        <v>7.6923080000000001E-3</v>
      </c>
      <c r="P1277" s="5">
        <f ca="1">IFERROR(__xludf.DUMMYFUNCTION("""COMPUTED_VALUE"""),20036419)</f>
        <v>20036419</v>
      </c>
      <c r="Q1277" s="5" t="str">
        <f ca="1">IFERROR(__xludf.DUMMYFUNCTION("""COMPUTED_VALUE"""),"PSZtflluyQg")</f>
        <v>PSZtflluyQg</v>
      </c>
      <c r="R1277" s="5">
        <f ca="1">IFERROR(__xludf.DUMMYFUNCTION("""COMPUTED_VALUE"""),410)</f>
        <v>410</v>
      </c>
      <c r="S1277" s="62">
        <f ca="1">IFERROR(__xludf.DUMMYFUNCTION("""COMPUTED_VALUE"""),0.007692308)</f>
        <v>7.6923080000000001E-3</v>
      </c>
      <c r="T1277" s="63" t="str">
        <f ca="1">IFERROR(__xludf.DUMMYFUNCTION("""COMPUTED_VALUE"""),"https://storage.googleapis.com/glide-prod.appspot.com/uploads-v2/ly7o78grxPaC6KdgvbpS/pub/3aRdSog0vUtuqPE8AJKD.png")</f>
        <v>https://storage.googleapis.com/glide-prod.appspot.com/uploads-v2/ly7o78grxPaC6KdgvbpS/pub/3aRdSog0vUtuqPE8AJKD.png</v>
      </c>
      <c r="U1277" s="5" t="str">
        <f ca="1">IFERROR(__xludf.DUMMYFUNCTION("""COMPUTED_VALUE"""),"LINEA DE ENVASADO TAMAÑO PERSONALTRANSPORTADOR DE BOTELLAS")</f>
        <v>LINEA DE ENVASADO TAMAÑO PERSONALTRANSPORTADOR DE BOTELLAS</v>
      </c>
      <c r="V1277" s="5"/>
      <c r="W1277" s="5" t="b">
        <f ca="1">IFERROR(__xludf.DUMMYFUNCTION("""COMPUTED_VALUE"""),TRUE)</f>
        <v>1</v>
      </c>
      <c r="X1277" s="5" t="str">
        <f ca="1">IFERROR(__xludf.DUMMYFUNCTION("""COMPUTED_VALUE"""),"wguerra@postobon.com.co,aprmttoyu@postobon.com.co,aprmyu@postobon.com.co,wmora@postobon.com.co,efzapata@postobon.com.co")</f>
        <v>wguerra@postobon.com.co,aprmttoyu@postobon.com.co,aprmyu@postobon.com.co,wmora@postobon.com.co,efzapata@postobon.com.co</v>
      </c>
      <c r="Y1277" s="5" t="str">
        <f ca="1">IFERROR(__xludf.DUMMYFUNCTION("""COMPUTED_VALUE"""),"wguerra@postobon.com.co")</f>
        <v>wguerra@postobon.com.co</v>
      </c>
      <c r="Z1277" s="5" t="str">
        <f ca="1">IFERROR(__xludf.DUMMYFUNCTION("""COMPUTED_VALUE"""),"Ctn6.GNVREqBH8FLKyJAwA")</f>
        <v>Ctn6.GNVREqBH8FLKyJAwA</v>
      </c>
      <c r="AA1277" s="5"/>
      <c r="AB1277" s="5"/>
      <c r="AC1277" s="5"/>
      <c r="AD1277" s="5">
        <f ca="1">IFERROR(__xludf.DUMMYFUNCTION("""COMPUTED_VALUE"""),43)</f>
        <v>43</v>
      </c>
      <c r="AE1277" s="5">
        <f ca="1">IFERROR(__xludf.DUMMYFUNCTION("""COMPUTED_VALUE"""),43)</f>
        <v>43</v>
      </c>
      <c r="AF1277" s="5" t="b">
        <f ca="1">IFERROR(__xludf.DUMMYFUNCTION("""COMPUTED_VALUE"""),FALSE)</f>
        <v>0</v>
      </c>
      <c r="AG1277" s="5" t="str">
        <f ca="1">IFERROR(__xludf.DUMMYFUNCTION("""COMPUTED_VALUE"""),"INSPECCIONES REALIZADAS")</f>
        <v>INSPECCIONES REALIZADAS</v>
      </c>
      <c r="AH1277" s="5"/>
    </row>
    <row r="1278" spans="1:34">
      <c r="A1278" s="5" t="str">
        <f ca="1">IFERROR(__xludf.DUMMYFUNCTION("""COMPUTED_VALUE"""),"LINEA DE ENVASADO TAMAÑO PERSONAL")</f>
        <v>LINEA DE ENVASADO TAMAÑO PERSONAL</v>
      </c>
      <c r="B1278" s="5">
        <f ca="1">IFERROR(__xludf.DUMMYFUNCTION("""COMPUTED_VALUE"""),829654)</f>
        <v>829654</v>
      </c>
      <c r="C1278" s="5" t="str">
        <f ca="1">IFERROR(__xludf.DUMMYFUNCTION("""COMPUTED_VALUE"""),"TRANSPORTADOR DE BOTELLAS")</f>
        <v>TRANSPORTADOR DE BOTELLAS</v>
      </c>
      <c r="D1278" s="5">
        <f ca="1">IFERROR(__xludf.DUMMYFUNCTION("""COMPUTED_VALUE"""),13247635)</f>
        <v>13247635</v>
      </c>
      <c r="E1278" s="5" t="str">
        <f ca="1">IFERROR(__xludf.DUMMYFUNCTION("""COMPUTED_VALUE"""),"INSPECCION SEMANAL TRANSP DE BOTELLAS")</f>
        <v>INSPECCION SEMANAL TRANSP DE BOTELLAS</v>
      </c>
      <c r="F1278" s="5" t="str">
        <f ca="1">IFERROR(__xludf.DUMMYFUNCTION("""COMPUTED_VALUE"""),"Estado de motores")</f>
        <v>Estado de motores</v>
      </c>
      <c r="G1278" s="5" t="b">
        <f ca="1">IFERROR(__xludf.DUMMYFUNCTION("""COMPUTED_VALUE"""),TRUE)</f>
        <v>1</v>
      </c>
      <c r="H1278" s="5"/>
      <c r="I1278" s="5"/>
      <c r="J1278" s="5">
        <f ca="1">IFERROR(__xludf.DUMMYFUNCTION("""COMPUTED_VALUE"""),13247635)</f>
        <v>13247635</v>
      </c>
      <c r="K1278" s="5"/>
      <c r="L1278" s="18">
        <f ca="1">IFERROR(__xludf.DUMMYFUNCTION("""COMPUTED_VALUE"""),45324)</f>
        <v>45324</v>
      </c>
      <c r="M1278" s="18">
        <f ca="1">IFERROR(__xludf.DUMMYFUNCTION("""COMPUTED_VALUE"""),45324)</f>
        <v>45324</v>
      </c>
      <c r="N1278" s="5" t="str">
        <f ca="1">IFERROR(__xludf.DUMMYFUNCTION("""COMPUTED_VALUE"""),"Campo Rodriguez Adalcides Jesus")</f>
        <v>Campo Rodriguez Adalcides Jesus</v>
      </c>
      <c r="O1278" s="2">
        <f ca="1">IFERROR(__xludf.DUMMYFUNCTION("""COMPUTED_VALUE"""),0.007692308)</f>
        <v>7.6923080000000001E-3</v>
      </c>
      <c r="P1278" s="5">
        <f ca="1">IFERROR(__xludf.DUMMYFUNCTION("""COMPUTED_VALUE"""),20036419)</f>
        <v>20036419</v>
      </c>
      <c r="Q1278" s="5" t="str">
        <f ca="1">IFERROR(__xludf.DUMMYFUNCTION("""COMPUTED_VALUE"""),"yRI88AscKOE")</f>
        <v>yRI88AscKOE</v>
      </c>
      <c r="R1278" s="5">
        <f ca="1">IFERROR(__xludf.DUMMYFUNCTION("""COMPUTED_VALUE"""),410)</f>
        <v>410</v>
      </c>
      <c r="S1278" s="62">
        <f ca="1">IFERROR(__xludf.DUMMYFUNCTION("""COMPUTED_VALUE"""),0.007692308)</f>
        <v>7.6923080000000001E-3</v>
      </c>
      <c r="T1278" s="63" t="str">
        <f ca="1">IFERROR(__xludf.DUMMYFUNCTION("""COMPUTED_VALUE"""),"https://storage.googleapis.com/glide-prod.appspot.com/uploads-v2/ly7o78grxPaC6KdgvbpS/pub/3aRdSog0vUtuqPE8AJKD.png")</f>
        <v>https://storage.googleapis.com/glide-prod.appspot.com/uploads-v2/ly7o78grxPaC6KdgvbpS/pub/3aRdSog0vUtuqPE8AJKD.png</v>
      </c>
      <c r="U1278" s="5" t="str">
        <f ca="1">IFERROR(__xludf.DUMMYFUNCTION("""COMPUTED_VALUE"""),"LINEA DE ENVASADO TAMAÑO PERSONALTRANSPORTADOR DE BOTELLAS")</f>
        <v>LINEA DE ENVASADO TAMAÑO PERSONALTRANSPORTADOR DE BOTELLAS</v>
      </c>
      <c r="V1278" s="5"/>
      <c r="W1278" s="5" t="b">
        <f ca="1">IFERROR(__xludf.DUMMYFUNCTION("""COMPUTED_VALUE"""),TRUE)</f>
        <v>1</v>
      </c>
      <c r="X1278" s="5" t="str">
        <f ca="1">IFERROR(__xludf.DUMMYFUNCTION("""COMPUTED_VALUE"""),"wguerra@postobon.com.co,aprmttoyu@postobon.com.co,aprmyu@postobon.com.co,wmora@postobon.com.co,efzapata@postobon.com.co")</f>
        <v>wguerra@postobon.com.co,aprmttoyu@postobon.com.co,aprmyu@postobon.com.co,wmora@postobon.com.co,efzapata@postobon.com.co</v>
      </c>
      <c r="Y1278" s="5" t="str">
        <f ca="1">IFERROR(__xludf.DUMMYFUNCTION("""COMPUTED_VALUE"""),"wguerra@postobon.com.co")</f>
        <v>wguerra@postobon.com.co</v>
      </c>
      <c r="Z1278" s="5" t="str">
        <f ca="1">IFERROR(__xludf.DUMMYFUNCTION("""COMPUTED_VALUE"""),"V-h1y4QrSaSk6nksxeFX6w")</f>
        <v>V-h1y4QrSaSk6nksxeFX6w</v>
      </c>
      <c r="AA1278" s="5"/>
      <c r="AB1278" s="5"/>
      <c r="AC1278" s="5"/>
      <c r="AD1278" s="5">
        <f ca="1">IFERROR(__xludf.DUMMYFUNCTION("""COMPUTED_VALUE"""),43)</f>
        <v>43</v>
      </c>
      <c r="AE1278" s="5">
        <f ca="1">IFERROR(__xludf.DUMMYFUNCTION("""COMPUTED_VALUE"""),43)</f>
        <v>43</v>
      </c>
      <c r="AF1278" s="5" t="b">
        <f ca="1">IFERROR(__xludf.DUMMYFUNCTION("""COMPUTED_VALUE"""),FALSE)</f>
        <v>0</v>
      </c>
      <c r="AG1278" s="5" t="str">
        <f ca="1">IFERROR(__xludf.DUMMYFUNCTION("""COMPUTED_VALUE"""),"INSPECCIONES REALIZADAS")</f>
        <v>INSPECCIONES REALIZADAS</v>
      </c>
      <c r="AH1278" s="5"/>
    </row>
    <row r="1279" spans="1:34">
      <c r="A1279" s="5" t="str">
        <f ca="1">IFERROR(__xludf.DUMMYFUNCTION("""COMPUTED_VALUE"""),"LINEA DE ENVASADO TAMAÑO PERSONAL")</f>
        <v>LINEA DE ENVASADO TAMAÑO PERSONAL</v>
      </c>
      <c r="B1279" s="5">
        <f ca="1">IFERROR(__xludf.DUMMYFUNCTION("""COMPUTED_VALUE"""),829654)</f>
        <v>829654</v>
      </c>
      <c r="C1279" s="5" t="str">
        <f ca="1">IFERROR(__xludf.DUMMYFUNCTION("""COMPUTED_VALUE"""),"TRANSPORTADOR DE BOTELLAS")</f>
        <v>TRANSPORTADOR DE BOTELLAS</v>
      </c>
      <c r="D1279" s="5">
        <f ca="1">IFERROR(__xludf.DUMMYFUNCTION("""COMPUTED_VALUE"""),13247635)</f>
        <v>13247635</v>
      </c>
      <c r="E1279" s="5" t="str">
        <f ca="1">IFERROR(__xludf.DUMMYFUNCTION("""COMPUTED_VALUE"""),"INSPECCION SEMANAL TRANSP DE BOTELLAS")</f>
        <v>INSPECCION SEMANAL TRANSP DE BOTELLAS</v>
      </c>
      <c r="F1279" s="5" t="str">
        <f ca="1">IFERROR(__xludf.DUMMYFUNCTION("""COMPUTED_VALUE"""),"Estado de tableros eléctricos de mando, control y potencia")</f>
        <v>Estado de tableros eléctricos de mando, control y potencia</v>
      </c>
      <c r="G1279" s="5" t="b">
        <f ca="1">IFERROR(__xludf.DUMMYFUNCTION("""COMPUTED_VALUE"""),TRUE)</f>
        <v>1</v>
      </c>
      <c r="H1279" s="5"/>
      <c r="I1279" s="5"/>
      <c r="J1279" s="5">
        <f ca="1">IFERROR(__xludf.DUMMYFUNCTION("""COMPUTED_VALUE"""),13247635)</f>
        <v>13247635</v>
      </c>
      <c r="K1279" s="5"/>
      <c r="L1279" s="18">
        <f ca="1">IFERROR(__xludf.DUMMYFUNCTION("""COMPUTED_VALUE"""),45324)</f>
        <v>45324</v>
      </c>
      <c r="M1279" s="18">
        <f ca="1">IFERROR(__xludf.DUMMYFUNCTION("""COMPUTED_VALUE"""),45324)</f>
        <v>45324</v>
      </c>
      <c r="N1279" s="5" t="str">
        <f ca="1">IFERROR(__xludf.DUMMYFUNCTION("""COMPUTED_VALUE"""),"Campo Rodriguez Adalcides Jesus")</f>
        <v>Campo Rodriguez Adalcides Jesus</v>
      </c>
      <c r="O1279" s="2">
        <f ca="1">IFERROR(__xludf.DUMMYFUNCTION("""COMPUTED_VALUE"""),0.007692308)</f>
        <v>7.6923080000000001E-3</v>
      </c>
      <c r="P1279" s="5">
        <f ca="1">IFERROR(__xludf.DUMMYFUNCTION("""COMPUTED_VALUE"""),20036419)</f>
        <v>20036419</v>
      </c>
      <c r="Q1279" s="5" t="str">
        <f ca="1">IFERROR(__xludf.DUMMYFUNCTION("""COMPUTED_VALUE"""),"6gWwUeGCj64")</f>
        <v>6gWwUeGCj64</v>
      </c>
      <c r="R1279" s="5">
        <f ca="1">IFERROR(__xludf.DUMMYFUNCTION("""COMPUTED_VALUE"""),410)</f>
        <v>410</v>
      </c>
      <c r="S1279" s="62">
        <f ca="1">IFERROR(__xludf.DUMMYFUNCTION("""COMPUTED_VALUE"""),0.007692308)</f>
        <v>7.6923080000000001E-3</v>
      </c>
      <c r="T1279" s="63" t="str">
        <f ca="1">IFERROR(__xludf.DUMMYFUNCTION("""COMPUTED_VALUE"""),"https://storage.googleapis.com/glide-prod.appspot.com/uploads-v2/ly7o78grxPaC6KdgvbpS/pub/3aRdSog0vUtuqPE8AJKD.png")</f>
        <v>https://storage.googleapis.com/glide-prod.appspot.com/uploads-v2/ly7o78grxPaC6KdgvbpS/pub/3aRdSog0vUtuqPE8AJKD.png</v>
      </c>
      <c r="U1279" s="5" t="str">
        <f ca="1">IFERROR(__xludf.DUMMYFUNCTION("""COMPUTED_VALUE"""),"LINEA DE ENVASADO TAMAÑO PERSONALTRANSPORTADOR DE BOTELLAS")</f>
        <v>LINEA DE ENVASADO TAMAÑO PERSONALTRANSPORTADOR DE BOTELLAS</v>
      </c>
      <c r="V1279" s="5"/>
      <c r="W1279" s="5" t="b">
        <f ca="1">IFERROR(__xludf.DUMMYFUNCTION("""COMPUTED_VALUE"""),TRUE)</f>
        <v>1</v>
      </c>
      <c r="X1279" s="5" t="str">
        <f ca="1">IFERROR(__xludf.DUMMYFUNCTION("""COMPUTED_VALUE"""),"wguerra@postobon.com.co,aprmttoyu@postobon.com.co,aprmyu@postobon.com.co,wmora@postobon.com.co,efzapata@postobon.com.co")</f>
        <v>wguerra@postobon.com.co,aprmttoyu@postobon.com.co,aprmyu@postobon.com.co,wmora@postobon.com.co,efzapata@postobon.com.co</v>
      </c>
      <c r="Y1279" s="5" t="str">
        <f ca="1">IFERROR(__xludf.DUMMYFUNCTION("""COMPUTED_VALUE"""),"wguerra@postobon.com.co")</f>
        <v>wguerra@postobon.com.co</v>
      </c>
      <c r="Z1279" s="5" t="str">
        <f ca="1">IFERROR(__xludf.DUMMYFUNCTION("""COMPUTED_VALUE"""),"Q5SEANbuSWujoEVCX92jmw")</f>
        <v>Q5SEANbuSWujoEVCX92jmw</v>
      </c>
      <c r="AA1279" s="5"/>
      <c r="AB1279" s="5"/>
      <c r="AC1279" s="5"/>
      <c r="AD1279" s="5">
        <f ca="1">IFERROR(__xludf.DUMMYFUNCTION("""COMPUTED_VALUE"""),43)</f>
        <v>43</v>
      </c>
      <c r="AE1279" s="5">
        <f ca="1">IFERROR(__xludf.DUMMYFUNCTION("""COMPUTED_VALUE"""),43)</f>
        <v>43</v>
      </c>
      <c r="AF1279" s="5" t="b">
        <f ca="1">IFERROR(__xludf.DUMMYFUNCTION("""COMPUTED_VALUE"""),FALSE)</f>
        <v>0</v>
      </c>
      <c r="AG1279" s="5" t="str">
        <f ca="1">IFERROR(__xludf.DUMMYFUNCTION("""COMPUTED_VALUE"""),"INSPECCIONES REALIZADAS")</f>
        <v>INSPECCIONES REALIZADAS</v>
      </c>
      <c r="AH1279" s="5"/>
    </row>
    <row r="1280" spans="1:34">
      <c r="A1280" s="5" t="str">
        <f ca="1">IFERROR(__xludf.DUMMYFUNCTION("""COMPUTED_VALUE"""),"LINEA DE ENVASADO TAMAÑO PERSONAL")</f>
        <v>LINEA DE ENVASADO TAMAÑO PERSONAL</v>
      </c>
      <c r="B1280" s="5">
        <f ca="1">IFERROR(__xludf.DUMMYFUNCTION("""COMPUTED_VALUE"""),829654)</f>
        <v>829654</v>
      </c>
      <c r="C1280" s="5" t="str">
        <f ca="1">IFERROR(__xludf.DUMMYFUNCTION("""COMPUTED_VALUE"""),"TRANSPORTADOR DE BOTELLAS")</f>
        <v>TRANSPORTADOR DE BOTELLAS</v>
      </c>
      <c r="D1280" s="5">
        <f ca="1">IFERROR(__xludf.DUMMYFUNCTION("""COMPUTED_VALUE"""),13247635)</f>
        <v>13247635</v>
      </c>
      <c r="E1280" s="5" t="str">
        <f ca="1">IFERROR(__xludf.DUMMYFUNCTION("""COMPUTED_VALUE"""),"INSPECCION SEMANAL TRANSP DE BOTELLAS")</f>
        <v>INSPECCION SEMANAL TRANSP DE BOTELLAS</v>
      </c>
      <c r="F1280" s="5" t="str">
        <f ca="1">IFERROR(__xludf.DUMMYFUNCTION("""COMPUTED_VALUE"""),"Estado de sensores")</f>
        <v>Estado de sensores</v>
      </c>
      <c r="G1280" s="5" t="b">
        <f ca="1">IFERROR(__xludf.DUMMYFUNCTION("""COMPUTED_VALUE"""),TRUE)</f>
        <v>1</v>
      </c>
      <c r="H1280" s="5"/>
      <c r="I1280" s="5"/>
      <c r="J1280" s="5">
        <f ca="1">IFERROR(__xludf.DUMMYFUNCTION("""COMPUTED_VALUE"""),13247635)</f>
        <v>13247635</v>
      </c>
      <c r="K1280" s="5"/>
      <c r="L1280" s="18">
        <f ca="1">IFERROR(__xludf.DUMMYFUNCTION("""COMPUTED_VALUE"""),45324)</f>
        <v>45324</v>
      </c>
      <c r="M1280" s="18">
        <f ca="1">IFERROR(__xludf.DUMMYFUNCTION("""COMPUTED_VALUE"""),45324)</f>
        <v>45324</v>
      </c>
      <c r="N1280" s="5" t="str">
        <f ca="1">IFERROR(__xludf.DUMMYFUNCTION("""COMPUTED_VALUE"""),"Campo Rodriguez Adalcides Jesus")</f>
        <v>Campo Rodriguez Adalcides Jesus</v>
      </c>
      <c r="O1280" s="2">
        <f ca="1">IFERROR(__xludf.DUMMYFUNCTION("""COMPUTED_VALUE"""),0.007692308)</f>
        <v>7.6923080000000001E-3</v>
      </c>
      <c r="P1280" s="5">
        <f ca="1">IFERROR(__xludf.DUMMYFUNCTION("""COMPUTED_VALUE"""),20036419)</f>
        <v>20036419</v>
      </c>
      <c r="Q1280" s="5" t="str">
        <f ca="1">IFERROR(__xludf.DUMMYFUNCTION("""COMPUTED_VALUE"""),"U_8ac5X6mL8")</f>
        <v>U_8ac5X6mL8</v>
      </c>
      <c r="R1280" s="5">
        <f ca="1">IFERROR(__xludf.DUMMYFUNCTION("""COMPUTED_VALUE"""),410)</f>
        <v>410</v>
      </c>
      <c r="S1280" s="62">
        <f ca="1">IFERROR(__xludf.DUMMYFUNCTION("""COMPUTED_VALUE"""),0.007692308)</f>
        <v>7.6923080000000001E-3</v>
      </c>
      <c r="T1280" s="63" t="str">
        <f ca="1">IFERROR(__xludf.DUMMYFUNCTION("""COMPUTED_VALUE"""),"https://storage.googleapis.com/glide-prod.appspot.com/uploads-v2/ly7o78grxPaC6KdgvbpS/pub/3aRdSog0vUtuqPE8AJKD.png")</f>
        <v>https://storage.googleapis.com/glide-prod.appspot.com/uploads-v2/ly7o78grxPaC6KdgvbpS/pub/3aRdSog0vUtuqPE8AJKD.png</v>
      </c>
      <c r="U1280" s="5" t="str">
        <f ca="1">IFERROR(__xludf.DUMMYFUNCTION("""COMPUTED_VALUE"""),"LINEA DE ENVASADO TAMAÑO PERSONALTRANSPORTADOR DE BOTELLAS")</f>
        <v>LINEA DE ENVASADO TAMAÑO PERSONALTRANSPORTADOR DE BOTELLAS</v>
      </c>
      <c r="V1280" s="5"/>
      <c r="W1280" s="5" t="b">
        <f ca="1">IFERROR(__xludf.DUMMYFUNCTION("""COMPUTED_VALUE"""),TRUE)</f>
        <v>1</v>
      </c>
      <c r="X1280" s="5" t="str">
        <f ca="1">IFERROR(__xludf.DUMMYFUNCTION("""COMPUTED_VALUE"""),"wguerra@postobon.com.co,aprmttoyu@postobon.com.co,aprmyu@postobon.com.co,wmora@postobon.com.co,efzapata@postobon.com.co")</f>
        <v>wguerra@postobon.com.co,aprmttoyu@postobon.com.co,aprmyu@postobon.com.co,wmora@postobon.com.co,efzapata@postobon.com.co</v>
      </c>
      <c r="Y1280" s="5" t="str">
        <f ca="1">IFERROR(__xludf.DUMMYFUNCTION("""COMPUTED_VALUE"""),"wguerra@postobon.com.co")</f>
        <v>wguerra@postobon.com.co</v>
      </c>
      <c r="Z1280" s="5" t="str">
        <f ca="1">IFERROR(__xludf.DUMMYFUNCTION("""COMPUTED_VALUE"""),"t0H8Tg1OReK62mUQkkZ1EA")</f>
        <v>t0H8Tg1OReK62mUQkkZ1EA</v>
      </c>
      <c r="AA1280" s="5"/>
      <c r="AB1280" s="5"/>
      <c r="AC1280" s="5"/>
      <c r="AD1280" s="5">
        <f ca="1">IFERROR(__xludf.DUMMYFUNCTION("""COMPUTED_VALUE"""),43)</f>
        <v>43</v>
      </c>
      <c r="AE1280" s="5">
        <f ca="1">IFERROR(__xludf.DUMMYFUNCTION("""COMPUTED_VALUE"""),43)</f>
        <v>43</v>
      </c>
      <c r="AF1280" s="5" t="b">
        <f ca="1">IFERROR(__xludf.DUMMYFUNCTION("""COMPUTED_VALUE"""),FALSE)</f>
        <v>0</v>
      </c>
      <c r="AG1280" s="5" t="str">
        <f ca="1">IFERROR(__xludf.DUMMYFUNCTION("""COMPUTED_VALUE"""),"INSPECCIONES REALIZADAS")</f>
        <v>INSPECCIONES REALIZADAS</v>
      </c>
      <c r="AH1280" s="5"/>
    </row>
    <row r="1281" spans="1:34">
      <c r="A1281" s="5" t="str">
        <f ca="1">IFERROR(__xludf.DUMMYFUNCTION("""COMPUTED_VALUE"""),"LINEA DE ENVASADO TAMAÑO PERSONAL")</f>
        <v>LINEA DE ENVASADO TAMAÑO PERSONAL</v>
      </c>
      <c r="B1281" s="5">
        <f ca="1">IFERROR(__xludf.DUMMYFUNCTION("""COMPUTED_VALUE"""),829654)</f>
        <v>829654</v>
      </c>
      <c r="C1281" s="5" t="str">
        <f ca="1">IFERROR(__xludf.DUMMYFUNCTION("""COMPUTED_VALUE"""),"TRANSPORTADOR DE BOTELLAS")</f>
        <v>TRANSPORTADOR DE BOTELLAS</v>
      </c>
      <c r="D1281" s="5">
        <f ca="1">IFERROR(__xludf.DUMMYFUNCTION("""COMPUTED_VALUE"""),13247635)</f>
        <v>13247635</v>
      </c>
      <c r="E1281" s="5" t="str">
        <f ca="1">IFERROR(__xludf.DUMMYFUNCTION("""COMPUTED_VALUE"""),"INSPECCION SEMANAL TRANSP DE BOTELLAS")</f>
        <v>INSPECCION SEMANAL TRANSP DE BOTELLAS</v>
      </c>
      <c r="F1281" s="5" t="str">
        <f ca="1">IFERROR(__xludf.DUMMYFUNCTION("""COMPUTED_VALUE"""),"Estado perfiles de desgaste plasticos")</f>
        <v>Estado perfiles de desgaste plasticos</v>
      </c>
      <c r="G1281" s="5" t="b">
        <f ca="1">IFERROR(__xludf.DUMMYFUNCTION("""COMPUTED_VALUE"""),TRUE)</f>
        <v>1</v>
      </c>
      <c r="H1281" s="5"/>
      <c r="I1281" s="5"/>
      <c r="J1281" s="5">
        <f ca="1">IFERROR(__xludf.DUMMYFUNCTION("""COMPUTED_VALUE"""),13247635)</f>
        <v>13247635</v>
      </c>
      <c r="K1281" s="5"/>
      <c r="L1281" s="18">
        <f ca="1">IFERROR(__xludf.DUMMYFUNCTION("""COMPUTED_VALUE"""),45324)</f>
        <v>45324</v>
      </c>
      <c r="M1281" s="18">
        <f ca="1">IFERROR(__xludf.DUMMYFUNCTION("""COMPUTED_VALUE"""),45324)</f>
        <v>45324</v>
      </c>
      <c r="N1281" s="5" t="str">
        <f ca="1">IFERROR(__xludf.DUMMYFUNCTION("""COMPUTED_VALUE"""),"Campo Rodriguez Adalcides Jesus")</f>
        <v>Campo Rodriguez Adalcides Jesus</v>
      </c>
      <c r="O1281" s="2">
        <f ca="1">IFERROR(__xludf.DUMMYFUNCTION("""COMPUTED_VALUE"""),0.007692308)</f>
        <v>7.6923080000000001E-3</v>
      </c>
      <c r="P1281" s="5">
        <f ca="1">IFERROR(__xludf.DUMMYFUNCTION("""COMPUTED_VALUE"""),20036419)</f>
        <v>20036419</v>
      </c>
      <c r="Q1281" s="5" t="str">
        <f ca="1">IFERROR(__xludf.DUMMYFUNCTION("""COMPUTED_VALUE"""),"pav-Q7STtX4")</f>
        <v>pav-Q7STtX4</v>
      </c>
      <c r="R1281" s="5">
        <f ca="1">IFERROR(__xludf.DUMMYFUNCTION("""COMPUTED_VALUE"""),410)</f>
        <v>410</v>
      </c>
      <c r="S1281" s="62">
        <f ca="1">IFERROR(__xludf.DUMMYFUNCTION("""COMPUTED_VALUE"""),0.007692308)</f>
        <v>7.6923080000000001E-3</v>
      </c>
      <c r="T1281" s="63" t="str">
        <f ca="1">IFERROR(__xludf.DUMMYFUNCTION("""COMPUTED_VALUE"""),"https://storage.googleapis.com/glide-prod.appspot.com/uploads-v2/ly7o78grxPaC6KdgvbpS/pub/3aRdSog0vUtuqPE8AJKD.png")</f>
        <v>https://storage.googleapis.com/glide-prod.appspot.com/uploads-v2/ly7o78grxPaC6KdgvbpS/pub/3aRdSog0vUtuqPE8AJKD.png</v>
      </c>
      <c r="U1281" s="5" t="str">
        <f ca="1">IFERROR(__xludf.DUMMYFUNCTION("""COMPUTED_VALUE"""),"LINEA DE ENVASADO TAMAÑO PERSONALTRANSPORTADOR DE BOTELLAS")</f>
        <v>LINEA DE ENVASADO TAMAÑO PERSONALTRANSPORTADOR DE BOTELLAS</v>
      </c>
      <c r="V1281" s="5"/>
      <c r="W1281" s="5" t="b">
        <f ca="1">IFERROR(__xludf.DUMMYFUNCTION("""COMPUTED_VALUE"""),TRUE)</f>
        <v>1</v>
      </c>
      <c r="X1281" s="5" t="str">
        <f ca="1">IFERROR(__xludf.DUMMYFUNCTION("""COMPUTED_VALUE"""),"wguerra@postobon.com.co,aprmttoyu@postobon.com.co,aprmyu@postobon.com.co,wmora@postobon.com.co,efzapata@postobon.com.co")</f>
        <v>wguerra@postobon.com.co,aprmttoyu@postobon.com.co,aprmyu@postobon.com.co,wmora@postobon.com.co,efzapata@postobon.com.co</v>
      </c>
      <c r="Y1281" s="5" t="str">
        <f ca="1">IFERROR(__xludf.DUMMYFUNCTION("""COMPUTED_VALUE"""),"wguerra@postobon.com.co")</f>
        <v>wguerra@postobon.com.co</v>
      </c>
      <c r="Z1281" s="5" t="str">
        <f ca="1">IFERROR(__xludf.DUMMYFUNCTION("""COMPUTED_VALUE"""),"18yLVvIgTd-dqD3BK3EyUg")</f>
        <v>18yLVvIgTd-dqD3BK3EyUg</v>
      </c>
      <c r="AA1281" s="5"/>
      <c r="AB1281" s="5"/>
      <c r="AC1281" s="5"/>
      <c r="AD1281" s="5">
        <f ca="1">IFERROR(__xludf.DUMMYFUNCTION("""COMPUTED_VALUE"""),43)</f>
        <v>43</v>
      </c>
      <c r="AE1281" s="5">
        <f ca="1">IFERROR(__xludf.DUMMYFUNCTION("""COMPUTED_VALUE"""),43)</f>
        <v>43</v>
      </c>
      <c r="AF1281" s="5" t="b">
        <f ca="1">IFERROR(__xludf.DUMMYFUNCTION("""COMPUTED_VALUE"""),FALSE)</f>
        <v>0</v>
      </c>
      <c r="AG1281" s="5" t="str">
        <f ca="1">IFERROR(__xludf.DUMMYFUNCTION("""COMPUTED_VALUE"""),"INSPECCIONES REALIZADAS")</f>
        <v>INSPECCIONES REALIZADAS</v>
      </c>
      <c r="AH1281" s="5"/>
    </row>
    <row r="1282" spans="1:34">
      <c r="A1282" s="5" t="str">
        <f ca="1">IFERROR(__xludf.DUMMYFUNCTION("""COMPUTED_VALUE"""),"LINEA DE ENVASADO TAMAÑO PERSONAL")</f>
        <v>LINEA DE ENVASADO TAMAÑO PERSONAL</v>
      </c>
      <c r="B1282" s="5">
        <f ca="1">IFERROR(__xludf.DUMMYFUNCTION("""COMPUTED_VALUE"""),829654)</f>
        <v>829654</v>
      </c>
      <c r="C1282" s="5" t="str">
        <f ca="1">IFERROR(__xludf.DUMMYFUNCTION("""COMPUTED_VALUE"""),"TRANSPORTADOR DE BOTELLAS")</f>
        <v>TRANSPORTADOR DE BOTELLAS</v>
      </c>
      <c r="D1282" s="5">
        <f ca="1">IFERROR(__xludf.DUMMYFUNCTION("""COMPUTED_VALUE"""),13247635)</f>
        <v>13247635</v>
      </c>
      <c r="E1282" s="5" t="str">
        <f ca="1">IFERROR(__xludf.DUMMYFUNCTION("""COMPUTED_VALUE"""),"INSPECCION SEMANAL TRANSP DE BOTELLAS")</f>
        <v>INSPECCION SEMANAL TRANSP DE BOTELLAS</v>
      </c>
      <c r="F1282" s="5" t="str">
        <f ca="1">IFERROR(__xludf.DUMMYFUNCTION("""COMPUTED_VALUE"""),"Estado de cajas reductoras")</f>
        <v>Estado de cajas reductoras</v>
      </c>
      <c r="G1282" s="5" t="b">
        <f ca="1">IFERROR(__xludf.DUMMYFUNCTION("""COMPUTED_VALUE"""),TRUE)</f>
        <v>1</v>
      </c>
      <c r="H1282" s="5"/>
      <c r="I1282" s="5"/>
      <c r="J1282" s="5">
        <f ca="1">IFERROR(__xludf.DUMMYFUNCTION("""COMPUTED_VALUE"""),13247635)</f>
        <v>13247635</v>
      </c>
      <c r="K1282" s="5"/>
      <c r="L1282" s="18">
        <f ca="1">IFERROR(__xludf.DUMMYFUNCTION("""COMPUTED_VALUE"""),45324)</f>
        <v>45324</v>
      </c>
      <c r="M1282" s="18">
        <f ca="1">IFERROR(__xludf.DUMMYFUNCTION("""COMPUTED_VALUE"""),45324)</f>
        <v>45324</v>
      </c>
      <c r="N1282" s="5" t="str">
        <f ca="1">IFERROR(__xludf.DUMMYFUNCTION("""COMPUTED_VALUE"""),"Campo Rodriguez Adalcides Jesus")</f>
        <v>Campo Rodriguez Adalcides Jesus</v>
      </c>
      <c r="O1282" s="2">
        <f ca="1">IFERROR(__xludf.DUMMYFUNCTION("""COMPUTED_VALUE"""),0.007692308)</f>
        <v>7.6923080000000001E-3</v>
      </c>
      <c r="P1282" s="5">
        <f ca="1">IFERROR(__xludf.DUMMYFUNCTION("""COMPUTED_VALUE"""),20036419)</f>
        <v>20036419</v>
      </c>
      <c r="Q1282" s="5" t="str">
        <f ca="1">IFERROR(__xludf.DUMMYFUNCTION("""COMPUTED_VALUE"""),"l_lFoLZIUT4")</f>
        <v>l_lFoLZIUT4</v>
      </c>
      <c r="R1282" s="5">
        <f ca="1">IFERROR(__xludf.DUMMYFUNCTION("""COMPUTED_VALUE"""),410)</f>
        <v>410</v>
      </c>
      <c r="S1282" s="62">
        <f ca="1">IFERROR(__xludf.DUMMYFUNCTION("""COMPUTED_VALUE"""),0.007692308)</f>
        <v>7.6923080000000001E-3</v>
      </c>
      <c r="T1282" s="63" t="str">
        <f ca="1">IFERROR(__xludf.DUMMYFUNCTION("""COMPUTED_VALUE"""),"https://storage.googleapis.com/glide-prod.appspot.com/uploads-v2/ly7o78grxPaC6KdgvbpS/pub/3aRdSog0vUtuqPE8AJKD.png")</f>
        <v>https://storage.googleapis.com/glide-prod.appspot.com/uploads-v2/ly7o78grxPaC6KdgvbpS/pub/3aRdSog0vUtuqPE8AJKD.png</v>
      </c>
      <c r="U1282" s="5" t="str">
        <f ca="1">IFERROR(__xludf.DUMMYFUNCTION("""COMPUTED_VALUE"""),"LINEA DE ENVASADO TAMAÑO PERSONALTRANSPORTADOR DE BOTELLAS")</f>
        <v>LINEA DE ENVASADO TAMAÑO PERSONALTRANSPORTADOR DE BOTELLAS</v>
      </c>
      <c r="V1282" s="5"/>
      <c r="W1282" s="5" t="b">
        <f ca="1">IFERROR(__xludf.DUMMYFUNCTION("""COMPUTED_VALUE"""),TRUE)</f>
        <v>1</v>
      </c>
      <c r="X1282" s="5" t="str">
        <f ca="1">IFERROR(__xludf.DUMMYFUNCTION("""COMPUTED_VALUE"""),"wguerra@postobon.com.co,aprmttoyu@postobon.com.co,aprmyu@postobon.com.co,wmora@postobon.com.co,efzapata@postobon.com.co")</f>
        <v>wguerra@postobon.com.co,aprmttoyu@postobon.com.co,aprmyu@postobon.com.co,wmora@postobon.com.co,efzapata@postobon.com.co</v>
      </c>
      <c r="Y1282" s="5" t="str">
        <f ca="1">IFERROR(__xludf.DUMMYFUNCTION("""COMPUTED_VALUE"""),"wguerra@postobon.com.co")</f>
        <v>wguerra@postobon.com.co</v>
      </c>
      <c r="Z1282" s="5" t="str">
        <f ca="1">IFERROR(__xludf.DUMMYFUNCTION("""COMPUTED_VALUE"""),"gyJlWJOPQYurNgXSuavERg")</f>
        <v>gyJlWJOPQYurNgXSuavERg</v>
      </c>
      <c r="AA1282" s="5"/>
      <c r="AB1282" s="5"/>
      <c r="AC1282" s="5"/>
      <c r="AD1282" s="5">
        <f ca="1">IFERROR(__xludf.DUMMYFUNCTION("""COMPUTED_VALUE"""),43)</f>
        <v>43</v>
      </c>
      <c r="AE1282" s="5">
        <f ca="1">IFERROR(__xludf.DUMMYFUNCTION("""COMPUTED_VALUE"""),43)</f>
        <v>43</v>
      </c>
      <c r="AF1282" s="5" t="b">
        <f ca="1">IFERROR(__xludf.DUMMYFUNCTION("""COMPUTED_VALUE"""),FALSE)</f>
        <v>0</v>
      </c>
      <c r="AG1282" s="5" t="str">
        <f ca="1">IFERROR(__xludf.DUMMYFUNCTION("""COMPUTED_VALUE"""),"INSPECCIONES REALIZADAS")</f>
        <v>INSPECCIONES REALIZADAS</v>
      </c>
      <c r="AH1282" s="5"/>
    </row>
    <row r="1283" spans="1:34">
      <c r="A1283" s="5" t="str">
        <f ca="1">IFERROR(__xludf.DUMMYFUNCTION("""COMPUTED_VALUE"""),"LINEA DE ENVASADO TAMAÑO PERSONAL")</f>
        <v>LINEA DE ENVASADO TAMAÑO PERSONAL</v>
      </c>
      <c r="B1283" s="5">
        <f ca="1">IFERROR(__xludf.DUMMYFUNCTION("""COMPUTED_VALUE"""),829654)</f>
        <v>829654</v>
      </c>
      <c r="C1283" s="5" t="str">
        <f ca="1">IFERROR(__xludf.DUMMYFUNCTION("""COMPUTED_VALUE"""),"TRANSPORTADOR DE BOTELLAS")</f>
        <v>TRANSPORTADOR DE BOTELLAS</v>
      </c>
      <c r="D1283" s="5">
        <f ca="1">IFERROR(__xludf.DUMMYFUNCTION("""COMPUTED_VALUE"""),13247635)</f>
        <v>13247635</v>
      </c>
      <c r="E1283" s="5" t="str">
        <f ca="1">IFERROR(__xludf.DUMMYFUNCTION("""COMPUTED_VALUE"""),"INSPECCION SEMANAL TRANSP DE BOTELLAS")</f>
        <v>INSPECCION SEMANAL TRANSP DE BOTELLAS</v>
      </c>
      <c r="F1283" s="5" t="str">
        <f ca="1">IFERROR(__xludf.DUMMYFUNCTION("""COMPUTED_VALUE"""),"Estado de lentes inspector humano")</f>
        <v>Estado de lentes inspector humano</v>
      </c>
      <c r="G1283" s="5" t="b">
        <f ca="1">IFERROR(__xludf.DUMMYFUNCTION("""COMPUTED_VALUE"""),TRUE)</f>
        <v>1</v>
      </c>
      <c r="H1283" s="5"/>
      <c r="I1283" s="5"/>
      <c r="J1283" s="5">
        <f ca="1">IFERROR(__xludf.DUMMYFUNCTION("""COMPUTED_VALUE"""),13247635)</f>
        <v>13247635</v>
      </c>
      <c r="K1283" s="5"/>
      <c r="L1283" s="18">
        <f ca="1">IFERROR(__xludf.DUMMYFUNCTION("""COMPUTED_VALUE"""),45324)</f>
        <v>45324</v>
      </c>
      <c r="M1283" s="18">
        <f ca="1">IFERROR(__xludf.DUMMYFUNCTION("""COMPUTED_VALUE"""),45324)</f>
        <v>45324</v>
      </c>
      <c r="N1283" s="5" t="str">
        <f ca="1">IFERROR(__xludf.DUMMYFUNCTION("""COMPUTED_VALUE"""),"Campo Rodriguez Adalcides Jesus")</f>
        <v>Campo Rodriguez Adalcides Jesus</v>
      </c>
      <c r="O1283" s="2">
        <f ca="1">IFERROR(__xludf.DUMMYFUNCTION("""COMPUTED_VALUE"""),0.007692308)</f>
        <v>7.6923080000000001E-3</v>
      </c>
      <c r="P1283" s="5">
        <f ca="1">IFERROR(__xludf.DUMMYFUNCTION("""COMPUTED_VALUE"""),20036419)</f>
        <v>20036419</v>
      </c>
      <c r="Q1283" s="5" t="str">
        <f ca="1">IFERROR(__xludf.DUMMYFUNCTION("""COMPUTED_VALUE"""),"c3-O_KTGxe8")</f>
        <v>c3-O_KTGxe8</v>
      </c>
      <c r="R1283" s="5">
        <f ca="1">IFERROR(__xludf.DUMMYFUNCTION("""COMPUTED_VALUE"""),410)</f>
        <v>410</v>
      </c>
      <c r="S1283" s="62">
        <f ca="1">IFERROR(__xludf.DUMMYFUNCTION("""COMPUTED_VALUE"""),0.007692308)</f>
        <v>7.6923080000000001E-3</v>
      </c>
      <c r="T1283" s="63" t="str">
        <f ca="1">IFERROR(__xludf.DUMMYFUNCTION("""COMPUTED_VALUE"""),"https://storage.googleapis.com/glide-prod.appspot.com/uploads-v2/ly7o78grxPaC6KdgvbpS/pub/3aRdSog0vUtuqPE8AJKD.png")</f>
        <v>https://storage.googleapis.com/glide-prod.appspot.com/uploads-v2/ly7o78grxPaC6KdgvbpS/pub/3aRdSog0vUtuqPE8AJKD.png</v>
      </c>
      <c r="U1283" s="5" t="str">
        <f ca="1">IFERROR(__xludf.DUMMYFUNCTION("""COMPUTED_VALUE"""),"LINEA DE ENVASADO TAMAÑO PERSONALTRANSPORTADOR DE BOTELLAS")</f>
        <v>LINEA DE ENVASADO TAMAÑO PERSONALTRANSPORTADOR DE BOTELLAS</v>
      </c>
      <c r="V1283" s="5"/>
      <c r="W1283" s="5" t="b">
        <f ca="1">IFERROR(__xludf.DUMMYFUNCTION("""COMPUTED_VALUE"""),TRUE)</f>
        <v>1</v>
      </c>
      <c r="X1283" s="5" t="str">
        <f ca="1">IFERROR(__xludf.DUMMYFUNCTION("""COMPUTED_VALUE"""),"wguerra@postobon.com.co,aprmttoyu@postobon.com.co,aprmyu@postobon.com.co,wmora@postobon.com.co,efzapata@postobon.com.co")</f>
        <v>wguerra@postobon.com.co,aprmttoyu@postobon.com.co,aprmyu@postobon.com.co,wmora@postobon.com.co,efzapata@postobon.com.co</v>
      </c>
      <c r="Y1283" s="5" t="str">
        <f ca="1">IFERROR(__xludf.DUMMYFUNCTION("""COMPUTED_VALUE"""),"wguerra@postobon.com.co")</f>
        <v>wguerra@postobon.com.co</v>
      </c>
      <c r="Z1283" s="5" t="str">
        <f ca="1">IFERROR(__xludf.DUMMYFUNCTION("""COMPUTED_VALUE"""),"CDx4Pf5oQtehrzFlcdme.g")</f>
        <v>CDx4Pf5oQtehrzFlcdme.g</v>
      </c>
      <c r="AA1283" s="5"/>
      <c r="AB1283" s="5"/>
      <c r="AC1283" s="5"/>
      <c r="AD1283" s="5">
        <f ca="1">IFERROR(__xludf.DUMMYFUNCTION("""COMPUTED_VALUE"""),43)</f>
        <v>43</v>
      </c>
      <c r="AE1283" s="5">
        <f ca="1">IFERROR(__xludf.DUMMYFUNCTION("""COMPUTED_VALUE"""),43)</f>
        <v>43</v>
      </c>
      <c r="AF1283" s="5" t="b">
        <f ca="1">IFERROR(__xludf.DUMMYFUNCTION("""COMPUTED_VALUE"""),FALSE)</f>
        <v>0</v>
      </c>
      <c r="AG1283" s="5" t="str">
        <f ca="1">IFERROR(__xludf.DUMMYFUNCTION("""COMPUTED_VALUE"""),"INSPECCIONES REALIZADAS")</f>
        <v>INSPECCIONES REALIZADAS</v>
      </c>
      <c r="AH1283" s="5"/>
    </row>
    <row r="1284" spans="1:34">
      <c r="A1284" s="5" t="str">
        <f ca="1">IFERROR(__xludf.DUMMYFUNCTION("""COMPUTED_VALUE"""),"LINEA DE ENVASADO TAMAÑO PERSONAL")</f>
        <v>LINEA DE ENVASADO TAMAÑO PERSONAL</v>
      </c>
      <c r="B1284" s="5">
        <f ca="1">IFERROR(__xludf.DUMMYFUNCTION("""COMPUTED_VALUE"""),829654)</f>
        <v>829654</v>
      </c>
      <c r="C1284" s="5" t="str">
        <f ca="1">IFERROR(__xludf.DUMMYFUNCTION("""COMPUTED_VALUE"""),"TRANSPORTADOR DE BOTELLAS")</f>
        <v>TRANSPORTADOR DE BOTELLAS</v>
      </c>
      <c r="D1284" s="5">
        <f ca="1">IFERROR(__xludf.DUMMYFUNCTION("""COMPUTED_VALUE"""),13247635)</f>
        <v>13247635</v>
      </c>
      <c r="E1284" s="5" t="str">
        <f ca="1">IFERROR(__xludf.DUMMYFUNCTION("""COMPUTED_VALUE"""),"INSPECCION SEMANAL TRANSP DE BOTELLAS")</f>
        <v>INSPECCION SEMANAL TRANSP DE BOTELLAS</v>
      </c>
      <c r="F1284" s="5" t="str">
        <f ca="1">IFERROR(__xludf.DUMMYFUNCTION("""COMPUTED_VALUE"""),"Estado y limpieza de extractor y/o climatizador tablero eléctrico.")</f>
        <v>Estado y limpieza de extractor y/o climatizador tablero eléctrico.</v>
      </c>
      <c r="G1284" s="5" t="b">
        <f ca="1">IFERROR(__xludf.DUMMYFUNCTION("""COMPUTED_VALUE"""),TRUE)</f>
        <v>1</v>
      </c>
      <c r="H1284" s="5"/>
      <c r="I1284" s="5"/>
      <c r="J1284" s="5">
        <f ca="1">IFERROR(__xludf.DUMMYFUNCTION("""COMPUTED_VALUE"""),13247635)</f>
        <v>13247635</v>
      </c>
      <c r="K1284" s="5"/>
      <c r="L1284" s="18">
        <f ca="1">IFERROR(__xludf.DUMMYFUNCTION("""COMPUTED_VALUE"""),45324)</f>
        <v>45324</v>
      </c>
      <c r="M1284" s="18">
        <f ca="1">IFERROR(__xludf.DUMMYFUNCTION("""COMPUTED_VALUE"""),45324)</f>
        <v>45324</v>
      </c>
      <c r="N1284" s="5" t="str">
        <f ca="1">IFERROR(__xludf.DUMMYFUNCTION("""COMPUTED_VALUE"""),"Campo Rodriguez Adalcides Jesus")</f>
        <v>Campo Rodriguez Adalcides Jesus</v>
      </c>
      <c r="O1284" s="2">
        <f ca="1">IFERROR(__xludf.DUMMYFUNCTION("""COMPUTED_VALUE"""),0.007692308)</f>
        <v>7.6923080000000001E-3</v>
      </c>
      <c r="P1284" s="5">
        <f ca="1">IFERROR(__xludf.DUMMYFUNCTION("""COMPUTED_VALUE"""),20036419)</f>
        <v>20036419</v>
      </c>
      <c r="Q1284" s="5" t="str">
        <f ca="1">IFERROR(__xludf.DUMMYFUNCTION("""COMPUTED_VALUE"""),"ur3Orr-JSX4")</f>
        <v>ur3Orr-JSX4</v>
      </c>
      <c r="R1284" s="5">
        <f ca="1">IFERROR(__xludf.DUMMYFUNCTION("""COMPUTED_VALUE"""),410)</f>
        <v>410</v>
      </c>
      <c r="S1284" s="62">
        <f ca="1">IFERROR(__xludf.DUMMYFUNCTION("""COMPUTED_VALUE"""),0.007692308)</f>
        <v>7.6923080000000001E-3</v>
      </c>
      <c r="T1284" s="63" t="str">
        <f ca="1">IFERROR(__xludf.DUMMYFUNCTION("""COMPUTED_VALUE"""),"https://storage.googleapis.com/glide-prod.appspot.com/uploads-v2/ly7o78grxPaC6KdgvbpS/pub/3aRdSog0vUtuqPE8AJKD.png")</f>
        <v>https://storage.googleapis.com/glide-prod.appspot.com/uploads-v2/ly7o78grxPaC6KdgvbpS/pub/3aRdSog0vUtuqPE8AJKD.png</v>
      </c>
      <c r="U1284" s="5" t="str">
        <f ca="1">IFERROR(__xludf.DUMMYFUNCTION("""COMPUTED_VALUE"""),"LINEA DE ENVASADO TAMAÑO PERSONALTRANSPORTADOR DE BOTELLAS")</f>
        <v>LINEA DE ENVASADO TAMAÑO PERSONALTRANSPORTADOR DE BOTELLAS</v>
      </c>
      <c r="V1284" s="5"/>
      <c r="W1284" s="5" t="b">
        <f ca="1">IFERROR(__xludf.DUMMYFUNCTION("""COMPUTED_VALUE"""),TRUE)</f>
        <v>1</v>
      </c>
      <c r="X1284" s="5" t="str">
        <f ca="1">IFERROR(__xludf.DUMMYFUNCTION("""COMPUTED_VALUE"""),"wguerra@postobon.com.co,aprmttoyu@postobon.com.co,aprmyu@postobon.com.co,wmora@postobon.com.co,efzapata@postobon.com.co")</f>
        <v>wguerra@postobon.com.co,aprmttoyu@postobon.com.co,aprmyu@postobon.com.co,wmora@postobon.com.co,efzapata@postobon.com.co</v>
      </c>
      <c r="Y1284" s="5" t="str">
        <f ca="1">IFERROR(__xludf.DUMMYFUNCTION("""COMPUTED_VALUE"""),"wguerra@postobon.com.co")</f>
        <v>wguerra@postobon.com.co</v>
      </c>
      <c r="Z1284" s="5" t="str">
        <f ca="1">IFERROR(__xludf.DUMMYFUNCTION("""COMPUTED_VALUE"""),"GLDQcqrtRleyBt3tk-pPag")</f>
        <v>GLDQcqrtRleyBt3tk-pPag</v>
      </c>
      <c r="AA1284" s="5"/>
      <c r="AB1284" s="5"/>
      <c r="AC1284" s="5"/>
      <c r="AD1284" s="5">
        <f ca="1">IFERROR(__xludf.DUMMYFUNCTION("""COMPUTED_VALUE"""),43)</f>
        <v>43</v>
      </c>
      <c r="AE1284" s="5">
        <f ca="1">IFERROR(__xludf.DUMMYFUNCTION("""COMPUTED_VALUE"""),43)</f>
        <v>43</v>
      </c>
      <c r="AF1284" s="5" t="b">
        <f ca="1">IFERROR(__xludf.DUMMYFUNCTION("""COMPUTED_VALUE"""),FALSE)</f>
        <v>0</v>
      </c>
      <c r="AG1284" s="5" t="str">
        <f ca="1">IFERROR(__xludf.DUMMYFUNCTION("""COMPUTED_VALUE"""),"INSPECCIONES REALIZADAS")</f>
        <v>INSPECCIONES REALIZADAS</v>
      </c>
      <c r="AH1284" s="5"/>
    </row>
    <row r="1285" spans="1:34">
      <c r="A1285" s="5" t="str">
        <f ca="1">IFERROR(__xludf.DUMMYFUNCTION("""COMPUTED_VALUE"""),"LINEA DE ENVASADO FAMILIAR Y PRB")</f>
        <v>LINEA DE ENVASADO FAMILIAR Y PRB</v>
      </c>
      <c r="B1285" s="5">
        <f ca="1">IFERROR(__xludf.DUMMYFUNCTION("""COMPUTED_VALUE"""),829653)</f>
        <v>829653</v>
      </c>
      <c r="C1285" s="5" t="str">
        <f ca="1">IFERROR(__xludf.DUMMYFUNCTION("""COMPUTED_VALUE"""),"TRANSPORTADOR DE BOTELLAS")</f>
        <v>TRANSPORTADOR DE BOTELLAS</v>
      </c>
      <c r="D1285" s="5">
        <f ca="1">IFERROR(__xludf.DUMMYFUNCTION("""COMPUTED_VALUE"""),13247283)</f>
        <v>13247283</v>
      </c>
      <c r="E1285" s="5" t="str">
        <f ca="1">IFERROR(__xludf.DUMMYFUNCTION("""COMPUTED_VALUE"""),"INSPECCION SEMANAL TRANSP DE BOTELLAS")</f>
        <v>INSPECCION SEMANAL TRANSP DE BOTELLAS</v>
      </c>
      <c r="F1285" s="5" t="str">
        <f ca="1">IFERROR(__xludf.DUMMYFUNCTION("""COMPUTED_VALUE"""),"Estado de chumaceras")</f>
        <v>Estado de chumaceras</v>
      </c>
      <c r="G1285" s="5" t="b">
        <f ca="1">IFERROR(__xludf.DUMMYFUNCTION("""COMPUTED_VALUE"""),TRUE)</f>
        <v>1</v>
      </c>
      <c r="H1285" s="5"/>
      <c r="I1285" s="5"/>
      <c r="J1285" s="5">
        <f ca="1">IFERROR(__xludf.DUMMYFUNCTION("""COMPUTED_VALUE"""),13247283)</f>
        <v>13247283</v>
      </c>
      <c r="K1285" s="5"/>
      <c r="L1285" s="18">
        <f ca="1">IFERROR(__xludf.DUMMYFUNCTION("""COMPUTED_VALUE"""),45324)</f>
        <v>45324</v>
      </c>
      <c r="M1285" s="18">
        <f ca="1">IFERROR(__xludf.DUMMYFUNCTION("""COMPUTED_VALUE"""),45324)</f>
        <v>45324</v>
      </c>
      <c r="N1285" s="5" t="str">
        <f ca="1">IFERROR(__xludf.DUMMYFUNCTION("""COMPUTED_VALUE"""),"Andrés Felipe Pérez Polania")</f>
        <v>Andrés Felipe Pérez Polania</v>
      </c>
      <c r="O1285" s="2">
        <f ca="1">IFERROR(__xludf.DUMMYFUNCTION("""COMPUTED_VALUE"""),0.007692308)</f>
        <v>7.6923080000000001E-3</v>
      </c>
      <c r="P1285" s="5">
        <f ca="1">IFERROR(__xludf.DUMMYFUNCTION("""COMPUTED_VALUE"""),1919044)</f>
        <v>1919044</v>
      </c>
      <c r="Q1285" s="5" t="str">
        <f ca="1">IFERROR(__xludf.DUMMYFUNCTION("""COMPUTED_VALUE"""),"6FwkbY1l59E")</f>
        <v>6FwkbY1l59E</v>
      </c>
      <c r="R1285" s="5">
        <f ca="1">IFERROR(__xludf.DUMMYFUNCTION("""COMPUTED_VALUE"""),410)</f>
        <v>410</v>
      </c>
      <c r="S1285" s="62">
        <f ca="1">IFERROR(__xludf.DUMMYFUNCTION("""COMPUTED_VALUE"""),0.007692308)</f>
        <v>7.6923080000000001E-3</v>
      </c>
      <c r="T1285" s="63" t="str">
        <f ca="1">IFERROR(__xludf.DUMMYFUNCTION("""COMPUTED_VALUE"""),"https://storage.googleapis.com/glide-prod.appspot.com/uploads-v2/ly7o78grxPaC6KdgvbpS/pub/3aRdSog0vUtuqPE8AJKD.png")</f>
        <v>https://storage.googleapis.com/glide-prod.appspot.com/uploads-v2/ly7o78grxPaC6KdgvbpS/pub/3aRdSog0vUtuqPE8AJKD.png</v>
      </c>
      <c r="U1285" s="5" t="str">
        <f ca="1">IFERROR(__xludf.DUMMYFUNCTION("""COMPUTED_VALUE"""),"LINEA DE ENVASADO FAMILIAR Y PRBTRANSPORTADOR DE BOTELLAS")</f>
        <v>LINEA DE ENVASADO FAMILIAR Y PRBTRANSPORTADOR DE BOTELLAS</v>
      </c>
      <c r="V1285" s="5"/>
      <c r="W1285" s="5" t="b">
        <f ca="1">IFERROR(__xludf.DUMMYFUNCTION("""COMPUTED_VALUE"""),TRUE)</f>
        <v>1</v>
      </c>
      <c r="X1285" s="5" t="str">
        <f ca="1">IFERROR(__xludf.DUMMYFUNCTION("""COMPUTED_VALUE"""),"wguerra@postobon.com.co,aprmttoyu@postobon.com.co,aprmyu@postobon.com.co,wmora@postobon.com.co,efzapata@postobon.com.co")</f>
        <v>wguerra@postobon.com.co,aprmttoyu@postobon.com.co,aprmyu@postobon.com.co,wmora@postobon.com.co,efzapata@postobon.com.co</v>
      </c>
      <c r="Y1285" s="5" t="str">
        <f ca="1">IFERROR(__xludf.DUMMYFUNCTION("""COMPUTED_VALUE"""),"wguerra@postobon.com.co")</f>
        <v>wguerra@postobon.com.co</v>
      </c>
      <c r="Z1285" s="5" t="str">
        <f ca="1">IFERROR(__xludf.DUMMYFUNCTION("""COMPUTED_VALUE"""),"TyyadnriRKihB0PzoH9NHg")</f>
        <v>TyyadnriRKihB0PzoH9NHg</v>
      </c>
      <c r="AA1285" s="5"/>
      <c r="AB1285" s="5"/>
      <c r="AC1285" s="5"/>
      <c r="AD1285" s="5">
        <f ca="1">IFERROR(__xludf.DUMMYFUNCTION("""COMPUTED_VALUE"""),63)</f>
        <v>63</v>
      </c>
      <c r="AE1285" s="5">
        <f ca="1">IFERROR(__xludf.DUMMYFUNCTION("""COMPUTED_VALUE"""),63)</f>
        <v>63</v>
      </c>
      <c r="AF1285" s="5" t="b">
        <f ca="1">IFERROR(__xludf.DUMMYFUNCTION("""COMPUTED_VALUE"""),FALSE)</f>
        <v>0</v>
      </c>
      <c r="AG1285" s="5" t="str">
        <f ca="1">IFERROR(__xludf.DUMMYFUNCTION("""COMPUTED_VALUE"""),"INSPECCIONES REALIZADAS")</f>
        <v>INSPECCIONES REALIZADAS</v>
      </c>
      <c r="AH1285" s="5"/>
    </row>
    <row r="1286" spans="1:34">
      <c r="A1286" s="5" t="str">
        <f ca="1">IFERROR(__xludf.DUMMYFUNCTION("""COMPUTED_VALUE"""),"LINEA DE ENVASADO FAMILIAR Y PRB")</f>
        <v>LINEA DE ENVASADO FAMILIAR Y PRB</v>
      </c>
      <c r="B1286" s="5">
        <f ca="1">IFERROR(__xludf.DUMMYFUNCTION("""COMPUTED_VALUE"""),829653)</f>
        <v>829653</v>
      </c>
      <c r="C1286" s="5" t="str">
        <f ca="1">IFERROR(__xludf.DUMMYFUNCTION("""COMPUTED_VALUE"""),"TRANSPORTADOR DE BOTELLAS")</f>
        <v>TRANSPORTADOR DE BOTELLAS</v>
      </c>
      <c r="D1286" s="5">
        <f ca="1">IFERROR(__xludf.DUMMYFUNCTION("""COMPUTED_VALUE"""),13247283)</f>
        <v>13247283</v>
      </c>
      <c r="E1286" s="5" t="str">
        <f ca="1">IFERROR(__xludf.DUMMYFUNCTION("""COMPUTED_VALUE"""),"INSPECCION SEMANAL TRANSP DE BOTELLAS")</f>
        <v>INSPECCION SEMANAL TRANSP DE BOTELLAS</v>
      </c>
      <c r="F1286" s="5" t="str">
        <f ca="1">IFERROR(__xludf.DUMMYFUNCTION("""COMPUTED_VALUE"""),"Estado de cadenas de transmisión")</f>
        <v>Estado de cadenas de transmisión</v>
      </c>
      <c r="G1286" s="5" t="b">
        <f ca="1">IFERROR(__xludf.DUMMYFUNCTION("""COMPUTED_VALUE"""),TRUE)</f>
        <v>1</v>
      </c>
      <c r="H1286" s="5"/>
      <c r="I1286" s="5"/>
      <c r="J1286" s="5">
        <f ca="1">IFERROR(__xludf.DUMMYFUNCTION("""COMPUTED_VALUE"""),13247283)</f>
        <v>13247283</v>
      </c>
      <c r="K1286" s="5"/>
      <c r="L1286" s="18">
        <f ca="1">IFERROR(__xludf.DUMMYFUNCTION("""COMPUTED_VALUE"""),45324)</f>
        <v>45324</v>
      </c>
      <c r="M1286" s="18">
        <f ca="1">IFERROR(__xludf.DUMMYFUNCTION("""COMPUTED_VALUE"""),45324)</f>
        <v>45324</v>
      </c>
      <c r="N1286" s="5" t="str">
        <f ca="1">IFERROR(__xludf.DUMMYFUNCTION("""COMPUTED_VALUE"""),"Andrés Felipe Pérez Polania")</f>
        <v>Andrés Felipe Pérez Polania</v>
      </c>
      <c r="O1286" s="2">
        <f ca="1">IFERROR(__xludf.DUMMYFUNCTION("""COMPUTED_VALUE"""),0.007692308)</f>
        <v>7.6923080000000001E-3</v>
      </c>
      <c r="P1286" s="5">
        <f ca="1">IFERROR(__xludf.DUMMYFUNCTION("""COMPUTED_VALUE"""),1919044)</f>
        <v>1919044</v>
      </c>
      <c r="Q1286" s="5" t="str">
        <f ca="1">IFERROR(__xludf.DUMMYFUNCTION("""COMPUTED_VALUE"""),"tMaECa74ngk")</f>
        <v>tMaECa74ngk</v>
      </c>
      <c r="R1286" s="5">
        <f ca="1">IFERROR(__xludf.DUMMYFUNCTION("""COMPUTED_VALUE"""),410)</f>
        <v>410</v>
      </c>
      <c r="S1286" s="62">
        <f ca="1">IFERROR(__xludf.DUMMYFUNCTION("""COMPUTED_VALUE"""),0.007692308)</f>
        <v>7.6923080000000001E-3</v>
      </c>
      <c r="T1286" s="63" t="str">
        <f ca="1">IFERROR(__xludf.DUMMYFUNCTION("""COMPUTED_VALUE"""),"https://storage.googleapis.com/glide-prod.appspot.com/uploads-v2/ly7o78grxPaC6KdgvbpS/pub/3aRdSog0vUtuqPE8AJKD.png")</f>
        <v>https://storage.googleapis.com/glide-prod.appspot.com/uploads-v2/ly7o78grxPaC6KdgvbpS/pub/3aRdSog0vUtuqPE8AJKD.png</v>
      </c>
      <c r="U1286" s="5" t="str">
        <f ca="1">IFERROR(__xludf.DUMMYFUNCTION("""COMPUTED_VALUE"""),"LINEA DE ENVASADO FAMILIAR Y PRBTRANSPORTADOR DE BOTELLAS")</f>
        <v>LINEA DE ENVASADO FAMILIAR Y PRBTRANSPORTADOR DE BOTELLAS</v>
      </c>
      <c r="V1286" s="5"/>
      <c r="W1286" s="5" t="b">
        <f ca="1">IFERROR(__xludf.DUMMYFUNCTION("""COMPUTED_VALUE"""),TRUE)</f>
        <v>1</v>
      </c>
      <c r="X1286" s="5" t="str">
        <f ca="1">IFERROR(__xludf.DUMMYFUNCTION("""COMPUTED_VALUE"""),"wguerra@postobon.com.co,aprmttoyu@postobon.com.co,aprmyu@postobon.com.co,wmora@postobon.com.co,efzapata@postobon.com.co")</f>
        <v>wguerra@postobon.com.co,aprmttoyu@postobon.com.co,aprmyu@postobon.com.co,wmora@postobon.com.co,efzapata@postobon.com.co</v>
      </c>
      <c r="Y1286" s="5" t="str">
        <f ca="1">IFERROR(__xludf.DUMMYFUNCTION("""COMPUTED_VALUE"""),"wguerra@postobon.com.co")</f>
        <v>wguerra@postobon.com.co</v>
      </c>
      <c r="Z1286" s="5" t="str">
        <f ca="1">IFERROR(__xludf.DUMMYFUNCTION("""COMPUTED_VALUE"""),"LBT17k-CSJK0ObE9aIjsnA")</f>
        <v>LBT17k-CSJK0ObE9aIjsnA</v>
      </c>
      <c r="AA1286" s="5"/>
      <c r="AB1286" s="5"/>
      <c r="AC1286" s="5"/>
      <c r="AD1286" s="5">
        <f ca="1">IFERROR(__xludf.DUMMYFUNCTION("""COMPUTED_VALUE"""),63)</f>
        <v>63</v>
      </c>
      <c r="AE1286" s="5">
        <f ca="1">IFERROR(__xludf.DUMMYFUNCTION("""COMPUTED_VALUE"""),63)</f>
        <v>63</v>
      </c>
      <c r="AF1286" s="5" t="b">
        <f ca="1">IFERROR(__xludf.DUMMYFUNCTION("""COMPUTED_VALUE"""),FALSE)</f>
        <v>0</v>
      </c>
      <c r="AG1286" s="5" t="str">
        <f ca="1">IFERROR(__xludf.DUMMYFUNCTION("""COMPUTED_VALUE"""),"INSPECCIONES REALIZADAS")</f>
        <v>INSPECCIONES REALIZADAS</v>
      </c>
      <c r="AH1286" s="5"/>
    </row>
    <row r="1287" spans="1:34">
      <c r="A1287" s="5" t="str">
        <f ca="1">IFERROR(__xludf.DUMMYFUNCTION("""COMPUTED_VALUE"""),"LINEA DE ENVASADO FAMILIAR Y PRB")</f>
        <v>LINEA DE ENVASADO FAMILIAR Y PRB</v>
      </c>
      <c r="B1287" s="5">
        <f ca="1">IFERROR(__xludf.DUMMYFUNCTION("""COMPUTED_VALUE"""),829653)</f>
        <v>829653</v>
      </c>
      <c r="C1287" s="5" t="str">
        <f ca="1">IFERROR(__xludf.DUMMYFUNCTION("""COMPUTED_VALUE"""),"TRANSPORTADOR DE BOTELLAS")</f>
        <v>TRANSPORTADOR DE BOTELLAS</v>
      </c>
      <c r="D1287" s="5">
        <f ca="1">IFERROR(__xludf.DUMMYFUNCTION("""COMPUTED_VALUE"""),13247283)</f>
        <v>13247283</v>
      </c>
      <c r="E1287" s="5" t="str">
        <f ca="1">IFERROR(__xludf.DUMMYFUNCTION("""COMPUTED_VALUE"""),"INSPECCION SEMANAL TRANSP DE BOTELLAS")</f>
        <v>INSPECCION SEMANAL TRANSP DE BOTELLAS</v>
      </c>
      <c r="F1287" s="5" t="str">
        <f ca="1">IFERROR(__xludf.DUMMYFUNCTION("""COMPUTED_VALUE"""),"Estado de cadenas table top, flex top y magne flex")</f>
        <v>Estado de cadenas table top, flex top y magne flex</v>
      </c>
      <c r="G1287" s="5" t="b">
        <f ca="1">IFERROR(__xludf.DUMMYFUNCTION("""COMPUTED_VALUE"""),TRUE)</f>
        <v>1</v>
      </c>
      <c r="H1287" s="5"/>
      <c r="I1287" s="5"/>
      <c r="J1287" s="5">
        <f ca="1">IFERROR(__xludf.DUMMYFUNCTION("""COMPUTED_VALUE"""),13247283)</f>
        <v>13247283</v>
      </c>
      <c r="K1287" s="5"/>
      <c r="L1287" s="18">
        <f ca="1">IFERROR(__xludf.DUMMYFUNCTION("""COMPUTED_VALUE"""),45324)</f>
        <v>45324</v>
      </c>
      <c r="M1287" s="18">
        <f ca="1">IFERROR(__xludf.DUMMYFUNCTION("""COMPUTED_VALUE"""),45324)</f>
        <v>45324</v>
      </c>
      <c r="N1287" s="5" t="str">
        <f ca="1">IFERROR(__xludf.DUMMYFUNCTION("""COMPUTED_VALUE"""),"Andrés Felipe Pérez Polania")</f>
        <v>Andrés Felipe Pérez Polania</v>
      </c>
      <c r="O1287" s="2">
        <f ca="1">IFERROR(__xludf.DUMMYFUNCTION("""COMPUTED_VALUE"""),0.007692308)</f>
        <v>7.6923080000000001E-3</v>
      </c>
      <c r="P1287" s="5">
        <f ca="1">IFERROR(__xludf.DUMMYFUNCTION("""COMPUTED_VALUE"""),1919044)</f>
        <v>1919044</v>
      </c>
      <c r="Q1287" s="5" t="str">
        <f ca="1">IFERROR(__xludf.DUMMYFUNCTION("""COMPUTED_VALUE"""),"RYYyMnaoHYw")</f>
        <v>RYYyMnaoHYw</v>
      </c>
      <c r="R1287" s="5">
        <f ca="1">IFERROR(__xludf.DUMMYFUNCTION("""COMPUTED_VALUE"""),410)</f>
        <v>410</v>
      </c>
      <c r="S1287" s="62">
        <f ca="1">IFERROR(__xludf.DUMMYFUNCTION("""COMPUTED_VALUE"""),0.007692308)</f>
        <v>7.6923080000000001E-3</v>
      </c>
      <c r="T1287" s="63" t="str">
        <f ca="1">IFERROR(__xludf.DUMMYFUNCTION("""COMPUTED_VALUE"""),"https://storage.googleapis.com/glide-prod.appspot.com/uploads-v2/ly7o78grxPaC6KdgvbpS/pub/3aRdSog0vUtuqPE8AJKD.png")</f>
        <v>https://storage.googleapis.com/glide-prod.appspot.com/uploads-v2/ly7o78grxPaC6KdgvbpS/pub/3aRdSog0vUtuqPE8AJKD.png</v>
      </c>
      <c r="U1287" s="5" t="str">
        <f ca="1">IFERROR(__xludf.DUMMYFUNCTION("""COMPUTED_VALUE"""),"LINEA DE ENVASADO FAMILIAR Y PRBTRANSPORTADOR DE BOTELLAS")</f>
        <v>LINEA DE ENVASADO FAMILIAR Y PRBTRANSPORTADOR DE BOTELLAS</v>
      </c>
      <c r="V1287" s="5"/>
      <c r="W1287" s="5" t="b">
        <f ca="1">IFERROR(__xludf.DUMMYFUNCTION("""COMPUTED_VALUE"""),TRUE)</f>
        <v>1</v>
      </c>
      <c r="X1287" s="5" t="str">
        <f ca="1">IFERROR(__xludf.DUMMYFUNCTION("""COMPUTED_VALUE"""),"wguerra@postobon.com.co,aprmttoyu@postobon.com.co,aprmyu@postobon.com.co,wmora@postobon.com.co,efzapata@postobon.com.co")</f>
        <v>wguerra@postobon.com.co,aprmttoyu@postobon.com.co,aprmyu@postobon.com.co,wmora@postobon.com.co,efzapata@postobon.com.co</v>
      </c>
      <c r="Y1287" s="5" t="str">
        <f ca="1">IFERROR(__xludf.DUMMYFUNCTION("""COMPUTED_VALUE"""),"wguerra@postobon.com.co")</f>
        <v>wguerra@postobon.com.co</v>
      </c>
      <c r="Z1287" s="5" t="str">
        <f ca="1">IFERROR(__xludf.DUMMYFUNCTION("""COMPUTED_VALUE"""),"qDQphtjqRjGe6pJkGGzG8w")</f>
        <v>qDQphtjqRjGe6pJkGGzG8w</v>
      </c>
      <c r="AA1287" s="5"/>
      <c r="AB1287" s="5"/>
      <c r="AC1287" s="5"/>
      <c r="AD1287" s="5">
        <f ca="1">IFERROR(__xludf.DUMMYFUNCTION("""COMPUTED_VALUE"""),63)</f>
        <v>63</v>
      </c>
      <c r="AE1287" s="5">
        <f ca="1">IFERROR(__xludf.DUMMYFUNCTION("""COMPUTED_VALUE"""),63)</f>
        <v>63</v>
      </c>
      <c r="AF1287" s="5" t="b">
        <f ca="1">IFERROR(__xludf.DUMMYFUNCTION("""COMPUTED_VALUE"""),FALSE)</f>
        <v>0</v>
      </c>
      <c r="AG1287" s="5" t="str">
        <f ca="1">IFERROR(__xludf.DUMMYFUNCTION("""COMPUTED_VALUE"""),"INSPECCIONES REALIZADAS")</f>
        <v>INSPECCIONES REALIZADAS</v>
      </c>
      <c r="AH1287" s="5"/>
    </row>
    <row r="1288" spans="1:34">
      <c r="A1288" s="5" t="str">
        <f ca="1">IFERROR(__xludf.DUMMYFUNCTION("""COMPUTED_VALUE"""),"LINEA DE ENVASADO FAMILIAR Y PRB")</f>
        <v>LINEA DE ENVASADO FAMILIAR Y PRB</v>
      </c>
      <c r="B1288" s="5">
        <f ca="1">IFERROR(__xludf.DUMMYFUNCTION("""COMPUTED_VALUE"""),829653)</f>
        <v>829653</v>
      </c>
      <c r="C1288" s="5" t="str">
        <f ca="1">IFERROR(__xludf.DUMMYFUNCTION("""COMPUTED_VALUE"""),"TRANSPORTADOR DE BOTELLAS")</f>
        <v>TRANSPORTADOR DE BOTELLAS</v>
      </c>
      <c r="D1288" s="5">
        <f ca="1">IFERROR(__xludf.DUMMYFUNCTION("""COMPUTED_VALUE"""),13247283)</f>
        <v>13247283</v>
      </c>
      <c r="E1288" s="5" t="str">
        <f ca="1">IFERROR(__xludf.DUMMYFUNCTION("""COMPUTED_VALUE"""),"INSPECCION SEMANAL TRANSP DE BOTELLAS")</f>
        <v>INSPECCION SEMANAL TRANSP DE BOTELLAS</v>
      </c>
      <c r="F1288" s="5" t="str">
        <f ca="1">IFERROR(__xludf.DUMMYFUNCTION("""COMPUTED_VALUE"""),"Estado de estructuras de fijación o anclaje")</f>
        <v>Estado de estructuras de fijación o anclaje</v>
      </c>
      <c r="G1288" s="5" t="b">
        <f ca="1">IFERROR(__xludf.DUMMYFUNCTION("""COMPUTED_VALUE"""),TRUE)</f>
        <v>1</v>
      </c>
      <c r="H1288" s="5"/>
      <c r="I1288" s="5"/>
      <c r="J1288" s="5">
        <f ca="1">IFERROR(__xludf.DUMMYFUNCTION("""COMPUTED_VALUE"""),13247283)</f>
        <v>13247283</v>
      </c>
      <c r="K1288" s="5"/>
      <c r="L1288" s="18">
        <f ca="1">IFERROR(__xludf.DUMMYFUNCTION("""COMPUTED_VALUE"""),45324)</f>
        <v>45324</v>
      </c>
      <c r="M1288" s="18">
        <f ca="1">IFERROR(__xludf.DUMMYFUNCTION("""COMPUTED_VALUE"""),45324)</f>
        <v>45324</v>
      </c>
      <c r="N1288" s="5" t="str">
        <f ca="1">IFERROR(__xludf.DUMMYFUNCTION("""COMPUTED_VALUE"""),"Andrés Felipe Pérez Polania")</f>
        <v>Andrés Felipe Pérez Polania</v>
      </c>
      <c r="O1288" s="2">
        <f ca="1">IFERROR(__xludf.DUMMYFUNCTION("""COMPUTED_VALUE"""),0.007692308)</f>
        <v>7.6923080000000001E-3</v>
      </c>
      <c r="P1288" s="5">
        <f ca="1">IFERROR(__xludf.DUMMYFUNCTION("""COMPUTED_VALUE"""),1919044)</f>
        <v>1919044</v>
      </c>
      <c r="Q1288" s="5" t="str">
        <f ca="1">IFERROR(__xludf.DUMMYFUNCTION("""COMPUTED_VALUE"""),"99M3_W1o_hk")</f>
        <v>99M3_W1o_hk</v>
      </c>
      <c r="R1288" s="5">
        <f ca="1">IFERROR(__xludf.DUMMYFUNCTION("""COMPUTED_VALUE"""),410)</f>
        <v>410</v>
      </c>
      <c r="S1288" s="62">
        <f ca="1">IFERROR(__xludf.DUMMYFUNCTION("""COMPUTED_VALUE"""),0.007692308)</f>
        <v>7.6923080000000001E-3</v>
      </c>
      <c r="T1288" s="63" t="str">
        <f ca="1">IFERROR(__xludf.DUMMYFUNCTION("""COMPUTED_VALUE"""),"https://storage.googleapis.com/glide-prod.appspot.com/uploads-v2/ly7o78grxPaC6KdgvbpS/pub/3aRdSog0vUtuqPE8AJKD.png")</f>
        <v>https://storage.googleapis.com/glide-prod.appspot.com/uploads-v2/ly7o78grxPaC6KdgvbpS/pub/3aRdSog0vUtuqPE8AJKD.png</v>
      </c>
      <c r="U1288" s="5" t="str">
        <f ca="1">IFERROR(__xludf.DUMMYFUNCTION("""COMPUTED_VALUE"""),"LINEA DE ENVASADO FAMILIAR Y PRBTRANSPORTADOR DE BOTELLAS")</f>
        <v>LINEA DE ENVASADO FAMILIAR Y PRBTRANSPORTADOR DE BOTELLAS</v>
      </c>
      <c r="V1288" s="5"/>
      <c r="W1288" s="5" t="b">
        <f ca="1">IFERROR(__xludf.DUMMYFUNCTION("""COMPUTED_VALUE"""),TRUE)</f>
        <v>1</v>
      </c>
      <c r="X1288" s="5" t="str">
        <f ca="1">IFERROR(__xludf.DUMMYFUNCTION("""COMPUTED_VALUE"""),"wguerra@postobon.com.co,aprmttoyu@postobon.com.co,aprmyu@postobon.com.co,wmora@postobon.com.co,efzapata@postobon.com.co")</f>
        <v>wguerra@postobon.com.co,aprmttoyu@postobon.com.co,aprmyu@postobon.com.co,wmora@postobon.com.co,efzapata@postobon.com.co</v>
      </c>
      <c r="Y1288" s="5" t="str">
        <f ca="1">IFERROR(__xludf.DUMMYFUNCTION("""COMPUTED_VALUE"""),"wguerra@postobon.com.co")</f>
        <v>wguerra@postobon.com.co</v>
      </c>
      <c r="Z1288" s="5" t="str">
        <f ca="1">IFERROR(__xludf.DUMMYFUNCTION("""COMPUTED_VALUE"""),"S9M7st46REaVmz4wYkkYbg")</f>
        <v>S9M7st46REaVmz4wYkkYbg</v>
      </c>
      <c r="AA1288" s="5"/>
      <c r="AB1288" s="5"/>
      <c r="AC1288" s="5"/>
      <c r="AD1288" s="5">
        <f ca="1">IFERROR(__xludf.DUMMYFUNCTION("""COMPUTED_VALUE"""),63)</f>
        <v>63</v>
      </c>
      <c r="AE1288" s="5">
        <f ca="1">IFERROR(__xludf.DUMMYFUNCTION("""COMPUTED_VALUE"""),63)</f>
        <v>63</v>
      </c>
      <c r="AF1288" s="5" t="b">
        <f ca="1">IFERROR(__xludf.DUMMYFUNCTION("""COMPUTED_VALUE"""),FALSE)</f>
        <v>0</v>
      </c>
      <c r="AG1288" s="5" t="str">
        <f ca="1">IFERROR(__xludf.DUMMYFUNCTION("""COMPUTED_VALUE"""),"INSPECCIONES REALIZADAS")</f>
        <v>INSPECCIONES REALIZADAS</v>
      </c>
      <c r="AH1288" s="5"/>
    </row>
    <row r="1289" spans="1:34">
      <c r="A1289" s="5" t="str">
        <f ca="1">IFERROR(__xludf.DUMMYFUNCTION("""COMPUTED_VALUE"""),"LINEA DE ENVASADO FAMILIAR Y PRB")</f>
        <v>LINEA DE ENVASADO FAMILIAR Y PRB</v>
      </c>
      <c r="B1289" s="5">
        <f ca="1">IFERROR(__xludf.DUMMYFUNCTION("""COMPUTED_VALUE"""),829653)</f>
        <v>829653</v>
      </c>
      <c r="C1289" s="5" t="str">
        <f ca="1">IFERROR(__xludf.DUMMYFUNCTION("""COMPUTED_VALUE"""),"TRANSPORTADOR DE BOTELLAS")</f>
        <v>TRANSPORTADOR DE BOTELLAS</v>
      </c>
      <c r="D1289" s="5">
        <f ca="1">IFERROR(__xludf.DUMMYFUNCTION("""COMPUTED_VALUE"""),13247283)</f>
        <v>13247283</v>
      </c>
      <c r="E1289" s="5" t="str">
        <f ca="1">IFERROR(__xludf.DUMMYFUNCTION("""COMPUTED_VALUE"""),"INSPECCION SEMANAL TRANSP DE BOTELLAS")</f>
        <v>INSPECCION SEMANAL TRANSP DE BOTELLAS</v>
      </c>
      <c r="F1289" s="5" t="str">
        <f ca="1">IFERROR(__xludf.DUMMYFUNCTION("""COMPUTED_VALUE"""),"Estado de tensores de cadena")</f>
        <v>Estado de tensores de cadena</v>
      </c>
      <c r="G1289" s="5" t="b">
        <f ca="1">IFERROR(__xludf.DUMMYFUNCTION("""COMPUTED_VALUE"""),TRUE)</f>
        <v>1</v>
      </c>
      <c r="H1289" s="5"/>
      <c r="I1289" s="5"/>
      <c r="J1289" s="5">
        <f ca="1">IFERROR(__xludf.DUMMYFUNCTION("""COMPUTED_VALUE"""),13247283)</f>
        <v>13247283</v>
      </c>
      <c r="K1289" s="5"/>
      <c r="L1289" s="18">
        <f ca="1">IFERROR(__xludf.DUMMYFUNCTION("""COMPUTED_VALUE"""),45324)</f>
        <v>45324</v>
      </c>
      <c r="M1289" s="18">
        <f ca="1">IFERROR(__xludf.DUMMYFUNCTION("""COMPUTED_VALUE"""),45324)</f>
        <v>45324</v>
      </c>
      <c r="N1289" s="5" t="str">
        <f ca="1">IFERROR(__xludf.DUMMYFUNCTION("""COMPUTED_VALUE"""),"Andrés Felipe Pérez Polania")</f>
        <v>Andrés Felipe Pérez Polania</v>
      </c>
      <c r="O1289" s="2">
        <f ca="1">IFERROR(__xludf.DUMMYFUNCTION("""COMPUTED_VALUE"""),0.007692308)</f>
        <v>7.6923080000000001E-3</v>
      </c>
      <c r="P1289" s="5">
        <f ca="1">IFERROR(__xludf.DUMMYFUNCTION("""COMPUTED_VALUE"""),1919044)</f>
        <v>1919044</v>
      </c>
      <c r="Q1289" s="5" t="str">
        <f ca="1">IFERROR(__xludf.DUMMYFUNCTION("""COMPUTED_VALUE"""),"6IGKvpNNzAQ")</f>
        <v>6IGKvpNNzAQ</v>
      </c>
      <c r="R1289" s="5">
        <f ca="1">IFERROR(__xludf.DUMMYFUNCTION("""COMPUTED_VALUE"""),410)</f>
        <v>410</v>
      </c>
      <c r="S1289" s="62">
        <f ca="1">IFERROR(__xludf.DUMMYFUNCTION("""COMPUTED_VALUE"""),0.007692308)</f>
        <v>7.6923080000000001E-3</v>
      </c>
      <c r="T1289" s="63" t="str">
        <f ca="1">IFERROR(__xludf.DUMMYFUNCTION("""COMPUTED_VALUE"""),"https://storage.googleapis.com/glide-prod.appspot.com/uploads-v2/ly7o78grxPaC6KdgvbpS/pub/3aRdSog0vUtuqPE8AJKD.png")</f>
        <v>https://storage.googleapis.com/glide-prod.appspot.com/uploads-v2/ly7o78grxPaC6KdgvbpS/pub/3aRdSog0vUtuqPE8AJKD.png</v>
      </c>
      <c r="U1289" s="5" t="str">
        <f ca="1">IFERROR(__xludf.DUMMYFUNCTION("""COMPUTED_VALUE"""),"LINEA DE ENVASADO FAMILIAR Y PRBTRANSPORTADOR DE BOTELLAS")</f>
        <v>LINEA DE ENVASADO FAMILIAR Y PRBTRANSPORTADOR DE BOTELLAS</v>
      </c>
      <c r="V1289" s="5"/>
      <c r="W1289" s="5" t="b">
        <f ca="1">IFERROR(__xludf.DUMMYFUNCTION("""COMPUTED_VALUE"""),TRUE)</f>
        <v>1</v>
      </c>
      <c r="X1289" s="5" t="str">
        <f ca="1">IFERROR(__xludf.DUMMYFUNCTION("""COMPUTED_VALUE"""),"wguerra@postobon.com.co,aprmttoyu@postobon.com.co,aprmyu@postobon.com.co,wmora@postobon.com.co,efzapata@postobon.com.co")</f>
        <v>wguerra@postobon.com.co,aprmttoyu@postobon.com.co,aprmyu@postobon.com.co,wmora@postobon.com.co,efzapata@postobon.com.co</v>
      </c>
      <c r="Y1289" s="5" t="str">
        <f ca="1">IFERROR(__xludf.DUMMYFUNCTION("""COMPUTED_VALUE"""),"wguerra@postobon.com.co")</f>
        <v>wguerra@postobon.com.co</v>
      </c>
      <c r="Z1289" s="5" t="str">
        <f ca="1">IFERROR(__xludf.DUMMYFUNCTION("""COMPUTED_VALUE"""),"Kmj9cahaQ1CigUMk4aeEAg")</f>
        <v>Kmj9cahaQ1CigUMk4aeEAg</v>
      </c>
      <c r="AA1289" s="5"/>
      <c r="AB1289" s="5"/>
      <c r="AC1289" s="5"/>
      <c r="AD1289" s="5">
        <f ca="1">IFERROR(__xludf.DUMMYFUNCTION("""COMPUTED_VALUE"""),63)</f>
        <v>63</v>
      </c>
      <c r="AE1289" s="5">
        <f ca="1">IFERROR(__xludf.DUMMYFUNCTION("""COMPUTED_VALUE"""),63)</f>
        <v>63</v>
      </c>
      <c r="AF1289" s="5" t="b">
        <f ca="1">IFERROR(__xludf.DUMMYFUNCTION("""COMPUTED_VALUE"""),FALSE)</f>
        <v>0</v>
      </c>
      <c r="AG1289" s="5" t="str">
        <f ca="1">IFERROR(__xludf.DUMMYFUNCTION("""COMPUTED_VALUE"""),"INSPECCIONES REALIZADAS")</f>
        <v>INSPECCIONES REALIZADAS</v>
      </c>
      <c r="AH1289" s="5"/>
    </row>
    <row r="1290" spans="1:34">
      <c r="A1290" s="5" t="str">
        <f ca="1">IFERROR(__xludf.DUMMYFUNCTION("""COMPUTED_VALUE"""),"LINEA DE ENVASADO FAMILIAR Y PRB")</f>
        <v>LINEA DE ENVASADO FAMILIAR Y PRB</v>
      </c>
      <c r="B1290" s="5">
        <f ca="1">IFERROR(__xludf.DUMMYFUNCTION("""COMPUTED_VALUE"""),829653)</f>
        <v>829653</v>
      </c>
      <c r="C1290" s="5" t="str">
        <f ca="1">IFERROR(__xludf.DUMMYFUNCTION("""COMPUTED_VALUE"""),"TRANSPORTADOR DE BOTELLAS")</f>
        <v>TRANSPORTADOR DE BOTELLAS</v>
      </c>
      <c r="D1290" s="5">
        <f ca="1">IFERROR(__xludf.DUMMYFUNCTION("""COMPUTED_VALUE"""),13247283)</f>
        <v>13247283</v>
      </c>
      <c r="E1290" s="5" t="str">
        <f ca="1">IFERROR(__xludf.DUMMYFUNCTION("""COMPUTED_VALUE"""),"INSPECCION SEMANAL TRANSP DE BOTELLAS")</f>
        <v>INSPECCION SEMANAL TRANSP DE BOTELLAS</v>
      </c>
      <c r="F1290" s="5" t="str">
        <f ca="1">IFERROR(__xludf.DUMMYFUNCTION("""COMPUTED_VALUE"""),"Estado de piñones y carretas")</f>
        <v>Estado de piñones y carretas</v>
      </c>
      <c r="G1290" s="5" t="b">
        <f ca="1">IFERROR(__xludf.DUMMYFUNCTION("""COMPUTED_VALUE"""),TRUE)</f>
        <v>1</v>
      </c>
      <c r="H1290" s="5"/>
      <c r="I1290" s="5"/>
      <c r="J1290" s="5">
        <f ca="1">IFERROR(__xludf.DUMMYFUNCTION("""COMPUTED_VALUE"""),13247283)</f>
        <v>13247283</v>
      </c>
      <c r="K1290" s="5"/>
      <c r="L1290" s="18">
        <f ca="1">IFERROR(__xludf.DUMMYFUNCTION("""COMPUTED_VALUE"""),45324)</f>
        <v>45324</v>
      </c>
      <c r="M1290" s="18">
        <f ca="1">IFERROR(__xludf.DUMMYFUNCTION("""COMPUTED_VALUE"""),45324)</f>
        <v>45324</v>
      </c>
      <c r="N1290" s="5" t="str">
        <f ca="1">IFERROR(__xludf.DUMMYFUNCTION("""COMPUTED_VALUE"""),"Andrés Felipe Pérez Polania")</f>
        <v>Andrés Felipe Pérez Polania</v>
      </c>
      <c r="O1290" s="2">
        <f ca="1">IFERROR(__xludf.DUMMYFUNCTION("""COMPUTED_VALUE"""),0.007692308)</f>
        <v>7.6923080000000001E-3</v>
      </c>
      <c r="P1290" s="5">
        <f ca="1">IFERROR(__xludf.DUMMYFUNCTION("""COMPUTED_VALUE"""),1919044)</f>
        <v>1919044</v>
      </c>
      <c r="Q1290" s="5" t="str">
        <f ca="1">IFERROR(__xludf.DUMMYFUNCTION("""COMPUTED_VALUE"""),"QG3CIT70ZuY")</f>
        <v>QG3CIT70ZuY</v>
      </c>
      <c r="R1290" s="5">
        <f ca="1">IFERROR(__xludf.DUMMYFUNCTION("""COMPUTED_VALUE"""),410)</f>
        <v>410</v>
      </c>
      <c r="S1290" s="62">
        <f ca="1">IFERROR(__xludf.DUMMYFUNCTION("""COMPUTED_VALUE"""),0.007692308)</f>
        <v>7.6923080000000001E-3</v>
      </c>
      <c r="T1290" s="63" t="str">
        <f ca="1">IFERROR(__xludf.DUMMYFUNCTION("""COMPUTED_VALUE"""),"https://storage.googleapis.com/glide-prod.appspot.com/uploads-v2/ly7o78grxPaC6KdgvbpS/pub/3aRdSog0vUtuqPE8AJKD.png")</f>
        <v>https://storage.googleapis.com/glide-prod.appspot.com/uploads-v2/ly7o78grxPaC6KdgvbpS/pub/3aRdSog0vUtuqPE8AJKD.png</v>
      </c>
      <c r="U1290" s="5" t="str">
        <f ca="1">IFERROR(__xludf.DUMMYFUNCTION("""COMPUTED_VALUE"""),"LINEA DE ENVASADO FAMILIAR Y PRBTRANSPORTADOR DE BOTELLAS")</f>
        <v>LINEA DE ENVASADO FAMILIAR Y PRBTRANSPORTADOR DE BOTELLAS</v>
      </c>
      <c r="V1290" s="5"/>
      <c r="W1290" s="5" t="b">
        <f ca="1">IFERROR(__xludf.DUMMYFUNCTION("""COMPUTED_VALUE"""),TRUE)</f>
        <v>1</v>
      </c>
      <c r="X1290" s="5" t="str">
        <f ca="1">IFERROR(__xludf.DUMMYFUNCTION("""COMPUTED_VALUE"""),"wguerra@postobon.com.co,aprmttoyu@postobon.com.co,aprmyu@postobon.com.co,wmora@postobon.com.co,efzapata@postobon.com.co")</f>
        <v>wguerra@postobon.com.co,aprmttoyu@postobon.com.co,aprmyu@postobon.com.co,wmora@postobon.com.co,efzapata@postobon.com.co</v>
      </c>
      <c r="Y1290" s="5" t="str">
        <f ca="1">IFERROR(__xludf.DUMMYFUNCTION("""COMPUTED_VALUE"""),"wguerra@postobon.com.co")</f>
        <v>wguerra@postobon.com.co</v>
      </c>
      <c r="Z1290" s="5" t="str">
        <f ca="1">IFERROR(__xludf.DUMMYFUNCTION("""COMPUTED_VALUE"""),"rlXZLpdERsm38D--KLLAuA")</f>
        <v>rlXZLpdERsm38D--KLLAuA</v>
      </c>
      <c r="AA1290" s="5"/>
      <c r="AB1290" s="5"/>
      <c r="AC1290" s="5"/>
      <c r="AD1290" s="5">
        <f ca="1">IFERROR(__xludf.DUMMYFUNCTION("""COMPUTED_VALUE"""),63)</f>
        <v>63</v>
      </c>
      <c r="AE1290" s="5">
        <f ca="1">IFERROR(__xludf.DUMMYFUNCTION("""COMPUTED_VALUE"""),63)</f>
        <v>63</v>
      </c>
      <c r="AF1290" s="5" t="b">
        <f ca="1">IFERROR(__xludf.DUMMYFUNCTION("""COMPUTED_VALUE"""),FALSE)</f>
        <v>0</v>
      </c>
      <c r="AG1290" s="5" t="str">
        <f ca="1">IFERROR(__xludf.DUMMYFUNCTION("""COMPUTED_VALUE"""),"INSPECCIONES REALIZADAS")</f>
        <v>INSPECCIONES REALIZADAS</v>
      </c>
      <c r="AH1290" s="5"/>
    </row>
    <row r="1291" spans="1:34">
      <c r="A1291" s="5" t="str">
        <f ca="1">IFERROR(__xludf.DUMMYFUNCTION("""COMPUTED_VALUE"""),"LINEA DE ENVASADO FAMILIAR Y PRB")</f>
        <v>LINEA DE ENVASADO FAMILIAR Y PRB</v>
      </c>
      <c r="B1291" s="5">
        <f ca="1">IFERROR(__xludf.DUMMYFUNCTION("""COMPUTED_VALUE"""),829653)</f>
        <v>829653</v>
      </c>
      <c r="C1291" s="5" t="str">
        <f ca="1">IFERROR(__xludf.DUMMYFUNCTION("""COMPUTED_VALUE"""),"TRANSPORTADOR DE BOTELLAS")</f>
        <v>TRANSPORTADOR DE BOTELLAS</v>
      </c>
      <c r="D1291" s="5">
        <f ca="1">IFERROR(__xludf.DUMMYFUNCTION("""COMPUTED_VALUE"""),13247283)</f>
        <v>13247283</v>
      </c>
      <c r="E1291" s="5" t="str">
        <f ca="1">IFERROR(__xludf.DUMMYFUNCTION("""COMPUTED_VALUE"""),"INSPECCION SEMANAL TRANSP DE BOTELLAS")</f>
        <v>INSPECCION SEMANAL TRANSP DE BOTELLAS</v>
      </c>
      <c r="F1291" s="5" t="str">
        <f ca="1">IFERROR(__xludf.DUMMYFUNCTION("""COMPUTED_VALUE"""),"Estado de motores")</f>
        <v>Estado de motores</v>
      </c>
      <c r="G1291" s="5" t="b">
        <f ca="1">IFERROR(__xludf.DUMMYFUNCTION("""COMPUTED_VALUE"""),TRUE)</f>
        <v>1</v>
      </c>
      <c r="H1291" s="5"/>
      <c r="I1291" s="5"/>
      <c r="J1291" s="5">
        <f ca="1">IFERROR(__xludf.DUMMYFUNCTION("""COMPUTED_VALUE"""),13247283)</f>
        <v>13247283</v>
      </c>
      <c r="K1291" s="5"/>
      <c r="L1291" s="18">
        <f ca="1">IFERROR(__xludf.DUMMYFUNCTION("""COMPUTED_VALUE"""),45324)</f>
        <v>45324</v>
      </c>
      <c r="M1291" s="18">
        <f ca="1">IFERROR(__xludf.DUMMYFUNCTION("""COMPUTED_VALUE"""),45324)</f>
        <v>45324</v>
      </c>
      <c r="N1291" s="5" t="str">
        <f ca="1">IFERROR(__xludf.DUMMYFUNCTION("""COMPUTED_VALUE"""),"Andrés Felipe Pérez Polania")</f>
        <v>Andrés Felipe Pérez Polania</v>
      </c>
      <c r="O1291" s="2">
        <f ca="1">IFERROR(__xludf.DUMMYFUNCTION("""COMPUTED_VALUE"""),0.007692308)</f>
        <v>7.6923080000000001E-3</v>
      </c>
      <c r="P1291" s="5">
        <f ca="1">IFERROR(__xludf.DUMMYFUNCTION("""COMPUTED_VALUE"""),1919044)</f>
        <v>1919044</v>
      </c>
      <c r="Q1291" s="5" t="str">
        <f ca="1">IFERROR(__xludf.DUMMYFUNCTION("""COMPUTED_VALUE"""),"ghK7THUNRDQ")</f>
        <v>ghK7THUNRDQ</v>
      </c>
      <c r="R1291" s="5">
        <f ca="1">IFERROR(__xludf.DUMMYFUNCTION("""COMPUTED_VALUE"""),410)</f>
        <v>410</v>
      </c>
      <c r="S1291" s="62">
        <f ca="1">IFERROR(__xludf.DUMMYFUNCTION("""COMPUTED_VALUE"""),0.007692308)</f>
        <v>7.6923080000000001E-3</v>
      </c>
      <c r="T1291" s="63" t="str">
        <f ca="1">IFERROR(__xludf.DUMMYFUNCTION("""COMPUTED_VALUE"""),"https://storage.googleapis.com/glide-prod.appspot.com/uploads-v2/ly7o78grxPaC6KdgvbpS/pub/3aRdSog0vUtuqPE8AJKD.png")</f>
        <v>https://storage.googleapis.com/glide-prod.appspot.com/uploads-v2/ly7o78grxPaC6KdgvbpS/pub/3aRdSog0vUtuqPE8AJKD.png</v>
      </c>
      <c r="U1291" s="5" t="str">
        <f ca="1">IFERROR(__xludf.DUMMYFUNCTION("""COMPUTED_VALUE"""),"LINEA DE ENVASADO FAMILIAR Y PRBTRANSPORTADOR DE BOTELLAS")</f>
        <v>LINEA DE ENVASADO FAMILIAR Y PRBTRANSPORTADOR DE BOTELLAS</v>
      </c>
      <c r="V1291" s="5"/>
      <c r="W1291" s="5" t="b">
        <f ca="1">IFERROR(__xludf.DUMMYFUNCTION("""COMPUTED_VALUE"""),TRUE)</f>
        <v>1</v>
      </c>
      <c r="X1291" s="5" t="str">
        <f ca="1">IFERROR(__xludf.DUMMYFUNCTION("""COMPUTED_VALUE"""),"wguerra@postobon.com.co,aprmttoyu@postobon.com.co,aprmyu@postobon.com.co,wmora@postobon.com.co,efzapata@postobon.com.co")</f>
        <v>wguerra@postobon.com.co,aprmttoyu@postobon.com.co,aprmyu@postobon.com.co,wmora@postobon.com.co,efzapata@postobon.com.co</v>
      </c>
      <c r="Y1291" s="5" t="str">
        <f ca="1">IFERROR(__xludf.DUMMYFUNCTION("""COMPUTED_VALUE"""),"wguerra@postobon.com.co")</f>
        <v>wguerra@postobon.com.co</v>
      </c>
      <c r="Z1291" s="5" t="str">
        <f ca="1">IFERROR(__xludf.DUMMYFUNCTION("""COMPUTED_VALUE"""),"uP9Y3mSEQCCiKqLqnBdr5w")</f>
        <v>uP9Y3mSEQCCiKqLqnBdr5w</v>
      </c>
      <c r="AA1291" s="5"/>
      <c r="AB1291" s="5"/>
      <c r="AC1291" s="5"/>
      <c r="AD1291" s="5">
        <f ca="1">IFERROR(__xludf.DUMMYFUNCTION("""COMPUTED_VALUE"""),63)</f>
        <v>63</v>
      </c>
      <c r="AE1291" s="5">
        <f ca="1">IFERROR(__xludf.DUMMYFUNCTION("""COMPUTED_VALUE"""),63)</f>
        <v>63</v>
      </c>
      <c r="AF1291" s="5" t="b">
        <f ca="1">IFERROR(__xludf.DUMMYFUNCTION("""COMPUTED_VALUE"""),FALSE)</f>
        <v>0</v>
      </c>
      <c r="AG1291" s="5" t="str">
        <f ca="1">IFERROR(__xludf.DUMMYFUNCTION("""COMPUTED_VALUE"""),"INSPECCIONES REALIZADAS")</f>
        <v>INSPECCIONES REALIZADAS</v>
      </c>
      <c r="AH1291" s="5"/>
    </row>
    <row r="1292" spans="1:34">
      <c r="A1292" s="5" t="str">
        <f ca="1">IFERROR(__xludf.DUMMYFUNCTION("""COMPUTED_VALUE"""),"LINEA DE ENVASADO FAMILIAR Y PRB")</f>
        <v>LINEA DE ENVASADO FAMILIAR Y PRB</v>
      </c>
      <c r="B1292" s="5">
        <f ca="1">IFERROR(__xludf.DUMMYFUNCTION("""COMPUTED_VALUE"""),829653)</f>
        <v>829653</v>
      </c>
      <c r="C1292" s="5" t="str">
        <f ca="1">IFERROR(__xludf.DUMMYFUNCTION("""COMPUTED_VALUE"""),"TRANSPORTADOR DE BOTELLAS")</f>
        <v>TRANSPORTADOR DE BOTELLAS</v>
      </c>
      <c r="D1292" s="5">
        <f ca="1">IFERROR(__xludf.DUMMYFUNCTION("""COMPUTED_VALUE"""),13247283)</f>
        <v>13247283</v>
      </c>
      <c r="E1292" s="5" t="str">
        <f ca="1">IFERROR(__xludf.DUMMYFUNCTION("""COMPUTED_VALUE"""),"INSPECCION SEMANAL TRANSP DE BOTELLAS")</f>
        <v>INSPECCION SEMANAL TRANSP DE BOTELLAS</v>
      </c>
      <c r="F1292" s="5" t="str">
        <f ca="1">IFERROR(__xludf.DUMMYFUNCTION("""COMPUTED_VALUE"""),"Estado de tableros eléctricos de mando, control y potencia")</f>
        <v>Estado de tableros eléctricos de mando, control y potencia</v>
      </c>
      <c r="G1292" s="5" t="b">
        <f ca="1">IFERROR(__xludf.DUMMYFUNCTION("""COMPUTED_VALUE"""),TRUE)</f>
        <v>1</v>
      </c>
      <c r="H1292" s="5"/>
      <c r="I1292" s="5"/>
      <c r="J1292" s="5">
        <f ca="1">IFERROR(__xludf.DUMMYFUNCTION("""COMPUTED_VALUE"""),13247283)</f>
        <v>13247283</v>
      </c>
      <c r="K1292" s="5"/>
      <c r="L1292" s="18">
        <f ca="1">IFERROR(__xludf.DUMMYFUNCTION("""COMPUTED_VALUE"""),45324)</f>
        <v>45324</v>
      </c>
      <c r="M1292" s="18">
        <f ca="1">IFERROR(__xludf.DUMMYFUNCTION("""COMPUTED_VALUE"""),45324)</f>
        <v>45324</v>
      </c>
      <c r="N1292" s="5" t="str">
        <f ca="1">IFERROR(__xludf.DUMMYFUNCTION("""COMPUTED_VALUE"""),"Andrés Felipe Pérez Polania")</f>
        <v>Andrés Felipe Pérez Polania</v>
      </c>
      <c r="O1292" s="2">
        <f ca="1">IFERROR(__xludf.DUMMYFUNCTION("""COMPUTED_VALUE"""),0.007692308)</f>
        <v>7.6923080000000001E-3</v>
      </c>
      <c r="P1292" s="5">
        <f ca="1">IFERROR(__xludf.DUMMYFUNCTION("""COMPUTED_VALUE"""),1919044)</f>
        <v>1919044</v>
      </c>
      <c r="Q1292" s="5" t="str">
        <f ca="1">IFERROR(__xludf.DUMMYFUNCTION("""COMPUTED_VALUE"""),"MwbIC5misF0")</f>
        <v>MwbIC5misF0</v>
      </c>
      <c r="R1292" s="5">
        <f ca="1">IFERROR(__xludf.DUMMYFUNCTION("""COMPUTED_VALUE"""),410)</f>
        <v>410</v>
      </c>
      <c r="S1292" s="62">
        <f ca="1">IFERROR(__xludf.DUMMYFUNCTION("""COMPUTED_VALUE"""),0.007692308)</f>
        <v>7.6923080000000001E-3</v>
      </c>
      <c r="T1292" s="63" t="str">
        <f ca="1">IFERROR(__xludf.DUMMYFUNCTION("""COMPUTED_VALUE"""),"https://storage.googleapis.com/glide-prod.appspot.com/uploads-v2/ly7o78grxPaC6KdgvbpS/pub/3aRdSog0vUtuqPE8AJKD.png")</f>
        <v>https://storage.googleapis.com/glide-prod.appspot.com/uploads-v2/ly7o78grxPaC6KdgvbpS/pub/3aRdSog0vUtuqPE8AJKD.png</v>
      </c>
      <c r="U1292" s="5" t="str">
        <f ca="1">IFERROR(__xludf.DUMMYFUNCTION("""COMPUTED_VALUE"""),"LINEA DE ENVASADO FAMILIAR Y PRBTRANSPORTADOR DE BOTELLAS")</f>
        <v>LINEA DE ENVASADO FAMILIAR Y PRBTRANSPORTADOR DE BOTELLAS</v>
      </c>
      <c r="V1292" s="5"/>
      <c r="W1292" s="5" t="b">
        <f ca="1">IFERROR(__xludf.DUMMYFUNCTION("""COMPUTED_VALUE"""),TRUE)</f>
        <v>1</v>
      </c>
      <c r="X1292" s="5" t="str">
        <f ca="1">IFERROR(__xludf.DUMMYFUNCTION("""COMPUTED_VALUE"""),"wguerra@postobon.com.co,aprmttoyu@postobon.com.co,aprmyu@postobon.com.co,wmora@postobon.com.co,efzapata@postobon.com.co")</f>
        <v>wguerra@postobon.com.co,aprmttoyu@postobon.com.co,aprmyu@postobon.com.co,wmora@postobon.com.co,efzapata@postobon.com.co</v>
      </c>
      <c r="Y1292" s="5" t="str">
        <f ca="1">IFERROR(__xludf.DUMMYFUNCTION("""COMPUTED_VALUE"""),"wguerra@postobon.com.co")</f>
        <v>wguerra@postobon.com.co</v>
      </c>
      <c r="Z1292" s="5" t="str">
        <f ca="1">IFERROR(__xludf.DUMMYFUNCTION("""COMPUTED_VALUE"""),"dMA5zT1MRsOYmqpqD6HPJg")</f>
        <v>dMA5zT1MRsOYmqpqD6HPJg</v>
      </c>
      <c r="AA1292" s="5"/>
      <c r="AB1292" s="5"/>
      <c r="AC1292" s="5"/>
      <c r="AD1292" s="5">
        <f ca="1">IFERROR(__xludf.DUMMYFUNCTION("""COMPUTED_VALUE"""),63)</f>
        <v>63</v>
      </c>
      <c r="AE1292" s="5">
        <f ca="1">IFERROR(__xludf.DUMMYFUNCTION("""COMPUTED_VALUE"""),63)</f>
        <v>63</v>
      </c>
      <c r="AF1292" s="5" t="b">
        <f ca="1">IFERROR(__xludf.DUMMYFUNCTION("""COMPUTED_VALUE"""),FALSE)</f>
        <v>0</v>
      </c>
      <c r="AG1292" s="5" t="str">
        <f ca="1">IFERROR(__xludf.DUMMYFUNCTION("""COMPUTED_VALUE"""),"INSPECCIONES REALIZADAS")</f>
        <v>INSPECCIONES REALIZADAS</v>
      </c>
      <c r="AH1292" s="5"/>
    </row>
    <row r="1293" spans="1:34">
      <c r="A1293" s="5" t="str">
        <f ca="1">IFERROR(__xludf.DUMMYFUNCTION("""COMPUTED_VALUE"""),"LINEA DE ENVASADO FAMILIAR Y PRB")</f>
        <v>LINEA DE ENVASADO FAMILIAR Y PRB</v>
      </c>
      <c r="B1293" s="5">
        <f ca="1">IFERROR(__xludf.DUMMYFUNCTION("""COMPUTED_VALUE"""),829653)</f>
        <v>829653</v>
      </c>
      <c r="C1293" s="5" t="str">
        <f ca="1">IFERROR(__xludf.DUMMYFUNCTION("""COMPUTED_VALUE"""),"TRANSPORTADOR DE BOTELLAS")</f>
        <v>TRANSPORTADOR DE BOTELLAS</v>
      </c>
      <c r="D1293" s="5">
        <f ca="1">IFERROR(__xludf.DUMMYFUNCTION("""COMPUTED_VALUE"""),13247283)</f>
        <v>13247283</v>
      </c>
      <c r="E1293" s="5" t="str">
        <f ca="1">IFERROR(__xludf.DUMMYFUNCTION("""COMPUTED_VALUE"""),"INSPECCION SEMANAL TRANSP DE BOTELLAS")</f>
        <v>INSPECCION SEMANAL TRANSP DE BOTELLAS</v>
      </c>
      <c r="F1293" s="5" t="str">
        <f ca="1">IFERROR(__xludf.DUMMYFUNCTION("""COMPUTED_VALUE"""),"Estado de sensores")</f>
        <v>Estado de sensores</v>
      </c>
      <c r="G1293" s="5" t="b">
        <f ca="1">IFERROR(__xludf.DUMMYFUNCTION("""COMPUTED_VALUE"""),TRUE)</f>
        <v>1</v>
      </c>
      <c r="H1293" s="5"/>
      <c r="I1293" s="5"/>
      <c r="J1293" s="5">
        <f ca="1">IFERROR(__xludf.DUMMYFUNCTION("""COMPUTED_VALUE"""),13247283)</f>
        <v>13247283</v>
      </c>
      <c r="K1293" s="5"/>
      <c r="L1293" s="18">
        <f ca="1">IFERROR(__xludf.DUMMYFUNCTION("""COMPUTED_VALUE"""),45324)</f>
        <v>45324</v>
      </c>
      <c r="M1293" s="18">
        <f ca="1">IFERROR(__xludf.DUMMYFUNCTION("""COMPUTED_VALUE"""),45324)</f>
        <v>45324</v>
      </c>
      <c r="N1293" s="5" t="str">
        <f ca="1">IFERROR(__xludf.DUMMYFUNCTION("""COMPUTED_VALUE"""),"Andrés Felipe Pérez Polania")</f>
        <v>Andrés Felipe Pérez Polania</v>
      </c>
      <c r="O1293" s="2">
        <f ca="1">IFERROR(__xludf.DUMMYFUNCTION("""COMPUTED_VALUE"""),0.007692308)</f>
        <v>7.6923080000000001E-3</v>
      </c>
      <c r="P1293" s="5">
        <f ca="1">IFERROR(__xludf.DUMMYFUNCTION("""COMPUTED_VALUE"""),1919044)</f>
        <v>1919044</v>
      </c>
      <c r="Q1293" s="5" t="str">
        <f ca="1">IFERROR(__xludf.DUMMYFUNCTION("""COMPUTED_VALUE"""),"v4qo01blDF0")</f>
        <v>v4qo01blDF0</v>
      </c>
      <c r="R1293" s="5">
        <f ca="1">IFERROR(__xludf.DUMMYFUNCTION("""COMPUTED_VALUE"""),410)</f>
        <v>410</v>
      </c>
      <c r="S1293" s="62">
        <f ca="1">IFERROR(__xludf.DUMMYFUNCTION("""COMPUTED_VALUE"""),0.007692308)</f>
        <v>7.6923080000000001E-3</v>
      </c>
      <c r="T1293" s="63" t="str">
        <f ca="1">IFERROR(__xludf.DUMMYFUNCTION("""COMPUTED_VALUE"""),"https://storage.googleapis.com/glide-prod.appspot.com/uploads-v2/ly7o78grxPaC6KdgvbpS/pub/3aRdSog0vUtuqPE8AJKD.png")</f>
        <v>https://storage.googleapis.com/glide-prod.appspot.com/uploads-v2/ly7o78grxPaC6KdgvbpS/pub/3aRdSog0vUtuqPE8AJKD.png</v>
      </c>
      <c r="U1293" s="5" t="str">
        <f ca="1">IFERROR(__xludf.DUMMYFUNCTION("""COMPUTED_VALUE"""),"LINEA DE ENVASADO FAMILIAR Y PRBTRANSPORTADOR DE BOTELLAS")</f>
        <v>LINEA DE ENVASADO FAMILIAR Y PRBTRANSPORTADOR DE BOTELLAS</v>
      </c>
      <c r="V1293" s="5"/>
      <c r="W1293" s="5" t="b">
        <f ca="1">IFERROR(__xludf.DUMMYFUNCTION("""COMPUTED_VALUE"""),TRUE)</f>
        <v>1</v>
      </c>
      <c r="X1293" s="5" t="str">
        <f ca="1">IFERROR(__xludf.DUMMYFUNCTION("""COMPUTED_VALUE"""),"wguerra@postobon.com.co,aprmttoyu@postobon.com.co,aprmyu@postobon.com.co,wmora@postobon.com.co,efzapata@postobon.com.co")</f>
        <v>wguerra@postobon.com.co,aprmttoyu@postobon.com.co,aprmyu@postobon.com.co,wmora@postobon.com.co,efzapata@postobon.com.co</v>
      </c>
      <c r="Y1293" s="5" t="str">
        <f ca="1">IFERROR(__xludf.DUMMYFUNCTION("""COMPUTED_VALUE"""),"wguerra@postobon.com.co")</f>
        <v>wguerra@postobon.com.co</v>
      </c>
      <c r="Z1293" s="5" t="str">
        <f ca="1">IFERROR(__xludf.DUMMYFUNCTION("""COMPUTED_VALUE"""),"Y5envqUgTlKMmeDwgCv-vw")</f>
        <v>Y5envqUgTlKMmeDwgCv-vw</v>
      </c>
      <c r="AA1293" s="5"/>
      <c r="AB1293" s="5"/>
      <c r="AC1293" s="5"/>
      <c r="AD1293" s="5">
        <f ca="1">IFERROR(__xludf.DUMMYFUNCTION("""COMPUTED_VALUE"""),63)</f>
        <v>63</v>
      </c>
      <c r="AE1293" s="5">
        <f ca="1">IFERROR(__xludf.DUMMYFUNCTION("""COMPUTED_VALUE"""),63)</f>
        <v>63</v>
      </c>
      <c r="AF1293" s="5" t="b">
        <f ca="1">IFERROR(__xludf.DUMMYFUNCTION("""COMPUTED_VALUE"""),FALSE)</f>
        <v>0</v>
      </c>
      <c r="AG1293" s="5" t="str">
        <f ca="1">IFERROR(__xludf.DUMMYFUNCTION("""COMPUTED_VALUE"""),"INSPECCIONES REALIZADAS")</f>
        <v>INSPECCIONES REALIZADAS</v>
      </c>
      <c r="AH1293" s="5"/>
    </row>
    <row r="1294" spans="1:34">
      <c r="A1294" s="5" t="str">
        <f ca="1">IFERROR(__xludf.DUMMYFUNCTION("""COMPUTED_VALUE"""),"LINEA DE ENVASADO FAMILIAR Y PRB")</f>
        <v>LINEA DE ENVASADO FAMILIAR Y PRB</v>
      </c>
      <c r="B1294" s="5">
        <f ca="1">IFERROR(__xludf.DUMMYFUNCTION("""COMPUTED_VALUE"""),829653)</f>
        <v>829653</v>
      </c>
      <c r="C1294" s="5" t="str">
        <f ca="1">IFERROR(__xludf.DUMMYFUNCTION("""COMPUTED_VALUE"""),"TRANSPORTADOR DE BOTELLAS")</f>
        <v>TRANSPORTADOR DE BOTELLAS</v>
      </c>
      <c r="D1294" s="5">
        <f ca="1">IFERROR(__xludf.DUMMYFUNCTION("""COMPUTED_VALUE"""),13247283)</f>
        <v>13247283</v>
      </c>
      <c r="E1294" s="5" t="str">
        <f ca="1">IFERROR(__xludf.DUMMYFUNCTION("""COMPUTED_VALUE"""),"INSPECCION SEMANAL TRANSP DE BOTELLAS")</f>
        <v>INSPECCION SEMANAL TRANSP DE BOTELLAS</v>
      </c>
      <c r="F1294" s="5" t="str">
        <f ca="1">IFERROR(__xludf.DUMMYFUNCTION("""COMPUTED_VALUE"""),"Estado perfiles de desgaste plasticos")</f>
        <v>Estado perfiles de desgaste plasticos</v>
      </c>
      <c r="G1294" s="5" t="b">
        <f ca="1">IFERROR(__xludf.DUMMYFUNCTION("""COMPUTED_VALUE"""),TRUE)</f>
        <v>1</v>
      </c>
      <c r="H1294" s="5"/>
      <c r="I1294" s="5"/>
      <c r="J1294" s="5">
        <f ca="1">IFERROR(__xludf.DUMMYFUNCTION("""COMPUTED_VALUE"""),13247283)</f>
        <v>13247283</v>
      </c>
      <c r="K1294" s="5"/>
      <c r="L1294" s="18">
        <f ca="1">IFERROR(__xludf.DUMMYFUNCTION("""COMPUTED_VALUE"""),45324)</f>
        <v>45324</v>
      </c>
      <c r="M1294" s="18">
        <f ca="1">IFERROR(__xludf.DUMMYFUNCTION("""COMPUTED_VALUE"""),45324)</f>
        <v>45324</v>
      </c>
      <c r="N1294" s="5" t="str">
        <f ca="1">IFERROR(__xludf.DUMMYFUNCTION("""COMPUTED_VALUE"""),"Andrés Felipe Pérez Polania")</f>
        <v>Andrés Felipe Pérez Polania</v>
      </c>
      <c r="O1294" s="2">
        <f ca="1">IFERROR(__xludf.DUMMYFUNCTION("""COMPUTED_VALUE"""),0.007692308)</f>
        <v>7.6923080000000001E-3</v>
      </c>
      <c r="P1294" s="5">
        <f ca="1">IFERROR(__xludf.DUMMYFUNCTION("""COMPUTED_VALUE"""),1919044)</f>
        <v>1919044</v>
      </c>
      <c r="Q1294" s="5" t="str">
        <f ca="1">IFERROR(__xludf.DUMMYFUNCTION("""COMPUTED_VALUE"""),"QxWB9wTgFoY")</f>
        <v>QxWB9wTgFoY</v>
      </c>
      <c r="R1294" s="5">
        <f ca="1">IFERROR(__xludf.DUMMYFUNCTION("""COMPUTED_VALUE"""),410)</f>
        <v>410</v>
      </c>
      <c r="S1294" s="62">
        <f ca="1">IFERROR(__xludf.DUMMYFUNCTION("""COMPUTED_VALUE"""),0.007692308)</f>
        <v>7.6923080000000001E-3</v>
      </c>
      <c r="T1294" s="63" t="str">
        <f ca="1">IFERROR(__xludf.DUMMYFUNCTION("""COMPUTED_VALUE"""),"https://storage.googleapis.com/glide-prod.appspot.com/uploads-v2/ly7o78grxPaC6KdgvbpS/pub/3aRdSog0vUtuqPE8AJKD.png")</f>
        <v>https://storage.googleapis.com/glide-prod.appspot.com/uploads-v2/ly7o78grxPaC6KdgvbpS/pub/3aRdSog0vUtuqPE8AJKD.png</v>
      </c>
      <c r="U1294" s="5" t="str">
        <f ca="1">IFERROR(__xludf.DUMMYFUNCTION("""COMPUTED_VALUE"""),"LINEA DE ENVASADO FAMILIAR Y PRBTRANSPORTADOR DE BOTELLAS")</f>
        <v>LINEA DE ENVASADO FAMILIAR Y PRBTRANSPORTADOR DE BOTELLAS</v>
      </c>
      <c r="V1294" s="5"/>
      <c r="W1294" s="5" t="b">
        <f ca="1">IFERROR(__xludf.DUMMYFUNCTION("""COMPUTED_VALUE"""),TRUE)</f>
        <v>1</v>
      </c>
      <c r="X1294" s="5" t="str">
        <f ca="1">IFERROR(__xludf.DUMMYFUNCTION("""COMPUTED_VALUE"""),"wguerra@postobon.com.co,aprmttoyu@postobon.com.co,aprmyu@postobon.com.co,wmora@postobon.com.co,efzapata@postobon.com.co")</f>
        <v>wguerra@postobon.com.co,aprmttoyu@postobon.com.co,aprmyu@postobon.com.co,wmora@postobon.com.co,efzapata@postobon.com.co</v>
      </c>
      <c r="Y1294" s="5" t="str">
        <f ca="1">IFERROR(__xludf.DUMMYFUNCTION("""COMPUTED_VALUE"""),"wguerra@postobon.com.co")</f>
        <v>wguerra@postobon.com.co</v>
      </c>
      <c r="Z1294" s="5" t="str">
        <f ca="1">IFERROR(__xludf.DUMMYFUNCTION("""COMPUTED_VALUE"""),"BVgGU2AzQFaMcPeaFFD3Hw")</f>
        <v>BVgGU2AzQFaMcPeaFFD3Hw</v>
      </c>
      <c r="AA1294" s="5"/>
      <c r="AB1294" s="5"/>
      <c r="AC1294" s="5"/>
      <c r="AD1294" s="5">
        <f ca="1">IFERROR(__xludf.DUMMYFUNCTION("""COMPUTED_VALUE"""),63)</f>
        <v>63</v>
      </c>
      <c r="AE1294" s="5">
        <f ca="1">IFERROR(__xludf.DUMMYFUNCTION("""COMPUTED_VALUE"""),63)</f>
        <v>63</v>
      </c>
      <c r="AF1294" s="5" t="b">
        <f ca="1">IFERROR(__xludf.DUMMYFUNCTION("""COMPUTED_VALUE"""),FALSE)</f>
        <v>0</v>
      </c>
      <c r="AG1294" s="5" t="str">
        <f ca="1">IFERROR(__xludf.DUMMYFUNCTION("""COMPUTED_VALUE"""),"INSPECCIONES REALIZADAS")</f>
        <v>INSPECCIONES REALIZADAS</v>
      </c>
      <c r="AH1294" s="5"/>
    </row>
    <row r="1295" spans="1:34">
      <c r="A1295" s="5" t="str">
        <f ca="1">IFERROR(__xludf.DUMMYFUNCTION("""COMPUTED_VALUE"""),"LINEA DE ENVASADO FAMILIAR Y PRB")</f>
        <v>LINEA DE ENVASADO FAMILIAR Y PRB</v>
      </c>
      <c r="B1295" s="5">
        <f ca="1">IFERROR(__xludf.DUMMYFUNCTION("""COMPUTED_VALUE"""),829653)</f>
        <v>829653</v>
      </c>
      <c r="C1295" s="5" t="str">
        <f ca="1">IFERROR(__xludf.DUMMYFUNCTION("""COMPUTED_VALUE"""),"TRANSPORTADOR DE BOTELLAS")</f>
        <v>TRANSPORTADOR DE BOTELLAS</v>
      </c>
      <c r="D1295" s="5">
        <f ca="1">IFERROR(__xludf.DUMMYFUNCTION("""COMPUTED_VALUE"""),13247283)</f>
        <v>13247283</v>
      </c>
      <c r="E1295" s="5" t="str">
        <f ca="1">IFERROR(__xludf.DUMMYFUNCTION("""COMPUTED_VALUE"""),"INSPECCION SEMANAL TRANSP DE BOTELLAS")</f>
        <v>INSPECCION SEMANAL TRANSP DE BOTELLAS</v>
      </c>
      <c r="F1295" s="5" t="str">
        <f ca="1">IFERROR(__xludf.DUMMYFUNCTION("""COMPUTED_VALUE"""),"Estado de cajas reductoras")</f>
        <v>Estado de cajas reductoras</v>
      </c>
      <c r="G1295" s="5" t="b">
        <f ca="1">IFERROR(__xludf.DUMMYFUNCTION("""COMPUTED_VALUE"""),TRUE)</f>
        <v>1</v>
      </c>
      <c r="H1295" s="5"/>
      <c r="I1295" s="5"/>
      <c r="J1295" s="5">
        <f ca="1">IFERROR(__xludf.DUMMYFUNCTION("""COMPUTED_VALUE"""),13247283)</f>
        <v>13247283</v>
      </c>
      <c r="K1295" s="5"/>
      <c r="L1295" s="18">
        <f ca="1">IFERROR(__xludf.DUMMYFUNCTION("""COMPUTED_VALUE"""),45324)</f>
        <v>45324</v>
      </c>
      <c r="M1295" s="18">
        <f ca="1">IFERROR(__xludf.DUMMYFUNCTION("""COMPUTED_VALUE"""),45324)</f>
        <v>45324</v>
      </c>
      <c r="N1295" s="5" t="str">
        <f ca="1">IFERROR(__xludf.DUMMYFUNCTION("""COMPUTED_VALUE"""),"Andrés Felipe Pérez Polania")</f>
        <v>Andrés Felipe Pérez Polania</v>
      </c>
      <c r="O1295" s="2">
        <f ca="1">IFERROR(__xludf.DUMMYFUNCTION("""COMPUTED_VALUE"""),0.007692308)</f>
        <v>7.6923080000000001E-3</v>
      </c>
      <c r="P1295" s="5">
        <f ca="1">IFERROR(__xludf.DUMMYFUNCTION("""COMPUTED_VALUE"""),1919044)</f>
        <v>1919044</v>
      </c>
      <c r="Q1295" s="5" t="str">
        <f ca="1">IFERROR(__xludf.DUMMYFUNCTION("""COMPUTED_VALUE"""),"QgnCY7fMe60")</f>
        <v>QgnCY7fMe60</v>
      </c>
      <c r="R1295" s="5">
        <f ca="1">IFERROR(__xludf.DUMMYFUNCTION("""COMPUTED_VALUE"""),410)</f>
        <v>410</v>
      </c>
      <c r="S1295" s="62">
        <f ca="1">IFERROR(__xludf.DUMMYFUNCTION("""COMPUTED_VALUE"""),0.007692308)</f>
        <v>7.6923080000000001E-3</v>
      </c>
      <c r="T1295" s="63" t="str">
        <f ca="1">IFERROR(__xludf.DUMMYFUNCTION("""COMPUTED_VALUE"""),"https://storage.googleapis.com/glide-prod.appspot.com/uploads-v2/ly7o78grxPaC6KdgvbpS/pub/3aRdSog0vUtuqPE8AJKD.png")</f>
        <v>https://storage.googleapis.com/glide-prod.appspot.com/uploads-v2/ly7o78grxPaC6KdgvbpS/pub/3aRdSog0vUtuqPE8AJKD.png</v>
      </c>
      <c r="U1295" s="5" t="str">
        <f ca="1">IFERROR(__xludf.DUMMYFUNCTION("""COMPUTED_VALUE"""),"LINEA DE ENVASADO FAMILIAR Y PRBTRANSPORTADOR DE BOTELLAS")</f>
        <v>LINEA DE ENVASADO FAMILIAR Y PRBTRANSPORTADOR DE BOTELLAS</v>
      </c>
      <c r="V1295" s="5"/>
      <c r="W1295" s="5" t="b">
        <f ca="1">IFERROR(__xludf.DUMMYFUNCTION("""COMPUTED_VALUE"""),TRUE)</f>
        <v>1</v>
      </c>
      <c r="X1295" s="5" t="str">
        <f ca="1">IFERROR(__xludf.DUMMYFUNCTION("""COMPUTED_VALUE"""),"wguerra@postobon.com.co,aprmttoyu@postobon.com.co,aprmyu@postobon.com.co,wmora@postobon.com.co,efzapata@postobon.com.co")</f>
        <v>wguerra@postobon.com.co,aprmttoyu@postobon.com.co,aprmyu@postobon.com.co,wmora@postobon.com.co,efzapata@postobon.com.co</v>
      </c>
      <c r="Y1295" s="5" t="str">
        <f ca="1">IFERROR(__xludf.DUMMYFUNCTION("""COMPUTED_VALUE"""),"wguerra@postobon.com.co")</f>
        <v>wguerra@postobon.com.co</v>
      </c>
      <c r="Z1295" s="5" t="str">
        <f ca="1">IFERROR(__xludf.DUMMYFUNCTION("""COMPUTED_VALUE"""),"JOAab7.dQR2p8wqcI.er9A")</f>
        <v>JOAab7.dQR2p8wqcI.er9A</v>
      </c>
      <c r="AA1295" s="5"/>
      <c r="AB1295" s="5"/>
      <c r="AC1295" s="5"/>
      <c r="AD1295" s="5">
        <f ca="1">IFERROR(__xludf.DUMMYFUNCTION("""COMPUTED_VALUE"""),63)</f>
        <v>63</v>
      </c>
      <c r="AE1295" s="5">
        <f ca="1">IFERROR(__xludf.DUMMYFUNCTION("""COMPUTED_VALUE"""),63)</f>
        <v>63</v>
      </c>
      <c r="AF1295" s="5" t="b">
        <f ca="1">IFERROR(__xludf.DUMMYFUNCTION("""COMPUTED_VALUE"""),FALSE)</f>
        <v>0</v>
      </c>
      <c r="AG1295" s="5" t="str">
        <f ca="1">IFERROR(__xludf.DUMMYFUNCTION("""COMPUTED_VALUE"""),"INSPECCIONES REALIZADAS")</f>
        <v>INSPECCIONES REALIZADAS</v>
      </c>
      <c r="AH1295" s="5"/>
    </row>
    <row r="1296" spans="1:34">
      <c r="A1296" s="5" t="str">
        <f ca="1">IFERROR(__xludf.DUMMYFUNCTION("""COMPUTED_VALUE"""),"LINEA DE ENVASADO FAMILIAR Y PRB")</f>
        <v>LINEA DE ENVASADO FAMILIAR Y PRB</v>
      </c>
      <c r="B1296" s="5">
        <f ca="1">IFERROR(__xludf.DUMMYFUNCTION("""COMPUTED_VALUE"""),829653)</f>
        <v>829653</v>
      </c>
      <c r="C1296" s="5" t="str">
        <f ca="1">IFERROR(__xludf.DUMMYFUNCTION("""COMPUTED_VALUE"""),"TRANSPORTADOR DE BOTELLAS")</f>
        <v>TRANSPORTADOR DE BOTELLAS</v>
      </c>
      <c r="D1296" s="5">
        <f ca="1">IFERROR(__xludf.DUMMYFUNCTION("""COMPUTED_VALUE"""),13247283)</f>
        <v>13247283</v>
      </c>
      <c r="E1296" s="5" t="str">
        <f ca="1">IFERROR(__xludf.DUMMYFUNCTION("""COMPUTED_VALUE"""),"INSPECCION SEMANAL TRANSP DE BOTELLAS")</f>
        <v>INSPECCION SEMANAL TRANSP DE BOTELLAS</v>
      </c>
      <c r="F1296" s="5" t="str">
        <f ca="1">IFERROR(__xludf.DUMMYFUNCTION("""COMPUTED_VALUE"""),"Estado de lentes inspector humano")</f>
        <v>Estado de lentes inspector humano</v>
      </c>
      <c r="G1296" s="5" t="b">
        <f ca="1">IFERROR(__xludf.DUMMYFUNCTION("""COMPUTED_VALUE"""),TRUE)</f>
        <v>1</v>
      </c>
      <c r="H1296" s="5"/>
      <c r="I1296" s="5"/>
      <c r="J1296" s="5">
        <f ca="1">IFERROR(__xludf.DUMMYFUNCTION("""COMPUTED_VALUE"""),13247283)</f>
        <v>13247283</v>
      </c>
      <c r="K1296" s="5"/>
      <c r="L1296" s="18">
        <f ca="1">IFERROR(__xludf.DUMMYFUNCTION("""COMPUTED_VALUE"""),45324)</f>
        <v>45324</v>
      </c>
      <c r="M1296" s="18">
        <f ca="1">IFERROR(__xludf.DUMMYFUNCTION("""COMPUTED_VALUE"""),45324)</f>
        <v>45324</v>
      </c>
      <c r="N1296" s="5" t="str">
        <f ca="1">IFERROR(__xludf.DUMMYFUNCTION("""COMPUTED_VALUE"""),"Andrés Felipe Pérez Polania")</f>
        <v>Andrés Felipe Pérez Polania</v>
      </c>
      <c r="O1296" s="2">
        <f ca="1">IFERROR(__xludf.DUMMYFUNCTION("""COMPUTED_VALUE"""),0.007692308)</f>
        <v>7.6923080000000001E-3</v>
      </c>
      <c r="P1296" s="5">
        <f ca="1">IFERROR(__xludf.DUMMYFUNCTION("""COMPUTED_VALUE"""),1919044)</f>
        <v>1919044</v>
      </c>
      <c r="Q1296" s="5" t="str">
        <f ca="1">IFERROR(__xludf.DUMMYFUNCTION("""COMPUTED_VALUE"""),"xNkda7FlGM8")</f>
        <v>xNkda7FlGM8</v>
      </c>
      <c r="R1296" s="5">
        <f ca="1">IFERROR(__xludf.DUMMYFUNCTION("""COMPUTED_VALUE"""),410)</f>
        <v>410</v>
      </c>
      <c r="S1296" s="62">
        <f ca="1">IFERROR(__xludf.DUMMYFUNCTION("""COMPUTED_VALUE"""),0.007692308)</f>
        <v>7.6923080000000001E-3</v>
      </c>
      <c r="T1296" s="63" t="str">
        <f ca="1">IFERROR(__xludf.DUMMYFUNCTION("""COMPUTED_VALUE"""),"https://storage.googleapis.com/glide-prod.appspot.com/uploads-v2/ly7o78grxPaC6KdgvbpS/pub/3aRdSog0vUtuqPE8AJKD.png")</f>
        <v>https://storage.googleapis.com/glide-prod.appspot.com/uploads-v2/ly7o78grxPaC6KdgvbpS/pub/3aRdSog0vUtuqPE8AJKD.png</v>
      </c>
      <c r="U1296" s="5" t="str">
        <f ca="1">IFERROR(__xludf.DUMMYFUNCTION("""COMPUTED_VALUE"""),"LINEA DE ENVASADO FAMILIAR Y PRBTRANSPORTADOR DE BOTELLAS")</f>
        <v>LINEA DE ENVASADO FAMILIAR Y PRBTRANSPORTADOR DE BOTELLAS</v>
      </c>
      <c r="V1296" s="5"/>
      <c r="W1296" s="5" t="b">
        <f ca="1">IFERROR(__xludf.DUMMYFUNCTION("""COMPUTED_VALUE"""),TRUE)</f>
        <v>1</v>
      </c>
      <c r="X1296" s="5" t="str">
        <f ca="1">IFERROR(__xludf.DUMMYFUNCTION("""COMPUTED_VALUE"""),"wguerra@postobon.com.co,aprmttoyu@postobon.com.co,aprmyu@postobon.com.co,wmora@postobon.com.co,efzapata@postobon.com.co")</f>
        <v>wguerra@postobon.com.co,aprmttoyu@postobon.com.co,aprmyu@postobon.com.co,wmora@postobon.com.co,efzapata@postobon.com.co</v>
      </c>
      <c r="Y1296" s="5" t="str">
        <f ca="1">IFERROR(__xludf.DUMMYFUNCTION("""COMPUTED_VALUE"""),"wguerra@postobon.com.co")</f>
        <v>wguerra@postobon.com.co</v>
      </c>
      <c r="Z1296" s="5" t="str">
        <f ca="1">IFERROR(__xludf.DUMMYFUNCTION("""COMPUTED_VALUE"""),"a-2kJe99vSf6YOZEFOFu18g")</f>
        <v>a-2kJe99vSf6YOZEFOFu18g</v>
      </c>
      <c r="AA1296" s="5"/>
      <c r="AB1296" s="5"/>
      <c r="AC1296" s="5"/>
      <c r="AD1296" s="5">
        <f ca="1">IFERROR(__xludf.DUMMYFUNCTION("""COMPUTED_VALUE"""),63)</f>
        <v>63</v>
      </c>
      <c r="AE1296" s="5">
        <f ca="1">IFERROR(__xludf.DUMMYFUNCTION("""COMPUTED_VALUE"""),63)</f>
        <v>63</v>
      </c>
      <c r="AF1296" s="5" t="b">
        <f ca="1">IFERROR(__xludf.DUMMYFUNCTION("""COMPUTED_VALUE"""),FALSE)</f>
        <v>0</v>
      </c>
      <c r="AG1296" s="5" t="str">
        <f ca="1">IFERROR(__xludf.DUMMYFUNCTION("""COMPUTED_VALUE"""),"INSPECCIONES REALIZADAS")</f>
        <v>INSPECCIONES REALIZADAS</v>
      </c>
      <c r="AH1296" s="5"/>
    </row>
    <row r="1297" spans="1:34">
      <c r="A1297" s="5" t="str">
        <f ca="1">IFERROR(__xludf.DUMMYFUNCTION("""COMPUTED_VALUE"""),"LINEA DE ENVASADO FAMILIAR Y PRB")</f>
        <v>LINEA DE ENVASADO FAMILIAR Y PRB</v>
      </c>
      <c r="B1297" s="5">
        <f ca="1">IFERROR(__xludf.DUMMYFUNCTION("""COMPUTED_VALUE"""),829653)</f>
        <v>829653</v>
      </c>
      <c r="C1297" s="5" t="str">
        <f ca="1">IFERROR(__xludf.DUMMYFUNCTION("""COMPUTED_VALUE"""),"TRANSPORTADOR DE BOTELLAS")</f>
        <v>TRANSPORTADOR DE BOTELLAS</v>
      </c>
      <c r="D1297" s="5">
        <f ca="1">IFERROR(__xludf.DUMMYFUNCTION("""COMPUTED_VALUE"""),13247283)</f>
        <v>13247283</v>
      </c>
      <c r="E1297" s="5" t="str">
        <f ca="1">IFERROR(__xludf.DUMMYFUNCTION("""COMPUTED_VALUE"""),"INSPECCION SEMANAL TRANSP DE BOTELLAS")</f>
        <v>INSPECCION SEMANAL TRANSP DE BOTELLAS</v>
      </c>
      <c r="F1297" s="5" t="str">
        <f ca="1">IFERROR(__xludf.DUMMYFUNCTION("""COMPUTED_VALUE"""),"Estado y limpieza de extractor y/o climatizador tablero eléctrico.")</f>
        <v>Estado y limpieza de extractor y/o climatizador tablero eléctrico.</v>
      </c>
      <c r="G1297" s="5" t="b">
        <f ca="1">IFERROR(__xludf.DUMMYFUNCTION("""COMPUTED_VALUE"""),TRUE)</f>
        <v>1</v>
      </c>
      <c r="H1297" s="5"/>
      <c r="I1297" s="5"/>
      <c r="J1297" s="5">
        <f ca="1">IFERROR(__xludf.DUMMYFUNCTION("""COMPUTED_VALUE"""),13247283)</f>
        <v>13247283</v>
      </c>
      <c r="K1297" s="5"/>
      <c r="L1297" s="18">
        <f ca="1">IFERROR(__xludf.DUMMYFUNCTION("""COMPUTED_VALUE"""),45324)</f>
        <v>45324</v>
      </c>
      <c r="M1297" s="18">
        <f ca="1">IFERROR(__xludf.DUMMYFUNCTION("""COMPUTED_VALUE"""),45324)</f>
        <v>45324</v>
      </c>
      <c r="N1297" s="5" t="str">
        <f ca="1">IFERROR(__xludf.DUMMYFUNCTION("""COMPUTED_VALUE"""),"Andrés Felipe Pérez Polania")</f>
        <v>Andrés Felipe Pérez Polania</v>
      </c>
      <c r="O1297" s="2">
        <f ca="1">IFERROR(__xludf.DUMMYFUNCTION("""COMPUTED_VALUE"""),0.007692308)</f>
        <v>7.6923080000000001E-3</v>
      </c>
      <c r="P1297" s="5">
        <f ca="1">IFERROR(__xludf.DUMMYFUNCTION("""COMPUTED_VALUE"""),1919044)</f>
        <v>1919044</v>
      </c>
      <c r="Q1297" s="5" t="str">
        <f ca="1">IFERROR(__xludf.DUMMYFUNCTION("""COMPUTED_VALUE"""),"Tn933hqsn2g")</f>
        <v>Tn933hqsn2g</v>
      </c>
      <c r="R1297" s="5">
        <f ca="1">IFERROR(__xludf.DUMMYFUNCTION("""COMPUTED_VALUE"""),410)</f>
        <v>410</v>
      </c>
      <c r="S1297" s="62">
        <f ca="1">IFERROR(__xludf.DUMMYFUNCTION("""COMPUTED_VALUE"""),0.007692308)</f>
        <v>7.6923080000000001E-3</v>
      </c>
      <c r="T1297" s="63" t="str">
        <f ca="1">IFERROR(__xludf.DUMMYFUNCTION("""COMPUTED_VALUE"""),"https://storage.googleapis.com/glide-prod.appspot.com/uploads-v2/ly7o78grxPaC6KdgvbpS/pub/3aRdSog0vUtuqPE8AJKD.png")</f>
        <v>https://storage.googleapis.com/glide-prod.appspot.com/uploads-v2/ly7o78grxPaC6KdgvbpS/pub/3aRdSog0vUtuqPE8AJKD.png</v>
      </c>
      <c r="U1297" s="5" t="str">
        <f ca="1">IFERROR(__xludf.DUMMYFUNCTION("""COMPUTED_VALUE"""),"LINEA DE ENVASADO FAMILIAR Y PRBTRANSPORTADOR DE BOTELLAS")</f>
        <v>LINEA DE ENVASADO FAMILIAR Y PRBTRANSPORTADOR DE BOTELLAS</v>
      </c>
      <c r="V1297" s="5"/>
      <c r="W1297" s="5" t="b">
        <f ca="1">IFERROR(__xludf.DUMMYFUNCTION("""COMPUTED_VALUE"""),TRUE)</f>
        <v>1</v>
      </c>
      <c r="X1297" s="5" t="str">
        <f ca="1">IFERROR(__xludf.DUMMYFUNCTION("""COMPUTED_VALUE"""),"wguerra@postobon.com.co,aprmttoyu@postobon.com.co,aprmyu@postobon.com.co,wmora@postobon.com.co,efzapata@postobon.com.co")</f>
        <v>wguerra@postobon.com.co,aprmttoyu@postobon.com.co,aprmyu@postobon.com.co,wmora@postobon.com.co,efzapata@postobon.com.co</v>
      </c>
      <c r="Y1297" s="5" t="str">
        <f ca="1">IFERROR(__xludf.DUMMYFUNCTION("""COMPUTED_VALUE"""),"wguerra@postobon.com.co")</f>
        <v>wguerra@postobon.com.co</v>
      </c>
      <c r="Z1297" s="5" t="str">
        <f ca="1">IFERROR(__xludf.DUMMYFUNCTION("""COMPUTED_VALUE"""),"Baw3MVFTS6K8MDpwQjZtyA")</f>
        <v>Baw3MVFTS6K8MDpwQjZtyA</v>
      </c>
      <c r="AA1297" s="5"/>
      <c r="AB1297" s="5"/>
      <c r="AC1297" s="5"/>
      <c r="AD1297" s="5">
        <f ca="1">IFERROR(__xludf.DUMMYFUNCTION("""COMPUTED_VALUE"""),63)</f>
        <v>63</v>
      </c>
      <c r="AE1297" s="5">
        <f ca="1">IFERROR(__xludf.DUMMYFUNCTION("""COMPUTED_VALUE"""),63)</f>
        <v>63</v>
      </c>
      <c r="AF1297" s="5" t="b">
        <f ca="1">IFERROR(__xludf.DUMMYFUNCTION("""COMPUTED_VALUE"""),FALSE)</f>
        <v>0</v>
      </c>
      <c r="AG1297" s="5" t="str">
        <f ca="1">IFERROR(__xludf.DUMMYFUNCTION("""COMPUTED_VALUE"""),"INSPECCIONES REALIZADAS")</f>
        <v>INSPECCIONES REALIZADAS</v>
      </c>
      <c r="AH1297" s="5"/>
    </row>
    <row r="1298" spans="1:34">
      <c r="A1298" s="5" t="str">
        <f ca="1">IFERROR(__xludf.DUMMYFUNCTION("""COMPUTED_VALUE"""),"LINEA DE ENVASADO TAMAÑO PERSONAL")</f>
        <v>LINEA DE ENVASADO TAMAÑO PERSONAL</v>
      </c>
      <c r="B1298" s="5">
        <f ca="1">IFERROR(__xludf.DUMMYFUNCTION("""COMPUTED_VALUE"""),829852)</f>
        <v>829852</v>
      </c>
      <c r="C1298" s="5" t="str">
        <f ca="1">IFERROR(__xludf.DUMMYFUNCTION("""COMPUTED_VALUE"""),"TRANSPORTADOR DE CAJAS")</f>
        <v>TRANSPORTADOR DE CAJAS</v>
      </c>
      <c r="D1298" s="5">
        <f ca="1">IFERROR(__xludf.DUMMYFUNCTION("""COMPUTED_VALUE"""),13247637)</f>
        <v>13247637</v>
      </c>
      <c r="E1298" s="5" t="str">
        <f ca="1">IFERROR(__xludf.DUMMYFUNCTION("""COMPUTED_VALUE"""),"INSPECCION SEMANAL TRANSP DE CAJAS")</f>
        <v>INSPECCION SEMANAL TRANSP DE CAJAS</v>
      </c>
      <c r="F1298" s="5" t="str">
        <f ca="1">IFERROR(__xludf.DUMMYFUNCTION("""COMPUTED_VALUE"""),"Estado de chumaceras")</f>
        <v>Estado de chumaceras</v>
      </c>
      <c r="G1298" s="5" t="b">
        <f ca="1">IFERROR(__xludf.DUMMYFUNCTION("""COMPUTED_VALUE"""),TRUE)</f>
        <v>1</v>
      </c>
      <c r="H1298" s="5"/>
      <c r="I1298" s="5"/>
      <c r="J1298" s="5">
        <f ca="1">IFERROR(__xludf.DUMMYFUNCTION("""COMPUTED_VALUE"""),13247637)</f>
        <v>13247637</v>
      </c>
      <c r="K1298" s="5"/>
      <c r="L1298" s="18">
        <f ca="1">IFERROR(__xludf.DUMMYFUNCTION("""COMPUTED_VALUE"""),45324)</f>
        <v>45324</v>
      </c>
      <c r="M1298" s="18">
        <f ca="1">IFERROR(__xludf.DUMMYFUNCTION("""COMPUTED_VALUE"""),45324)</f>
        <v>45324</v>
      </c>
      <c r="N1298" s="5" t="str">
        <f ca="1">IFERROR(__xludf.DUMMYFUNCTION("""COMPUTED_VALUE"""),"Campo Rodriguez Adalcides Jesus")</f>
        <v>Campo Rodriguez Adalcides Jesus</v>
      </c>
      <c r="O1298" s="2">
        <f ca="1">IFERROR(__xludf.DUMMYFUNCTION("""COMPUTED_VALUE"""),0.007692308)</f>
        <v>7.6923080000000001E-3</v>
      </c>
      <c r="P1298" s="5">
        <f ca="1">IFERROR(__xludf.DUMMYFUNCTION("""COMPUTED_VALUE"""),20036419)</f>
        <v>20036419</v>
      </c>
      <c r="Q1298" s="5" t="str">
        <f ca="1">IFERROR(__xludf.DUMMYFUNCTION("""COMPUTED_VALUE"""),"pOnwegWA370")</f>
        <v>pOnwegWA370</v>
      </c>
      <c r="R1298" s="5">
        <f ca="1">IFERROR(__xludf.DUMMYFUNCTION("""COMPUTED_VALUE"""),410)</f>
        <v>410</v>
      </c>
      <c r="S1298" s="62">
        <f ca="1">IFERROR(__xludf.DUMMYFUNCTION("""COMPUTED_VALUE"""),0.007692308)</f>
        <v>7.6923080000000001E-3</v>
      </c>
      <c r="T1298" s="63" t="str">
        <f ca="1">IFERROR(__xludf.DUMMYFUNCTION("""COMPUTED_VALUE"""),"https://storage.googleapis.com/glide-prod.appspot.com/uploads-v2/ly7o78grxPaC6KdgvbpS/pub/3aRdSog0vUtuqPE8AJKD.png")</f>
        <v>https://storage.googleapis.com/glide-prod.appspot.com/uploads-v2/ly7o78grxPaC6KdgvbpS/pub/3aRdSog0vUtuqPE8AJKD.png</v>
      </c>
      <c r="U1298" s="5" t="str">
        <f ca="1">IFERROR(__xludf.DUMMYFUNCTION("""COMPUTED_VALUE"""),"LINEA DE ENVASADO TAMAÑO PERSONALTRANSPORTADOR DE CAJAS")</f>
        <v>LINEA DE ENVASADO TAMAÑO PERSONALTRANSPORTADOR DE CAJAS</v>
      </c>
      <c r="V1298" s="5"/>
      <c r="W1298" s="5" t="b">
        <f ca="1">IFERROR(__xludf.DUMMYFUNCTION("""COMPUTED_VALUE"""),TRUE)</f>
        <v>1</v>
      </c>
      <c r="X1298" s="5" t="str">
        <f ca="1">IFERROR(__xludf.DUMMYFUNCTION("""COMPUTED_VALUE"""),"wguerra@postobon.com.co,aprmttoyu@postobon.com.co,aprmyu@postobon.com.co,wmora@postobon.com.co,efzapata@postobon.com.co")</f>
        <v>wguerra@postobon.com.co,aprmttoyu@postobon.com.co,aprmyu@postobon.com.co,wmora@postobon.com.co,efzapata@postobon.com.co</v>
      </c>
      <c r="Y1298" s="5" t="str">
        <f ca="1">IFERROR(__xludf.DUMMYFUNCTION("""COMPUTED_VALUE"""),"wguerra@postobon.com.co")</f>
        <v>wguerra@postobon.com.co</v>
      </c>
      <c r="Z1298" s="5" t="str">
        <f ca="1">IFERROR(__xludf.DUMMYFUNCTION("""COMPUTED_VALUE"""),"B.V05rKLQ4qjcv3Y8z22ww")</f>
        <v>B.V05rKLQ4qjcv3Y8z22ww</v>
      </c>
      <c r="AA1298" s="5"/>
      <c r="AB1298" s="5"/>
      <c r="AC1298" s="5"/>
      <c r="AD1298" s="5">
        <f ca="1">IFERROR(__xludf.DUMMYFUNCTION("""COMPUTED_VALUE"""),43)</f>
        <v>43</v>
      </c>
      <c r="AE1298" s="5">
        <f ca="1">IFERROR(__xludf.DUMMYFUNCTION("""COMPUTED_VALUE"""),43)</f>
        <v>43</v>
      </c>
      <c r="AF1298" s="5" t="b">
        <f ca="1">IFERROR(__xludf.DUMMYFUNCTION("""COMPUTED_VALUE"""),FALSE)</f>
        <v>0</v>
      </c>
      <c r="AG1298" s="5" t="str">
        <f ca="1">IFERROR(__xludf.DUMMYFUNCTION("""COMPUTED_VALUE"""),"INSPECCIONES REALIZADAS")</f>
        <v>INSPECCIONES REALIZADAS</v>
      </c>
      <c r="AH1298" s="5"/>
    </row>
    <row r="1299" spans="1:34">
      <c r="A1299" s="5" t="str">
        <f ca="1">IFERROR(__xludf.DUMMYFUNCTION("""COMPUTED_VALUE"""),"LINEA DE ENVASADO TAMAÑO PERSONAL")</f>
        <v>LINEA DE ENVASADO TAMAÑO PERSONAL</v>
      </c>
      <c r="B1299" s="5">
        <f ca="1">IFERROR(__xludf.DUMMYFUNCTION("""COMPUTED_VALUE"""),829852)</f>
        <v>829852</v>
      </c>
      <c r="C1299" s="5" t="str">
        <f ca="1">IFERROR(__xludf.DUMMYFUNCTION("""COMPUTED_VALUE"""),"TRANSPORTADOR DE CAJAS")</f>
        <v>TRANSPORTADOR DE CAJAS</v>
      </c>
      <c r="D1299" s="5">
        <f ca="1">IFERROR(__xludf.DUMMYFUNCTION("""COMPUTED_VALUE"""),13247637)</f>
        <v>13247637</v>
      </c>
      <c r="E1299" s="5" t="str">
        <f ca="1">IFERROR(__xludf.DUMMYFUNCTION("""COMPUTED_VALUE"""),"INSPECCION SEMANAL TRANSP DE CAJAS")</f>
        <v>INSPECCION SEMANAL TRANSP DE CAJAS</v>
      </c>
      <c r="F1299" s="5" t="str">
        <f ca="1">IFERROR(__xludf.DUMMYFUNCTION("""COMPUTED_VALUE"""),"Estado de cadenas de transmisión")</f>
        <v>Estado de cadenas de transmisión</v>
      </c>
      <c r="G1299" s="5" t="b">
        <f ca="1">IFERROR(__xludf.DUMMYFUNCTION("""COMPUTED_VALUE"""),TRUE)</f>
        <v>1</v>
      </c>
      <c r="H1299" s="5"/>
      <c r="I1299" s="5"/>
      <c r="J1299" s="5">
        <f ca="1">IFERROR(__xludf.DUMMYFUNCTION("""COMPUTED_VALUE"""),13247637)</f>
        <v>13247637</v>
      </c>
      <c r="K1299" s="5"/>
      <c r="L1299" s="18">
        <f ca="1">IFERROR(__xludf.DUMMYFUNCTION("""COMPUTED_VALUE"""),45324)</f>
        <v>45324</v>
      </c>
      <c r="M1299" s="18">
        <f ca="1">IFERROR(__xludf.DUMMYFUNCTION("""COMPUTED_VALUE"""),45324)</f>
        <v>45324</v>
      </c>
      <c r="N1299" s="5" t="str">
        <f ca="1">IFERROR(__xludf.DUMMYFUNCTION("""COMPUTED_VALUE"""),"Campo Rodriguez Adalcides Jesus")</f>
        <v>Campo Rodriguez Adalcides Jesus</v>
      </c>
      <c r="O1299" s="2">
        <f ca="1">IFERROR(__xludf.DUMMYFUNCTION("""COMPUTED_VALUE"""),0.007692308)</f>
        <v>7.6923080000000001E-3</v>
      </c>
      <c r="P1299" s="5">
        <f ca="1">IFERROR(__xludf.DUMMYFUNCTION("""COMPUTED_VALUE"""),20036419)</f>
        <v>20036419</v>
      </c>
      <c r="Q1299" s="5" t="str">
        <f ca="1">IFERROR(__xludf.DUMMYFUNCTION("""COMPUTED_VALUE"""),"KQDLQ3FJVu8")</f>
        <v>KQDLQ3FJVu8</v>
      </c>
      <c r="R1299" s="5">
        <f ca="1">IFERROR(__xludf.DUMMYFUNCTION("""COMPUTED_VALUE"""),410)</f>
        <v>410</v>
      </c>
      <c r="S1299" s="62">
        <f ca="1">IFERROR(__xludf.DUMMYFUNCTION("""COMPUTED_VALUE"""),0.007692308)</f>
        <v>7.6923080000000001E-3</v>
      </c>
      <c r="T1299" s="63" t="str">
        <f ca="1">IFERROR(__xludf.DUMMYFUNCTION("""COMPUTED_VALUE"""),"https://storage.googleapis.com/glide-prod.appspot.com/uploads-v2/ly7o78grxPaC6KdgvbpS/pub/3aRdSog0vUtuqPE8AJKD.png")</f>
        <v>https://storage.googleapis.com/glide-prod.appspot.com/uploads-v2/ly7o78grxPaC6KdgvbpS/pub/3aRdSog0vUtuqPE8AJKD.png</v>
      </c>
      <c r="U1299" s="5" t="str">
        <f ca="1">IFERROR(__xludf.DUMMYFUNCTION("""COMPUTED_VALUE"""),"LINEA DE ENVASADO TAMAÑO PERSONALTRANSPORTADOR DE CAJAS")</f>
        <v>LINEA DE ENVASADO TAMAÑO PERSONALTRANSPORTADOR DE CAJAS</v>
      </c>
      <c r="V1299" s="5"/>
      <c r="W1299" s="5" t="b">
        <f ca="1">IFERROR(__xludf.DUMMYFUNCTION("""COMPUTED_VALUE"""),TRUE)</f>
        <v>1</v>
      </c>
      <c r="X1299" s="5" t="str">
        <f ca="1">IFERROR(__xludf.DUMMYFUNCTION("""COMPUTED_VALUE"""),"wguerra@postobon.com.co,aprmttoyu@postobon.com.co,aprmyu@postobon.com.co,wmora@postobon.com.co,efzapata@postobon.com.co")</f>
        <v>wguerra@postobon.com.co,aprmttoyu@postobon.com.co,aprmyu@postobon.com.co,wmora@postobon.com.co,efzapata@postobon.com.co</v>
      </c>
      <c r="Y1299" s="5" t="str">
        <f ca="1">IFERROR(__xludf.DUMMYFUNCTION("""COMPUTED_VALUE"""),"wguerra@postobon.com.co")</f>
        <v>wguerra@postobon.com.co</v>
      </c>
      <c r="Z1299" s="5" t="str">
        <f ca="1">IFERROR(__xludf.DUMMYFUNCTION("""COMPUTED_VALUE"""),"pYAJEebpQ1Kbrh90uzxGAg")</f>
        <v>pYAJEebpQ1Kbrh90uzxGAg</v>
      </c>
      <c r="AA1299" s="5"/>
      <c r="AB1299" s="5"/>
      <c r="AC1299" s="5"/>
      <c r="AD1299" s="5">
        <f ca="1">IFERROR(__xludf.DUMMYFUNCTION("""COMPUTED_VALUE"""),43)</f>
        <v>43</v>
      </c>
      <c r="AE1299" s="5">
        <f ca="1">IFERROR(__xludf.DUMMYFUNCTION("""COMPUTED_VALUE"""),43)</f>
        <v>43</v>
      </c>
      <c r="AF1299" s="5" t="b">
        <f ca="1">IFERROR(__xludf.DUMMYFUNCTION("""COMPUTED_VALUE"""),FALSE)</f>
        <v>0</v>
      </c>
      <c r="AG1299" s="5" t="str">
        <f ca="1">IFERROR(__xludf.DUMMYFUNCTION("""COMPUTED_VALUE"""),"INSPECCIONES REALIZADAS")</f>
        <v>INSPECCIONES REALIZADAS</v>
      </c>
      <c r="AH1299" s="5"/>
    </row>
    <row r="1300" spans="1:34">
      <c r="A1300" s="5" t="str">
        <f ca="1">IFERROR(__xludf.DUMMYFUNCTION("""COMPUTED_VALUE"""),"LINEA DE ENVASADO TAMAÑO PERSONAL")</f>
        <v>LINEA DE ENVASADO TAMAÑO PERSONAL</v>
      </c>
      <c r="B1300" s="5">
        <f ca="1">IFERROR(__xludf.DUMMYFUNCTION("""COMPUTED_VALUE"""),829852)</f>
        <v>829852</v>
      </c>
      <c r="C1300" s="5" t="str">
        <f ca="1">IFERROR(__xludf.DUMMYFUNCTION("""COMPUTED_VALUE"""),"TRANSPORTADOR DE CAJAS")</f>
        <v>TRANSPORTADOR DE CAJAS</v>
      </c>
      <c r="D1300" s="5">
        <f ca="1">IFERROR(__xludf.DUMMYFUNCTION("""COMPUTED_VALUE"""),13247637)</f>
        <v>13247637</v>
      </c>
      <c r="E1300" s="5" t="str">
        <f ca="1">IFERROR(__xludf.DUMMYFUNCTION("""COMPUTED_VALUE"""),"INSPECCION SEMANAL TRANSP DE CAJAS")</f>
        <v>INSPECCION SEMANAL TRANSP DE CAJAS</v>
      </c>
      <c r="F1300" s="5" t="str">
        <f ca="1">IFERROR(__xludf.DUMMYFUNCTION("""COMPUTED_VALUE"""),"Estado de cadenas table top, flex top y magne flex")</f>
        <v>Estado de cadenas table top, flex top y magne flex</v>
      </c>
      <c r="G1300" s="5" t="b">
        <f ca="1">IFERROR(__xludf.DUMMYFUNCTION("""COMPUTED_VALUE"""),TRUE)</f>
        <v>1</v>
      </c>
      <c r="H1300" s="5"/>
      <c r="I1300" s="5"/>
      <c r="J1300" s="5">
        <f ca="1">IFERROR(__xludf.DUMMYFUNCTION("""COMPUTED_VALUE"""),13247637)</f>
        <v>13247637</v>
      </c>
      <c r="K1300" s="5"/>
      <c r="L1300" s="18">
        <f ca="1">IFERROR(__xludf.DUMMYFUNCTION("""COMPUTED_VALUE"""),45324)</f>
        <v>45324</v>
      </c>
      <c r="M1300" s="18">
        <f ca="1">IFERROR(__xludf.DUMMYFUNCTION("""COMPUTED_VALUE"""),45324)</f>
        <v>45324</v>
      </c>
      <c r="N1300" s="5" t="str">
        <f ca="1">IFERROR(__xludf.DUMMYFUNCTION("""COMPUTED_VALUE"""),"Campo Rodriguez Adalcides Jesus")</f>
        <v>Campo Rodriguez Adalcides Jesus</v>
      </c>
      <c r="O1300" s="2">
        <f ca="1">IFERROR(__xludf.DUMMYFUNCTION("""COMPUTED_VALUE"""),0.007692308)</f>
        <v>7.6923080000000001E-3</v>
      </c>
      <c r="P1300" s="5">
        <f ca="1">IFERROR(__xludf.DUMMYFUNCTION("""COMPUTED_VALUE"""),20036419)</f>
        <v>20036419</v>
      </c>
      <c r="Q1300" s="5" t="str">
        <f ca="1">IFERROR(__xludf.DUMMYFUNCTION("""COMPUTED_VALUE"""),"x0JzpO_XBgo")</f>
        <v>x0JzpO_XBgo</v>
      </c>
      <c r="R1300" s="5">
        <f ca="1">IFERROR(__xludf.DUMMYFUNCTION("""COMPUTED_VALUE"""),410)</f>
        <v>410</v>
      </c>
      <c r="S1300" s="62">
        <f ca="1">IFERROR(__xludf.DUMMYFUNCTION("""COMPUTED_VALUE"""),0.007692308)</f>
        <v>7.6923080000000001E-3</v>
      </c>
      <c r="T1300" s="63" t="str">
        <f ca="1">IFERROR(__xludf.DUMMYFUNCTION("""COMPUTED_VALUE"""),"https://storage.googleapis.com/glide-prod.appspot.com/uploads-v2/ly7o78grxPaC6KdgvbpS/pub/3aRdSog0vUtuqPE8AJKD.png")</f>
        <v>https://storage.googleapis.com/glide-prod.appspot.com/uploads-v2/ly7o78grxPaC6KdgvbpS/pub/3aRdSog0vUtuqPE8AJKD.png</v>
      </c>
      <c r="U1300" s="5" t="str">
        <f ca="1">IFERROR(__xludf.DUMMYFUNCTION("""COMPUTED_VALUE"""),"LINEA DE ENVASADO TAMAÑO PERSONALTRANSPORTADOR DE CAJAS")</f>
        <v>LINEA DE ENVASADO TAMAÑO PERSONALTRANSPORTADOR DE CAJAS</v>
      </c>
      <c r="V1300" s="5"/>
      <c r="W1300" s="5" t="b">
        <f ca="1">IFERROR(__xludf.DUMMYFUNCTION("""COMPUTED_VALUE"""),TRUE)</f>
        <v>1</v>
      </c>
      <c r="X1300" s="5" t="str">
        <f ca="1">IFERROR(__xludf.DUMMYFUNCTION("""COMPUTED_VALUE"""),"wguerra@postobon.com.co,aprmttoyu@postobon.com.co,aprmyu@postobon.com.co,wmora@postobon.com.co,efzapata@postobon.com.co")</f>
        <v>wguerra@postobon.com.co,aprmttoyu@postobon.com.co,aprmyu@postobon.com.co,wmora@postobon.com.co,efzapata@postobon.com.co</v>
      </c>
      <c r="Y1300" s="5" t="str">
        <f ca="1">IFERROR(__xludf.DUMMYFUNCTION("""COMPUTED_VALUE"""),"wguerra@postobon.com.co")</f>
        <v>wguerra@postobon.com.co</v>
      </c>
      <c r="Z1300" s="5" t="str">
        <f ca="1">IFERROR(__xludf.DUMMYFUNCTION("""COMPUTED_VALUE"""),"G1BFuX9JTUe-gJLnpYXTUw")</f>
        <v>G1BFuX9JTUe-gJLnpYXTUw</v>
      </c>
      <c r="AA1300" s="5"/>
      <c r="AB1300" s="5"/>
      <c r="AC1300" s="5"/>
      <c r="AD1300" s="5">
        <f ca="1">IFERROR(__xludf.DUMMYFUNCTION("""COMPUTED_VALUE"""),43)</f>
        <v>43</v>
      </c>
      <c r="AE1300" s="5">
        <f ca="1">IFERROR(__xludf.DUMMYFUNCTION("""COMPUTED_VALUE"""),43)</f>
        <v>43</v>
      </c>
      <c r="AF1300" s="5" t="b">
        <f ca="1">IFERROR(__xludf.DUMMYFUNCTION("""COMPUTED_VALUE"""),FALSE)</f>
        <v>0</v>
      </c>
      <c r="AG1300" s="5" t="str">
        <f ca="1">IFERROR(__xludf.DUMMYFUNCTION("""COMPUTED_VALUE"""),"INSPECCIONES REALIZADAS")</f>
        <v>INSPECCIONES REALIZADAS</v>
      </c>
      <c r="AH1300" s="5"/>
    </row>
    <row r="1301" spans="1:34">
      <c r="A1301" s="5" t="str">
        <f ca="1">IFERROR(__xludf.DUMMYFUNCTION("""COMPUTED_VALUE"""),"LINEA DE ENVASADO TAMAÑO PERSONAL")</f>
        <v>LINEA DE ENVASADO TAMAÑO PERSONAL</v>
      </c>
      <c r="B1301" s="5">
        <f ca="1">IFERROR(__xludf.DUMMYFUNCTION("""COMPUTED_VALUE"""),829852)</f>
        <v>829852</v>
      </c>
      <c r="C1301" s="5" t="str">
        <f ca="1">IFERROR(__xludf.DUMMYFUNCTION("""COMPUTED_VALUE"""),"TRANSPORTADOR DE CAJAS")</f>
        <v>TRANSPORTADOR DE CAJAS</v>
      </c>
      <c r="D1301" s="5">
        <f ca="1">IFERROR(__xludf.DUMMYFUNCTION("""COMPUTED_VALUE"""),13247637)</f>
        <v>13247637</v>
      </c>
      <c r="E1301" s="5" t="str">
        <f ca="1">IFERROR(__xludf.DUMMYFUNCTION("""COMPUTED_VALUE"""),"INSPECCION SEMANAL TRANSP DE CAJAS")</f>
        <v>INSPECCION SEMANAL TRANSP DE CAJAS</v>
      </c>
      <c r="F1301" s="5" t="str">
        <f ca="1">IFERROR(__xludf.DUMMYFUNCTION("""COMPUTED_VALUE"""),"Estado de estructuras de fijación o anclaje")</f>
        <v>Estado de estructuras de fijación o anclaje</v>
      </c>
      <c r="G1301" s="5" t="b">
        <f ca="1">IFERROR(__xludf.DUMMYFUNCTION("""COMPUTED_VALUE"""),TRUE)</f>
        <v>1</v>
      </c>
      <c r="H1301" s="5"/>
      <c r="I1301" s="5"/>
      <c r="J1301" s="5">
        <f ca="1">IFERROR(__xludf.DUMMYFUNCTION("""COMPUTED_VALUE"""),13247637)</f>
        <v>13247637</v>
      </c>
      <c r="K1301" s="5"/>
      <c r="L1301" s="18">
        <f ca="1">IFERROR(__xludf.DUMMYFUNCTION("""COMPUTED_VALUE"""),45324)</f>
        <v>45324</v>
      </c>
      <c r="M1301" s="18">
        <f ca="1">IFERROR(__xludf.DUMMYFUNCTION("""COMPUTED_VALUE"""),45324)</f>
        <v>45324</v>
      </c>
      <c r="N1301" s="5" t="str">
        <f ca="1">IFERROR(__xludf.DUMMYFUNCTION("""COMPUTED_VALUE"""),"Campo Rodriguez Adalcides Jesus")</f>
        <v>Campo Rodriguez Adalcides Jesus</v>
      </c>
      <c r="O1301" s="2">
        <f ca="1">IFERROR(__xludf.DUMMYFUNCTION("""COMPUTED_VALUE"""),0.007692308)</f>
        <v>7.6923080000000001E-3</v>
      </c>
      <c r="P1301" s="5">
        <f ca="1">IFERROR(__xludf.DUMMYFUNCTION("""COMPUTED_VALUE"""),20036419)</f>
        <v>20036419</v>
      </c>
      <c r="Q1301" s="5" t="str">
        <f ca="1">IFERROR(__xludf.DUMMYFUNCTION("""COMPUTED_VALUE"""),"Qr051LdW5Qo")</f>
        <v>Qr051LdW5Qo</v>
      </c>
      <c r="R1301" s="5">
        <f ca="1">IFERROR(__xludf.DUMMYFUNCTION("""COMPUTED_VALUE"""),410)</f>
        <v>410</v>
      </c>
      <c r="S1301" s="62">
        <f ca="1">IFERROR(__xludf.DUMMYFUNCTION("""COMPUTED_VALUE"""),0.007692308)</f>
        <v>7.6923080000000001E-3</v>
      </c>
      <c r="T1301" s="63" t="str">
        <f ca="1">IFERROR(__xludf.DUMMYFUNCTION("""COMPUTED_VALUE"""),"https://storage.googleapis.com/glide-prod.appspot.com/uploads-v2/ly7o78grxPaC6KdgvbpS/pub/3aRdSog0vUtuqPE8AJKD.png")</f>
        <v>https://storage.googleapis.com/glide-prod.appspot.com/uploads-v2/ly7o78grxPaC6KdgvbpS/pub/3aRdSog0vUtuqPE8AJKD.png</v>
      </c>
      <c r="U1301" s="5" t="str">
        <f ca="1">IFERROR(__xludf.DUMMYFUNCTION("""COMPUTED_VALUE"""),"LINEA DE ENVASADO TAMAÑO PERSONALTRANSPORTADOR DE CAJAS")</f>
        <v>LINEA DE ENVASADO TAMAÑO PERSONALTRANSPORTADOR DE CAJAS</v>
      </c>
      <c r="V1301" s="5"/>
      <c r="W1301" s="5" t="b">
        <f ca="1">IFERROR(__xludf.DUMMYFUNCTION("""COMPUTED_VALUE"""),TRUE)</f>
        <v>1</v>
      </c>
      <c r="X1301" s="5" t="str">
        <f ca="1">IFERROR(__xludf.DUMMYFUNCTION("""COMPUTED_VALUE"""),"wguerra@postobon.com.co,aprmttoyu@postobon.com.co,aprmyu@postobon.com.co,wmora@postobon.com.co,efzapata@postobon.com.co")</f>
        <v>wguerra@postobon.com.co,aprmttoyu@postobon.com.co,aprmyu@postobon.com.co,wmora@postobon.com.co,efzapata@postobon.com.co</v>
      </c>
      <c r="Y1301" s="5" t="str">
        <f ca="1">IFERROR(__xludf.DUMMYFUNCTION("""COMPUTED_VALUE"""),"wguerra@postobon.com.co")</f>
        <v>wguerra@postobon.com.co</v>
      </c>
      <c r="Z1301" s="5" t="str">
        <f ca="1">IFERROR(__xludf.DUMMYFUNCTION("""COMPUTED_VALUE"""),"KoGsxfg-QFCjBqD3fyNXkw")</f>
        <v>KoGsxfg-QFCjBqD3fyNXkw</v>
      </c>
      <c r="AA1301" s="5"/>
      <c r="AB1301" s="5"/>
      <c r="AC1301" s="5"/>
      <c r="AD1301" s="5">
        <f ca="1">IFERROR(__xludf.DUMMYFUNCTION("""COMPUTED_VALUE"""),43)</f>
        <v>43</v>
      </c>
      <c r="AE1301" s="5">
        <f ca="1">IFERROR(__xludf.DUMMYFUNCTION("""COMPUTED_VALUE"""),43)</f>
        <v>43</v>
      </c>
      <c r="AF1301" s="5" t="b">
        <f ca="1">IFERROR(__xludf.DUMMYFUNCTION("""COMPUTED_VALUE"""),FALSE)</f>
        <v>0</v>
      </c>
      <c r="AG1301" s="5" t="str">
        <f ca="1">IFERROR(__xludf.DUMMYFUNCTION("""COMPUTED_VALUE"""),"INSPECCIONES REALIZADAS")</f>
        <v>INSPECCIONES REALIZADAS</v>
      </c>
      <c r="AH1301" s="5"/>
    </row>
    <row r="1302" spans="1:34">
      <c r="A1302" s="5" t="str">
        <f ca="1">IFERROR(__xludf.DUMMYFUNCTION("""COMPUTED_VALUE"""),"LINEA DE ENVASADO TAMAÑO PERSONAL")</f>
        <v>LINEA DE ENVASADO TAMAÑO PERSONAL</v>
      </c>
      <c r="B1302" s="5">
        <f ca="1">IFERROR(__xludf.DUMMYFUNCTION("""COMPUTED_VALUE"""),829852)</f>
        <v>829852</v>
      </c>
      <c r="C1302" s="5" t="str">
        <f ca="1">IFERROR(__xludf.DUMMYFUNCTION("""COMPUTED_VALUE"""),"TRANSPORTADOR DE CAJAS")</f>
        <v>TRANSPORTADOR DE CAJAS</v>
      </c>
      <c r="D1302" s="5">
        <f ca="1">IFERROR(__xludf.DUMMYFUNCTION("""COMPUTED_VALUE"""),13247637)</f>
        <v>13247637</v>
      </c>
      <c r="E1302" s="5" t="str">
        <f ca="1">IFERROR(__xludf.DUMMYFUNCTION("""COMPUTED_VALUE"""),"INSPECCION SEMANAL TRANSP DE CAJAS")</f>
        <v>INSPECCION SEMANAL TRANSP DE CAJAS</v>
      </c>
      <c r="F1302" s="5" t="str">
        <f ca="1">IFERROR(__xludf.DUMMYFUNCTION("""COMPUTED_VALUE"""),"Estado de tensores de cadena")</f>
        <v>Estado de tensores de cadena</v>
      </c>
      <c r="G1302" s="5" t="b">
        <f ca="1">IFERROR(__xludf.DUMMYFUNCTION("""COMPUTED_VALUE"""),TRUE)</f>
        <v>1</v>
      </c>
      <c r="H1302" s="5"/>
      <c r="I1302" s="5"/>
      <c r="J1302" s="5">
        <f ca="1">IFERROR(__xludf.DUMMYFUNCTION("""COMPUTED_VALUE"""),13247637)</f>
        <v>13247637</v>
      </c>
      <c r="K1302" s="5"/>
      <c r="L1302" s="18">
        <f ca="1">IFERROR(__xludf.DUMMYFUNCTION("""COMPUTED_VALUE"""),45324)</f>
        <v>45324</v>
      </c>
      <c r="M1302" s="18">
        <f ca="1">IFERROR(__xludf.DUMMYFUNCTION("""COMPUTED_VALUE"""),45324)</f>
        <v>45324</v>
      </c>
      <c r="N1302" s="5" t="str">
        <f ca="1">IFERROR(__xludf.DUMMYFUNCTION("""COMPUTED_VALUE"""),"Campo Rodriguez Adalcides Jesus")</f>
        <v>Campo Rodriguez Adalcides Jesus</v>
      </c>
      <c r="O1302" s="2">
        <f ca="1">IFERROR(__xludf.DUMMYFUNCTION("""COMPUTED_VALUE"""),0.007692308)</f>
        <v>7.6923080000000001E-3</v>
      </c>
      <c r="P1302" s="5">
        <f ca="1">IFERROR(__xludf.DUMMYFUNCTION("""COMPUTED_VALUE"""),20036419)</f>
        <v>20036419</v>
      </c>
      <c r="Q1302" s="5" t="str">
        <f ca="1">IFERROR(__xludf.DUMMYFUNCTION("""COMPUTED_VALUE"""),"3NaTDOqCNWs")</f>
        <v>3NaTDOqCNWs</v>
      </c>
      <c r="R1302" s="5">
        <f ca="1">IFERROR(__xludf.DUMMYFUNCTION("""COMPUTED_VALUE"""),410)</f>
        <v>410</v>
      </c>
      <c r="S1302" s="62">
        <f ca="1">IFERROR(__xludf.DUMMYFUNCTION("""COMPUTED_VALUE"""),0.007692308)</f>
        <v>7.6923080000000001E-3</v>
      </c>
      <c r="T1302" s="63" t="str">
        <f ca="1">IFERROR(__xludf.DUMMYFUNCTION("""COMPUTED_VALUE"""),"https://storage.googleapis.com/glide-prod.appspot.com/uploads-v2/ly7o78grxPaC6KdgvbpS/pub/3aRdSog0vUtuqPE8AJKD.png")</f>
        <v>https://storage.googleapis.com/glide-prod.appspot.com/uploads-v2/ly7o78grxPaC6KdgvbpS/pub/3aRdSog0vUtuqPE8AJKD.png</v>
      </c>
      <c r="U1302" s="5" t="str">
        <f ca="1">IFERROR(__xludf.DUMMYFUNCTION("""COMPUTED_VALUE"""),"LINEA DE ENVASADO TAMAÑO PERSONALTRANSPORTADOR DE CAJAS")</f>
        <v>LINEA DE ENVASADO TAMAÑO PERSONALTRANSPORTADOR DE CAJAS</v>
      </c>
      <c r="V1302" s="5"/>
      <c r="W1302" s="5" t="b">
        <f ca="1">IFERROR(__xludf.DUMMYFUNCTION("""COMPUTED_VALUE"""),TRUE)</f>
        <v>1</v>
      </c>
      <c r="X1302" s="5" t="str">
        <f ca="1">IFERROR(__xludf.DUMMYFUNCTION("""COMPUTED_VALUE"""),"wguerra@postobon.com.co,aprmttoyu@postobon.com.co,aprmyu@postobon.com.co,wmora@postobon.com.co,efzapata@postobon.com.co")</f>
        <v>wguerra@postobon.com.co,aprmttoyu@postobon.com.co,aprmyu@postobon.com.co,wmora@postobon.com.co,efzapata@postobon.com.co</v>
      </c>
      <c r="Y1302" s="5" t="str">
        <f ca="1">IFERROR(__xludf.DUMMYFUNCTION("""COMPUTED_VALUE"""),"wguerra@postobon.com.co")</f>
        <v>wguerra@postobon.com.co</v>
      </c>
      <c r="Z1302" s="5" t="str">
        <f ca="1">IFERROR(__xludf.DUMMYFUNCTION("""COMPUTED_VALUE"""),"7-3YriVvQNO2rPDXQhCQOQ")</f>
        <v>7-3YriVvQNO2rPDXQhCQOQ</v>
      </c>
      <c r="AA1302" s="5"/>
      <c r="AB1302" s="5"/>
      <c r="AC1302" s="5"/>
      <c r="AD1302" s="5">
        <f ca="1">IFERROR(__xludf.DUMMYFUNCTION("""COMPUTED_VALUE"""),43)</f>
        <v>43</v>
      </c>
      <c r="AE1302" s="5">
        <f ca="1">IFERROR(__xludf.DUMMYFUNCTION("""COMPUTED_VALUE"""),43)</f>
        <v>43</v>
      </c>
      <c r="AF1302" s="5" t="b">
        <f ca="1">IFERROR(__xludf.DUMMYFUNCTION("""COMPUTED_VALUE"""),FALSE)</f>
        <v>0</v>
      </c>
      <c r="AG1302" s="5" t="str">
        <f ca="1">IFERROR(__xludf.DUMMYFUNCTION("""COMPUTED_VALUE"""),"INSPECCIONES REALIZADAS")</f>
        <v>INSPECCIONES REALIZADAS</v>
      </c>
      <c r="AH1302" s="5"/>
    </row>
    <row r="1303" spans="1:34">
      <c r="A1303" s="5" t="str">
        <f ca="1">IFERROR(__xludf.DUMMYFUNCTION("""COMPUTED_VALUE"""),"LINEA DE ENVASADO TAMAÑO PERSONAL")</f>
        <v>LINEA DE ENVASADO TAMAÑO PERSONAL</v>
      </c>
      <c r="B1303" s="5">
        <f ca="1">IFERROR(__xludf.DUMMYFUNCTION("""COMPUTED_VALUE"""),829852)</f>
        <v>829852</v>
      </c>
      <c r="C1303" s="5" t="str">
        <f ca="1">IFERROR(__xludf.DUMMYFUNCTION("""COMPUTED_VALUE"""),"TRANSPORTADOR DE CAJAS")</f>
        <v>TRANSPORTADOR DE CAJAS</v>
      </c>
      <c r="D1303" s="5">
        <f ca="1">IFERROR(__xludf.DUMMYFUNCTION("""COMPUTED_VALUE"""),13247637)</f>
        <v>13247637</v>
      </c>
      <c r="E1303" s="5" t="str">
        <f ca="1">IFERROR(__xludf.DUMMYFUNCTION("""COMPUTED_VALUE"""),"INSPECCION SEMANAL TRANSP DE CAJAS")</f>
        <v>INSPECCION SEMANAL TRANSP DE CAJAS</v>
      </c>
      <c r="F1303" s="5" t="str">
        <f ca="1">IFERROR(__xludf.DUMMYFUNCTION("""COMPUTED_VALUE"""),"Estado de piñones y carretas")</f>
        <v>Estado de piñones y carretas</v>
      </c>
      <c r="G1303" s="5" t="b">
        <f ca="1">IFERROR(__xludf.DUMMYFUNCTION("""COMPUTED_VALUE"""),TRUE)</f>
        <v>1</v>
      </c>
      <c r="H1303" s="5"/>
      <c r="I1303" s="5"/>
      <c r="J1303" s="5">
        <f ca="1">IFERROR(__xludf.DUMMYFUNCTION("""COMPUTED_VALUE"""),13247637)</f>
        <v>13247637</v>
      </c>
      <c r="K1303" s="5"/>
      <c r="L1303" s="18">
        <f ca="1">IFERROR(__xludf.DUMMYFUNCTION("""COMPUTED_VALUE"""),45324)</f>
        <v>45324</v>
      </c>
      <c r="M1303" s="18">
        <f ca="1">IFERROR(__xludf.DUMMYFUNCTION("""COMPUTED_VALUE"""),45324)</f>
        <v>45324</v>
      </c>
      <c r="N1303" s="5" t="str">
        <f ca="1">IFERROR(__xludf.DUMMYFUNCTION("""COMPUTED_VALUE"""),"Campo Rodriguez Adalcides Jesus")</f>
        <v>Campo Rodriguez Adalcides Jesus</v>
      </c>
      <c r="O1303" s="2">
        <f ca="1">IFERROR(__xludf.DUMMYFUNCTION("""COMPUTED_VALUE"""),0.007692308)</f>
        <v>7.6923080000000001E-3</v>
      </c>
      <c r="P1303" s="5">
        <f ca="1">IFERROR(__xludf.DUMMYFUNCTION("""COMPUTED_VALUE"""),20036419)</f>
        <v>20036419</v>
      </c>
      <c r="Q1303" s="5" t="str">
        <f ca="1">IFERROR(__xludf.DUMMYFUNCTION("""COMPUTED_VALUE"""),"ObketJPHH3Q")</f>
        <v>ObketJPHH3Q</v>
      </c>
      <c r="R1303" s="5">
        <f ca="1">IFERROR(__xludf.DUMMYFUNCTION("""COMPUTED_VALUE"""),410)</f>
        <v>410</v>
      </c>
      <c r="S1303" s="62">
        <f ca="1">IFERROR(__xludf.DUMMYFUNCTION("""COMPUTED_VALUE"""),0.007692308)</f>
        <v>7.6923080000000001E-3</v>
      </c>
      <c r="T1303" s="63" t="str">
        <f ca="1">IFERROR(__xludf.DUMMYFUNCTION("""COMPUTED_VALUE"""),"https://storage.googleapis.com/glide-prod.appspot.com/uploads-v2/ly7o78grxPaC6KdgvbpS/pub/3aRdSog0vUtuqPE8AJKD.png")</f>
        <v>https://storage.googleapis.com/glide-prod.appspot.com/uploads-v2/ly7o78grxPaC6KdgvbpS/pub/3aRdSog0vUtuqPE8AJKD.png</v>
      </c>
      <c r="U1303" s="5" t="str">
        <f ca="1">IFERROR(__xludf.DUMMYFUNCTION("""COMPUTED_VALUE"""),"LINEA DE ENVASADO TAMAÑO PERSONALTRANSPORTADOR DE CAJAS")</f>
        <v>LINEA DE ENVASADO TAMAÑO PERSONALTRANSPORTADOR DE CAJAS</v>
      </c>
      <c r="V1303" s="5"/>
      <c r="W1303" s="5" t="b">
        <f ca="1">IFERROR(__xludf.DUMMYFUNCTION("""COMPUTED_VALUE"""),TRUE)</f>
        <v>1</v>
      </c>
      <c r="X1303" s="5" t="str">
        <f ca="1">IFERROR(__xludf.DUMMYFUNCTION("""COMPUTED_VALUE"""),"wguerra@postobon.com.co,aprmttoyu@postobon.com.co,aprmyu@postobon.com.co,wmora@postobon.com.co,efzapata@postobon.com.co")</f>
        <v>wguerra@postobon.com.co,aprmttoyu@postobon.com.co,aprmyu@postobon.com.co,wmora@postobon.com.co,efzapata@postobon.com.co</v>
      </c>
      <c r="Y1303" s="5" t="str">
        <f ca="1">IFERROR(__xludf.DUMMYFUNCTION("""COMPUTED_VALUE"""),"wguerra@postobon.com.co")</f>
        <v>wguerra@postobon.com.co</v>
      </c>
      <c r="Z1303" s="5" t="str">
        <f ca="1">IFERROR(__xludf.DUMMYFUNCTION("""COMPUTED_VALUE"""),"O0FUalW4RKW3zFXB7uzRdQ")</f>
        <v>O0FUalW4RKW3zFXB7uzRdQ</v>
      </c>
      <c r="AA1303" s="5"/>
      <c r="AB1303" s="5"/>
      <c r="AC1303" s="5"/>
      <c r="AD1303" s="5">
        <f ca="1">IFERROR(__xludf.DUMMYFUNCTION("""COMPUTED_VALUE"""),43)</f>
        <v>43</v>
      </c>
      <c r="AE1303" s="5">
        <f ca="1">IFERROR(__xludf.DUMMYFUNCTION("""COMPUTED_VALUE"""),43)</f>
        <v>43</v>
      </c>
      <c r="AF1303" s="5" t="b">
        <f ca="1">IFERROR(__xludf.DUMMYFUNCTION("""COMPUTED_VALUE"""),FALSE)</f>
        <v>0</v>
      </c>
      <c r="AG1303" s="5" t="str">
        <f ca="1">IFERROR(__xludf.DUMMYFUNCTION("""COMPUTED_VALUE"""),"INSPECCIONES REALIZADAS")</f>
        <v>INSPECCIONES REALIZADAS</v>
      </c>
      <c r="AH1303" s="5"/>
    </row>
    <row r="1304" spans="1:34">
      <c r="A1304" s="5" t="str">
        <f ca="1">IFERROR(__xludf.DUMMYFUNCTION("""COMPUTED_VALUE"""),"LINEA DE ENVASADO TAMAÑO PERSONAL")</f>
        <v>LINEA DE ENVASADO TAMAÑO PERSONAL</v>
      </c>
      <c r="B1304" s="5">
        <f ca="1">IFERROR(__xludf.DUMMYFUNCTION("""COMPUTED_VALUE"""),829852)</f>
        <v>829852</v>
      </c>
      <c r="C1304" s="5" t="str">
        <f ca="1">IFERROR(__xludf.DUMMYFUNCTION("""COMPUTED_VALUE"""),"TRANSPORTADOR DE CAJAS")</f>
        <v>TRANSPORTADOR DE CAJAS</v>
      </c>
      <c r="D1304" s="5">
        <f ca="1">IFERROR(__xludf.DUMMYFUNCTION("""COMPUTED_VALUE"""),13247637)</f>
        <v>13247637</v>
      </c>
      <c r="E1304" s="5" t="str">
        <f ca="1">IFERROR(__xludf.DUMMYFUNCTION("""COMPUTED_VALUE"""),"INSPECCION SEMANAL TRANSP DE CAJAS")</f>
        <v>INSPECCION SEMANAL TRANSP DE CAJAS</v>
      </c>
      <c r="F1304" s="5" t="str">
        <f ca="1">IFERROR(__xludf.DUMMYFUNCTION("""COMPUTED_VALUE"""),"Estado de motores")</f>
        <v>Estado de motores</v>
      </c>
      <c r="G1304" s="5" t="b">
        <f ca="1">IFERROR(__xludf.DUMMYFUNCTION("""COMPUTED_VALUE"""),TRUE)</f>
        <v>1</v>
      </c>
      <c r="H1304" s="5"/>
      <c r="I1304" s="5"/>
      <c r="J1304" s="5">
        <f ca="1">IFERROR(__xludf.DUMMYFUNCTION("""COMPUTED_VALUE"""),13247637)</f>
        <v>13247637</v>
      </c>
      <c r="K1304" s="5"/>
      <c r="L1304" s="18">
        <f ca="1">IFERROR(__xludf.DUMMYFUNCTION("""COMPUTED_VALUE"""),45324)</f>
        <v>45324</v>
      </c>
      <c r="M1304" s="18">
        <f ca="1">IFERROR(__xludf.DUMMYFUNCTION("""COMPUTED_VALUE"""),45324)</f>
        <v>45324</v>
      </c>
      <c r="N1304" s="5" t="str">
        <f ca="1">IFERROR(__xludf.DUMMYFUNCTION("""COMPUTED_VALUE"""),"Campo Rodriguez Adalcides Jesus")</f>
        <v>Campo Rodriguez Adalcides Jesus</v>
      </c>
      <c r="O1304" s="2">
        <f ca="1">IFERROR(__xludf.DUMMYFUNCTION("""COMPUTED_VALUE"""),0.007692308)</f>
        <v>7.6923080000000001E-3</v>
      </c>
      <c r="P1304" s="5">
        <f ca="1">IFERROR(__xludf.DUMMYFUNCTION("""COMPUTED_VALUE"""),20036419)</f>
        <v>20036419</v>
      </c>
      <c r="Q1304" s="5" t="str">
        <f ca="1">IFERROR(__xludf.DUMMYFUNCTION("""COMPUTED_VALUE"""),"-u5oeKoKwuM")</f>
        <v>-u5oeKoKwuM</v>
      </c>
      <c r="R1304" s="5">
        <f ca="1">IFERROR(__xludf.DUMMYFUNCTION("""COMPUTED_VALUE"""),410)</f>
        <v>410</v>
      </c>
      <c r="S1304" s="62">
        <f ca="1">IFERROR(__xludf.DUMMYFUNCTION("""COMPUTED_VALUE"""),0.007692308)</f>
        <v>7.6923080000000001E-3</v>
      </c>
      <c r="T1304" s="63" t="str">
        <f ca="1">IFERROR(__xludf.DUMMYFUNCTION("""COMPUTED_VALUE"""),"https://storage.googleapis.com/glide-prod.appspot.com/uploads-v2/ly7o78grxPaC6KdgvbpS/pub/3aRdSog0vUtuqPE8AJKD.png")</f>
        <v>https://storage.googleapis.com/glide-prod.appspot.com/uploads-v2/ly7o78grxPaC6KdgvbpS/pub/3aRdSog0vUtuqPE8AJKD.png</v>
      </c>
      <c r="U1304" s="5" t="str">
        <f ca="1">IFERROR(__xludf.DUMMYFUNCTION("""COMPUTED_VALUE"""),"LINEA DE ENVASADO TAMAÑO PERSONALTRANSPORTADOR DE CAJAS")</f>
        <v>LINEA DE ENVASADO TAMAÑO PERSONALTRANSPORTADOR DE CAJAS</v>
      </c>
      <c r="V1304" s="5"/>
      <c r="W1304" s="5" t="b">
        <f ca="1">IFERROR(__xludf.DUMMYFUNCTION("""COMPUTED_VALUE"""),TRUE)</f>
        <v>1</v>
      </c>
      <c r="X1304" s="5" t="str">
        <f ca="1">IFERROR(__xludf.DUMMYFUNCTION("""COMPUTED_VALUE"""),"wguerra@postobon.com.co,aprmttoyu@postobon.com.co,aprmyu@postobon.com.co,wmora@postobon.com.co,efzapata@postobon.com.co")</f>
        <v>wguerra@postobon.com.co,aprmttoyu@postobon.com.co,aprmyu@postobon.com.co,wmora@postobon.com.co,efzapata@postobon.com.co</v>
      </c>
      <c r="Y1304" s="5" t="str">
        <f ca="1">IFERROR(__xludf.DUMMYFUNCTION("""COMPUTED_VALUE"""),"wguerra@postobon.com.co")</f>
        <v>wguerra@postobon.com.co</v>
      </c>
      <c r="Z1304" s="5" t="str">
        <f ca="1">IFERROR(__xludf.DUMMYFUNCTION("""COMPUTED_VALUE"""),"UwKz9nt.Rpq3qkwgvxb10A")</f>
        <v>UwKz9nt.Rpq3qkwgvxb10A</v>
      </c>
      <c r="AA1304" s="5"/>
      <c r="AB1304" s="5"/>
      <c r="AC1304" s="5"/>
      <c r="AD1304" s="5">
        <f ca="1">IFERROR(__xludf.DUMMYFUNCTION("""COMPUTED_VALUE"""),43)</f>
        <v>43</v>
      </c>
      <c r="AE1304" s="5">
        <f ca="1">IFERROR(__xludf.DUMMYFUNCTION("""COMPUTED_VALUE"""),43)</f>
        <v>43</v>
      </c>
      <c r="AF1304" s="5" t="b">
        <f ca="1">IFERROR(__xludf.DUMMYFUNCTION("""COMPUTED_VALUE"""),FALSE)</f>
        <v>0</v>
      </c>
      <c r="AG1304" s="5" t="str">
        <f ca="1">IFERROR(__xludf.DUMMYFUNCTION("""COMPUTED_VALUE"""),"INSPECCIONES REALIZADAS")</f>
        <v>INSPECCIONES REALIZADAS</v>
      </c>
      <c r="AH1304" s="5"/>
    </row>
    <row r="1305" spans="1:34">
      <c r="A1305" s="5" t="str">
        <f ca="1">IFERROR(__xludf.DUMMYFUNCTION("""COMPUTED_VALUE"""),"LINEA DE ENVASADO TAMAÑO PERSONAL")</f>
        <v>LINEA DE ENVASADO TAMAÑO PERSONAL</v>
      </c>
      <c r="B1305" s="5">
        <f ca="1">IFERROR(__xludf.DUMMYFUNCTION("""COMPUTED_VALUE"""),829852)</f>
        <v>829852</v>
      </c>
      <c r="C1305" s="5" t="str">
        <f ca="1">IFERROR(__xludf.DUMMYFUNCTION("""COMPUTED_VALUE"""),"TRANSPORTADOR DE CAJAS")</f>
        <v>TRANSPORTADOR DE CAJAS</v>
      </c>
      <c r="D1305" s="5">
        <f ca="1">IFERROR(__xludf.DUMMYFUNCTION("""COMPUTED_VALUE"""),13247637)</f>
        <v>13247637</v>
      </c>
      <c r="E1305" s="5" t="str">
        <f ca="1">IFERROR(__xludf.DUMMYFUNCTION("""COMPUTED_VALUE"""),"INSPECCION SEMANAL TRANSP DE CAJAS")</f>
        <v>INSPECCION SEMANAL TRANSP DE CAJAS</v>
      </c>
      <c r="F1305" s="5" t="str">
        <f ca="1">IFERROR(__xludf.DUMMYFUNCTION("""COMPUTED_VALUE"""),"Estado de tableros eléctricos de mando, control y potencia")</f>
        <v>Estado de tableros eléctricos de mando, control y potencia</v>
      </c>
      <c r="G1305" s="5" t="b">
        <f ca="1">IFERROR(__xludf.DUMMYFUNCTION("""COMPUTED_VALUE"""),TRUE)</f>
        <v>1</v>
      </c>
      <c r="H1305" s="5"/>
      <c r="I1305" s="5"/>
      <c r="J1305" s="5">
        <f ca="1">IFERROR(__xludf.DUMMYFUNCTION("""COMPUTED_VALUE"""),13247637)</f>
        <v>13247637</v>
      </c>
      <c r="K1305" s="5"/>
      <c r="L1305" s="18">
        <f ca="1">IFERROR(__xludf.DUMMYFUNCTION("""COMPUTED_VALUE"""),45324)</f>
        <v>45324</v>
      </c>
      <c r="M1305" s="18">
        <f ca="1">IFERROR(__xludf.DUMMYFUNCTION("""COMPUTED_VALUE"""),45324)</f>
        <v>45324</v>
      </c>
      <c r="N1305" s="5" t="str">
        <f ca="1">IFERROR(__xludf.DUMMYFUNCTION("""COMPUTED_VALUE"""),"Campo Rodriguez Adalcides Jesus")</f>
        <v>Campo Rodriguez Adalcides Jesus</v>
      </c>
      <c r="O1305" s="2">
        <f ca="1">IFERROR(__xludf.DUMMYFUNCTION("""COMPUTED_VALUE"""),0.007692308)</f>
        <v>7.6923080000000001E-3</v>
      </c>
      <c r="P1305" s="5">
        <f ca="1">IFERROR(__xludf.DUMMYFUNCTION("""COMPUTED_VALUE"""),20036419)</f>
        <v>20036419</v>
      </c>
      <c r="Q1305" s="5" t="str">
        <f ca="1">IFERROR(__xludf.DUMMYFUNCTION("""COMPUTED_VALUE"""),"Te0cNmKxEA8")</f>
        <v>Te0cNmKxEA8</v>
      </c>
      <c r="R1305" s="5">
        <f ca="1">IFERROR(__xludf.DUMMYFUNCTION("""COMPUTED_VALUE"""),410)</f>
        <v>410</v>
      </c>
      <c r="S1305" s="62">
        <f ca="1">IFERROR(__xludf.DUMMYFUNCTION("""COMPUTED_VALUE"""),0.007692308)</f>
        <v>7.6923080000000001E-3</v>
      </c>
      <c r="T1305" s="63" t="str">
        <f ca="1">IFERROR(__xludf.DUMMYFUNCTION("""COMPUTED_VALUE"""),"https://storage.googleapis.com/glide-prod.appspot.com/uploads-v2/ly7o78grxPaC6KdgvbpS/pub/3aRdSog0vUtuqPE8AJKD.png")</f>
        <v>https://storage.googleapis.com/glide-prod.appspot.com/uploads-v2/ly7o78grxPaC6KdgvbpS/pub/3aRdSog0vUtuqPE8AJKD.png</v>
      </c>
      <c r="U1305" s="5" t="str">
        <f ca="1">IFERROR(__xludf.DUMMYFUNCTION("""COMPUTED_VALUE"""),"LINEA DE ENVASADO TAMAÑO PERSONALTRANSPORTADOR DE CAJAS")</f>
        <v>LINEA DE ENVASADO TAMAÑO PERSONALTRANSPORTADOR DE CAJAS</v>
      </c>
      <c r="V1305" s="5"/>
      <c r="W1305" s="5" t="b">
        <f ca="1">IFERROR(__xludf.DUMMYFUNCTION("""COMPUTED_VALUE"""),TRUE)</f>
        <v>1</v>
      </c>
      <c r="X1305" s="5" t="str">
        <f ca="1">IFERROR(__xludf.DUMMYFUNCTION("""COMPUTED_VALUE"""),"wguerra@postobon.com.co,aprmttoyu@postobon.com.co,aprmyu@postobon.com.co,wmora@postobon.com.co,efzapata@postobon.com.co")</f>
        <v>wguerra@postobon.com.co,aprmttoyu@postobon.com.co,aprmyu@postobon.com.co,wmora@postobon.com.co,efzapata@postobon.com.co</v>
      </c>
      <c r="Y1305" s="5" t="str">
        <f ca="1">IFERROR(__xludf.DUMMYFUNCTION("""COMPUTED_VALUE"""),"wguerra@postobon.com.co")</f>
        <v>wguerra@postobon.com.co</v>
      </c>
      <c r="Z1305" s="5" t="str">
        <f ca="1">IFERROR(__xludf.DUMMYFUNCTION("""COMPUTED_VALUE"""),"aUPUriH7R2m8.30U2.zdEw")</f>
        <v>aUPUriH7R2m8.30U2.zdEw</v>
      </c>
      <c r="AA1305" s="5"/>
      <c r="AB1305" s="5"/>
      <c r="AC1305" s="5"/>
      <c r="AD1305" s="5">
        <f ca="1">IFERROR(__xludf.DUMMYFUNCTION("""COMPUTED_VALUE"""),43)</f>
        <v>43</v>
      </c>
      <c r="AE1305" s="5">
        <f ca="1">IFERROR(__xludf.DUMMYFUNCTION("""COMPUTED_VALUE"""),43)</f>
        <v>43</v>
      </c>
      <c r="AF1305" s="5" t="b">
        <f ca="1">IFERROR(__xludf.DUMMYFUNCTION("""COMPUTED_VALUE"""),FALSE)</f>
        <v>0</v>
      </c>
      <c r="AG1305" s="5" t="str">
        <f ca="1">IFERROR(__xludf.DUMMYFUNCTION("""COMPUTED_VALUE"""),"INSPECCIONES REALIZADAS")</f>
        <v>INSPECCIONES REALIZADAS</v>
      </c>
      <c r="AH1305" s="5"/>
    </row>
    <row r="1306" spans="1:34">
      <c r="A1306" s="5" t="str">
        <f ca="1">IFERROR(__xludf.DUMMYFUNCTION("""COMPUTED_VALUE"""),"LINEA DE ENVASADO TAMAÑO PERSONAL")</f>
        <v>LINEA DE ENVASADO TAMAÑO PERSONAL</v>
      </c>
      <c r="B1306" s="5">
        <f ca="1">IFERROR(__xludf.DUMMYFUNCTION("""COMPUTED_VALUE"""),829852)</f>
        <v>829852</v>
      </c>
      <c r="C1306" s="5" t="str">
        <f ca="1">IFERROR(__xludf.DUMMYFUNCTION("""COMPUTED_VALUE"""),"TRANSPORTADOR DE CAJAS")</f>
        <v>TRANSPORTADOR DE CAJAS</v>
      </c>
      <c r="D1306" s="5">
        <f ca="1">IFERROR(__xludf.DUMMYFUNCTION("""COMPUTED_VALUE"""),13247637)</f>
        <v>13247637</v>
      </c>
      <c r="E1306" s="5" t="str">
        <f ca="1">IFERROR(__xludf.DUMMYFUNCTION("""COMPUTED_VALUE"""),"INSPECCION SEMANAL TRANSP DE CAJAS")</f>
        <v>INSPECCION SEMANAL TRANSP DE CAJAS</v>
      </c>
      <c r="F1306" s="5" t="str">
        <f ca="1">IFERROR(__xludf.DUMMYFUNCTION("""COMPUTED_VALUE"""),"Estado de sensores")</f>
        <v>Estado de sensores</v>
      </c>
      <c r="G1306" s="5" t="b">
        <f ca="1">IFERROR(__xludf.DUMMYFUNCTION("""COMPUTED_VALUE"""),TRUE)</f>
        <v>1</v>
      </c>
      <c r="H1306" s="5"/>
      <c r="I1306" s="5"/>
      <c r="J1306" s="5">
        <f ca="1">IFERROR(__xludf.DUMMYFUNCTION("""COMPUTED_VALUE"""),13247637)</f>
        <v>13247637</v>
      </c>
      <c r="K1306" s="5"/>
      <c r="L1306" s="18">
        <f ca="1">IFERROR(__xludf.DUMMYFUNCTION("""COMPUTED_VALUE"""),45324)</f>
        <v>45324</v>
      </c>
      <c r="M1306" s="18">
        <f ca="1">IFERROR(__xludf.DUMMYFUNCTION("""COMPUTED_VALUE"""),45324)</f>
        <v>45324</v>
      </c>
      <c r="N1306" s="5" t="str">
        <f ca="1">IFERROR(__xludf.DUMMYFUNCTION("""COMPUTED_VALUE"""),"Campo Rodriguez Adalcides Jesus")</f>
        <v>Campo Rodriguez Adalcides Jesus</v>
      </c>
      <c r="O1306" s="2">
        <f ca="1">IFERROR(__xludf.DUMMYFUNCTION("""COMPUTED_VALUE"""),0.007692308)</f>
        <v>7.6923080000000001E-3</v>
      </c>
      <c r="P1306" s="5">
        <f ca="1">IFERROR(__xludf.DUMMYFUNCTION("""COMPUTED_VALUE"""),20036419)</f>
        <v>20036419</v>
      </c>
      <c r="Q1306" s="5" t="str">
        <f ca="1">IFERROR(__xludf.DUMMYFUNCTION("""COMPUTED_VALUE"""),"oLWGRAOOHMI")</f>
        <v>oLWGRAOOHMI</v>
      </c>
      <c r="R1306" s="5">
        <f ca="1">IFERROR(__xludf.DUMMYFUNCTION("""COMPUTED_VALUE"""),410)</f>
        <v>410</v>
      </c>
      <c r="S1306" s="62">
        <f ca="1">IFERROR(__xludf.DUMMYFUNCTION("""COMPUTED_VALUE"""),0.007692308)</f>
        <v>7.6923080000000001E-3</v>
      </c>
      <c r="T1306" s="63" t="str">
        <f ca="1">IFERROR(__xludf.DUMMYFUNCTION("""COMPUTED_VALUE"""),"https://storage.googleapis.com/glide-prod.appspot.com/uploads-v2/ly7o78grxPaC6KdgvbpS/pub/3aRdSog0vUtuqPE8AJKD.png")</f>
        <v>https://storage.googleapis.com/glide-prod.appspot.com/uploads-v2/ly7o78grxPaC6KdgvbpS/pub/3aRdSog0vUtuqPE8AJKD.png</v>
      </c>
      <c r="U1306" s="5" t="str">
        <f ca="1">IFERROR(__xludf.DUMMYFUNCTION("""COMPUTED_VALUE"""),"LINEA DE ENVASADO TAMAÑO PERSONALTRANSPORTADOR DE CAJAS")</f>
        <v>LINEA DE ENVASADO TAMAÑO PERSONALTRANSPORTADOR DE CAJAS</v>
      </c>
      <c r="V1306" s="5"/>
      <c r="W1306" s="5" t="b">
        <f ca="1">IFERROR(__xludf.DUMMYFUNCTION("""COMPUTED_VALUE"""),TRUE)</f>
        <v>1</v>
      </c>
      <c r="X1306" s="5" t="str">
        <f ca="1">IFERROR(__xludf.DUMMYFUNCTION("""COMPUTED_VALUE"""),"wguerra@postobon.com.co,aprmttoyu@postobon.com.co,aprmyu@postobon.com.co,wmora@postobon.com.co,efzapata@postobon.com.co")</f>
        <v>wguerra@postobon.com.co,aprmttoyu@postobon.com.co,aprmyu@postobon.com.co,wmora@postobon.com.co,efzapata@postobon.com.co</v>
      </c>
      <c r="Y1306" s="5" t="str">
        <f ca="1">IFERROR(__xludf.DUMMYFUNCTION("""COMPUTED_VALUE"""),"wguerra@postobon.com.co")</f>
        <v>wguerra@postobon.com.co</v>
      </c>
      <c r="Z1306" s="5" t="str">
        <f ca="1">IFERROR(__xludf.DUMMYFUNCTION("""COMPUTED_VALUE"""),"Ba..mwpdRuO21KOHj2W52g")</f>
        <v>Ba..mwpdRuO21KOHj2W52g</v>
      </c>
      <c r="AA1306" s="5"/>
      <c r="AB1306" s="5"/>
      <c r="AC1306" s="5"/>
      <c r="AD1306" s="5">
        <f ca="1">IFERROR(__xludf.DUMMYFUNCTION("""COMPUTED_VALUE"""),43)</f>
        <v>43</v>
      </c>
      <c r="AE1306" s="5">
        <f ca="1">IFERROR(__xludf.DUMMYFUNCTION("""COMPUTED_VALUE"""),43)</f>
        <v>43</v>
      </c>
      <c r="AF1306" s="5" t="b">
        <f ca="1">IFERROR(__xludf.DUMMYFUNCTION("""COMPUTED_VALUE"""),FALSE)</f>
        <v>0</v>
      </c>
      <c r="AG1306" s="5" t="str">
        <f ca="1">IFERROR(__xludf.DUMMYFUNCTION("""COMPUTED_VALUE"""),"INSPECCIONES REALIZADAS")</f>
        <v>INSPECCIONES REALIZADAS</v>
      </c>
      <c r="AH1306" s="5"/>
    </row>
    <row r="1307" spans="1:34">
      <c r="A1307" s="5" t="str">
        <f ca="1">IFERROR(__xludf.DUMMYFUNCTION("""COMPUTED_VALUE"""),"LINEA DE ENVASADO TAMAÑO PERSONAL")</f>
        <v>LINEA DE ENVASADO TAMAÑO PERSONAL</v>
      </c>
      <c r="B1307" s="5">
        <f ca="1">IFERROR(__xludf.DUMMYFUNCTION("""COMPUTED_VALUE"""),829852)</f>
        <v>829852</v>
      </c>
      <c r="C1307" s="5" t="str">
        <f ca="1">IFERROR(__xludf.DUMMYFUNCTION("""COMPUTED_VALUE"""),"TRANSPORTADOR DE CAJAS")</f>
        <v>TRANSPORTADOR DE CAJAS</v>
      </c>
      <c r="D1307" s="5">
        <f ca="1">IFERROR(__xludf.DUMMYFUNCTION("""COMPUTED_VALUE"""),13247637)</f>
        <v>13247637</v>
      </c>
      <c r="E1307" s="5" t="str">
        <f ca="1">IFERROR(__xludf.DUMMYFUNCTION("""COMPUTED_VALUE"""),"INSPECCION SEMANAL TRANSP DE CAJAS")</f>
        <v>INSPECCION SEMANAL TRANSP DE CAJAS</v>
      </c>
      <c r="F1307" s="5" t="str">
        <f ca="1">IFERROR(__xludf.DUMMYFUNCTION("""COMPUTED_VALUE"""),"Estado perfiles de desgaste plasticos")</f>
        <v>Estado perfiles de desgaste plasticos</v>
      </c>
      <c r="G1307" s="5" t="b">
        <f ca="1">IFERROR(__xludf.DUMMYFUNCTION("""COMPUTED_VALUE"""),TRUE)</f>
        <v>1</v>
      </c>
      <c r="H1307" s="5"/>
      <c r="I1307" s="5"/>
      <c r="J1307" s="5">
        <f ca="1">IFERROR(__xludf.DUMMYFUNCTION("""COMPUTED_VALUE"""),13247637)</f>
        <v>13247637</v>
      </c>
      <c r="K1307" s="5"/>
      <c r="L1307" s="18">
        <f ca="1">IFERROR(__xludf.DUMMYFUNCTION("""COMPUTED_VALUE"""),45324)</f>
        <v>45324</v>
      </c>
      <c r="M1307" s="18">
        <f ca="1">IFERROR(__xludf.DUMMYFUNCTION("""COMPUTED_VALUE"""),45324)</f>
        <v>45324</v>
      </c>
      <c r="N1307" s="5" t="str">
        <f ca="1">IFERROR(__xludf.DUMMYFUNCTION("""COMPUTED_VALUE"""),"Campo Rodriguez Adalcides Jesus")</f>
        <v>Campo Rodriguez Adalcides Jesus</v>
      </c>
      <c r="O1307" s="2">
        <f ca="1">IFERROR(__xludf.DUMMYFUNCTION("""COMPUTED_VALUE"""),0.007692308)</f>
        <v>7.6923080000000001E-3</v>
      </c>
      <c r="P1307" s="5">
        <f ca="1">IFERROR(__xludf.DUMMYFUNCTION("""COMPUTED_VALUE"""),20036419)</f>
        <v>20036419</v>
      </c>
      <c r="Q1307" s="5" t="str">
        <f ca="1">IFERROR(__xludf.DUMMYFUNCTION("""COMPUTED_VALUE"""),"hhDtJKtwDNU")</f>
        <v>hhDtJKtwDNU</v>
      </c>
      <c r="R1307" s="5">
        <f ca="1">IFERROR(__xludf.DUMMYFUNCTION("""COMPUTED_VALUE"""),410)</f>
        <v>410</v>
      </c>
      <c r="S1307" s="62">
        <f ca="1">IFERROR(__xludf.DUMMYFUNCTION("""COMPUTED_VALUE"""),0.007692308)</f>
        <v>7.6923080000000001E-3</v>
      </c>
      <c r="T1307" s="63" t="str">
        <f ca="1">IFERROR(__xludf.DUMMYFUNCTION("""COMPUTED_VALUE"""),"https://storage.googleapis.com/glide-prod.appspot.com/uploads-v2/ly7o78grxPaC6KdgvbpS/pub/3aRdSog0vUtuqPE8AJKD.png")</f>
        <v>https://storage.googleapis.com/glide-prod.appspot.com/uploads-v2/ly7o78grxPaC6KdgvbpS/pub/3aRdSog0vUtuqPE8AJKD.png</v>
      </c>
      <c r="U1307" s="5" t="str">
        <f ca="1">IFERROR(__xludf.DUMMYFUNCTION("""COMPUTED_VALUE"""),"LINEA DE ENVASADO TAMAÑO PERSONALTRANSPORTADOR DE CAJAS")</f>
        <v>LINEA DE ENVASADO TAMAÑO PERSONALTRANSPORTADOR DE CAJAS</v>
      </c>
      <c r="V1307" s="5"/>
      <c r="W1307" s="5" t="b">
        <f ca="1">IFERROR(__xludf.DUMMYFUNCTION("""COMPUTED_VALUE"""),TRUE)</f>
        <v>1</v>
      </c>
      <c r="X1307" s="5" t="str">
        <f ca="1">IFERROR(__xludf.DUMMYFUNCTION("""COMPUTED_VALUE"""),"wguerra@postobon.com.co,aprmttoyu@postobon.com.co,aprmyu@postobon.com.co,wmora@postobon.com.co,efzapata@postobon.com.co")</f>
        <v>wguerra@postobon.com.co,aprmttoyu@postobon.com.co,aprmyu@postobon.com.co,wmora@postobon.com.co,efzapata@postobon.com.co</v>
      </c>
      <c r="Y1307" s="5" t="str">
        <f ca="1">IFERROR(__xludf.DUMMYFUNCTION("""COMPUTED_VALUE"""),"wguerra@postobon.com.co")</f>
        <v>wguerra@postobon.com.co</v>
      </c>
      <c r="Z1307" s="5" t="str">
        <f ca="1">IFERROR(__xludf.DUMMYFUNCTION("""COMPUTED_VALUE"""),"drVBeJtsQTWd.ccWV2RnGQ")</f>
        <v>drVBeJtsQTWd.ccWV2RnGQ</v>
      </c>
      <c r="AA1307" s="5"/>
      <c r="AB1307" s="5"/>
      <c r="AC1307" s="5"/>
      <c r="AD1307" s="5">
        <f ca="1">IFERROR(__xludf.DUMMYFUNCTION("""COMPUTED_VALUE"""),43)</f>
        <v>43</v>
      </c>
      <c r="AE1307" s="5">
        <f ca="1">IFERROR(__xludf.DUMMYFUNCTION("""COMPUTED_VALUE"""),43)</f>
        <v>43</v>
      </c>
      <c r="AF1307" s="5" t="b">
        <f ca="1">IFERROR(__xludf.DUMMYFUNCTION("""COMPUTED_VALUE"""),FALSE)</f>
        <v>0</v>
      </c>
      <c r="AG1307" s="5" t="str">
        <f ca="1">IFERROR(__xludf.DUMMYFUNCTION("""COMPUTED_VALUE"""),"INSPECCIONES REALIZADAS")</f>
        <v>INSPECCIONES REALIZADAS</v>
      </c>
      <c r="AH1307" s="5"/>
    </row>
    <row r="1308" spans="1:34">
      <c r="A1308" s="5" t="str">
        <f ca="1">IFERROR(__xludf.DUMMYFUNCTION("""COMPUTED_VALUE"""),"LINEA DE ENVASADO TAMAÑO PERSONAL")</f>
        <v>LINEA DE ENVASADO TAMAÑO PERSONAL</v>
      </c>
      <c r="B1308" s="5">
        <f ca="1">IFERROR(__xludf.DUMMYFUNCTION("""COMPUTED_VALUE"""),829852)</f>
        <v>829852</v>
      </c>
      <c r="C1308" s="5" t="str">
        <f ca="1">IFERROR(__xludf.DUMMYFUNCTION("""COMPUTED_VALUE"""),"TRANSPORTADOR DE CAJAS")</f>
        <v>TRANSPORTADOR DE CAJAS</v>
      </c>
      <c r="D1308" s="5">
        <f ca="1">IFERROR(__xludf.DUMMYFUNCTION("""COMPUTED_VALUE"""),13247637)</f>
        <v>13247637</v>
      </c>
      <c r="E1308" s="5" t="str">
        <f ca="1">IFERROR(__xludf.DUMMYFUNCTION("""COMPUTED_VALUE"""),"INSPECCION SEMANAL TRANSP DE CAJAS")</f>
        <v>INSPECCION SEMANAL TRANSP DE CAJAS</v>
      </c>
      <c r="F1308" s="5" t="str">
        <f ca="1">IFERROR(__xludf.DUMMYFUNCTION("""COMPUTED_VALUE"""),"Estado de cajas reductoras")</f>
        <v>Estado de cajas reductoras</v>
      </c>
      <c r="G1308" s="5" t="b">
        <f ca="1">IFERROR(__xludf.DUMMYFUNCTION("""COMPUTED_VALUE"""),TRUE)</f>
        <v>1</v>
      </c>
      <c r="H1308" s="5"/>
      <c r="I1308" s="5"/>
      <c r="J1308" s="5">
        <f ca="1">IFERROR(__xludf.DUMMYFUNCTION("""COMPUTED_VALUE"""),13247637)</f>
        <v>13247637</v>
      </c>
      <c r="K1308" s="5"/>
      <c r="L1308" s="18">
        <f ca="1">IFERROR(__xludf.DUMMYFUNCTION("""COMPUTED_VALUE"""),45324)</f>
        <v>45324</v>
      </c>
      <c r="M1308" s="18">
        <f ca="1">IFERROR(__xludf.DUMMYFUNCTION("""COMPUTED_VALUE"""),45324)</f>
        <v>45324</v>
      </c>
      <c r="N1308" s="5" t="str">
        <f ca="1">IFERROR(__xludf.DUMMYFUNCTION("""COMPUTED_VALUE"""),"Campo Rodriguez Adalcides Jesus")</f>
        <v>Campo Rodriguez Adalcides Jesus</v>
      </c>
      <c r="O1308" s="2">
        <f ca="1">IFERROR(__xludf.DUMMYFUNCTION("""COMPUTED_VALUE"""),0.007692308)</f>
        <v>7.6923080000000001E-3</v>
      </c>
      <c r="P1308" s="5">
        <f ca="1">IFERROR(__xludf.DUMMYFUNCTION("""COMPUTED_VALUE"""),20036419)</f>
        <v>20036419</v>
      </c>
      <c r="Q1308" s="5" t="str">
        <f ca="1">IFERROR(__xludf.DUMMYFUNCTION("""COMPUTED_VALUE"""),"KhEQiyQAPc4")</f>
        <v>KhEQiyQAPc4</v>
      </c>
      <c r="R1308" s="5">
        <f ca="1">IFERROR(__xludf.DUMMYFUNCTION("""COMPUTED_VALUE"""),410)</f>
        <v>410</v>
      </c>
      <c r="S1308" s="62">
        <f ca="1">IFERROR(__xludf.DUMMYFUNCTION("""COMPUTED_VALUE"""),0.007692308)</f>
        <v>7.6923080000000001E-3</v>
      </c>
      <c r="T1308" s="63" t="str">
        <f ca="1">IFERROR(__xludf.DUMMYFUNCTION("""COMPUTED_VALUE"""),"https://storage.googleapis.com/glide-prod.appspot.com/uploads-v2/ly7o78grxPaC6KdgvbpS/pub/3aRdSog0vUtuqPE8AJKD.png")</f>
        <v>https://storage.googleapis.com/glide-prod.appspot.com/uploads-v2/ly7o78grxPaC6KdgvbpS/pub/3aRdSog0vUtuqPE8AJKD.png</v>
      </c>
      <c r="U1308" s="5" t="str">
        <f ca="1">IFERROR(__xludf.DUMMYFUNCTION("""COMPUTED_VALUE"""),"LINEA DE ENVASADO TAMAÑO PERSONALTRANSPORTADOR DE CAJAS")</f>
        <v>LINEA DE ENVASADO TAMAÑO PERSONALTRANSPORTADOR DE CAJAS</v>
      </c>
      <c r="V1308" s="5"/>
      <c r="W1308" s="5" t="b">
        <f ca="1">IFERROR(__xludf.DUMMYFUNCTION("""COMPUTED_VALUE"""),TRUE)</f>
        <v>1</v>
      </c>
      <c r="X1308" s="5" t="str">
        <f ca="1">IFERROR(__xludf.DUMMYFUNCTION("""COMPUTED_VALUE"""),"wguerra@postobon.com.co,aprmttoyu@postobon.com.co,aprmyu@postobon.com.co,wmora@postobon.com.co,efzapata@postobon.com.co")</f>
        <v>wguerra@postobon.com.co,aprmttoyu@postobon.com.co,aprmyu@postobon.com.co,wmora@postobon.com.co,efzapata@postobon.com.co</v>
      </c>
      <c r="Y1308" s="5" t="str">
        <f ca="1">IFERROR(__xludf.DUMMYFUNCTION("""COMPUTED_VALUE"""),"wguerra@postobon.com.co")</f>
        <v>wguerra@postobon.com.co</v>
      </c>
      <c r="Z1308" s="5" t="str">
        <f ca="1">IFERROR(__xludf.DUMMYFUNCTION("""COMPUTED_VALUE"""),"4CsJu2T.RYSqrE1AnHXueQ")</f>
        <v>4CsJu2T.RYSqrE1AnHXueQ</v>
      </c>
      <c r="AA1308" s="5"/>
      <c r="AB1308" s="5"/>
      <c r="AC1308" s="5"/>
      <c r="AD1308" s="5">
        <f ca="1">IFERROR(__xludf.DUMMYFUNCTION("""COMPUTED_VALUE"""),43)</f>
        <v>43</v>
      </c>
      <c r="AE1308" s="5">
        <f ca="1">IFERROR(__xludf.DUMMYFUNCTION("""COMPUTED_VALUE"""),43)</f>
        <v>43</v>
      </c>
      <c r="AF1308" s="5" t="b">
        <f ca="1">IFERROR(__xludf.DUMMYFUNCTION("""COMPUTED_VALUE"""),FALSE)</f>
        <v>0</v>
      </c>
      <c r="AG1308" s="5" t="str">
        <f ca="1">IFERROR(__xludf.DUMMYFUNCTION("""COMPUTED_VALUE"""),"INSPECCIONES REALIZADAS")</f>
        <v>INSPECCIONES REALIZADAS</v>
      </c>
      <c r="AH1308" s="5"/>
    </row>
    <row r="1309" spans="1:34">
      <c r="A1309" s="5" t="str">
        <f ca="1">IFERROR(__xludf.DUMMYFUNCTION("""COMPUTED_VALUE"""),"LINEA DE ENVASADO TAMAÑO PERSONAL")</f>
        <v>LINEA DE ENVASADO TAMAÑO PERSONAL</v>
      </c>
      <c r="B1309" s="5">
        <f ca="1">IFERROR(__xludf.DUMMYFUNCTION("""COMPUTED_VALUE"""),829852)</f>
        <v>829852</v>
      </c>
      <c r="C1309" s="5" t="str">
        <f ca="1">IFERROR(__xludf.DUMMYFUNCTION("""COMPUTED_VALUE"""),"TRANSPORTADOR DE CAJAS")</f>
        <v>TRANSPORTADOR DE CAJAS</v>
      </c>
      <c r="D1309" s="5">
        <f ca="1">IFERROR(__xludf.DUMMYFUNCTION("""COMPUTED_VALUE"""),13247637)</f>
        <v>13247637</v>
      </c>
      <c r="E1309" s="5" t="str">
        <f ca="1">IFERROR(__xludf.DUMMYFUNCTION("""COMPUTED_VALUE"""),"INSPECCION SEMANAL TRANSP DE CAJAS")</f>
        <v>INSPECCION SEMANAL TRANSP DE CAJAS</v>
      </c>
      <c r="F1309" s="5" t="str">
        <f ca="1">IFERROR(__xludf.DUMMYFUNCTION("""COMPUTED_VALUE"""),"Estado de sistema de lubricacion")</f>
        <v>Estado de sistema de lubricacion</v>
      </c>
      <c r="G1309" s="5" t="b">
        <f ca="1">IFERROR(__xludf.DUMMYFUNCTION("""COMPUTED_VALUE"""),TRUE)</f>
        <v>1</v>
      </c>
      <c r="H1309" s="5"/>
      <c r="I1309" s="5"/>
      <c r="J1309" s="5">
        <f ca="1">IFERROR(__xludf.DUMMYFUNCTION("""COMPUTED_VALUE"""),13247637)</f>
        <v>13247637</v>
      </c>
      <c r="K1309" s="5"/>
      <c r="L1309" s="18">
        <f ca="1">IFERROR(__xludf.DUMMYFUNCTION("""COMPUTED_VALUE"""),45324)</f>
        <v>45324</v>
      </c>
      <c r="M1309" s="18">
        <f ca="1">IFERROR(__xludf.DUMMYFUNCTION("""COMPUTED_VALUE"""),45324)</f>
        <v>45324</v>
      </c>
      <c r="N1309" s="5" t="str">
        <f ca="1">IFERROR(__xludf.DUMMYFUNCTION("""COMPUTED_VALUE"""),"Campo Rodriguez Adalcides Jesus")</f>
        <v>Campo Rodriguez Adalcides Jesus</v>
      </c>
      <c r="O1309" s="2">
        <f ca="1">IFERROR(__xludf.DUMMYFUNCTION("""COMPUTED_VALUE"""),0.007692308)</f>
        <v>7.6923080000000001E-3</v>
      </c>
      <c r="P1309" s="5">
        <f ca="1">IFERROR(__xludf.DUMMYFUNCTION("""COMPUTED_VALUE"""),20036419)</f>
        <v>20036419</v>
      </c>
      <c r="Q1309" s="5" t="str">
        <f ca="1">IFERROR(__xludf.DUMMYFUNCTION("""COMPUTED_VALUE"""),"RzQIb1apEjM")</f>
        <v>RzQIb1apEjM</v>
      </c>
      <c r="R1309" s="5">
        <f ca="1">IFERROR(__xludf.DUMMYFUNCTION("""COMPUTED_VALUE"""),410)</f>
        <v>410</v>
      </c>
      <c r="S1309" s="62">
        <f ca="1">IFERROR(__xludf.DUMMYFUNCTION("""COMPUTED_VALUE"""),0.007692308)</f>
        <v>7.6923080000000001E-3</v>
      </c>
      <c r="T1309" s="63" t="str">
        <f ca="1">IFERROR(__xludf.DUMMYFUNCTION("""COMPUTED_VALUE"""),"https://storage.googleapis.com/glide-prod.appspot.com/uploads-v2/ly7o78grxPaC6KdgvbpS/pub/3aRdSog0vUtuqPE8AJKD.png")</f>
        <v>https://storage.googleapis.com/glide-prod.appspot.com/uploads-v2/ly7o78grxPaC6KdgvbpS/pub/3aRdSog0vUtuqPE8AJKD.png</v>
      </c>
      <c r="U1309" s="5" t="str">
        <f ca="1">IFERROR(__xludf.DUMMYFUNCTION("""COMPUTED_VALUE"""),"LINEA DE ENVASADO TAMAÑO PERSONALTRANSPORTADOR DE CAJAS")</f>
        <v>LINEA DE ENVASADO TAMAÑO PERSONALTRANSPORTADOR DE CAJAS</v>
      </c>
      <c r="V1309" s="5"/>
      <c r="W1309" s="5" t="b">
        <f ca="1">IFERROR(__xludf.DUMMYFUNCTION("""COMPUTED_VALUE"""),TRUE)</f>
        <v>1</v>
      </c>
      <c r="X1309" s="5" t="str">
        <f ca="1">IFERROR(__xludf.DUMMYFUNCTION("""COMPUTED_VALUE"""),"wguerra@postobon.com.co,aprmttoyu@postobon.com.co,aprmyu@postobon.com.co,wmora@postobon.com.co,efzapata@postobon.com.co")</f>
        <v>wguerra@postobon.com.co,aprmttoyu@postobon.com.co,aprmyu@postobon.com.co,wmora@postobon.com.co,efzapata@postobon.com.co</v>
      </c>
      <c r="Y1309" s="5" t="str">
        <f ca="1">IFERROR(__xludf.DUMMYFUNCTION("""COMPUTED_VALUE"""),"wguerra@postobon.com.co")</f>
        <v>wguerra@postobon.com.co</v>
      </c>
      <c r="Z1309" s="5" t="str">
        <f ca="1">IFERROR(__xludf.DUMMYFUNCTION("""COMPUTED_VALUE"""),"su0MhAkhSTSqld026FXuUA")</f>
        <v>su0MhAkhSTSqld026FXuUA</v>
      </c>
      <c r="AA1309" s="5"/>
      <c r="AB1309" s="5"/>
      <c r="AC1309" s="5"/>
      <c r="AD1309" s="5">
        <f ca="1">IFERROR(__xludf.DUMMYFUNCTION("""COMPUTED_VALUE"""),43)</f>
        <v>43</v>
      </c>
      <c r="AE1309" s="5">
        <f ca="1">IFERROR(__xludf.DUMMYFUNCTION("""COMPUTED_VALUE"""),43)</f>
        <v>43</v>
      </c>
      <c r="AF1309" s="5" t="b">
        <f ca="1">IFERROR(__xludf.DUMMYFUNCTION("""COMPUTED_VALUE"""),FALSE)</f>
        <v>0</v>
      </c>
      <c r="AG1309" s="5" t="str">
        <f ca="1">IFERROR(__xludf.DUMMYFUNCTION("""COMPUTED_VALUE"""),"INSPECCIONES REALIZADAS")</f>
        <v>INSPECCIONES REALIZADAS</v>
      </c>
      <c r="AH1309" s="5"/>
    </row>
    <row r="1310" spans="1:34">
      <c r="A1310" s="5" t="str">
        <f ca="1">IFERROR(__xludf.DUMMYFUNCTION("""COMPUTED_VALUE"""),"LINEA DE ENVASADO TAMAÑO PERSONAL")</f>
        <v>LINEA DE ENVASADO TAMAÑO PERSONAL</v>
      </c>
      <c r="B1310" s="5">
        <f ca="1">IFERROR(__xludf.DUMMYFUNCTION("""COMPUTED_VALUE"""),829852)</f>
        <v>829852</v>
      </c>
      <c r="C1310" s="5" t="str">
        <f ca="1">IFERROR(__xludf.DUMMYFUNCTION("""COMPUTED_VALUE"""),"TRANSPORTADOR DE CAJAS")</f>
        <v>TRANSPORTADOR DE CAJAS</v>
      </c>
      <c r="D1310" s="5">
        <f ca="1">IFERROR(__xludf.DUMMYFUNCTION("""COMPUTED_VALUE"""),13247637)</f>
        <v>13247637</v>
      </c>
      <c r="E1310" s="5" t="str">
        <f ca="1">IFERROR(__xludf.DUMMYFUNCTION("""COMPUTED_VALUE"""),"INSPECCION SEMANAL TRANSP DE CAJAS")</f>
        <v>INSPECCION SEMANAL TRANSP DE CAJAS</v>
      </c>
      <c r="F1310" s="5" t="str">
        <f ca="1">IFERROR(__xludf.DUMMYFUNCTION("""COMPUTED_VALUE"""),"Estado y limpieza de extractor y/o climatizador tablero eléctrico")</f>
        <v>Estado y limpieza de extractor y/o climatizador tablero eléctrico</v>
      </c>
      <c r="G1310" s="5" t="b">
        <f ca="1">IFERROR(__xludf.DUMMYFUNCTION("""COMPUTED_VALUE"""),TRUE)</f>
        <v>1</v>
      </c>
      <c r="H1310" s="5"/>
      <c r="I1310" s="5"/>
      <c r="J1310" s="5">
        <f ca="1">IFERROR(__xludf.DUMMYFUNCTION("""COMPUTED_VALUE"""),13247637)</f>
        <v>13247637</v>
      </c>
      <c r="K1310" s="5"/>
      <c r="L1310" s="18">
        <f ca="1">IFERROR(__xludf.DUMMYFUNCTION("""COMPUTED_VALUE"""),45324)</f>
        <v>45324</v>
      </c>
      <c r="M1310" s="18">
        <f ca="1">IFERROR(__xludf.DUMMYFUNCTION("""COMPUTED_VALUE"""),45324)</f>
        <v>45324</v>
      </c>
      <c r="N1310" s="5" t="str">
        <f ca="1">IFERROR(__xludf.DUMMYFUNCTION("""COMPUTED_VALUE"""),"Campo Rodriguez Adalcides Jesus")</f>
        <v>Campo Rodriguez Adalcides Jesus</v>
      </c>
      <c r="O1310" s="2">
        <f ca="1">IFERROR(__xludf.DUMMYFUNCTION("""COMPUTED_VALUE"""),0.007692308)</f>
        <v>7.6923080000000001E-3</v>
      </c>
      <c r="P1310" s="5">
        <f ca="1">IFERROR(__xludf.DUMMYFUNCTION("""COMPUTED_VALUE"""),20036419)</f>
        <v>20036419</v>
      </c>
      <c r="Q1310" s="5" t="str">
        <f ca="1">IFERROR(__xludf.DUMMYFUNCTION("""COMPUTED_VALUE"""),"9ITzbiKXGdU")</f>
        <v>9ITzbiKXGdU</v>
      </c>
      <c r="R1310" s="5">
        <f ca="1">IFERROR(__xludf.DUMMYFUNCTION("""COMPUTED_VALUE"""),410)</f>
        <v>410</v>
      </c>
      <c r="S1310" s="62">
        <f ca="1">IFERROR(__xludf.DUMMYFUNCTION("""COMPUTED_VALUE"""),0.007692308)</f>
        <v>7.6923080000000001E-3</v>
      </c>
      <c r="T1310" s="63" t="str">
        <f ca="1">IFERROR(__xludf.DUMMYFUNCTION("""COMPUTED_VALUE"""),"https://storage.googleapis.com/glide-prod.appspot.com/uploads-v2/ly7o78grxPaC6KdgvbpS/pub/3aRdSog0vUtuqPE8AJKD.png")</f>
        <v>https://storage.googleapis.com/glide-prod.appspot.com/uploads-v2/ly7o78grxPaC6KdgvbpS/pub/3aRdSog0vUtuqPE8AJKD.png</v>
      </c>
      <c r="U1310" s="5" t="str">
        <f ca="1">IFERROR(__xludf.DUMMYFUNCTION("""COMPUTED_VALUE"""),"LINEA DE ENVASADO TAMAÑO PERSONALTRANSPORTADOR DE CAJAS")</f>
        <v>LINEA DE ENVASADO TAMAÑO PERSONALTRANSPORTADOR DE CAJAS</v>
      </c>
      <c r="V1310" s="5"/>
      <c r="W1310" s="5" t="b">
        <f ca="1">IFERROR(__xludf.DUMMYFUNCTION("""COMPUTED_VALUE"""),TRUE)</f>
        <v>1</v>
      </c>
      <c r="X1310" s="5" t="str">
        <f ca="1">IFERROR(__xludf.DUMMYFUNCTION("""COMPUTED_VALUE"""),"wguerra@postobon.com.co,aprmttoyu@postobon.com.co,aprmyu@postobon.com.co,wmora@postobon.com.co,efzapata@postobon.com.co")</f>
        <v>wguerra@postobon.com.co,aprmttoyu@postobon.com.co,aprmyu@postobon.com.co,wmora@postobon.com.co,efzapata@postobon.com.co</v>
      </c>
      <c r="Y1310" s="5" t="str">
        <f ca="1">IFERROR(__xludf.DUMMYFUNCTION("""COMPUTED_VALUE"""),"wguerra@postobon.com.co")</f>
        <v>wguerra@postobon.com.co</v>
      </c>
      <c r="Z1310" s="5" t="str">
        <f ca="1">IFERROR(__xludf.DUMMYFUNCTION("""COMPUTED_VALUE"""),"FyKf81lURFikAIz.GpnCLg")</f>
        <v>FyKf81lURFikAIz.GpnCLg</v>
      </c>
      <c r="AA1310" s="5"/>
      <c r="AB1310" s="5"/>
      <c r="AC1310" s="5"/>
      <c r="AD1310" s="5">
        <f ca="1">IFERROR(__xludf.DUMMYFUNCTION("""COMPUTED_VALUE"""),43)</f>
        <v>43</v>
      </c>
      <c r="AE1310" s="5">
        <f ca="1">IFERROR(__xludf.DUMMYFUNCTION("""COMPUTED_VALUE"""),43)</f>
        <v>43</v>
      </c>
      <c r="AF1310" s="5" t="b">
        <f ca="1">IFERROR(__xludf.DUMMYFUNCTION("""COMPUTED_VALUE"""),FALSE)</f>
        <v>0</v>
      </c>
      <c r="AG1310" s="5" t="str">
        <f ca="1">IFERROR(__xludf.DUMMYFUNCTION("""COMPUTED_VALUE"""),"INSPECCIONES REALIZADAS")</f>
        <v>INSPECCIONES REALIZADAS</v>
      </c>
      <c r="AH1310" s="5"/>
    </row>
    <row r="1311" spans="1:34">
      <c r="A1311" s="5" t="str">
        <f ca="1">IFERROR(__xludf.DUMMYFUNCTION("""COMPUTED_VALUE"""),"LINEA DE ENVASADO FAMILIAR Y PRB")</f>
        <v>LINEA DE ENVASADO FAMILIAR Y PRB</v>
      </c>
      <c r="B1311" s="5">
        <f ca="1">IFERROR(__xludf.DUMMYFUNCTION("""COMPUTED_VALUE"""),829851)</f>
        <v>829851</v>
      </c>
      <c r="C1311" s="5" t="str">
        <f ca="1">IFERROR(__xludf.DUMMYFUNCTION("""COMPUTED_VALUE"""),"TRANSPORTADOR DE CAJAS")</f>
        <v>TRANSPORTADOR DE CAJAS</v>
      </c>
      <c r="D1311" s="5">
        <f ca="1">IFERROR(__xludf.DUMMYFUNCTION("""COMPUTED_VALUE"""),13247286)</f>
        <v>13247286</v>
      </c>
      <c r="E1311" s="5" t="str">
        <f ca="1">IFERROR(__xludf.DUMMYFUNCTION("""COMPUTED_VALUE"""),"INSPECCION SEMANAL TRANSP DE CAJAS")</f>
        <v>INSPECCION SEMANAL TRANSP DE CAJAS</v>
      </c>
      <c r="F1311" s="5" t="str">
        <f ca="1">IFERROR(__xludf.DUMMYFUNCTION("""COMPUTED_VALUE"""),"Estado de chumaceras")</f>
        <v>Estado de chumaceras</v>
      </c>
      <c r="G1311" s="5" t="b">
        <f ca="1">IFERROR(__xludf.DUMMYFUNCTION("""COMPUTED_VALUE"""),TRUE)</f>
        <v>1</v>
      </c>
      <c r="H1311" s="5"/>
      <c r="I1311" s="5"/>
      <c r="J1311" s="5">
        <f ca="1">IFERROR(__xludf.DUMMYFUNCTION("""COMPUTED_VALUE"""),13247286)</f>
        <v>13247286</v>
      </c>
      <c r="K1311" s="5"/>
      <c r="L1311" s="18">
        <f ca="1">IFERROR(__xludf.DUMMYFUNCTION("""COMPUTED_VALUE"""),45325)</f>
        <v>45325</v>
      </c>
      <c r="M1311" s="18">
        <f ca="1">IFERROR(__xludf.DUMMYFUNCTION("""COMPUTED_VALUE"""),45325)</f>
        <v>45325</v>
      </c>
      <c r="N1311" s="5" t="str">
        <f ca="1">IFERROR(__xludf.DUMMYFUNCTION("""COMPUTED_VALUE"""),"Andrés Felipe Pérez Polania")</f>
        <v>Andrés Felipe Pérez Polania</v>
      </c>
      <c r="O1311" s="2">
        <f ca="1">IFERROR(__xludf.DUMMYFUNCTION("""COMPUTED_VALUE"""),0.007692308)</f>
        <v>7.6923080000000001E-3</v>
      </c>
      <c r="P1311" s="5">
        <f ca="1">IFERROR(__xludf.DUMMYFUNCTION("""COMPUTED_VALUE"""),1919044)</f>
        <v>1919044</v>
      </c>
      <c r="Q1311" s="5" t="str">
        <f ca="1">IFERROR(__xludf.DUMMYFUNCTION("""COMPUTED_VALUE"""),"Hz56MVE2yDE")</f>
        <v>Hz56MVE2yDE</v>
      </c>
      <c r="R1311" s="5">
        <f ca="1">IFERROR(__xludf.DUMMYFUNCTION("""COMPUTED_VALUE"""),410)</f>
        <v>410</v>
      </c>
      <c r="S1311" s="62">
        <f ca="1">IFERROR(__xludf.DUMMYFUNCTION("""COMPUTED_VALUE"""),0.007692308)</f>
        <v>7.6923080000000001E-3</v>
      </c>
      <c r="T1311" s="63" t="str">
        <f ca="1">IFERROR(__xludf.DUMMYFUNCTION("""COMPUTED_VALUE"""),"https://storage.googleapis.com/glide-prod.appspot.com/uploads-v2/ly7o78grxPaC6KdgvbpS/pub/3aRdSog0vUtuqPE8AJKD.png")</f>
        <v>https://storage.googleapis.com/glide-prod.appspot.com/uploads-v2/ly7o78grxPaC6KdgvbpS/pub/3aRdSog0vUtuqPE8AJKD.png</v>
      </c>
      <c r="U1311" s="5" t="str">
        <f ca="1">IFERROR(__xludf.DUMMYFUNCTION("""COMPUTED_VALUE"""),"LINEA DE ENVASADO FAMILIAR Y PRBTRANSPORTADOR DE CAJAS")</f>
        <v>LINEA DE ENVASADO FAMILIAR Y PRBTRANSPORTADOR DE CAJAS</v>
      </c>
      <c r="V1311" s="5"/>
      <c r="W1311" s="5" t="b">
        <f ca="1">IFERROR(__xludf.DUMMYFUNCTION("""COMPUTED_VALUE"""),TRUE)</f>
        <v>1</v>
      </c>
      <c r="X1311" s="5" t="str">
        <f ca="1">IFERROR(__xludf.DUMMYFUNCTION("""COMPUTED_VALUE"""),"wguerra@postobon.com.co,aprmttoyu@postobon.com.co,aprmyu@postobon.com.co,wmora@postobon.com.co,efzapata@postobon.com.co")</f>
        <v>wguerra@postobon.com.co,aprmttoyu@postobon.com.co,aprmyu@postobon.com.co,wmora@postobon.com.co,efzapata@postobon.com.co</v>
      </c>
      <c r="Y1311" s="5" t="str">
        <f ca="1">IFERROR(__xludf.DUMMYFUNCTION("""COMPUTED_VALUE"""),"wguerra@postobon.com.co")</f>
        <v>wguerra@postobon.com.co</v>
      </c>
      <c r="Z1311" s="5" t="str">
        <f ca="1">IFERROR(__xludf.DUMMYFUNCTION("""COMPUTED_VALUE"""),"a..MQ.z-5Sv-QOdQh39X7UA")</f>
        <v>a..MQ.z-5Sv-QOdQh39X7UA</v>
      </c>
      <c r="AA1311" s="5"/>
      <c r="AB1311" s="5"/>
      <c r="AC1311" s="5"/>
      <c r="AD1311" s="5">
        <f ca="1">IFERROR(__xludf.DUMMYFUNCTION("""COMPUTED_VALUE"""),63)</f>
        <v>63</v>
      </c>
      <c r="AE1311" s="5">
        <f ca="1">IFERROR(__xludf.DUMMYFUNCTION("""COMPUTED_VALUE"""),63)</f>
        <v>63</v>
      </c>
      <c r="AF1311" s="5" t="b">
        <f ca="1">IFERROR(__xludf.DUMMYFUNCTION("""COMPUTED_VALUE"""),FALSE)</f>
        <v>0</v>
      </c>
      <c r="AG1311" s="5" t="str">
        <f ca="1">IFERROR(__xludf.DUMMYFUNCTION("""COMPUTED_VALUE"""),"INSPECCIONES REALIZADAS")</f>
        <v>INSPECCIONES REALIZADAS</v>
      </c>
      <c r="AH1311" s="5"/>
    </row>
    <row r="1312" spans="1:34">
      <c r="A1312" s="5" t="str">
        <f ca="1">IFERROR(__xludf.DUMMYFUNCTION("""COMPUTED_VALUE"""),"LINEA DE ENVASADO FAMILIAR Y PRB")</f>
        <v>LINEA DE ENVASADO FAMILIAR Y PRB</v>
      </c>
      <c r="B1312" s="5">
        <f ca="1">IFERROR(__xludf.DUMMYFUNCTION("""COMPUTED_VALUE"""),829851)</f>
        <v>829851</v>
      </c>
      <c r="C1312" s="5" t="str">
        <f ca="1">IFERROR(__xludf.DUMMYFUNCTION("""COMPUTED_VALUE"""),"TRANSPORTADOR DE CAJAS")</f>
        <v>TRANSPORTADOR DE CAJAS</v>
      </c>
      <c r="D1312" s="5">
        <f ca="1">IFERROR(__xludf.DUMMYFUNCTION("""COMPUTED_VALUE"""),13247286)</f>
        <v>13247286</v>
      </c>
      <c r="E1312" s="5" t="str">
        <f ca="1">IFERROR(__xludf.DUMMYFUNCTION("""COMPUTED_VALUE"""),"INSPECCION SEMANAL TRANSP DE CAJAS")</f>
        <v>INSPECCION SEMANAL TRANSP DE CAJAS</v>
      </c>
      <c r="F1312" s="5" t="str">
        <f ca="1">IFERROR(__xludf.DUMMYFUNCTION("""COMPUTED_VALUE"""),"Estado de cadenas de transmisión")</f>
        <v>Estado de cadenas de transmisión</v>
      </c>
      <c r="G1312" s="5" t="b">
        <f ca="1">IFERROR(__xludf.DUMMYFUNCTION("""COMPUTED_VALUE"""),TRUE)</f>
        <v>1</v>
      </c>
      <c r="H1312" s="5"/>
      <c r="I1312" s="5"/>
      <c r="J1312" s="5">
        <f ca="1">IFERROR(__xludf.DUMMYFUNCTION("""COMPUTED_VALUE"""),13247286)</f>
        <v>13247286</v>
      </c>
      <c r="K1312" s="5"/>
      <c r="L1312" s="18">
        <f ca="1">IFERROR(__xludf.DUMMYFUNCTION("""COMPUTED_VALUE"""),45325)</f>
        <v>45325</v>
      </c>
      <c r="M1312" s="18">
        <f ca="1">IFERROR(__xludf.DUMMYFUNCTION("""COMPUTED_VALUE"""),45325)</f>
        <v>45325</v>
      </c>
      <c r="N1312" s="5" t="str">
        <f ca="1">IFERROR(__xludf.DUMMYFUNCTION("""COMPUTED_VALUE"""),"Andrés Felipe Pérez Polania")</f>
        <v>Andrés Felipe Pérez Polania</v>
      </c>
      <c r="O1312" s="2">
        <f ca="1">IFERROR(__xludf.DUMMYFUNCTION("""COMPUTED_VALUE"""),0.007692308)</f>
        <v>7.6923080000000001E-3</v>
      </c>
      <c r="P1312" s="5">
        <f ca="1">IFERROR(__xludf.DUMMYFUNCTION("""COMPUTED_VALUE"""),1919044)</f>
        <v>1919044</v>
      </c>
      <c r="Q1312" s="5" t="str">
        <f ca="1">IFERROR(__xludf.DUMMYFUNCTION("""COMPUTED_VALUE"""),"GMwL6YucSuk")</f>
        <v>GMwL6YucSuk</v>
      </c>
      <c r="R1312" s="5">
        <f ca="1">IFERROR(__xludf.DUMMYFUNCTION("""COMPUTED_VALUE"""),410)</f>
        <v>410</v>
      </c>
      <c r="S1312" s="62">
        <f ca="1">IFERROR(__xludf.DUMMYFUNCTION("""COMPUTED_VALUE"""),0.007692308)</f>
        <v>7.6923080000000001E-3</v>
      </c>
      <c r="T1312" s="63" t="str">
        <f ca="1">IFERROR(__xludf.DUMMYFUNCTION("""COMPUTED_VALUE"""),"https://storage.googleapis.com/glide-prod.appspot.com/uploads-v2/ly7o78grxPaC6KdgvbpS/pub/3aRdSog0vUtuqPE8AJKD.png")</f>
        <v>https://storage.googleapis.com/glide-prod.appspot.com/uploads-v2/ly7o78grxPaC6KdgvbpS/pub/3aRdSog0vUtuqPE8AJKD.png</v>
      </c>
      <c r="U1312" s="5" t="str">
        <f ca="1">IFERROR(__xludf.DUMMYFUNCTION("""COMPUTED_VALUE"""),"LINEA DE ENVASADO FAMILIAR Y PRBTRANSPORTADOR DE CAJAS")</f>
        <v>LINEA DE ENVASADO FAMILIAR Y PRBTRANSPORTADOR DE CAJAS</v>
      </c>
      <c r="V1312" s="5"/>
      <c r="W1312" s="5" t="b">
        <f ca="1">IFERROR(__xludf.DUMMYFUNCTION("""COMPUTED_VALUE"""),TRUE)</f>
        <v>1</v>
      </c>
      <c r="X1312" s="5" t="str">
        <f ca="1">IFERROR(__xludf.DUMMYFUNCTION("""COMPUTED_VALUE"""),"wguerra@postobon.com.co,aprmttoyu@postobon.com.co,aprmyu@postobon.com.co,wmora@postobon.com.co,efzapata@postobon.com.co")</f>
        <v>wguerra@postobon.com.co,aprmttoyu@postobon.com.co,aprmyu@postobon.com.co,wmora@postobon.com.co,efzapata@postobon.com.co</v>
      </c>
      <c r="Y1312" s="5" t="str">
        <f ca="1">IFERROR(__xludf.DUMMYFUNCTION("""COMPUTED_VALUE"""),"wguerra@postobon.com.co")</f>
        <v>wguerra@postobon.com.co</v>
      </c>
      <c r="Z1312" s="5" t="str">
        <f ca="1">IFERROR(__xludf.DUMMYFUNCTION("""COMPUTED_VALUE"""),"wldQWpHRReyA5FHWKuTIpg")</f>
        <v>wldQWpHRReyA5FHWKuTIpg</v>
      </c>
      <c r="AA1312" s="5"/>
      <c r="AB1312" s="5"/>
      <c r="AC1312" s="5"/>
      <c r="AD1312" s="5">
        <f ca="1">IFERROR(__xludf.DUMMYFUNCTION("""COMPUTED_VALUE"""),63)</f>
        <v>63</v>
      </c>
      <c r="AE1312" s="5">
        <f ca="1">IFERROR(__xludf.DUMMYFUNCTION("""COMPUTED_VALUE"""),63)</f>
        <v>63</v>
      </c>
      <c r="AF1312" s="5" t="b">
        <f ca="1">IFERROR(__xludf.DUMMYFUNCTION("""COMPUTED_VALUE"""),FALSE)</f>
        <v>0</v>
      </c>
      <c r="AG1312" s="5" t="str">
        <f ca="1">IFERROR(__xludf.DUMMYFUNCTION("""COMPUTED_VALUE"""),"INSPECCIONES REALIZADAS")</f>
        <v>INSPECCIONES REALIZADAS</v>
      </c>
      <c r="AH1312" s="5"/>
    </row>
    <row r="1313" spans="1:34">
      <c r="A1313" s="5" t="str">
        <f ca="1">IFERROR(__xludf.DUMMYFUNCTION("""COMPUTED_VALUE"""),"LINEA DE ENVASADO FAMILIAR Y PRB")</f>
        <v>LINEA DE ENVASADO FAMILIAR Y PRB</v>
      </c>
      <c r="B1313" s="5">
        <f ca="1">IFERROR(__xludf.DUMMYFUNCTION("""COMPUTED_VALUE"""),829851)</f>
        <v>829851</v>
      </c>
      <c r="C1313" s="5" t="str">
        <f ca="1">IFERROR(__xludf.DUMMYFUNCTION("""COMPUTED_VALUE"""),"TRANSPORTADOR DE CAJAS")</f>
        <v>TRANSPORTADOR DE CAJAS</v>
      </c>
      <c r="D1313" s="5">
        <f ca="1">IFERROR(__xludf.DUMMYFUNCTION("""COMPUTED_VALUE"""),13247286)</f>
        <v>13247286</v>
      </c>
      <c r="E1313" s="5" t="str">
        <f ca="1">IFERROR(__xludf.DUMMYFUNCTION("""COMPUTED_VALUE"""),"INSPECCION SEMANAL TRANSP DE CAJAS")</f>
        <v>INSPECCION SEMANAL TRANSP DE CAJAS</v>
      </c>
      <c r="F1313" s="5" t="str">
        <f ca="1">IFERROR(__xludf.DUMMYFUNCTION("""COMPUTED_VALUE"""),"Estado de cadenas table top, flex top y magne flex")</f>
        <v>Estado de cadenas table top, flex top y magne flex</v>
      </c>
      <c r="G1313" s="5" t="b">
        <f ca="1">IFERROR(__xludf.DUMMYFUNCTION("""COMPUTED_VALUE"""),TRUE)</f>
        <v>1</v>
      </c>
      <c r="H1313" s="5"/>
      <c r="I1313" s="5"/>
      <c r="J1313" s="5">
        <f ca="1">IFERROR(__xludf.DUMMYFUNCTION("""COMPUTED_VALUE"""),13247286)</f>
        <v>13247286</v>
      </c>
      <c r="K1313" s="5"/>
      <c r="L1313" s="18">
        <f ca="1">IFERROR(__xludf.DUMMYFUNCTION("""COMPUTED_VALUE"""),45325)</f>
        <v>45325</v>
      </c>
      <c r="M1313" s="18">
        <f ca="1">IFERROR(__xludf.DUMMYFUNCTION("""COMPUTED_VALUE"""),45325)</f>
        <v>45325</v>
      </c>
      <c r="N1313" s="5" t="str">
        <f ca="1">IFERROR(__xludf.DUMMYFUNCTION("""COMPUTED_VALUE"""),"Andrés Felipe Pérez Polania")</f>
        <v>Andrés Felipe Pérez Polania</v>
      </c>
      <c r="O1313" s="2">
        <f ca="1">IFERROR(__xludf.DUMMYFUNCTION("""COMPUTED_VALUE"""),0.007692308)</f>
        <v>7.6923080000000001E-3</v>
      </c>
      <c r="P1313" s="5">
        <f ca="1">IFERROR(__xludf.DUMMYFUNCTION("""COMPUTED_VALUE"""),1919044)</f>
        <v>1919044</v>
      </c>
      <c r="Q1313" s="5" t="str">
        <f ca="1">IFERROR(__xludf.DUMMYFUNCTION("""COMPUTED_VALUE"""),"fm_AN7qIcKk")</f>
        <v>fm_AN7qIcKk</v>
      </c>
      <c r="R1313" s="5">
        <f ca="1">IFERROR(__xludf.DUMMYFUNCTION("""COMPUTED_VALUE"""),410)</f>
        <v>410</v>
      </c>
      <c r="S1313" s="62">
        <f ca="1">IFERROR(__xludf.DUMMYFUNCTION("""COMPUTED_VALUE"""),0.007692308)</f>
        <v>7.6923080000000001E-3</v>
      </c>
      <c r="T1313" s="63" t="str">
        <f ca="1">IFERROR(__xludf.DUMMYFUNCTION("""COMPUTED_VALUE"""),"https://storage.googleapis.com/glide-prod.appspot.com/uploads-v2/ly7o78grxPaC6KdgvbpS/pub/3aRdSog0vUtuqPE8AJKD.png")</f>
        <v>https://storage.googleapis.com/glide-prod.appspot.com/uploads-v2/ly7o78grxPaC6KdgvbpS/pub/3aRdSog0vUtuqPE8AJKD.png</v>
      </c>
      <c r="U1313" s="5" t="str">
        <f ca="1">IFERROR(__xludf.DUMMYFUNCTION("""COMPUTED_VALUE"""),"LINEA DE ENVASADO FAMILIAR Y PRBTRANSPORTADOR DE CAJAS")</f>
        <v>LINEA DE ENVASADO FAMILIAR Y PRBTRANSPORTADOR DE CAJAS</v>
      </c>
      <c r="V1313" s="5"/>
      <c r="W1313" s="5" t="b">
        <f ca="1">IFERROR(__xludf.DUMMYFUNCTION("""COMPUTED_VALUE"""),TRUE)</f>
        <v>1</v>
      </c>
      <c r="X1313" s="5" t="str">
        <f ca="1">IFERROR(__xludf.DUMMYFUNCTION("""COMPUTED_VALUE"""),"wguerra@postobon.com.co,aprmttoyu@postobon.com.co,aprmyu@postobon.com.co,wmora@postobon.com.co,efzapata@postobon.com.co")</f>
        <v>wguerra@postobon.com.co,aprmttoyu@postobon.com.co,aprmyu@postobon.com.co,wmora@postobon.com.co,efzapata@postobon.com.co</v>
      </c>
      <c r="Y1313" s="5" t="str">
        <f ca="1">IFERROR(__xludf.DUMMYFUNCTION("""COMPUTED_VALUE"""),"wguerra@postobon.com.co")</f>
        <v>wguerra@postobon.com.co</v>
      </c>
      <c r="Z1313" s="5" t="str">
        <f ca="1">IFERROR(__xludf.DUMMYFUNCTION("""COMPUTED_VALUE"""),"14KjEp6cQAi-DuB9T57jBA")</f>
        <v>14KjEp6cQAi-DuB9T57jBA</v>
      </c>
      <c r="AA1313" s="5"/>
      <c r="AB1313" s="5"/>
      <c r="AC1313" s="5"/>
      <c r="AD1313" s="5">
        <f ca="1">IFERROR(__xludf.DUMMYFUNCTION("""COMPUTED_VALUE"""),63)</f>
        <v>63</v>
      </c>
      <c r="AE1313" s="5">
        <f ca="1">IFERROR(__xludf.DUMMYFUNCTION("""COMPUTED_VALUE"""),63)</f>
        <v>63</v>
      </c>
      <c r="AF1313" s="5" t="b">
        <f ca="1">IFERROR(__xludf.DUMMYFUNCTION("""COMPUTED_VALUE"""),FALSE)</f>
        <v>0</v>
      </c>
      <c r="AG1313" s="5" t="str">
        <f ca="1">IFERROR(__xludf.DUMMYFUNCTION("""COMPUTED_VALUE"""),"INSPECCIONES REALIZADAS")</f>
        <v>INSPECCIONES REALIZADAS</v>
      </c>
      <c r="AH1313" s="5"/>
    </row>
    <row r="1314" spans="1:34">
      <c r="A1314" s="5" t="str">
        <f ca="1">IFERROR(__xludf.DUMMYFUNCTION("""COMPUTED_VALUE"""),"LINEA DE ENVASADO FAMILIAR Y PRB")</f>
        <v>LINEA DE ENVASADO FAMILIAR Y PRB</v>
      </c>
      <c r="B1314" s="5">
        <f ca="1">IFERROR(__xludf.DUMMYFUNCTION("""COMPUTED_VALUE"""),829851)</f>
        <v>829851</v>
      </c>
      <c r="C1314" s="5" t="str">
        <f ca="1">IFERROR(__xludf.DUMMYFUNCTION("""COMPUTED_VALUE"""),"TRANSPORTADOR DE CAJAS")</f>
        <v>TRANSPORTADOR DE CAJAS</v>
      </c>
      <c r="D1314" s="5">
        <f ca="1">IFERROR(__xludf.DUMMYFUNCTION("""COMPUTED_VALUE"""),13247286)</f>
        <v>13247286</v>
      </c>
      <c r="E1314" s="5" t="str">
        <f ca="1">IFERROR(__xludf.DUMMYFUNCTION("""COMPUTED_VALUE"""),"INSPECCION SEMANAL TRANSP DE CAJAS")</f>
        <v>INSPECCION SEMANAL TRANSP DE CAJAS</v>
      </c>
      <c r="F1314" s="5" t="str">
        <f ca="1">IFERROR(__xludf.DUMMYFUNCTION("""COMPUTED_VALUE"""),"Estado de estructuras de fijación o anclaje")</f>
        <v>Estado de estructuras de fijación o anclaje</v>
      </c>
      <c r="G1314" s="5" t="b">
        <f ca="1">IFERROR(__xludf.DUMMYFUNCTION("""COMPUTED_VALUE"""),TRUE)</f>
        <v>1</v>
      </c>
      <c r="H1314" s="5"/>
      <c r="I1314" s="5"/>
      <c r="J1314" s="5">
        <f ca="1">IFERROR(__xludf.DUMMYFUNCTION("""COMPUTED_VALUE"""),13247286)</f>
        <v>13247286</v>
      </c>
      <c r="K1314" s="5"/>
      <c r="L1314" s="18">
        <f ca="1">IFERROR(__xludf.DUMMYFUNCTION("""COMPUTED_VALUE"""),45325)</f>
        <v>45325</v>
      </c>
      <c r="M1314" s="18">
        <f ca="1">IFERROR(__xludf.DUMMYFUNCTION("""COMPUTED_VALUE"""),45325)</f>
        <v>45325</v>
      </c>
      <c r="N1314" s="5" t="str">
        <f ca="1">IFERROR(__xludf.DUMMYFUNCTION("""COMPUTED_VALUE"""),"Andrés Felipe Pérez Polania")</f>
        <v>Andrés Felipe Pérez Polania</v>
      </c>
      <c r="O1314" s="2">
        <f ca="1">IFERROR(__xludf.DUMMYFUNCTION("""COMPUTED_VALUE"""),0.007692308)</f>
        <v>7.6923080000000001E-3</v>
      </c>
      <c r="P1314" s="5">
        <f ca="1">IFERROR(__xludf.DUMMYFUNCTION("""COMPUTED_VALUE"""),1919044)</f>
        <v>1919044</v>
      </c>
      <c r="Q1314" s="5" t="str">
        <f ca="1">IFERROR(__xludf.DUMMYFUNCTION("""COMPUTED_VALUE"""),"r6j1NqrgVrM")</f>
        <v>r6j1NqrgVrM</v>
      </c>
      <c r="R1314" s="5">
        <f ca="1">IFERROR(__xludf.DUMMYFUNCTION("""COMPUTED_VALUE"""),410)</f>
        <v>410</v>
      </c>
      <c r="S1314" s="62">
        <f ca="1">IFERROR(__xludf.DUMMYFUNCTION("""COMPUTED_VALUE"""),0.007692308)</f>
        <v>7.6923080000000001E-3</v>
      </c>
      <c r="T1314" s="63" t="str">
        <f ca="1">IFERROR(__xludf.DUMMYFUNCTION("""COMPUTED_VALUE"""),"https://storage.googleapis.com/glide-prod.appspot.com/uploads-v2/ly7o78grxPaC6KdgvbpS/pub/3aRdSog0vUtuqPE8AJKD.png")</f>
        <v>https://storage.googleapis.com/glide-prod.appspot.com/uploads-v2/ly7o78grxPaC6KdgvbpS/pub/3aRdSog0vUtuqPE8AJKD.png</v>
      </c>
      <c r="U1314" s="5" t="str">
        <f ca="1">IFERROR(__xludf.DUMMYFUNCTION("""COMPUTED_VALUE"""),"LINEA DE ENVASADO FAMILIAR Y PRBTRANSPORTADOR DE CAJAS")</f>
        <v>LINEA DE ENVASADO FAMILIAR Y PRBTRANSPORTADOR DE CAJAS</v>
      </c>
      <c r="V1314" s="5"/>
      <c r="W1314" s="5" t="b">
        <f ca="1">IFERROR(__xludf.DUMMYFUNCTION("""COMPUTED_VALUE"""),TRUE)</f>
        <v>1</v>
      </c>
      <c r="X1314" s="5" t="str">
        <f ca="1">IFERROR(__xludf.DUMMYFUNCTION("""COMPUTED_VALUE"""),"wguerra@postobon.com.co,aprmttoyu@postobon.com.co,aprmyu@postobon.com.co,wmora@postobon.com.co,efzapata@postobon.com.co")</f>
        <v>wguerra@postobon.com.co,aprmttoyu@postobon.com.co,aprmyu@postobon.com.co,wmora@postobon.com.co,efzapata@postobon.com.co</v>
      </c>
      <c r="Y1314" s="5" t="str">
        <f ca="1">IFERROR(__xludf.DUMMYFUNCTION("""COMPUTED_VALUE"""),"wguerra@postobon.com.co")</f>
        <v>wguerra@postobon.com.co</v>
      </c>
      <c r="Z1314" s="5" t="str">
        <f ca="1">IFERROR(__xludf.DUMMYFUNCTION("""COMPUTED_VALUE"""),"VzZd0fe6RUK9W-V7kcDdQg")</f>
        <v>VzZd0fe6RUK9W-V7kcDdQg</v>
      </c>
      <c r="AA1314" s="5"/>
      <c r="AB1314" s="5"/>
      <c r="AC1314" s="5"/>
      <c r="AD1314" s="5">
        <f ca="1">IFERROR(__xludf.DUMMYFUNCTION("""COMPUTED_VALUE"""),63)</f>
        <v>63</v>
      </c>
      <c r="AE1314" s="5">
        <f ca="1">IFERROR(__xludf.DUMMYFUNCTION("""COMPUTED_VALUE"""),63)</f>
        <v>63</v>
      </c>
      <c r="AF1314" s="5" t="b">
        <f ca="1">IFERROR(__xludf.DUMMYFUNCTION("""COMPUTED_VALUE"""),FALSE)</f>
        <v>0</v>
      </c>
      <c r="AG1314" s="5" t="str">
        <f ca="1">IFERROR(__xludf.DUMMYFUNCTION("""COMPUTED_VALUE"""),"INSPECCIONES REALIZADAS")</f>
        <v>INSPECCIONES REALIZADAS</v>
      </c>
      <c r="AH1314" s="5"/>
    </row>
    <row r="1315" spans="1:34">
      <c r="A1315" s="5" t="str">
        <f ca="1">IFERROR(__xludf.DUMMYFUNCTION("""COMPUTED_VALUE"""),"LINEA DE ENVASADO FAMILIAR Y PRB")</f>
        <v>LINEA DE ENVASADO FAMILIAR Y PRB</v>
      </c>
      <c r="B1315" s="5">
        <f ca="1">IFERROR(__xludf.DUMMYFUNCTION("""COMPUTED_VALUE"""),829851)</f>
        <v>829851</v>
      </c>
      <c r="C1315" s="5" t="str">
        <f ca="1">IFERROR(__xludf.DUMMYFUNCTION("""COMPUTED_VALUE"""),"TRANSPORTADOR DE CAJAS")</f>
        <v>TRANSPORTADOR DE CAJAS</v>
      </c>
      <c r="D1315" s="5">
        <f ca="1">IFERROR(__xludf.DUMMYFUNCTION("""COMPUTED_VALUE"""),13247286)</f>
        <v>13247286</v>
      </c>
      <c r="E1315" s="5" t="str">
        <f ca="1">IFERROR(__xludf.DUMMYFUNCTION("""COMPUTED_VALUE"""),"INSPECCION SEMANAL TRANSP DE CAJAS")</f>
        <v>INSPECCION SEMANAL TRANSP DE CAJAS</v>
      </c>
      <c r="F1315" s="5" t="str">
        <f ca="1">IFERROR(__xludf.DUMMYFUNCTION("""COMPUTED_VALUE"""),"Estado de tensores de cadena")</f>
        <v>Estado de tensores de cadena</v>
      </c>
      <c r="G1315" s="5" t="b">
        <f ca="1">IFERROR(__xludf.DUMMYFUNCTION("""COMPUTED_VALUE"""),TRUE)</f>
        <v>1</v>
      </c>
      <c r="H1315" s="5"/>
      <c r="I1315" s="5"/>
      <c r="J1315" s="5">
        <f ca="1">IFERROR(__xludf.DUMMYFUNCTION("""COMPUTED_VALUE"""),13247286)</f>
        <v>13247286</v>
      </c>
      <c r="K1315" s="5"/>
      <c r="L1315" s="18">
        <f ca="1">IFERROR(__xludf.DUMMYFUNCTION("""COMPUTED_VALUE"""),45325)</f>
        <v>45325</v>
      </c>
      <c r="M1315" s="18">
        <f ca="1">IFERROR(__xludf.DUMMYFUNCTION("""COMPUTED_VALUE"""),45325)</f>
        <v>45325</v>
      </c>
      <c r="N1315" s="5" t="str">
        <f ca="1">IFERROR(__xludf.DUMMYFUNCTION("""COMPUTED_VALUE"""),"Andrés Felipe Pérez Polania")</f>
        <v>Andrés Felipe Pérez Polania</v>
      </c>
      <c r="O1315" s="2">
        <f ca="1">IFERROR(__xludf.DUMMYFUNCTION("""COMPUTED_VALUE"""),0.007692308)</f>
        <v>7.6923080000000001E-3</v>
      </c>
      <c r="P1315" s="5">
        <f ca="1">IFERROR(__xludf.DUMMYFUNCTION("""COMPUTED_VALUE"""),1919044)</f>
        <v>1919044</v>
      </c>
      <c r="Q1315" s="5" t="str">
        <f ca="1">IFERROR(__xludf.DUMMYFUNCTION("""COMPUTED_VALUE"""),"nBCgzcYWheA")</f>
        <v>nBCgzcYWheA</v>
      </c>
      <c r="R1315" s="5">
        <f ca="1">IFERROR(__xludf.DUMMYFUNCTION("""COMPUTED_VALUE"""),410)</f>
        <v>410</v>
      </c>
      <c r="S1315" s="62">
        <f ca="1">IFERROR(__xludf.DUMMYFUNCTION("""COMPUTED_VALUE"""),0.007692308)</f>
        <v>7.6923080000000001E-3</v>
      </c>
      <c r="T1315" s="63" t="str">
        <f ca="1">IFERROR(__xludf.DUMMYFUNCTION("""COMPUTED_VALUE"""),"https://storage.googleapis.com/glide-prod.appspot.com/uploads-v2/ly7o78grxPaC6KdgvbpS/pub/3aRdSog0vUtuqPE8AJKD.png")</f>
        <v>https://storage.googleapis.com/glide-prod.appspot.com/uploads-v2/ly7o78grxPaC6KdgvbpS/pub/3aRdSog0vUtuqPE8AJKD.png</v>
      </c>
      <c r="U1315" s="5" t="str">
        <f ca="1">IFERROR(__xludf.DUMMYFUNCTION("""COMPUTED_VALUE"""),"LINEA DE ENVASADO FAMILIAR Y PRBTRANSPORTADOR DE CAJAS")</f>
        <v>LINEA DE ENVASADO FAMILIAR Y PRBTRANSPORTADOR DE CAJAS</v>
      </c>
      <c r="V1315" s="5"/>
      <c r="W1315" s="5" t="b">
        <f ca="1">IFERROR(__xludf.DUMMYFUNCTION("""COMPUTED_VALUE"""),TRUE)</f>
        <v>1</v>
      </c>
      <c r="X1315" s="5" t="str">
        <f ca="1">IFERROR(__xludf.DUMMYFUNCTION("""COMPUTED_VALUE"""),"wguerra@postobon.com.co,aprmttoyu@postobon.com.co,aprmyu@postobon.com.co,wmora@postobon.com.co,efzapata@postobon.com.co")</f>
        <v>wguerra@postobon.com.co,aprmttoyu@postobon.com.co,aprmyu@postobon.com.co,wmora@postobon.com.co,efzapata@postobon.com.co</v>
      </c>
      <c r="Y1315" s="5" t="str">
        <f ca="1">IFERROR(__xludf.DUMMYFUNCTION("""COMPUTED_VALUE"""),"wguerra@postobon.com.co")</f>
        <v>wguerra@postobon.com.co</v>
      </c>
      <c r="Z1315" s="5" t="str">
        <f ca="1">IFERROR(__xludf.DUMMYFUNCTION("""COMPUTED_VALUE"""),"zDY90WfHRdGhmy7Twt7b0Q")</f>
        <v>zDY90WfHRdGhmy7Twt7b0Q</v>
      </c>
      <c r="AA1315" s="5"/>
      <c r="AB1315" s="5"/>
      <c r="AC1315" s="5"/>
      <c r="AD1315" s="5">
        <f ca="1">IFERROR(__xludf.DUMMYFUNCTION("""COMPUTED_VALUE"""),63)</f>
        <v>63</v>
      </c>
      <c r="AE1315" s="5">
        <f ca="1">IFERROR(__xludf.DUMMYFUNCTION("""COMPUTED_VALUE"""),63)</f>
        <v>63</v>
      </c>
      <c r="AF1315" s="5" t="b">
        <f ca="1">IFERROR(__xludf.DUMMYFUNCTION("""COMPUTED_VALUE"""),FALSE)</f>
        <v>0</v>
      </c>
      <c r="AG1315" s="5" t="str">
        <f ca="1">IFERROR(__xludf.DUMMYFUNCTION("""COMPUTED_VALUE"""),"INSPECCIONES REALIZADAS")</f>
        <v>INSPECCIONES REALIZADAS</v>
      </c>
      <c r="AH1315" s="5"/>
    </row>
    <row r="1316" spans="1:34">
      <c r="A1316" s="5" t="str">
        <f ca="1">IFERROR(__xludf.DUMMYFUNCTION("""COMPUTED_VALUE"""),"LINEA DE ENVASADO FAMILIAR Y PRB")</f>
        <v>LINEA DE ENVASADO FAMILIAR Y PRB</v>
      </c>
      <c r="B1316" s="5">
        <f ca="1">IFERROR(__xludf.DUMMYFUNCTION("""COMPUTED_VALUE"""),829851)</f>
        <v>829851</v>
      </c>
      <c r="C1316" s="5" t="str">
        <f ca="1">IFERROR(__xludf.DUMMYFUNCTION("""COMPUTED_VALUE"""),"TRANSPORTADOR DE CAJAS")</f>
        <v>TRANSPORTADOR DE CAJAS</v>
      </c>
      <c r="D1316" s="5">
        <f ca="1">IFERROR(__xludf.DUMMYFUNCTION("""COMPUTED_VALUE"""),13247286)</f>
        <v>13247286</v>
      </c>
      <c r="E1316" s="5" t="str">
        <f ca="1">IFERROR(__xludf.DUMMYFUNCTION("""COMPUTED_VALUE"""),"INSPECCION SEMANAL TRANSP DE CAJAS")</f>
        <v>INSPECCION SEMANAL TRANSP DE CAJAS</v>
      </c>
      <c r="F1316" s="5" t="str">
        <f ca="1">IFERROR(__xludf.DUMMYFUNCTION("""COMPUTED_VALUE"""),"Estado de piñones y carretas")</f>
        <v>Estado de piñones y carretas</v>
      </c>
      <c r="G1316" s="5" t="b">
        <f ca="1">IFERROR(__xludf.DUMMYFUNCTION("""COMPUTED_VALUE"""),TRUE)</f>
        <v>1</v>
      </c>
      <c r="H1316" s="5"/>
      <c r="I1316" s="5"/>
      <c r="J1316" s="5">
        <f ca="1">IFERROR(__xludf.DUMMYFUNCTION("""COMPUTED_VALUE"""),13247286)</f>
        <v>13247286</v>
      </c>
      <c r="K1316" s="5"/>
      <c r="L1316" s="18">
        <f ca="1">IFERROR(__xludf.DUMMYFUNCTION("""COMPUTED_VALUE"""),45325)</f>
        <v>45325</v>
      </c>
      <c r="M1316" s="18">
        <f ca="1">IFERROR(__xludf.DUMMYFUNCTION("""COMPUTED_VALUE"""),45325)</f>
        <v>45325</v>
      </c>
      <c r="N1316" s="5" t="str">
        <f ca="1">IFERROR(__xludf.DUMMYFUNCTION("""COMPUTED_VALUE"""),"Andrés Felipe Pérez Polania")</f>
        <v>Andrés Felipe Pérez Polania</v>
      </c>
      <c r="O1316" s="2">
        <f ca="1">IFERROR(__xludf.DUMMYFUNCTION("""COMPUTED_VALUE"""),0.007692308)</f>
        <v>7.6923080000000001E-3</v>
      </c>
      <c r="P1316" s="5">
        <f ca="1">IFERROR(__xludf.DUMMYFUNCTION("""COMPUTED_VALUE"""),1919044)</f>
        <v>1919044</v>
      </c>
      <c r="Q1316" s="5" t="str">
        <f ca="1">IFERROR(__xludf.DUMMYFUNCTION("""COMPUTED_VALUE"""),"reqbhn_qhjQ")</f>
        <v>reqbhn_qhjQ</v>
      </c>
      <c r="R1316" s="5">
        <f ca="1">IFERROR(__xludf.DUMMYFUNCTION("""COMPUTED_VALUE"""),410)</f>
        <v>410</v>
      </c>
      <c r="S1316" s="62">
        <f ca="1">IFERROR(__xludf.DUMMYFUNCTION("""COMPUTED_VALUE"""),0.007692308)</f>
        <v>7.6923080000000001E-3</v>
      </c>
      <c r="T1316" s="63" t="str">
        <f ca="1">IFERROR(__xludf.DUMMYFUNCTION("""COMPUTED_VALUE"""),"https://storage.googleapis.com/glide-prod.appspot.com/uploads-v2/ly7o78grxPaC6KdgvbpS/pub/3aRdSog0vUtuqPE8AJKD.png")</f>
        <v>https://storage.googleapis.com/glide-prod.appspot.com/uploads-v2/ly7o78grxPaC6KdgvbpS/pub/3aRdSog0vUtuqPE8AJKD.png</v>
      </c>
      <c r="U1316" s="5" t="str">
        <f ca="1">IFERROR(__xludf.DUMMYFUNCTION("""COMPUTED_VALUE"""),"LINEA DE ENVASADO FAMILIAR Y PRBTRANSPORTADOR DE CAJAS")</f>
        <v>LINEA DE ENVASADO FAMILIAR Y PRBTRANSPORTADOR DE CAJAS</v>
      </c>
      <c r="V1316" s="5"/>
      <c r="W1316" s="5" t="b">
        <f ca="1">IFERROR(__xludf.DUMMYFUNCTION("""COMPUTED_VALUE"""),TRUE)</f>
        <v>1</v>
      </c>
      <c r="X1316" s="5" t="str">
        <f ca="1">IFERROR(__xludf.DUMMYFUNCTION("""COMPUTED_VALUE"""),"wguerra@postobon.com.co,aprmttoyu@postobon.com.co,aprmyu@postobon.com.co,wmora@postobon.com.co,efzapata@postobon.com.co")</f>
        <v>wguerra@postobon.com.co,aprmttoyu@postobon.com.co,aprmyu@postobon.com.co,wmora@postobon.com.co,efzapata@postobon.com.co</v>
      </c>
      <c r="Y1316" s="5" t="str">
        <f ca="1">IFERROR(__xludf.DUMMYFUNCTION("""COMPUTED_VALUE"""),"wguerra@postobon.com.co")</f>
        <v>wguerra@postobon.com.co</v>
      </c>
      <c r="Z1316" s="5" t="str">
        <f ca="1">IFERROR(__xludf.DUMMYFUNCTION("""COMPUTED_VALUE"""),"4WxJZeaYTiaVdYmS8KZPYQ")</f>
        <v>4WxJZeaYTiaVdYmS8KZPYQ</v>
      </c>
      <c r="AA1316" s="5"/>
      <c r="AB1316" s="5"/>
      <c r="AC1316" s="5"/>
      <c r="AD1316" s="5">
        <f ca="1">IFERROR(__xludf.DUMMYFUNCTION("""COMPUTED_VALUE"""),63)</f>
        <v>63</v>
      </c>
      <c r="AE1316" s="5">
        <f ca="1">IFERROR(__xludf.DUMMYFUNCTION("""COMPUTED_VALUE"""),63)</f>
        <v>63</v>
      </c>
      <c r="AF1316" s="5" t="b">
        <f ca="1">IFERROR(__xludf.DUMMYFUNCTION("""COMPUTED_VALUE"""),FALSE)</f>
        <v>0</v>
      </c>
      <c r="AG1316" s="5" t="str">
        <f ca="1">IFERROR(__xludf.DUMMYFUNCTION("""COMPUTED_VALUE"""),"INSPECCIONES REALIZADAS")</f>
        <v>INSPECCIONES REALIZADAS</v>
      </c>
      <c r="AH1316" s="5"/>
    </row>
    <row r="1317" spans="1:34">
      <c r="A1317" s="5" t="str">
        <f ca="1">IFERROR(__xludf.DUMMYFUNCTION("""COMPUTED_VALUE"""),"LINEA DE ENVASADO FAMILIAR Y PRB")</f>
        <v>LINEA DE ENVASADO FAMILIAR Y PRB</v>
      </c>
      <c r="B1317" s="5">
        <f ca="1">IFERROR(__xludf.DUMMYFUNCTION("""COMPUTED_VALUE"""),829851)</f>
        <v>829851</v>
      </c>
      <c r="C1317" s="5" t="str">
        <f ca="1">IFERROR(__xludf.DUMMYFUNCTION("""COMPUTED_VALUE"""),"TRANSPORTADOR DE CAJAS")</f>
        <v>TRANSPORTADOR DE CAJAS</v>
      </c>
      <c r="D1317" s="5">
        <f ca="1">IFERROR(__xludf.DUMMYFUNCTION("""COMPUTED_VALUE"""),13247286)</f>
        <v>13247286</v>
      </c>
      <c r="E1317" s="5" t="str">
        <f ca="1">IFERROR(__xludf.DUMMYFUNCTION("""COMPUTED_VALUE"""),"INSPECCION SEMANAL TRANSP DE CAJAS")</f>
        <v>INSPECCION SEMANAL TRANSP DE CAJAS</v>
      </c>
      <c r="F1317" s="5" t="str">
        <f ca="1">IFERROR(__xludf.DUMMYFUNCTION("""COMPUTED_VALUE"""),"Estado de motores")</f>
        <v>Estado de motores</v>
      </c>
      <c r="G1317" s="5" t="b">
        <f ca="1">IFERROR(__xludf.DUMMYFUNCTION("""COMPUTED_VALUE"""),TRUE)</f>
        <v>1</v>
      </c>
      <c r="H1317" s="5"/>
      <c r="I1317" s="5"/>
      <c r="J1317" s="5">
        <f ca="1">IFERROR(__xludf.DUMMYFUNCTION("""COMPUTED_VALUE"""),13247286)</f>
        <v>13247286</v>
      </c>
      <c r="K1317" s="5"/>
      <c r="L1317" s="18">
        <f ca="1">IFERROR(__xludf.DUMMYFUNCTION("""COMPUTED_VALUE"""),45325)</f>
        <v>45325</v>
      </c>
      <c r="M1317" s="18">
        <f ca="1">IFERROR(__xludf.DUMMYFUNCTION("""COMPUTED_VALUE"""),45325)</f>
        <v>45325</v>
      </c>
      <c r="N1317" s="5" t="str">
        <f ca="1">IFERROR(__xludf.DUMMYFUNCTION("""COMPUTED_VALUE"""),"Andrés Felipe Pérez Polania")</f>
        <v>Andrés Felipe Pérez Polania</v>
      </c>
      <c r="O1317" s="2">
        <f ca="1">IFERROR(__xludf.DUMMYFUNCTION("""COMPUTED_VALUE"""),0.007692308)</f>
        <v>7.6923080000000001E-3</v>
      </c>
      <c r="P1317" s="5">
        <f ca="1">IFERROR(__xludf.DUMMYFUNCTION("""COMPUTED_VALUE"""),1919044)</f>
        <v>1919044</v>
      </c>
      <c r="Q1317" s="5" t="str">
        <f ca="1">IFERROR(__xludf.DUMMYFUNCTION("""COMPUTED_VALUE"""),"mZe6-I2q2bg")</f>
        <v>mZe6-I2q2bg</v>
      </c>
      <c r="R1317" s="5">
        <f ca="1">IFERROR(__xludf.DUMMYFUNCTION("""COMPUTED_VALUE"""),410)</f>
        <v>410</v>
      </c>
      <c r="S1317" s="62">
        <f ca="1">IFERROR(__xludf.DUMMYFUNCTION("""COMPUTED_VALUE"""),0.007692308)</f>
        <v>7.6923080000000001E-3</v>
      </c>
      <c r="T1317" s="63" t="str">
        <f ca="1">IFERROR(__xludf.DUMMYFUNCTION("""COMPUTED_VALUE"""),"https://storage.googleapis.com/glide-prod.appspot.com/uploads-v2/ly7o78grxPaC6KdgvbpS/pub/3aRdSog0vUtuqPE8AJKD.png")</f>
        <v>https://storage.googleapis.com/glide-prod.appspot.com/uploads-v2/ly7o78grxPaC6KdgvbpS/pub/3aRdSog0vUtuqPE8AJKD.png</v>
      </c>
      <c r="U1317" s="5" t="str">
        <f ca="1">IFERROR(__xludf.DUMMYFUNCTION("""COMPUTED_VALUE"""),"LINEA DE ENVASADO FAMILIAR Y PRBTRANSPORTADOR DE CAJAS")</f>
        <v>LINEA DE ENVASADO FAMILIAR Y PRBTRANSPORTADOR DE CAJAS</v>
      </c>
      <c r="V1317" s="5"/>
      <c r="W1317" s="5" t="b">
        <f ca="1">IFERROR(__xludf.DUMMYFUNCTION("""COMPUTED_VALUE"""),TRUE)</f>
        <v>1</v>
      </c>
      <c r="X1317" s="5" t="str">
        <f ca="1">IFERROR(__xludf.DUMMYFUNCTION("""COMPUTED_VALUE"""),"wguerra@postobon.com.co,aprmttoyu@postobon.com.co,aprmyu@postobon.com.co,wmora@postobon.com.co,efzapata@postobon.com.co")</f>
        <v>wguerra@postobon.com.co,aprmttoyu@postobon.com.co,aprmyu@postobon.com.co,wmora@postobon.com.co,efzapata@postobon.com.co</v>
      </c>
      <c r="Y1317" s="5" t="str">
        <f ca="1">IFERROR(__xludf.DUMMYFUNCTION("""COMPUTED_VALUE"""),"wguerra@postobon.com.co")</f>
        <v>wguerra@postobon.com.co</v>
      </c>
      <c r="Z1317" s="5" t="str">
        <f ca="1">IFERROR(__xludf.DUMMYFUNCTION("""COMPUTED_VALUE"""),"mwd4inQTSTSUS8W9AtO-zw")</f>
        <v>mwd4inQTSTSUS8W9AtO-zw</v>
      </c>
      <c r="AA1317" s="5"/>
      <c r="AB1317" s="5"/>
      <c r="AC1317" s="5"/>
      <c r="AD1317" s="5">
        <f ca="1">IFERROR(__xludf.DUMMYFUNCTION("""COMPUTED_VALUE"""),63)</f>
        <v>63</v>
      </c>
      <c r="AE1317" s="5">
        <f ca="1">IFERROR(__xludf.DUMMYFUNCTION("""COMPUTED_VALUE"""),63)</f>
        <v>63</v>
      </c>
      <c r="AF1317" s="5" t="b">
        <f ca="1">IFERROR(__xludf.DUMMYFUNCTION("""COMPUTED_VALUE"""),FALSE)</f>
        <v>0</v>
      </c>
      <c r="AG1317" s="5" t="str">
        <f ca="1">IFERROR(__xludf.DUMMYFUNCTION("""COMPUTED_VALUE"""),"INSPECCIONES REALIZADAS")</f>
        <v>INSPECCIONES REALIZADAS</v>
      </c>
      <c r="AH1317" s="5"/>
    </row>
    <row r="1318" spans="1:34">
      <c r="A1318" s="5" t="str">
        <f ca="1">IFERROR(__xludf.DUMMYFUNCTION("""COMPUTED_VALUE"""),"LINEA DE ENVASADO FAMILIAR Y PRB")</f>
        <v>LINEA DE ENVASADO FAMILIAR Y PRB</v>
      </c>
      <c r="B1318" s="5">
        <f ca="1">IFERROR(__xludf.DUMMYFUNCTION("""COMPUTED_VALUE"""),829851)</f>
        <v>829851</v>
      </c>
      <c r="C1318" s="5" t="str">
        <f ca="1">IFERROR(__xludf.DUMMYFUNCTION("""COMPUTED_VALUE"""),"TRANSPORTADOR DE CAJAS")</f>
        <v>TRANSPORTADOR DE CAJAS</v>
      </c>
      <c r="D1318" s="5">
        <f ca="1">IFERROR(__xludf.DUMMYFUNCTION("""COMPUTED_VALUE"""),13247286)</f>
        <v>13247286</v>
      </c>
      <c r="E1318" s="5" t="str">
        <f ca="1">IFERROR(__xludf.DUMMYFUNCTION("""COMPUTED_VALUE"""),"INSPECCION SEMANAL TRANSP DE CAJAS")</f>
        <v>INSPECCION SEMANAL TRANSP DE CAJAS</v>
      </c>
      <c r="F1318" s="5" t="str">
        <f ca="1">IFERROR(__xludf.DUMMYFUNCTION("""COMPUTED_VALUE"""),"Estado de tableros eléctricos de mando, control y potencia")</f>
        <v>Estado de tableros eléctricos de mando, control y potencia</v>
      </c>
      <c r="G1318" s="5" t="b">
        <f ca="1">IFERROR(__xludf.DUMMYFUNCTION("""COMPUTED_VALUE"""),TRUE)</f>
        <v>1</v>
      </c>
      <c r="H1318" s="5"/>
      <c r="I1318" s="5"/>
      <c r="J1318" s="5">
        <f ca="1">IFERROR(__xludf.DUMMYFUNCTION("""COMPUTED_VALUE"""),13247286)</f>
        <v>13247286</v>
      </c>
      <c r="K1318" s="5"/>
      <c r="L1318" s="18">
        <f ca="1">IFERROR(__xludf.DUMMYFUNCTION("""COMPUTED_VALUE"""),45325)</f>
        <v>45325</v>
      </c>
      <c r="M1318" s="18">
        <f ca="1">IFERROR(__xludf.DUMMYFUNCTION("""COMPUTED_VALUE"""),45325)</f>
        <v>45325</v>
      </c>
      <c r="N1318" s="5" t="str">
        <f ca="1">IFERROR(__xludf.DUMMYFUNCTION("""COMPUTED_VALUE"""),"Andrés Felipe Pérez Polania")</f>
        <v>Andrés Felipe Pérez Polania</v>
      </c>
      <c r="O1318" s="2">
        <f ca="1">IFERROR(__xludf.DUMMYFUNCTION("""COMPUTED_VALUE"""),0.007692308)</f>
        <v>7.6923080000000001E-3</v>
      </c>
      <c r="P1318" s="5">
        <f ca="1">IFERROR(__xludf.DUMMYFUNCTION("""COMPUTED_VALUE"""),1919044)</f>
        <v>1919044</v>
      </c>
      <c r="Q1318" s="5" t="str">
        <f ca="1">IFERROR(__xludf.DUMMYFUNCTION("""COMPUTED_VALUE"""),"uEetrJWoh9A")</f>
        <v>uEetrJWoh9A</v>
      </c>
      <c r="R1318" s="5">
        <f ca="1">IFERROR(__xludf.DUMMYFUNCTION("""COMPUTED_VALUE"""),410)</f>
        <v>410</v>
      </c>
      <c r="S1318" s="62">
        <f ca="1">IFERROR(__xludf.DUMMYFUNCTION("""COMPUTED_VALUE"""),0.007692308)</f>
        <v>7.6923080000000001E-3</v>
      </c>
      <c r="T1318" s="63" t="str">
        <f ca="1">IFERROR(__xludf.DUMMYFUNCTION("""COMPUTED_VALUE"""),"https://storage.googleapis.com/glide-prod.appspot.com/uploads-v2/ly7o78grxPaC6KdgvbpS/pub/3aRdSog0vUtuqPE8AJKD.png")</f>
        <v>https://storage.googleapis.com/glide-prod.appspot.com/uploads-v2/ly7o78grxPaC6KdgvbpS/pub/3aRdSog0vUtuqPE8AJKD.png</v>
      </c>
      <c r="U1318" s="5" t="str">
        <f ca="1">IFERROR(__xludf.DUMMYFUNCTION("""COMPUTED_VALUE"""),"LINEA DE ENVASADO FAMILIAR Y PRBTRANSPORTADOR DE CAJAS")</f>
        <v>LINEA DE ENVASADO FAMILIAR Y PRBTRANSPORTADOR DE CAJAS</v>
      </c>
      <c r="V1318" s="5"/>
      <c r="W1318" s="5" t="b">
        <f ca="1">IFERROR(__xludf.DUMMYFUNCTION("""COMPUTED_VALUE"""),TRUE)</f>
        <v>1</v>
      </c>
      <c r="X1318" s="5" t="str">
        <f ca="1">IFERROR(__xludf.DUMMYFUNCTION("""COMPUTED_VALUE"""),"wguerra@postobon.com.co,aprmttoyu@postobon.com.co,aprmyu@postobon.com.co,wmora@postobon.com.co,efzapata@postobon.com.co")</f>
        <v>wguerra@postobon.com.co,aprmttoyu@postobon.com.co,aprmyu@postobon.com.co,wmora@postobon.com.co,efzapata@postobon.com.co</v>
      </c>
      <c r="Y1318" s="5" t="str">
        <f ca="1">IFERROR(__xludf.DUMMYFUNCTION("""COMPUTED_VALUE"""),"wguerra@postobon.com.co")</f>
        <v>wguerra@postobon.com.co</v>
      </c>
      <c r="Z1318" s="5" t="str">
        <f ca="1">IFERROR(__xludf.DUMMYFUNCTION("""COMPUTED_VALUE"""),"O-bXMIiCSBq0mTu1LQN3BQ")</f>
        <v>O-bXMIiCSBq0mTu1LQN3BQ</v>
      </c>
      <c r="AA1318" s="5"/>
      <c r="AB1318" s="5"/>
      <c r="AC1318" s="5"/>
      <c r="AD1318" s="5">
        <f ca="1">IFERROR(__xludf.DUMMYFUNCTION("""COMPUTED_VALUE"""),63)</f>
        <v>63</v>
      </c>
      <c r="AE1318" s="5">
        <f ca="1">IFERROR(__xludf.DUMMYFUNCTION("""COMPUTED_VALUE"""),63)</f>
        <v>63</v>
      </c>
      <c r="AF1318" s="5" t="b">
        <f ca="1">IFERROR(__xludf.DUMMYFUNCTION("""COMPUTED_VALUE"""),FALSE)</f>
        <v>0</v>
      </c>
      <c r="AG1318" s="5" t="str">
        <f ca="1">IFERROR(__xludf.DUMMYFUNCTION("""COMPUTED_VALUE"""),"INSPECCIONES REALIZADAS")</f>
        <v>INSPECCIONES REALIZADAS</v>
      </c>
      <c r="AH1318" s="5"/>
    </row>
    <row r="1319" spans="1:34">
      <c r="A1319" s="5" t="str">
        <f ca="1">IFERROR(__xludf.DUMMYFUNCTION("""COMPUTED_VALUE"""),"LINEA DE ENVASADO FAMILIAR Y PRB")</f>
        <v>LINEA DE ENVASADO FAMILIAR Y PRB</v>
      </c>
      <c r="B1319" s="5">
        <f ca="1">IFERROR(__xludf.DUMMYFUNCTION("""COMPUTED_VALUE"""),829851)</f>
        <v>829851</v>
      </c>
      <c r="C1319" s="5" t="str">
        <f ca="1">IFERROR(__xludf.DUMMYFUNCTION("""COMPUTED_VALUE"""),"TRANSPORTADOR DE CAJAS")</f>
        <v>TRANSPORTADOR DE CAJAS</v>
      </c>
      <c r="D1319" s="5">
        <f ca="1">IFERROR(__xludf.DUMMYFUNCTION("""COMPUTED_VALUE"""),13247286)</f>
        <v>13247286</v>
      </c>
      <c r="E1319" s="5" t="str">
        <f ca="1">IFERROR(__xludf.DUMMYFUNCTION("""COMPUTED_VALUE"""),"INSPECCION SEMANAL TRANSP DE CAJAS")</f>
        <v>INSPECCION SEMANAL TRANSP DE CAJAS</v>
      </c>
      <c r="F1319" s="5" t="str">
        <f ca="1">IFERROR(__xludf.DUMMYFUNCTION("""COMPUTED_VALUE"""),"Estado de sensores")</f>
        <v>Estado de sensores</v>
      </c>
      <c r="G1319" s="5" t="b">
        <f ca="1">IFERROR(__xludf.DUMMYFUNCTION("""COMPUTED_VALUE"""),TRUE)</f>
        <v>1</v>
      </c>
      <c r="H1319" s="5"/>
      <c r="I1319" s="5"/>
      <c r="J1319" s="5">
        <f ca="1">IFERROR(__xludf.DUMMYFUNCTION("""COMPUTED_VALUE"""),13247286)</f>
        <v>13247286</v>
      </c>
      <c r="K1319" s="5"/>
      <c r="L1319" s="18">
        <f ca="1">IFERROR(__xludf.DUMMYFUNCTION("""COMPUTED_VALUE"""),45325)</f>
        <v>45325</v>
      </c>
      <c r="M1319" s="18">
        <f ca="1">IFERROR(__xludf.DUMMYFUNCTION("""COMPUTED_VALUE"""),45325)</f>
        <v>45325</v>
      </c>
      <c r="N1319" s="5" t="str">
        <f ca="1">IFERROR(__xludf.DUMMYFUNCTION("""COMPUTED_VALUE"""),"Andrés Felipe Pérez Polania")</f>
        <v>Andrés Felipe Pérez Polania</v>
      </c>
      <c r="O1319" s="2">
        <f ca="1">IFERROR(__xludf.DUMMYFUNCTION("""COMPUTED_VALUE"""),0.007692308)</f>
        <v>7.6923080000000001E-3</v>
      </c>
      <c r="P1319" s="5">
        <f ca="1">IFERROR(__xludf.DUMMYFUNCTION("""COMPUTED_VALUE"""),1919044)</f>
        <v>1919044</v>
      </c>
      <c r="Q1319" s="5" t="str">
        <f ca="1">IFERROR(__xludf.DUMMYFUNCTION("""COMPUTED_VALUE"""),"iPURFDnGpNc")</f>
        <v>iPURFDnGpNc</v>
      </c>
      <c r="R1319" s="5">
        <f ca="1">IFERROR(__xludf.DUMMYFUNCTION("""COMPUTED_VALUE"""),410)</f>
        <v>410</v>
      </c>
      <c r="S1319" s="62">
        <f ca="1">IFERROR(__xludf.DUMMYFUNCTION("""COMPUTED_VALUE"""),0.007692308)</f>
        <v>7.6923080000000001E-3</v>
      </c>
      <c r="T1319" s="63" t="str">
        <f ca="1">IFERROR(__xludf.DUMMYFUNCTION("""COMPUTED_VALUE"""),"https://storage.googleapis.com/glide-prod.appspot.com/uploads-v2/ly7o78grxPaC6KdgvbpS/pub/3aRdSog0vUtuqPE8AJKD.png")</f>
        <v>https://storage.googleapis.com/glide-prod.appspot.com/uploads-v2/ly7o78grxPaC6KdgvbpS/pub/3aRdSog0vUtuqPE8AJKD.png</v>
      </c>
      <c r="U1319" s="5" t="str">
        <f ca="1">IFERROR(__xludf.DUMMYFUNCTION("""COMPUTED_VALUE"""),"LINEA DE ENVASADO FAMILIAR Y PRBTRANSPORTADOR DE CAJAS")</f>
        <v>LINEA DE ENVASADO FAMILIAR Y PRBTRANSPORTADOR DE CAJAS</v>
      </c>
      <c r="V1319" s="5"/>
      <c r="W1319" s="5" t="b">
        <f ca="1">IFERROR(__xludf.DUMMYFUNCTION("""COMPUTED_VALUE"""),TRUE)</f>
        <v>1</v>
      </c>
      <c r="X1319" s="5" t="str">
        <f ca="1">IFERROR(__xludf.DUMMYFUNCTION("""COMPUTED_VALUE"""),"wguerra@postobon.com.co,aprmttoyu@postobon.com.co,aprmyu@postobon.com.co,wmora@postobon.com.co,efzapata@postobon.com.co")</f>
        <v>wguerra@postobon.com.co,aprmttoyu@postobon.com.co,aprmyu@postobon.com.co,wmora@postobon.com.co,efzapata@postobon.com.co</v>
      </c>
      <c r="Y1319" s="5" t="str">
        <f ca="1">IFERROR(__xludf.DUMMYFUNCTION("""COMPUTED_VALUE"""),"wguerra@postobon.com.co")</f>
        <v>wguerra@postobon.com.co</v>
      </c>
      <c r="Z1319" s="5" t="str">
        <f ca="1">IFERROR(__xludf.DUMMYFUNCTION("""COMPUTED_VALUE"""),"y529zqBFTOmuCIrHdeIYQQ")</f>
        <v>y529zqBFTOmuCIrHdeIYQQ</v>
      </c>
      <c r="AA1319" s="5"/>
      <c r="AB1319" s="5"/>
      <c r="AC1319" s="5"/>
      <c r="AD1319" s="5">
        <f ca="1">IFERROR(__xludf.DUMMYFUNCTION("""COMPUTED_VALUE"""),63)</f>
        <v>63</v>
      </c>
      <c r="AE1319" s="5">
        <f ca="1">IFERROR(__xludf.DUMMYFUNCTION("""COMPUTED_VALUE"""),63)</f>
        <v>63</v>
      </c>
      <c r="AF1319" s="5" t="b">
        <f ca="1">IFERROR(__xludf.DUMMYFUNCTION("""COMPUTED_VALUE"""),FALSE)</f>
        <v>0</v>
      </c>
      <c r="AG1319" s="5" t="str">
        <f ca="1">IFERROR(__xludf.DUMMYFUNCTION("""COMPUTED_VALUE"""),"INSPECCIONES REALIZADAS")</f>
        <v>INSPECCIONES REALIZADAS</v>
      </c>
      <c r="AH1319" s="5"/>
    </row>
    <row r="1320" spans="1:34">
      <c r="A1320" s="5" t="str">
        <f ca="1">IFERROR(__xludf.DUMMYFUNCTION("""COMPUTED_VALUE"""),"LINEA DE ENVASADO FAMILIAR Y PRB")</f>
        <v>LINEA DE ENVASADO FAMILIAR Y PRB</v>
      </c>
      <c r="B1320" s="5">
        <f ca="1">IFERROR(__xludf.DUMMYFUNCTION("""COMPUTED_VALUE"""),829851)</f>
        <v>829851</v>
      </c>
      <c r="C1320" s="5" t="str">
        <f ca="1">IFERROR(__xludf.DUMMYFUNCTION("""COMPUTED_VALUE"""),"TRANSPORTADOR DE CAJAS")</f>
        <v>TRANSPORTADOR DE CAJAS</v>
      </c>
      <c r="D1320" s="5">
        <f ca="1">IFERROR(__xludf.DUMMYFUNCTION("""COMPUTED_VALUE"""),13247286)</f>
        <v>13247286</v>
      </c>
      <c r="E1320" s="5" t="str">
        <f ca="1">IFERROR(__xludf.DUMMYFUNCTION("""COMPUTED_VALUE"""),"INSPECCION SEMANAL TRANSP DE CAJAS")</f>
        <v>INSPECCION SEMANAL TRANSP DE CAJAS</v>
      </c>
      <c r="F1320" s="5" t="str">
        <f ca="1">IFERROR(__xludf.DUMMYFUNCTION("""COMPUTED_VALUE"""),"Estado perfiles de desgaste plasticos")</f>
        <v>Estado perfiles de desgaste plasticos</v>
      </c>
      <c r="G1320" s="5" t="b">
        <f ca="1">IFERROR(__xludf.DUMMYFUNCTION("""COMPUTED_VALUE"""),TRUE)</f>
        <v>1</v>
      </c>
      <c r="H1320" s="5"/>
      <c r="I1320" s="5"/>
      <c r="J1320" s="5">
        <f ca="1">IFERROR(__xludf.DUMMYFUNCTION("""COMPUTED_VALUE"""),13247286)</f>
        <v>13247286</v>
      </c>
      <c r="K1320" s="5"/>
      <c r="L1320" s="18">
        <f ca="1">IFERROR(__xludf.DUMMYFUNCTION("""COMPUTED_VALUE"""),45325)</f>
        <v>45325</v>
      </c>
      <c r="M1320" s="18">
        <f ca="1">IFERROR(__xludf.DUMMYFUNCTION("""COMPUTED_VALUE"""),45325)</f>
        <v>45325</v>
      </c>
      <c r="N1320" s="5" t="str">
        <f ca="1">IFERROR(__xludf.DUMMYFUNCTION("""COMPUTED_VALUE"""),"Andrés Felipe Pérez Polania")</f>
        <v>Andrés Felipe Pérez Polania</v>
      </c>
      <c r="O1320" s="2">
        <f ca="1">IFERROR(__xludf.DUMMYFUNCTION("""COMPUTED_VALUE"""),0.007692308)</f>
        <v>7.6923080000000001E-3</v>
      </c>
      <c r="P1320" s="5">
        <f ca="1">IFERROR(__xludf.DUMMYFUNCTION("""COMPUTED_VALUE"""),1919044)</f>
        <v>1919044</v>
      </c>
      <c r="Q1320" s="5" t="str">
        <f ca="1">IFERROR(__xludf.DUMMYFUNCTION("""COMPUTED_VALUE"""),"i0rAcn6U-8o")</f>
        <v>i0rAcn6U-8o</v>
      </c>
      <c r="R1320" s="5">
        <f ca="1">IFERROR(__xludf.DUMMYFUNCTION("""COMPUTED_VALUE"""),410)</f>
        <v>410</v>
      </c>
      <c r="S1320" s="62">
        <f ca="1">IFERROR(__xludf.DUMMYFUNCTION("""COMPUTED_VALUE"""),0.007692308)</f>
        <v>7.6923080000000001E-3</v>
      </c>
      <c r="T1320" s="63" t="str">
        <f ca="1">IFERROR(__xludf.DUMMYFUNCTION("""COMPUTED_VALUE"""),"https://storage.googleapis.com/glide-prod.appspot.com/uploads-v2/ly7o78grxPaC6KdgvbpS/pub/3aRdSog0vUtuqPE8AJKD.png")</f>
        <v>https://storage.googleapis.com/glide-prod.appspot.com/uploads-v2/ly7o78grxPaC6KdgvbpS/pub/3aRdSog0vUtuqPE8AJKD.png</v>
      </c>
      <c r="U1320" s="5" t="str">
        <f ca="1">IFERROR(__xludf.DUMMYFUNCTION("""COMPUTED_VALUE"""),"LINEA DE ENVASADO FAMILIAR Y PRBTRANSPORTADOR DE CAJAS")</f>
        <v>LINEA DE ENVASADO FAMILIAR Y PRBTRANSPORTADOR DE CAJAS</v>
      </c>
      <c r="V1320" s="5"/>
      <c r="W1320" s="5" t="b">
        <f ca="1">IFERROR(__xludf.DUMMYFUNCTION("""COMPUTED_VALUE"""),TRUE)</f>
        <v>1</v>
      </c>
      <c r="X1320" s="5" t="str">
        <f ca="1">IFERROR(__xludf.DUMMYFUNCTION("""COMPUTED_VALUE"""),"wguerra@postobon.com.co,aprmttoyu@postobon.com.co,aprmyu@postobon.com.co,wmora@postobon.com.co,efzapata@postobon.com.co")</f>
        <v>wguerra@postobon.com.co,aprmttoyu@postobon.com.co,aprmyu@postobon.com.co,wmora@postobon.com.co,efzapata@postobon.com.co</v>
      </c>
      <c r="Y1320" s="5" t="str">
        <f ca="1">IFERROR(__xludf.DUMMYFUNCTION("""COMPUTED_VALUE"""),"wguerra@postobon.com.co")</f>
        <v>wguerra@postobon.com.co</v>
      </c>
      <c r="Z1320" s="5" t="str">
        <f ca="1">IFERROR(__xludf.DUMMYFUNCTION("""COMPUTED_VALUE"""),"Qu4xbWnkS7KaP43Tr.WBXA")</f>
        <v>Qu4xbWnkS7KaP43Tr.WBXA</v>
      </c>
      <c r="AA1320" s="5"/>
      <c r="AB1320" s="5"/>
      <c r="AC1320" s="5"/>
      <c r="AD1320" s="5">
        <f ca="1">IFERROR(__xludf.DUMMYFUNCTION("""COMPUTED_VALUE"""),63)</f>
        <v>63</v>
      </c>
      <c r="AE1320" s="5">
        <f ca="1">IFERROR(__xludf.DUMMYFUNCTION("""COMPUTED_VALUE"""),63)</f>
        <v>63</v>
      </c>
      <c r="AF1320" s="5" t="b">
        <f ca="1">IFERROR(__xludf.DUMMYFUNCTION("""COMPUTED_VALUE"""),FALSE)</f>
        <v>0</v>
      </c>
      <c r="AG1320" s="5" t="str">
        <f ca="1">IFERROR(__xludf.DUMMYFUNCTION("""COMPUTED_VALUE"""),"INSPECCIONES REALIZADAS")</f>
        <v>INSPECCIONES REALIZADAS</v>
      </c>
      <c r="AH1320" s="5"/>
    </row>
    <row r="1321" spans="1:34">
      <c r="A1321" s="5" t="str">
        <f ca="1">IFERROR(__xludf.DUMMYFUNCTION("""COMPUTED_VALUE"""),"LINEA DE ENVASADO FAMILIAR Y PRB")</f>
        <v>LINEA DE ENVASADO FAMILIAR Y PRB</v>
      </c>
      <c r="B1321" s="5">
        <f ca="1">IFERROR(__xludf.DUMMYFUNCTION("""COMPUTED_VALUE"""),829851)</f>
        <v>829851</v>
      </c>
      <c r="C1321" s="5" t="str">
        <f ca="1">IFERROR(__xludf.DUMMYFUNCTION("""COMPUTED_VALUE"""),"TRANSPORTADOR DE CAJAS")</f>
        <v>TRANSPORTADOR DE CAJAS</v>
      </c>
      <c r="D1321" s="5">
        <f ca="1">IFERROR(__xludf.DUMMYFUNCTION("""COMPUTED_VALUE"""),13247286)</f>
        <v>13247286</v>
      </c>
      <c r="E1321" s="5" t="str">
        <f ca="1">IFERROR(__xludf.DUMMYFUNCTION("""COMPUTED_VALUE"""),"INSPECCION SEMANAL TRANSP DE CAJAS")</f>
        <v>INSPECCION SEMANAL TRANSP DE CAJAS</v>
      </c>
      <c r="F1321" s="5" t="str">
        <f ca="1">IFERROR(__xludf.DUMMYFUNCTION("""COMPUTED_VALUE"""),"Estado de cajas reductoras")</f>
        <v>Estado de cajas reductoras</v>
      </c>
      <c r="G1321" s="5" t="b">
        <f ca="1">IFERROR(__xludf.DUMMYFUNCTION("""COMPUTED_VALUE"""),TRUE)</f>
        <v>1</v>
      </c>
      <c r="H1321" s="5"/>
      <c r="I1321" s="5"/>
      <c r="J1321" s="5">
        <f ca="1">IFERROR(__xludf.DUMMYFUNCTION("""COMPUTED_VALUE"""),13247286)</f>
        <v>13247286</v>
      </c>
      <c r="K1321" s="5"/>
      <c r="L1321" s="18">
        <f ca="1">IFERROR(__xludf.DUMMYFUNCTION("""COMPUTED_VALUE"""),45325)</f>
        <v>45325</v>
      </c>
      <c r="M1321" s="18">
        <f ca="1">IFERROR(__xludf.DUMMYFUNCTION("""COMPUTED_VALUE"""),45325)</f>
        <v>45325</v>
      </c>
      <c r="N1321" s="5" t="str">
        <f ca="1">IFERROR(__xludf.DUMMYFUNCTION("""COMPUTED_VALUE"""),"Andrés Felipe Pérez Polania")</f>
        <v>Andrés Felipe Pérez Polania</v>
      </c>
      <c r="O1321" s="2">
        <f ca="1">IFERROR(__xludf.DUMMYFUNCTION("""COMPUTED_VALUE"""),0.007692308)</f>
        <v>7.6923080000000001E-3</v>
      </c>
      <c r="P1321" s="5">
        <f ca="1">IFERROR(__xludf.DUMMYFUNCTION("""COMPUTED_VALUE"""),1919044)</f>
        <v>1919044</v>
      </c>
      <c r="Q1321" s="5" t="str">
        <f ca="1">IFERROR(__xludf.DUMMYFUNCTION("""COMPUTED_VALUE"""),"I2RzBPs6tqs")</f>
        <v>I2RzBPs6tqs</v>
      </c>
      <c r="R1321" s="5">
        <f ca="1">IFERROR(__xludf.DUMMYFUNCTION("""COMPUTED_VALUE"""),410)</f>
        <v>410</v>
      </c>
      <c r="S1321" s="62">
        <f ca="1">IFERROR(__xludf.DUMMYFUNCTION("""COMPUTED_VALUE"""),0.007692308)</f>
        <v>7.6923080000000001E-3</v>
      </c>
      <c r="T1321" s="63" t="str">
        <f ca="1">IFERROR(__xludf.DUMMYFUNCTION("""COMPUTED_VALUE"""),"https://storage.googleapis.com/glide-prod.appspot.com/uploads-v2/ly7o78grxPaC6KdgvbpS/pub/3aRdSog0vUtuqPE8AJKD.png")</f>
        <v>https://storage.googleapis.com/glide-prod.appspot.com/uploads-v2/ly7o78grxPaC6KdgvbpS/pub/3aRdSog0vUtuqPE8AJKD.png</v>
      </c>
      <c r="U1321" s="5" t="str">
        <f ca="1">IFERROR(__xludf.DUMMYFUNCTION("""COMPUTED_VALUE"""),"LINEA DE ENVASADO FAMILIAR Y PRBTRANSPORTADOR DE CAJAS")</f>
        <v>LINEA DE ENVASADO FAMILIAR Y PRBTRANSPORTADOR DE CAJAS</v>
      </c>
      <c r="V1321" s="5"/>
      <c r="W1321" s="5" t="b">
        <f ca="1">IFERROR(__xludf.DUMMYFUNCTION("""COMPUTED_VALUE"""),TRUE)</f>
        <v>1</v>
      </c>
      <c r="X1321" s="5" t="str">
        <f ca="1">IFERROR(__xludf.DUMMYFUNCTION("""COMPUTED_VALUE"""),"wguerra@postobon.com.co,aprmttoyu@postobon.com.co,aprmyu@postobon.com.co,wmora@postobon.com.co,efzapata@postobon.com.co")</f>
        <v>wguerra@postobon.com.co,aprmttoyu@postobon.com.co,aprmyu@postobon.com.co,wmora@postobon.com.co,efzapata@postobon.com.co</v>
      </c>
      <c r="Y1321" s="5" t="str">
        <f ca="1">IFERROR(__xludf.DUMMYFUNCTION("""COMPUTED_VALUE"""),"wguerra@postobon.com.co")</f>
        <v>wguerra@postobon.com.co</v>
      </c>
      <c r="Z1321" s="5" t="str">
        <f ca="1">IFERROR(__xludf.DUMMYFUNCTION("""COMPUTED_VALUE"""),"UVYFSHEcQV6JyerdlpD1MQ")</f>
        <v>UVYFSHEcQV6JyerdlpD1MQ</v>
      </c>
      <c r="AA1321" s="5"/>
      <c r="AB1321" s="5"/>
      <c r="AC1321" s="5"/>
      <c r="AD1321" s="5">
        <f ca="1">IFERROR(__xludf.DUMMYFUNCTION("""COMPUTED_VALUE"""),63)</f>
        <v>63</v>
      </c>
      <c r="AE1321" s="5">
        <f ca="1">IFERROR(__xludf.DUMMYFUNCTION("""COMPUTED_VALUE"""),63)</f>
        <v>63</v>
      </c>
      <c r="AF1321" s="5" t="b">
        <f ca="1">IFERROR(__xludf.DUMMYFUNCTION("""COMPUTED_VALUE"""),FALSE)</f>
        <v>0</v>
      </c>
      <c r="AG1321" s="5" t="str">
        <f ca="1">IFERROR(__xludf.DUMMYFUNCTION("""COMPUTED_VALUE"""),"INSPECCIONES REALIZADAS")</f>
        <v>INSPECCIONES REALIZADAS</v>
      </c>
      <c r="AH1321" s="5"/>
    </row>
    <row r="1322" spans="1:34">
      <c r="A1322" s="5" t="str">
        <f ca="1">IFERROR(__xludf.DUMMYFUNCTION("""COMPUTED_VALUE"""),"LINEA DE ENVASADO FAMILIAR Y PRB")</f>
        <v>LINEA DE ENVASADO FAMILIAR Y PRB</v>
      </c>
      <c r="B1322" s="5">
        <f ca="1">IFERROR(__xludf.DUMMYFUNCTION("""COMPUTED_VALUE"""),829851)</f>
        <v>829851</v>
      </c>
      <c r="C1322" s="5" t="str">
        <f ca="1">IFERROR(__xludf.DUMMYFUNCTION("""COMPUTED_VALUE"""),"TRANSPORTADOR DE CAJAS")</f>
        <v>TRANSPORTADOR DE CAJAS</v>
      </c>
      <c r="D1322" s="5">
        <f ca="1">IFERROR(__xludf.DUMMYFUNCTION("""COMPUTED_VALUE"""),13247286)</f>
        <v>13247286</v>
      </c>
      <c r="E1322" s="5" t="str">
        <f ca="1">IFERROR(__xludf.DUMMYFUNCTION("""COMPUTED_VALUE"""),"INSPECCION SEMANAL TRANSP DE CAJAS")</f>
        <v>INSPECCION SEMANAL TRANSP DE CAJAS</v>
      </c>
      <c r="F1322" s="5" t="str">
        <f ca="1">IFERROR(__xludf.DUMMYFUNCTION("""COMPUTED_VALUE"""),"Estado de sistema de lubricacion")</f>
        <v>Estado de sistema de lubricacion</v>
      </c>
      <c r="G1322" s="5" t="b">
        <f ca="1">IFERROR(__xludf.DUMMYFUNCTION("""COMPUTED_VALUE"""),TRUE)</f>
        <v>1</v>
      </c>
      <c r="H1322" s="5"/>
      <c r="I1322" s="5"/>
      <c r="J1322" s="5">
        <f ca="1">IFERROR(__xludf.DUMMYFUNCTION("""COMPUTED_VALUE"""),13247286)</f>
        <v>13247286</v>
      </c>
      <c r="K1322" s="5"/>
      <c r="L1322" s="18">
        <f ca="1">IFERROR(__xludf.DUMMYFUNCTION("""COMPUTED_VALUE"""),45325)</f>
        <v>45325</v>
      </c>
      <c r="M1322" s="18">
        <f ca="1">IFERROR(__xludf.DUMMYFUNCTION("""COMPUTED_VALUE"""),45325)</f>
        <v>45325</v>
      </c>
      <c r="N1322" s="5" t="str">
        <f ca="1">IFERROR(__xludf.DUMMYFUNCTION("""COMPUTED_VALUE"""),"Andrés Felipe Pérez Polania")</f>
        <v>Andrés Felipe Pérez Polania</v>
      </c>
      <c r="O1322" s="2">
        <f ca="1">IFERROR(__xludf.DUMMYFUNCTION("""COMPUTED_VALUE"""),0.007692308)</f>
        <v>7.6923080000000001E-3</v>
      </c>
      <c r="P1322" s="5">
        <f ca="1">IFERROR(__xludf.DUMMYFUNCTION("""COMPUTED_VALUE"""),1919044)</f>
        <v>1919044</v>
      </c>
      <c r="Q1322" s="5" t="str">
        <f ca="1">IFERROR(__xludf.DUMMYFUNCTION("""COMPUTED_VALUE"""),"nMkrzcEjgl0")</f>
        <v>nMkrzcEjgl0</v>
      </c>
      <c r="R1322" s="5">
        <f ca="1">IFERROR(__xludf.DUMMYFUNCTION("""COMPUTED_VALUE"""),410)</f>
        <v>410</v>
      </c>
      <c r="S1322" s="62">
        <f ca="1">IFERROR(__xludf.DUMMYFUNCTION("""COMPUTED_VALUE"""),0.007692308)</f>
        <v>7.6923080000000001E-3</v>
      </c>
      <c r="T1322" s="63" t="str">
        <f ca="1">IFERROR(__xludf.DUMMYFUNCTION("""COMPUTED_VALUE"""),"https://storage.googleapis.com/glide-prod.appspot.com/uploads-v2/ly7o78grxPaC6KdgvbpS/pub/3aRdSog0vUtuqPE8AJKD.png")</f>
        <v>https://storage.googleapis.com/glide-prod.appspot.com/uploads-v2/ly7o78grxPaC6KdgvbpS/pub/3aRdSog0vUtuqPE8AJKD.png</v>
      </c>
      <c r="U1322" s="5" t="str">
        <f ca="1">IFERROR(__xludf.DUMMYFUNCTION("""COMPUTED_VALUE"""),"LINEA DE ENVASADO FAMILIAR Y PRBTRANSPORTADOR DE CAJAS")</f>
        <v>LINEA DE ENVASADO FAMILIAR Y PRBTRANSPORTADOR DE CAJAS</v>
      </c>
      <c r="V1322" s="5"/>
      <c r="W1322" s="5" t="b">
        <f ca="1">IFERROR(__xludf.DUMMYFUNCTION("""COMPUTED_VALUE"""),TRUE)</f>
        <v>1</v>
      </c>
      <c r="X1322" s="5" t="str">
        <f ca="1">IFERROR(__xludf.DUMMYFUNCTION("""COMPUTED_VALUE"""),"wguerra@postobon.com.co,aprmttoyu@postobon.com.co,aprmyu@postobon.com.co,wmora@postobon.com.co,efzapata@postobon.com.co")</f>
        <v>wguerra@postobon.com.co,aprmttoyu@postobon.com.co,aprmyu@postobon.com.co,wmora@postobon.com.co,efzapata@postobon.com.co</v>
      </c>
      <c r="Y1322" s="5" t="str">
        <f ca="1">IFERROR(__xludf.DUMMYFUNCTION("""COMPUTED_VALUE"""),"wguerra@postobon.com.co")</f>
        <v>wguerra@postobon.com.co</v>
      </c>
      <c r="Z1322" s="5" t="str">
        <f ca="1">IFERROR(__xludf.DUMMYFUNCTION("""COMPUTED_VALUE"""),"bMwMx5j3SsKKOCrsI9qlSA")</f>
        <v>bMwMx5j3SsKKOCrsI9qlSA</v>
      </c>
      <c r="AA1322" s="5"/>
      <c r="AB1322" s="5"/>
      <c r="AC1322" s="5"/>
      <c r="AD1322" s="5">
        <f ca="1">IFERROR(__xludf.DUMMYFUNCTION("""COMPUTED_VALUE"""),63)</f>
        <v>63</v>
      </c>
      <c r="AE1322" s="5">
        <f ca="1">IFERROR(__xludf.DUMMYFUNCTION("""COMPUTED_VALUE"""),63)</f>
        <v>63</v>
      </c>
      <c r="AF1322" s="5" t="b">
        <f ca="1">IFERROR(__xludf.DUMMYFUNCTION("""COMPUTED_VALUE"""),FALSE)</f>
        <v>0</v>
      </c>
      <c r="AG1322" s="5" t="str">
        <f ca="1">IFERROR(__xludf.DUMMYFUNCTION("""COMPUTED_VALUE"""),"INSPECCIONES REALIZADAS")</f>
        <v>INSPECCIONES REALIZADAS</v>
      </c>
      <c r="AH1322" s="5"/>
    </row>
    <row r="1323" spans="1:34">
      <c r="A1323" s="5" t="str">
        <f ca="1">IFERROR(__xludf.DUMMYFUNCTION("""COMPUTED_VALUE"""),"LINEA DE ENVASADO FAMILIAR Y PRB")</f>
        <v>LINEA DE ENVASADO FAMILIAR Y PRB</v>
      </c>
      <c r="B1323" s="5">
        <f ca="1">IFERROR(__xludf.DUMMYFUNCTION("""COMPUTED_VALUE"""),829851)</f>
        <v>829851</v>
      </c>
      <c r="C1323" s="5" t="str">
        <f ca="1">IFERROR(__xludf.DUMMYFUNCTION("""COMPUTED_VALUE"""),"TRANSPORTADOR DE CAJAS")</f>
        <v>TRANSPORTADOR DE CAJAS</v>
      </c>
      <c r="D1323" s="5">
        <f ca="1">IFERROR(__xludf.DUMMYFUNCTION("""COMPUTED_VALUE"""),13247286)</f>
        <v>13247286</v>
      </c>
      <c r="E1323" s="5" t="str">
        <f ca="1">IFERROR(__xludf.DUMMYFUNCTION("""COMPUTED_VALUE"""),"INSPECCION SEMANAL TRANSP DE CAJAS")</f>
        <v>INSPECCION SEMANAL TRANSP DE CAJAS</v>
      </c>
      <c r="F1323" s="5" t="str">
        <f ca="1">IFERROR(__xludf.DUMMYFUNCTION("""COMPUTED_VALUE"""),"Estado y limpieza de extractor y/o climatizador tablero eléctrico.")</f>
        <v>Estado y limpieza de extractor y/o climatizador tablero eléctrico.</v>
      </c>
      <c r="G1323" s="5" t="b">
        <f ca="1">IFERROR(__xludf.DUMMYFUNCTION("""COMPUTED_VALUE"""),TRUE)</f>
        <v>1</v>
      </c>
      <c r="H1323" s="5"/>
      <c r="I1323" s="5"/>
      <c r="J1323" s="5">
        <f ca="1">IFERROR(__xludf.DUMMYFUNCTION("""COMPUTED_VALUE"""),13247286)</f>
        <v>13247286</v>
      </c>
      <c r="K1323" s="5"/>
      <c r="L1323" s="18">
        <f ca="1">IFERROR(__xludf.DUMMYFUNCTION("""COMPUTED_VALUE"""),45325)</f>
        <v>45325</v>
      </c>
      <c r="M1323" s="18">
        <f ca="1">IFERROR(__xludf.DUMMYFUNCTION("""COMPUTED_VALUE"""),45325)</f>
        <v>45325</v>
      </c>
      <c r="N1323" s="5" t="str">
        <f ca="1">IFERROR(__xludf.DUMMYFUNCTION("""COMPUTED_VALUE"""),"Andrés Felipe Pérez Polania")</f>
        <v>Andrés Felipe Pérez Polania</v>
      </c>
      <c r="O1323" s="2">
        <f ca="1">IFERROR(__xludf.DUMMYFUNCTION("""COMPUTED_VALUE"""),0.007692308)</f>
        <v>7.6923080000000001E-3</v>
      </c>
      <c r="P1323" s="5">
        <f ca="1">IFERROR(__xludf.DUMMYFUNCTION("""COMPUTED_VALUE"""),1919044)</f>
        <v>1919044</v>
      </c>
      <c r="Q1323" s="5" t="str">
        <f ca="1">IFERROR(__xludf.DUMMYFUNCTION("""COMPUTED_VALUE"""),"vBA6cLTKAkM")</f>
        <v>vBA6cLTKAkM</v>
      </c>
      <c r="R1323" s="5">
        <f ca="1">IFERROR(__xludf.DUMMYFUNCTION("""COMPUTED_VALUE"""),410)</f>
        <v>410</v>
      </c>
      <c r="S1323" s="62">
        <f ca="1">IFERROR(__xludf.DUMMYFUNCTION("""COMPUTED_VALUE"""),0.007692308)</f>
        <v>7.6923080000000001E-3</v>
      </c>
      <c r="T1323" s="63" t="str">
        <f ca="1">IFERROR(__xludf.DUMMYFUNCTION("""COMPUTED_VALUE"""),"https://storage.googleapis.com/glide-prod.appspot.com/uploads-v2/ly7o78grxPaC6KdgvbpS/pub/3aRdSog0vUtuqPE8AJKD.png")</f>
        <v>https://storage.googleapis.com/glide-prod.appspot.com/uploads-v2/ly7o78grxPaC6KdgvbpS/pub/3aRdSog0vUtuqPE8AJKD.png</v>
      </c>
      <c r="U1323" s="5" t="str">
        <f ca="1">IFERROR(__xludf.DUMMYFUNCTION("""COMPUTED_VALUE"""),"LINEA DE ENVASADO FAMILIAR Y PRBTRANSPORTADOR DE CAJAS")</f>
        <v>LINEA DE ENVASADO FAMILIAR Y PRBTRANSPORTADOR DE CAJAS</v>
      </c>
      <c r="V1323" s="5"/>
      <c r="W1323" s="5" t="b">
        <f ca="1">IFERROR(__xludf.DUMMYFUNCTION("""COMPUTED_VALUE"""),TRUE)</f>
        <v>1</v>
      </c>
      <c r="X1323" s="5" t="str">
        <f ca="1">IFERROR(__xludf.DUMMYFUNCTION("""COMPUTED_VALUE"""),"wguerra@postobon.com.co,aprmttoyu@postobon.com.co,aprmyu@postobon.com.co,wmora@postobon.com.co,efzapata@postobon.com.co")</f>
        <v>wguerra@postobon.com.co,aprmttoyu@postobon.com.co,aprmyu@postobon.com.co,wmora@postobon.com.co,efzapata@postobon.com.co</v>
      </c>
      <c r="Y1323" s="5" t="str">
        <f ca="1">IFERROR(__xludf.DUMMYFUNCTION("""COMPUTED_VALUE"""),"wguerra@postobon.com.co")</f>
        <v>wguerra@postobon.com.co</v>
      </c>
      <c r="Z1323" s="5" t="str">
        <f ca="1">IFERROR(__xludf.DUMMYFUNCTION("""COMPUTED_VALUE"""),"OaS1V4arRWiSAs8Xg9aPQg")</f>
        <v>OaS1V4arRWiSAs8Xg9aPQg</v>
      </c>
      <c r="AA1323" s="5"/>
      <c r="AB1323" s="5"/>
      <c r="AC1323" s="5"/>
      <c r="AD1323" s="5">
        <f ca="1">IFERROR(__xludf.DUMMYFUNCTION("""COMPUTED_VALUE"""),63)</f>
        <v>63</v>
      </c>
      <c r="AE1323" s="5">
        <f ca="1">IFERROR(__xludf.DUMMYFUNCTION("""COMPUTED_VALUE"""),63)</f>
        <v>63</v>
      </c>
      <c r="AF1323" s="5" t="b">
        <f ca="1">IFERROR(__xludf.DUMMYFUNCTION("""COMPUTED_VALUE"""),FALSE)</f>
        <v>0</v>
      </c>
      <c r="AG1323" s="5" t="str">
        <f ca="1">IFERROR(__xludf.DUMMYFUNCTION("""COMPUTED_VALUE"""),"INSPECCIONES REALIZADAS")</f>
        <v>INSPECCIONES REALIZADAS</v>
      </c>
      <c r="AH1323" s="5"/>
    </row>
    <row r="1324" spans="1:34">
      <c r="A1324" s="5" t="str">
        <f ca="1">IFERROR(__xludf.DUMMYFUNCTION("""COMPUTED_VALUE"""),"LINEA DE PRODUCCION DE BOTELLONES DE 20")</f>
        <v>LINEA DE PRODUCCION DE BOTELLONES DE 20</v>
      </c>
      <c r="B1324" s="5">
        <f ca="1">IFERROR(__xludf.DUMMYFUNCTION("""COMPUTED_VALUE"""),829615)</f>
        <v>829615</v>
      </c>
      <c r="C1324" s="5" t="str">
        <f ca="1">IFERROR(__xludf.DUMMYFUNCTION("""COMPUTED_VALUE"""),"TRANSPORTADORES DE HUACALES")</f>
        <v>TRANSPORTADORES DE HUACALES</v>
      </c>
      <c r="D1324" s="5">
        <f ca="1">IFERROR(__xludf.DUMMYFUNCTION("""COMPUTED_VALUE"""),13247697)</f>
        <v>13247697</v>
      </c>
      <c r="E1324" s="5" t="str">
        <f ca="1">IFERROR(__xludf.DUMMYFUNCTION("""COMPUTED_VALUE"""),"INSPECCION SEMANAL TRANSP HUACALES")</f>
        <v>INSPECCION SEMANAL TRANSP HUACALES</v>
      </c>
      <c r="F1324" s="5" t="str">
        <f ca="1">IFERROR(__xludf.DUMMYFUNCTION("""COMPUTED_VALUE"""),"PLAN MTTO MEC TRANSP HUACALES 829615")</f>
        <v>PLAN MTTO MEC TRANSP HUACALES 829615</v>
      </c>
      <c r="G1324" s="5" t="b">
        <f ca="1">IFERROR(__xludf.DUMMYFUNCTION("""COMPUTED_VALUE"""),TRUE)</f>
        <v>1</v>
      </c>
      <c r="H1324" s="5"/>
      <c r="I1324" s="5"/>
      <c r="J1324" s="5">
        <f ca="1">IFERROR(__xludf.DUMMYFUNCTION("""COMPUTED_VALUE"""),13247697)</f>
        <v>13247697</v>
      </c>
      <c r="K1324" s="5"/>
      <c r="L1324" s="18">
        <f ca="1">IFERROR(__xludf.DUMMYFUNCTION("""COMPUTED_VALUE"""),45324)</f>
        <v>45324</v>
      </c>
      <c r="M1324" s="18">
        <f ca="1">IFERROR(__xludf.DUMMYFUNCTION("""COMPUTED_VALUE"""),45324)</f>
        <v>45324</v>
      </c>
      <c r="N1324" s="5" t="str">
        <f ca="1">IFERROR(__xludf.DUMMYFUNCTION("""COMPUTED_VALUE"""),"Víctor David Burbano Gómez")</f>
        <v>Víctor David Burbano Gómez</v>
      </c>
      <c r="O1324" s="2">
        <f ca="1">IFERROR(__xludf.DUMMYFUNCTION("""COMPUTED_VALUE"""),0.1)</f>
        <v>0.1</v>
      </c>
      <c r="P1324" s="5">
        <f ca="1">IFERROR(__xludf.DUMMYFUNCTION("""COMPUTED_VALUE"""),20065447)</f>
        <v>20065447</v>
      </c>
      <c r="Q1324" s="5" t="str">
        <f ca="1">IFERROR(__xludf.DUMMYFUNCTION("""COMPUTED_VALUE"""),"2QHG_QEBatM")</f>
        <v>2QHG_QEBatM</v>
      </c>
      <c r="R1324" s="5">
        <f ca="1">IFERROR(__xludf.DUMMYFUNCTION("""COMPUTED_VALUE"""),410)</f>
        <v>410</v>
      </c>
      <c r="S1324" s="62">
        <f ca="1">IFERROR(__xludf.DUMMYFUNCTION("""COMPUTED_VALUE"""),0.1)</f>
        <v>0.1</v>
      </c>
      <c r="T1324" s="63" t="str">
        <f ca="1">IFERROR(__xludf.DUMMYFUNCTION("""COMPUTED_VALUE"""),"https://storage.googleapis.com/glide-prod.appspot.com/uploads-v2/ly7o78grxPaC6KdgvbpS/pub/3aRdSog0vUtuqPE8AJKD.png")</f>
        <v>https://storage.googleapis.com/glide-prod.appspot.com/uploads-v2/ly7o78grxPaC6KdgvbpS/pub/3aRdSog0vUtuqPE8AJKD.png</v>
      </c>
      <c r="U1324" s="5" t="str">
        <f ca="1">IFERROR(__xludf.DUMMYFUNCTION("""COMPUTED_VALUE"""),"LINEA DE PRODUCCION DE BOTELLONES DE 20TRANSPORTADORES DE HUACALES")</f>
        <v>LINEA DE PRODUCCION DE BOTELLONES DE 20TRANSPORTADORES DE HUACALES</v>
      </c>
      <c r="V1324" s="5"/>
      <c r="W1324" s="5" t="b">
        <f ca="1">IFERROR(__xludf.DUMMYFUNCTION("""COMPUTED_VALUE"""),TRUE)</f>
        <v>1</v>
      </c>
      <c r="X1324" s="5" t="str">
        <f ca="1">IFERROR(__xludf.DUMMYFUNCTION("""COMPUTED_VALUE"""),"achavezi@postobon.com.co,aprmttoyu@postobon.com.co,aprmyu@postobon.com.co,wmora@postobon.com.co,efzapata@postobon.com.co")</f>
        <v>achavezi@postobon.com.co,aprmttoyu@postobon.com.co,aprmyu@postobon.com.co,wmora@postobon.com.co,efzapata@postobon.com.co</v>
      </c>
      <c r="Y1324" s="5" t="str">
        <f ca="1">IFERROR(__xludf.DUMMYFUNCTION("""COMPUTED_VALUE"""),"achavezi@postobon.com.co")</f>
        <v>achavezi@postobon.com.co</v>
      </c>
      <c r="Z1324" s="5" t="str">
        <f ca="1">IFERROR(__xludf.DUMMYFUNCTION("""COMPUTED_VALUE"""),"hRU58dneRsKucbK.f6H1vw")</f>
        <v>hRU58dneRsKucbK.f6H1vw</v>
      </c>
      <c r="AA1324" s="5"/>
      <c r="AB1324" s="5"/>
      <c r="AC1324" s="5"/>
      <c r="AD1324" s="5">
        <f ca="1">IFERROR(__xludf.DUMMYFUNCTION("""COMPUTED_VALUE"""),62)</f>
        <v>62</v>
      </c>
      <c r="AE1324" s="5">
        <f ca="1">IFERROR(__xludf.DUMMYFUNCTION("""COMPUTED_VALUE"""),62)</f>
        <v>62</v>
      </c>
      <c r="AF1324" s="5" t="b">
        <f ca="1">IFERROR(__xludf.DUMMYFUNCTION("""COMPUTED_VALUE"""),FALSE)</f>
        <v>0</v>
      </c>
      <c r="AG1324" s="5" t="str">
        <f ca="1">IFERROR(__xludf.DUMMYFUNCTION("""COMPUTED_VALUE"""),"INSPECCIONES REALIZADAS")</f>
        <v>INSPECCIONES REALIZADAS</v>
      </c>
      <c r="AH1324" s="5"/>
    </row>
    <row r="1325" spans="1:34">
      <c r="A1325" s="5" t="str">
        <f ca="1">IFERROR(__xludf.DUMMYFUNCTION("""COMPUTED_VALUE"""),"LINEA DE PRODUCCION DE BOTELLONES DE 20")</f>
        <v>LINEA DE PRODUCCION DE BOTELLONES DE 20</v>
      </c>
      <c r="B1325" s="5">
        <f ca="1">IFERROR(__xludf.DUMMYFUNCTION("""COMPUTED_VALUE"""),82961501)</f>
        <v>82961501</v>
      </c>
      <c r="C1325" s="5" t="str">
        <f ca="1">IFERROR(__xludf.DUMMYFUNCTION("""COMPUTED_VALUE"""),"TRANSPORTADOR DE RODILLOS PARA ESTIBAS")</f>
        <v>TRANSPORTADOR DE RODILLOS PARA ESTIBAS</v>
      </c>
      <c r="D1325" s="5">
        <f ca="1">IFERROR(__xludf.DUMMYFUNCTION("""COMPUTED_VALUE"""),13247694)</f>
        <v>13247694</v>
      </c>
      <c r="E1325" s="5" t="str">
        <f ca="1">IFERROR(__xludf.DUMMYFUNCTION("""COMPUTED_VALUE"""),"INSPECCION SEMANAL TRANSP RODILLOS ESTIB")</f>
        <v>INSPECCION SEMANAL TRANSP RODILLOS ESTIB</v>
      </c>
      <c r="F1325" s="5" t="str">
        <f ca="1">IFERROR(__xludf.DUMMYFUNCTION("""COMPUTED_VALUE"""),"PLAN MTTO MEC TRANS RODILLO 82961501")</f>
        <v>PLAN MTTO MEC TRANS RODILLO 82961501</v>
      </c>
      <c r="G1325" s="5" t="b">
        <f ca="1">IFERROR(__xludf.DUMMYFUNCTION("""COMPUTED_VALUE"""),TRUE)</f>
        <v>1</v>
      </c>
      <c r="H1325" s="5"/>
      <c r="I1325" s="5"/>
      <c r="J1325" s="5">
        <f ca="1">IFERROR(__xludf.DUMMYFUNCTION("""COMPUTED_VALUE"""),13247694)</f>
        <v>13247694</v>
      </c>
      <c r="K1325" s="5"/>
      <c r="L1325" s="18">
        <f ca="1">IFERROR(__xludf.DUMMYFUNCTION("""COMPUTED_VALUE"""),45325)</f>
        <v>45325</v>
      </c>
      <c r="M1325" s="18">
        <f ca="1">IFERROR(__xludf.DUMMYFUNCTION("""COMPUTED_VALUE"""),45325)</f>
        <v>45325</v>
      </c>
      <c r="N1325" s="5" t="str">
        <f ca="1">IFERROR(__xludf.DUMMYFUNCTION("""COMPUTED_VALUE"""),"Víctor David Burbano Gómez")</f>
        <v>Víctor David Burbano Gómez</v>
      </c>
      <c r="O1325" s="2">
        <f ca="1">IFERROR(__xludf.DUMMYFUNCTION("""COMPUTED_VALUE"""),0.1)</f>
        <v>0.1</v>
      </c>
      <c r="P1325" s="5">
        <f ca="1">IFERROR(__xludf.DUMMYFUNCTION("""COMPUTED_VALUE"""),20065447)</f>
        <v>20065447</v>
      </c>
      <c r="Q1325" s="5" t="str">
        <f ca="1">IFERROR(__xludf.DUMMYFUNCTION("""COMPUTED_VALUE"""),"8K0Y1-NbeE8")</f>
        <v>8K0Y1-NbeE8</v>
      </c>
      <c r="R1325" s="5">
        <f ca="1">IFERROR(__xludf.DUMMYFUNCTION("""COMPUTED_VALUE"""),410)</f>
        <v>410</v>
      </c>
      <c r="S1325" s="62">
        <f ca="1">IFERROR(__xludf.DUMMYFUNCTION("""COMPUTED_VALUE"""),0.1)</f>
        <v>0.1</v>
      </c>
      <c r="T1325" s="63" t="str">
        <f ca="1">IFERROR(__xludf.DUMMYFUNCTION("""COMPUTED_VALUE"""),"https://storage.googleapis.com/glide-prod.appspot.com/uploads-v2/ly7o78grxPaC6KdgvbpS/pub/3aRdSog0vUtuqPE8AJKD.png")</f>
        <v>https://storage.googleapis.com/glide-prod.appspot.com/uploads-v2/ly7o78grxPaC6KdgvbpS/pub/3aRdSog0vUtuqPE8AJKD.png</v>
      </c>
      <c r="U1325" s="5" t="str">
        <f ca="1">IFERROR(__xludf.DUMMYFUNCTION("""COMPUTED_VALUE"""),"LINEA DE PRODUCCION DE BOTELLONES DE 20TRANSPORTADOR DE RODILLOS PARA ESTIBAS")</f>
        <v>LINEA DE PRODUCCION DE BOTELLONES DE 20TRANSPORTADOR DE RODILLOS PARA ESTIBAS</v>
      </c>
      <c r="V1325" s="5"/>
      <c r="W1325" s="5" t="b">
        <f ca="1">IFERROR(__xludf.DUMMYFUNCTION("""COMPUTED_VALUE"""),TRUE)</f>
        <v>1</v>
      </c>
      <c r="X1325" s="5" t="str">
        <f ca="1">IFERROR(__xludf.DUMMYFUNCTION("""COMPUTED_VALUE"""),"achavezi@postobon.com.co,aprmttoyu@postobon.com.co,aprmyu@postobon.com.co,wmora@postobon.com.co,efzapata@postobon.com.co")</f>
        <v>achavezi@postobon.com.co,aprmttoyu@postobon.com.co,aprmyu@postobon.com.co,wmora@postobon.com.co,efzapata@postobon.com.co</v>
      </c>
      <c r="Y1325" s="5" t="str">
        <f ca="1">IFERROR(__xludf.DUMMYFUNCTION("""COMPUTED_VALUE"""),"achavezi@postobon.com.co")</f>
        <v>achavezi@postobon.com.co</v>
      </c>
      <c r="Z1325" s="5" t="str">
        <f ca="1">IFERROR(__xludf.DUMMYFUNCTION("""COMPUTED_VALUE"""),"PAVcDpyDTrqzlbJqARFP7A")</f>
        <v>PAVcDpyDTrqzlbJqARFP7A</v>
      </c>
      <c r="AA1325" s="5"/>
      <c r="AB1325" s="5"/>
      <c r="AC1325" s="5"/>
      <c r="AD1325" s="5">
        <f ca="1">IFERROR(__xludf.DUMMYFUNCTION("""COMPUTED_VALUE"""),62)</f>
        <v>62</v>
      </c>
      <c r="AE1325" s="5">
        <f ca="1">IFERROR(__xludf.DUMMYFUNCTION("""COMPUTED_VALUE"""),62)</f>
        <v>62</v>
      </c>
      <c r="AF1325" s="5" t="b">
        <f ca="1">IFERROR(__xludf.DUMMYFUNCTION("""COMPUTED_VALUE"""),FALSE)</f>
        <v>0</v>
      </c>
      <c r="AG1325" s="5" t="str">
        <f ca="1">IFERROR(__xludf.DUMMYFUNCTION("""COMPUTED_VALUE"""),"INSPECCIONES REALIZADAS")</f>
        <v>INSPECCIONES REALIZADAS</v>
      </c>
      <c r="AH1325" s="5"/>
    </row>
    <row r="1326" spans="1:34">
      <c r="A1326" s="5" t="str">
        <f ca="1">IFERROR(__xludf.DUMMYFUNCTION("""COMPUTED_VALUE"""),"LINEA DE ENVASADO JUGOS PET HOT FILL")</f>
        <v>LINEA DE ENVASADO JUGOS PET HOT FILL</v>
      </c>
      <c r="B1326" s="5">
        <f ca="1">IFERROR(__xludf.DUMMYFUNCTION("""COMPUTED_VALUE"""),829659)</f>
        <v>829659</v>
      </c>
      <c r="C1326" s="5" t="str">
        <f ca="1">IFERROR(__xludf.DUMMYFUNCTION("""COMPUTED_VALUE"""),"TRANSPORTADOR")</f>
        <v>TRANSPORTADOR</v>
      </c>
      <c r="D1326" s="5">
        <f ca="1">IFERROR(__xludf.DUMMYFUNCTION("""COMPUTED_VALUE"""),13247782)</f>
        <v>13247782</v>
      </c>
      <c r="E1326" s="5" t="str">
        <f ca="1">IFERROR(__xludf.DUMMYFUNCTION("""COMPUTED_VALUE"""),"INSPECCION SEMANAL TRANSPORTADOR")</f>
        <v>INSPECCION SEMANAL TRANSPORTADOR</v>
      </c>
      <c r="F1326" s="5" t="str">
        <f ca="1">IFERROR(__xludf.DUMMYFUNCTION("""COMPUTED_VALUE"""),"ESTADO PIÑONES CHUMACERAS")</f>
        <v>ESTADO PIÑONES CHUMACERAS</v>
      </c>
      <c r="G1326" s="5" t="b">
        <f ca="1">IFERROR(__xludf.DUMMYFUNCTION("""COMPUTED_VALUE"""),TRUE)</f>
        <v>1</v>
      </c>
      <c r="H1326" s="5"/>
      <c r="I1326" s="5"/>
      <c r="J1326" s="5">
        <f ca="1">IFERROR(__xludf.DUMMYFUNCTION("""COMPUTED_VALUE"""),13247782)</f>
        <v>13247782</v>
      </c>
      <c r="K1326" s="5"/>
      <c r="L1326" s="18">
        <f ca="1">IFERROR(__xludf.DUMMYFUNCTION("""COMPUTED_VALUE"""),45324)</f>
        <v>45324</v>
      </c>
      <c r="M1326" s="18">
        <f ca="1">IFERROR(__xludf.DUMMYFUNCTION("""COMPUTED_VALUE"""),45324)</f>
        <v>45324</v>
      </c>
      <c r="N1326" s="5" t="str">
        <f ca="1">IFERROR(__xludf.DUMMYFUNCTION("""COMPUTED_VALUE"""),"Vanegas Guependo Hermes")</f>
        <v>Vanegas Guependo Hermes</v>
      </c>
      <c r="O1326" s="2">
        <f ca="1">IFERROR(__xludf.DUMMYFUNCTION("""COMPUTED_VALUE"""),0.011111111)</f>
        <v>1.1111111E-2</v>
      </c>
      <c r="P1326" s="5">
        <f ca="1">IFERROR(__xludf.DUMMYFUNCTION("""COMPUTED_VALUE"""),20010206)</f>
        <v>20010206</v>
      </c>
      <c r="Q1326" s="5" t="str">
        <f ca="1">IFERROR(__xludf.DUMMYFUNCTION("""COMPUTED_VALUE"""),"MLSPQklKrYc")</f>
        <v>MLSPQklKrYc</v>
      </c>
      <c r="R1326" s="5">
        <f ca="1">IFERROR(__xludf.DUMMYFUNCTION("""COMPUTED_VALUE"""),410)</f>
        <v>410</v>
      </c>
      <c r="S1326" s="62">
        <f ca="1">IFERROR(__xludf.DUMMYFUNCTION("""COMPUTED_VALUE"""),0.011111111)</f>
        <v>1.1111111E-2</v>
      </c>
      <c r="T1326" s="63" t="str">
        <f ca="1">IFERROR(__xludf.DUMMYFUNCTION("""COMPUTED_VALUE"""),"https://storage.googleapis.com/glide-prod.appspot.com/uploads-v2/ly7o78grxPaC6KdgvbpS/pub/3aRdSog0vUtuqPE8AJKD.png")</f>
        <v>https://storage.googleapis.com/glide-prod.appspot.com/uploads-v2/ly7o78grxPaC6KdgvbpS/pub/3aRdSog0vUtuqPE8AJKD.png</v>
      </c>
      <c r="U1326" s="5" t="str">
        <f ca="1">IFERROR(__xludf.DUMMYFUNCTION("""COMPUTED_VALUE"""),"LINEA DE ENVASADO JUGOS PET HOT FILLTRANSPORTADOR")</f>
        <v>LINEA DE ENVASADO JUGOS PET HOT FILLTRANSPORTADOR</v>
      </c>
      <c r="V1326" s="5"/>
      <c r="W1326" s="5" t="b">
        <f ca="1">IFERROR(__xludf.DUMMYFUNCTION("""COMPUTED_VALUE"""),TRUE)</f>
        <v>1</v>
      </c>
      <c r="X1326" s="5" t="str">
        <f ca="1">IFERROR(__xludf.DUMMYFUNCTION("""COMPUTED_VALUE"""),"achavezi@postobon.com.co,aprmttoyu@postobon.com.co,aprmyu@postobon.com.co,wmora@postobon.com.co,efzapata@postobon.com.co")</f>
        <v>achavezi@postobon.com.co,aprmttoyu@postobon.com.co,aprmyu@postobon.com.co,wmora@postobon.com.co,efzapata@postobon.com.co</v>
      </c>
      <c r="Y1326" s="5" t="str">
        <f ca="1">IFERROR(__xludf.DUMMYFUNCTION("""COMPUTED_VALUE"""),"achavezi@postobon.com.co")</f>
        <v>achavezi@postobon.com.co</v>
      </c>
      <c r="Z1326" s="5" t="str">
        <f ca="1">IFERROR(__xludf.DUMMYFUNCTION("""COMPUTED_VALUE"""),"ufSmdm-IRb23p96qSv-qKg")</f>
        <v>ufSmdm-IRb23p96qSv-qKg</v>
      </c>
      <c r="AA1326" s="5"/>
      <c r="AB1326" s="5"/>
      <c r="AC1326" s="5"/>
      <c r="AD1326" s="5">
        <f ca="1">IFERROR(__xludf.DUMMYFUNCTION("""COMPUTED_VALUE"""),29)</f>
        <v>29</v>
      </c>
      <c r="AE1326" s="5">
        <f ca="1">IFERROR(__xludf.DUMMYFUNCTION("""COMPUTED_VALUE"""),29)</f>
        <v>29</v>
      </c>
      <c r="AF1326" s="5" t="b">
        <f ca="1">IFERROR(__xludf.DUMMYFUNCTION("""COMPUTED_VALUE"""),FALSE)</f>
        <v>0</v>
      </c>
      <c r="AG1326" s="5" t="str">
        <f ca="1">IFERROR(__xludf.DUMMYFUNCTION("""COMPUTED_VALUE"""),"INSPECCIONES REALIZADAS")</f>
        <v>INSPECCIONES REALIZADAS</v>
      </c>
      <c r="AH1326" s="5"/>
    </row>
    <row r="1327" spans="1:34">
      <c r="A1327" s="5" t="str">
        <f ca="1">IFERROR(__xludf.DUMMYFUNCTION("""COMPUTED_VALUE"""),"LINEA DE ENVASADO JUGOS PET HOT FILL")</f>
        <v>LINEA DE ENVASADO JUGOS PET HOT FILL</v>
      </c>
      <c r="B1327" s="5">
        <f ca="1">IFERROR(__xludf.DUMMYFUNCTION("""COMPUTED_VALUE"""),829659)</f>
        <v>829659</v>
      </c>
      <c r="C1327" s="5" t="str">
        <f ca="1">IFERROR(__xludf.DUMMYFUNCTION("""COMPUTED_VALUE"""),"TRANSPORTADOR")</f>
        <v>TRANSPORTADOR</v>
      </c>
      <c r="D1327" s="5">
        <f ca="1">IFERROR(__xludf.DUMMYFUNCTION("""COMPUTED_VALUE"""),13247782)</f>
        <v>13247782</v>
      </c>
      <c r="E1327" s="5" t="str">
        <f ca="1">IFERROR(__xludf.DUMMYFUNCTION("""COMPUTED_VALUE"""),"INSPECCION SEMANAL TRANSPORTADOR")</f>
        <v>INSPECCION SEMANAL TRANSPORTADOR</v>
      </c>
      <c r="F1327" s="5" t="str">
        <f ca="1">IFERROR(__xludf.DUMMYFUNCTION("""COMPUTED_VALUE"""),"ESTADO JABON LUBRICANTE NIVEL")</f>
        <v>ESTADO JABON LUBRICANTE NIVEL</v>
      </c>
      <c r="G1327" s="5" t="b">
        <f ca="1">IFERROR(__xludf.DUMMYFUNCTION("""COMPUTED_VALUE"""),TRUE)</f>
        <v>1</v>
      </c>
      <c r="H1327" s="5"/>
      <c r="I1327" s="5"/>
      <c r="J1327" s="5">
        <f ca="1">IFERROR(__xludf.DUMMYFUNCTION("""COMPUTED_VALUE"""),13247782)</f>
        <v>13247782</v>
      </c>
      <c r="K1327" s="5"/>
      <c r="L1327" s="18">
        <f ca="1">IFERROR(__xludf.DUMMYFUNCTION("""COMPUTED_VALUE"""),45324)</f>
        <v>45324</v>
      </c>
      <c r="M1327" s="18">
        <f ca="1">IFERROR(__xludf.DUMMYFUNCTION("""COMPUTED_VALUE"""),45324)</f>
        <v>45324</v>
      </c>
      <c r="N1327" s="5" t="str">
        <f ca="1">IFERROR(__xludf.DUMMYFUNCTION("""COMPUTED_VALUE"""),"Vanegas Guependo Hermes")</f>
        <v>Vanegas Guependo Hermes</v>
      </c>
      <c r="O1327" s="2">
        <f ca="1">IFERROR(__xludf.DUMMYFUNCTION("""COMPUTED_VALUE"""),0.011111111)</f>
        <v>1.1111111E-2</v>
      </c>
      <c r="P1327" s="5">
        <f ca="1">IFERROR(__xludf.DUMMYFUNCTION("""COMPUTED_VALUE"""),20010206)</f>
        <v>20010206</v>
      </c>
      <c r="Q1327" s="5" t="str">
        <f ca="1">IFERROR(__xludf.DUMMYFUNCTION("""COMPUTED_VALUE"""),"JYxMM95mOPg")</f>
        <v>JYxMM95mOPg</v>
      </c>
      <c r="R1327" s="5">
        <f ca="1">IFERROR(__xludf.DUMMYFUNCTION("""COMPUTED_VALUE"""),410)</f>
        <v>410</v>
      </c>
      <c r="S1327" s="62">
        <f ca="1">IFERROR(__xludf.DUMMYFUNCTION("""COMPUTED_VALUE"""),0.011111111)</f>
        <v>1.1111111E-2</v>
      </c>
      <c r="T1327" s="63" t="str">
        <f ca="1">IFERROR(__xludf.DUMMYFUNCTION("""COMPUTED_VALUE"""),"https://storage.googleapis.com/glide-prod.appspot.com/uploads-v2/ly7o78grxPaC6KdgvbpS/pub/3aRdSog0vUtuqPE8AJKD.png")</f>
        <v>https://storage.googleapis.com/glide-prod.appspot.com/uploads-v2/ly7o78grxPaC6KdgvbpS/pub/3aRdSog0vUtuqPE8AJKD.png</v>
      </c>
      <c r="U1327" s="5" t="str">
        <f ca="1">IFERROR(__xludf.DUMMYFUNCTION("""COMPUTED_VALUE"""),"LINEA DE ENVASADO JUGOS PET HOT FILLTRANSPORTADOR")</f>
        <v>LINEA DE ENVASADO JUGOS PET HOT FILLTRANSPORTADOR</v>
      </c>
      <c r="V1327" s="5"/>
      <c r="W1327" s="5" t="b">
        <f ca="1">IFERROR(__xludf.DUMMYFUNCTION("""COMPUTED_VALUE"""),TRUE)</f>
        <v>1</v>
      </c>
      <c r="X1327" s="5" t="str">
        <f ca="1">IFERROR(__xludf.DUMMYFUNCTION("""COMPUTED_VALUE"""),"achavezi@postobon.com.co,aprmttoyu@postobon.com.co,aprmyu@postobon.com.co,wmora@postobon.com.co,efzapata@postobon.com.co")</f>
        <v>achavezi@postobon.com.co,aprmttoyu@postobon.com.co,aprmyu@postobon.com.co,wmora@postobon.com.co,efzapata@postobon.com.co</v>
      </c>
      <c r="Y1327" s="5" t="str">
        <f ca="1">IFERROR(__xludf.DUMMYFUNCTION("""COMPUTED_VALUE"""),"achavezi@postobon.com.co")</f>
        <v>achavezi@postobon.com.co</v>
      </c>
      <c r="Z1327" s="5" t="str">
        <f ca="1">IFERROR(__xludf.DUMMYFUNCTION("""COMPUTED_VALUE"""),"nA0UTjmlSsabzwTiZXIS7g")</f>
        <v>nA0UTjmlSsabzwTiZXIS7g</v>
      </c>
      <c r="AA1327" s="5"/>
      <c r="AB1327" s="5"/>
      <c r="AC1327" s="5"/>
      <c r="AD1327" s="5">
        <f ca="1">IFERROR(__xludf.DUMMYFUNCTION("""COMPUTED_VALUE"""),29)</f>
        <v>29</v>
      </c>
      <c r="AE1327" s="5">
        <f ca="1">IFERROR(__xludf.DUMMYFUNCTION("""COMPUTED_VALUE"""),29)</f>
        <v>29</v>
      </c>
      <c r="AF1327" s="5" t="b">
        <f ca="1">IFERROR(__xludf.DUMMYFUNCTION("""COMPUTED_VALUE"""),FALSE)</f>
        <v>0</v>
      </c>
      <c r="AG1327" s="5" t="str">
        <f ca="1">IFERROR(__xludf.DUMMYFUNCTION("""COMPUTED_VALUE"""),"INSPECCIONES REALIZADAS")</f>
        <v>INSPECCIONES REALIZADAS</v>
      </c>
      <c r="AH1327" s="5"/>
    </row>
    <row r="1328" spans="1:34">
      <c r="A1328" s="5" t="str">
        <f ca="1">IFERROR(__xludf.DUMMYFUNCTION("""COMPUTED_VALUE"""),"LINEA DE ENVASADO JUGOS PET HOT FILL")</f>
        <v>LINEA DE ENVASADO JUGOS PET HOT FILL</v>
      </c>
      <c r="B1328" s="5">
        <f ca="1">IFERROR(__xludf.DUMMYFUNCTION("""COMPUTED_VALUE"""),829659)</f>
        <v>829659</v>
      </c>
      <c r="C1328" s="5" t="str">
        <f ca="1">IFERROR(__xludf.DUMMYFUNCTION("""COMPUTED_VALUE"""),"TRANSPORTADOR")</f>
        <v>TRANSPORTADOR</v>
      </c>
      <c r="D1328" s="5">
        <f ca="1">IFERROR(__xludf.DUMMYFUNCTION("""COMPUTED_VALUE"""),13247782)</f>
        <v>13247782</v>
      </c>
      <c r="E1328" s="5" t="str">
        <f ca="1">IFERROR(__xludf.DUMMYFUNCTION("""COMPUTED_VALUE"""),"INSPECCION SEMANAL TRANSPORTADOR")</f>
        <v>INSPECCION SEMANAL TRANSPORTADOR</v>
      </c>
      <c r="F1328" s="5" t="str">
        <f ca="1">IFERROR(__xludf.DUMMYFUNCTION("""COMPUTED_VALUE"""),"ESTADO CADENAS TORNILLERIA")</f>
        <v>ESTADO CADENAS TORNILLERIA</v>
      </c>
      <c r="G1328" s="5" t="b">
        <f ca="1">IFERROR(__xludf.DUMMYFUNCTION("""COMPUTED_VALUE"""),TRUE)</f>
        <v>1</v>
      </c>
      <c r="H1328" s="5"/>
      <c r="I1328" s="5"/>
      <c r="J1328" s="5">
        <f ca="1">IFERROR(__xludf.DUMMYFUNCTION("""COMPUTED_VALUE"""),13247782)</f>
        <v>13247782</v>
      </c>
      <c r="K1328" s="5"/>
      <c r="L1328" s="18">
        <f ca="1">IFERROR(__xludf.DUMMYFUNCTION("""COMPUTED_VALUE"""),45324)</f>
        <v>45324</v>
      </c>
      <c r="M1328" s="18">
        <f ca="1">IFERROR(__xludf.DUMMYFUNCTION("""COMPUTED_VALUE"""),45324)</f>
        <v>45324</v>
      </c>
      <c r="N1328" s="5" t="str">
        <f ca="1">IFERROR(__xludf.DUMMYFUNCTION("""COMPUTED_VALUE"""),"Vanegas Guependo Hermes")</f>
        <v>Vanegas Guependo Hermes</v>
      </c>
      <c r="O1328" s="2">
        <f ca="1">IFERROR(__xludf.DUMMYFUNCTION("""COMPUTED_VALUE"""),0.011111111)</f>
        <v>1.1111111E-2</v>
      </c>
      <c r="P1328" s="5">
        <f ca="1">IFERROR(__xludf.DUMMYFUNCTION("""COMPUTED_VALUE"""),20010206)</f>
        <v>20010206</v>
      </c>
      <c r="Q1328" s="5" t="str">
        <f ca="1">IFERROR(__xludf.DUMMYFUNCTION("""COMPUTED_VALUE"""),"Khs8UbVq6os")</f>
        <v>Khs8UbVq6os</v>
      </c>
      <c r="R1328" s="5">
        <f ca="1">IFERROR(__xludf.DUMMYFUNCTION("""COMPUTED_VALUE"""),410)</f>
        <v>410</v>
      </c>
      <c r="S1328" s="62">
        <f ca="1">IFERROR(__xludf.DUMMYFUNCTION("""COMPUTED_VALUE"""),0.011111111)</f>
        <v>1.1111111E-2</v>
      </c>
      <c r="T1328" s="63" t="str">
        <f ca="1">IFERROR(__xludf.DUMMYFUNCTION("""COMPUTED_VALUE"""),"https://storage.googleapis.com/glide-prod.appspot.com/uploads-v2/ly7o78grxPaC6KdgvbpS/pub/3aRdSog0vUtuqPE8AJKD.png")</f>
        <v>https://storage.googleapis.com/glide-prod.appspot.com/uploads-v2/ly7o78grxPaC6KdgvbpS/pub/3aRdSog0vUtuqPE8AJKD.png</v>
      </c>
      <c r="U1328" s="5" t="str">
        <f ca="1">IFERROR(__xludf.DUMMYFUNCTION("""COMPUTED_VALUE"""),"LINEA DE ENVASADO JUGOS PET HOT FILLTRANSPORTADOR")</f>
        <v>LINEA DE ENVASADO JUGOS PET HOT FILLTRANSPORTADOR</v>
      </c>
      <c r="V1328" s="5"/>
      <c r="W1328" s="5" t="b">
        <f ca="1">IFERROR(__xludf.DUMMYFUNCTION("""COMPUTED_VALUE"""),TRUE)</f>
        <v>1</v>
      </c>
      <c r="X1328" s="5" t="str">
        <f ca="1">IFERROR(__xludf.DUMMYFUNCTION("""COMPUTED_VALUE"""),"achavezi@postobon.com.co,aprmttoyu@postobon.com.co,aprmyu@postobon.com.co,wmora@postobon.com.co,efzapata@postobon.com.co")</f>
        <v>achavezi@postobon.com.co,aprmttoyu@postobon.com.co,aprmyu@postobon.com.co,wmora@postobon.com.co,efzapata@postobon.com.co</v>
      </c>
      <c r="Y1328" s="5" t="str">
        <f ca="1">IFERROR(__xludf.DUMMYFUNCTION("""COMPUTED_VALUE"""),"achavezi@postobon.com.co")</f>
        <v>achavezi@postobon.com.co</v>
      </c>
      <c r="Z1328" s="5" t="str">
        <f ca="1">IFERROR(__xludf.DUMMYFUNCTION("""COMPUTED_VALUE"""),"OR6u3kVQRKmFR5YNSgMEAQ")</f>
        <v>OR6u3kVQRKmFR5YNSgMEAQ</v>
      </c>
      <c r="AA1328" s="5"/>
      <c r="AB1328" s="5"/>
      <c r="AC1328" s="5"/>
      <c r="AD1328" s="5">
        <f ca="1">IFERROR(__xludf.DUMMYFUNCTION("""COMPUTED_VALUE"""),29)</f>
        <v>29</v>
      </c>
      <c r="AE1328" s="5">
        <f ca="1">IFERROR(__xludf.DUMMYFUNCTION("""COMPUTED_VALUE"""),29)</f>
        <v>29</v>
      </c>
      <c r="AF1328" s="5" t="b">
        <f ca="1">IFERROR(__xludf.DUMMYFUNCTION("""COMPUTED_VALUE"""),FALSE)</f>
        <v>0</v>
      </c>
      <c r="AG1328" s="5" t="str">
        <f ca="1">IFERROR(__xludf.DUMMYFUNCTION("""COMPUTED_VALUE"""),"INSPECCIONES REALIZADAS")</f>
        <v>INSPECCIONES REALIZADAS</v>
      </c>
      <c r="AH1328" s="5"/>
    </row>
    <row r="1329" spans="1:34">
      <c r="A1329" s="5" t="str">
        <f ca="1">IFERROR(__xludf.DUMMYFUNCTION("""COMPUTED_VALUE"""),"LINEA DE ENVASADO JUGOS PET HOT FILL")</f>
        <v>LINEA DE ENVASADO JUGOS PET HOT FILL</v>
      </c>
      <c r="B1329" s="5">
        <f ca="1">IFERROR(__xludf.DUMMYFUNCTION("""COMPUTED_VALUE"""),829659)</f>
        <v>829659</v>
      </c>
      <c r="C1329" s="5" t="str">
        <f ca="1">IFERROR(__xludf.DUMMYFUNCTION("""COMPUTED_VALUE"""),"TRANSPORTADOR")</f>
        <v>TRANSPORTADOR</v>
      </c>
      <c r="D1329" s="5">
        <f ca="1">IFERROR(__xludf.DUMMYFUNCTION("""COMPUTED_VALUE"""),13247782)</f>
        <v>13247782</v>
      </c>
      <c r="E1329" s="5" t="str">
        <f ca="1">IFERROR(__xludf.DUMMYFUNCTION("""COMPUTED_VALUE"""),"INSPECCION SEMANAL TRANSPORTADOR")</f>
        <v>INSPECCION SEMANAL TRANSPORTADOR</v>
      </c>
      <c r="F1329" s="5" t="str">
        <f ca="1">IFERROR(__xludf.DUMMYFUNCTION("""COMPUTED_VALUE"""),"ESTADO BOQUILLAS ROCIADORAS")</f>
        <v>ESTADO BOQUILLAS ROCIADORAS</v>
      </c>
      <c r="G1329" s="5" t="b">
        <f ca="1">IFERROR(__xludf.DUMMYFUNCTION("""COMPUTED_VALUE"""),TRUE)</f>
        <v>1</v>
      </c>
      <c r="H1329" s="5"/>
      <c r="I1329" s="5"/>
      <c r="J1329" s="5">
        <f ca="1">IFERROR(__xludf.DUMMYFUNCTION("""COMPUTED_VALUE"""),13247782)</f>
        <v>13247782</v>
      </c>
      <c r="K1329" s="5"/>
      <c r="L1329" s="18">
        <f ca="1">IFERROR(__xludf.DUMMYFUNCTION("""COMPUTED_VALUE"""),45324)</f>
        <v>45324</v>
      </c>
      <c r="M1329" s="18">
        <f ca="1">IFERROR(__xludf.DUMMYFUNCTION("""COMPUTED_VALUE"""),45324)</f>
        <v>45324</v>
      </c>
      <c r="N1329" s="5" t="str">
        <f ca="1">IFERROR(__xludf.DUMMYFUNCTION("""COMPUTED_VALUE"""),"Vanegas Guependo Hermes")</f>
        <v>Vanegas Guependo Hermes</v>
      </c>
      <c r="O1329" s="2">
        <f ca="1">IFERROR(__xludf.DUMMYFUNCTION("""COMPUTED_VALUE"""),0.011111111)</f>
        <v>1.1111111E-2</v>
      </c>
      <c r="P1329" s="5">
        <f ca="1">IFERROR(__xludf.DUMMYFUNCTION("""COMPUTED_VALUE"""),20010206)</f>
        <v>20010206</v>
      </c>
      <c r="Q1329" s="5" t="str">
        <f ca="1">IFERROR(__xludf.DUMMYFUNCTION("""COMPUTED_VALUE"""),"7Bhaeq249GY")</f>
        <v>7Bhaeq249GY</v>
      </c>
      <c r="R1329" s="5">
        <f ca="1">IFERROR(__xludf.DUMMYFUNCTION("""COMPUTED_VALUE"""),410)</f>
        <v>410</v>
      </c>
      <c r="S1329" s="62">
        <f ca="1">IFERROR(__xludf.DUMMYFUNCTION("""COMPUTED_VALUE"""),0.011111111)</f>
        <v>1.1111111E-2</v>
      </c>
      <c r="T1329" s="63" t="str">
        <f ca="1">IFERROR(__xludf.DUMMYFUNCTION("""COMPUTED_VALUE"""),"https://storage.googleapis.com/glide-prod.appspot.com/uploads-v2/ly7o78grxPaC6KdgvbpS/pub/3aRdSog0vUtuqPE8AJKD.png")</f>
        <v>https://storage.googleapis.com/glide-prod.appspot.com/uploads-v2/ly7o78grxPaC6KdgvbpS/pub/3aRdSog0vUtuqPE8AJKD.png</v>
      </c>
      <c r="U1329" s="5" t="str">
        <f ca="1">IFERROR(__xludf.DUMMYFUNCTION("""COMPUTED_VALUE"""),"LINEA DE ENVASADO JUGOS PET HOT FILLTRANSPORTADOR")</f>
        <v>LINEA DE ENVASADO JUGOS PET HOT FILLTRANSPORTADOR</v>
      </c>
      <c r="V1329" s="5"/>
      <c r="W1329" s="5" t="b">
        <f ca="1">IFERROR(__xludf.DUMMYFUNCTION("""COMPUTED_VALUE"""),TRUE)</f>
        <v>1</v>
      </c>
      <c r="X1329" s="5" t="str">
        <f ca="1">IFERROR(__xludf.DUMMYFUNCTION("""COMPUTED_VALUE"""),"achavezi@postobon.com.co,aprmttoyu@postobon.com.co,aprmyu@postobon.com.co,wmora@postobon.com.co,efzapata@postobon.com.co")</f>
        <v>achavezi@postobon.com.co,aprmttoyu@postobon.com.co,aprmyu@postobon.com.co,wmora@postobon.com.co,efzapata@postobon.com.co</v>
      </c>
      <c r="Y1329" s="5" t="str">
        <f ca="1">IFERROR(__xludf.DUMMYFUNCTION("""COMPUTED_VALUE"""),"achavezi@postobon.com.co")</f>
        <v>achavezi@postobon.com.co</v>
      </c>
      <c r="Z1329" s="5" t="str">
        <f ca="1">IFERROR(__xludf.DUMMYFUNCTION("""COMPUTED_VALUE"""),"hkQFJwqHTnmbPRiGpAUngA")</f>
        <v>hkQFJwqHTnmbPRiGpAUngA</v>
      </c>
      <c r="AA1329" s="5"/>
      <c r="AB1329" s="5"/>
      <c r="AC1329" s="5"/>
      <c r="AD1329" s="5">
        <f ca="1">IFERROR(__xludf.DUMMYFUNCTION("""COMPUTED_VALUE"""),29)</f>
        <v>29</v>
      </c>
      <c r="AE1329" s="5">
        <f ca="1">IFERROR(__xludf.DUMMYFUNCTION("""COMPUTED_VALUE"""),29)</f>
        <v>29</v>
      </c>
      <c r="AF1329" s="5" t="b">
        <f ca="1">IFERROR(__xludf.DUMMYFUNCTION("""COMPUTED_VALUE"""),FALSE)</f>
        <v>0</v>
      </c>
      <c r="AG1329" s="5" t="str">
        <f ca="1">IFERROR(__xludf.DUMMYFUNCTION("""COMPUTED_VALUE"""),"INSPECCIONES REALIZADAS")</f>
        <v>INSPECCIONES REALIZADAS</v>
      </c>
      <c r="AH1329" s="5"/>
    </row>
    <row r="1330" spans="1:34">
      <c r="A1330" s="5" t="str">
        <f ca="1">IFERROR(__xludf.DUMMYFUNCTION("""COMPUTED_VALUE"""),"LINEA DE ENVASADO JUGOS PET HOT FILL")</f>
        <v>LINEA DE ENVASADO JUGOS PET HOT FILL</v>
      </c>
      <c r="B1330" s="5">
        <f ca="1">IFERROR(__xludf.DUMMYFUNCTION("""COMPUTED_VALUE"""),829659)</f>
        <v>829659</v>
      </c>
      <c r="C1330" s="5" t="str">
        <f ca="1">IFERROR(__xludf.DUMMYFUNCTION("""COMPUTED_VALUE"""),"TRANSPORTADOR")</f>
        <v>TRANSPORTADOR</v>
      </c>
      <c r="D1330" s="5">
        <f ca="1">IFERROR(__xludf.DUMMYFUNCTION("""COMPUTED_VALUE"""),13247782)</f>
        <v>13247782</v>
      </c>
      <c r="E1330" s="5" t="str">
        <f ca="1">IFERROR(__xludf.DUMMYFUNCTION("""COMPUTED_VALUE"""),"INSPECCION SEMANAL TRANSPORTADOR")</f>
        <v>INSPECCION SEMANAL TRANSPORTADOR</v>
      </c>
      <c r="F1330" s="5" t="str">
        <f ca="1">IFERROR(__xludf.DUMMYFUNCTION("""COMPUTED_VALUE"""),"ESTADO MOTO REDUCTORES")</f>
        <v>ESTADO MOTO REDUCTORES</v>
      </c>
      <c r="G1330" s="5" t="b">
        <f ca="1">IFERROR(__xludf.DUMMYFUNCTION("""COMPUTED_VALUE"""),TRUE)</f>
        <v>1</v>
      </c>
      <c r="H1330" s="5"/>
      <c r="I1330" s="5"/>
      <c r="J1330" s="5">
        <f ca="1">IFERROR(__xludf.DUMMYFUNCTION("""COMPUTED_VALUE"""),13247782)</f>
        <v>13247782</v>
      </c>
      <c r="K1330" s="5"/>
      <c r="L1330" s="18">
        <f ca="1">IFERROR(__xludf.DUMMYFUNCTION("""COMPUTED_VALUE"""),45324)</f>
        <v>45324</v>
      </c>
      <c r="M1330" s="18">
        <f ca="1">IFERROR(__xludf.DUMMYFUNCTION("""COMPUTED_VALUE"""),45324)</f>
        <v>45324</v>
      </c>
      <c r="N1330" s="5" t="str">
        <f ca="1">IFERROR(__xludf.DUMMYFUNCTION("""COMPUTED_VALUE"""),"Vanegas Guependo Hermes")</f>
        <v>Vanegas Guependo Hermes</v>
      </c>
      <c r="O1330" s="2">
        <f ca="1">IFERROR(__xludf.DUMMYFUNCTION("""COMPUTED_VALUE"""),0.011111111)</f>
        <v>1.1111111E-2</v>
      </c>
      <c r="P1330" s="5">
        <f ca="1">IFERROR(__xludf.DUMMYFUNCTION("""COMPUTED_VALUE"""),20010206)</f>
        <v>20010206</v>
      </c>
      <c r="Q1330" s="5" t="str">
        <f ca="1">IFERROR(__xludf.DUMMYFUNCTION("""COMPUTED_VALUE"""),"u95eqeBtpig")</f>
        <v>u95eqeBtpig</v>
      </c>
      <c r="R1330" s="5">
        <f ca="1">IFERROR(__xludf.DUMMYFUNCTION("""COMPUTED_VALUE"""),410)</f>
        <v>410</v>
      </c>
      <c r="S1330" s="62">
        <f ca="1">IFERROR(__xludf.DUMMYFUNCTION("""COMPUTED_VALUE"""),0.011111111)</f>
        <v>1.1111111E-2</v>
      </c>
      <c r="T1330" s="63" t="str">
        <f ca="1">IFERROR(__xludf.DUMMYFUNCTION("""COMPUTED_VALUE"""),"https://storage.googleapis.com/glide-prod.appspot.com/uploads-v2/ly7o78grxPaC6KdgvbpS/pub/3aRdSog0vUtuqPE8AJKD.png")</f>
        <v>https://storage.googleapis.com/glide-prod.appspot.com/uploads-v2/ly7o78grxPaC6KdgvbpS/pub/3aRdSog0vUtuqPE8AJKD.png</v>
      </c>
      <c r="U1330" s="5" t="str">
        <f ca="1">IFERROR(__xludf.DUMMYFUNCTION("""COMPUTED_VALUE"""),"LINEA DE ENVASADO JUGOS PET HOT FILLTRANSPORTADOR")</f>
        <v>LINEA DE ENVASADO JUGOS PET HOT FILLTRANSPORTADOR</v>
      </c>
      <c r="V1330" s="5"/>
      <c r="W1330" s="5" t="b">
        <f ca="1">IFERROR(__xludf.DUMMYFUNCTION("""COMPUTED_VALUE"""),TRUE)</f>
        <v>1</v>
      </c>
      <c r="X1330" s="5" t="str">
        <f ca="1">IFERROR(__xludf.DUMMYFUNCTION("""COMPUTED_VALUE"""),"achavezi@postobon.com.co,aprmttoyu@postobon.com.co,aprmyu@postobon.com.co,wmora@postobon.com.co,efzapata@postobon.com.co")</f>
        <v>achavezi@postobon.com.co,aprmttoyu@postobon.com.co,aprmyu@postobon.com.co,wmora@postobon.com.co,efzapata@postobon.com.co</v>
      </c>
      <c r="Y1330" s="5" t="str">
        <f ca="1">IFERROR(__xludf.DUMMYFUNCTION("""COMPUTED_VALUE"""),"achavezi@postobon.com.co")</f>
        <v>achavezi@postobon.com.co</v>
      </c>
      <c r="Z1330" s="5" t="str">
        <f ca="1">IFERROR(__xludf.DUMMYFUNCTION("""COMPUTED_VALUE"""),"dVLi2zEwSuypRgu1ju.RZQ")</f>
        <v>dVLi2zEwSuypRgu1ju.RZQ</v>
      </c>
      <c r="AA1330" s="5"/>
      <c r="AB1330" s="5"/>
      <c r="AC1330" s="5"/>
      <c r="AD1330" s="5">
        <f ca="1">IFERROR(__xludf.DUMMYFUNCTION("""COMPUTED_VALUE"""),29)</f>
        <v>29</v>
      </c>
      <c r="AE1330" s="5">
        <f ca="1">IFERROR(__xludf.DUMMYFUNCTION("""COMPUTED_VALUE"""),29)</f>
        <v>29</v>
      </c>
      <c r="AF1330" s="5" t="b">
        <f ca="1">IFERROR(__xludf.DUMMYFUNCTION("""COMPUTED_VALUE"""),FALSE)</f>
        <v>0</v>
      </c>
      <c r="AG1330" s="5" t="str">
        <f ca="1">IFERROR(__xludf.DUMMYFUNCTION("""COMPUTED_VALUE"""),"INSPECCIONES REALIZADAS")</f>
        <v>INSPECCIONES REALIZADAS</v>
      </c>
      <c r="AH1330" s="5"/>
    </row>
    <row r="1331" spans="1:34">
      <c r="A1331" s="5" t="str">
        <f ca="1">IFERROR(__xludf.DUMMYFUNCTION("""COMPUTED_VALUE"""),"LINEA DE ENVASADO JUGOS PET HOT FILL")</f>
        <v>LINEA DE ENVASADO JUGOS PET HOT FILL</v>
      </c>
      <c r="B1331" s="5">
        <f ca="1">IFERROR(__xludf.DUMMYFUNCTION("""COMPUTED_VALUE"""),829659)</f>
        <v>829659</v>
      </c>
      <c r="C1331" s="5" t="str">
        <f ca="1">IFERROR(__xludf.DUMMYFUNCTION("""COMPUTED_VALUE"""),"TRANSPORTADOR")</f>
        <v>TRANSPORTADOR</v>
      </c>
      <c r="D1331" s="5">
        <f ca="1">IFERROR(__xludf.DUMMYFUNCTION("""COMPUTED_VALUE"""),13247782)</f>
        <v>13247782</v>
      </c>
      <c r="E1331" s="5" t="str">
        <f ca="1">IFERROR(__xludf.DUMMYFUNCTION("""COMPUTED_VALUE"""),"INSPECCION SEMANAL TRANSPORTADOR")</f>
        <v>INSPECCION SEMANAL TRANSPORTADOR</v>
      </c>
      <c r="F1331" s="5" t="str">
        <f ca="1">IFERROR(__xludf.DUMMYFUNCTION("""COMPUTED_VALUE"""),"ESTADO BANDA TRANSPORTADORA")</f>
        <v>ESTADO BANDA TRANSPORTADORA</v>
      </c>
      <c r="G1331" s="5" t="b">
        <f ca="1">IFERROR(__xludf.DUMMYFUNCTION("""COMPUTED_VALUE"""),TRUE)</f>
        <v>1</v>
      </c>
      <c r="H1331" s="5"/>
      <c r="I1331" s="5"/>
      <c r="J1331" s="5">
        <f ca="1">IFERROR(__xludf.DUMMYFUNCTION("""COMPUTED_VALUE"""),13247782)</f>
        <v>13247782</v>
      </c>
      <c r="K1331" s="5"/>
      <c r="L1331" s="18">
        <f ca="1">IFERROR(__xludf.DUMMYFUNCTION("""COMPUTED_VALUE"""),45324)</f>
        <v>45324</v>
      </c>
      <c r="M1331" s="18">
        <f ca="1">IFERROR(__xludf.DUMMYFUNCTION("""COMPUTED_VALUE"""),45324)</f>
        <v>45324</v>
      </c>
      <c r="N1331" s="5" t="str">
        <f ca="1">IFERROR(__xludf.DUMMYFUNCTION("""COMPUTED_VALUE"""),"Vanegas Guependo Hermes")</f>
        <v>Vanegas Guependo Hermes</v>
      </c>
      <c r="O1331" s="2">
        <f ca="1">IFERROR(__xludf.DUMMYFUNCTION("""COMPUTED_VALUE"""),0.011111111)</f>
        <v>1.1111111E-2</v>
      </c>
      <c r="P1331" s="5">
        <f ca="1">IFERROR(__xludf.DUMMYFUNCTION("""COMPUTED_VALUE"""),20010206)</f>
        <v>20010206</v>
      </c>
      <c r="Q1331" s="5" t="str">
        <f ca="1">IFERROR(__xludf.DUMMYFUNCTION("""COMPUTED_VALUE"""),"rYrYqbrt_FI")</f>
        <v>rYrYqbrt_FI</v>
      </c>
      <c r="R1331" s="5">
        <f ca="1">IFERROR(__xludf.DUMMYFUNCTION("""COMPUTED_VALUE"""),410)</f>
        <v>410</v>
      </c>
      <c r="S1331" s="62">
        <f ca="1">IFERROR(__xludf.DUMMYFUNCTION("""COMPUTED_VALUE"""),0.011111111)</f>
        <v>1.1111111E-2</v>
      </c>
      <c r="T1331" s="63" t="str">
        <f ca="1">IFERROR(__xludf.DUMMYFUNCTION("""COMPUTED_VALUE"""),"https://storage.googleapis.com/glide-prod.appspot.com/uploads-v2/ly7o78grxPaC6KdgvbpS/pub/3aRdSog0vUtuqPE8AJKD.png")</f>
        <v>https://storage.googleapis.com/glide-prod.appspot.com/uploads-v2/ly7o78grxPaC6KdgvbpS/pub/3aRdSog0vUtuqPE8AJKD.png</v>
      </c>
      <c r="U1331" s="5" t="str">
        <f ca="1">IFERROR(__xludf.DUMMYFUNCTION("""COMPUTED_VALUE"""),"LINEA DE ENVASADO JUGOS PET HOT FILLTRANSPORTADOR")</f>
        <v>LINEA DE ENVASADO JUGOS PET HOT FILLTRANSPORTADOR</v>
      </c>
      <c r="V1331" s="5"/>
      <c r="W1331" s="5" t="b">
        <f ca="1">IFERROR(__xludf.DUMMYFUNCTION("""COMPUTED_VALUE"""),TRUE)</f>
        <v>1</v>
      </c>
      <c r="X1331" s="5" t="str">
        <f ca="1">IFERROR(__xludf.DUMMYFUNCTION("""COMPUTED_VALUE"""),"achavezi@postobon.com.co,aprmttoyu@postobon.com.co,aprmyu@postobon.com.co,wmora@postobon.com.co,efzapata@postobon.com.co")</f>
        <v>achavezi@postobon.com.co,aprmttoyu@postobon.com.co,aprmyu@postobon.com.co,wmora@postobon.com.co,efzapata@postobon.com.co</v>
      </c>
      <c r="Y1331" s="5" t="str">
        <f ca="1">IFERROR(__xludf.DUMMYFUNCTION("""COMPUTED_VALUE"""),"achavezi@postobon.com.co")</f>
        <v>achavezi@postobon.com.co</v>
      </c>
      <c r="Z1331" s="5" t="str">
        <f ca="1">IFERROR(__xludf.DUMMYFUNCTION("""COMPUTED_VALUE"""),"kB0k9DrzTxahmEy4SEmf3A")</f>
        <v>kB0k9DrzTxahmEy4SEmf3A</v>
      </c>
      <c r="AA1331" s="5"/>
      <c r="AB1331" s="5"/>
      <c r="AC1331" s="5"/>
      <c r="AD1331" s="5">
        <f ca="1">IFERROR(__xludf.DUMMYFUNCTION("""COMPUTED_VALUE"""),29)</f>
        <v>29</v>
      </c>
      <c r="AE1331" s="5">
        <f ca="1">IFERROR(__xludf.DUMMYFUNCTION("""COMPUTED_VALUE"""),29)</f>
        <v>29</v>
      </c>
      <c r="AF1331" s="5" t="b">
        <f ca="1">IFERROR(__xludf.DUMMYFUNCTION("""COMPUTED_VALUE"""),FALSE)</f>
        <v>0</v>
      </c>
      <c r="AG1331" s="5" t="str">
        <f ca="1">IFERROR(__xludf.DUMMYFUNCTION("""COMPUTED_VALUE"""),"INSPECCIONES REALIZADAS")</f>
        <v>INSPECCIONES REALIZADAS</v>
      </c>
      <c r="AH1331" s="5"/>
    </row>
    <row r="1332" spans="1:34">
      <c r="A1332" s="5" t="str">
        <f ca="1">IFERROR(__xludf.DUMMYFUNCTION("""COMPUTED_VALUE"""),"LINEA DE ENVASADO JUGOS PET HOT FILL")</f>
        <v>LINEA DE ENVASADO JUGOS PET HOT FILL</v>
      </c>
      <c r="B1332" s="5">
        <f ca="1">IFERROR(__xludf.DUMMYFUNCTION("""COMPUTED_VALUE"""),829659)</f>
        <v>829659</v>
      </c>
      <c r="C1332" s="5" t="str">
        <f ca="1">IFERROR(__xludf.DUMMYFUNCTION("""COMPUTED_VALUE"""),"TRANSPORTADOR")</f>
        <v>TRANSPORTADOR</v>
      </c>
      <c r="D1332" s="5">
        <f ca="1">IFERROR(__xludf.DUMMYFUNCTION("""COMPUTED_VALUE"""),13247782)</f>
        <v>13247782</v>
      </c>
      <c r="E1332" s="5" t="str">
        <f ca="1">IFERROR(__xludf.DUMMYFUNCTION("""COMPUTED_VALUE"""),"INSPECCION SEMANAL TRANSPORTADOR")</f>
        <v>INSPECCION SEMANAL TRANSPORTADOR</v>
      </c>
      <c r="F1332" s="5" t="str">
        <f ca="1">IFERROR(__xludf.DUMMYFUNCTION("""COMPUTED_VALUE"""),"ESTADO DE SENSORES")</f>
        <v>ESTADO DE SENSORES</v>
      </c>
      <c r="G1332" s="5" t="b">
        <f ca="1">IFERROR(__xludf.DUMMYFUNCTION("""COMPUTED_VALUE"""),TRUE)</f>
        <v>1</v>
      </c>
      <c r="H1332" s="5"/>
      <c r="I1332" s="5"/>
      <c r="J1332" s="5">
        <f ca="1">IFERROR(__xludf.DUMMYFUNCTION("""COMPUTED_VALUE"""),13247782)</f>
        <v>13247782</v>
      </c>
      <c r="K1332" s="5"/>
      <c r="L1332" s="18">
        <f ca="1">IFERROR(__xludf.DUMMYFUNCTION("""COMPUTED_VALUE"""),45324)</f>
        <v>45324</v>
      </c>
      <c r="M1332" s="18">
        <f ca="1">IFERROR(__xludf.DUMMYFUNCTION("""COMPUTED_VALUE"""),45324)</f>
        <v>45324</v>
      </c>
      <c r="N1332" s="5" t="str">
        <f ca="1">IFERROR(__xludf.DUMMYFUNCTION("""COMPUTED_VALUE"""),"Vanegas Guependo Hermes")</f>
        <v>Vanegas Guependo Hermes</v>
      </c>
      <c r="O1332" s="2">
        <f ca="1">IFERROR(__xludf.DUMMYFUNCTION("""COMPUTED_VALUE"""),0.011111111)</f>
        <v>1.1111111E-2</v>
      </c>
      <c r="P1332" s="5">
        <f ca="1">IFERROR(__xludf.DUMMYFUNCTION("""COMPUTED_VALUE"""),20010206)</f>
        <v>20010206</v>
      </c>
      <c r="Q1332" s="5" t="str">
        <f ca="1">IFERROR(__xludf.DUMMYFUNCTION("""COMPUTED_VALUE"""),"BFafe3EnNxA")</f>
        <v>BFafe3EnNxA</v>
      </c>
      <c r="R1332" s="5">
        <f ca="1">IFERROR(__xludf.DUMMYFUNCTION("""COMPUTED_VALUE"""),410)</f>
        <v>410</v>
      </c>
      <c r="S1332" s="62">
        <f ca="1">IFERROR(__xludf.DUMMYFUNCTION("""COMPUTED_VALUE"""),0.011111111)</f>
        <v>1.1111111E-2</v>
      </c>
      <c r="T1332" s="63" t="str">
        <f ca="1">IFERROR(__xludf.DUMMYFUNCTION("""COMPUTED_VALUE"""),"https://storage.googleapis.com/glide-prod.appspot.com/uploads-v2/ly7o78grxPaC6KdgvbpS/pub/3aRdSog0vUtuqPE8AJKD.png")</f>
        <v>https://storage.googleapis.com/glide-prod.appspot.com/uploads-v2/ly7o78grxPaC6KdgvbpS/pub/3aRdSog0vUtuqPE8AJKD.png</v>
      </c>
      <c r="U1332" s="5" t="str">
        <f ca="1">IFERROR(__xludf.DUMMYFUNCTION("""COMPUTED_VALUE"""),"LINEA DE ENVASADO JUGOS PET HOT FILLTRANSPORTADOR")</f>
        <v>LINEA DE ENVASADO JUGOS PET HOT FILLTRANSPORTADOR</v>
      </c>
      <c r="V1332" s="5"/>
      <c r="W1332" s="5" t="b">
        <f ca="1">IFERROR(__xludf.DUMMYFUNCTION("""COMPUTED_VALUE"""),TRUE)</f>
        <v>1</v>
      </c>
      <c r="X1332" s="5" t="str">
        <f ca="1">IFERROR(__xludf.DUMMYFUNCTION("""COMPUTED_VALUE"""),"achavezi@postobon.com.co,aprmttoyu@postobon.com.co,aprmyu@postobon.com.co,wmora@postobon.com.co,efzapata@postobon.com.co")</f>
        <v>achavezi@postobon.com.co,aprmttoyu@postobon.com.co,aprmyu@postobon.com.co,wmora@postobon.com.co,efzapata@postobon.com.co</v>
      </c>
      <c r="Y1332" s="5" t="str">
        <f ca="1">IFERROR(__xludf.DUMMYFUNCTION("""COMPUTED_VALUE"""),"achavezi@postobon.com.co")</f>
        <v>achavezi@postobon.com.co</v>
      </c>
      <c r="Z1332" s="5" t="str">
        <f ca="1">IFERROR(__xludf.DUMMYFUNCTION("""COMPUTED_VALUE"""),"YOL9GHb5S7eSX6437u7Pxw")</f>
        <v>YOL9GHb5S7eSX6437u7Pxw</v>
      </c>
      <c r="AA1332" s="5"/>
      <c r="AB1332" s="5"/>
      <c r="AC1332" s="5"/>
      <c r="AD1332" s="5">
        <f ca="1">IFERROR(__xludf.DUMMYFUNCTION("""COMPUTED_VALUE"""),29)</f>
        <v>29</v>
      </c>
      <c r="AE1332" s="5">
        <f ca="1">IFERROR(__xludf.DUMMYFUNCTION("""COMPUTED_VALUE"""),29)</f>
        <v>29</v>
      </c>
      <c r="AF1332" s="5" t="b">
        <f ca="1">IFERROR(__xludf.DUMMYFUNCTION("""COMPUTED_VALUE"""),FALSE)</f>
        <v>0</v>
      </c>
      <c r="AG1332" s="5" t="str">
        <f ca="1">IFERROR(__xludf.DUMMYFUNCTION("""COMPUTED_VALUE"""),"INSPECCIONES REALIZADAS")</f>
        <v>INSPECCIONES REALIZADAS</v>
      </c>
      <c r="AH1332" s="5"/>
    </row>
    <row r="1333" spans="1:34">
      <c r="A1333" s="5" t="str">
        <f ca="1">IFERROR(__xludf.DUMMYFUNCTION("""COMPUTED_VALUE"""),"LINEA DE ENVASADO JUGOS PET HOT FILL")</f>
        <v>LINEA DE ENVASADO JUGOS PET HOT FILL</v>
      </c>
      <c r="B1333" s="5">
        <f ca="1">IFERROR(__xludf.DUMMYFUNCTION("""COMPUTED_VALUE"""),829659)</f>
        <v>829659</v>
      </c>
      <c r="C1333" s="5" t="str">
        <f ca="1">IFERROR(__xludf.DUMMYFUNCTION("""COMPUTED_VALUE"""),"TRANSPORTADOR")</f>
        <v>TRANSPORTADOR</v>
      </c>
      <c r="D1333" s="5">
        <f ca="1">IFERROR(__xludf.DUMMYFUNCTION("""COMPUTED_VALUE"""),13247782)</f>
        <v>13247782</v>
      </c>
      <c r="E1333" s="5" t="str">
        <f ca="1">IFERROR(__xludf.DUMMYFUNCTION("""COMPUTED_VALUE"""),"INSPECCION SEMANAL TRANSPORTADOR")</f>
        <v>INSPECCION SEMANAL TRANSPORTADOR</v>
      </c>
      <c r="F1333" s="5" t="str">
        <f ca="1">IFERROR(__xludf.DUMMYFUNCTION("""COMPUTED_VALUE"""),"ESTADO GUIAS LATERALES")</f>
        <v>ESTADO GUIAS LATERALES</v>
      </c>
      <c r="G1333" s="5" t="b">
        <f ca="1">IFERROR(__xludf.DUMMYFUNCTION("""COMPUTED_VALUE"""),TRUE)</f>
        <v>1</v>
      </c>
      <c r="H1333" s="5"/>
      <c r="I1333" s="5"/>
      <c r="J1333" s="5">
        <f ca="1">IFERROR(__xludf.DUMMYFUNCTION("""COMPUTED_VALUE"""),13247782)</f>
        <v>13247782</v>
      </c>
      <c r="K1333" s="5"/>
      <c r="L1333" s="18">
        <f ca="1">IFERROR(__xludf.DUMMYFUNCTION("""COMPUTED_VALUE"""),45324)</f>
        <v>45324</v>
      </c>
      <c r="M1333" s="18">
        <f ca="1">IFERROR(__xludf.DUMMYFUNCTION("""COMPUTED_VALUE"""),45324)</f>
        <v>45324</v>
      </c>
      <c r="N1333" s="5" t="str">
        <f ca="1">IFERROR(__xludf.DUMMYFUNCTION("""COMPUTED_VALUE"""),"Vanegas Guependo Hermes")</f>
        <v>Vanegas Guependo Hermes</v>
      </c>
      <c r="O1333" s="2">
        <f ca="1">IFERROR(__xludf.DUMMYFUNCTION("""COMPUTED_VALUE"""),0.011111111)</f>
        <v>1.1111111E-2</v>
      </c>
      <c r="P1333" s="5">
        <f ca="1">IFERROR(__xludf.DUMMYFUNCTION("""COMPUTED_VALUE"""),20010206)</f>
        <v>20010206</v>
      </c>
      <c r="Q1333" s="5" t="str">
        <f ca="1">IFERROR(__xludf.DUMMYFUNCTION("""COMPUTED_VALUE"""),"sB1mHXnQONw")</f>
        <v>sB1mHXnQONw</v>
      </c>
      <c r="R1333" s="5">
        <f ca="1">IFERROR(__xludf.DUMMYFUNCTION("""COMPUTED_VALUE"""),410)</f>
        <v>410</v>
      </c>
      <c r="S1333" s="62">
        <f ca="1">IFERROR(__xludf.DUMMYFUNCTION("""COMPUTED_VALUE"""),0.011111111)</f>
        <v>1.1111111E-2</v>
      </c>
      <c r="T1333" s="63" t="str">
        <f ca="1">IFERROR(__xludf.DUMMYFUNCTION("""COMPUTED_VALUE"""),"https://storage.googleapis.com/glide-prod.appspot.com/uploads-v2/ly7o78grxPaC6KdgvbpS/pub/3aRdSog0vUtuqPE8AJKD.png")</f>
        <v>https://storage.googleapis.com/glide-prod.appspot.com/uploads-v2/ly7o78grxPaC6KdgvbpS/pub/3aRdSog0vUtuqPE8AJKD.png</v>
      </c>
      <c r="U1333" s="5" t="str">
        <f ca="1">IFERROR(__xludf.DUMMYFUNCTION("""COMPUTED_VALUE"""),"LINEA DE ENVASADO JUGOS PET HOT FILLTRANSPORTADOR")</f>
        <v>LINEA DE ENVASADO JUGOS PET HOT FILLTRANSPORTADOR</v>
      </c>
      <c r="V1333" s="5"/>
      <c r="W1333" s="5" t="b">
        <f ca="1">IFERROR(__xludf.DUMMYFUNCTION("""COMPUTED_VALUE"""),TRUE)</f>
        <v>1</v>
      </c>
      <c r="X1333" s="5" t="str">
        <f ca="1">IFERROR(__xludf.DUMMYFUNCTION("""COMPUTED_VALUE"""),"achavezi@postobon.com.co,aprmttoyu@postobon.com.co,aprmyu@postobon.com.co,wmora@postobon.com.co,efzapata@postobon.com.co")</f>
        <v>achavezi@postobon.com.co,aprmttoyu@postobon.com.co,aprmyu@postobon.com.co,wmora@postobon.com.co,efzapata@postobon.com.co</v>
      </c>
      <c r="Y1333" s="5" t="str">
        <f ca="1">IFERROR(__xludf.DUMMYFUNCTION("""COMPUTED_VALUE"""),"achavezi@postobon.com.co")</f>
        <v>achavezi@postobon.com.co</v>
      </c>
      <c r="Z1333" s="5" t="str">
        <f ca="1">IFERROR(__xludf.DUMMYFUNCTION("""COMPUTED_VALUE"""),"IA0NXjzMT5u1mgZHV5fdIA")</f>
        <v>IA0NXjzMT5u1mgZHV5fdIA</v>
      </c>
      <c r="AA1333" s="5"/>
      <c r="AB1333" s="5"/>
      <c r="AC1333" s="5"/>
      <c r="AD1333" s="5">
        <f ca="1">IFERROR(__xludf.DUMMYFUNCTION("""COMPUTED_VALUE"""),29)</f>
        <v>29</v>
      </c>
      <c r="AE1333" s="5">
        <f ca="1">IFERROR(__xludf.DUMMYFUNCTION("""COMPUTED_VALUE"""),29)</f>
        <v>29</v>
      </c>
      <c r="AF1333" s="5" t="b">
        <f ca="1">IFERROR(__xludf.DUMMYFUNCTION("""COMPUTED_VALUE"""),FALSE)</f>
        <v>0</v>
      </c>
      <c r="AG1333" s="5" t="str">
        <f ca="1">IFERROR(__xludf.DUMMYFUNCTION("""COMPUTED_VALUE"""),"INSPECCIONES REALIZADAS")</f>
        <v>INSPECCIONES REALIZADAS</v>
      </c>
      <c r="AH1333" s="5"/>
    </row>
    <row r="1334" spans="1:34">
      <c r="A1334" s="5" t="str">
        <f ca="1">IFERROR(__xludf.DUMMYFUNCTION("""COMPUTED_VALUE"""),"LINEA DE ENVASADO JUGOS PET HOT FILL")</f>
        <v>LINEA DE ENVASADO JUGOS PET HOT FILL</v>
      </c>
      <c r="B1334" s="5">
        <f ca="1">IFERROR(__xludf.DUMMYFUNCTION("""COMPUTED_VALUE"""),829659)</f>
        <v>829659</v>
      </c>
      <c r="C1334" s="5" t="str">
        <f ca="1">IFERROR(__xludf.DUMMYFUNCTION("""COMPUTED_VALUE"""),"TRANSPORTADOR")</f>
        <v>TRANSPORTADOR</v>
      </c>
      <c r="D1334" s="5">
        <f ca="1">IFERROR(__xludf.DUMMYFUNCTION("""COMPUTED_VALUE"""),13247782)</f>
        <v>13247782</v>
      </c>
      <c r="E1334" s="5" t="str">
        <f ca="1">IFERROR(__xludf.DUMMYFUNCTION("""COMPUTED_VALUE"""),"INSPECCION SEMANAL TRANSPORTADOR")</f>
        <v>INSPECCION SEMANAL TRANSPORTADOR</v>
      </c>
      <c r="F1334" s="5" t="str">
        <f ca="1">IFERROR(__xludf.DUMMYFUNCTION("""COMPUTED_VALUE"""),"INSP. TABLERO ELECTRICO/CLIMATIZADOR")</f>
        <v>INSP. TABLERO ELECTRICO/CLIMATIZADOR</v>
      </c>
      <c r="G1334" s="5" t="b">
        <f ca="1">IFERROR(__xludf.DUMMYFUNCTION("""COMPUTED_VALUE"""),TRUE)</f>
        <v>1</v>
      </c>
      <c r="H1334" s="5"/>
      <c r="I1334" s="5"/>
      <c r="J1334" s="5">
        <f ca="1">IFERROR(__xludf.DUMMYFUNCTION("""COMPUTED_VALUE"""),13247782)</f>
        <v>13247782</v>
      </c>
      <c r="K1334" s="5"/>
      <c r="L1334" s="18">
        <f ca="1">IFERROR(__xludf.DUMMYFUNCTION("""COMPUTED_VALUE"""),45324)</f>
        <v>45324</v>
      </c>
      <c r="M1334" s="18">
        <f ca="1">IFERROR(__xludf.DUMMYFUNCTION("""COMPUTED_VALUE"""),45324)</f>
        <v>45324</v>
      </c>
      <c r="N1334" s="5" t="str">
        <f ca="1">IFERROR(__xludf.DUMMYFUNCTION("""COMPUTED_VALUE"""),"Vanegas Guependo Hermes")</f>
        <v>Vanegas Guependo Hermes</v>
      </c>
      <c r="O1334" s="2">
        <f ca="1">IFERROR(__xludf.DUMMYFUNCTION("""COMPUTED_VALUE"""),0.011111111)</f>
        <v>1.1111111E-2</v>
      </c>
      <c r="P1334" s="5">
        <f ca="1">IFERROR(__xludf.DUMMYFUNCTION("""COMPUTED_VALUE"""),20010206)</f>
        <v>20010206</v>
      </c>
      <c r="Q1334" s="5" t="str">
        <f ca="1">IFERROR(__xludf.DUMMYFUNCTION("""COMPUTED_VALUE"""),"hUtIMPFybvU")</f>
        <v>hUtIMPFybvU</v>
      </c>
      <c r="R1334" s="5">
        <f ca="1">IFERROR(__xludf.DUMMYFUNCTION("""COMPUTED_VALUE"""),410)</f>
        <v>410</v>
      </c>
      <c r="S1334" s="62">
        <f ca="1">IFERROR(__xludf.DUMMYFUNCTION("""COMPUTED_VALUE"""),0.011111111)</f>
        <v>1.1111111E-2</v>
      </c>
      <c r="T1334" s="63" t="str">
        <f ca="1">IFERROR(__xludf.DUMMYFUNCTION("""COMPUTED_VALUE"""),"https://storage.googleapis.com/glide-prod.appspot.com/uploads-v2/ly7o78grxPaC6KdgvbpS/pub/3aRdSog0vUtuqPE8AJKD.png")</f>
        <v>https://storage.googleapis.com/glide-prod.appspot.com/uploads-v2/ly7o78grxPaC6KdgvbpS/pub/3aRdSog0vUtuqPE8AJKD.png</v>
      </c>
      <c r="U1334" s="5" t="str">
        <f ca="1">IFERROR(__xludf.DUMMYFUNCTION("""COMPUTED_VALUE"""),"LINEA DE ENVASADO JUGOS PET HOT FILLTRANSPORTADOR")</f>
        <v>LINEA DE ENVASADO JUGOS PET HOT FILLTRANSPORTADOR</v>
      </c>
      <c r="V1334" s="5"/>
      <c r="W1334" s="5" t="b">
        <f ca="1">IFERROR(__xludf.DUMMYFUNCTION("""COMPUTED_VALUE"""),TRUE)</f>
        <v>1</v>
      </c>
      <c r="X1334" s="5" t="str">
        <f ca="1">IFERROR(__xludf.DUMMYFUNCTION("""COMPUTED_VALUE"""),"achavezi@postobon.com.co,aprmttoyu@postobon.com.co,aprmyu@postobon.com.co,wmora@postobon.com.co,efzapata@postobon.com.co")</f>
        <v>achavezi@postobon.com.co,aprmttoyu@postobon.com.co,aprmyu@postobon.com.co,wmora@postobon.com.co,efzapata@postobon.com.co</v>
      </c>
      <c r="Y1334" s="5" t="str">
        <f ca="1">IFERROR(__xludf.DUMMYFUNCTION("""COMPUTED_VALUE"""),"achavezi@postobon.com.co")</f>
        <v>achavezi@postobon.com.co</v>
      </c>
      <c r="Z1334" s="5" t="str">
        <f ca="1">IFERROR(__xludf.DUMMYFUNCTION("""COMPUTED_VALUE"""),"yYrq99V9RrGNS5dj1tGLFQ")</f>
        <v>yYrq99V9RrGNS5dj1tGLFQ</v>
      </c>
      <c r="AA1334" s="5"/>
      <c r="AB1334" s="5"/>
      <c r="AC1334" s="5"/>
      <c r="AD1334" s="5">
        <f ca="1">IFERROR(__xludf.DUMMYFUNCTION("""COMPUTED_VALUE"""),29)</f>
        <v>29</v>
      </c>
      <c r="AE1334" s="5">
        <f ca="1">IFERROR(__xludf.DUMMYFUNCTION("""COMPUTED_VALUE"""),29)</f>
        <v>29</v>
      </c>
      <c r="AF1334" s="5" t="b">
        <f ca="1">IFERROR(__xludf.DUMMYFUNCTION("""COMPUTED_VALUE"""),FALSE)</f>
        <v>0</v>
      </c>
      <c r="AG1334" s="5" t="str">
        <f ca="1">IFERROR(__xludf.DUMMYFUNCTION("""COMPUTED_VALUE"""),"INSPECCIONES REALIZADAS")</f>
        <v>INSPECCIONES REALIZADAS</v>
      </c>
      <c r="AH1334" s="5"/>
    </row>
    <row r="1335" spans="1:34">
      <c r="A1335" s="5" t="str">
        <f ca="1">IFERROR(__xludf.DUMMYFUNCTION("""COMPUTED_VALUE"""),"LINEA DE ENVASADO PET NO RETORNABLE")</f>
        <v>LINEA DE ENVASADO PET NO RETORNABLE</v>
      </c>
      <c r="B1335" s="5">
        <f ca="1">IFERROR(__xludf.DUMMYFUNCTION("""COMPUTED_VALUE"""),829612)</f>
        <v>829612</v>
      </c>
      <c r="C1335" s="5" t="str">
        <f ca="1">IFERROR(__xludf.DUMMYFUNCTION("""COMPUTED_VALUE"""),"TRANSPORTADOR AEREO")</f>
        <v>TRANSPORTADOR AEREO</v>
      </c>
      <c r="D1335" s="5">
        <f ca="1">IFERROR(__xludf.DUMMYFUNCTION("""COMPUTED_VALUE"""),13247842)</f>
        <v>13247842</v>
      </c>
      <c r="E1335" s="5" t="str">
        <f ca="1">IFERROR(__xludf.DUMMYFUNCTION("""COMPUTED_VALUE"""),"INSPECCION SEMANAL TRANSPORTADOR AEREO")</f>
        <v>INSPECCION SEMANAL TRANSPORTADOR AEREO</v>
      </c>
      <c r="F1335" s="5" t="str">
        <f ca="1">IFERROR(__xludf.DUMMYFUNCTION("""COMPUTED_VALUE"""),"INSPECCIONAR LIMPIEZA")</f>
        <v>INSPECCIONAR LIMPIEZA</v>
      </c>
      <c r="G1335" s="5"/>
      <c r="H1335" s="5"/>
      <c r="I1335" s="5"/>
      <c r="J1335" s="5"/>
      <c r="K1335" s="5"/>
      <c r="L1335" s="18">
        <f ca="1">IFERROR(__xludf.DUMMYFUNCTION("""COMPUTED_VALUE"""),45325)</f>
        <v>45325</v>
      </c>
      <c r="M1335" s="18">
        <f ca="1">IFERROR(__xludf.DUMMYFUNCTION("""COMPUTED_VALUE"""),45325)</f>
        <v>45325</v>
      </c>
      <c r="N1335" s="5" t="str">
        <f ca="1">IFERROR(__xludf.DUMMYFUNCTION("""COMPUTED_VALUE"""),"FERNEYORLANDO RAMOS AULLON")</f>
        <v>FERNEYORLANDO RAMOS AULLON</v>
      </c>
      <c r="O1335" s="2">
        <f ca="1">IFERROR(__xludf.DUMMYFUNCTION("""COMPUTED_VALUE"""),0.011111111)</f>
        <v>1.1111111E-2</v>
      </c>
      <c r="P1335" s="5"/>
      <c r="Q1335" s="5" t="str">
        <f ca="1">IFERROR(__xludf.DUMMYFUNCTION("""COMPUTED_VALUE"""),"OXKGN0A8-I0")</f>
        <v>OXKGN0A8-I0</v>
      </c>
      <c r="R1335" s="5">
        <f ca="1">IFERROR(__xludf.DUMMYFUNCTION("""COMPUTED_VALUE"""),410)</f>
        <v>410</v>
      </c>
      <c r="S1335" s="62">
        <f ca="1">IFERROR(__xludf.DUMMYFUNCTION("""COMPUTED_VALUE"""),0.011111111)</f>
        <v>1.1111111E-2</v>
      </c>
      <c r="T1335" s="63" t="str">
        <f ca="1">IFERROR(__xludf.DUMMYFUNCTION("""COMPUTED_VALUE"""),"https://storage.googleapis.com/glide-prod.appspot.com/uploads-v2/ly7o78grxPaC6KdgvbpS/pub/UliJWgpEaBovaFmXi6OW.png")</f>
        <v>https://storage.googleapis.com/glide-prod.appspot.com/uploads-v2/ly7o78grxPaC6KdgvbpS/pub/UliJWgpEaBovaFmXi6OW.png</v>
      </c>
      <c r="U1335" s="5" t="str">
        <f ca="1">IFERROR(__xludf.DUMMYFUNCTION("""COMPUTED_VALUE"""),"LINEA DE ENVASADO PET NO RETORNABLETRANSPORTADOR AEREO")</f>
        <v>LINEA DE ENVASADO PET NO RETORNABLETRANSPORTADOR AEREO</v>
      </c>
      <c r="V1335" s="5"/>
      <c r="W1335" s="5"/>
      <c r="X1335" s="5" t="str">
        <f ca="1">IFERROR(__xludf.DUMMYFUNCTION("""COMPUTED_VALUE"""),"wguerra@postobon.com.co,aprmttoyu@postobon.com.co,aprmyu@postobon.com.co,wmora@postobon.com.co,efzapata@postobon.com.co")</f>
        <v>wguerra@postobon.com.co,aprmttoyu@postobon.com.co,aprmyu@postobon.com.co,wmora@postobon.com.co,efzapata@postobon.com.co</v>
      </c>
      <c r="Y1335" s="5" t="str">
        <f ca="1">IFERROR(__xludf.DUMMYFUNCTION("""COMPUTED_VALUE"""),"wguerra@postobon.com.co")</f>
        <v>wguerra@postobon.com.co</v>
      </c>
      <c r="Z1335" s="5" t="str">
        <f ca="1">IFERROR(__xludf.DUMMYFUNCTION("""COMPUTED_VALUE"""),"ttHy9pDBSiahG-Iu8r3A-g")</f>
        <v>ttHy9pDBSiahG-Iu8r3A-g</v>
      </c>
      <c r="AA1335" s="5"/>
      <c r="AB1335" s="5"/>
      <c r="AC1335" s="5"/>
      <c r="AD1335" s="5">
        <f ca="1">IFERROR(__xludf.DUMMYFUNCTION("""COMPUTED_VALUE"""),24)</f>
        <v>24</v>
      </c>
      <c r="AE1335" s="5">
        <f ca="1">IFERROR(__xludf.DUMMYFUNCTION("""COMPUTED_VALUE"""),0)</f>
        <v>0</v>
      </c>
      <c r="AF1335" s="5" t="b">
        <f ca="1">IFERROR(__xludf.DUMMYFUNCTION("""COMPUTED_VALUE"""),TRUE)</f>
        <v>1</v>
      </c>
      <c r="AG1335" s="5" t="str">
        <f ca="1">IFERROR(__xludf.DUMMYFUNCTION("""COMPUTED_VALUE"""),"INSPECCIONES SIN REALIZAR")</f>
        <v>INSPECCIONES SIN REALIZAR</v>
      </c>
      <c r="AH1335" s="5"/>
    </row>
    <row r="1336" spans="1:34">
      <c r="A1336" s="5" t="str">
        <f ca="1">IFERROR(__xludf.DUMMYFUNCTION("""COMPUTED_VALUE"""),"LINEA DE ENVASADO PET NO RETORNABLE")</f>
        <v>LINEA DE ENVASADO PET NO RETORNABLE</v>
      </c>
      <c r="B1336" s="5">
        <f ca="1">IFERROR(__xludf.DUMMYFUNCTION("""COMPUTED_VALUE"""),829612)</f>
        <v>829612</v>
      </c>
      <c r="C1336" s="5" t="str">
        <f ca="1">IFERROR(__xludf.DUMMYFUNCTION("""COMPUTED_VALUE"""),"TRANSPORTADOR AEREO")</f>
        <v>TRANSPORTADOR AEREO</v>
      </c>
      <c r="D1336" s="5">
        <f ca="1">IFERROR(__xludf.DUMMYFUNCTION("""COMPUTED_VALUE"""),13247842)</f>
        <v>13247842</v>
      </c>
      <c r="E1336" s="5" t="str">
        <f ca="1">IFERROR(__xludf.DUMMYFUNCTION("""COMPUTED_VALUE"""),"INSPECCION SEMANAL TRANSPORTADOR AEREO")</f>
        <v>INSPECCION SEMANAL TRANSPORTADOR AEREO</v>
      </c>
      <c r="F1336" s="5" t="str">
        <f ca="1">IFERROR(__xludf.DUMMYFUNCTION("""COMPUTED_VALUE"""),"INSP NIVEL AGUA CONDENSACION")</f>
        <v>INSP NIVEL AGUA CONDENSACION</v>
      </c>
      <c r="G1336" s="5"/>
      <c r="H1336" s="5"/>
      <c r="I1336" s="5"/>
      <c r="J1336" s="5"/>
      <c r="K1336" s="5"/>
      <c r="L1336" s="18">
        <f ca="1">IFERROR(__xludf.DUMMYFUNCTION("""COMPUTED_VALUE"""),45325)</f>
        <v>45325</v>
      </c>
      <c r="M1336" s="18">
        <f ca="1">IFERROR(__xludf.DUMMYFUNCTION("""COMPUTED_VALUE"""),45325)</f>
        <v>45325</v>
      </c>
      <c r="N1336" s="5" t="str">
        <f ca="1">IFERROR(__xludf.DUMMYFUNCTION("""COMPUTED_VALUE"""),"FERNEYORLANDO RAMOS AULLON")</f>
        <v>FERNEYORLANDO RAMOS AULLON</v>
      </c>
      <c r="O1336" s="2">
        <f ca="1">IFERROR(__xludf.DUMMYFUNCTION("""COMPUTED_VALUE"""),0.011111111)</f>
        <v>1.1111111E-2</v>
      </c>
      <c r="P1336" s="5"/>
      <c r="Q1336" s="5" t="str">
        <f ca="1">IFERROR(__xludf.DUMMYFUNCTION("""COMPUTED_VALUE"""),"COuSKAuy700")</f>
        <v>COuSKAuy700</v>
      </c>
      <c r="R1336" s="5">
        <f ca="1">IFERROR(__xludf.DUMMYFUNCTION("""COMPUTED_VALUE"""),410)</f>
        <v>410</v>
      </c>
      <c r="S1336" s="62">
        <f ca="1">IFERROR(__xludf.DUMMYFUNCTION("""COMPUTED_VALUE"""),0.011111111)</f>
        <v>1.1111111E-2</v>
      </c>
      <c r="T1336" s="63" t="str">
        <f ca="1">IFERROR(__xludf.DUMMYFUNCTION("""COMPUTED_VALUE"""),"https://storage.googleapis.com/glide-prod.appspot.com/uploads-v2/ly7o78grxPaC6KdgvbpS/pub/UliJWgpEaBovaFmXi6OW.png")</f>
        <v>https://storage.googleapis.com/glide-prod.appspot.com/uploads-v2/ly7o78grxPaC6KdgvbpS/pub/UliJWgpEaBovaFmXi6OW.png</v>
      </c>
      <c r="U1336" s="5" t="str">
        <f ca="1">IFERROR(__xludf.DUMMYFUNCTION("""COMPUTED_VALUE"""),"LINEA DE ENVASADO PET NO RETORNABLETRANSPORTADOR AEREO")</f>
        <v>LINEA DE ENVASADO PET NO RETORNABLETRANSPORTADOR AEREO</v>
      </c>
      <c r="V1336" s="5"/>
      <c r="W1336" s="5"/>
      <c r="X1336" s="5" t="str">
        <f ca="1">IFERROR(__xludf.DUMMYFUNCTION("""COMPUTED_VALUE"""),"wguerra@postobon.com.co,aprmttoyu@postobon.com.co,aprmyu@postobon.com.co,wmora@postobon.com.co,efzapata@postobon.com.co")</f>
        <v>wguerra@postobon.com.co,aprmttoyu@postobon.com.co,aprmyu@postobon.com.co,wmora@postobon.com.co,efzapata@postobon.com.co</v>
      </c>
      <c r="Y1336" s="5" t="str">
        <f ca="1">IFERROR(__xludf.DUMMYFUNCTION("""COMPUTED_VALUE"""),"wguerra@postobon.com.co")</f>
        <v>wguerra@postobon.com.co</v>
      </c>
      <c r="Z1336" s="5" t="str">
        <f ca="1">IFERROR(__xludf.DUMMYFUNCTION("""COMPUTED_VALUE"""),"xTWbSV2YTX-KT0-bZhWXzg")</f>
        <v>xTWbSV2YTX-KT0-bZhWXzg</v>
      </c>
      <c r="AA1336" s="5"/>
      <c r="AB1336" s="5"/>
      <c r="AC1336" s="5"/>
      <c r="AD1336" s="5">
        <f ca="1">IFERROR(__xludf.DUMMYFUNCTION("""COMPUTED_VALUE"""),24)</f>
        <v>24</v>
      </c>
      <c r="AE1336" s="5">
        <f ca="1">IFERROR(__xludf.DUMMYFUNCTION("""COMPUTED_VALUE"""),0)</f>
        <v>0</v>
      </c>
      <c r="AF1336" s="5" t="b">
        <f ca="1">IFERROR(__xludf.DUMMYFUNCTION("""COMPUTED_VALUE"""),TRUE)</f>
        <v>1</v>
      </c>
      <c r="AG1336" s="5" t="str">
        <f ca="1">IFERROR(__xludf.DUMMYFUNCTION("""COMPUTED_VALUE"""),"INSPECCIONES SIN REALIZAR")</f>
        <v>INSPECCIONES SIN REALIZAR</v>
      </c>
      <c r="AH1336" s="5"/>
    </row>
    <row r="1337" spans="1:34">
      <c r="A1337" s="5" t="str">
        <f ca="1">IFERROR(__xludf.DUMMYFUNCTION("""COMPUTED_VALUE"""),"LINEA DE ENVASADO PET NO RETORNABLE")</f>
        <v>LINEA DE ENVASADO PET NO RETORNABLE</v>
      </c>
      <c r="B1337" s="5">
        <f ca="1">IFERROR(__xludf.DUMMYFUNCTION("""COMPUTED_VALUE"""),829612)</f>
        <v>829612</v>
      </c>
      <c r="C1337" s="5" t="str">
        <f ca="1">IFERROR(__xludf.DUMMYFUNCTION("""COMPUTED_VALUE"""),"TRANSPORTADOR AEREO")</f>
        <v>TRANSPORTADOR AEREO</v>
      </c>
      <c r="D1337" s="5">
        <f ca="1">IFERROR(__xludf.DUMMYFUNCTION("""COMPUTED_VALUE"""),13247842)</f>
        <v>13247842</v>
      </c>
      <c r="E1337" s="5" t="str">
        <f ca="1">IFERROR(__xludf.DUMMYFUNCTION("""COMPUTED_VALUE"""),"INSPECCION SEMANAL TRANSPORTADOR AEREO")</f>
        <v>INSPECCION SEMANAL TRANSPORTADOR AEREO</v>
      </c>
      <c r="F1337" s="5" t="str">
        <f ca="1">IFERROR(__xludf.DUMMYFUNCTION("""COMPUTED_VALUE"""),"FUNC. BARRERAS LUZ-SENSORES")</f>
        <v>FUNC. BARRERAS LUZ-SENSORES</v>
      </c>
      <c r="G1337" s="5"/>
      <c r="H1337" s="5"/>
      <c r="I1337" s="5"/>
      <c r="J1337" s="5"/>
      <c r="K1337" s="5"/>
      <c r="L1337" s="18">
        <f ca="1">IFERROR(__xludf.DUMMYFUNCTION("""COMPUTED_VALUE"""),45325)</f>
        <v>45325</v>
      </c>
      <c r="M1337" s="18">
        <f ca="1">IFERROR(__xludf.DUMMYFUNCTION("""COMPUTED_VALUE"""),45325)</f>
        <v>45325</v>
      </c>
      <c r="N1337" s="5" t="str">
        <f ca="1">IFERROR(__xludf.DUMMYFUNCTION("""COMPUTED_VALUE"""),"FERNEYORLANDO RAMOS AULLON")</f>
        <v>FERNEYORLANDO RAMOS AULLON</v>
      </c>
      <c r="O1337" s="2">
        <f ca="1">IFERROR(__xludf.DUMMYFUNCTION("""COMPUTED_VALUE"""),0.011111111)</f>
        <v>1.1111111E-2</v>
      </c>
      <c r="P1337" s="5"/>
      <c r="Q1337" s="5" t="str">
        <f ca="1">IFERROR(__xludf.DUMMYFUNCTION("""COMPUTED_VALUE"""),"39TtAn0veH0")</f>
        <v>39TtAn0veH0</v>
      </c>
      <c r="R1337" s="5">
        <f ca="1">IFERROR(__xludf.DUMMYFUNCTION("""COMPUTED_VALUE"""),410)</f>
        <v>410</v>
      </c>
      <c r="S1337" s="62">
        <f ca="1">IFERROR(__xludf.DUMMYFUNCTION("""COMPUTED_VALUE"""),0.011111111)</f>
        <v>1.1111111E-2</v>
      </c>
      <c r="T1337" s="63" t="str">
        <f ca="1">IFERROR(__xludf.DUMMYFUNCTION("""COMPUTED_VALUE"""),"https://storage.googleapis.com/glide-prod.appspot.com/uploads-v2/ly7o78grxPaC6KdgvbpS/pub/UliJWgpEaBovaFmXi6OW.png")</f>
        <v>https://storage.googleapis.com/glide-prod.appspot.com/uploads-v2/ly7o78grxPaC6KdgvbpS/pub/UliJWgpEaBovaFmXi6OW.png</v>
      </c>
      <c r="U1337" s="5" t="str">
        <f ca="1">IFERROR(__xludf.DUMMYFUNCTION("""COMPUTED_VALUE"""),"LINEA DE ENVASADO PET NO RETORNABLETRANSPORTADOR AEREO")</f>
        <v>LINEA DE ENVASADO PET NO RETORNABLETRANSPORTADOR AEREO</v>
      </c>
      <c r="V1337" s="5"/>
      <c r="W1337" s="5"/>
      <c r="X1337" s="5" t="str">
        <f ca="1">IFERROR(__xludf.DUMMYFUNCTION("""COMPUTED_VALUE"""),"wguerra@postobon.com.co,aprmttoyu@postobon.com.co,aprmyu@postobon.com.co,wmora@postobon.com.co,efzapata@postobon.com.co")</f>
        <v>wguerra@postobon.com.co,aprmttoyu@postobon.com.co,aprmyu@postobon.com.co,wmora@postobon.com.co,efzapata@postobon.com.co</v>
      </c>
      <c r="Y1337" s="5" t="str">
        <f ca="1">IFERROR(__xludf.DUMMYFUNCTION("""COMPUTED_VALUE"""),"wguerra@postobon.com.co")</f>
        <v>wguerra@postobon.com.co</v>
      </c>
      <c r="Z1337" s="5" t="str">
        <f ca="1">IFERROR(__xludf.DUMMYFUNCTION("""COMPUTED_VALUE"""),"TituIDr8RXeTe6N-M90DBw")</f>
        <v>TituIDr8RXeTe6N-M90DBw</v>
      </c>
      <c r="AA1337" s="5"/>
      <c r="AB1337" s="5"/>
      <c r="AC1337" s="5"/>
      <c r="AD1337" s="5">
        <f ca="1">IFERROR(__xludf.DUMMYFUNCTION("""COMPUTED_VALUE"""),24)</f>
        <v>24</v>
      </c>
      <c r="AE1337" s="5">
        <f ca="1">IFERROR(__xludf.DUMMYFUNCTION("""COMPUTED_VALUE"""),0)</f>
        <v>0</v>
      </c>
      <c r="AF1337" s="5" t="b">
        <f ca="1">IFERROR(__xludf.DUMMYFUNCTION("""COMPUTED_VALUE"""),TRUE)</f>
        <v>1</v>
      </c>
      <c r="AG1337" s="5" t="str">
        <f ca="1">IFERROR(__xludf.DUMMYFUNCTION("""COMPUTED_VALUE"""),"INSPECCIONES SIN REALIZAR")</f>
        <v>INSPECCIONES SIN REALIZAR</v>
      </c>
      <c r="AH1337" s="5"/>
    </row>
    <row r="1338" spans="1:34">
      <c r="A1338" s="5" t="str">
        <f ca="1">IFERROR(__xludf.DUMMYFUNCTION("""COMPUTED_VALUE"""),"LINEA DE ENVASADO PET NO RETORNABLE")</f>
        <v>LINEA DE ENVASADO PET NO RETORNABLE</v>
      </c>
      <c r="B1338" s="5">
        <f ca="1">IFERROR(__xludf.DUMMYFUNCTION("""COMPUTED_VALUE"""),829612)</f>
        <v>829612</v>
      </c>
      <c r="C1338" s="5" t="str">
        <f ca="1">IFERROR(__xludf.DUMMYFUNCTION("""COMPUTED_VALUE"""),"TRANSPORTADOR AEREO")</f>
        <v>TRANSPORTADOR AEREO</v>
      </c>
      <c r="D1338" s="5">
        <f ca="1">IFERROR(__xludf.DUMMYFUNCTION("""COMPUTED_VALUE"""),13247842)</f>
        <v>13247842</v>
      </c>
      <c r="E1338" s="5" t="str">
        <f ca="1">IFERROR(__xludf.DUMMYFUNCTION("""COMPUTED_VALUE"""),"INSPECCION SEMANAL TRANSPORTADOR AEREO")</f>
        <v>INSPECCION SEMANAL TRANSPORTADOR AEREO</v>
      </c>
      <c r="F1338" s="5" t="str">
        <f ca="1">IFERROR(__xludf.DUMMYFUNCTION("""COMPUTED_VALUE"""),"INSP. FILTRO SEPARADOR AGUA")</f>
        <v>INSP. FILTRO SEPARADOR AGUA</v>
      </c>
      <c r="G1338" s="5"/>
      <c r="H1338" s="5"/>
      <c r="I1338" s="5"/>
      <c r="J1338" s="5"/>
      <c r="K1338" s="5"/>
      <c r="L1338" s="18">
        <f ca="1">IFERROR(__xludf.DUMMYFUNCTION("""COMPUTED_VALUE"""),45325)</f>
        <v>45325</v>
      </c>
      <c r="M1338" s="18">
        <f ca="1">IFERROR(__xludf.DUMMYFUNCTION("""COMPUTED_VALUE"""),45325)</f>
        <v>45325</v>
      </c>
      <c r="N1338" s="5" t="str">
        <f ca="1">IFERROR(__xludf.DUMMYFUNCTION("""COMPUTED_VALUE"""),"FERNEYORLANDO RAMOS AULLON")</f>
        <v>FERNEYORLANDO RAMOS AULLON</v>
      </c>
      <c r="O1338" s="2">
        <f ca="1">IFERROR(__xludf.DUMMYFUNCTION("""COMPUTED_VALUE"""),0.011111111)</f>
        <v>1.1111111E-2</v>
      </c>
      <c r="P1338" s="5"/>
      <c r="Q1338" s="5" t="str">
        <f ca="1">IFERROR(__xludf.DUMMYFUNCTION("""COMPUTED_VALUE"""),"pmK1vvLAuRg")</f>
        <v>pmK1vvLAuRg</v>
      </c>
      <c r="R1338" s="5">
        <f ca="1">IFERROR(__xludf.DUMMYFUNCTION("""COMPUTED_VALUE"""),410)</f>
        <v>410</v>
      </c>
      <c r="S1338" s="62">
        <f ca="1">IFERROR(__xludf.DUMMYFUNCTION("""COMPUTED_VALUE"""),0.011111111)</f>
        <v>1.1111111E-2</v>
      </c>
      <c r="T1338" s="63" t="str">
        <f ca="1">IFERROR(__xludf.DUMMYFUNCTION("""COMPUTED_VALUE"""),"https://storage.googleapis.com/glide-prod.appspot.com/uploads-v2/ly7o78grxPaC6KdgvbpS/pub/UliJWgpEaBovaFmXi6OW.png")</f>
        <v>https://storage.googleapis.com/glide-prod.appspot.com/uploads-v2/ly7o78grxPaC6KdgvbpS/pub/UliJWgpEaBovaFmXi6OW.png</v>
      </c>
      <c r="U1338" s="5" t="str">
        <f ca="1">IFERROR(__xludf.DUMMYFUNCTION("""COMPUTED_VALUE"""),"LINEA DE ENVASADO PET NO RETORNABLETRANSPORTADOR AEREO")</f>
        <v>LINEA DE ENVASADO PET NO RETORNABLETRANSPORTADOR AEREO</v>
      </c>
      <c r="V1338" s="5"/>
      <c r="W1338" s="5"/>
      <c r="X1338" s="5" t="str">
        <f ca="1">IFERROR(__xludf.DUMMYFUNCTION("""COMPUTED_VALUE"""),"wguerra@postobon.com.co,aprmttoyu@postobon.com.co,aprmyu@postobon.com.co,wmora@postobon.com.co,efzapata@postobon.com.co")</f>
        <v>wguerra@postobon.com.co,aprmttoyu@postobon.com.co,aprmyu@postobon.com.co,wmora@postobon.com.co,efzapata@postobon.com.co</v>
      </c>
      <c r="Y1338" s="5" t="str">
        <f ca="1">IFERROR(__xludf.DUMMYFUNCTION("""COMPUTED_VALUE"""),"wguerra@postobon.com.co")</f>
        <v>wguerra@postobon.com.co</v>
      </c>
      <c r="Z1338" s="5" t="str">
        <f ca="1">IFERROR(__xludf.DUMMYFUNCTION("""COMPUTED_VALUE"""),"hyijUP4XSb2ApSj2X0YzLQ")</f>
        <v>hyijUP4XSb2ApSj2X0YzLQ</v>
      </c>
      <c r="AA1338" s="5"/>
      <c r="AB1338" s="5"/>
      <c r="AC1338" s="5"/>
      <c r="AD1338" s="5">
        <f ca="1">IFERROR(__xludf.DUMMYFUNCTION("""COMPUTED_VALUE"""),24)</f>
        <v>24</v>
      </c>
      <c r="AE1338" s="5">
        <f ca="1">IFERROR(__xludf.DUMMYFUNCTION("""COMPUTED_VALUE"""),0)</f>
        <v>0</v>
      </c>
      <c r="AF1338" s="5" t="b">
        <f ca="1">IFERROR(__xludf.DUMMYFUNCTION("""COMPUTED_VALUE"""),TRUE)</f>
        <v>1</v>
      </c>
      <c r="AG1338" s="5" t="str">
        <f ca="1">IFERROR(__xludf.DUMMYFUNCTION("""COMPUTED_VALUE"""),"INSPECCIONES SIN REALIZAR")</f>
        <v>INSPECCIONES SIN REALIZAR</v>
      </c>
      <c r="AH1338" s="5"/>
    </row>
    <row r="1339" spans="1:34">
      <c r="A1339" s="5" t="str">
        <f ca="1">IFERROR(__xludf.DUMMYFUNCTION("""COMPUTED_VALUE"""),"LINEA DE ENVASADO PET NO RETORNABLE")</f>
        <v>LINEA DE ENVASADO PET NO RETORNABLE</v>
      </c>
      <c r="B1339" s="5">
        <f ca="1">IFERROR(__xludf.DUMMYFUNCTION("""COMPUTED_VALUE"""),829612)</f>
        <v>829612</v>
      </c>
      <c r="C1339" s="5" t="str">
        <f ca="1">IFERROR(__xludf.DUMMYFUNCTION("""COMPUTED_VALUE"""),"TRANSPORTADOR AEREO")</f>
        <v>TRANSPORTADOR AEREO</v>
      </c>
      <c r="D1339" s="5">
        <f ca="1">IFERROR(__xludf.DUMMYFUNCTION("""COMPUTED_VALUE"""),13247842)</f>
        <v>13247842</v>
      </c>
      <c r="E1339" s="5" t="str">
        <f ca="1">IFERROR(__xludf.DUMMYFUNCTION("""COMPUTED_VALUE"""),"INSPECCION SEMANAL TRANSPORTADOR AEREO")</f>
        <v>INSPECCION SEMANAL TRANSPORTADOR AEREO</v>
      </c>
      <c r="F1339" s="5" t="str">
        <f ca="1">IFERROR(__xludf.DUMMYFUNCTION("""COMPUTED_VALUE"""),"INSP FILTROS CONJUNTO SOPLADOR")</f>
        <v>INSP FILTROS CONJUNTO SOPLADOR</v>
      </c>
      <c r="G1339" s="5"/>
      <c r="H1339" s="5"/>
      <c r="I1339" s="5"/>
      <c r="J1339" s="5"/>
      <c r="K1339" s="5"/>
      <c r="L1339" s="18">
        <f ca="1">IFERROR(__xludf.DUMMYFUNCTION("""COMPUTED_VALUE"""),45325)</f>
        <v>45325</v>
      </c>
      <c r="M1339" s="18">
        <f ca="1">IFERROR(__xludf.DUMMYFUNCTION("""COMPUTED_VALUE"""),45325)</f>
        <v>45325</v>
      </c>
      <c r="N1339" s="5" t="str">
        <f ca="1">IFERROR(__xludf.DUMMYFUNCTION("""COMPUTED_VALUE"""),"FERNEYORLANDO RAMOS AULLON")</f>
        <v>FERNEYORLANDO RAMOS AULLON</v>
      </c>
      <c r="O1339" s="2">
        <f ca="1">IFERROR(__xludf.DUMMYFUNCTION("""COMPUTED_VALUE"""),0.011111111)</f>
        <v>1.1111111E-2</v>
      </c>
      <c r="P1339" s="5"/>
      <c r="Q1339" s="5" t="str">
        <f ca="1">IFERROR(__xludf.DUMMYFUNCTION("""COMPUTED_VALUE"""),"OfhtW-BM0IE")</f>
        <v>OfhtW-BM0IE</v>
      </c>
      <c r="R1339" s="5">
        <f ca="1">IFERROR(__xludf.DUMMYFUNCTION("""COMPUTED_VALUE"""),410)</f>
        <v>410</v>
      </c>
      <c r="S1339" s="62">
        <f ca="1">IFERROR(__xludf.DUMMYFUNCTION("""COMPUTED_VALUE"""),0.011111111)</f>
        <v>1.1111111E-2</v>
      </c>
      <c r="T1339" s="63" t="str">
        <f ca="1">IFERROR(__xludf.DUMMYFUNCTION("""COMPUTED_VALUE"""),"https://storage.googleapis.com/glide-prod.appspot.com/uploads-v2/ly7o78grxPaC6KdgvbpS/pub/UliJWgpEaBovaFmXi6OW.png")</f>
        <v>https://storage.googleapis.com/glide-prod.appspot.com/uploads-v2/ly7o78grxPaC6KdgvbpS/pub/UliJWgpEaBovaFmXi6OW.png</v>
      </c>
      <c r="U1339" s="5" t="str">
        <f ca="1">IFERROR(__xludf.DUMMYFUNCTION("""COMPUTED_VALUE"""),"LINEA DE ENVASADO PET NO RETORNABLETRANSPORTADOR AEREO")</f>
        <v>LINEA DE ENVASADO PET NO RETORNABLETRANSPORTADOR AEREO</v>
      </c>
      <c r="V1339" s="5"/>
      <c r="W1339" s="5"/>
      <c r="X1339" s="5" t="str">
        <f ca="1">IFERROR(__xludf.DUMMYFUNCTION("""COMPUTED_VALUE"""),"wguerra@postobon.com.co,aprmttoyu@postobon.com.co,aprmyu@postobon.com.co,wmora@postobon.com.co,efzapata@postobon.com.co")</f>
        <v>wguerra@postobon.com.co,aprmttoyu@postobon.com.co,aprmyu@postobon.com.co,wmora@postobon.com.co,efzapata@postobon.com.co</v>
      </c>
      <c r="Y1339" s="5" t="str">
        <f ca="1">IFERROR(__xludf.DUMMYFUNCTION("""COMPUTED_VALUE"""),"wguerra@postobon.com.co")</f>
        <v>wguerra@postobon.com.co</v>
      </c>
      <c r="Z1339" s="5" t="str">
        <f ca="1">IFERROR(__xludf.DUMMYFUNCTION("""COMPUTED_VALUE"""),"OSvXlVdHQQ68.rm7bOly5Q")</f>
        <v>OSvXlVdHQQ68.rm7bOly5Q</v>
      </c>
      <c r="AA1339" s="5"/>
      <c r="AB1339" s="5"/>
      <c r="AC1339" s="5"/>
      <c r="AD1339" s="5">
        <f ca="1">IFERROR(__xludf.DUMMYFUNCTION("""COMPUTED_VALUE"""),24)</f>
        <v>24</v>
      </c>
      <c r="AE1339" s="5">
        <f ca="1">IFERROR(__xludf.DUMMYFUNCTION("""COMPUTED_VALUE"""),0)</f>
        <v>0</v>
      </c>
      <c r="AF1339" s="5" t="b">
        <f ca="1">IFERROR(__xludf.DUMMYFUNCTION("""COMPUTED_VALUE"""),TRUE)</f>
        <v>1</v>
      </c>
      <c r="AG1339" s="5" t="str">
        <f ca="1">IFERROR(__xludf.DUMMYFUNCTION("""COMPUTED_VALUE"""),"INSPECCIONES SIN REALIZAR")</f>
        <v>INSPECCIONES SIN REALIZAR</v>
      </c>
      <c r="AH1339" s="5"/>
    </row>
    <row r="1340" spans="1:34">
      <c r="A1340" s="5" t="str">
        <f ca="1">IFERROR(__xludf.DUMMYFUNCTION("""COMPUTED_VALUE"""),"LINEA DE ENVASADO PET NO RETORNABLE")</f>
        <v>LINEA DE ENVASADO PET NO RETORNABLE</v>
      </c>
      <c r="B1340" s="5">
        <f ca="1">IFERROR(__xludf.DUMMYFUNCTION("""COMPUTED_VALUE"""),829612)</f>
        <v>829612</v>
      </c>
      <c r="C1340" s="5" t="str">
        <f ca="1">IFERROR(__xludf.DUMMYFUNCTION("""COMPUTED_VALUE"""),"TRANSPORTADOR AEREO")</f>
        <v>TRANSPORTADOR AEREO</v>
      </c>
      <c r="D1340" s="5">
        <f ca="1">IFERROR(__xludf.DUMMYFUNCTION("""COMPUTED_VALUE"""),13247842)</f>
        <v>13247842</v>
      </c>
      <c r="E1340" s="5" t="str">
        <f ca="1">IFERROR(__xludf.DUMMYFUNCTION("""COMPUTED_VALUE"""),"INSPECCION SEMANAL TRANSPORTADOR AEREO")</f>
        <v>INSPECCION SEMANAL TRANSPORTADOR AEREO</v>
      </c>
      <c r="F1340" s="5" t="str">
        <f ca="1">IFERROR(__xludf.DUMMYFUNCTION("""COMPUTED_VALUE"""),"INSP INTERCAMBIADOR Y REJILLA AIRE")</f>
        <v>INSP INTERCAMBIADOR Y REJILLA AIRE</v>
      </c>
      <c r="G1340" s="5"/>
      <c r="H1340" s="5"/>
      <c r="I1340" s="5"/>
      <c r="J1340" s="5"/>
      <c r="K1340" s="5"/>
      <c r="L1340" s="18">
        <f ca="1">IFERROR(__xludf.DUMMYFUNCTION("""COMPUTED_VALUE"""),45325)</f>
        <v>45325</v>
      </c>
      <c r="M1340" s="18">
        <f ca="1">IFERROR(__xludf.DUMMYFUNCTION("""COMPUTED_VALUE"""),45325)</f>
        <v>45325</v>
      </c>
      <c r="N1340" s="5" t="str">
        <f ca="1">IFERROR(__xludf.DUMMYFUNCTION("""COMPUTED_VALUE"""),"FERNEYORLANDO RAMOS AULLON")</f>
        <v>FERNEYORLANDO RAMOS AULLON</v>
      </c>
      <c r="O1340" s="2">
        <f ca="1">IFERROR(__xludf.DUMMYFUNCTION("""COMPUTED_VALUE"""),0.011111111)</f>
        <v>1.1111111E-2</v>
      </c>
      <c r="P1340" s="5"/>
      <c r="Q1340" s="5" t="str">
        <f ca="1">IFERROR(__xludf.DUMMYFUNCTION("""COMPUTED_VALUE"""),"g_97XC9omP0")</f>
        <v>g_97XC9omP0</v>
      </c>
      <c r="R1340" s="5">
        <f ca="1">IFERROR(__xludf.DUMMYFUNCTION("""COMPUTED_VALUE"""),410)</f>
        <v>410</v>
      </c>
      <c r="S1340" s="62">
        <f ca="1">IFERROR(__xludf.DUMMYFUNCTION("""COMPUTED_VALUE"""),0.011111111)</f>
        <v>1.1111111E-2</v>
      </c>
      <c r="T1340" s="63" t="str">
        <f ca="1">IFERROR(__xludf.DUMMYFUNCTION("""COMPUTED_VALUE"""),"https://storage.googleapis.com/glide-prod.appspot.com/uploads-v2/ly7o78grxPaC6KdgvbpS/pub/UliJWgpEaBovaFmXi6OW.png")</f>
        <v>https://storage.googleapis.com/glide-prod.appspot.com/uploads-v2/ly7o78grxPaC6KdgvbpS/pub/UliJWgpEaBovaFmXi6OW.png</v>
      </c>
      <c r="U1340" s="5" t="str">
        <f ca="1">IFERROR(__xludf.DUMMYFUNCTION("""COMPUTED_VALUE"""),"LINEA DE ENVASADO PET NO RETORNABLETRANSPORTADOR AEREO")</f>
        <v>LINEA DE ENVASADO PET NO RETORNABLETRANSPORTADOR AEREO</v>
      </c>
      <c r="V1340" s="5"/>
      <c r="W1340" s="5"/>
      <c r="X1340" s="5" t="str">
        <f ca="1">IFERROR(__xludf.DUMMYFUNCTION("""COMPUTED_VALUE"""),"wguerra@postobon.com.co,aprmttoyu@postobon.com.co,aprmyu@postobon.com.co,wmora@postobon.com.co,efzapata@postobon.com.co")</f>
        <v>wguerra@postobon.com.co,aprmttoyu@postobon.com.co,aprmyu@postobon.com.co,wmora@postobon.com.co,efzapata@postobon.com.co</v>
      </c>
      <c r="Y1340" s="5" t="str">
        <f ca="1">IFERROR(__xludf.DUMMYFUNCTION("""COMPUTED_VALUE"""),"wguerra@postobon.com.co")</f>
        <v>wguerra@postobon.com.co</v>
      </c>
      <c r="Z1340" s="5" t="str">
        <f ca="1">IFERROR(__xludf.DUMMYFUNCTION("""COMPUTED_VALUE"""),"OF8oxl.GSsC9BilEaX-DYQ")</f>
        <v>OF8oxl.GSsC9BilEaX-DYQ</v>
      </c>
      <c r="AA1340" s="5"/>
      <c r="AB1340" s="5"/>
      <c r="AC1340" s="5"/>
      <c r="AD1340" s="5">
        <f ca="1">IFERROR(__xludf.DUMMYFUNCTION("""COMPUTED_VALUE"""),24)</f>
        <v>24</v>
      </c>
      <c r="AE1340" s="5">
        <f ca="1">IFERROR(__xludf.DUMMYFUNCTION("""COMPUTED_VALUE"""),0)</f>
        <v>0</v>
      </c>
      <c r="AF1340" s="5" t="b">
        <f ca="1">IFERROR(__xludf.DUMMYFUNCTION("""COMPUTED_VALUE"""),TRUE)</f>
        <v>1</v>
      </c>
      <c r="AG1340" s="5" t="str">
        <f ca="1">IFERROR(__xludf.DUMMYFUNCTION("""COMPUTED_VALUE"""),"INSPECCIONES SIN REALIZAR")</f>
        <v>INSPECCIONES SIN REALIZAR</v>
      </c>
      <c r="AH1340" s="5"/>
    </row>
    <row r="1341" spans="1:34">
      <c r="A1341" s="5" t="str">
        <f ca="1">IFERROR(__xludf.DUMMYFUNCTION("""COMPUTED_VALUE"""),"LINEA DE ENVASADO PET NO RETORNABLE")</f>
        <v>LINEA DE ENVASADO PET NO RETORNABLE</v>
      </c>
      <c r="B1341" s="5">
        <f ca="1">IFERROR(__xludf.DUMMYFUNCTION("""COMPUTED_VALUE"""),829612)</f>
        <v>829612</v>
      </c>
      <c r="C1341" s="5" t="str">
        <f ca="1">IFERROR(__xludf.DUMMYFUNCTION("""COMPUTED_VALUE"""),"TRANSPORTADOR AEREO")</f>
        <v>TRANSPORTADOR AEREO</v>
      </c>
      <c r="D1341" s="5">
        <f ca="1">IFERROR(__xludf.DUMMYFUNCTION("""COMPUTED_VALUE"""),13247842)</f>
        <v>13247842</v>
      </c>
      <c r="E1341" s="5" t="str">
        <f ca="1">IFERROR(__xludf.DUMMYFUNCTION("""COMPUTED_VALUE"""),"INSPECCION SEMANAL TRANSPORTADOR AEREO")</f>
        <v>INSPECCION SEMANAL TRANSPORTADOR AEREO</v>
      </c>
      <c r="F1341" s="5" t="str">
        <f ca="1">IFERROR(__xludf.DUMMYFUNCTION("""COMPUTED_VALUE"""),"INSP SISTEMA NEUMATICO")</f>
        <v>INSP SISTEMA NEUMATICO</v>
      </c>
      <c r="G1341" s="5"/>
      <c r="H1341" s="5"/>
      <c r="I1341" s="5"/>
      <c r="J1341" s="5"/>
      <c r="K1341" s="5"/>
      <c r="L1341" s="18">
        <f ca="1">IFERROR(__xludf.DUMMYFUNCTION("""COMPUTED_VALUE"""),45325)</f>
        <v>45325</v>
      </c>
      <c r="M1341" s="18">
        <f ca="1">IFERROR(__xludf.DUMMYFUNCTION("""COMPUTED_VALUE"""),45325)</f>
        <v>45325</v>
      </c>
      <c r="N1341" s="5" t="str">
        <f ca="1">IFERROR(__xludf.DUMMYFUNCTION("""COMPUTED_VALUE"""),"FERNEYORLANDO RAMOS AULLON")</f>
        <v>FERNEYORLANDO RAMOS AULLON</v>
      </c>
      <c r="O1341" s="2">
        <f ca="1">IFERROR(__xludf.DUMMYFUNCTION("""COMPUTED_VALUE"""),0.011111111)</f>
        <v>1.1111111E-2</v>
      </c>
      <c r="P1341" s="5"/>
      <c r="Q1341" s="5" t="str">
        <f ca="1">IFERROR(__xludf.DUMMYFUNCTION("""COMPUTED_VALUE"""),"nPdQdolTYE8")</f>
        <v>nPdQdolTYE8</v>
      </c>
      <c r="R1341" s="5">
        <f ca="1">IFERROR(__xludf.DUMMYFUNCTION("""COMPUTED_VALUE"""),410)</f>
        <v>410</v>
      </c>
      <c r="S1341" s="62">
        <f ca="1">IFERROR(__xludf.DUMMYFUNCTION("""COMPUTED_VALUE"""),0.011111111)</f>
        <v>1.1111111E-2</v>
      </c>
      <c r="T1341" s="63" t="str">
        <f ca="1">IFERROR(__xludf.DUMMYFUNCTION("""COMPUTED_VALUE"""),"https://storage.googleapis.com/glide-prod.appspot.com/uploads-v2/ly7o78grxPaC6KdgvbpS/pub/UliJWgpEaBovaFmXi6OW.png")</f>
        <v>https://storage.googleapis.com/glide-prod.appspot.com/uploads-v2/ly7o78grxPaC6KdgvbpS/pub/UliJWgpEaBovaFmXi6OW.png</v>
      </c>
      <c r="U1341" s="5" t="str">
        <f ca="1">IFERROR(__xludf.DUMMYFUNCTION("""COMPUTED_VALUE"""),"LINEA DE ENVASADO PET NO RETORNABLETRANSPORTADOR AEREO")</f>
        <v>LINEA DE ENVASADO PET NO RETORNABLETRANSPORTADOR AEREO</v>
      </c>
      <c r="V1341" s="5"/>
      <c r="W1341" s="5"/>
      <c r="X1341" s="5" t="str">
        <f ca="1">IFERROR(__xludf.DUMMYFUNCTION("""COMPUTED_VALUE"""),"wguerra@postobon.com.co,aprmttoyu@postobon.com.co,aprmyu@postobon.com.co,wmora@postobon.com.co,efzapata@postobon.com.co")</f>
        <v>wguerra@postobon.com.co,aprmttoyu@postobon.com.co,aprmyu@postobon.com.co,wmora@postobon.com.co,efzapata@postobon.com.co</v>
      </c>
      <c r="Y1341" s="5" t="str">
        <f ca="1">IFERROR(__xludf.DUMMYFUNCTION("""COMPUTED_VALUE"""),"wguerra@postobon.com.co")</f>
        <v>wguerra@postobon.com.co</v>
      </c>
      <c r="Z1341" s="5" t="str">
        <f ca="1">IFERROR(__xludf.DUMMYFUNCTION("""COMPUTED_VALUE"""),"885a9d-eQ8uGD12aTjIMGw")</f>
        <v>885a9d-eQ8uGD12aTjIMGw</v>
      </c>
      <c r="AA1341" s="5"/>
      <c r="AB1341" s="5"/>
      <c r="AC1341" s="5"/>
      <c r="AD1341" s="5">
        <f ca="1">IFERROR(__xludf.DUMMYFUNCTION("""COMPUTED_VALUE"""),24)</f>
        <v>24</v>
      </c>
      <c r="AE1341" s="5">
        <f ca="1">IFERROR(__xludf.DUMMYFUNCTION("""COMPUTED_VALUE"""),0)</f>
        <v>0</v>
      </c>
      <c r="AF1341" s="5" t="b">
        <f ca="1">IFERROR(__xludf.DUMMYFUNCTION("""COMPUTED_VALUE"""),TRUE)</f>
        <v>1</v>
      </c>
      <c r="AG1341" s="5" t="str">
        <f ca="1">IFERROR(__xludf.DUMMYFUNCTION("""COMPUTED_VALUE"""),"INSPECCIONES SIN REALIZAR")</f>
        <v>INSPECCIONES SIN REALIZAR</v>
      </c>
      <c r="AH1341" s="5"/>
    </row>
    <row r="1342" spans="1:34">
      <c r="A1342" s="5" t="str">
        <f ca="1">IFERROR(__xludf.DUMMYFUNCTION("""COMPUTED_VALUE"""),"LINEA DE ENVASADO PET NO RETORNABLE")</f>
        <v>LINEA DE ENVASADO PET NO RETORNABLE</v>
      </c>
      <c r="B1342" s="5">
        <f ca="1">IFERROR(__xludf.DUMMYFUNCTION("""COMPUTED_VALUE"""),829612)</f>
        <v>829612</v>
      </c>
      <c r="C1342" s="5" t="str">
        <f ca="1">IFERROR(__xludf.DUMMYFUNCTION("""COMPUTED_VALUE"""),"TRANSPORTADOR AEREO")</f>
        <v>TRANSPORTADOR AEREO</v>
      </c>
      <c r="D1342" s="5">
        <f ca="1">IFERROR(__xludf.DUMMYFUNCTION("""COMPUTED_VALUE"""),13247842)</f>
        <v>13247842</v>
      </c>
      <c r="E1342" s="5" t="str">
        <f ca="1">IFERROR(__xludf.DUMMYFUNCTION("""COMPUTED_VALUE"""),"INSPECCION SEMANAL TRANSPORTADOR AEREO")</f>
        <v>INSPECCION SEMANAL TRANSPORTADOR AEREO</v>
      </c>
      <c r="F1342" s="5" t="str">
        <f ca="1">IFERROR(__xludf.DUMMYFUNCTION("""COMPUTED_VALUE"""),"INSP ARMARIOS DISTRIBUCION")</f>
        <v>INSP ARMARIOS DISTRIBUCION</v>
      </c>
      <c r="G1342" s="5"/>
      <c r="H1342" s="5"/>
      <c r="I1342" s="5"/>
      <c r="J1342" s="5"/>
      <c r="K1342" s="5"/>
      <c r="L1342" s="18">
        <f ca="1">IFERROR(__xludf.DUMMYFUNCTION("""COMPUTED_VALUE"""),45325)</f>
        <v>45325</v>
      </c>
      <c r="M1342" s="18">
        <f ca="1">IFERROR(__xludf.DUMMYFUNCTION("""COMPUTED_VALUE"""),45325)</f>
        <v>45325</v>
      </c>
      <c r="N1342" s="5" t="str">
        <f ca="1">IFERROR(__xludf.DUMMYFUNCTION("""COMPUTED_VALUE"""),"FERNEYORLANDO RAMOS AULLON")</f>
        <v>FERNEYORLANDO RAMOS AULLON</v>
      </c>
      <c r="O1342" s="2">
        <f ca="1">IFERROR(__xludf.DUMMYFUNCTION("""COMPUTED_VALUE"""),0.011111111)</f>
        <v>1.1111111E-2</v>
      </c>
      <c r="P1342" s="5"/>
      <c r="Q1342" s="5" t="str">
        <f ca="1">IFERROR(__xludf.DUMMYFUNCTION("""COMPUTED_VALUE"""),"xLPBm9pk_5Y")</f>
        <v>xLPBm9pk_5Y</v>
      </c>
      <c r="R1342" s="5">
        <f ca="1">IFERROR(__xludf.DUMMYFUNCTION("""COMPUTED_VALUE"""),410)</f>
        <v>410</v>
      </c>
      <c r="S1342" s="62">
        <f ca="1">IFERROR(__xludf.DUMMYFUNCTION("""COMPUTED_VALUE"""),0.011111111)</f>
        <v>1.1111111E-2</v>
      </c>
      <c r="T1342" s="63" t="str">
        <f ca="1">IFERROR(__xludf.DUMMYFUNCTION("""COMPUTED_VALUE"""),"https://storage.googleapis.com/glide-prod.appspot.com/uploads-v2/ly7o78grxPaC6KdgvbpS/pub/UliJWgpEaBovaFmXi6OW.png")</f>
        <v>https://storage.googleapis.com/glide-prod.appspot.com/uploads-v2/ly7o78grxPaC6KdgvbpS/pub/UliJWgpEaBovaFmXi6OW.png</v>
      </c>
      <c r="U1342" s="5" t="str">
        <f ca="1">IFERROR(__xludf.DUMMYFUNCTION("""COMPUTED_VALUE"""),"LINEA DE ENVASADO PET NO RETORNABLETRANSPORTADOR AEREO")</f>
        <v>LINEA DE ENVASADO PET NO RETORNABLETRANSPORTADOR AEREO</v>
      </c>
      <c r="V1342" s="5"/>
      <c r="W1342" s="5"/>
      <c r="X1342" s="5" t="str">
        <f ca="1">IFERROR(__xludf.DUMMYFUNCTION("""COMPUTED_VALUE"""),"wguerra@postobon.com.co,aprmttoyu@postobon.com.co,aprmyu@postobon.com.co,wmora@postobon.com.co,efzapata@postobon.com.co")</f>
        <v>wguerra@postobon.com.co,aprmttoyu@postobon.com.co,aprmyu@postobon.com.co,wmora@postobon.com.co,efzapata@postobon.com.co</v>
      </c>
      <c r="Y1342" s="5" t="str">
        <f ca="1">IFERROR(__xludf.DUMMYFUNCTION("""COMPUTED_VALUE"""),"wguerra@postobon.com.co")</f>
        <v>wguerra@postobon.com.co</v>
      </c>
      <c r="Z1342" s="5" t="str">
        <f ca="1">IFERROR(__xludf.DUMMYFUNCTION("""COMPUTED_VALUE"""),"u0CaFozKT4OiNYbZ.daCBg")</f>
        <v>u0CaFozKT4OiNYbZ.daCBg</v>
      </c>
      <c r="AA1342" s="5"/>
      <c r="AB1342" s="5"/>
      <c r="AC1342" s="5"/>
      <c r="AD1342" s="5">
        <f ca="1">IFERROR(__xludf.DUMMYFUNCTION("""COMPUTED_VALUE"""),24)</f>
        <v>24</v>
      </c>
      <c r="AE1342" s="5">
        <f ca="1">IFERROR(__xludf.DUMMYFUNCTION("""COMPUTED_VALUE"""),0)</f>
        <v>0</v>
      </c>
      <c r="AF1342" s="5" t="b">
        <f ca="1">IFERROR(__xludf.DUMMYFUNCTION("""COMPUTED_VALUE"""),TRUE)</f>
        <v>1</v>
      </c>
      <c r="AG1342" s="5" t="str">
        <f ca="1">IFERROR(__xludf.DUMMYFUNCTION("""COMPUTED_VALUE"""),"INSPECCIONES SIN REALIZAR")</f>
        <v>INSPECCIONES SIN REALIZAR</v>
      </c>
      <c r="AH1342" s="5"/>
    </row>
    <row r="1343" spans="1:34">
      <c r="A1343" s="5" t="str">
        <f ca="1">IFERROR(__xludf.DUMMYFUNCTION("""COMPUTED_VALUE"""),"LINEA DE ENVASADO PET NO RETORNABLE")</f>
        <v>LINEA DE ENVASADO PET NO RETORNABLE</v>
      </c>
      <c r="B1343" s="5">
        <f ca="1">IFERROR(__xludf.DUMMYFUNCTION("""COMPUTED_VALUE"""),829612)</f>
        <v>829612</v>
      </c>
      <c r="C1343" s="5" t="str">
        <f ca="1">IFERROR(__xludf.DUMMYFUNCTION("""COMPUTED_VALUE"""),"TRANSPORTADOR AEREO")</f>
        <v>TRANSPORTADOR AEREO</v>
      </c>
      <c r="D1343" s="5">
        <f ca="1">IFERROR(__xludf.DUMMYFUNCTION("""COMPUTED_VALUE"""),13247842)</f>
        <v>13247842</v>
      </c>
      <c r="E1343" s="5" t="str">
        <f ca="1">IFERROR(__xludf.DUMMYFUNCTION("""COMPUTED_VALUE"""),"INSPECCION SEMANAL TRANSPORTADOR AEREO")</f>
        <v>INSPECCION SEMANAL TRANSPORTADOR AEREO</v>
      </c>
      <c r="F1343" s="5" t="str">
        <f ca="1">IFERROR(__xludf.DUMMYFUNCTION("""COMPUTED_VALUE"""),"INSP. TABLERO ELECTRICO/CLIMATIZADOR")</f>
        <v>INSP. TABLERO ELECTRICO/CLIMATIZADOR</v>
      </c>
      <c r="G1343" s="5"/>
      <c r="H1343" s="5"/>
      <c r="I1343" s="5"/>
      <c r="J1343" s="5"/>
      <c r="K1343" s="5"/>
      <c r="L1343" s="18">
        <f ca="1">IFERROR(__xludf.DUMMYFUNCTION("""COMPUTED_VALUE"""),45325)</f>
        <v>45325</v>
      </c>
      <c r="M1343" s="18">
        <f ca="1">IFERROR(__xludf.DUMMYFUNCTION("""COMPUTED_VALUE"""),45325)</f>
        <v>45325</v>
      </c>
      <c r="N1343" s="5" t="str">
        <f ca="1">IFERROR(__xludf.DUMMYFUNCTION("""COMPUTED_VALUE"""),"FERNEYORLANDO RAMOS AULLON")</f>
        <v>FERNEYORLANDO RAMOS AULLON</v>
      </c>
      <c r="O1343" s="2">
        <f ca="1">IFERROR(__xludf.DUMMYFUNCTION("""COMPUTED_VALUE"""),0.011111111)</f>
        <v>1.1111111E-2</v>
      </c>
      <c r="P1343" s="5"/>
      <c r="Q1343" s="5" t="str">
        <f ca="1">IFERROR(__xludf.DUMMYFUNCTION("""COMPUTED_VALUE"""),"dan8270-WdI")</f>
        <v>dan8270-WdI</v>
      </c>
      <c r="R1343" s="5">
        <f ca="1">IFERROR(__xludf.DUMMYFUNCTION("""COMPUTED_VALUE"""),410)</f>
        <v>410</v>
      </c>
      <c r="S1343" s="62">
        <f ca="1">IFERROR(__xludf.DUMMYFUNCTION("""COMPUTED_VALUE"""),0.011111111)</f>
        <v>1.1111111E-2</v>
      </c>
      <c r="T1343" s="63" t="str">
        <f ca="1">IFERROR(__xludf.DUMMYFUNCTION("""COMPUTED_VALUE"""),"https://storage.googleapis.com/glide-prod.appspot.com/uploads-v2/ly7o78grxPaC6KdgvbpS/pub/UliJWgpEaBovaFmXi6OW.png")</f>
        <v>https://storage.googleapis.com/glide-prod.appspot.com/uploads-v2/ly7o78grxPaC6KdgvbpS/pub/UliJWgpEaBovaFmXi6OW.png</v>
      </c>
      <c r="U1343" s="5" t="str">
        <f ca="1">IFERROR(__xludf.DUMMYFUNCTION("""COMPUTED_VALUE"""),"LINEA DE ENVASADO PET NO RETORNABLETRANSPORTADOR AEREO")</f>
        <v>LINEA DE ENVASADO PET NO RETORNABLETRANSPORTADOR AEREO</v>
      </c>
      <c r="V1343" s="5"/>
      <c r="W1343" s="5"/>
      <c r="X1343" s="5" t="str">
        <f ca="1">IFERROR(__xludf.DUMMYFUNCTION("""COMPUTED_VALUE"""),"wguerra@postobon.com.co,aprmttoyu@postobon.com.co,aprmyu@postobon.com.co,wmora@postobon.com.co,efzapata@postobon.com.co")</f>
        <v>wguerra@postobon.com.co,aprmttoyu@postobon.com.co,aprmyu@postobon.com.co,wmora@postobon.com.co,efzapata@postobon.com.co</v>
      </c>
      <c r="Y1343" s="5" t="str">
        <f ca="1">IFERROR(__xludf.DUMMYFUNCTION("""COMPUTED_VALUE"""),"wguerra@postobon.com.co")</f>
        <v>wguerra@postobon.com.co</v>
      </c>
      <c r="Z1343" s="5" t="str">
        <f ca="1">IFERROR(__xludf.DUMMYFUNCTION("""COMPUTED_VALUE"""),"LhWzK3StSWGnr16Nao.Yqw")</f>
        <v>LhWzK3StSWGnr16Nao.Yqw</v>
      </c>
      <c r="AA1343" s="5"/>
      <c r="AB1343" s="5"/>
      <c r="AC1343" s="5"/>
      <c r="AD1343" s="5">
        <f ca="1">IFERROR(__xludf.DUMMYFUNCTION("""COMPUTED_VALUE"""),24)</f>
        <v>24</v>
      </c>
      <c r="AE1343" s="5">
        <f ca="1">IFERROR(__xludf.DUMMYFUNCTION("""COMPUTED_VALUE"""),0)</f>
        <v>0</v>
      </c>
      <c r="AF1343" s="5" t="b">
        <f ca="1">IFERROR(__xludf.DUMMYFUNCTION("""COMPUTED_VALUE"""),TRUE)</f>
        <v>1</v>
      </c>
      <c r="AG1343" s="5" t="str">
        <f ca="1">IFERROR(__xludf.DUMMYFUNCTION("""COMPUTED_VALUE"""),"INSPECCIONES SIN REALIZAR")</f>
        <v>INSPECCIONES SIN REALIZAR</v>
      </c>
      <c r="AH1343" s="5"/>
    </row>
    <row r="1344" spans="1:34">
      <c r="A1344" s="5" t="str">
        <f ca="1">IFERROR(__xludf.DUMMYFUNCTION("""COMPUTED_VALUE"""),"LINEA DE ENVASADO PET NO RETORNABLE")</f>
        <v>LINEA DE ENVASADO PET NO RETORNABLE</v>
      </c>
      <c r="B1344" s="5">
        <f ca="1">IFERROR(__xludf.DUMMYFUNCTION("""COMPUTED_VALUE"""),829614)</f>
        <v>829614</v>
      </c>
      <c r="C1344" s="5" t="str">
        <f ca="1">IFERROR(__xludf.DUMMYFUNCTION("""COMPUTED_VALUE"""),"TRANSPORTADOR DE EMBALAJES")</f>
        <v>TRANSPORTADOR DE EMBALAJES</v>
      </c>
      <c r="D1344" s="5">
        <f ca="1">IFERROR(__xludf.DUMMYFUNCTION("""COMPUTED_VALUE"""),13247843)</f>
        <v>13247843</v>
      </c>
      <c r="E1344" s="5" t="str">
        <f ca="1">IFERROR(__xludf.DUMMYFUNCTION("""COMPUTED_VALUE"""),"INSPECCION SEMANAL TRANSPORTADOR EMBALAJ")</f>
        <v>INSPECCION SEMANAL TRANSPORTADOR EMBALAJ</v>
      </c>
      <c r="F1344" s="5" t="str">
        <f ca="1">IFERROR(__xludf.DUMMYFUNCTION("""COMPUTED_VALUE"""),"ESTADO PERFILES, EMPACK")</f>
        <v>ESTADO PERFILES, EMPACK</v>
      </c>
      <c r="G1344" s="5"/>
      <c r="H1344" s="5"/>
      <c r="I1344" s="5"/>
      <c r="J1344" s="5"/>
      <c r="K1344" s="5"/>
      <c r="L1344" s="18">
        <f ca="1">IFERROR(__xludf.DUMMYFUNCTION("""COMPUTED_VALUE"""),45324)</f>
        <v>45324</v>
      </c>
      <c r="M1344" s="18">
        <f ca="1">IFERROR(__xludf.DUMMYFUNCTION("""COMPUTED_VALUE"""),45324)</f>
        <v>45324</v>
      </c>
      <c r="N1344" s="5" t="str">
        <f ca="1">IFERROR(__xludf.DUMMYFUNCTION("""COMPUTED_VALUE"""),"Mauricio Murillo Arrollo")</f>
        <v>Mauricio Murillo Arrollo</v>
      </c>
      <c r="O1344" s="2">
        <f ca="1">IFERROR(__xludf.DUMMYFUNCTION("""COMPUTED_VALUE"""),0.007142857)</f>
        <v>7.1428569999999999E-3</v>
      </c>
      <c r="P1344" s="5"/>
      <c r="Q1344" s="5" t="str">
        <f ca="1">IFERROR(__xludf.DUMMYFUNCTION("""COMPUTED_VALUE"""),"Sp-sVV_6YGU")</f>
        <v>Sp-sVV_6YGU</v>
      </c>
      <c r="R1344" s="5">
        <f ca="1">IFERROR(__xludf.DUMMYFUNCTION("""COMPUTED_VALUE"""),410)</f>
        <v>410</v>
      </c>
      <c r="S1344" s="62">
        <f ca="1">IFERROR(__xludf.DUMMYFUNCTION("""COMPUTED_VALUE"""),0.007142857)</f>
        <v>7.1428569999999999E-3</v>
      </c>
      <c r="T1344" s="63" t="str">
        <f ca="1">IFERROR(__xludf.DUMMYFUNCTION("""COMPUTED_VALUE"""),"https://storage.googleapis.com/glide-prod.appspot.com/uploads-v2/ly7o78grxPaC6KdgvbpS/pub/UliJWgpEaBovaFmXi6OW.png")</f>
        <v>https://storage.googleapis.com/glide-prod.appspot.com/uploads-v2/ly7o78grxPaC6KdgvbpS/pub/UliJWgpEaBovaFmXi6OW.png</v>
      </c>
      <c r="U1344" s="5" t="str">
        <f ca="1">IFERROR(__xludf.DUMMYFUNCTION("""COMPUTED_VALUE"""),"LINEA DE ENVASADO PET NO RETORNABLETRANSPORTADOR DE EMBALAJES")</f>
        <v>LINEA DE ENVASADO PET NO RETORNABLETRANSPORTADOR DE EMBALAJES</v>
      </c>
      <c r="V1344" s="5"/>
      <c r="W1344" s="5"/>
      <c r="X1344" s="5" t="str">
        <f ca="1">IFERROR(__xludf.DUMMYFUNCTION("""COMPUTED_VALUE"""),"wguerra@postobon.com.co,aprmttoyu@postobon.com.co,aprmyu@postobon.com.co,wmora@postobon.com.co,efzapata@postobon.com.co")</f>
        <v>wguerra@postobon.com.co,aprmttoyu@postobon.com.co,aprmyu@postobon.com.co,wmora@postobon.com.co,efzapata@postobon.com.co</v>
      </c>
      <c r="Y1344" s="5" t="str">
        <f ca="1">IFERROR(__xludf.DUMMYFUNCTION("""COMPUTED_VALUE"""),"wguerra@postobon.com.co")</f>
        <v>wguerra@postobon.com.co</v>
      </c>
      <c r="Z1344" s="5" t="str">
        <f ca="1">IFERROR(__xludf.DUMMYFUNCTION("""COMPUTED_VALUE"""),"vWjEwXYRT5iF6BZIkmXh7A")</f>
        <v>vWjEwXYRT5iF6BZIkmXh7A</v>
      </c>
      <c r="AA1344" s="5"/>
      <c r="AB1344" s="5"/>
      <c r="AC1344" s="5"/>
      <c r="AD1344" s="5">
        <f ca="1">IFERROR(__xludf.DUMMYFUNCTION("""COMPUTED_VALUE"""),14)</f>
        <v>14</v>
      </c>
      <c r="AE1344" s="5">
        <f ca="1">IFERROR(__xludf.DUMMYFUNCTION("""COMPUTED_VALUE"""),0)</f>
        <v>0</v>
      </c>
      <c r="AF1344" s="5" t="b">
        <f ca="1">IFERROR(__xludf.DUMMYFUNCTION("""COMPUTED_VALUE"""),TRUE)</f>
        <v>1</v>
      </c>
      <c r="AG1344" s="5" t="str">
        <f ca="1">IFERROR(__xludf.DUMMYFUNCTION("""COMPUTED_VALUE"""),"INSPECCIONES SIN REALIZAR")</f>
        <v>INSPECCIONES SIN REALIZAR</v>
      </c>
      <c r="AH1344" s="5"/>
    </row>
    <row r="1345" spans="1:34">
      <c r="A1345" s="5" t="str">
        <f ca="1">IFERROR(__xludf.DUMMYFUNCTION("""COMPUTED_VALUE"""),"LINEA DE ENVASADO PET NO RETORNABLE")</f>
        <v>LINEA DE ENVASADO PET NO RETORNABLE</v>
      </c>
      <c r="B1345" s="5">
        <f ca="1">IFERROR(__xludf.DUMMYFUNCTION("""COMPUTED_VALUE"""),829614)</f>
        <v>829614</v>
      </c>
      <c r="C1345" s="5" t="str">
        <f ca="1">IFERROR(__xludf.DUMMYFUNCTION("""COMPUTED_VALUE"""),"TRANSPORTADOR DE EMBALAJES")</f>
        <v>TRANSPORTADOR DE EMBALAJES</v>
      </c>
      <c r="D1345" s="5">
        <f ca="1">IFERROR(__xludf.DUMMYFUNCTION("""COMPUTED_VALUE"""),13247843)</f>
        <v>13247843</v>
      </c>
      <c r="E1345" s="5" t="str">
        <f ca="1">IFERROR(__xludf.DUMMYFUNCTION("""COMPUTED_VALUE"""),"INSPECCION SEMANAL TRANSPORTADOR EMBALAJ")</f>
        <v>INSPECCION SEMANAL TRANSPORTADOR EMBALAJ</v>
      </c>
      <c r="F1345" s="5" t="str">
        <f ca="1">IFERROR(__xludf.DUMMYFUNCTION("""COMPUTED_VALUE"""),"ESTADO PIÑONES,CHUMACERAS")</f>
        <v>ESTADO PIÑONES,CHUMACERAS</v>
      </c>
      <c r="G1345" s="5"/>
      <c r="H1345" s="5"/>
      <c r="I1345" s="5"/>
      <c r="J1345" s="5"/>
      <c r="K1345" s="5"/>
      <c r="L1345" s="18">
        <f ca="1">IFERROR(__xludf.DUMMYFUNCTION("""COMPUTED_VALUE"""),45324)</f>
        <v>45324</v>
      </c>
      <c r="M1345" s="18">
        <f ca="1">IFERROR(__xludf.DUMMYFUNCTION("""COMPUTED_VALUE"""),45324)</f>
        <v>45324</v>
      </c>
      <c r="N1345" s="5" t="str">
        <f ca="1">IFERROR(__xludf.DUMMYFUNCTION("""COMPUTED_VALUE"""),"Mauricio Murillo Arrollo")</f>
        <v>Mauricio Murillo Arrollo</v>
      </c>
      <c r="O1345" s="2">
        <f ca="1">IFERROR(__xludf.DUMMYFUNCTION("""COMPUTED_VALUE"""),0.007142857)</f>
        <v>7.1428569999999999E-3</v>
      </c>
      <c r="P1345" s="5"/>
      <c r="Q1345" s="5" t="str">
        <f ca="1">IFERROR(__xludf.DUMMYFUNCTION("""COMPUTED_VALUE"""),"fWsIT6etcEg")</f>
        <v>fWsIT6etcEg</v>
      </c>
      <c r="R1345" s="5">
        <f ca="1">IFERROR(__xludf.DUMMYFUNCTION("""COMPUTED_VALUE"""),410)</f>
        <v>410</v>
      </c>
      <c r="S1345" s="62">
        <f ca="1">IFERROR(__xludf.DUMMYFUNCTION("""COMPUTED_VALUE"""),0.007142857)</f>
        <v>7.1428569999999999E-3</v>
      </c>
      <c r="T1345" s="63" t="str">
        <f ca="1">IFERROR(__xludf.DUMMYFUNCTION("""COMPUTED_VALUE"""),"https://storage.googleapis.com/glide-prod.appspot.com/uploads-v2/ly7o78grxPaC6KdgvbpS/pub/UliJWgpEaBovaFmXi6OW.png")</f>
        <v>https://storage.googleapis.com/glide-prod.appspot.com/uploads-v2/ly7o78grxPaC6KdgvbpS/pub/UliJWgpEaBovaFmXi6OW.png</v>
      </c>
      <c r="U1345" s="5" t="str">
        <f ca="1">IFERROR(__xludf.DUMMYFUNCTION("""COMPUTED_VALUE"""),"LINEA DE ENVASADO PET NO RETORNABLETRANSPORTADOR DE EMBALAJES")</f>
        <v>LINEA DE ENVASADO PET NO RETORNABLETRANSPORTADOR DE EMBALAJES</v>
      </c>
      <c r="V1345" s="5"/>
      <c r="W1345" s="5"/>
      <c r="X1345" s="5" t="str">
        <f ca="1">IFERROR(__xludf.DUMMYFUNCTION("""COMPUTED_VALUE"""),"wguerra@postobon.com.co,aprmttoyu@postobon.com.co,aprmyu@postobon.com.co,wmora@postobon.com.co,efzapata@postobon.com.co")</f>
        <v>wguerra@postobon.com.co,aprmttoyu@postobon.com.co,aprmyu@postobon.com.co,wmora@postobon.com.co,efzapata@postobon.com.co</v>
      </c>
      <c r="Y1345" s="5" t="str">
        <f ca="1">IFERROR(__xludf.DUMMYFUNCTION("""COMPUTED_VALUE"""),"wguerra@postobon.com.co")</f>
        <v>wguerra@postobon.com.co</v>
      </c>
      <c r="Z1345" s="5" t="str">
        <f ca="1">IFERROR(__xludf.DUMMYFUNCTION("""COMPUTED_VALUE"""),"MpuZQY9tSYCRql.coyb.6A")</f>
        <v>MpuZQY9tSYCRql.coyb.6A</v>
      </c>
      <c r="AA1345" s="5"/>
      <c r="AB1345" s="5"/>
      <c r="AC1345" s="5"/>
      <c r="AD1345" s="5">
        <f ca="1">IFERROR(__xludf.DUMMYFUNCTION("""COMPUTED_VALUE"""),14)</f>
        <v>14</v>
      </c>
      <c r="AE1345" s="5">
        <f ca="1">IFERROR(__xludf.DUMMYFUNCTION("""COMPUTED_VALUE"""),0)</f>
        <v>0</v>
      </c>
      <c r="AF1345" s="5" t="b">
        <f ca="1">IFERROR(__xludf.DUMMYFUNCTION("""COMPUTED_VALUE"""),TRUE)</f>
        <v>1</v>
      </c>
      <c r="AG1345" s="5" t="str">
        <f ca="1">IFERROR(__xludf.DUMMYFUNCTION("""COMPUTED_VALUE"""),"INSPECCIONES SIN REALIZAR")</f>
        <v>INSPECCIONES SIN REALIZAR</v>
      </c>
      <c r="AH1345" s="5"/>
    </row>
    <row r="1346" spans="1:34">
      <c r="A1346" s="5" t="str">
        <f ca="1">IFERROR(__xludf.DUMMYFUNCTION("""COMPUTED_VALUE"""),"LINEA DE ENVASADO PET NO RETORNABLE")</f>
        <v>LINEA DE ENVASADO PET NO RETORNABLE</v>
      </c>
      <c r="B1346" s="5">
        <f ca="1">IFERROR(__xludf.DUMMYFUNCTION("""COMPUTED_VALUE"""),829614)</f>
        <v>829614</v>
      </c>
      <c r="C1346" s="5" t="str">
        <f ca="1">IFERROR(__xludf.DUMMYFUNCTION("""COMPUTED_VALUE"""),"TRANSPORTADOR DE EMBALAJES")</f>
        <v>TRANSPORTADOR DE EMBALAJES</v>
      </c>
      <c r="D1346" s="5">
        <f ca="1">IFERROR(__xludf.DUMMYFUNCTION("""COMPUTED_VALUE"""),13247843)</f>
        <v>13247843</v>
      </c>
      <c r="E1346" s="5" t="str">
        <f ca="1">IFERROR(__xludf.DUMMYFUNCTION("""COMPUTED_VALUE"""),"INSPECCION SEMANAL TRANSPORTADOR EMBALAJ")</f>
        <v>INSPECCION SEMANAL TRANSPORTADOR EMBALAJ</v>
      </c>
      <c r="F1346" s="5" t="str">
        <f ca="1">IFERROR(__xludf.DUMMYFUNCTION("""COMPUTED_VALUE"""),"ESTADO BARANDAS")</f>
        <v>ESTADO BARANDAS</v>
      </c>
      <c r="G1346" s="5"/>
      <c r="H1346" s="5"/>
      <c r="I1346" s="5"/>
      <c r="J1346" s="5"/>
      <c r="K1346" s="5"/>
      <c r="L1346" s="18">
        <f ca="1">IFERROR(__xludf.DUMMYFUNCTION("""COMPUTED_VALUE"""),45324)</f>
        <v>45324</v>
      </c>
      <c r="M1346" s="18">
        <f ca="1">IFERROR(__xludf.DUMMYFUNCTION("""COMPUTED_VALUE"""),45324)</f>
        <v>45324</v>
      </c>
      <c r="N1346" s="5" t="str">
        <f ca="1">IFERROR(__xludf.DUMMYFUNCTION("""COMPUTED_VALUE"""),"Mauricio Murillo Arrollo")</f>
        <v>Mauricio Murillo Arrollo</v>
      </c>
      <c r="O1346" s="2">
        <f ca="1">IFERROR(__xludf.DUMMYFUNCTION("""COMPUTED_VALUE"""),0.007142857)</f>
        <v>7.1428569999999999E-3</v>
      </c>
      <c r="P1346" s="5"/>
      <c r="Q1346" s="5" t="str">
        <f ca="1">IFERROR(__xludf.DUMMYFUNCTION("""COMPUTED_VALUE"""),"fzJpuj7ukDE")</f>
        <v>fzJpuj7ukDE</v>
      </c>
      <c r="R1346" s="5">
        <f ca="1">IFERROR(__xludf.DUMMYFUNCTION("""COMPUTED_VALUE"""),410)</f>
        <v>410</v>
      </c>
      <c r="S1346" s="62">
        <f ca="1">IFERROR(__xludf.DUMMYFUNCTION("""COMPUTED_VALUE"""),0.007142857)</f>
        <v>7.1428569999999999E-3</v>
      </c>
      <c r="T1346" s="63" t="str">
        <f ca="1">IFERROR(__xludf.DUMMYFUNCTION("""COMPUTED_VALUE"""),"https://storage.googleapis.com/glide-prod.appspot.com/uploads-v2/ly7o78grxPaC6KdgvbpS/pub/UliJWgpEaBovaFmXi6OW.png")</f>
        <v>https://storage.googleapis.com/glide-prod.appspot.com/uploads-v2/ly7o78grxPaC6KdgvbpS/pub/UliJWgpEaBovaFmXi6OW.png</v>
      </c>
      <c r="U1346" s="5" t="str">
        <f ca="1">IFERROR(__xludf.DUMMYFUNCTION("""COMPUTED_VALUE"""),"LINEA DE ENVASADO PET NO RETORNABLETRANSPORTADOR DE EMBALAJES")</f>
        <v>LINEA DE ENVASADO PET NO RETORNABLETRANSPORTADOR DE EMBALAJES</v>
      </c>
      <c r="V1346" s="5"/>
      <c r="W1346" s="5"/>
      <c r="X1346" s="5" t="str">
        <f ca="1">IFERROR(__xludf.DUMMYFUNCTION("""COMPUTED_VALUE"""),"wguerra@postobon.com.co,aprmttoyu@postobon.com.co,aprmyu@postobon.com.co,wmora@postobon.com.co,efzapata@postobon.com.co")</f>
        <v>wguerra@postobon.com.co,aprmttoyu@postobon.com.co,aprmyu@postobon.com.co,wmora@postobon.com.co,efzapata@postobon.com.co</v>
      </c>
      <c r="Y1346" s="5" t="str">
        <f ca="1">IFERROR(__xludf.DUMMYFUNCTION("""COMPUTED_VALUE"""),"wguerra@postobon.com.co")</f>
        <v>wguerra@postobon.com.co</v>
      </c>
      <c r="Z1346" s="5" t="str">
        <f ca="1">IFERROR(__xludf.DUMMYFUNCTION("""COMPUTED_VALUE"""),"xHBfn0AvQ2iIspwXPkTbcA")</f>
        <v>xHBfn0AvQ2iIspwXPkTbcA</v>
      </c>
      <c r="AA1346" s="5"/>
      <c r="AB1346" s="5"/>
      <c r="AC1346" s="5"/>
      <c r="AD1346" s="5">
        <f ca="1">IFERROR(__xludf.DUMMYFUNCTION("""COMPUTED_VALUE"""),14)</f>
        <v>14</v>
      </c>
      <c r="AE1346" s="5">
        <f ca="1">IFERROR(__xludf.DUMMYFUNCTION("""COMPUTED_VALUE"""),0)</f>
        <v>0</v>
      </c>
      <c r="AF1346" s="5" t="b">
        <f ca="1">IFERROR(__xludf.DUMMYFUNCTION("""COMPUTED_VALUE"""),TRUE)</f>
        <v>1</v>
      </c>
      <c r="AG1346" s="5" t="str">
        <f ca="1">IFERROR(__xludf.DUMMYFUNCTION("""COMPUTED_VALUE"""),"INSPECCIONES SIN REALIZAR")</f>
        <v>INSPECCIONES SIN REALIZAR</v>
      </c>
      <c r="AH1346" s="5"/>
    </row>
    <row r="1347" spans="1:34">
      <c r="A1347" s="5" t="str">
        <f ca="1">IFERROR(__xludf.DUMMYFUNCTION("""COMPUTED_VALUE"""),"LINEA DE ENVASADO PET NO RETORNABLE")</f>
        <v>LINEA DE ENVASADO PET NO RETORNABLE</v>
      </c>
      <c r="B1347" s="5">
        <f ca="1">IFERROR(__xludf.DUMMYFUNCTION("""COMPUTED_VALUE"""),829614)</f>
        <v>829614</v>
      </c>
      <c r="C1347" s="5" t="str">
        <f ca="1">IFERROR(__xludf.DUMMYFUNCTION("""COMPUTED_VALUE"""),"TRANSPORTADOR DE EMBALAJES")</f>
        <v>TRANSPORTADOR DE EMBALAJES</v>
      </c>
      <c r="D1347" s="5">
        <f ca="1">IFERROR(__xludf.DUMMYFUNCTION("""COMPUTED_VALUE"""),13247843)</f>
        <v>13247843</v>
      </c>
      <c r="E1347" s="5" t="str">
        <f ca="1">IFERROR(__xludf.DUMMYFUNCTION("""COMPUTED_VALUE"""),"INSPECCION SEMANAL TRANSPORTADOR EMBALAJ")</f>
        <v>INSPECCION SEMANAL TRANSPORTADOR EMBALAJ</v>
      </c>
      <c r="F1347" s="5" t="str">
        <f ca="1">IFERROR(__xludf.DUMMYFUNCTION("""COMPUTED_VALUE"""),"ESTADO JABON LUBRICANTE")</f>
        <v>ESTADO JABON LUBRICANTE</v>
      </c>
      <c r="G1347" s="5"/>
      <c r="H1347" s="5"/>
      <c r="I1347" s="5"/>
      <c r="J1347" s="5"/>
      <c r="K1347" s="5"/>
      <c r="L1347" s="18">
        <f ca="1">IFERROR(__xludf.DUMMYFUNCTION("""COMPUTED_VALUE"""),45324)</f>
        <v>45324</v>
      </c>
      <c r="M1347" s="18">
        <f ca="1">IFERROR(__xludf.DUMMYFUNCTION("""COMPUTED_VALUE"""),45324)</f>
        <v>45324</v>
      </c>
      <c r="N1347" s="5" t="str">
        <f ca="1">IFERROR(__xludf.DUMMYFUNCTION("""COMPUTED_VALUE"""),"Mauricio Murillo Arrollo")</f>
        <v>Mauricio Murillo Arrollo</v>
      </c>
      <c r="O1347" s="2">
        <f ca="1">IFERROR(__xludf.DUMMYFUNCTION("""COMPUTED_VALUE"""),0.007142857)</f>
        <v>7.1428569999999999E-3</v>
      </c>
      <c r="P1347" s="5"/>
      <c r="Q1347" s="5" t="str">
        <f ca="1">IFERROR(__xludf.DUMMYFUNCTION("""COMPUTED_VALUE"""),"wnyLYjc1Cwk")</f>
        <v>wnyLYjc1Cwk</v>
      </c>
      <c r="R1347" s="5">
        <f ca="1">IFERROR(__xludf.DUMMYFUNCTION("""COMPUTED_VALUE"""),410)</f>
        <v>410</v>
      </c>
      <c r="S1347" s="62">
        <f ca="1">IFERROR(__xludf.DUMMYFUNCTION("""COMPUTED_VALUE"""),0.007142857)</f>
        <v>7.1428569999999999E-3</v>
      </c>
      <c r="T1347" s="63" t="str">
        <f ca="1">IFERROR(__xludf.DUMMYFUNCTION("""COMPUTED_VALUE"""),"https://storage.googleapis.com/glide-prod.appspot.com/uploads-v2/ly7o78grxPaC6KdgvbpS/pub/UliJWgpEaBovaFmXi6OW.png")</f>
        <v>https://storage.googleapis.com/glide-prod.appspot.com/uploads-v2/ly7o78grxPaC6KdgvbpS/pub/UliJWgpEaBovaFmXi6OW.png</v>
      </c>
      <c r="U1347" s="5" t="str">
        <f ca="1">IFERROR(__xludf.DUMMYFUNCTION("""COMPUTED_VALUE"""),"LINEA DE ENVASADO PET NO RETORNABLETRANSPORTADOR DE EMBALAJES")</f>
        <v>LINEA DE ENVASADO PET NO RETORNABLETRANSPORTADOR DE EMBALAJES</v>
      </c>
      <c r="V1347" s="5"/>
      <c r="W1347" s="5"/>
      <c r="X1347" s="5" t="str">
        <f ca="1">IFERROR(__xludf.DUMMYFUNCTION("""COMPUTED_VALUE"""),"wguerra@postobon.com.co,aprmttoyu@postobon.com.co,aprmyu@postobon.com.co,wmora@postobon.com.co,efzapata@postobon.com.co")</f>
        <v>wguerra@postobon.com.co,aprmttoyu@postobon.com.co,aprmyu@postobon.com.co,wmora@postobon.com.co,efzapata@postobon.com.co</v>
      </c>
      <c r="Y1347" s="5" t="str">
        <f ca="1">IFERROR(__xludf.DUMMYFUNCTION("""COMPUTED_VALUE"""),"wguerra@postobon.com.co")</f>
        <v>wguerra@postobon.com.co</v>
      </c>
      <c r="Z1347" s="5" t="str">
        <f ca="1">IFERROR(__xludf.DUMMYFUNCTION("""COMPUTED_VALUE"""),"f66PPpXjTFGdqSh7YHA9Iw")</f>
        <v>f66PPpXjTFGdqSh7YHA9Iw</v>
      </c>
      <c r="AA1347" s="5"/>
      <c r="AB1347" s="5"/>
      <c r="AC1347" s="5"/>
      <c r="AD1347" s="5">
        <f ca="1">IFERROR(__xludf.DUMMYFUNCTION("""COMPUTED_VALUE"""),14)</f>
        <v>14</v>
      </c>
      <c r="AE1347" s="5">
        <f ca="1">IFERROR(__xludf.DUMMYFUNCTION("""COMPUTED_VALUE"""),0)</f>
        <v>0</v>
      </c>
      <c r="AF1347" s="5" t="b">
        <f ca="1">IFERROR(__xludf.DUMMYFUNCTION("""COMPUTED_VALUE"""),TRUE)</f>
        <v>1</v>
      </c>
      <c r="AG1347" s="5" t="str">
        <f ca="1">IFERROR(__xludf.DUMMYFUNCTION("""COMPUTED_VALUE"""),"INSPECCIONES SIN REALIZAR")</f>
        <v>INSPECCIONES SIN REALIZAR</v>
      </c>
      <c r="AH1347" s="5"/>
    </row>
    <row r="1348" spans="1:34">
      <c r="A1348" s="5" t="str">
        <f ca="1">IFERROR(__xludf.DUMMYFUNCTION("""COMPUTED_VALUE"""),"LINEA DE ENVASADO PET NO RETORNABLE")</f>
        <v>LINEA DE ENVASADO PET NO RETORNABLE</v>
      </c>
      <c r="B1348" s="5">
        <f ca="1">IFERROR(__xludf.DUMMYFUNCTION("""COMPUTED_VALUE"""),829614)</f>
        <v>829614</v>
      </c>
      <c r="C1348" s="5" t="str">
        <f ca="1">IFERROR(__xludf.DUMMYFUNCTION("""COMPUTED_VALUE"""),"TRANSPORTADOR DE EMBALAJES")</f>
        <v>TRANSPORTADOR DE EMBALAJES</v>
      </c>
      <c r="D1348" s="5">
        <f ca="1">IFERROR(__xludf.DUMMYFUNCTION("""COMPUTED_VALUE"""),13247843)</f>
        <v>13247843</v>
      </c>
      <c r="E1348" s="5" t="str">
        <f ca="1">IFERROR(__xludf.DUMMYFUNCTION("""COMPUTED_VALUE"""),"INSPECCION SEMANAL TRANSPORTADOR EMBALAJ")</f>
        <v>INSPECCION SEMANAL TRANSPORTADOR EMBALAJ</v>
      </c>
      <c r="F1348" s="5" t="str">
        <f ca="1">IFERROR(__xludf.DUMMYFUNCTION("""COMPUTED_VALUE"""),"ESTADO CADENAS, TORNILLERIA")</f>
        <v>ESTADO CADENAS, TORNILLERIA</v>
      </c>
      <c r="G1348" s="5"/>
      <c r="H1348" s="5"/>
      <c r="I1348" s="5"/>
      <c r="J1348" s="5"/>
      <c r="K1348" s="5"/>
      <c r="L1348" s="18">
        <f ca="1">IFERROR(__xludf.DUMMYFUNCTION("""COMPUTED_VALUE"""),45324)</f>
        <v>45324</v>
      </c>
      <c r="M1348" s="18">
        <f ca="1">IFERROR(__xludf.DUMMYFUNCTION("""COMPUTED_VALUE"""),45324)</f>
        <v>45324</v>
      </c>
      <c r="N1348" s="5" t="str">
        <f ca="1">IFERROR(__xludf.DUMMYFUNCTION("""COMPUTED_VALUE"""),"Mauricio Murillo Arrollo")</f>
        <v>Mauricio Murillo Arrollo</v>
      </c>
      <c r="O1348" s="2">
        <f ca="1">IFERROR(__xludf.DUMMYFUNCTION("""COMPUTED_VALUE"""),0.007142857)</f>
        <v>7.1428569999999999E-3</v>
      </c>
      <c r="P1348" s="5"/>
      <c r="Q1348" s="5" t="str">
        <f ca="1">IFERROR(__xludf.DUMMYFUNCTION("""COMPUTED_VALUE"""),"4m_JJ35HTs0")</f>
        <v>4m_JJ35HTs0</v>
      </c>
      <c r="R1348" s="5">
        <f ca="1">IFERROR(__xludf.DUMMYFUNCTION("""COMPUTED_VALUE"""),410)</f>
        <v>410</v>
      </c>
      <c r="S1348" s="62">
        <f ca="1">IFERROR(__xludf.DUMMYFUNCTION("""COMPUTED_VALUE"""),0.007142857)</f>
        <v>7.1428569999999999E-3</v>
      </c>
      <c r="T1348" s="63" t="str">
        <f ca="1">IFERROR(__xludf.DUMMYFUNCTION("""COMPUTED_VALUE"""),"https://storage.googleapis.com/glide-prod.appspot.com/uploads-v2/ly7o78grxPaC6KdgvbpS/pub/UliJWgpEaBovaFmXi6OW.png")</f>
        <v>https://storage.googleapis.com/glide-prod.appspot.com/uploads-v2/ly7o78grxPaC6KdgvbpS/pub/UliJWgpEaBovaFmXi6OW.png</v>
      </c>
      <c r="U1348" s="5" t="str">
        <f ca="1">IFERROR(__xludf.DUMMYFUNCTION("""COMPUTED_VALUE"""),"LINEA DE ENVASADO PET NO RETORNABLETRANSPORTADOR DE EMBALAJES")</f>
        <v>LINEA DE ENVASADO PET NO RETORNABLETRANSPORTADOR DE EMBALAJES</v>
      </c>
      <c r="V1348" s="5"/>
      <c r="W1348" s="5"/>
      <c r="X1348" s="5" t="str">
        <f ca="1">IFERROR(__xludf.DUMMYFUNCTION("""COMPUTED_VALUE"""),"wguerra@postobon.com.co,aprmttoyu@postobon.com.co,aprmyu@postobon.com.co,wmora@postobon.com.co,efzapata@postobon.com.co")</f>
        <v>wguerra@postobon.com.co,aprmttoyu@postobon.com.co,aprmyu@postobon.com.co,wmora@postobon.com.co,efzapata@postobon.com.co</v>
      </c>
      <c r="Y1348" s="5" t="str">
        <f ca="1">IFERROR(__xludf.DUMMYFUNCTION("""COMPUTED_VALUE"""),"wguerra@postobon.com.co")</f>
        <v>wguerra@postobon.com.co</v>
      </c>
      <c r="Z1348" s="5" t="str">
        <f ca="1">IFERROR(__xludf.DUMMYFUNCTION("""COMPUTED_VALUE"""),"cc36t3K9RLa-y6Cmzo4y2A")</f>
        <v>cc36t3K9RLa-y6Cmzo4y2A</v>
      </c>
      <c r="AA1348" s="5"/>
      <c r="AB1348" s="5"/>
      <c r="AC1348" s="5"/>
      <c r="AD1348" s="5">
        <f ca="1">IFERROR(__xludf.DUMMYFUNCTION("""COMPUTED_VALUE"""),14)</f>
        <v>14</v>
      </c>
      <c r="AE1348" s="5">
        <f ca="1">IFERROR(__xludf.DUMMYFUNCTION("""COMPUTED_VALUE"""),0)</f>
        <v>0</v>
      </c>
      <c r="AF1348" s="5" t="b">
        <f ca="1">IFERROR(__xludf.DUMMYFUNCTION("""COMPUTED_VALUE"""),TRUE)</f>
        <v>1</v>
      </c>
      <c r="AG1348" s="5" t="str">
        <f ca="1">IFERROR(__xludf.DUMMYFUNCTION("""COMPUTED_VALUE"""),"INSPECCIONES SIN REALIZAR")</f>
        <v>INSPECCIONES SIN REALIZAR</v>
      </c>
      <c r="AH1348" s="5"/>
    </row>
    <row r="1349" spans="1:34">
      <c r="A1349" s="5" t="str">
        <f ca="1">IFERROR(__xludf.DUMMYFUNCTION("""COMPUTED_VALUE"""),"LINEA DE ENVASADO PET NO RETORNABLE")</f>
        <v>LINEA DE ENVASADO PET NO RETORNABLE</v>
      </c>
      <c r="B1349" s="5">
        <f ca="1">IFERROR(__xludf.DUMMYFUNCTION("""COMPUTED_VALUE"""),829614)</f>
        <v>829614</v>
      </c>
      <c r="C1349" s="5" t="str">
        <f ca="1">IFERROR(__xludf.DUMMYFUNCTION("""COMPUTED_VALUE"""),"TRANSPORTADOR DE EMBALAJES")</f>
        <v>TRANSPORTADOR DE EMBALAJES</v>
      </c>
      <c r="D1349" s="5">
        <f ca="1">IFERROR(__xludf.DUMMYFUNCTION("""COMPUTED_VALUE"""),13247843)</f>
        <v>13247843</v>
      </c>
      <c r="E1349" s="5" t="str">
        <f ca="1">IFERROR(__xludf.DUMMYFUNCTION("""COMPUTED_VALUE"""),"INSPECCION SEMANAL TRANSPORTADOR EMBALAJ")</f>
        <v>INSPECCION SEMANAL TRANSPORTADOR EMBALAJ</v>
      </c>
      <c r="F1349" s="5" t="str">
        <f ca="1">IFERROR(__xludf.DUMMYFUNCTION("""COMPUTED_VALUE"""),"INSP INTERCAMBIADOR Y REJILLA AIRE")</f>
        <v>INSP INTERCAMBIADOR Y REJILLA AIRE</v>
      </c>
      <c r="G1349" s="5"/>
      <c r="H1349" s="5"/>
      <c r="I1349" s="5"/>
      <c r="J1349" s="5"/>
      <c r="K1349" s="5"/>
      <c r="L1349" s="18">
        <f ca="1">IFERROR(__xludf.DUMMYFUNCTION("""COMPUTED_VALUE"""),45324)</f>
        <v>45324</v>
      </c>
      <c r="M1349" s="18">
        <f ca="1">IFERROR(__xludf.DUMMYFUNCTION("""COMPUTED_VALUE"""),45324)</f>
        <v>45324</v>
      </c>
      <c r="N1349" s="5" t="str">
        <f ca="1">IFERROR(__xludf.DUMMYFUNCTION("""COMPUTED_VALUE"""),"Mauricio Murillo Arrollo")</f>
        <v>Mauricio Murillo Arrollo</v>
      </c>
      <c r="O1349" s="2">
        <f ca="1">IFERROR(__xludf.DUMMYFUNCTION("""COMPUTED_VALUE"""),0.007142857)</f>
        <v>7.1428569999999999E-3</v>
      </c>
      <c r="P1349" s="5"/>
      <c r="Q1349" s="5" t="str">
        <f ca="1">IFERROR(__xludf.DUMMYFUNCTION("""COMPUTED_VALUE"""),"yaX_YvDB1F8")</f>
        <v>yaX_YvDB1F8</v>
      </c>
      <c r="R1349" s="5">
        <f ca="1">IFERROR(__xludf.DUMMYFUNCTION("""COMPUTED_VALUE"""),410)</f>
        <v>410</v>
      </c>
      <c r="S1349" s="62">
        <f ca="1">IFERROR(__xludf.DUMMYFUNCTION("""COMPUTED_VALUE"""),0.007142857)</f>
        <v>7.1428569999999999E-3</v>
      </c>
      <c r="T1349" s="63" t="str">
        <f ca="1">IFERROR(__xludf.DUMMYFUNCTION("""COMPUTED_VALUE"""),"https://storage.googleapis.com/glide-prod.appspot.com/uploads-v2/ly7o78grxPaC6KdgvbpS/pub/UliJWgpEaBovaFmXi6OW.png")</f>
        <v>https://storage.googleapis.com/glide-prod.appspot.com/uploads-v2/ly7o78grxPaC6KdgvbpS/pub/UliJWgpEaBovaFmXi6OW.png</v>
      </c>
      <c r="U1349" s="5" t="str">
        <f ca="1">IFERROR(__xludf.DUMMYFUNCTION("""COMPUTED_VALUE"""),"LINEA DE ENVASADO PET NO RETORNABLETRANSPORTADOR DE EMBALAJES")</f>
        <v>LINEA DE ENVASADO PET NO RETORNABLETRANSPORTADOR DE EMBALAJES</v>
      </c>
      <c r="V1349" s="5"/>
      <c r="W1349" s="5"/>
      <c r="X1349" s="5" t="str">
        <f ca="1">IFERROR(__xludf.DUMMYFUNCTION("""COMPUTED_VALUE"""),"wguerra@postobon.com.co,aprmttoyu@postobon.com.co,aprmyu@postobon.com.co,wmora@postobon.com.co,efzapata@postobon.com.co")</f>
        <v>wguerra@postobon.com.co,aprmttoyu@postobon.com.co,aprmyu@postobon.com.co,wmora@postobon.com.co,efzapata@postobon.com.co</v>
      </c>
      <c r="Y1349" s="5" t="str">
        <f ca="1">IFERROR(__xludf.DUMMYFUNCTION("""COMPUTED_VALUE"""),"wguerra@postobon.com.co")</f>
        <v>wguerra@postobon.com.co</v>
      </c>
      <c r="Z1349" s="5" t="str">
        <f ca="1">IFERROR(__xludf.DUMMYFUNCTION("""COMPUTED_VALUE"""),"qOvc5ibtQdq80nIwOgAJUg")</f>
        <v>qOvc5ibtQdq80nIwOgAJUg</v>
      </c>
      <c r="AA1349" s="5"/>
      <c r="AB1349" s="5"/>
      <c r="AC1349" s="5"/>
      <c r="AD1349" s="5">
        <f ca="1">IFERROR(__xludf.DUMMYFUNCTION("""COMPUTED_VALUE"""),14)</f>
        <v>14</v>
      </c>
      <c r="AE1349" s="5">
        <f ca="1">IFERROR(__xludf.DUMMYFUNCTION("""COMPUTED_VALUE"""),0)</f>
        <v>0</v>
      </c>
      <c r="AF1349" s="5" t="b">
        <f ca="1">IFERROR(__xludf.DUMMYFUNCTION("""COMPUTED_VALUE"""),TRUE)</f>
        <v>1</v>
      </c>
      <c r="AG1349" s="5" t="str">
        <f ca="1">IFERROR(__xludf.DUMMYFUNCTION("""COMPUTED_VALUE"""),"INSPECCIONES SIN REALIZAR")</f>
        <v>INSPECCIONES SIN REALIZAR</v>
      </c>
      <c r="AH1349" s="5"/>
    </row>
    <row r="1350" spans="1:34">
      <c r="A1350" s="5" t="str">
        <f ca="1">IFERROR(__xludf.DUMMYFUNCTION("""COMPUTED_VALUE"""),"LINEA DE ENVASADO PET NO RETORNABLE")</f>
        <v>LINEA DE ENVASADO PET NO RETORNABLE</v>
      </c>
      <c r="B1350" s="5">
        <f ca="1">IFERROR(__xludf.DUMMYFUNCTION("""COMPUTED_VALUE"""),829614)</f>
        <v>829614</v>
      </c>
      <c r="C1350" s="5" t="str">
        <f ca="1">IFERROR(__xludf.DUMMYFUNCTION("""COMPUTED_VALUE"""),"TRANSPORTADOR DE EMBALAJES")</f>
        <v>TRANSPORTADOR DE EMBALAJES</v>
      </c>
      <c r="D1350" s="5">
        <f ca="1">IFERROR(__xludf.DUMMYFUNCTION("""COMPUTED_VALUE"""),13247843)</f>
        <v>13247843</v>
      </c>
      <c r="E1350" s="5" t="str">
        <f ca="1">IFERROR(__xludf.DUMMYFUNCTION("""COMPUTED_VALUE"""),"INSPECCION SEMANAL TRANSPORTADOR EMBALAJ")</f>
        <v>INSPECCION SEMANAL TRANSPORTADOR EMBALAJ</v>
      </c>
      <c r="F1350" s="5" t="str">
        <f ca="1">IFERROR(__xludf.DUMMYFUNCTION("""COMPUTED_VALUE"""),"MOTORREDUCTORES")</f>
        <v>MOTORREDUCTORES</v>
      </c>
      <c r="G1350" s="5"/>
      <c r="H1350" s="5"/>
      <c r="I1350" s="5"/>
      <c r="J1350" s="5"/>
      <c r="K1350" s="5"/>
      <c r="L1350" s="18">
        <f ca="1">IFERROR(__xludf.DUMMYFUNCTION("""COMPUTED_VALUE"""),45324)</f>
        <v>45324</v>
      </c>
      <c r="M1350" s="18">
        <f ca="1">IFERROR(__xludf.DUMMYFUNCTION("""COMPUTED_VALUE"""),45324)</f>
        <v>45324</v>
      </c>
      <c r="N1350" s="5" t="str">
        <f ca="1">IFERROR(__xludf.DUMMYFUNCTION("""COMPUTED_VALUE"""),"Mauricio Murillo Arrollo")</f>
        <v>Mauricio Murillo Arrollo</v>
      </c>
      <c r="O1350" s="2">
        <f ca="1">IFERROR(__xludf.DUMMYFUNCTION("""COMPUTED_VALUE"""),0.007142857)</f>
        <v>7.1428569999999999E-3</v>
      </c>
      <c r="P1350" s="5"/>
      <c r="Q1350" s="5" t="str">
        <f ca="1">IFERROR(__xludf.DUMMYFUNCTION("""COMPUTED_VALUE"""),"Vjnd_BcpnQU")</f>
        <v>Vjnd_BcpnQU</v>
      </c>
      <c r="R1350" s="5">
        <f ca="1">IFERROR(__xludf.DUMMYFUNCTION("""COMPUTED_VALUE"""),410)</f>
        <v>410</v>
      </c>
      <c r="S1350" s="62">
        <f ca="1">IFERROR(__xludf.DUMMYFUNCTION("""COMPUTED_VALUE"""),0.007142857)</f>
        <v>7.1428569999999999E-3</v>
      </c>
      <c r="T1350" s="63" t="str">
        <f ca="1">IFERROR(__xludf.DUMMYFUNCTION("""COMPUTED_VALUE"""),"https://storage.googleapis.com/glide-prod.appspot.com/uploads-v2/ly7o78grxPaC6KdgvbpS/pub/UliJWgpEaBovaFmXi6OW.png")</f>
        <v>https://storage.googleapis.com/glide-prod.appspot.com/uploads-v2/ly7o78grxPaC6KdgvbpS/pub/UliJWgpEaBovaFmXi6OW.png</v>
      </c>
      <c r="U1350" s="5" t="str">
        <f ca="1">IFERROR(__xludf.DUMMYFUNCTION("""COMPUTED_VALUE"""),"LINEA DE ENVASADO PET NO RETORNABLETRANSPORTADOR DE EMBALAJES")</f>
        <v>LINEA DE ENVASADO PET NO RETORNABLETRANSPORTADOR DE EMBALAJES</v>
      </c>
      <c r="V1350" s="5"/>
      <c r="W1350" s="5"/>
      <c r="X1350" s="5" t="str">
        <f ca="1">IFERROR(__xludf.DUMMYFUNCTION("""COMPUTED_VALUE"""),"wguerra@postobon.com.co,aprmttoyu@postobon.com.co,aprmyu@postobon.com.co,wmora@postobon.com.co,efzapata@postobon.com.co")</f>
        <v>wguerra@postobon.com.co,aprmttoyu@postobon.com.co,aprmyu@postobon.com.co,wmora@postobon.com.co,efzapata@postobon.com.co</v>
      </c>
      <c r="Y1350" s="5" t="str">
        <f ca="1">IFERROR(__xludf.DUMMYFUNCTION("""COMPUTED_VALUE"""),"wguerra@postobon.com.co")</f>
        <v>wguerra@postobon.com.co</v>
      </c>
      <c r="Z1350" s="5" t="str">
        <f ca="1">IFERROR(__xludf.DUMMYFUNCTION("""COMPUTED_VALUE"""),"9PeHXnRlScCGkIB18i7ZGA")</f>
        <v>9PeHXnRlScCGkIB18i7ZGA</v>
      </c>
      <c r="AA1350" s="5"/>
      <c r="AB1350" s="5"/>
      <c r="AC1350" s="5"/>
      <c r="AD1350" s="5">
        <f ca="1">IFERROR(__xludf.DUMMYFUNCTION("""COMPUTED_VALUE"""),14)</f>
        <v>14</v>
      </c>
      <c r="AE1350" s="5">
        <f ca="1">IFERROR(__xludf.DUMMYFUNCTION("""COMPUTED_VALUE"""),0)</f>
        <v>0</v>
      </c>
      <c r="AF1350" s="5" t="b">
        <f ca="1">IFERROR(__xludf.DUMMYFUNCTION("""COMPUTED_VALUE"""),TRUE)</f>
        <v>1</v>
      </c>
      <c r="AG1350" s="5" t="str">
        <f ca="1">IFERROR(__xludf.DUMMYFUNCTION("""COMPUTED_VALUE"""),"INSPECCIONES SIN REALIZAR")</f>
        <v>INSPECCIONES SIN REALIZAR</v>
      </c>
      <c r="AH1350" s="5"/>
    </row>
    <row r="1351" spans="1:34">
      <c r="A1351" s="5" t="str">
        <f ca="1">IFERROR(__xludf.DUMMYFUNCTION("""COMPUTED_VALUE"""),"LINEA DE ENVASADO PET NO RETORNABLE")</f>
        <v>LINEA DE ENVASADO PET NO RETORNABLE</v>
      </c>
      <c r="B1351" s="5">
        <f ca="1">IFERROR(__xludf.DUMMYFUNCTION("""COMPUTED_VALUE"""),829614)</f>
        <v>829614</v>
      </c>
      <c r="C1351" s="5" t="str">
        <f ca="1">IFERROR(__xludf.DUMMYFUNCTION("""COMPUTED_VALUE"""),"TRANSPORTADOR DE EMBALAJES")</f>
        <v>TRANSPORTADOR DE EMBALAJES</v>
      </c>
      <c r="D1351" s="5">
        <f ca="1">IFERROR(__xludf.DUMMYFUNCTION("""COMPUTED_VALUE"""),13247843)</f>
        <v>13247843</v>
      </c>
      <c r="E1351" s="5" t="str">
        <f ca="1">IFERROR(__xludf.DUMMYFUNCTION("""COMPUTED_VALUE"""),"INSPECCION SEMANAL TRANSPORTADOR EMBALAJ")</f>
        <v>INSPECCION SEMANAL TRANSPORTADOR EMBALAJ</v>
      </c>
      <c r="F1351" s="5" t="str">
        <f ca="1">IFERROR(__xludf.DUMMYFUNCTION("""COMPUTED_VALUE"""),"INSP. TABLERO ELECTRICO/CLIMATIZADOR")</f>
        <v>INSP. TABLERO ELECTRICO/CLIMATIZADOR</v>
      </c>
      <c r="G1351" s="5"/>
      <c r="H1351" s="5"/>
      <c r="I1351" s="5"/>
      <c r="J1351" s="5"/>
      <c r="K1351" s="5"/>
      <c r="L1351" s="18">
        <f ca="1">IFERROR(__xludf.DUMMYFUNCTION("""COMPUTED_VALUE"""),45324)</f>
        <v>45324</v>
      </c>
      <c r="M1351" s="18">
        <f ca="1">IFERROR(__xludf.DUMMYFUNCTION("""COMPUTED_VALUE"""),45324)</f>
        <v>45324</v>
      </c>
      <c r="N1351" s="5" t="str">
        <f ca="1">IFERROR(__xludf.DUMMYFUNCTION("""COMPUTED_VALUE"""),"Mauricio Murillo Arrollo")</f>
        <v>Mauricio Murillo Arrollo</v>
      </c>
      <c r="O1351" s="2">
        <f ca="1">IFERROR(__xludf.DUMMYFUNCTION("""COMPUTED_VALUE"""),0.007142857)</f>
        <v>7.1428569999999999E-3</v>
      </c>
      <c r="P1351" s="5"/>
      <c r="Q1351" s="5" t="str">
        <f ca="1">IFERROR(__xludf.DUMMYFUNCTION("""COMPUTED_VALUE"""),"V50yZHz3GvA")</f>
        <v>V50yZHz3GvA</v>
      </c>
      <c r="R1351" s="5">
        <f ca="1">IFERROR(__xludf.DUMMYFUNCTION("""COMPUTED_VALUE"""),410)</f>
        <v>410</v>
      </c>
      <c r="S1351" s="62">
        <f ca="1">IFERROR(__xludf.DUMMYFUNCTION("""COMPUTED_VALUE"""),0.007142857)</f>
        <v>7.1428569999999999E-3</v>
      </c>
      <c r="T1351" s="63" t="str">
        <f ca="1">IFERROR(__xludf.DUMMYFUNCTION("""COMPUTED_VALUE"""),"https://storage.googleapis.com/glide-prod.appspot.com/uploads-v2/ly7o78grxPaC6KdgvbpS/pub/UliJWgpEaBovaFmXi6OW.png")</f>
        <v>https://storage.googleapis.com/glide-prod.appspot.com/uploads-v2/ly7o78grxPaC6KdgvbpS/pub/UliJWgpEaBovaFmXi6OW.png</v>
      </c>
      <c r="U1351" s="5" t="str">
        <f ca="1">IFERROR(__xludf.DUMMYFUNCTION("""COMPUTED_VALUE"""),"LINEA DE ENVASADO PET NO RETORNABLETRANSPORTADOR DE EMBALAJES")</f>
        <v>LINEA DE ENVASADO PET NO RETORNABLETRANSPORTADOR DE EMBALAJES</v>
      </c>
      <c r="V1351" s="5"/>
      <c r="W1351" s="5"/>
      <c r="X1351" s="5" t="str">
        <f ca="1">IFERROR(__xludf.DUMMYFUNCTION("""COMPUTED_VALUE"""),"wguerra@postobon.com.co,aprmttoyu@postobon.com.co,aprmyu@postobon.com.co,wmora@postobon.com.co,efzapata@postobon.com.co")</f>
        <v>wguerra@postobon.com.co,aprmttoyu@postobon.com.co,aprmyu@postobon.com.co,wmora@postobon.com.co,efzapata@postobon.com.co</v>
      </c>
      <c r="Y1351" s="5" t="str">
        <f ca="1">IFERROR(__xludf.DUMMYFUNCTION("""COMPUTED_VALUE"""),"wguerra@postobon.com.co")</f>
        <v>wguerra@postobon.com.co</v>
      </c>
      <c r="Z1351" s="5" t="str">
        <f ca="1">IFERROR(__xludf.DUMMYFUNCTION("""COMPUTED_VALUE"""),"5Mr1KzLDRZuJA7HMchyNcw")</f>
        <v>5Mr1KzLDRZuJA7HMchyNcw</v>
      </c>
      <c r="AA1351" s="5"/>
      <c r="AB1351" s="5"/>
      <c r="AC1351" s="5"/>
      <c r="AD1351" s="5">
        <f ca="1">IFERROR(__xludf.DUMMYFUNCTION("""COMPUTED_VALUE"""),14)</f>
        <v>14</v>
      </c>
      <c r="AE1351" s="5">
        <f ca="1">IFERROR(__xludf.DUMMYFUNCTION("""COMPUTED_VALUE"""),0)</f>
        <v>0</v>
      </c>
      <c r="AF1351" s="5" t="b">
        <f ca="1">IFERROR(__xludf.DUMMYFUNCTION("""COMPUTED_VALUE"""),TRUE)</f>
        <v>1</v>
      </c>
      <c r="AG1351" s="5" t="str">
        <f ca="1">IFERROR(__xludf.DUMMYFUNCTION("""COMPUTED_VALUE"""),"INSPECCIONES SIN REALIZAR")</f>
        <v>INSPECCIONES SIN REALIZAR</v>
      </c>
      <c r="AH1351" s="5"/>
    </row>
    <row r="1352" spans="1:34">
      <c r="A1352" s="5" t="str">
        <f ca="1">IFERROR(__xludf.DUMMYFUNCTION("""COMPUTED_VALUE"""),"LINEA DE ENVASADO PET NO RETORNABLE")</f>
        <v>LINEA DE ENVASADO PET NO RETORNABLE</v>
      </c>
      <c r="B1352" s="5">
        <f ca="1">IFERROR(__xludf.DUMMYFUNCTION("""COMPUTED_VALUE"""),829614)</f>
        <v>829614</v>
      </c>
      <c r="C1352" s="5" t="str">
        <f ca="1">IFERROR(__xludf.DUMMYFUNCTION("""COMPUTED_VALUE"""),"TRANSPORTADOR DE EMBALAJES")</f>
        <v>TRANSPORTADOR DE EMBALAJES</v>
      </c>
      <c r="D1352" s="5">
        <f ca="1">IFERROR(__xludf.DUMMYFUNCTION("""COMPUTED_VALUE"""),13247843)</f>
        <v>13247843</v>
      </c>
      <c r="E1352" s="5" t="str">
        <f ca="1">IFERROR(__xludf.DUMMYFUNCTION("""COMPUTED_VALUE"""),"INSPECCION SEMANAL TRANSPORTADOR EMBALAJ")</f>
        <v>INSPECCION SEMANAL TRANSPORTADOR EMBALAJ</v>
      </c>
      <c r="F1352" s="5" t="str">
        <f ca="1">IFERROR(__xludf.DUMMYFUNCTION("""COMPUTED_VALUE"""),"ESTADO DE TRANSFERENCIAS")</f>
        <v>ESTADO DE TRANSFERENCIAS</v>
      </c>
      <c r="G1352" s="5"/>
      <c r="H1352" s="5"/>
      <c r="I1352" s="5"/>
      <c r="J1352" s="5"/>
      <c r="K1352" s="5"/>
      <c r="L1352" s="18">
        <f ca="1">IFERROR(__xludf.DUMMYFUNCTION("""COMPUTED_VALUE"""),45324)</f>
        <v>45324</v>
      </c>
      <c r="M1352" s="18">
        <f ca="1">IFERROR(__xludf.DUMMYFUNCTION("""COMPUTED_VALUE"""),45324)</f>
        <v>45324</v>
      </c>
      <c r="N1352" s="5" t="str">
        <f ca="1">IFERROR(__xludf.DUMMYFUNCTION("""COMPUTED_VALUE"""),"Mauricio Murillo Arrollo")</f>
        <v>Mauricio Murillo Arrollo</v>
      </c>
      <c r="O1352" s="2">
        <f ca="1">IFERROR(__xludf.DUMMYFUNCTION("""COMPUTED_VALUE"""),0.007142857)</f>
        <v>7.1428569999999999E-3</v>
      </c>
      <c r="P1352" s="5"/>
      <c r="Q1352" s="5" t="str">
        <f ca="1">IFERROR(__xludf.DUMMYFUNCTION("""COMPUTED_VALUE"""),"0y9oGEA_wCE")</f>
        <v>0y9oGEA_wCE</v>
      </c>
      <c r="R1352" s="5">
        <f ca="1">IFERROR(__xludf.DUMMYFUNCTION("""COMPUTED_VALUE"""),410)</f>
        <v>410</v>
      </c>
      <c r="S1352" s="62">
        <f ca="1">IFERROR(__xludf.DUMMYFUNCTION("""COMPUTED_VALUE"""),0.007142857)</f>
        <v>7.1428569999999999E-3</v>
      </c>
      <c r="T1352" s="63" t="str">
        <f ca="1">IFERROR(__xludf.DUMMYFUNCTION("""COMPUTED_VALUE"""),"https://storage.googleapis.com/glide-prod.appspot.com/uploads-v2/ly7o78grxPaC6KdgvbpS/pub/UliJWgpEaBovaFmXi6OW.png")</f>
        <v>https://storage.googleapis.com/glide-prod.appspot.com/uploads-v2/ly7o78grxPaC6KdgvbpS/pub/UliJWgpEaBovaFmXi6OW.png</v>
      </c>
      <c r="U1352" s="5" t="str">
        <f ca="1">IFERROR(__xludf.DUMMYFUNCTION("""COMPUTED_VALUE"""),"LINEA DE ENVASADO PET NO RETORNABLETRANSPORTADOR DE EMBALAJES")</f>
        <v>LINEA DE ENVASADO PET NO RETORNABLETRANSPORTADOR DE EMBALAJES</v>
      </c>
      <c r="V1352" s="5"/>
      <c r="W1352" s="5"/>
      <c r="X1352" s="5" t="str">
        <f ca="1">IFERROR(__xludf.DUMMYFUNCTION("""COMPUTED_VALUE"""),"wguerra@postobon.com.co,aprmttoyu@postobon.com.co,aprmyu@postobon.com.co,wmora@postobon.com.co,efzapata@postobon.com.co")</f>
        <v>wguerra@postobon.com.co,aprmttoyu@postobon.com.co,aprmyu@postobon.com.co,wmora@postobon.com.co,efzapata@postobon.com.co</v>
      </c>
      <c r="Y1352" s="5" t="str">
        <f ca="1">IFERROR(__xludf.DUMMYFUNCTION("""COMPUTED_VALUE"""),"wguerra@postobon.com.co")</f>
        <v>wguerra@postobon.com.co</v>
      </c>
      <c r="Z1352" s="5" t="str">
        <f ca="1">IFERROR(__xludf.DUMMYFUNCTION("""COMPUTED_VALUE"""),"vzsu9-ABRZeZLDxpypsZdg")</f>
        <v>vzsu9-ABRZeZLDxpypsZdg</v>
      </c>
      <c r="AA1352" s="5"/>
      <c r="AB1352" s="5"/>
      <c r="AC1352" s="5"/>
      <c r="AD1352" s="5">
        <f ca="1">IFERROR(__xludf.DUMMYFUNCTION("""COMPUTED_VALUE"""),14)</f>
        <v>14</v>
      </c>
      <c r="AE1352" s="5">
        <f ca="1">IFERROR(__xludf.DUMMYFUNCTION("""COMPUTED_VALUE"""),0)</f>
        <v>0</v>
      </c>
      <c r="AF1352" s="5" t="b">
        <f ca="1">IFERROR(__xludf.DUMMYFUNCTION("""COMPUTED_VALUE"""),TRUE)</f>
        <v>1</v>
      </c>
      <c r="AG1352" s="5" t="str">
        <f ca="1">IFERROR(__xludf.DUMMYFUNCTION("""COMPUTED_VALUE"""),"INSPECCIONES SIN REALIZAR")</f>
        <v>INSPECCIONES SIN REALIZAR</v>
      </c>
      <c r="AH1352" s="5"/>
    </row>
    <row r="1353" spans="1:34">
      <c r="A1353" s="5" t="str">
        <f ca="1">IFERROR(__xludf.DUMMYFUNCTION("""COMPUTED_VALUE"""),"LINEA DE ENVASADO PET NO RETORNABLE")</f>
        <v>LINEA DE ENVASADO PET NO RETORNABLE</v>
      </c>
      <c r="B1353" s="5">
        <f ca="1">IFERROR(__xludf.DUMMYFUNCTION("""COMPUTED_VALUE"""),829614)</f>
        <v>829614</v>
      </c>
      <c r="C1353" s="5" t="str">
        <f ca="1">IFERROR(__xludf.DUMMYFUNCTION("""COMPUTED_VALUE"""),"TRANSPORTADOR DE EMBALAJES")</f>
        <v>TRANSPORTADOR DE EMBALAJES</v>
      </c>
      <c r="D1353" s="5">
        <f ca="1">IFERROR(__xludf.DUMMYFUNCTION("""COMPUTED_VALUE"""),13247843)</f>
        <v>13247843</v>
      </c>
      <c r="E1353" s="5" t="str">
        <f ca="1">IFERROR(__xludf.DUMMYFUNCTION("""COMPUTED_VALUE"""),"INSPECCION SEMANAL TRANSPORTADOR EMBALAJ")</f>
        <v>INSPECCION SEMANAL TRANSPORTADOR EMBALAJ</v>
      </c>
      <c r="F1353" s="5" t="str">
        <f ca="1">IFERROR(__xludf.DUMMYFUNCTION("""COMPUTED_VALUE"""),"MANIJA DE AJUSTE GUÍAS")</f>
        <v>MANIJA DE AJUSTE GUÍAS</v>
      </c>
      <c r="G1353" s="5"/>
      <c r="H1353" s="5"/>
      <c r="I1353" s="5"/>
      <c r="J1353" s="5"/>
      <c r="K1353" s="5"/>
      <c r="L1353" s="18">
        <f ca="1">IFERROR(__xludf.DUMMYFUNCTION("""COMPUTED_VALUE"""),45324)</f>
        <v>45324</v>
      </c>
      <c r="M1353" s="18">
        <f ca="1">IFERROR(__xludf.DUMMYFUNCTION("""COMPUTED_VALUE"""),45324)</f>
        <v>45324</v>
      </c>
      <c r="N1353" s="5" t="str">
        <f ca="1">IFERROR(__xludf.DUMMYFUNCTION("""COMPUTED_VALUE"""),"Mauricio Murillo Arrollo")</f>
        <v>Mauricio Murillo Arrollo</v>
      </c>
      <c r="O1353" s="2">
        <f ca="1">IFERROR(__xludf.DUMMYFUNCTION("""COMPUTED_VALUE"""),0.007142857)</f>
        <v>7.1428569999999999E-3</v>
      </c>
      <c r="P1353" s="5"/>
      <c r="Q1353" s="5" t="str">
        <f ca="1">IFERROR(__xludf.DUMMYFUNCTION("""COMPUTED_VALUE"""),"B77tJMnub_0")</f>
        <v>B77tJMnub_0</v>
      </c>
      <c r="R1353" s="5">
        <f ca="1">IFERROR(__xludf.DUMMYFUNCTION("""COMPUTED_VALUE"""),410)</f>
        <v>410</v>
      </c>
      <c r="S1353" s="62">
        <f ca="1">IFERROR(__xludf.DUMMYFUNCTION("""COMPUTED_VALUE"""),0.007142857)</f>
        <v>7.1428569999999999E-3</v>
      </c>
      <c r="T1353" s="63" t="str">
        <f ca="1">IFERROR(__xludf.DUMMYFUNCTION("""COMPUTED_VALUE"""),"https://storage.googleapis.com/glide-prod.appspot.com/uploads-v2/ly7o78grxPaC6KdgvbpS/pub/UliJWgpEaBovaFmXi6OW.png")</f>
        <v>https://storage.googleapis.com/glide-prod.appspot.com/uploads-v2/ly7o78grxPaC6KdgvbpS/pub/UliJWgpEaBovaFmXi6OW.png</v>
      </c>
      <c r="U1353" s="5" t="str">
        <f ca="1">IFERROR(__xludf.DUMMYFUNCTION("""COMPUTED_VALUE"""),"LINEA DE ENVASADO PET NO RETORNABLETRANSPORTADOR DE EMBALAJES")</f>
        <v>LINEA DE ENVASADO PET NO RETORNABLETRANSPORTADOR DE EMBALAJES</v>
      </c>
      <c r="V1353" s="5"/>
      <c r="W1353" s="5"/>
      <c r="X1353" s="5" t="str">
        <f ca="1">IFERROR(__xludf.DUMMYFUNCTION("""COMPUTED_VALUE"""),"wguerra@postobon.com.co,aprmttoyu@postobon.com.co,aprmyu@postobon.com.co,wmora@postobon.com.co,efzapata@postobon.com.co")</f>
        <v>wguerra@postobon.com.co,aprmttoyu@postobon.com.co,aprmyu@postobon.com.co,wmora@postobon.com.co,efzapata@postobon.com.co</v>
      </c>
      <c r="Y1353" s="5" t="str">
        <f ca="1">IFERROR(__xludf.DUMMYFUNCTION("""COMPUTED_VALUE"""),"wguerra@postobon.com.co")</f>
        <v>wguerra@postobon.com.co</v>
      </c>
      <c r="Z1353" s="5" t="str">
        <f ca="1">IFERROR(__xludf.DUMMYFUNCTION("""COMPUTED_VALUE"""),"ZFtPdt6GQbGxRqFYP5QfXA")</f>
        <v>ZFtPdt6GQbGxRqFYP5QfXA</v>
      </c>
      <c r="AA1353" s="5"/>
      <c r="AB1353" s="5"/>
      <c r="AC1353" s="5"/>
      <c r="AD1353" s="5">
        <f ca="1">IFERROR(__xludf.DUMMYFUNCTION("""COMPUTED_VALUE"""),14)</f>
        <v>14</v>
      </c>
      <c r="AE1353" s="5">
        <f ca="1">IFERROR(__xludf.DUMMYFUNCTION("""COMPUTED_VALUE"""),0)</f>
        <v>0</v>
      </c>
      <c r="AF1353" s="5" t="b">
        <f ca="1">IFERROR(__xludf.DUMMYFUNCTION("""COMPUTED_VALUE"""),TRUE)</f>
        <v>1</v>
      </c>
      <c r="AG1353" s="5" t="str">
        <f ca="1">IFERROR(__xludf.DUMMYFUNCTION("""COMPUTED_VALUE"""),"INSPECCIONES SIN REALIZAR")</f>
        <v>INSPECCIONES SIN REALIZAR</v>
      </c>
      <c r="AH1353" s="5"/>
    </row>
    <row r="1354" spans="1:34">
      <c r="A1354" s="5" t="str">
        <f ca="1">IFERROR(__xludf.DUMMYFUNCTION("""COMPUTED_VALUE"""),"LINEA DE ENVASADO PET NO RETORNABLE")</f>
        <v>LINEA DE ENVASADO PET NO RETORNABLE</v>
      </c>
      <c r="B1354" s="5">
        <f ca="1">IFERROR(__xludf.DUMMYFUNCTION("""COMPUTED_VALUE"""),829614)</f>
        <v>829614</v>
      </c>
      <c r="C1354" s="5" t="str">
        <f ca="1">IFERROR(__xludf.DUMMYFUNCTION("""COMPUTED_VALUE"""),"TRANSPORTADOR DE EMBALAJES")</f>
        <v>TRANSPORTADOR DE EMBALAJES</v>
      </c>
      <c r="D1354" s="5">
        <f ca="1">IFERROR(__xludf.DUMMYFUNCTION("""COMPUTED_VALUE"""),13247843)</f>
        <v>13247843</v>
      </c>
      <c r="E1354" s="5" t="str">
        <f ca="1">IFERROR(__xludf.DUMMYFUNCTION("""COMPUTED_VALUE"""),"INSPECCION SEMANAL TRANSPORTADOR EMBALAJ")</f>
        <v>INSPECCION SEMANAL TRANSPORTADOR EMBALAJ</v>
      </c>
      <c r="F1354" s="5" t="str">
        <f ca="1">IFERROR(__xludf.DUMMYFUNCTION("""COMPUTED_VALUE"""),"ESTADO DE GUÍAS")</f>
        <v>ESTADO DE GUÍAS</v>
      </c>
      <c r="G1354" s="5"/>
      <c r="H1354" s="5"/>
      <c r="I1354" s="5"/>
      <c r="J1354" s="5"/>
      <c r="K1354" s="5"/>
      <c r="L1354" s="18">
        <f ca="1">IFERROR(__xludf.DUMMYFUNCTION("""COMPUTED_VALUE"""),45324)</f>
        <v>45324</v>
      </c>
      <c r="M1354" s="18">
        <f ca="1">IFERROR(__xludf.DUMMYFUNCTION("""COMPUTED_VALUE"""),45324)</f>
        <v>45324</v>
      </c>
      <c r="N1354" s="5" t="str">
        <f ca="1">IFERROR(__xludf.DUMMYFUNCTION("""COMPUTED_VALUE"""),"Mauricio Murillo Arrollo")</f>
        <v>Mauricio Murillo Arrollo</v>
      </c>
      <c r="O1354" s="2">
        <f ca="1">IFERROR(__xludf.DUMMYFUNCTION("""COMPUTED_VALUE"""),0.007142857)</f>
        <v>7.1428569999999999E-3</v>
      </c>
      <c r="P1354" s="5"/>
      <c r="Q1354" s="5" t="str">
        <f ca="1">IFERROR(__xludf.DUMMYFUNCTION("""COMPUTED_VALUE"""),"eeWTcfbGo5o")</f>
        <v>eeWTcfbGo5o</v>
      </c>
      <c r="R1354" s="5">
        <f ca="1">IFERROR(__xludf.DUMMYFUNCTION("""COMPUTED_VALUE"""),410)</f>
        <v>410</v>
      </c>
      <c r="S1354" s="62">
        <f ca="1">IFERROR(__xludf.DUMMYFUNCTION("""COMPUTED_VALUE"""),0.007142857)</f>
        <v>7.1428569999999999E-3</v>
      </c>
      <c r="T1354" s="63" t="str">
        <f ca="1">IFERROR(__xludf.DUMMYFUNCTION("""COMPUTED_VALUE"""),"https://storage.googleapis.com/glide-prod.appspot.com/uploads-v2/ly7o78grxPaC6KdgvbpS/pub/UliJWgpEaBovaFmXi6OW.png")</f>
        <v>https://storage.googleapis.com/glide-prod.appspot.com/uploads-v2/ly7o78grxPaC6KdgvbpS/pub/UliJWgpEaBovaFmXi6OW.png</v>
      </c>
      <c r="U1354" s="5" t="str">
        <f ca="1">IFERROR(__xludf.DUMMYFUNCTION("""COMPUTED_VALUE"""),"LINEA DE ENVASADO PET NO RETORNABLETRANSPORTADOR DE EMBALAJES")</f>
        <v>LINEA DE ENVASADO PET NO RETORNABLETRANSPORTADOR DE EMBALAJES</v>
      </c>
      <c r="V1354" s="5"/>
      <c r="W1354" s="5"/>
      <c r="X1354" s="5" t="str">
        <f ca="1">IFERROR(__xludf.DUMMYFUNCTION("""COMPUTED_VALUE"""),"wguerra@postobon.com.co,aprmttoyu@postobon.com.co,aprmyu@postobon.com.co,wmora@postobon.com.co,efzapata@postobon.com.co")</f>
        <v>wguerra@postobon.com.co,aprmttoyu@postobon.com.co,aprmyu@postobon.com.co,wmora@postobon.com.co,efzapata@postobon.com.co</v>
      </c>
      <c r="Y1354" s="5" t="str">
        <f ca="1">IFERROR(__xludf.DUMMYFUNCTION("""COMPUTED_VALUE"""),"wguerra@postobon.com.co")</f>
        <v>wguerra@postobon.com.co</v>
      </c>
      <c r="Z1354" s="5" t="str">
        <f ca="1">IFERROR(__xludf.DUMMYFUNCTION("""COMPUTED_VALUE"""),"7lB5hLs1R6KJM0pYfkynzg")</f>
        <v>7lB5hLs1R6KJM0pYfkynzg</v>
      </c>
      <c r="AA1354" s="5"/>
      <c r="AB1354" s="5"/>
      <c r="AC1354" s="5"/>
      <c r="AD1354" s="5">
        <f ca="1">IFERROR(__xludf.DUMMYFUNCTION("""COMPUTED_VALUE"""),14)</f>
        <v>14</v>
      </c>
      <c r="AE1354" s="5">
        <f ca="1">IFERROR(__xludf.DUMMYFUNCTION("""COMPUTED_VALUE"""),0)</f>
        <v>0</v>
      </c>
      <c r="AF1354" s="5" t="b">
        <f ca="1">IFERROR(__xludf.DUMMYFUNCTION("""COMPUTED_VALUE"""),TRUE)</f>
        <v>1</v>
      </c>
      <c r="AG1354" s="5" t="str">
        <f ca="1">IFERROR(__xludf.DUMMYFUNCTION("""COMPUTED_VALUE"""),"INSPECCIONES SIN REALIZAR")</f>
        <v>INSPECCIONES SIN REALIZAR</v>
      </c>
      <c r="AH1354" s="5"/>
    </row>
    <row r="1355" spans="1:34">
      <c r="A1355" s="5" t="str">
        <f ca="1">IFERROR(__xludf.DUMMYFUNCTION("""COMPUTED_VALUE"""),"LINEA DE ENVASADO PET NO RETORNABLE")</f>
        <v>LINEA DE ENVASADO PET NO RETORNABLE</v>
      </c>
      <c r="B1355" s="5">
        <f ca="1">IFERROR(__xludf.DUMMYFUNCTION("""COMPUTED_VALUE"""),829614)</f>
        <v>829614</v>
      </c>
      <c r="C1355" s="5" t="str">
        <f ca="1">IFERROR(__xludf.DUMMYFUNCTION("""COMPUTED_VALUE"""),"TRANSPORTADOR DE EMBALAJES")</f>
        <v>TRANSPORTADOR DE EMBALAJES</v>
      </c>
      <c r="D1355" s="5">
        <f ca="1">IFERROR(__xludf.DUMMYFUNCTION("""COMPUTED_VALUE"""),13247843)</f>
        <v>13247843</v>
      </c>
      <c r="E1355" s="5" t="str">
        <f ca="1">IFERROR(__xludf.DUMMYFUNCTION("""COMPUTED_VALUE"""),"INSPECCION SEMANAL TRANSPORTADOR EMBALAJ")</f>
        <v>INSPECCION SEMANAL TRANSPORTADOR EMBALAJ</v>
      </c>
      <c r="F1355" s="5" t="str">
        <f ca="1">IFERROR(__xludf.DUMMYFUNCTION("""COMPUTED_VALUE"""),"SENSORES DE ACUMULACIÓN")</f>
        <v>SENSORES DE ACUMULACIÓN</v>
      </c>
      <c r="G1355" s="5"/>
      <c r="H1355" s="5"/>
      <c r="I1355" s="5"/>
      <c r="J1355" s="5"/>
      <c r="K1355" s="5"/>
      <c r="L1355" s="18">
        <f ca="1">IFERROR(__xludf.DUMMYFUNCTION("""COMPUTED_VALUE"""),45324)</f>
        <v>45324</v>
      </c>
      <c r="M1355" s="18">
        <f ca="1">IFERROR(__xludf.DUMMYFUNCTION("""COMPUTED_VALUE"""),45324)</f>
        <v>45324</v>
      </c>
      <c r="N1355" s="5" t="str">
        <f ca="1">IFERROR(__xludf.DUMMYFUNCTION("""COMPUTED_VALUE"""),"Mauricio Murillo Arrollo")</f>
        <v>Mauricio Murillo Arrollo</v>
      </c>
      <c r="O1355" s="2">
        <f ca="1">IFERROR(__xludf.DUMMYFUNCTION("""COMPUTED_VALUE"""),0.007142857)</f>
        <v>7.1428569999999999E-3</v>
      </c>
      <c r="P1355" s="5"/>
      <c r="Q1355" s="5" t="str">
        <f ca="1">IFERROR(__xludf.DUMMYFUNCTION("""COMPUTED_VALUE"""),"YTD1AQnwR_Y")</f>
        <v>YTD1AQnwR_Y</v>
      </c>
      <c r="R1355" s="5">
        <f ca="1">IFERROR(__xludf.DUMMYFUNCTION("""COMPUTED_VALUE"""),410)</f>
        <v>410</v>
      </c>
      <c r="S1355" s="62">
        <f ca="1">IFERROR(__xludf.DUMMYFUNCTION("""COMPUTED_VALUE"""),0.007142857)</f>
        <v>7.1428569999999999E-3</v>
      </c>
      <c r="T1355" s="63" t="str">
        <f ca="1">IFERROR(__xludf.DUMMYFUNCTION("""COMPUTED_VALUE"""),"https://storage.googleapis.com/glide-prod.appspot.com/uploads-v2/ly7o78grxPaC6KdgvbpS/pub/UliJWgpEaBovaFmXi6OW.png")</f>
        <v>https://storage.googleapis.com/glide-prod.appspot.com/uploads-v2/ly7o78grxPaC6KdgvbpS/pub/UliJWgpEaBovaFmXi6OW.png</v>
      </c>
      <c r="U1355" s="5" t="str">
        <f ca="1">IFERROR(__xludf.DUMMYFUNCTION("""COMPUTED_VALUE"""),"LINEA DE ENVASADO PET NO RETORNABLETRANSPORTADOR DE EMBALAJES")</f>
        <v>LINEA DE ENVASADO PET NO RETORNABLETRANSPORTADOR DE EMBALAJES</v>
      </c>
      <c r="V1355" s="5"/>
      <c r="W1355" s="5"/>
      <c r="X1355" s="5" t="str">
        <f ca="1">IFERROR(__xludf.DUMMYFUNCTION("""COMPUTED_VALUE"""),"wguerra@postobon.com.co,aprmttoyu@postobon.com.co,aprmyu@postobon.com.co,wmora@postobon.com.co,efzapata@postobon.com.co")</f>
        <v>wguerra@postobon.com.co,aprmttoyu@postobon.com.co,aprmyu@postobon.com.co,wmora@postobon.com.co,efzapata@postobon.com.co</v>
      </c>
      <c r="Y1355" s="5" t="str">
        <f ca="1">IFERROR(__xludf.DUMMYFUNCTION("""COMPUTED_VALUE"""),"wguerra@postobon.com.co")</f>
        <v>wguerra@postobon.com.co</v>
      </c>
      <c r="Z1355" s="5" t="str">
        <f ca="1">IFERROR(__xludf.DUMMYFUNCTION("""COMPUTED_VALUE"""),"c-ad1GjcT1KtJlrX3ywumw")</f>
        <v>c-ad1GjcT1KtJlrX3ywumw</v>
      </c>
      <c r="AA1355" s="5"/>
      <c r="AB1355" s="5"/>
      <c r="AC1355" s="5"/>
      <c r="AD1355" s="5">
        <f ca="1">IFERROR(__xludf.DUMMYFUNCTION("""COMPUTED_VALUE"""),14)</f>
        <v>14</v>
      </c>
      <c r="AE1355" s="5">
        <f ca="1">IFERROR(__xludf.DUMMYFUNCTION("""COMPUTED_VALUE"""),0)</f>
        <v>0</v>
      </c>
      <c r="AF1355" s="5" t="b">
        <f ca="1">IFERROR(__xludf.DUMMYFUNCTION("""COMPUTED_VALUE"""),TRUE)</f>
        <v>1</v>
      </c>
      <c r="AG1355" s="5" t="str">
        <f ca="1">IFERROR(__xludf.DUMMYFUNCTION("""COMPUTED_VALUE"""),"INSPECCIONES SIN REALIZAR")</f>
        <v>INSPECCIONES SIN REALIZAR</v>
      </c>
      <c r="AH1355" s="5"/>
    </row>
    <row r="1356" spans="1:34">
      <c r="A1356" s="5" t="str">
        <f ca="1">IFERROR(__xludf.DUMMYFUNCTION("""COMPUTED_VALUE"""),"LINEA DE ENVASADO PET NO RETORNABLE")</f>
        <v>LINEA DE ENVASADO PET NO RETORNABLE</v>
      </c>
      <c r="B1356" s="5">
        <f ca="1">IFERROR(__xludf.DUMMYFUNCTION("""COMPUTED_VALUE"""),829614)</f>
        <v>829614</v>
      </c>
      <c r="C1356" s="5" t="str">
        <f ca="1">IFERROR(__xludf.DUMMYFUNCTION("""COMPUTED_VALUE"""),"TRANSPORTADOR DE EMBALAJES")</f>
        <v>TRANSPORTADOR DE EMBALAJES</v>
      </c>
      <c r="D1356" s="5">
        <f ca="1">IFERROR(__xludf.DUMMYFUNCTION("""COMPUTED_VALUE"""),13247843)</f>
        <v>13247843</v>
      </c>
      <c r="E1356" s="5" t="str">
        <f ca="1">IFERROR(__xludf.DUMMYFUNCTION("""COMPUTED_VALUE"""),"INSPECCION SEMANAL TRANSPORTADOR EMBALAJ")</f>
        <v>INSPECCION SEMANAL TRANSPORTADOR EMBALAJ</v>
      </c>
      <c r="F1356" s="5" t="str">
        <f ca="1">IFERROR(__xludf.DUMMYFUNCTION("""COMPUTED_VALUE"""),"ESTADO DE BANDA FRENOS")</f>
        <v>ESTADO DE BANDA FRENOS</v>
      </c>
      <c r="G1356" s="5"/>
      <c r="H1356" s="5"/>
      <c r="I1356" s="5"/>
      <c r="J1356" s="5"/>
      <c r="K1356" s="5"/>
      <c r="L1356" s="18">
        <f ca="1">IFERROR(__xludf.DUMMYFUNCTION("""COMPUTED_VALUE"""),45324)</f>
        <v>45324</v>
      </c>
      <c r="M1356" s="18">
        <f ca="1">IFERROR(__xludf.DUMMYFUNCTION("""COMPUTED_VALUE"""),45324)</f>
        <v>45324</v>
      </c>
      <c r="N1356" s="5" t="str">
        <f ca="1">IFERROR(__xludf.DUMMYFUNCTION("""COMPUTED_VALUE"""),"Mauricio Murillo Arrollo")</f>
        <v>Mauricio Murillo Arrollo</v>
      </c>
      <c r="O1356" s="2">
        <f ca="1">IFERROR(__xludf.DUMMYFUNCTION("""COMPUTED_VALUE"""),0.007142857)</f>
        <v>7.1428569999999999E-3</v>
      </c>
      <c r="P1356" s="5"/>
      <c r="Q1356" s="5" t="str">
        <f ca="1">IFERROR(__xludf.DUMMYFUNCTION("""COMPUTED_VALUE"""),"dJ4rltAX9UU")</f>
        <v>dJ4rltAX9UU</v>
      </c>
      <c r="R1356" s="5">
        <f ca="1">IFERROR(__xludf.DUMMYFUNCTION("""COMPUTED_VALUE"""),410)</f>
        <v>410</v>
      </c>
      <c r="S1356" s="62">
        <f ca="1">IFERROR(__xludf.DUMMYFUNCTION("""COMPUTED_VALUE"""),0.007142857)</f>
        <v>7.1428569999999999E-3</v>
      </c>
      <c r="T1356" s="63" t="str">
        <f ca="1">IFERROR(__xludf.DUMMYFUNCTION("""COMPUTED_VALUE"""),"https://storage.googleapis.com/glide-prod.appspot.com/uploads-v2/ly7o78grxPaC6KdgvbpS/pub/UliJWgpEaBovaFmXi6OW.png")</f>
        <v>https://storage.googleapis.com/glide-prod.appspot.com/uploads-v2/ly7o78grxPaC6KdgvbpS/pub/UliJWgpEaBovaFmXi6OW.png</v>
      </c>
      <c r="U1356" s="5" t="str">
        <f ca="1">IFERROR(__xludf.DUMMYFUNCTION("""COMPUTED_VALUE"""),"LINEA DE ENVASADO PET NO RETORNABLETRANSPORTADOR DE EMBALAJES")</f>
        <v>LINEA DE ENVASADO PET NO RETORNABLETRANSPORTADOR DE EMBALAJES</v>
      </c>
      <c r="V1356" s="5"/>
      <c r="W1356" s="5"/>
      <c r="X1356" s="5" t="str">
        <f ca="1">IFERROR(__xludf.DUMMYFUNCTION("""COMPUTED_VALUE"""),"wguerra@postobon.com.co,aprmttoyu@postobon.com.co,aprmyu@postobon.com.co,wmora@postobon.com.co,efzapata@postobon.com.co")</f>
        <v>wguerra@postobon.com.co,aprmttoyu@postobon.com.co,aprmyu@postobon.com.co,wmora@postobon.com.co,efzapata@postobon.com.co</v>
      </c>
      <c r="Y1356" s="5" t="str">
        <f ca="1">IFERROR(__xludf.DUMMYFUNCTION("""COMPUTED_VALUE"""),"wguerra@postobon.com.co")</f>
        <v>wguerra@postobon.com.co</v>
      </c>
      <c r="Z1356" s="5" t="str">
        <f ca="1">IFERROR(__xludf.DUMMYFUNCTION("""COMPUTED_VALUE"""),"5Z.D2S7nTO2jluaig61.zQ")</f>
        <v>5Z.D2S7nTO2jluaig61.zQ</v>
      </c>
      <c r="AA1356" s="5"/>
      <c r="AB1356" s="5"/>
      <c r="AC1356" s="5"/>
      <c r="AD1356" s="5">
        <f ca="1">IFERROR(__xludf.DUMMYFUNCTION("""COMPUTED_VALUE"""),14)</f>
        <v>14</v>
      </c>
      <c r="AE1356" s="5">
        <f ca="1">IFERROR(__xludf.DUMMYFUNCTION("""COMPUTED_VALUE"""),0)</f>
        <v>0</v>
      </c>
      <c r="AF1356" s="5" t="b">
        <f ca="1">IFERROR(__xludf.DUMMYFUNCTION("""COMPUTED_VALUE"""),TRUE)</f>
        <v>1</v>
      </c>
      <c r="AG1356" s="5" t="str">
        <f ca="1">IFERROR(__xludf.DUMMYFUNCTION("""COMPUTED_VALUE"""),"INSPECCIONES SIN REALIZAR")</f>
        <v>INSPECCIONES SIN REALIZAR</v>
      </c>
      <c r="AH1356" s="5"/>
    </row>
    <row r="1357" spans="1:34">
      <c r="A1357" s="5" t="str">
        <f ca="1">IFERROR(__xludf.DUMMYFUNCTION("""COMPUTED_VALUE"""),"LINEA DE ENVASADO PET NO RETORNABLE")</f>
        <v>LINEA DE ENVASADO PET NO RETORNABLE</v>
      </c>
      <c r="B1357" s="5">
        <f ca="1">IFERROR(__xludf.DUMMYFUNCTION("""COMPUTED_VALUE"""),829614)</f>
        <v>829614</v>
      </c>
      <c r="C1357" s="5" t="str">
        <f ca="1">IFERROR(__xludf.DUMMYFUNCTION("""COMPUTED_VALUE"""),"TRANSPORTADOR DE EMBALAJES")</f>
        <v>TRANSPORTADOR DE EMBALAJES</v>
      </c>
      <c r="D1357" s="5">
        <f ca="1">IFERROR(__xludf.DUMMYFUNCTION("""COMPUTED_VALUE"""),13247843)</f>
        <v>13247843</v>
      </c>
      <c r="E1357" s="5" t="str">
        <f ca="1">IFERROR(__xludf.DUMMYFUNCTION("""COMPUTED_VALUE"""),"INSPECCION SEMANAL TRANSPORTADOR EMBALAJ")</f>
        <v>INSPECCION SEMANAL TRANSPORTADOR EMBALAJ</v>
      </c>
      <c r="F1357" s="5" t="str">
        <f ca="1">IFERROR(__xludf.DUMMYFUNCTION("""COMPUTED_VALUE"""),"ESTADO DE CANALETAS CABLES")</f>
        <v>ESTADO DE CANALETAS CABLES</v>
      </c>
      <c r="G1357" s="5"/>
      <c r="H1357" s="5"/>
      <c r="I1357" s="5"/>
      <c r="J1357" s="5"/>
      <c r="K1357" s="5"/>
      <c r="L1357" s="18">
        <f ca="1">IFERROR(__xludf.DUMMYFUNCTION("""COMPUTED_VALUE"""),45324)</f>
        <v>45324</v>
      </c>
      <c r="M1357" s="18">
        <f ca="1">IFERROR(__xludf.DUMMYFUNCTION("""COMPUTED_VALUE"""),45324)</f>
        <v>45324</v>
      </c>
      <c r="N1357" s="5" t="str">
        <f ca="1">IFERROR(__xludf.DUMMYFUNCTION("""COMPUTED_VALUE"""),"Mauricio Murillo Arrollo")</f>
        <v>Mauricio Murillo Arrollo</v>
      </c>
      <c r="O1357" s="2">
        <f ca="1">IFERROR(__xludf.DUMMYFUNCTION("""COMPUTED_VALUE"""),0.007142857)</f>
        <v>7.1428569999999999E-3</v>
      </c>
      <c r="P1357" s="5"/>
      <c r="Q1357" s="5" t="str">
        <f ca="1">IFERROR(__xludf.DUMMYFUNCTION("""COMPUTED_VALUE"""),"sANw-0YcMlg")</f>
        <v>sANw-0YcMlg</v>
      </c>
      <c r="R1357" s="5">
        <f ca="1">IFERROR(__xludf.DUMMYFUNCTION("""COMPUTED_VALUE"""),410)</f>
        <v>410</v>
      </c>
      <c r="S1357" s="62">
        <f ca="1">IFERROR(__xludf.DUMMYFUNCTION("""COMPUTED_VALUE"""),0.007142857)</f>
        <v>7.1428569999999999E-3</v>
      </c>
      <c r="T1357" s="63" t="str">
        <f ca="1">IFERROR(__xludf.DUMMYFUNCTION("""COMPUTED_VALUE"""),"https://storage.googleapis.com/glide-prod.appspot.com/uploads-v2/ly7o78grxPaC6KdgvbpS/pub/UliJWgpEaBovaFmXi6OW.png")</f>
        <v>https://storage.googleapis.com/glide-prod.appspot.com/uploads-v2/ly7o78grxPaC6KdgvbpS/pub/UliJWgpEaBovaFmXi6OW.png</v>
      </c>
      <c r="U1357" s="5" t="str">
        <f ca="1">IFERROR(__xludf.DUMMYFUNCTION("""COMPUTED_VALUE"""),"LINEA DE ENVASADO PET NO RETORNABLETRANSPORTADOR DE EMBALAJES")</f>
        <v>LINEA DE ENVASADO PET NO RETORNABLETRANSPORTADOR DE EMBALAJES</v>
      </c>
      <c r="V1357" s="5"/>
      <c r="W1357" s="5"/>
      <c r="X1357" s="5" t="str">
        <f ca="1">IFERROR(__xludf.DUMMYFUNCTION("""COMPUTED_VALUE"""),"wguerra@postobon.com.co,aprmttoyu@postobon.com.co,aprmyu@postobon.com.co,wmora@postobon.com.co,efzapata@postobon.com.co")</f>
        <v>wguerra@postobon.com.co,aprmttoyu@postobon.com.co,aprmyu@postobon.com.co,wmora@postobon.com.co,efzapata@postobon.com.co</v>
      </c>
      <c r="Y1357" s="5" t="str">
        <f ca="1">IFERROR(__xludf.DUMMYFUNCTION("""COMPUTED_VALUE"""),"wguerra@postobon.com.co")</f>
        <v>wguerra@postobon.com.co</v>
      </c>
      <c r="Z1357" s="5" t="str">
        <f ca="1">IFERROR(__xludf.DUMMYFUNCTION("""COMPUTED_VALUE"""),"o3U-t9OFSUyF2YcTy1WBww")</f>
        <v>o3U-t9OFSUyF2YcTy1WBww</v>
      </c>
      <c r="AA1357" s="5"/>
      <c r="AB1357" s="5"/>
      <c r="AC1357" s="5"/>
      <c r="AD1357" s="5">
        <f ca="1">IFERROR(__xludf.DUMMYFUNCTION("""COMPUTED_VALUE"""),14)</f>
        <v>14</v>
      </c>
      <c r="AE1357" s="5">
        <f ca="1">IFERROR(__xludf.DUMMYFUNCTION("""COMPUTED_VALUE"""),0)</f>
        <v>0</v>
      </c>
      <c r="AF1357" s="5" t="b">
        <f ca="1">IFERROR(__xludf.DUMMYFUNCTION("""COMPUTED_VALUE"""),TRUE)</f>
        <v>1</v>
      </c>
      <c r="AG1357" s="5" t="str">
        <f ca="1">IFERROR(__xludf.DUMMYFUNCTION("""COMPUTED_VALUE"""),"INSPECCIONES SIN REALIZAR")</f>
        <v>INSPECCIONES SIN REALIZAR</v>
      </c>
      <c r="AH1357" s="5"/>
    </row>
    <row r="1358" spans="1:34">
      <c r="A1358" s="5" t="str">
        <f ca="1">IFERROR(__xludf.DUMMYFUNCTION("""COMPUTED_VALUE"""),"LINEA DE ENVASADO JUGOS PET HOT FILL")</f>
        <v>LINEA DE ENVASADO JUGOS PET HOT FILL</v>
      </c>
      <c r="B1358" s="5">
        <f ca="1">IFERROR(__xludf.DUMMYFUNCTION("""COMPUTED_VALUE"""),829667)</f>
        <v>829667</v>
      </c>
      <c r="C1358" s="5" t="str">
        <f ca="1">IFERROR(__xludf.DUMMYFUNCTION("""COMPUTED_VALUE"""),"TRANSPORTADOR DE EMBALAJES")</f>
        <v>TRANSPORTADOR DE EMBALAJES</v>
      </c>
      <c r="D1358" s="5">
        <f ca="1">IFERROR(__xludf.DUMMYFUNCTION("""COMPUTED_VALUE"""),13247785)</f>
        <v>13247785</v>
      </c>
      <c r="E1358" s="5" t="str">
        <f ca="1">IFERROR(__xludf.DUMMYFUNCTION("""COMPUTED_VALUE"""),"INSPECCION SEMANAL TRANSPORTADOR EMBALAJ")</f>
        <v>INSPECCION SEMANAL TRANSPORTADOR EMBALAJ</v>
      </c>
      <c r="F1358" s="5" t="str">
        <f ca="1">IFERROR(__xludf.DUMMYFUNCTION("""COMPUTED_VALUE"""),"ESTADO PIÑONES CHUMACERAS")</f>
        <v>ESTADO PIÑONES CHUMACERAS</v>
      </c>
      <c r="G1358" s="5" t="b">
        <f ca="1">IFERROR(__xludf.DUMMYFUNCTION("""COMPUTED_VALUE"""),TRUE)</f>
        <v>1</v>
      </c>
      <c r="H1358" s="5"/>
      <c r="I1358" s="5"/>
      <c r="J1358" s="5">
        <f ca="1">IFERROR(__xludf.DUMMYFUNCTION("""COMPUTED_VALUE"""),13247785)</f>
        <v>13247785</v>
      </c>
      <c r="K1358" s="5"/>
      <c r="L1358" s="18">
        <f ca="1">IFERROR(__xludf.DUMMYFUNCTION("""COMPUTED_VALUE"""),45325)</f>
        <v>45325</v>
      </c>
      <c r="M1358" s="18">
        <f ca="1">IFERROR(__xludf.DUMMYFUNCTION("""COMPUTED_VALUE"""),45325)</f>
        <v>45325</v>
      </c>
      <c r="N1358" s="5" t="str">
        <f ca="1">IFERROR(__xludf.DUMMYFUNCTION("""COMPUTED_VALUE"""),"Martinez Delgado Osver")</f>
        <v>Martinez Delgado Osver</v>
      </c>
      <c r="O1358" s="2">
        <f ca="1">IFERROR(__xludf.DUMMYFUNCTION("""COMPUTED_VALUE"""),0.014285714)</f>
        <v>1.4285714E-2</v>
      </c>
      <c r="P1358" s="5">
        <f ca="1">IFERROR(__xludf.DUMMYFUNCTION("""COMPUTED_VALUE"""),20009942)</f>
        <v>20009942</v>
      </c>
      <c r="Q1358" s="5" t="str">
        <f ca="1">IFERROR(__xludf.DUMMYFUNCTION("""COMPUTED_VALUE"""),"j9_pHyMfRV8")</f>
        <v>j9_pHyMfRV8</v>
      </c>
      <c r="R1358" s="5">
        <f ca="1">IFERROR(__xludf.DUMMYFUNCTION("""COMPUTED_VALUE"""),410)</f>
        <v>410</v>
      </c>
      <c r="S1358" s="62">
        <f ca="1">IFERROR(__xludf.DUMMYFUNCTION("""COMPUTED_VALUE"""),0.014285714)</f>
        <v>1.4285714E-2</v>
      </c>
      <c r="T1358" s="63" t="str">
        <f ca="1">IFERROR(__xludf.DUMMYFUNCTION("""COMPUTED_VALUE"""),"https://storage.googleapis.com/glide-prod.appspot.com/uploads-v2/ly7o78grxPaC6KdgvbpS/pub/3aRdSog0vUtuqPE8AJKD.png")</f>
        <v>https://storage.googleapis.com/glide-prod.appspot.com/uploads-v2/ly7o78grxPaC6KdgvbpS/pub/3aRdSog0vUtuqPE8AJKD.png</v>
      </c>
      <c r="U1358" s="5" t="str">
        <f ca="1">IFERROR(__xludf.DUMMYFUNCTION("""COMPUTED_VALUE"""),"LINEA DE ENVASADO JUGOS PET HOT FILLTRANSPORTADOR DE EMBALAJES")</f>
        <v>LINEA DE ENVASADO JUGOS PET HOT FILLTRANSPORTADOR DE EMBALAJES</v>
      </c>
      <c r="V1358" s="5"/>
      <c r="W1358" s="5" t="b">
        <f ca="1">IFERROR(__xludf.DUMMYFUNCTION("""COMPUTED_VALUE"""),TRUE)</f>
        <v>1</v>
      </c>
      <c r="X1358" s="5" t="str">
        <f ca="1">IFERROR(__xludf.DUMMYFUNCTION("""COMPUTED_VALUE"""),"achavezi@postobon.com.co,aprmttoyu@postobon.com.co,aprmyu@postobon.com.co,wmora@postobon.com.co,efzapata@postobon.com.co")</f>
        <v>achavezi@postobon.com.co,aprmttoyu@postobon.com.co,aprmyu@postobon.com.co,wmora@postobon.com.co,efzapata@postobon.com.co</v>
      </c>
      <c r="Y1358" s="5" t="str">
        <f ca="1">IFERROR(__xludf.DUMMYFUNCTION("""COMPUTED_VALUE"""),"achavezi@postobon.com.co")</f>
        <v>achavezi@postobon.com.co</v>
      </c>
      <c r="Z1358" s="5" t="str">
        <f ca="1">IFERROR(__xludf.DUMMYFUNCTION("""COMPUTED_VALUE"""),"1rZsTfoLQ7GvDByMYF521g")</f>
        <v>1rZsTfoLQ7GvDByMYF521g</v>
      </c>
      <c r="AA1358" s="5"/>
      <c r="AB1358" s="5"/>
      <c r="AC1358" s="5"/>
      <c r="AD1358" s="5">
        <f ca="1">IFERROR(__xludf.DUMMYFUNCTION("""COMPUTED_VALUE"""),21)</f>
        <v>21</v>
      </c>
      <c r="AE1358" s="5">
        <f ca="1">IFERROR(__xludf.DUMMYFUNCTION("""COMPUTED_VALUE"""),21)</f>
        <v>21</v>
      </c>
      <c r="AF1358" s="5" t="b">
        <f ca="1">IFERROR(__xludf.DUMMYFUNCTION("""COMPUTED_VALUE"""),FALSE)</f>
        <v>0</v>
      </c>
      <c r="AG1358" s="5" t="str">
        <f ca="1">IFERROR(__xludf.DUMMYFUNCTION("""COMPUTED_VALUE"""),"INSPECCIONES REALIZADAS")</f>
        <v>INSPECCIONES REALIZADAS</v>
      </c>
      <c r="AH1358" s="5"/>
    </row>
    <row r="1359" spans="1:34">
      <c r="A1359" s="5" t="str">
        <f ca="1">IFERROR(__xludf.DUMMYFUNCTION("""COMPUTED_VALUE"""),"LINEA DE ENVASADO JUGOS PET HOT FILL")</f>
        <v>LINEA DE ENVASADO JUGOS PET HOT FILL</v>
      </c>
      <c r="B1359" s="5">
        <f ca="1">IFERROR(__xludf.DUMMYFUNCTION("""COMPUTED_VALUE"""),829667)</f>
        <v>829667</v>
      </c>
      <c r="C1359" s="5" t="str">
        <f ca="1">IFERROR(__xludf.DUMMYFUNCTION("""COMPUTED_VALUE"""),"TRANSPORTADOR DE EMBALAJES")</f>
        <v>TRANSPORTADOR DE EMBALAJES</v>
      </c>
      <c r="D1359" s="5">
        <f ca="1">IFERROR(__xludf.DUMMYFUNCTION("""COMPUTED_VALUE"""),13247785)</f>
        <v>13247785</v>
      </c>
      <c r="E1359" s="5" t="str">
        <f ca="1">IFERROR(__xludf.DUMMYFUNCTION("""COMPUTED_VALUE"""),"INSPECCION SEMANAL TRANSPORTADOR EMBALAJ")</f>
        <v>INSPECCION SEMANAL TRANSPORTADOR EMBALAJ</v>
      </c>
      <c r="F1359" s="5" t="str">
        <f ca="1">IFERROR(__xludf.DUMMYFUNCTION("""COMPUTED_VALUE"""),"ESTADO CADENAS TORNILLERIA")</f>
        <v>ESTADO CADENAS TORNILLERIA</v>
      </c>
      <c r="G1359" s="5" t="b">
        <f ca="1">IFERROR(__xludf.DUMMYFUNCTION("""COMPUTED_VALUE"""),TRUE)</f>
        <v>1</v>
      </c>
      <c r="H1359" s="5"/>
      <c r="I1359" s="5"/>
      <c r="J1359" s="5">
        <f ca="1">IFERROR(__xludf.DUMMYFUNCTION("""COMPUTED_VALUE"""),13247785)</f>
        <v>13247785</v>
      </c>
      <c r="K1359" s="5"/>
      <c r="L1359" s="18">
        <f ca="1">IFERROR(__xludf.DUMMYFUNCTION("""COMPUTED_VALUE"""),45325)</f>
        <v>45325</v>
      </c>
      <c r="M1359" s="18">
        <f ca="1">IFERROR(__xludf.DUMMYFUNCTION("""COMPUTED_VALUE"""),45325)</f>
        <v>45325</v>
      </c>
      <c r="N1359" s="5" t="str">
        <f ca="1">IFERROR(__xludf.DUMMYFUNCTION("""COMPUTED_VALUE"""),"Martinez Delgado Osver")</f>
        <v>Martinez Delgado Osver</v>
      </c>
      <c r="O1359" s="2">
        <f ca="1">IFERROR(__xludf.DUMMYFUNCTION("""COMPUTED_VALUE"""),0.014285714)</f>
        <v>1.4285714E-2</v>
      </c>
      <c r="P1359" s="5">
        <f ca="1">IFERROR(__xludf.DUMMYFUNCTION("""COMPUTED_VALUE"""),20009942)</f>
        <v>20009942</v>
      </c>
      <c r="Q1359" s="5" t="str">
        <f ca="1">IFERROR(__xludf.DUMMYFUNCTION("""COMPUTED_VALUE"""),"qCz03jYuFgU")</f>
        <v>qCz03jYuFgU</v>
      </c>
      <c r="R1359" s="5">
        <f ca="1">IFERROR(__xludf.DUMMYFUNCTION("""COMPUTED_VALUE"""),410)</f>
        <v>410</v>
      </c>
      <c r="S1359" s="62">
        <f ca="1">IFERROR(__xludf.DUMMYFUNCTION("""COMPUTED_VALUE"""),0.014285714)</f>
        <v>1.4285714E-2</v>
      </c>
      <c r="T1359" s="63" t="str">
        <f ca="1">IFERROR(__xludf.DUMMYFUNCTION("""COMPUTED_VALUE"""),"https://storage.googleapis.com/glide-prod.appspot.com/uploads-v2/ly7o78grxPaC6KdgvbpS/pub/3aRdSog0vUtuqPE8AJKD.png")</f>
        <v>https://storage.googleapis.com/glide-prod.appspot.com/uploads-v2/ly7o78grxPaC6KdgvbpS/pub/3aRdSog0vUtuqPE8AJKD.png</v>
      </c>
      <c r="U1359" s="5" t="str">
        <f ca="1">IFERROR(__xludf.DUMMYFUNCTION("""COMPUTED_VALUE"""),"LINEA DE ENVASADO JUGOS PET HOT FILLTRANSPORTADOR DE EMBALAJES")</f>
        <v>LINEA DE ENVASADO JUGOS PET HOT FILLTRANSPORTADOR DE EMBALAJES</v>
      </c>
      <c r="V1359" s="5"/>
      <c r="W1359" s="5" t="b">
        <f ca="1">IFERROR(__xludf.DUMMYFUNCTION("""COMPUTED_VALUE"""),TRUE)</f>
        <v>1</v>
      </c>
      <c r="X1359" s="5" t="str">
        <f ca="1">IFERROR(__xludf.DUMMYFUNCTION("""COMPUTED_VALUE"""),"achavezi@postobon.com.co,aprmttoyu@postobon.com.co,aprmyu@postobon.com.co,wmora@postobon.com.co,efzapata@postobon.com.co")</f>
        <v>achavezi@postobon.com.co,aprmttoyu@postobon.com.co,aprmyu@postobon.com.co,wmora@postobon.com.co,efzapata@postobon.com.co</v>
      </c>
      <c r="Y1359" s="5" t="str">
        <f ca="1">IFERROR(__xludf.DUMMYFUNCTION("""COMPUTED_VALUE"""),"achavezi@postobon.com.co")</f>
        <v>achavezi@postobon.com.co</v>
      </c>
      <c r="Z1359" s="5" t="str">
        <f ca="1">IFERROR(__xludf.DUMMYFUNCTION("""COMPUTED_VALUE"""),"xEwHRMvQRjun-1kcyBxv8w")</f>
        <v>xEwHRMvQRjun-1kcyBxv8w</v>
      </c>
      <c r="AA1359" s="5"/>
      <c r="AB1359" s="5"/>
      <c r="AC1359" s="5"/>
      <c r="AD1359" s="5">
        <f ca="1">IFERROR(__xludf.DUMMYFUNCTION("""COMPUTED_VALUE"""),21)</f>
        <v>21</v>
      </c>
      <c r="AE1359" s="5">
        <f ca="1">IFERROR(__xludf.DUMMYFUNCTION("""COMPUTED_VALUE"""),21)</f>
        <v>21</v>
      </c>
      <c r="AF1359" s="5" t="b">
        <f ca="1">IFERROR(__xludf.DUMMYFUNCTION("""COMPUTED_VALUE"""),FALSE)</f>
        <v>0</v>
      </c>
      <c r="AG1359" s="5" t="str">
        <f ca="1">IFERROR(__xludf.DUMMYFUNCTION("""COMPUTED_VALUE"""),"INSPECCIONES REALIZADAS")</f>
        <v>INSPECCIONES REALIZADAS</v>
      </c>
      <c r="AH1359" s="5"/>
    </row>
    <row r="1360" spans="1:34">
      <c r="A1360" s="5" t="str">
        <f ca="1">IFERROR(__xludf.DUMMYFUNCTION("""COMPUTED_VALUE"""),"LINEA DE ENVASADO JUGOS PET HOT FILL")</f>
        <v>LINEA DE ENVASADO JUGOS PET HOT FILL</v>
      </c>
      <c r="B1360" s="5">
        <f ca="1">IFERROR(__xludf.DUMMYFUNCTION("""COMPUTED_VALUE"""),829667)</f>
        <v>829667</v>
      </c>
      <c r="C1360" s="5" t="str">
        <f ca="1">IFERROR(__xludf.DUMMYFUNCTION("""COMPUTED_VALUE"""),"TRANSPORTADOR DE EMBALAJES")</f>
        <v>TRANSPORTADOR DE EMBALAJES</v>
      </c>
      <c r="D1360" s="5">
        <f ca="1">IFERROR(__xludf.DUMMYFUNCTION("""COMPUTED_VALUE"""),13247785)</f>
        <v>13247785</v>
      </c>
      <c r="E1360" s="5" t="str">
        <f ca="1">IFERROR(__xludf.DUMMYFUNCTION("""COMPUTED_VALUE"""),"INSPECCION SEMANAL TRANSPORTADOR EMBALAJ")</f>
        <v>INSPECCION SEMANAL TRANSPORTADOR EMBALAJ</v>
      </c>
      <c r="F1360" s="5" t="str">
        <f ca="1">IFERROR(__xludf.DUMMYFUNCTION("""COMPUTED_VALUE"""),"ESTADO MOTO REDUCTORES")</f>
        <v>ESTADO MOTO REDUCTORES</v>
      </c>
      <c r="G1360" s="5" t="b">
        <f ca="1">IFERROR(__xludf.DUMMYFUNCTION("""COMPUTED_VALUE"""),TRUE)</f>
        <v>1</v>
      </c>
      <c r="H1360" s="5" t="str">
        <f ca="1">IFERROR(__xludf.DUMMYFUNCTION("""COMPUTED_VALUE"""),"Caja reductora se encuentra con fuga transportador de embalaje motor # 2139 (101)")</f>
        <v>Caja reductora se encuentra con fuga transportador de embalaje motor # 2139 (101)</v>
      </c>
      <c r="I1360" s="5"/>
      <c r="J1360" s="5">
        <f ca="1">IFERROR(__xludf.DUMMYFUNCTION("""COMPUTED_VALUE"""),13247785)</f>
        <v>13247785</v>
      </c>
      <c r="K1360" s="5"/>
      <c r="L1360" s="18">
        <f ca="1">IFERROR(__xludf.DUMMYFUNCTION("""COMPUTED_VALUE"""),45325)</f>
        <v>45325</v>
      </c>
      <c r="M1360" s="18">
        <f ca="1">IFERROR(__xludf.DUMMYFUNCTION("""COMPUTED_VALUE"""),45325)</f>
        <v>45325</v>
      </c>
      <c r="N1360" s="5" t="str">
        <f ca="1">IFERROR(__xludf.DUMMYFUNCTION("""COMPUTED_VALUE"""),"Martinez Delgado Osver")</f>
        <v>Martinez Delgado Osver</v>
      </c>
      <c r="O1360" s="2">
        <f ca="1">IFERROR(__xludf.DUMMYFUNCTION("""COMPUTED_VALUE"""),0.014285714)</f>
        <v>1.4285714E-2</v>
      </c>
      <c r="P1360" s="5">
        <f ca="1">IFERROR(__xludf.DUMMYFUNCTION("""COMPUTED_VALUE"""),20009942)</f>
        <v>20009942</v>
      </c>
      <c r="Q1360" s="5" t="str">
        <f ca="1">IFERROR(__xludf.DUMMYFUNCTION("""COMPUTED_VALUE"""),"tZJJGvckfJY")</f>
        <v>tZJJGvckfJY</v>
      </c>
      <c r="R1360" s="5">
        <f ca="1">IFERROR(__xludf.DUMMYFUNCTION("""COMPUTED_VALUE"""),410)</f>
        <v>410</v>
      </c>
      <c r="S1360" s="62">
        <f ca="1">IFERROR(__xludf.DUMMYFUNCTION("""COMPUTED_VALUE"""),0.014285714)</f>
        <v>1.4285714E-2</v>
      </c>
      <c r="T1360" s="63" t="str">
        <f ca="1">IFERROR(__xludf.DUMMYFUNCTION("""COMPUTED_VALUE"""),"https://storage.googleapis.com/glide-prod.appspot.com/uploads-v2/ly7o78grxPaC6KdgvbpS/pub/3aRdSog0vUtuqPE8AJKD.png")</f>
        <v>https://storage.googleapis.com/glide-prod.appspot.com/uploads-v2/ly7o78grxPaC6KdgvbpS/pub/3aRdSog0vUtuqPE8AJKD.png</v>
      </c>
      <c r="U1360" s="5" t="str">
        <f ca="1">IFERROR(__xludf.DUMMYFUNCTION("""COMPUTED_VALUE"""),"LINEA DE ENVASADO JUGOS PET HOT FILLTRANSPORTADOR DE EMBALAJES")</f>
        <v>LINEA DE ENVASADO JUGOS PET HOT FILLTRANSPORTADOR DE EMBALAJES</v>
      </c>
      <c r="V1360" s="5"/>
      <c r="W1360" s="5" t="b">
        <f ca="1">IFERROR(__xludf.DUMMYFUNCTION("""COMPUTED_VALUE"""),TRUE)</f>
        <v>1</v>
      </c>
      <c r="X1360" s="5" t="str">
        <f ca="1">IFERROR(__xludf.DUMMYFUNCTION("""COMPUTED_VALUE"""),"achavezi@postobon.com.co,aprmttoyu@postobon.com.co,aprmyu@postobon.com.co,wmora@postobon.com.co,efzapata@postobon.com.co")</f>
        <v>achavezi@postobon.com.co,aprmttoyu@postobon.com.co,aprmyu@postobon.com.co,wmora@postobon.com.co,efzapata@postobon.com.co</v>
      </c>
      <c r="Y1360" s="5" t="str">
        <f ca="1">IFERROR(__xludf.DUMMYFUNCTION("""COMPUTED_VALUE"""),"achavezi@postobon.com.co")</f>
        <v>achavezi@postobon.com.co</v>
      </c>
      <c r="Z1360" s="5" t="str">
        <f ca="1">IFERROR(__xludf.DUMMYFUNCTION("""COMPUTED_VALUE"""),"GTmlk8CVRVCqnnOBw2Bmtw")</f>
        <v>GTmlk8CVRVCqnnOBw2Bmtw</v>
      </c>
      <c r="AA1360" s="63" t="str">
        <f ca="1">IFERROR(__xludf.DUMMYFUNCTION("""COMPUTED_VALUE"""),"https://storage.googleapis.com/glide-prod.appspot.com/uploads-v2/ly7o78grxPaC6KdgvbpS/pub/UxnHYRNlUFUsFjKVcxBV.jpg")</f>
        <v>https://storage.googleapis.com/glide-prod.appspot.com/uploads-v2/ly7o78grxPaC6KdgvbpS/pub/UxnHYRNlUFUsFjKVcxBV.jpg</v>
      </c>
      <c r="AB1360" s="5"/>
      <c r="AC1360" s="5"/>
      <c r="AD1360" s="5">
        <f ca="1">IFERROR(__xludf.DUMMYFUNCTION("""COMPUTED_VALUE"""),21)</f>
        <v>21</v>
      </c>
      <c r="AE1360" s="5">
        <f ca="1">IFERROR(__xludf.DUMMYFUNCTION("""COMPUTED_VALUE"""),21)</f>
        <v>21</v>
      </c>
      <c r="AF1360" s="5" t="b">
        <f ca="1">IFERROR(__xludf.DUMMYFUNCTION("""COMPUTED_VALUE"""),FALSE)</f>
        <v>0</v>
      </c>
      <c r="AG1360" s="5" t="str">
        <f ca="1">IFERROR(__xludf.DUMMYFUNCTION("""COMPUTED_VALUE"""),"INSPECCIONES REALIZADAS")</f>
        <v>INSPECCIONES REALIZADAS</v>
      </c>
      <c r="AH1360" s="5"/>
    </row>
    <row r="1361" spans="1:34">
      <c r="A1361" s="5" t="str">
        <f ca="1">IFERROR(__xludf.DUMMYFUNCTION("""COMPUTED_VALUE"""),"LINEA DE ENVASADO JUGOS PET HOT FILL")</f>
        <v>LINEA DE ENVASADO JUGOS PET HOT FILL</v>
      </c>
      <c r="B1361" s="5">
        <f ca="1">IFERROR(__xludf.DUMMYFUNCTION("""COMPUTED_VALUE"""),829667)</f>
        <v>829667</v>
      </c>
      <c r="C1361" s="5" t="str">
        <f ca="1">IFERROR(__xludf.DUMMYFUNCTION("""COMPUTED_VALUE"""),"TRANSPORTADOR DE EMBALAJES")</f>
        <v>TRANSPORTADOR DE EMBALAJES</v>
      </c>
      <c r="D1361" s="5">
        <f ca="1">IFERROR(__xludf.DUMMYFUNCTION("""COMPUTED_VALUE"""),13247785)</f>
        <v>13247785</v>
      </c>
      <c r="E1361" s="5" t="str">
        <f ca="1">IFERROR(__xludf.DUMMYFUNCTION("""COMPUTED_VALUE"""),"INSPECCION SEMANAL TRANSPORTADOR EMBALAJ")</f>
        <v>INSPECCION SEMANAL TRANSPORTADOR EMBALAJ</v>
      </c>
      <c r="F1361" s="5" t="str">
        <f ca="1">IFERROR(__xludf.DUMMYFUNCTION("""COMPUTED_VALUE"""),"ESTADO BANDA TRANSPORTADORA")</f>
        <v>ESTADO BANDA TRANSPORTADORA</v>
      </c>
      <c r="G1361" s="5" t="b">
        <f ca="1">IFERROR(__xludf.DUMMYFUNCTION("""COMPUTED_VALUE"""),TRUE)</f>
        <v>1</v>
      </c>
      <c r="H1361" s="5"/>
      <c r="I1361" s="5"/>
      <c r="J1361" s="5">
        <f ca="1">IFERROR(__xludf.DUMMYFUNCTION("""COMPUTED_VALUE"""),13247785)</f>
        <v>13247785</v>
      </c>
      <c r="K1361" s="5"/>
      <c r="L1361" s="18">
        <f ca="1">IFERROR(__xludf.DUMMYFUNCTION("""COMPUTED_VALUE"""),45325)</f>
        <v>45325</v>
      </c>
      <c r="M1361" s="18">
        <f ca="1">IFERROR(__xludf.DUMMYFUNCTION("""COMPUTED_VALUE"""),45325)</f>
        <v>45325</v>
      </c>
      <c r="N1361" s="5" t="str">
        <f ca="1">IFERROR(__xludf.DUMMYFUNCTION("""COMPUTED_VALUE"""),"Martinez Delgado Osver")</f>
        <v>Martinez Delgado Osver</v>
      </c>
      <c r="O1361" s="2">
        <f ca="1">IFERROR(__xludf.DUMMYFUNCTION("""COMPUTED_VALUE"""),0.014285714)</f>
        <v>1.4285714E-2</v>
      </c>
      <c r="P1361" s="5">
        <f ca="1">IFERROR(__xludf.DUMMYFUNCTION("""COMPUTED_VALUE"""),20009942)</f>
        <v>20009942</v>
      </c>
      <c r="Q1361" s="5" t="str">
        <f ca="1">IFERROR(__xludf.DUMMYFUNCTION("""COMPUTED_VALUE"""),"WYirN62zp4s")</f>
        <v>WYirN62zp4s</v>
      </c>
      <c r="R1361" s="5">
        <f ca="1">IFERROR(__xludf.DUMMYFUNCTION("""COMPUTED_VALUE"""),410)</f>
        <v>410</v>
      </c>
      <c r="S1361" s="62">
        <f ca="1">IFERROR(__xludf.DUMMYFUNCTION("""COMPUTED_VALUE"""),0.014285714)</f>
        <v>1.4285714E-2</v>
      </c>
      <c r="T1361" s="63" t="str">
        <f ca="1">IFERROR(__xludf.DUMMYFUNCTION("""COMPUTED_VALUE"""),"https://storage.googleapis.com/glide-prod.appspot.com/uploads-v2/ly7o78grxPaC6KdgvbpS/pub/3aRdSog0vUtuqPE8AJKD.png")</f>
        <v>https://storage.googleapis.com/glide-prod.appspot.com/uploads-v2/ly7o78grxPaC6KdgvbpS/pub/3aRdSog0vUtuqPE8AJKD.png</v>
      </c>
      <c r="U1361" s="5" t="str">
        <f ca="1">IFERROR(__xludf.DUMMYFUNCTION("""COMPUTED_VALUE"""),"LINEA DE ENVASADO JUGOS PET HOT FILLTRANSPORTADOR DE EMBALAJES")</f>
        <v>LINEA DE ENVASADO JUGOS PET HOT FILLTRANSPORTADOR DE EMBALAJES</v>
      </c>
      <c r="V1361" s="5"/>
      <c r="W1361" s="5" t="b">
        <f ca="1">IFERROR(__xludf.DUMMYFUNCTION("""COMPUTED_VALUE"""),TRUE)</f>
        <v>1</v>
      </c>
      <c r="X1361" s="5" t="str">
        <f ca="1">IFERROR(__xludf.DUMMYFUNCTION("""COMPUTED_VALUE"""),"achavezi@postobon.com.co,aprmttoyu@postobon.com.co,aprmyu@postobon.com.co,wmora@postobon.com.co,efzapata@postobon.com.co")</f>
        <v>achavezi@postobon.com.co,aprmttoyu@postobon.com.co,aprmyu@postobon.com.co,wmora@postobon.com.co,efzapata@postobon.com.co</v>
      </c>
      <c r="Y1361" s="5" t="str">
        <f ca="1">IFERROR(__xludf.DUMMYFUNCTION("""COMPUTED_VALUE"""),"achavezi@postobon.com.co")</f>
        <v>achavezi@postobon.com.co</v>
      </c>
      <c r="Z1361" s="5" t="str">
        <f ca="1">IFERROR(__xludf.DUMMYFUNCTION("""COMPUTED_VALUE"""),"gORChjcoQDmPRjQJSlaKmw")</f>
        <v>gORChjcoQDmPRjQJSlaKmw</v>
      </c>
      <c r="AA1361" s="5"/>
      <c r="AB1361" s="5"/>
      <c r="AC1361" s="5"/>
      <c r="AD1361" s="5">
        <f ca="1">IFERROR(__xludf.DUMMYFUNCTION("""COMPUTED_VALUE"""),21)</f>
        <v>21</v>
      </c>
      <c r="AE1361" s="5">
        <f ca="1">IFERROR(__xludf.DUMMYFUNCTION("""COMPUTED_VALUE"""),21)</f>
        <v>21</v>
      </c>
      <c r="AF1361" s="5" t="b">
        <f ca="1">IFERROR(__xludf.DUMMYFUNCTION("""COMPUTED_VALUE"""),FALSE)</f>
        <v>0</v>
      </c>
      <c r="AG1361" s="5" t="str">
        <f ca="1">IFERROR(__xludf.DUMMYFUNCTION("""COMPUTED_VALUE"""),"INSPECCIONES REALIZADAS")</f>
        <v>INSPECCIONES REALIZADAS</v>
      </c>
      <c r="AH1361" s="5"/>
    </row>
    <row r="1362" spans="1:34">
      <c r="A1362" s="5" t="str">
        <f ca="1">IFERROR(__xludf.DUMMYFUNCTION("""COMPUTED_VALUE"""),"LINEA DE ENVASADO JUGOS PET HOT FILL")</f>
        <v>LINEA DE ENVASADO JUGOS PET HOT FILL</v>
      </c>
      <c r="B1362" s="5">
        <f ca="1">IFERROR(__xludf.DUMMYFUNCTION("""COMPUTED_VALUE"""),829667)</f>
        <v>829667</v>
      </c>
      <c r="C1362" s="5" t="str">
        <f ca="1">IFERROR(__xludf.DUMMYFUNCTION("""COMPUTED_VALUE"""),"TRANSPORTADOR DE EMBALAJES")</f>
        <v>TRANSPORTADOR DE EMBALAJES</v>
      </c>
      <c r="D1362" s="5">
        <f ca="1">IFERROR(__xludf.DUMMYFUNCTION("""COMPUTED_VALUE"""),13247785)</f>
        <v>13247785</v>
      </c>
      <c r="E1362" s="5" t="str">
        <f ca="1">IFERROR(__xludf.DUMMYFUNCTION("""COMPUTED_VALUE"""),"INSPECCION SEMANAL TRANSPORTADOR EMBALAJ")</f>
        <v>INSPECCION SEMANAL TRANSPORTADOR EMBALAJ</v>
      </c>
      <c r="F1362" s="5" t="str">
        <f ca="1">IFERROR(__xludf.DUMMYFUNCTION("""COMPUTED_VALUE"""),"ESTADO DE SENSORES")</f>
        <v>ESTADO DE SENSORES</v>
      </c>
      <c r="G1362" s="5" t="b">
        <f ca="1">IFERROR(__xludf.DUMMYFUNCTION("""COMPUTED_VALUE"""),TRUE)</f>
        <v>1</v>
      </c>
      <c r="H1362" s="5"/>
      <c r="I1362" s="5"/>
      <c r="J1362" s="5">
        <f ca="1">IFERROR(__xludf.DUMMYFUNCTION("""COMPUTED_VALUE"""),13247785)</f>
        <v>13247785</v>
      </c>
      <c r="K1362" s="5"/>
      <c r="L1362" s="18">
        <f ca="1">IFERROR(__xludf.DUMMYFUNCTION("""COMPUTED_VALUE"""),45325)</f>
        <v>45325</v>
      </c>
      <c r="M1362" s="18">
        <f ca="1">IFERROR(__xludf.DUMMYFUNCTION("""COMPUTED_VALUE"""),45325)</f>
        <v>45325</v>
      </c>
      <c r="N1362" s="5" t="str">
        <f ca="1">IFERROR(__xludf.DUMMYFUNCTION("""COMPUTED_VALUE"""),"Martinez Delgado Osver")</f>
        <v>Martinez Delgado Osver</v>
      </c>
      <c r="O1362" s="2">
        <f ca="1">IFERROR(__xludf.DUMMYFUNCTION("""COMPUTED_VALUE"""),0.014285714)</f>
        <v>1.4285714E-2</v>
      </c>
      <c r="P1362" s="5">
        <f ca="1">IFERROR(__xludf.DUMMYFUNCTION("""COMPUTED_VALUE"""),20009942)</f>
        <v>20009942</v>
      </c>
      <c r="Q1362" s="5" t="str">
        <f ca="1">IFERROR(__xludf.DUMMYFUNCTION("""COMPUTED_VALUE"""),"BuXGZ2mB_38")</f>
        <v>BuXGZ2mB_38</v>
      </c>
      <c r="R1362" s="5">
        <f ca="1">IFERROR(__xludf.DUMMYFUNCTION("""COMPUTED_VALUE"""),410)</f>
        <v>410</v>
      </c>
      <c r="S1362" s="62">
        <f ca="1">IFERROR(__xludf.DUMMYFUNCTION("""COMPUTED_VALUE"""),0.014285714)</f>
        <v>1.4285714E-2</v>
      </c>
      <c r="T1362" s="63" t="str">
        <f ca="1">IFERROR(__xludf.DUMMYFUNCTION("""COMPUTED_VALUE"""),"https://storage.googleapis.com/glide-prod.appspot.com/uploads-v2/ly7o78grxPaC6KdgvbpS/pub/3aRdSog0vUtuqPE8AJKD.png")</f>
        <v>https://storage.googleapis.com/glide-prod.appspot.com/uploads-v2/ly7o78grxPaC6KdgvbpS/pub/3aRdSog0vUtuqPE8AJKD.png</v>
      </c>
      <c r="U1362" s="5" t="str">
        <f ca="1">IFERROR(__xludf.DUMMYFUNCTION("""COMPUTED_VALUE"""),"LINEA DE ENVASADO JUGOS PET HOT FILLTRANSPORTADOR DE EMBALAJES")</f>
        <v>LINEA DE ENVASADO JUGOS PET HOT FILLTRANSPORTADOR DE EMBALAJES</v>
      </c>
      <c r="V1362" s="5"/>
      <c r="W1362" s="5" t="b">
        <f ca="1">IFERROR(__xludf.DUMMYFUNCTION("""COMPUTED_VALUE"""),TRUE)</f>
        <v>1</v>
      </c>
      <c r="X1362" s="5" t="str">
        <f ca="1">IFERROR(__xludf.DUMMYFUNCTION("""COMPUTED_VALUE"""),"achavezi@postobon.com.co,aprmttoyu@postobon.com.co,aprmyu@postobon.com.co,wmora@postobon.com.co,efzapata@postobon.com.co")</f>
        <v>achavezi@postobon.com.co,aprmttoyu@postobon.com.co,aprmyu@postobon.com.co,wmora@postobon.com.co,efzapata@postobon.com.co</v>
      </c>
      <c r="Y1362" s="5" t="str">
        <f ca="1">IFERROR(__xludf.DUMMYFUNCTION("""COMPUTED_VALUE"""),"achavezi@postobon.com.co")</f>
        <v>achavezi@postobon.com.co</v>
      </c>
      <c r="Z1362" s="5" t="str">
        <f ca="1">IFERROR(__xludf.DUMMYFUNCTION("""COMPUTED_VALUE"""),"6mGbCMWUTsKSGpyEbL9aJw")</f>
        <v>6mGbCMWUTsKSGpyEbL9aJw</v>
      </c>
      <c r="AA1362" s="5"/>
      <c r="AB1362" s="5"/>
      <c r="AC1362" s="5"/>
      <c r="AD1362" s="5">
        <f ca="1">IFERROR(__xludf.DUMMYFUNCTION("""COMPUTED_VALUE"""),21)</f>
        <v>21</v>
      </c>
      <c r="AE1362" s="5">
        <f ca="1">IFERROR(__xludf.DUMMYFUNCTION("""COMPUTED_VALUE"""),21)</f>
        <v>21</v>
      </c>
      <c r="AF1362" s="5" t="b">
        <f ca="1">IFERROR(__xludf.DUMMYFUNCTION("""COMPUTED_VALUE"""),FALSE)</f>
        <v>0</v>
      </c>
      <c r="AG1362" s="5" t="str">
        <f ca="1">IFERROR(__xludf.DUMMYFUNCTION("""COMPUTED_VALUE"""),"INSPECCIONES REALIZADAS")</f>
        <v>INSPECCIONES REALIZADAS</v>
      </c>
      <c r="AH1362" s="5"/>
    </row>
    <row r="1363" spans="1:34">
      <c r="A1363" s="5" t="str">
        <f ca="1">IFERROR(__xludf.DUMMYFUNCTION("""COMPUTED_VALUE"""),"LINEA DE ENVASADO JUGOS PET HOT FILL")</f>
        <v>LINEA DE ENVASADO JUGOS PET HOT FILL</v>
      </c>
      <c r="B1363" s="5">
        <f ca="1">IFERROR(__xludf.DUMMYFUNCTION("""COMPUTED_VALUE"""),829667)</f>
        <v>829667</v>
      </c>
      <c r="C1363" s="5" t="str">
        <f ca="1">IFERROR(__xludf.DUMMYFUNCTION("""COMPUTED_VALUE"""),"TRANSPORTADOR DE EMBALAJES")</f>
        <v>TRANSPORTADOR DE EMBALAJES</v>
      </c>
      <c r="D1363" s="5">
        <f ca="1">IFERROR(__xludf.DUMMYFUNCTION("""COMPUTED_VALUE"""),13247785)</f>
        <v>13247785</v>
      </c>
      <c r="E1363" s="5" t="str">
        <f ca="1">IFERROR(__xludf.DUMMYFUNCTION("""COMPUTED_VALUE"""),"INSPECCION SEMANAL TRANSPORTADOR EMBALAJ")</f>
        <v>INSPECCION SEMANAL TRANSPORTADOR EMBALAJ</v>
      </c>
      <c r="F1363" s="5" t="str">
        <f ca="1">IFERROR(__xludf.DUMMYFUNCTION("""COMPUTED_VALUE"""),"ESTADO GUIAS LATERALES")</f>
        <v>ESTADO GUIAS LATERALES</v>
      </c>
      <c r="G1363" s="5" t="b">
        <f ca="1">IFERROR(__xludf.DUMMYFUNCTION("""COMPUTED_VALUE"""),TRUE)</f>
        <v>1</v>
      </c>
      <c r="H1363" s="5"/>
      <c r="I1363" s="5"/>
      <c r="J1363" s="5">
        <f ca="1">IFERROR(__xludf.DUMMYFUNCTION("""COMPUTED_VALUE"""),13247785)</f>
        <v>13247785</v>
      </c>
      <c r="K1363" s="5"/>
      <c r="L1363" s="18">
        <f ca="1">IFERROR(__xludf.DUMMYFUNCTION("""COMPUTED_VALUE"""),45325)</f>
        <v>45325</v>
      </c>
      <c r="M1363" s="18">
        <f ca="1">IFERROR(__xludf.DUMMYFUNCTION("""COMPUTED_VALUE"""),45325)</f>
        <v>45325</v>
      </c>
      <c r="N1363" s="5" t="str">
        <f ca="1">IFERROR(__xludf.DUMMYFUNCTION("""COMPUTED_VALUE"""),"Martinez Delgado Osver")</f>
        <v>Martinez Delgado Osver</v>
      </c>
      <c r="O1363" s="2">
        <f ca="1">IFERROR(__xludf.DUMMYFUNCTION("""COMPUTED_VALUE"""),0.014285714)</f>
        <v>1.4285714E-2</v>
      </c>
      <c r="P1363" s="5">
        <f ca="1">IFERROR(__xludf.DUMMYFUNCTION("""COMPUTED_VALUE"""),20009942)</f>
        <v>20009942</v>
      </c>
      <c r="Q1363" s="5" t="str">
        <f ca="1">IFERROR(__xludf.DUMMYFUNCTION("""COMPUTED_VALUE"""),"92KoQNoUaas")</f>
        <v>92KoQNoUaas</v>
      </c>
      <c r="R1363" s="5">
        <f ca="1">IFERROR(__xludf.DUMMYFUNCTION("""COMPUTED_VALUE"""),410)</f>
        <v>410</v>
      </c>
      <c r="S1363" s="62">
        <f ca="1">IFERROR(__xludf.DUMMYFUNCTION("""COMPUTED_VALUE"""),0.014285714)</f>
        <v>1.4285714E-2</v>
      </c>
      <c r="T1363" s="63" t="str">
        <f ca="1">IFERROR(__xludf.DUMMYFUNCTION("""COMPUTED_VALUE"""),"https://storage.googleapis.com/glide-prod.appspot.com/uploads-v2/ly7o78grxPaC6KdgvbpS/pub/3aRdSog0vUtuqPE8AJKD.png")</f>
        <v>https://storage.googleapis.com/glide-prod.appspot.com/uploads-v2/ly7o78grxPaC6KdgvbpS/pub/3aRdSog0vUtuqPE8AJKD.png</v>
      </c>
      <c r="U1363" s="5" t="str">
        <f ca="1">IFERROR(__xludf.DUMMYFUNCTION("""COMPUTED_VALUE"""),"LINEA DE ENVASADO JUGOS PET HOT FILLTRANSPORTADOR DE EMBALAJES")</f>
        <v>LINEA DE ENVASADO JUGOS PET HOT FILLTRANSPORTADOR DE EMBALAJES</v>
      </c>
      <c r="V1363" s="5"/>
      <c r="W1363" s="5" t="b">
        <f ca="1">IFERROR(__xludf.DUMMYFUNCTION("""COMPUTED_VALUE"""),TRUE)</f>
        <v>1</v>
      </c>
      <c r="X1363" s="5" t="str">
        <f ca="1">IFERROR(__xludf.DUMMYFUNCTION("""COMPUTED_VALUE"""),"achavezi@postobon.com.co,aprmttoyu@postobon.com.co,aprmyu@postobon.com.co,wmora@postobon.com.co,efzapata@postobon.com.co")</f>
        <v>achavezi@postobon.com.co,aprmttoyu@postobon.com.co,aprmyu@postobon.com.co,wmora@postobon.com.co,efzapata@postobon.com.co</v>
      </c>
      <c r="Y1363" s="5" t="str">
        <f ca="1">IFERROR(__xludf.DUMMYFUNCTION("""COMPUTED_VALUE"""),"achavezi@postobon.com.co")</f>
        <v>achavezi@postobon.com.co</v>
      </c>
      <c r="Z1363" s="5" t="str">
        <f ca="1">IFERROR(__xludf.DUMMYFUNCTION("""COMPUTED_VALUE"""),"MJJ8K1cDSuWFVUBwEvO1RQ")</f>
        <v>MJJ8K1cDSuWFVUBwEvO1RQ</v>
      </c>
      <c r="AA1363" s="5"/>
      <c r="AB1363" s="5"/>
      <c r="AC1363" s="5"/>
      <c r="AD1363" s="5">
        <f ca="1">IFERROR(__xludf.DUMMYFUNCTION("""COMPUTED_VALUE"""),21)</f>
        <v>21</v>
      </c>
      <c r="AE1363" s="5">
        <f ca="1">IFERROR(__xludf.DUMMYFUNCTION("""COMPUTED_VALUE"""),21)</f>
        <v>21</v>
      </c>
      <c r="AF1363" s="5" t="b">
        <f ca="1">IFERROR(__xludf.DUMMYFUNCTION("""COMPUTED_VALUE"""),FALSE)</f>
        <v>0</v>
      </c>
      <c r="AG1363" s="5" t="str">
        <f ca="1">IFERROR(__xludf.DUMMYFUNCTION("""COMPUTED_VALUE"""),"INSPECCIONES REALIZADAS")</f>
        <v>INSPECCIONES REALIZADAS</v>
      </c>
      <c r="AH1363" s="5"/>
    </row>
    <row r="1364" spans="1:34">
      <c r="A1364" s="5" t="str">
        <f ca="1">IFERROR(__xludf.DUMMYFUNCTION("""COMPUTED_VALUE"""),"LINEA DE ENVASADO JUGOS PET HOT FILL")</f>
        <v>LINEA DE ENVASADO JUGOS PET HOT FILL</v>
      </c>
      <c r="B1364" s="5">
        <f ca="1">IFERROR(__xludf.DUMMYFUNCTION("""COMPUTED_VALUE"""),829667)</f>
        <v>829667</v>
      </c>
      <c r="C1364" s="5" t="str">
        <f ca="1">IFERROR(__xludf.DUMMYFUNCTION("""COMPUTED_VALUE"""),"TRANSPORTADOR DE EMBALAJES")</f>
        <v>TRANSPORTADOR DE EMBALAJES</v>
      </c>
      <c r="D1364" s="5">
        <f ca="1">IFERROR(__xludf.DUMMYFUNCTION("""COMPUTED_VALUE"""),13247785)</f>
        <v>13247785</v>
      </c>
      <c r="E1364" s="5" t="str">
        <f ca="1">IFERROR(__xludf.DUMMYFUNCTION("""COMPUTED_VALUE"""),"INSPECCION SEMANAL TRANSPORTADOR EMBALAJ")</f>
        <v>INSPECCION SEMANAL TRANSPORTADOR EMBALAJ</v>
      </c>
      <c r="F1364" s="5" t="str">
        <f ca="1">IFERROR(__xludf.DUMMYFUNCTION("""COMPUTED_VALUE"""),"INSP. TABLERO ELECTRICO/CLIMATIZADOR")</f>
        <v>INSP. TABLERO ELECTRICO/CLIMATIZADOR</v>
      </c>
      <c r="G1364" s="5" t="b">
        <f ca="1">IFERROR(__xludf.DUMMYFUNCTION("""COMPUTED_VALUE"""),TRUE)</f>
        <v>1</v>
      </c>
      <c r="H1364" s="5"/>
      <c r="I1364" s="5"/>
      <c r="J1364" s="5">
        <f ca="1">IFERROR(__xludf.DUMMYFUNCTION("""COMPUTED_VALUE"""),13247785)</f>
        <v>13247785</v>
      </c>
      <c r="K1364" s="5"/>
      <c r="L1364" s="18">
        <f ca="1">IFERROR(__xludf.DUMMYFUNCTION("""COMPUTED_VALUE"""),45325)</f>
        <v>45325</v>
      </c>
      <c r="M1364" s="18">
        <f ca="1">IFERROR(__xludf.DUMMYFUNCTION("""COMPUTED_VALUE"""),45325)</f>
        <v>45325</v>
      </c>
      <c r="N1364" s="5" t="str">
        <f ca="1">IFERROR(__xludf.DUMMYFUNCTION("""COMPUTED_VALUE"""),"Martinez Delgado Osver")</f>
        <v>Martinez Delgado Osver</v>
      </c>
      <c r="O1364" s="2">
        <f ca="1">IFERROR(__xludf.DUMMYFUNCTION("""COMPUTED_VALUE"""),0.014285714)</f>
        <v>1.4285714E-2</v>
      </c>
      <c r="P1364" s="5">
        <f ca="1">IFERROR(__xludf.DUMMYFUNCTION("""COMPUTED_VALUE"""),20009942)</f>
        <v>20009942</v>
      </c>
      <c r="Q1364" s="5" t="str">
        <f ca="1">IFERROR(__xludf.DUMMYFUNCTION("""COMPUTED_VALUE"""),"n-VvFbwWOiI")</f>
        <v>n-VvFbwWOiI</v>
      </c>
      <c r="R1364" s="5">
        <f ca="1">IFERROR(__xludf.DUMMYFUNCTION("""COMPUTED_VALUE"""),410)</f>
        <v>410</v>
      </c>
      <c r="S1364" s="62">
        <f ca="1">IFERROR(__xludf.DUMMYFUNCTION("""COMPUTED_VALUE"""),0.014285714)</f>
        <v>1.4285714E-2</v>
      </c>
      <c r="T1364" s="63" t="str">
        <f ca="1">IFERROR(__xludf.DUMMYFUNCTION("""COMPUTED_VALUE"""),"https://storage.googleapis.com/glide-prod.appspot.com/uploads-v2/ly7o78grxPaC6KdgvbpS/pub/3aRdSog0vUtuqPE8AJKD.png")</f>
        <v>https://storage.googleapis.com/glide-prod.appspot.com/uploads-v2/ly7o78grxPaC6KdgvbpS/pub/3aRdSog0vUtuqPE8AJKD.png</v>
      </c>
      <c r="U1364" s="5" t="str">
        <f ca="1">IFERROR(__xludf.DUMMYFUNCTION("""COMPUTED_VALUE"""),"LINEA DE ENVASADO JUGOS PET HOT FILLTRANSPORTADOR DE EMBALAJES")</f>
        <v>LINEA DE ENVASADO JUGOS PET HOT FILLTRANSPORTADOR DE EMBALAJES</v>
      </c>
      <c r="V1364" s="5"/>
      <c r="W1364" s="5" t="b">
        <f ca="1">IFERROR(__xludf.DUMMYFUNCTION("""COMPUTED_VALUE"""),TRUE)</f>
        <v>1</v>
      </c>
      <c r="X1364" s="5" t="str">
        <f ca="1">IFERROR(__xludf.DUMMYFUNCTION("""COMPUTED_VALUE"""),"achavezi@postobon.com.co,aprmttoyu@postobon.com.co,aprmyu@postobon.com.co,wmora@postobon.com.co,efzapata@postobon.com.co")</f>
        <v>achavezi@postobon.com.co,aprmttoyu@postobon.com.co,aprmyu@postobon.com.co,wmora@postobon.com.co,efzapata@postobon.com.co</v>
      </c>
      <c r="Y1364" s="5" t="str">
        <f ca="1">IFERROR(__xludf.DUMMYFUNCTION("""COMPUTED_VALUE"""),"achavezi@postobon.com.co")</f>
        <v>achavezi@postobon.com.co</v>
      </c>
      <c r="Z1364" s="5" t="str">
        <f ca="1">IFERROR(__xludf.DUMMYFUNCTION("""COMPUTED_VALUE"""),"kngC7zhDTCixUQqlwG.XgQ")</f>
        <v>kngC7zhDTCixUQqlwG.XgQ</v>
      </c>
      <c r="AA1364" s="5"/>
      <c r="AB1364" s="5"/>
      <c r="AC1364" s="5"/>
      <c r="AD1364" s="5">
        <f ca="1">IFERROR(__xludf.DUMMYFUNCTION("""COMPUTED_VALUE"""),21)</f>
        <v>21</v>
      </c>
      <c r="AE1364" s="5">
        <f ca="1">IFERROR(__xludf.DUMMYFUNCTION("""COMPUTED_VALUE"""),21)</f>
        <v>21</v>
      </c>
      <c r="AF1364" s="5" t="b">
        <f ca="1">IFERROR(__xludf.DUMMYFUNCTION("""COMPUTED_VALUE"""),FALSE)</f>
        <v>0</v>
      </c>
      <c r="AG1364" s="5" t="str">
        <f ca="1">IFERROR(__xludf.DUMMYFUNCTION("""COMPUTED_VALUE"""),"INSPECCIONES REALIZADAS")</f>
        <v>INSPECCIONES REALIZADAS</v>
      </c>
      <c r="AH1364" s="5"/>
    </row>
    <row r="1365" spans="1:34">
      <c r="A1365" s="5" t="str">
        <f ca="1">IFERROR(__xludf.DUMMYFUNCTION("""COMPUTED_VALUE"""),"LINEA DE ENVASADO PET NO RETORNABLE")</f>
        <v>LINEA DE ENVASADO PET NO RETORNABLE</v>
      </c>
      <c r="B1365" s="5">
        <f ca="1">IFERROR(__xludf.DUMMYFUNCTION("""COMPUTED_VALUE"""),829613)</f>
        <v>829613</v>
      </c>
      <c r="C1365" s="5" t="str">
        <f ca="1">IFERROR(__xludf.DUMMYFUNCTION("""COMPUTED_VALUE"""),"TRANSPORTADOR ENVASE")</f>
        <v>TRANSPORTADOR ENVASE</v>
      </c>
      <c r="D1365" s="5">
        <f ca="1">IFERROR(__xludf.DUMMYFUNCTION("""COMPUTED_VALUE"""),13247845)</f>
        <v>13247845</v>
      </c>
      <c r="E1365" s="5" t="str">
        <f ca="1">IFERROR(__xludf.DUMMYFUNCTION("""COMPUTED_VALUE"""),"INSPECCION SEMANAL TRANSPORTADOR ENVASE")</f>
        <v>INSPECCION SEMANAL TRANSPORTADOR ENVASE</v>
      </c>
      <c r="F1365" s="5" t="str">
        <f ca="1">IFERROR(__xludf.DUMMYFUNCTION("""COMPUTED_VALUE"""),"ESTADO PERFILES, EMPACK")</f>
        <v>ESTADO PERFILES, EMPACK</v>
      </c>
      <c r="G1365" s="5" t="b">
        <f ca="1">IFERROR(__xludf.DUMMYFUNCTION("""COMPUTED_VALUE"""),TRUE)</f>
        <v>1</v>
      </c>
      <c r="H1365" s="5"/>
      <c r="I1365" s="5"/>
      <c r="J1365" s="5">
        <f ca="1">IFERROR(__xludf.DUMMYFUNCTION("""COMPUTED_VALUE"""),13247845)</f>
        <v>13247845</v>
      </c>
      <c r="K1365" s="5"/>
      <c r="L1365" s="18">
        <f ca="1">IFERROR(__xludf.DUMMYFUNCTION("""COMPUTED_VALUE"""),45324)</f>
        <v>45324</v>
      </c>
      <c r="M1365" s="18">
        <f ca="1">IFERROR(__xludf.DUMMYFUNCTION("""COMPUTED_VALUE"""),45324)</f>
        <v>45324</v>
      </c>
      <c r="N1365" s="5" t="str">
        <f ca="1">IFERROR(__xludf.DUMMYFUNCTION("""COMPUTED_VALUE"""),"Lozano Delgado Fausto Andres")</f>
        <v>Lozano Delgado Fausto Andres</v>
      </c>
      <c r="O1365" s="2">
        <f ca="1">IFERROR(__xludf.DUMMYFUNCTION("""COMPUTED_VALUE"""),0.011111111)</f>
        <v>1.1111111E-2</v>
      </c>
      <c r="P1365" s="5">
        <f ca="1">IFERROR(__xludf.DUMMYFUNCTION("""COMPUTED_VALUE"""),20009915)</f>
        <v>20009915</v>
      </c>
      <c r="Q1365" s="5" t="str">
        <f ca="1">IFERROR(__xludf.DUMMYFUNCTION("""COMPUTED_VALUE"""),"REA31JF_pn8")</f>
        <v>REA31JF_pn8</v>
      </c>
      <c r="R1365" s="5">
        <f ca="1">IFERROR(__xludf.DUMMYFUNCTION("""COMPUTED_VALUE"""),410)</f>
        <v>410</v>
      </c>
      <c r="S1365" s="62">
        <f ca="1">IFERROR(__xludf.DUMMYFUNCTION("""COMPUTED_VALUE"""),0.011111111)</f>
        <v>1.1111111E-2</v>
      </c>
      <c r="T1365" s="63" t="str">
        <f ca="1">IFERROR(__xludf.DUMMYFUNCTION("""COMPUTED_VALUE"""),"https://storage.googleapis.com/glide-prod.appspot.com/uploads-v2/ly7o78grxPaC6KdgvbpS/pub/3aRdSog0vUtuqPE8AJKD.png")</f>
        <v>https://storage.googleapis.com/glide-prod.appspot.com/uploads-v2/ly7o78grxPaC6KdgvbpS/pub/3aRdSog0vUtuqPE8AJKD.png</v>
      </c>
      <c r="U1365" s="5" t="str">
        <f ca="1">IFERROR(__xludf.DUMMYFUNCTION("""COMPUTED_VALUE"""),"LINEA DE ENVASADO PET NO RETORNABLETRANSPORTADOR ENVASE")</f>
        <v>LINEA DE ENVASADO PET NO RETORNABLETRANSPORTADOR ENVASE</v>
      </c>
      <c r="V1365" s="5"/>
      <c r="W1365" s="5" t="b">
        <f ca="1">IFERROR(__xludf.DUMMYFUNCTION("""COMPUTED_VALUE"""),TRUE)</f>
        <v>1</v>
      </c>
      <c r="X1365" s="5" t="str">
        <f ca="1">IFERROR(__xludf.DUMMYFUNCTION("""COMPUTED_VALUE"""),"wguerra@postobon.com.co,aprmttoyu@postobon.com.co,aprmyu@postobon.com.co,wmora@postobon.com.co,efzapata@postobon.com.co")</f>
        <v>wguerra@postobon.com.co,aprmttoyu@postobon.com.co,aprmyu@postobon.com.co,wmora@postobon.com.co,efzapata@postobon.com.co</v>
      </c>
      <c r="Y1365" s="5" t="str">
        <f ca="1">IFERROR(__xludf.DUMMYFUNCTION("""COMPUTED_VALUE"""),"wguerra@postobon.com.co")</f>
        <v>wguerra@postobon.com.co</v>
      </c>
      <c r="Z1365" s="5" t="str">
        <f ca="1">IFERROR(__xludf.DUMMYFUNCTION("""COMPUTED_VALUE"""),"vFmGa31pTaizIVRjNq6BlA")</f>
        <v>vFmGa31pTaizIVRjNq6BlA</v>
      </c>
      <c r="AA1365" s="5"/>
      <c r="AB1365" s="5"/>
      <c r="AC1365" s="5"/>
      <c r="AD1365" s="5">
        <f ca="1">IFERROR(__xludf.DUMMYFUNCTION("""COMPUTED_VALUE"""),9)</f>
        <v>9</v>
      </c>
      <c r="AE1365" s="5">
        <f ca="1">IFERROR(__xludf.DUMMYFUNCTION("""COMPUTED_VALUE"""),9)</f>
        <v>9</v>
      </c>
      <c r="AF1365" s="5" t="b">
        <f ca="1">IFERROR(__xludf.DUMMYFUNCTION("""COMPUTED_VALUE"""),FALSE)</f>
        <v>0</v>
      </c>
      <c r="AG1365" s="5" t="str">
        <f ca="1">IFERROR(__xludf.DUMMYFUNCTION("""COMPUTED_VALUE"""),"INSPECCIONES REALIZADAS")</f>
        <v>INSPECCIONES REALIZADAS</v>
      </c>
      <c r="AH1365" s="5"/>
    </row>
    <row r="1366" spans="1:34">
      <c r="A1366" s="5" t="str">
        <f ca="1">IFERROR(__xludf.DUMMYFUNCTION("""COMPUTED_VALUE"""),"LINEA DE ENVASADO PET NO RETORNABLE")</f>
        <v>LINEA DE ENVASADO PET NO RETORNABLE</v>
      </c>
      <c r="B1366" s="5">
        <f ca="1">IFERROR(__xludf.DUMMYFUNCTION("""COMPUTED_VALUE"""),829613)</f>
        <v>829613</v>
      </c>
      <c r="C1366" s="5" t="str">
        <f ca="1">IFERROR(__xludf.DUMMYFUNCTION("""COMPUTED_VALUE"""),"TRANSPORTADOR ENVASE")</f>
        <v>TRANSPORTADOR ENVASE</v>
      </c>
      <c r="D1366" s="5">
        <f ca="1">IFERROR(__xludf.DUMMYFUNCTION("""COMPUTED_VALUE"""),13247845)</f>
        <v>13247845</v>
      </c>
      <c r="E1366" s="5" t="str">
        <f ca="1">IFERROR(__xludf.DUMMYFUNCTION("""COMPUTED_VALUE"""),"INSPECCION SEMANAL TRANSPORTADOR ENVASE")</f>
        <v>INSPECCION SEMANAL TRANSPORTADOR ENVASE</v>
      </c>
      <c r="F1366" s="5" t="str">
        <f ca="1">IFERROR(__xludf.DUMMYFUNCTION("""COMPUTED_VALUE"""),"ESTADO PIÑONES,CHUMACERAS")</f>
        <v>ESTADO PIÑONES,CHUMACERAS</v>
      </c>
      <c r="G1366" s="5" t="b">
        <f ca="1">IFERROR(__xludf.DUMMYFUNCTION("""COMPUTED_VALUE"""),TRUE)</f>
        <v>1</v>
      </c>
      <c r="H1366" s="5"/>
      <c r="I1366" s="5"/>
      <c r="J1366" s="5">
        <f ca="1">IFERROR(__xludf.DUMMYFUNCTION("""COMPUTED_VALUE"""),13247845)</f>
        <v>13247845</v>
      </c>
      <c r="K1366" s="5"/>
      <c r="L1366" s="18">
        <f ca="1">IFERROR(__xludf.DUMMYFUNCTION("""COMPUTED_VALUE"""),45324)</f>
        <v>45324</v>
      </c>
      <c r="M1366" s="18">
        <f ca="1">IFERROR(__xludf.DUMMYFUNCTION("""COMPUTED_VALUE"""),45324)</f>
        <v>45324</v>
      </c>
      <c r="N1366" s="5" t="str">
        <f ca="1">IFERROR(__xludf.DUMMYFUNCTION("""COMPUTED_VALUE"""),"Lozano Delgado Fausto Andres")</f>
        <v>Lozano Delgado Fausto Andres</v>
      </c>
      <c r="O1366" s="2">
        <f ca="1">IFERROR(__xludf.DUMMYFUNCTION("""COMPUTED_VALUE"""),0.011111111)</f>
        <v>1.1111111E-2</v>
      </c>
      <c r="P1366" s="5">
        <f ca="1">IFERROR(__xludf.DUMMYFUNCTION("""COMPUTED_VALUE"""),20009915)</f>
        <v>20009915</v>
      </c>
      <c r="Q1366" s="5" t="str">
        <f ca="1">IFERROR(__xludf.DUMMYFUNCTION("""COMPUTED_VALUE"""),"bFZKE8o47XA")</f>
        <v>bFZKE8o47XA</v>
      </c>
      <c r="R1366" s="5">
        <f ca="1">IFERROR(__xludf.DUMMYFUNCTION("""COMPUTED_VALUE"""),410)</f>
        <v>410</v>
      </c>
      <c r="S1366" s="62">
        <f ca="1">IFERROR(__xludf.DUMMYFUNCTION("""COMPUTED_VALUE"""),0.011111111)</f>
        <v>1.1111111E-2</v>
      </c>
      <c r="T1366" s="63" t="str">
        <f ca="1">IFERROR(__xludf.DUMMYFUNCTION("""COMPUTED_VALUE"""),"https://storage.googleapis.com/glide-prod.appspot.com/uploads-v2/ly7o78grxPaC6KdgvbpS/pub/3aRdSog0vUtuqPE8AJKD.png")</f>
        <v>https://storage.googleapis.com/glide-prod.appspot.com/uploads-v2/ly7o78grxPaC6KdgvbpS/pub/3aRdSog0vUtuqPE8AJKD.png</v>
      </c>
      <c r="U1366" s="5" t="str">
        <f ca="1">IFERROR(__xludf.DUMMYFUNCTION("""COMPUTED_VALUE"""),"LINEA DE ENVASADO PET NO RETORNABLETRANSPORTADOR ENVASE")</f>
        <v>LINEA DE ENVASADO PET NO RETORNABLETRANSPORTADOR ENVASE</v>
      </c>
      <c r="V1366" s="5"/>
      <c r="W1366" s="5" t="b">
        <f ca="1">IFERROR(__xludf.DUMMYFUNCTION("""COMPUTED_VALUE"""),TRUE)</f>
        <v>1</v>
      </c>
      <c r="X1366" s="5" t="str">
        <f ca="1">IFERROR(__xludf.DUMMYFUNCTION("""COMPUTED_VALUE"""),"wguerra@postobon.com.co,aprmttoyu@postobon.com.co,aprmyu@postobon.com.co,wmora@postobon.com.co,efzapata@postobon.com.co")</f>
        <v>wguerra@postobon.com.co,aprmttoyu@postobon.com.co,aprmyu@postobon.com.co,wmora@postobon.com.co,efzapata@postobon.com.co</v>
      </c>
      <c r="Y1366" s="5" t="str">
        <f ca="1">IFERROR(__xludf.DUMMYFUNCTION("""COMPUTED_VALUE"""),"wguerra@postobon.com.co")</f>
        <v>wguerra@postobon.com.co</v>
      </c>
      <c r="Z1366" s="5" t="str">
        <f ca="1">IFERROR(__xludf.DUMMYFUNCTION("""COMPUTED_VALUE"""),"9oTxT9fhRT-992Sn2r6FPA")</f>
        <v>9oTxT9fhRT-992Sn2r6FPA</v>
      </c>
      <c r="AA1366" s="5"/>
      <c r="AB1366" s="5"/>
      <c r="AC1366" s="5"/>
      <c r="AD1366" s="5">
        <f ca="1">IFERROR(__xludf.DUMMYFUNCTION("""COMPUTED_VALUE"""),9)</f>
        <v>9</v>
      </c>
      <c r="AE1366" s="5">
        <f ca="1">IFERROR(__xludf.DUMMYFUNCTION("""COMPUTED_VALUE"""),9)</f>
        <v>9</v>
      </c>
      <c r="AF1366" s="5" t="b">
        <f ca="1">IFERROR(__xludf.DUMMYFUNCTION("""COMPUTED_VALUE"""),FALSE)</f>
        <v>0</v>
      </c>
      <c r="AG1366" s="5" t="str">
        <f ca="1">IFERROR(__xludf.DUMMYFUNCTION("""COMPUTED_VALUE"""),"INSPECCIONES REALIZADAS")</f>
        <v>INSPECCIONES REALIZADAS</v>
      </c>
      <c r="AH1366" s="5"/>
    </row>
    <row r="1367" spans="1:34">
      <c r="A1367" s="5" t="str">
        <f ca="1">IFERROR(__xludf.DUMMYFUNCTION("""COMPUTED_VALUE"""),"LINEA DE ENVASADO PET NO RETORNABLE")</f>
        <v>LINEA DE ENVASADO PET NO RETORNABLE</v>
      </c>
      <c r="B1367" s="5">
        <f ca="1">IFERROR(__xludf.DUMMYFUNCTION("""COMPUTED_VALUE"""),829613)</f>
        <v>829613</v>
      </c>
      <c r="C1367" s="5" t="str">
        <f ca="1">IFERROR(__xludf.DUMMYFUNCTION("""COMPUTED_VALUE"""),"TRANSPORTADOR ENVASE")</f>
        <v>TRANSPORTADOR ENVASE</v>
      </c>
      <c r="D1367" s="5">
        <f ca="1">IFERROR(__xludf.DUMMYFUNCTION("""COMPUTED_VALUE"""),13247845)</f>
        <v>13247845</v>
      </c>
      <c r="E1367" s="5" t="str">
        <f ca="1">IFERROR(__xludf.DUMMYFUNCTION("""COMPUTED_VALUE"""),"INSPECCION SEMANAL TRANSPORTADOR ENVASE")</f>
        <v>INSPECCION SEMANAL TRANSPORTADOR ENVASE</v>
      </c>
      <c r="F1367" s="5" t="str">
        <f ca="1">IFERROR(__xludf.DUMMYFUNCTION("""COMPUTED_VALUE"""),"ESTADO BARANDAS")</f>
        <v>ESTADO BARANDAS</v>
      </c>
      <c r="G1367" s="5" t="b">
        <f ca="1">IFERROR(__xludf.DUMMYFUNCTION("""COMPUTED_VALUE"""),TRUE)</f>
        <v>1</v>
      </c>
      <c r="H1367" s="5"/>
      <c r="I1367" s="5"/>
      <c r="J1367" s="5">
        <f ca="1">IFERROR(__xludf.DUMMYFUNCTION("""COMPUTED_VALUE"""),13247845)</f>
        <v>13247845</v>
      </c>
      <c r="K1367" s="5"/>
      <c r="L1367" s="18">
        <f ca="1">IFERROR(__xludf.DUMMYFUNCTION("""COMPUTED_VALUE"""),45324)</f>
        <v>45324</v>
      </c>
      <c r="M1367" s="18">
        <f ca="1">IFERROR(__xludf.DUMMYFUNCTION("""COMPUTED_VALUE"""),45324)</f>
        <v>45324</v>
      </c>
      <c r="N1367" s="5" t="str">
        <f ca="1">IFERROR(__xludf.DUMMYFUNCTION("""COMPUTED_VALUE"""),"Lozano Delgado Fausto Andres")</f>
        <v>Lozano Delgado Fausto Andres</v>
      </c>
      <c r="O1367" s="2">
        <f ca="1">IFERROR(__xludf.DUMMYFUNCTION("""COMPUTED_VALUE"""),0.011111111)</f>
        <v>1.1111111E-2</v>
      </c>
      <c r="P1367" s="5">
        <f ca="1">IFERROR(__xludf.DUMMYFUNCTION("""COMPUTED_VALUE"""),20009915)</f>
        <v>20009915</v>
      </c>
      <c r="Q1367" s="5" t="str">
        <f ca="1">IFERROR(__xludf.DUMMYFUNCTION("""COMPUTED_VALUE"""),"k-z6e-Gt5Vo")</f>
        <v>k-z6e-Gt5Vo</v>
      </c>
      <c r="R1367" s="5">
        <f ca="1">IFERROR(__xludf.DUMMYFUNCTION("""COMPUTED_VALUE"""),410)</f>
        <v>410</v>
      </c>
      <c r="S1367" s="62">
        <f ca="1">IFERROR(__xludf.DUMMYFUNCTION("""COMPUTED_VALUE"""),0.011111111)</f>
        <v>1.1111111E-2</v>
      </c>
      <c r="T1367" s="63" t="str">
        <f ca="1">IFERROR(__xludf.DUMMYFUNCTION("""COMPUTED_VALUE"""),"https://storage.googleapis.com/glide-prod.appspot.com/uploads-v2/ly7o78grxPaC6KdgvbpS/pub/3aRdSog0vUtuqPE8AJKD.png")</f>
        <v>https://storage.googleapis.com/glide-prod.appspot.com/uploads-v2/ly7o78grxPaC6KdgvbpS/pub/3aRdSog0vUtuqPE8AJKD.png</v>
      </c>
      <c r="U1367" s="5" t="str">
        <f ca="1">IFERROR(__xludf.DUMMYFUNCTION("""COMPUTED_VALUE"""),"LINEA DE ENVASADO PET NO RETORNABLETRANSPORTADOR ENVASE")</f>
        <v>LINEA DE ENVASADO PET NO RETORNABLETRANSPORTADOR ENVASE</v>
      </c>
      <c r="V1367" s="5"/>
      <c r="W1367" s="5" t="b">
        <f ca="1">IFERROR(__xludf.DUMMYFUNCTION("""COMPUTED_VALUE"""),TRUE)</f>
        <v>1</v>
      </c>
      <c r="X1367" s="5" t="str">
        <f ca="1">IFERROR(__xludf.DUMMYFUNCTION("""COMPUTED_VALUE"""),"wguerra@postobon.com.co,aprmttoyu@postobon.com.co,aprmyu@postobon.com.co,wmora@postobon.com.co,efzapata@postobon.com.co")</f>
        <v>wguerra@postobon.com.co,aprmttoyu@postobon.com.co,aprmyu@postobon.com.co,wmora@postobon.com.co,efzapata@postobon.com.co</v>
      </c>
      <c r="Y1367" s="5" t="str">
        <f ca="1">IFERROR(__xludf.DUMMYFUNCTION("""COMPUTED_VALUE"""),"wguerra@postobon.com.co")</f>
        <v>wguerra@postobon.com.co</v>
      </c>
      <c r="Z1367" s="5" t="str">
        <f ca="1">IFERROR(__xludf.DUMMYFUNCTION("""COMPUTED_VALUE"""),"TlWcEhfmTj-gSmVqRjVg7A")</f>
        <v>TlWcEhfmTj-gSmVqRjVg7A</v>
      </c>
      <c r="AA1367" s="5"/>
      <c r="AB1367" s="5"/>
      <c r="AC1367" s="5"/>
      <c r="AD1367" s="5">
        <f ca="1">IFERROR(__xludf.DUMMYFUNCTION("""COMPUTED_VALUE"""),9)</f>
        <v>9</v>
      </c>
      <c r="AE1367" s="5">
        <f ca="1">IFERROR(__xludf.DUMMYFUNCTION("""COMPUTED_VALUE"""),9)</f>
        <v>9</v>
      </c>
      <c r="AF1367" s="5" t="b">
        <f ca="1">IFERROR(__xludf.DUMMYFUNCTION("""COMPUTED_VALUE"""),FALSE)</f>
        <v>0</v>
      </c>
      <c r="AG1367" s="5" t="str">
        <f ca="1">IFERROR(__xludf.DUMMYFUNCTION("""COMPUTED_VALUE"""),"INSPECCIONES REALIZADAS")</f>
        <v>INSPECCIONES REALIZADAS</v>
      </c>
      <c r="AH1367" s="5"/>
    </row>
    <row r="1368" spans="1:34">
      <c r="A1368" s="5" t="str">
        <f ca="1">IFERROR(__xludf.DUMMYFUNCTION("""COMPUTED_VALUE"""),"LINEA DE ENVASADO PET NO RETORNABLE")</f>
        <v>LINEA DE ENVASADO PET NO RETORNABLE</v>
      </c>
      <c r="B1368" s="5">
        <f ca="1">IFERROR(__xludf.DUMMYFUNCTION("""COMPUTED_VALUE"""),829613)</f>
        <v>829613</v>
      </c>
      <c r="C1368" s="5" t="str">
        <f ca="1">IFERROR(__xludf.DUMMYFUNCTION("""COMPUTED_VALUE"""),"TRANSPORTADOR ENVASE")</f>
        <v>TRANSPORTADOR ENVASE</v>
      </c>
      <c r="D1368" s="5">
        <f ca="1">IFERROR(__xludf.DUMMYFUNCTION("""COMPUTED_VALUE"""),13247845)</f>
        <v>13247845</v>
      </c>
      <c r="E1368" s="5" t="str">
        <f ca="1">IFERROR(__xludf.DUMMYFUNCTION("""COMPUTED_VALUE"""),"INSPECCION SEMANAL TRANSPORTADOR ENVASE")</f>
        <v>INSPECCION SEMANAL TRANSPORTADOR ENVASE</v>
      </c>
      <c r="F1368" s="5" t="str">
        <f ca="1">IFERROR(__xludf.DUMMYFUNCTION("""COMPUTED_VALUE"""),"ESTADO JABON LUBRICANTE")</f>
        <v>ESTADO JABON LUBRICANTE</v>
      </c>
      <c r="G1368" s="5" t="b">
        <f ca="1">IFERROR(__xludf.DUMMYFUNCTION("""COMPUTED_VALUE"""),TRUE)</f>
        <v>1</v>
      </c>
      <c r="H1368" s="5"/>
      <c r="I1368" s="5"/>
      <c r="J1368" s="5">
        <f ca="1">IFERROR(__xludf.DUMMYFUNCTION("""COMPUTED_VALUE"""),13247845)</f>
        <v>13247845</v>
      </c>
      <c r="K1368" s="5"/>
      <c r="L1368" s="18">
        <f ca="1">IFERROR(__xludf.DUMMYFUNCTION("""COMPUTED_VALUE"""),45324)</f>
        <v>45324</v>
      </c>
      <c r="M1368" s="18">
        <f ca="1">IFERROR(__xludf.DUMMYFUNCTION("""COMPUTED_VALUE"""),45324)</f>
        <v>45324</v>
      </c>
      <c r="N1368" s="5" t="str">
        <f ca="1">IFERROR(__xludf.DUMMYFUNCTION("""COMPUTED_VALUE"""),"Lozano Delgado Fausto Andres")</f>
        <v>Lozano Delgado Fausto Andres</v>
      </c>
      <c r="O1368" s="2">
        <f ca="1">IFERROR(__xludf.DUMMYFUNCTION("""COMPUTED_VALUE"""),0.011111111)</f>
        <v>1.1111111E-2</v>
      </c>
      <c r="P1368" s="5">
        <f ca="1">IFERROR(__xludf.DUMMYFUNCTION("""COMPUTED_VALUE"""),20009915)</f>
        <v>20009915</v>
      </c>
      <c r="Q1368" s="5" t="str">
        <f ca="1">IFERROR(__xludf.DUMMYFUNCTION("""COMPUTED_VALUE"""),"0dpkBVQX73k")</f>
        <v>0dpkBVQX73k</v>
      </c>
      <c r="R1368" s="5">
        <f ca="1">IFERROR(__xludf.DUMMYFUNCTION("""COMPUTED_VALUE"""),410)</f>
        <v>410</v>
      </c>
      <c r="S1368" s="62">
        <f ca="1">IFERROR(__xludf.DUMMYFUNCTION("""COMPUTED_VALUE"""),0.011111111)</f>
        <v>1.1111111E-2</v>
      </c>
      <c r="T1368" s="63" t="str">
        <f ca="1">IFERROR(__xludf.DUMMYFUNCTION("""COMPUTED_VALUE"""),"https://storage.googleapis.com/glide-prod.appspot.com/uploads-v2/ly7o78grxPaC6KdgvbpS/pub/3aRdSog0vUtuqPE8AJKD.png")</f>
        <v>https://storage.googleapis.com/glide-prod.appspot.com/uploads-v2/ly7o78grxPaC6KdgvbpS/pub/3aRdSog0vUtuqPE8AJKD.png</v>
      </c>
      <c r="U1368" s="5" t="str">
        <f ca="1">IFERROR(__xludf.DUMMYFUNCTION("""COMPUTED_VALUE"""),"LINEA DE ENVASADO PET NO RETORNABLETRANSPORTADOR ENVASE")</f>
        <v>LINEA DE ENVASADO PET NO RETORNABLETRANSPORTADOR ENVASE</v>
      </c>
      <c r="V1368" s="5"/>
      <c r="W1368" s="5" t="b">
        <f ca="1">IFERROR(__xludf.DUMMYFUNCTION("""COMPUTED_VALUE"""),TRUE)</f>
        <v>1</v>
      </c>
      <c r="X1368" s="5" t="str">
        <f ca="1">IFERROR(__xludf.DUMMYFUNCTION("""COMPUTED_VALUE"""),"wguerra@postobon.com.co,aprmttoyu@postobon.com.co,aprmyu@postobon.com.co,wmora@postobon.com.co,efzapata@postobon.com.co")</f>
        <v>wguerra@postobon.com.co,aprmttoyu@postobon.com.co,aprmyu@postobon.com.co,wmora@postobon.com.co,efzapata@postobon.com.co</v>
      </c>
      <c r="Y1368" s="5" t="str">
        <f ca="1">IFERROR(__xludf.DUMMYFUNCTION("""COMPUTED_VALUE"""),"wguerra@postobon.com.co")</f>
        <v>wguerra@postobon.com.co</v>
      </c>
      <c r="Z1368" s="5" t="str">
        <f ca="1">IFERROR(__xludf.DUMMYFUNCTION("""COMPUTED_VALUE"""),"KotU.zIXSk2dO6nJ5ZIAQw")</f>
        <v>KotU.zIXSk2dO6nJ5ZIAQw</v>
      </c>
      <c r="AA1368" s="5"/>
      <c r="AB1368" s="5"/>
      <c r="AC1368" s="5"/>
      <c r="AD1368" s="5">
        <f ca="1">IFERROR(__xludf.DUMMYFUNCTION("""COMPUTED_VALUE"""),9)</f>
        <v>9</v>
      </c>
      <c r="AE1368" s="5">
        <f ca="1">IFERROR(__xludf.DUMMYFUNCTION("""COMPUTED_VALUE"""),9)</f>
        <v>9</v>
      </c>
      <c r="AF1368" s="5" t="b">
        <f ca="1">IFERROR(__xludf.DUMMYFUNCTION("""COMPUTED_VALUE"""),FALSE)</f>
        <v>0</v>
      </c>
      <c r="AG1368" s="5" t="str">
        <f ca="1">IFERROR(__xludf.DUMMYFUNCTION("""COMPUTED_VALUE"""),"INSPECCIONES REALIZADAS")</f>
        <v>INSPECCIONES REALIZADAS</v>
      </c>
      <c r="AH1368" s="5"/>
    </row>
    <row r="1369" spans="1:34">
      <c r="A1369" s="5" t="str">
        <f ca="1">IFERROR(__xludf.DUMMYFUNCTION("""COMPUTED_VALUE"""),"LINEA DE ENVASADO PET NO RETORNABLE")</f>
        <v>LINEA DE ENVASADO PET NO RETORNABLE</v>
      </c>
      <c r="B1369" s="5">
        <f ca="1">IFERROR(__xludf.DUMMYFUNCTION("""COMPUTED_VALUE"""),829613)</f>
        <v>829613</v>
      </c>
      <c r="C1369" s="5" t="str">
        <f ca="1">IFERROR(__xludf.DUMMYFUNCTION("""COMPUTED_VALUE"""),"TRANSPORTADOR ENVASE")</f>
        <v>TRANSPORTADOR ENVASE</v>
      </c>
      <c r="D1369" s="5">
        <f ca="1">IFERROR(__xludf.DUMMYFUNCTION("""COMPUTED_VALUE"""),13247845)</f>
        <v>13247845</v>
      </c>
      <c r="E1369" s="5" t="str">
        <f ca="1">IFERROR(__xludf.DUMMYFUNCTION("""COMPUTED_VALUE"""),"INSPECCION SEMANAL TRANSPORTADOR ENVASE")</f>
        <v>INSPECCION SEMANAL TRANSPORTADOR ENVASE</v>
      </c>
      <c r="F1369" s="5" t="str">
        <f ca="1">IFERROR(__xludf.DUMMYFUNCTION("""COMPUTED_VALUE"""),"ESTADO CADENAS, TORNILLERIA")</f>
        <v>ESTADO CADENAS, TORNILLERIA</v>
      </c>
      <c r="G1369" s="5" t="b">
        <f ca="1">IFERROR(__xludf.DUMMYFUNCTION("""COMPUTED_VALUE"""),TRUE)</f>
        <v>1</v>
      </c>
      <c r="H1369" s="5"/>
      <c r="I1369" s="5"/>
      <c r="J1369" s="5">
        <f ca="1">IFERROR(__xludf.DUMMYFUNCTION("""COMPUTED_VALUE"""),13247845)</f>
        <v>13247845</v>
      </c>
      <c r="K1369" s="5"/>
      <c r="L1369" s="18">
        <f ca="1">IFERROR(__xludf.DUMMYFUNCTION("""COMPUTED_VALUE"""),45324)</f>
        <v>45324</v>
      </c>
      <c r="M1369" s="18">
        <f ca="1">IFERROR(__xludf.DUMMYFUNCTION("""COMPUTED_VALUE"""),45324)</f>
        <v>45324</v>
      </c>
      <c r="N1369" s="5" t="str">
        <f ca="1">IFERROR(__xludf.DUMMYFUNCTION("""COMPUTED_VALUE"""),"Lozano Delgado Fausto Andres")</f>
        <v>Lozano Delgado Fausto Andres</v>
      </c>
      <c r="O1369" s="2">
        <f ca="1">IFERROR(__xludf.DUMMYFUNCTION("""COMPUTED_VALUE"""),0.011111111)</f>
        <v>1.1111111E-2</v>
      </c>
      <c r="P1369" s="5">
        <f ca="1">IFERROR(__xludf.DUMMYFUNCTION("""COMPUTED_VALUE"""),20009915)</f>
        <v>20009915</v>
      </c>
      <c r="Q1369" s="5" t="str">
        <f ca="1">IFERROR(__xludf.DUMMYFUNCTION("""COMPUTED_VALUE"""),"s_5rxq9U6cQ")</f>
        <v>s_5rxq9U6cQ</v>
      </c>
      <c r="R1369" s="5">
        <f ca="1">IFERROR(__xludf.DUMMYFUNCTION("""COMPUTED_VALUE"""),410)</f>
        <v>410</v>
      </c>
      <c r="S1369" s="62">
        <f ca="1">IFERROR(__xludf.DUMMYFUNCTION("""COMPUTED_VALUE"""),0.011111111)</f>
        <v>1.1111111E-2</v>
      </c>
      <c r="T1369" s="63" t="str">
        <f ca="1">IFERROR(__xludf.DUMMYFUNCTION("""COMPUTED_VALUE"""),"https://storage.googleapis.com/glide-prod.appspot.com/uploads-v2/ly7o78grxPaC6KdgvbpS/pub/3aRdSog0vUtuqPE8AJKD.png")</f>
        <v>https://storage.googleapis.com/glide-prod.appspot.com/uploads-v2/ly7o78grxPaC6KdgvbpS/pub/3aRdSog0vUtuqPE8AJKD.png</v>
      </c>
      <c r="U1369" s="5" t="str">
        <f ca="1">IFERROR(__xludf.DUMMYFUNCTION("""COMPUTED_VALUE"""),"LINEA DE ENVASADO PET NO RETORNABLETRANSPORTADOR ENVASE")</f>
        <v>LINEA DE ENVASADO PET NO RETORNABLETRANSPORTADOR ENVASE</v>
      </c>
      <c r="V1369" s="5"/>
      <c r="W1369" s="5" t="b">
        <f ca="1">IFERROR(__xludf.DUMMYFUNCTION("""COMPUTED_VALUE"""),TRUE)</f>
        <v>1</v>
      </c>
      <c r="X1369" s="5" t="str">
        <f ca="1">IFERROR(__xludf.DUMMYFUNCTION("""COMPUTED_VALUE"""),"wguerra@postobon.com.co,aprmttoyu@postobon.com.co,aprmyu@postobon.com.co,wmora@postobon.com.co,efzapata@postobon.com.co")</f>
        <v>wguerra@postobon.com.co,aprmttoyu@postobon.com.co,aprmyu@postobon.com.co,wmora@postobon.com.co,efzapata@postobon.com.co</v>
      </c>
      <c r="Y1369" s="5" t="str">
        <f ca="1">IFERROR(__xludf.DUMMYFUNCTION("""COMPUTED_VALUE"""),"wguerra@postobon.com.co")</f>
        <v>wguerra@postobon.com.co</v>
      </c>
      <c r="Z1369" s="5" t="str">
        <f ca="1">IFERROR(__xludf.DUMMYFUNCTION("""COMPUTED_VALUE"""),"vulIU-QeQbK4GUh3C201RQ")</f>
        <v>vulIU-QeQbK4GUh3C201RQ</v>
      </c>
      <c r="AA1369" s="5"/>
      <c r="AB1369" s="5"/>
      <c r="AC1369" s="5"/>
      <c r="AD1369" s="5">
        <f ca="1">IFERROR(__xludf.DUMMYFUNCTION("""COMPUTED_VALUE"""),9)</f>
        <v>9</v>
      </c>
      <c r="AE1369" s="5">
        <f ca="1">IFERROR(__xludf.DUMMYFUNCTION("""COMPUTED_VALUE"""),9)</f>
        <v>9</v>
      </c>
      <c r="AF1369" s="5" t="b">
        <f ca="1">IFERROR(__xludf.DUMMYFUNCTION("""COMPUTED_VALUE"""),FALSE)</f>
        <v>0</v>
      </c>
      <c r="AG1369" s="5" t="str">
        <f ca="1">IFERROR(__xludf.DUMMYFUNCTION("""COMPUTED_VALUE"""),"INSPECCIONES REALIZADAS")</f>
        <v>INSPECCIONES REALIZADAS</v>
      </c>
      <c r="AH1369" s="5"/>
    </row>
    <row r="1370" spans="1:34">
      <c r="A1370" s="5" t="str">
        <f ca="1">IFERROR(__xludf.DUMMYFUNCTION("""COMPUTED_VALUE"""),"LINEA DE ENVASADO PET NO RETORNABLE")</f>
        <v>LINEA DE ENVASADO PET NO RETORNABLE</v>
      </c>
      <c r="B1370" s="5">
        <f ca="1">IFERROR(__xludf.DUMMYFUNCTION("""COMPUTED_VALUE"""),829613)</f>
        <v>829613</v>
      </c>
      <c r="C1370" s="5" t="str">
        <f ca="1">IFERROR(__xludf.DUMMYFUNCTION("""COMPUTED_VALUE"""),"TRANSPORTADOR ENVASE")</f>
        <v>TRANSPORTADOR ENVASE</v>
      </c>
      <c r="D1370" s="5">
        <f ca="1">IFERROR(__xludf.DUMMYFUNCTION("""COMPUTED_VALUE"""),13247845)</f>
        <v>13247845</v>
      </c>
      <c r="E1370" s="5" t="str">
        <f ca="1">IFERROR(__xludf.DUMMYFUNCTION("""COMPUTED_VALUE"""),"INSPECCION SEMANAL TRANSPORTADOR ENVASE")</f>
        <v>INSPECCION SEMANAL TRANSPORTADOR ENVASE</v>
      </c>
      <c r="F1370" s="5" t="str">
        <f ca="1">IFERROR(__xludf.DUMMYFUNCTION("""COMPUTED_VALUE"""),"INSP INTERCAMBIADOR Y REJILLA AIRE")</f>
        <v>INSP INTERCAMBIADOR Y REJILLA AIRE</v>
      </c>
      <c r="G1370" s="5" t="b">
        <f ca="1">IFERROR(__xludf.DUMMYFUNCTION("""COMPUTED_VALUE"""),TRUE)</f>
        <v>1</v>
      </c>
      <c r="H1370" s="5"/>
      <c r="I1370" s="5"/>
      <c r="J1370" s="5">
        <f ca="1">IFERROR(__xludf.DUMMYFUNCTION("""COMPUTED_VALUE"""),13247845)</f>
        <v>13247845</v>
      </c>
      <c r="K1370" s="5"/>
      <c r="L1370" s="18">
        <f ca="1">IFERROR(__xludf.DUMMYFUNCTION("""COMPUTED_VALUE"""),45324)</f>
        <v>45324</v>
      </c>
      <c r="M1370" s="18">
        <f ca="1">IFERROR(__xludf.DUMMYFUNCTION("""COMPUTED_VALUE"""),45324)</f>
        <v>45324</v>
      </c>
      <c r="N1370" s="5" t="str">
        <f ca="1">IFERROR(__xludf.DUMMYFUNCTION("""COMPUTED_VALUE"""),"Lozano Delgado Fausto Andres")</f>
        <v>Lozano Delgado Fausto Andres</v>
      </c>
      <c r="O1370" s="2">
        <f ca="1">IFERROR(__xludf.DUMMYFUNCTION("""COMPUTED_VALUE"""),0.011111111)</f>
        <v>1.1111111E-2</v>
      </c>
      <c r="P1370" s="5">
        <f ca="1">IFERROR(__xludf.DUMMYFUNCTION("""COMPUTED_VALUE"""),20009915)</f>
        <v>20009915</v>
      </c>
      <c r="Q1370" s="5" t="str">
        <f ca="1">IFERROR(__xludf.DUMMYFUNCTION("""COMPUTED_VALUE"""),"leU2D740Tpo")</f>
        <v>leU2D740Tpo</v>
      </c>
      <c r="R1370" s="5">
        <f ca="1">IFERROR(__xludf.DUMMYFUNCTION("""COMPUTED_VALUE"""),410)</f>
        <v>410</v>
      </c>
      <c r="S1370" s="62">
        <f ca="1">IFERROR(__xludf.DUMMYFUNCTION("""COMPUTED_VALUE"""),0.011111111)</f>
        <v>1.1111111E-2</v>
      </c>
      <c r="T1370" s="63" t="str">
        <f ca="1">IFERROR(__xludf.DUMMYFUNCTION("""COMPUTED_VALUE"""),"https://storage.googleapis.com/glide-prod.appspot.com/uploads-v2/ly7o78grxPaC6KdgvbpS/pub/3aRdSog0vUtuqPE8AJKD.png")</f>
        <v>https://storage.googleapis.com/glide-prod.appspot.com/uploads-v2/ly7o78grxPaC6KdgvbpS/pub/3aRdSog0vUtuqPE8AJKD.png</v>
      </c>
      <c r="U1370" s="5" t="str">
        <f ca="1">IFERROR(__xludf.DUMMYFUNCTION("""COMPUTED_VALUE"""),"LINEA DE ENVASADO PET NO RETORNABLETRANSPORTADOR ENVASE")</f>
        <v>LINEA DE ENVASADO PET NO RETORNABLETRANSPORTADOR ENVASE</v>
      </c>
      <c r="V1370" s="5"/>
      <c r="W1370" s="5" t="b">
        <f ca="1">IFERROR(__xludf.DUMMYFUNCTION("""COMPUTED_VALUE"""),TRUE)</f>
        <v>1</v>
      </c>
      <c r="X1370" s="5" t="str">
        <f ca="1">IFERROR(__xludf.DUMMYFUNCTION("""COMPUTED_VALUE"""),"wguerra@postobon.com.co,aprmttoyu@postobon.com.co,aprmyu@postobon.com.co,wmora@postobon.com.co,efzapata@postobon.com.co")</f>
        <v>wguerra@postobon.com.co,aprmttoyu@postobon.com.co,aprmyu@postobon.com.co,wmora@postobon.com.co,efzapata@postobon.com.co</v>
      </c>
      <c r="Y1370" s="5" t="str">
        <f ca="1">IFERROR(__xludf.DUMMYFUNCTION("""COMPUTED_VALUE"""),"wguerra@postobon.com.co")</f>
        <v>wguerra@postobon.com.co</v>
      </c>
      <c r="Z1370" s="5" t="str">
        <f ca="1">IFERROR(__xludf.DUMMYFUNCTION("""COMPUTED_VALUE"""),"ZMNFjAQUR2yTxzSXqLoQLw")</f>
        <v>ZMNFjAQUR2yTxzSXqLoQLw</v>
      </c>
      <c r="AA1370" s="5"/>
      <c r="AB1370" s="5"/>
      <c r="AC1370" s="5"/>
      <c r="AD1370" s="5">
        <f ca="1">IFERROR(__xludf.DUMMYFUNCTION("""COMPUTED_VALUE"""),9)</f>
        <v>9</v>
      </c>
      <c r="AE1370" s="5">
        <f ca="1">IFERROR(__xludf.DUMMYFUNCTION("""COMPUTED_VALUE"""),9)</f>
        <v>9</v>
      </c>
      <c r="AF1370" s="5" t="b">
        <f ca="1">IFERROR(__xludf.DUMMYFUNCTION("""COMPUTED_VALUE"""),FALSE)</f>
        <v>0</v>
      </c>
      <c r="AG1370" s="5" t="str">
        <f ca="1">IFERROR(__xludf.DUMMYFUNCTION("""COMPUTED_VALUE"""),"INSPECCIONES REALIZADAS")</f>
        <v>INSPECCIONES REALIZADAS</v>
      </c>
      <c r="AH1370" s="5"/>
    </row>
    <row r="1371" spans="1:34">
      <c r="A1371" s="5" t="str">
        <f ca="1">IFERROR(__xludf.DUMMYFUNCTION("""COMPUTED_VALUE"""),"LINEA DE ENVASADO PET NO RETORNABLE")</f>
        <v>LINEA DE ENVASADO PET NO RETORNABLE</v>
      </c>
      <c r="B1371" s="5">
        <f ca="1">IFERROR(__xludf.DUMMYFUNCTION("""COMPUTED_VALUE"""),829613)</f>
        <v>829613</v>
      </c>
      <c r="C1371" s="5" t="str">
        <f ca="1">IFERROR(__xludf.DUMMYFUNCTION("""COMPUTED_VALUE"""),"TRANSPORTADOR ENVASE")</f>
        <v>TRANSPORTADOR ENVASE</v>
      </c>
      <c r="D1371" s="5">
        <f ca="1">IFERROR(__xludf.DUMMYFUNCTION("""COMPUTED_VALUE"""),13247845)</f>
        <v>13247845</v>
      </c>
      <c r="E1371" s="5" t="str">
        <f ca="1">IFERROR(__xludf.DUMMYFUNCTION("""COMPUTED_VALUE"""),"INSPECCION SEMANAL TRANSPORTADOR ENVASE")</f>
        <v>INSPECCION SEMANAL TRANSPORTADOR ENVASE</v>
      </c>
      <c r="F1371" s="5" t="str">
        <f ca="1">IFERROR(__xludf.DUMMYFUNCTION("""COMPUTED_VALUE"""),"MOTORREDUCTORES")</f>
        <v>MOTORREDUCTORES</v>
      </c>
      <c r="G1371" s="5" t="b">
        <f ca="1">IFERROR(__xludf.DUMMYFUNCTION("""COMPUTED_VALUE"""),TRUE)</f>
        <v>1</v>
      </c>
      <c r="H1371" s="5"/>
      <c r="I1371" s="5"/>
      <c r="J1371" s="5">
        <f ca="1">IFERROR(__xludf.DUMMYFUNCTION("""COMPUTED_VALUE"""),13247845)</f>
        <v>13247845</v>
      </c>
      <c r="K1371" s="5"/>
      <c r="L1371" s="18">
        <f ca="1">IFERROR(__xludf.DUMMYFUNCTION("""COMPUTED_VALUE"""),45324)</f>
        <v>45324</v>
      </c>
      <c r="M1371" s="18">
        <f ca="1">IFERROR(__xludf.DUMMYFUNCTION("""COMPUTED_VALUE"""),45324)</f>
        <v>45324</v>
      </c>
      <c r="N1371" s="5" t="str">
        <f ca="1">IFERROR(__xludf.DUMMYFUNCTION("""COMPUTED_VALUE"""),"Lozano Delgado Fausto Andres")</f>
        <v>Lozano Delgado Fausto Andres</v>
      </c>
      <c r="O1371" s="2">
        <f ca="1">IFERROR(__xludf.DUMMYFUNCTION("""COMPUTED_VALUE"""),0.011111111)</f>
        <v>1.1111111E-2</v>
      </c>
      <c r="P1371" s="5">
        <f ca="1">IFERROR(__xludf.DUMMYFUNCTION("""COMPUTED_VALUE"""),20009915)</f>
        <v>20009915</v>
      </c>
      <c r="Q1371" s="5" t="str">
        <f ca="1">IFERROR(__xludf.DUMMYFUNCTION("""COMPUTED_VALUE"""),"P0oBapXA4Ns")</f>
        <v>P0oBapXA4Ns</v>
      </c>
      <c r="R1371" s="5">
        <f ca="1">IFERROR(__xludf.DUMMYFUNCTION("""COMPUTED_VALUE"""),410)</f>
        <v>410</v>
      </c>
      <c r="S1371" s="62">
        <f ca="1">IFERROR(__xludf.DUMMYFUNCTION("""COMPUTED_VALUE"""),0.011111111)</f>
        <v>1.1111111E-2</v>
      </c>
      <c r="T1371" s="63" t="str">
        <f ca="1">IFERROR(__xludf.DUMMYFUNCTION("""COMPUTED_VALUE"""),"https://storage.googleapis.com/glide-prod.appspot.com/uploads-v2/ly7o78grxPaC6KdgvbpS/pub/3aRdSog0vUtuqPE8AJKD.png")</f>
        <v>https://storage.googleapis.com/glide-prod.appspot.com/uploads-v2/ly7o78grxPaC6KdgvbpS/pub/3aRdSog0vUtuqPE8AJKD.png</v>
      </c>
      <c r="U1371" s="5" t="str">
        <f ca="1">IFERROR(__xludf.DUMMYFUNCTION("""COMPUTED_VALUE"""),"LINEA DE ENVASADO PET NO RETORNABLETRANSPORTADOR ENVASE")</f>
        <v>LINEA DE ENVASADO PET NO RETORNABLETRANSPORTADOR ENVASE</v>
      </c>
      <c r="V1371" s="5"/>
      <c r="W1371" s="5" t="b">
        <f ca="1">IFERROR(__xludf.DUMMYFUNCTION("""COMPUTED_VALUE"""),TRUE)</f>
        <v>1</v>
      </c>
      <c r="X1371" s="5" t="str">
        <f ca="1">IFERROR(__xludf.DUMMYFUNCTION("""COMPUTED_VALUE"""),"wguerra@postobon.com.co,aprmttoyu@postobon.com.co,aprmyu@postobon.com.co,wmora@postobon.com.co,efzapata@postobon.com.co")</f>
        <v>wguerra@postobon.com.co,aprmttoyu@postobon.com.co,aprmyu@postobon.com.co,wmora@postobon.com.co,efzapata@postobon.com.co</v>
      </c>
      <c r="Y1371" s="5" t="str">
        <f ca="1">IFERROR(__xludf.DUMMYFUNCTION("""COMPUTED_VALUE"""),"wguerra@postobon.com.co")</f>
        <v>wguerra@postobon.com.co</v>
      </c>
      <c r="Z1371" s="5" t="str">
        <f ca="1">IFERROR(__xludf.DUMMYFUNCTION("""COMPUTED_VALUE"""),"04fZNu16RqSm2HdwFzu7ww")</f>
        <v>04fZNu16RqSm2HdwFzu7ww</v>
      </c>
      <c r="AA1371" s="5"/>
      <c r="AB1371" s="5"/>
      <c r="AC1371" s="5"/>
      <c r="AD1371" s="5">
        <f ca="1">IFERROR(__xludf.DUMMYFUNCTION("""COMPUTED_VALUE"""),9)</f>
        <v>9</v>
      </c>
      <c r="AE1371" s="5">
        <f ca="1">IFERROR(__xludf.DUMMYFUNCTION("""COMPUTED_VALUE"""),9)</f>
        <v>9</v>
      </c>
      <c r="AF1371" s="5" t="b">
        <f ca="1">IFERROR(__xludf.DUMMYFUNCTION("""COMPUTED_VALUE"""),FALSE)</f>
        <v>0</v>
      </c>
      <c r="AG1371" s="5" t="str">
        <f ca="1">IFERROR(__xludf.DUMMYFUNCTION("""COMPUTED_VALUE"""),"INSPECCIONES REALIZADAS")</f>
        <v>INSPECCIONES REALIZADAS</v>
      </c>
      <c r="AH1371" s="5"/>
    </row>
    <row r="1372" spans="1:34">
      <c r="A1372" s="5" t="str">
        <f ca="1">IFERROR(__xludf.DUMMYFUNCTION("""COMPUTED_VALUE"""),"LINEA DE ENVASADO PET NO RETORNABLE")</f>
        <v>LINEA DE ENVASADO PET NO RETORNABLE</v>
      </c>
      <c r="B1372" s="5">
        <f ca="1">IFERROR(__xludf.DUMMYFUNCTION("""COMPUTED_VALUE"""),829613)</f>
        <v>829613</v>
      </c>
      <c r="C1372" s="5" t="str">
        <f ca="1">IFERROR(__xludf.DUMMYFUNCTION("""COMPUTED_VALUE"""),"TRANSPORTADOR ENVASE")</f>
        <v>TRANSPORTADOR ENVASE</v>
      </c>
      <c r="D1372" s="5">
        <f ca="1">IFERROR(__xludf.DUMMYFUNCTION("""COMPUTED_VALUE"""),13247845)</f>
        <v>13247845</v>
      </c>
      <c r="E1372" s="5" t="str">
        <f ca="1">IFERROR(__xludf.DUMMYFUNCTION("""COMPUTED_VALUE"""),"INSPECCION SEMANAL TRANSPORTADOR ENVASE")</f>
        <v>INSPECCION SEMANAL TRANSPORTADOR ENVASE</v>
      </c>
      <c r="F1372" s="5" t="str">
        <f ca="1">IFERROR(__xludf.DUMMYFUNCTION("""COMPUTED_VALUE"""),"CADENAS TRANSMISION")</f>
        <v>CADENAS TRANSMISION</v>
      </c>
      <c r="G1372" s="5" t="b">
        <f ca="1">IFERROR(__xludf.DUMMYFUNCTION("""COMPUTED_VALUE"""),TRUE)</f>
        <v>1</v>
      </c>
      <c r="H1372" s="5"/>
      <c r="I1372" s="5"/>
      <c r="J1372" s="5">
        <f ca="1">IFERROR(__xludf.DUMMYFUNCTION("""COMPUTED_VALUE"""),13247845)</f>
        <v>13247845</v>
      </c>
      <c r="K1372" s="5"/>
      <c r="L1372" s="18">
        <f ca="1">IFERROR(__xludf.DUMMYFUNCTION("""COMPUTED_VALUE"""),45324)</f>
        <v>45324</v>
      </c>
      <c r="M1372" s="18">
        <f ca="1">IFERROR(__xludf.DUMMYFUNCTION("""COMPUTED_VALUE"""),45324)</f>
        <v>45324</v>
      </c>
      <c r="N1372" s="5" t="str">
        <f ca="1">IFERROR(__xludf.DUMMYFUNCTION("""COMPUTED_VALUE"""),"Lozano Delgado Fausto Andres")</f>
        <v>Lozano Delgado Fausto Andres</v>
      </c>
      <c r="O1372" s="2">
        <f ca="1">IFERROR(__xludf.DUMMYFUNCTION("""COMPUTED_VALUE"""),0.011111111)</f>
        <v>1.1111111E-2</v>
      </c>
      <c r="P1372" s="5">
        <f ca="1">IFERROR(__xludf.DUMMYFUNCTION("""COMPUTED_VALUE"""),20009915)</f>
        <v>20009915</v>
      </c>
      <c r="Q1372" s="5" t="str">
        <f ca="1">IFERROR(__xludf.DUMMYFUNCTION("""COMPUTED_VALUE"""),"tNOL9ew3_ak")</f>
        <v>tNOL9ew3_ak</v>
      </c>
      <c r="R1372" s="5">
        <f ca="1">IFERROR(__xludf.DUMMYFUNCTION("""COMPUTED_VALUE"""),410)</f>
        <v>410</v>
      </c>
      <c r="S1372" s="62">
        <f ca="1">IFERROR(__xludf.DUMMYFUNCTION("""COMPUTED_VALUE"""),0.011111111)</f>
        <v>1.1111111E-2</v>
      </c>
      <c r="T1372" s="63" t="str">
        <f ca="1">IFERROR(__xludf.DUMMYFUNCTION("""COMPUTED_VALUE"""),"https://storage.googleapis.com/glide-prod.appspot.com/uploads-v2/ly7o78grxPaC6KdgvbpS/pub/3aRdSog0vUtuqPE8AJKD.png")</f>
        <v>https://storage.googleapis.com/glide-prod.appspot.com/uploads-v2/ly7o78grxPaC6KdgvbpS/pub/3aRdSog0vUtuqPE8AJKD.png</v>
      </c>
      <c r="U1372" s="5" t="str">
        <f ca="1">IFERROR(__xludf.DUMMYFUNCTION("""COMPUTED_VALUE"""),"LINEA DE ENVASADO PET NO RETORNABLETRANSPORTADOR ENVASE")</f>
        <v>LINEA DE ENVASADO PET NO RETORNABLETRANSPORTADOR ENVASE</v>
      </c>
      <c r="V1372" s="5"/>
      <c r="W1372" s="5" t="b">
        <f ca="1">IFERROR(__xludf.DUMMYFUNCTION("""COMPUTED_VALUE"""),TRUE)</f>
        <v>1</v>
      </c>
      <c r="X1372" s="5" t="str">
        <f ca="1">IFERROR(__xludf.DUMMYFUNCTION("""COMPUTED_VALUE"""),"wguerra@postobon.com.co,aprmttoyu@postobon.com.co,aprmyu@postobon.com.co,wmora@postobon.com.co,efzapata@postobon.com.co")</f>
        <v>wguerra@postobon.com.co,aprmttoyu@postobon.com.co,aprmyu@postobon.com.co,wmora@postobon.com.co,efzapata@postobon.com.co</v>
      </c>
      <c r="Y1372" s="5" t="str">
        <f ca="1">IFERROR(__xludf.DUMMYFUNCTION("""COMPUTED_VALUE"""),"wguerra@postobon.com.co")</f>
        <v>wguerra@postobon.com.co</v>
      </c>
      <c r="Z1372" s="5" t="str">
        <f ca="1">IFERROR(__xludf.DUMMYFUNCTION("""COMPUTED_VALUE"""),"BrCF1L9RTsm4wa1WXOmRNA")</f>
        <v>BrCF1L9RTsm4wa1WXOmRNA</v>
      </c>
      <c r="AA1372" s="5"/>
      <c r="AB1372" s="5"/>
      <c r="AC1372" s="5"/>
      <c r="AD1372" s="5">
        <f ca="1">IFERROR(__xludf.DUMMYFUNCTION("""COMPUTED_VALUE"""),9)</f>
        <v>9</v>
      </c>
      <c r="AE1372" s="5">
        <f ca="1">IFERROR(__xludf.DUMMYFUNCTION("""COMPUTED_VALUE"""),9)</f>
        <v>9</v>
      </c>
      <c r="AF1372" s="5" t="b">
        <f ca="1">IFERROR(__xludf.DUMMYFUNCTION("""COMPUTED_VALUE"""),FALSE)</f>
        <v>0</v>
      </c>
      <c r="AG1372" s="5" t="str">
        <f ca="1">IFERROR(__xludf.DUMMYFUNCTION("""COMPUTED_VALUE"""),"INSPECCIONES REALIZADAS")</f>
        <v>INSPECCIONES REALIZADAS</v>
      </c>
      <c r="AH1372" s="5"/>
    </row>
    <row r="1373" spans="1:34">
      <c r="A1373" s="5" t="str">
        <f ca="1">IFERROR(__xludf.DUMMYFUNCTION("""COMPUTED_VALUE"""),"LINEA DE ENVASADO PET NO RETORNABLE")</f>
        <v>LINEA DE ENVASADO PET NO RETORNABLE</v>
      </c>
      <c r="B1373" s="5">
        <f ca="1">IFERROR(__xludf.DUMMYFUNCTION("""COMPUTED_VALUE"""),829613)</f>
        <v>829613</v>
      </c>
      <c r="C1373" s="5" t="str">
        <f ca="1">IFERROR(__xludf.DUMMYFUNCTION("""COMPUTED_VALUE"""),"TRANSPORTADOR ENVASE")</f>
        <v>TRANSPORTADOR ENVASE</v>
      </c>
      <c r="D1373" s="5">
        <f ca="1">IFERROR(__xludf.DUMMYFUNCTION("""COMPUTED_VALUE"""),13247845)</f>
        <v>13247845</v>
      </c>
      <c r="E1373" s="5" t="str">
        <f ca="1">IFERROR(__xludf.DUMMYFUNCTION("""COMPUTED_VALUE"""),"INSPECCION SEMANAL TRANSPORTADOR ENVASE")</f>
        <v>INSPECCION SEMANAL TRANSPORTADOR ENVASE</v>
      </c>
      <c r="F1373" s="5" t="str">
        <f ca="1">IFERROR(__xludf.DUMMYFUNCTION("""COMPUTED_VALUE"""),"INSP. TABLERO ELECTRICO/CLIMATIZADOR")</f>
        <v>INSP. TABLERO ELECTRICO/CLIMATIZADOR</v>
      </c>
      <c r="G1373" s="5" t="b">
        <f ca="1">IFERROR(__xludf.DUMMYFUNCTION("""COMPUTED_VALUE"""),TRUE)</f>
        <v>1</v>
      </c>
      <c r="H1373" s="5"/>
      <c r="I1373" s="5"/>
      <c r="J1373" s="5">
        <f ca="1">IFERROR(__xludf.DUMMYFUNCTION("""COMPUTED_VALUE"""),13247845)</f>
        <v>13247845</v>
      </c>
      <c r="K1373" s="5"/>
      <c r="L1373" s="18">
        <f ca="1">IFERROR(__xludf.DUMMYFUNCTION("""COMPUTED_VALUE"""),45324)</f>
        <v>45324</v>
      </c>
      <c r="M1373" s="18">
        <f ca="1">IFERROR(__xludf.DUMMYFUNCTION("""COMPUTED_VALUE"""),45324)</f>
        <v>45324</v>
      </c>
      <c r="N1373" s="5" t="str">
        <f ca="1">IFERROR(__xludf.DUMMYFUNCTION("""COMPUTED_VALUE"""),"Lozano Delgado Fausto Andres")</f>
        <v>Lozano Delgado Fausto Andres</v>
      </c>
      <c r="O1373" s="2">
        <f ca="1">IFERROR(__xludf.DUMMYFUNCTION("""COMPUTED_VALUE"""),0.011111111)</f>
        <v>1.1111111E-2</v>
      </c>
      <c r="P1373" s="5">
        <f ca="1">IFERROR(__xludf.DUMMYFUNCTION("""COMPUTED_VALUE"""),20009915)</f>
        <v>20009915</v>
      </c>
      <c r="Q1373" s="5" t="str">
        <f ca="1">IFERROR(__xludf.DUMMYFUNCTION("""COMPUTED_VALUE"""),"3E_reoCQkpE")</f>
        <v>3E_reoCQkpE</v>
      </c>
      <c r="R1373" s="5">
        <f ca="1">IFERROR(__xludf.DUMMYFUNCTION("""COMPUTED_VALUE"""),410)</f>
        <v>410</v>
      </c>
      <c r="S1373" s="62">
        <f ca="1">IFERROR(__xludf.DUMMYFUNCTION("""COMPUTED_VALUE"""),0.011111111)</f>
        <v>1.1111111E-2</v>
      </c>
      <c r="T1373" s="63" t="str">
        <f ca="1">IFERROR(__xludf.DUMMYFUNCTION("""COMPUTED_VALUE"""),"https://storage.googleapis.com/glide-prod.appspot.com/uploads-v2/ly7o78grxPaC6KdgvbpS/pub/3aRdSog0vUtuqPE8AJKD.png")</f>
        <v>https://storage.googleapis.com/glide-prod.appspot.com/uploads-v2/ly7o78grxPaC6KdgvbpS/pub/3aRdSog0vUtuqPE8AJKD.png</v>
      </c>
      <c r="U1373" s="5" t="str">
        <f ca="1">IFERROR(__xludf.DUMMYFUNCTION("""COMPUTED_VALUE"""),"LINEA DE ENVASADO PET NO RETORNABLETRANSPORTADOR ENVASE")</f>
        <v>LINEA DE ENVASADO PET NO RETORNABLETRANSPORTADOR ENVASE</v>
      </c>
      <c r="V1373" s="5"/>
      <c r="W1373" s="5" t="b">
        <f ca="1">IFERROR(__xludf.DUMMYFUNCTION("""COMPUTED_VALUE"""),TRUE)</f>
        <v>1</v>
      </c>
      <c r="X1373" s="5" t="str">
        <f ca="1">IFERROR(__xludf.DUMMYFUNCTION("""COMPUTED_VALUE"""),"wguerra@postobon.com.co,aprmttoyu@postobon.com.co,aprmyu@postobon.com.co,wmora@postobon.com.co,efzapata@postobon.com.co")</f>
        <v>wguerra@postobon.com.co,aprmttoyu@postobon.com.co,aprmyu@postobon.com.co,wmora@postobon.com.co,efzapata@postobon.com.co</v>
      </c>
      <c r="Y1373" s="5" t="str">
        <f ca="1">IFERROR(__xludf.DUMMYFUNCTION("""COMPUTED_VALUE"""),"wguerra@postobon.com.co")</f>
        <v>wguerra@postobon.com.co</v>
      </c>
      <c r="Z1373" s="5" t="str">
        <f ca="1">IFERROR(__xludf.DUMMYFUNCTION("""COMPUTED_VALUE"""),"RT21ofxAQ2azD59-W0q1xA")</f>
        <v>RT21ofxAQ2azD59-W0q1xA</v>
      </c>
      <c r="AA1373" s="5"/>
      <c r="AB1373" s="5"/>
      <c r="AC1373" s="5"/>
      <c r="AD1373" s="5">
        <f ca="1">IFERROR(__xludf.DUMMYFUNCTION("""COMPUTED_VALUE"""),9)</f>
        <v>9</v>
      </c>
      <c r="AE1373" s="5">
        <f ca="1">IFERROR(__xludf.DUMMYFUNCTION("""COMPUTED_VALUE"""),9)</f>
        <v>9</v>
      </c>
      <c r="AF1373" s="5" t="b">
        <f ca="1">IFERROR(__xludf.DUMMYFUNCTION("""COMPUTED_VALUE"""),FALSE)</f>
        <v>0</v>
      </c>
      <c r="AG1373" s="5" t="str">
        <f ca="1">IFERROR(__xludf.DUMMYFUNCTION("""COMPUTED_VALUE"""),"INSPECCIONES REALIZADAS")</f>
        <v>INSPECCIONES REALIZADAS</v>
      </c>
      <c r="AH1373" s="5"/>
    </row>
    <row r="1374" spans="1:34">
      <c r="A1374" s="5" t="str">
        <f ca="1">IFERROR(__xludf.DUMMYFUNCTION("""COMPUTED_VALUE"""),"LINEA PET CSD - LINEA 10")</f>
        <v>LINEA PET CSD - LINEA 10</v>
      </c>
      <c r="B1374" s="5">
        <f ca="1">IFERROR(__xludf.DUMMYFUNCTION("""COMPUTED_VALUE"""),829871)</f>
        <v>829871</v>
      </c>
      <c r="C1374" s="5" t="str">
        <f ca="1">IFERROR(__xludf.DUMMYFUNCTION("""COMPUTED_VALUE"""),"TRANSPORTE DE ENVASES")</f>
        <v>TRANSPORTE DE ENVASES</v>
      </c>
      <c r="D1374" s="5">
        <f ca="1">IFERROR(__xludf.DUMMYFUNCTION("""COMPUTED_VALUE"""),13247598)</f>
        <v>13247598</v>
      </c>
      <c r="E1374" s="5" t="str">
        <f ca="1">IFERROR(__xludf.DUMMYFUNCTION("""COMPUTED_VALUE"""),"INSPECCION SEMANAL TRANSPORTE DE ENVASES")</f>
        <v>INSPECCION SEMANAL TRANSPORTE DE ENVASES</v>
      </c>
      <c r="F1374" s="5" t="str">
        <f ca="1">IFERROR(__xludf.DUMMYFUNCTION("""COMPUTED_VALUE"""),"ESTADO PIÑONES CHUMACERAS")</f>
        <v>ESTADO PIÑONES CHUMACERAS</v>
      </c>
      <c r="G1374" s="5" t="b">
        <f ca="1">IFERROR(__xludf.DUMMYFUNCTION("""COMPUTED_VALUE"""),TRUE)</f>
        <v>1</v>
      </c>
      <c r="H1374" s="5"/>
      <c r="I1374" s="5"/>
      <c r="J1374" s="5">
        <f ca="1">IFERROR(__xludf.DUMMYFUNCTION("""COMPUTED_VALUE"""),13247598)</f>
        <v>13247598</v>
      </c>
      <c r="K1374" s="5"/>
      <c r="L1374" s="18">
        <f ca="1">IFERROR(__xludf.DUMMYFUNCTION("""COMPUTED_VALUE"""),45325)</f>
        <v>45325</v>
      </c>
      <c r="M1374" s="18">
        <f ca="1">IFERROR(__xludf.DUMMYFUNCTION("""COMPUTED_VALUE"""),45325)</f>
        <v>45325</v>
      </c>
      <c r="N1374" s="5" t="str">
        <f ca="1">IFERROR(__xludf.DUMMYFUNCTION("""COMPUTED_VALUE"""),"Parra Ramos Hector Jairo")</f>
        <v>Parra Ramos Hector Jairo</v>
      </c>
      <c r="O1374" s="2">
        <f ca="1">IFERROR(__xludf.DUMMYFUNCTION("""COMPUTED_VALUE"""),0.011111111)</f>
        <v>1.1111111E-2</v>
      </c>
      <c r="P1374" s="5">
        <f ca="1">IFERROR(__xludf.DUMMYFUNCTION("""COMPUTED_VALUE"""),20053048)</f>
        <v>20053048</v>
      </c>
      <c r="Q1374" s="5" t="str">
        <f ca="1">IFERROR(__xludf.DUMMYFUNCTION("""COMPUTED_VALUE"""),"Dx8_XOymBbU")</f>
        <v>Dx8_XOymBbU</v>
      </c>
      <c r="R1374" s="5">
        <f ca="1">IFERROR(__xludf.DUMMYFUNCTION("""COMPUTED_VALUE"""),410)</f>
        <v>410</v>
      </c>
      <c r="S1374" s="62">
        <f ca="1">IFERROR(__xludf.DUMMYFUNCTION("""COMPUTED_VALUE"""),0.011111111)</f>
        <v>1.1111111E-2</v>
      </c>
      <c r="T1374" s="63" t="str">
        <f ca="1">IFERROR(__xludf.DUMMYFUNCTION("""COMPUTED_VALUE"""),"https://storage.googleapis.com/glide-prod.appspot.com/uploads-v2/ly7o78grxPaC6KdgvbpS/pub/3aRdSog0vUtuqPE8AJKD.png")</f>
        <v>https://storage.googleapis.com/glide-prod.appspot.com/uploads-v2/ly7o78grxPaC6KdgvbpS/pub/3aRdSog0vUtuqPE8AJKD.png</v>
      </c>
      <c r="U1374" s="5" t="str">
        <f ca="1">IFERROR(__xludf.DUMMYFUNCTION("""COMPUTED_VALUE"""),"LINEA PET CSD - LINEA 10TRANSPORTE DE ENVASES")</f>
        <v>LINEA PET CSD - LINEA 10TRANSPORTE DE ENVASES</v>
      </c>
      <c r="V1374" s="5"/>
      <c r="W1374" s="5" t="b">
        <f ca="1">IFERROR(__xludf.DUMMYFUNCTION("""COMPUTED_VALUE"""),TRUE)</f>
        <v>1</v>
      </c>
      <c r="X1374" s="5" t="str">
        <f ca="1">IFERROR(__xludf.DUMMYFUNCTION("""COMPUTED_VALUE"""),"wmazorra@postobon.com.co,aprmttoyu@postobon.com.co,aprmyu@postobon.com.co,wmora@postobon.com.co,efzapata@postobon.com.co")</f>
        <v>wmazorra@postobon.com.co,aprmttoyu@postobon.com.co,aprmyu@postobon.com.co,wmora@postobon.com.co,efzapata@postobon.com.co</v>
      </c>
      <c r="Y1374" s="5" t="str">
        <f ca="1">IFERROR(__xludf.DUMMYFUNCTION("""COMPUTED_VALUE"""),"wmazorra@postobon.com.co")</f>
        <v>wmazorra@postobon.com.co</v>
      </c>
      <c r="Z1374" s="5" t="str">
        <f ca="1">IFERROR(__xludf.DUMMYFUNCTION("""COMPUTED_VALUE"""),"bezYbO31QIKckpgKTLTaEA")</f>
        <v>bezYbO31QIKckpgKTLTaEA</v>
      </c>
      <c r="AA1374" s="5"/>
      <c r="AB1374" s="5"/>
      <c r="AC1374" s="5"/>
      <c r="AD1374" s="5">
        <f ca="1">IFERROR(__xludf.DUMMYFUNCTION("""COMPUTED_VALUE"""),9)</f>
        <v>9</v>
      </c>
      <c r="AE1374" s="5">
        <f ca="1">IFERROR(__xludf.DUMMYFUNCTION("""COMPUTED_VALUE"""),9)</f>
        <v>9</v>
      </c>
      <c r="AF1374" s="5" t="b">
        <f ca="1">IFERROR(__xludf.DUMMYFUNCTION("""COMPUTED_VALUE"""),FALSE)</f>
        <v>0</v>
      </c>
      <c r="AG1374" s="5" t="str">
        <f ca="1">IFERROR(__xludf.DUMMYFUNCTION("""COMPUTED_VALUE"""),"INSPECCIONES REALIZADAS")</f>
        <v>INSPECCIONES REALIZADAS</v>
      </c>
      <c r="AH1374" s="5"/>
    </row>
    <row r="1375" spans="1:34">
      <c r="A1375" s="5" t="str">
        <f ca="1">IFERROR(__xludf.DUMMYFUNCTION("""COMPUTED_VALUE"""),"LINEA PET CSD - LINEA 10")</f>
        <v>LINEA PET CSD - LINEA 10</v>
      </c>
      <c r="B1375" s="5">
        <f ca="1">IFERROR(__xludf.DUMMYFUNCTION("""COMPUTED_VALUE"""),829871)</f>
        <v>829871</v>
      </c>
      <c r="C1375" s="5" t="str">
        <f ca="1">IFERROR(__xludf.DUMMYFUNCTION("""COMPUTED_VALUE"""),"TRANSPORTE DE ENVASES")</f>
        <v>TRANSPORTE DE ENVASES</v>
      </c>
      <c r="D1375" s="5">
        <f ca="1">IFERROR(__xludf.DUMMYFUNCTION("""COMPUTED_VALUE"""),13247598)</f>
        <v>13247598</v>
      </c>
      <c r="E1375" s="5" t="str">
        <f ca="1">IFERROR(__xludf.DUMMYFUNCTION("""COMPUTED_VALUE"""),"INSPECCION SEMANAL TRANSPORTE DE ENVASES")</f>
        <v>INSPECCION SEMANAL TRANSPORTE DE ENVASES</v>
      </c>
      <c r="F1375" s="5" t="str">
        <f ca="1">IFERROR(__xludf.DUMMYFUNCTION("""COMPUTED_VALUE"""),"ESTADO JABON LUBRICANTE NIVEL")</f>
        <v>ESTADO JABON LUBRICANTE NIVEL</v>
      </c>
      <c r="G1375" s="5" t="b">
        <f ca="1">IFERROR(__xludf.DUMMYFUNCTION("""COMPUTED_VALUE"""),TRUE)</f>
        <v>1</v>
      </c>
      <c r="H1375" s="5"/>
      <c r="I1375" s="5"/>
      <c r="J1375" s="5">
        <f ca="1">IFERROR(__xludf.DUMMYFUNCTION("""COMPUTED_VALUE"""),13247598)</f>
        <v>13247598</v>
      </c>
      <c r="K1375" s="5"/>
      <c r="L1375" s="18">
        <f ca="1">IFERROR(__xludf.DUMMYFUNCTION("""COMPUTED_VALUE"""),45325)</f>
        <v>45325</v>
      </c>
      <c r="M1375" s="18">
        <f ca="1">IFERROR(__xludf.DUMMYFUNCTION("""COMPUTED_VALUE"""),45325)</f>
        <v>45325</v>
      </c>
      <c r="N1375" s="5" t="str">
        <f ca="1">IFERROR(__xludf.DUMMYFUNCTION("""COMPUTED_VALUE"""),"Parra Ramos Hector Jairo")</f>
        <v>Parra Ramos Hector Jairo</v>
      </c>
      <c r="O1375" s="2">
        <f ca="1">IFERROR(__xludf.DUMMYFUNCTION("""COMPUTED_VALUE"""),0.011111111)</f>
        <v>1.1111111E-2</v>
      </c>
      <c r="P1375" s="5">
        <f ca="1">IFERROR(__xludf.DUMMYFUNCTION("""COMPUTED_VALUE"""),20053048)</f>
        <v>20053048</v>
      </c>
      <c r="Q1375" s="5" t="str">
        <f ca="1">IFERROR(__xludf.DUMMYFUNCTION("""COMPUTED_VALUE"""),"JN9Cs6t3hdA")</f>
        <v>JN9Cs6t3hdA</v>
      </c>
      <c r="R1375" s="5">
        <f ca="1">IFERROR(__xludf.DUMMYFUNCTION("""COMPUTED_VALUE"""),410)</f>
        <v>410</v>
      </c>
      <c r="S1375" s="62">
        <f ca="1">IFERROR(__xludf.DUMMYFUNCTION("""COMPUTED_VALUE"""),0.011111111)</f>
        <v>1.1111111E-2</v>
      </c>
      <c r="T1375" s="63" t="str">
        <f ca="1">IFERROR(__xludf.DUMMYFUNCTION("""COMPUTED_VALUE"""),"https://storage.googleapis.com/glide-prod.appspot.com/uploads-v2/ly7o78grxPaC6KdgvbpS/pub/3aRdSog0vUtuqPE8AJKD.png")</f>
        <v>https://storage.googleapis.com/glide-prod.appspot.com/uploads-v2/ly7o78grxPaC6KdgvbpS/pub/3aRdSog0vUtuqPE8AJKD.png</v>
      </c>
      <c r="U1375" s="5" t="str">
        <f ca="1">IFERROR(__xludf.DUMMYFUNCTION("""COMPUTED_VALUE"""),"LINEA PET CSD - LINEA 10TRANSPORTE DE ENVASES")</f>
        <v>LINEA PET CSD - LINEA 10TRANSPORTE DE ENVASES</v>
      </c>
      <c r="V1375" s="5"/>
      <c r="W1375" s="5" t="b">
        <f ca="1">IFERROR(__xludf.DUMMYFUNCTION("""COMPUTED_VALUE"""),TRUE)</f>
        <v>1</v>
      </c>
      <c r="X1375" s="5" t="str">
        <f ca="1">IFERROR(__xludf.DUMMYFUNCTION("""COMPUTED_VALUE"""),"wmazorra@postobon.com.co,aprmttoyu@postobon.com.co,aprmyu@postobon.com.co,wmora@postobon.com.co,efzapata@postobon.com.co")</f>
        <v>wmazorra@postobon.com.co,aprmttoyu@postobon.com.co,aprmyu@postobon.com.co,wmora@postobon.com.co,efzapata@postobon.com.co</v>
      </c>
      <c r="Y1375" s="5" t="str">
        <f ca="1">IFERROR(__xludf.DUMMYFUNCTION("""COMPUTED_VALUE"""),"wmazorra@postobon.com.co")</f>
        <v>wmazorra@postobon.com.co</v>
      </c>
      <c r="Z1375" s="5" t="str">
        <f ca="1">IFERROR(__xludf.DUMMYFUNCTION("""COMPUTED_VALUE"""),"AIwB7eCURoWiLYbsP5wZCg")</f>
        <v>AIwB7eCURoWiLYbsP5wZCg</v>
      </c>
      <c r="AA1375" s="5"/>
      <c r="AB1375" s="5"/>
      <c r="AC1375" s="5"/>
      <c r="AD1375" s="5">
        <f ca="1">IFERROR(__xludf.DUMMYFUNCTION("""COMPUTED_VALUE"""),9)</f>
        <v>9</v>
      </c>
      <c r="AE1375" s="5">
        <f ca="1">IFERROR(__xludf.DUMMYFUNCTION("""COMPUTED_VALUE"""),9)</f>
        <v>9</v>
      </c>
      <c r="AF1375" s="5" t="b">
        <f ca="1">IFERROR(__xludf.DUMMYFUNCTION("""COMPUTED_VALUE"""),FALSE)</f>
        <v>0</v>
      </c>
      <c r="AG1375" s="5" t="str">
        <f ca="1">IFERROR(__xludf.DUMMYFUNCTION("""COMPUTED_VALUE"""),"INSPECCIONES REALIZADAS")</f>
        <v>INSPECCIONES REALIZADAS</v>
      </c>
      <c r="AH1375" s="5"/>
    </row>
    <row r="1376" spans="1:34">
      <c r="A1376" s="5" t="str">
        <f ca="1">IFERROR(__xludf.DUMMYFUNCTION("""COMPUTED_VALUE"""),"LINEA PET CSD - LINEA 10")</f>
        <v>LINEA PET CSD - LINEA 10</v>
      </c>
      <c r="B1376" s="5">
        <f ca="1">IFERROR(__xludf.DUMMYFUNCTION("""COMPUTED_VALUE"""),829871)</f>
        <v>829871</v>
      </c>
      <c r="C1376" s="5" t="str">
        <f ca="1">IFERROR(__xludf.DUMMYFUNCTION("""COMPUTED_VALUE"""),"TRANSPORTE DE ENVASES")</f>
        <v>TRANSPORTE DE ENVASES</v>
      </c>
      <c r="D1376" s="5">
        <f ca="1">IFERROR(__xludf.DUMMYFUNCTION("""COMPUTED_VALUE"""),13247598)</f>
        <v>13247598</v>
      </c>
      <c r="E1376" s="5" t="str">
        <f ca="1">IFERROR(__xludf.DUMMYFUNCTION("""COMPUTED_VALUE"""),"INSPECCION SEMANAL TRANSPORTE DE ENVASES")</f>
        <v>INSPECCION SEMANAL TRANSPORTE DE ENVASES</v>
      </c>
      <c r="F1376" s="5" t="str">
        <f ca="1">IFERROR(__xludf.DUMMYFUNCTION("""COMPUTED_VALUE"""),"ESTADO CADENAS TORNILLERIA")</f>
        <v>ESTADO CADENAS TORNILLERIA</v>
      </c>
      <c r="G1376" s="5" t="b">
        <f ca="1">IFERROR(__xludf.DUMMYFUNCTION("""COMPUTED_VALUE"""),TRUE)</f>
        <v>1</v>
      </c>
      <c r="H1376" s="5"/>
      <c r="I1376" s="5"/>
      <c r="J1376" s="5">
        <f ca="1">IFERROR(__xludf.DUMMYFUNCTION("""COMPUTED_VALUE"""),13247598)</f>
        <v>13247598</v>
      </c>
      <c r="K1376" s="5"/>
      <c r="L1376" s="18">
        <f ca="1">IFERROR(__xludf.DUMMYFUNCTION("""COMPUTED_VALUE"""),45325)</f>
        <v>45325</v>
      </c>
      <c r="M1376" s="18">
        <f ca="1">IFERROR(__xludf.DUMMYFUNCTION("""COMPUTED_VALUE"""),45325)</f>
        <v>45325</v>
      </c>
      <c r="N1376" s="5" t="str">
        <f ca="1">IFERROR(__xludf.DUMMYFUNCTION("""COMPUTED_VALUE"""),"Parra Ramos Hector Jairo")</f>
        <v>Parra Ramos Hector Jairo</v>
      </c>
      <c r="O1376" s="2">
        <f ca="1">IFERROR(__xludf.DUMMYFUNCTION("""COMPUTED_VALUE"""),0.011111111)</f>
        <v>1.1111111E-2</v>
      </c>
      <c r="P1376" s="5">
        <f ca="1">IFERROR(__xludf.DUMMYFUNCTION("""COMPUTED_VALUE"""),20053048)</f>
        <v>20053048</v>
      </c>
      <c r="Q1376" s="5" t="str">
        <f ca="1">IFERROR(__xludf.DUMMYFUNCTION("""COMPUTED_VALUE"""),"GYNKtHn7tIs")</f>
        <v>GYNKtHn7tIs</v>
      </c>
      <c r="R1376" s="5">
        <f ca="1">IFERROR(__xludf.DUMMYFUNCTION("""COMPUTED_VALUE"""),410)</f>
        <v>410</v>
      </c>
      <c r="S1376" s="62">
        <f ca="1">IFERROR(__xludf.DUMMYFUNCTION("""COMPUTED_VALUE"""),0.011111111)</f>
        <v>1.1111111E-2</v>
      </c>
      <c r="T1376" s="63" t="str">
        <f ca="1">IFERROR(__xludf.DUMMYFUNCTION("""COMPUTED_VALUE"""),"https://storage.googleapis.com/glide-prod.appspot.com/uploads-v2/ly7o78grxPaC6KdgvbpS/pub/3aRdSog0vUtuqPE8AJKD.png")</f>
        <v>https://storage.googleapis.com/glide-prod.appspot.com/uploads-v2/ly7o78grxPaC6KdgvbpS/pub/3aRdSog0vUtuqPE8AJKD.png</v>
      </c>
      <c r="U1376" s="5" t="str">
        <f ca="1">IFERROR(__xludf.DUMMYFUNCTION("""COMPUTED_VALUE"""),"LINEA PET CSD - LINEA 10TRANSPORTE DE ENVASES")</f>
        <v>LINEA PET CSD - LINEA 10TRANSPORTE DE ENVASES</v>
      </c>
      <c r="V1376" s="5"/>
      <c r="W1376" s="5" t="b">
        <f ca="1">IFERROR(__xludf.DUMMYFUNCTION("""COMPUTED_VALUE"""),TRUE)</f>
        <v>1</v>
      </c>
      <c r="X1376" s="5" t="str">
        <f ca="1">IFERROR(__xludf.DUMMYFUNCTION("""COMPUTED_VALUE"""),"wmazorra@postobon.com.co,aprmttoyu@postobon.com.co,aprmyu@postobon.com.co,wmora@postobon.com.co,efzapata@postobon.com.co")</f>
        <v>wmazorra@postobon.com.co,aprmttoyu@postobon.com.co,aprmyu@postobon.com.co,wmora@postobon.com.co,efzapata@postobon.com.co</v>
      </c>
      <c r="Y1376" s="5" t="str">
        <f ca="1">IFERROR(__xludf.DUMMYFUNCTION("""COMPUTED_VALUE"""),"wmazorra@postobon.com.co")</f>
        <v>wmazorra@postobon.com.co</v>
      </c>
      <c r="Z1376" s="5" t="str">
        <f ca="1">IFERROR(__xludf.DUMMYFUNCTION("""COMPUTED_VALUE"""),"SqoJNw-PQLqQsHXDs7T2Tw")</f>
        <v>SqoJNw-PQLqQsHXDs7T2Tw</v>
      </c>
      <c r="AA1376" s="5"/>
      <c r="AB1376" s="5"/>
      <c r="AC1376" s="5"/>
      <c r="AD1376" s="5">
        <f ca="1">IFERROR(__xludf.DUMMYFUNCTION("""COMPUTED_VALUE"""),9)</f>
        <v>9</v>
      </c>
      <c r="AE1376" s="5">
        <f ca="1">IFERROR(__xludf.DUMMYFUNCTION("""COMPUTED_VALUE"""),9)</f>
        <v>9</v>
      </c>
      <c r="AF1376" s="5" t="b">
        <f ca="1">IFERROR(__xludf.DUMMYFUNCTION("""COMPUTED_VALUE"""),FALSE)</f>
        <v>0</v>
      </c>
      <c r="AG1376" s="5" t="str">
        <f ca="1">IFERROR(__xludf.DUMMYFUNCTION("""COMPUTED_VALUE"""),"INSPECCIONES REALIZADAS")</f>
        <v>INSPECCIONES REALIZADAS</v>
      </c>
      <c r="AH1376" s="5"/>
    </row>
    <row r="1377" spans="1:34">
      <c r="A1377" s="5" t="str">
        <f ca="1">IFERROR(__xludf.DUMMYFUNCTION("""COMPUTED_VALUE"""),"LINEA PET CSD - LINEA 10")</f>
        <v>LINEA PET CSD - LINEA 10</v>
      </c>
      <c r="B1377" s="5">
        <f ca="1">IFERROR(__xludf.DUMMYFUNCTION("""COMPUTED_VALUE"""),829871)</f>
        <v>829871</v>
      </c>
      <c r="C1377" s="5" t="str">
        <f ca="1">IFERROR(__xludf.DUMMYFUNCTION("""COMPUTED_VALUE"""),"TRANSPORTE DE ENVASES")</f>
        <v>TRANSPORTE DE ENVASES</v>
      </c>
      <c r="D1377" s="5">
        <f ca="1">IFERROR(__xludf.DUMMYFUNCTION("""COMPUTED_VALUE"""),13247598)</f>
        <v>13247598</v>
      </c>
      <c r="E1377" s="5" t="str">
        <f ca="1">IFERROR(__xludf.DUMMYFUNCTION("""COMPUTED_VALUE"""),"INSPECCION SEMANAL TRANSPORTE DE ENVASES")</f>
        <v>INSPECCION SEMANAL TRANSPORTE DE ENVASES</v>
      </c>
      <c r="F1377" s="5" t="str">
        <f ca="1">IFERROR(__xludf.DUMMYFUNCTION("""COMPUTED_VALUE"""),"ESTADO BOQUILLAS ROCIADORAS")</f>
        <v>ESTADO BOQUILLAS ROCIADORAS</v>
      </c>
      <c r="G1377" s="5" t="b">
        <f ca="1">IFERROR(__xludf.DUMMYFUNCTION("""COMPUTED_VALUE"""),TRUE)</f>
        <v>1</v>
      </c>
      <c r="H1377" s="5"/>
      <c r="I1377" s="5"/>
      <c r="J1377" s="5">
        <f ca="1">IFERROR(__xludf.DUMMYFUNCTION("""COMPUTED_VALUE"""),13247598)</f>
        <v>13247598</v>
      </c>
      <c r="K1377" s="5"/>
      <c r="L1377" s="18">
        <f ca="1">IFERROR(__xludf.DUMMYFUNCTION("""COMPUTED_VALUE"""),45325)</f>
        <v>45325</v>
      </c>
      <c r="M1377" s="18">
        <f ca="1">IFERROR(__xludf.DUMMYFUNCTION("""COMPUTED_VALUE"""),45325)</f>
        <v>45325</v>
      </c>
      <c r="N1377" s="5" t="str">
        <f ca="1">IFERROR(__xludf.DUMMYFUNCTION("""COMPUTED_VALUE"""),"Parra Ramos Hector Jairo")</f>
        <v>Parra Ramos Hector Jairo</v>
      </c>
      <c r="O1377" s="2">
        <f ca="1">IFERROR(__xludf.DUMMYFUNCTION("""COMPUTED_VALUE"""),0.011111111)</f>
        <v>1.1111111E-2</v>
      </c>
      <c r="P1377" s="5">
        <f ca="1">IFERROR(__xludf.DUMMYFUNCTION("""COMPUTED_VALUE"""),20053048)</f>
        <v>20053048</v>
      </c>
      <c r="Q1377" s="5" t="str">
        <f ca="1">IFERROR(__xludf.DUMMYFUNCTION("""COMPUTED_VALUE"""),"W0njZ5mESHE")</f>
        <v>W0njZ5mESHE</v>
      </c>
      <c r="R1377" s="5">
        <f ca="1">IFERROR(__xludf.DUMMYFUNCTION("""COMPUTED_VALUE"""),410)</f>
        <v>410</v>
      </c>
      <c r="S1377" s="62">
        <f ca="1">IFERROR(__xludf.DUMMYFUNCTION("""COMPUTED_VALUE"""),0.011111111)</f>
        <v>1.1111111E-2</v>
      </c>
      <c r="T1377" s="63" t="str">
        <f ca="1">IFERROR(__xludf.DUMMYFUNCTION("""COMPUTED_VALUE"""),"https://storage.googleapis.com/glide-prod.appspot.com/uploads-v2/ly7o78grxPaC6KdgvbpS/pub/3aRdSog0vUtuqPE8AJKD.png")</f>
        <v>https://storage.googleapis.com/glide-prod.appspot.com/uploads-v2/ly7o78grxPaC6KdgvbpS/pub/3aRdSog0vUtuqPE8AJKD.png</v>
      </c>
      <c r="U1377" s="5" t="str">
        <f ca="1">IFERROR(__xludf.DUMMYFUNCTION("""COMPUTED_VALUE"""),"LINEA PET CSD - LINEA 10TRANSPORTE DE ENVASES")</f>
        <v>LINEA PET CSD - LINEA 10TRANSPORTE DE ENVASES</v>
      </c>
      <c r="V1377" s="5"/>
      <c r="W1377" s="5" t="b">
        <f ca="1">IFERROR(__xludf.DUMMYFUNCTION("""COMPUTED_VALUE"""),TRUE)</f>
        <v>1</v>
      </c>
      <c r="X1377" s="5" t="str">
        <f ca="1">IFERROR(__xludf.DUMMYFUNCTION("""COMPUTED_VALUE"""),"wmazorra@postobon.com.co,aprmttoyu@postobon.com.co,aprmyu@postobon.com.co,wmora@postobon.com.co,efzapata@postobon.com.co")</f>
        <v>wmazorra@postobon.com.co,aprmttoyu@postobon.com.co,aprmyu@postobon.com.co,wmora@postobon.com.co,efzapata@postobon.com.co</v>
      </c>
      <c r="Y1377" s="5" t="str">
        <f ca="1">IFERROR(__xludf.DUMMYFUNCTION("""COMPUTED_VALUE"""),"wmazorra@postobon.com.co")</f>
        <v>wmazorra@postobon.com.co</v>
      </c>
      <c r="Z1377" s="5" t="str">
        <f ca="1">IFERROR(__xludf.DUMMYFUNCTION("""COMPUTED_VALUE"""),"1gxJbZQbSySYV3hI6KxAjQ")</f>
        <v>1gxJbZQbSySYV3hI6KxAjQ</v>
      </c>
      <c r="AA1377" s="5"/>
      <c r="AB1377" s="5"/>
      <c r="AC1377" s="5"/>
      <c r="AD1377" s="5">
        <f ca="1">IFERROR(__xludf.DUMMYFUNCTION("""COMPUTED_VALUE"""),9)</f>
        <v>9</v>
      </c>
      <c r="AE1377" s="5">
        <f ca="1">IFERROR(__xludf.DUMMYFUNCTION("""COMPUTED_VALUE"""),9)</f>
        <v>9</v>
      </c>
      <c r="AF1377" s="5" t="b">
        <f ca="1">IFERROR(__xludf.DUMMYFUNCTION("""COMPUTED_VALUE"""),FALSE)</f>
        <v>0</v>
      </c>
      <c r="AG1377" s="5" t="str">
        <f ca="1">IFERROR(__xludf.DUMMYFUNCTION("""COMPUTED_VALUE"""),"INSPECCIONES REALIZADAS")</f>
        <v>INSPECCIONES REALIZADAS</v>
      </c>
      <c r="AH1377" s="5"/>
    </row>
    <row r="1378" spans="1:34">
      <c r="A1378" s="5" t="str">
        <f ca="1">IFERROR(__xludf.DUMMYFUNCTION("""COMPUTED_VALUE"""),"LINEA PET CSD - LINEA 10")</f>
        <v>LINEA PET CSD - LINEA 10</v>
      </c>
      <c r="B1378" s="5">
        <f ca="1">IFERROR(__xludf.DUMMYFUNCTION("""COMPUTED_VALUE"""),829871)</f>
        <v>829871</v>
      </c>
      <c r="C1378" s="5" t="str">
        <f ca="1">IFERROR(__xludf.DUMMYFUNCTION("""COMPUTED_VALUE"""),"TRANSPORTE DE ENVASES")</f>
        <v>TRANSPORTE DE ENVASES</v>
      </c>
      <c r="D1378" s="5">
        <f ca="1">IFERROR(__xludf.DUMMYFUNCTION("""COMPUTED_VALUE"""),13247598)</f>
        <v>13247598</v>
      </c>
      <c r="E1378" s="5" t="str">
        <f ca="1">IFERROR(__xludf.DUMMYFUNCTION("""COMPUTED_VALUE"""),"INSPECCION SEMANAL TRANSPORTE DE ENVASES")</f>
        <v>INSPECCION SEMANAL TRANSPORTE DE ENVASES</v>
      </c>
      <c r="F1378" s="5" t="str">
        <f ca="1">IFERROR(__xludf.DUMMYFUNCTION("""COMPUTED_VALUE"""),"ESTADO MOTO REDUCTORES")</f>
        <v>ESTADO MOTO REDUCTORES</v>
      </c>
      <c r="G1378" s="5" t="b">
        <f ca="1">IFERROR(__xludf.DUMMYFUNCTION("""COMPUTED_VALUE"""),TRUE)</f>
        <v>1</v>
      </c>
      <c r="H1378" s="5"/>
      <c r="I1378" s="5"/>
      <c r="J1378" s="5">
        <f ca="1">IFERROR(__xludf.DUMMYFUNCTION("""COMPUTED_VALUE"""),13247598)</f>
        <v>13247598</v>
      </c>
      <c r="K1378" s="5"/>
      <c r="L1378" s="18">
        <f ca="1">IFERROR(__xludf.DUMMYFUNCTION("""COMPUTED_VALUE"""),45325)</f>
        <v>45325</v>
      </c>
      <c r="M1378" s="18">
        <f ca="1">IFERROR(__xludf.DUMMYFUNCTION("""COMPUTED_VALUE"""),45325)</f>
        <v>45325</v>
      </c>
      <c r="N1378" s="5" t="str">
        <f ca="1">IFERROR(__xludf.DUMMYFUNCTION("""COMPUTED_VALUE"""),"Parra Ramos Hector Jairo")</f>
        <v>Parra Ramos Hector Jairo</v>
      </c>
      <c r="O1378" s="2">
        <f ca="1">IFERROR(__xludf.DUMMYFUNCTION("""COMPUTED_VALUE"""),0.011111111)</f>
        <v>1.1111111E-2</v>
      </c>
      <c r="P1378" s="5">
        <f ca="1">IFERROR(__xludf.DUMMYFUNCTION("""COMPUTED_VALUE"""),20053048)</f>
        <v>20053048</v>
      </c>
      <c r="Q1378" s="5" t="str">
        <f ca="1">IFERROR(__xludf.DUMMYFUNCTION("""COMPUTED_VALUE"""),"r0Fp5t4-ZCg")</f>
        <v>r0Fp5t4-ZCg</v>
      </c>
      <c r="R1378" s="5">
        <f ca="1">IFERROR(__xludf.DUMMYFUNCTION("""COMPUTED_VALUE"""),410)</f>
        <v>410</v>
      </c>
      <c r="S1378" s="62">
        <f ca="1">IFERROR(__xludf.DUMMYFUNCTION("""COMPUTED_VALUE"""),0.011111111)</f>
        <v>1.1111111E-2</v>
      </c>
      <c r="T1378" s="63" t="str">
        <f ca="1">IFERROR(__xludf.DUMMYFUNCTION("""COMPUTED_VALUE"""),"https://storage.googleapis.com/glide-prod.appspot.com/uploads-v2/ly7o78grxPaC6KdgvbpS/pub/3aRdSog0vUtuqPE8AJKD.png")</f>
        <v>https://storage.googleapis.com/glide-prod.appspot.com/uploads-v2/ly7o78grxPaC6KdgvbpS/pub/3aRdSog0vUtuqPE8AJKD.png</v>
      </c>
      <c r="U1378" s="5" t="str">
        <f ca="1">IFERROR(__xludf.DUMMYFUNCTION("""COMPUTED_VALUE"""),"LINEA PET CSD - LINEA 10TRANSPORTE DE ENVASES")</f>
        <v>LINEA PET CSD - LINEA 10TRANSPORTE DE ENVASES</v>
      </c>
      <c r="V1378" s="5"/>
      <c r="W1378" s="5" t="b">
        <f ca="1">IFERROR(__xludf.DUMMYFUNCTION("""COMPUTED_VALUE"""),TRUE)</f>
        <v>1</v>
      </c>
      <c r="X1378" s="5" t="str">
        <f ca="1">IFERROR(__xludf.DUMMYFUNCTION("""COMPUTED_VALUE"""),"wmazorra@postobon.com.co,aprmttoyu@postobon.com.co,aprmyu@postobon.com.co,wmora@postobon.com.co,efzapata@postobon.com.co")</f>
        <v>wmazorra@postobon.com.co,aprmttoyu@postobon.com.co,aprmyu@postobon.com.co,wmora@postobon.com.co,efzapata@postobon.com.co</v>
      </c>
      <c r="Y1378" s="5" t="str">
        <f ca="1">IFERROR(__xludf.DUMMYFUNCTION("""COMPUTED_VALUE"""),"wmazorra@postobon.com.co")</f>
        <v>wmazorra@postobon.com.co</v>
      </c>
      <c r="Z1378" s="5" t="str">
        <f ca="1">IFERROR(__xludf.DUMMYFUNCTION("""COMPUTED_VALUE"""),"l26DPZkIRpe4hIlUbMPJ2Q")</f>
        <v>l26DPZkIRpe4hIlUbMPJ2Q</v>
      </c>
      <c r="AA1378" s="5"/>
      <c r="AB1378" s="5"/>
      <c r="AC1378" s="5"/>
      <c r="AD1378" s="5">
        <f ca="1">IFERROR(__xludf.DUMMYFUNCTION("""COMPUTED_VALUE"""),9)</f>
        <v>9</v>
      </c>
      <c r="AE1378" s="5">
        <f ca="1">IFERROR(__xludf.DUMMYFUNCTION("""COMPUTED_VALUE"""),9)</f>
        <v>9</v>
      </c>
      <c r="AF1378" s="5" t="b">
        <f ca="1">IFERROR(__xludf.DUMMYFUNCTION("""COMPUTED_VALUE"""),FALSE)</f>
        <v>0</v>
      </c>
      <c r="AG1378" s="5" t="str">
        <f ca="1">IFERROR(__xludf.DUMMYFUNCTION("""COMPUTED_VALUE"""),"INSPECCIONES REALIZADAS")</f>
        <v>INSPECCIONES REALIZADAS</v>
      </c>
      <c r="AH1378" s="5"/>
    </row>
    <row r="1379" spans="1:34">
      <c r="A1379" s="5" t="str">
        <f ca="1">IFERROR(__xludf.DUMMYFUNCTION("""COMPUTED_VALUE"""),"LINEA PET CSD - LINEA 10")</f>
        <v>LINEA PET CSD - LINEA 10</v>
      </c>
      <c r="B1379" s="5">
        <f ca="1">IFERROR(__xludf.DUMMYFUNCTION("""COMPUTED_VALUE"""),829871)</f>
        <v>829871</v>
      </c>
      <c r="C1379" s="5" t="str">
        <f ca="1">IFERROR(__xludf.DUMMYFUNCTION("""COMPUTED_VALUE"""),"TRANSPORTE DE ENVASES")</f>
        <v>TRANSPORTE DE ENVASES</v>
      </c>
      <c r="D1379" s="5">
        <f ca="1">IFERROR(__xludf.DUMMYFUNCTION("""COMPUTED_VALUE"""),13247598)</f>
        <v>13247598</v>
      </c>
      <c r="E1379" s="5" t="str">
        <f ca="1">IFERROR(__xludf.DUMMYFUNCTION("""COMPUTED_VALUE"""),"INSPECCION SEMANAL TRANSPORTE DE ENVASES")</f>
        <v>INSPECCION SEMANAL TRANSPORTE DE ENVASES</v>
      </c>
      <c r="F1379" s="5" t="str">
        <f ca="1">IFERROR(__xludf.DUMMYFUNCTION("""COMPUTED_VALUE"""),"ESTADO BANDA TRANSPORTADORA")</f>
        <v>ESTADO BANDA TRANSPORTADORA</v>
      </c>
      <c r="G1379" s="5" t="b">
        <f ca="1">IFERROR(__xludf.DUMMYFUNCTION("""COMPUTED_VALUE"""),TRUE)</f>
        <v>1</v>
      </c>
      <c r="H1379" s="5"/>
      <c r="I1379" s="5"/>
      <c r="J1379" s="5">
        <f ca="1">IFERROR(__xludf.DUMMYFUNCTION("""COMPUTED_VALUE"""),13247598)</f>
        <v>13247598</v>
      </c>
      <c r="K1379" s="5"/>
      <c r="L1379" s="18">
        <f ca="1">IFERROR(__xludf.DUMMYFUNCTION("""COMPUTED_VALUE"""),45325)</f>
        <v>45325</v>
      </c>
      <c r="M1379" s="18">
        <f ca="1">IFERROR(__xludf.DUMMYFUNCTION("""COMPUTED_VALUE"""),45325)</f>
        <v>45325</v>
      </c>
      <c r="N1379" s="5" t="str">
        <f ca="1">IFERROR(__xludf.DUMMYFUNCTION("""COMPUTED_VALUE"""),"Parra Ramos Hector Jairo")</f>
        <v>Parra Ramos Hector Jairo</v>
      </c>
      <c r="O1379" s="2">
        <f ca="1">IFERROR(__xludf.DUMMYFUNCTION("""COMPUTED_VALUE"""),0.011111111)</f>
        <v>1.1111111E-2</v>
      </c>
      <c r="P1379" s="5">
        <f ca="1">IFERROR(__xludf.DUMMYFUNCTION("""COMPUTED_VALUE"""),20053048)</f>
        <v>20053048</v>
      </c>
      <c r="Q1379" s="5" t="str">
        <f ca="1">IFERROR(__xludf.DUMMYFUNCTION("""COMPUTED_VALUE"""),"WJ6b9x1RZ5A")</f>
        <v>WJ6b9x1RZ5A</v>
      </c>
      <c r="R1379" s="5">
        <f ca="1">IFERROR(__xludf.DUMMYFUNCTION("""COMPUTED_VALUE"""),410)</f>
        <v>410</v>
      </c>
      <c r="S1379" s="62">
        <f ca="1">IFERROR(__xludf.DUMMYFUNCTION("""COMPUTED_VALUE"""),0.011111111)</f>
        <v>1.1111111E-2</v>
      </c>
      <c r="T1379" s="63" t="str">
        <f ca="1">IFERROR(__xludf.DUMMYFUNCTION("""COMPUTED_VALUE"""),"https://storage.googleapis.com/glide-prod.appspot.com/uploads-v2/ly7o78grxPaC6KdgvbpS/pub/3aRdSog0vUtuqPE8AJKD.png")</f>
        <v>https://storage.googleapis.com/glide-prod.appspot.com/uploads-v2/ly7o78grxPaC6KdgvbpS/pub/3aRdSog0vUtuqPE8AJKD.png</v>
      </c>
      <c r="U1379" s="5" t="str">
        <f ca="1">IFERROR(__xludf.DUMMYFUNCTION("""COMPUTED_VALUE"""),"LINEA PET CSD - LINEA 10TRANSPORTE DE ENVASES")</f>
        <v>LINEA PET CSD - LINEA 10TRANSPORTE DE ENVASES</v>
      </c>
      <c r="V1379" s="5"/>
      <c r="W1379" s="5" t="b">
        <f ca="1">IFERROR(__xludf.DUMMYFUNCTION("""COMPUTED_VALUE"""),TRUE)</f>
        <v>1</v>
      </c>
      <c r="X1379" s="5" t="str">
        <f ca="1">IFERROR(__xludf.DUMMYFUNCTION("""COMPUTED_VALUE"""),"wmazorra@postobon.com.co,aprmttoyu@postobon.com.co,aprmyu@postobon.com.co,wmora@postobon.com.co,efzapata@postobon.com.co")</f>
        <v>wmazorra@postobon.com.co,aprmttoyu@postobon.com.co,aprmyu@postobon.com.co,wmora@postobon.com.co,efzapata@postobon.com.co</v>
      </c>
      <c r="Y1379" s="5" t="str">
        <f ca="1">IFERROR(__xludf.DUMMYFUNCTION("""COMPUTED_VALUE"""),"wmazorra@postobon.com.co")</f>
        <v>wmazorra@postobon.com.co</v>
      </c>
      <c r="Z1379" s="5" t="str">
        <f ca="1">IFERROR(__xludf.DUMMYFUNCTION("""COMPUTED_VALUE"""),"4GKGGnc3Soqah-jyzhPGxA")</f>
        <v>4GKGGnc3Soqah-jyzhPGxA</v>
      </c>
      <c r="AA1379" s="5"/>
      <c r="AB1379" s="5"/>
      <c r="AC1379" s="5"/>
      <c r="AD1379" s="5">
        <f ca="1">IFERROR(__xludf.DUMMYFUNCTION("""COMPUTED_VALUE"""),9)</f>
        <v>9</v>
      </c>
      <c r="AE1379" s="5">
        <f ca="1">IFERROR(__xludf.DUMMYFUNCTION("""COMPUTED_VALUE"""),9)</f>
        <v>9</v>
      </c>
      <c r="AF1379" s="5" t="b">
        <f ca="1">IFERROR(__xludf.DUMMYFUNCTION("""COMPUTED_VALUE"""),FALSE)</f>
        <v>0</v>
      </c>
      <c r="AG1379" s="5" t="str">
        <f ca="1">IFERROR(__xludf.DUMMYFUNCTION("""COMPUTED_VALUE"""),"INSPECCIONES REALIZADAS")</f>
        <v>INSPECCIONES REALIZADAS</v>
      </c>
      <c r="AH1379" s="5"/>
    </row>
    <row r="1380" spans="1:34">
      <c r="A1380" s="5" t="str">
        <f ca="1">IFERROR(__xludf.DUMMYFUNCTION("""COMPUTED_VALUE"""),"LINEA PET CSD - LINEA 10")</f>
        <v>LINEA PET CSD - LINEA 10</v>
      </c>
      <c r="B1380" s="5">
        <f ca="1">IFERROR(__xludf.DUMMYFUNCTION("""COMPUTED_VALUE"""),829871)</f>
        <v>829871</v>
      </c>
      <c r="C1380" s="5" t="str">
        <f ca="1">IFERROR(__xludf.DUMMYFUNCTION("""COMPUTED_VALUE"""),"TRANSPORTE DE ENVASES")</f>
        <v>TRANSPORTE DE ENVASES</v>
      </c>
      <c r="D1380" s="5">
        <f ca="1">IFERROR(__xludf.DUMMYFUNCTION("""COMPUTED_VALUE"""),13247598)</f>
        <v>13247598</v>
      </c>
      <c r="E1380" s="5" t="str">
        <f ca="1">IFERROR(__xludf.DUMMYFUNCTION("""COMPUTED_VALUE"""),"INSPECCION SEMANAL TRANSPORTE DE ENVASES")</f>
        <v>INSPECCION SEMANAL TRANSPORTE DE ENVASES</v>
      </c>
      <c r="F1380" s="5" t="str">
        <f ca="1">IFERROR(__xludf.DUMMYFUNCTION("""COMPUTED_VALUE"""),"ESTADO DE SENSORES")</f>
        <v>ESTADO DE SENSORES</v>
      </c>
      <c r="G1380" s="5" t="b">
        <f ca="1">IFERROR(__xludf.DUMMYFUNCTION("""COMPUTED_VALUE"""),TRUE)</f>
        <v>1</v>
      </c>
      <c r="H1380" s="5"/>
      <c r="I1380" s="5"/>
      <c r="J1380" s="5">
        <f ca="1">IFERROR(__xludf.DUMMYFUNCTION("""COMPUTED_VALUE"""),13247598)</f>
        <v>13247598</v>
      </c>
      <c r="K1380" s="5"/>
      <c r="L1380" s="18">
        <f ca="1">IFERROR(__xludf.DUMMYFUNCTION("""COMPUTED_VALUE"""),45325)</f>
        <v>45325</v>
      </c>
      <c r="M1380" s="18">
        <f ca="1">IFERROR(__xludf.DUMMYFUNCTION("""COMPUTED_VALUE"""),45325)</f>
        <v>45325</v>
      </c>
      <c r="N1380" s="5" t="str">
        <f ca="1">IFERROR(__xludf.DUMMYFUNCTION("""COMPUTED_VALUE"""),"Parra Ramos Hector Jairo")</f>
        <v>Parra Ramos Hector Jairo</v>
      </c>
      <c r="O1380" s="2">
        <f ca="1">IFERROR(__xludf.DUMMYFUNCTION("""COMPUTED_VALUE"""),0.011111111)</f>
        <v>1.1111111E-2</v>
      </c>
      <c r="P1380" s="5">
        <f ca="1">IFERROR(__xludf.DUMMYFUNCTION("""COMPUTED_VALUE"""),20053048)</f>
        <v>20053048</v>
      </c>
      <c r="Q1380" s="5" t="str">
        <f ca="1">IFERROR(__xludf.DUMMYFUNCTION("""COMPUTED_VALUE"""),"CgXXgB6q2mE")</f>
        <v>CgXXgB6q2mE</v>
      </c>
      <c r="R1380" s="5">
        <f ca="1">IFERROR(__xludf.DUMMYFUNCTION("""COMPUTED_VALUE"""),410)</f>
        <v>410</v>
      </c>
      <c r="S1380" s="62">
        <f ca="1">IFERROR(__xludf.DUMMYFUNCTION("""COMPUTED_VALUE"""),0.011111111)</f>
        <v>1.1111111E-2</v>
      </c>
      <c r="T1380" s="63" t="str">
        <f ca="1">IFERROR(__xludf.DUMMYFUNCTION("""COMPUTED_VALUE"""),"https://storage.googleapis.com/glide-prod.appspot.com/uploads-v2/ly7o78grxPaC6KdgvbpS/pub/3aRdSog0vUtuqPE8AJKD.png")</f>
        <v>https://storage.googleapis.com/glide-prod.appspot.com/uploads-v2/ly7o78grxPaC6KdgvbpS/pub/3aRdSog0vUtuqPE8AJKD.png</v>
      </c>
      <c r="U1380" s="5" t="str">
        <f ca="1">IFERROR(__xludf.DUMMYFUNCTION("""COMPUTED_VALUE"""),"LINEA PET CSD - LINEA 10TRANSPORTE DE ENVASES")</f>
        <v>LINEA PET CSD - LINEA 10TRANSPORTE DE ENVASES</v>
      </c>
      <c r="V1380" s="5"/>
      <c r="W1380" s="5" t="b">
        <f ca="1">IFERROR(__xludf.DUMMYFUNCTION("""COMPUTED_VALUE"""),TRUE)</f>
        <v>1</v>
      </c>
      <c r="X1380" s="5" t="str">
        <f ca="1">IFERROR(__xludf.DUMMYFUNCTION("""COMPUTED_VALUE"""),"wmazorra@postobon.com.co,aprmttoyu@postobon.com.co,aprmyu@postobon.com.co,wmora@postobon.com.co,efzapata@postobon.com.co")</f>
        <v>wmazorra@postobon.com.co,aprmttoyu@postobon.com.co,aprmyu@postobon.com.co,wmora@postobon.com.co,efzapata@postobon.com.co</v>
      </c>
      <c r="Y1380" s="5" t="str">
        <f ca="1">IFERROR(__xludf.DUMMYFUNCTION("""COMPUTED_VALUE"""),"wmazorra@postobon.com.co")</f>
        <v>wmazorra@postobon.com.co</v>
      </c>
      <c r="Z1380" s="5" t="str">
        <f ca="1">IFERROR(__xludf.DUMMYFUNCTION("""COMPUTED_VALUE"""),"a.PldWaGmQVOsp1P-9TBdBw")</f>
        <v>a.PldWaGmQVOsp1P-9TBdBw</v>
      </c>
      <c r="AA1380" s="5"/>
      <c r="AB1380" s="5"/>
      <c r="AC1380" s="5"/>
      <c r="AD1380" s="5">
        <f ca="1">IFERROR(__xludf.DUMMYFUNCTION("""COMPUTED_VALUE"""),9)</f>
        <v>9</v>
      </c>
      <c r="AE1380" s="5">
        <f ca="1">IFERROR(__xludf.DUMMYFUNCTION("""COMPUTED_VALUE"""),9)</f>
        <v>9</v>
      </c>
      <c r="AF1380" s="5" t="b">
        <f ca="1">IFERROR(__xludf.DUMMYFUNCTION("""COMPUTED_VALUE"""),FALSE)</f>
        <v>0</v>
      </c>
      <c r="AG1380" s="5" t="str">
        <f ca="1">IFERROR(__xludf.DUMMYFUNCTION("""COMPUTED_VALUE"""),"INSPECCIONES REALIZADAS")</f>
        <v>INSPECCIONES REALIZADAS</v>
      </c>
      <c r="AH1380" s="5"/>
    </row>
    <row r="1381" spans="1:34">
      <c r="A1381" s="5" t="str">
        <f ca="1">IFERROR(__xludf.DUMMYFUNCTION("""COMPUTED_VALUE"""),"LINEA PET CSD - LINEA 10")</f>
        <v>LINEA PET CSD - LINEA 10</v>
      </c>
      <c r="B1381" s="5">
        <f ca="1">IFERROR(__xludf.DUMMYFUNCTION("""COMPUTED_VALUE"""),829871)</f>
        <v>829871</v>
      </c>
      <c r="C1381" s="5" t="str">
        <f ca="1">IFERROR(__xludf.DUMMYFUNCTION("""COMPUTED_VALUE"""),"TRANSPORTE DE ENVASES")</f>
        <v>TRANSPORTE DE ENVASES</v>
      </c>
      <c r="D1381" s="5">
        <f ca="1">IFERROR(__xludf.DUMMYFUNCTION("""COMPUTED_VALUE"""),13247598)</f>
        <v>13247598</v>
      </c>
      <c r="E1381" s="5" t="str">
        <f ca="1">IFERROR(__xludf.DUMMYFUNCTION("""COMPUTED_VALUE"""),"INSPECCION SEMANAL TRANSPORTE DE ENVASES")</f>
        <v>INSPECCION SEMANAL TRANSPORTE DE ENVASES</v>
      </c>
      <c r="F1381" s="5" t="str">
        <f ca="1">IFERROR(__xludf.DUMMYFUNCTION("""COMPUTED_VALUE"""),"ESTADO GUIAS LATERALES")</f>
        <v>ESTADO GUIAS LATERALES</v>
      </c>
      <c r="G1381" s="5" t="b">
        <f ca="1">IFERROR(__xludf.DUMMYFUNCTION("""COMPUTED_VALUE"""),TRUE)</f>
        <v>1</v>
      </c>
      <c r="H1381" s="5"/>
      <c r="I1381" s="5"/>
      <c r="J1381" s="5">
        <f ca="1">IFERROR(__xludf.DUMMYFUNCTION("""COMPUTED_VALUE"""),13247598)</f>
        <v>13247598</v>
      </c>
      <c r="K1381" s="5"/>
      <c r="L1381" s="18">
        <f ca="1">IFERROR(__xludf.DUMMYFUNCTION("""COMPUTED_VALUE"""),45325)</f>
        <v>45325</v>
      </c>
      <c r="M1381" s="18">
        <f ca="1">IFERROR(__xludf.DUMMYFUNCTION("""COMPUTED_VALUE"""),45325)</f>
        <v>45325</v>
      </c>
      <c r="N1381" s="5" t="str">
        <f ca="1">IFERROR(__xludf.DUMMYFUNCTION("""COMPUTED_VALUE"""),"Parra Ramos Hector Jairo")</f>
        <v>Parra Ramos Hector Jairo</v>
      </c>
      <c r="O1381" s="2">
        <f ca="1">IFERROR(__xludf.DUMMYFUNCTION("""COMPUTED_VALUE"""),0.011111111)</f>
        <v>1.1111111E-2</v>
      </c>
      <c r="P1381" s="5">
        <f ca="1">IFERROR(__xludf.DUMMYFUNCTION("""COMPUTED_VALUE"""),20053048)</f>
        <v>20053048</v>
      </c>
      <c r="Q1381" s="5" t="str">
        <f ca="1">IFERROR(__xludf.DUMMYFUNCTION("""COMPUTED_VALUE"""),"PDGLGKMm0bg")</f>
        <v>PDGLGKMm0bg</v>
      </c>
      <c r="R1381" s="5">
        <f ca="1">IFERROR(__xludf.DUMMYFUNCTION("""COMPUTED_VALUE"""),410)</f>
        <v>410</v>
      </c>
      <c r="S1381" s="62">
        <f ca="1">IFERROR(__xludf.DUMMYFUNCTION("""COMPUTED_VALUE"""),0.011111111)</f>
        <v>1.1111111E-2</v>
      </c>
      <c r="T1381" s="63" t="str">
        <f ca="1">IFERROR(__xludf.DUMMYFUNCTION("""COMPUTED_VALUE"""),"https://storage.googleapis.com/glide-prod.appspot.com/uploads-v2/ly7o78grxPaC6KdgvbpS/pub/3aRdSog0vUtuqPE8AJKD.png")</f>
        <v>https://storage.googleapis.com/glide-prod.appspot.com/uploads-v2/ly7o78grxPaC6KdgvbpS/pub/3aRdSog0vUtuqPE8AJKD.png</v>
      </c>
      <c r="U1381" s="5" t="str">
        <f ca="1">IFERROR(__xludf.DUMMYFUNCTION("""COMPUTED_VALUE"""),"LINEA PET CSD - LINEA 10TRANSPORTE DE ENVASES")</f>
        <v>LINEA PET CSD - LINEA 10TRANSPORTE DE ENVASES</v>
      </c>
      <c r="V1381" s="5"/>
      <c r="W1381" s="5" t="b">
        <f ca="1">IFERROR(__xludf.DUMMYFUNCTION("""COMPUTED_VALUE"""),TRUE)</f>
        <v>1</v>
      </c>
      <c r="X1381" s="5" t="str">
        <f ca="1">IFERROR(__xludf.DUMMYFUNCTION("""COMPUTED_VALUE"""),"wmazorra@postobon.com.co,aprmttoyu@postobon.com.co,aprmyu@postobon.com.co,wmora@postobon.com.co,efzapata@postobon.com.co")</f>
        <v>wmazorra@postobon.com.co,aprmttoyu@postobon.com.co,aprmyu@postobon.com.co,wmora@postobon.com.co,efzapata@postobon.com.co</v>
      </c>
      <c r="Y1381" s="5" t="str">
        <f ca="1">IFERROR(__xludf.DUMMYFUNCTION("""COMPUTED_VALUE"""),"wmazorra@postobon.com.co")</f>
        <v>wmazorra@postobon.com.co</v>
      </c>
      <c r="Z1381" s="5" t="str">
        <f ca="1">IFERROR(__xludf.DUMMYFUNCTION("""COMPUTED_VALUE"""),"FQU1DQoWRzm1Eafcl8pw4g")</f>
        <v>FQU1DQoWRzm1Eafcl8pw4g</v>
      </c>
      <c r="AA1381" s="5"/>
      <c r="AB1381" s="5"/>
      <c r="AC1381" s="5"/>
      <c r="AD1381" s="5">
        <f ca="1">IFERROR(__xludf.DUMMYFUNCTION("""COMPUTED_VALUE"""),9)</f>
        <v>9</v>
      </c>
      <c r="AE1381" s="5">
        <f ca="1">IFERROR(__xludf.DUMMYFUNCTION("""COMPUTED_VALUE"""),9)</f>
        <v>9</v>
      </c>
      <c r="AF1381" s="5" t="b">
        <f ca="1">IFERROR(__xludf.DUMMYFUNCTION("""COMPUTED_VALUE"""),FALSE)</f>
        <v>0</v>
      </c>
      <c r="AG1381" s="5" t="str">
        <f ca="1">IFERROR(__xludf.DUMMYFUNCTION("""COMPUTED_VALUE"""),"INSPECCIONES REALIZADAS")</f>
        <v>INSPECCIONES REALIZADAS</v>
      </c>
      <c r="AH1381" s="5"/>
    </row>
    <row r="1382" spans="1:34">
      <c r="A1382" s="5" t="str">
        <f ca="1">IFERROR(__xludf.DUMMYFUNCTION("""COMPUTED_VALUE"""),"LINEA PET CSD - LINEA 10")</f>
        <v>LINEA PET CSD - LINEA 10</v>
      </c>
      <c r="B1382" s="5">
        <f ca="1">IFERROR(__xludf.DUMMYFUNCTION("""COMPUTED_VALUE"""),829871)</f>
        <v>829871</v>
      </c>
      <c r="C1382" s="5" t="str">
        <f ca="1">IFERROR(__xludf.DUMMYFUNCTION("""COMPUTED_VALUE"""),"TRANSPORTE DE ENVASES")</f>
        <v>TRANSPORTE DE ENVASES</v>
      </c>
      <c r="D1382" s="5">
        <f ca="1">IFERROR(__xludf.DUMMYFUNCTION("""COMPUTED_VALUE"""),13247598)</f>
        <v>13247598</v>
      </c>
      <c r="E1382" s="5" t="str">
        <f ca="1">IFERROR(__xludf.DUMMYFUNCTION("""COMPUTED_VALUE"""),"INSPECCION SEMANAL TRANSPORTE DE ENVASES")</f>
        <v>INSPECCION SEMANAL TRANSPORTE DE ENVASES</v>
      </c>
      <c r="F1382" s="5" t="str">
        <f ca="1">IFERROR(__xludf.DUMMYFUNCTION("""COMPUTED_VALUE"""),"INSP. TABLERO ELECTRICO/CLIMATIZADOR")</f>
        <v>INSP. TABLERO ELECTRICO/CLIMATIZADOR</v>
      </c>
      <c r="G1382" s="5" t="b">
        <f ca="1">IFERROR(__xludf.DUMMYFUNCTION("""COMPUTED_VALUE"""),TRUE)</f>
        <v>1</v>
      </c>
      <c r="H1382" s="5"/>
      <c r="I1382" s="5"/>
      <c r="J1382" s="5">
        <f ca="1">IFERROR(__xludf.DUMMYFUNCTION("""COMPUTED_VALUE"""),13247598)</f>
        <v>13247598</v>
      </c>
      <c r="K1382" s="5"/>
      <c r="L1382" s="18">
        <f ca="1">IFERROR(__xludf.DUMMYFUNCTION("""COMPUTED_VALUE"""),45325)</f>
        <v>45325</v>
      </c>
      <c r="M1382" s="18">
        <f ca="1">IFERROR(__xludf.DUMMYFUNCTION("""COMPUTED_VALUE"""),45325)</f>
        <v>45325</v>
      </c>
      <c r="N1382" s="5" t="str">
        <f ca="1">IFERROR(__xludf.DUMMYFUNCTION("""COMPUTED_VALUE"""),"Parra Ramos Hector Jairo")</f>
        <v>Parra Ramos Hector Jairo</v>
      </c>
      <c r="O1382" s="2">
        <f ca="1">IFERROR(__xludf.DUMMYFUNCTION("""COMPUTED_VALUE"""),0.011111111)</f>
        <v>1.1111111E-2</v>
      </c>
      <c r="P1382" s="5">
        <f ca="1">IFERROR(__xludf.DUMMYFUNCTION("""COMPUTED_VALUE"""),20053048)</f>
        <v>20053048</v>
      </c>
      <c r="Q1382" s="5" t="str">
        <f ca="1">IFERROR(__xludf.DUMMYFUNCTION("""COMPUTED_VALUE"""),"jgjIROI3jZw")</f>
        <v>jgjIROI3jZw</v>
      </c>
      <c r="R1382" s="5">
        <f ca="1">IFERROR(__xludf.DUMMYFUNCTION("""COMPUTED_VALUE"""),410)</f>
        <v>410</v>
      </c>
      <c r="S1382" s="62">
        <f ca="1">IFERROR(__xludf.DUMMYFUNCTION("""COMPUTED_VALUE"""),0.011111111)</f>
        <v>1.1111111E-2</v>
      </c>
      <c r="T1382" s="63" t="str">
        <f ca="1">IFERROR(__xludf.DUMMYFUNCTION("""COMPUTED_VALUE"""),"https://storage.googleapis.com/glide-prod.appspot.com/uploads-v2/ly7o78grxPaC6KdgvbpS/pub/3aRdSog0vUtuqPE8AJKD.png")</f>
        <v>https://storage.googleapis.com/glide-prod.appspot.com/uploads-v2/ly7o78grxPaC6KdgvbpS/pub/3aRdSog0vUtuqPE8AJKD.png</v>
      </c>
      <c r="U1382" s="5" t="str">
        <f ca="1">IFERROR(__xludf.DUMMYFUNCTION("""COMPUTED_VALUE"""),"LINEA PET CSD - LINEA 10TRANSPORTE DE ENVASES")</f>
        <v>LINEA PET CSD - LINEA 10TRANSPORTE DE ENVASES</v>
      </c>
      <c r="V1382" s="5"/>
      <c r="W1382" s="5" t="b">
        <f ca="1">IFERROR(__xludf.DUMMYFUNCTION("""COMPUTED_VALUE"""),TRUE)</f>
        <v>1</v>
      </c>
      <c r="X1382" s="5" t="str">
        <f ca="1">IFERROR(__xludf.DUMMYFUNCTION("""COMPUTED_VALUE"""),"wmazorra@postobon.com.co,aprmttoyu@postobon.com.co,aprmyu@postobon.com.co,wmora@postobon.com.co,efzapata@postobon.com.co")</f>
        <v>wmazorra@postobon.com.co,aprmttoyu@postobon.com.co,aprmyu@postobon.com.co,wmora@postobon.com.co,efzapata@postobon.com.co</v>
      </c>
      <c r="Y1382" s="5" t="str">
        <f ca="1">IFERROR(__xludf.DUMMYFUNCTION("""COMPUTED_VALUE"""),"wmazorra@postobon.com.co")</f>
        <v>wmazorra@postobon.com.co</v>
      </c>
      <c r="Z1382" s="5" t="str">
        <f ca="1">IFERROR(__xludf.DUMMYFUNCTION("""COMPUTED_VALUE"""),"tGG7oO9SRWiCfLgFSoOVyg")</f>
        <v>tGG7oO9SRWiCfLgFSoOVyg</v>
      </c>
      <c r="AA1382" s="5"/>
      <c r="AB1382" s="5"/>
      <c r="AC1382" s="5"/>
      <c r="AD1382" s="5">
        <f ca="1">IFERROR(__xludf.DUMMYFUNCTION("""COMPUTED_VALUE"""),9)</f>
        <v>9</v>
      </c>
      <c r="AE1382" s="5">
        <f ca="1">IFERROR(__xludf.DUMMYFUNCTION("""COMPUTED_VALUE"""),9)</f>
        <v>9</v>
      </c>
      <c r="AF1382" s="5" t="b">
        <f ca="1">IFERROR(__xludf.DUMMYFUNCTION("""COMPUTED_VALUE"""),FALSE)</f>
        <v>0</v>
      </c>
      <c r="AG1382" s="5" t="str">
        <f ca="1">IFERROR(__xludf.DUMMYFUNCTION("""COMPUTED_VALUE"""),"INSPECCIONES REALIZADAS")</f>
        <v>INSPECCIONES REALIZADAS</v>
      </c>
      <c r="AH1382" s="5"/>
    </row>
    <row r="1383" spans="1:34">
      <c r="A1383" s="5" t="str">
        <f ca="1">IFERROR(__xludf.DUMMYFUNCTION("""COMPUTED_VALUE"""),"LINEA PET CSD - LINEA 10")</f>
        <v>LINEA PET CSD - LINEA 10</v>
      </c>
      <c r="B1383" s="5">
        <f ca="1">IFERROR(__xludf.DUMMYFUNCTION("""COMPUTED_VALUE"""),829869)</f>
        <v>829869</v>
      </c>
      <c r="C1383" s="5" t="str">
        <f ca="1">IFERROR(__xludf.DUMMYFUNCTION("""COMPUTED_VALUE"""),"TRANSPORTE DE PALETS")</f>
        <v>TRANSPORTE DE PALETS</v>
      </c>
      <c r="D1383" s="5">
        <f ca="1">IFERROR(__xludf.DUMMYFUNCTION("""COMPUTED_VALUE"""),13247601)</f>
        <v>13247601</v>
      </c>
      <c r="E1383" s="5" t="str">
        <f ca="1">IFERROR(__xludf.DUMMYFUNCTION("""COMPUTED_VALUE"""),"INSPECCION SEMANAL TRANSPORTE DE PALETS")</f>
        <v>INSPECCION SEMANAL TRANSPORTE DE PALETS</v>
      </c>
      <c r="F1383" s="5" t="str">
        <f ca="1">IFERROR(__xludf.DUMMYFUNCTION("""COMPUTED_VALUE"""),"INSP FUNC MOTORES")</f>
        <v>INSP FUNC MOTORES</v>
      </c>
      <c r="G1383" s="5" t="b">
        <f ca="1">IFERROR(__xludf.DUMMYFUNCTION("""COMPUTED_VALUE"""),TRUE)</f>
        <v>1</v>
      </c>
      <c r="H1383" s="5"/>
      <c r="I1383" s="5"/>
      <c r="J1383" s="5">
        <f ca="1">IFERROR(__xludf.DUMMYFUNCTION("""COMPUTED_VALUE"""),13247601)</f>
        <v>13247601</v>
      </c>
      <c r="K1383" s="5"/>
      <c r="L1383" s="18">
        <f ca="1">IFERROR(__xludf.DUMMYFUNCTION("""COMPUTED_VALUE"""),45324)</f>
        <v>45324</v>
      </c>
      <c r="M1383" s="18">
        <f ca="1">IFERROR(__xludf.DUMMYFUNCTION("""COMPUTED_VALUE"""),45324)</f>
        <v>45324</v>
      </c>
      <c r="N1383" s="5" t="str">
        <f ca="1">IFERROR(__xludf.DUMMYFUNCTION("""COMPUTED_VALUE"""),"PARRA VELANDIA JOHN JAIRO")</f>
        <v>PARRA VELANDIA JOHN JAIRO</v>
      </c>
      <c r="O1383" s="2">
        <f ca="1">IFERROR(__xludf.DUMMYFUNCTION("""COMPUTED_VALUE"""),0.014285714)</f>
        <v>1.4285714E-2</v>
      </c>
      <c r="P1383" s="5">
        <f ca="1">IFERROR(__xludf.DUMMYFUNCTION("""COMPUTED_VALUE"""),94543434)</f>
        <v>94543434</v>
      </c>
      <c r="Q1383" s="5" t="str">
        <f ca="1">IFERROR(__xludf.DUMMYFUNCTION("""COMPUTED_VALUE"""),"fGB8w-1nMPY")</f>
        <v>fGB8w-1nMPY</v>
      </c>
      <c r="R1383" s="5">
        <f ca="1">IFERROR(__xludf.DUMMYFUNCTION("""COMPUTED_VALUE"""),410)</f>
        <v>410</v>
      </c>
      <c r="S1383" s="62">
        <f ca="1">IFERROR(__xludf.DUMMYFUNCTION("""COMPUTED_VALUE"""),0.014285714)</f>
        <v>1.4285714E-2</v>
      </c>
      <c r="T1383" s="63" t="str">
        <f ca="1">IFERROR(__xludf.DUMMYFUNCTION("""COMPUTED_VALUE"""),"https://storage.googleapis.com/glide-prod.appspot.com/uploads-v2/ly7o78grxPaC6KdgvbpS/pub/3aRdSog0vUtuqPE8AJKD.png")</f>
        <v>https://storage.googleapis.com/glide-prod.appspot.com/uploads-v2/ly7o78grxPaC6KdgvbpS/pub/3aRdSog0vUtuqPE8AJKD.png</v>
      </c>
      <c r="U1383" s="5" t="str">
        <f ca="1">IFERROR(__xludf.DUMMYFUNCTION("""COMPUTED_VALUE"""),"LINEA PET CSD - LINEA 10TRANSPORTE DE PALETS")</f>
        <v>LINEA PET CSD - LINEA 10TRANSPORTE DE PALETS</v>
      </c>
      <c r="V1383" s="5"/>
      <c r="W1383" s="5" t="b">
        <f ca="1">IFERROR(__xludf.DUMMYFUNCTION("""COMPUTED_VALUE"""),TRUE)</f>
        <v>1</v>
      </c>
      <c r="X1383" s="5" t="str">
        <f ca="1">IFERROR(__xludf.DUMMYFUNCTION("""COMPUTED_VALUE"""),"wmazorra@postobon.com.co,aprmttoyu@postobon.com.co,aprmyu@postobon.com.co,wmora@postobon.com.co,efzapata@postobon.com.co")</f>
        <v>wmazorra@postobon.com.co,aprmttoyu@postobon.com.co,aprmyu@postobon.com.co,wmora@postobon.com.co,efzapata@postobon.com.co</v>
      </c>
      <c r="Y1383" s="5" t="str">
        <f ca="1">IFERROR(__xludf.DUMMYFUNCTION("""COMPUTED_VALUE"""),"wmazorra@postobon.com.co")</f>
        <v>wmazorra@postobon.com.co</v>
      </c>
      <c r="Z1383" s="5" t="str">
        <f ca="1">IFERROR(__xludf.DUMMYFUNCTION("""COMPUTED_VALUE"""),"SmFGCX2rRbO084vb4qbGgg")</f>
        <v>SmFGCX2rRbO084vb4qbGgg</v>
      </c>
      <c r="AA1383" s="5"/>
      <c r="AB1383" s="5"/>
      <c r="AC1383" s="5"/>
      <c r="AD1383" s="5">
        <f ca="1">IFERROR(__xludf.DUMMYFUNCTION("""COMPUTED_VALUE"""),36)</f>
        <v>36</v>
      </c>
      <c r="AE1383" s="5">
        <f ca="1">IFERROR(__xludf.DUMMYFUNCTION("""COMPUTED_VALUE"""),36)</f>
        <v>36</v>
      </c>
      <c r="AF1383" s="5" t="b">
        <f ca="1">IFERROR(__xludf.DUMMYFUNCTION("""COMPUTED_VALUE"""),FALSE)</f>
        <v>0</v>
      </c>
      <c r="AG1383" s="5" t="str">
        <f ca="1">IFERROR(__xludf.DUMMYFUNCTION("""COMPUTED_VALUE"""),"INSPECCIONES REALIZADAS")</f>
        <v>INSPECCIONES REALIZADAS</v>
      </c>
      <c r="AH1383" s="5"/>
    </row>
    <row r="1384" spans="1:34">
      <c r="A1384" s="5" t="str">
        <f ca="1">IFERROR(__xludf.DUMMYFUNCTION("""COMPUTED_VALUE"""),"LINEA PET CSD - LINEA 10")</f>
        <v>LINEA PET CSD - LINEA 10</v>
      </c>
      <c r="B1384" s="5">
        <f ca="1">IFERROR(__xludf.DUMMYFUNCTION("""COMPUTED_VALUE"""),829869)</f>
        <v>829869</v>
      </c>
      <c r="C1384" s="5" t="str">
        <f ca="1">IFERROR(__xludf.DUMMYFUNCTION("""COMPUTED_VALUE"""),"TRANSPORTE DE PALETS")</f>
        <v>TRANSPORTE DE PALETS</v>
      </c>
      <c r="D1384" s="5">
        <f ca="1">IFERROR(__xludf.DUMMYFUNCTION("""COMPUTED_VALUE"""),13247601)</f>
        <v>13247601</v>
      </c>
      <c r="E1384" s="5" t="str">
        <f ca="1">IFERROR(__xludf.DUMMYFUNCTION("""COMPUTED_VALUE"""),"INSPECCION SEMANAL TRANSPORTE DE PALETS")</f>
        <v>INSPECCION SEMANAL TRANSPORTE DE PALETS</v>
      </c>
      <c r="F1384" s="5" t="str">
        <f ca="1">IFERROR(__xludf.DUMMYFUNCTION("""COMPUTED_VALUE"""),"ESTADO TENSION CADENAS ELEVACION")</f>
        <v>ESTADO TENSION CADENAS ELEVACION</v>
      </c>
      <c r="G1384" s="5" t="b">
        <f ca="1">IFERROR(__xludf.DUMMYFUNCTION("""COMPUTED_VALUE"""),TRUE)</f>
        <v>1</v>
      </c>
      <c r="H1384" s="5"/>
      <c r="I1384" s="5"/>
      <c r="J1384" s="5">
        <f ca="1">IFERROR(__xludf.DUMMYFUNCTION("""COMPUTED_VALUE"""),13247601)</f>
        <v>13247601</v>
      </c>
      <c r="K1384" s="5"/>
      <c r="L1384" s="18">
        <f ca="1">IFERROR(__xludf.DUMMYFUNCTION("""COMPUTED_VALUE"""),45324)</f>
        <v>45324</v>
      </c>
      <c r="M1384" s="18">
        <f ca="1">IFERROR(__xludf.DUMMYFUNCTION("""COMPUTED_VALUE"""),45324)</f>
        <v>45324</v>
      </c>
      <c r="N1384" s="5" t="str">
        <f ca="1">IFERROR(__xludf.DUMMYFUNCTION("""COMPUTED_VALUE"""),"PARRA VELANDIA JOHN JAIRO")</f>
        <v>PARRA VELANDIA JOHN JAIRO</v>
      </c>
      <c r="O1384" s="2">
        <f ca="1">IFERROR(__xludf.DUMMYFUNCTION("""COMPUTED_VALUE"""),0.014285714)</f>
        <v>1.4285714E-2</v>
      </c>
      <c r="P1384" s="5">
        <f ca="1">IFERROR(__xludf.DUMMYFUNCTION("""COMPUTED_VALUE"""),94543434)</f>
        <v>94543434</v>
      </c>
      <c r="Q1384" s="5" t="str">
        <f ca="1">IFERROR(__xludf.DUMMYFUNCTION("""COMPUTED_VALUE"""),"zsXBML-iyFw")</f>
        <v>zsXBML-iyFw</v>
      </c>
      <c r="R1384" s="5">
        <f ca="1">IFERROR(__xludf.DUMMYFUNCTION("""COMPUTED_VALUE"""),410)</f>
        <v>410</v>
      </c>
      <c r="S1384" s="62">
        <f ca="1">IFERROR(__xludf.DUMMYFUNCTION("""COMPUTED_VALUE"""),0.014285714)</f>
        <v>1.4285714E-2</v>
      </c>
      <c r="T1384" s="63" t="str">
        <f ca="1">IFERROR(__xludf.DUMMYFUNCTION("""COMPUTED_VALUE"""),"https://storage.googleapis.com/glide-prod.appspot.com/uploads-v2/ly7o78grxPaC6KdgvbpS/pub/3aRdSog0vUtuqPE8AJKD.png")</f>
        <v>https://storage.googleapis.com/glide-prod.appspot.com/uploads-v2/ly7o78grxPaC6KdgvbpS/pub/3aRdSog0vUtuqPE8AJKD.png</v>
      </c>
      <c r="U1384" s="5" t="str">
        <f ca="1">IFERROR(__xludf.DUMMYFUNCTION("""COMPUTED_VALUE"""),"LINEA PET CSD - LINEA 10TRANSPORTE DE PALETS")</f>
        <v>LINEA PET CSD - LINEA 10TRANSPORTE DE PALETS</v>
      </c>
      <c r="V1384" s="5"/>
      <c r="W1384" s="5" t="b">
        <f ca="1">IFERROR(__xludf.DUMMYFUNCTION("""COMPUTED_VALUE"""),TRUE)</f>
        <v>1</v>
      </c>
      <c r="X1384" s="5" t="str">
        <f ca="1">IFERROR(__xludf.DUMMYFUNCTION("""COMPUTED_VALUE"""),"wmazorra@postobon.com.co,aprmttoyu@postobon.com.co,aprmyu@postobon.com.co,wmora@postobon.com.co,efzapata@postobon.com.co")</f>
        <v>wmazorra@postobon.com.co,aprmttoyu@postobon.com.co,aprmyu@postobon.com.co,wmora@postobon.com.co,efzapata@postobon.com.co</v>
      </c>
      <c r="Y1384" s="5" t="str">
        <f ca="1">IFERROR(__xludf.DUMMYFUNCTION("""COMPUTED_VALUE"""),"wmazorra@postobon.com.co")</f>
        <v>wmazorra@postobon.com.co</v>
      </c>
      <c r="Z1384" s="5" t="str">
        <f ca="1">IFERROR(__xludf.DUMMYFUNCTION("""COMPUTED_VALUE"""),"5h.F5-r5S46sqIs8On.QBQ")</f>
        <v>5h.F5-r5S46sqIs8On.QBQ</v>
      </c>
      <c r="AA1384" s="5"/>
      <c r="AB1384" s="5"/>
      <c r="AC1384" s="5"/>
      <c r="AD1384" s="5">
        <f ca="1">IFERROR(__xludf.DUMMYFUNCTION("""COMPUTED_VALUE"""),36)</f>
        <v>36</v>
      </c>
      <c r="AE1384" s="5">
        <f ca="1">IFERROR(__xludf.DUMMYFUNCTION("""COMPUTED_VALUE"""),36)</f>
        <v>36</v>
      </c>
      <c r="AF1384" s="5" t="b">
        <f ca="1">IFERROR(__xludf.DUMMYFUNCTION("""COMPUTED_VALUE"""),FALSE)</f>
        <v>0</v>
      </c>
      <c r="AG1384" s="5" t="str">
        <f ca="1">IFERROR(__xludf.DUMMYFUNCTION("""COMPUTED_VALUE"""),"INSPECCIONES REALIZADAS")</f>
        <v>INSPECCIONES REALIZADAS</v>
      </c>
      <c r="AH1384" s="5"/>
    </row>
    <row r="1385" spans="1:34">
      <c r="A1385" s="5" t="str">
        <f ca="1">IFERROR(__xludf.DUMMYFUNCTION("""COMPUTED_VALUE"""),"LINEA PET CSD - LINEA 10")</f>
        <v>LINEA PET CSD - LINEA 10</v>
      </c>
      <c r="B1385" s="5">
        <f ca="1">IFERROR(__xludf.DUMMYFUNCTION("""COMPUTED_VALUE"""),829869)</f>
        <v>829869</v>
      </c>
      <c r="C1385" s="5" t="str">
        <f ca="1">IFERROR(__xludf.DUMMYFUNCTION("""COMPUTED_VALUE"""),"TRANSPORTE DE PALETS")</f>
        <v>TRANSPORTE DE PALETS</v>
      </c>
      <c r="D1385" s="5">
        <f ca="1">IFERROR(__xludf.DUMMYFUNCTION("""COMPUTED_VALUE"""),13247601)</f>
        <v>13247601</v>
      </c>
      <c r="E1385" s="5" t="str">
        <f ca="1">IFERROR(__xludf.DUMMYFUNCTION("""COMPUTED_VALUE"""),"INSPECCION SEMANAL TRANSPORTE DE PALETS")</f>
        <v>INSPECCION SEMANAL TRANSPORTE DE PALETS</v>
      </c>
      <c r="F1385" s="5" t="str">
        <f ca="1">IFERROR(__xludf.DUMMYFUNCTION("""COMPUTED_VALUE"""),"ESTADO SENSORES(MICRO,INDUCTIVO)")</f>
        <v>ESTADO SENSORES(MICRO,INDUCTIVO)</v>
      </c>
      <c r="G1385" s="5" t="b">
        <f ca="1">IFERROR(__xludf.DUMMYFUNCTION("""COMPUTED_VALUE"""),TRUE)</f>
        <v>1</v>
      </c>
      <c r="H1385" s="5"/>
      <c r="I1385" s="5"/>
      <c r="J1385" s="5">
        <f ca="1">IFERROR(__xludf.DUMMYFUNCTION("""COMPUTED_VALUE"""),13247601)</f>
        <v>13247601</v>
      </c>
      <c r="K1385" s="5"/>
      <c r="L1385" s="18">
        <f ca="1">IFERROR(__xludf.DUMMYFUNCTION("""COMPUTED_VALUE"""),45324)</f>
        <v>45324</v>
      </c>
      <c r="M1385" s="18">
        <f ca="1">IFERROR(__xludf.DUMMYFUNCTION("""COMPUTED_VALUE"""),45324)</f>
        <v>45324</v>
      </c>
      <c r="N1385" s="5" t="str">
        <f ca="1">IFERROR(__xludf.DUMMYFUNCTION("""COMPUTED_VALUE"""),"PARRA VELANDIA JOHN JAIRO")</f>
        <v>PARRA VELANDIA JOHN JAIRO</v>
      </c>
      <c r="O1385" s="2">
        <f ca="1">IFERROR(__xludf.DUMMYFUNCTION("""COMPUTED_VALUE"""),0.014285714)</f>
        <v>1.4285714E-2</v>
      </c>
      <c r="P1385" s="5">
        <f ca="1">IFERROR(__xludf.DUMMYFUNCTION("""COMPUTED_VALUE"""),94543434)</f>
        <v>94543434</v>
      </c>
      <c r="Q1385" s="5" t="str">
        <f ca="1">IFERROR(__xludf.DUMMYFUNCTION("""COMPUTED_VALUE"""),"fNio2bC7k0U")</f>
        <v>fNio2bC7k0U</v>
      </c>
      <c r="R1385" s="5">
        <f ca="1">IFERROR(__xludf.DUMMYFUNCTION("""COMPUTED_VALUE"""),410)</f>
        <v>410</v>
      </c>
      <c r="S1385" s="62">
        <f ca="1">IFERROR(__xludf.DUMMYFUNCTION("""COMPUTED_VALUE"""),0.014285714)</f>
        <v>1.4285714E-2</v>
      </c>
      <c r="T1385" s="63" t="str">
        <f ca="1">IFERROR(__xludf.DUMMYFUNCTION("""COMPUTED_VALUE"""),"https://storage.googleapis.com/glide-prod.appspot.com/uploads-v2/ly7o78grxPaC6KdgvbpS/pub/3aRdSog0vUtuqPE8AJKD.png")</f>
        <v>https://storage.googleapis.com/glide-prod.appspot.com/uploads-v2/ly7o78grxPaC6KdgvbpS/pub/3aRdSog0vUtuqPE8AJKD.png</v>
      </c>
      <c r="U1385" s="5" t="str">
        <f ca="1">IFERROR(__xludf.DUMMYFUNCTION("""COMPUTED_VALUE"""),"LINEA PET CSD - LINEA 10TRANSPORTE DE PALETS")</f>
        <v>LINEA PET CSD - LINEA 10TRANSPORTE DE PALETS</v>
      </c>
      <c r="V1385" s="5"/>
      <c r="W1385" s="5" t="b">
        <f ca="1">IFERROR(__xludf.DUMMYFUNCTION("""COMPUTED_VALUE"""),TRUE)</f>
        <v>1</v>
      </c>
      <c r="X1385" s="5" t="str">
        <f ca="1">IFERROR(__xludf.DUMMYFUNCTION("""COMPUTED_VALUE"""),"wmazorra@postobon.com.co,aprmttoyu@postobon.com.co,aprmyu@postobon.com.co,wmora@postobon.com.co,efzapata@postobon.com.co")</f>
        <v>wmazorra@postobon.com.co,aprmttoyu@postobon.com.co,aprmyu@postobon.com.co,wmora@postobon.com.co,efzapata@postobon.com.co</v>
      </c>
      <c r="Y1385" s="5" t="str">
        <f ca="1">IFERROR(__xludf.DUMMYFUNCTION("""COMPUTED_VALUE"""),"wmazorra@postobon.com.co")</f>
        <v>wmazorra@postobon.com.co</v>
      </c>
      <c r="Z1385" s="5" t="str">
        <f ca="1">IFERROR(__xludf.DUMMYFUNCTION("""COMPUTED_VALUE"""),"ziYVp5BLR-C.MBIMEAbSdw")</f>
        <v>ziYVp5BLR-C.MBIMEAbSdw</v>
      </c>
      <c r="AA1385" s="5"/>
      <c r="AB1385" s="5"/>
      <c r="AC1385" s="5"/>
      <c r="AD1385" s="5">
        <f ca="1">IFERROR(__xludf.DUMMYFUNCTION("""COMPUTED_VALUE"""),36)</f>
        <v>36</v>
      </c>
      <c r="AE1385" s="5">
        <f ca="1">IFERROR(__xludf.DUMMYFUNCTION("""COMPUTED_VALUE"""),36)</f>
        <v>36</v>
      </c>
      <c r="AF1385" s="5" t="b">
        <f ca="1">IFERROR(__xludf.DUMMYFUNCTION("""COMPUTED_VALUE"""),FALSE)</f>
        <v>0</v>
      </c>
      <c r="AG1385" s="5" t="str">
        <f ca="1">IFERROR(__xludf.DUMMYFUNCTION("""COMPUTED_VALUE"""),"INSPECCIONES REALIZADAS")</f>
        <v>INSPECCIONES REALIZADAS</v>
      </c>
      <c r="AH1385" s="5"/>
    </row>
    <row r="1386" spans="1:34">
      <c r="A1386" s="5" t="str">
        <f ca="1">IFERROR(__xludf.DUMMYFUNCTION("""COMPUTED_VALUE"""),"LINEA PET CSD - LINEA 10")</f>
        <v>LINEA PET CSD - LINEA 10</v>
      </c>
      <c r="B1386" s="5">
        <f ca="1">IFERROR(__xludf.DUMMYFUNCTION("""COMPUTED_VALUE"""),829869)</f>
        <v>829869</v>
      </c>
      <c r="C1386" s="5" t="str">
        <f ca="1">IFERROR(__xludf.DUMMYFUNCTION("""COMPUTED_VALUE"""),"TRANSPORTE DE PALETS")</f>
        <v>TRANSPORTE DE PALETS</v>
      </c>
      <c r="D1386" s="5">
        <f ca="1">IFERROR(__xludf.DUMMYFUNCTION("""COMPUTED_VALUE"""),13247601)</f>
        <v>13247601</v>
      </c>
      <c r="E1386" s="5" t="str">
        <f ca="1">IFERROR(__xludf.DUMMYFUNCTION("""COMPUTED_VALUE"""),"INSPECCION SEMANAL TRANSPORTE DE PALETS")</f>
        <v>INSPECCION SEMANAL TRANSPORTE DE PALETS</v>
      </c>
      <c r="F1386" s="5" t="str">
        <f ca="1">IFERROR(__xludf.DUMMYFUNCTION("""COMPUTED_VALUE"""),"ESTADO CARRO TRASLACION ESTIBAS")</f>
        <v>ESTADO CARRO TRASLACION ESTIBAS</v>
      </c>
      <c r="G1386" s="5" t="b">
        <f ca="1">IFERROR(__xludf.DUMMYFUNCTION("""COMPUTED_VALUE"""),TRUE)</f>
        <v>1</v>
      </c>
      <c r="H1386" s="5" t="str">
        <f ca="1">IFERROR(__xludf.DUMMYFUNCTION("""COMPUTED_VALUE"""),"Se solicita cambió de rodamiento lineal modupal.se está generando un ruido en los rodamientos ")</f>
        <v xml:space="preserve">Se solicita cambió de rodamiento lineal modupal.se está generando un ruido en los rodamientos </v>
      </c>
      <c r="I1386" s="5"/>
      <c r="J1386" s="5">
        <f ca="1">IFERROR(__xludf.DUMMYFUNCTION("""COMPUTED_VALUE"""),13247601)</f>
        <v>13247601</v>
      </c>
      <c r="K1386" s="5"/>
      <c r="L1386" s="18">
        <f ca="1">IFERROR(__xludf.DUMMYFUNCTION("""COMPUTED_VALUE"""),45324)</f>
        <v>45324</v>
      </c>
      <c r="M1386" s="18">
        <f ca="1">IFERROR(__xludf.DUMMYFUNCTION("""COMPUTED_VALUE"""),45324)</f>
        <v>45324</v>
      </c>
      <c r="N1386" s="5" t="str">
        <f ca="1">IFERROR(__xludf.DUMMYFUNCTION("""COMPUTED_VALUE"""),"PARRA VELANDIA JOHN JAIRO")</f>
        <v>PARRA VELANDIA JOHN JAIRO</v>
      </c>
      <c r="O1386" s="2">
        <f ca="1">IFERROR(__xludf.DUMMYFUNCTION("""COMPUTED_VALUE"""),0.014285714)</f>
        <v>1.4285714E-2</v>
      </c>
      <c r="P1386" s="5">
        <f ca="1">IFERROR(__xludf.DUMMYFUNCTION("""COMPUTED_VALUE"""),94543434)</f>
        <v>94543434</v>
      </c>
      <c r="Q1386" s="5" t="str">
        <f ca="1">IFERROR(__xludf.DUMMYFUNCTION("""COMPUTED_VALUE"""),"EsJvRfgWHV4")</f>
        <v>EsJvRfgWHV4</v>
      </c>
      <c r="R1386" s="5">
        <f ca="1">IFERROR(__xludf.DUMMYFUNCTION("""COMPUTED_VALUE"""),410)</f>
        <v>410</v>
      </c>
      <c r="S1386" s="62">
        <f ca="1">IFERROR(__xludf.DUMMYFUNCTION("""COMPUTED_VALUE"""),0.014285714)</f>
        <v>1.4285714E-2</v>
      </c>
      <c r="T1386" s="63" t="str">
        <f ca="1">IFERROR(__xludf.DUMMYFUNCTION("""COMPUTED_VALUE"""),"https://storage.googleapis.com/glide-prod.appspot.com/uploads-v2/ly7o78grxPaC6KdgvbpS/pub/3aRdSog0vUtuqPE8AJKD.png")</f>
        <v>https://storage.googleapis.com/glide-prod.appspot.com/uploads-v2/ly7o78grxPaC6KdgvbpS/pub/3aRdSog0vUtuqPE8AJKD.png</v>
      </c>
      <c r="U1386" s="5" t="str">
        <f ca="1">IFERROR(__xludf.DUMMYFUNCTION("""COMPUTED_VALUE"""),"LINEA PET CSD - LINEA 10TRANSPORTE DE PALETS")</f>
        <v>LINEA PET CSD - LINEA 10TRANSPORTE DE PALETS</v>
      </c>
      <c r="V1386" s="5"/>
      <c r="W1386" s="5" t="b">
        <f ca="1">IFERROR(__xludf.DUMMYFUNCTION("""COMPUTED_VALUE"""),TRUE)</f>
        <v>1</v>
      </c>
      <c r="X1386" s="5" t="str">
        <f ca="1">IFERROR(__xludf.DUMMYFUNCTION("""COMPUTED_VALUE"""),"wmazorra@postobon.com.co,aprmttoyu@postobon.com.co,aprmyu@postobon.com.co,wmora@postobon.com.co,efzapata@postobon.com.co")</f>
        <v>wmazorra@postobon.com.co,aprmttoyu@postobon.com.co,aprmyu@postobon.com.co,wmora@postobon.com.co,efzapata@postobon.com.co</v>
      </c>
      <c r="Y1386" s="5" t="str">
        <f ca="1">IFERROR(__xludf.DUMMYFUNCTION("""COMPUTED_VALUE"""),"wmazorra@postobon.com.co")</f>
        <v>wmazorra@postobon.com.co</v>
      </c>
      <c r="Z1386" s="5" t="str">
        <f ca="1">IFERROR(__xludf.DUMMYFUNCTION("""COMPUTED_VALUE"""),"CO383AwjTAKmCHc6w-nSnw")</f>
        <v>CO383AwjTAKmCHc6w-nSnw</v>
      </c>
      <c r="AA1386" s="5"/>
      <c r="AB1386" s="5"/>
      <c r="AC1386" s="63" t="str">
        <f ca="1">IFERROR(__xludf.DUMMYFUNCTION("""COMPUTED_VALUE"""),"https://storage.googleapis.com/glide-prod.appspot.com/uploads-v2/ly7o78grxPaC6KdgvbpS/pub/7qydz2mrCSMvpBDbhfpT/VID20240120054056.mp4")</f>
        <v>https://storage.googleapis.com/glide-prod.appspot.com/uploads-v2/ly7o78grxPaC6KdgvbpS/pub/7qydz2mrCSMvpBDbhfpT/VID20240120054056.mp4</v>
      </c>
      <c r="AD1386" s="5">
        <f ca="1">IFERROR(__xludf.DUMMYFUNCTION("""COMPUTED_VALUE"""),36)</f>
        <v>36</v>
      </c>
      <c r="AE1386" s="5">
        <f ca="1">IFERROR(__xludf.DUMMYFUNCTION("""COMPUTED_VALUE"""),36)</f>
        <v>36</v>
      </c>
      <c r="AF1386" s="5" t="b">
        <f ca="1">IFERROR(__xludf.DUMMYFUNCTION("""COMPUTED_VALUE"""),FALSE)</f>
        <v>0</v>
      </c>
      <c r="AG1386" s="5" t="str">
        <f ca="1">IFERROR(__xludf.DUMMYFUNCTION("""COMPUTED_VALUE"""),"INSPECCIONES REALIZADAS")</f>
        <v>INSPECCIONES REALIZADAS</v>
      </c>
      <c r="AH1386" s="5"/>
    </row>
    <row r="1387" spans="1:34">
      <c r="A1387" s="5" t="str">
        <f ca="1">IFERROR(__xludf.DUMMYFUNCTION("""COMPUTED_VALUE"""),"LINEA PET CSD - LINEA 10")</f>
        <v>LINEA PET CSD - LINEA 10</v>
      </c>
      <c r="B1387" s="5">
        <f ca="1">IFERROR(__xludf.DUMMYFUNCTION("""COMPUTED_VALUE"""),829869)</f>
        <v>829869</v>
      </c>
      <c r="C1387" s="5" t="str">
        <f ca="1">IFERROR(__xludf.DUMMYFUNCTION("""COMPUTED_VALUE"""),"TRANSPORTE DE PALETS")</f>
        <v>TRANSPORTE DE PALETS</v>
      </c>
      <c r="D1387" s="5">
        <f ca="1">IFERROR(__xludf.DUMMYFUNCTION("""COMPUTED_VALUE"""),13247601)</f>
        <v>13247601</v>
      </c>
      <c r="E1387" s="5" t="str">
        <f ca="1">IFERROR(__xludf.DUMMYFUNCTION("""COMPUTED_VALUE"""),"INSPECCION SEMANAL TRANSPORTE DE PALETS")</f>
        <v>INSPECCION SEMANAL TRANSPORTE DE PALETS</v>
      </c>
      <c r="F1387" s="5" t="str">
        <f ca="1">IFERROR(__xludf.DUMMYFUNCTION("""COMPUTED_VALUE"""),"ESTADO RODILLOS MECANISMO TRASLACION")</f>
        <v>ESTADO RODILLOS MECANISMO TRASLACION</v>
      </c>
      <c r="G1387" s="5" t="b">
        <f ca="1">IFERROR(__xludf.DUMMYFUNCTION("""COMPUTED_VALUE"""),TRUE)</f>
        <v>1</v>
      </c>
      <c r="H1387" s="5"/>
      <c r="I1387" s="5"/>
      <c r="J1387" s="5">
        <f ca="1">IFERROR(__xludf.DUMMYFUNCTION("""COMPUTED_VALUE"""),13247601)</f>
        <v>13247601</v>
      </c>
      <c r="K1387" s="5"/>
      <c r="L1387" s="18">
        <f ca="1">IFERROR(__xludf.DUMMYFUNCTION("""COMPUTED_VALUE"""),45324)</f>
        <v>45324</v>
      </c>
      <c r="M1387" s="18">
        <f ca="1">IFERROR(__xludf.DUMMYFUNCTION("""COMPUTED_VALUE"""),45324)</f>
        <v>45324</v>
      </c>
      <c r="N1387" s="5" t="str">
        <f ca="1">IFERROR(__xludf.DUMMYFUNCTION("""COMPUTED_VALUE"""),"PARRA VELANDIA JOHN JAIRO")</f>
        <v>PARRA VELANDIA JOHN JAIRO</v>
      </c>
      <c r="O1387" s="2">
        <f ca="1">IFERROR(__xludf.DUMMYFUNCTION("""COMPUTED_VALUE"""),0.014285714)</f>
        <v>1.4285714E-2</v>
      </c>
      <c r="P1387" s="5">
        <f ca="1">IFERROR(__xludf.DUMMYFUNCTION("""COMPUTED_VALUE"""),94543434)</f>
        <v>94543434</v>
      </c>
      <c r="Q1387" s="5" t="str">
        <f ca="1">IFERROR(__xludf.DUMMYFUNCTION("""COMPUTED_VALUE"""),"ViKEGQ-wuxo")</f>
        <v>ViKEGQ-wuxo</v>
      </c>
      <c r="R1387" s="5">
        <f ca="1">IFERROR(__xludf.DUMMYFUNCTION("""COMPUTED_VALUE"""),410)</f>
        <v>410</v>
      </c>
      <c r="S1387" s="62">
        <f ca="1">IFERROR(__xludf.DUMMYFUNCTION("""COMPUTED_VALUE"""),0.014285714)</f>
        <v>1.4285714E-2</v>
      </c>
      <c r="T1387" s="63" t="str">
        <f ca="1">IFERROR(__xludf.DUMMYFUNCTION("""COMPUTED_VALUE"""),"https://storage.googleapis.com/glide-prod.appspot.com/uploads-v2/ly7o78grxPaC6KdgvbpS/pub/3aRdSog0vUtuqPE8AJKD.png")</f>
        <v>https://storage.googleapis.com/glide-prod.appspot.com/uploads-v2/ly7o78grxPaC6KdgvbpS/pub/3aRdSog0vUtuqPE8AJKD.png</v>
      </c>
      <c r="U1387" s="5" t="str">
        <f ca="1">IFERROR(__xludf.DUMMYFUNCTION("""COMPUTED_VALUE"""),"LINEA PET CSD - LINEA 10TRANSPORTE DE PALETS")</f>
        <v>LINEA PET CSD - LINEA 10TRANSPORTE DE PALETS</v>
      </c>
      <c r="V1387" s="5"/>
      <c r="W1387" s="5" t="b">
        <f ca="1">IFERROR(__xludf.DUMMYFUNCTION("""COMPUTED_VALUE"""),TRUE)</f>
        <v>1</v>
      </c>
      <c r="X1387" s="5" t="str">
        <f ca="1">IFERROR(__xludf.DUMMYFUNCTION("""COMPUTED_VALUE"""),"wmazorra@postobon.com.co,aprmttoyu@postobon.com.co,aprmyu@postobon.com.co,wmora@postobon.com.co,efzapata@postobon.com.co")</f>
        <v>wmazorra@postobon.com.co,aprmttoyu@postobon.com.co,aprmyu@postobon.com.co,wmora@postobon.com.co,efzapata@postobon.com.co</v>
      </c>
      <c r="Y1387" s="5" t="str">
        <f ca="1">IFERROR(__xludf.DUMMYFUNCTION("""COMPUTED_VALUE"""),"wmazorra@postobon.com.co")</f>
        <v>wmazorra@postobon.com.co</v>
      </c>
      <c r="Z1387" s="5" t="str">
        <f ca="1">IFERROR(__xludf.DUMMYFUNCTION("""COMPUTED_VALUE"""),"CBqv3lZkR0agzZzkibu.XA")</f>
        <v>CBqv3lZkR0agzZzkibu.XA</v>
      </c>
      <c r="AA1387" s="5"/>
      <c r="AB1387" s="5"/>
      <c r="AC1387" s="5"/>
      <c r="AD1387" s="5">
        <f ca="1">IFERROR(__xludf.DUMMYFUNCTION("""COMPUTED_VALUE"""),36)</f>
        <v>36</v>
      </c>
      <c r="AE1387" s="5">
        <f ca="1">IFERROR(__xludf.DUMMYFUNCTION("""COMPUTED_VALUE"""),36)</f>
        <v>36</v>
      </c>
      <c r="AF1387" s="5" t="b">
        <f ca="1">IFERROR(__xludf.DUMMYFUNCTION("""COMPUTED_VALUE"""),FALSE)</f>
        <v>0</v>
      </c>
      <c r="AG1387" s="5" t="str">
        <f ca="1">IFERROR(__xludf.DUMMYFUNCTION("""COMPUTED_VALUE"""),"INSPECCIONES REALIZADAS")</f>
        <v>INSPECCIONES REALIZADAS</v>
      </c>
      <c r="AH1387" s="5"/>
    </row>
    <row r="1388" spans="1:34">
      <c r="A1388" s="5" t="str">
        <f ca="1">IFERROR(__xludf.DUMMYFUNCTION("""COMPUTED_VALUE"""),"LINEA PET CSD - LINEA 10")</f>
        <v>LINEA PET CSD - LINEA 10</v>
      </c>
      <c r="B1388" s="5">
        <f ca="1">IFERROR(__xludf.DUMMYFUNCTION("""COMPUTED_VALUE"""),829869)</f>
        <v>829869</v>
      </c>
      <c r="C1388" s="5" t="str">
        <f ca="1">IFERROR(__xludf.DUMMYFUNCTION("""COMPUTED_VALUE"""),"TRANSPORTE DE PALETS")</f>
        <v>TRANSPORTE DE PALETS</v>
      </c>
      <c r="D1388" s="5">
        <f ca="1">IFERROR(__xludf.DUMMYFUNCTION("""COMPUTED_VALUE"""),13247601)</f>
        <v>13247601</v>
      </c>
      <c r="E1388" s="5" t="str">
        <f ca="1">IFERROR(__xludf.DUMMYFUNCTION("""COMPUTED_VALUE"""),"INSPECCION SEMANAL TRANSPORTE DE PALETS")</f>
        <v>INSPECCION SEMANAL TRANSPORTE DE PALETS</v>
      </c>
      <c r="F1388" s="5" t="str">
        <f ca="1">IFERROR(__xludf.DUMMYFUNCTION("""COMPUTED_VALUE"""),"INSP INTERCAMBIADOR Y REJILLA AIRE")</f>
        <v>INSP INTERCAMBIADOR Y REJILLA AIRE</v>
      </c>
      <c r="G1388" s="5" t="b">
        <f ca="1">IFERROR(__xludf.DUMMYFUNCTION("""COMPUTED_VALUE"""),TRUE)</f>
        <v>1</v>
      </c>
      <c r="H1388" s="5"/>
      <c r="I1388" s="5"/>
      <c r="J1388" s="5">
        <f ca="1">IFERROR(__xludf.DUMMYFUNCTION("""COMPUTED_VALUE"""),13247601)</f>
        <v>13247601</v>
      </c>
      <c r="K1388" s="5"/>
      <c r="L1388" s="18">
        <f ca="1">IFERROR(__xludf.DUMMYFUNCTION("""COMPUTED_VALUE"""),45324)</f>
        <v>45324</v>
      </c>
      <c r="M1388" s="18">
        <f ca="1">IFERROR(__xludf.DUMMYFUNCTION("""COMPUTED_VALUE"""),45324)</f>
        <v>45324</v>
      </c>
      <c r="N1388" s="5" t="str">
        <f ca="1">IFERROR(__xludf.DUMMYFUNCTION("""COMPUTED_VALUE"""),"PARRA VELANDIA JOHN JAIRO")</f>
        <v>PARRA VELANDIA JOHN JAIRO</v>
      </c>
      <c r="O1388" s="2">
        <f ca="1">IFERROR(__xludf.DUMMYFUNCTION("""COMPUTED_VALUE"""),0.014285714)</f>
        <v>1.4285714E-2</v>
      </c>
      <c r="P1388" s="5">
        <f ca="1">IFERROR(__xludf.DUMMYFUNCTION("""COMPUTED_VALUE"""),94543434)</f>
        <v>94543434</v>
      </c>
      <c r="Q1388" s="5" t="str">
        <f ca="1">IFERROR(__xludf.DUMMYFUNCTION("""COMPUTED_VALUE"""),"IvFc1lygjaQ")</f>
        <v>IvFc1lygjaQ</v>
      </c>
      <c r="R1388" s="5">
        <f ca="1">IFERROR(__xludf.DUMMYFUNCTION("""COMPUTED_VALUE"""),410)</f>
        <v>410</v>
      </c>
      <c r="S1388" s="62">
        <f ca="1">IFERROR(__xludf.DUMMYFUNCTION("""COMPUTED_VALUE"""),0.014285714)</f>
        <v>1.4285714E-2</v>
      </c>
      <c r="T1388" s="63" t="str">
        <f ca="1">IFERROR(__xludf.DUMMYFUNCTION("""COMPUTED_VALUE"""),"https://storage.googleapis.com/glide-prod.appspot.com/uploads-v2/ly7o78grxPaC6KdgvbpS/pub/3aRdSog0vUtuqPE8AJKD.png")</f>
        <v>https://storage.googleapis.com/glide-prod.appspot.com/uploads-v2/ly7o78grxPaC6KdgvbpS/pub/3aRdSog0vUtuqPE8AJKD.png</v>
      </c>
      <c r="U1388" s="5" t="str">
        <f ca="1">IFERROR(__xludf.DUMMYFUNCTION("""COMPUTED_VALUE"""),"LINEA PET CSD - LINEA 10TRANSPORTE DE PALETS")</f>
        <v>LINEA PET CSD - LINEA 10TRANSPORTE DE PALETS</v>
      </c>
      <c r="V1388" s="5"/>
      <c r="W1388" s="5" t="b">
        <f ca="1">IFERROR(__xludf.DUMMYFUNCTION("""COMPUTED_VALUE"""),TRUE)</f>
        <v>1</v>
      </c>
      <c r="X1388" s="5" t="str">
        <f ca="1">IFERROR(__xludf.DUMMYFUNCTION("""COMPUTED_VALUE"""),"wmazorra@postobon.com.co,aprmttoyu@postobon.com.co,aprmyu@postobon.com.co,wmora@postobon.com.co,efzapata@postobon.com.co")</f>
        <v>wmazorra@postobon.com.co,aprmttoyu@postobon.com.co,aprmyu@postobon.com.co,wmora@postobon.com.co,efzapata@postobon.com.co</v>
      </c>
      <c r="Y1388" s="5" t="str">
        <f ca="1">IFERROR(__xludf.DUMMYFUNCTION("""COMPUTED_VALUE"""),"wmazorra@postobon.com.co")</f>
        <v>wmazorra@postobon.com.co</v>
      </c>
      <c r="Z1388" s="5" t="str">
        <f ca="1">IFERROR(__xludf.DUMMYFUNCTION("""COMPUTED_VALUE"""),"tYkKU0xxSh65X5rngoy0IQ")</f>
        <v>tYkKU0xxSh65X5rngoy0IQ</v>
      </c>
      <c r="AA1388" s="5"/>
      <c r="AB1388" s="5"/>
      <c r="AC1388" s="5"/>
      <c r="AD1388" s="5">
        <f ca="1">IFERROR(__xludf.DUMMYFUNCTION("""COMPUTED_VALUE"""),36)</f>
        <v>36</v>
      </c>
      <c r="AE1388" s="5">
        <f ca="1">IFERROR(__xludf.DUMMYFUNCTION("""COMPUTED_VALUE"""),36)</f>
        <v>36</v>
      </c>
      <c r="AF1388" s="5" t="b">
        <f ca="1">IFERROR(__xludf.DUMMYFUNCTION("""COMPUTED_VALUE"""),FALSE)</f>
        <v>0</v>
      </c>
      <c r="AG1388" s="5" t="str">
        <f ca="1">IFERROR(__xludf.DUMMYFUNCTION("""COMPUTED_VALUE"""),"INSPECCIONES REALIZADAS")</f>
        <v>INSPECCIONES REALIZADAS</v>
      </c>
      <c r="AH1388" s="5"/>
    </row>
    <row r="1389" spans="1:34">
      <c r="A1389" s="5" t="str">
        <f ca="1">IFERROR(__xludf.DUMMYFUNCTION("""COMPUTED_VALUE"""),"LINEA PET CSD - LINEA 10")</f>
        <v>LINEA PET CSD - LINEA 10</v>
      </c>
      <c r="B1389" s="5">
        <f ca="1">IFERROR(__xludf.DUMMYFUNCTION("""COMPUTED_VALUE"""),829869)</f>
        <v>829869</v>
      </c>
      <c r="C1389" s="5" t="str">
        <f ca="1">IFERROR(__xludf.DUMMYFUNCTION("""COMPUTED_VALUE"""),"TRANSPORTE DE PALETS")</f>
        <v>TRANSPORTE DE PALETS</v>
      </c>
      <c r="D1389" s="5">
        <f ca="1">IFERROR(__xludf.DUMMYFUNCTION("""COMPUTED_VALUE"""),13247601)</f>
        <v>13247601</v>
      </c>
      <c r="E1389" s="5" t="str">
        <f ca="1">IFERROR(__xludf.DUMMYFUNCTION("""COMPUTED_VALUE"""),"INSPECCION SEMANAL TRANSPORTE DE PALETS")</f>
        <v>INSPECCION SEMANAL TRANSPORTE DE PALETS</v>
      </c>
      <c r="F1389" s="5" t="str">
        <f ca="1">IFERROR(__xludf.DUMMYFUNCTION("""COMPUTED_VALUE"""),"INSP TABLERO ELECTRICO/CLIMATIZADOR")</f>
        <v>INSP TABLERO ELECTRICO/CLIMATIZADOR</v>
      </c>
      <c r="G1389" s="5" t="b">
        <f ca="1">IFERROR(__xludf.DUMMYFUNCTION("""COMPUTED_VALUE"""),TRUE)</f>
        <v>1</v>
      </c>
      <c r="H1389" s="5"/>
      <c r="I1389" s="5"/>
      <c r="J1389" s="5">
        <f ca="1">IFERROR(__xludf.DUMMYFUNCTION("""COMPUTED_VALUE"""),13247601)</f>
        <v>13247601</v>
      </c>
      <c r="K1389" s="5"/>
      <c r="L1389" s="18">
        <f ca="1">IFERROR(__xludf.DUMMYFUNCTION("""COMPUTED_VALUE"""),45324)</f>
        <v>45324</v>
      </c>
      <c r="M1389" s="18">
        <f ca="1">IFERROR(__xludf.DUMMYFUNCTION("""COMPUTED_VALUE"""),45324)</f>
        <v>45324</v>
      </c>
      <c r="N1389" s="5" t="str">
        <f ca="1">IFERROR(__xludf.DUMMYFUNCTION("""COMPUTED_VALUE"""),"PARRA VELANDIA JOHN JAIRO")</f>
        <v>PARRA VELANDIA JOHN JAIRO</v>
      </c>
      <c r="O1389" s="2">
        <f ca="1">IFERROR(__xludf.DUMMYFUNCTION("""COMPUTED_VALUE"""),0.014285714)</f>
        <v>1.4285714E-2</v>
      </c>
      <c r="P1389" s="5">
        <f ca="1">IFERROR(__xludf.DUMMYFUNCTION("""COMPUTED_VALUE"""),94543434)</f>
        <v>94543434</v>
      </c>
      <c r="Q1389" s="5" t="str">
        <f ca="1">IFERROR(__xludf.DUMMYFUNCTION("""COMPUTED_VALUE"""),"giPLFCfC9NQ")</f>
        <v>giPLFCfC9NQ</v>
      </c>
      <c r="R1389" s="5">
        <f ca="1">IFERROR(__xludf.DUMMYFUNCTION("""COMPUTED_VALUE"""),410)</f>
        <v>410</v>
      </c>
      <c r="S1389" s="62">
        <f ca="1">IFERROR(__xludf.DUMMYFUNCTION("""COMPUTED_VALUE"""),0.014285714)</f>
        <v>1.4285714E-2</v>
      </c>
      <c r="T1389" s="63" t="str">
        <f ca="1">IFERROR(__xludf.DUMMYFUNCTION("""COMPUTED_VALUE"""),"https://storage.googleapis.com/glide-prod.appspot.com/uploads-v2/ly7o78grxPaC6KdgvbpS/pub/3aRdSog0vUtuqPE8AJKD.png")</f>
        <v>https://storage.googleapis.com/glide-prod.appspot.com/uploads-v2/ly7o78grxPaC6KdgvbpS/pub/3aRdSog0vUtuqPE8AJKD.png</v>
      </c>
      <c r="U1389" s="5" t="str">
        <f ca="1">IFERROR(__xludf.DUMMYFUNCTION("""COMPUTED_VALUE"""),"LINEA PET CSD - LINEA 10TRANSPORTE DE PALETS")</f>
        <v>LINEA PET CSD - LINEA 10TRANSPORTE DE PALETS</v>
      </c>
      <c r="V1389" s="5"/>
      <c r="W1389" s="5" t="b">
        <f ca="1">IFERROR(__xludf.DUMMYFUNCTION("""COMPUTED_VALUE"""),TRUE)</f>
        <v>1</v>
      </c>
      <c r="X1389" s="5" t="str">
        <f ca="1">IFERROR(__xludf.DUMMYFUNCTION("""COMPUTED_VALUE"""),"wmazorra@postobon.com.co,aprmttoyu@postobon.com.co,aprmyu@postobon.com.co,wmora@postobon.com.co,efzapata@postobon.com.co")</f>
        <v>wmazorra@postobon.com.co,aprmttoyu@postobon.com.co,aprmyu@postobon.com.co,wmora@postobon.com.co,efzapata@postobon.com.co</v>
      </c>
      <c r="Y1389" s="5" t="str">
        <f ca="1">IFERROR(__xludf.DUMMYFUNCTION("""COMPUTED_VALUE"""),"wmazorra@postobon.com.co")</f>
        <v>wmazorra@postobon.com.co</v>
      </c>
      <c r="Z1389" s="5" t="str">
        <f ca="1">IFERROR(__xludf.DUMMYFUNCTION("""COMPUTED_VALUE"""),"Y.Q2JCuVSJenvHqkLPjV.g")</f>
        <v>Y.Q2JCuVSJenvHqkLPjV.g</v>
      </c>
      <c r="AA1389" s="5"/>
      <c r="AB1389" s="5"/>
      <c r="AC1389" s="5"/>
      <c r="AD1389" s="5">
        <f ca="1">IFERROR(__xludf.DUMMYFUNCTION("""COMPUTED_VALUE"""),36)</f>
        <v>36</v>
      </c>
      <c r="AE1389" s="5">
        <f ca="1">IFERROR(__xludf.DUMMYFUNCTION("""COMPUTED_VALUE"""),36)</f>
        <v>36</v>
      </c>
      <c r="AF1389" s="5" t="b">
        <f ca="1">IFERROR(__xludf.DUMMYFUNCTION("""COMPUTED_VALUE"""),FALSE)</f>
        <v>0</v>
      </c>
      <c r="AG1389" s="5" t="str">
        <f ca="1">IFERROR(__xludf.DUMMYFUNCTION("""COMPUTED_VALUE"""),"INSPECCIONES REALIZADAS")</f>
        <v>INSPECCIONES REALIZADAS</v>
      </c>
      <c r="AH1389" s="5"/>
    </row>
    <row r="1390" spans="1:34">
      <c r="A1390" s="5" t="str">
        <f ca="1">IFERROR(__xludf.DUMMYFUNCTION("""COMPUTED_VALUE"""),"LINEA PET CSD - LINEA 10")</f>
        <v>LINEA PET CSD - LINEA 10</v>
      </c>
      <c r="B1390" s="5">
        <f ca="1">IFERROR(__xludf.DUMMYFUNCTION("""COMPUTED_VALUE"""),829868)</f>
        <v>829868</v>
      </c>
      <c r="C1390" s="5" t="str">
        <f ca="1">IFERROR(__xludf.DUMMYFUNCTION("""COMPUTED_VALUE"""),"TRANSPORTE DE PAQUETES")</f>
        <v>TRANSPORTE DE PAQUETES</v>
      </c>
      <c r="D1390" s="5">
        <f ca="1">IFERROR(__xludf.DUMMYFUNCTION("""COMPUTED_VALUE"""),13247599)</f>
        <v>13247599</v>
      </c>
      <c r="E1390" s="5" t="str">
        <f ca="1">IFERROR(__xludf.DUMMYFUNCTION("""COMPUTED_VALUE"""),"INSPECCION SEMANAL TRANSPORTE DE PAQUETE")</f>
        <v>INSPECCION SEMANAL TRANSPORTE DE PAQUETE</v>
      </c>
      <c r="F1390" s="5" t="str">
        <f ca="1">IFERROR(__xludf.DUMMYFUNCTION("""COMPUTED_VALUE"""),"ESTADO PERFILES, EMPACK")</f>
        <v>ESTADO PERFILES, EMPACK</v>
      </c>
      <c r="G1390" s="5" t="b">
        <f ca="1">IFERROR(__xludf.DUMMYFUNCTION("""COMPUTED_VALUE"""),TRUE)</f>
        <v>1</v>
      </c>
      <c r="H1390" s="5"/>
      <c r="I1390" s="5"/>
      <c r="J1390" s="5">
        <f ca="1">IFERROR(__xludf.DUMMYFUNCTION("""COMPUTED_VALUE"""),13247599)</f>
        <v>13247599</v>
      </c>
      <c r="K1390" s="5"/>
      <c r="L1390" s="18">
        <f ca="1">IFERROR(__xludf.DUMMYFUNCTION("""COMPUTED_VALUE"""),45324)</f>
        <v>45324</v>
      </c>
      <c r="M1390" s="18">
        <f ca="1">IFERROR(__xludf.DUMMYFUNCTION("""COMPUTED_VALUE"""),45324)</f>
        <v>45324</v>
      </c>
      <c r="N1390" s="5" t="str">
        <f ca="1">IFERROR(__xludf.DUMMYFUNCTION("""COMPUTED_VALUE"""),"PARRA VELANDIA JOHN JAIRO")</f>
        <v>PARRA VELANDIA JOHN JAIRO</v>
      </c>
      <c r="O1390" s="2">
        <f ca="1">IFERROR(__xludf.DUMMYFUNCTION("""COMPUTED_VALUE"""),0.011111111)</f>
        <v>1.1111111E-2</v>
      </c>
      <c r="P1390" s="5">
        <f ca="1">IFERROR(__xludf.DUMMYFUNCTION("""COMPUTED_VALUE"""),94543434)</f>
        <v>94543434</v>
      </c>
      <c r="Q1390" s="5" t="str">
        <f ca="1">IFERROR(__xludf.DUMMYFUNCTION("""COMPUTED_VALUE"""),"Yn86C6UTwZM")</f>
        <v>Yn86C6UTwZM</v>
      </c>
      <c r="R1390" s="5">
        <f ca="1">IFERROR(__xludf.DUMMYFUNCTION("""COMPUTED_VALUE"""),410)</f>
        <v>410</v>
      </c>
      <c r="S1390" s="62">
        <f ca="1">IFERROR(__xludf.DUMMYFUNCTION("""COMPUTED_VALUE"""),0.011111111)</f>
        <v>1.1111111E-2</v>
      </c>
      <c r="T1390" s="63" t="str">
        <f ca="1">IFERROR(__xludf.DUMMYFUNCTION("""COMPUTED_VALUE"""),"https://storage.googleapis.com/glide-prod.appspot.com/uploads-v2/ly7o78grxPaC6KdgvbpS/pub/3aRdSog0vUtuqPE8AJKD.png")</f>
        <v>https://storage.googleapis.com/glide-prod.appspot.com/uploads-v2/ly7o78grxPaC6KdgvbpS/pub/3aRdSog0vUtuqPE8AJKD.png</v>
      </c>
      <c r="U1390" s="5" t="str">
        <f ca="1">IFERROR(__xludf.DUMMYFUNCTION("""COMPUTED_VALUE"""),"LINEA PET CSD - LINEA 10TRANSPORTE DE PAQUETES")</f>
        <v>LINEA PET CSD - LINEA 10TRANSPORTE DE PAQUETES</v>
      </c>
      <c r="V1390" s="5"/>
      <c r="W1390" s="5" t="b">
        <f ca="1">IFERROR(__xludf.DUMMYFUNCTION("""COMPUTED_VALUE"""),TRUE)</f>
        <v>1</v>
      </c>
      <c r="X1390" s="5" t="str">
        <f ca="1">IFERROR(__xludf.DUMMYFUNCTION("""COMPUTED_VALUE"""),"wmazorra@postobon.com.co,aprmttoyu@postobon.com.co,aprmyu@postobon.com.co,wmora@postobon.com.co,efzapata@postobon.com.co")</f>
        <v>wmazorra@postobon.com.co,aprmttoyu@postobon.com.co,aprmyu@postobon.com.co,wmora@postobon.com.co,efzapata@postobon.com.co</v>
      </c>
      <c r="Y1390" s="5" t="str">
        <f ca="1">IFERROR(__xludf.DUMMYFUNCTION("""COMPUTED_VALUE"""),"wmazorra@postobon.com.co")</f>
        <v>wmazorra@postobon.com.co</v>
      </c>
      <c r="Z1390" s="5" t="str">
        <f ca="1">IFERROR(__xludf.DUMMYFUNCTION("""COMPUTED_VALUE"""),"25RoMCgsQHOmDh7V0ichog")</f>
        <v>25RoMCgsQHOmDh7V0ichog</v>
      </c>
      <c r="AA1390" s="5"/>
      <c r="AB1390" s="5"/>
      <c r="AC1390" s="5"/>
      <c r="AD1390" s="5">
        <f ca="1">IFERROR(__xludf.DUMMYFUNCTION("""COMPUTED_VALUE"""),36)</f>
        <v>36</v>
      </c>
      <c r="AE1390" s="5">
        <f ca="1">IFERROR(__xludf.DUMMYFUNCTION("""COMPUTED_VALUE"""),36)</f>
        <v>36</v>
      </c>
      <c r="AF1390" s="5" t="b">
        <f ca="1">IFERROR(__xludf.DUMMYFUNCTION("""COMPUTED_VALUE"""),FALSE)</f>
        <v>0</v>
      </c>
      <c r="AG1390" s="5" t="str">
        <f ca="1">IFERROR(__xludf.DUMMYFUNCTION("""COMPUTED_VALUE"""),"INSPECCIONES REALIZADAS")</f>
        <v>INSPECCIONES REALIZADAS</v>
      </c>
      <c r="AH1390" s="5"/>
    </row>
    <row r="1391" spans="1:34">
      <c r="A1391" s="5" t="str">
        <f ca="1">IFERROR(__xludf.DUMMYFUNCTION("""COMPUTED_VALUE"""),"LINEA PET CSD - LINEA 10")</f>
        <v>LINEA PET CSD - LINEA 10</v>
      </c>
      <c r="B1391" s="5">
        <f ca="1">IFERROR(__xludf.DUMMYFUNCTION("""COMPUTED_VALUE"""),829868)</f>
        <v>829868</v>
      </c>
      <c r="C1391" s="5" t="str">
        <f ca="1">IFERROR(__xludf.DUMMYFUNCTION("""COMPUTED_VALUE"""),"TRANSPORTE DE PAQUETES")</f>
        <v>TRANSPORTE DE PAQUETES</v>
      </c>
      <c r="D1391" s="5">
        <f ca="1">IFERROR(__xludf.DUMMYFUNCTION("""COMPUTED_VALUE"""),13247599)</f>
        <v>13247599</v>
      </c>
      <c r="E1391" s="5" t="str">
        <f ca="1">IFERROR(__xludf.DUMMYFUNCTION("""COMPUTED_VALUE"""),"INSPECCION SEMANAL TRANSPORTE DE PAQUETE")</f>
        <v>INSPECCION SEMANAL TRANSPORTE DE PAQUETE</v>
      </c>
      <c r="F1391" s="5" t="str">
        <f ca="1">IFERROR(__xludf.DUMMYFUNCTION("""COMPUTED_VALUE"""),"ESTADO PIÑONES,CHUMACERAS")</f>
        <v>ESTADO PIÑONES,CHUMACERAS</v>
      </c>
      <c r="G1391" s="5" t="b">
        <f ca="1">IFERROR(__xludf.DUMMYFUNCTION("""COMPUTED_VALUE"""),TRUE)</f>
        <v>1</v>
      </c>
      <c r="H1391" s="5"/>
      <c r="I1391" s="5"/>
      <c r="J1391" s="5">
        <f ca="1">IFERROR(__xludf.DUMMYFUNCTION("""COMPUTED_VALUE"""),13247599)</f>
        <v>13247599</v>
      </c>
      <c r="K1391" s="5"/>
      <c r="L1391" s="18">
        <f ca="1">IFERROR(__xludf.DUMMYFUNCTION("""COMPUTED_VALUE"""),45324)</f>
        <v>45324</v>
      </c>
      <c r="M1391" s="18">
        <f ca="1">IFERROR(__xludf.DUMMYFUNCTION("""COMPUTED_VALUE"""),45324)</f>
        <v>45324</v>
      </c>
      <c r="N1391" s="5" t="str">
        <f ca="1">IFERROR(__xludf.DUMMYFUNCTION("""COMPUTED_VALUE"""),"PARRA VELANDIA JOHN JAIRO")</f>
        <v>PARRA VELANDIA JOHN JAIRO</v>
      </c>
      <c r="O1391" s="2">
        <f ca="1">IFERROR(__xludf.DUMMYFUNCTION("""COMPUTED_VALUE"""),0.011111111)</f>
        <v>1.1111111E-2</v>
      </c>
      <c r="P1391" s="5">
        <f ca="1">IFERROR(__xludf.DUMMYFUNCTION("""COMPUTED_VALUE"""),94543434)</f>
        <v>94543434</v>
      </c>
      <c r="Q1391" s="5" t="str">
        <f ca="1">IFERROR(__xludf.DUMMYFUNCTION("""COMPUTED_VALUE"""),"xn9Kawgk4rk")</f>
        <v>xn9Kawgk4rk</v>
      </c>
      <c r="R1391" s="5">
        <f ca="1">IFERROR(__xludf.DUMMYFUNCTION("""COMPUTED_VALUE"""),410)</f>
        <v>410</v>
      </c>
      <c r="S1391" s="62">
        <f ca="1">IFERROR(__xludf.DUMMYFUNCTION("""COMPUTED_VALUE"""),0.011111111)</f>
        <v>1.1111111E-2</v>
      </c>
      <c r="T1391" s="63" t="str">
        <f ca="1">IFERROR(__xludf.DUMMYFUNCTION("""COMPUTED_VALUE"""),"https://storage.googleapis.com/glide-prod.appspot.com/uploads-v2/ly7o78grxPaC6KdgvbpS/pub/3aRdSog0vUtuqPE8AJKD.png")</f>
        <v>https://storage.googleapis.com/glide-prod.appspot.com/uploads-v2/ly7o78grxPaC6KdgvbpS/pub/3aRdSog0vUtuqPE8AJKD.png</v>
      </c>
      <c r="U1391" s="5" t="str">
        <f ca="1">IFERROR(__xludf.DUMMYFUNCTION("""COMPUTED_VALUE"""),"LINEA PET CSD - LINEA 10TRANSPORTE DE PAQUETES")</f>
        <v>LINEA PET CSD - LINEA 10TRANSPORTE DE PAQUETES</v>
      </c>
      <c r="V1391" s="5"/>
      <c r="W1391" s="5" t="b">
        <f ca="1">IFERROR(__xludf.DUMMYFUNCTION("""COMPUTED_VALUE"""),TRUE)</f>
        <v>1</v>
      </c>
      <c r="X1391" s="5" t="str">
        <f ca="1">IFERROR(__xludf.DUMMYFUNCTION("""COMPUTED_VALUE"""),"wmazorra@postobon.com.co,aprmttoyu@postobon.com.co,aprmyu@postobon.com.co,wmora@postobon.com.co,efzapata@postobon.com.co")</f>
        <v>wmazorra@postobon.com.co,aprmttoyu@postobon.com.co,aprmyu@postobon.com.co,wmora@postobon.com.co,efzapata@postobon.com.co</v>
      </c>
      <c r="Y1391" s="5" t="str">
        <f ca="1">IFERROR(__xludf.DUMMYFUNCTION("""COMPUTED_VALUE"""),"wmazorra@postobon.com.co")</f>
        <v>wmazorra@postobon.com.co</v>
      </c>
      <c r="Z1391" s="5" t="str">
        <f ca="1">IFERROR(__xludf.DUMMYFUNCTION("""COMPUTED_VALUE"""),"WPQMkexISWKF5G9nDy4VBA")</f>
        <v>WPQMkexISWKF5G9nDy4VBA</v>
      </c>
      <c r="AA1391" s="5"/>
      <c r="AB1391" s="5"/>
      <c r="AC1391" s="5"/>
      <c r="AD1391" s="5">
        <f ca="1">IFERROR(__xludf.DUMMYFUNCTION("""COMPUTED_VALUE"""),36)</f>
        <v>36</v>
      </c>
      <c r="AE1391" s="5">
        <f ca="1">IFERROR(__xludf.DUMMYFUNCTION("""COMPUTED_VALUE"""),36)</f>
        <v>36</v>
      </c>
      <c r="AF1391" s="5" t="b">
        <f ca="1">IFERROR(__xludf.DUMMYFUNCTION("""COMPUTED_VALUE"""),FALSE)</f>
        <v>0</v>
      </c>
      <c r="AG1391" s="5" t="str">
        <f ca="1">IFERROR(__xludf.DUMMYFUNCTION("""COMPUTED_VALUE"""),"INSPECCIONES REALIZADAS")</f>
        <v>INSPECCIONES REALIZADAS</v>
      </c>
      <c r="AH1391" s="5"/>
    </row>
    <row r="1392" spans="1:34">
      <c r="A1392" s="5" t="str">
        <f ca="1">IFERROR(__xludf.DUMMYFUNCTION("""COMPUTED_VALUE"""),"LINEA PET CSD - LINEA 10")</f>
        <v>LINEA PET CSD - LINEA 10</v>
      </c>
      <c r="B1392" s="5">
        <f ca="1">IFERROR(__xludf.DUMMYFUNCTION("""COMPUTED_VALUE"""),829868)</f>
        <v>829868</v>
      </c>
      <c r="C1392" s="5" t="str">
        <f ca="1">IFERROR(__xludf.DUMMYFUNCTION("""COMPUTED_VALUE"""),"TRANSPORTE DE PAQUETES")</f>
        <v>TRANSPORTE DE PAQUETES</v>
      </c>
      <c r="D1392" s="5">
        <f ca="1">IFERROR(__xludf.DUMMYFUNCTION("""COMPUTED_VALUE"""),13247599)</f>
        <v>13247599</v>
      </c>
      <c r="E1392" s="5" t="str">
        <f ca="1">IFERROR(__xludf.DUMMYFUNCTION("""COMPUTED_VALUE"""),"INSPECCION SEMANAL TRANSPORTE DE PAQUETE")</f>
        <v>INSPECCION SEMANAL TRANSPORTE DE PAQUETE</v>
      </c>
      <c r="F1392" s="5" t="str">
        <f ca="1">IFERROR(__xludf.DUMMYFUNCTION("""COMPUTED_VALUE"""),"ESTADO BARANDAS")</f>
        <v>ESTADO BARANDAS</v>
      </c>
      <c r="G1392" s="5" t="b">
        <f ca="1">IFERROR(__xludf.DUMMYFUNCTION("""COMPUTED_VALUE"""),TRUE)</f>
        <v>1</v>
      </c>
      <c r="H1392" s="5"/>
      <c r="I1392" s="5"/>
      <c r="J1392" s="5">
        <f ca="1">IFERROR(__xludf.DUMMYFUNCTION("""COMPUTED_VALUE"""),13247599)</f>
        <v>13247599</v>
      </c>
      <c r="K1392" s="5"/>
      <c r="L1392" s="18">
        <f ca="1">IFERROR(__xludf.DUMMYFUNCTION("""COMPUTED_VALUE"""),45324)</f>
        <v>45324</v>
      </c>
      <c r="M1392" s="18">
        <f ca="1">IFERROR(__xludf.DUMMYFUNCTION("""COMPUTED_VALUE"""),45324)</f>
        <v>45324</v>
      </c>
      <c r="N1392" s="5" t="str">
        <f ca="1">IFERROR(__xludf.DUMMYFUNCTION("""COMPUTED_VALUE"""),"PARRA VELANDIA JOHN JAIRO")</f>
        <v>PARRA VELANDIA JOHN JAIRO</v>
      </c>
      <c r="O1392" s="2">
        <f ca="1">IFERROR(__xludf.DUMMYFUNCTION("""COMPUTED_VALUE"""),0.011111111)</f>
        <v>1.1111111E-2</v>
      </c>
      <c r="P1392" s="5">
        <f ca="1">IFERROR(__xludf.DUMMYFUNCTION("""COMPUTED_VALUE"""),94543434)</f>
        <v>94543434</v>
      </c>
      <c r="Q1392" s="5" t="str">
        <f ca="1">IFERROR(__xludf.DUMMYFUNCTION("""COMPUTED_VALUE"""),"GFuAKVZcLs8")</f>
        <v>GFuAKVZcLs8</v>
      </c>
      <c r="R1392" s="5">
        <f ca="1">IFERROR(__xludf.DUMMYFUNCTION("""COMPUTED_VALUE"""),410)</f>
        <v>410</v>
      </c>
      <c r="S1392" s="62">
        <f ca="1">IFERROR(__xludf.DUMMYFUNCTION("""COMPUTED_VALUE"""),0.011111111)</f>
        <v>1.1111111E-2</v>
      </c>
      <c r="T1392" s="63" t="str">
        <f ca="1">IFERROR(__xludf.DUMMYFUNCTION("""COMPUTED_VALUE"""),"https://storage.googleapis.com/glide-prod.appspot.com/uploads-v2/ly7o78grxPaC6KdgvbpS/pub/3aRdSog0vUtuqPE8AJKD.png")</f>
        <v>https://storage.googleapis.com/glide-prod.appspot.com/uploads-v2/ly7o78grxPaC6KdgvbpS/pub/3aRdSog0vUtuqPE8AJKD.png</v>
      </c>
      <c r="U1392" s="5" t="str">
        <f ca="1">IFERROR(__xludf.DUMMYFUNCTION("""COMPUTED_VALUE"""),"LINEA PET CSD - LINEA 10TRANSPORTE DE PAQUETES")</f>
        <v>LINEA PET CSD - LINEA 10TRANSPORTE DE PAQUETES</v>
      </c>
      <c r="V1392" s="5"/>
      <c r="W1392" s="5" t="b">
        <f ca="1">IFERROR(__xludf.DUMMYFUNCTION("""COMPUTED_VALUE"""),TRUE)</f>
        <v>1</v>
      </c>
      <c r="X1392" s="5" t="str">
        <f ca="1">IFERROR(__xludf.DUMMYFUNCTION("""COMPUTED_VALUE"""),"wmazorra@postobon.com.co,aprmttoyu@postobon.com.co,aprmyu@postobon.com.co,wmora@postobon.com.co,efzapata@postobon.com.co")</f>
        <v>wmazorra@postobon.com.co,aprmttoyu@postobon.com.co,aprmyu@postobon.com.co,wmora@postobon.com.co,efzapata@postobon.com.co</v>
      </c>
      <c r="Y1392" s="5" t="str">
        <f ca="1">IFERROR(__xludf.DUMMYFUNCTION("""COMPUTED_VALUE"""),"wmazorra@postobon.com.co")</f>
        <v>wmazorra@postobon.com.co</v>
      </c>
      <c r="Z1392" s="5" t="str">
        <f ca="1">IFERROR(__xludf.DUMMYFUNCTION("""COMPUTED_VALUE"""),"q1hIK5e.R4yOPT2DMZ8izw")</f>
        <v>q1hIK5e.R4yOPT2DMZ8izw</v>
      </c>
      <c r="AA1392" s="5"/>
      <c r="AB1392" s="5"/>
      <c r="AC1392" s="5"/>
      <c r="AD1392" s="5">
        <f ca="1">IFERROR(__xludf.DUMMYFUNCTION("""COMPUTED_VALUE"""),36)</f>
        <v>36</v>
      </c>
      <c r="AE1392" s="5">
        <f ca="1">IFERROR(__xludf.DUMMYFUNCTION("""COMPUTED_VALUE"""),36)</f>
        <v>36</v>
      </c>
      <c r="AF1392" s="5" t="b">
        <f ca="1">IFERROR(__xludf.DUMMYFUNCTION("""COMPUTED_VALUE"""),FALSE)</f>
        <v>0</v>
      </c>
      <c r="AG1392" s="5" t="str">
        <f ca="1">IFERROR(__xludf.DUMMYFUNCTION("""COMPUTED_VALUE"""),"INSPECCIONES REALIZADAS")</f>
        <v>INSPECCIONES REALIZADAS</v>
      </c>
      <c r="AH1392" s="5"/>
    </row>
    <row r="1393" spans="1:34">
      <c r="A1393" s="5" t="str">
        <f ca="1">IFERROR(__xludf.DUMMYFUNCTION("""COMPUTED_VALUE"""),"LINEA PET CSD - LINEA 10")</f>
        <v>LINEA PET CSD - LINEA 10</v>
      </c>
      <c r="B1393" s="5">
        <f ca="1">IFERROR(__xludf.DUMMYFUNCTION("""COMPUTED_VALUE"""),829868)</f>
        <v>829868</v>
      </c>
      <c r="C1393" s="5" t="str">
        <f ca="1">IFERROR(__xludf.DUMMYFUNCTION("""COMPUTED_VALUE"""),"TRANSPORTE DE PAQUETES")</f>
        <v>TRANSPORTE DE PAQUETES</v>
      </c>
      <c r="D1393" s="5">
        <f ca="1">IFERROR(__xludf.DUMMYFUNCTION("""COMPUTED_VALUE"""),13247599)</f>
        <v>13247599</v>
      </c>
      <c r="E1393" s="5" t="str">
        <f ca="1">IFERROR(__xludf.DUMMYFUNCTION("""COMPUTED_VALUE"""),"INSPECCION SEMANAL TRANSPORTE DE PAQUETE")</f>
        <v>INSPECCION SEMANAL TRANSPORTE DE PAQUETE</v>
      </c>
      <c r="F1393" s="5" t="str">
        <f ca="1">IFERROR(__xludf.DUMMYFUNCTION("""COMPUTED_VALUE"""),"ESTADO JABON LUBRICANTE")</f>
        <v>ESTADO JABON LUBRICANTE</v>
      </c>
      <c r="G1393" s="5" t="b">
        <f ca="1">IFERROR(__xludf.DUMMYFUNCTION("""COMPUTED_VALUE"""),TRUE)</f>
        <v>1</v>
      </c>
      <c r="H1393" s="5"/>
      <c r="I1393" s="5"/>
      <c r="J1393" s="5">
        <f ca="1">IFERROR(__xludf.DUMMYFUNCTION("""COMPUTED_VALUE"""),13247599)</f>
        <v>13247599</v>
      </c>
      <c r="K1393" s="5"/>
      <c r="L1393" s="18">
        <f ca="1">IFERROR(__xludf.DUMMYFUNCTION("""COMPUTED_VALUE"""),45324)</f>
        <v>45324</v>
      </c>
      <c r="M1393" s="18">
        <f ca="1">IFERROR(__xludf.DUMMYFUNCTION("""COMPUTED_VALUE"""),45324)</f>
        <v>45324</v>
      </c>
      <c r="N1393" s="5" t="str">
        <f ca="1">IFERROR(__xludf.DUMMYFUNCTION("""COMPUTED_VALUE"""),"PARRA VELANDIA JOHN JAIRO")</f>
        <v>PARRA VELANDIA JOHN JAIRO</v>
      </c>
      <c r="O1393" s="2">
        <f ca="1">IFERROR(__xludf.DUMMYFUNCTION("""COMPUTED_VALUE"""),0.011111111)</f>
        <v>1.1111111E-2</v>
      </c>
      <c r="P1393" s="5">
        <f ca="1">IFERROR(__xludf.DUMMYFUNCTION("""COMPUTED_VALUE"""),94543434)</f>
        <v>94543434</v>
      </c>
      <c r="Q1393" s="5" t="str">
        <f ca="1">IFERROR(__xludf.DUMMYFUNCTION("""COMPUTED_VALUE"""),"XjKlaLLRuEQ")</f>
        <v>XjKlaLLRuEQ</v>
      </c>
      <c r="R1393" s="5">
        <f ca="1">IFERROR(__xludf.DUMMYFUNCTION("""COMPUTED_VALUE"""),410)</f>
        <v>410</v>
      </c>
      <c r="S1393" s="62">
        <f ca="1">IFERROR(__xludf.DUMMYFUNCTION("""COMPUTED_VALUE"""),0.011111111)</f>
        <v>1.1111111E-2</v>
      </c>
      <c r="T1393" s="63" t="str">
        <f ca="1">IFERROR(__xludf.DUMMYFUNCTION("""COMPUTED_VALUE"""),"https://storage.googleapis.com/glide-prod.appspot.com/uploads-v2/ly7o78grxPaC6KdgvbpS/pub/3aRdSog0vUtuqPE8AJKD.png")</f>
        <v>https://storage.googleapis.com/glide-prod.appspot.com/uploads-v2/ly7o78grxPaC6KdgvbpS/pub/3aRdSog0vUtuqPE8AJKD.png</v>
      </c>
      <c r="U1393" s="5" t="str">
        <f ca="1">IFERROR(__xludf.DUMMYFUNCTION("""COMPUTED_VALUE"""),"LINEA PET CSD - LINEA 10TRANSPORTE DE PAQUETES")</f>
        <v>LINEA PET CSD - LINEA 10TRANSPORTE DE PAQUETES</v>
      </c>
      <c r="V1393" s="5"/>
      <c r="W1393" s="5" t="b">
        <f ca="1">IFERROR(__xludf.DUMMYFUNCTION("""COMPUTED_VALUE"""),TRUE)</f>
        <v>1</v>
      </c>
      <c r="X1393" s="5" t="str">
        <f ca="1">IFERROR(__xludf.DUMMYFUNCTION("""COMPUTED_VALUE"""),"wmazorra@postobon.com.co,aprmttoyu@postobon.com.co,aprmyu@postobon.com.co,wmora@postobon.com.co,efzapata@postobon.com.co")</f>
        <v>wmazorra@postobon.com.co,aprmttoyu@postobon.com.co,aprmyu@postobon.com.co,wmora@postobon.com.co,efzapata@postobon.com.co</v>
      </c>
      <c r="Y1393" s="5" t="str">
        <f ca="1">IFERROR(__xludf.DUMMYFUNCTION("""COMPUTED_VALUE"""),"wmazorra@postobon.com.co")</f>
        <v>wmazorra@postobon.com.co</v>
      </c>
      <c r="Z1393" s="5" t="str">
        <f ca="1">IFERROR(__xludf.DUMMYFUNCTION("""COMPUTED_VALUE"""),"P-rBovk7RWy5faM0GWrDsw")</f>
        <v>P-rBovk7RWy5faM0GWrDsw</v>
      </c>
      <c r="AA1393" s="5"/>
      <c r="AB1393" s="5"/>
      <c r="AC1393" s="5"/>
      <c r="AD1393" s="5">
        <f ca="1">IFERROR(__xludf.DUMMYFUNCTION("""COMPUTED_VALUE"""),36)</f>
        <v>36</v>
      </c>
      <c r="AE1393" s="5">
        <f ca="1">IFERROR(__xludf.DUMMYFUNCTION("""COMPUTED_VALUE"""),36)</f>
        <v>36</v>
      </c>
      <c r="AF1393" s="5" t="b">
        <f ca="1">IFERROR(__xludf.DUMMYFUNCTION("""COMPUTED_VALUE"""),FALSE)</f>
        <v>0</v>
      </c>
      <c r="AG1393" s="5" t="str">
        <f ca="1">IFERROR(__xludf.DUMMYFUNCTION("""COMPUTED_VALUE"""),"INSPECCIONES REALIZADAS")</f>
        <v>INSPECCIONES REALIZADAS</v>
      </c>
      <c r="AH1393" s="5"/>
    </row>
    <row r="1394" spans="1:34">
      <c r="A1394" s="5" t="str">
        <f ca="1">IFERROR(__xludf.DUMMYFUNCTION("""COMPUTED_VALUE"""),"LINEA PET CSD - LINEA 10")</f>
        <v>LINEA PET CSD - LINEA 10</v>
      </c>
      <c r="B1394" s="5">
        <f ca="1">IFERROR(__xludf.DUMMYFUNCTION("""COMPUTED_VALUE"""),829868)</f>
        <v>829868</v>
      </c>
      <c r="C1394" s="5" t="str">
        <f ca="1">IFERROR(__xludf.DUMMYFUNCTION("""COMPUTED_VALUE"""),"TRANSPORTE DE PAQUETES")</f>
        <v>TRANSPORTE DE PAQUETES</v>
      </c>
      <c r="D1394" s="5">
        <f ca="1">IFERROR(__xludf.DUMMYFUNCTION("""COMPUTED_VALUE"""),13247599)</f>
        <v>13247599</v>
      </c>
      <c r="E1394" s="5" t="str">
        <f ca="1">IFERROR(__xludf.DUMMYFUNCTION("""COMPUTED_VALUE"""),"INSPECCION SEMANAL TRANSPORTE DE PAQUETE")</f>
        <v>INSPECCION SEMANAL TRANSPORTE DE PAQUETE</v>
      </c>
      <c r="F1394" s="5" t="str">
        <f ca="1">IFERROR(__xludf.DUMMYFUNCTION("""COMPUTED_VALUE"""),"ESTADO CADENAS, TORNILLERIA")</f>
        <v>ESTADO CADENAS, TORNILLERIA</v>
      </c>
      <c r="G1394" s="5" t="b">
        <f ca="1">IFERROR(__xludf.DUMMYFUNCTION("""COMPUTED_VALUE"""),TRUE)</f>
        <v>1</v>
      </c>
      <c r="H1394" s="5"/>
      <c r="I1394" s="5"/>
      <c r="J1394" s="5">
        <f ca="1">IFERROR(__xludf.DUMMYFUNCTION("""COMPUTED_VALUE"""),13247599)</f>
        <v>13247599</v>
      </c>
      <c r="K1394" s="5"/>
      <c r="L1394" s="18">
        <f ca="1">IFERROR(__xludf.DUMMYFUNCTION("""COMPUTED_VALUE"""),45324)</f>
        <v>45324</v>
      </c>
      <c r="M1394" s="18">
        <f ca="1">IFERROR(__xludf.DUMMYFUNCTION("""COMPUTED_VALUE"""),45324)</f>
        <v>45324</v>
      </c>
      <c r="N1394" s="5" t="str">
        <f ca="1">IFERROR(__xludf.DUMMYFUNCTION("""COMPUTED_VALUE"""),"PARRA VELANDIA JOHN JAIRO")</f>
        <v>PARRA VELANDIA JOHN JAIRO</v>
      </c>
      <c r="O1394" s="2">
        <f ca="1">IFERROR(__xludf.DUMMYFUNCTION("""COMPUTED_VALUE"""),0.011111111)</f>
        <v>1.1111111E-2</v>
      </c>
      <c r="P1394" s="5">
        <f ca="1">IFERROR(__xludf.DUMMYFUNCTION("""COMPUTED_VALUE"""),94543434)</f>
        <v>94543434</v>
      </c>
      <c r="Q1394" s="5" t="str">
        <f ca="1">IFERROR(__xludf.DUMMYFUNCTION("""COMPUTED_VALUE"""),"oZtfHVRFRVc")</f>
        <v>oZtfHVRFRVc</v>
      </c>
      <c r="R1394" s="5">
        <f ca="1">IFERROR(__xludf.DUMMYFUNCTION("""COMPUTED_VALUE"""),410)</f>
        <v>410</v>
      </c>
      <c r="S1394" s="62">
        <f ca="1">IFERROR(__xludf.DUMMYFUNCTION("""COMPUTED_VALUE"""),0.011111111)</f>
        <v>1.1111111E-2</v>
      </c>
      <c r="T1394" s="63" t="str">
        <f ca="1">IFERROR(__xludf.DUMMYFUNCTION("""COMPUTED_VALUE"""),"https://storage.googleapis.com/glide-prod.appspot.com/uploads-v2/ly7o78grxPaC6KdgvbpS/pub/3aRdSog0vUtuqPE8AJKD.png")</f>
        <v>https://storage.googleapis.com/glide-prod.appspot.com/uploads-v2/ly7o78grxPaC6KdgvbpS/pub/3aRdSog0vUtuqPE8AJKD.png</v>
      </c>
      <c r="U1394" s="5" t="str">
        <f ca="1">IFERROR(__xludf.DUMMYFUNCTION("""COMPUTED_VALUE"""),"LINEA PET CSD - LINEA 10TRANSPORTE DE PAQUETES")</f>
        <v>LINEA PET CSD - LINEA 10TRANSPORTE DE PAQUETES</v>
      </c>
      <c r="V1394" s="5"/>
      <c r="W1394" s="5" t="b">
        <f ca="1">IFERROR(__xludf.DUMMYFUNCTION("""COMPUTED_VALUE"""),TRUE)</f>
        <v>1</v>
      </c>
      <c r="X1394" s="5" t="str">
        <f ca="1">IFERROR(__xludf.DUMMYFUNCTION("""COMPUTED_VALUE"""),"wmazorra@postobon.com.co,aprmttoyu@postobon.com.co,aprmyu@postobon.com.co,wmora@postobon.com.co,efzapata@postobon.com.co")</f>
        <v>wmazorra@postobon.com.co,aprmttoyu@postobon.com.co,aprmyu@postobon.com.co,wmora@postobon.com.co,efzapata@postobon.com.co</v>
      </c>
      <c r="Y1394" s="5" t="str">
        <f ca="1">IFERROR(__xludf.DUMMYFUNCTION("""COMPUTED_VALUE"""),"wmazorra@postobon.com.co")</f>
        <v>wmazorra@postobon.com.co</v>
      </c>
      <c r="Z1394" s="5" t="str">
        <f ca="1">IFERROR(__xludf.DUMMYFUNCTION("""COMPUTED_VALUE"""),"2X6AmdqMRH-sOUvHNBg4Lw")</f>
        <v>2X6AmdqMRH-sOUvHNBg4Lw</v>
      </c>
      <c r="AA1394" s="5"/>
      <c r="AB1394" s="5"/>
      <c r="AC1394" s="5"/>
      <c r="AD1394" s="5">
        <f ca="1">IFERROR(__xludf.DUMMYFUNCTION("""COMPUTED_VALUE"""),36)</f>
        <v>36</v>
      </c>
      <c r="AE1394" s="5">
        <f ca="1">IFERROR(__xludf.DUMMYFUNCTION("""COMPUTED_VALUE"""),36)</f>
        <v>36</v>
      </c>
      <c r="AF1394" s="5" t="b">
        <f ca="1">IFERROR(__xludf.DUMMYFUNCTION("""COMPUTED_VALUE"""),FALSE)</f>
        <v>0</v>
      </c>
      <c r="AG1394" s="5" t="str">
        <f ca="1">IFERROR(__xludf.DUMMYFUNCTION("""COMPUTED_VALUE"""),"INSPECCIONES REALIZADAS")</f>
        <v>INSPECCIONES REALIZADAS</v>
      </c>
      <c r="AH1394" s="5"/>
    </row>
    <row r="1395" spans="1:34">
      <c r="A1395" s="5" t="str">
        <f ca="1">IFERROR(__xludf.DUMMYFUNCTION("""COMPUTED_VALUE"""),"LINEA PET CSD - LINEA 10")</f>
        <v>LINEA PET CSD - LINEA 10</v>
      </c>
      <c r="B1395" s="5">
        <f ca="1">IFERROR(__xludf.DUMMYFUNCTION("""COMPUTED_VALUE"""),829868)</f>
        <v>829868</v>
      </c>
      <c r="C1395" s="5" t="str">
        <f ca="1">IFERROR(__xludf.DUMMYFUNCTION("""COMPUTED_VALUE"""),"TRANSPORTE DE PAQUETES")</f>
        <v>TRANSPORTE DE PAQUETES</v>
      </c>
      <c r="D1395" s="5">
        <f ca="1">IFERROR(__xludf.DUMMYFUNCTION("""COMPUTED_VALUE"""),13247599)</f>
        <v>13247599</v>
      </c>
      <c r="E1395" s="5" t="str">
        <f ca="1">IFERROR(__xludf.DUMMYFUNCTION("""COMPUTED_VALUE"""),"INSPECCION SEMANAL TRANSPORTE DE PAQUETE")</f>
        <v>INSPECCION SEMANAL TRANSPORTE DE PAQUETE</v>
      </c>
      <c r="F1395" s="5" t="str">
        <f ca="1">IFERROR(__xludf.DUMMYFUNCTION("""COMPUTED_VALUE"""),"INSP INTERCAMBIADOR Y REJILLA AIRE")</f>
        <v>INSP INTERCAMBIADOR Y REJILLA AIRE</v>
      </c>
      <c r="G1395" s="5" t="b">
        <f ca="1">IFERROR(__xludf.DUMMYFUNCTION("""COMPUTED_VALUE"""),TRUE)</f>
        <v>1</v>
      </c>
      <c r="H1395" s="5"/>
      <c r="I1395" s="5"/>
      <c r="J1395" s="5">
        <f ca="1">IFERROR(__xludf.DUMMYFUNCTION("""COMPUTED_VALUE"""),13247599)</f>
        <v>13247599</v>
      </c>
      <c r="K1395" s="5"/>
      <c r="L1395" s="18">
        <f ca="1">IFERROR(__xludf.DUMMYFUNCTION("""COMPUTED_VALUE"""),45324)</f>
        <v>45324</v>
      </c>
      <c r="M1395" s="18">
        <f ca="1">IFERROR(__xludf.DUMMYFUNCTION("""COMPUTED_VALUE"""),45324)</f>
        <v>45324</v>
      </c>
      <c r="N1395" s="5" t="str">
        <f ca="1">IFERROR(__xludf.DUMMYFUNCTION("""COMPUTED_VALUE"""),"PARRA VELANDIA JOHN JAIRO")</f>
        <v>PARRA VELANDIA JOHN JAIRO</v>
      </c>
      <c r="O1395" s="2">
        <f ca="1">IFERROR(__xludf.DUMMYFUNCTION("""COMPUTED_VALUE"""),0.011111111)</f>
        <v>1.1111111E-2</v>
      </c>
      <c r="P1395" s="5">
        <f ca="1">IFERROR(__xludf.DUMMYFUNCTION("""COMPUTED_VALUE"""),94543434)</f>
        <v>94543434</v>
      </c>
      <c r="Q1395" s="5" t="str">
        <f ca="1">IFERROR(__xludf.DUMMYFUNCTION("""COMPUTED_VALUE"""),"PcIdmKCIMPw")</f>
        <v>PcIdmKCIMPw</v>
      </c>
      <c r="R1395" s="5">
        <f ca="1">IFERROR(__xludf.DUMMYFUNCTION("""COMPUTED_VALUE"""),410)</f>
        <v>410</v>
      </c>
      <c r="S1395" s="62">
        <f ca="1">IFERROR(__xludf.DUMMYFUNCTION("""COMPUTED_VALUE"""),0.011111111)</f>
        <v>1.1111111E-2</v>
      </c>
      <c r="T1395" s="63" t="str">
        <f ca="1">IFERROR(__xludf.DUMMYFUNCTION("""COMPUTED_VALUE"""),"https://storage.googleapis.com/glide-prod.appspot.com/uploads-v2/ly7o78grxPaC6KdgvbpS/pub/3aRdSog0vUtuqPE8AJKD.png")</f>
        <v>https://storage.googleapis.com/glide-prod.appspot.com/uploads-v2/ly7o78grxPaC6KdgvbpS/pub/3aRdSog0vUtuqPE8AJKD.png</v>
      </c>
      <c r="U1395" s="5" t="str">
        <f ca="1">IFERROR(__xludf.DUMMYFUNCTION("""COMPUTED_VALUE"""),"LINEA PET CSD - LINEA 10TRANSPORTE DE PAQUETES")</f>
        <v>LINEA PET CSD - LINEA 10TRANSPORTE DE PAQUETES</v>
      </c>
      <c r="V1395" s="5"/>
      <c r="W1395" s="5" t="b">
        <f ca="1">IFERROR(__xludf.DUMMYFUNCTION("""COMPUTED_VALUE"""),TRUE)</f>
        <v>1</v>
      </c>
      <c r="X1395" s="5" t="str">
        <f ca="1">IFERROR(__xludf.DUMMYFUNCTION("""COMPUTED_VALUE"""),"wmazorra@postobon.com.co,aprmttoyu@postobon.com.co,aprmyu@postobon.com.co,wmora@postobon.com.co,efzapata@postobon.com.co")</f>
        <v>wmazorra@postobon.com.co,aprmttoyu@postobon.com.co,aprmyu@postobon.com.co,wmora@postobon.com.co,efzapata@postobon.com.co</v>
      </c>
      <c r="Y1395" s="5" t="str">
        <f ca="1">IFERROR(__xludf.DUMMYFUNCTION("""COMPUTED_VALUE"""),"wmazorra@postobon.com.co")</f>
        <v>wmazorra@postobon.com.co</v>
      </c>
      <c r="Z1395" s="5" t="str">
        <f ca="1">IFERROR(__xludf.DUMMYFUNCTION("""COMPUTED_VALUE"""),"9nYwn7PuQ5CPNeSeoWbe5w")</f>
        <v>9nYwn7PuQ5CPNeSeoWbe5w</v>
      </c>
      <c r="AA1395" s="5"/>
      <c r="AB1395" s="5"/>
      <c r="AC1395" s="5"/>
      <c r="AD1395" s="5">
        <f ca="1">IFERROR(__xludf.DUMMYFUNCTION("""COMPUTED_VALUE"""),36)</f>
        <v>36</v>
      </c>
      <c r="AE1395" s="5">
        <f ca="1">IFERROR(__xludf.DUMMYFUNCTION("""COMPUTED_VALUE"""),36)</f>
        <v>36</v>
      </c>
      <c r="AF1395" s="5" t="b">
        <f ca="1">IFERROR(__xludf.DUMMYFUNCTION("""COMPUTED_VALUE"""),FALSE)</f>
        <v>0</v>
      </c>
      <c r="AG1395" s="5" t="str">
        <f ca="1">IFERROR(__xludf.DUMMYFUNCTION("""COMPUTED_VALUE"""),"INSPECCIONES REALIZADAS")</f>
        <v>INSPECCIONES REALIZADAS</v>
      </c>
      <c r="AH1395" s="5"/>
    </row>
    <row r="1396" spans="1:34">
      <c r="A1396" s="5" t="str">
        <f ca="1">IFERROR(__xludf.DUMMYFUNCTION("""COMPUTED_VALUE"""),"LINEA PET CSD - LINEA 10")</f>
        <v>LINEA PET CSD - LINEA 10</v>
      </c>
      <c r="B1396" s="5">
        <f ca="1">IFERROR(__xludf.DUMMYFUNCTION("""COMPUTED_VALUE"""),829868)</f>
        <v>829868</v>
      </c>
      <c r="C1396" s="5" t="str">
        <f ca="1">IFERROR(__xludf.DUMMYFUNCTION("""COMPUTED_VALUE"""),"TRANSPORTE DE PAQUETES")</f>
        <v>TRANSPORTE DE PAQUETES</v>
      </c>
      <c r="D1396" s="5">
        <f ca="1">IFERROR(__xludf.DUMMYFUNCTION("""COMPUTED_VALUE"""),13247599)</f>
        <v>13247599</v>
      </c>
      <c r="E1396" s="5" t="str">
        <f ca="1">IFERROR(__xludf.DUMMYFUNCTION("""COMPUTED_VALUE"""),"INSPECCION SEMANAL TRANSPORTE DE PAQUETE")</f>
        <v>INSPECCION SEMANAL TRANSPORTE DE PAQUETE</v>
      </c>
      <c r="F1396" s="5" t="str">
        <f ca="1">IFERROR(__xludf.DUMMYFUNCTION("""COMPUTED_VALUE"""),"MOTORREDUCTORES")</f>
        <v>MOTORREDUCTORES</v>
      </c>
      <c r="G1396" s="5" t="b">
        <f ca="1">IFERROR(__xludf.DUMMYFUNCTION("""COMPUTED_VALUE"""),TRUE)</f>
        <v>1</v>
      </c>
      <c r="H1396" s="5"/>
      <c r="I1396" s="5"/>
      <c r="J1396" s="5">
        <f ca="1">IFERROR(__xludf.DUMMYFUNCTION("""COMPUTED_VALUE"""),13247599)</f>
        <v>13247599</v>
      </c>
      <c r="K1396" s="5"/>
      <c r="L1396" s="18">
        <f ca="1">IFERROR(__xludf.DUMMYFUNCTION("""COMPUTED_VALUE"""),45324)</f>
        <v>45324</v>
      </c>
      <c r="M1396" s="18">
        <f ca="1">IFERROR(__xludf.DUMMYFUNCTION("""COMPUTED_VALUE"""),45324)</f>
        <v>45324</v>
      </c>
      <c r="N1396" s="5" t="str">
        <f ca="1">IFERROR(__xludf.DUMMYFUNCTION("""COMPUTED_VALUE"""),"PARRA VELANDIA JOHN JAIRO")</f>
        <v>PARRA VELANDIA JOHN JAIRO</v>
      </c>
      <c r="O1396" s="2">
        <f ca="1">IFERROR(__xludf.DUMMYFUNCTION("""COMPUTED_VALUE"""),0.011111111)</f>
        <v>1.1111111E-2</v>
      </c>
      <c r="P1396" s="5">
        <f ca="1">IFERROR(__xludf.DUMMYFUNCTION("""COMPUTED_VALUE"""),94543434)</f>
        <v>94543434</v>
      </c>
      <c r="Q1396" s="5" t="str">
        <f ca="1">IFERROR(__xludf.DUMMYFUNCTION("""COMPUTED_VALUE"""),"8wa3kpCImrc")</f>
        <v>8wa3kpCImrc</v>
      </c>
      <c r="R1396" s="5">
        <f ca="1">IFERROR(__xludf.DUMMYFUNCTION("""COMPUTED_VALUE"""),410)</f>
        <v>410</v>
      </c>
      <c r="S1396" s="62">
        <f ca="1">IFERROR(__xludf.DUMMYFUNCTION("""COMPUTED_VALUE"""),0.011111111)</f>
        <v>1.1111111E-2</v>
      </c>
      <c r="T1396" s="63" t="str">
        <f ca="1">IFERROR(__xludf.DUMMYFUNCTION("""COMPUTED_VALUE"""),"https://storage.googleapis.com/glide-prod.appspot.com/uploads-v2/ly7o78grxPaC6KdgvbpS/pub/3aRdSog0vUtuqPE8AJKD.png")</f>
        <v>https://storage.googleapis.com/glide-prod.appspot.com/uploads-v2/ly7o78grxPaC6KdgvbpS/pub/3aRdSog0vUtuqPE8AJKD.png</v>
      </c>
      <c r="U1396" s="5" t="str">
        <f ca="1">IFERROR(__xludf.DUMMYFUNCTION("""COMPUTED_VALUE"""),"LINEA PET CSD - LINEA 10TRANSPORTE DE PAQUETES")</f>
        <v>LINEA PET CSD - LINEA 10TRANSPORTE DE PAQUETES</v>
      </c>
      <c r="V1396" s="5"/>
      <c r="W1396" s="5" t="b">
        <f ca="1">IFERROR(__xludf.DUMMYFUNCTION("""COMPUTED_VALUE"""),TRUE)</f>
        <v>1</v>
      </c>
      <c r="X1396" s="5" t="str">
        <f ca="1">IFERROR(__xludf.DUMMYFUNCTION("""COMPUTED_VALUE"""),"wmazorra@postobon.com.co,aprmttoyu@postobon.com.co,aprmyu@postobon.com.co,wmora@postobon.com.co,efzapata@postobon.com.co")</f>
        <v>wmazorra@postobon.com.co,aprmttoyu@postobon.com.co,aprmyu@postobon.com.co,wmora@postobon.com.co,efzapata@postobon.com.co</v>
      </c>
      <c r="Y1396" s="5" t="str">
        <f ca="1">IFERROR(__xludf.DUMMYFUNCTION("""COMPUTED_VALUE"""),"wmazorra@postobon.com.co")</f>
        <v>wmazorra@postobon.com.co</v>
      </c>
      <c r="Z1396" s="5" t="str">
        <f ca="1">IFERROR(__xludf.DUMMYFUNCTION("""COMPUTED_VALUE"""),"6fTfM7VZTdqEKhkXFu0YaA")</f>
        <v>6fTfM7VZTdqEKhkXFu0YaA</v>
      </c>
      <c r="AA1396" s="5"/>
      <c r="AB1396" s="5"/>
      <c r="AC1396" s="5"/>
      <c r="AD1396" s="5">
        <f ca="1">IFERROR(__xludf.DUMMYFUNCTION("""COMPUTED_VALUE"""),36)</f>
        <v>36</v>
      </c>
      <c r="AE1396" s="5">
        <f ca="1">IFERROR(__xludf.DUMMYFUNCTION("""COMPUTED_VALUE"""),36)</f>
        <v>36</v>
      </c>
      <c r="AF1396" s="5" t="b">
        <f ca="1">IFERROR(__xludf.DUMMYFUNCTION("""COMPUTED_VALUE"""),FALSE)</f>
        <v>0</v>
      </c>
      <c r="AG1396" s="5" t="str">
        <f ca="1">IFERROR(__xludf.DUMMYFUNCTION("""COMPUTED_VALUE"""),"INSPECCIONES REALIZADAS")</f>
        <v>INSPECCIONES REALIZADAS</v>
      </c>
      <c r="AH1396" s="5"/>
    </row>
    <row r="1397" spans="1:34">
      <c r="A1397" s="5" t="str">
        <f ca="1">IFERROR(__xludf.DUMMYFUNCTION("""COMPUTED_VALUE"""),"LINEA PET CSD - LINEA 10")</f>
        <v>LINEA PET CSD - LINEA 10</v>
      </c>
      <c r="B1397" s="5">
        <f ca="1">IFERROR(__xludf.DUMMYFUNCTION("""COMPUTED_VALUE"""),829868)</f>
        <v>829868</v>
      </c>
      <c r="C1397" s="5" t="str">
        <f ca="1">IFERROR(__xludf.DUMMYFUNCTION("""COMPUTED_VALUE"""),"TRANSPORTE DE PAQUETES")</f>
        <v>TRANSPORTE DE PAQUETES</v>
      </c>
      <c r="D1397" s="5">
        <f ca="1">IFERROR(__xludf.DUMMYFUNCTION("""COMPUTED_VALUE"""),13247599)</f>
        <v>13247599</v>
      </c>
      <c r="E1397" s="5" t="str">
        <f ca="1">IFERROR(__xludf.DUMMYFUNCTION("""COMPUTED_VALUE"""),"INSPECCION SEMANAL TRANSPORTE DE PAQUETE")</f>
        <v>INSPECCION SEMANAL TRANSPORTE DE PAQUETE</v>
      </c>
      <c r="F1397" s="5" t="str">
        <f ca="1">IFERROR(__xludf.DUMMYFUNCTION("""COMPUTED_VALUE"""),"CADENAS TRANSMISION")</f>
        <v>CADENAS TRANSMISION</v>
      </c>
      <c r="G1397" s="5" t="b">
        <f ca="1">IFERROR(__xludf.DUMMYFUNCTION("""COMPUTED_VALUE"""),TRUE)</f>
        <v>1</v>
      </c>
      <c r="H1397" s="5"/>
      <c r="I1397" s="5"/>
      <c r="J1397" s="5">
        <f ca="1">IFERROR(__xludf.DUMMYFUNCTION("""COMPUTED_VALUE"""),13247599)</f>
        <v>13247599</v>
      </c>
      <c r="K1397" s="5"/>
      <c r="L1397" s="18">
        <f ca="1">IFERROR(__xludf.DUMMYFUNCTION("""COMPUTED_VALUE"""),45324)</f>
        <v>45324</v>
      </c>
      <c r="M1397" s="18">
        <f ca="1">IFERROR(__xludf.DUMMYFUNCTION("""COMPUTED_VALUE"""),45324)</f>
        <v>45324</v>
      </c>
      <c r="N1397" s="5" t="str">
        <f ca="1">IFERROR(__xludf.DUMMYFUNCTION("""COMPUTED_VALUE"""),"PARRA VELANDIA JOHN JAIRO")</f>
        <v>PARRA VELANDIA JOHN JAIRO</v>
      </c>
      <c r="O1397" s="2">
        <f ca="1">IFERROR(__xludf.DUMMYFUNCTION("""COMPUTED_VALUE"""),0.011111111)</f>
        <v>1.1111111E-2</v>
      </c>
      <c r="P1397" s="5">
        <f ca="1">IFERROR(__xludf.DUMMYFUNCTION("""COMPUTED_VALUE"""),94543434)</f>
        <v>94543434</v>
      </c>
      <c r="Q1397" s="5" t="str">
        <f ca="1">IFERROR(__xludf.DUMMYFUNCTION("""COMPUTED_VALUE"""),"0MXZHPlO3QM")</f>
        <v>0MXZHPlO3QM</v>
      </c>
      <c r="R1397" s="5">
        <f ca="1">IFERROR(__xludf.DUMMYFUNCTION("""COMPUTED_VALUE"""),410)</f>
        <v>410</v>
      </c>
      <c r="S1397" s="62">
        <f ca="1">IFERROR(__xludf.DUMMYFUNCTION("""COMPUTED_VALUE"""),0.011111111)</f>
        <v>1.1111111E-2</v>
      </c>
      <c r="T1397" s="63" t="str">
        <f ca="1">IFERROR(__xludf.DUMMYFUNCTION("""COMPUTED_VALUE"""),"https://storage.googleapis.com/glide-prod.appspot.com/uploads-v2/ly7o78grxPaC6KdgvbpS/pub/3aRdSog0vUtuqPE8AJKD.png")</f>
        <v>https://storage.googleapis.com/glide-prod.appspot.com/uploads-v2/ly7o78grxPaC6KdgvbpS/pub/3aRdSog0vUtuqPE8AJKD.png</v>
      </c>
      <c r="U1397" s="5" t="str">
        <f ca="1">IFERROR(__xludf.DUMMYFUNCTION("""COMPUTED_VALUE"""),"LINEA PET CSD - LINEA 10TRANSPORTE DE PAQUETES")</f>
        <v>LINEA PET CSD - LINEA 10TRANSPORTE DE PAQUETES</v>
      </c>
      <c r="V1397" s="5"/>
      <c r="W1397" s="5" t="b">
        <f ca="1">IFERROR(__xludf.DUMMYFUNCTION("""COMPUTED_VALUE"""),TRUE)</f>
        <v>1</v>
      </c>
      <c r="X1397" s="5" t="str">
        <f ca="1">IFERROR(__xludf.DUMMYFUNCTION("""COMPUTED_VALUE"""),"wmazorra@postobon.com.co,aprmttoyu@postobon.com.co,aprmyu@postobon.com.co,wmora@postobon.com.co,efzapata@postobon.com.co")</f>
        <v>wmazorra@postobon.com.co,aprmttoyu@postobon.com.co,aprmyu@postobon.com.co,wmora@postobon.com.co,efzapata@postobon.com.co</v>
      </c>
      <c r="Y1397" s="5" t="str">
        <f ca="1">IFERROR(__xludf.DUMMYFUNCTION("""COMPUTED_VALUE"""),"wmazorra@postobon.com.co")</f>
        <v>wmazorra@postobon.com.co</v>
      </c>
      <c r="Z1397" s="5" t="str">
        <f ca="1">IFERROR(__xludf.DUMMYFUNCTION("""COMPUTED_VALUE"""),"hjpnhTokSOOvFILnr3B.HQ")</f>
        <v>hjpnhTokSOOvFILnr3B.HQ</v>
      </c>
      <c r="AA1397" s="5"/>
      <c r="AB1397" s="5"/>
      <c r="AC1397" s="5"/>
      <c r="AD1397" s="5">
        <f ca="1">IFERROR(__xludf.DUMMYFUNCTION("""COMPUTED_VALUE"""),36)</f>
        <v>36</v>
      </c>
      <c r="AE1397" s="5">
        <f ca="1">IFERROR(__xludf.DUMMYFUNCTION("""COMPUTED_VALUE"""),36)</f>
        <v>36</v>
      </c>
      <c r="AF1397" s="5" t="b">
        <f ca="1">IFERROR(__xludf.DUMMYFUNCTION("""COMPUTED_VALUE"""),FALSE)</f>
        <v>0</v>
      </c>
      <c r="AG1397" s="5" t="str">
        <f ca="1">IFERROR(__xludf.DUMMYFUNCTION("""COMPUTED_VALUE"""),"INSPECCIONES REALIZADAS")</f>
        <v>INSPECCIONES REALIZADAS</v>
      </c>
      <c r="AH1397" s="5"/>
    </row>
    <row r="1398" spans="1:34">
      <c r="A1398" s="5" t="str">
        <f ca="1">IFERROR(__xludf.DUMMYFUNCTION("""COMPUTED_VALUE"""),"LINEA PET CSD - LINEA 10")</f>
        <v>LINEA PET CSD - LINEA 10</v>
      </c>
      <c r="B1398" s="5">
        <f ca="1">IFERROR(__xludf.DUMMYFUNCTION("""COMPUTED_VALUE"""),829868)</f>
        <v>829868</v>
      </c>
      <c r="C1398" s="5" t="str">
        <f ca="1">IFERROR(__xludf.DUMMYFUNCTION("""COMPUTED_VALUE"""),"TRANSPORTE DE PAQUETES")</f>
        <v>TRANSPORTE DE PAQUETES</v>
      </c>
      <c r="D1398" s="5">
        <f ca="1">IFERROR(__xludf.DUMMYFUNCTION("""COMPUTED_VALUE"""),13247599)</f>
        <v>13247599</v>
      </c>
      <c r="E1398" s="5" t="str">
        <f ca="1">IFERROR(__xludf.DUMMYFUNCTION("""COMPUTED_VALUE"""),"INSPECCION SEMANAL TRANSPORTE DE PAQUETE")</f>
        <v>INSPECCION SEMANAL TRANSPORTE DE PAQUETE</v>
      </c>
      <c r="F1398" s="5" t="str">
        <f ca="1">IFERROR(__xludf.DUMMYFUNCTION("""COMPUTED_VALUE"""),"INSP. TABLERO ELECTRICO/CLIMATIZADOR")</f>
        <v>INSP. TABLERO ELECTRICO/CLIMATIZADOR</v>
      </c>
      <c r="G1398" s="5" t="b">
        <f ca="1">IFERROR(__xludf.DUMMYFUNCTION("""COMPUTED_VALUE"""),TRUE)</f>
        <v>1</v>
      </c>
      <c r="H1398" s="5"/>
      <c r="I1398" s="5"/>
      <c r="J1398" s="5">
        <f ca="1">IFERROR(__xludf.DUMMYFUNCTION("""COMPUTED_VALUE"""),13247599)</f>
        <v>13247599</v>
      </c>
      <c r="K1398" s="5"/>
      <c r="L1398" s="18">
        <f ca="1">IFERROR(__xludf.DUMMYFUNCTION("""COMPUTED_VALUE"""),45324)</f>
        <v>45324</v>
      </c>
      <c r="M1398" s="18">
        <f ca="1">IFERROR(__xludf.DUMMYFUNCTION("""COMPUTED_VALUE"""),45324)</f>
        <v>45324</v>
      </c>
      <c r="N1398" s="5" t="str">
        <f ca="1">IFERROR(__xludf.DUMMYFUNCTION("""COMPUTED_VALUE"""),"PARRA VELANDIA JOHN JAIRO")</f>
        <v>PARRA VELANDIA JOHN JAIRO</v>
      </c>
      <c r="O1398" s="2">
        <f ca="1">IFERROR(__xludf.DUMMYFUNCTION("""COMPUTED_VALUE"""),0.011111111)</f>
        <v>1.1111111E-2</v>
      </c>
      <c r="P1398" s="5">
        <f ca="1">IFERROR(__xludf.DUMMYFUNCTION("""COMPUTED_VALUE"""),94543434)</f>
        <v>94543434</v>
      </c>
      <c r="Q1398" s="5" t="str">
        <f ca="1">IFERROR(__xludf.DUMMYFUNCTION("""COMPUTED_VALUE"""),"-S7kmHlTJ7s")</f>
        <v>-S7kmHlTJ7s</v>
      </c>
      <c r="R1398" s="5">
        <f ca="1">IFERROR(__xludf.DUMMYFUNCTION("""COMPUTED_VALUE"""),410)</f>
        <v>410</v>
      </c>
      <c r="S1398" s="62">
        <f ca="1">IFERROR(__xludf.DUMMYFUNCTION("""COMPUTED_VALUE"""),0.011111111)</f>
        <v>1.1111111E-2</v>
      </c>
      <c r="T1398" s="63" t="str">
        <f ca="1">IFERROR(__xludf.DUMMYFUNCTION("""COMPUTED_VALUE"""),"https://storage.googleapis.com/glide-prod.appspot.com/uploads-v2/ly7o78grxPaC6KdgvbpS/pub/3aRdSog0vUtuqPE8AJKD.png")</f>
        <v>https://storage.googleapis.com/glide-prod.appspot.com/uploads-v2/ly7o78grxPaC6KdgvbpS/pub/3aRdSog0vUtuqPE8AJKD.png</v>
      </c>
      <c r="U1398" s="5" t="str">
        <f ca="1">IFERROR(__xludf.DUMMYFUNCTION("""COMPUTED_VALUE"""),"LINEA PET CSD - LINEA 10TRANSPORTE DE PAQUETES")</f>
        <v>LINEA PET CSD - LINEA 10TRANSPORTE DE PAQUETES</v>
      </c>
      <c r="V1398" s="5"/>
      <c r="W1398" s="5" t="b">
        <f ca="1">IFERROR(__xludf.DUMMYFUNCTION("""COMPUTED_VALUE"""),TRUE)</f>
        <v>1</v>
      </c>
      <c r="X1398" s="5" t="str">
        <f ca="1">IFERROR(__xludf.DUMMYFUNCTION("""COMPUTED_VALUE"""),"wmazorra@postobon.com.co,aprmttoyu@postobon.com.co,aprmyu@postobon.com.co,wmora@postobon.com.co,efzapata@postobon.com.co")</f>
        <v>wmazorra@postobon.com.co,aprmttoyu@postobon.com.co,aprmyu@postobon.com.co,wmora@postobon.com.co,efzapata@postobon.com.co</v>
      </c>
      <c r="Y1398" s="5" t="str">
        <f ca="1">IFERROR(__xludf.DUMMYFUNCTION("""COMPUTED_VALUE"""),"wmazorra@postobon.com.co")</f>
        <v>wmazorra@postobon.com.co</v>
      </c>
      <c r="Z1398" s="5" t="str">
        <f ca="1">IFERROR(__xludf.DUMMYFUNCTION("""COMPUTED_VALUE"""),"nMToScflSja55ymHSokaOA")</f>
        <v>nMToScflSja55ymHSokaOA</v>
      </c>
      <c r="AA1398" s="5"/>
      <c r="AB1398" s="5"/>
      <c r="AC1398" s="5"/>
      <c r="AD1398" s="5">
        <f ca="1">IFERROR(__xludf.DUMMYFUNCTION("""COMPUTED_VALUE"""),36)</f>
        <v>36</v>
      </c>
      <c r="AE1398" s="5">
        <f ca="1">IFERROR(__xludf.DUMMYFUNCTION("""COMPUTED_VALUE"""),36)</f>
        <v>36</v>
      </c>
      <c r="AF1398" s="5" t="b">
        <f ca="1">IFERROR(__xludf.DUMMYFUNCTION("""COMPUTED_VALUE"""),FALSE)</f>
        <v>0</v>
      </c>
      <c r="AG1398" s="5" t="str">
        <f ca="1">IFERROR(__xludf.DUMMYFUNCTION("""COMPUTED_VALUE"""),"INSPECCIONES REALIZADAS")</f>
        <v>INSPECCIONES REALIZADAS</v>
      </c>
      <c r="AH1398" s="5"/>
    </row>
    <row r="1399" spans="1:34">
      <c r="A1399" s="5" t="str">
        <f ca="1">IFERROR(__xludf.DUMMYFUNCTION("""COMPUTED_VALUE"""),"LINEA DE PRODUCCION DE BOTELLONES DE 20")</f>
        <v>LINEA DE PRODUCCION DE BOTELLONES DE 20</v>
      </c>
      <c r="B1399" s="5">
        <f ca="1">IFERROR(__xludf.DUMMYFUNCTION("""COMPUTED_VALUE"""),739532)</f>
        <v>739532</v>
      </c>
      <c r="C1399" s="5" t="str">
        <f ca="1">IFERROR(__xludf.DUMMYFUNCTION("""COMPUTED_VALUE"""),"TUNEL DE TERMOENCOGIDO")</f>
        <v>TUNEL DE TERMOENCOGIDO</v>
      </c>
      <c r="D1399" s="5">
        <f ca="1">IFERROR(__xludf.DUMMYFUNCTION("""COMPUTED_VALUE"""),13247699)</f>
        <v>13247699</v>
      </c>
      <c r="E1399" s="5" t="str">
        <f ca="1">IFERROR(__xludf.DUMMYFUNCTION("""COMPUTED_VALUE"""),"INSPECCION SEMANAL TUNEL DE TERMOENCOGID")</f>
        <v>INSPECCION SEMANAL TUNEL DE TERMOENCOGID</v>
      </c>
      <c r="F1399" s="5" t="str">
        <f ca="1">IFERROR(__xludf.DUMMYFUNCTION("""COMPUTED_VALUE"""),"VERIFICAR TEMP SELLADO")</f>
        <v>VERIFICAR TEMP SELLADO</v>
      </c>
      <c r="G1399" s="5" t="b">
        <f ca="1">IFERROR(__xludf.DUMMYFUNCTION("""COMPUTED_VALUE"""),TRUE)</f>
        <v>1</v>
      </c>
      <c r="H1399" s="5"/>
      <c r="I1399" s="5"/>
      <c r="J1399" s="5"/>
      <c r="K1399" s="5"/>
      <c r="L1399" s="18">
        <f ca="1">IFERROR(__xludf.DUMMYFUNCTION("""COMPUTED_VALUE"""),45324)</f>
        <v>45324</v>
      </c>
      <c r="M1399" s="18">
        <f ca="1">IFERROR(__xludf.DUMMYFUNCTION("""COMPUTED_VALUE"""),45324)</f>
        <v>45324</v>
      </c>
      <c r="N1399" s="5" t="str">
        <f ca="1">IFERROR(__xludf.DUMMYFUNCTION("""COMPUTED_VALUE"""),"Christian Camilo Ramirez Rendón")</f>
        <v>Christian Camilo Ramirez Rendón</v>
      </c>
      <c r="O1399" s="2">
        <f ca="1">IFERROR(__xludf.DUMMYFUNCTION("""COMPUTED_VALUE"""),0.05)</f>
        <v>0.05</v>
      </c>
      <c r="P1399" s="5"/>
      <c r="Q1399" s="5" t="str">
        <f ca="1">IFERROR(__xludf.DUMMYFUNCTION("""COMPUTED_VALUE"""),"oQTTi0W3GZM")</f>
        <v>oQTTi0W3GZM</v>
      </c>
      <c r="R1399" s="5">
        <f ca="1">IFERROR(__xludf.DUMMYFUNCTION("""COMPUTED_VALUE"""),410)</f>
        <v>410</v>
      </c>
      <c r="S1399" s="62">
        <f ca="1">IFERROR(__xludf.DUMMYFUNCTION("""COMPUTED_VALUE"""),0.05)</f>
        <v>0.05</v>
      </c>
      <c r="T1399" s="63" t="str">
        <f ca="1">IFERROR(__xludf.DUMMYFUNCTION("""COMPUTED_VALUE"""),"https://storage.googleapis.com/glide-prod.appspot.com/uploads-v2/ly7o78grxPaC6KdgvbpS/pub/3aRdSog0vUtuqPE8AJKD.png")</f>
        <v>https://storage.googleapis.com/glide-prod.appspot.com/uploads-v2/ly7o78grxPaC6KdgvbpS/pub/3aRdSog0vUtuqPE8AJKD.png</v>
      </c>
      <c r="U1399" s="5" t="str">
        <f ca="1">IFERROR(__xludf.DUMMYFUNCTION("""COMPUTED_VALUE"""),"LINEA DE PRODUCCION DE BOTELLONES DE 20TUNEL DE TERMOENCOGIDO")</f>
        <v>LINEA DE PRODUCCION DE BOTELLONES DE 20TUNEL DE TERMOENCOGIDO</v>
      </c>
      <c r="V1399" s="5"/>
      <c r="W1399" s="5" t="b">
        <f ca="1">IFERROR(__xludf.DUMMYFUNCTION("""COMPUTED_VALUE"""),TRUE)</f>
        <v>1</v>
      </c>
      <c r="X1399" s="5" t="str">
        <f ca="1">IFERROR(__xludf.DUMMYFUNCTION("""COMPUTED_VALUE"""),"achavezi@postobon.com.co,aprmttoyu@postobon.com.co,aprmyu@postobon.com.co,wmora@postobon.com.co,efzapata@postobon.com.co")</f>
        <v>achavezi@postobon.com.co,aprmttoyu@postobon.com.co,aprmyu@postobon.com.co,wmora@postobon.com.co,efzapata@postobon.com.co</v>
      </c>
      <c r="Y1399" s="5" t="str">
        <f ca="1">IFERROR(__xludf.DUMMYFUNCTION("""COMPUTED_VALUE"""),"achavezi@postobon.com.co")</f>
        <v>achavezi@postobon.com.co</v>
      </c>
      <c r="Z1399" s="5" t="str">
        <f ca="1">IFERROR(__xludf.DUMMYFUNCTION("""COMPUTED_VALUE"""),"LGQswY4PQZWbMqkDjdvZ3g")</f>
        <v>LGQswY4PQZWbMqkDjdvZ3g</v>
      </c>
      <c r="AA1399" s="5"/>
      <c r="AB1399" s="5"/>
      <c r="AC1399" s="5"/>
      <c r="AD1399" s="5">
        <f ca="1">IFERROR(__xludf.DUMMYFUNCTION("""COMPUTED_VALUE"""),67)</f>
        <v>67</v>
      </c>
      <c r="AE1399" s="5">
        <f ca="1">IFERROR(__xludf.DUMMYFUNCTION("""COMPUTED_VALUE"""),67)</f>
        <v>67</v>
      </c>
      <c r="AF1399" s="5" t="b">
        <f ca="1">IFERROR(__xludf.DUMMYFUNCTION("""COMPUTED_VALUE"""),FALSE)</f>
        <v>0</v>
      </c>
      <c r="AG1399" s="5" t="str">
        <f ca="1">IFERROR(__xludf.DUMMYFUNCTION("""COMPUTED_VALUE"""),"INSPECCIONES REALIZADAS")</f>
        <v>INSPECCIONES REALIZADAS</v>
      </c>
      <c r="AH1399" s="5"/>
    </row>
    <row r="1400" spans="1:34">
      <c r="A1400" s="5" t="str">
        <f ca="1">IFERROR(__xludf.DUMMYFUNCTION("""COMPUTED_VALUE"""),"LINEA DE PRODUCCION DE BOTELLONES DE 20")</f>
        <v>LINEA DE PRODUCCION DE BOTELLONES DE 20</v>
      </c>
      <c r="B1400" s="5">
        <f ca="1">IFERROR(__xludf.DUMMYFUNCTION("""COMPUTED_VALUE"""),739532)</f>
        <v>739532</v>
      </c>
      <c r="C1400" s="5" t="str">
        <f ca="1">IFERROR(__xludf.DUMMYFUNCTION("""COMPUTED_VALUE"""),"TUNEL DE TERMOENCOGIDO")</f>
        <v>TUNEL DE TERMOENCOGIDO</v>
      </c>
      <c r="D1400" s="5">
        <f ca="1">IFERROR(__xludf.DUMMYFUNCTION("""COMPUTED_VALUE"""),13247699)</f>
        <v>13247699</v>
      </c>
      <c r="E1400" s="5" t="str">
        <f ca="1">IFERROR(__xludf.DUMMYFUNCTION("""COMPUTED_VALUE"""),"INSPECCION SEMANAL TUNEL DE TERMOENCOGID")</f>
        <v>INSPECCION SEMANAL TUNEL DE TERMOENCOGID</v>
      </c>
      <c r="F1400" s="5" t="str">
        <f ca="1">IFERROR(__xludf.DUMMYFUNCTION("""COMPUTED_VALUE"""),"INSP. ESTADO TABLERO DE CONTROL")</f>
        <v>INSP. ESTADO TABLERO DE CONTROL</v>
      </c>
      <c r="G1400" s="5" t="b">
        <f ca="1">IFERROR(__xludf.DUMMYFUNCTION("""COMPUTED_VALUE"""),TRUE)</f>
        <v>1</v>
      </c>
      <c r="H1400" s="5"/>
      <c r="I1400" s="5"/>
      <c r="J1400" s="5"/>
      <c r="K1400" s="5"/>
      <c r="L1400" s="18">
        <f ca="1">IFERROR(__xludf.DUMMYFUNCTION("""COMPUTED_VALUE"""),45324)</f>
        <v>45324</v>
      </c>
      <c r="M1400" s="18">
        <f ca="1">IFERROR(__xludf.DUMMYFUNCTION("""COMPUTED_VALUE"""),45324)</f>
        <v>45324</v>
      </c>
      <c r="N1400" s="5" t="str">
        <f ca="1">IFERROR(__xludf.DUMMYFUNCTION("""COMPUTED_VALUE"""),"Christian Camilo Ramirez Rendón")</f>
        <v>Christian Camilo Ramirez Rendón</v>
      </c>
      <c r="O1400" s="2">
        <f ca="1">IFERROR(__xludf.DUMMYFUNCTION("""COMPUTED_VALUE"""),0.05)</f>
        <v>0.05</v>
      </c>
      <c r="P1400" s="5"/>
      <c r="Q1400" s="5" t="str">
        <f ca="1">IFERROR(__xludf.DUMMYFUNCTION("""COMPUTED_VALUE"""),"7OtSgNYWHJM")</f>
        <v>7OtSgNYWHJM</v>
      </c>
      <c r="R1400" s="5">
        <f ca="1">IFERROR(__xludf.DUMMYFUNCTION("""COMPUTED_VALUE"""),410)</f>
        <v>410</v>
      </c>
      <c r="S1400" s="62">
        <f ca="1">IFERROR(__xludf.DUMMYFUNCTION("""COMPUTED_VALUE"""),0.05)</f>
        <v>0.05</v>
      </c>
      <c r="T1400" s="63" t="str">
        <f ca="1">IFERROR(__xludf.DUMMYFUNCTION("""COMPUTED_VALUE"""),"https://storage.googleapis.com/glide-prod.appspot.com/uploads-v2/ly7o78grxPaC6KdgvbpS/pub/3aRdSog0vUtuqPE8AJKD.png")</f>
        <v>https://storage.googleapis.com/glide-prod.appspot.com/uploads-v2/ly7o78grxPaC6KdgvbpS/pub/3aRdSog0vUtuqPE8AJKD.png</v>
      </c>
      <c r="U1400" s="5" t="str">
        <f ca="1">IFERROR(__xludf.DUMMYFUNCTION("""COMPUTED_VALUE"""),"LINEA DE PRODUCCION DE BOTELLONES DE 20TUNEL DE TERMOENCOGIDO")</f>
        <v>LINEA DE PRODUCCION DE BOTELLONES DE 20TUNEL DE TERMOENCOGIDO</v>
      </c>
      <c r="V1400" s="5"/>
      <c r="W1400" s="5" t="b">
        <f ca="1">IFERROR(__xludf.DUMMYFUNCTION("""COMPUTED_VALUE"""),TRUE)</f>
        <v>1</v>
      </c>
      <c r="X1400" s="5" t="str">
        <f ca="1">IFERROR(__xludf.DUMMYFUNCTION("""COMPUTED_VALUE"""),"achavezi@postobon.com.co,aprmttoyu@postobon.com.co,aprmyu@postobon.com.co,wmora@postobon.com.co,efzapata@postobon.com.co")</f>
        <v>achavezi@postobon.com.co,aprmttoyu@postobon.com.co,aprmyu@postobon.com.co,wmora@postobon.com.co,efzapata@postobon.com.co</v>
      </c>
      <c r="Y1400" s="5" t="str">
        <f ca="1">IFERROR(__xludf.DUMMYFUNCTION("""COMPUTED_VALUE"""),"achavezi@postobon.com.co")</f>
        <v>achavezi@postobon.com.co</v>
      </c>
      <c r="Z1400" s="5" t="str">
        <f ca="1">IFERROR(__xludf.DUMMYFUNCTION("""COMPUTED_VALUE"""),"0jdXF-4tQcy5sH5z0mhHlA")</f>
        <v>0jdXF-4tQcy5sH5z0mhHlA</v>
      </c>
      <c r="AA1400" s="5"/>
      <c r="AB1400" s="5"/>
      <c r="AC1400" s="5"/>
      <c r="AD1400" s="5">
        <f ca="1">IFERROR(__xludf.DUMMYFUNCTION("""COMPUTED_VALUE"""),67)</f>
        <v>67</v>
      </c>
      <c r="AE1400" s="5">
        <f ca="1">IFERROR(__xludf.DUMMYFUNCTION("""COMPUTED_VALUE"""),67)</f>
        <v>67</v>
      </c>
      <c r="AF1400" s="5" t="b">
        <f ca="1">IFERROR(__xludf.DUMMYFUNCTION("""COMPUTED_VALUE"""),FALSE)</f>
        <v>0</v>
      </c>
      <c r="AG1400" s="5" t="str">
        <f ca="1">IFERROR(__xludf.DUMMYFUNCTION("""COMPUTED_VALUE"""),"INSPECCIONES REALIZADAS")</f>
        <v>INSPECCIONES REALIZADAS</v>
      </c>
      <c r="AH1400" s="5"/>
    </row>
    <row r="1401" spans="1:34">
      <c r="A1401" s="5" t="str">
        <f ca="1">IFERROR(__xludf.DUMMYFUNCTION("""COMPUTED_VALUE"""),"EQUIPOS PARA SERVICIOS INDUSTRIALES")</f>
        <v>EQUIPOS PARA SERVICIOS INDUSTRIALES</v>
      </c>
      <c r="B1401" s="5">
        <f ca="1">IFERROR(__xludf.DUMMYFUNCTION("""COMPUTED_VALUE"""),659371)</f>
        <v>659371</v>
      </c>
      <c r="C1401" s="5" t="str">
        <f ca="1">IFERROR(__xludf.DUMMYFUNCTION("""COMPUTED_VALUE"""),"CALDERA DE 300 BHP")</f>
        <v>CALDERA DE 300 BHP</v>
      </c>
      <c r="D1401" s="5">
        <f ca="1">IFERROR(__xludf.DUMMYFUNCTION("""COMPUTED_VALUE"""),13247476)</f>
        <v>13247476</v>
      </c>
      <c r="E1401" s="5" t="str">
        <f ca="1">IFERROR(__xludf.DUMMYFUNCTION("""COMPUTED_VALUE"""),"INSPECCION SEMANAL CALDERA DE 300 BHP")</f>
        <v>INSPECCION SEMANAL CALDERA DE 300 BHP</v>
      </c>
      <c r="F1401" s="5" t="str">
        <f ca="1">IFERROR(__xludf.DUMMYFUNCTION("""COMPUTED_VALUE"""),"INSTRUMENTOS MEDICION")</f>
        <v>INSTRUMENTOS MEDICION</v>
      </c>
      <c r="G1401" s="5" t="b">
        <f ca="1">IFERROR(__xludf.DUMMYFUNCTION("""COMPUTED_VALUE"""),TRUE)</f>
        <v>1</v>
      </c>
      <c r="H1401" s="5"/>
      <c r="I1401" s="5"/>
      <c r="J1401" s="5">
        <f ca="1">IFERROR(__xludf.DUMMYFUNCTION("""COMPUTED_VALUE"""),13247476)</f>
        <v>13247476</v>
      </c>
      <c r="K1401" s="5"/>
      <c r="L1401" s="18">
        <f ca="1">IFERROR(__xludf.DUMMYFUNCTION("""COMPUTED_VALUE"""),45324)</f>
        <v>45324</v>
      </c>
      <c r="M1401" s="18">
        <f ca="1">IFERROR(__xludf.DUMMYFUNCTION("""COMPUTED_VALUE"""),45324)</f>
        <v>45324</v>
      </c>
      <c r="N1401" s="5" t="str">
        <f ca="1">IFERROR(__xludf.DUMMYFUNCTION("""COMPUTED_VALUE"""),"Valencia Hector")</f>
        <v>Valencia Hector</v>
      </c>
      <c r="O1401" s="2">
        <f ca="1">IFERROR(__xludf.DUMMYFUNCTION("""COMPUTED_VALUE"""),0.007142857)</f>
        <v>7.1428569999999999E-3</v>
      </c>
      <c r="P1401" s="5">
        <f ca="1">IFERROR(__xludf.DUMMYFUNCTION("""COMPUTED_VALUE"""),20015139)</f>
        <v>20015139</v>
      </c>
      <c r="Q1401" s="5" t="str">
        <f ca="1">IFERROR(__xludf.DUMMYFUNCTION("""COMPUTED_VALUE"""),"7JejP_yYBXk")</f>
        <v>7JejP_yYBXk</v>
      </c>
      <c r="R1401" s="5">
        <f ca="1">IFERROR(__xludf.DUMMYFUNCTION("""COMPUTED_VALUE"""),410)</f>
        <v>410</v>
      </c>
      <c r="S1401" s="62">
        <f ca="1">IFERROR(__xludf.DUMMYFUNCTION("""COMPUTED_VALUE"""),0.007142857)</f>
        <v>7.1428569999999999E-3</v>
      </c>
      <c r="T1401" s="63" t="str">
        <f ca="1">IFERROR(__xludf.DUMMYFUNCTION("""COMPUTED_VALUE"""),"https://storage.googleapis.com/glide-prod.appspot.com/uploads-v2/ly7o78grxPaC6KdgvbpS/pub/3aRdSog0vUtuqPE8AJKD.png")</f>
        <v>https://storage.googleapis.com/glide-prod.appspot.com/uploads-v2/ly7o78grxPaC6KdgvbpS/pub/3aRdSog0vUtuqPE8AJKD.png</v>
      </c>
      <c r="U1401" s="5" t="str">
        <f ca="1">IFERROR(__xludf.DUMMYFUNCTION("""COMPUTED_VALUE"""),"EQUIPOS PARA SERVICIOS INDUSTRIALESCALDERA DE 300 BHP")</f>
        <v>EQUIPOS PARA SERVICIOS INDUSTRIALESCALDERA DE 300 BHP</v>
      </c>
      <c r="V1401" s="5"/>
      <c r="W1401" s="5" t="b">
        <f ca="1">IFERROR(__xludf.DUMMYFUNCTION("""COMPUTED_VALUE"""),TRUE)</f>
        <v>1</v>
      </c>
      <c r="X1401" s="5" t="str">
        <f ca="1">IFERROR(__xludf.DUMMYFUNCTION("""COMPUTED_VALUE"""),"wmazorra@postobon.com.co,aprmttoyu@postobon.com.co,aprmyu@postobon.com.co,wmora@postobon.com.co,efzapata@postobon.com.co")</f>
        <v>wmazorra@postobon.com.co,aprmttoyu@postobon.com.co,aprmyu@postobon.com.co,wmora@postobon.com.co,efzapata@postobon.com.co</v>
      </c>
      <c r="Y1401" s="5" t="str">
        <f ca="1">IFERROR(__xludf.DUMMYFUNCTION("""COMPUTED_VALUE"""),"wmazorra@postobon.com.co")</f>
        <v>wmazorra@postobon.com.co</v>
      </c>
      <c r="Z1401" s="5" t="str">
        <f ca="1">IFERROR(__xludf.DUMMYFUNCTION("""COMPUTED_VALUE"""),"wFbzYfsiRLunLE53ZKE8Zw")</f>
        <v>wFbzYfsiRLunLE53ZKE8Zw</v>
      </c>
      <c r="AA1401" s="5"/>
      <c r="AB1401" s="5"/>
      <c r="AC1401" s="5"/>
      <c r="AD1401" s="5">
        <f ca="1">IFERROR(__xludf.DUMMYFUNCTION("""COMPUTED_VALUE"""),50)</f>
        <v>50</v>
      </c>
      <c r="AE1401" s="5">
        <f ca="1">IFERROR(__xludf.DUMMYFUNCTION("""COMPUTED_VALUE"""),50)</f>
        <v>50</v>
      </c>
      <c r="AF1401" s="5" t="b">
        <f ca="1">IFERROR(__xludf.DUMMYFUNCTION("""COMPUTED_VALUE"""),FALSE)</f>
        <v>0</v>
      </c>
      <c r="AG1401" s="5" t="str">
        <f ca="1">IFERROR(__xludf.DUMMYFUNCTION("""COMPUTED_VALUE"""),"INSPECCIONES REALIZADAS")</f>
        <v>INSPECCIONES REALIZADAS</v>
      </c>
      <c r="AH1401" s="5"/>
    </row>
    <row r="1402" spans="1:34">
      <c r="A1402" s="5" t="str">
        <f ca="1">IFERROR(__xludf.DUMMYFUNCTION("""COMPUTED_VALUE"""),"EQUIPOS PARA SERVICIOS INDUSTRIALES")</f>
        <v>EQUIPOS PARA SERVICIOS INDUSTRIALES</v>
      </c>
      <c r="B1402" s="5">
        <f ca="1">IFERROR(__xludf.DUMMYFUNCTION("""COMPUTED_VALUE"""),659371)</f>
        <v>659371</v>
      </c>
      <c r="C1402" s="5" t="str">
        <f ca="1">IFERROR(__xludf.DUMMYFUNCTION("""COMPUTED_VALUE"""),"CALDERA DE 300 BHP")</f>
        <v>CALDERA DE 300 BHP</v>
      </c>
      <c r="D1402" s="5">
        <f ca="1">IFERROR(__xludf.DUMMYFUNCTION("""COMPUTED_VALUE"""),13247476)</f>
        <v>13247476</v>
      </c>
      <c r="E1402" s="5" t="str">
        <f ca="1">IFERROR(__xludf.DUMMYFUNCTION("""COMPUTED_VALUE"""),"INSPECCION SEMANAL CALDERA DE 300 BHP")</f>
        <v>INSPECCION SEMANAL CALDERA DE 300 BHP</v>
      </c>
      <c r="F1402" s="5" t="str">
        <f ca="1">IFERROR(__xludf.DUMMYFUNCTION("""COMPUTED_VALUE"""),"MOTOBOMBAS: AGUA, DOSIFICADOR")</f>
        <v>MOTOBOMBAS: AGUA, DOSIFICADOR</v>
      </c>
      <c r="G1402" s="5" t="b">
        <f ca="1">IFERROR(__xludf.DUMMYFUNCTION("""COMPUTED_VALUE"""),TRUE)</f>
        <v>1</v>
      </c>
      <c r="H1402" s="5"/>
      <c r="I1402" s="5"/>
      <c r="J1402" s="5">
        <f ca="1">IFERROR(__xludf.DUMMYFUNCTION("""COMPUTED_VALUE"""),13247476)</f>
        <v>13247476</v>
      </c>
      <c r="K1402" s="5"/>
      <c r="L1402" s="18">
        <f ca="1">IFERROR(__xludf.DUMMYFUNCTION("""COMPUTED_VALUE"""),45324)</f>
        <v>45324</v>
      </c>
      <c r="M1402" s="18">
        <f ca="1">IFERROR(__xludf.DUMMYFUNCTION("""COMPUTED_VALUE"""),45324)</f>
        <v>45324</v>
      </c>
      <c r="N1402" s="5" t="str">
        <f ca="1">IFERROR(__xludf.DUMMYFUNCTION("""COMPUTED_VALUE"""),"Valencia Hector")</f>
        <v>Valencia Hector</v>
      </c>
      <c r="O1402" s="2">
        <f ca="1">IFERROR(__xludf.DUMMYFUNCTION("""COMPUTED_VALUE"""),0.007142857)</f>
        <v>7.1428569999999999E-3</v>
      </c>
      <c r="P1402" s="5">
        <f ca="1">IFERROR(__xludf.DUMMYFUNCTION("""COMPUTED_VALUE"""),20015139)</f>
        <v>20015139</v>
      </c>
      <c r="Q1402" s="5" t="str">
        <f ca="1">IFERROR(__xludf.DUMMYFUNCTION("""COMPUTED_VALUE"""),"0e9BQ5FIRzw")</f>
        <v>0e9BQ5FIRzw</v>
      </c>
      <c r="R1402" s="5">
        <f ca="1">IFERROR(__xludf.DUMMYFUNCTION("""COMPUTED_VALUE"""),410)</f>
        <v>410</v>
      </c>
      <c r="S1402" s="62">
        <f ca="1">IFERROR(__xludf.DUMMYFUNCTION("""COMPUTED_VALUE"""),0.007142857)</f>
        <v>7.1428569999999999E-3</v>
      </c>
      <c r="T1402" s="63" t="str">
        <f ca="1">IFERROR(__xludf.DUMMYFUNCTION("""COMPUTED_VALUE"""),"https://storage.googleapis.com/glide-prod.appspot.com/uploads-v2/ly7o78grxPaC6KdgvbpS/pub/3aRdSog0vUtuqPE8AJKD.png")</f>
        <v>https://storage.googleapis.com/glide-prod.appspot.com/uploads-v2/ly7o78grxPaC6KdgvbpS/pub/3aRdSog0vUtuqPE8AJKD.png</v>
      </c>
      <c r="U1402" s="5" t="str">
        <f ca="1">IFERROR(__xludf.DUMMYFUNCTION("""COMPUTED_VALUE"""),"EQUIPOS PARA SERVICIOS INDUSTRIALESCALDERA DE 300 BHP")</f>
        <v>EQUIPOS PARA SERVICIOS INDUSTRIALESCALDERA DE 300 BHP</v>
      </c>
      <c r="V1402" s="5"/>
      <c r="W1402" s="5" t="b">
        <f ca="1">IFERROR(__xludf.DUMMYFUNCTION("""COMPUTED_VALUE"""),TRUE)</f>
        <v>1</v>
      </c>
      <c r="X1402" s="5" t="str">
        <f ca="1">IFERROR(__xludf.DUMMYFUNCTION("""COMPUTED_VALUE"""),"wmazorra@postobon.com.co,aprmttoyu@postobon.com.co,aprmyu@postobon.com.co,wmora@postobon.com.co,efzapata@postobon.com.co")</f>
        <v>wmazorra@postobon.com.co,aprmttoyu@postobon.com.co,aprmyu@postobon.com.co,wmora@postobon.com.co,efzapata@postobon.com.co</v>
      </c>
      <c r="Y1402" s="5" t="str">
        <f ca="1">IFERROR(__xludf.DUMMYFUNCTION("""COMPUTED_VALUE"""),"wmazorra@postobon.com.co")</f>
        <v>wmazorra@postobon.com.co</v>
      </c>
      <c r="Z1402" s="5" t="str">
        <f ca="1">IFERROR(__xludf.DUMMYFUNCTION("""COMPUTED_VALUE"""),"b.boefd8T.uDAxe5OrOxjg")</f>
        <v>b.boefd8T.uDAxe5OrOxjg</v>
      </c>
      <c r="AA1402" s="5"/>
      <c r="AB1402" s="5"/>
      <c r="AC1402" s="5"/>
      <c r="AD1402" s="5">
        <f ca="1">IFERROR(__xludf.DUMMYFUNCTION("""COMPUTED_VALUE"""),50)</f>
        <v>50</v>
      </c>
      <c r="AE1402" s="5">
        <f ca="1">IFERROR(__xludf.DUMMYFUNCTION("""COMPUTED_VALUE"""),50)</f>
        <v>50</v>
      </c>
      <c r="AF1402" s="5" t="b">
        <f ca="1">IFERROR(__xludf.DUMMYFUNCTION("""COMPUTED_VALUE"""),FALSE)</f>
        <v>0</v>
      </c>
      <c r="AG1402" s="5" t="str">
        <f ca="1">IFERROR(__xludf.DUMMYFUNCTION("""COMPUTED_VALUE"""),"INSPECCIONES REALIZADAS")</f>
        <v>INSPECCIONES REALIZADAS</v>
      </c>
      <c r="AH1402" s="5"/>
    </row>
    <row r="1403" spans="1:34">
      <c r="A1403" s="5" t="str">
        <f ca="1">IFERROR(__xludf.DUMMYFUNCTION("""COMPUTED_VALUE"""),"EQUIPOS PARA SERVICIOS INDUSTRIALES")</f>
        <v>EQUIPOS PARA SERVICIOS INDUSTRIALES</v>
      </c>
      <c r="B1403" s="5">
        <f ca="1">IFERROR(__xludf.DUMMYFUNCTION("""COMPUTED_VALUE"""),659371)</f>
        <v>659371</v>
      </c>
      <c r="C1403" s="5" t="str">
        <f ca="1">IFERROR(__xludf.DUMMYFUNCTION("""COMPUTED_VALUE"""),"CALDERA DE 300 BHP")</f>
        <v>CALDERA DE 300 BHP</v>
      </c>
      <c r="D1403" s="5">
        <f ca="1">IFERROR(__xludf.DUMMYFUNCTION("""COMPUTED_VALUE"""),13247476)</f>
        <v>13247476</v>
      </c>
      <c r="E1403" s="5" t="str">
        <f ca="1">IFERROR(__xludf.DUMMYFUNCTION("""COMPUTED_VALUE"""),"INSPECCION SEMANAL CALDERA DE 300 BHP")</f>
        <v>INSPECCION SEMANAL CALDERA DE 300 BHP</v>
      </c>
      <c r="F1403" s="5" t="str">
        <f ca="1">IFERROR(__xludf.DUMMYFUNCTION("""COMPUTED_VALUE"""),"VENTILADOR")</f>
        <v>VENTILADOR</v>
      </c>
      <c r="G1403" s="5" t="b">
        <f ca="1">IFERROR(__xludf.DUMMYFUNCTION("""COMPUTED_VALUE"""),TRUE)</f>
        <v>1</v>
      </c>
      <c r="H1403" s="5"/>
      <c r="I1403" s="5"/>
      <c r="J1403" s="5">
        <f ca="1">IFERROR(__xludf.DUMMYFUNCTION("""COMPUTED_VALUE"""),13247476)</f>
        <v>13247476</v>
      </c>
      <c r="K1403" s="5"/>
      <c r="L1403" s="18">
        <f ca="1">IFERROR(__xludf.DUMMYFUNCTION("""COMPUTED_VALUE"""),45324)</f>
        <v>45324</v>
      </c>
      <c r="M1403" s="18">
        <f ca="1">IFERROR(__xludf.DUMMYFUNCTION("""COMPUTED_VALUE"""),45324)</f>
        <v>45324</v>
      </c>
      <c r="N1403" s="5" t="str">
        <f ca="1">IFERROR(__xludf.DUMMYFUNCTION("""COMPUTED_VALUE"""),"Valencia Hector")</f>
        <v>Valencia Hector</v>
      </c>
      <c r="O1403" s="2">
        <f ca="1">IFERROR(__xludf.DUMMYFUNCTION("""COMPUTED_VALUE"""),0.007142857)</f>
        <v>7.1428569999999999E-3</v>
      </c>
      <c r="P1403" s="5">
        <f ca="1">IFERROR(__xludf.DUMMYFUNCTION("""COMPUTED_VALUE"""),20015139)</f>
        <v>20015139</v>
      </c>
      <c r="Q1403" s="5" t="str">
        <f ca="1">IFERROR(__xludf.DUMMYFUNCTION("""COMPUTED_VALUE"""),"fBwM1ESy7oQ")</f>
        <v>fBwM1ESy7oQ</v>
      </c>
      <c r="R1403" s="5">
        <f ca="1">IFERROR(__xludf.DUMMYFUNCTION("""COMPUTED_VALUE"""),410)</f>
        <v>410</v>
      </c>
      <c r="S1403" s="62">
        <f ca="1">IFERROR(__xludf.DUMMYFUNCTION("""COMPUTED_VALUE"""),0.007142857)</f>
        <v>7.1428569999999999E-3</v>
      </c>
      <c r="T1403" s="63" t="str">
        <f ca="1">IFERROR(__xludf.DUMMYFUNCTION("""COMPUTED_VALUE"""),"https://storage.googleapis.com/glide-prod.appspot.com/uploads-v2/ly7o78grxPaC6KdgvbpS/pub/3aRdSog0vUtuqPE8AJKD.png")</f>
        <v>https://storage.googleapis.com/glide-prod.appspot.com/uploads-v2/ly7o78grxPaC6KdgvbpS/pub/3aRdSog0vUtuqPE8AJKD.png</v>
      </c>
      <c r="U1403" s="5" t="str">
        <f ca="1">IFERROR(__xludf.DUMMYFUNCTION("""COMPUTED_VALUE"""),"EQUIPOS PARA SERVICIOS INDUSTRIALESCALDERA DE 300 BHP")</f>
        <v>EQUIPOS PARA SERVICIOS INDUSTRIALESCALDERA DE 300 BHP</v>
      </c>
      <c r="V1403" s="5"/>
      <c r="W1403" s="5" t="b">
        <f ca="1">IFERROR(__xludf.DUMMYFUNCTION("""COMPUTED_VALUE"""),TRUE)</f>
        <v>1</v>
      </c>
      <c r="X1403" s="5" t="str">
        <f ca="1">IFERROR(__xludf.DUMMYFUNCTION("""COMPUTED_VALUE"""),"wmazorra@postobon.com.co,aprmttoyu@postobon.com.co,aprmyu@postobon.com.co,wmora@postobon.com.co,efzapata@postobon.com.co")</f>
        <v>wmazorra@postobon.com.co,aprmttoyu@postobon.com.co,aprmyu@postobon.com.co,wmora@postobon.com.co,efzapata@postobon.com.co</v>
      </c>
      <c r="Y1403" s="5" t="str">
        <f ca="1">IFERROR(__xludf.DUMMYFUNCTION("""COMPUTED_VALUE"""),"wmazorra@postobon.com.co")</f>
        <v>wmazorra@postobon.com.co</v>
      </c>
      <c r="Z1403" s="5" t="str">
        <f ca="1">IFERROR(__xludf.DUMMYFUNCTION("""COMPUTED_VALUE"""),"5LiuiwhXQrSRRAsgZBeffg")</f>
        <v>5LiuiwhXQrSRRAsgZBeffg</v>
      </c>
      <c r="AA1403" s="5"/>
      <c r="AB1403" s="5"/>
      <c r="AC1403" s="5"/>
      <c r="AD1403" s="5">
        <f ca="1">IFERROR(__xludf.DUMMYFUNCTION("""COMPUTED_VALUE"""),50)</f>
        <v>50</v>
      </c>
      <c r="AE1403" s="5">
        <f ca="1">IFERROR(__xludf.DUMMYFUNCTION("""COMPUTED_VALUE"""),50)</f>
        <v>50</v>
      </c>
      <c r="AF1403" s="5" t="b">
        <f ca="1">IFERROR(__xludf.DUMMYFUNCTION("""COMPUTED_VALUE"""),FALSE)</f>
        <v>0</v>
      </c>
      <c r="AG1403" s="5" t="str">
        <f ca="1">IFERROR(__xludf.DUMMYFUNCTION("""COMPUTED_VALUE"""),"INSPECCIONES REALIZADAS")</f>
        <v>INSPECCIONES REALIZADAS</v>
      </c>
      <c r="AH1403" s="5"/>
    </row>
    <row r="1404" spans="1:34">
      <c r="A1404" s="5" t="str">
        <f ca="1">IFERROR(__xludf.DUMMYFUNCTION("""COMPUTED_VALUE"""),"EQUIPOS PARA SERVICIOS INDUSTRIALES")</f>
        <v>EQUIPOS PARA SERVICIOS INDUSTRIALES</v>
      </c>
      <c r="B1404" s="5">
        <f ca="1">IFERROR(__xludf.DUMMYFUNCTION("""COMPUTED_VALUE"""),659371)</f>
        <v>659371</v>
      </c>
      <c r="C1404" s="5" t="str">
        <f ca="1">IFERROR(__xludf.DUMMYFUNCTION("""COMPUTED_VALUE"""),"CALDERA DE 300 BHP")</f>
        <v>CALDERA DE 300 BHP</v>
      </c>
      <c r="D1404" s="5">
        <f ca="1">IFERROR(__xludf.DUMMYFUNCTION("""COMPUTED_VALUE"""),13247476)</f>
        <v>13247476</v>
      </c>
      <c r="E1404" s="5" t="str">
        <f ca="1">IFERROR(__xludf.DUMMYFUNCTION("""COMPUTED_VALUE"""),"INSPECCION SEMANAL CALDERA DE 300 BHP")</f>
        <v>INSPECCION SEMANAL CALDERA DE 300 BHP</v>
      </c>
      <c r="F1404" s="5" t="str">
        <f ca="1">IFERROR(__xludf.DUMMYFUNCTION("""COMPUTED_VALUE"""),"ESCAPES FLUIDOS: GAS, VAPOR")</f>
        <v>ESCAPES FLUIDOS: GAS, VAPOR</v>
      </c>
      <c r="G1404" s="5" t="b">
        <f ca="1">IFERROR(__xludf.DUMMYFUNCTION("""COMPUTED_VALUE"""),TRUE)</f>
        <v>1</v>
      </c>
      <c r="H1404" s="5"/>
      <c r="I1404" s="5"/>
      <c r="J1404" s="5">
        <f ca="1">IFERROR(__xludf.DUMMYFUNCTION("""COMPUTED_VALUE"""),13247476)</f>
        <v>13247476</v>
      </c>
      <c r="K1404" s="5"/>
      <c r="L1404" s="18">
        <f ca="1">IFERROR(__xludf.DUMMYFUNCTION("""COMPUTED_VALUE"""),45324)</f>
        <v>45324</v>
      </c>
      <c r="M1404" s="18">
        <f ca="1">IFERROR(__xludf.DUMMYFUNCTION("""COMPUTED_VALUE"""),45324)</f>
        <v>45324</v>
      </c>
      <c r="N1404" s="5" t="str">
        <f ca="1">IFERROR(__xludf.DUMMYFUNCTION("""COMPUTED_VALUE"""),"Valencia Hector")</f>
        <v>Valencia Hector</v>
      </c>
      <c r="O1404" s="2">
        <f ca="1">IFERROR(__xludf.DUMMYFUNCTION("""COMPUTED_VALUE"""),0.007142857)</f>
        <v>7.1428569999999999E-3</v>
      </c>
      <c r="P1404" s="5">
        <f ca="1">IFERROR(__xludf.DUMMYFUNCTION("""COMPUTED_VALUE"""),20015139)</f>
        <v>20015139</v>
      </c>
      <c r="Q1404" s="5" t="str">
        <f ca="1">IFERROR(__xludf.DUMMYFUNCTION("""COMPUTED_VALUE"""),"_7fDj8rHaFA")</f>
        <v>_7fDj8rHaFA</v>
      </c>
      <c r="R1404" s="5">
        <f ca="1">IFERROR(__xludf.DUMMYFUNCTION("""COMPUTED_VALUE"""),410)</f>
        <v>410</v>
      </c>
      <c r="S1404" s="62">
        <f ca="1">IFERROR(__xludf.DUMMYFUNCTION("""COMPUTED_VALUE"""),0.007142857)</f>
        <v>7.1428569999999999E-3</v>
      </c>
      <c r="T1404" s="63" t="str">
        <f ca="1">IFERROR(__xludf.DUMMYFUNCTION("""COMPUTED_VALUE"""),"https://storage.googleapis.com/glide-prod.appspot.com/uploads-v2/ly7o78grxPaC6KdgvbpS/pub/3aRdSog0vUtuqPE8AJKD.png")</f>
        <v>https://storage.googleapis.com/glide-prod.appspot.com/uploads-v2/ly7o78grxPaC6KdgvbpS/pub/3aRdSog0vUtuqPE8AJKD.png</v>
      </c>
      <c r="U1404" s="5" t="str">
        <f ca="1">IFERROR(__xludf.DUMMYFUNCTION("""COMPUTED_VALUE"""),"EQUIPOS PARA SERVICIOS INDUSTRIALESCALDERA DE 300 BHP")</f>
        <v>EQUIPOS PARA SERVICIOS INDUSTRIALESCALDERA DE 300 BHP</v>
      </c>
      <c r="V1404" s="5"/>
      <c r="W1404" s="5" t="b">
        <f ca="1">IFERROR(__xludf.DUMMYFUNCTION("""COMPUTED_VALUE"""),TRUE)</f>
        <v>1</v>
      </c>
      <c r="X1404" s="5" t="str">
        <f ca="1">IFERROR(__xludf.DUMMYFUNCTION("""COMPUTED_VALUE"""),"wmazorra@postobon.com.co,aprmttoyu@postobon.com.co,aprmyu@postobon.com.co,wmora@postobon.com.co,efzapata@postobon.com.co")</f>
        <v>wmazorra@postobon.com.co,aprmttoyu@postobon.com.co,aprmyu@postobon.com.co,wmora@postobon.com.co,efzapata@postobon.com.co</v>
      </c>
      <c r="Y1404" s="5" t="str">
        <f ca="1">IFERROR(__xludf.DUMMYFUNCTION("""COMPUTED_VALUE"""),"wmazorra@postobon.com.co")</f>
        <v>wmazorra@postobon.com.co</v>
      </c>
      <c r="Z1404" s="5" t="str">
        <f ca="1">IFERROR(__xludf.DUMMYFUNCTION("""COMPUTED_VALUE"""),"nnmEsqVaQ4O2D0QOxgbj4Q")</f>
        <v>nnmEsqVaQ4O2D0QOxgbj4Q</v>
      </c>
      <c r="AA1404" s="5"/>
      <c r="AB1404" s="5"/>
      <c r="AC1404" s="5"/>
      <c r="AD1404" s="5">
        <f ca="1">IFERROR(__xludf.DUMMYFUNCTION("""COMPUTED_VALUE"""),50)</f>
        <v>50</v>
      </c>
      <c r="AE1404" s="5">
        <f ca="1">IFERROR(__xludf.DUMMYFUNCTION("""COMPUTED_VALUE"""),50)</f>
        <v>50</v>
      </c>
      <c r="AF1404" s="5" t="b">
        <f ca="1">IFERROR(__xludf.DUMMYFUNCTION("""COMPUTED_VALUE"""),FALSE)</f>
        <v>0</v>
      </c>
      <c r="AG1404" s="5" t="str">
        <f ca="1">IFERROR(__xludf.DUMMYFUNCTION("""COMPUTED_VALUE"""),"INSPECCIONES REALIZADAS")</f>
        <v>INSPECCIONES REALIZADAS</v>
      </c>
      <c r="AH1404" s="5"/>
    </row>
    <row r="1405" spans="1:34">
      <c r="A1405" s="5" t="str">
        <f ca="1">IFERROR(__xludf.DUMMYFUNCTION("""COMPUTED_VALUE"""),"EQUIPOS PARA SERVICIOS INDUSTRIALES")</f>
        <v>EQUIPOS PARA SERVICIOS INDUSTRIALES</v>
      </c>
      <c r="B1405" s="5">
        <f ca="1">IFERROR(__xludf.DUMMYFUNCTION("""COMPUTED_VALUE"""),659371)</f>
        <v>659371</v>
      </c>
      <c r="C1405" s="5" t="str">
        <f ca="1">IFERROR(__xludf.DUMMYFUNCTION("""COMPUTED_VALUE"""),"CALDERA DE 300 BHP")</f>
        <v>CALDERA DE 300 BHP</v>
      </c>
      <c r="D1405" s="5">
        <f ca="1">IFERROR(__xludf.DUMMYFUNCTION("""COMPUTED_VALUE"""),13247476)</f>
        <v>13247476</v>
      </c>
      <c r="E1405" s="5" t="str">
        <f ca="1">IFERROR(__xludf.DUMMYFUNCTION("""COMPUTED_VALUE"""),"INSPECCION SEMANAL CALDERA DE 300 BHP")</f>
        <v>INSPECCION SEMANAL CALDERA DE 300 BHP</v>
      </c>
      <c r="F1405" s="5" t="str">
        <f ca="1">IFERROR(__xludf.DUMMYFUNCTION("""COMPUTED_VALUE"""),"VALVULAS, ELECTROVALVULAS")</f>
        <v>VALVULAS, ELECTROVALVULAS</v>
      </c>
      <c r="G1405" s="5" t="b">
        <f ca="1">IFERROR(__xludf.DUMMYFUNCTION("""COMPUTED_VALUE"""),TRUE)</f>
        <v>1</v>
      </c>
      <c r="H1405" s="5"/>
      <c r="I1405" s="5"/>
      <c r="J1405" s="5">
        <f ca="1">IFERROR(__xludf.DUMMYFUNCTION("""COMPUTED_VALUE"""),13247476)</f>
        <v>13247476</v>
      </c>
      <c r="K1405" s="5"/>
      <c r="L1405" s="18">
        <f ca="1">IFERROR(__xludf.DUMMYFUNCTION("""COMPUTED_VALUE"""),45324)</f>
        <v>45324</v>
      </c>
      <c r="M1405" s="18">
        <f ca="1">IFERROR(__xludf.DUMMYFUNCTION("""COMPUTED_VALUE"""),45324)</f>
        <v>45324</v>
      </c>
      <c r="N1405" s="5" t="str">
        <f ca="1">IFERROR(__xludf.DUMMYFUNCTION("""COMPUTED_VALUE"""),"Valencia Hector")</f>
        <v>Valencia Hector</v>
      </c>
      <c r="O1405" s="2">
        <f ca="1">IFERROR(__xludf.DUMMYFUNCTION("""COMPUTED_VALUE"""),0.007142857)</f>
        <v>7.1428569999999999E-3</v>
      </c>
      <c r="P1405" s="5">
        <f ca="1">IFERROR(__xludf.DUMMYFUNCTION("""COMPUTED_VALUE"""),20015139)</f>
        <v>20015139</v>
      </c>
      <c r="Q1405" s="5" t="str">
        <f ca="1">IFERROR(__xludf.DUMMYFUNCTION("""COMPUTED_VALUE"""),"gKw4PhN6VAk")</f>
        <v>gKw4PhN6VAk</v>
      </c>
      <c r="R1405" s="5">
        <f ca="1">IFERROR(__xludf.DUMMYFUNCTION("""COMPUTED_VALUE"""),410)</f>
        <v>410</v>
      </c>
      <c r="S1405" s="62">
        <f ca="1">IFERROR(__xludf.DUMMYFUNCTION("""COMPUTED_VALUE"""),0.007142857)</f>
        <v>7.1428569999999999E-3</v>
      </c>
      <c r="T1405" s="63" t="str">
        <f ca="1">IFERROR(__xludf.DUMMYFUNCTION("""COMPUTED_VALUE"""),"https://storage.googleapis.com/glide-prod.appspot.com/uploads-v2/ly7o78grxPaC6KdgvbpS/pub/3aRdSog0vUtuqPE8AJKD.png")</f>
        <v>https://storage.googleapis.com/glide-prod.appspot.com/uploads-v2/ly7o78grxPaC6KdgvbpS/pub/3aRdSog0vUtuqPE8AJKD.png</v>
      </c>
      <c r="U1405" s="5" t="str">
        <f ca="1">IFERROR(__xludf.DUMMYFUNCTION("""COMPUTED_VALUE"""),"EQUIPOS PARA SERVICIOS INDUSTRIALESCALDERA DE 300 BHP")</f>
        <v>EQUIPOS PARA SERVICIOS INDUSTRIALESCALDERA DE 300 BHP</v>
      </c>
      <c r="V1405" s="5"/>
      <c r="W1405" s="5" t="b">
        <f ca="1">IFERROR(__xludf.DUMMYFUNCTION("""COMPUTED_VALUE"""),TRUE)</f>
        <v>1</v>
      </c>
      <c r="X1405" s="5" t="str">
        <f ca="1">IFERROR(__xludf.DUMMYFUNCTION("""COMPUTED_VALUE"""),"wmazorra@postobon.com.co,aprmttoyu@postobon.com.co,aprmyu@postobon.com.co,wmora@postobon.com.co,efzapata@postobon.com.co")</f>
        <v>wmazorra@postobon.com.co,aprmttoyu@postobon.com.co,aprmyu@postobon.com.co,wmora@postobon.com.co,efzapata@postobon.com.co</v>
      </c>
      <c r="Y1405" s="5" t="str">
        <f ca="1">IFERROR(__xludf.DUMMYFUNCTION("""COMPUTED_VALUE"""),"wmazorra@postobon.com.co")</f>
        <v>wmazorra@postobon.com.co</v>
      </c>
      <c r="Z1405" s="5" t="str">
        <f ca="1">IFERROR(__xludf.DUMMYFUNCTION("""COMPUTED_VALUE"""),"Ykc3nEZxT5qnFUv0UPuYng")</f>
        <v>Ykc3nEZxT5qnFUv0UPuYng</v>
      </c>
      <c r="AA1405" s="5"/>
      <c r="AB1405" s="5"/>
      <c r="AC1405" s="5"/>
      <c r="AD1405" s="5">
        <f ca="1">IFERROR(__xludf.DUMMYFUNCTION("""COMPUTED_VALUE"""),50)</f>
        <v>50</v>
      </c>
      <c r="AE1405" s="5">
        <f ca="1">IFERROR(__xludf.DUMMYFUNCTION("""COMPUTED_VALUE"""),50)</f>
        <v>50</v>
      </c>
      <c r="AF1405" s="5" t="b">
        <f ca="1">IFERROR(__xludf.DUMMYFUNCTION("""COMPUTED_VALUE"""),FALSE)</f>
        <v>0</v>
      </c>
      <c r="AG1405" s="5" t="str">
        <f ca="1">IFERROR(__xludf.DUMMYFUNCTION("""COMPUTED_VALUE"""),"INSPECCIONES REALIZADAS")</f>
        <v>INSPECCIONES REALIZADAS</v>
      </c>
      <c r="AH1405" s="5"/>
    </row>
    <row r="1406" spans="1:34">
      <c r="A1406" s="5" t="str">
        <f ca="1">IFERROR(__xludf.DUMMYFUNCTION("""COMPUTED_VALUE"""),"EQUIPOS PARA SERVICIOS INDUSTRIALES")</f>
        <v>EQUIPOS PARA SERVICIOS INDUSTRIALES</v>
      </c>
      <c r="B1406" s="5">
        <f ca="1">IFERROR(__xludf.DUMMYFUNCTION("""COMPUTED_VALUE"""),659371)</f>
        <v>659371</v>
      </c>
      <c r="C1406" s="5" t="str">
        <f ca="1">IFERROR(__xludf.DUMMYFUNCTION("""COMPUTED_VALUE"""),"CALDERA DE 300 BHP")</f>
        <v>CALDERA DE 300 BHP</v>
      </c>
      <c r="D1406" s="5">
        <f ca="1">IFERROR(__xludf.DUMMYFUNCTION("""COMPUTED_VALUE"""),13247476)</f>
        <v>13247476</v>
      </c>
      <c r="E1406" s="5" t="str">
        <f ca="1">IFERROR(__xludf.DUMMYFUNCTION("""COMPUTED_VALUE"""),"INSPECCION SEMANAL CALDERA DE 300 BHP")</f>
        <v>INSPECCION SEMANAL CALDERA DE 300 BHP</v>
      </c>
      <c r="F1406" s="5" t="str">
        <f ca="1">IFERROR(__xludf.DUMMYFUNCTION("""COMPUTED_VALUE"""),"TUBERIAS, CHEQUES")</f>
        <v>TUBERIAS, CHEQUES</v>
      </c>
      <c r="G1406" s="5" t="b">
        <f ca="1">IFERROR(__xludf.DUMMYFUNCTION("""COMPUTED_VALUE"""),TRUE)</f>
        <v>1</v>
      </c>
      <c r="H1406" s="5"/>
      <c r="I1406" s="5"/>
      <c r="J1406" s="5">
        <f ca="1">IFERROR(__xludf.DUMMYFUNCTION("""COMPUTED_VALUE"""),13247476)</f>
        <v>13247476</v>
      </c>
      <c r="K1406" s="5"/>
      <c r="L1406" s="18">
        <f ca="1">IFERROR(__xludf.DUMMYFUNCTION("""COMPUTED_VALUE"""),45324)</f>
        <v>45324</v>
      </c>
      <c r="M1406" s="18">
        <f ca="1">IFERROR(__xludf.DUMMYFUNCTION("""COMPUTED_VALUE"""),45324)</f>
        <v>45324</v>
      </c>
      <c r="N1406" s="5" t="str">
        <f ca="1">IFERROR(__xludf.DUMMYFUNCTION("""COMPUTED_VALUE"""),"Valencia Hector")</f>
        <v>Valencia Hector</v>
      </c>
      <c r="O1406" s="2">
        <f ca="1">IFERROR(__xludf.DUMMYFUNCTION("""COMPUTED_VALUE"""),0.007142857)</f>
        <v>7.1428569999999999E-3</v>
      </c>
      <c r="P1406" s="5">
        <f ca="1">IFERROR(__xludf.DUMMYFUNCTION("""COMPUTED_VALUE"""),20015139)</f>
        <v>20015139</v>
      </c>
      <c r="Q1406" s="5" t="str">
        <f ca="1">IFERROR(__xludf.DUMMYFUNCTION("""COMPUTED_VALUE"""),"54flrcPoitU")</f>
        <v>54flrcPoitU</v>
      </c>
      <c r="R1406" s="5">
        <f ca="1">IFERROR(__xludf.DUMMYFUNCTION("""COMPUTED_VALUE"""),410)</f>
        <v>410</v>
      </c>
      <c r="S1406" s="62">
        <f ca="1">IFERROR(__xludf.DUMMYFUNCTION("""COMPUTED_VALUE"""),0.007142857)</f>
        <v>7.1428569999999999E-3</v>
      </c>
      <c r="T1406" s="63" t="str">
        <f ca="1">IFERROR(__xludf.DUMMYFUNCTION("""COMPUTED_VALUE"""),"https://storage.googleapis.com/glide-prod.appspot.com/uploads-v2/ly7o78grxPaC6KdgvbpS/pub/3aRdSog0vUtuqPE8AJKD.png")</f>
        <v>https://storage.googleapis.com/glide-prod.appspot.com/uploads-v2/ly7o78grxPaC6KdgvbpS/pub/3aRdSog0vUtuqPE8AJKD.png</v>
      </c>
      <c r="U1406" s="5" t="str">
        <f ca="1">IFERROR(__xludf.DUMMYFUNCTION("""COMPUTED_VALUE"""),"EQUIPOS PARA SERVICIOS INDUSTRIALESCALDERA DE 300 BHP")</f>
        <v>EQUIPOS PARA SERVICIOS INDUSTRIALESCALDERA DE 300 BHP</v>
      </c>
      <c r="V1406" s="5"/>
      <c r="W1406" s="5" t="b">
        <f ca="1">IFERROR(__xludf.DUMMYFUNCTION("""COMPUTED_VALUE"""),TRUE)</f>
        <v>1</v>
      </c>
      <c r="X1406" s="5" t="str">
        <f ca="1">IFERROR(__xludf.DUMMYFUNCTION("""COMPUTED_VALUE"""),"wmazorra@postobon.com.co,aprmttoyu@postobon.com.co,aprmyu@postobon.com.co,wmora@postobon.com.co,efzapata@postobon.com.co")</f>
        <v>wmazorra@postobon.com.co,aprmttoyu@postobon.com.co,aprmyu@postobon.com.co,wmora@postobon.com.co,efzapata@postobon.com.co</v>
      </c>
      <c r="Y1406" s="5" t="str">
        <f ca="1">IFERROR(__xludf.DUMMYFUNCTION("""COMPUTED_VALUE"""),"wmazorra@postobon.com.co")</f>
        <v>wmazorra@postobon.com.co</v>
      </c>
      <c r="Z1406" s="5" t="str">
        <f ca="1">IFERROR(__xludf.DUMMYFUNCTION("""COMPUTED_VALUE"""),"xRrCOmXdRd6tRRTzHr0Y9g")</f>
        <v>xRrCOmXdRd6tRRTzHr0Y9g</v>
      </c>
      <c r="AA1406" s="5"/>
      <c r="AB1406" s="5"/>
      <c r="AC1406" s="5"/>
      <c r="AD1406" s="5">
        <f ca="1">IFERROR(__xludf.DUMMYFUNCTION("""COMPUTED_VALUE"""),50)</f>
        <v>50</v>
      </c>
      <c r="AE1406" s="5">
        <f ca="1">IFERROR(__xludf.DUMMYFUNCTION("""COMPUTED_VALUE"""),50)</f>
        <v>50</v>
      </c>
      <c r="AF1406" s="5" t="b">
        <f ca="1">IFERROR(__xludf.DUMMYFUNCTION("""COMPUTED_VALUE"""),FALSE)</f>
        <v>0</v>
      </c>
      <c r="AG1406" s="5" t="str">
        <f ca="1">IFERROR(__xludf.DUMMYFUNCTION("""COMPUTED_VALUE"""),"INSPECCIONES REALIZADAS")</f>
        <v>INSPECCIONES REALIZADAS</v>
      </c>
      <c r="AH1406" s="5"/>
    </row>
    <row r="1407" spans="1:34">
      <c r="A1407" s="5" t="str">
        <f ca="1">IFERROR(__xludf.DUMMYFUNCTION("""COMPUTED_VALUE"""),"EQUIPOS PARA SERVICIOS INDUSTRIALES")</f>
        <v>EQUIPOS PARA SERVICIOS INDUSTRIALES</v>
      </c>
      <c r="B1407" s="5">
        <f ca="1">IFERROR(__xludf.DUMMYFUNCTION("""COMPUTED_VALUE"""),659371)</f>
        <v>659371</v>
      </c>
      <c r="C1407" s="5" t="str">
        <f ca="1">IFERROR(__xludf.DUMMYFUNCTION("""COMPUTED_VALUE"""),"CALDERA DE 300 BHP")</f>
        <v>CALDERA DE 300 BHP</v>
      </c>
      <c r="D1407" s="5">
        <f ca="1">IFERROR(__xludf.DUMMYFUNCTION("""COMPUTED_VALUE"""),13247476)</f>
        <v>13247476</v>
      </c>
      <c r="E1407" s="5" t="str">
        <f ca="1">IFERROR(__xludf.DUMMYFUNCTION("""COMPUTED_VALUE"""),"INSPECCION SEMANAL CALDERA DE 300 BHP")</f>
        <v>INSPECCION SEMANAL CALDERA DE 300 BHP</v>
      </c>
      <c r="F1407" s="5" t="str">
        <f ca="1">IFERROR(__xludf.DUMMYFUNCTION("""COMPUTED_VALUE"""),"VALVULAS DE SEGURIDAD")</f>
        <v>VALVULAS DE SEGURIDAD</v>
      </c>
      <c r="G1407" s="5" t="b">
        <f ca="1">IFERROR(__xludf.DUMMYFUNCTION("""COMPUTED_VALUE"""),TRUE)</f>
        <v>1</v>
      </c>
      <c r="H1407" s="5"/>
      <c r="I1407" s="5"/>
      <c r="J1407" s="5">
        <f ca="1">IFERROR(__xludf.DUMMYFUNCTION("""COMPUTED_VALUE"""),13247476)</f>
        <v>13247476</v>
      </c>
      <c r="K1407" s="5"/>
      <c r="L1407" s="18">
        <f ca="1">IFERROR(__xludf.DUMMYFUNCTION("""COMPUTED_VALUE"""),45324)</f>
        <v>45324</v>
      </c>
      <c r="M1407" s="18">
        <f ca="1">IFERROR(__xludf.DUMMYFUNCTION("""COMPUTED_VALUE"""),45324)</f>
        <v>45324</v>
      </c>
      <c r="N1407" s="5" t="str">
        <f ca="1">IFERROR(__xludf.DUMMYFUNCTION("""COMPUTED_VALUE"""),"Valencia Hector")</f>
        <v>Valencia Hector</v>
      </c>
      <c r="O1407" s="2">
        <f ca="1">IFERROR(__xludf.DUMMYFUNCTION("""COMPUTED_VALUE"""),0.007142857)</f>
        <v>7.1428569999999999E-3</v>
      </c>
      <c r="P1407" s="5">
        <f ca="1">IFERROR(__xludf.DUMMYFUNCTION("""COMPUTED_VALUE"""),20015139)</f>
        <v>20015139</v>
      </c>
      <c r="Q1407" s="5" t="str">
        <f ca="1">IFERROR(__xludf.DUMMYFUNCTION("""COMPUTED_VALUE"""),"Hju7uDPV5hQ")</f>
        <v>Hju7uDPV5hQ</v>
      </c>
      <c r="R1407" s="5">
        <f ca="1">IFERROR(__xludf.DUMMYFUNCTION("""COMPUTED_VALUE"""),410)</f>
        <v>410</v>
      </c>
      <c r="S1407" s="62">
        <f ca="1">IFERROR(__xludf.DUMMYFUNCTION("""COMPUTED_VALUE"""),0.007142857)</f>
        <v>7.1428569999999999E-3</v>
      </c>
      <c r="T1407" s="63" t="str">
        <f ca="1">IFERROR(__xludf.DUMMYFUNCTION("""COMPUTED_VALUE"""),"https://storage.googleapis.com/glide-prod.appspot.com/uploads-v2/ly7o78grxPaC6KdgvbpS/pub/3aRdSog0vUtuqPE8AJKD.png")</f>
        <v>https://storage.googleapis.com/glide-prod.appspot.com/uploads-v2/ly7o78grxPaC6KdgvbpS/pub/3aRdSog0vUtuqPE8AJKD.png</v>
      </c>
      <c r="U1407" s="5" t="str">
        <f ca="1">IFERROR(__xludf.DUMMYFUNCTION("""COMPUTED_VALUE"""),"EQUIPOS PARA SERVICIOS INDUSTRIALESCALDERA DE 300 BHP")</f>
        <v>EQUIPOS PARA SERVICIOS INDUSTRIALESCALDERA DE 300 BHP</v>
      </c>
      <c r="V1407" s="5"/>
      <c r="W1407" s="5" t="b">
        <f ca="1">IFERROR(__xludf.DUMMYFUNCTION("""COMPUTED_VALUE"""),TRUE)</f>
        <v>1</v>
      </c>
      <c r="X1407" s="5" t="str">
        <f ca="1">IFERROR(__xludf.DUMMYFUNCTION("""COMPUTED_VALUE"""),"wmazorra@postobon.com.co,aprmttoyu@postobon.com.co,aprmyu@postobon.com.co,wmora@postobon.com.co,efzapata@postobon.com.co")</f>
        <v>wmazorra@postobon.com.co,aprmttoyu@postobon.com.co,aprmyu@postobon.com.co,wmora@postobon.com.co,efzapata@postobon.com.co</v>
      </c>
      <c r="Y1407" s="5" t="str">
        <f ca="1">IFERROR(__xludf.DUMMYFUNCTION("""COMPUTED_VALUE"""),"wmazorra@postobon.com.co")</f>
        <v>wmazorra@postobon.com.co</v>
      </c>
      <c r="Z1407" s="5" t="str">
        <f ca="1">IFERROR(__xludf.DUMMYFUNCTION("""COMPUTED_VALUE"""),"3kZzGdhcTMqlgcknhQV5FQ")</f>
        <v>3kZzGdhcTMqlgcknhQV5FQ</v>
      </c>
      <c r="AA1407" s="5"/>
      <c r="AB1407" s="5"/>
      <c r="AC1407" s="5"/>
      <c r="AD1407" s="5">
        <f ca="1">IFERROR(__xludf.DUMMYFUNCTION("""COMPUTED_VALUE"""),50)</f>
        <v>50</v>
      </c>
      <c r="AE1407" s="5">
        <f ca="1">IFERROR(__xludf.DUMMYFUNCTION("""COMPUTED_VALUE"""),50)</f>
        <v>50</v>
      </c>
      <c r="AF1407" s="5" t="b">
        <f ca="1">IFERROR(__xludf.DUMMYFUNCTION("""COMPUTED_VALUE"""),FALSE)</f>
        <v>0</v>
      </c>
      <c r="AG1407" s="5" t="str">
        <f ca="1">IFERROR(__xludf.DUMMYFUNCTION("""COMPUTED_VALUE"""),"INSPECCIONES REALIZADAS")</f>
        <v>INSPECCIONES REALIZADAS</v>
      </c>
      <c r="AH1407" s="5"/>
    </row>
    <row r="1408" spans="1:34">
      <c r="A1408" s="5" t="str">
        <f ca="1">IFERROR(__xludf.DUMMYFUNCTION("""COMPUTED_VALUE"""),"EQUIPOS PARA SERVICIOS INDUSTRIALES")</f>
        <v>EQUIPOS PARA SERVICIOS INDUSTRIALES</v>
      </c>
      <c r="B1408" s="5">
        <f ca="1">IFERROR(__xludf.DUMMYFUNCTION("""COMPUTED_VALUE"""),659371)</f>
        <v>659371</v>
      </c>
      <c r="C1408" s="5" t="str">
        <f ca="1">IFERROR(__xludf.DUMMYFUNCTION("""COMPUTED_VALUE"""),"CALDERA DE 300 BHP")</f>
        <v>CALDERA DE 300 BHP</v>
      </c>
      <c r="D1408" s="5">
        <f ca="1">IFERROR(__xludf.DUMMYFUNCTION("""COMPUTED_VALUE"""),13247476)</f>
        <v>13247476</v>
      </c>
      <c r="E1408" s="5" t="str">
        <f ca="1">IFERROR(__xludf.DUMMYFUNCTION("""COMPUTED_VALUE"""),"INSPECCION SEMANAL CALDERA DE 300 BHP")</f>
        <v>INSPECCION SEMANAL CALDERA DE 300 BHP</v>
      </c>
      <c r="F1408" s="5" t="str">
        <f ca="1">IFERROR(__xludf.DUMMYFUNCTION("""COMPUTED_VALUE"""),"ESTADO GRAL, PINTURA")</f>
        <v>ESTADO GRAL, PINTURA</v>
      </c>
      <c r="G1408" s="5" t="b">
        <f ca="1">IFERROR(__xludf.DUMMYFUNCTION("""COMPUTED_VALUE"""),TRUE)</f>
        <v>1</v>
      </c>
      <c r="H1408" s="5"/>
      <c r="I1408" s="5"/>
      <c r="J1408" s="5">
        <f ca="1">IFERROR(__xludf.DUMMYFUNCTION("""COMPUTED_VALUE"""),13247476)</f>
        <v>13247476</v>
      </c>
      <c r="K1408" s="5"/>
      <c r="L1408" s="18">
        <f ca="1">IFERROR(__xludf.DUMMYFUNCTION("""COMPUTED_VALUE"""),45324)</f>
        <v>45324</v>
      </c>
      <c r="M1408" s="18">
        <f ca="1">IFERROR(__xludf.DUMMYFUNCTION("""COMPUTED_VALUE"""),45324)</f>
        <v>45324</v>
      </c>
      <c r="N1408" s="5" t="str">
        <f ca="1">IFERROR(__xludf.DUMMYFUNCTION("""COMPUTED_VALUE"""),"Valencia Hector")</f>
        <v>Valencia Hector</v>
      </c>
      <c r="O1408" s="2">
        <f ca="1">IFERROR(__xludf.DUMMYFUNCTION("""COMPUTED_VALUE"""),0.007142857)</f>
        <v>7.1428569999999999E-3</v>
      </c>
      <c r="P1408" s="5">
        <f ca="1">IFERROR(__xludf.DUMMYFUNCTION("""COMPUTED_VALUE"""),20015139)</f>
        <v>20015139</v>
      </c>
      <c r="Q1408" s="5" t="str">
        <f ca="1">IFERROR(__xludf.DUMMYFUNCTION("""COMPUTED_VALUE"""),"ZfZouNAtGu4")</f>
        <v>ZfZouNAtGu4</v>
      </c>
      <c r="R1408" s="5">
        <f ca="1">IFERROR(__xludf.DUMMYFUNCTION("""COMPUTED_VALUE"""),410)</f>
        <v>410</v>
      </c>
      <c r="S1408" s="62">
        <f ca="1">IFERROR(__xludf.DUMMYFUNCTION("""COMPUTED_VALUE"""),0.007142857)</f>
        <v>7.1428569999999999E-3</v>
      </c>
      <c r="T1408" s="63" t="str">
        <f ca="1">IFERROR(__xludf.DUMMYFUNCTION("""COMPUTED_VALUE"""),"https://storage.googleapis.com/glide-prod.appspot.com/uploads-v2/ly7o78grxPaC6KdgvbpS/pub/3aRdSog0vUtuqPE8AJKD.png")</f>
        <v>https://storage.googleapis.com/glide-prod.appspot.com/uploads-v2/ly7o78grxPaC6KdgvbpS/pub/3aRdSog0vUtuqPE8AJKD.png</v>
      </c>
      <c r="U1408" s="5" t="str">
        <f ca="1">IFERROR(__xludf.DUMMYFUNCTION("""COMPUTED_VALUE"""),"EQUIPOS PARA SERVICIOS INDUSTRIALESCALDERA DE 300 BHP")</f>
        <v>EQUIPOS PARA SERVICIOS INDUSTRIALESCALDERA DE 300 BHP</v>
      </c>
      <c r="V1408" s="5"/>
      <c r="W1408" s="5" t="b">
        <f ca="1">IFERROR(__xludf.DUMMYFUNCTION("""COMPUTED_VALUE"""),TRUE)</f>
        <v>1</v>
      </c>
      <c r="X1408" s="5" t="str">
        <f ca="1">IFERROR(__xludf.DUMMYFUNCTION("""COMPUTED_VALUE"""),"wmazorra@postobon.com.co,aprmttoyu@postobon.com.co,aprmyu@postobon.com.co,wmora@postobon.com.co,efzapata@postobon.com.co")</f>
        <v>wmazorra@postobon.com.co,aprmttoyu@postobon.com.co,aprmyu@postobon.com.co,wmora@postobon.com.co,efzapata@postobon.com.co</v>
      </c>
      <c r="Y1408" s="5" t="str">
        <f ca="1">IFERROR(__xludf.DUMMYFUNCTION("""COMPUTED_VALUE"""),"wmazorra@postobon.com.co")</f>
        <v>wmazorra@postobon.com.co</v>
      </c>
      <c r="Z1408" s="5" t="str">
        <f ca="1">IFERROR(__xludf.DUMMYFUNCTION("""COMPUTED_VALUE"""),"hxMuBl2YQxmMpMo8UBY9Cw")</f>
        <v>hxMuBl2YQxmMpMo8UBY9Cw</v>
      </c>
      <c r="AA1408" s="5"/>
      <c r="AB1408" s="5"/>
      <c r="AC1408" s="5"/>
      <c r="AD1408" s="5">
        <f ca="1">IFERROR(__xludf.DUMMYFUNCTION("""COMPUTED_VALUE"""),50)</f>
        <v>50</v>
      </c>
      <c r="AE1408" s="5">
        <f ca="1">IFERROR(__xludf.DUMMYFUNCTION("""COMPUTED_VALUE"""),50)</f>
        <v>50</v>
      </c>
      <c r="AF1408" s="5" t="b">
        <f ca="1">IFERROR(__xludf.DUMMYFUNCTION("""COMPUTED_VALUE"""),FALSE)</f>
        <v>0</v>
      </c>
      <c r="AG1408" s="5" t="str">
        <f ca="1">IFERROR(__xludf.DUMMYFUNCTION("""COMPUTED_VALUE"""),"INSPECCIONES REALIZADAS")</f>
        <v>INSPECCIONES REALIZADAS</v>
      </c>
      <c r="AH1408" s="5"/>
    </row>
    <row r="1409" spans="1:34">
      <c r="A1409" s="5" t="str">
        <f ca="1">IFERROR(__xludf.DUMMYFUNCTION("""COMPUTED_VALUE"""),"EQUIPOS PARA SERVICIOS INDUSTRIALES")</f>
        <v>EQUIPOS PARA SERVICIOS INDUSTRIALES</v>
      </c>
      <c r="B1409" s="5">
        <f ca="1">IFERROR(__xludf.DUMMYFUNCTION("""COMPUTED_VALUE"""),659371)</f>
        <v>659371</v>
      </c>
      <c r="C1409" s="5" t="str">
        <f ca="1">IFERROR(__xludf.DUMMYFUNCTION("""COMPUTED_VALUE"""),"CALDERA DE 300 BHP")</f>
        <v>CALDERA DE 300 BHP</v>
      </c>
      <c r="D1409" s="5">
        <f ca="1">IFERROR(__xludf.DUMMYFUNCTION("""COMPUTED_VALUE"""),13247476)</f>
        <v>13247476</v>
      </c>
      <c r="E1409" s="5" t="str">
        <f ca="1">IFERROR(__xludf.DUMMYFUNCTION("""COMPUTED_VALUE"""),"INSPECCION SEMANAL CALDERA DE 300 BHP")</f>
        <v>INSPECCION SEMANAL CALDERA DE 300 BHP</v>
      </c>
      <c r="F1409" s="5" t="str">
        <f ca="1">IFERROR(__xludf.DUMMYFUNCTION("""COMPUTED_VALUE"""),"VISOR Y MIRILLA")</f>
        <v>VISOR Y MIRILLA</v>
      </c>
      <c r="G1409" s="5" t="b">
        <f ca="1">IFERROR(__xludf.DUMMYFUNCTION("""COMPUTED_VALUE"""),TRUE)</f>
        <v>1</v>
      </c>
      <c r="H1409" s="5"/>
      <c r="I1409" s="5"/>
      <c r="J1409" s="5">
        <f ca="1">IFERROR(__xludf.DUMMYFUNCTION("""COMPUTED_VALUE"""),13247476)</f>
        <v>13247476</v>
      </c>
      <c r="K1409" s="5"/>
      <c r="L1409" s="18">
        <f ca="1">IFERROR(__xludf.DUMMYFUNCTION("""COMPUTED_VALUE"""),45324)</f>
        <v>45324</v>
      </c>
      <c r="M1409" s="18">
        <f ca="1">IFERROR(__xludf.DUMMYFUNCTION("""COMPUTED_VALUE"""),45324)</f>
        <v>45324</v>
      </c>
      <c r="N1409" s="5" t="str">
        <f ca="1">IFERROR(__xludf.DUMMYFUNCTION("""COMPUTED_VALUE"""),"Valencia Hector")</f>
        <v>Valencia Hector</v>
      </c>
      <c r="O1409" s="2">
        <f ca="1">IFERROR(__xludf.DUMMYFUNCTION("""COMPUTED_VALUE"""),0.007142857)</f>
        <v>7.1428569999999999E-3</v>
      </c>
      <c r="P1409" s="5">
        <f ca="1">IFERROR(__xludf.DUMMYFUNCTION("""COMPUTED_VALUE"""),20015139)</f>
        <v>20015139</v>
      </c>
      <c r="Q1409" s="5" t="str">
        <f ca="1">IFERROR(__xludf.DUMMYFUNCTION("""COMPUTED_VALUE"""),"K-qu9d20gCo")</f>
        <v>K-qu9d20gCo</v>
      </c>
      <c r="R1409" s="5">
        <f ca="1">IFERROR(__xludf.DUMMYFUNCTION("""COMPUTED_VALUE"""),410)</f>
        <v>410</v>
      </c>
      <c r="S1409" s="62">
        <f ca="1">IFERROR(__xludf.DUMMYFUNCTION("""COMPUTED_VALUE"""),0.007142857)</f>
        <v>7.1428569999999999E-3</v>
      </c>
      <c r="T1409" s="63" t="str">
        <f ca="1">IFERROR(__xludf.DUMMYFUNCTION("""COMPUTED_VALUE"""),"https://storage.googleapis.com/glide-prod.appspot.com/uploads-v2/ly7o78grxPaC6KdgvbpS/pub/3aRdSog0vUtuqPE8AJKD.png")</f>
        <v>https://storage.googleapis.com/glide-prod.appspot.com/uploads-v2/ly7o78grxPaC6KdgvbpS/pub/3aRdSog0vUtuqPE8AJKD.png</v>
      </c>
      <c r="U1409" s="5" t="str">
        <f ca="1">IFERROR(__xludf.DUMMYFUNCTION("""COMPUTED_VALUE"""),"EQUIPOS PARA SERVICIOS INDUSTRIALESCALDERA DE 300 BHP")</f>
        <v>EQUIPOS PARA SERVICIOS INDUSTRIALESCALDERA DE 300 BHP</v>
      </c>
      <c r="V1409" s="5"/>
      <c r="W1409" s="5" t="b">
        <f ca="1">IFERROR(__xludf.DUMMYFUNCTION("""COMPUTED_VALUE"""),TRUE)</f>
        <v>1</v>
      </c>
      <c r="X1409" s="5" t="str">
        <f ca="1">IFERROR(__xludf.DUMMYFUNCTION("""COMPUTED_VALUE"""),"wmazorra@postobon.com.co,aprmttoyu@postobon.com.co,aprmyu@postobon.com.co,wmora@postobon.com.co,efzapata@postobon.com.co")</f>
        <v>wmazorra@postobon.com.co,aprmttoyu@postobon.com.co,aprmyu@postobon.com.co,wmora@postobon.com.co,efzapata@postobon.com.co</v>
      </c>
      <c r="Y1409" s="5" t="str">
        <f ca="1">IFERROR(__xludf.DUMMYFUNCTION("""COMPUTED_VALUE"""),"wmazorra@postobon.com.co")</f>
        <v>wmazorra@postobon.com.co</v>
      </c>
      <c r="Z1409" s="5" t="str">
        <f ca="1">IFERROR(__xludf.DUMMYFUNCTION("""COMPUTED_VALUE"""),"27HIYBPzSQK0yGrRtIhi6g")</f>
        <v>27HIYBPzSQK0yGrRtIhi6g</v>
      </c>
      <c r="AA1409" s="5"/>
      <c r="AB1409" s="5"/>
      <c r="AC1409" s="5"/>
      <c r="AD1409" s="5">
        <f ca="1">IFERROR(__xludf.DUMMYFUNCTION("""COMPUTED_VALUE"""),50)</f>
        <v>50</v>
      </c>
      <c r="AE1409" s="5">
        <f ca="1">IFERROR(__xludf.DUMMYFUNCTION("""COMPUTED_VALUE"""),50)</f>
        <v>50</v>
      </c>
      <c r="AF1409" s="5" t="b">
        <f ca="1">IFERROR(__xludf.DUMMYFUNCTION("""COMPUTED_VALUE"""),FALSE)</f>
        <v>0</v>
      </c>
      <c r="AG1409" s="5" t="str">
        <f ca="1">IFERROR(__xludf.DUMMYFUNCTION("""COMPUTED_VALUE"""),"INSPECCIONES REALIZADAS")</f>
        <v>INSPECCIONES REALIZADAS</v>
      </c>
      <c r="AH1409" s="5"/>
    </row>
    <row r="1410" spans="1:34">
      <c r="A1410" s="5" t="str">
        <f ca="1">IFERROR(__xludf.DUMMYFUNCTION("""COMPUTED_VALUE"""),"EQUIPOS PARA SERVICIOS INDUSTRIALES")</f>
        <v>EQUIPOS PARA SERVICIOS INDUSTRIALES</v>
      </c>
      <c r="B1410" s="5">
        <f ca="1">IFERROR(__xludf.DUMMYFUNCTION("""COMPUTED_VALUE"""),659371)</f>
        <v>659371</v>
      </c>
      <c r="C1410" s="5" t="str">
        <f ca="1">IFERROR(__xludf.DUMMYFUNCTION("""COMPUTED_VALUE"""),"CALDERA DE 300 BHP")</f>
        <v>CALDERA DE 300 BHP</v>
      </c>
      <c r="D1410" s="5">
        <f ca="1">IFERROR(__xludf.DUMMYFUNCTION("""COMPUTED_VALUE"""),13247476)</f>
        <v>13247476</v>
      </c>
      <c r="E1410" s="5" t="str">
        <f ca="1">IFERROR(__xludf.DUMMYFUNCTION("""COMPUTED_VALUE"""),"INSPECCION SEMANAL CALDERA DE 300 BHP")</f>
        <v>INSPECCION SEMANAL CALDERA DE 300 BHP</v>
      </c>
      <c r="F1410" s="5" t="str">
        <f ca="1">IFERROR(__xludf.DUMMYFUNCTION("""COMPUTED_VALUE"""),"VALVULAS DE PURGA")</f>
        <v>VALVULAS DE PURGA</v>
      </c>
      <c r="G1410" s="5" t="b">
        <f ca="1">IFERROR(__xludf.DUMMYFUNCTION("""COMPUTED_VALUE"""),TRUE)</f>
        <v>1</v>
      </c>
      <c r="H1410" s="5"/>
      <c r="I1410" s="5"/>
      <c r="J1410" s="5">
        <f ca="1">IFERROR(__xludf.DUMMYFUNCTION("""COMPUTED_VALUE"""),13247476)</f>
        <v>13247476</v>
      </c>
      <c r="K1410" s="5"/>
      <c r="L1410" s="18">
        <f ca="1">IFERROR(__xludf.DUMMYFUNCTION("""COMPUTED_VALUE"""),45324)</f>
        <v>45324</v>
      </c>
      <c r="M1410" s="18">
        <f ca="1">IFERROR(__xludf.DUMMYFUNCTION("""COMPUTED_VALUE"""),45324)</f>
        <v>45324</v>
      </c>
      <c r="N1410" s="5" t="str">
        <f ca="1">IFERROR(__xludf.DUMMYFUNCTION("""COMPUTED_VALUE"""),"Valencia Hector")</f>
        <v>Valencia Hector</v>
      </c>
      <c r="O1410" s="2">
        <f ca="1">IFERROR(__xludf.DUMMYFUNCTION("""COMPUTED_VALUE"""),0.007142857)</f>
        <v>7.1428569999999999E-3</v>
      </c>
      <c r="P1410" s="5">
        <f ca="1">IFERROR(__xludf.DUMMYFUNCTION("""COMPUTED_VALUE"""),20015139)</f>
        <v>20015139</v>
      </c>
      <c r="Q1410" s="5" t="str">
        <f ca="1">IFERROR(__xludf.DUMMYFUNCTION("""COMPUTED_VALUE"""),"EN37hb4DhDw")</f>
        <v>EN37hb4DhDw</v>
      </c>
      <c r="R1410" s="5">
        <f ca="1">IFERROR(__xludf.DUMMYFUNCTION("""COMPUTED_VALUE"""),410)</f>
        <v>410</v>
      </c>
      <c r="S1410" s="62">
        <f ca="1">IFERROR(__xludf.DUMMYFUNCTION("""COMPUTED_VALUE"""),0.007142857)</f>
        <v>7.1428569999999999E-3</v>
      </c>
      <c r="T1410" s="63" t="str">
        <f ca="1">IFERROR(__xludf.DUMMYFUNCTION("""COMPUTED_VALUE"""),"https://storage.googleapis.com/glide-prod.appspot.com/uploads-v2/ly7o78grxPaC6KdgvbpS/pub/3aRdSog0vUtuqPE8AJKD.png")</f>
        <v>https://storage.googleapis.com/glide-prod.appspot.com/uploads-v2/ly7o78grxPaC6KdgvbpS/pub/3aRdSog0vUtuqPE8AJKD.png</v>
      </c>
      <c r="U1410" s="5" t="str">
        <f ca="1">IFERROR(__xludf.DUMMYFUNCTION("""COMPUTED_VALUE"""),"EQUIPOS PARA SERVICIOS INDUSTRIALESCALDERA DE 300 BHP")</f>
        <v>EQUIPOS PARA SERVICIOS INDUSTRIALESCALDERA DE 300 BHP</v>
      </c>
      <c r="V1410" s="5"/>
      <c r="W1410" s="5" t="b">
        <f ca="1">IFERROR(__xludf.DUMMYFUNCTION("""COMPUTED_VALUE"""),TRUE)</f>
        <v>1</v>
      </c>
      <c r="X1410" s="5" t="str">
        <f ca="1">IFERROR(__xludf.DUMMYFUNCTION("""COMPUTED_VALUE"""),"wmazorra@postobon.com.co,aprmttoyu@postobon.com.co,aprmyu@postobon.com.co,wmora@postobon.com.co,efzapata@postobon.com.co")</f>
        <v>wmazorra@postobon.com.co,aprmttoyu@postobon.com.co,aprmyu@postobon.com.co,wmora@postobon.com.co,efzapata@postobon.com.co</v>
      </c>
      <c r="Y1410" s="5" t="str">
        <f ca="1">IFERROR(__xludf.DUMMYFUNCTION("""COMPUTED_VALUE"""),"wmazorra@postobon.com.co")</f>
        <v>wmazorra@postobon.com.co</v>
      </c>
      <c r="Z1410" s="5" t="str">
        <f ca="1">IFERROR(__xludf.DUMMYFUNCTION("""COMPUTED_VALUE"""),"u2yzYmolRaWLAeyhqmGQjg")</f>
        <v>u2yzYmolRaWLAeyhqmGQjg</v>
      </c>
      <c r="AA1410" s="5"/>
      <c r="AB1410" s="5"/>
      <c r="AC1410" s="5"/>
      <c r="AD1410" s="5">
        <f ca="1">IFERROR(__xludf.DUMMYFUNCTION("""COMPUTED_VALUE"""),50)</f>
        <v>50</v>
      </c>
      <c r="AE1410" s="5">
        <f ca="1">IFERROR(__xludf.DUMMYFUNCTION("""COMPUTED_VALUE"""),50)</f>
        <v>50</v>
      </c>
      <c r="AF1410" s="5" t="b">
        <f ca="1">IFERROR(__xludf.DUMMYFUNCTION("""COMPUTED_VALUE"""),FALSE)</f>
        <v>0</v>
      </c>
      <c r="AG1410" s="5" t="str">
        <f ca="1">IFERROR(__xludf.DUMMYFUNCTION("""COMPUTED_VALUE"""),"INSPECCIONES REALIZADAS")</f>
        <v>INSPECCIONES REALIZADAS</v>
      </c>
      <c r="AH1410" s="5"/>
    </row>
    <row r="1411" spans="1:34">
      <c r="A1411" s="5" t="str">
        <f ca="1">IFERROR(__xludf.DUMMYFUNCTION("""COMPUTED_VALUE"""),"EQUIPOS PARA SERVICIOS INDUSTRIALES")</f>
        <v>EQUIPOS PARA SERVICIOS INDUSTRIALES</v>
      </c>
      <c r="B1411" s="5">
        <f ca="1">IFERROR(__xludf.DUMMYFUNCTION("""COMPUTED_VALUE"""),659371)</f>
        <v>659371</v>
      </c>
      <c r="C1411" s="5" t="str">
        <f ca="1">IFERROR(__xludf.DUMMYFUNCTION("""COMPUTED_VALUE"""),"CALDERA DE 300 BHP")</f>
        <v>CALDERA DE 300 BHP</v>
      </c>
      <c r="D1411" s="5">
        <f ca="1">IFERROR(__xludf.DUMMYFUNCTION("""COMPUTED_VALUE"""),13247476)</f>
        <v>13247476</v>
      </c>
      <c r="E1411" s="5" t="str">
        <f ca="1">IFERROR(__xludf.DUMMYFUNCTION("""COMPUTED_VALUE"""),"INSPECCION SEMANAL CALDERA DE 300 BHP")</f>
        <v>INSPECCION SEMANAL CALDERA DE 300 BHP</v>
      </c>
      <c r="F1411" s="5" t="str">
        <f ca="1">IFERROR(__xludf.DUMMYFUNCTION("""COMPUTED_VALUE"""),"VALVULA MODULADORA")</f>
        <v>VALVULA MODULADORA</v>
      </c>
      <c r="G1411" s="5" t="b">
        <f ca="1">IFERROR(__xludf.DUMMYFUNCTION("""COMPUTED_VALUE"""),TRUE)</f>
        <v>1</v>
      </c>
      <c r="H1411" s="5"/>
      <c r="I1411" s="5"/>
      <c r="J1411" s="5">
        <f ca="1">IFERROR(__xludf.DUMMYFUNCTION("""COMPUTED_VALUE"""),13247476)</f>
        <v>13247476</v>
      </c>
      <c r="K1411" s="5"/>
      <c r="L1411" s="18">
        <f ca="1">IFERROR(__xludf.DUMMYFUNCTION("""COMPUTED_VALUE"""),45324)</f>
        <v>45324</v>
      </c>
      <c r="M1411" s="18">
        <f ca="1">IFERROR(__xludf.DUMMYFUNCTION("""COMPUTED_VALUE"""),45324)</f>
        <v>45324</v>
      </c>
      <c r="N1411" s="5" t="str">
        <f ca="1">IFERROR(__xludf.DUMMYFUNCTION("""COMPUTED_VALUE"""),"Valencia Hector")</f>
        <v>Valencia Hector</v>
      </c>
      <c r="O1411" s="2">
        <f ca="1">IFERROR(__xludf.DUMMYFUNCTION("""COMPUTED_VALUE"""),0.007142857)</f>
        <v>7.1428569999999999E-3</v>
      </c>
      <c r="P1411" s="5">
        <f ca="1">IFERROR(__xludf.DUMMYFUNCTION("""COMPUTED_VALUE"""),20015139)</f>
        <v>20015139</v>
      </c>
      <c r="Q1411" s="5" t="str">
        <f ca="1">IFERROR(__xludf.DUMMYFUNCTION("""COMPUTED_VALUE"""),"nif9WNWPA1I")</f>
        <v>nif9WNWPA1I</v>
      </c>
      <c r="R1411" s="5">
        <f ca="1">IFERROR(__xludf.DUMMYFUNCTION("""COMPUTED_VALUE"""),410)</f>
        <v>410</v>
      </c>
      <c r="S1411" s="62">
        <f ca="1">IFERROR(__xludf.DUMMYFUNCTION("""COMPUTED_VALUE"""),0.007142857)</f>
        <v>7.1428569999999999E-3</v>
      </c>
      <c r="T1411" s="63" t="str">
        <f ca="1">IFERROR(__xludf.DUMMYFUNCTION("""COMPUTED_VALUE"""),"https://storage.googleapis.com/glide-prod.appspot.com/uploads-v2/ly7o78grxPaC6KdgvbpS/pub/3aRdSog0vUtuqPE8AJKD.png")</f>
        <v>https://storage.googleapis.com/glide-prod.appspot.com/uploads-v2/ly7o78grxPaC6KdgvbpS/pub/3aRdSog0vUtuqPE8AJKD.png</v>
      </c>
      <c r="U1411" s="5" t="str">
        <f ca="1">IFERROR(__xludf.DUMMYFUNCTION("""COMPUTED_VALUE"""),"EQUIPOS PARA SERVICIOS INDUSTRIALESCALDERA DE 300 BHP")</f>
        <v>EQUIPOS PARA SERVICIOS INDUSTRIALESCALDERA DE 300 BHP</v>
      </c>
      <c r="V1411" s="5"/>
      <c r="W1411" s="5" t="b">
        <f ca="1">IFERROR(__xludf.DUMMYFUNCTION("""COMPUTED_VALUE"""),TRUE)</f>
        <v>1</v>
      </c>
      <c r="X1411" s="5" t="str">
        <f ca="1">IFERROR(__xludf.DUMMYFUNCTION("""COMPUTED_VALUE"""),"wmazorra@postobon.com.co,aprmttoyu@postobon.com.co,aprmyu@postobon.com.co,wmora@postobon.com.co,efzapata@postobon.com.co")</f>
        <v>wmazorra@postobon.com.co,aprmttoyu@postobon.com.co,aprmyu@postobon.com.co,wmora@postobon.com.co,efzapata@postobon.com.co</v>
      </c>
      <c r="Y1411" s="5" t="str">
        <f ca="1">IFERROR(__xludf.DUMMYFUNCTION("""COMPUTED_VALUE"""),"wmazorra@postobon.com.co")</f>
        <v>wmazorra@postobon.com.co</v>
      </c>
      <c r="Z1411" s="5" t="str">
        <f ca="1">IFERROR(__xludf.DUMMYFUNCTION("""COMPUTED_VALUE"""),"Xj1f8cSFS5mJuDGranMd0A")</f>
        <v>Xj1f8cSFS5mJuDGranMd0A</v>
      </c>
      <c r="AA1411" s="5"/>
      <c r="AB1411" s="5"/>
      <c r="AC1411" s="5"/>
      <c r="AD1411" s="5">
        <f ca="1">IFERROR(__xludf.DUMMYFUNCTION("""COMPUTED_VALUE"""),50)</f>
        <v>50</v>
      </c>
      <c r="AE1411" s="5">
        <f ca="1">IFERROR(__xludf.DUMMYFUNCTION("""COMPUTED_VALUE"""),50)</f>
        <v>50</v>
      </c>
      <c r="AF1411" s="5" t="b">
        <f ca="1">IFERROR(__xludf.DUMMYFUNCTION("""COMPUTED_VALUE"""),FALSE)</f>
        <v>0</v>
      </c>
      <c r="AG1411" s="5" t="str">
        <f ca="1">IFERROR(__xludf.DUMMYFUNCTION("""COMPUTED_VALUE"""),"INSPECCIONES REALIZADAS")</f>
        <v>INSPECCIONES REALIZADAS</v>
      </c>
      <c r="AH1411" s="5"/>
    </row>
    <row r="1412" spans="1:34">
      <c r="A1412" s="5" t="str">
        <f ca="1">IFERROR(__xludf.DUMMYFUNCTION("""COMPUTED_VALUE"""),"EQUIPOS PARA SERVICIOS INDUSTRIALES")</f>
        <v>EQUIPOS PARA SERVICIOS INDUSTRIALES</v>
      </c>
      <c r="B1412" s="5">
        <f ca="1">IFERROR(__xludf.DUMMYFUNCTION("""COMPUTED_VALUE"""),659371)</f>
        <v>659371</v>
      </c>
      <c r="C1412" s="5" t="str">
        <f ca="1">IFERROR(__xludf.DUMMYFUNCTION("""COMPUTED_VALUE"""),"CALDERA DE 300 BHP")</f>
        <v>CALDERA DE 300 BHP</v>
      </c>
      <c r="D1412" s="5">
        <f ca="1">IFERROR(__xludf.DUMMYFUNCTION("""COMPUTED_VALUE"""),13247476)</f>
        <v>13247476</v>
      </c>
      <c r="E1412" s="5" t="str">
        <f ca="1">IFERROR(__xludf.DUMMYFUNCTION("""COMPUTED_VALUE"""),"INSPECCION SEMANAL CALDERA DE 300 BHP")</f>
        <v>INSPECCION SEMANAL CALDERA DE 300 BHP</v>
      </c>
      <c r="F1412" s="5" t="str">
        <f ca="1">IFERROR(__xludf.DUMMYFUNCTION("""COMPUTED_VALUE"""),"VALVULAS REGULADORAS GAS")</f>
        <v>VALVULAS REGULADORAS GAS</v>
      </c>
      <c r="G1412" s="5" t="b">
        <f ca="1">IFERROR(__xludf.DUMMYFUNCTION("""COMPUTED_VALUE"""),TRUE)</f>
        <v>1</v>
      </c>
      <c r="H1412" s="5"/>
      <c r="I1412" s="5"/>
      <c r="J1412" s="5">
        <f ca="1">IFERROR(__xludf.DUMMYFUNCTION("""COMPUTED_VALUE"""),13247476)</f>
        <v>13247476</v>
      </c>
      <c r="K1412" s="5"/>
      <c r="L1412" s="18">
        <f ca="1">IFERROR(__xludf.DUMMYFUNCTION("""COMPUTED_VALUE"""),45324)</f>
        <v>45324</v>
      </c>
      <c r="M1412" s="18">
        <f ca="1">IFERROR(__xludf.DUMMYFUNCTION("""COMPUTED_VALUE"""),45324)</f>
        <v>45324</v>
      </c>
      <c r="N1412" s="5" t="str">
        <f ca="1">IFERROR(__xludf.DUMMYFUNCTION("""COMPUTED_VALUE"""),"Valencia Hector")</f>
        <v>Valencia Hector</v>
      </c>
      <c r="O1412" s="2">
        <f ca="1">IFERROR(__xludf.DUMMYFUNCTION("""COMPUTED_VALUE"""),0.007142857)</f>
        <v>7.1428569999999999E-3</v>
      </c>
      <c r="P1412" s="5">
        <f ca="1">IFERROR(__xludf.DUMMYFUNCTION("""COMPUTED_VALUE"""),20015139)</f>
        <v>20015139</v>
      </c>
      <c r="Q1412" s="5" t="str">
        <f ca="1">IFERROR(__xludf.DUMMYFUNCTION("""COMPUTED_VALUE"""),"5m5uA16Vutk")</f>
        <v>5m5uA16Vutk</v>
      </c>
      <c r="R1412" s="5">
        <f ca="1">IFERROR(__xludf.DUMMYFUNCTION("""COMPUTED_VALUE"""),410)</f>
        <v>410</v>
      </c>
      <c r="S1412" s="62">
        <f ca="1">IFERROR(__xludf.DUMMYFUNCTION("""COMPUTED_VALUE"""),0.007142857)</f>
        <v>7.1428569999999999E-3</v>
      </c>
      <c r="T1412" s="63" t="str">
        <f ca="1">IFERROR(__xludf.DUMMYFUNCTION("""COMPUTED_VALUE"""),"https://storage.googleapis.com/glide-prod.appspot.com/uploads-v2/ly7o78grxPaC6KdgvbpS/pub/3aRdSog0vUtuqPE8AJKD.png")</f>
        <v>https://storage.googleapis.com/glide-prod.appspot.com/uploads-v2/ly7o78grxPaC6KdgvbpS/pub/3aRdSog0vUtuqPE8AJKD.png</v>
      </c>
      <c r="U1412" s="5" t="str">
        <f ca="1">IFERROR(__xludf.DUMMYFUNCTION("""COMPUTED_VALUE"""),"EQUIPOS PARA SERVICIOS INDUSTRIALESCALDERA DE 300 BHP")</f>
        <v>EQUIPOS PARA SERVICIOS INDUSTRIALESCALDERA DE 300 BHP</v>
      </c>
      <c r="V1412" s="5"/>
      <c r="W1412" s="5" t="b">
        <f ca="1">IFERROR(__xludf.DUMMYFUNCTION("""COMPUTED_VALUE"""),TRUE)</f>
        <v>1</v>
      </c>
      <c r="X1412" s="5" t="str">
        <f ca="1">IFERROR(__xludf.DUMMYFUNCTION("""COMPUTED_VALUE"""),"wmazorra@postobon.com.co,aprmttoyu@postobon.com.co,aprmyu@postobon.com.co,wmora@postobon.com.co,efzapata@postobon.com.co")</f>
        <v>wmazorra@postobon.com.co,aprmttoyu@postobon.com.co,aprmyu@postobon.com.co,wmora@postobon.com.co,efzapata@postobon.com.co</v>
      </c>
      <c r="Y1412" s="5" t="str">
        <f ca="1">IFERROR(__xludf.DUMMYFUNCTION("""COMPUTED_VALUE"""),"wmazorra@postobon.com.co")</f>
        <v>wmazorra@postobon.com.co</v>
      </c>
      <c r="Z1412" s="5" t="str">
        <f ca="1">IFERROR(__xludf.DUMMYFUNCTION("""COMPUTED_VALUE"""),"K8h2BnyWTOWbCjoJGDmAzg")</f>
        <v>K8h2BnyWTOWbCjoJGDmAzg</v>
      </c>
      <c r="AA1412" s="5"/>
      <c r="AB1412" s="5"/>
      <c r="AC1412" s="5"/>
      <c r="AD1412" s="5">
        <f ca="1">IFERROR(__xludf.DUMMYFUNCTION("""COMPUTED_VALUE"""),50)</f>
        <v>50</v>
      </c>
      <c r="AE1412" s="5">
        <f ca="1">IFERROR(__xludf.DUMMYFUNCTION("""COMPUTED_VALUE"""),50)</f>
        <v>50</v>
      </c>
      <c r="AF1412" s="5" t="b">
        <f ca="1">IFERROR(__xludf.DUMMYFUNCTION("""COMPUTED_VALUE"""),FALSE)</f>
        <v>0</v>
      </c>
      <c r="AG1412" s="5" t="str">
        <f ca="1">IFERROR(__xludf.DUMMYFUNCTION("""COMPUTED_VALUE"""),"INSPECCIONES REALIZADAS")</f>
        <v>INSPECCIONES REALIZADAS</v>
      </c>
      <c r="AH1412" s="5"/>
    </row>
    <row r="1413" spans="1:34">
      <c r="A1413" s="5" t="str">
        <f ca="1">IFERROR(__xludf.DUMMYFUNCTION("""COMPUTED_VALUE"""),"EQUIPOS PARA SERVICIOS INDUSTRIALES")</f>
        <v>EQUIPOS PARA SERVICIOS INDUSTRIALES</v>
      </c>
      <c r="B1413" s="5">
        <f ca="1">IFERROR(__xludf.DUMMYFUNCTION("""COMPUTED_VALUE"""),659371)</f>
        <v>659371</v>
      </c>
      <c r="C1413" s="5" t="str">
        <f ca="1">IFERROR(__xludf.DUMMYFUNCTION("""COMPUTED_VALUE"""),"CALDERA DE 300 BHP")</f>
        <v>CALDERA DE 300 BHP</v>
      </c>
      <c r="D1413" s="5">
        <f ca="1">IFERROR(__xludf.DUMMYFUNCTION("""COMPUTED_VALUE"""),13247476)</f>
        <v>13247476</v>
      </c>
      <c r="E1413" s="5" t="str">
        <f ca="1">IFERROR(__xludf.DUMMYFUNCTION("""COMPUTED_VALUE"""),"INSPECCION SEMANAL CALDERA DE 300 BHP")</f>
        <v>INSPECCION SEMANAL CALDERA DE 300 BHP</v>
      </c>
      <c r="F1413" s="5" t="str">
        <f ca="1">IFERROR(__xludf.DUMMYFUNCTION("""COMPUTED_VALUE"""),"QUEMADOR")</f>
        <v>QUEMADOR</v>
      </c>
      <c r="G1413" s="5" t="b">
        <f ca="1">IFERROR(__xludf.DUMMYFUNCTION("""COMPUTED_VALUE"""),TRUE)</f>
        <v>1</v>
      </c>
      <c r="H1413" s="5"/>
      <c r="I1413" s="5"/>
      <c r="J1413" s="5">
        <f ca="1">IFERROR(__xludf.DUMMYFUNCTION("""COMPUTED_VALUE"""),13247476)</f>
        <v>13247476</v>
      </c>
      <c r="K1413" s="5"/>
      <c r="L1413" s="18">
        <f ca="1">IFERROR(__xludf.DUMMYFUNCTION("""COMPUTED_VALUE"""),45324)</f>
        <v>45324</v>
      </c>
      <c r="M1413" s="18">
        <f ca="1">IFERROR(__xludf.DUMMYFUNCTION("""COMPUTED_VALUE"""),45324)</f>
        <v>45324</v>
      </c>
      <c r="N1413" s="5" t="str">
        <f ca="1">IFERROR(__xludf.DUMMYFUNCTION("""COMPUTED_VALUE"""),"Valencia Hector")</f>
        <v>Valencia Hector</v>
      </c>
      <c r="O1413" s="2">
        <f ca="1">IFERROR(__xludf.DUMMYFUNCTION("""COMPUTED_VALUE"""),0.007142857)</f>
        <v>7.1428569999999999E-3</v>
      </c>
      <c r="P1413" s="5">
        <f ca="1">IFERROR(__xludf.DUMMYFUNCTION("""COMPUTED_VALUE"""),20015139)</f>
        <v>20015139</v>
      </c>
      <c r="Q1413" s="5" t="str">
        <f ca="1">IFERROR(__xludf.DUMMYFUNCTION("""COMPUTED_VALUE"""),"DDgFMSbULLc")</f>
        <v>DDgFMSbULLc</v>
      </c>
      <c r="R1413" s="5">
        <f ca="1">IFERROR(__xludf.DUMMYFUNCTION("""COMPUTED_VALUE"""),410)</f>
        <v>410</v>
      </c>
      <c r="S1413" s="62">
        <f ca="1">IFERROR(__xludf.DUMMYFUNCTION("""COMPUTED_VALUE"""),0.007142857)</f>
        <v>7.1428569999999999E-3</v>
      </c>
      <c r="T1413" s="63" t="str">
        <f ca="1">IFERROR(__xludf.DUMMYFUNCTION("""COMPUTED_VALUE"""),"https://storage.googleapis.com/glide-prod.appspot.com/uploads-v2/ly7o78grxPaC6KdgvbpS/pub/3aRdSog0vUtuqPE8AJKD.png")</f>
        <v>https://storage.googleapis.com/glide-prod.appspot.com/uploads-v2/ly7o78grxPaC6KdgvbpS/pub/3aRdSog0vUtuqPE8AJKD.png</v>
      </c>
      <c r="U1413" s="5" t="str">
        <f ca="1">IFERROR(__xludf.DUMMYFUNCTION("""COMPUTED_VALUE"""),"EQUIPOS PARA SERVICIOS INDUSTRIALESCALDERA DE 300 BHP")</f>
        <v>EQUIPOS PARA SERVICIOS INDUSTRIALESCALDERA DE 300 BHP</v>
      </c>
      <c r="V1413" s="5"/>
      <c r="W1413" s="5" t="b">
        <f ca="1">IFERROR(__xludf.DUMMYFUNCTION("""COMPUTED_VALUE"""),TRUE)</f>
        <v>1</v>
      </c>
      <c r="X1413" s="5" t="str">
        <f ca="1">IFERROR(__xludf.DUMMYFUNCTION("""COMPUTED_VALUE"""),"wmazorra@postobon.com.co,aprmttoyu@postobon.com.co,aprmyu@postobon.com.co,wmora@postobon.com.co,efzapata@postobon.com.co")</f>
        <v>wmazorra@postobon.com.co,aprmttoyu@postobon.com.co,aprmyu@postobon.com.co,wmora@postobon.com.co,efzapata@postobon.com.co</v>
      </c>
      <c r="Y1413" s="5" t="str">
        <f ca="1">IFERROR(__xludf.DUMMYFUNCTION("""COMPUTED_VALUE"""),"wmazorra@postobon.com.co")</f>
        <v>wmazorra@postobon.com.co</v>
      </c>
      <c r="Z1413" s="5" t="str">
        <f ca="1">IFERROR(__xludf.DUMMYFUNCTION("""COMPUTED_VALUE"""),"KsRRh.QeRQuWIu5YV8E9Dg")</f>
        <v>KsRRh.QeRQuWIu5YV8E9Dg</v>
      </c>
      <c r="AA1413" s="5"/>
      <c r="AB1413" s="5"/>
      <c r="AC1413" s="5"/>
      <c r="AD1413" s="5">
        <f ca="1">IFERROR(__xludf.DUMMYFUNCTION("""COMPUTED_VALUE"""),50)</f>
        <v>50</v>
      </c>
      <c r="AE1413" s="5">
        <f ca="1">IFERROR(__xludf.DUMMYFUNCTION("""COMPUTED_VALUE"""),50)</f>
        <v>50</v>
      </c>
      <c r="AF1413" s="5" t="b">
        <f ca="1">IFERROR(__xludf.DUMMYFUNCTION("""COMPUTED_VALUE"""),FALSE)</f>
        <v>0</v>
      </c>
      <c r="AG1413" s="5" t="str">
        <f ca="1">IFERROR(__xludf.DUMMYFUNCTION("""COMPUTED_VALUE"""),"INSPECCIONES REALIZADAS")</f>
        <v>INSPECCIONES REALIZADAS</v>
      </c>
      <c r="AH1413" s="5"/>
    </row>
    <row r="1414" spans="1:34">
      <c r="A1414" s="5" t="str">
        <f ca="1">IFERROR(__xludf.DUMMYFUNCTION("""COMPUTED_VALUE"""),"EQUIPOS PARA SERVICIOS INDUSTRIALES")</f>
        <v>EQUIPOS PARA SERVICIOS INDUSTRIALES</v>
      </c>
      <c r="B1414" s="5">
        <f ca="1">IFERROR(__xludf.DUMMYFUNCTION("""COMPUTED_VALUE"""),659371)</f>
        <v>659371</v>
      </c>
      <c r="C1414" s="5" t="str">
        <f ca="1">IFERROR(__xludf.DUMMYFUNCTION("""COMPUTED_VALUE"""),"CALDERA DE 300 BHP")</f>
        <v>CALDERA DE 300 BHP</v>
      </c>
      <c r="D1414" s="5">
        <f ca="1">IFERROR(__xludf.DUMMYFUNCTION("""COMPUTED_VALUE"""),13247476)</f>
        <v>13247476</v>
      </c>
      <c r="E1414" s="5" t="str">
        <f ca="1">IFERROR(__xludf.DUMMYFUNCTION("""COMPUTED_VALUE"""),"INSPECCION SEMANAL CALDERA DE 300 BHP")</f>
        <v>INSPECCION SEMANAL CALDERA DE 300 BHP</v>
      </c>
      <c r="F1414" s="5" t="str">
        <f ca="1">IFERROR(__xludf.DUMMYFUNCTION("""COMPUTED_VALUE"""),"TABLERO DE CONTROL/CLIMATIZADOR")</f>
        <v>TABLERO DE CONTROL/CLIMATIZADOR</v>
      </c>
      <c r="G1414" s="5" t="b">
        <f ca="1">IFERROR(__xludf.DUMMYFUNCTION("""COMPUTED_VALUE"""),TRUE)</f>
        <v>1</v>
      </c>
      <c r="H1414" s="5"/>
      <c r="I1414" s="5"/>
      <c r="J1414" s="5">
        <f ca="1">IFERROR(__xludf.DUMMYFUNCTION("""COMPUTED_VALUE"""),13247476)</f>
        <v>13247476</v>
      </c>
      <c r="K1414" s="5"/>
      <c r="L1414" s="18">
        <f ca="1">IFERROR(__xludf.DUMMYFUNCTION("""COMPUTED_VALUE"""),45324)</f>
        <v>45324</v>
      </c>
      <c r="M1414" s="18">
        <f ca="1">IFERROR(__xludf.DUMMYFUNCTION("""COMPUTED_VALUE"""),45324)</f>
        <v>45324</v>
      </c>
      <c r="N1414" s="5" t="str">
        <f ca="1">IFERROR(__xludf.DUMMYFUNCTION("""COMPUTED_VALUE"""),"Valencia Hector")</f>
        <v>Valencia Hector</v>
      </c>
      <c r="O1414" s="2">
        <f ca="1">IFERROR(__xludf.DUMMYFUNCTION("""COMPUTED_VALUE"""),0.007142857)</f>
        <v>7.1428569999999999E-3</v>
      </c>
      <c r="P1414" s="5">
        <f ca="1">IFERROR(__xludf.DUMMYFUNCTION("""COMPUTED_VALUE"""),20015139)</f>
        <v>20015139</v>
      </c>
      <c r="Q1414" s="5" t="str">
        <f ca="1">IFERROR(__xludf.DUMMYFUNCTION("""COMPUTED_VALUE"""),"UXdh1VhC_7M")</f>
        <v>UXdh1VhC_7M</v>
      </c>
      <c r="R1414" s="5">
        <f ca="1">IFERROR(__xludf.DUMMYFUNCTION("""COMPUTED_VALUE"""),410)</f>
        <v>410</v>
      </c>
      <c r="S1414" s="62">
        <f ca="1">IFERROR(__xludf.DUMMYFUNCTION("""COMPUTED_VALUE"""),0.007142857)</f>
        <v>7.1428569999999999E-3</v>
      </c>
      <c r="T1414" s="63" t="str">
        <f ca="1">IFERROR(__xludf.DUMMYFUNCTION("""COMPUTED_VALUE"""),"https://storage.googleapis.com/glide-prod.appspot.com/uploads-v2/ly7o78grxPaC6KdgvbpS/pub/3aRdSog0vUtuqPE8AJKD.png")</f>
        <v>https://storage.googleapis.com/glide-prod.appspot.com/uploads-v2/ly7o78grxPaC6KdgvbpS/pub/3aRdSog0vUtuqPE8AJKD.png</v>
      </c>
      <c r="U1414" s="5" t="str">
        <f ca="1">IFERROR(__xludf.DUMMYFUNCTION("""COMPUTED_VALUE"""),"EQUIPOS PARA SERVICIOS INDUSTRIALESCALDERA DE 300 BHP")</f>
        <v>EQUIPOS PARA SERVICIOS INDUSTRIALESCALDERA DE 300 BHP</v>
      </c>
      <c r="V1414" s="5"/>
      <c r="W1414" s="5" t="b">
        <f ca="1">IFERROR(__xludf.DUMMYFUNCTION("""COMPUTED_VALUE"""),TRUE)</f>
        <v>1</v>
      </c>
      <c r="X1414" s="5" t="str">
        <f ca="1">IFERROR(__xludf.DUMMYFUNCTION("""COMPUTED_VALUE"""),"wmazorra@postobon.com.co,aprmttoyu@postobon.com.co,aprmyu@postobon.com.co,wmora@postobon.com.co,efzapata@postobon.com.co")</f>
        <v>wmazorra@postobon.com.co,aprmttoyu@postobon.com.co,aprmyu@postobon.com.co,wmora@postobon.com.co,efzapata@postobon.com.co</v>
      </c>
      <c r="Y1414" s="5" t="str">
        <f ca="1">IFERROR(__xludf.DUMMYFUNCTION("""COMPUTED_VALUE"""),"wmazorra@postobon.com.co")</f>
        <v>wmazorra@postobon.com.co</v>
      </c>
      <c r="Z1414" s="5" t="str">
        <f ca="1">IFERROR(__xludf.DUMMYFUNCTION("""COMPUTED_VALUE"""),"GKhDw.eTS4GP9s.ukV8ArA")</f>
        <v>GKhDw.eTS4GP9s.ukV8ArA</v>
      </c>
      <c r="AA1414" s="5"/>
      <c r="AB1414" s="5"/>
      <c r="AC1414" s="5"/>
      <c r="AD1414" s="5">
        <f ca="1">IFERROR(__xludf.DUMMYFUNCTION("""COMPUTED_VALUE"""),50)</f>
        <v>50</v>
      </c>
      <c r="AE1414" s="5">
        <f ca="1">IFERROR(__xludf.DUMMYFUNCTION("""COMPUTED_VALUE"""),50)</f>
        <v>50</v>
      </c>
      <c r="AF1414" s="5" t="b">
        <f ca="1">IFERROR(__xludf.DUMMYFUNCTION("""COMPUTED_VALUE"""),FALSE)</f>
        <v>0</v>
      </c>
      <c r="AG1414" s="5" t="str">
        <f ca="1">IFERROR(__xludf.DUMMYFUNCTION("""COMPUTED_VALUE"""),"INSPECCIONES REALIZADAS")</f>
        <v>INSPECCIONES REALIZADAS</v>
      </c>
      <c r="AH1414" s="5"/>
    </row>
    <row r="1415" spans="1:34">
      <c r="A1415" s="5" t="str">
        <f ca="1">IFERROR(__xludf.DUMMYFUNCTION("""COMPUTED_VALUE"""),"EQUIPOS PARA SERVICIOS INDUSTRIALES")</f>
        <v>EQUIPOS PARA SERVICIOS INDUSTRIALES</v>
      </c>
      <c r="B1415" s="5">
        <f ca="1">IFERROR(__xludf.DUMMYFUNCTION("""COMPUTED_VALUE"""),638555)</f>
        <v>638555</v>
      </c>
      <c r="C1415" s="5" t="str">
        <f ca="1">IFERROR(__xludf.DUMMYFUNCTION("""COMPUTED_VALUE"""),"CONDENSADOR EVAPORATIVO")</f>
        <v>CONDENSADOR EVAPORATIVO</v>
      </c>
      <c r="D1415" s="5">
        <f ca="1">IFERROR(__xludf.DUMMYFUNCTION("""COMPUTED_VALUE"""),13247490)</f>
        <v>13247490</v>
      </c>
      <c r="E1415" s="5" t="str">
        <f ca="1">IFERROR(__xludf.DUMMYFUNCTION("""COMPUTED_VALUE"""),"INSPECCION SEMANAL CONDENSADOR EVAPORATI")</f>
        <v>INSPECCION SEMANAL CONDENSADOR EVAPORATI</v>
      </c>
      <c r="F1415" s="5" t="str">
        <f ca="1">IFERROR(__xludf.DUMMYFUNCTION("""COMPUTED_VALUE"""),"Nivel tanque recibidor gaseosa (D) (35-50-80)")</f>
        <v>Nivel tanque recibidor gaseosa (D) (35-50-80)</v>
      </c>
      <c r="G1415" s="5" t="b">
        <f ca="1">IFERROR(__xludf.DUMMYFUNCTION("""COMPUTED_VALUE"""),TRUE)</f>
        <v>1</v>
      </c>
      <c r="H1415" s="5"/>
      <c r="I1415" s="5"/>
      <c r="J1415" s="5">
        <f ca="1">IFERROR(__xludf.DUMMYFUNCTION("""COMPUTED_VALUE"""),13247490)</f>
        <v>13247490</v>
      </c>
      <c r="K1415" s="5"/>
      <c r="L1415" s="18">
        <f ca="1">IFERROR(__xludf.DUMMYFUNCTION("""COMPUTED_VALUE"""),45324)</f>
        <v>45324</v>
      </c>
      <c r="M1415" s="18">
        <f ca="1">IFERROR(__xludf.DUMMYFUNCTION("""COMPUTED_VALUE"""),45324)</f>
        <v>45324</v>
      </c>
      <c r="N1415" s="5" t="str">
        <f ca="1">IFERROR(__xludf.DUMMYFUNCTION("""COMPUTED_VALUE"""),"Henao William")</f>
        <v>Henao William</v>
      </c>
      <c r="O1415" s="2">
        <f ca="1">IFERROR(__xludf.DUMMYFUNCTION("""COMPUTED_VALUE"""),0.007142857)</f>
        <v>7.1428569999999999E-3</v>
      </c>
      <c r="P1415" s="5">
        <f ca="1">IFERROR(__xludf.DUMMYFUNCTION("""COMPUTED_VALUE"""),20009827)</f>
        <v>20009827</v>
      </c>
      <c r="Q1415" s="5" t="str">
        <f ca="1">IFERROR(__xludf.DUMMYFUNCTION("""COMPUTED_VALUE"""),"xLXTTGwfFQU")</f>
        <v>xLXTTGwfFQU</v>
      </c>
      <c r="R1415" s="5">
        <f ca="1">IFERROR(__xludf.DUMMYFUNCTION("""COMPUTED_VALUE"""),410)</f>
        <v>410</v>
      </c>
      <c r="S1415" s="62">
        <f ca="1">IFERROR(__xludf.DUMMYFUNCTION("""COMPUTED_VALUE"""),0.007142857)</f>
        <v>7.1428569999999999E-3</v>
      </c>
      <c r="T1415" s="63" t="str">
        <f ca="1">IFERROR(__xludf.DUMMYFUNCTION("""COMPUTED_VALUE"""),"https://storage.googleapis.com/glide-prod.appspot.com/uploads-v2/ly7o78grxPaC6KdgvbpS/pub/3aRdSog0vUtuqPE8AJKD.png")</f>
        <v>https://storage.googleapis.com/glide-prod.appspot.com/uploads-v2/ly7o78grxPaC6KdgvbpS/pub/3aRdSog0vUtuqPE8AJKD.png</v>
      </c>
      <c r="U1415" s="5" t="str">
        <f ca="1">IFERROR(__xludf.DUMMYFUNCTION("""COMPUTED_VALUE"""),"EQUIPOS PARA SERVICIOS INDUSTRIALESCONDENSADOR EVAPORATIVO")</f>
        <v>EQUIPOS PARA SERVICIOS INDUSTRIALESCONDENSADOR EVAPORATIVO</v>
      </c>
      <c r="V1415" s="5"/>
      <c r="W1415" s="5" t="b">
        <f ca="1">IFERROR(__xludf.DUMMYFUNCTION("""COMPUTED_VALUE"""),TRUE)</f>
        <v>1</v>
      </c>
      <c r="X1415" s="5" t="str">
        <f ca="1">IFERROR(__xludf.DUMMYFUNCTION("""COMPUTED_VALUE"""),"wmazorra@postobon.com.co,aprmttoyu@postobon.com.co,aprmyu@postobon.com.co,wmora@postobon.com.co,efzapata@postobon.com.co")</f>
        <v>wmazorra@postobon.com.co,aprmttoyu@postobon.com.co,aprmyu@postobon.com.co,wmora@postobon.com.co,efzapata@postobon.com.co</v>
      </c>
      <c r="Y1415" s="5" t="str">
        <f ca="1">IFERROR(__xludf.DUMMYFUNCTION("""COMPUTED_VALUE"""),"wmazorra@postobon.com.co")</f>
        <v>wmazorra@postobon.com.co</v>
      </c>
      <c r="Z1415" s="5" t="str">
        <f ca="1">IFERROR(__xludf.DUMMYFUNCTION("""COMPUTED_VALUE"""),"o-lH6c-NT5mHqEIi-hZRwQ")</f>
        <v>o-lH6c-NT5mHqEIi-hZRwQ</v>
      </c>
      <c r="AA1415" s="5"/>
      <c r="AB1415" s="5"/>
      <c r="AC1415" s="5"/>
      <c r="AD1415" s="5">
        <f ca="1">IFERROR(__xludf.DUMMYFUNCTION("""COMPUTED_VALUE"""),78)</f>
        <v>78</v>
      </c>
      <c r="AE1415" s="5">
        <f ca="1">IFERROR(__xludf.DUMMYFUNCTION("""COMPUTED_VALUE"""),77)</f>
        <v>77</v>
      </c>
      <c r="AF1415" s="5" t="b">
        <f ca="1">IFERROR(__xludf.DUMMYFUNCTION("""COMPUTED_VALUE"""),FALSE)</f>
        <v>0</v>
      </c>
      <c r="AG1415" s="5" t="str">
        <f ca="1">IFERROR(__xludf.DUMMYFUNCTION("""COMPUTED_VALUE"""),"INSPECCIONES REALIZADAS")</f>
        <v>INSPECCIONES REALIZADAS</v>
      </c>
      <c r="AH1415" s="5"/>
    </row>
    <row r="1416" spans="1:34">
      <c r="A1416" s="5" t="str">
        <f ca="1">IFERROR(__xludf.DUMMYFUNCTION("""COMPUTED_VALUE"""),"EQUIPOS PARA SERVICIOS INDUSTRIALES")</f>
        <v>EQUIPOS PARA SERVICIOS INDUSTRIALES</v>
      </c>
      <c r="B1416" s="5">
        <f ca="1">IFERROR(__xludf.DUMMYFUNCTION("""COMPUTED_VALUE"""),638555)</f>
        <v>638555</v>
      </c>
      <c r="C1416" s="5" t="str">
        <f ca="1">IFERROR(__xludf.DUMMYFUNCTION("""COMPUTED_VALUE"""),"CONDENSADOR EVAPORATIVO")</f>
        <v>CONDENSADOR EVAPORATIVO</v>
      </c>
      <c r="D1416" s="5">
        <f ca="1">IFERROR(__xludf.DUMMYFUNCTION("""COMPUTED_VALUE"""),13247490)</f>
        <v>13247490</v>
      </c>
      <c r="E1416" s="5" t="str">
        <f ca="1">IFERROR(__xludf.DUMMYFUNCTION("""COMPUTED_VALUE"""),"INSPECCION SEMANAL CONDENSADOR EVAPORATI")</f>
        <v>INSPECCION SEMANAL CONDENSADOR EVAPORATI</v>
      </c>
      <c r="F1416" s="5" t="str">
        <f ca="1">IFERROR(__xludf.DUMMYFUNCTION("""COMPUTED_VALUE"""),"Nivel tanque recibidor Jugos (D) (30-45-75)")</f>
        <v>Nivel tanque recibidor Jugos (D) (30-45-75)</v>
      </c>
      <c r="G1416" s="5" t="b">
        <f ca="1">IFERROR(__xludf.DUMMYFUNCTION("""COMPUTED_VALUE"""),TRUE)</f>
        <v>1</v>
      </c>
      <c r="H1416" s="5"/>
      <c r="I1416" s="5"/>
      <c r="J1416" s="5">
        <f ca="1">IFERROR(__xludf.DUMMYFUNCTION("""COMPUTED_VALUE"""),13247490)</f>
        <v>13247490</v>
      </c>
      <c r="K1416" s="5"/>
      <c r="L1416" s="18">
        <f ca="1">IFERROR(__xludf.DUMMYFUNCTION("""COMPUTED_VALUE"""),45324)</f>
        <v>45324</v>
      </c>
      <c r="M1416" s="18">
        <f ca="1">IFERROR(__xludf.DUMMYFUNCTION("""COMPUTED_VALUE"""),45324)</f>
        <v>45324</v>
      </c>
      <c r="N1416" s="5" t="str">
        <f ca="1">IFERROR(__xludf.DUMMYFUNCTION("""COMPUTED_VALUE"""),"Henao William")</f>
        <v>Henao William</v>
      </c>
      <c r="O1416" s="2">
        <f ca="1">IFERROR(__xludf.DUMMYFUNCTION("""COMPUTED_VALUE"""),0.007142857)</f>
        <v>7.1428569999999999E-3</v>
      </c>
      <c r="P1416" s="5">
        <f ca="1">IFERROR(__xludf.DUMMYFUNCTION("""COMPUTED_VALUE"""),20009827)</f>
        <v>20009827</v>
      </c>
      <c r="Q1416" s="5" t="str">
        <f ca="1">IFERROR(__xludf.DUMMYFUNCTION("""COMPUTED_VALUE"""),"GghSJa_Sx4g")</f>
        <v>GghSJa_Sx4g</v>
      </c>
      <c r="R1416" s="5">
        <f ca="1">IFERROR(__xludf.DUMMYFUNCTION("""COMPUTED_VALUE"""),410)</f>
        <v>410</v>
      </c>
      <c r="S1416" s="62">
        <f ca="1">IFERROR(__xludf.DUMMYFUNCTION("""COMPUTED_VALUE"""),0.007142857)</f>
        <v>7.1428569999999999E-3</v>
      </c>
      <c r="T1416" s="63" t="str">
        <f ca="1">IFERROR(__xludf.DUMMYFUNCTION("""COMPUTED_VALUE"""),"https://storage.googleapis.com/glide-prod.appspot.com/uploads-v2/ly7o78grxPaC6KdgvbpS/pub/3aRdSog0vUtuqPE8AJKD.png")</f>
        <v>https://storage.googleapis.com/glide-prod.appspot.com/uploads-v2/ly7o78grxPaC6KdgvbpS/pub/3aRdSog0vUtuqPE8AJKD.png</v>
      </c>
      <c r="U1416" s="5" t="str">
        <f ca="1">IFERROR(__xludf.DUMMYFUNCTION("""COMPUTED_VALUE"""),"EQUIPOS PARA SERVICIOS INDUSTRIALESCONDENSADOR EVAPORATIVO")</f>
        <v>EQUIPOS PARA SERVICIOS INDUSTRIALESCONDENSADOR EVAPORATIVO</v>
      </c>
      <c r="V1416" s="5"/>
      <c r="W1416" s="5" t="b">
        <f ca="1">IFERROR(__xludf.DUMMYFUNCTION("""COMPUTED_VALUE"""),TRUE)</f>
        <v>1</v>
      </c>
      <c r="X1416" s="5" t="str">
        <f ca="1">IFERROR(__xludf.DUMMYFUNCTION("""COMPUTED_VALUE"""),"wmazorra@postobon.com.co,aprmttoyu@postobon.com.co,aprmyu@postobon.com.co,wmora@postobon.com.co,efzapata@postobon.com.co")</f>
        <v>wmazorra@postobon.com.co,aprmttoyu@postobon.com.co,aprmyu@postobon.com.co,wmora@postobon.com.co,efzapata@postobon.com.co</v>
      </c>
      <c r="Y1416" s="5" t="str">
        <f ca="1">IFERROR(__xludf.DUMMYFUNCTION("""COMPUTED_VALUE"""),"wmazorra@postobon.com.co")</f>
        <v>wmazorra@postobon.com.co</v>
      </c>
      <c r="Z1416" s="5" t="str">
        <f ca="1">IFERROR(__xludf.DUMMYFUNCTION("""COMPUTED_VALUE"""),"JDQNQ9VwQVuCgEuTixcYVQ")</f>
        <v>JDQNQ9VwQVuCgEuTixcYVQ</v>
      </c>
      <c r="AA1416" s="5"/>
      <c r="AB1416" s="5"/>
      <c r="AC1416" s="5"/>
      <c r="AD1416" s="5">
        <f ca="1">IFERROR(__xludf.DUMMYFUNCTION("""COMPUTED_VALUE"""),78)</f>
        <v>78</v>
      </c>
      <c r="AE1416" s="5">
        <f ca="1">IFERROR(__xludf.DUMMYFUNCTION("""COMPUTED_VALUE"""),77)</f>
        <v>77</v>
      </c>
      <c r="AF1416" s="5" t="b">
        <f ca="1">IFERROR(__xludf.DUMMYFUNCTION("""COMPUTED_VALUE"""),FALSE)</f>
        <v>0</v>
      </c>
      <c r="AG1416" s="5" t="str">
        <f ca="1">IFERROR(__xludf.DUMMYFUNCTION("""COMPUTED_VALUE"""),"INSPECCIONES REALIZADAS")</f>
        <v>INSPECCIONES REALIZADAS</v>
      </c>
      <c r="AH1416" s="5"/>
    </row>
    <row r="1417" spans="1:34">
      <c r="A1417" s="5" t="str">
        <f ca="1">IFERROR(__xludf.DUMMYFUNCTION("""COMPUTED_VALUE"""),"EQUIPOS PARA SERVICIOS INDUSTRIALES")</f>
        <v>EQUIPOS PARA SERVICIOS INDUSTRIALES</v>
      </c>
      <c r="B1417" s="5">
        <f ca="1">IFERROR(__xludf.DUMMYFUNCTION("""COMPUTED_VALUE"""),638555)</f>
        <v>638555</v>
      </c>
      <c r="C1417" s="5" t="str">
        <f ca="1">IFERROR(__xludf.DUMMYFUNCTION("""COMPUTED_VALUE"""),"CONDENSADOR EVAPORATIVO")</f>
        <v>CONDENSADOR EVAPORATIVO</v>
      </c>
      <c r="D1417" s="5">
        <f ca="1">IFERROR(__xludf.DUMMYFUNCTION("""COMPUTED_VALUE"""),13247490)</f>
        <v>13247490</v>
      </c>
      <c r="E1417" s="5" t="str">
        <f ca="1">IFERROR(__xludf.DUMMYFUNCTION("""COMPUTED_VALUE"""),"INSPECCION SEMANAL CONDENSADOR EVAPORATI")</f>
        <v>INSPECCION SEMANAL CONDENSADOR EVAPORATI</v>
      </c>
      <c r="F1417" s="5" t="str">
        <f ca="1">IFERROR(__xludf.DUMMYFUNCTION("""COMPUTED_VALUE"""),"Nivel tanque recibidor L10")</f>
        <v>Nivel tanque recibidor L10</v>
      </c>
      <c r="G1417" s="5" t="b">
        <f ca="1">IFERROR(__xludf.DUMMYFUNCTION("""COMPUTED_VALUE"""),TRUE)</f>
        <v>1</v>
      </c>
      <c r="H1417" s="5"/>
      <c r="I1417" s="5"/>
      <c r="J1417" s="5">
        <f ca="1">IFERROR(__xludf.DUMMYFUNCTION("""COMPUTED_VALUE"""),13247490)</f>
        <v>13247490</v>
      </c>
      <c r="K1417" s="5"/>
      <c r="L1417" s="18">
        <f ca="1">IFERROR(__xludf.DUMMYFUNCTION("""COMPUTED_VALUE"""),45324)</f>
        <v>45324</v>
      </c>
      <c r="M1417" s="18">
        <f ca="1">IFERROR(__xludf.DUMMYFUNCTION("""COMPUTED_VALUE"""),45324)</f>
        <v>45324</v>
      </c>
      <c r="N1417" s="5" t="str">
        <f ca="1">IFERROR(__xludf.DUMMYFUNCTION("""COMPUTED_VALUE"""),"Henao William")</f>
        <v>Henao William</v>
      </c>
      <c r="O1417" s="2">
        <f ca="1">IFERROR(__xludf.DUMMYFUNCTION("""COMPUTED_VALUE"""),0.007142857)</f>
        <v>7.1428569999999999E-3</v>
      </c>
      <c r="P1417" s="5">
        <f ca="1">IFERROR(__xludf.DUMMYFUNCTION("""COMPUTED_VALUE"""),20009827)</f>
        <v>20009827</v>
      </c>
      <c r="Q1417" s="5" t="str">
        <f ca="1">IFERROR(__xludf.DUMMYFUNCTION("""COMPUTED_VALUE"""),"emQKCNuwwTo")</f>
        <v>emQKCNuwwTo</v>
      </c>
      <c r="R1417" s="5">
        <f ca="1">IFERROR(__xludf.DUMMYFUNCTION("""COMPUTED_VALUE"""),410)</f>
        <v>410</v>
      </c>
      <c r="S1417" s="62">
        <f ca="1">IFERROR(__xludf.DUMMYFUNCTION("""COMPUTED_VALUE"""),0.007142857)</f>
        <v>7.1428569999999999E-3</v>
      </c>
      <c r="T1417" s="63" t="str">
        <f ca="1">IFERROR(__xludf.DUMMYFUNCTION("""COMPUTED_VALUE"""),"https://storage.googleapis.com/glide-prod.appspot.com/uploads-v2/ly7o78grxPaC6KdgvbpS/pub/3aRdSog0vUtuqPE8AJKD.png")</f>
        <v>https://storage.googleapis.com/glide-prod.appspot.com/uploads-v2/ly7o78grxPaC6KdgvbpS/pub/3aRdSog0vUtuqPE8AJKD.png</v>
      </c>
      <c r="U1417" s="5" t="str">
        <f ca="1">IFERROR(__xludf.DUMMYFUNCTION("""COMPUTED_VALUE"""),"EQUIPOS PARA SERVICIOS INDUSTRIALESCONDENSADOR EVAPORATIVO")</f>
        <v>EQUIPOS PARA SERVICIOS INDUSTRIALESCONDENSADOR EVAPORATIVO</v>
      </c>
      <c r="V1417" s="5"/>
      <c r="W1417" s="5" t="b">
        <f ca="1">IFERROR(__xludf.DUMMYFUNCTION("""COMPUTED_VALUE"""),TRUE)</f>
        <v>1</v>
      </c>
      <c r="X1417" s="5" t="str">
        <f ca="1">IFERROR(__xludf.DUMMYFUNCTION("""COMPUTED_VALUE"""),"wmazorra@postobon.com.co,aprmttoyu@postobon.com.co,aprmyu@postobon.com.co,wmora@postobon.com.co,efzapata@postobon.com.co")</f>
        <v>wmazorra@postobon.com.co,aprmttoyu@postobon.com.co,aprmyu@postobon.com.co,wmora@postobon.com.co,efzapata@postobon.com.co</v>
      </c>
      <c r="Y1417" s="5" t="str">
        <f ca="1">IFERROR(__xludf.DUMMYFUNCTION("""COMPUTED_VALUE"""),"wmazorra@postobon.com.co")</f>
        <v>wmazorra@postobon.com.co</v>
      </c>
      <c r="Z1417" s="5" t="str">
        <f ca="1">IFERROR(__xludf.DUMMYFUNCTION("""COMPUTED_VALUE"""),"bNfMyINLT7KBtRM4kHwsAg")</f>
        <v>bNfMyINLT7KBtRM4kHwsAg</v>
      </c>
      <c r="AA1417" s="5"/>
      <c r="AB1417" s="5"/>
      <c r="AC1417" s="5"/>
      <c r="AD1417" s="5">
        <f ca="1">IFERROR(__xludf.DUMMYFUNCTION("""COMPUTED_VALUE"""),78)</f>
        <v>78</v>
      </c>
      <c r="AE1417" s="5">
        <f ca="1">IFERROR(__xludf.DUMMYFUNCTION("""COMPUTED_VALUE"""),77)</f>
        <v>77</v>
      </c>
      <c r="AF1417" s="5" t="b">
        <f ca="1">IFERROR(__xludf.DUMMYFUNCTION("""COMPUTED_VALUE"""),FALSE)</f>
        <v>0</v>
      </c>
      <c r="AG1417" s="5" t="str">
        <f ca="1">IFERROR(__xludf.DUMMYFUNCTION("""COMPUTED_VALUE"""),"INSPECCIONES REALIZADAS")</f>
        <v>INSPECCIONES REALIZADAS</v>
      </c>
      <c r="AH1417" s="5"/>
    </row>
    <row r="1418" spans="1:34">
      <c r="A1418" s="5" t="str">
        <f ca="1">IFERROR(__xludf.DUMMYFUNCTION("""COMPUTED_VALUE"""),"EQUIPOS PARA SERVICIOS INDUSTRIALES")</f>
        <v>EQUIPOS PARA SERVICIOS INDUSTRIALES</v>
      </c>
      <c r="B1418" s="5">
        <f ca="1">IFERROR(__xludf.DUMMYFUNCTION("""COMPUTED_VALUE"""),638555)</f>
        <v>638555</v>
      </c>
      <c r="C1418" s="5" t="str">
        <f ca="1">IFERROR(__xludf.DUMMYFUNCTION("""COMPUTED_VALUE"""),"CONDENSADOR EVAPORATIVO")</f>
        <v>CONDENSADOR EVAPORATIVO</v>
      </c>
      <c r="D1418" s="5">
        <f ca="1">IFERROR(__xludf.DUMMYFUNCTION("""COMPUTED_VALUE"""),13247490)</f>
        <v>13247490</v>
      </c>
      <c r="E1418" s="5" t="str">
        <f ca="1">IFERROR(__xludf.DUMMYFUNCTION("""COMPUTED_VALUE"""),"INSPECCION SEMANAL CONDENSADOR EVAPORATI")</f>
        <v>INSPECCION SEMANAL CONDENSADOR EVAPORATI</v>
      </c>
      <c r="F1418" s="5" t="str">
        <f ca="1">IFERROR(__xludf.DUMMYFUNCTION("""COMPUTED_VALUE"""),"Detección de fugas con velas de azufre (S)")</f>
        <v>Detección de fugas con velas de azufre (S)</v>
      </c>
      <c r="G1418" s="5" t="b">
        <f ca="1">IFERROR(__xludf.DUMMYFUNCTION("""COMPUTED_VALUE"""),TRUE)</f>
        <v>1</v>
      </c>
      <c r="H1418" s="5"/>
      <c r="I1418" s="5"/>
      <c r="J1418" s="5">
        <f ca="1">IFERROR(__xludf.DUMMYFUNCTION("""COMPUTED_VALUE"""),13247490)</f>
        <v>13247490</v>
      </c>
      <c r="K1418" s="5"/>
      <c r="L1418" s="18">
        <f ca="1">IFERROR(__xludf.DUMMYFUNCTION("""COMPUTED_VALUE"""),45324)</f>
        <v>45324</v>
      </c>
      <c r="M1418" s="18">
        <f ca="1">IFERROR(__xludf.DUMMYFUNCTION("""COMPUTED_VALUE"""),45324)</f>
        <v>45324</v>
      </c>
      <c r="N1418" s="5" t="str">
        <f ca="1">IFERROR(__xludf.DUMMYFUNCTION("""COMPUTED_VALUE"""),"Henao William")</f>
        <v>Henao William</v>
      </c>
      <c r="O1418" s="2">
        <f ca="1">IFERROR(__xludf.DUMMYFUNCTION("""COMPUTED_VALUE"""),0.007142857)</f>
        <v>7.1428569999999999E-3</v>
      </c>
      <c r="P1418" s="5">
        <f ca="1">IFERROR(__xludf.DUMMYFUNCTION("""COMPUTED_VALUE"""),20009827)</f>
        <v>20009827</v>
      </c>
      <c r="Q1418" s="5" t="str">
        <f ca="1">IFERROR(__xludf.DUMMYFUNCTION("""COMPUTED_VALUE"""),"GNt6lm_Og0k")</f>
        <v>GNt6lm_Og0k</v>
      </c>
      <c r="R1418" s="5">
        <f ca="1">IFERROR(__xludf.DUMMYFUNCTION("""COMPUTED_VALUE"""),410)</f>
        <v>410</v>
      </c>
      <c r="S1418" s="62">
        <f ca="1">IFERROR(__xludf.DUMMYFUNCTION("""COMPUTED_VALUE"""),0.007142857)</f>
        <v>7.1428569999999999E-3</v>
      </c>
      <c r="T1418" s="63" t="str">
        <f ca="1">IFERROR(__xludf.DUMMYFUNCTION("""COMPUTED_VALUE"""),"https://storage.googleapis.com/glide-prod.appspot.com/uploads-v2/ly7o78grxPaC6KdgvbpS/pub/3aRdSog0vUtuqPE8AJKD.png")</f>
        <v>https://storage.googleapis.com/glide-prod.appspot.com/uploads-v2/ly7o78grxPaC6KdgvbpS/pub/3aRdSog0vUtuqPE8AJKD.png</v>
      </c>
      <c r="U1418" s="5" t="str">
        <f ca="1">IFERROR(__xludf.DUMMYFUNCTION("""COMPUTED_VALUE"""),"EQUIPOS PARA SERVICIOS INDUSTRIALESCONDENSADOR EVAPORATIVO")</f>
        <v>EQUIPOS PARA SERVICIOS INDUSTRIALESCONDENSADOR EVAPORATIVO</v>
      </c>
      <c r="V1418" s="5"/>
      <c r="W1418" s="5" t="b">
        <f ca="1">IFERROR(__xludf.DUMMYFUNCTION("""COMPUTED_VALUE"""),TRUE)</f>
        <v>1</v>
      </c>
      <c r="X1418" s="5" t="str">
        <f ca="1">IFERROR(__xludf.DUMMYFUNCTION("""COMPUTED_VALUE"""),"wmazorra@postobon.com.co,aprmttoyu@postobon.com.co,aprmyu@postobon.com.co,wmora@postobon.com.co,efzapata@postobon.com.co")</f>
        <v>wmazorra@postobon.com.co,aprmttoyu@postobon.com.co,aprmyu@postobon.com.co,wmora@postobon.com.co,efzapata@postobon.com.co</v>
      </c>
      <c r="Y1418" s="5" t="str">
        <f ca="1">IFERROR(__xludf.DUMMYFUNCTION("""COMPUTED_VALUE"""),"wmazorra@postobon.com.co")</f>
        <v>wmazorra@postobon.com.co</v>
      </c>
      <c r="Z1418" s="5" t="str">
        <f ca="1">IFERROR(__xludf.DUMMYFUNCTION("""COMPUTED_VALUE"""),"ydm99ThUR0GxXtfYCe3ZVQ")</f>
        <v>ydm99ThUR0GxXtfYCe3ZVQ</v>
      </c>
      <c r="AA1418" s="5"/>
      <c r="AB1418" s="5"/>
      <c r="AC1418" s="5"/>
      <c r="AD1418" s="5">
        <f ca="1">IFERROR(__xludf.DUMMYFUNCTION("""COMPUTED_VALUE"""),78)</f>
        <v>78</v>
      </c>
      <c r="AE1418" s="5">
        <f ca="1">IFERROR(__xludf.DUMMYFUNCTION("""COMPUTED_VALUE"""),77)</f>
        <v>77</v>
      </c>
      <c r="AF1418" s="5" t="b">
        <f ca="1">IFERROR(__xludf.DUMMYFUNCTION("""COMPUTED_VALUE"""),FALSE)</f>
        <v>0</v>
      </c>
      <c r="AG1418" s="5" t="str">
        <f ca="1">IFERROR(__xludf.DUMMYFUNCTION("""COMPUTED_VALUE"""),"INSPECCIONES REALIZADAS")</f>
        <v>INSPECCIONES REALIZADAS</v>
      </c>
      <c r="AH1418" s="5"/>
    </row>
    <row r="1419" spans="1:34">
      <c r="A1419" s="5" t="str">
        <f ca="1">IFERROR(__xludf.DUMMYFUNCTION("""COMPUTED_VALUE"""),"EQUIPOS PARA SERVICIOS INDUSTRIALES")</f>
        <v>EQUIPOS PARA SERVICIOS INDUSTRIALES</v>
      </c>
      <c r="B1419" s="5">
        <f ca="1">IFERROR(__xludf.DUMMYFUNCTION("""COMPUTED_VALUE"""),638555)</f>
        <v>638555</v>
      </c>
      <c r="C1419" s="5" t="str">
        <f ca="1">IFERROR(__xludf.DUMMYFUNCTION("""COMPUTED_VALUE"""),"CONDENSADOR EVAPORATIVO")</f>
        <v>CONDENSADOR EVAPORATIVO</v>
      </c>
      <c r="D1419" s="5">
        <f ca="1">IFERROR(__xludf.DUMMYFUNCTION("""COMPUTED_VALUE"""),13247490)</f>
        <v>13247490</v>
      </c>
      <c r="E1419" s="5" t="str">
        <f ca="1">IFERROR(__xludf.DUMMYFUNCTION("""COMPUTED_VALUE"""),"INSPECCION SEMANAL CONDENSADOR EVAPORATI")</f>
        <v>INSPECCION SEMANAL CONDENSADOR EVAPORATI</v>
      </c>
      <c r="F1419" s="5" t="str">
        <f ca="1">IFERROR(__xludf.DUMMYFUNCTION("""COMPUTED_VALUE"""),"Limpieza del condensador y sus incrustaciones (M)")</f>
        <v>Limpieza del condensador y sus incrustaciones (M)</v>
      </c>
      <c r="G1419" s="5" t="b">
        <f ca="1">IFERROR(__xludf.DUMMYFUNCTION("""COMPUTED_VALUE"""),TRUE)</f>
        <v>1</v>
      </c>
      <c r="H1419" s="5"/>
      <c r="I1419" s="5"/>
      <c r="J1419" s="5">
        <f ca="1">IFERROR(__xludf.DUMMYFUNCTION("""COMPUTED_VALUE"""),13247490)</f>
        <v>13247490</v>
      </c>
      <c r="K1419" s="5"/>
      <c r="L1419" s="18">
        <f ca="1">IFERROR(__xludf.DUMMYFUNCTION("""COMPUTED_VALUE"""),45324)</f>
        <v>45324</v>
      </c>
      <c r="M1419" s="18">
        <f ca="1">IFERROR(__xludf.DUMMYFUNCTION("""COMPUTED_VALUE"""),45324)</f>
        <v>45324</v>
      </c>
      <c r="N1419" s="5" t="str">
        <f ca="1">IFERROR(__xludf.DUMMYFUNCTION("""COMPUTED_VALUE"""),"Henao William")</f>
        <v>Henao William</v>
      </c>
      <c r="O1419" s="2">
        <f ca="1">IFERROR(__xludf.DUMMYFUNCTION("""COMPUTED_VALUE"""),0.007142857)</f>
        <v>7.1428569999999999E-3</v>
      </c>
      <c r="P1419" s="5">
        <f ca="1">IFERROR(__xludf.DUMMYFUNCTION("""COMPUTED_VALUE"""),20009827)</f>
        <v>20009827</v>
      </c>
      <c r="Q1419" s="5" t="str">
        <f ca="1">IFERROR(__xludf.DUMMYFUNCTION("""COMPUTED_VALUE"""),"c5lW67NUgKg")</f>
        <v>c5lW67NUgKg</v>
      </c>
      <c r="R1419" s="5">
        <f ca="1">IFERROR(__xludf.DUMMYFUNCTION("""COMPUTED_VALUE"""),410)</f>
        <v>410</v>
      </c>
      <c r="S1419" s="62">
        <f ca="1">IFERROR(__xludf.DUMMYFUNCTION("""COMPUTED_VALUE"""),0.007142857)</f>
        <v>7.1428569999999999E-3</v>
      </c>
      <c r="T1419" s="63" t="str">
        <f ca="1">IFERROR(__xludf.DUMMYFUNCTION("""COMPUTED_VALUE"""),"https://storage.googleapis.com/glide-prod.appspot.com/uploads-v2/ly7o78grxPaC6KdgvbpS/pub/3aRdSog0vUtuqPE8AJKD.png")</f>
        <v>https://storage.googleapis.com/glide-prod.appspot.com/uploads-v2/ly7o78grxPaC6KdgvbpS/pub/3aRdSog0vUtuqPE8AJKD.png</v>
      </c>
      <c r="U1419" s="5" t="str">
        <f ca="1">IFERROR(__xludf.DUMMYFUNCTION("""COMPUTED_VALUE"""),"EQUIPOS PARA SERVICIOS INDUSTRIALESCONDENSADOR EVAPORATIVO")</f>
        <v>EQUIPOS PARA SERVICIOS INDUSTRIALESCONDENSADOR EVAPORATIVO</v>
      </c>
      <c r="V1419" s="5"/>
      <c r="W1419" s="5" t="b">
        <f ca="1">IFERROR(__xludf.DUMMYFUNCTION("""COMPUTED_VALUE"""),TRUE)</f>
        <v>1</v>
      </c>
      <c r="X1419" s="5" t="str">
        <f ca="1">IFERROR(__xludf.DUMMYFUNCTION("""COMPUTED_VALUE"""),"wmazorra@postobon.com.co,aprmttoyu@postobon.com.co,aprmyu@postobon.com.co,wmora@postobon.com.co,efzapata@postobon.com.co")</f>
        <v>wmazorra@postobon.com.co,aprmttoyu@postobon.com.co,aprmyu@postobon.com.co,wmora@postobon.com.co,efzapata@postobon.com.co</v>
      </c>
      <c r="Y1419" s="5" t="str">
        <f ca="1">IFERROR(__xludf.DUMMYFUNCTION("""COMPUTED_VALUE"""),"wmazorra@postobon.com.co")</f>
        <v>wmazorra@postobon.com.co</v>
      </c>
      <c r="Z1419" s="5" t="str">
        <f ca="1">IFERROR(__xludf.DUMMYFUNCTION("""COMPUTED_VALUE"""),"aYrsI8I5Rgeb1JuYNL83sg")</f>
        <v>aYrsI8I5Rgeb1JuYNL83sg</v>
      </c>
      <c r="AA1419" s="5"/>
      <c r="AB1419" s="5"/>
      <c r="AC1419" s="5"/>
      <c r="AD1419" s="5">
        <f ca="1">IFERROR(__xludf.DUMMYFUNCTION("""COMPUTED_VALUE"""),78)</f>
        <v>78</v>
      </c>
      <c r="AE1419" s="5">
        <f ca="1">IFERROR(__xludf.DUMMYFUNCTION("""COMPUTED_VALUE"""),77)</f>
        <v>77</v>
      </c>
      <c r="AF1419" s="5" t="b">
        <f ca="1">IFERROR(__xludf.DUMMYFUNCTION("""COMPUTED_VALUE"""),FALSE)</f>
        <v>0</v>
      </c>
      <c r="AG1419" s="5" t="str">
        <f ca="1">IFERROR(__xludf.DUMMYFUNCTION("""COMPUTED_VALUE"""),"INSPECCIONES REALIZADAS")</f>
        <v>INSPECCIONES REALIZADAS</v>
      </c>
      <c r="AH1419" s="5"/>
    </row>
    <row r="1420" spans="1:34">
      <c r="A1420" s="5" t="str">
        <f ca="1">IFERROR(__xludf.DUMMYFUNCTION("""COMPUTED_VALUE"""),"EQUIPOS PARA SERVICIOS INDUSTRIALES")</f>
        <v>EQUIPOS PARA SERVICIOS INDUSTRIALES</v>
      </c>
      <c r="B1420" s="5">
        <f ca="1">IFERROR(__xludf.DUMMYFUNCTION("""COMPUTED_VALUE"""),638555)</f>
        <v>638555</v>
      </c>
      <c r="C1420" s="5" t="str">
        <f ca="1">IFERROR(__xludf.DUMMYFUNCTION("""COMPUTED_VALUE"""),"CONDENSADOR EVAPORATIVO")</f>
        <v>CONDENSADOR EVAPORATIVO</v>
      </c>
      <c r="D1420" s="5">
        <f ca="1">IFERROR(__xludf.DUMMYFUNCTION("""COMPUTED_VALUE"""),13247490)</f>
        <v>13247490</v>
      </c>
      <c r="E1420" s="5" t="str">
        <f ca="1">IFERROR(__xludf.DUMMYFUNCTION("""COMPUTED_VALUE"""),"INSPECCION SEMANAL CONDENSADOR EVAPORATI")</f>
        <v>INSPECCION SEMANAL CONDENSADOR EVAPORATI</v>
      </c>
      <c r="F1420" s="5" t="str">
        <f ca="1">IFERROR(__xludf.DUMMYFUNCTION("""COMPUTED_VALUE"""),"Ajuste del torque en las prensaestopas todas las valvulas del sistema (BIM)")</f>
        <v>Ajuste del torque en las prensaestopas todas las valvulas del sistema (BIM)</v>
      </c>
      <c r="G1420" s="5" t="b">
        <f ca="1">IFERROR(__xludf.DUMMYFUNCTION("""COMPUTED_VALUE"""),TRUE)</f>
        <v>1</v>
      </c>
      <c r="H1420" s="5"/>
      <c r="I1420" s="5"/>
      <c r="J1420" s="5">
        <f ca="1">IFERROR(__xludf.DUMMYFUNCTION("""COMPUTED_VALUE"""),13247490)</f>
        <v>13247490</v>
      </c>
      <c r="K1420" s="5"/>
      <c r="L1420" s="18">
        <f ca="1">IFERROR(__xludf.DUMMYFUNCTION("""COMPUTED_VALUE"""),45324)</f>
        <v>45324</v>
      </c>
      <c r="M1420" s="18">
        <f ca="1">IFERROR(__xludf.DUMMYFUNCTION("""COMPUTED_VALUE"""),45324)</f>
        <v>45324</v>
      </c>
      <c r="N1420" s="5" t="str">
        <f ca="1">IFERROR(__xludf.DUMMYFUNCTION("""COMPUTED_VALUE"""),"Henao William")</f>
        <v>Henao William</v>
      </c>
      <c r="O1420" s="2">
        <f ca="1">IFERROR(__xludf.DUMMYFUNCTION("""COMPUTED_VALUE"""),0.007142857)</f>
        <v>7.1428569999999999E-3</v>
      </c>
      <c r="P1420" s="5">
        <f ca="1">IFERROR(__xludf.DUMMYFUNCTION("""COMPUTED_VALUE"""),20009827)</f>
        <v>20009827</v>
      </c>
      <c r="Q1420" s="5" t="str">
        <f ca="1">IFERROR(__xludf.DUMMYFUNCTION("""COMPUTED_VALUE"""),"qKT9Q8TWwU4")</f>
        <v>qKT9Q8TWwU4</v>
      </c>
      <c r="R1420" s="5">
        <f ca="1">IFERROR(__xludf.DUMMYFUNCTION("""COMPUTED_VALUE"""),410)</f>
        <v>410</v>
      </c>
      <c r="S1420" s="62">
        <f ca="1">IFERROR(__xludf.DUMMYFUNCTION("""COMPUTED_VALUE"""),0.007142857)</f>
        <v>7.1428569999999999E-3</v>
      </c>
      <c r="T1420" s="63" t="str">
        <f ca="1">IFERROR(__xludf.DUMMYFUNCTION("""COMPUTED_VALUE"""),"https://storage.googleapis.com/glide-prod.appspot.com/uploads-v2/ly7o78grxPaC6KdgvbpS/pub/3aRdSog0vUtuqPE8AJKD.png")</f>
        <v>https://storage.googleapis.com/glide-prod.appspot.com/uploads-v2/ly7o78grxPaC6KdgvbpS/pub/3aRdSog0vUtuqPE8AJKD.png</v>
      </c>
      <c r="U1420" s="5" t="str">
        <f ca="1">IFERROR(__xludf.DUMMYFUNCTION("""COMPUTED_VALUE"""),"EQUIPOS PARA SERVICIOS INDUSTRIALESCONDENSADOR EVAPORATIVO")</f>
        <v>EQUIPOS PARA SERVICIOS INDUSTRIALESCONDENSADOR EVAPORATIVO</v>
      </c>
      <c r="V1420" s="5"/>
      <c r="W1420" s="5" t="b">
        <f ca="1">IFERROR(__xludf.DUMMYFUNCTION("""COMPUTED_VALUE"""),TRUE)</f>
        <v>1</v>
      </c>
      <c r="X1420" s="5" t="str">
        <f ca="1">IFERROR(__xludf.DUMMYFUNCTION("""COMPUTED_VALUE"""),"wmazorra@postobon.com.co,aprmttoyu@postobon.com.co,aprmyu@postobon.com.co,wmora@postobon.com.co,efzapata@postobon.com.co")</f>
        <v>wmazorra@postobon.com.co,aprmttoyu@postobon.com.co,aprmyu@postobon.com.co,wmora@postobon.com.co,efzapata@postobon.com.co</v>
      </c>
      <c r="Y1420" s="5" t="str">
        <f ca="1">IFERROR(__xludf.DUMMYFUNCTION("""COMPUTED_VALUE"""),"wmazorra@postobon.com.co")</f>
        <v>wmazorra@postobon.com.co</v>
      </c>
      <c r="Z1420" s="5" t="str">
        <f ca="1">IFERROR(__xludf.DUMMYFUNCTION("""COMPUTED_VALUE"""),"ZiNkCJhpRtipU7setOwYmQ")</f>
        <v>ZiNkCJhpRtipU7setOwYmQ</v>
      </c>
      <c r="AA1420" s="5"/>
      <c r="AB1420" s="5"/>
      <c r="AC1420" s="5"/>
      <c r="AD1420" s="5">
        <f ca="1">IFERROR(__xludf.DUMMYFUNCTION("""COMPUTED_VALUE"""),78)</f>
        <v>78</v>
      </c>
      <c r="AE1420" s="5">
        <f ca="1">IFERROR(__xludf.DUMMYFUNCTION("""COMPUTED_VALUE"""),77)</f>
        <v>77</v>
      </c>
      <c r="AF1420" s="5" t="b">
        <f ca="1">IFERROR(__xludf.DUMMYFUNCTION("""COMPUTED_VALUE"""),FALSE)</f>
        <v>0</v>
      </c>
      <c r="AG1420" s="5" t="str">
        <f ca="1">IFERROR(__xludf.DUMMYFUNCTION("""COMPUTED_VALUE"""),"INSPECCIONES REALIZADAS")</f>
        <v>INSPECCIONES REALIZADAS</v>
      </c>
      <c r="AH1420" s="5"/>
    </row>
    <row r="1421" spans="1:34">
      <c r="A1421" s="5" t="str">
        <f ca="1">IFERROR(__xludf.DUMMYFUNCTION("""COMPUTED_VALUE"""),"EQUIPOS PARA SERVICIOS INDUSTRIALES")</f>
        <v>EQUIPOS PARA SERVICIOS INDUSTRIALES</v>
      </c>
      <c r="B1421" s="5">
        <f ca="1">IFERROR(__xludf.DUMMYFUNCTION("""COMPUTED_VALUE"""),638555)</f>
        <v>638555</v>
      </c>
      <c r="C1421" s="5" t="str">
        <f ca="1">IFERROR(__xludf.DUMMYFUNCTION("""COMPUTED_VALUE"""),"CONDENSADOR EVAPORATIVO")</f>
        <v>CONDENSADOR EVAPORATIVO</v>
      </c>
      <c r="D1421" s="5">
        <f ca="1">IFERROR(__xludf.DUMMYFUNCTION("""COMPUTED_VALUE"""),13247490)</f>
        <v>13247490</v>
      </c>
      <c r="E1421" s="5" t="str">
        <f ca="1">IFERROR(__xludf.DUMMYFUNCTION("""COMPUTED_VALUE"""),"INSPECCION SEMANAL CONDENSADOR EVAPORATI")</f>
        <v>INSPECCION SEMANAL CONDENSADOR EVAPORATI</v>
      </c>
      <c r="F1421" s="5" t="str">
        <f ca="1">IFERROR(__xludf.DUMMYFUNCTION("""COMPUTED_VALUE"""),"Ajuste de tornillo en flanches (Sem-Sep-Feb)")</f>
        <v>Ajuste de tornillo en flanches (Sem-Sep-Feb)</v>
      </c>
      <c r="G1421" s="5" t="b">
        <f ca="1">IFERROR(__xludf.DUMMYFUNCTION("""COMPUTED_VALUE"""),TRUE)</f>
        <v>1</v>
      </c>
      <c r="H1421" s="5"/>
      <c r="I1421" s="5"/>
      <c r="J1421" s="5">
        <f ca="1">IFERROR(__xludf.DUMMYFUNCTION("""COMPUTED_VALUE"""),13247490)</f>
        <v>13247490</v>
      </c>
      <c r="K1421" s="5"/>
      <c r="L1421" s="18">
        <f ca="1">IFERROR(__xludf.DUMMYFUNCTION("""COMPUTED_VALUE"""),45324)</f>
        <v>45324</v>
      </c>
      <c r="M1421" s="18">
        <f ca="1">IFERROR(__xludf.DUMMYFUNCTION("""COMPUTED_VALUE"""),45324)</f>
        <v>45324</v>
      </c>
      <c r="N1421" s="5" t="str">
        <f ca="1">IFERROR(__xludf.DUMMYFUNCTION("""COMPUTED_VALUE"""),"Henao William")</f>
        <v>Henao William</v>
      </c>
      <c r="O1421" s="2">
        <f ca="1">IFERROR(__xludf.DUMMYFUNCTION("""COMPUTED_VALUE"""),0.007142857)</f>
        <v>7.1428569999999999E-3</v>
      </c>
      <c r="P1421" s="5">
        <f ca="1">IFERROR(__xludf.DUMMYFUNCTION("""COMPUTED_VALUE"""),20009827)</f>
        <v>20009827</v>
      </c>
      <c r="Q1421" s="5" t="str">
        <f ca="1">IFERROR(__xludf.DUMMYFUNCTION("""COMPUTED_VALUE"""),"fcGqbx2E8hI")</f>
        <v>fcGqbx2E8hI</v>
      </c>
      <c r="R1421" s="5">
        <f ca="1">IFERROR(__xludf.DUMMYFUNCTION("""COMPUTED_VALUE"""),410)</f>
        <v>410</v>
      </c>
      <c r="S1421" s="62">
        <f ca="1">IFERROR(__xludf.DUMMYFUNCTION("""COMPUTED_VALUE"""),0.007142857)</f>
        <v>7.1428569999999999E-3</v>
      </c>
      <c r="T1421" s="63" t="str">
        <f ca="1">IFERROR(__xludf.DUMMYFUNCTION("""COMPUTED_VALUE"""),"https://storage.googleapis.com/glide-prod.appspot.com/uploads-v2/ly7o78grxPaC6KdgvbpS/pub/3aRdSog0vUtuqPE8AJKD.png")</f>
        <v>https://storage.googleapis.com/glide-prod.appspot.com/uploads-v2/ly7o78grxPaC6KdgvbpS/pub/3aRdSog0vUtuqPE8AJKD.png</v>
      </c>
      <c r="U1421" s="5" t="str">
        <f ca="1">IFERROR(__xludf.DUMMYFUNCTION("""COMPUTED_VALUE"""),"EQUIPOS PARA SERVICIOS INDUSTRIALESCONDENSADOR EVAPORATIVO")</f>
        <v>EQUIPOS PARA SERVICIOS INDUSTRIALESCONDENSADOR EVAPORATIVO</v>
      </c>
      <c r="V1421" s="5"/>
      <c r="W1421" s="5" t="b">
        <f ca="1">IFERROR(__xludf.DUMMYFUNCTION("""COMPUTED_VALUE"""),TRUE)</f>
        <v>1</v>
      </c>
      <c r="X1421" s="5" t="str">
        <f ca="1">IFERROR(__xludf.DUMMYFUNCTION("""COMPUTED_VALUE"""),"wmazorra@postobon.com.co,aprmttoyu@postobon.com.co,aprmyu@postobon.com.co,wmora@postobon.com.co,efzapata@postobon.com.co")</f>
        <v>wmazorra@postobon.com.co,aprmttoyu@postobon.com.co,aprmyu@postobon.com.co,wmora@postobon.com.co,efzapata@postobon.com.co</v>
      </c>
      <c r="Y1421" s="5" t="str">
        <f ca="1">IFERROR(__xludf.DUMMYFUNCTION("""COMPUTED_VALUE"""),"wmazorra@postobon.com.co")</f>
        <v>wmazorra@postobon.com.co</v>
      </c>
      <c r="Z1421" s="5" t="str">
        <f ca="1">IFERROR(__xludf.DUMMYFUNCTION("""COMPUTED_VALUE"""),"FVhd4ziAQCq5jGtVLaMnZA")</f>
        <v>FVhd4ziAQCq5jGtVLaMnZA</v>
      </c>
      <c r="AA1421" s="5"/>
      <c r="AB1421" s="5"/>
      <c r="AC1421" s="5"/>
      <c r="AD1421" s="5">
        <f ca="1">IFERROR(__xludf.DUMMYFUNCTION("""COMPUTED_VALUE"""),78)</f>
        <v>78</v>
      </c>
      <c r="AE1421" s="5">
        <f ca="1">IFERROR(__xludf.DUMMYFUNCTION("""COMPUTED_VALUE"""),77)</f>
        <v>77</v>
      </c>
      <c r="AF1421" s="5" t="b">
        <f ca="1">IFERROR(__xludf.DUMMYFUNCTION("""COMPUTED_VALUE"""),FALSE)</f>
        <v>0</v>
      </c>
      <c r="AG1421" s="5" t="str">
        <f ca="1">IFERROR(__xludf.DUMMYFUNCTION("""COMPUTED_VALUE"""),"INSPECCIONES REALIZADAS")</f>
        <v>INSPECCIONES REALIZADAS</v>
      </c>
      <c r="AH1421" s="5"/>
    </row>
    <row r="1422" spans="1:34">
      <c r="A1422" s="5" t="str">
        <f ca="1">IFERROR(__xludf.DUMMYFUNCTION("""COMPUTED_VALUE"""),"EQUIPOS PARA SERVICIOS INDUSTRIALES")</f>
        <v>EQUIPOS PARA SERVICIOS INDUSTRIALES</v>
      </c>
      <c r="B1422" s="5">
        <f ca="1">IFERROR(__xludf.DUMMYFUNCTION("""COMPUTED_VALUE"""),638555)</f>
        <v>638555</v>
      </c>
      <c r="C1422" s="5" t="str">
        <f ca="1">IFERROR(__xludf.DUMMYFUNCTION("""COMPUTED_VALUE"""),"CONDENSADOR EVAPORATIVO")</f>
        <v>CONDENSADOR EVAPORATIVO</v>
      </c>
      <c r="D1422" s="5">
        <f ca="1">IFERROR(__xludf.DUMMYFUNCTION("""COMPUTED_VALUE"""),13247490)</f>
        <v>13247490</v>
      </c>
      <c r="E1422" s="5" t="str">
        <f ca="1">IFERROR(__xludf.DUMMYFUNCTION("""COMPUTED_VALUE"""),"INSPECCION SEMANAL CONDENSADOR EVAPORATI")</f>
        <v>INSPECCION SEMANAL CONDENSADOR EVAPORATI</v>
      </c>
      <c r="F1422" s="5" t="str">
        <f ca="1">IFERROR(__xludf.DUMMYFUNCTION("""COMPUTED_VALUE"""),"Revisión y calibración de manómetros (Sem-Sep-Feb)")</f>
        <v>Revisión y calibración de manómetros (Sem-Sep-Feb)</v>
      </c>
      <c r="G1422" s="5" t="b">
        <f ca="1">IFERROR(__xludf.DUMMYFUNCTION("""COMPUTED_VALUE"""),TRUE)</f>
        <v>1</v>
      </c>
      <c r="H1422" s="5"/>
      <c r="I1422" s="5"/>
      <c r="J1422" s="5">
        <f ca="1">IFERROR(__xludf.DUMMYFUNCTION("""COMPUTED_VALUE"""),13247490)</f>
        <v>13247490</v>
      </c>
      <c r="K1422" s="5"/>
      <c r="L1422" s="18">
        <f ca="1">IFERROR(__xludf.DUMMYFUNCTION("""COMPUTED_VALUE"""),45324)</f>
        <v>45324</v>
      </c>
      <c r="M1422" s="18">
        <f ca="1">IFERROR(__xludf.DUMMYFUNCTION("""COMPUTED_VALUE"""),45324)</f>
        <v>45324</v>
      </c>
      <c r="N1422" s="5" t="str">
        <f ca="1">IFERROR(__xludf.DUMMYFUNCTION("""COMPUTED_VALUE"""),"Henao William")</f>
        <v>Henao William</v>
      </c>
      <c r="O1422" s="2">
        <f ca="1">IFERROR(__xludf.DUMMYFUNCTION("""COMPUTED_VALUE"""),0.007142857)</f>
        <v>7.1428569999999999E-3</v>
      </c>
      <c r="P1422" s="5">
        <f ca="1">IFERROR(__xludf.DUMMYFUNCTION("""COMPUTED_VALUE"""),20009827)</f>
        <v>20009827</v>
      </c>
      <c r="Q1422" s="5" t="str">
        <f ca="1">IFERROR(__xludf.DUMMYFUNCTION("""COMPUTED_VALUE"""),"2gZE14pVtzg")</f>
        <v>2gZE14pVtzg</v>
      </c>
      <c r="R1422" s="5">
        <f ca="1">IFERROR(__xludf.DUMMYFUNCTION("""COMPUTED_VALUE"""),410)</f>
        <v>410</v>
      </c>
      <c r="S1422" s="62">
        <f ca="1">IFERROR(__xludf.DUMMYFUNCTION("""COMPUTED_VALUE"""),0.007142857)</f>
        <v>7.1428569999999999E-3</v>
      </c>
      <c r="T1422" s="63" t="str">
        <f ca="1">IFERROR(__xludf.DUMMYFUNCTION("""COMPUTED_VALUE"""),"https://storage.googleapis.com/glide-prod.appspot.com/uploads-v2/ly7o78grxPaC6KdgvbpS/pub/3aRdSog0vUtuqPE8AJKD.png")</f>
        <v>https://storage.googleapis.com/glide-prod.appspot.com/uploads-v2/ly7o78grxPaC6KdgvbpS/pub/3aRdSog0vUtuqPE8AJKD.png</v>
      </c>
      <c r="U1422" s="5" t="str">
        <f ca="1">IFERROR(__xludf.DUMMYFUNCTION("""COMPUTED_VALUE"""),"EQUIPOS PARA SERVICIOS INDUSTRIALESCONDENSADOR EVAPORATIVO")</f>
        <v>EQUIPOS PARA SERVICIOS INDUSTRIALESCONDENSADOR EVAPORATIVO</v>
      </c>
      <c r="V1422" s="5"/>
      <c r="W1422" s="5" t="b">
        <f ca="1">IFERROR(__xludf.DUMMYFUNCTION("""COMPUTED_VALUE"""),TRUE)</f>
        <v>1</v>
      </c>
      <c r="X1422" s="5" t="str">
        <f ca="1">IFERROR(__xludf.DUMMYFUNCTION("""COMPUTED_VALUE"""),"wmazorra@postobon.com.co,aprmttoyu@postobon.com.co,aprmyu@postobon.com.co,wmora@postobon.com.co,efzapata@postobon.com.co")</f>
        <v>wmazorra@postobon.com.co,aprmttoyu@postobon.com.co,aprmyu@postobon.com.co,wmora@postobon.com.co,efzapata@postobon.com.co</v>
      </c>
      <c r="Y1422" s="5" t="str">
        <f ca="1">IFERROR(__xludf.DUMMYFUNCTION("""COMPUTED_VALUE"""),"wmazorra@postobon.com.co")</f>
        <v>wmazorra@postobon.com.co</v>
      </c>
      <c r="Z1422" s="5" t="str">
        <f ca="1">IFERROR(__xludf.DUMMYFUNCTION("""COMPUTED_VALUE"""),"Yj0HfqgcQQaErmqSMvxWqA")</f>
        <v>Yj0HfqgcQQaErmqSMvxWqA</v>
      </c>
      <c r="AA1422" s="5"/>
      <c r="AB1422" s="5"/>
      <c r="AC1422" s="5"/>
      <c r="AD1422" s="5">
        <f ca="1">IFERROR(__xludf.DUMMYFUNCTION("""COMPUTED_VALUE"""),78)</f>
        <v>78</v>
      </c>
      <c r="AE1422" s="5">
        <f ca="1">IFERROR(__xludf.DUMMYFUNCTION("""COMPUTED_VALUE"""),77)</f>
        <v>77</v>
      </c>
      <c r="AF1422" s="5" t="b">
        <f ca="1">IFERROR(__xludf.DUMMYFUNCTION("""COMPUTED_VALUE"""),FALSE)</f>
        <v>0</v>
      </c>
      <c r="AG1422" s="5" t="str">
        <f ca="1">IFERROR(__xludf.DUMMYFUNCTION("""COMPUTED_VALUE"""),"INSPECCIONES REALIZADAS")</f>
        <v>INSPECCIONES REALIZADAS</v>
      </c>
      <c r="AH1422" s="5"/>
    </row>
    <row r="1423" spans="1:34">
      <c r="A1423" s="5" t="str">
        <f ca="1">IFERROR(__xludf.DUMMYFUNCTION("""COMPUTED_VALUE"""),"EQUIPOS PARA SERVICIOS INDUSTRIALES")</f>
        <v>EQUIPOS PARA SERVICIOS INDUSTRIALES</v>
      </c>
      <c r="B1423" s="5">
        <f ca="1">IFERROR(__xludf.DUMMYFUNCTION("""COMPUTED_VALUE"""),638555)</f>
        <v>638555</v>
      </c>
      <c r="C1423" s="5" t="str">
        <f ca="1">IFERROR(__xludf.DUMMYFUNCTION("""COMPUTED_VALUE"""),"CONDENSADOR EVAPORATIVO")</f>
        <v>CONDENSADOR EVAPORATIVO</v>
      </c>
      <c r="D1423" s="5">
        <f ca="1">IFERROR(__xludf.DUMMYFUNCTION("""COMPUTED_VALUE"""),13247490)</f>
        <v>13247490</v>
      </c>
      <c r="E1423" s="5" t="str">
        <f ca="1">IFERROR(__xludf.DUMMYFUNCTION("""COMPUTED_VALUE"""),"INSPECCION SEMANAL CONDENSADOR EVAPORATI")</f>
        <v>INSPECCION SEMANAL CONDENSADOR EVAPORATI</v>
      </c>
      <c r="F1423" s="5" t="str">
        <f ca="1">IFERROR(__xludf.DUMMYFUNCTION("""COMPUTED_VALUE"""),"Revisión de las válvulas de drenaje de aceite y las válvulas de cierre rápido (sem-Sep-Feb)")</f>
        <v>Revisión de las válvulas de drenaje de aceite y las válvulas de cierre rápido (sem-Sep-Feb)</v>
      </c>
      <c r="G1423" s="5" t="b">
        <f ca="1">IFERROR(__xludf.DUMMYFUNCTION("""COMPUTED_VALUE"""),TRUE)</f>
        <v>1</v>
      </c>
      <c r="H1423" s="5"/>
      <c r="I1423" s="5"/>
      <c r="J1423" s="5">
        <f ca="1">IFERROR(__xludf.DUMMYFUNCTION("""COMPUTED_VALUE"""),13247490)</f>
        <v>13247490</v>
      </c>
      <c r="K1423" s="5"/>
      <c r="L1423" s="18">
        <f ca="1">IFERROR(__xludf.DUMMYFUNCTION("""COMPUTED_VALUE"""),45324)</f>
        <v>45324</v>
      </c>
      <c r="M1423" s="18">
        <f ca="1">IFERROR(__xludf.DUMMYFUNCTION("""COMPUTED_VALUE"""),45324)</f>
        <v>45324</v>
      </c>
      <c r="N1423" s="5" t="str">
        <f ca="1">IFERROR(__xludf.DUMMYFUNCTION("""COMPUTED_VALUE"""),"Henao William")</f>
        <v>Henao William</v>
      </c>
      <c r="O1423" s="2">
        <f ca="1">IFERROR(__xludf.DUMMYFUNCTION("""COMPUTED_VALUE"""),0.007142857)</f>
        <v>7.1428569999999999E-3</v>
      </c>
      <c r="P1423" s="5">
        <f ca="1">IFERROR(__xludf.DUMMYFUNCTION("""COMPUTED_VALUE"""),20009827)</f>
        <v>20009827</v>
      </c>
      <c r="Q1423" s="5" t="str">
        <f ca="1">IFERROR(__xludf.DUMMYFUNCTION("""COMPUTED_VALUE"""),"9g_fJf9P-HI")</f>
        <v>9g_fJf9P-HI</v>
      </c>
      <c r="R1423" s="5">
        <f ca="1">IFERROR(__xludf.DUMMYFUNCTION("""COMPUTED_VALUE"""),410)</f>
        <v>410</v>
      </c>
      <c r="S1423" s="62">
        <f ca="1">IFERROR(__xludf.DUMMYFUNCTION("""COMPUTED_VALUE"""),0.007142857)</f>
        <v>7.1428569999999999E-3</v>
      </c>
      <c r="T1423" s="63" t="str">
        <f ca="1">IFERROR(__xludf.DUMMYFUNCTION("""COMPUTED_VALUE"""),"https://storage.googleapis.com/glide-prod.appspot.com/uploads-v2/ly7o78grxPaC6KdgvbpS/pub/3aRdSog0vUtuqPE8AJKD.png")</f>
        <v>https://storage.googleapis.com/glide-prod.appspot.com/uploads-v2/ly7o78grxPaC6KdgvbpS/pub/3aRdSog0vUtuqPE8AJKD.png</v>
      </c>
      <c r="U1423" s="5" t="str">
        <f ca="1">IFERROR(__xludf.DUMMYFUNCTION("""COMPUTED_VALUE"""),"EQUIPOS PARA SERVICIOS INDUSTRIALESCONDENSADOR EVAPORATIVO")</f>
        <v>EQUIPOS PARA SERVICIOS INDUSTRIALESCONDENSADOR EVAPORATIVO</v>
      </c>
      <c r="V1423" s="5"/>
      <c r="W1423" s="5" t="b">
        <f ca="1">IFERROR(__xludf.DUMMYFUNCTION("""COMPUTED_VALUE"""),TRUE)</f>
        <v>1</v>
      </c>
      <c r="X1423" s="5" t="str">
        <f ca="1">IFERROR(__xludf.DUMMYFUNCTION("""COMPUTED_VALUE"""),"wmazorra@postobon.com.co,aprmttoyu@postobon.com.co,aprmyu@postobon.com.co,wmora@postobon.com.co,efzapata@postobon.com.co")</f>
        <v>wmazorra@postobon.com.co,aprmttoyu@postobon.com.co,aprmyu@postobon.com.co,wmora@postobon.com.co,efzapata@postobon.com.co</v>
      </c>
      <c r="Y1423" s="5" t="str">
        <f ca="1">IFERROR(__xludf.DUMMYFUNCTION("""COMPUTED_VALUE"""),"wmazorra@postobon.com.co")</f>
        <v>wmazorra@postobon.com.co</v>
      </c>
      <c r="Z1423" s="5" t="str">
        <f ca="1">IFERROR(__xludf.DUMMYFUNCTION("""COMPUTED_VALUE"""),"bRMGWxm0QyywgNNciZKzbg")</f>
        <v>bRMGWxm0QyywgNNciZKzbg</v>
      </c>
      <c r="AA1423" s="5"/>
      <c r="AB1423" s="5"/>
      <c r="AC1423" s="5"/>
      <c r="AD1423" s="5">
        <f ca="1">IFERROR(__xludf.DUMMYFUNCTION("""COMPUTED_VALUE"""),78)</f>
        <v>78</v>
      </c>
      <c r="AE1423" s="5">
        <f ca="1">IFERROR(__xludf.DUMMYFUNCTION("""COMPUTED_VALUE"""),77)</f>
        <v>77</v>
      </c>
      <c r="AF1423" s="5" t="b">
        <f ca="1">IFERROR(__xludf.DUMMYFUNCTION("""COMPUTED_VALUE"""),FALSE)</f>
        <v>0</v>
      </c>
      <c r="AG1423" s="5" t="str">
        <f ca="1">IFERROR(__xludf.DUMMYFUNCTION("""COMPUTED_VALUE"""),"INSPECCIONES REALIZADAS")</f>
        <v>INSPECCIONES REALIZADAS</v>
      </c>
      <c r="AH1423" s="5"/>
    </row>
    <row r="1424" spans="1:34">
      <c r="A1424" s="5" t="str">
        <f ca="1">IFERROR(__xludf.DUMMYFUNCTION("""COMPUTED_VALUE"""),"EQUIPOS PARA SERVICIOS INDUSTRIALES")</f>
        <v>EQUIPOS PARA SERVICIOS INDUSTRIALES</v>
      </c>
      <c r="B1424" s="5">
        <f ca="1">IFERROR(__xludf.DUMMYFUNCTION("""COMPUTED_VALUE"""),638555)</f>
        <v>638555</v>
      </c>
      <c r="C1424" s="5" t="str">
        <f ca="1">IFERROR(__xludf.DUMMYFUNCTION("""COMPUTED_VALUE"""),"CONDENSADOR EVAPORATIVO")</f>
        <v>CONDENSADOR EVAPORATIVO</v>
      </c>
      <c r="D1424" s="5">
        <f ca="1">IFERROR(__xludf.DUMMYFUNCTION("""COMPUTED_VALUE"""),13247490)</f>
        <v>13247490</v>
      </c>
      <c r="E1424" s="5" t="str">
        <f ca="1">IFERROR(__xludf.DUMMYFUNCTION("""COMPUTED_VALUE"""),"INSPECCION SEMANAL CONDENSADOR EVAPORATI")</f>
        <v>INSPECCION SEMANAL CONDENSADOR EVAPORATI</v>
      </c>
      <c r="F1424" s="5" t="str">
        <f ca="1">IFERROR(__xludf.DUMMYFUNCTION("""COMPUTED_VALUE"""),"Revisión de la integridad de los equipos y accesorios, oxidación y estado general (A-Jun)")</f>
        <v>Revisión de la integridad de los equipos y accesorios, oxidación y estado general (A-Jun)</v>
      </c>
      <c r="G1424" s="5" t="b">
        <f ca="1">IFERROR(__xludf.DUMMYFUNCTION("""COMPUTED_VALUE"""),TRUE)</f>
        <v>1</v>
      </c>
      <c r="H1424" s="5"/>
      <c r="I1424" s="5"/>
      <c r="J1424" s="5">
        <f ca="1">IFERROR(__xludf.DUMMYFUNCTION("""COMPUTED_VALUE"""),13247490)</f>
        <v>13247490</v>
      </c>
      <c r="K1424" s="5"/>
      <c r="L1424" s="18">
        <f ca="1">IFERROR(__xludf.DUMMYFUNCTION("""COMPUTED_VALUE"""),45324)</f>
        <v>45324</v>
      </c>
      <c r="M1424" s="18">
        <f ca="1">IFERROR(__xludf.DUMMYFUNCTION("""COMPUTED_VALUE"""),45324)</f>
        <v>45324</v>
      </c>
      <c r="N1424" s="5" t="str">
        <f ca="1">IFERROR(__xludf.DUMMYFUNCTION("""COMPUTED_VALUE"""),"Henao William")</f>
        <v>Henao William</v>
      </c>
      <c r="O1424" s="2">
        <f ca="1">IFERROR(__xludf.DUMMYFUNCTION("""COMPUTED_VALUE"""),0.007142857)</f>
        <v>7.1428569999999999E-3</v>
      </c>
      <c r="P1424" s="5">
        <f ca="1">IFERROR(__xludf.DUMMYFUNCTION("""COMPUTED_VALUE"""),20009827)</f>
        <v>20009827</v>
      </c>
      <c r="Q1424" s="5" t="str">
        <f ca="1">IFERROR(__xludf.DUMMYFUNCTION("""COMPUTED_VALUE"""),"P8zxrYYHyeM")</f>
        <v>P8zxrYYHyeM</v>
      </c>
      <c r="R1424" s="5">
        <f ca="1">IFERROR(__xludf.DUMMYFUNCTION("""COMPUTED_VALUE"""),410)</f>
        <v>410</v>
      </c>
      <c r="S1424" s="62">
        <f ca="1">IFERROR(__xludf.DUMMYFUNCTION("""COMPUTED_VALUE"""),0.007142857)</f>
        <v>7.1428569999999999E-3</v>
      </c>
      <c r="T1424" s="63" t="str">
        <f ca="1">IFERROR(__xludf.DUMMYFUNCTION("""COMPUTED_VALUE"""),"https://storage.googleapis.com/glide-prod.appspot.com/uploads-v2/ly7o78grxPaC6KdgvbpS/pub/3aRdSog0vUtuqPE8AJKD.png")</f>
        <v>https://storage.googleapis.com/glide-prod.appspot.com/uploads-v2/ly7o78grxPaC6KdgvbpS/pub/3aRdSog0vUtuqPE8AJKD.png</v>
      </c>
      <c r="U1424" s="5" t="str">
        <f ca="1">IFERROR(__xludf.DUMMYFUNCTION("""COMPUTED_VALUE"""),"EQUIPOS PARA SERVICIOS INDUSTRIALESCONDENSADOR EVAPORATIVO")</f>
        <v>EQUIPOS PARA SERVICIOS INDUSTRIALESCONDENSADOR EVAPORATIVO</v>
      </c>
      <c r="V1424" s="5"/>
      <c r="W1424" s="5" t="b">
        <f ca="1">IFERROR(__xludf.DUMMYFUNCTION("""COMPUTED_VALUE"""),TRUE)</f>
        <v>1</v>
      </c>
      <c r="X1424" s="5" t="str">
        <f ca="1">IFERROR(__xludf.DUMMYFUNCTION("""COMPUTED_VALUE"""),"wmazorra@postobon.com.co,aprmttoyu@postobon.com.co,aprmyu@postobon.com.co,wmora@postobon.com.co,efzapata@postobon.com.co")</f>
        <v>wmazorra@postobon.com.co,aprmttoyu@postobon.com.co,aprmyu@postobon.com.co,wmora@postobon.com.co,efzapata@postobon.com.co</v>
      </c>
      <c r="Y1424" s="5" t="str">
        <f ca="1">IFERROR(__xludf.DUMMYFUNCTION("""COMPUTED_VALUE"""),"wmazorra@postobon.com.co")</f>
        <v>wmazorra@postobon.com.co</v>
      </c>
      <c r="Z1424" s="5" t="str">
        <f ca="1">IFERROR(__xludf.DUMMYFUNCTION("""COMPUTED_VALUE"""),"cuVIrG7XSTev53AqPwIpAA")</f>
        <v>cuVIrG7XSTev53AqPwIpAA</v>
      </c>
      <c r="AA1424" s="5"/>
      <c r="AB1424" s="5"/>
      <c r="AC1424" s="5"/>
      <c r="AD1424" s="5">
        <f ca="1">IFERROR(__xludf.DUMMYFUNCTION("""COMPUTED_VALUE"""),78)</f>
        <v>78</v>
      </c>
      <c r="AE1424" s="5">
        <f ca="1">IFERROR(__xludf.DUMMYFUNCTION("""COMPUTED_VALUE"""),77)</f>
        <v>77</v>
      </c>
      <c r="AF1424" s="5" t="b">
        <f ca="1">IFERROR(__xludf.DUMMYFUNCTION("""COMPUTED_VALUE"""),FALSE)</f>
        <v>0</v>
      </c>
      <c r="AG1424" s="5" t="str">
        <f ca="1">IFERROR(__xludf.DUMMYFUNCTION("""COMPUTED_VALUE"""),"INSPECCIONES REALIZADAS")</f>
        <v>INSPECCIONES REALIZADAS</v>
      </c>
      <c r="AH1424" s="5"/>
    </row>
    <row r="1425" spans="1:34">
      <c r="A1425" s="5" t="str">
        <f ca="1">IFERROR(__xludf.DUMMYFUNCTION("""COMPUTED_VALUE"""),"EQUIPOS PARA SERVICIOS INDUSTRIALES")</f>
        <v>EQUIPOS PARA SERVICIOS INDUSTRIALES</v>
      </c>
      <c r="B1425" s="5">
        <f ca="1">IFERROR(__xludf.DUMMYFUNCTION("""COMPUTED_VALUE"""),638555)</f>
        <v>638555</v>
      </c>
      <c r="C1425" s="5" t="str">
        <f ca="1">IFERROR(__xludf.DUMMYFUNCTION("""COMPUTED_VALUE"""),"CONDENSADOR EVAPORATIVO")</f>
        <v>CONDENSADOR EVAPORATIVO</v>
      </c>
      <c r="D1425" s="5">
        <f ca="1">IFERROR(__xludf.DUMMYFUNCTION("""COMPUTED_VALUE"""),13247490)</f>
        <v>13247490</v>
      </c>
      <c r="E1425" s="5" t="str">
        <f ca="1">IFERROR(__xludf.DUMMYFUNCTION("""COMPUTED_VALUE"""),"INSPECCION SEMANAL CONDENSADOR EVAPORATI")</f>
        <v>INSPECCION SEMANAL CONDENSADOR EVAPORATI</v>
      </c>
      <c r="F1425" s="5" t="str">
        <f ca="1">IFERROR(__xludf.DUMMYFUNCTION("""COMPUTED_VALUE"""),"VERIFICACION FUNCION FLOTADORES TRAMPAS AMONIACO GAS")</f>
        <v>VERIFICACION FUNCION FLOTADORES TRAMPAS AMONIACO GAS</v>
      </c>
      <c r="G1425" s="5" t="b">
        <f ca="1">IFERROR(__xludf.DUMMYFUNCTION("""COMPUTED_VALUE"""),TRUE)</f>
        <v>1</v>
      </c>
      <c r="H1425" s="5"/>
      <c r="I1425" s="5"/>
      <c r="J1425" s="5">
        <f ca="1">IFERROR(__xludf.DUMMYFUNCTION("""COMPUTED_VALUE"""),13247490)</f>
        <v>13247490</v>
      </c>
      <c r="K1425" s="5"/>
      <c r="L1425" s="18">
        <f ca="1">IFERROR(__xludf.DUMMYFUNCTION("""COMPUTED_VALUE"""),45324)</f>
        <v>45324</v>
      </c>
      <c r="M1425" s="18">
        <f ca="1">IFERROR(__xludf.DUMMYFUNCTION("""COMPUTED_VALUE"""),45324)</f>
        <v>45324</v>
      </c>
      <c r="N1425" s="5" t="str">
        <f ca="1">IFERROR(__xludf.DUMMYFUNCTION("""COMPUTED_VALUE"""),"Henao William")</f>
        <v>Henao William</v>
      </c>
      <c r="O1425" s="2">
        <f ca="1">IFERROR(__xludf.DUMMYFUNCTION("""COMPUTED_VALUE"""),0.007142857)</f>
        <v>7.1428569999999999E-3</v>
      </c>
      <c r="P1425" s="5">
        <f ca="1">IFERROR(__xludf.DUMMYFUNCTION("""COMPUTED_VALUE"""),20009827)</f>
        <v>20009827</v>
      </c>
      <c r="Q1425" s="5" t="str">
        <f ca="1">IFERROR(__xludf.DUMMYFUNCTION("""COMPUTED_VALUE"""),"2grW8c6SAjE")</f>
        <v>2grW8c6SAjE</v>
      </c>
      <c r="R1425" s="5">
        <f ca="1">IFERROR(__xludf.DUMMYFUNCTION("""COMPUTED_VALUE"""),410)</f>
        <v>410</v>
      </c>
      <c r="S1425" s="62">
        <f ca="1">IFERROR(__xludf.DUMMYFUNCTION("""COMPUTED_VALUE"""),0.007142857)</f>
        <v>7.1428569999999999E-3</v>
      </c>
      <c r="T1425" s="63" t="str">
        <f ca="1">IFERROR(__xludf.DUMMYFUNCTION("""COMPUTED_VALUE"""),"https://storage.googleapis.com/glide-prod.appspot.com/uploads-v2/ly7o78grxPaC6KdgvbpS/pub/3aRdSog0vUtuqPE8AJKD.png")</f>
        <v>https://storage.googleapis.com/glide-prod.appspot.com/uploads-v2/ly7o78grxPaC6KdgvbpS/pub/3aRdSog0vUtuqPE8AJKD.png</v>
      </c>
      <c r="U1425" s="5" t="str">
        <f ca="1">IFERROR(__xludf.DUMMYFUNCTION("""COMPUTED_VALUE"""),"EQUIPOS PARA SERVICIOS INDUSTRIALESCONDENSADOR EVAPORATIVO")</f>
        <v>EQUIPOS PARA SERVICIOS INDUSTRIALESCONDENSADOR EVAPORATIVO</v>
      </c>
      <c r="V1425" s="5"/>
      <c r="W1425" s="5" t="b">
        <f ca="1">IFERROR(__xludf.DUMMYFUNCTION("""COMPUTED_VALUE"""),TRUE)</f>
        <v>1</v>
      </c>
      <c r="X1425" s="5" t="str">
        <f ca="1">IFERROR(__xludf.DUMMYFUNCTION("""COMPUTED_VALUE"""),"wmazorra@postobon.com.co,aprmttoyu@postobon.com.co,aprmyu@postobon.com.co,wmora@postobon.com.co,efzapata@postobon.com.co")</f>
        <v>wmazorra@postobon.com.co,aprmttoyu@postobon.com.co,aprmyu@postobon.com.co,wmora@postobon.com.co,efzapata@postobon.com.co</v>
      </c>
      <c r="Y1425" s="5" t="str">
        <f ca="1">IFERROR(__xludf.DUMMYFUNCTION("""COMPUTED_VALUE"""),"wmazorra@postobon.com.co")</f>
        <v>wmazorra@postobon.com.co</v>
      </c>
      <c r="Z1425" s="5" t="str">
        <f ca="1">IFERROR(__xludf.DUMMYFUNCTION("""COMPUTED_VALUE"""),"xA2cuMuVSjOqyHUo9i.J0A")</f>
        <v>xA2cuMuVSjOqyHUo9i.J0A</v>
      </c>
      <c r="AA1425" s="5"/>
      <c r="AB1425" s="5"/>
      <c r="AC1425" s="5"/>
      <c r="AD1425" s="5">
        <f ca="1">IFERROR(__xludf.DUMMYFUNCTION("""COMPUTED_VALUE"""),78)</f>
        <v>78</v>
      </c>
      <c r="AE1425" s="5">
        <f ca="1">IFERROR(__xludf.DUMMYFUNCTION("""COMPUTED_VALUE"""),77)</f>
        <v>77</v>
      </c>
      <c r="AF1425" s="5" t="b">
        <f ca="1">IFERROR(__xludf.DUMMYFUNCTION("""COMPUTED_VALUE"""),FALSE)</f>
        <v>0</v>
      </c>
      <c r="AG1425" s="5" t="str">
        <f ca="1">IFERROR(__xludf.DUMMYFUNCTION("""COMPUTED_VALUE"""),"INSPECCIONES REALIZADAS")</f>
        <v>INSPECCIONES REALIZADAS</v>
      </c>
      <c r="AH1425" s="5"/>
    </row>
    <row r="1426" spans="1:34">
      <c r="A1426" s="5" t="str">
        <f ca="1">IFERROR(__xludf.DUMMYFUNCTION("""COMPUTED_VALUE"""),"EQUIPOS PARA SERVICIOS INDUSTRIALES")</f>
        <v>EQUIPOS PARA SERVICIOS INDUSTRIALES</v>
      </c>
      <c r="B1426" s="5">
        <f ca="1">IFERROR(__xludf.DUMMYFUNCTION("""COMPUTED_VALUE"""),638555)</f>
        <v>638555</v>
      </c>
      <c r="C1426" s="5" t="str">
        <f ca="1">IFERROR(__xludf.DUMMYFUNCTION("""COMPUTED_VALUE"""),"CONDENSADOR EVAPORATIVO")</f>
        <v>CONDENSADOR EVAPORATIVO</v>
      </c>
      <c r="D1426" s="5">
        <f ca="1">IFERROR(__xludf.DUMMYFUNCTION("""COMPUTED_VALUE"""),13247490)</f>
        <v>13247490</v>
      </c>
      <c r="E1426" s="5" t="str">
        <f ca="1">IFERROR(__xludf.DUMMYFUNCTION("""COMPUTED_VALUE"""),"INSPECCION SEMANAL CONDENSADOR EVAPORATI")</f>
        <v>INSPECCION SEMANAL CONDENSADOR EVAPORATI</v>
      </c>
      <c r="F1426" s="5" t="str">
        <f ca="1">IFERROR(__xludf.DUMMYFUNCTION("""COMPUTED_VALUE"""),"VERIFICACION FUNCION FLOTADORES TRAMPAS AMONIACO L8")</f>
        <v>VERIFICACION FUNCION FLOTADORES TRAMPAS AMONIACO L8</v>
      </c>
      <c r="G1426" s="5" t="b">
        <f ca="1">IFERROR(__xludf.DUMMYFUNCTION("""COMPUTED_VALUE"""),TRUE)</f>
        <v>1</v>
      </c>
      <c r="H1426" s="5"/>
      <c r="I1426" s="5"/>
      <c r="J1426" s="5">
        <f ca="1">IFERROR(__xludf.DUMMYFUNCTION("""COMPUTED_VALUE"""),13247490)</f>
        <v>13247490</v>
      </c>
      <c r="K1426" s="5"/>
      <c r="L1426" s="18">
        <f ca="1">IFERROR(__xludf.DUMMYFUNCTION("""COMPUTED_VALUE"""),45324)</f>
        <v>45324</v>
      </c>
      <c r="M1426" s="18">
        <f ca="1">IFERROR(__xludf.DUMMYFUNCTION("""COMPUTED_VALUE"""),45324)</f>
        <v>45324</v>
      </c>
      <c r="N1426" s="5" t="str">
        <f ca="1">IFERROR(__xludf.DUMMYFUNCTION("""COMPUTED_VALUE"""),"Henao William")</f>
        <v>Henao William</v>
      </c>
      <c r="O1426" s="2">
        <f ca="1">IFERROR(__xludf.DUMMYFUNCTION("""COMPUTED_VALUE"""),0.007142857)</f>
        <v>7.1428569999999999E-3</v>
      </c>
      <c r="P1426" s="5">
        <f ca="1">IFERROR(__xludf.DUMMYFUNCTION("""COMPUTED_VALUE"""),20009827)</f>
        <v>20009827</v>
      </c>
      <c r="Q1426" s="5" t="str">
        <f ca="1">IFERROR(__xludf.DUMMYFUNCTION("""COMPUTED_VALUE"""),"KH_yRenZXac")</f>
        <v>KH_yRenZXac</v>
      </c>
      <c r="R1426" s="5">
        <f ca="1">IFERROR(__xludf.DUMMYFUNCTION("""COMPUTED_VALUE"""),410)</f>
        <v>410</v>
      </c>
      <c r="S1426" s="62">
        <f ca="1">IFERROR(__xludf.DUMMYFUNCTION("""COMPUTED_VALUE"""),0.007142857)</f>
        <v>7.1428569999999999E-3</v>
      </c>
      <c r="T1426" s="63" t="str">
        <f ca="1">IFERROR(__xludf.DUMMYFUNCTION("""COMPUTED_VALUE"""),"https://storage.googleapis.com/glide-prod.appspot.com/uploads-v2/ly7o78grxPaC6KdgvbpS/pub/3aRdSog0vUtuqPE8AJKD.png")</f>
        <v>https://storage.googleapis.com/glide-prod.appspot.com/uploads-v2/ly7o78grxPaC6KdgvbpS/pub/3aRdSog0vUtuqPE8AJKD.png</v>
      </c>
      <c r="U1426" s="5" t="str">
        <f ca="1">IFERROR(__xludf.DUMMYFUNCTION("""COMPUTED_VALUE"""),"EQUIPOS PARA SERVICIOS INDUSTRIALESCONDENSADOR EVAPORATIVO")</f>
        <v>EQUIPOS PARA SERVICIOS INDUSTRIALESCONDENSADOR EVAPORATIVO</v>
      </c>
      <c r="V1426" s="5"/>
      <c r="W1426" s="5" t="b">
        <f ca="1">IFERROR(__xludf.DUMMYFUNCTION("""COMPUTED_VALUE"""),TRUE)</f>
        <v>1</v>
      </c>
      <c r="X1426" s="5" t="str">
        <f ca="1">IFERROR(__xludf.DUMMYFUNCTION("""COMPUTED_VALUE"""),"wmazorra@postobon.com.co,aprmttoyu@postobon.com.co,aprmyu@postobon.com.co,wmora@postobon.com.co,efzapata@postobon.com.co")</f>
        <v>wmazorra@postobon.com.co,aprmttoyu@postobon.com.co,aprmyu@postobon.com.co,wmora@postobon.com.co,efzapata@postobon.com.co</v>
      </c>
      <c r="Y1426" s="5" t="str">
        <f ca="1">IFERROR(__xludf.DUMMYFUNCTION("""COMPUTED_VALUE"""),"wmazorra@postobon.com.co")</f>
        <v>wmazorra@postobon.com.co</v>
      </c>
      <c r="Z1426" s="5" t="str">
        <f ca="1">IFERROR(__xludf.DUMMYFUNCTION("""COMPUTED_VALUE"""),"AcEqSiFASqK.N-ERjygzFQ")</f>
        <v>AcEqSiFASqK.N-ERjygzFQ</v>
      </c>
      <c r="AA1426" s="5"/>
      <c r="AB1426" s="5"/>
      <c r="AC1426" s="5"/>
      <c r="AD1426" s="5">
        <f ca="1">IFERROR(__xludf.DUMMYFUNCTION("""COMPUTED_VALUE"""),78)</f>
        <v>78</v>
      </c>
      <c r="AE1426" s="5">
        <f ca="1">IFERROR(__xludf.DUMMYFUNCTION("""COMPUTED_VALUE"""),77)</f>
        <v>77</v>
      </c>
      <c r="AF1426" s="5" t="b">
        <f ca="1">IFERROR(__xludf.DUMMYFUNCTION("""COMPUTED_VALUE"""),FALSE)</f>
        <v>0</v>
      </c>
      <c r="AG1426" s="5" t="str">
        <f ca="1">IFERROR(__xludf.DUMMYFUNCTION("""COMPUTED_VALUE"""),"INSPECCIONES REALIZADAS")</f>
        <v>INSPECCIONES REALIZADAS</v>
      </c>
      <c r="AH1426" s="5"/>
    </row>
    <row r="1427" spans="1:34">
      <c r="A1427" s="5" t="str">
        <f ca="1">IFERROR(__xludf.DUMMYFUNCTION("""COMPUTED_VALUE"""),"EQUIPOS PARA SERVICIOS INDUSTRIALES")</f>
        <v>EQUIPOS PARA SERVICIOS INDUSTRIALES</v>
      </c>
      <c r="B1427" s="5">
        <f ca="1">IFERROR(__xludf.DUMMYFUNCTION("""COMPUTED_VALUE"""),638555)</f>
        <v>638555</v>
      </c>
      <c r="C1427" s="5" t="str">
        <f ca="1">IFERROR(__xludf.DUMMYFUNCTION("""COMPUTED_VALUE"""),"CONDENSADOR EVAPORATIVO")</f>
        <v>CONDENSADOR EVAPORATIVO</v>
      </c>
      <c r="D1427" s="5">
        <f ca="1">IFERROR(__xludf.DUMMYFUNCTION("""COMPUTED_VALUE"""),13247490)</f>
        <v>13247490</v>
      </c>
      <c r="E1427" s="5" t="str">
        <f ca="1">IFERROR(__xludf.DUMMYFUNCTION("""COMPUTED_VALUE"""),"INSPECCION SEMANAL CONDENSADOR EVAPORATI")</f>
        <v>INSPECCION SEMANAL CONDENSADOR EVAPORATI</v>
      </c>
      <c r="F1427" s="5" t="str">
        <f ca="1">IFERROR(__xludf.DUMMYFUNCTION("""COMPUTED_VALUE"""),"VERIFICACION FUNCION FLOTADORES TRAMPAS AMONIACO L10")</f>
        <v>VERIFICACION FUNCION FLOTADORES TRAMPAS AMONIACO L10</v>
      </c>
      <c r="G1427" s="5" t="b">
        <f ca="1">IFERROR(__xludf.DUMMYFUNCTION("""COMPUTED_VALUE"""),TRUE)</f>
        <v>1</v>
      </c>
      <c r="H1427" s="5"/>
      <c r="I1427" s="5"/>
      <c r="J1427" s="5">
        <f ca="1">IFERROR(__xludf.DUMMYFUNCTION("""COMPUTED_VALUE"""),13247490)</f>
        <v>13247490</v>
      </c>
      <c r="K1427" s="5"/>
      <c r="L1427" s="18">
        <f ca="1">IFERROR(__xludf.DUMMYFUNCTION("""COMPUTED_VALUE"""),45324)</f>
        <v>45324</v>
      </c>
      <c r="M1427" s="18">
        <f ca="1">IFERROR(__xludf.DUMMYFUNCTION("""COMPUTED_VALUE"""),45324)</f>
        <v>45324</v>
      </c>
      <c r="N1427" s="5" t="str">
        <f ca="1">IFERROR(__xludf.DUMMYFUNCTION("""COMPUTED_VALUE"""),"Henao William")</f>
        <v>Henao William</v>
      </c>
      <c r="O1427" s="2">
        <f ca="1">IFERROR(__xludf.DUMMYFUNCTION("""COMPUTED_VALUE"""),0.007142857)</f>
        <v>7.1428569999999999E-3</v>
      </c>
      <c r="P1427" s="5">
        <f ca="1">IFERROR(__xludf.DUMMYFUNCTION("""COMPUTED_VALUE"""),20009827)</f>
        <v>20009827</v>
      </c>
      <c r="Q1427" s="5" t="str">
        <f ca="1">IFERROR(__xludf.DUMMYFUNCTION("""COMPUTED_VALUE"""),"OpIoFIYp9yU")</f>
        <v>OpIoFIYp9yU</v>
      </c>
      <c r="R1427" s="5">
        <f ca="1">IFERROR(__xludf.DUMMYFUNCTION("""COMPUTED_VALUE"""),410)</f>
        <v>410</v>
      </c>
      <c r="S1427" s="62">
        <f ca="1">IFERROR(__xludf.DUMMYFUNCTION("""COMPUTED_VALUE"""),0.007142857)</f>
        <v>7.1428569999999999E-3</v>
      </c>
      <c r="T1427" s="63" t="str">
        <f ca="1">IFERROR(__xludf.DUMMYFUNCTION("""COMPUTED_VALUE"""),"https://storage.googleapis.com/glide-prod.appspot.com/uploads-v2/ly7o78grxPaC6KdgvbpS/pub/3aRdSog0vUtuqPE8AJKD.png")</f>
        <v>https://storage.googleapis.com/glide-prod.appspot.com/uploads-v2/ly7o78grxPaC6KdgvbpS/pub/3aRdSog0vUtuqPE8AJKD.png</v>
      </c>
      <c r="U1427" s="5" t="str">
        <f ca="1">IFERROR(__xludf.DUMMYFUNCTION("""COMPUTED_VALUE"""),"EQUIPOS PARA SERVICIOS INDUSTRIALESCONDENSADOR EVAPORATIVO")</f>
        <v>EQUIPOS PARA SERVICIOS INDUSTRIALESCONDENSADOR EVAPORATIVO</v>
      </c>
      <c r="V1427" s="5"/>
      <c r="W1427" s="5" t="b">
        <f ca="1">IFERROR(__xludf.DUMMYFUNCTION("""COMPUTED_VALUE"""),TRUE)</f>
        <v>1</v>
      </c>
      <c r="X1427" s="5" t="str">
        <f ca="1">IFERROR(__xludf.DUMMYFUNCTION("""COMPUTED_VALUE"""),"wmazorra@postobon.com.co,aprmttoyu@postobon.com.co,aprmyu@postobon.com.co,wmora@postobon.com.co,efzapata@postobon.com.co")</f>
        <v>wmazorra@postobon.com.co,aprmttoyu@postobon.com.co,aprmyu@postobon.com.co,wmora@postobon.com.co,efzapata@postobon.com.co</v>
      </c>
      <c r="Y1427" s="5" t="str">
        <f ca="1">IFERROR(__xludf.DUMMYFUNCTION("""COMPUTED_VALUE"""),"wmazorra@postobon.com.co")</f>
        <v>wmazorra@postobon.com.co</v>
      </c>
      <c r="Z1427" s="5" t="str">
        <f ca="1">IFERROR(__xludf.DUMMYFUNCTION("""COMPUTED_VALUE"""),"JOSJ6CpyTNiqdHwjXbsOiw")</f>
        <v>JOSJ6CpyTNiqdHwjXbsOiw</v>
      </c>
      <c r="AA1427" s="5"/>
      <c r="AB1427" s="5"/>
      <c r="AC1427" s="5"/>
      <c r="AD1427" s="5">
        <f ca="1">IFERROR(__xludf.DUMMYFUNCTION("""COMPUTED_VALUE"""),78)</f>
        <v>78</v>
      </c>
      <c r="AE1427" s="5">
        <f ca="1">IFERROR(__xludf.DUMMYFUNCTION("""COMPUTED_VALUE"""),77)</f>
        <v>77</v>
      </c>
      <c r="AF1427" s="5" t="b">
        <f ca="1">IFERROR(__xludf.DUMMYFUNCTION("""COMPUTED_VALUE"""),FALSE)</f>
        <v>0</v>
      </c>
      <c r="AG1427" s="5" t="str">
        <f ca="1">IFERROR(__xludf.DUMMYFUNCTION("""COMPUTED_VALUE"""),"INSPECCIONES REALIZADAS")</f>
        <v>INSPECCIONES REALIZADAS</v>
      </c>
      <c r="AH1427" s="5"/>
    </row>
    <row r="1428" spans="1:34">
      <c r="A1428" s="5" t="str">
        <f ca="1">IFERROR(__xludf.DUMMYFUNCTION("""COMPUTED_VALUE"""),"EQUIPOS PARA SERVICIOS INDUSTRIALES")</f>
        <v>EQUIPOS PARA SERVICIOS INDUSTRIALES</v>
      </c>
      <c r="B1428" s="5">
        <f ca="1">IFERROR(__xludf.DUMMYFUNCTION("""COMPUTED_VALUE"""),638555)</f>
        <v>638555</v>
      </c>
      <c r="C1428" s="5" t="str">
        <f ca="1">IFERROR(__xludf.DUMMYFUNCTION("""COMPUTED_VALUE"""),"CONDENSADOR EVAPORATIVO")</f>
        <v>CONDENSADOR EVAPORATIVO</v>
      </c>
      <c r="D1428" s="5">
        <f ca="1">IFERROR(__xludf.DUMMYFUNCTION("""COMPUTED_VALUE"""),13247490)</f>
        <v>13247490</v>
      </c>
      <c r="E1428" s="5" t="str">
        <f ca="1">IFERROR(__xludf.DUMMYFUNCTION("""COMPUTED_VALUE"""),"INSPECCION SEMANAL CONDENSADOR EVAPORATI")</f>
        <v>INSPECCION SEMANAL CONDENSADOR EVAPORATI</v>
      </c>
      <c r="F1428" s="5" t="str">
        <f ca="1">IFERROR(__xludf.DUMMYFUNCTION("""COMPUTED_VALUE"""),"PLAN MTTO MEC CONDENSADOR EVAP GASEOSA")</f>
        <v>PLAN MTTO MEC CONDENSADOR EVAP GASEOSA</v>
      </c>
      <c r="G1428" s="5" t="b">
        <f ca="1">IFERROR(__xludf.DUMMYFUNCTION("""COMPUTED_VALUE"""),TRUE)</f>
        <v>1</v>
      </c>
      <c r="H1428" s="5"/>
      <c r="I1428" s="5"/>
      <c r="J1428" s="5">
        <f ca="1">IFERROR(__xludf.DUMMYFUNCTION("""COMPUTED_VALUE"""),13247490)</f>
        <v>13247490</v>
      </c>
      <c r="K1428" s="5"/>
      <c r="L1428" s="18">
        <f ca="1">IFERROR(__xludf.DUMMYFUNCTION("""COMPUTED_VALUE"""),45324)</f>
        <v>45324</v>
      </c>
      <c r="M1428" s="18">
        <f ca="1">IFERROR(__xludf.DUMMYFUNCTION("""COMPUTED_VALUE"""),45324)</f>
        <v>45324</v>
      </c>
      <c r="N1428" s="5" t="str">
        <f ca="1">IFERROR(__xludf.DUMMYFUNCTION("""COMPUTED_VALUE"""),"Henao William")</f>
        <v>Henao William</v>
      </c>
      <c r="O1428" s="2">
        <f ca="1">IFERROR(__xludf.DUMMYFUNCTION("""COMPUTED_VALUE"""),0.007142857)</f>
        <v>7.1428569999999999E-3</v>
      </c>
      <c r="P1428" s="5">
        <f ca="1">IFERROR(__xludf.DUMMYFUNCTION("""COMPUTED_VALUE"""),20009827)</f>
        <v>20009827</v>
      </c>
      <c r="Q1428" s="5" t="str">
        <f ca="1">IFERROR(__xludf.DUMMYFUNCTION("""COMPUTED_VALUE"""),"OM1djifIcG0")</f>
        <v>OM1djifIcG0</v>
      </c>
      <c r="R1428" s="5">
        <f ca="1">IFERROR(__xludf.DUMMYFUNCTION("""COMPUTED_VALUE"""),410)</f>
        <v>410</v>
      </c>
      <c r="S1428" s="62">
        <f ca="1">IFERROR(__xludf.DUMMYFUNCTION("""COMPUTED_VALUE"""),0.007142857)</f>
        <v>7.1428569999999999E-3</v>
      </c>
      <c r="T1428" s="63" t="str">
        <f ca="1">IFERROR(__xludf.DUMMYFUNCTION("""COMPUTED_VALUE"""),"https://storage.googleapis.com/glide-prod.appspot.com/uploads-v2/ly7o78grxPaC6KdgvbpS/pub/3aRdSog0vUtuqPE8AJKD.png")</f>
        <v>https://storage.googleapis.com/glide-prod.appspot.com/uploads-v2/ly7o78grxPaC6KdgvbpS/pub/3aRdSog0vUtuqPE8AJKD.png</v>
      </c>
      <c r="U1428" s="5" t="str">
        <f ca="1">IFERROR(__xludf.DUMMYFUNCTION("""COMPUTED_VALUE"""),"EQUIPOS PARA SERVICIOS INDUSTRIALESCONDENSADOR EVAPORATIVO")</f>
        <v>EQUIPOS PARA SERVICIOS INDUSTRIALESCONDENSADOR EVAPORATIVO</v>
      </c>
      <c r="V1428" s="5"/>
      <c r="W1428" s="5" t="b">
        <f ca="1">IFERROR(__xludf.DUMMYFUNCTION("""COMPUTED_VALUE"""),TRUE)</f>
        <v>1</v>
      </c>
      <c r="X1428" s="5" t="str">
        <f ca="1">IFERROR(__xludf.DUMMYFUNCTION("""COMPUTED_VALUE"""),"wmazorra@postobon.com.co,aprmttoyu@postobon.com.co,aprmyu@postobon.com.co,wmora@postobon.com.co,efzapata@postobon.com.co")</f>
        <v>wmazorra@postobon.com.co,aprmttoyu@postobon.com.co,aprmyu@postobon.com.co,wmora@postobon.com.co,efzapata@postobon.com.co</v>
      </c>
      <c r="Y1428" s="5" t="str">
        <f ca="1">IFERROR(__xludf.DUMMYFUNCTION("""COMPUTED_VALUE"""),"wmazorra@postobon.com.co")</f>
        <v>wmazorra@postobon.com.co</v>
      </c>
      <c r="Z1428" s="5" t="str">
        <f ca="1">IFERROR(__xludf.DUMMYFUNCTION("""COMPUTED_VALUE"""),"A-2WjzDETueLv8HE3chYeg")</f>
        <v>A-2WjzDETueLv8HE3chYeg</v>
      </c>
      <c r="AA1428" s="5"/>
      <c r="AB1428" s="5"/>
      <c r="AC1428" s="5"/>
      <c r="AD1428" s="5">
        <f ca="1">IFERROR(__xludf.DUMMYFUNCTION("""COMPUTED_VALUE"""),78)</f>
        <v>78</v>
      </c>
      <c r="AE1428" s="5">
        <f ca="1">IFERROR(__xludf.DUMMYFUNCTION("""COMPUTED_VALUE"""),77)</f>
        <v>77</v>
      </c>
      <c r="AF1428" s="5" t="b">
        <f ca="1">IFERROR(__xludf.DUMMYFUNCTION("""COMPUTED_VALUE"""),FALSE)</f>
        <v>0</v>
      </c>
      <c r="AG1428" s="5" t="str">
        <f ca="1">IFERROR(__xludf.DUMMYFUNCTION("""COMPUTED_VALUE"""),"INSPECCIONES REALIZADAS")</f>
        <v>INSPECCIONES REALIZADAS</v>
      </c>
      <c r="AH1428" s="5"/>
    </row>
    <row r="1429" spans="1:34">
      <c r="A1429" s="5" t="str">
        <f ca="1">IFERROR(__xludf.DUMMYFUNCTION("""COMPUTED_VALUE"""),"EQUIPOS PARA SERVICIOS INDUSTRIALES")</f>
        <v>EQUIPOS PARA SERVICIOS INDUSTRIALES</v>
      </c>
      <c r="B1429" s="5">
        <f ca="1">IFERROR(__xludf.DUMMYFUNCTION("""COMPUTED_VALUE"""),638556)</f>
        <v>638556</v>
      </c>
      <c r="C1429" s="5" t="str">
        <f ca="1">IFERROR(__xludf.DUMMYFUNCTION("""COMPUTED_VALUE"""),"CONDENSADOR EVAPORATIVO")</f>
        <v>CONDENSADOR EVAPORATIVO</v>
      </c>
      <c r="D1429" s="5">
        <f ca="1">IFERROR(__xludf.DUMMYFUNCTION("""COMPUTED_VALUE"""),13247493)</f>
        <v>13247493</v>
      </c>
      <c r="E1429" s="5" t="str">
        <f ca="1">IFERROR(__xludf.DUMMYFUNCTION("""COMPUTED_VALUE"""),"INSPECCION SEMANAL CONDENSADOR EVAPORATI")</f>
        <v>INSPECCION SEMANAL CONDENSADOR EVAPORATI</v>
      </c>
      <c r="F1429" s="5" t="str">
        <f ca="1">IFERROR(__xludf.DUMMYFUNCTION("""COMPUTED_VALUE"""),"PLAN MTTO MEC CONDENSADOR EVAP GASEOSA")</f>
        <v>PLAN MTTO MEC CONDENSADOR EVAP GASEOSA</v>
      </c>
      <c r="G1429" s="5" t="b">
        <f ca="1">IFERROR(__xludf.DUMMYFUNCTION("""COMPUTED_VALUE"""),TRUE)</f>
        <v>1</v>
      </c>
      <c r="H1429" s="5"/>
      <c r="I1429" s="5"/>
      <c r="J1429" s="5">
        <f ca="1">IFERROR(__xludf.DUMMYFUNCTION("""COMPUTED_VALUE"""),13247493)</f>
        <v>13247493</v>
      </c>
      <c r="K1429" s="5"/>
      <c r="L1429" s="18">
        <f ca="1">IFERROR(__xludf.DUMMYFUNCTION("""COMPUTED_VALUE"""),45325)</f>
        <v>45325</v>
      </c>
      <c r="M1429" s="18">
        <f ca="1">IFERROR(__xludf.DUMMYFUNCTION("""COMPUTED_VALUE"""),45325)</f>
        <v>45325</v>
      </c>
      <c r="N1429" s="5" t="str">
        <f ca="1">IFERROR(__xludf.DUMMYFUNCTION("""COMPUTED_VALUE"""),"Henao William")</f>
        <v>Henao William</v>
      </c>
      <c r="O1429" s="2">
        <f ca="1">IFERROR(__xludf.DUMMYFUNCTION("""COMPUTED_VALUE"""),0.1)</f>
        <v>0.1</v>
      </c>
      <c r="P1429" s="5">
        <f ca="1">IFERROR(__xludf.DUMMYFUNCTION("""COMPUTED_VALUE"""),20009827)</f>
        <v>20009827</v>
      </c>
      <c r="Q1429" s="5" t="str">
        <f ca="1">IFERROR(__xludf.DUMMYFUNCTION("""COMPUTED_VALUE"""),"J4ZxBRtU83k")</f>
        <v>J4ZxBRtU83k</v>
      </c>
      <c r="R1429" s="5">
        <f ca="1">IFERROR(__xludf.DUMMYFUNCTION("""COMPUTED_VALUE"""),410)</f>
        <v>410</v>
      </c>
      <c r="S1429" s="62">
        <f ca="1">IFERROR(__xludf.DUMMYFUNCTION("""COMPUTED_VALUE"""),0.1)</f>
        <v>0.1</v>
      </c>
      <c r="T1429" s="63" t="str">
        <f ca="1">IFERROR(__xludf.DUMMYFUNCTION("""COMPUTED_VALUE"""),"https://storage.googleapis.com/glide-prod.appspot.com/uploads-v2/ly7o78grxPaC6KdgvbpS/pub/3aRdSog0vUtuqPE8AJKD.png")</f>
        <v>https://storage.googleapis.com/glide-prod.appspot.com/uploads-v2/ly7o78grxPaC6KdgvbpS/pub/3aRdSog0vUtuqPE8AJKD.png</v>
      </c>
      <c r="U1429" s="5" t="str">
        <f ca="1">IFERROR(__xludf.DUMMYFUNCTION("""COMPUTED_VALUE"""),"EQUIPOS PARA SERVICIOS INDUSTRIALESCONDENSADOR EVAPORATIVO")</f>
        <v>EQUIPOS PARA SERVICIOS INDUSTRIALESCONDENSADOR EVAPORATIVO</v>
      </c>
      <c r="V1429" s="5"/>
      <c r="W1429" s="5" t="b">
        <f ca="1">IFERROR(__xludf.DUMMYFUNCTION("""COMPUTED_VALUE"""),TRUE)</f>
        <v>1</v>
      </c>
      <c r="X1429" s="5" t="str">
        <f ca="1">IFERROR(__xludf.DUMMYFUNCTION("""COMPUTED_VALUE"""),"wmazorra@postobon.com.co,aprmttoyu@postobon.com.co,aprmyu@postobon.com.co,wmora@postobon.com.co,efzapata@postobon.com.co")</f>
        <v>wmazorra@postobon.com.co,aprmttoyu@postobon.com.co,aprmyu@postobon.com.co,wmora@postobon.com.co,efzapata@postobon.com.co</v>
      </c>
      <c r="Y1429" s="5" t="str">
        <f ca="1">IFERROR(__xludf.DUMMYFUNCTION("""COMPUTED_VALUE"""),"wmazorra@postobon.com.co")</f>
        <v>wmazorra@postobon.com.co</v>
      </c>
      <c r="Z1429" s="5" t="str">
        <f ca="1">IFERROR(__xludf.DUMMYFUNCTION("""COMPUTED_VALUE"""),"N5RKnBmKQ4SDWfiBERj0jg")</f>
        <v>N5RKnBmKQ4SDWfiBERj0jg</v>
      </c>
      <c r="AA1429" s="5"/>
      <c r="AB1429" s="5"/>
      <c r="AC1429" s="5"/>
      <c r="AD1429" s="5">
        <f ca="1">IFERROR(__xludf.DUMMYFUNCTION("""COMPUTED_VALUE"""),78)</f>
        <v>78</v>
      </c>
      <c r="AE1429" s="5">
        <f ca="1">IFERROR(__xludf.DUMMYFUNCTION("""COMPUTED_VALUE"""),77)</f>
        <v>77</v>
      </c>
      <c r="AF1429" s="5" t="b">
        <f ca="1">IFERROR(__xludf.DUMMYFUNCTION("""COMPUTED_VALUE"""),FALSE)</f>
        <v>0</v>
      </c>
      <c r="AG1429" s="5" t="str">
        <f ca="1">IFERROR(__xludf.DUMMYFUNCTION("""COMPUTED_VALUE"""),"INSPECCIONES REALIZADAS")</f>
        <v>INSPECCIONES REALIZADAS</v>
      </c>
      <c r="AH1429" s="5"/>
    </row>
    <row r="1430" spans="1:34">
      <c r="A1430" s="5" t="str">
        <f ca="1">IFERROR(__xludf.DUMMYFUNCTION("""COMPUTED_VALUE"""),"LINEA DE ENVASADO FAMILIAR Y PRB")</f>
        <v>LINEA DE ENVASADO FAMILIAR Y PRB</v>
      </c>
      <c r="B1430" s="5">
        <f ca="1">IFERROR(__xludf.DUMMYFUNCTION("""COMPUTED_VALUE"""),828266)</f>
        <v>828266</v>
      </c>
      <c r="C1430" s="5" t="str">
        <f ca="1">IFERROR(__xludf.DUMMYFUNCTION("""COMPUTED_VALUE"""),"LAVADORA DE BOTELLAS")</f>
        <v>LAVADORA DE BOTELLAS</v>
      </c>
      <c r="D1430" s="5">
        <f ca="1">IFERROR(__xludf.DUMMYFUNCTION("""COMPUTED_VALUE"""),13247275)</f>
        <v>13247275</v>
      </c>
      <c r="E1430" s="5" t="str">
        <f ca="1">IFERROR(__xludf.DUMMYFUNCTION("""COMPUTED_VALUE"""),"INSPECCION SEMANAL LAVADORA DE BOTELLAS")</f>
        <v>INSPECCION SEMANAL LAVADORA DE BOTELLAS</v>
      </c>
      <c r="F1430" s="5" t="str">
        <f ca="1">IFERROR(__xludf.DUMMYFUNCTION("""COMPUTED_VALUE"""),"Estado de cadenas table top mesa de cargue")</f>
        <v>Estado de cadenas table top mesa de cargue</v>
      </c>
      <c r="G1430" s="5" t="b">
        <f ca="1">IFERROR(__xludf.DUMMYFUNCTION("""COMPUTED_VALUE"""),TRUE)</f>
        <v>1</v>
      </c>
      <c r="H1430" s="5"/>
      <c r="I1430" s="5"/>
      <c r="J1430" s="5">
        <f ca="1">IFERROR(__xludf.DUMMYFUNCTION("""COMPUTED_VALUE"""),13247275)</f>
        <v>13247275</v>
      </c>
      <c r="K1430" s="5"/>
      <c r="L1430" s="18">
        <f ca="1">IFERROR(__xludf.DUMMYFUNCTION("""COMPUTED_VALUE"""),45324)</f>
        <v>45324</v>
      </c>
      <c r="M1430" s="18">
        <f ca="1">IFERROR(__xludf.DUMMYFUNCTION("""COMPUTED_VALUE"""),45324)</f>
        <v>45324</v>
      </c>
      <c r="N1430" s="5" t="str">
        <f ca="1">IFERROR(__xludf.DUMMYFUNCTION("""COMPUTED_VALUE"""),"Henao William")</f>
        <v>Henao William</v>
      </c>
      <c r="O1430" s="2">
        <f ca="1">IFERROR(__xludf.DUMMYFUNCTION("""COMPUTED_VALUE"""),0.004)</f>
        <v>4.0000000000000001E-3</v>
      </c>
      <c r="P1430" s="5">
        <f ca="1">IFERROR(__xludf.DUMMYFUNCTION("""COMPUTED_VALUE"""),20009827)</f>
        <v>20009827</v>
      </c>
      <c r="Q1430" s="5" t="str">
        <f ca="1">IFERROR(__xludf.DUMMYFUNCTION("""COMPUTED_VALUE"""),"fiPh7yToL5w")</f>
        <v>fiPh7yToL5w</v>
      </c>
      <c r="R1430" s="5">
        <f ca="1">IFERROR(__xludf.DUMMYFUNCTION("""COMPUTED_VALUE"""),410)</f>
        <v>410</v>
      </c>
      <c r="S1430" s="62">
        <f ca="1">IFERROR(__xludf.DUMMYFUNCTION("""COMPUTED_VALUE"""),0.004)</f>
        <v>4.0000000000000001E-3</v>
      </c>
      <c r="T1430" s="63" t="str">
        <f ca="1">IFERROR(__xludf.DUMMYFUNCTION("""COMPUTED_VALUE"""),"https://storage.googleapis.com/glide-prod.appspot.com/uploads-v2/ly7o78grxPaC6KdgvbpS/pub/3aRdSog0vUtuqPE8AJKD.png")</f>
        <v>https://storage.googleapis.com/glide-prod.appspot.com/uploads-v2/ly7o78grxPaC6KdgvbpS/pub/3aRdSog0vUtuqPE8AJKD.png</v>
      </c>
      <c r="U1430" s="5" t="str">
        <f ca="1">IFERROR(__xludf.DUMMYFUNCTION("""COMPUTED_VALUE"""),"LINEA DE ENVASADO FAMILIAR Y PRBLAVADORA DE BOTELLAS")</f>
        <v>LINEA DE ENVASADO FAMILIAR Y PRBLAVADORA DE BOTELLAS</v>
      </c>
      <c r="V1430" s="5"/>
      <c r="W1430" s="5" t="b">
        <f ca="1">IFERROR(__xludf.DUMMYFUNCTION("""COMPUTED_VALUE"""),TRUE)</f>
        <v>1</v>
      </c>
      <c r="X1430" s="5" t="str">
        <f ca="1">IFERROR(__xludf.DUMMYFUNCTION("""COMPUTED_VALUE"""),"wguerra@postobon.com.co,aprmttoyu@postobon.com.co,aprmyu@postobon.com.co,wmora@postobon.com.co,efzapata@postobon.com.co")</f>
        <v>wguerra@postobon.com.co,aprmttoyu@postobon.com.co,aprmyu@postobon.com.co,wmora@postobon.com.co,efzapata@postobon.com.co</v>
      </c>
      <c r="Y1430" s="5" t="str">
        <f ca="1">IFERROR(__xludf.DUMMYFUNCTION("""COMPUTED_VALUE"""),"wguerra@postobon.com.co")</f>
        <v>wguerra@postobon.com.co</v>
      </c>
      <c r="Z1430" s="5" t="str">
        <f ca="1">IFERROR(__xludf.DUMMYFUNCTION("""COMPUTED_VALUE"""),"LQwKSYUZTn-zJP9a4uR19A")</f>
        <v>LQwKSYUZTn-zJP9a4uR19A</v>
      </c>
      <c r="AA1430" s="5"/>
      <c r="AB1430" s="5"/>
      <c r="AC1430" s="5"/>
      <c r="AD1430" s="5">
        <f ca="1">IFERROR(__xludf.DUMMYFUNCTION("""COMPUTED_VALUE"""),78)</f>
        <v>78</v>
      </c>
      <c r="AE1430" s="5">
        <f ca="1">IFERROR(__xludf.DUMMYFUNCTION("""COMPUTED_VALUE"""),77)</f>
        <v>77</v>
      </c>
      <c r="AF1430" s="5" t="b">
        <f ca="1">IFERROR(__xludf.DUMMYFUNCTION("""COMPUTED_VALUE"""),FALSE)</f>
        <v>0</v>
      </c>
      <c r="AG1430" s="5" t="str">
        <f ca="1">IFERROR(__xludf.DUMMYFUNCTION("""COMPUTED_VALUE"""),"INSPECCIONES REALIZADAS")</f>
        <v>INSPECCIONES REALIZADAS</v>
      </c>
      <c r="AH1430" s="5"/>
    </row>
    <row r="1431" spans="1:34">
      <c r="A1431" s="5" t="str">
        <f ca="1">IFERROR(__xludf.DUMMYFUNCTION("""COMPUTED_VALUE"""),"LINEA DE ENVASADO FAMILIAR Y PRB")</f>
        <v>LINEA DE ENVASADO FAMILIAR Y PRB</v>
      </c>
      <c r="B1431" s="5">
        <f ca="1">IFERROR(__xludf.DUMMYFUNCTION("""COMPUTED_VALUE"""),828266)</f>
        <v>828266</v>
      </c>
      <c r="C1431" s="5" t="str">
        <f ca="1">IFERROR(__xludf.DUMMYFUNCTION("""COMPUTED_VALUE"""),"LAVADORA DE BOTELLAS")</f>
        <v>LAVADORA DE BOTELLAS</v>
      </c>
      <c r="D1431" s="5">
        <f ca="1">IFERROR(__xludf.DUMMYFUNCTION("""COMPUTED_VALUE"""),13247275)</f>
        <v>13247275</v>
      </c>
      <c r="E1431" s="5" t="str">
        <f ca="1">IFERROR(__xludf.DUMMYFUNCTION("""COMPUTED_VALUE"""),"INSPECCION SEMANAL LAVADORA DE BOTELLAS")</f>
        <v>INSPECCION SEMANAL LAVADORA DE BOTELLAS</v>
      </c>
      <c r="F1431" s="5" t="str">
        <f ca="1">IFERROR(__xludf.DUMMYFUNCTION("""COMPUTED_VALUE"""),"Estado de piñones de mesa de cargue")</f>
        <v>Estado de piñones de mesa de cargue</v>
      </c>
      <c r="G1431" s="5" t="b">
        <f ca="1">IFERROR(__xludf.DUMMYFUNCTION("""COMPUTED_VALUE"""),TRUE)</f>
        <v>1</v>
      </c>
      <c r="H1431" s="5"/>
      <c r="I1431" s="5"/>
      <c r="J1431" s="5">
        <f ca="1">IFERROR(__xludf.DUMMYFUNCTION("""COMPUTED_VALUE"""),13247275)</f>
        <v>13247275</v>
      </c>
      <c r="K1431" s="5"/>
      <c r="L1431" s="18">
        <f ca="1">IFERROR(__xludf.DUMMYFUNCTION("""COMPUTED_VALUE"""),45324)</f>
        <v>45324</v>
      </c>
      <c r="M1431" s="18">
        <f ca="1">IFERROR(__xludf.DUMMYFUNCTION("""COMPUTED_VALUE"""),45324)</f>
        <v>45324</v>
      </c>
      <c r="N1431" s="5" t="str">
        <f ca="1">IFERROR(__xludf.DUMMYFUNCTION("""COMPUTED_VALUE"""),"Henao William")</f>
        <v>Henao William</v>
      </c>
      <c r="O1431" s="2">
        <f ca="1">IFERROR(__xludf.DUMMYFUNCTION("""COMPUTED_VALUE"""),0.004)</f>
        <v>4.0000000000000001E-3</v>
      </c>
      <c r="P1431" s="5">
        <f ca="1">IFERROR(__xludf.DUMMYFUNCTION("""COMPUTED_VALUE"""),20009827)</f>
        <v>20009827</v>
      </c>
      <c r="Q1431" s="5" t="str">
        <f ca="1">IFERROR(__xludf.DUMMYFUNCTION("""COMPUTED_VALUE"""),"NsTct4cRpD8")</f>
        <v>NsTct4cRpD8</v>
      </c>
      <c r="R1431" s="5">
        <f ca="1">IFERROR(__xludf.DUMMYFUNCTION("""COMPUTED_VALUE"""),410)</f>
        <v>410</v>
      </c>
      <c r="S1431" s="62">
        <f ca="1">IFERROR(__xludf.DUMMYFUNCTION("""COMPUTED_VALUE"""),0.004)</f>
        <v>4.0000000000000001E-3</v>
      </c>
      <c r="T1431" s="63" t="str">
        <f ca="1">IFERROR(__xludf.DUMMYFUNCTION("""COMPUTED_VALUE"""),"https://storage.googleapis.com/glide-prod.appspot.com/uploads-v2/ly7o78grxPaC6KdgvbpS/pub/3aRdSog0vUtuqPE8AJKD.png")</f>
        <v>https://storage.googleapis.com/glide-prod.appspot.com/uploads-v2/ly7o78grxPaC6KdgvbpS/pub/3aRdSog0vUtuqPE8AJKD.png</v>
      </c>
      <c r="U1431" s="5" t="str">
        <f ca="1">IFERROR(__xludf.DUMMYFUNCTION("""COMPUTED_VALUE"""),"LINEA DE ENVASADO FAMILIAR Y PRBLAVADORA DE BOTELLAS")</f>
        <v>LINEA DE ENVASADO FAMILIAR Y PRBLAVADORA DE BOTELLAS</v>
      </c>
      <c r="V1431" s="5"/>
      <c r="W1431" s="5" t="b">
        <f ca="1">IFERROR(__xludf.DUMMYFUNCTION("""COMPUTED_VALUE"""),TRUE)</f>
        <v>1</v>
      </c>
      <c r="X1431" s="5" t="str">
        <f ca="1">IFERROR(__xludf.DUMMYFUNCTION("""COMPUTED_VALUE"""),"wguerra@postobon.com.co,aprmttoyu@postobon.com.co,aprmyu@postobon.com.co,wmora@postobon.com.co,efzapata@postobon.com.co")</f>
        <v>wguerra@postobon.com.co,aprmttoyu@postobon.com.co,aprmyu@postobon.com.co,wmora@postobon.com.co,efzapata@postobon.com.co</v>
      </c>
      <c r="Y1431" s="5" t="str">
        <f ca="1">IFERROR(__xludf.DUMMYFUNCTION("""COMPUTED_VALUE"""),"wguerra@postobon.com.co")</f>
        <v>wguerra@postobon.com.co</v>
      </c>
      <c r="Z1431" s="5" t="str">
        <f ca="1">IFERROR(__xludf.DUMMYFUNCTION("""COMPUTED_VALUE"""),"y4G4MEFtQ5GURwfLP-r2oA")</f>
        <v>y4G4MEFtQ5GURwfLP-r2oA</v>
      </c>
      <c r="AA1431" s="5"/>
      <c r="AB1431" s="5"/>
      <c r="AC1431" s="5"/>
      <c r="AD1431" s="5">
        <f ca="1">IFERROR(__xludf.DUMMYFUNCTION("""COMPUTED_VALUE"""),78)</f>
        <v>78</v>
      </c>
      <c r="AE1431" s="5">
        <f ca="1">IFERROR(__xludf.DUMMYFUNCTION("""COMPUTED_VALUE"""),77)</f>
        <v>77</v>
      </c>
      <c r="AF1431" s="5" t="b">
        <f ca="1">IFERROR(__xludf.DUMMYFUNCTION("""COMPUTED_VALUE"""),FALSE)</f>
        <v>0</v>
      </c>
      <c r="AG1431" s="5" t="str">
        <f ca="1">IFERROR(__xludf.DUMMYFUNCTION("""COMPUTED_VALUE"""),"INSPECCIONES REALIZADAS")</f>
        <v>INSPECCIONES REALIZADAS</v>
      </c>
      <c r="AH1431" s="5"/>
    </row>
    <row r="1432" spans="1:34">
      <c r="A1432" s="5" t="str">
        <f ca="1">IFERROR(__xludf.DUMMYFUNCTION("""COMPUTED_VALUE"""),"LINEA DE ENVASADO FAMILIAR Y PRB")</f>
        <v>LINEA DE ENVASADO FAMILIAR Y PRB</v>
      </c>
      <c r="B1432" s="5">
        <f ca="1">IFERROR(__xludf.DUMMYFUNCTION("""COMPUTED_VALUE"""),828266)</f>
        <v>828266</v>
      </c>
      <c r="C1432" s="5" t="str">
        <f ca="1">IFERROR(__xludf.DUMMYFUNCTION("""COMPUTED_VALUE"""),"LAVADORA DE BOTELLAS")</f>
        <v>LAVADORA DE BOTELLAS</v>
      </c>
      <c r="D1432" s="5">
        <f ca="1">IFERROR(__xludf.DUMMYFUNCTION("""COMPUTED_VALUE"""),13247275)</f>
        <v>13247275</v>
      </c>
      <c r="E1432" s="5" t="str">
        <f ca="1">IFERROR(__xludf.DUMMYFUNCTION("""COMPUTED_VALUE"""),"INSPECCION SEMANAL LAVADORA DE BOTELLAS")</f>
        <v>INSPECCION SEMANAL LAVADORA DE BOTELLAS</v>
      </c>
      <c r="F1432" s="5" t="str">
        <f ca="1">IFERROR(__xludf.DUMMYFUNCTION("""COMPUTED_VALUE"""),"Estado perfiles de desgaste plasticos")</f>
        <v>Estado perfiles de desgaste plasticos</v>
      </c>
      <c r="G1432" s="5" t="b">
        <f ca="1">IFERROR(__xludf.DUMMYFUNCTION("""COMPUTED_VALUE"""),TRUE)</f>
        <v>1</v>
      </c>
      <c r="H1432" s="5"/>
      <c r="I1432" s="5"/>
      <c r="J1432" s="5">
        <f ca="1">IFERROR(__xludf.DUMMYFUNCTION("""COMPUTED_VALUE"""),13247275)</f>
        <v>13247275</v>
      </c>
      <c r="K1432" s="5"/>
      <c r="L1432" s="18">
        <f ca="1">IFERROR(__xludf.DUMMYFUNCTION("""COMPUTED_VALUE"""),45324)</f>
        <v>45324</v>
      </c>
      <c r="M1432" s="18">
        <f ca="1">IFERROR(__xludf.DUMMYFUNCTION("""COMPUTED_VALUE"""),45324)</f>
        <v>45324</v>
      </c>
      <c r="N1432" s="5" t="str">
        <f ca="1">IFERROR(__xludf.DUMMYFUNCTION("""COMPUTED_VALUE"""),"Henao William")</f>
        <v>Henao William</v>
      </c>
      <c r="O1432" s="2">
        <f ca="1">IFERROR(__xludf.DUMMYFUNCTION("""COMPUTED_VALUE"""),0.004)</f>
        <v>4.0000000000000001E-3</v>
      </c>
      <c r="P1432" s="5">
        <f ca="1">IFERROR(__xludf.DUMMYFUNCTION("""COMPUTED_VALUE"""),20009827)</f>
        <v>20009827</v>
      </c>
      <c r="Q1432" s="5" t="str">
        <f ca="1">IFERROR(__xludf.DUMMYFUNCTION("""COMPUTED_VALUE"""),"pAS4BXg6eO4")</f>
        <v>pAS4BXg6eO4</v>
      </c>
      <c r="R1432" s="5">
        <f ca="1">IFERROR(__xludf.DUMMYFUNCTION("""COMPUTED_VALUE"""),410)</f>
        <v>410</v>
      </c>
      <c r="S1432" s="62">
        <f ca="1">IFERROR(__xludf.DUMMYFUNCTION("""COMPUTED_VALUE"""),0.004)</f>
        <v>4.0000000000000001E-3</v>
      </c>
      <c r="T1432" s="63" t="str">
        <f ca="1">IFERROR(__xludf.DUMMYFUNCTION("""COMPUTED_VALUE"""),"https://storage.googleapis.com/glide-prod.appspot.com/uploads-v2/ly7o78grxPaC6KdgvbpS/pub/3aRdSog0vUtuqPE8AJKD.png")</f>
        <v>https://storage.googleapis.com/glide-prod.appspot.com/uploads-v2/ly7o78grxPaC6KdgvbpS/pub/3aRdSog0vUtuqPE8AJKD.png</v>
      </c>
      <c r="U1432" s="5" t="str">
        <f ca="1">IFERROR(__xludf.DUMMYFUNCTION("""COMPUTED_VALUE"""),"LINEA DE ENVASADO FAMILIAR Y PRBLAVADORA DE BOTELLAS")</f>
        <v>LINEA DE ENVASADO FAMILIAR Y PRBLAVADORA DE BOTELLAS</v>
      </c>
      <c r="V1432" s="5"/>
      <c r="W1432" s="5" t="b">
        <f ca="1">IFERROR(__xludf.DUMMYFUNCTION("""COMPUTED_VALUE"""),TRUE)</f>
        <v>1</v>
      </c>
      <c r="X1432" s="5" t="str">
        <f ca="1">IFERROR(__xludf.DUMMYFUNCTION("""COMPUTED_VALUE"""),"wguerra@postobon.com.co,aprmttoyu@postobon.com.co,aprmyu@postobon.com.co,wmora@postobon.com.co,efzapata@postobon.com.co")</f>
        <v>wguerra@postobon.com.co,aprmttoyu@postobon.com.co,aprmyu@postobon.com.co,wmora@postobon.com.co,efzapata@postobon.com.co</v>
      </c>
      <c r="Y1432" s="5" t="str">
        <f ca="1">IFERROR(__xludf.DUMMYFUNCTION("""COMPUTED_VALUE"""),"wguerra@postobon.com.co")</f>
        <v>wguerra@postobon.com.co</v>
      </c>
      <c r="Z1432" s="5" t="str">
        <f ca="1">IFERROR(__xludf.DUMMYFUNCTION("""COMPUTED_VALUE"""),"fmNwMdMSQk23qYUcpw90nQ")</f>
        <v>fmNwMdMSQk23qYUcpw90nQ</v>
      </c>
      <c r="AA1432" s="5"/>
      <c r="AB1432" s="5"/>
      <c r="AC1432" s="5"/>
      <c r="AD1432" s="5">
        <f ca="1">IFERROR(__xludf.DUMMYFUNCTION("""COMPUTED_VALUE"""),78)</f>
        <v>78</v>
      </c>
      <c r="AE1432" s="5">
        <f ca="1">IFERROR(__xludf.DUMMYFUNCTION("""COMPUTED_VALUE"""),77)</f>
        <v>77</v>
      </c>
      <c r="AF1432" s="5" t="b">
        <f ca="1">IFERROR(__xludf.DUMMYFUNCTION("""COMPUTED_VALUE"""),FALSE)</f>
        <v>0</v>
      </c>
      <c r="AG1432" s="5" t="str">
        <f ca="1">IFERROR(__xludf.DUMMYFUNCTION("""COMPUTED_VALUE"""),"INSPECCIONES REALIZADAS")</f>
        <v>INSPECCIONES REALIZADAS</v>
      </c>
      <c r="AH1432" s="5"/>
    </row>
    <row r="1433" spans="1:34">
      <c r="A1433" s="5" t="str">
        <f ca="1">IFERROR(__xludf.DUMMYFUNCTION("""COMPUTED_VALUE"""),"LINEA DE ENVASADO FAMILIAR Y PRB")</f>
        <v>LINEA DE ENVASADO FAMILIAR Y PRB</v>
      </c>
      <c r="B1433" s="5">
        <f ca="1">IFERROR(__xludf.DUMMYFUNCTION("""COMPUTED_VALUE"""),828266)</f>
        <v>828266</v>
      </c>
      <c r="C1433" s="5" t="str">
        <f ca="1">IFERROR(__xludf.DUMMYFUNCTION("""COMPUTED_VALUE"""),"LAVADORA DE BOTELLAS")</f>
        <v>LAVADORA DE BOTELLAS</v>
      </c>
      <c r="D1433" s="5">
        <f ca="1">IFERROR(__xludf.DUMMYFUNCTION("""COMPUTED_VALUE"""),13247275)</f>
        <v>13247275</v>
      </c>
      <c r="E1433" s="5" t="str">
        <f ca="1">IFERROR(__xludf.DUMMYFUNCTION("""COMPUTED_VALUE"""),"INSPECCION SEMANAL LAVADORA DE BOTELLAS")</f>
        <v>INSPECCION SEMANAL LAVADORA DE BOTELLAS</v>
      </c>
      <c r="F1433" s="5" t="str">
        <f ca="1">IFERROR(__xludf.DUMMYFUNCTION("""COMPUTED_VALUE"""),"Estado de agitador de envase")</f>
        <v>Estado de agitador de envase</v>
      </c>
      <c r="G1433" s="5" t="b">
        <f ca="1">IFERROR(__xludf.DUMMYFUNCTION("""COMPUTED_VALUE"""),TRUE)</f>
        <v>1</v>
      </c>
      <c r="H1433" s="5"/>
      <c r="I1433" s="5"/>
      <c r="J1433" s="5">
        <f ca="1">IFERROR(__xludf.DUMMYFUNCTION("""COMPUTED_VALUE"""),13247275)</f>
        <v>13247275</v>
      </c>
      <c r="K1433" s="5"/>
      <c r="L1433" s="18">
        <f ca="1">IFERROR(__xludf.DUMMYFUNCTION("""COMPUTED_VALUE"""),45324)</f>
        <v>45324</v>
      </c>
      <c r="M1433" s="18">
        <f ca="1">IFERROR(__xludf.DUMMYFUNCTION("""COMPUTED_VALUE"""),45324)</f>
        <v>45324</v>
      </c>
      <c r="N1433" s="5" t="str">
        <f ca="1">IFERROR(__xludf.DUMMYFUNCTION("""COMPUTED_VALUE"""),"Henao William")</f>
        <v>Henao William</v>
      </c>
      <c r="O1433" s="2">
        <f ca="1">IFERROR(__xludf.DUMMYFUNCTION("""COMPUTED_VALUE"""),0.004)</f>
        <v>4.0000000000000001E-3</v>
      </c>
      <c r="P1433" s="5">
        <f ca="1">IFERROR(__xludf.DUMMYFUNCTION("""COMPUTED_VALUE"""),20009827)</f>
        <v>20009827</v>
      </c>
      <c r="Q1433" s="5" t="str">
        <f ca="1">IFERROR(__xludf.DUMMYFUNCTION("""COMPUTED_VALUE"""),"LpmdN3gJkjs")</f>
        <v>LpmdN3gJkjs</v>
      </c>
      <c r="R1433" s="5">
        <f ca="1">IFERROR(__xludf.DUMMYFUNCTION("""COMPUTED_VALUE"""),410)</f>
        <v>410</v>
      </c>
      <c r="S1433" s="62">
        <f ca="1">IFERROR(__xludf.DUMMYFUNCTION("""COMPUTED_VALUE"""),0.004)</f>
        <v>4.0000000000000001E-3</v>
      </c>
      <c r="T1433" s="63" t="str">
        <f ca="1">IFERROR(__xludf.DUMMYFUNCTION("""COMPUTED_VALUE"""),"https://storage.googleapis.com/glide-prod.appspot.com/uploads-v2/ly7o78grxPaC6KdgvbpS/pub/3aRdSog0vUtuqPE8AJKD.png")</f>
        <v>https://storage.googleapis.com/glide-prod.appspot.com/uploads-v2/ly7o78grxPaC6KdgvbpS/pub/3aRdSog0vUtuqPE8AJKD.png</v>
      </c>
      <c r="U1433" s="5" t="str">
        <f ca="1">IFERROR(__xludf.DUMMYFUNCTION("""COMPUTED_VALUE"""),"LINEA DE ENVASADO FAMILIAR Y PRBLAVADORA DE BOTELLAS")</f>
        <v>LINEA DE ENVASADO FAMILIAR Y PRBLAVADORA DE BOTELLAS</v>
      </c>
      <c r="V1433" s="5"/>
      <c r="W1433" s="5" t="b">
        <f ca="1">IFERROR(__xludf.DUMMYFUNCTION("""COMPUTED_VALUE"""),TRUE)</f>
        <v>1</v>
      </c>
      <c r="X1433" s="5" t="str">
        <f ca="1">IFERROR(__xludf.DUMMYFUNCTION("""COMPUTED_VALUE"""),"wguerra@postobon.com.co,aprmttoyu@postobon.com.co,aprmyu@postobon.com.co,wmora@postobon.com.co,efzapata@postobon.com.co")</f>
        <v>wguerra@postobon.com.co,aprmttoyu@postobon.com.co,aprmyu@postobon.com.co,wmora@postobon.com.co,efzapata@postobon.com.co</v>
      </c>
      <c r="Y1433" s="5" t="str">
        <f ca="1">IFERROR(__xludf.DUMMYFUNCTION("""COMPUTED_VALUE"""),"wguerra@postobon.com.co")</f>
        <v>wguerra@postobon.com.co</v>
      </c>
      <c r="Z1433" s="5" t="str">
        <f ca="1">IFERROR(__xludf.DUMMYFUNCTION("""COMPUTED_VALUE"""),"EzCdboA.RXGjE0P7YLMrEA")</f>
        <v>EzCdboA.RXGjE0P7YLMrEA</v>
      </c>
      <c r="AA1433" s="5"/>
      <c r="AB1433" s="5"/>
      <c r="AC1433" s="5"/>
      <c r="AD1433" s="5">
        <f ca="1">IFERROR(__xludf.DUMMYFUNCTION("""COMPUTED_VALUE"""),78)</f>
        <v>78</v>
      </c>
      <c r="AE1433" s="5">
        <f ca="1">IFERROR(__xludf.DUMMYFUNCTION("""COMPUTED_VALUE"""),77)</f>
        <v>77</v>
      </c>
      <c r="AF1433" s="5" t="b">
        <f ca="1">IFERROR(__xludf.DUMMYFUNCTION("""COMPUTED_VALUE"""),FALSE)</f>
        <v>0</v>
      </c>
      <c r="AG1433" s="5" t="str">
        <f ca="1">IFERROR(__xludf.DUMMYFUNCTION("""COMPUTED_VALUE"""),"INSPECCIONES REALIZADAS")</f>
        <v>INSPECCIONES REALIZADAS</v>
      </c>
      <c r="AH1433" s="5"/>
    </row>
    <row r="1434" spans="1:34">
      <c r="A1434" s="5" t="str">
        <f ca="1">IFERROR(__xludf.DUMMYFUNCTION("""COMPUTED_VALUE"""),"LINEA DE ENVASADO FAMILIAR Y PRB")</f>
        <v>LINEA DE ENVASADO FAMILIAR Y PRB</v>
      </c>
      <c r="B1434" s="5">
        <f ca="1">IFERROR(__xludf.DUMMYFUNCTION("""COMPUTED_VALUE"""),828266)</f>
        <v>828266</v>
      </c>
      <c r="C1434" s="5" t="str">
        <f ca="1">IFERROR(__xludf.DUMMYFUNCTION("""COMPUTED_VALUE"""),"LAVADORA DE BOTELLAS")</f>
        <v>LAVADORA DE BOTELLAS</v>
      </c>
      <c r="D1434" s="5">
        <f ca="1">IFERROR(__xludf.DUMMYFUNCTION("""COMPUTED_VALUE"""),13247275)</f>
        <v>13247275</v>
      </c>
      <c r="E1434" s="5" t="str">
        <f ca="1">IFERROR(__xludf.DUMMYFUNCTION("""COMPUTED_VALUE"""),"INSPECCION SEMANAL LAVADORA DE BOTELLAS")</f>
        <v>INSPECCION SEMANAL LAVADORA DE BOTELLAS</v>
      </c>
      <c r="F1434" s="5" t="str">
        <f ca="1">IFERROR(__xludf.DUMMYFUNCTION("""COMPUTED_VALUE"""),"Estado de tableros eléctricos de mando, control y potencia")</f>
        <v>Estado de tableros eléctricos de mando, control y potencia</v>
      </c>
      <c r="G1434" s="5" t="b">
        <f ca="1">IFERROR(__xludf.DUMMYFUNCTION("""COMPUTED_VALUE"""),TRUE)</f>
        <v>1</v>
      </c>
      <c r="H1434" s="5"/>
      <c r="I1434" s="5"/>
      <c r="J1434" s="5">
        <f ca="1">IFERROR(__xludf.DUMMYFUNCTION("""COMPUTED_VALUE"""),13247275)</f>
        <v>13247275</v>
      </c>
      <c r="K1434" s="5"/>
      <c r="L1434" s="18">
        <f ca="1">IFERROR(__xludf.DUMMYFUNCTION("""COMPUTED_VALUE"""),45324)</f>
        <v>45324</v>
      </c>
      <c r="M1434" s="18">
        <f ca="1">IFERROR(__xludf.DUMMYFUNCTION("""COMPUTED_VALUE"""),45324)</f>
        <v>45324</v>
      </c>
      <c r="N1434" s="5" t="str">
        <f ca="1">IFERROR(__xludf.DUMMYFUNCTION("""COMPUTED_VALUE"""),"Henao William")</f>
        <v>Henao William</v>
      </c>
      <c r="O1434" s="2">
        <f ca="1">IFERROR(__xludf.DUMMYFUNCTION("""COMPUTED_VALUE"""),0.004)</f>
        <v>4.0000000000000001E-3</v>
      </c>
      <c r="P1434" s="5">
        <f ca="1">IFERROR(__xludf.DUMMYFUNCTION("""COMPUTED_VALUE"""),20009827)</f>
        <v>20009827</v>
      </c>
      <c r="Q1434" s="5" t="str">
        <f ca="1">IFERROR(__xludf.DUMMYFUNCTION("""COMPUTED_VALUE"""),"kXxyNU3FUAw")</f>
        <v>kXxyNU3FUAw</v>
      </c>
      <c r="R1434" s="5">
        <f ca="1">IFERROR(__xludf.DUMMYFUNCTION("""COMPUTED_VALUE"""),410)</f>
        <v>410</v>
      </c>
      <c r="S1434" s="62">
        <f ca="1">IFERROR(__xludf.DUMMYFUNCTION("""COMPUTED_VALUE"""),0.004)</f>
        <v>4.0000000000000001E-3</v>
      </c>
      <c r="T1434" s="63" t="str">
        <f ca="1">IFERROR(__xludf.DUMMYFUNCTION("""COMPUTED_VALUE"""),"https://storage.googleapis.com/glide-prod.appspot.com/uploads-v2/ly7o78grxPaC6KdgvbpS/pub/3aRdSog0vUtuqPE8AJKD.png")</f>
        <v>https://storage.googleapis.com/glide-prod.appspot.com/uploads-v2/ly7o78grxPaC6KdgvbpS/pub/3aRdSog0vUtuqPE8AJKD.png</v>
      </c>
      <c r="U1434" s="5" t="str">
        <f ca="1">IFERROR(__xludf.DUMMYFUNCTION("""COMPUTED_VALUE"""),"LINEA DE ENVASADO FAMILIAR Y PRBLAVADORA DE BOTELLAS")</f>
        <v>LINEA DE ENVASADO FAMILIAR Y PRBLAVADORA DE BOTELLAS</v>
      </c>
      <c r="V1434" s="5"/>
      <c r="W1434" s="5" t="b">
        <f ca="1">IFERROR(__xludf.DUMMYFUNCTION("""COMPUTED_VALUE"""),TRUE)</f>
        <v>1</v>
      </c>
      <c r="X1434" s="5" t="str">
        <f ca="1">IFERROR(__xludf.DUMMYFUNCTION("""COMPUTED_VALUE"""),"wguerra@postobon.com.co,aprmttoyu@postobon.com.co,aprmyu@postobon.com.co,wmora@postobon.com.co,efzapata@postobon.com.co")</f>
        <v>wguerra@postobon.com.co,aprmttoyu@postobon.com.co,aprmyu@postobon.com.co,wmora@postobon.com.co,efzapata@postobon.com.co</v>
      </c>
      <c r="Y1434" s="5" t="str">
        <f ca="1">IFERROR(__xludf.DUMMYFUNCTION("""COMPUTED_VALUE"""),"wguerra@postobon.com.co")</f>
        <v>wguerra@postobon.com.co</v>
      </c>
      <c r="Z1434" s="5" t="str">
        <f ca="1">IFERROR(__xludf.DUMMYFUNCTION("""COMPUTED_VALUE"""),"Ounm7jtARLOdVVJl-pNhxA")</f>
        <v>Ounm7jtARLOdVVJl-pNhxA</v>
      </c>
      <c r="AA1434" s="5"/>
      <c r="AB1434" s="5"/>
      <c r="AC1434" s="5"/>
      <c r="AD1434" s="5">
        <f ca="1">IFERROR(__xludf.DUMMYFUNCTION("""COMPUTED_VALUE"""),78)</f>
        <v>78</v>
      </c>
      <c r="AE1434" s="5">
        <f ca="1">IFERROR(__xludf.DUMMYFUNCTION("""COMPUTED_VALUE"""),77)</f>
        <v>77</v>
      </c>
      <c r="AF1434" s="5" t="b">
        <f ca="1">IFERROR(__xludf.DUMMYFUNCTION("""COMPUTED_VALUE"""),FALSE)</f>
        <v>0</v>
      </c>
      <c r="AG1434" s="5" t="str">
        <f ca="1">IFERROR(__xludf.DUMMYFUNCTION("""COMPUTED_VALUE"""),"INSPECCIONES REALIZADAS")</f>
        <v>INSPECCIONES REALIZADAS</v>
      </c>
      <c r="AH1434" s="5"/>
    </row>
    <row r="1435" spans="1:34">
      <c r="A1435" s="5" t="str">
        <f ca="1">IFERROR(__xludf.DUMMYFUNCTION("""COMPUTED_VALUE"""),"LINEA DE ENVASADO FAMILIAR Y PRB")</f>
        <v>LINEA DE ENVASADO FAMILIAR Y PRB</v>
      </c>
      <c r="B1435" s="5">
        <f ca="1">IFERROR(__xludf.DUMMYFUNCTION("""COMPUTED_VALUE"""),828266)</f>
        <v>828266</v>
      </c>
      <c r="C1435" s="5" t="str">
        <f ca="1">IFERROR(__xludf.DUMMYFUNCTION("""COMPUTED_VALUE"""),"LAVADORA DE BOTELLAS")</f>
        <v>LAVADORA DE BOTELLAS</v>
      </c>
      <c r="D1435" s="5">
        <f ca="1">IFERROR(__xludf.DUMMYFUNCTION("""COMPUTED_VALUE"""),13247275)</f>
        <v>13247275</v>
      </c>
      <c r="E1435" s="5" t="str">
        <f ca="1">IFERROR(__xludf.DUMMYFUNCTION("""COMPUTED_VALUE"""),"INSPECCION SEMANAL LAVADORA DE BOTELLAS")</f>
        <v>INSPECCION SEMANAL LAVADORA DE BOTELLAS</v>
      </c>
      <c r="F1435" s="5" t="str">
        <f ca="1">IFERROR(__xludf.DUMMYFUNCTION("""COMPUTED_VALUE"""),"Estado embrague cargue")</f>
        <v>Estado embrague cargue</v>
      </c>
      <c r="G1435" s="5" t="b">
        <f ca="1">IFERROR(__xludf.DUMMYFUNCTION("""COMPUTED_VALUE"""),TRUE)</f>
        <v>1</v>
      </c>
      <c r="H1435" s="5"/>
      <c r="I1435" s="5"/>
      <c r="J1435" s="5">
        <f ca="1">IFERROR(__xludf.DUMMYFUNCTION("""COMPUTED_VALUE"""),13247275)</f>
        <v>13247275</v>
      </c>
      <c r="K1435" s="5"/>
      <c r="L1435" s="18">
        <f ca="1">IFERROR(__xludf.DUMMYFUNCTION("""COMPUTED_VALUE"""),45324)</f>
        <v>45324</v>
      </c>
      <c r="M1435" s="18">
        <f ca="1">IFERROR(__xludf.DUMMYFUNCTION("""COMPUTED_VALUE"""),45324)</f>
        <v>45324</v>
      </c>
      <c r="N1435" s="5" t="str">
        <f ca="1">IFERROR(__xludf.DUMMYFUNCTION("""COMPUTED_VALUE"""),"Henao William")</f>
        <v>Henao William</v>
      </c>
      <c r="O1435" s="2">
        <f ca="1">IFERROR(__xludf.DUMMYFUNCTION("""COMPUTED_VALUE"""),0.004)</f>
        <v>4.0000000000000001E-3</v>
      </c>
      <c r="P1435" s="5">
        <f ca="1">IFERROR(__xludf.DUMMYFUNCTION("""COMPUTED_VALUE"""),20009827)</f>
        <v>20009827</v>
      </c>
      <c r="Q1435" s="5" t="str">
        <f ca="1">IFERROR(__xludf.DUMMYFUNCTION("""COMPUTED_VALUE"""),"2tdEvcRLgQc")</f>
        <v>2tdEvcRLgQc</v>
      </c>
      <c r="R1435" s="5">
        <f ca="1">IFERROR(__xludf.DUMMYFUNCTION("""COMPUTED_VALUE"""),410)</f>
        <v>410</v>
      </c>
      <c r="S1435" s="62">
        <f ca="1">IFERROR(__xludf.DUMMYFUNCTION("""COMPUTED_VALUE"""),0.004)</f>
        <v>4.0000000000000001E-3</v>
      </c>
      <c r="T1435" s="63" t="str">
        <f ca="1">IFERROR(__xludf.DUMMYFUNCTION("""COMPUTED_VALUE"""),"https://storage.googleapis.com/glide-prod.appspot.com/uploads-v2/ly7o78grxPaC6KdgvbpS/pub/3aRdSog0vUtuqPE8AJKD.png")</f>
        <v>https://storage.googleapis.com/glide-prod.appspot.com/uploads-v2/ly7o78grxPaC6KdgvbpS/pub/3aRdSog0vUtuqPE8AJKD.png</v>
      </c>
      <c r="U1435" s="5" t="str">
        <f ca="1">IFERROR(__xludf.DUMMYFUNCTION("""COMPUTED_VALUE"""),"LINEA DE ENVASADO FAMILIAR Y PRBLAVADORA DE BOTELLAS")</f>
        <v>LINEA DE ENVASADO FAMILIAR Y PRBLAVADORA DE BOTELLAS</v>
      </c>
      <c r="V1435" s="5"/>
      <c r="W1435" s="5" t="b">
        <f ca="1">IFERROR(__xludf.DUMMYFUNCTION("""COMPUTED_VALUE"""),TRUE)</f>
        <v>1</v>
      </c>
      <c r="X1435" s="5" t="str">
        <f ca="1">IFERROR(__xludf.DUMMYFUNCTION("""COMPUTED_VALUE"""),"wguerra@postobon.com.co,aprmttoyu@postobon.com.co,aprmyu@postobon.com.co,wmora@postobon.com.co,efzapata@postobon.com.co")</f>
        <v>wguerra@postobon.com.co,aprmttoyu@postobon.com.co,aprmyu@postobon.com.co,wmora@postobon.com.co,efzapata@postobon.com.co</v>
      </c>
      <c r="Y1435" s="5" t="str">
        <f ca="1">IFERROR(__xludf.DUMMYFUNCTION("""COMPUTED_VALUE"""),"wguerra@postobon.com.co")</f>
        <v>wguerra@postobon.com.co</v>
      </c>
      <c r="Z1435" s="5" t="str">
        <f ca="1">IFERROR(__xludf.DUMMYFUNCTION("""COMPUTED_VALUE"""),"rn70V-L3TDuK1mSMq-aMQg")</f>
        <v>rn70V-L3TDuK1mSMq-aMQg</v>
      </c>
      <c r="AA1435" s="5"/>
      <c r="AB1435" s="5"/>
      <c r="AC1435" s="5"/>
      <c r="AD1435" s="5">
        <f ca="1">IFERROR(__xludf.DUMMYFUNCTION("""COMPUTED_VALUE"""),78)</f>
        <v>78</v>
      </c>
      <c r="AE1435" s="5">
        <f ca="1">IFERROR(__xludf.DUMMYFUNCTION("""COMPUTED_VALUE"""),77)</f>
        <v>77</v>
      </c>
      <c r="AF1435" s="5" t="b">
        <f ca="1">IFERROR(__xludf.DUMMYFUNCTION("""COMPUTED_VALUE"""),FALSE)</f>
        <v>0</v>
      </c>
      <c r="AG1435" s="5" t="str">
        <f ca="1">IFERROR(__xludf.DUMMYFUNCTION("""COMPUTED_VALUE"""),"INSPECCIONES REALIZADAS")</f>
        <v>INSPECCIONES REALIZADAS</v>
      </c>
      <c r="AH1435" s="5"/>
    </row>
    <row r="1436" spans="1:34">
      <c r="A1436" s="5" t="str">
        <f ca="1">IFERROR(__xludf.DUMMYFUNCTION("""COMPUTED_VALUE"""),"LINEA DE ENVASADO FAMILIAR Y PRB")</f>
        <v>LINEA DE ENVASADO FAMILIAR Y PRB</v>
      </c>
      <c r="B1436" s="5">
        <f ca="1">IFERROR(__xludf.DUMMYFUNCTION("""COMPUTED_VALUE"""),828266)</f>
        <v>828266</v>
      </c>
      <c r="C1436" s="5" t="str">
        <f ca="1">IFERROR(__xludf.DUMMYFUNCTION("""COMPUTED_VALUE"""),"LAVADORA DE BOTELLAS")</f>
        <v>LAVADORA DE BOTELLAS</v>
      </c>
      <c r="D1436" s="5">
        <f ca="1">IFERROR(__xludf.DUMMYFUNCTION("""COMPUTED_VALUE"""),13247275)</f>
        <v>13247275</v>
      </c>
      <c r="E1436" s="5" t="str">
        <f ca="1">IFERROR(__xludf.DUMMYFUNCTION("""COMPUTED_VALUE"""),"INSPECCION SEMANAL LAVADORA DE BOTELLAS")</f>
        <v>INSPECCION SEMANAL LAVADORA DE BOTELLAS</v>
      </c>
      <c r="F1436" s="5" t="str">
        <f ca="1">IFERROR(__xludf.DUMMYFUNCTION("""COMPUTED_VALUE"""),"Estados de las guías del cargue y descargue")</f>
        <v>Estados de las guías del cargue y descargue</v>
      </c>
      <c r="G1436" s="5" t="b">
        <f ca="1">IFERROR(__xludf.DUMMYFUNCTION("""COMPUTED_VALUE"""),TRUE)</f>
        <v>1</v>
      </c>
      <c r="H1436" s="5"/>
      <c r="I1436" s="5"/>
      <c r="J1436" s="5">
        <f ca="1">IFERROR(__xludf.DUMMYFUNCTION("""COMPUTED_VALUE"""),13247275)</f>
        <v>13247275</v>
      </c>
      <c r="K1436" s="5"/>
      <c r="L1436" s="18">
        <f ca="1">IFERROR(__xludf.DUMMYFUNCTION("""COMPUTED_VALUE"""),45324)</f>
        <v>45324</v>
      </c>
      <c r="M1436" s="18">
        <f ca="1">IFERROR(__xludf.DUMMYFUNCTION("""COMPUTED_VALUE"""),45324)</f>
        <v>45324</v>
      </c>
      <c r="N1436" s="5" t="str">
        <f ca="1">IFERROR(__xludf.DUMMYFUNCTION("""COMPUTED_VALUE"""),"Henao William")</f>
        <v>Henao William</v>
      </c>
      <c r="O1436" s="2">
        <f ca="1">IFERROR(__xludf.DUMMYFUNCTION("""COMPUTED_VALUE"""),0.004)</f>
        <v>4.0000000000000001E-3</v>
      </c>
      <c r="P1436" s="5">
        <f ca="1">IFERROR(__xludf.DUMMYFUNCTION("""COMPUTED_VALUE"""),20009827)</f>
        <v>20009827</v>
      </c>
      <c r="Q1436" s="5" t="str">
        <f ca="1">IFERROR(__xludf.DUMMYFUNCTION("""COMPUTED_VALUE"""),"cz3Xgh-clao")</f>
        <v>cz3Xgh-clao</v>
      </c>
      <c r="R1436" s="5">
        <f ca="1">IFERROR(__xludf.DUMMYFUNCTION("""COMPUTED_VALUE"""),410)</f>
        <v>410</v>
      </c>
      <c r="S1436" s="62">
        <f ca="1">IFERROR(__xludf.DUMMYFUNCTION("""COMPUTED_VALUE"""),0.004)</f>
        <v>4.0000000000000001E-3</v>
      </c>
      <c r="T1436" s="63" t="str">
        <f ca="1">IFERROR(__xludf.DUMMYFUNCTION("""COMPUTED_VALUE"""),"https://storage.googleapis.com/glide-prod.appspot.com/uploads-v2/ly7o78grxPaC6KdgvbpS/pub/3aRdSog0vUtuqPE8AJKD.png")</f>
        <v>https://storage.googleapis.com/glide-prod.appspot.com/uploads-v2/ly7o78grxPaC6KdgvbpS/pub/3aRdSog0vUtuqPE8AJKD.png</v>
      </c>
      <c r="U1436" s="5" t="str">
        <f ca="1">IFERROR(__xludf.DUMMYFUNCTION("""COMPUTED_VALUE"""),"LINEA DE ENVASADO FAMILIAR Y PRBLAVADORA DE BOTELLAS")</f>
        <v>LINEA DE ENVASADO FAMILIAR Y PRBLAVADORA DE BOTELLAS</v>
      </c>
      <c r="V1436" s="5"/>
      <c r="W1436" s="5" t="b">
        <f ca="1">IFERROR(__xludf.DUMMYFUNCTION("""COMPUTED_VALUE"""),TRUE)</f>
        <v>1</v>
      </c>
      <c r="X1436" s="5" t="str">
        <f ca="1">IFERROR(__xludf.DUMMYFUNCTION("""COMPUTED_VALUE"""),"wguerra@postobon.com.co,aprmttoyu@postobon.com.co,aprmyu@postobon.com.co,wmora@postobon.com.co,efzapata@postobon.com.co")</f>
        <v>wguerra@postobon.com.co,aprmttoyu@postobon.com.co,aprmyu@postobon.com.co,wmora@postobon.com.co,efzapata@postobon.com.co</v>
      </c>
      <c r="Y1436" s="5" t="str">
        <f ca="1">IFERROR(__xludf.DUMMYFUNCTION("""COMPUTED_VALUE"""),"wguerra@postobon.com.co")</f>
        <v>wguerra@postobon.com.co</v>
      </c>
      <c r="Z1436" s="5" t="str">
        <f ca="1">IFERROR(__xludf.DUMMYFUNCTION("""COMPUTED_VALUE"""),"Vrx3DjLvQrWmS7mb2wmEVA")</f>
        <v>Vrx3DjLvQrWmS7mb2wmEVA</v>
      </c>
      <c r="AA1436" s="5"/>
      <c r="AB1436" s="5"/>
      <c r="AC1436" s="5"/>
      <c r="AD1436" s="5">
        <f ca="1">IFERROR(__xludf.DUMMYFUNCTION("""COMPUTED_VALUE"""),78)</f>
        <v>78</v>
      </c>
      <c r="AE1436" s="5">
        <f ca="1">IFERROR(__xludf.DUMMYFUNCTION("""COMPUTED_VALUE"""),77)</f>
        <v>77</v>
      </c>
      <c r="AF1436" s="5" t="b">
        <f ca="1">IFERROR(__xludf.DUMMYFUNCTION("""COMPUTED_VALUE"""),FALSE)</f>
        <v>0</v>
      </c>
      <c r="AG1436" s="5" t="str">
        <f ca="1">IFERROR(__xludf.DUMMYFUNCTION("""COMPUTED_VALUE"""),"INSPECCIONES REALIZADAS")</f>
        <v>INSPECCIONES REALIZADAS</v>
      </c>
      <c r="AH1436" s="5"/>
    </row>
    <row r="1437" spans="1:34">
      <c r="A1437" s="5" t="str">
        <f ca="1">IFERROR(__xludf.DUMMYFUNCTION("""COMPUTED_VALUE"""),"LINEA DE ENVASADO FAMILIAR Y PRB")</f>
        <v>LINEA DE ENVASADO FAMILIAR Y PRB</v>
      </c>
      <c r="B1437" s="5">
        <f ca="1">IFERROR(__xludf.DUMMYFUNCTION("""COMPUTED_VALUE"""),828266)</f>
        <v>828266</v>
      </c>
      <c r="C1437" s="5" t="str">
        <f ca="1">IFERROR(__xludf.DUMMYFUNCTION("""COMPUTED_VALUE"""),"LAVADORA DE BOTELLAS")</f>
        <v>LAVADORA DE BOTELLAS</v>
      </c>
      <c r="D1437" s="5">
        <f ca="1">IFERROR(__xludf.DUMMYFUNCTION("""COMPUTED_VALUE"""),13247275)</f>
        <v>13247275</v>
      </c>
      <c r="E1437" s="5" t="str">
        <f ca="1">IFERROR(__xludf.DUMMYFUNCTION("""COMPUTED_VALUE"""),"INSPECCION SEMANAL LAVADORA DE BOTELLAS")</f>
        <v>INSPECCION SEMANAL LAVADORA DE BOTELLAS</v>
      </c>
      <c r="F1437" s="5" t="str">
        <f ca="1">IFERROR(__xludf.DUMMYFUNCTION("""COMPUTED_VALUE"""),"Estado del flujo de agua en el pre-enjuague")</f>
        <v>Estado del flujo de agua en el pre-enjuague</v>
      </c>
      <c r="G1437" s="5" t="b">
        <f ca="1">IFERROR(__xludf.DUMMYFUNCTION("""COMPUTED_VALUE"""),TRUE)</f>
        <v>1</v>
      </c>
      <c r="H1437" s="5"/>
      <c r="I1437" s="5"/>
      <c r="J1437" s="5">
        <f ca="1">IFERROR(__xludf.DUMMYFUNCTION("""COMPUTED_VALUE"""),13247275)</f>
        <v>13247275</v>
      </c>
      <c r="K1437" s="5"/>
      <c r="L1437" s="18">
        <f ca="1">IFERROR(__xludf.DUMMYFUNCTION("""COMPUTED_VALUE"""),45324)</f>
        <v>45324</v>
      </c>
      <c r="M1437" s="18">
        <f ca="1">IFERROR(__xludf.DUMMYFUNCTION("""COMPUTED_VALUE"""),45324)</f>
        <v>45324</v>
      </c>
      <c r="N1437" s="5" t="str">
        <f ca="1">IFERROR(__xludf.DUMMYFUNCTION("""COMPUTED_VALUE"""),"Henao William")</f>
        <v>Henao William</v>
      </c>
      <c r="O1437" s="2">
        <f ca="1">IFERROR(__xludf.DUMMYFUNCTION("""COMPUTED_VALUE"""),0.004)</f>
        <v>4.0000000000000001E-3</v>
      </c>
      <c r="P1437" s="5">
        <f ca="1">IFERROR(__xludf.DUMMYFUNCTION("""COMPUTED_VALUE"""),20009827)</f>
        <v>20009827</v>
      </c>
      <c r="Q1437" s="5" t="str">
        <f ca="1">IFERROR(__xludf.DUMMYFUNCTION("""COMPUTED_VALUE"""),"F98rIHkdiEk")</f>
        <v>F98rIHkdiEk</v>
      </c>
      <c r="R1437" s="5">
        <f ca="1">IFERROR(__xludf.DUMMYFUNCTION("""COMPUTED_VALUE"""),410)</f>
        <v>410</v>
      </c>
      <c r="S1437" s="62">
        <f ca="1">IFERROR(__xludf.DUMMYFUNCTION("""COMPUTED_VALUE"""),0.004)</f>
        <v>4.0000000000000001E-3</v>
      </c>
      <c r="T1437" s="63" t="str">
        <f ca="1">IFERROR(__xludf.DUMMYFUNCTION("""COMPUTED_VALUE"""),"https://storage.googleapis.com/glide-prod.appspot.com/uploads-v2/ly7o78grxPaC6KdgvbpS/pub/3aRdSog0vUtuqPE8AJKD.png")</f>
        <v>https://storage.googleapis.com/glide-prod.appspot.com/uploads-v2/ly7o78grxPaC6KdgvbpS/pub/3aRdSog0vUtuqPE8AJKD.png</v>
      </c>
      <c r="U1437" s="5" t="str">
        <f ca="1">IFERROR(__xludf.DUMMYFUNCTION("""COMPUTED_VALUE"""),"LINEA DE ENVASADO FAMILIAR Y PRBLAVADORA DE BOTELLAS")</f>
        <v>LINEA DE ENVASADO FAMILIAR Y PRBLAVADORA DE BOTELLAS</v>
      </c>
      <c r="V1437" s="5"/>
      <c r="W1437" s="5" t="b">
        <f ca="1">IFERROR(__xludf.DUMMYFUNCTION("""COMPUTED_VALUE"""),TRUE)</f>
        <v>1</v>
      </c>
      <c r="X1437" s="5" t="str">
        <f ca="1">IFERROR(__xludf.DUMMYFUNCTION("""COMPUTED_VALUE"""),"wguerra@postobon.com.co,aprmttoyu@postobon.com.co,aprmyu@postobon.com.co,wmora@postobon.com.co,efzapata@postobon.com.co")</f>
        <v>wguerra@postobon.com.co,aprmttoyu@postobon.com.co,aprmyu@postobon.com.co,wmora@postobon.com.co,efzapata@postobon.com.co</v>
      </c>
      <c r="Y1437" s="5" t="str">
        <f ca="1">IFERROR(__xludf.DUMMYFUNCTION("""COMPUTED_VALUE"""),"wguerra@postobon.com.co")</f>
        <v>wguerra@postobon.com.co</v>
      </c>
      <c r="Z1437" s="5" t="str">
        <f ca="1">IFERROR(__xludf.DUMMYFUNCTION("""COMPUTED_VALUE"""),"acqmWWMMSqijGC9HguUsCQ")</f>
        <v>acqmWWMMSqijGC9HguUsCQ</v>
      </c>
      <c r="AA1437" s="5"/>
      <c r="AB1437" s="5"/>
      <c r="AC1437" s="5"/>
      <c r="AD1437" s="5">
        <f ca="1">IFERROR(__xludf.DUMMYFUNCTION("""COMPUTED_VALUE"""),78)</f>
        <v>78</v>
      </c>
      <c r="AE1437" s="5">
        <f ca="1">IFERROR(__xludf.DUMMYFUNCTION("""COMPUTED_VALUE"""),77)</f>
        <v>77</v>
      </c>
      <c r="AF1437" s="5" t="b">
        <f ca="1">IFERROR(__xludf.DUMMYFUNCTION("""COMPUTED_VALUE"""),FALSE)</f>
        <v>0</v>
      </c>
      <c r="AG1437" s="5" t="str">
        <f ca="1">IFERROR(__xludf.DUMMYFUNCTION("""COMPUTED_VALUE"""),"INSPECCIONES REALIZADAS")</f>
        <v>INSPECCIONES REALIZADAS</v>
      </c>
      <c r="AH1437" s="5"/>
    </row>
    <row r="1438" spans="1:34">
      <c r="A1438" s="5" t="str">
        <f ca="1">IFERROR(__xludf.DUMMYFUNCTION("""COMPUTED_VALUE"""),"LINEA DE ENVASADO FAMILIAR Y PRB")</f>
        <v>LINEA DE ENVASADO FAMILIAR Y PRB</v>
      </c>
      <c r="B1438" s="5">
        <f ca="1">IFERROR(__xludf.DUMMYFUNCTION("""COMPUTED_VALUE"""),828266)</f>
        <v>828266</v>
      </c>
      <c r="C1438" s="5" t="str">
        <f ca="1">IFERROR(__xludf.DUMMYFUNCTION("""COMPUTED_VALUE"""),"LAVADORA DE BOTELLAS")</f>
        <v>LAVADORA DE BOTELLAS</v>
      </c>
      <c r="D1438" s="5">
        <f ca="1">IFERROR(__xludf.DUMMYFUNCTION("""COMPUTED_VALUE"""),13247275)</f>
        <v>13247275</v>
      </c>
      <c r="E1438" s="5" t="str">
        <f ca="1">IFERROR(__xludf.DUMMYFUNCTION("""COMPUTED_VALUE"""),"INSPECCION SEMANAL LAVADORA DE BOTELLAS")</f>
        <v>INSPECCION SEMANAL LAVADORA DE BOTELLAS</v>
      </c>
      <c r="F1438" s="5" t="str">
        <f ca="1">IFERROR(__xludf.DUMMYFUNCTION("""COMPUTED_VALUE"""),"Flujo de agua y centrado de boquillas enjuague")</f>
        <v>Flujo de agua y centrado de boquillas enjuague</v>
      </c>
      <c r="G1438" s="5" t="b">
        <f ca="1">IFERROR(__xludf.DUMMYFUNCTION("""COMPUTED_VALUE"""),TRUE)</f>
        <v>1</v>
      </c>
      <c r="H1438" s="5"/>
      <c r="I1438" s="5"/>
      <c r="J1438" s="5">
        <f ca="1">IFERROR(__xludf.DUMMYFUNCTION("""COMPUTED_VALUE"""),13247275)</f>
        <v>13247275</v>
      </c>
      <c r="K1438" s="5"/>
      <c r="L1438" s="18">
        <f ca="1">IFERROR(__xludf.DUMMYFUNCTION("""COMPUTED_VALUE"""),45324)</f>
        <v>45324</v>
      </c>
      <c r="M1438" s="18">
        <f ca="1">IFERROR(__xludf.DUMMYFUNCTION("""COMPUTED_VALUE"""),45324)</f>
        <v>45324</v>
      </c>
      <c r="N1438" s="5" t="str">
        <f ca="1">IFERROR(__xludf.DUMMYFUNCTION("""COMPUTED_VALUE"""),"Henao William")</f>
        <v>Henao William</v>
      </c>
      <c r="O1438" s="2">
        <f ca="1">IFERROR(__xludf.DUMMYFUNCTION("""COMPUTED_VALUE"""),0.004)</f>
        <v>4.0000000000000001E-3</v>
      </c>
      <c r="P1438" s="5">
        <f ca="1">IFERROR(__xludf.DUMMYFUNCTION("""COMPUTED_VALUE"""),20009827)</f>
        <v>20009827</v>
      </c>
      <c r="Q1438" s="5" t="str">
        <f ca="1">IFERROR(__xludf.DUMMYFUNCTION("""COMPUTED_VALUE"""),"O2NlCzwOQCs")</f>
        <v>O2NlCzwOQCs</v>
      </c>
      <c r="R1438" s="5">
        <f ca="1">IFERROR(__xludf.DUMMYFUNCTION("""COMPUTED_VALUE"""),410)</f>
        <v>410</v>
      </c>
      <c r="S1438" s="62">
        <f ca="1">IFERROR(__xludf.DUMMYFUNCTION("""COMPUTED_VALUE"""),0.004)</f>
        <v>4.0000000000000001E-3</v>
      </c>
      <c r="T1438" s="63" t="str">
        <f ca="1">IFERROR(__xludf.DUMMYFUNCTION("""COMPUTED_VALUE"""),"https://storage.googleapis.com/glide-prod.appspot.com/uploads-v2/ly7o78grxPaC6KdgvbpS/pub/3aRdSog0vUtuqPE8AJKD.png")</f>
        <v>https://storage.googleapis.com/glide-prod.appspot.com/uploads-v2/ly7o78grxPaC6KdgvbpS/pub/3aRdSog0vUtuqPE8AJKD.png</v>
      </c>
      <c r="U1438" s="5" t="str">
        <f ca="1">IFERROR(__xludf.DUMMYFUNCTION("""COMPUTED_VALUE"""),"LINEA DE ENVASADO FAMILIAR Y PRBLAVADORA DE BOTELLAS")</f>
        <v>LINEA DE ENVASADO FAMILIAR Y PRBLAVADORA DE BOTELLAS</v>
      </c>
      <c r="V1438" s="5"/>
      <c r="W1438" s="5" t="b">
        <f ca="1">IFERROR(__xludf.DUMMYFUNCTION("""COMPUTED_VALUE"""),TRUE)</f>
        <v>1</v>
      </c>
      <c r="X1438" s="5" t="str">
        <f ca="1">IFERROR(__xludf.DUMMYFUNCTION("""COMPUTED_VALUE"""),"wguerra@postobon.com.co,aprmttoyu@postobon.com.co,aprmyu@postobon.com.co,wmora@postobon.com.co,efzapata@postobon.com.co")</f>
        <v>wguerra@postobon.com.co,aprmttoyu@postobon.com.co,aprmyu@postobon.com.co,wmora@postobon.com.co,efzapata@postobon.com.co</v>
      </c>
      <c r="Y1438" s="5" t="str">
        <f ca="1">IFERROR(__xludf.DUMMYFUNCTION("""COMPUTED_VALUE"""),"wguerra@postobon.com.co")</f>
        <v>wguerra@postobon.com.co</v>
      </c>
      <c r="Z1438" s="5" t="str">
        <f ca="1">IFERROR(__xludf.DUMMYFUNCTION("""COMPUTED_VALUE"""),"skyaJbASS6qY8gIbghM.1g")</f>
        <v>skyaJbASS6qY8gIbghM.1g</v>
      </c>
      <c r="AA1438" s="5"/>
      <c r="AB1438" s="5"/>
      <c r="AC1438" s="5"/>
      <c r="AD1438" s="5">
        <f ca="1">IFERROR(__xludf.DUMMYFUNCTION("""COMPUTED_VALUE"""),78)</f>
        <v>78</v>
      </c>
      <c r="AE1438" s="5">
        <f ca="1">IFERROR(__xludf.DUMMYFUNCTION("""COMPUTED_VALUE"""),77)</f>
        <v>77</v>
      </c>
      <c r="AF1438" s="5" t="b">
        <f ca="1">IFERROR(__xludf.DUMMYFUNCTION("""COMPUTED_VALUE"""),FALSE)</f>
        <v>0</v>
      </c>
      <c r="AG1438" s="5" t="str">
        <f ca="1">IFERROR(__xludf.DUMMYFUNCTION("""COMPUTED_VALUE"""),"INSPECCIONES REALIZADAS")</f>
        <v>INSPECCIONES REALIZADAS</v>
      </c>
      <c r="AH1438" s="5"/>
    </row>
    <row r="1439" spans="1:34">
      <c r="A1439" s="5" t="str">
        <f ca="1">IFERROR(__xludf.DUMMYFUNCTION("""COMPUTED_VALUE"""),"LINEA DE ENVASADO FAMILIAR Y PRB")</f>
        <v>LINEA DE ENVASADO FAMILIAR Y PRB</v>
      </c>
      <c r="B1439" s="5">
        <f ca="1">IFERROR(__xludf.DUMMYFUNCTION("""COMPUTED_VALUE"""),828266)</f>
        <v>828266</v>
      </c>
      <c r="C1439" s="5" t="str">
        <f ca="1">IFERROR(__xludf.DUMMYFUNCTION("""COMPUTED_VALUE"""),"LAVADORA DE BOTELLAS")</f>
        <v>LAVADORA DE BOTELLAS</v>
      </c>
      <c r="D1439" s="5">
        <f ca="1">IFERROR(__xludf.DUMMYFUNCTION("""COMPUTED_VALUE"""),13247275)</f>
        <v>13247275</v>
      </c>
      <c r="E1439" s="5" t="str">
        <f ca="1">IFERROR(__xludf.DUMMYFUNCTION("""COMPUTED_VALUE"""),"INSPECCION SEMANAL LAVADORA DE BOTELLAS")</f>
        <v>INSPECCION SEMANAL LAVADORA DE BOTELLAS</v>
      </c>
      <c r="F1439" s="5" t="str">
        <f ca="1">IFERROR(__xludf.DUMMYFUNCTION("""COMPUTED_VALUE"""),"Estado de motores y motobombas")</f>
        <v>Estado de motores y motobombas</v>
      </c>
      <c r="G1439" s="5" t="b">
        <f ca="1">IFERROR(__xludf.DUMMYFUNCTION("""COMPUTED_VALUE"""),TRUE)</f>
        <v>1</v>
      </c>
      <c r="H1439" s="5"/>
      <c r="I1439" s="5"/>
      <c r="J1439" s="5">
        <f ca="1">IFERROR(__xludf.DUMMYFUNCTION("""COMPUTED_VALUE"""),13247275)</f>
        <v>13247275</v>
      </c>
      <c r="K1439" s="5"/>
      <c r="L1439" s="18">
        <f ca="1">IFERROR(__xludf.DUMMYFUNCTION("""COMPUTED_VALUE"""),45324)</f>
        <v>45324</v>
      </c>
      <c r="M1439" s="18">
        <f ca="1">IFERROR(__xludf.DUMMYFUNCTION("""COMPUTED_VALUE"""),45324)</f>
        <v>45324</v>
      </c>
      <c r="N1439" s="5" t="str">
        <f ca="1">IFERROR(__xludf.DUMMYFUNCTION("""COMPUTED_VALUE"""),"Henao William")</f>
        <v>Henao William</v>
      </c>
      <c r="O1439" s="2">
        <f ca="1">IFERROR(__xludf.DUMMYFUNCTION("""COMPUTED_VALUE"""),0.004)</f>
        <v>4.0000000000000001E-3</v>
      </c>
      <c r="P1439" s="5">
        <f ca="1">IFERROR(__xludf.DUMMYFUNCTION("""COMPUTED_VALUE"""),20009827)</f>
        <v>20009827</v>
      </c>
      <c r="Q1439" s="5" t="str">
        <f ca="1">IFERROR(__xludf.DUMMYFUNCTION("""COMPUTED_VALUE"""),"7_KK18En0jE")</f>
        <v>7_KK18En0jE</v>
      </c>
      <c r="R1439" s="5">
        <f ca="1">IFERROR(__xludf.DUMMYFUNCTION("""COMPUTED_VALUE"""),410)</f>
        <v>410</v>
      </c>
      <c r="S1439" s="62">
        <f ca="1">IFERROR(__xludf.DUMMYFUNCTION("""COMPUTED_VALUE"""),0.004)</f>
        <v>4.0000000000000001E-3</v>
      </c>
      <c r="T1439" s="63" t="str">
        <f ca="1">IFERROR(__xludf.DUMMYFUNCTION("""COMPUTED_VALUE"""),"https://storage.googleapis.com/glide-prod.appspot.com/uploads-v2/ly7o78grxPaC6KdgvbpS/pub/3aRdSog0vUtuqPE8AJKD.png")</f>
        <v>https://storage.googleapis.com/glide-prod.appspot.com/uploads-v2/ly7o78grxPaC6KdgvbpS/pub/3aRdSog0vUtuqPE8AJKD.png</v>
      </c>
      <c r="U1439" s="5" t="str">
        <f ca="1">IFERROR(__xludf.DUMMYFUNCTION("""COMPUTED_VALUE"""),"LINEA DE ENVASADO FAMILIAR Y PRBLAVADORA DE BOTELLAS")</f>
        <v>LINEA DE ENVASADO FAMILIAR Y PRBLAVADORA DE BOTELLAS</v>
      </c>
      <c r="V1439" s="5"/>
      <c r="W1439" s="5" t="b">
        <f ca="1">IFERROR(__xludf.DUMMYFUNCTION("""COMPUTED_VALUE"""),TRUE)</f>
        <v>1</v>
      </c>
      <c r="X1439" s="5" t="str">
        <f ca="1">IFERROR(__xludf.DUMMYFUNCTION("""COMPUTED_VALUE"""),"wguerra@postobon.com.co,aprmttoyu@postobon.com.co,aprmyu@postobon.com.co,wmora@postobon.com.co,efzapata@postobon.com.co")</f>
        <v>wguerra@postobon.com.co,aprmttoyu@postobon.com.co,aprmyu@postobon.com.co,wmora@postobon.com.co,efzapata@postobon.com.co</v>
      </c>
      <c r="Y1439" s="5" t="str">
        <f ca="1">IFERROR(__xludf.DUMMYFUNCTION("""COMPUTED_VALUE"""),"wguerra@postobon.com.co")</f>
        <v>wguerra@postobon.com.co</v>
      </c>
      <c r="Z1439" s="5" t="str">
        <f ca="1">IFERROR(__xludf.DUMMYFUNCTION("""COMPUTED_VALUE"""),"23QBsVFsRbeRBXTG9pKtwQ")</f>
        <v>23QBsVFsRbeRBXTG9pKtwQ</v>
      </c>
      <c r="AA1439" s="5"/>
      <c r="AB1439" s="5"/>
      <c r="AC1439" s="5"/>
      <c r="AD1439" s="5">
        <f ca="1">IFERROR(__xludf.DUMMYFUNCTION("""COMPUTED_VALUE"""),78)</f>
        <v>78</v>
      </c>
      <c r="AE1439" s="5">
        <f ca="1">IFERROR(__xludf.DUMMYFUNCTION("""COMPUTED_VALUE"""),77)</f>
        <v>77</v>
      </c>
      <c r="AF1439" s="5" t="b">
        <f ca="1">IFERROR(__xludf.DUMMYFUNCTION("""COMPUTED_VALUE"""),FALSE)</f>
        <v>0</v>
      </c>
      <c r="AG1439" s="5" t="str">
        <f ca="1">IFERROR(__xludf.DUMMYFUNCTION("""COMPUTED_VALUE"""),"INSPECCIONES REALIZADAS")</f>
        <v>INSPECCIONES REALIZADAS</v>
      </c>
      <c r="AH1439" s="5"/>
    </row>
    <row r="1440" spans="1:34">
      <c r="A1440" s="5" t="str">
        <f ca="1">IFERROR(__xludf.DUMMYFUNCTION("""COMPUTED_VALUE"""),"LINEA DE ENVASADO FAMILIAR Y PRB")</f>
        <v>LINEA DE ENVASADO FAMILIAR Y PRB</v>
      </c>
      <c r="B1440" s="5">
        <f ca="1">IFERROR(__xludf.DUMMYFUNCTION("""COMPUTED_VALUE"""),828266)</f>
        <v>828266</v>
      </c>
      <c r="C1440" s="5" t="str">
        <f ca="1">IFERROR(__xludf.DUMMYFUNCTION("""COMPUTED_VALUE"""),"LAVADORA DE BOTELLAS")</f>
        <v>LAVADORA DE BOTELLAS</v>
      </c>
      <c r="D1440" s="5">
        <f ca="1">IFERROR(__xludf.DUMMYFUNCTION("""COMPUTED_VALUE"""),13247275)</f>
        <v>13247275</v>
      </c>
      <c r="E1440" s="5" t="str">
        <f ca="1">IFERROR(__xludf.DUMMYFUNCTION("""COMPUTED_VALUE"""),"INSPECCION SEMANAL LAVADORA DE BOTELLAS")</f>
        <v>INSPECCION SEMANAL LAVADORA DE BOTELLAS</v>
      </c>
      <c r="F1440" s="5" t="str">
        <f ca="1">IFERROR(__xludf.DUMMYFUNCTION("""COMPUTED_VALUE"""),"Estado cajas reductoras")</f>
        <v>Estado cajas reductoras</v>
      </c>
      <c r="G1440" s="5" t="b">
        <f ca="1">IFERROR(__xludf.DUMMYFUNCTION("""COMPUTED_VALUE"""),TRUE)</f>
        <v>1</v>
      </c>
      <c r="H1440" s="5"/>
      <c r="I1440" s="5"/>
      <c r="J1440" s="5">
        <f ca="1">IFERROR(__xludf.DUMMYFUNCTION("""COMPUTED_VALUE"""),13247275)</f>
        <v>13247275</v>
      </c>
      <c r="K1440" s="5"/>
      <c r="L1440" s="18">
        <f ca="1">IFERROR(__xludf.DUMMYFUNCTION("""COMPUTED_VALUE"""),45324)</f>
        <v>45324</v>
      </c>
      <c r="M1440" s="18">
        <f ca="1">IFERROR(__xludf.DUMMYFUNCTION("""COMPUTED_VALUE"""),45324)</f>
        <v>45324</v>
      </c>
      <c r="N1440" s="5" t="str">
        <f ca="1">IFERROR(__xludf.DUMMYFUNCTION("""COMPUTED_VALUE"""),"Henao William")</f>
        <v>Henao William</v>
      </c>
      <c r="O1440" s="2">
        <f ca="1">IFERROR(__xludf.DUMMYFUNCTION("""COMPUTED_VALUE"""),0.004)</f>
        <v>4.0000000000000001E-3</v>
      </c>
      <c r="P1440" s="5">
        <f ca="1">IFERROR(__xludf.DUMMYFUNCTION("""COMPUTED_VALUE"""),20009827)</f>
        <v>20009827</v>
      </c>
      <c r="Q1440" s="5" t="str">
        <f ca="1">IFERROR(__xludf.DUMMYFUNCTION("""COMPUTED_VALUE"""),"hoESyHRfllk")</f>
        <v>hoESyHRfllk</v>
      </c>
      <c r="R1440" s="5">
        <f ca="1">IFERROR(__xludf.DUMMYFUNCTION("""COMPUTED_VALUE"""),410)</f>
        <v>410</v>
      </c>
      <c r="S1440" s="62">
        <f ca="1">IFERROR(__xludf.DUMMYFUNCTION("""COMPUTED_VALUE"""),0.004)</f>
        <v>4.0000000000000001E-3</v>
      </c>
      <c r="T1440" s="63" t="str">
        <f ca="1">IFERROR(__xludf.DUMMYFUNCTION("""COMPUTED_VALUE"""),"https://storage.googleapis.com/glide-prod.appspot.com/uploads-v2/ly7o78grxPaC6KdgvbpS/pub/3aRdSog0vUtuqPE8AJKD.png")</f>
        <v>https://storage.googleapis.com/glide-prod.appspot.com/uploads-v2/ly7o78grxPaC6KdgvbpS/pub/3aRdSog0vUtuqPE8AJKD.png</v>
      </c>
      <c r="U1440" s="5" t="str">
        <f ca="1">IFERROR(__xludf.DUMMYFUNCTION("""COMPUTED_VALUE"""),"LINEA DE ENVASADO FAMILIAR Y PRBLAVADORA DE BOTELLAS")</f>
        <v>LINEA DE ENVASADO FAMILIAR Y PRBLAVADORA DE BOTELLAS</v>
      </c>
      <c r="V1440" s="5"/>
      <c r="W1440" s="5" t="b">
        <f ca="1">IFERROR(__xludf.DUMMYFUNCTION("""COMPUTED_VALUE"""),TRUE)</f>
        <v>1</v>
      </c>
      <c r="X1440" s="5" t="str">
        <f ca="1">IFERROR(__xludf.DUMMYFUNCTION("""COMPUTED_VALUE"""),"wguerra@postobon.com.co,aprmttoyu@postobon.com.co,aprmyu@postobon.com.co,wmora@postobon.com.co,efzapata@postobon.com.co")</f>
        <v>wguerra@postobon.com.co,aprmttoyu@postobon.com.co,aprmyu@postobon.com.co,wmora@postobon.com.co,efzapata@postobon.com.co</v>
      </c>
      <c r="Y1440" s="5" t="str">
        <f ca="1">IFERROR(__xludf.DUMMYFUNCTION("""COMPUTED_VALUE"""),"wguerra@postobon.com.co")</f>
        <v>wguerra@postobon.com.co</v>
      </c>
      <c r="Z1440" s="5" t="str">
        <f ca="1">IFERROR(__xludf.DUMMYFUNCTION("""COMPUTED_VALUE"""),"I4IbFTm1TgWtiw1tJM6juA")</f>
        <v>I4IbFTm1TgWtiw1tJM6juA</v>
      </c>
      <c r="AA1440" s="5"/>
      <c r="AB1440" s="5"/>
      <c r="AC1440" s="5"/>
      <c r="AD1440" s="5">
        <f ca="1">IFERROR(__xludf.DUMMYFUNCTION("""COMPUTED_VALUE"""),78)</f>
        <v>78</v>
      </c>
      <c r="AE1440" s="5">
        <f ca="1">IFERROR(__xludf.DUMMYFUNCTION("""COMPUTED_VALUE"""),77)</f>
        <v>77</v>
      </c>
      <c r="AF1440" s="5" t="b">
        <f ca="1">IFERROR(__xludf.DUMMYFUNCTION("""COMPUTED_VALUE"""),FALSE)</f>
        <v>0</v>
      </c>
      <c r="AG1440" s="5" t="str">
        <f ca="1">IFERROR(__xludf.DUMMYFUNCTION("""COMPUTED_VALUE"""),"INSPECCIONES REALIZADAS")</f>
        <v>INSPECCIONES REALIZADAS</v>
      </c>
      <c r="AH1440" s="5"/>
    </row>
    <row r="1441" spans="1:34">
      <c r="A1441" s="5" t="str">
        <f ca="1">IFERROR(__xludf.DUMMYFUNCTION("""COMPUTED_VALUE"""),"LINEA DE ENVASADO FAMILIAR Y PRB")</f>
        <v>LINEA DE ENVASADO FAMILIAR Y PRB</v>
      </c>
      <c r="B1441" s="5">
        <f ca="1">IFERROR(__xludf.DUMMYFUNCTION("""COMPUTED_VALUE"""),828266)</f>
        <v>828266</v>
      </c>
      <c r="C1441" s="5" t="str">
        <f ca="1">IFERROR(__xludf.DUMMYFUNCTION("""COMPUTED_VALUE"""),"LAVADORA DE BOTELLAS")</f>
        <v>LAVADORA DE BOTELLAS</v>
      </c>
      <c r="D1441" s="5">
        <f ca="1">IFERROR(__xludf.DUMMYFUNCTION("""COMPUTED_VALUE"""),13247275)</f>
        <v>13247275</v>
      </c>
      <c r="E1441" s="5" t="str">
        <f ca="1">IFERROR(__xludf.DUMMYFUNCTION("""COMPUTED_VALUE"""),"INSPECCION SEMANAL LAVADORA DE BOTELLAS")</f>
        <v>INSPECCION SEMANAL LAVADORA DE BOTELLAS</v>
      </c>
      <c r="F1441" s="5" t="str">
        <f ca="1">IFERROR(__xludf.DUMMYFUNCTION("""COMPUTED_VALUE"""),"Estado de las cortinas descarga")</f>
        <v>Estado de las cortinas descarga</v>
      </c>
      <c r="G1441" s="5" t="b">
        <f ca="1">IFERROR(__xludf.DUMMYFUNCTION("""COMPUTED_VALUE"""),TRUE)</f>
        <v>1</v>
      </c>
      <c r="H1441" s="5"/>
      <c r="I1441" s="5"/>
      <c r="J1441" s="5">
        <f ca="1">IFERROR(__xludf.DUMMYFUNCTION("""COMPUTED_VALUE"""),13247275)</f>
        <v>13247275</v>
      </c>
      <c r="K1441" s="5"/>
      <c r="L1441" s="18">
        <f ca="1">IFERROR(__xludf.DUMMYFUNCTION("""COMPUTED_VALUE"""),45324)</f>
        <v>45324</v>
      </c>
      <c r="M1441" s="18">
        <f ca="1">IFERROR(__xludf.DUMMYFUNCTION("""COMPUTED_VALUE"""),45324)</f>
        <v>45324</v>
      </c>
      <c r="N1441" s="5" t="str">
        <f ca="1">IFERROR(__xludf.DUMMYFUNCTION("""COMPUTED_VALUE"""),"Henao William")</f>
        <v>Henao William</v>
      </c>
      <c r="O1441" s="2">
        <f ca="1">IFERROR(__xludf.DUMMYFUNCTION("""COMPUTED_VALUE"""),0.004)</f>
        <v>4.0000000000000001E-3</v>
      </c>
      <c r="P1441" s="5">
        <f ca="1">IFERROR(__xludf.DUMMYFUNCTION("""COMPUTED_VALUE"""),20009827)</f>
        <v>20009827</v>
      </c>
      <c r="Q1441" s="5" t="str">
        <f ca="1">IFERROR(__xludf.DUMMYFUNCTION("""COMPUTED_VALUE"""),"JzG5iht1ULc")</f>
        <v>JzG5iht1ULc</v>
      </c>
      <c r="R1441" s="5">
        <f ca="1">IFERROR(__xludf.DUMMYFUNCTION("""COMPUTED_VALUE"""),410)</f>
        <v>410</v>
      </c>
      <c r="S1441" s="62">
        <f ca="1">IFERROR(__xludf.DUMMYFUNCTION("""COMPUTED_VALUE"""),0.004)</f>
        <v>4.0000000000000001E-3</v>
      </c>
      <c r="T1441" s="63" t="str">
        <f ca="1">IFERROR(__xludf.DUMMYFUNCTION("""COMPUTED_VALUE"""),"https://storage.googleapis.com/glide-prod.appspot.com/uploads-v2/ly7o78grxPaC6KdgvbpS/pub/3aRdSog0vUtuqPE8AJKD.png")</f>
        <v>https://storage.googleapis.com/glide-prod.appspot.com/uploads-v2/ly7o78grxPaC6KdgvbpS/pub/3aRdSog0vUtuqPE8AJKD.png</v>
      </c>
      <c r="U1441" s="5" t="str">
        <f ca="1">IFERROR(__xludf.DUMMYFUNCTION("""COMPUTED_VALUE"""),"LINEA DE ENVASADO FAMILIAR Y PRBLAVADORA DE BOTELLAS")</f>
        <v>LINEA DE ENVASADO FAMILIAR Y PRBLAVADORA DE BOTELLAS</v>
      </c>
      <c r="V1441" s="5"/>
      <c r="W1441" s="5" t="b">
        <f ca="1">IFERROR(__xludf.DUMMYFUNCTION("""COMPUTED_VALUE"""),TRUE)</f>
        <v>1</v>
      </c>
      <c r="X1441" s="5" t="str">
        <f ca="1">IFERROR(__xludf.DUMMYFUNCTION("""COMPUTED_VALUE"""),"wguerra@postobon.com.co,aprmttoyu@postobon.com.co,aprmyu@postobon.com.co,wmora@postobon.com.co,efzapata@postobon.com.co")</f>
        <v>wguerra@postobon.com.co,aprmttoyu@postobon.com.co,aprmyu@postobon.com.co,wmora@postobon.com.co,efzapata@postobon.com.co</v>
      </c>
      <c r="Y1441" s="5" t="str">
        <f ca="1">IFERROR(__xludf.DUMMYFUNCTION("""COMPUTED_VALUE"""),"wguerra@postobon.com.co")</f>
        <v>wguerra@postobon.com.co</v>
      </c>
      <c r="Z1441" s="5" t="str">
        <f ca="1">IFERROR(__xludf.DUMMYFUNCTION("""COMPUTED_VALUE"""),"WyWlQWdZRqKFvHw1zsuirg")</f>
        <v>WyWlQWdZRqKFvHw1zsuirg</v>
      </c>
      <c r="AA1441" s="5"/>
      <c r="AB1441" s="5"/>
      <c r="AC1441" s="5"/>
      <c r="AD1441" s="5">
        <f ca="1">IFERROR(__xludf.DUMMYFUNCTION("""COMPUTED_VALUE"""),78)</f>
        <v>78</v>
      </c>
      <c r="AE1441" s="5">
        <f ca="1">IFERROR(__xludf.DUMMYFUNCTION("""COMPUTED_VALUE"""),77)</f>
        <v>77</v>
      </c>
      <c r="AF1441" s="5" t="b">
        <f ca="1">IFERROR(__xludf.DUMMYFUNCTION("""COMPUTED_VALUE"""),FALSE)</f>
        <v>0</v>
      </c>
      <c r="AG1441" s="5" t="str">
        <f ca="1">IFERROR(__xludf.DUMMYFUNCTION("""COMPUTED_VALUE"""),"INSPECCIONES REALIZADAS")</f>
        <v>INSPECCIONES REALIZADAS</v>
      </c>
      <c r="AH1441" s="5"/>
    </row>
    <row r="1442" spans="1:34">
      <c r="A1442" s="5" t="str">
        <f ca="1">IFERROR(__xludf.DUMMYFUNCTION("""COMPUTED_VALUE"""),"LINEA DE ENVASADO FAMILIAR Y PRB")</f>
        <v>LINEA DE ENVASADO FAMILIAR Y PRB</v>
      </c>
      <c r="B1442" s="5">
        <f ca="1">IFERROR(__xludf.DUMMYFUNCTION("""COMPUTED_VALUE"""),828266)</f>
        <v>828266</v>
      </c>
      <c r="C1442" s="5" t="str">
        <f ca="1">IFERROR(__xludf.DUMMYFUNCTION("""COMPUTED_VALUE"""),"LAVADORA DE BOTELLAS")</f>
        <v>LAVADORA DE BOTELLAS</v>
      </c>
      <c r="D1442" s="5">
        <f ca="1">IFERROR(__xludf.DUMMYFUNCTION("""COMPUTED_VALUE"""),13247275)</f>
        <v>13247275</v>
      </c>
      <c r="E1442" s="5" t="str">
        <f ca="1">IFERROR(__xludf.DUMMYFUNCTION("""COMPUTED_VALUE"""),"INSPECCION SEMANAL LAVADORA DE BOTELLAS")</f>
        <v>INSPECCION SEMANAL LAVADORA DE BOTELLAS</v>
      </c>
      <c r="F1442" s="5" t="str">
        <f ca="1">IFERROR(__xludf.DUMMYFUNCTION("""COMPUTED_VALUE"""),"Estado embrague descargue")</f>
        <v>Estado embrague descargue</v>
      </c>
      <c r="G1442" s="5" t="b">
        <f ca="1">IFERROR(__xludf.DUMMYFUNCTION("""COMPUTED_VALUE"""),TRUE)</f>
        <v>1</v>
      </c>
      <c r="H1442" s="5"/>
      <c r="I1442" s="5"/>
      <c r="J1442" s="5">
        <f ca="1">IFERROR(__xludf.DUMMYFUNCTION("""COMPUTED_VALUE"""),13247275)</f>
        <v>13247275</v>
      </c>
      <c r="K1442" s="5"/>
      <c r="L1442" s="18">
        <f ca="1">IFERROR(__xludf.DUMMYFUNCTION("""COMPUTED_VALUE"""),45324)</f>
        <v>45324</v>
      </c>
      <c r="M1442" s="18">
        <f ca="1">IFERROR(__xludf.DUMMYFUNCTION("""COMPUTED_VALUE"""),45324)</f>
        <v>45324</v>
      </c>
      <c r="N1442" s="5" t="str">
        <f ca="1">IFERROR(__xludf.DUMMYFUNCTION("""COMPUTED_VALUE"""),"Henao William")</f>
        <v>Henao William</v>
      </c>
      <c r="O1442" s="2">
        <f ca="1">IFERROR(__xludf.DUMMYFUNCTION("""COMPUTED_VALUE"""),0.004)</f>
        <v>4.0000000000000001E-3</v>
      </c>
      <c r="P1442" s="5">
        <f ca="1">IFERROR(__xludf.DUMMYFUNCTION("""COMPUTED_VALUE"""),20009827)</f>
        <v>20009827</v>
      </c>
      <c r="Q1442" s="5" t="str">
        <f ca="1">IFERROR(__xludf.DUMMYFUNCTION("""COMPUTED_VALUE"""),"ykT_Jdjxy7o")</f>
        <v>ykT_Jdjxy7o</v>
      </c>
      <c r="R1442" s="5">
        <f ca="1">IFERROR(__xludf.DUMMYFUNCTION("""COMPUTED_VALUE"""),410)</f>
        <v>410</v>
      </c>
      <c r="S1442" s="62">
        <f ca="1">IFERROR(__xludf.DUMMYFUNCTION("""COMPUTED_VALUE"""),0.004)</f>
        <v>4.0000000000000001E-3</v>
      </c>
      <c r="T1442" s="63" t="str">
        <f ca="1">IFERROR(__xludf.DUMMYFUNCTION("""COMPUTED_VALUE"""),"https://storage.googleapis.com/glide-prod.appspot.com/uploads-v2/ly7o78grxPaC6KdgvbpS/pub/3aRdSog0vUtuqPE8AJKD.png")</f>
        <v>https://storage.googleapis.com/glide-prod.appspot.com/uploads-v2/ly7o78grxPaC6KdgvbpS/pub/3aRdSog0vUtuqPE8AJKD.png</v>
      </c>
      <c r="U1442" s="5" t="str">
        <f ca="1">IFERROR(__xludf.DUMMYFUNCTION("""COMPUTED_VALUE"""),"LINEA DE ENVASADO FAMILIAR Y PRBLAVADORA DE BOTELLAS")</f>
        <v>LINEA DE ENVASADO FAMILIAR Y PRBLAVADORA DE BOTELLAS</v>
      </c>
      <c r="V1442" s="5"/>
      <c r="W1442" s="5" t="b">
        <f ca="1">IFERROR(__xludf.DUMMYFUNCTION("""COMPUTED_VALUE"""),TRUE)</f>
        <v>1</v>
      </c>
      <c r="X1442" s="5" t="str">
        <f ca="1">IFERROR(__xludf.DUMMYFUNCTION("""COMPUTED_VALUE"""),"wguerra@postobon.com.co,aprmttoyu@postobon.com.co,aprmyu@postobon.com.co,wmora@postobon.com.co,efzapata@postobon.com.co")</f>
        <v>wguerra@postobon.com.co,aprmttoyu@postobon.com.co,aprmyu@postobon.com.co,wmora@postobon.com.co,efzapata@postobon.com.co</v>
      </c>
      <c r="Y1442" s="5" t="str">
        <f ca="1">IFERROR(__xludf.DUMMYFUNCTION("""COMPUTED_VALUE"""),"wguerra@postobon.com.co")</f>
        <v>wguerra@postobon.com.co</v>
      </c>
      <c r="Z1442" s="5" t="str">
        <f ca="1">IFERROR(__xludf.DUMMYFUNCTION("""COMPUTED_VALUE"""),"4jqCA-BAR.isZgN3g2H0mg")</f>
        <v>4jqCA-BAR.isZgN3g2H0mg</v>
      </c>
      <c r="AA1442" s="5"/>
      <c r="AB1442" s="5"/>
      <c r="AC1442" s="5"/>
      <c r="AD1442" s="5">
        <f ca="1">IFERROR(__xludf.DUMMYFUNCTION("""COMPUTED_VALUE"""),78)</f>
        <v>78</v>
      </c>
      <c r="AE1442" s="5">
        <f ca="1">IFERROR(__xludf.DUMMYFUNCTION("""COMPUTED_VALUE"""),77)</f>
        <v>77</v>
      </c>
      <c r="AF1442" s="5" t="b">
        <f ca="1">IFERROR(__xludf.DUMMYFUNCTION("""COMPUTED_VALUE"""),FALSE)</f>
        <v>0</v>
      </c>
      <c r="AG1442" s="5" t="str">
        <f ca="1">IFERROR(__xludf.DUMMYFUNCTION("""COMPUTED_VALUE"""),"INSPECCIONES REALIZADAS")</f>
        <v>INSPECCIONES REALIZADAS</v>
      </c>
      <c r="AH1442" s="5"/>
    </row>
    <row r="1443" spans="1:34">
      <c r="A1443" s="5" t="str">
        <f ca="1">IFERROR(__xludf.DUMMYFUNCTION("""COMPUTED_VALUE"""),"LINEA DE ENVASADO FAMILIAR Y PRB")</f>
        <v>LINEA DE ENVASADO FAMILIAR Y PRB</v>
      </c>
      <c r="B1443" s="5">
        <f ca="1">IFERROR(__xludf.DUMMYFUNCTION("""COMPUTED_VALUE"""),828266)</f>
        <v>828266</v>
      </c>
      <c r="C1443" s="5" t="str">
        <f ca="1">IFERROR(__xludf.DUMMYFUNCTION("""COMPUTED_VALUE"""),"LAVADORA DE BOTELLAS")</f>
        <v>LAVADORA DE BOTELLAS</v>
      </c>
      <c r="D1443" s="5">
        <f ca="1">IFERROR(__xludf.DUMMYFUNCTION("""COMPUTED_VALUE"""),13247275)</f>
        <v>13247275</v>
      </c>
      <c r="E1443" s="5" t="str">
        <f ca="1">IFERROR(__xludf.DUMMYFUNCTION("""COMPUTED_VALUE"""),"INSPECCION SEMANAL LAVADORA DE BOTELLAS")</f>
        <v>INSPECCION SEMANAL LAVADORA DE BOTELLAS</v>
      </c>
      <c r="F1443" s="5" t="str">
        <f ca="1">IFERROR(__xludf.DUMMYFUNCTION("""COMPUTED_VALUE"""),"Estado de flautas pre-rinse")</f>
        <v>Estado de flautas pre-rinse</v>
      </c>
      <c r="G1443" s="5" t="b">
        <f ca="1">IFERROR(__xludf.DUMMYFUNCTION("""COMPUTED_VALUE"""),TRUE)</f>
        <v>1</v>
      </c>
      <c r="H1443" s="5"/>
      <c r="I1443" s="5"/>
      <c r="J1443" s="5">
        <f ca="1">IFERROR(__xludf.DUMMYFUNCTION("""COMPUTED_VALUE"""),13247275)</f>
        <v>13247275</v>
      </c>
      <c r="K1443" s="5"/>
      <c r="L1443" s="18">
        <f ca="1">IFERROR(__xludf.DUMMYFUNCTION("""COMPUTED_VALUE"""),45324)</f>
        <v>45324</v>
      </c>
      <c r="M1443" s="18">
        <f ca="1">IFERROR(__xludf.DUMMYFUNCTION("""COMPUTED_VALUE"""),45324)</f>
        <v>45324</v>
      </c>
      <c r="N1443" s="5" t="str">
        <f ca="1">IFERROR(__xludf.DUMMYFUNCTION("""COMPUTED_VALUE"""),"Henao William")</f>
        <v>Henao William</v>
      </c>
      <c r="O1443" s="2">
        <f ca="1">IFERROR(__xludf.DUMMYFUNCTION("""COMPUTED_VALUE"""),0.004)</f>
        <v>4.0000000000000001E-3</v>
      </c>
      <c r="P1443" s="5">
        <f ca="1">IFERROR(__xludf.DUMMYFUNCTION("""COMPUTED_VALUE"""),20009827)</f>
        <v>20009827</v>
      </c>
      <c r="Q1443" s="5" t="str">
        <f ca="1">IFERROR(__xludf.DUMMYFUNCTION("""COMPUTED_VALUE"""),"NtAWt4vFmm8")</f>
        <v>NtAWt4vFmm8</v>
      </c>
      <c r="R1443" s="5">
        <f ca="1">IFERROR(__xludf.DUMMYFUNCTION("""COMPUTED_VALUE"""),410)</f>
        <v>410</v>
      </c>
      <c r="S1443" s="62">
        <f ca="1">IFERROR(__xludf.DUMMYFUNCTION("""COMPUTED_VALUE"""),0.004)</f>
        <v>4.0000000000000001E-3</v>
      </c>
      <c r="T1443" s="63" t="str">
        <f ca="1">IFERROR(__xludf.DUMMYFUNCTION("""COMPUTED_VALUE"""),"https://storage.googleapis.com/glide-prod.appspot.com/uploads-v2/ly7o78grxPaC6KdgvbpS/pub/3aRdSog0vUtuqPE8AJKD.png")</f>
        <v>https://storage.googleapis.com/glide-prod.appspot.com/uploads-v2/ly7o78grxPaC6KdgvbpS/pub/3aRdSog0vUtuqPE8AJKD.png</v>
      </c>
      <c r="U1443" s="5" t="str">
        <f ca="1">IFERROR(__xludf.DUMMYFUNCTION("""COMPUTED_VALUE"""),"LINEA DE ENVASADO FAMILIAR Y PRBLAVADORA DE BOTELLAS")</f>
        <v>LINEA DE ENVASADO FAMILIAR Y PRBLAVADORA DE BOTELLAS</v>
      </c>
      <c r="V1443" s="5"/>
      <c r="W1443" s="5" t="b">
        <f ca="1">IFERROR(__xludf.DUMMYFUNCTION("""COMPUTED_VALUE"""),TRUE)</f>
        <v>1</v>
      </c>
      <c r="X1443" s="5" t="str">
        <f ca="1">IFERROR(__xludf.DUMMYFUNCTION("""COMPUTED_VALUE"""),"wguerra@postobon.com.co,aprmttoyu@postobon.com.co,aprmyu@postobon.com.co,wmora@postobon.com.co,efzapata@postobon.com.co")</f>
        <v>wguerra@postobon.com.co,aprmttoyu@postobon.com.co,aprmyu@postobon.com.co,wmora@postobon.com.co,efzapata@postobon.com.co</v>
      </c>
      <c r="Y1443" s="5" t="str">
        <f ca="1">IFERROR(__xludf.DUMMYFUNCTION("""COMPUTED_VALUE"""),"wguerra@postobon.com.co")</f>
        <v>wguerra@postobon.com.co</v>
      </c>
      <c r="Z1443" s="5" t="str">
        <f ca="1">IFERROR(__xludf.DUMMYFUNCTION("""COMPUTED_VALUE"""),"7TZHNWoXRTygzuABJM25UA")</f>
        <v>7TZHNWoXRTygzuABJM25UA</v>
      </c>
      <c r="AA1443" s="5"/>
      <c r="AB1443" s="5"/>
      <c r="AC1443" s="5"/>
      <c r="AD1443" s="5">
        <f ca="1">IFERROR(__xludf.DUMMYFUNCTION("""COMPUTED_VALUE"""),78)</f>
        <v>78</v>
      </c>
      <c r="AE1443" s="5">
        <f ca="1">IFERROR(__xludf.DUMMYFUNCTION("""COMPUTED_VALUE"""),77)</f>
        <v>77</v>
      </c>
      <c r="AF1443" s="5" t="b">
        <f ca="1">IFERROR(__xludf.DUMMYFUNCTION("""COMPUTED_VALUE"""),FALSE)</f>
        <v>0</v>
      </c>
      <c r="AG1443" s="5" t="str">
        <f ca="1">IFERROR(__xludf.DUMMYFUNCTION("""COMPUTED_VALUE"""),"INSPECCIONES REALIZADAS")</f>
        <v>INSPECCIONES REALIZADAS</v>
      </c>
      <c r="AH1443" s="5"/>
    </row>
    <row r="1444" spans="1:34">
      <c r="A1444" s="5" t="str">
        <f ca="1">IFERROR(__xludf.DUMMYFUNCTION("""COMPUTED_VALUE"""),"LINEA DE ENVASADO FAMILIAR Y PRB")</f>
        <v>LINEA DE ENVASADO FAMILIAR Y PRB</v>
      </c>
      <c r="B1444" s="5">
        <f ca="1">IFERROR(__xludf.DUMMYFUNCTION("""COMPUTED_VALUE"""),828266)</f>
        <v>828266</v>
      </c>
      <c r="C1444" s="5" t="str">
        <f ca="1">IFERROR(__xludf.DUMMYFUNCTION("""COMPUTED_VALUE"""),"LAVADORA DE BOTELLAS")</f>
        <v>LAVADORA DE BOTELLAS</v>
      </c>
      <c r="D1444" s="5">
        <f ca="1">IFERROR(__xludf.DUMMYFUNCTION("""COMPUTED_VALUE"""),13247275)</f>
        <v>13247275</v>
      </c>
      <c r="E1444" s="5" t="str">
        <f ca="1">IFERROR(__xludf.DUMMYFUNCTION("""COMPUTED_VALUE"""),"INSPECCION SEMANAL LAVADORA DE BOTELLAS")</f>
        <v>INSPECCION SEMANAL LAVADORA DE BOTELLAS</v>
      </c>
      <c r="F1444" s="5" t="str">
        <f ca="1">IFERROR(__xludf.DUMMYFUNCTION("""COMPUTED_VALUE"""),"Fugas (aceite, agua, aire y soda)")</f>
        <v>Fugas (aceite, agua, aire y soda)</v>
      </c>
      <c r="G1444" s="5" t="b">
        <f ca="1">IFERROR(__xludf.DUMMYFUNCTION("""COMPUTED_VALUE"""),TRUE)</f>
        <v>1</v>
      </c>
      <c r="H1444" s="5"/>
      <c r="I1444" s="5"/>
      <c r="J1444" s="5">
        <f ca="1">IFERROR(__xludf.DUMMYFUNCTION("""COMPUTED_VALUE"""),13247275)</f>
        <v>13247275</v>
      </c>
      <c r="K1444" s="5"/>
      <c r="L1444" s="18">
        <f ca="1">IFERROR(__xludf.DUMMYFUNCTION("""COMPUTED_VALUE"""),45324)</f>
        <v>45324</v>
      </c>
      <c r="M1444" s="18">
        <f ca="1">IFERROR(__xludf.DUMMYFUNCTION("""COMPUTED_VALUE"""),45324)</f>
        <v>45324</v>
      </c>
      <c r="N1444" s="5" t="str">
        <f ca="1">IFERROR(__xludf.DUMMYFUNCTION("""COMPUTED_VALUE"""),"Henao William")</f>
        <v>Henao William</v>
      </c>
      <c r="O1444" s="2">
        <f ca="1">IFERROR(__xludf.DUMMYFUNCTION("""COMPUTED_VALUE"""),0.004)</f>
        <v>4.0000000000000001E-3</v>
      </c>
      <c r="P1444" s="5">
        <f ca="1">IFERROR(__xludf.DUMMYFUNCTION("""COMPUTED_VALUE"""),20009827)</f>
        <v>20009827</v>
      </c>
      <c r="Q1444" s="5" t="str">
        <f ca="1">IFERROR(__xludf.DUMMYFUNCTION("""COMPUTED_VALUE"""),"Yi3AgKSlCTE")</f>
        <v>Yi3AgKSlCTE</v>
      </c>
      <c r="R1444" s="5">
        <f ca="1">IFERROR(__xludf.DUMMYFUNCTION("""COMPUTED_VALUE"""),410)</f>
        <v>410</v>
      </c>
      <c r="S1444" s="62">
        <f ca="1">IFERROR(__xludf.DUMMYFUNCTION("""COMPUTED_VALUE"""),0.004)</f>
        <v>4.0000000000000001E-3</v>
      </c>
      <c r="T1444" s="63" t="str">
        <f ca="1">IFERROR(__xludf.DUMMYFUNCTION("""COMPUTED_VALUE"""),"https://storage.googleapis.com/glide-prod.appspot.com/uploads-v2/ly7o78grxPaC6KdgvbpS/pub/3aRdSog0vUtuqPE8AJKD.png")</f>
        <v>https://storage.googleapis.com/glide-prod.appspot.com/uploads-v2/ly7o78grxPaC6KdgvbpS/pub/3aRdSog0vUtuqPE8AJKD.png</v>
      </c>
      <c r="U1444" s="5" t="str">
        <f ca="1">IFERROR(__xludf.DUMMYFUNCTION("""COMPUTED_VALUE"""),"LINEA DE ENVASADO FAMILIAR Y PRBLAVADORA DE BOTELLAS")</f>
        <v>LINEA DE ENVASADO FAMILIAR Y PRBLAVADORA DE BOTELLAS</v>
      </c>
      <c r="V1444" s="5"/>
      <c r="W1444" s="5" t="b">
        <f ca="1">IFERROR(__xludf.DUMMYFUNCTION("""COMPUTED_VALUE"""),TRUE)</f>
        <v>1</v>
      </c>
      <c r="X1444" s="5" t="str">
        <f ca="1">IFERROR(__xludf.DUMMYFUNCTION("""COMPUTED_VALUE"""),"wguerra@postobon.com.co,aprmttoyu@postobon.com.co,aprmyu@postobon.com.co,wmora@postobon.com.co,efzapata@postobon.com.co")</f>
        <v>wguerra@postobon.com.co,aprmttoyu@postobon.com.co,aprmyu@postobon.com.co,wmora@postobon.com.co,efzapata@postobon.com.co</v>
      </c>
      <c r="Y1444" s="5" t="str">
        <f ca="1">IFERROR(__xludf.DUMMYFUNCTION("""COMPUTED_VALUE"""),"wguerra@postobon.com.co")</f>
        <v>wguerra@postobon.com.co</v>
      </c>
      <c r="Z1444" s="5" t="str">
        <f ca="1">IFERROR(__xludf.DUMMYFUNCTION("""COMPUTED_VALUE"""),"NIUEZmXvRCyo-QxzpSTvAw")</f>
        <v>NIUEZmXvRCyo-QxzpSTvAw</v>
      </c>
      <c r="AA1444" s="5"/>
      <c r="AB1444" s="5"/>
      <c r="AC1444" s="5"/>
      <c r="AD1444" s="5">
        <f ca="1">IFERROR(__xludf.DUMMYFUNCTION("""COMPUTED_VALUE"""),78)</f>
        <v>78</v>
      </c>
      <c r="AE1444" s="5">
        <f ca="1">IFERROR(__xludf.DUMMYFUNCTION("""COMPUTED_VALUE"""),77)</f>
        <v>77</v>
      </c>
      <c r="AF1444" s="5" t="b">
        <f ca="1">IFERROR(__xludf.DUMMYFUNCTION("""COMPUTED_VALUE"""),FALSE)</f>
        <v>0</v>
      </c>
      <c r="AG1444" s="5" t="str">
        <f ca="1">IFERROR(__xludf.DUMMYFUNCTION("""COMPUTED_VALUE"""),"INSPECCIONES REALIZADAS")</f>
        <v>INSPECCIONES REALIZADAS</v>
      </c>
      <c r="AH1444" s="5"/>
    </row>
    <row r="1445" spans="1:34">
      <c r="A1445" s="5" t="str">
        <f ca="1">IFERROR(__xludf.DUMMYFUNCTION("""COMPUTED_VALUE"""),"LINEA DE ENVASADO FAMILIAR Y PRB")</f>
        <v>LINEA DE ENVASADO FAMILIAR Y PRB</v>
      </c>
      <c r="B1445" s="5">
        <f ca="1">IFERROR(__xludf.DUMMYFUNCTION("""COMPUTED_VALUE"""),828266)</f>
        <v>828266</v>
      </c>
      <c r="C1445" s="5" t="str">
        <f ca="1">IFERROR(__xludf.DUMMYFUNCTION("""COMPUTED_VALUE"""),"LAVADORA DE BOTELLAS")</f>
        <v>LAVADORA DE BOTELLAS</v>
      </c>
      <c r="D1445" s="5">
        <f ca="1">IFERROR(__xludf.DUMMYFUNCTION("""COMPUTED_VALUE"""),13247275)</f>
        <v>13247275</v>
      </c>
      <c r="E1445" s="5" t="str">
        <f ca="1">IFERROR(__xludf.DUMMYFUNCTION("""COMPUTED_VALUE"""),"INSPECCION SEMANAL LAVADORA DE BOTELLAS")</f>
        <v>INSPECCION SEMANAL LAVADORA DE BOTELLAS</v>
      </c>
      <c r="F1445" s="5" t="str">
        <f ca="1">IFERROR(__xludf.DUMMYFUNCTION("""COMPUTED_VALUE"""),"Estado de punteras leva descarga")</f>
        <v>Estado de punteras leva descarga</v>
      </c>
      <c r="G1445" s="5" t="b">
        <f ca="1">IFERROR(__xludf.DUMMYFUNCTION("""COMPUTED_VALUE"""),TRUE)</f>
        <v>1</v>
      </c>
      <c r="H1445" s="5"/>
      <c r="I1445" s="5"/>
      <c r="J1445" s="5">
        <f ca="1">IFERROR(__xludf.DUMMYFUNCTION("""COMPUTED_VALUE"""),13247275)</f>
        <v>13247275</v>
      </c>
      <c r="K1445" s="5"/>
      <c r="L1445" s="18">
        <f ca="1">IFERROR(__xludf.DUMMYFUNCTION("""COMPUTED_VALUE"""),45324)</f>
        <v>45324</v>
      </c>
      <c r="M1445" s="18">
        <f ca="1">IFERROR(__xludf.DUMMYFUNCTION("""COMPUTED_VALUE"""),45324)</f>
        <v>45324</v>
      </c>
      <c r="N1445" s="5" t="str">
        <f ca="1">IFERROR(__xludf.DUMMYFUNCTION("""COMPUTED_VALUE"""),"Henao William")</f>
        <v>Henao William</v>
      </c>
      <c r="O1445" s="2">
        <f ca="1">IFERROR(__xludf.DUMMYFUNCTION("""COMPUTED_VALUE"""),0.004)</f>
        <v>4.0000000000000001E-3</v>
      </c>
      <c r="P1445" s="5">
        <f ca="1">IFERROR(__xludf.DUMMYFUNCTION("""COMPUTED_VALUE"""),20009827)</f>
        <v>20009827</v>
      </c>
      <c r="Q1445" s="5" t="str">
        <f ca="1">IFERROR(__xludf.DUMMYFUNCTION("""COMPUTED_VALUE"""),"LaUSnr_qFXo")</f>
        <v>LaUSnr_qFXo</v>
      </c>
      <c r="R1445" s="5">
        <f ca="1">IFERROR(__xludf.DUMMYFUNCTION("""COMPUTED_VALUE"""),410)</f>
        <v>410</v>
      </c>
      <c r="S1445" s="62">
        <f ca="1">IFERROR(__xludf.DUMMYFUNCTION("""COMPUTED_VALUE"""),0.004)</f>
        <v>4.0000000000000001E-3</v>
      </c>
      <c r="T1445" s="63" t="str">
        <f ca="1">IFERROR(__xludf.DUMMYFUNCTION("""COMPUTED_VALUE"""),"https://storage.googleapis.com/glide-prod.appspot.com/uploads-v2/ly7o78grxPaC6KdgvbpS/pub/3aRdSog0vUtuqPE8AJKD.png")</f>
        <v>https://storage.googleapis.com/glide-prod.appspot.com/uploads-v2/ly7o78grxPaC6KdgvbpS/pub/3aRdSog0vUtuqPE8AJKD.png</v>
      </c>
      <c r="U1445" s="5" t="str">
        <f ca="1">IFERROR(__xludf.DUMMYFUNCTION("""COMPUTED_VALUE"""),"LINEA DE ENVASADO FAMILIAR Y PRBLAVADORA DE BOTELLAS")</f>
        <v>LINEA DE ENVASADO FAMILIAR Y PRBLAVADORA DE BOTELLAS</v>
      </c>
      <c r="V1445" s="5"/>
      <c r="W1445" s="5" t="b">
        <f ca="1">IFERROR(__xludf.DUMMYFUNCTION("""COMPUTED_VALUE"""),TRUE)</f>
        <v>1</v>
      </c>
      <c r="X1445" s="5" t="str">
        <f ca="1">IFERROR(__xludf.DUMMYFUNCTION("""COMPUTED_VALUE"""),"wguerra@postobon.com.co,aprmttoyu@postobon.com.co,aprmyu@postobon.com.co,wmora@postobon.com.co,efzapata@postobon.com.co")</f>
        <v>wguerra@postobon.com.co,aprmttoyu@postobon.com.co,aprmyu@postobon.com.co,wmora@postobon.com.co,efzapata@postobon.com.co</v>
      </c>
      <c r="Y1445" s="5" t="str">
        <f ca="1">IFERROR(__xludf.DUMMYFUNCTION("""COMPUTED_VALUE"""),"wguerra@postobon.com.co")</f>
        <v>wguerra@postobon.com.co</v>
      </c>
      <c r="Z1445" s="5" t="str">
        <f ca="1">IFERROR(__xludf.DUMMYFUNCTION("""COMPUTED_VALUE"""),"y.5LAuNHTCSxAFRSNH9-Wg")</f>
        <v>y.5LAuNHTCSxAFRSNH9-Wg</v>
      </c>
      <c r="AA1445" s="5"/>
      <c r="AB1445" s="5"/>
      <c r="AC1445" s="5"/>
      <c r="AD1445" s="5">
        <f ca="1">IFERROR(__xludf.DUMMYFUNCTION("""COMPUTED_VALUE"""),78)</f>
        <v>78</v>
      </c>
      <c r="AE1445" s="5">
        <f ca="1">IFERROR(__xludf.DUMMYFUNCTION("""COMPUTED_VALUE"""),77)</f>
        <v>77</v>
      </c>
      <c r="AF1445" s="5" t="b">
        <f ca="1">IFERROR(__xludf.DUMMYFUNCTION("""COMPUTED_VALUE"""),FALSE)</f>
        <v>0</v>
      </c>
      <c r="AG1445" s="5" t="str">
        <f ca="1">IFERROR(__xludf.DUMMYFUNCTION("""COMPUTED_VALUE"""),"INSPECCIONES REALIZADAS")</f>
        <v>INSPECCIONES REALIZADAS</v>
      </c>
      <c r="AH1445" s="5"/>
    </row>
    <row r="1446" spans="1:34">
      <c r="A1446" s="5" t="str">
        <f ca="1">IFERROR(__xludf.DUMMYFUNCTION("""COMPUTED_VALUE"""),"LINEA DE ENVASADO FAMILIAR Y PRB")</f>
        <v>LINEA DE ENVASADO FAMILIAR Y PRB</v>
      </c>
      <c r="B1446" s="5">
        <f ca="1">IFERROR(__xludf.DUMMYFUNCTION("""COMPUTED_VALUE"""),828266)</f>
        <v>828266</v>
      </c>
      <c r="C1446" s="5" t="str">
        <f ca="1">IFERROR(__xludf.DUMMYFUNCTION("""COMPUTED_VALUE"""),"LAVADORA DE BOTELLAS")</f>
        <v>LAVADORA DE BOTELLAS</v>
      </c>
      <c r="D1446" s="5">
        <f ca="1">IFERROR(__xludf.DUMMYFUNCTION("""COMPUTED_VALUE"""),13247275)</f>
        <v>13247275</v>
      </c>
      <c r="E1446" s="5" t="str">
        <f ca="1">IFERROR(__xludf.DUMMYFUNCTION("""COMPUTED_VALUE"""),"INSPECCION SEMANAL LAVADORA DE BOTELLAS")</f>
        <v>INSPECCION SEMANAL LAVADORA DE BOTELLAS</v>
      </c>
      <c r="F1446" s="5" t="str">
        <f ca="1">IFERROR(__xludf.DUMMYFUNCTION("""COMPUTED_VALUE"""),"Estados instrumentos de medidas")</f>
        <v>Estados instrumentos de medidas</v>
      </c>
      <c r="G1446" s="5"/>
      <c r="H1446" s="5"/>
      <c r="I1446" s="5"/>
      <c r="J1446" s="5"/>
      <c r="K1446" s="5"/>
      <c r="L1446" s="18">
        <f ca="1">IFERROR(__xludf.DUMMYFUNCTION("""COMPUTED_VALUE"""),45324)</f>
        <v>45324</v>
      </c>
      <c r="M1446" s="18">
        <f ca="1">IFERROR(__xludf.DUMMYFUNCTION("""COMPUTED_VALUE"""),45324)</f>
        <v>45324</v>
      </c>
      <c r="N1446" s="5" t="str">
        <f ca="1">IFERROR(__xludf.DUMMYFUNCTION("""COMPUTED_VALUE"""),"Henao William")</f>
        <v>Henao William</v>
      </c>
      <c r="O1446" s="2">
        <f ca="1">IFERROR(__xludf.DUMMYFUNCTION("""COMPUTED_VALUE"""),0.004)</f>
        <v>4.0000000000000001E-3</v>
      </c>
      <c r="P1446" s="5"/>
      <c r="Q1446" s="5" t="str">
        <f ca="1">IFERROR(__xludf.DUMMYFUNCTION("""COMPUTED_VALUE"""),"HTVYGgB-hck")</f>
        <v>HTVYGgB-hck</v>
      </c>
      <c r="R1446" s="5">
        <f ca="1">IFERROR(__xludf.DUMMYFUNCTION("""COMPUTED_VALUE"""),410)</f>
        <v>410</v>
      </c>
      <c r="S1446" s="62">
        <f ca="1">IFERROR(__xludf.DUMMYFUNCTION("""COMPUTED_VALUE"""),0.004)</f>
        <v>4.0000000000000001E-3</v>
      </c>
      <c r="T1446" s="63" t="str">
        <f ca="1">IFERROR(__xludf.DUMMYFUNCTION("""COMPUTED_VALUE"""),"https://storage.googleapis.com/glide-prod.appspot.com/uploads-v2/ly7o78grxPaC6KdgvbpS/pub/UliJWgpEaBovaFmXi6OW.png")</f>
        <v>https://storage.googleapis.com/glide-prod.appspot.com/uploads-v2/ly7o78grxPaC6KdgvbpS/pub/UliJWgpEaBovaFmXi6OW.png</v>
      </c>
      <c r="U1446" s="5" t="str">
        <f ca="1">IFERROR(__xludf.DUMMYFUNCTION("""COMPUTED_VALUE"""),"LINEA DE ENVASADO FAMILIAR Y PRBLAVADORA DE BOTELLAS")</f>
        <v>LINEA DE ENVASADO FAMILIAR Y PRBLAVADORA DE BOTELLAS</v>
      </c>
      <c r="V1446" s="5"/>
      <c r="W1446" s="5"/>
      <c r="X1446" s="5" t="str">
        <f ca="1">IFERROR(__xludf.DUMMYFUNCTION("""COMPUTED_VALUE"""),"wguerra@postobon.com.co,aprmttoyu@postobon.com.co,aprmyu@postobon.com.co,wmora@postobon.com.co,efzapata@postobon.com.co")</f>
        <v>wguerra@postobon.com.co,aprmttoyu@postobon.com.co,aprmyu@postobon.com.co,wmora@postobon.com.co,efzapata@postobon.com.co</v>
      </c>
      <c r="Y1446" s="5" t="str">
        <f ca="1">IFERROR(__xludf.DUMMYFUNCTION("""COMPUTED_VALUE"""),"wguerra@postobon.com.co")</f>
        <v>wguerra@postobon.com.co</v>
      </c>
      <c r="Z1446" s="5" t="str">
        <f ca="1">IFERROR(__xludf.DUMMYFUNCTION("""COMPUTED_VALUE"""),"T6JT8DNvQRiuYY7lJPgiXw")</f>
        <v>T6JT8DNvQRiuYY7lJPgiXw</v>
      </c>
      <c r="AA1446" s="5"/>
      <c r="AB1446" s="5"/>
      <c r="AC1446" s="5"/>
      <c r="AD1446" s="5">
        <f ca="1">IFERROR(__xludf.DUMMYFUNCTION("""COMPUTED_VALUE"""),78)</f>
        <v>78</v>
      </c>
      <c r="AE1446" s="5">
        <f ca="1">IFERROR(__xludf.DUMMYFUNCTION("""COMPUTED_VALUE"""),77)</f>
        <v>77</v>
      </c>
      <c r="AF1446" s="5" t="b">
        <f ca="1">IFERROR(__xludf.DUMMYFUNCTION("""COMPUTED_VALUE"""),TRUE)</f>
        <v>1</v>
      </c>
      <c r="AG1446" s="5" t="str">
        <f ca="1">IFERROR(__xludf.DUMMYFUNCTION("""COMPUTED_VALUE"""),"INSPECCIONES SIN REALIZAR")</f>
        <v>INSPECCIONES SIN REALIZAR</v>
      </c>
      <c r="AH1446" s="5"/>
    </row>
    <row r="1447" spans="1:34">
      <c r="A1447" s="5" t="str">
        <f ca="1">IFERROR(__xludf.DUMMYFUNCTION("""COMPUTED_VALUE"""),"LINEA DE ENVASADO FAMILIAR Y PRB")</f>
        <v>LINEA DE ENVASADO FAMILIAR Y PRB</v>
      </c>
      <c r="B1447" s="5">
        <f ca="1">IFERROR(__xludf.DUMMYFUNCTION("""COMPUTED_VALUE"""),828266)</f>
        <v>828266</v>
      </c>
      <c r="C1447" s="5" t="str">
        <f ca="1">IFERROR(__xludf.DUMMYFUNCTION("""COMPUTED_VALUE"""),"LAVADORA DE BOTELLAS")</f>
        <v>LAVADORA DE BOTELLAS</v>
      </c>
      <c r="D1447" s="5">
        <f ca="1">IFERROR(__xludf.DUMMYFUNCTION("""COMPUTED_VALUE"""),13247275)</f>
        <v>13247275</v>
      </c>
      <c r="E1447" s="5" t="str">
        <f ca="1">IFERROR(__xludf.DUMMYFUNCTION("""COMPUTED_VALUE"""),"INSPECCION SEMANAL LAVADORA DE BOTELLAS")</f>
        <v>INSPECCION SEMANAL LAVADORA DE BOTELLAS</v>
      </c>
      <c r="F1447" s="5" t="str">
        <f ca="1">IFERROR(__xludf.DUMMYFUNCTION("""COMPUTED_VALUE"""),"Estado de la pintura")</f>
        <v>Estado de la pintura</v>
      </c>
      <c r="G1447" s="5" t="b">
        <f ca="1">IFERROR(__xludf.DUMMYFUNCTION("""COMPUTED_VALUE"""),TRUE)</f>
        <v>1</v>
      </c>
      <c r="H1447" s="5"/>
      <c r="I1447" s="5"/>
      <c r="J1447" s="5">
        <f ca="1">IFERROR(__xludf.DUMMYFUNCTION("""COMPUTED_VALUE"""),13247275)</f>
        <v>13247275</v>
      </c>
      <c r="K1447" s="5"/>
      <c r="L1447" s="18">
        <f ca="1">IFERROR(__xludf.DUMMYFUNCTION("""COMPUTED_VALUE"""),45324)</f>
        <v>45324</v>
      </c>
      <c r="M1447" s="18">
        <f ca="1">IFERROR(__xludf.DUMMYFUNCTION("""COMPUTED_VALUE"""),45324)</f>
        <v>45324</v>
      </c>
      <c r="N1447" s="5" t="str">
        <f ca="1">IFERROR(__xludf.DUMMYFUNCTION("""COMPUTED_VALUE"""),"Henao William")</f>
        <v>Henao William</v>
      </c>
      <c r="O1447" s="2">
        <f ca="1">IFERROR(__xludf.DUMMYFUNCTION("""COMPUTED_VALUE"""),0.004)</f>
        <v>4.0000000000000001E-3</v>
      </c>
      <c r="P1447" s="5">
        <f ca="1">IFERROR(__xludf.DUMMYFUNCTION("""COMPUTED_VALUE"""),20009827)</f>
        <v>20009827</v>
      </c>
      <c r="Q1447" s="5" t="str">
        <f ca="1">IFERROR(__xludf.DUMMYFUNCTION("""COMPUTED_VALUE"""),"BE2UgFdg2Ik")</f>
        <v>BE2UgFdg2Ik</v>
      </c>
      <c r="R1447" s="5">
        <f ca="1">IFERROR(__xludf.DUMMYFUNCTION("""COMPUTED_VALUE"""),410)</f>
        <v>410</v>
      </c>
      <c r="S1447" s="62">
        <f ca="1">IFERROR(__xludf.DUMMYFUNCTION("""COMPUTED_VALUE"""),0.004)</f>
        <v>4.0000000000000001E-3</v>
      </c>
      <c r="T1447" s="63" t="str">
        <f ca="1">IFERROR(__xludf.DUMMYFUNCTION("""COMPUTED_VALUE"""),"https://storage.googleapis.com/glide-prod.appspot.com/uploads-v2/ly7o78grxPaC6KdgvbpS/pub/3aRdSog0vUtuqPE8AJKD.png")</f>
        <v>https://storage.googleapis.com/glide-prod.appspot.com/uploads-v2/ly7o78grxPaC6KdgvbpS/pub/3aRdSog0vUtuqPE8AJKD.png</v>
      </c>
      <c r="U1447" s="5" t="str">
        <f ca="1">IFERROR(__xludf.DUMMYFUNCTION("""COMPUTED_VALUE"""),"LINEA DE ENVASADO FAMILIAR Y PRBLAVADORA DE BOTELLAS")</f>
        <v>LINEA DE ENVASADO FAMILIAR Y PRBLAVADORA DE BOTELLAS</v>
      </c>
      <c r="V1447" s="5"/>
      <c r="W1447" s="5" t="b">
        <f ca="1">IFERROR(__xludf.DUMMYFUNCTION("""COMPUTED_VALUE"""),TRUE)</f>
        <v>1</v>
      </c>
      <c r="X1447" s="5" t="str">
        <f ca="1">IFERROR(__xludf.DUMMYFUNCTION("""COMPUTED_VALUE"""),"wguerra@postobon.com.co,aprmttoyu@postobon.com.co,aprmyu@postobon.com.co,wmora@postobon.com.co,efzapata@postobon.com.co")</f>
        <v>wguerra@postobon.com.co,aprmttoyu@postobon.com.co,aprmyu@postobon.com.co,wmora@postobon.com.co,efzapata@postobon.com.co</v>
      </c>
      <c r="Y1447" s="5" t="str">
        <f ca="1">IFERROR(__xludf.DUMMYFUNCTION("""COMPUTED_VALUE"""),"wguerra@postobon.com.co")</f>
        <v>wguerra@postobon.com.co</v>
      </c>
      <c r="Z1447" s="5" t="str">
        <f ca="1">IFERROR(__xludf.DUMMYFUNCTION("""COMPUTED_VALUE"""),"MMaFVk4LTxu6nVnbmF7x2Q")</f>
        <v>MMaFVk4LTxu6nVnbmF7x2Q</v>
      </c>
      <c r="AA1447" s="5"/>
      <c r="AB1447" s="5"/>
      <c r="AC1447" s="5"/>
      <c r="AD1447" s="5">
        <f ca="1">IFERROR(__xludf.DUMMYFUNCTION("""COMPUTED_VALUE"""),78)</f>
        <v>78</v>
      </c>
      <c r="AE1447" s="5">
        <f ca="1">IFERROR(__xludf.DUMMYFUNCTION("""COMPUTED_VALUE"""),77)</f>
        <v>77</v>
      </c>
      <c r="AF1447" s="5" t="b">
        <f ca="1">IFERROR(__xludf.DUMMYFUNCTION("""COMPUTED_VALUE"""),FALSE)</f>
        <v>0</v>
      </c>
      <c r="AG1447" s="5" t="str">
        <f ca="1">IFERROR(__xludf.DUMMYFUNCTION("""COMPUTED_VALUE"""),"INSPECCIONES REALIZADAS")</f>
        <v>INSPECCIONES REALIZADAS</v>
      </c>
      <c r="AH1447" s="5"/>
    </row>
    <row r="1448" spans="1:34">
      <c r="A1448" s="5" t="str">
        <f ca="1">IFERROR(__xludf.DUMMYFUNCTION("""COMPUTED_VALUE"""),"LINEA DE ENVASADO FAMILIAR Y PRB")</f>
        <v>LINEA DE ENVASADO FAMILIAR Y PRB</v>
      </c>
      <c r="B1448" s="5">
        <f ca="1">IFERROR(__xludf.DUMMYFUNCTION("""COMPUTED_VALUE"""),828266)</f>
        <v>828266</v>
      </c>
      <c r="C1448" s="5" t="str">
        <f ca="1">IFERROR(__xludf.DUMMYFUNCTION("""COMPUTED_VALUE"""),"LAVADORA DE BOTELLAS")</f>
        <v>LAVADORA DE BOTELLAS</v>
      </c>
      <c r="D1448" s="5">
        <f ca="1">IFERROR(__xludf.DUMMYFUNCTION("""COMPUTED_VALUE"""),13247275)</f>
        <v>13247275</v>
      </c>
      <c r="E1448" s="5" t="str">
        <f ca="1">IFERROR(__xludf.DUMMYFUNCTION("""COMPUTED_VALUE"""),"INSPECCION SEMANAL LAVADORA DE BOTELLAS")</f>
        <v>INSPECCION SEMANAL LAVADORA DE BOTELLAS</v>
      </c>
      <c r="F1448" s="5" t="str">
        <f ca="1">IFERROR(__xludf.DUMMYFUNCTION("""COMPUTED_VALUE"""),"Estado de electroválvulas y válvulas neumáticas")</f>
        <v>Estado de electroválvulas y válvulas neumáticas</v>
      </c>
      <c r="G1448" s="5" t="b">
        <f ca="1">IFERROR(__xludf.DUMMYFUNCTION("""COMPUTED_VALUE"""),TRUE)</f>
        <v>1</v>
      </c>
      <c r="H1448" s="5"/>
      <c r="I1448" s="5"/>
      <c r="J1448" s="5">
        <f ca="1">IFERROR(__xludf.DUMMYFUNCTION("""COMPUTED_VALUE"""),13247275)</f>
        <v>13247275</v>
      </c>
      <c r="K1448" s="5"/>
      <c r="L1448" s="18">
        <f ca="1">IFERROR(__xludf.DUMMYFUNCTION("""COMPUTED_VALUE"""),45324)</f>
        <v>45324</v>
      </c>
      <c r="M1448" s="18">
        <f ca="1">IFERROR(__xludf.DUMMYFUNCTION("""COMPUTED_VALUE"""),45324)</f>
        <v>45324</v>
      </c>
      <c r="N1448" s="5" t="str">
        <f ca="1">IFERROR(__xludf.DUMMYFUNCTION("""COMPUTED_VALUE"""),"Henao William")</f>
        <v>Henao William</v>
      </c>
      <c r="O1448" s="2">
        <f ca="1">IFERROR(__xludf.DUMMYFUNCTION("""COMPUTED_VALUE"""),0.004)</f>
        <v>4.0000000000000001E-3</v>
      </c>
      <c r="P1448" s="5">
        <f ca="1">IFERROR(__xludf.DUMMYFUNCTION("""COMPUTED_VALUE"""),20009827)</f>
        <v>20009827</v>
      </c>
      <c r="Q1448" s="5" t="str">
        <f ca="1">IFERROR(__xludf.DUMMYFUNCTION("""COMPUTED_VALUE"""),"cgF8ph2oQWA")</f>
        <v>cgF8ph2oQWA</v>
      </c>
      <c r="R1448" s="5">
        <f ca="1">IFERROR(__xludf.DUMMYFUNCTION("""COMPUTED_VALUE"""),410)</f>
        <v>410</v>
      </c>
      <c r="S1448" s="62">
        <f ca="1">IFERROR(__xludf.DUMMYFUNCTION("""COMPUTED_VALUE"""),0.004)</f>
        <v>4.0000000000000001E-3</v>
      </c>
      <c r="T1448" s="63" t="str">
        <f ca="1">IFERROR(__xludf.DUMMYFUNCTION("""COMPUTED_VALUE"""),"https://storage.googleapis.com/glide-prod.appspot.com/uploads-v2/ly7o78grxPaC6KdgvbpS/pub/3aRdSog0vUtuqPE8AJKD.png")</f>
        <v>https://storage.googleapis.com/glide-prod.appspot.com/uploads-v2/ly7o78grxPaC6KdgvbpS/pub/3aRdSog0vUtuqPE8AJKD.png</v>
      </c>
      <c r="U1448" s="5" t="str">
        <f ca="1">IFERROR(__xludf.DUMMYFUNCTION("""COMPUTED_VALUE"""),"LINEA DE ENVASADO FAMILIAR Y PRBLAVADORA DE BOTELLAS")</f>
        <v>LINEA DE ENVASADO FAMILIAR Y PRBLAVADORA DE BOTELLAS</v>
      </c>
      <c r="V1448" s="5"/>
      <c r="W1448" s="5" t="b">
        <f ca="1">IFERROR(__xludf.DUMMYFUNCTION("""COMPUTED_VALUE"""),TRUE)</f>
        <v>1</v>
      </c>
      <c r="X1448" s="5" t="str">
        <f ca="1">IFERROR(__xludf.DUMMYFUNCTION("""COMPUTED_VALUE"""),"wguerra@postobon.com.co,aprmttoyu@postobon.com.co,aprmyu@postobon.com.co,wmora@postobon.com.co,efzapata@postobon.com.co")</f>
        <v>wguerra@postobon.com.co,aprmttoyu@postobon.com.co,aprmyu@postobon.com.co,wmora@postobon.com.co,efzapata@postobon.com.co</v>
      </c>
      <c r="Y1448" s="5" t="str">
        <f ca="1">IFERROR(__xludf.DUMMYFUNCTION("""COMPUTED_VALUE"""),"wguerra@postobon.com.co")</f>
        <v>wguerra@postobon.com.co</v>
      </c>
      <c r="Z1448" s="5" t="str">
        <f ca="1">IFERROR(__xludf.DUMMYFUNCTION("""COMPUTED_VALUE"""),"J44djF7zSoq9XD8rY7PDAA")</f>
        <v>J44djF7zSoq9XD8rY7PDAA</v>
      </c>
      <c r="AA1448" s="5"/>
      <c r="AB1448" s="5"/>
      <c r="AC1448" s="5"/>
      <c r="AD1448" s="5">
        <f ca="1">IFERROR(__xludf.DUMMYFUNCTION("""COMPUTED_VALUE"""),78)</f>
        <v>78</v>
      </c>
      <c r="AE1448" s="5">
        <f ca="1">IFERROR(__xludf.DUMMYFUNCTION("""COMPUTED_VALUE"""),77)</f>
        <v>77</v>
      </c>
      <c r="AF1448" s="5" t="b">
        <f ca="1">IFERROR(__xludf.DUMMYFUNCTION("""COMPUTED_VALUE"""),FALSE)</f>
        <v>0</v>
      </c>
      <c r="AG1448" s="5" t="str">
        <f ca="1">IFERROR(__xludf.DUMMYFUNCTION("""COMPUTED_VALUE"""),"INSPECCIONES REALIZADAS")</f>
        <v>INSPECCIONES REALIZADAS</v>
      </c>
      <c r="AH1448" s="5"/>
    </row>
    <row r="1449" spans="1:34">
      <c r="A1449" s="5" t="str">
        <f ca="1">IFERROR(__xludf.DUMMYFUNCTION("""COMPUTED_VALUE"""),"LINEA DE ENVASADO FAMILIAR Y PRB")</f>
        <v>LINEA DE ENVASADO FAMILIAR Y PRB</v>
      </c>
      <c r="B1449" s="5">
        <f ca="1">IFERROR(__xludf.DUMMYFUNCTION("""COMPUTED_VALUE"""),828266)</f>
        <v>828266</v>
      </c>
      <c r="C1449" s="5" t="str">
        <f ca="1">IFERROR(__xludf.DUMMYFUNCTION("""COMPUTED_VALUE"""),"LAVADORA DE BOTELLAS")</f>
        <v>LAVADORA DE BOTELLAS</v>
      </c>
      <c r="D1449" s="5">
        <f ca="1">IFERROR(__xludf.DUMMYFUNCTION("""COMPUTED_VALUE"""),13247275)</f>
        <v>13247275</v>
      </c>
      <c r="E1449" s="5" t="str">
        <f ca="1">IFERROR(__xludf.DUMMYFUNCTION("""COMPUTED_VALUE"""),"INSPECCION SEMANAL LAVADORA DE BOTELLAS")</f>
        <v>INSPECCION SEMANAL LAVADORA DE BOTELLAS</v>
      </c>
      <c r="F1449" s="5" t="str">
        <f ca="1">IFERROR(__xludf.DUMMYFUNCTION("""COMPUTED_VALUE"""),"Estado cadenas de transmisión")</f>
        <v>Estado cadenas de transmisión</v>
      </c>
      <c r="G1449" s="5" t="b">
        <f ca="1">IFERROR(__xludf.DUMMYFUNCTION("""COMPUTED_VALUE"""),TRUE)</f>
        <v>1</v>
      </c>
      <c r="H1449" s="5"/>
      <c r="I1449" s="5"/>
      <c r="J1449" s="5">
        <f ca="1">IFERROR(__xludf.DUMMYFUNCTION("""COMPUTED_VALUE"""),13247275)</f>
        <v>13247275</v>
      </c>
      <c r="K1449" s="5"/>
      <c r="L1449" s="18">
        <f ca="1">IFERROR(__xludf.DUMMYFUNCTION("""COMPUTED_VALUE"""),45324)</f>
        <v>45324</v>
      </c>
      <c r="M1449" s="18">
        <f ca="1">IFERROR(__xludf.DUMMYFUNCTION("""COMPUTED_VALUE"""),45324)</f>
        <v>45324</v>
      </c>
      <c r="N1449" s="5" t="str">
        <f ca="1">IFERROR(__xludf.DUMMYFUNCTION("""COMPUTED_VALUE"""),"Henao William")</f>
        <v>Henao William</v>
      </c>
      <c r="O1449" s="2">
        <f ca="1">IFERROR(__xludf.DUMMYFUNCTION("""COMPUTED_VALUE"""),0.004)</f>
        <v>4.0000000000000001E-3</v>
      </c>
      <c r="P1449" s="5">
        <f ca="1">IFERROR(__xludf.DUMMYFUNCTION("""COMPUTED_VALUE"""),20009827)</f>
        <v>20009827</v>
      </c>
      <c r="Q1449" s="5" t="str">
        <f ca="1">IFERROR(__xludf.DUMMYFUNCTION("""COMPUTED_VALUE"""),"3SlyQOaqm2g")</f>
        <v>3SlyQOaqm2g</v>
      </c>
      <c r="R1449" s="5">
        <f ca="1">IFERROR(__xludf.DUMMYFUNCTION("""COMPUTED_VALUE"""),410)</f>
        <v>410</v>
      </c>
      <c r="S1449" s="62">
        <f ca="1">IFERROR(__xludf.DUMMYFUNCTION("""COMPUTED_VALUE"""),0.004)</f>
        <v>4.0000000000000001E-3</v>
      </c>
      <c r="T1449" s="63" t="str">
        <f ca="1">IFERROR(__xludf.DUMMYFUNCTION("""COMPUTED_VALUE"""),"https://storage.googleapis.com/glide-prod.appspot.com/uploads-v2/ly7o78grxPaC6KdgvbpS/pub/3aRdSog0vUtuqPE8AJKD.png")</f>
        <v>https://storage.googleapis.com/glide-prod.appspot.com/uploads-v2/ly7o78grxPaC6KdgvbpS/pub/3aRdSog0vUtuqPE8AJKD.png</v>
      </c>
      <c r="U1449" s="5" t="str">
        <f ca="1">IFERROR(__xludf.DUMMYFUNCTION("""COMPUTED_VALUE"""),"LINEA DE ENVASADO FAMILIAR Y PRBLAVADORA DE BOTELLAS")</f>
        <v>LINEA DE ENVASADO FAMILIAR Y PRBLAVADORA DE BOTELLAS</v>
      </c>
      <c r="V1449" s="5"/>
      <c r="W1449" s="5" t="b">
        <f ca="1">IFERROR(__xludf.DUMMYFUNCTION("""COMPUTED_VALUE"""),TRUE)</f>
        <v>1</v>
      </c>
      <c r="X1449" s="5" t="str">
        <f ca="1">IFERROR(__xludf.DUMMYFUNCTION("""COMPUTED_VALUE"""),"wguerra@postobon.com.co,aprmttoyu@postobon.com.co,aprmyu@postobon.com.co,wmora@postobon.com.co,efzapata@postobon.com.co")</f>
        <v>wguerra@postobon.com.co,aprmttoyu@postobon.com.co,aprmyu@postobon.com.co,wmora@postobon.com.co,efzapata@postobon.com.co</v>
      </c>
      <c r="Y1449" s="5" t="str">
        <f ca="1">IFERROR(__xludf.DUMMYFUNCTION("""COMPUTED_VALUE"""),"wguerra@postobon.com.co")</f>
        <v>wguerra@postobon.com.co</v>
      </c>
      <c r="Z1449" s="5" t="str">
        <f ca="1">IFERROR(__xludf.DUMMYFUNCTION("""COMPUTED_VALUE"""),"UgeOsFEDTG6g-Hc.8RbYPw")</f>
        <v>UgeOsFEDTG6g-Hc.8RbYPw</v>
      </c>
      <c r="AA1449" s="5"/>
      <c r="AB1449" s="5"/>
      <c r="AC1449" s="5"/>
      <c r="AD1449" s="5">
        <f ca="1">IFERROR(__xludf.DUMMYFUNCTION("""COMPUTED_VALUE"""),78)</f>
        <v>78</v>
      </c>
      <c r="AE1449" s="5">
        <f ca="1">IFERROR(__xludf.DUMMYFUNCTION("""COMPUTED_VALUE"""),77)</f>
        <v>77</v>
      </c>
      <c r="AF1449" s="5" t="b">
        <f ca="1">IFERROR(__xludf.DUMMYFUNCTION("""COMPUTED_VALUE"""),FALSE)</f>
        <v>0</v>
      </c>
      <c r="AG1449" s="5" t="str">
        <f ca="1">IFERROR(__xludf.DUMMYFUNCTION("""COMPUTED_VALUE"""),"INSPECCIONES REALIZADAS")</f>
        <v>INSPECCIONES REALIZADAS</v>
      </c>
      <c r="AH1449" s="5"/>
    </row>
    <row r="1450" spans="1:34">
      <c r="A1450" s="5" t="str">
        <f ca="1">IFERROR(__xludf.DUMMYFUNCTION("""COMPUTED_VALUE"""),"LINEA DE ENVASADO FAMILIAR Y PRB")</f>
        <v>LINEA DE ENVASADO FAMILIAR Y PRB</v>
      </c>
      <c r="B1450" s="5">
        <f ca="1">IFERROR(__xludf.DUMMYFUNCTION("""COMPUTED_VALUE"""),828266)</f>
        <v>828266</v>
      </c>
      <c r="C1450" s="5" t="str">
        <f ca="1">IFERROR(__xludf.DUMMYFUNCTION("""COMPUTED_VALUE"""),"LAVADORA DE BOTELLAS")</f>
        <v>LAVADORA DE BOTELLAS</v>
      </c>
      <c r="D1450" s="5">
        <f ca="1">IFERROR(__xludf.DUMMYFUNCTION("""COMPUTED_VALUE"""),13247275)</f>
        <v>13247275</v>
      </c>
      <c r="E1450" s="5" t="str">
        <f ca="1">IFERROR(__xludf.DUMMYFUNCTION("""COMPUTED_VALUE"""),"INSPECCION SEMANAL LAVADORA DE BOTELLAS")</f>
        <v>INSPECCION SEMANAL LAVADORA DE BOTELLAS</v>
      </c>
      <c r="F1450" s="5" t="str">
        <f ca="1">IFERROR(__xludf.DUMMYFUNCTION("""COMPUTED_VALUE"""),"Estado caja de transmisión y cardan")</f>
        <v>Estado caja de transmisión y cardan</v>
      </c>
      <c r="G1450" s="5" t="b">
        <f ca="1">IFERROR(__xludf.DUMMYFUNCTION("""COMPUTED_VALUE"""),TRUE)</f>
        <v>1</v>
      </c>
      <c r="H1450" s="5"/>
      <c r="I1450" s="5"/>
      <c r="J1450" s="5">
        <f ca="1">IFERROR(__xludf.DUMMYFUNCTION("""COMPUTED_VALUE"""),13247275)</f>
        <v>13247275</v>
      </c>
      <c r="K1450" s="5"/>
      <c r="L1450" s="18">
        <f ca="1">IFERROR(__xludf.DUMMYFUNCTION("""COMPUTED_VALUE"""),45324)</f>
        <v>45324</v>
      </c>
      <c r="M1450" s="18">
        <f ca="1">IFERROR(__xludf.DUMMYFUNCTION("""COMPUTED_VALUE"""),45324)</f>
        <v>45324</v>
      </c>
      <c r="N1450" s="5" t="str">
        <f ca="1">IFERROR(__xludf.DUMMYFUNCTION("""COMPUTED_VALUE"""),"Henao William")</f>
        <v>Henao William</v>
      </c>
      <c r="O1450" s="2">
        <f ca="1">IFERROR(__xludf.DUMMYFUNCTION("""COMPUTED_VALUE"""),0.004)</f>
        <v>4.0000000000000001E-3</v>
      </c>
      <c r="P1450" s="5">
        <f ca="1">IFERROR(__xludf.DUMMYFUNCTION("""COMPUTED_VALUE"""),20009827)</f>
        <v>20009827</v>
      </c>
      <c r="Q1450" s="5" t="str">
        <f ca="1">IFERROR(__xludf.DUMMYFUNCTION("""COMPUTED_VALUE"""),"OY6Pr781I8I")</f>
        <v>OY6Pr781I8I</v>
      </c>
      <c r="R1450" s="5">
        <f ca="1">IFERROR(__xludf.DUMMYFUNCTION("""COMPUTED_VALUE"""),410)</f>
        <v>410</v>
      </c>
      <c r="S1450" s="62">
        <f ca="1">IFERROR(__xludf.DUMMYFUNCTION("""COMPUTED_VALUE"""),0.004)</f>
        <v>4.0000000000000001E-3</v>
      </c>
      <c r="T1450" s="63" t="str">
        <f ca="1">IFERROR(__xludf.DUMMYFUNCTION("""COMPUTED_VALUE"""),"https://storage.googleapis.com/glide-prod.appspot.com/uploads-v2/ly7o78grxPaC6KdgvbpS/pub/3aRdSog0vUtuqPE8AJKD.png")</f>
        <v>https://storage.googleapis.com/glide-prod.appspot.com/uploads-v2/ly7o78grxPaC6KdgvbpS/pub/3aRdSog0vUtuqPE8AJKD.png</v>
      </c>
      <c r="U1450" s="5" t="str">
        <f ca="1">IFERROR(__xludf.DUMMYFUNCTION("""COMPUTED_VALUE"""),"LINEA DE ENVASADO FAMILIAR Y PRBLAVADORA DE BOTELLAS")</f>
        <v>LINEA DE ENVASADO FAMILIAR Y PRBLAVADORA DE BOTELLAS</v>
      </c>
      <c r="V1450" s="5"/>
      <c r="W1450" s="5" t="b">
        <f ca="1">IFERROR(__xludf.DUMMYFUNCTION("""COMPUTED_VALUE"""),TRUE)</f>
        <v>1</v>
      </c>
      <c r="X1450" s="5" t="str">
        <f ca="1">IFERROR(__xludf.DUMMYFUNCTION("""COMPUTED_VALUE"""),"wguerra@postobon.com.co,aprmttoyu@postobon.com.co,aprmyu@postobon.com.co,wmora@postobon.com.co,efzapata@postobon.com.co")</f>
        <v>wguerra@postobon.com.co,aprmttoyu@postobon.com.co,aprmyu@postobon.com.co,wmora@postobon.com.co,efzapata@postobon.com.co</v>
      </c>
      <c r="Y1450" s="5" t="str">
        <f ca="1">IFERROR(__xludf.DUMMYFUNCTION("""COMPUTED_VALUE"""),"wguerra@postobon.com.co")</f>
        <v>wguerra@postobon.com.co</v>
      </c>
      <c r="Z1450" s="5" t="str">
        <f ca="1">IFERROR(__xludf.DUMMYFUNCTION("""COMPUTED_VALUE"""),"DeiIwwP4TOyZPst.YZPO6Q")</f>
        <v>DeiIwwP4TOyZPst.YZPO6Q</v>
      </c>
      <c r="AA1450" s="5"/>
      <c r="AB1450" s="5"/>
      <c r="AC1450" s="5"/>
      <c r="AD1450" s="5">
        <f ca="1">IFERROR(__xludf.DUMMYFUNCTION("""COMPUTED_VALUE"""),78)</f>
        <v>78</v>
      </c>
      <c r="AE1450" s="5">
        <f ca="1">IFERROR(__xludf.DUMMYFUNCTION("""COMPUTED_VALUE"""),77)</f>
        <v>77</v>
      </c>
      <c r="AF1450" s="5" t="b">
        <f ca="1">IFERROR(__xludf.DUMMYFUNCTION("""COMPUTED_VALUE"""),FALSE)</f>
        <v>0</v>
      </c>
      <c r="AG1450" s="5" t="str">
        <f ca="1">IFERROR(__xludf.DUMMYFUNCTION("""COMPUTED_VALUE"""),"INSPECCIONES REALIZADAS")</f>
        <v>INSPECCIONES REALIZADAS</v>
      </c>
      <c r="AH1450" s="5"/>
    </row>
    <row r="1451" spans="1:34">
      <c r="A1451" s="5" t="str">
        <f ca="1">IFERROR(__xludf.DUMMYFUNCTION("""COMPUTED_VALUE"""),"LINEA DE ENVASADO FAMILIAR Y PRB")</f>
        <v>LINEA DE ENVASADO FAMILIAR Y PRB</v>
      </c>
      <c r="B1451" s="5">
        <f ca="1">IFERROR(__xludf.DUMMYFUNCTION("""COMPUTED_VALUE"""),828266)</f>
        <v>828266</v>
      </c>
      <c r="C1451" s="5" t="str">
        <f ca="1">IFERROR(__xludf.DUMMYFUNCTION("""COMPUTED_VALUE"""),"LAVADORA DE BOTELLAS")</f>
        <v>LAVADORA DE BOTELLAS</v>
      </c>
      <c r="D1451" s="5">
        <f ca="1">IFERROR(__xludf.DUMMYFUNCTION("""COMPUTED_VALUE"""),13247275)</f>
        <v>13247275</v>
      </c>
      <c r="E1451" s="5" t="str">
        <f ca="1">IFERROR(__xludf.DUMMYFUNCTION("""COMPUTED_VALUE"""),"INSPECCION SEMANAL LAVADORA DE BOTELLAS")</f>
        <v>INSPECCION SEMANAL LAVADORA DE BOTELLAS</v>
      </c>
      <c r="F1451" s="5" t="str">
        <f ca="1">IFERROR(__xludf.DUMMYFUNCTION("""COMPUTED_VALUE"""),"Estado de las Canastas (punteras)")</f>
        <v>Estado de las Canastas (punteras)</v>
      </c>
      <c r="G1451" s="5" t="b">
        <f ca="1">IFERROR(__xludf.DUMMYFUNCTION("""COMPUTED_VALUE"""),TRUE)</f>
        <v>1</v>
      </c>
      <c r="H1451" s="5"/>
      <c r="I1451" s="5"/>
      <c r="J1451" s="5">
        <f ca="1">IFERROR(__xludf.DUMMYFUNCTION("""COMPUTED_VALUE"""),13247275)</f>
        <v>13247275</v>
      </c>
      <c r="K1451" s="5"/>
      <c r="L1451" s="18">
        <f ca="1">IFERROR(__xludf.DUMMYFUNCTION("""COMPUTED_VALUE"""),45324)</f>
        <v>45324</v>
      </c>
      <c r="M1451" s="18">
        <f ca="1">IFERROR(__xludf.DUMMYFUNCTION("""COMPUTED_VALUE"""),45324)</f>
        <v>45324</v>
      </c>
      <c r="N1451" s="5" t="str">
        <f ca="1">IFERROR(__xludf.DUMMYFUNCTION("""COMPUTED_VALUE"""),"Henao William")</f>
        <v>Henao William</v>
      </c>
      <c r="O1451" s="2">
        <f ca="1">IFERROR(__xludf.DUMMYFUNCTION("""COMPUTED_VALUE"""),0.004)</f>
        <v>4.0000000000000001E-3</v>
      </c>
      <c r="P1451" s="5">
        <f ca="1">IFERROR(__xludf.DUMMYFUNCTION("""COMPUTED_VALUE"""),20009827)</f>
        <v>20009827</v>
      </c>
      <c r="Q1451" s="5" t="str">
        <f ca="1">IFERROR(__xludf.DUMMYFUNCTION("""COMPUTED_VALUE"""),"nekUEQOjE28")</f>
        <v>nekUEQOjE28</v>
      </c>
      <c r="R1451" s="5">
        <f ca="1">IFERROR(__xludf.DUMMYFUNCTION("""COMPUTED_VALUE"""),410)</f>
        <v>410</v>
      </c>
      <c r="S1451" s="62">
        <f ca="1">IFERROR(__xludf.DUMMYFUNCTION("""COMPUTED_VALUE"""),0.004)</f>
        <v>4.0000000000000001E-3</v>
      </c>
      <c r="T1451" s="63" t="str">
        <f ca="1">IFERROR(__xludf.DUMMYFUNCTION("""COMPUTED_VALUE"""),"https://storage.googleapis.com/glide-prod.appspot.com/uploads-v2/ly7o78grxPaC6KdgvbpS/pub/3aRdSog0vUtuqPE8AJKD.png")</f>
        <v>https://storage.googleapis.com/glide-prod.appspot.com/uploads-v2/ly7o78grxPaC6KdgvbpS/pub/3aRdSog0vUtuqPE8AJKD.png</v>
      </c>
      <c r="U1451" s="5" t="str">
        <f ca="1">IFERROR(__xludf.DUMMYFUNCTION("""COMPUTED_VALUE"""),"LINEA DE ENVASADO FAMILIAR Y PRBLAVADORA DE BOTELLAS")</f>
        <v>LINEA DE ENVASADO FAMILIAR Y PRBLAVADORA DE BOTELLAS</v>
      </c>
      <c r="V1451" s="5"/>
      <c r="W1451" s="5" t="b">
        <f ca="1">IFERROR(__xludf.DUMMYFUNCTION("""COMPUTED_VALUE"""),TRUE)</f>
        <v>1</v>
      </c>
      <c r="X1451" s="5" t="str">
        <f ca="1">IFERROR(__xludf.DUMMYFUNCTION("""COMPUTED_VALUE"""),"wguerra@postobon.com.co,aprmttoyu@postobon.com.co,aprmyu@postobon.com.co,wmora@postobon.com.co,efzapata@postobon.com.co")</f>
        <v>wguerra@postobon.com.co,aprmttoyu@postobon.com.co,aprmyu@postobon.com.co,wmora@postobon.com.co,efzapata@postobon.com.co</v>
      </c>
      <c r="Y1451" s="5" t="str">
        <f ca="1">IFERROR(__xludf.DUMMYFUNCTION("""COMPUTED_VALUE"""),"wguerra@postobon.com.co")</f>
        <v>wguerra@postobon.com.co</v>
      </c>
      <c r="Z1451" s="5" t="str">
        <f ca="1">IFERROR(__xludf.DUMMYFUNCTION("""COMPUTED_VALUE"""),"SRXGpVw6TSyQhTJC.5tKjw")</f>
        <v>SRXGpVw6TSyQhTJC.5tKjw</v>
      </c>
      <c r="AA1451" s="5"/>
      <c r="AB1451" s="5"/>
      <c r="AC1451" s="5"/>
      <c r="AD1451" s="5">
        <f ca="1">IFERROR(__xludf.DUMMYFUNCTION("""COMPUTED_VALUE"""),78)</f>
        <v>78</v>
      </c>
      <c r="AE1451" s="5">
        <f ca="1">IFERROR(__xludf.DUMMYFUNCTION("""COMPUTED_VALUE"""),77)</f>
        <v>77</v>
      </c>
      <c r="AF1451" s="5" t="b">
        <f ca="1">IFERROR(__xludf.DUMMYFUNCTION("""COMPUTED_VALUE"""),FALSE)</f>
        <v>0</v>
      </c>
      <c r="AG1451" s="5" t="str">
        <f ca="1">IFERROR(__xludf.DUMMYFUNCTION("""COMPUTED_VALUE"""),"INSPECCIONES REALIZADAS")</f>
        <v>INSPECCIONES REALIZADAS</v>
      </c>
      <c r="AH1451" s="5"/>
    </row>
    <row r="1452" spans="1:34">
      <c r="A1452" s="5" t="str">
        <f ca="1">IFERROR(__xludf.DUMMYFUNCTION("""COMPUTED_VALUE"""),"LINEA DE ENVASADO FAMILIAR Y PRB")</f>
        <v>LINEA DE ENVASADO FAMILIAR Y PRB</v>
      </c>
      <c r="B1452" s="5">
        <f ca="1">IFERROR(__xludf.DUMMYFUNCTION("""COMPUTED_VALUE"""),828266)</f>
        <v>828266</v>
      </c>
      <c r="C1452" s="5" t="str">
        <f ca="1">IFERROR(__xludf.DUMMYFUNCTION("""COMPUTED_VALUE"""),"LAVADORA DE BOTELLAS")</f>
        <v>LAVADORA DE BOTELLAS</v>
      </c>
      <c r="D1452" s="5">
        <f ca="1">IFERROR(__xludf.DUMMYFUNCTION("""COMPUTED_VALUE"""),13247275)</f>
        <v>13247275</v>
      </c>
      <c r="E1452" s="5" t="str">
        <f ca="1">IFERROR(__xludf.DUMMYFUNCTION("""COMPUTED_VALUE"""),"INSPECCION SEMANAL LAVADORA DE BOTELLAS")</f>
        <v>INSPECCION SEMANAL LAVADORA DE BOTELLAS</v>
      </c>
      <c r="F1452" s="5" t="str">
        <f ca="1">IFERROR(__xludf.DUMMYFUNCTION("""COMPUTED_VALUE"""),"Estado de los ventiladores de barrido")</f>
        <v>Estado de los ventiladores de barrido</v>
      </c>
      <c r="G1452" s="5" t="b">
        <f ca="1">IFERROR(__xludf.DUMMYFUNCTION("""COMPUTED_VALUE"""),TRUE)</f>
        <v>1</v>
      </c>
      <c r="H1452" s="5"/>
      <c r="I1452" s="5"/>
      <c r="J1452" s="5">
        <f ca="1">IFERROR(__xludf.DUMMYFUNCTION("""COMPUTED_VALUE"""),13247275)</f>
        <v>13247275</v>
      </c>
      <c r="K1452" s="5"/>
      <c r="L1452" s="18">
        <f ca="1">IFERROR(__xludf.DUMMYFUNCTION("""COMPUTED_VALUE"""),45324)</f>
        <v>45324</v>
      </c>
      <c r="M1452" s="18">
        <f ca="1">IFERROR(__xludf.DUMMYFUNCTION("""COMPUTED_VALUE"""),45324)</f>
        <v>45324</v>
      </c>
      <c r="N1452" s="5" t="str">
        <f ca="1">IFERROR(__xludf.DUMMYFUNCTION("""COMPUTED_VALUE"""),"Henao William")</f>
        <v>Henao William</v>
      </c>
      <c r="O1452" s="2">
        <f ca="1">IFERROR(__xludf.DUMMYFUNCTION("""COMPUTED_VALUE"""),0.004)</f>
        <v>4.0000000000000001E-3</v>
      </c>
      <c r="P1452" s="5">
        <f ca="1">IFERROR(__xludf.DUMMYFUNCTION("""COMPUTED_VALUE"""),20009827)</f>
        <v>20009827</v>
      </c>
      <c r="Q1452" s="5" t="str">
        <f ca="1">IFERROR(__xludf.DUMMYFUNCTION("""COMPUTED_VALUE"""),"iprMuuTCOa8")</f>
        <v>iprMuuTCOa8</v>
      </c>
      <c r="R1452" s="5">
        <f ca="1">IFERROR(__xludf.DUMMYFUNCTION("""COMPUTED_VALUE"""),410)</f>
        <v>410</v>
      </c>
      <c r="S1452" s="62">
        <f ca="1">IFERROR(__xludf.DUMMYFUNCTION("""COMPUTED_VALUE"""),0.004)</f>
        <v>4.0000000000000001E-3</v>
      </c>
      <c r="T1452" s="63" t="str">
        <f ca="1">IFERROR(__xludf.DUMMYFUNCTION("""COMPUTED_VALUE"""),"https://storage.googleapis.com/glide-prod.appspot.com/uploads-v2/ly7o78grxPaC6KdgvbpS/pub/3aRdSog0vUtuqPE8AJKD.png")</f>
        <v>https://storage.googleapis.com/glide-prod.appspot.com/uploads-v2/ly7o78grxPaC6KdgvbpS/pub/3aRdSog0vUtuqPE8AJKD.png</v>
      </c>
      <c r="U1452" s="5" t="str">
        <f ca="1">IFERROR(__xludf.DUMMYFUNCTION("""COMPUTED_VALUE"""),"LINEA DE ENVASADO FAMILIAR Y PRBLAVADORA DE BOTELLAS")</f>
        <v>LINEA DE ENVASADO FAMILIAR Y PRBLAVADORA DE BOTELLAS</v>
      </c>
      <c r="V1452" s="5"/>
      <c r="W1452" s="5" t="b">
        <f ca="1">IFERROR(__xludf.DUMMYFUNCTION("""COMPUTED_VALUE"""),TRUE)</f>
        <v>1</v>
      </c>
      <c r="X1452" s="5" t="str">
        <f ca="1">IFERROR(__xludf.DUMMYFUNCTION("""COMPUTED_VALUE"""),"wguerra@postobon.com.co,aprmttoyu@postobon.com.co,aprmyu@postobon.com.co,wmora@postobon.com.co,efzapata@postobon.com.co")</f>
        <v>wguerra@postobon.com.co,aprmttoyu@postobon.com.co,aprmyu@postobon.com.co,wmora@postobon.com.co,efzapata@postobon.com.co</v>
      </c>
      <c r="Y1452" s="5" t="str">
        <f ca="1">IFERROR(__xludf.DUMMYFUNCTION("""COMPUTED_VALUE"""),"wguerra@postobon.com.co")</f>
        <v>wguerra@postobon.com.co</v>
      </c>
      <c r="Z1452" s="5" t="str">
        <f ca="1">IFERROR(__xludf.DUMMYFUNCTION("""COMPUTED_VALUE"""),"rR5g4y-HSKS11c6bAjbaig")</f>
        <v>rR5g4y-HSKS11c6bAjbaig</v>
      </c>
      <c r="AA1452" s="5"/>
      <c r="AB1452" s="5"/>
      <c r="AC1452" s="5"/>
      <c r="AD1452" s="5">
        <f ca="1">IFERROR(__xludf.DUMMYFUNCTION("""COMPUTED_VALUE"""),78)</f>
        <v>78</v>
      </c>
      <c r="AE1452" s="5">
        <f ca="1">IFERROR(__xludf.DUMMYFUNCTION("""COMPUTED_VALUE"""),77)</f>
        <v>77</v>
      </c>
      <c r="AF1452" s="5" t="b">
        <f ca="1">IFERROR(__xludf.DUMMYFUNCTION("""COMPUTED_VALUE"""),FALSE)</f>
        <v>0</v>
      </c>
      <c r="AG1452" s="5" t="str">
        <f ca="1">IFERROR(__xludf.DUMMYFUNCTION("""COMPUTED_VALUE"""),"INSPECCIONES REALIZADAS")</f>
        <v>INSPECCIONES REALIZADAS</v>
      </c>
      <c r="AH1452" s="5"/>
    </row>
    <row r="1453" spans="1:34">
      <c r="A1453" s="5" t="str">
        <f ca="1">IFERROR(__xludf.DUMMYFUNCTION("""COMPUTED_VALUE"""),"LINEA DE ENVASADO FAMILIAR Y PRB")</f>
        <v>LINEA DE ENVASADO FAMILIAR Y PRB</v>
      </c>
      <c r="B1453" s="5">
        <f ca="1">IFERROR(__xludf.DUMMYFUNCTION("""COMPUTED_VALUE"""),828266)</f>
        <v>828266</v>
      </c>
      <c r="C1453" s="5" t="str">
        <f ca="1">IFERROR(__xludf.DUMMYFUNCTION("""COMPUTED_VALUE"""),"LAVADORA DE BOTELLAS")</f>
        <v>LAVADORA DE BOTELLAS</v>
      </c>
      <c r="D1453" s="5">
        <f ca="1">IFERROR(__xludf.DUMMYFUNCTION("""COMPUTED_VALUE"""),13247275)</f>
        <v>13247275</v>
      </c>
      <c r="E1453" s="5" t="str">
        <f ca="1">IFERROR(__xludf.DUMMYFUNCTION("""COMPUTED_VALUE"""),"INSPECCION SEMANAL LAVADORA DE BOTELLAS")</f>
        <v>INSPECCION SEMANAL LAVADORA DE BOTELLAS</v>
      </c>
      <c r="F1453" s="5" t="str">
        <f ca="1">IFERROR(__xludf.DUMMYFUNCTION("""COMPUTED_VALUE"""),"Estado de sensores")</f>
        <v>Estado de sensores</v>
      </c>
      <c r="G1453" s="5" t="b">
        <f ca="1">IFERROR(__xludf.DUMMYFUNCTION("""COMPUTED_VALUE"""),TRUE)</f>
        <v>1</v>
      </c>
      <c r="H1453" s="5"/>
      <c r="I1453" s="5"/>
      <c r="J1453" s="5">
        <f ca="1">IFERROR(__xludf.DUMMYFUNCTION("""COMPUTED_VALUE"""),13247275)</f>
        <v>13247275</v>
      </c>
      <c r="K1453" s="5"/>
      <c r="L1453" s="18">
        <f ca="1">IFERROR(__xludf.DUMMYFUNCTION("""COMPUTED_VALUE"""),45324)</f>
        <v>45324</v>
      </c>
      <c r="M1453" s="18">
        <f ca="1">IFERROR(__xludf.DUMMYFUNCTION("""COMPUTED_VALUE"""),45324)</f>
        <v>45324</v>
      </c>
      <c r="N1453" s="5" t="str">
        <f ca="1">IFERROR(__xludf.DUMMYFUNCTION("""COMPUTED_VALUE"""),"Henao William")</f>
        <v>Henao William</v>
      </c>
      <c r="O1453" s="2">
        <f ca="1">IFERROR(__xludf.DUMMYFUNCTION("""COMPUTED_VALUE"""),0.004)</f>
        <v>4.0000000000000001E-3</v>
      </c>
      <c r="P1453" s="5">
        <f ca="1">IFERROR(__xludf.DUMMYFUNCTION("""COMPUTED_VALUE"""),20009827)</f>
        <v>20009827</v>
      </c>
      <c r="Q1453" s="5" t="str">
        <f ca="1">IFERROR(__xludf.DUMMYFUNCTION("""COMPUTED_VALUE"""),"HhAPwoF6Mj4")</f>
        <v>HhAPwoF6Mj4</v>
      </c>
      <c r="R1453" s="5">
        <f ca="1">IFERROR(__xludf.DUMMYFUNCTION("""COMPUTED_VALUE"""),410)</f>
        <v>410</v>
      </c>
      <c r="S1453" s="62">
        <f ca="1">IFERROR(__xludf.DUMMYFUNCTION("""COMPUTED_VALUE"""),0.004)</f>
        <v>4.0000000000000001E-3</v>
      </c>
      <c r="T1453" s="63" t="str">
        <f ca="1">IFERROR(__xludf.DUMMYFUNCTION("""COMPUTED_VALUE"""),"https://storage.googleapis.com/glide-prod.appspot.com/uploads-v2/ly7o78grxPaC6KdgvbpS/pub/3aRdSog0vUtuqPE8AJKD.png")</f>
        <v>https://storage.googleapis.com/glide-prod.appspot.com/uploads-v2/ly7o78grxPaC6KdgvbpS/pub/3aRdSog0vUtuqPE8AJKD.png</v>
      </c>
      <c r="U1453" s="5" t="str">
        <f ca="1">IFERROR(__xludf.DUMMYFUNCTION("""COMPUTED_VALUE"""),"LINEA DE ENVASADO FAMILIAR Y PRBLAVADORA DE BOTELLAS")</f>
        <v>LINEA DE ENVASADO FAMILIAR Y PRBLAVADORA DE BOTELLAS</v>
      </c>
      <c r="V1453" s="5"/>
      <c r="W1453" s="5" t="b">
        <f ca="1">IFERROR(__xludf.DUMMYFUNCTION("""COMPUTED_VALUE"""),TRUE)</f>
        <v>1</v>
      </c>
      <c r="X1453" s="5" t="str">
        <f ca="1">IFERROR(__xludf.DUMMYFUNCTION("""COMPUTED_VALUE"""),"wguerra@postobon.com.co,aprmttoyu@postobon.com.co,aprmyu@postobon.com.co,wmora@postobon.com.co,efzapata@postobon.com.co")</f>
        <v>wguerra@postobon.com.co,aprmttoyu@postobon.com.co,aprmyu@postobon.com.co,wmora@postobon.com.co,efzapata@postobon.com.co</v>
      </c>
      <c r="Y1453" s="5" t="str">
        <f ca="1">IFERROR(__xludf.DUMMYFUNCTION("""COMPUTED_VALUE"""),"wguerra@postobon.com.co")</f>
        <v>wguerra@postobon.com.co</v>
      </c>
      <c r="Z1453" s="5" t="str">
        <f ca="1">IFERROR(__xludf.DUMMYFUNCTION("""COMPUTED_VALUE"""),"a9eJiXlvQFmxUhhiFyyLyg")</f>
        <v>a9eJiXlvQFmxUhhiFyyLyg</v>
      </c>
      <c r="AA1453" s="5"/>
      <c r="AB1453" s="5"/>
      <c r="AC1453" s="5"/>
      <c r="AD1453" s="5">
        <f ca="1">IFERROR(__xludf.DUMMYFUNCTION("""COMPUTED_VALUE"""),78)</f>
        <v>78</v>
      </c>
      <c r="AE1453" s="5">
        <f ca="1">IFERROR(__xludf.DUMMYFUNCTION("""COMPUTED_VALUE"""),77)</f>
        <v>77</v>
      </c>
      <c r="AF1453" s="5" t="b">
        <f ca="1">IFERROR(__xludf.DUMMYFUNCTION("""COMPUTED_VALUE"""),FALSE)</f>
        <v>0</v>
      </c>
      <c r="AG1453" s="5" t="str">
        <f ca="1">IFERROR(__xludf.DUMMYFUNCTION("""COMPUTED_VALUE"""),"INSPECCIONES REALIZADAS")</f>
        <v>INSPECCIONES REALIZADAS</v>
      </c>
      <c r="AH1453" s="5"/>
    </row>
    <row r="1454" spans="1:34">
      <c r="A1454" s="5" t="str">
        <f ca="1">IFERROR(__xludf.DUMMYFUNCTION("""COMPUTED_VALUE"""),"LINEA DE ENVASADO FAMILIAR Y PRB")</f>
        <v>LINEA DE ENVASADO FAMILIAR Y PRB</v>
      </c>
      <c r="B1454" s="5">
        <f ca="1">IFERROR(__xludf.DUMMYFUNCTION("""COMPUTED_VALUE"""),828266)</f>
        <v>828266</v>
      </c>
      <c r="C1454" s="5" t="str">
        <f ca="1">IFERROR(__xludf.DUMMYFUNCTION("""COMPUTED_VALUE"""),"LAVADORA DE BOTELLAS")</f>
        <v>LAVADORA DE BOTELLAS</v>
      </c>
      <c r="D1454" s="5">
        <f ca="1">IFERROR(__xludf.DUMMYFUNCTION("""COMPUTED_VALUE"""),13247275)</f>
        <v>13247275</v>
      </c>
      <c r="E1454" s="5" t="str">
        <f ca="1">IFERROR(__xludf.DUMMYFUNCTION("""COMPUTED_VALUE"""),"INSPECCION SEMANAL LAVADORA DE BOTELLAS")</f>
        <v>INSPECCION SEMANAL LAVADORA DE BOTELLAS</v>
      </c>
      <c r="F1454" s="5" t="str">
        <f ca="1">IFERROR(__xludf.DUMMYFUNCTION("""COMPUTED_VALUE"""),"Estado y limpieza de extractor y/o climatizador tablero eléctrico.")</f>
        <v>Estado y limpieza de extractor y/o climatizador tablero eléctrico.</v>
      </c>
      <c r="G1454" s="5" t="b">
        <f ca="1">IFERROR(__xludf.DUMMYFUNCTION("""COMPUTED_VALUE"""),TRUE)</f>
        <v>1</v>
      </c>
      <c r="H1454" s="5"/>
      <c r="I1454" s="5"/>
      <c r="J1454" s="5">
        <f ca="1">IFERROR(__xludf.DUMMYFUNCTION("""COMPUTED_VALUE"""),13247275)</f>
        <v>13247275</v>
      </c>
      <c r="K1454" s="5"/>
      <c r="L1454" s="18">
        <f ca="1">IFERROR(__xludf.DUMMYFUNCTION("""COMPUTED_VALUE"""),45324)</f>
        <v>45324</v>
      </c>
      <c r="M1454" s="18">
        <f ca="1">IFERROR(__xludf.DUMMYFUNCTION("""COMPUTED_VALUE"""),45324)</f>
        <v>45324</v>
      </c>
      <c r="N1454" s="5" t="str">
        <f ca="1">IFERROR(__xludf.DUMMYFUNCTION("""COMPUTED_VALUE"""),"Henao William")</f>
        <v>Henao William</v>
      </c>
      <c r="O1454" s="2">
        <f ca="1">IFERROR(__xludf.DUMMYFUNCTION("""COMPUTED_VALUE"""),0.004)</f>
        <v>4.0000000000000001E-3</v>
      </c>
      <c r="P1454" s="5">
        <f ca="1">IFERROR(__xludf.DUMMYFUNCTION("""COMPUTED_VALUE"""),20009827)</f>
        <v>20009827</v>
      </c>
      <c r="Q1454" s="5" t="str">
        <f ca="1">IFERROR(__xludf.DUMMYFUNCTION("""COMPUTED_VALUE"""),"HAP06PoBnTA")</f>
        <v>HAP06PoBnTA</v>
      </c>
      <c r="R1454" s="5">
        <f ca="1">IFERROR(__xludf.DUMMYFUNCTION("""COMPUTED_VALUE"""),410)</f>
        <v>410</v>
      </c>
      <c r="S1454" s="62">
        <f ca="1">IFERROR(__xludf.DUMMYFUNCTION("""COMPUTED_VALUE"""),0.004)</f>
        <v>4.0000000000000001E-3</v>
      </c>
      <c r="T1454" s="63" t="str">
        <f ca="1">IFERROR(__xludf.DUMMYFUNCTION("""COMPUTED_VALUE"""),"https://storage.googleapis.com/glide-prod.appspot.com/uploads-v2/ly7o78grxPaC6KdgvbpS/pub/3aRdSog0vUtuqPE8AJKD.png")</f>
        <v>https://storage.googleapis.com/glide-prod.appspot.com/uploads-v2/ly7o78grxPaC6KdgvbpS/pub/3aRdSog0vUtuqPE8AJKD.png</v>
      </c>
      <c r="U1454" s="5" t="str">
        <f ca="1">IFERROR(__xludf.DUMMYFUNCTION("""COMPUTED_VALUE"""),"LINEA DE ENVASADO FAMILIAR Y PRBLAVADORA DE BOTELLAS")</f>
        <v>LINEA DE ENVASADO FAMILIAR Y PRBLAVADORA DE BOTELLAS</v>
      </c>
      <c r="V1454" s="5"/>
      <c r="W1454" s="5" t="b">
        <f ca="1">IFERROR(__xludf.DUMMYFUNCTION("""COMPUTED_VALUE"""),TRUE)</f>
        <v>1</v>
      </c>
      <c r="X1454" s="5" t="str">
        <f ca="1">IFERROR(__xludf.DUMMYFUNCTION("""COMPUTED_VALUE"""),"wguerra@postobon.com.co,aprmttoyu@postobon.com.co,aprmyu@postobon.com.co,wmora@postobon.com.co,efzapata@postobon.com.co")</f>
        <v>wguerra@postobon.com.co,aprmttoyu@postobon.com.co,aprmyu@postobon.com.co,wmora@postobon.com.co,efzapata@postobon.com.co</v>
      </c>
      <c r="Y1454" s="5" t="str">
        <f ca="1">IFERROR(__xludf.DUMMYFUNCTION("""COMPUTED_VALUE"""),"wguerra@postobon.com.co")</f>
        <v>wguerra@postobon.com.co</v>
      </c>
      <c r="Z1454" s="5" t="str">
        <f ca="1">IFERROR(__xludf.DUMMYFUNCTION("""COMPUTED_VALUE"""),"6O5esmooSSGRWjjnTVkrow")</f>
        <v>6O5esmooSSGRWjjnTVkrow</v>
      </c>
      <c r="AA1454" s="5"/>
      <c r="AB1454" s="5"/>
      <c r="AC1454" s="5"/>
      <c r="AD1454" s="5">
        <f ca="1">IFERROR(__xludf.DUMMYFUNCTION("""COMPUTED_VALUE"""),78)</f>
        <v>78</v>
      </c>
      <c r="AE1454" s="5">
        <f ca="1">IFERROR(__xludf.DUMMYFUNCTION("""COMPUTED_VALUE"""),77)</f>
        <v>77</v>
      </c>
      <c r="AF1454" s="5" t="b">
        <f ca="1">IFERROR(__xludf.DUMMYFUNCTION("""COMPUTED_VALUE"""),FALSE)</f>
        <v>0</v>
      </c>
      <c r="AG1454" s="5" t="str">
        <f ca="1">IFERROR(__xludf.DUMMYFUNCTION("""COMPUTED_VALUE"""),"INSPECCIONES REALIZADAS")</f>
        <v>INSPECCIONES REALIZADAS</v>
      </c>
      <c r="AH1454" s="5"/>
    </row>
    <row r="1455" spans="1:34">
      <c r="A1455" s="5" t="str">
        <f ca="1">IFERROR(__xludf.DUMMYFUNCTION("""COMPUTED_VALUE"""),"LINEA PET CSD - LINEA 10")</f>
        <v>LINEA PET CSD - LINEA 10</v>
      </c>
      <c r="B1455" s="5">
        <f ca="1">IFERROR(__xludf.DUMMYFUNCTION("""COMPUTED_VALUE"""),519561)</f>
        <v>519561</v>
      </c>
      <c r="C1455" s="5" t="str">
        <f ca="1">IFERROR(__xludf.DUMMYFUNCTION("""COMPUTED_VALUE"""),"LLENADORA DE BOTELLAS PET 162 VALVULAS")</f>
        <v>LLENADORA DE BOTELLAS PET 162 VALVULAS</v>
      </c>
      <c r="D1455" s="5">
        <f ca="1">IFERROR(__xludf.DUMMYFUNCTION("""COMPUTED_VALUE"""),13247579)</f>
        <v>13247579</v>
      </c>
      <c r="E1455" s="5" t="str">
        <f ca="1">IFERROR(__xludf.DUMMYFUNCTION("""COMPUTED_VALUE"""),"INSPECCION SEMANAL LLENADORA DE BOTELLAS")</f>
        <v>INSPECCION SEMANAL LLENADORA DE BOTELLAS</v>
      </c>
      <c r="F1455" s="5" t="str">
        <f ca="1">IFERROR(__xludf.DUMMYFUNCTION("""COMPUTED_VALUE"""),"PISTONES ELEVACION CARRUSEL")</f>
        <v>PISTONES ELEVACION CARRUSEL</v>
      </c>
      <c r="G1455" s="5" t="b">
        <f ca="1">IFERROR(__xludf.DUMMYFUNCTION("""COMPUTED_VALUE"""),TRUE)</f>
        <v>1</v>
      </c>
      <c r="H1455" s="5"/>
      <c r="I1455" s="5"/>
      <c r="J1455" s="5">
        <f ca="1">IFERROR(__xludf.DUMMYFUNCTION("""COMPUTED_VALUE"""),13247579)</f>
        <v>13247579</v>
      </c>
      <c r="K1455" s="5"/>
      <c r="L1455" s="18">
        <f ca="1">IFERROR(__xludf.DUMMYFUNCTION("""COMPUTED_VALUE"""),45324)</f>
        <v>45324</v>
      </c>
      <c r="M1455" s="18">
        <f ca="1">IFERROR(__xludf.DUMMYFUNCTION("""COMPUTED_VALUE"""),45324)</f>
        <v>45324</v>
      </c>
      <c r="N1455" s="5" t="str">
        <f ca="1">IFERROR(__xludf.DUMMYFUNCTION("""COMPUTED_VALUE"""),"Duran Sanchez Nelson Fernando")</f>
        <v>Duran Sanchez Nelson Fernando</v>
      </c>
      <c r="O1455" s="2">
        <f ca="1">IFERROR(__xludf.DUMMYFUNCTION("""COMPUTED_VALUE"""),0.003333333)</f>
        <v>3.333333E-3</v>
      </c>
      <c r="P1455" s="5">
        <f ca="1">IFERROR(__xludf.DUMMYFUNCTION("""COMPUTED_VALUE"""),20009743)</f>
        <v>20009743</v>
      </c>
      <c r="Q1455" s="5" t="str">
        <f ca="1">IFERROR(__xludf.DUMMYFUNCTION("""COMPUTED_VALUE"""),"0ySdJE7hBjY")</f>
        <v>0ySdJE7hBjY</v>
      </c>
      <c r="R1455" s="5">
        <f ca="1">IFERROR(__xludf.DUMMYFUNCTION("""COMPUTED_VALUE"""),410)</f>
        <v>410</v>
      </c>
      <c r="S1455" s="62">
        <f ca="1">IFERROR(__xludf.DUMMYFUNCTION("""COMPUTED_VALUE"""),0.003333333)</f>
        <v>3.333333E-3</v>
      </c>
      <c r="T1455" s="63" t="str">
        <f ca="1">IFERROR(__xludf.DUMMYFUNCTION("""COMPUTED_VALUE"""),"https://storage.googleapis.com/glide-prod.appspot.com/uploads-v2/ly7o78grxPaC6KdgvbpS/pub/3aRdSog0vUtuqPE8AJKD.png")</f>
        <v>https://storage.googleapis.com/glide-prod.appspot.com/uploads-v2/ly7o78grxPaC6KdgvbpS/pub/3aRdSog0vUtuqPE8AJKD.png</v>
      </c>
      <c r="U1455" s="5" t="str">
        <f ca="1">IFERROR(__xludf.DUMMYFUNCTION("""COMPUTED_VALUE"""),"LINEA PET CSD - LINEA 10LLENADORA DE BOTELLAS PET 162 VALVULAS")</f>
        <v>LINEA PET CSD - LINEA 10LLENADORA DE BOTELLAS PET 162 VALVULAS</v>
      </c>
      <c r="V1455" s="5"/>
      <c r="W1455" s="5" t="b">
        <f ca="1">IFERROR(__xludf.DUMMYFUNCTION("""COMPUTED_VALUE"""),TRUE)</f>
        <v>1</v>
      </c>
      <c r="X1455" s="5" t="str">
        <f ca="1">IFERROR(__xludf.DUMMYFUNCTION("""COMPUTED_VALUE"""),"wmazorra@postobon.com.co,aprmttoyu@postobon.com.co,aprmyu@postobon.com.co,wmora@postobon.com.co,efzapata@postobon.com.co")</f>
        <v>wmazorra@postobon.com.co,aprmttoyu@postobon.com.co,aprmyu@postobon.com.co,wmora@postobon.com.co,efzapata@postobon.com.co</v>
      </c>
      <c r="Y1455" s="5" t="str">
        <f ca="1">IFERROR(__xludf.DUMMYFUNCTION("""COMPUTED_VALUE"""),"wmazorra@postobon.com.co")</f>
        <v>wmazorra@postobon.com.co</v>
      </c>
      <c r="Z1455" s="5" t="str">
        <f ca="1">IFERROR(__xludf.DUMMYFUNCTION("""COMPUTED_VALUE"""),"Ow.8lA8TS0eX5GhoYhhjMg")</f>
        <v>Ow.8lA8TS0eX5GhoYhhjMg</v>
      </c>
      <c r="AA1455" s="5"/>
      <c r="AB1455" s="5"/>
      <c r="AC1455" s="5"/>
      <c r="AD1455" s="5">
        <f ca="1">IFERROR(__xludf.DUMMYFUNCTION("""COMPUTED_VALUE"""),30)</f>
        <v>30</v>
      </c>
      <c r="AE1455" s="5">
        <f ca="1">IFERROR(__xludf.DUMMYFUNCTION("""COMPUTED_VALUE"""),30)</f>
        <v>30</v>
      </c>
      <c r="AF1455" s="5" t="b">
        <f ca="1">IFERROR(__xludf.DUMMYFUNCTION("""COMPUTED_VALUE"""),FALSE)</f>
        <v>0</v>
      </c>
      <c r="AG1455" s="5" t="str">
        <f ca="1">IFERROR(__xludf.DUMMYFUNCTION("""COMPUTED_VALUE"""),"INSPECCIONES REALIZADAS")</f>
        <v>INSPECCIONES REALIZADAS</v>
      </c>
      <c r="AH1455" s="5"/>
    </row>
    <row r="1456" spans="1:34">
      <c r="A1456" s="5" t="str">
        <f ca="1">IFERROR(__xludf.DUMMYFUNCTION("""COMPUTED_VALUE"""),"LINEA PET CSD - LINEA 10")</f>
        <v>LINEA PET CSD - LINEA 10</v>
      </c>
      <c r="B1456" s="5">
        <f ca="1">IFERROR(__xludf.DUMMYFUNCTION("""COMPUTED_VALUE"""),519561)</f>
        <v>519561</v>
      </c>
      <c r="C1456" s="5" t="str">
        <f ca="1">IFERROR(__xludf.DUMMYFUNCTION("""COMPUTED_VALUE"""),"LLENADORA DE BOTELLAS PET 162 VALVULAS")</f>
        <v>LLENADORA DE BOTELLAS PET 162 VALVULAS</v>
      </c>
      <c r="D1456" s="5">
        <f ca="1">IFERROR(__xludf.DUMMYFUNCTION("""COMPUTED_VALUE"""),13247579)</f>
        <v>13247579</v>
      </c>
      <c r="E1456" s="5" t="str">
        <f ca="1">IFERROR(__xludf.DUMMYFUNCTION("""COMPUTED_VALUE"""),"INSPECCION SEMANAL LLENADORA DE BOTELLAS")</f>
        <v>INSPECCION SEMANAL LLENADORA DE BOTELLAS</v>
      </c>
      <c r="F1456" s="5" t="str">
        <f ca="1">IFERROR(__xludf.DUMMYFUNCTION("""COMPUTED_VALUE"""),"SELLADO VALVULAS LLENADO/CENTRADORES")</f>
        <v>SELLADO VALVULAS LLENADO/CENTRADORES</v>
      </c>
      <c r="G1456" s="5" t="b">
        <f ca="1">IFERROR(__xludf.DUMMYFUNCTION("""COMPUTED_VALUE"""),TRUE)</f>
        <v>1</v>
      </c>
      <c r="H1456" s="5" t="str">
        <f ca="1">IFERROR(__xludf.DUMMYFUNCTION("""COMPUTED_VALUE"""),"Cilindros elevadores con desgaate considerable en soportes, se aprecian golpes en los mismos al parecer por colisión, además se alcanza a apreciar limáya en sus postes laterales.")</f>
        <v>Cilindros elevadores con desgaate considerable en soportes, se aprecian golpes en los mismos al parecer por colisión, además se alcanza a apreciar limáya en sus postes laterales.</v>
      </c>
      <c r="I1456" s="5"/>
      <c r="J1456" s="5">
        <f ca="1">IFERROR(__xludf.DUMMYFUNCTION("""COMPUTED_VALUE"""),13247579)</f>
        <v>13247579</v>
      </c>
      <c r="K1456" s="5"/>
      <c r="L1456" s="18">
        <f ca="1">IFERROR(__xludf.DUMMYFUNCTION("""COMPUTED_VALUE"""),45324)</f>
        <v>45324</v>
      </c>
      <c r="M1456" s="18">
        <f ca="1">IFERROR(__xludf.DUMMYFUNCTION("""COMPUTED_VALUE"""),45324)</f>
        <v>45324</v>
      </c>
      <c r="N1456" s="5" t="str">
        <f ca="1">IFERROR(__xludf.DUMMYFUNCTION("""COMPUTED_VALUE"""),"Duran Sanchez Nelson Fernando")</f>
        <v>Duran Sanchez Nelson Fernando</v>
      </c>
      <c r="O1456" s="2">
        <f ca="1">IFERROR(__xludf.DUMMYFUNCTION("""COMPUTED_VALUE"""),0.003333333)</f>
        <v>3.333333E-3</v>
      </c>
      <c r="P1456" s="5">
        <f ca="1">IFERROR(__xludf.DUMMYFUNCTION("""COMPUTED_VALUE"""),20009743)</f>
        <v>20009743</v>
      </c>
      <c r="Q1456" s="5" t="str">
        <f ca="1">IFERROR(__xludf.DUMMYFUNCTION("""COMPUTED_VALUE"""),"EaI2J868ZPI")</f>
        <v>EaI2J868ZPI</v>
      </c>
      <c r="R1456" s="5">
        <f ca="1">IFERROR(__xludf.DUMMYFUNCTION("""COMPUTED_VALUE"""),410)</f>
        <v>410</v>
      </c>
      <c r="S1456" s="62">
        <f ca="1">IFERROR(__xludf.DUMMYFUNCTION("""COMPUTED_VALUE"""),0.003333333)</f>
        <v>3.333333E-3</v>
      </c>
      <c r="T1456" s="63" t="str">
        <f ca="1">IFERROR(__xludf.DUMMYFUNCTION("""COMPUTED_VALUE"""),"https://storage.googleapis.com/glide-prod.appspot.com/uploads-v2/ly7o78grxPaC6KdgvbpS/pub/3aRdSog0vUtuqPE8AJKD.png")</f>
        <v>https://storage.googleapis.com/glide-prod.appspot.com/uploads-v2/ly7o78grxPaC6KdgvbpS/pub/3aRdSog0vUtuqPE8AJKD.png</v>
      </c>
      <c r="U1456" s="5" t="str">
        <f ca="1">IFERROR(__xludf.DUMMYFUNCTION("""COMPUTED_VALUE"""),"LINEA PET CSD - LINEA 10LLENADORA DE BOTELLAS PET 162 VALVULAS")</f>
        <v>LINEA PET CSD - LINEA 10LLENADORA DE BOTELLAS PET 162 VALVULAS</v>
      </c>
      <c r="V1456" s="5"/>
      <c r="W1456" s="5" t="b">
        <f ca="1">IFERROR(__xludf.DUMMYFUNCTION("""COMPUTED_VALUE"""),TRUE)</f>
        <v>1</v>
      </c>
      <c r="X1456" s="5" t="str">
        <f ca="1">IFERROR(__xludf.DUMMYFUNCTION("""COMPUTED_VALUE"""),"wmazorra@postobon.com.co,aprmttoyu@postobon.com.co,aprmyu@postobon.com.co,wmora@postobon.com.co,efzapata@postobon.com.co")</f>
        <v>wmazorra@postobon.com.co,aprmttoyu@postobon.com.co,aprmyu@postobon.com.co,wmora@postobon.com.co,efzapata@postobon.com.co</v>
      </c>
      <c r="Y1456" s="5" t="str">
        <f ca="1">IFERROR(__xludf.DUMMYFUNCTION("""COMPUTED_VALUE"""),"wmazorra@postobon.com.co")</f>
        <v>wmazorra@postobon.com.co</v>
      </c>
      <c r="Z1456" s="5" t="str">
        <f ca="1">IFERROR(__xludf.DUMMYFUNCTION("""COMPUTED_VALUE"""),"YAI4G0kZR.mW.x8YpYx8Lw")</f>
        <v>YAI4G0kZR.mW.x8YpYx8Lw</v>
      </c>
      <c r="AA1456" s="63" t="str">
        <f ca="1">IFERROR(__xludf.DUMMYFUNCTION("""COMPUTED_VALUE"""),"https://storage.googleapis.com/glide-prod.appspot.com/uploads-v2/ly7o78grxPaC6KdgvbpS/pub/iLyWrzA2RRCcE61D8gq7.jpg")</f>
        <v>https://storage.googleapis.com/glide-prod.appspot.com/uploads-v2/ly7o78grxPaC6KdgvbpS/pub/iLyWrzA2RRCcE61D8gq7.jpg</v>
      </c>
      <c r="AB1456" s="5"/>
      <c r="AC1456" s="5"/>
      <c r="AD1456" s="5">
        <f ca="1">IFERROR(__xludf.DUMMYFUNCTION("""COMPUTED_VALUE"""),30)</f>
        <v>30</v>
      </c>
      <c r="AE1456" s="5">
        <f ca="1">IFERROR(__xludf.DUMMYFUNCTION("""COMPUTED_VALUE"""),30)</f>
        <v>30</v>
      </c>
      <c r="AF1456" s="5" t="b">
        <f ca="1">IFERROR(__xludf.DUMMYFUNCTION("""COMPUTED_VALUE"""),FALSE)</f>
        <v>0</v>
      </c>
      <c r="AG1456" s="5" t="str">
        <f ca="1">IFERROR(__xludf.DUMMYFUNCTION("""COMPUTED_VALUE"""),"INSPECCIONES REALIZADAS")</f>
        <v>INSPECCIONES REALIZADAS</v>
      </c>
      <c r="AH1456" s="5"/>
    </row>
    <row r="1457" spans="1:34">
      <c r="A1457" s="5" t="str">
        <f ca="1">IFERROR(__xludf.DUMMYFUNCTION("""COMPUTED_VALUE"""),"LINEA PET CSD - LINEA 10")</f>
        <v>LINEA PET CSD - LINEA 10</v>
      </c>
      <c r="B1457" s="5">
        <f ca="1">IFERROR(__xludf.DUMMYFUNCTION("""COMPUTED_VALUE"""),519561)</f>
        <v>519561</v>
      </c>
      <c r="C1457" s="5" t="str">
        <f ca="1">IFERROR(__xludf.DUMMYFUNCTION("""COMPUTED_VALUE"""),"LLENADORA DE BOTELLAS PET 162 VALVULAS")</f>
        <v>LLENADORA DE BOTELLAS PET 162 VALVULAS</v>
      </c>
      <c r="D1457" s="5">
        <f ca="1">IFERROR(__xludf.DUMMYFUNCTION("""COMPUTED_VALUE"""),13247579)</f>
        <v>13247579</v>
      </c>
      <c r="E1457" s="5" t="str">
        <f ca="1">IFERROR(__xludf.DUMMYFUNCTION("""COMPUTED_VALUE"""),"INSPECCION SEMANAL LLENADORA DE BOTELLAS")</f>
        <v>INSPECCION SEMANAL LLENADORA DE BOTELLAS</v>
      </c>
      <c r="F1457" s="5" t="str">
        <f ca="1">IFERROR(__xludf.DUMMYFUNCTION("""COMPUTED_VALUE"""),"SISTEMA NEUMATICO (TUBERIA,VALVULAS,GRIFOS)")</f>
        <v>SISTEMA NEUMATICO (TUBERIA,VALVULAS,GRIFOS)</v>
      </c>
      <c r="G1457" s="5" t="b">
        <f ca="1">IFERROR(__xludf.DUMMYFUNCTION("""COMPUTED_VALUE"""),TRUE)</f>
        <v>1</v>
      </c>
      <c r="H1457" s="5"/>
      <c r="I1457" s="5"/>
      <c r="J1457" s="5">
        <f ca="1">IFERROR(__xludf.DUMMYFUNCTION("""COMPUTED_VALUE"""),13247579)</f>
        <v>13247579</v>
      </c>
      <c r="K1457" s="5"/>
      <c r="L1457" s="18">
        <f ca="1">IFERROR(__xludf.DUMMYFUNCTION("""COMPUTED_VALUE"""),45324)</f>
        <v>45324</v>
      </c>
      <c r="M1457" s="18">
        <f ca="1">IFERROR(__xludf.DUMMYFUNCTION("""COMPUTED_VALUE"""),45324)</f>
        <v>45324</v>
      </c>
      <c r="N1457" s="5" t="str">
        <f ca="1">IFERROR(__xludf.DUMMYFUNCTION("""COMPUTED_VALUE"""),"Duran Sanchez Nelson Fernando")</f>
        <v>Duran Sanchez Nelson Fernando</v>
      </c>
      <c r="O1457" s="2">
        <f ca="1">IFERROR(__xludf.DUMMYFUNCTION("""COMPUTED_VALUE"""),0.003333333)</f>
        <v>3.333333E-3</v>
      </c>
      <c r="P1457" s="5">
        <f ca="1">IFERROR(__xludf.DUMMYFUNCTION("""COMPUTED_VALUE"""),20009743)</f>
        <v>20009743</v>
      </c>
      <c r="Q1457" s="5" t="str">
        <f ca="1">IFERROR(__xludf.DUMMYFUNCTION("""COMPUTED_VALUE"""),"GoQqmd3MpVw")</f>
        <v>GoQqmd3MpVw</v>
      </c>
      <c r="R1457" s="5">
        <f ca="1">IFERROR(__xludf.DUMMYFUNCTION("""COMPUTED_VALUE"""),410)</f>
        <v>410</v>
      </c>
      <c r="S1457" s="62">
        <f ca="1">IFERROR(__xludf.DUMMYFUNCTION("""COMPUTED_VALUE"""),0.003333333)</f>
        <v>3.333333E-3</v>
      </c>
      <c r="T1457" s="63" t="str">
        <f ca="1">IFERROR(__xludf.DUMMYFUNCTION("""COMPUTED_VALUE"""),"https://storage.googleapis.com/glide-prod.appspot.com/uploads-v2/ly7o78grxPaC6KdgvbpS/pub/3aRdSog0vUtuqPE8AJKD.png")</f>
        <v>https://storage.googleapis.com/glide-prod.appspot.com/uploads-v2/ly7o78grxPaC6KdgvbpS/pub/3aRdSog0vUtuqPE8AJKD.png</v>
      </c>
      <c r="U1457" s="5" t="str">
        <f ca="1">IFERROR(__xludf.DUMMYFUNCTION("""COMPUTED_VALUE"""),"LINEA PET CSD - LINEA 10LLENADORA DE BOTELLAS PET 162 VALVULAS")</f>
        <v>LINEA PET CSD - LINEA 10LLENADORA DE BOTELLAS PET 162 VALVULAS</v>
      </c>
      <c r="V1457" s="5"/>
      <c r="W1457" s="5" t="b">
        <f ca="1">IFERROR(__xludf.DUMMYFUNCTION("""COMPUTED_VALUE"""),TRUE)</f>
        <v>1</v>
      </c>
      <c r="X1457" s="5" t="str">
        <f ca="1">IFERROR(__xludf.DUMMYFUNCTION("""COMPUTED_VALUE"""),"wmazorra@postobon.com.co,aprmttoyu@postobon.com.co,aprmyu@postobon.com.co,wmora@postobon.com.co,efzapata@postobon.com.co")</f>
        <v>wmazorra@postobon.com.co,aprmttoyu@postobon.com.co,aprmyu@postobon.com.co,wmora@postobon.com.co,efzapata@postobon.com.co</v>
      </c>
      <c r="Y1457" s="5" t="str">
        <f ca="1">IFERROR(__xludf.DUMMYFUNCTION("""COMPUTED_VALUE"""),"wmazorra@postobon.com.co")</f>
        <v>wmazorra@postobon.com.co</v>
      </c>
      <c r="Z1457" s="5" t="str">
        <f ca="1">IFERROR(__xludf.DUMMYFUNCTION("""COMPUTED_VALUE"""),"Xa5OW.vZTDSVRnFJKCkOWg")</f>
        <v>Xa5OW.vZTDSVRnFJKCkOWg</v>
      </c>
      <c r="AA1457" s="5"/>
      <c r="AB1457" s="5"/>
      <c r="AC1457" s="5"/>
      <c r="AD1457" s="5">
        <f ca="1">IFERROR(__xludf.DUMMYFUNCTION("""COMPUTED_VALUE"""),30)</f>
        <v>30</v>
      </c>
      <c r="AE1457" s="5">
        <f ca="1">IFERROR(__xludf.DUMMYFUNCTION("""COMPUTED_VALUE"""),30)</f>
        <v>30</v>
      </c>
      <c r="AF1457" s="5" t="b">
        <f ca="1">IFERROR(__xludf.DUMMYFUNCTION("""COMPUTED_VALUE"""),FALSE)</f>
        <v>0</v>
      </c>
      <c r="AG1457" s="5" t="str">
        <f ca="1">IFERROR(__xludf.DUMMYFUNCTION("""COMPUTED_VALUE"""),"INSPECCIONES REALIZADAS")</f>
        <v>INSPECCIONES REALIZADAS</v>
      </c>
      <c r="AH1457" s="5"/>
    </row>
    <row r="1458" spans="1:34">
      <c r="A1458" s="5" t="str">
        <f ca="1">IFERROR(__xludf.DUMMYFUNCTION("""COMPUTED_VALUE"""),"LINEA PET CSD - LINEA 10")</f>
        <v>LINEA PET CSD - LINEA 10</v>
      </c>
      <c r="B1458" s="5">
        <f ca="1">IFERROR(__xludf.DUMMYFUNCTION("""COMPUTED_VALUE"""),519561)</f>
        <v>519561</v>
      </c>
      <c r="C1458" s="5" t="str">
        <f ca="1">IFERROR(__xludf.DUMMYFUNCTION("""COMPUTED_VALUE"""),"LLENADORA DE BOTELLAS PET 162 VALVULAS")</f>
        <v>LLENADORA DE BOTELLAS PET 162 VALVULAS</v>
      </c>
      <c r="D1458" s="5">
        <f ca="1">IFERROR(__xludf.DUMMYFUNCTION("""COMPUTED_VALUE"""),13247579)</f>
        <v>13247579</v>
      </c>
      <c r="E1458" s="5" t="str">
        <f ca="1">IFERROR(__xludf.DUMMYFUNCTION("""COMPUTED_VALUE"""),"INSPECCION SEMANAL LLENADORA DE BOTELLAS")</f>
        <v>INSPECCION SEMANAL LLENADORA DE BOTELLAS</v>
      </c>
      <c r="F1458" s="5" t="str">
        <f ca="1">IFERROR(__xludf.DUMMYFUNCTION("""COMPUTED_VALUE"""),"INSP UNIDAD MTTO AIRE")</f>
        <v>INSP UNIDAD MTTO AIRE</v>
      </c>
      <c r="G1458" s="5" t="b">
        <f ca="1">IFERROR(__xludf.DUMMYFUNCTION("""COMPUTED_VALUE"""),TRUE)</f>
        <v>1</v>
      </c>
      <c r="H1458" s="5"/>
      <c r="I1458" s="5"/>
      <c r="J1458" s="5">
        <f ca="1">IFERROR(__xludf.DUMMYFUNCTION("""COMPUTED_VALUE"""),13247579)</f>
        <v>13247579</v>
      </c>
      <c r="K1458" s="5"/>
      <c r="L1458" s="18">
        <f ca="1">IFERROR(__xludf.DUMMYFUNCTION("""COMPUTED_VALUE"""),45324)</f>
        <v>45324</v>
      </c>
      <c r="M1458" s="18">
        <f ca="1">IFERROR(__xludf.DUMMYFUNCTION("""COMPUTED_VALUE"""),45324)</f>
        <v>45324</v>
      </c>
      <c r="N1458" s="5" t="str">
        <f ca="1">IFERROR(__xludf.DUMMYFUNCTION("""COMPUTED_VALUE"""),"Duran Sanchez Nelson Fernando")</f>
        <v>Duran Sanchez Nelson Fernando</v>
      </c>
      <c r="O1458" s="2">
        <f ca="1">IFERROR(__xludf.DUMMYFUNCTION("""COMPUTED_VALUE"""),0.003333333)</f>
        <v>3.333333E-3</v>
      </c>
      <c r="P1458" s="5">
        <f ca="1">IFERROR(__xludf.DUMMYFUNCTION("""COMPUTED_VALUE"""),20009743)</f>
        <v>20009743</v>
      </c>
      <c r="Q1458" s="5" t="str">
        <f ca="1">IFERROR(__xludf.DUMMYFUNCTION("""COMPUTED_VALUE"""),"LV64X_YFfsE")</f>
        <v>LV64X_YFfsE</v>
      </c>
      <c r="R1458" s="5">
        <f ca="1">IFERROR(__xludf.DUMMYFUNCTION("""COMPUTED_VALUE"""),410)</f>
        <v>410</v>
      </c>
      <c r="S1458" s="62">
        <f ca="1">IFERROR(__xludf.DUMMYFUNCTION("""COMPUTED_VALUE"""),0.003333333)</f>
        <v>3.333333E-3</v>
      </c>
      <c r="T1458" s="63" t="str">
        <f ca="1">IFERROR(__xludf.DUMMYFUNCTION("""COMPUTED_VALUE"""),"https://storage.googleapis.com/glide-prod.appspot.com/uploads-v2/ly7o78grxPaC6KdgvbpS/pub/3aRdSog0vUtuqPE8AJKD.png")</f>
        <v>https://storage.googleapis.com/glide-prod.appspot.com/uploads-v2/ly7o78grxPaC6KdgvbpS/pub/3aRdSog0vUtuqPE8AJKD.png</v>
      </c>
      <c r="U1458" s="5" t="str">
        <f ca="1">IFERROR(__xludf.DUMMYFUNCTION("""COMPUTED_VALUE"""),"LINEA PET CSD - LINEA 10LLENADORA DE BOTELLAS PET 162 VALVULAS")</f>
        <v>LINEA PET CSD - LINEA 10LLENADORA DE BOTELLAS PET 162 VALVULAS</v>
      </c>
      <c r="V1458" s="5"/>
      <c r="W1458" s="5" t="b">
        <f ca="1">IFERROR(__xludf.DUMMYFUNCTION("""COMPUTED_VALUE"""),TRUE)</f>
        <v>1</v>
      </c>
      <c r="X1458" s="5" t="str">
        <f ca="1">IFERROR(__xludf.DUMMYFUNCTION("""COMPUTED_VALUE"""),"wmazorra@postobon.com.co,aprmttoyu@postobon.com.co,aprmyu@postobon.com.co,wmora@postobon.com.co,efzapata@postobon.com.co")</f>
        <v>wmazorra@postobon.com.co,aprmttoyu@postobon.com.co,aprmyu@postobon.com.co,wmora@postobon.com.co,efzapata@postobon.com.co</v>
      </c>
      <c r="Y1458" s="5" t="str">
        <f ca="1">IFERROR(__xludf.DUMMYFUNCTION("""COMPUTED_VALUE"""),"wmazorra@postobon.com.co")</f>
        <v>wmazorra@postobon.com.co</v>
      </c>
      <c r="Z1458" s="5" t="str">
        <f ca="1">IFERROR(__xludf.DUMMYFUNCTION("""COMPUTED_VALUE"""),"MYqCzozqTb-xpYlGeX2iyg")</f>
        <v>MYqCzozqTb-xpYlGeX2iyg</v>
      </c>
      <c r="AA1458" s="5"/>
      <c r="AB1458" s="5"/>
      <c r="AC1458" s="5"/>
      <c r="AD1458" s="5">
        <f ca="1">IFERROR(__xludf.DUMMYFUNCTION("""COMPUTED_VALUE"""),30)</f>
        <v>30</v>
      </c>
      <c r="AE1458" s="5">
        <f ca="1">IFERROR(__xludf.DUMMYFUNCTION("""COMPUTED_VALUE"""),30)</f>
        <v>30</v>
      </c>
      <c r="AF1458" s="5" t="b">
        <f ca="1">IFERROR(__xludf.DUMMYFUNCTION("""COMPUTED_VALUE"""),FALSE)</f>
        <v>0</v>
      </c>
      <c r="AG1458" s="5" t="str">
        <f ca="1">IFERROR(__xludf.DUMMYFUNCTION("""COMPUTED_VALUE"""),"INSPECCIONES REALIZADAS")</f>
        <v>INSPECCIONES REALIZADAS</v>
      </c>
      <c r="AH1458" s="5"/>
    </row>
    <row r="1459" spans="1:34">
      <c r="A1459" s="5" t="str">
        <f ca="1">IFERROR(__xludf.DUMMYFUNCTION("""COMPUTED_VALUE"""),"LINEA PET CSD - LINEA 10")</f>
        <v>LINEA PET CSD - LINEA 10</v>
      </c>
      <c r="B1459" s="5">
        <f ca="1">IFERROR(__xludf.DUMMYFUNCTION("""COMPUTED_VALUE"""),519561)</f>
        <v>519561</v>
      </c>
      <c r="C1459" s="5" t="str">
        <f ca="1">IFERROR(__xludf.DUMMYFUNCTION("""COMPUTED_VALUE"""),"LLENADORA DE BOTELLAS PET 162 VALVULAS")</f>
        <v>LLENADORA DE BOTELLAS PET 162 VALVULAS</v>
      </c>
      <c r="D1459" s="5">
        <f ca="1">IFERROR(__xludf.DUMMYFUNCTION("""COMPUTED_VALUE"""),13247579)</f>
        <v>13247579</v>
      </c>
      <c r="E1459" s="5" t="str">
        <f ca="1">IFERROR(__xludf.DUMMYFUNCTION("""COMPUTED_VALUE"""),"INSPECCION SEMANAL LLENADORA DE BOTELLAS")</f>
        <v>INSPECCION SEMANAL LLENADORA DE BOTELLAS</v>
      </c>
      <c r="F1459" s="5" t="str">
        <f ca="1">IFERROR(__xludf.DUMMYFUNCTION("""COMPUTED_VALUE"""),"INSTRUMENTACION")</f>
        <v>INSTRUMENTACION</v>
      </c>
      <c r="G1459" s="5" t="b">
        <f ca="1">IFERROR(__xludf.DUMMYFUNCTION("""COMPUTED_VALUE"""),TRUE)</f>
        <v>1</v>
      </c>
      <c r="H1459" s="5"/>
      <c r="I1459" s="5"/>
      <c r="J1459" s="5">
        <f ca="1">IFERROR(__xludf.DUMMYFUNCTION("""COMPUTED_VALUE"""),13247579)</f>
        <v>13247579</v>
      </c>
      <c r="K1459" s="5"/>
      <c r="L1459" s="18">
        <f ca="1">IFERROR(__xludf.DUMMYFUNCTION("""COMPUTED_VALUE"""),45324)</f>
        <v>45324</v>
      </c>
      <c r="M1459" s="18">
        <f ca="1">IFERROR(__xludf.DUMMYFUNCTION("""COMPUTED_VALUE"""),45324)</f>
        <v>45324</v>
      </c>
      <c r="N1459" s="5" t="str">
        <f ca="1">IFERROR(__xludf.DUMMYFUNCTION("""COMPUTED_VALUE"""),"Duran Sanchez Nelson Fernando")</f>
        <v>Duran Sanchez Nelson Fernando</v>
      </c>
      <c r="O1459" s="2">
        <f ca="1">IFERROR(__xludf.DUMMYFUNCTION("""COMPUTED_VALUE"""),0.003333333)</f>
        <v>3.333333E-3</v>
      </c>
      <c r="P1459" s="5">
        <f ca="1">IFERROR(__xludf.DUMMYFUNCTION("""COMPUTED_VALUE"""),20009743)</f>
        <v>20009743</v>
      </c>
      <c r="Q1459" s="5" t="str">
        <f ca="1">IFERROR(__xludf.DUMMYFUNCTION("""COMPUTED_VALUE"""),"Iycd4NCeXSw")</f>
        <v>Iycd4NCeXSw</v>
      </c>
      <c r="R1459" s="5">
        <f ca="1">IFERROR(__xludf.DUMMYFUNCTION("""COMPUTED_VALUE"""),410)</f>
        <v>410</v>
      </c>
      <c r="S1459" s="62">
        <f ca="1">IFERROR(__xludf.DUMMYFUNCTION("""COMPUTED_VALUE"""),0.003333333)</f>
        <v>3.333333E-3</v>
      </c>
      <c r="T1459" s="63" t="str">
        <f ca="1">IFERROR(__xludf.DUMMYFUNCTION("""COMPUTED_VALUE"""),"https://storage.googleapis.com/glide-prod.appspot.com/uploads-v2/ly7o78grxPaC6KdgvbpS/pub/3aRdSog0vUtuqPE8AJKD.png")</f>
        <v>https://storage.googleapis.com/glide-prod.appspot.com/uploads-v2/ly7o78grxPaC6KdgvbpS/pub/3aRdSog0vUtuqPE8AJKD.png</v>
      </c>
      <c r="U1459" s="5" t="str">
        <f ca="1">IFERROR(__xludf.DUMMYFUNCTION("""COMPUTED_VALUE"""),"LINEA PET CSD - LINEA 10LLENADORA DE BOTELLAS PET 162 VALVULAS")</f>
        <v>LINEA PET CSD - LINEA 10LLENADORA DE BOTELLAS PET 162 VALVULAS</v>
      </c>
      <c r="V1459" s="5"/>
      <c r="W1459" s="5" t="b">
        <f ca="1">IFERROR(__xludf.DUMMYFUNCTION("""COMPUTED_VALUE"""),TRUE)</f>
        <v>1</v>
      </c>
      <c r="X1459" s="5" t="str">
        <f ca="1">IFERROR(__xludf.DUMMYFUNCTION("""COMPUTED_VALUE"""),"wmazorra@postobon.com.co,aprmttoyu@postobon.com.co,aprmyu@postobon.com.co,wmora@postobon.com.co,efzapata@postobon.com.co")</f>
        <v>wmazorra@postobon.com.co,aprmttoyu@postobon.com.co,aprmyu@postobon.com.co,wmora@postobon.com.co,efzapata@postobon.com.co</v>
      </c>
      <c r="Y1459" s="5" t="str">
        <f ca="1">IFERROR(__xludf.DUMMYFUNCTION("""COMPUTED_VALUE"""),"wmazorra@postobon.com.co")</f>
        <v>wmazorra@postobon.com.co</v>
      </c>
      <c r="Z1459" s="5" t="str">
        <f ca="1">IFERROR(__xludf.DUMMYFUNCTION("""COMPUTED_VALUE"""),"R4eI1zn-Q.G7CfOf8b5S4Q")</f>
        <v>R4eI1zn-Q.G7CfOf8b5S4Q</v>
      </c>
      <c r="AA1459" s="5"/>
      <c r="AB1459" s="5"/>
      <c r="AC1459" s="5"/>
      <c r="AD1459" s="5">
        <f ca="1">IFERROR(__xludf.DUMMYFUNCTION("""COMPUTED_VALUE"""),30)</f>
        <v>30</v>
      </c>
      <c r="AE1459" s="5">
        <f ca="1">IFERROR(__xludf.DUMMYFUNCTION("""COMPUTED_VALUE"""),30)</f>
        <v>30</v>
      </c>
      <c r="AF1459" s="5" t="b">
        <f ca="1">IFERROR(__xludf.DUMMYFUNCTION("""COMPUTED_VALUE"""),FALSE)</f>
        <v>0</v>
      </c>
      <c r="AG1459" s="5" t="str">
        <f ca="1">IFERROR(__xludf.DUMMYFUNCTION("""COMPUTED_VALUE"""),"INSPECCIONES REALIZADAS")</f>
        <v>INSPECCIONES REALIZADAS</v>
      </c>
      <c r="AH1459" s="5"/>
    </row>
    <row r="1460" spans="1:34">
      <c r="A1460" s="5" t="str">
        <f ca="1">IFERROR(__xludf.DUMMYFUNCTION("""COMPUTED_VALUE"""),"LINEA PET CSD - LINEA 10")</f>
        <v>LINEA PET CSD - LINEA 10</v>
      </c>
      <c r="B1460" s="5">
        <f ca="1">IFERROR(__xludf.DUMMYFUNCTION("""COMPUTED_VALUE"""),519561)</f>
        <v>519561</v>
      </c>
      <c r="C1460" s="5" t="str">
        <f ca="1">IFERROR(__xludf.DUMMYFUNCTION("""COMPUTED_VALUE"""),"LLENADORA DE BOTELLAS PET 162 VALVULAS")</f>
        <v>LLENADORA DE BOTELLAS PET 162 VALVULAS</v>
      </c>
      <c r="D1460" s="5">
        <f ca="1">IFERROR(__xludf.DUMMYFUNCTION("""COMPUTED_VALUE"""),13247579)</f>
        <v>13247579</v>
      </c>
      <c r="E1460" s="5" t="str">
        <f ca="1">IFERROR(__xludf.DUMMYFUNCTION("""COMPUTED_VALUE"""),"INSPECCION SEMANAL LLENADORA DE BOTELLAS")</f>
        <v>INSPECCION SEMANAL LLENADORA DE BOTELLAS</v>
      </c>
      <c r="F1460" s="5" t="str">
        <f ca="1">IFERROR(__xludf.DUMMYFUNCTION("""COMPUTED_VALUE"""),"INSP INTERCAMBIADOR Y REJILLA AIRE")</f>
        <v>INSP INTERCAMBIADOR Y REJILLA AIRE</v>
      </c>
      <c r="G1460" s="5" t="b">
        <f ca="1">IFERROR(__xludf.DUMMYFUNCTION("""COMPUTED_VALUE"""),TRUE)</f>
        <v>1</v>
      </c>
      <c r="H1460" s="5"/>
      <c r="I1460" s="5"/>
      <c r="J1460" s="5">
        <f ca="1">IFERROR(__xludf.DUMMYFUNCTION("""COMPUTED_VALUE"""),13247579)</f>
        <v>13247579</v>
      </c>
      <c r="K1460" s="5"/>
      <c r="L1460" s="18">
        <f ca="1">IFERROR(__xludf.DUMMYFUNCTION("""COMPUTED_VALUE"""),45324)</f>
        <v>45324</v>
      </c>
      <c r="M1460" s="18">
        <f ca="1">IFERROR(__xludf.DUMMYFUNCTION("""COMPUTED_VALUE"""),45324)</f>
        <v>45324</v>
      </c>
      <c r="N1460" s="5" t="str">
        <f ca="1">IFERROR(__xludf.DUMMYFUNCTION("""COMPUTED_VALUE"""),"Duran Sanchez Nelson Fernando")</f>
        <v>Duran Sanchez Nelson Fernando</v>
      </c>
      <c r="O1460" s="2">
        <f ca="1">IFERROR(__xludf.DUMMYFUNCTION("""COMPUTED_VALUE"""),0.003333333)</f>
        <v>3.333333E-3</v>
      </c>
      <c r="P1460" s="5">
        <f ca="1">IFERROR(__xludf.DUMMYFUNCTION("""COMPUTED_VALUE"""),20009743)</f>
        <v>20009743</v>
      </c>
      <c r="Q1460" s="5" t="str">
        <f ca="1">IFERROR(__xludf.DUMMYFUNCTION("""COMPUTED_VALUE"""),"sh5D2n8TBs8")</f>
        <v>sh5D2n8TBs8</v>
      </c>
      <c r="R1460" s="5">
        <f ca="1">IFERROR(__xludf.DUMMYFUNCTION("""COMPUTED_VALUE"""),410)</f>
        <v>410</v>
      </c>
      <c r="S1460" s="62">
        <f ca="1">IFERROR(__xludf.DUMMYFUNCTION("""COMPUTED_VALUE"""),0.003333333)</f>
        <v>3.333333E-3</v>
      </c>
      <c r="T1460" s="63" t="str">
        <f ca="1">IFERROR(__xludf.DUMMYFUNCTION("""COMPUTED_VALUE"""),"https://storage.googleapis.com/glide-prod.appspot.com/uploads-v2/ly7o78grxPaC6KdgvbpS/pub/3aRdSog0vUtuqPE8AJKD.png")</f>
        <v>https://storage.googleapis.com/glide-prod.appspot.com/uploads-v2/ly7o78grxPaC6KdgvbpS/pub/3aRdSog0vUtuqPE8AJKD.png</v>
      </c>
      <c r="U1460" s="5" t="str">
        <f ca="1">IFERROR(__xludf.DUMMYFUNCTION("""COMPUTED_VALUE"""),"LINEA PET CSD - LINEA 10LLENADORA DE BOTELLAS PET 162 VALVULAS")</f>
        <v>LINEA PET CSD - LINEA 10LLENADORA DE BOTELLAS PET 162 VALVULAS</v>
      </c>
      <c r="V1460" s="5"/>
      <c r="W1460" s="5" t="b">
        <f ca="1">IFERROR(__xludf.DUMMYFUNCTION("""COMPUTED_VALUE"""),TRUE)</f>
        <v>1</v>
      </c>
      <c r="X1460" s="5" t="str">
        <f ca="1">IFERROR(__xludf.DUMMYFUNCTION("""COMPUTED_VALUE"""),"wmazorra@postobon.com.co,aprmttoyu@postobon.com.co,aprmyu@postobon.com.co,wmora@postobon.com.co,efzapata@postobon.com.co")</f>
        <v>wmazorra@postobon.com.co,aprmttoyu@postobon.com.co,aprmyu@postobon.com.co,wmora@postobon.com.co,efzapata@postobon.com.co</v>
      </c>
      <c r="Y1460" s="5" t="str">
        <f ca="1">IFERROR(__xludf.DUMMYFUNCTION("""COMPUTED_VALUE"""),"wmazorra@postobon.com.co")</f>
        <v>wmazorra@postobon.com.co</v>
      </c>
      <c r="Z1460" s="5" t="str">
        <f ca="1">IFERROR(__xludf.DUMMYFUNCTION("""COMPUTED_VALUE"""),"eXgP5ns9Tsa91oFW2NALkw")</f>
        <v>eXgP5ns9Tsa91oFW2NALkw</v>
      </c>
      <c r="AA1460" s="5"/>
      <c r="AB1460" s="5"/>
      <c r="AC1460" s="5"/>
      <c r="AD1460" s="5">
        <f ca="1">IFERROR(__xludf.DUMMYFUNCTION("""COMPUTED_VALUE"""),30)</f>
        <v>30</v>
      </c>
      <c r="AE1460" s="5">
        <f ca="1">IFERROR(__xludf.DUMMYFUNCTION("""COMPUTED_VALUE"""),30)</f>
        <v>30</v>
      </c>
      <c r="AF1460" s="5" t="b">
        <f ca="1">IFERROR(__xludf.DUMMYFUNCTION("""COMPUTED_VALUE"""),FALSE)</f>
        <v>0</v>
      </c>
      <c r="AG1460" s="5" t="str">
        <f ca="1">IFERROR(__xludf.DUMMYFUNCTION("""COMPUTED_VALUE"""),"INSPECCIONES REALIZADAS")</f>
        <v>INSPECCIONES REALIZADAS</v>
      </c>
      <c r="AH1460" s="5"/>
    </row>
    <row r="1461" spans="1:34">
      <c r="A1461" s="5" t="str">
        <f ca="1">IFERROR(__xludf.DUMMYFUNCTION("""COMPUTED_VALUE"""),"LINEA PET CSD - LINEA 10")</f>
        <v>LINEA PET CSD - LINEA 10</v>
      </c>
      <c r="B1461" s="5">
        <f ca="1">IFERROR(__xludf.DUMMYFUNCTION("""COMPUTED_VALUE"""),519561)</f>
        <v>519561</v>
      </c>
      <c r="C1461" s="5" t="str">
        <f ca="1">IFERROR(__xludf.DUMMYFUNCTION("""COMPUTED_VALUE"""),"LLENADORA DE BOTELLAS PET 162 VALVULAS")</f>
        <v>LLENADORA DE BOTELLAS PET 162 VALVULAS</v>
      </c>
      <c r="D1461" s="5">
        <f ca="1">IFERROR(__xludf.DUMMYFUNCTION("""COMPUTED_VALUE"""),13247579)</f>
        <v>13247579</v>
      </c>
      <c r="E1461" s="5" t="str">
        <f ca="1">IFERROR(__xludf.DUMMYFUNCTION("""COMPUTED_VALUE"""),"INSPECCION SEMANAL LLENADORA DE BOTELLAS")</f>
        <v>INSPECCION SEMANAL LLENADORA DE BOTELLAS</v>
      </c>
      <c r="F1461" s="5" t="str">
        <f ca="1">IFERROR(__xludf.DUMMYFUNCTION("""COMPUTED_VALUE"""),"ESCAPES FLUIDOS")</f>
        <v>ESCAPES FLUIDOS</v>
      </c>
      <c r="G1461" s="5" t="b">
        <f ca="1">IFERROR(__xludf.DUMMYFUNCTION("""COMPUTED_VALUE"""),TRUE)</f>
        <v>1</v>
      </c>
      <c r="H1461" s="5"/>
      <c r="I1461" s="5"/>
      <c r="J1461" s="5">
        <f ca="1">IFERROR(__xludf.DUMMYFUNCTION("""COMPUTED_VALUE"""),13247579)</f>
        <v>13247579</v>
      </c>
      <c r="K1461" s="5"/>
      <c r="L1461" s="18">
        <f ca="1">IFERROR(__xludf.DUMMYFUNCTION("""COMPUTED_VALUE"""),45324)</f>
        <v>45324</v>
      </c>
      <c r="M1461" s="18">
        <f ca="1">IFERROR(__xludf.DUMMYFUNCTION("""COMPUTED_VALUE"""),45324)</f>
        <v>45324</v>
      </c>
      <c r="N1461" s="5" t="str">
        <f ca="1">IFERROR(__xludf.DUMMYFUNCTION("""COMPUTED_VALUE"""),"Duran Sanchez Nelson Fernando")</f>
        <v>Duran Sanchez Nelson Fernando</v>
      </c>
      <c r="O1461" s="2">
        <f ca="1">IFERROR(__xludf.DUMMYFUNCTION("""COMPUTED_VALUE"""),0.003333333)</f>
        <v>3.333333E-3</v>
      </c>
      <c r="P1461" s="5">
        <f ca="1">IFERROR(__xludf.DUMMYFUNCTION("""COMPUTED_VALUE"""),20009743)</f>
        <v>20009743</v>
      </c>
      <c r="Q1461" s="5" t="str">
        <f ca="1">IFERROR(__xludf.DUMMYFUNCTION("""COMPUTED_VALUE"""),"q91bH-q5KG8")</f>
        <v>q91bH-q5KG8</v>
      </c>
      <c r="R1461" s="5">
        <f ca="1">IFERROR(__xludf.DUMMYFUNCTION("""COMPUTED_VALUE"""),410)</f>
        <v>410</v>
      </c>
      <c r="S1461" s="62">
        <f ca="1">IFERROR(__xludf.DUMMYFUNCTION("""COMPUTED_VALUE"""),0.003333333)</f>
        <v>3.333333E-3</v>
      </c>
      <c r="T1461" s="63" t="str">
        <f ca="1">IFERROR(__xludf.DUMMYFUNCTION("""COMPUTED_VALUE"""),"https://storage.googleapis.com/glide-prod.appspot.com/uploads-v2/ly7o78grxPaC6KdgvbpS/pub/3aRdSog0vUtuqPE8AJKD.png")</f>
        <v>https://storage.googleapis.com/glide-prod.appspot.com/uploads-v2/ly7o78grxPaC6KdgvbpS/pub/3aRdSog0vUtuqPE8AJKD.png</v>
      </c>
      <c r="U1461" s="5" t="str">
        <f ca="1">IFERROR(__xludf.DUMMYFUNCTION("""COMPUTED_VALUE"""),"LINEA PET CSD - LINEA 10LLENADORA DE BOTELLAS PET 162 VALVULAS")</f>
        <v>LINEA PET CSD - LINEA 10LLENADORA DE BOTELLAS PET 162 VALVULAS</v>
      </c>
      <c r="V1461" s="5"/>
      <c r="W1461" s="5" t="b">
        <f ca="1">IFERROR(__xludf.DUMMYFUNCTION("""COMPUTED_VALUE"""),TRUE)</f>
        <v>1</v>
      </c>
      <c r="X1461" s="5" t="str">
        <f ca="1">IFERROR(__xludf.DUMMYFUNCTION("""COMPUTED_VALUE"""),"wmazorra@postobon.com.co,aprmttoyu@postobon.com.co,aprmyu@postobon.com.co,wmora@postobon.com.co,efzapata@postobon.com.co")</f>
        <v>wmazorra@postobon.com.co,aprmttoyu@postobon.com.co,aprmyu@postobon.com.co,wmora@postobon.com.co,efzapata@postobon.com.co</v>
      </c>
      <c r="Y1461" s="5" t="str">
        <f ca="1">IFERROR(__xludf.DUMMYFUNCTION("""COMPUTED_VALUE"""),"wmazorra@postobon.com.co")</f>
        <v>wmazorra@postobon.com.co</v>
      </c>
      <c r="Z1461" s="5" t="str">
        <f ca="1">IFERROR(__xludf.DUMMYFUNCTION("""COMPUTED_VALUE"""),"BgLM2bwISwiL476peV8mYw")</f>
        <v>BgLM2bwISwiL476peV8mYw</v>
      </c>
      <c r="AA1461" s="5"/>
      <c r="AB1461" s="5"/>
      <c r="AC1461" s="5"/>
      <c r="AD1461" s="5">
        <f ca="1">IFERROR(__xludf.DUMMYFUNCTION("""COMPUTED_VALUE"""),30)</f>
        <v>30</v>
      </c>
      <c r="AE1461" s="5">
        <f ca="1">IFERROR(__xludf.DUMMYFUNCTION("""COMPUTED_VALUE"""),30)</f>
        <v>30</v>
      </c>
      <c r="AF1461" s="5" t="b">
        <f ca="1">IFERROR(__xludf.DUMMYFUNCTION("""COMPUTED_VALUE"""),FALSE)</f>
        <v>0</v>
      </c>
      <c r="AG1461" s="5" t="str">
        <f ca="1">IFERROR(__xludf.DUMMYFUNCTION("""COMPUTED_VALUE"""),"INSPECCIONES REALIZADAS")</f>
        <v>INSPECCIONES REALIZADAS</v>
      </c>
      <c r="AH1461" s="5"/>
    </row>
    <row r="1462" spans="1:34">
      <c r="A1462" s="5" t="str">
        <f ca="1">IFERROR(__xludf.DUMMYFUNCTION("""COMPUTED_VALUE"""),"LINEA PET CSD - LINEA 10")</f>
        <v>LINEA PET CSD - LINEA 10</v>
      </c>
      <c r="B1462" s="5">
        <f ca="1">IFERROR(__xludf.DUMMYFUNCTION("""COMPUTED_VALUE"""),519561)</f>
        <v>519561</v>
      </c>
      <c r="C1462" s="5" t="str">
        <f ca="1">IFERROR(__xludf.DUMMYFUNCTION("""COMPUTED_VALUE"""),"LLENADORA DE BOTELLAS PET 162 VALVULAS")</f>
        <v>LLENADORA DE BOTELLAS PET 162 VALVULAS</v>
      </c>
      <c r="D1462" s="5">
        <f ca="1">IFERROR(__xludf.DUMMYFUNCTION("""COMPUTED_VALUE"""),13247579)</f>
        <v>13247579</v>
      </c>
      <c r="E1462" s="5" t="str">
        <f ca="1">IFERROR(__xludf.DUMMYFUNCTION("""COMPUTED_VALUE"""),"INSPECCION SEMANAL LLENADORA DE BOTELLAS")</f>
        <v>INSPECCION SEMANAL LLENADORA DE BOTELLAS</v>
      </c>
      <c r="F1462" s="5" t="str">
        <f ca="1">IFERROR(__xludf.DUMMYFUNCTION("""COMPUTED_VALUE"""),"ESTADO ESTRELLAS Y PINZAS")</f>
        <v>ESTADO ESTRELLAS Y PINZAS</v>
      </c>
      <c r="G1462" s="5" t="b">
        <f ca="1">IFERROR(__xludf.DUMMYFUNCTION("""COMPUTED_VALUE"""),TRUE)</f>
        <v>1</v>
      </c>
      <c r="H1462" s="5" t="str">
        <f ca="1">IFERROR(__xludf.DUMMYFUNCTION("""COMPUTED_VALUE"""),"Estrella de salida carrusel llenadora con desgaste en levas y pinzas al parecer por colisiones repetidas.")</f>
        <v>Estrella de salida carrusel llenadora con desgaste en levas y pinzas al parecer por colisiones repetidas.</v>
      </c>
      <c r="I1462" s="5"/>
      <c r="J1462" s="5">
        <f ca="1">IFERROR(__xludf.DUMMYFUNCTION("""COMPUTED_VALUE"""),13247579)</f>
        <v>13247579</v>
      </c>
      <c r="K1462" s="5"/>
      <c r="L1462" s="18">
        <f ca="1">IFERROR(__xludf.DUMMYFUNCTION("""COMPUTED_VALUE"""),45324)</f>
        <v>45324</v>
      </c>
      <c r="M1462" s="18">
        <f ca="1">IFERROR(__xludf.DUMMYFUNCTION("""COMPUTED_VALUE"""),45324)</f>
        <v>45324</v>
      </c>
      <c r="N1462" s="5" t="str">
        <f ca="1">IFERROR(__xludf.DUMMYFUNCTION("""COMPUTED_VALUE"""),"Duran Sanchez Nelson Fernando")</f>
        <v>Duran Sanchez Nelson Fernando</v>
      </c>
      <c r="O1462" s="2">
        <f ca="1">IFERROR(__xludf.DUMMYFUNCTION("""COMPUTED_VALUE"""),0.003333333)</f>
        <v>3.333333E-3</v>
      </c>
      <c r="P1462" s="5">
        <f ca="1">IFERROR(__xludf.DUMMYFUNCTION("""COMPUTED_VALUE"""),20009743)</f>
        <v>20009743</v>
      </c>
      <c r="Q1462" s="5" t="str">
        <f ca="1">IFERROR(__xludf.DUMMYFUNCTION("""COMPUTED_VALUE"""),"wwYmPJrHGQE")</f>
        <v>wwYmPJrHGQE</v>
      </c>
      <c r="R1462" s="5">
        <f ca="1">IFERROR(__xludf.DUMMYFUNCTION("""COMPUTED_VALUE"""),410)</f>
        <v>410</v>
      </c>
      <c r="S1462" s="62">
        <f ca="1">IFERROR(__xludf.DUMMYFUNCTION("""COMPUTED_VALUE"""),0.003333333)</f>
        <v>3.333333E-3</v>
      </c>
      <c r="T1462" s="63" t="str">
        <f ca="1">IFERROR(__xludf.DUMMYFUNCTION("""COMPUTED_VALUE"""),"https://storage.googleapis.com/glide-prod.appspot.com/uploads-v2/ly7o78grxPaC6KdgvbpS/pub/3aRdSog0vUtuqPE8AJKD.png")</f>
        <v>https://storage.googleapis.com/glide-prod.appspot.com/uploads-v2/ly7o78grxPaC6KdgvbpS/pub/3aRdSog0vUtuqPE8AJKD.png</v>
      </c>
      <c r="U1462" s="5" t="str">
        <f ca="1">IFERROR(__xludf.DUMMYFUNCTION("""COMPUTED_VALUE"""),"LINEA PET CSD - LINEA 10LLENADORA DE BOTELLAS PET 162 VALVULAS")</f>
        <v>LINEA PET CSD - LINEA 10LLENADORA DE BOTELLAS PET 162 VALVULAS</v>
      </c>
      <c r="V1462" s="5"/>
      <c r="W1462" s="5" t="b">
        <f ca="1">IFERROR(__xludf.DUMMYFUNCTION("""COMPUTED_VALUE"""),TRUE)</f>
        <v>1</v>
      </c>
      <c r="X1462" s="5" t="str">
        <f ca="1">IFERROR(__xludf.DUMMYFUNCTION("""COMPUTED_VALUE"""),"wmazorra@postobon.com.co,aprmttoyu@postobon.com.co,aprmyu@postobon.com.co,wmora@postobon.com.co,efzapata@postobon.com.co")</f>
        <v>wmazorra@postobon.com.co,aprmttoyu@postobon.com.co,aprmyu@postobon.com.co,wmora@postobon.com.co,efzapata@postobon.com.co</v>
      </c>
      <c r="Y1462" s="5" t="str">
        <f ca="1">IFERROR(__xludf.DUMMYFUNCTION("""COMPUTED_VALUE"""),"wmazorra@postobon.com.co")</f>
        <v>wmazorra@postobon.com.co</v>
      </c>
      <c r="Z1462" s="5" t="str">
        <f ca="1">IFERROR(__xludf.DUMMYFUNCTION("""COMPUTED_VALUE"""),"a--MXZU9BRI-uZ0Jo53afgQ")</f>
        <v>a--MXZU9BRI-uZ0Jo53afgQ</v>
      </c>
      <c r="AA1462" s="63" t="str">
        <f ca="1">IFERROR(__xludf.DUMMYFUNCTION("""COMPUTED_VALUE"""),"https://storage.googleapis.com/glide-prod.appspot.com/uploads-v2/ly7o78grxPaC6KdgvbpS/pub/OiQbi7hopxbNQY1peOq6.jpg")</f>
        <v>https://storage.googleapis.com/glide-prod.appspot.com/uploads-v2/ly7o78grxPaC6KdgvbpS/pub/OiQbi7hopxbNQY1peOq6.jpg</v>
      </c>
      <c r="AB1462" s="5"/>
      <c r="AC1462" s="5"/>
      <c r="AD1462" s="5">
        <f ca="1">IFERROR(__xludf.DUMMYFUNCTION("""COMPUTED_VALUE"""),30)</f>
        <v>30</v>
      </c>
      <c r="AE1462" s="5">
        <f ca="1">IFERROR(__xludf.DUMMYFUNCTION("""COMPUTED_VALUE"""),30)</f>
        <v>30</v>
      </c>
      <c r="AF1462" s="5" t="b">
        <f ca="1">IFERROR(__xludf.DUMMYFUNCTION("""COMPUTED_VALUE"""),FALSE)</f>
        <v>0</v>
      </c>
      <c r="AG1462" s="5" t="str">
        <f ca="1">IFERROR(__xludf.DUMMYFUNCTION("""COMPUTED_VALUE"""),"INSPECCIONES REALIZADAS")</f>
        <v>INSPECCIONES REALIZADAS</v>
      </c>
      <c r="AH1462" s="5"/>
    </row>
    <row r="1463" spans="1:34">
      <c r="A1463" s="5" t="str">
        <f ca="1">IFERROR(__xludf.DUMMYFUNCTION("""COMPUTED_VALUE"""),"LINEA PET CSD - LINEA 10")</f>
        <v>LINEA PET CSD - LINEA 10</v>
      </c>
      <c r="B1463" s="5">
        <f ca="1">IFERROR(__xludf.DUMMYFUNCTION("""COMPUTED_VALUE"""),519561)</f>
        <v>519561</v>
      </c>
      <c r="C1463" s="5" t="str">
        <f ca="1">IFERROR(__xludf.DUMMYFUNCTION("""COMPUTED_VALUE"""),"LLENADORA DE BOTELLAS PET 162 VALVULAS")</f>
        <v>LLENADORA DE BOTELLAS PET 162 VALVULAS</v>
      </c>
      <c r="D1463" s="5">
        <f ca="1">IFERROR(__xludf.DUMMYFUNCTION("""COMPUTED_VALUE"""),13247579)</f>
        <v>13247579</v>
      </c>
      <c r="E1463" s="5" t="str">
        <f ca="1">IFERROR(__xludf.DUMMYFUNCTION("""COMPUTED_VALUE"""),"INSPECCION SEMANAL LLENADORA DE BOTELLAS")</f>
        <v>INSPECCION SEMANAL LLENADORA DE BOTELLAS</v>
      </c>
      <c r="F1463" s="5" t="str">
        <f ca="1">IFERROR(__xludf.DUMMYFUNCTION("""COMPUTED_VALUE"""),"FORMATOS MANEJO ENVASES")</f>
        <v>FORMATOS MANEJO ENVASES</v>
      </c>
      <c r="G1463" s="5" t="b">
        <f ca="1">IFERROR(__xludf.DUMMYFUNCTION("""COMPUTED_VALUE"""),TRUE)</f>
        <v>1</v>
      </c>
      <c r="H1463" s="5"/>
      <c r="I1463" s="5"/>
      <c r="J1463" s="5">
        <f ca="1">IFERROR(__xludf.DUMMYFUNCTION("""COMPUTED_VALUE"""),13247579)</f>
        <v>13247579</v>
      </c>
      <c r="K1463" s="5"/>
      <c r="L1463" s="18">
        <f ca="1">IFERROR(__xludf.DUMMYFUNCTION("""COMPUTED_VALUE"""),45324)</f>
        <v>45324</v>
      </c>
      <c r="M1463" s="18">
        <f ca="1">IFERROR(__xludf.DUMMYFUNCTION("""COMPUTED_VALUE"""),45324)</f>
        <v>45324</v>
      </c>
      <c r="N1463" s="5" t="str">
        <f ca="1">IFERROR(__xludf.DUMMYFUNCTION("""COMPUTED_VALUE"""),"Duran Sanchez Nelson Fernando")</f>
        <v>Duran Sanchez Nelson Fernando</v>
      </c>
      <c r="O1463" s="2">
        <f ca="1">IFERROR(__xludf.DUMMYFUNCTION("""COMPUTED_VALUE"""),0.003333333)</f>
        <v>3.333333E-3</v>
      </c>
      <c r="P1463" s="5">
        <f ca="1">IFERROR(__xludf.DUMMYFUNCTION("""COMPUTED_VALUE"""),20009743)</f>
        <v>20009743</v>
      </c>
      <c r="Q1463" s="5" t="str">
        <f ca="1">IFERROR(__xludf.DUMMYFUNCTION("""COMPUTED_VALUE"""),"flRdMQU1mZA")</f>
        <v>flRdMQU1mZA</v>
      </c>
      <c r="R1463" s="5">
        <f ca="1">IFERROR(__xludf.DUMMYFUNCTION("""COMPUTED_VALUE"""),410)</f>
        <v>410</v>
      </c>
      <c r="S1463" s="62">
        <f ca="1">IFERROR(__xludf.DUMMYFUNCTION("""COMPUTED_VALUE"""),0.003333333)</f>
        <v>3.333333E-3</v>
      </c>
      <c r="T1463" s="63" t="str">
        <f ca="1">IFERROR(__xludf.DUMMYFUNCTION("""COMPUTED_VALUE"""),"https://storage.googleapis.com/glide-prod.appspot.com/uploads-v2/ly7o78grxPaC6KdgvbpS/pub/3aRdSog0vUtuqPE8AJKD.png")</f>
        <v>https://storage.googleapis.com/glide-prod.appspot.com/uploads-v2/ly7o78grxPaC6KdgvbpS/pub/3aRdSog0vUtuqPE8AJKD.png</v>
      </c>
      <c r="U1463" s="5" t="str">
        <f ca="1">IFERROR(__xludf.DUMMYFUNCTION("""COMPUTED_VALUE"""),"LINEA PET CSD - LINEA 10LLENADORA DE BOTELLAS PET 162 VALVULAS")</f>
        <v>LINEA PET CSD - LINEA 10LLENADORA DE BOTELLAS PET 162 VALVULAS</v>
      </c>
      <c r="V1463" s="5"/>
      <c r="W1463" s="5" t="b">
        <f ca="1">IFERROR(__xludf.DUMMYFUNCTION("""COMPUTED_VALUE"""),TRUE)</f>
        <v>1</v>
      </c>
      <c r="X1463" s="5" t="str">
        <f ca="1">IFERROR(__xludf.DUMMYFUNCTION("""COMPUTED_VALUE"""),"wmazorra@postobon.com.co,aprmttoyu@postobon.com.co,aprmyu@postobon.com.co,wmora@postobon.com.co,efzapata@postobon.com.co")</f>
        <v>wmazorra@postobon.com.co,aprmttoyu@postobon.com.co,aprmyu@postobon.com.co,wmora@postobon.com.co,efzapata@postobon.com.co</v>
      </c>
      <c r="Y1463" s="5" t="str">
        <f ca="1">IFERROR(__xludf.DUMMYFUNCTION("""COMPUTED_VALUE"""),"wmazorra@postobon.com.co")</f>
        <v>wmazorra@postobon.com.co</v>
      </c>
      <c r="Z1463" s="5" t="str">
        <f ca="1">IFERROR(__xludf.DUMMYFUNCTION("""COMPUTED_VALUE"""),"a-EyPIMiJTeCwQZcjZaCa3w")</f>
        <v>a-EyPIMiJTeCwQZcjZaCa3w</v>
      </c>
      <c r="AA1463" s="5"/>
      <c r="AB1463" s="5"/>
      <c r="AC1463" s="5"/>
      <c r="AD1463" s="5">
        <f ca="1">IFERROR(__xludf.DUMMYFUNCTION("""COMPUTED_VALUE"""),30)</f>
        <v>30</v>
      </c>
      <c r="AE1463" s="5">
        <f ca="1">IFERROR(__xludf.DUMMYFUNCTION("""COMPUTED_VALUE"""),30)</f>
        <v>30</v>
      </c>
      <c r="AF1463" s="5" t="b">
        <f ca="1">IFERROR(__xludf.DUMMYFUNCTION("""COMPUTED_VALUE"""),FALSE)</f>
        <v>0</v>
      </c>
      <c r="AG1463" s="5" t="str">
        <f ca="1">IFERROR(__xludf.DUMMYFUNCTION("""COMPUTED_VALUE"""),"INSPECCIONES REALIZADAS")</f>
        <v>INSPECCIONES REALIZADAS</v>
      </c>
      <c r="AH1463" s="5"/>
    </row>
    <row r="1464" spans="1:34">
      <c r="A1464" s="5" t="str">
        <f ca="1">IFERROR(__xludf.DUMMYFUNCTION("""COMPUTED_VALUE"""),"LINEA PET CSD - LINEA 10")</f>
        <v>LINEA PET CSD - LINEA 10</v>
      </c>
      <c r="B1464" s="5">
        <f ca="1">IFERROR(__xludf.DUMMYFUNCTION("""COMPUTED_VALUE"""),519561)</f>
        <v>519561</v>
      </c>
      <c r="C1464" s="5" t="str">
        <f ca="1">IFERROR(__xludf.DUMMYFUNCTION("""COMPUTED_VALUE"""),"LLENADORA DE BOTELLAS PET 162 VALVULAS")</f>
        <v>LLENADORA DE BOTELLAS PET 162 VALVULAS</v>
      </c>
      <c r="D1464" s="5">
        <f ca="1">IFERROR(__xludf.DUMMYFUNCTION("""COMPUTED_VALUE"""),13247579)</f>
        <v>13247579</v>
      </c>
      <c r="E1464" s="5" t="str">
        <f ca="1">IFERROR(__xludf.DUMMYFUNCTION("""COMPUTED_VALUE"""),"INSPECCION SEMANAL LLENADORA DE BOTELLAS")</f>
        <v>INSPECCION SEMANAL LLENADORA DE BOTELLAS</v>
      </c>
      <c r="F1464" s="5" t="str">
        <f ca="1">IFERROR(__xludf.DUMMYFUNCTION("""COMPUTED_VALUE"""),"FUNC VALVULA REGULADORA PRODUCTO")</f>
        <v>FUNC VALVULA REGULADORA PRODUCTO</v>
      </c>
      <c r="G1464" s="5" t="b">
        <f ca="1">IFERROR(__xludf.DUMMYFUNCTION("""COMPUTED_VALUE"""),TRUE)</f>
        <v>1</v>
      </c>
      <c r="H1464" s="5"/>
      <c r="I1464" s="5"/>
      <c r="J1464" s="5">
        <f ca="1">IFERROR(__xludf.DUMMYFUNCTION("""COMPUTED_VALUE"""),13247579)</f>
        <v>13247579</v>
      </c>
      <c r="K1464" s="5"/>
      <c r="L1464" s="18">
        <f ca="1">IFERROR(__xludf.DUMMYFUNCTION("""COMPUTED_VALUE"""),45324)</f>
        <v>45324</v>
      </c>
      <c r="M1464" s="18">
        <f ca="1">IFERROR(__xludf.DUMMYFUNCTION("""COMPUTED_VALUE"""),45324)</f>
        <v>45324</v>
      </c>
      <c r="N1464" s="5" t="str">
        <f ca="1">IFERROR(__xludf.DUMMYFUNCTION("""COMPUTED_VALUE"""),"Duran Sanchez Nelson Fernando")</f>
        <v>Duran Sanchez Nelson Fernando</v>
      </c>
      <c r="O1464" s="2">
        <f ca="1">IFERROR(__xludf.DUMMYFUNCTION("""COMPUTED_VALUE"""),0.003333333)</f>
        <v>3.333333E-3</v>
      </c>
      <c r="P1464" s="5">
        <f ca="1">IFERROR(__xludf.DUMMYFUNCTION("""COMPUTED_VALUE"""),20009743)</f>
        <v>20009743</v>
      </c>
      <c r="Q1464" s="5" t="str">
        <f ca="1">IFERROR(__xludf.DUMMYFUNCTION("""COMPUTED_VALUE"""),"t45pmzf8Ggw")</f>
        <v>t45pmzf8Ggw</v>
      </c>
      <c r="R1464" s="5">
        <f ca="1">IFERROR(__xludf.DUMMYFUNCTION("""COMPUTED_VALUE"""),410)</f>
        <v>410</v>
      </c>
      <c r="S1464" s="62">
        <f ca="1">IFERROR(__xludf.DUMMYFUNCTION("""COMPUTED_VALUE"""),0.003333333)</f>
        <v>3.333333E-3</v>
      </c>
      <c r="T1464" s="63" t="str">
        <f ca="1">IFERROR(__xludf.DUMMYFUNCTION("""COMPUTED_VALUE"""),"https://storage.googleapis.com/glide-prod.appspot.com/uploads-v2/ly7o78grxPaC6KdgvbpS/pub/3aRdSog0vUtuqPE8AJKD.png")</f>
        <v>https://storage.googleapis.com/glide-prod.appspot.com/uploads-v2/ly7o78grxPaC6KdgvbpS/pub/3aRdSog0vUtuqPE8AJKD.png</v>
      </c>
      <c r="U1464" s="5" t="str">
        <f ca="1">IFERROR(__xludf.DUMMYFUNCTION("""COMPUTED_VALUE"""),"LINEA PET CSD - LINEA 10LLENADORA DE BOTELLAS PET 162 VALVULAS")</f>
        <v>LINEA PET CSD - LINEA 10LLENADORA DE BOTELLAS PET 162 VALVULAS</v>
      </c>
      <c r="V1464" s="5"/>
      <c r="W1464" s="5" t="b">
        <f ca="1">IFERROR(__xludf.DUMMYFUNCTION("""COMPUTED_VALUE"""),TRUE)</f>
        <v>1</v>
      </c>
      <c r="X1464" s="5" t="str">
        <f ca="1">IFERROR(__xludf.DUMMYFUNCTION("""COMPUTED_VALUE"""),"wmazorra@postobon.com.co,aprmttoyu@postobon.com.co,aprmyu@postobon.com.co,wmora@postobon.com.co,efzapata@postobon.com.co")</f>
        <v>wmazorra@postobon.com.co,aprmttoyu@postobon.com.co,aprmyu@postobon.com.co,wmora@postobon.com.co,efzapata@postobon.com.co</v>
      </c>
      <c r="Y1464" s="5" t="str">
        <f ca="1">IFERROR(__xludf.DUMMYFUNCTION("""COMPUTED_VALUE"""),"wmazorra@postobon.com.co")</f>
        <v>wmazorra@postobon.com.co</v>
      </c>
      <c r="Z1464" s="5" t="str">
        <f ca="1">IFERROR(__xludf.DUMMYFUNCTION("""COMPUTED_VALUE"""),"a.oqN00leTFOYv4-bFGXFkg")</f>
        <v>a.oqN00leTFOYv4-bFGXFkg</v>
      </c>
      <c r="AA1464" s="5"/>
      <c r="AB1464" s="5"/>
      <c r="AC1464" s="5"/>
      <c r="AD1464" s="5">
        <f ca="1">IFERROR(__xludf.DUMMYFUNCTION("""COMPUTED_VALUE"""),30)</f>
        <v>30</v>
      </c>
      <c r="AE1464" s="5">
        <f ca="1">IFERROR(__xludf.DUMMYFUNCTION("""COMPUTED_VALUE"""),30)</f>
        <v>30</v>
      </c>
      <c r="AF1464" s="5" t="b">
        <f ca="1">IFERROR(__xludf.DUMMYFUNCTION("""COMPUTED_VALUE"""),FALSE)</f>
        <v>0</v>
      </c>
      <c r="AG1464" s="5" t="str">
        <f ca="1">IFERROR(__xludf.DUMMYFUNCTION("""COMPUTED_VALUE"""),"INSPECCIONES REALIZADAS")</f>
        <v>INSPECCIONES REALIZADAS</v>
      </c>
      <c r="AH1464" s="5"/>
    </row>
    <row r="1465" spans="1:34">
      <c r="A1465" s="5" t="str">
        <f ca="1">IFERROR(__xludf.DUMMYFUNCTION("""COMPUTED_VALUE"""),"LINEA PET CSD - LINEA 10")</f>
        <v>LINEA PET CSD - LINEA 10</v>
      </c>
      <c r="B1465" s="5">
        <f ca="1">IFERROR(__xludf.DUMMYFUNCTION("""COMPUTED_VALUE"""),519561)</f>
        <v>519561</v>
      </c>
      <c r="C1465" s="5" t="str">
        <f ca="1">IFERROR(__xludf.DUMMYFUNCTION("""COMPUTED_VALUE"""),"LLENADORA DE BOTELLAS PET 162 VALVULAS")</f>
        <v>LLENADORA DE BOTELLAS PET 162 VALVULAS</v>
      </c>
      <c r="D1465" s="5">
        <f ca="1">IFERROR(__xludf.DUMMYFUNCTION("""COMPUTED_VALUE"""),13247579)</f>
        <v>13247579</v>
      </c>
      <c r="E1465" s="5" t="str">
        <f ca="1">IFERROR(__xludf.DUMMYFUNCTION("""COMPUTED_VALUE"""),"INSPECCION SEMANAL LLENADORA DE BOTELLAS")</f>
        <v>INSPECCION SEMANAL LLENADORA DE BOTELLAS</v>
      </c>
      <c r="F1465" s="5" t="str">
        <f ca="1">IFERROR(__xludf.DUMMYFUNCTION("""COMPUTED_VALUE"""),"ESTADO PARTE SUP-INF CARRUSEL")</f>
        <v>ESTADO PARTE SUP-INF CARRUSEL</v>
      </c>
      <c r="G1465" s="5" t="b">
        <f ca="1">IFERROR(__xludf.DUMMYFUNCTION("""COMPUTED_VALUE"""),TRUE)</f>
        <v>1</v>
      </c>
      <c r="H1465" s="5"/>
      <c r="I1465" s="5"/>
      <c r="J1465" s="5">
        <f ca="1">IFERROR(__xludf.DUMMYFUNCTION("""COMPUTED_VALUE"""),13247579)</f>
        <v>13247579</v>
      </c>
      <c r="K1465" s="5"/>
      <c r="L1465" s="18">
        <f ca="1">IFERROR(__xludf.DUMMYFUNCTION("""COMPUTED_VALUE"""),45324)</f>
        <v>45324</v>
      </c>
      <c r="M1465" s="18">
        <f ca="1">IFERROR(__xludf.DUMMYFUNCTION("""COMPUTED_VALUE"""),45324)</f>
        <v>45324</v>
      </c>
      <c r="N1465" s="5" t="str">
        <f ca="1">IFERROR(__xludf.DUMMYFUNCTION("""COMPUTED_VALUE"""),"Duran Sanchez Nelson Fernando")</f>
        <v>Duran Sanchez Nelson Fernando</v>
      </c>
      <c r="O1465" s="2">
        <f ca="1">IFERROR(__xludf.DUMMYFUNCTION("""COMPUTED_VALUE"""),0.003333333)</f>
        <v>3.333333E-3</v>
      </c>
      <c r="P1465" s="5">
        <f ca="1">IFERROR(__xludf.DUMMYFUNCTION("""COMPUTED_VALUE"""),20009743)</f>
        <v>20009743</v>
      </c>
      <c r="Q1465" s="5" t="str">
        <f ca="1">IFERROR(__xludf.DUMMYFUNCTION("""COMPUTED_VALUE"""),"9rhDAxUdBk8")</f>
        <v>9rhDAxUdBk8</v>
      </c>
      <c r="R1465" s="5">
        <f ca="1">IFERROR(__xludf.DUMMYFUNCTION("""COMPUTED_VALUE"""),410)</f>
        <v>410</v>
      </c>
      <c r="S1465" s="62">
        <f ca="1">IFERROR(__xludf.DUMMYFUNCTION("""COMPUTED_VALUE"""),0.003333333)</f>
        <v>3.333333E-3</v>
      </c>
      <c r="T1465" s="63" t="str">
        <f ca="1">IFERROR(__xludf.DUMMYFUNCTION("""COMPUTED_VALUE"""),"https://storage.googleapis.com/glide-prod.appspot.com/uploads-v2/ly7o78grxPaC6KdgvbpS/pub/3aRdSog0vUtuqPE8AJKD.png")</f>
        <v>https://storage.googleapis.com/glide-prod.appspot.com/uploads-v2/ly7o78grxPaC6KdgvbpS/pub/3aRdSog0vUtuqPE8AJKD.png</v>
      </c>
      <c r="U1465" s="5" t="str">
        <f ca="1">IFERROR(__xludf.DUMMYFUNCTION("""COMPUTED_VALUE"""),"LINEA PET CSD - LINEA 10LLENADORA DE BOTELLAS PET 162 VALVULAS")</f>
        <v>LINEA PET CSD - LINEA 10LLENADORA DE BOTELLAS PET 162 VALVULAS</v>
      </c>
      <c r="V1465" s="5"/>
      <c r="W1465" s="5" t="b">
        <f ca="1">IFERROR(__xludf.DUMMYFUNCTION("""COMPUTED_VALUE"""),TRUE)</f>
        <v>1</v>
      </c>
      <c r="X1465" s="5" t="str">
        <f ca="1">IFERROR(__xludf.DUMMYFUNCTION("""COMPUTED_VALUE"""),"wmazorra@postobon.com.co,aprmttoyu@postobon.com.co,aprmyu@postobon.com.co,wmora@postobon.com.co,efzapata@postobon.com.co")</f>
        <v>wmazorra@postobon.com.co,aprmttoyu@postobon.com.co,aprmyu@postobon.com.co,wmora@postobon.com.co,efzapata@postobon.com.co</v>
      </c>
      <c r="Y1465" s="5" t="str">
        <f ca="1">IFERROR(__xludf.DUMMYFUNCTION("""COMPUTED_VALUE"""),"wmazorra@postobon.com.co")</f>
        <v>wmazorra@postobon.com.co</v>
      </c>
      <c r="Z1465" s="5" t="str">
        <f ca="1">IFERROR(__xludf.DUMMYFUNCTION("""COMPUTED_VALUE"""),"c3YTkJgvQLa7RG9hmXlvZA")</f>
        <v>c3YTkJgvQLa7RG9hmXlvZA</v>
      </c>
      <c r="AA1465" s="5"/>
      <c r="AB1465" s="5"/>
      <c r="AC1465" s="5"/>
      <c r="AD1465" s="5">
        <f ca="1">IFERROR(__xludf.DUMMYFUNCTION("""COMPUTED_VALUE"""),30)</f>
        <v>30</v>
      </c>
      <c r="AE1465" s="5">
        <f ca="1">IFERROR(__xludf.DUMMYFUNCTION("""COMPUTED_VALUE"""),30)</f>
        <v>30</v>
      </c>
      <c r="AF1465" s="5" t="b">
        <f ca="1">IFERROR(__xludf.DUMMYFUNCTION("""COMPUTED_VALUE"""),FALSE)</f>
        <v>0</v>
      </c>
      <c r="AG1465" s="5" t="str">
        <f ca="1">IFERROR(__xludf.DUMMYFUNCTION("""COMPUTED_VALUE"""),"INSPECCIONES REALIZADAS")</f>
        <v>INSPECCIONES REALIZADAS</v>
      </c>
      <c r="AH1465" s="5"/>
    </row>
    <row r="1466" spans="1:34">
      <c r="A1466" s="5" t="str">
        <f ca="1">IFERROR(__xludf.DUMMYFUNCTION("""COMPUTED_VALUE"""),"LINEA PET CSD - LINEA 10")</f>
        <v>LINEA PET CSD - LINEA 10</v>
      </c>
      <c r="B1466" s="5">
        <f ca="1">IFERROR(__xludf.DUMMYFUNCTION("""COMPUTED_VALUE"""),519561)</f>
        <v>519561</v>
      </c>
      <c r="C1466" s="5" t="str">
        <f ca="1">IFERROR(__xludf.DUMMYFUNCTION("""COMPUTED_VALUE"""),"LLENADORA DE BOTELLAS PET 162 VALVULAS")</f>
        <v>LLENADORA DE BOTELLAS PET 162 VALVULAS</v>
      </c>
      <c r="D1466" s="5">
        <f ca="1">IFERROR(__xludf.DUMMYFUNCTION("""COMPUTED_VALUE"""),13247579)</f>
        <v>13247579</v>
      </c>
      <c r="E1466" s="5" t="str">
        <f ca="1">IFERROR(__xludf.DUMMYFUNCTION("""COMPUTED_VALUE"""),"INSPECCION SEMANAL LLENADORA DE BOTELLAS")</f>
        <v>INSPECCION SEMANAL LLENADORA DE BOTELLAS</v>
      </c>
      <c r="F1466" s="5" t="str">
        <f ca="1">IFERROR(__xludf.DUMMYFUNCTION("""COMPUTED_VALUE"""),"INSP ROTACION CARRUSE(UNION ROTACION BOLAS)")</f>
        <v>INSP ROTACION CARRUSE(UNION ROTACION BOLAS)</v>
      </c>
      <c r="G1466" s="5" t="b">
        <f ca="1">IFERROR(__xludf.DUMMYFUNCTION("""COMPUTED_VALUE"""),TRUE)</f>
        <v>1</v>
      </c>
      <c r="H1466" s="5"/>
      <c r="I1466" s="5"/>
      <c r="J1466" s="5">
        <f ca="1">IFERROR(__xludf.DUMMYFUNCTION("""COMPUTED_VALUE"""),13247579)</f>
        <v>13247579</v>
      </c>
      <c r="K1466" s="5"/>
      <c r="L1466" s="18">
        <f ca="1">IFERROR(__xludf.DUMMYFUNCTION("""COMPUTED_VALUE"""),45324)</f>
        <v>45324</v>
      </c>
      <c r="M1466" s="18">
        <f ca="1">IFERROR(__xludf.DUMMYFUNCTION("""COMPUTED_VALUE"""),45324)</f>
        <v>45324</v>
      </c>
      <c r="N1466" s="5" t="str">
        <f ca="1">IFERROR(__xludf.DUMMYFUNCTION("""COMPUTED_VALUE"""),"Duran Sanchez Nelson Fernando")</f>
        <v>Duran Sanchez Nelson Fernando</v>
      </c>
      <c r="O1466" s="2">
        <f ca="1">IFERROR(__xludf.DUMMYFUNCTION("""COMPUTED_VALUE"""),0.003333333)</f>
        <v>3.333333E-3</v>
      </c>
      <c r="P1466" s="5">
        <f ca="1">IFERROR(__xludf.DUMMYFUNCTION("""COMPUTED_VALUE"""),20009743)</f>
        <v>20009743</v>
      </c>
      <c r="Q1466" s="5" t="str">
        <f ca="1">IFERROR(__xludf.DUMMYFUNCTION("""COMPUTED_VALUE"""),"Or5z2TOIJEs")</f>
        <v>Or5z2TOIJEs</v>
      </c>
      <c r="R1466" s="5">
        <f ca="1">IFERROR(__xludf.DUMMYFUNCTION("""COMPUTED_VALUE"""),410)</f>
        <v>410</v>
      </c>
      <c r="S1466" s="62">
        <f ca="1">IFERROR(__xludf.DUMMYFUNCTION("""COMPUTED_VALUE"""),0.003333333)</f>
        <v>3.333333E-3</v>
      </c>
      <c r="T1466" s="63" t="str">
        <f ca="1">IFERROR(__xludf.DUMMYFUNCTION("""COMPUTED_VALUE"""),"https://storage.googleapis.com/glide-prod.appspot.com/uploads-v2/ly7o78grxPaC6KdgvbpS/pub/3aRdSog0vUtuqPE8AJKD.png")</f>
        <v>https://storage.googleapis.com/glide-prod.appspot.com/uploads-v2/ly7o78grxPaC6KdgvbpS/pub/3aRdSog0vUtuqPE8AJKD.png</v>
      </c>
      <c r="U1466" s="5" t="str">
        <f ca="1">IFERROR(__xludf.DUMMYFUNCTION("""COMPUTED_VALUE"""),"LINEA PET CSD - LINEA 10LLENADORA DE BOTELLAS PET 162 VALVULAS")</f>
        <v>LINEA PET CSD - LINEA 10LLENADORA DE BOTELLAS PET 162 VALVULAS</v>
      </c>
      <c r="V1466" s="5"/>
      <c r="W1466" s="5" t="b">
        <f ca="1">IFERROR(__xludf.DUMMYFUNCTION("""COMPUTED_VALUE"""),TRUE)</f>
        <v>1</v>
      </c>
      <c r="X1466" s="5" t="str">
        <f ca="1">IFERROR(__xludf.DUMMYFUNCTION("""COMPUTED_VALUE"""),"wmazorra@postobon.com.co,aprmttoyu@postobon.com.co,aprmyu@postobon.com.co,wmora@postobon.com.co,efzapata@postobon.com.co")</f>
        <v>wmazorra@postobon.com.co,aprmttoyu@postobon.com.co,aprmyu@postobon.com.co,wmora@postobon.com.co,efzapata@postobon.com.co</v>
      </c>
      <c r="Y1466" s="5" t="str">
        <f ca="1">IFERROR(__xludf.DUMMYFUNCTION("""COMPUTED_VALUE"""),"wmazorra@postobon.com.co")</f>
        <v>wmazorra@postobon.com.co</v>
      </c>
      <c r="Z1466" s="5" t="str">
        <f ca="1">IFERROR(__xludf.DUMMYFUNCTION("""COMPUTED_VALUE"""),"hWrgPggJSW-oVw9qUTnFOg")</f>
        <v>hWrgPggJSW-oVw9qUTnFOg</v>
      </c>
      <c r="AA1466" s="5"/>
      <c r="AB1466" s="5"/>
      <c r="AC1466" s="5"/>
      <c r="AD1466" s="5">
        <f ca="1">IFERROR(__xludf.DUMMYFUNCTION("""COMPUTED_VALUE"""),30)</f>
        <v>30</v>
      </c>
      <c r="AE1466" s="5">
        <f ca="1">IFERROR(__xludf.DUMMYFUNCTION("""COMPUTED_VALUE"""),30)</f>
        <v>30</v>
      </c>
      <c r="AF1466" s="5" t="b">
        <f ca="1">IFERROR(__xludf.DUMMYFUNCTION("""COMPUTED_VALUE"""),FALSE)</f>
        <v>0</v>
      </c>
      <c r="AG1466" s="5" t="str">
        <f ca="1">IFERROR(__xludf.DUMMYFUNCTION("""COMPUTED_VALUE"""),"INSPECCIONES REALIZADAS")</f>
        <v>INSPECCIONES REALIZADAS</v>
      </c>
      <c r="AH1466" s="5"/>
    </row>
    <row r="1467" spans="1:34">
      <c r="A1467" s="5" t="str">
        <f ca="1">IFERROR(__xludf.DUMMYFUNCTION("""COMPUTED_VALUE"""),"LINEA PET CSD - LINEA 10")</f>
        <v>LINEA PET CSD - LINEA 10</v>
      </c>
      <c r="B1467" s="5">
        <f ca="1">IFERROR(__xludf.DUMMYFUNCTION("""COMPUTED_VALUE"""),519561)</f>
        <v>519561</v>
      </c>
      <c r="C1467" s="5" t="str">
        <f ca="1">IFERROR(__xludf.DUMMYFUNCTION("""COMPUTED_VALUE"""),"LLENADORA DE BOTELLAS PET 162 VALVULAS")</f>
        <v>LLENADORA DE BOTELLAS PET 162 VALVULAS</v>
      </c>
      <c r="D1467" s="5">
        <f ca="1">IFERROR(__xludf.DUMMYFUNCTION("""COMPUTED_VALUE"""),13247579)</f>
        <v>13247579</v>
      </c>
      <c r="E1467" s="5" t="str">
        <f ca="1">IFERROR(__xludf.DUMMYFUNCTION("""COMPUTED_VALUE"""),"INSPECCION SEMANAL LLENADORA DE BOTELLAS")</f>
        <v>INSPECCION SEMANAL LLENADORA DE BOTELLAS</v>
      </c>
      <c r="F1467" s="5" t="str">
        <f ca="1">IFERROR(__xludf.DUMMYFUNCTION("""COMPUTED_VALUE"""),"TUBERIAS Y ACCESORIOS")</f>
        <v>TUBERIAS Y ACCESORIOS</v>
      </c>
      <c r="G1467" s="5" t="b">
        <f ca="1">IFERROR(__xludf.DUMMYFUNCTION("""COMPUTED_VALUE"""),TRUE)</f>
        <v>1</v>
      </c>
      <c r="H1467" s="5"/>
      <c r="I1467" s="5"/>
      <c r="J1467" s="5">
        <f ca="1">IFERROR(__xludf.DUMMYFUNCTION("""COMPUTED_VALUE"""),13247579)</f>
        <v>13247579</v>
      </c>
      <c r="K1467" s="5"/>
      <c r="L1467" s="18">
        <f ca="1">IFERROR(__xludf.DUMMYFUNCTION("""COMPUTED_VALUE"""),45324)</f>
        <v>45324</v>
      </c>
      <c r="M1467" s="18">
        <f ca="1">IFERROR(__xludf.DUMMYFUNCTION("""COMPUTED_VALUE"""),45324)</f>
        <v>45324</v>
      </c>
      <c r="N1467" s="5" t="str">
        <f ca="1">IFERROR(__xludf.DUMMYFUNCTION("""COMPUTED_VALUE"""),"Duran Sanchez Nelson Fernando")</f>
        <v>Duran Sanchez Nelson Fernando</v>
      </c>
      <c r="O1467" s="2">
        <f ca="1">IFERROR(__xludf.DUMMYFUNCTION("""COMPUTED_VALUE"""),0.003333333)</f>
        <v>3.333333E-3</v>
      </c>
      <c r="P1467" s="5">
        <f ca="1">IFERROR(__xludf.DUMMYFUNCTION("""COMPUTED_VALUE"""),20009743)</f>
        <v>20009743</v>
      </c>
      <c r="Q1467" s="5" t="str">
        <f ca="1">IFERROR(__xludf.DUMMYFUNCTION("""COMPUTED_VALUE"""),"5g4fw_Y02hs")</f>
        <v>5g4fw_Y02hs</v>
      </c>
      <c r="R1467" s="5">
        <f ca="1">IFERROR(__xludf.DUMMYFUNCTION("""COMPUTED_VALUE"""),410)</f>
        <v>410</v>
      </c>
      <c r="S1467" s="62">
        <f ca="1">IFERROR(__xludf.DUMMYFUNCTION("""COMPUTED_VALUE"""),0.003333333)</f>
        <v>3.333333E-3</v>
      </c>
      <c r="T1467" s="63" t="str">
        <f ca="1">IFERROR(__xludf.DUMMYFUNCTION("""COMPUTED_VALUE"""),"https://storage.googleapis.com/glide-prod.appspot.com/uploads-v2/ly7o78grxPaC6KdgvbpS/pub/3aRdSog0vUtuqPE8AJKD.png")</f>
        <v>https://storage.googleapis.com/glide-prod.appspot.com/uploads-v2/ly7o78grxPaC6KdgvbpS/pub/3aRdSog0vUtuqPE8AJKD.png</v>
      </c>
      <c r="U1467" s="5" t="str">
        <f ca="1">IFERROR(__xludf.DUMMYFUNCTION("""COMPUTED_VALUE"""),"LINEA PET CSD - LINEA 10LLENADORA DE BOTELLAS PET 162 VALVULAS")</f>
        <v>LINEA PET CSD - LINEA 10LLENADORA DE BOTELLAS PET 162 VALVULAS</v>
      </c>
      <c r="V1467" s="5"/>
      <c r="W1467" s="5" t="b">
        <f ca="1">IFERROR(__xludf.DUMMYFUNCTION("""COMPUTED_VALUE"""),TRUE)</f>
        <v>1</v>
      </c>
      <c r="X1467" s="5" t="str">
        <f ca="1">IFERROR(__xludf.DUMMYFUNCTION("""COMPUTED_VALUE"""),"wmazorra@postobon.com.co,aprmttoyu@postobon.com.co,aprmyu@postobon.com.co,wmora@postobon.com.co,efzapata@postobon.com.co")</f>
        <v>wmazorra@postobon.com.co,aprmttoyu@postobon.com.co,aprmyu@postobon.com.co,wmora@postobon.com.co,efzapata@postobon.com.co</v>
      </c>
      <c r="Y1467" s="5" t="str">
        <f ca="1">IFERROR(__xludf.DUMMYFUNCTION("""COMPUTED_VALUE"""),"wmazorra@postobon.com.co")</f>
        <v>wmazorra@postobon.com.co</v>
      </c>
      <c r="Z1467" s="5" t="str">
        <f ca="1">IFERROR(__xludf.DUMMYFUNCTION("""COMPUTED_VALUE"""),"uxFCJUXiSrWue-WkYrR9tQ")</f>
        <v>uxFCJUXiSrWue-WkYrR9tQ</v>
      </c>
      <c r="AA1467" s="5"/>
      <c r="AB1467" s="5"/>
      <c r="AC1467" s="5"/>
      <c r="AD1467" s="5">
        <f ca="1">IFERROR(__xludf.DUMMYFUNCTION("""COMPUTED_VALUE"""),30)</f>
        <v>30</v>
      </c>
      <c r="AE1467" s="5">
        <f ca="1">IFERROR(__xludf.DUMMYFUNCTION("""COMPUTED_VALUE"""),30)</f>
        <v>30</v>
      </c>
      <c r="AF1467" s="5" t="b">
        <f ca="1">IFERROR(__xludf.DUMMYFUNCTION("""COMPUTED_VALUE"""),FALSE)</f>
        <v>0</v>
      </c>
      <c r="AG1467" s="5" t="str">
        <f ca="1">IFERROR(__xludf.DUMMYFUNCTION("""COMPUTED_VALUE"""),"INSPECCIONES REALIZADAS")</f>
        <v>INSPECCIONES REALIZADAS</v>
      </c>
      <c r="AH1467" s="5"/>
    </row>
    <row r="1468" spans="1:34">
      <c r="A1468" s="5" t="str">
        <f ca="1">IFERROR(__xludf.DUMMYFUNCTION("""COMPUTED_VALUE"""),"LINEA PET CSD - LINEA 10")</f>
        <v>LINEA PET CSD - LINEA 10</v>
      </c>
      <c r="B1468" s="5">
        <f ca="1">IFERROR(__xludf.DUMMYFUNCTION("""COMPUTED_VALUE"""),519561)</f>
        <v>519561</v>
      </c>
      <c r="C1468" s="5" t="str">
        <f ca="1">IFERROR(__xludf.DUMMYFUNCTION("""COMPUTED_VALUE"""),"LLENADORA DE BOTELLAS PET 162 VALVULAS")</f>
        <v>LLENADORA DE BOTELLAS PET 162 VALVULAS</v>
      </c>
      <c r="D1468" s="5">
        <f ca="1">IFERROR(__xludf.DUMMYFUNCTION("""COMPUTED_VALUE"""),13247579)</f>
        <v>13247579</v>
      </c>
      <c r="E1468" s="5" t="str">
        <f ca="1">IFERROR(__xludf.DUMMYFUNCTION("""COMPUTED_VALUE"""),"INSPECCION SEMANAL LLENADORA DE BOTELLAS")</f>
        <v>INSPECCION SEMANAL LLENADORA DE BOTELLAS</v>
      </c>
      <c r="F1468" s="5" t="str">
        <f ca="1">IFERROR(__xludf.DUMMYFUNCTION("""COMPUTED_VALUE"""),"TRANSMISION PPAL(ARBOL)/MOTORES")</f>
        <v>TRANSMISION PPAL(ARBOL)/MOTORES</v>
      </c>
      <c r="G1468" s="5" t="b">
        <f ca="1">IFERROR(__xludf.DUMMYFUNCTION("""COMPUTED_VALUE"""),TRUE)</f>
        <v>1</v>
      </c>
      <c r="H1468" s="5"/>
      <c r="I1468" s="5"/>
      <c r="J1468" s="5">
        <f ca="1">IFERROR(__xludf.DUMMYFUNCTION("""COMPUTED_VALUE"""),13247579)</f>
        <v>13247579</v>
      </c>
      <c r="K1468" s="5"/>
      <c r="L1468" s="18">
        <f ca="1">IFERROR(__xludf.DUMMYFUNCTION("""COMPUTED_VALUE"""),45324)</f>
        <v>45324</v>
      </c>
      <c r="M1468" s="18">
        <f ca="1">IFERROR(__xludf.DUMMYFUNCTION("""COMPUTED_VALUE"""),45324)</f>
        <v>45324</v>
      </c>
      <c r="N1468" s="5" t="str">
        <f ca="1">IFERROR(__xludf.DUMMYFUNCTION("""COMPUTED_VALUE"""),"Duran Sanchez Nelson Fernando")</f>
        <v>Duran Sanchez Nelson Fernando</v>
      </c>
      <c r="O1468" s="2">
        <f ca="1">IFERROR(__xludf.DUMMYFUNCTION("""COMPUTED_VALUE"""),0.003333333)</f>
        <v>3.333333E-3</v>
      </c>
      <c r="P1468" s="5">
        <f ca="1">IFERROR(__xludf.DUMMYFUNCTION("""COMPUTED_VALUE"""),20009743)</f>
        <v>20009743</v>
      </c>
      <c r="Q1468" s="5" t="str">
        <f ca="1">IFERROR(__xludf.DUMMYFUNCTION("""COMPUTED_VALUE"""),"Iybh9K43thA")</f>
        <v>Iybh9K43thA</v>
      </c>
      <c r="R1468" s="5">
        <f ca="1">IFERROR(__xludf.DUMMYFUNCTION("""COMPUTED_VALUE"""),410)</f>
        <v>410</v>
      </c>
      <c r="S1468" s="62">
        <f ca="1">IFERROR(__xludf.DUMMYFUNCTION("""COMPUTED_VALUE"""),0.003333333)</f>
        <v>3.333333E-3</v>
      </c>
      <c r="T1468" s="63" t="str">
        <f ca="1">IFERROR(__xludf.DUMMYFUNCTION("""COMPUTED_VALUE"""),"https://storage.googleapis.com/glide-prod.appspot.com/uploads-v2/ly7o78grxPaC6KdgvbpS/pub/3aRdSog0vUtuqPE8AJKD.png")</f>
        <v>https://storage.googleapis.com/glide-prod.appspot.com/uploads-v2/ly7o78grxPaC6KdgvbpS/pub/3aRdSog0vUtuqPE8AJKD.png</v>
      </c>
      <c r="U1468" s="5" t="str">
        <f ca="1">IFERROR(__xludf.DUMMYFUNCTION("""COMPUTED_VALUE"""),"LINEA PET CSD - LINEA 10LLENADORA DE BOTELLAS PET 162 VALVULAS")</f>
        <v>LINEA PET CSD - LINEA 10LLENADORA DE BOTELLAS PET 162 VALVULAS</v>
      </c>
      <c r="V1468" s="5"/>
      <c r="W1468" s="5" t="b">
        <f ca="1">IFERROR(__xludf.DUMMYFUNCTION("""COMPUTED_VALUE"""),TRUE)</f>
        <v>1</v>
      </c>
      <c r="X1468" s="5" t="str">
        <f ca="1">IFERROR(__xludf.DUMMYFUNCTION("""COMPUTED_VALUE"""),"wmazorra@postobon.com.co,aprmttoyu@postobon.com.co,aprmyu@postobon.com.co,wmora@postobon.com.co,efzapata@postobon.com.co")</f>
        <v>wmazorra@postobon.com.co,aprmttoyu@postobon.com.co,aprmyu@postobon.com.co,wmora@postobon.com.co,efzapata@postobon.com.co</v>
      </c>
      <c r="Y1468" s="5" t="str">
        <f ca="1">IFERROR(__xludf.DUMMYFUNCTION("""COMPUTED_VALUE"""),"wmazorra@postobon.com.co")</f>
        <v>wmazorra@postobon.com.co</v>
      </c>
      <c r="Z1468" s="5" t="str">
        <f ca="1">IFERROR(__xludf.DUMMYFUNCTION("""COMPUTED_VALUE"""),"0cNhOwPGRvGRFidEwBo.9A")</f>
        <v>0cNhOwPGRvGRFidEwBo.9A</v>
      </c>
      <c r="AA1468" s="5"/>
      <c r="AB1468" s="5"/>
      <c r="AC1468" s="5"/>
      <c r="AD1468" s="5">
        <f ca="1">IFERROR(__xludf.DUMMYFUNCTION("""COMPUTED_VALUE"""),30)</f>
        <v>30</v>
      </c>
      <c r="AE1468" s="5">
        <f ca="1">IFERROR(__xludf.DUMMYFUNCTION("""COMPUTED_VALUE"""),30)</f>
        <v>30</v>
      </c>
      <c r="AF1468" s="5" t="b">
        <f ca="1">IFERROR(__xludf.DUMMYFUNCTION("""COMPUTED_VALUE"""),FALSE)</f>
        <v>0</v>
      </c>
      <c r="AG1468" s="5" t="str">
        <f ca="1">IFERROR(__xludf.DUMMYFUNCTION("""COMPUTED_VALUE"""),"INSPECCIONES REALIZADAS")</f>
        <v>INSPECCIONES REALIZADAS</v>
      </c>
      <c r="AH1468" s="5"/>
    </row>
    <row r="1469" spans="1:34">
      <c r="A1469" s="5" t="str">
        <f ca="1">IFERROR(__xludf.DUMMYFUNCTION("""COMPUTED_VALUE"""),"LINEA PET CSD - LINEA 10")</f>
        <v>LINEA PET CSD - LINEA 10</v>
      </c>
      <c r="B1469" s="5">
        <f ca="1">IFERROR(__xludf.DUMMYFUNCTION("""COMPUTED_VALUE"""),519561)</f>
        <v>519561</v>
      </c>
      <c r="C1469" s="5" t="str">
        <f ca="1">IFERROR(__xludf.DUMMYFUNCTION("""COMPUTED_VALUE"""),"LLENADORA DE BOTELLAS PET 162 VALVULAS")</f>
        <v>LLENADORA DE BOTELLAS PET 162 VALVULAS</v>
      </c>
      <c r="D1469" s="5">
        <f ca="1">IFERROR(__xludf.DUMMYFUNCTION("""COMPUTED_VALUE"""),13247579)</f>
        <v>13247579</v>
      </c>
      <c r="E1469" s="5" t="str">
        <f ca="1">IFERROR(__xludf.DUMMYFUNCTION("""COMPUTED_VALUE"""),"INSPECCION SEMANAL LLENADORA DE BOTELLAS")</f>
        <v>INSPECCION SEMANAL LLENADORA DE BOTELLAS</v>
      </c>
      <c r="F1469" s="5" t="str">
        <f ca="1">IFERROR(__xludf.DUMMYFUNCTION("""COMPUTED_VALUE"""),"EQUIPO ELECTRICO/ ELECTRONICO")</f>
        <v>EQUIPO ELECTRICO/ ELECTRONICO</v>
      </c>
      <c r="G1469" s="5" t="b">
        <f ca="1">IFERROR(__xludf.DUMMYFUNCTION("""COMPUTED_VALUE"""),TRUE)</f>
        <v>1</v>
      </c>
      <c r="H1469" s="5"/>
      <c r="I1469" s="5"/>
      <c r="J1469" s="5">
        <f ca="1">IFERROR(__xludf.DUMMYFUNCTION("""COMPUTED_VALUE"""),13247579)</f>
        <v>13247579</v>
      </c>
      <c r="K1469" s="5"/>
      <c r="L1469" s="18">
        <f ca="1">IFERROR(__xludf.DUMMYFUNCTION("""COMPUTED_VALUE"""),45324)</f>
        <v>45324</v>
      </c>
      <c r="M1469" s="18">
        <f ca="1">IFERROR(__xludf.DUMMYFUNCTION("""COMPUTED_VALUE"""),45324)</f>
        <v>45324</v>
      </c>
      <c r="N1469" s="5" t="str">
        <f ca="1">IFERROR(__xludf.DUMMYFUNCTION("""COMPUTED_VALUE"""),"Duran Sanchez Nelson Fernando")</f>
        <v>Duran Sanchez Nelson Fernando</v>
      </c>
      <c r="O1469" s="2">
        <f ca="1">IFERROR(__xludf.DUMMYFUNCTION("""COMPUTED_VALUE"""),0.003333333)</f>
        <v>3.333333E-3</v>
      </c>
      <c r="P1469" s="5">
        <f ca="1">IFERROR(__xludf.DUMMYFUNCTION("""COMPUTED_VALUE"""),20009743)</f>
        <v>20009743</v>
      </c>
      <c r="Q1469" s="5" t="str">
        <f ca="1">IFERROR(__xludf.DUMMYFUNCTION("""COMPUTED_VALUE"""),"D7qAsuBQ3WE")</f>
        <v>D7qAsuBQ3WE</v>
      </c>
      <c r="R1469" s="5">
        <f ca="1">IFERROR(__xludf.DUMMYFUNCTION("""COMPUTED_VALUE"""),410)</f>
        <v>410</v>
      </c>
      <c r="S1469" s="62">
        <f ca="1">IFERROR(__xludf.DUMMYFUNCTION("""COMPUTED_VALUE"""),0.003333333)</f>
        <v>3.333333E-3</v>
      </c>
      <c r="T1469" s="63" t="str">
        <f ca="1">IFERROR(__xludf.DUMMYFUNCTION("""COMPUTED_VALUE"""),"https://storage.googleapis.com/glide-prod.appspot.com/uploads-v2/ly7o78grxPaC6KdgvbpS/pub/3aRdSog0vUtuqPE8AJKD.png")</f>
        <v>https://storage.googleapis.com/glide-prod.appspot.com/uploads-v2/ly7o78grxPaC6KdgvbpS/pub/3aRdSog0vUtuqPE8AJKD.png</v>
      </c>
      <c r="U1469" s="5" t="str">
        <f ca="1">IFERROR(__xludf.DUMMYFUNCTION("""COMPUTED_VALUE"""),"LINEA PET CSD - LINEA 10LLENADORA DE BOTELLAS PET 162 VALVULAS")</f>
        <v>LINEA PET CSD - LINEA 10LLENADORA DE BOTELLAS PET 162 VALVULAS</v>
      </c>
      <c r="V1469" s="5"/>
      <c r="W1469" s="5" t="b">
        <f ca="1">IFERROR(__xludf.DUMMYFUNCTION("""COMPUTED_VALUE"""),TRUE)</f>
        <v>1</v>
      </c>
      <c r="X1469" s="5" t="str">
        <f ca="1">IFERROR(__xludf.DUMMYFUNCTION("""COMPUTED_VALUE"""),"wmazorra@postobon.com.co,aprmttoyu@postobon.com.co,aprmyu@postobon.com.co,wmora@postobon.com.co,efzapata@postobon.com.co")</f>
        <v>wmazorra@postobon.com.co,aprmttoyu@postobon.com.co,aprmyu@postobon.com.co,wmora@postobon.com.co,efzapata@postobon.com.co</v>
      </c>
      <c r="Y1469" s="5" t="str">
        <f ca="1">IFERROR(__xludf.DUMMYFUNCTION("""COMPUTED_VALUE"""),"wmazorra@postobon.com.co")</f>
        <v>wmazorra@postobon.com.co</v>
      </c>
      <c r="Z1469" s="5" t="str">
        <f ca="1">IFERROR(__xludf.DUMMYFUNCTION("""COMPUTED_VALUE"""),"iavwQDCQSVy-1w1aAo5Xiw")</f>
        <v>iavwQDCQSVy-1w1aAo5Xiw</v>
      </c>
      <c r="AA1469" s="5"/>
      <c r="AB1469" s="5"/>
      <c r="AC1469" s="5"/>
      <c r="AD1469" s="5">
        <f ca="1">IFERROR(__xludf.DUMMYFUNCTION("""COMPUTED_VALUE"""),30)</f>
        <v>30</v>
      </c>
      <c r="AE1469" s="5">
        <f ca="1">IFERROR(__xludf.DUMMYFUNCTION("""COMPUTED_VALUE"""),30)</f>
        <v>30</v>
      </c>
      <c r="AF1469" s="5" t="b">
        <f ca="1">IFERROR(__xludf.DUMMYFUNCTION("""COMPUTED_VALUE"""),FALSE)</f>
        <v>0</v>
      </c>
      <c r="AG1469" s="5" t="str">
        <f ca="1">IFERROR(__xludf.DUMMYFUNCTION("""COMPUTED_VALUE"""),"INSPECCIONES REALIZADAS")</f>
        <v>INSPECCIONES REALIZADAS</v>
      </c>
      <c r="AH1469" s="5"/>
    </row>
    <row r="1470" spans="1:34">
      <c r="A1470" s="5" t="str">
        <f ca="1">IFERROR(__xludf.DUMMYFUNCTION("""COMPUTED_VALUE"""),"LINEA PET CSD - LINEA 10")</f>
        <v>LINEA PET CSD - LINEA 10</v>
      </c>
      <c r="B1470" s="5">
        <f ca="1">IFERROR(__xludf.DUMMYFUNCTION("""COMPUTED_VALUE"""),519561)</f>
        <v>519561</v>
      </c>
      <c r="C1470" s="5" t="str">
        <f ca="1">IFERROR(__xludf.DUMMYFUNCTION("""COMPUTED_VALUE"""),"LLENADORA DE BOTELLAS PET 162 VALVULAS")</f>
        <v>LLENADORA DE BOTELLAS PET 162 VALVULAS</v>
      </c>
      <c r="D1470" s="5">
        <f ca="1">IFERROR(__xludf.DUMMYFUNCTION("""COMPUTED_VALUE"""),13247579)</f>
        <v>13247579</v>
      </c>
      <c r="E1470" s="5" t="str">
        <f ca="1">IFERROR(__xludf.DUMMYFUNCTION("""COMPUTED_VALUE"""),"INSPECCION SEMANAL LLENADORA DE BOTELLAS")</f>
        <v>INSPECCION SEMANAL LLENADORA DE BOTELLAS</v>
      </c>
      <c r="F1470" s="5" t="str">
        <f ca="1">IFERROR(__xludf.DUMMYFUNCTION("""COMPUTED_VALUE"""),"INSP FILTRO TABLERO ELECTRICO")</f>
        <v>INSP FILTRO TABLERO ELECTRICO</v>
      </c>
      <c r="G1470" s="5" t="b">
        <f ca="1">IFERROR(__xludf.DUMMYFUNCTION("""COMPUTED_VALUE"""),TRUE)</f>
        <v>1</v>
      </c>
      <c r="H1470" s="5"/>
      <c r="I1470" s="5"/>
      <c r="J1470" s="5">
        <f ca="1">IFERROR(__xludf.DUMMYFUNCTION("""COMPUTED_VALUE"""),13247579)</f>
        <v>13247579</v>
      </c>
      <c r="K1470" s="5"/>
      <c r="L1470" s="18">
        <f ca="1">IFERROR(__xludf.DUMMYFUNCTION("""COMPUTED_VALUE"""),45324)</f>
        <v>45324</v>
      </c>
      <c r="M1470" s="18">
        <f ca="1">IFERROR(__xludf.DUMMYFUNCTION("""COMPUTED_VALUE"""),45324)</f>
        <v>45324</v>
      </c>
      <c r="N1470" s="5" t="str">
        <f ca="1">IFERROR(__xludf.DUMMYFUNCTION("""COMPUTED_VALUE"""),"Duran Sanchez Nelson Fernando")</f>
        <v>Duran Sanchez Nelson Fernando</v>
      </c>
      <c r="O1470" s="2">
        <f ca="1">IFERROR(__xludf.DUMMYFUNCTION("""COMPUTED_VALUE"""),0.003333333)</f>
        <v>3.333333E-3</v>
      </c>
      <c r="P1470" s="5">
        <f ca="1">IFERROR(__xludf.DUMMYFUNCTION("""COMPUTED_VALUE"""),20009743)</f>
        <v>20009743</v>
      </c>
      <c r="Q1470" s="5" t="str">
        <f ca="1">IFERROR(__xludf.DUMMYFUNCTION("""COMPUTED_VALUE"""),"m5ts4lktm0o")</f>
        <v>m5ts4lktm0o</v>
      </c>
      <c r="R1470" s="5">
        <f ca="1">IFERROR(__xludf.DUMMYFUNCTION("""COMPUTED_VALUE"""),410)</f>
        <v>410</v>
      </c>
      <c r="S1470" s="62">
        <f ca="1">IFERROR(__xludf.DUMMYFUNCTION("""COMPUTED_VALUE"""),0.003333333)</f>
        <v>3.333333E-3</v>
      </c>
      <c r="T1470" s="63" t="str">
        <f ca="1">IFERROR(__xludf.DUMMYFUNCTION("""COMPUTED_VALUE"""),"https://storage.googleapis.com/glide-prod.appspot.com/uploads-v2/ly7o78grxPaC6KdgvbpS/pub/3aRdSog0vUtuqPE8AJKD.png")</f>
        <v>https://storage.googleapis.com/glide-prod.appspot.com/uploads-v2/ly7o78grxPaC6KdgvbpS/pub/3aRdSog0vUtuqPE8AJKD.png</v>
      </c>
      <c r="U1470" s="5" t="str">
        <f ca="1">IFERROR(__xludf.DUMMYFUNCTION("""COMPUTED_VALUE"""),"LINEA PET CSD - LINEA 10LLENADORA DE BOTELLAS PET 162 VALVULAS")</f>
        <v>LINEA PET CSD - LINEA 10LLENADORA DE BOTELLAS PET 162 VALVULAS</v>
      </c>
      <c r="V1470" s="5"/>
      <c r="W1470" s="5" t="b">
        <f ca="1">IFERROR(__xludf.DUMMYFUNCTION("""COMPUTED_VALUE"""),TRUE)</f>
        <v>1</v>
      </c>
      <c r="X1470" s="5" t="str">
        <f ca="1">IFERROR(__xludf.DUMMYFUNCTION("""COMPUTED_VALUE"""),"wmazorra@postobon.com.co,aprmttoyu@postobon.com.co,aprmyu@postobon.com.co,wmora@postobon.com.co,efzapata@postobon.com.co")</f>
        <v>wmazorra@postobon.com.co,aprmttoyu@postobon.com.co,aprmyu@postobon.com.co,wmora@postobon.com.co,efzapata@postobon.com.co</v>
      </c>
      <c r="Y1470" s="5" t="str">
        <f ca="1">IFERROR(__xludf.DUMMYFUNCTION("""COMPUTED_VALUE"""),"wmazorra@postobon.com.co")</f>
        <v>wmazorra@postobon.com.co</v>
      </c>
      <c r="Z1470" s="5" t="str">
        <f ca="1">IFERROR(__xludf.DUMMYFUNCTION("""COMPUTED_VALUE"""),"FnrnHBs3RnSDnvu62V0deQ")</f>
        <v>FnrnHBs3RnSDnvu62V0deQ</v>
      </c>
      <c r="AA1470" s="5"/>
      <c r="AB1470" s="5"/>
      <c r="AC1470" s="5"/>
      <c r="AD1470" s="5">
        <f ca="1">IFERROR(__xludf.DUMMYFUNCTION("""COMPUTED_VALUE"""),30)</f>
        <v>30</v>
      </c>
      <c r="AE1470" s="5">
        <f ca="1">IFERROR(__xludf.DUMMYFUNCTION("""COMPUTED_VALUE"""),30)</f>
        <v>30</v>
      </c>
      <c r="AF1470" s="5" t="b">
        <f ca="1">IFERROR(__xludf.DUMMYFUNCTION("""COMPUTED_VALUE"""),FALSE)</f>
        <v>0</v>
      </c>
      <c r="AG1470" s="5" t="str">
        <f ca="1">IFERROR(__xludf.DUMMYFUNCTION("""COMPUTED_VALUE"""),"INSPECCIONES REALIZADAS")</f>
        <v>INSPECCIONES REALIZADAS</v>
      </c>
      <c r="AH1470" s="5"/>
    </row>
    <row r="1471" spans="1:34">
      <c r="A1471" s="5" t="str">
        <f ca="1">IFERROR(__xludf.DUMMYFUNCTION("""COMPUTED_VALUE"""),"LINEA PET CSD - LINEA 10")</f>
        <v>LINEA PET CSD - LINEA 10</v>
      </c>
      <c r="B1471" s="5">
        <f ca="1">IFERROR(__xludf.DUMMYFUNCTION("""COMPUTED_VALUE"""),519561)</f>
        <v>519561</v>
      </c>
      <c r="C1471" s="5" t="str">
        <f ca="1">IFERROR(__xludf.DUMMYFUNCTION("""COMPUTED_VALUE"""),"LLENADORA DE BOTELLAS PET 162 VALVULAS")</f>
        <v>LLENADORA DE BOTELLAS PET 162 VALVULAS</v>
      </c>
      <c r="D1471" s="5">
        <f ca="1">IFERROR(__xludf.DUMMYFUNCTION("""COMPUTED_VALUE"""),13247579)</f>
        <v>13247579</v>
      </c>
      <c r="E1471" s="5" t="str">
        <f ca="1">IFERROR(__xludf.DUMMYFUNCTION("""COMPUTED_VALUE"""),"INSPECCION SEMANAL LLENADORA DE BOTELLAS")</f>
        <v>INSPECCION SEMANAL LLENADORA DE BOTELLAS</v>
      </c>
      <c r="F1471" s="5" t="str">
        <f ca="1">IFERROR(__xludf.DUMMYFUNCTION("""COMPUTED_VALUE"""),"INSP FUN FRENO MOTOR")</f>
        <v>INSP FUN FRENO MOTOR</v>
      </c>
      <c r="G1471" s="5" t="b">
        <f ca="1">IFERROR(__xludf.DUMMYFUNCTION("""COMPUTED_VALUE"""),TRUE)</f>
        <v>1</v>
      </c>
      <c r="H1471" s="5" t="str">
        <f ca="1">IFERROR(__xludf.DUMMYFUNCTION("""COMPUTED_VALUE"""),"Fallo servomotor carrusel llenadora por velocidad límite de frenado sobrepasada en paradas simples o imprevistas de la máquina.")</f>
        <v>Fallo servomotor carrusel llenadora por velocidad límite de frenado sobrepasada en paradas simples o imprevistas de la máquina.</v>
      </c>
      <c r="I1471" s="5"/>
      <c r="J1471" s="5">
        <f ca="1">IFERROR(__xludf.DUMMYFUNCTION("""COMPUTED_VALUE"""),13247579)</f>
        <v>13247579</v>
      </c>
      <c r="K1471" s="5"/>
      <c r="L1471" s="18">
        <f ca="1">IFERROR(__xludf.DUMMYFUNCTION("""COMPUTED_VALUE"""),45324)</f>
        <v>45324</v>
      </c>
      <c r="M1471" s="18">
        <f ca="1">IFERROR(__xludf.DUMMYFUNCTION("""COMPUTED_VALUE"""),45324)</f>
        <v>45324</v>
      </c>
      <c r="N1471" s="5" t="str">
        <f ca="1">IFERROR(__xludf.DUMMYFUNCTION("""COMPUTED_VALUE"""),"Duran Sanchez Nelson Fernando")</f>
        <v>Duran Sanchez Nelson Fernando</v>
      </c>
      <c r="O1471" s="2">
        <f ca="1">IFERROR(__xludf.DUMMYFUNCTION("""COMPUTED_VALUE"""),0.003333333)</f>
        <v>3.333333E-3</v>
      </c>
      <c r="P1471" s="5">
        <f ca="1">IFERROR(__xludf.DUMMYFUNCTION("""COMPUTED_VALUE"""),20009743)</f>
        <v>20009743</v>
      </c>
      <c r="Q1471" s="5" t="str">
        <f ca="1">IFERROR(__xludf.DUMMYFUNCTION("""COMPUTED_VALUE"""),"qYKmxmWykt8")</f>
        <v>qYKmxmWykt8</v>
      </c>
      <c r="R1471" s="5">
        <f ca="1">IFERROR(__xludf.DUMMYFUNCTION("""COMPUTED_VALUE"""),410)</f>
        <v>410</v>
      </c>
      <c r="S1471" s="62">
        <f ca="1">IFERROR(__xludf.DUMMYFUNCTION("""COMPUTED_VALUE"""),0.003333333)</f>
        <v>3.333333E-3</v>
      </c>
      <c r="T1471" s="63" t="str">
        <f ca="1">IFERROR(__xludf.DUMMYFUNCTION("""COMPUTED_VALUE"""),"https://storage.googleapis.com/glide-prod.appspot.com/uploads-v2/ly7o78grxPaC6KdgvbpS/pub/3aRdSog0vUtuqPE8AJKD.png")</f>
        <v>https://storage.googleapis.com/glide-prod.appspot.com/uploads-v2/ly7o78grxPaC6KdgvbpS/pub/3aRdSog0vUtuqPE8AJKD.png</v>
      </c>
      <c r="U1471" s="5" t="str">
        <f ca="1">IFERROR(__xludf.DUMMYFUNCTION("""COMPUTED_VALUE"""),"LINEA PET CSD - LINEA 10LLENADORA DE BOTELLAS PET 162 VALVULAS")</f>
        <v>LINEA PET CSD - LINEA 10LLENADORA DE BOTELLAS PET 162 VALVULAS</v>
      </c>
      <c r="V1471" s="5"/>
      <c r="W1471" s="5" t="b">
        <f ca="1">IFERROR(__xludf.DUMMYFUNCTION("""COMPUTED_VALUE"""),TRUE)</f>
        <v>1</v>
      </c>
      <c r="X1471" s="5" t="str">
        <f ca="1">IFERROR(__xludf.DUMMYFUNCTION("""COMPUTED_VALUE"""),"wmazorra@postobon.com.co,aprmttoyu@postobon.com.co,aprmyu@postobon.com.co,wmora@postobon.com.co,efzapata@postobon.com.co")</f>
        <v>wmazorra@postobon.com.co,aprmttoyu@postobon.com.co,aprmyu@postobon.com.co,wmora@postobon.com.co,efzapata@postobon.com.co</v>
      </c>
      <c r="Y1471" s="5" t="str">
        <f ca="1">IFERROR(__xludf.DUMMYFUNCTION("""COMPUTED_VALUE"""),"wmazorra@postobon.com.co")</f>
        <v>wmazorra@postobon.com.co</v>
      </c>
      <c r="Z1471" s="5" t="str">
        <f ca="1">IFERROR(__xludf.DUMMYFUNCTION("""COMPUTED_VALUE"""),"LtyfOsN9SnKFyJNVoN0L1Q")</f>
        <v>LtyfOsN9SnKFyJNVoN0L1Q</v>
      </c>
      <c r="AA1471" s="63" t="str">
        <f ca="1">IFERROR(__xludf.DUMMYFUNCTION("""COMPUTED_VALUE"""),"https://storage.googleapis.com/glide-prod.appspot.com/uploads-v2/ly7o78grxPaC6KdgvbpS/pub/rVhZhyQzGlyq98qFXhZt.jpg")</f>
        <v>https://storage.googleapis.com/glide-prod.appspot.com/uploads-v2/ly7o78grxPaC6KdgvbpS/pub/rVhZhyQzGlyq98qFXhZt.jpg</v>
      </c>
      <c r="AB1471" s="5"/>
      <c r="AC1471" s="5"/>
      <c r="AD1471" s="5">
        <f ca="1">IFERROR(__xludf.DUMMYFUNCTION("""COMPUTED_VALUE"""),30)</f>
        <v>30</v>
      </c>
      <c r="AE1471" s="5">
        <f ca="1">IFERROR(__xludf.DUMMYFUNCTION("""COMPUTED_VALUE"""),30)</f>
        <v>30</v>
      </c>
      <c r="AF1471" s="5" t="b">
        <f ca="1">IFERROR(__xludf.DUMMYFUNCTION("""COMPUTED_VALUE"""),FALSE)</f>
        <v>0</v>
      </c>
      <c r="AG1471" s="5" t="str">
        <f ca="1">IFERROR(__xludf.DUMMYFUNCTION("""COMPUTED_VALUE"""),"INSPECCIONES REALIZADAS")</f>
        <v>INSPECCIONES REALIZADAS</v>
      </c>
      <c r="AH1471" s="5"/>
    </row>
    <row r="1472" spans="1:34">
      <c r="A1472" s="5" t="str">
        <f ca="1">IFERROR(__xludf.DUMMYFUNCTION("""COMPUTED_VALUE"""),"LINEA PET CSD - LINEA 10")</f>
        <v>LINEA PET CSD - LINEA 10</v>
      </c>
      <c r="B1472" s="5">
        <f ca="1">IFERROR(__xludf.DUMMYFUNCTION("""COMPUTED_VALUE"""),519561)</f>
        <v>519561</v>
      </c>
      <c r="C1472" s="5" t="str">
        <f ca="1">IFERROR(__xludf.DUMMYFUNCTION("""COMPUTED_VALUE"""),"LLENADORA DE BOTELLAS PET 162 VALVULAS")</f>
        <v>LLENADORA DE BOTELLAS PET 162 VALVULAS</v>
      </c>
      <c r="D1472" s="5">
        <f ca="1">IFERROR(__xludf.DUMMYFUNCTION("""COMPUTED_VALUE"""),13247579)</f>
        <v>13247579</v>
      </c>
      <c r="E1472" s="5" t="str">
        <f ca="1">IFERROR(__xludf.DUMMYFUNCTION("""COMPUTED_VALUE"""),"INSPECCION SEMANAL LLENADORA DE BOTELLAS")</f>
        <v>INSPECCION SEMANAL LLENADORA DE BOTELLAS</v>
      </c>
      <c r="F1472" s="5" t="str">
        <f ca="1">IFERROR(__xludf.DUMMYFUNCTION("""COMPUTED_VALUE"""),"ESTADO CUERPO PPAL(PUERTAS LATERAL)")</f>
        <v>ESTADO CUERPO PPAL(PUERTAS LATERAL)</v>
      </c>
      <c r="G1472" s="5" t="b">
        <f ca="1">IFERROR(__xludf.DUMMYFUNCTION("""COMPUTED_VALUE"""),TRUE)</f>
        <v>1</v>
      </c>
      <c r="H1472" s="5"/>
      <c r="I1472" s="5"/>
      <c r="J1472" s="5">
        <f ca="1">IFERROR(__xludf.DUMMYFUNCTION("""COMPUTED_VALUE"""),13247579)</f>
        <v>13247579</v>
      </c>
      <c r="K1472" s="5"/>
      <c r="L1472" s="18">
        <f ca="1">IFERROR(__xludf.DUMMYFUNCTION("""COMPUTED_VALUE"""),45324)</f>
        <v>45324</v>
      </c>
      <c r="M1472" s="18">
        <f ca="1">IFERROR(__xludf.DUMMYFUNCTION("""COMPUTED_VALUE"""),45324)</f>
        <v>45324</v>
      </c>
      <c r="N1472" s="5" t="str">
        <f ca="1">IFERROR(__xludf.DUMMYFUNCTION("""COMPUTED_VALUE"""),"Duran Sanchez Nelson Fernando")</f>
        <v>Duran Sanchez Nelson Fernando</v>
      </c>
      <c r="O1472" s="2">
        <f ca="1">IFERROR(__xludf.DUMMYFUNCTION("""COMPUTED_VALUE"""),0.003333333)</f>
        <v>3.333333E-3</v>
      </c>
      <c r="P1472" s="5">
        <f ca="1">IFERROR(__xludf.DUMMYFUNCTION("""COMPUTED_VALUE"""),20009743)</f>
        <v>20009743</v>
      </c>
      <c r="Q1472" s="5" t="str">
        <f ca="1">IFERROR(__xludf.DUMMYFUNCTION("""COMPUTED_VALUE"""),"GpCgltRXz5o")</f>
        <v>GpCgltRXz5o</v>
      </c>
      <c r="R1472" s="5">
        <f ca="1">IFERROR(__xludf.DUMMYFUNCTION("""COMPUTED_VALUE"""),410)</f>
        <v>410</v>
      </c>
      <c r="S1472" s="62">
        <f ca="1">IFERROR(__xludf.DUMMYFUNCTION("""COMPUTED_VALUE"""),0.003333333)</f>
        <v>3.333333E-3</v>
      </c>
      <c r="T1472" s="63" t="str">
        <f ca="1">IFERROR(__xludf.DUMMYFUNCTION("""COMPUTED_VALUE"""),"https://storage.googleapis.com/glide-prod.appspot.com/uploads-v2/ly7o78grxPaC6KdgvbpS/pub/3aRdSog0vUtuqPE8AJKD.png")</f>
        <v>https://storage.googleapis.com/glide-prod.appspot.com/uploads-v2/ly7o78grxPaC6KdgvbpS/pub/3aRdSog0vUtuqPE8AJKD.png</v>
      </c>
      <c r="U1472" s="5" t="str">
        <f ca="1">IFERROR(__xludf.DUMMYFUNCTION("""COMPUTED_VALUE"""),"LINEA PET CSD - LINEA 10LLENADORA DE BOTELLAS PET 162 VALVULAS")</f>
        <v>LINEA PET CSD - LINEA 10LLENADORA DE BOTELLAS PET 162 VALVULAS</v>
      </c>
      <c r="V1472" s="5"/>
      <c r="W1472" s="5" t="b">
        <f ca="1">IFERROR(__xludf.DUMMYFUNCTION("""COMPUTED_VALUE"""),TRUE)</f>
        <v>1</v>
      </c>
      <c r="X1472" s="5" t="str">
        <f ca="1">IFERROR(__xludf.DUMMYFUNCTION("""COMPUTED_VALUE"""),"wmazorra@postobon.com.co,aprmttoyu@postobon.com.co,aprmyu@postobon.com.co,wmora@postobon.com.co,efzapata@postobon.com.co")</f>
        <v>wmazorra@postobon.com.co,aprmttoyu@postobon.com.co,aprmyu@postobon.com.co,wmora@postobon.com.co,efzapata@postobon.com.co</v>
      </c>
      <c r="Y1472" s="5" t="str">
        <f ca="1">IFERROR(__xludf.DUMMYFUNCTION("""COMPUTED_VALUE"""),"wmazorra@postobon.com.co")</f>
        <v>wmazorra@postobon.com.co</v>
      </c>
      <c r="Z1472" s="5" t="str">
        <f ca="1">IFERROR(__xludf.DUMMYFUNCTION("""COMPUTED_VALUE"""),"9pFTECjtRoWT7Z0P7kf9zQ")</f>
        <v>9pFTECjtRoWT7Z0P7kf9zQ</v>
      </c>
      <c r="AA1472" s="5"/>
      <c r="AB1472" s="5"/>
      <c r="AC1472" s="5"/>
      <c r="AD1472" s="5">
        <f ca="1">IFERROR(__xludf.DUMMYFUNCTION("""COMPUTED_VALUE"""),30)</f>
        <v>30</v>
      </c>
      <c r="AE1472" s="5">
        <f ca="1">IFERROR(__xludf.DUMMYFUNCTION("""COMPUTED_VALUE"""),30)</f>
        <v>30</v>
      </c>
      <c r="AF1472" s="5" t="b">
        <f ca="1">IFERROR(__xludf.DUMMYFUNCTION("""COMPUTED_VALUE"""),FALSE)</f>
        <v>0</v>
      </c>
      <c r="AG1472" s="5" t="str">
        <f ca="1">IFERROR(__xludf.DUMMYFUNCTION("""COMPUTED_VALUE"""),"INSPECCIONES REALIZADAS")</f>
        <v>INSPECCIONES REALIZADAS</v>
      </c>
      <c r="AH1472" s="5"/>
    </row>
    <row r="1473" spans="1:34">
      <c r="A1473" s="5" t="str">
        <f ca="1">IFERROR(__xludf.DUMMYFUNCTION("""COMPUTED_VALUE"""),"LINEA PET CSD - LINEA 10")</f>
        <v>LINEA PET CSD - LINEA 10</v>
      </c>
      <c r="B1473" s="5">
        <f ca="1">IFERROR(__xludf.DUMMYFUNCTION("""COMPUTED_VALUE"""),519561)</f>
        <v>519561</v>
      </c>
      <c r="C1473" s="5" t="str">
        <f ca="1">IFERROR(__xludf.DUMMYFUNCTION("""COMPUTED_VALUE"""),"LLENADORA DE BOTELLAS PET 162 VALVULAS")</f>
        <v>LLENADORA DE BOTELLAS PET 162 VALVULAS</v>
      </c>
      <c r="D1473" s="5">
        <f ca="1">IFERROR(__xludf.DUMMYFUNCTION("""COMPUTED_VALUE"""),13247579)</f>
        <v>13247579</v>
      </c>
      <c r="E1473" s="5" t="str">
        <f ca="1">IFERROR(__xludf.DUMMYFUNCTION("""COMPUTED_VALUE"""),"INSPECCION SEMANAL LLENADORA DE BOTELLAS")</f>
        <v>INSPECCION SEMANAL LLENADORA DE BOTELLAS</v>
      </c>
      <c r="F1473" s="5" t="str">
        <f ca="1">IFERROR(__xludf.DUMMYFUNCTION("""COMPUTED_VALUE"""),"INSPECCION PRESION POSITIVA CABINA")</f>
        <v>INSPECCION PRESION POSITIVA CABINA</v>
      </c>
      <c r="G1473" s="5" t="b">
        <f ca="1">IFERROR(__xludf.DUMMYFUNCTION("""COMPUTED_VALUE"""),TRUE)</f>
        <v>1</v>
      </c>
      <c r="H1473" s="5"/>
      <c r="I1473" s="5"/>
      <c r="J1473" s="5">
        <f ca="1">IFERROR(__xludf.DUMMYFUNCTION("""COMPUTED_VALUE"""),13247579)</f>
        <v>13247579</v>
      </c>
      <c r="K1473" s="5"/>
      <c r="L1473" s="18">
        <f ca="1">IFERROR(__xludf.DUMMYFUNCTION("""COMPUTED_VALUE"""),45324)</f>
        <v>45324</v>
      </c>
      <c r="M1473" s="18">
        <f ca="1">IFERROR(__xludf.DUMMYFUNCTION("""COMPUTED_VALUE"""),45324)</f>
        <v>45324</v>
      </c>
      <c r="N1473" s="5" t="str">
        <f ca="1">IFERROR(__xludf.DUMMYFUNCTION("""COMPUTED_VALUE"""),"Duran Sanchez Nelson Fernando")</f>
        <v>Duran Sanchez Nelson Fernando</v>
      </c>
      <c r="O1473" s="2">
        <f ca="1">IFERROR(__xludf.DUMMYFUNCTION("""COMPUTED_VALUE"""),0.003333333)</f>
        <v>3.333333E-3</v>
      </c>
      <c r="P1473" s="5">
        <f ca="1">IFERROR(__xludf.DUMMYFUNCTION("""COMPUTED_VALUE"""),20009743)</f>
        <v>20009743</v>
      </c>
      <c r="Q1473" s="5" t="str">
        <f ca="1">IFERROR(__xludf.DUMMYFUNCTION("""COMPUTED_VALUE"""),"KtSSEa3l14k")</f>
        <v>KtSSEa3l14k</v>
      </c>
      <c r="R1473" s="5">
        <f ca="1">IFERROR(__xludf.DUMMYFUNCTION("""COMPUTED_VALUE"""),410)</f>
        <v>410</v>
      </c>
      <c r="S1473" s="62">
        <f ca="1">IFERROR(__xludf.DUMMYFUNCTION("""COMPUTED_VALUE"""),0.003333333)</f>
        <v>3.333333E-3</v>
      </c>
      <c r="T1473" s="63" t="str">
        <f ca="1">IFERROR(__xludf.DUMMYFUNCTION("""COMPUTED_VALUE"""),"https://storage.googleapis.com/glide-prod.appspot.com/uploads-v2/ly7o78grxPaC6KdgvbpS/pub/3aRdSog0vUtuqPE8AJKD.png")</f>
        <v>https://storage.googleapis.com/glide-prod.appspot.com/uploads-v2/ly7o78grxPaC6KdgvbpS/pub/3aRdSog0vUtuqPE8AJKD.png</v>
      </c>
      <c r="U1473" s="5" t="str">
        <f ca="1">IFERROR(__xludf.DUMMYFUNCTION("""COMPUTED_VALUE"""),"LINEA PET CSD - LINEA 10LLENADORA DE BOTELLAS PET 162 VALVULAS")</f>
        <v>LINEA PET CSD - LINEA 10LLENADORA DE BOTELLAS PET 162 VALVULAS</v>
      </c>
      <c r="V1473" s="5"/>
      <c r="W1473" s="5" t="b">
        <f ca="1">IFERROR(__xludf.DUMMYFUNCTION("""COMPUTED_VALUE"""),TRUE)</f>
        <v>1</v>
      </c>
      <c r="X1473" s="5" t="str">
        <f ca="1">IFERROR(__xludf.DUMMYFUNCTION("""COMPUTED_VALUE"""),"wmazorra@postobon.com.co,aprmttoyu@postobon.com.co,aprmyu@postobon.com.co,wmora@postobon.com.co,efzapata@postobon.com.co")</f>
        <v>wmazorra@postobon.com.co,aprmttoyu@postobon.com.co,aprmyu@postobon.com.co,wmora@postobon.com.co,efzapata@postobon.com.co</v>
      </c>
      <c r="Y1473" s="5" t="str">
        <f ca="1">IFERROR(__xludf.DUMMYFUNCTION("""COMPUTED_VALUE"""),"wmazorra@postobon.com.co")</f>
        <v>wmazorra@postobon.com.co</v>
      </c>
      <c r="Z1473" s="5" t="str">
        <f ca="1">IFERROR(__xludf.DUMMYFUNCTION("""COMPUTED_VALUE"""),"3PwikdFKQhmsxqlsJq28-g")</f>
        <v>3PwikdFKQhmsxqlsJq28-g</v>
      </c>
      <c r="AA1473" s="5"/>
      <c r="AB1473" s="5"/>
      <c r="AC1473" s="5"/>
      <c r="AD1473" s="5">
        <f ca="1">IFERROR(__xludf.DUMMYFUNCTION("""COMPUTED_VALUE"""),30)</f>
        <v>30</v>
      </c>
      <c r="AE1473" s="5">
        <f ca="1">IFERROR(__xludf.DUMMYFUNCTION("""COMPUTED_VALUE"""),30)</f>
        <v>30</v>
      </c>
      <c r="AF1473" s="5" t="b">
        <f ca="1">IFERROR(__xludf.DUMMYFUNCTION("""COMPUTED_VALUE"""),FALSE)</f>
        <v>0</v>
      </c>
      <c r="AG1473" s="5" t="str">
        <f ca="1">IFERROR(__xludf.DUMMYFUNCTION("""COMPUTED_VALUE"""),"INSPECCIONES REALIZADAS")</f>
        <v>INSPECCIONES REALIZADAS</v>
      </c>
      <c r="AH1473" s="5"/>
    </row>
    <row r="1474" spans="1:34">
      <c r="A1474" s="5" t="str">
        <f ca="1">IFERROR(__xludf.DUMMYFUNCTION("""COMPUTED_VALUE"""),"LINEA PET CSD - LINEA 10")</f>
        <v>LINEA PET CSD - LINEA 10</v>
      </c>
      <c r="B1474" s="5">
        <f ca="1">IFERROR(__xludf.DUMMYFUNCTION("""COMPUTED_VALUE"""),519561)</f>
        <v>519561</v>
      </c>
      <c r="C1474" s="5" t="str">
        <f ca="1">IFERROR(__xludf.DUMMYFUNCTION("""COMPUTED_VALUE"""),"LLENADORA DE BOTELLAS PET 162 VALVULAS")</f>
        <v>LLENADORA DE BOTELLAS PET 162 VALVULAS</v>
      </c>
      <c r="D1474" s="5">
        <f ca="1">IFERROR(__xludf.DUMMYFUNCTION("""COMPUTED_VALUE"""),13247579)</f>
        <v>13247579</v>
      </c>
      <c r="E1474" s="5" t="str">
        <f ca="1">IFERROR(__xludf.DUMMYFUNCTION("""COMPUTED_VALUE"""),"INSPECCION SEMANAL LLENADORA DE BOTELLAS")</f>
        <v>INSPECCION SEMANAL LLENADORA DE BOTELLAS</v>
      </c>
      <c r="F1474" s="5" t="str">
        <f ca="1">IFERROR(__xludf.DUMMYFUNCTION("""COMPUTED_VALUE"""),"INSP. TABLERO ELECTRICO/CLIMATIZADOR")</f>
        <v>INSP. TABLERO ELECTRICO/CLIMATIZADOR</v>
      </c>
      <c r="G1474" s="5" t="b">
        <f ca="1">IFERROR(__xludf.DUMMYFUNCTION("""COMPUTED_VALUE"""),TRUE)</f>
        <v>1</v>
      </c>
      <c r="H1474" s="5"/>
      <c r="I1474" s="5"/>
      <c r="J1474" s="5">
        <f ca="1">IFERROR(__xludf.DUMMYFUNCTION("""COMPUTED_VALUE"""),13247579)</f>
        <v>13247579</v>
      </c>
      <c r="K1474" s="5"/>
      <c r="L1474" s="18">
        <f ca="1">IFERROR(__xludf.DUMMYFUNCTION("""COMPUTED_VALUE"""),45324)</f>
        <v>45324</v>
      </c>
      <c r="M1474" s="18">
        <f ca="1">IFERROR(__xludf.DUMMYFUNCTION("""COMPUTED_VALUE"""),45324)</f>
        <v>45324</v>
      </c>
      <c r="N1474" s="5" t="str">
        <f ca="1">IFERROR(__xludf.DUMMYFUNCTION("""COMPUTED_VALUE"""),"Duran Sanchez Nelson Fernando")</f>
        <v>Duran Sanchez Nelson Fernando</v>
      </c>
      <c r="O1474" s="2">
        <f ca="1">IFERROR(__xludf.DUMMYFUNCTION("""COMPUTED_VALUE"""),0.003333333)</f>
        <v>3.333333E-3</v>
      </c>
      <c r="P1474" s="5">
        <f ca="1">IFERROR(__xludf.DUMMYFUNCTION("""COMPUTED_VALUE"""),20009743)</f>
        <v>20009743</v>
      </c>
      <c r="Q1474" s="5" t="str">
        <f ca="1">IFERROR(__xludf.DUMMYFUNCTION("""COMPUTED_VALUE"""),"cdQAvn49xHg")</f>
        <v>cdQAvn49xHg</v>
      </c>
      <c r="R1474" s="5">
        <f ca="1">IFERROR(__xludf.DUMMYFUNCTION("""COMPUTED_VALUE"""),410)</f>
        <v>410</v>
      </c>
      <c r="S1474" s="62">
        <f ca="1">IFERROR(__xludf.DUMMYFUNCTION("""COMPUTED_VALUE"""),0.003333333)</f>
        <v>3.333333E-3</v>
      </c>
      <c r="T1474" s="63" t="str">
        <f ca="1">IFERROR(__xludf.DUMMYFUNCTION("""COMPUTED_VALUE"""),"https://storage.googleapis.com/glide-prod.appspot.com/uploads-v2/ly7o78grxPaC6KdgvbpS/pub/3aRdSog0vUtuqPE8AJKD.png")</f>
        <v>https://storage.googleapis.com/glide-prod.appspot.com/uploads-v2/ly7o78grxPaC6KdgvbpS/pub/3aRdSog0vUtuqPE8AJKD.png</v>
      </c>
      <c r="U1474" s="5" t="str">
        <f ca="1">IFERROR(__xludf.DUMMYFUNCTION("""COMPUTED_VALUE"""),"LINEA PET CSD - LINEA 10LLENADORA DE BOTELLAS PET 162 VALVULAS")</f>
        <v>LINEA PET CSD - LINEA 10LLENADORA DE BOTELLAS PET 162 VALVULAS</v>
      </c>
      <c r="V1474" s="5"/>
      <c r="W1474" s="5" t="b">
        <f ca="1">IFERROR(__xludf.DUMMYFUNCTION("""COMPUTED_VALUE"""),TRUE)</f>
        <v>1</v>
      </c>
      <c r="X1474" s="5" t="str">
        <f ca="1">IFERROR(__xludf.DUMMYFUNCTION("""COMPUTED_VALUE"""),"wmazorra@postobon.com.co,aprmttoyu@postobon.com.co,aprmyu@postobon.com.co,wmora@postobon.com.co,efzapata@postobon.com.co")</f>
        <v>wmazorra@postobon.com.co,aprmttoyu@postobon.com.co,aprmyu@postobon.com.co,wmora@postobon.com.co,efzapata@postobon.com.co</v>
      </c>
      <c r="Y1474" s="5" t="str">
        <f ca="1">IFERROR(__xludf.DUMMYFUNCTION("""COMPUTED_VALUE"""),"wmazorra@postobon.com.co")</f>
        <v>wmazorra@postobon.com.co</v>
      </c>
      <c r="Z1474" s="5" t="str">
        <f ca="1">IFERROR(__xludf.DUMMYFUNCTION("""COMPUTED_VALUE"""),"vwae3SQ0TtKf4liUYtytVw")</f>
        <v>vwae3SQ0TtKf4liUYtytVw</v>
      </c>
      <c r="AA1474" s="5"/>
      <c r="AB1474" s="5"/>
      <c r="AC1474" s="5"/>
      <c r="AD1474" s="5">
        <f ca="1">IFERROR(__xludf.DUMMYFUNCTION("""COMPUTED_VALUE"""),30)</f>
        <v>30</v>
      </c>
      <c r="AE1474" s="5">
        <f ca="1">IFERROR(__xludf.DUMMYFUNCTION("""COMPUTED_VALUE"""),30)</f>
        <v>30</v>
      </c>
      <c r="AF1474" s="5" t="b">
        <f ca="1">IFERROR(__xludf.DUMMYFUNCTION("""COMPUTED_VALUE"""),FALSE)</f>
        <v>0</v>
      </c>
      <c r="AG1474" s="5" t="str">
        <f ca="1">IFERROR(__xludf.DUMMYFUNCTION("""COMPUTED_VALUE"""),"INSPECCIONES REALIZADAS")</f>
        <v>INSPECCIONES REALIZADAS</v>
      </c>
      <c r="AH1474" s="5"/>
    </row>
    <row r="1475" spans="1:34">
      <c r="A1475" s="5" t="str">
        <f ca="1">IFERROR(__xludf.DUMMYFUNCTION("""COMPUTED_VALUE"""),"LINEA PET CSD - LINEA 10")</f>
        <v>LINEA PET CSD - LINEA 10</v>
      </c>
      <c r="B1475" s="5">
        <f ca="1">IFERROR(__xludf.DUMMYFUNCTION("""COMPUTED_VALUE"""),519561)</f>
        <v>519561</v>
      </c>
      <c r="C1475" s="5" t="str">
        <f ca="1">IFERROR(__xludf.DUMMYFUNCTION("""COMPUTED_VALUE"""),"LLENADORA DE BOTELLAS PET 162 VALVULAS")</f>
        <v>LLENADORA DE BOTELLAS PET 162 VALVULAS</v>
      </c>
      <c r="D1475" s="5">
        <f ca="1">IFERROR(__xludf.DUMMYFUNCTION("""COMPUTED_VALUE"""),13247579)</f>
        <v>13247579</v>
      </c>
      <c r="E1475" s="5" t="str">
        <f ca="1">IFERROR(__xludf.DUMMYFUNCTION("""COMPUTED_VALUE"""),"INSPECCION SEMANAL LLENADORA DE BOTELLAS")</f>
        <v>INSPECCION SEMANAL LLENADORA DE BOTELLAS</v>
      </c>
      <c r="F1475" s="5" t="str">
        <f ca="1">IFERROR(__xludf.DUMMYFUNCTION("""COMPUTED_VALUE"""),"INSP. TABLERO ELECTRICO/CLIMATIZADOR")</f>
        <v>INSP. TABLERO ELECTRICO/CLIMATIZADOR</v>
      </c>
      <c r="G1475" s="5" t="b">
        <f ca="1">IFERROR(__xludf.DUMMYFUNCTION("""COMPUTED_VALUE"""),TRUE)</f>
        <v>1</v>
      </c>
      <c r="H1475" s="5"/>
      <c r="I1475" s="5"/>
      <c r="J1475" s="5">
        <f ca="1">IFERROR(__xludf.DUMMYFUNCTION("""COMPUTED_VALUE"""),13247579)</f>
        <v>13247579</v>
      </c>
      <c r="K1475" s="5"/>
      <c r="L1475" s="18">
        <f ca="1">IFERROR(__xludf.DUMMYFUNCTION("""COMPUTED_VALUE"""),45324)</f>
        <v>45324</v>
      </c>
      <c r="M1475" s="18">
        <f ca="1">IFERROR(__xludf.DUMMYFUNCTION("""COMPUTED_VALUE"""),45324)</f>
        <v>45324</v>
      </c>
      <c r="N1475" s="5" t="str">
        <f ca="1">IFERROR(__xludf.DUMMYFUNCTION("""COMPUTED_VALUE"""),"Duran Sanchez Nelson Fernando")</f>
        <v>Duran Sanchez Nelson Fernando</v>
      </c>
      <c r="O1475" s="2">
        <f ca="1">IFERROR(__xludf.DUMMYFUNCTION("""COMPUTED_VALUE"""),0.003333333)</f>
        <v>3.333333E-3</v>
      </c>
      <c r="P1475" s="5">
        <f ca="1">IFERROR(__xludf.DUMMYFUNCTION("""COMPUTED_VALUE"""),20009743)</f>
        <v>20009743</v>
      </c>
      <c r="Q1475" s="5" t="str">
        <f ca="1">IFERROR(__xludf.DUMMYFUNCTION("""COMPUTED_VALUE"""),"1bKCjKKU8so")</f>
        <v>1bKCjKKU8so</v>
      </c>
      <c r="R1475" s="5">
        <f ca="1">IFERROR(__xludf.DUMMYFUNCTION("""COMPUTED_VALUE"""),410)</f>
        <v>410</v>
      </c>
      <c r="S1475" s="62">
        <f ca="1">IFERROR(__xludf.DUMMYFUNCTION("""COMPUTED_VALUE"""),0.003333333)</f>
        <v>3.333333E-3</v>
      </c>
      <c r="T1475" s="63" t="str">
        <f ca="1">IFERROR(__xludf.DUMMYFUNCTION("""COMPUTED_VALUE"""),"https://storage.googleapis.com/glide-prod.appspot.com/uploads-v2/ly7o78grxPaC6KdgvbpS/pub/3aRdSog0vUtuqPE8AJKD.png")</f>
        <v>https://storage.googleapis.com/glide-prod.appspot.com/uploads-v2/ly7o78grxPaC6KdgvbpS/pub/3aRdSog0vUtuqPE8AJKD.png</v>
      </c>
      <c r="U1475" s="5" t="str">
        <f ca="1">IFERROR(__xludf.DUMMYFUNCTION("""COMPUTED_VALUE"""),"LINEA PET CSD - LINEA 10LLENADORA DE BOTELLAS PET 162 VALVULAS")</f>
        <v>LINEA PET CSD - LINEA 10LLENADORA DE BOTELLAS PET 162 VALVULAS</v>
      </c>
      <c r="V1475" s="5"/>
      <c r="W1475" s="5" t="b">
        <f ca="1">IFERROR(__xludf.DUMMYFUNCTION("""COMPUTED_VALUE"""),TRUE)</f>
        <v>1</v>
      </c>
      <c r="X1475" s="5" t="str">
        <f ca="1">IFERROR(__xludf.DUMMYFUNCTION("""COMPUTED_VALUE"""),"wmazorra@postobon.com.co,aprmttoyu@postobon.com.co,aprmyu@postobon.com.co,wmora@postobon.com.co,efzapata@postobon.com.co")</f>
        <v>wmazorra@postobon.com.co,aprmttoyu@postobon.com.co,aprmyu@postobon.com.co,wmora@postobon.com.co,efzapata@postobon.com.co</v>
      </c>
      <c r="Y1475" s="5" t="str">
        <f ca="1">IFERROR(__xludf.DUMMYFUNCTION("""COMPUTED_VALUE"""),"wmazorra@postobon.com.co")</f>
        <v>wmazorra@postobon.com.co</v>
      </c>
      <c r="Z1475" s="5" t="str">
        <f ca="1">IFERROR(__xludf.DUMMYFUNCTION("""COMPUTED_VALUE"""),"k--SA.OoQ0WHIfr18g-mzQ")</f>
        <v>k--SA.OoQ0WHIfr18g-mzQ</v>
      </c>
      <c r="AA1475" s="5"/>
      <c r="AB1475" s="5"/>
      <c r="AC1475" s="5"/>
      <c r="AD1475" s="5">
        <f ca="1">IFERROR(__xludf.DUMMYFUNCTION("""COMPUTED_VALUE"""),30)</f>
        <v>30</v>
      </c>
      <c r="AE1475" s="5">
        <f ca="1">IFERROR(__xludf.DUMMYFUNCTION("""COMPUTED_VALUE"""),30)</f>
        <v>30</v>
      </c>
      <c r="AF1475" s="5" t="b">
        <f ca="1">IFERROR(__xludf.DUMMYFUNCTION("""COMPUTED_VALUE"""),FALSE)</f>
        <v>0</v>
      </c>
      <c r="AG1475" s="5" t="str">
        <f ca="1">IFERROR(__xludf.DUMMYFUNCTION("""COMPUTED_VALUE"""),"INSPECCIONES REALIZADAS")</f>
        <v>INSPECCIONES REALIZADAS</v>
      </c>
      <c r="AH1475" s="5"/>
    </row>
    <row r="1476" spans="1:34">
      <c r="A1476" s="5" t="str">
        <f ca="1">IFERROR(__xludf.DUMMYFUNCTION("""COMPUTED_VALUE"""),"LINEA PET CSD - LINEA 10")</f>
        <v>LINEA PET CSD - LINEA 10</v>
      </c>
      <c r="B1476" s="5">
        <f ca="1">IFERROR(__xludf.DUMMYFUNCTION("""COMPUTED_VALUE"""),519561)</f>
        <v>519561</v>
      </c>
      <c r="C1476" s="5" t="str">
        <f ca="1">IFERROR(__xludf.DUMMYFUNCTION("""COMPUTED_VALUE"""),"LLENADORA DE BOTELLAS PET 162 VALVULAS")</f>
        <v>LLENADORA DE BOTELLAS PET 162 VALVULAS</v>
      </c>
      <c r="D1476" s="5">
        <f ca="1">IFERROR(__xludf.DUMMYFUNCTION("""COMPUTED_VALUE"""),13247579)</f>
        <v>13247579</v>
      </c>
      <c r="E1476" s="5" t="str">
        <f ca="1">IFERROR(__xludf.DUMMYFUNCTION("""COMPUTED_VALUE"""),"INSPECCION SEMANAL LLENADORA DE BOTELLAS")</f>
        <v>INSPECCION SEMANAL LLENADORA DE BOTELLAS</v>
      </c>
      <c r="F1476" s="5" t="str">
        <f ca="1">IFERROR(__xludf.DUMMYFUNCTION("""COMPUTED_VALUE"""),"INSP. LAMPARAS Y BOMBILLAS")</f>
        <v>INSP. LAMPARAS Y BOMBILLAS</v>
      </c>
      <c r="G1476" s="5" t="b">
        <f ca="1">IFERROR(__xludf.DUMMYFUNCTION("""COMPUTED_VALUE"""),TRUE)</f>
        <v>1</v>
      </c>
      <c r="H1476" s="5"/>
      <c r="I1476" s="5"/>
      <c r="J1476" s="5">
        <f ca="1">IFERROR(__xludf.DUMMYFUNCTION("""COMPUTED_VALUE"""),13247579)</f>
        <v>13247579</v>
      </c>
      <c r="K1476" s="5"/>
      <c r="L1476" s="18">
        <f ca="1">IFERROR(__xludf.DUMMYFUNCTION("""COMPUTED_VALUE"""),45324)</f>
        <v>45324</v>
      </c>
      <c r="M1476" s="18">
        <f ca="1">IFERROR(__xludf.DUMMYFUNCTION("""COMPUTED_VALUE"""),45324)</f>
        <v>45324</v>
      </c>
      <c r="N1476" s="5" t="str">
        <f ca="1">IFERROR(__xludf.DUMMYFUNCTION("""COMPUTED_VALUE"""),"Duran Sanchez Nelson Fernando")</f>
        <v>Duran Sanchez Nelson Fernando</v>
      </c>
      <c r="O1476" s="2">
        <f ca="1">IFERROR(__xludf.DUMMYFUNCTION("""COMPUTED_VALUE"""),0.003333333)</f>
        <v>3.333333E-3</v>
      </c>
      <c r="P1476" s="5">
        <f ca="1">IFERROR(__xludf.DUMMYFUNCTION("""COMPUTED_VALUE"""),20009743)</f>
        <v>20009743</v>
      </c>
      <c r="Q1476" s="5" t="str">
        <f ca="1">IFERROR(__xludf.DUMMYFUNCTION("""COMPUTED_VALUE"""),"AH0WHbXfa4w")</f>
        <v>AH0WHbXfa4w</v>
      </c>
      <c r="R1476" s="5">
        <f ca="1">IFERROR(__xludf.DUMMYFUNCTION("""COMPUTED_VALUE"""),410)</f>
        <v>410</v>
      </c>
      <c r="S1476" s="62">
        <f ca="1">IFERROR(__xludf.DUMMYFUNCTION("""COMPUTED_VALUE"""),0.003333333)</f>
        <v>3.333333E-3</v>
      </c>
      <c r="T1476" s="63" t="str">
        <f ca="1">IFERROR(__xludf.DUMMYFUNCTION("""COMPUTED_VALUE"""),"https://storage.googleapis.com/glide-prod.appspot.com/uploads-v2/ly7o78grxPaC6KdgvbpS/pub/3aRdSog0vUtuqPE8AJKD.png")</f>
        <v>https://storage.googleapis.com/glide-prod.appspot.com/uploads-v2/ly7o78grxPaC6KdgvbpS/pub/3aRdSog0vUtuqPE8AJKD.png</v>
      </c>
      <c r="U1476" s="5" t="str">
        <f ca="1">IFERROR(__xludf.DUMMYFUNCTION("""COMPUTED_VALUE"""),"LINEA PET CSD - LINEA 10LLENADORA DE BOTELLAS PET 162 VALVULAS")</f>
        <v>LINEA PET CSD - LINEA 10LLENADORA DE BOTELLAS PET 162 VALVULAS</v>
      </c>
      <c r="V1476" s="5"/>
      <c r="W1476" s="5" t="b">
        <f ca="1">IFERROR(__xludf.DUMMYFUNCTION("""COMPUTED_VALUE"""),TRUE)</f>
        <v>1</v>
      </c>
      <c r="X1476" s="5" t="str">
        <f ca="1">IFERROR(__xludf.DUMMYFUNCTION("""COMPUTED_VALUE"""),"wmazorra@postobon.com.co,aprmttoyu@postobon.com.co,aprmyu@postobon.com.co,wmora@postobon.com.co,efzapata@postobon.com.co")</f>
        <v>wmazorra@postobon.com.co,aprmttoyu@postobon.com.co,aprmyu@postobon.com.co,wmora@postobon.com.co,efzapata@postobon.com.co</v>
      </c>
      <c r="Y1476" s="5" t="str">
        <f ca="1">IFERROR(__xludf.DUMMYFUNCTION("""COMPUTED_VALUE"""),"wmazorra@postobon.com.co")</f>
        <v>wmazorra@postobon.com.co</v>
      </c>
      <c r="Z1476" s="5" t="str">
        <f ca="1">IFERROR(__xludf.DUMMYFUNCTION("""COMPUTED_VALUE"""),"aAyPao1USSy-16X6ZNJqcQ")</f>
        <v>aAyPao1USSy-16X6ZNJqcQ</v>
      </c>
      <c r="AA1476" s="5"/>
      <c r="AB1476" s="5"/>
      <c r="AC1476" s="5"/>
      <c r="AD1476" s="5">
        <f ca="1">IFERROR(__xludf.DUMMYFUNCTION("""COMPUTED_VALUE"""),30)</f>
        <v>30</v>
      </c>
      <c r="AE1476" s="5">
        <f ca="1">IFERROR(__xludf.DUMMYFUNCTION("""COMPUTED_VALUE"""),30)</f>
        <v>30</v>
      </c>
      <c r="AF1476" s="5" t="b">
        <f ca="1">IFERROR(__xludf.DUMMYFUNCTION("""COMPUTED_VALUE"""),FALSE)</f>
        <v>0</v>
      </c>
      <c r="AG1476" s="5" t="str">
        <f ca="1">IFERROR(__xludf.DUMMYFUNCTION("""COMPUTED_VALUE"""),"INSPECCIONES REALIZADAS")</f>
        <v>INSPECCIONES REALIZADAS</v>
      </c>
      <c r="AH1476" s="5"/>
    </row>
    <row r="1477" spans="1:34">
      <c r="A1477" s="5" t="str">
        <f ca="1">IFERROR(__xludf.DUMMYFUNCTION("""COMPUTED_VALUE"""),"LINEA PET CSD - LINEA 10")</f>
        <v>LINEA PET CSD - LINEA 10</v>
      </c>
      <c r="B1477" s="5">
        <f ca="1">IFERROR(__xludf.DUMMYFUNCTION("""COMPUTED_VALUE"""),519561)</f>
        <v>519561</v>
      </c>
      <c r="C1477" s="5" t="str">
        <f ca="1">IFERROR(__xludf.DUMMYFUNCTION("""COMPUTED_VALUE"""),"LLENADORA DE BOTELLAS PET 162 VALVULAS")</f>
        <v>LLENADORA DE BOTELLAS PET 162 VALVULAS</v>
      </c>
      <c r="D1477" s="5">
        <f ca="1">IFERROR(__xludf.DUMMYFUNCTION("""COMPUTED_VALUE"""),13247579)</f>
        <v>13247579</v>
      </c>
      <c r="E1477" s="5" t="str">
        <f ca="1">IFERROR(__xludf.DUMMYFUNCTION("""COMPUTED_VALUE"""),"INSPECCION SEMANAL LLENADORA DE BOTELLAS")</f>
        <v>INSPECCION SEMANAL LLENADORA DE BOTELLAS</v>
      </c>
      <c r="F1477" s="5" t="str">
        <f ca="1">IFERROR(__xludf.DUMMYFUNCTION("""COMPUTED_VALUE"""),"FUNC MOTORREDUCTORES (TAPONADOR)")</f>
        <v>FUNC MOTORREDUCTORES (TAPONADOR)</v>
      </c>
      <c r="G1477" s="5" t="b">
        <f ca="1">IFERROR(__xludf.DUMMYFUNCTION("""COMPUTED_VALUE"""),TRUE)</f>
        <v>1</v>
      </c>
      <c r="H1477" s="5"/>
      <c r="I1477" s="5"/>
      <c r="J1477" s="5">
        <f ca="1">IFERROR(__xludf.DUMMYFUNCTION("""COMPUTED_VALUE"""),13247579)</f>
        <v>13247579</v>
      </c>
      <c r="K1477" s="5"/>
      <c r="L1477" s="18">
        <f ca="1">IFERROR(__xludf.DUMMYFUNCTION("""COMPUTED_VALUE"""),45324)</f>
        <v>45324</v>
      </c>
      <c r="M1477" s="18">
        <f ca="1">IFERROR(__xludf.DUMMYFUNCTION("""COMPUTED_VALUE"""),45324)</f>
        <v>45324</v>
      </c>
      <c r="N1477" s="5" t="str">
        <f ca="1">IFERROR(__xludf.DUMMYFUNCTION("""COMPUTED_VALUE"""),"Duran Sanchez Nelson Fernando")</f>
        <v>Duran Sanchez Nelson Fernando</v>
      </c>
      <c r="O1477" s="2">
        <f ca="1">IFERROR(__xludf.DUMMYFUNCTION("""COMPUTED_VALUE"""),0.003333333)</f>
        <v>3.333333E-3</v>
      </c>
      <c r="P1477" s="5">
        <f ca="1">IFERROR(__xludf.DUMMYFUNCTION("""COMPUTED_VALUE"""),20009743)</f>
        <v>20009743</v>
      </c>
      <c r="Q1477" s="5" t="str">
        <f ca="1">IFERROR(__xludf.DUMMYFUNCTION("""COMPUTED_VALUE"""),"A-I2dqrO82A")</f>
        <v>A-I2dqrO82A</v>
      </c>
      <c r="R1477" s="5">
        <f ca="1">IFERROR(__xludf.DUMMYFUNCTION("""COMPUTED_VALUE"""),410)</f>
        <v>410</v>
      </c>
      <c r="S1477" s="62">
        <f ca="1">IFERROR(__xludf.DUMMYFUNCTION("""COMPUTED_VALUE"""),0.003333333)</f>
        <v>3.333333E-3</v>
      </c>
      <c r="T1477" s="63" t="str">
        <f ca="1">IFERROR(__xludf.DUMMYFUNCTION("""COMPUTED_VALUE"""),"https://storage.googleapis.com/glide-prod.appspot.com/uploads-v2/ly7o78grxPaC6KdgvbpS/pub/3aRdSog0vUtuqPE8AJKD.png")</f>
        <v>https://storage.googleapis.com/glide-prod.appspot.com/uploads-v2/ly7o78grxPaC6KdgvbpS/pub/3aRdSog0vUtuqPE8AJKD.png</v>
      </c>
      <c r="U1477" s="5" t="str">
        <f ca="1">IFERROR(__xludf.DUMMYFUNCTION("""COMPUTED_VALUE"""),"LINEA PET CSD - LINEA 10LLENADORA DE BOTELLAS PET 162 VALVULAS")</f>
        <v>LINEA PET CSD - LINEA 10LLENADORA DE BOTELLAS PET 162 VALVULAS</v>
      </c>
      <c r="V1477" s="5"/>
      <c r="W1477" s="5" t="b">
        <f ca="1">IFERROR(__xludf.DUMMYFUNCTION("""COMPUTED_VALUE"""),TRUE)</f>
        <v>1</v>
      </c>
      <c r="X1477" s="5" t="str">
        <f ca="1">IFERROR(__xludf.DUMMYFUNCTION("""COMPUTED_VALUE"""),"wmazorra@postobon.com.co,aprmttoyu@postobon.com.co,aprmyu@postobon.com.co,wmora@postobon.com.co,efzapata@postobon.com.co")</f>
        <v>wmazorra@postobon.com.co,aprmttoyu@postobon.com.co,aprmyu@postobon.com.co,wmora@postobon.com.co,efzapata@postobon.com.co</v>
      </c>
      <c r="Y1477" s="5" t="str">
        <f ca="1">IFERROR(__xludf.DUMMYFUNCTION("""COMPUTED_VALUE"""),"wmazorra@postobon.com.co")</f>
        <v>wmazorra@postobon.com.co</v>
      </c>
      <c r="Z1477" s="5" t="str">
        <f ca="1">IFERROR(__xludf.DUMMYFUNCTION("""COMPUTED_VALUE"""),"a-H0IN9c3Qn2tDhqAU-aZTA")</f>
        <v>a-H0IN9c3Qn2tDhqAU-aZTA</v>
      </c>
      <c r="AA1477" s="5"/>
      <c r="AB1477" s="5"/>
      <c r="AC1477" s="5"/>
      <c r="AD1477" s="5">
        <f ca="1">IFERROR(__xludf.DUMMYFUNCTION("""COMPUTED_VALUE"""),30)</f>
        <v>30</v>
      </c>
      <c r="AE1477" s="5">
        <f ca="1">IFERROR(__xludf.DUMMYFUNCTION("""COMPUTED_VALUE"""),30)</f>
        <v>30</v>
      </c>
      <c r="AF1477" s="5" t="b">
        <f ca="1">IFERROR(__xludf.DUMMYFUNCTION("""COMPUTED_VALUE"""),FALSE)</f>
        <v>0</v>
      </c>
      <c r="AG1477" s="5" t="str">
        <f ca="1">IFERROR(__xludf.DUMMYFUNCTION("""COMPUTED_VALUE"""),"INSPECCIONES REALIZADAS")</f>
        <v>INSPECCIONES REALIZADAS</v>
      </c>
      <c r="AH1477" s="5"/>
    </row>
    <row r="1478" spans="1:34">
      <c r="A1478" s="5" t="str">
        <f ca="1">IFERROR(__xludf.DUMMYFUNCTION("""COMPUTED_VALUE"""),"LINEA PET CSD - LINEA 10")</f>
        <v>LINEA PET CSD - LINEA 10</v>
      </c>
      <c r="B1478" s="5">
        <f ca="1">IFERROR(__xludf.DUMMYFUNCTION("""COMPUTED_VALUE"""),519561)</f>
        <v>519561</v>
      </c>
      <c r="C1478" s="5" t="str">
        <f ca="1">IFERROR(__xludf.DUMMYFUNCTION("""COMPUTED_VALUE"""),"LLENADORA DE BOTELLAS PET 162 VALVULAS")</f>
        <v>LLENADORA DE BOTELLAS PET 162 VALVULAS</v>
      </c>
      <c r="D1478" s="5">
        <f ca="1">IFERROR(__xludf.DUMMYFUNCTION("""COMPUTED_VALUE"""),13247579)</f>
        <v>13247579</v>
      </c>
      <c r="E1478" s="5" t="str">
        <f ca="1">IFERROR(__xludf.DUMMYFUNCTION("""COMPUTED_VALUE"""),"INSPECCION SEMANAL LLENADORA DE BOTELLAS")</f>
        <v>INSPECCION SEMANAL LLENADORA DE BOTELLAS</v>
      </c>
      <c r="F1478" s="5" t="str">
        <f ca="1">IFERROR(__xludf.DUMMYFUNCTION("""COMPUTED_VALUE"""),"ESTADO BANDAS ALIMENTACION (TAPONADOR)")</f>
        <v>ESTADO BANDAS ALIMENTACION (TAPONADOR)</v>
      </c>
      <c r="G1478" s="5" t="b">
        <f ca="1">IFERROR(__xludf.DUMMYFUNCTION("""COMPUTED_VALUE"""),TRUE)</f>
        <v>1</v>
      </c>
      <c r="H1478" s="5" t="str">
        <f ca="1">IFERROR(__xludf.DUMMYFUNCTION("""COMPUTED_VALUE"""),"Banda de transporte de tapa entre cascada y disco superior con desgaste  se observa mayor desgaste hacía un lado específico.")</f>
        <v>Banda de transporte de tapa entre cascada y disco superior con desgaste  se observa mayor desgaste hacía un lado específico.</v>
      </c>
      <c r="I1478" s="5"/>
      <c r="J1478" s="5">
        <f ca="1">IFERROR(__xludf.DUMMYFUNCTION("""COMPUTED_VALUE"""),13247579)</f>
        <v>13247579</v>
      </c>
      <c r="K1478" s="5"/>
      <c r="L1478" s="18">
        <f ca="1">IFERROR(__xludf.DUMMYFUNCTION("""COMPUTED_VALUE"""),45324)</f>
        <v>45324</v>
      </c>
      <c r="M1478" s="18">
        <f ca="1">IFERROR(__xludf.DUMMYFUNCTION("""COMPUTED_VALUE"""),45324)</f>
        <v>45324</v>
      </c>
      <c r="N1478" s="5" t="str">
        <f ca="1">IFERROR(__xludf.DUMMYFUNCTION("""COMPUTED_VALUE"""),"Duran Sanchez Nelson Fernando")</f>
        <v>Duran Sanchez Nelson Fernando</v>
      </c>
      <c r="O1478" s="2">
        <f ca="1">IFERROR(__xludf.DUMMYFUNCTION("""COMPUTED_VALUE"""),0.003333333)</f>
        <v>3.333333E-3</v>
      </c>
      <c r="P1478" s="5">
        <f ca="1">IFERROR(__xludf.DUMMYFUNCTION("""COMPUTED_VALUE"""),20009743)</f>
        <v>20009743</v>
      </c>
      <c r="Q1478" s="5" t="str">
        <f ca="1">IFERROR(__xludf.DUMMYFUNCTION("""COMPUTED_VALUE"""),"0_wSJMayGGk")</f>
        <v>0_wSJMayGGk</v>
      </c>
      <c r="R1478" s="5">
        <f ca="1">IFERROR(__xludf.DUMMYFUNCTION("""COMPUTED_VALUE"""),410)</f>
        <v>410</v>
      </c>
      <c r="S1478" s="62">
        <f ca="1">IFERROR(__xludf.DUMMYFUNCTION("""COMPUTED_VALUE"""),0.003333333)</f>
        <v>3.333333E-3</v>
      </c>
      <c r="T1478" s="63" t="str">
        <f ca="1">IFERROR(__xludf.DUMMYFUNCTION("""COMPUTED_VALUE"""),"https://storage.googleapis.com/glide-prod.appspot.com/uploads-v2/ly7o78grxPaC6KdgvbpS/pub/3aRdSog0vUtuqPE8AJKD.png")</f>
        <v>https://storage.googleapis.com/glide-prod.appspot.com/uploads-v2/ly7o78grxPaC6KdgvbpS/pub/3aRdSog0vUtuqPE8AJKD.png</v>
      </c>
      <c r="U1478" s="5" t="str">
        <f ca="1">IFERROR(__xludf.DUMMYFUNCTION("""COMPUTED_VALUE"""),"LINEA PET CSD - LINEA 10LLENADORA DE BOTELLAS PET 162 VALVULAS")</f>
        <v>LINEA PET CSD - LINEA 10LLENADORA DE BOTELLAS PET 162 VALVULAS</v>
      </c>
      <c r="V1478" s="5"/>
      <c r="W1478" s="5" t="b">
        <f ca="1">IFERROR(__xludf.DUMMYFUNCTION("""COMPUTED_VALUE"""),TRUE)</f>
        <v>1</v>
      </c>
      <c r="X1478" s="5" t="str">
        <f ca="1">IFERROR(__xludf.DUMMYFUNCTION("""COMPUTED_VALUE"""),"wmazorra@postobon.com.co,aprmttoyu@postobon.com.co,aprmyu@postobon.com.co,wmora@postobon.com.co,efzapata@postobon.com.co")</f>
        <v>wmazorra@postobon.com.co,aprmttoyu@postobon.com.co,aprmyu@postobon.com.co,wmora@postobon.com.co,efzapata@postobon.com.co</v>
      </c>
      <c r="Y1478" s="5" t="str">
        <f ca="1">IFERROR(__xludf.DUMMYFUNCTION("""COMPUTED_VALUE"""),"wmazorra@postobon.com.co")</f>
        <v>wmazorra@postobon.com.co</v>
      </c>
      <c r="Z1478" s="5" t="str">
        <f ca="1">IFERROR(__xludf.DUMMYFUNCTION("""COMPUTED_VALUE"""),"H9jQnWuKR1uoRX6funaYaA")</f>
        <v>H9jQnWuKR1uoRX6funaYaA</v>
      </c>
      <c r="AA1478" s="63" t="str">
        <f ca="1">IFERROR(__xludf.DUMMYFUNCTION("""COMPUTED_VALUE"""),"https://storage.googleapis.com/glide-prod.appspot.com/uploads-v2/ly7o78grxPaC6KdgvbpS/pub/pVhJAtCRxQ3IVgkuirsK.heic")</f>
        <v>https://storage.googleapis.com/glide-prod.appspot.com/uploads-v2/ly7o78grxPaC6KdgvbpS/pub/pVhJAtCRxQ3IVgkuirsK.heic</v>
      </c>
      <c r="AB1478" s="5"/>
      <c r="AC1478" s="5"/>
      <c r="AD1478" s="5">
        <f ca="1">IFERROR(__xludf.DUMMYFUNCTION("""COMPUTED_VALUE"""),30)</f>
        <v>30</v>
      </c>
      <c r="AE1478" s="5">
        <f ca="1">IFERROR(__xludf.DUMMYFUNCTION("""COMPUTED_VALUE"""),30)</f>
        <v>30</v>
      </c>
      <c r="AF1478" s="5" t="b">
        <f ca="1">IFERROR(__xludf.DUMMYFUNCTION("""COMPUTED_VALUE"""),FALSE)</f>
        <v>0</v>
      </c>
      <c r="AG1478" s="5" t="str">
        <f ca="1">IFERROR(__xludf.DUMMYFUNCTION("""COMPUTED_VALUE"""),"INSPECCIONES REALIZADAS")</f>
        <v>INSPECCIONES REALIZADAS</v>
      </c>
      <c r="AH1478" s="5"/>
    </row>
    <row r="1479" spans="1:34">
      <c r="A1479" s="5" t="str">
        <f ca="1">IFERROR(__xludf.DUMMYFUNCTION("""COMPUTED_VALUE"""),"LINEA PET CSD - LINEA 10")</f>
        <v>LINEA PET CSD - LINEA 10</v>
      </c>
      <c r="B1479" s="5">
        <f ca="1">IFERROR(__xludf.DUMMYFUNCTION("""COMPUTED_VALUE"""),519561)</f>
        <v>519561</v>
      </c>
      <c r="C1479" s="5" t="str">
        <f ca="1">IFERROR(__xludf.DUMMYFUNCTION("""COMPUTED_VALUE"""),"LLENADORA DE BOTELLAS PET 162 VALVULAS")</f>
        <v>LLENADORA DE BOTELLAS PET 162 VALVULAS</v>
      </c>
      <c r="D1479" s="5">
        <f ca="1">IFERROR(__xludf.DUMMYFUNCTION("""COMPUTED_VALUE"""),13247579)</f>
        <v>13247579</v>
      </c>
      <c r="E1479" s="5" t="str">
        <f ca="1">IFERROR(__xludf.DUMMYFUNCTION("""COMPUTED_VALUE"""),"INSPECCION SEMANAL LLENADORA DE BOTELLAS")</f>
        <v>INSPECCION SEMANAL LLENADORA DE BOTELLAS</v>
      </c>
      <c r="F1479" s="5" t="str">
        <f ca="1">IFERROR(__xludf.DUMMYFUNCTION("""COMPUTED_VALUE"""),"INSP SISTEMA NEUMATICO (TAPONADOR)")</f>
        <v>INSP SISTEMA NEUMATICO (TAPONADOR)</v>
      </c>
      <c r="G1479" s="5" t="b">
        <f ca="1">IFERROR(__xludf.DUMMYFUNCTION("""COMPUTED_VALUE"""),TRUE)</f>
        <v>1</v>
      </c>
      <c r="H1479" s="5"/>
      <c r="I1479" s="5"/>
      <c r="J1479" s="5">
        <f ca="1">IFERROR(__xludf.DUMMYFUNCTION("""COMPUTED_VALUE"""),13247579)</f>
        <v>13247579</v>
      </c>
      <c r="K1479" s="5"/>
      <c r="L1479" s="18">
        <f ca="1">IFERROR(__xludf.DUMMYFUNCTION("""COMPUTED_VALUE"""),45324)</f>
        <v>45324</v>
      </c>
      <c r="M1479" s="18">
        <f ca="1">IFERROR(__xludf.DUMMYFUNCTION("""COMPUTED_VALUE"""),45324)</f>
        <v>45324</v>
      </c>
      <c r="N1479" s="5" t="str">
        <f ca="1">IFERROR(__xludf.DUMMYFUNCTION("""COMPUTED_VALUE"""),"Duran Sanchez Nelson Fernando")</f>
        <v>Duran Sanchez Nelson Fernando</v>
      </c>
      <c r="O1479" s="2">
        <f ca="1">IFERROR(__xludf.DUMMYFUNCTION("""COMPUTED_VALUE"""),0.003333333)</f>
        <v>3.333333E-3</v>
      </c>
      <c r="P1479" s="5">
        <f ca="1">IFERROR(__xludf.DUMMYFUNCTION("""COMPUTED_VALUE"""),20009743)</f>
        <v>20009743</v>
      </c>
      <c r="Q1479" s="5" t="str">
        <f ca="1">IFERROR(__xludf.DUMMYFUNCTION("""COMPUTED_VALUE"""),"x6_cc1VLcWs")</f>
        <v>x6_cc1VLcWs</v>
      </c>
      <c r="R1479" s="5">
        <f ca="1">IFERROR(__xludf.DUMMYFUNCTION("""COMPUTED_VALUE"""),410)</f>
        <v>410</v>
      </c>
      <c r="S1479" s="62">
        <f ca="1">IFERROR(__xludf.DUMMYFUNCTION("""COMPUTED_VALUE"""),0.003333333)</f>
        <v>3.333333E-3</v>
      </c>
      <c r="T1479" s="63" t="str">
        <f ca="1">IFERROR(__xludf.DUMMYFUNCTION("""COMPUTED_VALUE"""),"https://storage.googleapis.com/glide-prod.appspot.com/uploads-v2/ly7o78grxPaC6KdgvbpS/pub/3aRdSog0vUtuqPE8AJKD.png")</f>
        <v>https://storage.googleapis.com/glide-prod.appspot.com/uploads-v2/ly7o78grxPaC6KdgvbpS/pub/3aRdSog0vUtuqPE8AJKD.png</v>
      </c>
      <c r="U1479" s="5" t="str">
        <f ca="1">IFERROR(__xludf.DUMMYFUNCTION("""COMPUTED_VALUE"""),"LINEA PET CSD - LINEA 10LLENADORA DE BOTELLAS PET 162 VALVULAS")</f>
        <v>LINEA PET CSD - LINEA 10LLENADORA DE BOTELLAS PET 162 VALVULAS</v>
      </c>
      <c r="V1479" s="5"/>
      <c r="W1479" s="5" t="b">
        <f ca="1">IFERROR(__xludf.DUMMYFUNCTION("""COMPUTED_VALUE"""),TRUE)</f>
        <v>1</v>
      </c>
      <c r="X1479" s="5" t="str">
        <f ca="1">IFERROR(__xludf.DUMMYFUNCTION("""COMPUTED_VALUE"""),"wmazorra@postobon.com.co,aprmttoyu@postobon.com.co,aprmyu@postobon.com.co,wmora@postobon.com.co,efzapata@postobon.com.co")</f>
        <v>wmazorra@postobon.com.co,aprmttoyu@postobon.com.co,aprmyu@postobon.com.co,wmora@postobon.com.co,efzapata@postobon.com.co</v>
      </c>
      <c r="Y1479" s="5" t="str">
        <f ca="1">IFERROR(__xludf.DUMMYFUNCTION("""COMPUTED_VALUE"""),"wmazorra@postobon.com.co")</f>
        <v>wmazorra@postobon.com.co</v>
      </c>
      <c r="Z1479" s="5" t="str">
        <f ca="1">IFERROR(__xludf.DUMMYFUNCTION("""COMPUTED_VALUE"""),"Wu4Igw77TkmUA3HneZ.Itw")</f>
        <v>Wu4Igw77TkmUA3HneZ.Itw</v>
      </c>
      <c r="AA1479" s="5"/>
      <c r="AB1479" s="5"/>
      <c r="AC1479" s="5"/>
      <c r="AD1479" s="5">
        <f ca="1">IFERROR(__xludf.DUMMYFUNCTION("""COMPUTED_VALUE"""),30)</f>
        <v>30</v>
      </c>
      <c r="AE1479" s="5">
        <f ca="1">IFERROR(__xludf.DUMMYFUNCTION("""COMPUTED_VALUE"""),30)</f>
        <v>30</v>
      </c>
      <c r="AF1479" s="5" t="b">
        <f ca="1">IFERROR(__xludf.DUMMYFUNCTION("""COMPUTED_VALUE"""),FALSE)</f>
        <v>0</v>
      </c>
      <c r="AG1479" s="5" t="str">
        <f ca="1">IFERROR(__xludf.DUMMYFUNCTION("""COMPUTED_VALUE"""),"INSPECCIONES REALIZADAS")</f>
        <v>INSPECCIONES REALIZADAS</v>
      </c>
      <c r="AH1479" s="5"/>
    </row>
    <row r="1480" spans="1:34">
      <c r="A1480" s="5" t="str">
        <f ca="1">IFERROR(__xludf.DUMMYFUNCTION("""COMPUTED_VALUE"""),"LINEA PET CSD - LINEA 10")</f>
        <v>LINEA PET CSD - LINEA 10</v>
      </c>
      <c r="B1480" s="5">
        <f ca="1">IFERROR(__xludf.DUMMYFUNCTION("""COMPUTED_VALUE"""),519561)</f>
        <v>519561</v>
      </c>
      <c r="C1480" s="5" t="str">
        <f ca="1">IFERROR(__xludf.DUMMYFUNCTION("""COMPUTED_VALUE"""),"LLENADORA DE BOTELLAS PET 162 VALVULAS")</f>
        <v>LLENADORA DE BOTELLAS PET 162 VALVULAS</v>
      </c>
      <c r="D1480" s="5">
        <f ca="1">IFERROR(__xludf.DUMMYFUNCTION("""COMPUTED_VALUE"""),13247579)</f>
        <v>13247579</v>
      </c>
      <c r="E1480" s="5" t="str">
        <f ca="1">IFERROR(__xludf.DUMMYFUNCTION("""COMPUTED_VALUE"""),"INSPECCION SEMANAL LLENADORA DE BOTELLAS")</f>
        <v>INSPECCION SEMANAL LLENADORA DE BOTELLAS</v>
      </c>
      <c r="F1480" s="5" t="str">
        <f ca="1">IFERROR(__xludf.DUMMYFUNCTION("""COMPUTED_VALUE"""),"FUNC SENSORES TAPAS (TAPONADOR)")</f>
        <v>FUNC SENSORES TAPAS (TAPONADOR)</v>
      </c>
      <c r="G1480" s="5" t="b">
        <f ca="1">IFERROR(__xludf.DUMMYFUNCTION("""COMPUTED_VALUE"""),TRUE)</f>
        <v>1</v>
      </c>
      <c r="H1480" s="5" t="str">
        <f ca="1">IFERROR(__xludf.DUMMYFUNCTION("""COMPUTED_VALUE"""),"Sensor de tapa del pick and play no fuciona, al atascarse la tapaen canaleta no conmuta y salen demasuadas botellas sin tapa.")</f>
        <v>Sensor de tapa del pick and play no fuciona, al atascarse la tapaen canaleta no conmuta y salen demasuadas botellas sin tapa.</v>
      </c>
      <c r="I1480" s="5"/>
      <c r="J1480" s="5">
        <f ca="1">IFERROR(__xludf.DUMMYFUNCTION("""COMPUTED_VALUE"""),13247579)</f>
        <v>13247579</v>
      </c>
      <c r="K1480" s="5"/>
      <c r="L1480" s="18">
        <f ca="1">IFERROR(__xludf.DUMMYFUNCTION("""COMPUTED_VALUE"""),45324)</f>
        <v>45324</v>
      </c>
      <c r="M1480" s="18">
        <f ca="1">IFERROR(__xludf.DUMMYFUNCTION("""COMPUTED_VALUE"""),45324)</f>
        <v>45324</v>
      </c>
      <c r="N1480" s="5" t="str">
        <f ca="1">IFERROR(__xludf.DUMMYFUNCTION("""COMPUTED_VALUE"""),"Duran Sanchez Nelson Fernando")</f>
        <v>Duran Sanchez Nelson Fernando</v>
      </c>
      <c r="O1480" s="2">
        <f ca="1">IFERROR(__xludf.DUMMYFUNCTION("""COMPUTED_VALUE"""),0.003333333)</f>
        <v>3.333333E-3</v>
      </c>
      <c r="P1480" s="5">
        <f ca="1">IFERROR(__xludf.DUMMYFUNCTION("""COMPUTED_VALUE"""),20009743)</f>
        <v>20009743</v>
      </c>
      <c r="Q1480" s="5" t="str">
        <f ca="1">IFERROR(__xludf.DUMMYFUNCTION("""COMPUTED_VALUE"""),"CV-5EsH9tcw")</f>
        <v>CV-5EsH9tcw</v>
      </c>
      <c r="R1480" s="5">
        <f ca="1">IFERROR(__xludf.DUMMYFUNCTION("""COMPUTED_VALUE"""),410)</f>
        <v>410</v>
      </c>
      <c r="S1480" s="62">
        <f ca="1">IFERROR(__xludf.DUMMYFUNCTION("""COMPUTED_VALUE"""),0.003333333)</f>
        <v>3.333333E-3</v>
      </c>
      <c r="T1480" s="63" t="str">
        <f ca="1">IFERROR(__xludf.DUMMYFUNCTION("""COMPUTED_VALUE"""),"https://storage.googleapis.com/glide-prod.appspot.com/uploads-v2/ly7o78grxPaC6KdgvbpS/pub/3aRdSog0vUtuqPE8AJKD.png")</f>
        <v>https://storage.googleapis.com/glide-prod.appspot.com/uploads-v2/ly7o78grxPaC6KdgvbpS/pub/3aRdSog0vUtuqPE8AJKD.png</v>
      </c>
      <c r="U1480" s="5" t="str">
        <f ca="1">IFERROR(__xludf.DUMMYFUNCTION("""COMPUTED_VALUE"""),"LINEA PET CSD - LINEA 10LLENADORA DE BOTELLAS PET 162 VALVULAS")</f>
        <v>LINEA PET CSD - LINEA 10LLENADORA DE BOTELLAS PET 162 VALVULAS</v>
      </c>
      <c r="V1480" s="5"/>
      <c r="W1480" s="5" t="b">
        <f ca="1">IFERROR(__xludf.DUMMYFUNCTION("""COMPUTED_VALUE"""),TRUE)</f>
        <v>1</v>
      </c>
      <c r="X1480" s="5" t="str">
        <f ca="1">IFERROR(__xludf.DUMMYFUNCTION("""COMPUTED_VALUE"""),"wmazorra@postobon.com.co,aprmttoyu@postobon.com.co,aprmyu@postobon.com.co,wmora@postobon.com.co,efzapata@postobon.com.co")</f>
        <v>wmazorra@postobon.com.co,aprmttoyu@postobon.com.co,aprmyu@postobon.com.co,wmora@postobon.com.co,efzapata@postobon.com.co</v>
      </c>
      <c r="Y1480" s="5" t="str">
        <f ca="1">IFERROR(__xludf.DUMMYFUNCTION("""COMPUTED_VALUE"""),"wmazorra@postobon.com.co")</f>
        <v>wmazorra@postobon.com.co</v>
      </c>
      <c r="Z1480" s="5" t="str">
        <f ca="1">IFERROR(__xludf.DUMMYFUNCTION("""COMPUTED_VALUE"""),"crjgaqquTp2EAXGEpjRzMQ")</f>
        <v>crjgaqquTp2EAXGEpjRzMQ</v>
      </c>
      <c r="AA1480" s="63" t="str">
        <f ca="1">IFERROR(__xludf.DUMMYFUNCTION("""COMPUTED_VALUE"""),"https://storage.googleapis.com/glide-prod.appspot.com/uploads-v2/ly7o78grxPaC6KdgvbpS/pub/28AwjHUVrzqBDpeSYjq7.jpg")</f>
        <v>https://storage.googleapis.com/glide-prod.appspot.com/uploads-v2/ly7o78grxPaC6KdgvbpS/pub/28AwjHUVrzqBDpeSYjq7.jpg</v>
      </c>
      <c r="AB1480" s="5"/>
      <c r="AC1480" s="5"/>
      <c r="AD1480" s="5">
        <f ca="1">IFERROR(__xludf.DUMMYFUNCTION("""COMPUTED_VALUE"""),30)</f>
        <v>30</v>
      </c>
      <c r="AE1480" s="5">
        <f ca="1">IFERROR(__xludf.DUMMYFUNCTION("""COMPUTED_VALUE"""),30)</f>
        <v>30</v>
      </c>
      <c r="AF1480" s="5" t="b">
        <f ca="1">IFERROR(__xludf.DUMMYFUNCTION("""COMPUTED_VALUE"""),FALSE)</f>
        <v>0</v>
      </c>
      <c r="AG1480" s="5" t="str">
        <f ca="1">IFERROR(__xludf.DUMMYFUNCTION("""COMPUTED_VALUE"""),"INSPECCIONES REALIZADAS")</f>
        <v>INSPECCIONES REALIZADAS</v>
      </c>
      <c r="AH1480" s="5"/>
    </row>
    <row r="1481" spans="1:34">
      <c r="A1481" s="5" t="str">
        <f ca="1">IFERROR(__xludf.DUMMYFUNCTION("""COMPUTED_VALUE"""),"LINEA PET CSD - LINEA 10")</f>
        <v>LINEA PET CSD - LINEA 10</v>
      </c>
      <c r="B1481" s="5">
        <f ca="1">IFERROR(__xludf.DUMMYFUNCTION("""COMPUTED_VALUE"""),519561)</f>
        <v>519561</v>
      </c>
      <c r="C1481" s="5" t="str">
        <f ca="1">IFERROR(__xludf.DUMMYFUNCTION("""COMPUTED_VALUE"""),"LLENADORA DE BOTELLAS PET 162 VALVULAS")</f>
        <v>LLENADORA DE BOTELLAS PET 162 VALVULAS</v>
      </c>
      <c r="D1481" s="5">
        <f ca="1">IFERROR(__xludf.DUMMYFUNCTION("""COMPUTED_VALUE"""),13247579)</f>
        <v>13247579</v>
      </c>
      <c r="E1481" s="5" t="str">
        <f ca="1">IFERROR(__xludf.DUMMYFUNCTION("""COMPUTED_VALUE"""),"INSPECCION SEMANAL LLENADORA DE BOTELLAS")</f>
        <v>INSPECCION SEMANAL LLENADORA DE BOTELLAS</v>
      </c>
      <c r="F1481" s="5" t="str">
        <f ca="1">IFERROR(__xludf.DUMMYFUNCTION("""COMPUTED_VALUE"""),"INSP TABLERO ELECTRICO (TAPONADOR)")</f>
        <v>INSP TABLERO ELECTRICO (TAPONADOR)</v>
      </c>
      <c r="G1481" s="5" t="b">
        <f ca="1">IFERROR(__xludf.DUMMYFUNCTION("""COMPUTED_VALUE"""),TRUE)</f>
        <v>1</v>
      </c>
      <c r="H1481" s="5"/>
      <c r="I1481" s="5"/>
      <c r="J1481" s="5">
        <f ca="1">IFERROR(__xludf.DUMMYFUNCTION("""COMPUTED_VALUE"""),13247579)</f>
        <v>13247579</v>
      </c>
      <c r="K1481" s="5"/>
      <c r="L1481" s="18">
        <f ca="1">IFERROR(__xludf.DUMMYFUNCTION("""COMPUTED_VALUE"""),45324)</f>
        <v>45324</v>
      </c>
      <c r="M1481" s="18">
        <f ca="1">IFERROR(__xludf.DUMMYFUNCTION("""COMPUTED_VALUE"""),45324)</f>
        <v>45324</v>
      </c>
      <c r="N1481" s="5" t="str">
        <f ca="1">IFERROR(__xludf.DUMMYFUNCTION("""COMPUTED_VALUE"""),"Duran Sanchez Nelson Fernando")</f>
        <v>Duran Sanchez Nelson Fernando</v>
      </c>
      <c r="O1481" s="2">
        <f ca="1">IFERROR(__xludf.DUMMYFUNCTION("""COMPUTED_VALUE"""),0.003333333)</f>
        <v>3.333333E-3</v>
      </c>
      <c r="P1481" s="5">
        <f ca="1">IFERROR(__xludf.DUMMYFUNCTION("""COMPUTED_VALUE"""),20009743)</f>
        <v>20009743</v>
      </c>
      <c r="Q1481" s="5" t="str">
        <f ca="1">IFERROR(__xludf.DUMMYFUNCTION("""COMPUTED_VALUE"""),"k1qBs_FS2Kg")</f>
        <v>k1qBs_FS2Kg</v>
      </c>
      <c r="R1481" s="5">
        <f ca="1">IFERROR(__xludf.DUMMYFUNCTION("""COMPUTED_VALUE"""),410)</f>
        <v>410</v>
      </c>
      <c r="S1481" s="62">
        <f ca="1">IFERROR(__xludf.DUMMYFUNCTION("""COMPUTED_VALUE"""),0.003333333)</f>
        <v>3.333333E-3</v>
      </c>
      <c r="T1481" s="63" t="str">
        <f ca="1">IFERROR(__xludf.DUMMYFUNCTION("""COMPUTED_VALUE"""),"https://storage.googleapis.com/glide-prod.appspot.com/uploads-v2/ly7o78grxPaC6KdgvbpS/pub/3aRdSog0vUtuqPE8AJKD.png")</f>
        <v>https://storage.googleapis.com/glide-prod.appspot.com/uploads-v2/ly7o78grxPaC6KdgvbpS/pub/3aRdSog0vUtuqPE8AJKD.png</v>
      </c>
      <c r="U1481" s="5" t="str">
        <f ca="1">IFERROR(__xludf.DUMMYFUNCTION("""COMPUTED_VALUE"""),"LINEA PET CSD - LINEA 10LLENADORA DE BOTELLAS PET 162 VALVULAS")</f>
        <v>LINEA PET CSD - LINEA 10LLENADORA DE BOTELLAS PET 162 VALVULAS</v>
      </c>
      <c r="V1481" s="5"/>
      <c r="W1481" s="5" t="b">
        <f ca="1">IFERROR(__xludf.DUMMYFUNCTION("""COMPUTED_VALUE"""),TRUE)</f>
        <v>1</v>
      </c>
      <c r="X1481" s="5" t="str">
        <f ca="1">IFERROR(__xludf.DUMMYFUNCTION("""COMPUTED_VALUE"""),"wmazorra@postobon.com.co,aprmttoyu@postobon.com.co,aprmyu@postobon.com.co,wmora@postobon.com.co,efzapata@postobon.com.co")</f>
        <v>wmazorra@postobon.com.co,aprmttoyu@postobon.com.co,aprmyu@postobon.com.co,wmora@postobon.com.co,efzapata@postobon.com.co</v>
      </c>
      <c r="Y1481" s="5" t="str">
        <f ca="1">IFERROR(__xludf.DUMMYFUNCTION("""COMPUTED_VALUE"""),"wmazorra@postobon.com.co")</f>
        <v>wmazorra@postobon.com.co</v>
      </c>
      <c r="Z1481" s="5" t="str">
        <f ca="1">IFERROR(__xludf.DUMMYFUNCTION("""COMPUTED_VALUE"""),"meGf.MtcReywDrmbsyEX0A")</f>
        <v>meGf.MtcReywDrmbsyEX0A</v>
      </c>
      <c r="AA1481" s="5"/>
      <c r="AB1481" s="5"/>
      <c r="AC1481" s="5"/>
      <c r="AD1481" s="5">
        <f ca="1">IFERROR(__xludf.DUMMYFUNCTION("""COMPUTED_VALUE"""),30)</f>
        <v>30</v>
      </c>
      <c r="AE1481" s="5">
        <f ca="1">IFERROR(__xludf.DUMMYFUNCTION("""COMPUTED_VALUE"""),30)</f>
        <v>30</v>
      </c>
      <c r="AF1481" s="5" t="b">
        <f ca="1">IFERROR(__xludf.DUMMYFUNCTION("""COMPUTED_VALUE"""),FALSE)</f>
        <v>0</v>
      </c>
      <c r="AG1481" s="5" t="str">
        <f ca="1">IFERROR(__xludf.DUMMYFUNCTION("""COMPUTED_VALUE"""),"INSPECCIONES REALIZADAS")</f>
        <v>INSPECCIONES REALIZADAS</v>
      </c>
      <c r="AH1481" s="5"/>
    </row>
    <row r="1482" spans="1:34">
      <c r="A1482" s="5" t="str">
        <f ca="1">IFERROR(__xludf.DUMMYFUNCTION("""COMPUTED_VALUE"""),"LINEA PET CSD - LINEA 10")</f>
        <v>LINEA PET CSD - LINEA 10</v>
      </c>
      <c r="B1482" s="5">
        <f ca="1">IFERROR(__xludf.DUMMYFUNCTION("""COMPUTED_VALUE"""),519561)</f>
        <v>519561</v>
      </c>
      <c r="C1482" s="5" t="str">
        <f ca="1">IFERROR(__xludf.DUMMYFUNCTION("""COMPUTED_VALUE"""),"LLENADORA DE BOTELLAS PET 162 VALVULAS")</f>
        <v>LLENADORA DE BOTELLAS PET 162 VALVULAS</v>
      </c>
      <c r="D1482" s="5">
        <f ca="1">IFERROR(__xludf.DUMMYFUNCTION("""COMPUTED_VALUE"""),13247579)</f>
        <v>13247579</v>
      </c>
      <c r="E1482" s="5" t="str">
        <f ca="1">IFERROR(__xludf.DUMMYFUNCTION("""COMPUTED_VALUE"""),"INSPECCION SEMANAL LLENADORA DE BOTELLAS")</f>
        <v>INSPECCION SEMANAL LLENADORA DE BOTELLAS</v>
      </c>
      <c r="F1482" s="5" t="str">
        <f ca="1">IFERROR(__xludf.DUMMYFUNCTION("""COMPUTED_VALUE"""),"CORONADORES (TAPONADOR)")</f>
        <v>CORONADORES (TAPONADOR)</v>
      </c>
      <c r="G1482" s="5" t="b">
        <f ca="1">IFERROR(__xludf.DUMMYFUNCTION("""COMPUTED_VALUE"""),TRUE)</f>
        <v>1</v>
      </c>
      <c r="H1482" s="5" t="str">
        <f ca="1">IFERROR(__xludf.DUMMYFUNCTION("""COMPUTED_VALUE"""),"Antigiros con desgaste evidente en su gran mayoría lo quepuede provocar mal posicionamiento denla tapa en la botella y bajo torque.")</f>
        <v>Antigiros con desgaste evidente en su gran mayoría lo quepuede provocar mal posicionamiento denla tapa en la botella y bajo torque.</v>
      </c>
      <c r="I1482" s="5"/>
      <c r="J1482" s="5">
        <f ca="1">IFERROR(__xludf.DUMMYFUNCTION("""COMPUTED_VALUE"""),13247579)</f>
        <v>13247579</v>
      </c>
      <c r="K1482" s="5"/>
      <c r="L1482" s="18">
        <f ca="1">IFERROR(__xludf.DUMMYFUNCTION("""COMPUTED_VALUE"""),45324)</f>
        <v>45324</v>
      </c>
      <c r="M1482" s="18">
        <f ca="1">IFERROR(__xludf.DUMMYFUNCTION("""COMPUTED_VALUE"""),45324)</f>
        <v>45324</v>
      </c>
      <c r="N1482" s="5" t="str">
        <f ca="1">IFERROR(__xludf.DUMMYFUNCTION("""COMPUTED_VALUE"""),"Duran Sanchez Nelson Fernando")</f>
        <v>Duran Sanchez Nelson Fernando</v>
      </c>
      <c r="O1482" s="2">
        <f ca="1">IFERROR(__xludf.DUMMYFUNCTION("""COMPUTED_VALUE"""),0.003333333)</f>
        <v>3.333333E-3</v>
      </c>
      <c r="P1482" s="5">
        <f ca="1">IFERROR(__xludf.DUMMYFUNCTION("""COMPUTED_VALUE"""),20009743)</f>
        <v>20009743</v>
      </c>
      <c r="Q1482" s="5" t="str">
        <f ca="1">IFERROR(__xludf.DUMMYFUNCTION("""COMPUTED_VALUE"""),"XqH6yI34Btk")</f>
        <v>XqH6yI34Btk</v>
      </c>
      <c r="R1482" s="5">
        <f ca="1">IFERROR(__xludf.DUMMYFUNCTION("""COMPUTED_VALUE"""),410)</f>
        <v>410</v>
      </c>
      <c r="S1482" s="62">
        <f ca="1">IFERROR(__xludf.DUMMYFUNCTION("""COMPUTED_VALUE"""),0.003333333)</f>
        <v>3.333333E-3</v>
      </c>
      <c r="T1482" s="63" t="str">
        <f ca="1">IFERROR(__xludf.DUMMYFUNCTION("""COMPUTED_VALUE"""),"https://storage.googleapis.com/glide-prod.appspot.com/uploads-v2/ly7o78grxPaC6KdgvbpS/pub/3aRdSog0vUtuqPE8AJKD.png")</f>
        <v>https://storage.googleapis.com/glide-prod.appspot.com/uploads-v2/ly7o78grxPaC6KdgvbpS/pub/3aRdSog0vUtuqPE8AJKD.png</v>
      </c>
      <c r="U1482" s="5" t="str">
        <f ca="1">IFERROR(__xludf.DUMMYFUNCTION("""COMPUTED_VALUE"""),"LINEA PET CSD - LINEA 10LLENADORA DE BOTELLAS PET 162 VALVULAS")</f>
        <v>LINEA PET CSD - LINEA 10LLENADORA DE BOTELLAS PET 162 VALVULAS</v>
      </c>
      <c r="V1482" s="5"/>
      <c r="W1482" s="5" t="b">
        <f ca="1">IFERROR(__xludf.DUMMYFUNCTION("""COMPUTED_VALUE"""),TRUE)</f>
        <v>1</v>
      </c>
      <c r="X1482" s="5" t="str">
        <f ca="1">IFERROR(__xludf.DUMMYFUNCTION("""COMPUTED_VALUE"""),"wmazorra@postobon.com.co,aprmttoyu@postobon.com.co,aprmyu@postobon.com.co,wmora@postobon.com.co,efzapata@postobon.com.co")</f>
        <v>wmazorra@postobon.com.co,aprmttoyu@postobon.com.co,aprmyu@postobon.com.co,wmora@postobon.com.co,efzapata@postobon.com.co</v>
      </c>
      <c r="Y1482" s="5" t="str">
        <f ca="1">IFERROR(__xludf.DUMMYFUNCTION("""COMPUTED_VALUE"""),"wmazorra@postobon.com.co")</f>
        <v>wmazorra@postobon.com.co</v>
      </c>
      <c r="Z1482" s="5" t="str">
        <f ca="1">IFERROR(__xludf.DUMMYFUNCTION("""COMPUTED_VALUE"""),"PQHkDzquTxqQ3ycwFgGm-Q")</f>
        <v>PQHkDzquTxqQ3ycwFgGm-Q</v>
      </c>
      <c r="AA1482" s="63" t="str">
        <f ca="1">IFERROR(__xludf.DUMMYFUNCTION("""COMPUTED_VALUE"""),"https://storage.googleapis.com/glide-prod.appspot.com/uploads-v2/ly7o78grxPaC6KdgvbpS/pub/zh5pJ3w7iy79ye3nOabU.heic")</f>
        <v>https://storage.googleapis.com/glide-prod.appspot.com/uploads-v2/ly7o78grxPaC6KdgvbpS/pub/zh5pJ3w7iy79ye3nOabU.heic</v>
      </c>
      <c r="AB1482" s="5"/>
      <c r="AC1482" s="5"/>
      <c r="AD1482" s="5">
        <f ca="1">IFERROR(__xludf.DUMMYFUNCTION("""COMPUTED_VALUE"""),30)</f>
        <v>30</v>
      </c>
      <c r="AE1482" s="5">
        <f ca="1">IFERROR(__xludf.DUMMYFUNCTION("""COMPUTED_VALUE"""),30)</f>
        <v>30</v>
      </c>
      <c r="AF1482" s="5" t="b">
        <f ca="1">IFERROR(__xludf.DUMMYFUNCTION("""COMPUTED_VALUE"""),FALSE)</f>
        <v>0</v>
      </c>
      <c r="AG1482" s="5" t="str">
        <f ca="1">IFERROR(__xludf.DUMMYFUNCTION("""COMPUTED_VALUE"""),"INSPECCIONES REALIZADAS")</f>
        <v>INSPECCIONES REALIZADAS</v>
      </c>
      <c r="AH1482" s="5"/>
    </row>
    <row r="1483" spans="1:34">
      <c r="A1483" s="5" t="str">
        <f ca="1">IFERROR(__xludf.DUMMYFUNCTION("""COMPUTED_VALUE"""),"LINEA PET CSD - LINEA 10")</f>
        <v>LINEA PET CSD - LINEA 10</v>
      </c>
      <c r="B1483" s="5">
        <f ca="1">IFERROR(__xludf.DUMMYFUNCTION("""COMPUTED_VALUE"""),519561)</f>
        <v>519561</v>
      </c>
      <c r="C1483" s="5" t="str">
        <f ca="1">IFERROR(__xludf.DUMMYFUNCTION("""COMPUTED_VALUE"""),"LLENADORA DE BOTELLAS PET 162 VALVULAS")</f>
        <v>LLENADORA DE BOTELLAS PET 162 VALVULAS</v>
      </c>
      <c r="D1483" s="5">
        <f ca="1">IFERROR(__xludf.DUMMYFUNCTION("""COMPUTED_VALUE"""),13247579)</f>
        <v>13247579</v>
      </c>
      <c r="E1483" s="5" t="str">
        <f ca="1">IFERROR(__xludf.DUMMYFUNCTION("""COMPUTED_VALUE"""),"INSPECCION SEMANAL LLENADORA DE BOTELLAS")</f>
        <v>INSPECCION SEMANAL LLENADORA DE BOTELLAS</v>
      </c>
      <c r="F1483" s="5" t="str">
        <f ca="1">IFERROR(__xludf.DUMMYFUNCTION("""COMPUTED_VALUE"""),"INSP CAMARA (TAPONADOR)")</f>
        <v>INSP CAMARA (TAPONADOR)</v>
      </c>
      <c r="G1483" s="5" t="b">
        <f ca="1">IFERROR(__xludf.DUMMYFUNCTION("""COMPUTED_VALUE"""),TRUE)</f>
        <v>1</v>
      </c>
      <c r="H1483" s="5"/>
      <c r="I1483" s="5"/>
      <c r="J1483" s="5">
        <f ca="1">IFERROR(__xludf.DUMMYFUNCTION("""COMPUTED_VALUE"""),13247579)</f>
        <v>13247579</v>
      </c>
      <c r="K1483" s="5"/>
      <c r="L1483" s="18">
        <f ca="1">IFERROR(__xludf.DUMMYFUNCTION("""COMPUTED_VALUE"""),45324)</f>
        <v>45324</v>
      </c>
      <c r="M1483" s="18">
        <f ca="1">IFERROR(__xludf.DUMMYFUNCTION("""COMPUTED_VALUE"""),45324)</f>
        <v>45324</v>
      </c>
      <c r="N1483" s="5" t="str">
        <f ca="1">IFERROR(__xludf.DUMMYFUNCTION("""COMPUTED_VALUE"""),"Duran Sanchez Nelson Fernando")</f>
        <v>Duran Sanchez Nelson Fernando</v>
      </c>
      <c r="O1483" s="2">
        <f ca="1">IFERROR(__xludf.DUMMYFUNCTION("""COMPUTED_VALUE"""),0.003333333)</f>
        <v>3.333333E-3</v>
      </c>
      <c r="P1483" s="5">
        <f ca="1">IFERROR(__xludf.DUMMYFUNCTION("""COMPUTED_VALUE"""),20009743)</f>
        <v>20009743</v>
      </c>
      <c r="Q1483" s="5" t="str">
        <f ca="1">IFERROR(__xludf.DUMMYFUNCTION("""COMPUTED_VALUE"""),"zb4ssKF7_iI")</f>
        <v>zb4ssKF7_iI</v>
      </c>
      <c r="R1483" s="5">
        <f ca="1">IFERROR(__xludf.DUMMYFUNCTION("""COMPUTED_VALUE"""),410)</f>
        <v>410</v>
      </c>
      <c r="S1483" s="62">
        <f ca="1">IFERROR(__xludf.DUMMYFUNCTION("""COMPUTED_VALUE"""),0.003333333)</f>
        <v>3.333333E-3</v>
      </c>
      <c r="T1483" s="63" t="str">
        <f ca="1">IFERROR(__xludf.DUMMYFUNCTION("""COMPUTED_VALUE"""),"https://storage.googleapis.com/glide-prod.appspot.com/uploads-v2/ly7o78grxPaC6KdgvbpS/pub/3aRdSog0vUtuqPE8AJKD.png")</f>
        <v>https://storage.googleapis.com/glide-prod.appspot.com/uploads-v2/ly7o78grxPaC6KdgvbpS/pub/3aRdSog0vUtuqPE8AJKD.png</v>
      </c>
      <c r="U1483" s="5" t="str">
        <f ca="1">IFERROR(__xludf.DUMMYFUNCTION("""COMPUTED_VALUE"""),"LINEA PET CSD - LINEA 10LLENADORA DE BOTELLAS PET 162 VALVULAS")</f>
        <v>LINEA PET CSD - LINEA 10LLENADORA DE BOTELLAS PET 162 VALVULAS</v>
      </c>
      <c r="V1483" s="5"/>
      <c r="W1483" s="5" t="b">
        <f ca="1">IFERROR(__xludf.DUMMYFUNCTION("""COMPUTED_VALUE"""),TRUE)</f>
        <v>1</v>
      </c>
      <c r="X1483" s="5" t="str">
        <f ca="1">IFERROR(__xludf.DUMMYFUNCTION("""COMPUTED_VALUE"""),"wmazorra@postobon.com.co,aprmttoyu@postobon.com.co,aprmyu@postobon.com.co,wmora@postobon.com.co,efzapata@postobon.com.co")</f>
        <v>wmazorra@postobon.com.co,aprmttoyu@postobon.com.co,aprmyu@postobon.com.co,wmora@postobon.com.co,efzapata@postobon.com.co</v>
      </c>
      <c r="Y1483" s="5" t="str">
        <f ca="1">IFERROR(__xludf.DUMMYFUNCTION("""COMPUTED_VALUE"""),"wmazorra@postobon.com.co")</f>
        <v>wmazorra@postobon.com.co</v>
      </c>
      <c r="Z1483" s="5" t="str">
        <f ca="1">IFERROR(__xludf.DUMMYFUNCTION("""COMPUTED_VALUE"""),"ffkDKsNmTcyFK8HsV.RSIw")</f>
        <v>ffkDKsNmTcyFK8HsV.RSIw</v>
      </c>
      <c r="AA1483" s="5"/>
      <c r="AB1483" s="5"/>
      <c r="AC1483" s="5"/>
      <c r="AD1483" s="5">
        <f ca="1">IFERROR(__xludf.DUMMYFUNCTION("""COMPUTED_VALUE"""),30)</f>
        <v>30</v>
      </c>
      <c r="AE1483" s="5">
        <f ca="1">IFERROR(__xludf.DUMMYFUNCTION("""COMPUTED_VALUE"""),30)</f>
        <v>30</v>
      </c>
      <c r="AF1483" s="5" t="b">
        <f ca="1">IFERROR(__xludf.DUMMYFUNCTION("""COMPUTED_VALUE"""),FALSE)</f>
        <v>0</v>
      </c>
      <c r="AG1483" s="5" t="str">
        <f ca="1">IFERROR(__xludf.DUMMYFUNCTION("""COMPUTED_VALUE"""),"INSPECCIONES REALIZADAS")</f>
        <v>INSPECCIONES REALIZADAS</v>
      </c>
      <c r="AH1483" s="5"/>
    </row>
    <row r="1484" spans="1:34">
      <c r="A1484" s="5" t="str">
        <f ca="1">IFERROR(__xludf.DUMMYFUNCTION("""COMPUTED_VALUE"""),"LINEA PET CSD - LINEA 10")</f>
        <v>LINEA PET CSD - LINEA 10</v>
      </c>
      <c r="B1484" s="5">
        <f ca="1">IFERROR(__xludf.DUMMYFUNCTION("""COMPUTED_VALUE"""),519561)</f>
        <v>519561</v>
      </c>
      <c r="C1484" s="5" t="str">
        <f ca="1">IFERROR(__xludf.DUMMYFUNCTION("""COMPUTED_VALUE"""),"LLENADORA DE BOTELLAS PET 162 VALVULAS")</f>
        <v>LLENADORA DE BOTELLAS PET 162 VALVULAS</v>
      </c>
      <c r="D1484" s="5">
        <f ca="1">IFERROR(__xludf.DUMMYFUNCTION("""COMPUTED_VALUE"""),13247579)</f>
        <v>13247579</v>
      </c>
      <c r="E1484" s="5" t="str">
        <f ca="1">IFERROR(__xludf.DUMMYFUNCTION("""COMPUTED_VALUE"""),"INSPECCION SEMANAL LLENADORA DE BOTELLAS")</f>
        <v>INSPECCION SEMANAL LLENADORA DE BOTELLAS</v>
      </c>
      <c r="F1484" s="5" t="str">
        <f ca="1">IFERROR(__xludf.DUMMYFUNCTION("""COMPUTED_VALUE"""),"INSP ELEVADOR DE TAPAS (TAPONADOR)")</f>
        <v>INSP ELEVADOR DE TAPAS (TAPONADOR)</v>
      </c>
      <c r="G1484" s="5" t="b">
        <f ca="1">IFERROR(__xludf.DUMMYFUNCTION("""COMPUTED_VALUE"""),TRUE)</f>
        <v>1</v>
      </c>
      <c r="H1484" s="5"/>
      <c r="I1484" s="5"/>
      <c r="J1484" s="5">
        <f ca="1">IFERROR(__xludf.DUMMYFUNCTION("""COMPUTED_VALUE"""),13247579)</f>
        <v>13247579</v>
      </c>
      <c r="K1484" s="5"/>
      <c r="L1484" s="18">
        <f ca="1">IFERROR(__xludf.DUMMYFUNCTION("""COMPUTED_VALUE"""),45324)</f>
        <v>45324</v>
      </c>
      <c r="M1484" s="18">
        <f ca="1">IFERROR(__xludf.DUMMYFUNCTION("""COMPUTED_VALUE"""),45324)</f>
        <v>45324</v>
      </c>
      <c r="N1484" s="5" t="str">
        <f ca="1">IFERROR(__xludf.DUMMYFUNCTION("""COMPUTED_VALUE"""),"Duran Sanchez Nelson Fernando")</f>
        <v>Duran Sanchez Nelson Fernando</v>
      </c>
      <c r="O1484" s="2">
        <f ca="1">IFERROR(__xludf.DUMMYFUNCTION("""COMPUTED_VALUE"""),0.003333333)</f>
        <v>3.333333E-3</v>
      </c>
      <c r="P1484" s="5">
        <f ca="1">IFERROR(__xludf.DUMMYFUNCTION("""COMPUTED_VALUE"""),20009743)</f>
        <v>20009743</v>
      </c>
      <c r="Q1484" s="5" t="str">
        <f ca="1">IFERROR(__xludf.DUMMYFUNCTION("""COMPUTED_VALUE"""),"hb-6Mz90hKM")</f>
        <v>hb-6Mz90hKM</v>
      </c>
      <c r="R1484" s="5">
        <f ca="1">IFERROR(__xludf.DUMMYFUNCTION("""COMPUTED_VALUE"""),410)</f>
        <v>410</v>
      </c>
      <c r="S1484" s="62">
        <f ca="1">IFERROR(__xludf.DUMMYFUNCTION("""COMPUTED_VALUE"""),0.003333333)</f>
        <v>3.333333E-3</v>
      </c>
      <c r="T1484" s="63" t="str">
        <f ca="1">IFERROR(__xludf.DUMMYFUNCTION("""COMPUTED_VALUE"""),"https://storage.googleapis.com/glide-prod.appspot.com/uploads-v2/ly7o78grxPaC6KdgvbpS/pub/3aRdSog0vUtuqPE8AJKD.png")</f>
        <v>https://storage.googleapis.com/glide-prod.appspot.com/uploads-v2/ly7o78grxPaC6KdgvbpS/pub/3aRdSog0vUtuqPE8AJKD.png</v>
      </c>
      <c r="U1484" s="5" t="str">
        <f ca="1">IFERROR(__xludf.DUMMYFUNCTION("""COMPUTED_VALUE"""),"LINEA PET CSD - LINEA 10LLENADORA DE BOTELLAS PET 162 VALVULAS")</f>
        <v>LINEA PET CSD - LINEA 10LLENADORA DE BOTELLAS PET 162 VALVULAS</v>
      </c>
      <c r="V1484" s="5"/>
      <c r="W1484" s="5" t="b">
        <f ca="1">IFERROR(__xludf.DUMMYFUNCTION("""COMPUTED_VALUE"""),TRUE)</f>
        <v>1</v>
      </c>
      <c r="X1484" s="5" t="str">
        <f ca="1">IFERROR(__xludf.DUMMYFUNCTION("""COMPUTED_VALUE"""),"wmazorra@postobon.com.co,aprmttoyu@postobon.com.co,aprmyu@postobon.com.co,wmora@postobon.com.co,efzapata@postobon.com.co")</f>
        <v>wmazorra@postobon.com.co,aprmttoyu@postobon.com.co,aprmyu@postobon.com.co,wmora@postobon.com.co,efzapata@postobon.com.co</v>
      </c>
      <c r="Y1484" s="5" t="str">
        <f ca="1">IFERROR(__xludf.DUMMYFUNCTION("""COMPUTED_VALUE"""),"wmazorra@postobon.com.co")</f>
        <v>wmazorra@postobon.com.co</v>
      </c>
      <c r="Z1484" s="5" t="str">
        <f ca="1">IFERROR(__xludf.DUMMYFUNCTION("""COMPUTED_VALUE"""),"Cpqx7KjQSbqnYpalMxN6wQ")</f>
        <v>Cpqx7KjQSbqnYpalMxN6wQ</v>
      </c>
      <c r="AA1484" s="5"/>
      <c r="AB1484" s="5"/>
      <c r="AC1484" s="5"/>
      <c r="AD1484" s="5">
        <f ca="1">IFERROR(__xludf.DUMMYFUNCTION("""COMPUTED_VALUE"""),30)</f>
        <v>30</v>
      </c>
      <c r="AE1484" s="5">
        <f ca="1">IFERROR(__xludf.DUMMYFUNCTION("""COMPUTED_VALUE"""),30)</f>
        <v>30</v>
      </c>
      <c r="AF1484" s="5" t="b">
        <f ca="1">IFERROR(__xludf.DUMMYFUNCTION("""COMPUTED_VALUE"""),FALSE)</f>
        <v>0</v>
      </c>
      <c r="AG1484" s="5" t="str">
        <f ca="1">IFERROR(__xludf.DUMMYFUNCTION("""COMPUTED_VALUE"""),"INSPECCIONES REALIZADAS")</f>
        <v>INSPECCIONES REALIZADAS</v>
      </c>
      <c r="AH1484" s="5"/>
    </row>
    <row r="1485" spans="1:34">
      <c r="A1485" s="5" t="str">
        <f ca="1">IFERROR(__xludf.DUMMYFUNCTION("""COMPUTED_VALUE"""),"EQUIPOS PARA SERVICIOS INDUSTRIALES")</f>
        <v>EQUIPOS PARA SERVICIOS INDUSTRIALES</v>
      </c>
      <c r="B1485" s="5">
        <f ca="1">IFERROR(__xludf.DUMMYFUNCTION("""COMPUTED_VALUE"""),709930)</f>
        <v>709930</v>
      </c>
      <c r="C1485" s="5" t="str">
        <f ca="1">IFERROR(__xludf.DUMMYFUNCTION("""COMPUTED_VALUE"""),"TANQUE Y BASCULA DE CO2 COD")</f>
        <v>TANQUE Y BASCULA DE CO2 COD</v>
      </c>
      <c r="D1485" s="5">
        <f ca="1">IFERROR(__xludf.DUMMYFUNCTION("""COMPUTED_VALUE"""),13247530)</f>
        <v>13247530</v>
      </c>
      <c r="E1485" s="5" t="str">
        <f ca="1">IFERROR(__xludf.DUMMYFUNCTION("""COMPUTED_VALUE"""),"INSPECCION SEMANAL TANQUE Y BASCULA DE C")</f>
        <v>INSPECCION SEMANAL TANQUE Y BASCULA DE C</v>
      </c>
      <c r="F1485" s="5" t="str">
        <f ca="1">IFERROR(__xludf.DUMMYFUNCTION("""COMPUTED_VALUE"""),"PRAXAIR: Revise auditivamente presencia de fugas o señales de mal funcionamiento en el tanque de almacenamiento y el evaporador (D)")</f>
        <v>PRAXAIR: Revise auditivamente presencia de fugas o señales de mal funcionamiento en el tanque de almacenamiento y el evaporador (D)</v>
      </c>
      <c r="G1485" s="5" t="b">
        <f ca="1">IFERROR(__xludf.DUMMYFUNCTION("""COMPUTED_VALUE"""),TRUE)</f>
        <v>1</v>
      </c>
      <c r="H1485" s="5"/>
      <c r="I1485" s="5"/>
      <c r="J1485" s="5">
        <f ca="1">IFERROR(__xludf.DUMMYFUNCTION("""COMPUTED_VALUE"""),13247530)</f>
        <v>13247530</v>
      </c>
      <c r="K1485" s="5"/>
      <c r="L1485" s="18">
        <f ca="1">IFERROR(__xludf.DUMMYFUNCTION("""COMPUTED_VALUE"""),45324)</f>
        <v>45324</v>
      </c>
      <c r="M1485" s="18">
        <f ca="1">IFERROR(__xludf.DUMMYFUNCTION("""COMPUTED_VALUE"""),45324)</f>
        <v>45324</v>
      </c>
      <c r="N1485" s="5" t="str">
        <f ca="1">IFERROR(__xludf.DUMMYFUNCTION("""COMPUTED_VALUE"""),"Henao William")</f>
        <v>Henao William</v>
      </c>
      <c r="O1485" s="2">
        <f ca="1">IFERROR(__xludf.DUMMYFUNCTION("""COMPUTED_VALUE"""),0.009090909)</f>
        <v>9.0909089999999994E-3</v>
      </c>
      <c r="P1485" s="5">
        <f ca="1">IFERROR(__xludf.DUMMYFUNCTION("""COMPUTED_VALUE"""),20009827)</f>
        <v>20009827</v>
      </c>
      <c r="Q1485" s="5" t="str">
        <f ca="1">IFERROR(__xludf.DUMMYFUNCTION("""COMPUTED_VALUE"""),"bhvb9hY43WM")</f>
        <v>bhvb9hY43WM</v>
      </c>
      <c r="R1485" s="5">
        <f ca="1">IFERROR(__xludf.DUMMYFUNCTION("""COMPUTED_VALUE"""),410)</f>
        <v>410</v>
      </c>
      <c r="S1485" s="62">
        <f ca="1">IFERROR(__xludf.DUMMYFUNCTION("""COMPUTED_VALUE"""),0.009090909)</f>
        <v>9.0909089999999994E-3</v>
      </c>
      <c r="T1485" s="63" t="str">
        <f ca="1">IFERROR(__xludf.DUMMYFUNCTION("""COMPUTED_VALUE"""),"https://storage.googleapis.com/glide-prod.appspot.com/uploads-v2/ly7o78grxPaC6KdgvbpS/pub/3aRdSog0vUtuqPE8AJKD.png")</f>
        <v>https://storage.googleapis.com/glide-prod.appspot.com/uploads-v2/ly7o78grxPaC6KdgvbpS/pub/3aRdSog0vUtuqPE8AJKD.png</v>
      </c>
      <c r="U1485" s="5" t="str">
        <f ca="1">IFERROR(__xludf.DUMMYFUNCTION("""COMPUTED_VALUE"""),"EQUIPOS PARA SERVICIOS INDUSTRIALESTANQUE Y BASCULA DE CO2 COD")</f>
        <v>EQUIPOS PARA SERVICIOS INDUSTRIALESTANQUE Y BASCULA DE CO2 COD</v>
      </c>
      <c r="V1485" s="5"/>
      <c r="W1485" s="5" t="b">
        <f ca="1">IFERROR(__xludf.DUMMYFUNCTION("""COMPUTED_VALUE"""),TRUE)</f>
        <v>1</v>
      </c>
      <c r="X1485" s="5" t="str">
        <f ca="1">IFERROR(__xludf.DUMMYFUNCTION("""COMPUTED_VALUE"""),"wmazorra@postobon.com.co,aprmttoyu@postobon.com.co,aprmyu@postobon.com.co,wmora@postobon.com.co,efzapata@postobon.com.co")</f>
        <v>wmazorra@postobon.com.co,aprmttoyu@postobon.com.co,aprmyu@postobon.com.co,wmora@postobon.com.co,efzapata@postobon.com.co</v>
      </c>
      <c r="Y1485" s="5" t="str">
        <f ca="1">IFERROR(__xludf.DUMMYFUNCTION("""COMPUTED_VALUE"""),"wmazorra@postobon.com.co")</f>
        <v>wmazorra@postobon.com.co</v>
      </c>
      <c r="Z1485" s="5" t="str">
        <f ca="1">IFERROR(__xludf.DUMMYFUNCTION("""COMPUTED_VALUE"""),"YdnpADBZQf6lfOlyUauZ8Q")</f>
        <v>YdnpADBZQf6lfOlyUauZ8Q</v>
      </c>
      <c r="AA1485" s="5"/>
      <c r="AB1485" s="5"/>
      <c r="AC1485" s="5"/>
      <c r="AD1485" s="5">
        <f ca="1">IFERROR(__xludf.DUMMYFUNCTION("""COMPUTED_VALUE"""),78)</f>
        <v>78</v>
      </c>
      <c r="AE1485" s="5">
        <f ca="1">IFERROR(__xludf.DUMMYFUNCTION("""COMPUTED_VALUE"""),77)</f>
        <v>77</v>
      </c>
      <c r="AF1485" s="5" t="b">
        <f ca="1">IFERROR(__xludf.DUMMYFUNCTION("""COMPUTED_VALUE"""),FALSE)</f>
        <v>0</v>
      </c>
      <c r="AG1485" s="5" t="str">
        <f ca="1">IFERROR(__xludf.DUMMYFUNCTION("""COMPUTED_VALUE"""),"INSPECCIONES REALIZADAS")</f>
        <v>INSPECCIONES REALIZADAS</v>
      </c>
      <c r="AH1485" s="5"/>
    </row>
    <row r="1486" spans="1:34">
      <c r="A1486" s="5" t="str">
        <f ca="1">IFERROR(__xludf.DUMMYFUNCTION("""COMPUTED_VALUE"""),"EQUIPOS PARA SERVICIOS INDUSTRIALES")</f>
        <v>EQUIPOS PARA SERVICIOS INDUSTRIALES</v>
      </c>
      <c r="B1486" s="5">
        <f ca="1">IFERROR(__xludf.DUMMYFUNCTION("""COMPUTED_VALUE"""),709930)</f>
        <v>709930</v>
      </c>
      <c r="C1486" s="5" t="str">
        <f ca="1">IFERROR(__xludf.DUMMYFUNCTION("""COMPUTED_VALUE"""),"TANQUE Y BASCULA DE CO2 COD")</f>
        <v>TANQUE Y BASCULA DE CO2 COD</v>
      </c>
      <c r="D1486" s="5">
        <f ca="1">IFERROR(__xludf.DUMMYFUNCTION("""COMPUTED_VALUE"""),13247530)</f>
        <v>13247530</v>
      </c>
      <c r="E1486" s="5" t="str">
        <f ca="1">IFERROR(__xludf.DUMMYFUNCTION("""COMPUTED_VALUE"""),"INSPECCION SEMANAL TANQUE Y BASCULA DE C")</f>
        <v>INSPECCION SEMANAL TANQUE Y BASCULA DE C</v>
      </c>
      <c r="F1486" s="5" t="str">
        <f ca="1">IFERROR(__xludf.DUMMYFUNCTION("""COMPUTED_VALUE"""),"PRAXAIR:Inspeccione si hay acumulación de hielo en las tuberías entre el tanque de almacenamiento y el evaporador. (S)")</f>
        <v>PRAXAIR:Inspeccione si hay acumulación de hielo en las tuberías entre el tanque de almacenamiento y el evaporador. (S)</v>
      </c>
      <c r="G1486" s="5" t="b">
        <f ca="1">IFERROR(__xludf.DUMMYFUNCTION("""COMPUTED_VALUE"""),TRUE)</f>
        <v>1</v>
      </c>
      <c r="H1486" s="5"/>
      <c r="I1486" s="5"/>
      <c r="J1486" s="5">
        <f ca="1">IFERROR(__xludf.DUMMYFUNCTION("""COMPUTED_VALUE"""),13247530)</f>
        <v>13247530</v>
      </c>
      <c r="K1486" s="5"/>
      <c r="L1486" s="18">
        <f ca="1">IFERROR(__xludf.DUMMYFUNCTION("""COMPUTED_VALUE"""),45324)</f>
        <v>45324</v>
      </c>
      <c r="M1486" s="18">
        <f ca="1">IFERROR(__xludf.DUMMYFUNCTION("""COMPUTED_VALUE"""),45324)</f>
        <v>45324</v>
      </c>
      <c r="N1486" s="5" t="str">
        <f ca="1">IFERROR(__xludf.DUMMYFUNCTION("""COMPUTED_VALUE"""),"Henao William")</f>
        <v>Henao William</v>
      </c>
      <c r="O1486" s="2">
        <f ca="1">IFERROR(__xludf.DUMMYFUNCTION("""COMPUTED_VALUE"""),0.009090909)</f>
        <v>9.0909089999999994E-3</v>
      </c>
      <c r="P1486" s="5">
        <f ca="1">IFERROR(__xludf.DUMMYFUNCTION("""COMPUTED_VALUE"""),20009827)</f>
        <v>20009827</v>
      </c>
      <c r="Q1486" s="5" t="str">
        <f ca="1">IFERROR(__xludf.DUMMYFUNCTION("""COMPUTED_VALUE"""),"m7XKyOF9nmE")</f>
        <v>m7XKyOF9nmE</v>
      </c>
      <c r="R1486" s="5">
        <f ca="1">IFERROR(__xludf.DUMMYFUNCTION("""COMPUTED_VALUE"""),410)</f>
        <v>410</v>
      </c>
      <c r="S1486" s="62">
        <f ca="1">IFERROR(__xludf.DUMMYFUNCTION("""COMPUTED_VALUE"""),0.009090909)</f>
        <v>9.0909089999999994E-3</v>
      </c>
      <c r="T1486" s="63" t="str">
        <f ca="1">IFERROR(__xludf.DUMMYFUNCTION("""COMPUTED_VALUE"""),"https://storage.googleapis.com/glide-prod.appspot.com/uploads-v2/ly7o78grxPaC6KdgvbpS/pub/3aRdSog0vUtuqPE8AJKD.png")</f>
        <v>https://storage.googleapis.com/glide-prod.appspot.com/uploads-v2/ly7o78grxPaC6KdgvbpS/pub/3aRdSog0vUtuqPE8AJKD.png</v>
      </c>
      <c r="U1486" s="5" t="str">
        <f ca="1">IFERROR(__xludf.DUMMYFUNCTION("""COMPUTED_VALUE"""),"EQUIPOS PARA SERVICIOS INDUSTRIALESTANQUE Y BASCULA DE CO2 COD")</f>
        <v>EQUIPOS PARA SERVICIOS INDUSTRIALESTANQUE Y BASCULA DE CO2 COD</v>
      </c>
      <c r="V1486" s="5"/>
      <c r="W1486" s="5" t="b">
        <f ca="1">IFERROR(__xludf.DUMMYFUNCTION("""COMPUTED_VALUE"""),TRUE)</f>
        <v>1</v>
      </c>
      <c r="X1486" s="5" t="str">
        <f ca="1">IFERROR(__xludf.DUMMYFUNCTION("""COMPUTED_VALUE"""),"wmazorra@postobon.com.co,aprmttoyu@postobon.com.co,aprmyu@postobon.com.co,wmora@postobon.com.co,efzapata@postobon.com.co")</f>
        <v>wmazorra@postobon.com.co,aprmttoyu@postobon.com.co,aprmyu@postobon.com.co,wmora@postobon.com.co,efzapata@postobon.com.co</v>
      </c>
      <c r="Y1486" s="5" t="str">
        <f ca="1">IFERROR(__xludf.DUMMYFUNCTION("""COMPUTED_VALUE"""),"wmazorra@postobon.com.co")</f>
        <v>wmazorra@postobon.com.co</v>
      </c>
      <c r="Z1486" s="5" t="str">
        <f ca="1">IFERROR(__xludf.DUMMYFUNCTION("""COMPUTED_VALUE"""),"cDXW6Zy.Ra-B.Uri.TV2HA")</f>
        <v>cDXW6Zy.Ra-B.Uri.TV2HA</v>
      </c>
      <c r="AA1486" s="5"/>
      <c r="AB1486" s="5"/>
      <c r="AC1486" s="5"/>
      <c r="AD1486" s="5">
        <f ca="1">IFERROR(__xludf.DUMMYFUNCTION("""COMPUTED_VALUE"""),78)</f>
        <v>78</v>
      </c>
      <c r="AE1486" s="5">
        <f ca="1">IFERROR(__xludf.DUMMYFUNCTION("""COMPUTED_VALUE"""),77)</f>
        <v>77</v>
      </c>
      <c r="AF1486" s="5" t="b">
        <f ca="1">IFERROR(__xludf.DUMMYFUNCTION("""COMPUTED_VALUE"""),FALSE)</f>
        <v>0</v>
      </c>
      <c r="AG1486" s="5" t="str">
        <f ca="1">IFERROR(__xludf.DUMMYFUNCTION("""COMPUTED_VALUE"""),"INSPECCIONES REALIZADAS")</f>
        <v>INSPECCIONES REALIZADAS</v>
      </c>
      <c r="AH1486" s="5"/>
    </row>
    <row r="1487" spans="1:34">
      <c r="A1487" s="5" t="str">
        <f ca="1">IFERROR(__xludf.DUMMYFUNCTION("""COMPUTED_VALUE"""),"EQUIPOS PARA SERVICIOS INDUSTRIALES")</f>
        <v>EQUIPOS PARA SERVICIOS INDUSTRIALES</v>
      </c>
      <c r="B1487" s="5">
        <f ca="1">IFERROR(__xludf.DUMMYFUNCTION("""COMPUTED_VALUE"""),709930)</f>
        <v>709930</v>
      </c>
      <c r="C1487" s="5" t="str">
        <f ca="1">IFERROR(__xludf.DUMMYFUNCTION("""COMPUTED_VALUE"""),"TANQUE Y BASCULA DE CO2 COD")</f>
        <v>TANQUE Y BASCULA DE CO2 COD</v>
      </c>
      <c r="D1487" s="5">
        <f ca="1">IFERROR(__xludf.DUMMYFUNCTION("""COMPUTED_VALUE"""),13247530)</f>
        <v>13247530</v>
      </c>
      <c r="E1487" s="5" t="str">
        <f ca="1">IFERROR(__xludf.DUMMYFUNCTION("""COMPUTED_VALUE"""),"INSPECCION SEMANAL TANQUE Y BASCULA DE C")</f>
        <v>INSPECCION SEMANAL TANQUE Y BASCULA DE C</v>
      </c>
      <c r="F1487" s="5" t="str">
        <f ca="1">IFERROR(__xludf.DUMMYFUNCTION("""COMPUTED_VALUE"""),"PRAXAIR:Observe las válvulas de alivio de presión del tanque de almacenamiento. Descarte la presencia de fugas (S)")</f>
        <v>PRAXAIR:Observe las válvulas de alivio de presión del tanque de almacenamiento. Descarte la presencia de fugas (S)</v>
      </c>
      <c r="G1487" s="5" t="b">
        <f ca="1">IFERROR(__xludf.DUMMYFUNCTION("""COMPUTED_VALUE"""),TRUE)</f>
        <v>1</v>
      </c>
      <c r="H1487" s="5"/>
      <c r="I1487" s="5"/>
      <c r="J1487" s="5">
        <f ca="1">IFERROR(__xludf.DUMMYFUNCTION("""COMPUTED_VALUE"""),13247530)</f>
        <v>13247530</v>
      </c>
      <c r="K1487" s="5"/>
      <c r="L1487" s="18">
        <f ca="1">IFERROR(__xludf.DUMMYFUNCTION("""COMPUTED_VALUE"""),45324)</f>
        <v>45324</v>
      </c>
      <c r="M1487" s="18">
        <f ca="1">IFERROR(__xludf.DUMMYFUNCTION("""COMPUTED_VALUE"""),45324)</f>
        <v>45324</v>
      </c>
      <c r="N1487" s="5" t="str">
        <f ca="1">IFERROR(__xludf.DUMMYFUNCTION("""COMPUTED_VALUE"""),"Henao William")</f>
        <v>Henao William</v>
      </c>
      <c r="O1487" s="2">
        <f ca="1">IFERROR(__xludf.DUMMYFUNCTION("""COMPUTED_VALUE"""),0.009090909)</f>
        <v>9.0909089999999994E-3</v>
      </c>
      <c r="P1487" s="5">
        <f ca="1">IFERROR(__xludf.DUMMYFUNCTION("""COMPUTED_VALUE"""),20009827)</f>
        <v>20009827</v>
      </c>
      <c r="Q1487" s="5" t="str">
        <f ca="1">IFERROR(__xludf.DUMMYFUNCTION("""COMPUTED_VALUE"""),"vDDsm05uCTk")</f>
        <v>vDDsm05uCTk</v>
      </c>
      <c r="R1487" s="5">
        <f ca="1">IFERROR(__xludf.DUMMYFUNCTION("""COMPUTED_VALUE"""),410)</f>
        <v>410</v>
      </c>
      <c r="S1487" s="62">
        <f ca="1">IFERROR(__xludf.DUMMYFUNCTION("""COMPUTED_VALUE"""),0.009090909)</f>
        <v>9.0909089999999994E-3</v>
      </c>
      <c r="T1487" s="63" t="str">
        <f ca="1">IFERROR(__xludf.DUMMYFUNCTION("""COMPUTED_VALUE"""),"https://storage.googleapis.com/glide-prod.appspot.com/uploads-v2/ly7o78grxPaC6KdgvbpS/pub/3aRdSog0vUtuqPE8AJKD.png")</f>
        <v>https://storage.googleapis.com/glide-prod.appspot.com/uploads-v2/ly7o78grxPaC6KdgvbpS/pub/3aRdSog0vUtuqPE8AJKD.png</v>
      </c>
      <c r="U1487" s="5" t="str">
        <f ca="1">IFERROR(__xludf.DUMMYFUNCTION("""COMPUTED_VALUE"""),"EQUIPOS PARA SERVICIOS INDUSTRIALESTANQUE Y BASCULA DE CO2 COD")</f>
        <v>EQUIPOS PARA SERVICIOS INDUSTRIALESTANQUE Y BASCULA DE CO2 COD</v>
      </c>
      <c r="V1487" s="5"/>
      <c r="W1487" s="5" t="b">
        <f ca="1">IFERROR(__xludf.DUMMYFUNCTION("""COMPUTED_VALUE"""),TRUE)</f>
        <v>1</v>
      </c>
      <c r="X1487" s="5" t="str">
        <f ca="1">IFERROR(__xludf.DUMMYFUNCTION("""COMPUTED_VALUE"""),"wmazorra@postobon.com.co,aprmttoyu@postobon.com.co,aprmyu@postobon.com.co,wmora@postobon.com.co,efzapata@postobon.com.co")</f>
        <v>wmazorra@postobon.com.co,aprmttoyu@postobon.com.co,aprmyu@postobon.com.co,wmora@postobon.com.co,efzapata@postobon.com.co</v>
      </c>
      <c r="Y1487" s="5" t="str">
        <f ca="1">IFERROR(__xludf.DUMMYFUNCTION("""COMPUTED_VALUE"""),"wmazorra@postobon.com.co")</f>
        <v>wmazorra@postobon.com.co</v>
      </c>
      <c r="Z1487" s="5" t="str">
        <f ca="1">IFERROR(__xludf.DUMMYFUNCTION("""COMPUTED_VALUE"""),"PuK7qqozTrCFZGrIw9TGFw")</f>
        <v>PuK7qqozTrCFZGrIw9TGFw</v>
      </c>
      <c r="AA1487" s="5"/>
      <c r="AB1487" s="5"/>
      <c r="AC1487" s="5"/>
      <c r="AD1487" s="5">
        <f ca="1">IFERROR(__xludf.DUMMYFUNCTION("""COMPUTED_VALUE"""),78)</f>
        <v>78</v>
      </c>
      <c r="AE1487" s="5">
        <f ca="1">IFERROR(__xludf.DUMMYFUNCTION("""COMPUTED_VALUE"""),77)</f>
        <v>77</v>
      </c>
      <c r="AF1487" s="5" t="b">
        <f ca="1">IFERROR(__xludf.DUMMYFUNCTION("""COMPUTED_VALUE"""),FALSE)</f>
        <v>0</v>
      </c>
      <c r="AG1487" s="5" t="str">
        <f ca="1">IFERROR(__xludf.DUMMYFUNCTION("""COMPUTED_VALUE"""),"INSPECCIONES REALIZADAS")</f>
        <v>INSPECCIONES REALIZADAS</v>
      </c>
      <c r="AH1487" s="5"/>
    </row>
    <row r="1488" spans="1:34">
      <c r="A1488" s="5" t="str">
        <f ca="1">IFERROR(__xludf.DUMMYFUNCTION("""COMPUTED_VALUE"""),"EQUIPOS PARA SERVICIOS INDUSTRIALES")</f>
        <v>EQUIPOS PARA SERVICIOS INDUSTRIALES</v>
      </c>
      <c r="B1488" s="5">
        <f ca="1">IFERROR(__xludf.DUMMYFUNCTION("""COMPUTED_VALUE"""),709930)</f>
        <v>709930</v>
      </c>
      <c r="C1488" s="5" t="str">
        <f ca="1">IFERROR(__xludf.DUMMYFUNCTION("""COMPUTED_VALUE"""),"TANQUE Y BASCULA DE CO2 COD")</f>
        <v>TANQUE Y BASCULA DE CO2 COD</v>
      </c>
      <c r="D1488" s="5">
        <f ca="1">IFERROR(__xludf.DUMMYFUNCTION("""COMPUTED_VALUE"""),13247530)</f>
        <v>13247530</v>
      </c>
      <c r="E1488" s="5" t="str">
        <f ca="1">IFERROR(__xludf.DUMMYFUNCTION("""COMPUTED_VALUE"""),"INSPECCION SEMANAL TANQUE Y BASCULA DE C")</f>
        <v>INSPECCION SEMANAL TANQUE Y BASCULA DE C</v>
      </c>
      <c r="F1488" s="5" t="str">
        <f ca="1">IFERROR(__xludf.DUMMYFUNCTION("""COMPUTED_VALUE"""),"PRAXAIR:Verifique la presión real en el tanque de almacenamiento (S)")</f>
        <v>PRAXAIR:Verifique la presión real en el tanque de almacenamiento (S)</v>
      </c>
      <c r="G1488" s="5" t="b">
        <f ca="1">IFERROR(__xludf.DUMMYFUNCTION("""COMPUTED_VALUE"""),TRUE)</f>
        <v>1</v>
      </c>
      <c r="H1488" s="5"/>
      <c r="I1488" s="5"/>
      <c r="J1488" s="5">
        <f ca="1">IFERROR(__xludf.DUMMYFUNCTION("""COMPUTED_VALUE"""),13247530)</f>
        <v>13247530</v>
      </c>
      <c r="K1488" s="5"/>
      <c r="L1488" s="18">
        <f ca="1">IFERROR(__xludf.DUMMYFUNCTION("""COMPUTED_VALUE"""),45324)</f>
        <v>45324</v>
      </c>
      <c r="M1488" s="18">
        <f ca="1">IFERROR(__xludf.DUMMYFUNCTION("""COMPUTED_VALUE"""),45324)</f>
        <v>45324</v>
      </c>
      <c r="N1488" s="5" t="str">
        <f ca="1">IFERROR(__xludf.DUMMYFUNCTION("""COMPUTED_VALUE"""),"Henao William")</f>
        <v>Henao William</v>
      </c>
      <c r="O1488" s="2">
        <f ca="1">IFERROR(__xludf.DUMMYFUNCTION("""COMPUTED_VALUE"""),0.009090909)</f>
        <v>9.0909089999999994E-3</v>
      </c>
      <c r="P1488" s="5">
        <f ca="1">IFERROR(__xludf.DUMMYFUNCTION("""COMPUTED_VALUE"""),20009827)</f>
        <v>20009827</v>
      </c>
      <c r="Q1488" s="5" t="str">
        <f ca="1">IFERROR(__xludf.DUMMYFUNCTION("""COMPUTED_VALUE"""),"QleBILjGwzQ")</f>
        <v>QleBILjGwzQ</v>
      </c>
      <c r="R1488" s="5">
        <f ca="1">IFERROR(__xludf.DUMMYFUNCTION("""COMPUTED_VALUE"""),410)</f>
        <v>410</v>
      </c>
      <c r="S1488" s="62">
        <f ca="1">IFERROR(__xludf.DUMMYFUNCTION("""COMPUTED_VALUE"""),0.009090909)</f>
        <v>9.0909089999999994E-3</v>
      </c>
      <c r="T1488" s="63" t="str">
        <f ca="1">IFERROR(__xludf.DUMMYFUNCTION("""COMPUTED_VALUE"""),"https://storage.googleapis.com/glide-prod.appspot.com/uploads-v2/ly7o78grxPaC6KdgvbpS/pub/3aRdSog0vUtuqPE8AJKD.png")</f>
        <v>https://storage.googleapis.com/glide-prod.appspot.com/uploads-v2/ly7o78grxPaC6KdgvbpS/pub/3aRdSog0vUtuqPE8AJKD.png</v>
      </c>
      <c r="U1488" s="5" t="str">
        <f ca="1">IFERROR(__xludf.DUMMYFUNCTION("""COMPUTED_VALUE"""),"EQUIPOS PARA SERVICIOS INDUSTRIALESTANQUE Y BASCULA DE CO2 COD")</f>
        <v>EQUIPOS PARA SERVICIOS INDUSTRIALESTANQUE Y BASCULA DE CO2 COD</v>
      </c>
      <c r="V1488" s="5"/>
      <c r="W1488" s="5" t="b">
        <f ca="1">IFERROR(__xludf.DUMMYFUNCTION("""COMPUTED_VALUE"""),TRUE)</f>
        <v>1</v>
      </c>
      <c r="X1488" s="5" t="str">
        <f ca="1">IFERROR(__xludf.DUMMYFUNCTION("""COMPUTED_VALUE"""),"wmazorra@postobon.com.co,aprmttoyu@postobon.com.co,aprmyu@postobon.com.co,wmora@postobon.com.co,efzapata@postobon.com.co")</f>
        <v>wmazorra@postobon.com.co,aprmttoyu@postobon.com.co,aprmyu@postobon.com.co,wmora@postobon.com.co,efzapata@postobon.com.co</v>
      </c>
      <c r="Y1488" s="5" t="str">
        <f ca="1">IFERROR(__xludf.DUMMYFUNCTION("""COMPUTED_VALUE"""),"wmazorra@postobon.com.co")</f>
        <v>wmazorra@postobon.com.co</v>
      </c>
      <c r="Z1488" s="5" t="str">
        <f ca="1">IFERROR(__xludf.DUMMYFUNCTION("""COMPUTED_VALUE"""),"WNAVZJZ8Tu2lgm2-sw6IwQ")</f>
        <v>WNAVZJZ8Tu2lgm2-sw6IwQ</v>
      </c>
      <c r="AA1488" s="5"/>
      <c r="AB1488" s="5"/>
      <c r="AC1488" s="5"/>
      <c r="AD1488" s="5">
        <f ca="1">IFERROR(__xludf.DUMMYFUNCTION("""COMPUTED_VALUE"""),78)</f>
        <v>78</v>
      </c>
      <c r="AE1488" s="5">
        <f ca="1">IFERROR(__xludf.DUMMYFUNCTION("""COMPUTED_VALUE"""),77)</f>
        <v>77</v>
      </c>
      <c r="AF1488" s="5" t="b">
        <f ca="1">IFERROR(__xludf.DUMMYFUNCTION("""COMPUTED_VALUE"""),FALSE)</f>
        <v>0</v>
      </c>
      <c r="AG1488" s="5" t="str">
        <f ca="1">IFERROR(__xludf.DUMMYFUNCTION("""COMPUTED_VALUE"""),"INSPECCIONES REALIZADAS")</f>
        <v>INSPECCIONES REALIZADAS</v>
      </c>
      <c r="AH1488" s="5"/>
    </row>
    <row r="1489" spans="1:34">
      <c r="A1489" s="5" t="str">
        <f ca="1">IFERROR(__xludf.DUMMYFUNCTION("""COMPUTED_VALUE"""),"EQUIPOS PARA SERVICIOS INDUSTRIALES")</f>
        <v>EQUIPOS PARA SERVICIOS INDUSTRIALES</v>
      </c>
      <c r="B1489" s="5">
        <f ca="1">IFERROR(__xludf.DUMMYFUNCTION("""COMPUTED_VALUE"""),709930)</f>
        <v>709930</v>
      </c>
      <c r="C1489" s="5" t="str">
        <f ca="1">IFERROR(__xludf.DUMMYFUNCTION("""COMPUTED_VALUE"""),"TANQUE Y BASCULA DE CO2 COD")</f>
        <v>TANQUE Y BASCULA DE CO2 COD</v>
      </c>
      <c r="D1489" s="5">
        <f ca="1">IFERROR(__xludf.DUMMYFUNCTION("""COMPUTED_VALUE"""),13247530)</f>
        <v>13247530</v>
      </c>
      <c r="E1489" s="5" t="str">
        <f ca="1">IFERROR(__xludf.DUMMYFUNCTION("""COMPUTED_VALUE"""),"INSPECCION SEMANAL TANQUE Y BASCULA DE C")</f>
        <v>INSPECCION SEMANAL TANQUE Y BASCULA DE C</v>
      </c>
      <c r="F1489" s="5" t="str">
        <f ca="1">IFERROR(__xludf.DUMMYFUNCTION("""COMPUTED_VALUE"""),"PRAXAIR:Reemplace el cartucho del filtro de carbón de la entrada en los carbonatadores (St)")</f>
        <v>PRAXAIR:Reemplace el cartucho del filtro de carbón de la entrada en los carbonatadores (St)</v>
      </c>
      <c r="G1489" s="5" t="b">
        <f ca="1">IFERROR(__xludf.DUMMYFUNCTION("""COMPUTED_VALUE"""),TRUE)</f>
        <v>1</v>
      </c>
      <c r="H1489" s="5"/>
      <c r="I1489" s="5"/>
      <c r="J1489" s="5">
        <f ca="1">IFERROR(__xludf.DUMMYFUNCTION("""COMPUTED_VALUE"""),13247530)</f>
        <v>13247530</v>
      </c>
      <c r="K1489" s="5"/>
      <c r="L1489" s="18">
        <f ca="1">IFERROR(__xludf.DUMMYFUNCTION("""COMPUTED_VALUE"""),45324)</f>
        <v>45324</v>
      </c>
      <c r="M1489" s="18">
        <f ca="1">IFERROR(__xludf.DUMMYFUNCTION("""COMPUTED_VALUE"""),45324)</f>
        <v>45324</v>
      </c>
      <c r="N1489" s="5" t="str">
        <f ca="1">IFERROR(__xludf.DUMMYFUNCTION("""COMPUTED_VALUE"""),"Henao William")</f>
        <v>Henao William</v>
      </c>
      <c r="O1489" s="2">
        <f ca="1">IFERROR(__xludf.DUMMYFUNCTION("""COMPUTED_VALUE"""),0.009090909)</f>
        <v>9.0909089999999994E-3</v>
      </c>
      <c r="P1489" s="5">
        <f ca="1">IFERROR(__xludf.DUMMYFUNCTION("""COMPUTED_VALUE"""),20009827)</f>
        <v>20009827</v>
      </c>
      <c r="Q1489" s="5" t="str">
        <f ca="1">IFERROR(__xludf.DUMMYFUNCTION("""COMPUTED_VALUE"""),"njBHgWDmJUc")</f>
        <v>njBHgWDmJUc</v>
      </c>
      <c r="R1489" s="5">
        <f ca="1">IFERROR(__xludf.DUMMYFUNCTION("""COMPUTED_VALUE"""),410)</f>
        <v>410</v>
      </c>
      <c r="S1489" s="62">
        <f ca="1">IFERROR(__xludf.DUMMYFUNCTION("""COMPUTED_VALUE"""),0.009090909)</f>
        <v>9.0909089999999994E-3</v>
      </c>
      <c r="T1489" s="63" t="str">
        <f ca="1">IFERROR(__xludf.DUMMYFUNCTION("""COMPUTED_VALUE"""),"https://storage.googleapis.com/glide-prod.appspot.com/uploads-v2/ly7o78grxPaC6KdgvbpS/pub/3aRdSog0vUtuqPE8AJKD.png")</f>
        <v>https://storage.googleapis.com/glide-prod.appspot.com/uploads-v2/ly7o78grxPaC6KdgvbpS/pub/3aRdSog0vUtuqPE8AJKD.png</v>
      </c>
      <c r="U1489" s="5" t="str">
        <f ca="1">IFERROR(__xludf.DUMMYFUNCTION("""COMPUTED_VALUE"""),"EQUIPOS PARA SERVICIOS INDUSTRIALESTANQUE Y BASCULA DE CO2 COD")</f>
        <v>EQUIPOS PARA SERVICIOS INDUSTRIALESTANQUE Y BASCULA DE CO2 COD</v>
      </c>
      <c r="V1489" s="5"/>
      <c r="W1489" s="5" t="b">
        <f ca="1">IFERROR(__xludf.DUMMYFUNCTION("""COMPUTED_VALUE"""),TRUE)</f>
        <v>1</v>
      </c>
      <c r="X1489" s="5" t="str">
        <f ca="1">IFERROR(__xludf.DUMMYFUNCTION("""COMPUTED_VALUE"""),"wmazorra@postobon.com.co,aprmttoyu@postobon.com.co,aprmyu@postobon.com.co,wmora@postobon.com.co,efzapata@postobon.com.co")</f>
        <v>wmazorra@postobon.com.co,aprmttoyu@postobon.com.co,aprmyu@postobon.com.co,wmora@postobon.com.co,efzapata@postobon.com.co</v>
      </c>
      <c r="Y1489" s="5" t="str">
        <f ca="1">IFERROR(__xludf.DUMMYFUNCTION("""COMPUTED_VALUE"""),"wmazorra@postobon.com.co")</f>
        <v>wmazorra@postobon.com.co</v>
      </c>
      <c r="Z1489" s="5" t="str">
        <f ca="1">IFERROR(__xludf.DUMMYFUNCTION("""COMPUTED_VALUE"""),"sxzjv.XeTxa3Z-s1BVQaOQ")</f>
        <v>sxzjv.XeTxa3Z-s1BVQaOQ</v>
      </c>
      <c r="AA1489" s="5"/>
      <c r="AB1489" s="5"/>
      <c r="AC1489" s="5"/>
      <c r="AD1489" s="5">
        <f ca="1">IFERROR(__xludf.DUMMYFUNCTION("""COMPUTED_VALUE"""),78)</f>
        <v>78</v>
      </c>
      <c r="AE1489" s="5">
        <f ca="1">IFERROR(__xludf.DUMMYFUNCTION("""COMPUTED_VALUE"""),77)</f>
        <v>77</v>
      </c>
      <c r="AF1489" s="5" t="b">
        <f ca="1">IFERROR(__xludf.DUMMYFUNCTION("""COMPUTED_VALUE"""),FALSE)</f>
        <v>0</v>
      </c>
      <c r="AG1489" s="5" t="str">
        <f ca="1">IFERROR(__xludf.DUMMYFUNCTION("""COMPUTED_VALUE"""),"INSPECCIONES REALIZADAS")</f>
        <v>INSPECCIONES REALIZADAS</v>
      </c>
      <c r="AH1489" s="5"/>
    </row>
    <row r="1490" spans="1:34">
      <c r="A1490" s="5" t="str">
        <f ca="1">IFERROR(__xludf.DUMMYFUNCTION("""COMPUTED_VALUE"""),"EQUIPOS PARA SERVICIOS INDUSTRIALES")</f>
        <v>EQUIPOS PARA SERVICIOS INDUSTRIALES</v>
      </c>
      <c r="B1490" s="5">
        <f ca="1">IFERROR(__xludf.DUMMYFUNCTION("""COMPUTED_VALUE"""),709930)</f>
        <v>709930</v>
      </c>
      <c r="C1490" s="5" t="str">
        <f ca="1">IFERROR(__xludf.DUMMYFUNCTION("""COMPUTED_VALUE"""),"TANQUE Y BASCULA DE CO2 COD")</f>
        <v>TANQUE Y BASCULA DE CO2 COD</v>
      </c>
      <c r="D1490" s="5">
        <f ca="1">IFERROR(__xludf.DUMMYFUNCTION("""COMPUTED_VALUE"""),13247530)</f>
        <v>13247530</v>
      </c>
      <c r="E1490" s="5" t="str">
        <f ca="1">IFERROR(__xludf.DUMMYFUNCTION("""COMPUTED_VALUE"""),"INSPECCION SEMANAL TANQUE Y BASCULA DE C")</f>
        <v>INSPECCION SEMANAL TANQUE Y BASCULA DE C</v>
      </c>
      <c r="F1490" s="5" t="str">
        <f ca="1">IFERROR(__xludf.DUMMYFUNCTION("""COMPUTED_VALUE"""),"LINDE: Revise auditivamente presencia de fugas o señales de mal funcionamiento en el tanque de almacenamiento y el evaporador (D)")</f>
        <v>LINDE: Revise auditivamente presencia de fugas o señales de mal funcionamiento en el tanque de almacenamiento y el evaporador (D)</v>
      </c>
      <c r="G1490" s="5" t="b">
        <f ca="1">IFERROR(__xludf.DUMMYFUNCTION("""COMPUTED_VALUE"""),TRUE)</f>
        <v>1</v>
      </c>
      <c r="H1490" s="5"/>
      <c r="I1490" s="5"/>
      <c r="J1490" s="5">
        <f ca="1">IFERROR(__xludf.DUMMYFUNCTION("""COMPUTED_VALUE"""),13247530)</f>
        <v>13247530</v>
      </c>
      <c r="K1490" s="5"/>
      <c r="L1490" s="18">
        <f ca="1">IFERROR(__xludf.DUMMYFUNCTION("""COMPUTED_VALUE"""),45324)</f>
        <v>45324</v>
      </c>
      <c r="M1490" s="18">
        <f ca="1">IFERROR(__xludf.DUMMYFUNCTION("""COMPUTED_VALUE"""),45324)</f>
        <v>45324</v>
      </c>
      <c r="N1490" s="5" t="str">
        <f ca="1">IFERROR(__xludf.DUMMYFUNCTION("""COMPUTED_VALUE"""),"Henao William")</f>
        <v>Henao William</v>
      </c>
      <c r="O1490" s="2">
        <f ca="1">IFERROR(__xludf.DUMMYFUNCTION("""COMPUTED_VALUE"""),0.009090909)</f>
        <v>9.0909089999999994E-3</v>
      </c>
      <c r="P1490" s="5">
        <f ca="1">IFERROR(__xludf.DUMMYFUNCTION("""COMPUTED_VALUE"""),20009827)</f>
        <v>20009827</v>
      </c>
      <c r="Q1490" s="5" t="str">
        <f ca="1">IFERROR(__xludf.DUMMYFUNCTION("""COMPUTED_VALUE"""),"X2iBgKrNyyQ")</f>
        <v>X2iBgKrNyyQ</v>
      </c>
      <c r="R1490" s="5">
        <f ca="1">IFERROR(__xludf.DUMMYFUNCTION("""COMPUTED_VALUE"""),410)</f>
        <v>410</v>
      </c>
      <c r="S1490" s="62">
        <f ca="1">IFERROR(__xludf.DUMMYFUNCTION("""COMPUTED_VALUE"""),0.009090909)</f>
        <v>9.0909089999999994E-3</v>
      </c>
      <c r="T1490" s="63" t="str">
        <f ca="1">IFERROR(__xludf.DUMMYFUNCTION("""COMPUTED_VALUE"""),"https://storage.googleapis.com/glide-prod.appspot.com/uploads-v2/ly7o78grxPaC6KdgvbpS/pub/3aRdSog0vUtuqPE8AJKD.png")</f>
        <v>https://storage.googleapis.com/glide-prod.appspot.com/uploads-v2/ly7o78grxPaC6KdgvbpS/pub/3aRdSog0vUtuqPE8AJKD.png</v>
      </c>
      <c r="U1490" s="5" t="str">
        <f ca="1">IFERROR(__xludf.DUMMYFUNCTION("""COMPUTED_VALUE"""),"EQUIPOS PARA SERVICIOS INDUSTRIALESTANQUE Y BASCULA DE CO2 COD")</f>
        <v>EQUIPOS PARA SERVICIOS INDUSTRIALESTANQUE Y BASCULA DE CO2 COD</v>
      </c>
      <c r="V1490" s="5"/>
      <c r="W1490" s="5" t="b">
        <f ca="1">IFERROR(__xludf.DUMMYFUNCTION("""COMPUTED_VALUE"""),TRUE)</f>
        <v>1</v>
      </c>
      <c r="X1490" s="5" t="str">
        <f ca="1">IFERROR(__xludf.DUMMYFUNCTION("""COMPUTED_VALUE"""),"wmazorra@postobon.com.co,aprmttoyu@postobon.com.co,aprmyu@postobon.com.co,wmora@postobon.com.co,efzapata@postobon.com.co")</f>
        <v>wmazorra@postobon.com.co,aprmttoyu@postobon.com.co,aprmyu@postobon.com.co,wmora@postobon.com.co,efzapata@postobon.com.co</v>
      </c>
      <c r="Y1490" s="5" t="str">
        <f ca="1">IFERROR(__xludf.DUMMYFUNCTION("""COMPUTED_VALUE"""),"wmazorra@postobon.com.co")</f>
        <v>wmazorra@postobon.com.co</v>
      </c>
      <c r="Z1490" s="5" t="str">
        <f ca="1">IFERROR(__xludf.DUMMYFUNCTION("""COMPUTED_VALUE"""),"BDU5sRNjRNiIQF08jImCbQ")</f>
        <v>BDU5sRNjRNiIQF08jImCbQ</v>
      </c>
      <c r="AA1490" s="5"/>
      <c r="AB1490" s="5"/>
      <c r="AC1490" s="5"/>
      <c r="AD1490" s="5">
        <f ca="1">IFERROR(__xludf.DUMMYFUNCTION("""COMPUTED_VALUE"""),78)</f>
        <v>78</v>
      </c>
      <c r="AE1490" s="5">
        <f ca="1">IFERROR(__xludf.DUMMYFUNCTION("""COMPUTED_VALUE"""),77)</f>
        <v>77</v>
      </c>
      <c r="AF1490" s="5" t="b">
        <f ca="1">IFERROR(__xludf.DUMMYFUNCTION("""COMPUTED_VALUE"""),FALSE)</f>
        <v>0</v>
      </c>
      <c r="AG1490" s="5" t="str">
        <f ca="1">IFERROR(__xludf.DUMMYFUNCTION("""COMPUTED_VALUE"""),"INSPECCIONES REALIZADAS")</f>
        <v>INSPECCIONES REALIZADAS</v>
      </c>
      <c r="AH1490" s="5"/>
    </row>
    <row r="1491" spans="1:34">
      <c r="A1491" s="5" t="str">
        <f ca="1">IFERROR(__xludf.DUMMYFUNCTION("""COMPUTED_VALUE"""),"EQUIPOS PARA SERVICIOS INDUSTRIALES")</f>
        <v>EQUIPOS PARA SERVICIOS INDUSTRIALES</v>
      </c>
      <c r="B1491" s="5">
        <f ca="1">IFERROR(__xludf.DUMMYFUNCTION("""COMPUTED_VALUE"""),709930)</f>
        <v>709930</v>
      </c>
      <c r="C1491" s="5" t="str">
        <f ca="1">IFERROR(__xludf.DUMMYFUNCTION("""COMPUTED_VALUE"""),"TANQUE Y BASCULA DE CO2 COD")</f>
        <v>TANQUE Y BASCULA DE CO2 COD</v>
      </c>
      <c r="D1491" s="5">
        <f ca="1">IFERROR(__xludf.DUMMYFUNCTION("""COMPUTED_VALUE"""),13247530)</f>
        <v>13247530</v>
      </c>
      <c r="E1491" s="5" t="str">
        <f ca="1">IFERROR(__xludf.DUMMYFUNCTION("""COMPUTED_VALUE"""),"INSPECCION SEMANAL TANQUE Y BASCULA DE C")</f>
        <v>INSPECCION SEMANAL TANQUE Y BASCULA DE C</v>
      </c>
      <c r="F1491" s="5" t="str">
        <f ca="1">IFERROR(__xludf.DUMMYFUNCTION("""COMPUTED_VALUE"""),"LINDE: Inspeccione si hay acumulación de hielo en las tuberías entre el tanque de almacenamiento y el evaporador. (S)")</f>
        <v>LINDE: Inspeccione si hay acumulación de hielo en las tuberías entre el tanque de almacenamiento y el evaporador. (S)</v>
      </c>
      <c r="G1491" s="5" t="b">
        <f ca="1">IFERROR(__xludf.DUMMYFUNCTION("""COMPUTED_VALUE"""),TRUE)</f>
        <v>1</v>
      </c>
      <c r="H1491" s="5"/>
      <c r="I1491" s="5"/>
      <c r="J1491" s="5">
        <f ca="1">IFERROR(__xludf.DUMMYFUNCTION("""COMPUTED_VALUE"""),13247530)</f>
        <v>13247530</v>
      </c>
      <c r="K1491" s="5"/>
      <c r="L1491" s="18">
        <f ca="1">IFERROR(__xludf.DUMMYFUNCTION("""COMPUTED_VALUE"""),45324)</f>
        <v>45324</v>
      </c>
      <c r="M1491" s="18">
        <f ca="1">IFERROR(__xludf.DUMMYFUNCTION("""COMPUTED_VALUE"""),45324)</f>
        <v>45324</v>
      </c>
      <c r="N1491" s="5" t="str">
        <f ca="1">IFERROR(__xludf.DUMMYFUNCTION("""COMPUTED_VALUE"""),"Henao William")</f>
        <v>Henao William</v>
      </c>
      <c r="O1491" s="2">
        <f ca="1">IFERROR(__xludf.DUMMYFUNCTION("""COMPUTED_VALUE"""),0.009090909)</f>
        <v>9.0909089999999994E-3</v>
      </c>
      <c r="P1491" s="5">
        <f ca="1">IFERROR(__xludf.DUMMYFUNCTION("""COMPUTED_VALUE"""),20009827)</f>
        <v>20009827</v>
      </c>
      <c r="Q1491" s="5" t="str">
        <f ca="1">IFERROR(__xludf.DUMMYFUNCTION("""COMPUTED_VALUE"""),"Oo97Kox9Lkk")</f>
        <v>Oo97Kox9Lkk</v>
      </c>
      <c r="R1491" s="5">
        <f ca="1">IFERROR(__xludf.DUMMYFUNCTION("""COMPUTED_VALUE"""),410)</f>
        <v>410</v>
      </c>
      <c r="S1491" s="62">
        <f ca="1">IFERROR(__xludf.DUMMYFUNCTION("""COMPUTED_VALUE"""),0.009090909)</f>
        <v>9.0909089999999994E-3</v>
      </c>
      <c r="T1491" s="63" t="str">
        <f ca="1">IFERROR(__xludf.DUMMYFUNCTION("""COMPUTED_VALUE"""),"https://storage.googleapis.com/glide-prod.appspot.com/uploads-v2/ly7o78grxPaC6KdgvbpS/pub/3aRdSog0vUtuqPE8AJKD.png")</f>
        <v>https://storage.googleapis.com/glide-prod.appspot.com/uploads-v2/ly7o78grxPaC6KdgvbpS/pub/3aRdSog0vUtuqPE8AJKD.png</v>
      </c>
      <c r="U1491" s="5" t="str">
        <f ca="1">IFERROR(__xludf.DUMMYFUNCTION("""COMPUTED_VALUE"""),"EQUIPOS PARA SERVICIOS INDUSTRIALESTANQUE Y BASCULA DE CO2 COD")</f>
        <v>EQUIPOS PARA SERVICIOS INDUSTRIALESTANQUE Y BASCULA DE CO2 COD</v>
      </c>
      <c r="V1491" s="5"/>
      <c r="W1491" s="5" t="b">
        <f ca="1">IFERROR(__xludf.DUMMYFUNCTION("""COMPUTED_VALUE"""),TRUE)</f>
        <v>1</v>
      </c>
      <c r="X1491" s="5" t="str">
        <f ca="1">IFERROR(__xludf.DUMMYFUNCTION("""COMPUTED_VALUE"""),"wmazorra@postobon.com.co,aprmttoyu@postobon.com.co,aprmyu@postobon.com.co,wmora@postobon.com.co,efzapata@postobon.com.co")</f>
        <v>wmazorra@postobon.com.co,aprmttoyu@postobon.com.co,aprmyu@postobon.com.co,wmora@postobon.com.co,efzapata@postobon.com.co</v>
      </c>
      <c r="Y1491" s="5" t="str">
        <f ca="1">IFERROR(__xludf.DUMMYFUNCTION("""COMPUTED_VALUE"""),"wmazorra@postobon.com.co")</f>
        <v>wmazorra@postobon.com.co</v>
      </c>
      <c r="Z1491" s="5" t="str">
        <f ca="1">IFERROR(__xludf.DUMMYFUNCTION("""COMPUTED_VALUE"""),"gkt7nChcRfKrNI6L6clEcw")</f>
        <v>gkt7nChcRfKrNI6L6clEcw</v>
      </c>
      <c r="AA1491" s="5"/>
      <c r="AB1491" s="5"/>
      <c r="AC1491" s="5"/>
      <c r="AD1491" s="5">
        <f ca="1">IFERROR(__xludf.DUMMYFUNCTION("""COMPUTED_VALUE"""),78)</f>
        <v>78</v>
      </c>
      <c r="AE1491" s="5">
        <f ca="1">IFERROR(__xludf.DUMMYFUNCTION("""COMPUTED_VALUE"""),77)</f>
        <v>77</v>
      </c>
      <c r="AF1491" s="5" t="b">
        <f ca="1">IFERROR(__xludf.DUMMYFUNCTION("""COMPUTED_VALUE"""),FALSE)</f>
        <v>0</v>
      </c>
      <c r="AG1491" s="5" t="str">
        <f ca="1">IFERROR(__xludf.DUMMYFUNCTION("""COMPUTED_VALUE"""),"INSPECCIONES REALIZADAS")</f>
        <v>INSPECCIONES REALIZADAS</v>
      </c>
      <c r="AH1491" s="5"/>
    </row>
    <row r="1492" spans="1:34">
      <c r="A1492" s="5" t="str">
        <f ca="1">IFERROR(__xludf.DUMMYFUNCTION("""COMPUTED_VALUE"""),"EQUIPOS PARA SERVICIOS INDUSTRIALES")</f>
        <v>EQUIPOS PARA SERVICIOS INDUSTRIALES</v>
      </c>
      <c r="B1492" s="5">
        <f ca="1">IFERROR(__xludf.DUMMYFUNCTION("""COMPUTED_VALUE"""),709930)</f>
        <v>709930</v>
      </c>
      <c r="C1492" s="5" t="str">
        <f ca="1">IFERROR(__xludf.DUMMYFUNCTION("""COMPUTED_VALUE"""),"TANQUE Y BASCULA DE CO2 COD")</f>
        <v>TANQUE Y BASCULA DE CO2 COD</v>
      </c>
      <c r="D1492" s="5">
        <f ca="1">IFERROR(__xludf.DUMMYFUNCTION("""COMPUTED_VALUE"""),13247530)</f>
        <v>13247530</v>
      </c>
      <c r="E1492" s="5" t="str">
        <f ca="1">IFERROR(__xludf.DUMMYFUNCTION("""COMPUTED_VALUE"""),"INSPECCION SEMANAL TANQUE Y BASCULA DE C")</f>
        <v>INSPECCION SEMANAL TANQUE Y BASCULA DE C</v>
      </c>
      <c r="F1492" s="5" t="str">
        <f ca="1">IFERROR(__xludf.DUMMYFUNCTION("""COMPUTED_VALUE"""),"LINDE:Observe las válvulas de alivio de presión del tanque de almacenamiento. Descarte la presencia de fugas (S)")</f>
        <v>LINDE:Observe las válvulas de alivio de presión del tanque de almacenamiento. Descarte la presencia de fugas (S)</v>
      </c>
      <c r="G1492" s="5" t="b">
        <f ca="1">IFERROR(__xludf.DUMMYFUNCTION("""COMPUTED_VALUE"""),TRUE)</f>
        <v>1</v>
      </c>
      <c r="H1492" s="5"/>
      <c r="I1492" s="5"/>
      <c r="J1492" s="5">
        <f ca="1">IFERROR(__xludf.DUMMYFUNCTION("""COMPUTED_VALUE"""),13247530)</f>
        <v>13247530</v>
      </c>
      <c r="K1492" s="5"/>
      <c r="L1492" s="18">
        <f ca="1">IFERROR(__xludf.DUMMYFUNCTION("""COMPUTED_VALUE"""),45324)</f>
        <v>45324</v>
      </c>
      <c r="M1492" s="18">
        <f ca="1">IFERROR(__xludf.DUMMYFUNCTION("""COMPUTED_VALUE"""),45324)</f>
        <v>45324</v>
      </c>
      <c r="N1492" s="5" t="str">
        <f ca="1">IFERROR(__xludf.DUMMYFUNCTION("""COMPUTED_VALUE"""),"Henao William")</f>
        <v>Henao William</v>
      </c>
      <c r="O1492" s="2">
        <f ca="1">IFERROR(__xludf.DUMMYFUNCTION("""COMPUTED_VALUE"""),0.009090909)</f>
        <v>9.0909089999999994E-3</v>
      </c>
      <c r="P1492" s="5">
        <f ca="1">IFERROR(__xludf.DUMMYFUNCTION("""COMPUTED_VALUE"""),20009827)</f>
        <v>20009827</v>
      </c>
      <c r="Q1492" s="5" t="str">
        <f ca="1">IFERROR(__xludf.DUMMYFUNCTION("""COMPUTED_VALUE"""),"66LnTpiuc3Y")</f>
        <v>66LnTpiuc3Y</v>
      </c>
      <c r="R1492" s="5">
        <f ca="1">IFERROR(__xludf.DUMMYFUNCTION("""COMPUTED_VALUE"""),410)</f>
        <v>410</v>
      </c>
      <c r="S1492" s="62">
        <f ca="1">IFERROR(__xludf.DUMMYFUNCTION("""COMPUTED_VALUE"""),0.009090909)</f>
        <v>9.0909089999999994E-3</v>
      </c>
      <c r="T1492" s="63" t="str">
        <f ca="1">IFERROR(__xludf.DUMMYFUNCTION("""COMPUTED_VALUE"""),"https://storage.googleapis.com/glide-prod.appspot.com/uploads-v2/ly7o78grxPaC6KdgvbpS/pub/3aRdSog0vUtuqPE8AJKD.png")</f>
        <v>https://storage.googleapis.com/glide-prod.appspot.com/uploads-v2/ly7o78grxPaC6KdgvbpS/pub/3aRdSog0vUtuqPE8AJKD.png</v>
      </c>
      <c r="U1492" s="5" t="str">
        <f ca="1">IFERROR(__xludf.DUMMYFUNCTION("""COMPUTED_VALUE"""),"EQUIPOS PARA SERVICIOS INDUSTRIALESTANQUE Y BASCULA DE CO2 COD")</f>
        <v>EQUIPOS PARA SERVICIOS INDUSTRIALESTANQUE Y BASCULA DE CO2 COD</v>
      </c>
      <c r="V1492" s="5"/>
      <c r="W1492" s="5" t="b">
        <f ca="1">IFERROR(__xludf.DUMMYFUNCTION("""COMPUTED_VALUE"""),TRUE)</f>
        <v>1</v>
      </c>
      <c r="X1492" s="5" t="str">
        <f ca="1">IFERROR(__xludf.DUMMYFUNCTION("""COMPUTED_VALUE"""),"wmazorra@postobon.com.co,aprmttoyu@postobon.com.co,aprmyu@postobon.com.co,wmora@postobon.com.co,efzapata@postobon.com.co")</f>
        <v>wmazorra@postobon.com.co,aprmttoyu@postobon.com.co,aprmyu@postobon.com.co,wmora@postobon.com.co,efzapata@postobon.com.co</v>
      </c>
      <c r="Y1492" s="5" t="str">
        <f ca="1">IFERROR(__xludf.DUMMYFUNCTION("""COMPUTED_VALUE"""),"wmazorra@postobon.com.co")</f>
        <v>wmazorra@postobon.com.co</v>
      </c>
      <c r="Z1492" s="5" t="str">
        <f ca="1">IFERROR(__xludf.DUMMYFUNCTION("""COMPUTED_VALUE"""),"6EBx3TccSJyKNRkFRtiG9g")</f>
        <v>6EBx3TccSJyKNRkFRtiG9g</v>
      </c>
      <c r="AA1492" s="5"/>
      <c r="AB1492" s="5"/>
      <c r="AC1492" s="5"/>
      <c r="AD1492" s="5">
        <f ca="1">IFERROR(__xludf.DUMMYFUNCTION("""COMPUTED_VALUE"""),78)</f>
        <v>78</v>
      </c>
      <c r="AE1492" s="5">
        <f ca="1">IFERROR(__xludf.DUMMYFUNCTION("""COMPUTED_VALUE"""),77)</f>
        <v>77</v>
      </c>
      <c r="AF1492" s="5" t="b">
        <f ca="1">IFERROR(__xludf.DUMMYFUNCTION("""COMPUTED_VALUE"""),FALSE)</f>
        <v>0</v>
      </c>
      <c r="AG1492" s="5" t="str">
        <f ca="1">IFERROR(__xludf.DUMMYFUNCTION("""COMPUTED_VALUE"""),"INSPECCIONES REALIZADAS")</f>
        <v>INSPECCIONES REALIZADAS</v>
      </c>
      <c r="AH1492" s="5"/>
    </row>
    <row r="1493" spans="1:34">
      <c r="A1493" s="5" t="str">
        <f ca="1">IFERROR(__xludf.DUMMYFUNCTION("""COMPUTED_VALUE"""),"EQUIPOS PARA SERVICIOS INDUSTRIALES")</f>
        <v>EQUIPOS PARA SERVICIOS INDUSTRIALES</v>
      </c>
      <c r="B1493" s="5">
        <f ca="1">IFERROR(__xludf.DUMMYFUNCTION("""COMPUTED_VALUE"""),709930)</f>
        <v>709930</v>
      </c>
      <c r="C1493" s="5" t="str">
        <f ca="1">IFERROR(__xludf.DUMMYFUNCTION("""COMPUTED_VALUE"""),"TANQUE Y BASCULA DE CO2 COD")</f>
        <v>TANQUE Y BASCULA DE CO2 COD</v>
      </c>
      <c r="D1493" s="5">
        <f ca="1">IFERROR(__xludf.DUMMYFUNCTION("""COMPUTED_VALUE"""),13247530)</f>
        <v>13247530</v>
      </c>
      <c r="E1493" s="5" t="str">
        <f ca="1">IFERROR(__xludf.DUMMYFUNCTION("""COMPUTED_VALUE"""),"INSPECCION SEMANAL TANQUE Y BASCULA DE C")</f>
        <v>INSPECCION SEMANAL TANQUE Y BASCULA DE C</v>
      </c>
      <c r="F1493" s="5" t="str">
        <f ca="1">IFERROR(__xludf.DUMMYFUNCTION("""COMPUTED_VALUE"""),"LINDE: Verifique la presión real en el tanque de almacenamiento (S)")</f>
        <v>LINDE: Verifique la presión real en el tanque de almacenamiento (S)</v>
      </c>
      <c r="G1493" s="5" t="b">
        <f ca="1">IFERROR(__xludf.DUMMYFUNCTION("""COMPUTED_VALUE"""),TRUE)</f>
        <v>1</v>
      </c>
      <c r="H1493" s="5"/>
      <c r="I1493" s="5"/>
      <c r="J1493" s="5">
        <f ca="1">IFERROR(__xludf.DUMMYFUNCTION("""COMPUTED_VALUE"""),13247530)</f>
        <v>13247530</v>
      </c>
      <c r="K1493" s="5"/>
      <c r="L1493" s="18">
        <f ca="1">IFERROR(__xludf.DUMMYFUNCTION("""COMPUTED_VALUE"""),45324)</f>
        <v>45324</v>
      </c>
      <c r="M1493" s="18">
        <f ca="1">IFERROR(__xludf.DUMMYFUNCTION("""COMPUTED_VALUE"""),45324)</f>
        <v>45324</v>
      </c>
      <c r="N1493" s="5" t="str">
        <f ca="1">IFERROR(__xludf.DUMMYFUNCTION("""COMPUTED_VALUE"""),"Henao William")</f>
        <v>Henao William</v>
      </c>
      <c r="O1493" s="2">
        <f ca="1">IFERROR(__xludf.DUMMYFUNCTION("""COMPUTED_VALUE"""),0.009090909)</f>
        <v>9.0909089999999994E-3</v>
      </c>
      <c r="P1493" s="5">
        <f ca="1">IFERROR(__xludf.DUMMYFUNCTION("""COMPUTED_VALUE"""),20009827)</f>
        <v>20009827</v>
      </c>
      <c r="Q1493" s="5" t="str">
        <f ca="1">IFERROR(__xludf.DUMMYFUNCTION("""COMPUTED_VALUE"""),"jJ8feRcfeBo")</f>
        <v>jJ8feRcfeBo</v>
      </c>
      <c r="R1493" s="5">
        <f ca="1">IFERROR(__xludf.DUMMYFUNCTION("""COMPUTED_VALUE"""),410)</f>
        <v>410</v>
      </c>
      <c r="S1493" s="62">
        <f ca="1">IFERROR(__xludf.DUMMYFUNCTION("""COMPUTED_VALUE"""),0.009090909)</f>
        <v>9.0909089999999994E-3</v>
      </c>
      <c r="T1493" s="63" t="str">
        <f ca="1">IFERROR(__xludf.DUMMYFUNCTION("""COMPUTED_VALUE"""),"https://storage.googleapis.com/glide-prod.appspot.com/uploads-v2/ly7o78grxPaC6KdgvbpS/pub/3aRdSog0vUtuqPE8AJKD.png")</f>
        <v>https://storage.googleapis.com/glide-prod.appspot.com/uploads-v2/ly7o78grxPaC6KdgvbpS/pub/3aRdSog0vUtuqPE8AJKD.png</v>
      </c>
      <c r="U1493" s="5" t="str">
        <f ca="1">IFERROR(__xludf.DUMMYFUNCTION("""COMPUTED_VALUE"""),"EQUIPOS PARA SERVICIOS INDUSTRIALESTANQUE Y BASCULA DE CO2 COD")</f>
        <v>EQUIPOS PARA SERVICIOS INDUSTRIALESTANQUE Y BASCULA DE CO2 COD</v>
      </c>
      <c r="V1493" s="5"/>
      <c r="W1493" s="5" t="b">
        <f ca="1">IFERROR(__xludf.DUMMYFUNCTION("""COMPUTED_VALUE"""),TRUE)</f>
        <v>1</v>
      </c>
      <c r="X1493" s="5" t="str">
        <f ca="1">IFERROR(__xludf.DUMMYFUNCTION("""COMPUTED_VALUE"""),"wmazorra@postobon.com.co,aprmttoyu@postobon.com.co,aprmyu@postobon.com.co,wmora@postobon.com.co,efzapata@postobon.com.co")</f>
        <v>wmazorra@postobon.com.co,aprmttoyu@postobon.com.co,aprmyu@postobon.com.co,wmora@postobon.com.co,efzapata@postobon.com.co</v>
      </c>
      <c r="Y1493" s="5" t="str">
        <f ca="1">IFERROR(__xludf.DUMMYFUNCTION("""COMPUTED_VALUE"""),"wmazorra@postobon.com.co")</f>
        <v>wmazorra@postobon.com.co</v>
      </c>
      <c r="Z1493" s="5" t="str">
        <f ca="1">IFERROR(__xludf.DUMMYFUNCTION("""COMPUTED_VALUE"""),"EbBA9M1jS.aRcW74UmIRRA")</f>
        <v>EbBA9M1jS.aRcW74UmIRRA</v>
      </c>
      <c r="AA1493" s="5"/>
      <c r="AB1493" s="5"/>
      <c r="AC1493" s="5"/>
      <c r="AD1493" s="5">
        <f ca="1">IFERROR(__xludf.DUMMYFUNCTION("""COMPUTED_VALUE"""),78)</f>
        <v>78</v>
      </c>
      <c r="AE1493" s="5">
        <f ca="1">IFERROR(__xludf.DUMMYFUNCTION("""COMPUTED_VALUE"""),77)</f>
        <v>77</v>
      </c>
      <c r="AF1493" s="5" t="b">
        <f ca="1">IFERROR(__xludf.DUMMYFUNCTION("""COMPUTED_VALUE"""),FALSE)</f>
        <v>0</v>
      </c>
      <c r="AG1493" s="5" t="str">
        <f ca="1">IFERROR(__xludf.DUMMYFUNCTION("""COMPUTED_VALUE"""),"INSPECCIONES REALIZADAS")</f>
        <v>INSPECCIONES REALIZADAS</v>
      </c>
      <c r="AH1493" s="5"/>
    </row>
    <row r="1494" spans="1:34">
      <c r="A1494" s="5" t="str">
        <f ca="1">IFERROR(__xludf.DUMMYFUNCTION("""COMPUTED_VALUE"""),"EQUIPOS PARA SERVICIOS INDUSTRIALES")</f>
        <v>EQUIPOS PARA SERVICIOS INDUSTRIALES</v>
      </c>
      <c r="B1494" s="5">
        <f ca="1">IFERROR(__xludf.DUMMYFUNCTION("""COMPUTED_VALUE"""),709930)</f>
        <v>709930</v>
      </c>
      <c r="C1494" s="5" t="str">
        <f ca="1">IFERROR(__xludf.DUMMYFUNCTION("""COMPUTED_VALUE"""),"TANQUE Y BASCULA DE CO2 COD")</f>
        <v>TANQUE Y BASCULA DE CO2 COD</v>
      </c>
      <c r="D1494" s="5">
        <f ca="1">IFERROR(__xludf.DUMMYFUNCTION("""COMPUTED_VALUE"""),13247530)</f>
        <v>13247530</v>
      </c>
      <c r="E1494" s="5" t="str">
        <f ca="1">IFERROR(__xludf.DUMMYFUNCTION("""COMPUTED_VALUE"""),"INSPECCION SEMANAL TANQUE Y BASCULA DE C")</f>
        <v>INSPECCION SEMANAL TANQUE Y BASCULA DE C</v>
      </c>
      <c r="F1494" s="5" t="str">
        <f ca="1">IFERROR(__xludf.DUMMYFUNCTION("""COMPUTED_VALUE"""),"LINDE:Reemplace el cartucho del filtro de carbón de la entrada en los carbonatadores (St)")</f>
        <v>LINDE:Reemplace el cartucho del filtro de carbón de la entrada en los carbonatadores (St)</v>
      </c>
      <c r="G1494" s="5" t="b">
        <f ca="1">IFERROR(__xludf.DUMMYFUNCTION("""COMPUTED_VALUE"""),TRUE)</f>
        <v>1</v>
      </c>
      <c r="H1494" s="5"/>
      <c r="I1494" s="5"/>
      <c r="J1494" s="5">
        <f ca="1">IFERROR(__xludf.DUMMYFUNCTION("""COMPUTED_VALUE"""),13247530)</f>
        <v>13247530</v>
      </c>
      <c r="K1494" s="5"/>
      <c r="L1494" s="18">
        <f ca="1">IFERROR(__xludf.DUMMYFUNCTION("""COMPUTED_VALUE"""),45324)</f>
        <v>45324</v>
      </c>
      <c r="M1494" s="18">
        <f ca="1">IFERROR(__xludf.DUMMYFUNCTION("""COMPUTED_VALUE"""),45324)</f>
        <v>45324</v>
      </c>
      <c r="N1494" s="5" t="str">
        <f ca="1">IFERROR(__xludf.DUMMYFUNCTION("""COMPUTED_VALUE"""),"Henao William")</f>
        <v>Henao William</v>
      </c>
      <c r="O1494" s="2">
        <f ca="1">IFERROR(__xludf.DUMMYFUNCTION("""COMPUTED_VALUE"""),0.009090909)</f>
        <v>9.0909089999999994E-3</v>
      </c>
      <c r="P1494" s="5">
        <f ca="1">IFERROR(__xludf.DUMMYFUNCTION("""COMPUTED_VALUE"""),20009827)</f>
        <v>20009827</v>
      </c>
      <c r="Q1494" s="5" t="str">
        <f ca="1">IFERROR(__xludf.DUMMYFUNCTION("""COMPUTED_VALUE"""),"Q4PeAU83wdY")</f>
        <v>Q4PeAU83wdY</v>
      </c>
      <c r="R1494" s="5">
        <f ca="1">IFERROR(__xludf.DUMMYFUNCTION("""COMPUTED_VALUE"""),410)</f>
        <v>410</v>
      </c>
      <c r="S1494" s="62">
        <f ca="1">IFERROR(__xludf.DUMMYFUNCTION("""COMPUTED_VALUE"""),0.009090909)</f>
        <v>9.0909089999999994E-3</v>
      </c>
      <c r="T1494" s="63" t="str">
        <f ca="1">IFERROR(__xludf.DUMMYFUNCTION("""COMPUTED_VALUE"""),"https://storage.googleapis.com/glide-prod.appspot.com/uploads-v2/ly7o78grxPaC6KdgvbpS/pub/3aRdSog0vUtuqPE8AJKD.png")</f>
        <v>https://storage.googleapis.com/glide-prod.appspot.com/uploads-v2/ly7o78grxPaC6KdgvbpS/pub/3aRdSog0vUtuqPE8AJKD.png</v>
      </c>
      <c r="U1494" s="5" t="str">
        <f ca="1">IFERROR(__xludf.DUMMYFUNCTION("""COMPUTED_VALUE"""),"EQUIPOS PARA SERVICIOS INDUSTRIALESTANQUE Y BASCULA DE CO2 COD")</f>
        <v>EQUIPOS PARA SERVICIOS INDUSTRIALESTANQUE Y BASCULA DE CO2 COD</v>
      </c>
      <c r="V1494" s="5"/>
      <c r="W1494" s="5" t="b">
        <f ca="1">IFERROR(__xludf.DUMMYFUNCTION("""COMPUTED_VALUE"""),TRUE)</f>
        <v>1</v>
      </c>
      <c r="X1494" s="5" t="str">
        <f ca="1">IFERROR(__xludf.DUMMYFUNCTION("""COMPUTED_VALUE"""),"wmazorra@postobon.com.co,aprmttoyu@postobon.com.co,aprmyu@postobon.com.co,wmora@postobon.com.co,efzapata@postobon.com.co")</f>
        <v>wmazorra@postobon.com.co,aprmttoyu@postobon.com.co,aprmyu@postobon.com.co,wmora@postobon.com.co,efzapata@postobon.com.co</v>
      </c>
      <c r="Y1494" s="5" t="str">
        <f ca="1">IFERROR(__xludf.DUMMYFUNCTION("""COMPUTED_VALUE"""),"wmazorra@postobon.com.co")</f>
        <v>wmazorra@postobon.com.co</v>
      </c>
      <c r="Z1494" s="5" t="str">
        <f ca="1">IFERROR(__xludf.DUMMYFUNCTION("""COMPUTED_VALUE"""),"Pq5FWqI9QeSzAwmNt1z8iw")</f>
        <v>Pq5FWqI9QeSzAwmNt1z8iw</v>
      </c>
      <c r="AA1494" s="5"/>
      <c r="AB1494" s="5"/>
      <c r="AC1494" s="5"/>
      <c r="AD1494" s="5">
        <f ca="1">IFERROR(__xludf.DUMMYFUNCTION("""COMPUTED_VALUE"""),78)</f>
        <v>78</v>
      </c>
      <c r="AE1494" s="5">
        <f ca="1">IFERROR(__xludf.DUMMYFUNCTION("""COMPUTED_VALUE"""),77)</f>
        <v>77</v>
      </c>
      <c r="AF1494" s="5" t="b">
        <f ca="1">IFERROR(__xludf.DUMMYFUNCTION("""COMPUTED_VALUE"""),FALSE)</f>
        <v>0</v>
      </c>
      <c r="AG1494" s="5" t="str">
        <f ca="1">IFERROR(__xludf.DUMMYFUNCTION("""COMPUTED_VALUE"""),"INSPECCIONES REALIZADAS")</f>
        <v>INSPECCIONES REALIZADAS</v>
      </c>
      <c r="AH1494" s="5"/>
    </row>
    <row r="1495" spans="1:34">
      <c r="A1495" s="5" t="str">
        <f ca="1">IFERROR(__xludf.DUMMYFUNCTION("""COMPUTED_VALUE"""),"LINEA DE ENVASADO JUGOS PET HOT FILL")</f>
        <v>LINEA DE ENVASADO JUGOS PET HOT FILL</v>
      </c>
      <c r="B1495" s="5">
        <f ca="1">IFERROR(__xludf.DUMMYFUNCTION("""COMPUTED_VALUE"""),90030304)</f>
        <v>90030304</v>
      </c>
      <c r="C1495" s="5" t="str">
        <f ca="1">IFERROR(__xludf.DUMMYFUNCTION("""COMPUTED_VALUE"""),"TANQUE NITROGENO COD")</f>
        <v>TANQUE NITROGENO COD</v>
      </c>
      <c r="D1495" s="5">
        <f ca="1">IFERROR(__xludf.DUMMYFUNCTION("""COMPUTED_VALUE"""),13247775)</f>
        <v>13247775</v>
      </c>
      <c r="E1495" s="5" t="str">
        <f ca="1">IFERROR(__xludf.DUMMYFUNCTION("""COMPUTED_VALUE"""),"INSPECCION SEMANAL SISTEMA INYECCION NIT")</f>
        <v>INSPECCION SEMANAL SISTEMA INYECCION NIT</v>
      </c>
      <c r="F1495" s="5" t="str">
        <f ca="1">IFERROR(__xludf.DUMMYFUNCTION("""COMPUTED_VALUE"""),"Revise auditivamente presencia de fugas o señales de mal funcionamiento en el tanque de almacenamiento (D)")</f>
        <v>Revise auditivamente presencia de fugas o señales de mal funcionamiento en el tanque de almacenamiento (D)</v>
      </c>
      <c r="G1495" s="5" t="b">
        <f ca="1">IFERROR(__xludf.DUMMYFUNCTION("""COMPUTED_VALUE"""),TRUE)</f>
        <v>1</v>
      </c>
      <c r="H1495" s="5"/>
      <c r="I1495" s="5"/>
      <c r="J1495" s="5"/>
      <c r="K1495" s="5"/>
      <c r="L1495" s="18">
        <f ca="1">IFERROR(__xludf.DUMMYFUNCTION("""COMPUTED_VALUE"""),45325)</f>
        <v>45325</v>
      </c>
      <c r="M1495" s="18">
        <f ca="1">IFERROR(__xludf.DUMMYFUNCTION("""COMPUTED_VALUE"""),45325)</f>
        <v>45325</v>
      </c>
      <c r="N1495" s="5" t="str">
        <f ca="1">IFERROR(__xludf.DUMMYFUNCTION("""COMPUTED_VALUE"""),"Jhonnys Arturo Fernández Suarez")</f>
        <v>Jhonnys Arturo Fernández Suarez</v>
      </c>
      <c r="O1495" s="2">
        <f ca="1">IFERROR(__xludf.DUMMYFUNCTION("""COMPUTED_VALUE"""),0.02)</f>
        <v>0.02</v>
      </c>
      <c r="P1495" s="5">
        <f ca="1">IFERROR(__xludf.DUMMYFUNCTION("""COMPUTED_VALUE"""),279805)</f>
        <v>279805</v>
      </c>
      <c r="Q1495" s="5" t="str">
        <f ca="1">IFERROR(__xludf.DUMMYFUNCTION("""COMPUTED_VALUE"""),"Y6vlNycSb2g")</f>
        <v>Y6vlNycSb2g</v>
      </c>
      <c r="R1495" s="5">
        <f ca="1">IFERROR(__xludf.DUMMYFUNCTION("""COMPUTED_VALUE"""),410)</f>
        <v>410</v>
      </c>
      <c r="S1495" s="62">
        <f ca="1">IFERROR(__xludf.DUMMYFUNCTION("""COMPUTED_VALUE"""),0.02)</f>
        <v>0.02</v>
      </c>
      <c r="T1495" s="63" t="str">
        <f ca="1">IFERROR(__xludf.DUMMYFUNCTION("""COMPUTED_VALUE"""),"https://storage.googleapis.com/glide-prod.appspot.com/uploads-v2/ly7o78grxPaC6KdgvbpS/pub/yvtCGRAPIbS0tVLIlehH.png")</f>
        <v>https://storage.googleapis.com/glide-prod.appspot.com/uploads-v2/ly7o78grxPaC6KdgvbpS/pub/yvtCGRAPIbS0tVLIlehH.png</v>
      </c>
      <c r="U1495" s="5" t="str">
        <f ca="1">IFERROR(__xludf.DUMMYFUNCTION("""COMPUTED_VALUE"""),"LINEA DE ENVASADO JUGOS PET HOT FILLTANQUE NITROGENO COD")</f>
        <v>LINEA DE ENVASADO JUGOS PET HOT FILLTANQUE NITROGENO COD</v>
      </c>
      <c r="V1495" s="5"/>
      <c r="W1495" s="5"/>
      <c r="X1495" s="5" t="str">
        <f ca="1">IFERROR(__xludf.DUMMYFUNCTION("""COMPUTED_VALUE"""),"achavezi@postobon.com.co,aprmttoyu@postobon.com.co,aprmyu@postobon.com.co,wmora@postobon.com.co,efzapata@postobon.com.co")</f>
        <v>achavezi@postobon.com.co,aprmttoyu@postobon.com.co,aprmyu@postobon.com.co,wmora@postobon.com.co,efzapata@postobon.com.co</v>
      </c>
      <c r="Y1495" s="5" t="str">
        <f ca="1">IFERROR(__xludf.DUMMYFUNCTION("""COMPUTED_VALUE"""),"achavezi@postobon.com.co")</f>
        <v>achavezi@postobon.com.co</v>
      </c>
      <c r="Z1495" s="5" t="str">
        <f ca="1">IFERROR(__xludf.DUMMYFUNCTION("""COMPUTED_VALUE"""),"Z74fhDoiTHqEj2wpbGrfpQ")</f>
        <v>Z74fhDoiTHqEj2wpbGrfpQ</v>
      </c>
      <c r="AA1495" s="5"/>
      <c r="AB1495" s="5"/>
      <c r="AC1495" s="5"/>
      <c r="AD1495" s="5">
        <f ca="1">IFERROR(__xludf.DUMMYFUNCTION("""COMPUTED_VALUE"""),27)</f>
        <v>27</v>
      </c>
      <c r="AE1495" s="5">
        <f ca="1">IFERROR(__xludf.DUMMYFUNCTION("""COMPUTED_VALUE"""),5)</f>
        <v>5</v>
      </c>
      <c r="AF1495" s="5" t="b">
        <f ca="1">IFERROR(__xludf.DUMMYFUNCTION("""COMPUTED_VALUE"""),FALSE)</f>
        <v>0</v>
      </c>
      <c r="AG1495" s="5" t="str">
        <f ca="1">IFERROR(__xludf.DUMMYFUNCTION("""COMPUTED_VALUE"""),"INSPECCIONES REALIZADAS")</f>
        <v>INSPECCIONES REALIZADAS</v>
      </c>
      <c r="AH1495" s="5"/>
    </row>
    <row r="1496" spans="1:34">
      <c r="A1496" s="5" t="str">
        <f ca="1">IFERROR(__xludf.DUMMYFUNCTION("""COMPUTED_VALUE"""),"LINEA DE ENVASADO JUGOS PET HOT FILL")</f>
        <v>LINEA DE ENVASADO JUGOS PET HOT FILL</v>
      </c>
      <c r="B1496" s="5">
        <f ca="1">IFERROR(__xludf.DUMMYFUNCTION("""COMPUTED_VALUE"""),90030304)</f>
        <v>90030304</v>
      </c>
      <c r="C1496" s="5" t="str">
        <f ca="1">IFERROR(__xludf.DUMMYFUNCTION("""COMPUTED_VALUE"""),"TANQUE NITROGENO COD")</f>
        <v>TANQUE NITROGENO COD</v>
      </c>
      <c r="D1496" s="5">
        <f ca="1">IFERROR(__xludf.DUMMYFUNCTION("""COMPUTED_VALUE"""),13247775)</f>
        <v>13247775</v>
      </c>
      <c r="E1496" s="5" t="str">
        <f ca="1">IFERROR(__xludf.DUMMYFUNCTION("""COMPUTED_VALUE"""),"INSPECCION SEMANAL SISTEMA INYECCION NIT")</f>
        <v>INSPECCION SEMANAL SISTEMA INYECCION NIT</v>
      </c>
      <c r="F1496" s="5" t="str">
        <f ca="1">IFERROR(__xludf.DUMMYFUNCTION("""COMPUTED_VALUE"""),"Inspeccione si hay acumulación de hielo en las tuberías entre el tanque de almacenamiento y el dosificador de nitrógeno líquido. (S)")</f>
        <v>Inspeccione si hay acumulación de hielo en las tuberías entre el tanque de almacenamiento y el dosificador de nitrógeno líquido. (S)</v>
      </c>
      <c r="G1496" s="5" t="b">
        <f ca="1">IFERROR(__xludf.DUMMYFUNCTION("""COMPUTED_VALUE"""),TRUE)</f>
        <v>1</v>
      </c>
      <c r="H1496" s="5"/>
      <c r="I1496" s="5"/>
      <c r="J1496" s="5"/>
      <c r="K1496" s="5"/>
      <c r="L1496" s="18">
        <f ca="1">IFERROR(__xludf.DUMMYFUNCTION("""COMPUTED_VALUE"""),45325)</f>
        <v>45325</v>
      </c>
      <c r="M1496" s="18">
        <f ca="1">IFERROR(__xludf.DUMMYFUNCTION("""COMPUTED_VALUE"""),45325)</f>
        <v>45325</v>
      </c>
      <c r="N1496" s="5" t="str">
        <f ca="1">IFERROR(__xludf.DUMMYFUNCTION("""COMPUTED_VALUE"""),"Jhonnys Arturo Fernández Suarez")</f>
        <v>Jhonnys Arturo Fernández Suarez</v>
      </c>
      <c r="O1496" s="2">
        <f ca="1">IFERROR(__xludf.DUMMYFUNCTION("""COMPUTED_VALUE"""),0.02)</f>
        <v>0.02</v>
      </c>
      <c r="P1496" s="5">
        <f ca="1">IFERROR(__xludf.DUMMYFUNCTION("""COMPUTED_VALUE"""),279805)</f>
        <v>279805</v>
      </c>
      <c r="Q1496" s="5" t="str">
        <f ca="1">IFERROR(__xludf.DUMMYFUNCTION("""COMPUTED_VALUE"""),"FzyRNiRLrFI")</f>
        <v>FzyRNiRLrFI</v>
      </c>
      <c r="R1496" s="5">
        <f ca="1">IFERROR(__xludf.DUMMYFUNCTION("""COMPUTED_VALUE"""),410)</f>
        <v>410</v>
      </c>
      <c r="S1496" s="62">
        <f ca="1">IFERROR(__xludf.DUMMYFUNCTION("""COMPUTED_VALUE"""),0.02)</f>
        <v>0.02</v>
      </c>
      <c r="T1496" s="63" t="str">
        <f ca="1">IFERROR(__xludf.DUMMYFUNCTION("""COMPUTED_VALUE"""),"https://storage.googleapis.com/glide-prod.appspot.com/uploads-v2/ly7o78grxPaC6KdgvbpS/pub/yvtCGRAPIbS0tVLIlehH.png")</f>
        <v>https://storage.googleapis.com/glide-prod.appspot.com/uploads-v2/ly7o78grxPaC6KdgvbpS/pub/yvtCGRAPIbS0tVLIlehH.png</v>
      </c>
      <c r="U1496" s="5" t="str">
        <f ca="1">IFERROR(__xludf.DUMMYFUNCTION("""COMPUTED_VALUE"""),"LINEA DE ENVASADO JUGOS PET HOT FILLTANQUE NITROGENO COD")</f>
        <v>LINEA DE ENVASADO JUGOS PET HOT FILLTANQUE NITROGENO COD</v>
      </c>
      <c r="V1496" s="5"/>
      <c r="W1496" s="5"/>
      <c r="X1496" s="5" t="str">
        <f ca="1">IFERROR(__xludf.DUMMYFUNCTION("""COMPUTED_VALUE"""),"achavezi@postobon.com.co,aprmttoyu@postobon.com.co,aprmyu@postobon.com.co,wmora@postobon.com.co,efzapata@postobon.com.co")</f>
        <v>achavezi@postobon.com.co,aprmttoyu@postobon.com.co,aprmyu@postobon.com.co,wmora@postobon.com.co,efzapata@postobon.com.co</v>
      </c>
      <c r="Y1496" s="5" t="str">
        <f ca="1">IFERROR(__xludf.DUMMYFUNCTION("""COMPUTED_VALUE"""),"achavezi@postobon.com.co")</f>
        <v>achavezi@postobon.com.co</v>
      </c>
      <c r="Z1496" s="5" t="str">
        <f ca="1">IFERROR(__xludf.DUMMYFUNCTION("""COMPUTED_VALUE"""),"Cb5F1vZ9SGi-Is6f9MmT1g")</f>
        <v>Cb5F1vZ9SGi-Is6f9MmT1g</v>
      </c>
      <c r="AA1496" s="5"/>
      <c r="AB1496" s="5"/>
      <c r="AC1496" s="5"/>
      <c r="AD1496" s="5">
        <f ca="1">IFERROR(__xludf.DUMMYFUNCTION("""COMPUTED_VALUE"""),27)</f>
        <v>27</v>
      </c>
      <c r="AE1496" s="5">
        <f ca="1">IFERROR(__xludf.DUMMYFUNCTION("""COMPUTED_VALUE"""),5)</f>
        <v>5</v>
      </c>
      <c r="AF1496" s="5" t="b">
        <f ca="1">IFERROR(__xludf.DUMMYFUNCTION("""COMPUTED_VALUE"""),FALSE)</f>
        <v>0</v>
      </c>
      <c r="AG1496" s="5" t="str">
        <f ca="1">IFERROR(__xludf.DUMMYFUNCTION("""COMPUTED_VALUE"""),"INSPECCIONES REALIZADAS")</f>
        <v>INSPECCIONES REALIZADAS</v>
      </c>
      <c r="AH1496" s="5"/>
    </row>
    <row r="1497" spans="1:34">
      <c r="A1497" s="5" t="str">
        <f ca="1">IFERROR(__xludf.DUMMYFUNCTION("""COMPUTED_VALUE"""),"LINEA DE ENVASADO JUGOS PET HOT FILL")</f>
        <v>LINEA DE ENVASADO JUGOS PET HOT FILL</v>
      </c>
      <c r="B1497" s="5">
        <f ca="1">IFERROR(__xludf.DUMMYFUNCTION("""COMPUTED_VALUE"""),90030304)</f>
        <v>90030304</v>
      </c>
      <c r="C1497" s="5" t="str">
        <f ca="1">IFERROR(__xludf.DUMMYFUNCTION("""COMPUTED_VALUE"""),"TANQUE NITROGENO COD")</f>
        <v>TANQUE NITROGENO COD</v>
      </c>
      <c r="D1497" s="5">
        <f ca="1">IFERROR(__xludf.DUMMYFUNCTION("""COMPUTED_VALUE"""),13247775)</f>
        <v>13247775</v>
      </c>
      <c r="E1497" s="5" t="str">
        <f ca="1">IFERROR(__xludf.DUMMYFUNCTION("""COMPUTED_VALUE"""),"INSPECCION SEMANAL SISTEMA INYECCION NIT")</f>
        <v>INSPECCION SEMANAL SISTEMA INYECCION NIT</v>
      </c>
      <c r="F1497" s="5" t="str">
        <f ca="1">IFERROR(__xludf.DUMMYFUNCTION("""COMPUTED_VALUE"""),"Observe las válvulas de alivio de presión del tanque de almacenamiento. Descarte la presencia de fugas (S)")</f>
        <v>Observe las válvulas de alivio de presión del tanque de almacenamiento. Descarte la presencia de fugas (S)</v>
      </c>
      <c r="G1497" s="5" t="b">
        <f ca="1">IFERROR(__xludf.DUMMYFUNCTION("""COMPUTED_VALUE"""),TRUE)</f>
        <v>1</v>
      </c>
      <c r="H1497" s="5"/>
      <c r="I1497" s="5"/>
      <c r="J1497" s="5"/>
      <c r="K1497" s="5"/>
      <c r="L1497" s="18">
        <f ca="1">IFERROR(__xludf.DUMMYFUNCTION("""COMPUTED_VALUE"""),45325)</f>
        <v>45325</v>
      </c>
      <c r="M1497" s="18">
        <f ca="1">IFERROR(__xludf.DUMMYFUNCTION("""COMPUTED_VALUE"""),45325)</f>
        <v>45325</v>
      </c>
      <c r="N1497" s="5" t="str">
        <f ca="1">IFERROR(__xludf.DUMMYFUNCTION("""COMPUTED_VALUE"""),"Jhonnys Arturo Fernández Suarez")</f>
        <v>Jhonnys Arturo Fernández Suarez</v>
      </c>
      <c r="O1497" s="2">
        <f ca="1">IFERROR(__xludf.DUMMYFUNCTION("""COMPUTED_VALUE"""),0.02)</f>
        <v>0.02</v>
      </c>
      <c r="P1497" s="5">
        <f ca="1">IFERROR(__xludf.DUMMYFUNCTION("""COMPUTED_VALUE"""),279805)</f>
        <v>279805</v>
      </c>
      <c r="Q1497" s="5" t="str">
        <f ca="1">IFERROR(__xludf.DUMMYFUNCTION("""COMPUTED_VALUE"""),"Fm_vfX0tInI")</f>
        <v>Fm_vfX0tInI</v>
      </c>
      <c r="R1497" s="5">
        <f ca="1">IFERROR(__xludf.DUMMYFUNCTION("""COMPUTED_VALUE"""),410)</f>
        <v>410</v>
      </c>
      <c r="S1497" s="62">
        <f ca="1">IFERROR(__xludf.DUMMYFUNCTION("""COMPUTED_VALUE"""),0.02)</f>
        <v>0.02</v>
      </c>
      <c r="T1497" s="63" t="str">
        <f ca="1">IFERROR(__xludf.DUMMYFUNCTION("""COMPUTED_VALUE"""),"https://storage.googleapis.com/glide-prod.appspot.com/uploads-v2/ly7o78grxPaC6KdgvbpS/pub/yvtCGRAPIbS0tVLIlehH.png")</f>
        <v>https://storage.googleapis.com/glide-prod.appspot.com/uploads-v2/ly7o78grxPaC6KdgvbpS/pub/yvtCGRAPIbS0tVLIlehH.png</v>
      </c>
      <c r="U1497" s="5" t="str">
        <f ca="1">IFERROR(__xludf.DUMMYFUNCTION("""COMPUTED_VALUE"""),"LINEA DE ENVASADO JUGOS PET HOT FILLTANQUE NITROGENO COD")</f>
        <v>LINEA DE ENVASADO JUGOS PET HOT FILLTANQUE NITROGENO COD</v>
      </c>
      <c r="V1497" s="5"/>
      <c r="W1497" s="5"/>
      <c r="X1497" s="5" t="str">
        <f ca="1">IFERROR(__xludf.DUMMYFUNCTION("""COMPUTED_VALUE"""),"achavezi@postobon.com.co,aprmttoyu@postobon.com.co,aprmyu@postobon.com.co,wmora@postobon.com.co,efzapata@postobon.com.co")</f>
        <v>achavezi@postobon.com.co,aprmttoyu@postobon.com.co,aprmyu@postobon.com.co,wmora@postobon.com.co,efzapata@postobon.com.co</v>
      </c>
      <c r="Y1497" s="5" t="str">
        <f ca="1">IFERROR(__xludf.DUMMYFUNCTION("""COMPUTED_VALUE"""),"achavezi@postobon.com.co")</f>
        <v>achavezi@postobon.com.co</v>
      </c>
      <c r="Z1497" s="5" t="str">
        <f ca="1">IFERROR(__xludf.DUMMYFUNCTION("""COMPUTED_VALUE"""),"RQOFXl-RTayJrxGfzZeShg")</f>
        <v>RQOFXl-RTayJrxGfzZeShg</v>
      </c>
      <c r="AA1497" s="5"/>
      <c r="AB1497" s="5"/>
      <c r="AC1497" s="5"/>
      <c r="AD1497" s="5">
        <f ca="1">IFERROR(__xludf.DUMMYFUNCTION("""COMPUTED_VALUE"""),27)</f>
        <v>27</v>
      </c>
      <c r="AE1497" s="5">
        <f ca="1">IFERROR(__xludf.DUMMYFUNCTION("""COMPUTED_VALUE"""),5)</f>
        <v>5</v>
      </c>
      <c r="AF1497" s="5" t="b">
        <f ca="1">IFERROR(__xludf.DUMMYFUNCTION("""COMPUTED_VALUE"""),FALSE)</f>
        <v>0</v>
      </c>
      <c r="AG1497" s="5" t="str">
        <f ca="1">IFERROR(__xludf.DUMMYFUNCTION("""COMPUTED_VALUE"""),"INSPECCIONES REALIZADAS")</f>
        <v>INSPECCIONES REALIZADAS</v>
      </c>
      <c r="AH1497" s="5"/>
    </row>
    <row r="1498" spans="1:34">
      <c r="A1498" s="5" t="str">
        <f ca="1">IFERROR(__xludf.DUMMYFUNCTION("""COMPUTED_VALUE"""),"LINEA DE ENVASADO JUGOS PET HOT FILL")</f>
        <v>LINEA DE ENVASADO JUGOS PET HOT FILL</v>
      </c>
      <c r="B1498" s="5">
        <f ca="1">IFERROR(__xludf.DUMMYFUNCTION("""COMPUTED_VALUE"""),90030304)</f>
        <v>90030304</v>
      </c>
      <c r="C1498" s="5" t="str">
        <f ca="1">IFERROR(__xludf.DUMMYFUNCTION("""COMPUTED_VALUE"""),"TANQUE NITROGENO COD")</f>
        <v>TANQUE NITROGENO COD</v>
      </c>
      <c r="D1498" s="5">
        <f ca="1">IFERROR(__xludf.DUMMYFUNCTION("""COMPUTED_VALUE"""),13247775)</f>
        <v>13247775</v>
      </c>
      <c r="E1498" s="5" t="str">
        <f ca="1">IFERROR(__xludf.DUMMYFUNCTION("""COMPUTED_VALUE"""),"INSPECCION SEMANAL SISTEMA INYECCION NIT")</f>
        <v>INSPECCION SEMANAL SISTEMA INYECCION NIT</v>
      </c>
      <c r="F1498" s="5" t="str">
        <f ca="1">IFERROR(__xludf.DUMMYFUNCTION("""COMPUTED_VALUE"""),"Registre la presión real en el tanque de almacenamiento (S)")</f>
        <v>Registre la presión real en el tanque de almacenamiento (S)</v>
      </c>
      <c r="G1498" s="5" t="b">
        <f ca="1">IFERROR(__xludf.DUMMYFUNCTION("""COMPUTED_VALUE"""),TRUE)</f>
        <v>1</v>
      </c>
      <c r="H1498" s="5"/>
      <c r="I1498" s="5"/>
      <c r="J1498" s="5"/>
      <c r="K1498" s="5"/>
      <c r="L1498" s="18">
        <f ca="1">IFERROR(__xludf.DUMMYFUNCTION("""COMPUTED_VALUE"""),45325)</f>
        <v>45325</v>
      </c>
      <c r="M1498" s="18">
        <f ca="1">IFERROR(__xludf.DUMMYFUNCTION("""COMPUTED_VALUE"""),45325)</f>
        <v>45325</v>
      </c>
      <c r="N1498" s="5" t="str">
        <f ca="1">IFERROR(__xludf.DUMMYFUNCTION("""COMPUTED_VALUE"""),"Jhonnys Arturo Fernández Suarez")</f>
        <v>Jhonnys Arturo Fernández Suarez</v>
      </c>
      <c r="O1498" s="2">
        <f ca="1">IFERROR(__xludf.DUMMYFUNCTION("""COMPUTED_VALUE"""),0.02)</f>
        <v>0.02</v>
      </c>
      <c r="P1498" s="5">
        <f ca="1">IFERROR(__xludf.DUMMYFUNCTION("""COMPUTED_VALUE"""),279805)</f>
        <v>279805</v>
      </c>
      <c r="Q1498" s="5" t="str">
        <f ca="1">IFERROR(__xludf.DUMMYFUNCTION("""COMPUTED_VALUE"""),"tF7JdQn_XpA")</f>
        <v>tF7JdQn_XpA</v>
      </c>
      <c r="R1498" s="5">
        <f ca="1">IFERROR(__xludf.DUMMYFUNCTION("""COMPUTED_VALUE"""),410)</f>
        <v>410</v>
      </c>
      <c r="S1498" s="62">
        <f ca="1">IFERROR(__xludf.DUMMYFUNCTION("""COMPUTED_VALUE"""),0.02)</f>
        <v>0.02</v>
      </c>
      <c r="T1498" s="63" t="str">
        <f ca="1">IFERROR(__xludf.DUMMYFUNCTION("""COMPUTED_VALUE"""),"https://storage.googleapis.com/glide-prod.appspot.com/uploads-v2/ly7o78grxPaC6KdgvbpS/pub/yvtCGRAPIbS0tVLIlehH.png")</f>
        <v>https://storage.googleapis.com/glide-prod.appspot.com/uploads-v2/ly7o78grxPaC6KdgvbpS/pub/yvtCGRAPIbS0tVLIlehH.png</v>
      </c>
      <c r="U1498" s="5" t="str">
        <f ca="1">IFERROR(__xludf.DUMMYFUNCTION("""COMPUTED_VALUE"""),"LINEA DE ENVASADO JUGOS PET HOT FILLTANQUE NITROGENO COD")</f>
        <v>LINEA DE ENVASADO JUGOS PET HOT FILLTANQUE NITROGENO COD</v>
      </c>
      <c r="V1498" s="5"/>
      <c r="W1498" s="5"/>
      <c r="X1498" s="5" t="str">
        <f ca="1">IFERROR(__xludf.DUMMYFUNCTION("""COMPUTED_VALUE"""),"achavezi@postobon.com.co,aprmttoyu@postobon.com.co,aprmyu@postobon.com.co,wmora@postobon.com.co,efzapata@postobon.com.co")</f>
        <v>achavezi@postobon.com.co,aprmttoyu@postobon.com.co,aprmyu@postobon.com.co,wmora@postobon.com.co,efzapata@postobon.com.co</v>
      </c>
      <c r="Y1498" s="5" t="str">
        <f ca="1">IFERROR(__xludf.DUMMYFUNCTION("""COMPUTED_VALUE"""),"achavezi@postobon.com.co")</f>
        <v>achavezi@postobon.com.co</v>
      </c>
      <c r="Z1498" s="5" t="str">
        <f ca="1">IFERROR(__xludf.DUMMYFUNCTION("""COMPUTED_VALUE"""),"pKyMFH2LR6i1nvDdUA-pkQ")</f>
        <v>pKyMFH2LR6i1nvDdUA-pkQ</v>
      </c>
      <c r="AA1498" s="5"/>
      <c r="AB1498" s="5"/>
      <c r="AC1498" s="5"/>
      <c r="AD1498" s="5">
        <f ca="1">IFERROR(__xludf.DUMMYFUNCTION("""COMPUTED_VALUE"""),27)</f>
        <v>27</v>
      </c>
      <c r="AE1498" s="5">
        <f ca="1">IFERROR(__xludf.DUMMYFUNCTION("""COMPUTED_VALUE"""),5)</f>
        <v>5</v>
      </c>
      <c r="AF1498" s="5" t="b">
        <f ca="1">IFERROR(__xludf.DUMMYFUNCTION("""COMPUTED_VALUE"""),FALSE)</f>
        <v>0</v>
      </c>
      <c r="AG1498" s="5" t="str">
        <f ca="1">IFERROR(__xludf.DUMMYFUNCTION("""COMPUTED_VALUE"""),"INSPECCIONES REALIZADAS")</f>
        <v>INSPECCIONES REALIZADAS</v>
      </c>
      <c r="AH1498" s="5"/>
    </row>
    <row r="1499" spans="1:34">
      <c r="A1499" s="5" t="str">
        <f ca="1">IFERROR(__xludf.DUMMYFUNCTION("""COMPUTED_VALUE"""),"EQUIPOS PARA SERVICIOS INDUSTRIALES")</f>
        <v>EQUIPOS PARA SERVICIOS INDUSTRIALES</v>
      </c>
      <c r="B1499" s="5">
        <f ca="1">IFERROR(__xludf.DUMMYFUNCTION("""COMPUTED_VALUE"""),638554)</f>
        <v>638554</v>
      </c>
      <c r="C1499" s="5" t="str">
        <f ca="1">IFERROR(__xludf.DUMMYFUNCTION("""COMPUTED_VALUE"""),"CONDENSADOR EVAPORATIVO")</f>
        <v>CONDENSADOR EVAPORATIVO</v>
      </c>
      <c r="D1499" s="5">
        <f ca="1">IFERROR(__xludf.DUMMYFUNCTION("""COMPUTED_VALUE"""),13247488)</f>
        <v>13247488</v>
      </c>
      <c r="E1499" s="5" t="str">
        <f ca="1">IFERROR(__xludf.DUMMYFUNCTION("""COMPUTED_VALUE"""),"INSPECCION SEMANAL CONDENSADOR EVAPORATI")</f>
        <v>INSPECCION SEMANAL CONDENSADOR EVAPORATI</v>
      </c>
      <c r="F1499" s="5" t="str">
        <f ca="1">IFERROR(__xludf.DUMMYFUNCTION("""COMPUTED_VALUE"""),"INSP. SECCION TRANSF. CALOR")</f>
        <v>INSP. SECCION TRANSF. CALOR</v>
      </c>
      <c r="G1499" s="5" t="b">
        <f ca="1">IFERROR(__xludf.DUMMYFUNCTION("""COMPUTED_VALUE"""),TRUE)</f>
        <v>1</v>
      </c>
      <c r="H1499" s="5"/>
      <c r="I1499" s="5"/>
      <c r="J1499" s="5">
        <f ca="1">IFERROR(__xludf.DUMMYFUNCTION("""COMPUTED_VALUE"""),13247488)</f>
        <v>13247488</v>
      </c>
      <c r="K1499" s="5"/>
      <c r="L1499" s="18">
        <f ca="1">IFERROR(__xludf.DUMMYFUNCTION("""COMPUTED_VALUE"""),45324)</f>
        <v>45324</v>
      </c>
      <c r="M1499" s="18">
        <f ca="1">IFERROR(__xludf.DUMMYFUNCTION("""COMPUTED_VALUE"""),45324)</f>
        <v>45324</v>
      </c>
      <c r="N1499" s="5" t="str">
        <f ca="1">IFERROR(__xludf.DUMMYFUNCTION("""COMPUTED_VALUE"""),"Henao William")</f>
        <v>Henao William</v>
      </c>
      <c r="O1499" s="2">
        <f ca="1">IFERROR(__xludf.DUMMYFUNCTION("""COMPUTED_VALUE"""),0.00625)</f>
        <v>6.2500000000000003E-3</v>
      </c>
      <c r="P1499" s="5">
        <f ca="1">IFERROR(__xludf.DUMMYFUNCTION("""COMPUTED_VALUE"""),20009827)</f>
        <v>20009827</v>
      </c>
      <c r="Q1499" s="5" t="str">
        <f ca="1">IFERROR(__xludf.DUMMYFUNCTION("""COMPUTED_VALUE"""),"tvEJt7Cwkso")</f>
        <v>tvEJt7Cwkso</v>
      </c>
      <c r="R1499" s="5">
        <f ca="1">IFERROR(__xludf.DUMMYFUNCTION("""COMPUTED_VALUE"""),410)</f>
        <v>410</v>
      </c>
      <c r="S1499" s="62">
        <f ca="1">IFERROR(__xludf.DUMMYFUNCTION("""COMPUTED_VALUE"""),0.00625)</f>
        <v>6.2500000000000003E-3</v>
      </c>
      <c r="T1499" s="63" t="str">
        <f ca="1">IFERROR(__xludf.DUMMYFUNCTION("""COMPUTED_VALUE"""),"https://storage.googleapis.com/glide-prod.appspot.com/uploads-v2/ly7o78grxPaC6KdgvbpS/pub/3aRdSog0vUtuqPE8AJKD.png")</f>
        <v>https://storage.googleapis.com/glide-prod.appspot.com/uploads-v2/ly7o78grxPaC6KdgvbpS/pub/3aRdSog0vUtuqPE8AJKD.png</v>
      </c>
      <c r="U1499" s="5" t="str">
        <f ca="1">IFERROR(__xludf.DUMMYFUNCTION("""COMPUTED_VALUE"""),"EQUIPOS PARA SERVICIOS INDUSTRIALESCONDENSADOR EVAPORATIVO")</f>
        <v>EQUIPOS PARA SERVICIOS INDUSTRIALESCONDENSADOR EVAPORATIVO</v>
      </c>
      <c r="V1499" s="5"/>
      <c r="W1499" s="5" t="b">
        <f ca="1">IFERROR(__xludf.DUMMYFUNCTION("""COMPUTED_VALUE"""),TRUE)</f>
        <v>1</v>
      </c>
      <c r="X1499" s="5" t="str">
        <f ca="1">IFERROR(__xludf.DUMMYFUNCTION("""COMPUTED_VALUE"""),"wmazorra@postobon.com.co,aprmttoyu@postobon.com.co,aprmyu@postobon.com.co,wmora@postobon.com.co,efzapata@postobon.com.co")</f>
        <v>wmazorra@postobon.com.co,aprmttoyu@postobon.com.co,aprmyu@postobon.com.co,wmora@postobon.com.co,efzapata@postobon.com.co</v>
      </c>
      <c r="Y1499" s="5" t="str">
        <f ca="1">IFERROR(__xludf.DUMMYFUNCTION("""COMPUTED_VALUE"""),"wmazorra@postobon.com.co")</f>
        <v>wmazorra@postobon.com.co</v>
      </c>
      <c r="Z1499" s="5" t="str">
        <f ca="1">IFERROR(__xludf.DUMMYFUNCTION("""COMPUTED_VALUE"""),"jRKHBAbSQHmqxPsN4NqeCA")</f>
        <v>jRKHBAbSQHmqxPsN4NqeCA</v>
      </c>
      <c r="AA1499" s="5"/>
      <c r="AB1499" s="5"/>
      <c r="AC1499" s="5"/>
      <c r="AD1499" s="5">
        <f ca="1">IFERROR(__xludf.DUMMYFUNCTION("""COMPUTED_VALUE"""),78)</f>
        <v>78</v>
      </c>
      <c r="AE1499" s="5">
        <f ca="1">IFERROR(__xludf.DUMMYFUNCTION("""COMPUTED_VALUE"""),77)</f>
        <v>77</v>
      </c>
      <c r="AF1499" s="5" t="b">
        <f ca="1">IFERROR(__xludf.DUMMYFUNCTION("""COMPUTED_VALUE"""),FALSE)</f>
        <v>0</v>
      </c>
      <c r="AG1499" s="5" t="str">
        <f ca="1">IFERROR(__xludf.DUMMYFUNCTION("""COMPUTED_VALUE"""),"INSPECCIONES REALIZADAS")</f>
        <v>INSPECCIONES REALIZADAS</v>
      </c>
      <c r="AH1499" s="5"/>
    </row>
    <row r="1500" spans="1:34">
      <c r="A1500" s="5" t="str">
        <f ca="1">IFERROR(__xludf.DUMMYFUNCTION("""COMPUTED_VALUE"""),"EQUIPOS PARA SERVICIOS INDUSTRIALES")</f>
        <v>EQUIPOS PARA SERVICIOS INDUSTRIALES</v>
      </c>
      <c r="B1500" s="5">
        <f ca="1">IFERROR(__xludf.DUMMYFUNCTION("""COMPUTED_VALUE"""),638554)</f>
        <v>638554</v>
      </c>
      <c r="C1500" s="5" t="str">
        <f ca="1">IFERROR(__xludf.DUMMYFUNCTION("""COMPUTED_VALUE"""),"CONDENSADOR EVAPORATIVO")</f>
        <v>CONDENSADOR EVAPORATIVO</v>
      </c>
      <c r="D1500" s="5">
        <f ca="1">IFERROR(__xludf.DUMMYFUNCTION("""COMPUTED_VALUE"""),13247488)</f>
        <v>13247488</v>
      </c>
      <c r="E1500" s="5" t="str">
        <f ca="1">IFERROR(__xludf.DUMMYFUNCTION("""COMPUTED_VALUE"""),"INSPECCION SEMANAL CONDENSADOR EVAPORATI")</f>
        <v>INSPECCION SEMANAL CONDENSADOR EVAPORATI</v>
      </c>
      <c r="F1500" s="5" t="str">
        <f ca="1">IFERROR(__xludf.DUMMYFUNCTION("""COMPUTED_VALUE"""),"INSP. BOQUILLAS ASPERSION")</f>
        <v>INSP. BOQUILLAS ASPERSION</v>
      </c>
      <c r="G1500" s="5" t="b">
        <f ca="1">IFERROR(__xludf.DUMMYFUNCTION("""COMPUTED_VALUE"""),TRUE)</f>
        <v>1</v>
      </c>
      <c r="H1500" s="5"/>
      <c r="I1500" s="5"/>
      <c r="J1500" s="5">
        <f ca="1">IFERROR(__xludf.DUMMYFUNCTION("""COMPUTED_VALUE"""),13247488)</f>
        <v>13247488</v>
      </c>
      <c r="K1500" s="5"/>
      <c r="L1500" s="18">
        <f ca="1">IFERROR(__xludf.DUMMYFUNCTION("""COMPUTED_VALUE"""),45324)</f>
        <v>45324</v>
      </c>
      <c r="M1500" s="18">
        <f ca="1">IFERROR(__xludf.DUMMYFUNCTION("""COMPUTED_VALUE"""),45324)</f>
        <v>45324</v>
      </c>
      <c r="N1500" s="5" t="str">
        <f ca="1">IFERROR(__xludf.DUMMYFUNCTION("""COMPUTED_VALUE"""),"Henao William")</f>
        <v>Henao William</v>
      </c>
      <c r="O1500" s="2">
        <f ca="1">IFERROR(__xludf.DUMMYFUNCTION("""COMPUTED_VALUE"""),0.00625)</f>
        <v>6.2500000000000003E-3</v>
      </c>
      <c r="P1500" s="5">
        <f ca="1">IFERROR(__xludf.DUMMYFUNCTION("""COMPUTED_VALUE"""),20009827)</f>
        <v>20009827</v>
      </c>
      <c r="Q1500" s="5" t="str">
        <f ca="1">IFERROR(__xludf.DUMMYFUNCTION("""COMPUTED_VALUE"""),"5yAYnmmUahM")</f>
        <v>5yAYnmmUahM</v>
      </c>
      <c r="R1500" s="5">
        <f ca="1">IFERROR(__xludf.DUMMYFUNCTION("""COMPUTED_VALUE"""),410)</f>
        <v>410</v>
      </c>
      <c r="S1500" s="62">
        <f ca="1">IFERROR(__xludf.DUMMYFUNCTION("""COMPUTED_VALUE"""),0.00625)</f>
        <v>6.2500000000000003E-3</v>
      </c>
      <c r="T1500" s="63" t="str">
        <f ca="1">IFERROR(__xludf.DUMMYFUNCTION("""COMPUTED_VALUE"""),"https://storage.googleapis.com/glide-prod.appspot.com/uploads-v2/ly7o78grxPaC6KdgvbpS/pub/3aRdSog0vUtuqPE8AJKD.png")</f>
        <v>https://storage.googleapis.com/glide-prod.appspot.com/uploads-v2/ly7o78grxPaC6KdgvbpS/pub/3aRdSog0vUtuqPE8AJKD.png</v>
      </c>
      <c r="U1500" s="5" t="str">
        <f ca="1">IFERROR(__xludf.DUMMYFUNCTION("""COMPUTED_VALUE"""),"EQUIPOS PARA SERVICIOS INDUSTRIALESCONDENSADOR EVAPORATIVO")</f>
        <v>EQUIPOS PARA SERVICIOS INDUSTRIALESCONDENSADOR EVAPORATIVO</v>
      </c>
      <c r="V1500" s="5"/>
      <c r="W1500" s="5" t="b">
        <f ca="1">IFERROR(__xludf.DUMMYFUNCTION("""COMPUTED_VALUE"""),TRUE)</f>
        <v>1</v>
      </c>
      <c r="X1500" s="5" t="str">
        <f ca="1">IFERROR(__xludf.DUMMYFUNCTION("""COMPUTED_VALUE"""),"wmazorra@postobon.com.co,aprmttoyu@postobon.com.co,aprmyu@postobon.com.co,wmora@postobon.com.co,efzapata@postobon.com.co")</f>
        <v>wmazorra@postobon.com.co,aprmttoyu@postobon.com.co,aprmyu@postobon.com.co,wmora@postobon.com.co,efzapata@postobon.com.co</v>
      </c>
      <c r="Y1500" s="5" t="str">
        <f ca="1">IFERROR(__xludf.DUMMYFUNCTION("""COMPUTED_VALUE"""),"wmazorra@postobon.com.co")</f>
        <v>wmazorra@postobon.com.co</v>
      </c>
      <c r="Z1500" s="5" t="str">
        <f ca="1">IFERROR(__xludf.DUMMYFUNCTION("""COMPUTED_VALUE"""),"Wf0EspLYTsaKyPkNxbHE2g")</f>
        <v>Wf0EspLYTsaKyPkNxbHE2g</v>
      </c>
      <c r="AA1500" s="5"/>
      <c r="AB1500" s="5"/>
      <c r="AC1500" s="5"/>
      <c r="AD1500" s="5">
        <f ca="1">IFERROR(__xludf.DUMMYFUNCTION("""COMPUTED_VALUE"""),78)</f>
        <v>78</v>
      </c>
      <c r="AE1500" s="5">
        <f ca="1">IFERROR(__xludf.DUMMYFUNCTION("""COMPUTED_VALUE"""),77)</f>
        <v>77</v>
      </c>
      <c r="AF1500" s="5" t="b">
        <f ca="1">IFERROR(__xludf.DUMMYFUNCTION("""COMPUTED_VALUE"""),FALSE)</f>
        <v>0</v>
      </c>
      <c r="AG1500" s="5" t="str">
        <f ca="1">IFERROR(__xludf.DUMMYFUNCTION("""COMPUTED_VALUE"""),"INSPECCIONES REALIZADAS")</f>
        <v>INSPECCIONES REALIZADAS</v>
      </c>
      <c r="AH1500" s="5"/>
    </row>
    <row r="1501" spans="1:34">
      <c r="A1501" s="5" t="str">
        <f ca="1">IFERROR(__xludf.DUMMYFUNCTION("""COMPUTED_VALUE"""),"EQUIPOS PARA SERVICIOS INDUSTRIALES")</f>
        <v>EQUIPOS PARA SERVICIOS INDUSTRIALES</v>
      </c>
      <c r="B1501" s="5">
        <f ca="1">IFERROR(__xludf.DUMMYFUNCTION("""COMPUTED_VALUE"""),638554)</f>
        <v>638554</v>
      </c>
      <c r="C1501" s="5" t="str">
        <f ca="1">IFERROR(__xludf.DUMMYFUNCTION("""COMPUTED_VALUE"""),"CONDENSADOR EVAPORATIVO")</f>
        <v>CONDENSADOR EVAPORATIVO</v>
      </c>
      <c r="D1501" s="5">
        <f ca="1">IFERROR(__xludf.DUMMYFUNCTION("""COMPUTED_VALUE"""),13247488)</f>
        <v>13247488</v>
      </c>
      <c r="E1501" s="5" t="str">
        <f ca="1">IFERROR(__xludf.DUMMYFUNCTION("""COMPUTED_VALUE"""),"INSPECCION SEMANAL CONDENSADOR EVAPORATI")</f>
        <v>INSPECCION SEMANAL CONDENSADOR EVAPORATI</v>
      </c>
      <c r="F1501" s="5" t="str">
        <f ca="1">IFERROR(__xludf.DUMMYFUNCTION("""COMPUTED_VALUE"""),"ESTADO MOTOBOMBAS")</f>
        <v>ESTADO MOTOBOMBAS</v>
      </c>
      <c r="G1501" s="5" t="b">
        <f ca="1">IFERROR(__xludf.DUMMYFUNCTION("""COMPUTED_VALUE"""),TRUE)</f>
        <v>1</v>
      </c>
      <c r="H1501" s="5"/>
      <c r="I1501" s="5"/>
      <c r="J1501" s="5">
        <f ca="1">IFERROR(__xludf.DUMMYFUNCTION("""COMPUTED_VALUE"""),13247488)</f>
        <v>13247488</v>
      </c>
      <c r="K1501" s="5"/>
      <c r="L1501" s="18">
        <f ca="1">IFERROR(__xludf.DUMMYFUNCTION("""COMPUTED_VALUE"""),45324)</f>
        <v>45324</v>
      </c>
      <c r="M1501" s="18">
        <f ca="1">IFERROR(__xludf.DUMMYFUNCTION("""COMPUTED_VALUE"""),45324)</f>
        <v>45324</v>
      </c>
      <c r="N1501" s="5" t="str">
        <f ca="1">IFERROR(__xludf.DUMMYFUNCTION("""COMPUTED_VALUE"""),"Henao William")</f>
        <v>Henao William</v>
      </c>
      <c r="O1501" s="2">
        <f ca="1">IFERROR(__xludf.DUMMYFUNCTION("""COMPUTED_VALUE"""),0.00625)</f>
        <v>6.2500000000000003E-3</v>
      </c>
      <c r="P1501" s="5">
        <f ca="1">IFERROR(__xludf.DUMMYFUNCTION("""COMPUTED_VALUE"""),20009827)</f>
        <v>20009827</v>
      </c>
      <c r="Q1501" s="5" t="str">
        <f ca="1">IFERROR(__xludf.DUMMYFUNCTION("""COMPUTED_VALUE"""),"b8O-aKieOa4")</f>
        <v>b8O-aKieOa4</v>
      </c>
      <c r="R1501" s="5">
        <f ca="1">IFERROR(__xludf.DUMMYFUNCTION("""COMPUTED_VALUE"""),410)</f>
        <v>410</v>
      </c>
      <c r="S1501" s="62">
        <f ca="1">IFERROR(__xludf.DUMMYFUNCTION("""COMPUTED_VALUE"""),0.00625)</f>
        <v>6.2500000000000003E-3</v>
      </c>
      <c r="T1501" s="63" t="str">
        <f ca="1">IFERROR(__xludf.DUMMYFUNCTION("""COMPUTED_VALUE"""),"https://storage.googleapis.com/glide-prod.appspot.com/uploads-v2/ly7o78grxPaC6KdgvbpS/pub/3aRdSog0vUtuqPE8AJKD.png")</f>
        <v>https://storage.googleapis.com/glide-prod.appspot.com/uploads-v2/ly7o78grxPaC6KdgvbpS/pub/3aRdSog0vUtuqPE8AJKD.png</v>
      </c>
      <c r="U1501" s="5" t="str">
        <f ca="1">IFERROR(__xludf.DUMMYFUNCTION("""COMPUTED_VALUE"""),"EQUIPOS PARA SERVICIOS INDUSTRIALESCONDENSADOR EVAPORATIVO")</f>
        <v>EQUIPOS PARA SERVICIOS INDUSTRIALESCONDENSADOR EVAPORATIVO</v>
      </c>
      <c r="V1501" s="5"/>
      <c r="W1501" s="5" t="b">
        <f ca="1">IFERROR(__xludf.DUMMYFUNCTION("""COMPUTED_VALUE"""),TRUE)</f>
        <v>1</v>
      </c>
      <c r="X1501" s="5" t="str">
        <f ca="1">IFERROR(__xludf.DUMMYFUNCTION("""COMPUTED_VALUE"""),"wmazorra@postobon.com.co,aprmttoyu@postobon.com.co,aprmyu@postobon.com.co,wmora@postobon.com.co,efzapata@postobon.com.co")</f>
        <v>wmazorra@postobon.com.co,aprmttoyu@postobon.com.co,aprmyu@postobon.com.co,wmora@postobon.com.co,efzapata@postobon.com.co</v>
      </c>
      <c r="Y1501" s="5" t="str">
        <f ca="1">IFERROR(__xludf.DUMMYFUNCTION("""COMPUTED_VALUE"""),"wmazorra@postobon.com.co")</f>
        <v>wmazorra@postobon.com.co</v>
      </c>
      <c r="Z1501" s="5" t="str">
        <f ca="1">IFERROR(__xludf.DUMMYFUNCTION("""COMPUTED_VALUE"""),"WYG4rWY1RceKhl6.MT.7qg")</f>
        <v>WYG4rWY1RceKhl6.MT.7qg</v>
      </c>
      <c r="AA1501" s="5"/>
      <c r="AB1501" s="5"/>
      <c r="AC1501" s="5"/>
      <c r="AD1501" s="5">
        <f ca="1">IFERROR(__xludf.DUMMYFUNCTION("""COMPUTED_VALUE"""),78)</f>
        <v>78</v>
      </c>
      <c r="AE1501" s="5">
        <f ca="1">IFERROR(__xludf.DUMMYFUNCTION("""COMPUTED_VALUE"""),77)</f>
        <v>77</v>
      </c>
      <c r="AF1501" s="5" t="b">
        <f ca="1">IFERROR(__xludf.DUMMYFUNCTION("""COMPUTED_VALUE"""),FALSE)</f>
        <v>0</v>
      </c>
      <c r="AG1501" s="5" t="str">
        <f ca="1">IFERROR(__xludf.DUMMYFUNCTION("""COMPUTED_VALUE"""),"INSPECCIONES REALIZADAS")</f>
        <v>INSPECCIONES REALIZADAS</v>
      </c>
      <c r="AH1501" s="5"/>
    </row>
    <row r="1502" spans="1:34">
      <c r="A1502" s="5" t="str">
        <f ca="1">IFERROR(__xludf.DUMMYFUNCTION("""COMPUTED_VALUE"""),"EQUIPOS PARA SERVICIOS INDUSTRIALES")</f>
        <v>EQUIPOS PARA SERVICIOS INDUSTRIALES</v>
      </c>
      <c r="B1502" s="5">
        <f ca="1">IFERROR(__xludf.DUMMYFUNCTION("""COMPUTED_VALUE"""),638554)</f>
        <v>638554</v>
      </c>
      <c r="C1502" s="5" t="str">
        <f ca="1">IFERROR(__xludf.DUMMYFUNCTION("""COMPUTED_VALUE"""),"CONDENSADOR EVAPORATIVO")</f>
        <v>CONDENSADOR EVAPORATIVO</v>
      </c>
      <c r="D1502" s="5">
        <f ca="1">IFERROR(__xludf.DUMMYFUNCTION("""COMPUTED_VALUE"""),13247488)</f>
        <v>13247488</v>
      </c>
      <c r="E1502" s="5" t="str">
        <f ca="1">IFERROR(__xludf.DUMMYFUNCTION("""COMPUTED_VALUE"""),"INSPECCION SEMANAL CONDENSADOR EVAPORATI")</f>
        <v>INSPECCION SEMANAL CONDENSADOR EVAPORATI</v>
      </c>
      <c r="F1502" s="5" t="str">
        <f ca="1">IFERROR(__xludf.DUMMYFUNCTION("""COMPUTED_VALUE"""),"ESTADO VENTILADORES")</f>
        <v>ESTADO VENTILADORES</v>
      </c>
      <c r="G1502" s="5" t="b">
        <f ca="1">IFERROR(__xludf.DUMMYFUNCTION("""COMPUTED_VALUE"""),TRUE)</f>
        <v>1</v>
      </c>
      <c r="H1502" s="5"/>
      <c r="I1502" s="5"/>
      <c r="J1502" s="5">
        <f ca="1">IFERROR(__xludf.DUMMYFUNCTION("""COMPUTED_VALUE"""),13247488)</f>
        <v>13247488</v>
      </c>
      <c r="K1502" s="5"/>
      <c r="L1502" s="18">
        <f ca="1">IFERROR(__xludf.DUMMYFUNCTION("""COMPUTED_VALUE"""),45324)</f>
        <v>45324</v>
      </c>
      <c r="M1502" s="18">
        <f ca="1">IFERROR(__xludf.DUMMYFUNCTION("""COMPUTED_VALUE"""),45324)</f>
        <v>45324</v>
      </c>
      <c r="N1502" s="5" t="str">
        <f ca="1">IFERROR(__xludf.DUMMYFUNCTION("""COMPUTED_VALUE"""),"Henao William")</f>
        <v>Henao William</v>
      </c>
      <c r="O1502" s="2">
        <f ca="1">IFERROR(__xludf.DUMMYFUNCTION("""COMPUTED_VALUE"""),0.00625)</f>
        <v>6.2500000000000003E-3</v>
      </c>
      <c r="P1502" s="5">
        <f ca="1">IFERROR(__xludf.DUMMYFUNCTION("""COMPUTED_VALUE"""),20009827)</f>
        <v>20009827</v>
      </c>
      <c r="Q1502" s="5" t="str">
        <f ca="1">IFERROR(__xludf.DUMMYFUNCTION("""COMPUTED_VALUE"""),"-E0uFXgome4")</f>
        <v>-E0uFXgome4</v>
      </c>
      <c r="R1502" s="5">
        <f ca="1">IFERROR(__xludf.DUMMYFUNCTION("""COMPUTED_VALUE"""),410)</f>
        <v>410</v>
      </c>
      <c r="S1502" s="62">
        <f ca="1">IFERROR(__xludf.DUMMYFUNCTION("""COMPUTED_VALUE"""),0.00625)</f>
        <v>6.2500000000000003E-3</v>
      </c>
      <c r="T1502" s="63" t="str">
        <f ca="1">IFERROR(__xludf.DUMMYFUNCTION("""COMPUTED_VALUE"""),"https://storage.googleapis.com/glide-prod.appspot.com/uploads-v2/ly7o78grxPaC6KdgvbpS/pub/3aRdSog0vUtuqPE8AJKD.png")</f>
        <v>https://storage.googleapis.com/glide-prod.appspot.com/uploads-v2/ly7o78grxPaC6KdgvbpS/pub/3aRdSog0vUtuqPE8AJKD.png</v>
      </c>
      <c r="U1502" s="5" t="str">
        <f ca="1">IFERROR(__xludf.DUMMYFUNCTION("""COMPUTED_VALUE"""),"EQUIPOS PARA SERVICIOS INDUSTRIALESCONDENSADOR EVAPORATIVO")</f>
        <v>EQUIPOS PARA SERVICIOS INDUSTRIALESCONDENSADOR EVAPORATIVO</v>
      </c>
      <c r="V1502" s="5"/>
      <c r="W1502" s="5" t="b">
        <f ca="1">IFERROR(__xludf.DUMMYFUNCTION("""COMPUTED_VALUE"""),TRUE)</f>
        <v>1</v>
      </c>
      <c r="X1502" s="5" t="str">
        <f ca="1">IFERROR(__xludf.DUMMYFUNCTION("""COMPUTED_VALUE"""),"wmazorra@postobon.com.co,aprmttoyu@postobon.com.co,aprmyu@postobon.com.co,wmora@postobon.com.co,efzapata@postobon.com.co")</f>
        <v>wmazorra@postobon.com.co,aprmttoyu@postobon.com.co,aprmyu@postobon.com.co,wmora@postobon.com.co,efzapata@postobon.com.co</v>
      </c>
      <c r="Y1502" s="5" t="str">
        <f ca="1">IFERROR(__xludf.DUMMYFUNCTION("""COMPUTED_VALUE"""),"wmazorra@postobon.com.co")</f>
        <v>wmazorra@postobon.com.co</v>
      </c>
      <c r="Z1502" s="5" t="str">
        <f ca="1">IFERROR(__xludf.DUMMYFUNCTION("""COMPUTED_VALUE"""),"nTDtAgAQR5GSSAuct2o3kw")</f>
        <v>nTDtAgAQR5GSSAuct2o3kw</v>
      </c>
      <c r="AA1502" s="5"/>
      <c r="AB1502" s="5"/>
      <c r="AC1502" s="5"/>
      <c r="AD1502" s="5">
        <f ca="1">IFERROR(__xludf.DUMMYFUNCTION("""COMPUTED_VALUE"""),78)</f>
        <v>78</v>
      </c>
      <c r="AE1502" s="5">
        <f ca="1">IFERROR(__xludf.DUMMYFUNCTION("""COMPUTED_VALUE"""),77)</f>
        <v>77</v>
      </c>
      <c r="AF1502" s="5" t="b">
        <f ca="1">IFERROR(__xludf.DUMMYFUNCTION("""COMPUTED_VALUE"""),FALSE)</f>
        <v>0</v>
      </c>
      <c r="AG1502" s="5" t="str">
        <f ca="1">IFERROR(__xludf.DUMMYFUNCTION("""COMPUTED_VALUE"""),"INSPECCIONES REALIZADAS")</f>
        <v>INSPECCIONES REALIZADAS</v>
      </c>
      <c r="AH1502" s="5"/>
    </row>
    <row r="1503" spans="1:34">
      <c r="A1503" s="5" t="str">
        <f ca="1">IFERROR(__xludf.DUMMYFUNCTION("""COMPUTED_VALUE"""),"EQUIPOS PARA SERVICIOS INDUSTRIALES")</f>
        <v>EQUIPOS PARA SERVICIOS INDUSTRIALES</v>
      </c>
      <c r="B1503" s="5">
        <f ca="1">IFERROR(__xludf.DUMMYFUNCTION("""COMPUTED_VALUE"""),638554)</f>
        <v>638554</v>
      </c>
      <c r="C1503" s="5" t="str">
        <f ca="1">IFERROR(__xludf.DUMMYFUNCTION("""COMPUTED_VALUE"""),"CONDENSADOR EVAPORATIVO")</f>
        <v>CONDENSADOR EVAPORATIVO</v>
      </c>
      <c r="D1503" s="5">
        <f ca="1">IFERROR(__xludf.DUMMYFUNCTION("""COMPUTED_VALUE"""),13247488)</f>
        <v>13247488</v>
      </c>
      <c r="E1503" s="5" t="str">
        <f ca="1">IFERROR(__xludf.DUMMYFUNCTION("""COMPUTED_VALUE"""),"INSPECCION SEMANAL CONDENSADOR EVAPORATI")</f>
        <v>INSPECCION SEMANAL CONDENSADOR EVAPORATI</v>
      </c>
      <c r="F1503" s="5" t="str">
        <f ca="1">IFERROR(__xludf.DUMMYFUNCTION("""COMPUTED_VALUE"""),"INSTRUMENTACION")</f>
        <v>INSTRUMENTACION</v>
      </c>
      <c r="G1503" s="5" t="b">
        <f ca="1">IFERROR(__xludf.DUMMYFUNCTION("""COMPUTED_VALUE"""),TRUE)</f>
        <v>1</v>
      </c>
      <c r="H1503" s="5"/>
      <c r="I1503" s="5"/>
      <c r="J1503" s="5">
        <f ca="1">IFERROR(__xludf.DUMMYFUNCTION("""COMPUTED_VALUE"""),13247488)</f>
        <v>13247488</v>
      </c>
      <c r="K1503" s="5"/>
      <c r="L1503" s="18">
        <f ca="1">IFERROR(__xludf.DUMMYFUNCTION("""COMPUTED_VALUE"""),45324)</f>
        <v>45324</v>
      </c>
      <c r="M1503" s="18">
        <f ca="1">IFERROR(__xludf.DUMMYFUNCTION("""COMPUTED_VALUE"""),45324)</f>
        <v>45324</v>
      </c>
      <c r="N1503" s="5" t="str">
        <f ca="1">IFERROR(__xludf.DUMMYFUNCTION("""COMPUTED_VALUE"""),"Henao William")</f>
        <v>Henao William</v>
      </c>
      <c r="O1503" s="2">
        <f ca="1">IFERROR(__xludf.DUMMYFUNCTION("""COMPUTED_VALUE"""),0.00625)</f>
        <v>6.2500000000000003E-3</v>
      </c>
      <c r="P1503" s="5">
        <f ca="1">IFERROR(__xludf.DUMMYFUNCTION("""COMPUTED_VALUE"""),20009827)</f>
        <v>20009827</v>
      </c>
      <c r="Q1503" s="5" t="str">
        <f ca="1">IFERROR(__xludf.DUMMYFUNCTION("""COMPUTED_VALUE"""),"4LsVvf7dE14")</f>
        <v>4LsVvf7dE14</v>
      </c>
      <c r="R1503" s="5">
        <f ca="1">IFERROR(__xludf.DUMMYFUNCTION("""COMPUTED_VALUE"""),410)</f>
        <v>410</v>
      </c>
      <c r="S1503" s="62">
        <f ca="1">IFERROR(__xludf.DUMMYFUNCTION("""COMPUTED_VALUE"""),0.00625)</f>
        <v>6.2500000000000003E-3</v>
      </c>
      <c r="T1503" s="63" t="str">
        <f ca="1">IFERROR(__xludf.DUMMYFUNCTION("""COMPUTED_VALUE"""),"https://storage.googleapis.com/glide-prod.appspot.com/uploads-v2/ly7o78grxPaC6KdgvbpS/pub/3aRdSog0vUtuqPE8AJKD.png")</f>
        <v>https://storage.googleapis.com/glide-prod.appspot.com/uploads-v2/ly7o78grxPaC6KdgvbpS/pub/3aRdSog0vUtuqPE8AJKD.png</v>
      </c>
      <c r="U1503" s="5" t="str">
        <f ca="1">IFERROR(__xludf.DUMMYFUNCTION("""COMPUTED_VALUE"""),"EQUIPOS PARA SERVICIOS INDUSTRIALESCONDENSADOR EVAPORATIVO")</f>
        <v>EQUIPOS PARA SERVICIOS INDUSTRIALESCONDENSADOR EVAPORATIVO</v>
      </c>
      <c r="V1503" s="5"/>
      <c r="W1503" s="5" t="b">
        <f ca="1">IFERROR(__xludf.DUMMYFUNCTION("""COMPUTED_VALUE"""),TRUE)</f>
        <v>1</v>
      </c>
      <c r="X1503" s="5" t="str">
        <f ca="1">IFERROR(__xludf.DUMMYFUNCTION("""COMPUTED_VALUE"""),"wmazorra@postobon.com.co,aprmttoyu@postobon.com.co,aprmyu@postobon.com.co,wmora@postobon.com.co,efzapata@postobon.com.co")</f>
        <v>wmazorra@postobon.com.co,aprmttoyu@postobon.com.co,aprmyu@postobon.com.co,wmora@postobon.com.co,efzapata@postobon.com.co</v>
      </c>
      <c r="Y1503" s="5" t="str">
        <f ca="1">IFERROR(__xludf.DUMMYFUNCTION("""COMPUTED_VALUE"""),"wmazorra@postobon.com.co")</f>
        <v>wmazorra@postobon.com.co</v>
      </c>
      <c r="Z1503" s="5" t="str">
        <f ca="1">IFERROR(__xludf.DUMMYFUNCTION("""COMPUTED_VALUE"""),"Ct3K2CMHSV6-D2MicNiM7A")</f>
        <v>Ct3K2CMHSV6-D2MicNiM7A</v>
      </c>
      <c r="AA1503" s="5"/>
      <c r="AB1503" s="5"/>
      <c r="AC1503" s="5"/>
      <c r="AD1503" s="5">
        <f ca="1">IFERROR(__xludf.DUMMYFUNCTION("""COMPUTED_VALUE"""),78)</f>
        <v>78</v>
      </c>
      <c r="AE1503" s="5">
        <f ca="1">IFERROR(__xludf.DUMMYFUNCTION("""COMPUTED_VALUE"""),77)</f>
        <v>77</v>
      </c>
      <c r="AF1503" s="5" t="b">
        <f ca="1">IFERROR(__xludf.DUMMYFUNCTION("""COMPUTED_VALUE"""),FALSE)</f>
        <v>0</v>
      </c>
      <c r="AG1503" s="5" t="str">
        <f ca="1">IFERROR(__xludf.DUMMYFUNCTION("""COMPUTED_VALUE"""),"INSPECCIONES REALIZADAS")</f>
        <v>INSPECCIONES REALIZADAS</v>
      </c>
      <c r="AH1503" s="5"/>
    </row>
    <row r="1504" spans="1:34">
      <c r="A1504" s="5" t="str">
        <f ca="1">IFERROR(__xludf.DUMMYFUNCTION("""COMPUTED_VALUE"""),"EQUIPOS PARA SERVICIOS INDUSTRIALES")</f>
        <v>EQUIPOS PARA SERVICIOS INDUSTRIALES</v>
      </c>
      <c r="B1504" s="5">
        <f ca="1">IFERROR(__xludf.DUMMYFUNCTION("""COMPUTED_VALUE"""),638554)</f>
        <v>638554</v>
      </c>
      <c r="C1504" s="5" t="str">
        <f ca="1">IFERROR(__xludf.DUMMYFUNCTION("""COMPUTED_VALUE"""),"CONDENSADOR EVAPORATIVO")</f>
        <v>CONDENSADOR EVAPORATIVO</v>
      </c>
      <c r="D1504" s="5">
        <f ca="1">IFERROR(__xludf.DUMMYFUNCTION("""COMPUTED_VALUE"""),13247488)</f>
        <v>13247488</v>
      </c>
      <c r="E1504" s="5" t="str">
        <f ca="1">IFERROR(__xludf.DUMMYFUNCTION("""COMPUTED_VALUE"""),"INSPECCION SEMANAL CONDENSADOR EVAPORATI")</f>
        <v>INSPECCION SEMANAL CONDENSADOR EVAPORATI</v>
      </c>
      <c r="F1504" s="5" t="str">
        <f ca="1">IFERROR(__xludf.DUMMYFUNCTION("""COMPUTED_VALUE"""),"VALVULAS SEGURIDAD")</f>
        <v>VALVULAS SEGURIDAD</v>
      </c>
      <c r="G1504" s="5" t="b">
        <f ca="1">IFERROR(__xludf.DUMMYFUNCTION("""COMPUTED_VALUE"""),TRUE)</f>
        <v>1</v>
      </c>
      <c r="H1504" s="5"/>
      <c r="I1504" s="5"/>
      <c r="J1504" s="5">
        <f ca="1">IFERROR(__xludf.DUMMYFUNCTION("""COMPUTED_VALUE"""),13247488)</f>
        <v>13247488</v>
      </c>
      <c r="K1504" s="5"/>
      <c r="L1504" s="18">
        <f ca="1">IFERROR(__xludf.DUMMYFUNCTION("""COMPUTED_VALUE"""),45324)</f>
        <v>45324</v>
      </c>
      <c r="M1504" s="18">
        <f ca="1">IFERROR(__xludf.DUMMYFUNCTION("""COMPUTED_VALUE"""),45324)</f>
        <v>45324</v>
      </c>
      <c r="N1504" s="5" t="str">
        <f ca="1">IFERROR(__xludf.DUMMYFUNCTION("""COMPUTED_VALUE"""),"Henao William")</f>
        <v>Henao William</v>
      </c>
      <c r="O1504" s="2">
        <f ca="1">IFERROR(__xludf.DUMMYFUNCTION("""COMPUTED_VALUE"""),0.00625)</f>
        <v>6.2500000000000003E-3</v>
      </c>
      <c r="P1504" s="5">
        <f ca="1">IFERROR(__xludf.DUMMYFUNCTION("""COMPUTED_VALUE"""),20009827)</f>
        <v>20009827</v>
      </c>
      <c r="Q1504" s="5" t="str">
        <f ca="1">IFERROR(__xludf.DUMMYFUNCTION("""COMPUTED_VALUE"""),"3JwdZm6kPW8")</f>
        <v>3JwdZm6kPW8</v>
      </c>
      <c r="R1504" s="5">
        <f ca="1">IFERROR(__xludf.DUMMYFUNCTION("""COMPUTED_VALUE"""),410)</f>
        <v>410</v>
      </c>
      <c r="S1504" s="62">
        <f ca="1">IFERROR(__xludf.DUMMYFUNCTION("""COMPUTED_VALUE"""),0.00625)</f>
        <v>6.2500000000000003E-3</v>
      </c>
      <c r="T1504" s="63" t="str">
        <f ca="1">IFERROR(__xludf.DUMMYFUNCTION("""COMPUTED_VALUE"""),"https://storage.googleapis.com/glide-prod.appspot.com/uploads-v2/ly7o78grxPaC6KdgvbpS/pub/3aRdSog0vUtuqPE8AJKD.png")</f>
        <v>https://storage.googleapis.com/glide-prod.appspot.com/uploads-v2/ly7o78grxPaC6KdgvbpS/pub/3aRdSog0vUtuqPE8AJKD.png</v>
      </c>
      <c r="U1504" s="5" t="str">
        <f ca="1">IFERROR(__xludf.DUMMYFUNCTION("""COMPUTED_VALUE"""),"EQUIPOS PARA SERVICIOS INDUSTRIALESCONDENSADOR EVAPORATIVO")</f>
        <v>EQUIPOS PARA SERVICIOS INDUSTRIALESCONDENSADOR EVAPORATIVO</v>
      </c>
      <c r="V1504" s="5"/>
      <c r="W1504" s="5" t="b">
        <f ca="1">IFERROR(__xludf.DUMMYFUNCTION("""COMPUTED_VALUE"""),TRUE)</f>
        <v>1</v>
      </c>
      <c r="X1504" s="5" t="str">
        <f ca="1">IFERROR(__xludf.DUMMYFUNCTION("""COMPUTED_VALUE"""),"wmazorra@postobon.com.co,aprmttoyu@postobon.com.co,aprmyu@postobon.com.co,wmora@postobon.com.co,efzapata@postobon.com.co")</f>
        <v>wmazorra@postobon.com.co,aprmttoyu@postobon.com.co,aprmyu@postobon.com.co,wmora@postobon.com.co,efzapata@postobon.com.co</v>
      </c>
      <c r="Y1504" s="5" t="str">
        <f ca="1">IFERROR(__xludf.DUMMYFUNCTION("""COMPUTED_VALUE"""),"wmazorra@postobon.com.co")</f>
        <v>wmazorra@postobon.com.co</v>
      </c>
      <c r="Z1504" s="5" t="str">
        <f ca="1">IFERROR(__xludf.DUMMYFUNCTION("""COMPUTED_VALUE"""),"ZlaoWpNRRsCegNpwuXPN1w")</f>
        <v>ZlaoWpNRRsCegNpwuXPN1w</v>
      </c>
      <c r="AA1504" s="5"/>
      <c r="AB1504" s="5"/>
      <c r="AC1504" s="5"/>
      <c r="AD1504" s="5">
        <f ca="1">IFERROR(__xludf.DUMMYFUNCTION("""COMPUTED_VALUE"""),78)</f>
        <v>78</v>
      </c>
      <c r="AE1504" s="5">
        <f ca="1">IFERROR(__xludf.DUMMYFUNCTION("""COMPUTED_VALUE"""),77)</f>
        <v>77</v>
      </c>
      <c r="AF1504" s="5" t="b">
        <f ca="1">IFERROR(__xludf.DUMMYFUNCTION("""COMPUTED_VALUE"""),FALSE)</f>
        <v>0</v>
      </c>
      <c r="AG1504" s="5" t="str">
        <f ca="1">IFERROR(__xludf.DUMMYFUNCTION("""COMPUTED_VALUE"""),"INSPECCIONES REALIZADAS")</f>
        <v>INSPECCIONES REALIZADAS</v>
      </c>
      <c r="AH1504" s="5"/>
    </row>
    <row r="1505" spans="1:34">
      <c r="A1505" s="5" t="str">
        <f ca="1">IFERROR(__xludf.DUMMYFUNCTION("""COMPUTED_VALUE"""),"EQUIPOS PARA SERVICIOS INDUSTRIALES")</f>
        <v>EQUIPOS PARA SERVICIOS INDUSTRIALES</v>
      </c>
      <c r="B1505" s="5">
        <f ca="1">IFERROR(__xludf.DUMMYFUNCTION("""COMPUTED_VALUE"""),638554)</f>
        <v>638554</v>
      </c>
      <c r="C1505" s="5" t="str">
        <f ca="1">IFERROR(__xludf.DUMMYFUNCTION("""COMPUTED_VALUE"""),"CONDENSADOR EVAPORATIVO")</f>
        <v>CONDENSADOR EVAPORATIVO</v>
      </c>
      <c r="D1505" s="5">
        <f ca="1">IFERROR(__xludf.DUMMYFUNCTION("""COMPUTED_VALUE"""),13247488)</f>
        <v>13247488</v>
      </c>
      <c r="E1505" s="5" t="str">
        <f ca="1">IFERROR(__xludf.DUMMYFUNCTION("""COMPUTED_VALUE"""),"INSPECCION SEMANAL CONDENSADOR EVAPORATI")</f>
        <v>INSPECCION SEMANAL CONDENSADOR EVAPORATI</v>
      </c>
      <c r="F1505" s="5" t="str">
        <f ca="1">IFERROR(__xludf.DUMMYFUNCTION("""COMPUTED_VALUE"""),"ESTADO DE DEFLECTORES")</f>
        <v>ESTADO DE DEFLECTORES</v>
      </c>
      <c r="G1505" s="5" t="b">
        <f ca="1">IFERROR(__xludf.DUMMYFUNCTION("""COMPUTED_VALUE"""),TRUE)</f>
        <v>1</v>
      </c>
      <c r="H1505" s="5"/>
      <c r="I1505" s="5"/>
      <c r="J1505" s="5">
        <f ca="1">IFERROR(__xludf.DUMMYFUNCTION("""COMPUTED_VALUE"""),13247488)</f>
        <v>13247488</v>
      </c>
      <c r="K1505" s="5"/>
      <c r="L1505" s="18">
        <f ca="1">IFERROR(__xludf.DUMMYFUNCTION("""COMPUTED_VALUE"""),45324)</f>
        <v>45324</v>
      </c>
      <c r="M1505" s="18">
        <f ca="1">IFERROR(__xludf.DUMMYFUNCTION("""COMPUTED_VALUE"""),45324)</f>
        <v>45324</v>
      </c>
      <c r="N1505" s="5" t="str">
        <f ca="1">IFERROR(__xludf.DUMMYFUNCTION("""COMPUTED_VALUE"""),"Henao William")</f>
        <v>Henao William</v>
      </c>
      <c r="O1505" s="2">
        <f ca="1">IFERROR(__xludf.DUMMYFUNCTION("""COMPUTED_VALUE"""),0.00625)</f>
        <v>6.2500000000000003E-3</v>
      </c>
      <c r="P1505" s="5">
        <f ca="1">IFERROR(__xludf.DUMMYFUNCTION("""COMPUTED_VALUE"""),20009827)</f>
        <v>20009827</v>
      </c>
      <c r="Q1505" s="5" t="str">
        <f ca="1">IFERROR(__xludf.DUMMYFUNCTION("""COMPUTED_VALUE"""),"KluY8YIuBrg")</f>
        <v>KluY8YIuBrg</v>
      </c>
      <c r="R1505" s="5">
        <f ca="1">IFERROR(__xludf.DUMMYFUNCTION("""COMPUTED_VALUE"""),410)</f>
        <v>410</v>
      </c>
      <c r="S1505" s="62">
        <f ca="1">IFERROR(__xludf.DUMMYFUNCTION("""COMPUTED_VALUE"""),0.00625)</f>
        <v>6.2500000000000003E-3</v>
      </c>
      <c r="T1505" s="63" t="str">
        <f ca="1">IFERROR(__xludf.DUMMYFUNCTION("""COMPUTED_VALUE"""),"https://storage.googleapis.com/glide-prod.appspot.com/uploads-v2/ly7o78grxPaC6KdgvbpS/pub/3aRdSog0vUtuqPE8AJKD.png")</f>
        <v>https://storage.googleapis.com/glide-prod.appspot.com/uploads-v2/ly7o78grxPaC6KdgvbpS/pub/3aRdSog0vUtuqPE8AJKD.png</v>
      </c>
      <c r="U1505" s="5" t="str">
        <f ca="1">IFERROR(__xludf.DUMMYFUNCTION("""COMPUTED_VALUE"""),"EQUIPOS PARA SERVICIOS INDUSTRIALESCONDENSADOR EVAPORATIVO")</f>
        <v>EQUIPOS PARA SERVICIOS INDUSTRIALESCONDENSADOR EVAPORATIVO</v>
      </c>
      <c r="V1505" s="5"/>
      <c r="W1505" s="5" t="b">
        <f ca="1">IFERROR(__xludf.DUMMYFUNCTION("""COMPUTED_VALUE"""),TRUE)</f>
        <v>1</v>
      </c>
      <c r="X1505" s="5" t="str">
        <f ca="1">IFERROR(__xludf.DUMMYFUNCTION("""COMPUTED_VALUE"""),"wmazorra@postobon.com.co,aprmttoyu@postobon.com.co,aprmyu@postobon.com.co,wmora@postobon.com.co,efzapata@postobon.com.co")</f>
        <v>wmazorra@postobon.com.co,aprmttoyu@postobon.com.co,aprmyu@postobon.com.co,wmora@postobon.com.co,efzapata@postobon.com.co</v>
      </c>
      <c r="Y1505" s="5" t="str">
        <f ca="1">IFERROR(__xludf.DUMMYFUNCTION("""COMPUTED_VALUE"""),"wmazorra@postobon.com.co")</f>
        <v>wmazorra@postobon.com.co</v>
      </c>
      <c r="Z1505" s="5" t="str">
        <f ca="1">IFERROR(__xludf.DUMMYFUNCTION("""COMPUTED_VALUE"""),"10LUgSaKQ8WglEsfb5Bp5Q")</f>
        <v>10LUgSaKQ8WglEsfb5Bp5Q</v>
      </c>
      <c r="AA1505" s="5"/>
      <c r="AB1505" s="5"/>
      <c r="AC1505" s="5"/>
      <c r="AD1505" s="5">
        <f ca="1">IFERROR(__xludf.DUMMYFUNCTION("""COMPUTED_VALUE"""),78)</f>
        <v>78</v>
      </c>
      <c r="AE1505" s="5">
        <f ca="1">IFERROR(__xludf.DUMMYFUNCTION("""COMPUTED_VALUE"""),77)</f>
        <v>77</v>
      </c>
      <c r="AF1505" s="5" t="b">
        <f ca="1">IFERROR(__xludf.DUMMYFUNCTION("""COMPUTED_VALUE"""),FALSE)</f>
        <v>0</v>
      </c>
      <c r="AG1505" s="5" t="str">
        <f ca="1">IFERROR(__xludf.DUMMYFUNCTION("""COMPUTED_VALUE"""),"INSPECCIONES REALIZADAS")</f>
        <v>INSPECCIONES REALIZADAS</v>
      </c>
      <c r="AH1505" s="5"/>
    </row>
    <row r="1506" spans="1:34">
      <c r="A1506" s="5" t="str">
        <f ca="1">IFERROR(__xludf.DUMMYFUNCTION("""COMPUTED_VALUE"""),"EQUIPOS PARA SERVICIOS INDUSTRIALES")</f>
        <v>EQUIPOS PARA SERVICIOS INDUSTRIALES</v>
      </c>
      <c r="B1506" s="5">
        <f ca="1">IFERROR(__xludf.DUMMYFUNCTION("""COMPUTED_VALUE"""),638554)</f>
        <v>638554</v>
      </c>
      <c r="C1506" s="5" t="str">
        <f ca="1">IFERROR(__xludf.DUMMYFUNCTION("""COMPUTED_VALUE"""),"CONDENSADOR EVAPORATIVO")</f>
        <v>CONDENSADOR EVAPORATIVO</v>
      </c>
      <c r="D1506" s="5">
        <f ca="1">IFERROR(__xludf.DUMMYFUNCTION("""COMPUTED_VALUE"""),13247488)</f>
        <v>13247488</v>
      </c>
      <c r="E1506" s="5" t="str">
        <f ca="1">IFERROR(__xludf.DUMMYFUNCTION("""COMPUTED_VALUE"""),"INSPECCION SEMANAL CONDENSADOR EVAPORATI")</f>
        <v>INSPECCION SEMANAL CONDENSADOR EVAPORATI</v>
      </c>
      <c r="F1506" s="5" t="str">
        <f ca="1">IFERROR(__xludf.DUMMYFUNCTION("""COMPUTED_VALUE"""),"ESTADO GRAL, PINTURA")</f>
        <v>ESTADO GRAL, PINTURA</v>
      </c>
      <c r="G1506" s="5" t="b">
        <f ca="1">IFERROR(__xludf.DUMMYFUNCTION("""COMPUTED_VALUE"""),TRUE)</f>
        <v>1</v>
      </c>
      <c r="H1506" s="5"/>
      <c r="I1506" s="5"/>
      <c r="J1506" s="5">
        <f ca="1">IFERROR(__xludf.DUMMYFUNCTION("""COMPUTED_VALUE"""),13247488)</f>
        <v>13247488</v>
      </c>
      <c r="K1506" s="5"/>
      <c r="L1506" s="18">
        <f ca="1">IFERROR(__xludf.DUMMYFUNCTION("""COMPUTED_VALUE"""),45324)</f>
        <v>45324</v>
      </c>
      <c r="M1506" s="18">
        <f ca="1">IFERROR(__xludf.DUMMYFUNCTION("""COMPUTED_VALUE"""),45324)</f>
        <v>45324</v>
      </c>
      <c r="N1506" s="5" t="str">
        <f ca="1">IFERROR(__xludf.DUMMYFUNCTION("""COMPUTED_VALUE"""),"Henao William")</f>
        <v>Henao William</v>
      </c>
      <c r="O1506" s="2">
        <f ca="1">IFERROR(__xludf.DUMMYFUNCTION("""COMPUTED_VALUE"""),0.00625)</f>
        <v>6.2500000000000003E-3</v>
      </c>
      <c r="P1506" s="5">
        <f ca="1">IFERROR(__xludf.DUMMYFUNCTION("""COMPUTED_VALUE"""),20009827)</f>
        <v>20009827</v>
      </c>
      <c r="Q1506" s="5" t="str">
        <f ca="1">IFERROR(__xludf.DUMMYFUNCTION("""COMPUTED_VALUE"""),"o-Kb6q9SxKE")</f>
        <v>o-Kb6q9SxKE</v>
      </c>
      <c r="R1506" s="5">
        <f ca="1">IFERROR(__xludf.DUMMYFUNCTION("""COMPUTED_VALUE"""),410)</f>
        <v>410</v>
      </c>
      <c r="S1506" s="62">
        <f ca="1">IFERROR(__xludf.DUMMYFUNCTION("""COMPUTED_VALUE"""),0.00625)</f>
        <v>6.2500000000000003E-3</v>
      </c>
      <c r="T1506" s="63" t="str">
        <f ca="1">IFERROR(__xludf.DUMMYFUNCTION("""COMPUTED_VALUE"""),"https://storage.googleapis.com/glide-prod.appspot.com/uploads-v2/ly7o78grxPaC6KdgvbpS/pub/3aRdSog0vUtuqPE8AJKD.png")</f>
        <v>https://storage.googleapis.com/glide-prod.appspot.com/uploads-v2/ly7o78grxPaC6KdgvbpS/pub/3aRdSog0vUtuqPE8AJKD.png</v>
      </c>
      <c r="U1506" s="5" t="str">
        <f ca="1">IFERROR(__xludf.DUMMYFUNCTION("""COMPUTED_VALUE"""),"EQUIPOS PARA SERVICIOS INDUSTRIALESCONDENSADOR EVAPORATIVO")</f>
        <v>EQUIPOS PARA SERVICIOS INDUSTRIALESCONDENSADOR EVAPORATIVO</v>
      </c>
      <c r="V1506" s="5"/>
      <c r="W1506" s="5" t="b">
        <f ca="1">IFERROR(__xludf.DUMMYFUNCTION("""COMPUTED_VALUE"""),TRUE)</f>
        <v>1</v>
      </c>
      <c r="X1506" s="5" t="str">
        <f ca="1">IFERROR(__xludf.DUMMYFUNCTION("""COMPUTED_VALUE"""),"wmazorra@postobon.com.co,aprmttoyu@postobon.com.co,aprmyu@postobon.com.co,wmora@postobon.com.co,efzapata@postobon.com.co")</f>
        <v>wmazorra@postobon.com.co,aprmttoyu@postobon.com.co,aprmyu@postobon.com.co,wmora@postobon.com.co,efzapata@postobon.com.co</v>
      </c>
      <c r="Y1506" s="5" t="str">
        <f ca="1">IFERROR(__xludf.DUMMYFUNCTION("""COMPUTED_VALUE"""),"wmazorra@postobon.com.co")</f>
        <v>wmazorra@postobon.com.co</v>
      </c>
      <c r="Z1506" s="5" t="str">
        <f ca="1">IFERROR(__xludf.DUMMYFUNCTION("""COMPUTED_VALUE"""),"bH5ZoAFsTfeCxrwWcuhWbQ")</f>
        <v>bH5ZoAFsTfeCxrwWcuhWbQ</v>
      </c>
      <c r="AA1506" s="5"/>
      <c r="AB1506" s="5"/>
      <c r="AC1506" s="5"/>
      <c r="AD1506" s="5">
        <f ca="1">IFERROR(__xludf.DUMMYFUNCTION("""COMPUTED_VALUE"""),78)</f>
        <v>78</v>
      </c>
      <c r="AE1506" s="5">
        <f ca="1">IFERROR(__xludf.DUMMYFUNCTION("""COMPUTED_VALUE"""),77)</f>
        <v>77</v>
      </c>
      <c r="AF1506" s="5" t="b">
        <f ca="1">IFERROR(__xludf.DUMMYFUNCTION("""COMPUTED_VALUE"""),FALSE)</f>
        <v>0</v>
      </c>
      <c r="AG1506" s="5" t="str">
        <f ca="1">IFERROR(__xludf.DUMMYFUNCTION("""COMPUTED_VALUE"""),"INSPECCIONES REALIZADAS")</f>
        <v>INSPECCIONES REALIZADAS</v>
      </c>
      <c r="AH1506" s="5"/>
    </row>
    <row r="1507" spans="1:34">
      <c r="A1507" s="5" t="str">
        <f ca="1">IFERROR(__xludf.DUMMYFUNCTION("""COMPUTED_VALUE"""),"EQUIPOS PARA SERVICIOS INDUSTRIALES")</f>
        <v>EQUIPOS PARA SERVICIOS INDUSTRIALES</v>
      </c>
      <c r="B1507" s="5">
        <f ca="1">IFERROR(__xludf.DUMMYFUNCTION("""COMPUTED_VALUE"""),638554)</f>
        <v>638554</v>
      </c>
      <c r="C1507" s="5" t="str">
        <f ca="1">IFERROR(__xludf.DUMMYFUNCTION("""COMPUTED_VALUE"""),"CONDENSADOR EVAPORATIVO")</f>
        <v>CONDENSADOR EVAPORATIVO</v>
      </c>
      <c r="D1507" s="5">
        <f ca="1">IFERROR(__xludf.DUMMYFUNCTION("""COMPUTED_VALUE"""),13247488)</f>
        <v>13247488</v>
      </c>
      <c r="E1507" s="5" t="str">
        <f ca="1">IFERROR(__xludf.DUMMYFUNCTION("""COMPUTED_VALUE"""),"INSPECCION SEMANAL CONDENSADOR EVAPORATI")</f>
        <v>INSPECCION SEMANAL CONDENSADOR EVAPORATI</v>
      </c>
      <c r="F1507" s="5" t="str">
        <f ca="1">IFERROR(__xludf.DUMMYFUNCTION("""COMPUTED_VALUE"""),"ESTADO TANQUE RECIBIDOR")</f>
        <v>ESTADO TANQUE RECIBIDOR</v>
      </c>
      <c r="G1507" s="5" t="b">
        <f ca="1">IFERROR(__xludf.DUMMYFUNCTION("""COMPUTED_VALUE"""),TRUE)</f>
        <v>1</v>
      </c>
      <c r="H1507" s="5"/>
      <c r="I1507" s="5"/>
      <c r="J1507" s="5">
        <f ca="1">IFERROR(__xludf.DUMMYFUNCTION("""COMPUTED_VALUE"""),13247488)</f>
        <v>13247488</v>
      </c>
      <c r="K1507" s="5"/>
      <c r="L1507" s="18">
        <f ca="1">IFERROR(__xludf.DUMMYFUNCTION("""COMPUTED_VALUE"""),45324)</f>
        <v>45324</v>
      </c>
      <c r="M1507" s="18">
        <f ca="1">IFERROR(__xludf.DUMMYFUNCTION("""COMPUTED_VALUE"""),45324)</f>
        <v>45324</v>
      </c>
      <c r="N1507" s="5" t="str">
        <f ca="1">IFERROR(__xludf.DUMMYFUNCTION("""COMPUTED_VALUE"""),"Henao William")</f>
        <v>Henao William</v>
      </c>
      <c r="O1507" s="2">
        <f ca="1">IFERROR(__xludf.DUMMYFUNCTION("""COMPUTED_VALUE"""),0.00625)</f>
        <v>6.2500000000000003E-3</v>
      </c>
      <c r="P1507" s="5">
        <f ca="1">IFERROR(__xludf.DUMMYFUNCTION("""COMPUTED_VALUE"""),20009827)</f>
        <v>20009827</v>
      </c>
      <c r="Q1507" s="5" t="str">
        <f ca="1">IFERROR(__xludf.DUMMYFUNCTION("""COMPUTED_VALUE"""),"Cddz9iciKrw")</f>
        <v>Cddz9iciKrw</v>
      </c>
      <c r="R1507" s="5">
        <f ca="1">IFERROR(__xludf.DUMMYFUNCTION("""COMPUTED_VALUE"""),410)</f>
        <v>410</v>
      </c>
      <c r="S1507" s="62">
        <f ca="1">IFERROR(__xludf.DUMMYFUNCTION("""COMPUTED_VALUE"""),0.00625)</f>
        <v>6.2500000000000003E-3</v>
      </c>
      <c r="T1507" s="63" t="str">
        <f ca="1">IFERROR(__xludf.DUMMYFUNCTION("""COMPUTED_VALUE"""),"https://storage.googleapis.com/glide-prod.appspot.com/uploads-v2/ly7o78grxPaC6KdgvbpS/pub/3aRdSog0vUtuqPE8AJKD.png")</f>
        <v>https://storage.googleapis.com/glide-prod.appspot.com/uploads-v2/ly7o78grxPaC6KdgvbpS/pub/3aRdSog0vUtuqPE8AJKD.png</v>
      </c>
      <c r="U1507" s="5" t="str">
        <f ca="1">IFERROR(__xludf.DUMMYFUNCTION("""COMPUTED_VALUE"""),"EQUIPOS PARA SERVICIOS INDUSTRIALESCONDENSADOR EVAPORATIVO")</f>
        <v>EQUIPOS PARA SERVICIOS INDUSTRIALESCONDENSADOR EVAPORATIVO</v>
      </c>
      <c r="V1507" s="5"/>
      <c r="W1507" s="5" t="b">
        <f ca="1">IFERROR(__xludf.DUMMYFUNCTION("""COMPUTED_VALUE"""),TRUE)</f>
        <v>1</v>
      </c>
      <c r="X1507" s="5" t="str">
        <f ca="1">IFERROR(__xludf.DUMMYFUNCTION("""COMPUTED_VALUE"""),"wmazorra@postobon.com.co,aprmttoyu@postobon.com.co,aprmyu@postobon.com.co,wmora@postobon.com.co,efzapata@postobon.com.co")</f>
        <v>wmazorra@postobon.com.co,aprmttoyu@postobon.com.co,aprmyu@postobon.com.co,wmora@postobon.com.co,efzapata@postobon.com.co</v>
      </c>
      <c r="Y1507" s="5" t="str">
        <f ca="1">IFERROR(__xludf.DUMMYFUNCTION("""COMPUTED_VALUE"""),"wmazorra@postobon.com.co")</f>
        <v>wmazorra@postobon.com.co</v>
      </c>
      <c r="Z1507" s="5" t="str">
        <f ca="1">IFERROR(__xludf.DUMMYFUNCTION("""COMPUTED_VALUE"""),"ZA49Y1qqRh2mVlb-HxKiPw")</f>
        <v>ZA49Y1qqRh2mVlb-HxKiPw</v>
      </c>
      <c r="AA1507" s="5"/>
      <c r="AB1507" s="5"/>
      <c r="AC1507" s="5"/>
      <c r="AD1507" s="5">
        <f ca="1">IFERROR(__xludf.DUMMYFUNCTION("""COMPUTED_VALUE"""),78)</f>
        <v>78</v>
      </c>
      <c r="AE1507" s="5">
        <f ca="1">IFERROR(__xludf.DUMMYFUNCTION("""COMPUTED_VALUE"""),77)</f>
        <v>77</v>
      </c>
      <c r="AF1507" s="5" t="b">
        <f ca="1">IFERROR(__xludf.DUMMYFUNCTION("""COMPUTED_VALUE"""),FALSE)</f>
        <v>0</v>
      </c>
      <c r="AG1507" s="5" t="str">
        <f ca="1">IFERROR(__xludf.DUMMYFUNCTION("""COMPUTED_VALUE"""),"INSPECCIONES REALIZADAS")</f>
        <v>INSPECCIONES REALIZADAS</v>
      </c>
      <c r="AH1507" s="5"/>
    </row>
    <row r="1508" spans="1:34">
      <c r="A1508" s="5" t="str">
        <f ca="1">IFERROR(__xludf.DUMMYFUNCTION("""COMPUTED_VALUE"""),"EQUIPOS PARA SERVICIOS INDUSTRIALES")</f>
        <v>EQUIPOS PARA SERVICIOS INDUSTRIALES</v>
      </c>
      <c r="B1508" s="5">
        <f ca="1">IFERROR(__xludf.DUMMYFUNCTION("""COMPUTED_VALUE"""),638554)</f>
        <v>638554</v>
      </c>
      <c r="C1508" s="5" t="str">
        <f ca="1">IFERROR(__xludf.DUMMYFUNCTION("""COMPUTED_VALUE"""),"CONDENSADOR EVAPORATIVO")</f>
        <v>CONDENSADOR EVAPORATIVO</v>
      </c>
      <c r="D1508" s="5">
        <f ca="1">IFERROR(__xludf.DUMMYFUNCTION("""COMPUTED_VALUE"""),13247488)</f>
        <v>13247488</v>
      </c>
      <c r="E1508" s="5" t="str">
        <f ca="1">IFERROR(__xludf.DUMMYFUNCTION("""COMPUTED_VALUE"""),"INSPECCION SEMANAL CONDENSADOR EVAPORATI")</f>
        <v>INSPECCION SEMANAL CONDENSADOR EVAPORATI</v>
      </c>
      <c r="F1508" s="5" t="str">
        <f ca="1">IFERROR(__xludf.DUMMYFUNCTION("""COMPUTED_VALUE"""),"ESTADO EJE VENTILADOR")</f>
        <v>ESTADO EJE VENTILADOR</v>
      </c>
      <c r="G1508" s="5" t="b">
        <f ca="1">IFERROR(__xludf.DUMMYFUNCTION("""COMPUTED_VALUE"""),TRUE)</f>
        <v>1</v>
      </c>
      <c r="H1508" s="5"/>
      <c r="I1508" s="5"/>
      <c r="J1508" s="5">
        <f ca="1">IFERROR(__xludf.DUMMYFUNCTION("""COMPUTED_VALUE"""),13247488)</f>
        <v>13247488</v>
      </c>
      <c r="K1508" s="5"/>
      <c r="L1508" s="18">
        <f ca="1">IFERROR(__xludf.DUMMYFUNCTION("""COMPUTED_VALUE"""),45324)</f>
        <v>45324</v>
      </c>
      <c r="M1508" s="18">
        <f ca="1">IFERROR(__xludf.DUMMYFUNCTION("""COMPUTED_VALUE"""),45324)</f>
        <v>45324</v>
      </c>
      <c r="N1508" s="5" t="str">
        <f ca="1">IFERROR(__xludf.DUMMYFUNCTION("""COMPUTED_VALUE"""),"Henao William")</f>
        <v>Henao William</v>
      </c>
      <c r="O1508" s="2">
        <f ca="1">IFERROR(__xludf.DUMMYFUNCTION("""COMPUTED_VALUE"""),0.00625)</f>
        <v>6.2500000000000003E-3</v>
      </c>
      <c r="P1508" s="5">
        <f ca="1">IFERROR(__xludf.DUMMYFUNCTION("""COMPUTED_VALUE"""),20009827)</f>
        <v>20009827</v>
      </c>
      <c r="Q1508" s="5" t="str">
        <f ca="1">IFERROR(__xludf.DUMMYFUNCTION("""COMPUTED_VALUE"""),"qvSyRK_Zgsg")</f>
        <v>qvSyRK_Zgsg</v>
      </c>
      <c r="R1508" s="5">
        <f ca="1">IFERROR(__xludf.DUMMYFUNCTION("""COMPUTED_VALUE"""),410)</f>
        <v>410</v>
      </c>
      <c r="S1508" s="62">
        <f ca="1">IFERROR(__xludf.DUMMYFUNCTION("""COMPUTED_VALUE"""),0.00625)</f>
        <v>6.2500000000000003E-3</v>
      </c>
      <c r="T1508" s="63" t="str">
        <f ca="1">IFERROR(__xludf.DUMMYFUNCTION("""COMPUTED_VALUE"""),"https://storage.googleapis.com/glide-prod.appspot.com/uploads-v2/ly7o78grxPaC6KdgvbpS/pub/3aRdSog0vUtuqPE8AJKD.png")</f>
        <v>https://storage.googleapis.com/glide-prod.appspot.com/uploads-v2/ly7o78grxPaC6KdgvbpS/pub/3aRdSog0vUtuqPE8AJKD.png</v>
      </c>
      <c r="U1508" s="5" t="str">
        <f ca="1">IFERROR(__xludf.DUMMYFUNCTION("""COMPUTED_VALUE"""),"EQUIPOS PARA SERVICIOS INDUSTRIALESCONDENSADOR EVAPORATIVO")</f>
        <v>EQUIPOS PARA SERVICIOS INDUSTRIALESCONDENSADOR EVAPORATIVO</v>
      </c>
      <c r="V1508" s="5"/>
      <c r="W1508" s="5" t="b">
        <f ca="1">IFERROR(__xludf.DUMMYFUNCTION("""COMPUTED_VALUE"""),TRUE)</f>
        <v>1</v>
      </c>
      <c r="X1508" s="5" t="str">
        <f ca="1">IFERROR(__xludf.DUMMYFUNCTION("""COMPUTED_VALUE"""),"wmazorra@postobon.com.co,aprmttoyu@postobon.com.co,aprmyu@postobon.com.co,wmora@postobon.com.co,efzapata@postobon.com.co")</f>
        <v>wmazorra@postobon.com.co,aprmttoyu@postobon.com.co,aprmyu@postobon.com.co,wmora@postobon.com.co,efzapata@postobon.com.co</v>
      </c>
      <c r="Y1508" s="5" t="str">
        <f ca="1">IFERROR(__xludf.DUMMYFUNCTION("""COMPUTED_VALUE"""),"wmazorra@postobon.com.co")</f>
        <v>wmazorra@postobon.com.co</v>
      </c>
      <c r="Z1508" s="5" t="str">
        <f ca="1">IFERROR(__xludf.DUMMYFUNCTION("""COMPUTED_VALUE"""),"OOQrCCpKTwCvoCKa2A26-A")</f>
        <v>OOQrCCpKTwCvoCKa2A26-A</v>
      </c>
      <c r="AA1508" s="5"/>
      <c r="AB1508" s="5"/>
      <c r="AC1508" s="5"/>
      <c r="AD1508" s="5">
        <f ca="1">IFERROR(__xludf.DUMMYFUNCTION("""COMPUTED_VALUE"""),78)</f>
        <v>78</v>
      </c>
      <c r="AE1508" s="5">
        <f ca="1">IFERROR(__xludf.DUMMYFUNCTION("""COMPUTED_VALUE"""),77)</f>
        <v>77</v>
      </c>
      <c r="AF1508" s="5" t="b">
        <f ca="1">IFERROR(__xludf.DUMMYFUNCTION("""COMPUTED_VALUE"""),FALSE)</f>
        <v>0</v>
      </c>
      <c r="AG1508" s="5" t="str">
        <f ca="1">IFERROR(__xludf.DUMMYFUNCTION("""COMPUTED_VALUE"""),"INSPECCIONES REALIZADAS")</f>
        <v>INSPECCIONES REALIZADAS</v>
      </c>
      <c r="AH1508" s="5"/>
    </row>
    <row r="1509" spans="1:34">
      <c r="A1509" s="5" t="str">
        <f ca="1">IFERROR(__xludf.DUMMYFUNCTION("""COMPUTED_VALUE"""),"EQUIPOS PARA SERVICIOS INDUSTRIALES")</f>
        <v>EQUIPOS PARA SERVICIOS INDUSTRIALES</v>
      </c>
      <c r="B1509" s="5">
        <f ca="1">IFERROR(__xludf.DUMMYFUNCTION("""COMPUTED_VALUE"""),638554)</f>
        <v>638554</v>
      </c>
      <c r="C1509" s="5" t="str">
        <f ca="1">IFERROR(__xludf.DUMMYFUNCTION("""COMPUTED_VALUE"""),"CONDENSADOR EVAPORATIVO")</f>
        <v>CONDENSADOR EVAPORATIVO</v>
      </c>
      <c r="D1509" s="5">
        <f ca="1">IFERROR(__xludf.DUMMYFUNCTION("""COMPUTED_VALUE"""),13247488)</f>
        <v>13247488</v>
      </c>
      <c r="E1509" s="5" t="str">
        <f ca="1">IFERROR(__xludf.DUMMYFUNCTION("""COMPUTED_VALUE"""),"INSPECCION SEMANAL CONDENSADOR EVAPORATI")</f>
        <v>INSPECCION SEMANAL CONDENSADOR EVAPORATI</v>
      </c>
      <c r="F1509" s="5" t="str">
        <f ca="1">IFERROR(__xludf.DUMMYFUNCTION("""COMPUTED_VALUE"""),"CHUMACERAS")</f>
        <v>CHUMACERAS</v>
      </c>
      <c r="G1509" s="5" t="b">
        <f ca="1">IFERROR(__xludf.DUMMYFUNCTION("""COMPUTED_VALUE"""),TRUE)</f>
        <v>1</v>
      </c>
      <c r="H1509" s="5"/>
      <c r="I1509" s="5"/>
      <c r="J1509" s="5">
        <f ca="1">IFERROR(__xludf.DUMMYFUNCTION("""COMPUTED_VALUE"""),13247488)</f>
        <v>13247488</v>
      </c>
      <c r="K1509" s="5"/>
      <c r="L1509" s="18">
        <f ca="1">IFERROR(__xludf.DUMMYFUNCTION("""COMPUTED_VALUE"""),45324)</f>
        <v>45324</v>
      </c>
      <c r="M1509" s="18">
        <f ca="1">IFERROR(__xludf.DUMMYFUNCTION("""COMPUTED_VALUE"""),45324)</f>
        <v>45324</v>
      </c>
      <c r="N1509" s="5" t="str">
        <f ca="1">IFERROR(__xludf.DUMMYFUNCTION("""COMPUTED_VALUE"""),"Henao William")</f>
        <v>Henao William</v>
      </c>
      <c r="O1509" s="2">
        <f ca="1">IFERROR(__xludf.DUMMYFUNCTION("""COMPUTED_VALUE"""),0.00625)</f>
        <v>6.2500000000000003E-3</v>
      </c>
      <c r="P1509" s="5">
        <f ca="1">IFERROR(__xludf.DUMMYFUNCTION("""COMPUTED_VALUE"""),20009827)</f>
        <v>20009827</v>
      </c>
      <c r="Q1509" s="5" t="str">
        <f ca="1">IFERROR(__xludf.DUMMYFUNCTION("""COMPUTED_VALUE"""),"N--RI17rg_w")</f>
        <v>N--RI17rg_w</v>
      </c>
      <c r="R1509" s="5">
        <f ca="1">IFERROR(__xludf.DUMMYFUNCTION("""COMPUTED_VALUE"""),410)</f>
        <v>410</v>
      </c>
      <c r="S1509" s="62">
        <f ca="1">IFERROR(__xludf.DUMMYFUNCTION("""COMPUTED_VALUE"""),0.00625)</f>
        <v>6.2500000000000003E-3</v>
      </c>
      <c r="T1509" s="63" t="str">
        <f ca="1">IFERROR(__xludf.DUMMYFUNCTION("""COMPUTED_VALUE"""),"https://storage.googleapis.com/glide-prod.appspot.com/uploads-v2/ly7o78grxPaC6KdgvbpS/pub/3aRdSog0vUtuqPE8AJKD.png")</f>
        <v>https://storage.googleapis.com/glide-prod.appspot.com/uploads-v2/ly7o78grxPaC6KdgvbpS/pub/3aRdSog0vUtuqPE8AJKD.png</v>
      </c>
      <c r="U1509" s="5" t="str">
        <f ca="1">IFERROR(__xludf.DUMMYFUNCTION("""COMPUTED_VALUE"""),"EQUIPOS PARA SERVICIOS INDUSTRIALESCONDENSADOR EVAPORATIVO")</f>
        <v>EQUIPOS PARA SERVICIOS INDUSTRIALESCONDENSADOR EVAPORATIVO</v>
      </c>
      <c r="V1509" s="5"/>
      <c r="W1509" s="5" t="b">
        <f ca="1">IFERROR(__xludf.DUMMYFUNCTION("""COMPUTED_VALUE"""),TRUE)</f>
        <v>1</v>
      </c>
      <c r="X1509" s="5" t="str">
        <f ca="1">IFERROR(__xludf.DUMMYFUNCTION("""COMPUTED_VALUE"""),"wmazorra@postobon.com.co,aprmttoyu@postobon.com.co,aprmyu@postobon.com.co,wmora@postobon.com.co,efzapata@postobon.com.co")</f>
        <v>wmazorra@postobon.com.co,aprmttoyu@postobon.com.co,aprmyu@postobon.com.co,wmora@postobon.com.co,efzapata@postobon.com.co</v>
      </c>
      <c r="Y1509" s="5" t="str">
        <f ca="1">IFERROR(__xludf.DUMMYFUNCTION("""COMPUTED_VALUE"""),"wmazorra@postobon.com.co")</f>
        <v>wmazorra@postobon.com.co</v>
      </c>
      <c r="Z1509" s="5" t="str">
        <f ca="1">IFERROR(__xludf.DUMMYFUNCTION("""COMPUTED_VALUE"""),"X4sAiOjqRLmr3paEAsYrzQ")</f>
        <v>X4sAiOjqRLmr3paEAsYrzQ</v>
      </c>
      <c r="AA1509" s="5"/>
      <c r="AB1509" s="5"/>
      <c r="AC1509" s="5"/>
      <c r="AD1509" s="5">
        <f ca="1">IFERROR(__xludf.DUMMYFUNCTION("""COMPUTED_VALUE"""),78)</f>
        <v>78</v>
      </c>
      <c r="AE1509" s="5">
        <f ca="1">IFERROR(__xludf.DUMMYFUNCTION("""COMPUTED_VALUE"""),77)</f>
        <v>77</v>
      </c>
      <c r="AF1509" s="5" t="b">
        <f ca="1">IFERROR(__xludf.DUMMYFUNCTION("""COMPUTED_VALUE"""),FALSE)</f>
        <v>0</v>
      </c>
      <c r="AG1509" s="5" t="str">
        <f ca="1">IFERROR(__xludf.DUMMYFUNCTION("""COMPUTED_VALUE"""),"INSPECCIONES REALIZADAS")</f>
        <v>INSPECCIONES REALIZADAS</v>
      </c>
      <c r="AH1509" s="5"/>
    </row>
    <row r="1510" spans="1:34">
      <c r="A1510" s="5" t="str">
        <f ca="1">IFERROR(__xludf.DUMMYFUNCTION("""COMPUTED_VALUE"""),"EQUIPOS PARA SERVICIOS INDUSTRIALES")</f>
        <v>EQUIPOS PARA SERVICIOS INDUSTRIALES</v>
      </c>
      <c r="B1510" s="5">
        <f ca="1">IFERROR(__xludf.DUMMYFUNCTION("""COMPUTED_VALUE"""),638554)</f>
        <v>638554</v>
      </c>
      <c r="C1510" s="5" t="str">
        <f ca="1">IFERROR(__xludf.DUMMYFUNCTION("""COMPUTED_VALUE"""),"CONDENSADOR EVAPORATIVO")</f>
        <v>CONDENSADOR EVAPORATIVO</v>
      </c>
      <c r="D1510" s="5">
        <f ca="1">IFERROR(__xludf.DUMMYFUNCTION("""COMPUTED_VALUE"""),13247488)</f>
        <v>13247488</v>
      </c>
      <c r="E1510" s="5" t="str">
        <f ca="1">IFERROR(__xludf.DUMMYFUNCTION("""COMPUTED_VALUE"""),"INSPECCION SEMANAL CONDENSADOR EVAPORATI")</f>
        <v>INSPECCION SEMANAL CONDENSADOR EVAPORATI</v>
      </c>
      <c r="F1510" s="5" t="str">
        <f ca="1">IFERROR(__xludf.DUMMYFUNCTION("""COMPUTED_VALUE"""),"TABLERO ELECTRICO/CLIMATIZADOR")</f>
        <v>TABLERO ELECTRICO/CLIMATIZADOR</v>
      </c>
      <c r="G1510" s="5" t="b">
        <f ca="1">IFERROR(__xludf.DUMMYFUNCTION("""COMPUTED_VALUE"""),TRUE)</f>
        <v>1</v>
      </c>
      <c r="H1510" s="5"/>
      <c r="I1510" s="5"/>
      <c r="J1510" s="5">
        <f ca="1">IFERROR(__xludf.DUMMYFUNCTION("""COMPUTED_VALUE"""),13247488)</f>
        <v>13247488</v>
      </c>
      <c r="K1510" s="5"/>
      <c r="L1510" s="18">
        <f ca="1">IFERROR(__xludf.DUMMYFUNCTION("""COMPUTED_VALUE"""),45324)</f>
        <v>45324</v>
      </c>
      <c r="M1510" s="18">
        <f ca="1">IFERROR(__xludf.DUMMYFUNCTION("""COMPUTED_VALUE"""),45324)</f>
        <v>45324</v>
      </c>
      <c r="N1510" s="5" t="str">
        <f ca="1">IFERROR(__xludf.DUMMYFUNCTION("""COMPUTED_VALUE"""),"Henao William")</f>
        <v>Henao William</v>
      </c>
      <c r="O1510" s="2">
        <f ca="1">IFERROR(__xludf.DUMMYFUNCTION("""COMPUTED_VALUE"""),0.00625)</f>
        <v>6.2500000000000003E-3</v>
      </c>
      <c r="P1510" s="5">
        <f ca="1">IFERROR(__xludf.DUMMYFUNCTION("""COMPUTED_VALUE"""),20009827)</f>
        <v>20009827</v>
      </c>
      <c r="Q1510" s="5" t="str">
        <f ca="1">IFERROR(__xludf.DUMMYFUNCTION("""COMPUTED_VALUE"""),"i30TADRp4oc")</f>
        <v>i30TADRp4oc</v>
      </c>
      <c r="R1510" s="5">
        <f ca="1">IFERROR(__xludf.DUMMYFUNCTION("""COMPUTED_VALUE"""),410)</f>
        <v>410</v>
      </c>
      <c r="S1510" s="62">
        <f ca="1">IFERROR(__xludf.DUMMYFUNCTION("""COMPUTED_VALUE"""),0.00625)</f>
        <v>6.2500000000000003E-3</v>
      </c>
      <c r="T1510" s="63" t="str">
        <f ca="1">IFERROR(__xludf.DUMMYFUNCTION("""COMPUTED_VALUE"""),"https://storage.googleapis.com/glide-prod.appspot.com/uploads-v2/ly7o78grxPaC6KdgvbpS/pub/3aRdSog0vUtuqPE8AJKD.png")</f>
        <v>https://storage.googleapis.com/glide-prod.appspot.com/uploads-v2/ly7o78grxPaC6KdgvbpS/pub/3aRdSog0vUtuqPE8AJKD.png</v>
      </c>
      <c r="U1510" s="5" t="str">
        <f ca="1">IFERROR(__xludf.DUMMYFUNCTION("""COMPUTED_VALUE"""),"EQUIPOS PARA SERVICIOS INDUSTRIALESCONDENSADOR EVAPORATIVO")</f>
        <v>EQUIPOS PARA SERVICIOS INDUSTRIALESCONDENSADOR EVAPORATIVO</v>
      </c>
      <c r="V1510" s="5"/>
      <c r="W1510" s="5" t="b">
        <f ca="1">IFERROR(__xludf.DUMMYFUNCTION("""COMPUTED_VALUE"""),TRUE)</f>
        <v>1</v>
      </c>
      <c r="X1510" s="5" t="str">
        <f ca="1">IFERROR(__xludf.DUMMYFUNCTION("""COMPUTED_VALUE"""),"wmazorra@postobon.com.co,aprmttoyu@postobon.com.co,aprmyu@postobon.com.co,wmora@postobon.com.co,efzapata@postobon.com.co")</f>
        <v>wmazorra@postobon.com.co,aprmttoyu@postobon.com.co,aprmyu@postobon.com.co,wmora@postobon.com.co,efzapata@postobon.com.co</v>
      </c>
      <c r="Y1510" s="5" t="str">
        <f ca="1">IFERROR(__xludf.DUMMYFUNCTION("""COMPUTED_VALUE"""),"wmazorra@postobon.com.co")</f>
        <v>wmazorra@postobon.com.co</v>
      </c>
      <c r="Z1510" s="5" t="str">
        <f ca="1">IFERROR(__xludf.DUMMYFUNCTION("""COMPUTED_VALUE"""),"w6C.cL.MQCe0ImQFHpBl8A")</f>
        <v>w6C.cL.MQCe0ImQFHpBl8A</v>
      </c>
      <c r="AA1510" s="5"/>
      <c r="AB1510" s="5"/>
      <c r="AC1510" s="5"/>
      <c r="AD1510" s="5">
        <f ca="1">IFERROR(__xludf.DUMMYFUNCTION("""COMPUTED_VALUE"""),78)</f>
        <v>78</v>
      </c>
      <c r="AE1510" s="5">
        <f ca="1">IFERROR(__xludf.DUMMYFUNCTION("""COMPUTED_VALUE"""),77)</f>
        <v>77</v>
      </c>
      <c r="AF1510" s="5" t="b">
        <f ca="1">IFERROR(__xludf.DUMMYFUNCTION("""COMPUTED_VALUE"""),FALSE)</f>
        <v>0</v>
      </c>
      <c r="AG1510" s="5" t="str">
        <f ca="1">IFERROR(__xludf.DUMMYFUNCTION("""COMPUTED_VALUE"""),"INSPECCIONES REALIZADAS")</f>
        <v>INSPECCIONES REALIZADAS</v>
      </c>
      <c r="AH1510" s="5"/>
    </row>
    <row r="1511" spans="1:34">
      <c r="A1511" s="5" t="str">
        <f ca="1">IFERROR(__xludf.DUMMYFUNCTION("""COMPUTED_VALUE"""),"EQUIPOS PARA SERVICIOS INDUSTRIALES")</f>
        <v>EQUIPOS PARA SERVICIOS INDUSTRIALES</v>
      </c>
      <c r="B1511" s="5">
        <f ca="1">IFERROR(__xludf.DUMMYFUNCTION("""COMPUTED_VALUE"""),638554)</f>
        <v>638554</v>
      </c>
      <c r="C1511" s="5" t="str">
        <f ca="1">IFERROR(__xludf.DUMMYFUNCTION("""COMPUTED_VALUE"""),"CONDENSADOR EVAPORATIVO")</f>
        <v>CONDENSADOR EVAPORATIVO</v>
      </c>
      <c r="D1511" s="5">
        <f ca="1">IFERROR(__xludf.DUMMYFUNCTION("""COMPUTED_VALUE"""),13247488)</f>
        <v>13247488</v>
      </c>
      <c r="E1511" s="5" t="str">
        <f ca="1">IFERROR(__xludf.DUMMYFUNCTION("""COMPUTED_VALUE"""),"INSPECCION SEMANAL CONDENSADOR EVAPORATI")</f>
        <v>INSPECCION SEMANAL CONDENSADOR EVAPORATI</v>
      </c>
      <c r="F1511" s="5" t="str">
        <f ca="1">IFERROR(__xludf.DUMMYFUNCTION("""COMPUTED_VALUE"""),"ESTADO CORREAS VENTILADOR")</f>
        <v>ESTADO CORREAS VENTILADOR</v>
      </c>
      <c r="G1511" s="5" t="b">
        <f ca="1">IFERROR(__xludf.DUMMYFUNCTION("""COMPUTED_VALUE"""),TRUE)</f>
        <v>1</v>
      </c>
      <c r="H1511" s="5"/>
      <c r="I1511" s="5"/>
      <c r="J1511" s="5">
        <f ca="1">IFERROR(__xludf.DUMMYFUNCTION("""COMPUTED_VALUE"""),13247488)</f>
        <v>13247488</v>
      </c>
      <c r="K1511" s="5"/>
      <c r="L1511" s="18">
        <f ca="1">IFERROR(__xludf.DUMMYFUNCTION("""COMPUTED_VALUE"""),45324)</f>
        <v>45324</v>
      </c>
      <c r="M1511" s="18">
        <f ca="1">IFERROR(__xludf.DUMMYFUNCTION("""COMPUTED_VALUE"""),45324)</f>
        <v>45324</v>
      </c>
      <c r="N1511" s="5" t="str">
        <f ca="1">IFERROR(__xludf.DUMMYFUNCTION("""COMPUTED_VALUE"""),"Henao William")</f>
        <v>Henao William</v>
      </c>
      <c r="O1511" s="2">
        <f ca="1">IFERROR(__xludf.DUMMYFUNCTION("""COMPUTED_VALUE"""),0.00625)</f>
        <v>6.2500000000000003E-3</v>
      </c>
      <c r="P1511" s="5">
        <f ca="1">IFERROR(__xludf.DUMMYFUNCTION("""COMPUTED_VALUE"""),20009827)</f>
        <v>20009827</v>
      </c>
      <c r="Q1511" s="5" t="str">
        <f ca="1">IFERROR(__xludf.DUMMYFUNCTION("""COMPUTED_VALUE"""),"Kp_-cJj7OfE")</f>
        <v>Kp_-cJj7OfE</v>
      </c>
      <c r="R1511" s="5">
        <f ca="1">IFERROR(__xludf.DUMMYFUNCTION("""COMPUTED_VALUE"""),410)</f>
        <v>410</v>
      </c>
      <c r="S1511" s="62">
        <f ca="1">IFERROR(__xludf.DUMMYFUNCTION("""COMPUTED_VALUE"""),0.00625)</f>
        <v>6.2500000000000003E-3</v>
      </c>
      <c r="T1511" s="63" t="str">
        <f ca="1">IFERROR(__xludf.DUMMYFUNCTION("""COMPUTED_VALUE"""),"https://storage.googleapis.com/glide-prod.appspot.com/uploads-v2/ly7o78grxPaC6KdgvbpS/pub/3aRdSog0vUtuqPE8AJKD.png")</f>
        <v>https://storage.googleapis.com/glide-prod.appspot.com/uploads-v2/ly7o78grxPaC6KdgvbpS/pub/3aRdSog0vUtuqPE8AJKD.png</v>
      </c>
      <c r="U1511" s="5" t="str">
        <f ca="1">IFERROR(__xludf.DUMMYFUNCTION("""COMPUTED_VALUE"""),"EQUIPOS PARA SERVICIOS INDUSTRIALESCONDENSADOR EVAPORATIVO")</f>
        <v>EQUIPOS PARA SERVICIOS INDUSTRIALESCONDENSADOR EVAPORATIVO</v>
      </c>
      <c r="V1511" s="5"/>
      <c r="W1511" s="5" t="b">
        <f ca="1">IFERROR(__xludf.DUMMYFUNCTION("""COMPUTED_VALUE"""),TRUE)</f>
        <v>1</v>
      </c>
      <c r="X1511" s="5" t="str">
        <f ca="1">IFERROR(__xludf.DUMMYFUNCTION("""COMPUTED_VALUE"""),"wmazorra@postobon.com.co,aprmttoyu@postobon.com.co,aprmyu@postobon.com.co,wmora@postobon.com.co,efzapata@postobon.com.co")</f>
        <v>wmazorra@postobon.com.co,aprmttoyu@postobon.com.co,aprmyu@postobon.com.co,wmora@postobon.com.co,efzapata@postobon.com.co</v>
      </c>
      <c r="Y1511" s="5" t="str">
        <f ca="1">IFERROR(__xludf.DUMMYFUNCTION("""COMPUTED_VALUE"""),"wmazorra@postobon.com.co")</f>
        <v>wmazorra@postobon.com.co</v>
      </c>
      <c r="Z1511" s="5" t="str">
        <f ca="1">IFERROR(__xludf.DUMMYFUNCTION("""COMPUTED_VALUE"""),"VPxZ2o-XQ6Sym6vZEQ8MGg")</f>
        <v>VPxZ2o-XQ6Sym6vZEQ8MGg</v>
      </c>
      <c r="AA1511" s="5"/>
      <c r="AB1511" s="5"/>
      <c r="AC1511" s="5"/>
      <c r="AD1511" s="5">
        <f ca="1">IFERROR(__xludf.DUMMYFUNCTION("""COMPUTED_VALUE"""),78)</f>
        <v>78</v>
      </c>
      <c r="AE1511" s="5">
        <f ca="1">IFERROR(__xludf.DUMMYFUNCTION("""COMPUTED_VALUE"""),77)</f>
        <v>77</v>
      </c>
      <c r="AF1511" s="5" t="b">
        <f ca="1">IFERROR(__xludf.DUMMYFUNCTION("""COMPUTED_VALUE"""),FALSE)</f>
        <v>0</v>
      </c>
      <c r="AG1511" s="5" t="str">
        <f ca="1">IFERROR(__xludf.DUMMYFUNCTION("""COMPUTED_VALUE"""),"INSPECCIONES REALIZADAS")</f>
        <v>INSPECCIONES REALIZADAS</v>
      </c>
      <c r="AH1511" s="5"/>
    </row>
    <row r="1512" spans="1:34">
      <c r="A1512" s="5" t="str">
        <f ca="1">IFERROR(__xludf.DUMMYFUNCTION("""COMPUTED_VALUE"""),"EQUIPOS PARA SERVICIOS INDUSTRIALES")</f>
        <v>EQUIPOS PARA SERVICIOS INDUSTRIALES</v>
      </c>
      <c r="B1512" s="5">
        <f ca="1">IFERROR(__xludf.DUMMYFUNCTION("""COMPUTED_VALUE"""),638554)</f>
        <v>638554</v>
      </c>
      <c r="C1512" s="5" t="str">
        <f ca="1">IFERROR(__xludf.DUMMYFUNCTION("""COMPUTED_VALUE"""),"CONDENSADOR EVAPORATIVO")</f>
        <v>CONDENSADOR EVAPORATIVO</v>
      </c>
      <c r="D1512" s="5">
        <f ca="1">IFERROR(__xludf.DUMMYFUNCTION("""COMPUTED_VALUE"""),13247488)</f>
        <v>13247488</v>
      </c>
      <c r="E1512" s="5" t="str">
        <f ca="1">IFERROR(__xludf.DUMMYFUNCTION("""COMPUTED_VALUE"""),"INSPECCION SEMANAL CONDENSADOR EVAPORATI")</f>
        <v>INSPECCION SEMANAL CONDENSADOR EVAPORATI</v>
      </c>
      <c r="F1512" s="5" t="str">
        <f ca="1">IFERROR(__xludf.DUMMYFUNCTION("""COMPUTED_VALUE"""),"INSP FUGAS AGUA, REFRIGERANTE SERPENTIN")</f>
        <v>INSP FUGAS AGUA, REFRIGERANTE SERPENTIN</v>
      </c>
      <c r="G1512" s="5" t="b">
        <f ca="1">IFERROR(__xludf.DUMMYFUNCTION("""COMPUTED_VALUE"""),TRUE)</f>
        <v>1</v>
      </c>
      <c r="H1512" s="5"/>
      <c r="I1512" s="5"/>
      <c r="J1512" s="5">
        <f ca="1">IFERROR(__xludf.DUMMYFUNCTION("""COMPUTED_VALUE"""),13247488)</f>
        <v>13247488</v>
      </c>
      <c r="K1512" s="5"/>
      <c r="L1512" s="18">
        <f ca="1">IFERROR(__xludf.DUMMYFUNCTION("""COMPUTED_VALUE"""),45324)</f>
        <v>45324</v>
      </c>
      <c r="M1512" s="18">
        <f ca="1">IFERROR(__xludf.DUMMYFUNCTION("""COMPUTED_VALUE"""),45324)</f>
        <v>45324</v>
      </c>
      <c r="N1512" s="5" t="str">
        <f ca="1">IFERROR(__xludf.DUMMYFUNCTION("""COMPUTED_VALUE"""),"Henao William")</f>
        <v>Henao William</v>
      </c>
      <c r="O1512" s="2">
        <f ca="1">IFERROR(__xludf.DUMMYFUNCTION("""COMPUTED_VALUE"""),0.00625)</f>
        <v>6.2500000000000003E-3</v>
      </c>
      <c r="P1512" s="5">
        <f ca="1">IFERROR(__xludf.DUMMYFUNCTION("""COMPUTED_VALUE"""),20009827)</f>
        <v>20009827</v>
      </c>
      <c r="Q1512" s="5" t="str">
        <f ca="1">IFERROR(__xludf.DUMMYFUNCTION("""COMPUTED_VALUE"""),"X2JZ8T2Gr80")</f>
        <v>X2JZ8T2Gr80</v>
      </c>
      <c r="R1512" s="5">
        <f ca="1">IFERROR(__xludf.DUMMYFUNCTION("""COMPUTED_VALUE"""),410)</f>
        <v>410</v>
      </c>
      <c r="S1512" s="62">
        <f ca="1">IFERROR(__xludf.DUMMYFUNCTION("""COMPUTED_VALUE"""),0.00625)</f>
        <v>6.2500000000000003E-3</v>
      </c>
      <c r="T1512" s="63" t="str">
        <f ca="1">IFERROR(__xludf.DUMMYFUNCTION("""COMPUTED_VALUE"""),"https://storage.googleapis.com/glide-prod.appspot.com/uploads-v2/ly7o78grxPaC6KdgvbpS/pub/3aRdSog0vUtuqPE8AJKD.png")</f>
        <v>https://storage.googleapis.com/glide-prod.appspot.com/uploads-v2/ly7o78grxPaC6KdgvbpS/pub/3aRdSog0vUtuqPE8AJKD.png</v>
      </c>
      <c r="U1512" s="5" t="str">
        <f ca="1">IFERROR(__xludf.DUMMYFUNCTION("""COMPUTED_VALUE"""),"EQUIPOS PARA SERVICIOS INDUSTRIALESCONDENSADOR EVAPORATIVO")</f>
        <v>EQUIPOS PARA SERVICIOS INDUSTRIALESCONDENSADOR EVAPORATIVO</v>
      </c>
      <c r="V1512" s="5"/>
      <c r="W1512" s="5" t="b">
        <f ca="1">IFERROR(__xludf.DUMMYFUNCTION("""COMPUTED_VALUE"""),TRUE)</f>
        <v>1</v>
      </c>
      <c r="X1512" s="5" t="str">
        <f ca="1">IFERROR(__xludf.DUMMYFUNCTION("""COMPUTED_VALUE"""),"wmazorra@postobon.com.co,aprmttoyu@postobon.com.co,aprmyu@postobon.com.co,wmora@postobon.com.co,efzapata@postobon.com.co")</f>
        <v>wmazorra@postobon.com.co,aprmttoyu@postobon.com.co,aprmyu@postobon.com.co,wmora@postobon.com.co,efzapata@postobon.com.co</v>
      </c>
      <c r="Y1512" s="5" t="str">
        <f ca="1">IFERROR(__xludf.DUMMYFUNCTION("""COMPUTED_VALUE"""),"wmazorra@postobon.com.co")</f>
        <v>wmazorra@postobon.com.co</v>
      </c>
      <c r="Z1512" s="5" t="str">
        <f ca="1">IFERROR(__xludf.DUMMYFUNCTION("""COMPUTED_VALUE"""),"ojSkQ4NiQXmrTfynzDIJsg")</f>
        <v>ojSkQ4NiQXmrTfynzDIJsg</v>
      </c>
      <c r="AA1512" s="5"/>
      <c r="AB1512" s="5"/>
      <c r="AC1512" s="5"/>
      <c r="AD1512" s="5">
        <f ca="1">IFERROR(__xludf.DUMMYFUNCTION("""COMPUTED_VALUE"""),78)</f>
        <v>78</v>
      </c>
      <c r="AE1512" s="5">
        <f ca="1">IFERROR(__xludf.DUMMYFUNCTION("""COMPUTED_VALUE"""),77)</f>
        <v>77</v>
      </c>
      <c r="AF1512" s="5" t="b">
        <f ca="1">IFERROR(__xludf.DUMMYFUNCTION("""COMPUTED_VALUE"""),FALSE)</f>
        <v>0</v>
      </c>
      <c r="AG1512" s="5" t="str">
        <f ca="1">IFERROR(__xludf.DUMMYFUNCTION("""COMPUTED_VALUE"""),"INSPECCIONES REALIZADAS")</f>
        <v>INSPECCIONES REALIZADAS</v>
      </c>
      <c r="AH1512" s="5"/>
    </row>
    <row r="1513" spans="1:34">
      <c r="A1513" s="5" t="str">
        <f ca="1">IFERROR(__xludf.DUMMYFUNCTION("""COMPUTED_VALUE"""),"EQUIPOS PARA SERVICIOS INDUSTRIALES")</f>
        <v>EQUIPOS PARA SERVICIOS INDUSTRIALES</v>
      </c>
      <c r="B1513" s="5">
        <f ca="1">IFERROR(__xludf.DUMMYFUNCTION("""COMPUTED_VALUE"""),638554)</f>
        <v>638554</v>
      </c>
      <c r="C1513" s="5" t="str">
        <f ca="1">IFERROR(__xludf.DUMMYFUNCTION("""COMPUTED_VALUE"""),"CONDENSADOR EVAPORATIVO")</f>
        <v>CONDENSADOR EVAPORATIVO</v>
      </c>
      <c r="D1513" s="5">
        <f ca="1">IFERROR(__xludf.DUMMYFUNCTION("""COMPUTED_VALUE"""),13247488)</f>
        <v>13247488</v>
      </c>
      <c r="E1513" s="5" t="str">
        <f ca="1">IFERROR(__xludf.DUMMYFUNCTION("""COMPUTED_VALUE"""),"INSPECCION SEMANAL CONDENSADOR EVAPORATI")</f>
        <v>INSPECCION SEMANAL CONDENSADOR EVAPORATI</v>
      </c>
      <c r="F1513" s="5" t="str">
        <f ca="1">IFERROR(__xludf.DUMMYFUNCTION("""COMPUTED_VALUE"""),"COMPROBAR NIVEL DE AGUA A ALTURA DE FLOTADOR")</f>
        <v>COMPROBAR NIVEL DE AGUA A ALTURA DE FLOTADOR</v>
      </c>
      <c r="G1513" s="5" t="b">
        <f ca="1">IFERROR(__xludf.DUMMYFUNCTION("""COMPUTED_VALUE"""),TRUE)</f>
        <v>1</v>
      </c>
      <c r="H1513" s="5"/>
      <c r="I1513" s="5"/>
      <c r="J1513" s="5">
        <f ca="1">IFERROR(__xludf.DUMMYFUNCTION("""COMPUTED_VALUE"""),13247488)</f>
        <v>13247488</v>
      </c>
      <c r="K1513" s="5"/>
      <c r="L1513" s="18">
        <f ca="1">IFERROR(__xludf.DUMMYFUNCTION("""COMPUTED_VALUE"""),45324)</f>
        <v>45324</v>
      </c>
      <c r="M1513" s="18">
        <f ca="1">IFERROR(__xludf.DUMMYFUNCTION("""COMPUTED_VALUE"""),45324)</f>
        <v>45324</v>
      </c>
      <c r="N1513" s="5" t="str">
        <f ca="1">IFERROR(__xludf.DUMMYFUNCTION("""COMPUTED_VALUE"""),"Henao William")</f>
        <v>Henao William</v>
      </c>
      <c r="O1513" s="2">
        <f ca="1">IFERROR(__xludf.DUMMYFUNCTION("""COMPUTED_VALUE"""),0.00625)</f>
        <v>6.2500000000000003E-3</v>
      </c>
      <c r="P1513" s="5">
        <f ca="1">IFERROR(__xludf.DUMMYFUNCTION("""COMPUTED_VALUE"""),20009827)</f>
        <v>20009827</v>
      </c>
      <c r="Q1513" s="5" t="str">
        <f ca="1">IFERROR(__xludf.DUMMYFUNCTION("""COMPUTED_VALUE"""),"RKC7Wl3YmvY")</f>
        <v>RKC7Wl3YmvY</v>
      </c>
      <c r="R1513" s="5">
        <f ca="1">IFERROR(__xludf.DUMMYFUNCTION("""COMPUTED_VALUE"""),410)</f>
        <v>410</v>
      </c>
      <c r="S1513" s="62">
        <f ca="1">IFERROR(__xludf.DUMMYFUNCTION("""COMPUTED_VALUE"""),0.00625)</f>
        <v>6.2500000000000003E-3</v>
      </c>
      <c r="T1513" s="63" t="str">
        <f ca="1">IFERROR(__xludf.DUMMYFUNCTION("""COMPUTED_VALUE"""),"https://storage.googleapis.com/glide-prod.appspot.com/uploads-v2/ly7o78grxPaC6KdgvbpS/pub/3aRdSog0vUtuqPE8AJKD.png")</f>
        <v>https://storage.googleapis.com/glide-prod.appspot.com/uploads-v2/ly7o78grxPaC6KdgvbpS/pub/3aRdSog0vUtuqPE8AJKD.png</v>
      </c>
      <c r="U1513" s="5" t="str">
        <f ca="1">IFERROR(__xludf.DUMMYFUNCTION("""COMPUTED_VALUE"""),"EQUIPOS PARA SERVICIOS INDUSTRIALESCONDENSADOR EVAPORATIVO")</f>
        <v>EQUIPOS PARA SERVICIOS INDUSTRIALESCONDENSADOR EVAPORATIVO</v>
      </c>
      <c r="V1513" s="5"/>
      <c r="W1513" s="5" t="b">
        <f ca="1">IFERROR(__xludf.DUMMYFUNCTION("""COMPUTED_VALUE"""),TRUE)</f>
        <v>1</v>
      </c>
      <c r="X1513" s="5" t="str">
        <f ca="1">IFERROR(__xludf.DUMMYFUNCTION("""COMPUTED_VALUE"""),"wmazorra@postobon.com.co,aprmttoyu@postobon.com.co,aprmyu@postobon.com.co,wmora@postobon.com.co,efzapata@postobon.com.co")</f>
        <v>wmazorra@postobon.com.co,aprmttoyu@postobon.com.co,aprmyu@postobon.com.co,wmora@postobon.com.co,efzapata@postobon.com.co</v>
      </c>
      <c r="Y1513" s="5" t="str">
        <f ca="1">IFERROR(__xludf.DUMMYFUNCTION("""COMPUTED_VALUE"""),"wmazorra@postobon.com.co")</f>
        <v>wmazorra@postobon.com.co</v>
      </c>
      <c r="Z1513" s="5" t="str">
        <f ca="1">IFERROR(__xludf.DUMMYFUNCTION("""COMPUTED_VALUE"""),"UbSJY.BtQ7SAk9TLb144fw")</f>
        <v>UbSJY.BtQ7SAk9TLb144fw</v>
      </c>
      <c r="AA1513" s="5"/>
      <c r="AB1513" s="5"/>
      <c r="AC1513" s="5"/>
      <c r="AD1513" s="5">
        <f ca="1">IFERROR(__xludf.DUMMYFUNCTION("""COMPUTED_VALUE"""),78)</f>
        <v>78</v>
      </c>
      <c r="AE1513" s="5">
        <f ca="1">IFERROR(__xludf.DUMMYFUNCTION("""COMPUTED_VALUE"""),77)</f>
        <v>77</v>
      </c>
      <c r="AF1513" s="5" t="b">
        <f ca="1">IFERROR(__xludf.DUMMYFUNCTION("""COMPUTED_VALUE"""),FALSE)</f>
        <v>0</v>
      </c>
      <c r="AG1513" s="5" t="str">
        <f ca="1">IFERROR(__xludf.DUMMYFUNCTION("""COMPUTED_VALUE"""),"INSPECCIONES REALIZADAS")</f>
        <v>INSPECCIONES REALIZADAS</v>
      </c>
      <c r="AH1513" s="5"/>
    </row>
    <row r="1514" spans="1:34">
      <c r="A1514" s="5" t="str">
        <f ca="1">IFERROR(__xludf.DUMMYFUNCTION("""COMPUTED_VALUE"""),"EQUIPOS PARA SERVICIOS INDUSTRIALES JUGO")</f>
        <v>EQUIPOS PARA SERVICIOS INDUSTRIALES JUGO</v>
      </c>
      <c r="B1514" s="5">
        <f ca="1">IFERROR(__xludf.DUMMYFUNCTION("""COMPUTED_VALUE"""),638563)</f>
        <v>638563</v>
      </c>
      <c r="C1514" s="5" t="str">
        <f ca="1">IFERROR(__xludf.DUMMYFUNCTION("""COMPUTED_VALUE"""),"CONDENSADOR EVAPORATIVO")</f>
        <v>CONDENSADOR EVAPORATIVO</v>
      </c>
      <c r="D1514" s="5">
        <f ca="1">IFERROR(__xludf.DUMMYFUNCTION("""COMPUTED_VALUE"""),13247541)</f>
        <v>13247541</v>
      </c>
      <c r="E1514" s="5" t="str">
        <f ca="1">IFERROR(__xludf.DUMMYFUNCTION("""COMPUTED_VALUE"""),"INSPECCION SEMANAL CONDENSADOR EVAPORATI")</f>
        <v>INSPECCION SEMANAL CONDENSADOR EVAPORATI</v>
      </c>
      <c r="F1514" s="5" t="str">
        <f ca="1">IFERROR(__xludf.DUMMYFUNCTION("""COMPUTED_VALUE"""),"INSP. SECCION TRANSF. CALOR")</f>
        <v>INSP. SECCION TRANSF. CALOR</v>
      </c>
      <c r="G1514" s="5"/>
      <c r="H1514" s="5"/>
      <c r="I1514" s="5"/>
      <c r="J1514" s="5"/>
      <c r="K1514" s="5"/>
      <c r="L1514" s="18">
        <f ca="1">IFERROR(__xludf.DUMMYFUNCTION("""COMPUTED_VALUE"""),45325)</f>
        <v>45325</v>
      </c>
      <c r="M1514" s="18">
        <f ca="1">IFERROR(__xludf.DUMMYFUNCTION("""COMPUTED_VALUE"""),45325)</f>
        <v>45325</v>
      </c>
      <c r="N1514" s="5" t="str">
        <f ca="1">IFERROR(__xludf.DUMMYFUNCTION("""COMPUTED_VALUE"""),"Lopez Raul")</f>
        <v>Lopez Raul</v>
      </c>
      <c r="O1514" s="2">
        <f ca="1">IFERROR(__xludf.DUMMYFUNCTION("""COMPUTED_VALUE"""),0.003448276)</f>
        <v>3.4482760000000001E-3</v>
      </c>
      <c r="P1514" s="5"/>
      <c r="Q1514" s="5" t="str">
        <f ca="1">IFERROR(__xludf.DUMMYFUNCTION("""COMPUTED_VALUE"""),"57HbP1CcEJ8")</f>
        <v>57HbP1CcEJ8</v>
      </c>
      <c r="R1514" s="5">
        <f ca="1">IFERROR(__xludf.DUMMYFUNCTION("""COMPUTED_VALUE"""),410)</f>
        <v>410</v>
      </c>
      <c r="S1514" s="62">
        <f ca="1">IFERROR(__xludf.DUMMYFUNCTION("""COMPUTED_VALUE"""),0.003448276)</f>
        <v>3.4482760000000001E-3</v>
      </c>
      <c r="T1514" s="63" t="str">
        <f ca="1">IFERROR(__xludf.DUMMYFUNCTION("""COMPUTED_VALUE"""),"https://storage.googleapis.com/glide-prod.appspot.com/uploads-v2/ly7o78grxPaC6KdgvbpS/pub/UliJWgpEaBovaFmXi6OW.png")</f>
        <v>https://storage.googleapis.com/glide-prod.appspot.com/uploads-v2/ly7o78grxPaC6KdgvbpS/pub/UliJWgpEaBovaFmXi6OW.png</v>
      </c>
      <c r="U1514" s="5" t="str">
        <f ca="1">IFERROR(__xludf.DUMMYFUNCTION("""COMPUTED_VALUE"""),"EQUIPOS PARA SERVICIOS INDUSTRIALES JUGOCONDENSADOR EVAPORATIVO")</f>
        <v>EQUIPOS PARA SERVICIOS INDUSTRIALES JUGOCONDENSADOR EVAPORATIVO</v>
      </c>
      <c r="V1514" s="5"/>
      <c r="W1514" s="5"/>
      <c r="X1514" s="5" t="str">
        <f ca="1">IFERROR(__xludf.DUMMYFUNCTION("""COMPUTED_VALUE"""),"wmazorra@postobon.com.co,aprmttoyu@postobon.com.co,aprmyu@postobon.com.co,wmora@postobon.com.co,efzapata@postobon.com.co")</f>
        <v>wmazorra@postobon.com.co,aprmttoyu@postobon.com.co,aprmyu@postobon.com.co,wmora@postobon.com.co,efzapata@postobon.com.co</v>
      </c>
      <c r="Y1514" s="5" t="str">
        <f ca="1">IFERROR(__xludf.DUMMYFUNCTION("""COMPUTED_VALUE"""),"wmazorra@postobon.com.co")</f>
        <v>wmazorra@postobon.com.co</v>
      </c>
      <c r="Z1514" s="5" t="str">
        <f ca="1">IFERROR(__xludf.DUMMYFUNCTION("""COMPUTED_VALUE"""),"OlzfW2g.RHegQxO.HTzvvQ")</f>
        <v>OlzfW2g.RHegQxO.HTzvvQ</v>
      </c>
      <c r="AA1514" s="5"/>
      <c r="AB1514" s="5"/>
      <c r="AC1514" s="5"/>
      <c r="AD1514" s="5">
        <f ca="1">IFERROR(__xludf.DUMMYFUNCTION("""COMPUTED_VALUE"""),57)</f>
        <v>57</v>
      </c>
      <c r="AE1514" s="5">
        <f ca="1">IFERROR(__xludf.DUMMYFUNCTION("""COMPUTED_VALUE"""),0)</f>
        <v>0</v>
      </c>
      <c r="AF1514" s="5" t="b">
        <f ca="1">IFERROR(__xludf.DUMMYFUNCTION("""COMPUTED_VALUE"""),TRUE)</f>
        <v>1</v>
      </c>
      <c r="AG1514" s="5" t="str">
        <f ca="1">IFERROR(__xludf.DUMMYFUNCTION("""COMPUTED_VALUE"""),"INSPECCIONES SIN REALIZAR")</f>
        <v>INSPECCIONES SIN REALIZAR</v>
      </c>
      <c r="AH1514" s="5"/>
    </row>
    <row r="1515" spans="1:34">
      <c r="A1515" s="5" t="str">
        <f ca="1">IFERROR(__xludf.DUMMYFUNCTION("""COMPUTED_VALUE"""),"EQUIPOS PARA SERVICIOS INDUSTRIALES JUGO")</f>
        <v>EQUIPOS PARA SERVICIOS INDUSTRIALES JUGO</v>
      </c>
      <c r="B1515" s="5">
        <f ca="1">IFERROR(__xludf.DUMMYFUNCTION("""COMPUTED_VALUE"""),638563)</f>
        <v>638563</v>
      </c>
      <c r="C1515" s="5" t="str">
        <f ca="1">IFERROR(__xludf.DUMMYFUNCTION("""COMPUTED_VALUE"""),"CONDENSADOR EVAPORATIVO")</f>
        <v>CONDENSADOR EVAPORATIVO</v>
      </c>
      <c r="D1515" s="5">
        <f ca="1">IFERROR(__xludf.DUMMYFUNCTION("""COMPUTED_VALUE"""),13247541)</f>
        <v>13247541</v>
      </c>
      <c r="E1515" s="5" t="str">
        <f ca="1">IFERROR(__xludf.DUMMYFUNCTION("""COMPUTED_VALUE"""),"INSPECCION SEMANAL CONDENSADOR EVAPORATI")</f>
        <v>INSPECCION SEMANAL CONDENSADOR EVAPORATI</v>
      </c>
      <c r="F1515" s="5" t="str">
        <f ca="1">IFERROR(__xludf.DUMMYFUNCTION("""COMPUTED_VALUE"""),"INSP. BOQUILLAS ASPERSION")</f>
        <v>INSP. BOQUILLAS ASPERSION</v>
      </c>
      <c r="G1515" s="5"/>
      <c r="H1515" s="5"/>
      <c r="I1515" s="5"/>
      <c r="J1515" s="5"/>
      <c r="K1515" s="5"/>
      <c r="L1515" s="18">
        <f ca="1">IFERROR(__xludf.DUMMYFUNCTION("""COMPUTED_VALUE"""),45325)</f>
        <v>45325</v>
      </c>
      <c r="M1515" s="18">
        <f ca="1">IFERROR(__xludf.DUMMYFUNCTION("""COMPUTED_VALUE"""),45325)</f>
        <v>45325</v>
      </c>
      <c r="N1515" s="5" t="str">
        <f ca="1">IFERROR(__xludf.DUMMYFUNCTION("""COMPUTED_VALUE"""),"Lopez Raul")</f>
        <v>Lopez Raul</v>
      </c>
      <c r="O1515" s="2">
        <f ca="1">IFERROR(__xludf.DUMMYFUNCTION("""COMPUTED_VALUE"""),0.003448276)</f>
        <v>3.4482760000000001E-3</v>
      </c>
      <c r="P1515" s="5"/>
      <c r="Q1515" s="5" t="str">
        <f ca="1">IFERROR(__xludf.DUMMYFUNCTION("""COMPUTED_VALUE"""),"1d-QF5R5irE")</f>
        <v>1d-QF5R5irE</v>
      </c>
      <c r="R1515" s="5">
        <f ca="1">IFERROR(__xludf.DUMMYFUNCTION("""COMPUTED_VALUE"""),410)</f>
        <v>410</v>
      </c>
      <c r="S1515" s="62">
        <f ca="1">IFERROR(__xludf.DUMMYFUNCTION("""COMPUTED_VALUE"""),0.003448276)</f>
        <v>3.4482760000000001E-3</v>
      </c>
      <c r="T1515" s="63" t="str">
        <f ca="1">IFERROR(__xludf.DUMMYFUNCTION("""COMPUTED_VALUE"""),"https://storage.googleapis.com/glide-prod.appspot.com/uploads-v2/ly7o78grxPaC6KdgvbpS/pub/UliJWgpEaBovaFmXi6OW.png")</f>
        <v>https://storage.googleapis.com/glide-prod.appspot.com/uploads-v2/ly7o78grxPaC6KdgvbpS/pub/UliJWgpEaBovaFmXi6OW.png</v>
      </c>
      <c r="U1515" s="5" t="str">
        <f ca="1">IFERROR(__xludf.DUMMYFUNCTION("""COMPUTED_VALUE"""),"EQUIPOS PARA SERVICIOS INDUSTRIALES JUGOCONDENSADOR EVAPORATIVO")</f>
        <v>EQUIPOS PARA SERVICIOS INDUSTRIALES JUGOCONDENSADOR EVAPORATIVO</v>
      </c>
      <c r="V1515" s="5"/>
      <c r="W1515" s="5"/>
      <c r="X1515" s="5" t="str">
        <f ca="1">IFERROR(__xludf.DUMMYFUNCTION("""COMPUTED_VALUE"""),"wmazorra@postobon.com.co,aprmttoyu@postobon.com.co,aprmyu@postobon.com.co,wmora@postobon.com.co,efzapata@postobon.com.co")</f>
        <v>wmazorra@postobon.com.co,aprmttoyu@postobon.com.co,aprmyu@postobon.com.co,wmora@postobon.com.co,efzapata@postobon.com.co</v>
      </c>
      <c r="Y1515" s="5" t="str">
        <f ca="1">IFERROR(__xludf.DUMMYFUNCTION("""COMPUTED_VALUE"""),"wmazorra@postobon.com.co")</f>
        <v>wmazorra@postobon.com.co</v>
      </c>
      <c r="Z1515" s="5" t="str">
        <f ca="1">IFERROR(__xludf.DUMMYFUNCTION("""COMPUTED_VALUE"""),"xv49jTRzSYugAFLs3K4cfA")</f>
        <v>xv49jTRzSYugAFLs3K4cfA</v>
      </c>
      <c r="AA1515" s="5"/>
      <c r="AB1515" s="5"/>
      <c r="AC1515" s="5"/>
      <c r="AD1515" s="5">
        <f ca="1">IFERROR(__xludf.DUMMYFUNCTION("""COMPUTED_VALUE"""),57)</f>
        <v>57</v>
      </c>
      <c r="AE1515" s="5">
        <f ca="1">IFERROR(__xludf.DUMMYFUNCTION("""COMPUTED_VALUE"""),0)</f>
        <v>0</v>
      </c>
      <c r="AF1515" s="5" t="b">
        <f ca="1">IFERROR(__xludf.DUMMYFUNCTION("""COMPUTED_VALUE"""),TRUE)</f>
        <v>1</v>
      </c>
      <c r="AG1515" s="5" t="str">
        <f ca="1">IFERROR(__xludf.DUMMYFUNCTION("""COMPUTED_VALUE"""),"INSPECCIONES SIN REALIZAR")</f>
        <v>INSPECCIONES SIN REALIZAR</v>
      </c>
      <c r="AH1515" s="5"/>
    </row>
    <row r="1516" spans="1:34">
      <c r="A1516" s="5" t="str">
        <f ca="1">IFERROR(__xludf.DUMMYFUNCTION("""COMPUTED_VALUE"""),"EQUIPOS PARA SERVICIOS INDUSTRIALES JUGO")</f>
        <v>EQUIPOS PARA SERVICIOS INDUSTRIALES JUGO</v>
      </c>
      <c r="B1516" s="5">
        <f ca="1">IFERROR(__xludf.DUMMYFUNCTION("""COMPUTED_VALUE"""),638563)</f>
        <v>638563</v>
      </c>
      <c r="C1516" s="5" t="str">
        <f ca="1">IFERROR(__xludf.DUMMYFUNCTION("""COMPUTED_VALUE"""),"CONDENSADOR EVAPORATIVO")</f>
        <v>CONDENSADOR EVAPORATIVO</v>
      </c>
      <c r="D1516" s="5">
        <f ca="1">IFERROR(__xludf.DUMMYFUNCTION("""COMPUTED_VALUE"""),13247541)</f>
        <v>13247541</v>
      </c>
      <c r="E1516" s="5" t="str">
        <f ca="1">IFERROR(__xludf.DUMMYFUNCTION("""COMPUTED_VALUE"""),"INSPECCION SEMANAL CONDENSADOR EVAPORATI")</f>
        <v>INSPECCION SEMANAL CONDENSADOR EVAPORATI</v>
      </c>
      <c r="F1516" s="5" t="str">
        <f ca="1">IFERROR(__xludf.DUMMYFUNCTION("""COMPUTED_VALUE"""),"ESTADO MOTOBOMBAS")</f>
        <v>ESTADO MOTOBOMBAS</v>
      </c>
      <c r="G1516" s="5"/>
      <c r="H1516" s="5"/>
      <c r="I1516" s="5"/>
      <c r="J1516" s="5"/>
      <c r="K1516" s="5"/>
      <c r="L1516" s="18">
        <f ca="1">IFERROR(__xludf.DUMMYFUNCTION("""COMPUTED_VALUE"""),45325)</f>
        <v>45325</v>
      </c>
      <c r="M1516" s="18">
        <f ca="1">IFERROR(__xludf.DUMMYFUNCTION("""COMPUTED_VALUE"""),45325)</f>
        <v>45325</v>
      </c>
      <c r="N1516" s="5" t="str">
        <f ca="1">IFERROR(__xludf.DUMMYFUNCTION("""COMPUTED_VALUE"""),"Lopez Raul")</f>
        <v>Lopez Raul</v>
      </c>
      <c r="O1516" s="2">
        <f ca="1">IFERROR(__xludf.DUMMYFUNCTION("""COMPUTED_VALUE"""),0.003448276)</f>
        <v>3.4482760000000001E-3</v>
      </c>
      <c r="P1516" s="5"/>
      <c r="Q1516" s="5" t="str">
        <f ca="1">IFERROR(__xludf.DUMMYFUNCTION("""COMPUTED_VALUE"""),"lKBj7V1ayEw")</f>
        <v>lKBj7V1ayEw</v>
      </c>
      <c r="R1516" s="5">
        <f ca="1">IFERROR(__xludf.DUMMYFUNCTION("""COMPUTED_VALUE"""),410)</f>
        <v>410</v>
      </c>
      <c r="S1516" s="62">
        <f ca="1">IFERROR(__xludf.DUMMYFUNCTION("""COMPUTED_VALUE"""),0.003448276)</f>
        <v>3.4482760000000001E-3</v>
      </c>
      <c r="T1516" s="63" t="str">
        <f ca="1">IFERROR(__xludf.DUMMYFUNCTION("""COMPUTED_VALUE"""),"https://storage.googleapis.com/glide-prod.appspot.com/uploads-v2/ly7o78grxPaC6KdgvbpS/pub/UliJWgpEaBovaFmXi6OW.png")</f>
        <v>https://storage.googleapis.com/glide-prod.appspot.com/uploads-v2/ly7o78grxPaC6KdgvbpS/pub/UliJWgpEaBovaFmXi6OW.png</v>
      </c>
      <c r="U1516" s="5" t="str">
        <f ca="1">IFERROR(__xludf.DUMMYFUNCTION("""COMPUTED_VALUE"""),"EQUIPOS PARA SERVICIOS INDUSTRIALES JUGOCONDENSADOR EVAPORATIVO")</f>
        <v>EQUIPOS PARA SERVICIOS INDUSTRIALES JUGOCONDENSADOR EVAPORATIVO</v>
      </c>
      <c r="V1516" s="5"/>
      <c r="W1516" s="5"/>
      <c r="X1516" s="5" t="str">
        <f ca="1">IFERROR(__xludf.DUMMYFUNCTION("""COMPUTED_VALUE"""),"wmazorra@postobon.com.co,aprmttoyu@postobon.com.co,aprmyu@postobon.com.co,wmora@postobon.com.co,efzapata@postobon.com.co")</f>
        <v>wmazorra@postobon.com.co,aprmttoyu@postobon.com.co,aprmyu@postobon.com.co,wmora@postobon.com.co,efzapata@postobon.com.co</v>
      </c>
      <c r="Y1516" s="5" t="str">
        <f ca="1">IFERROR(__xludf.DUMMYFUNCTION("""COMPUTED_VALUE"""),"wmazorra@postobon.com.co")</f>
        <v>wmazorra@postobon.com.co</v>
      </c>
      <c r="Z1516" s="5" t="str">
        <f ca="1">IFERROR(__xludf.DUMMYFUNCTION("""COMPUTED_VALUE"""),"wV2kzjwsTGqRxnaR6z9XTg")</f>
        <v>wV2kzjwsTGqRxnaR6z9XTg</v>
      </c>
      <c r="AA1516" s="5"/>
      <c r="AB1516" s="5"/>
      <c r="AC1516" s="5"/>
      <c r="AD1516" s="5">
        <f ca="1">IFERROR(__xludf.DUMMYFUNCTION("""COMPUTED_VALUE"""),57)</f>
        <v>57</v>
      </c>
      <c r="AE1516" s="5">
        <f ca="1">IFERROR(__xludf.DUMMYFUNCTION("""COMPUTED_VALUE"""),0)</f>
        <v>0</v>
      </c>
      <c r="AF1516" s="5" t="b">
        <f ca="1">IFERROR(__xludf.DUMMYFUNCTION("""COMPUTED_VALUE"""),TRUE)</f>
        <v>1</v>
      </c>
      <c r="AG1516" s="5" t="str">
        <f ca="1">IFERROR(__xludf.DUMMYFUNCTION("""COMPUTED_VALUE"""),"INSPECCIONES SIN REALIZAR")</f>
        <v>INSPECCIONES SIN REALIZAR</v>
      </c>
      <c r="AH1516" s="5"/>
    </row>
    <row r="1517" spans="1:34">
      <c r="A1517" s="5" t="str">
        <f ca="1">IFERROR(__xludf.DUMMYFUNCTION("""COMPUTED_VALUE"""),"EQUIPOS PARA SERVICIOS INDUSTRIALES JUGO")</f>
        <v>EQUIPOS PARA SERVICIOS INDUSTRIALES JUGO</v>
      </c>
      <c r="B1517" s="5">
        <f ca="1">IFERROR(__xludf.DUMMYFUNCTION("""COMPUTED_VALUE"""),638563)</f>
        <v>638563</v>
      </c>
      <c r="C1517" s="5" t="str">
        <f ca="1">IFERROR(__xludf.DUMMYFUNCTION("""COMPUTED_VALUE"""),"CONDENSADOR EVAPORATIVO")</f>
        <v>CONDENSADOR EVAPORATIVO</v>
      </c>
      <c r="D1517" s="5">
        <f ca="1">IFERROR(__xludf.DUMMYFUNCTION("""COMPUTED_VALUE"""),13247541)</f>
        <v>13247541</v>
      </c>
      <c r="E1517" s="5" t="str">
        <f ca="1">IFERROR(__xludf.DUMMYFUNCTION("""COMPUTED_VALUE"""),"INSPECCION SEMANAL CONDENSADOR EVAPORATI")</f>
        <v>INSPECCION SEMANAL CONDENSADOR EVAPORATI</v>
      </c>
      <c r="F1517" s="5" t="str">
        <f ca="1">IFERROR(__xludf.DUMMYFUNCTION("""COMPUTED_VALUE"""),"ESTADO VENTILADORES")</f>
        <v>ESTADO VENTILADORES</v>
      </c>
      <c r="G1517" s="5"/>
      <c r="H1517" s="5"/>
      <c r="I1517" s="5"/>
      <c r="J1517" s="5"/>
      <c r="K1517" s="5"/>
      <c r="L1517" s="18">
        <f ca="1">IFERROR(__xludf.DUMMYFUNCTION("""COMPUTED_VALUE"""),45325)</f>
        <v>45325</v>
      </c>
      <c r="M1517" s="18">
        <f ca="1">IFERROR(__xludf.DUMMYFUNCTION("""COMPUTED_VALUE"""),45325)</f>
        <v>45325</v>
      </c>
      <c r="N1517" s="5" t="str">
        <f ca="1">IFERROR(__xludf.DUMMYFUNCTION("""COMPUTED_VALUE"""),"Lopez Raul")</f>
        <v>Lopez Raul</v>
      </c>
      <c r="O1517" s="2">
        <f ca="1">IFERROR(__xludf.DUMMYFUNCTION("""COMPUTED_VALUE"""),0.003448276)</f>
        <v>3.4482760000000001E-3</v>
      </c>
      <c r="P1517" s="5"/>
      <c r="Q1517" s="5" t="str">
        <f ca="1">IFERROR(__xludf.DUMMYFUNCTION("""COMPUTED_VALUE"""),"1Ritnq5TpX8")</f>
        <v>1Ritnq5TpX8</v>
      </c>
      <c r="R1517" s="5">
        <f ca="1">IFERROR(__xludf.DUMMYFUNCTION("""COMPUTED_VALUE"""),410)</f>
        <v>410</v>
      </c>
      <c r="S1517" s="62">
        <f ca="1">IFERROR(__xludf.DUMMYFUNCTION("""COMPUTED_VALUE"""),0.003448276)</f>
        <v>3.4482760000000001E-3</v>
      </c>
      <c r="T1517" s="63" t="str">
        <f ca="1">IFERROR(__xludf.DUMMYFUNCTION("""COMPUTED_VALUE"""),"https://storage.googleapis.com/glide-prod.appspot.com/uploads-v2/ly7o78grxPaC6KdgvbpS/pub/UliJWgpEaBovaFmXi6OW.png")</f>
        <v>https://storage.googleapis.com/glide-prod.appspot.com/uploads-v2/ly7o78grxPaC6KdgvbpS/pub/UliJWgpEaBovaFmXi6OW.png</v>
      </c>
      <c r="U1517" s="5" t="str">
        <f ca="1">IFERROR(__xludf.DUMMYFUNCTION("""COMPUTED_VALUE"""),"EQUIPOS PARA SERVICIOS INDUSTRIALES JUGOCONDENSADOR EVAPORATIVO")</f>
        <v>EQUIPOS PARA SERVICIOS INDUSTRIALES JUGOCONDENSADOR EVAPORATIVO</v>
      </c>
      <c r="V1517" s="5"/>
      <c r="W1517" s="5"/>
      <c r="X1517" s="5" t="str">
        <f ca="1">IFERROR(__xludf.DUMMYFUNCTION("""COMPUTED_VALUE"""),"wmazorra@postobon.com.co,aprmttoyu@postobon.com.co,aprmyu@postobon.com.co,wmora@postobon.com.co,efzapata@postobon.com.co")</f>
        <v>wmazorra@postobon.com.co,aprmttoyu@postobon.com.co,aprmyu@postobon.com.co,wmora@postobon.com.co,efzapata@postobon.com.co</v>
      </c>
      <c r="Y1517" s="5" t="str">
        <f ca="1">IFERROR(__xludf.DUMMYFUNCTION("""COMPUTED_VALUE"""),"wmazorra@postobon.com.co")</f>
        <v>wmazorra@postobon.com.co</v>
      </c>
      <c r="Z1517" s="5" t="str">
        <f ca="1">IFERROR(__xludf.DUMMYFUNCTION("""COMPUTED_VALUE"""),"a.Ock5ALYRcmIquJPjIY7Qw")</f>
        <v>a.Ock5ALYRcmIquJPjIY7Qw</v>
      </c>
      <c r="AA1517" s="5"/>
      <c r="AB1517" s="5"/>
      <c r="AC1517" s="5"/>
      <c r="AD1517" s="5">
        <f ca="1">IFERROR(__xludf.DUMMYFUNCTION("""COMPUTED_VALUE"""),57)</f>
        <v>57</v>
      </c>
      <c r="AE1517" s="5">
        <f ca="1">IFERROR(__xludf.DUMMYFUNCTION("""COMPUTED_VALUE"""),0)</f>
        <v>0</v>
      </c>
      <c r="AF1517" s="5" t="b">
        <f ca="1">IFERROR(__xludf.DUMMYFUNCTION("""COMPUTED_VALUE"""),TRUE)</f>
        <v>1</v>
      </c>
      <c r="AG1517" s="5" t="str">
        <f ca="1">IFERROR(__xludf.DUMMYFUNCTION("""COMPUTED_VALUE"""),"INSPECCIONES SIN REALIZAR")</f>
        <v>INSPECCIONES SIN REALIZAR</v>
      </c>
      <c r="AH1517" s="5"/>
    </row>
    <row r="1518" spans="1:34">
      <c r="A1518" s="5" t="str">
        <f ca="1">IFERROR(__xludf.DUMMYFUNCTION("""COMPUTED_VALUE"""),"EQUIPOS PARA SERVICIOS INDUSTRIALES JUGO")</f>
        <v>EQUIPOS PARA SERVICIOS INDUSTRIALES JUGO</v>
      </c>
      <c r="B1518" s="5">
        <f ca="1">IFERROR(__xludf.DUMMYFUNCTION("""COMPUTED_VALUE"""),638563)</f>
        <v>638563</v>
      </c>
      <c r="C1518" s="5" t="str">
        <f ca="1">IFERROR(__xludf.DUMMYFUNCTION("""COMPUTED_VALUE"""),"CONDENSADOR EVAPORATIVO")</f>
        <v>CONDENSADOR EVAPORATIVO</v>
      </c>
      <c r="D1518" s="5">
        <f ca="1">IFERROR(__xludf.DUMMYFUNCTION("""COMPUTED_VALUE"""),13247541)</f>
        <v>13247541</v>
      </c>
      <c r="E1518" s="5" t="str">
        <f ca="1">IFERROR(__xludf.DUMMYFUNCTION("""COMPUTED_VALUE"""),"INSPECCION SEMANAL CONDENSADOR EVAPORATI")</f>
        <v>INSPECCION SEMANAL CONDENSADOR EVAPORATI</v>
      </c>
      <c r="F1518" s="5" t="str">
        <f ca="1">IFERROR(__xludf.DUMMYFUNCTION("""COMPUTED_VALUE"""),"INSTRUMENTACION")</f>
        <v>INSTRUMENTACION</v>
      </c>
      <c r="G1518" s="5"/>
      <c r="H1518" s="5"/>
      <c r="I1518" s="5"/>
      <c r="J1518" s="5"/>
      <c r="K1518" s="5"/>
      <c r="L1518" s="18">
        <f ca="1">IFERROR(__xludf.DUMMYFUNCTION("""COMPUTED_VALUE"""),45325)</f>
        <v>45325</v>
      </c>
      <c r="M1518" s="18">
        <f ca="1">IFERROR(__xludf.DUMMYFUNCTION("""COMPUTED_VALUE"""),45325)</f>
        <v>45325</v>
      </c>
      <c r="N1518" s="5" t="str">
        <f ca="1">IFERROR(__xludf.DUMMYFUNCTION("""COMPUTED_VALUE"""),"Lopez Raul")</f>
        <v>Lopez Raul</v>
      </c>
      <c r="O1518" s="2">
        <f ca="1">IFERROR(__xludf.DUMMYFUNCTION("""COMPUTED_VALUE"""),0.003448276)</f>
        <v>3.4482760000000001E-3</v>
      </c>
      <c r="P1518" s="5"/>
      <c r="Q1518" s="5" t="str">
        <f ca="1">IFERROR(__xludf.DUMMYFUNCTION("""COMPUTED_VALUE"""),"0kexZk7-ozM")</f>
        <v>0kexZk7-ozM</v>
      </c>
      <c r="R1518" s="5">
        <f ca="1">IFERROR(__xludf.DUMMYFUNCTION("""COMPUTED_VALUE"""),410)</f>
        <v>410</v>
      </c>
      <c r="S1518" s="62">
        <f ca="1">IFERROR(__xludf.DUMMYFUNCTION("""COMPUTED_VALUE"""),0.003448276)</f>
        <v>3.4482760000000001E-3</v>
      </c>
      <c r="T1518" s="63" t="str">
        <f ca="1">IFERROR(__xludf.DUMMYFUNCTION("""COMPUTED_VALUE"""),"https://storage.googleapis.com/glide-prod.appspot.com/uploads-v2/ly7o78grxPaC6KdgvbpS/pub/UliJWgpEaBovaFmXi6OW.png")</f>
        <v>https://storage.googleapis.com/glide-prod.appspot.com/uploads-v2/ly7o78grxPaC6KdgvbpS/pub/UliJWgpEaBovaFmXi6OW.png</v>
      </c>
      <c r="U1518" s="5" t="str">
        <f ca="1">IFERROR(__xludf.DUMMYFUNCTION("""COMPUTED_VALUE"""),"EQUIPOS PARA SERVICIOS INDUSTRIALES JUGOCONDENSADOR EVAPORATIVO")</f>
        <v>EQUIPOS PARA SERVICIOS INDUSTRIALES JUGOCONDENSADOR EVAPORATIVO</v>
      </c>
      <c r="V1518" s="5"/>
      <c r="W1518" s="5"/>
      <c r="X1518" s="5" t="str">
        <f ca="1">IFERROR(__xludf.DUMMYFUNCTION("""COMPUTED_VALUE"""),"wmazorra@postobon.com.co,aprmttoyu@postobon.com.co,aprmyu@postobon.com.co,wmora@postobon.com.co,efzapata@postobon.com.co")</f>
        <v>wmazorra@postobon.com.co,aprmttoyu@postobon.com.co,aprmyu@postobon.com.co,wmora@postobon.com.co,efzapata@postobon.com.co</v>
      </c>
      <c r="Y1518" s="5" t="str">
        <f ca="1">IFERROR(__xludf.DUMMYFUNCTION("""COMPUTED_VALUE"""),"wmazorra@postobon.com.co")</f>
        <v>wmazorra@postobon.com.co</v>
      </c>
      <c r="Z1518" s="5" t="str">
        <f ca="1">IFERROR(__xludf.DUMMYFUNCTION("""COMPUTED_VALUE"""),"YfnaONpDSXqQN5NqMaY7qQ")</f>
        <v>YfnaONpDSXqQN5NqMaY7qQ</v>
      </c>
      <c r="AA1518" s="5"/>
      <c r="AB1518" s="5"/>
      <c r="AC1518" s="5"/>
      <c r="AD1518" s="5">
        <f ca="1">IFERROR(__xludf.DUMMYFUNCTION("""COMPUTED_VALUE"""),57)</f>
        <v>57</v>
      </c>
      <c r="AE1518" s="5">
        <f ca="1">IFERROR(__xludf.DUMMYFUNCTION("""COMPUTED_VALUE"""),0)</f>
        <v>0</v>
      </c>
      <c r="AF1518" s="5" t="b">
        <f ca="1">IFERROR(__xludf.DUMMYFUNCTION("""COMPUTED_VALUE"""),TRUE)</f>
        <v>1</v>
      </c>
      <c r="AG1518" s="5" t="str">
        <f ca="1">IFERROR(__xludf.DUMMYFUNCTION("""COMPUTED_VALUE"""),"INSPECCIONES SIN REALIZAR")</f>
        <v>INSPECCIONES SIN REALIZAR</v>
      </c>
      <c r="AH1518" s="5"/>
    </row>
    <row r="1519" spans="1:34">
      <c r="A1519" s="5" t="str">
        <f ca="1">IFERROR(__xludf.DUMMYFUNCTION("""COMPUTED_VALUE"""),"EQUIPOS PARA SERVICIOS INDUSTRIALES JUGO")</f>
        <v>EQUIPOS PARA SERVICIOS INDUSTRIALES JUGO</v>
      </c>
      <c r="B1519" s="5">
        <f ca="1">IFERROR(__xludf.DUMMYFUNCTION("""COMPUTED_VALUE"""),638563)</f>
        <v>638563</v>
      </c>
      <c r="C1519" s="5" t="str">
        <f ca="1">IFERROR(__xludf.DUMMYFUNCTION("""COMPUTED_VALUE"""),"CONDENSADOR EVAPORATIVO")</f>
        <v>CONDENSADOR EVAPORATIVO</v>
      </c>
      <c r="D1519" s="5">
        <f ca="1">IFERROR(__xludf.DUMMYFUNCTION("""COMPUTED_VALUE"""),13247541)</f>
        <v>13247541</v>
      </c>
      <c r="E1519" s="5" t="str">
        <f ca="1">IFERROR(__xludf.DUMMYFUNCTION("""COMPUTED_VALUE"""),"INSPECCION SEMANAL CONDENSADOR EVAPORATI")</f>
        <v>INSPECCION SEMANAL CONDENSADOR EVAPORATI</v>
      </c>
      <c r="F1519" s="5" t="str">
        <f ca="1">IFERROR(__xludf.DUMMYFUNCTION("""COMPUTED_VALUE"""),"VALVULAS SEGURIDAD")</f>
        <v>VALVULAS SEGURIDAD</v>
      </c>
      <c r="G1519" s="5"/>
      <c r="H1519" s="5"/>
      <c r="I1519" s="5"/>
      <c r="J1519" s="5"/>
      <c r="K1519" s="5"/>
      <c r="L1519" s="18">
        <f ca="1">IFERROR(__xludf.DUMMYFUNCTION("""COMPUTED_VALUE"""),45325)</f>
        <v>45325</v>
      </c>
      <c r="M1519" s="18">
        <f ca="1">IFERROR(__xludf.DUMMYFUNCTION("""COMPUTED_VALUE"""),45325)</f>
        <v>45325</v>
      </c>
      <c r="N1519" s="5" t="str">
        <f ca="1">IFERROR(__xludf.DUMMYFUNCTION("""COMPUTED_VALUE"""),"Lopez Raul")</f>
        <v>Lopez Raul</v>
      </c>
      <c r="O1519" s="2">
        <f ca="1">IFERROR(__xludf.DUMMYFUNCTION("""COMPUTED_VALUE"""),0.003448276)</f>
        <v>3.4482760000000001E-3</v>
      </c>
      <c r="P1519" s="5"/>
      <c r="Q1519" s="5" t="str">
        <f ca="1">IFERROR(__xludf.DUMMYFUNCTION("""COMPUTED_VALUE"""),"5JvlM3Qo5QA")</f>
        <v>5JvlM3Qo5QA</v>
      </c>
      <c r="R1519" s="5">
        <f ca="1">IFERROR(__xludf.DUMMYFUNCTION("""COMPUTED_VALUE"""),410)</f>
        <v>410</v>
      </c>
      <c r="S1519" s="62">
        <f ca="1">IFERROR(__xludf.DUMMYFUNCTION("""COMPUTED_VALUE"""),0.003448276)</f>
        <v>3.4482760000000001E-3</v>
      </c>
      <c r="T1519" s="63" t="str">
        <f ca="1">IFERROR(__xludf.DUMMYFUNCTION("""COMPUTED_VALUE"""),"https://storage.googleapis.com/glide-prod.appspot.com/uploads-v2/ly7o78grxPaC6KdgvbpS/pub/UliJWgpEaBovaFmXi6OW.png")</f>
        <v>https://storage.googleapis.com/glide-prod.appspot.com/uploads-v2/ly7o78grxPaC6KdgvbpS/pub/UliJWgpEaBovaFmXi6OW.png</v>
      </c>
      <c r="U1519" s="5" t="str">
        <f ca="1">IFERROR(__xludf.DUMMYFUNCTION("""COMPUTED_VALUE"""),"EQUIPOS PARA SERVICIOS INDUSTRIALES JUGOCONDENSADOR EVAPORATIVO")</f>
        <v>EQUIPOS PARA SERVICIOS INDUSTRIALES JUGOCONDENSADOR EVAPORATIVO</v>
      </c>
      <c r="V1519" s="5"/>
      <c r="W1519" s="5"/>
      <c r="X1519" s="5" t="str">
        <f ca="1">IFERROR(__xludf.DUMMYFUNCTION("""COMPUTED_VALUE"""),"wmazorra@postobon.com.co,aprmttoyu@postobon.com.co,aprmyu@postobon.com.co,wmora@postobon.com.co,efzapata@postobon.com.co")</f>
        <v>wmazorra@postobon.com.co,aprmttoyu@postobon.com.co,aprmyu@postobon.com.co,wmora@postobon.com.co,efzapata@postobon.com.co</v>
      </c>
      <c r="Y1519" s="5" t="str">
        <f ca="1">IFERROR(__xludf.DUMMYFUNCTION("""COMPUTED_VALUE"""),"wmazorra@postobon.com.co")</f>
        <v>wmazorra@postobon.com.co</v>
      </c>
      <c r="Z1519" s="5" t="str">
        <f ca="1">IFERROR(__xludf.DUMMYFUNCTION("""COMPUTED_VALUE"""),"3kkr09SiS7qA.t9W9jkhSg")</f>
        <v>3kkr09SiS7qA.t9W9jkhSg</v>
      </c>
      <c r="AA1519" s="5"/>
      <c r="AB1519" s="5"/>
      <c r="AC1519" s="5"/>
      <c r="AD1519" s="5">
        <f ca="1">IFERROR(__xludf.DUMMYFUNCTION("""COMPUTED_VALUE"""),57)</f>
        <v>57</v>
      </c>
      <c r="AE1519" s="5">
        <f ca="1">IFERROR(__xludf.DUMMYFUNCTION("""COMPUTED_VALUE"""),0)</f>
        <v>0</v>
      </c>
      <c r="AF1519" s="5" t="b">
        <f ca="1">IFERROR(__xludf.DUMMYFUNCTION("""COMPUTED_VALUE"""),TRUE)</f>
        <v>1</v>
      </c>
      <c r="AG1519" s="5" t="str">
        <f ca="1">IFERROR(__xludf.DUMMYFUNCTION("""COMPUTED_VALUE"""),"INSPECCIONES SIN REALIZAR")</f>
        <v>INSPECCIONES SIN REALIZAR</v>
      </c>
      <c r="AH1519" s="5"/>
    </row>
    <row r="1520" spans="1:34">
      <c r="A1520" s="5" t="str">
        <f ca="1">IFERROR(__xludf.DUMMYFUNCTION("""COMPUTED_VALUE"""),"EQUIPOS PARA SERVICIOS INDUSTRIALES JUGO")</f>
        <v>EQUIPOS PARA SERVICIOS INDUSTRIALES JUGO</v>
      </c>
      <c r="B1520" s="5">
        <f ca="1">IFERROR(__xludf.DUMMYFUNCTION("""COMPUTED_VALUE"""),638563)</f>
        <v>638563</v>
      </c>
      <c r="C1520" s="5" t="str">
        <f ca="1">IFERROR(__xludf.DUMMYFUNCTION("""COMPUTED_VALUE"""),"CONDENSADOR EVAPORATIVO")</f>
        <v>CONDENSADOR EVAPORATIVO</v>
      </c>
      <c r="D1520" s="5">
        <f ca="1">IFERROR(__xludf.DUMMYFUNCTION("""COMPUTED_VALUE"""),13247541)</f>
        <v>13247541</v>
      </c>
      <c r="E1520" s="5" t="str">
        <f ca="1">IFERROR(__xludf.DUMMYFUNCTION("""COMPUTED_VALUE"""),"INSPECCION SEMANAL CONDENSADOR EVAPORATI")</f>
        <v>INSPECCION SEMANAL CONDENSADOR EVAPORATI</v>
      </c>
      <c r="F1520" s="5" t="str">
        <f ca="1">IFERROR(__xludf.DUMMYFUNCTION("""COMPUTED_VALUE"""),"ESTADO DE DEFLECTORES")</f>
        <v>ESTADO DE DEFLECTORES</v>
      </c>
      <c r="G1520" s="5"/>
      <c r="H1520" s="5"/>
      <c r="I1520" s="5"/>
      <c r="J1520" s="5"/>
      <c r="K1520" s="5"/>
      <c r="L1520" s="18">
        <f ca="1">IFERROR(__xludf.DUMMYFUNCTION("""COMPUTED_VALUE"""),45325)</f>
        <v>45325</v>
      </c>
      <c r="M1520" s="18">
        <f ca="1">IFERROR(__xludf.DUMMYFUNCTION("""COMPUTED_VALUE"""),45325)</f>
        <v>45325</v>
      </c>
      <c r="N1520" s="5" t="str">
        <f ca="1">IFERROR(__xludf.DUMMYFUNCTION("""COMPUTED_VALUE"""),"Lopez Raul")</f>
        <v>Lopez Raul</v>
      </c>
      <c r="O1520" s="2">
        <f ca="1">IFERROR(__xludf.DUMMYFUNCTION("""COMPUTED_VALUE"""),0.003448276)</f>
        <v>3.4482760000000001E-3</v>
      </c>
      <c r="P1520" s="5"/>
      <c r="Q1520" s="5" t="str">
        <f ca="1">IFERROR(__xludf.DUMMYFUNCTION("""COMPUTED_VALUE"""),"sdZ2S4HErZg")</f>
        <v>sdZ2S4HErZg</v>
      </c>
      <c r="R1520" s="5">
        <f ca="1">IFERROR(__xludf.DUMMYFUNCTION("""COMPUTED_VALUE"""),410)</f>
        <v>410</v>
      </c>
      <c r="S1520" s="62">
        <f ca="1">IFERROR(__xludf.DUMMYFUNCTION("""COMPUTED_VALUE"""),0.003448276)</f>
        <v>3.4482760000000001E-3</v>
      </c>
      <c r="T1520" s="63" t="str">
        <f ca="1">IFERROR(__xludf.DUMMYFUNCTION("""COMPUTED_VALUE"""),"https://storage.googleapis.com/glide-prod.appspot.com/uploads-v2/ly7o78grxPaC6KdgvbpS/pub/UliJWgpEaBovaFmXi6OW.png")</f>
        <v>https://storage.googleapis.com/glide-prod.appspot.com/uploads-v2/ly7o78grxPaC6KdgvbpS/pub/UliJWgpEaBovaFmXi6OW.png</v>
      </c>
      <c r="U1520" s="5" t="str">
        <f ca="1">IFERROR(__xludf.DUMMYFUNCTION("""COMPUTED_VALUE"""),"EQUIPOS PARA SERVICIOS INDUSTRIALES JUGOCONDENSADOR EVAPORATIVO")</f>
        <v>EQUIPOS PARA SERVICIOS INDUSTRIALES JUGOCONDENSADOR EVAPORATIVO</v>
      </c>
      <c r="V1520" s="5"/>
      <c r="W1520" s="5"/>
      <c r="X1520" s="5" t="str">
        <f ca="1">IFERROR(__xludf.DUMMYFUNCTION("""COMPUTED_VALUE"""),"wmazorra@postobon.com.co,aprmttoyu@postobon.com.co,aprmyu@postobon.com.co,wmora@postobon.com.co,efzapata@postobon.com.co")</f>
        <v>wmazorra@postobon.com.co,aprmttoyu@postobon.com.co,aprmyu@postobon.com.co,wmora@postobon.com.co,efzapata@postobon.com.co</v>
      </c>
      <c r="Y1520" s="5" t="str">
        <f ca="1">IFERROR(__xludf.DUMMYFUNCTION("""COMPUTED_VALUE"""),"wmazorra@postobon.com.co")</f>
        <v>wmazorra@postobon.com.co</v>
      </c>
      <c r="Z1520" s="5" t="str">
        <f ca="1">IFERROR(__xludf.DUMMYFUNCTION("""COMPUTED_VALUE"""),"ZUjWkxjJTuGDeDJtJxDY-w")</f>
        <v>ZUjWkxjJTuGDeDJtJxDY-w</v>
      </c>
      <c r="AA1520" s="5"/>
      <c r="AB1520" s="5"/>
      <c r="AC1520" s="5"/>
      <c r="AD1520" s="5">
        <f ca="1">IFERROR(__xludf.DUMMYFUNCTION("""COMPUTED_VALUE"""),57)</f>
        <v>57</v>
      </c>
      <c r="AE1520" s="5">
        <f ca="1">IFERROR(__xludf.DUMMYFUNCTION("""COMPUTED_VALUE"""),0)</f>
        <v>0</v>
      </c>
      <c r="AF1520" s="5" t="b">
        <f ca="1">IFERROR(__xludf.DUMMYFUNCTION("""COMPUTED_VALUE"""),TRUE)</f>
        <v>1</v>
      </c>
      <c r="AG1520" s="5" t="str">
        <f ca="1">IFERROR(__xludf.DUMMYFUNCTION("""COMPUTED_VALUE"""),"INSPECCIONES SIN REALIZAR")</f>
        <v>INSPECCIONES SIN REALIZAR</v>
      </c>
      <c r="AH1520" s="5"/>
    </row>
    <row r="1521" spans="1:34">
      <c r="A1521" s="5" t="str">
        <f ca="1">IFERROR(__xludf.DUMMYFUNCTION("""COMPUTED_VALUE"""),"EQUIPOS PARA SERVICIOS INDUSTRIALES JUGO")</f>
        <v>EQUIPOS PARA SERVICIOS INDUSTRIALES JUGO</v>
      </c>
      <c r="B1521" s="5">
        <f ca="1">IFERROR(__xludf.DUMMYFUNCTION("""COMPUTED_VALUE"""),638563)</f>
        <v>638563</v>
      </c>
      <c r="C1521" s="5" t="str">
        <f ca="1">IFERROR(__xludf.DUMMYFUNCTION("""COMPUTED_VALUE"""),"CONDENSADOR EVAPORATIVO")</f>
        <v>CONDENSADOR EVAPORATIVO</v>
      </c>
      <c r="D1521" s="5">
        <f ca="1">IFERROR(__xludf.DUMMYFUNCTION("""COMPUTED_VALUE"""),13247541)</f>
        <v>13247541</v>
      </c>
      <c r="E1521" s="5" t="str">
        <f ca="1">IFERROR(__xludf.DUMMYFUNCTION("""COMPUTED_VALUE"""),"INSPECCION SEMANAL CONDENSADOR EVAPORATI")</f>
        <v>INSPECCION SEMANAL CONDENSADOR EVAPORATI</v>
      </c>
      <c r="F1521" s="5" t="str">
        <f ca="1">IFERROR(__xludf.DUMMYFUNCTION("""COMPUTED_VALUE"""),"ESTADO GRAL, PINTURA")</f>
        <v>ESTADO GRAL, PINTURA</v>
      </c>
      <c r="G1521" s="5"/>
      <c r="H1521" s="5"/>
      <c r="I1521" s="5"/>
      <c r="J1521" s="5"/>
      <c r="K1521" s="5"/>
      <c r="L1521" s="18">
        <f ca="1">IFERROR(__xludf.DUMMYFUNCTION("""COMPUTED_VALUE"""),45325)</f>
        <v>45325</v>
      </c>
      <c r="M1521" s="18">
        <f ca="1">IFERROR(__xludf.DUMMYFUNCTION("""COMPUTED_VALUE"""),45325)</f>
        <v>45325</v>
      </c>
      <c r="N1521" s="5" t="str">
        <f ca="1">IFERROR(__xludf.DUMMYFUNCTION("""COMPUTED_VALUE"""),"Lopez Raul")</f>
        <v>Lopez Raul</v>
      </c>
      <c r="O1521" s="2">
        <f ca="1">IFERROR(__xludf.DUMMYFUNCTION("""COMPUTED_VALUE"""),0.003448276)</f>
        <v>3.4482760000000001E-3</v>
      </c>
      <c r="P1521" s="5"/>
      <c r="Q1521" s="5" t="str">
        <f ca="1">IFERROR(__xludf.DUMMYFUNCTION("""COMPUTED_VALUE"""),"4TZ7YjdjDeA")</f>
        <v>4TZ7YjdjDeA</v>
      </c>
      <c r="R1521" s="5">
        <f ca="1">IFERROR(__xludf.DUMMYFUNCTION("""COMPUTED_VALUE"""),410)</f>
        <v>410</v>
      </c>
      <c r="S1521" s="62">
        <f ca="1">IFERROR(__xludf.DUMMYFUNCTION("""COMPUTED_VALUE"""),0.003448276)</f>
        <v>3.4482760000000001E-3</v>
      </c>
      <c r="T1521" s="63" t="str">
        <f ca="1">IFERROR(__xludf.DUMMYFUNCTION("""COMPUTED_VALUE"""),"https://storage.googleapis.com/glide-prod.appspot.com/uploads-v2/ly7o78grxPaC6KdgvbpS/pub/UliJWgpEaBovaFmXi6OW.png")</f>
        <v>https://storage.googleapis.com/glide-prod.appspot.com/uploads-v2/ly7o78grxPaC6KdgvbpS/pub/UliJWgpEaBovaFmXi6OW.png</v>
      </c>
      <c r="U1521" s="5" t="str">
        <f ca="1">IFERROR(__xludf.DUMMYFUNCTION("""COMPUTED_VALUE"""),"EQUIPOS PARA SERVICIOS INDUSTRIALES JUGOCONDENSADOR EVAPORATIVO")</f>
        <v>EQUIPOS PARA SERVICIOS INDUSTRIALES JUGOCONDENSADOR EVAPORATIVO</v>
      </c>
      <c r="V1521" s="5"/>
      <c r="W1521" s="5"/>
      <c r="X1521" s="5" t="str">
        <f ca="1">IFERROR(__xludf.DUMMYFUNCTION("""COMPUTED_VALUE"""),"wmazorra@postobon.com.co,aprmttoyu@postobon.com.co,aprmyu@postobon.com.co,wmora@postobon.com.co,efzapata@postobon.com.co")</f>
        <v>wmazorra@postobon.com.co,aprmttoyu@postobon.com.co,aprmyu@postobon.com.co,wmora@postobon.com.co,efzapata@postobon.com.co</v>
      </c>
      <c r="Y1521" s="5" t="str">
        <f ca="1">IFERROR(__xludf.DUMMYFUNCTION("""COMPUTED_VALUE"""),"wmazorra@postobon.com.co")</f>
        <v>wmazorra@postobon.com.co</v>
      </c>
      <c r="Z1521" s="5" t="str">
        <f ca="1">IFERROR(__xludf.DUMMYFUNCTION("""COMPUTED_VALUE"""),"zutxN4vITxaRyxPXwNsFOw")</f>
        <v>zutxN4vITxaRyxPXwNsFOw</v>
      </c>
      <c r="AA1521" s="5"/>
      <c r="AB1521" s="5"/>
      <c r="AC1521" s="5"/>
      <c r="AD1521" s="5">
        <f ca="1">IFERROR(__xludf.DUMMYFUNCTION("""COMPUTED_VALUE"""),57)</f>
        <v>57</v>
      </c>
      <c r="AE1521" s="5">
        <f ca="1">IFERROR(__xludf.DUMMYFUNCTION("""COMPUTED_VALUE"""),0)</f>
        <v>0</v>
      </c>
      <c r="AF1521" s="5" t="b">
        <f ca="1">IFERROR(__xludf.DUMMYFUNCTION("""COMPUTED_VALUE"""),TRUE)</f>
        <v>1</v>
      </c>
      <c r="AG1521" s="5" t="str">
        <f ca="1">IFERROR(__xludf.DUMMYFUNCTION("""COMPUTED_VALUE"""),"INSPECCIONES SIN REALIZAR")</f>
        <v>INSPECCIONES SIN REALIZAR</v>
      </c>
      <c r="AH1521" s="5"/>
    </row>
    <row r="1522" spans="1:34">
      <c r="A1522" s="5" t="str">
        <f ca="1">IFERROR(__xludf.DUMMYFUNCTION("""COMPUTED_VALUE"""),"EQUIPOS PARA SERVICIOS INDUSTRIALES JUGO")</f>
        <v>EQUIPOS PARA SERVICIOS INDUSTRIALES JUGO</v>
      </c>
      <c r="B1522" s="5">
        <f ca="1">IFERROR(__xludf.DUMMYFUNCTION("""COMPUTED_VALUE"""),638563)</f>
        <v>638563</v>
      </c>
      <c r="C1522" s="5" t="str">
        <f ca="1">IFERROR(__xludf.DUMMYFUNCTION("""COMPUTED_VALUE"""),"CONDENSADOR EVAPORATIVO")</f>
        <v>CONDENSADOR EVAPORATIVO</v>
      </c>
      <c r="D1522" s="5">
        <f ca="1">IFERROR(__xludf.DUMMYFUNCTION("""COMPUTED_VALUE"""),13247541)</f>
        <v>13247541</v>
      </c>
      <c r="E1522" s="5" t="str">
        <f ca="1">IFERROR(__xludf.DUMMYFUNCTION("""COMPUTED_VALUE"""),"INSPECCION SEMANAL CONDENSADOR EVAPORATI")</f>
        <v>INSPECCION SEMANAL CONDENSADOR EVAPORATI</v>
      </c>
      <c r="F1522" s="5" t="str">
        <f ca="1">IFERROR(__xludf.DUMMYFUNCTION("""COMPUTED_VALUE"""),"ESTADO TANQUE RECIBIDOR")</f>
        <v>ESTADO TANQUE RECIBIDOR</v>
      </c>
      <c r="G1522" s="5"/>
      <c r="H1522" s="5"/>
      <c r="I1522" s="5"/>
      <c r="J1522" s="5"/>
      <c r="K1522" s="5"/>
      <c r="L1522" s="18">
        <f ca="1">IFERROR(__xludf.DUMMYFUNCTION("""COMPUTED_VALUE"""),45325)</f>
        <v>45325</v>
      </c>
      <c r="M1522" s="18">
        <f ca="1">IFERROR(__xludf.DUMMYFUNCTION("""COMPUTED_VALUE"""),45325)</f>
        <v>45325</v>
      </c>
      <c r="N1522" s="5" t="str">
        <f ca="1">IFERROR(__xludf.DUMMYFUNCTION("""COMPUTED_VALUE"""),"Lopez Raul")</f>
        <v>Lopez Raul</v>
      </c>
      <c r="O1522" s="2">
        <f ca="1">IFERROR(__xludf.DUMMYFUNCTION("""COMPUTED_VALUE"""),0.003448276)</f>
        <v>3.4482760000000001E-3</v>
      </c>
      <c r="P1522" s="5"/>
      <c r="Q1522" s="5" t="str">
        <f ca="1">IFERROR(__xludf.DUMMYFUNCTION("""COMPUTED_VALUE"""),"3Ggio9801yw")</f>
        <v>3Ggio9801yw</v>
      </c>
      <c r="R1522" s="5">
        <f ca="1">IFERROR(__xludf.DUMMYFUNCTION("""COMPUTED_VALUE"""),410)</f>
        <v>410</v>
      </c>
      <c r="S1522" s="62">
        <f ca="1">IFERROR(__xludf.DUMMYFUNCTION("""COMPUTED_VALUE"""),0.003448276)</f>
        <v>3.4482760000000001E-3</v>
      </c>
      <c r="T1522" s="63" t="str">
        <f ca="1">IFERROR(__xludf.DUMMYFUNCTION("""COMPUTED_VALUE"""),"https://storage.googleapis.com/glide-prod.appspot.com/uploads-v2/ly7o78grxPaC6KdgvbpS/pub/UliJWgpEaBovaFmXi6OW.png")</f>
        <v>https://storage.googleapis.com/glide-prod.appspot.com/uploads-v2/ly7o78grxPaC6KdgvbpS/pub/UliJWgpEaBovaFmXi6OW.png</v>
      </c>
      <c r="U1522" s="5" t="str">
        <f ca="1">IFERROR(__xludf.DUMMYFUNCTION("""COMPUTED_VALUE"""),"EQUIPOS PARA SERVICIOS INDUSTRIALES JUGOCONDENSADOR EVAPORATIVO")</f>
        <v>EQUIPOS PARA SERVICIOS INDUSTRIALES JUGOCONDENSADOR EVAPORATIVO</v>
      </c>
      <c r="V1522" s="5"/>
      <c r="W1522" s="5"/>
      <c r="X1522" s="5" t="str">
        <f ca="1">IFERROR(__xludf.DUMMYFUNCTION("""COMPUTED_VALUE"""),"wmazorra@postobon.com.co,aprmttoyu@postobon.com.co,aprmyu@postobon.com.co,wmora@postobon.com.co,efzapata@postobon.com.co")</f>
        <v>wmazorra@postobon.com.co,aprmttoyu@postobon.com.co,aprmyu@postobon.com.co,wmora@postobon.com.co,efzapata@postobon.com.co</v>
      </c>
      <c r="Y1522" s="5" t="str">
        <f ca="1">IFERROR(__xludf.DUMMYFUNCTION("""COMPUTED_VALUE"""),"wmazorra@postobon.com.co")</f>
        <v>wmazorra@postobon.com.co</v>
      </c>
      <c r="Z1522" s="5" t="str">
        <f ca="1">IFERROR(__xludf.DUMMYFUNCTION("""COMPUTED_VALUE"""),"Y0lhd4ylTWKQaY39QrOogA")</f>
        <v>Y0lhd4ylTWKQaY39QrOogA</v>
      </c>
      <c r="AA1522" s="5"/>
      <c r="AB1522" s="5"/>
      <c r="AC1522" s="5"/>
      <c r="AD1522" s="5">
        <f ca="1">IFERROR(__xludf.DUMMYFUNCTION("""COMPUTED_VALUE"""),57)</f>
        <v>57</v>
      </c>
      <c r="AE1522" s="5">
        <f ca="1">IFERROR(__xludf.DUMMYFUNCTION("""COMPUTED_VALUE"""),0)</f>
        <v>0</v>
      </c>
      <c r="AF1522" s="5" t="b">
        <f ca="1">IFERROR(__xludf.DUMMYFUNCTION("""COMPUTED_VALUE"""),TRUE)</f>
        <v>1</v>
      </c>
      <c r="AG1522" s="5" t="str">
        <f ca="1">IFERROR(__xludf.DUMMYFUNCTION("""COMPUTED_VALUE"""),"INSPECCIONES SIN REALIZAR")</f>
        <v>INSPECCIONES SIN REALIZAR</v>
      </c>
      <c r="AH1522" s="5"/>
    </row>
    <row r="1523" spans="1:34">
      <c r="A1523" s="5" t="str">
        <f ca="1">IFERROR(__xludf.DUMMYFUNCTION("""COMPUTED_VALUE"""),"EQUIPOS PARA SERVICIOS INDUSTRIALES JUGO")</f>
        <v>EQUIPOS PARA SERVICIOS INDUSTRIALES JUGO</v>
      </c>
      <c r="B1523" s="5">
        <f ca="1">IFERROR(__xludf.DUMMYFUNCTION("""COMPUTED_VALUE"""),638563)</f>
        <v>638563</v>
      </c>
      <c r="C1523" s="5" t="str">
        <f ca="1">IFERROR(__xludf.DUMMYFUNCTION("""COMPUTED_VALUE"""),"CONDENSADOR EVAPORATIVO")</f>
        <v>CONDENSADOR EVAPORATIVO</v>
      </c>
      <c r="D1523" s="5">
        <f ca="1">IFERROR(__xludf.DUMMYFUNCTION("""COMPUTED_VALUE"""),13247541)</f>
        <v>13247541</v>
      </c>
      <c r="E1523" s="5" t="str">
        <f ca="1">IFERROR(__xludf.DUMMYFUNCTION("""COMPUTED_VALUE"""),"INSPECCION SEMANAL CONDENSADOR EVAPORATI")</f>
        <v>INSPECCION SEMANAL CONDENSADOR EVAPORATI</v>
      </c>
      <c r="F1523" s="5" t="str">
        <f ca="1">IFERROR(__xludf.DUMMYFUNCTION("""COMPUTED_VALUE"""),"ESTADO EJE VENTILADOR")</f>
        <v>ESTADO EJE VENTILADOR</v>
      </c>
      <c r="G1523" s="5"/>
      <c r="H1523" s="5"/>
      <c r="I1523" s="5"/>
      <c r="J1523" s="5"/>
      <c r="K1523" s="5"/>
      <c r="L1523" s="18">
        <f ca="1">IFERROR(__xludf.DUMMYFUNCTION("""COMPUTED_VALUE"""),45325)</f>
        <v>45325</v>
      </c>
      <c r="M1523" s="18">
        <f ca="1">IFERROR(__xludf.DUMMYFUNCTION("""COMPUTED_VALUE"""),45325)</f>
        <v>45325</v>
      </c>
      <c r="N1523" s="5" t="str">
        <f ca="1">IFERROR(__xludf.DUMMYFUNCTION("""COMPUTED_VALUE"""),"Lopez Raul")</f>
        <v>Lopez Raul</v>
      </c>
      <c r="O1523" s="2">
        <f ca="1">IFERROR(__xludf.DUMMYFUNCTION("""COMPUTED_VALUE"""),0.003448276)</f>
        <v>3.4482760000000001E-3</v>
      </c>
      <c r="P1523" s="5"/>
      <c r="Q1523" s="5" t="str">
        <f ca="1">IFERROR(__xludf.DUMMYFUNCTION("""COMPUTED_VALUE"""),"cKAdL0HQC-k")</f>
        <v>cKAdL0HQC-k</v>
      </c>
      <c r="R1523" s="5">
        <f ca="1">IFERROR(__xludf.DUMMYFUNCTION("""COMPUTED_VALUE"""),410)</f>
        <v>410</v>
      </c>
      <c r="S1523" s="62">
        <f ca="1">IFERROR(__xludf.DUMMYFUNCTION("""COMPUTED_VALUE"""),0.003448276)</f>
        <v>3.4482760000000001E-3</v>
      </c>
      <c r="T1523" s="63" t="str">
        <f ca="1">IFERROR(__xludf.DUMMYFUNCTION("""COMPUTED_VALUE"""),"https://storage.googleapis.com/glide-prod.appspot.com/uploads-v2/ly7o78grxPaC6KdgvbpS/pub/UliJWgpEaBovaFmXi6OW.png")</f>
        <v>https://storage.googleapis.com/glide-prod.appspot.com/uploads-v2/ly7o78grxPaC6KdgvbpS/pub/UliJWgpEaBovaFmXi6OW.png</v>
      </c>
      <c r="U1523" s="5" t="str">
        <f ca="1">IFERROR(__xludf.DUMMYFUNCTION("""COMPUTED_VALUE"""),"EQUIPOS PARA SERVICIOS INDUSTRIALES JUGOCONDENSADOR EVAPORATIVO")</f>
        <v>EQUIPOS PARA SERVICIOS INDUSTRIALES JUGOCONDENSADOR EVAPORATIVO</v>
      </c>
      <c r="V1523" s="5"/>
      <c r="W1523" s="5"/>
      <c r="X1523" s="5" t="str">
        <f ca="1">IFERROR(__xludf.DUMMYFUNCTION("""COMPUTED_VALUE"""),"wmazorra@postobon.com.co,aprmttoyu@postobon.com.co,aprmyu@postobon.com.co,wmora@postobon.com.co,efzapata@postobon.com.co")</f>
        <v>wmazorra@postobon.com.co,aprmttoyu@postobon.com.co,aprmyu@postobon.com.co,wmora@postobon.com.co,efzapata@postobon.com.co</v>
      </c>
      <c r="Y1523" s="5" t="str">
        <f ca="1">IFERROR(__xludf.DUMMYFUNCTION("""COMPUTED_VALUE"""),"wmazorra@postobon.com.co")</f>
        <v>wmazorra@postobon.com.co</v>
      </c>
      <c r="Z1523" s="5" t="str">
        <f ca="1">IFERROR(__xludf.DUMMYFUNCTION("""COMPUTED_VALUE"""),"gLuSETB3SXyISWMgiD9dew")</f>
        <v>gLuSETB3SXyISWMgiD9dew</v>
      </c>
      <c r="AA1523" s="5"/>
      <c r="AB1523" s="5"/>
      <c r="AC1523" s="5"/>
      <c r="AD1523" s="5">
        <f ca="1">IFERROR(__xludf.DUMMYFUNCTION("""COMPUTED_VALUE"""),57)</f>
        <v>57</v>
      </c>
      <c r="AE1523" s="5">
        <f ca="1">IFERROR(__xludf.DUMMYFUNCTION("""COMPUTED_VALUE"""),0)</f>
        <v>0</v>
      </c>
      <c r="AF1523" s="5" t="b">
        <f ca="1">IFERROR(__xludf.DUMMYFUNCTION("""COMPUTED_VALUE"""),TRUE)</f>
        <v>1</v>
      </c>
      <c r="AG1523" s="5" t="str">
        <f ca="1">IFERROR(__xludf.DUMMYFUNCTION("""COMPUTED_VALUE"""),"INSPECCIONES SIN REALIZAR")</f>
        <v>INSPECCIONES SIN REALIZAR</v>
      </c>
      <c r="AH1523" s="5"/>
    </row>
    <row r="1524" spans="1:34">
      <c r="A1524" s="5" t="str">
        <f ca="1">IFERROR(__xludf.DUMMYFUNCTION("""COMPUTED_VALUE"""),"EQUIPOS PARA SERVICIOS INDUSTRIALES JUGO")</f>
        <v>EQUIPOS PARA SERVICIOS INDUSTRIALES JUGO</v>
      </c>
      <c r="B1524" s="5">
        <f ca="1">IFERROR(__xludf.DUMMYFUNCTION("""COMPUTED_VALUE"""),638563)</f>
        <v>638563</v>
      </c>
      <c r="C1524" s="5" t="str">
        <f ca="1">IFERROR(__xludf.DUMMYFUNCTION("""COMPUTED_VALUE"""),"CONDENSADOR EVAPORATIVO")</f>
        <v>CONDENSADOR EVAPORATIVO</v>
      </c>
      <c r="D1524" s="5">
        <f ca="1">IFERROR(__xludf.DUMMYFUNCTION("""COMPUTED_VALUE"""),13247541)</f>
        <v>13247541</v>
      </c>
      <c r="E1524" s="5" t="str">
        <f ca="1">IFERROR(__xludf.DUMMYFUNCTION("""COMPUTED_VALUE"""),"INSPECCION SEMANAL CONDENSADOR EVAPORATI")</f>
        <v>INSPECCION SEMANAL CONDENSADOR EVAPORATI</v>
      </c>
      <c r="F1524" s="5" t="str">
        <f ca="1">IFERROR(__xludf.DUMMYFUNCTION("""COMPUTED_VALUE"""),"CHUMACERAS")</f>
        <v>CHUMACERAS</v>
      </c>
      <c r="G1524" s="5"/>
      <c r="H1524" s="5"/>
      <c r="I1524" s="5"/>
      <c r="J1524" s="5"/>
      <c r="K1524" s="5"/>
      <c r="L1524" s="18">
        <f ca="1">IFERROR(__xludf.DUMMYFUNCTION("""COMPUTED_VALUE"""),45325)</f>
        <v>45325</v>
      </c>
      <c r="M1524" s="18">
        <f ca="1">IFERROR(__xludf.DUMMYFUNCTION("""COMPUTED_VALUE"""),45325)</f>
        <v>45325</v>
      </c>
      <c r="N1524" s="5" t="str">
        <f ca="1">IFERROR(__xludf.DUMMYFUNCTION("""COMPUTED_VALUE"""),"Lopez Raul")</f>
        <v>Lopez Raul</v>
      </c>
      <c r="O1524" s="2">
        <f ca="1">IFERROR(__xludf.DUMMYFUNCTION("""COMPUTED_VALUE"""),0.003448276)</f>
        <v>3.4482760000000001E-3</v>
      </c>
      <c r="P1524" s="5"/>
      <c r="Q1524" s="5" t="str">
        <f ca="1">IFERROR(__xludf.DUMMYFUNCTION("""COMPUTED_VALUE"""),"qFBwzDDsdAA")</f>
        <v>qFBwzDDsdAA</v>
      </c>
      <c r="R1524" s="5">
        <f ca="1">IFERROR(__xludf.DUMMYFUNCTION("""COMPUTED_VALUE"""),410)</f>
        <v>410</v>
      </c>
      <c r="S1524" s="62">
        <f ca="1">IFERROR(__xludf.DUMMYFUNCTION("""COMPUTED_VALUE"""),0.003448276)</f>
        <v>3.4482760000000001E-3</v>
      </c>
      <c r="T1524" s="63" t="str">
        <f ca="1">IFERROR(__xludf.DUMMYFUNCTION("""COMPUTED_VALUE"""),"https://storage.googleapis.com/glide-prod.appspot.com/uploads-v2/ly7o78grxPaC6KdgvbpS/pub/UliJWgpEaBovaFmXi6OW.png")</f>
        <v>https://storage.googleapis.com/glide-prod.appspot.com/uploads-v2/ly7o78grxPaC6KdgvbpS/pub/UliJWgpEaBovaFmXi6OW.png</v>
      </c>
      <c r="U1524" s="5" t="str">
        <f ca="1">IFERROR(__xludf.DUMMYFUNCTION("""COMPUTED_VALUE"""),"EQUIPOS PARA SERVICIOS INDUSTRIALES JUGOCONDENSADOR EVAPORATIVO")</f>
        <v>EQUIPOS PARA SERVICIOS INDUSTRIALES JUGOCONDENSADOR EVAPORATIVO</v>
      </c>
      <c r="V1524" s="5"/>
      <c r="W1524" s="5"/>
      <c r="X1524" s="5" t="str">
        <f ca="1">IFERROR(__xludf.DUMMYFUNCTION("""COMPUTED_VALUE"""),"wmazorra@postobon.com.co,aprmttoyu@postobon.com.co,aprmyu@postobon.com.co,wmora@postobon.com.co,efzapata@postobon.com.co")</f>
        <v>wmazorra@postobon.com.co,aprmttoyu@postobon.com.co,aprmyu@postobon.com.co,wmora@postobon.com.co,efzapata@postobon.com.co</v>
      </c>
      <c r="Y1524" s="5" t="str">
        <f ca="1">IFERROR(__xludf.DUMMYFUNCTION("""COMPUTED_VALUE"""),"wmazorra@postobon.com.co")</f>
        <v>wmazorra@postobon.com.co</v>
      </c>
      <c r="Z1524" s="5" t="str">
        <f ca="1">IFERROR(__xludf.DUMMYFUNCTION("""COMPUTED_VALUE"""),"y6TWeq8cQ8Cx77bu00vPXw")</f>
        <v>y6TWeq8cQ8Cx77bu00vPXw</v>
      </c>
      <c r="AA1524" s="5"/>
      <c r="AB1524" s="5"/>
      <c r="AC1524" s="5"/>
      <c r="AD1524" s="5">
        <f ca="1">IFERROR(__xludf.DUMMYFUNCTION("""COMPUTED_VALUE"""),57)</f>
        <v>57</v>
      </c>
      <c r="AE1524" s="5">
        <f ca="1">IFERROR(__xludf.DUMMYFUNCTION("""COMPUTED_VALUE"""),0)</f>
        <v>0</v>
      </c>
      <c r="AF1524" s="5" t="b">
        <f ca="1">IFERROR(__xludf.DUMMYFUNCTION("""COMPUTED_VALUE"""),TRUE)</f>
        <v>1</v>
      </c>
      <c r="AG1524" s="5" t="str">
        <f ca="1">IFERROR(__xludf.DUMMYFUNCTION("""COMPUTED_VALUE"""),"INSPECCIONES SIN REALIZAR")</f>
        <v>INSPECCIONES SIN REALIZAR</v>
      </c>
      <c r="AH1524" s="5"/>
    </row>
    <row r="1525" spans="1:34">
      <c r="A1525" s="5" t="str">
        <f ca="1">IFERROR(__xludf.DUMMYFUNCTION("""COMPUTED_VALUE"""),"EQUIPOS PARA SERVICIOS INDUSTRIALES JUGO")</f>
        <v>EQUIPOS PARA SERVICIOS INDUSTRIALES JUGO</v>
      </c>
      <c r="B1525" s="5">
        <f ca="1">IFERROR(__xludf.DUMMYFUNCTION("""COMPUTED_VALUE"""),638563)</f>
        <v>638563</v>
      </c>
      <c r="C1525" s="5" t="str">
        <f ca="1">IFERROR(__xludf.DUMMYFUNCTION("""COMPUTED_VALUE"""),"CONDENSADOR EVAPORATIVO")</f>
        <v>CONDENSADOR EVAPORATIVO</v>
      </c>
      <c r="D1525" s="5">
        <f ca="1">IFERROR(__xludf.DUMMYFUNCTION("""COMPUTED_VALUE"""),13247541)</f>
        <v>13247541</v>
      </c>
      <c r="E1525" s="5" t="str">
        <f ca="1">IFERROR(__xludf.DUMMYFUNCTION("""COMPUTED_VALUE"""),"INSPECCION SEMANAL CONDENSADOR EVAPORATI")</f>
        <v>INSPECCION SEMANAL CONDENSADOR EVAPORATI</v>
      </c>
      <c r="F1525" s="5" t="str">
        <f ca="1">IFERROR(__xludf.DUMMYFUNCTION("""COMPUTED_VALUE"""),"TABLERO ELECTRICO/CLIMATIZADOR")</f>
        <v>TABLERO ELECTRICO/CLIMATIZADOR</v>
      </c>
      <c r="G1525" s="5"/>
      <c r="H1525" s="5"/>
      <c r="I1525" s="5"/>
      <c r="J1525" s="5"/>
      <c r="K1525" s="5"/>
      <c r="L1525" s="18">
        <f ca="1">IFERROR(__xludf.DUMMYFUNCTION("""COMPUTED_VALUE"""),45325)</f>
        <v>45325</v>
      </c>
      <c r="M1525" s="18">
        <f ca="1">IFERROR(__xludf.DUMMYFUNCTION("""COMPUTED_VALUE"""),45325)</f>
        <v>45325</v>
      </c>
      <c r="N1525" s="5" t="str">
        <f ca="1">IFERROR(__xludf.DUMMYFUNCTION("""COMPUTED_VALUE"""),"Lopez Raul")</f>
        <v>Lopez Raul</v>
      </c>
      <c r="O1525" s="2">
        <f ca="1">IFERROR(__xludf.DUMMYFUNCTION("""COMPUTED_VALUE"""),0.003448276)</f>
        <v>3.4482760000000001E-3</v>
      </c>
      <c r="P1525" s="5"/>
      <c r="Q1525" s="5" t="str">
        <f ca="1">IFERROR(__xludf.DUMMYFUNCTION("""COMPUTED_VALUE"""),"K86UJQB4j4I")</f>
        <v>K86UJQB4j4I</v>
      </c>
      <c r="R1525" s="5">
        <f ca="1">IFERROR(__xludf.DUMMYFUNCTION("""COMPUTED_VALUE"""),410)</f>
        <v>410</v>
      </c>
      <c r="S1525" s="62">
        <f ca="1">IFERROR(__xludf.DUMMYFUNCTION("""COMPUTED_VALUE"""),0.003448276)</f>
        <v>3.4482760000000001E-3</v>
      </c>
      <c r="T1525" s="63" t="str">
        <f ca="1">IFERROR(__xludf.DUMMYFUNCTION("""COMPUTED_VALUE"""),"https://storage.googleapis.com/glide-prod.appspot.com/uploads-v2/ly7o78grxPaC6KdgvbpS/pub/UliJWgpEaBovaFmXi6OW.png")</f>
        <v>https://storage.googleapis.com/glide-prod.appspot.com/uploads-v2/ly7o78grxPaC6KdgvbpS/pub/UliJWgpEaBovaFmXi6OW.png</v>
      </c>
      <c r="U1525" s="5" t="str">
        <f ca="1">IFERROR(__xludf.DUMMYFUNCTION("""COMPUTED_VALUE"""),"EQUIPOS PARA SERVICIOS INDUSTRIALES JUGOCONDENSADOR EVAPORATIVO")</f>
        <v>EQUIPOS PARA SERVICIOS INDUSTRIALES JUGOCONDENSADOR EVAPORATIVO</v>
      </c>
      <c r="V1525" s="5"/>
      <c r="W1525" s="5"/>
      <c r="X1525" s="5" t="str">
        <f ca="1">IFERROR(__xludf.DUMMYFUNCTION("""COMPUTED_VALUE"""),"wmazorra@postobon.com.co,aprmttoyu@postobon.com.co,aprmyu@postobon.com.co,wmora@postobon.com.co,efzapata@postobon.com.co")</f>
        <v>wmazorra@postobon.com.co,aprmttoyu@postobon.com.co,aprmyu@postobon.com.co,wmora@postobon.com.co,efzapata@postobon.com.co</v>
      </c>
      <c r="Y1525" s="5" t="str">
        <f ca="1">IFERROR(__xludf.DUMMYFUNCTION("""COMPUTED_VALUE"""),"wmazorra@postobon.com.co")</f>
        <v>wmazorra@postobon.com.co</v>
      </c>
      <c r="Z1525" s="5" t="str">
        <f ca="1">IFERROR(__xludf.DUMMYFUNCTION("""COMPUTED_VALUE"""),"lpamtr5QTx-xjMjbXS0p8w")</f>
        <v>lpamtr5QTx-xjMjbXS0p8w</v>
      </c>
      <c r="AA1525" s="5"/>
      <c r="AB1525" s="5"/>
      <c r="AC1525" s="5"/>
      <c r="AD1525" s="5">
        <f ca="1">IFERROR(__xludf.DUMMYFUNCTION("""COMPUTED_VALUE"""),57)</f>
        <v>57</v>
      </c>
      <c r="AE1525" s="5">
        <f ca="1">IFERROR(__xludf.DUMMYFUNCTION("""COMPUTED_VALUE"""),0)</f>
        <v>0</v>
      </c>
      <c r="AF1525" s="5" t="b">
        <f ca="1">IFERROR(__xludf.DUMMYFUNCTION("""COMPUTED_VALUE"""),TRUE)</f>
        <v>1</v>
      </c>
      <c r="AG1525" s="5" t="str">
        <f ca="1">IFERROR(__xludf.DUMMYFUNCTION("""COMPUTED_VALUE"""),"INSPECCIONES SIN REALIZAR")</f>
        <v>INSPECCIONES SIN REALIZAR</v>
      </c>
      <c r="AH1525" s="5"/>
    </row>
    <row r="1526" spans="1:34">
      <c r="A1526" s="5" t="str">
        <f ca="1">IFERROR(__xludf.DUMMYFUNCTION("""COMPUTED_VALUE"""),"EQUIPOS PARA SERVICIOS INDUSTRIALES JUGO")</f>
        <v>EQUIPOS PARA SERVICIOS INDUSTRIALES JUGO</v>
      </c>
      <c r="B1526" s="5">
        <f ca="1">IFERROR(__xludf.DUMMYFUNCTION("""COMPUTED_VALUE"""),638563)</f>
        <v>638563</v>
      </c>
      <c r="C1526" s="5" t="str">
        <f ca="1">IFERROR(__xludf.DUMMYFUNCTION("""COMPUTED_VALUE"""),"CONDENSADOR EVAPORATIVO")</f>
        <v>CONDENSADOR EVAPORATIVO</v>
      </c>
      <c r="D1526" s="5">
        <f ca="1">IFERROR(__xludf.DUMMYFUNCTION("""COMPUTED_VALUE"""),13247541)</f>
        <v>13247541</v>
      </c>
      <c r="E1526" s="5" t="str">
        <f ca="1">IFERROR(__xludf.DUMMYFUNCTION("""COMPUTED_VALUE"""),"INSPECCION SEMANAL CONDENSADOR EVAPORATI")</f>
        <v>INSPECCION SEMANAL CONDENSADOR EVAPORATI</v>
      </c>
      <c r="F1526" s="5" t="str">
        <f ca="1">IFERROR(__xludf.DUMMYFUNCTION("""COMPUTED_VALUE"""),"ESTADO CORREAS VENTILADOR")</f>
        <v>ESTADO CORREAS VENTILADOR</v>
      </c>
      <c r="G1526" s="5"/>
      <c r="H1526" s="5"/>
      <c r="I1526" s="5"/>
      <c r="J1526" s="5"/>
      <c r="K1526" s="5"/>
      <c r="L1526" s="18">
        <f ca="1">IFERROR(__xludf.DUMMYFUNCTION("""COMPUTED_VALUE"""),45325)</f>
        <v>45325</v>
      </c>
      <c r="M1526" s="18">
        <f ca="1">IFERROR(__xludf.DUMMYFUNCTION("""COMPUTED_VALUE"""),45325)</f>
        <v>45325</v>
      </c>
      <c r="N1526" s="5" t="str">
        <f ca="1">IFERROR(__xludf.DUMMYFUNCTION("""COMPUTED_VALUE"""),"Lopez Raul")</f>
        <v>Lopez Raul</v>
      </c>
      <c r="O1526" s="2">
        <f ca="1">IFERROR(__xludf.DUMMYFUNCTION("""COMPUTED_VALUE"""),0.003448276)</f>
        <v>3.4482760000000001E-3</v>
      </c>
      <c r="P1526" s="5"/>
      <c r="Q1526" s="5" t="str">
        <f ca="1">IFERROR(__xludf.DUMMYFUNCTION("""COMPUTED_VALUE"""),"YlEwX257Hmk")</f>
        <v>YlEwX257Hmk</v>
      </c>
      <c r="R1526" s="5">
        <f ca="1">IFERROR(__xludf.DUMMYFUNCTION("""COMPUTED_VALUE"""),410)</f>
        <v>410</v>
      </c>
      <c r="S1526" s="62">
        <f ca="1">IFERROR(__xludf.DUMMYFUNCTION("""COMPUTED_VALUE"""),0.003448276)</f>
        <v>3.4482760000000001E-3</v>
      </c>
      <c r="T1526" s="63" t="str">
        <f ca="1">IFERROR(__xludf.DUMMYFUNCTION("""COMPUTED_VALUE"""),"https://storage.googleapis.com/glide-prod.appspot.com/uploads-v2/ly7o78grxPaC6KdgvbpS/pub/UliJWgpEaBovaFmXi6OW.png")</f>
        <v>https://storage.googleapis.com/glide-prod.appspot.com/uploads-v2/ly7o78grxPaC6KdgvbpS/pub/UliJWgpEaBovaFmXi6OW.png</v>
      </c>
      <c r="U1526" s="5" t="str">
        <f ca="1">IFERROR(__xludf.DUMMYFUNCTION("""COMPUTED_VALUE"""),"EQUIPOS PARA SERVICIOS INDUSTRIALES JUGOCONDENSADOR EVAPORATIVO")</f>
        <v>EQUIPOS PARA SERVICIOS INDUSTRIALES JUGOCONDENSADOR EVAPORATIVO</v>
      </c>
      <c r="V1526" s="5"/>
      <c r="W1526" s="5"/>
      <c r="X1526" s="5" t="str">
        <f ca="1">IFERROR(__xludf.DUMMYFUNCTION("""COMPUTED_VALUE"""),"wmazorra@postobon.com.co,aprmttoyu@postobon.com.co,aprmyu@postobon.com.co,wmora@postobon.com.co,efzapata@postobon.com.co")</f>
        <v>wmazorra@postobon.com.co,aprmttoyu@postobon.com.co,aprmyu@postobon.com.co,wmora@postobon.com.co,efzapata@postobon.com.co</v>
      </c>
      <c r="Y1526" s="5" t="str">
        <f ca="1">IFERROR(__xludf.DUMMYFUNCTION("""COMPUTED_VALUE"""),"wmazorra@postobon.com.co")</f>
        <v>wmazorra@postobon.com.co</v>
      </c>
      <c r="Z1526" s="5" t="str">
        <f ca="1">IFERROR(__xludf.DUMMYFUNCTION("""COMPUTED_VALUE"""),"UTCrCN9sTsWJ8yJhRu6YkQ")</f>
        <v>UTCrCN9sTsWJ8yJhRu6YkQ</v>
      </c>
      <c r="AA1526" s="5"/>
      <c r="AB1526" s="5"/>
      <c r="AC1526" s="5"/>
      <c r="AD1526" s="5">
        <f ca="1">IFERROR(__xludf.DUMMYFUNCTION("""COMPUTED_VALUE"""),57)</f>
        <v>57</v>
      </c>
      <c r="AE1526" s="5">
        <f ca="1">IFERROR(__xludf.DUMMYFUNCTION("""COMPUTED_VALUE"""),0)</f>
        <v>0</v>
      </c>
      <c r="AF1526" s="5" t="b">
        <f ca="1">IFERROR(__xludf.DUMMYFUNCTION("""COMPUTED_VALUE"""),TRUE)</f>
        <v>1</v>
      </c>
      <c r="AG1526" s="5" t="str">
        <f ca="1">IFERROR(__xludf.DUMMYFUNCTION("""COMPUTED_VALUE"""),"INSPECCIONES SIN REALIZAR")</f>
        <v>INSPECCIONES SIN REALIZAR</v>
      </c>
      <c r="AH1526" s="5"/>
    </row>
    <row r="1527" spans="1:34">
      <c r="A1527" s="5" t="str">
        <f ca="1">IFERROR(__xludf.DUMMYFUNCTION("""COMPUTED_VALUE"""),"EQUIPOS PARA SERVICIOS INDUSTRIALES JUGO")</f>
        <v>EQUIPOS PARA SERVICIOS INDUSTRIALES JUGO</v>
      </c>
      <c r="B1527" s="5">
        <f ca="1">IFERROR(__xludf.DUMMYFUNCTION("""COMPUTED_VALUE"""),638563)</f>
        <v>638563</v>
      </c>
      <c r="C1527" s="5" t="str">
        <f ca="1">IFERROR(__xludf.DUMMYFUNCTION("""COMPUTED_VALUE"""),"CONDENSADOR EVAPORATIVO")</f>
        <v>CONDENSADOR EVAPORATIVO</v>
      </c>
      <c r="D1527" s="5">
        <f ca="1">IFERROR(__xludf.DUMMYFUNCTION("""COMPUTED_VALUE"""),13247541)</f>
        <v>13247541</v>
      </c>
      <c r="E1527" s="5" t="str">
        <f ca="1">IFERROR(__xludf.DUMMYFUNCTION("""COMPUTED_VALUE"""),"INSPECCION SEMANAL CONDENSADOR EVAPORATI")</f>
        <v>INSPECCION SEMANAL CONDENSADOR EVAPORATI</v>
      </c>
      <c r="F1527" s="5" t="str">
        <f ca="1">IFERROR(__xludf.DUMMYFUNCTION("""COMPUTED_VALUE"""),"INSP FUGAS AGUA, REFRIGERANTE SERPENTIN")</f>
        <v>INSP FUGAS AGUA, REFRIGERANTE SERPENTIN</v>
      </c>
      <c r="G1527" s="5"/>
      <c r="H1527" s="5"/>
      <c r="I1527" s="5"/>
      <c r="J1527" s="5"/>
      <c r="K1527" s="5"/>
      <c r="L1527" s="18">
        <f ca="1">IFERROR(__xludf.DUMMYFUNCTION("""COMPUTED_VALUE"""),45325)</f>
        <v>45325</v>
      </c>
      <c r="M1527" s="18">
        <f ca="1">IFERROR(__xludf.DUMMYFUNCTION("""COMPUTED_VALUE"""),45325)</f>
        <v>45325</v>
      </c>
      <c r="N1527" s="5" t="str">
        <f ca="1">IFERROR(__xludf.DUMMYFUNCTION("""COMPUTED_VALUE"""),"Lopez Raul")</f>
        <v>Lopez Raul</v>
      </c>
      <c r="O1527" s="2">
        <f ca="1">IFERROR(__xludf.DUMMYFUNCTION("""COMPUTED_VALUE"""),0.003448276)</f>
        <v>3.4482760000000001E-3</v>
      </c>
      <c r="P1527" s="5"/>
      <c r="Q1527" s="5" t="str">
        <f ca="1">IFERROR(__xludf.DUMMYFUNCTION("""COMPUTED_VALUE"""),"2Y5ZwcDjgrM")</f>
        <v>2Y5ZwcDjgrM</v>
      </c>
      <c r="R1527" s="5">
        <f ca="1">IFERROR(__xludf.DUMMYFUNCTION("""COMPUTED_VALUE"""),410)</f>
        <v>410</v>
      </c>
      <c r="S1527" s="62">
        <f ca="1">IFERROR(__xludf.DUMMYFUNCTION("""COMPUTED_VALUE"""),0.003448276)</f>
        <v>3.4482760000000001E-3</v>
      </c>
      <c r="T1527" s="63" t="str">
        <f ca="1">IFERROR(__xludf.DUMMYFUNCTION("""COMPUTED_VALUE"""),"https://storage.googleapis.com/glide-prod.appspot.com/uploads-v2/ly7o78grxPaC6KdgvbpS/pub/UliJWgpEaBovaFmXi6OW.png")</f>
        <v>https://storage.googleapis.com/glide-prod.appspot.com/uploads-v2/ly7o78grxPaC6KdgvbpS/pub/UliJWgpEaBovaFmXi6OW.png</v>
      </c>
      <c r="U1527" s="5" t="str">
        <f ca="1">IFERROR(__xludf.DUMMYFUNCTION("""COMPUTED_VALUE"""),"EQUIPOS PARA SERVICIOS INDUSTRIALES JUGOCONDENSADOR EVAPORATIVO")</f>
        <v>EQUIPOS PARA SERVICIOS INDUSTRIALES JUGOCONDENSADOR EVAPORATIVO</v>
      </c>
      <c r="V1527" s="5"/>
      <c r="W1527" s="5"/>
      <c r="X1527" s="5" t="str">
        <f ca="1">IFERROR(__xludf.DUMMYFUNCTION("""COMPUTED_VALUE"""),"wmazorra@postobon.com.co,aprmttoyu@postobon.com.co,aprmyu@postobon.com.co,wmora@postobon.com.co,efzapata@postobon.com.co")</f>
        <v>wmazorra@postobon.com.co,aprmttoyu@postobon.com.co,aprmyu@postobon.com.co,wmora@postobon.com.co,efzapata@postobon.com.co</v>
      </c>
      <c r="Y1527" s="5" t="str">
        <f ca="1">IFERROR(__xludf.DUMMYFUNCTION("""COMPUTED_VALUE"""),"wmazorra@postobon.com.co")</f>
        <v>wmazorra@postobon.com.co</v>
      </c>
      <c r="Z1527" s="5" t="str">
        <f ca="1">IFERROR(__xludf.DUMMYFUNCTION("""COMPUTED_VALUE"""),"8AW8A85xRuajc7CADrqNZQ")</f>
        <v>8AW8A85xRuajc7CADrqNZQ</v>
      </c>
      <c r="AA1527" s="5"/>
      <c r="AB1527" s="5"/>
      <c r="AC1527" s="5"/>
      <c r="AD1527" s="5">
        <f ca="1">IFERROR(__xludf.DUMMYFUNCTION("""COMPUTED_VALUE"""),57)</f>
        <v>57</v>
      </c>
      <c r="AE1527" s="5">
        <f ca="1">IFERROR(__xludf.DUMMYFUNCTION("""COMPUTED_VALUE"""),0)</f>
        <v>0</v>
      </c>
      <c r="AF1527" s="5" t="b">
        <f ca="1">IFERROR(__xludf.DUMMYFUNCTION("""COMPUTED_VALUE"""),TRUE)</f>
        <v>1</v>
      </c>
      <c r="AG1527" s="5" t="str">
        <f ca="1">IFERROR(__xludf.DUMMYFUNCTION("""COMPUTED_VALUE"""),"INSPECCIONES SIN REALIZAR")</f>
        <v>INSPECCIONES SIN REALIZAR</v>
      </c>
      <c r="AH1527" s="5"/>
    </row>
    <row r="1528" spans="1:34">
      <c r="A1528" s="5" t="str">
        <f ca="1">IFERROR(__xludf.DUMMYFUNCTION("""COMPUTED_VALUE"""),"EQUIPOS PARA SERVICIOS INDUSTRIALES JUGO")</f>
        <v>EQUIPOS PARA SERVICIOS INDUSTRIALES JUGO</v>
      </c>
      <c r="B1528" s="5">
        <f ca="1">IFERROR(__xludf.DUMMYFUNCTION("""COMPUTED_VALUE"""),638563)</f>
        <v>638563</v>
      </c>
      <c r="C1528" s="5" t="str">
        <f ca="1">IFERROR(__xludf.DUMMYFUNCTION("""COMPUTED_VALUE"""),"CONDENSADOR EVAPORATIVO")</f>
        <v>CONDENSADOR EVAPORATIVO</v>
      </c>
      <c r="D1528" s="5">
        <f ca="1">IFERROR(__xludf.DUMMYFUNCTION("""COMPUTED_VALUE"""),13247541)</f>
        <v>13247541</v>
      </c>
      <c r="E1528" s="5" t="str">
        <f ca="1">IFERROR(__xludf.DUMMYFUNCTION("""COMPUTED_VALUE"""),"INSPECCION SEMANAL CONDENSADOR EVAPORATI")</f>
        <v>INSPECCION SEMANAL CONDENSADOR EVAPORATI</v>
      </c>
      <c r="F1528" s="5" t="str">
        <f ca="1">IFERROR(__xludf.DUMMYFUNCTION("""COMPUTED_VALUE"""),"COMPROBAR NIVEL DE AGUA A ALTURA DE FLOTADOR")</f>
        <v>COMPROBAR NIVEL DE AGUA A ALTURA DE FLOTADOR</v>
      </c>
      <c r="G1528" s="5"/>
      <c r="H1528" s="5"/>
      <c r="I1528" s="5"/>
      <c r="J1528" s="5"/>
      <c r="K1528" s="5"/>
      <c r="L1528" s="18">
        <f ca="1">IFERROR(__xludf.DUMMYFUNCTION("""COMPUTED_VALUE"""),45325)</f>
        <v>45325</v>
      </c>
      <c r="M1528" s="18">
        <f ca="1">IFERROR(__xludf.DUMMYFUNCTION("""COMPUTED_VALUE"""),45325)</f>
        <v>45325</v>
      </c>
      <c r="N1528" s="5" t="str">
        <f ca="1">IFERROR(__xludf.DUMMYFUNCTION("""COMPUTED_VALUE"""),"Lopez Raul")</f>
        <v>Lopez Raul</v>
      </c>
      <c r="O1528" s="2">
        <f ca="1">IFERROR(__xludf.DUMMYFUNCTION("""COMPUTED_VALUE"""),0.003448276)</f>
        <v>3.4482760000000001E-3</v>
      </c>
      <c r="P1528" s="5"/>
      <c r="Q1528" s="5" t="str">
        <f ca="1">IFERROR(__xludf.DUMMYFUNCTION("""COMPUTED_VALUE"""),"ox-G0f8fMKA")</f>
        <v>ox-G0f8fMKA</v>
      </c>
      <c r="R1528" s="5">
        <f ca="1">IFERROR(__xludf.DUMMYFUNCTION("""COMPUTED_VALUE"""),410)</f>
        <v>410</v>
      </c>
      <c r="S1528" s="62">
        <f ca="1">IFERROR(__xludf.DUMMYFUNCTION("""COMPUTED_VALUE"""),0.003448276)</f>
        <v>3.4482760000000001E-3</v>
      </c>
      <c r="T1528" s="63" t="str">
        <f ca="1">IFERROR(__xludf.DUMMYFUNCTION("""COMPUTED_VALUE"""),"https://storage.googleapis.com/glide-prod.appspot.com/uploads-v2/ly7o78grxPaC6KdgvbpS/pub/UliJWgpEaBovaFmXi6OW.png")</f>
        <v>https://storage.googleapis.com/glide-prod.appspot.com/uploads-v2/ly7o78grxPaC6KdgvbpS/pub/UliJWgpEaBovaFmXi6OW.png</v>
      </c>
      <c r="U1528" s="5" t="str">
        <f ca="1">IFERROR(__xludf.DUMMYFUNCTION("""COMPUTED_VALUE"""),"EQUIPOS PARA SERVICIOS INDUSTRIALES JUGOCONDENSADOR EVAPORATIVO")</f>
        <v>EQUIPOS PARA SERVICIOS INDUSTRIALES JUGOCONDENSADOR EVAPORATIVO</v>
      </c>
      <c r="V1528" s="5"/>
      <c r="W1528" s="5"/>
      <c r="X1528" s="5" t="str">
        <f ca="1">IFERROR(__xludf.DUMMYFUNCTION("""COMPUTED_VALUE"""),"wmazorra@postobon.com.co,aprmttoyu@postobon.com.co,aprmyu@postobon.com.co,wmora@postobon.com.co,efzapata@postobon.com.co")</f>
        <v>wmazorra@postobon.com.co,aprmttoyu@postobon.com.co,aprmyu@postobon.com.co,wmora@postobon.com.co,efzapata@postobon.com.co</v>
      </c>
      <c r="Y1528" s="5" t="str">
        <f ca="1">IFERROR(__xludf.DUMMYFUNCTION("""COMPUTED_VALUE"""),"wmazorra@postobon.com.co")</f>
        <v>wmazorra@postobon.com.co</v>
      </c>
      <c r="Z1528" s="5" t="str">
        <f ca="1">IFERROR(__xludf.DUMMYFUNCTION("""COMPUTED_VALUE"""),"NT0gl8MtTo2yh.sugWITVw")</f>
        <v>NT0gl8MtTo2yh.sugWITVw</v>
      </c>
      <c r="AA1528" s="5"/>
      <c r="AB1528" s="5"/>
      <c r="AC1528" s="5"/>
      <c r="AD1528" s="5">
        <f ca="1">IFERROR(__xludf.DUMMYFUNCTION("""COMPUTED_VALUE"""),57)</f>
        <v>57</v>
      </c>
      <c r="AE1528" s="5">
        <f ca="1">IFERROR(__xludf.DUMMYFUNCTION("""COMPUTED_VALUE"""),0)</f>
        <v>0</v>
      </c>
      <c r="AF1528" s="5" t="b">
        <f ca="1">IFERROR(__xludf.DUMMYFUNCTION("""COMPUTED_VALUE"""),TRUE)</f>
        <v>1</v>
      </c>
      <c r="AG1528" s="5" t="str">
        <f ca="1">IFERROR(__xludf.DUMMYFUNCTION("""COMPUTED_VALUE"""),"INSPECCIONES SIN REALIZAR")</f>
        <v>INSPECCIONES SIN REALIZAR</v>
      </c>
      <c r="AH1528" s="5"/>
    </row>
    <row r="1529" spans="1:34">
      <c r="A1529" s="5" t="str">
        <f ca="1">IFERROR(__xludf.DUMMYFUNCTION("""COMPUTED_VALUE"""),"LINEA PET CSD - LINEA 10")</f>
        <v>LINEA PET CSD - LINEA 10</v>
      </c>
      <c r="B1529" s="5">
        <f ca="1">IFERROR(__xludf.DUMMYFUNCTION("""COMPUTED_VALUE"""),51956101)</f>
        <v>51956101</v>
      </c>
      <c r="C1529" s="5" t="str">
        <f ca="1">IFERROR(__xludf.DUMMYFUNCTION("""COMPUTED_VALUE"""),"SISTEMA INYECCIÓN DE NITRÓGENO")</f>
        <v>SISTEMA INYECCIÓN DE NITRÓGENO</v>
      </c>
      <c r="D1529" s="5">
        <f ca="1">IFERROR(__xludf.DUMMYFUNCTION("""COMPUTED_VALUE"""),13247604)</f>
        <v>13247604</v>
      </c>
      <c r="E1529" s="5" t="str">
        <f ca="1">IFERROR(__xludf.DUMMYFUNCTION("""COMPUTED_VALUE"""),"Inspección semanal nitrógeno")</f>
        <v>Inspección semanal nitrógeno</v>
      </c>
      <c r="F1529" s="5" t="str">
        <f ca="1">IFERROR(__xludf.DUMMYFUNCTION("""COMPUTED_VALUE"""),"Antes de cada uso: Retire e inspeccione el bloque calentador. Para obtener mejores resultados, retire el bloque calentador cuando la unidad de dosificación esté caliente. Si es necesario, limpie las superficies del bloque según lo considere apropiado")</f>
        <v>Antes de cada uso: Retire e inspeccione el bloque calentador. Para obtener mejores resultados, retire el bloque calentador cuando la unidad de dosificación esté caliente. Si es necesario, limpie las superficies del bloque según lo considere apropiado</v>
      </c>
      <c r="G1529" s="5" t="b">
        <f ca="1">IFERROR(__xludf.DUMMYFUNCTION("""COMPUTED_VALUE"""),TRUE)</f>
        <v>1</v>
      </c>
      <c r="H1529" s="5"/>
      <c r="I1529" s="5"/>
      <c r="J1529" s="5"/>
      <c r="K1529" s="5"/>
      <c r="L1529" s="18">
        <f ca="1">IFERROR(__xludf.DUMMYFUNCTION("""COMPUTED_VALUE"""),45325)</f>
        <v>45325</v>
      </c>
      <c r="M1529" s="18">
        <f ca="1">IFERROR(__xludf.DUMMYFUNCTION("""COMPUTED_VALUE"""),45325)</f>
        <v>45325</v>
      </c>
      <c r="N1529" s="5" t="str">
        <f ca="1">IFERROR(__xludf.DUMMYFUNCTION("""COMPUTED_VALUE"""),"Jhon Edwar Echeverry Reina")</f>
        <v>Jhon Edwar Echeverry Reina</v>
      </c>
      <c r="O1529" s="2">
        <f ca="1">IFERROR(__xludf.DUMMYFUNCTION("""COMPUTED_VALUE"""),0.02)</f>
        <v>0.02</v>
      </c>
      <c r="P1529" s="5"/>
      <c r="Q1529" s="5" t="str">
        <f ca="1">IFERROR(__xludf.DUMMYFUNCTION("""COMPUTED_VALUE"""),"dpO_Ni7s-Yg")</f>
        <v>dpO_Ni7s-Yg</v>
      </c>
      <c r="R1529" s="5">
        <f ca="1">IFERROR(__xludf.DUMMYFUNCTION("""COMPUTED_VALUE"""),410)</f>
        <v>410</v>
      </c>
      <c r="S1529" s="62">
        <f ca="1">IFERROR(__xludf.DUMMYFUNCTION("""COMPUTED_VALUE"""),0.02)</f>
        <v>0.02</v>
      </c>
      <c r="T1529" s="63" t="str">
        <f ca="1">IFERROR(__xludf.DUMMYFUNCTION("""COMPUTED_VALUE"""),"https://storage.googleapis.com/glide-prod.appspot.com/uploads-v2/ly7o78grxPaC6KdgvbpS/pub/3aRdSog0vUtuqPE8AJKD.png")</f>
        <v>https://storage.googleapis.com/glide-prod.appspot.com/uploads-v2/ly7o78grxPaC6KdgvbpS/pub/3aRdSog0vUtuqPE8AJKD.png</v>
      </c>
      <c r="U1529" s="5" t="str">
        <f ca="1">IFERROR(__xludf.DUMMYFUNCTION("""COMPUTED_VALUE"""),"LINEA PET CSD - LINEA 10SISTEMA INYECCIÓN DE NITRÓGENO")</f>
        <v>LINEA PET CSD - LINEA 10SISTEMA INYECCIÓN DE NITRÓGENO</v>
      </c>
      <c r="V1529" s="5"/>
      <c r="W1529" s="5" t="b">
        <f ca="1">IFERROR(__xludf.DUMMYFUNCTION("""COMPUTED_VALUE"""),TRUE)</f>
        <v>1</v>
      </c>
      <c r="X1529" s="5" t="str">
        <f ca="1">IFERROR(__xludf.DUMMYFUNCTION("""COMPUTED_VALUE"""),"wmazorra@postobon.com.co,aprmttoyu@postobon.com.co,aprmyu@postobon.com.co,wmora@postobon.com.co,efzapata@postobon.com.co")</f>
        <v>wmazorra@postobon.com.co,aprmttoyu@postobon.com.co,aprmyu@postobon.com.co,wmora@postobon.com.co,efzapata@postobon.com.co</v>
      </c>
      <c r="Y1529" s="5" t="str">
        <f ca="1">IFERROR(__xludf.DUMMYFUNCTION("""COMPUTED_VALUE"""),"wmazorra@postobon.com.co")</f>
        <v>wmazorra@postobon.com.co</v>
      </c>
      <c r="Z1529" s="5" t="str">
        <f ca="1">IFERROR(__xludf.DUMMYFUNCTION("""COMPUTED_VALUE"""),"iEeGaaBGRriG0g0Ef6u2Lg")</f>
        <v>iEeGaaBGRriG0g0Ef6u2Lg</v>
      </c>
      <c r="AA1529" s="5"/>
      <c r="AB1529" s="5"/>
      <c r="AC1529" s="5"/>
      <c r="AD1529" s="5">
        <f ca="1">IFERROR(__xludf.DUMMYFUNCTION("""COMPUTED_VALUE"""),5)</f>
        <v>5</v>
      </c>
      <c r="AE1529" s="5">
        <f ca="1">IFERROR(__xludf.DUMMYFUNCTION("""COMPUTED_VALUE"""),5)</f>
        <v>5</v>
      </c>
      <c r="AF1529" s="5" t="b">
        <f ca="1">IFERROR(__xludf.DUMMYFUNCTION("""COMPUTED_VALUE"""),FALSE)</f>
        <v>0</v>
      </c>
      <c r="AG1529" s="5" t="str">
        <f ca="1">IFERROR(__xludf.DUMMYFUNCTION("""COMPUTED_VALUE"""),"INSPECCIONES REALIZADAS")</f>
        <v>INSPECCIONES REALIZADAS</v>
      </c>
      <c r="AH1529" s="5"/>
    </row>
    <row r="1530" spans="1:34">
      <c r="A1530" s="5" t="str">
        <f ca="1">IFERROR(__xludf.DUMMYFUNCTION("""COMPUTED_VALUE"""),"LINEA PET CSD - LINEA 10")</f>
        <v>LINEA PET CSD - LINEA 10</v>
      </c>
      <c r="B1530" s="5">
        <f ca="1">IFERROR(__xludf.DUMMYFUNCTION("""COMPUTED_VALUE"""),51956101)</f>
        <v>51956101</v>
      </c>
      <c r="C1530" s="5" t="str">
        <f ca="1">IFERROR(__xludf.DUMMYFUNCTION("""COMPUTED_VALUE"""),"SISTEMA INYECCIÓN DE NITRÓGENO")</f>
        <v>SISTEMA INYECCIÓN DE NITRÓGENO</v>
      </c>
      <c r="D1530" s="5">
        <f ca="1">IFERROR(__xludf.DUMMYFUNCTION("""COMPUTED_VALUE"""),13247604)</f>
        <v>13247604</v>
      </c>
      <c r="E1530" s="5" t="str">
        <f ca="1">IFERROR(__xludf.DUMMYFUNCTION("""COMPUTED_VALUE"""),"Inspección semanal nitrógeno")</f>
        <v>Inspección semanal nitrógeno</v>
      </c>
      <c r="F1530" s="5" t="str">
        <f ca="1">IFERROR(__xludf.DUMMYFUNCTION("""COMPUTED_VALUE"""),"Revise auditivamente presencia de fugas o señales de mal funcionamiento en el tanque de almacenamiento (D)")</f>
        <v>Revise auditivamente presencia de fugas o señales de mal funcionamiento en el tanque de almacenamiento (D)</v>
      </c>
      <c r="G1530" s="5" t="b">
        <f ca="1">IFERROR(__xludf.DUMMYFUNCTION("""COMPUTED_VALUE"""),TRUE)</f>
        <v>1</v>
      </c>
      <c r="H1530" s="5"/>
      <c r="I1530" s="5"/>
      <c r="J1530" s="5"/>
      <c r="K1530" s="5"/>
      <c r="L1530" s="18">
        <f ca="1">IFERROR(__xludf.DUMMYFUNCTION("""COMPUTED_VALUE"""),45325)</f>
        <v>45325</v>
      </c>
      <c r="M1530" s="18">
        <f ca="1">IFERROR(__xludf.DUMMYFUNCTION("""COMPUTED_VALUE"""),45325)</f>
        <v>45325</v>
      </c>
      <c r="N1530" s="5" t="str">
        <f ca="1">IFERROR(__xludf.DUMMYFUNCTION("""COMPUTED_VALUE"""),"Jhon Edwar Echeverry Reina")</f>
        <v>Jhon Edwar Echeverry Reina</v>
      </c>
      <c r="O1530" s="2">
        <f ca="1">IFERROR(__xludf.DUMMYFUNCTION("""COMPUTED_VALUE"""),0.02)</f>
        <v>0.02</v>
      </c>
      <c r="P1530" s="5"/>
      <c r="Q1530" s="5" t="str">
        <f ca="1">IFERROR(__xludf.DUMMYFUNCTION("""COMPUTED_VALUE"""),"d3lWGCfUYGw")</f>
        <v>d3lWGCfUYGw</v>
      </c>
      <c r="R1530" s="5">
        <f ca="1">IFERROR(__xludf.DUMMYFUNCTION("""COMPUTED_VALUE"""),410)</f>
        <v>410</v>
      </c>
      <c r="S1530" s="62">
        <f ca="1">IFERROR(__xludf.DUMMYFUNCTION("""COMPUTED_VALUE"""),0.02)</f>
        <v>0.02</v>
      </c>
      <c r="T1530" s="63" t="str">
        <f ca="1">IFERROR(__xludf.DUMMYFUNCTION("""COMPUTED_VALUE"""),"https://storage.googleapis.com/glide-prod.appspot.com/uploads-v2/ly7o78grxPaC6KdgvbpS/pub/3aRdSog0vUtuqPE8AJKD.png")</f>
        <v>https://storage.googleapis.com/glide-prod.appspot.com/uploads-v2/ly7o78grxPaC6KdgvbpS/pub/3aRdSog0vUtuqPE8AJKD.png</v>
      </c>
      <c r="U1530" s="5" t="str">
        <f ca="1">IFERROR(__xludf.DUMMYFUNCTION("""COMPUTED_VALUE"""),"LINEA PET CSD - LINEA 10SISTEMA INYECCIÓN DE NITRÓGENO")</f>
        <v>LINEA PET CSD - LINEA 10SISTEMA INYECCIÓN DE NITRÓGENO</v>
      </c>
      <c r="V1530" s="5"/>
      <c r="W1530" s="5" t="b">
        <f ca="1">IFERROR(__xludf.DUMMYFUNCTION("""COMPUTED_VALUE"""),TRUE)</f>
        <v>1</v>
      </c>
      <c r="X1530" s="5" t="str">
        <f ca="1">IFERROR(__xludf.DUMMYFUNCTION("""COMPUTED_VALUE"""),"wmazorra@postobon.com.co,aprmttoyu@postobon.com.co,aprmyu@postobon.com.co,wmora@postobon.com.co,efzapata@postobon.com.co")</f>
        <v>wmazorra@postobon.com.co,aprmttoyu@postobon.com.co,aprmyu@postobon.com.co,wmora@postobon.com.co,efzapata@postobon.com.co</v>
      </c>
      <c r="Y1530" s="5" t="str">
        <f ca="1">IFERROR(__xludf.DUMMYFUNCTION("""COMPUTED_VALUE"""),"wmazorra@postobon.com.co")</f>
        <v>wmazorra@postobon.com.co</v>
      </c>
      <c r="Z1530" s="5" t="str">
        <f ca="1">IFERROR(__xludf.DUMMYFUNCTION("""COMPUTED_VALUE"""),"jMXZbVRxS3yrOet-Iz3kMw")</f>
        <v>jMXZbVRxS3yrOet-Iz3kMw</v>
      </c>
      <c r="AA1530" s="5"/>
      <c r="AB1530" s="5"/>
      <c r="AC1530" s="5"/>
      <c r="AD1530" s="5">
        <f ca="1">IFERROR(__xludf.DUMMYFUNCTION("""COMPUTED_VALUE"""),5)</f>
        <v>5</v>
      </c>
      <c r="AE1530" s="5">
        <f ca="1">IFERROR(__xludf.DUMMYFUNCTION("""COMPUTED_VALUE"""),5)</f>
        <v>5</v>
      </c>
      <c r="AF1530" s="5" t="b">
        <f ca="1">IFERROR(__xludf.DUMMYFUNCTION("""COMPUTED_VALUE"""),FALSE)</f>
        <v>0</v>
      </c>
      <c r="AG1530" s="5" t="str">
        <f ca="1">IFERROR(__xludf.DUMMYFUNCTION("""COMPUTED_VALUE"""),"INSPECCIONES REALIZADAS")</f>
        <v>INSPECCIONES REALIZADAS</v>
      </c>
      <c r="AH1530" s="5"/>
    </row>
    <row r="1531" spans="1:34">
      <c r="A1531" s="5" t="str">
        <f ca="1">IFERROR(__xludf.DUMMYFUNCTION("""COMPUTED_VALUE"""),"LINEA PET CSD - LINEA 10")</f>
        <v>LINEA PET CSD - LINEA 10</v>
      </c>
      <c r="B1531" s="5">
        <f ca="1">IFERROR(__xludf.DUMMYFUNCTION("""COMPUTED_VALUE"""),51956101)</f>
        <v>51956101</v>
      </c>
      <c r="C1531" s="5" t="str">
        <f ca="1">IFERROR(__xludf.DUMMYFUNCTION("""COMPUTED_VALUE"""),"SISTEMA INYECCIÓN DE NITRÓGENO")</f>
        <v>SISTEMA INYECCIÓN DE NITRÓGENO</v>
      </c>
      <c r="D1531" s="5">
        <f ca="1">IFERROR(__xludf.DUMMYFUNCTION("""COMPUTED_VALUE"""),13247604)</f>
        <v>13247604</v>
      </c>
      <c r="E1531" s="5" t="str">
        <f ca="1">IFERROR(__xludf.DUMMYFUNCTION("""COMPUTED_VALUE"""),"Inspección semanal nitrógeno")</f>
        <v>Inspección semanal nitrógeno</v>
      </c>
      <c r="F1531" s="5" t="str">
        <f ca="1">IFERROR(__xludf.DUMMYFUNCTION("""COMPUTED_VALUE"""),"Inspeccione si hay acumulación de hielo en las tuberías entre el tanque de almacenamiento y el dosificador de nitrógeno líquido. (S)")</f>
        <v>Inspeccione si hay acumulación de hielo en las tuberías entre el tanque de almacenamiento y el dosificador de nitrógeno líquido. (S)</v>
      </c>
      <c r="G1531" s="5" t="b">
        <f ca="1">IFERROR(__xludf.DUMMYFUNCTION("""COMPUTED_VALUE"""),TRUE)</f>
        <v>1</v>
      </c>
      <c r="H1531" s="5"/>
      <c r="I1531" s="5"/>
      <c r="J1531" s="5"/>
      <c r="K1531" s="5"/>
      <c r="L1531" s="18">
        <f ca="1">IFERROR(__xludf.DUMMYFUNCTION("""COMPUTED_VALUE"""),45325)</f>
        <v>45325</v>
      </c>
      <c r="M1531" s="18">
        <f ca="1">IFERROR(__xludf.DUMMYFUNCTION("""COMPUTED_VALUE"""),45325)</f>
        <v>45325</v>
      </c>
      <c r="N1531" s="5" t="str">
        <f ca="1">IFERROR(__xludf.DUMMYFUNCTION("""COMPUTED_VALUE"""),"Jhon Edwar Echeverry Reina")</f>
        <v>Jhon Edwar Echeverry Reina</v>
      </c>
      <c r="O1531" s="2">
        <f ca="1">IFERROR(__xludf.DUMMYFUNCTION("""COMPUTED_VALUE"""),0.02)</f>
        <v>0.02</v>
      </c>
      <c r="P1531" s="5"/>
      <c r="Q1531" s="5" t="str">
        <f ca="1">IFERROR(__xludf.DUMMYFUNCTION("""COMPUTED_VALUE"""),"HOcmVV_CxJs")</f>
        <v>HOcmVV_CxJs</v>
      </c>
      <c r="R1531" s="5">
        <f ca="1">IFERROR(__xludf.DUMMYFUNCTION("""COMPUTED_VALUE"""),410)</f>
        <v>410</v>
      </c>
      <c r="S1531" s="62">
        <f ca="1">IFERROR(__xludf.DUMMYFUNCTION("""COMPUTED_VALUE"""),0.02)</f>
        <v>0.02</v>
      </c>
      <c r="T1531" s="63" t="str">
        <f ca="1">IFERROR(__xludf.DUMMYFUNCTION("""COMPUTED_VALUE"""),"https://storage.googleapis.com/glide-prod.appspot.com/uploads-v2/ly7o78grxPaC6KdgvbpS/pub/3aRdSog0vUtuqPE8AJKD.png")</f>
        <v>https://storage.googleapis.com/glide-prod.appspot.com/uploads-v2/ly7o78grxPaC6KdgvbpS/pub/3aRdSog0vUtuqPE8AJKD.png</v>
      </c>
      <c r="U1531" s="5" t="str">
        <f ca="1">IFERROR(__xludf.DUMMYFUNCTION("""COMPUTED_VALUE"""),"LINEA PET CSD - LINEA 10SISTEMA INYECCIÓN DE NITRÓGENO")</f>
        <v>LINEA PET CSD - LINEA 10SISTEMA INYECCIÓN DE NITRÓGENO</v>
      </c>
      <c r="V1531" s="5"/>
      <c r="W1531" s="5" t="b">
        <f ca="1">IFERROR(__xludf.DUMMYFUNCTION("""COMPUTED_VALUE"""),TRUE)</f>
        <v>1</v>
      </c>
      <c r="X1531" s="5" t="str">
        <f ca="1">IFERROR(__xludf.DUMMYFUNCTION("""COMPUTED_VALUE"""),"wmazorra@postobon.com.co,aprmttoyu@postobon.com.co,aprmyu@postobon.com.co,wmora@postobon.com.co,efzapata@postobon.com.co")</f>
        <v>wmazorra@postobon.com.co,aprmttoyu@postobon.com.co,aprmyu@postobon.com.co,wmora@postobon.com.co,efzapata@postobon.com.co</v>
      </c>
      <c r="Y1531" s="5" t="str">
        <f ca="1">IFERROR(__xludf.DUMMYFUNCTION("""COMPUTED_VALUE"""),"wmazorra@postobon.com.co")</f>
        <v>wmazorra@postobon.com.co</v>
      </c>
      <c r="Z1531" s="5" t="str">
        <f ca="1">IFERROR(__xludf.DUMMYFUNCTION("""COMPUTED_VALUE"""),"d4EZePtDRASZMnAZl66h7w")</f>
        <v>d4EZePtDRASZMnAZl66h7w</v>
      </c>
      <c r="AA1531" s="5"/>
      <c r="AB1531" s="5"/>
      <c r="AC1531" s="5"/>
      <c r="AD1531" s="5">
        <f ca="1">IFERROR(__xludf.DUMMYFUNCTION("""COMPUTED_VALUE"""),5)</f>
        <v>5</v>
      </c>
      <c r="AE1531" s="5">
        <f ca="1">IFERROR(__xludf.DUMMYFUNCTION("""COMPUTED_VALUE"""),5)</f>
        <v>5</v>
      </c>
      <c r="AF1531" s="5" t="b">
        <f ca="1">IFERROR(__xludf.DUMMYFUNCTION("""COMPUTED_VALUE"""),FALSE)</f>
        <v>0</v>
      </c>
      <c r="AG1531" s="5" t="str">
        <f ca="1">IFERROR(__xludf.DUMMYFUNCTION("""COMPUTED_VALUE"""),"INSPECCIONES REALIZADAS")</f>
        <v>INSPECCIONES REALIZADAS</v>
      </c>
      <c r="AH1531" s="5"/>
    </row>
    <row r="1532" spans="1:34">
      <c r="A1532" s="5" t="str">
        <f ca="1">IFERROR(__xludf.DUMMYFUNCTION("""COMPUTED_VALUE"""),"LINEA PET CSD - LINEA 10")</f>
        <v>LINEA PET CSD - LINEA 10</v>
      </c>
      <c r="B1532" s="5">
        <f ca="1">IFERROR(__xludf.DUMMYFUNCTION("""COMPUTED_VALUE"""),51956101)</f>
        <v>51956101</v>
      </c>
      <c r="C1532" s="5" t="str">
        <f ca="1">IFERROR(__xludf.DUMMYFUNCTION("""COMPUTED_VALUE"""),"SISTEMA INYECCIÓN DE NITRÓGENO")</f>
        <v>SISTEMA INYECCIÓN DE NITRÓGENO</v>
      </c>
      <c r="D1532" s="5">
        <f ca="1">IFERROR(__xludf.DUMMYFUNCTION("""COMPUTED_VALUE"""),13247604)</f>
        <v>13247604</v>
      </c>
      <c r="E1532" s="5" t="str">
        <f ca="1">IFERROR(__xludf.DUMMYFUNCTION("""COMPUTED_VALUE"""),"Inspección semanal nitrógeno")</f>
        <v>Inspección semanal nitrógeno</v>
      </c>
      <c r="F1532" s="5" t="str">
        <f ca="1">IFERROR(__xludf.DUMMYFUNCTION("""COMPUTED_VALUE"""),"Observe las válvulas de alivio de presión del tanque de almacenamiento. Descarte la presencia de fugas (S)")</f>
        <v>Observe las válvulas de alivio de presión del tanque de almacenamiento. Descarte la presencia de fugas (S)</v>
      </c>
      <c r="G1532" s="5" t="b">
        <f ca="1">IFERROR(__xludf.DUMMYFUNCTION("""COMPUTED_VALUE"""),TRUE)</f>
        <v>1</v>
      </c>
      <c r="H1532" s="5"/>
      <c r="I1532" s="5"/>
      <c r="J1532" s="5"/>
      <c r="K1532" s="5"/>
      <c r="L1532" s="18">
        <f ca="1">IFERROR(__xludf.DUMMYFUNCTION("""COMPUTED_VALUE"""),45325)</f>
        <v>45325</v>
      </c>
      <c r="M1532" s="18">
        <f ca="1">IFERROR(__xludf.DUMMYFUNCTION("""COMPUTED_VALUE"""),45325)</f>
        <v>45325</v>
      </c>
      <c r="N1532" s="5" t="str">
        <f ca="1">IFERROR(__xludf.DUMMYFUNCTION("""COMPUTED_VALUE"""),"Jhon Edwar Echeverry Reina")</f>
        <v>Jhon Edwar Echeverry Reina</v>
      </c>
      <c r="O1532" s="2">
        <f ca="1">IFERROR(__xludf.DUMMYFUNCTION("""COMPUTED_VALUE"""),0.02)</f>
        <v>0.02</v>
      </c>
      <c r="P1532" s="5"/>
      <c r="Q1532" s="5" t="str">
        <f ca="1">IFERROR(__xludf.DUMMYFUNCTION("""COMPUTED_VALUE"""),"414iPBbsm6Q")</f>
        <v>414iPBbsm6Q</v>
      </c>
      <c r="R1532" s="5">
        <f ca="1">IFERROR(__xludf.DUMMYFUNCTION("""COMPUTED_VALUE"""),410)</f>
        <v>410</v>
      </c>
      <c r="S1532" s="62">
        <f ca="1">IFERROR(__xludf.DUMMYFUNCTION("""COMPUTED_VALUE"""),0.02)</f>
        <v>0.02</v>
      </c>
      <c r="T1532" s="63" t="str">
        <f ca="1">IFERROR(__xludf.DUMMYFUNCTION("""COMPUTED_VALUE"""),"https://storage.googleapis.com/glide-prod.appspot.com/uploads-v2/ly7o78grxPaC6KdgvbpS/pub/3aRdSog0vUtuqPE8AJKD.png")</f>
        <v>https://storage.googleapis.com/glide-prod.appspot.com/uploads-v2/ly7o78grxPaC6KdgvbpS/pub/3aRdSog0vUtuqPE8AJKD.png</v>
      </c>
      <c r="U1532" s="5" t="str">
        <f ca="1">IFERROR(__xludf.DUMMYFUNCTION("""COMPUTED_VALUE"""),"LINEA PET CSD - LINEA 10SISTEMA INYECCIÓN DE NITRÓGENO")</f>
        <v>LINEA PET CSD - LINEA 10SISTEMA INYECCIÓN DE NITRÓGENO</v>
      </c>
      <c r="V1532" s="5"/>
      <c r="W1532" s="5" t="b">
        <f ca="1">IFERROR(__xludf.DUMMYFUNCTION("""COMPUTED_VALUE"""),TRUE)</f>
        <v>1</v>
      </c>
      <c r="X1532" s="5" t="str">
        <f ca="1">IFERROR(__xludf.DUMMYFUNCTION("""COMPUTED_VALUE"""),"wmazorra@postobon.com.co,aprmttoyu@postobon.com.co,aprmyu@postobon.com.co,wmora@postobon.com.co,efzapata@postobon.com.co")</f>
        <v>wmazorra@postobon.com.co,aprmttoyu@postobon.com.co,aprmyu@postobon.com.co,wmora@postobon.com.co,efzapata@postobon.com.co</v>
      </c>
      <c r="Y1532" s="5" t="str">
        <f ca="1">IFERROR(__xludf.DUMMYFUNCTION("""COMPUTED_VALUE"""),"wmazorra@postobon.com.co")</f>
        <v>wmazorra@postobon.com.co</v>
      </c>
      <c r="Z1532" s="5" t="str">
        <f ca="1">IFERROR(__xludf.DUMMYFUNCTION("""COMPUTED_VALUE"""),"yskyf2QmSr2-N3QcEScCDA")</f>
        <v>yskyf2QmSr2-N3QcEScCDA</v>
      </c>
      <c r="AA1532" s="5"/>
      <c r="AB1532" s="5"/>
      <c r="AC1532" s="5"/>
      <c r="AD1532" s="5">
        <f ca="1">IFERROR(__xludf.DUMMYFUNCTION("""COMPUTED_VALUE"""),5)</f>
        <v>5</v>
      </c>
      <c r="AE1532" s="5">
        <f ca="1">IFERROR(__xludf.DUMMYFUNCTION("""COMPUTED_VALUE"""),5)</f>
        <v>5</v>
      </c>
      <c r="AF1532" s="5" t="b">
        <f ca="1">IFERROR(__xludf.DUMMYFUNCTION("""COMPUTED_VALUE"""),FALSE)</f>
        <v>0</v>
      </c>
      <c r="AG1532" s="5" t="str">
        <f ca="1">IFERROR(__xludf.DUMMYFUNCTION("""COMPUTED_VALUE"""),"INSPECCIONES REALIZADAS")</f>
        <v>INSPECCIONES REALIZADAS</v>
      </c>
      <c r="AH1532" s="5"/>
    </row>
    <row r="1533" spans="1:34">
      <c r="A1533" s="5" t="str">
        <f ca="1">IFERROR(__xludf.DUMMYFUNCTION("""COMPUTED_VALUE"""),"LINEA PET CSD - LINEA 10")</f>
        <v>LINEA PET CSD - LINEA 10</v>
      </c>
      <c r="B1533" s="5">
        <f ca="1">IFERROR(__xludf.DUMMYFUNCTION("""COMPUTED_VALUE"""),51956101)</f>
        <v>51956101</v>
      </c>
      <c r="C1533" s="5" t="str">
        <f ca="1">IFERROR(__xludf.DUMMYFUNCTION("""COMPUTED_VALUE"""),"SISTEMA INYECCIÓN DE NITRÓGENO")</f>
        <v>SISTEMA INYECCIÓN DE NITRÓGENO</v>
      </c>
      <c r="D1533" s="5">
        <f ca="1">IFERROR(__xludf.DUMMYFUNCTION("""COMPUTED_VALUE"""),13247604)</f>
        <v>13247604</v>
      </c>
      <c r="E1533" s="5" t="str">
        <f ca="1">IFERROR(__xludf.DUMMYFUNCTION("""COMPUTED_VALUE"""),"Inspección semanal nitrógeno")</f>
        <v>Inspección semanal nitrógeno</v>
      </c>
      <c r="F1533" s="5" t="str">
        <f ca="1">IFERROR(__xludf.DUMMYFUNCTION("""COMPUTED_VALUE"""),"Registre la presión real en el tanque de almacenamiento (S)")</f>
        <v>Registre la presión real en el tanque de almacenamiento (S)</v>
      </c>
      <c r="G1533" s="5" t="b">
        <f ca="1">IFERROR(__xludf.DUMMYFUNCTION("""COMPUTED_VALUE"""),TRUE)</f>
        <v>1</v>
      </c>
      <c r="H1533" s="5"/>
      <c r="I1533" s="5"/>
      <c r="J1533" s="5"/>
      <c r="K1533" s="5"/>
      <c r="L1533" s="18">
        <f ca="1">IFERROR(__xludf.DUMMYFUNCTION("""COMPUTED_VALUE"""),45325)</f>
        <v>45325</v>
      </c>
      <c r="M1533" s="18">
        <f ca="1">IFERROR(__xludf.DUMMYFUNCTION("""COMPUTED_VALUE"""),45325)</f>
        <v>45325</v>
      </c>
      <c r="N1533" s="5" t="str">
        <f ca="1">IFERROR(__xludf.DUMMYFUNCTION("""COMPUTED_VALUE"""),"Jhon Edwar Echeverry Reina")</f>
        <v>Jhon Edwar Echeverry Reina</v>
      </c>
      <c r="O1533" s="2">
        <f ca="1">IFERROR(__xludf.DUMMYFUNCTION("""COMPUTED_VALUE"""),0.02)</f>
        <v>0.02</v>
      </c>
      <c r="P1533" s="5"/>
      <c r="Q1533" s="5" t="str">
        <f ca="1">IFERROR(__xludf.DUMMYFUNCTION("""COMPUTED_VALUE"""),"dfJn2Flmybg")</f>
        <v>dfJn2Flmybg</v>
      </c>
      <c r="R1533" s="5">
        <f ca="1">IFERROR(__xludf.DUMMYFUNCTION("""COMPUTED_VALUE"""),410)</f>
        <v>410</v>
      </c>
      <c r="S1533" s="62">
        <f ca="1">IFERROR(__xludf.DUMMYFUNCTION("""COMPUTED_VALUE"""),0.02)</f>
        <v>0.02</v>
      </c>
      <c r="T1533" s="63" t="str">
        <f ca="1">IFERROR(__xludf.DUMMYFUNCTION("""COMPUTED_VALUE"""),"https://storage.googleapis.com/glide-prod.appspot.com/uploads-v2/ly7o78grxPaC6KdgvbpS/pub/3aRdSog0vUtuqPE8AJKD.png")</f>
        <v>https://storage.googleapis.com/glide-prod.appspot.com/uploads-v2/ly7o78grxPaC6KdgvbpS/pub/3aRdSog0vUtuqPE8AJKD.png</v>
      </c>
      <c r="U1533" s="5" t="str">
        <f ca="1">IFERROR(__xludf.DUMMYFUNCTION("""COMPUTED_VALUE"""),"LINEA PET CSD - LINEA 10SISTEMA INYECCIÓN DE NITRÓGENO")</f>
        <v>LINEA PET CSD - LINEA 10SISTEMA INYECCIÓN DE NITRÓGENO</v>
      </c>
      <c r="V1533" s="5"/>
      <c r="W1533" s="5" t="b">
        <f ca="1">IFERROR(__xludf.DUMMYFUNCTION("""COMPUTED_VALUE"""),TRUE)</f>
        <v>1</v>
      </c>
      <c r="X1533" s="5" t="str">
        <f ca="1">IFERROR(__xludf.DUMMYFUNCTION("""COMPUTED_VALUE"""),"wmazorra@postobon.com.co,aprmttoyu@postobon.com.co,aprmyu@postobon.com.co,wmora@postobon.com.co,efzapata@postobon.com.co")</f>
        <v>wmazorra@postobon.com.co,aprmttoyu@postobon.com.co,aprmyu@postobon.com.co,wmora@postobon.com.co,efzapata@postobon.com.co</v>
      </c>
      <c r="Y1533" s="5" t="str">
        <f ca="1">IFERROR(__xludf.DUMMYFUNCTION("""COMPUTED_VALUE"""),"wmazorra@postobon.com.co")</f>
        <v>wmazorra@postobon.com.co</v>
      </c>
      <c r="Z1533" s="5" t="str">
        <f ca="1">IFERROR(__xludf.DUMMYFUNCTION("""COMPUTED_VALUE"""),"K33h7HPKT-WNPSPTQUtDXg")</f>
        <v>K33h7HPKT-WNPSPTQUtDXg</v>
      </c>
      <c r="AA1533" s="5"/>
      <c r="AB1533" s="5"/>
      <c r="AC1533" s="5"/>
      <c r="AD1533" s="5">
        <f ca="1">IFERROR(__xludf.DUMMYFUNCTION("""COMPUTED_VALUE"""),5)</f>
        <v>5</v>
      </c>
      <c r="AE1533" s="5">
        <f ca="1">IFERROR(__xludf.DUMMYFUNCTION("""COMPUTED_VALUE"""),5)</f>
        <v>5</v>
      </c>
      <c r="AF1533" s="5" t="b">
        <f ca="1">IFERROR(__xludf.DUMMYFUNCTION("""COMPUTED_VALUE"""),FALSE)</f>
        <v>0</v>
      </c>
      <c r="AG1533" s="5" t="str">
        <f ca="1">IFERROR(__xludf.DUMMYFUNCTION("""COMPUTED_VALUE"""),"INSPECCIONES REALIZADAS")</f>
        <v>INSPECCIONES REALIZADAS</v>
      </c>
      <c r="AH1533" s="5"/>
    </row>
    <row r="1534" spans="1:34">
      <c r="A1534" s="5" t="str">
        <f ca="1">IFERROR(__xludf.DUMMYFUNCTION("""COMPUTED_VALUE"""),"BOMBAS DE SERVICIO PROCESO")</f>
        <v>BOMBAS DE SERVICIO PROCESO</v>
      </c>
      <c r="B1534" s="5">
        <f ca="1">IFERROR(__xludf.DUMMYFUNCTION("""COMPUTED_VALUE"""),70948605)</f>
        <v>70948605</v>
      </c>
      <c r="C1534" s="5" t="str">
        <f ca="1">IFERROR(__xludf.DUMMYFUNCTION("""COMPUTED_VALUE"""),"BOMBAS RECIRCULACION CL2 TQ NORTE")</f>
        <v>BOMBAS RECIRCULACION CL2 TQ NORTE</v>
      </c>
      <c r="D1534" s="5">
        <f ca="1">IFERROR(__xludf.DUMMYFUNCTION("""COMPUTED_VALUE"""),13247557)</f>
        <v>13247557</v>
      </c>
      <c r="E1534" s="5" t="str">
        <f ca="1">IFERROR(__xludf.DUMMYFUNCTION("""COMPUTED_VALUE"""),"INSPECCION SEMANAL AGUA SUAVIZADA")</f>
        <v>INSPECCION SEMANAL AGUA SUAVIZADA</v>
      </c>
      <c r="F1534" s="5" t="str">
        <f ca="1">IFERROR(__xludf.DUMMYFUNCTION("""COMPUTED_VALUE"""),"VERIFICAR FUGAS, RUIDOS, TEMPERATURA, PRESION DE MOTOBOMBA")</f>
        <v>VERIFICAR FUGAS, RUIDOS, TEMPERATURA, PRESION DE MOTOBOMBA</v>
      </c>
      <c r="G1534" s="5" t="b">
        <f ca="1">IFERROR(__xludf.DUMMYFUNCTION("""COMPUTED_VALUE"""),TRUE)</f>
        <v>1</v>
      </c>
      <c r="H1534" s="5"/>
      <c r="I1534" s="5"/>
      <c r="J1534" s="5">
        <f ca="1">IFERROR(__xludf.DUMMYFUNCTION("""COMPUTED_VALUE"""),13247557)</f>
        <v>13247557</v>
      </c>
      <c r="K1534" s="5"/>
      <c r="L1534" s="18">
        <f ca="1">IFERROR(__xludf.DUMMYFUNCTION("""COMPUTED_VALUE"""),45325)</f>
        <v>45325</v>
      </c>
      <c r="M1534" s="18">
        <f ca="1">IFERROR(__xludf.DUMMYFUNCTION("""COMPUTED_VALUE"""),45325)</f>
        <v>45325</v>
      </c>
      <c r="N1534" s="5" t="str">
        <f ca="1">IFERROR(__xludf.DUMMYFUNCTION("""COMPUTED_VALUE"""),"John Edier Gomez Zuñiga")</f>
        <v>John Edier Gomez Zuñiga</v>
      </c>
      <c r="O1534" s="2">
        <f ca="1">IFERROR(__xludf.DUMMYFUNCTION("""COMPUTED_VALUE"""),0.1)</f>
        <v>0.1</v>
      </c>
      <c r="P1534" s="5">
        <f ca="1">IFERROR(__xludf.DUMMYFUNCTION("""COMPUTED_VALUE"""),94539966)</f>
        <v>94539966</v>
      </c>
      <c r="Q1534" s="5" t="str">
        <f ca="1">IFERROR(__xludf.DUMMYFUNCTION("""COMPUTED_VALUE"""),"XMpQ7F9xbWk")</f>
        <v>XMpQ7F9xbWk</v>
      </c>
      <c r="R1534" s="5">
        <f ca="1">IFERROR(__xludf.DUMMYFUNCTION("""COMPUTED_VALUE"""),410)</f>
        <v>410</v>
      </c>
      <c r="S1534" s="62">
        <f ca="1">IFERROR(__xludf.DUMMYFUNCTION("""COMPUTED_VALUE"""),0.1)</f>
        <v>0.1</v>
      </c>
      <c r="T1534" s="63" t="str">
        <f ca="1">IFERROR(__xludf.DUMMYFUNCTION("""COMPUTED_VALUE"""),"https://storage.googleapis.com/glide-prod.appspot.com/uploads-v2/ly7o78grxPaC6KdgvbpS/pub/3aRdSog0vUtuqPE8AJKD.png")</f>
        <v>https://storage.googleapis.com/glide-prod.appspot.com/uploads-v2/ly7o78grxPaC6KdgvbpS/pub/3aRdSog0vUtuqPE8AJKD.png</v>
      </c>
      <c r="U1534" s="5" t="str">
        <f ca="1">IFERROR(__xludf.DUMMYFUNCTION("""COMPUTED_VALUE"""),"BOMBAS DE SERVICIO PROCESOBOMBAS RECIRCULACION CL2 TQ NORTE")</f>
        <v>BOMBAS DE SERVICIO PROCESOBOMBAS RECIRCULACION CL2 TQ NORTE</v>
      </c>
      <c r="V1534" s="5"/>
      <c r="W1534" s="5" t="b">
        <f ca="1">IFERROR(__xludf.DUMMYFUNCTION("""COMPUTED_VALUE"""),TRUE)</f>
        <v>1</v>
      </c>
      <c r="X1534" s="5" t="str">
        <f ca="1">IFERROR(__xludf.DUMMYFUNCTION("""COMPUTED_VALUE"""),"wmazorra@postobon.com.co,aprmttoyu@postobon.com.co,aprmyu@postobon.com.co,wmora@postobon.com.co,efzapata@postobon.com.co")</f>
        <v>wmazorra@postobon.com.co,aprmttoyu@postobon.com.co,aprmyu@postobon.com.co,wmora@postobon.com.co,efzapata@postobon.com.co</v>
      </c>
      <c r="Y1534" s="5" t="str">
        <f ca="1">IFERROR(__xludf.DUMMYFUNCTION("""COMPUTED_VALUE"""),"wmazorra@postobon.com.co")</f>
        <v>wmazorra@postobon.com.co</v>
      </c>
      <c r="Z1534" s="5" t="str">
        <f ca="1">IFERROR(__xludf.DUMMYFUNCTION("""COMPUTED_VALUE"""),"dmNQOaCFQz6P6v2Q8aeXJQ")</f>
        <v>dmNQOaCFQz6P6v2Q8aeXJQ</v>
      </c>
      <c r="AA1534" s="5"/>
      <c r="AB1534" s="5"/>
      <c r="AC1534" s="5"/>
      <c r="AD1534" s="5">
        <f ca="1">IFERROR(__xludf.DUMMYFUNCTION("""COMPUTED_VALUE"""),19)</f>
        <v>19</v>
      </c>
      <c r="AE1534" s="5">
        <f ca="1">IFERROR(__xludf.DUMMYFUNCTION("""COMPUTED_VALUE"""),19)</f>
        <v>19</v>
      </c>
      <c r="AF1534" s="5" t="b">
        <f ca="1">IFERROR(__xludf.DUMMYFUNCTION("""COMPUTED_VALUE"""),FALSE)</f>
        <v>0</v>
      </c>
      <c r="AG1534" s="5" t="str">
        <f ca="1">IFERROR(__xludf.DUMMYFUNCTION("""COMPUTED_VALUE"""),"INSPECCIONES REALIZADAS")</f>
        <v>INSPECCIONES REALIZADAS</v>
      </c>
      <c r="AH1534" s="5"/>
    </row>
    <row r="1535" spans="1:34">
      <c r="A1535" s="5" t="str">
        <f ca="1">IFERROR(__xludf.DUMMYFUNCTION("""COMPUTED_VALUE"""),"LINEA DE PRODUCCION DE BOTELLONES DE 20")</f>
        <v>LINEA DE PRODUCCION DE BOTELLONES DE 20</v>
      </c>
      <c r="B1535" s="5">
        <f ca="1">IFERROR(__xludf.DUMMYFUNCTION("""COMPUTED_VALUE"""),830081)</f>
        <v>830081</v>
      </c>
      <c r="C1535" s="5" t="str">
        <f ca="1">IFERROR(__xludf.DUMMYFUNCTION("""COMPUTED_VALUE"""),"SNIFFER BOTELLONES AQUASCREEN")</f>
        <v>SNIFFER BOTELLONES AQUASCREEN</v>
      </c>
      <c r="D1535" s="5">
        <f ca="1">IFERROR(__xludf.DUMMYFUNCTION("""COMPUTED_VALUE"""),13247732)</f>
        <v>13247732</v>
      </c>
      <c r="E1535" s="5" t="str">
        <f ca="1">IFERROR(__xludf.DUMMYFUNCTION("""COMPUTED_VALUE"""),"INSPECCION SEMANAL SNIFFER")</f>
        <v>INSPECCION SEMANAL SNIFFER</v>
      </c>
      <c r="F1535" s="5" t="str">
        <f ca="1">IFERROR(__xludf.DUMMYFUNCTION("""COMPUTED_VALUE"""),"INSP Limpieza de las barreras de luz y reflectores")</f>
        <v>INSP Limpieza de las barreras de luz y reflectores</v>
      </c>
      <c r="G1535" s="5" t="b">
        <f ca="1">IFERROR(__xludf.DUMMYFUNCTION("""COMPUTED_VALUE"""),TRUE)</f>
        <v>1</v>
      </c>
      <c r="H1535" s="5"/>
      <c r="I1535" s="5"/>
      <c r="J1535" s="5">
        <f ca="1">IFERROR(__xludf.DUMMYFUNCTION("""COMPUTED_VALUE"""),13247732)</f>
        <v>13247732</v>
      </c>
      <c r="K1535" s="5"/>
      <c r="L1535" s="18">
        <f ca="1">IFERROR(__xludf.DUMMYFUNCTION("""COMPUTED_VALUE"""),45325)</f>
        <v>45325</v>
      </c>
      <c r="M1535" s="18">
        <f ca="1">IFERROR(__xludf.DUMMYFUNCTION("""COMPUTED_VALUE"""),45325)</f>
        <v>45325</v>
      </c>
      <c r="N1535" s="5" t="str">
        <f ca="1">IFERROR(__xludf.DUMMYFUNCTION("""COMPUTED_VALUE"""),"Víctor David Burbano Gómez")</f>
        <v>Víctor David Burbano Gómez</v>
      </c>
      <c r="O1535" s="2">
        <f ca="1">IFERROR(__xludf.DUMMYFUNCTION("""COMPUTED_VALUE"""),0.02)</f>
        <v>0.02</v>
      </c>
      <c r="P1535" s="5">
        <f ca="1">IFERROR(__xludf.DUMMYFUNCTION("""COMPUTED_VALUE"""),20065447)</f>
        <v>20065447</v>
      </c>
      <c r="Q1535" s="5" t="str">
        <f ca="1">IFERROR(__xludf.DUMMYFUNCTION("""COMPUTED_VALUE"""),"j70-yxhUvKI")</f>
        <v>j70-yxhUvKI</v>
      </c>
      <c r="R1535" s="5">
        <f ca="1">IFERROR(__xludf.DUMMYFUNCTION("""COMPUTED_VALUE"""),410)</f>
        <v>410</v>
      </c>
      <c r="S1535" s="62">
        <f ca="1">IFERROR(__xludf.DUMMYFUNCTION("""COMPUTED_VALUE"""),0.02)</f>
        <v>0.02</v>
      </c>
      <c r="T1535" s="63" t="str">
        <f ca="1">IFERROR(__xludf.DUMMYFUNCTION("""COMPUTED_VALUE"""),"https://storage.googleapis.com/glide-prod.appspot.com/uploads-v2/ly7o78grxPaC6KdgvbpS/pub/3aRdSog0vUtuqPE8AJKD.png")</f>
        <v>https://storage.googleapis.com/glide-prod.appspot.com/uploads-v2/ly7o78grxPaC6KdgvbpS/pub/3aRdSog0vUtuqPE8AJKD.png</v>
      </c>
      <c r="U1535" s="5" t="str">
        <f ca="1">IFERROR(__xludf.DUMMYFUNCTION("""COMPUTED_VALUE"""),"LINEA DE PRODUCCION DE BOTELLONES DE 20SNIFFER BOTELLONES AQUASCREEN")</f>
        <v>LINEA DE PRODUCCION DE BOTELLONES DE 20SNIFFER BOTELLONES AQUASCREEN</v>
      </c>
      <c r="V1535" s="5"/>
      <c r="W1535" s="5" t="b">
        <f ca="1">IFERROR(__xludf.DUMMYFUNCTION("""COMPUTED_VALUE"""),TRUE)</f>
        <v>1</v>
      </c>
      <c r="X1535" s="5" t="str">
        <f ca="1">IFERROR(__xludf.DUMMYFUNCTION("""COMPUTED_VALUE"""),"achavezi@postobon.com.co,aprmttoyu@postobon.com.co,aprmyu@postobon.com.co,wmora@postobon.com.co,efzapata@postobon.com.co")</f>
        <v>achavezi@postobon.com.co,aprmttoyu@postobon.com.co,aprmyu@postobon.com.co,wmora@postobon.com.co,efzapata@postobon.com.co</v>
      </c>
      <c r="Y1535" s="5" t="str">
        <f ca="1">IFERROR(__xludf.DUMMYFUNCTION("""COMPUTED_VALUE"""),"achavezi@postobon.com.co")</f>
        <v>achavezi@postobon.com.co</v>
      </c>
      <c r="Z1535" s="5" t="str">
        <f ca="1">IFERROR(__xludf.DUMMYFUNCTION("""COMPUTED_VALUE"""),"edEJws0PSb6NBmeEvE47QQ")</f>
        <v>edEJws0PSb6NBmeEvE47QQ</v>
      </c>
      <c r="AA1535" s="5"/>
      <c r="AB1535" s="5"/>
      <c r="AC1535" s="5"/>
      <c r="AD1535" s="5">
        <f ca="1">IFERROR(__xludf.DUMMYFUNCTION("""COMPUTED_VALUE"""),62)</f>
        <v>62</v>
      </c>
      <c r="AE1535" s="5">
        <f ca="1">IFERROR(__xludf.DUMMYFUNCTION("""COMPUTED_VALUE"""),62)</f>
        <v>62</v>
      </c>
      <c r="AF1535" s="5" t="b">
        <f ca="1">IFERROR(__xludf.DUMMYFUNCTION("""COMPUTED_VALUE"""),FALSE)</f>
        <v>0</v>
      </c>
      <c r="AG1535" s="5" t="str">
        <f ca="1">IFERROR(__xludf.DUMMYFUNCTION("""COMPUTED_VALUE"""),"INSPECCIONES REALIZADAS")</f>
        <v>INSPECCIONES REALIZADAS</v>
      </c>
      <c r="AH1535" s="5"/>
    </row>
    <row r="1536" spans="1:34">
      <c r="A1536" s="5" t="str">
        <f ca="1">IFERROR(__xludf.DUMMYFUNCTION("""COMPUTED_VALUE"""),"LINEA DE PRODUCCION DE BOTELLONES DE 20")</f>
        <v>LINEA DE PRODUCCION DE BOTELLONES DE 20</v>
      </c>
      <c r="B1536" s="5">
        <f ca="1">IFERROR(__xludf.DUMMYFUNCTION("""COMPUTED_VALUE"""),830081)</f>
        <v>830081</v>
      </c>
      <c r="C1536" s="5" t="str">
        <f ca="1">IFERROR(__xludf.DUMMYFUNCTION("""COMPUTED_VALUE"""),"SNIFFER BOTELLONES AQUASCREEN")</f>
        <v>SNIFFER BOTELLONES AQUASCREEN</v>
      </c>
      <c r="D1536" s="5">
        <f ca="1">IFERROR(__xludf.DUMMYFUNCTION("""COMPUTED_VALUE"""),13247732)</f>
        <v>13247732</v>
      </c>
      <c r="E1536" s="5" t="str">
        <f ca="1">IFERROR(__xludf.DUMMYFUNCTION("""COMPUTED_VALUE"""),"INSPECCION SEMANAL SNIFFER")</f>
        <v>INSPECCION SEMANAL SNIFFER</v>
      </c>
      <c r="F1536" s="5" t="str">
        <f ca="1">IFERROR(__xludf.DUMMYFUNCTION("""COMPUTED_VALUE"""),"INSP Limpieza de lente en la fuente de luz UV")</f>
        <v>INSP Limpieza de lente en la fuente de luz UV</v>
      </c>
      <c r="G1536" s="5" t="b">
        <f ca="1">IFERROR(__xludf.DUMMYFUNCTION("""COMPUTED_VALUE"""),TRUE)</f>
        <v>1</v>
      </c>
      <c r="H1536" s="5"/>
      <c r="I1536" s="5"/>
      <c r="J1536" s="5">
        <f ca="1">IFERROR(__xludf.DUMMYFUNCTION("""COMPUTED_VALUE"""),13247732)</f>
        <v>13247732</v>
      </c>
      <c r="K1536" s="5"/>
      <c r="L1536" s="18">
        <f ca="1">IFERROR(__xludf.DUMMYFUNCTION("""COMPUTED_VALUE"""),45325)</f>
        <v>45325</v>
      </c>
      <c r="M1536" s="18">
        <f ca="1">IFERROR(__xludf.DUMMYFUNCTION("""COMPUTED_VALUE"""),45325)</f>
        <v>45325</v>
      </c>
      <c r="N1536" s="5" t="str">
        <f ca="1">IFERROR(__xludf.DUMMYFUNCTION("""COMPUTED_VALUE"""),"Víctor David Burbano Gómez")</f>
        <v>Víctor David Burbano Gómez</v>
      </c>
      <c r="O1536" s="2">
        <f ca="1">IFERROR(__xludf.DUMMYFUNCTION("""COMPUTED_VALUE"""),0.02)</f>
        <v>0.02</v>
      </c>
      <c r="P1536" s="5">
        <f ca="1">IFERROR(__xludf.DUMMYFUNCTION("""COMPUTED_VALUE"""),20065447)</f>
        <v>20065447</v>
      </c>
      <c r="Q1536" s="5" t="str">
        <f ca="1">IFERROR(__xludf.DUMMYFUNCTION("""COMPUTED_VALUE"""),"gpCbKUUNtGQ")</f>
        <v>gpCbKUUNtGQ</v>
      </c>
      <c r="R1536" s="5">
        <f ca="1">IFERROR(__xludf.DUMMYFUNCTION("""COMPUTED_VALUE"""),410)</f>
        <v>410</v>
      </c>
      <c r="S1536" s="62">
        <f ca="1">IFERROR(__xludf.DUMMYFUNCTION("""COMPUTED_VALUE"""),0.02)</f>
        <v>0.02</v>
      </c>
      <c r="T1536" s="63" t="str">
        <f ca="1">IFERROR(__xludf.DUMMYFUNCTION("""COMPUTED_VALUE"""),"https://storage.googleapis.com/glide-prod.appspot.com/uploads-v2/ly7o78grxPaC6KdgvbpS/pub/3aRdSog0vUtuqPE8AJKD.png")</f>
        <v>https://storage.googleapis.com/glide-prod.appspot.com/uploads-v2/ly7o78grxPaC6KdgvbpS/pub/3aRdSog0vUtuqPE8AJKD.png</v>
      </c>
      <c r="U1536" s="5" t="str">
        <f ca="1">IFERROR(__xludf.DUMMYFUNCTION("""COMPUTED_VALUE"""),"LINEA DE PRODUCCION DE BOTELLONES DE 20SNIFFER BOTELLONES AQUASCREEN")</f>
        <v>LINEA DE PRODUCCION DE BOTELLONES DE 20SNIFFER BOTELLONES AQUASCREEN</v>
      </c>
      <c r="V1536" s="5"/>
      <c r="W1536" s="5" t="b">
        <f ca="1">IFERROR(__xludf.DUMMYFUNCTION("""COMPUTED_VALUE"""),TRUE)</f>
        <v>1</v>
      </c>
      <c r="X1536" s="5" t="str">
        <f ca="1">IFERROR(__xludf.DUMMYFUNCTION("""COMPUTED_VALUE"""),"achavezi@postobon.com.co,aprmttoyu@postobon.com.co,aprmyu@postobon.com.co,wmora@postobon.com.co,efzapata@postobon.com.co")</f>
        <v>achavezi@postobon.com.co,aprmttoyu@postobon.com.co,aprmyu@postobon.com.co,wmora@postobon.com.co,efzapata@postobon.com.co</v>
      </c>
      <c r="Y1536" s="5" t="str">
        <f ca="1">IFERROR(__xludf.DUMMYFUNCTION("""COMPUTED_VALUE"""),"achavezi@postobon.com.co")</f>
        <v>achavezi@postobon.com.co</v>
      </c>
      <c r="Z1536" s="5" t="str">
        <f ca="1">IFERROR(__xludf.DUMMYFUNCTION("""COMPUTED_VALUE"""),"lMDEBOm8T3KsFldsjtdrAg")</f>
        <v>lMDEBOm8T3KsFldsjtdrAg</v>
      </c>
      <c r="AA1536" s="5"/>
      <c r="AB1536" s="5"/>
      <c r="AC1536" s="5"/>
      <c r="AD1536" s="5">
        <f ca="1">IFERROR(__xludf.DUMMYFUNCTION("""COMPUTED_VALUE"""),62)</f>
        <v>62</v>
      </c>
      <c r="AE1536" s="5">
        <f ca="1">IFERROR(__xludf.DUMMYFUNCTION("""COMPUTED_VALUE"""),62)</f>
        <v>62</v>
      </c>
      <c r="AF1536" s="5" t="b">
        <f ca="1">IFERROR(__xludf.DUMMYFUNCTION("""COMPUTED_VALUE"""),FALSE)</f>
        <v>0</v>
      </c>
      <c r="AG1536" s="5" t="str">
        <f ca="1">IFERROR(__xludf.DUMMYFUNCTION("""COMPUTED_VALUE"""),"INSPECCIONES REALIZADAS")</f>
        <v>INSPECCIONES REALIZADAS</v>
      </c>
      <c r="AH1536" s="5"/>
    </row>
    <row r="1537" spans="1:34">
      <c r="A1537" s="5" t="str">
        <f ca="1">IFERROR(__xludf.DUMMYFUNCTION("""COMPUTED_VALUE"""),"LINEA DE PRODUCCION DE BOTELLONES DE 20")</f>
        <v>LINEA DE PRODUCCION DE BOTELLONES DE 20</v>
      </c>
      <c r="B1537" s="5">
        <f ca="1">IFERROR(__xludf.DUMMYFUNCTION("""COMPUTED_VALUE"""),830081)</f>
        <v>830081</v>
      </c>
      <c r="C1537" s="5" t="str">
        <f ca="1">IFERROR(__xludf.DUMMYFUNCTION("""COMPUTED_VALUE"""),"SNIFFER BOTELLONES AQUASCREEN")</f>
        <v>SNIFFER BOTELLONES AQUASCREEN</v>
      </c>
      <c r="D1537" s="5">
        <f ca="1">IFERROR(__xludf.DUMMYFUNCTION("""COMPUTED_VALUE"""),13247732)</f>
        <v>13247732</v>
      </c>
      <c r="E1537" s="5" t="str">
        <f ca="1">IFERROR(__xludf.DUMMYFUNCTION("""COMPUTED_VALUE"""),"INSPECCION SEMANAL SNIFFER")</f>
        <v>INSPECCION SEMANAL SNIFFER</v>
      </c>
      <c r="F1537" s="5" t="str">
        <f ca="1">IFERROR(__xludf.DUMMYFUNCTION("""COMPUTED_VALUE"""),"INSP Limpieza del lente de espejo una vez al día")</f>
        <v>INSP Limpieza del lente de espejo una vez al día</v>
      </c>
      <c r="G1537" s="5" t="b">
        <f ca="1">IFERROR(__xludf.DUMMYFUNCTION("""COMPUTED_VALUE"""),TRUE)</f>
        <v>1</v>
      </c>
      <c r="H1537" s="5"/>
      <c r="I1537" s="5"/>
      <c r="J1537" s="5">
        <f ca="1">IFERROR(__xludf.DUMMYFUNCTION("""COMPUTED_VALUE"""),13247732)</f>
        <v>13247732</v>
      </c>
      <c r="K1537" s="5"/>
      <c r="L1537" s="18">
        <f ca="1">IFERROR(__xludf.DUMMYFUNCTION("""COMPUTED_VALUE"""),45325)</f>
        <v>45325</v>
      </c>
      <c r="M1537" s="18">
        <f ca="1">IFERROR(__xludf.DUMMYFUNCTION("""COMPUTED_VALUE"""),45325)</f>
        <v>45325</v>
      </c>
      <c r="N1537" s="5" t="str">
        <f ca="1">IFERROR(__xludf.DUMMYFUNCTION("""COMPUTED_VALUE"""),"Víctor David Burbano Gómez")</f>
        <v>Víctor David Burbano Gómez</v>
      </c>
      <c r="O1537" s="2">
        <f ca="1">IFERROR(__xludf.DUMMYFUNCTION("""COMPUTED_VALUE"""),0.02)</f>
        <v>0.02</v>
      </c>
      <c r="P1537" s="5">
        <f ca="1">IFERROR(__xludf.DUMMYFUNCTION("""COMPUTED_VALUE"""),20065447)</f>
        <v>20065447</v>
      </c>
      <c r="Q1537" s="5" t="str">
        <f ca="1">IFERROR(__xludf.DUMMYFUNCTION("""COMPUTED_VALUE"""),"iPV-4lrmxWc")</f>
        <v>iPV-4lrmxWc</v>
      </c>
      <c r="R1537" s="5">
        <f ca="1">IFERROR(__xludf.DUMMYFUNCTION("""COMPUTED_VALUE"""),410)</f>
        <v>410</v>
      </c>
      <c r="S1537" s="62">
        <f ca="1">IFERROR(__xludf.DUMMYFUNCTION("""COMPUTED_VALUE"""),0.02)</f>
        <v>0.02</v>
      </c>
      <c r="T1537" s="63" t="str">
        <f ca="1">IFERROR(__xludf.DUMMYFUNCTION("""COMPUTED_VALUE"""),"https://storage.googleapis.com/glide-prod.appspot.com/uploads-v2/ly7o78grxPaC6KdgvbpS/pub/3aRdSog0vUtuqPE8AJKD.png")</f>
        <v>https://storage.googleapis.com/glide-prod.appspot.com/uploads-v2/ly7o78grxPaC6KdgvbpS/pub/3aRdSog0vUtuqPE8AJKD.png</v>
      </c>
      <c r="U1537" s="5" t="str">
        <f ca="1">IFERROR(__xludf.DUMMYFUNCTION("""COMPUTED_VALUE"""),"LINEA DE PRODUCCION DE BOTELLONES DE 20SNIFFER BOTELLONES AQUASCREEN")</f>
        <v>LINEA DE PRODUCCION DE BOTELLONES DE 20SNIFFER BOTELLONES AQUASCREEN</v>
      </c>
      <c r="V1537" s="5"/>
      <c r="W1537" s="5" t="b">
        <f ca="1">IFERROR(__xludf.DUMMYFUNCTION("""COMPUTED_VALUE"""),TRUE)</f>
        <v>1</v>
      </c>
      <c r="X1537" s="5" t="str">
        <f ca="1">IFERROR(__xludf.DUMMYFUNCTION("""COMPUTED_VALUE"""),"achavezi@postobon.com.co,aprmttoyu@postobon.com.co,aprmyu@postobon.com.co,wmora@postobon.com.co,efzapata@postobon.com.co")</f>
        <v>achavezi@postobon.com.co,aprmttoyu@postobon.com.co,aprmyu@postobon.com.co,wmora@postobon.com.co,efzapata@postobon.com.co</v>
      </c>
      <c r="Y1537" s="5" t="str">
        <f ca="1">IFERROR(__xludf.DUMMYFUNCTION("""COMPUTED_VALUE"""),"achavezi@postobon.com.co")</f>
        <v>achavezi@postobon.com.co</v>
      </c>
      <c r="Z1537" s="5" t="str">
        <f ca="1">IFERROR(__xludf.DUMMYFUNCTION("""COMPUTED_VALUE"""),"minwhy6QQbOOjFtuskbFGA")</f>
        <v>minwhy6QQbOOjFtuskbFGA</v>
      </c>
      <c r="AA1537" s="5"/>
      <c r="AB1537" s="5"/>
      <c r="AC1537" s="5"/>
      <c r="AD1537" s="5">
        <f ca="1">IFERROR(__xludf.DUMMYFUNCTION("""COMPUTED_VALUE"""),62)</f>
        <v>62</v>
      </c>
      <c r="AE1537" s="5">
        <f ca="1">IFERROR(__xludf.DUMMYFUNCTION("""COMPUTED_VALUE"""),62)</f>
        <v>62</v>
      </c>
      <c r="AF1537" s="5" t="b">
        <f ca="1">IFERROR(__xludf.DUMMYFUNCTION("""COMPUTED_VALUE"""),FALSE)</f>
        <v>0</v>
      </c>
      <c r="AG1537" s="5" t="str">
        <f ca="1">IFERROR(__xludf.DUMMYFUNCTION("""COMPUTED_VALUE"""),"INSPECCIONES REALIZADAS")</f>
        <v>INSPECCIONES REALIZADAS</v>
      </c>
      <c r="AH1537" s="5"/>
    </row>
    <row r="1538" spans="1:34">
      <c r="A1538" s="5" t="str">
        <f ca="1">IFERROR(__xludf.DUMMYFUNCTION("""COMPUTED_VALUE"""),"LINEA DE PRODUCCION DE BOTELLONES DE 20")</f>
        <v>LINEA DE PRODUCCION DE BOTELLONES DE 20</v>
      </c>
      <c r="B1538" s="5">
        <f ca="1">IFERROR(__xludf.DUMMYFUNCTION("""COMPUTED_VALUE"""),830081)</f>
        <v>830081</v>
      </c>
      <c r="C1538" s="5" t="str">
        <f ca="1">IFERROR(__xludf.DUMMYFUNCTION("""COMPUTED_VALUE"""),"SNIFFER BOTELLONES AQUASCREEN")</f>
        <v>SNIFFER BOTELLONES AQUASCREEN</v>
      </c>
      <c r="D1538" s="5">
        <f ca="1">IFERROR(__xludf.DUMMYFUNCTION("""COMPUTED_VALUE"""),13247732)</f>
        <v>13247732</v>
      </c>
      <c r="E1538" s="5" t="str">
        <f ca="1">IFERROR(__xludf.DUMMYFUNCTION("""COMPUTED_VALUE"""),"INSPECCION SEMANAL SNIFFER")</f>
        <v>INSPECCION SEMANAL SNIFFER</v>
      </c>
      <c r="F1538" s="5" t="str">
        <f ca="1">IFERROR(__xludf.DUMMYFUNCTION("""COMPUTED_VALUE"""),"INSP LIMPIEZA DE LA CELDA DE MEDICION")</f>
        <v>INSP LIMPIEZA DE LA CELDA DE MEDICION</v>
      </c>
      <c r="G1538" s="5" t="b">
        <f ca="1">IFERROR(__xludf.DUMMYFUNCTION("""COMPUTED_VALUE"""),TRUE)</f>
        <v>1</v>
      </c>
      <c r="H1538" s="5"/>
      <c r="I1538" s="5"/>
      <c r="J1538" s="5">
        <f ca="1">IFERROR(__xludf.DUMMYFUNCTION("""COMPUTED_VALUE"""),13247732)</f>
        <v>13247732</v>
      </c>
      <c r="K1538" s="5"/>
      <c r="L1538" s="18">
        <f ca="1">IFERROR(__xludf.DUMMYFUNCTION("""COMPUTED_VALUE"""),45325)</f>
        <v>45325</v>
      </c>
      <c r="M1538" s="18">
        <f ca="1">IFERROR(__xludf.DUMMYFUNCTION("""COMPUTED_VALUE"""),45325)</f>
        <v>45325</v>
      </c>
      <c r="N1538" s="5" t="str">
        <f ca="1">IFERROR(__xludf.DUMMYFUNCTION("""COMPUTED_VALUE"""),"Víctor David Burbano Gómez")</f>
        <v>Víctor David Burbano Gómez</v>
      </c>
      <c r="O1538" s="2">
        <f ca="1">IFERROR(__xludf.DUMMYFUNCTION("""COMPUTED_VALUE"""),0.02)</f>
        <v>0.02</v>
      </c>
      <c r="P1538" s="5">
        <f ca="1">IFERROR(__xludf.DUMMYFUNCTION("""COMPUTED_VALUE"""),20065447)</f>
        <v>20065447</v>
      </c>
      <c r="Q1538" s="5" t="str">
        <f ca="1">IFERROR(__xludf.DUMMYFUNCTION("""COMPUTED_VALUE"""),"nOlE6pLTcDc")</f>
        <v>nOlE6pLTcDc</v>
      </c>
      <c r="R1538" s="5">
        <f ca="1">IFERROR(__xludf.DUMMYFUNCTION("""COMPUTED_VALUE"""),410)</f>
        <v>410</v>
      </c>
      <c r="S1538" s="62">
        <f ca="1">IFERROR(__xludf.DUMMYFUNCTION("""COMPUTED_VALUE"""),0.02)</f>
        <v>0.02</v>
      </c>
      <c r="T1538" s="63" t="str">
        <f ca="1">IFERROR(__xludf.DUMMYFUNCTION("""COMPUTED_VALUE"""),"https://storage.googleapis.com/glide-prod.appspot.com/uploads-v2/ly7o78grxPaC6KdgvbpS/pub/3aRdSog0vUtuqPE8AJKD.png")</f>
        <v>https://storage.googleapis.com/glide-prod.appspot.com/uploads-v2/ly7o78grxPaC6KdgvbpS/pub/3aRdSog0vUtuqPE8AJKD.png</v>
      </c>
      <c r="U1538" s="5" t="str">
        <f ca="1">IFERROR(__xludf.DUMMYFUNCTION("""COMPUTED_VALUE"""),"LINEA DE PRODUCCION DE BOTELLONES DE 20SNIFFER BOTELLONES AQUASCREEN")</f>
        <v>LINEA DE PRODUCCION DE BOTELLONES DE 20SNIFFER BOTELLONES AQUASCREEN</v>
      </c>
      <c r="V1538" s="5"/>
      <c r="W1538" s="5" t="b">
        <f ca="1">IFERROR(__xludf.DUMMYFUNCTION("""COMPUTED_VALUE"""),TRUE)</f>
        <v>1</v>
      </c>
      <c r="X1538" s="5" t="str">
        <f ca="1">IFERROR(__xludf.DUMMYFUNCTION("""COMPUTED_VALUE"""),"achavezi@postobon.com.co,aprmttoyu@postobon.com.co,aprmyu@postobon.com.co,wmora@postobon.com.co,efzapata@postobon.com.co")</f>
        <v>achavezi@postobon.com.co,aprmttoyu@postobon.com.co,aprmyu@postobon.com.co,wmora@postobon.com.co,efzapata@postobon.com.co</v>
      </c>
      <c r="Y1538" s="5" t="str">
        <f ca="1">IFERROR(__xludf.DUMMYFUNCTION("""COMPUTED_VALUE"""),"achavezi@postobon.com.co")</f>
        <v>achavezi@postobon.com.co</v>
      </c>
      <c r="Z1538" s="5" t="str">
        <f ca="1">IFERROR(__xludf.DUMMYFUNCTION("""COMPUTED_VALUE"""),"Hat3Iq2MR-ORtJqsw6zSVg")</f>
        <v>Hat3Iq2MR-ORtJqsw6zSVg</v>
      </c>
      <c r="AA1538" s="5"/>
      <c r="AB1538" s="5"/>
      <c r="AC1538" s="5"/>
      <c r="AD1538" s="5">
        <f ca="1">IFERROR(__xludf.DUMMYFUNCTION("""COMPUTED_VALUE"""),62)</f>
        <v>62</v>
      </c>
      <c r="AE1538" s="5">
        <f ca="1">IFERROR(__xludf.DUMMYFUNCTION("""COMPUTED_VALUE"""),62)</f>
        <v>62</v>
      </c>
      <c r="AF1538" s="5" t="b">
        <f ca="1">IFERROR(__xludf.DUMMYFUNCTION("""COMPUTED_VALUE"""),FALSE)</f>
        <v>0</v>
      </c>
      <c r="AG1538" s="5" t="str">
        <f ca="1">IFERROR(__xludf.DUMMYFUNCTION("""COMPUTED_VALUE"""),"INSPECCIONES REALIZADAS")</f>
        <v>INSPECCIONES REALIZADAS</v>
      </c>
      <c r="AH1538" s="5"/>
    </row>
    <row r="1539" spans="1:34">
      <c r="A1539" s="5" t="str">
        <f ca="1">IFERROR(__xludf.DUMMYFUNCTION("""COMPUTED_VALUE"""),"LINEA DE PRODUCCION DE BOTELLONES DE 20")</f>
        <v>LINEA DE PRODUCCION DE BOTELLONES DE 20</v>
      </c>
      <c r="B1539" s="5">
        <f ca="1">IFERROR(__xludf.DUMMYFUNCTION("""COMPUTED_VALUE"""),830081)</f>
        <v>830081</v>
      </c>
      <c r="C1539" s="5" t="str">
        <f ca="1">IFERROR(__xludf.DUMMYFUNCTION("""COMPUTED_VALUE"""),"SNIFFER BOTELLONES AQUASCREEN")</f>
        <v>SNIFFER BOTELLONES AQUASCREEN</v>
      </c>
      <c r="D1539" s="5">
        <f ca="1">IFERROR(__xludf.DUMMYFUNCTION("""COMPUTED_VALUE"""),13247732)</f>
        <v>13247732</v>
      </c>
      <c r="E1539" s="5" t="str">
        <f ca="1">IFERROR(__xludf.DUMMYFUNCTION("""COMPUTED_VALUE"""),"INSPECCION SEMANAL SNIFFER")</f>
        <v>INSPECCION SEMANAL SNIFFER</v>
      </c>
      <c r="F1539" s="5" t="str">
        <f ca="1">IFERROR(__xludf.DUMMYFUNCTION("""COMPUTED_VALUE"""),"Revisar la intensidad de la luz una vez al día, Si la luz esta cerca de los 12000 conteos debe programarse el mantenimiento preventivo para dentro de las 2 semanas siguientes.")</f>
        <v>Revisar la intensidad de la luz una vez al día, Si la luz esta cerca de los 12000 conteos debe programarse el mantenimiento preventivo para dentro de las 2 semanas siguientes.</v>
      </c>
      <c r="G1539" s="5" t="b">
        <f ca="1">IFERROR(__xludf.DUMMYFUNCTION("""COMPUTED_VALUE"""),TRUE)</f>
        <v>1</v>
      </c>
      <c r="H1539" s="5"/>
      <c r="I1539" s="5"/>
      <c r="J1539" s="5">
        <f ca="1">IFERROR(__xludf.DUMMYFUNCTION("""COMPUTED_VALUE"""),13247732)</f>
        <v>13247732</v>
      </c>
      <c r="K1539" s="5"/>
      <c r="L1539" s="18">
        <f ca="1">IFERROR(__xludf.DUMMYFUNCTION("""COMPUTED_VALUE"""),45325)</f>
        <v>45325</v>
      </c>
      <c r="M1539" s="18">
        <f ca="1">IFERROR(__xludf.DUMMYFUNCTION("""COMPUTED_VALUE"""),45325)</f>
        <v>45325</v>
      </c>
      <c r="N1539" s="5" t="str">
        <f ca="1">IFERROR(__xludf.DUMMYFUNCTION("""COMPUTED_VALUE"""),"Víctor David Burbano Gómez")</f>
        <v>Víctor David Burbano Gómez</v>
      </c>
      <c r="O1539" s="2">
        <f ca="1">IFERROR(__xludf.DUMMYFUNCTION("""COMPUTED_VALUE"""),0.02)</f>
        <v>0.02</v>
      </c>
      <c r="P1539" s="5">
        <f ca="1">IFERROR(__xludf.DUMMYFUNCTION("""COMPUTED_VALUE"""),20065447)</f>
        <v>20065447</v>
      </c>
      <c r="Q1539" s="5" t="str">
        <f ca="1">IFERROR(__xludf.DUMMYFUNCTION("""COMPUTED_VALUE"""),"Q4u9ISazx-E")</f>
        <v>Q4u9ISazx-E</v>
      </c>
      <c r="R1539" s="5">
        <f ca="1">IFERROR(__xludf.DUMMYFUNCTION("""COMPUTED_VALUE"""),410)</f>
        <v>410</v>
      </c>
      <c r="S1539" s="62">
        <f ca="1">IFERROR(__xludf.DUMMYFUNCTION("""COMPUTED_VALUE"""),0.02)</f>
        <v>0.02</v>
      </c>
      <c r="T1539" s="63" t="str">
        <f ca="1">IFERROR(__xludf.DUMMYFUNCTION("""COMPUTED_VALUE"""),"https://storage.googleapis.com/glide-prod.appspot.com/uploads-v2/ly7o78grxPaC6KdgvbpS/pub/3aRdSog0vUtuqPE8AJKD.png")</f>
        <v>https://storage.googleapis.com/glide-prod.appspot.com/uploads-v2/ly7o78grxPaC6KdgvbpS/pub/3aRdSog0vUtuqPE8AJKD.png</v>
      </c>
      <c r="U1539" s="5" t="str">
        <f ca="1">IFERROR(__xludf.DUMMYFUNCTION("""COMPUTED_VALUE"""),"LINEA DE PRODUCCION DE BOTELLONES DE 20SNIFFER BOTELLONES AQUASCREEN")</f>
        <v>LINEA DE PRODUCCION DE BOTELLONES DE 20SNIFFER BOTELLONES AQUASCREEN</v>
      </c>
      <c r="V1539" s="5"/>
      <c r="W1539" s="5" t="b">
        <f ca="1">IFERROR(__xludf.DUMMYFUNCTION("""COMPUTED_VALUE"""),TRUE)</f>
        <v>1</v>
      </c>
      <c r="X1539" s="5" t="str">
        <f ca="1">IFERROR(__xludf.DUMMYFUNCTION("""COMPUTED_VALUE"""),"achavezi@postobon.com.co,aprmttoyu@postobon.com.co,aprmyu@postobon.com.co,wmora@postobon.com.co,efzapata@postobon.com.co")</f>
        <v>achavezi@postobon.com.co,aprmttoyu@postobon.com.co,aprmyu@postobon.com.co,wmora@postobon.com.co,efzapata@postobon.com.co</v>
      </c>
      <c r="Y1539" s="5" t="str">
        <f ca="1">IFERROR(__xludf.DUMMYFUNCTION("""COMPUTED_VALUE"""),"achavezi@postobon.com.co")</f>
        <v>achavezi@postobon.com.co</v>
      </c>
      <c r="Z1539" s="5" t="str">
        <f ca="1">IFERROR(__xludf.DUMMYFUNCTION("""COMPUTED_VALUE"""),"SHAEzDcJQsixSxqZMoJENA")</f>
        <v>SHAEzDcJQsixSxqZMoJENA</v>
      </c>
      <c r="AA1539" s="5"/>
      <c r="AB1539" s="5"/>
      <c r="AC1539" s="5"/>
      <c r="AD1539" s="5">
        <f ca="1">IFERROR(__xludf.DUMMYFUNCTION("""COMPUTED_VALUE"""),62)</f>
        <v>62</v>
      </c>
      <c r="AE1539" s="5">
        <f ca="1">IFERROR(__xludf.DUMMYFUNCTION("""COMPUTED_VALUE"""),62)</f>
        <v>62</v>
      </c>
      <c r="AF1539" s="5" t="b">
        <f ca="1">IFERROR(__xludf.DUMMYFUNCTION("""COMPUTED_VALUE"""),FALSE)</f>
        <v>0</v>
      </c>
      <c r="AG1539" s="5" t="str">
        <f ca="1">IFERROR(__xludf.DUMMYFUNCTION("""COMPUTED_VALUE"""),"INSPECCIONES REALIZADAS")</f>
        <v>INSPECCIONES REALIZADAS</v>
      </c>
      <c r="AH1539" s="5"/>
    </row>
  </sheetData>
  <hyperlinks>
    <hyperlink ref="T2" r:id="rId1" display="https://storage.googleapis.com/glide-prod.appspot.com/uploads-v2/ly7o78grxPaC6KdgvbpS/pub/3aRdSog0vUtuqPE8AJKD.png" xr:uid="{00000000-0004-0000-0C00-000000000000}"/>
    <hyperlink ref="T3" r:id="rId2" display="https://storage.googleapis.com/glide-prod.appspot.com/uploads-v2/ly7o78grxPaC6KdgvbpS/pub/3aRdSog0vUtuqPE8AJKD.png" xr:uid="{00000000-0004-0000-0C00-000001000000}"/>
    <hyperlink ref="T4" r:id="rId3" display="https://storage.googleapis.com/glide-prod.appspot.com/uploads-v2/ly7o78grxPaC6KdgvbpS/pub/3aRdSog0vUtuqPE8AJKD.png" xr:uid="{00000000-0004-0000-0C00-000002000000}"/>
    <hyperlink ref="AA4" r:id="rId4" display="https://storage.googleapis.com/glide-prod.appspot.com/uploads-v2/ly7o78grxPaC6KdgvbpS/pub/xp9zOShZ902b8qpTVC5b.jpg" xr:uid="{00000000-0004-0000-0C00-000003000000}"/>
    <hyperlink ref="AB4" r:id="rId5" display="https://storage.googleapis.com/glide-prod.appspot.com/uploads-v2/ly7o78grxPaC6KdgvbpS/pub/srfT3TT9684BbYK6YTcr.jpg" xr:uid="{00000000-0004-0000-0C00-000004000000}"/>
    <hyperlink ref="T5" r:id="rId6" display="https://storage.googleapis.com/glide-prod.appspot.com/uploads-v2/ly7o78grxPaC6KdgvbpS/pub/3aRdSog0vUtuqPE8AJKD.png" xr:uid="{00000000-0004-0000-0C00-000005000000}"/>
    <hyperlink ref="T6" r:id="rId7" display="https://storage.googleapis.com/glide-prod.appspot.com/uploads-v2/ly7o78grxPaC6KdgvbpS/pub/3aRdSog0vUtuqPE8AJKD.png" xr:uid="{00000000-0004-0000-0C00-000006000000}"/>
    <hyperlink ref="T7" r:id="rId8" display="https://storage.googleapis.com/glide-prod.appspot.com/uploads-v2/ly7o78grxPaC6KdgvbpS/pub/3aRdSog0vUtuqPE8AJKD.png" xr:uid="{00000000-0004-0000-0C00-000007000000}"/>
    <hyperlink ref="T8" r:id="rId9" display="https://storage.googleapis.com/glide-prod.appspot.com/uploads-v2/ly7o78grxPaC6KdgvbpS/pub/3aRdSog0vUtuqPE8AJKD.png" xr:uid="{00000000-0004-0000-0C00-000008000000}"/>
    <hyperlink ref="T9" r:id="rId10" display="https://storage.googleapis.com/glide-prod.appspot.com/uploads-v2/ly7o78grxPaC6KdgvbpS/pub/3aRdSog0vUtuqPE8AJKD.png" xr:uid="{00000000-0004-0000-0C00-000009000000}"/>
    <hyperlink ref="T10" r:id="rId11" display="https://storage.googleapis.com/glide-prod.appspot.com/uploads-v2/ly7o78grxPaC6KdgvbpS/pub/3aRdSog0vUtuqPE8AJKD.png" xr:uid="{00000000-0004-0000-0C00-00000A000000}"/>
    <hyperlink ref="T11" r:id="rId12" display="https://storage.googleapis.com/glide-prod.appspot.com/uploads-v2/ly7o78grxPaC6KdgvbpS/pub/3aRdSog0vUtuqPE8AJKD.png" xr:uid="{00000000-0004-0000-0C00-00000B000000}"/>
    <hyperlink ref="T12" r:id="rId13" display="https://storage.googleapis.com/glide-prod.appspot.com/uploads-v2/ly7o78grxPaC6KdgvbpS/pub/3aRdSog0vUtuqPE8AJKD.png" xr:uid="{00000000-0004-0000-0C00-00000C000000}"/>
    <hyperlink ref="T13" r:id="rId14" display="https://storage.googleapis.com/glide-prod.appspot.com/uploads-v2/ly7o78grxPaC6KdgvbpS/pub/3aRdSog0vUtuqPE8AJKD.png" xr:uid="{00000000-0004-0000-0C00-00000D000000}"/>
    <hyperlink ref="T14" r:id="rId15" display="https://storage.googleapis.com/glide-prod.appspot.com/uploads-v2/ly7o78grxPaC6KdgvbpS/pub/3aRdSog0vUtuqPE8AJKD.png" xr:uid="{00000000-0004-0000-0C00-00000E000000}"/>
    <hyperlink ref="T15" r:id="rId16" display="https://storage.googleapis.com/glide-prod.appspot.com/uploads-v2/ly7o78grxPaC6KdgvbpS/pub/3aRdSog0vUtuqPE8AJKD.png" xr:uid="{00000000-0004-0000-0C00-00000F000000}"/>
    <hyperlink ref="T16" r:id="rId17" display="https://storage.googleapis.com/glide-prod.appspot.com/uploads-v2/ly7o78grxPaC6KdgvbpS/pub/3aRdSog0vUtuqPE8AJKD.png" xr:uid="{00000000-0004-0000-0C00-000010000000}"/>
    <hyperlink ref="T17" r:id="rId18" display="https://storage.googleapis.com/glide-prod.appspot.com/uploads-v2/ly7o78grxPaC6KdgvbpS/pub/3aRdSog0vUtuqPE8AJKD.png" xr:uid="{00000000-0004-0000-0C00-000011000000}"/>
    <hyperlink ref="T18" r:id="rId19" display="https://storage.googleapis.com/glide-prod.appspot.com/uploads-v2/ly7o78grxPaC6KdgvbpS/pub/3aRdSog0vUtuqPE8AJKD.png" xr:uid="{00000000-0004-0000-0C00-000012000000}"/>
    <hyperlink ref="T19" r:id="rId20" display="https://storage.googleapis.com/glide-prod.appspot.com/uploads-v2/ly7o78grxPaC6KdgvbpS/pub/3aRdSog0vUtuqPE8AJKD.png" xr:uid="{00000000-0004-0000-0C00-000013000000}"/>
    <hyperlink ref="T20" r:id="rId21" display="https://storage.googleapis.com/glide-prod.appspot.com/uploads-v2/ly7o78grxPaC6KdgvbpS/pub/3aRdSog0vUtuqPE8AJKD.png" xr:uid="{00000000-0004-0000-0C00-000014000000}"/>
    <hyperlink ref="T21" r:id="rId22" display="https://storage.googleapis.com/glide-prod.appspot.com/uploads-v2/ly7o78grxPaC6KdgvbpS/pub/3aRdSog0vUtuqPE8AJKD.png" xr:uid="{00000000-0004-0000-0C00-000015000000}"/>
    <hyperlink ref="T22" r:id="rId23" display="https://storage.googleapis.com/glide-prod.appspot.com/uploads-v2/ly7o78grxPaC6KdgvbpS/pub/3aRdSog0vUtuqPE8AJKD.png" xr:uid="{00000000-0004-0000-0C00-000016000000}"/>
    <hyperlink ref="T23" r:id="rId24" display="https://storage.googleapis.com/glide-prod.appspot.com/uploads-v2/ly7o78grxPaC6KdgvbpS/pub/3aRdSog0vUtuqPE8AJKD.png" xr:uid="{00000000-0004-0000-0C00-000017000000}"/>
    <hyperlink ref="T24" r:id="rId25" display="https://storage.googleapis.com/glide-prod.appspot.com/uploads-v2/ly7o78grxPaC6KdgvbpS/pub/3aRdSog0vUtuqPE8AJKD.png" xr:uid="{00000000-0004-0000-0C00-000018000000}"/>
    <hyperlink ref="T25" r:id="rId26" display="https://storage.googleapis.com/glide-prod.appspot.com/uploads-v2/ly7o78grxPaC6KdgvbpS/pub/3aRdSog0vUtuqPE8AJKD.png" xr:uid="{00000000-0004-0000-0C00-000019000000}"/>
    <hyperlink ref="T26" r:id="rId27" display="https://storage.googleapis.com/glide-prod.appspot.com/uploads-v2/ly7o78grxPaC6KdgvbpS/pub/3aRdSog0vUtuqPE8AJKD.png" xr:uid="{00000000-0004-0000-0C00-00001A000000}"/>
    <hyperlink ref="T27" r:id="rId28" display="https://storage.googleapis.com/glide-prod.appspot.com/uploads-v2/ly7o78grxPaC6KdgvbpS/pub/3aRdSog0vUtuqPE8AJKD.png" xr:uid="{00000000-0004-0000-0C00-00001B000000}"/>
    <hyperlink ref="T28" r:id="rId29" display="https://storage.googleapis.com/glide-prod.appspot.com/uploads-v2/ly7o78grxPaC6KdgvbpS/pub/3aRdSog0vUtuqPE8AJKD.png" xr:uid="{00000000-0004-0000-0C00-00001C000000}"/>
    <hyperlink ref="T29" r:id="rId30" display="https://storage.googleapis.com/glide-prod.appspot.com/uploads-v2/ly7o78grxPaC6KdgvbpS/pub/3aRdSog0vUtuqPE8AJKD.png" xr:uid="{00000000-0004-0000-0C00-00001D000000}"/>
    <hyperlink ref="T30" r:id="rId31" display="https://storage.googleapis.com/glide-prod.appspot.com/uploads-v2/ly7o78grxPaC6KdgvbpS/pub/3aRdSog0vUtuqPE8AJKD.png" xr:uid="{00000000-0004-0000-0C00-00001E000000}"/>
    <hyperlink ref="T31" r:id="rId32" display="https://storage.googleapis.com/glide-prod.appspot.com/uploads-v2/ly7o78grxPaC6KdgvbpS/pub/3aRdSog0vUtuqPE8AJKD.png" xr:uid="{00000000-0004-0000-0C00-00001F000000}"/>
    <hyperlink ref="T32" r:id="rId33" display="https://storage.googleapis.com/glide-prod.appspot.com/uploads-v2/ly7o78grxPaC6KdgvbpS/pub/3aRdSog0vUtuqPE8AJKD.png" xr:uid="{00000000-0004-0000-0C00-000020000000}"/>
    <hyperlink ref="T33" r:id="rId34" display="https://storage.googleapis.com/glide-prod.appspot.com/uploads-v2/ly7o78grxPaC6KdgvbpS/pub/3aRdSog0vUtuqPE8AJKD.png" xr:uid="{00000000-0004-0000-0C00-000021000000}"/>
    <hyperlink ref="T34" r:id="rId35" display="https://storage.googleapis.com/glide-prod.appspot.com/uploads-v2/ly7o78grxPaC6KdgvbpS/pub/UliJWgpEaBovaFmXi6OW.png" xr:uid="{00000000-0004-0000-0C00-000022000000}"/>
    <hyperlink ref="T35" r:id="rId36" display="https://storage.googleapis.com/glide-prod.appspot.com/uploads-v2/ly7o78grxPaC6KdgvbpS/pub/3aRdSog0vUtuqPE8AJKD.png" xr:uid="{00000000-0004-0000-0C00-000023000000}"/>
    <hyperlink ref="T36" r:id="rId37" display="https://storage.googleapis.com/glide-prod.appspot.com/uploads-v2/ly7o78grxPaC6KdgvbpS/pub/3aRdSog0vUtuqPE8AJKD.png" xr:uid="{00000000-0004-0000-0C00-000024000000}"/>
    <hyperlink ref="T37" r:id="rId38" display="https://storage.googleapis.com/glide-prod.appspot.com/uploads-v2/ly7o78grxPaC6KdgvbpS/pub/3aRdSog0vUtuqPE8AJKD.png" xr:uid="{00000000-0004-0000-0C00-000025000000}"/>
    <hyperlink ref="AA37" r:id="rId39" display="https://storage.googleapis.com/glide-prod.appspot.com/uploads-v2/ly7o78grxPaC6KdgvbpS/pub/fPhKiK7lcvDeIXMt9vSa.jpg" xr:uid="{00000000-0004-0000-0C00-000026000000}"/>
    <hyperlink ref="AB37" r:id="rId40" display="https://storage.googleapis.com/glide-prod.appspot.com/uploads-v2/ly7o78grxPaC6KdgvbpS/pub/EZKRNHxWDD70kvHQBf5F.jpg" xr:uid="{00000000-0004-0000-0C00-000027000000}"/>
    <hyperlink ref="T38" r:id="rId41" display="https://storage.googleapis.com/glide-prod.appspot.com/uploads-v2/ly7o78grxPaC6KdgvbpS/pub/3aRdSog0vUtuqPE8AJKD.png" xr:uid="{00000000-0004-0000-0C00-000028000000}"/>
    <hyperlink ref="T39" r:id="rId42" display="https://storage.googleapis.com/glide-prod.appspot.com/uploads-v2/ly7o78grxPaC6KdgvbpS/pub/3aRdSog0vUtuqPE8AJKD.png" xr:uid="{00000000-0004-0000-0C00-000029000000}"/>
    <hyperlink ref="T40" r:id="rId43" display="https://storage.googleapis.com/glide-prod.appspot.com/uploads-v2/ly7o78grxPaC6KdgvbpS/pub/3aRdSog0vUtuqPE8AJKD.png" xr:uid="{00000000-0004-0000-0C00-00002A000000}"/>
    <hyperlink ref="T41" r:id="rId44" display="https://storage.googleapis.com/glide-prod.appspot.com/uploads-v2/ly7o78grxPaC6KdgvbpS/pub/3aRdSog0vUtuqPE8AJKD.png" xr:uid="{00000000-0004-0000-0C00-00002B000000}"/>
    <hyperlink ref="T42" r:id="rId45" display="https://storage.googleapis.com/glide-prod.appspot.com/uploads-v2/ly7o78grxPaC6KdgvbpS/pub/3aRdSog0vUtuqPE8AJKD.png" xr:uid="{00000000-0004-0000-0C00-00002C000000}"/>
    <hyperlink ref="T43" r:id="rId46" display="https://storage.googleapis.com/glide-prod.appspot.com/uploads-v2/ly7o78grxPaC6KdgvbpS/pub/3aRdSog0vUtuqPE8AJKD.png" xr:uid="{00000000-0004-0000-0C00-00002D000000}"/>
    <hyperlink ref="T44" r:id="rId47" display="https://storage.googleapis.com/glide-prod.appspot.com/uploads-v2/ly7o78grxPaC6KdgvbpS/pub/3aRdSog0vUtuqPE8AJKD.png" xr:uid="{00000000-0004-0000-0C00-00002E000000}"/>
    <hyperlink ref="T45" r:id="rId48" display="https://storage.googleapis.com/glide-prod.appspot.com/uploads-v2/ly7o78grxPaC6KdgvbpS/pub/3aRdSog0vUtuqPE8AJKD.png" xr:uid="{00000000-0004-0000-0C00-00002F000000}"/>
    <hyperlink ref="T46" r:id="rId49" display="https://storage.googleapis.com/glide-prod.appspot.com/uploads-v2/ly7o78grxPaC6KdgvbpS/pub/3aRdSog0vUtuqPE8AJKD.png" xr:uid="{00000000-0004-0000-0C00-000030000000}"/>
    <hyperlink ref="T47" r:id="rId50" display="https://storage.googleapis.com/glide-prod.appspot.com/uploads-v2/ly7o78grxPaC6KdgvbpS/pub/3aRdSog0vUtuqPE8AJKD.png" xr:uid="{00000000-0004-0000-0C00-000031000000}"/>
    <hyperlink ref="T48" r:id="rId51" display="https://storage.googleapis.com/glide-prod.appspot.com/uploads-v2/ly7o78grxPaC6KdgvbpS/pub/3aRdSog0vUtuqPE8AJKD.png" xr:uid="{00000000-0004-0000-0C00-000032000000}"/>
    <hyperlink ref="T49" r:id="rId52" display="https://storage.googleapis.com/glide-prod.appspot.com/uploads-v2/ly7o78grxPaC6KdgvbpS/pub/3aRdSog0vUtuqPE8AJKD.png" xr:uid="{00000000-0004-0000-0C00-000033000000}"/>
    <hyperlink ref="T50" r:id="rId53" display="https://storage.googleapis.com/glide-prod.appspot.com/uploads-v2/ly7o78grxPaC6KdgvbpS/pub/3aRdSog0vUtuqPE8AJKD.png" xr:uid="{00000000-0004-0000-0C00-000034000000}"/>
    <hyperlink ref="T51" r:id="rId54" display="https://storage.googleapis.com/glide-prod.appspot.com/uploads-v2/ly7o78grxPaC6KdgvbpS/pub/3aRdSog0vUtuqPE8AJKD.png" xr:uid="{00000000-0004-0000-0C00-000035000000}"/>
    <hyperlink ref="T52" r:id="rId55" display="https://storage.googleapis.com/glide-prod.appspot.com/uploads-v2/ly7o78grxPaC6KdgvbpS/pub/3aRdSog0vUtuqPE8AJKD.png" xr:uid="{00000000-0004-0000-0C00-000036000000}"/>
    <hyperlink ref="T53" r:id="rId56" display="https://storage.googleapis.com/glide-prod.appspot.com/uploads-v2/ly7o78grxPaC6KdgvbpS/pub/3aRdSog0vUtuqPE8AJKD.png" xr:uid="{00000000-0004-0000-0C00-000037000000}"/>
    <hyperlink ref="T54" r:id="rId57" display="https://storage.googleapis.com/glide-prod.appspot.com/uploads-v2/ly7o78grxPaC6KdgvbpS/pub/3aRdSog0vUtuqPE8AJKD.png" xr:uid="{00000000-0004-0000-0C00-000038000000}"/>
    <hyperlink ref="T55" r:id="rId58" display="https://storage.googleapis.com/glide-prod.appspot.com/uploads-v2/ly7o78grxPaC6KdgvbpS/pub/3aRdSog0vUtuqPE8AJKD.png" xr:uid="{00000000-0004-0000-0C00-000039000000}"/>
    <hyperlink ref="T56" r:id="rId59" display="https://storage.googleapis.com/glide-prod.appspot.com/uploads-v2/ly7o78grxPaC6KdgvbpS/pub/3aRdSog0vUtuqPE8AJKD.png" xr:uid="{00000000-0004-0000-0C00-00003A000000}"/>
    <hyperlink ref="T57" r:id="rId60" display="https://storage.googleapis.com/glide-prod.appspot.com/uploads-v2/ly7o78grxPaC6KdgvbpS/pub/3aRdSog0vUtuqPE8AJKD.png" xr:uid="{00000000-0004-0000-0C00-00003B000000}"/>
    <hyperlink ref="T58" r:id="rId61" display="https://storage.googleapis.com/glide-prod.appspot.com/uploads-v2/ly7o78grxPaC6KdgvbpS/pub/3aRdSog0vUtuqPE8AJKD.png" xr:uid="{00000000-0004-0000-0C00-00003C000000}"/>
    <hyperlink ref="T59" r:id="rId62" display="https://storage.googleapis.com/glide-prod.appspot.com/uploads-v2/ly7o78grxPaC6KdgvbpS/pub/3aRdSog0vUtuqPE8AJKD.png" xr:uid="{00000000-0004-0000-0C00-00003D000000}"/>
    <hyperlink ref="T60" r:id="rId63" display="https://storage.googleapis.com/glide-prod.appspot.com/uploads-v2/ly7o78grxPaC6KdgvbpS/pub/3aRdSog0vUtuqPE8AJKD.png" xr:uid="{00000000-0004-0000-0C00-00003E000000}"/>
    <hyperlink ref="T61" r:id="rId64" display="https://storage.googleapis.com/glide-prod.appspot.com/uploads-v2/ly7o78grxPaC6KdgvbpS/pub/3aRdSog0vUtuqPE8AJKD.png" xr:uid="{00000000-0004-0000-0C00-00003F000000}"/>
    <hyperlink ref="T62" r:id="rId65" display="https://storage.googleapis.com/glide-prod.appspot.com/uploads-v2/ly7o78grxPaC6KdgvbpS/pub/3aRdSog0vUtuqPE8AJKD.png" xr:uid="{00000000-0004-0000-0C00-000040000000}"/>
    <hyperlink ref="T63" r:id="rId66" display="https://storage.googleapis.com/glide-prod.appspot.com/uploads-v2/ly7o78grxPaC6KdgvbpS/pub/3aRdSog0vUtuqPE8AJKD.png" xr:uid="{00000000-0004-0000-0C00-000041000000}"/>
    <hyperlink ref="T64" r:id="rId67" display="https://storage.googleapis.com/glide-prod.appspot.com/uploads-v2/ly7o78grxPaC6KdgvbpS/pub/3aRdSog0vUtuqPE8AJKD.png" xr:uid="{00000000-0004-0000-0C00-000042000000}"/>
    <hyperlink ref="T65" r:id="rId68" display="https://storage.googleapis.com/glide-prod.appspot.com/uploads-v2/ly7o78grxPaC6KdgvbpS/pub/3aRdSog0vUtuqPE8AJKD.png" xr:uid="{00000000-0004-0000-0C00-000043000000}"/>
    <hyperlink ref="T66" r:id="rId69" display="https://storage.googleapis.com/glide-prod.appspot.com/uploads-v2/ly7o78grxPaC6KdgvbpS/pub/3aRdSog0vUtuqPE8AJKD.png" xr:uid="{00000000-0004-0000-0C00-000044000000}"/>
    <hyperlink ref="T67" r:id="rId70" display="https://storage.googleapis.com/glide-prod.appspot.com/uploads-v2/ly7o78grxPaC6KdgvbpS/pub/3aRdSog0vUtuqPE8AJKD.png" xr:uid="{00000000-0004-0000-0C00-000045000000}"/>
    <hyperlink ref="T68" r:id="rId71" display="https://storage.googleapis.com/glide-prod.appspot.com/uploads-v2/ly7o78grxPaC6KdgvbpS/pub/3aRdSog0vUtuqPE8AJKD.png" xr:uid="{00000000-0004-0000-0C00-000046000000}"/>
    <hyperlink ref="T69" r:id="rId72" display="https://storage.googleapis.com/glide-prod.appspot.com/uploads-v2/ly7o78grxPaC6KdgvbpS/pub/3aRdSog0vUtuqPE8AJKD.png" xr:uid="{00000000-0004-0000-0C00-000047000000}"/>
    <hyperlink ref="T70" r:id="rId73" display="https://storage.googleapis.com/glide-prod.appspot.com/uploads-v2/ly7o78grxPaC6KdgvbpS/pub/3aRdSog0vUtuqPE8AJKD.png" xr:uid="{00000000-0004-0000-0C00-000048000000}"/>
    <hyperlink ref="T71" r:id="rId74" display="https://storage.googleapis.com/glide-prod.appspot.com/uploads-v2/ly7o78grxPaC6KdgvbpS/pub/3aRdSog0vUtuqPE8AJKD.png" xr:uid="{00000000-0004-0000-0C00-000049000000}"/>
    <hyperlink ref="T72" r:id="rId75" display="https://storage.googleapis.com/glide-prod.appspot.com/uploads-v2/ly7o78grxPaC6KdgvbpS/pub/3aRdSog0vUtuqPE8AJKD.png" xr:uid="{00000000-0004-0000-0C00-00004A000000}"/>
    <hyperlink ref="T73" r:id="rId76" display="https://storage.googleapis.com/glide-prod.appspot.com/uploads-v2/ly7o78grxPaC6KdgvbpS/pub/3aRdSog0vUtuqPE8AJKD.png" xr:uid="{00000000-0004-0000-0C00-00004B000000}"/>
    <hyperlink ref="T74" r:id="rId77" display="https://storage.googleapis.com/glide-prod.appspot.com/uploads-v2/ly7o78grxPaC6KdgvbpS/pub/3aRdSog0vUtuqPE8AJKD.png" xr:uid="{00000000-0004-0000-0C00-00004C000000}"/>
    <hyperlink ref="T75" r:id="rId78" display="https://storage.googleapis.com/glide-prod.appspot.com/uploads-v2/ly7o78grxPaC6KdgvbpS/pub/3aRdSog0vUtuqPE8AJKD.png" xr:uid="{00000000-0004-0000-0C00-00004D000000}"/>
    <hyperlink ref="T76" r:id="rId79" display="https://storage.googleapis.com/glide-prod.appspot.com/uploads-v2/ly7o78grxPaC6KdgvbpS/pub/3aRdSog0vUtuqPE8AJKD.png" xr:uid="{00000000-0004-0000-0C00-00004E000000}"/>
    <hyperlink ref="T77" r:id="rId80" display="https://storage.googleapis.com/glide-prod.appspot.com/uploads-v2/ly7o78grxPaC6KdgvbpS/pub/3aRdSog0vUtuqPE8AJKD.png" xr:uid="{00000000-0004-0000-0C00-00004F000000}"/>
    <hyperlink ref="T78" r:id="rId81" display="https://storage.googleapis.com/glide-prod.appspot.com/uploads-v2/ly7o78grxPaC6KdgvbpS/pub/3aRdSog0vUtuqPE8AJKD.png" xr:uid="{00000000-0004-0000-0C00-000050000000}"/>
    <hyperlink ref="T79" r:id="rId82" display="https://storage.googleapis.com/glide-prod.appspot.com/uploads-v2/ly7o78grxPaC6KdgvbpS/pub/3aRdSog0vUtuqPE8AJKD.png" xr:uid="{00000000-0004-0000-0C00-000051000000}"/>
    <hyperlink ref="T80" r:id="rId83" display="https://storage.googleapis.com/glide-prod.appspot.com/uploads-v2/ly7o78grxPaC6KdgvbpS/pub/3aRdSog0vUtuqPE8AJKD.png" xr:uid="{00000000-0004-0000-0C00-000052000000}"/>
    <hyperlink ref="T81" r:id="rId84" display="https://storage.googleapis.com/glide-prod.appspot.com/uploads-v2/ly7o78grxPaC6KdgvbpS/pub/3aRdSog0vUtuqPE8AJKD.png" xr:uid="{00000000-0004-0000-0C00-000053000000}"/>
    <hyperlink ref="T82" r:id="rId85" display="https://storage.googleapis.com/glide-prod.appspot.com/uploads-v2/ly7o78grxPaC6KdgvbpS/pub/3aRdSog0vUtuqPE8AJKD.png" xr:uid="{00000000-0004-0000-0C00-000054000000}"/>
    <hyperlink ref="T83" r:id="rId86" display="https://storage.googleapis.com/glide-prod.appspot.com/uploads-v2/ly7o78grxPaC6KdgvbpS/pub/3aRdSog0vUtuqPE8AJKD.png" xr:uid="{00000000-0004-0000-0C00-000055000000}"/>
    <hyperlink ref="T84" r:id="rId87" display="https://storage.googleapis.com/glide-prod.appspot.com/uploads-v2/ly7o78grxPaC6KdgvbpS/pub/3aRdSog0vUtuqPE8AJKD.png" xr:uid="{00000000-0004-0000-0C00-000056000000}"/>
    <hyperlink ref="T85" r:id="rId88" display="https://storage.googleapis.com/glide-prod.appspot.com/uploads-v2/ly7o78grxPaC6KdgvbpS/pub/3aRdSog0vUtuqPE8AJKD.png" xr:uid="{00000000-0004-0000-0C00-000057000000}"/>
    <hyperlink ref="T86" r:id="rId89" display="https://storage.googleapis.com/glide-prod.appspot.com/uploads-v2/ly7o78grxPaC6KdgvbpS/pub/3aRdSog0vUtuqPE8AJKD.png" xr:uid="{00000000-0004-0000-0C00-000058000000}"/>
    <hyperlink ref="T87" r:id="rId90" display="https://storage.googleapis.com/glide-prod.appspot.com/uploads-v2/ly7o78grxPaC6KdgvbpS/pub/3aRdSog0vUtuqPE8AJKD.png" xr:uid="{00000000-0004-0000-0C00-000059000000}"/>
    <hyperlink ref="T88" r:id="rId91" display="https://storage.googleapis.com/glide-prod.appspot.com/uploads-v2/ly7o78grxPaC6KdgvbpS/pub/3aRdSog0vUtuqPE8AJKD.png" xr:uid="{00000000-0004-0000-0C00-00005A000000}"/>
    <hyperlink ref="T89" r:id="rId92" display="https://storage.googleapis.com/glide-prod.appspot.com/uploads-v2/ly7o78grxPaC6KdgvbpS/pub/3aRdSog0vUtuqPE8AJKD.png" xr:uid="{00000000-0004-0000-0C00-00005B000000}"/>
    <hyperlink ref="T90" r:id="rId93" display="https://storage.googleapis.com/glide-prod.appspot.com/uploads-v2/ly7o78grxPaC6KdgvbpS/pub/3aRdSog0vUtuqPE8AJKD.png" xr:uid="{00000000-0004-0000-0C00-00005C000000}"/>
    <hyperlink ref="T91" r:id="rId94" display="https://storage.googleapis.com/glide-prod.appspot.com/uploads-v2/ly7o78grxPaC6KdgvbpS/pub/3aRdSog0vUtuqPE8AJKD.png" xr:uid="{00000000-0004-0000-0C00-00005D000000}"/>
    <hyperlink ref="T92" r:id="rId95" display="https://storage.googleapis.com/glide-prod.appspot.com/uploads-v2/ly7o78grxPaC6KdgvbpS/pub/3aRdSog0vUtuqPE8AJKD.png" xr:uid="{00000000-0004-0000-0C00-00005E000000}"/>
    <hyperlink ref="T93" r:id="rId96" display="https://storage.googleapis.com/glide-prod.appspot.com/uploads-v2/ly7o78grxPaC6KdgvbpS/pub/3aRdSog0vUtuqPE8AJKD.png" xr:uid="{00000000-0004-0000-0C00-00005F000000}"/>
    <hyperlink ref="T94" r:id="rId97" display="https://storage.googleapis.com/glide-prod.appspot.com/uploads-v2/ly7o78grxPaC6KdgvbpS/pub/3aRdSog0vUtuqPE8AJKD.png" xr:uid="{00000000-0004-0000-0C00-000060000000}"/>
    <hyperlink ref="T95" r:id="rId98" display="https://storage.googleapis.com/glide-prod.appspot.com/uploads-v2/ly7o78grxPaC6KdgvbpS/pub/3aRdSog0vUtuqPE8AJKD.png" xr:uid="{00000000-0004-0000-0C00-000061000000}"/>
    <hyperlink ref="T96" r:id="rId99" display="https://storage.googleapis.com/glide-prod.appspot.com/uploads-v2/ly7o78grxPaC6KdgvbpS/pub/3aRdSog0vUtuqPE8AJKD.png" xr:uid="{00000000-0004-0000-0C00-000062000000}"/>
    <hyperlink ref="T97" r:id="rId100" display="https://storage.googleapis.com/glide-prod.appspot.com/uploads-v2/ly7o78grxPaC6KdgvbpS/pub/3aRdSog0vUtuqPE8AJKD.png" xr:uid="{00000000-0004-0000-0C00-000063000000}"/>
    <hyperlink ref="T98" r:id="rId101" display="https://storage.googleapis.com/glide-prod.appspot.com/uploads-v2/ly7o78grxPaC6KdgvbpS/pub/3aRdSog0vUtuqPE8AJKD.png" xr:uid="{00000000-0004-0000-0C00-000064000000}"/>
    <hyperlink ref="T99" r:id="rId102" display="https://storage.googleapis.com/glide-prod.appspot.com/uploads-v2/ly7o78grxPaC6KdgvbpS/pub/3aRdSog0vUtuqPE8AJKD.png" xr:uid="{00000000-0004-0000-0C00-000065000000}"/>
    <hyperlink ref="T100" r:id="rId103" display="https://storage.googleapis.com/glide-prod.appspot.com/uploads-v2/ly7o78grxPaC6KdgvbpS/pub/3aRdSog0vUtuqPE8AJKD.png" xr:uid="{00000000-0004-0000-0C00-000066000000}"/>
    <hyperlink ref="T101" r:id="rId104" display="https://storage.googleapis.com/glide-prod.appspot.com/uploads-v2/ly7o78grxPaC6KdgvbpS/pub/3aRdSog0vUtuqPE8AJKD.png" xr:uid="{00000000-0004-0000-0C00-000067000000}"/>
    <hyperlink ref="T102" r:id="rId105" display="https://storage.googleapis.com/glide-prod.appspot.com/uploads-v2/ly7o78grxPaC6KdgvbpS/pub/3aRdSog0vUtuqPE8AJKD.png" xr:uid="{00000000-0004-0000-0C00-000068000000}"/>
    <hyperlink ref="AA102" r:id="rId106" display="https://storage.googleapis.com/glide-prod.appspot.com/uploads-v2/ly7o78grxPaC6KdgvbpS/pub/4tLgxdryofTWVyW5QRpn.jpg" xr:uid="{00000000-0004-0000-0C00-000069000000}"/>
    <hyperlink ref="AB102" r:id="rId107" display="https://storage.googleapis.com/glide-prod.appspot.com/uploads-v2/ly7o78grxPaC6KdgvbpS/pub/Flll83kWZ3IFsGqKHsF6.jpg" xr:uid="{00000000-0004-0000-0C00-00006A000000}"/>
    <hyperlink ref="T103" r:id="rId108" display="https://storage.googleapis.com/glide-prod.appspot.com/uploads-v2/ly7o78grxPaC6KdgvbpS/pub/3aRdSog0vUtuqPE8AJKD.png" xr:uid="{00000000-0004-0000-0C00-00006B000000}"/>
    <hyperlink ref="T104" r:id="rId109" display="https://storage.googleapis.com/glide-prod.appspot.com/uploads-v2/ly7o78grxPaC6KdgvbpS/pub/3aRdSog0vUtuqPE8AJKD.png" xr:uid="{00000000-0004-0000-0C00-00006C000000}"/>
    <hyperlink ref="AA104" r:id="rId110" display="https://storage.googleapis.com/glide-prod.appspot.com/uploads-v2/ly7o78grxPaC6KdgvbpS/pub/pIBYoaypyaNdgEjLUymT.jpg" xr:uid="{00000000-0004-0000-0C00-00006D000000}"/>
    <hyperlink ref="AB104" r:id="rId111" display="https://storage.googleapis.com/glide-prod.appspot.com/uploads-v2/ly7o78grxPaC6KdgvbpS/pub/QUugpdJDbVvO9LJC4smY.jpg" xr:uid="{00000000-0004-0000-0C00-00006E000000}"/>
    <hyperlink ref="T105" r:id="rId112" display="https://storage.googleapis.com/glide-prod.appspot.com/uploads-v2/ly7o78grxPaC6KdgvbpS/pub/3aRdSog0vUtuqPE8AJKD.png" xr:uid="{00000000-0004-0000-0C00-00006F000000}"/>
    <hyperlink ref="T106" r:id="rId113" display="https://storage.googleapis.com/glide-prod.appspot.com/uploads-v2/ly7o78grxPaC6KdgvbpS/pub/3aRdSog0vUtuqPE8AJKD.png" xr:uid="{00000000-0004-0000-0C00-000070000000}"/>
    <hyperlink ref="T107" r:id="rId114" display="https://storage.googleapis.com/glide-prod.appspot.com/uploads-v2/ly7o78grxPaC6KdgvbpS/pub/3aRdSog0vUtuqPE8AJKD.png" xr:uid="{00000000-0004-0000-0C00-000071000000}"/>
    <hyperlink ref="T108" r:id="rId115" display="https://storage.googleapis.com/glide-prod.appspot.com/uploads-v2/ly7o78grxPaC6KdgvbpS/pub/3aRdSog0vUtuqPE8AJKD.png" xr:uid="{00000000-0004-0000-0C00-000072000000}"/>
    <hyperlink ref="T109" r:id="rId116" display="https://storage.googleapis.com/glide-prod.appspot.com/uploads-v2/ly7o78grxPaC6KdgvbpS/pub/3aRdSog0vUtuqPE8AJKD.png" xr:uid="{00000000-0004-0000-0C00-000073000000}"/>
    <hyperlink ref="T110" r:id="rId117" display="https://storage.googleapis.com/glide-prod.appspot.com/uploads-v2/ly7o78grxPaC6KdgvbpS/pub/3aRdSog0vUtuqPE8AJKD.png" xr:uid="{00000000-0004-0000-0C00-000074000000}"/>
    <hyperlink ref="T111" r:id="rId118" display="https://storage.googleapis.com/glide-prod.appspot.com/uploads-v2/ly7o78grxPaC6KdgvbpS/pub/3aRdSog0vUtuqPE8AJKD.png" xr:uid="{00000000-0004-0000-0C00-000075000000}"/>
    <hyperlink ref="T112" r:id="rId119" display="https://storage.googleapis.com/glide-prod.appspot.com/uploads-v2/ly7o78grxPaC6KdgvbpS/pub/3aRdSog0vUtuqPE8AJKD.png" xr:uid="{00000000-0004-0000-0C00-000076000000}"/>
    <hyperlink ref="T113" r:id="rId120" display="https://storage.googleapis.com/glide-prod.appspot.com/uploads-v2/ly7o78grxPaC6KdgvbpS/pub/3aRdSog0vUtuqPE8AJKD.png" xr:uid="{00000000-0004-0000-0C00-000077000000}"/>
    <hyperlink ref="T114" r:id="rId121" display="https://storage.googleapis.com/glide-prod.appspot.com/uploads-v2/ly7o78grxPaC6KdgvbpS/pub/3aRdSog0vUtuqPE8AJKD.png" xr:uid="{00000000-0004-0000-0C00-000078000000}"/>
    <hyperlink ref="T115" r:id="rId122" display="https://storage.googleapis.com/glide-prod.appspot.com/uploads-v2/ly7o78grxPaC6KdgvbpS/pub/3aRdSog0vUtuqPE8AJKD.png" xr:uid="{00000000-0004-0000-0C00-000079000000}"/>
    <hyperlink ref="T116" r:id="rId123" display="https://storage.googleapis.com/glide-prod.appspot.com/uploads-v2/ly7o78grxPaC6KdgvbpS/pub/3aRdSog0vUtuqPE8AJKD.png" xr:uid="{00000000-0004-0000-0C00-00007A000000}"/>
    <hyperlink ref="T117" r:id="rId124" display="https://storage.googleapis.com/glide-prod.appspot.com/uploads-v2/ly7o78grxPaC6KdgvbpS/pub/3aRdSog0vUtuqPE8AJKD.png" xr:uid="{00000000-0004-0000-0C00-00007B000000}"/>
    <hyperlink ref="T118" r:id="rId125" display="https://storage.googleapis.com/glide-prod.appspot.com/uploads-v2/ly7o78grxPaC6KdgvbpS/pub/3aRdSog0vUtuqPE8AJKD.png" xr:uid="{00000000-0004-0000-0C00-00007C000000}"/>
    <hyperlink ref="T119" r:id="rId126" display="https://storage.googleapis.com/glide-prod.appspot.com/uploads-v2/ly7o78grxPaC6KdgvbpS/pub/3aRdSog0vUtuqPE8AJKD.png" xr:uid="{00000000-0004-0000-0C00-00007D000000}"/>
    <hyperlink ref="T120" r:id="rId127" display="https://storage.googleapis.com/glide-prod.appspot.com/uploads-v2/ly7o78grxPaC6KdgvbpS/pub/3aRdSog0vUtuqPE8AJKD.png" xr:uid="{00000000-0004-0000-0C00-00007E000000}"/>
    <hyperlink ref="T121" r:id="rId128" display="https://storage.googleapis.com/glide-prod.appspot.com/uploads-v2/ly7o78grxPaC6KdgvbpS/pub/3aRdSog0vUtuqPE8AJKD.png" xr:uid="{00000000-0004-0000-0C00-00007F000000}"/>
    <hyperlink ref="T122" r:id="rId129" display="https://storage.googleapis.com/glide-prod.appspot.com/uploads-v2/ly7o78grxPaC6KdgvbpS/pub/3aRdSog0vUtuqPE8AJKD.png" xr:uid="{00000000-0004-0000-0C00-000080000000}"/>
    <hyperlink ref="T123" r:id="rId130" display="https://storage.googleapis.com/glide-prod.appspot.com/uploads-v2/ly7o78grxPaC6KdgvbpS/pub/3aRdSog0vUtuqPE8AJKD.png" xr:uid="{00000000-0004-0000-0C00-000081000000}"/>
    <hyperlink ref="T124" r:id="rId131" display="https://storage.googleapis.com/glide-prod.appspot.com/uploads-v2/ly7o78grxPaC6KdgvbpS/pub/3aRdSog0vUtuqPE8AJKD.png" xr:uid="{00000000-0004-0000-0C00-000082000000}"/>
    <hyperlink ref="T125" r:id="rId132" display="https://storage.googleapis.com/glide-prod.appspot.com/uploads-v2/ly7o78grxPaC6KdgvbpS/pub/3aRdSog0vUtuqPE8AJKD.png" xr:uid="{00000000-0004-0000-0C00-000083000000}"/>
    <hyperlink ref="T126" r:id="rId133" display="https://storage.googleapis.com/glide-prod.appspot.com/uploads-v2/ly7o78grxPaC6KdgvbpS/pub/3aRdSog0vUtuqPE8AJKD.png" xr:uid="{00000000-0004-0000-0C00-000084000000}"/>
    <hyperlink ref="T127" r:id="rId134" display="https://storage.googleapis.com/glide-prod.appspot.com/uploads-v2/ly7o78grxPaC6KdgvbpS/pub/3aRdSog0vUtuqPE8AJKD.png" xr:uid="{00000000-0004-0000-0C00-000085000000}"/>
    <hyperlink ref="T128" r:id="rId135" display="https://storage.googleapis.com/glide-prod.appspot.com/uploads-v2/ly7o78grxPaC6KdgvbpS/pub/3aRdSog0vUtuqPE8AJKD.png" xr:uid="{00000000-0004-0000-0C00-000086000000}"/>
    <hyperlink ref="T129" r:id="rId136" display="https://storage.googleapis.com/glide-prod.appspot.com/uploads-v2/ly7o78grxPaC6KdgvbpS/pub/3aRdSog0vUtuqPE8AJKD.png" xr:uid="{00000000-0004-0000-0C00-000087000000}"/>
    <hyperlink ref="T130" r:id="rId137" display="https://storage.googleapis.com/glide-prod.appspot.com/uploads-v2/ly7o78grxPaC6KdgvbpS/pub/3aRdSog0vUtuqPE8AJKD.png" xr:uid="{00000000-0004-0000-0C00-000088000000}"/>
    <hyperlink ref="T131" r:id="rId138" display="https://storage.googleapis.com/glide-prod.appspot.com/uploads-v2/ly7o78grxPaC6KdgvbpS/pub/3aRdSog0vUtuqPE8AJKD.png" xr:uid="{00000000-0004-0000-0C00-000089000000}"/>
    <hyperlink ref="T132" r:id="rId139" display="https://storage.googleapis.com/glide-prod.appspot.com/uploads-v2/ly7o78grxPaC6KdgvbpS/pub/3aRdSog0vUtuqPE8AJKD.png" xr:uid="{00000000-0004-0000-0C00-00008A000000}"/>
    <hyperlink ref="T133" r:id="rId140" display="https://storage.googleapis.com/glide-prod.appspot.com/uploads-v2/ly7o78grxPaC6KdgvbpS/pub/3aRdSog0vUtuqPE8AJKD.png" xr:uid="{00000000-0004-0000-0C00-00008B000000}"/>
    <hyperlink ref="T134" r:id="rId141" display="https://storage.googleapis.com/glide-prod.appspot.com/uploads-v2/ly7o78grxPaC6KdgvbpS/pub/3aRdSog0vUtuqPE8AJKD.png" xr:uid="{00000000-0004-0000-0C00-00008C000000}"/>
    <hyperlink ref="T135" r:id="rId142" display="https://storage.googleapis.com/glide-prod.appspot.com/uploads-v2/ly7o78grxPaC6KdgvbpS/pub/3aRdSog0vUtuqPE8AJKD.png" xr:uid="{00000000-0004-0000-0C00-00008D000000}"/>
    <hyperlink ref="T136" r:id="rId143" display="https://storage.googleapis.com/glide-prod.appspot.com/uploads-v2/ly7o78grxPaC6KdgvbpS/pub/3aRdSog0vUtuqPE8AJKD.png" xr:uid="{00000000-0004-0000-0C00-00008E000000}"/>
    <hyperlink ref="T137" r:id="rId144" display="https://storage.googleapis.com/glide-prod.appspot.com/uploads-v2/ly7o78grxPaC6KdgvbpS/pub/3aRdSog0vUtuqPE8AJKD.png" xr:uid="{00000000-0004-0000-0C00-00008F000000}"/>
    <hyperlink ref="T138" r:id="rId145" display="https://storage.googleapis.com/glide-prod.appspot.com/uploads-v2/ly7o78grxPaC6KdgvbpS/pub/3aRdSog0vUtuqPE8AJKD.png" xr:uid="{00000000-0004-0000-0C00-000090000000}"/>
    <hyperlink ref="T139" r:id="rId146" display="https://storage.googleapis.com/glide-prod.appspot.com/uploads-v2/ly7o78grxPaC6KdgvbpS/pub/3aRdSog0vUtuqPE8AJKD.png" xr:uid="{00000000-0004-0000-0C00-000091000000}"/>
    <hyperlink ref="T140" r:id="rId147" display="https://storage.googleapis.com/glide-prod.appspot.com/uploads-v2/ly7o78grxPaC6KdgvbpS/pub/3aRdSog0vUtuqPE8AJKD.png" xr:uid="{00000000-0004-0000-0C00-000092000000}"/>
    <hyperlink ref="T141" r:id="rId148" display="https://storage.googleapis.com/glide-prod.appspot.com/uploads-v2/ly7o78grxPaC6KdgvbpS/pub/3aRdSog0vUtuqPE8AJKD.png" xr:uid="{00000000-0004-0000-0C00-000093000000}"/>
    <hyperlink ref="T142" r:id="rId149" display="https://storage.googleapis.com/glide-prod.appspot.com/uploads-v2/ly7o78grxPaC6KdgvbpS/pub/3aRdSog0vUtuqPE8AJKD.png" xr:uid="{00000000-0004-0000-0C00-000094000000}"/>
    <hyperlink ref="T143" r:id="rId150" display="https://storage.googleapis.com/glide-prod.appspot.com/uploads-v2/ly7o78grxPaC6KdgvbpS/pub/3aRdSog0vUtuqPE8AJKD.png" xr:uid="{00000000-0004-0000-0C00-000095000000}"/>
    <hyperlink ref="T144" r:id="rId151" display="https://storage.googleapis.com/glide-prod.appspot.com/uploads-v2/ly7o78grxPaC6KdgvbpS/pub/3aRdSog0vUtuqPE8AJKD.png" xr:uid="{00000000-0004-0000-0C00-000096000000}"/>
    <hyperlink ref="T145" r:id="rId152" display="https://storage.googleapis.com/glide-prod.appspot.com/uploads-v2/ly7o78grxPaC6KdgvbpS/pub/3aRdSog0vUtuqPE8AJKD.png" xr:uid="{00000000-0004-0000-0C00-000097000000}"/>
    <hyperlink ref="T146" r:id="rId153" display="https://storage.googleapis.com/glide-prod.appspot.com/uploads-v2/ly7o78grxPaC6KdgvbpS/pub/3aRdSog0vUtuqPE8AJKD.png" xr:uid="{00000000-0004-0000-0C00-000098000000}"/>
    <hyperlink ref="T147" r:id="rId154" display="https://storage.googleapis.com/glide-prod.appspot.com/uploads-v2/ly7o78grxPaC6KdgvbpS/pub/3aRdSog0vUtuqPE8AJKD.png" xr:uid="{00000000-0004-0000-0C00-000099000000}"/>
    <hyperlink ref="T148" r:id="rId155" display="https://storage.googleapis.com/glide-prod.appspot.com/uploads-v2/ly7o78grxPaC6KdgvbpS/pub/3aRdSog0vUtuqPE8AJKD.png" xr:uid="{00000000-0004-0000-0C00-00009A000000}"/>
    <hyperlink ref="T149" r:id="rId156" display="https://storage.googleapis.com/glide-prod.appspot.com/uploads-v2/ly7o78grxPaC6KdgvbpS/pub/3aRdSog0vUtuqPE8AJKD.png" xr:uid="{00000000-0004-0000-0C00-00009B000000}"/>
    <hyperlink ref="T150" r:id="rId157" display="https://storage.googleapis.com/glide-prod.appspot.com/uploads-v2/ly7o78grxPaC6KdgvbpS/pub/3aRdSog0vUtuqPE8AJKD.png" xr:uid="{00000000-0004-0000-0C00-00009C000000}"/>
    <hyperlink ref="T151" r:id="rId158" display="https://storage.googleapis.com/glide-prod.appspot.com/uploads-v2/ly7o78grxPaC6KdgvbpS/pub/3aRdSog0vUtuqPE8AJKD.png" xr:uid="{00000000-0004-0000-0C00-00009D000000}"/>
    <hyperlink ref="T152" r:id="rId159" display="https://storage.googleapis.com/glide-prod.appspot.com/uploads-v2/ly7o78grxPaC6KdgvbpS/pub/3aRdSog0vUtuqPE8AJKD.png" xr:uid="{00000000-0004-0000-0C00-00009E000000}"/>
    <hyperlink ref="T153" r:id="rId160" display="https://storage.googleapis.com/glide-prod.appspot.com/uploads-v2/ly7o78grxPaC6KdgvbpS/pub/3aRdSog0vUtuqPE8AJKD.png" xr:uid="{00000000-0004-0000-0C00-00009F000000}"/>
    <hyperlink ref="T154" r:id="rId161" display="https://storage.googleapis.com/glide-prod.appspot.com/uploads-v2/ly7o78grxPaC6KdgvbpS/pub/3aRdSog0vUtuqPE8AJKD.png" xr:uid="{00000000-0004-0000-0C00-0000A0000000}"/>
    <hyperlink ref="T155" r:id="rId162" display="https://storage.googleapis.com/glide-prod.appspot.com/uploads-v2/ly7o78grxPaC6KdgvbpS/pub/3aRdSog0vUtuqPE8AJKD.png" xr:uid="{00000000-0004-0000-0C00-0000A1000000}"/>
    <hyperlink ref="Z155" r:id="rId163" display="http://cvyoksnysympwdpu5lg.kg/" xr:uid="{00000000-0004-0000-0C00-0000A2000000}"/>
    <hyperlink ref="T156" r:id="rId164" display="https://storage.googleapis.com/glide-prod.appspot.com/uploads-v2/ly7o78grxPaC6KdgvbpS/pub/3aRdSog0vUtuqPE8AJKD.png" xr:uid="{00000000-0004-0000-0C00-0000A3000000}"/>
    <hyperlink ref="T157" r:id="rId165" display="https://storage.googleapis.com/glide-prod.appspot.com/uploads-v2/ly7o78grxPaC6KdgvbpS/pub/3aRdSog0vUtuqPE8AJKD.png" xr:uid="{00000000-0004-0000-0C00-0000A4000000}"/>
    <hyperlink ref="T158" r:id="rId166" display="https://storage.googleapis.com/glide-prod.appspot.com/uploads-v2/ly7o78grxPaC6KdgvbpS/pub/3aRdSog0vUtuqPE8AJKD.png" xr:uid="{00000000-0004-0000-0C00-0000A5000000}"/>
    <hyperlink ref="T159" r:id="rId167" display="https://storage.googleapis.com/glide-prod.appspot.com/uploads-v2/ly7o78grxPaC6KdgvbpS/pub/3aRdSog0vUtuqPE8AJKD.png" xr:uid="{00000000-0004-0000-0C00-0000A6000000}"/>
    <hyperlink ref="T160" r:id="rId168" display="https://storage.googleapis.com/glide-prod.appspot.com/uploads-v2/ly7o78grxPaC6KdgvbpS/pub/3aRdSog0vUtuqPE8AJKD.png" xr:uid="{00000000-0004-0000-0C00-0000A7000000}"/>
    <hyperlink ref="T161" r:id="rId169" display="https://storage.googleapis.com/glide-prod.appspot.com/uploads-v2/ly7o78grxPaC6KdgvbpS/pub/3aRdSog0vUtuqPE8AJKD.png" xr:uid="{00000000-0004-0000-0C00-0000A8000000}"/>
    <hyperlink ref="T162" r:id="rId170" display="https://storage.googleapis.com/glide-prod.appspot.com/uploads-v2/ly7o78grxPaC6KdgvbpS/pub/3aRdSog0vUtuqPE8AJKD.png" xr:uid="{00000000-0004-0000-0C00-0000A9000000}"/>
    <hyperlink ref="T163" r:id="rId171" display="https://storage.googleapis.com/glide-prod.appspot.com/uploads-v2/ly7o78grxPaC6KdgvbpS/pub/3aRdSog0vUtuqPE8AJKD.png" xr:uid="{00000000-0004-0000-0C00-0000AA000000}"/>
    <hyperlink ref="T164" r:id="rId172" display="https://storage.googleapis.com/glide-prod.appspot.com/uploads-v2/ly7o78grxPaC6KdgvbpS/pub/3aRdSog0vUtuqPE8AJKD.png" xr:uid="{00000000-0004-0000-0C00-0000AB000000}"/>
    <hyperlink ref="T165" r:id="rId173" display="https://storage.googleapis.com/glide-prod.appspot.com/uploads-v2/ly7o78grxPaC6KdgvbpS/pub/3aRdSog0vUtuqPE8AJKD.png" xr:uid="{00000000-0004-0000-0C00-0000AC000000}"/>
    <hyperlink ref="T166" r:id="rId174" display="https://storage.googleapis.com/glide-prod.appspot.com/uploads-v2/ly7o78grxPaC6KdgvbpS/pub/3aRdSog0vUtuqPE8AJKD.png" xr:uid="{00000000-0004-0000-0C00-0000AD000000}"/>
    <hyperlink ref="T167" r:id="rId175" display="https://storage.googleapis.com/glide-prod.appspot.com/uploads-v2/ly7o78grxPaC6KdgvbpS/pub/3aRdSog0vUtuqPE8AJKD.png" xr:uid="{00000000-0004-0000-0C00-0000AE000000}"/>
    <hyperlink ref="T168" r:id="rId176" display="https://storage.googleapis.com/glide-prod.appspot.com/uploads-v2/ly7o78grxPaC6KdgvbpS/pub/3aRdSog0vUtuqPE8AJKD.png" xr:uid="{00000000-0004-0000-0C00-0000AF000000}"/>
    <hyperlink ref="T169" r:id="rId177" display="https://storage.googleapis.com/glide-prod.appspot.com/uploads-v2/ly7o78grxPaC6KdgvbpS/pub/3aRdSog0vUtuqPE8AJKD.png" xr:uid="{00000000-0004-0000-0C00-0000B0000000}"/>
    <hyperlink ref="T170" r:id="rId178" display="https://storage.googleapis.com/glide-prod.appspot.com/uploads-v2/ly7o78grxPaC6KdgvbpS/pub/3aRdSog0vUtuqPE8AJKD.png" xr:uid="{00000000-0004-0000-0C00-0000B1000000}"/>
    <hyperlink ref="T171" r:id="rId179" display="https://storage.googleapis.com/glide-prod.appspot.com/uploads-v2/ly7o78grxPaC6KdgvbpS/pub/3aRdSog0vUtuqPE8AJKD.png" xr:uid="{00000000-0004-0000-0C00-0000B2000000}"/>
    <hyperlink ref="T172" r:id="rId180" display="https://storage.googleapis.com/glide-prod.appspot.com/uploads-v2/ly7o78grxPaC6KdgvbpS/pub/3aRdSog0vUtuqPE8AJKD.png" xr:uid="{00000000-0004-0000-0C00-0000B3000000}"/>
    <hyperlink ref="T173" r:id="rId181" display="https://storage.googleapis.com/glide-prod.appspot.com/uploads-v2/ly7o78grxPaC6KdgvbpS/pub/3aRdSog0vUtuqPE8AJKD.png" xr:uid="{00000000-0004-0000-0C00-0000B4000000}"/>
    <hyperlink ref="T174" r:id="rId182" display="https://storage.googleapis.com/glide-prod.appspot.com/uploads-v2/ly7o78grxPaC6KdgvbpS/pub/3aRdSog0vUtuqPE8AJKD.png" xr:uid="{00000000-0004-0000-0C00-0000B5000000}"/>
    <hyperlink ref="T175" r:id="rId183" display="https://storage.googleapis.com/glide-prod.appspot.com/uploads-v2/ly7o78grxPaC6KdgvbpS/pub/3aRdSog0vUtuqPE8AJKD.png" xr:uid="{00000000-0004-0000-0C00-0000B6000000}"/>
    <hyperlink ref="T176" r:id="rId184" display="https://storage.googleapis.com/glide-prod.appspot.com/uploads-v2/ly7o78grxPaC6KdgvbpS/pub/3aRdSog0vUtuqPE8AJKD.png" xr:uid="{00000000-0004-0000-0C00-0000B7000000}"/>
    <hyperlink ref="T177" r:id="rId185" display="https://storage.googleapis.com/glide-prod.appspot.com/uploads-v2/ly7o78grxPaC6KdgvbpS/pub/3aRdSog0vUtuqPE8AJKD.png" xr:uid="{00000000-0004-0000-0C00-0000B8000000}"/>
    <hyperlink ref="T178" r:id="rId186" display="https://storage.googleapis.com/glide-prod.appspot.com/uploads-v2/ly7o78grxPaC6KdgvbpS/pub/3aRdSog0vUtuqPE8AJKD.png" xr:uid="{00000000-0004-0000-0C00-0000B9000000}"/>
    <hyperlink ref="T179" r:id="rId187" display="https://storage.googleapis.com/glide-prod.appspot.com/uploads-v2/ly7o78grxPaC6KdgvbpS/pub/yvtCGRAPIbS0tVLIlehH.png" xr:uid="{00000000-0004-0000-0C00-0000BA000000}"/>
    <hyperlink ref="T180" r:id="rId188" display="https://storage.googleapis.com/glide-prod.appspot.com/uploads-v2/ly7o78grxPaC6KdgvbpS/pub/3aRdSog0vUtuqPE8AJKD.png" xr:uid="{00000000-0004-0000-0C00-0000BB000000}"/>
    <hyperlink ref="T181" r:id="rId189" display="https://storage.googleapis.com/glide-prod.appspot.com/uploads-v2/ly7o78grxPaC6KdgvbpS/pub/3aRdSog0vUtuqPE8AJKD.png" xr:uid="{00000000-0004-0000-0C00-0000BC000000}"/>
    <hyperlink ref="T182" r:id="rId190" display="https://storage.googleapis.com/glide-prod.appspot.com/uploads-v2/ly7o78grxPaC6KdgvbpS/pub/3aRdSog0vUtuqPE8AJKD.png" xr:uid="{00000000-0004-0000-0C00-0000BD000000}"/>
    <hyperlink ref="T183" r:id="rId191" display="https://storage.googleapis.com/glide-prod.appspot.com/uploads-v2/ly7o78grxPaC6KdgvbpS/pub/3aRdSog0vUtuqPE8AJKD.png" xr:uid="{00000000-0004-0000-0C00-0000BE000000}"/>
    <hyperlink ref="T184" r:id="rId192" display="https://storage.googleapis.com/glide-prod.appspot.com/uploads-v2/ly7o78grxPaC6KdgvbpS/pub/3aRdSog0vUtuqPE8AJKD.png" xr:uid="{00000000-0004-0000-0C00-0000BF000000}"/>
    <hyperlink ref="T185" r:id="rId193" display="https://storage.googleapis.com/glide-prod.appspot.com/uploads-v2/ly7o78grxPaC6KdgvbpS/pub/3aRdSog0vUtuqPE8AJKD.png" xr:uid="{00000000-0004-0000-0C00-0000C0000000}"/>
    <hyperlink ref="T186" r:id="rId194" display="https://storage.googleapis.com/glide-prod.appspot.com/uploads-v2/ly7o78grxPaC6KdgvbpS/pub/3aRdSog0vUtuqPE8AJKD.png" xr:uid="{00000000-0004-0000-0C00-0000C1000000}"/>
    <hyperlink ref="T187" r:id="rId195" display="https://storage.googleapis.com/glide-prod.appspot.com/uploads-v2/ly7o78grxPaC6KdgvbpS/pub/3aRdSog0vUtuqPE8AJKD.png" xr:uid="{00000000-0004-0000-0C00-0000C2000000}"/>
    <hyperlink ref="T188" r:id="rId196" display="https://storage.googleapis.com/glide-prod.appspot.com/uploads-v2/ly7o78grxPaC6KdgvbpS/pub/3aRdSog0vUtuqPE8AJKD.png" xr:uid="{00000000-0004-0000-0C00-0000C3000000}"/>
    <hyperlink ref="T189" r:id="rId197" display="https://storage.googleapis.com/glide-prod.appspot.com/uploads-v2/ly7o78grxPaC6KdgvbpS/pub/3aRdSog0vUtuqPE8AJKD.png" xr:uid="{00000000-0004-0000-0C00-0000C4000000}"/>
    <hyperlink ref="T190" r:id="rId198" display="https://storage.googleapis.com/glide-prod.appspot.com/uploads-v2/ly7o78grxPaC6KdgvbpS/pub/UliJWgpEaBovaFmXi6OW.png" xr:uid="{00000000-0004-0000-0C00-0000C5000000}"/>
    <hyperlink ref="T191" r:id="rId199" display="https://storage.googleapis.com/glide-prod.appspot.com/uploads-v2/ly7o78grxPaC6KdgvbpS/pub/UliJWgpEaBovaFmXi6OW.png" xr:uid="{00000000-0004-0000-0C00-0000C6000000}"/>
    <hyperlink ref="T192" r:id="rId200" display="https://storage.googleapis.com/glide-prod.appspot.com/uploads-v2/ly7o78grxPaC6KdgvbpS/pub/UliJWgpEaBovaFmXi6OW.png" xr:uid="{00000000-0004-0000-0C00-0000C7000000}"/>
    <hyperlink ref="T193" r:id="rId201" display="https://storage.googleapis.com/glide-prod.appspot.com/uploads-v2/ly7o78grxPaC6KdgvbpS/pub/UliJWgpEaBovaFmXi6OW.png" xr:uid="{00000000-0004-0000-0C00-0000C8000000}"/>
    <hyperlink ref="T194" r:id="rId202" display="https://storage.googleapis.com/glide-prod.appspot.com/uploads-v2/ly7o78grxPaC6KdgvbpS/pub/UliJWgpEaBovaFmXi6OW.png" xr:uid="{00000000-0004-0000-0C00-0000C9000000}"/>
    <hyperlink ref="T195" r:id="rId203" display="https://storage.googleapis.com/glide-prod.appspot.com/uploads-v2/ly7o78grxPaC6KdgvbpS/pub/UliJWgpEaBovaFmXi6OW.png" xr:uid="{00000000-0004-0000-0C00-0000CA000000}"/>
    <hyperlink ref="T196" r:id="rId204" display="https://storage.googleapis.com/glide-prod.appspot.com/uploads-v2/ly7o78grxPaC6KdgvbpS/pub/UliJWgpEaBovaFmXi6OW.png" xr:uid="{00000000-0004-0000-0C00-0000CB000000}"/>
    <hyperlink ref="T197" r:id="rId205" display="https://storage.googleapis.com/glide-prod.appspot.com/uploads-v2/ly7o78grxPaC6KdgvbpS/pub/UliJWgpEaBovaFmXi6OW.png" xr:uid="{00000000-0004-0000-0C00-0000CC000000}"/>
    <hyperlink ref="T198" r:id="rId206" display="https://storage.googleapis.com/glide-prod.appspot.com/uploads-v2/ly7o78grxPaC6KdgvbpS/pub/UliJWgpEaBovaFmXi6OW.png" xr:uid="{00000000-0004-0000-0C00-0000CD000000}"/>
    <hyperlink ref="T199" r:id="rId207" display="https://storage.googleapis.com/glide-prod.appspot.com/uploads-v2/ly7o78grxPaC6KdgvbpS/pub/UliJWgpEaBovaFmXi6OW.png" xr:uid="{00000000-0004-0000-0C00-0000CE000000}"/>
    <hyperlink ref="T200" r:id="rId208" display="https://storage.googleapis.com/glide-prod.appspot.com/uploads-v2/ly7o78grxPaC6KdgvbpS/pub/UliJWgpEaBovaFmXi6OW.png" xr:uid="{00000000-0004-0000-0C00-0000CF000000}"/>
    <hyperlink ref="T201" r:id="rId209" display="https://storage.googleapis.com/glide-prod.appspot.com/uploads-v2/ly7o78grxPaC6KdgvbpS/pub/UliJWgpEaBovaFmXi6OW.png" xr:uid="{00000000-0004-0000-0C00-0000D0000000}"/>
    <hyperlink ref="T202" r:id="rId210" display="https://storage.googleapis.com/glide-prod.appspot.com/uploads-v2/ly7o78grxPaC6KdgvbpS/pub/UliJWgpEaBovaFmXi6OW.png" xr:uid="{00000000-0004-0000-0C00-0000D1000000}"/>
    <hyperlink ref="T203" r:id="rId211" display="https://storage.googleapis.com/glide-prod.appspot.com/uploads-v2/ly7o78grxPaC6KdgvbpS/pub/UliJWgpEaBovaFmXi6OW.png" xr:uid="{00000000-0004-0000-0C00-0000D2000000}"/>
    <hyperlink ref="T204" r:id="rId212" display="https://storage.googleapis.com/glide-prod.appspot.com/uploads-v2/ly7o78grxPaC6KdgvbpS/pub/3aRdSog0vUtuqPE8AJKD.png" xr:uid="{00000000-0004-0000-0C00-0000D3000000}"/>
    <hyperlink ref="AA204" r:id="rId213" display="https://storage.googleapis.com/glide-prod.appspot.com/uploads-v2/ly7o78grxPaC6KdgvbpS/pub/09YP5jCLFLYZguHEFFR3.jpg" xr:uid="{00000000-0004-0000-0C00-0000D4000000}"/>
    <hyperlink ref="T205" r:id="rId214" display="https://storage.googleapis.com/glide-prod.appspot.com/uploads-v2/ly7o78grxPaC6KdgvbpS/pub/3aRdSog0vUtuqPE8AJKD.png" xr:uid="{00000000-0004-0000-0C00-0000D5000000}"/>
    <hyperlink ref="T206" r:id="rId215" display="https://storage.googleapis.com/glide-prod.appspot.com/uploads-v2/ly7o78grxPaC6KdgvbpS/pub/3aRdSog0vUtuqPE8AJKD.png" xr:uid="{00000000-0004-0000-0C00-0000D6000000}"/>
    <hyperlink ref="T207" r:id="rId216" display="https://storage.googleapis.com/glide-prod.appspot.com/uploads-v2/ly7o78grxPaC6KdgvbpS/pub/3aRdSog0vUtuqPE8AJKD.png" xr:uid="{00000000-0004-0000-0C00-0000D7000000}"/>
    <hyperlink ref="T208" r:id="rId217" display="https://storage.googleapis.com/glide-prod.appspot.com/uploads-v2/ly7o78grxPaC6KdgvbpS/pub/3aRdSog0vUtuqPE8AJKD.png" xr:uid="{00000000-0004-0000-0C00-0000D8000000}"/>
    <hyperlink ref="T209" r:id="rId218" display="https://storage.googleapis.com/glide-prod.appspot.com/uploads-v2/ly7o78grxPaC6KdgvbpS/pub/3aRdSog0vUtuqPE8AJKD.png" xr:uid="{00000000-0004-0000-0C00-0000D9000000}"/>
    <hyperlink ref="T210" r:id="rId219" display="https://storage.googleapis.com/glide-prod.appspot.com/uploads-v2/ly7o78grxPaC6KdgvbpS/pub/3aRdSog0vUtuqPE8AJKD.png" xr:uid="{00000000-0004-0000-0C00-0000DA000000}"/>
    <hyperlink ref="T211" r:id="rId220" display="https://storage.googleapis.com/glide-prod.appspot.com/uploads-v2/ly7o78grxPaC6KdgvbpS/pub/3aRdSog0vUtuqPE8AJKD.png" xr:uid="{00000000-0004-0000-0C00-0000DB000000}"/>
    <hyperlink ref="T212" r:id="rId221" display="https://storage.googleapis.com/glide-prod.appspot.com/uploads-v2/ly7o78grxPaC6KdgvbpS/pub/3aRdSog0vUtuqPE8AJKD.png" xr:uid="{00000000-0004-0000-0C00-0000DC000000}"/>
    <hyperlink ref="T213" r:id="rId222" display="https://storage.googleapis.com/glide-prod.appspot.com/uploads-v2/ly7o78grxPaC6KdgvbpS/pub/3aRdSog0vUtuqPE8AJKD.png" xr:uid="{00000000-0004-0000-0C00-0000DD000000}"/>
    <hyperlink ref="T214" r:id="rId223" display="https://storage.googleapis.com/glide-prod.appspot.com/uploads-v2/ly7o78grxPaC6KdgvbpS/pub/3aRdSog0vUtuqPE8AJKD.png" xr:uid="{00000000-0004-0000-0C00-0000DE000000}"/>
    <hyperlink ref="T215" r:id="rId224" display="https://storage.googleapis.com/glide-prod.appspot.com/uploads-v2/ly7o78grxPaC6KdgvbpS/pub/3aRdSog0vUtuqPE8AJKD.png" xr:uid="{00000000-0004-0000-0C00-0000DF000000}"/>
    <hyperlink ref="T216" r:id="rId225" display="https://storage.googleapis.com/glide-prod.appspot.com/uploads-v2/ly7o78grxPaC6KdgvbpS/pub/3aRdSog0vUtuqPE8AJKD.png" xr:uid="{00000000-0004-0000-0C00-0000E0000000}"/>
    <hyperlink ref="T217" r:id="rId226" display="https://storage.googleapis.com/glide-prod.appspot.com/uploads-v2/ly7o78grxPaC6KdgvbpS/pub/3aRdSog0vUtuqPE8AJKD.png" xr:uid="{00000000-0004-0000-0C00-0000E1000000}"/>
    <hyperlink ref="T218" r:id="rId227" display="https://storage.googleapis.com/glide-prod.appspot.com/uploads-v2/ly7o78grxPaC6KdgvbpS/pub/3aRdSog0vUtuqPE8AJKD.png" xr:uid="{00000000-0004-0000-0C00-0000E2000000}"/>
    <hyperlink ref="T219" r:id="rId228" display="https://storage.googleapis.com/glide-prod.appspot.com/uploads-v2/ly7o78grxPaC6KdgvbpS/pub/3aRdSog0vUtuqPE8AJKD.png" xr:uid="{00000000-0004-0000-0C00-0000E3000000}"/>
    <hyperlink ref="T220" r:id="rId229" display="https://storage.googleapis.com/glide-prod.appspot.com/uploads-v2/ly7o78grxPaC6KdgvbpS/pub/3aRdSog0vUtuqPE8AJKD.png" xr:uid="{00000000-0004-0000-0C00-0000E4000000}"/>
    <hyperlink ref="T221" r:id="rId230" display="https://storage.googleapis.com/glide-prod.appspot.com/uploads-v2/ly7o78grxPaC6KdgvbpS/pub/3aRdSog0vUtuqPE8AJKD.png" xr:uid="{00000000-0004-0000-0C00-0000E5000000}"/>
    <hyperlink ref="T222" r:id="rId231" display="https://storage.googleapis.com/glide-prod.appspot.com/uploads-v2/ly7o78grxPaC6KdgvbpS/pub/3aRdSog0vUtuqPE8AJKD.png" xr:uid="{00000000-0004-0000-0C00-0000E6000000}"/>
    <hyperlink ref="T223" r:id="rId232" display="https://storage.googleapis.com/glide-prod.appspot.com/uploads-v2/ly7o78grxPaC6KdgvbpS/pub/3aRdSog0vUtuqPE8AJKD.png" xr:uid="{00000000-0004-0000-0C00-0000E7000000}"/>
    <hyperlink ref="T224" r:id="rId233" display="https://storage.googleapis.com/glide-prod.appspot.com/uploads-v2/ly7o78grxPaC6KdgvbpS/pub/3aRdSog0vUtuqPE8AJKD.png" xr:uid="{00000000-0004-0000-0C00-0000E8000000}"/>
    <hyperlink ref="T225" r:id="rId234" display="https://storage.googleapis.com/glide-prod.appspot.com/uploads-v2/ly7o78grxPaC6KdgvbpS/pub/3aRdSog0vUtuqPE8AJKD.png" xr:uid="{00000000-0004-0000-0C00-0000E9000000}"/>
    <hyperlink ref="T226" r:id="rId235" display="https://storage.googleapis.com/glide-prod.appspot.com/uploads-v2/ly7o78grxPaC6KdgvbpS/pub/3aRdSog0vUtuqPE8AJKD.png" xr:uid="{00000000-0004-0000-0C00-0000EA000000}"/>
    <hyperlink ref="T227" r:id="rId236" display="https://storage.googleapis.com/glide-prod.appspot.com/uploads-v2/ly7o78grxPaC6KdgvbpS/pub/3aRdSog0vUtuqPE8AJKD.png" xr:uid="{00000000-0004-0000-0C00-0000EB000000}"/>
    <hyperlink ref="T228" r:id="rId237" display="https://storage.googleapis.com/glide-prod.appspot.com/uploads-v2/ly7o78grxPaC6KdgvbpS/pub/3aRdSog0vUtuqPE8AJKD.png" xr:uid="{00000000-0004-0000-0C00-0000EC000000}"/>
    <hyperlink ref="T229" r:id="rId238" display="https://storage.googleapis.com/glide-prod.appspot.com/uploads-v2/ly7o78grxPaC6KdgvbpS/pub/3aRdSog0vUtuqPE8AJKD.png" xr:uid="{00000000-0004-0000-0C00-0000ED000000}"/>
    <hyperlink ref="T230" r:id="rId239" display="https://storage.googleapis.com/glide-prod.appspot.com/uploads-v2/ly7o78grxPaC6KdgvbpS/pub/3aRdSog0vUtuqPE8AJKD.png" xr:uid="{00000000-0004-0000-0C00-0000EE000000}"/>
    <hyperlink ref="T231" r:id="rId240" display="https://storage.googleapis.com/glide-prod.appspot.com/uploads-v2/ly7o78grxPaC6KdgvbpS/pub/3aRdSog0vUtuqPE8AJKD.png" xr:uid="{00000000-0004-0000-0C00-0000EF000000}"/>
    <hyperlink ref="T232" r:id="rId241" display="https://storage.googleapis.com/glide-prod.appspot.com/uploads-v2/ly7o78grxPaC6KdgvbpS/pub/3aRdSog0vUtuqPE8AJKD.png" xr:uid="{00000000-0004-0000-0C00-0000F0000000}"/>
    <hyperlink ref="T233" r:id="rId242" display="https://storage.googleapis.com/glide-prod.appspot.com/uploads-v2/ly7o78grxPaC6KdgvbpS/pub/3aRdSog0vUtuqPE8AJKD.png" xr:uid="{00000000-0004-0000-0C00-0000F1000000}"/>
    <hyperlink ref="T234" r:id="rId243" display="https://storage.googleapis.com/glide-prod.appspot.com/uploads-v2/ly7o78grxPaC6KdgvbpS/pub/UliJWgpEaBovaFmXi6OW.png" xr:uid="{00000000-0004-0000-0C00-0000F2000000}"/>
    <hyperlink ref="T235" r:id="rId244" display="https://storage.googleapis.com/glide-prod.appspot.com/uploads-v2/ly7o78grxPaC6KdgvbpS/pub/UliJWgpEaBovaFmXi6OW.png" xr:uid="{00000000-0004-0000-0C00-0000F3000000}"/>
    <hyperlink ref="T236" r:id="rId245" display="https://storage.googleapis.com/glide-prod.appspot.com/uploads-v2/ly7o78grxPaC6KdgvbpS/pub/UliJWgpEaBovaFmXi6OW.png" xr:uid="{00000000-0004-0000-0C00-0000F4000000}"/>
    <hyperlink ref="T237" r:id="rId246" display="https://storage.googleapis.com/glide-prod.appspot.com/uploads-v2/ly7o78grxPaC6KdgvbpS/pub/UliJWgpEaBovaFmXi6OW.png" xr:uid="{00000000-0004-0000-0C00-0000F5000000}"/>
    <hyperlink ref="T238" r:id="rId247" display="https://storage.googleapis.com/glide-prod.appspot.com/uploads-v2/ly7o78grxPaC6KdgvbpS/pub/UliJWgpEaBovaFmXi6OW.png" xr:uid="{00000000-0004-0000-0C00-0000F6000000}"/>
    <hyperlink ref="T239" r:id="rId248" display="https://storage.googleapis.com/glide-prod.appspot.com/uploads-v2/ly7o78grxPaC6KdgvbpS/pub/UliJWgpEaBovaFmXi6OW.png" xr:uid="{00000000-0004-0000-0C00-0000F7000000}"/>
    <hyperlink ref="T240" r:id="rId249" display="https://storage.googleapis.com/glide-prod.appspot.com/uploads-v2/ly7o78grxPaC6KdgvbpS/pub/UliJWgpEaBovaFmXi6OW.png" xr:uid="{00000000-0004-0000-0C00-0000F8000000}"/>
    <hyperlink ref="T241" r:id="rId250" display="https://storage.googleapis.com/glide-prod.appspot.com/uploads-v2/ly7o78grxPaC6KdgvbpS/pub/UliJWgpEaBovaFmXi6OW.png" xr:uid="{00000000-0004-0000-0C00-0000F9000000}"/>
    <hyperlink ref="T242" r:id="rId251" display="https://storage.googleapis.com/glide-prod.appspot.com/uploads-v2/ly7o78grxPaC6KdgvbpS/pub/UliJWgpEaBovaFmXi6OW.png" xr:uid="{00000000-0004-0000-0C00-0000FA000000}"/>
    <hyperlink ref="T243" r:id="rId252" display="https://storage.googleapis.com/glide-prod.appspot.com/uploads-v2/ly7o78grxPaC6KdgvbpS/pub/UliJWgpEaBovaFmXi6OW.png" xr:uid="{00000000-0004-0000-0C00-0000FB000000}"/>
    <hyperlink ref="T244" r:id="rId253" display="https://storage.googleapis.com/glide-prod.appspot.com/uploads-v2/ly7o78grxPaC6KdgvbpS/pub/UliJWgpEaBovaFmXi6OW.png" xr:uid="{00000000-0004-0000-0C00-0000FC000000}"/>
    <hyperlink ref="T245" r:id="rId254" display="https://storage.googleapis.com/glide-prod.appspot.com/uploads-v2/ly7o78grxPaC6KdgvbpS/pub/UliJWgpEaBovaFmXi6OW.png" xr:uid="{00000000-0004-0000-0C00-0000FD000000}"/>
    <hyperlink ref="T246" r:id="rId255" display="https://storage.googleapis.com/glide-prod.appspot.com/uploads-v2/ly7o78grxPaC6KdgvbpS/pub/UliJWgpEaBovaFmXi6OW.png" xr:uid="{00000000-0004-0000-0C00-0000FE000000}"/>
    <hyperlink ref="T247" r:id="rId256" display="https://storage.googleapis.com/glide-prod.appspot.com/uploads-v2/ly7o78grxPaC6KdgvbpS/pub/UliJWgpEaBovaFmXi6OW.png" xr:uid="{00000000-0004-0000-0C00-0000FF000000}"/>
    <hyperlink ref="T248" r:id="rId257" display="https://storage.googleapis.com/glide-prod.appspot.com/uploads-v2/ly7o78grxPaC6KdgvbpS/pub/UliJWgpEaBovaFmXi6OW.png" xr:uid="{00000000-0004-0000-0C00-000000010000}"/>
    <hyperlink ref="T249" r:id="rId258" display="https://storage.googleapis.com/glide-prod.appspot.com/uploads-v2/ly7o78grxPaC6KdgvbpS/pub/UliJWgpEaBovaFmXi6OW.png" xr:uid="{00000000-0004-0000-0C00-000001010000}"/>
    <hyperlink ref="T250" r:id="rId259" display="https://storage.googleapis.com/glide-prod.appspot.com/uploads-v2/ly7o78grxPaC6KdgvbpS/pub/3aRdSog0vUtuqPE8AJKD.png" xr:uid="{00000000-0004-0000-0C00-000002010000}"/>
    <hyperlink ref="T251" r:id="rId260" display="https://storage.googleapis.com/glide-prod.appspot.com/uploads-v2/ly7o78grxPaC6KdgvbpS/pub/3aRdSog0vUtuqPE8AJKD.png" xr:uid="{00000000-0004-0000-0C00-000003010000}"/>
    <hyperlink ref="T252" r:id="rId261" display="https://storage.googleapis.com/glide-prod.appspot.com/uploads-v2/ly7o78grxPaC6KdgvbpS/pub/3aRdSog0vUtuqPE8AJKD.png" xr:uid="{00000000-0004-0000-0C00-000004010000}"/>
    <hyperlink ref="T253" r:id="rId262" display="https://storage.googleapis.com/glide-prod.appspot.com/uploads-v2/ly7o78grxPaC6KdgvbpS/pub/3aRdSog0vUtuqPE8AJKD.png" xr:uid="{00000000-0004-0000-0C00-000005010000}"/>
    <hyperlink ref="T254" r:id="rId263" display="https://storage.googleapis.com/glide-prod.appspot.com/uploads-v2/ly7o78grxPaC6KdgvbpS/pub/3aRdSog0vUtuqPE8AJKD.png" xr:uid="{00000000-0004-0000-0C00-000006010000}"/>
    <hyperlink ref="T255" r:id="rId264" display="https://storage.googleapis.com/glide-prod.appspot.com/uploads-v2/ly7o78grxPaC6KdgvbpS/pub/3aRdSog0vUtuqPE8AJKD.png" xr:uid="{00000000-0004-0000-0C00-000007010000}"/>
    <hyperlink ref="T256" r:id="rId265" display="https://storage.googleapis.com/glide-prod.appspot.com/uploads-v2/ly7o78grxPaC6KdgvbpS/pub/3aRdSog0vUtuqPE8AJKD.png" xr:uid="{00000000-0004-0000-0C00-000008010000}"/>
    <hyperlink ref="T257" r:id="rId266" display="https://storage.googleapis.com/glide-prod.appspot.com/uploads-v2/ly7o78grxPaC6KdgvbpS/pub/3aRdSog0vUtuqPE8AJKD.png" xr:uid="{00000000-0004-0000-0C00-000009010000}"/>
    <hyperlink ref="T258" r:id="rId267" display="https://storage.googleapis.com/glide-prod.appspot.com/uploads-v2/ly7o78grxPaC6KdgvbpS/pub/3aRdSog0vUtuqPE8AJKD.png" xr:uid="{00000000-0004-0000-0C00-00000A010000}"/>
    <hyperlink ref="T259" r:id="rId268" display="https://storage.googleapis.com/glide-prod.appspot.com/uploads-v2/ly7o78grxPaC6KdgvbpS/pub/3aRdSog0vUtuqPE8AJKD.png" xr:uid="{00000000-0004-0000-0C00-00000B010000}"/>
    <hyperlink ref="T260" r:id="rId269" display="https://storage.googleapis.com/glide-prod.appspot.com/uploads-v2/ly7o78grxPaC6KdgvbpS/pub/3aRdSog0vUtuqPE8AJKD.png" xr:uid="{00000000-0004-0000-0C00-00000C010000}"/>
    <hyperlink ref="T261" r:id="rId270" display="https://storage.googleapis.com/glide-prod.appspot.com/uploads-v2/ly7o78grxPaC6KdgvbpS/pub/3aRdSog0vUtuqPE8AJKD.png" xr:uid="{00000000-0004-0000-0C00-00000D010000}"/>
    <hyperlink ref="T262" r:id="rId271" display="https://storage.googleapis.com/glide-prod.appspot.com/uploads-v2/ly7o78grxPaC6KdgvbpS/pub/3aRdSog0vUtuqPE8AJKD.png" xr:uid="{00000000-0004-0000-0C00-00000E010000}"/>
    <hyperlink ref="T263" r:id="rId272" display="https://storage.googleapis.com/glide-prod.appspot.com/uploads-v2/ly7o78grxPaC6KdgvbpS/pub/3aRdSog0vUtuqPE8AJKD.png" xr:uid="{00000000-0004-0000-0C00-00000F010000}"/>
    <hyperlink ref="T264" r:id="rId273" display="https://storage.googleapis.com/glide-prod.appspot.com/uploads-v2/ly7o78grxPaC6KdgvbpS/pub/3aRdSog0vUtuqPE8AJKD.png" xr:uid="{00000000-0004-0000-0C00-000010010000}"/>
    <hyperlink ref="T265" r:id="rId274" display="https://storage.googleapis.com/glide-prod.appspot.com/uploads-v2/ly7o78grxPaC6KdgvbpS/pub/3aRdSog0vUtuqPE8AJKD.png" xr:uid="{00000000-0004-0000-0C00-000011010000}"/>
    <hyperlink ref="T266" r:id="rId275" display="https://storage.googleapis.com/glide-prod.appspot.com/uploads-v2/ly7o78grxPaC6KdgvbpS/pub/3aRdSog0vUtuqPE8AJKD.png" xr:uid="{00000000-0004-0000-0C00-000012010000}"/>
    <hyperlink ref="T267" r:id="rId276" display="https://storage.googleapis.com/glide-prod.appspot.com/uploads-v2/ly7o78grxPaC6KdgvbpS/pub/3aRdSog0vUtuqPE8AJKD.png" xr:uid="{00000000-0004-0000-0C00-000013010000}"/>
    <hyperlink ref="T268" r:id="rId277" display="https://storage.googleapis.com/glide-prod.appspot.com/uploads-v2/ly7o78grxPaC6KdgvbpS/pub/3aRdSog0vUtuqPE8AJKD.png" xr:uid="{00000000-0004-0000-0C00-000014010000}"/>
    <hyperlink ref="T269" r:id="rId278" display="https://storage.googleapis.com/glide-prod.appspot.com/uploads-v2/ly7o78grxPaC6KdgvbpS/pub/3aRdSog0vUtuqPE8AJKD.png" xr:uid="{00000000-0004-0000-0C00-000015010000}"/>
    <hyperlink ref="T270" r:id="rId279" display="https://storage.googleapis.com/glide-prod.appspot.com/uploads-v2/ly7o78grxPaC6KdgvbpS/pub/3aRdSog0vUtuqPE8AJKD.png" xr:uid="{00000000-0004-0000-0C00-000016010000}"/>
    <hyperlink ref="T271" r:id="rId280" display="https://storage.googleapis.com/glide-prod.appspot.com/uploads-v2/ly7o78grxPaC6KdgvbpS/pub/3aRdSog0vUtuqPE8AJKD.png" xr:uid="{00000000-0004-0000-0C00-000017010000}"/>
    <hyperlink ref="T272" r:id="rId281" display="https://storage.googleapis.com/glide-prod.appspot.com/uploads-v2/ly7o78grxPaC6KdgvbpS/pub/3aRdSog0vUtuqPE8AJKD.png" xr:uid="{00000000-0004-0000-0C00-000018010000}"/>
    <hyperlink ref="T273" r:id="rId282" display="https://storage.googleapis.com/glide-prod.appspot.com/uploads-v2/ly7o78grxPaC6KdgvbpS/pub/3aRdSog0vUtuqPE8AJKD.png" xr:uid="{00000000-0004-0000-0C00-000019010000}"/>
    <hyperlink ref="T274" r:id="rId283" display="https://storage.googleapis.com/glide-prod.appspot.com/uploads-v2/ly7o78grxPaC6KdgvbpS/pub/3aRdSog0vUtuqPE8AJKD.png" xr:uid="{00000000-0004-0000-0C00-00001A010000}"/>
    <hyperlink ref="T275" r:id="rId284" display="https://storage.googleapis.com/glide-prod.appspot.com/uploads-v2/ly7o78grxPaC6KdgvbpS/pub/3aRdSog0vUtuqPE8AJKD.png" xr:uid="{00000000-0004-0000-0C00-00001B010000}"/>
    <hyperlink ref="T276" r:id="rId285" display="https://storage.googleapis.com/glide-prod.appspot.com/uploads-v2/ly7o78grxPaC6KdgvbpS/pub/3aRdSog0vUtuqPE8AJKD.png" xr:uid="{00000000-0004-0000-0C00-00001C010000}"/>
    <hyperlink ref="T277" r:id="rId286" display="https://storage.googleapis.com/glide-prod.appspot.com/uploads-v2/ly7o78grxPaC6KdgvbpS/pub/3aRdSog0vUtuqPE8AJKD.png" xr:uid="{00000000-0004-0000-0C00-00001D010000}"/>
    <hyperlink ref="T278" r:id="rId287" display="https://storage.googleapis.com/glide-prod.appspot.com/uploads-v2/ly7o78grxPaC6KdgvbpS/pub/3aRdSog0vUtuqPE8AJKD.png" xr:uid="{00000000-0004-0000-0C00-00001E010000}"/>
    <hyperlink ref="T279" r:id="rId288" display="https://storage.googleapis.com/glide-prod.appspot.com/uploads-v2/ly7o78grxPaC6KdgvbpS/pub/3aRdSog0vUtuqPE8AJKD.png" xr:uid="{00000000-0004-0000-0C00-00001F010000}"/>
    <hyperlink ref="T280" r:id="rId289" display="https://storage.googleapis.com/glide-prod.appspot.com/uploads-v2/ly7o78grxPaC6KdgvbpS/pub/UliJWgpEaBovaFmXi6OW.png" xr:uid="{00000000-0004-0000-0C00-000020010000}"/>
    <hyperlink ref="T281" r:id="rId290" display="https://storage.googleapis.com/glide-prod.appspot.com/uploads-v2/ly7o78grxPaC6KdgvbpS/pub/UliJWgpEaBovaFmXi6OW.png" xr:uid="{00000000-0004-0000-0C00-000021010000}"/>
    <hyperlink ref="T282" r:id="rId291" display="https://storage.googleapis.com/glide-prod.appspot.com/uploads-v2/ly7o78grxPaC6KdgvbpS/pub/UliJWgpEaBovaFmXi6OW.png" xr:uid="{00000000-0004-0000-0C00-000022010000}"/>
    <hyperlink ref="T283" r:id="rId292" display="https://storage.googleapis.com/glide-prod.appspot.com/uploads-v2/ly7o78grxPaC6KdgvbpS/pub/UliJWgpEaBovaFmXi6OW.png" xr:uid="{00000000-0004-0000-0C00-000023010000}"/>
    <hyperlink ref="T284" r:id="rId293" display="https://storage.googleapis.com/glide-prod.appspot.com/uploads-v2/ly7o78grxPaC6KdgvbpS/pub/UliJWgpEaBovaFmXi6OW.png" xr:uid="{00000000-0004-0000-0C00-000024010000}"/>
    <hyperlink ref="T285" r:id="rId294" display="https://storage.googleapis.com/glide-prod.appspot.com/uploads-v2/ly7o78grxPaC6KdgvbpS/pub/UliJWgpEaBovaFmXi6OW.png" xr:uid="{00000000-0004-0000-0C00-000025010000}"/>
    <hyperlink ref="T286" r:id="rId295" display="https://storage.googleapis.com/glide-prod.appspot.com/uploads-v2/ly7o78grxPaC6KdgvbpS/pub/UliJWgpEaBovaFmXi6OW.png" xr:uid="{00000000-0004-0000-0C00-000026010000}"/>
    <hyperlink ref="T287" r:id="rId296" display="https://storage.googleapis.com/glide-prod.appspot.com/uploads-v2/ly7o78grxPaC6KdgvbpS/pub/UliJWgpEaBovaFmXi6OW.png" xr:uid="{00000000-0004-0000-0C00-000027010000}"/>
    <hyperlink ref="T288" r:id="rId297" display="https://storage.googleapis.com/glide-prod.appspot.com/uploads-v2/ly7o78grxPaC6KdgvbpS/pub/UliJWgpEaBovaFmXi6OW.png" xr:uid="{00000000-0004-0000-0C00-000028010000}"/>
    <hyperlink ref="T289" r:id="rId298" display="https://storage.googleapis.com/glide-prod.appspot.com/uploads-v2/ly7o78grxPaC6KdgvbpS/pub/UliJWgpEaBovaFmXi6OW.png" xr:uid="{00000000-0004-0000-0C00-000029010000}"/>
    <hyperlink ref="T290" r:id="rId299" display="https://storage.googleapis.com/glide-prod.appspot.com/uploads-v2/ly7o78grxPaC6KdgvbpS/pub/UliJWgpEaBovaFmXi6OW.png" xr:uid="{00000000-0004-0000-0C00-00002A010000}"/>
    <hyperlink ref="T291" r:id="rId300" display="https://storage.googleapis.com/glide-prod.appspot.com/uploads-v2/ly7o78grxPaC6KdgvbpS/pub/UliJWgpEaBovaFmXi6OW.png" xr:uid="{00000000-0004-0000-0C00-00002B010000}"/>
    <hyperlink ref="T292" r:id="rId301" display="https://storage.googleapis.com/glide-prod.appspot.com/uploads-v2/ly7o78grxPaC6KdgvbpS/pub/UliJWgpEaBovaFmXi6OW.png" xr:uid="{00000000-0004-0000-0C00-00002C010000}"/>
    <hyperlink ref="T293" r:id="rId302" display="https://storage.googleapis.com/glide-prod.appspot.com/uploads-v2/ly7o78grxPaC6KdgvbpS/pub/UliJWgpEaBovaFmXi6OW.png" xr:uid="{00000000-0004-0000-0C00-00002D010000}"/>
    <hyperlink ref="T294" r:id="rId303" display="https://storage.googleapis.com/glide-prod.appspot.com/uploads-v2/ly7o78grxPaC6KdgvbpS/pub/3aRdSog0vUtuqPE8AJKD.png" xr:uid="{00000000-0004-0000-0C00-00002E010000}"/>
    <hyperlink ref="T295" r:id="rId304" display="https://storage.googleapis.com/glide-prod.appspot.com/uploads-v2/ly7o78grxPaC6KdgvbpS/pub/3aRdSog0vUtuqPE8AJKD.png" xr:uid="{00000000-0004-0000-0C00-00002F010000}"/>
    <hyperlink ref="AA295" r:id="rId305" display="https://storage.googleapis.com/glide-prod.appspot.com/uploads-v2/ly7o78grxPaC6KdgvbpS/pub/UZ2rPBV5farhJR9WO4YI.jpg" xr:uid="{00000000-0004-0000-0C00-000030010000}"/>
    <hyperlink ref="T296" r:id="rId306" display="https://storage.googleapis.com/glide-prod.appspot.com/uploads-v2/ly7o78grxPaC6KdgvbpS/pub/3aRdSog0vUtuqPE8AJKD.png" xr:uid="{00000000-0004-0000-0C00-000031010000}"/>
    <hyperlink ref="T297" r:id="rId307" display="https://storage.googleapis.com/glide-prod.appspot.com/uploads-v2/ly7o78grxPaC6KdgvbpS/pub/3aRdSog0vUtuqPE8AJKD.png" xr:uid="{00000000-0004-0000-0C00-000032010000}"/>
    <hyperlink ref="T298" r:id="rId308" display="https://storage.googleapis.com/glide-prod.appspot.com/uploads-v2/ly7o78grxPaC6KdgvbpS/pub/3aRdSog0vUtuqPE8AJKD.png" xr:uid="{00000000-0004-0000-0C00-000033010000}"/>
    <hyperlink ref="T299" r:id="rId309" display="https://storage.googleapis.com/glide-prod.appspot.com/uploads-v2/ly7o78grxPaC6KdgvbpS/pub/3aRdSog0vUtuqPE8AJKD.png" xr:uid="{00000000-0004-0000-0C00-000034010000}"/>
    <hyperlink ref="T300" r:id="rId310" display="https://storage.googleapis.com/glide-prod.appspot.com/uploads-v2/ly7o78grxPaC6KdgvbpS/pub/3aRdSog0vUtuqPE8AJKD.png" xr:uid="{00000000-0004-0000-0C00-000035010000}"/>
    <hyperlink ref="T301" r:id="rId311" display="https://storage.googleapis.com/glide-prod.appspot.com/uploads-v2/ly7o78grxPaC6KdgvbpS/pub/3aRdSog0vUtuqPE8AJKD.png" xr:uid="{00000000-0004-0000-0C00-000036010000}"/>
    <hyperlink ref="T302" r:id="rId312" display="https://storage.googleapis.com/glide-prod.appspot.com/uploads-v2/ly7o78grxPaC6KdgvbpS/pub/3aRdSog0vUtuqPE8AJKD.png" xr:uid="{00000000-0004-0000-0C00-000037010000}"/>
    <hyperlink ref="T303" r:id="rId313" display="https://storage.googleapis.com/glide-prod.appspot.com/uploads-v2/ly7o78grxPaC6KdgvbpS/pub/3aRdSog0vUtuqPE8AJKD.png" xr:uid="{00000000-0004-0000-0C00-000038010000}"/>
    <hyperlink ref="T304" r:id="rId314" display="https://storage.googleapis.com/glide-prod.appspot.com/uploads-v2/ly7o78grxPaC6KdgvbpS/pub/3aRdSog0vUtuqPE8AJKD.png" xr:uid="{00000000-0004-0000-0C00-000039010000}"/>
    <hyperlink ref="T305" r:id="rId315" display="https://storage.googleapis.com/glide-prod.appspot.com/uploads-v2/ly7o78grxPaC6KdgvbpS/pub/3aRdSog0vUtuqPE8AJKD.png" xr:uid="{00000000-0004-0000-0C00-00003A010000}"/>
    <hyperlink ref="T306" r:id="rId316" display="https://storage.googleapis.com/glide-prod.appspot.com/uploads-v2/ly7o78grxPaC6KdgvbpS/pub/3aRdSog0vUtuqPE8AJKD.png" xr:uid="{00000000-0004-0000-0C00-00003B010000}"/>
    <hyperlink ref="T307" r:id="rId317" display="https://storage.googleapis.com/glide-prod.appspot.com/uploads-v2/ly7o78grxPaC6KdgvbpS/pub/3aRdSog0vUtuqPE8AJKD.png" xr:uid="{00000000-0004-0000-0C00-00003C010000}"/>
    <hyperlink ref="T308" r:id="rId318" display="https://storage.googleapis.com/glide-prod.appspot.com/uploads-v2/ly7o78grxPaC6KdgvbpS/pub/3aRdSog0vUtuqPE8AJKD.png" xr:uid="{00000000-0004-0000-0C00-00003D010000}"/>
    <hyperlink ref="T309" r:id="rId319" display="https://storage.googleapis.com/glide-prod.appspot.com/uploads-v2/ly7o78grxPaC6KdgvbpS/pub/3aRdSog0vUtuqPE8AJKD.png" xr:uid="{00000000-0004-0000-0C00-00003E010000}"/>
    <hyperlink ref="T310" r:id="rId320" display="https://storage.googleapis.com/glide-prod.appspot.com/uploads-v2/ly7o78grxPaC6KdgvbpS/pub/3aRdSog0vUtuqPE8AJKD.png" xr:uid="{00000000-0004-0000-0C00-00003F010000}"/>
    <hyperlink ref="T311" r:id="rId321" display="https://storage.googleapis.com/glide-prod.appspot.com/uploads-v2/ly7o78grxPaC6KdgvbpS/pub/3aRdSog0vUtuqPE8AJKD.png" xr:uid="{00000000-0004-0000-0C00-000040010000}"/>
    <hyperlink ref="T312" r:id="rId322" display="https://storage.googleapis.com/glide-prod.appspot.com/uploads-v2/ly7o78grxPaC6KdgvbpS/pub/3aRdSog0vUtuqPE8AJKD.png" xr:uid="{00000000-0004-0000-0C00-000041010000}"/>
    <hyperlink ref="T313" r:id="rId323" display="https://storage.googleapis.com/glide-prod.appspot.com/uploads-v2/ly7o78grxPaC6KdgvbpS/pub/3aRdSog0vUtuqPE8AJKD.png" xr:uid="{00000000-0004-0000-0C00-000042010000}"/>
    <hyperlink ref="T314" r:id="rId324" display="https://storage.googleapis.com/glide-prod.appspot.com/uploads-v2/ly7o78grxPaC6KdgvbpS/pub/3aRdSog0vUtuqPE8AJKD.png" xr:uid="{00000000-0004-0000-0C00-000043010000}"/>
    <hyperlink ref="T315" r:id="rId325" display="https://storage.googleapis.com/glide-prod.appspot.com/uploads-v2/ly7o78grxPaC6KdgvbpS/pub/3aRdSog0vUtuqPE8AJKD.png" xr:uid="{00000000-0004-0000-0C00-000044010000}"/>
    <hyperlink ref="T316" r:id="rId326" display="https://storage.googleapis.com/glide-prod.appspot.com/uploads-v2/ly7o78grxPaC6KdgvbpS/pub/3aRdSog0vUtuqPE8AJKD.png" xr:uid="{00000000-0004-0000-0C00-000045010000}"/>
    <hyperlink ref="T317" r:id="rId327" display="https://storage.googleapis.com/glide-prod.appspot.com/uploads-v2/ly7o78grxPaC6KdgvbpS/pub/3aRdSog0vUtuqPE8AJKD.png" xr:uid="{00000000-0004-0000-0C00-000046010000}"/>
    <hyperlink ref="T318" r:id="rId328" display="https://storage.googleapis.com/glide-prod.appspot.com/uploads-v2/ly7o78grxPaC6KdgvbpS/pub/3aRdSog0vUtuqPE8AJKD.png" xr:uid="{00000000-0004-0000-0C00-000047010000}"/>
    <hyperlink ref="T319" r:id="rId329" display="https://storage.googleapis.com/glide-prod.appspot.com/uploads-v2/ly7o78grxPaC6KdgvbpS/pub/3aRdSog0vUtuqPE8AJKD.png" xr:uid="{00000000-0004-0000-0C00-000048010000}"/>
    <hyperlink ref="T320" r:id="rId330" display="https://storage.googleapis.com/glide-prod.appspot.com/uploads-v2/ly7o78grxPaC6KdgvbpS/pub/3aRdSog0vUtuqPE8AJKD.png" xr:uid="{00000000-0004-0000-0C00-000049010000}"/>
    <hyperlink ref="T321" r:id="rId331" display="https://storage.googleapis.com/glide-prod.appspot.com/uploads-v2/ly7o78grxPaC6KdgvbpS/pub/3aRdSog0vUtuqPE8AJKD.png" xr:uid="{00000000-0004-0000-0C00-00004A010000}"/>
    <hyperlink ref="T322" r:id="rId332" display="https://storage.googleapis.com/glide-prod.appspot.com/uploads-v2/ly7o78grxPaC6KdgvbpS/pub/3aRdSog0vUtuqPE8AJKD.png" xr:uid="{00000000-0004-0000-0C00-00004B010000}"/>
    <hyperlink ref="T323" r:id="rId333" display="https://storage.googleapis.com/glide-prod.appspot.com/uploads-v2/ly7o78grxPaC6KdgvbpS/pub/3aRdSog0vUtuqPE8AJKD.png" xr:uid="{00000000-0004-0000-0C00-00004C010000}"/>
    <hyperlink ref="T324" r:id="rId334" display="https://storage.googleapis.com/glide-prod.appspot.com/uploads-v2/ly7o78grxPaC6KdgvbpS/pub/3aRdSog0vUtuqPE8AJKD.png" xr:uid="{00000000-0004-0000-0C00-00004D010000}"/>
    <hyperlink ref="T325" r:id="rId335" display="https://storage.googleapis.com/glide-prod.appspot.com/uploads-v2/ly7o78grxPaC6KdgvbpS/pub/3aRdSog0vUtuqPE8AJKD.png" xr:uid="{00000000-0004-0000-0C00-00004E010000}"/>
    <hyperlink ref="T326" r:id="rId336" display="https://storage.googleapis.com/glide-prod.appspot.com/uploads-v2/ly7o78grxPaC6KdgvbpS/pub/3aRdSog0vUtuqPE8AJKD.png" xr:uid="{00000000-0004-0000-0C00-00004F010000}"/>
    <hyperlink ref="T327" r:id="rId337" display="https://storage.googleapis.com/glide-prod.appspot.com/uploads-v2/ly7o78grxPaC6KdgvbpS/pub/3aRdSog0vUtuqPE8AJKD.png" xr:uid="{00000000-0004-0000-0C00-000050010000}"/>
    <hyperlink ref="T328" r:id="rId338" display="https://storage.googleapis.com/glide-prod.appspot.com/uploads-v2/ly7o78grxPaC6KdgvbpS/pub/3aRdSog0vUtuqPE8AJKD.png" xr:uid="{00000000-0004-0000-0C00-000051010000}"/>
    <hyperlink ref="T329" r:id="rId339" display="https://storage.googleapis.com/glide-prod.appspot.com/uploads-v2/ly7o78grxPaC6KdgvbpS/pub/3aRdSog0vUtuqPE8AJKD.png" xr:uid="{00000000-0004-0000-0C00-000052010000}"/>
    <hyperlink ref="T330" r:id="rId340" display="https://storage.googleapis.com/glide-prod.appspot.com/uploads-v2/ly7o78grxPaC6KdgvbpS/pub/3aRdSog0vUtuqPE8AJKD.png" xr:uid="{00000000-0004-0000-0C00-000053010000}"/>
    <hyperlink ref="T331" r:id="rId341" display="https://storage.googleapis.com/glide-prod.appspot.com/uploads-v2/ly7o78grxPaC6KdgvbpS/pub/3aRdSog0vUtuqPE8AJKD.png" xr:uid="{00000000-0004-0000-0C00-000054010000}"/>
    <hyperlink ref="T332" r:id="rId342" display="https://storage.googleapis.com/glide-prod.appspot.com/uploads-v2/ly7o78grxPaC6KdgvbpS/pub/3aRdSog0vUtuqPE8AJKD.png" xr:uid="{00000000-0004-0000-0C00-000055010000}"/>
    <hyperlink ref="T333" r:id="rId343" display="https://storage.googleapis.com/glide-prod.appspot.com/uploads-v2/ly7o78grxPaC6KdgvbpS/pub/3aRdSog0vUtuqPE8AJKD.png" xr:uid="{00000000-0004-0000-0C00-000056010000}"/>
    <hyperlink ref="T334" r:id="rId344" display="https://storage.googleapis.com/glide-prod.appspot.com/uploads-v2/ly7o78grxPaC6KdgvbpS/pub/3aRdSog0vUtuqPE8AJKD.png" xr:uid="{00000000-0004-0000-0C00-000057010000}"/>
    <hyperlink ref="T335" r:id="rId345" display="https://storage.googleapis.com/glide-prod.appspot.com/uploads-v2/ly7o78grxPaC6KdgvbpS/pub/3aRdSog0vUtuqPE8AJKD.png" xr:uid="{00000000-0004-0000-0C00-000058010000}"/>
    <hyperlink ref="T336" r:id="rId346" display="https://storage.googleapis.com/glide-prod.appspot.com/uploads-v2/ly7o78grxPaC6KdgvbpS/pub/3aRdSog0vUtuqPE8AJKD.png" xr:uid="{00000000-0004-0000-0C00-000059010000}"/>
    <hyperlink ref="T337" r:id="rId347" display="https://storage.googleapis.com/glide-prod.appspot.com/uploads-v2/ly7o78grxPaC6KdgvbpS/pub/3aRdSog0vUtuqPE8AJKD.png" xr:uid="{00000000-0004-0000-0C00-00005A010000}"/>
    <hyperlink ref="T338" r:id="rId348" display="https://storage.googleapis.com/glide-prod.appspot.com/uploads-v2/ly7o78grxPaC6KdgvbpS/pub/3aRdSog0vUtuqPE8AJKD.png" xr:uid="{00000000-0004-0000-0C00-00005B010000}"/>
    <hyperlink ref="T339" r:id="rId349" display="https://storage.googleapis.com/glide-prod.appspot.com/uploads-v2/ly7o78grxPaC6KdgvbpS/pub/3aRdSog0vUtuqPE8AJKD.png" xr:uid="{00000000-0004-0000-0C00-00005C010000}"/>
    <hyperlink ref="T340" r:id="rId350" display="https://storage.googleapis.com/glide-prod.appspot.com/uploads-v2/ly7o78grxPaC6KdgvbpS/pub/3aRdSog0vUtuqPE8AJKD.png" xr:uid="{00000000-0004-0000-0C00-00005D010000}"/>
    <hyperlink ref="T341" r:id="rId351" display="https://storage.googleapis.com/glide-prod.appspot.com/uploads-v2/ly7o78grxPaC6KdgvbpS/pub/3aRdSog0vUtuqPE8AJKD.png" xr:uid="{00000000-0004-0000-0C00-00005E010000}"/>
    <hyperlink ref="T342" r:id="rId352" display="https://storage.googleapis.com/glide-prod.appspot.com/uploads-v2/ly7o78grxPaC6KdgvbpS/pub/UliJWgpEaBovaFmXi6OW.png" xr:uid="{00000000-0004-0000-0C00-00005F010000}"/>
    <hyperlink ref="T343" r:id="rId353" display="https://storage.googleapis.com/glide-prod.appspot.com/uploads-v2/ly7o78grxPaC6KdgvbpS/pub/UliJWgpEaBovaFmXi6OW.png" xr:uid="{00000000-0004-0000-0C00-000060010000}"/>
    <hyperlink ref="T344" r:id="rId354" display="https://storage.googleapis.com/glide-prod.appspot.com/uploads-v2/ly7o78grxPaC6KdgvbpS/pub/UliJWgpEaBovaFmXi6OW.png" xr:uid="{00000000-0004-0000-0C00-000061010000}"/>
    <hyperlink ref="T345" r:id="rId355" display="https://storage.googleapis.com/glide-prod.appspot.com/uploads-v2/ly7o78grxPaC6KdgvbpS/pub/UliJWgpEaBovaFmXi6OW.png" xr:uid="{00000000-0004-0000-0C00-000062010000}"/>
    <hyperlink ref="T346" r:id="rId356" display="https://storage.googleapis.com/glide-prod.appspot.com/uploads-v2/ly7o78grxPaC6KdgvbpS/pub/UliJWgpEaBovaFmXi6OW.png" xr:uid="{00000000-0004-0000-0C00-000063010000}"/>
    <hyperlink ref="T347" r:id="rId357" display="https://storage.googleapis.com/glide-prod.appspot.com/uploads-v2/ly7o78grxPaC6KdgvbpS/pub/UliJWgpEaBovaFmXi6OW.png" xr:uid="{00000000-0004-0000-0C00-000064010000}"/>
    <hyperlink ref="T348" r:id="rId358" display="https://storage.googleapis.com/glide-prod.appspot.com/uploads-v2/ly7o78grxPaC6KdgvbpS/pub/UliJWgpEaBovaFmXi6OW.png" xr:uid="{00000000-0004-0000-0C00-000065010000}"/>
    <hyperlink ref="T349" r:id="rId359" display="https://storage.googleapis.com/glide-prod.appspot.com/uploads-v2/ly7o78grxPaC6KdgvbpS/pub/UliJWgpEaBovaFmXi6OW.png" xr:uid="{00000000-0004-0000-0C00-000066010000}"/>
    <hyperlink ref="T350" r:id="rId360" display="https://storage.googleapis.com/glide-prod.appspot.com/uploads-v2/ly7o78grxPaC6KdgvbpS/pub/UliJWgpEaBovaFmXi6OW.png" xr:uid="{00000000-0004-0000-0C00-000067010000}"/>
    <hyperlink ref="T351" r:id="rId361" display="https://storage.googleapis.com/glide-prod.appspot.com/uploads-v2/ly7o78grxPaC6KdgvbpS/pub/UliJWgpEaBovaFmXi6OW.png" xr:uid="{00000000-0004-0000-0C00-000068010000}"/>
    <hyperlink ref="T352" r:id="rId362" display="https://storage.googleapis.com/glide-prod.appspot.com/uploads-v2/ly7o78grxPaC6KdgvbpS/pub/UliJWgpEaBovaFmXi6OW.png" xr:uid="{00000000-0004-0000-0C00-000069010000}"/>
    <hyperlink ref="T353" r:id="rId363" display="https://storage.googleapis.com/glide-prod.appspot.com/uploads-v2/ly7o78grxPaC6KdgvbpS/pub/UliJWgpEaBovaFmXi6OW.png" xr:uid="{00000000-0004-0000-0C00-00006A010000}"/>
    <hyperlink ref="T354" r:id="rId364" display="https://storage.googleapis.com/glide-prod.appspot.com/uploads-v2/ly7o78grxPaC6KdgvbpS/pub/UliJWgpEaBovaFmXi6OW.png" xr:uid="{00000000-0004-0000-0C00-00006B010000}"/>
    <hyperlink ref="T355" r:id="rId365" display="https://storage.googleapis.com/glide-prod.appspot.com/uploads-v2/ly7o78grxPaC6KdgvbpS/pub/UliJWgpEaBovaFmXi6OW.png" xr:uid="{00000000-0004-0000-0C00-00006C010000}"/>
    <hyperlink ref="T356" r:id="rId366" display="https://storage.googleapis.com/glide-prod.appspot.com/uploads-v2/ly7o78grxPaC6KdgvbpS/pub/UliJWgpEaBovaFmXi6OW.png" xr:uid="{00000000-0004-0000-0C00-00006D010000}"/>
    <hyperlink ref="T357" r:id="rId367" display="https://storage.googleapis.com/glide-prod.appspot.com/uploads-v2/ly7o78grxPaC6KdgvbpS/pub/UliJWgpEaBovaFmXi6OW.png" xr:uid="{00000000-0004-0000-0C00-00006E010000}"/>
    <hyperlink ref="T358" r:id="rId368" display="https://storage.googleapis.com/glide-prod.appspot.com/uploads-v2/ly7o78grxPaC6KdgvbpS/pub/UliJWgpEaBovaFmXi6OW.png" xr:uid="{00000000-0004-0000-0C00-00006F010000}"/>
    <hyperlink ref="T359" r:id="rId369" display="https://storage.googleapis.com/glide-prod.appspot.com/uploads-v2/ly7o78grxPaC6KdgvbpS/pub/UliJWgpEaBovaFmXi6OW.png" xr:uid="{00000000-0004-0000-0C00-000070010000}"/>
    <hyperlink ref="T360" r:id="rId370" display="https://storage.googleapis.com/glide-prod.appspot.com/uploads-v2/ly7o78grxPaC6KdgvbpS/pub/3aRdSog0vUtuqPE8AJKD.png" xr:uid="{00000000-0004-0000-0C00-000071010000}"/>
    <hyperlink ref="T361" r:id="rId371" display="https://storage.googleapis.com/glide-prod.appspot.com/uploads-v2/ly7o78grxPaC6KdgvbpS/pub/3aRdSog0vUtuqPE8AJKD.png" xr:uid="{00000000-0004-0000-0C00-000072010000}"/>
    <hyperlink ref="T362" r:id="rId372" display="https://storage.googleapis.com/glide-prod.appspot.com/uploads-v2/ly7o78grxPaC6KdgvbpS/pub/3aRdSog0vUtuqPE8AJKD.png" xr:uid="{00000000-0004-0000-0C00-000073010000}"/>
    <hyperlink ref="T363" r:id="rId373" display="https://storage.googleapis.com/glide-prod.appspot.com/uploads-v2/ly7o78grxPaC6KdgvbpS/pub/3aRdSog0vUtuqPE8AJKD.png" xr:uid="{00000000-0004-0000-0C00-000074010000}"/>
    <hyperlink ref="T364" r:id="rId374" display="https://storage.googleapis.com/glide-prod.appspot.com/uploads-v2/ly7o78grxPaC6KdgvbpS/pub/3aRdSog0vUtuqPE8AJKD.png" xr:uid="{00000000-0004-0000-0C00-000075010000}"/>
    <hyperlink ref="T365" r:id="rId375" display="https://storage.googleapis.com/glide-prod.appspot.com/uploads-v2/ly7o78grxPaC6KdgvbpS/pub/3aRdSog0vUtuqPE8AJKD.png" xr:uid="{00000000-0004-0000-0C00-000076010000}"/>
    <hyperlink ref="T366" r:id="rId376" display="https://storage.googleapis.com/glide-prod.appspot.com/uploads-v2/ly7o78grxPaC6KdgvbpS/pub/3aRdSog0vUtuqPE8AJKD.png" xr:uid="{00000000-0004-0000-0C00-000077010000}"/>
    <hyperlink ref="T367" r:id="rId377" display="https://storage.googleapis.com/glide-prod.appspot.com/uploads-v2/ly7o78grxPaC6KdgvbpS/pub/3aRdSog0vUtuqPE8AJKD.png" xr:uid="{00000000-0004-0000-0C00-000078010000}"/>
    <hyperlink ref="T368" r:id="rId378" display="https://storage.googleapis.com/glide-prod.appspot.com/uploads-v2/ly7o78grxPaC6KdgvbpS/pub/3aRdSog0vUtuqPE8AJKD.png" xr:uid="{00000000-0004-0000-0C00-000079010000}"/>
    <hyperlink ref="T369" r:id="rId379" display="https://storage.googleapis.com/glide-prod.appspot.com/uploads-v2/ly7o78grxPaC6KdgvbpS/pub/3aRdSog0vUtuqPE8AJKD.png" xr:uid="{00000000-0004-0000-0C00-00007A010000}"/>
    <hyperlink ref="T370" r:id="rId380" display="https://storage.googleapis.com/glide-prod.appspot.com/uploads-v2/ly7o78grxPaC6KdgvbpS/pub/3aRdSog0vUtuqPE8AJKD.png" xr:uid="{00000000-0004-0000-0C00-00007B010000}"/>
    <hyperlink ref="T371" r:id="rId381" display="https://storage.googleapis.com/glide-prod.appspot.com/uploads-v2/ly7o78grxPaC6KdgvbpS/pub/3aRdSog0vUtuqPE8AJKD.png" xr:uid="{00000000-0004-0000-0C00-00007C010000}"/>
    <hyperlink ref="T372" r:id="rId382" display="https://storage.googleapis.com/glide-prod.appspot.com/uploads-v2/ly7o78grxPaC6KdgvbpS/pub/3aRdSog0vUtuqPE8AJKD.png" xr:uid="{00000000-0004-0000-0C00-00007D010000}"/>
    <hyperlink ref="T373" r:id="rId383" display="https://storage.googleapis.com/glide-prod.appspot.com/uploads-v2/ly7o78grxPaC6KdgvbpS/pub/3aRdSog0vUtuqPE8AJKD.png" xr:uid="{00000000-0004-0000-0C00-00007E010000}"/>
    <hyperlink ref="T374" r:id="rId384" display="https://storage.googleapis.com/glide-prod.appspot.com/uploads-v2/ly7o78grxPaC6KdgvbpS/pub/3aRdSog0vUtuqPE8AJKD.png" xr:uid="{00000000-0004-0000-0C00-00007F010000}"/>
    <hyperlink ref="T375" r:id="rId385" display="https://storage.googleapis.com/glide-prod.appspot.com/uploads-v2/ly7o78grxPaC6KdgvbpS/pub/3aRdSog0vUtuqPE8AJKD.png" xr:uid="{00000000-0004-0000-0C00-000080010000}"/>
    <hyperlink ref="T376" r:id="rId386" display="https://storage.googleapis.com/glide-prod.appspot.com/uploads-v2/ly7o78grxPaC6KdgvbpS/pub/3aRdSog0vUtuqPE8AJKD.png" xr:uid="{00000000-0004-0000-0C00-000081010000}"/>
    <hyperlink ref="T377" r:id="rId387" display="https://storage.googleapis.com/glide-prod.appspot.com/uploads-v2/ly7o78grxPaC6KdgvbpS/pub/3aRdSog0vUtuqPE8AJKD.png" xr:uid="{00000000-0004-0000-0C00-000082010000}"/>
    <hyperlink ref="T378" r:id="rId388" display="https://storage.googleapis.com/glide-prod.appspot.com/uploads-v2/ly7o78grxPaC6KdgvbpS/pub/3aRdSog0vUtuqPE8AJKD.png" xr:uid="{00000000-0004-0000-0C00-000083010000}"/>
    <hyperlink ref="T379" r:id="rId389" display="https://storage.googleapis.com/glide-prod.appspot.com/uploads-v2/ly7o78grxPaC6KdgvbpS/pub/3aRdSog0vUtuqPE8AJKD.png" xr:uid="{00000000-0004-0000-0C00-000084010000}"/>
    <hyperlink ref="T380" r:id="rId390" display="https://storage.googleapis.com/glide-prod.appspot.com/uploads-v2/ly7o78grxPaC6KdgvbpS/pub/3aRdSog0vUtuqPE8AJKD.png" xr:uid="{00000000-0004-0000-0C00-000085010000}"/>
    <hyperlink ref="T381" r:id="rId391" display="https://storage.googleapis.com/glide-prod.appspot.com/uploads-v2/ly7o78grxPaC6KdgvbpS/pub/3aRdSog0vUtuqPE8AJKD.png" xr:uid="{00000000-0004-0000-0C00-000086010000}"/>
    <hyperlink ref="T382" r:id="rId392" display="https://storage.googleapis.com/glide-prod.appspot.com/uploads-v2/ly7o78grxPaC6KdgvbpS/pub/3aRdSog0vUtuqPE8AJKD.png" xr:uid="{00000000-0004-0000-0C00-000087010000}"/>
    <hyperlink ref="T383" r:id="rId393" display="https://storage.googleapis.com/glide-prod.appspot.com/uploads-v2/ly7o78grxPaC6KdgvbpS/pub/3aRdSog0vUtuqPE8AJKD.png" xr:uid="{00000000-0004-0000-0C00-000088010000}"/>
    <hyperlink ref="T384" r:id="rId394" display="https://storage.googleapis.com/glide-prod.appspot.com/uploads-v2/ly7o78grxPaC6KdgvbpS/pub/3aRdSog0vUtuqPE8AJKD.png" xr:uid="{00000000-0004-0000-0C00-000089010000}"/>
    <hyperlink ref="T385" r:id="rId395" display="https://storage.googleapis.com/glide-prod.appspot.com/uploads-v2/ly7o78grxPaC6KdgvbpS/pub/3aRdSog0vUtuqPE8AJKD.png" xr:uid="{00000000-0004-0000-0C00-00008A010000}"/>
    <hyperlink ref="T386" r:id="rId396" display="https://storage.googleapis.com/glide-prod.appspot.com/uploads-v2/ly7o78grxPaC6KdgvbpS/pub/3aRdSog0vUtuqPE8AJKD.png" xr:uid="{00000000-0004-0000-0C00-00008B010000}"/>
    <hyperlink ref="T387" r:id="rId397" display="https://storage.googleapis.com/glide-prod.appspot.com/uploads-v2/ly7o78grxPaC6KdgvbpS/pub/3aRdSog0vUtuqPE8AJKD.png" xr:uid="{00000000-0004-0000-0C00-00008C010000}"/>
    <hyperlink ref="T388" r:id="rId398" display="https://storage.googleapis.com/glide-prod.appspot.com/uploads-v2/ly7o78grxPaC6KdgvbpS/pub/3aRdSog0vUtuqPE8AJKD.png" xr:uid="{00000000-0004-0000-0C00-00008D010000}"/>
    <hyperlink ref="T389" r:id="rId399" display="https://storage.googleapis.com/glide-prod.appspot.com/uploads-v2/ly7o78grxPaC6KdgvbpS/pub/3aRdSog0vUtuqPE8AJKD.png" xr:uid="{00000000-0004-0000-0C00-00008E010000}"/>
    <hyperlink ref="T390" r:id="rId400" display="https://storage.googleapis.com/glide-prod.appspot.com/uploads-v2/ly7o78grxPaC6KdgvbpS/pub/3aRdSog0vUtuqPE8AJKD.png" xr:uid="{00000000-0004-0000-0C00-00008F010000}"/>
    <hyperlink ref="T391" r:id="rId401" display="https://storage.googleapis.com/glide-prod.appspot.com/uploads-v2/ly7o78grxPaC6KdgvbpS/pub/3aRdSog0vUtuqPE8AJKD.png" xr:uid="{00000000-0004-0000-0C00-000090010000}"/>
    <hyperlink ref="T392" r:id="rId402" display="https://storage.googleapis.com/glide-prod.appspot.com/uploads-v2/ly7o78grxPaC6KdgvbpS/pub/3aRdSog0vUtuqPE8AJKD.png" xr:uid="{00000000-0004-0000-0C00-000091010000}"/>
    <hyperlink ref="T393" r:id="rId403" display="https://storage.googleapis.com/glide-prod.appspot.com/uploads-v2/ly7o78grxPaC6KdgvbpS/pub/3aRdSog0vUtuqPE8AJKD.png" xr:uid="{00000000-0004-0000-0C00-000092010000}"/>
    <hyperlink ref="T394" r:id="rId404" display="https://storage.googleapis.com/glide-prod.appspot.com/uploads-v2/ly7o78grxPaC6KdgvbpS/pub/3aRdSog0vUtuqPE8AJKD.png" xr:uid="{00000000-0004-0000-0C00-000093010000}"/>
    <hyperlink ref="T395" r:id="rId405" display="https://storage.googleapis.com/glide-prod.appspot.com/uploads-v2/ly7o78grxPaC6KdgvbpS/pub/3aRdSog0vUtuqPE8AJKD.png" xr:uid="{00000000-0004-0000-0C00-000094010000}"/>
    <hyperlink ref="T396" r:id="rId406" display="https://storage.googleapis.com/glide-prod.appspot.com/uploads-v2/ly7o78grxPaC6KdgvbpS/pub/3aRdSog0vUtuqPE8AJKD.png" xr:uid="{00000000-0004-0000-0C00-000095010000}"/>
    <hyperlink ref="T397" r:id="rId407" display="https://storage.googleapis.com/glide-prod.appspot.com/uploads-v2/ly7o78grxPaC6KdgvbpS/pub/3aRdSog0vUtuqPE8AJKD.png" xr:uid="{00000000-0004-0000-0C00-000096010000}"/>
    <hyperlink ref="T398" r:id="rId408" display="https://storage.googleapis.com/glide-prod.appspot.com/uploads-v2/ly7o78grxPaC6KdgvbpS/pub/3aRdSog0vUtuqPE8AJKD.png" xr:uid="{00000000-0004-0000-0C00-000097010000}"/>
    <hyperlink ref="T399" r:id="rId409" display="https://storage.googleapis.com/glide-prod.appspot.com/uploads-v2/ly7o78grxPaC6KdgvbpS/pub/3aRdSog0vUtuqPE8AJKD.png" xr:uid="{00000000-0004-0000-0C00-000098010000}"/>
    <hyperlink ref="T400" r:id="rId410" display="https://storage.googleapis.com/glide-prod.appspot.com/uploads-v2/ly7o78grxPaC6KdgvbpS/pub/3aRdSog0vUtuqPE8AJKD.png" xr:uid="{00000000-0004-0000-0C00-000099010000}"/>
    <hyperlink ref="T401" r:id="rId411" display="https://storage.googleapis.com/glide-prod.appspot.com/uploads-v2/ly7o78grxPaC6KdgvbpS/pub/3aRdSog0vUtuqPE8AJKD.png" xr:uid="{00000000-0004-0000-0C00-00009A010000}"/>
    <hyperlink ref="T402" r:id="rId412" display="https://storage.googleapis.com/glide-prod.appspot.com/uploads-v2/ly7o78grxPaC6KdgvbpS/pub/3aRdSog0vUtuqPE8AJKD.png" xr:uid="{00000000-0004-0000-0C00-00009B010000}"/>
    <hyperlink ref="T403" r:id="rId413" display="https://storage.googleapis.com/glide-prod.appspot.com/uploads-v2/ly7o78grxPaC6KdgvbpS/pub/3aRdSog0vUtuqPE8AJKD.png" xr:uid="{00000000-0004-0000-0C00-00009C010000}"/>
    <hyperlink ref="T404" r:id="rId414" display="https://storage.googleapis.com/glide-prod.appspot.com/uploads-v2/ly7o78grxPaC6KdgvbpS/pub/3aRdSog0vUtuqPE8AJKD.png" xr:uid="{00000000-0004-0000-0C00-00009D010000}"/>
    <hyperlink ref="T405" r:id="rId415" display="https://storage.googleapis.com/glide-prod.appspot.com/uploads-v2/ly7o78grxPaC6KdgvbpS/pub/3aRdSog0vUtuqPE8AJKD.png" xr:uid="{00000000-0004-0000-0C00-00009E010000}"/>
    <hyperlink ref="T406" r:id="rId416" display="https://storage.googleapis.com/glide-prod.appspot.com/uploads-v2/ly7o78grxPaC6KdgvbpS/pub/3aRdSog0vUtuqPE8AJKD.png" xr:uid="{00000000-0004-0000-0C00-00009F010000}"/>
    <hyperlink ref="T407" r:id="rId417" display="https://storage.googleapis.com/glide-prod.appspot.com/uploads-v2/ly7o78grxPaC6KdgvbpS/pub/3aRdSog0vUtuqPE8AJKD.png" xr:uid="{00000000-0004-0000-0C00-0000A0010000}"/>
    <hyperlink ref="T408" r:id="rId418" display="https://storage.googleapis.com/glide-prod.appspot.com/uploads-v2/ly7o78grxPaC6KdgvbpS/pub/3aRdSog0vUtuqPE8AJKD.png" xr:uid="{00000000-0004-0000-0C00-0000A1010000}"/>
    <hyperlink ref="T409" r:id="rId419" display="https://storage.googleapis.com/glide-prod.appspot.com/uploads-v2/ly7o78grxPaC6KdgvbpS/pub/3aRdSog0vUtuqPE8AJKD.png" xr:uid="{00000000-0004-0000-0C00-0000A2010000}"/>
    <hyperlink ref="T410" r:id="rId420" display="https://storage.googleapis.com/glide-prod.appspot.com/uploads-v2/ly7o78grxPaC6KdgvbpS/pub/3aRdSog0vUtuqPE8AJKD.png" xr:uid="{00000000-0004-0000-0C00-0000A3010000}"/>
    <hyperlink ref="T411" r:id="rId421" display="https://storage.googleapis.com/glide-prod.appspot.com/uploads-v2/ly7o78grxPaC6KdgvbpS/pub/3aRdSog0vUtuqPE8AJKD.png" xr:uid="{00000000-0004-0000-0C00-0000A4010000}"/>
    <hyperlink ref="T412" r:id="rId422" display="https://storage.googleapis.com/glide-prod.appspot.com/uploads-v2/ly7o78grxPaC6KdgvbpS/pub/3aRdSog0vUtuqPE8AJKD.png" xr:uid="{00000000-0004-0000-0C00-0000A5010000}"/>
    <hyperlink ref="T413" r:id="rId423" display="https://storage.googleapis.com/glide-prod.appspot.com/uploads-v2/ly7o78grxPaC6KdgvbpS/pub/3aRdSog0vUtuqPE8AJKD.png" xr:uid="{00000000-0004-0000-0C00-0000A6010000}"/>
    <hyperlink ref="T414" r:id="rId424" display="https://storage.googleapis.com/glide-prod.appspot.com/uploads-v2/ly7o78grxPaC6KdgvbpS/pub/3aRdSog0vUtuqPE8AJKD.png" xr:uid="{00000000-0004-0000-0C00-0000A7010000}"/>
    <hyperlink ref="T415" r:id="rId425" display="https://storage.googleapis.com/glide-prod.appspot.com/uploads-v2/ly7o78grxPaC6KdgvbpS/pub/3aRdSog0vUtuqPE8AJKD.png" xr:uid="{00000000-0004-0000-0C00-0000A8010000}"/>
    <hyperlink ref="T416" r:id="rId426" display="https://storage.googleapis.com/glide-prod.appspot.com/uploads-v2/ly7o78grxPaC6KdgvbpS/pub/3aRdSog0vUtuqPE8AJKD.png" xr:uid="{00000000-0004-0000-0C00-0000A9010000}"/>
    <hyperlink ref="T417" r:id="rId427" display="https://storage.googleapis.com/glide-prod.appspot.com/uploads-v2/ly7o78grxPaC6KdgvbpS/pub/3aRdSog0vUtuqPE8AJKD.png" xr:uid="{00000000-0004-0000-0C00-0000AA010000}"/>
    <hyperlink ref="T418" r:id="rId428" display="https://storage.googleapis.com/glide-prod.appspot.com/uploads-v2/ly7o78grxPaC6KdgvbpS/pub/3aRdSog0vUtuqPE8AJKD.png" xr:uid="{00000000-0004-0000-0C00-0000AB010000}"/>
    <hyperlink ref="T419" r:id="rId429" display="https://storage.googleapis.com/glide-prod.appspot.com/uploads-v2/ly7o78grxPaC6KdgvbpS/pub/3aRdSog0vUtuqPE8AJKD.png" xr:uid="{00000000-0004-0000-0C00-0000AC010000}"/>
    <hyperlink ref="T420" r:id="rId430" display="https://storage.googleapis.com/glide-prod.appspot.com/uploads-v2/ly7o78grxPaC6KdgvbpS/pub/3aRdSog0vUtuqPE8AJKD.png" xr:uid="{00000000-0004-0000-0C00-0000AD010000}"/>
    <hyperlink ref="T421" r:id="rId431" display="https://storage.googleapis.com/glide-prod.appspot.com/uploads-v2/ly7o78grxPaC6KdgvbpS/pub/3aRdSog0vUtuqPE8AJKD.png" xr:uid="{00000000-0004-0000-0C00-0000AE010000}"/>
    <hyperlink ref="T422" r:id="rId432" display="https://storage.googleapis.com/glide-prod.appspot.com/uploads-v2/ly7o78grxPaC6KdgvbpS/pub/3aRdSog0vUtuqPE8AJKD.png" xr:uid="{00000000-0004-0000-0C00-0000AF010000}"/>
    <hyperlink ref="T423" r:id="rId433" display="https://storage.googleapis.com/glide-prod.appspot.com/uploads-v2/ly7o78grxPaC6KdgvbpS/pub/3aRdSog0vUtuqPE8AJKD.png" xr:uid="{00000000-0004-0000-0C00-0000B0010000}"/>
    <hyperlink ref="T424" r:id="rId434" display="https://storage.googleapis.com/glide-prod.appspot.com/uploads-v2/ly7o78grxPaC6KdgvbpS/pub/3aRdSog0vUtuqPE8AJKD.png" xr:uid="{00000000-0004-0000-0C00-0000B1010000}"/>
    <hyperlink ref="T425" r:id="rId435" display="https://storage.googleapis.com/glide-prod.appspot.com/uploads-v2/ly7o78grxPaC6KdgvbpS/pub/3aRdSog0vUtuqPE8AJKD.png" xr:uid="{00000000-0004-0000-0C00-0000B2010000}"/>
    <hyperlink ref="T426" r:id="rId436" display="https://storage.googleapis.com/glide-prod.appspot.com/uploads-v2/ly7o78grxPaC6KdgvbpS/pub/3aRdSog0vUtuqPE8AJKD.png" xr:uid="{00000000-0004-0000-0C00-0000B3010000}"/>
    <hyperlink ref="T427" r:id="rId437" display="https://storage.googleapis.com/glide-prod.appspot.com/uploads-v2/ly7o78grxPaC6KdgvbpS/pub/3aRdSog0vUtuqPE8AJKD.png" xr:uid="{00000000-0004-0000-0C00-0000B4010000}"/>
    <hyperlink ref="T428" r:id="rId438" display="https://storage.googleapis.com/glide-prod.appspot.com/uploads-v2/ly7o78grxPaC6KdgvbpS/pub/3aRdSog0vUtuqPE8AJKD.png" xr:uid="{00000000-0004-0000-0C00-0000B5010000}"/>
    <hyperlink ref="T429" r:id="rId439" display="https://storage.googleapis.com/glide-prod.appspot.com/uploads-v2/ly7o78grxPaC6KdgvbpS/pub/3aRdSog0vUtuqPE8AJKD.png" xr:uid="{00000000-0004-0000-0C00-0000B6010000}"/>
    <hyperlink ref="T430" r:id="rId440" display="https://storage.googleapis.com/glide-prod.appspot.com/uploads-v2/ly7o78grxPaC6KdgvbpS/pub/3aRdSog0vUtuqPE8AJKD.png" xr:uid="{00000000-0004-0000-0C00-0000B7010000}"/>
    <hyperlink ref="Z430" r:id="rId441" display="http://dy5jfkw0qcwajq65nlp.kg/" xr:uid="{00000000-0004-0000-0C00-0000B8010000}"/>
    <hyperlink ref="T431" r:id="rId442" display="https://storage.googleapis.com/glide-prod.appspot.com/uploads-v2/ly7o78grxPaC6KdgvbpS/pub/3aRdSog0vUtuqPE8AJKD.png" xr:uid="{00000000-0004-0000-0C00-0000B9010000}"/>
    <hyperlink ref="T432" r:id="rId443" display="https://storage.googleapis.com/glide-prod.appspot.com/uploads-v2/ly7o78grxPaC6KdgvbpS/pub/3aRdSog0vUtuqPE8AJKD.png" xr:uid="{00000000-0004-0000-0C00-0000BA010000}"/>
    <hyperlink ref="T433" r:id="rId444" display="https://storage.googleapis.com/glide-prod.appspot.com/uploads-v2/ly7o78grxPaC6KdgvbpS/pub/3aRdSog0vUtuqPE8AJKD.png" xr:uid="{00000000-0004-0000-0C00-0000BB010000}"/>
    <hyperlink ref="T434" r:id="rId445" display="https://storage.googleapis.com/glide-prod.appspot.com/uploads-v2/ly7o78grxPaC6KdgvbpS/pub/3aRdSog0vUtuqPE8AJKD.png" xr:uid="{00000000-0004-0000-0C00-0000BC010000}"/>
    <hyperlink ref="T435" r:id="rId446" display="https://storage.googleapis.com/glide-prod.appspot.com/uploads-v2/ly7o78grxPaC6KdgvbpS/pub/3aRdSog0vUtuqPE8AJKD.png" xr:uid="{00000000-0004-0000-0C00-0000BD010000}"/>
    <hyperlink ref="T436" r:id="rId447" display="https://storage.googleapis.com/glide-prod.appspot.com/uploads-v2/ly7o78grxPaC6KdgvbpS/pub/3aRdSog0vUtuqPE8AJKD.png" xr:uid="{00000000-0004-0000-0C00-0000BE010000}"/>
    <hyperlink ref="T437" r:id="rId448" display="https://storage.googleapis.com/glide-prod.appspot.com/uploads-v2/ly7o78grxPaC6KdgvbpS/pub/3aRdSog0vUtuqPE8AJKD.png" xr:uid="{00000000-0004-0000-0C00-0000BF010000}"/>
    <hyperlink ref="T438" r:id="rId449" display="https://storage.googleapis.com/glide-prod.appspot.com/uploads-v2/ly7o78grxPaC6KdgvbpS/pub/UliJWgpEaBovaFmXi6OW.png" xr:uid="{00000000-0004-0000-0C00-0000C0010000}"/>
    <hyperlink ref="T439" r:id="rId450" display="https://storage.googleapis.com/glide-prod.appspot.com/uploads-v2/ly7o78grxPaC6KdgvbpS/pub/UliJWgpEaBovaFmXi6OW.png" xr:uid="{00000000-0004-0000-0C00-0000C1010000}"/>
    <hyperlink ref="T440" r:id="rId451" display="https://storage.googleapis.com/glide-prod.appspot.com/uploads-v2/ly7o78grxPaC6KdgvbpS/pub/UliJWgpEaBovaFmXi6OW.png" xr:uid="{00000000-0004-0000-0C00-0000C2010000}"/>
    <hyperlink ref="T441" r:id="rId452" display="https://storage.googleapis.com/glide-prod.appspot.com/uploads-v2/ly7o78grxPaC6KdgvbpS/pub/UliJWgpEaBovaFmXi6OW.png" xr:uid="{00000000-0004-0000-0C00-0000C3010000}"/>
    <hyperlink ref="T442" r:id="rId453" display="https://storage.googleapis.com/glide-prod.appspot.com/uploads-v2/ly7o78grxPaC6KdgvbpS/pub/UliJWgpEaBovaFmXi6OW.png" xr:uid="{00000000-0004-0000-0C00-0000C4010000}"/>
    <hyperlink ref="T443" r:id="rId454" display="https://storage.googleapis.com/glide-prod.appspot.com/uploads-v2/ly7o78grxPaC6KdgvbpS/pub/UliJWgpEaBovaFmXi6OW.png" xr:uid="{00000000-0004-0000-0C00-0000C5010000}"/>
    <hyperlink ref="T444" r:id="rId455" display="https://storage.googleapis.com/glide-prod.appspot.com/uploads-v2/ly7o78grxPaC6KdgvbpS/pub/UliJWgpEaBovaFmXi6OW.png" xr:uid="{00000000-0004-0000-0C00-0000C6010000}"/>
    <hyperlink ref="T445" r:id="rId456" display="https://storage.googleapis.com/glide-prod.appspot.com/uploads-v2/ly7o78grxPaC6KdgvbpS/pub/UliJWgpEaBovaFmXi6OW.png" xr:uid="{00000000-0004-0000-0C00-0000C7010000}"/>
    <hyperlink ref="T446" r:id="rId457" display="https://storage.googleapis.com/glide-prod.appspot.com/uploads-v2/ly7o78grxPaC6KdgvbpS/pub/UliJWgpEaBovaFmXi6OW.png" xr:uid="{00000000-0004-0000-0C00-0000C8010000}"/>
    <hyperlink ref="T447" r:id="rId458" display="https://storage.googleapis.com/glide-prod.appspot.com/uploads-v2/ly7o78grxPaC6KdgvbpS/pub/UliJWgpEaBovaFmXi6OW.png" xr:uid="{00000000-0004-0000-0C00-0000C9010000}"/>
    <hyperlink ref="T448" r:id="rId459" display="https://storage.googleapis.com/glide-prod.appspot.com/uploads-v2/ly7o78grxPaC6KdgvbpS/pub/UliJWgpEaBovaFmXi6OW.png" xr:uid="{00000000-0004-0000-0C00-0000CA010000}"/>
    <hyperlink ref="T449" r:id="rId460" display="https://storage.googleapis.com/glide-prod.appspot.com/uploads-v2/ly7o78grxPaC6KdgvbpS/pub/UliJWgpEaBovaFmXi6OW.png" xr:uid="{00000000-0004-0000-0C00-0000CB010000}"/>
    <hyperlink ref="T450" r:id="rId461" display="https://storage.googleapis.com/glide-prod.appspot.com/uploads-v2/ly7o78grxPaC6KdgvbpS/pub/UliJWgpEaBovaFmXi6OW.png" xr:uid="{00000000-0004-0000-0C00-0000CC010000}"/>
    <hyperlink ref="T451" r:id="rId462" display="https://storage.googleapis.com/glide-prod.appspot.com/uploads-v2/ly7o78grxPaC6KdgvbpS/pub/UliJWgpEaBovaFmXi6OW.png" xr:uid="{00000000-0004-0000-0C00-0000CD010000}"/>
    <hyperlink ref="T452" r:id="rId463" display="https://storage.googleapis.com/glide-prod.appspot.com/uploads-v2/ly7o78grxPaC6KdgvbpS/pub/UliJWgpEaBovaFmXi6OW.png" xr:uid="{00000000-0004-0000-0C00-0000CE010000}"/>
    <hyperlink ref="T453" r:id="rId464" display="https://storage.googleapis.com/glide-prod.appspot.com/uploads-v2/ly7o78grxPaC6KdgvbpS/pub/UliJWgpEaBovaFmXi6OW.png" xr:uid="{00000000-0004-0000-0C00-0000CF010000}"/>
    <hyperlink ref="T454" r:id="rId465" display="https://storage.googleapis.com/glide-prod.appspot.com/uploads-v2/ly7o78grxPaC6KdgvbpS/pub/UliJWgpEaBovaFmXi6OW.png" xr:uid="{00000000-0004-0000-0C00-0000D0010000}"/>
    <hyperlink ref="T455" r:id="rId466" display="https://storage.googleapis.com/glide-prod.appspot.com/uploads-v2/ly7o78grxPaC6KdgvbpS/pub/UliJWgpEaBovaFmXi6OW.png" xr:uid="{00000000-0004-0000-0C00-0000D1010000}"/>
    <hyperlink ref="T456" r:id="rId467" display="https://storage.googleapis.com/glide-prod.appspot.com/uploads-v2/ly7o78grxPaC6KdgvbpS/pub/UliJWgpEaBovaFmXi6OW.png" xr:uid="{00000000-0004-0000-0C00-0000D2010000}"/>
    <hyperlink ref="T457" r:id="rId468" display="https://storage.googleapis.com/glide-prod.appspot.com/uploads-v2/ly7o78grxPaC6KdgvbpS/pub/UliJWgpEaBovaFmXi6OW.png" xr:uid="{00000000-0004-0000-0C00-0000D3010000}"/>
    <hyperlink ref="T458" r:id="rId469" display="https://storage.googleapis.com/glide-prod.appspot.com/uploads-v2/ly7o78grxPaC6KdgvbpS/pub/UliJWgpEaBovaFmXi6OW.png" xr:uid="{00000000-0004-0000-0C00-0000D4010000}"/>
    <hyperlink ref="T459" r:id="rId470" display="https://storage.googleapis.com/glide-prod.appspot.com/uploads-v2/ly7o78grxPaC6KdgvbpS/pub/UliJWgpEaBovaFmXi6OW.png" xr:uid="{00000000-0004-0000-0C00-0000D5010000}"/>
    <hyperlink ref="T460" r:id="rId471" display="https://storage.googleapis.com/glide-prod.appspot.com/uploads-v2/ly7o78grxPaC6KdgvbpS/pub/UliJWgpEaBovaFmXi6OW.png" xr:uid="{00000000-0004-0000-0C00-0000D6010000}"/>
    <hyperlink ref="T461" r:id="rId472" display="https://storage.googleapis.com/glide-prod.appspot.com/uploads-v2/ly7o78grxPaC6KdgvbpS/pub/UliJWgpEaBovaFmXi6OW.png" xr:uid="{00000000-0004-0000-0C00-0000D7010000}"/>
    <hyperlink ref="T462" r:id="rId473" display="https://storage.googleapis.com/glide-prod.appspot.com/uploads-v2/ly7o78grxPaC6KdgvbpS/pub/UliJWgpEaBovaFmXi6OW.png" xr:uid="{00000000-0004-0000-0C00-0000D8010000}"/>
    <hyperlink ref="T463" r:id="rId474" display="https://storage.googleapis.com/glide-prod.appspot.com/uploads-v2/ly7o78grxPaC6KdgvbpS/pub/UliJWgpEaBovaFmXi6OW.png" xr:uid="{00000000-0004-0000-0C00-0000D9010000}"/>
    <hyperlink ref="T464" r:id="rId475" display="https://storage.googleapis.com/glide-prod.appspot.com/uploads-v2/ly7o78grxPaC6KdgvbpS/pub/UliJWgpEaBovaFmXi6OW.png" xr:uid="{00000000-0004-0000-0C00-0000DA010000}"/>
    <hyperlink ref="T465" r:id="rId476" display="https://storage.googleapis.com/glide-prod.appspot.com/uploads-v2/ly7o78grxPaC6KdgvbpS/pub/UliJWgpEaBovaFmXi6OW.png" xr:uid="{00000000-0004-0000-0C00-0000DB010000}"/>
    <hyperlink ref="T466" r:id="rId477" display="https://storage.googleapis.com/glide-prod.appspot.com/uploads-v2/ly7o78grxPaC6KdgvbpS/pub/UliJWgpEaBovaFmXi6OW.png" xr:uid="{00000000-0004-0000-0C00-0000DC010000}"/>
    <hyperlink ref="T467" r:id="rId478" display="https://storage.googleapis.com/glide-prod.appspot.com/uploads-v2/ly7o78grxPaC6KdgvbpS/pub/UliJWgpEaBovaFmXi6OW.png" xr:uid="{00000000-0004-0000-0C00-0000DD010000}"/>
    <hyperlink ref="T468" r:id="rId479" display="https://storage.googleapis.com/glide-prod.appspot.com/uploads-v2/ly7o78grxPaC6KdgvbpS/pub/UliJWgpEaBovaFmXi6OW.png" xr:uid="{00000000-0004-0000-0C00-0000DE010000}"/>
    <hyperlink ref="T469" r:id="rId480" display="https://storage.googleapis.com/glide-prod.appspot.com/uploads-v2/ly7o78grxPaC6KdgvbpS/pub/UliJWgpEaBovaFmXi6OW.png" xr:uid="{00000000-0004-0000-0C00-0000DF010000}"/>
    <hyperlink ref="T470" r:id="rId481" display="https://storage.googleapis.com/glide-prod.appspot.com/uploads-v2/ly7o78grxPaC6KdgvbpS/pub/3aRdSog0vUtuqPE8AJKD.png" xr:uid="{00000000-0004-0000-0C00-0000E0010000}"/>
    <hyperlink ref="T471" r:id="rId482" display="https://storage.googleapis.com/glide-prod.appspot.com/uploads-v2/ly7o78grxPaC6KdgvbpS/pub/3aRdSog0vUtuqPE8AJKD.png" xr:uid="{00000000-0004-0000-0C00-0000E1010000}"/>
    <hyperlink ref="T472" r:id="rId483" display="https://storage.googleapis.com/glide-prod.appspot.com/uploads-v2/ly7o78grxPaC6KdgvbpS/pub/3aRdSog0vUtuqPE8AJKD.png" xr:uid="{00000000-0004-0000-0C00-0000E2010000}"/>
    <hyperlink ref="T473" r:id="rId484" display="https://storage.googleapis.com/glide-prod.appspot.com/uploads-v2/ly7o78grxPaC6KdgvbpS/pub/3aRdSog0vUtuqPE8AJKD.png" xr:uid="{00000000-0004-0000-0C00-0000E3010000}"/>
    <hyperlink ref="T474" r:id="rId485" display="https://storage.googleapis.com/glide-prod.appspot.com/uploads-v2/ly7o78grxPaC6KdgvbpS/pub/3aRdSog0vUtuqPE8AJKD.png" xr:uid="{00000000-0004-0000-0C00-0000E4010000}"/>
    <hyperlink ref="T475" r:id="rId486" display="https://storage.googleapis.com/glide-prod.appspot.com/uploads-v2/ly7o78grxPaC6KdgvbpS/pub/3aRdSog0vUtuqPE8AJKD.png" xr:uid="{00000000-0004-0000-0C00-0000E5010000}"/>
    <hyperlink ref="T476" r:id="rId487" display="https://storage.googleapis.com/glide-prod.appspot.com/uploads-v2/ly7o78grxPaC6KdgvbpS/pub/3aRdSog0vUtuqPE8AJKD.png" xr:uid="{00000000-0004-0000-0C00-0000E6010000}"/>
    <hyperlink ref="T477" r:id="rId488" display="https://storage.googleapis.com/glide-prod.appspot.com/uploads-v2/ly7o78grxPaC6KdgvbpS/pub/3aRdSog0vUtuqPE8AJKD.png" xr:uid="{00000000-0004-0000-0C00-0000E7010000}"/>
    <hyperlink ref="T478" r:id="rId489" display="https://storage.googleapis.com/glide-prod.appspot.com/uploads-v2/ly7o78grxPaC6KdgvbpS/pub/3aRdSog0vUtuqPE8AJKD.png" xr:uid="{00000000-0004-0000-0C00-0000E8010000}"/>
    <hyperlink ref="AA478" r:id="rId490" display="https://storage.googleapis.com/glide-prod.appspot.com/uploads-v2/ly7o78grxPaC6KdgvbpS/pub/wg9j8fZMOEi3QJXARouc.jpg" xr:uid="{00000000-0004-0000-0C00-0000E9010000}"/>
    <hyperlink ref="T479" r:id="rId491" display="https://storage.googleapis.com/glide-prod.appspot.com/uploads-v2/ly7o78grxPaC6KdgvbpS/pub/UliJWgpEaBovaFmXi6OW.png" xr:uid="{00000000-0004-0000-0C00-0000EA010000}"/>
    <hyperlink ref="T480" r:id="rId492" display="https://storage.googleapis.com/glide-prod.appspot.com/uploads-v2/ly7o78grxPaC6KdgvbpS/pub/3aRdSog0vUtuqPE8AJKD.png" xr:uid="{00000000-0004-0000-0C00-0000EB010000}"/>
    <hyperlink ref="T481" r:id="rId493" display="https://storage.googleapis.com/glide-prod.appspot.com/uploads-v2/ly7o78grxPaC6KdgvbpS/pub/3aRdSog0vUtuqPE8AJKD.png" xr:uid="{00000000-0004-0000-0C00-0000EC010000}"/>
    <hyperlink ref="T482" r:id="rId494" display="https://storage.googleapis.com/glide-prod.appspot.com/uploads-v2/ly7o78grxPaC6KdgvbpS/pub/UliJWgpEaBovaFmXi6OW.png" xr:uid="{00000000-0004-0000-0C00-0000ED010000}"/>
    <hyperlink ref="T483" r:id="rId495" display="https://storage.googleapis.com/glide-prod.appspot.com/uploads-v2/ly7o78grxPaC6KdgvbpS/pub/UliJWgpEaBovaFmXi6OW.png" xr:uid="{00000000-0004-0000-0C00-0000EE010000}"/>
    <hyperlink ref="T484" r:id="rId496" display="https://storage.googleapis.com/glide-prod.appspot.com/uploads-v2/ly7o78grxPaC6KdgvbpS/pub/UliJWgpEaBovaFmXi6OW.png" xr:uid="{00000000-0004-0000-0C00-0000EF010000}"/>
    <hyperlink ref="T485" r:id="rId497" display="https://storage.googleapis.com/glide-prod.appspot.com/uploads-v2/ly7o78grxPaC6KdgvbpS/pub/UliJWgpEaBovaFmXi6OW.png" xr:uid="{00000000-0004-0000-0C00-0000F0010000}"/>
    <hyperlink ref="T486" r:id="rId498" display="https://storage.googleapis.com/glide-prod.appspot.com/uploads-v2/ly7o78grxPaC6KdgvbpS/pub/UliJWgpEaBovaFmXi6OW.png" xr:uid="{00000000-0004-0000-0C00-0000F1010000}"/>
    <hyperlink ref="T487" r:id="rId499" display="https://storage.googleapis.com/glide-prod.appspot.com/uploads-v2/ly7o78grxPaC6KdgvbpS/pub/UliJWgpEaBovaFmXi6OW.png" xr:uid="{00000000-0004-0000-0C00-0000F2010000}"/>
    <hyperlink ref="T488" r:id="rId500" display="https://storage.googleapis.com/glide-prod.appspot.com/uploads-v2/ly7o78grxPaC6KdgvbpS/pub/UliJWgpEaBovaFmXi6OW.png" xr:uid="{00000000-0004-0000-0C00-0000F3010000}"/>
    <hyperlink ref="T489" r:id="rId501" display="https://storage.googleapis.com/glide-prod.appspot.com/uploads-v2/ly7o78grxPaC6KdgvbpS/pub/UliJWgpEaBovaFmXi6OW.png" xr:uid="{00000000-0004-0000-0C00-0000F4010000}"/>
    <hyperlink ref="T490" r:id="rId502" display="https://storage.googleapis.com/glide-prod.appspot.com/uploads-v2/ly7o78grxPaC6KdgvbpS/pub/UliJWgpEaBovaFmXi6OW.png" xr:uid="{00000000-0004-0000-0C00-0000F5010000}"/>
    <hyperlink ref="T491" r:id="rId503" display="https://storage.googleapis.com/glide-prod.appspot.com/uploads-v2/ly7o78grxPaC6KdgvbpS/pub/3aRdSog0vUtuqPE8AJKD.png" xr:uid="{00000000-0004-0000-0C00-0000F6010000}"/>
    <hyperlink ref="T492" r:id="rId504" display="https://storage.googleapis.com/glide-prod.appspot.com/uploads-v2/ly7o78grxPaC6KdgvbpS/pub/3aRdSog0vUtuqPE8AJKD.png" xr:uid="{00000000-0004-0000-0C00-0000F7010000}"/>
    <hyperlink ref="T493" r:id="rId505" display="https://storage.googleapis.com/glide-prod.appspot.com/uploads-v2/ly7o78grxPaC6KdgvbpS/pub/3aRdSog0vUtuqPE8AJKD.png" xr:uid="{00000000-0004-0000-0C00-0000F8010000}"/>
    <hyperlink ref="T494" r:id="rId506" display="https://storage.googleapis.com/glide-prod.appspot.com/uploads-v2/ly7o78grxPaC6KdgvbpS/pub/3aRdSog0vUtuqPE8AJKD.png" xr:uid="{00000000-0004-0000-0C00-0000F9010000}"/>
    <hyperlink ref="T495" r:id="rId507" display="https://storage.googleapis.com/glide-prod.appspot.com/uploads-v2/ly7o78grxPaC6KdgvbpS/pub/3aRdSog0vUtuqPE8AJKD.png" xr:uid="{00000000-0004-0000-0C00-0000FA010000}"/>
    <hyperlink ref="T496" r:id="rId508" display="https://storage.googleapis.com/glide-prod.appspot.com/uploads-v2/ly7o78grxPaC6KdgvbpS/pub/3aRdSog0vUtuqPE8AJKD.png" xr:uid="{00000000-0004-0000-0C00-0000FB010000}"/>
    <hyperlink ref="T497" r:id="rId509" display="https://storage.googleapis.com/glide-prod.appspot.com/uploads-v2/ly7o78grxPaC6KdgvbpS/pub/3aRdSog0vUtuqPE8AJKD.png" xr:uid="{00000000-0004-0000-0C00-0000FC010000}"/>
    <hyperlink ref="T498" r:id="rId510" display="https://storage.googleapis.com/glide-prod.appspot.com/uploads-v2/ly7o78grxPaC6KdgvbpS/pub/3aRdSog0vUtuqPE8AJKD.png" xr:uid="{00000000-0004-0000-0C00-0000FD010000}"/>
    <hyperlink ref="T499" r:id="rId511" display="https://storage.googleapis.com/glide-prod.appspot.com/uploads-v2/ly7o78grxPaC6KdgvbpS/pub/3aRdSog0vUtuqPE8AJKD.png" xr:uid="{00000000-0004-0000-0C00-0000FE010000}"/>
    <hyperlink ref="T500" r:id="rId512" display="https://storage.googleapis.com/glide-prod.appspot.com/uploads-v2/ly7o78grxPaC6KdgvbpS/pub/3aRdSog0vUtuqPE8AJKD.png" xr:uid="{00000000-0004-0000-0C00-0000FF010000}"/>
    <hyperlink ref="T501" r:id="rId513" display="https://storage.googleapis.com/glide-prod.appspot.com/uploads-v2/ly7o78grxPaC6KdgvbpS/pub/3aRdSog0vUtuqPE8AJKD.png" xr:uid="{00000000-0004-0000-0C00-000000020000}"/>
    <hyperlink ref="T502" r:id="rId514" display="https://storage.googleapis.com/glide-prod.appspot.com/uploads-v2/ly7o78grxPaC6KdgvbpS/pub/3aRdSog0vUtuqPE8AJKD.png" xr:uid="{00000000-0004-0000-0C00-000001020000}"/>
    <hyperlink ref="T503" r:id="rId515" display="https://storage.googleapis.com/glide-prod.appspot.com/uploads-v2/ly7o78grxPaC6KdgvbpS/pub/3aRdSog0vUtuqPE8AJKD.png" xr:uid="{00000000-0004-0000-0C00-000002020000}"/>
    <hyperlink ref="T504" r:id="rId516" display="https://storage.googleapis.com/glide-prod.appspot.com/uploads-v2/ly7o78grxPaC6KdgvbpS/pub/3aRdSog0vUtuqPE8AJKD.png" xr:uid="{00000000-0004-0000-0C00-000003020000}"/>
    <hyperlink ref="T505" r:id="rId517" display="https://storage.googleapis.com/glide-prod.appspot.com/uploads-v2/ly7o78grxPaC6KdgvbpS/pub/3aRdSog0vUtuqPE8AJKD.png" xr:uid="{00000000-0004-0000-0C00-000004020000}"/>
    <hyperlink ref="T506" r:id="rId518" display="https://storage.googleapis.com/glide-prod.appspot.com/uploads-v2/ly7o78grxPaC6KdgvbpS/pub/3aRdSog0vUtuqPE8AJKD.png" xr:uid="{00000000-0004-0000-0C00-000005020000}"/>
    <hyperlink ref="T507" r:id="rId519" display="https://storage.googleapis.com/glide-prod.appspot.com/uploads-v2/ly7o78grxPaC6KdgvbpS/pub/3aRdSog0vUtuqPE8AJKD.png" xr:uid="{00000000-0004-0000-0C00-000006020000}"/>
    <hyperlink ref="T508" r:id="rId520" display="https://storage.googleapis.com/glide-prod.appspot.com/uploads-v2/ly7o78grxPaC6KdgvbpS/pub/3aRdSog0vUtuqPE8AJKD.png" xr:uid="{00000000-0004-0000-0C00-000007020000}"/>
    <hyperlink ref="T509" r:id="rId521" display="https://storage.googleapis.com/glide-prod.appspot.com/uploads-v2/ly7o78grxPaC6KdgvbpS/pub/3aRdSog0vUtuqPE8AJKD.png" xr:uid="{00000000-0004-0000-0C00-000008020000}"/>
    <hyperlink ref="T510" r:id="rId522" display="https://storage.googleapis.com/glide-prod.appspot.com/uploads-v2/ly7o78grxPaC6KdgvbpS/pub/3aRdSog0vUtuqPE8AJKD.png" xr:uid="{00000000-0004-0000-0C00-000009020000}"/>
    <hyperlink ref="T511" r:id="rId523" display="https://storage.googleapis.com/glide-prod.appspot.com/uploads-v2/ly7o78grxPaC6KdgvbpS/pub/3aRdSog0vUtuqPE8AJKD.png" xr:uid="{00000000-0004-0000-0C00-00000A020000}"/>
    <hyperlink ref="T512" r:id="rId524" display="https://storage.googleapis.com/glide-prod.appspot.com/uploads-v2/ly7o78grxPaC6KdgvbpS/pub/3aRdSog0vUtuqPE8AJKD.png" xr:uid="{00000000-0004-0000-0C00-00000B020000}"/>
    <hyperlink ref="T513" r:id="rId525" display="https://storage.googleapis.com/glide-prod.appspot.com/uploads-v2/ly7o78grxPaC6KdgvbpS/pub/3aRdSog0vUtuqPE8AJKD.png" xr:uid="{00000000-0004-0000-0C00-00000C020000}"/>
    <hyperlink ref="T514" r:id="rId526" display="https://storage.googleapis.com/glide-prod.appspot.com/uploads-v2/ly7o78grxPaC6KdgvbpS/pub/3aRdSog0vUtuqPE8AJKD.png" xr:uid="{00000000-0004-0000-0C00-00000D020000}"/>
    <hyperlink ref="T515" r:id="rId527" display="https://storage.googleapis.com/glide-prod.appspot.com/uploads-v2/ly7o78grxPaC6KdgvbpS/pub/3aRdSog0vUtuqPE8AJKD.png" xr:uid="{00000000-0004-0000-0C00-00000E020000}"/>
    <hyperlink ref="T516" r:id="rId528" display="https://storage.googleapis.com/glide-prod.appspot.com/uploads-v2/ly7o78grxPaC6KdgvbpS/pub/3aRdSog0vUtuqPE8AJKD.png" xr:uid="{00000000-0004-0000-0C00-00000F020000}"/>
    <hyperlink ref="T517" r:id="rId529" display="https://storage.googleapis.com/glide-prod.appspot.com/uploads-v2/ly7o78grxPaC6KdgvbpS/pub/3aRdSog0vUtuqPE8AJKD.png" xr:uid="{00000000-0004-0000-0C00-000010020000}"/>
    <hyperlink ref="T518" r:id="rId530" display="https://storage.googleapis.com/glide-prod.appspot.com/uploads-v2/ly7o78grxPaC6KdgvbpS/pub/3aRdSog0vUtuqPE8AJKD.png" xr:uid="{00000000-0004-0000-0C00-000011020000}"/>
    <hyperlink ref="T519" r:id="rId531" display="https://storage.googleapis.com/glide-prod.appspot.com/uploads-v2/ly7o78grxPaC6KdgvbpS/pub/3aRdSog0vUtuqPE8AJKD.png" xr:uid="{00000000-0004-0000-0C00-000012020000}"/>
    <hyperlink ref="T520" r:id="rId532" display="https://storage.googleapis.com/glide-prod.appspot.com/uploads-v2/ly7o78grxPaC6KdgvbpS/pub/3aRdSog0vUtuqPE8AJKD.png" xr:uid="{00000000-0004-0000-0C00-000013020000}"/>
    <hyperlink ref="T521" r:id="rId533" display="https://storage.googleapis.com/glide-prod.appspot.com/uploads-v2/ly7o78grxPaC6KdgvbpS/pub/3aRdSog0vUtuqPE8AJKD.png" xr:uid="{00000000-0004-0000-0C00-000014020000}"/>
    <hyperlink ref="T522" r:id="rId534" display="https://storage.googleapis.com/glide-prod.appspot.com/uploads-v2/ly7o78grxPaC6KdgvbpS/pub/3aRdSog0vUtuqPE8AJKD.png" xr:uid="{00000000-0004-0000-0C00-000015020000}"/>
    <hyperlink ref="T523" r:id="rId535" display="https://storage.googleapis.com/glide-prod.appspot.com/uploads-v2/ly7o78grxPaC6KdgvbpS/pub/3aRdSog0vUtuqPE8AJKD.png" xr:uid="{00000000-0004-0000-0C00-000016020000}"/>
    <hyperlink ref="T524" r:id="rId536" display="https://storage.googleapis.com/glide-prod.appspot.com/uploads-v2/ly7o78grxPaC6KdgvbpS/pub/3aRdSog0vUtuqPE8AJKD.png" xr:uid="{00000000-0004-0000-0C00-000017020000}"/>
    <hyperlink ref="T525" r:id="rId537" display="https://storage.googleapis.com/glide-prod.appspot.com/uploads-v2/ly7o78grxPaC6KdgvbpS/pub/3aRdSog0vUtuqPE8AJKD.png" xr:uid="{00000000-0004-0000-0C00-000018020000}"/>
    <hyperlink ref="T526" r:id="rId538" display="https://storage.googleapis.com/glide-prod.appspot.com/uploads-v2/ly7o78grxPaC6KdgvbpS/pub/3aRdSog0vUtuqPE8AJKD.png" xr:uid="{00000000-0004-0000-0C00-000019020000}"/>
    <hyperlink ref="T527" r:id="rId539" display="https://storage.googleapis.com/glide-prod.appspot.com/uploads-v2/ly7o78grxPaC6KdgvbpS/pub/3aRdSog0vUtuqPE8AJKD.png" xr:uid="{00000000-0004-0000-0C00-00001A020000}"/>
    <hyperlink ref="T528" r:id="rId540" display="https://storage.googleapis.com/glide-prod.appspot.com/uploads-v2/ly7o78grxPaC6KdgvbpS/pub/3aRdSog0vUtuqPE8AJKD.png" xr:uid="{00000000-0004-0000-0C00-00001B020000}"/>
    <hyperlink ref="T529" r:id="rId541" display="https://storage.googleapis.com/glide-prod.appspot.com/uploads-v2/ly7o78grxPaC6KdgvbpS/pub/3aRdSog0vUtuqPE8AJKD.png" xr:uid="{00000000-0004-0000-0C00-00001C020000}"/>
    <hyperlink ref="T530" r:id="rId542" display="https://storage.googleapis.com/glide-prod.appspot.com/uploads-v2/ly7o78grxPaC6KdgvbpS/pub/3aRdSog0vUtuqPE8AJKD.png" xr:uid="{00000000-0004-0000-0C00-00001D020000}"/>
    <hyperlink ref="T531" r:id="rId543" display="https://storage.googleapis.com/glide-prod.appspot.com/uploads-v2/ly7o78grxPaC6KdgvbpS/pub/3aRdSog0vUtuqPE8AJKD.png" xr:uid="{00000000-0004-0000-0C00-00001E020000}"/>
    <hyperlink ref="T532" r:id="rId544" display="https://storage.googleapis.com/glide-prod.appspot.com/uploads-v2/ly7o78grxPaC6KdgvbpS/pub/3aRdSog0vUtuqPE8AJKD.png" xr:uid="{00000000-0004-0000-0C00-00001F020000}"/>
    <hyperlink ref="T533" r:id="rId545" display="https://storage.googleapis.com/glide-prod.appspot.com/uploads-v2/ly7o78grxPaC6KdgvbpS/pub/3aRdSog0vUtuqPE8AJKD.png" xr:uid="{00000000-0004-0000-0C00-000020020000}"/>
    <hyperlink ref="T534" r:id="rId546" display="https://storage.googleapis.com/glide-prod.appspot.com/uploads-v2/ly7o78grxPaC6KdgvbpS/pub/3aRdSog0vUtuqPE8AJKD.png" xr:uid="{00000000-0004-0000-0C00-000021020000}"/>
    <hyperlink ref="T535" r:id="rId547" display="https://storage.googleapis.com/glide-prod.appspot.com/uploads-v2/ly7o78grxPaC6KdgvbpS/pub/3aRdSog0vUtuqPE8AJKD.png" xr:uid="{00000000-0004-0000-0C00-000022020000}"/>
    <hyperlink ref="T536" r:id="rId548" display="https://storage.googleapis.com/glide-prod.appspot.com/uploads-v2/ly7o78grxPaC6KdgvbpS/pub/3aRdSog0vUtuqPE8AJKD.png" xr:uid="{00000000-0004-0000-0C00-000023020000}"/>
    <hyperlink ref="T537" r:id="rId549" display="https://storage.googleapis.com/glide-prod.appspot.com/uploads-v2/ly7o78grxPaC6KdgvbpS/pub/3aRdSog0vUtuqPE8AJKD.png" xr:uid="{00000000-0004-0000-0C00-000024020000}"/>
    <hyperlink ref="T538" r:id="rId550" display="https://storage.googleapis.com/glide-prod.appspot.com/uploads-v2/ly7o78grxPaC6KdgvbpS/pub/3aRdSog0vUtuqPE8AJKD.png" xr:uid="{00000000-0004-0000-0C00-000025020000}"/>
    <hyperlink ref="T539" r:id="rId551" display="https://storage.googleapis.com/glide-prod.appspot.com/uploads-v2/ly7o78grxPaC6KdgvbpS/pub/3aRdSog0vUtuqPE8AJKD.png" xr:uid="{00000000-0004-0000-0C00-000026020000}"/>
    <hyperlink ref="T540" r:id="rId552" display="https://storage.googleapis.com/glide-prod.appspot.com/uploads-v2/ly7o78grxPaC6KdgvbpS/pub/3aRdSog0vUtuqPE8AJKD.png" xr:uid="{00000000-0004-0000-0C00-000027020000}"/>
    <hyperlink ref="T541" r:id="rId553" display="https://storage.googleapis.com/glide-prod.appspot.com/uploads-v2/ly7o78grxPaC6KdgvbpS/pub/3aRdSog0vUtuqPE8AJKD.png" xr:uid="{00000000-0004-0000-0C00-000028020000}"/>
    <hyperlink ref="T542" r:id="rId554" display="https://storage.googleapis.com/glide-prod.appspot.com/uploads-v2/ly7o78grxPaC6KdgvbpS/pub/3aRdSog0vUtuqPE8AJKD.png" xr:uid="{00000000-0004-0000-0C00-000029020000}"/>
    <hyperlink ref="T543" r:id="rId555" display="https://storage.googleapis.com/glide-prod.appspot.com/uploads-v2/ly7o78grxPaC6KdgvbpS/pub/3aRdSog0vUtuqPE8AJKD.png" xr:uid="{00000000-0004-0000-0C00-00002A020000}"/>
    <hyperlink ref="T544" r:id="rId556" display="https://storage.googleapis.com/glide-prod.appspot.com/uploads-v2/ly7o78grxPaC6KdgvbpS/pub/3aRdSog0vUtuqPE8AJKD.png" xr:uid="{00000000-0004-0000-0C00-00002B020000}"/>
    <hyperlink ref="T545" r:id="rId557" display="https://storage.googleapis.com/glide-prod.appspot.com/uploads-v2/ly7o78grxPaC6KdgvbpS/pub/3aRdSog0vUtuqPE8AJKD.png" xr:uid="{00000000-0004-0000-0C00-00002C020000}"/>
    <hyperlink ref="T546" r:id="rId558" display="https://storage.googleapis.com/glide-prod.appspot.com/uploads-v2/ly7o78grxPaC6KdgvbpS/pub/3aRdSog0vUtuqPE8AJKD.png" xr:uid="{00000000-0004-0000-0C00-00002D020000}"/>
    <hyperlink ref="T547" r:id="rId559" display="https://storage.googleapis.com/glide-prod.appspot.com/uploads-v2/ly7o78grxPaC6KdgvbpS/pub/3aRdSog0vUtuqPE8AJKD.png" xr:uid="{00000000-0004-0000-0C00-00002E020000}"/>
    <hyperlink ref="T548" r:id="rId560" display="https://storage.googleapis.com/glide-prod.appspot.com/uploads-v2/ly7o78grxPaC6KdgvbpS/pub/3aRdSog0vUtuqPE8AJKD.png" xr:uid="{00000000-0004-0000-0C00-00002F020000}"/>
    <hyperlink ref="AA548" r:id="rId561" display="https://storage.googleapis.com/glide-prod.appspot.com/uploads-v2/ly7o78grxPaC6KdgvbpS/pub/dzHyiir9PCrRsfphXAze.jpg" xr:uid="{00000000-0004-0000-0C00-000030020000}"/>
    <hyperlink ref="T549" r:id="rId562" display="https://storage.googleapis.com/glide-prod.appspot.com/uploads-v2/ly7o78grxPaC6KdgvbpS/pub/UliJWgpEaBovaFmXi6OW.png" xr:uid="{00000000-0004-0000-0C00-000031020000}"/>
    <hyperlink ref="T550" r:id="rId563" display="https://storage.googleapis.com/glide-prod.appspot.com/uploads-v2/ly7o78grxPaC6KdgvbpS/pub/3aRdSog0vUtuqPE8AJKD.png" xr:uid="{00000000-0004-0000-0C00-000032020000}"/>
    <hyperlink ref="T551" r:id="rId564" display="https://storage.googleapis.com/glide-prod.appspot.com/uploads-v2/ly7o78grxPaC6KdgvbpS/pub/3aRdSog0vUtuqPE8AJKD.png" xr:uid="{00000000-0004-0000-0C00-000033020000}"/>
    <hyperlink ref="T552" r:id="rId565" display="https://storage.googleapis.com/glide-prod.appspot.com/uploads-v2/ly7o78grxPaC6KdgvbpS/pub/3aRdSog0vUtuqPE8AJKD.png" xr:uid="{00000000-0004-0000-0C00-000034020000}"/>
    <hyperlink ref="T553" r:id="rId566" display="https://storage.googleapis.com/glide-prod.appspot.com/uploads-v2/ly7o78grxPaC6KdgvbpS/pub/3aRdSog0vUtuqPE8AJKD.png" xr:uid="{00000000-0004-0000-0C00-000035020000}"/>
    <hyperlink ref="T554" r:id="rId567" display="https://storage.googleapis.com/glide-prod.appspot.com/uploads-v2/ly7o78grxPaC6KdgvbpS/pub/3aRdSog0vUtuqPE8AJKD.png" xr:uid="{00000000-0004-0000-0C00-000036020000}"/>
    <hyperlink ref="T555" r:id="rId568" display="https://storage.googleapis.com/glide-prod.appspot.com/uploads-v2/ly7o78grxPaC6KdgvbpS/pub/3aRdSog0vUtuqPE8AJKD.png" xr:uid="{00000000-0004-0000-0C00-000037020000}"/>
    <hyperlink ref="T556" r:id="rId569" display="https://storage.googleapis.com/glide-prod.appspot.com/uploads-v2/ly7o78grxPaC6KdgvbpS/pub/3aRdSog0vUtuqPE8AJKD.png" xr:uid="{00000000-0004-0000-0C00-000038020000}"/>
    <hyperlink ref="T557" r:id="rId570" display="https://storage.googleapis.com/glide-prod.appspot.com/uploads-v2/ly7o78grxPaC6KdgvbpS/pub/3aRdSog0vUtuqPE8AJKD.png" xr:uid="{00000000-0004-0000-0C00-000039020000}"/>
    <hyperlink ref="T558" r:id="rId571" display="https://storage.googleapis.com/glide-prod.appspot.com/uploads-v2/ly7o78grxPaC6KdgvbpS/pub/3aRdSog0vUtuqPE8AJKD.png" xr:uid="{00000000-0004-0000-0C00-00003A020000}"/>
    <hyperlink ref="T559" r:id="rId572" display="https://storage.googleapis.com/glide-prod.appspot.com/uploads-v2/ly7o78grxPaC6KdgvbpS/pub/3aRdSog0vUtuqPE8AJKD.png" xr:uid="{00000000-0004-0000-0C00-00003B020000}"/>
    <hyperlink ref="T560" r:id="rId573" display="https://storage.googleapis.com/glide-prod.appspot.com/uploads-v2/ly7o78grxPaC6KdgvbpS/pub/3aRdSog0vUtuqPE8AJKD.png" xr:uid="{00000000-0004-0000-0C00-00003C020000}"/>
    <hyperlink ref="T561" r:id="rId574" display="https://storage.googleapis.com/glide-prod.appspot.com/uploads-v2/ly7o78grxPaC6KdgvbpS/pub/3aRdSog0vUtuqPE8AJKD.png" xr:uid="{00000000-0004-0000-0C00-00003D020000}"/>
    <hyperlink ref="T562" r:id="rId575" display="https://storage.googleapis.com/glide-prod.appspot.com/uploads-v2/ly7o78grxPaC6KdgvbpS/pub/3aRdSog0vUtuqPE8AJKD.png" xr:uid="{00000000-0004-0000-0C00-00003E020000}"/>
    <hyperlink ref="T563" r:id="rId576" display="https://storage.googleapis.com/glide-prod.appspot.com/uploads-v2/ly7o78grxPaC6KdgvbpS/pub/3aRdSog0vUtuqPE8AJKD.png" xr:uid="{00000000-0004-0000-0C00-00003F020000}"/>
    <hyperlink ref="T564" r:id="rId577" display="https://storage.googleapis.com/glide-prod.appspot.com/uploads-v2/ly7o78grxPaC6KdgvbpS/pub/3aRdSog0vUtuqPE8AJKD.png" xr:uid="{00000000-0004-0000-0C00-000040020000}"/>
    <hyperlink ref="T565" r:id="rId578" display="https://storage.googleapis.com/glide-prod.appspot.com/uploads-v2/ly7o78grxPaC6KdgvbpS/pub/3aRdSog0vUtuqPE8AJKD.png" xr:uid="{00000000-0004-0000-0C00-000041020000}"/>
    <hyperlink ref="T566" r:id="rId579" display="https://storage.googleapis.com/glide-prod.appspot.com/uploads-v2/ly7o78grxPaC6KdgvbpS/pub/3aRdSog0vUtuqPE8AJKD.png" xr:uid="{00000000-0004-0000-0C00-000042020000}"/>
    <hyperlink ref="T567" r:id="rId580" display="https://storage.googleapis.com/glide-prod.appspot.com/uploads-v2/ly7o78grxPaC6KdgvbpS/pub/3aRdSog0vUtuqPE8AJKD.png" xr:uid="{00000000-0004-0000-0C00-000043020000}"/>
    <hyperlink ref="T568" r:id="rId581" display="https://storage.googleapis.com/glide-prod.appspot.com/uploads-v2/ly7o78grxPaC6KdgvbpS/pub/3aRdSog0vUtuqPE8AJKD.png" xr:uid="{00000000-0004-0000-0C00-000044020000}"/>
    <hyperlink ref="T569" r:id="rId582" display="https://storage.googleapis.com/glide-prod.appspot.com/uploads-v2/ly7o78grxPaC6KdgvbpS/pub/3aRdSog0vUtuqPE8AJKD.png" xr:uid="{00000000-0004-0000-0C00-000045020000}"/>
    <hyperlink ref="T570" r:id="rId583" display="https://storage.googleapis.com/glide-prod.appspot.com/uploads-v2/ly7o78grxPaC6KdgvbpS/pub/UliJWgpEaBovaFmXi6OW.png" xr:uid="{00000000-0004-0000-0C00-000046020000}"/>
    <hyperlink ref="T571" r:id="rId584" display="https://storage.googleapis.com/glide-prod.appspot.com/uploads-v2/ly7o78grxPaC6KdgvbpS/pub/UliJWgpEaBovaFmXi6OW.png" xr:uid="{00000000-0004-0000-0C00-000047020000}"/>
    <hyperlink ref="T572" r:id="rId585" display="https://storage.googleapis.com/glide-prod.appspot.com/uploads-v2/ly7o78grxPaC6KdgvbpS/pub/UliJWgpEaBovaFmXi6OW.png" xr:uid="{00000000-0004-0000-0C00-000048020000}"/>
    <hyperlink ref="T573" r:id="rId586" display="https://storage.googleapis.com/glide-prod.appspot.com/uploads-v2/ly7o78grxPaC6KdgvbpS/pub/UliJWgpEaBovaFmXi6OW.png" xr:uid="{00000000-0004-0000-0C00-000049020000}"/>
    <hyperlink ref="T574" r:id="rId587" display="https://storage.googleapis.com/glide-prod.appspot.com/uploads-v2/ly7o78grxPaC6KdgvbpS/pub/UliJWgpEaBovaFmXi6OW.png" xr:uid="{00000000-0004-0000-0C00-00004A020000}"/>
    <hyperlink ref="T575" r:id="rId588" display="https://storage.googleapis.com/glide-prod.appspot.com/uploads-v2/ly7o78grxPaC6KdgvbpS/pub/UliJWgpEaBovaFmXi6OW.png" xr:uid="{00000000-0004-0000-0C00-00004B020000}"/>
    <hyperlink ref="T576" r:id="rId589" display="https://storage.googleapis.com/glide-prod.appspot.com/uploads-v2/ly7o78grxPaC6KdgvbpS/pub/UliJWgpEaBovaFmXi6OW.png" xr:uid="{00000000-0004-0000-0C00-00004C020000}"/>
    <hyperlink ref="T577" r:id="rId590" display="https://storage.googleapis.com/glide-prod.appspot.com/uploads-v2/ly7o78grxPaC6KdgvbpS/pub/UliJWgpEaBovaFmXi6OW.png" xr:uid="{00000000-0004-0000-0C00-00004D020000}"/>
    <hyperlink ref="T578" r:id="rId591" display="https://storage.googleapis.com/glide-prod.appspot.com/uploads-v2/ly7o78grxPaC6KdgvbpS/pub/UliJWgpEaBovaFmXi6OW.png" xr:uid="{00000000-0004-0000-0C00-00004E020000}"/>
    <hyperlink ref="T579" r:id="rId592" display="https://storage.googleapis.com/glide-prod.appspot.com/uploads-v2/ly7o78grxPaC6KdgvbpS/pub/UliJWgpEaBovaFmXi6OW.png" xr:uid="{00000000-0004-0000-0C00-00004F020000}"/>
    <hyperlink ref="T580" r:id="rId593" display="https://storage.googleapis.com/glide-prod.appspot.com/uploads-v2/ly7o78grxPaC6KdgvbpS/pub/UliJWgpEaBovaFmXi6OW.png" xr:uid="{00000000-0004-0000-0C00-000050020000}"/>
    <hyperlink ref="T581" r:id="rId594" display="https://storage.googleapis.com/glide-prod.appspot.com/uploads-v2/ly7o78grxPaC6KdgvbpS/pub/UliJWgpEaBovaFmXi6OW.png" xr:uid="{00000000-0004-0000-0C00-000051020000}"/>
    <hyperlink ref="T582" r:id="rId595" display="https://storage.googleapis.com/glide-prod.appspot.com/uploads-v2/ly7o78grxPaC6KdgvbpS/pub/UliJWgpEaBovaFmXi6OW.png" xr:uid="{00000000-0004-0000-0C00-000052020000}"/>
    <hyperlink ref="T583" r:id="rId596" display="https://storage.googleapis.com/glide-prod.appspot.com/uploads-v2/ly7o78grxPaC6KdgvbpS/pub/UliJWgpEaBovaFmXi6OW.png" xr:uid="{00000000-0004-0000-0C00-000053020000}"/>
    <hyperlink ref="T584" r:id="rId597" display="https://storage.googleapis.com/glide-prod.appspot.com/uploads-v2/ly7o78grxPaC6KdgvbpS/pub/UliJWgpEaBovaFmXi6OW.png" xr:uid="{00000000-0004-0000-0C00-000054020000}"/>
    <hyperlink ref="T585" r:id="rId598" display="https://storage.googleapis.com/glide-prod.appspot.com/uploads-v2/ly7o78grxPaC6KdgvbpS/pub/UliJWgpEaBovaFmXi6OW.png" xr:uid="{00000000-0004-0000-0C00-000055020000}"/>
    <hyperlink ref="T586" r:id="rId599" display="https://storage.googleapis.com/glide-prod.appspot.com/uploads-v2/ly7o78grxPaC6KdgvbpS/pub/UliJWgpEaBovaFmXi6OW.png" xr:uid="{00000000-0004-0000-0C00-000056020000}"/>
    <hyperlink ref="T587" r:id="rId600" display="https://storage.googleapis.com/glide-prod.appspot.com/uploads-v2/ly7o78grxPaC6KdgvbpS/pub/UliJWgpEaBovaFmXi6OW.png" xr:uid="{00000000-0004-0000-0C00-000057020000}"/>
    <hyperlink ref="T588" r:id="rId601" display="https://storage.googleapis.com/glide-prod.appspot.com/uploads-v2/ly7o78grxPaC6KdgvbpS/pub/UliJWgpEaBovaFmXi6OW.png" xr:uid="{00000000-0004-0000-0C00-000058020000}"/>
    <hyperlink ref="T589" r:id="rId602" display="https://storage.googleapis.com/glide-prod.appspot.com/uploads-v2/ly7o78grxPaC6KdgvbpS/pub/UliJWgpEaBovaFmXi6OW.png" xr:uid="{00000000-0004-0000-0C00-000059020000}"/>
    <hyperlink ref="T590" r:id="rId603" display="https://storage.googleapis.com/glide-prod.appspot.com/uploads-v2/ly7o78grxPaC6KdgvbpS/pub/3aRdSog0vUtuqPE8AJKD.png" xr:uid="{00000000-0004-0000-0C00-00005A020000}"/>
    <hyperlink ref="T591" r:id="rId604" display="https://storage.googleapis.com/glide-prod.appspot.com/uploads-v2/ly7o78grxPaC6KdgvbpS/pub/3aRdSog0vUtuqPE8AJKD.png" xr:uid="{00000000-0004-0000-0C00-00005B020000}"/>
    <hyperlink ref="T592" r:id="rId605" display="https://storage.googleapis.com/glide-prod.appspot.com/uploads-v2/ly7o78grxPaC6KdgvbpS/pub/3aRdSog0vUtuqPE8AJKD.png" xr:uid="{00000000-0004-0000-0C00-00005C020000}"/>
    <hyperlink ref="T593" r:id="rId606" display="https://storage.googleapis.com/glide-prod.appspot.com/uploads-v2/ly7o78grxPaC6KdgvbpS/pub/3aRdSog0vUtuqPE8AJKD.png" xr:uid="{00000000-0004-0000-0C00-00005D020000}"/>
    <hyperlink ref="T594" r:id="rId607" display="https://storage.googleapis.com/glide-prod.appspot.com/uploads-v2/ly7o78grxPaC6KdgvbpS/pub/3aRdSog0vUtuqPE8AJKD.png" xr:uid="{00000000-0004-0000-0C00-00005E020000}"/>
    <hyperlink ref="T595" r:id="rId608" display="https://storage.googleapis.com/glide-prod.appspot.com/uploads-v2/ly7o78grxPaC6KdgvbpS/pub/3aRdSog0vUtuqPE8AJKD.png" xr:uid="{00000000-0004-0000-0C00-00005F020000}"/>
    <hyperlink ref="T596" r:id="rId609" display="https://storage.googleapis.com/glide-prod.appspot.com/uploads-v2/ly7o78grxPaC6KdgvbpS/pub/3aRdSog0vUtuqPE8AJKD.png" xr:uid="{00000000-0004-0000-0C00-000060020000}"/>
    <hyperlink ref="T597" r:id="rId610" display="https://storage.googleapis.com/glide-prod.appspot.com/uploads-v2/ly7o78grxPaC6KdgvbpS/pub/3aRdSog0vUtuqPE8AJKD.png" xr:uid="{00000000-0004-0000-0C00-000061020000}"/>
    <hyperlink ref="T598" r:id="rId611" display="https://storage.googleapis.com/glide-prod.appspot.com/uploads-v2/ly7o78grxPaC6KdgvbpS/pub/3aRdSog0vUtuqPE8AJKD.png" xr:uid="{00000000-0004-0000-0C00-000062020000}"/>
    <hyperlink ref="T599" r:id="rId612" display="https://storage.googleapis.com/glide-prod.appspot.com/uploads-v2/ly7o78grxPaC6KdgvbpS/pub/3aRdSog0vUtuqPE8AJKD.png" xr:uid="{00000000-0004-0000-0C00-000063020000}"/>
    <hyperlink ref="T600" r:id="rId613" display="https://storage.googleapis.com/glide-prod.appspot.com/uploads-v2/ly7o78grxPaC6KdgvbpS/pub/3aRdSog0vUtuqPE8AJKD.png" xr:uid="{00000000-0004-0000-0C00-000064020000}"/>
    <hyperlink ref="T601" r:id="rId614" display="https://storage.googleapis.com/glide-prod.appspot.com/uploads-v2/ly7o78grxPaC6KdgvbpS/pub/3aRdSog0vUtuqPE8AJKD.png" xr:uid="{00000000-0004-0000-0C00-000065020000}"/>
    <hyperlink ref="T602" r:id="rId615" display="https://storage.googleapis.com/glide-prod.appspot.com/uploads-v2/ly7o78grxPaC6KdgvbpS/pub/3aRdSog0vUtuqPE8AJKD.png" xr:uid="{00000000-0004-0000-0C00-000066020000}"/>
    <hyperlink ref="T603" r:id="rId616" display="https://storage.googleapis.com/glide-prod.appspot.com/uploads-v2/ly7o78grxPaC6KdgvbpS/pub/3aRdSog0vUtuqPE8AJKD.png" xr:uid="{00000000-0004-0000-0C00-000067020000}"/>
    <hyperlink ref="T604" r:id="rId617" display="https://storage.googleapis.com/glide-prod.appspot.com/uploads-v2/ly7o78grxPaC6KdgvbpS/pub/3aRdSog0vUtuqPE8AJKD.png" xr:uid="{00000000-0004-0000-0C00-000068020000}"/>
    <hyperlink ref="T605" r:id="rId618" display="https://storage.googleapis.com/glide-prod.appspot.com/uploads-v2/ly7o78grxPaC6KdgvbpS/pub/3aRdSog0vUtuqPE8AJKD.png" xr:uid="{00000000-0004-0000-0C00-000069020000}"/>
    <hyperlink ref="T606" r:id="rId619" display="https://storage.googleapis.com/glide-prod.appspot.com/uploads-v2/ly7o78grxPaC6KdgvbpS/pub/3aRdSog0vUtuqPE8AJKD.png" xr:uid="{00000000-0004-0000-0C00-00006A020000}"/>
    <hyperlink ref="T607" r:id="rId620" display="https://storage.googleapis.com/glide-prod.appspot.com/uploads-v2/ly7o78grxPaC6KdgvbpS/pub/3aRdSog0vUtuqPE8AJKD.png" xr:uid="{00000000-0004-0000-0C00-00006B020000}"/>
    <hyperlink ref="T608" r:id="rId621" display="https://storage.googleapis.com/glide-prod.appspot.com/uploads-v2/ly7o78grxPaC6KdgvbpS/pub/3aRdSog0vUtuqPE8AJKD.png" xr:uid="{00000000-0004-0000-0C00-00006C020000}"/>
    <hyperlink ref="T609" r:id="rId622" display="https://storage.googleapis.com/glide-prod.appspot.com/uploads-v2/ly7o78grxPaC6KdgvbpS/pub/3aRdSog0vUtuqPE8AJKD.png" xr:uid="{00000000-0004-0000-0C00-00006D020000}"/>
    <hyperlink ref="T610" r:id="rId623" display="https://storage.googleapis.com/glide-prod.appspot.com/uploads-v2/ly7o78grxPaC6KdgvbpS/pub/3aRdSog0vUtuqPE8AJKD.png" xr:uid="{00000000-0004-0000-0C00-00006E020000}"/>
    <hyperlink ref="T611" r:id="rId624" display="https://storage.googleapis.com/glide-prod.appspot.com/uploads-v2/ly7o78grxPaC6KdgvbpS/pub/3aRdSog0vUtuqPE8AJKD.png" xr:uid="{00000000-0004-0000-0C00-00006F020000}"/>
    <hyperlink ref="T612" r:id="rId625" display="https://storage.googleapis.com/glide-prod.appspot.com/uploads-v2/ly7o78grxPaC6KdgvbpS/pub/3aRdSog0vUtuqPE8AJKD.png" xr:uid="{00000000-0004-0000-0C00-000070020000}"/>
    <hyperlink ref="T613" r:id="rId626" display="https://storage.googleapis.com/glide-prod.appspot.com/uploads-v2/ly7o78grxPaC6KdgvbpS/pub/3aRdSog0vUtuqPE8AJKD.png" xr:uid="{00000000-0004-0000-0C00-000071020000}"/>
    <hyperlink ref="T614" r:id="rId627" display="https://storage.googleapis.com/glide-prod.appspot.com/uploads-v2/ly7o78grxPaC6KdgvbpS/pub/3aRdSog0vUtuqPE8AJKD.png" xr:uid="{00000000-0004-0000-0C00-000072020000}"/>
    <hyperlink ref="T615" r:id="rId628" display="https://storage.googleapis.com/glide-prod.appspot.com/uploads-v2/ly7o78grxPaC6KdgvbpS/pub/3aRdSog0vUtuqPE8AJKD.png" xr:uid="{00000000-0004-0000-0C00-000073020000}"/>
    <hyperlink ref="T616" r:id="rId629" display="https://storage.googleapis.com/glide-prod.appspot.com/uploads-v2/ly7o78grxPaC6KdgvbpS/pub/3aRdSog0vUtuqPE8AJKD.png" xr:uid="{00000000-0004-0000-0C00-000074020000}"/>
    <hyperlink ref="T617" r:id="rId630" display="https://storage.googleapis.com/glide-prod.appspot.com/uploads-v2/ly7o78grxPaC6KdgvbpS/pub/3aRdSog0vUtuqPE8AJKD.png" xr:uid="{00000000-0004-0000-0C00-000075020000}"/>
    <hyperlink ref="T618" r:id="rId631" display="https://storage.googleapis.com/glide-prod.appspot.com/uploads-v2/ly7o78grxPaC6KdgvbpS/pub/3aRdSog0vUtuqPE8AJKD.png" xr:uid="{00000000-0004-0000-0C00-000076020000}"/>
    <hyperlink ref="T619" r:id="rId632" display="https://storage.googleapis.com/glide-prod.appspot.com/uploads-v2/ly7o78grxPaC6KdgvbpS/pub/3aRdSog0vUtuqPE8AJKD.png" xr:uid="{00000000-0004-0000-0C00-000077020000}"/>
    <hyperlink ref="T620" r:id="rId633" display="https://storage.googleapis.com/glide-prod.appspot.com/uploads-v2/ly7o78grxPaC6KdgvbpS/pub/3aRdSog0vUtuqPE8AJKD.png" xr:uid="{00000000-0004-0000-0C00-000078020000}"/>
    <hyperlink ref="T621" r:id="rId634" display="https://storage.googleapis.com/glide-prod.appspot.com/uploads-v2/ly7o78grxPaC6KdgvbpS/pub/3aRdSog0vUtuqPE8AJKD.png" xr:uid="{00000000-0004-0000-0C00-000079020000}"/>
    <hyperlink ref="T622" r:id="rId635" display="https://storage.googleapis.com/glide-prod.appspot.com/uploads-v2/ly7o78grxPaC6KdgvbpS/pub/3aRdSog0vUtuqPE8AJKD.png" xr:uid="{00000000-0004-0000-0C00-00007A020000}"/>
    <hyperlink ref="T623" r:id="rId636" display="https://storage.googleapis.com/glide-prod.appspot.com/uploads-v2/ly7o78grxPaC6KdgvbpS/pub/UliJWgpEaBovaFmXi6OW.png" xr:uid="{00000000-0004-0000-0C00-00007B020000}"/>
    <hyperlink ref="T624" r:id="rId637" display="https://storage.googleapis.com/glide-prod.appspot.com/uploads-v2/ly7o78grxPaC6KdgvbpS/pub/3aRdSog0vUtuqPE8AJKD.png" xr:uid="{00000000-0004-0000-0C00-00007C020000}"/>
    <hyperlink ref="T625" r:id="rId638" display="https://storage.googleapis.com/glide-prod.appspot.com/uploads-v2/ly7o78grxPaC6KdgvbpS/pub/3aRdSog0vUtuqPE8AJKD.png" xr:uid="{00000000-0004-0000-0C00-00007D020000}"/>
    <hyperlink ref="T626" r:id="rId639" display="https://storage.googleapis.com/glide-prod.appspot.com/uploads-v2/ly7o78grxPaC6KdgvbpS/pub/3aRdSog0vUtuqPE8AJKD.png" xr:uid="{00000000-0004-0000-0C00-00007E020000}"/>
    <hyperlink ref="T627" r:id="rId640" display="https://storage.googleapis.com/glide-prod.appspot.com/uploads-v2/ly7o78grxPaC6KdgvbpS/pub/3aRdSog0vUtuqPE8AJKD.png" xr:uid="{00000000-0004-0000-0C00-00007F020000}"/>
    <hyperlink ref="T628" r:id="rId641" display="https://storage.googleapis.com/glide-prod.appspot.com/uploads-v2/ly7o78grxPaC6KdgvbpS/pub/3aRdSog0vUtuqPE8AJKD.png" xr:uid="{00000000-0004-0000-0C00-000080020000}"/>
    <hyperlink ref="T629" r:id="rId642" display="https://storage.googleapis.com/glide-prod.appspot.com/uploads-v2/ly7o78grxPaC6KdgvbpS/pub/3aRdSog0vUtuqPE8AJKD.png" xr:uid="{00000000-0004-0000-0C00-000081020000}"/>
    <hyperlink ref="T630" r:id="rId643" display="https://storage.googleapis.com/glide-prod.appspot.com/uploads-v2/ly7o78grxPaC6KdgvbpS/pub/3aRdSog0vUtuqPE8AJKD.png" xr:uid="{00000000-0004-0000-0C00-000082020000}"/>
    <hyperlink ref="T631" r:id="rId644" display="https://storage.googleapis.com/glide-prod.appspot.com/uploads-v2/ly7o78grxPaC6KdgvbpS/pub/3aRdSog0vUtuqPE8AJKD.png" xr:uid="{00000000-0004-0000-0C00-000083020000}"/>
    <hyperlink ref="T632" r:id="rId645" display="https://storage.googleapis.com/glide-prod.appspot.com/uploads-v2/ly7o78grxPaC6KdgvbpS/pub/3aRdSog0vUtuqPE8AJKD.png" xr:uid="{00000000-0004-0000-0C00-000084020000}"/>
    <hyperlink ref="T633" r:id="rId646" display="https://storage.googleapis.com/glide-prod.appspot.com/uploads-v2/ly7o78grxPaC6KdgvbpS/pub/3aRdSog0vUtuqPE8AJKD.png" xr:uid="{00000000-0004-0000-0C00-000085020000}"/>
    <hyperlink ref="T634" r:id="rId647" display="https://storage.googleapis.com/glide-prod.appspot.com/uploads-v2/ly7o78grxPaC6KdgvbpS/pub/3aRdSog0vUtuqPE8AJKD.png" xr:uid="{00000000-0004-0000-0C00-000086020000}"/>
    <hyperlink ref="T635" r:id="rId648" display="https://storage.googleapis.com/glide-prod.appspot.com/uploads-v2/ly7o78grxPaC6KdgvbpS/pub/3aRdSog0vUtuqPE8AJKD.png" xr:uid="{00000000-0004-0000-0C00-000087020000}"/>
    <hyperlink ref="T636" r:id="rId649" display="https://storage.googleapis.com/glide-prod.appspot.com/uploads-v2/ly7o78grxPaC6KdgvbpS/pub/3aRdSog0vUtuqPE8AJKD.png" xr:uid="{00000000-0004-0000-0C00-000088020000}"/>
    <hyperlink ref="T637" r:id="rId650" display="https://storage.googleapis.com/glide-prod.appspot.com/uploads-v2/ly7o78grxPaC6KdgvbpS/pub/3aRdSog0vUtuqPE8AJKD.png" xr:uid="{00000000-0004-0000-0C00-000089020000}"/>
    <hyperlink ref="T638" r:id="rId651" display="https://storage.googleapis.com/glide-prod.appspot.com/uploads-v2/ly7o78grxPaC6KdgvbpS/pub/3aRdSog0vUtuqPE8AJKD.png" xr:uid="{00000000-0004-0000-0C00-00008A020000}"/>
    <hyperlink ref="T639" r:id="rId652" display="https://storage.googleapis.com/glide-prod.appspot.com/uploads-v2/ly7o78grxPaC6KdgvbpS/pub/3aRdSog0vUtuqPE8AJKD.png" xr:uid="{00000000-0004-0000-0C00-00008B020000}"/>
    <hyperlink ref="T640" r:id="rId653" display="https://storage.googleapis.com/glide-prod.appspot.com/uploads-v2/ly7o78grxPaC6KdgvbpS/pub/3aRdSog0vUtuqPE8AJKD.png" xr:uid="{00000000-0004-0000-0C00-00008C020000}"/>
    <hyperlink ref="T641" r:id="rId654" display="https://storage.googleapis.com/glide-prod.appspot.com/uploads-v2/ly7o78grxPaC6KdgvbpS/pub/3aRdSog0vUtuqPE8AJKD.png" xr:uid="{00000000-0004-0000-0C00-00008D020000}"/>
    <hyperlink ref="T642" r:id="rId655" display="https://storage.googleapis.com/glide-prod.appspot.com/uploads-v2/ly7o78grxPaC6KdgvbpS/pub/3aRdSog0vUtuqPE8AJKD.png" xr:uid="{00000000-0004-0000-0C00-00008E020000}"/>
    <hyperlink ref="T643" r:id="rId656" display="https://storage.googleapis.com/glide-prod.appspot.com/uploads-v2/ly7o78grxPaC6KdgvbpS/pub/3aRdSog0vUtuqPE8AJKD.png" xr:uid="{00000000-0004-0000-0C00-00008F020000}"/>
    <hyperlink ref="T644" r:id="rId657" display="https://storage.googleapis.com/glide-prod.appspot.com/uploads-v2/ly7o78grxPaC6KdgvbpS/pub/3aRdSog0vUtuqPE8AJKD.png" xr:uid="{00000000-0004-0000-0C00-000090020000}"/>
    <hyperlink ref="T645" r:id="rId658" display="https://storage.googleapis.com/glide-prod.appspot.com/uploads-v2/ly7o78grxPaC6KdgvbpS/pub/3aRdSog0vUtuqPE8AJKD.png" xr:uid="{00000000-0004-0000-0C00-000091020000}"/>
    <hyperlink ref="T646" r:id="rId659" display="https://storage.googleapis.com/glide-prod.appspot.com/uploads-v2/ly7o78grxPaC6KdgvbpS/pub/3aRdSog0vUtuqPE8AJKD.png" xr:uid="{00000000-0004-0000-0C00-000092020000}"/>
    <hyperlink ref="T647" r:id="rId660" display="https://storage.googleapis.com/glide-prod.appspot.com/uploads-v2/ly7o78grxPaC6KdgvbpS/pub/3aRdSog0vUtuqPE8AJKD.png" xr:uid="{00000000-0004-0000-0C00-000093020000}"/>
    <hyperlink ref="T648" r:id="rId661" display="https://storage.googleapis.com/glide-prod.appspot.com/uploads-v2/ly7o78grxPaC6KdgvbpS/pub/3aRdSog0vUtuqPE8AJKD.png" xr:uid="{00000000-0004-0000-0C00-000094020000}"/>
    <hyperlink ref="T649" r:id="rId662" display="https://storage.googleapis.com/glide-prod.appspot.com/uploads-v2/ly7o78grxPaC6KdgvbpS/pub/3aRdSog0vUtuqPE8AJKD.png" xr:uid="{00000000-0004-0000-0C00-000095020000}"/>
    <hyperlink ref="T650" r:id="rId663" display="https://storage.googleapis.com/glide-prod.appspot.com/uploads-v2/ly7o78grxPaC6KdgvbpS/pub/3aRdSog0vUtuqPE8AJKD.png" xr:uid="{00000000-0004-0000-0C00-000096020000}"/>
    <hyperlink ref="T651" r:id="rId664" display="https://storage.googleapis.com/glide-prod.appspot.com/uploads-v2/ly7o78grxPaC6KdgvbpS/pub/3aRdSog0vUtuqPE8AJKD.png" xr:uid="{00000000-0004-0000-0C00-000097020000}"/>
    <hyperlink ref="T652" r:id="rId665" display="https://storage.googleapis.com/glide-prod.appspot.com/uploads-v2/ly7o78grxPaC6KdgvbpS/pub/3aRdSog0vUtuqPE8AJKD.png" xr:uid="{00000000-0004-0000-0C00-000098020000}"/>
    <hyperlink ref="T653" r:id="rId666" display="https://storage.googleapis.com/glide-prod.appspot.com/uploads-v2/ly7o78grxPaC6KdgvbpS/pub/3aRdSog0vUtuqPE8AJKD.png" xr:uid="{00000000-0004-0000-0C00-000099020000}"/>
    <hyperlink ref="T654" r:id="rId667" display="https://storage.googleapis.com/glide-prod.appspot.com/uploads-v2/ly7o78grxPaC6KdgvbpS/pub/3aRdSog0vUtuqPE8AJKD.png" xr:uid="{00000000-0004-0000-0C00-00009A020000}"/>
    <hyperlink ref="T655" r:id="rId668" display="https://storage.googleapis.com/glide-prod.appspot.com/uploads-v2/ly7o78grxPaC6KdgvbpS/pub/3aRdSog0vUtuqPE8AJKD.png" xr:uid="{00000000-0004-0000-0C00-00009B020000}"/>
    <hyperlink ref="T656" r:id="rId669" display="https://storage.googleapis.com/glide-prod.appspot.com/uploads-v2/ly7o78grxPaC6KdgvbpS/pub/3aRdSog0vUtuqPE8AJKD.png" xr:uid="{00000000-0004-0000-0C00-00009C020000}"/>
    <hyperlink ref="T657" r:id="rId670" display="https://storage.googleapis.com/glide-prod.appspot.com/uploads-v2/ly7o78grxPaC6KdgvbpS/pub/3aRdSog0vUtuqPE8AJKD.png" xr:uid="{00000000-0004-0000-0C00-00009D020000}"/>
    <hyperlink ref="T658" r:id="rId671" display="https://storage.googleapis.com/glide-prod.appspot.com/uploads-v2/ly7o78grxPaC6KdgvbpS/pub/3aRdSog0vUtuqPE8AJKD.png" xr:uid="{00000000-0004-0000-0C00-00009E020000}"/>
    <hyperlink ref="T659" r:id="rId672" display="https://storage.googleapis.com/glide-prod.appspot.com/uploads-v2/ly7o78grxPaC6KdgvbpS/pub/3aRdSog0vUtuqPE8AJKD.png" xr:uid="{00000000-0004-0000-0C00-00009F020000}"/>
    <hyperlink ref="T660" r:id="rId673" display="https://storage.googleapis.com/glide-prod.appspot.com/uploads-v2/ly7o78grxPaC6KdgvbpS/pub/3aRdSog0vUtuqPE8AJKD.png" xr:uid="{00000000-0004-0000-0C00-0000A0020000}"/>
    <hyperlink ref="T661" r:id="rId674" display="https://storage.googleapis.com/glide-prod.appspot.com/uploads-v2/ly7o78grxPaC6KdgvbpS/pub/3aRdSog0vUtuqPE8AJKD.png" xr:uid="{00000000-0004-0000-0C00-0000A1020000}"/>
    <hyperlink ref="T662" r:id="rId675" display="https://storage.googleapis.com/glide-prod.appspot.com/uploads-v2/ly7o78grxPaC6KdgvbpS/pub/3aRdSog0vUtuqPE8AJKD.png" xr:uid="{00000000-0004-0000-0C00-0000A2020000}"/>
    <hyperlink ref="T663" r:id="rId676" display="https://storage.googleapis.com/glide-prod.appspot.com/uploads-v2/ly7o78grxPaC6KdgvbpS/pub/3aRdSog0vUtuqPE8AJKD.png" xr:uid="{00000000-0004-0000-0C00-0000A3020000}"/>
    <hyperlink ref="T664" r:id="rId677" display="https://storage.googleapis.com/glide-prod.appspot.com/uploads-v2/ly7o78grxPaC6KdgvbpS/pub/3aRdSog0vUtuqPE8AJKD.png" xr:uid="{00000000-0004-0000-0C00-0000A4020000}"/>
    <hyperlink ref="T665" r:id="rId678" display="https://storage.googleapis.com/glide-prod.appspot.com/uploads-v2/ly7o78grxPaC6KdgvbpS/pub/3aRdSog0vUtuqPE8AJKD.png" xr:uid="{00000000-0004-0000-0C00-0000A5020000}"/>
    <hyperlink ref="T666" r:id="rId679" display="https://storage.googleapis.com/glide-prod.appspot.com/uploads-v2/ly7o78grxPaC6KdgvbpS/pub/3aRdSog0vUtuqPE8AJKD.png" xr:uid="{00000000-0004-0000-0C00-0000A6020000}"/>
    <hyperlink ref="T667" r:id="rId680" display="https://storage.googleapis.com/glide-prod.appspot.com/uploads-v2/ly7o78grxPaC6KdgvbpS/pub/yvtCGRAPIbS0tVLIlehH.png" xr:uid="{00000000-0004-0000-0C00-0000A7020000}"/>
    <hyperlink ref="T668" r:id="rId681" display="https://storage.googleapis.com/glide-prod.appspot.com/uploads-v2/ly7o78grxPaC6KdgvbpS/pub/3aRdSog0vUtuqPE8AJKD.png" xr:uid="{00000000-0004-0000-0C00-0000A8020000}"/>
    <hyperlink ref="T669" r:id="rId682" display="https://storage.googleapis.com/glide-prod.appspot.com/uploads-v2/ly7o78grxPaC6KdgvbpS/pub/3aRdSog0vUtuqPE8AJKD.png" xr:uid="{00000000-0004-0000-0C00-0000A9020000}"/>
    <hyperlink ref="T670" r:id="rId683" display="https://storage.googleapis.com/glide-prod.appspot.com/uploads-v2/ly7o78grxPaC6KdgvbpS/pub/3aRdSog0vUtuqPE8AJKD.png" xr:uid="{00000000-0004-0000-0C00-0000AA020000}"/>
    <hyperlink ref="T671" r:id="rId684" display="https://storage.googleapis.com/glide-prod.appspot.com/uploads-v2/ly7o78grxPaC6KdgvbpS/pub/3aRdSog0vUtuqPE8AJKD.png" xr:uid="{00000000-0004-0000-0C00-0000AB020000}"/>
    <hyperlink ref="T672" r:id="rId685" display="https://storage.googleapis.com/glide-prod.appspot.com/uploads-v2/ly7o78grxPaC6KdgvbpS/pub/3aRdSog0vUtuqPE8AJKD.png" xr:uid="{00000000-0004-0000-0C00-0000AC020000}"/>
    <hyperlink ref="T673" r:id="rId686" display="https://storage.googleapis.com/glide-prod.appspot.com/uploads-v2/ly7o78grxPaC6KdgvbpS/pub/3aRdSog0vUtuqPE8AJKD.png" xr:uid="{00000000-0004-0000-0C00-0000AD020000}"/>
    <hyperlink ref="T674" r:id="rId687" display="https://storage.googleapis.com/glide-prod.appspot.com/uploads-v2/ly7o78grxPaC6KdgvbpS/pub/3aRdSog0vUtuqPE8AJKD.png" xr:uid="{00000000-0004-0000-0C00-0000AE020000}"/>
    <hyperlink ref="T675" r:id="rId688" display="https://storage.googleapis.com/glide-prod.appspot.com/uploads-v2/ly7o78grxPaC6KdgvbpS/pub/3aRdSog0vUtuqPE8AJKD.png" xr:uid="{00000000-0004-0000-0C00-0000AF020000}"/>
    <hyperlink ref="T676" r:id="rId689" display="https://storage.googleapis.com/glide-prod.appspot.com/uploads-v2/ly7o78grxPaC6KdgvbpS/pub/3aRdSog0vUtuqPE8AJKD.png" xr:uid="{00000000-0004-0000-0C00-0000B0020000}"/>
    <hyperlink ref="T677" r:id="rId690" display="https://storage.googleapis.com/glide-prod.appspot.com/uploads-v2/ly7o78grxPaC6KdgvbpS/pub/3aRdSog0vUtuqPE8AJKD.png" xr:uid="{00000000-0004-0000-0C00-0000B1020000}"/>
    <hyperlink ref="T678" r:id="rId691" display="https://storage.googleapis.com/glide-prod.appspot.com/uploads-v2/ly7o78grxPaC6KdgvbpS/pub/3aRdSog0vUtuqPE8AJKD.png" xr:uid="{00000000-0004-0000-0C00-0000B2020000}"/>
    <hyperlink ref="T679" r:id="rId692" display="https://storage.googleapis.com/glide-prod.appspot.com/uploads-v2/ly7o78grxPaC6KdgvbpS/pub/3aRdSog0vUtuqPE8AJKD.png" xr:uid="{00000000-0004-0000-0C00-0000B3020000}"/>
    <hyperlink ref="T680" r:id="rId693" display="https://storage.googleapis.com/glide-prod.appspot.com/uploads-v2/ly7o78grxPaC6KdgvbpS/pub/3aRdSog0vUtuqPE8AJKD.png" xr:uid="{00000000-0004-0000-0C00-0000B4020000}"/>
    <hyperlink ref="T681" r:id="rId694" display="https://storage.googleapis.com/glide-prod.appspot.com/uploads-v2/ly7o78grxPaC6KdgvbpS/pub/3aRdSog0vUtuqPE8AJKD.png" xr:uid="{00000000-0004-0000-0C00-0000B5020000}"/>
    <hyperlink ref="T682" r:id="rId695" display="https://storage.googleapis.com/glide-prod.appspot.com/uploads-v2/ly7o78grxPaC6KdgvbpS/pub/3aRdSog0vUtuqPE8AJKD.png" xr:uid="{00000000-0004-0000-0C00-0000B6020000}"/>
    <hyperlink ref="T683" r:id="rId696" display="https://storage.googleapis.com/glide-prod.appspot.com/uploads-v2/ly7o78grxPaC6KdgvbpS/pub/3aRdSog0vUtuqPE8AJKD.png" xr:uid="{00000000-0004-0000-0C00-0000B7020000}"/>
    <hyperlink ref="T684" r:id="rId697" display="https://storage.googleapis.com/glide-prod.appspot.com/uploads-v2/ly7o78grxPaC6KdgvbpS/pub/3aRdSog0vUtuqPE8AJKD.png" xr:uid="{00000000-0004-0000-0C00-0000B8020000}"/>
    <hyperlink ref="T685" r:id="rId698" display="https://storage.googleapis.com/glide-prod.appspot.com/uploads-v2/ly7o78grxPaC6KdgvbpS/pub/3aRdSog0vUtuqPE8AJKD.png" xr:uid="{00000000-0004-0000-0C00-0000B9020000}"/>
    <hyperlink ref="T686" r:id="rId699" display="https://storage.googleapis.com/glide-prod.appspot.com/uploads-v2/ly7o78grxPaC6KdgvbpS/pub/3aRdSog0vUtuqPE8AJKD.png" xr:uid="{00000000-0004-0000-0C00-0000BA020000}"/>
    <hyperlink ref="T687" r:id="rId700" display="https://storage.googleapis.com/glide-prod.appspot.com/uploads-v2/ly7o78grxPaC6KdgvbpS/pub/3aRdSog0vUtuqPE8AJKD.png" xr:uid="{00000000-0004-0000-0C00-0000BB020000}"/>
    <hyperlink ref="T688" r:id="rId701" display="https://storage.googleapis.com/glide-prod.appspot.com/uploads-v2/ly7o78grxPaC6KdgvbpS/pub/3aRdSog0vUtuqPE8AJKD.png" xr:uid="{00000000-0004-0000-0C00-0000BC020000}"/>
    <hyperlink ref="T689" r:id="rId702" display="https://storage.googleapis.com/glide-prod.appspot.com/uploads-v2/ly7o78grxPaC6KdgvbpS/pub/3aRdSog0vUtuqPE8AJKD.png" xr:uid="{00000000-0004-0000-0C00-0000BD020000}"/>
    <hyperlink ref="T690" r:id="rId703" display="https://storage.googleapis.com/glide-prod.appspot.com/uploads-v2/ly7o78grxPaC6KdgvbpS/pub/3aRdSog0vUtuqPE8AJKD.png" xr:uid="{00000000-0004-0000-0C00-0000BE020000}"/>
    <hyperlink ref="T691" r:id="rId704" display="https://storage.googleapis.com/glide-prod.appspot.com/uploads-v2/ly7o78grxPaC6KdgvbpS/pub/3aRdSog0vUtuqPE8AJKD.png" xr:uid="{00000000-0004-0000-0C00-0000BF020000}"/>
    <hyperlink ref="T692" r:id="rId705" display="https://storage.googleapis.com/glide-prod.appspot.com/uploads-v2/ly7o78grxPaC6KdgvbpS/pub/3aRdSog0vUtuqPE8AJKD.png" xr:uid="{00000000-0004-0000-0C00-0000C0020000}"/>
    <hyperlink ref="T693" r:id="rId706" display="https://storage.googleapis.com/glide-prod.appspot.com/uploads-v2/ly7o78grxPaC6KdgvbpS/pub/3aRdSog0vUtuqPE8AJKD.png" xr:uid="{00000000-0004-0000-0C00-0000C1020000}"/>
    <hyperlink ref="T694" r:id="rId707" display="https://storage.googleapis.com/glide-prod.appspot.com/uploads-v2/ly7o78grxPaC6KdgvbpS/pub/3aRdSog0vUtuqPE8AJKD.png" xr:uid="{00000000-0004-0000-0C00-0000C2020000}"/>
    <hyperlink ref="T695" r:id="rId708" display="https://storage.googleapis.com/glide-prod.appspot.com/uploads-v2/ly7o78grxPaC6KdgvbpS/pub/3aRdSog0vUtuqPE8AJKD.png" xr:uid="{00000000-0004-0000-0C00-0000C3020000}"/>
    <hyperlink ref="T696" r:id="rId709" display="https://storage.googleapis.com/glide-prod.appspot.com/uploads-v2/ly7o78grxPaC6KdgvbpS/pub/3aRdSog0vUtuqPE8AJKD.png" xr:uid="{00000000-0004-0000-0C00-0000C4020000}"/>
    <hyperlink ref="T697" r:id="rId710" display="https://storage.googleapis.com/glide-prod.appspot.com/uploads-v2/ly7o78grxPaC6KdgvbpS/pub/3aRdSog0vUtuqPE8AJKD.png" xr:uid="{00000000-0004-0000-0C00-0000C5020000}"/>
    <hyperlink ref="T698" r:id="rId711" display="https://storage.googleapis.com/glide-prod.appspot.com/uploads-v2/ly7o78grxPaC6KdgvbpS/pub/3aRdSog0vUtuqPE8AJKD.png" xr:uid="{00000000-0004-0000-0C00-0000C6020000}"/>
    <hyperlink ref="T699" r:id="rId712" display="https://storage.googleapis.com/glide-prod.appspot.com/uploads-v2/ly7o78grxPaC6KdgvbpS/pub/3aRdSog0vUtuqPE8AJKD.png" xr:uid="{00000000-0004-0000-0C00-0000C7020000}"/>
    <hyperlink ref="T700" r:id="rId713" display="https://storage.googleapis.com/glide-prod.appspot.com/uploads-v2/ly7o78grxPaC6KdgvbpS/pub/3aRdSog0vUtuqPE8AJKD.png" xr:uid="{00000000-0004-0000-0C00-0000C8020000}"/>
    <hyperlink ref="T701" r:id="rId714" display="https://storage.googleapis.com/glide-prod.appspot.com/uploads-v2/ly7o78grxPaC6KdgvbpS/pub/3aRdSog0vUtuqPE8AJKD.png" xr:uid="{00000000-0004-0000-0C00-0000C9020000}"/>
    <hyperlink ref="T702" r:id="rId715" display="https://storage.googleapis.com/glide-prod.appspot.com/uploads-v2/ly7o78grxPaC6KdgvbpS/pub/3aRdSog0vUtuqPE8AJKD.png" xr:uid="{00000000-0004-0000-0C00-0000CA020000}"/>
    <hyperlink ref="T703" r:id="rId716" display="https://storage.googleapis.com/glide-prod.appspot.com/uploads-v2/ly7o78grxPaC6KdgvbpS/pub/3aRdSog0vUtuqPE8AJKD.png" xr:uid="{00000000-0004-0000-0C00-0000CB020000}"/>
    <hyperlink ref="T704" r:id="rId717" display="https://storage.googleapis.com/glide-prod.appspot.com/uploads-v2/ly7o78grxPaC6KdgvbpS/pub/3aRdSog0vUtuqPE8AJKD.png" xr:uid="{00000000-0004-0000-0C00-0000CC020000}"/>
    <hyperlink ref="T705" r:id="rId718" display="https://storage.googleapis.com/glide-prod.appspot.com/uploads-v2/ly7o78grxPaC6KdgvbpS/pub/3aRdSog0vUtuqPE8AJKD.png" xr:uid="{00000000-0004-0000-0C00-0000CD020000}"/>
    <hyperlink ref="T706" r:id="rId719" display="https://storage.googleapis.com/glide-prod.appspot.com/uploads-v2/ly7o78grxPaC6KdgvbpS/pub/3aRdSog0vUtuqPE8AJKD.png" xr:uid="{00000000-0004-0000-0C00-0000CE020000}"/>
    <hyperlink ref="T707" r:id="rId720" display="https://storage.googleapis.com/glide-prod.appspot.com/uploads-v2/ly7o78grxPaC6KdgvbpS/pub/UliJWgpEaBovaFmXi6OW.png" xr:uid="{00000000-0004-0000-0C00-0000CF020000}"/>
    <hyperlink ref="T708" r:id="rId721" display="https://storage.googleapis.com/glide-prod.appspot.com/uploads-v2/ly7o78grxPaC6KdgvbpS/pub/UliJWgpEaBovaFmXi6OW.png" xr:uid="{00000000-0004-0000-0C00-0000D0020000}"/>
    <hyperlink ref="T709" r:id="rId722" display="https://storage.googleapis.com/glide-prod.appspot.com/uploads-v2/ly7o78grxPaC6KdgvbpS/pub/UliJWgpEaBovaFmXi6OW.png" xr:uid="{00000000-0004-0000-0C00-0000D1020000}"/>
    <hyperlink ref="T710" r:id="rId723" display="https://storage.googleapis.com/glide-prod.appspot.com/uploads-v2/ly7o78grxPaC6KdgvbpS/pub/3aRdSog0vUtuqPE8AJKD.png" xr:uid="{00000000-0004-0000-0C00-0000D2020000}"/>
    <hyperlink ref="T711" r:id="rId724" display="https://storage.googleapis.com/glide-prod.appspot.com/uploads-v2/ly7o78grxPaC6KdgvbpS/pub/3aRdSog0vUtuqPE8AJKD.png" xr:uid="{00000000-0004-0000-0C00-0000D3020000}"/>
    <hyperlink ref="T712" r:id="rId725" display="https://storage.googleapis.com/glide-prod.appspot.com/uploads-v2/ly7o78grxPaC6KdgvbpS/pub/3aRdSog0vUtuqPE8AJKD.png" xr:uid="{00000000-0004-0000-0C00-0000D4020000}"/>
    <hyperlink ref="T713" r:id="rId726" display="https://storage.googleapis.com/glide-prod.appspot.com/uploads-v2/ly7o78grxPaC6KdgvbpS/pub/3aRdSog0vUtuqPE8AJKD.png" xr:uid="{00000000-0004-0000-0C00-0000D5020000}"/>
    <hyperlink ref="T714" r:id="rId727" display="https://storage.googleapis.com/glide-prod.appspot.com/uploads-v2/ly7o78grxPaC6KdgvbpS/pub/3aRdSog0vUtuqPE8AJKD.png" xr:uid="{00000000-0004-0000-0C00-0000D6020000}"/>
    <hyperlink ref="T715" r:id="rId728" display="https://storage.googleapis.com/glide-prod.appspot.com/uploads-v2/ly7o78grxPaC6KdgvbpS/pub/3aRdSog0vUtuqPE8AJKD.png" xr:uid="{00000000-0004-0000-0C00-0000D7020000}"/>
    <hyperlink ref="T716" r:id="rId729" display="https://storage.googleapis.com/glide-prod.appspot.com/uploads-v2/ly7o78grxPaC6KdgvbpS/pub/3aRdSog0vUtuqPE8AJKD.png" xr:uid="{00000000-0004-0000-0C00-0000D8020000}"/>
    <hyperlink ref="T717" r:id="rId730" display="https://storage.googleapis.com/glide-prod.appspot.com/uploads-v2/ly7o78grxPaC6KdgvbpS/pub/3aRdSog0vUtuqPE8AJKD.png" xr:uid="{00000000-0004-0000-0C00-0000D9020000}"/>
    <hyperlink ref="T718" r:id="rId731" display="https://storage.googleapis.com/glide-prod.appspot.com/uploads-v2/ly7o78grxPaC6KdgvbpS/pub/3aRdSog0vUtuqPE8AJKD.png" xr:uid="{00000000-0004-0000-0C00-0000DA020000}"/>
    <hyperlink ref="T719" r:id="rId732" display="https://storage.googleapis.com/glide-prod.appspot.com/uploads-v2/ly7o78grxPaC6KdgvbpS/pub/3aRdSog0vUtuqPE8AJKD.png" xr:uid="{00000000-0004-0000-0C00-0000DB020000}"/>
    <hyperlink ref="T720" r:id="rId733" display="https://storage.googleapis.com/glide-prod.appspot.com/uploads-v2/ly7o78grxPaC6KdgvbpS/pub/3aRdSog0vUtuqPE8AJKD.png" xr:uid="{00000000-0004-0000-0C00-0000DC020000}"/>
    <hyperlink ref="T721" r:id="rId734" display="https://storage.googleapis.com/glide-prod.appspot.com/uploads-v2/ly7o78grxPaC6KdgvbpS/pub/3aRdSog0vUtuqPE8AJKD.png" xr:uid="{00000000-0004-0000-0C00-0000DD020000}"/>
    <hyperlink ref="T722" r:id="rId735" display="https://storage.googleapis.com/glide-prod.appspot.com/uploads-v2/ly7o78grxPaC6KdgvbpS/pub/3aRdSog0vUtuqPE8AJKD.png" xr:uid="{00000000-0004-0000-0C00-0000DE020000}"/>
    <hyperlink ref="T723" r:id="rId736" display="https://storage.googleapis.com/glide-prod.appspot.com/uploads-v2/ly7o78grxPaC6KdgvbpS/pub/3aRdSog0vUtuqPE8AJKD.png" xr:uid="{00000000-0004-0000-0C00-0000DF020000}"/>
    <hyperlink ref="T724" r:id="rId737" display="https://storage.googleapis.com/glide-prod.appspot.com/uploads-v2/ly7o78grxPaC6KdgvbpS/pub/3aRdSog0vUtuqPE8AJKD.png" xr:uid="{00000000-0004-0000-0C00-0000E0020000}"/>
    <hyperlink ref="T725" r:id="rId738" display="https://storage.googleapis.com/glide-prod.appspot.com/uploads-v2/ly7o78grxPaC6KdgvbpS/pub/3aRdSog0vUtuqPE8AJKD.png" xr:uid="{00000000-0004-0000-0C00-0000E1020000}"/>
    <hyperlink ref="T726" r:id="rId739" display="https://storage.googleapis.com/glide-prod.appspot.com/uploads-v2/ly7o78grxPaC6KdgvbpS/pub/3aRdSog0vUtuqPE8AJKD.png" xr:uid="{00000000-0004-0000-0C00-0000E2020000}"/>
    <hyperlink ref="T727" r:id="rId740" display="https://storage.googleapis.com/glide-prod.appspot.com/uploads-v2/ly7o78grxPaC6KdgvbpS/pub/3aRdSog0vUtuqPE8AJKD.png" xr:uid="{00000000-0004-0000-0C00-0000E3020000}"/>
    <hyperlink ref="T728" r:id="rId741" display="https://storage.googleapis.com/glide-prod.appspot.com/uploads-v2/ly7o78grxPaC6KdgvbpS/pub/3aRdSog0vUtuqPE8AJKD.png" xr:uid="{00000000-0004-0000-0C00-0000E4020000}"/>
    <hyperlink ref="T729" r:id="rId742" display="https://storage.googleapis.com/glide-prod.appspot.com/uploads-v2/ly7o78grxPaC6KdgvbpS/pub/3aRdSog0vUtuqPE8AJKD.png" xr:uid="{00000000-0004-0000-0C00-0000E5020000}"/>
    <hyperlink ref="T730" r:id="rId743" display="https://storage.googleapis.com/glide-prod.appspot.com/uploads-v2/ly7o78grxPaC6KdgvbpS/pub/3aRdSog0vUtuqPE8AJKD.png" xr:uid="{00000000-0004-0000-0C00-0000E6020000}"/>
    <hyperlink ref="T731" r:id="rId744" display="https://storage.googleapis.com/glide-prod.appspot.com/uploads-v2/ly7o78grxPaC6KdgvbpS/pub/3aRdSog0vUtuqPE8AJKD.png" xr:uid="{00000000-0004-0000-0C00-0000E7020000}"/>
    <hyperlink ref="T732" r:id="rId745" display="https://storage.googleapis.com/glide-prod.appspot.com/uploads-v2/ly7o78grxPaC6KdgvbpS/pub/3aRdSog0vUtuqPE8AJKD.png" xr:uid="{00000000-0004-0000-0C00-0000E8020000}"/>
    <hyperlink ref="T733" r:id="rId746" display="https://storage.googleapis.com/glide-prod.appspot.com/uploads-v2/ly7o78grxPaC6KdgvbpS/pub/3aRdSog0vUtuqPE8AJKD.png" xr:uid="{00000000-0004-0000-0C00-0000E9020000}"/>
    <hyperlink ref="T734" r:id="rId747" display="https://storage.googleapis.com/glide-prod.appspot.com/uploads-v2/ly7o78grxPaC6KdgvbpS/pub/3aRdSog0vUtuqPE8AJKD.png" xr:uid="{00000000-0004-0000-0C00-0000EA020000}"/>
    <hyperlink ref="T735" r:id="rId748" display="https://storage.googleapis.com/glide-prod.appspot.com/uploads-v2/ly7o78grxPaC6KdgvbpS/pub/3aRdSog0vUtuqPE8AJKD.png" xr:uid="{00000000-0004-0000-0C00-0000EB020000}"/>
    <hyperlink ref="T736" r:id="rId749" display="https://storage.googleapis.com/glide-prod.appspot.com/uploads-v2/ly7o78grxPaC6KdgvbpS/pub/3aRdSog0vUtuqPE8AJKD.png" xr:uid="{00000000-0004-0000-0C00-0000EC020000}"/>
    <hyperlink ref="T737" r:id="rId750" display="https://storage.googleapis.com/glide-prod.appspot.com/uploads-v2/ly7o78grxPaC6KdgvbpS/pub/3aRdSog0vUtuqPE8AJKD.png" xr:uid="{00000000-0004-0000-0C00-0000ED020000}"/>
    <hyperlink ref="T738" r:id="rId751" display="https://storage.googleapis.com/glide-prod.appspot.com/uploads-v2/ly7o78grxPaC6KdgvbpS/pub/3aRdSog0vUtuqPE8AJKD.png" xr:uid="{00000000-0004-0000-0C00-0000EE020000}"/>
    <hyperlink ref="T739" r:id="rId752" display="https://storage.googleapis.com/glide-prod.appspot.com/uploads-v2/ly7o78grxPaC6KdgvbpS/pub/3aRdSog0vUtuqPE8AJKD.png" xr:uid="{00000000-0004-0000-0C00-0000EF020000}"/>
    <hyperlink ref="T740" r:id="rId753" display="https://storage.googleapis.com/glide-prod.appspot.com/uploads-v2/ly7o78grxPaC6KdgvbpS/pub/3aRdSog0vUtuqPE8AJKD.png" xr:uid="{00000000-0004-0000-0C00-0000F0020000}"/>
    <hyperlink ref="T741" r:id="rId754" display="https://storage.googleapis.com/glide-prod.appspot.com/uploads-v2/ly7o78grxPaC6KdgvbpS/pub/3aRdSog0vUtuqPE8AJKD.png" xr:uid="{00000000-0004-0000-0C00-0000F1020000}"/>
    <hyperlink ref="T742" r:id="rId755" display="https://storage.googleapis.com/glide-prod.appspot.com/uploads-v2/ly7o78grxPaC6KdgvbpS/pub/3aRdSog0vUtuqPE8AJKD.png" xr:uid="{00000000-0004-0000-0C00-0000F2020000}"/>
    <hyperlink ref="T743" r:id="rId756" display="https://storage.googleapis.com/glide-prod.appspot.com/uploads-v2/ly7o78grxPaC6KdgvbpS/pub/3aRdSog0vUtuqPE8AJKD.png" xr:uid="{00000000-0004-0000-0C00-0000F3020000}"/>
    <hyperlink ref="T744" r:id="rId757" display="https://storage.googleapis.com/glide-prod.appspot.com/uploads-v2/ly7o78grxPaC6KdgvbpS/pub/3aRdSog0vUtuqPE8AJKD.png" xr:uid="{00000000-0004-0000-0C00-0000F4020000}"/>
    <hyperlink ref="T745" r:id="rId758" display="https://storage.googleapis.com/glide-prod.appspot.com/uploads-v2/ly7o78grxPaC6KdgvbpS/pub/3aRdSog0vUtuqPE8AJKD.png" xr:uid="{00000000-0004-0000-0C00-0000F5020000}"/>
    <hyperlink ref="T746" r:id="rId759" display="https://storage.googleapis.com/glide-prod.appspot.com/uploads-v2/ly7o78grxPaC6KdgvbpS/pub/3aRdSog0vUtuqPE8AJKD.png" xr:uid="{00000000-0004-0000-0C00-0000F6020000}"/>
    <hyperlink ref="T747" r:id="rId760" display="https://storage.googleapis.com/glide-prod.appspot.com/uploads-v2/ly7o78grxPaC6KdgvbpS/pub/3aRdSog0vUtuqPE8AJKD.png" xr:uid="{00000000-0004-0000-0C00-0000F7020000}"/>
    <hyperlink ref="T748" r:id="rId761" display="https://storage.googleapis.com/glide-prod.appspot.com/uploads-v2/ly7o78grxPaC6KdgvbpS/pub/3aRdSog0vUtuqPE8AJKD.png" xr:uid="{00000000-0004-0000-0C00-0000F8020000}"/>
    <hyperlink ref="T749" r:id="rId762" display="https://storage.googleapis.com/glide-prod.appspot.com/uploads-v2/ly7o78grxPaC6KdgvbpS/pub/3aRdSog0vUtuqPE8AJKD.png" xr:uid="{00000000-0004-0000-0C00-0000F9020000}"/>
    <hyperlink ref="T750" r:id="rId763" display="https://storage.googleapis.com/glide-prod.appspot.com/uploads-v2/ly7o78grxPaC6KdgvbpS/pub/3aRdSog0vUtuqPE8AJKD.png" xr:uid="{00000000-0004-0000-0C00-0000FA020000}"/>
    <hyperlink ref="T751" r:id="rId764" display="https://storage.googleapis.com/glide-prod.appspot.com/uploads-v2/ly7o78grxPaC6KdgvbpS/pub/3aRdSog0vUtuqPE8AJKD.png" xr:uid="{00000000-0004-0000-0C00-0000FB020000}"/>
    <hyperlink ref="T752" r:id="rId765" display="https://storage.googleapis.com/glide-prod.appspot.com/uploads-v2/ly7o78grxPaC6KdgvbpS/pub/3aRdSog0vUtuqPE8AJKD.png" xr:uid="{00000000-0004-0000-0C00-0000FC020000}"/>
    <hyperlink ref="T753" r:id="rId766" display="https://storage.googleapis.com/glide-prod.appspot.com/uploads-v2/ly7o78grxPaC6KdgvbpS/pub/3aRdSog0vUtuqPE8AJKD.png" xr:uid="{00000000-0004-0000-0C00-0000FD020000}"/>
    <hyperlink ref="T754" r:id="rId767" display="https://storage.googleapis.com/glide-prod.appspot.com/uploads-v2/ly7o78grxPaC6KdgvbpS/pub/3aRdSog0vUtuqPE8AJKD.png" xr:uid="{00000000-0004-0000-0C00-0000FE020000}"/>
    <hyperlink ref="T755" r:id="rId768" display="https://storage.googleapis.com/glide-prod.appspot.com/uploads-v2/ly7o78grxPaC6KdgvbpS/pub/3aRdSog0vUtuqPE8AJKD.png" xr:uid="{00000000-0004-0000-0C00-0000FF020000}"/>
    <hyperlink ref="T756" r:id="rId769" display="https://storage.googleapis.com/glide-prod.appspot.com/uploads-v2/ly7o78grxPaC6KdgvbpS/pub/3aRdSog0vUtuqPE8AJKD.png" xr:uid="{00000000-0004-0000-0C00-000000030000}"/>
    <hyperlink ref="T757" r:id="rId770" display="https://storage.googleapis.com/glide-prod.appspot.com/uploads-v2/ly7o78grxPaC6KdgvbpS/pub/3aRdSog0vUtuqPE8AJKD.png" xr:uid="{00000000-0004-0000-0C00-000001030000}"/>
    <hyperlink ref="T758" r:id="rId771" display="https://storage.googleapis.com/glide-prod.appspot.com/uploads-v2/ly7o78grxPaC6KdgvbpS/pub/3aRdSog0vUtuqPE8AJKD.png" xr:uid="{00000000-0004-0000-0C00-000002030000}"/>
    <hyperlink ref="T759" r:id="rId772" display="https://storage.googleapis.com/glide-prod.appspot.com/uploads-v2/ly7o78grxPaC6KdgvbpS/pub/3aRdSog0vUtuqPE8AJKD.png" xr:uid="{00000000-0004-0000-0C00-000003030000}"/>
    <hyperlink ref="T760" r:id="rId773" display="https://storage.googleapis.com/glide-prod.appspot.com/uploads-v2/ly7o78grxPaC6KdgvbpS/pub/3aRdSog0vUtuqPE8AJKD.png" xr:uid="{00000000-0004-0000-0C00-000004030000}"/>
    <hyperlink ref="T761" r:id="rId774" display="https://storage.googleapis.com/glide-prod.appspot.com/uploads-v2/ly7o78grxPaC6KdgvbpS/pub/3aRdSog0vUtuqPE8AJKD.png" xr:uid="{00000000-0004-0000-0C00-000005030000}"/>
    <hyperlink ref="T762" r:id="rId775" display="https://storage.googleapis.com/glide-prod.appspot.com/uploads-v2/ly7o78grxPaC6KdgvbpS/pub/3aRdSog0vUtuqPE8AJKD.png" xr:uid="{00000000-0004-0000-0C00-000006030000}"/>
    <hyperlink ref="T763" r:id="rId776" display="https://storage.googleapis.com/glide-prod.appspot.com/uploads-v2/ly7o78grxPaC6KdgvbpS/pub/3aRdSog0vUtuqPE8AJKD.png" xr:uid="{00000000-0004-0000-0C00-000007030000}"/>
    <hyperlink ref="T764" r:id="rId777" display="https://storage.googleapis.com/glide-prod.appspot.com/uploads-v2/ly7o78grxPaC6KdgvbpS/pub/3aRdSog0vUtuqPE8AJKD.png" xr:uid="{00000000-0004-0000-0C00-000008030000}"/>
    <hyperlink ref="T765" r:id="rId778" display="https://storage.googleapis.com/glide-prod.appspot.com/uploads-v2/ly7o78grxPaC6KdgvbpS/pub/3aRdSog0vUtuqPE8AJKD.png" xr:uid="{00000000-0004-0000-0C00-000009030000}"/>
    <hyperlink ref="T766" r:id="rId779" display="https://storage.googleapis.com/glide-prod.appspot.com/uploads-v2/ly7o78grxPaC6KdgvbpS/pub/3aRdSog0vUtuqPE8AJKD.png" xr:uid="{00000000-0004-0000-0C00-00000A030000}"/>
    <hyperlink ref="T767" r:id="rId780" display="https://storage.googleapis.com/glide-prod.appspot.com/uploads-v2/ly7o78grxPaC6KdgvbpS/pub/3aRdSog0vUtuqPE8AJKD.png" xr:uid="{00000000-0004-0000-0C00-00000B030000}"/>
    <hyperlink ref="T768" r:id="rId781" display="https://storage.googleapis.com/glide-prod.appspot.com/uploads-v2/ly7o78grxPaC6KdgvbpS/pub/3aRdSog0vUtuqPE8AJKD.png" xr:uid="{00000000-0004-0000-0C00-00000C030000}"/>
    <hyperlink ref="T769" r:id="rId782" display="https://storage.googleapis.com/glide-prod.appspot.com/uploads-v2/ly7o78grxPaC6KdgvbpS/pub/3aRdSog0vUtuqPE8AJKD.png" xr:uid="{00000000-0004-0000-0C00-00000D030000}"/>
    <hyperlink ref="T770" r:id="rId783" display="https://storage.googleapis.com/glide-prod.appspot.com/uploads-v2/ly7o78grxPaC6KdgvbpS/pub/3aRdSog0vUtuqPE8AJKD.png" xr:uid="{00000000-0004-0000-0C00-00000E030000}"/>
    <hyperlink ref="T771" r:id="rId784" display="https://storage.googleapis.com/glide-prod.appspot.com/uploads-v2/ly7o78grxPaC6KdgvbpS/pub/3aRdSog0vUtuqPE8AJKD.png" xr:uid="{00000000-0004-0000-0C00-00000F030000}"/>
    <hyperlink ref="T772" r:id="rId785" display="https://storage.googleapis.com/glide-prod.appspot.com/uploads-v2/ly7o78grxPaC6KdgvbpS/pub/3aRdSog0vUtuqPE8AJKD.png" xr:uid="{00000000-0004-0000-0C00-000010030000}"/>
    <hyperlink ref="T773" r:id="rId786" display="https://storage.googleapis.com/glide-prod.appspot.com/uploads-v2/ly7o78grxPaC6KdgvbpS/pub/3aRdSog0vUtuqPE8AJKD.png" xr:uid="{00000000-0004-0000-0C00-000011030000}"/>
    <hyperlink ref="T774" r:id="rId787" display="https://storage.googleapis.com/glide-prod.appspot.com/uploads-v2/ly7o78grxPaC6KdgvbpS/pub/3aRdSog0vUtuqPE8AJKD.png" xr:uid="{00000000-0004-0000-0C00-000012030000}"/>
    <hyperlink ref="T775" r:id="rId788" display="https://storage.googleapis.com/glide-prod.appspot.com/uploads-v2/ly7o78grxPaC6KdgvbpS/pub/3aRdSog0vUtuqPE8AJKD.png" xr:uid="{00000000-0004-0000-0C00-000013030000}"/>
    <hyperlink ref="T776" r:id="rId789" display="https://storage.googleapis.com/glide-prod.appspot.com/uploads-v2/ly7o78grxPaC6KdgvbpS/pub/3aRdSog0vUtuqPE8AJKD.png" xr:uid="{00000000-0004-0000-0C00-000014030000}"/>
    <hyperlink ref="T777" r:id="rId790" display="https://storage.googleapis.com/glide-prod.appspot.com/uploads-v2/ly7o78grxPaC6KdgvbpS/pub/3aRdSog0vUtuqPE8AJKD.png" xr:uid="{00000000-0004-0000-0C00-000015030000}"/>
    <hyperlink ref="T778" r:id="rId791" display="https://storage.googleapis.com/glide-prod.appspot.com/uploads-v2/ly7o78grxPaC6KdgvbpS/pub/3aRdSog0vUtuqPE8AJKD.png" xr:uid="{00000000-0004-0000-0C00-000016030000}"/>
    <hyperlink ref="T779" r:id="rId792" display="https://storage.googleapis.com/glide-prod.appspot.com/uploads-v2/ly7o78grxPaC6KdgvbpS/pub/3aRdSog0vUtuqPE8AJKD.png" xr:uid="{00000000-0004-0000-0C00-000017030000}"/>
    <hyperlink ref="T780" r:id="rId793" display="https://storage.googleapis.com/glide-prod.appspot.com/uploads-v2/ly7o78grxPaC6KdgvbpS/pub/3aRdSog0vUtuqPE8AJKD.png" xr:uid="{00000000-0004-0000-0C00-000018030000}"/>
    <hyperlink ref="T781" r:id="rId794" display="https://storage.googleapis.com/glide-prod.appspot.com/uploads-v2/ly7o78grxPaC6KdgvbpS/pub/3aRdSog0vUtuqPE8AJKD.png" xr:uid="{00000000-0004-0000-0C00-000019030000}"/>
    <hyperlink ref="T782" r:id="rId795" display="https://storage.googleapis.com/glide-prod.appspot.com/uploads-v2/ly7o78grxPaC6KdgvbpS/pub/3aRdSog0vUtuqPE8AJKD.png" xr:uid="{00000000-0004-0000-0C00-00001A030000}"/>
    <hyperlink ref="T783" r:id="rId796" display="https://storage.googleapis.com/glide-prod.appspot.com/uploads-v2/ly7o78grxPaC6KdgvbpS/pub/3aRdSog0vUtuqPE8AJKD.png" xr:uid="{00000000-0004-0000-0C00-00001B030000}"/>
    <hyperlink ref="T784" r:id="rId797" display="https://storage.googleapis.com/glide-prod.appspot.com/uploads-v2/ly7o78grxPaC6KdgvbpS/pub/3aRdSog0vUtuqPE8AJKD.png" xr:uid="{00000000-0004-0000-0C00-00001C030000}"/>
    <hyperlink ref="T785" r:id="rId798" display="https://storage.googleapis.com/glide-prod.appspot.com/uploads-v2/ly7o78grxPaC6KdgvbpS/pub/3aRdSog0vUtuqPE8AJKD.png" xr:uid="{00000000-0004-0000-0C00-00001D030000}"/>
    <hyperlink ref="T786" r:id="rId799" display="https://storage.googleapis.com/glide-prod.appspot.com/uploads-v2/ly7o78grxPaC6KdgvbpS/pub/3aRdSog0vUtuqPE8AJKD.png" xr:uid="{00000000-0004-0000-0C00-00001E030000}"/>
    <hyperlink ref="T787" r:id="rId800" display="https://storage.googleapis.com/glide-prod.appspot.com/uploads-v2/ly7o78grxPaC6KdgvbpS/pub/3aRdSog0vUtuqPE8AJKD.png" xr:uid="{00000000-0004-0000-0C00-00001F030000}"/>
    <hyperlink ref="T788" r:id="rId801" display="https://storage.googleapis.com/glide-prod.appspot.com/uploads-v2/ly7o78grxPaC6KdgvbpS/pub/3aRdSog0vUtuqPE8AJKD.png" xr:uid="{00000000-0004-0000-0C00-000020030000}"/>
    <hyperlink ref="T789" r:id="rId802" display="https://storage.googleapis.com/glide-prod.appspot.com/uploads-v2/ly7o78grxPaC6KdgvbpS/pub/3aRdSog0vUtuqPE8AJKD.png" xr:uid="{00000000-0004-0000-0C00-000021030000}"/>
    <hyperlink ref="T790" r:id="rId803" display="https://storage.googleapis.com/glide-prod.appspot.com/uploads-v2/ly7o78grxPaC6KdgvbpS/pub/3aRdSog0vUtuqPE8AJKD.png" xr:uid="{00000000-0004-0000-0C00-000022030000}"/>
    <hyperlink ref="T791" r:id="rId804" display="https://storage.googleapis.com/glide-prod.appspot.com/uploads-v2/ly7o78grxPaC6KdgvbpS/pub/3aRdSog0vUtuqPE8AJKD.png" xr:uid="{00000000-0004-0000-0C00-000023030000}"/>
    <hyperlink ref="T792" r:id="rId805" display="https://storage.googleapis.com/glide-prod.appspot.com/uploads-v2/ly7o78grxPaC6KdgvbpS/pub/3aRdSog0vUtuqPE8AJKD.png" xr:uid="{00000000-0004-0000-0C00-000024030000}"/>
    <hyperlink ref="T793" r:id="rId806" display="https://storage.googleapis.com/glide-prod.appspot.com/uploads-v2/ly7o78grxPaC6KdgvbpS/pub/3aRdSog0vUtuqPE8AJKD.png" xr:uid="{00000000-0004-0000-0C00-000025030000}"/>
    <hyperlink ref="T794" r:id="rId807" display="https://storage.googleapis.com/glide-prod.appspot.com/uploads-v2/ly7o78grxPaC6KdgvbpS/pub/3aRdSog0vUtuqPE8AJKD.png" xr:uid="{00000000-0004-0000-0C00-000026030000}"/>
    <hyperlink ref="T795" r:id="rId808" display="https://storage.googleapis.com/glide-prod.appspot.com/uploads-v2/ly7o78grxPaC6KdgvbpS/pub/3aRdSog0vUtuqPE8AJKD.png" xr:uid="{00000000-0004-0000-0C00-000027030000}"/>
    <hyperlink ref="T796" r:id="rId809" display="https://storage.googleapis.com/glide-prod.appspot.com/uploads-v2/ly7o78grxPaC6KdgvbpS/pub/3aRdSog0vUtuqPE8AJKD.png" xr:uid="{00000000-0004-0000-0C00-000028030000}"/>
    <hyperlink ref="T797" r:id="rId810" display="https://storage.googleapis.com/glide-prod.appspot.com/uploads-v2/ly7o78grxPaC6KdgvbpS/pub/3aRdSog0vUtuqPE8AJKD.png" xr:uid="{00000000-0004-0000-0C00-000029030000}"/>
    <hyperlink ref="T798" r:id="rId811" display="https://storage.googleapis.com/glide-prod.appspot.com/uploads-v2/ly7o78grxPaC6KdgvbpS/pub/3aRdSog0vUtuqPE8AJKD.png" xr:uid="{00000000-0004-0000-0C00-00002A030000}"/>
    <hyperlink ref="T799" r:id="rId812" display="https://storage.googleapis.com/glide-prod.appspot.com/uploads-v2/ly7o78grxPaC6KdgvbpS/pub/3aRdSog0vUtuqPE8AJKD.png" xr:uid="{00000000-0004-0000-0C00-00002B030000}"/>
    <hyperlink ref="T800" r:id="rId813" display="https://storage.googleapis.com/glide-prod.appspot.com/uploads-v2/ly7o78grxPaC6KdgvbpS/pub/3aRdSog0vUtuqPE8AJKD.png" xr:uid="{00000000-0004-0000-0C00-00002C030000}"/>
    <hyperlink ref="T801" r:id="rId814" display="https://storage.googleapis.com/glide-prod.appspot.com/uploads-v2/ly7o78grxPaC6KdgvbpS/pub/3aRdSog0vUtuqPE8AJKD.png" xr:uid="{00000000-0004-0000-0C00-00002D030000}"/>
    <hyperlink ref="T802" r:id="rId815" display="https://storage.googleapis.com/glide-prod.appspot.com/uploads-v2/ly7o78grxPaC6KdgvbpS/pub/3aRdSog0vUtuqPE8AJKD.png" xr:uid="{00000000-0004-0000-0C00-00002E030000}"/>
    <hyperlink ref="T803" r:id="rId816" display="https://storage.googleapis.com/glide-prod.appspot.com/uploads-v2/ly7o78grxPaC6KdgvbpS/pub/3aRdSog0vUtuqPE8AJKD.png" xr:uid="{00000000-0004-0000-0C00-00002F030000}"/>
    <hyperlink ref="T804" r:id="rId817" display="https://storage.googleapis.com/glide-prod.appspot.com/uploads-v2/ly7o78grxPaC6KdgvbpS/pub/3aRdSog0vUtuqPE8AJKD.png" xr:uid="{00000000-0004-0000-0C00-000030030000}"/>
    <hyperlink ref="T805" r:id="rId818" display="https://storage.googleapis.com/glide-prod.appspot.com/uploads-v2/ly7o78grxPaC6KdgvbpS/pub/3aRdSog0vUtuqPE8AJKD.png" xr:uid="{00000000-0004-0000-0C00-000031030000}"/>
    <hyperlink ref="T806" r:id="rId819" display="https://storage.googleapis.com/glide-prod.appspot.com/uploads-v2/ly7o78grxPaC6KdgvbpS/pub/3aRdSog0vUtuqPE8AJKD.png" xr:uid="{00000000-0004-0000-0C00-000032030000}"/>
    <hyperlink ref="T807" r:id="rId820" display="https://storage.googleapis.com/glide-prod.appspot.com/uploads-v2/ly7o78grxPaC6KdgvbpS/pub/3aRdSog0vUtuqPE8AJKD.png" xr:uid="{00000000-0004-0000-0C00-000033030000}"/>
    <hyperlink ref="T808" r:id="rId821" display="https://storage.googleapis.com/glide-prod.appspot.com/uploads-v2/ly7o78grxPaC6KdgvbpS/pub/3aRdSog0vUtuqPE8AJKD.png" xr:uid="{00000000-0004-0000-0C00-000034030000}"/>
    <hyperlink ref="T809" r:id="rId822" display="https://storage.googleapis.com/glide-prod.appspot.com/uploads-v2/ly7o78grxPaC6KdgvbpS/pub/3aRdSog0vUtuqPE8AJKD.png" xr:uid="{00000000-0004-0000-0C00-000035030000}"/>
    <hyperlink ref="T810" r:id="rId823" display="https://storage.googleapis.com/glide-prod.appspot.com/uploads-v2/ly7o78grxPaC6KdgvbpS/pub/3aRdSog0vUtuqPE8AJKD.png" xr:uid="{00000000-0004-0000-0C00-000036030000}"/>
    <hyperlink ref="T811" r:id="rId824" display="https://storage.googleapis.com/glide-prod.appspot.com/uploads-v2/ly7o78grxPaC6KdgvbpS/pub/3aRdSog0vUtuqPE8AJKD.png" xr:uid="{00000000-0004-0000-0C00-000037030000}"/>
    <hyperlink ref="T812" r:id="rId825" display="https://storage.googleapis.com/glide-prod.appspot.com/uploads-v2/ly7o78grxPaC6KdgvbpS/pub/3aRdSog0vUtuqPE8AJKD.png" xr:uid="{00000000-0004-0000-0C00-000038030000}"/>
    <hyperlink ref="T813" r:id="rId826" display="https://storage.googleapis.com/glide-prod.appspot.com/uploads-v2/ly7o78grxPaC6KdgvbpS/pub/3aRdSog0vUtuqPE8AJKD.png" xr:uid="{00000000-0004-0000-0C00-000039030000}"/>
    <hyperlink ref="T814" r:id="rId827" display="https://storage.googleapis.com/glide-prod.appspot.com/uploads-v2/ly7o78grxPaC6KdgvbpS/pub/3aRdSog0vUtuqPE8AJKD.png" xr:uid="{00000000-0004-0000-0C00-00003A030000}"/>
    <hyperlink ref="T815" r:id="rId828" display="https://storage.googleapis.com/glide-prod.appspot.com/uploads-v2/ly7o78grxPaC6KdgvbpS/pub/3aRdSog0vUtuqPE8AJKD.png" xr:uid="{00000000-0004-0000-0C00-00003B030000}"/>
    <hyperlink ref="T816" r:id="rId829" display="https://storage.googleapis.com/glide-prod.appspot.com/uploads-v2/ly7o78grxPaC6KdgvbpS/pub/3aRdSog0vUtuqPE8AJKD.png" xr:uid="{00000000-0004-0000-0C00-00003C030000}"/>
    <hyperlink ref="T817" r:id="rId830" display="https://storage.googleapis.com/glide-prod.appspot.com/uploads-v2/ly7o78grxPaC6KdgvbpS/pub/3aRdSog0vUtuqPE8AJKD.png" xr:uid="{00000000-0004-0000-0C00-00003D030000}"/>
    <hyperlink ref="T818" r:id="rId831" display="https://storage.googleapis.com/glide-prod.appspot.com/uploads-v2/ly7o78grxPaC6KdgvbpS/pub/3aRdSog0vUtuqPE8AJKD.png" xr:uid="{00000000-0004-0000-0C00-00003E030000}"/>
    <hyperlink ref="T819" r:id="rId832" display="https://storage.googleapis.com/glide-prod.appspot.com/uploads-v2/ly7o78grxPaC6KdgvbpS/pub/3aRdSog0vUtuqPE8AJKD.png" xr:uid="{00000000-0004-0000-0C00-00003F030000}"/>
    <hyperlink ref="T820" r:id="rId833" display="https://storage.googleapis.com/glide-prod.appspot.com/uploads-v2/ly7o78grxPaC6KdgvbpS/pub/3aRdSog0vUtuqPE8AJKD.png" xr:uid="{00000000-0004-0000-0C00-000040030000}"/>
    <hyperlink ref="T821" r:id="rId834" display="https://storage.googleapis.com/glide-prod.appspot.com/uploads-v2/ly7o78grxPaC6KdgvbpS/pub/3aRdSog0vUtuqPE8AJKD.png" xr:uid="{00000000-0004-0000-0C00-000041030000}"/>
    <hyperlink ref="T822" r:id="rId835" display="https://storage.googleapis.com/glide-prod.appspot.com/uploads-v2/ly7o78grxPaC6KdgvbpS/pub/3aRdSog0vUtuqPE8AJKD.png" xr:uid="{00000000-0004-0000-0C00-000042030000}"/>
    <hyperlink ref="T823" r:id="rId836" display="https://storage.googleapis.com/glide-prod.appspot.com/uploads-v2/ly7o78grxPaC6KdgvbpS/pub/3aRdSog0vUtuqPE8AJKD.png" xr:uid="{00000000-0004-0000-0C00-000043030000}"/>
    <hyperlink ref="T824" r:id="rId837" display="https://storage.googleapis.com/glide-prod.appspot.com/uploads-v2/ly7o78grxPaC6KdgvbpS/pub/3aRdSog0vUtuqPE8AJKD.png" xr:uid="{00000000-0004-0000-0C00-000044030000}"/>
    <hyperlink ref="T825" r:id="rId838" display="https://storage.googleapis.com/glide-prod.appspot.com/uploads-v2/ly7o78grxPaC6KdgvbpS/pub/3aRdSog0vUtuqPE8AJKD.png" xr:uid="{00000000-0004-0000-0C00-000045030000}"/>
    <hyperlink ref="T826" r:id="rId839" display="https://storage.googleapis.com/glide-prod.appspot.com/uploads-v2/ly7o78grxPaC6KdgvbpS/pub/3aRdSog0vUtuqPE8AJKD.png" xr:uid="{00000000-0004-0000-0C00-000046030000}"/>
    <hyperlink ref="T827" r:id="rId840" display="https://storage.googleapis.com/glide-prod.appspot.com/uploads-v2/ly7o78grxPaC6KdgvbpS/pub/3aRdSog0vUtuqPE8AJKD.png" xr:uid="{00000000-0004-0000-0C00-000047030000}"/>
    <hyperlink ref="T828" r:id="rId841" display="https://storage.googleapis.com/glide-prod.appspot.com/uploads-v2/ly7o78grxPaC6KdgvbpS/pub/3aRdSog0vUtuqPE8AJKD.png" xr:uid="{00000000-0004-0000-0C00-000048030000}"/>
    <hyperlink ref="T829" r:id="rId842" display="https://storage.googleapis.com/glide-prod.appspot.com/uploads-v2/ly7o78grxPaC6KdgvbpS/pub/3aRdSog0vUtuqPE8AJKD.png" xr:uid="{00000000-0004-0000-0C00-000049030000}"/>
    <hyperlink ref="T830" r:id="rId843" display="https://storage.googleapis.com/glide-prod.appspot.com/uploads-v2/ly7o78grxPaC6KdgvbpS/pub/3aRdSog0vUtuqPE8AJKD.png" xr:uid="{00000000-0004-0000-0C00-00004A030000}"/>
    <hyperlink ref="T831" r:id="rId844" display="https://storage.googleapis.com/glide-prod.appspot.com/uploads-v2/ly7o78grxPaC6KdgvbpS/pub/3aRdSog0vUtuqPE8AJKD.png" xr:uid="{00000000-0004-0000-0C00-00004B030000}"/>
    <hyperlink ref="T832" r:id="rId845" display="https://storage.googleapis.com/glide-prod.appspot.com/uploads-v2/ly7o78grxPaC6KdgvbpS/pub/3aRdSog0vUtuqPE8AJKD.png" xr:uid="{00000000-0004-0000-0C00-00004C030000}"/>
    <hyperlink ref="T833" r:id="rId846" display="https://storage.googleapis.com/glide-prod.appspot.com/uploads-v2/ly7o78grxPaC6KdgvbpS/pub/3aRdSog0vUtuqPE8AJKD.png" xr:uid="{00000000-0004-0000-0C00-00004D030000}"/>
    <hyperlink ref="T834" r:id="rId847" display="https://storage.googleapis.com/glide-prod.appspot.com/uploads-v2/ly7o78grxPaC6KdgvbpS/pub/3aRdSog0vUtuqPE8AJKD.png" xr:uid="{00000000-0004-0000-0C00-00004E030000}"/>
    <hyperlink ref="T835" r:id="rId848" display="https://storage.googleapis.com/glide-prod.appspot.com/uploads-v2/ly7o78grxPaC6KdgvbpS/pub/3aRdSog0vUtuqPE8AJKD.png" xr:uid="{00000000-0004-0000-0C00-00004F030000}"/>
    <hyperlink ref="T836" r:id="rId849" display="https://storage.googleapis.com/glide-prod.appspot.com/uploads-v2/ly7o78grxPaC6KdgvbpS/pub/3aRdSog0vUtuqPE8AJKD.png" xr:uid="{00000000-0004-0000-0C00-000050030000}"/>
    <hyperlink ref="T837" r:id="rId850" display="https://storage.googleapis.com/glide-prod.appspot.com/uploads-v2/ly7o78grxPaC6KdgvbpS/pub/3aRdSog0vUtuqPE8AJKD.png" xr:uid="{00000000-0004-0000-0C00-000051030000}"/>
    <hyperlink ref="T838" r:id="rId851" display="https://storage.googleapis.com/glide-prod.appspot.com/uploads-v2/ly7o78grxPaC6KdgvbpS/pub/3aRdSog0vUtuqPE8AJKD.png" xr:uid="{00000000-0004-0000-0C00-000052030000}"/>
    <hyperlink ref="T839" r:id="rId852" display="https://storage.googleapis.com/glide-prod.appspot.com/uploads-v2/ly7o78grxPaC6KdgvbpS/pub/3aRdSog0vUtuqPE8AJKD.png" xr:uid="{00000000-0004-0000-0C00-000053030000}"/>
    <hyperlink ref="T840" r:id="rId853" display="https://storage.googleapis.com/glide-prod.appspot.com/uploads-v2/ly7o78grxPaC6KdgvbpS/pub/3aRdSog0vUtuqPE8AJKD.png" xr:uid="{00000000-0004-0000-0C00-000054030000}"/>
    <hyperlink ref="T841" r:id="rId854" display="https://storage.googleapis.com/glide-prod.appspot.com/uploads-v2/ly7o78grxPaC6KdgvbpS/pub/3aRdSog0vUtuqPE8AJKD.png" xr:uid="{00000000-0004-0000-0C00-000055030000}"/>
    <hyperlink ref="T842" r:id="rId855" display="https://storage.googleapis.com/glide-prod.appspot.com/uploads-v2/ly7o78grxPaC6KdgvbpS/pub/3aRdSog0vUtuqPE8AJKD.png" xr:uid="{00000000-0004-0000-0C00-000056030000}"/>
    <hyperlink ref="T843" r:id="rId856" display="https://storage.googleapis.com/glide-prod.appspot.com/uploads-v2/ly7o78grxPaC6KdgvbpS/pub/3aRdSog0vUtuqPE8AJKD.png" xr:uid="{00000000-0004-0000-0C00-000057030000}"/>
    <hyperlink ref="T844" r:id="rId857" display="https://storage.googleapis.com/glide-prod.appspot.com/uploads-v2/ly7o78grxPaC6KdgvbpS/pub/3aRdSog0vUtuqPE8AJKD.png" xr:uid="{00000000-0004-0000-0C00-000058030000}"/>
    <hyperlink ref="T845" r:id="rId858" display="https://storage.googleapis.com/glide-prod.appspot.com/uploads-v2/ly7o78grxPaC6KdgvbpS/pub/3aRdSog0vUtuqPE8AJKD.png" xr:uid="{00000000-0004-0000-0C00-000059030000}"/>
    <hyperlink ref="T846" r:id="rId859" display="https://storage.googleapis.com/glide-prod.appspot.com/uploads-v2/ly7o78grxPaC6KdgvbpS/pub/3aRdSog0vUtuqPE8AJKD.png" xr:uid="{00000000-0004-0000-0C00-00005A030000}"/>
    <hyperlink ref="T847" r:id="rId860" display="https://storage.googleapis.com/glide-prod.appspot.com/uploads-v2/ly7o78grxPaC6KdgvbpS/pub/3aRdSog0vUtuqPE8AJKD.png" xr:uid="{00000000-0004-0000-0C00-00005B030000}"/>
    <hyperlink ref="T848" r:id="rId861" display="https://storage.googleapis.com/glide-prod.appspot.com/uploads-v2/ly7o78grxPaC6KdgvbpS/pub/3aRdSog0vUtuqPE8AJKD.png" xr:uid="{00000000-0004-0000-0C00-00005C030000}"/>
    <hyperlink ref="T849" r:id="rId862" display="https://storage.googleapis.com/glide-prod.appspot.com/uploads-v2/ly7o78grxPaC6KdgvbpS/pub/3aRdSog0vUtuqPE8AJKD.png" xr:uid="{00000000-0004-0000-0C00-00005D030000}"/>
    <hyperlink ref="T850" r:id="rId863" display="https://storage.googleapis.com/glide-prod.appspot.com/uploads-v2/ly7o78grxPaC6KdgvbpS/pub/3aRdSog0vUtuqPE8AJKD.png" xr:uid="{00000000-0004-0000-0C00-00005E030000}"/>
    <hyperlink ref="T851" r:id="rId864" display="https://storage.googleapis.com/glide-prod.appspot.com/uploads-v2/ly7o78grxPaC6KdgvbpS/pub/3aRdSog0vUtuqPE8AJKD.png" xr:uid="{00000000-0004-0000-0C00-00005F030000}"/>
    <hyperlink ref="T852" r:id="rId865" display="https://storage.googleapis.com/glide-prod.appspot.com/uploads-v2/ly7o78grxPaC6KdgvbpS/pub/3aRdSog0vUtuqPE8AJKD.png" xr:uid="{00000000-0004-0000-0C00-000060030000}"/>
    <hyperlink ref="T853" r:id="rId866" display="https://storage.googleapis.com/glide-prod.appspot.com/uploads-v2/ly7o78grxPaC6KdgvbpS/pub/3aRdSog0vUtuqPE8AJKD.png" xr:uid="{00000000-0004-0000-0C00-000061030000}"/>
    <hyperlink ref="T854" r:id="rId867" display="https://storage.googleapis.com/glide-prod.appspot.com/uploads-v2/ly7o78grxPaC6KdgvbpS/pub/3aRdSog0vUtuqPE8AJKD.png" xr:uid="{00000000-0004-0000-0C00-000062030000}"/>
    <hyperlink ref="T855" r:id="rId868" display="https://storage.googleapis.com/glide-prod.appspot.com/uploads-v2/ly7o78grxPaC6KdgvbpS/pub/3aRdSog0vUtuqPE8AJKD.png" xr:uid="{00000000-0004-0000-0C00-000063030000}"/>
    <hyperlink ref="T856" r:id="rId869" display="https://storage.googleapis.com/glide-prod.appspot.com/uploads-v2/ly7o78grxPaC6KdgvbpS/pub/3aRdSog0vUtuqPE8AJKD.png" xr:uid="{00000000-0004-0000-0C00-000064030000}"/>
    <hyperlink ref="T857" r:id="rId870" display="https://storage.googleapis.com/glide-prod.appspot.com/uploads-v2/ly7o78grxPaC6KdgvbpS/pub/3aRdSog0vUtuqPE8AJKD.png" xr:uid="{00000000-0004-0000-0C00-000065030000}"/>
    <hyperlink ref="T858" r:id="rId871" display="https://storage.googleapis.com/glide-prod.appspot.com/uploads-v2/ly7o78grxPaC6KdgvbpS/pub/3aRdSog0vUtuqPE8AJKD.png" xr:uid="{00000000-0004-0000-0C00-000066030000}"/>
    <hyperlink ref="T859" r:id="rId872" display="https://storage.googleapis.com/glide-prod.appspot.com/uploads-v2/ly7o78grxPaC6KdgvbpS/pub/3aRdSog0vUtuqPE8AJKD.png" xr:uid="{00000000-0004-0000-0C00-000067030000}"/>
    <hyperlink ref="T860" r:id="rId873" display="https://storage.googleapis.com/glide-prod.appspot.com/uploads-v2/ly7o78grxPaC6KdgvbpS/pub/3aRdSog0vUtuqPE8AJKD.png" xr:uid="{00000000-0004-0000-0C00-000068030000}"/>
    <hyperlink ref="T861" r:id="rId874" display="https://storage.googleapis.com/glide-prod.appspot.com/uploads-v2/ly7o78grxPaC6KdgvbpS/pub/3aRdSog0vUtuqPE8AJKD.png" xr:uid="{00000000-0004-0000-0C00-000069030000}"/>
    <hyperlink ref="T862" r:id="rId875" display="https://storage.googleapis.com/glide-prod.appspot.com/uploads-v2/ly7o78grxPaC6KdgvbpS/pub/3aRdSog0vUtuqPE8AJKD.png" xr:uid="{00000000-0004-0000-0C00-00006A030000}"/>
    <hyperlink ref="T863" r:id="rId876" display="https://storage.googleapis.com/glide-prod.appspot.com/uploads-v2/ly7o78grxPaC6KdgvbpS/pub/3aRdSog0vUtuqPE8AJKD.png" xr:uid="{00000000-0004-0000-0C00-00006B030000}"/>
    <hyperlink ref="T864" r:id="rId877" display="https://storage.googleapis.com/glide-prod.appspot.com/uploads-v2/ly7o78grxPaC6KdgvbpS/pub/3aRdSog0vUtuqPE8AJKD.png" xr:uid="{00000000-0004-0000-0C00-00006C030000}"/>
    <hyperlink ref="T865" r:id="rId878" display="https://storage.googleapis.com/glide-prod.appspot.com/uploads-v2/ly7o78grxPaC6KdgvbpS/pub/3aRdSog0vUtuqPE8AJKD.png" xr:uid="{00000000-0004-0000-0C00-00006D030000}"/>
    <hyperlink ref="T866" r:id="rId879" display="https://storage.googleapis.com/glide-prod.appspot.com/uploads-v2/ly7o78grxPaC6KdgvbpS/pub/3aRdSog0vUtuqPE8AJKD.png" xr:uid="{00000000-0004-0000-0C00-00006E030000}"/>
    <hyperlink ref="T867" r:id="rId880" display="https://storage.googleapis.com/glide-prod.appspot.com/uploads-v2/ly7o78grxPaC6KdgvbpS/pub/3aRdSog0vUtuqPE8AJKD.png" xr:uid="{00000000-0004-0000-0C00-00006F030000}"/>
    <hyperlink ref="T868" r:id="rId881" display="https://storage.googleapis.com/glide-prod.appspot.com/uploads-v2/ly7o78grxPaC6KdgvbpS/pub/3aRdSog0vUtuqPE8AJKD.png" xr:uid="{00000000-0004-0000-0C00-000070030000}"/>
    <hyperlink ref="T869" r:id="rId882" display="https://storage.googleapis.com/glide-prod.appspot.com/uploads-v2/ly7o78grxPaC6KdgvbpS/pub/3aRdSog0vUtuqPE8AJKD.png" xr:uid="{00000000-0004-0000-0C00-000071030000}"/>
    <hyperlink ref="T870" r:id="rId883" display="https://storage.googleapis.com/glide-prod.appspot.com/uploads-v2/ly7o78grxPaC6KdgvbpS/pub/3aRdSog0vUtuqPE8AJKD.png" xr:uid="{00000000-0004-0000-0C00-000072030000}"/>
    <hyperlink ref="T871" r:id="rId884" display="https://storage.googleapis.com/glide-prod.appspot.com/uploads-v2/ly7o78grxPaC6KdgvbpS/pub/3aRdSog0vUtuqPE8AJKD.png" xr:uid="{00000000-0004-0000-0C00-000073030000}"/>
    <hyperlink ref="T872" r:id="rId885" display="https://storage.googleapis.com/glide-prod.appspot.com/uploads-v2/ly7o78grxPaC6KdgvbpS/pub/3aRdSog0vUtuqPE8AJKD.png" xr:uid="{00000000-0004-0000-0C00-000074030000}"/>
    <hyperlink ref="T873" r:id="rId886" display="https://storage.googleapis.com/glide-prod.appspot.com/uploads-v2/ly7o78grxPaC6KdgvbpS/pub/3aRdSog0vUtuqPE8AJKD.png" xr:uid="{00000000-0004-0000-0C00-000075030000}"/>
    <hyperlink ref="T874" r:id="rId887" display="https://storage.googleapis.com/glide-prod.appspot.com/uploads-v2/ly7o78grxPaC6KdgvbpS/pub/3aRdSog0vUtuqPE8AJKD.png" xr:uid="{00000000-0004-0000-0C00-000076030000}"/>
    <hyperlink ref="T875" r:id="rId888" display="https://storage.googleapis.com/glide-prod.appspot.com/uploads-v2/ly7o78grxPaC6KdgvbpS/pub/3aRdSog0vUtuqPE8AJKD.png" xr:uid="{00000000-0004-0000-0C00-000077030000}"/>
    <hyperlink ref="T876" r:id="rId889" display="https://storage.googleapis.com/glide-prod.appspot.com/uploads-v2/ly7o78grxPaC6KdgvbpS/pub/3aRdSog0vUtuqPE8AJKD.png" xr:uid="{00000000-0004-0000-0C00-000078030000}"/>
    <hyperlink ref="T877" r:id="rId890" display="https://storage.googleapis.com/glide-prod.appspot.com/uploads-v2/ly7o78grxPaC6KdgvbpS/pub/3aRdSog0vUtuqPE8AJKD.png" xr:uid="{00000000-0004-0000-0C00-000079030000}"/>
    <hyperlink ref="T878" r:id="rId891" display="https://storage.googleapis.com/glide-prod.appspot.com/uploads-v2/ly7o78grxPaC6KdgvbpS/pub/3aRdSog0vUtuqPE8AJKD.png" xr:uid="{00000000-0004-0000-0C00-00007A030000}"/>
    <hyperlink ref="T879" r:id="rId892" display="https://storage.googleapis.com/glide-prod.appspot.com/uploads-v2/ly7o78grxPaC6KdgvbpS/pub/3aRdSog0vUtuqPE8AJKD.png" xr:uid="{00000000-0004-0000-0C00-00007B030000}"/>
    <hyperlink ref="T880" r:id="rId893" display="https://storage.googleapis.com/glide-prod.appspot.com/uploads-v2/ly7o78grxPaC6KdgvbpS/pub/3aRdSog0vUtuqPE8AJKD.png" xr:uid="{00000000-0004-0000-0C00-00007C030000}"/>
    <hyperlink ref="T881" r:id="rId894" display="https://storage.googleapis.com/glide-prod.appspot.com/uploads-v2/ly7o78grxPaC6KdgvbpS/pub/3aRdSog0vUtuqPE8AJKD.png" xr:uid="{00000000-0004-0000-0C00-00007D030000}"/>
    <hyperlink ref="T882" r:id="rId895" display="https://storage.googleapis.com/glide-prod.appspot.com/uploads-v2/ly7o78grxPaC6KdgvbpS/pub/3aRdSog0vUtuqPE8AJKD.png" xr:uid="{00000000-0004-0000-0C00-00007E030000}"/>
    <hyperlink ref="T883" r:id="rId896" display="https://storage.googleapis.com/glide-prod.appspot.com/uploads-v2/ly7o78grxPaC6KdgvbpS/pub/3aRdSog0vUtuqPE8AJKD.png" xr:uid="{00000000-0004-0000-0C00-00007F030000}"/>
    <hyperlink ref="T884" r:id="rId897" display="https://storage.googleapis.com/glide-prod.appspot.com/uploads-v2/ly7o78grxPaC6KdgvbpS/pub/3aRdSog0vUtuqPE8AJKD.png" xr:uid="{00000000-0004-0000-0C00-000080030000}"/>
    <hyperlink ref="T885" r:id="rId898" display="https://storage.googleapis.com/glide-prod.appspot.com/uploads-v2/ly7o78grxPaC6KdgvbpS/pub/3aRdSog0vUtuqPE8AJKD.png" xr:uid="{00000000-0004-0000-0C00-000081030000}"/>
    <hyperlink ref="T886" r:id="rId899" display="https://storage.googleapis.com/glide-prod.appspot.com/uploads-v2/ly7o78grxPaC6KdgvbpS/pub/3aRdSog0vUtuqPE8AJKD.png" xr:uid="{00000000-0004-0000-0C00-000082030000}"/>
    <hyperlink ref="T887" r:id="rId900" display="https://storage.googleapis.com/glide-prod.appspot.com/uploads-v2/ly7o78grxPaC6KdgvbpS/pub/3aRdSog0vUtuqPE8AJKD.png" xr:uid="{00000000-0004-0000-0C00-000083030000}"/>
    <hyperlink ref="T888" r:id="rId901" display="https://storage.googleapis.com/glide-prod.appspot.com/uploads-v2/ly7o78grxPaC6KdgvbpS/pub/3aRdSog0vUtuqPE8AJKD.png" xr:uid="{00000000-0004-0000-0C00-000084030000}"/>
    <hyperlink ref="T889" r:id="rId902" display="https://storage.googleapis.com/glide-prod.appspot.com/uploads-v2/ly7o78grxPaC6KdgvbpS/pub/3aRdSog0vUtuqPE8AJKD.png" xr:uid="{00000000-0004-0000-0C00-000085030000}"/>
    <hyperlink ref="T890" r:id="rId903" display="https://storage.googleapis.com/glide-prod.appspot.com/uploads-v2/ly7o78grxPaC6KdgvbpS/pub/3aRdSog0vUtuqPE8AJKD.png" xr:uid="{00000000-0004-0000-0C00-000086030000}"/>
    <hyperlink ref="T891" r:id="rId904" display="https://storage.googleapis.com/glide-prod.appspot.com/uploads-v2/ly7o78grxPaC6KdgvbpS/pub/3aRdSog0vUtuqPE8AJKD.png" xr:uid="{00000000-0004-0000-0C00-000087030000}"/>
    <hyperlink ref="T892" r:id="rId905" display="https://storage.googleapis.com/glide-prod.appspot.com/uploads-v2/ly7o78grxPaC6KdgvbpS/pub/yvtCGRAPIbS0tVLIlehH.png" xr:uid="{00000000-0004-0000-0C00-000088030000}"/>
    <hyperlink ref="T893" r:id="rId906" display="https://storage.googleapis.com/glide-prod.appspot.com/uploads-v2/ly7o78grxPaC6KdgvbpS/pub/3aRdSog0vUtuqPE8AJKD.png" xr:uid="{00000000-0004-0000-0C00-000089030000}"/>
    <hyperlink ref="T894" r:id="rId907" display="https://storage.googleapis.com/glide-prod.appspot.com/uploads-v2/ly7o78grxPaC6KdgvbpS/pub/3aRdSog0vUtuqPE8AJKD.png" xr:uid="{00000000-0004-0000-0C00-00008A030000}"/>
    <hyperlink ref="T895" r:id="rId908" display="https://storage.googleapis.com/glide-prod.appspot.com/uploads-v2/ly7o78grxPaC6KdgvbpS/pub/3aRdSog0vUtuqPE8AJKD.png" xr:uid="{00000000-0004-0000-0C00-00008B030000}"/>
    <hyperlink ref="T896" r:id="rId909" display="https://storage.googleapis.com/glide-prod.appspot.com/uploads-v2/ly7o78grxPaC6KdgvbpS/pub/3aRdSog0vUtuqPE8AJKD.png" xr:uid="{00000000-0004-0000-0C00-00008C030000}"/>
    <hyperlink ref="T897" r:id="rId910" display="https://storage.googleapis.com/glide-prod.appspot.com/uploads-v2/ly7o78grxPaC6KdgvbpS/pub/3aRdSog0vUtuqPE8AJKD.png" xr:uid="{00000000-0004-0000-0C00-00008D030000}"/>
    <hyperlink ref="T898" r:id="rId911" display="https://storage.googleapis.com/glide-prod.appspot.com/uploads-v2/ly7o78grxPaC6KdgvbpS/pub/3aRdSog0vUtuqPE8AJKD.png" xr:uid="{00000000-0004-0000-0C00-00008E030000}"/>
    <hyperlink ref="T899" r:id="rId912" display="https://storage.googleapis.com/glide-prod.appspot.com/uploads-v2/ly7o78grxPaC6KdgvbpS/pub/3aRdSog0vUtuqPE8AJKD.png" xr:uid="{00000000-0004-0000-0C00-00008F030000}"/>
    <hyperlink ref="T900" r:id="rId913" display="https://storage.googleapis.com/glide-prod.appspot.com/uploads-v2/ly7o78grxPaC6KdgvbpS/pub/3aRdSog0vUtuqPE8AJKD.png" xr:uid="{00000000-0004-0000-0C00-000090030000}"/>
    <hyperlink ref="T901" r:id="rId914" display="https://storage.googleapis.com/glide-prod.appspot.com/uploads-v2/ly7o78grxPaC6KdgvbpS/pub/3aRdSog0vUtuqPE8AJKD.png" xr:uid="{00000000-0004-0000-0C00-000091030000}"/>
    <hyperlink ref="T902" r:id="rId915" display="https://storage.googleapis.com/glide-prod.appspot.com/uploads-v2/ly7o78grxPaC6KdgvbpS/pub/3aRdSog0vUtuqPE8AJKD.png" xr:uid="{00000000-0004-0000-0C00-000092030000}"/>
    <hyperlink ref="T903" r:id="rId916" display="https://storage.googleapis.com/glide-prod.appspot.com/uploads-v2/ly7o78grxPaC6KdgvbpS/pub/3aRdSog0vUtuqPE8AJKD.png" xr:uid="{00000000-0004-0000-0C00-000093030000}"/>
    <hyperlink ref="T904" r:id="rId917" display="https://storage.googleapis.com/glide-prod.appspot.com/uploads-v2/ly7o78grxPaC6KdgvbpS/pub/3aRdSog0vUtuqPE8AJKD.png" xr:uid="{00000000-0004-0000-0C00-000094030000}"/>
    <hyperlink ref="T905" r:id="rId918" display="https://storage.googleapis.com/glide-prod.appspot.com/uploads-v2/ly7o78grxPaC6KdgvbpS/pub/3aRdSog0vUtuqPE8AJKD.png" xr:uid="{00000000-0004-0000-0C00-000095030000}"/>
    <hyperlink ref="T906" r:id="rId919" display="https://storage.googleapis.com/glide-prod.appspot.com/uploads-v2/ly7o78grxPaC6KdgvbpS/pub/3aRdSog0vUtuqPE8AJKD.png" xr:uid="{00000000-0004-0000-0C00-000096030000}"/>
    <hyperlink ref="T907" r:id="rId920" display="https://storage.googleapis.com/glide-prod.appspot.com/uploads-v2/ly7o78grxPaC6KdgvbpS/pub/3aRdSog0vUtuqPE8AJKD.png" xr:uid="{00000000-0004-0000-0C00-000097030000}"/>
    <hyperlink ref="T908" r:id="rId921" display="https://storage.googleapis.com/glide-prod.appspot.com/uploads-v2/ly7o78grxPaC6KdgvbpS/pub/3aRdSog0vUtuqPE8AJKD.png" xr:uid="{00000000-0004-0000-0C00-000098030000}"/>
    <hyperlink ref="T909" r:id="rId922" display="https://storage.googleapis.com/glide-prod.appspot.com/uploads-v2/ly7o78grxPaC6KdgvbpS/pub/3aRdSog0vUtuqPE8AJKD.png" xr:uid="{00000000-0004-0000-0C00-000099030000}"/>
    <hyperlink ref="T910" r:id="rId923" display="https://storage.googleapis.com/glide-prod.appspot.com/uploads-v2/ly7o78grxPaC6KdgvbpS/pub/3aRdSog0vUtuqPE8AJKD.png" xr:uid="{00000000-0004-0000-0C00-00009A030000}"/>
    <hyperlink ref="T911" r:id="rId924" display="https://storage.googleapis.com/glide-prod.appspot.com/uploads-v2/ly7o78grxPaC6KdgvbpS/pub/3aRdSog0vUtuqPE8AJKD.png" xr:uid="{00000000-0004-0000-0C00-00009B030000}"/>
    <hyperlink ref="T912" r:id="rId925" display="https://storage.googleapis.com/glide-prod.appspot.com/uploads-v2/ly7o78grxPaC6KdgvbpS/pub/3aRdSog0vUtuqPE8AJKD.png" xr:uid="{00000000-0004-0000-0C00-00009C030000}"/>
    <hyperlink ref="T913" r:id="rId926" display="https://storage.googleapis.com/glide-prod.appspot.com/uploads-v2/ly7o78grxPaC6KdgvbpS/pub/3aRdSog0vUtuqPE8AJKD.png" xr:uid="{00000000-0004-0000-0C00-00009D030000}"/>
    <hyperlink ref="T914" r:id="rId927" display="https://storage.googleapis.com/glide-prod.appspot.com/uploads-v2/ly7o78grxPaC6KdgvbpS/pub/3aRdSog0vUtuqPE8AJKD.png" xr:uid="{00000000-0004-0000-0C00-00009E030000}"/>
    <hyperlink ref="T915" r:id="rId928" display="https://storage.googleapis.com/glide-prod.appspot.com/uploads-v2/ly7o78grxPaC6KdgvbpS/pub/3aRdSog0vUtuqPE8AJKD.png" xr:uid="{00000000-0004-0000-0C00-00009F030000}"/>
    <hyperlink ref="T916" r:id="rId929" display="https://storage.googleapis.com/glide-prod.appspot.com/uploads-v2/ly7o78grxPaC6KdgvbpS/pub/3aRdSog0vUtuqPE8AJKD.png" xr:uid="{00000000-0004-0000-0C00-0000A0030000}"/>
    <hyperlink ref="T917" r:id="rId930" display="https://storage.googleapis.com/glide-prod.appspot.com/uploads-v2/ly7o78grxPaC6KdgvbpS/pub/3aRdSog0vUtuqPE8AJKD.png" xr:uid="{00000000-0004-0000-0C00-0000A1030000}"/>
    <hyperlink ref="T918" r:id="rId931" display="https://storage.googleapis.com/glide-prod.appspot.com/uploads-v2/ly7o78grxPaC6KdgvbpS/pub/UliJWgpEaBovaFmXi6OW.png" xr:uid="{00000000-0004-0000-0C00-0000A2030000}"/>
    <hyperlink ref="T919" r:id="rId932" display="https://storage.googleapis.com/glide-prod.appspot.com/uploads-v2/ly7o78grxPaC6KdgvbpS/pub/UliJWgpEaBovaFmXi6OW.png" xr:uid="{00000000-0004-0000-0C00-0000A3030000}"/>
    <hyperlink ref="T920" r:id="rId933" display="https://storage.googleapis.com/glide-prod.appspot.com/uploads-v2/ly7o78grxPaC6KdgvbpS/pub/UliJWgpEaBovaFmXi6OW.png" xr:uid="{00000000-0004-0000-0C00-0000A4030000}"/>
    <hyperlink ref="T921" r:id="rId934" display="https://storage.googleapis.com/glide-prod.appspot.com/uploads-v2/ly7o78grxPaC6KdgvbpS/pub/UliJWgpEaBovaFmXi6OW.png" xr:uid="{00000000-0004-0000-0C00-0000A5030000}"/>
    <hyperlink ref="T922" r:id="rId935" display="https://storage.googleapis.com/glide-prod.appspot.com/uploads-v2/ly7o78grxPaC6KdgvbpS/pub/UliJWgpEaBovaFmXi6OW.png" xr:uid="{00000000-0004-0000-0C00-0000A6030000}"/>
    <hyperlink ref="T923" r:id="rId936" display="https://storage.googleapis.com/glide-prod.appspot.com/uploads-v2/ly7o78grxPaC6KdgvbpS/pub/UliJWgpEaBovaFmXi6OW.png" xr:uid="{00000000-0004-0000-0C00-0000A7030000}"/>
    <hyperlink ref="T924" r:id="rId937" display="https://storage.googleapis.com/glide-prod.appspot.com/uploads-v2/ly7o78grxPaC6KdgvbpS/pub/UliJWgpEaBovaFmXi6OW.png" xr:uid="{00000000-0004-0000-0C00-0000A8030000}"/>
    <hyperlink ref="T925" r:id="rId938" display="https://storage.googleapis.com/glide-prod.appspot.com/uploads-v2/ly7o78grxPaC6KdgvbpS/pub/UliJWgpEaBovaFmXi6OW.png" xr:uid="{00000000-0004-0000-0C00-0000A9030000}"/>
    <hyperlink ref="T926" r:id="rId939" display="https://storage.googleapis.com/glide-prod.appspot.com/uploads-v2/ly7o78grxPaC6KdgvbpS/pub/UliJWgpEaBovaFmXi6OW.png" xr:uid="{00000000-0004-0000-0C00-0000AA030000}"/>
    <hyperlink ref="T927" r:id="rId940" display="https://storage.googleapis.com/glide-prod.appspot.com/uploads-v2/ly7o78grxPaC6KdgvbpS/pub/UliJWgpEaBovaFmXi6OW.png" xr:uid="{00000000-0004-0000-0C00-0000AB030000}"/>
    <hyperlink ref="T928" r:id="rId941" display="https://storage.googleapis.com/glide-prod.appspot.com/uploads-v2/ly7o78grxPaC6KdgvbpS/pub/UliJWgpEaBovaFmXi6OW.png" xr:uid="{00000000-0004-0000-0C00-0000AC030000}"/>
    <hyperlink ref="T929" r:id="rId942" display="https://storage.googleapis.com/glide-prod.appspot.com/uploads-v2/ly7o78grxPaC6KdgvbpS/pub/UliJWgpEaBovaFmXi6OW.png" xr:uid="{00000000-0004-0000-0C00-0000AD030000}"/>
    <hyperlink ref="T930" r:id="rId943" display="https://storage.googleapis.com/glide-prod.appspot.com/uploads-v2/ly7o78grxPaC6KdgvbpS/pub/UliJWgpEaBovaFmXi6OW.png" xr:uid="{00000000-0004-0000-0C00-0000AE030000}"/>
    <hyperlink ref="T931" r:id="rId944" display="https://storage.googleapis.com/glide-prod.appspot.com/uploads-v2/ly7o78grxPaC6KdgvbpS/pub/UliJWgpEaBovaFmXi6OW.png" xr:uid="{00000000-0004-0000-0C00-0000AF030000}"/>
    <hyperlink ref="T932" r:id="rId945" display="https://storage.googleapis.com/glide-prod.appspot.com/uploads-v2/ly7o78grxPaC6KdgvbpS/pub/UliJWgpEaBovaFmXi6OW.png" xr:uid="{00000000-0004-0000-0C00-0000B0030000}"/>
    <hyperlink ref="T933" r:id="rId946" display="https://storage.googleapis.com/glide-prod.appspot.com/uploads-v2/ly7o78grxPaC6KdgvbpS/pub/UliJWgpEaBovaFmXi6OW.png" xr:uid="{00000000-0004-0000-0C00-0000B1030000}"/>
    <hyperlink ref="T934" r:id="rId947" display="https://storage.googleapis.com/glide-prod.appspot.com/uploads-v2/ly7o78grxPaC6KdgvbpS/pub/UliJWgpEaBovaFmXi6OW.png" xr:uid="{00000000-0004-0000-0C00-0000B2030000}"/>
    <hyperlink ref="T935" r:id="rId948" display="https://storage.googleapis.com/glide-prod.appspot.com/uploads-v2/ly7o78grxPaC6KdgvbpS/pub/UliJWgpEaBovaFmXi6OW.png" xr:uid="{00000000-0004-0000-0C00-0000B3030000}"/>
    <hyperlink ref="T936" r:id="rId949" display="https://storage.googleapis.com/glide-prod.appspot.com/uploads-v2/ly7o78grxPaC6KdgvbpS/pub/UliJWgpEaBovaFmXi6OW.png" xr:uid="{00000000-0004-0000-0C00-0000B4030000}"/>
    <hyperlink ref="T937" r:id="rId950" display="https://storage.googleapis.com/glide-prod.appspot.com/uploads-v2/ly7o78grxPaC6KdgvbpS/pub/UliJWgpEaBovaFmXi6OW.png" xr:uid="{00000000-0004-0000-0C00-0000B5030000}"/>
    <hyperlink ref="T938" r:id="rId951" display="https://storage.googleapis.com/glide-prod.appspot.com/uploads-v2/ly7o78grxPaC6KdgvbpS/pub/UliJWgpEaBovaFmXi6OW.png" xr:uid="{00000000-0004-0000-0C00-0000B6030000}"/>
    <hyperlink ref="T939" r:id="rId952" display="https://storage.googleapis.com/glide-prod.appspot.com/uploads-v2/ly7o78grxPaC6KdgvbpS/pub/UliJWgpEaBovaFmXi6OW.png" xr:uid="{00000000-0004-0000-0C00-0000B7030000}"/>
    <hyperlink ref="Z939" r:id="rId953" display="http://1b7iomgcramktu1lhsr.gg/" xr:uid="{00000000-0004-0000-0C00-0000B8030000}"/>
    <hyperlink ref="T940" r:id="rId954" display="https://storage.googleapis.com/glide-prod.appspot.com/uploads-v2/ly7o78grxPaC6KdgvbpS/pub/UliJWgpEaBovaFmXi6OW.png" xr:uid="{00000000-0004-0000-0C00-0000B9030000}"/>
    <hyperlink ref="T941" r:id="rId955" display="https://storage.googleapis.com/glide-prod.appspot.com/uploads-v2/ly7o78grxPaC6KdgvbpS/pub/UliJWgpEaBovaFmXi6OW.png" xr:uid="{00000000-0004-0000-0C00-0000BA030000}"/>
    <hyperlink ref="T942" r:id="rId956" display="https://storage.googleapis.com/glide-prod.appspot.com/uploads-v2/ly7o78grxPaC6KdgvbpS/pub/UliJWgpEaBovaFmXi6OW.png" xr:uid="{00000000-0004-0000-0C00-0000BB030000}"/>
    <hyperlink ref="T943" r:id="rId957" display="https://storage.googleapis.com/glide-prod.appspot.com/uploads-v2/ly7o78grxPaC6KdgvbpS/pub/UliJWgpEaBovaFmXi6OW.png" xr:uid="{00000000-0004-0000-0C00-0000BC030000}"/>
    <hyperlink ref="T944" r:id="rId958" display="https://storage.googleapis.com/glide-prod.appspot.com/uploads-v2/ly7o78grxPaC6KdgvbpS/pub/UliJWgpEaBovaFmXi6OW.png" xr:uid="{00000000-0004-0000-0C00-0000BD030000}"/>
    <hyperlink ref="T945" r:id="rId959" display="https://storage.googleapis.com/glide-prod.appspot.com/uploads-v2/ly7o78grxPaC6KdgvbpS/pub/UliJWgpEaBovaFmXi6OW.png" xr:uid="{00000000-0004-0000-0C00-0000BE030000}"/>
    <hyperlink ref="T946" r:id="rId960" display="https://storage.googleapis.com/glide-prod.appspot.com/uploads-v2/ly7o78grxPaC6KdgvbpS/pub/UliJWgpEaBovaFmXi6OW.png" xr:uid="{00000000-0004-0000-0C00-0000BF030000}"/>
    <hyperlink ref="T947" r:id="rId961" display="https://storage.googleapis.com/glide-prod.appspot.com/uploads-v2/ly7o78grxPaC6KdgvbpS/pub/UliJWgpEaBovaFmXi6OW.png" xr:uid="{00000000-0004-0000-0C00-0000C0030000}"/>
    <hyperlink ref="T948" r:id="rId962" display="https://storage.googleapis.com/glide-prod.appspot.com/uploads-v2/ly7o78grxPaC6KdgvbpS/pub/UliJWgpEaBovaFmXi6OW.png" xr:uid="{00000000-0004-0000-0C00-0000C1030000}"/>
    <hyperlink ref="T949" r:id="rId963" display="https://storage.googleapis.com/glide-prod.appspot.com/uploads-v2/ly7o78grxPaC6KdgvbpS/pub/UliJWgpEaBovaFmXi6OW.png" xr:uid="{00000000-0004-0000-0C00-0000C2030000}"/>
    <hyperlink ref="T950" r:id="rId964" display="https://storage.googleapis.com/glide-prod.appspot.com/uploads-v2/ly7o78grxPaC6KdgvbpS/pub/UliJWgpEaBovaFmXi6OW.png" xr:uid="{00000000-0004-0000-0C00-0000C3030000}"/>
    <hyperlink ref="T951" r:id="rId965" display="https://storage.googleapis.com/glide-prod.appspot.com/uploads-v2/ly7o78grxPaC6KdgvbpS/pub/3aRdSog0vUtuqPE8AJKD.png" xr:uid="{00000000-0004-0000-0C00-0000C4030000}"/>
    <hyperlink ref="T952" r:id="rId966" display="https://storage.googleapis.com/glide-prod.appspot.com/uploads-v2/ly7o78grxPaC6KdgvbpS/pub/3aRdSog0vUtuqPE8AJKD.png" xr:uid="{00000000-0004-0000-0C00-0000C5030000}"/>
    <hyperlink ref="T953" r:id="rId967" display="https://storage.googleapis.com/glide-prod.appspot.com/uploads-v2/ly7o78grxPaC6KdgvbpS/pub/3aRdSog0vUtuqPE8AJKD.png" xr:uid="{00000000-0004-0000-0C00-0000C6030000}"/>
    <hyperlink ref="T954" r:id="rId968" display="https://storage.googleapis.com/glide-prod.appspot.com/uploads-v2/ly7o78grxPaC6KdgvbpS/pub/3aRdSog0vUtuqPE8AJKD.png" xr:uid="{00000000-0004-0000-0C00-0000C7030000}"/>
    <hyperlink ref="T955" r:id="rId969" display="https://storage.googleapis.com/glide-prod.appspot.com/uploads-v2/ly7o78grxPaC6KdgvbpS/pub/3aRdSog0vUtuqPE8AJKD.png" xr:uid="{00000000-0004-0000-0C00-0000C8030000}"/>
    <hyperlink ref="T956" r:id="rId970" display="https://storage.googleapis.com/glide-prod.appspot.com/uploads-v2/ly7o78grxPaC6KdgvbpS/pub/3aRdSog0vUtuqPE8AJKD.png" xr:uid="{00000000-0004-0000-0C00-0000C9030000}"/>
    <hyperlink ref="T957" r:id="rId971" display="https://storage.googleapis.com/glide-prod.appspot.com/uploads-v2/ly7o78grxPaC6KdgvbpS/pub/3aRdSog0vUtuqPE8AJKD.png" xr:uid="{00000000-0004-0000-0C00-0000CA030000}"/>
    <hyperlink ref="T958" r:id="rId972" display="https://storage.googleapis.com/glide-prod.appspot.com/uploads-v2/ly7o78grxPaC6KdgvbpS/pub/3aRdSog0vUtuqPE8AJKD.png" xr:uid="{00000000-0004-0000-0C00-0000CB030000}"/>
    <hyperlink ref="T959" r:id="rId973" display="https://storage.googleapis.com/glide-prod.appspot.com/uploads-v2/ly7o78grxPaC6KdgvbpS/pub/3aRdSog0vUtuqPE8AJKD.png" xr:uid="{00000000-0004-0000-0C00-0000CC030000}"/>
    <hyperlink ref="T960" r:id="rId974" display="https://storage.googleapis.com/glide-prod.appspot.com/uploads-v2/ly7o78grxPaC6KdgvbpS/pub/3aRdSog0vUtuqPE8AJKD.png" xr:uid="{00000000-0004-0000-0C00-0000CD030000}"/>
    <hyperlink ref="T961" r:id="rId975" display="https://storage.googleapis.com/glide-prod.appspot.com/uploads-v2/ly7o78grxPaC6KdgvbpS/pub/3aRdSog0vUtuqPE8AJKD.png" xr:uid="{00000000-0004-0000-0C00-0000CE030000}"/>
    <hyperlink ref="T962" r:id="rId976" display="https://storage.googleapis.com/glide-prod.appspot.com/uploads-v2/ly7o78grxPaC6KdgvbpS/pub/3aRdSog0vUtuqPE8AJKD.png" xr:uid="{00000000-0004-0000-0C00-0000CF030000}"/>
    <hyperlink ref="T963" r:id="rId977" display="https://storage.googleapis.com/glide-prod.appspot.com/uploads-v2/ly7o78grxPaC6KdgvbpS/pub/3aRdSog0vUtuqPE8AJKD.png" xr:uid="{00000000-0004-0000-0C00-0000D0030000}"/>
    <hyperlink ref="T964" r:id="rId978" display="https://storage.googleapis.com/glide-prod.appspot.com/uploads-v2/ly7o78grxPaC6KdgvbpS/pub/3aRdSog0vUtuqPE8AJKD.png" xr:uid="{00000000-0004-0000-0C00-0000D1030000}"/>
    <hyperlink ref="T965" r:id="rId979" display="https://storage.googleapis.com/glide-prod.appspot.com/uploads-v2/ly7o78grxPaC6KdgvbpS/pub/3aRdSog0vUtuqPE8AJKD.png" xr:uid="{00000000-0004-0000-0C00-0000D2030000}"/>
    <hyperlink ref="T966" r:id="rId980" display="https://storage.googleapis.com/glide-prod.appspot.com/uploads-v2/ly7o78grxPaC6KdgvbpS/pub/3aRdSog0vUtuqPE8AJKD.png" xr:uid="{00000000-0004-0000-0C00-0000D3030000}"/>
    <hyperlink ref="T967" r:id="rId981" display="https://storage.googleapis.com/glide-prod.appspot.com/uploads-v2/ly7o78grxPaC6KdgvbpS/pub/3aRdSog0vUtuqPE8AJKD.png" xr:uid="{00000000-0004-0000-0C00-0000D4030000}"/>
    <hyperlink ref="T968" r:id="rId982" display="https://storage.googleapis.com/glide-prod.appspot.com/uploads-v2/ly7o78grxPaC6KdgvbpS/pub/3aRdSog0vUtuqPE8AJKD.png" xr:uid="{00000000-0004-0000-0C00-0000D5030000}"/>
    <hyperlink ref="T969" r:id="rId983" display="https://storage.googleapis.com/glide-prod.appspot.com/uploads-v2/ly7o78grxPaC6KdgvbpS/pub/3aRdSog0vUtuqPE8AJKD.png" xr:uid="{00000000-0004-0000-0C00-0000D6030000}"/>
    <hyperlink ref="T970" r:id="rId984" display="https://storage.googleapis.com/glide-prod.appspot.com/uploads-v2/ly7o78grxPaC6KdgvbpS/pub/3aRdSog0vUtuqPE8AJKD.png" xr:uid="{00000000-0004-0000-0C00-0000D7030000}"/>
    <hyperlink ref="T971" r:id="rId985" display="https://storage.googleapis.com/glide-prod.appspot.com/uploads-v2/ly7o78grxPaC6KdgvbpS/pub/3aRdSog0vUtuqPE8AJKD.png" xr:uid="{00000000-0004-0000-0C00-0000D8030000}"/>
    <hyperlink ref="T972" r:id="rId986" display="https://storage.googleapis.com/glide-prod.appspot.com/uploads-v2/ly7o78grxPaC6KdgvbpS/pub/3aRdSog0vUtuqPE8AJKD.png" xr:uid="{00000000-0004-0000-0C00-0000D9030000}"/>
    <hyperlink ref="T973" r:id="rId987" display="https://storage.googleapis.com/glide-prod.appspot.com/uploads-v2/ly7o78grxPaC6KdgvbpS/pub/3aRdSog0vUtuqPE8AJKD.png" xr:uid="{00000000-0004-0000-0C00-0000DA030000}"/>
    <hyperlink ref="T974" r:id="rId988" display="https://storage.googleapis.com/glide-prod.appspot.com/uploads-v2/ly7o78grxPaC6KdgvbpS/pub/3aRdSog0vUtuqPE8AJKD.png" xr:uid="{00000000-0004-0000-0C00-0000DB030000}"/>
    <hyperlink ref="T975" r:id="rId989" display="https://storage.googleapis.com/glide-prod.appspot.com/uploads-v2/ly7o78grxPaC6KdgvbpS/pub/3aRdSog0vUtuqPE8AJKD.png" xr:uid="{00000000-0004-0000-0C00-0000DC030000}"/>
    <hyperlink ref="T976" r:id="rId990" display="https://storage.googleapis.com/glide-prod.appspot.com/uploads-v2/ly7o78grxPaC6KdgvbpS/pub/3aRdSog0vUtuqPE8AJKD.png" xr:uid="{00000000-0004-0000-0C00-0000DD030000}"/>
    <hyperlink ref="T977" r:id="rId991" display="https://storage.googleapis.com/glide-prod.appspot.com/uploads-v2/ly7o78grxPaC6KdgvbpS/pub/3aRdSog0vUtuqPE8AJKD.png" xr:uid="{00000000-0004-0000-0C00-0000DE030000}"/>
    <hyperlink ref="T978" r:id="rId992" display="https://storage.googleapis.com/glide-prod.appspot.com/uploads-v2/ly7o78grxPaC6KdgvbpS/pub/3aRdSog0vUtuqPE8AJKD.png" xr:uid="{00000000-0004-0000-0C00-0000DF030000}"/>
    <hyperlink ref="T979" r:id="rId993" display="https://storage.googleapis.com/glide-prod.appspot.com/uploads-v2/ly7o78grxPaC6KdgvbpS/pub/yvtCGRAPIbS0tVLIlehH.png" xr:uid="{00000000-0004-0000-0C00-0000E0030000}"/>
    <hyperlink ref="T980" r:id="rId994" display="https://storage.googleapis.com/glide-prod.appspot.com/uploads-v2/ly7o78grxPaC6KdgvbpS/pub/3aRdSog0vUtuqPE8AJKD.png" xr:uid="{00000000-0004-0000-0C00-0000E1030000}"/>
    <hyperlink ref="T981" r:id="rId995" display="https://storage.googleapis.com/glide-prod.appspot.com/uploads-v2/ly7o78grxPaC6KdgvbpS/pub/yvtCGRAPIbS0tVLIlehH.png" xr:uid="{00000000-0004-0000-0C00-0000E2030000}"/>
    <hyperlink ref="T982" r:id="rId996" display="https://storage.googleapis.com/glide-prod.appspot.com/uploads-v2/ly7o78grxPaC6KdgvbpS/pub/3aRdSog0vUtuqPE8AJKD.png" xr:uid="{00000000-0004-0000-0C00-0000E3030000}"/>
    <hyperlink ref="T983" r:id="rId997" display="https://storage.googleapis.com/glide-prod.appspot.com/uploads-v2/ly7o78grxPaC6KdgvbpS/pub/3aRdSog0vUtuqPE8AJKD.png" xr:uid="{00000000-0004-0000-0C00-0000E4030000}"/>
    <hyperlink ref="T984" r:id="rId998" display="https://storage.googleapis.com/glide-prod.appspot.com/uploads-v2/ly7o78grxPaC6KdgvbpS/pub/3aRdSog0vUtuqPE8AJKD.png" xr:uid="{00000000-0004-0000-0C00-0000E5030000}"/>
    <hyperlink ref="T985" r:id="rId999" display="https://storage.googleapis.com/glide-prod.appspot.com/uploads-v2/ly7o78grxPaC6KdgvbpS/pub/3aRdSog0vUtuqPE8AJKD.png" xr:uid="{00000000-0004-0000-0C00-0000E6030000}"/>
    <hyperlink ref="T986" r:id="rId1000" display="https://storage.googleapis.com/glide-prod.appspot.com/uploads-v2/ly7o78grxPaC6KdgvbpS/pub/3aRdSog0vUtuqPE8AJKD.png" xr:uid="{00000000-0004-0000-0C00-0000E7030000}"/>
    <hyperlink ref="T987" r:id="rId1001" display="https://storage.googleapis.com/glide-prod.appspot.com/uploads-v2/ly7o78grxPaC6KdgvbpS/pub/3aRdSog0vUtuqPE8AJKD.png" xr:uid="{00000000-0004-0000-0C00-0000E8030000}"/>
    <hyperlink ref="T988" r:id="rId1002" display="https://storage.googleapis.com/glide-prod.appspot.com/uploads-v2/ly7o78grxPaC6KdgvbpS/pub/3aRdSog0vUtuqPE8AJKD.png" xr:uid="{00000000-0004-0000-0C00-0000E9030000}"/>
    <hyperlink ref="T989" r:id="rId1003" display="https://storage.googleapis.com/glide-prod.appspot.com/uploads-v2/ly7o78grxPaC6KdgvbpS/pub/3aRdSog0vUtuqPE8AJKD.png" xr:uid="{00000000-0004-0000-0C00-0000EA030000}"/>
    <hyperlink ref="T990" r:id="rId1004" display="https://storage.googleapis.com/glide-prod.appspot.com/uploads-v2/ly7o78grxPaC6KdgvbpS/pub/3aRdSog0vUtuqPE8AJKD.png" xr:uid="{00000000-0004-0000-0C00-0000EB030000}"/>
    <hyperlink ref="T991" r:id="rId1005" display="https://storage.googleapis.com/glide-prod.appspot.com/uploads-v2/ly7o78grxPaC6KdgvbpS/pub/3aRdSog0vUtuqPE8AJKD.png" xr:uid="{00000000-0004-0000-0C00-0000EC030000}"/>
    <hyperlink ref="T992" r:id="rId1006" display="https://storage.googleapis.com/glide-prod.appspot.com/uploads-v2/ly7o78grxPaC6KdgvbpS/pub/3aRdSog0vUtuqPE8AJKD.png" xr:uid="{00000000-0004-0000-0C00-0000ED030000}"/>
    <hyperlink ref="T993" r:id="rId1007" display="https://storage.googleapis.com/glide-prod.appspot.com/uploads-v2/ly7o78grxPaC6KdgvbpS/pub/3aRdSog0vUtuqPE8AJKD.png" xr:uid="{00000000-0004-0000-0C00-0000EE030000}"/>
    <hyperlink ref="T994" r:id="rId1008" display="https://storage.googleapis.com/glide-prod.appspot.com/uploads-v2/ly7o78grxPaC6KdgvbpS/pub/3aRdSog0vUtuqPE8AJKD.png" xr:uid="{00000000-0004-0000-0C00-0000EF030000}"/>
    <hyperlink ref="T995" r:id="rId1009" display="https://storage.googleapis.com/glide-prod.appspot.com/uploads-v2/ly7o78grxPaC6KdgvbpS/pub/3aRdSog0vUtuqPE8AJKD.png" xr:uid="{00000000-0004-0000-0C00-0000F0030000}"/>
    <hyperlink ref="T996" r:id="rId1010" display="https://storage.googleapis.com/glide-prod.appspot.com/uploads-v2/ly7o78grxPaC6KdgvbpS/pub/3aRdSog0vUtuqPE8AJKD.png" xr:uid="{00000000-0004-0000-0C00-0000F1030000}"/>
    <hyperlink ref="T997" r:id="rId1011" display="https://storage.googleapis.com/glide-prod.appspot.com/uploads-v2/ly7o78grxPaC6KdgvbpS/pub/3aRdSog0vUtuqPE8AJKD.png" xr:uid="{00000000-0004-0000-0C00-0000F2030000}"/>
    <hyperlink ref="T998" r:id="rId1012" display="https://storage.googleapis.com/glide-prod.appspot.com/uploads-v2/ly7o78grxPaC6KdgvbpS/pub/yvtCGRAPIbS0tVLIlehH.png" xr:uid="{00000000-0004-0000-0C00-0000F3030000}"/>
    <hyperlink ref="T999" r:id="rId1013" display="https://storage.googleapis.com/glide-prod.appspot.com/uploads-v2/ly7o78grxPaC6KdgvbpS/pub/3aRdSog0vUtuqPE8AJKD.png" xr:uid="{00000000-0004-0000-0C00-0000F4030000}"/>
    <hyperlink ref="T1000" r:id="rId1014" display="https://storage.googleapis.com/glide-prod.appspot.com/uploads-v2/ly7o78grxPaC6KdgvbpS/pub/yvtCGRAPIbS0tVLIlehH.png" xr:uid="{00000000-0004-0000-0C00-0000F5030000}"/>
    <hyperlink ref="T1001" r:id="rId1015" display="https://storage.googleapis.com/glide-prod.appspot.com/uploads-v2/ly7o78grxPaC6KdgvbpS/pub/3aRdSog0vUtuqPE8AJKD.png" xr:uid="{00000000-0004-0000-0C00-0000F6030000}"/>
    <hyperlink ref="T1002" r:id="rId1016" display="https://storage.googleapis.com/glide-prod.appspot.com/uploads-v2/ly7o78grxPaC6KdgvbpS/pub/3aRdSog0vUtuqPE8AJKD.png" xr:uid="{00000000-0004-0000-0C00-0000F7030000}"/>
    <hyperlink ref="T1003" r:id="rId1017" display="https://storage.googleapis.com/glide-prod.appspot.com/uploads-v2/ly7o78grxPaC6KdgvbpS/pub/3aRdSog0vUtuqPE8AJKD.png" xr:uid="{00000000-0004-0000-0C00-0000F8030000}"/>
    <hyperlink ref="T1004" r:id="rId1018" display="https://storage.googleapis.com/glide-prod.appspot.com/uploads-v2/ly7o78grxPaC6KdgvbpS/pub/3aRdSog0vUtuqPE8AJKD.png" xr:uid="{00000000-0004-0000-0C00-0000F9030000}"/>
    <hyperlink ref="T1005" r:id="rId1019" display="https://storage.googleapis.com/glide-prod.appspot.com/uploads-v2/ly7o78grxPaC6KdgvbpS/pub/3aRdSog0vUtuqPE8AJKD.png" xr:uid="{00000000-0004-0000-0C00-0000FA030000}"/>
    <hyperlink ref="T1006" r:id="rId1020" display="https://storage.googleapis.com/glide-prod.appspot.com/uploads-v2/ly7o78grxPaC6KdgvbpS/pub/3aRdSog0vUtuqPE8AJKD.png" xr:uid="{00000000-0004-0000-0C00-0000FB030000}"/>
    <hyperlink ref="T1007" r:id="rId1021" display="https://storage.googleapis.com/glide-prod.appspot.com/uploads-v2/ly7o78grxPaC6KdgvbpS/pub/3aRdSog0vUtuqPE8AJKD.png" xr:uid="{00000000-0004-0000-0C00-0000FC030000}"/>
    <hyperlink ref="T1008" r:id="rId1022" display="https://storage.googleapis.com/glide-prod.appspot.com/uploads-v2/ly7o78grxPaC6KdgvbpS/pub/3aRdSog0vUtuqPE8AJKD.png" xr:uid="{00000000-0004-0000-0C00-0000FD030000}"/>
    <hyperlink ref="T1009" r:id="rId1023" display="https://storage.googleapis.com/glide-prod.appspot.com/uploads-v2/ly7o78grxPaC6KdgvbpS/pub/3aRdSog0vUtuqPE8AJKD.png" xr:uid="{00000000-0004-0000-0C00-0000FE030000}"/>
    <hyperlink ref="T1010" r:id="rId1024" display="https://storage.googleapis.com/glide-prod.appspot.com/uploads-v2/ly7o78grxPaC6KdgvbpS/pub/3aRdSog0vUtuqPE8AJKD.png" xr:uid="{00000000-0004-0000-0C00-0000FF030000}"/>
    <hyperlink ref="T1011" r:id="rId1025" display="https://storage.googleapis.com/glide-prod.appspot.com/uploads-v2/ly7o78grxPaC6KdgvbpS/pub/3aRdSog0vUtuqPE8AJKD.png" xr:uid="{00000000-0004-0000-0C00-000000040000}"/>
    <hyperlink ref="T1012" r:id="rId1026" display="https://storage.googleapis.com/glide-prod.appspot.com/uploads-v2/ly7o78grxPaC6KdgvbpS/pub/3aRdSog0vUtuqPE8AJKD.png" xr:uid="{00000000-0004-0000-0C00-000001040000}"/>
    <hyperlink ref="T1013" r:id="rId1027" display="https://storage.googleapis.com/glide-prod.appspot.com/uploads-v2/ly7o78grxPaC6KdgvbpS/pub/3aRdSog0vUtuqPE8AJKD.png" xr:uid="{00000000-0004-0000-0C00-000002040000}"/>
    <hyperlink ref="T1014" r:id="rId1028" display="https://storage.googleapis.com/glide-prod.appspot.com/uploads-v2/ly7o78grxPaC6KdgvbpS/pub/3aRdSog0vUtuqPE8AJKD.png" xr:uid="{00000000-0004-0000-0C00-000003040000}"/>
    <hyperlink ref="T1015" r:id="rId1029" display="https://storage.googleapis.com/glide-prod.appspot.com/uploads-v2/ly7o78grxPaC6KdgvbpS/pub/3aRdSog0vUtuqPE8AJKD.png" xr:uid="{00000000-0004-0000-0C00-000004040000}"/>
    <hyperlink ref="T1016" r:id="rId1030" display="https://storage.googleapis.com/glide-prod.appspot.com/uploads-v2/ly7o78grxPaC6KdgvbpS/pub/3aRdSog0vUtuqPE8AJKD.png" xr:uid="{00000000-0004-0000-0C00-000005040000}"/>
    <hyperlink ref="T1017" r:id="rId1031" display="https://storage.googleapis.com/glide-prod.appspot.com/uploads-v2/ly7o78grxPaC6KdgvbpS/pub/3aRdSog0vUtuqPE8AJKD.png" xr:uid="{00000000-0004-0000-0C00-000006040000}"/>
    <hyperlink ref="T1018" r:id="rId1032" display="https://storage.googleapis.com/glide-prod.appspot.com/uploads-v2/ly7o78grxPaC6KdgvbpS/pub/3aRdSog0vUtuqPE8AJKD.png" xr:uid="{00000000-0004-0000-0C00-000007040000}"/>
    <hyperlink ref="T1019" r:id="rId1033" display="https://storage.googleapis.com/glide-prod.appspot.com/uploads-v2/ly7o78grxPaC6KdgvbpS/pub/3aRdSog0vUtuqPE8AJKD.png" xr:uid="{00000000-0004-0000-0C00-000008040000}"/>
    <hyperlink ref="T1020" r:id="rId1034" display="https://storage.googleapis.com/glide-prod.appspot.com/uploads-v2/ly7o78grxPaC6KdgvbpS/pub/3aRdSog0vUtuqPE8AJKD.png" xr:uid="{00000000-0004-0000-0C00-000009040000}"/>
    <hyperlink ref="T1021" r:id="rId1035" display="https://storage.googleapis.com/glide-prod.appspot.com/uploads-v2/ly7o78grxPaC6KdgvbpS/pub/3aRdSog0vUtuqPE8AJKD.png" xr:uid="{00000000-0004-0000-0C00-00000A040000}"/>
    <hyperlink ref="T1022" r:id="rId1036" display="https://storage.googleapis.com/glide-prod.appspot.com/uploads-v2/ly7o78grxPaC6KdgvbpS/pub/3aRdSog0vUtuqPE8AJKD.png" xr:uid="{00000000-0004-0000-0C00-00000B040000}"/>
    <hyperlink ref="T1023" r:id="rId1037" display="https://storage.googleapis.com/glide-prod.appspot.com/uploads-v2/ly7o78grxPaC6KdgvbpS/pub/3aRdSog0vUtuqPE8AJKD.png" xr:uid="{00000000-0004-0000-0C00-00000C040000}"/>
    <hyperlink ref="T1024" r:id="rId1038" display="https://storage.googleapis.com/glide-prod.appspot.com/uploads-v2/ly7o78grxPaC6KdgvbpS/pub/3aRdSog0vUtuqPE8AJKD.png" xr:uid="{00000000-0004-0000-0C00-00000D040000}"/>
    <hyperlink ref="T1025" r:id="rId1039" display="https://storage.googleapis.com/glide-prod.appspot.com/uploads-v2/ly7o78grxPaC6KdgvbpS/pub/3aRdSog0vUtuqPE8AJKD.png" xr:uid="{00000000-0004-0000-0C00-00000E040000}"/>
    <hyperlink ref="T1026" r:id="rId1040" display="https://storage.googleapis.com/glide-prod.appspot.com/uploads-v2/ly7o78grxPaC6KdgvbpS/pub/3aRdSog0vUtuqPE8AJKD.png" xr:uid="{00000000-0004-0000-0C00-00000F040000}"/>
    <hyperlink ref="T1027" r:id="rId1041" display="https://storage.googleapis.com/glide-prod.appspot.com/uploads-v2/ly7o78grxPaC6KdgvbpS/pub/3aRdSog0vUtuqPE8AJKD.png" xr:uid="{00000000-0004-0000-0C00-000010040000}"/>
    <hyperlink ref="T1028" r:id="rId1042" display="https://storage.googleapis.com/glide-prod.appspot.com/uploads-v2/ly7o78grxPaC6KdgvbpS/pub/3aRdSog0vUtuqPE8AJKD.png" xr:uid="{00000000-0004-0000-0C00-000011040000}"/>
    <hyperlink ref="T1029" r:id="rId1043" display="https://storage.googleapis.com/glide-prod.appspot.com/uploads-v2/ly7o78grxPaC6KdgvbpS/pub/3aRdSog0vUtuqPE8AJKD.png" xr:uid="{00000000-0004-0000-0C00-000012040000}"/>
    <hyperlink ref="T1030" r:id="rId1044" display="https://storage.googleapis.com/glide-prod.appspot.com/uploads-v2/ly7o78grxPaC6KdgvbpS/pub/3aRdSog0vUtuqPE8AJKD.png" xr:uid="{00000000-0004-0000-0C00-000013040000}"/>
    <hyperlink ref="T1031" r:id="rId1045" display="https://storage.googleapis.com/glide-prod.appspot.com/uploads-v2/ly7o78grxPaC6KdgvbpS/pub/3aRdSog0vUtuqPE8AJKD.png" xr:uid="{00000000-0004-0000-0C00-000014040000}"/>
    <hyperlink ref="T1032" r:id="rId1046" display="https://storage.googleapis.com/glide-prod.appspot.com/uploads-v2/ly7o78grxPaC6KdgvbpS/pub/3aRdSog0vUtuqPE8AJKD.png" xr:uid="{00000000-0004-0000-0C00-000015040000}"/>
    <hyperlink ref="T1033" r:id="rId1047" display="https://storage.googleapis.com/glide-prod.appspot.com/uploads-v2/ly7o78grxPaC6KdgvbpS/pub/3aRdSog0vUtuqPE8AJKD.png" xr:uid="{00000000-0004-0000-0C00-000016040000}"/>
    <hyperlink ref="T1034" r:id="rId1048" display="https://storage.googleapis.com/glide-prod.appspot.com/uploads-v2/ly7o78grxPaC6KdgvbpS/pub/3aRdSog0vUtuqPE8AJKD.png" xr:uid="{00000000-0004-0000-0C00-000017040000}"/>
    <hyperlink ref="T1035" r:id="rId1049" display="https://storage.googleapis.com/glide-prod.appspot.com/uploads-v2/ly7o78grxPaC6KdgvbpS/pub/3aRdSog0vUtuqPE8AJKD.png" xr:uid="{00000000-0004-0000-0C00-000018040000}"/>
    <hyperlink ref="T1036" r:id="rId1050" display="https://storage.googleapis.com/glide-prod.appspot.com/uploads-v2/ly7o78grxPaC6KdgvbpS/pub/3aRdSog0vUtuqPE8AJKD.png" xr:uid="{00000000-0004-0000-0C00-000019040000}"/>
    <hyperlink ref="T1037" r:id="rId1051" display="https://storage.googleapis.com/glide-prod.appspot.com/uploads-v2/ly7o78grxPaC6KdgvbpS/pub/3aRdSog0vUtuqPE8AJKD.png" xr:uid="{00000000-0004-0000-0C00-00001A040000}"/>
    <hyperlink ref="T1038" r:id="rId1052" display="https://storage.googleapis.com/glide-prod.appspot.com/uploads-v2/ly7o78grxPaC6KdgvbpS/pub/3aRdSog0vUtuqPE8AJKD.png" xr:uid="{00000000-0004-0000-0C00-00001B040000}"/>
    <hyperlink ref="T1039" r:id="rId1053" display="https://storage.googleapis.com/glide-prod.appspot.com/uploads-v2/ly7o78grxPaC6KdgvbpS/pub/3aRdSog0vUtuqPE8AJKD.png" xr:uid="{00000000-0004-0000-0C00-00001C040000}"/>
    <hyperlink ref="T1040" r:id="rId1054" display="https://storage.googleapis.com/glide-prod.appspot.com/uploads-v2/ly7o78grxPaC6KdgvbpS/pub/3aRdSog0vUtuqPE8AJKD.png" xr:uid="{00000000-0004-0000-0C00-00001D040000}"/>
    <hyperlink ref="T1041" r:id="rId1055" display="https://storage.googleapis.com/glide-prod.appspot.com/uploads-v2/ly7o78grxPaC6KdgvbpS/pub/3aRdSog0vUtuqPE8AJKD.png" xr:uid="{00000000-0004-0000-0C00-00001E040000}"/>
    <hyperlink ref="T1042" r:id="rId1056" display="https://storage.googleapis.com/glide-prod.appspot.com/uploads-v2/ly7o78grxPaC6KdgvbpS/pub/3aRdSog0vUtuqPE8AJKD.png" xr:uid="{00000000-0004-0000-0C00-00001F040000}"/>
    <hyperlink ref="T1043" r:id="rId1057" display="https://storage.googleapis.com/glide-prod.appspot.com/uploads-v2/ly7o78grxPaC6KdgvbpS/pub/3aRdSog0vUtuqPE8AJKD.png" xr:uid="{00000000-0004-0000-0C00-000020040000}"/>
    <hyperlink ref="T1044" r:id="rId1058" display="https://storage.googleapis.com/glide-prod.appspot.com/uploads-v2/ly7o78grxPaC6KdgvbpS/pub/3aRdSog0vUtuqPE8AJKD.png" xr:uid="{00000000-0004-0000-0C00-000021040000}"/>
    <hyperlink ref="T1045" r:id="rId1059" display="https://storage.googleapis.com/glide-prod.appspot.com/uploads-v2/ly7o78grxPaC6KdgvbpS/pub/3aRdSog0vUtuqPE8AJKD.png" xr:uid="{00000000-0004-0000-0C00-000022040000}"/>
    <hyperlink ref="T1046" r:id="rId1060" display="https://storage.googleapis.com/glide-prod.appspot.com/uploads-v2/ly7o78grxPaC6KdgvbpS/pub/3aRdSog0vUtuqPE8AJKD.png" xr:uid="{00000000-0004-0000-0C00-000023040000}"/>
    <hyperlink ref="T1047" r:id="rId1061" display="https://storage.googleapis.com/glide-prod.appspot.com/uploads-v2/ly7o78grxPaC6KdgvbpS/pub/3aRdSog0vUtuqPE8AJKD.png" xr:uid="{00000000-0004-0000-0C00-000024040000}"/>
    <hyperlink ref="T1048" r:id="rId1062" display="https://storage.googleapis.com/glide-prod.appspot.com/uploads-v2/ly7o78grxPaC6KdgvbpS/pub/3aRdSog0vUtuqPE8AJKD.png" xr:uid="{00000000-0004-0000-0C00-000025040000}"/>
    <hyperlink ref="T1049" r:id="rId1063" display="https://storage.googleapis.com/glide-prod.appspot.com/uploads-v2/ly7o78grxPaC6KdgvbpS/pub/3aRdSog0vUtuqPE8AJKD.png" xr:uid="{00000000-0004-0000-0C00-000026040000}"/>
    <hyperlink ref="T1050" r:id="rId1064" display="https://storage.googleapis.com/glide-prod.appspot.com/uploads-v2/ly7o78grxPaC6KdgvbpS/pub/3aRdSog0vUtuqPE8AJKD.png" xr:uid="{00000000-0004-0000-0C00-000027040000}"/>
    <hyperlink ref="T1051" r:id="rId1065" display="https://storage.googleapis.com/glide-prod.appspot.com/uploads-v2/ly7o78grxPaC6KdgvbpS/pub/3aRdSog0vUtuqPE8AJKD.png" xr:uid="{00000000-0004-0000-0C00-000028040000}"/>
    <hyperlink ref="T1052" r:id="rId1066" display="https://storage.googleapis.com/glide-prod.appspot.com/uploads-v2/ly7o78grxPaC6KdgvbpS/pub/3aRdSog0vUtuqPE8AJKD.png" xr:uid="{00000000-0004-0000-0C00-000029040000}"/>
    <hyperlink ref="T1053" r:id="rId1067" display="https://storage.googleapis.com/glide-prod.appspot.com/uploads-v2/ly7o78grxPaC6KdgvbpS/pub/3aRdSog0vUtuqPE8AJKD.png" xr:uid="{00000000-0004-0000-0C00-00002A040000}"/>
    <hyperlink ref="T1054" r:id="rId1068" display="https://storage.googleapis.com/glide-prod.appspot.com/uploads-v2/ly7o78grxPaC6KdgvbpS/pub/3aRdSog0vUtuqPE8AJKD.png" xr:uid="{00000000-0004-0000-0C00-00002B040000}"/>
    <hyperlink ref="T1055" r:id="rId1069" display="https://storage.googleapis.com/glide-prod.appspot.com/uploads-v2/ly7o78grxPaC6KdgvbpS/pub/3aRdSog0vUtuqPE8AJKD.png" xr:uid="{00000000-0004-0000-0C00-00002C040000}"/>
    <hyperlink ref="T1056" r:id="rId1070" display="https://storage.googleapis.com/glide-prod.appspot.com/uploads-v2/ly7o78grxPaC6KdgvbpS/pub/3aRdSog0vUtuqPE8AJKD.png" xr:uid="{00000000-0004-0000-0C00-00002D040000}"/>
    <hyperlink ref="T1057" r:id="rId1071" display="https://storage.googleapis.com/glide-prod.appspot.com/uploads-v2/ly7o78grxPaC6KdgvbpS/pub/3aRdSog0vUtuqPE8AJKD.png" xr:uid="{00000000-0004-0000-0C00-00002E040000}"/>
    <hyperlink ref="T1058" r:id="rId1072" display="https://storage.googleapis.com/glide-prod.appspot.com/uploads-v2/ly7o78grxPaC6KdgvbpS/pub/3aRdSog0vUtuqPE8AJKD.png" xr:uid="{00000000-0004-0000-0C00-00002F040000}"/>
    <hyperlink ref="T1059" r:id="rId1073" display="https://storage.googleapis.com/glide-prod.appspot.com/uploads-v2/ly7o78grxPaC6KdgvbpS/pub/3aRdSog0vUtuqPE8AJKD.png" xr:uid="{00000000-0004-0000-0C00-000030040000}"/>
    <hyperlink ref="T1060" r:id="rId1074" display="https://storage.googleapis.com/glide-prod.appspot.com/uploads-v2/ly7o78grxPaC6KdgvbpS/pub/3aRdSog0vUtuqPE8AJKD.png" xr:uid="{00000000-0004-0000-0C00-000031040000}"/>
    <hyperlink ref="T1061" r:id="rId1075" display="https://storage.googleapis.com/glide-prod.appspot.com/uploads-v2/ly7o78grxPaC6KdgvbpS/pub/3aRdSog0vUtuqPE8AJKD.png" xr:uid="{00000000-0004-0000-0C00-000032040000}"/>
    <hyperlink ref="T1062" r:id="rId1076" display="https://storage.googleapis.com/glide-prod.appspot.com/uploads-v2/ly7o78grxPaC6KdgvbpS/pub/3aRdSog0vUtuqPE8AJKD.png" xr:uid="{00000000-0004-0000-0C00-000033040000}"/>
    <hyperlink ref="T1063" r:id="rId1077" display="https://storage.googleapis.com/glide-prod.appspot.com/uploads-v2/ly7o78grxPaC6KdgvbpS/pub/3aRdSog0vUtuqPE8AJKD.png" xr:uid="{00000000-0004-0000-0C00-000034040000}"/>
    <hyperlink ref="T1064" r:id="rId1078" display="https://storage.googleapis.com/glide-prod.appspot.com/uploads-v2/ly7o78grxPaC6KdgvbpS/pub/3aRdSog0vUtuqPE8AJKD.png" xr:uid="{00000000-0004-0000-0C00-000035040000}"/>
    <hyperlink ref="T1065" r:id="rId1079" display="https://storage.googleapis.com/glide-prod.appspot.com/uploads-v2/ly7o78grxPaC6KdgvbpS/pub/3aRdSog0vUtuqPE8AJKD.png" xr:uid="{00000000-0004-0000-0C00-000036040000}"/>
    <hyperlink ref="T1066" r:id="rId1080" display="https://storage.googleapis.com/glide-prod.appspot.com/uploads-v2/ly7o78grxPaC6KdgvbpS/pub/3aRdSog0vUtuqPE8AJKD.png" xr:uid="{00000000-0004-0000-0C00-000037040000}"/>
    <hyperlink ref="T1067" r:id="rId1081" display="https://storage.googleapis.com/glide-prod.appspot.com/uploads-v2/ly7o78grxPaC6KdgvbpS/pub/3aRdSog0vUtuqPE8AJKD.png" xr:uid="{00000000-0004-0000-0C00-000038040000}"/>
    <hyperlink ref="T1068" r:id="rId1082" display="https://storage.googleapis.com/glide-prod.appspot.com/uploads-v2/ly7o78grxPaC6KdgvbpS/pub/3aRdSog0vUtuqPE8AJKD.png" xr:uid="{00000000-0004-0000-0C00-000039040000}"/>
    <hyperlink ref="T1069" r:id="rId1083" display="https://storage.googleapis.com/glide-prod.appspot.com/uploads-v2/ly7o78grxPaC6KdgvbpS/pub/3aRdSog0vUtuqPE8AJKD.png" xr:uid="{00000000-0004-0000-0C00-00003A040000}"/>
    <hyperlink ref="T1070" r:id="rId1084" display="https://storage.googleapis.com/glide-prod.appspot.com/uploads-v2/ly7o78grxPaC6KdgvbpS/pub/3aRdSog0vUtuqPE8AJKD.png" xr:uid="{00000000-0004-0000-0C00-00003B040000}"/>
    <hyperlink ref="T1071" r:id="rId1085" display="https://storage.googleapis.com/glide-prod.appspot.com/uploads-v2/ly7o78grxPaC6KdgvbpS/pub/3aRdSog0vUtuqPE8AJKD.png" xr:uid="{00000000-0004-0000-0C00-00003C040000}"/>
    <hyperlink ref="T1072" r:id="rId1086" display="https://storage.googleapis.com/glide-prod.appspot.com/uploads-v2/ly7o78grxPaC6KdgvbpS/pub/3aRdSog0vUtuqPE8AJKD.png" xr:uid="{00000000-0004-0000-0C00-00003D040000}"/>
    <hyperlink ref="T1073" r:id="rId1087" display="https://storage.googleapis.com/glide-prod.appspot.com/uploads-v2/ly7o78grxPaC6KdgvbpS/pub/3aRdSog0vUtuqPE8AJKD.png" xr:uid="{00000000-0004-0000-0C00-00003E040000}"/>
    <hyperlink ref="T1074" r:id="rId1088" display="https://storage.googleapis.com/glide-prod.appspot.com/uploads-v2/ly7o78grxPaC6KdgvbpS/pub/3aRdSog0vUtuqPE8AJKD.png" xr:uid="{00000000-0004-0000-0C00-00003F040000}"/>
    <hyperlink ref="T1075" r:id="rId1089" display="https://storage.googleapis.com/glide-prod.appspot.com/uploads-v2/ly7o78grxPaC6KdgvbpS/pub/3aRdSog0vUtuqPE8AJKD.png" xr:uid="{00000000-0004-0000-0C00-000040040000}"/>
    <hyperlink ref="T1076" r:id="rId1090" display="https://storage.googleapis.com/glide-prod.appspot.com/uploads-v2/ly7o78grxPaC6KdgvbpS/pub/3aRdSog0vUtuqPE8AJKD.png" xr:uid="{00000000-0004-0000-0C00-000041040000}"/>
    <hyperlink ref="T1077" r:id="rId1091" display="https://storage.googleapis.com/glide-prod.appspot.com/uploads-v2/ly7o78grxPaC6KdgvbpS/pub/UliJWgpEaBovaFmXi6OW.png" xr:uid="{00000000-0004-0000-0C00-000042040000}"/>
    <hyperlink ref="T1078" r:id="rId1092" display="https://storage.googleapis.com/glide-prod.appspot.com/uploads-v2/ly7o78grxPaC6KdgvbpS/pub/UliJWgpEaBovaFmXi6OW.png" xr:uid="{00000000-0004-0000-0C00-000043040000}"/>
    <hyperlink ref="T1079" r:id="rId1093" display="https://storage.googleapis.com/glide-prod.appspot.com/uploads-v2/ly7o78grxPaC6KdgvbpS/pub/UliJWgpEaBovaFmXi6OW.png" xr:uid="{00000000-0004-0000-0C00-000044040000}"/>
    <hyperlink ref="T1080" r:id="rId1094" display="https://storage.googleapis.com/glide-prod.appspot.com/uploads-v2/ly7o78grxPaC6KdgvbpS/pub/UliJWgpEaBovaFmXi6OW.png" xr:uid="{00000000-0004-0000-0C00-000045040000}"/>
    <hyperlink ref="T1081" r:id="rId1095" display="https://storage.googleapis.com/glide-prod.appspot.com/uploads-v2/ly7o78grxPaC6KdgvbpS/pub/UliJWgpEaBovaFmXi6OW.png" xr:uid="{00000000-0004-0000-0C00-000046040000}"/>
    <hyperlink ref="T1082" r:id="rId1096" display="https://storage.googleapis.com/glide-prod.appspot.com/uploads-v2/ly7o78grxPaC6KdgvbpS/pub/UliJWgpEaBovaFmXi6OW.png" xr:uid="{00000000-0004-0000-0C00-000047040000}"/>
    <hyperlink ref="T1083" r:id="rId1097" display="https://storage.googleapis.com/glide-prod.appspot.com/uploads-v2/ly7o78grxPaC6KdgvbpS/pub/UliJWgpEaBovaFmXi6OW.png" xr:uid="{00000000-0004-0000-0C00-000048040000}"/>
    <hyperlink ref="T1084" r:id="rId1098" display="https://storage.googleapis.com/glide-prod.appspot.com/uploads-v2/ly7o78grxPaC6KdgvbpS/pub/3aRdSog0vUtuqPE8AJKD.png" xr:uid="{00000000-0004-0000-0C00-000049040000}"/>
    <hyperlink ref="T1085" r:id="rId1099" display="https://storage.googleapis.com/glide-prod.appspot.com/uploads-v2/ly7o78grxPaC6KdgvbpS/pub/3aRdSog0vUtuqPE8AJKD.png" xr:uid="{00000000-0004-0000-0C00-00004A040000}"/>
    <hyperlink ref="T1086" r:id="rId1100" display="https://storage.googleapis.com/glide-prod.appspot.com/uploads-v2/ly7o78grxPaC6KdgvbpS/pub/3aRdSog0vUtuqPE8AJKD.png" xr:uid="{00000000-0004-0000-0C00-00004B040000}"/>
    <hyperlink ref="T1087" r:id="rId1101" display="https://storage.googleapis.com/glide-prod.appspot.com/uploads-v2/ly7o78grxPaC6KdgvbpS/pub/3aRdSog0vUtuqPE8AJKD.png" xr:uid="{00000000-0004-0000-0C00-00004C040000}"/>
    <hyperlink ref="T1088" r:id="rId1102" display="https://storage.googleapis.com/glide-prod.appspot.com/uploads-v2/ly7o78grxPaC6KdgvbpS/pub/3aRdSog0vUtuqPE8AJKD.png" xr:uid="{00000000-0004-0000-0C00-00004D040000}"/>
    <hyperlink ref="T1089" r:id="rId1103" display="https://storage.googleapis.com/glide-prod.appspot.com/uploads-v2/ly7o78grxPaC6KdgvbpS/pub/3aRdSog0vUtuqPE8AJKD.png" xr:uid="{00000000-0004-0000-0C00-00004E040000}"/>
    <hyperlink ref="T1090" r:id="rId1104" display="https://storage.googleapis.com/glide-prod.appspot.com/uploads-v2/ly7o78grxPaC6KdgvbpS/pub/yvtCGRAPIbS0tVLIlehH.png" xr:uid="{00000000-0004-0000-0C00-00004F040000}"/>
    <hyperlink ref="T1091" r:id="rId1105" display="https://storage.googleapis.com/glide-prod.appspot.com/uploads-v2/ly7o78grxPaC6KdgvbpS/pub/3aRdSog0vUtuqPE8AJKD.png" xr:uid="{00000000-0004-0000-0C00-000050040000}"/>
    <hyperlink ref="T1092" r:id="rId1106" display="https://storage.googleapis.com/glide-prod.appspot.com/uploads-v2/ly7o78grxPaC6KdgvbpS/pub/3aRdSog0vUtuqPE8AJKD.png" xr:uid="{00000000-0004-0000-0C00-000051040000}"/>
    <hyperlink ref="T1093" r:id="rId1107" display="https://storage.googleapis.com/glide-prod.appspot.com/uploads-v2/ly7o78grxPaC6KdgvbpS/pub/3aRdSog0vUtuqPE8AJKD.png" xr:uid="{00000000-0004-0000-0C00-000052040000}"/>
    <hyperlink ref="T1094" r:id="rId1108" display="https://storage.googleapis.com/glide-prod.appspot.com/uploads-v2/ly7o78grxPaC6KdgvbpS/pub/3aRdSog0vUtuqPE8AJKD.png" xr:uid="{00000000-0004-0000-0C00-000053040000}"/>
    <hyperlink ref="T1095" r:id="rId1109" display="https://storage.googleapis.com/glide-prod.appspot.com/uploads-v2/ly7o78grxPaC6KdgvbpS/pub/3aRdSog0vUtuqPE8AJKD.png" xr:uid="{00000000-0004-0000-0C00-000054040000}"/>
    <hyperlink ref="T1096" r:id="rId1110" display="https://storage.googleapis.com/glide-prod.appspot.com/uploads-v2/ly7o78grxPaC6KdgvbpS/pub/3aRdSog0vUtuqPE8AJKD.png" xr:uid="{00000000-0004-0000-0C00-000055040000}"/>
    <hyperlink ref="T1097" r:id="rId1111" display="https://storage.googleapis.com/glide-prod.appspot.com/uploads-v2/ly7o78grxPaC6KdgvbpS/pub/3aRdSog0vUtuqPE8AJKD.png" xr:uid="{00000000-0004-0000-0C00-000056040000}"/>
    <hyperlink ref="T1098" r:id="rId1112" display="https://storage.googleapis.com/glide-prod.appspot.com/uploads-v2/ly7o78grxPaC6KdgvbpS/pub/3aRdSog0vUtuqPE8AJKD.png" xr:uid="{00000000-0004-0000-0C00-000057040000}"/>
    <hyperlink ref="T1099" r:id="rId1113" display="https://storage.googleapis.com/glide-prod.appspot.com/uploads-v2/ly7o78grxPaC6KdgvbpS/pub/3aRdSog0vUtuqPE8AJKD.png" xr:uid="{00000000-0004-0000-0C00-000058040000}"/>
    <hyperlink ref="T1100" r:id="rId1114" display="https://storage.googleapis.com/glide-prod.appspot.com/uploads-v2/ly7o78grxPaC6KdgvbpS/pub/3aRdSog0vUtuqPE8AJKD.png" xr:uid="{00000000-0004-0000-0C00-000059040000}"/>
    <hyperlink ref="T1101" r:id="rId1115" display="https://storage.googleapis.com/glide-prod.appspot.com/uploads-v2/ly7o78grxPaC6KdgvbpS/pub/3aRdSog0vUtuqPE8AJKD.png" xr:uid="{00000000-0004-0000-0C00-00005A040000}"/>
    <hyperlink ref="T1102" r:id="rId1116" display="https://storage.googleapis.com/glide-prod.appspot.com/uploads-v2/ly7o78grxPaC6KdgvbpS/pub/3aRdSog0vUtuqPE8AJKD.png" xr:uid="{00000000-0004-0000-0C00-00005B040000}"/>
    <hyperlink ref="T1103" r:id="rId1117" display="https://storage.googleapis.com/glide-prod.appspot.com/uploads-v2/ly7o78grxPaC6KdgvbpS/pub/3aRdSog0vUtuqPE8AJKD.png" xr:uid="{00000000-0004-0000-0C00-00005C040000}"/>
    <hyperlink ref="T1104" r:id="rId1118" display="https://storage.googleapis.com/glide-prod.appspot.com/uploads-v2/ly7o78grxPaC6KdgvbpS/pub/3aRdSog0vUtuqPE8AJKD.png" xr:uid="{00000000-0004-0000-0C00-00005D040000}"/>
    <hyperlink ref="T1105" r:id="rId1119" display="https://storage.googleapis.com/glide-prod.appspot.com/uploads-v2/ly7o78grxPaC6KdgvbpS/pub/3aRdSog0vUtuqPE8AJKD.png" xr:uid="{00000000-0004-0000-0C00-00005E040000}"/>
    <hyperlink ref="T1106" r:id="rId1120" display="https://storage.googleapis.com/glide-prod.appspot.com/uploads-v2/ly7o78grxPaC6KdgvbpS/pub/3aRdSog0vUtuqPE8AJKD.png" xr:uid="{00000000-0004-0000-0C00-00005F040000}"/>
    <hyperlink ref="T1107" r:id="rId1121" display="https://storage.googleapis.com/glide-prod.appspot.com/uploads-v2/ly7o78grxPaC6KdgvbpS/pub/3aRdSog0vUtuqPE8AJKD.png" xr:uid="{00000000-0004-0000-0C00-000060040000}"/>
    <hyperlink ref="T1108" r:id="rId1122" display="https://storage.googleapis.com/glide-prod.appspot.com/uploads-v2/ly7o78grxPaC6KdgvbpS/pub/3aRdSog0vUtuqPE8AJKD.png" xr:uid="{00000000-0004-0000-0C00-000061040000}"/>
    <hyperlink ref="T1109" r:id="rId1123" display="https://storage.googleapis.com/glide-prod.appspot.com/uploads-v2/ly7o78grxPaC6KdgvbpS/pub/3aRdSog0vUtuqPE8AJKD.png" xr:uid="{00000000-0004-0000-0C00-000062040000}"/>
    <hyperlink ref="T1110" r:id="rId1124" display="https://storage.googleapis.com/glide-prod.appspot.com/uploads-v2/ly7o78grxPaC6KdgvbpS/pub/3aRdSog0vUtuqPE8AJKD.png" xr:uid="{00000000-0004-0000-0C00-000063040000}"/>
    <hyperlink ref="T1111" r:id="rId1125" display="https://storage.googleapis.com/glide-prod.appspot.com/uploads-v2/ly7o78grxPaC6KdgvbpS/pub/3aRdSog0vUtuqPE8AJKD.png" xr:uid="{00000000-0004-0000-0C00-000064040000}"/>
    <hyperlink ref="T1112" r:id="rId1126" display="https://storage.googleapis.com/glide-prod.appspot.com/uploads-v2/ly7o78grxPaC6KdgvbpS/pub/3aRdSog0vUtuqPE8AJKD.png" xr:uid="{00000000-0004-0000-0C00-000065040000}"/>
    <hyperlink ref="T1113" r:id="rId1127" display="https://storage.googleapis.com/glide-prod.appspot.com/uploads-v2/ly7o78grxPaC6KdgvbpS/pub/3aRdSog0vUtuqPE8AJKD.png" xr:uid="{00000000-0004-0000-0C00-000066040000}"/>
    <hyperlink ref="T1114" r:id="rId1128" display="https://storage.googleapis.com/glide-prod.appspot.com/uploads-v2/ly7o78grxPaC6KdgvbpS/pub/3aRdSog0vUtuqPE8AJKD.png" xr:uid="{00000000-0004-0000-0C00-000067040000}"/>
    <hyperlink ref="T1115" r:id="rId1129" display="https://storage.googleapis.com/glide-prod.appspot.com/uploads-v2/ly7o78grxPaC6KdgvbpS/pub/3aRdSog0vUtuqPE8AJKD.png" xr:uid="{00000000-0004-0000-0C00-000068040000}"/>
    <hyperlink ref="T1116" r:id="rId1130" display="https://storage.googleapis.com/glide-prod.appspot.com/uploads-v2/ly7o78grxPaC6KdgvbpS/pub/3aRdSog0vUtuqPE8AJKD.png" xr:uid="{00000000-0004-0000-0C00-000069040000}"/>
    <hyperlink ref="T1117" r:id="rId1131" display="https://storage.googleapis.com/glide-prod.appspot.com/uploads-v2/ly7o78grxPaC6KdgvbpS/pub/3aRdSog0vUtuqPE8AJKD.png" xr:uid="{00000000-0004-0000-0C00-00006A040000}"/>
    <hyperlink ref="T1118" r:id="rId1132" display="https://storage.googleapis.com/glide-prod.appspot.com/uploads-v2/ly7o78grxPaC6KdgvbpS/pub/3aRdSog0vUtuqPE8AJKD.png" xr:uid="{00000000-0004-0000-0C00-00006B040000}"/>
    <hyperlink ref="T1119" r:id="rId1133" display="https://storage.googleapis.com/glide-prod.appspot.com/uploads-v2/ly7o78grxPaC6KdgvbpS/pub/3aRdSog0vUtuqPE8AJKD.png" xr:uid="{00000000-0004-0000-0C00-00006C040000}"/>
    <hyperlink ref="T1120" r:id="rId1134" display="https://storage.googleapis.com/glide-prod.appspot.com/uploads-v2/ly7o78grxPaC6KdgvbpS/pub/3aRdSog0vUtuqPE8AJKD.png" xr:uid="{00000000-0004-0000-0C00-00006D040000}"/>
    <hyperlink ref="T1121" r:id="rId1135" display="https://storage.googleapis.com/glide-prod.appspot.com/uploads-v2/ly7o78grxPaC6KdgvbpS/pub/3aRdSog0vUtuqPE8AJKD.png" xr:uid="{00000000-0004-0000-0C00-00006E040000}"/>
    <hyperlink ref="T1122" r:id="rId1136" display="https://storage.googleapis.com/glide-prod.appspot.com/uploads-v2/ly7o78grxPaC6KdgvbpS/pub/3aRdSog0vUtuqPE8AJKD.png" xr:uid="{00000000-0004-0000-0C00-00006F040000}"/>
    <hyperlink ref="T1123" r:id="rId1137" display="https://storage.googleapis.com/glide-prod.appspot.com/uploads-v2/ly7o78grxPaC6KdgvbpS/pub/3aRdSog0vUtuqPE8AJKD.png" xr:uid="{00000000-0004-0000-0C00-000070040000}"/>
    <hyperlink ref="T1124" r:id="rId1138" display="https://storage.googleapis.com/glide-prod.appspot.com/uploads-v2/ly7o78grxPaC6KdgvbpS/pub/3aRdSog0vUtuqPE8AJKD.png" xr:uid="{00000000-0004-0000-0C00-000071040000}"/>
    <hyperlink ref="T1125" r:id="rId1139" display="https://storage.googleapis.com/glide-prod.appspot.com/uploads-v2/ly7o78grxPaC6KdgvbpS/pub/3aRdSog0vUtuqPE8AJKD.png" xr:uid="{00000000-0004-0000-0C00-000072040000}"/>
    <hyperlink ref="T1126" r:id="rId1140" display="https://storage.googleapis.com/glide-prod.appspot.com/uploads-v2/ly7o78grxPaC6KdgvbpS/pub/3aRdSog0vUtuqPE8AJKD.png" xr:uid="{00000000-0004-0000-0C00-000073040000}"/>
    <hyperlink ref="T1127" r:id="rId1141" display="https://storage.googleapis.com/glide-prod.appspot.com/uploads-v2/ly7o78grxPaC6KdgvbpS/pub/3aRdSog0vUtuqPE8AJKD.png" xr:uid="{00000000-0004-0000-0C00-000074040000}"/>
    <hyperlink ref="T1128" r:id="rId1142" display="https://storage.googleapis.com/glide-prod.appspot.com/uploads-v2/ly7o78grxPaC6KdgvbpS/pub/3aRdSog0vUtuqPE8AJKD.png" xr:uid="{00000000-0004-0000-0C00-000075040000}"/>
    <hyperlink ref="T1129" r:id="rId1143" display="https://storage.googleapis.com/glide-prod.appspot.com/uploads-v2/ly7o78grxPaC6KdgvbpS/pub/3aRdSog0vUtuqPE8AJKD.png" xr:uid="{00000000-0004-0000-0C00-000076040000}"/>
    <hyperlink ref="T1130" r:id="rId1144" display="https://storage.googleapis.com/glide-prod.appspot.com/uploads-v2/ly7o78grxPaC6KdgvbpS/pub/3aRdSog0vUtuqPE8AJKD.png" xr:uid="{00000000-0004-0000-0C00-000077040000}"/>
    <hyperlink ref="T1131" r:id="rId1145" display="https://storage.googleapis.com/glide-prod.appspot.com/uploads-v2/ly7o78grxPaC6KdgvbpS/pub/3aRdSog0vUtuqPE8AJKD.png" xr:uid="{00000000-0004-0000-0C00-000078040000}"/>
    <hyperlink ref="T1132" r:id="rId1146" display="https://storage.googleapis.com/glide-prod.appspot.com/uploads-v2/ly7o78grxPaC6KdgvbpS/pub/3aRdSog0vUtuqPE8AJKD.png" xr:uid="{00000000-0004-0000-0C00-000079040000}"/>
    <hyperlink ref="T1133" r:id="rId1147" display="https://storage.googleapis.com/glide-prod.appspot.com/uploads-v2/ly7o78grxPaC6KdgvbpS/pub/3aRdSog0vUtuqPE8AJKD.png" xr:uid="{00000000-0004-0000-0C00-00007A040000}"/>
    <hyperlink ref="T1134" r:id="rId1148" display="https://storage.googleapis.com/glide-prod.appspot.com/uploads-v2/ly7o78grxPaC6KdgvbpS/pub/3aRdSog0vUtuqPE8AJKD.png" xr:uid="{00000000-0004-0000-0C00-00007B040000}"/>
    <hyperlink ref="T1135" r:id="rId1149" display="https://storage.googleapis.com/glide-prod.appspot.com/uploads-v2/ly7o78grxPaC6KdgvbpS/pub/3aRdSog0vUtuqPE8AJKD.png" xr:uid="{00000000-0004-0000-0C00-00007C040000}"/>
    <hyperlink ref="T1136" r:id="rId1150" display="https://storage.googleapis.com/glide-prod.appspot.com/uploads-v2/ly7o78grxPaC6KdgvbpS/pub/3aRdSog0vUtuqPE8AJKD.png" xr:uid="{00000000-0004-0000-0C00-00007D040000}"/>
    <hyperlink ref="T1137" r:id="rId1151" display="https://storage.googleapis.com/glide-prod.appspot.com/uploads-v2/ly7o78grxPaC6KdgvbpS/pub/3aRdSog0vUtuqPE8AJKD.png" xr:uid="{00000000-0004-0000-0C00-00007E040000}"/>
    <hyperlink ref="T1138" r:id="rId1152" display="https://storage.googleapis.com/glide-prod.appspot.com/uploads-v2/ly7o78grxPaC6KdgvbpS/pub/UliJWgpEaBovaFmXi6OW.png" xr:uid="{00000000-0004-0000-0C00-00007F040000}"/>
    <hyperlink ref="T1139" r:id="rId1153" display="https://storage.googleapis.com/glide-prod.appspot.com/uploads-v2/ly7o78grxPaC6KdgvbpS/pub/3aRdSog0vUtuqPE8AJKD.png" xr:uid="{00000000-0004-0000-0C00-000080040000}"/>
    <hyperlink ref="T1140" r:id="rId1154" display="https://storage.googleapis.com/glide-prod.appspot.com/uploads-v2/ly7o78grxPaC6KdgvbpS/pub/UliJWgpEaBovaFmXi6OW.png" xr:uid="{00000000-0004-0000-0C00-000081040000}"/>
    <hyperlink ref="T1141" r:id="rId1155" display="https://storage.googleapis.com/glide-prod.appspot.com/uploads-v2/ly7o78grxPaC6KdgvbpS/pub/3aRdSog0vUtuqPE8AJKD.png" xr:uid="{00000000-0004-0000-0C00-000082040000}"/>
    <hyperlink ref="T1142" r:id="rId1156" display="https://storage.googleapis.com/glide-prod.appspot.com/uploads-v2/ly7o78grxPaC6KdgvbpS/pub/3aRdSog0vUtuqPE8AJKD.png" xr:uid="{00000000-0004-0000-0C00-000083040000}"/>
    <hyperlink ref="T1143" r:id="rId1157" display="https://storage.googleapis.com/glide-prod.appspot.com/uploads-v2/ly7o78grxPaC6KdgvbpS/pub/3aRdSog0vUtuqPE8AJKD.png" xr:uid="{00000000-0004-0000-0C00-000084040000}"/>
    <hyperlink ref="T1144" r:id="rId1158" display="https://storage.googleapis.com/glide-prod.appspot.com/uploads-v2/ly7o78grxPaC6KdgvbpS/pub/3aRdSog0vUtuqPE8AJKD.png" xr:uid="{00000000-0004-0000-0C00-000085040000}"/>
    <hyperlink ref="T1145" r:id="rId1159" display="https://storage.googleapis.com/glide-prod.appspot.com/uploads-v2/ly7o78grxPaC6KdgvbpS/pub/3aRdSog0vUtuqPE8AJKD.png" xr:uid="{00000000-0004-0000-0C00-000086040000}"/>
    <hyperlink ref="T1146" r:id="rId1160" display="https://storage.googleapis.com/glide-prod.appspot.com/uploads-v2/ly7o78grxPaC6KdgvbpS/pub/3aRdSog0vUtuqPE8AJKD.png" xr:uid="{00000000-0004-0000-0C00-000087040000}"/>
    <hyperlink ref="T1147" r:id="rId1161" display="https://storage.googleapis.com/glide-prod.appspot.com/uploads-v2/ly7o78grxPaC6KdgvbpS/pub/3aRdSog0vUtuqPE8AJKD.png" xr:uid="{00000000-0004-0000-0C00-000088040000}"/>
    <hyperlink ref="T1148" r:id="rId1162" display="https://storage.googleapis.com/glide-prod.appspot.com/uploads-v2/ly7o78grxPaC6KdgvbpS/pub/3aRdSog0vUtuqPE8AJKD.png" xr:uid="{00000000-0004-0000-0C00-000089040000}"/>
    <hyperlink ref="T1149" r:id="rId1163" display="https://storage.googleapis.com/glide-prod.appspot.com/uploads-v2/ly7o78grxPaC6KdgvbpS/pub/3aRdSog0vUtuqPE8AJKD.png" xr:uid="{00000000-0004-0000-0C00-00008A040000}"/>
    <hyperlink ref="T1150" r:id="rId1164" display="https://storage.googleapis.com/glide-prod.appspot.com/uploads-v2/ly7o78grxPaC6KdgvbpS/pub/3aRdSog0vUtuqPE8AJKD.png" xr:uid="{00000000-0004-0000-0C00-00008B040000}"/>
    <hyperlink ref="T1151" r:id="rId1165" display="https://storage.googleapis.com/glide-prod.appspot.com/uploads-v2/ly7o78grxPaC6KdgvbpS/pub/3aRdSog0vUtuqPE8AJKD.png" xr:uid="{00000000-0004-0000-0C00-00008C040000}"/>
    <hyperlink ref="T1152" r:id="rId1166" display="https://storage.googleapis.com/glide-prod.appspot.com/uploads-v2/ly7o78grxPaC6KdgvbpS/pub/3aRdSog0vUtuqPE8AJKD.png" xr:uid="{00000000-0004-0000-0C00-00008D040000}"/>
    <hyperlink ref="T1153" r:id="rId1167" display="https://storage.googleapis.com/glide-prod.appspot.com/uploads-v2/ly7o78grxPaC6KdgvbpS/pub/3aRdSog0vUtuqPE8AJKD.png" xr:uid="{00000000-0004-0000-0C00-00008E040000}"/>
    <hyperlink ref="T1154" r:id="rId1168" display="https://storage.googleapis.com/glide-prod.appspot.com/uploads-v2/ly7o78grxPaC6KdgvbpS/pub/3aRdSog0vUtuqPE8AJKD.png" xr:uid="{00000000-0004-0000-0C00-00008F040000}"/>
    <hyperlink ref="T1155" r:id="rId1169" display="https://storage.googleapis.com/glide-prod.appspot.com/uploads-v2/ly7o78grxPaC6KdgvbpS/pub/3aRdSog0vUtuqPE8AJKD.png" xr:uid="{00000000-0004-0000-0C00-000090040000}"/>
    <hyperlink ref="T1156" r:id="rId1170" display="https://storage.googleapis.com/glide-prod.appspot.com/uploads-v2/ly7o78grxPaC6KdgvbpS/pub/3aRdSog0vUtuqPE8AJKD.png" xr:uid="{00000000-0004-0000-0C00-000091040000}"/>
    <hyperlink ref="T1157" r:id="rId1171" display="https://storage.googleapis.com/glide-prod.appspot.com/uploads-v2/ly7o78grxPaC6KdgvbpS/pub/3aRdSog0vUtuqPE8AJKD.png" xr:uid="{00000000-0004-0000-0C00-000092040000}"/>
    <hyperlink ref="T1158" r:id="rId1172" display="https://storage.googleapis.com/glide-prod.appspot.com/uploads-v2/ly7o78grxPaC6KdgvbpS/pub/3aRdSog0vUtuqPE8AJKD.png" xr:uid="{00000000-0004-0000-0C00-000093040000}"/>
    <hyperlink ref="T1159" r:id="rId1173" display="https://storage.googleapis.com/glide-prod.appspot.com/uploads-v2/ly7o78grxPaC6KdgvbpS/pub/3aRdSog0vUtuqPE8AJKD.png" xr:uid="{00000000-0004-0000-0C00-000094040000}"/>
    <hyperlink ref="T1160" r:id="rId1174" display="https://storage.googleapis.com/glide-prod.appspot.com/uploads-v2/ly7o78grxPaC6KdgvbpS/pub/3aRdSog0vUtuqPE8AJKD.png" xr:uid="{00000000-0004-0000-0C00-000095040000}"/>
    <hyperlink ref="T1161" r:id="rId1175" display="https://storage.googleapis.com/glide-prod.appspot.com/uploads-v2/ly7o78grxPaC6KdgvbpS/pub/3aRdSog0vUtuqPE8AJKD.png" xr:uid="{00000000-0004-0000-0C00-000096040000}"/>
    <hyperlink ref="T1162" r:id="rId1176" display="https://storage.googleapis.com/glide-prod.appspot.com/uploads-v2/ly7o78grxPaC6KdgvbpS/pub/3aRdSog0vUtuqPE8AJKD.png" xr:uid="{00000000-0004-0000-0C00-000097040000}"/>
    <hyperlink ref="T1163" r:id="rId1177" display="https://storage.googleapis.com/glide-prod.appspot.com/uploads-v2/ly7o78grxPaC6KdgvbpS/pub/3aRdSog0vUtuqPE8AJKD.png" xr:uid="{00000000-0004-0000-0C00-000098040000}"/>
    <hyperlink ref="T1164" r:id="rId1178" display="https://storage.googleapis.com/glide-prod.appspot.com/uploads-v2/ly7o78grxPaC6KdgvbpS/pub/3aRdSog0vUtuqPE8AJKD.png" xr:uid="{00000000-0004-0000-0C00-000099040000}"/>
    <hyperlink ref="T1165" r:id="rId1179" display="https://storage.googleapis.com/glide-prod.appspot.com/uploads-v2/ly7o78grxPaC6KdgvbpS/pub/3aRdSog0vUtuqPE8AJKD.png" xr:uid="{00000000-0004-0000-0C00-00009A040000}"/>
    <hyperlink ref="T1166" r:id="rId1180" display="https://storage.googleapis.com/glide-prod.appspot.com/uploads-v2/ly7o78grxPaC6KdgvbpS/pub/3aRdSog0vUtuqPE8AJKD.png" xr:uid="{00000000-0004-0000-0C00-00009B040000}"/>
    <hyperlink ref="T1167" r:id="rId1181" display="https://storage.googleapis.com/glide-prod.appspot.com/uploads-v2/ly7o78grxPaC6KdgvbpS/pub/3aRdSog0vUtuqPE8AJKD.png" xr:uid="{00000000-0004-0000-0C00-00009C040000}"/>
    <hyperlink ref="T1168" r:id="rId1182" display="https://storage.googleapis.com/glide-prod.appspot.com/uploads-v2/ly7o78grxPaC6KdgvbpS/pub/3aRdSog0vUtuqPE8AJKD.png" xr:uid="{00000000-0004-0000-0C00-00009D040000}"/>
    <hyperlink ref="T1169" r:id="rId1183" display="https://storage.googleapis.com/glide-prod.appspot.com/uploads-v2/ly7o78grxPaC6KdgvbpS/pub/3aRdSog0vUtuqPE8AJKD.png" xr:uid="{00000000-0004-0000-0C00-00009E040000}"/>
    <hyperlink ref="T1170" r:id="rId1184" display="https://storage.googleapis.com/glide-prod.appspot.com/uploads-v2/ly7o78grxPaC6KdgvbpS/pub/3aRdSog0vUtuqPE8AJKD.png" xr:uid="{00000000-0004-0000-0C00-00009F040000}"/>
    <hyperlink ref="T1171" r:id="rId1185" display="https://storage.googleapis.com/glide-prod.appspot.com/uploads-v2/ly7o78grxPaC6KdgvbpS/pub/3aRdSog0vUtuqPE8AJKD.png" xr:uid="{00000000-0004-0000-0C00-0000A0040000}"/>
    <hyperlink ref="T1172" r:id="rId1186" display="https://storage.googleapis.com/glide-prod.appspot.com/uploads-v2/ly7o78grxPaC6KdgvbpS/pub/3aRdSog0vUtuqPE8AJKD.png" xr:uid="{00000000-0004-0000-0C00-0000A1040000}"/>
    <hyperlink ref="T1173" r:id="rId1187" display="https://storage.googleapis.com/glide-prod.appspot.com/uploads-v2/ly7o78grxPaC6KdgvbpS/pub/3aRdSog0vUtuqPE8AJKD.png" xr:uid="{00000000-0004-0000-0C00-0000A2040000}"/>
    <hyperlink ref="T1174" r:id="rId1188" display="https://storage.googleapis.com/glide-prod.appspot.com/uploads-v2/ly7o78grxPaC6KdgvbpS/pub/3aRdSog0vUtuqPE8AJKD.png" xr:uid="{00000000-0004-0000-0C00-0000A3040000}"/>
    <hyperlink ref="T1175" r:id="rId1189" display="https://storage.googleapis.com/glide-prod.appspot.com/uploads-v2/ly7o78grxPaC6KdgvbpS/pub/3aRdSog0vUtuqPE8AJKD.png" xr:uid="{00000000-0004-0000-0C00-0000A4040000}"/>
    <hyperlink ref="T1176" r:id="rId1190" display="https://storage.googleapis.com/glide-prod.appspot.com/uploads-v2/ly7o78grxPaC6KdgvbpS/pub/3aRdSog0vUtuqPE8AJKD.png" xr:uid="{00000000-0004-0000-0C00-0000A5040000}"/>
    <hyperlink ref="T1177" r:id="rId1191" display="https://storage.googleapis.com/glide-prod.appspot.com/uploads-v2/ly7o78grxPaC6KdgvbpS/pub/3aRdSog0vUtuqPE8AJKD.png" xr:uid="{00000000-0004-0000-0C00-0000A6040000}"/>
    <hyperlink ref="T1178" r:id="rId1192" display="https://storage.googleapis.com/glide-prod.appspot.com/uploads-v2/ly7o78grxPaC6KdgvbpS/pub/3aRdSog0vUtuqPE8AJKD.png" xr:uid="{00000000-0004-0000-0C00-0000A7040000}"/>
    <hyperlink ref="T1179" r:id="rId1193" display="https://storage.googleapis.com/glide-prod.appspot.com/uploads-v2/ly7o78grxPaC6KdgvbpS/pub/3aRdSog0vUtuqPE8AJKD.png" xr:uid="{00000000-0004-0000-0C00-0000A8040000}"/>
    <hyperlink ref="T1180" r:id="rId1194" display="https://storage.googleapis.com/glide-prod.appspot.com/uploads-v2/ly7o78grxPaC6KdgvbpS/pub/3aRdSog0vUtuqPE8AJKD.png" xr:uid="{00000000-0004-0000-0C00-0000A9040000}"/>
    <hyperlink ref="T1181" r:id="rId1195" display="https://storage.googleapis.com/glide-prod.appspot.com/uploads-v2/ly7o78grxPaC6KdgvbpS/pub/3aRdSog0vUtuqPE8AJKD.png" xr:uid="{00000000-0004-0000-0C00-0000AA040000}"/>
    <hyperlink ref="T1182" r:id="rId1196" display="https://storage.googleapis.com/glide-prod.appspot.com/uploads-v2/ly7o78grxPaC6KdgvbpS/pub/3aRdSog0vUtuqPE8AJKD.png" xr:uid="{00000000-0004-0000-0C00-0000AB040000}"/>
    <hyperlink ref="T1183" r:id="rId1197" display="https://storage.googleapis.com/glide-prod.appspot.com/uploads-v2/ly7o78grxPaC6KdgvbpS/pub/3aRdSog0vUtuqPE8AJKD.png" xr:uid="{00000000-0004-0000-0C00-0000AC040000}"/>
    <hyperlink ref="T1184" r:id="rId1198" display="https://storage.googleapis.com/glide-prod.appspot.com/uploads-v2/ly7o78grxPaC6KdgvbpS/pub/3aRdSog0vUtuqPE8AJKD.png" xr:uid="{00000000-0004-0000-0C00-0000AD040000}"/>
    <hyperlink ref="T1185" r:id="rId1199" display="https://storage.googleapis.com/glide-prod.appspot.com/uploads-v2/ly7o78grxPaC6KdgvbpS/pub/3aRdSog0vUtuqPE8AJKD.png" xr:uid="{00000000-0004-0000-0C00-0000AE040000}"/>
    <hyperlink ref="T1186" r:id="rId1200" display="https://storage.googleapis.com/glide-prod.appspot.com/uploads-v2/ly7o78grxPaC6KdgvbpS/pub/3aRdSog0vUtuqPE8AJKD.png" xr:uid="{00000000-0004-0000-0C00-0000AF040000}"/>
    <hyperlink ref="T1187" r:id="rId1201" display="https://storage.googleapis.com/glide-prod.appspot.com/uploads-v2/ly7o78grxPaC6KdgvbpS/pub/3aRdSog0vUtuqPE8AJKD.png" xr:uid="{00000000-0004-0000-0C00-0000B0040000}"/>
    <hyperlink ref="T1188" r:id="rId1202" display="https://storage.googleapis.com/glide-prod.appspot.com/uploads-v2/ly7o78grxPaC6KdgvbpS/pub/3aRdSog0vUtuqPE8AJKD.png" xr:uid="{00000000-0004-0000-0C00-0000B1040000}"/>
    <hyperlink ref="T1189" r:id="rId1203" display="https://storage.googleapis.com/glide-prod.appspot.com/uploads-v2/ly7o78grxPaC6KdgvbpS/pub/3aRdSog0vUtuqPE8AJKD.png" xr:uid="{00000000-0004-0000-0C00-0000B2040000}"/>
    <hyperlink ref="T1190" r:id="rId1204" display="https://storage.googleapis.com/glide-prod.appspot.com/uploads-v2/ly7o78grxPaC6KdgvbpS/pub/3aRdSog0vUtuqPE8AJKD.png" xr:uid="{00000000-0004-0000-0C00-0000B3040000}"/>
    <hyperlink ref="T1191" r:id="rId1205" display="https://storage.googleapis.com/glide-prod.appspot.com/uploads-v2/ly7o78grxPaC6KdgvbpS/pub/3aRdSog0vUtuqPE8AJKD.png" xr:uid="{00000000-0004-0000-0C00-0000B4040000}"/>
    <hyperlink ref="T1192" r:id="rId1206" display="https://storage.googleapis.com/glide-prod.appspot.com/uploads-v2/ly7o78grxPaC6KdgvbpS/pub/3aRdSog0vUtuqPE8AJKD.png" xr:uid="{00000000-0004-0000-0C00-0000B5040000}"/>
    <hyperlink ref="T1193" r:id="rId1207" display="https://storage.googleapis.com/glide-prod.appspot.com/uploads-v2/ly7o78grxPaC6KdgvbpS/pub/3aRdSog0vUtuqPE8AJKD.png" xr:uid="{00000000-0004-0000-0C00-0000B6040000}"/>
    <hyperlink ref="T1194" r:id="rId1208" display="https://storage.googleapis.com/glide-prod.appspot.com/uploads-v2/ly7o78grxPaC6KdgvbpS/pub/3aRdSog0vUtuqPE8AJKD.png" xr:uid="{00000000-0004-0000-0C00-0000B7040000}"/>
    <hyperlink ref="T1195" r:id="rId1209" display="https://storage.googleapis.com/glide-prod.appspot.com/uploads-v2/ly7o78grxPaC6KdgvbpS/pub/3aRdSog0vUtuqPE8AJKD.png" xr:uid="{00000000-0004-0000-0C00-0000B8040000}"/>
    <hyperlink ref="T1196" r:id="rId1210" display="https://storage.googleapis.com/glide-prod.appspot.com/uploads-v2/ly7o78grxPaC6KdgvbpS/pub/3aRdSog0vUtuqPE8AJKD.png" xr:uid="{00000000-0004-0000-0C00-0000B9040000}"/>
    <hyperlink ref="T1197" r:id="rId1211" display="https://storage.googleapis.com/glide-prod.appspot.com/uploads-v2/ly7o78grxPaC6KdgvbpS/pub/3aRdSog0vUtuqPE8AJKD.png" xr:uid="{00000000-0004-0000-0C00-0000BA040000}"/>
    <hyperlink ref="T1198" r:id="rId1212" display="https://storage.googleapis.com/glide-prod.appspot.com/uploads-v2/ly7o78grxPaC6KdgvbpS/pub/3aRdSog0vUtuqPE8AJKD.png" xr:uid="{00000000-0004-0000-0C00-0000BB040000}"/>
    <hyperlink ref="T1199" r:id="rId1213" display="https://storage.googleapis.com/glide-prod.appspot.com/uploads-v2/ly7o78grxPaC6KdgvbpS/pub/3aRdSog0vUtuqPE8AJKD.png" xr:uid="{00000000-0004-0000-0C00-0000BC040000}"/>
    <hyperlink ref="T1200" r:id="rId1214" display="https://storage.googleapis.com/glide-prod.appspot.com/uploads-v2/ly7o78grxPaC6KdgvbpS/pub/3aRdSog0vUtuqPE8AJKD.png" xr:uid="{00000000-0004-0000-0C00-0000BD040000}"/>
    <hyperlink ref="T1201" r:id="rId1215" display="https://storage.googleapis.com/glide-prod.appspot.com/uploads-v2/ly7o78grxPaC6KdgvbpS/pub/3aRdSog0vUtuqPE8AJKD.png" xr:uid="{00000000-0004-0000-0C00-0000BE040000}"/>
    <hyperlink ref="T1202" r:id="rId1216" display="https://storage.googleapis.com/glide-prod.appspot.com/uploads-v2/ly7o78grxPaC6KdgvbpS/pub/3aRdSog0vUtuqPE8AJKD.png" xr:uid="{00000000-0004-0000-0C00-0000BF040000}"/>
    <hyperlink ref="T1203" r:id="rId1217" display="https://storage.googleapis.com/glide-prod.appspot.com/uploads-v2/ly7o78grxPaC6KdgvbpS/pub/3aRdSog0vUtuqPE8AJKD.png" xr:uid="{00000000-0004-0000-0C00-0000C0040000}"/>
    <hyperlink ref="T1204" r:id="rId1218" display="https://storage.googleapis.com/glide-prod.appspot.com/uploads-v2/ly7o78grxPaC6KdgvbpS/pub/3aRdSog0vUtuqPE8AJKD.png" xr:uid="{00000000-0004-0000-0C00-0000C1040000}"/>
    <hyperlink ref="T1205" r:id="rId1219" display="https://storage.googleapis.com/glide-prod.appspot.com/uploads-v2/ly7o78grxPaC6KdgvbpS/pub/3aRdSog0vUtuqPE8AJKD.png" xr:uid="{00000000-0004-0000-0C00-0000C2040000}"/>
    <hyperlink ref="T1206" r:id="rId1220" display="https://storage.googleapis.com/glide-prod.appspot.com/uploads-v2/ly7o78grxPaC6KdgvbpS/pub/3aRdSog0vUtuqPE8AJKD.png" xr:uid="{00000000-0004-0000-0C00-0000C3040000}"/>
    <hyperlink ref="T1207" r:id="rId1221" display="https://storage.googleapis.com/glide-prod.appspot.com/uploads-v2/ly7o78grxPaC6KdgvbpS/pub/3aRdSog0vUtuqPE8AJKD.png" xr:uid="{00000000-0004-0000-0C00-0000C4040000}"/>
    <hyperlink ref="T1208" r:id="rId1222" display="https://storage.googleapis.com/glide-prod.appspot.com/uploads-v2/ly7o78grxPaC6KdgvbpS/pub/3aRdSog0vUtuqPE8AJKD.png" xr:uid="{00000000-0004-0000-0C00-0000C5040000}"/>
    <hyperlink ref="T1209" r:id="rId1223" display="https://storage.googleapis.com/glide-prod.appspot.com/uploads-v2/ly7o78grxPaC6KdgvbpS/pub/3aRdSog0vUtuqPE8AJKD.png" xr:uid="{00000000-0004-0000-0C00-0000C6040000}"/>
    <hyperlink ref="T1210" r:id="rId1224" display="https://storage.googleapis.com/glide-prod.appspot.com/uploads-v2/ly7o78grxPaC6KdgvbpS/pub/3aRdSog0vUtuqPE8AJKD.png" xr:uid="{00000000-0004-0000-0C00-0000C7040000}"/>
    <hyperlink ref="T1211" r:id="rId1225" display="https://storage.googleapis.com/glide-prod.appspot.com/uploads-v2/ly7o78grxPaC6KdgvbpS/pub/3aRdSog0vUtuqPE8AJKD.png" xr:uid="{00000000-0004-0000-0C00-0000C8040000}"/>
    <hyperlink ref="T1212" r:id="rId1226" display="https://storage.googleapis.com/glide-prod.appspot.com/uploads-v2/ly7o78grxPaC6KdgvbpS/pub/3aRdSog0vUtuqPE8AJKD.png" xr:uid="{00000000-0004-0000-0C00-0000C9040000}"/>
    <hyperlink ref="T1213" r:id="rId1227" display="https://storage.googleapis.com/glide-prod.appspot.com/uploads-v2/ly7o78grxPaC6KdgvbpS/pub/3aRdSog0vUtuqPE8AJKD.png" xr:uid="{00000000-0004-0000-0C00-0000CA040000}"/>
    <hyperlink ref="T1214" r:id="rId1228" display="https://storage.googleapis.com/glide-prod.appspot.com/uploads-v2/ly7o78grxPaC6KdgvbpS/pub/3aRdSog0vUtuqPE8AJKD.png" xr:uid="{00000000-0004-0000-0C00-0000CB040000}"/>
    <hyperlink ref="T1215" r:id="rId1229" display="https://storage.googleapis.com/glide-prod.appspot.com/uploads-v2/ly7o78grxPaC6KdgvbpS/pub/3aRdSog0vUtuqPE8AJKD.png" xr:uid="{00000000-0004-0000-0C00-0000CC040000}"/>
    <hyperlink ref="T1216" r:id="rId1230" display="https://storage.googleapis.com/glide-prod.appspot.com/uploads-v2/ly7o78grxPaC6KdgvbpS/pub/3aRdSog0vUtuqPE8AJKD.png" xr:uid="{00000000-0004-0000-0C00-0000CD040000}"/>
    <hyperlink ref="T1217" r:id="rId1231" display="https://storage.googleapis.com/glide-prod.appspot.com/uploads-v2/ly7o78grxPaC6KdgvbpS/pub/UliJWgpEaBovaFmXi6OW.png" xr:uid="{00000000-0004-0000-0C00-0000CE040000}"/>
    <hyperlink ref="T1218" r:id="rId1232" display="https://storage.googleapis.com/glide-prod.appspot.com/uploads-v2/ly7o78grxPaC6KdgvbpS/pub/3aRdSog0vUtuqPE8AJKD.png" xr:uid="{00000000-0004-0000-0C00-0000CF040000}"/>
    <hyperlink ref="T1219" r:id="rId1233" display="https://storage.googleapis.com/glide-prod.appspot.com/uploads-v2/ly7o78grxPaC6KdgvbpS/pub/3aRdSog0vUtuqPE8AJKD.png" xr:uid="{00000000-0004-0000-0C00-0000D0040000}"/>
    <hyperlink ref="T1220" r:id="rId1234" display="https://storage.googleapis.com/glide-prod.appspot.com/uploads-v2/ly7o78grxPaC6KdgvbpS/pub/3aRdSog0vUtuqPE8AJKD.png" xr:uid="{00000000-0004-0000-0C00-0000D1040000}"/>
    <hyperlink ref="T1221" r:id="rId1235" display="https://storage.googleapis.com/glide-prod.appspot.com/uploads-v2/ly7o78grxPaC6KdgvbpS/pub/3aRdSog0vUtuqPE8AJKD.png" xr:uid="{00000000-0004-0000-0C00-0000D2040000}"/>
    <hyperlink ref="T1222" r:id="rId1236" display="https://storage.googleapis.com/glide-prod.appspot.com/uploads-v2/ly7o78grxPaC6KdgvbpS/pub/3aRdSog0vUtuqPE8AJKD.png" xr:uid="{00000000-0004-0000-0C00-0000D3040000}"/>
    <hyperlink ref="T1223" r:id="rId1237" display="https://storage.googleapis.com/glide-prod.appspot.com/uploads-v2/ly7o78grxPaC6KdgvbpS/pub/3aRdSog0vUtuqPE8AJKD.png" xr:uid="{00000000-0004-0000-0C00-0000D4040000}"/>
    <hyperlink ref="T1224" r:id="rId1238" display="https://storage.googleapis.com/glide-prod.appspot.com/uploads-v2/ly7o78grxPaC6KdgvbpS/pub/3aRdSog0vUtuqPE8AJKD.png" xr:uid="{00000000-0004-0000-0C00-0000D5040000}"/>
    <hyperlink ref="T1225" r:id="rId1239" display="https://storage.googleapis.com/glide-prod.appspot.com/uploads-v2/ly7o78grxPaC6KdgvbpS/pub/3aRdSog0vUtuqPE8AJKD.png" xr:uid="{00000000-0004-0000-0C00-0000D6040000}"/>
    <hyperlink ref="T1226" r:id="rId1240" display="https://storage.googleapis.com/glide-prod.appspot.com/uploads-v2/ly7o78grxPaC6KdgvbpS/pub/3aRdSog0vUtuqPE8AJKD.png" xr:uid="{00000000-0004-0000-0C00-0000D7040000}"/>
    <hyperlink ref="T1227" r:id="rId1241" display="https://storage.googleapis.com/glide-prod.appspot.com/uploads-v2/ly7o78grxPaC6KdgvbpS/pub/UliJWgpEaBovaFmXi6OW.png" xr:uid="{00000000-0004-0000-0C00-0000D8040000}"/>
    <hyperlink ref="T1228" r:id="rId1242" display="https://storage.googleapis.com/glide-prod.appspot.com/uploads-v2/ly7o78grxPaC6KdgvbpS/pub/UliJWgpEaBovaFmXi6OW.png" xr:uid="{00000000-0004-0000-0C00-0000D9040000}"/>
    <hyperlink ref="T1229" r:id="rId1243" display="https://storage.googleapis.com/glide-prod.appspot.com/uploads-v2/ly7o78grxPaC6KdgvbpS/pub/UliJWgpEaBovaFmXi6OW.png" xr:uid="{00000000-0004-0000-0C00-0000DA040000}"/>
    <hyperlink ref="T1230" r:id="rId1244" display="https://storage.googleapis.com/glide-prod.appspot.com/uploads-v2/ly7o78grxPaC6KdgvbpS/pub/UliJWgpEaBovaFmXi6OW.png" xr:uid="{00000000-0004-0000-0C00-0000DB040000}"/>
    <hyperlink ref="T1231" r:id="rId1245" display="https://storage.googleapis.com/glide-prod.appspot.com/uploads-v2/ly7o78grxPaC6KdgvbpS/pub/UliJWgpEaBovaFmXi6OW.png" xr:uid="{00000000-0004-0000-0C00-0000DC040000}"/>
    <hyperlink ref="T1232" r:id="rId1246" display="https://storage.googleapis.com/glide-prod.appspot.com/uploads-v2/ly7o78grxPaC6KdgvbpS/pub/UliJWgpEaBovaFmXi6OW.png" xr:uid="{00000000-0004-0000-0C00-0000DD040000}"/>
    <hyperlink ref="T1233" r:id="rId1247" display="https://storage.googleapis.com/glide-prod.appspot.com/uploads-v2/ly7o78grxPaC6KdgvbpS/pub/UliJWgpEaBovaFmXi6OW.png" xr:uid="{00000000-0004-0000-0C00-0000DE040000}"/>
    <hyperlink ref="T1234" r:id="rId1248" display="https://storage.googleapis.com/glide-prod.appspot.com/uploads-v2/ly7o78grxPaC6KdgvbpS/pub/UliJWgpEaBovaFmXi6OW.png" xr:uid="{00000000-0004-0000-0C00-0000DF040000}"/>
    <hyperlink ref="T1235" r:id="rId1249" display="https://storage.googleapis.com/glide-prod.appspot.com/uploads-v2/ly7o78grxPaC6KdgvbpS/pub/3aRdSog0vUtuqPE8AJKD.png" xr:uid="{00000000-0004-0000-0C00-0000E0040000}"/>
    <hyperlink ref="T1236" r:id="rId1250" display="https://storage.googleapis.com/glide-prod.appspot.com/uploads-v2/ly7o78grxPaC6KdgvbpS/pub/3aRdSog0vUtuqPE8AJKD.png" xr:uid="{00000000-0004-0000-0C00-0000E1040000}"/>
    <hyperlink ref="T1237" r:id="rId1251" display="https://storage.googleapis.com/glide-prod.appspot.com/uploads-v2/ly7o78grxPaC6KdgvbpS/pub/3aRdSog0vUtuqPE8AJKD.png" xr:uid="{00000000-0004-0000-0C00-0000E2040000}"/>
    <hyperlink ref="T1238" r:id="rId1252" display="https://storage.googleapis.com/glide-prod.appspot.com/uploads-v2/ly7o78grxPaC6KdgvbpS/pub/3aRdSog0vUtuqPE8AJKD.png" xr:uid="{00000000-0004-0000-0C00-0000E3040000}"/>
    <hyperlink ref="T1239" r:id="rId1253" display="https://storage.googleapis.com/glide-prod.appspot.com/uploads-v2/ly7o78grxPaC6KdgvbpS/pub/3aRdSog0vUtuqPE8AJKD.png" xr:uid="{00000000-0004-0000-0C00-0000E4040000}"/>
    <hyperlink ref="T1240" r:id="rId1254" display="https://storage.googleapis.com/glide-prod.appspot.com/uploads-v2/ly7o78grxPaC6KdgvbpS/pub/3aRdSog0vUtuqPE8AJKD.png" xr:uid="{00000000-0004-0000-0C00-0000E5040000}"/>
    <hyperlink ref="T1241" r:id="rId1255" display="https://storage.googleapis.com/glide-prod.appspot.com/uploads-v2/ly7o78grxPaC6KdgvbpS/pub/3aRdSog0vUtuqPE8AJKD.png" xr:uid="{00000000-0004-0000-0C00-0000E6040000}"/>
    <hyperlink ref="T1242" r:id="rId1256" display="https://storage.googleapis.com/glide-prod.appspot.com/uploads-v2/ly7o78grxPaC6KdgvbpS/pub/3aRdSog0vUtuqPE8AJKD.png" xr:uid="{00000000-0004-0000-0C00-0000E7040000}"/>
    <hyperlink ref="T1243" r:id="rId1257" display="https://storage.googleapis.com/glide-prod.appspot.com/uploads-v2/ly7o78grxPaC6KdgvbpS/pub/3aRdSog0vUtuqPE8AJKD.png" xr:uid="{00000000-0004-0000-0C00-0000E8040000}"/>
    <hyperlink ref="T1244" r:id="rId1258" display="https://storage.googleapis.com/glide-prod.appspot.com/uploads-v2/ly7o78grxPaC6KdgvbpS/pub/3aRdSog0vUtuqPE8AJKD.png" xr:uid="{00000000-0004-0000-0C00-0000E9040000}"/>
    <hyperlink ref="T1245" r:id="rId1259" display="https://storage.googleapis.com/glide-prod.appspot.com/uploads-v2/ly7o78grxPaC6KdgvbpS/pub/3aRdSog0vUtuqPE8AJKD.png" xr:uid="{00000000-0004-0000-0C00-0000EA040000}"/>
    <hyperlink ref="T1246" r:id="rId1260" display="https://storage.googleapis.com/glide-prod.appspot.com/uploads-v2/ly7o78grxPaC6KdgvbpS/pub/3aRdSog0vUtuqPE8AJKD.png" xr:uid="{00000000-0004-0000-0C00-0000EB040000}"/>
    <hyperlink ref="T1247" r:id="rId1261" display="https://storage.googleapis.com/glide-prod.appspot.com/uploads-v2/ly7o78grxPaC6KdgvbpS/pub/3aRdSog0vUtuqPE8AJKD.png" xr:uid="{00000000-0004-0000-0C00-0000EC040000}"/>
    <hyperlink ref="T1248" r:id="rId1262" display="https://storage.googleapis.com/glide-prod.appspot.com/uploads-v2/ly7o78grxPaC6KdgvbpS/pub/3aRdSog0vUtuqPE8AJKD.png" xr:uid="{00000000-0004-0000-0C00-0000ED040000}"/>
    <hyperlink ref="T1249" r:id="rId1263" display="https://storage.googleapis.com/glide-prod.appspot.com/uploads-v2/ly7o78grxPaC6KdgvbpS/pub/3aRdSog0vUtuqPE8AJKD.png" xr:uid="{00000000-0004-0000-0C00-0000EE040000}"/>
    <hyperlink ref="T1250" r:id="rId1264" display="https://storage.googleapis.com/glide-prod.appspot.com/uploads-v2/ly7o78grxPaC6KdgvbpS/pub/3aRdSog0vUtuqPE8AJKD.png" xr:uid="{00000000-0004-0000-0C00-0000EF040000}"/>
    <hyperlink ref="T1251" r:id="rId1265" display="https://storage.googleapis.com/glide-prod.appspot.com/uploads-v2/ly7o78grxPaC6KdgvbpS/pub/3aRdSog0vUtuqPE8AJKD.png" xr:uid="{00000000-0004-0000-0C00-0000F0040000}"/>
    <hyperlink ref="T1252" r:id="rId1266" display="https://storage.googleapis.com/glide-prod.appspot.com/uploads-v2/ly7o78grxPaC6KdgvbpS/pub/3aRdSog0vUtuqPE8AJKD.png" xr:uid="{00000000-0004-0000-0C00-0000F1040000}"/>
    <hyperlink ref="T1253" r:id="rId1267" display="https://storage.googleapis.com/glide-prod.appspot.com/uploads-v2/ly7o78grxPaC6KdgvbpS/pub/3aRdSog0vUtuqPE8AJKD.png" xr:uid="{00000000-0004-0000-0C00-0000F2040000}"/>
    <hyperlink ref="T1254" r:id="rId1268" display="https://storage.googleapis.com/glide-prod.appspot.com/uploads-v2/ly7o78grxPaC6KdgvbpS/pub/3aRdSog0vUtuqPE8AJKD.png" xr:uid="{00000000-0004-0000-0C00-0000F3040000}"/>
    <hyperlink ref="T1255" r:id="rId1269" display="https://storage.googleapis.com/glide-prod.appspot.com/uploads-v2/ly7o78grxPaC6KdgvbpS/pub/3aRdSog0vUtuqPE8AJKD.png" xr:uid="{00000000-0004-0000-0C00-0000F4040000}"/>
    <hyperlink ref="T1256" r:id="rId1270" display="https://storage.googleapis.com/glide-prod.appspot.com/uploads-v2/ly7o78grxPaC6KdgvbpS/pub/3aRdSog0vUtuqPE8AJKD.png" xr:uid="{00000000-0004-0000-0C00-0000F5040000}"/>
    <hyperlink ref="T1257" r:id="rId1271" display="https://storage.googleapis.com/glide-prod.appspot.com/uploads-v2/ly7o78grxPaC6KdgvbpS/pub/3aRdSog0vUtuqPE8AJKD.png" xr:uid="{00000000-0004-0000-0C00-0000F6040000}"/>
    <hyperlink ref="T1258" r:id="rId1272" display="https://storage.googleapis.com/glide-prod.appspot.com/uploads-v2/ly7o78grxPaC6KdgvbpS/pub/3aRdSog0vUtuqPE8AJKD.png" xr:uid="{00000000-0004-0000-0C00-0000F7040000}"/>
    <hyperlink ref="T1259" r:id="rId1273" display="https://storage.googleapis.com/glide-prod.appspot.com/uploads-v2/ly7o78grxPaC6KdgvbpS/pub/3aRdSog0vUtuqPE8AJKD.png" xr:uid="{00000000-0004-0000-0C00-0000F8040000}"/>
    <hyperlink ref="T1260" r:id="rId1274" display="https://storage.googleapis.com/glide-prod.appspot.com/uploads-v2/ly7o78grxPaC6KdgvbpS/pub/3aRdSog0vUtuqPE8AJKD.png" xr:uid="{00000000-0004-0000-0C00-0000F9040000}"/>
    <hyperlink ref="T1261" r:id="rId1275" display="https://storage.googleapis.com/glide-prod.appspot.com/uploads-v2/ly7o78grxPaC6KdgvbpS/pub/3aRdSog0vUtuqPE8AJKD.png" xr:uid="{00000000-0004-0000-0C00-0000FA040000}"/>
    <hyperlink ref="T1262" r:id="rId1276" display="https://storage.googleapis.com/glide-prod.appspot.com/uploads-v2/ly7o78grxPaC6KdgvbpS/pub/3aRdSog0vUtuqPE8AJKD.png" xr:uid="{00000000-0004-0000-0C00-0000FB040000}"/>
    <hyperlink ref="T1263" r:id="rId1277" display="https://storage.googleapis.com/glide-prod.appspot.com/uploads-v2/ly7o78grxPaC6KdgvbpS/pub/3aRdSog0vUtuqPE8AJKD.png" xr:uid="{00000000-0004-0000-0C00-0000FC040000}"/>
    <hyperlink ref="T1264" r:id="rId1278" display="https://storage.googleapis.com/glide-prod.appspot.com/uploads-v2/ly7o78grxPaC6KdgvbpS/pub/3aRdSog0vUtuqPE8AJKD.png" xr:uid="{00000000-0004-0000-0C00-0000FD040000}"/>
    <hyperlink ref="T1265" r:id="rId1279" display="https://storage.googleapis.com/glide-prod.appspot.com/uploads-v2/ly7o78grxPaC6KdgvbpS/pub/3aRdSog0vUtuqPE8AJKD.png" xr:uid="{00000000-0004-0000-0C00-0000FE040000}"/>
    <hyperlink ref="T1266" r:id="rId1280" display="https://storage.googleapis.com/glide-prod.appspot.com/uploads-v2/ly7o78grxPaC6KdgvbpS/pub/3aRdSog0vUtuqPE8AJKD.png" xr:uid="{00000000-0004-0000-0C00-0000FF040000}"/>
    <hyperlink ref="T1267" r:id="rId1281" display="https://storage.googleapis.com/glide-prod.appspot.com/uploads-v2/ly7o78grxPaC6KdgvbpS/pub/3aRdSog0vUtuqPE8AJKD.png" xr:uid="{00000000-0004-0000-0C00-000000050000}"/>
    <hyperlink ref="T1268" r:id="rId1282" display="https://storage.googleapis.com/glide-prod.appspot.com/uploads-v2/ly7o78grxPaC6KdgvbpS/pub/3aRdSog0vUtuqPE8AJKD.png" xr:uid="{00000000-0004-0000-0C00-000001050000}"/>
    <hyperlink ref="T1269" r:id="rId1283" display="https://storage.googleapis.com/glide-prod.appspot.com/uploads-v2/ly7o78grxPaC6KdgvbpS/pub/3aRdSog0vUtuqPE8AJKD.png" xr:uid="{00000000-0004-0000-0C00-000002050000}"/>
    <hyperlink ref="T1270" r:id="rId1284" display="https://storage.googleapis.com/glide-prod.appspot.com/uploads-v2/ly7o78grxPaC6KdgvbpS/pub/3aRdSog0vUtuqPE8AJKD.png" xr:uid="{00000000-0004-0000-0C00-000003050000}"/>
    <hyperlink ref="T1271" r:id="rId1285" display="https://storage.googleapis.com/glide-prod.appspot.com/uploads-v2/ly7o78grxPaC6KdgvbpS/pub/3aRdSog0vUtuqPE8AJKD.png" xr:uid="{00000000-0004-0000-0C00-000004050000}"/>
    <hyperlink ref="T1272" r:id="rId1286" display="https://storage.googleapis.com/glide-prod.appspot.com/uploads-v2/ly7o78grxPaC6KdgvbpS/pub/3aRdSog0vUtuqPE8AJKD.png" xr:uid="{00000000-0004-0000-0C00-000005050000}"/>
    <hyperlink ref="T1273" r:id="rId1287" display="https://storage.googleapis.com/glide-prod.appspot.com/uploads-v2/ly7o78grxPaC6KdgvbpS/pub/3aRdSog0vUtuqPE8AJKD.png" xr:uid="{00000000-0004-0000-0C00-000006050000}"/>
    <hyperlink ref="T1274" r:id="rId1288" display="https://storage.googleapis.com/glide-prod.appspot.com/uploads-v2/ly7o78grxPaC6KdgvbpS/pub/3aRdSog0vUtuqPE8AJKD.png" xr:uid="{00000000-0004-0000-0C00-000007050000}"/>
    <hyperlink ref="T1275" r:id="rId1289" display="https://storage.googleapis.com/glide-prod.appspot.com/uploads-v2/ly7o78grxPaC6KdgvbpS/pub/3aRdSog0vUtuqPE8AJKD.png" xr:uid="{00000000-0004-0000-0C00-000008050000}"/>
    <hyperlink ref="T1276" r:id="rId1290" display="https://storage.googleapis.com/glide-prod.appspot.com/uploads-v2/ly7o78grxPaC6KdgvbpS/pub/3aRdSog0vUtuqPE8AJKD.png" xr:uid="{00000000-0004-0000-0C00-000009050000}"/>
    <hyperlink ref="T1277" r:id="rId1291" display="https://storage.googleapis.com/glide-prod.appspot.com/uploads-v2/ly7o78grxPaC6KdgvbpS/pub/3aRdSog0vUtuqPE8AJKD.png" xr:uid="{00000000-0004-0000-0C00-00000A050000}"/>
    <hyperlink ref="T1278" r:id="rId1292" display="https://storage.googleapis.com/glide-prod.appspot.com/uploads-v2/ly7o78grxPaC6KdgvbpS/pub/3aRdSog0vUtuqPE8AJKD.png" xr:uid="{00000000-0004-0000-0C00-00000B050000}"/>
    <hyperlink ref="T1279" r:id="rId1293" display="https://storage.googleapis.com/glide-prod.appspot.com/uploads-v2/ly7o78grxPaC6KdgvbpS/pub/3aRdSog0vUtuqPE8AJKD.png" xr:uid="{00000000-0004-0000-0C00-00000C050000}"/>
    <hyperlink ref="T1280" r:id="rId1294" display="https://storage.googleapis.com/glide-prod.appspot.com/uploads-v2/ly7o78grxPaC6KdgvbpS/pub/3aRdSog0vUtuqPE8AJKD.png" xr:uid="{00000000-0004-0000-0C00-00000D050000}"/>
    <hyperlink ref="T1281" r:id="rId1295" display="https://storage.googleapis.com/glide-prod.appspot.com/uploads-v2/ly7o78grxPaC6KdgvbpS/pub/3aRdSog0vUtuqPE8AJKD.png" xr:uid="{00000000-0004-0000-0C00-00000E050000}"/>
    <hyperlink ref="T1282" r:id="rId1296" display="https://storage.googleapis.com/glide-prod.appspot.com/uploads-v2/ly7o78grxPaC6KdgvbpS/pub/3aRdSog0vUtuqPE8AJKD.png" xr:uid="{00000000-0004-0000-0C00-00000F050000}"/>
    <hyperlink ref="T1283" r:id="rId1297" display="https://storage.googleapis.com/glide-prod.appspot.com/uploads-v2/ly7o78grxPaC6KdgvbpS/pub/3aRdSog0vUtuqPE8AJKD.png" xr:uid="{00000000-0004-0000-0C00-000010050000}"/>
    <hyperlink ref="T1284" r:id="rId1298" display="https://storage.googleapis.com/glide-prod.appspot.com/uploads-v2/ly7o78grxPaC6KdgvbpS/pub/3aRdSog0vUtuqPE8AJKD.png" xr:uid="{00000000-0004-0000-0C00-000011050000}"/>
    <hyperlink ref="T1285" r:id="rId1299" display="https://storage.googleapis.com/glide-prod.appspot.com/uploads-v2/ly7o78grxPaC6KdgvbpS/pub/3aRdSog0vUtuqPE8AJKD.png" xr:uid="{00000000-0004-0000-0C00-000012050000}"/>
    <hyperlink ref="T1286" r:id="rId1300" display="https://storage.googleapis.com/glide-prod.appspot.com/uploads-v2/ly7o78grxPaC6KdgvbpS/pub/3aRdSog0vUtuqPE8AJKD.png" xr:uid="{00000000-0004-0000-0C00-000013050000}"/>
    <hyperlink ref="T1287" r:id="rId1301" display="https://storage.googleapis.com/glide-prod.appspot.com/uploads-v2/ly7o78grxPaC6KdgvbpS/pub/3aRdSog0vUtuqPE8AJKD.png" xr:uid="{00000000-0004-0000-0C00-000014050000}"/>
    <hyperlink ref="T1288" r:id="rId1302" display="https://storage.googleapis.com/glide-prod.appspot.com/uploads-v2/ly7o78grxPaC6KdgvbpS/pub/3aRdSog0vUtuqPE8AJKD.png" xr:uid="{00000000-0004-0000-0C00-000015050000}"/>
    <hyperlink ref="T1289" r:id="rId1303" display="https://storage.googleapis.com/glide-prod.appspot.com/uploads-v2/ly7o78grxPaC6KdgvbpS/pub/3aRdSog0vUtuqPE8AJKD.png" xr:uid="{00000000-0004-0000-0C00-000016050000}"/>
    <hyperlink ref="T1290" r:id="rId1304" display="https://storage.googleapis.com/glide-prod.appspot.com/uploads-v2/ly7o78grxPaC6KdgvbpS/pub/3aRdSog0vUtuqPE8AJKD.png" xr:uid="{00000000-0004-0000-0C00-000017050000}"/>
    <hyperlink ref="T1291" r:id="rId1305" display="https://storage.googleapis.com/glide-prod.appspot.com/uploads-v2/ly7o78grxPaC6KdgvbpS/pub/3aRdSog0vUtuqPE8AJKD.png" xr:uid="{00000000-0004-0000-0C00-000018050000}"/>
    <hyperlink ref="T1292" r:id="rId1306" display="https://storage.googleapis.com/glide-prod.appspot.com/uploads-v2/ly7o78grxPaC6KdgvbpS/pub/3aRdSog0vUtuqPE8AJKD.png" xr:uid="{00000000-0004-0000-0C00-000019050000}"/>
    <hyperlink ref="T1293" r:id="rId1307" display="https://storage.googleapis.com/glide-prod.appspot.com/uploads-v2/ly7o78grxPaC6KdgvbpS/pub/3aRdSog0vUtuqPE8AJKD.png" xr:uid="{00000000-0004-0000-0C00-00001A050000}"/>
    <hyperlink ref="T1294" r:id="rId1308" display="https://storage.googleapis.com/glide-prod.appspot.com/uploads-v2/ly7o78grxPaC6KdgvbpS/pub/3aRdSog0vUtuqPE8AJKD.png" xr:uid="{00000000-0004-0000-0C00-00001B050000}"/>
    <hyperlink ref="T1295" r:id="rId1309" display="https://storage.googleapis.com/glide-prod.appspot.com/uploads-v2/ly7o78grxPaC6KdgvbpS/pub/3aRdSog0vUtuqPE8AJKD.png" xr:uid="{00000000-0004-0000-0C00-00001C050000}"/>
    <hyperlink ref="T1296" r:id="rId1310" display="https://storage.googleapis.com/glide-prod.appspot.com/uploads-v2/ly7o78grxPaC6KdgvbpS/pub/3aRdSog0vUtuqPE8AJKD.png" xr:uid="{00000000-0004-0000-0C00-00001D050000}"/>
    <hyperlink ref="T1297" r:id="rId1311" display="https://storage.googleapis.com/glide-prod.appspot.com/uploads-v2/ly7o78grxPaC6KdgvbpS/pub/3aRdSog0vUtuqPE8AJKD.png" xr:uid="{00000000-0004-0000-0C00-00001E050000}"/>
    <hyperlink ref="T1298" r:id="rId1312" display="https://storage.googleapis.com/glide-prod.appspot.com/uploads-v2/ly7o78grxPaC6KdgvbpS/pub/3aRdSog0vUtuqPE8AJKD.png" xr:uid="{00000000-0004-0000-0C00-00001F050000}"/>
    <hyperlink ref="T1299" r:id="rId1313" display="https://storage.googleapis.com/glide-prod.appspot.com/uploads-v2/ly7o78grxPaC6KdgvbpS/pub/3aRdSog0vUtuqPE8AJKD.png" xr:uid="{00000000-0004-0000-0C00-000020050000}"/>
    <hyperlink ref="T1300" r:id="rId1314" display="https://storage.googleapis.com/glide-prod.appspot.com/uploads-v2/ly7o78grxPaC6KdgvbpS/pub/3aRdSog0vUtuqPE8AJKD.png" xr:uid="{00000000-0004-0000-0C00-000021050000}"/>
    <hyperlink ref="T1301" r:id="rId1315" display="https://storage.googleapis.com/glide-prod.appspot.com/uploads-v2/ly7o78grxPaC6KdgvbpS/pub/3aRdSog0vUtuqPE8AJKD.png" xr:uid="{00000000-0004-0000-0C00-000022050000}"/>
    <hyperlink ref="T1302" r:id="rId1316" display="https://storage.googleapis.com/glide-prod.appspot.com/uploads-v2/ly7o78grxPaC6KdgvbpS/pub/3aRdSog0vUtuqPE8AJKD.png" xr:uid="{00000000-0004-0000-0C00-000023050000}"/>
    <hyperlink ref="T1303" r:id="rId1317" display="https://storage.googleapis.com/glide-prod.appspot.com/uploads-v2/ly7o78grxPaC6KdgvbpS/pub/3aRdSog0vUtuqPE8AJKD.png" xr:uid="{00000000-0004-0000-0C00-000024050000}"/>
    <hyperlink ref="T1304" r:id="rId1318" display="https://storage.googleapis.com/glide-prod.appspot.com/uploads-v2/ly7o78grxPaC6KdgvbpS/pub/3aRdSog0vUtuqPE8AJKD.png" xr:uid="{00000000-0004-0000-0C00-000025050000}"/>
    <hyperlink ref="T1305" r:id="rId1319" display="https://storage.googleapis.com/glide-prod.appspot.com/uploads-v2/ly7o78grxPaC6KdgvbpS/pub/3aRdSog0vUtuqPE8AJKD.png" xr:uid="{00000000-0004-0000-0C00-000026050000}"/>
    <hyperlink ref="T1306" r:id="rId1320" display="https://storage.googleapis.com/glide-prod.appspot.com/uploads-v2/ly7o78grxPaC6KdgvbpS/pub/3aRdSog0vUtuqPE8AJKD.png" xr:uid="{00000000-0004-0000-0C00-000027050000}"/>
    <hyperlink ref="T1307" r:id="rId1321" display="https://storage.googleapis.com/glide-prod.appspot.com/uploads-v2/ly7o78grxPaC6KdgvbpS/pub/3aRdSog0vUtuqPE8AJKD.png" xr:uid="{00000000-0004-0000-0C00-000028050000}"/>
    <hyperlink ref="T1308" r:id="rId1322" display="https://storage.googleapis.com/glide-prod.appspot.com/uploads-v2/ly7o78grxPaC6KdgvbpS/pub/3aRdSog0vUtuqPE8AJKD.png" xr:uid="{00000000-0004-0000-0C00-000029050000}"/>
    <hyperlink ref="T1309" r:id="rId1323" display="https://storage.googleapis.com/glide-prod.appspot.com/uploads-v2/ly7o78grxPaC6KdgvbpS/pub/3aRdSog0vUtuqPE8AJKD.png" xr:uid="{00000000-0004-0000-0C00-00002A050000}"/>
    <hyperlink ref="T1310" r:id="rId1324" display="https://storage.googleapis.com/glide-prod.appspot.com/uploads-v2/ly7o78grxPaC6KdgvbpS/pub/3aRdSog0vUtuqPE8AJKD.png" xr:uid="{00000000-0004-0000-0C00-00002B050000}"/>
    <hyperlink ref="T1311" r:id="rId1325" display="https://storage.googleapis.com/glide-prod.appspot.com/uploads-v2/ly7o78grxPaC6KdgvbpS/pub/3aRdSog0vUtuqPE8AJKD.png" xr:uid="{00000000-0004-0000-0C00-00002C050000}"/>
    <hyperlink ref="T1312" r:id="rId1326" display="https://storage.googleapis.com/glide-prod.appspot.com/uploads-v2/ly7o78grxPaC6KdgvbpS/pub/3aRdSog0vUtuqPE8AJKD.png" xr:uid="{00000000-0004-0000-0C00-00002D050000}"/>
    <hyperlink ref="T1313" r:id="rId1327" display="https://storage.googleapis.com/glide-prod.appspot.com/uploads-v2/ly7o78grxPaC6KdgvbpS/pub/3aRdSog0vUtuqPE8AJKD.png" xr:uid="{00000000-0004-0000-0C00-00002E050000}"/>
    <hyperlink ref="T1314" r:id="rId1328" display="https://storage.googleapis.com/glide-prod.appspot.com/uploads-v2/ly7o78grxPaC6KdgvbpS/pub/3aRdSog0vUtuqPE8AJKD.png" xr:uid="{00000000-0004-0000-0C00-00002F050000}"/>
    <hyperlink ref="T1315" r:id="rId1329" display="https://storage.googleapis.com/glide-prod.appspot.com/uploads-v2/ly7o78grxPaC6KdgvbpS/pub/3aRdSog0vUtuqPE8AJKD.png" xr:uid="{00000000-0004-0000-0C00-000030050000}"/>
    <hyperlink ref="T1316" r:id="rId1330" display="https://storage.googleapis.com/glide-prod.appspot.com/uploads-v2/ly7o78grxPaC6KdgvbpS/pub/3aRdSog0vUtuqPE8AJKD.png" xr:uid="{00000000-0004-0000-0C00-000031050000}"/>
    <hyperlink ref="T1317" r:id="rId1331" display="https://storage.googleapis.com/glide-prod.appspot.com/uploads-v2/ly7o78grxPaC6KdgvbpS/pub/3aRdSog0vUtuqPE8AJKD.png" xr:uid="{00000000-0004-0000-0C00-000032050000}"/>
    <hyperlink ref="T1318" r:id="rId1332" display="https://storage.googleapis.com/glide-prod.appspot.com/uploads-v2/ly7o78grxPaC6KdgvbpS/pub/3aRdSog0vUtuqPE8AJKD.png" xr:uid="{00000000-0004-0000-0C00-000033050000}"/>
    <hyperlink ref="T1319" r:id="rId1333" display="https://storage.googleapis.com/glide-prod.appspot.com/uploads-v2/ly7o78grxPaC6KdgvbpS/pub/3aRdSog0vUtuqPE8AJKD.png" xr:uid="{00000000-0004-0000-0C00-000034050000}"/>
    <hyperlink ref="T1320" r:id="rId1334" display="https://storage.googleapis.com/glide-prod.appspot.com/uploads-v2/ly7o78grxPaC6KdgvbpS/pub/3aRdSog0vUtuqPE8AJKD.png" xr:uid="{00000000-0004-0000-0C00-000035050000}"/>
    <hyperlink ref="T1321" r:id="rId1335" display="https://storage.googleapis.com/glide-prod.appspot.com/uploads-v2/ly7o78grxPaC6KdgvbpS/pub/3aRdSog0vUtuqPE8AJKD.png" xr:uid="{00000000-0004-0000-0C00-000036050000}"/>
    <hyperlink ref="T1322" r:id="rId1336" display="https://storage.googleapis.com/glide-prod.appspot.com/uploads-v2/ly7o78grxPaC6KdgvbpS/pub/3aRdSog0vUtuqPE8AJKD.png" xr:uid="{00000000-0004-0000-0C00-000037050000}"/>
    <hyperlink ref="T1323" r:id="rId1337" display="https://storage.googleapis.com/glide-prod.appspot.com/uploads-v2/ly7o78grxPaC6KdgvbpS/pub/3aRdSog0vUtuqPE8AJKD.png" xr:uid="{00000000-0004-0000-0C00-000038050000}"/>
    <hyperlink ref="T1324" r:id="rId1338" display="https://storage.googleapis.com/glide-prod.appspot.com/uploads-v2/ly7o78grxPaC6KdgvbpS/pub/3aRdSog0vUtuqPE8AJKD.png" xr:uid="{00000000-0004-0000-0C00-000039050000}"/>
    <hyperlink ref="T1325" r:id="rId1339" display="https://storage.googleapis.com/glide-prod.appspot.com/uploads-v2/ly7o78grxPaC6KdgvbpS/pub/3aRdSog0vUtuqPE8AJKD.png" xr:uid="{00000000-0004-0000-0C00-00003A050000}"/>
    <hyperlink ref="T1326" r:id="rId1340" display="https://storage.googleapis.com/glide-prod.appspot.com/uploads-v2/ly7o78grxPaC6KdgvbpS/pub/3aRdSog0vUtuqPE8AJKD.png" xr:uid="{00000000-0004-0000-0C00-00003B050000}"/>
    <hyperlink ref="T1327" r:id="rId1341" display="https://storage.googleapis.com/glide-prod.appspot.com/uploads-v2/ly7o78grxPaC6KdgvbpS/pub/3aRdSog0vUtuqPE8AJKD.png" xr:uid="{00000000-0004-0000-0C00-00003C050000}"/>
    <hyperlink ref="T1328" r:id="rId1342" display="https://storage.googleapis.com/glide-prod.appspot.com/uploads-v2/ly7o78grxPaC6KdgvbpS/pub/3aRdSog0vUtuqPE8AJKD.png" xr:uid="{00000000-0004-0000-0C00-00003D050000}"/>
    <hyperlink ref="T1329" r:id="rId1343" display="https://storage.googleapis.com/glide-prod.appspot.com/uploads-v2/ly7o78grxPaC6KdgvbpS/pub/3aRdSog0vUtuqPE8AJKD.png" xr:uid="{00000000-0004-0000-0C00-00003E050000}"/>
    <hyperlink ref="T1330" r:id="rId1344" display="https://storage.googleapis.com/glide-prod.appspot.com/uploads-v2/ly7o78grxPaC6KdgvbpS/pub/3aRdSog0vUtuqPE8AJKD.png" xr:uid="{00000000-0004-0000-0C00-00003F050000}"/>
    <hyperlink ref="T1331" r:id="rId1345" display="https://storage.googleapis.com/glide-prod.appspot.com/uploads-v2/ly7o78grxPaC6KdgvbpS/pub/3aRdSog0vUtuqPE8AJKD.png" xr:uid="{00000000-0004-0000-0C00-000040050000}"/>
    <hyperlink ref="T1332" r:id="rId1346" display="https://storage.googleapis.com/glide-prod.appspot.com/uploads-v2/ly7o78grxPaC6KdgvbpS/pub/3aRdSog0vUtuqPE8AJKD.png" xr:uid="{00000000-0004-0000-0C00-000041050000}"/>
    <hyperlink ref="T1333" r:id="rId1347" display="https://storage.googleapis.com/glide-prod.appspot.com/uploads-v2/ly7o78grxPaC6KdgvbpS/pub/3aRdSog0vUtuqPE8AJKD.png" xr:uid="{00000000-0004-0000-0C00-000042050000}"/>
    <hyperlink ref="T1334" r:id="rId1348" display="https://storage.googleapis.com/glide-prod.appspot.com/uploads-v2/ly7o78grxPaC6KdgvbpS/pub/3aRdSog0vUtuqPE8AJKD.png" xr:uid="{00000000-0004-0000-0C00-000043050000}"/>
    <hyperlink ref="T1335" r:id="rId1349" display="https://storage.googleapis.com/glide-prod.appspot.com/uploads-v2/ly7o78grxPaC6KdgvbpS/pub/UliJWgpEaBovaFmXi6OW.png" xr:uid="{00000000-0004-0000-0C00-000044050000}"/>
    <hyperlink ref="T1336" r:id="rId1350" display="https://storage.googleapis.com/glide-prod.appspot.com/uploads-v2/ly7o78grxPaC6KdgvbpS/pub/UliJWgpEaBovaFmXi6OW.png" xr:uid="{00000000-0004-0000-0C00-000045050000}"/>
    <hyperlink ref="T1337" r:id="rId1351" display="https://storage.googleapis.com/glide-prod.appspot.com/uploads-v2/ly7o78grxPaC6KdgvbpS/pub/UliJWgpEaBovaFmXi6OW.png" xr:uid="{00000000-0004-0000-0C00-000046050000}"/>
    <hyperlink ref="T1338" r:id="rId1352" display="https://storage.googleapis.com/glide-prod.appspot.com/uploads-v2/ly7o78grxPaC6KdgvbpS/pub/UliJWgpEaBovaFmXi6OW.png" xr:uid="{00000000-0004-0000-0C00-000047050000}"/>
    <hyperlink ref="T1339" r:id="rId1353" display="https://storage.googleapis.com/glide-prod.appspot.com/uploads-v2/ly7o78grxPaC6KdgvbpS/pub/UliJWgpEaBovaFmXi6OW.png" xr:uid="{00000000-0004-0000-0C00-000048050000}"/>
    <hyperlink ref="T1340" r:id="rId1354" display="https://storage.googleapis.com/glide-prod.appspot.com/uploads-v2/ly7o78grxPaC6KdgvbpS/pub/UliJWgpEaBovaFmXi6OW.png" xr:uid="{00000000-0004-0000-0C00-000049050000}"/>
    <hyperlink ref="T1341" r:id="rId1355" display="https://storage.googleapis.com/glide-prod.appspot.com/uploads-v2/ly7o78grxPaC6KdgvbpS/pub/UliJWgpEaBovaFmXi6OW.png" xr:uid="{00000000-0004-0000-0C00-00004A050000}"/>
    <hyperlink ref="T1342" r:id="rId1356" display="https://storage.googleapis.com/glide-prod.appspot.com/uploads-v2/ly7o78grxPaC6KdgvbpS/pub/UliJWgpEaBovaFmXi6OW.png" xr:uid="{00000000-0004-0000-0C00-00004B050000}"/>
    <hyperlink ref="T1343" r:id="rId1357" display="https://storage.googleapis.com/glide-prod.appspot.com/uploads-v2/ly7o78grxPaC6KdgvbpS/pub/UliJWgpEaBovaFmXi6OW.png" xr:uid="{00000000-0004-0000-0C00-00004C050000}"/>
    <hyperlink ref="T1344" r:id="rId1358" display="https://storage.googleapis.com/glide-prod.appspot.com/uploads-v2/ly7o78grxPaC6KdgvbpS/pub/UliJWgpEaBovaFmXi6OW.png" xr:uid="{00000000-0004-0000-0C00-00004D050000}"/>
    <hyperlink ref="T1345" r:id="rId1359" display="https://storage.googleapis.com/glide-prod.appspot.com/uploads-v2/ly7o78grxPaC6KdgvbpS/pub/UliJWgpEaBovaFmXi6OW.png" xr:uid="{00000000-0004-0000-0C00-00004E050000}"/>
    <hyperlink ref="T1346" r:id="rId1360" display="https://storage.googleapis.com/glide-prod.appspot.com/uploads-v2/ly7o78grxPaC6KdgvbpS/pub/UliJWgpEaBovaFmXi6OW.png" xr:uid="{00000000-0004-0000-0C00-00004F050000}"/>
    <hyperlink ref="T1347" r:id="rId1361" display="https://storage.googleapis.com/glide-prod.appspot.com/uploads-v2/ly7o78grxPaC6KdgvbpS/pub/UliJWgpEaBovaFmXi6OW.png" xr:uid="{00000000-0004-0000-0C00-000050050000}"/>
    <hyperlink ref="T1348" r:id="rId1362" display="https://storage.googleapis.com/glide-prod.appspot.com/uploads-v2/ly7o78grxPaC6KdgvbpS/pub/UliJWgpEaBovaFmXi6OW.png" xr:uid="{00000000-0004-0000-0C00-000051050000}"/>
    <hyperlink ref="T1349" r:id="rId1363" display="https://storage.googleapis.com/glide-prod.appspot.com/uploads-v2/ly7o78grxPaC6KdgvbpS/pub/UliJWgpEaBovaFmXi6OW.png" xr:uid="{00000000-0004-0000-0C00-000052050000}"/>
    <hyperlink ref="T1350" r:id="rId1364" display="https://storage.googleapis.com/glide-prod.appspot.com/uploads-v2/ly7o78grxPaC6KdgvbpS/pub/UliJWgpEaBovaFmXi6OW.png" xr:uid="{00000000-0004-0000-0C00-000053050000}"/>
    <hyperlink ref="T1351" r:id="rId1365" display="https://storage.googleapis.com/glide-prod.appspot.com/uploads-v2/ly7o78grxPaC6KdgvbpS/pub/UliJWgpEaBovaFmXi6OW.png" xr:uid="{00000000-0004-0000-0C00-000054050000}"/>
    <hyperlink ref="T1352" r:id="rId1366" display="https://storage.googleapis.com/glide-prod.appspot.com/uploads-v2/ly7o78grxPaC6KdgvbpS/pub/UliJWgpEaBovaFmXi6OW.png" xr:uid="{00000000-0004-0000-0C00-000055050000}"/>
    <hyperlink ref="T1353" r:id="rId1367" display="https://storage.googleapis.com/glide-prod.appspot.com/uploads-v2/ly7o78grxPaC6KdgvbpS/pub/UliJWgpEaBovaFmXi6OW.png" xr:uid="{00000000-0004-0000-0C00-000056050000}"/>
    <hyperlink ref="T1354" r:id="rId1368" display="https://storage.googleapis.com/glide-prod.appspot.com/uploads-v2/ly7o78grxPaC6KdgvbpS/pub/UliJWgpEaBovaFmXi6OW.png" xr:uid="{00000000-0004-0000-0C00-000057050000}"/>
    <hyperlink ref="T1355" r:id="rId1369" display="https://storage.googleapis.com/glide-prod.appspot.com/uploads-v2/ly7o78grxPaC6KdgvbpS/pub/UliJWgpEaBovaFmXi6OW.png" xr:uid="{00000000-0004-0000-0C00-000058050000}"/>
    <hyperlink ref="T1356" r:id="rId1370" display="https://storage.googleapis.com/glide-prod.appspot.com/uploads-v2/ly7o78grxPaC6KdgvbpS/pub/UliJWgpEaBovaFmXi6OW.png" xr:uid="{00000000-0004-0000-0C00-000059050000}"/>
    <hyperlink ref="T1357" r:id="rId1371" display="https://storage.googleapis.com/glide-prod.appspot.com/uploads-v2/ly7o78grxPaC6KdgvbpS/pub/UliJWgpEaBovaFmXi6OW.png" xr:uid="{00000000-0004-0000-0C00-00005A050000}"/>
    <hyperlink ref="T1358" r:id="rId1372" display="https://storage.googleapis.com/glide-prod.appspot.com/uploads-v2/ly7o78grxPaC6KdgvbpS/pub/3aRdSog0vUtuqPE8AJKD.png" xr:uid="{00000000-0004-0000-0C00-00005B050000}"/>
    <hyperlink ref="T1359" r:id="rId1373" display="https://storage.googleapis.com/glide-prod.appspot.com/uploads-v2/ly7o78grxPaC6KdgvbpS/pub/3aRdSog0vUtuqPE8AJKD.png" xr:uid="{00000000-0004-0000-0C00-00005C050000}"/>
    <hyperlink ref="T1360" r:id="rId1374" display="https://storage.googleapis.com/glide-prod.appspot.com/uploads-v2/ly7o78grxPaC6KdgvbpS/pub/3aRdSog0vUtuqPE8AJKD.png" xr:uid="{00000000-0004-0000-0C00-00005D050000}"/>
    <hyperlink ref="AA1360" r:id="rId1375" display="https://storage.googleapis.com/glide-prod.appspot.com/uploads-v2/ly7o78grxPaC6KdgvbpS/pub/UxnHYRNlUFUsFjKVcxBV.jpg" xr:uid="{00000000-0004-0000-0C00-00005E050000}"/>
    <hyperlink ref="T1361" r:id="rId1376" display="https://storage.googleapis.com/glide-prod.appspot.com/uploads-v2/ly7o78grxPaC6KdgvbpS/pub/3aRdSog0vUtuqPE8AJKD.png" xr:uid="{00000000-0004-0000-0C00-00005F050000}"/>
    <hyperlink ref="T1362" r:id="rId1377" display="https://storage.googleapis.com/glide-prod.appspot.com/uploads-v2/ly7o78grxPaC6KdgvbpS/pub/3aRdSog0vUtuqPE8AJKD.png" xr:uid="{00000000-0004-0000-0C00-000060050000}"/>
    <hyperlink ref="T1363" r:id="rId1378" display="https://storage.googleapis.com/glide-prod.appspot.com/uploads-v2/ly7o78grxPaC6KdgvbpS/pub/3aRdSog0vUtuqPE8AJKD.png" xr:uid="{00000000-0004-0000-0C00-000061050000}"/>
    <hyperlink ref="T1364" r:id="rId1379" display="https://storage.googleapis.com/glide-prod.appspot.com/uploads-v2/ly7o78grxPaC6KdgvbpS/pub/3aRdSog0vUtuqPE8AJKD.png" xr:uid="{00000000-0004-0000-0C00-000062050000}"/>
    <hyperlink ref="T1365" r:id="rId1380" display="https://storage.googleapis.com/glide-prod.appspot.com/uploads-v2/ly7o78grxPaC6KdgvbpS/pub/3aRdSog0vUtuqPE8AJKD.png" xr:uid="{00000000-0004-0000-0C00-000063050000}"/>
    <hyperlink ref="T1366" r:id="rId1381" display="https://storage.googleapis.com/glide-prod.appspot.com/uploads-v2/ly7o78grxPaC6KdgvbpS/pub/3aRdSog0vUtuqPE8AJKD.png" xr:uid="{00000000-0004-0000-0C00-000064050000}"/>
    <hyperlink ref="T1367" r:id="rId1382" display="https://storage.googleapis.com/glide-prod.appspot.com/uploads-v2/ly7o78grxPaC6KdgvbpS/pub/3aRdSog0vUtuqPE8AJKD.png" xr:uid="{00000000-0004-0000-0C00-000065050000}"/>
    <hyperlink ref="T1368" r:id="rId1383" display="https://storage.googleapis.com/glide-prod.appspot.com/uploads-v2/ly7o78grxPaC6KdgvbpS/pub/3aRdSog0vUtuqPE8AJKD.png" xr:uid="{00000000-0004-0000-0C00-000066050000}"/>
    <hyperlink ref="T1369" r:id="rId1384" display="https://storage.googleapis.com/glide-prod.appspot.com/uploads-v2/ly7o78grxPaC6KdgvbpS/pub/3aRdSog0vUtuqPE8AJKD.png" xr:uid="{00000000-0004-0000-0C00-000067050000}"/>
    <hyperlink ref="T1370" r:id="rId1385" display="https://storage.googleapis.com/glide-prod.appspot.com/uploads-v2/ly7o78grxPaC6KdgvbpS/pub/3aRdSog0vUtuqPE8AJKD.png" xr:uid="{00000000-0004-0000-0C00-000068050000}"/>
    <hyperlink ref="T1371" r:id="rId1386" display="https://storage.googleapis.com/glide-prod.appspot.com/uploads-v2/ly7o78grxPaC6KdgvbpS/pub/3aRdSog0vUtuqPE8AJKD.png" xr:uid="{00000000-0004-0000-0C00-000069050000}"/>
    <hyperlink ref="T1372" r:id="rId1387" display="https://storage.googleapis.com/glide-prod.appspot.com/uploads-v2/ly7o78grxPaC6KdgvbpS/pub/3aRdSog0vUtuqPE8AJKD.png" xr:uid="{00000000-0004-0000-0C00-00006A050000}"/>
    <hyperlink ref="T1373" r:id="rId1388" display="https://storage.googleapis.com/glide-prod.appspot.com/uploads-v2/ly7o78grxPaC6KdgvbpS/pub/3aRdSog0vUtuqPE8AJKD.png" xr:uid="{00000000-0004-0000-0C00-00006B050000}"/>
    <hyperlink ref="T1374" r:id="rId1389" display="https://storage.googleapis.com/glide-prod.appspot.com/uploads-v2/ly7o78grxPaC6KdgvbpS/pub/3aRdSog0vUtuqPE8AJKD.png" xr:uid="{00000000-0004-0000-0C00-00006C050000}"/>
    <hyperlink ref="T1375" r:id="rId1390" display="https://storage.googleapis.com/glide-prod.appspot.com/uploads-v2/ly7o78grxPaC6KdgvbpS/pub/3aRdSog0vUtuqPE8AJKD.png" xr:uid="{00000000-0004-0000-0C00-00006D050000}"/>
    <hyperlink ref="T1376" r:id="rId1391" display="https://storage.googleapis.com/glide-prod.appspot.com/uploads-v2/ly7o78grxPaC6KdgvbpS/pub/3aRdSog0vUtuqPE8AJKD.png" xr:uid="{00000000-0004-0000-0C00-00006E050000}"/>
    <hyperlink ref="T1377" r:id="rId1392" display="https://storage.googleapis.com/glide-prod.appspot.com/uploads-v2/ly7o78grxPaC6KdgvbpS/pub/3aRdSog0vUtuqPE8AJKD.png" xr:uid="{00000000-0004-0000-0C00-00006F050000}"/>
    <hyperlink ref="T1378" r:id="rId1393" display="https://storage.googleapis.com/glide-prod.appspot.com/uploads-v2/ly7o78grxPaC6KdgvbpS/pub/3aRdSog0vUtuqPE8AJKD.png" xr:uid="{00000000-0004-0000-0C00-000070050000}"/>
    <hyperlink ref="T1379" r:id="rId1394" display="https://storage.googleapis.com/glide-prod.appspot.com/uploads-v2/ly7o78grxPaC6KdgvbpS/pub/3aRdSog0vUtuqPE8AJKD.png" xr:uid="{00000000-0004-0000-0C00-000071050000}"/>
    <hyperlink ref="T1380" r:id="rId1395" display="https://storage.googleapis.com/glide-prod.appspot.com/uploads-v2/ly7o78grxPaC6KdgvbpS/pub/3aRdSog0vUtuqPE8AJKD.png" xr:uid="{00000000-0004-0000-0C00-000072050000}"/>
    <hyperlink ref="T1381" r:id="rId1396" display="https://storage.googleapis.com/glide-prod.appspot.com/uploads-v2/ly7o78grxPaC6KdgvbpS/pub/3aRdSog0vUtuqPE8AJKD.png" xr:uid="{00000000-0004-0000-0C00-000073050000}"/>
    <hyperlink ref="T1382" r:id="rId1397" display="https://storage.googleapis.com/glide-prod.appspot.com/uploads-v2/ly7o78grxPaC6KdgvbpS/pub/3aRdSog0vUtuqPE8AJKD.png" xr:uid="{00000000-0004-0000-0C00-000074050000}"/>
    <hyperlink ref="T1383" r:id="rId1398" display="https://storage.googleapis.com/glide-prod.appspot.com/uploads-v2/ly7o78grxPaC6KdgvbpS/pub/3aRdSog0vUtuqPE8AJKD.png" xr:uid="{00000000-0004-0000-0C00-000075050000}"/>
    <hyperlink ref="T1384" r:id="rId1399" display="https://storage.googleapis.com/glide-prod.appspot.com/uploads-v2/ly7o78grxPaC6KdgvbpS/pub/3aRdSog0vUtuqPE8AJKD.png" xr:uid="{00000000-0004-0000-0C00-000076050000}"/>
    <hyperlink ref="T1385" r:id="rId1400" display="https://storage.googleapis.com/glide-prod.appspot.com/uploads-v2/ly7o78grxPaC6KdgvbpS/pub/3aRdSog0vUtuqPE8AJKD.png" xr:uid="{00000000-0004-0000-0C00-000077050000}"/>
    <hyperlink ref="T1386" r:id="rId1401" display="https://storage.googleapis.com/glide-prod.appspot.com/uploads-v2/ly7o78grxPaC6KdgvbpS/pub/3aRdSog0vUtuqPE8AJKD.png" xr:uid="{00000000-0004-0000-0C00-000078050000}"/>
    <hyperlink ref="AC1386" r:id="rId1402" display="https://storage.googleapis.com/glide-prod.appspot.com/uploads-v2/ly7o78grxPaC6KdgvbpS/pub/7qydz2mrCSMvpBDbhfpT/VID20240120054056.mp4" xr:uid="{00000000-0004-0000-0C00-000079050000}"/>
    <hyperlink ref="T1387" r:id="rId1403" display="https://storage.googleapis.com/glide-prod.appspot.com/uploads-v2/ly7o78grxPaC6KdgvbpS/pub/3aRdSog0vUtuqPE8AJKD.png" xr:uid="{00000000-0004-0000-0C00-00007A050000}"/>
    <hyperlink ref="T1388" r:id="rId1404" display="https://storage.googleapis.com/glide-prod.appspot.com/uploads-v2/ly7o78grxPaC6KdgvbpS/pub/3aRdSog0vUtuqPE8AJKD.png" xr:uid="{00000000-0004-0000-0C00-00007B050000}"/>
    <hyperlink ref="T1389" r:id="rId1405" display="https://storage.googleapis.com/glide-prod.appspot.com/uploads-v2/ly7o78grxPaC6KdgvbpS/pub/3aRdSog0vUtuqPE8AJKD.png" xr:uid="{00000000-0004-0000-0C00-00007C050000}"/>
    <hyperlink ref="T1390" r:id="rId1406" display="https://storage.googleapis.com/glide-prod.appspot.com/uploads-v2/ly7o78grxPaC6KdgvbpS/pub/3aRdSog0vUtuqPE8AJKD.png" xr:uid="{00000000-0004-0000-0C00-00007D050000}"/>
    <hyperlink ref="T1391" r:id="rId1407" display="https://storage.googleapis.com/glide-prod.appspot.com/uploads-v2/ly7o78grxPaC6KdgvbpS/pub/3aRdSog0vUtuqPE8AJKD.png" xr:uid="{00000000-0004-0000-0C00-00007E050000}"/>
    <hyperlink ref="T1392" r:id="rId1408" display="https://storage.googleapis.com/glide-prod.appspot.com/uploads-v2/ly7o78grxPaC6KdgvbpS/pub/3aRdSog0vUtuqPE8AJKD.png" xr:uid="{00000000-0004-0000-0C00-00007F050000}"/>
    <hyperlink ref="T1393" r:id="rId1409" display="https://storage.googleapis.com/glide-prod.appspot.com/uploads-v2/ly7o78grxPaC6KdgvbpS/pub/3aRdSog0vUtuqPE8AJKD.png" xr:uid="{00000000-0004-0000-0C00-000080050000}"/>
    <hyperlink ref="T1394" r:id="rId1410" display="https://storage.googleapis.com/glide-prod.appspot.com/uploads-v2/ly7o78grxPaC6KdgvbpS/pub/3aRdSog0vUtuqPE8AJKD.png" xr:uid="{00000000-0004-0000-0C00-000081050000}"/>
    <hyperlink ref="T1395" r:id="rId1411" display="https://storage.googleapis.com/glide-prod.appspot.com/uploads-v2/ly7o78grxPaC6KdgvbpS/pub/3aRdSog0vUtuqPE8AJKD.png" xr:uid="{00000000-0004-0000-0C00-000082050000}"/>
    <hyperlink ref="T1396" r:id="rId1412" display="https://storage.googleapis.com/glide-prod.appspot.com/uploads-v2/ly7o78grxPaC6KdgvbpS/pub/3aRdSog0vUtuqPE8AJKD.png" xr:uid="{00000000-0004-0000-0C00-000083050000}"/>
    <hyperlink ref="T1397" r:id="rId1413" display="https://storage.googleapis.com/glide-prod.appspot.com/uploads-v2/ly7o78grxPaC6KdgvbpS/pub/3aRdSog0vUtuqPE8AJKD.png" xr:uid="{00000000-0004-0000-0C00-000084050000}"/>
    <hyperlink ref="T1398" r:id="rId1414" display="https://storage.googleapis.com/glide-prod.appspot.com/uploads-v2/ly7o78grxPaC6KdgvbpS/pub/3aRdSog0vUtuqPE8AJKD.png" xr:uid="{00000000-0004-0000-0C00-000085050000}"/>
    <hyperlink ref="T1399" r:id="rId1415" display="https://storage.googleapis.com/glide-prod.appspot.com/uploads-v2/ly7o78grxPaC6KdgvbpS/pub/3aRdSog0vUtuqPE8AJKD.png" xr:uid="{00000000-0004-0000-0C00-000086050000}"/>
    <hyperlink ref="T1400" r:id="rId1416" display="https://storage.googleapis.com/glide-prod.appspot.com/uploads-v2/ly7o78grxPaC6KdgvbpS/pub/3aRdSog0vUtuqPE8AJKD.png" xr:uid="{00000000-0004-0000-0C00-000087050000}"/>
    <hyperlink ref="T1401" r:id="rId1417" display="https://storage.googleapis.com/glide-prod.appspot.com/uploads-v2/ly7o78grxPaC6KdgvbpS/pub/3aRdSog0vUtuqPE8AJKD.png" xr:uid="{00000000-0004-0000-0C00-000088050000}"/>
    <hyperlink ref="T1402" r:id="rId1418" display="https://storage.googleapis.com/glide-prod.appspot.com/uploads-v2/ly7o78grxPaC6KdgvbpS/pub/3aRdSog0vUtuqPE8AJKD.png" xr:uid="{00000000-0004-0000-0C00-000089050000}"/>
    <hyperlink ref="T1403" r:id="rId1419" display="https://storage.googleapis.com/glide-prod.appspot.com/uploads-v2/ly7o78grxPaC6KdgvbpS/pub/3aRdSog0vUtuqPE8AJKD.png" xr:uid="{00000000-0004-0000-0C00-00008A050000}"/>
    <hyperlink ref="T1404" r:id="rId1420" display="https://storage.googleapis.com/glide-prod.appspot.com/uploads-v2/ly7o78grxPaC6KdgvbpS/pub/3aRdSog0vUtuqPE8AJKD.png" xr:uid="{00000000-0004-0000-0C00-00008B050000}"/>
    <hyperlink ref="T1405" r:id="rId1421" display="https://storage.googleapis.com/glide-prod.appspot.com/uploads-v2/ly7o78grxPaC6KdgvbpS/pub/3aRdSog0vUtuqPE8AJKD.png" xr:uid="{00000000-0004-0000-0C00-00008C050000}"/>
    <hyperlink ref="T1406" r:id="rId1422" display="https://storage.googleapis.com/glide-prod.appspot.com/uploads-v2/ly7o78grxPaC6KdgvbpS/pub/3aRdSog0vUtuqPE8AJKD.png" xr:uid="{00000000-0004-0000-0C00-00008D050000}"/>
    <hyperlink ref="T1407" r:id="rId1423" display="https://storage.googleapis.com/glide-prod.appspot.com/uploads-v2/ly7o78grxPaC6KdgvbpS/pub/3aRdSog0vUtuqPE8AJKD.png" xr:uid="{00000000-0004-0000-0C00-00008E050000}"/>
    <hyperlink ref="T1408" r:id="rId1424" display="https://storage.googleapis.com/glide-prod.appspot.com/uploads-v2/ly7o78grxPaC6KdgvbpS/pub/3aRdSog0vUtuqPE8AJKD.png" xr:uid="{00000000-0004-0000-0C00-00008F050000}"/>
    <hyperlink ref="T1409" r:id="rId1425" display="https://storage.googleapis.com/glide-prod.appspot.com/uploads-v2/ly7o78grxPaC6KdgvbpS/pub/3aRdSog0vUtuqPE8AJKD.png" xr:uid="{00000000-0004-0000-0C00-000090050000}"/>
    <hyperlink ref="T1410" r:id="rId1426" display="https://storage.googleapis.com/glide-prod.appspot.com/uploads-v2/ly7o78grxPaC6KdgvbpS/pub/3aRdSog0vUtuqPE8AJKD.png" xr:uid="{00000000-0004-0000-0C00-000091050000}"/>
    <hyperlink ref="T1411" r:id="rId1427" display="https://storage.googleapis.com/glide-prod.appspot.com/uploads-v2/ly7o78grxPaC6KdgvbpS/pub/3aRdSog0vUtuqPE8AJKD.png" xr:uid="{00000000-0004-0000-0C00-000092050000}"/>
    <hyperlink ref="T1412" r:id="rId1428" display="https://storage.googleapis.com/glide-prod.appspot.com/uploads-v2/ly7o78grxPaC6KdgvbpS/pub/3aRdSog0vUtuqPE8AJKD.png" xr:uid="{00000000-0004-0000-0C00-000093050000}"/>
    <hyperlink ref="T1413" r:id="rId1429" display="https://storage.googleapis.com/glide-prod.appspot.com/uploads-v2/ly7o78grxPaC6KdgvbpS/pub/3aRdSog0vUtuqPE8AJKD.png" xr:uid="{00000000-0004-0000-0C00-000094050000}"/>
    <hyperlink ref="T1414" r:id="rId1430" display="https://storage.googleapis.com/glide-prod.appspot.com/uploads-v2/ly7o78grxPaC6KdgvbpS/pub/3aRdSog0vUtuqPE8AJKD.png" xr:uid="{00000000-0004-0000-0C00-000095050000}"/>
    <hyperlink ref="T1415" r:id="rId1431" display="https://storage.googleapis.com/glide-prod.appspot.com/uploads-v2/ly7o78grxPaC6KdgvbpS/pub/3aRdSog0vUtuqPE8AJKD.png" xr:uid="{00000000-0004-0000-0C00-000096050000}"/>
    <hyperlink ref="T1416" r:id="rId1432" display="https://storage.googleapis.com/glide-prod.appspot.com/uploads-v2/ly7o78grxPaC6KdgvbpS/pub/3aRdSog0vUtuqPE8AJKD.png" xr:uid="{00000000-0004-0000-0C00-000097050000}"/>
    <hyperlink ref="T1417" r:id="rId1433" display="https://storage.googleapis.com/glide-prod.appspot.com/uploads-v2/ly7o78grxPaC6KdgvbpS/pub/3aRdSog0vUtuqPE8AJKD.png" xr:uid="{00000000-0004-0000-0C00-000098050000}"/>
    <hyperlink ref="T1418" r:id="rId1434" display="https://storage.googleapis.com/glide-prod.appspot.com/uploads-v2/ly7o78grxPaC6KdgvbpS/pub/3aRdSog0vUtuqPE8AJKD.png" xr:uid="{00000000-0004-0000-0C00-000099050000}"/>
    <hyperlink ref="T1419" r:id="rId1435" display="https://storage.googleapis.com/glide-prod.appspot.com/uploads-v2/ly7o78grxPaC6KdgvbpS/pub/3aRdSog0vUtuqPE8AJKD.png" xr:uid="{00000000-0004-0000-0C00-00009A050000}"/>
    <hyperlink ref="T1420" r:id="rId1436" display="https://storage.googleapis.com/glide-prod.appspot.com/uploads-v2/ly7o78grxPaC6KdgvbpS/pub/3aRdSog0vUtuqPE8AJKD.png" xr:uid="{00000000-0004-0000-0C00-00009B050000}"/>
    <hyperlink ref="T1421" r:id="rId1437" display="https://storage.googleapis.com/glide-prod.appspot.com/uploads-v2/ly7o78grxPaC6KdgvbpS/pub/3aRdSog0vUtuqPE8AJKD.png" xr:uid="{00000000-0004-0000-0C00-00009C050000}"/>
    <hyperlink ref="T1422" r:id="rId1438" display="https://storage.googleapis.com/glide-prod.appspot.com/uploads-v2/ly7o78grxPaC6KdgvbpS/pub/3aRdSog0vUtuqPE8AJKD.png" xr:uid="{00000000-0004-0000-0C00-00009D050000}"/>
    <hyperlink ref="T1423" r:id="rId1439" display="https://storage.googleapis.com/glide-prod.appspot.com/uploads-v2/ly7o78grxPaC6KdgvbpS/pub/3aRdSog0vUtuqPE8AJKD.png" xr:uid="{00000000-0004-0000-0C00-00009E050000}"/>
    <hyperlink ref="T1424" r:id="rId1440" display="https://storage.googleapis.com/glide-prod.appspot.com/uploads-v2/ly7o78grxPaC6KdgvbpS/pub/3aRdSog0vUtuqPE8AJKD.png" xr:uid="{00000000-0004-0000-0C00-00009F050000}"/>
    <hyperlink ref="T1425" r:id="rId1441" display="https://storage.googleapis.com/glide-prod.appspot.com/uploads-v2/ly7o78grxPaC6KdgvbpS/pub/3aRdSog0vUtuqPE8AJKD.png" xr:uid="{00000000-0004-0000-0C00-0000A0050000}"/>
    <hyperlink ref="T1426" r:id="rId1442" display="https://storage.googleapis.com/glide-prod.appspot.com/uploads-v2/ly7o78grxPaC6KdgvbpS/pub/3aRdSog0vUtuqPE8AJKD.png" xr:uid="{00000000-0004-0000-0C00-0000A1050000}"/>
    <hyperlink ref="T1427" r:id="rId1443" display="https://storage.googleapis.com/glide-prod.appspot.com/uploads-v2/ly7o78grxPaC6KdgvbpS/pub/3aRdSog0vUtuqPE8AJKD.png" xr:uid="{00000000-0004-0000-0C00-0000A2050000}"/>
    <hyperlink ref="T1428" r:id="rId1444" display="https://storage.googleapis.com/glide-prod.appspot.com/uploads-v2/ly7o78grxPaC6KdgvbpS/pub/3aRdSog0vUtuqPE8AJKD.png" xr:uid="{00000000-0004-0000-0C00-0000A3050000}"/>
    <hyperlink ref="T1429" r:id="rId1445" display="https://storage.googleapis.com/glide-prod.appspot.com/uploads-v2/ly7o78grxPaC6KdgvbpS/pub/3aRdSog0vUtuqPE8AJKD.png" xr:uid="{00000000-0004-0000-0C00-0000A4050000}"/>
    <hyperlink ref="T1430" r:id="rId1446" display="https://storage.googleapis.com/glide-prod.appspot.com/uploads-v2/ly7o78grxPaC6KdgvbpS/pub/3aRdSog0vUtuqPE8AJKD.png" xr:uid="{00000000-0004-0000-0C00-0000A5050000}"/>
    <hyperlink ref="T1431" r:id="rId1447" display="https://storage.googleapis.com/glide-prod.appspot.com/uploads-v2/ly7o78grxPaC6KdgvbpS/pub/3aRdSog0vUtuqPE8AJKD.png" xr:uid="{00000000-0004-0000-0C00-0000A6050000}"/>
    <hyperlink ref="T1432" r:id="rId1448" display="https://storage.googleapis.com/glide-prod.appspot.com/uploads-v2/ly7o78grxPaC6KdgvbpS/pub/3aRdSog0vUtuqPE8AJKD.png" xr:uid="{00000000-0004-0000-0C00-0000A7050000}"/>
    <hyperlink ref="T1433" r:id="rId1449" display="https://storage.googleapis.com/glide-prod.appspot.com/uploads-v2/ly7o78grxPaC6KdgvbpS/pub/3aRdSog0vUtuqPE8AJKD.png" xr:uid="{00000000-0004-0000-0C00-0000A8050000}"/>
    <hyperlink ref="T1434" r:id="rId1450" display="https://storage.googleapis.com/glide-prod.appspot.com/uploads-v2/ly7o78grxPaC6KdgvbpS/pub/3aRdSog0vUtuqPE8AJKD.png" xr:uid="{00000000-0004-0000-0C00-0000A9050000}"/>
    <hyperlink ref="T1435" r:id="rId1451" display="https://storage.googleapis.com/glide-prod.appspot.com/uploads-v2/ly7o78grxPaC6KdgvbpS/pub/3aRdSog0vUtuqPE8AJKD.png" xr:uid="{00000000-0004-0000-0C00-0000AA050000}"/>
    <hyperlink ref="T1436" r:id="rId1452" display="https://storage.googleapis.com/glide-prod.appspot.com/uploads-v2/ly7o78grxPaC6KdgvbpS/pub/3aRdSog0vUtuqPE8AJKD.png" xr:uid="{00000000-0004-0000-0C00-0000AB050000}"/>
    <hyperlink ref="T1437" r:id="rId1453" display="https://storage.googleapis.com/glide-prod.appspot.com/uploads-v2/ly7o78grxPaC6KdgvbpS/pub/3aRdSog0vUtuqPE8AJKD.png" xr:uid="{00000000-0004-0000-0C00-0000AC050000}"/>
    <hyperlink ref="T1438" r:id="rId1454" display="https://storage.googleapis.com/glide-prod.appspot.com/uploads-v2/ly7o78grxPaC6KdgvbpS/pub/3aRdSog0vUtuqPE8AJKD.png" xr:uid="{00000000-0004-0000-0C00-0000AD050000}"/>
    <hyperlink ref="T1439" r:id="rId1455" display="https://storage.googleapis.com/glide-prod.appspot.com/uploads-v2/ly7o78grxPaC6KdgvbpS/pub/3aRdSog0vUtuqPE8AJKD.png" xr:uid="{00000000-0004-0000-0C00-0000AE050000}"/>
    <hyperlink ref="T1440" r:id="rId1456" display="https://storage.googleapis.com/glide-prod.appspot.com/uploads-v2/ly7o78grxPaC6KdgvbpS/pub/3aRdSog0vUtuqPE8AJKD.png" xr:uid="{00000000-0004-0000-0C00-0000AF050000}"/>
    <hyperlink ref="T1441" r:id="rId1457" display="https://storage.googleapis.com/glide-prod.appspot.com/uploads-v2/ly7o78grxPaC6KdgvbpS/pub/3aRdSog0vUtuqPE8AJKD.png" xr:uid="{00000000-0004-0000-0C00-0000B0050000}"/>
    <hyperlink ref="T1442" r:id="rId1458" display="https://storage.googleapis.com/glide-prod.appspot.com/uploads-v2/ly7o78grxPaC6KdgvbpS/pub/3aRdSog0vUtuqPE8AJKD.png" xr:uid="{00000000-0004-0000-0C00-0000B1050000}"/>
    <hyperlink ref="T1443" r:id="rId1459" display="https://storage.googleapis.com/glide-prod.appspot.com/uploads-v2/ly7o78grxPaC6KdgvbpS/pub/3aRdSog0vUtuqPE8AJKD.png" xr:uid="{00000000-0004-0000-0C00-0000B2050000}"/>
    <hyperlink ref="T1444" r:id="rId1460" display="https://storage.googleapis.com/glide-prod.appspot.com/uploads-v2/ly7o78grxPaC6KdgvbpS/pub/3aRdSog0vUtuqPE8AJKD.png" xr:uid="{00000000-0004-0000-0C00-0000B3050000}"/>
    <hyperlink ref="T1445" r:id="rId1461" display="https://storage.googleapis.com/glide-prod.appspot.com/uploads-v2/ly7o78grxPaC6KdgvbpS/pub/3aRdSog0vUtuqPE8AJKD.png" xr:uid="{00000000-0004-0000-0C00-0000B4050000}"/>
    <hyperlink ref="T1446" r:id="rId1462" display="https://storage.googleapis.com/glide-prod.appspot.com/uploads-v2/ly7o78grxPaC6KdgvbpS/pub/UliJWgpEaBovaFmXi6OW.png" xr:uid="{00000000-0004-0000-0C00-0000B5050000}"/>
    <hyperlink ref="T1447" r:id="rId1463" display="https://storage.googleapis.com/glide-prod.appspot.com/uploads-v2/ly7o78grxPaC6KdgvbpS/pub/3aRdSog0vUtuqPE8AJKD.png" xr:uid="{00000000-0004-0000-0C00-0000B6050000}"/>
    <hyperlink ref="T1448" r:id="rId1464" display="https://storage.googleapis.com/glide-prod.appspot.com/uploads-v2/ly7o78grxPaC6KdgvbpS/pub/3aRdSog0vUtuqPE8AJKD.png" xr:uid="{00000000-0004-0000-0C00-0000B7050000}"/>
    <hyperlink ref="T1449" r:id="rId1465" display="https://storage.googleapis.com/glide-prod.appspot.com/uploads-v2/ly7o78grxPaC6KdgvbpS/pub/3aRdSog0vUtuqPE8AJKD.png" xr:uid="{00000000-0004-0000-0C00-0000B8050000}"/>
    <hyperlink ref="T1450" r:id="rId1466" display="https://storage.googleapis.com/glide-prod.appspot.com/uploads-v2/ly7o78grxPaC6KdgvbpS/pub/3aRdSog0vUtuqPE8AJKD.png" xr:uid="{00000000-0004-0000-0C00-0000B9050000}"/>
    <hyperlink ref="T1451" r:id="rId1467" display="https://storage.googleapis.com/glide-prod.appspot.com/uploads-v2/ly7o78grxPaC6KdgvbpS/pub/3aRdSog0vUtuqPE8AJKD.png" xr:uid="{00000000-0004-0000-0C00-0000BA050000}"/>
    <hyperlink ref="T1452" r:id="rId1468" display="https://storage.googleapis.com/glide-prod.appspot.com/uploads-v2/ly7o78grxPaC6KdgvbpS/pub/3aRdSog0vUtuqPE8AJKD.png" xr:uid="{00000000-0004-0000-0C00-0000BB050000}"/>
    <hyperlink ref="T1453" r:id="rId1469" display="https://storage.googleapis.com/glide-prod.appspot.com/uploads-v2/ly7o78grxPaC6KdgvbpS/pub/3aRdSog0vUtuqPE8AJKD.png" xr:uid="{00000000-0004-0000-0C00-0000BC050000}"/>
    <hyperlink ref="T1454" r:id="rId1470" display="https://storage.googleapis.com/glide-prod.appspot.com/uploads-v2/ly7o78grxPaC6KdgvbpS/pub/3aRdSog0vUtuqPE8AJKD.png" xr:uid="{00000000-0004-0000-0C00-0000BD050000}"/>
    <hyperlink ref="T1455" r:id="rId1471" display="https://storage.googleapis.com/glide-prod.appspot.com/uploads-v2/ly7o78grxPaC6KdgvbpS/pub/3aRdSog0vUtuqPE8AJKD.png" xr:uid="{00000000-0004-0000-0C00-0000BE050000}"/>
    <hyperlink ref="T1456" r:id="rId1472" display="https://storage.googleapis.com/glide-prod.appspot.com/uploads-v2/ly7o78grxPaC6KdgvbpS/pub/3aRdSog0vUtuqPE8AJKD.png" xr:uid="{00000000-0004-0000-0C00-0000BF050000}"/>
    <hyperlink ref="AA1456" r:id="rId1473" display="https://storage.googleapis.com/glide-prod.appspot.com/uploads-v2/ly7o78grxPaC6KdgvbpS/pub/iLyWrzA2RRCcE61D8gq7.jpg" xr:uid="{00000000-0004-0000-0C00-0000C0050000}"/>
    <hyperlink ref="T1457" r:id="rId1474" display="https://storage.googleapis.com/glide-prod.appspot.com/uploads-v2/ly7o78grxPaC6KdgvbpS/pub/3aRdSog0vUtuqPE8AJKD.png" xr:uid="{00000000-0004-0000-0C00-0000C1050000}"/>
    <hyperlink ref="T1458" r:id="rId1475" display="https://storage.googleapis.com/glide-prod.appspot.com/uploads-v2/ly7o78grxPaC6KdgvbpS/pub/3aRdSog0vUtuqPE8AJKD.png" xr:uid="{00000000-0004-0000-0C00-0000C2050000}"/>
    <hyperlink ref="T1459" r:id="rId1476" display="https://storage.googleapis.com/glide-prod.appspot.com/uploads-v2/ly7o78grxPaC6KdgvbpS/pub/3aRdSog0vUtuqPE8AJKD.png" xr:uid="{00000000-0004-0000-0C00-0000C3050000}"/>
    <hyperlink ref="T1460" r:id="rId1477" display="https://storage.googleapis.com/glide-prod.appspot.com/uploads-v2/ly7o78grxPaC6KdgvbpS/pub/3aRdSog0vUtuqPE8AJKD.png" xr:uid="{00000000-0004-0000-0C00-0000C4050000}"/>
    <hyperlink ref="T1461" r:id="rId1478" display="https://storage.googleapis.com/glide-prod.appspot.com/uploads-v2/ly7o78grxPaC6KdgvbpS/pub/3aRdSog0vUtuqPE8AJKD.png" xr:uid="{00000000-0004-0000-0C00-0000C5050000}"/>
    <hyperlink ref="T1462" r:id="rId1479" display="https://storage.googleapis.com/glide-prod.appspot.com/uploads-v2/ly7o78grxPaC6KdgvbpS/pub/3aRdSog0vUtuqPE8AJKD.png" xr:uid="{00000000-0004-0000-0C00-0000C6050000}"/>
    <hyperlink ref="AA1462" r:id="rId1480" display="https://storage.googleapis.com/glide-prod.appspot.com/uploads-v2/ly7o78grxPaC6KdgvbpS/pub/OiQbi7hopxbNQY1peOq6.jpg" xr:uid="{00000000-0004-0000-0C00-0000C7050000}"/>
    <hyperlink ref="T1463" r:id="rId1481" display="https://storage.googleapis.com/glide-prod.appspot.com/uploads-v2/ly7o78grxPaC6KdgvbpS/pub/3aRdSog0vUtuqPE8AJKD.png" xr:uid="{00000000-0004-0000-0C00-0000C8050000}"/>
    <hyperlink ref="T1464" r:id="rId1482" display="https://storage.googleapis.com/glide-prod.appspot.com/uploads-v2/ly7o78grxPaC6KdgvbpS/pub/3aRdSog0vUtuqPE8AJKD.png" xr:uid="{00000000-0004-0000-0C00-0000C9050000}"/>
    <hyperlink ref="T1465" r:id="rId1483" display="https://storage.googleapis.com/glide-prod.appspot.com/uploads-v2/ly7o78grxPaC6KdgvbpS/pub/3aRdSog0vUtuqPE8AJKD.png" xr:uid="{00000000-0004-0000-0C00-0000CA050000}"/>
    <hyperlink ref="T1466" r:id="rId1484" display="https://storage.googleapis.com/glide-prod.appspot.com/uploads-v2/ly7o78grxPaC6KdgvbpS/pub/3aRdSog0vUtuqPE8AJKD.png" xr:uid="{00000000-0004-0000-0C00-0000CB050000}"/>
    <hyperlink ref="T1467" r:id="rId1485" display="https://storage.googleapis.com/glide-prod.appspot.com/uploads-v2/ly7o78grxPaC6KdgvbpS/pub/3aRdSog0vUtuqPE8AJKD.png" xr:uid="{00000000-0004-0000-0C00-0000CC050000}"/>
    <hyperlink ref="T1468" r:id="rId1486" display="https://storage.googleapis.com/glide-prod.appspot.com/uploads-v2/ly7o78grxPaC6KdgvbpS/pub/3aRdSog0vUtuqPE8AJKD.png" xr:uid="{00000000-0004-0000-0C00-0000CD050000}"/>
    <hyperlink ref="T1469" r:id="rId1487" display="https://storage.googleapis.com/glide-prod.appspot.com/uploads-v2/ly7o78grxPaC6KdgvbpS/pub/3aRdSog0vUtuqPE8AJKD.png" xr:uid="{00000000-0004-0000-0C00-0000CE050000}"/>
    <hyperlink ref="T1470" r:id="rId1488" display="https://storage.googleapis.com/glide-prod.appspot.com/uploads-v2/ly7o78grxPaC6KdgvbpS/pub/3aRdSog0vUtuqPE8AJKD.png" xr:uid="{00000000-0004-0000-0C00-0000CF050000}"/>
    <hyperlink ref="T1471" r:id="rId1489" display="https://storage.googleapis.com/glide-prod.appspot.com/uploads-v2/ly7o78grxPaC6KdgvbpS/pub/3aRdSog0vUtuqPE8AJKD.png" xr:uid="{00000000-0004-0000-0C00-0000D0050000}"/>
    <hyperlink ref="AA1471" r:id="rId1490" display="https://storage.googleapis.com/glide-prod.appspot.com/uploads-v2/ly7o78grxPaC6KdgvbpS/pub/rVhZhyQzGlyq98qFXhZt.jpg" xr:uid="{00000000-0004-0000-0C00-0000D1050000}"/>
    <hyperlink ref="T1472" r:id="rId1491" display="https://storage.googleapis.com/glide-prod.appspot.com/uploads-v2/ly7o78grxPaC6KdgvbpS/pub/3aRdSog0vUtuqPE8AJKD.png" xr:uid="{00000000-0004-0000-0C00-0000D2050000}"/>
    <hyperlink ref="T1473" r:id="rId1492" display="https://storage.googleapis.com/glide-prod.appspot.com/uploads-v2/ly7o78grxPaC6KdgvbpS/pub/3aRdSog0vUtuqPE8AJKD.png" xr:uid="{00000000-0004-0000-0C00-0000D3050000}"/>
    <hyperlink ref="T1474" r:id="rId1493" display="https://storage.googleapis.com/glide-prod.appspot.com/uploads-v2/ly7o78grxPaC6KdgvbpS/pub/3aRdSog0vUtuqPE8AJKD.png" xr:uid="{00000000-0004-0000-0C00-0000D4050000}"/>
    <hyperlink ref="T1475" r:id="rId1494" display="https://storage.googleapis.com/glide-prod.appspot.com/uploads-v2/ly7o78grxPaC6KdgvbpS/pub/3aRdSog0vUtuqPE8AJKD.png" xr:uid="{00000000-0004-0000-0C00-0000D5050000}"/>
    <hyperlink ref="T1476" r:id="rId1495" display="https://storage.googleapis.com/glide-prod.appspot.com/uploads-v2/ly7o78grxPaC6KdgvbpS/pub/3aRdSog0vUtuqPE8AJKD.png" xr:uid="{00000000-0004-0000-0C00-0000D6050000}"/>
    <hyperlink ref="T1477" r:id="rId1496" display="https://storage.googleapis.com/glide-prod.appspot.com/uploads-v2/ly7o78grxPaC6KdgvbpS/pub/3aRdSog0vUtuqPE8AJKD.png" xr:uid="{00000000-0004-0000-0C00-0000D7050000}"/>
    <hyperlink ref="T1478" r:id="rId1497" display="https://storage.googleapis.com/glide-prod.appspot.com/uploads-v2/ly7o78grxPaC6KdgvbpS/pub/3aRdSog0vUtuqPE8AJKD.png" xr:uid="{00000000-0004-0000-0C00-0000D8050000}"/>
    <hyperlink ref="AA1478" r:id="rId1498" display="https://storage.googleapis.com/glide-prod.appspot.com/uploads-v2/ly7o78grxPaC6KdgvbpS/pub/pVhJAtCRxQ3IVgkuirsK.heic" xr:uid="{00000000-0004-0000-0C00-0000D9050000}"/>
    <hyperlink ref="T1479" r:id="rId1499" display="https://storage.googleapis.com/glide-prod.appspot.com/uploads-v2/ly7o78grxPaC6KdgvbpS/pub/3aRdSog0vUtuqPE8AJKD.png" xr:uid="{00000000-0004-0000-0C00-0000DA050000}"/>
    <hyperlink ref="T1480" r:id="rId1500" display="https://storage.googleapis.com/glide-prod.appspot.com/uploads-v2/ly7o78grxPaC6KdgvbpS/pub/3aRdSog0vUtuqPE8AJKD.png" xr:uid="{00000000-0004-0000-0C00-0000DB050000}"/>
    <hyperlink ref="AA1480" r:id="rId1501" display="https://storage.googleapis.com/glide-prod.appspot.com/uploads-v2/ly7o78grxPaC6KdgvbpS/pub/28AwjHUVrzqBDpeSYjq7.jpg" xr:uid="{00000000-0004-0000-0C00-0000DC050000}"/>
    <hyperlink ref="T1481" r:id="rId1502" display="https://storage.googleapis.com/glide-prod.appspot.com/uploads-v2/ly7o78grxPaC6KdgvbpS/pub/3aRdSog0vUtuqPE8AJKD.png" xr:uid="{00000000-0004-0000-0C00-0000DD050000}"/>
    <hyperlink ref="T1482" r:id="rId1503" display="https://storage.googleapis.com/glide-prod.appspot.com/uploads-v2/ly7o78grxPaC6KdgvbpS/pub/3aRdSog0vUtuqPE8AJKD.png" xr:uid="{00000000-0004-0000-0C00-0000DE050000}"/>
    <hyperlink ref="AA1482" r:id="rId1504" display="https://storage.googleapis.com/glide-prod.appspot.com/uploads-v2/ly7o78grxPaC6KdgvbpS/pub/zh5pJ3w7iy79ye3nOabU.heic" xr:uid="{00000000-0004-0000-0C00-0000DF050000}"/>
    <hyperlink ref="T1483" r:id="rId1505" display="https://storage.googleapis.com/glide-prod.appspot.com/uploads-v2/ly7o78grxPaC6KdgvbpS/pub/3aRdSog0vUtuqPE8AJKD.png" xr:uid="{00000000-0004-0000-0C00-0000E0050000}"/>
    <hyperlink ref="T1484" r:id="rId1506" display="https://storage.googleapis.com/glide-prod.appspot.com/uploads-v2/ly7o78grxPaC6KdgvbpS/pub/3aRdSog0vUtuqPE8AJKD.png" xr:uid="{00000000-0004-0000-0C00-0000E1050000}"/>
    <hyperlink ref="T1485" r:id="rId1507" display="https://storage.googleapis.com/glide-prod.appspot.com/uploads-v2/ly7o78grxPaC6KdgvbpS/pub/3aRdSog0vUtuqPE8AJKD.png" xr:uid="{00000000-0004-0000-0C00-0000E2050000}"/>
    <hyperlink ref="T1486" r:id="rId1508" display="https://storage.googleapis.com/glide-prod.appspot.com/uploads-v2/ly7o78grxPaC6KdgvbpS/pub/3aRdSog0vUtuqPE8AJKD.png" xr:uid="{00000000-0004-0000-0C00-0000E3050000}"/>
    <hyperlink ref="T1487" r:id="rId1509" display="https://storage.googleapis.com/glide-prod.appspot.com/uploads-v2/ly7o78grxPaC6KdgvbpS/pub/3aRdSog0vUtuqPE8AJKD.png" xr:uid="{00000000-0004-0000-0C00-0000E4050000}"/>
    <hyperlink ref="T1488" r:id="rId1510" display="https://storage.googleapis.com/glide-prod.appspot.com/uploads-v2/ly7o78grxPaC6KdgvbpS/pub/3aRdSog0vUtuqPE8AJKD.png" xr:uid="{00000000-0004-0000-0C00-0000E5050000}"/>
    <hyperlink ref="T1489" r:id="rId1511" display="https://storage.googleapis.com/glide-prod.appspot.com/uploads-v2/ly7o78grxPaC6KdgvbpS/pub/3aRdSog0vUtuqPE8AJKD.png" xr:uid="{00000000-0004-0000-0C00-0000E6050000}"/>
    <hyperlink ref="T1490" r:id="rId1512" display="https://storage.googleapis.com/glide-prod.appspot.com/uploads-v2/ly7o78grxPaC6KdgvbpS/pub/3aRdSog0vUtuqPE8AJKD.png" xr:uid="{00000000-0004-0000-0C00-0000E7050000}"/>
    <hyperlink ref="T1491" r:id="rId1513" display="https://storage.googleapis.com/glide-prod.appspot.com/uploads-v2/ly7o78grxPaC6KdgvbpS/pub/3aRdSog0vUtuqPE8AJKD.png" xr:uid="{00000000-0004-0000-0C00-0000E8050000}"/>
    <hyperlink ref="T1492" r:id="rId1514" display="https://storage.googleapis.com/glide-prod.appspot.com/uploads-v2/ly7o78grxPaC6KdgvbpS/pub/3aRdSog0vUtuqPE8AJKD.png" xr:uid="{00000000-0004-0000-0C00-0000E9050000}"/>
    <hyperlink ref="T1493" r:id="rId1515" display="https://storage.googleapis.com/glide-prod.appspot.com/uploads-v2/ly7o78grxPaC6KdgvbpS/pub/3aRdSog0vUtuqPE8AJKD.png" xr:uid="{00000000-0004-0000-0C00-0000EA050000}"/>
    <hyperlink ref="T1494" r:id="rId1516" display="https://storage.googleapis.com/glide-prod.appspot.com/uploads-v2/ly7o78grxPaC6KdgvbpS/pub/3aRdSog0vUtuqPE8AJKD.png" xr:uid="{00000000-0004-0000-0C00-0000EB050000}"/>
    <hyperlink ref="T1495" r:id="rId1517" display="https://storage.googleapis.com/glide-prod.appspot.com/uploads-v2/ly7o78grxPaC6KdgvbpS/pub/yvtCGRAPIbS0tVLIlehH.png" xr:uid="{00000000-0004-0000-0C00-0000EC050000}"/>
    <hyperlink ref="T1496" r:id="rId1518" display="https://storage.googleapis.com/glide-prod.appspot.com/uploads-v2/ly7o78grxPaC6KdgvbpS/pub/yvtCGRAPIbS0tVLIlehH.png" xr:uid="{00000000-0004-0000-0C00-0000ED050000}"/>
    <hyperlink ref="T1497" r:id="rId1519" display="https://storage.googleapis.com/glide-prod.appspot.com/uploads-v2/ly7o78grxPaC6KdgvbpS/pub/yvtCGRAPIbS0tVLIlehH.png" xr:uid="{00000000-0004-0000-0C00-0000EE050000}"/>
    <hyperlink ref="T1498" r:id="rId1520" display="https://storage.googleapis.com/glide-prod.appspot.com/uploads-v2/ly7o78grxPaC6KdgvbpS/pub/yvtCGRAPIbS0tVLIlehH.png" xr:uid="{00000000-0004-0000-0C00-0000EF050000}"/>
    <hyperlink ref="T1499" r:id="rId1521" display="https://storage.googleapis.com/glide-prod.appspot.com/uploads-v2/ly7o78grxPaC6KdgvbpS/pub/3aRdSog0vUtuqPE8AJKD.png" xr:uid="{00000000-0004-0000-0C00-0000F0050000}"/>
    <hyperlink ref="T1500" r:id="rId1522" display="https://storage.googleapis.com/glide-prod.appspot.com/uploads-v2/ly7o78grxPaC6KdgvbpS/pub/3aRdSog0vUtuqPE8AJKD.png" xr:uid="{00000000-0004-0000-0C00-0000F1050000}"/>
    <hyperlink ref="T1501" r:id="rId1523" display="https://storage.googleapis.com/glide-prod.appspot.com/uploads-v2/ly7o78grxPaC6KdgvbpS/pub/3aRdSog0vUtuqPE8AJKD.png" xr:uid="{00000000-0004-0000-0C00-0000F2050000}"/>
    <hyperlink ref="T1502" r:id="rId1524" display="https://storage.googleapis.com/glide-prod.appspot.com/uploads-v2/ly7o78grxPaC6KdgvbpS/pub/3aRdSog0vUtuqPE8AJKD.png" xr:uid="{00000000-0004-0000-0C00-0000F3050000}"/>
    <hyperlink ref="T1503" r:id="rId1525" display="https://storage.googleapis.com/glide-prod.appspot.com/uploads-v2/ly7o78grxPaC6KdgvbpS/pub/3aRdSog0vUtuqPE8AJKD.png" xr:uid="{00000000-0004-0000-0C00-0000F4050000}"/>
    <hyperlink ref="T1504" r:id="rId1526" display="https://storage.googleapis.com/glide-prod.appspot.com/uploads-v2/ly7o78grxPaC6KdgvbpS/pub/3aRdSog0vUtuqPE8AJKD.png" xr:uid="{00000000-0004-0000-0C00-0000F5050000}"/>
    <hyperlink ref="T1505" r:id="rId1527" display="https://storage.googleapis.com/glide-prod.appspot.com/uploads-v2/ly7o78grxPaC6KdgvbpS/pub/3aRdSog0vUtuqPE8AJKD.png" xr:uid="{00000000-0004-0000-0C00-0000F6050000}"/>
    <hyperlink ref="T1506" r:id="rId1528" display="https://storage.googleapis.com/glide-prod.appspot.com/uploads-v2/ly7o78grxPaC6KdgvbpS/pub/3aRdSog0vUtuqPE8AJKD.png" xr:uid="{00000000-0004-0000-0C00-0000F7050000}"/>
    <hyperlink ref="T1507" r:id="rId1529" display="https://storage.googleapis.com/glide-prod.appspot.com/uploads-v2/ly7o78grxPaC6KdgvbpS/pub/3aRdSog0vUtuqPE8AJKD.png" xr:uid="{00000000-0004-0000-0C00-0000F8050000}"/>
    <hyperlink ref="T1508" r:id="rId1530" display="https://storage.googleapis.com/glide-prod.appspot.com/uploads-v2/ly7o78grxPaC6KdgvbpS/pub/3aRdSog0vUtuqPE8AJKD.png" xr:uid="{00000000-0004-0000-0C00-0000F9050000}"/>
    <hyperlink ref="T1509" r:id="rId1531" display="https://storage.googleapis.com/glide-prod.appspot.com/uploads-v2/ly7o78grxPaC6KdgvbpS/pub/3aRdSog0vUtuqPE8AJKD.png" xr:uid="{00000000-0004-0000-0C00-0000FA050000}"/>
    <hyperlink ref="T1510" r:id="rId1532" display="https://storage.googleapis.com/glide-prod.appspot.com/uploads-v2/ly7o78grxPaC6KdgvbpS/pub/3aRdSog0vUtuqPE8AJKD.png" xr:uid="{00000000-0004-0000-0C00-0000FB050000}"/>
    <hyperlink ref="T1511" r:id="rId1533" display="https://storage.googleapis.com/glide-prod.appspot.com/uploads-v2/ly7o78grxPaC6KdgvbpS/pub/3aRdSog0vUtuqPE8AJKD.png" xr:uid="{00000000-0004-0000-0C00-0000FC050000}"/>
    <hyperlink ref="T1512" r:id="rId1534" display="https://storage.googleapis.com/glide-prod.appspot.com/uploads-v2/ly7o78grxPaC6KdgvbpS/pub/3aRdSog0vUtuqPE8AJKD.png" xr:uid="{00000000-0004-0000-0C00-0000FD050000}"/>
    <hyperlink ref="T1513" r:id="rId1535" display="https://storage.googleapis.com/glide-prod.appspot.com/uploads-v2/ly7o78grxPaC6KdgvbpS/pub/3aRdSog0vUtuqPE8AJKD.png" xr:uid="{00000000-0004-0000-0C00-0000FE050000}"/>
    <hyperlink ref="T1514" r:id="rId1536" display="https://storage.googleapis.com/glide-prod.appspot.com/uploads-v2/ly7o78grxPaC6KdgvbpS/pub/UliJWgpEaBovaFmXi6OW.png" xr:uid="{00000000-0004-0000-0C00-0000FF050000}"/>
    <hyperlink ref="T1515" r:id="rId1537" display="https://storage.googleapis.com/glide-prod.appspot.com/uploads-v2/ly7o78grxPaC6KdgvbpS/pub/UliJWgpEaBovaFmXi6OW.png" xr:uid="{00000000-0004-0000-0C00-000000060000}"/>
    <hyperlink ref="T1516" r:id="rId1538" display="https://storage.googleapis.com/glide-prod.appspot.com/uploads-v2/ly7o78grxPaC6KdgvbpS/pub/UliJWgpEaBovaFmXi6OW.png" xr:uid="{00000000-0004-0000-0C00-000001060000}"/>
    <hyperlink ref="T1517" r:id="rId1539" display="https://storage.googleapis.com/glide-prod.appspot.com/uploads-v2/ly7o78grxPaC6KdgvbpS/pub/UliJWgpEaBovaFmXi6OW.png" xr:uid="{00000000-0004-0000-0C00-000002060000}"/>
    <hyperlink ref="T1518" r:id="rId1540" display="https://storage.googleapis.com/glide-prod.appspot.com/uploads-v2/ly7o78grxPaC6KdgvbpS/pub/UliJWgpEaBovaFmXi6OW.png" xr:uid="{00000000-0004-0000-0C00-000003060000}"/>
    <hyperlink ref="T1519" r:id="rId1541" display="https://storage.googleapis.com/glide-prod.appspot.com/uploads-v2/ly7o78grxPaC6KdgvbpS/pub/UliJWgpEaBovaFmXi6OW.png" xr:uid="{00000000-0004-0000-0C00-000004060000}"/>
    <hyperlink ref="T1520" r:id="rId1542" display="https://storage.googleapis.com/glide-prod.appspot.com/uploads-v2/ly7o78grxPaC6KdgvbpS/pub/UliJWgpEaBovaFmXi6OW.png" xr:uid="{00000000-0004-0000-0C00-000005060000}"/>
    <hyperlink ref="T1521" r:id="rId1543" display="https://storage.googleapis.com/glide-prod.appspot.com/uploads-v2/ly7o78grxPaC6KdgvbpS/pub/UliJWgpEaBovaFmXi6OW.png" xr:uid="{00000000-0004-0000-0C00-000006060000}"/>
    <hyperlink ref="T1522" r:id="rId1544" display="https://storage.googleapis.com/glide-prod.appspot.com/uploads-v2/ly7o78grxPaC6KdgvbpS/pub/UliJWgpEaBovaFmXi6OW.png" xr:uid="{00000000-0004-0000-0C00-000007060000}"/>
    <hyperlink ref="T1523" r:id="rId1545" display="https://storage.googleapis.com/glide-prod.appspot.com/uploads-v2/ly7o78grxPaC6KdgvbpS/pub/UliJWgpEaBovaFmXi6OW.png" xr:uid="{00000000-0004-0000-0C00-000008060000}"/>
    <hyperlink ref="T1524" r:id="rId1546" display="https://storage.googleapis.com/glide-prod.appspot.com/uploads-v2/ly7o78grxPaC6KdgvbpS/pub/UliJWgpEaBovaFmXi6OW.png" xr:uid="{00000000-0004-0000-0C00-000009060000}"/>
    <hyperlink ref="T1525" r:id="rId1547" display="https://storage.googleapis.com/glide-prod.appspot.com/uploads-v2/ly7o78grxPaC6KdgvbpS/pub/UliJWgpEaBovaFmXi6OW.png" xr:uid="{00000000-0004-0000-0C00-00000A060000}"/>
    <hyperlink ref="T1526" r:id="rId1548" display="https://storage.googleapis.com/glide-prod.appspot.com/uploads-v2/ly7o78grxPaC6KdgvbpS/pub/UliJWgpEaBovaFmXi6OW.png" xr:uid="{00000000-0004-0000-0C00-00000B060000}"/>
    <hyperlink ref="T1527" r:id="rId1549" display="https://storage.googleapis.com/glide-prod.appspot.com/uploads-v2/ly7o78grxPaC6KdgvbpS/pub/UliJWgpEaBovaFmXi6OW.png" xr:uid="{00000000-0004-0000-0C00-00000C060000}"/>
    <hyperlink ref="T1528" r:id="rId1550" display="https://storage.googleapis.com/glide-prod.appspot.com/uploads-v2/ly7o78grxPaC6KdgvbpS/pub/UliJWgpEaBovaFmXi6OW.png" xr:uid="{00000000-0004-0000-0C00-00000D060000}"/>
    <hyperlink ref="T1529" r:id="rId1551" display="https://storage.googleapis.com/glide-prod.appspot.com/uploads-v2/ly7o78grxPaC6KdgvbpS/pub/3aRdSog0vUtuqPE8AJKD.png" xr:uid="{00000000-0004-0000-0C00-00000E060000}"/>
    <hyperlink ref="T1530" r:id="rId1552" display="https://storage.googleapis.com/glide-prod.appspot.com/uploads-v2/ly7o78grxPaC6KdgvbpS/pub/3aRdSog0vUtuqPE8AJKD.png" xr:uid="{00000000-0004-0000-0C00-00000F060000}"/>
    <hyperlink ref="T1531" r:id="rId1553" display="https://storage.googleapis.com/glide-prod.appspot.com/uploads-v2/ly7o78grxPaC6KdgvbpS/pub/3aRdSog0vUtuqPE8AJKD.png" xr:uid="{00000000-0004-0000-0C00-000010060000}"/>
    <hyperlink ref="T1532" r:id="rId1554" display="https://storage.googleapis.com/glide-prod.appspot.com/uploads-v2/ly7o78grxPaC6KdgvbpS/pub/3aRdSog0vUtuqPE8AJKD.png" xr:uid="{00000000-0004-0000-0C00-000011060000}"/>
    <hyperlink ref="T1533" r:id="rId1555" display="https://storage.googleapis.com/glide-prod.appspot.com/uploads-v2/ly7o78grxPaC6KdgvbpS/pub/3aRdSog0vUtuqPE8AJKD.png" xr:uid="{00000000-0004-0000-0C00-000012060000}"/>
    <hyperlink ref="T1534" r:id="rId1556" display="https://storage.googleapis.com/glide-prod.appspot.com/uploads-v2/ly7o78grxPaC6KdgvbpS/pub/3aRdSog0vUtuqPE8AJKD.png" xr:uid="{00000000-0004-0000-0C00-000013060000}"/>
    <hyperlink ref="T1535" r:id="rId1557" display="https://storage.googleapis.com/glide-prod.appspot.com/uploads-v2/ly7o78grxPaC6KdgvbpS/pub/3aRdSog0vUtuqPE8AJKD.png" xr:uid="{00000000-0004-0000-0C00-000014060000}"/>
    <hyperlink ref="T1536" r:id="rId1558" display="https://storage.googleapis.com/glide-prod.appspot.com/uploads-v2/ly7o78grxPaC6KdgvbpS/pub/3aRdSog0vUtuqPE8AJKD.png" xr:uid="{00000000-0004-0000-0C00-000015060000}"/>
    <hyperlink ref="T1537" r:id="rId1559" display="https://storage.googleapis.com/glide-prod.appspot.com/uploads-v2/ly7o78grxPaC6KdgvbpS/pub/3aRdSog0vUtuqPE8AJKD.png" xr:uid="{00000000-0004-0000-0C00-000016060000}"/>
    <hyperlink ref="T1538" r:id="rId1560" display="https://storage.googleapis.com/glide-prod.appspot.com/uploads-v2/ly7o78grxPaC6KdgvbpS/pub/3aRdSog0vUtuqPE8AJKD.png" xr:uid="{00000000-0004-0000-0C00-000017060000}"/>
    <hyperlink ref="T1539" r:id="rId1561" display="https://storage.googleapis.com/glide-prod.appspot.com/uploads-v2/ly7o78grxPaC6KdgvbpS/pub/3aRdSog0vUtuqPE8AJKD.png" xr:uid="{00000000-0004-0000-0C00-00001806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J373"/>
  <sheetViews>
    <sheetView workbookViewId="0"/>
  </sheetViews>
  <sheetFormatPr baseColWidth="10" defaultColWidth="12.6640625" defaultRowHeight="15.75" customHeight="1"/>
  <sheetData>
    <row r="1" spans="1:10">
      <c r="A1" s="64" t="str">
        <f ca="1">IFERROR(__xludf.DUMMYFUNCTION("QUERY(IMPORTRANGE(""https://docs.google.com/spreadsheets/d/1yIQawtPURpAfKN2c7pbvj8vebBir9_EGgVwIDePlv5w/edit?pli=1#gid=1101008617"", ""CONTROL LIMPIEZA E HIGIENIZACIÓN!A1:I10000""), ""SELECT * WHERE Col2 IS NOT NULL"", 0)"),"")</f>
        <v/>
      </c>
      <c r="B1" s="5" t="str">
        <f ca="1">IFERROR(__xludf.DUMMYFUNCTION("""COMPUTED_VALUE"""),"NOMBRE DEL RECURSO, EQUIPO O INSTALACIÓN")</f>
        <v>NOMBRE DEL RECURSO, EQUIPO O INSTALACIÓN</v>
      </c>
      <c r="C1" s="5" t="str">
        <f ca="1">IFERROR(__xludf.DUMMYFUNCTION("""COMPUTED_VALUE"""),"ZONA")</f>
        <v>ZONA</v>
      </c>
      <c r="D1" s="5" t="str">
        <f ca="1">IFERROR(__xludf.DUMMYFUNCTION("""COMPUTED_VALUE"""),"MÉTODO DE L&amp;H")</f>
        <v>MÉTODO DE L&amp;H</v>
      </c>
      <c r="E1" s="5" t="str">
        <f ca="1">IFERROR(__xludf.DUMMYFUNCTION("""COMPUTED_VALUE"""),"MATERIAL DE L&amp;H")</f>
        <v>MATERIAL DE L&amp;H</v>
      </c>
      <c r="F1" s="5"/>
      <c r="G1" s="5"/>
      <c r="H1" s="5" t="str">
        <f ca="1">IFERROR(__xludf.DUMMYFUNCTION("""COMPUTED_VALUE"""),"VERFICACIÓN")</f>
        <v>VERFICACIÓN</v>
      </c>
      <c r="I1" s="5" t="str">
        <f ca="1">IFERROR(__xludf.DUMMYFUNCTION("""COMPUTED_VALUE"""),"MATERIAL DE L&amp;H")</f>
        <v>MATERIAL DE L&amp;H</v>
      </c>
      <c r="J1" s="5" t="s">
        <v>41</v>
      </c>
    </row>
    <row r="2" spans="1:10">
      <c r="A2" s="65"/>
      <c r="B2" s="5" t="str">
        <f ca="1">IFERROR(__xludf.DUMMYFUNCTION("""COMPUTED_VALUE"""),"ALICATE DE PRESION HOMBRE SOLO DE 8""")</f>
        <v>ALICATE DE PRESION HOMBRE SOLO DE 8"</v>
      </c>
      <c r="C2" s="5" t="str">
        <f ca="1">IFERROR(__xludf.DUMMYFUNCTION("""COMPUTED_VALUE"""),"VERDE")</f>
        <v>VERDE</v>
      </c>
      <c r="D2" s="5" t="str">
        <f ca="1">IFERROR(__xludf.DUMMYFUNCTION("""COMPUTED_VALUE"""),"COP")</f>
        <v>COP</v>
      </c>
      <c r="E2" s="5" t="str">
        <f ca="1">IFERROR(__xludf.DUMMYFUNCTION("""COMPUTED_VALUE"""),"DSD")</f>
        <v>DSD</v>
      </c>
      <c r="F2" s="5" t="b">
        <f ca="1">IFERROR(__xludf.DUMMYFUNCTION("""COMPUTED_VALUE"""),TRUE)</f>
        <v>1</v>
      </c>
      <c r="G2" s="5" t="str">
        <f ca="1">IFERROR(__xludf.DUMMYFUNCTION("""COMPUTED_VALUE"""),"JEFFERSON BRAVO")</f>
        <v>JEFFERSON BRAVO</v>
      </c>
      <c r="H2" s="5"/>
      <c r="I2" s="5"/>
      <c r="J2" s="5" t="str">
        <f t="shared" ref="J2:J256" ca="1" si="0">IF(AND(F2=TRUE, B1&lt;&gt;""), "Limpieza realizada", IF(B2="", "", "Limpiezas no realizadas"))</f>
        <v>Limpieza realizada</v>
      </c>
    </row>
    <row r="3" spans="1:10">
      <c r="A3" s="65"/>
      <c r="B3" s="5" t="str">
        <f ca="1">IFERROR(__xludf.DUMMYFUNCTION("""COMPUTED_VALUE"""),"JUEGO LLAVES BRISTOL 1,5 - 12 MM")</f>
        <v>JUEGO LLAVES BRISTOL 1,5 - 12 MM</v>
      </c>
      <c r="C3" s="5" t="str">
        <f ca="1">IFERROR(__xludf.DUMMYFUNCTION("""COMPUTED_VALUE"""),"VERDE")</f>
        <v>VERDE</v>
      </c>
      <c r="D3" s="5" t="str">
        <f ca="1">IFERROR(__xludf.DUMMYFUNCTION("""COMPUTED_VALUE"""),"COP")</f>
        <v>COP</v>
      </c>
      <c r="E3" s="5" t="str">
        <f ca="1">IFERROR(__xludf.DUMMYFUNCTION("""COMPUTED_VALUE"""),"DSD")</f>
        <v>DSD</v>
      </c>
      <c r="F3" s="5" t="b">
        <f ca="1">IFERROR(__xludf.DUMMYFUNCTION("""COMPUTED_VALUE"""),TRUE)</f>
        <v>1</v>
      </c>
      <c r="G3" s="5" t="str">
        <f ca="1">IFERROR(__xludf.DUMMYFUNCTION("""COMPUTED_VALUE"""),"JEFFERSON BRAVO")</f>
        <v>JEFFERSON BRAVO</v>
      </c>
      <c r="H3" s="5"/>
      <c r="I3" s="5"/>
      <c r="J3" s="5" t="str">
        <f t="shared" ca="1" si="0"/>
        <v>Limpieza realizada</v>
      </c>
    </row>
    <row r="4" spans="1:10">
      <c r="A4" s="65"/>
      <c r="B4" s="5" t="str">
        <f ca="1">IFERROR(__xludf.DUMMYFUNCTION("""COMPUTED_VALUE"""),"NIVEL 6""")</f>
        <v>NIVEL 6"</v>
      </c>
      <c r="C4" s="5" t="str">
        <f ca="1">IFERROR(__xludf.DUMMYFUNCTION("""COMPUTED_VALUE"""),"VERDE")</f>
        <v>VERDE</v>
      </c>
      <c r="D4" s="5" t="str">
        <f ca="1">IFERROR(__xludf.DUMMYFUNCTION("""COMPUTED_VALUE"""),"COP")</f>
        <v>COP</v>
      </c>
      <c r="E4" s="5" t="str">
        <f ca="1">IFERROR(__xludf.DUMMYFUNCTION("""COMPUTED_VALUE"""),"DSD")</f>
        <v>DSD</v>
      </c>
      <c r="F4" s="5" t="b">
        <f ca="1">IFERROR(__xludf.DUMMYFUNCTION("""COMPUTED_VALUE"""),TRUE)</f>
        <v>1</v>
      </c>
      <c r="G4" s="5" t="str">
        <f ca="1">IFERROR(__xludf.DUMMYFUNCTION("""COMPUTED_VALUE"""),"JEFFERSON BRAVO")</f>
        <v>JEFFERSON BRAVO</v>
      </c>
      <c r="H4" s="5"/>
      <c r="I4" s="5"/>
      <c r="J4" s="5" t="str">
        <f t="shared" ca="1" si="0"/>
        <v>Limpieza realizada</v>
      </c>
    </row>
    <row r="5" spans="1:10">
      <c r="A5" s="65"/>
      <c r="B5" s="5" t="str">
        <f ca="1">IFERROR(__xludf.DUMMYFUNCTION("""COMPUTED_VALUE"""),"ALICATE AISLADO DE 8""")</f>
        <v>ALICATE AISLADO DE 8"</v>
      </c>
      <c r="C5" s="5" t="str">
        <f ca="1">IFERROR(__xludf.DUMMYFUNCTION("""COMPUTED_VALUE"""),"VERDE")</f>
        <v>VERDE</v>
      </c>
      <c r="D5" s="5" t="str">
        <f ca="1">IFERROR(__xludf.DUMMYFUNCTION("""COMPUTED_VALUE"""),"COP")</f>
        <v>COP</v>
      </c>
      <c r="E5" s="5" t="str">
        <f ca="1">IFERROR(__xludf.DUMMYFUNCTION("""COMPUTED_VALUE"""),"DSD")</f>
        <v>DSD</v>
      </c>
      <c r="F5" s="5" t="b">
        <f ca="1">IFERROR(__xludf.DUMMYFUNCTION("""COMPUTED_VALUE"""),TRUE)</f>
        <v>1</v>
      </c>
      <c r="G5" s="5" t="str">
        <f ca="1">IFERROR(__xludf.DUMMYFUNCTION("""COMPUTED_VALUE"""),"JEFFERSON BRAVO")</f>
        <v>JEFFERSON BRAVO</v>
      </c>
      <c r="H5" s="5"/>
      <c r="I5" s="5"/>
      <c r="J5" s="5" t="str">
        <f t="shared" ca="1" si="0"/>
        <v>Limpieza realizada</v>
      </c>
    </row>
    <row r="6" spans="1:10">
      <c r="A6" s="65"/>
      <c r="B6" s="5" t="str">
        <f ca="1">IFERROR(__xludf.DUMMYFUNCTION("""COMPUTED_VALUE"""),"DESTORNILLADOR DE PALA 1/8"" X 3""")</f>
        <v>DESTORNILLADOR DE PALA 1/8" X 3"</v>
      </c>
      <c r="C6" s="5" t="str">
        <f ca="1">IFERROR(__xludf.DUMMYFUNCTION("""COMPUTED_VALUE"""),"VERDE")</f>
        <v>VERDE</v>
      </c>
      <c r="D6" s="5" t="str">
        <f ca="1">IFERROR(__xludf.DUMMYFUNCTION("""COMPUTED_VALUE"""),"COP")</f>
        <v>COP</v>
      </c>
      <c r="E6" s="5" t="str">
        <f ca="1">IFERROR(__xludf.DUMMYFUNCTION("""COMPUTED_VALUE"""),"DSD")</f>
        <v>DSD</v>
      </c>
      <c r="F6" s="5" t="b">
        <f ca="1">IFERROR(__xludf.DUMMYFUNCTION("""COMPUTED_VALUE"""),TRUE)</f>
        <v>1</v>
      </c>
      <c r="G6" s="5" t="str">
        <f ca="1">IFERROR(__xludf.DUMMYFUNCTION("""COMPUTED_VALUE"""),"JEFFERSON BRAVO")</f>
        <v>JEFFERSON BRAVO</v>
      </c>
      <c r="H6" s="5"/>
      <c r="I6" s="5"/>
      <c r="J6" s="5" t="str">
        <f t="shared" ca="1" si="0"/>
        <v>Limpieza realizada</v>
      </c>
    </row>
    <row r="7" spans="1:10">
      <c r="A7" s="65"/>
      <c r="B7" s="5" t="str">
        <f ca="1">IFERROR(__xludf.DUMMYFUNCTION("""COMPUTED_VALUE"""),"FLEXOMETRO 5 MTS")</f>
        <v>FLEXOMETRO 5 MTS</v>
      </c>
      <c r="C7" s="5" t="str">
        <f ca="1">IFERROR(__xludf.DUMMYFUNCTION("""COMPUTED_VALUE"""),"VERDE")</f>
        <v>VERDE</v>
      </c>
      <c r="D7" s="5" t="str">
        <f ca="1">IFERROR(__xludf.DUMMYFUNCTION("""COMPUTED_VALUE"""),"COP")</f>
        <v>COP</v>
      </c>
      <c r="E7" s="5" t="str">
        <f ca="1">IFERROR(__xludf.DUMMYFUNCTION("""COMPUTED_VALUE"""),"DSD")</f>
        <v>DSD</v>
      </c>
      <c r="F7" s="5" t="b">
        <f ca="1">IFERROR(__xludf.DUMMYFUNCTION("""COMPUTED_VALUE"""),TRUE)</f>
        <v>1</v>
      </c>
      <c r="G7" s="5" t="str">
        <f ca="1">IFERROR(__xludf.DUMMYFUNCTION("""COMPUTED_VALUE"""),"JEFFERSON BRAVO")</f>
        <v>JEFFERSON BRAVO</v>
      </c>
      <c r="H7" s="5"/>
      <c r="I7" s="5"/>
      <c r="J7" s="5" t="str">
        <f t="shared" ca="1" si="0"/>
        <v>Limpieza realizada</v>
      </c>
    </row>
    <row r="8" spans="1:10">
      <c r="A8" s="65"/>
      <c r="B8" s="5" t="str">
        <f ca="1">IFERROR(__xludf.DUMMYFUNCTION("""COMPUTED_VALUE"""),"DESTORNILLADOR DE PALA 1/4"" X 5""")</f>
        <v>DESTORNILLADOR DE PALA 1/4" X 5"</v>
      </c>
      <c r="C8" s="5" t="str">
        <f ca="1">IFERROR(__xludf.DUMMYFUNCTION("""COMPUTED_VALUE"""),"VERDE")</f>
        <v>VERDE</v>
      </c>
      <c r="D8" s="5" t="str">
        <f ca="1">IFERROR(__xludf.DUMMYFUNCTION("""COMPUTED_VALUE"""),"COP")</f>
        <v>COP</v>
      </c>
      <c r="E8" s="5" t="str">
        <f ca="1">IFERROR(__xludf.DUMMYFUNCTION("""COMPUTED_VALUE"""),"DSD")</f>
        <v>DSD</v>
      </c>
      <c r="F8" s="5" t="b">
        <f ca="1">IFERROR(__xludf.DUMMYFUNCTION("""COMPUTED_VALUE"""),TRUE)</f>
        <v>1</v>
      </c>
      <c r="G8" s="5" t="str">
        <f ca="1">IFERROR(__xludf.DUMMYFUNCTION("""COMPUTED_VALUE"""),"JEFFERSON BRAVO")</f>
        <v>JEFFERSON BRAVO</v>
      </c>
      <c r="H8" s="5"/>
      <c r="I8" s="5"/>
      <c r="J8" s="5" t="str">
        <f t="shared" ca="1" si="0"/>
        <v>Limpieza realizada</v>
      </c>
    </row>
    <row r="9" spans="1:10">
      <c r="A9" s="65"/>
      <c r="B9" s="5" t="str">
        <f ca="1">IFERROR(__xludf.DUMMYFUNCTION("""COMPUTED_VALUE"""),"DESTORNILLADOR DE ESTRELLA 1/4"" X 5""")</f>
        <v>DESTORNILLADOR DE ESTRELLA 1/4" X 5"</v>
      </c>
      <c r="C9" s="5" t="str">
        <f ca="1">IFERROR(__xludf.DUMMYFUNCTION("""COMPUTED_VALUE"""),"VERDE")</f>
        <v>VERDE</v>
      </c>
      <c r="D9" s="5" t="str">
        <f ca="1">IFERROR(__xludf.DUMMYFUNCTION("""COMPUTED_VALUE"""),"COP")</f>
        <v>COP</v>
      </c>
      <c r="E9" s="5" t="str">
        <f ca="1">IFERROR(__xludf.DUMMYFUNCTION("""COMPUTED_VALUE"""),"DSD")</f>
        <v>DSD</v>
      </c>
      <c r="F9" s="5" t="b">
        <f ca="1">IFERROR(__xludf.DUMMYFUNCTION("""COMPUTED_VALUE"""),TRUE)</f>
        <v>1</v>
      </c>
      <c r="G9" s="5" t="str">
        <f ca="1">IFERROR(__xludf.DUMMYFUNCTION("""COMPUTED_VALUE"""),"JEFFERSON BRAVO")</f>
        <v>JEFFERSON BRAVO</v>
      </c>
      <c r="H9" s="5"/>
      <c r="I9" s="5"/>
      <c r="J9" s="5" t="str">
        <f t="shared" ca="1" si="0"/>
        <v>Limpieza realizada</v>
      </c>
    </row>
    <row r="10" spans="1:10">
      <c r="A10" s="65"/>
      <c r="B10" s="5" t="str">
        <f ca="1">IFERROR(__xludf.DUMMYFUNCTION("""COMPUTED_VALUE"""),"ALICATE CORTAFRIO 7""")</f>
        <v>ALICATE CORTAFRIO 7"</v>
      </c>
      <c r="C10" s="5" t="str">
        <f ca="1">IFERROR(__xludf.DUMMYFUNCTION("""COMPUTED_VALUE"""),"VERDE")</f>
        <v>VERDE</v>
      </c>
      <c r="D10" s="5" t="str">
        <f ca="1">IFERROR(__xludf.DUMMYFUNCTION("""COMPUTED_VALUE"""),"COP")</f>
        <v>COP</v>
      </c>
      <c r="E10" s="5" t="str">
        <f ca="1">IFERROR(__xludf.DUMMYFUNCTION("""COMPUTED_VALUE"""),"DSD")</f>
        <v>DSD</v>
      </c>
      <c r="F10" s="5" t="b">
        <f ca="1">IFERROR(__xludf.DUMMYFUNCTION("""COMPUTED_VALUE"""),TRUE)</f>
        <v>1</v>
      </c>
      <c r="G10" s="5" t="str">
        <f ca="1">IFERROR(__xludf.DUMMYFUNCTION("""COMPUTED_VALUE"""),"JEFFERSON BRAVO")</f>
        <v>JEFFERSON BRAVO</v>
      </c>
      <c r="H10" s="5"/>
      <c r="I10" s="5"/>
      <c r="J10" s="5" t="str">
        <f t="shared" ca="1" si="0"/>
        <v>Limpieza realizada</v>
      </c>
    </row>
    <row r="11" spans="1:10">
      <c r="A11" s="65"/>
      <c r="B11" s="5" t="str">
        <f ca="1">IFERROR(__xludf.DUMMYFUNCTION("""COMPUTED_VALUE"""),"ALICATE PUNTA LARGA STANLEY REF. 84-101")</f>
        <v>ALICATE PUNTA LARGA STANLEY REF. 84-101</v>
      </c>
      <c r="C11" s="5" t="str">
        <f ca="1">IFERROR(__xludf.DUMMYFUNCTION("""COMPUTED_VALUE"""),"VERDE")</f>
        <v>VERDE</v>
      </c>
      <c r="D11" s="5" t="str">
        <f ca="1">IFERROR(__xludf.DUMMYFUNCTION("""COMPUTED_VALUE"""),"COP")</f>
        <v>COP</v>
      </c>
      <c r="E11" s="5" t="str">
        <f ca="1">IFERROR(__xludf.DUMMYFUNCTION("""COMPUTED_VALUE"""),"DSD")</f>
        <v>DSD</v>
      </c>
      <c r="F11" s="5" t="b">
        <f ca="1">IFERROR(__xludf.DUMMYFUNCTION("""COMPUTED_VALUE"""),TRUE)</f>
        <v>1</v>
      </c>
      <c r="G11" s="5" t="str">
        <f ca="1">IFERROR(__xludf.DUMMYFUNCTION("""COMPUTED_VALUE"""),"JEFFERSON BRAVO")</f>
        <v>JEFFERSON BRAVO</v>
      </c>
      <c r="H11" s="5"/>
      <c r="I11" s="5"/>
      <c r="J11" s="5" t="str">
        <f t="shared" ca="1" si="0"/>
        <v>Limpieza realizada</v>
      </c>
    </row>
    <row r="12" spans="1:10">
      <c r="A12" s="65"/>
      <c r="B12" s="5" t="str">
        <f ca="1">IFERROR(__xludf.DUMMYFUNCTION("""COMPUTED_VALUE"""),"MARTILLO DE BOLA DE 1 LIBRA")</f>
        <v>MARTILLO DE BOLA DE 1 LIBRA</v>
      </c>
      <c r="C12" s="5" t="str">
        <f ca="1">IFERROR(__xludf.DUMMYFUNCTION("""COMPUTED_VALUE"""),"VERDE")</f>
        <v>VERDE</v>
      </c>
      <c r="D12" s="5" t="str">
        <f ca="1">IFERROR(__xludf.DUMMYFUNCTION("""COMPUTED_VALUE"""),"COP")</f>
        <v>COP</v>
      </c>
      <c r="E12" s="5" t="str">
        <f ca="1">IFERROR(__xludf.DUMMYFUNCTION("""COMPUTED_VALUE"""),"DSD")</f>
        <v>DSD</v>
      </c>
      <c r="F12" s="5" t="b">
        <f ca="1">IFERROR(__xludf.DUMMYFUNCTION("""COMPUTED_VALUE"""),TRUE)</f>
        <v>1</v>
      </c>
      <c r="G12" s="5" t="str">
        <f ca="1">IFERROR(__xludf.DUMMYFUNCTION("""COMPUTED_VALUE"""),"JEFFERSON BRAVO")</f>
        <v>JEFFERSON BRAVO</v>
      </c>
      <c r="H12" s="5"/>
      <c r="I12" s="5"/>
      <c r="J12" s="5" t="str">
        <f t="shared" ca="1" si="0"/>
        <v>Limpieza realizada</v>
      </c>
    </row>
    <row r="13" spans="1:10">
      <c r="A13" s="65"/>
      <c r="B13" s="5" t="str">
        <f ca="1">IFERROR(__xludf.DUMMYFUNCTION("""COMPUTED_VALUE"""),"DESTORNILLADOR DE ESTRIA 1/8""""*3""""""")</f>
        <v>DESTORNILLADOR DE ESTRIA 1/8""*3"""</v>
      </c>
      <c r="C13" s="5" t="str">
        <f ca="1">IFERROR(__xludf.DUMMYFUNCTION("""COMPUTED_VALUE"""),"VERDE")</f>
        <v>VERDE</v>
      </c>
      <c r="D13" s="5" t="str">
        <f ca="1">IFERROR(__xludf.DUMMYFUNCTION("""COMPUTED_VALUE"""),"COP")</f>
        <v>COP</v>
      </c>
      <c r="E13" s="5" t="str">
        <f ca="1">IFERROR(__xludf.DUMMYFUNCTION("""COMPUTED_VALUE"""),"DSD")</f>
        <v>DSD</v>
      </c>
      <c r="F13" s="5" t="b">
        <f ca="1">IFERROR(__xludf.DUMMYFUNCTION("""COMPUTED_VALUE"""),TRUE)</f>
        <v>1</v>
      </c>
      <c r="G13" s="5" t="str">
        <f ca="1">IFERROR(__xludf.DUMMYFUNCTION("""COMPUTED_VALUE"""),"JEFFERSON BRAVO")</f>
        <v>JEFFERSON BRAVO</v>
      </c>
      <c r="H13" s="5"/>
      <c r="I13" s="5"/>
      <c r="J13" s="5" t="str">
        <f t="shared" ca="1" si="0"/>
        <v>Limpieza realizada</v>
      </c>
    </row>
    <row r="14" spans="1:10">
      <c r="A14" s="65"/>
      <c r="B14" s="5" t="str">
        <f ca="1">IFERROR(__xludf.DUMMYFUNCTION("""COMPUTED_VALUE"""),"JGO COPAS MIL CUADRAN 3/8 STANLEY 86-209")</f>
        <v>JGO COPAS MIL CUADRAN 3/8 STANLEY 86-209</v>
      </c>
      <c r="C14" s="5" t="str">
        <f ca="1">IFERROR(__xludf.DUMMYFUNCTION("""COMPUTED_VALUE"""),"VERDE")</f>
        <v>VERDE</v>
      </c>
      <c r="D14" s="5" t="str">
        <f ca="1">IFERROR(__xludf.DUMMYFUNCTION("""COMPUTED_VALUE"""),"COP")</f>
        <v>COP</v>
      </c>
      <c r="E14" s="5" t="str">
        <f ca="1">IFERROR(__xludf.DUMMYFUNCTION("""COMPUTED_VALUE"""),"DSD")</f>
        <v>DSD</v>
      </c>
      <c r="F14" s="5" t="b">
        <f ca="1">IFERROR(__xludf.DUMMYFUNCTION("""COMPUTED_VALUE"""),TRUE)</f>
        <v>1</v>
      </c>
      <c r="G14" s="5" t="str">
        <f ca="1">IFERROR(__xludf.DUMMYFUNCTION("""COMPUTED_VALUE"""),"JEFFERSON BRAVO")</f>
        <v>JEFFERSON BRAVO</v>
      </c>
      <c r="H14" s="5"/>
      <c r="I14" s="5"/>
      <c r="J14" s="5" t="str">
        <f t="shared" ca="1" si="0"/>
        <v>Limpieza realizada</v>
      </c>
    </row>
    <row r="15" spans="1:10">
      <c r="A15" s="65"/>
      <c r="B15" s="5" t="str">
        <f ca="1">IFERROR(__xludf.DUMMYFUNCTION("""COMPUTED_VALUE"""),"JUEGO LLAVES COMBINADAS (MIXTAS) 6-22 MM")</f>
        <v>JUEGO LLAVES COMBINADAS (MIXTAS) 6-22 MM</v>
      </c>
      <c r="C15" s="5" t="str">
        <f ca="1">IFERROR(__xludf.DUMMYFUNCTION("""COMPUTED_VALUE"""),"VERDE")</f>
        <v>VERDE</v>
      </c>
      <c r="D15" s="5" t="str">
        <f ca="1">IFERROR(__xludf.DUMMYFUNCTION("""COMPUTED_VALUE"""),"COP")</f>
        <v>COP</v>
      </c>
      <c r="E15" s="5" t="str">
        <f ca="1">IFERROR(__xludf.DUMMYFUNCTION("""COMPUTED_VALUE"""),"DSD")</f>
        <v>DSD</v>
      </c>
      <c r="F15" s="5" t="b">
        <f ca="1">IFERROR(__xludf.DUMMYFUNCTION("""COMPUTED_VALUE"""),TRUE)</f>
        <v>1</v>
      </c>
      <c r="G15" s="5" t="str">
        <f ca="1">IFERROR(__xludf.DUMMYFUNCTION("""COMPUTED_VALUE"""),"JEFFERSON BRAVO")</f>
        <v>JEFFERSON BRAVO</v>
      </c>
      <c r="H15" s="5"/>
      <c r="I15" s="5"/>
      <c r="J15" s="5" t="str">
        <f t="shared" ca="1" si="0"/>
        <v>Limpieza realizada</v>
      </c>
    </row>
    <row r="16" spans="1:10">
      <c r="A16" s="65"/>
      <c r="B16" s="5" t="str">
        <f ca="1">IFERROR(__xludf.DUMMYFUNCTION("""COMPUTED_VALUE"""),"ALICATE PUNTA CURVA EXTER 84-272 STANLEY")</f>
        <v>ALICATE PUNTA CURVA EXTER 84-272 STANLEY</v>
      </c>
      <c r="C16" s="5" t="str">
        <f ca="1">IFERROR(__xludf.DUMMYFUNCTION("""COMPUTED_VALUE"""),"VERDE")</f>
        <v>VERDE</v>
      </c>
      <c r="D16" s="5" t="str">
        <f ca="1">IFERROR(__xludf.DUMMYFUNCTION("""COMPUTED_VALUE"""),"COP")</f>
        <v>COP</v>
      </c>
      <c r="E16" s="5" t="str">
        <f ca="1">IFERROR(__xludf.DUMMYFUNCTION("""COMPUTED_VALUE"""),"DSD")</f>
        <v>DSD</v>
      </c>
      <c r="F16" s="5" t="b">
        <f ca="1">IFERROR(__xludf.DUMMYFUNCTION("""COMPUTED_VALUE"""),TRUE)</f>
        <v>1</v>
      </c>
      <c r="G16" s="5" t="str">
        <f ca="1">IFERROR(__xludf.DUMMYFUNCTION("""COMPUTED_VALUE"""),"JEFFERSON BRAVO")</f>
        <v>JEFFERSON BRAVO</v>
      </c>
      <c r="H16" s="5"/>
      <c r="I16" s="5"/>
      <c r="J16" s="5" t="str">
        <f t="shared" ca="1" si="0"/>
        <v>Limpieza realizada</v>
      </c>
    </row>
    <row r="17" spans="1:10">
      <c r="A17" s="65"/>
      <c r="B17" s="5" t="str">
        <f ca="1">IFERROR(__xludf.DUMMYFUNCTION("""COMPUTED_VALUE"""),"ALICATE PUNTA CURVA INTER 84-274 STANLEY")</f>
        <v>ALICATE PUNTA CURVA INTER 84-274 STANLEY</v>
      </c>
      <c r="C17" s="5" t="str">
        <f ca="1">IFERROR(__xludf.DUMMYFUNCTION("""COMPUTED_VALUE"""),"VERDE")</f>
        <v>VERDE</v>
      </c>
      <c r="D17" s="5" t="str">
        <f ca="1">IFERROR(__xludf.DUMMYFUNCTION("""COMPUTED_VALUE"""),"COP")</f>
        <v>COP</v>
      </c>
      <c r="E17" s="5" t="str">
        <f ca="1">IFERROR(__xludf.DUMMYFUNCTION("""COMPUTED_VALUE"""),"DSD")</f>
        <v>DSD</v>
      </c>
      <c r="F17" s="5" t="b">
        <f ca="1">IFERROR(__xludf.DUMMYFUNCTION("""COMPUTED_VALUE"""),TRUE)</f>
        <v>1</v>
      </c>
      <c r="G17" s="5" t="str">
        <f ca="1">IFERROR(__xludf.DUMMYFUNCTION("""COMPUTED_VALUE"""),"JEFFERSON BRAVO")</f>
        <v>JEFFERSON BRAVO</v>
      </c>
      <c r="H17" s="5"/>
      <c r="I17" s="5"/>
      <c r="J17" s="5" t="str">
        <f t="shared" ca="1" si="0"/>
        <v>Limpieza realizada</v>
      </c>
    </row>
    <row r="18" spans="1:10">
      <c r="A18" s="65"/>
      <c r="B18" s="5" t="str">
        <f ca="1">IFERROR(__xludf.DUMMYFUNCTION("""COMPUTED_VALUE"""),"JUEGO DE CINCELES Y BOTADORES 12P 16-299")</f>
        <v>JUEGO DE CINCELES Y BOTADORES 12P 16-299</v>
      </c>
      <c r="C18" s="5" t="str">
        <f ca="1">IFERROR(__xludf.DUMMYFUNCTION("""COMPUTED_VALUE"""),"VERDE")</f>
        <v>VERDE</v>
      </c>
      <c r="D18" s="5" t="str">
        <f ca="1">IFERROR(__xludf.DUMMYFUNCTION("""COMPUTED_VALUE"""),"COP")</f>
        <v>COP</v>
      </c>
      <c r="E18" s="5" t="str">
        <f ca="1">IFERROR(__xludf.DUMMYFUNCTION("""COMPUTED_VALUE"""),"DSD")</f>
        <v>DSD</v>
      </c>
      <c r="F18" s="5" t="b">
        <f ca="1">IFERROR(__xludf.DUMMYFUNCTION("""COMPUTED_VALUE"""),TRUE)</f>
        <v>1</v>
      </c>
      <c r="G18" s="5" t="str">
        <f ca="1">IFERROR(__xludf.DUMMYFUNCTION("""COMPUTED_VALUE"""),"JEFFERSON BRAVO")</f>
        <v>JEFFERSON BRAVO</v>
      </c>
      <c r="H18" s="5"/>
      <c r="I18" s="5"/>
      <c r="J18" s="5" t="str">
        <f t="shared" ca="1" si="0"/>
        <v>Limpieza realizada</v>
      </c>
    </row>
    <row r="19" spans="1:10">
      <c r="A19" s="65"/>
      <c r="B19" s="5" t="str">
        <f ca="1">IFERROR(__xludf.DUMMYFUNCTION("""COMPUTED_VALUE"""),"LLAVE COMBINADA (MIXTA) 10 MM")</f>
        <v>LLAVE COMBINADA (MIXTA) 10 MM</v>
      </c>
      <c r="C19" s="5" t="str">
        <f ca="1">IFERROR(__xludf.DUMMYFUNCTION("""COMPUTED_VALUE"""),"VERDE")</f>
        <v>VERDE</v>
      </c>
      <c r="D19" s="5" t="str">
        <f ca="1">IFERROR(__xludf.DUMMYFUNCTION("""COMPUTED_VALUE"""),"COP")</f>
        <v>COP</v>
      </c>
      <c r="E19" s="5" t="str">
        <f ca="1">IFERROR(__xludf.DUMMYFUNCTION("""COMPUTED_VALUE"""),"DSD")</f>
        <v>DSD</v>
      </c>
      <c r="F19" s="5" t="b">
        <f ca="1">IFERROR(__xludf.DUMMYFUNCTION("""COMPUTED_VALUE"""),TRUE)</f>
        <v>1</v>
      </c>
      <c r="G19" s="5" t="str">
        <f ca="1">IFERROR(__xludf.DUMMYFUNCTION("""COMPUTED_VALUE"""),"Victor David burbano gomez")</f>
        <v>Victor David burbano gomez</v>
      </c>
      <c r="H19" s="5"/>
      <c r="I19" s="5"/>
      <c r="J19" s="5" t="str">
        <f t="shared" ca="1" si="0"/>
        <v>Limpieza realizada</v>
      </c>
    </row>
    <row r="20" spans="1:10">
      <c r="A20" s="65"/>
      <c r="B20" s="5" t="str">
        <f ca="1">IFERROR(__xludf.DUMMYFUNCTION("""COMPUTED_VALUE"""),"DESTORNILLADOR ESTRELLA 3/16 X 4")</f>
        <v>DESTORNILLADOR ESTRELLA 3/16 X 4</v>
      </c>
      <c r="C20" s="5" t="str">
        <f ca="1">IFERROR(__xludf.DUMMYFUNCTION("""COMPUTED_VALUE"""),"VERDE")</f>
        <v>VERDE</v>
      </c>
      <c r="D20" s="5" t="str">
        <f ca="1">IFERROR(__xludf.DUMMYFUNCTION("""COMPUTED_VALUE"""),"COP")</f>
        <v>COP</v>
      </c>
      <c r="E20" s="5" t="str">
        <f ca="1">IFERROR(__xludf.DUMMYFUNCTION("""COMPUTED_VALUE"""),"DSD")</f>
        <v>DSD</v>
      </c>
      <c r="F20" s="5" t="b">
        <f ca="1">IFERROR(__xludf.DUMMYFUNCTION("""COMPUTED_VALUE"""),TRUE)</f>
        <v>1</v>
      </c>
      <c r="G20" s="5" t="str">
        <f ca="1">IFERROR(__xludf.DUMMYFUNCTION("""COMPUTED_VALUE"""),"Victor David burbano gomez")</f>
        <v>Victor David burbano gomez</v>
      </c>
      <c r="H20" s="5"/>
      <c r="I20" s="5"/>
      <c r="J20" s="5" t="str">
        <f t="shared" ca="1" si="0"/>
        <v>Limpieza realizada</v>
      </c>
    </row>
    <row r="21" spans="1:10">
      <c r="A21" s="65"/>
      <c r="B21" s="5" t="str">
        <f ca="1">IFERROR(__xludf.DUMMYFUNCTION("""COMPUTED_VALUE"""),"LLAVE COMBINADA (MIXTA) DE 24 MM")</f>
        <v>LLAVE COMBINADA (MIXTA) DE 24 MM</v>
      </c>
      <c r="C21" s="5" t="str">
        <f ca="1">IFERROR(__xludf.DUMMYFUNCTION("""COMPUTED_VALUE"""),"VERDE")</f>
        <v>VERDE</v>
      </c>
      <c r="D21" s="5" t="str">
        <f ca="1">IFERROR(__xludf.DUMMYFUNCTION("""COMPUTED_VALUE"""),"COP")</f>
        <v>COP</v>
      </c>
      <c r="E21" s="5" t="str">
        <f ca="1">IFERROR(__xludf.DUMMYFUNCTION("""COMPUTED_VALUE"""),"DSD")</f>
        <v>DSD</v>
      </c>
      <c r="F21" s="5" t="b">
        <f ca="1">IFERROR(__xludf.DUMMYFUNCTION("""COMPUTED_VALUE"""),TRUE)</f>
        <v>1</v>
      </c>
      <c r="G21" s="5" t="str">
        <f ca="1">IFERROR(__xludf.DUMMYFUNCTION("""COMPUTED_VALUE"""),"Victor David burbano gomez")</f>
        <v>Victor David burbano gomez</v>
      </c>
      <c r="H21" s="5"/>
      <c r="I21" s="5"/>
      <c r="J21" s="5" t="str">
        <f t="shared" ca="1" si="0"/>
        <v>Limpieza realizada</v>
      </c>
    </row>
    <row r="22" spans="1:10">
      <c r="A22" s="65"/>
      <c r="B22" s="5" t="str">
        <f ca="1">IFERROR(__xludf.DUMMYFUNCTION("""COMPUTED_VALUE"""),"LLAVE COMBINADA (MIXTA) DE 17 MM")</f>
        <v>LLAVE COMBINADA (MIXTA) DE 17 MM</v>
      </c>
      <c r="C22" s="5" t="str">
        <f ca="1">IFERROR(__xludf.DUMMYFUNCTION("""COMPUTED_VALUE"""),"VERDE")</f>
        <v>VERDE</v>
      </c>
      <c r="D22" s="5" t="str">
        <f ca="1">IFERROR(__xludf.DUMMYFUNCTION("""COMPUTED_VALUE"""),"COP")</f>
        <v>COP</v>
      </c>
      <c r="E22" s="5" t="str">
        <f ca="1">IFERROR(__xludf.DUMMYFUNCTION("""COMPUTED_VALUE"""),"DSD")</f>
        <v>DSD</v>
      </c>
      <c r="F22" s="5" t="b">
        <f ca="1">IFERROR(__xludf.DUMMYFUNCTION("""COMPUTED_VALUE"""),TRUE)</f>
        <v>1</v>
      </c>
      <c r="G22" s="5" t="str">
        <f ca="1">IFERROR(__xludf.DUMMYFUNCTION("""COMPUTED_VALUE"""),"Victor David burbano gomez")</f>
        <v>Victor David burbano gomez</v>
      </c>
      <c r="H22" s="5"/>
      <c r="I22" s="5"/>
      <c r="J22" s="5" t="str">
        <f t="shared" ca="1" si="0"/>
        <v>Limpieza realizada</v>
      </c>
    </row>
    <row r="23" spans="1:10">
      <c r="A23" s="65"/>
      <c r="B23" s="5" t="str">
        <f ca="1">IFERROR(__xludf.DUMMYFUNCTION("""COMPUTED_VALUE"""),"LLAVE DE EXPANSION 8""")</f>
        <v>LLAVE DE EXPANSION 8"</v>
      </c>
      <c r="C23" s="5" t="str">
        <f ca="1">IFERROR(__xludf.DUMMYFUNCTION("""COMPUTED_VALUE"""),"VERDE")</f>
        <v>VERDE</v>
      </c>
      <c r="D23" s="5" t="str">
        <f ca="1">IFERROR(__xludf.DUMMYFUNCTION("""COMPUTED_VALUE"""),"COP")</f>
        <v>COP</v>
      </c>
      <c r="E23" s="5" t="str">
        <f ca="1">IFERROR(__xludf.DUMMYFUNCTION("""COMPUTED_VALUE"""),"DSD")</f>
        <v>DSD</v>
      </c>
      <c r="F23" s="5" t="b">
        <f ca="1">IFERROR(__xludf.DUMMYFUNCTION("""COMPUTED_VALUE"""),TRUE)</f>
        <v>1</v>
      </c>
      <c r="G23" s="5" t="str">
        <f ca="1">IFERROR(__xludf.DUMMYFUNCTION("""COMPUTED_VALUE"""),"Victor David burbano gomez")</f>
        <v>Victor David burbano gomez</v>
      </c>
      <c r="H23" s="5"/>
      <c r="I23" s="5"/>
      <c r="J23" s="5" t="str">
        <f t="shared" ca="1" si="0"/>
        <v>Limpieza realizada</v>
      </c>
    </row>
    <row r="24" spans="1:10">
      <c r="A24" s="65"/>
      <c r="B24" s="5" t="str">
        <f ca="1">IFERROR(__xludf.DUMMYFUNCTION("""COMPUTED_VALUE"""),"LLAVE COMBINADA (MIXTA) 19 MM")</f>
        <v>LLAVE COMBINADA (MIXTA) 19 MM</v>
      </c>
      <c r="C24" s="5" t="str">
        <f ca="1">IFERROR(__xludf.DUMMYFUNCTION("""COMPUTED_VALUE"""),"VERDE")</f>
        <v>VERDE</v>
      </c>
      <c r="D24" s="5" t="str">
        <f ca="1">IFERROR(__xludf.DUMMYFUNCTION("""COMPUTED_VALUE"""),"COP")</f>
        <v>COP</v>
      </c>
      <c r="E24" s="5" t="str">
        <f ca="1">IFERROR(__xludf.DUMMYFUNCTION("""COMPUTED_VALUE"""),"DSD")</f>
        <v>DSD</v>
      </c>
      <c r="F24" s="5" t="b">
        <f ca="1">IFERROR(__xludf.DUMMYFUNCTION("""COMPUTED_VALUE"""),TRUE)</f>
        <v>1</v>
      </c>
      <c r="G24" s="5" t="str">
        <f ca="1">IFERROR(__xludf.DUMMYFUNCTION("""COMPUTED_VALUE"""),"Victor David burbano gomez")</f>
        <v>Victor David burbano gomez</v>
      </c>
      <c r="H24" s="5"/>
      <c r="I24" s="5"/>
      <c r="J24" s="5" t="str">
        <f t="shared" ca="1" si="0"/>
        <v>Limpieza realizada</v>
      </c>
    </row>
    <row r="25" spans="1:10">
      <c r="A25" s="65"/>
      <c r="B25" s="5" t="str">
        <f ca="1">IFERROR(__xludf.DUMMYFUNCTION("""COMPUTED_VALUE"""),"LLAVE PARA TUBO 12""")</f>
        <v>LLAVE PARA TUBO 12"</v>
      </c>
      <c r="C25" s="5" t="str">
        <f ca="1">IFERROR(__xludf.DUMMYFUNCTION("""COMPUTED_VALUE"""),"VERDE")</f>
        <v>VERDE</v>
      </c>
      <c r="D25" s="5" t="str">
        <f ca="1">IFERROR(__xludf.DUMMYFUNCTION("""COMPUTED_VALUE"""),"COP")</f>
        <v>COP</v>
      </c>
      <c r="E25" s="5" t="str">
        <f ca="1">IFERROR(__xludf.DUMMYFUNCTION("""COMPUTED_VALUE"""),"DSD")</f>
        <v>DSD</v>
      </c>
      <c r="F25" s="5" t="b">
        <f ca="1">IFERROR(__xludf.DUMMYFUNCTION("""COMPUTED_VALUE"""),TRUE)</f>
        <v>1</v>
      </c>
      <c r="G25" s="5" t="str">
        <f ca="1">IFERROR(__xludf.DUMMYFUNCTION("""COMPUTED_VALUE"""),"Victor David burbano gomez")</f>
        <v>Victor David burbano gomez</v>
      </c>
      <c r="H25" s="5"/>
      <c r="I25" s="5"/>
      <c r="J25" s="5" t="str">
        <f t="shared" ca="1" si="0"/>
        <v>Limpieza realizada</v>
      </c>
    </row>
    <row r="26" spans="1:10">
      <c r="A26" s="65"/>
      <c r="B26" s="5" t="str">
        <f ca="1">IFERROR(__xludf.DUMMYFUNCTION("""COMPUTED_VALUE"""),"LLAVE COMBINADA (MIXTA) 22 MM")</f>
        <v>LLAVE COMBINADA (MIXTA) 22 MM</v>
      </c>
      <c r="C26" s="5" t="str">
        <f ca="1">IFERROR(__xludf.DUMMYFUNCTION("""COMPUTED_VALUE"""),"VERDE")</f>
        <v>VERDE</v>
      </c>
      <c r="D26" s="5" t="str">
        <f ca="1">IFERROR(__xludf.DUMMYFUNCTION("""COMPUTED_VALUE"""),"COP")</f>
        <v>COP</v>
      </c>
      <c r="E26" s="5" t="str">
        <f ca="1">IFERROR(__xludf.DUMMYFUNCTION("""COMPUTED_VALUE"""),"DSD")</f>
        <v>DSD</v>
      </c>
      <c r="F26" s="5" t="b">
        <f ca="1">IFERROR(__xludf.DUMMYFUNCTION("""COMPUTED_VALUE"""),TRUE)</f>
        <v>1</v>
      </c>
      <c r="G26" s="5" t="str">
        <f ca="1">IFERROR(__xludf.DUMMYFUNCTION("""COMPUTED_VALUE"""),"Victor David burbano gomez")</f>
        <v>Victor David burbano gomez</v>
      </c>
      <c r="H26" s="5"/>
      <c r="I26" s="5"/>
      <c r="J26" s="5" t="str">
        <f t="shared" ca="1" si="0"/>
        <v>Limpieza realizada</v>
      </c>
    </row>
    <row r="27" spans="1:10">
      <c r="A27" s="65"/>
      <c r="B27" s="5" t="str">
        <f ca="1">IFERROR(__xludf.DUMMYFUNCTION("""COMPUTED_VALUE"""),"LLAVE COMBINADA (MIXTA) DE 15 MM")</f>
        <v>LLAVE COMBINADA (MIXTA) DE 15 MM</v>
      </c>
      <c r="C27" s="5" t="str">
        <f ca="1">IFERROR(__xludf.DUMMYFUNCTION("""COMPUTED_VALUE"""),"VERDE")</f>
        <v>VERDE</v>
      </c>
      <c r="D27" s="5" t="str">
        <f ca="1">IFERROR(__xludf.DUMMYFUNCTION("""COMPUTED_VALUE"""),"COP")</f>
        <v>COP</v>
      </c>
      <c r="E27" s="5" t="str">
        <f ca="1">IFERROR(__xludf.DUMMYFUNCTION("""COMPUTED_VALUE"""),"DSD")</f>
        <v>DSD</v>
      </c>
      <c r="F27" s="5" t="b">
        <f ca="1">IFERROR(__xludf.DUMMYFUNCTION("""COMPUTED_VALUE"""),TRUE)</f>
        <v>1</v>
      </c>
      <c r="G27" s="5" t="str">
        <f ca="1">IFERROR(__xludf.DUMMYFUNCTION("""COMPUTED_VALUE"""),"Victor David burbano gomez")</f>
        <v>Victor David burbano gomez</v>
      </c>
      <c r="H27" s="5"/>
      <c r="I27" s="5"/>
      <c r="J27" s="5" t="str">
        <f t="shared" ca="1" si="0"/>
        <v>Limpieza realizada</v>
      </c>
    </row>
    <row r="28" spans="1:10">
      <c r="A28" s="65"/>
      <c r="B28" s="5" t="str">
        <f ca="1">IFERROR(__xludf.DUMMYFUNCTION("""COMPUTED_VALUE"""),"ALICATE CORTAFRIO 6""")</f>
        <v>ALICATE CORTAFRIO 6"</v>
      </c>
      <c r="C28" s="5" t="str">
        <f ca="1">IFERROR(__xludf.DUMMYFUNCTION("""COMPUTED_VALUE"""),"VERDE")</f>
        <v>VERDE</v>
      </c>
      <c r="D28" s="5" t="str">
        <f ca="1">IFERROR(__xludf.DUMMYFUNCTION("""COMPUTED_VALUE"""),"COP")</f>
        <v>COP</v>
      </c>
      <c r="E28" s="5" t="str">
        <f ca="1">IFERROR(__xludf.DUMMYFUNCTION("""COMPUTED_VALUE"""),"DSD")</f>
        <v>DSD</v>
      </c>
      <c r="F28" s="5" t="b">
        <f ca="1">IFERROR(__xludf.DUMMYFUNCTION("""COMPUTED_VALUE"""),TRUE)</f>
        <v>1</v>
      </c>
      <c r="G28" s="5" t="str">
        <f ca="1">IFERROR(__xludf.DUMMYFUNCTION("""COMPUTED_VALUE"""),"Victor David burbano gomez")</f>
        <v>Victor David burbano gomez</v>
      </c>
      <c r="H28" s="5"/>
      <c r="I28" s="5"/>
      <c r="J28" s="5" t="str">
        <f t="shared" ca="1" si="0"/>
        <v>Limpieza realizada</v>
      </c>
    </row>
    <row r="29" spans="1:10">
      <c r="A29" s="65"/>
      <c r="B29" s="5" t="str">
        <f ca="1">IFERROR(__xludf.DUMMYFUNCTION("""COMPUTED_VALUE"""),"JGO LLAVES BRISTOL-ALLEN 1.3 A 10MM")</f>
        <v>JGO LLAVES BRISTOL-ALLEN 1.3 A 10MM</v>
      </c>
      <c r="C29" s="5" t="str">
        <f ca="1">IFERROR(__xludf.DUMMYFUNCTION("""COMPUTED_VALUE"""),"VERDE")</f>
        <v>VERDE</v>
      </c>
      <c r="D29" s="5" t="str">
        <f ca="1">IFERROR(__xludf.DUMMYFUNCTION("""COMPUTED_VALUE"""),"COP")</f>
        <v>COP</v>
      </c>
      <c r="E29" s="5" t="str">
        <f ca="1">IFERROR(__xludf.DUMMYFUNCTION("""COMPUTED_VALUE"""),"DSD")</f>
        <v>DSD</v>
      </c>
      <c r="F29" s="5" t="b">
        <f ca="1">IFERROR(__xludf.DUMMYFUNCTION("""COMPUTED_VALUE"""),TRUE)</f>
        <v>1</v>
      </c>
      <c r="G29" s="5" t="str">
        <f ca="1">IFERROR(__xludf.DUMMYFUNCTION("""COMPUTED_VALUE"""),"Victor David burbano gomez")</f>
        <v>Victor David burbano gomez</v>
      </c>
      <c r="H29" s="5"/>
      <c r="I29" s="5"/>
      <c r="J29" s="5" t="str">
        <f t="shared" ca="1" si="0"/>
        <v>Limpieza realizada</v>
      </c>
    </row>
    <row r="30" spans="1:10">
      <c r="A30" s="65"/>
      <c r="B30" s="5" t="str">
        <f ca="1">IFERROR(__xludf.DUMMYFUNCTION("""COMPUTED_VALUE"""),"LLAVE COMBINADA (MIXTA) 13 MM")</f>
        <v>LLAVE COMBINADA (MIXTA) 13 MM</v>
      </c>
      <c r="C30" s="5" t="str">
        <f ca="1">IFERROR(__xludf.DUMMYFUNCTION("""COMPUTED_VALUE"""),"VERDE")</f>
        <v>VERDE</v>
      </c>
      <c r="D30" s="5" t="str">
        <f ca="1">IFERROR(__xludf.DUMMYFUNCTION("""COMPUTED_VALUE"""),"COP")</f>
        <v>COP</v>
      </c>
      <c r="E30" s="5" t="str">
        <f ca="1">IFERROR(__xludf.DUMMYFUNCTION("""COMPUTED_VALUE"""),"DSD")</f>
        <v>DSD</v>
      </c>
      <c r="F30" s="5" t="b">
        <f ca="1">IFERROR(__xludf.DUMMYFUNCTION("""COMPUTED_VALUE"""),TRUE)</f>
        <v>1</v>
      </c>
      <c r="G30" s="5" t="str">
        <f ca="1">IFERROR(__xludf.DUMMYFUNCTION("""COMPUTED_VALUE"""),"Victor David burbano gomez")</f>
        <v>Victor David burbano gomez</v>
      </c>
      <c r="H30" s="5"/>
      <c r="I30" s="5"/>
      <c r="J30" s="5" t="str">
        <f t="shared" ca="1" si="0"/>
        <v>Limpieza realizada</v>
      </c>
    </row>
    <row r="31" spans="1:10">
      <c r="A31" s="65"/>
      <c r="B31" s="5" t="str">
        <f ca="1">IFERROR(__xludf.DUMMYFUNCTION("""COMPUTED_VALUE"""),"DESTORNILLADOR DE PALA 1/4"" X 4""")</f>
        <v>DESTORNILLADOR DE PALA 1/4" X 4"</v>
      </c>
      <c r="C31" s="5" t="str">
        <f ca="1">IFERROR(__xludf.DUMMYFUNCTION("""COMPUTED_VALUE"""),"VERDE")</f>
        <v>VERDE</v>
      </c>
      <c r="D31" s="5" t="str">
        <f ca="1">IFERROR(__xludf.DUMMYFUNCTION("""COMPUTED_VALUE"""),"COP")</f>
        <v>COP</v>
      </c>
      <c r="E31" s="5" t="str">
        <f ca="1">IFERROR(__xludf.DUMMYFUNCTION("""COMPUTED_VALUE"""),"DSD")</f>
        <v>DSD</v>
      </c>
      <c r="F31" s="5" t="b">
        <f ca="1">IFERROR(__xludf.DUMMYFUNCTION("""COMPUTED_VALUE"""),TRUE)</f>
        <v>1</v>
      </c>
      <c r="G31" s="5" t="str">
        <f ca="1">IFERROR(__xludf.DUMMYFUNCTION("""COMPUTED_VALUE"""),"Victor David burbano gomez")</f>
        <v>Victor David burbano gomez</v>
      </c>
      <c r="H31" s="5"/>
      <c r="I31" s="5"/>
      <c r="J31" s="5" t="str">
        <f t="shared" ca="1" si="0"/>
        <v>Limpieza realizada</v>
      </c>
    </row>
    <row r="32" spans="1:10">
      <c r="A32" s="65"/>
      <c r="B32" s="5" t="str">
        <f ca="1">IFERROR(__xludf.DUMMYFUNCTION("""COMPUTED_VALUE"""),"DESTORNILLADOR DE PALA 5/16"" X 6""")</f>
        <v>DESTORNILLADOR DE PALA 5/16" X 6"</v>
      </c>
      <c r="C32" s="5" t="str">
        <f ca="1">IFERROR(__xludf.DUMMYFUNCTION("""COMPUTED_VALUE"""),"VERDE")</f>
        <v>VERDE</v>
      </c>
      <c r="D32" s="5" t="str">
        <f ca="1">IFERROR(__xludf.DUMMYFUNCTION("""COMPUTED_VALUE"""),"COP")</f>
        <v>COP</v>
      </c>
      <c r="E32" s="5" t="str">
        <f ca="1">IFERROR(__xludf.DUMMYFUNCTION("""COMPUTED_VALUE"""),"DSD")</f>
        <v>DSD</v>
      </c>
      <c r="F32" s="5" t="b">
        <f ca="1">IFERROR(__xludf.DUMMYFUNCTION("""COMPUTED_VALUE"""),TRUE)</f>
        <v>1</v>
      </c>
      <c r="G32" s="5" t="str">
        <f ca="1">IFERROR(__xludf.DUMMYFUNCTION("""COMPUTED_VALUE"""),"Victor David burbano gomez")</f>
        <v>Victor David burbano gomez</v>
      </c>
      <c r="H32" s="5"/>
      <c r="I32" s="5"/>
      <c r="J32" s="5" t="str">
        <f t="shared" ca="1" si="0"/>
        <v>Limpieza realizada</v>
      </c>
    </row>
    <row r="33" spans="1:10">
      <c r="A33" s="65"/>
      <c r="B33" s="5" t="str">
        <f ca="1">IFERROR(__xludf.DUMMYFUNCTION("""COMPUTED_VALUE"""),"MULTIMETRO FLUKE 179")</f>
        <v>MULTIMETRO FLUKE 179</v>
      </c>
      <c r="C33" s="5" t="str">
        <f ca="1">IFERROR(__xludf.DUMMYFUNCTION("""COMPUTED_VALUE"""),"VERDE")</f>
        <v>VERDE</v>
      </c>
      <c r="D33" s="5" t="str">
        <f ca="1">IFERROR(__xludf.DUMMYFUNCTION("""COMPUTED_VALUE"""),"COP")</f>
        <v>COP</v>
      </c>
      <c r="E33" s="5" t="str">
        <f ca="1">IFERROR(__xludf.DUMMYFUNCTION("""COMPUTED_VALUE"""),"DSD")</f>
        <v>DSD</v>
      </c>
      <c r="F33" s="5" t="b">
        <f ca="1">IFERROR(__xludf.DUMMYFUNCTION("""COMPUTED_VALUE"""),TRUE)</f>
        <v>1</v>
      </c>
      <c r="G33" s="5" t="str">
        <f ca="1">IFERROR(__xludf.DUMMYFUNCTION("""COMPUTED_VALUE"""),"Victor David burbano gomez")</f>
        <v>Victor David burbano gomez</v>
      </c>
      <c r="H33" s="5"/>
      <c r="I33" s="5"/>
      <c r="J33" s="5" t="str">
        <f t="shared" ca="1" si="0"/>
        <v>Limpieza realizada</v>
      </c>
    </row>
    <row r="34" spans="1:10">
      <c r="A34" s="65"/>
      <c r="B34" s="5" t="str">
        <f ca="1">IFERROR(__xludf.DUMMYFUNCTION("""COMPUTED_VALUE"""),"ALICATE AISLADO DE 9""")</f>
        <v>ALICATE AISLADO DE 9"</v>
      </c>
      <c r="C34" s="5" t="str">
        <f ca="1">IFERROR(__xludf.DUMMYFUNCTION("""COMPUTED_VALUE"""),"VERDE")</f>
        <v>VERDE</v>
      </c>
      <c r="D34" s="5" t="str">
        <f ca="1">IFERROR(__xludf.DUMMYFUNCTION("""COMPUTED_VALUE"""),"COP")</f>
        <v>COP</v>
      </c>
      <c r="E34" s="5" t="str">
        <f ca="1">IFERROR(__xludf.DUMMYFUNCTION("""COMPUTED_VALUE"""),"DSD")</f>
        <v>DSD</v>
      </c>
      <c r="F34" s="5" t="b">
        <f ca="1">IFERROR(__xludf.DUMMYFUNCTION("""COMPUTED_VALUE"""),TRUE)</f>
        <v>1</v>
      </c>
      <c r="G34" s="5" t="str">
        <f ca="1">IFERROR(__xludf.DUMMYFUNCTION("""COMPUTED_VALUE"""),"Victor David burbano gomez")</f>
        <v>Victor David burbano gomez</v>
      </c>
      <c r="H34" s="5"/>
      <c r="I34" s="5"/>
      <c r="J34" s="5" t="str">
        <f t="shared" ca="1" si="0"/>
        <v>Limpieza realizada</v>
      </c>
    </row>
    <row r="35" spans="1:10">
      <c r="A35" s="65"/>
      <c r="B35" s="5" t="str">
        <f ca="1">IFERROR(__xludf.DUMMYFUNCTION("""COMPUTED_VALUE"""),"LLAVE MIXTA T.RACHET 7 MM")</f>
        <v>LLAVE MIXTA T.RACHET 7 MM</v>
      </c>
      <c r="C35" s="5" t="str">
        <f ca="1">IFERROR(__xludf.DUMMYFUNCTION("""COMPUTED_VALUE"""),"VERDE")</f>
        <v>VERDE</v>
      </c>
      <c r="D35" s="5" t="str">
        <f ca="1">IFERROR(__xludf.DUMMYFUNCTION("""COMPUTED_VALUE"""),"COP")</f>
        <v>COP</v>
      </c>
      <c r="E35" s="5" t="str">
        <f ca="1">IFERROR(__xludf.DUMMYFUNCTION("""COMPUTED_VALUE"""),"DSD")</f>
        <v>DSD</v>
      </c>
      <c r="F35" s="5" t="b">
        <f ca="1">IFERROR(__xludf.DUMMYFUNCTION("""COMPUTED_VALUE"""),TRUE)</f>
        <v>1</v>
      </c>
      <c r="G35" s="5" t="str">
        <f ca="1">IFERROR(__xludf.DUMMYFUNCTION("""COMPUTED_VALUE"""),"Victor David burbano gomez")</f>
        <v>Victor David burbano gomez</v>
      </c>
      <c r="H35" s="5"/>
      <c r="I35" s="5"/>
      <c r="J35" s="5" t="str">
        <f t="shared" ca="1" si="0"/>
        <v>Limpieza realizada</v>
      </c>
    </row>
    <row r="36" spans="1:10">
      <c r="A36" s="65"/>
      <c r="B36" s="5" t="str">
        <f ca="1">IFERROR(__xludf.DUMMYFUNCTION("""COMPUTED_VALUE"""),"ALICATE P/ANILLOS DE RETENCION PROTO 377")</f>
        <v>ALICATE P/ANILLOS DE RETENCION PROTO 377</v>
      </c>
      <c r="C36" s="5" t="str">
        <f ca="1">IFERROR(__xludf.DUMMYFUNCTION("""COMPUTED_VALUE"""),"VERDE")</f>
        <v>VERDE</v>
      </c>
      <c r="D36" s="5" t="str">
        <f ca="1">IFERROR(__xludf.DUMMYFUNCTION("""COMPUTED_VALUE"""),"COP")</f>
        <v>COP</v>
      </c>
      <c r="E36" s="5" t="str">
        <f ca="1">IFERROR(__xludf.DUMMYFUNCTION("""COMPUTED_VALUE"""),"DSD")</f>
        <v>DSD</v>
      </c>
      <c r="F36" s="5" t="b">
        <f ca="1">IFERROR(__xludf.DUMMYFUNCTION("""COMPUTED_VALUE"""),TRUE)</f>
        <v>1</v>
      </c>
      <c r="G36" s="5" t="str">
        <f ca="1">IFERROR(__xludf.DUMMYFUNCTION("""COMPUTED_VALUE"""),"Victor David burbano gomez")</f>
        <v>Victor David burbano gomez</v>
      </c>
      <c r="H36" s="5"/>
      <c r="I36" s="5"/>
      <c r="J36" s="5" t="str">
        <f t="shared" ca="1" si="0"/>
        <v>Limpieza realizada</v>
      </c>
    </row>
    <row r="37" spans="1:10">
      <c r="A37" s="65"/>
      <c r="B37" s="5" t="str">
        <f ca="1">IFERROR(__xludf.DUMMYFUNCTION("""COMPUTED_VALUE"""),"JUEGO LLAVES PROTO J4995")</f>
        <v>JUEGO LLAVES PROTO J4995</v>
      </c>
      <c r="C37" s="5" t="str">
        <f ca="1">IFERROR(__xludf.DUMMYFUNCTION("""COMPUTED_VALUE"""),"VERDE")</f>
        <v>VERDE</v>
      </c>
      <c r="D37" s="5" t="str">
        <f ca="1">IFERROR(__xludf.DUMMYFUNCTION("""COMPUTED_VALUE"""),"COP")</f>
        <v>COP</v>
      </c>
      <c r="E37" s="5" t="str">
        <f ca="1">IFERROR(__xludf.DUMMYFUNCTION("""COMPUTED_VALUE"""),"DSD")</f>
        <v>DSD</v>
      </c>
      <c r="F37" s="5" t="b">
        <f ca="1">IFERROR(__xludf.DUMMYFUNCTION("""COMPUTED_VALUE"""),TRUE)</f>
        <v>1</v>
      </c>
      <c r="G37" s="5" t="str">
        <f ca="1">IFERROR(__xludf.DUMMYFUNCTION("""COMPUTED_VALUE"""),"Victor David burbano gomez")</f>
        <v>Victor David burbano gomez</v>
      </c>
      <c r="H37" s="5"/>
      <c r="I37" s="5"/>
      <c r="J37" s="5" t="str">
        <f t="shared" ca="1" si="0"/>
        <v>Limpieza realizada</v>
      </c>
    </row>
    <row r="38" spans="1:10">
      <c r="A38" s="65">
        <f ca="1">IFERROR(__xludf.DUMMYFUNCTION("""COMPUTED_VALUE"""),45352)</f>
        <v>45352</v>
      </c>
      <c r="B38" s="5" t="str">
        <f ca="1">IFERROR(__xludf.DUMMYFUNCTION("""COMPUTED_VALUE"""),"CALIBRADOR PIE DE REY 7""")</f>
        <v>CALIBRADOR PIE DE REY 7"</v>
      </c>
      <c r="C38" s="5" t="str">
        <f ca="1">IFERROR(__xludf.DUMMYFUNCTION("""COMPUTED_VALUE"""),"VERDE")</f>
        <v>VERDE</v>
      </c>
      <c r="D38" s="5" t="str">
        <f ca="1">IFERROR(__xludf.DUMMYFUNCTION("""COMPUTED_VALUE"""),"COP")</f>
        <v>COP</v>
      </c>
      <c r="E38" s="5" t="str">
        <f ca="1">IFERROR(__xludf.DUMMYFUNCTION("""COMPUTED_VALUE"""),"DSD")</f>
        <v>DSD</v>
      </c>
      <c r="F38" s="5" t="b">
        <f ca="1">IFERROR(__xludf.DUMMYFUNCTION("""COMPUTED_VALUE"""),TRUE)</f>
        <v>1</v>
      </c>
      <c r="G38" s="5" t="str">
        <f ca="1">IFERROR(__xludf.DUMMYFUNCTION("""COMPUTED_VALUE"""),"JULIAN CALDERON")</f>
        <v>JULIAN CALDERON</v>
      </c>
      <c r="H38" s="5"/>
      <c r="I38" s="5"/>
      <c r="J38" s="5" t="str">
        <f t="shared" ca="1" si="0"/>
        <v>Limpieza realizada</v>
      </c>
    </row>
    <row r="39" spans="1:10">
      <c r="A39" s="65"/>
      <c r="B39" s="5" t="str">
        <f ca="1">IFERROR(__xludf.DUMMYFUNCTION("""COMPUTED_VALUE"""),"MARCO PARA SEGUETA STANDARD")</f>
        <v>MARCO PARA SEGUETA STANDARD</v>
      </c>
      <c r="C39" s="5" t="str">
        <f ca="1">IFERROR(__xludf.DUMMYFUNCTION("""COMPUTED_VALUE"""),"VERDE")</f>
        <v>VERDE</v>
      </c>
      <c r="D39" s="5" t="str">
        <f ca="1">IFERROR(__xludf.DUMMYFUNCTION("""COMPUTED_VALUE"""),"COP")</f>
        <v>COP</v>
      </c>
      <c r="E39" s="5" t="str">
        <f ca="1">IFERROR(__xludf.DUMMYFUNCTION("""COMPUTED_VALUE"""),"DSD")</f>
        <v>DSD</v>
      </c>
      <c r="F39" s="5" t="b">
        <f ca="1">IFERROR(__xludf.DUMMYFUNCTION("""COMPUTED_VALUE"""),TRUE)</f>
        <v>1</v>
      </c>
      <c r="G39" s="5" t="str">
        <f ca="1">IFERROR(__xludf.DUMMYFUNCTION("""COMPUTED_VALUE"""),"JULIAN CALDERON")</f>
        <v>JULIAN CALDERON</v>
      </c>
      <c r="H39" s="5"/>
      <c r="I39" s="5"/>
      <c r="J39" s="5" t="str">
        <f t="shared" ca="1" si="0"/>
        <v>Limpieza realizada</v>
      </c>
    </row>
    <row r="40" spans="1:10">
      <c r="A40" s="65"/>
      <c r="B40" s="5" t="str">
        <f ca="1">IFERROR(__xludf.DUMMYFUNCTION("""COMPUTED_VALUE"""),"ALICATE AISLADO DE 8""")</f>
        <v>ALICATE AISLADO DE 8"</v>
      </c>
      <c r="C40" s="5" t="str">
        <f ca="1">IFERROR(__xludf.DUMMYFUNCTION("""COMPUTED_VALUE"""),"VERDE")</f>
        <v>VERDE</v>
      </c>
      <c r="D40" s="5" t="str">
        <f ca="1">IFERROR(__xludf.DUMMYFUNCTION("""COMPUTED_VALUE"""),"COP")</f>
        <v>COP</v>
      </c>
      <c r="E40" s="5" t="str">
        <f ca="1">IFERROR(__xludf.DUMMYFUNCTION("""COMPUTED_VALUE"""),"DSD")</f>
        <v>DSD</v>
      </c>
      <c r="F40" s="5" t="b">
        <f ca="1">IFERROR(__xludf.DUMMYFUNCTION("""COMPUTED_VALUE"""),TRUE)</f>
        <v>1</v>
      </c>
      <c r="G40" s="5" t="str">
        <f ca="1">IFERROR(__xludf.DUMMYFUNCTION("""COMPUTED_VALUE"""),"JULIAN CALDERON")</f>
        <v>JULIAN CALDERON</v>
      </c>
      <c r="H40" s="5"/>
      <c r="I40" s="5"/>
      <c r="J40" s="5" t="str">
        <f t="shared" ca="1" si="0"/>
        <v>Limpieza realizada</v>
      </c>
    </row>
    <row r="41" spans="1:10">
      <c r="A41" s="65"/>
      <c r="B41" s="5" t="str">
        <f ca="1">IFERROR(__xludf.DUMMYFUNCTION("""COMPUTED_VALUE"""),"FLEXOMETRO 5 MTS")</f>
        <v>FLEXOMETRO 5 MTS</v>
      </c>
      <c r="C41" s="5" t="str">
        <f ca="1">IFERROR(__xludf.DUMMYFUNCTION("""COMPUTED_VALUE"""),"VERDE")</f>
        <v>VERDE</v>
      </c>
      <c r="D41" s="5" t="str">
        <f ca="1">IFERROR(__xludf.DUMMYFUNCTION("""COMPUTED_VALUE"""),"COP")</f>
        <v>COP</v>
      </c>
      <c r="E41" s="5" t="str">
        <f ca="1">IFERROR(__xludf.DUMMYFUNCTION("""COMPUTED_VALUE"""),"DSD")</f>
        <v>DSD</v>
      </c>
      <c r="F41" s="5" t="b">
        <f ca="1">IFERROR(__xludf.DUMMYFUNCTION("""COMPUTED_VALUE"""),TRUE)</f>
        <v>1</v>
      </c>
      <c r="G41" s="5" t="str">
        <f ca="1">IFERROR(__xludf.DUMMYFUNCTION("""COMPUTED_VALUE"""),"JULIAN CALDERON")</f>
        <v>JULIAN CALDERON</v>
      </c>
      <c r="H41" s="5"/>
      <c r="I41" s="5"/>
      <c r="J41" s="5" t="str">
        <f t="shared" ca="1" si="0"/>
        <v>Limpieza realizada</v>
      </c>
    </row>
    <row r="42" spans="1:10">
      <c r="A42" s="65"/>
      <c r="B42" s="5" t="str">
        <f ca="1">IFERROR(__xludf.DUMMYFUNCTION("""COMPUTED_VALUE"""),"ALICATE DE PRESION HOMBRE SOLO 7""")</f>
        <v>ALICATE DE PRESION HOMBRE SOLO 7"</v>
      </c>
      <c r="C42" s="5" t="str">
        <f ca="1">IFERROR(__xludf.DUMMYFUNCTION("""COMPUTED_VALUE"""),"VERDE")</f>
        <v>VERDE</v>
      </c>
      <c r="D42" s="5" t="str">
        <f ca="1">IFERROR(__xludf.DUMMYFUNCTION("""COMPUTED_VALUE"""),"COP")</f>
        <v>COP</v>
      </c>
      <c r="E42" s="5" t="str">
        <f ca="1">IFERROR(__xludf.DUMMYFUNCTION("""COMPUTED_VALUE"""),"DSD")</f>
        <v>DSD</v>
      </c>
      <c r="F42" s="5" t="b">
        <f ca="1">IFERROR(__xludf.DUMMYFUNCTION("""COMPUTED_VALUE"""),TRUE)</f>
        <v>1</v>
      </c>
      <c r="G42" s="5" t="str">
        <f ca="1">IFERROR(__xludf.DUMMYFUNCTION("""COMPUTED_VALUE"""),"JULIAN CALDERON")</f>
        <v>JULIAN CALDERON</v>
      </c>
      <c r="H42" s="5"/>
      <c r="I42" s="5"/>
      <c r="J42" s="5" t="str">
        <f t="shared" ca="1" si="0"/>
        <v>Limpieza realizada</v>
      </c>
    </row>
    <row r="43" spans="1:10">
      <c r="A43" s="65"/>
      <c r="B43" s="5" t="str">
        <f ca="1">IFERROR(__xludf.DUMMYFUNCTION("""COMPUTED_VALUE"""),"MARTILLO POLIURETANO STANLEY REF. 57-532")</f>
        <v>MARTILLO POLIURETANO STANLEY REF. 57-532</v>
      </c>
      <c r="C43" s="5" t="str">
        <f ca="1">IFERROR(__xludf.DUMMYFUNCTION("""COMPUTED_VALUE"""),"VERDE")</f>
        <v>VERDE</v>
      </c>
      <c r="D43" s="5" t="str">
        <f ca="1">IFERROR(__xludf.DUMMYFUNCTION("""COMPUTED_VALUE"""),"COP")</f>
        <v>COP</v>
      </c>
      <c r="E43" s="5" t="str">
        <f ca="1">IFERROR(__xludf.DUMMYFUNCTION("""COMPUTED_VALUE"""),"DSD")</f>
        <v>DSD</v>
      </c>
      <c r="F43" s="5" t="b">
        <f ca="1">IFERROR(__xludf.DUMMYFUNCTION("""COMPUTED_VALUE"""),TRUE)</f>
        <v>1</v>
      </c>
      <c r="G43" s="5" t="str">
        <f ca="1">IFERROR(__xludf.DUMMYFUNCTION("""COMPUTED_VALUE"""),"JULIAN CALDERON")</f>
        <v>JULIAN CALDERON</v>
      </c>
      <c r="H43" s="5"/>
      <c r="I43" s="5"/>
      <c r="J43" s="5" t="str">
        <f t="shared" ca="1" si="0"/>
        <v>Limpieza realizada</v>
      </c>
    </row>
    <row r="44" spans="1:10">
      <c r="A44" s="65"/>
      <c r="B44" s="5" t="str">
        <f ca="1">IFERROR(__xludf.DUMMYFUNCTION("""COMPUTED_VALUE"""),"JUEGO DESTOR. COMBINADO STANLEY 69-170")</f>
        <v>JUEGO DESTOR. COMBINADO STANLEY 69-170</v>
      </c>
      <c r="C44" s="5" t="str">
        <f ca="1">IFERROR(__xludf.DUMMYFUNCTION("""COMPUTED_VALUE"""),"VERDE")</f>
        <v>VERDE</v>
      </c>
      <c r="D44" s="5" t="str">
        <f ca="1">IFERROR(__xludf.DUMMYFUNCTION("""COMPUTED_VALUE"""),"COP")</f>
        <v>COP</v>
      </c>
      <c r="E44" s="5" t="str">
        <f ca="1">IFERROR(__xludf.DUMMYFUNCTION("""COMPUTED_VALUE"""),"DSD")</f>
        <v>DSD</v>
      </c>
      <c r="F44" s="5" t="b">
        <f ca="1">IFERROR(__xludf.DUMMYFUNCTION("""COMPUTED_VALUE"""),TRUE)</f>
        <v>1</v>
      </c>
      <c r="G44" s="5" t="str">
        <f ca="1">IFERROR(__xludf.DUMMYFUNCTION("""COMPUTED_VALUE"""),"JULIAN CALDERON")</f>
        <v>JULIAN CALDERON</v>
      </c>
      <c r="H44" s="5"/>
      <c r="I44" s="5"/>
      <c r="J44" s="5" t="str">
        <f t="shared" ca="1" si="0"/>
        <v>Limpieza realizada</v>
      </c>
    </row>
    <row r="45" spans="1:10">
      <c r="A45" s="65"/>
      <c r="B45" s="5" t="str">
        <f ca="1">IFERROR(__xludf.DUMMYFUNCTION("""COMPUTED_VALUE"""),"PINZA VOLTIAMPERIMERICA TECH REF TM-151")</f>
        <v>PINZA VOLTIAMPERIMERICA TECH REF TM-151</v>
      </c>
      <c r="C45" s="5" t="str">
        <f ca="1">IFERROR(__xludf.DUMMYFUNCTION("""COMPUTED_VALUE"""),"VERDE")</f>
        <v>VERDE</v>
      </c>
      <c r="D45" s="5" t="str">
        <f ca="1">IFERROR(__xludf.DUMMYFUNCTION("""COMPUTED_VALUE"""),"COP")</f>
        <v>COP</v>
      </c>
      <c r="E45" s="5" t="str">
        <f ca="1">IFERROR(__xludf.DUMMYFUNCTION("""COMPUTED_VALUE"""),"DSD")</f>
        <v>DSD</v>
      </c>
      <c r="F45" s="5" t="b">
        <f ca="1">IFERROR(__xludf.DUMMYFUNCTION("""COMPUTED_VALUE"""),TRUE)</f>
        <v>1</v>
      </c>
      <c r="G45" s="5" t="str">
        <f ca="1">IFERROR(__xludf.DUMMYFUNCTION("""COMPUTED_VALUE"""),"JULIAN CALDERON")</f>
        <v>JULIAN CALDERON</v>
      </c>
      <c r="H45" s="5"/>
      <c r="I45" s="5"/>
      <c r="J45" s="5" t="str">
        <f t="shared" ca="1" si="0"/>
        <v>Limpieza realizada</v>
      </c>
    </row>
    <row r="46" spans="1:10">
      <c r="A46" s="65"/>
      <c r="B46" s="5" t="str">
        <f ca="1">IFERROR(__xludf.DUMMYFUNCTION("""COMPUTED_VALUE"""),"JUEGO LLAVES BRISTOL 1.5-10MM 4996 PROTO")</f>
        <v>JUEGO LLAVES BRISTOL 1.5-10MM 4996 PROTO</v>
      </c>
      <c r="C46" s="5" t="str">
        <f ca="1">IFERROR(__xludf.DUMMYFUNCTION("""COMPUTED_VALUE"""),"VERDE")</f>
        <v>VERDE</v>
      </c>
      <c r="D46" s="5" t="str">
        <f ca="1">IFERROR(__xludf.DUMMYFUNCTION("""COMPUTED_VALUE"""),"COP")</f>
        <v>COP</v>
      </c>
      <c r="E46" s="5" t="str">
        <f ca="1">IFERROR(__xludf.DUMMYFUNCTION("""COMPUTED_VALUE"""),"DSD")</f>
        <v>DSD</v>
      </c>
      <c r="F46" s="5" t="b">
        <f ca="1">IFERROR(__xludf.DUMMYFUNCTION("""COMPUTED_VALUE"""),TRUE)</f>
        <v>1</v>
      </c>
      <c r="G46" s="5" t="str">
        <f ca="1">IFERROR(__xludf.DUMMYFUNCTION("""COMPUTED_VALUE"""),"JULIAN CALDERON")</f>
        <v>JULIAN CALDERON</v>
      </c>
      <c r="H46" s="5"/>
      <c r="I46" s="5"/>
      <c r="J46" s="5" t="str">
        <f t="shared" ca="1" si="0"/>
        <v>Limpieza realizada</v>
      </c>
    </row>
    <row r="47" spans="1:10">
      <c r="A47" s="65"/>
      <c r="B47" s="5" t="str">
        <f ca="1">IFERROR(__xludf.DUMMYFUNCTION("""COMPUTED_VALUE"""),"ALICATE 84-223 STANLEY")</f>
        <v>ALICATE 84-223 STANLEY</v>
      </c>
      <c r="C47" s="5" t="str">
        <f ca="1">IFERROR(__xludf.DUMMYFUNCTION("""COMPUTED_VALUE"""),"VERDE")</f>
        <v>VERDE</v>
      </c>
      <c r="D47" s="5" t="str">
        <f ca="1">IFERROR(__xludf.DUMMYFUNCTION("""COMPUTED_VALUE"""),"COP")</f>
        <v>COP</v>
      </c>
      <c r="E47" s="5" t="str">
        <f ca="1">IFERROR(__xludf.DUMMYFUNCTION("""COMPUTED_VALUE"""),"DSD")</f>
        <v>DSD</v>
      </c>
      <c r="F47" s="5" t="b">
        <f ca="1">IFERROR(__xludf.DUMMYFUNCTION("""COMPUTED_VALUE"""),TRUE)</f>
        <v>1</v>
      </c>
      <c r="G47" s="5" t="str">
        <f ca="1">IFERROR(__xludf.DUMMYFUNCTION("""COMPUTED_VALUE"""),"JULIAN CALDERON")</f>
        <v>JULIAN CALDERON</v>
      </c>
      <c r="H47" s="5"/>
      <c r="I47" s="5"/>
      <c r="J47" s="5" t="str">
        <f t="shared" ca="1" si="0"/>
        <v>Limpieza realizada</v>
      </c>
    </row>
    <row r="48" spans="1:10">
      <c r="A48" s="65"/>
      <c r="B48" s="5" t="str">
        <f ca="1">IFERROR(__xludf.DUMMYFUNCTION("""COMPUTED_VALUE"""),"JGO COPAS MIL CUADRAN 3/8 STANLEY 86-209")</f>
        <v>JGO COPAS MIL CUADRAN 3/8 STANLEY 86-209</v>
      </c>
      <c r="C48" s="5" t="str">
        <f ca="1">IFERROR(__xludf.DUMMYFUNCTION("""COMPUTED_VALUE"""),"VERDE")</f>
        <v>VERDE</v>
      </c>
      <c r="D48" s="5" t="str">
        <f ca="1">IFERROR(__xludf.DUMMYFUNCTION("""COMPUTED_VALUE"""),"COP")</f>
        <v>COP</v>
      </c>
      <c r="E48" s="5" t="str">
        <f ca="1">IFERROR(__xludf.DUMMYFUNCTION("""COMPUTED_VALUE"""),"DSD")</f>
        <v>DSD</v>
      </c>
      <c r="F48" s="5" t="b">
        <f ca="1">IFERROR(__xludf.DUMMYFUNCTION("""COMPUTED_VALUE"""),TRUE)</f>
        <v>1</v>
      </c>
      <c r="G48" s="5" t="str">
        <f ca="1">IFERROR(__xludf.DUMMYFUNCTION("""COMPUTED_VALUE"""),"JULIAN CALDERON")</f>
        <v>JULIAN CALDERON</v>
      </c>
      <c r="H48" s="5"/>
      <c r="I48" s="5"/>
      <c r="J48" s="5" t="str">
        <f t="shared" ca="1" si="0"/>
        <v>Limpieza realizada</v>
      </c>
    </row>
    <row r="49" spans="1:10">
      <c r="A49" s="65"/>
      <c r="B49" s="5" t="str">
        <f ca="1">IFERROR(__xludf.DUMMYFUNCTION("""COMPUTED_VALUE"""),"JGO LLAVES COMB. RATCHET 8-19MM (12PZAS)")</f>
        <v>JGO LLAVES COMB. RATCHET 8-19MM (12PZAS)</v>
      </c>
      <c r="C49" s="5" t="str">
        <f ca="1">IFERROR(__xludf.DUMMYFUNCTION("""COMPUTED_VALUE"""),"VERDE")</f>
        <v>VERDE</v>
      </c>
      <c r="D49" s="5" t="str">
        <f ca="1">IFERROR(__xludf.DUMMYFUNCTION("""COMPUTED_VALUE"""),"COP")</f>
        <v>COP</v>
      </c>
      <c r="E49" s="5" t="str">
        <f ca="1">IFERROR(__xludf.DUMMYFUNCTION("""COMPUTED_VALUE"""),"DSD")</f>
        <v>DSD</v>
      </c>
      <c r="F49" s="5" t="b">
        <f ca="1">IFERROR(__xludf.DUMMYFUNCTION("""COMPUTED_VALUE"""),TRUE)</f>
        <v>1</v>
      </c>
      <c r="G49" s="5" t="str">
        <f ca="1">IFERROR(__xludf.DUMMYFUNCTION("""COMPUTED_VALUE"""),"JULIAN CALDERON")</f>
        <v>JULIAN CALDERON</v>
      </c>
      <c r="H49" s="5"/>
      <c r="I49" s="5"/>
      <c r="J49" s="5" t="str">
        <f t="shared" ca="1" si="0"/>
        <v>Limpieza realizada</v>
      </c>
    </row>
    <row r="50" spans="1:10">
      <c r="A50" s="65"/>
      <c r="B50" s="5" t="str">
        <f ca="1">IFERROR(__xludf.DUMMYFUNCTION("""COMPUTED_VALUE"""),"MALETA PARA HERRAMIENTAS STANLEY ST-512")</f>
        <v>MALETA PARA HERRAMIENTAS STANLEY ST-512</v>
      </c>
      <c r="C50" s="5" t="str">
        <f ca="1">IFERROR(__xludf.DUMMYFUNCTION("""COMPUTED_VALUE"""),"VERDE")</f>
        <v>VERDE</v>
      </c>
      <c r="D50" s="5" t="str">
        <f ca="1">IFERROR(__xludf.DUMMYFUNCTION("""COMPUTED_VALUE"""),"COP")</f>
        <v>COP</v>
      </c>
      <c r="E50" s="5" t="str">
        <f ca="1">IFERROR(__xludf.DUMMYFUNCTION("""COMPUTED_VALUE"""),"DSD")</f>
        <v>DSD</v>
      </c>
      <c r="F50" s="5" t="b">
        <f ca="1">IFERROR(__xludf.DUMMYFUNCTION("""COMPUTED_VALUE"""),TRUE)</f>
        <v>1</v>
      </c>
      <c r="G50" s="5" t="str">
        <f ca="1">IFERROR(__xludf.DUMMYFUNCTION("""COMPUTED_VALUE"""),"JULIAN CALDERON")</f>
        <v>JULIAN CALDERON</v>
      </c>
      <c r="H50" s="5"/>
      <c r="I50" s="5"/>
      <c r="J50" s="5" t="str">
        <f t="shared" ca="1" si="0"/>
        <v>Limpieza realizada</v>
      </c>
    </row>
    <row r="51" spans="1:10">
      <c r="A51" s="65"/>
      <c r="B51" s="5" t="str">
        <f ca="1">IFERROR(__xludf.DUMMYFUNCTION("""COMPUTED_VALUE"""),"DESTORNILLADOR DE PALA 1/2"""" X 12"""" 981")</f>
        <v>DESTORNILLADOR DE PALA 1/2"" X 12"" 981</v>
      </c>
      <c r="C51" s="5" t="str">
        <f ca="1">IFERROR(__xludf.DUMMYFUNCTION("""COMPUTED_VALUE"""),"VERDE")</f>
        <v>VERDE</v>
      </c>
      <c r="D51" s="5" t="str">
        <f ca="1">IFERROR(__xludf.DUMMYFUNCTION("""COMPUTED_VALUE"""),"COP")</f>
        <v>COP</v>
      </c>
      <c r="E51" s="5" t="str">
        <f ca="1">IFERROR(__xludf.DUMMYFUNCTION("""COMPUTED_VALUE"""),"DSD")</f>
        <v>DSD</v>
      </c>
      <c r="F51" s="5" t="b">
        <f ca="1">IFERROR(__xludf.DUMMYFUNCTION("""COMPUTED_VALUE"""),TRUE)</f>
        <v>1</v>
      </c>
      <c r="G51" s="5" t="str">
        <f ca="1">IFERROR(__xludf.DUMMYFUNCTION("""COMPUTED_VALUE"""),"JULIAN CALDERON")</f>
        <v>JULIAN CALDERON</v>
      </c>
      <c r="H51" s="5"/>
      <c r="I51" s="5"/>
      <c r="J51" s="5" t="str">
        <f t="shared" ca="1" si="0"/>
        <v>Limpieza realizada</v>
      </c>
    </row>
    <row r="52" spans="1:10">
      <c r="A52" s="65"/>
      <c r="B52" s="5" t="str">
        <f ca="1">IFERROR(__xludf.DUMMYFUNCTION("""COMPUTED_VALUE"""),"JGO DESTORNILLADORES 69-173 STANLEY")</f>
        <v>JGO DESTORNILLADORES 69-173 STANLEY</v>
      </c>
      <c r="C52" s="5" t="str">
        <f ca="1">IFERROR(__xludf.DUMMYFUNCTION("""COMPUTED_VALUE"""),"VERDE")</f>
        <v>VERDE</v>
      </c>
      <c r="D52" s="5" t="str">
        <f ca="1">IFERROR(__xludf.DUMMYFUNCTION("""COMPUTED_VALUE"""),"COP")</f>
        <v>COP</v>
      </c>
      <c r="E52" s="5" t="str">
        <f ca="1">IFERROR(__xludf.DUMMYFUNCTION("""COMPUTED_VALUE"""),"DSD")</f>
        <v>DSD</v>
      </c>
      <c r="F52" s="5" t="b">
        <f ca="1">IFERROR(__xludf.DUMMYFUNCTION("""COMPUTED_VALUE"""),TRUE)</f>
        <v>1</v>
      </c>
      <c r="G52" s="5" t="str">
        <f ca="1">IFERROR(__xludf.DUMMYFUNCTION("""COMPUTED_VALUE"""),"JULIAN CALDERON")</f>
        <v>JULIAN CALDERON</v>
      </c>
      <c r="H52" s="5"/>
      <c r="I52" s="5"/>
      <c r="J52" s="5" t="str">
        <f t="shared" ca="1" si="0"/>
        <v>Limpieza realizada</v>
      </c>
    </row>
    <row r="53" spans="1:10">
      <c r="A53" s="65">
        <f ca="1">IFERROR(__xludf.DUMMYFUNCTION("""COMPUTED_VALUE"""),45367)</f>
        <v>45367</v>
      </c>
      <c r="B53" s="5" t="str">
        <f ca="1">IFERROR(__xludf.DUMMYFUNCTION("""COMPUTED_VALUE"""),"ALICATE AISLADO 7""")</f>
        <v>ALICATE AISLADO 7"</v>
      </c>
      <c r="C53" s="5" t="str">
        <f ca="1">IFERROR(__xludf.DUMMYFUNCTION("""COMPUTED_VALUE"""),"VERDE")</f>
        <v>VERDE</v>
      </c>
      <c r="D53" s="5" t="str">
        <f ca="1">IFERROR(__xludf.DUMMYFUNCTION("""COMPUTED_VALUE"""),"COP")</f>
        <v>COP</v>
      </c>
      <c r="E53" s="5" t="str">
        <f ca="1">IFERROR(__xludf.DUMMYFUNCTION("""COMPUTED_VALUE"""),"DSD")</f>
        <v>DSD</v>
      </c>
      <c r="F53" s="5" t="b">
        <f ca="1">IFERROR(__xludf.DUMMYFUNCTION("""COMPUTED_VALUE"""),TRUE)</f>
        <v>1</v>
      </c>
      <c r="G53" s="5" t="str">
        <f ca="1">IFERROR(__xludf.DUMMYFUNCTION("""COMPUTED_VALUE"""),"JOHN EDIER GOMEZ ZUÑIGA ")</f>
        <v xml:space="preserve">JOHN EDIER GOMEZ ZUÑIGA </v>
      </c>
      <c r="H53" s="5"/>
      <c r="I53" s="5"/>
      <c r="J53" s="5" t="str">
        <f t="shared" ca="1" si="0"/>
        <v>Limpieza realizada</v>
      </c>
    </row>
    <row r="54" spans="1:10">
      <c r="A54" s="65"/>
      <c r="B54" s="5" t="str">
        <f ca="1">IFERROR(__xludf.DUMMYFUNCTION("""COMPUTED_VALUE"""),"JUEGO CINCELES 86 B 7 PZAS PROTO")</f>
        <v>JUEGO CINCELES 86 B 7 PZAS PROTO</v>
      </c>
      <c r="C54" s="5" t="str">
        <f ca="1">IFERROR(__xludf.DUMMYFUNCTION("""COMPUTED_VALUE"""),"VERDE")</f>
        <v>VERDE</v>
      </c>
      <c r="D54" s="5" t="str">
        <f ca="1">IFERROR(__xludf.DUMMYFUNCTION("""COMPUTED_VALUE"""),"COP")</f>
        <v>COP</v>
      </c>
      <c r="E54" s="5" t="str">
        <f ca="1">IFERROR(__xludf.DUMMYFUNCTION("""COMPUTED_VALUE"""),"DSD")</f>
        <v>DSD</v>
      </c>
      <c r="F54" s="5" t="b">
        <f ca="1">IFERROR(__xludf.DUMMYFUNCTION("""COMPUTED_VALUE"""),TRUE)</f>
        <v>1</v>
      </c>
      <c r="G54" s="5" t="str">
        <f ca="1">IFERROR(__xludf.DUMMYFUNCTION("""COMPUTED_VALUE"""),"JOHN EDIER GOMEZ ZUÑIGA ")</f>
        <v xml:space="preserve">JOHN EDIER GOMEZ ZUÑIGA </v>
      </c>
      <c r="H54" s="5"/>
      <c r="I54" s="5"/>
      <c r="J54" s="5" t="str">
        <f t="shared" ca="1" si="0"/>
        <v>Limpieza realizada</v>
      </c>
    </row>
    <row r="55" spans="1:10">
      <c r="A55" s="65"/>
      <c r="B55" s="5" t="str">
        <f ca="1">IFERROR(__xludf.DUMMYFUNCTION("""COMPUTED_VALUE"""),"LLAVE PARA TUBO 12""")</f>
        <v>LLAVE PARA TUBO 12"</v>
      </c>
      <c r="C55" s="5" t="str">
        <f ca="1">IFERROR(__xludf.DUMMYFUNCTION("""COMPUTED_VALUE"""),"VERDE")</f>
        <v>VERDE</v>
      </c>
      <c r="D55" s="5" t="str">
        <f ca="1">IFERROR(__xludf.DUMMYFUNCTION("""COMPUTED_VALUE"""),"COP")</f>
        <v>COP</v>
      </c>
      <c r="E55" s="5" t="str">
        <f ca="1">IFERROR(__xludf.DUMMYFUNCTION("""COMPUTED_VALUE"""),"DSD")</f>
        <v>DSD</v>
      </c>
      <c r="F55" s="5" t="b">
        <f ca="1">IFERROR(__xludf.DUMMYFUNCTION("""COMPUTED_VALUE"""),TRUE)</f>
        <v>1</v>
      </c>
      <c r="G55" s="5" t="str">
        <f ca="1">IFERROR(__xludf.DUMMYFUNCTION("""COMPUTED_VALUE"""),"JOHN EDIER GOMEZ ZUÑIGA ")</f>
        <v xml:space="preserve">JOHN EDIER GOMEZ ZUÑIGA </v>
      </c>
      <c r="H55" s="5"/>
      <c r="I55" s="5"/>
      <c r="J55" s="5" t="str">
        <f t="shared" ca="1" si="0"/>
        <v>Limpieza realizada</v>
      </c>
    </row>
    <row r="56" spans="1:10">
      <c r="A56" s="65"/>
      <c r="B56" s="5" t="str">
        <f ca="1">IFERROR(__xludf.DUMMYFUNCTION("""COMPUTED_VALUE"""),"FLEXOMETRO DE 5 MTS")</f>
        <v>FLEXOMETRO DE 5 MTS</v>
      </c>
      <c r="C56" s="5" t="str">
        <f ca="1">IFERROR(__xludf.DUMMYFUNCTION("""COMPUTED_VALUE"""),"VERDE")</f>
        <v>VERDE</v>
      </c>
      <c r="D56" s="5" t="str">
        <f ca="1">IFERROR(__xludf.DUMMYFUNCTION("""COMPUTED_VALUE"""),"COP")</f>
        <v>COP</v>
      </c>
      <c r="E56" s="5" t="str">
        <f ca="1">IFERROR(__xludf.DUMMYFUNCTION("""COMPUTED_VALUE"""),"DSD")</f>
        <v>DSD</v>
      </c>
      <c r="F56" s="5" t="b">
        <f ca="1">IFERROR(__xludf.DUMMYFUNCTION("""COMPUTED_VALUE"""),TRUE)</f>
        <v>1</v>
      </c>
      <c r="G56" s="5" t="str">
        <f ca="1">IFERROR(__xludf.DUMMYFUNCTION("""COMPUTED_VALUE"""),"JOHN EDIER GOMEZ ZUÑIGA ")</f>
        <v xml:space="preserve">JOHN EDIER GOMEZ ZUÑIGA </v>
      </c>
      <c r="H56" s="5"/>
      <c r="I56" s="5"/>
      <c r="J56" s="5" t="str">
        <f t="shared" ca="1" si="0"/>
        <v>Limpieza realizada</v>
      </c>
    </row>
    <row r="57" spans="1:10">
      <c r="A57" s="65"/>
      <c r="B57" s="5" t="str">
        <f ca="1">IFERROR(__xludf.DUMMYFUNCTION("""COMPUTED_VALUE"""),"ALICATE DE PRESION HOMBRE SOLO 7""")</f>
        <v>ALICATE DE PRESION HOMBRE SOLO 7"</v>
      </c>
      <c r="C57" s="5" t="str">
        <f ca="1">IFERROR(__xludf.DUMMYFUNCTION("""COMPUTED_VALUE"""),"VERDE")</f>
        <v>VERDE</v>
      </c>
      <c r="D57" s="5" t="str">
        <f ca="1">IFERROR(__xludf.DUMMYFUNCTION("""COMPUTED_VALUE"""),"COP")</f>
        <v>COP</v>
      </c>
      <c r="E57" s="5" t="str">
        <f ca="1">IFERROR(__xludf.DUMMYFUNCTION("""COMPUTED_VALUE"""),"DSD")</f>
        <v>DSD</v>
      </c>
      <c r="F57" s="5" t="b">
        <f ca="1">IFERROR(__xludf.DUMMYFUNCTION("""COMPUTED_VALUE"""),TRUE)</f>
        <v>1</v>
      </c>
      <c r="G57" s="5" t="str">
        <f ca="1">IFERROR(__xludf.DUMMYFUNCTION("""COMPUTED_VALUE"""),"JOHN EDIER GOMEZ ZUÑIGA ")</f>
        <v xml:space="preserve">JOHN EDIER GOMEZ ZUÑIGA </v>
      </c>
      <c r="H57" s="5"/>
      <c r="I57" s="5"/>
      <c r="J57" s="5" t="str">
        <f t="shared" ca="1" si="0"/>
        <v>Limpieza realizada</v>
      </c>
    </row>
    <row r="58" spans="1:10">
      <c r="A58" s="65"/>
      <c r="B58" s="5" t="str">
        <f ca="1">IFERROR(__xludf.DUMMYFUNCTION("""COMPUTED_VALUE"""),"ALICATE PUNTA LARGAS STANLEY REF. 84-101")</f>
        <v>ALICATE PUNTA LARGAS STANLEY REF. 84-101</v>
      </c>
      <c r="C58" s="5" t="str">
        <f ca="1">IFERROR(__xludf.DUMMYFUNCTION("""COMPUTED_VALUE"""),"VERDE")</f>
        <v>VERDE</v>
      </c>
      <c r="D58" s="5" t="str">
        <f ca="1">IFERROR(__xludf.DUMMYFUNCTION("""COMPUTED_VALUE"""),"COP")</f>
        <v>COP</v>
      </c>
      <c r="E58" s="5" t="str">
        <f ca="1">IFERROR(__xludf.DUMMYFUNCTION("""COMPUTED_VALUE"""),"DSD")</f>
        <v>DSD</v>
      </c>
      <c r="F58" s="5" t="b">
        <f ca="1">IFERROR(__xludf.DUMMYFUNCTION("""COMPUTED_VALUE"""),TRUE)</f>
        <v>1</v>
      </c>
      <c r="G58" s="5" t="str">
        <f ca="1">IFERROR(__xludf.DUMMYFUNCTION("""COMPUTED_VALUE"""),"JOHN EDIER GOMEZ ZUÑIGA ")</f>
        <v xml:space="preserve">JOHN EDIER GOMEZ ZUÑIGA </v>
      </c>
      <c r="H58" s="5"/>
      <c r="I58" s="5"/>
      <c r="J58" s="5" t="str">
        <f t="shared" ca="1" si="0"/>
        <v>Limpieza realizada</v>
      </c>
    </row>
    <row r="59" spans="1:10">
      <c r="A59" s="65"/>
      <c r="B59" s="5" t="str">
        <f ca="1">IFERROR(__xludf.DUMMYFUNCTION("""COMPUTED_VALUE"""),"LLAVE EXPANSION 10""")</f>
        <v>LLAVE EXPANSION 10"</v>
      </c>
      <c r="C59" s="5" t="str">
        <f ca="1">IFERROR(__xludf.DUMMYFUNCTION("""COMPUTED_VALUE"""),"VERDE")</f>
        <v>VERDE</v>
      </c>
      <c r="D59" s="5" t="str">
        <f ca="1">IFERROR(__xludf.DUMMYFUNCTION("""COMPUTED_VALUE"""),"COP")</f>
        <v>COP</v>
      </c>
      <c r="E59" s="5" t="str">
        <f ca="1">IFERROR(__xludf.DUMMYFUNCTION("""COMPUTED_VALUE"""),"DSD")</f>
        <v>DSD</v>
      </c>
      <c r="F59" s="5" t="b">
        <f ca="1">IFERROR(__xludf.DUMMYFUNCTION("""COMPUTED_VALUE"""),TRUE)</f>
        <v>1</v>
      </c>
      <c r="G59" s="5" t="str">
        <f ca="1">IFERROR(__xludf.DUMMYFUNCTION("""COMPUTED_VALUE"""),"JOHN EDIER GOMEZ ZUÑIGA ")</f>
        <v xml:space="preserve">JOHN EDIER GOMEZ ZUÑIGA </v>
      </c>
      <c r="H59" s="5"/>
      <c r="I59" s="5"/>
      <c r="J59" s="5" t="str">
        <f t="shared" ca="1" si="0"/>
        <v>Limpieza realizada</v>
      </c>
    </row>
    <row r="60" spans="1:10">
      <c r="A60" s="65"/>
      <c r="B60" s="5" t="str">
        <f ca="1">IFERROR(__xludf.DUMMYFUNCTION("""COMPUTED_VALUE"""),"JUGO LLAVES BRISTOL-ALLEN 0,050 A 3/8""""")</f>
        <v>JUGO LLAVES BRISTOL-ALLEN 0,050 A 3/8""</v>
      </c>
      <c r="C60" s="5" t="str">
        <f ca="1">IFERROR(__xludf.DUMMYFUNCTION("""COMPUTED_VALUE"""),"VERDE")</f>
        <v>VERDE</v>
      </c>
      <c r="D60" s="5" t="str">
        <f ca="1">IFERROR(__xludf.DUMMYFUNCTION("""COMPUTED_VALUE"""),"COP")</f>
        <v>COP</v>
      </c>
      <c r="E60" s="5" t="str">
        <f ca="1">IFERROR(__xludf.DUMMYFUNCTION("""COMPUTED_VALUE"""),"DSD")</f>
        <v>DSD</v>
      </c>
      <c r="F60" s="5" t="b">
        <f ca="1">IFERROR(__xludf.DUMMYFUNCTION("""COMPUTED_VALUE"""),TRUE)</f>
        <v>1</v>
      </c>
      <c r="G60" s="5" t="str">
        <f ca="1">IFERROR(__xludf.DUMMYFUNCTION("""COMPUTED_VALUE"""),"JOHN EDIER GOMEZ ZUÑIGA ")</f>
        <v xml:space="preserve">JOHN EDIER GOMEZ ZUÑIGA </v>
      </c>
      <c r="H60" s="5"/>
      <c r="I60" s="5"/>
      <c r="J60" s="5" t="str">
        <f t="shared" ca="1" si="0"/>
        <v>Limpieza realizada</v>
      </c>
    </row>
    <row r="61" spans="1:10">
      <c r="A61" s="65"/>
      <c r="B61" s="5" t="str">
        <f ca="1">IFERROR(__xludf.DUMMYFUNCTION("""COMPUTED_VALUE"""),"PINZA AMPERIMETRICA FLUKE 376")</f>
        <v>PINZA AMPERIMETRICA FLUKE 376</v>
      </c>
      <c r="C61" s="5" t="str">
        <f ca="1">IFERROR(__xludf.DUMMYFUNCTION("""COMPUTED_VALUE"""),"VERDE")</f>
        <v>VERDE</v>
      </c>
      <c r="D61" s="5" t="str">
        <f ca="1">IFERROR(__xludf.DUMMYFUNCTION("""COMPUTED_VALUE"""),"COP")</f>
        <v>COP</v>
      </c>
      <c r="E61" s="5" t="str">
        <f ca="1">IFERROR(__xludf.DUMMYFUNCTION("""COMPUTED_VALUE"""),"DSD")</f>
        <v>DSD</v>
      </c>
      <c r="F61" s="5" t="b">
        <f ca="1">IFERROR(__xludf.DUMMYFUNCTION("""COMPUTED_VALUE"""),TRUE)</f>
        <v>1</v>
      </c>
      <c r="G61" s="5" t="str">
        <f ca="1">IFERROR(__xludf.DUMMYFUNCTION("""COMPUTED_VALUE"""),"JOHN EDIER GOMEZ ZUÑIGA ")</f>
        <v xml:space="preserve">JOHN EDIER GOMEZ ZUÑIGA </v>
      </c>
      <c r="H61" s="5"/>
      <c r="I61" s="5"/>
      <c r="J61" s="5" t="str">
        <f t="shared" ca="1" si="0"/>
        <v>Limpieza realizada</v>
      </c>
    </row>
    <row r="62" spans="1:10">
      <c r="A62" s="65"/>
      <c r="B62" s="5" t="str">
        <f ca="1">IFERROR(__xludf.DUMMYFUNCTION("""COMPUTED_VALUE"""),"JUEGO COPAS MIL CUADRAN 3/8 STANLEY 86-209")</f>
        <v>JUEGO COPAS MIL CUADRAN 3/8 STANLEY 86-209</v>
      </c>
      <c r="C62" s="5" t="str">
        <f ca="1">IFERROR(__xludf.DUMMYFUNCTION("""COMPUTED_VALUE"""),"VERDE")</f>
        <v>VERDE</v>
      </c>
      <c r="D62" s="5" t="str">
        <f ca="1">IFERROR(__xludf.DUMMYFUNCTION("""COMPUTED_VALUE"""),"COP")</f>
        <v>COP</v>
      </c>
      <c r="E62" s="5" t="str">
        <f ca="1">IFERROR(__xludf.DUMMYFUNCTION("""COMPUTED_VALUE"""),"DSD")</f>
        <v>DSD</v>
      </c>
      <c r="F62" s="5" t="b">
        <f ca="1">IFERROR(__xludf.DUMMYFUNCTION("""COMPUTED_VALUE"""),TRUE)</f>
        <v>1</v>
      </c>
      <c r="G62" s="5" t="str">
        <f ca="1">IFERROR(__xludf.DUMMYFUNCTION("""COMPUTED_VALUE"""),"JOHN EDIER GOMEZ ZUÑIGA ")</f>
        <v xml:space="preserve">JOHN EDIER GOMEZ ZUÑIGA </v>
      </c>
      <c r="H62" s="5"/>
      <c r="I62" s="5"/>
      <c r="J62" s="5" t="str">
        <f t="shared" ca="1" si="0"/>
        <v>Limpieza realizada</v>
      </c>
    </row>
    <row r="63" spans="1:10">
      <c r="A63" s="65"/>
      <c r="B63" s="5" t="str">
        <f ca="1">IFERROR(__xludf.DUMMYFUNCTION("""COMPUTED_VALUE"""),"MALETA PARA HERRAMIENTAS ")</f>
        <v xml:space="preserve">MALETA PARA HERRAMIENTAS </v>
      </c>
      <c r="C63" s="5" t="str">
        <f ca="1">IFERROR(__xludf.DUMMYFUNCTION("""COMPUTED_VALUE"""),"VERDE")</f>
        <v>VERDE</v>
      </c>
      <c r="D63" s="5" t="str">
        <f ca="1">IFERROR(__xludf.DUMMYFUNCTION("""COMPUTED_VALUE"""),"COP")</f>
        <v>COP</v>
      </c>
      <c r="E63" s="5" t="str">
        <f ca="1">IFERROR(__xludf.DUMMYFUNCTION("""COMPUTED_VALUE"""),"DSD")</f>
        <v>DSD</v>
      </c>
      <c r="F63" s="5" t="b">
        <f ca="1">IFERROR(__xludf.DUMMYFUNCTION("""COMPUTED_VALUE"""),TRUE)</f>
        <v>1</v>
      </c>
      <c r="G63" s="5" t="str">
        <f ca="1">IFERROR(__xludf.DUMMYFUNCTION("""COMPUTED_VALUE"""),"JOHN EDIER GOMEZ ZUÑIGA ")</f>
        <v xml:space="preserve">JOHN EDIER GOMEZ ZUÑIGA </v>
      </c>
      <c r="H63" s="5"/>
      <c r="I63" s="5"/>
      <c r="J63" s="5" t="str">
        <f t="shared" ca="1" si="0"/>
        <v>Limpieza realizada</v>
      </c>
    </row>
    <row r="64" spans="1:10">
      <c r="A64" s="65"/>
      <c r="B64" s="5" t="str">
        <f ca="1">IFERROR(__xludf.DUMMYFUNCTION("""COMPUTED_VALUE"""),"PINZAS PARA PÍNES PROTO 379")</f>
        <v>PINZAS PARA PÍNES PROTO 379</v>
      </c>
      <c r="C64" s="5" t="str">
        <f ca="1">IFERROR(__xludf.DUMMYFUNCTION("""COMPUTED_VALUE"""),"VERDE")</f>
        <v>VERDE</v>
      </c>
      <c r="D64" s="5" t="str">
        <f ca="1">IFERROR(__xludf.DUMMYFUNCTION("""COMPUTED_VALUE"""),"COP")</f>
        <v>COP</v>
      </c>
      <c r="E64" s="5" t="str">
        <f ca="1">IFERROR(__xludf.DUMMYFUNCTION("""COMPUTED_VALUE"""),"DSD")</f>
        <v>DSD</v>
      </c>
      <c r="F64" s="5" t="b">
        <f ca="1">IFERROR(__xludf.DUMMYFUNCTION("""COMPUTED_VALUE"""),TRUE)</f>
        <v>1</v>
      </c>
      <c r="G64" s="5" t="str">
        <f ca="1">IFERROR(__xludf.DUMMYFUNCTION("""COMPUTED_VALUE"""),"JOHN EDIER GOMEZ ZUÑIGA ")</f>
        <v xml:space="preserve">JOHN EDIER GOMEZ ZUÑIGA </v>
      </c>
      <c r="H64" s="5"/>
      <c r="I64" s="5"/>
      <c r="J64" s="5" t="str">
        <f t="shared" ca="1" si="0"/>
        <v>Limpieza realizada</v>
      </c>
    </row>
    <row r="65" spans="1:10">
      <c r="A65" s="65"/>
      <c r="B65" s="5" t="str">
        <f ca="1">IFERROR(__xludf.DUMMYFUNCTION("""COMPUTED_VALUE"""),"CALIBRADOR PIE DE REY 7""")</f>
        <v>CALIBRADOR PIE DE REY 7"</v>
      </c>
      <c r="C65" s="5" t="str">
        <f ca="1">IFERROR(__xludf.DUMMYFUNCTION("""COMPUTED_VALUE"""),"VERDE")</f>
        <v>VERDE</v>
      </c>
      <c r="D65" s="5" t="str">
        <f ca="1">IFERROR(__xludf.DUMMYFUNCTION("""COMPUTED_VALUE"""),"COP")</f>
        <v>COP</v>
      </c>
      <c r="E65" s="5" t="str">
        <f ca="1">IFERROR(__xludf.DUMMYFUNCTION("""COMPUTED_VALUE"""),"DSD")</f>
        <v>DSD</v>
      </c>
      <c r="F65" s="5" t="b">
        <f ca="1">IFERROR(__xludf.DUMMYFUNCTION("""COMPUTED_VALUE"""),FALSE)</f>
        <v>0</v>
      </c>
      <c r="G65" s="5" t="str">
        <f ca="1">IFERROR(__xludf.DUMMYFUNCTION("""COMPUTED_VALUE"""),"WILMER GUTIERREZ")</f>
        <v>WILMER GUTIERREZ</v>
      </c>
      <c r="H65" s="5"/>
      <c r="I65" s="5"/>
      <c r="J65" s="5" t="str">
        <f t="shared" ca="1" si="0"/>
        <v>Limpiezas no realizadas</v>
      </c>
    </row>
    <row r="66" spans="1:10">
      <c r="A66" s="65"/>
      <c r="B66" s="5" t="str">
        <f ca="1">IFERROR(__xludf.DUMMYFUNCTION("""COMPUTED_VALUE"""),"JUEGO CINCELES PROTO 86B 13 PZAS")</f>
        <v>JUEGO CINCELES PROTO 86B 13 PZAS</v>
      </c>
      <c r="C66" s="5" t="str">
        <f ca="1">IFERROR(__xludf.DUMMYFUNCTION("""COMPUTED_VALUE"""),"VERDE")</f>
        <v>VERDE</v>
      </c>
      <c r="D66" s="5" t="str">
        <f ca="1">IFERROR(__xludf.DUMMYFUNCTION("""COMPUTED_VALUE"""),"COP")</f>
        <v>COP</v>
      </c>
      <c r="E66" s="5" t="str">
        <f ca="1">IFERROR(__xludf.DUMMYFUNCTION("""COMPUTED_VALUE"""),"DSD")</f>
        <v>DSD</v>
      </c>
      <c r="F66" s="5" t="b">
        <f ca="1">IFERROR(__xludf.DUMMYFUNCTION("""COMPUTED_VALUE"""),FALSE)</f>
        <v>0</v>
      </c>
      <c r="G66" s="5" t="str">
        <f ca="1">IFERROR(__xludf.DUMMYFUNCTION("""COMPUTED_VALUE"""),"WILMER GUTIERREZ")</f>
        <v>WILMER GUTIERREZ</v>
      </c>
      <c r="H66" s="5"/>
      <c r="I66" s="5"/>
      <c r="J66" s="5" t="str">
        <f t="shared" ca="1" si="0"/>
        <v>Limpiezas no realizadas</v>
      </c>
    </row>
    <row r="67" spans="1:10">
      <c r="A67" s="65"/>
      <c r="B67" s="5" t="str">
        <f ca="1">IFERROR(__xludf.DUMMYFUNCTION("""COMPUTED_VALUE"""),"DESTORNILLADOR DE PALA 3/8"" X 6""")</f>
        <v>DESTORNILLADOR DE PALA 3/8" X 6"</v>
      </c>
      <c r="C67" s="5" t="str">
        <f ca="1">IFERROR(__xludf.DUMMYFUNCTION("""COMPUTED_VALUE"""),"VERDE")</f>
        <v>VERDE</v>
      </c>
      <c r="D67" s="5" t="str">
        <f ca="1">IFERROR(__xludf.DUMMYFUNCTION("""COMPUTED_VALUE"""),"COP")</f>
        <v>COP</v>
      </c>
      <c r="E67" s="5" t="str">
        <f ca="1">IFERROR(__xludf.DUMMYFUNCTION("""COMPUTED_VALUE"""),"DSD")</f>
        <v>DSD</v>
      </c>
      <c r="F67" s="5" t="b">
        <f ca="1">IFERROR(__xludf.DUMMYFUNCTION("""COMPUTED_VALUE"""),FALSE)</f>
        <v>0</v>
      </c>
      <c r="G67" s="5" t="str">
        <f ca="1">IFERROR(__xludf.DUMMYFUNCTION("""COMPUTED_VALUE"""),"WILMER GUTIERREZ")</f>
        <v>WILMER GUTIERREZ</v>
      </c>
      <c r="H67" s="5"/>
      <c r="I67" s="5"/>
      <c r="J67" s="5" t="str">
        <f t="shared" ca="1" si="0"/>
        <v>Limpiezas no realizadas</v>
      </c>
    </row>
    <row r="68" spans="1:10">
      <c r="A68" s="65"/>
      <c r="B68" s="5" t="str">
        <f ca="1">IFERROR(__xludf.DUMMYFUNCTION("""COMPUTED_VALUE"""),"ALICATE DE PRESION HOMBRE SOLO 7""")</f>
        <v>ALICATE DE PRESION HOMBRE SOLO 7"</v>
      </c>
      <c r="C68" s="5" t="str">
        <f ca="1">IFERROR(__xludf.DUMMYFUNCTION("""COMPUTED_VALUE"""),"VERDE")</f>
        <v>VERDE</v>
      </c>
      <c r="D68" s="5" t="str">
        <f ca="1">IFERROR(__xludf.DUMMYFUNCTION("""COMPUTED_VALUE"""),"COP")</f>
        <v>COP</v>
      </c>
      <c r="E68" s="5" t="str">
        <f ca="1">IFERROR(__xludf.DUMMYFUNCTION("""COMPUTED_VALUE"""),"DSD")</f>
        <v>DSD</v>
      </c>
      <c r="F68" s="5" t="b">
        <f ca="1">IFERROR(__xludf.DUMMYFUNCTION("""COMPUTED_VALUE"""),FALSE)</f>
        <v>0</v>
      </c>
      <c r="G68" s="5" t="str">
        <f ca="1">IFERROR(__xludf.DUMMYFUNCTION("""COMPUTED_VALUE"""),"WILMER GUTIERREZ")</f>
        <v>WILMER GUTIERREZ</v>
      </c>
      <c r="H68" s="5"/>
      <c r="I68" s="5"/>
      <c r="J68" s="5" t="str">
        <f t="shared" ca="1" si="0"/>
        <v>Limpiezas no realizadas</v>
      </c>
    </row>
    <row r="69" spans="1:10">
      <c r="A69" s="65"/>
      <c r="B69" s="5" t="str">
        <f ca="1">IFERROR(__xludf.DUMMYFUNCTION("""COMPUTED_VALUE"""),"MARTILLO DE BOLA DE 1 LIBRA")</f>
        <v>MARTILLO DE BOLA DE 1 LIBRA</v>
      </c>
      <c r="C69" s="5" t="str">
        <f ca="1">IFERROR(__xludf.DUMMYFUNCTION("""COMPUTED_VALUE"""),"VERDE")</f>
        <v>VERDE</v>
      </c>
      <c r="D69" s="5" t="str">
        <f ca="1">IFERROR(__xludf.DUMMYFUNCTION("""COMPUTED_VALUE"""),"COP")</f>
        <v>COP</v>
      </c>
      <c r="E69" s="5" t="str">
        <f ca="1">IFERROR(__xludf.DUMMYFUNCTION("""COMPUTED_VALUE"""),"DSD")</f>
        <v>DSD</v>
      </c>
      <c r="F69" s="5" t="b">
        <f ca="1">IFERROR(__xludf.DUMMYFUNCTION("""COMPUTED_VALUE"""),FALSE)</f>
        <v>0</v>
      </c>
      <c r="G69" s="5" t="str">
        <f ca="1">IFERROR(__xludf.DUMMYFUNCTION("""COMPUTED_VALUE"""),"WILMER GUTIERREZ")</f>
        <v>WILMER GUTIERREZ</v>
      </c>
      <c r="H69" s="5"/>
      <c r="I69" s="5"/>
      <c r="J69" s="5" t="str">
        <f t="shared" ca="1" si="0"/>
        <v>Limpiezas no realizadas</v>
      </c>
    </row>
    <row r="70" spans="1:10">
      <c r="A70" s="65"/>
      <c r="B70" s="5" t="str">
        <f ca="1">IFERROR(__xludf.DUMMYFUNCTION("""COMPUTED_VALUE"""),"ALICATE P/ANILLOS DE RETENCION PROTO 377")</f>
        <v>ALICATE P/ANILLOS DE RETENCION PROTO 377</v>
      </c>
      <c r="C70" s="5" t="str">
        <f ca="1">IFERROR(__xludf.DUMMYFUNCTION("""COMPUTED_VALUE"""),"VERDE")</f>
        <v>VERDE</v>
      </c>
      <c r="D70" s="5" t="str">
        <f ca="1">IFERROR(__xludf.DUMMYFUNCTION("""COMPUTED_VALUE"""),"COP")</f>
        <v>COP</v>
      </c>
      <c r="E70" s="5" t="str">
        <f ca="1">IFERROR(__xludf.DUMMYFUNCTION("""COMPUTED_VALUE"""),"DSD")</f>
        <v>DSD</v>
      </c>
      <c r="F70" s="5" t="b">
        <f ca="1">IFERROR(__xludf.DUMMYFUNCTION("""COMPUTED_VALUE"""),FALSE)</f>
        <v>0</v>
      </c>
      <c r="G70" s="5" t="str">
        <f ca="1">IFERROR(__xludf.DUMMYFUNCTION("""COMPUTED_VALUE"""),"WILMER GUTIERREZ")</f>
        <v>WILMER GUTIERREZ</v>
      </c>
      <c r="H70" s="5"/>
      <c r="I70" s="5"/>
      <c r="J70" s="5" t="str">
        <f t="shared" ca="1" si="0"/>
        <v>Limpiezas no realizadas</v>
      </c>
    </row>
    <row r="71" spans="1:10">
      <c r="A71" s="65"/>
      <c r="B71" s="5" t="str">
        <f ca="1">IFERROR(__xludf.DUMMYFUNCTION("""COMPUTED_VALUE"""),"Maleta para herramienta")</f>
        <v>Maleta para herramienta</v>
      </c>
      <c r="C71" s="5" t="str">
        <f ca="1">IFERROR(__xludf.DUMMYFUNCTION("""COMPUTED_VALUE"""),"VERDE")</f>
        <v>VERDE</v>
      </c>
      <c r="D71" s="5" t="str">
        <f ca="1">IFERROR(__xludf.DUMMYFUNCTION("""COMPUTED_VALUE"""),"COP")</f>
        <v>COP</v>
      </c>
      <c r="E71" s="5" t="str">
        <f ca="1">IFERROR(__xludf.DUMMYFUNCTION("""COMPUTED_VALUE"""),"DSD")</f>
        <v>DSD</v>
      </c>
      <c r="F71" s="5" t="b">
        <f ca="1">IFERROR(__xludf.DUMMYFUNCTION("""COMPUTED_VALUE"""),FALSE)</f>
        <v>0</v>
      </c>
      <c r="G71" s="5" t="str">
        <f ca="1">IFERROR(__xludf.DUMMYFUNCTION("""COMPUTED_VALUE"""),"WILMER GUTIERREZ")</f>
        <v>WILMER GUTIERREZ</v>
      </c>
      <c r="H71" s="5"/>
      <c r="I71" s="5"/>
      <c r="J71" s="5" t="str">
        <f t="shared" ca="1" si="0"/>
        <v>Limpiezas no realizadas</v>
      </c>
    </row>
    <row r="72" spans="1:10">
      <c r="A72" s="65"/>
      <c r="B72" s="5" t="str">
        <f ca="1">IFERROR(__xludf.DUMMYFUNCTION("""COMPUTED_VALUE"""),"Llave de expansión 10""")</f>
        <v>Llave de expansión 10"</v>
      </c>
      <c r="C72" s="5" t="str">
        <f ca="1">IFERROR(__xludf.DUMMYFUNCTION("""COMPUTED_VALUE"""),"VERDE")</f>
        <v>VERDE</v>
      </c>
      <c r="D72" s="5" t="str">
        <f ca="1">IFERROR(__xludf.DUMMYFUNCTION("""COMPUTED_VALUE"""),"COP")</f>
        <v>COP</v>
      </c>
      <c r="E72" s="5" t="str">
        <f ca="1">IFERROR(__xludf.DUMMYFUNCTION("""COMPUTED_VALUE"""),"DSD")</f>
        <v>DSD</v>
      </c>
      <c r="F72" s="5" t="b">
        <f ca="1">IFERROR(__xludf.DUMMYFUNCTION("""COMPUTED_VALUE"""),FALSE)</f>
        <v>0</v>
      </c>
      <c r="G72" s="5" t="str">
        <f ca="1">IFERROR(__xludf.DUMMYFUNCTION("""COMPUTED_VALUE"""),"WILMER GUTIERREZ")</f>
        <v>WILMER GUTIERREZ</v>
      </c>
      <c r="H72" s="5"/>
      <c r="I72" s="5"/>
      <c r="J72" s="5" t="str">
        <f t="shared" ca="1" si="0"/>
        <v>Limpiezas no realizadas</v>
      </c>
    </row>
    <row r="73" spans="1:10">
      <c r="A73" s="65"/>
      <c r="B73" s="5" t="str">
        <f ca="1">IFERROR(__xludf.DUMMYFUNCTION("""COMPUTED_VALUE"""),"Destornilaldor comb (6 piezas) Stanley")</f>
        <v>Destornilaldor comb (6 piezas) Stanley</v>
      </c>
      <c r="C73" s="5" t="str">
        <f ca="1">IFERROR(__xludf.DUMMYFUNCTION("""COMPUTED_VALUE"""),"VERDE")</f>
        <v>VERDE</v>
      </c>
      <c r="D73" s="5" t="str">
        <f ca="1">IFERROR(__xludf.DUMMYFUNCTION("""COMPUTED_VALUE"""),"COP")</f>
        <v>COP</v>
      </c>
      <c r="E73" s="5" t="str">
        <f ca="1">IFERROR(__xludf.DUMMYFUNCTION("""COMPUTED_VALUE"""),"DSD")</f>
        <v>DSD</v>
      </c>
      <c r="F73" s="5" t="b">
        <f ca="1">IFERROR(__xludf.DUMMYFUNCTION("""COMPUTED_VALUE"""),FALSE)</f>
        <v>0</v>
      </c>
      <c r="G73" s="5" t="str">
        <f ca="1">IFERROR(__xludf.DUMMYFUNCTION("""COMPUTED_VALUE"""),"WILMER GUTIERREZ")</f>
        <v>WILMER GUTIERREZ</v>
      </c>
      <c r="H73" s="5"/>
      <c r="I73" s="5"/>
      <c r="J73" s="5" t="str">
        <f t="shared" ca="1" si="0"/>
        <v>Limpiezas no realizadas</v>
      </c>
    </row>
    <row r="74" spans="1:10">
      <c r="A74" s="65"/>
      <c r="B74" s="5" t="str">
        <f ca="1">IFERROR(__xludf.DUMMYFUNCTION("""COMPUTED_VALUE"""),"Juego de llaves mixtas de 7 a 24mm (14 piezas)")</f>
        <v>Juego de llaves mixtas de 7 a 24mm (14 piezas)</v>
      </c>
      <c r="C74" s="5" t="str">
        <f ca="1">IFERROR(__xludf.DUMMYFUNCTION("""COMPUTED_VALUE"""),"VERDE")</f>
        <v>VERDE</v>
      </c>
      <c r="D74" s="5" t="str">
        <f ca="1">IFERROR(__xludf.DUMMYFUNCTION("""COMPUTED_VALUE"""),"COP")</f>
        <v>COP</v>
      </c>
      <c r="E74" s="5" t="str">
        <f ca="1">IFERROR(__xludf.DUMMYFUNCTION("""COMPUTED_VALUE"""),"DSD")</f>
        <v>DSD</v>
      </c>
      <c r="F74" s="5" t="b">
        <f ca="1">IFERROR(__xludf.DUMMYFUNCTION("""COMPUTED_VALUE"""),FALSE)</f>
        <v>0</v>
      </c>
      <c r="G74" s="5" t="str">
        <f ca="1">IFERROR(__xludf.DUMMYFUNCTION("""COMPUTED_VALUE"""),"WILMER GUTIERREZ")</f>
        <v>WILMER GUTIERREZ</v>
      </c>
      <c r="H74" s="5"/>
      <c r="I74" s="5"/>
      <c r="J74" s="5" t="str">
        <f t="shared" ca="1" si="0"/>
        <v>Limpiezas no realizadas</v>
      </c>
    </row>
    <row r="75" spans="1:10">
      <c r="A75" s="65"/>
      <c r="B75" s="5" t="str">
        <f ca="1">IFERROR(__xludf.DUMMYFUNCTION("""COMPUTED_VALUE"""),"Juego de llaves Bristol 1.5 - 10m (9 piezas)")</f>
        <v>Juego de llaves Bristol 1.5 - 10m (9 piezas)</v>
      </c>
      <c r="C75" s="5" t="str">
        <f ca="1">IFERROR(__xludf.DUMMYFUNCTION("""COMPUTED_VALUE"""),"VERDE")</f>
        <v>VERDE</v>
      </c>
      <c r="D75" s="5" t="str">
        <f ca="1">IFERROR(__xludf.DUMMYFUNCTION("""COMPUTED_VALUE"""),"COP")</f>
        <v>COP</v>
      </c>
      <c r="E75" s="5" t="str">
        <f ca="1">IFERROR(__xludf.DUMMYFUNCTION("""COMPUTED_VALUE"""),"DSD")</f>
        <v>DSD</v>
      </c>
      <c r="F75" s="5" t="b">
        <f ca="1">IFERROR(__xludf.DUMMYFUNCTION("""COMPUTED_VALUE"""),FALSE)</f>
        <v>0</v>
      </c>
      <c r="G75" s="5" t="str">
        <f ca="1">IFERROR(__xludf.DUMMYFUNCTION("""COMPUTED_VALUE"""),"WILMER GUTIERREZ")</f>
        <v>WILMER GUTIERREZ</v>
      </c>
      <c r="H75" s="5"/>
      <c r="I75" s="5"/>
      <c r="J75" s="5" t="str">
        <f t="shared" ca="1" si="0"/>
        <v>Limpiezas no realizadas</v>
      </c>
    </row>
    <row r="76" spans="1:10">
      <c r="A76" s="65"/>
      <c r="B76" s="5" t="str">
        <f ca="1">IFERROR(__xludf.DUMMYFUNCTION("""COMPUTED_VALUE"""),"Juego de botadores (7 piezas)")</f>
        <v>Juego de botadores (7 piezas)</v>
      </c>
      <c r="C76" s="5" t="str">
        <f ca="1">IFERROR(__xludf.DUMMYFUNCTION("""COMPUTED_VALUE"""),"VERDE")</f>
        <v>VERDE</v>
      </c>
      <c r="D76" s="5" t="str">
        <f ca="1">IFERROR(__xludf.DUMMYFUNCTION("""COMPUTED_VALUE"""),"COP")</f>
        <v>COP</v>
      </c>
      <c r="E76" s="5" t="str">
        <f ca="1">IFERROR(__xludf.DUMMYFUNCTION("""COMPUTED_VALUE"""),"DSD")</f>
        <v>DSD</v>
      </c>
      <c r="F76" s="5" t="b">
        <f ca="1">IFERROR(__xludf.DUMMYFUNCTION("""COMPUTED_VALUE"""),FALSE)</f>
        <v>0</v>
      </c>
      <c r="G76" s="5" t="str">
        <f ca="1">IFERROR(__xludf.DUMMYFUNCTION("""COMPUTED_VALUE"""),"WILMER GUTIERREZ")</f>
        <v>WILMER GUTIERREZ</v>
      </c>
      <c r="H76" s="5"/>
      <c r="I76" s="5"/>
      <c r="J76" s="5" t="str">
        <f t="shared" ca="1" si="0"/>
        <v>Limpiezas no realizadas</v>
      </c>
    </row>
    <row r="77" spans="1:10">
      <c r="A77" s="65"/>
      <c r="B77" s="5" t="str">
        <f ca="1">IFERROR(__xludf.DUMMYFUNCTION("""COMPUTED_VALUE"""),"Alicate comun 6 - 1/2"" Stanley")</f>
        <v>Alicate comun 6 - 1/2" Stanley</v>
      </c>
      <c r="C77" s="5" t="str">
        <f ca="1">IFERROR(__xludf.DUMMYFUNCTION("""COMPUTED_VALUE"""),"VERDE")</f>
        <v>VERDE</v>
      </c>
      <c r="D77" s="5" t="str">
        <f ca="1">IFERROR(__xludf.DUMMYFUNCTION("""COMPUTED_VALUE"""),"COP")</f>
        <v>COP</v>
      </c>
      <c r="E77" s="5" t="str">
        <f ca="1">IFERROR(__xludf.DUMMYFUNCTION("""COMPUTED_VALUE"""),"DSD")</f>
        <v>DSD</v>
      </c>
      <c r="F77" s="5" t="b">
        <f ca="1">IFERROR(__xludf.DUMMYFUNCTION("""COMPUTED_VALUE"""),FALSE)</f>
        <v>0</v>
      </c>
      <c r="G77" s="5" t="str">
        <f ca="1">IFERROR(__xludf.DUMMYFUNCTION("""COMPUTED_VALUE"""),"WILMER GUTIERREZ")</f>
        <v>WILMER GUTIERREZ</v>
      </c>
      <c r="H77" s="5"/>
      <c r="I77" s="5"/>
      <c r="J77" s="5" t="str">
        <f t="shared" ca="1" si="0"/>
        <v>Limpiezas no realizadas</v>
      </c>
    </row>
    <row r="78" spans="1:10">
      <c r="A78" s="65"/>
      <c r="B78" s="5" t="str">
        <f ca="1">IFERROR(__xludf.DUMMYFUNCTION("""COMPUTED_VALUE"""),"Juego de copas mil cuadros 3/8 Stanley (23 piezas)")</f>
        <v>Juego de copas mil cuadros 3/8 Stanley (23 piezas)</v>
      </c>
      <c r="C78" s="5" t="str">
        <f ca="1">IFERROR(__xludf.DUMMYFUNCTION("""COMPUTED_VALUE"""),"VERDE")</f>
        <v>VERDE</v>
      </c>
      <c r="D78" s="5" t="str">
        <f ca="1">IFERROR(__xludf.DUMMYFUNCTION("""COMPUTED_VALUE"""),"COP")</f>
        <v>COP</v>
      </c>
      <c r="E78" s="5" t="str">
        <f ca="1">IFERROR(__xludf.DUMMYFUNCTION("""COMPUTED_VALUE"""),"DSD")</f>
        <v>DSD</v>
      </c>
      <c r="F78" s="5" t="b">
        <f ca="1">IFERROR(__xludf.DUMMYFUNCTION("""COMPUTED_VALUE"""),FALSE)</f>
        <v>0</v>
      </c>
      <c r="G78" s="5" t="str">
        <f ca="1">IFERROR(__xludf.DUMMYFUNCTION("""COMPUTED_VALUE"""),"WILMER GUTIERREZ")</f>
        <v>WILMER GUTIERREZ</v>
      </c>
      <c r="H78" s="5"/>
      <c r="I78" s="5"/>
      <c r="J78" s="5" t="str">
        <f t="shared" ca="1" si="0"/>
        <v>Limpiezas no realizadas</v>
      </c>
    </row>
    <row r="79" spans="1:10">
      <c r="A79" s="65"/>
      <c r="B79" s="5" t="str">
        <f ca="1">IFERROR(__xludf.DUMMYFUNCTION("""COMPUTED_VALUE"""),"Marco para segueta Stanley")</f>
        <v>Marco para segueta Stanley</v>
      </c>
      <c r="C79" s="5" t="str">
        <f ca="1">IFERROR(__xludf.DUMMYFUNCTION("""COMPUTED_VALUE"""),"VERDE")</f>
        <v>VERDE</v>
      </c>
      <c r="D79" s="5" t="str">
        <f ca="1">IFERROR(__xludf.DUMMYFUNCTION("""COMPUTED_VALUE"""),"COP")</f>
        <v>COP</v>
      </c>
      <c r="E79" s="5" t="str">
        <f ca="1">IFERROR(__xludf.DUMMYFUNCTION("""COMPUTED_VALUE"""),"DSD")</f>
        <v>DSD</v>
      </c>
      <c r="F79" s="5" t="b">
        <f ca="1">IFERROR(__xludf.DUMMYFUNCTION("""COMPUTED_VALUE"""),FALSE)</f>
        <v>0</v>
      </c>
      <c r="G79" s="5" t="str">
        <f ca="1">IFERROR(__xludf.DUMMYFUNCTION("""COMPUTED_VALUE"""),"WILMER GUTIERREZ")</f>
        <v>WILMER GUTIERREZ</v>
      </c>
      <c r="H79" s="5"/>
      <c r="I79" s="5"/>
      <c r="J79" s="5" t="str">
        <f t="shared" ca="1" si="0"/>
        <v>Limpiezas no realizadas</v>
      </c>
    </row>
    <row r="80" spans="1:10">
      <c r="A80" s="65"/>
      <c r="B80" s="5" t="str">
        <f ca="1">IFERROR(__xludf.DUMMYFUNCTION("""COMPUTED_VALUE"""),"Flexometro de 5mts Stanley")</f>
        <v>Flexometro de 5mts Stanley</v>
      </c>
      <c r="C80" s="5" t="str">
        <f ca="1">IFERROR(__xludf.DUMMYFUNCTION("""COMPUTED_VALUE"""),"VERDE")</f>
        <v>VERDE</v>
      </c>
      <c r="D80" s="5" t="str">
        <f ca="1">IFERROR(__xludf.DUMMYFUNCTION("""COMPUTED_VALUE"""),"COP")</f>
        <v>COP</v>
      </c>
      <c r="E80" s="5" t="str">
        <f ca="1">IFERROR(__xludf.DUMMYFUNCTION("""COMPUTED_VALUE"""),"DSD")</f>
        <v>DSD</v>
      </c>
      <c r="F80" s="5" t="b">
        <f ca="1">IFERROR(__xludf.DUMMYFUNCTION("""COMPUTED_VALUE"""),FALSE)</f>
        <v>0</v>
      </c>
      <c r="G80" s="5" t="str">
        <f ca="1">IFERROR(__xludf.DUMMYFUNCTION("""COMPUTED_VALUE"""),"WILMER GUTIERREZ")</f>
        <v>WILMER GUTIERREZ</v>
      </c>
      <c r="H80" s="5"/>
      <c r="I80" s="5"/>
      <c r="J80" s="5" t="str">
        <f t="shared" ca="1" si="0"/>
        <v>Limpiezas no realizadas</v>
      </c>
    </row>
    <row r="81" spans="1:10">
      <c r="A81" s="65"/>
      <c r="B81" s="5" t="str">
        <f ca="1">IFERROR(__xludf.DUMMYFUNCTION("""COMPUTED_VALUE"""),"Martillo poliuretano Stanley")</f>
        <v>Martillo poliuretano Stanley</v>
      </c>
      <c r="C81" s="5" t="str">
        <f ca="1">IFERROR(__xludf.DUMMYFUNCTION("""COMPUTED_VALUE"""),"VERDE")</f>
        <v>VERDE</v>
      </c>
      <c r="D81" s="5" t="str">
        <f ca="1">IFERROR(__xludf.DUMMYFUNCTION("""COMPUTED_VALUE"""),"COP")</f>
        <v>COP</v>
      </c>
      <c r="E81" s="5" t="str">
        <f ca="1">IFERROR(__xludf.DUMMYFUNCTION("""COMPUTED_VALUE"""),"DSD")</f>
        <v>DSD</v>
      </c>
      <c r="F81" s="5" t="b">
        <f ca="1">IFERROR(__xludf.DUMMYFUNCTION("""COMPUTED_VALUE"""),FALSE)</f>
        <v>0</v>
      </c>
      <c r="G81" s="5" t="str">
        <f ca="1">IFERROR(__xludf.DUMMYFUNCTION("""COMPUTED_VALUE"""),"WILMER GUTIERREZ")</f>
        <v>WILMER GUTIERREZ</v>
      </c>
      <c r="H81" s="5"/>
      <c r="I81" s="5"/>
      <c r="J81" s="5" t="str">
        <f t="shared" ca="1" si="0"/>
        <v>Limpiezas no realizadas</v>
      </c>
    </row>
    <row r="82" spans="1:10">
      <c r="A82" s="65"/>
      <c r="B82" s="5" t="str">
        <f ca="1">IFERROR(__xludf.DUMMYFUNCTION("""COMPUTED_VALUE"""),"Alicate punta larga Stanely")</f>
        <v>Alicate punta larga Stanely</v>
      </c>
      <c r="C82" s="5" t="str">
        <f ca="1">IFERROR(__xludf.DUMMYFUNCTION("""COMPUTED_VALUE"""),"VERDE")</f>
        <v>VERDE</v>
      </c>
      <c r="D82" s="5" t="str">
        <f ca="1">IFERROR(__xludf.DUMMYFUNCTION("""COMPUTED_VALUE"""),"COP")</f>
        <v>COP</v>
      </c>
      <c r="E82" s="5" t="str">
        <f ca="1">IFERROR(__xludf.DUMMYFUNCTION("""COMPUTED_VALUE"""),"DSD")</f>
        <v>DSD</v>
      </c>
      <c r="F82" s="5" t="b">
        <f ca="1">IFERROR(__xludf.DUMMYFUNCTION("""COMPUTED_VALUE"""),FALSE)</f>
        <v>0</v>
      </c>
      <c r="G82" s="5" t="str">
        <f ca="1">IFERROR(__xludf.DUMMYFUNCTION("""COMPUTED_VALUE"""),"WILMER GUTIERREZ")</f>
        <v>WILMER GUTIERREZ</v>
      </c>
      <c r="H82" s="5"/>
      <c r="I82" s="5"/>
      <c r="J82" s="5" t="str">
        <f t="shared" ca="1" si="0"/>
        <v>Limpiezas no realizadas</v>
      </c>
    </row>
    <row r="83" spans="1:10">
      <c r="A83" s="65">
        <f ca="1">IFERROR(__xludf.DUMMYFUNCTION("""COMPUTED_VALUE"""),45352)</f>
        <v>45352</v>
      </c>
      <c r="B83" s="5" t="str">
        <f ca="1">IFERROR(__xludf.DUMMYFUNCTION("""COMPUTED_VALUE"""),"CALIBRADOR PIE DE REY 7""")</f>
        <v>CALIBRADOR PIE DE REY 7"</v>
      </c>
      <c r="C83" s="5" t="str">
        <f ca="1">IFERROR(__xludf.DUMMYFUNCTION("""COMPUTED_VALUE"""),"VERDE")</f>
        <v>VERDE</v>
      </c>
      <c r="D83" s="5" t="str">
        <f ca="1">IFERROR(__xludf.DUMMYFUNCTION("""COMPUTED_VALUE"""),"COP")</f>
        <v>COP</v>
      </c>
      <c r="E83" s="5" t="str">
        <f ca="1">IFERROR(__xludf.DUMMYFUNCTION("""COMPUTED_VALUE"""),"DSD")</f>
        <v>DSD</v>
      </c>
      <c r="F83" s="5" t="b">
        <f ca="1">IFERROR(__xludf.DUMMYFUNCTION("""COMPUTED_VALUE"""),TRUE)</f>
        <v>1</v>
      </c>
      <c r="G83" s="5" t="str">
        <f ca="1">IFERROR(__xludf.DUMMYFUNCTION("""COMPUTED_VALUE"""),"MIGUEL GUZMÁN")</f>
        <v>MIGUEL GUZMÁN</v>
      </c>
      <c r="H83" s="5"/>
      <c r="I83" s="5"/>
      <c r="J83" s="5" t="str">
        <f t="shared" ca="1" si="0"/>
        <v>Limpieza realizada</v>
      </c>
    </row>
    <row r="84" spans="1:10">
      <c r="A84" s="65"/>
      <c r="B84" s="5" t="str">
        <f ca="1">IFERROR(__xludf.DUMMYFUNCTION("""COMPUTED_VALUE"""),"JUEGO CINCELES PROTO 86B 7 PZAS")</f>
        <v>JUEGO CINCELES PROTO 86B 7 PZAS</v>
      </c>
      <c r="C84" s="5" t="str">
        <f ca="1">IFERROR(__xludf.DUMMYFUNCTION("""COMPUTED_VALUE"""),"VERDE")</f>
        <v>VERDE</v>
      </c>
      <c r="D84" s="5" t="str">
        <f ca="1">IFERROR(__xludf.DUMMYFUNCTION("""COMPUTED_VALUE"""),"COP")</f>
        <v>COP</v>
      </c>
      <c r="E84" s="5" t="str">
        <f ca="1">IFERROR(__xludf.DUMMYFUNCTION("""COMPUTED_VALUE"""),"DSD")</f>
        <v>DSD</v>
      </c>
      <c r="F84" s="5" t="b">
        <f ca="1">IFERROR(__xludf.DUMMYFUNCTION("""COMPUTED_VALUE"""),TRUE)</f>
        <v>1</v>
      </c>
      <c r="G84" s="5" t="str">
        <f ca="1">IFERROR(__xludf.DUMMYFUNCTION("""COMPUTED_VALUE"""),"MIGUEL GUZMÁN")</f>
        <v>MIGUEL GUZMÁN</v>
      </c>
      <c r="H84" s="5"/>
      <c r="I84" s="5"/>
      <c r="J84" s="5" t="str">
        <f t="shared" ca="1" si="0"/>
        <v>Limpieza realizada</v>
      </c>
    </row>
    <row r="85" spans="1:10">
      <c r="A85" s="65"/>
      <c r="B85" s="5" t="str">
        <f ca="1">IFERROR(__xludf.DUMMYFUNCTION("""COMPUTED_VALUE"""),"JUEGO DE LIMAS HBN126")</f>
        <v>JUEGO DE LIMAS HBN126</v>
      </c>
      <c r="C85" s="5" t="str">
        <f ca="1">IFERROR(__xludf.DUMMYFUNCTION("""COMPUTED_VALUE"""),"VERDE")</f>
        <v>VERDE</v>
      </c>
      <c r="D85" s="5" t="str">
        <f ca="1">IFERROR(__xludf.DUMMYFUNCTION("""COMPUTED_VALUE"""),"COP")</f>
        <v>COP</v>
      </c>
      <c r="E85" s="5" t="str">
        <f ca="1">IFERROR(__xludf.DUMMYFUNCTION("""COMPUTED_VALUE"""),"DSD")</f>
        <v>DSD</v>
      </c>
      <c r="F85" s="5" t="b">
        <f ca="1">IFERROR(__xludf.DUMMYFUNCTION("""COMPUTED_VALUE"""),TRUE)</f>
        <v>1</v>
      </c>
      <c r="G85" s="5" t="str">
        <f ca="1">IFERROR(__xludf.DUMMYFUNCTION("""COMPUTED_VALUE"""),"MIGUEL GUZMÁN")</f>
        <v>MIGUEL GUZMÁN</v>
      </c>
      <c r="H85" s="5"/>
      <c r="I85" s="5"/>
      <c r="J85" s="5" t="str">
        <f t="shared" ca="1" si="0"/>
        <v>Limpieza realizada</v>
      </c>
    </row>
    <row r="86" spans="1:10">
      <c r="A86" s="65"/>
      <c r="B86" s="5" t="str">
        <f ca="1">IFERROR(__xludf.DUMMYFUNCTION("""COMPUTED_VALUE"""),"JUEGO LLAVES BRISTOL 1,5 - 12 MM")</f>
        <v>JUEGO LLAVES BRISTOL 1,5 - 12 MM</v>
      </c>
      <c r="C86" s="5" t="str">
        <f ca="1">IFERROR(__xludf.DUMMYFUNCTION("""COMPUTED_VALUE"""),"VERDE")</f>
        <v>VERDE</v>
      </c>
      <c r="D86" s="5" t="str">
        <f ca="1">IFERROR(__xludf.DUMMYFUNCTION("""COMPUTED_VALUE"""),"COP")</f>
        <v>COP</v>
      </c>
      <c r="E86" s="5" t="str">
        <f ca="1">IFERROR(__xludf.DUMMYFUNCTION("""COMPUTED_VALUE"""),"DSD")</f>
        <v>DSD</v>
      </c>
      <c r="F86" s="5" t="b">
        <f ca="1">IFERROR(__xludf.DUMMYFUNCTION("""COMPUTED_VALUE"""),TRUE)</f>
        <v>1</v>
      </c>
      <c r="G86" s="5" t="str">
        <f ca="1">IFERROR(__xludf.DUMMYFUNCTION("""COMPUTED_VALUE"""),"MIGUEL GUZMÁN")</f>
        <v>MIGUEL GUZMÁN</v>
      </c>
      <c r="H86" s="5"/>
      <c r="I86" s="5"/>
      <c r="J86" s="5" t="str">
        <f t="shared" ca="1" si="0"/>
        <v>Limpieza realizada</v>
      </c>
    </row>
    <row r="87" spans="1:10">
      <c r="A87" s="65"/>
      <c r="B87" s="5" t="str">
        <f ca="1">IFERROR(__xludf.DUMMYFUNCTION("""COMPUTED_VALUE"""),"MARCO PARA SEGUETA")</f>
        <v>MARCO PARA SEGUETA</v>
      </c>
      <c r="C87" s="5" t="str">
        <f ca="1">IFERROR(__xludf.DUMMYFUNCTION("""COMPUTED_VALUE"""),"VERDE")</f>
        <v>VERDE</v>
      </c>
      <c r="D87" s="5" t="str">
        <f ca="1">IFERROR(__xludf.DUMMYFUNCTION("""COMPUTED_VALUE"""),"COP")</f>
        <v>COP</v>
      </c>
      <c r="E87" s="5" t="str">
        <f ca="1">IFERROR(__xludf.DUMMYFUNCTION("""COMPUTED_VALUE"""),"DSD")</f>
        <v>DSD</v>
      </c>
      <c r="F87" s="5" t="b">
        <f ca="1">IFERROR(__xludf.DUMMYFUNCTION("""COMPUTED_VALUE"""),TRUE)</f>
        <v>1</v>
      </c>
      <c r="G87" s="5" t="str">
        <f ca="1">IFERROR(__xludf.DUMMYFUNCTION("""COMPUTED_VALUE"""),"MIGUEL GUZMÁN")</f>
        <v>MIGUEL GUZMÁN</v>
      </c>
      <c r="H87" s="5"/>
      <c r="I87" s="5"/>
      <c r="J87" s="5" t="str">
        <f t="shared" ca="1" si="0"/>
        <v>Limpieza realizada</v>
      </c>
    </row>
    <row r="88" spans="1:10">
      <c r="A88" s="65"/>
      <c r="B88" s="5" t="str">
        <f ca="1">IFERROR(__xludf.DUMMYFUNCTION("""COMPUTED_VALUE"""),"JUEGO LLAVES MIXTAS 6 A 24MM (17 PZAS)")</f>
        <v>JUEGO LLAVES MIXTAS 6 A 24MM (17 PZAS)</v>
      </c>
      <c r="C88" s="5" t="str">
        <f ca="1">IFERROR(__xludf.DUMMYFUNCTION("""COMPUTED_VALUE"""),"VERDE")</f>
        <v>VERDE</v>
      </c>
      <c r="D88" s="5" t="str">
        <f ca="1">IFERROR(__xludf.DUMMYFUNCTION("""COMPUTED_VALUE"""),"COP")</f>
        <v>COP</v>
      </c>
      <c r="E88" s="5" t="str">
        <f ca="1">IFERROR(__xludf.DUMMYFUNCTION("""COMPUTED_VALUE"""),"DSD")</f>
        <v>DSD</v>
      </c>
      <c r="F88" s="5" t="b">
        <f ca="1">IFERROR(__xludf.DUMMYFUNCTION("""COMPUTED_VALUE"""),TRUE)</f>
        <v>1</v>
      </c>
      <c r="G88" s="5" t="str">
        <f ca="1">IFERROR(__xludf.DUMMYFUNCTION("""COMPUTED_VALUE"""),"MIGUEL GUZMÁN")</f>
        <v>MIGUEL GUZMÁN</v>
      </c>
      <c r="H88" s="5"/>
      <c r="I88" s="5"/>
      <c r="J88" s="5" t="str">
        <f t="shared" ca="1" si="0"/>
        <v>Limpieza realizada</v>
      </c>
    </row>
    <row r="89" spans="1:10">
      <c r="A89" s="65"/>
      <c r="B89" s="5" t="str">
        <f ca="1">IFERROR(__xludf.DUMMYFUNCTION("""COMPUTED_VALUE"""),"LLAVE DE EXPANSION 8""")</f>
        <v>LLAVE DE EXPANSION 8"</v>
      </c>
      <c r="C89" s="5" t="str">
        <f ca="1">IFERROR(__xludf.DUMMYFUNCTION("""COMPUTED_VALUE"""),"VERDE")</f>
        <v>VERDE</v>
      </c>
      <c r="D89" s="5" t="str">
        <f ca="1">IFERROR(__xludf.DUMMYFUNCTION("""COMPUTED_VALUE"""),"COP")</f>
        <v>COP</v>
      </c>
      <c r="E89" s="5" t="str">
        <f ca="1">IFERROR(__xludf.DUMMYFUNCTION("""COMPUTED_VALUE"""),"DSD")</f>
        <v>DSD</v>
      </c>
      <c r="F89" s="5" t="b">
        <f ca="1">IFERROR(__xludf.DUMMYFUNCTION("""COMPUTED_VALUE"""),TRUE)</f>
        <v>1</v>
      </c>
      <c r="G89" s="5" t="str">
        <f ca="1">IFERROR(__xludf.DUMMYFUNCTION("""COMPUTED_VALUE"""),"MIGUEL GUZMÁN")</f>
        <v>MIGUEL GUZMÁN</v>
      </c>
      <c r="H89" s="5"/>
      <c r="I89" s="5"/>
      <c r="J89" s="5" t="str">
        <f t="shared" ca="1" si="0"/>
        <v>Limpieza realizada</v>
      </c>
    </row>
    <row r="90" spans="1:10">
      <c r="A90" s="65"/>
      <c r="B90" s="5" t="str">
        <f ca="1">IFERROR(__xludf.DUMMYFUNCTION("""COMPUTED_VALUE"""),"FLEXOMETRO 5 MTS")</f>
        <v>FLEXOMETRO 5 MTS</v>
      </c>
      <c r="C90" s="5" t="str">
        <f ca="1">IFERROR(__xludf.DUMMYFUNCTION("""COMPUTED_VALUE"""),"VERDE")</f>
        <v>VERDE</v>
      </c>
      <c r="D90" s="5" t="str">
        <f ca="1">IFERROR(__xludf.DUMMYFUNCTION("""COMPUTED_VALUE"""),"COP")</f>
        <v>COP</v>
      </c>
      <c r="E90" s="5" t="str">
        <f ca="1">IFERROR(__xludf.DUMMYFUNCTION("""COMPUTED_VALUE"""),"DSD")</f>
        <v>DSD</v>
      </c>
      <c r="F90" s="5" t="b">
        <f ca="1">IFERROR(__xludf.DUMMYFUNCTION("""COMPUTED_VALUE"""),TRUE)</f>
        <v>1</v>
      </c>
      <c r="G90" s="5" t="str">
        <f ca="1">IFERROR(__xludf.DUMMYFUNCTION("""COMPUTED_VALUE"""),"MIGUEL GUZMÁN")</f>
        <v>MIGUEL GUZMÁN</v>
      </c>
      <c r="H90" s="5"/>
      <c r="I90" s="5"/>
      <c r="J90" s="5" t="str">
        <f t="shared" ca="1" si="0"/>
        <v>Limpieza realizada</v>
      </c>
    </row>
    <row r="91" spans="1:10">
      <c r="A91" s="65"/>
      <c r="B91" s="5" t="str">
        <f ca="1">IFERROR(__xludf.DUMMYFUNCTION("""COMPUTED_VALUE"""),"JGO LLAVES BRISTOL O ALLEN 1/16"" A 3/8")</f>
        <v>JGO LLAVES BRISTOL O ALLEN 1/16" A 3/8</v>
      </c>
      <c r="C91" s="5" t="str">
        <f ca="1">IFERROR(__xludf.DUMMYFUNCTION("""COMPUTED_VALUE"""),"VERDE")</f>
        <v>VERDE</v>
      </c>
      <c r="D91" s="5" t="str">
        <f ca="1">IFERROR(__xludf.DUMMYFUNCTION("""COMPUTED_VALUE"""),"COP")</f>
        <v>COP</v>
      </c>
      <c r="E91" s="5" t="str">
        <f ca="1">IFERROR(__xludf.DUMMYFUNCTION("""COMPUTED_VALUE"""),"DSD")</f>
        <v>DSD</v>
      </c>
      <c r="F91" s="5" t="b">
        <f ca="1">IFERROR(__xludf.DUMMYFUNCTION("""COMPUTED_VALUE"""),TRUE)</f>
        <v>1</v>
      </c>
      <c r="G91" s="5" t="str">
        <f ca="1">IFERROR(__xludf.DUMMYFUNCTION("""COMPUTED_VALUE"""),"MIGUEL GUZMÁN")</f>
        <v>MIGUEL GUZMÁN</v>
      </c>
      <c r="H91" s="5"/>
      <c r="I91" s="5"/>
      <c r="J91" s="5" t="str">
        <f t="shared" ca="1" si="0"/>
        <v>Limpieza realizada</v>
      </c>
    </row>
    <row r="92" spans="1:10">
      <c r="A92" s="65"/>
      <c r="B92" s="5" t="str">
        <f ca="1">IFERROR(__xludf.DUMMYFUNCTION("""COMPUTED_VALUE"""),"LLAVE PARA TUBO 8""")</f>
        <v>LLAVE PARA TUBO 8"</v>
      </c>
      <c r="C92" s="5" t="str">
        <f ca="1">IFERROR(__xludf.DUMMYFUNCTION("""COMPUTED_VALUE"""),"VERDE")</f>
        <v>VERDE</v>
      </c>
      <c r="D92" s="5" t="str">
        <f ca="1">IFERROR(__xludf.DUMMYFUNCTION("""COMPUTED_VALUE"""),"COP")</f>
        <v>COP</v>
      </c>
      <c r="E92" s="5" t="str">
        <f ca="1">IFERROR(__xludf.DUMMYFUNCTION("""COMPUTED_VALUE"""),"DSD")</f>
        <v>DSD</v>
      </c>
      <c r="F92" s="5" t="b">
        <f ca="1">IFERROR(__xludf.DUMMYFUNCTION("""COMPUTED_VALUE"""),TRUE)</f>
        <v>1</v>
      </c>
      <c r="G92" s="5" t="str">
        <f ca="1">IFERROR(__xludf.DUMMYFUNCTION("""COMPUTED_VALUE"""),"MIGUEL GUZMÁN")</f>
        <v>MIGUEL GUZMÁN</v>
      </c>
      <c r="H92" s="5"/>
      <c r="I92" s="5"/>
      <c r="J92" s="5" t="str">
        <f t="shared" ca="1" si="0"/>
        <v>Limpieza realizada</v>
      </c>
    </row>
    <row r="93" spans="1:10">
      <c r="A93" s="65"/>
      <c r="B93" s="5" t="str">
        <f ca="1">IFERROR(__xludf.DUMMYFUNCTION("""COMPUTED_VALUE"""),"ALICATE CORTAFRIO 6""")</f>
        <v>ALICATE CORTAFRIO 6"</v>
      </c>
      <c r="C93" s="5" t="str">
        <f ca="1">IFERROR(__xludf.DUMMYFUNCTION("""COMPUTED_VALUE"""),"VERDE")</f>
        <v>VERDE</v>
      </c>
      <c r="D93" s="5" t="str">
        <f ca="1">IFERROR(__xludf.DUMMYFUNCTION("""COMPUTED_VALUE"""),"COP")</f>
        <v>COP</v>
      </c>
      <c r="E93" s="5" t="str">
        <f ca="1">IFERROR(__xludf.DUMMYFUNCTION("""COMPUTED_VALUE"""),"DSD")</f>
        <v>DSD</v>
      </c>
      <c r="F93" s="5" t="b">
        <f ca="1">IFERROR(__xludf.DUMMYFUNCTION("""COMPUTED_VALUE"""),TRUE)</f>
        <v>1</v>
      </c>
      <c r="G93" s="5" t="str">
        <f ca="1">IFERROR(__xludf.DUMMYFUNCTION("""COMPUTED_VALUE"""),"MIGUEL GUZMÁN")</f>
        <v>MIGUEL GUZMÁN</v>
      </c>
      <c r="H93" s="5"/>
      <c r="I93" s="5"/>
      <c r="J93" s="5" t="str">
        <f t="shared" ca="1" si="0"/>
        <v>Limpieza realizada</v>
      </c>
    </row>
    <row r="94" spans="1:10">
      <c r="A94" s="65"/>
      <c r="B94" s="5" t="str">
        <f ca="1">IFERROR(__xludf.DUMMYFUNCTION("""COMPUTED_VALUE"""),"ALICATE DE PRESION HOMBRE SOLO 7""")</f>
        <v>ALICATE DE PRESION HOMBRE SOLO 7"</v>
      </c>
      <c r="C94" s="5" t="str">
        <f ca="1">IFERROR(__xludf.DUMMYFUNCTION("""COMPUTED_VALUE"""),"VERDE")</f>
        <v>VERDE</v>
      </c>
      <c r="D94" s="5" t="str">
        <f ca="1">IFERROR(__xludf.DUMMYFUNCTION("""COMPUTED_VALUE"""),"COP")</f>
        <v>COP</v>
      </c>
      <c r="E94" s="5" t="str">
        <f ca="1">IFERROR(__xludf.DUMMYFUNCTION("""COMPUTED_VALUE"""),"DSD")</f>
        <v>DSD</v>
      </c>
      <c r="F94" s="5" t="b">
        <f ca="1">IFERROR(__xludf.DUMMYFUNCTION("""COMPUTED_VALUE"""),TRUE)</f>
        <v>1</v>
      </c>
      <c r="G94" s="5" t="str">
        <f ca="1">IFERROR(__xludf.DUMMYFUNCTION("""COMPUTED_VALUE"""),"MIGUEL GUZMÁN")</f>
        <v>MIGUEL GUZMÁN</v>
      </c>
      <c r="H94" s="5"/>
      <c r="I94" s="5"/>
      <c r="J94" s="5" t="str">
        <f t="shared" ca="1" si="0"/>
        <v>Limpieza realizada</v>
      </c>
    </row>
    <row r="95" spans="1:10">
      <c r="A95" s="65"/>
      <c r="B95" s="5" t="str">
        <f ca="1">IFERROR(__xludf.DUMMYFUNCTION("""COMPUTED_VALUE"""),"JGO LLAVES BRISTOL-ALLEN 1.3 A 10MM")</f>
        <v>JGO LLAVES BRISTOL-ALLEN 1.3 A 10MM</v>
      </c>
      <c r="C95" s="5" t="str">
        <f ca="1">IFERROR(__xludf.DUMMYFUNCTION("""COMPUTED_VALUE"""),"VERDE")</f>
        <v>VERDE</v>
      </c>
      <c r="D95" s="5" t="str">
        <f ca="1">IFERROR(__xludf.DUMMYFUNCTION("""COMPUTED_VALUE"""),"COP")</f>
        <v>COP</v>
      </c>
      <c r="E95" s="5" t="str">
        <f ca="1">IFERROR(__xludf.DUMMYFUNCTION("""COMPUTED_VALUE"""),"DSD")</f>
        <v>DSD</v>
      </c>
      <c r="F95" s="5" t="b">
        <f ca="1">IFERROR(__xludf.DUMMYFUNCTION("""COMPUTED_VALUE"""),TRUE)</f>
        <v>1</v>
      </c>
      <c r="G95" s="5" t="str">
        <f ca="1">IFERROR(__xludf.DUMMYFUNCTION("""COMPUTED_VALUE"""),"MIGUEL GUZMÁN")</f>
        <v>MIGUEL GUZMÁN</v>
      </c>
      <c r="H95" s="5"/>
      <c r="I95" s="5"/>
      <c r="J95" s="5" t="str">
        <f t="shared" ca="1" si="0"/>
        <v>Limpieza realizada</v>
      </c>
    </row>
    <row r="96" spans="1:10">
      <c r="A96" s="65"/>
      <c r="B96" s="5" t="str">
        <f ca="1">IFERROR(__xludf.DUMMYFUNCTION("""COMPUTED_VALUE"""),"JGO DESTORNILLADORES 65-980 STANLEY")</f>
        <v>JGO DESTORNILLADORES 65-980 STANLEY</v>
      </c>
      <c r="C96" s="5" t="str">
        <f ca="1">IFERROR(__xludf.DUMMYFUNCTION("""COMPUTED_VALUE"""),"VERDE")</f>
        <v>VERDE</v>
      </c>
      <c r="D96" s="5" t="str">
        <f ca="1">IFERROR(__xludf.DUMMYFUNCTION("""COMPUTED_VALUE"""),"COP")</f>
        <v>COP</v>
      </c>
      <c r="E96" s="5" t="str">
        <f ca="1">IFERROR(__xludf.DUMMYFUNCTION("""COMPUTED_VALUE"""),"DSD")</f>
        <v>DSD</v>
      </c>
      <c r="F96" s="5" t="b">
        <f ca="1">IFERROR(__xludf.DUMMYFUNCTION("""COMPUTED_VALUE"""),TRUE)</f>
        <v>1</v>
      </c>
      <c r="G96" s="5" t="str">
        <f ca="1">IFERROR(__xludf.DUMMYFUNCTION("""COMPUTED_VALUE"""),"MIGUEL GUZMÁN")</f>
        <v>MIGUEL GUZMÁN</v>
      </c>
      <c r="H96" s="5"/>
      <c r="I96" s="5"/>
      <c r="J96" s="5" t="str">
        <f t="shared" ca="1" si="0"/>
        <v>Limpieza realizada</v>
      </c>
    </row>
    <row r="97" spans="1:10">
      <c r="A97" s="65"/>
      <c r="B97" s="5" t="str">
        <f ca="1">IFERROR(__xludf.DUMMYFUNCTION("""COMPUTED_VALUE"""),"MARTILLO DE BOLA DE 1 LIBRA")</f>
        <v>MARTILLO DE BOLA DE 1 LIBRA</v>
      </c>
      <c r="C97" s="5" t="str">
        <f ca="1">IFERROR(__xludf.DUMMYFUNCTION("""COMPUTED_VALUE"""),"VERDE")</f>
        <v>VERDE</v>
      </c>
      <c r="D97" s="5" t="str">
        <f ca="1">IFERROR(__xludf.DUMMYFUNCTION("""COMPUTED_VALUE"""),"COP")</f>
        <v>COP</v>
      </c>
      <c r="E97" s="5" t="str">
        <f ca="1">IFERROR(__xludf.DUMMYFUNCTION("""COMPUTED_VALUE"""),"DSD")</f>
        <v>DSD</v>
      </c>
      <c r="F97" s="5" t="b">
        <f ca="1">IFERROR(__xludf.DUMMYFUNCTION("""COMPUTED_VALUE"""),TRUE)</f>
        <v>1</v>
      </c>
      <c r="G97" s="5" t="str">
        <f ca="1">IFERROR(__xludf.DUMMYFUNCTION("""COMPUTED_VALUE"""),"MIGUEL GUZMÁN")</f>
        <v>MIGUEL GUZMÁN</v>
      </c>
      <c r="H97" s="5"/>
      <c r="I97" s="5"/>
      <c r="J97" s="5" t="str">
        <f t="shared" ca="1" si="0"/>
        <v>Limpieza realizada</v>
      </c>
    </row>
    <row r="98" spans="1:10">
      <c r="A98" s="65"/>
      <c r="B98" s="5" t="str">
        <f ca="1">IFERROR(__xludf.DUMMYFUNCTION("""COMPUTED_VALUE"""),"PINZA PARA PINES 385 PROTO")</f>
        <v>PINZA PARA PINES 385 PROTO</v>
      </c>
      <c r="C98" s="5" t="str">
        <f ca="1">IFERROR(__xludf.DUMMYFUNCTION("""COMPUTED_VALUE"""),"VERDE")</f>
        <v>VERDE</v>
      </c>
      <c r="D98" s="5" t="str">
        <f ca="1">IFERROR(__xludf.DUMMYFUNCTION("""COMPUTED_VALUE"""),"COP")</f>
        <v>COP</v>
      </c>
      <c r="E98" s="5" t="str">
        <f ca="1">IFERROR(__xludf.DUMMYFUNCTION("""COMPUTED_VALUE"""),"DSD")</f>
        <v>DSD</v>
      </c>
      <c r="F98" s="5" t="b">
        <f ca="1">IFERROR(__xludf.DUMMYFUNCTION("""COMPUTED_VALUE"""),TRUE)</f>
        <v>1</v>
      </c>
      <c r="G98" s="5" t="str">
        <f ca="1">IFERROR(__xludf.DUMMYFUNCTION("""COMPUTED_VALUE"""),"MIGUEL GUZMÁN")</f>
        <v>MIGUEL GUZMÁN</v>
      </c>
      <c r="H98" s="5"/>
      <c r="I98" s="5"/>
      <c r="J98" s="5" t="str">
        <f t="shared" ca="1" si="0"/>
        <v>Limpieza realizada</v>
      </c>
    </row>
    <row r="99" spans="1:10">
      <c r="A99" s="65"/>
      <c r="B99" s="5" t="str">
        <f ca="1">IFERROR(__xludf.DUMMYFUNCTION("""COMPUTED_VALUE"""),"DESTORNILLADOR PALA 5/16"" X 6""")</f>
        <v>DESTORNILLADOR PALA 5/16" X 6"</v>
      </c>
      <c r="C99" s="5" t="str">
        <f ca="1">IFERROR(__xludf.DUMMYFUNCTION("""COMPUTED_VALUE"""),"VERDE")</f>
        <v>VERDE</v>
      </c>
      <c r="D99" s="5" t="str">
        <f ca="1">IFERROR(__xludf.DUMMYFUNCTION("""COMPUTED_VALUE"""),"COP")</f>
        <v>COP</v>
      </c>
      <c r="E99" s="5" t="str">
        <f ca="1">IFERROR(__xludf.DUMMYFUNCTION("""COMPUTED_VALUE"""),"DSD")</f>
        <v>DSD</v>
      </c>
      <c r="F99" s="5" t="b">
        <f ca="1">IFERROR(__xludf.DUMMYFUNCTION("""COMPUTED_VALUE"""),TRUE)</f>
        <v>1</v>
      </c>
      <c r="G99" s="5" t="str">
        <f ca="1">IFERROR(__xludf.DUMMYFUNCTION("""COMPUTED_VALUE"""),"MIGUEL GUZMÁN")</f>
        <v>MIGUEL GUZMÁN</v>
      </c>
      <c r="H99" s="5"/>
      <c r="I99" s="5"/>
      <c r="J99" s="5" t="str">
        <f t="shared" ca="1" si="0"/>
        <v>Limpieza realizada</v>
      </c>
    </row>
    <row r="100" spans="1:10">
      <c r="A100" s="65"/>
      <c r="B100" s="5" t="str">
        <f ca="1">IFERROR(__xludf.DUMMYFUNCTION("""COMPUTED_VALUE"""),"BOTADOR STANLEY 58-230")</f>
        <v>BOTADOR STANLEY 58-230</v>
      </c>
      <c r="C100" s="5" t="str">
        <f ca="1">IFERROR(__xludf.DUMMYFUNCTION("""COMPUTED_VALUE"""),"VERDE")</f>
        <v>VERDE</v>
      </c>
      <c r="D100" s="5" t="str">
        <f ca="1">IFERROR(__xludf.DUMMYFUNCTION("""COMPUTED_VALUE"""),"COP")</f>
        <v>COP</v>
      </c>
      <c r="E100" s="5" t="str">
        <f ca="1">IFERROR(__xludf.DUMMYFUNCTION("""COMPUTED_VALUE"""),"DSD")</f>
        <v>DSD</v>
      </c>
      <c r="F100" s="5" t="b">
        <f ca="1">IFERROR(__xludf.DUMMYFUNCTION("""COMPUTED_VALUE"""),TRUE)</f>
        <v>1</v>
      </c>
      <c r="G100" s="5" t="str">
        <f ca="1">IFERROR(__xludf.DUMMYFUNCTION("""COMPUTED_VALUE"""),"MIGUEL GUZMÁN")</f>
        <v>MIGUEL GUZMÁN</v>
      </c>
      <c r="H100" s="5"/>
      <c r="I100" s="5"/>
      <c r="J100" s="5" t="str">
        <f t="shared" ca="1" si="0"/>
        <v>Limpieza realizada</v>
      </c>
    </row>
    <row r="101" spans="1:10">
      <c r="A101" s="65"/>
      <c r="B101" s="5" t="str">
        <f ca="1">IFERROR(__xludf.DUMMYFUNCTION("""COMPUTED_VALUE"""),"PINZA AMPERIMETRICA FLUKE 376")</f>
        <v>PINZA AMPERIMETRICA FLUKE 376</v>
      </c>
      <c r="C101" s="5" t="str">
        <f ca="1">IFERROR(__xludf.DUMMYFUNCTION("""COMPUTED_VALUE"""),"VERDE")</f>
        <v>VERDE</v>
      </c>
      <c r="D101" s="5" t="str">
        <f ca="1">IFERROR(__xludf.DUMMYFUNCTION("""COMPUTED_VALUE"""),"COP")</f>
        <v>COP</v>
      </c>
      <c r="E101" s="5" t="str">
        <f ca="1">IFERROR(__xludf.DUMMYFUNCTION("""COMPUTED_VALUE"""),"DSD")</f>
        <v>DSD</v>
      </c>
      <c r="F101" s="5" t="b">
        <f ca="1">IFERROR(__xludf.DUMMYFUNCTION("""COMPUTED_VALUE"""),TRUE)</f>
        <v>1</v>
      </c>
      <c r="G101" s="5" t="str">
        <f ca="1">IFERROR(__xludf.DUMMYFUNCTION("""COMPUTED_VALUE"""),"MIGUEL GUZMÁN")</f>
        <v>MIGUEL GUZMÁN</v>
      </c>
      <c r="H101" s="5"/>
      <c r="I101" s="5"/>
      <c r="J101" s="5" t="str">
        <f t="shared" ca="1" si="0"/>
        <v>Limpieza realizada</v>
      </c>
    </row>
    <row r="102" spans="1:10">
      <c r="A102" s="65"/>
      <c r="B102" s="5" t="str">
        <f ca="1">IFERROR(__xludf.DUMMYFUNCTION("""COMPUTED_VALUE"""),"JGO COPAS MIL CUADRAN 3/8 STANLEY 86-209")</f>
        <v>JGO COPAS MIL CUADRAN 3/8 STANLEY 86-209</v>
      </c>
      <c r="C102" s="5" t="str">
        <f ca="1">IFERROR(__xludf.DUMMYFUNCTION("""COMPUTED_VALUE"""),"VERDE")</f>
        <v>VERDE</v>
      </c>
      <c r="D102" s="5" t="str">
        <f ca="1">IFERROR(__xludf.DUMMYFUNCTION("""COMPUTED_VALUE"""),"COP")</f>
        <v>COP</v>
      </c>
      <c r="E102" s="5" t="str">
        <f ca="1">IFERROR(__xludf.DUMMYFUNCTION("""COMPUTED_VALUE"""),"DSD")</f>
        <v>DSD</v>
      </c>
      <c r="F102" s="5" t="b">
        <f ca="1">IFERROR(__xludf.DUMMYFUNCTION("""COMPUTED_VALUE"""),TRUE)</f>
        <v>1</v>
      </c>
      <c r="G102" s="5" t="str">
        <f ca="1">IFERROR(__xludf.DUMMYFUNCTION("""COMPUTED_VALUE"""),"MIGUEL GUZMÁN")</f>
        <v>MIGUEL GUZMÁN</v>
      </c>
      <c r="H102" s="5"/>
      <c r="I102" s="5"/>
      <c r="J102" s="5" t="str">
        <f t="shared" ca="1" si="0"/>
        <v>Limpieza realizada</v>
      </c>
    </row>
    <row r="103" spans="1:10">
      <c r="A103" s="65"/>
      <c r="B103" s="5" t="str">
        <f ca="1">IFERROR(__xludf.DUMMYFUNCTION("""COMPUTED_VALUE"""),"MALETA PARA HERRAMIENTAS STANLEY")</f>
        <v>MALETA PARA HERRAMIENTAS STANLEY</v>
      </c>
      <c r="C103" s="5" t="str">
        <f ca="1">IFERROR(__xludf.DUMMYFUNCTION("""COMPUTED_VALUE"""),"VERDE")</f>
        <v>VERDE</v>
      </c>
      <c r="D103" s="5" t="str">
        <f ca="1">IFERROR(__xludf.DUMMYFUNCTION("""COMPUTED_VALUE"""),"COP")</f>
        <v>COP</v>
      </c>
      <c r="E103" s="5" t="str">
        <f ca="1">IFERROR(__xludf.DUMMYFUNCTION("""COMPUTED_VALUE"""),"DSD")</f>
        <v>DSD</v>
      </c>
      <c r="F103" s="5" t="b">
        <f ca="1">IFERROR(__xludf.DUMMYFUNCTION("""COMPUTED_VALUE"""),TRUE)</f>
        <v>1</v>
      </c>
      <c r="G103" s="5" t="str">
        <f ca="1">IFERROR(__xludf.DUMMYFUNCTION("""COMPUTED_VALUE"""),"MIGUEL GUZMÁN")</f>
        <v>MIGUEL GUZMÁN</v>
      </c>
      <c r="H103" s="5"/>
      <c r="I103" s="5"/>
      <c r="J103" s="5" t="str">
        <f t="shared" ca="1" si="0"/>
        <v>Limpieza realizada</v>
      </c>
    </row>
    <row r="104" spans="1:10">
      <c r="A104" s="65"/>
      <c r="B104" s="5" t="str">
        <f ca="1">IFERROR(__xludf.DUMMYFUNCTION("""COMPUTED_VALUE"""),"PINZAS PARA PINES PROTO 379")</f>
        <v>PINZAS PARA PINES PROTO 379</v>
      </c>
      <c r="C104" s="5" t="str">
        <f ca="1">IFERROR(__xludf.DUMMYFUNCTION("""COMPUTED_VALUE"""),"VERDE")</f>
        <v>VERDE</v>
      </c>
      <c r="D104" s="5" t="str">
        <f ca="1">IFERROR(__xludf.DUMMYFUNCTION("""COMPUTED_VALUE"""),"COP")</f>
        <v>COP</v>
      </c>
      <c r="E104" s="5" t="str">
        <f ca="1">IFERROR(__xludf.DUMMYFUNCTION("""COMPUTED_VALUE"""),"DSD")</f>
        <v>DSD</v>
      </c>
      <c r="F104" s="5" t="b">
        <f ca="1">IFERROR(__xludf.DUMMYFUNCTION("""COMPUTED_VALUE"""),TRUE)</f>
        <v>1</v>
      </c>
      <c r="G104" s="5" t="str">
        <f ca="1">IFERROR(__xludf.DUMMYFUNCTION("""COMPUTED_VALUE"""),"MIGUEL GUZMÁN")</f>
        <v>MIGUEL GUZMÁN</v>
      </c>
      <c r="H104" s="5"/>
      <c r="I104" s="5"/>
      <c r="J104" s="5" t="str">
        <f t="shared" ca="1" si="0"/>
        <v>Limpieza realizada</v>
      </c>
    </row>
    <row r="105" spans="1:10">
      <c r="A105" s="65"/>
      <c r="B105" s="5" t="str">
        <f ca="1">IFERROR(__xludf.DUMMYFUNCTION("""COMPUTED_VALUE"""),"DESTORNILLADOR DE PALA 1/4"""""""" X 6""""""")</f>
        <v>DESTORNILLADOR DE PALA 1/4"""" X 6"""</v>
      </c>
      <c r="C105" s="5" t="str">
        <f ca="1">IFERROR(__xludf.DUMMYFUNCTION("""COMPUTED_VALUE"""),"VERDE")</f>
        <v>VERDE</v>
      </c>
      <c r="D105" s="5" t="str">
        <f ca="1">IFERROR(__xludf.DUMMYFUNCTION("""COMPUTED_VALUE"""),"COP")</f>
        <v>COP</v>
      </c>
      <c r="E105" s="5" t="str">
        <f ca="1">IFERROR(__xludf.DUMMYFUNCTION("""COMPUTED_VALUE"""),"DSD")</f>
        <v>DSD</v>
      </c>
      <c r="F105" s="5" t="b">
        <f ca="1">IFERROR(__xludf.DUMMYFUNCTION("""COMPUTED_VALUE"""),TRUE)</f>
        <v>1</v>
      </c>
      <c r="G105" s="5" t="str">
        <f ca="1">IFERROR(__xludf.DUMMYFUNCTION("""COMPUTED_VALUE"""),"MIGUEL GUZMÁN")</f>
        <v>MIGUEL GUZMÁN</v>
      </c>
      <c r="H105" s="5"/>
      <c r="I105" s="5"/>
      <c r="J105" s="5" t="str">
        <f t="shared" ca="1" si="0"/>
        <v>Limpieza realizada</v>
      </c>
    </row>
    <row r="106" spans="1:10">
      <c r="A106" s="65"/>
      <c r="B106" s="5" t="str">
        <f ca="1">IFERROR(__xludf.DUMMYFUNCTION("""COMPUTED_VALUE"""),"JUEGO DE EXTRACTORES PROTO REF.4252")</f>
        <v>JUEGO DE EXTRACTORES PROTO REF.4252</v>
      </c>
      <c r="C106" s="5" t="str">
        <f ca="1">IFERROR(__xludf.DUMMYFUNCTION("""COMPUTED_VALUE"""),"VERDE")</f>
        <v>VERDE</v>
      </c>
      <c r="D106" s="5" t="str">
        <f ca="1">IFERROR(__xludf.DUMMYFUNCTION("""COMPUTED_VALUE"""),"COP")</f>
        <v>COP</v>
      </c>
      <c r="E106" s="5" t="str">
        <f ca="1">IFERROR(__xludf.DUMMYFUNCTION("""COMPUTED_VALUE"""),"DSD")</f>
        <v>DSD</v>
      </c>
      <c r="F106" s="5" t="b">
        <f ca="1">IFERROR(__xludf.DUMMYFUNCTION("""COMPUTED_VALUE"""),TRUE)</f>
        <v>1</v>
      </c>
      <c r="G106" s="5" t="str">
        <f ca="1">IFERROR(__xludf.DUMMYFUNCTION("""COMPUTED_VALUE"""),"MIGUEL GUZMÁN")</f>
        <v>MIGUEL GUZMÁN</v>
      </c>
      <c r="H106" s="5"/>
      <c r="I106" s="5"/>
      <c r="J106" s="5" t="str">
        <f t="shared" ca="1" si="0"/>
        <v>Limpieza realizada</v>
      </c>
    </row>
    <row r="107" spans="1:10">
      <c r="A107" s="65">
        <f ca="1">IFERROR(__xludf.DUMMYFUNCTION("""COMPUTED_VALUE"""),45352)</f>
        <v>45352</v>
      </c>
      <c r="B107" s="5" t="str">
        <f ca="1">IFERROR(__xludf.DUMMYFUNCTION("""COMPUTED_VALUE"""),"Juego llalves mm")</f>
        <v>Juego llalves mm</v>
      </c>
      <c r="C107" s="5" t="str">
        <f ca="1">IFERROR(__xludf.DUMMYFUNCTION("""COMPUTED_VALUE"""),"VERDE")</f>
        <v>VERDE</v>
      </c>
      <c r="D107" s="5" t="str">
        <f ca="1">IFERROR(__xludf.DUMMYFUNCTION("""COMPUTED_VALUE"""),"COP")</f>
        <v>COP</v>
      </c>
      <c r="E107" s="5" t="str">
        <f ca="1">IFERROR(__xludf.DUMMYFUNCTION("""COMPUTED_VALUE"""),"DSD")</f>
        <v>DSD</v>
      </c>
      <c r="F107" s="5" t="b">
        <f ca="1">IFERROR(__xludf.DUMMYFUNCTION("""COMPUTED_VALUE"""),TRUE)</f>
        <v>1</v>
      </c>
      <c r="G107" s="5" t="str">
        <f ca="1">IFERROR(__xludf.DUMMYFUNCTION("""COMPUTED_VALUE"""),"WILLIAM HENAO")</f>
        <v>WILLIAM HENAO</v>
      </c>
      <c r="H107" s="5"/>
      <c r="I107" s="5"/>
      <c r="J107" s="5" t="str">
        <f t="shared" ca="1" si="0"/>
        <v>Limpieza realizada</v>
      </c>
    </row>
    <row r="108" spans="1:10">
      <c r="A108" s="65"/>
      <c r="B108" s="5" t="str">
        <f ca="1">IFERROR(__xludf.DUMMYFUNCTION("""COMPUTED_VALUE"""),"Cincel de pala corta 1/2")</f>
        <v>Cincel de pala corta 1/2</v>
      </c>
      <c r="C108" s="5" t="str">
        <f ca="1">IFERROR(__xludf.DUMMYFUNCTION("""COMPUTED_VALUE"""),"VERDE")</f>
        <v>VERDE</v>
      </c>
      <c r="D108" s="5" t="str">
        <f ca="1">IFERROR(__xludf.DUMMYFUNCTION("""COMPUTED_VALUE"""),"COP")</f>
        <v>COP</v>
      </c>
      <c r="E108" s="5" t="str">
        <f ca="1">IFERROR(__xludf.DUMMYFUNCTION("""COMPUTED_VALUE"""),"DSD")</f>
        <v>DSD</v>
      </c>
      <c r="F108" s="5" t="b">
        <f ca="1">IFERROR(__xludf.DUMMYFUNCTION("""COMPUTED_VALUE"""),TRUE)</f>
        <v>1</v>
      </c>
      <c r="G108" s="5" t="str">
        <f ca="1">IFERROR(__xludf.DUMMYFUNCTION("""COMPUTED_VALUE"""),"WILLIAM HENAO")</f>
        <v>WILLIAM HENAO</v>
      </c>
      <c r="H108" s="5"/>
      <c r="I108" s="5"/>
      <c r="J108" s="5" t="str">
        <f t="shared" ca="1" si="0"/>
        <v>Limpieza realizada</v>
      </c>
    </row>
    <row r="109" spans="1:10">
      <c r="A109" s="65"/>
      <c r="B109" s="5" t="str">
        <f ca="1">IFERROR(__xludf.DUMMYFUNCTION("""COMPUTED_VALUE"""),"Extensión larga proto")</f>
        <v>Extensión larga proto</v>
      </c>
      <c r="C109" s="5" t="str">
        <f ca="1">IFERROR(__xludf.DUMMYFUNCTION("""COMPUTED_VALUE"""),"VERDE")</f>
        <v>VERDE</v>
      </c>
      <c r="D109" s="5" t="str">
        <f ca="1">IFERROR(__xludf.DUMMYFUNCTION("""COMPUTED_VALUE"""),"COP")</f>
        <v>COP</v>
      </c>
      <c r="E109" s="5" t="str">
        <f ca="1">IFERROR(__xludf.DUMMYFUNCTION("""COMPUTED_VALUE"""),"DSD")</f>
        <v>DSD</v>
      </c>
      <c r="F109" s="5" t="b">
        <f ca="1">IFERROR(__xludf.DUMMYFUNCTION("""COMPUTED_VALUE"""),TRUE)</f>
        <v>1</v>
      </c>
      <c r="G109" s="5" t="str">
        <f ca="1">IFERROR(__xludf.DUMMYFUNCTION("""COMPUTED_VALUE"""),"WILLIAM HENAO")</f>
        <v>WILLIAM HENAO</v>
      </c>
      <c r="H109" s="5"/>
      <c r="I109" s="5"/>
      <c r="J109" s="5" t="str">
        <f t="shared" ca="1" si="0"/>
        <v>Limpieza realizada</v>
      </c>
    </row>
    <row r="110" spans="1:10">
      <c r="A110" s="65"/>
      <c r="B110" s="5" t="str">
        <f ca="1">IFERROR(__xludf.DUMMYFUNCTION("""COMPUTED_VALUE"""),"Copa 9/16")</f>
        <v>Copa 9/16</v>
      </c>
      <c r="C110" s="5" t="str">
        <f ca="1">IFERROR(__xludf.DUMMYFUNCTION("""COMPUTED_VALUE"""),"VERDE")</f>
        <v>VERDE</v>
      </c>
      <c r="D110" s="5" t="str">
        <f ca="1">IFERROR(__xludf.DUMMYFUNCTION("""COMPUTED_VALUE"""),"COP")</f>
        <v>COP</v>
      </c>
      <c r="E110" s="5" t="str">
        <f ca="1">IFERROR(__xludf.DUMMYFUNCTION("""COMPUTED_VALUE"""),"DSD")</f>
        <v>DSD</v>
      </c>
      <c r="F110" s="5" t="b">
        <f ca="1">IFERROR(__xludf.DUMMYFUNCTION("""COMPUTED_VALUE"""),TRUE)</f>
        <v>1</v>
      </c>
      <c r="G110" s="5" t="str">
        <f ca="1">IFERROR(__xludf.DUMMYFUNCTION("""COMPUTED_VALUE"""),"WILLIAM HENAO")</f>
        <v>WILLIAM HENAO</v>
      </c>
      <c r="H110" s="5"/>
      <c r="I110" s="5"/>
      <c r="J110" s="5" t="str">
        <f t="shared" ca="1" si="0"/>
        <v>Limpieza realizada</v>
      </c>
    </row>
    <row r="111" spans="1:10">
      <c r="A111" s="65"/>
      <c r="B111" s="5" t="str">
        <f ca="1">IFERROR(__xludf.DUMMYFUNCTION("""COMPUTED_VALUE"""),"Lima plana con cabo 6""")</f>
        <v>Lima plana con cabo 6"</v>
      </c>
      <c r="C111" s="5" t="str">
        <f ca="1">IFERROR(__xludf.DUMMYFUNCTION("""COMPUTED_VALUE"""),"VERDE")</f>
        <v>VERDE</v>
      </c>
      <c r="D111" s="5" t="str">
        <f ca="1">IFERROR(__xludf.DUMMYFUNCTION("""COMPUTED_VALUE"""),"COP")</f>
        <v>COP</v>
      </c>
      <c r="E111" s="5" t="str">
        <f ca="1">IFERROR(__xludf.DUMMYFUNCTION("""COMPUTED_VALUE"""),"DSD")</f>
        <v>DSD</v>
      </c>
      <c r="F111" s="5" t="b">
        <f ca="1">IFERROR(__xludf.DUMMYFUNCTION("""COMPUTED_VALUE"""),TRUE)</f>
        <v>1</v>
      </c>
      <c r="G111" s="5" t="str">
        <f ca="1">IFERROR(__xludf.DUMMYFUNCTION("""COMPUTED_VALUE"""),"WILLIAM HENAO")</f>
        <v>WILLIAM HENAO</v>
      </c>
      <c r="H111" s="5"/>
      <c r="I111" s="5"/>
      <c r="J111" s="5" t="str">
        <f t="shared" ca="1" si="0"/>
        <v>Limpieza realizada</v>
      </c>
    </row>
    <row r="112" spans="1:10">
      <c r="A112" s="65"/>
      <c r="B112" s="5" t="str">
        <f ca="1">IFERROR(__xludf.DUMMYFUNCTION("""COMPUTED_VALUE"""),"Hombre solo Stanley 10""")</f>
        <v>Hombre solo Stanley 10"</v>
      </c>
      <c r="C112" s="5" t="str">
        <f ca="1">IFERROR(__xludf.DUMMYFUNCTION("""COMPUTED_VALUE"""),"VERDE")</f>
        <v>VERDE</v>
      </c>
      <c r="D112" s="5" t="str">
        <f ca="1">IFERROR(__xludf.DUMMYFUNCTION("""COMPUTED_VALUE"""),"COP")</f>
        <v>COP</v>
      </c>
      <c r="E112" s="5" t="str">
        <f ca="1">IFERROR(__xludf.DUMMYFUNCTION("""COMPUTED_VALUE"""),"DSD")</f>
        <v>DSD</v>
      </c>
      <c r="F112" s="5" t="b">
        <f ca="1">IFERROR(__xludf.DUMMYFUNCTION("""COMPUTED_VALUE"""),TRUE)</f>
        <v>1</v>
      </c>
      <c r="G112" s="5" t="str">
        <f ca="1">IFERROR(__xludf.DUMMYFUNCTION("""COMPUTED_VALUE"""),"WILLIAM HENAO")</f>
        <v>WILLIAM HENAO</v>
      </c>
      <c r="H112" s="5"/>
      <c r="I112" s="5"/>
      <c r="J112" s="5" t="str">
        <f t="shared" ca="1" si="0"/>
        <v>Limpieza realizada</v>
      </c>
    </row>
    <row r="113" spans="1:10">
      <c r="A113" s="65"/>
      <c r="B113" s="5" t="str">
        <f ca="1">IFERROR(__xludf.DUMMYFUNCTION("""COMPUTED_VALUE"""),"Copa 5/8")</f>
        <v>Copa 5/8</v>
      </c>
      <c r="C113" s="5" t="str">
        <f ca="1">IFERROR(__xludf.DUMMYFUNCTION("""COMPUTED_VALUE"""),"VERDE")</f>
        <v>VERDE</v>
      </c>
      <c r="D113" s="5" t="str">
        <f ca="1">IFERROR(__xludf.DUMMYFUNCTION("""COMPUTED_VALUE"""),"COP")</f>
        <v>COP</v>
      </c>
      <c r="E113" s="5" t="str">
        <f ca="1">IFERROR(__xludf.DUMMYFUNCTION("""COMPUTED_VALUE"""),"DSD")</f>
        <v>DSD</v>
      </c>
      <c r="F113" s="5" t="b">
        <f ca="1">IFERROR(__xludf.DUMMYFUNCTION("""COMPUTED_VALUE"""),TRUE)</f>
        <v>1</v>
      </c>
      <c r="G113" s="5" t="str">
        <f ca="1">IFERROR(__xludf.DUMMYFUNCTION("""COMPUTED_VALUE"""),"WILLIAM HENAO")</f>
        <v>WILLIAM HENAO</v>
      </c>
      <c r="H113" s="5"/>
      <c r="I113" s="5"/>
      <c r="J113" s="5" t="str">
        <f t="shared" ca="1" si="0"/>
        <v>Limpieza realizada</v>
      </c>
    </row>
    <row r="114" spans="1:10">
      <c r="A114" s="65"/>
      <c r="B114" s="5" t="str">
        <f ca="1">IFERROR(__xludf.DUMMYFUNCTION("""COMPUTED_VALUE"""),"Copa 3/4")</f>
        <v>Copa 3/4</v>
      </c>
      <c r="C114" s="5" t="str">
        <f ca="1">IFERROR(__xludf.DUMMYFUNCTION("""COMPUTED_VALUE"""),"VERDE")</f>
        <v>VERDE</v>
      </c>
      <c r="D114" s="5" t="str">
        <f ca="1">IFERROR(__xludf.DUMMYFUNCTION("""COMPUTED_VALUE"""),"COP")</f>
        <v>COP</v>
      </c>
      <c r="E114" s="5" t="str">
        <f ca="1">IFERROR(__xludf.DUMMYFUNCTION("""COMPUTED_VALUE"""),"DSD")</f>
        <v>DSD</v>
      </c>
      <c r="F114" s="5" t="b">
        <f ca="1">IFERROR(__xludf.DUMMYFUNCTION("""COMPUTED_VALUE"""),TRUE)</f>
        <v>1</v>
      </c>
      <c r="G114" s="5" t="str">
        <f ca="1">IFERROR(__xludf.DUMMYFUNCTION("""COMPUTED_VALUE"""),"WILLIAM HENAO")</f>
        <v>WILLIAM HENAO</v>
      </c>
      <c r="H114" s="5"/>
      <c r="I114" s="5"/>
      <c r="J114" s="5" t="str">
        <f t="shared" ca="1" si="0"/>
        <v>Limpieza realizada</v>
      </c>
    </row>
    <row r="115" spans="1:10">
      <c r="A115" s="65"/>
      <c r="B115" s="5" t="str">
        <f ca="1">IFERROR(__xludf.DUMMYFUNCTION("""COMPUTED_VALUE"""),"Copa 15/16")</f>
        <v>Copa 15/16</v>
      </c>
      <c r="C115" s="5" t="str">
        <f ca="1">IFERROR(__xludf.DUMMYFUNCTION("""COMPUTED_VALUE"""),"VERDE")</f>
        <v>VERDE</v>
      </c>
      <c r="D115" s="5" t="str">
        <f ca="1">IFERROR(__xludf.DUMMYFUNCTION("""COMPUTED_VALUE"""),"COP")</f>
        <v>COP</v>
      </c>
      <c r="E115" s="5" t="str">
        <f ca="1">IFERROR(__xludf.DUMMYFUNCTION("""COMPUTED_VALUE"""),"DSD")</f>
        <v>DSD</v>
      </c>
      <c r="F115" s="5" t="b">
        <f ca="1">IFERROR(__xludf.DUMMYFUNCTION("""COMPUTED_VALUE"""),TRUE)</f>
        <v>1</v>
      </c>
      <c r="G115" s="5" t="str">
        <f ca="1">IFERROR(__xludf.DUMMYFUNCTION("""COMPUTED_VALUE"""),"WILLIAM HENAO")</f>
        <v>WILLIAM HENAO</v>
      </c>
      <c r="H115" s="5"/>
      <c r="I115" s="5"/>
      <c r="J115" s="5" t="str">
        <f t="shared" ca="1" si="0"/>
        <v>Limpieza realizada</v>
      </c>
    </row>
    <row r="116" spans="1:10">
      <c r="A116" s="65"/>
      <c r="B116" s="5" t="str">
        <f ca="1">IFERROR(__xludf.DUMMYFUNCTION("""COMPUTED_VALUE"""),"Rache 1/2")</f>
        <v>Rache 1/2</v>
      </c>
      <c r="C116" s="5" t="str">
        <f ca="1">IFERROR(__xludf.DUMMYFUNCTION("""COMPUTED_VALUE"""),"VERDE")</f>
        <v>VERDE</v>
      </c>
      <c r="D116" s="5" t="str">
        <f ca="1">IFERROR(__xludf.DUMMYFUNCTION("""COMPUTED_VALUE"""),"COP")</f>
        <v>COP</v>
      </c>
      <c r="E116" s="5" t="str">
        <f ca="1">IFERROR(__xludf.DUMMYFUNCTION("""COMPUTED_VALUE"""),"DSD")</f>
        <v>DSD</v>
      </c>
      <c r="F116" s="5" t="b">
        <f ca="1">IFERROR(__xludf.DUMMYFUNCTION("""COMPUTED_VALUE"""),TRUE)</f>
        <v>1</v>
      </c>
      <c r="G116" s="5" t="str">
        <f ca="1">IFERROR(__xludf.DUMMYFUNCTION("""COMPUTED_VALUE"""),"WILLIAM HENAO")</f>
        <v>WILLIAM HENAO</v>
      </c>
      <c r="H116" s="5"/>
      <c r="I116" s="5"/>
      <c r="J116" s="5" t="str">
        <f t="shared" ca="1" si="0"/>
        <v>Limpieza realizada</v>
      </c>
    </row>
    <row r="117" spans="1:10">
      <c r="A117" s="65"/>
      <c r="B117" s="5" t="str">
        <f ca="1">IFERROR(__xludf.DUMMYFUNCTION("""COMPUTED_VALUE"""),"Palanca de fuerza")</f>
        <v>Palanca de fuerza</v>
      </c>
      <c r="C117" s="5" t="str">
        <f ca="1">IFERROR(__xludf.DUMMYFUNCTION("""COMPUTED_VALUE"""),"VERDE")</f>
        <v>VERDE</v>
      </c>
      <c r="D117" s="5" t="str">
        <f ca="1">IFERROR(__xludf.DUMMYFUNCTION("""COMPUTED_VALUE"""),"COP")</f>
        <v>COP</v>
      </c>
      <c r="E117" s="5" t="str">
        <f ca="1">IFERROR(__xludf.DUMMYFUNCTION("""COMPUTED_VALUE"""),"DSD")</f>
        <v>DSD</v>
      </c>
      <c r="F117" s="5" t="b">
        <f ca="1">IFERROR(__xludf.DUMMYFUNCTION("""COMPUTED_VALUE"""),TRUE)</f>
        <v>1</v>
      </c>
      <c r="G117" s="5" t="str">
        <f ca="1">IFERROR(__xludf.DUMMYFUNCTION("""COMPUTED_VALUE"""),"WILLIAM HENAO")</f>
        <v>WILLIAM HENAO</v>
      </c>
      <c r="H117" s="5"/>
      <c r="I117" s="5"/>
      <c r="J117" s="5" t="str">
        <f t="shared" ca="1" si="0"/>
        <v>Limpieza realizada</v>
      </c>
    </row>
    <row r="118" spans="1:10">
      <c r="A118" s="65"/>
      <c r="B118" s="5" t="str">
        <f ca="1">IFERROR(__xludf.DUMMYFUNCTION("""COMPUTED_VALUE"""),"Extensión corta")</f>
        <v>Extensión corta</v>
      </c>
      <c r="C118" s="5" t="str">
        <f ca="1">IFERROR(__xludf.DUMMYFUNCTION("""COMPUTED_VALUE"""),"VERDE")</f>
        <v>VERDE</v>
      </c>
      <c r="D118" s="5" t="str">
        <f ca="1">IFERROR(__xludf.DUMMYFUNCTION("""COMPUTED_VALUE"""),"COP")</f>
        <v>COP</v>
      </c>
      <c r="E118" s="5" t="str">
        <f ca="1">IFERROR(__xludf.DUMMYFUNCTION("""COMPUTED_VALUE"""),"DSD")</f>
        <v>DSD</v>
      </c>
      <c r="F118" s="5" t="b">
        <f ca="1">IFERROR(__xludf.DUMMYFUNCTION("""COMPUTED_VALUE"""),TRUE)</f>
        <v>1</v>
      </c>
      <c r="G118" s="5" t="str">
        <f ca="1">IFERROR(__xludf.DUMMYFUNCTION("""COMPUTED_VALUE"""),"WILLIAM HENAO")</f>
        <v>WILLIAM HENAO</v>
      </c>
      <c r="H118" s="5"/>
      <c r="I118" s="5"/>
      <c r="J118" s="5" t="str">
        <f t="shared" ca="1" si="0"/>
        <v>Limpieza realizada</v>
      </c>
    </row>
    <row r="119" spans="1:10">
      <c r="A119" s="65"/>
      <c r="B119" s="5" t="str">
        <f ca="1">IFERROR(__xludf.DUMMYFUNCTION("""COMPUTED_VALUE"""),"Alicate 200 mm")</f>
        <v>Alicate 200 mm</v>
      </c>
      <c r="C119" s="5" t="str">
        <f ca="1">IFERROR(__xludf.DUMMYFUNCTION("""COMPUTED_VALUE"""),"VERDE")</f>
        <v>VERDE</v>
      </c>
      <c r="D119" s="5" t="str">
        <f ca="1">IFERROR(__xludf.DUMMYFUNCTION("""COMPUTED_VALUE"""),"COP")</f>
        <v>COP</v>
      </c>
      <c r="E119" s="5" t="str">
        <f ca="1">IFERROR(__xludf.DUMMYFUNCTION("""COMPUTED_VALUE"""),"DSD")</f>
        <v>DSD</v>
      </c>
      <c r="F119" s="5" t="b">
        <f ca="1">IFERROR(__xludf.DUMMYFUNCTION("""COMPUTED_VALUE"""),TRUE)</f>
        <v>1</v>
      </c>
      <c r="G119" s="5" t="str">
        <f ca="1">IFERROR(__xludf.DUMMYFUNCTION("""COMPUTED_VALUE"""),"WILLIAM HENAO")</f>
        <v>WILLIAM HENAO</v>
      </c>
      <c r="H119" s="5"/>
      <c r="I119" s="5"/>
      <c r="J119" s="5" t="str">
        <f t="shared" ca="1" si="0"/>
        <v>Limpieza realizada</v>
      </c>
    </row>
    <row r="120" spans="1:10">
      <c r="A120" s="65"/>
      <c r="B120" s="5" t="str">
        <f ca="1">IFERROR(__xludf.DUMMYFUNCTION("""COMPUTED_VALUE"""),"Llave pesto 250 mm")</f>
        <v>Llave pesto 250 mm</v>
      </c>
      <c r="C120" s="5" t="str">
        <f ca="1">IFERROR(__xludf.DUMMYFUNCTION("""COMPUTED_VALUE"""),"VERDE")</f>
        <v>VERDE</v>
      </c>
      <c r="D120" s="5" t="str">
        <f ca="1">IFERROR(__xludf.DUMMYFUNCTION("""COMPUTED_VALUE"""),"COP")</f>
        <v>COP</v>
      </c>
      <c r="E120" s="5" t="str">
        <f ca="1">IFERROR(__xludf.DUMMYFUNCTION("""COMPUTED_VALUE"""),"DSD")</f>
        <v>DSD</v>
      </c>
      <c r="F120" s="5" t="b">
        <f ca="1">IFERROR(__xludf.DUMMYFUNCTION("""COMPUTED_VALUE"""),TRUE)</f>
        <v>1</v>
      </c>
      <c r="G120" s="5" t="str">
        <f ca="1">IFERROR(__xludf.DUMMYFUNCTION("""COMPUTED_VALUE"""),"WILLIAM HENAO")</f>
        <v>WILLIAM HENAO</v>
      </c>
      <c r="H120" s="5"/>
      <c r="I120" s="5"/>
      <c r="J120" s="5" t="str">
        <f t="shared" ca="1" si="0"/>
        <v>Limpieza realizada</v>
      </c>
    </row>
    <row r="121" spans="1:10">
      <c r="A121" s="65"/>
      <c r="B121" s="5" t="str">
        <f ca="1">IFERROR(__xludf.DUMMYFUNCTION("""COMPUTED_VALUE"""),"Llave Allen 7 mm")</f>
        <v>Llave Allen 7 mm</v>
      </c>
      <c r="C121" s="5" t="str">
        <f ca="1">IFERROR(__xludf.DUMMYFUNCTION("""COMPUTED_VALUE"""),"VERDE")</f>
        <v>VERDE</v>
      </c>
      <c r="D121" s="5" t="str">
        <f ca="1">IFERROR(__xludf.DUMMYFUNCTION("""COMPUTED_VALUE"""),"COP")</f>
        <v>COP</v>
      </c>
      <c r="E121" s="5" t="str">
        <f ca="1">IFERROR(__xludf.DUMMYFUNCTION("""COMPUTED_VALUE"""),"DSD")</f>
        <v>DSD</v>
      </c>
      <c r="F121" s="5" t="b">
        <f ca="1">IFERROR(__xludf.DUMMYFUNCTION("""COMPUTED_VALUE"""),TRUE)</f>
        <v>1</v>
      </c>
      <c r="G121" s="5" t="str">
        <f ca="1">IFERROR(__xludf.DUMMYFUNCTION("""COMPUTED_VALUE"""),"WILLIAM HENAO")</f>
        <v>WILLIAM HENAO</v>
      </c>
      <c r="H121" s="5"/>
      <c r="I121" s="5"/>
      <c r="J121" s="5" t="str">
        <f t="shared" ca="1" si="0"/>
        <v>Limpieza realizada</v>
      </c>
    </row>
    <row r="122" spans="1:10">
      <c r="A122" s="65"/>
      <c r="B122" s="5" t="str">
        <f ca="1">IFERROR(__xludf.DUMMYFUNCTION("""COMPUTED_VALUE"""),"Llave Allen 12 mm")</f>
        <v>Llave Allen 12 mm</v>
      </c>
      <c r="C122" s="5" t="str">
        <f ca="1">IFERROR(__xludf.DUMMYFUNCTION("""COMPUTED_VALUE"""),"VERDE")</f>
        <v>VERDE</v>
      </c>
      <c r="D122" s="5" t="str">
        <f ca="1">IFERROR(__xludf.DUMMYFUNCTION("""COMPUTED_VALUE"""),"COP")</f>
        <v>COP</v>
      </c>
      <c r="E122" s="5" t="str">
        <f ca="1">IFERROR(__xludf.DUMMYFUNCTION("""COMPUTED_VALUE"""),"DSD")</f>
        <v>DSD</v>
      </c>
      <c r="F122" s="5" t="b">
        <f ca="1">IFERROR(__xludf.DUMMYFUNCTION("""COMPUTED_VALUE"""),TRUE)</f>
        <v>1</v>
      </c>
      <c r="G122" s="5" t="str">
        <f ca="1">IFERROR(__xludf.DUMMYFUNCTION("""COMPUTED_VALUE"""),"WILLIAM HENAO")</f>
        <v>WILLIAM HENAO</v>
      </c>
      <c r="H122" s="5"/>
      <c r="I122" s="5"/>
      <c r="J122" s="5" t="str">
        <f t="shared" ca="1" si="0"/>
        <v>Limpieza realizada</v>
      </c>
    </row>
    <row r="123" spans="1:10">
      <c r="A123" s="65">
        <f ca="1">IFERROR(__xludf.DUMMYFUNCTION("""COMPUTED_VALUE"""),45352)</f>
        <v>45352</v>
      </c>
      <c r="B123" s="5" t="str">
        <f ca="1">IFERROR(__xludf.DUMMYFUNCTION("""COMPUTED_VALUE"""),"LLAVE COMBINADA (MIXTA) 10 MM")</f>
        <v>LLAVE COMBINADA (MIXTA) 10 MM</v>
      </c>
      <c r="C123" s="5" t="str">
        <f ca="1">IFERROR(__xludf.DUMMYFUNCTION("""COMPUTED_VALUE"""),"VERDE")</f>
        <v>VERDE</v>
      </c>
      <c r="D123" s="5" t="str">
        <f ca="1">IFERROR(__xludf.DUMMYFUNCTION("""COMPUTED_VALUE"""),"COP")</f>
        <v>COP</v>
      </c>
      <c r="E123" s="5" t="str">
        <f ca="1">IFERROR(__xludf.DUMMYFUNCTION("""COMPUTED_VALUE"""),"DSD")</f>
        <v>DSD</v>
      </c>
      <c r="F123" s="5" t="b">
        <f ca="1">IFERROR(__xludf.DUMMYFUNCTION("""COMPUTED_VALUE"""),TRUE)</f>
        <v>1</v>
      </c>
      <c r="G123" s="5" t="str">
        <f ca="1">IFERROR(__xludf.DUMMYFUNCTION("""COMPUTED_VALUE"""),"JHON F JIMENEZ")</f>
        <v>JHON F JIMENEZ</v>
      </c>
      <c r="H123" s="5"/>
      <c r="I123" s="5"/>
      <c r="J123" s="5" t="str">
        <f t="shared" ca="1" si="0"/>
        <v>Limpieza realizada</v>
      </c>
    </row>
    <row r="124" spans="1:10">
      <c r="A124" s="65"/>
      <c r="B124" s="5" t="str">
        <f ca="1">IFERROR(__xludf.DUMMYFUNCTION("""COMPUTED_VALUE"""),"HOMBRE SOLO 10""")</f>
        <v>HOMBRE SOLO 10"</v>
      </c>
      <c r="C124" s="5" t="str">
        <f ca="1">IFERROR(__xludf.DUMMYFUNCTION("""COMPUTED_VALUE"""),"VERDE")</f>
        <v>VERDE</v>
      </c>
      <c r="D124" s="5" t="str">
        <f ca="1">IFERROR(__xludf.DUMMYFUNCTION("""COMPUTED_VALUE"""),"COP")</f>
        <v>COP</v>
      </c>
      <c r="E124" s="5" t="str">
        <f ca="1">IFERROR(__xludf.DUMMYFUNCTION("""COMPUTED_VALUE"""),"DSD")</f>
        <v>DSD</v>
      </c>
      <c r="F124" s="5" t="b">
        <f ca="1">IFERROR(__xludf.DUMMYFUNCTION("""COMPUTED_VALUE"""),TRUE)</f>
        <v>1</v>
      </c>
      <c r="G124" s="5" t="str">
        <f ca="1">IFERROR(__xludf.DUMMYFUNCTION("""COMPUTED_VALUE"""),"JHON F JIMENEZ")</f>
        <v>JHON F JIMENEZ</v>
      </c>
      <c r="H124" s="5"/>
      <c r="I124" s="5"/>
      <c r="J124" s="5" t="str">
        <f t="shared" ca="1" si="0"/>
        <v>Limpieza realizada</v>
      </c>
    </row>
    <row r="125" spans="1:10">
      <c r="A125" s="65"/>
      <c r="B125" s="5" t="str">
        <f ca="1">IFERROR(__xludf.DUMMYFUNCTION("""COMPUTED_VALUE"""),"LLAVE COMBINADA (MIXTA) 19 MM")</f>
        <v>LLAVE COMBINADA (MIXTA) 19 MM</v>
      </c>
      <c r="C125" s="5" t="str">
        <f ca="1">IFERROR(__xludf.DUMMYFUNCTION("""COMPUTED_VALUE"""),"VERDE")</f>
        <v>VERDE</v>
      </c>
      <c r="D125" s="5" t="str">
        <f ca="1">IFERROR(__xludf.DUMMYFUNCTION("""COMPUTED_VALUE"""),"COP")</f>
        <v>COP</v>
      </c>
      <c r="E125" s="5" t="str">
        <f ca="1">IFERROR(__xludf.DUMMYFUNCTION("""COMPUTED_VALUE"""),"DSD")</f>
        <v>DSD</v>
      </c>
      <c r="F125" s="5" t="b">
        <f ca="1">IFERROR(__xludf.DUMMYFUNCTION("""COMPUTED_VALUE"""),TRUE)</f>
        <v>1</v>
      </c>
      <c r="G125" s="5" t="str">
        <f ca="1">IFERROR(__xludf.DUMMYFUNCTION("""COMPUTED_VALUE"""),"JHON F JIMENEZ")</f>
        <v>JHON F JIMENEZ</v>
      </c>
      <c r="H125" s="5"/>
      <c r="I125" s="5"/>
      <c r="J125" s="5" t="str">
        <f t="shared" ca="1" si="0"/>
        <v>Limpieza realizada</v>
      </c>
    </row>
    <row r="126" spans="1:10">
      <c r="A126" s="65"/>
      <c r="B126" s="5" t="str">
        <f ca="1">IFERROR(__xludf.DUMMYFUNCTION("""COMPUTED_VALUE"""),"LLAVE COMBINADA (MIXTA) DE 30MM")</f>
        <v>LLAVE COMBINADA (MIXTA) DE 30MM</v>
      </c>
      <c r="C126" s="5" t="str">
        <f ca="1">IFERROR(__xludf.DUMMYFUNCTION("""COMPUTED_VALUE"""),"VERDE")</f>
        <v>VERDE</v>
      </c>
      <c r="D126" s="5" t="str">
        <f ca="1">IFERROR(__xludf.DUMMYFUNCTION("""COMPUTED_VALUE"""),"COP")</f>
        <v>COP</v>
      </c>
      <c r="E126" s="5" t="str">
        <f ca="1">IFERROR(__xludf.DUMMYFUNCTION("""COMPUTED_VALUE"""),"DSD")</f>
        <v>DSD</v>
      </c>
      <c r="F126" s="5" t="b">
        <f ca="1">IFERROR(__xludf.DUMMYFUNCTION("""COMPUTED_VALUE"""),TRUE)</f>
        <v>1</v>
      </c>
      <c r="G126" s="5" t="str">
        <f ca="1">IFERROR(__xludf.DUMMYFUNCTION("""COMPUTED_VALUE"""),"JHON F JIMENEZ")</f>
        <v>JHON F JIMENEZ</v>
      </c>
      <c r="H126" s="5"/>
      <c r="I126" s="5"/>
      <c r="J126" s="5" t="str">
        <f t="shared" ca="1" si="0"/>
        <v>Limpieza realizada</v>
      </c>
    </row>
    <row r="127" spans="1:10">
      <c r="A127" s="65"/>
      <c r="B127" s="5" t="str">
        <f ca="1">IFERROR(__xludf.DUMMYFUNCTION("""COMPUTED_VALUE"""),"FLEXOMETRO 5 MTS")</f>
        <v>FLEXOMETRO 5 MTS</v>
      </c>
      <c r="C127" s="5" t="str">
        <f ca="1">IFERROR(__xludf.DUMMYFUNCTION("""COMPUTED_VALUE"""),"VERDE")</f>
        <v>VERDE</v>
      </c>
      <c r="D127" s="5" t="str">
        <f ca="1">IFERROR(__xludf.DUMMYFUNCTION("""COMPUTED_VALUE"""),"COP")</f>
        <v>COP</v>
      </c>
      <c r="E127" s="5" t="str">
        <f ca="1">IFERROR(__xludf.DUMMYFUNCTION("""COMPUTED_VALUE"""),"DSD")</f>
        <v>DSD</v>
      </c>
      <c r="F127" s="5" t="b">
        <f ca="1">IFERROR(__xludf.DUMMYFUNCTION("""COMPUTED_VALUE"""),TRUE)</f>
        <v>1</v>
      </c>
      <c r="G127" s="5" t="str">
        <f ca="1">IFERROR(__xludf.DUMMYFUNCTION("""COMPUTED_VALUE"""),"JHON F JIMENEZ")</f>
        <v>JHON F JIMENEZ</v>
      </c>
      <c r="H127" s="5"/>
      <c r="I127" s="5"/>
      <c r="J127" s="5" t="str">
        <f t="shared" ca="1" si="0"/>
        <v>Limpieza realizada</v>
      </c>
    </row>
    <row r="128" spans="1:10">
      <c r="A128" s="65"/>
      <c r="B128" s="5" t="str">
        <f ca="1">IFERROR(__xludf.DUMMYFUNCTION("""COMPUTED_VALUE"""),"LLAVE MIXTA T.RACHET 10MM STANLEY 91-974")</f>
        <v>LLAVE MIXTA T.RACHET 10MM STANLEY 91-974</v>
      </c>
      <c r="C128" s="5" t="str">
        <f ca="1">IFERROR(__xludf.DUMMYFUNCTION("""COMPUTED_VALUE"""),"VERDE")</f>
        <v>VERDE</v>
      </c>
      <c r="D128" s="5" t="str">
        <f ca="1">IFERROR(__xludf.DUMMYFUNCTION("""COMPUTED_VALUE"""),"COP")</f>
        <v>COP</v>
      </c>
      <c r="E128" s="5" t="str">
        <f ca="1">IFERROR(__xludf.DUMMYFUNCTION("""COMPUTED_VALUE"""),"DSD")</f>
        <v>DSD</v>
      </c>
      <c r="F128" s="5" t="b">
        <f ca="1">IFERROR(__xludf.DUMMYFUNCTION("""COMPUTED_VALUE"""),TRUE)</f>
        <v>1</v>
      </c>
      <c r="G128" s="5" t="str">
        <f ca="1">IFERROR(__xludf.DUMMYFUNCTION("""COMPUTED_VALUE"""),"JHON F JIMENEZ")</f>
        <v>JHON F JIMENEZ</v>
      </c>
      <c r="H128" s="5"/>
      <c r="I128" s="5"/>
      <c r="J128" s="5" t="str">
        <f t="shared" ca="1" si="0"/>
        <v>Limpieza realizada</v>
      </c>
    </row>
    <row r="129" spans="1:10">
      <c r="A129" s="65"/>
      <c r="B129" s="5" t="str">
        <f ca="1">IFERROR(__xludf.DUMMYFUNCTION("""COMPUTED_VALUE"""),"LLAVE MIXTA T.RACHET 13MM STANLEY 91-977")</f>
        <v>LLAVE MIXTA T.RACHET 13MM STANLEY 91-977</v>
      </c>
      <c r="C129" s="5" t="str">
        <f ca="1">IFERROR(__xludf.DUMMYFUNCTION("""COMPUTED_VALUE"""),"VERDE")</f>
        <v>VERDE</v>
      </c>
      <c r="D129" s="5" t="str">
        <f ca="1">IFERROR(__xludf.DUMMYFUNCTION("""COMPUTED_VALUE"""),"COP")</f>
        <v>COP</v>
      </c>
      <c r="E129" s="5" t="str">
        <f ca="1">IFERROR(__xludf.DUMMYFUNCTION("""COMPUTED_VALUE"""),"DSD")</f>
        <v>DSD</v>
      </c>
      <c r="F129" s="5" t="b">
        <f ca="1">IFERROR(__xludf.DUMMYFUNCTION("""COMPUTED_VALUE"""),TRUE)</f>
        <v>1</v>
      </c>
      <c r="G129" s="5" t="str">
        <f ca="1">IFERROR(__xludf.DUMMYFUNCTION("""COMPUTED_VALUE"""),"JHON F JIMENEZ")</f>
        <v>JHON F JIMENEZ</v>
      </c>
      <c r="H129" s="5"/>
      <c r="I129" s="5"/>
      <c r="J129" s="5" t="str">
        <f t="shared" ca="1" si="0"/>
        <v>Limpieza realizada</v>
      </c>
    </row>
    <row r="130" spans="1:10">
      <c r="A130" s="65"/>
      <c r="B130" s="5" t="str">
        <f ca="1">IFERROR(__xludf.DUMMYFUNCTION("""COMPUTED_VALUE"""),"LLAVE MIXTA T.RACHET 17MM STANLEY 91-984")</f>
        <v>LLAVE MIXTA T.RACHET 17MM STANLEY 91-984</v>
      </c>
      <c r="C130" s="5" t="str">
        <f ca="1">IFERROR(__xludf.DUMMYFUNCTION("""COMPUTED_VALUE"""),"VERDE")</f>
        <v>VERDE</v>
      </c>
      <c r="D130" s="5" t="str">
        <f ca="1">IFERROR(__xludf.DUMMYFUNCTION("""COMPUTED_VALUE"""),"COP")</f>
        <v>COP</v>
      </c>
      <c r="E130" s="5" t="str">
        <f ca="1">IFERROR(__xludf.DUMMYFUNCTION("""COMPUTED_VALUE"""),"DSD")</f>
        <v>DSD</v>
      </c>
      <c r="F130" s="5" t="b">
        <f ca="1">IFERROR(__xludf.DUMMYFUNCTION("""COMPUTED_VALUE"""),TRUE)</f>
        <v>1</v>
      </c>
      <c r="G130" s="5" t="str">
        <f ca="1">IFERROR(__xludf.DUMMYFUNCTION("""COMPUTED_VALUE"""),"JHON F JIMENEZ")</f>
        <v>JHON F JIMENEZ</v>
      </c>
      <c r="H130" s="5"/>
      <c r="I130" s="5"/>
      <c r="J130" s="5" t="str">
        <f t="shared" ca="1" si="0"/>
        <v>Limpieza realizada</v>
      </c>
    </row>
    <row r="131" spans="1:10">
      <c r="A131" s="65"/>
      <c r="B131" s="5" t="str">
        <f ca="1">IFERROR(__xludf.DUMMYFUNCTION("""COMPUTED_VALUE"""),"LLAVE MIXTA T.RACHET 8MM STANLEY 91-973")</f>
        <v>LLAVE MIXTA T.RACHET 8MM STANLEY 91-973</v>
      </c>
      <c r="C131" s="5" t="str">
        <f ca="1">IFERROR(__xludf.DUMMYFUNCTION("""COMPUTED_VALUE"""),"VERDE")</f>
        <v>VERDE</v>
      </c>
      <c r="D131" s="5" t="str">
        <f ca="1">IFERROR(__xludf.DUMMYFUNCTION("""COMPUTED_VALUE"""),"COP")</f>
        <v>COP</v>
      </c>
      <c r="E131" s="5" t="str">
        <f ca="1">IFERROR(__xludf.DUMMYFUNCTION("""COMPUTED_VALUE"""),"DSD")</f>
        <v>DSD</v>
      </c>
      <c r="F131" s="5" t="b">
        <f ca="1">IFERROR(__xludf.DUMMYFUNCTION("""COMPUTED_VALUE"""),TRUE)</f>
        <v>1</v>
      </c>
      <c r="G131" s="5" t="str">
        <f ca="1">IFERROR(__xludf.DUMMYFUNCTION("""COMPUTED_VALUE"""),"JHON F JIMENEZ")</f>
        <v>JHON F JIMENEZ</v>
      </c>
      <c r="H131" s="5"/>
      <c r="I131" s="5"/>
      <c r="J131" s="5" t="str">
        <f t="shared" ca="1" si="0"/>
        <v>Limpieza realizada</v>
      </c>
    </row>
    <row r="132" spans="1:10">
      <c r="A132" s="65"/>
      <c r="B132" s="5" t="str">
        <f ca="1">IFERROR(__xludf.DUMMYFUNCTION("""COMPUTED_VALUE"""),"LLAVE MIXTA T.RACHET 7 MM")</f>
        <v>LLAVE MIXTA T.RACHET 7 MM</v>
      </c>
      <c r="C132" s="5" t="str">
        <f ca="1">IFERROR(__xludf.DUMMYFUNCTION("""COMPUTED_VALUE"""),"VERDE")</f>
        <v>VERDE</v>
      </c>
      <c r="D132" s="5" t="str">
        <f ca="1">IFERROR(__xludf.DUMMYFUNCTION("""COMPUTED_VALUE"""),"COP")</f>
        <v>COP</v>
      </c>
      <c r="E132" s="5" t="str">
        <f ca="1">IFERROR(__xludf.DUMMYFUNCTION("""COMPUTED_VALUE"""),"DSD")</f>
        <v>DSD</v>
      </c>
      <c r="F132" s="5" t="b">
        <f ca="1">IFERROR(__xludf.DUMMYFUNCTION("""COMPUTED_VALUE"""),TRUE)</f>
        <v>1</v>
      </c>
      <c r="G132" s="5" t="str">
        <f ca="1">IFERROR(__xludf.DUMMYFUNCTION("""COMPUTED_VALUE"""),"JHON F JIMENEZ")</f>
        <v>JHON F JIMENEZ</v>
      </c>
      <c r="H132" s="5"/>
      <c r="I132" s="5"/>
      <c r="J132" s="5" t="str">
        <f t="shared" ca="1" si="0"/>
        <v>Limpieza realizada</v>
      </c>
    </row>
    <row r="133" spans="1:10">
      <c r="A133" s="65"/>
      <c r="B133" s="5" t="str">
        <f ca="1">IFERROR(__xludf.DUMMYFUNCTION("""COMPUTED_VALUE"""),"Llave bristol Allen en T 6mm")</f>
        <v>Llave bristol Allen en T 6mm</v>
      </c>
      <c r="C133" s="5" t="str">
        <f ca="1">IFERROR(__xludf.DUMMYFUNCTION("""COMPUTED_VALUE"""),"VERDE")</f>
        <v>VERDE</v>
      </c>
      <c r="D133" s="5" t="str">
        <f ca="1">IFERROR(__xludf.DUMMYFUNCTION("""COMPUTED_VALUE"""),"COP")</f>
        <v>COP</v>
      </c>
      <c r="E133" s="5" t="str">
        <f ca="1">IFERROR(__xludf.DUMMYFUNCTION("""COMPUTED_VALUE"""),"DSD")</f>
        <v>DSD</v>
      </c>
      <c r="F133" s="5" t="b">
        <f ca="1">IFERROR(__xludf.DUMMYFUNCTION("""COMPUTED_VALUE"""),TRUE)</f>
        <v>1</v>
      </c>
      <c r="G133" s="5" t="str">
        <f ca="1">IFERROR(__xludf.DUMMYFUNCTION("""COMPUTED_VALUE"""),"JHON F JIMENEZ")</f>
        <v>JHON F JIMENEZ</v>
      </c>
      <c r="H133" s="5"/>
      <c r="I133" s="5"/>
      <c r="J133" s="5" t="str">
        <f t="shared" ca="1" si="0"/>
        <v>Limpieza realizada</v>
      </c>
    </row>
    <row r="134" spans="1:10">
      <c r="A134" s="65"/>
      <c r="B134" s="5" t="str">
        <f ca="1">IFERROR(__xludf.DUMMYFUNCTION("""COMPUTED_VALUE"""),"Llave bristol Allen en T 4mm")</f>
        <v>Llave bristol Allen en T 4mm</v>
      </c>
      <c r="C134" s="5" t="str">
        <f ca="1">IFERROR(__xludf.DUMMYFUNCTION("""COMPUTED_VALUE"""),"VERDE")</f>
        <v>VERDE</v>
      </c>
      <c r="D134" s="5" t="str">
        <f ca="1">IFERROR(__xludf.DUMMYFUNCTION("""COMPUTED_VALUE"""),"COP")</f>
        <v>COP</v>
      </c>
      <c r="E134" s="5" t="str">
        <f ca="1">IFERROR(__xludf.DUMMYFUNCTION("""COMPUTED_VALUE"""),"DSD")</f>
        <v>DSD</v>
      </c>
      <c r="F134" s="5" t="b">
        <f ca="1">IFERROR(__xludf.DUMMYFUNCTION("""COMPUTED_VALUE"""),TRUE)</f>
        <v>1</v>
      </c>
      <c r="G134" s="5" t="str">
        <f ca="1">IFERROR(__xludf.DUMMYFUNCTION("""COMPUTED_VALUE"""),"JHON F JIMENEZ")</f>
        <v>JHON F JIMENEZ</v>
      </c>
      <c r="H134" s="5"/>
      <c r="I134" s="5"/>
      <c r="J134" s="5" t="str">
        <f t="shared" ca="1" si="0"/>
        <v>Limpieza realizada</v>
      </c>
    </row>
    <row r="135" spans="1:10">
      <c r="A135" s="65"/>
      <c r="B135" s="5" t="str">
        <f ca="1">IFERROR(__xludf.DUMMYFUNCTION("""COMPUTED_VALUE"""),"Destornillador estrella 1/4x6""")</f>
        <v>Destornillador estrella 1/4x6"</v>
      </c>
      <c r="C135" s="5" t="str">
        <f ca="1">IFERROR(__xludf.DUMMYFUNCTION("""COMPUTED_VALUE"""),"VERDE")</f>
        <v>VERDE</v>
      </c>
      <c r="D135" s="5" t="str">
        <f ca="1">IFERROR(__xludf.DUMMYFUNCTION("""COMPUTED_VALUE"""),"COP")</f>
        <v>COP</v>
      </c>
      <c r="E135" s="5" t="str">
        <f ca="1">IFERROR(__xludf.DUMMYFUNCTION("""COMPUTED_VALUE"""),"DSD")</f>
        <v>DSD</v>
      </c>
      <c r="F135" s="5" t="b">
        <f ca="1">IFERROR(__xludf.DUMMYFUNCTION("""COMPUTED_VALUE"""),TRUE)</f>
        <v>1</v>
      </c>
      <c r="G135" s="5" t="str">
        <f ca="1">IFERROR(__xludf.DUMMYFUNCTION("""COMPUTED_VALUE"""),"JHON F JIMENEZ")</f>
        <v>JHON F JIMENEZ</v>
      </c>
      <c r="H135" s="5"/>
      <c r="I135" s="5"/>
      <c r="J135" s="5" t="str">
        <f t="shared" ca="1" si="0"/>
        <v>Limpieza realizada</v>
      </c>
    </row>
    <row r="136" spans="1:10">
      <c r="A136" s="65"/>
      <c r="B136" s="5" t="str">
        <f ca="1">IFERROR(__xludf.DUMMYFUNCTION("""COMPUTED_VALUE"""),"Destornillador de pala 1/4x6""")</f>
        <v>Destornillador de pala 1/4x6"</v>
      </c>
      <c r="C136" s="5" t="str">
        <f ca="1">IFERROR(__xludf.DUMMYFUNCTION("""COMPUTED_VALUE"""),"VERDE")</f>
        <v>VERDE</v>
      </c>
      <c r="D136" s="5" t="str">
        <f ca="1">IFERROR(__xludf.DUMMYFUNCTION("""COMPUTED_VALUE"""),"COP")</f>
        <v>COP</v>
      </c>
      <c r="E136" s="5" t="str">
        <f ca="1">IFERROR(__xludf.DUMMYFUNCTION("""COMPUTED_VALUE"""),"DSD")</f>
        <v>DSD</v>
      </c>
      <c r="F136" s="5" t="b">
        <f ca="1">IFERROR(__xludf.DUMMYFUNCTION("""COMPUTED_VALUE"""),TRUE)</f>
        <v>1</v>
      </c>
      <c r="G136" s="5" t="str">
        <f ca="1">IFERROR(__xludf.DUMMYFUNCTION("""COMPUTED_VALUE"""),"JHON F JIMENEZ")</f>
        <v>JHON F JIMENEZ</v>
      </c>
      <c r="H136" s="5"/>
      <c r="I136" s="5"/>
      <c r="J136" s="5" t="str">
        <f t="shared" ca="1" si="0"/>
        <v>Limpieza realizada</v>
      </c>
    </row>
    <row r="137" spans="1:10">
      <c r="A137" s="65"/>
      <c r="B137" s="5" t="str">
        <f ca="1">IFERROR(__xludf.DUMMYFUNCTION("""COMPUTED_VALUE"""),"Destornillador pala 3/8 x 12""")</f>
        <v>Destornillador pala 3/8 x 12"</v>
      </c>
      <c r="C137" s="5" t="str">
        <f ca="1">IFERROR(__xludf.DUMMYFUNCTION("""COMPUTED_VALUE"""),"VERDE")</f>
        <v>VERDE</v>
      </c>
      <c r="D137" s="5" t="str">
        <f ca="1">IFERROR(__xludf.DUMMYFUNCTION("""COMPUTED_VALUE"""),"COP")</f>
        <v>COP</v>
      </c>
      <c r="E137" s="5" t="str">
        <f ca="1">IFERROR(__xludf.DUMMYFUNCTION("""COMPUTED_VALUE"""),"DSD")</f>
        <v>DSD</v>
      </c>
      <c r="F137" s="5" t="b">
        <f ca="1">IFERROR(__xludf.DUMMYFUNCTION("""COMPUTED_VALUE"""),TRUE)</f>
        <v>1</v>
      </c>
      <c r="G137" s="5" t="str">
        <f ca="1">IFERROR(__xludf.DUMMYFUNCTION("""COMPUTED_VALUE"""),"JHON F JIMENEZ")</f>
        <v>JHON F JIMENEZ</v>
      </c>
      <c r="H137" s="5"/>
      <c r="I137" s="5"/>
      <c r="J137" s="5" t="str">
        <f t="shared" ca="1" si="0"/>
        <v>Limpieza realizada</v>
      </c>
    </row>
    <row r="138" spans="1:10">
      <c r="A138" s="65"/>
      <c r="B138" s="5" t="str">
        <f ca="1">IFERROR(__xludf.DUMMYFUNCTION("""COMPUTED_VALUE"""),"Destornillador pala 1/8x3""")</f>
        <v>Destornillador pala 1/8x3"</v>
      </c>
      <c r="C138" s="5" t="str">
        <f ca="1">IFERROR(__xludf.DUMMYFUNCTION("""COMPUTED_VALUE"""),"VERDE")</f>
        <v>VERDE</v>
      </c>
      <c r="D138" s="5" t="str">
        <f ca="1">IFERROR(__xludf.DUMMYFUNCTION("""COMPUTED_VALUE"""),"COP")</f>
        <v>COP</v>
      </c>
      <c r="E138" s="5" t="str">
        <f ca="1">IFERROR(__xludf.DUMMYFUNCTION("""COMPUTED_VALUE"""),"DSD")</f>
        <v>DSD</v>
      </c>
      <c r="F138" s="5" t="b">
        <f ca="1">IFERROR(__xludf.DUMMYFUNCTION("""COMPUTED_VALUE"""),TRUE)</f>
        <v>1</v>
      </c>
      <c r="G138" s="5" t="str">
        <f ca="1">IFERROR(__xludf.DUMMYFUNCTION("""COMPUTED_VALUE"""),"JHON F JIMENEZ")</f>
        <v>JHON F JIMENEZ</v>
      </c>
      <c r="H138" s="5"/>
      <c r="I138" s="5"/>
      <c r="J138" s="5" t="str">
        <f t="shared" ca="1" si="0"/>
        <v>Limpieza realizada</v>
      </c>
    </row>
    <row r="139" spans="1:10">
      <c r="A139" s="65"/>
      <c r="B139" s="5" t="str">
        <f ca="1">IFERROR(__xludf.DUMMYFUNCTION("""COMPUTED_VALUE"""),"Copa Stanley 13 mm")</f>
        <v>Copa Stanley 13 mm</v>
      </c>
      <c r="C139" s="5" t="str">
        <f ca="1">IFERROR(__xludf.DUMMYFUNCTION("""COMPUTED_VALUE"""),"VERDE")</f>
        <v>VERDE</v>
      </c>
      <c r="D139" s="5" t="str">
        <f ca="1">IFERROR(__xludf.DUMMYFUNCTION("""COMPUTED_VALUE"""),"COP")</f>
        <v>COP</v>
      </c>
      <c r="E139" s="5" t="str">
        <f ca="1">IFERROR(__xludf.DUMMYFUNCTION("""COMPUTED_VALUE"""),"DSD")</f>
        <v>DSD</v>
      </c>
      <c r="F139" s="5" t="b">
        <f ca="1">IFERROR(__xludf.DUMMYFUNCTION("""COMPUTED_VALUE"""),TRUE)</f>
        <v>1</v>
      </c>
      <c r="G139" s="5" t="str">
        <f ca="1">IFERROR(__xludf.DUMMYFUNCTION("""COMPUTED_VALUE"""),"JHON F JIMENEZ")</f>
        <v>JHON F JIMENEZ</v>
      </c>
      <c r="H139" s="5"/>
      <c r="I139" s="5"/>
      <c r="J139" s="5" t="str">
        <f t="shared" ca="1" si="0"/>
        <v>Limpieza realizada</v>
      </c>
    </row>
    <row r="140" spans="1:10">
      <c r="A140" s="65"/>
      <c r="B140" s="5" t="str">
        <f ca="1">IFERROR(__xludf.DUMMYFUNCTION("""COMPUTED_VALUE"""),"Copa Standard 24mm")</f>
        <v>Copa Standard 24mm</v>
      </c>
      <c r="C140" s="5" t="str">
        <f ca="1">IFERROR(__xludf.DUMMYFUNCTION("""COMPUTED_VALUE"""),"VERDE")</f>
        <v>VERDE</v>
      </c>
      <c r="D140" s="5" t="str">
        <f ca="1">IFERROR(__xludf.DUMMYFUNCTION("""COMPUTED_VALUE"""),"COP")</f>
        <v>COP</v>
      </c>
      <c r="E140" s="5" t="str">
        <f ca="1">IFERROR(__xludf.DUMMYFUNCTION("""COMPUTED_VALUE"""),"DSD")</f>
        <v>DSD</v>
      </c>
      <c r="F140" s="5" t="b">
        <f ca="1">IFERROR(__xludf.DUMMYFUNCTION("""COMPUTED_VALUE"""),TRUE)</f>
        <v>1</v>
      </c>
      <c r="G140" s="5" t="str">
        <f ca="1">IFERROR(__xludf.DUMMYFUNCTION("""COMPUTED_VALUE"""),"JHON F JIMENEZ")</f>
        <v>JHON F JIMENEZ</v>
      </c>
      <c r="H140" s="5"/>
      <c r="I140" s="5"/>
      <c r="J140" s="5" t="str">
        <f t="shared" ca="1" si="0"/>
        <v>Limpieza realizada</v>
      </c>
    </row>
    <row r="141" spans="1:10">
      <c r="A141" s="65"/>
      <c r="B141" s="5" t="str">
        <f ca="1">IFERROR(__xludf.DUMMYFUNCTION("""COMPUTED_VALUE"""),"Copa Standard 17 mm")</f>
        <v>Copa Standard 17 mm</v>
      </c>
      <c r="C141" s="5" t="str">
        <f ca="1">IFERROR(__xludf.DUMMYFUNCTION("""COMPUTED_VALUE"""),"VERDE")</f>
        <v>VERDE</v>
      </c>
      <c r="D141" s="5" t="str">
        <f ca="1">IFERROR(__xludf.DUMMYFUNCTION("""COMPUTED_VALUE"""),"COP")</f>
        <v>COP</v>
      </c>
      <c r="E141" s="5" t="str">
        <f ca="1">IFERROR(__xludf.DUMMYFUNCTION("""COMPUTED_VALUE"""),"DSD")</f>
        <v>DSD</v>
      </c>
      <c r="F141" s="5" t="b">
        <f ca="1">IFERROR(__xludf.DUMMYFUNCTION("""COMPUTED_VALUE"""),TRUE)</f>
        <v>1</v>
      </c>
      <c r="G141" s="5" t="str">
        <f ca="1">IFERROR(__xludf.DUMMYFUNCTION("""COMPUTED_VALUE"""),"JHON F JIMENEZ")</f>
        <v>JHON F JIMENEZ</v>
      </c>
      <c r="H141" s="5"/>
      <c r="I141" s="5"/>
      <c r="J141" s="5" t="str">
        <f t="shared" ca="1" si="0"/>
        <v>Limpieza realizada</v>
      </c>
    </row>
    <row r="142" spans="1:10">
      <c r="A142" s="65"/>
      <c r="B142" s="5" t="str">
        <f ca="1">IFERROR(__xludf.DUMMYFUNCTION("""COMPUTED_VALUE"""),"Copa Standard 10 mm")</f>
        <v>Copa Standard 10 mm</v>
      </c>
      <c r="C142" s="5" t="str">
        <f ca="1">IFERROR(__xludf.DUMMYFUNCTION("""COMPUTED_VALUE"""),"VERDE")</f>
        <v>VERDE</v>
      </c>
      <c r="D142" s="5" t="str">
        <f ca="1">IFERROR(__xludf.DUMMYFUNCTION("""COMPUTED_VALUE"""),"COP")</f>
        <v>COP</v>
      </c>
      <c r="E142" s="5" t="str">
        <f ca="1">IFERROR(__xludf.DUMMYFUNCTION("""COMPUTED_VALUE"""),"DSD")</f>
        <v>DSD</v>
      </c>
      <c r="F142" s="5" t="b">
        <f ca="1">IFERROR(__xludf.DUMMYFUNCTION("""COMPUTED_VALUE"""),TRUE)</f>
        <v>1</v>
      </c>
      <c r="G142" s="5" t="str">
        <f ca="1">IFERROR(__xludf.DUMMYFUNCTION("""COMPUTED_VALUE"""),"JHON F JIMENEZ")</f>
        <v>JHON F JIMENEZ</v>
      </c>
      <c r="H142" s="5"/>
      <c r="I142" s="5"/>
      <c r="J142" s="5" t="str">
        <f t="shared" ca="1" si="0"/>
        <v>Limpieza realizada</v>
      </c>
    </row>
    <row r="143" spans="1:10">
      <c r="A143" s="65"/>
      <c r="B143" s="5" t="str">
        <f ca="1">IFERROR(__xludf.DUMMYFUNCTION("""COMPUTED_VALUE"""),"Juego llave Bristol1/16"" a 1/2""")</f>
        <v>Juego llave Bristol1/16" a 1/2"</v>
      </c>
      <c r="C143" s="5" t="str">
        <f ca="1">IFERROR(__xludf.DUMMYFUNCTION("""COMPUTED_VALUE"""),"VERDE")</f>
        <v>VERDE</v>
      </c>
      <c r="D143" s="5" t="str">
        <f ca="1">IFERROR(__xludf.DUMMYFUNCTION("""COMPUTED_VALUE"""),"COP")</f>
        <v>COP</v>
      </c>
      <c r="E143" s="5" t="str">
        <f ca="1">IFERROR(__xludf.DUMMYFUNCTION("""COMPUTED_VALUE"""),"DSD")</f>
        <v>DSD</v>
      </c>
      <c r="F143" s="5" t="b">
        <f ca="1">IFERROR(__xludf.DUMMYFUNCTION("""COMPUTED_VALUE"""),TRUE)</f>
        <v>1</v>
      </c>
      <c r="G143" s="5" t="str">
        <f ca="1">IFERROR(__xludf.DUMMYFUNCTION("""COMPUTED_VALUE"""),"JHON F JIMENEZ")</f>
        <v>JHON F JIMENEZ</v>
      </c>
      <c r="H143" s="5"/>
      <c r="I143" s="5"/>
      <c r="J143" s="5" t="str">
        <f t="shared" ca="1" si="0"/>
        <v>Limpieza realizada</v>
      </c>
    </row>
    <row r="144" spans="1:10">
      <c r="A144" s="65"/>
      <c r="B144" s="5" t="str">
        <f ca="1">IFERROR(__xludf.DUMMYFUNCTION("""COMPUTED_VALUE"""),"Juego llave Bristol 1.5 - 12mm")</f>
        <v>Juego llave Bristol 1.5 - 12mm</v>
      </c>
      <c r="C144" s="5" t="str">
        <f ca="1">IFERROR(__xludf.DUMMYFUNCTION("""COMPUTED_VALUE"""),"VERDE")</f>
        <v>VERDE</v>
      </c>
      <c r="D144" s="5" t="str">
        <f ca="1">IFERROR(__xludf.DUMMYFUNCTION("""COMPUTED_VALUE"""),"COP")</f>
        <v>COP</v>
      </c>
      <c r="E144" s="5" t="str">
        <f ca="1">IFERROR(__xludf.DUMMYFUNCTION("""COMPUTED_VALUE"""),"DSD")</f>
        <v>DSD</v>
      </c>
      <c r="F144" s="5" t="b">
        <f ca="1">IFERROR(__xludf.DUMMYFUNCTION("""COMPUTED_VALUE"""),TRUE)</f>
        <v>1</v>
      </c>
      <c r="G144" s="5" t="str">
        <f ca="1">IFERROR(__xludf.DUMMYFUNCTION("""COMPUTED_VALUE"""),"JHON F JIMENEZ")</f>
        <v>JHON F JIMENEZ</v>
      </c>
      <c r="H144" s="5"/>
      <c r="I144" s="5"/>
      <c r="J144" s="5" t="str">
        <f t="shared" ca="1" si="0"/>
        <v>Limpieza realizada</v>
      </c>
    </row>
    <row r="145" spans="1:10">
      <c r="A145" s="65"/>
      <c r="B145" s="5" t="str">
        <f ca="1">IFERROR(__xludf.DUMMYFUNCTION("""COMPUTED_VALUE"""),"Centro punto de 5/16")</f>
        <v>Centro punto de 5/16</v>
      </c>
      <c r="C145" s="5" t="str">
        <f ca="1">IFERROR(__xludf.DUMMYFUNCTION("""COMPUTED_VALUE"""),"VERDE")</f>
        <v>VERDE</v>
      </c>
      <c r="D145" s="5" t="str">
        <f ca="1">IFERROR(__xludf.DUMMYFUNCTION("""COMPUTED_VALUE"""),"COP")</f>
        <v>COP</v>
      </c>
      <c r="E145" s="5" t="str">
        <f ca="1">IFERROR(__xludf.DUMMYFUNCTION("""COMPUTED_VALUE"""),"DSD")</f>
        <v>DSD</v>
      </c>
      <c r="F145" s="5" t="b">
        <f ca="1">IFERROR(__xludf.DUMMYFUNCTION("""COMPUTED_VALUE"""),TRUE)</f>
        <v>1</v>
      </c>
      <c r="G145" s="5" t="str">
        <f ca="1">IFERROR(__xludf.DUMMYFUNCTION("""COMPUTED_VALUE"""),"JHON F JIMENEZ")</f>
        <v>JHON F JIMENEZ</v>
      </c>
      <c r="H145" s="5"/>
      <c r="I145" s="5"/>
      <c r="J145" s="5" t="str">
        <f t="shared" ca="1" si="0"/>
        <v>Limpieza realizada</v>
      </c>
    </row>
    <row r="146" spans="1:10">
      <c r="A146" s="65"/>
      <c r="B146" s="5" t="str">
        <f ca="1">IFERROR(__xludf.DUMMYFUNCTION("""COMPUTED_VALUE"""),"CALIBRADOR DE GALGAS EN MILESIMAS")</f>
        <v>CALIBRADOR DE GALGAS EN MILESIMAS</v>
      </c>
      <c r="C146" s="5" t="str">
        <f ca="1">IFERROR(__xludf.DUMMYFUNCTION("""COMPUTED_VALUE"""),"VERDE")</f>
        <v>VERDE</v>
      </c>
      <c r="D146" s="5" t="str">
        <f ca="1">IFERROR(__xludf.DUMMYFUNCTION("""COMPUTED_VALUE"""),"COP")</f>
        <v>COP</v>
      </c>
      <c r="E146" s="5" t="str">
        <f ca="1">IFERROR(__xludf.DUMMYFUNCTION("""COMPUTED_VALUE"""),"DSD")</f>
        <v>DSD</v>
      </c>
      <c r="F146" s="5" t="b">
        <f ca="1">IFERROR(__xludf.DUMMYFUNCTION("""COMPUTED_VALUE"""),TRUE)</f>
        <v>1</v>
      </c>
      <c r="G146" s="5" t="str">
        <f ca="1">IFERROR(__xludf.DUMMYFUNCTION("""COMPUTED_VALUE"""),"RAUL LOPEZ")</f>
        <v>RAUL LOPEZ</v>
      </c>
      <c r="H146" s="5"/>
      <c r="I146" s="5"/>
      <c r="J146" s="5" t="str">
        <f t="shared" ca="1" si="0"/>
        <v>Limpieza realizada</v>
      </c>
    </row>
    <row r="147" spans="1:10">
      <c r="A147" s="65"/>
      <c r="B147" s="5" t="str">
        <f ca="1">IFERROR(__xludf.DUMMYFUNCTION("""COMPUTED_VALUE"""),"DESTORNILLADOR DE PALA 3/8"" X 12"" 981")</f>
        <v>DESTORNILLADOR DE PALA 3/8" X 12" 981</v>
      </c>
      <c r="C147" s="5" t="str">
        <f ca="1">IFERROR(__xludf.DUMMYFUNCTION("""COMPUTED_VALUE"""),"VERDE")</f>
        <v>VERDE</v>
      </c>
      <c r="D147" s="5" t="str">
        <f ca="1">IFERROR(__xludf.DUMMYFUNCTION("""COMPUTED_VALUE"""),"COP")</f>
        <v>COP</v>
      </c>
      <c r="E147" s="5" t="str">
        <f ca="1">IFERROR(__xludf.DUMMYFUNCTION("""COMPUTED_VALUE"""),"DSD")</f>
        <v>DSD</v>
      </c>
      <c r="F147" s="5" t="b">
        <f ca="1">IFERROR(__xludf.DUMMYFUNCTION("""COMPUTED_VALUE"""),TRUE)</f>
        <v>1</v>
      </c>
      <c r="G147" s="5" t="str">
        <f ca="1">IFERROR(__xludf.DUMMYFUNCTION("""COMPUTED_VALUE"""),"RAUL LOPEZ")</f>
        <v>RAUL LOPEZ</v>
      </c>
      <c r="H147" s="5"/>
      <c r="I147" s="5"/>
      <c r="J147" s="5" t="str">
        <f t="shared" ca="1" si="0"/>
        <v>Limpieza realizada</v>
      </c>
    </row>
    <row r="148" spans="1:10">
      <c r="A148" s="65"/>
      <c r="B148" s="5" t="str">
        <f ca="1">IFERROR(__xludf.DUMMYFUNCTION("""COMPUTED_VALUE"""),"COPA 30 MM CUADRANTE 1/2""")</f>
        <v>COPA 30 MM CUADRANTE 1/2"</v>
      </c>
      <c r="C148" s="5" t="str">
        <f ca="1">IFERROR(__xludf.DUMMYFUNCTION("""COMPUTED_VALUE"""),"VERDE")</f>
        <v>VERDE</v>
      </c>
      <c r="D148" s="5" t="str">
        <f ca="1">IFERROR(__xludf.DUMMYFUNCTION("""COMPUTED_VALUE"""),"COP")</f>
        <v>COP</v>
      </c>
      <c r="E148" s="5" t="str">
        <f ca="1">IFERROR(__xludf.DUMMYFUNCTION("""COMPUTED_VALUE"""),"DSD")</f>
        <v>DSD</v>
      </c>
      <c r="F148" s="5" t="b">
        <f ca="1">IFERROR(__xludf.DUMMYFUNCTION("""COMPUTED_VALUE"""),TRUE)</f>
        <v>1</v>
      </c>
      <c r="G148" s="5" t="str">
        <f ca="1">IFERROR(__xludf.DUMMYFUNCTION("""COMPUTED_VALUE"""),"RAUL LOPEZ")</f>
        <v>RAUL LOPEZ</v>
      </c>
      <c r="H148" s="5"/>
      <c r="I148" s="5"/>
      <c r="J148" s="5" t="str">
        <f t="shared" ca="1" si="0"/>
        <v>Limpieza realizada</v>
      </c>
    </row>
    <row r="149" spans="1:10">
      <c r="A149" s="65"/>
      <c r="B149" s="5" t="str">
        <f ca="1">IFERROR(__xludf.DUMMYFUNCTION("""COMPUTED_VALUE"""),"LLAVE MIXTA T.RACHET 13MM STANLEY 91-977")</f>
        <v>LLAVE MIXTA T.RACHET 13MM STANLEY 91-977</v>
      </c>
      <c r="C149" s="5" t="str">
        <f ca="1">IFERROR(__xludf.DUMMYFUNCTION("""COMPUTED_VALUE"""),"VERDE")</f>
        <v>VERDE</v>
      </c>
      <c r="D149" s="5" t="str">
        <f ca="1">IFERROR(__xludf.DUMMYFUNCTION("""COMPUTED_VALUE"""),"COP")</f>
        <v>COP</v>
      </c>
      <c r="E149" s="5" t="str">
        <f ca="1">IFERROR(__xludf.DUMMYFUNCTION("""COMPUTED_VALUE"""),"DSD")</f>
        <v>DSD</v>
      </c>
      <c r="F149" s="5" t="b">
        <f ca="1">IFERROR(__xludf.DUMMYFUNCTION("""COMPUTED_VALUE"""),TRUE)</f>
        <v>1</v>
      </c>
      <c r="G149" s="5" t="str">
        <f ca="1">IFERROR(__xludf.DUMMYFUNCTION("""COMPUTED_VALUE"""),"RAUL LOPEZ")</f>
        <v>RAUL LOPEZ</v>
      </c>
      <c r="H149" s="5"/>
      <c r="I149" s="5"/>
      <c r="J149" s="5" t="str">
        <f t="shared" ca="1" si="0"/>
        <v>Limpieza realizada</v>
      </c>
    </row>
    <row r="150" spans="1:10">
      <c r="A150" s="65"/>
      <c r="B150" s="5" t="str">
        <f ca="1">IFERROR(__xludf.DUMMYFUNCTION("""COMPUTED_VALUE"""),"LLAVE MIXTA T.RACHET 17MM STANLEY 91-984")</f>
        <v>LLAVE MIXTA T.RACHET 17MM STANLEY 91-984</v>
      </c>
      <c r="C150" s="5" t="str">
        <f ca="1">IFERROR(__xludf.DUMMYFUNCTION("""COMPUTED_VALUE"""),"VERDE")</f>
        <v>VERDE</v>
      </c>
      <c r="D150" s="5" t="str">
        <f ca="1">IFERROR(__xludf.DUMMYFUNCTION("""COMPUTED_VALUE"""),"COP")</f>
        <v>COP</v>
      </c>
      <c r="E150" s="5" t="str">
        <f ca="1">IFERROR(__xludf.DUMMYFUNCTION("""COMPUTED_VALUE"""),"DSD")</f>
        <v>DSD</v>
      </c>
      <c r="F150" s="5" t="b">
        <f ca="1">IFERROR(__xludf.DUMMYFUNCTION("""COMPUTED_VALUE"""),TRUE)</f>
        <v>1</v>
      </c>
      <c r="G150" s="5" t="str">
        <f ca="1">IFERROR(__xludf.DUMMYFUNCTION("""COMPUTED_VALUE"""),"RAUL LOPEZ")</f>
        <v>RAUL LOPEZ</v>
      </c>
      <c r="H150" s="5"/>
      <c r="I150" s="5"/>
      <c r="J150" s="5" t="str">
        <f t="shared" ca="1" si="0"/>
        <v>Limpieza realizada</v>
      </c>
    </row>
    <row r="151" spans="1:10">
      <c r="A151" s="65"/>
      <c r="B151" s="5" t="str">
        <f ca="1">IFERROR(__xludf.DUMMYFUNCTION("""COMPUTED_VALUE"""),"LLAVE MIXTA T.RACHET 8MM STANLEY 91-973")</f>
        <v>LLAVE MIXTA T.RACHET 8MM STANLEY 91-973</v>
      </c>
      <c r="C151" s="5" t="str">
        <f ca="1">IFERROR(__xludf.DUMMYFUNCTION("""COMPUTED_VALUE"""),"VERDE")</f>
        <v>VERDE</v>
      </c>
      <c r="D151" s="5" t="str">
        <f ca="1">IFERROR(__xludf.DUMMYFUNCTION("""COMPUTED_VALUE"""),"COP")</f>
        <v>COP</v>
      </c>
      <c r="E151" s="5" t="str">
        <f ca="1">IFERROR(__xludf.DUMMYFUNCTION("""COMPUTED_VALUE"""),"DSD")</f>
        <v>DSD</v>
      </c>
      <c r="F151" s="5" t="b">
        <f ca="1">IFERROR(__xludf.DUMMYFUNCTION("""COMPUTED_VALUE"""),TRUE)</f>
        <v>1</v>
      </c>
      <c r="G151" s="5" t="str">
        <f ca="1">IFERROR(__xludf.DUMMYFUNCTION("""COMPUTED_VALUE"""),"RAUL LOPEZ")</f>
        <v>RAUL LOPEZ</v>
      </c>
      <c r="H151" s="5"/>
      <c r="I151" s="5"/>
      <c r="J151" s="5" t="str">
        <f t="shared" ca="1" si="0"/>
        <v>Limpieza realizada</v>
      </c>
    </row>
    <row r="152" spans="1:10">
      <c r="A152" s="65"/>
      <c r="B152" s="5" t="str">
        <f ca="1">IFERROR(__xludf.DUMMYFUNCTION("""COMPUTED_VALUE"""),"Maletin herramienta")</f>
        <v>Maletin herramienta</v>
      </c>
      <c r="C152" s="5" t="str">
        <f ca="1">IFERROR(__xludf.DUMMYFUNCTION("""COMPUTED_VALUE"""),"VERDE")</f>
        <v>VERDE</v>
      </c>
      <c r="D152" s="5" t="str">
        <f ca="1">IFERROR(__xludf.DUMMYFUNCTION("""COMPUTED_VALUE"""),"COP")</f>
        <v>COP</v>
      </c>
      <c r="E152" s="5" t="str">
        <f ca="1">IFERROR(__xludf.DUMMYFUNCTION("""COMPUTED_VALUE"""),"DSD")</f>
        <v>DSD</v>
      </c>
      <c r="F152" s="5" t="b">
        <f ca="1">IFERROR(__xludf.DUMMYFUNCTION("""COMPUTED_VALUE"""),TRUE)</f>
        <v>1</v>
      </c>
      <c r="G152" s="5" t="str">
        <f ca="1">IFERROR(__xludf.DUMMYFUNCTION("""COMPUTED_VALUE"""),"RAUL LOPEZ")</f>
        <v>RAUL LOPEZ</v>
      </c>
      <c r="H152" s="5"/>
      <c r="I152" s="5"/>
      <c r="J152" s="5" t="str">
        <f t="shared" ca="1" si="0"/>
        <v>Limpieza realizada</v>
      </c>
    </row>
    <row r="153" spans="1:10">
      <c r="A153" s="65"/>
      <c r="B153" s="5" t="str">
        <f ca="1">IFERROR(__xludf.DUMMYFUNCTION("""COMPUTED_VALUE"""),"Llave bristol en T 4mm")</f>
        <v>Llave bristol en T 4mm</v>
      </c>
      <c r="C153" s="5" t="str">
        <f ca="1">IFERROR(__xludf.DUMMYFUNCTION("""COMPUTED_VALUE"""),"VERDE")</f>
        <v>VERDE</v>
      </c>
      <c r="D153" s="5" t="str">
        <f ca="1">IFERROR(__xludf.DUMMYFUNCTION("""COMPUTED_VALUE"""),"COP")</f>
        <v>COP</v>
      </c>
      <c r="E153" s="5" t="str">
        <f ca="1">IFERROR(__xludf.DUMMYFUNCTION("""COMPUTED_VALUE"""),"DSD")</f>
        <v>DSD</v>
      </c>
      <c r="F153" s="5" t="b">
        <f ca="1">IFERROR(__xludf.DUMMYFUNCTION("""COMPUTED_VALUE"""),TRUE)</f>
        <v>1</v>
      </c>
      <c r="G153" s="5" t="str">
        <f ca="1">IFERROR(__xludf.DUMMYFUNCTION("""COMPUTED_VALUE"""),"RAUL LOPEZ")</f>
        <v>RAUL LOPEZ</v>
      </c>
      <c r="H153" s="5"/>
      <c r="I153" s="5"/>
      <c r="J153" s="5" t="str">
        <f t="shared" ca="1" si="0"/>
        <v>Limpieza realizada</v>
      </c>
    </row>
    <row r="154" spans="1:10">
      <c r="A154" s="65"/>
      <c r="B154" s="5" t="str">
        <f ca="1">IFERROR(__xludf.DUMMYFUNCTION("""COMPUTED_VALUE"""),"Juego llaves Allen Stanley")</f>
        <v>Juego llaves Allen Stanley</v>
      </c>
      <c r="C154" s="5" t="str">
        <f ca="1">IFERROR(__xludf.DUMMYFUNCTION("""COMPUTED_VALUE"""),"VERDE")</f>
        <v>VERDE</v>
      </c>
      <c r="D154" s="5" t="str">
        <f ca="1">IFERROR(__xludf.DUMMYFUNCTION("""COMPUTED_VALUE"""),"COP")</f>
        <v>COP</v>
      </c>
      <c r="E154" s="5" t="str">
        <f ca="1">IFERROR(__xludf.DUMMYFUNCTION("""COMPUTED_VALUE"""),"DSD")</f>
        <v>DSD</v>
      </c>
      <c r="F154" s="5" t="b">
        <f ca="1">IFERROR(__xludf.DUMMYFUNCTION("""COMPUTED_VALUE"""),TRUE)</f>
        <v>1</v>
      </c>
      <c r="G154" s="5" t="str">
        <f ca="1">IFERROR(__xludf.DUMMYFUNCTION("""COMPUTED_VALUE"""),"RAUL LOPEZ")</f>
        <v>RAUL LOPEZ</v>
      </c>
      <c r="H154" s="5"/>
      <c r="I154" s="5"/>
      <c r="J154" s="5" t="str">
        <f t="shared" ca="1" si="0"/>
        <v>Limpieza realizada</v>
      </c>
    </row>
    <row r="155" spans="1:10">
      <c r="A155" s="65"/>
      <c r="B155" s="5" t="str">
        <f ca="1">IFERROR(__xludf.DUMMYFUNCTION("""COMPUTED_VALUE"""),"Linterna tipo minero LED")</f>
        <v>Linterna tipo minero LED</v>
      </c>
      <c r="C155" s="5" t="str">
        <f ca="1">IFERROR(__xludf.DUMMYFUNCTION("""COMPUTED_VALUE"""),"VERDE")</f>
        <v>VERDE</v>
      </c>
      <c r="D155" s="5" t="str">
        <f ca="1">IFERROR(__xludf.DUMMYFUNCTION("""COMPUTED_VALUE"""),"COP")</f>
        <v>COP</v>
      </c>
      <c r="E155" s="5" t="str">
        <f ca="1">IFERROR(__xludf.DUMMYFUNCTION("""COMPUTED_VALUE"""),"DSD")</f>
        <v>DSD</v>
      </c>
      <c r="F155" s="5" t="b">
        <f ca="1">IFERROR(__xludf.DUMMYFUNCTION("""COMPUTED_VALUE"""),TRUE)</f>
        <v>1</v>
      </c>
      <c r="G155" s="5" t="str">
        <f ca="1">IFERROR(__xludf.DUMMYFUNCTION("""COMPUTED_VALUE"""),"RAUL LOPEZ")</f>
        <v>RAUL LOPEZ</v>
      </c>
      <c r="H155" s="5"/>
      <c r="I155" s="5"/>
      <c r="J155" s="5" t="str">
        <f t="shared" ca="1" si="0"/>
        <v>Limpieza realizada</v>
      </c>
    </row>
    <row r="156" spans="1:10">
      <c r="A156" s="65"/>
      <c r="B156" s="5" t="str">
        <f ca="1">IFERROR(__xludf.DUMMYFUNCTION("""COMPUTED_VALUE"""),"Calibrador mitotoyo 8""")</f>
        <v>Calibrador mitotoyo 8"</v>
      </c>
      <c r="C156" s="5" t="str">
        <f ca="1">IFERROR(__xludf.DUMMYFUNCTION("""COMPUTED_VALUE"""),"VERDE")</f>
        <v>VERDE</v>
      </c>
      <c r="D156" s="5" t="str">
        <f ca="1">IFERROR(__xludf.DUMMYFUNCTION("""COMPUTED_VALUE"""),"COP")</f>
        <v>COP</v>
      </c>
      <c r="E156" s="5" t="str">
        <f ca="1">IFERROR(__xludf.DUMMYFUNCTION("""COMPUTED_VALUE"""),"DSD")</f>
        <v>DSD</v>
      </c>
      <c r="F156" s="5" t="b">
        <f ca="1">IFERROR(__xludf.DUMMYFUNCTION("""COMPUTED_VALUE"""),TRUE)</f>
        <v>1</v>
      </c>
      <c r="G156" s="5" t="str">
        <f ca="1">IFERROR(__xludf.DUMMYFUNCTION("""COMPUTED_VALUE"""),"RAUL LOPEZ")</f>
        <v>RAUL LOPEZ</v>
      </c>
      <c r="H156" s="5"/>
      <c r="I156" s="5"/>
      <c r="J156" s="5" t="str">
        <f t="shared" ca="1" si="0"/>
        <v>Limpieza realizada</v>
      </c>
    </row>
    <row r="157" spans="1:10">
      <c r="A157" s="65"/>
      <c r="B157" s="5" t="str">
        <f ca="1">IFERROR(__xludf.DUMMYFUNCTION("""COMPUTED_VALUE"""),"Llave bristol o allen en T 5 mm")</f>
        <v>Llave bristol o allen en T 5 mm</v>
      </c>
      <c r="C157" s="5" t="str">
        <f ca="1">IFERROR(__xludf.DUMMYFUNCTION("""COMPUTED_VALUE"""),"VERDE")</f>
        <v>VERDE</v>
      </c>
      <c r="D157" s="5" t="str">
        <f ca="1">IFERROR(__xludf.DUMMYFUNCTION("""COMPUTED_VALUE"""),"COP")</f>
        <v>COP</v>
      </c>
      <c r="E157" s="5" t="str">
        <f ca="1">IFERROR(__xludf.DUMMYFUNCTION("""COMPUTED_VALUE"""),"DSD")</f>
        <v>DSD</v>
      </c>
      <c r="F157" s="5" t="b">
        <f ca="1">IFERROR(__xludf.DUMMYFUNCTION("""COMPUTED_VALUE"""),TRUE)</f>
        <v>1</v>
      </c>
      <c r="G157" s="5" t="str">
        <f ca="1">IFERROR(__xludf.DUMMYFUNCTION("""COMPUTED_VALUE"""),"RAUL LOPEZ")</f>
        <v>RAUL LOPEZ</v>
      </c>
      <c r="H157" s="5"/>
      <c r="I157" s="5"/>
      <c r="J157" s="5" t="str">
        <f t="shared" ca="1" si="0"/>
        <v>Limpieza realizada</v>
      </c>
    </row>
    <row r="158" spans="1:10">
      <c r="A158" s="65"/>
      <c r="B158" s="5" t="str">
        <f ca="1">IFERROR(__xludf.DUMMYFUNCTION("""COMPUTED_VALUE"""),"Llave bristol o allen en T 6 mm")</f>
        <v>Llave bristol o allen en T 6 mm</v>
      </c>
      <c r="C158" s="5" t="str">
        <f ca="1">IFERROR(__xludf.DUMMYFUNCTION("""COMPUTED_VALUE"""),"VERDE")</f>
        <v>VERDE</v>
      </c>
      <c r="D158" s="5" t="str">
        <f ca="1">IFERROR(__xludf.DUMMYFUNCTION("""COMPUTED_VALUE"""),"COP")</f>
        <v>COP</v>
      </c>
      <c r="E158" s="5" t="str">
        <f ca="1">IFERROR(__xludf.DUMMYFUNCTION("""COMPUTED_VALUE"""),"DSD")</f>
        <v>DSD</v>
      </c>
      <c r="F158" s="5" t="b">
        <f ca="1">IFERROR(__xludf.DUMMYFUNCTION("""COMPUTED_VALUE"""),TRUE)</f>
        <v>1</v>
      </c>
      <c r="G158" s="5" t="str">
        <f ca="1">IFERROR(__xludf.DUMMYFUNCTION("""COMPUTED_VALUE"""),"RAUL LOPEZ")</f>
        <v>RAUL LOPEZ</v>
      </c>
      <c r="H158" s="5"/>
      <c r="I158" s="5"/>
      <c r="J158" s="5" t="str">
        <f t="shared" ca="1" si="0"/>
        <v>Limpieza realizada</v>
      </c>
    </row>
    <row r="159" spans="1:10">
      <c r="A159" s="65"/>
      <c r="B159" s="5" t="str">
        <f ca="1">IFERROR(__xludf.DUMMYFUNCTION("""COMPUTED_VALUE"""),"Juego llaves bristol ( 9 piezas)")</f>
        <v>Juego llaves bristol ( 9 piezas)</v>
      </c>
      <c r="C159" s="5" t="str">
        <f ca="1">IFERROR(__xludf.DUMMYFUNCTION("""COMPUTED_VALUE"""),"VERDE")</f>
        <v>VERDE</v>
      </c>
      <c r="D159" s="5" t="str">
        <f ca="1">IFERROR(__xludf.DUMMYFUNCTION("""COMPUTED_VALUE"""),"COP")</f>
        <v>COP</v>
      </c>
      <c r="E159" s="5" t="str">
        <f ca="1">IFERROR(__xludf.DUMMYFUNCTION("""COMPUTED_VALUE"""),"DSD")</f>
        <v>DSD</v>
      </c>
      <c r="F159" s="5" t="b">
        <f ca="1">IFERROR(__xludf.DUMMYFUNCTION("""COMPUTED_VALUE"""),TRUE)</f>
        <v>1</v>
      </c>
      <c r="G159" s="5" t="str">
        <f ca="1">IFERROR(__xludf.DUMMYFUNCTION("""COMPUTED_VALUE"""),"RAUL LOPEZ")</f>
        <v>RAUL LOPEZ</v>
      </c>
      <c r="H159" s="5"/>
      <c r="I159" s="5"/>
      <c r="J159" s="5" t="str">
        <f t="shared" ca="1" si="0"/>
        <v>Limpieza realizada</v>
      </c>
    </row>
    <row r="160" spans="1:10">
      <c r="A160" s="65"/>
      <c r="B160" s="5" t="str">
        <f ca="1">IFERROR(__xludf.DUMMYFUNCTION("""COMPUTED_VALUE"""),"Llave acodada 12 x 13 mm")</f>
        <v>Llave acodada 12 x 13 mm</v>
      </c>
      <c r="C160" s="5" t="str">
        <f ca="1">IFERROR(__xludf.DUMMYFUNCTION("""COMPUTED_VALUE"""),"VERDE")</f>
        <v>VERDE</v>
      </c>
      <c r="D160" s="5" t="str">
        <f ca="1">IFERROR(__xludf.DUMMYFUNCTION("""COMPUTED_VALUE"""),"COP")</f>
        <v>COP</v>
      </c>
      <c r="E160" s="5" t="str">
        <f ca="1">IFERROR(__xludf.DUMMYFUNCTION("""COMPUTED_VALUE"""),"DSD")</f>
        <v>DSD</v>
      </c>
      <c r="F160" s="5" t="b">
        <f ca="1">IFERROR(__xludf.DUMMYFUNCTION("""COMPUTED_VALUE"""),TRUE)</f>
        <v>1</v>
      </c>
      <c r="G160" s="5" t="str">
        <f ca="1">IFERROR(__xludf.DUMMYFUNCTION("""COMPUTED_VALUE"""),"RAUL LOPEZ")</f>
        <v>RAUL LOPEZ</v>
      </c>
      <c r="H160" s="5"/>
      <c r="I160" s="5"/>
      <c r="J160" s="5" t="str">
        <f t="shared" ca="1" si="0"/>
        <v>Limpieza realizada</v>
      </c>
    </row>
    <row r="161" spans="1:10">
      <c r="A161" s="65"/>
      <c r="B161" s="5" t="str">
        <f ca="1">IFERROR(__xludf.DUMMYFUNCTION("""COMPUTED_VALUE"""),"llave bristol o allen 6 mm")</f>
        <v>llave bristol o allen 6 mm</v>
      </c>
      <c r="C161" s="5" t="str">
        <f ca="1">IFERROR(__xludf.DUMMYFUNCTION("""COMPUTED_VALUE"""),"VERDE")</f>
        <v>VERDE</v>
      </c>
      <c r="D161" s="5" t="str">
        <f ca="1">IFERROR(__xludf.DUMMYFUNCTION("""COMPUTED_VALUE"""),"COP")</f>
        <v>COP</v>
      </c>
      <c r="E161" s="5" t="str">
        <f ca="1">IFERROR(__xludf.DUMMYFUNCTION("""COMPUTED_VALUE"""),"DSD")</f>
        <v>DSD</v>
      </c>
      <c r="F161" s="5" t="b">
        <f ca="1">IFERROR(__xludf.DUMMYFUNCTION("""COMPUTED_VALUE"""),TRUE)</f>
        <v>1</v>
      </c>
      <c r="G161" s="5" t="str">
        <f ca="1">IFERROR(__xludf.DUMMYFUNCTION("""COMPUTED_VALUE"""),"RAUL LOPEZ")</f>
        <v>RAUL LOPEZ</v>
      </c>
      <c r="H161" s="5"/>
      <c r="I161" s="5"/>
      <c r="J161" s="5" t="str">
        <f t="shared" ca="1" si="0"/>
        <v>Limpieza realizada</v>
      </c>
    </row>
    <row r="162" spans="1:10">
      <c r="A162" s="65"/>
      <c r="B162" s="5" t="str">
        <f ca="1">IFERROR(__xludf.DUMMYFUNCTION("""COMPUTED_VALUE"""),"Llave mixta 7/16 Stanley")</f>
        <v>Llave mixta 7/16 Stanley</v>
      </c>
      <c r="C162" s="5" t="str">
        <f ca="1">IFERROR(__xludf.DUMMYFUNCTION("""COMPUTED_VALUE"""),"VERDE")</f>
        <v>VERDE</v>
      </c>
      <c r="D162" s="5" t="str">
        <f ca="1">IFERROR(__xludf.DUMMYFUNCTION("""COMPUTED_VALUE"""),"COP")</f>
        <v>COP</v>
      </c>
      <c r="E162" s="5" t="str">
        <f ca="1">IFERROR(__xludf.DUMMYFUNCTION("""COMPUTED_VALUE"""),"DSD")</f>
        <v>DSD</v>
      </c>
      <c r="F162" s="5" t="b">
        <f ca="1">IFERROR(__xludf.DUMMYFUNCTION("""COMPUTED_VALUE"""),TRUE)</f>
        <v>1</v>
      </c>
      <c r="G162" s="5" t="str">
        <f ca="1">IFERROR(__xludf.DUMMYFUNCTION("""COMPUTED_VALUE"""),"RAUL LOPEZ")</f>
        <v>RAUL LOPEZ</v>
      </c>
      <c r="H162" s="5"/>
      <c r="I162" s="5"/>
      <c r="J162" s="5" t="str">
        <f t="shared" ca="1" si="0"/>
        <v>Limpieza realizada</v>
      </c>
    </row>
    <row r="163" spans="1:10">
      <c r="A163" s="65"/>
      <c r="B163" s="5" t="str">
        <f ca="1">IFERROR(__xludf.DUMMYFUNCTION("""COMPUTED_VALUE"""),"Juego de copas 6 - 19 mm")</f>
        <v>Juego de copas 6 - 19 mm</v>
      </c>
      <c r="C163" s="5" t="str">
        <f ca="1">IFERROR(__xludf.DUMMYFUNCTION("""COMPUTED_VALUE"""),"VERDE")</f>
        <v>VERDE</v>
      </c>
      <c r="D163" s="5" t="str">
        <f ca="1">IFERROR(__xludf.DUMMYFUNCTION("""COMPUTED_VALUE"""),"COP")</f>
        <v>COP</v>
      </c>
      <c r="E163" s="5" t="str">
        <f ca="1">IFERROR(__xludf.DUMMYFUNCTION("""COMPUTED_VALUE"""),"DSD")</f>
        <v>DSD</v>
      </c>
      <c r="F163" s="5" t="b">
        <f ca="1">IFERROR(__xludf.DUMMYFUNCTION("""COMPUTED_VALUE"""),TRUE)</f>
        <v>1</v>
      </c>
      <c r="G163" s="5" t="str">
        <f ca="1">IFERROR(__xludf.DUMMYFUNCTION("""COMPUTED_VALUE"""),"RAUL LOPEZ")</f>
        <v>RAUL LOPEZ</v>
      </c>
      <c r="H163" s="5"/>
      <c r="I163" s="5"/>
      <c r="J163" s="5" t="str">
        <f t="shared" ca="1" si="0"/>
        <v>Limpieza realizada</v>
      </c>
    </row>
    <row r="164" spans="1:10">
      <c r="A164" s="65"/>
      <c r="B164" s="5" t="str">
        <f ca="1">IFERROR(__xludf.DUMMYFUNCTION("""COMPUTED_VALUE"""),"Flexometro de 5mts")</f>
        <v>Flexometro de 5mts</v>
      </c>
      <c r="C164" s="5" t="str">
        <f ca="1">IFERROR(__xludf.DUMMYFUNCTION("""COMPUTED_VALUE"""),"VERDE")</f>
        <v>VERDE</v>
      </c>
      <c r="D164" s="5" t="str">
        <f ca="1">IFERROR(__xludf.DUMMYFUNCTION("""COMPUTED_VALUE"""),"COP")</f>
        <v>COP</v>
      </c>
      <c r="E164" s="5" t="str">
        <f ca="1">IFERROR(__xludf.DUMMYFUNCTION("""COMPUTED_VALUE"""),"DSD")</f>
        <v>DSD</v>
      </c>
      <c r="F164" s="5" t="b">
        <f ca="1">IFERROR(__xludf.DUMMYFUNCTION("""COMPUTED_VALUE"""),TRUE)</f>
        <v>1</v>
      </c>
      <c r="G164" s="5" t="str">
        <f ca="1">IFERROR(__xludf.DUMMYFUNCTION("""COMPUTED_VALUE"""),"RAUL LOPEZ")</f>
        <v>RAUL LOPEZ</v>
      </c>
      <c r="H164" s="5"/>
      <c r="I164" s="5"/>
      <c r="J164" s="5" t="str">
        <f t="shared" ca="1" si="0"/>
        <v>Limpieza realizada</v>
      </c>
    </row>
    <row r="165" spans="1:10">
      <c r="A165" s="65"/>
      <c r="B165" s="5" t="str">
        <f ca="1">IFERROR(__xludf.DUMMYFUNCTION("""COMPUTED_VALUE"""),"llave expansión 12""")</f>
        <v>llave expansión 12"</v>
      </c>
      <c r="C165" s="5" t="str">
        <f ca="1">IFERROR(__xludf.DUMMYFUNCTION("""COMPUTED_VALUE"""),"VERDE")</f>
        <v>VERDE</v>
      </c>
      <c r="D165" s="5" t="str">
        <f ca="1">IFERROR(__xludf.DUMMYFUNCTION("""COMPUTED_VALUE"""),"COP")</f>
        <v>COP</v>
      </c>
      <c r="E165" s="5" t="str">
        <f ca="1">IFERROR(__xludf.DUMMYFUNCTION("""COMPUTED_VALUE"""),"DSD")</f>
        <v>DSD</v>
      </c>
      <c r="F165" s="5" t="b">
        <f ca="1">IFERROR(__xludf.DUMMYFUNCTION("""COMPUTED_VALUE"""),TRUE)</f>
        <v>1</v>
      </c>
      <c r="G165" s="5" t="str">
        <f ca="1">IFERROR(__xludf.DUMMYFUNCTION("""COMPUTED_VALUE"""),"RAUL LOPEZ")</f>
        <v>RAUL LOPEZ</v>
      </c>
      <c r="H165" s="5"/>
      <c r="I165" s="5"/>
      <c r="J165" s="5" t="str">
        <f t="shared" ca="1" si="0"/>
        <v>Limpieza realizada</v>
      </c>
    </row>
    <row r="166" spans="1:10">
      <c r="A166" s="65"/>
      <c r="B166" s="5" t="str">
        <f ca="1">IFERROR(__xludf.DUMMYFUNCTION("""COMPUTED_VALUE"""),"Nivel torpedo 12 "" Stanley")</f>
        <v>Nivel torpedo 12 " Stanley</v>
      </c>
      <c r="C166" s="5" t="str">
        <f ca="1">IFERROR(__xludf.DUMMYFUNCTION("""COMPUTED_VALUE"""),"VERDE")</f>
        <v>VERDE</v>
      </c>
      <c r="D166" s="5" t="str">
        <f ca="1">IFERROR(__xludf.DUMMYFUNCTION("""COMPUTED_VALUE"""),"COP")</f>
        <v>COP</v>
      </c>
      <c r="E166" s="5" t="str">
        <f ca="1">IFERROR(__xludf.DUMMYFUNCTION("""COMPUTED_VALUE"""),"DSD")</f>
        <v>DSD</v>
      </c>
      <c r="F166" s="5" t="b">
        <f ca="1">IFERROR(__xludf.DUMMYFUNCTION("""COMPUTED_VALUE"""),TRUE)</f>
        <v>1</v>
      </c>
      <c r="G166" s="5" t="str">
        <f ca="1">IFERROR(__xludf.DUMMYFUNCTION("""COMPUTED_VALUE"""),"RAUL LOPEZ")</f>
        <v>RAUL LOPEZ</v>
      </c>
      <c r="H166" s="5"/>
      <c r="I166" s="5"/>
      <c r="J166" s="5" t="str">
        <f t="shared" ca="1" si="0"/>
        <v>Limpieza realizada</v>
      </c>
    </row>
    <row r="167" spans="1:10">
      <c r="A167" s="65"/>
      <c r="B167" s="5" t="str">
        <f ca="1">IFERROR(__xludf.DUMMYFUNCTION("""COMPUTED_VALUE"""),"Llave mixta proto 11 mm")</f>
        <v>Llave mixta proto 11 mm</v>
      </c>
      <c r="C167" s="5" t="str">
        <f ca="1">IFERROR(__xludf.DUMMYFUNCTION("""COMPUTED_VALUE"""),"VERDE")</f>
        <v>VERDE</v>
      </c>
      <c r="D167" s="5" t="str">
        <f ca="1">IFERROR(__xludf.DUMMYFUNCTION("""COMPUTED_VALUE"""),"COP")</f>
        <v>COP</v>
      </c>
      <c r="E167" s="5" t="str">
        <f ca="1">IFERROR(__xludf.DUMMYFUNCTION("""COMPUTED_VALUE"""),"DSD")</f>
        <v>DSD</v>
      </c>
      <c r="F167" s="5" t="b">
        <f ca="1">IFERROR(__xludf.DUMMYFUNCTION("""COMPUTED_VALUE"""),TRUE)</f>
        <v>1</v>
      </c>
      <c r="G167" s="5" t="str">
        <f ca="1">IFERROR(__xludf.DUMMYFUNCTION("""COMPUTED_VALUE"""),"RAUL LOPEZ")</f>
        <v>RAUL LOPEZ</v>
      </c>
      <c r="H167" s="5"/>
      <c r="I167" s="5"/>
      <c r="J167" s="5" t="str">
        <f t="shared" ca="1" si="0"/>
        <v>Limpieza realizada</v>
      </c>
    </row>
    <row r="168" spans="1:10">
      <c r="A168" s="65"/>
      <c r="B168" s="5" t="str">
        <f ca="1">IFERROR(__xludf.DUMMYFUNCTION("""COMPUTED_VALUE"""),"Llave mixta 14 mm Stanley")</f>
        <v>Llave mixta 14 mm Stanley</v>
      </c>
      <c r="C168" s="5" t="str">
        <f ca="1">IFERROR(__xludf.DUMMYFUNCTION("""COMPUTED_VALUE"""),"VERDE")</f>
        <v>VERDE</v>
      </c>
      <c r="D168" s="5" t="str">
        <f ca="1">IFERROR(__xludf.DUMMYFUNCTION("""COMPUTED_VALUE"""),"COP")</f>
        <v>COP</v>
      </c>
      <c r="E168" s="5" t="str">
        <f ca="1">IFERROR(__xludf.DUMMYFUNCTION("""COMPUTED_VALUE"""),"DSD")</f>
        <v>DSD</v>
      </c>
      <c r="F168" s="5" t="b">
        <f ca="1">IFERROR(__xludf.DUMMYFUNCTION("""COMPUTED_VALUE"""),TRUE)</f>
        <v>1</v>
      </c>
      <c r="G168" s="5" t="str">
        <f ca="1">IFERROR(__xludf.DUMMYFUNCTION("""COMPUTED_VALUE"""),"RAUL LOPEZ")</f>
        <v>RAUL LOPEZ</v>
      </c>
      <c r="H168" s="5"/>
      <c r="I168" s="5"/>
      <c r="J168" s="5" t="str">
        <f t="shared" ca="1" si="0"/>
        <v>Limpieza realizada</v>
      </c>
    </row>
    <row r="169" spans="1:10">
      <c r="A169" s="65"/>
      <c r="B169" s="5" t="str">
        <f ca="1">IFERROR(__xludf.DUMMYFUNCTION("""COMPUTED_VALUE"""),"Llave mixta 9mm")</f>
        <v>Llave mixta 9mm</v>
      </c>
      <c r="C169" s="5" t="str">
        <f ca="1">IFERROR(__xludf.DUMMYFUNCTION("""COMPUTED_VALUE"""),"VERDE")</f>
        <v>VERDE</v>
      </c>
      <c r="D169" s="5" t="str">
        <f ca="1">IFERROR(__xludf.DUMMYFUNCTION("""COMPUTED_VALUE"""),"COP")</f>
        <v>COP</v>
      </c>
      <c r="E169" s="5" t="str">
        <f ca="1">IFERROR(__xludf.DUMMYFUNCTION("""COMPUTED_VALUE"""),"DSD")</f>
        <v>DSD</v>
      </c>
      <c r="F169" s="5" t="b">
        <f ca="1">IFERROR(__xludf.DUMMYFUNCTION("""COMPUTED_VALUE"""),TRUE)</f>
        <v>1</v>
      </c>
      <c r="G169" s="5" t="str">
        <f ca="1">IFERROR(__xludf.DUMMYFUNCTION("""COMPUTED_VALUE"""),"RAUL LOPEZ")</f>
        <v>RAUL LOPEZ</v>
      </c>
      <c r="H169" s="5"/>
      <c r="I169" s="5"/>
      <c r="J169" s="5" t="str">
        <f t="shared" ca="1" si="0"/>
        <v>Limpieza realizada</v>
      </c>
    </row>
    <row r="170" spans="1:10">
      <c r="A170" s="65"/>
      <c r="B170" s="5" t="str">
        <f ca="1">IFERROR(__xludf.DUMMYFUNCTION("""COMPUTED_VALUE"""),"Llave mixta 7/16 Stanley")</f>
        <v>Llave mixta 7/16 Stanley</v>
      </c>
      <c r="C170" s="5" t="str">
        <f ca="1">IFERROR(__xludf.DUMMYFUNCTION("""COMPUTED_VALUE"""),"VERDE")</f>
        <v>VERDE</v>
      </c>
      <c r="D170" s="5" t="str">
        <f ca="1">IFERROR(__xludf.DUMMYFUNCTION("""COMPUTED_VALUE"""),"COP")</f>
        <v>COP</v>
      </c>
      <c r="E170" s="5" t="str">
        <f ca="1">IFERROR(__xludf.DUMMYFUNCTION("""COMPUTED_VALUE"""),"DSD")</f>
        <v>DSD</v>
      </c>
      <c r="F170" s="5" t="b">
        <f ca="1">IFERROR(__xludf.DUMMYFUNCTION("""COMPUTED_VALUE"""),TRUE)</f>
        <v>1</v>
      </c>
      <c r="G170" s="5" t="str">
        <f ca="1">IFERROR(__xludf.DUMMYFUNCTION("""COMPUTED_VALUE"""),"RAUL LOPEZ")</f>
        <v>RAUL LOPEZ</v>
      </c>
      <c r="H170" s="5"/>
      <c r="I170" s="5"/>
      <c r="J170" s="5" t="str">
        <f t="shared" ca="1" si="0"/>
        <v>Limpieza realizada</v>
      </c>
    </row>
    <row r="171" spans="1:10">
      <c r="A171" s="65"/>
      <c r="B171" s="5" t="str">
        <f ca="1">IFERROR(__xludf.DUMMYFUNCTION("""COMPUTED_VALUE"""),"Pinza chavetera")</f>
        <v>Pinza chavetera</v>
      </c>
      <c r="C171" s="5" t="str">
        <f ca="1">IFERROR(__xludf.DUMMYFUNCTION("""COMPUTED_VALUE"""),"VERDE")</f>
        <v>VERDE</v>
      </c>
      <c r="D171" s="5" t="str">
        <f ca="1">IFERROR(__xludf.DUMMYFUNCTION("""COMPUTED_VALUE"""),"COP")</f>
        <v>COP</v>
      </c>
      <c r="E171" s="5" t="str">
        <f ca="1">IFERROR(__xludf.DUMMYFUNCTION("""COMPUTED_VALUE"""),"DSD")</f>
        <v>DSD</v>
      </c>
      <c r="F171" s="5" t="b">
        <f ca="1">IFERROR(__xludf.DUMMYFUNCTION("""COMPUTED_VALUE"""),TRUE)</f>
        <v>1</v>
      </c>
      <c r="G171" s="5" t="str">
        <f ca="1">IFERROR(__xludf.DUMMYFUNCTION("""COMPUTED_VALUE"""),"RAUL LOPEZ")</f>
        <v>RAUL LOPEZ</v>
      </c>
      <c r="H171" s="5"/>
      <c r="I171" s="5"/>
      <c r="J171" s="5" t="str">
        <f t="shared" ca="1" si="0"/>
        <v>Limpieza realizada</v>
      </c>
    </row>
    <row r="172" spans="1:10">
      <c r="A172" s="65"/>
      <c r="B172" s="5" t="str">
        <f ca="1">IFERROR(__xludf.DUMMYFUNCTION("""COMPUTED_VALUE"""),"Juego de limas Snapor de 5 pzas")</f>
        <v>Juego de limas Snapor de 5 pzas</v>
      </c>
      <c r="C172" s="5" t="str">
        <f ca="1">IFERROR(__xludf.DUMMYFUNCTION("""COMPUTED_VALUE"""),"VERDE")</f>
        <v>VERDE</v>
      </c>
      <c r="D172" s="5" t="str">
        <f ca="1">IFERROR(__xludf.DUMMYFUNCTION("""COMPUTED_VALUE"""),"COP")</f>
        <v>COP</v>
      </c>
      <c r="E172" s="5" t="str">
        <f ca="1">IFERROR(__xludf.DUMMYFUNCTION("""COMPUTED_VALUE"""),"DSD")</f>
        <v>DSD</v>
      </c>
      <c r="F172" s="5" t="b">
        <f ca="1">IFERROR(__xludf.DUMMYFUNCTION("""COMPUTED_VALUE"""),TRUE)</f>
        <v>1</v>
      </c>
      <c r="G172" s="5" t="str">
        <f ca="1">IFERROR(__xludf.DUMMYFUNCTION("""COMPUTED_VALUE"""),"RAUL LOPEZ")</f>
        <v>RAUL LOPEZ</v>
      </c>
      <c r="H172" s="5"/>
      <c r="I172" s="5"/>
      <c r="J172" s="5" t="str">
        <f t="shared" ca="1" si="0"/>
        <v>Limpieza realizada</v>
      </c>
    </row>
    <row r="173" spans="1:10">
      <c r="A173" s="65"/>
      <c r="B173" s="5" t="str">
        <f ca="1">IFERROR(__xludf.DUMMYFUNCTION("""COMPUTED_VALUE"""),"Centro punto proto 5/16")</f>
        <v>Centro punto proto 5/16</v>
      </c>
      <c r="C173" s="5" t="str">
        <f ca="1">IFERROR(__xludf.DUMMYFUNCTION("""COMPUTED_VALUE"""),"VERDE")</f>
        <v>VERDE</v>
      </c>
      <c r="D173" s="5" t="str">
        <f ca="1">IFERROR(__xludf.DUMMYFUNCTION("""COMPUTED_VALUE"""),"COP")</f>
        <v>COP</v>
      </c>
      <c r="E173" s="5" t="str">
        <f ca="1">IFERROR(__xludf.DUMMYFUNCTION("""COMPUTED_VALUE"""),"DSD")</f>
        <v>DSD</v>
      </c>
      <c r="F173" s="5" t="b">
        <f ca="1">IFERROR(__xludf.DUMMYFUNCTION("""COMPUTED_VALUE"""),TRUE)</f>
        <v>1</v>
      </c>
      <c r="G173" s="5" t="str">
        <f ca="1">IFERROR(__xludf.DUMMYFUNCTION("""COMPUTED_VALUE"""),"RAUL LOPEZ")</f>
        <v>RAUL LOPEZ</v>
      </c>
      <c r="H173" s="5"/>
      <c r="I173" s="5"/>
      <c r="J173" s="5" t="str">
        <f t="shared" ca="1" si="0"/>
        <v>Limpieza realizada</v>
      </c>
    </row>
    <row r="174" spans="1:10">
      <c r="A174" s="65"/>
      <c r="B174" s="5" t="str">
        <f ca="1">IFERROR(__xludf.DUMMYFUNCTION("""COMPUTED_VALUE"""),"Cincel protp Juego x 7 piezas")</f>
        <v>Cincel protp Juego x 7 piezas</v>
      </c>
      <c r="C174" s="5" t="str">
        <f ca="1">IFERROR(__xludf.DUMMYFUNCTION("""COMPUTED_VALUE"""),"VERDE")</f>
        <v>VERDE</v>
      </c>
      <c r="D174" s="5" t="str">
        <f ca="1">IFERROR(__xludf.DUMMYFUNCTION("""COMPUTED_VALUE"""),"COP")</f>
        <v>COP</v>
      </c>
      <c r="E174" s="5" t="str">
        <f ca="1">IFERROR(__xludf.DUMMYFUNCTION("""COMPUTED_VALUE"""),"DSD")</f>
        <v>DSD</v>
      </c>
      <c r="F174" s="5" t="b">
        <f ca="1">IFERROR(__xludf.DUMMYFUNCTION("""COMPUTED_VALUE"""),TRUE)</f>
        <v>1</v>
      </c>
      <c r="G174" s="5" t="str">
        <f ca="1">IFERROR(__xludf.DUMMYFUNCTION("""COMPUTED_VALUE"""),"RAUL LOPEZ")</f>
        <v>RAUL LOPEZ</v>
      </c>
      <c r="H174" s="5"/>
      <c r="I174" s="5"/>
      <c r="J174" s="5" t="str">
        <f t="shared" ca="1" si="0"/>
        <v>Limpieza realizada</v>
      </c>
    </row>
    <row r="175" spans="1:10">
      <c r="A175" s="65"/>
      <c r="B175" s="5" t="str">
        <f ca="1">IFERROR(__xludf.DUMMYFUNCTION("""COMPUTED_VALUE"""),"nivel Stanley 42 -264")</f>
        <v>nivel Stanley 42 -264</v>
      </c>
      <c r="C175" s="5" t="str">
        <f ca="1">IFERROR(__xludf.DUMMYFUNCTION("""COMPUTED_VALUE"""),"VERDE")</f>
        <v>VERDE</v>
      </c>
      <c r="D175" s="5" t="str">
        <f ca="1">IFERROR(__xludf.DUMMYFUNCTION("""COMPUTED_VALUE"""),"COP")</f>
        <v>COP</v>
      </c>
      <c r="E175" s="5" t="str">
        <f ca="1">IFERROR(__xludf.DUMMYFUNCTION("""COMPUTED_VALUE"""),"DSD")</f>
        <v>DSD</v>
      </c>
      <c r="F175" s="5" t="b">
        <f ca="1">IFERROR(__xludf.DUMMYFUNCTION("""COMPUTED_VALUE"""),TRUE)</f>
        <v>1</v>
      </c>
      <c r="G175" s="5" t="str">
        <f ca="1">IFERROR(__xludf.DUMMYFUNCTION("""COMPUTED_VALUE"""),"RAUL LOPEZ")</f>
        <v>RAUL LOPEZ</v>
      </c>
      <c r="H175" s="5"/>
      <c r="I175" s="5"/>
      <c r="J175" s="5" t="str">
        <f t="shared" ca="1" si="0"/>
        <v>Limpieza realizada</v>
      </c>
    </row>
    <row r="176" spans="1:10">
      <c r="A176" s="65"/>
      <c r="B176" s="5" t="str">
        <f ca="1">IFERROR(__xludf.DUMMYFUNCTION("""COMPUTED_VALUE"""),"Hombres solo 6""")</f>
        <v>Hombres solo 6"</v>
      </c>
      <c r="C176" s="5" t="str">
        <f ca="1">IFERROR(__xludf.DUMMYFUNCTION("""COMPUTED_VALUE"""),"VERDE")</f>
        <v>VERDE</v>
      </c>
      <c r="D176" s="5" t="str">
        <f ca="1">IFERROR(__xludf.DUMMYFUNCTION("""COMPUTED_VALUE"""),"COP")</f>
        <v>COP</v>
      </c>
      <c r="E176" s="5" t="str">
        <f ca="1">IFERROR(__xludf.DUMMYFUNCTION("""COMPUTED_VALUE"""),"DSD")</f>
        <v>DSD</v>
      </c>
      <c r="F176" s="5" t="b">
        <f ca="1">IFERROR(__xludf.DUMMYFUNCTION("""COMPUTED_VALUE"""),TRUE)</f>
        <v>1</v>
      </c>
      <c r="G176" s="5" t="str">
        <f ca="1">IFERROR(__xludf.DUMMYFUNCTION("""COMPUTED_VALUE"""),"RAUL LOPEZ")</f>
        <v>RAUL LOPEZ</v>
      </c>
      <c r="H176" s="5"/>
      <c r="I176" s="5"/>
      <c r="J176" s="5" t="str">
        <f t="shared" ca="1" si="0"/>
        <v>Limpieza realizada</v>
      </c>
    </row>
    <row r="177" spans="1:10">
      <c r="A177" s="65"/>
      <c r="B177" s="5" t="str">
        <f ca="1">IFERROR(__xludf.DUMMYFUNCTION("""COMPUTED_VALUE"""),"Destornillador de estria 3/16 x 6")</f>
        <v>Destornillador de estria 3/16 x 6</v>
      </c>
      <c r="C177" s="5" t="str">
        <f ca="1">IFERROR(__xludf.DUMMYFUNCTION("""COMPUTED_VALUE"""),"VERDE")</f>
        <v>VERDE</v>
      </c>
      <c r="D177" s="5" t="str">
        <f ca="1">IFERROR(__xludf.DUMMYFUNCTION("""COMPUTED_VALUE"""),"COP")</f>
        <v>COP</v>
      </c>
      <c r="E177" s="5" t="str">
        <f ca="1">IFERROR(__xludf.DUMMYFUNCTION("""COMPUTED_VALUE"""),"DSD")</f>
        <v>DSD</v>
      </c>
      <c r="F177" s="5" t="b">
        <f ca="1">IFERROR(__xludf.DUMMYFUNCTION("""COMPUTED_VALUE"""),TRUE)</f>
        <v>1</v>
      </c>
      <c r="G177" s="5" t="str">
        <f ca="1">IFERROR(__xludf.DUMMYFUNCTION("""COMPUTED_VALUE"""),"RAUL LOPEZ")</f>
        <v>RAUL LOPEZ</v>
      </c>
      <c r="H177" s="5"/>
      <c r="I177" s="5"/>
      <c r="J177" s="5" t="str">
        <f t="shared" ca="1" si="0"/>
        <v>Limpieza realizada</v>
      </c>
    </row>
    <row r="178" spans="1:10">
      <c r="A178" s="65"/>
      <c r="B178" s="5" t="str">
        <f ca="1">IFERROR(__xludf.DUMMYFUNCTION("""COMPUTED_VALUE"""),"Escuadra")</f>
        <v>Escuadra</v>
      </c>
      <c r="C178" s="5" t="str">
        <f ca="1">IFERROR(__xludf.DUMMYFUNCTION("""COMPUTED_VALUE"""),"VERDE")</f>
        <v>VERDE</v>
      </c>
      <c r="D178" s="5" t="str">
        <f ca="1">IFERROR(__xludf.DUMMYFUNCTION("""COMPUTED_VALUE"""),"COP")</f>
        <v>COP</v>
      </c>
      <c r="E178" s="5" t="str">
        <f ca="1">IFERROR(__xludf.DUMMYFUNCTION("""COMPUTED_VALUE"""),"DSD")</f>
        <v>DSD</v>
      </c>
      <c r="F178" s="5" t="b">
        <f ca="1">IFERROR(__xludf.DUMMYFUNCTION("""COMPUTED_VALUE"""),TRUE)</f>
        <v>1</v>
      </c>
      <c r="G178" s="5" t="str">
        <f ca="1">IFERROR(__xludf.DUMMYFUNCTION("""COMPUTED_VALUE"""),"RAUL LOPEZ")</f>
        <v>RAUL LOPEZ</v>
      </c>
      <c r="H178" s="5"/>
      <c r="I178" s="5"/>
      <c r="J178" s="5" t="str">
        <f t="shared" ca="1" si="0"/>
        <v>Limpieza realizada</v>
      </c>
    </row>
    <row r="179" spans="1:10">
      <c r="A179" s="65"/>
      <c r="B179" s="5" t="str">
        <f ca="1">IFERROR(__xludf.DUMMYFUNCTION("""COMPUTED_VALUE"""),"Lima redonda")</f>
        <v>Lima redonda</v>
      </c>
      <c r="C179" s="5" t="str">
        <f ca="1">IFERROR(__xludf.DUMMYFUNCTION("""COMPUTED_VALUE"""),"VERDE")</f>
        <v>VERDE</v>
      </c>
      <c r="D179" s="5" t="str">
        <f ca="1">IFERROR(__xludf.DUMMYFUNCTION("""COMPUTED_VALUE"""),"COP")</f>
        <v>COP</v>
      </c>
      <c r="E179" s="5" t="str">
        <f ca="1">IFERROR(__xludf.DUMMYFUNCTION("""COMPUTED_VALUE"""),"DSD")</f>
        <v>DSD</v>
      </c>
      <c r="F179" s="5" t="b">
        <f ca="1">IFERROR(__xludf.DUMMYFUNCTION("""COMPUTED_VALUE"""),TRUE)</f>
        <v>1</v>
      </c>
      <c r="G179" s="5" t="str">
        <f ca="1">IFERROR(__xludf.DUMMYFUNCTION("""COMPUTED_VALUE"""),"RAUL LOPEZ")</f>
        <v>RAUL LOPEZ</v>
      </c>
      <c r="H179" s="5"/>
      <c r="I179" s="5"/>
      <c r="J179" s="5" t="str">
        <f t="shared" ca="1" si="0"/>
        <v>Limpieza realizada</v>
      </c>
    </row>
    <row r="180" spans="1:10">
      <c r="A180" s="65"/>
      <c r="B180" s="5" t="str">
        <f ca="1">IFERROR(__xludf.DUMMYFUNCTION("""COMPUTED_VALUE"""),"Lima triangular")</f>
        <v>Lima triangular</v>
      </c>
      <c r="C180" s="5" t="str">
        <f ca="1">IFERROR(__xludf.DUMMYFUNCTION("""COMPUTED_VALUE"""),"VERDE")</f>
        <v>VERDE</v>
      </c>
      <c r="D180" s="5" t="str">
        <f ca="1">IFERROR(__xludf.DUMMYFUNCTION("""COMPUTED_VALUE"""),"COP")</f>
        <v>COP</v>
      </c>
      <c r="E180" s="5" t="str">
        <f ca="1">IFERROR(__xludf.DUMMYFUNCTION("""COMPUTED_VALUE"""),"DSD")</f>
        <v>DSD</v>
      </c>
      <c r="F180" s="5" t="b">
        <f ca="1">IFERROR(__xludf.DUMMYFUNCTION("""COMPUTED_VALUE"""),TRUE)</f>
        <v>1</v>
      </c>
      <c r="G180" s="5" t="str">
        <f ca="1">IFERROR(__xludf.DUMMYFUNCTION("""COMPUTED_VALUE"""),"RAUL LOPEZ")</f>
        <v>RAUL LOPEZ</v>
      </c>
      <c r="H180" s="5"/>
      <c r="I180" s="5"/>
      <c r="J180" s="5" t="str">
        <f t="shared" ca="1" si="0"/>
        <v>Limpieza realizada</v>
      </c>
    </row>
    <row r="181" spans="1:10">
      <c r="A181" s="65"/>
      <c r="B181" s="5" t="str">
        <f ca="1">IFERROR(__xludf.DUMMYFUNCTION("""COMPUTED_VALUE"""),"Juego de sacabocados (11 pzas)")</f>
        <v>Juego de sacabocados (11 pzas)</v>
      </c>
      <c r="C181" s="5" t="str">
        <f ca="1">IFERROR(__xludf.DUMMYFUNCTION("""COMPUTED_VALUE"""),"VERDE")</f>
        <v>VERDE</v>
      </c>
      <c r="D181" s="5" t="str">
        <f ca="1">IFERROR(__xludf.DUMMYFUNCTION("""COMPUTED_VALUE"""),"COP")</f>
        <v>COP</v>
      </c>
      <c r="E181" s="5" t="str">
        <f ca="1">IFERROR(__xludf.DUMMYFUNCTION("""COMPUTED_VALUE"""),"DSD")</f>
        <v>DSD</v>
      </c>
      <c r="F181" s="5" t="b">
        <f ca="1">IFERROR(__xludf.DUMMYFUNCTION("""COMPUTED_VALUE"""),TRUE)</f>
        <v>1</v>
      </c>
      <c r="G181" s="5" t="str">
        <f ca="1">IFERROR(__xludf.DUMMYFUNCTION("""COMPUTED_VALUE"""),"RAUL LOPEZ")</f>
        <v>RAUL LOPEZ</v>
      </c>
      <c r="H181" s="5"/>
      <c r="I181" s="5"/>
      <c r="J181" s="5" t="str">
        <f t="shared" ca="1" si="0"/>
        <v>Limpieza realizada</v>
      </c>
    </row>
    <row r="182" spans="1:10">
      <c r="A182" s="65"/>
      <c r="B182" s="5" t="str">
        <f ca="1">IFERROR(__xludf.DUMMYFUNCTION("""COMPUTED_VALUE"""),"Calibrador de laminilla Proto")</f>
        <v>Calibrador de laminilla Proto</v>
      </c>
      <c r="C182" s="5" t="str">
        <f ca="1">IFERROR(__xludf.DUMMYFUNCTION("""COMPUTED_VALUE"""),"VERDE")</f>
        <v>VERDE</v>
      </c>
      <c r="D182" s="5" t="str">
        <f ca="1">IFERROR(__xludf.DUMMYFUNCTION("""COMPUTED_VALUE"""),"COP")</f>
        <v>COP</v>
      </c>
      <c r="E182" s="5" t="str">
        <f ca="1">IFERROR(__xludf.DUMMYFUNCTION("""COMPUTED_VALUE"""),"DSD")</f>
        <v>DSD</v>
      </c>
      <c r="F182" s="5" t="b">
        <f ca="1">IFERROR(__xludf.DUMMYFUNCTION("""COMPUTED_VALUE"""),TRUE)</f>
        <v>1</v>
      </c>
      <c r="G182" s="5" t="str">
        <f ca="1">IFERROR(__xludf.DUMMYFUNCTION("""COMPUTED_VALUE"""),"RAUL LOPEZ")</f>
        <v>RAUL LOPEZ</v>
      </c>
      <c r="H182" s="5"/>
      <c r="I182" s="5"/>
      <c r="J182" s="5" t="str">
        <f t="shared" ca="1" si="0"/>
        <v>Limpieza realizada</v>
      </c>
    </row>
    <row r="183" spans="1:10">
      <c r="A183" s="65"/>
      <c r="B183" s="5" t="str">
        <f ca="1">IFERROR(__xludf.DUMMYFUNCTION("""COMPUTED_VALUE"""),"Pinza punta 6""")</f>
        <v>Pinza punta 6"</v>
      </c>
      <c r="C183" s="5" t="str">
        <f ca="1">IFERROR(__xludf.DUMMYFUNCTION("""COMPUTED_VALUE"""),"VERDE")</f>
        <v>VERDE</v>
      </c>
      <c r="D183" s="5" t="str">
        <f ca="1">IFERROR(__xludf.DUMMYFUNCTION("""COMPUTED_VALUE"""),"COP")</f>
        <v>COP</v>
      </c>
      <c r="E183" s="5" t="str">
        <f ca="1">IFERROR(__xludf.DUMMYFUNCTION("""COMPUTED_VALUE"""),"DSD")</f>
        <v>DSD</v>
      </c>
      <c r="F183" s="5" t="b">
        <f ca="1">IFERROR(__xludf.DUMMYFUNCTION("""COMPUTED_VALUE"""),TRUE)</f>
        <v>1</v>
      </c>
      <c r="G183" s="5" t="str">
        <f ca="1">IFERROR(__xludf.DUMMYFUNCTION("""COMPUTED_VALUE"""),"RAUL LOPEZ")</f>
        <v>RAUL LOPEZ</v>
      </c>
      <c r="H183" s="5"/>
      <c r="I183" s="5"/>
      <c r="J183" s="5" t="str">
        <f t="shared" ca="1" si="0"/>
        <v>Limpieza realizada</v>
      </c>
    </row>
    <row r="184" spans="1:10">
      <c r="A184" s="65"/>
      <c r="B184" s="5" t="str">
        <f ca="1">IFERROR(__xludf.DUMMYFUNCTION("""COMPUTED_VALUE"""),"extractor proto")</f>
        <v>extractor proto</v>
      </c>
      <c r="C184" s="5" t="str">
        <f ca="1">IFERROR(__xludf.DUMMYFUNCTION("""COMPUTED_VALUE"""),"VERDE")</f>
        <v>VERDE</v>
      </c>
      <c r="D184" s="5" t="str">
        <f ca="1">IFERROR(__xludf.DUMMYFUNCTION("""COMPUTED_VALUE"""),"COP")</f>
        <v>COP</v>
      </c>
      <c r="E184" s="5" t="str">
        <f ca="1">IFERROR(__xludf.DUMMYFUNCTION("""COMPUTED_VALUE"""),"DSD")</f>
        <v>DSD</v>
      </c>
      <c r="F184" s="5" t="b">
        <f ca="1">IFERROR(__xludf.DUMMYFUNCTION("""COMPUTED_VALUE"""),TRUE)</f>
        <v>1</v>
      </c>
      <c r="G184" s="5" t="str">
        <f ca="1">IFERROR(__xludf.DUMMYFUNCTION("""COMPUTED_VALUE"""),"RAUL LOPEZ")</f>
        <v>RAUL LOPEZ</v>
      </c>
      <c r="H184" s="5"/>
      <c r="I184" s="5"/>
      <c r="J184" s="5" t="str">
        <f t="shared" ca="1" si="0"/>
        <v>Limpieza realizada</v>
      </c>
    </row>
    <row r="185" spans="1:10">
      <c r="A185" s="65"/>
      <c r="B185" s="5" t="str">
        <f ca="1">IFERROR(__xludf.DUMMYFUNCTION("""COMPUTED_VALUE"""),"Martillo de bola")</f>
        <v>Martillo de bola</v>
      </c>
      <c r="C185" s="5" t="str">
        <f ca="1">IFERROR(__xludf.DUMMYFUNCTION("""COMPUTED_VALUE"""),"VERDE")</f>
        <v>VERDE</v>
      </c>
      <c r="D185" s="5" t="str">
        <f ca="1">IFERROR(__xludf.DUMMYFUNCTION("""COMPUTED_VALUE"""),"COP")</f>
        <v>COP</v>
      </c>
      <c r="E185" s="5" t="str">
        <f ca="1">IFERROR(__xludf.DUMMYFUNCTION("""COMPUTED_VALUE"""),"DSD")</f>
        <v>DSD</v>
      </c>
      <c r="F185" s="5" t="b">
        <f ca="1">IFERROR(__xludf.DUMMYFUNCTION("""COMPUTED_VALUE"""),TRUE)</f>
        <v>1</v>
      </c>
      <c r="G185" s="5" t="str">
        <f ca="1">IFERROR(__xludf.DUMMYFUNCTION("""COMPUTED_VALUE"""),"RAUL LOPEZ")</f>
        <v>RAUL LOPEZ</v>
      </c>
      <c r="H185" s="5"/>
      <c r="I185" s="5"/>
      <c r="J185" s="5" t="str">
        <f t="shared" ca="1" si="0"/>
        <v>Limpieza realizada</v>
      </c>
    </row>
    <row r="186" spans="1:10">
      <c r="A186" s="65"/>
      <c r="B186" s="5" t="str">
        <f ca="1">IFERROR(__xludf.DUMMYFUNCTION("""COMPUTED_VALUE"""),"Bisturie")</f>
        <v>Bisturie</v>
      </c>
      <c r="C186" s="5" t="str">
        <f ca="1">IFERROR(__xludf.DUMMYFUNCTION("""COMPUTED_VALUE"""),"VERDE")</f>
        <v>VERDE</v>
      </c>
      <c r="D186" s="5" t="str">
        <f ca="1">IFERROR(__xludf.DUMMYFUNCTION("""COMPUTED_VALUE"""),"COP")</f>
        <v>COP</v>
      </c>
      <c r="E186" s="5" t="str">
        <f ca="1">IFERROR(__xludf.DUMMYFUNCTION("""COMPUTED_VALUE"""),"DSD")</f>
        <v>DSD</v>
      </c>
      <c r="F186" s="5" t="b">
        <f ca="1">IFERROR(__xludf.DUMMYFUNCTION("""COMPUTED_VALUE"""),TRUE)</f>
        <v>1</v>
      </c>
      <c r="G186" s="5" t="str">
        <f ca="1">IFERROR(__xludf.DUMMYFUNCTION("""COMPUTED_VALUE"""),"RAUL LOPEZ")</f>
        <v>RAUL LOPEZ</v>
      </c>
      <c r="H186" s="5"/>
      <c r="I186" s="5"/>
      <c r="J186" s="5" t="str">
        <f t="shared" ca="1" si="0"/>
        <v>Limpieza realizada</v>
      </c>
    </row>
    <row r="187" spans="1:10">
      <c r="A187" s="65"/>
      <c r="B187" s="5" t="str">
        <f ca="1">IFERROR(__xludf.DUMMYFUNCTION("""COMPUTED_VALUE"""),"Juego de botadores Proto")</f>
        <v>Juego de botadores Proto</v>
      </c>
      <c r="C187" s="5" t="str">
        <f ca="1">IFERROR(__xludf.DUMMYFUNCTION("""COMPUTED_VALUE"""),"VERDE")</f>
        <v>VERDE</v>
      </c>
      <c r="D187" s="5" t="str">
        <f ca="1">IFERROR(__xludf.DUMMYFUNCTION("""COMPUTED_VALUE"""),"COP")</f>
        <v>COP</v>
      </c>
      <c r="E187" s="5" t="str">
        <f ca="1">IFERROR(__xludf.DUMMYFUNCTION("""COMPUTED_VALUE"""),"DSD")</f>
        <v>DSD</v>
      </c>
      <c r="F187" s="5" t="b">
        <f ca="1">IFERROR(__xludf.DUMMYFUNCTION("""COMPUTED_VALUE"""),TRUE)</f>
        <v>1</v>
      </c>
      <c r="G187" s="5" t="str">
        <f ca="1">IFERROR(__xludf.DUMMYFUNCTION("""COMPUTED_VALUE"""),"RAUL LOPEZ")</f>
        <v>RAUL LOPEZ</v>
      </c>
      <c r="H187" s="5"/>
      <c r="I187" s="5"/>
      <c r="J187" s="5" t="str">
        <f t="shared" ca="1" si="0"/>
        <v>Limpieza realizada</v>
      </c>
    </row>
    <row r="188" spans="1:10">
      <c r="A188" s="65"/>
      <c r="B188" s="5" t="str">
        <f ca="1">IFERROR(__xludf.DUMMYFUNCTION("""COMPUTED_VALUE"""),"Llave de pesto 6""")</f>
        <v>Llave de pesto 6"</v>
      </c>
      <c r="C188" s="5" t="str">
        <f ca="1">IFERROR(__xludf.DUMMYFUNCTION("""COMPUTED_VALUE"""),"VERDE")</f>
        <v>VERDE</v>
      </c>
      <c r="D188" s="5" t="str">
        <f ca="1">IFERROR(__xludf.DUMMYFUNCTION("""COMPUTED_VALUE"""),"COP")</f>
        <v>COP</v>
      </c>
      <c r="E188" s="5" t="str">
        <f ca="1">IFERROR(__xludf.DUMMYFUNCTION("""COMPUTED_VALUE"""),"DSD")</f>
        <v>DSD</v>
      </c>
      <c r="F188" s="5" t="b">
        <f ca="1">IFERROR(__xludf.DUMMYFUNCTION("""COMPUTED_VALUE"""),TRUE)</f>
        <v>1</v>
      </c>
      <c r="G188" s="5" t="str">
        <f ca="1">IFERROR(__xludf.DUMMYFUNCTION("""COMPUTED_VALUE"""),"RAUL LOPEZ")</f>
        <v>RAUL LOPEZ</v>
      </c>
      <c r="H188" s="5"/>
      <c r="I188" s="5"/>
      <c r="J188" s="5" t="str">
        <f t="shared" ca="1" si="0"/>
        <v>Limpieza realizada</v>
      </c>
    </row>
    <row r="189" spans="1:10">
      <c r="A189" s="65"/>
      <c r="B189" s="5" t="str">
        <f ca="1">IFERROR(__xludf.DUMMYFUNCTION("""COMPUTED_VALUE"""),"Llave para tubo 12""")</f>
        <v>Llave para tubo 12"</v>
      </c>
      <c r="C189" s="5" t="str">
        <f ca="1">IFERROR(__xludf.DUMMYFUNCTION("""COMPUTED_VALUE"""),"VERDE")</f>
        <v>VERDE</v>
      </c>
      <c r="D189" s="5" t="str">
        <f ca="1">IFERROR(__xludf.DUMMYFUNCTION("""COMPUTED_VALUE"""),"COP")</f>
        <v>COP</v>
      </c>
      <c r="E189" s="5" t="str">
        <f ca="1">IFERROR(__xludf.DUMMYFUNCTION("""COMPUTED_VALUE"""),"DSD")</f>
        <v>DSD</v>
      </c>
      <c r="F189" s="5" t="b">
        <f ca="1">IFERROR(__xludf.DUMMYFUNCTION("""COMPUTED_VALUE"""),TRUE)</f>
        <v>1</v>
      </c>
      <c r="G189" s="5" t="str">
        <f ca="1">IFERROR(__xludf.DUMMYFUNCTION("""COMPUTED_VALUE"""),"RAUL LOPEZ")</f>
        <v>RAUL LOPEZ</v>
      </c>
      <c r="H189" s="5"/>
      <c r="I189" s="5"/>
      <c r="J189" s="5" t="str">
        <f t="shared" ca="1" si="0"/>
        <v>Limpieza realizada</v>
      </c>
    </row>
    <row r="190" spans="1:10">
      <c r="A190" s="65">
        <f ca="1">IFERROR(__xludf.DUMMYFUNCTION("""COMPUTED_VALUE"""),45349)</f>
        <v>45349</v>
      </c>
      <c r="B190" s="5" t="str">
        <f ca="1">IFERROR(__xludf.DUMMYFUNCTION("""COMPUTED_VALUE"""),"ALICATE DE PRESIÓN HOMBRE SOLO 8""")</f>
        <v>ALICATE DE PRESIÓN HOMBRE SOLO 8"</v>
      </c>
      <c r="C190" s="5" t="str">
        <f ca="1">IFERROR(__xludf.DUMMYFUNCTION("""COMPUTED_VALUE"""),"VERDE")</f>
        <v>VERDE</v>
      </c>
      <c r="D190" s="5" t="str">
        <f ca="1">IFERROR(__xludf.DUMMYFUNCTION("""COMPUTED_VALUE"""),"COP")</f>
        <v>COP</v>
      </c>
      <c r="E190" s="5" t="str">
        <f ca="1">IFERROR(__xludf.DUMMYFUNCTION("""COMPUTED_VALUE"""),"DSD")</f>
        <v>DSD</v>
      </c>
      <c r="F190" s="5" t="b">
        <f ca="1">IFERROR(__xludf.DUMMYFUNCTION("""COMPUTED_VALUE"""),TRUE)</f>
        <v>1</v>
      </c>
      <c r="G190" s="5" t="str">
        <f ca="1">IFERROR(__xludf.DUMMYFUNCTION("""COMPUTED_VALUE"""),"CARLOS A MARTINEZ")</f>
        <v>CARLOS A MARTINEZ</v>
      </c>
      <c r="H190" s="5"/>
      <c r="I190" s="5"/>
      <c r="J190" s="5" t="str">
        <f t="shared" ca="1" si="0"/>
        <v>Limpieza realizada</v>
      </c>
    </row>
    <row r="191" spans="1:10">
      <c r="A191" s="65"/>
      <c r="B191" s="5" t="str">
        <f ca="1">IFERROR(__xludf.DUMMYFUNCTION("""COMPUTED_VALUE"""),"JUEGO DE CINCELES 7 PZAS")</f>
        <v>JUEGO DE CINCELES 7 PZAS</v>
      </c>
      <c r="C191" s="5" t="str">
        <f ca="1">IFERROR(__xludf.DUMMYFUNCTION("""COMPUTED_VALUE"""),"VERDE")</f>
        <v>VERDE</v>
      </c>
      <c r="D191" s="5" t="str">
        <f ca="1">IFERROR(__xludf.DUMMYFUNCTION("""COMPUTED_VALUE"""),"COP")</f>
        <v>COP</v>
      </c>
      <c r="E191" s="5" t="str">
        <f ca="1">IFERROR(__xludf.DUMMYFUNCTION("""COMPUTED_VALUE"""),"DSD")</f>
        <v>DSD</v>
      </c>
      <c r="F191" s="5" t="b">
        <f ca="1">IFERROR(__xludf.DUMMYFUNCTION("""COMPUTED_VALUE"""),TRUE)</f>
        <v>1</v>
      </c>
      <c r="G191" s="5" t="str">
        <f ca="1">IFERROR(__xludf.DUMMYFUNCTION("""COMPUTED_VALUE"""),"CARLOS A MARTINEZ")</f>
        <v>CARLOS A MARTINEZ</v>
      </c>
      <c r="H191" s="5"/>
      <c r="I191" s="5"/>
      <c r="J191" s="5" t="str">
        <f t="shared" ca="1" si="0"/>
        <v>Limpieza realizada</v>
      </c>
    </row>
    <row r="192" spans="1:10">
      <c r="A192" s="65"/>
      <c r="B192" s="5" t="str">
        <f ca="1">IFERROR(__xludf.DUMMYFUNCTION("""COMPUTED_VALUE"""),"LLAVE COMBIANDA MIXTA 10 MM")</f>
        <v>LLAVE COMBIANDA MIXTA 10 MM</v>
      </c>
      <c r="C192" s="5" t="str">
        <f ca="1">IFERROR(__xludf.DUMMYFUNCTION("""COMPUTED_VALUE"""),"VERDE")</f>
        <v>VERDE</v>
      </c>
      <c r="D192" s="5" t="str">
        <f ca="1">IFERROR(__xludf.DUMMYFUNCTION("""COMPUTED_VALUE"""),"COP")</f>
        <v>COP</v>
      </c>
      <c r="E192" s="5" t="str">
        <f ca="1">IFERROR(__xludf.DUMMYFUNCTION("""COMPUTED_VALUE"""),"DSD")</f>
        <v>DSD</v>
      </c>
      <c r="F192" s="5" t="b">
        <f ca="1">IFERROR(__xludf.DUMMYFUNCTION("""COMPUTED_VALUE"""),TRUE)</f>
        <v>1</v>
      </c>
      <c r="G192" s="5" t="str">
        <f ca="1">IFERROR(__xludf.DUMMYFUNCTION("""COMPUTED_VALUE"""),"CARLOS A MARTINEZ")</f>
        <v>CARLOS A MARTINEZ</v>
      </c>
      <c r="H192" s="5"/>
      <c r="I192" s="5"/>
      <c r="J192" s="5" t="str">
        <f t="shared" ca="1" si="0"/>
        <v>Limpieza realizada</v>
      </c>
    </row>
    <row r="193" spans="1:10">
      <c r="A193" s="65"/>
      <c r="B193" s="5" t="str">
        <f ca="1">IFERROR(__xludf.DUMMYFUNCTION("""COMPUTED_VALUE"""),"DESTORNILLADOR DE PALA 3/8"" X12""")</f>
        <v>DESTORNILLADOR DE PALA 3/8" X12"</v>
      </c>
      <c r="C193" s="5" t="str">
        <f ca="1">IFERROR(__xludf.DUMMYFUNCTION("""COMPUTED_VALUE"""),"VERDE")</f>
        <v>VERDE</v>
      </c>
      <c r="D193" s="5" t="str">
        <f ca="1">IFERROR(__xludf.DUMMYFUNCTION("""COMPUTED_VALUE"""),"COP")</f>
        <v>COP</v>
      </c>
      <c r="E193" s="5" t="str">
        <f ca="1">IFERROR(__xludf.DUMMYFUNCTION("""COMPUTED_VALUE"""),"DSD")</f>
        <v>DSD</v>
      </c>
      <c r="F193" s="5" t="b">
        <f ca="1">IFERROR(__xludf.DUMMYFUNCTION("""COMPUTED_VALUE"""),TRUE)</f>
        <v>1</v>
      </c>
      <c r="G193" s="5" t="str">
        <f ca="1">IFERROR(__xludf.DUMMYFUNCTION("""COMPUTED_VALUE"""),"CARLOS A MARTINEZ")</f>
        <v>CARLOS A MARTINEZ</v>
      </c>
      <c r="H193" s="5"/>
      <c r="I193" s="5"/>
      <c r="J193" s="5" t="str">
        <f t="shared" ca="1" si="0"/>
        <v>Limpieza realizada</v>
      </c>
    </row>
    <row r="194" spans="1:10">
      <c r="A194" s="65"/>
      <c r="B194" s="5" t="str">
        <f ca="1">IFERROR(__xludf.DUMMYFUNCTION("""COMPUTED_VALUE"""),"CALIBRADOR PIE DE REY 6""")</f>
        <v>CALIBRADOR PIE DE REY 6"</v>
      </c>
      <c r="C194" s="5" t="str">
        <f ca="1">IFERROR(__xludf.DUMMYFUNCTION("""COMPUTED_VALUE"""),"VERDE")</f>
        <v>VERDE</v>
      </c>
      <c r="D194" s="5" t="str">
        <f ca="1">IFERROR(__xludf.DUMMYFUNCTION("""COMPUTED_VALUE"""),"COP")</f>
        <v>COP</v>
      </c>
      <c r="E194" s="5" t="str">
        <f ca="1">IFERROR(__xludf.DUMMYFUNCTION("""COMPUTED_VALUE"""),"DSD")</f>
        <v>DSD</v>
      </c>
      <c r="F194" s="5" t="b">
        <f ca="1">IFERROR(__xludf.DUMMYFUNCTION("""COMPUTED_VALUE"""),TRUE)</f>
        <v>1</v>
      </c>
      <c r="G194" s="5" t="str">
        <f ca="1">IFERROR(__xludf.DUMMYFUNCTION("""COMPUTED_VALUE"""),"CARLOS A MARTINEZ")</f>
        <v>CARLOS A MARTINEZ</v>
      </c>
      <c r="H194" s="5"/>
      <c r="I194" s="5"/>
      <c r="J194" s="5" t="str">
        <f t="shared" ca="1" si="0"/>
        <v>Limpieza realizada</v>
      </c>
    </row>
    <row r="195" spans="1:10">
      <c r="A195" s="65"/>
      <c r="B195" s="5" t="str">
        <f ca="1">IFERROR(__xludf.DUMMYFUNCTION("""COMPUTED_VALUE"""),"JUEGO DE BROCAS ACERO RAPIDO 1/16 A 1/12""")</f>
        <v>JUEGO DE BROCAS ACERO RAPIDO 1/16 A 1/12"</v>
      </c>
      <c r="C195" s="5" t="str">
        <f ca="1">IFERROR(__xludf.DUMMYFUNCTION("""COMPUTED_VALUE"""),"VERDE")</f>
        <v>VERDE</v>
      </c>
      <c r="D195" s="5" t="str">
        <f ca="1">IFERROR(__xludf.DUMMYFUNCTION("""COMPUTED_VALUE"""),"COP")</f>
        <v>COP</v>
      </c>
      <c r="E195" s="5" t="str">
        <f ca="1">IFERROR(__xludf.DUMMYFUNCTION("""COMPUTED_VALUE"""),"DSD")</f>
        <v>DSD</v>
      </c>
      <c r="F195" s="5" t="b">
        <f ca="1">IFERROR(__xludf.DUMMYFUNCTION("""COMPUTED_VALUE"""),TRUE)</f>
        <v>1</v>
      </c>
      <c r="G195" s="5" t="str">
        <f ca="1">IFERROR(__xludf.DUMMYFUNCTION("""COMPUTED_VALUE"""),"CARLOS A MARTINEZ")</f>
        <v>CARLOS A MARTINEZ</v>
      </c>
      <c r="H195" s="5"/>
      <c r="I195" s="5"/>
      <c r="J195" s="5" t="str">
        <f t="shared" ca="1" si="0"/>
        <v>Limpieza realizada</v>
      </c>
    </row>
    <row r="196" spans="1:10">
      <c r="A196" s="65"/>
      <c r="B196" s="5" t="str">
        <f ca="1">IFERROR(__xludf.DUMMYFUNCTION("""COMPUTED_VALUE"""),"JUEGO DE COPAS CUADRANTE 1/2 DE 10- 32M")</f>
        <v>JUEGO DE COPAS CUADRANTE 1/2 DE 10- 32M</v>
      </c>
      <c r="C196" s="5" t="str">
        <f ca="1">IFERROR(__xludf.DUMMYFUNCTION("""COMPUTED_VALUE"""),"VERDE")</f>
        <v>VERDE</v>
      </c>
      <c r="D196" s="5" t="str">
        <f ca="1">IFERROR(__xludf.DUMMYFUNCTION("""COMPUTED_VALUE"""),"COP")</f>
        <v>COP</v>
      </c>
      <c r="E196" s="5" t="str">
        <f ca="1">IFERROR(__xludf.DUMMYFUNCTION("""COMPUTED_VALUE"""),"DSD")</f>
        <v>DSD</v>
      </c>
      <c r="F196" s="5" t="b">
        <f ca="1">IFERROR(__xludf.DUMMYFUNCTION("""COMPUTED_VALUE"""),TRUE)</f>
        <v>1</v>
      </c>
      <c r="G196" s="5" t="str">
        <f ca="1">IFERROR(__xludf.DUMMYFUNCTION("""COMPUTED_VALUE"""),"CARLOS A MARTINEZ")</f>
        <v>CARLOS A MARTINEZ</v>
      </c>
      <c r="H196" s="5"/>
      <c r="I196" s="5"/>
      <c r="J196" s="5" t="str">
        <f t="shared" ca="1" si="0"/>
        <v>Limpieza realizada</v>
      </c>
    </row>
    <row r="197" spans="1:10">
      <c r="A197" s="65"/>
      <c r="B197" s="5" t="str">
        <f ca="1">IFERROR(__xludf.DUMMYFUNCTION("""COMPUTED_VALUE"""),"DESTORNILLADOR DE PALA 1/4 X 6""")</f>
        <v>DESTORNILLADOR DE PALA 1/4 X 6"</v>
      </c>
      <c r="C197" s="5" t="str">
        <f ca="1">IFERROR(__xludf.DUMMYFUNCTION("""COMPUTED_VALUE"""),"VERDE")</f>
        <v>VERDE</v>
      </c>
      <c r="D197" s="5" t="str">
        <f ca="1">IFERROR(__xludf.DUMMYFUNCTION("""COMPUTED_VALUE"""),"COP")</f>
        <v>COP</v>
      </c>
      <c r="E197" s="5" t="str">
        <f ca="1">IFERROR(__xludf.DUMMYFUNCTION("""COMPUTED_VALUE"""),"DSD")</f>
        <v>DSD</v>
      </c>
      <c r="F197" s="5" t="b">
        <f ca="1">IFERROR(__xludf.DUMMYFUNCTION("""COMPUTED_VALUE"""),TRUE)</f>
        <v>1</v>
      </c>
      <c r="G197" s="5" t="str">
        <f ca="1">IFERROR(__xludf.DUMMYFUNCTION("""COMPUTED_VALUE"""),"CARLOS A MARTINEZ")</f>
        <v>CARLOS A MARTINEZ</v>
      </c>
      <c r="H197" s="5"/>
      <c r="I197" s="5"/>
      <c r="J197" s="5" t="str">
        <f t="shared" ca="1" si="0"/>
        <v>Limpieza realizada</v>
      </c>
    </row>
    <row r="198" spans="1:10">
      <c r="A198" s="65"/>
      <c r="B198" s="5" t="str">
        <f ca="1">IFERROR(__xludf.DUMMYFUNCTION("""COMPUTED_VALUE"""),"LLAVE PARA TUBO 8""")</f>
        <v>LLAVE PARA TUBO 8"</v>
      </c>
      <c r="C198" s="5" t="str">
        <f ca="1">IFERROR(__xludf.DUMMYFUNCTION("""COMPUTED_VALUE"""),"VERDE")</f>
        <v>VERDE</v>
      </c>
      <c r="D198" s="5" t="str">
        <f ca="1">IFERROR(__xludf.DUMMYFUNCTION("""COMPUTED_VALUE"""),"COP")</f>
        <v>COP</v>
      </c>
      <c r="E198" s="5" t="str">
        <f ca="1">IFERROR(__xludf.DUMMYFUNCTION("""COMPUTED_VALUE"""),"DSD")</f>
        <v>DSD</v>
      </c>
      <c r="F198" s="5" t="b">
        <f ca="1">IFERROR(__xludf.DUMMYFUNCTION("""COMPUTED_VALUE"""),TRUE)</f>
        <v>1</v>
      </c>
      <c r="G198" s="5" t="str">
        <f ca="1">IFERROR(__xludf.DUMMYFUNCTION("""COMPUTED_VALUE"""),"CARLOS A MARTINEZ")</f>
        <v>CARLOS A MARTINEZ</v>
      </c>
      <c r="H198" s="5"/>
      <c r="I198" s="5"/>
      <c r="J198" s="5" t="str">
        <f t="shared" ca="1" si="0"/>
        <v>Limpieza realizada</v>
      </c>
    </row>
    <row r="199" spans="1:10">
      <c r="A199" s="65"/>
      <c r="B199" s="5" t="str">
        <f ca="1">IFERROR(__xludf.DUMMYFUNCTION("""COMPUTED_VALUE"""),"JUEGO DE BOTADORES 96A")</f>
        <v>JUEGO DE BOTADORES 96A</v>
      </c>
      <c r="C199" s="5" t="str">
        <f ca="1">IFERROR(__xludf.DUMMYFUNCTION("""COMPUTED_VALUE"""),"VERDE")</f>
        <v>VERDE</v>
      </c>
      <c r="D199" s="5" t="str">
        <f ca="1">IFERROR(__xludf.DUMMYFUNCTION("""COMPUTED_VALUE"""),"COP")</f>
        <v>COP</v>
      </c>
      <c r="E199" s="5" t="str">
        <f ca="1">IFERROR(__xludf.DUMMYFUNCTION("""COMPUTED_VALUE"""),"DSD")</f>
        <v>DSD</v>
      </c>
      <c r="F199" s="5" t="b">
        <f ca="1">IFERROR(__xludf.DUMMYFUNCTION("""COMPUTED_VALUE"""),TRUE)</f>
        <v>1</v>
      </c>
      <c r="G199" s="5" t="str">
        <f ca="1">IFERROR(__xludf.DUMMYFUNCTION("""COMPUTED_VALUE"""),"CARLOS A MARTINEZ")</f>
        <v>CARLOS A MARTINEZ</v>
      </c>
      <c r="H199" s="5"/>
      <c r="I199" s="5"/>
      <c r="J199" s="5" t="str">
        <f t="shared" ca="1" si="0"/>
        <v>Limpieza realizada</v>
      </c>
    </row>
    <row r="200" spans="1:10">
      <c r="A200" s="65"/>
      <c r="B200" s="5" t="str">
        <f ca="1">IFERROR(__xludf.DUMMYFUNCTION("""COMPUTED_VALUE"""),"JUEGO LLAVES BRISTOL- ALLEN 1.3 A 10MM")</f>
        <v>JUEGO LLAVES BRISTOL- ALLEN 1.3 A 10MM</v>
      </c>
      <c r="C200" s="5" t="str">
        <f ca="1">IFERROR(__xludf.DUMMYFUNCTION("""COMPUTED_VALUE"""),"VERDE")</f>
        <v>VERDE</v>
      </c>
      <c r="D200" s="5" t="str">
        <f ca="1">IFERROR(__xludf.DUMMYFUNCTION("""COMPUTED_VALUE"""),"COP")</f>
        <v>COP</v>
      </c>
      <c r="E200" s="5" t="str">
        <f ca="1">IFERROR(__xludf.DUMMYFUNCTION("""COMPUTED_VALUE"""),"DSD")</f>
        <v>DSD</v>
      </c>
      <c r="F200" s="5" t="b">
        <f ca="1">IFERROR(__xludf.DUMMYFUNCTION("""COMPUTED_VALUE"""),TRUE)</f>
        <v>1</v>
      </c>
      <c r="G200" s="5" t="str">
        <f ca="1">IFERROR(__xludf.DUMMYFUNCTION("""COMPUTED_VALUE"""),"CARLOS A MARTINEZ")</f>
        <v>CARLOS A MARTINEZ</v>
      </c>
      <c r="H200" s="5"/>
      <c r="I200" s="5"/>
      <c r="J200" s="5" t="str">
        <f t="shared" ca="1" si="0"/>
        <v>Limpieza realizada</v>
      </c>
    </row>
    <row r="201" spans="1:10">
      <c r="A201" s="65"/>
      <c r="B201" s="5" t="str">
        <f ca="1">IFERROR(__xludf.DUMMYFUNCTION("""COMPUTED_VALUE"""),"MARTILLO POLIURETANO STANLEY")</f>
        <v>MARTILLO POLIURETANO STANLEY</v>
      </c>
      <c r="C201" s="5" t="str">
        <f ca="1">IFERROR(__xludf.DUMMYFUNCTION("""COMPUTED_VALUE"""),"VERDE")</f>
        <v>VERDE</v>
      </c>
      <c r="D201" s="5" t="str">
        <f ca="1">IFERROR(__xludf.DUMMYFUNCTION("""COMPUTED_VALUE"""),"COP")</f>
        <v>COP</v>
      </c>
      <c r="E201" s="5" t="str">
        <f ca="1">IFERROR(__xludf.DUMMYFUNCTION("""COMPUTED_VALUE"""),"DSD")</f>
        <v>DSD</v>
      </c>
      <c r="F201" s="5" t="b">
        <f ca="1">IFERROR(__xludf.DUMMYFUNCTION("""COMPUTED_VALUE"""),TRUE)</f>
        <v>1</v>
      </c>
      <c r="G201" s="5" t="str">
        <f ca="1">IFERROR(__xludf.DUMMYFUNCTION("""COMPUTED_VALUE"""),"CARLOS A MARTINEZ")</f>
        <v>CARLOS A MARTINEZ</v>
      </c>
      <c r="H201" s="5"/>
      <c r="I201" s="5"/>
      <c r="J201" s="5" t="str">
        <f t="shared" ca="1" si="0"/>
        <v>Limpieza realizada</v>
      </c>
    </row>
    <row r="202" spans="1:10">
      <c r="A202" s="65"/>
      <c r="B202" s="5" t="str">
        <f ca="1">IFERROR(__xludf.DUMMYFUNCTION("""COMPUTED_VALUE"""),"MARTILLO BOLA 2 LB")</f>
        <v>MARTILLO BOLA 2 LB</v>
      </c>
      <c r="C202" s="5" t="str">
        <f ca="1">IFERROR(__xludf.DUMMYFUNCTION("""COMPUTED_VALUE"""),"VERDE")</f>
        <v>VERDE</v>
      </c>
      <c r="D202" s="5" t="str">
        <f ca="1">IFERROR(__xludf.DUMMYFUNCTION("""COMPUTED_VALUE"""),"COP")</f>
        <v>COP</v>
      </c>
      <c r="E202" s="5" t="str">
        <f ca="1">IFERROR(__xludf.DUMMYFUNCTION("""COMPUTED_VALUE"""),"DSD")</f>
        <v>DSD</v>
      </c>
      <c r="F202" s="5" t="b">
        <f ca="1">IFERROR(__xludf.DUMMYFUNCTION("""COMPUTED_VALUE"""),TRUE)</f>
        <v>1</v>
      </c>
      <c r="G202" s="5" t="str">
        <f ca="1">IFERROR(__xludf.DUMMYFUNCTION("""COMPUTED_VALUE"""),"CARLOS A MARTINEZ")</f>
        <v>CARLOS A MARTINEZ</v>
      </c>
      <c r="H202" s="5"/>
      <c r="I202" s="5"/>
      <c r="J202" s="5" t="str">
        <f t="shared" ca="1" si="0"/>
        <v>Limpieza realizada</v>
      </c>
    </row>
    <row r="203" spans="1:10">
      <c r="A203" s="65"/>
      <c r="B203" s="5" t="str">
        <f ca="1">IFERROR(__xludf.DUMMYFUNCTION("""COMPUTED_VALUE"""),"JEUGO LALVES MIXTAS DE 6 A 32 MM")</f>
        <v>JEUGO LALVES MIXTAS DE 6 A 32 MM</v>
      </c>
      <c r="C203" s="5" t="str">
        <f ca="1">IFERROR(__xludf.DUMMYFUNCTION("""COMPUTED_VALUE"""),"VERDE")</f>
        <v>VERDE</v>
      </c>
      <c r="D203" s="5" t="str">
        <f ca="1">IFERROR(__xludf.DUMMYFUNCTION("""COMPUTED_VALUE"""),"COP")</f>
        <v>COP</v>
      </c>
      <c r="E203" s="5" t="str">
        <f ca="1">IFERROR(__xludf.DUMMYFUNCTION("""COMPUTED_VALUE"""),"DSD")</f>
        <v>DSD</v>
      </c>
      <c r="F203" s="5" t="b">
        <f ca="1">IFERROR(__xludf.DUMMYFUNCTION("""COMPUTED_VALUE"""),TRUE)</f>
        <v>1</v>
      </c>
      <c r="G203" s="5" t="str">
        <f ca="1">IFERROR(__xludf.DUMMYFUNCTION("""COMPUTED_VALUE"""),"CARLOS A MARTINEZ")</f>
        <v>CARLOS A MARTINEZ</v>
      </c>
      <c r="H203" s="5"/>
      <c r="I203" s="5"/>
      <c r="J203" s="5" t="str">
        <f t="shared" ca="1" si="0"/>
        <v>Limpieza realizada</v>
      </c>
    </row>
    <row r="204" spans="1:10">
      <c r="A204" s="65"/>
      <c r="B204" s="5" t="str">
        <f ca="1">IFERROR(__xludf.DUMMYFUNCTION("""COMPUTED_VALUE"""),"LLAVE EXPANSIÓN 10""")</f>
        <v>LLAVE EXPANSIÓN 10"</v>
      </c>
      <c r="C204" s="5" t="str">
        <f ca="1">IFERROR(__xludf.DUMMYFUNCTION("""COMPUTED_VALUE"""),"VERDE")</f>
        <v>VERDE</v>
      </c>
      <c r="D204" s="5" t="str">
        <f ca="1">IFERROR(__xludf.DUMMYFUNCTION("""COMPUTED_VALUE"""),"COP")</f>
        <v>COP</v>
      </c>
      <c r="E204" s="5" t="str">
        <f ca="1">IFERROR(__xludf.DUMMYFUNCTION("""COMPUTED_VALUE"""),"DSD")</f>
        <v>DSD</v>
      </c>
      <c r="F204" s="5" t="b">
        <f ca="1">IFERROR(__xludf.DUMMYFUNCTION("""COMPUTED_VALUE"""),TRUE)</f>
        <v>1</v>
      </c>
      <c r="G204" s="5" t="str">
        <f ca="1">IFERROR(__xludf.DUMMYFUNCTION("""COMPUTED_VALUE"""),"CARLOS A MARTINEZ")</f>
        <v>CARLOS A MARTINEZ</v>
      </c>
      <c r="H204" s="5"/>
      <c r="I204" s="5"/>
      <c r="J204" s="5" t="str">
        <f t="shared" ca="1" si="0"/>
        <v>Limpieza realizada</v>
      </c>
    </row>
    <row r="205" spans="1:10">
      <c r="A205" s="65"/>
      <c r="B205" s="5" t="str">
        <f ca="1">IFERROR(__xludf.DUMMYFUNCTION("""COMPUTED_VALUE"""),"LLAVE MIXTA RACHE 10 MM")</f>
        <v>LLAVE MIXTA RACHE 10 MM</v>
      </c>
      <c r="C205" s="5" t="str">
        <f ca="1">IFERROR(__xludf.DUMMYFUNCTION("""COMPUTED_VALUE"""),"VERDE")</f>
        <v>VERDE</v>
      </c>
      <c r="D205" s="5" t="str">
        <f ca="1">IFERROR(__xludf.DUMMYFUNCTION("""COMPUTED_VALUE"""),"COP")</f>
        <v>COP</v>
      </c>
      <c r="E205" s="5" t="str">
        <f ca="1">IFERROR(__xludf.DUMMYFUNCTION("""COMPUTED_VALUE"""),"DSD")</f>
        <v>DSD</v>
      </c>
      <c r="F205" s="5" t="b">
        <f ca="1">IFERROR(__xludf.DUMMYFUNCTION("""COMPUTED_VALUE"""),TRUE)</f>
        <v>1</v>
      </c>
      <c r="G205" s="5" t="str">
        <f ca="1">IFERROR(__xludf.DUMMYFUNCTION("""COMPUTED_VALUE"""),"CARLOS A MARTINEZ")</f>
        <v>CARLOS A MARTINEZ</v>
      </c>
      <c r="H205" s="5"/>
      <c r="I205" s="5"/>
      <c r="J205" s="5" t="str">
        <f t="shared" ca="1" si="0"/>
        <v>Limpieza realizada</v>
      </c>
    </row>
    <row r="206" spans="1:10">
      <c r="A206" s="65"/>
      <c r="B206" s="5" t="str">
        <f ca="1">IFERROR(__xludf.DUMMYFUNCTION("""COMPUTED_VALUE"""),"LLAVE MIXTA RACHE 13 MM")</f>
        <v>LLAVE MIXTA RACHE 13 MM</v>
      </c>
      <c r="C206" s="5" t="str">
        <f ca="1">IFERROR(__xludf.DUMMYFUNCTION("""COMPUTED_VALUE"""),"VERDE")</f>
        <v>VERDE</v>
      </c>
      <c r="D206" s="5" t="str">
        <f ca="1">IFERROR(__xludf.DUMMYFUNCTION("""COMPUTED_VALUE"""),"COP")</f>
        <v>COP</v>
      </c>
      <c r="E206" s="5" t="str">
        <f ca="1">IFERROR(__xludf.DUMMYFUNCTION("""COMPUTED_VALUE"""),"DSD")</f>
        <v>DSD</v>
      </c>
      <c r="F206" s="5" t="b">
        <f ca="1">IFERROR(__xludf.DUMMYFUNCTION("""COMPUTED_VALUE"""),TRUE)</f>
        <v>1</v>
      </c>
      <c r="G206" s="5" t="str">
        <f ca="1">IFERROR(__xludf.DUMMYFUNCTION("""COMPUTED_VALUE"""),"CARLOS A MARTINEZ")</f>
        <v>CARLOS A MARTINEZ</v>
      </c>
      <c r="H206" s="5"/>
      <c r="I206" s="5"/>
      <c r="J206" s="5" t="str">
        <f t="shared" ca="1" si="0"/>
        <v>Limpieza realizada</v>
      </c>
    </row>
    <row r="207" spans="1:10">
      <c r="A207" s="65"/>
      <c r="B207" s="5" t="str">
        <f ca="1">IFERROR(__xludf.DUMMYFUNCTION("""COMPUTED_VALUE"""),"LLAVE MIXTA RACHE 17 MM")</f>
        <v>LLAVE MIXTA RACHE 17 MM</v>
      </c>
      <c r="C207" s="5" t="str">
        <f ca="1">IFERROR(__xludf.DUMMYFUNCTION("""COMPUTED_VALUE"""),"VERDE")</f>
        <v>VERDE</v>
      </c>
      <c r="D207" s="5" t="str">
        <f ca="1">IFERROR(__xludf.DUMMYFUNCTION("""COMPUTED_VALUE"""),"COP")</f>
        <v>COP</v>
      </c>
      <c r="E207" s="5" t="str">
        <f ca="1">IFERROR(__xludf.DUMMYFUNCTION("""COMPUTED_VALUE"""),"DSD")</f>
        <v>DSD</v>
      </c>
      <c r="F207" s="5" t="b">
        <f ca="1">IFERROR(__xludf.DUMMYFUNCTION("""COMPUTED_VALUE"""),TRUE)</f>
        <v>1</v>
      </c>
      <c r="G207" s="5" t="str">
        <f ca="1">IFERROR(__xludf.DUMMYFUNCTION("""COMPUTED_VALUE"""),"CARLOS A MARTINEZ")</f>
        <v>CARLOS A MARTINEZ</v>
      </c>
      <c r="H207" s="5"/>
      <c r="I207" s="5"/>
      <c r="J207" s="5" t="str">
        <f t="shared" ca="1" si="0"/>
        <v>Limpieza realizada</v>
      </c>
    </row>
    <row r="208" spans="1:10">
      <c r="A208" s="65"/>
      <c r="B208" s="5" t="str">
        <f ca="1">IFERROR(__xludf.DUMMYFUNCTION("""COMPUTED_VALUE"""),"LLAVE MIXTA RACHE 8 MM")</f>
        <v>LLAVE MIXTA RACHE 8 MM</v>
      </c>
      <c r="C208" s="5" t="str">
        <f ca="1">IFERROR(__xludf.DUMMYFUNCTION("""COMPUTED_VALUE"""),"VERDE")</f>
        <v>VERDE</v>
      </c>
      <c r="D208" s="5" t="str">
        <f ca="1">IFERROR(__xludf.DUMMYFUNCTION("""COMPUTED_VALUE"""),"COP")</f>
        <v>COP</v>
      </c>
      <c r="E208" s="5" t="str">
        <f ca="1">IFERROR(__xludf.DUMMYFUNCTION("""COMPUTED_VALUE"""),"DSD")</f>
        <v>DSD</v>
      </c>
      <c r="F208" s="5" t="b">
        <f ca="1">IFERROR(__xludf.DUMMYFUNCTION("""COMPUTED_VALUE"""),TRUE)</f>
        <v>1</v>
      </c>
      <c r="G208" s="5" t="str">
        <f ca="1">IFERROR(__xludf.DUMMYFUNCTION("""COMPUTED_VALUE"""),"CARLOS A MARTINEZ")</f>
        <v>CARLOS A MARTINEZ</v>
      </c>
      <c r="H208" s="5"/>
      <c r="I208" s="5"/>
      <c r="J208" s="5" t="str">
        <f t="shared" ca="1" si="0"/>
        <v>Limpieza realizada</v>
      </c>
    </row>
    <row r="209" spans="1:10">
      <c r="A209" s="65"/>
      <c r="B209" s="5" t="str">
        <f ca="1">IFERROR(__xludf.DUMMYFUNCTION("""COMPUTED_VALUE"""),"PINZAS PARA PINES PROTO")</f>
        <v>PINZAS PARA PINES PROTO</v>
      </c>
      <c r="C209" s="5" t="str">
        <f ca="1">IFERROR(__xludf.DUMMYFUNCTION("""COMPUTED_VALUE"""),"VERDE")</f>
        <v>VERDE</v>
      </c>
      <c r="D209" s="5" t="str">
        <f ca="1">IFERROR(__xludf.DUMMYFUNCTION("""COMPUTED_VALUE"""),"COP")</f>
        <v>COP</v>
      </c>
      <c r="E209" s="5" t="str">
        <f ca="1">IFERROR(__xludf.DUMMYFUNCTION("""COMPUTED_VALUE"""),"DSD")</f>
        <v>DSD</v>
      </c>
      <c r="F209" s="5" t="b">
        <f ca="1">IFERROR(__xludf.DUMMYFUNCTION("""COMPUTED_VALUE"""),TRUE)</f>
        <v>1</v>
      </c>
      <c r="G209" s="5" t="str">
        <f ca="1">IFERROR(__xludf.DUMMYFUNCTION("""COMPUTED_VALUE"""),"CARLOS A MARTINEZ")</f>
        <v>CARLOS A MARTINEZ</v>
      </c>
      <c r="H209" s="5"/>
      <c r="I209" s="5"/>
      <c r="J209" s="5" t="str">
        <f t="shared" ca="1" si="0"/>
        <v>Limpieza realizada</v>
      </c>
    </row>
    <row r="210" spans="1:10">
      <c r="A210" s="65"/>
      <c r="B210" s="5" t="str">
        <f ca="1">IFERROR(__xludf.DUMMYFUNCTION("""COMPUTED_VALUE"""),"LIMAS CUCHILLA 6""")</f>
        <v>LIMAS CUCHILLA 6"</v>
      </c>
      <c r="C210" s="5" t="str">
        <f ca="1">IFERROR(__xludf.DUMMYFUNCTION("""COMPUTED_VALUE"""),"VERDE")</f>
        <v>VERDE</v>
      </c>
      <c r="D210" s="5" t="str">
        <f ca="1">IFERROR(__xludf.DUMMYFUNCTION("""COMPUTED_VALUE"""),"COP")</f>
        <v>COP</v>
      </c>
      <c r="E210" s="5" t="str">
        <f ca="1">IFERROR(__xludf.DUMMYFUNCTION("""COMPUTED_VALUE"""),"DSD")</f>
        <v>DSD</v>
      </c>
      <c r="F210" s="5" t="b">
        <f ca="1">IFERROR(__xludf.DUMMYFUNCTION("""COMPUTED_VALUE"""),TRUE)</f>
        <v>1</v>
      </c>
      <c r="G210" s="5" t="str">
        <f ca="1">IFERROR(__xludf.DUMMYFUNCTION("""COMPUTED_VALUE"""),"CARLOS A MARTINEZ")</f>
        <v>CARLOS A MARTINEZ</v>
      </c>
      <c r="H210" s="5"/>
      <c r="I210" s="5"/>
      <c r="J210" s="5" t="str">
        <f t="shared" ca="1" si="0"/>
        <v>Limpieza realizada</v>
      </c>
    </row>
    <row r="211" spans="1:10">
      <c r="A211" s="65">
        <f ca="1">IFERROR(__xludf.DUMMYFUNCTION("""COMPUTED_VALUE"""),45349)</f>
        <v>45349</v>
      </c>
      <c r="B211" s="5" t="str">
        <f ca="1">IFERROR(__xludf.DUMMYFUNCTION("""COMPUTED_VALUE"""),"ALICATE DE PRESION HOMBRE SOLO DE 8""")</f>
        <v>ALICATE DE PRESION HOMBRE SOLO DE 8"</v>
      </c>
      <c r="C211" s="5" t="str">
        <f ca="1">IFERROR(__xludf.DUMMYFUNCTION("""COMPUTED_VALUE"""),"VERDE")</f>
        <v>VERDE</v>
      </c>
      <c r="D211" s="5" t="str">
        <f ca="1">IFERROR(__xludf.DUMMYFUNCTION("""COMPUTED_VALUE"""),"COP")</f>
        <v>COP</v>
      </c>
      <c r="E211" s="5" t="str">
        <f ca="1">IFERROR(__xludf.DUMMYFUNCTION("""COMPUTED_VALUE"""),"DSD")</f>
        <v>DSD</v>
      </c>
      <c r="F211" s="5" t="b">
        <f ca="1">IFERROR(__xludf.DUMMYFUNCTION("""COMPUTED_VALUE"""),TRUE)</f>
        <v>1</v>
      </c>
      <c r="G211" s="5" t="str">
        <f ca="1">IFERROR(__xludf.DUMMYFUNCTION("""COMPUTED_VALUE"""),"MARIO ALBERTO MARTINEZ")</f>
        <v>MARIO ALBERTO MARTINEZ</v>
      </c>
      <c r="H211" s="5"/>
      <c r="I211" s="5"/>
      <c r="J211" s="5" t="str">
        <f t="shared" ca="1" si="0"/>
        <v>Limpieza realizada</v>
      </c>
    </row>
    <row r="212" spans="1:10">
      <c r="A212" s="65"/>
      <c r="B212" s="5" t="str">
        <f ca="1">IFERROR(__xludf.DUMMYFUNCTION("""COMPUTED_VALUE"""),"JUEGO LLAVES BRISTOL 1,5 - 10 MM")</f>
        <v>JUEGO LLAVES BRISTOL 1,5 - 10 MM</v>
      </c>
      <c r="C212" s="5" t="str">
        <f ca="1">IFERROR(__xludf.DUMMYFUNCTION("""COMPUTED_VALUE"""),"VERDE")</f>
        <v>VERDE</v>
      </c>
      <c r="D212" s="5" t="str">
        <f ca="1">IFERROR(__xludf.DUMMYFUNCTION("""COMPUTED_VALUE"""),"COP")</f>
        <v>COP</v>
      </c>
      <c r="E212" s="5" t="str">
        <f ca="1">IFERROR(__xludf.DUMMYFUNCTION("""COMPUTED_VALUE"""),"DSD")</f>
        <v>DSD</v>
      </c>
      <c r="F212" s="5" t="b">
        <f ca="1">IFERROR(__xludf.DUMMYFUNCTION("""COMPUTED_VALUE"""),TRUE)</f>
        <v>1</v>
      </c>
      <c r="G212" s="5" t="str">
        <f ca="1">IFERROR(__xludf.DUMMYFUNCTION("""COMPUTED_VALUE"""),"MARIO ALBERTO MARTINEZ")</f>
        <v>MARIO ALBERTO MARTINEZ</v>
      </c>
      <c r="H212" s="5"/>
      <c r="I212" s="5"/>
      <c r="J212" s="5" t="str">
        <f t="shared" ca="1" si="0"/>
        <v>Limpieza realizada</v>
      </c>
    </row>
    <row r="213" spans="1:10">
      <c r="A213" s="65"/>
      <c r="B213" s="5" t="str">
        <f ca="1">IFERROR(__xludf.DUMMYFUNCTION("""COMPUTED_VALUE"""),"NIVEL 6""")</f>
        <v>NIVEL 6"</v>
      </c>
      <c r="C213" s="5" t="str">
        <f ca="1">IFERROR(__xludf.DUMMYFUNCTION("""COMPUTED_VALUE"""),"VERDE")</f>
        <v>VERDE</v>
      </c>
      <c r="D213" s="5" t="str">
        <f ca="1">IFERROR(__xludf.DUMMYFUNCTION("""COMPUTED_VALUE"""),"COP")</f>
        <v>COP</v>
      </c>
      <c r="E213" s="5" t="str">
        <f ca="1">IFERROR(__xludf.DUMMYFUNCTION("""COMPUTED_VALUE"""),"DSD")</f>
        <v>DSD</v>
      </c>
      <c r="F213" s="5" t="b">
        <f ca="1">IFERROR(__xludf.DUMMYFUNCTION("""COMPUTED_VALUE"""),TRUE)</f>
        <v>1</v>
      </c>
      <c r="G213" s="5" t="str">
        <f ca="1">IFERROR(__xludf.DUMMYFUNCTION("""COMPUTED_VALUE"""),"MARIO ALBERTO MARTINEZ")</f>
        <v>MARIO ALBERTO MARTINEZ</v>
      </c>
      <c r="H213" s="5"/>
      <c r="I213" s="5"/>
      <c r="J213" s="5" t="str">
        <f t="shared" ca="1" si="0"/>
        <v>Limpieza realizada</v>
      </c>
    </row>
    <row r="214" spans="1:10">
      <c r="A214" s="65"/>
      <c r="B214" s="5" t="str">
        <f ca="1">IFERROR(__xludf.DUMMYFUNCTION("""COMPUTED_VALUE"""),"ALICATE AISLADO DE 8""")</f>
        <v>ALICATE AISLADO DE 8"</v>
      </c>
      <c r="C214" s="5" t="str">
        <f ca="1">IFERROR(__xludf.DUMMYFUNCTION("""COMPUTED_VALUE"""),"VERDE")</f>
        <v>VERDE</v>
      </c>
      <c r="D214" s="5" t="str">
        <f ca="1">IFERROR(__xludf.DUMMYFUNCTION("""COMPUTED_VALUE"""),"COP")</f>
        <v>COP</v>
      </c>
      <c r="E214" s="5" t="str">
        <f ca="1">IFERROR(__xludf.DUMMYFUNCTION("""COMPUTED_VALUE"""),"DSD")</f>
        <v>DSD</v>
      </c>
      <c r="F214" s="5" t="b">
        <f ca="1">IFERROR(__xludf.DUMMYFUNCTION("""COMPUTED_VALUE"""),TRUE)</f>
        <v>1</v>
      </c>
      <c r="G214" s="5" t="str">
        <f ca="1">IFERROR(__xludf.DUMMYFUNCTION("""COMPUTED_VALUE"""),"MARIO ALBERTO MARTINEZ")</f>
        <v>MARIO ALBERTO MARTINEZ</v>
      </c>
      <c r="H214" s="5"/>
      <c r="I214" s="5"/>
      <c r="J214" s="5" t="str">
        <f t="shared" ca="1" si="0"/>
        <v>Limpieza realizada</v>
      </c>
    </row>
    <row r="215" spans="1:10">
      <c r="A215" s="65"/>
      <c r="B215" s="5" t="str">
        <f ca="1">IFERROR(__xludf.DUMMYFUNCTION("""COMPUTED_VALUE"""),"DESTORNILLADOR DE PALA 1/8"" X 3""")</f>
        <v>DESTORNILLADOR DE PALA 1/8" X 3"</v>
      </c>
      <c r="C215" s="5" t="str">
        <f ca="1">IFERROR(__xludf.DUMMYFUNCTION("""COMPUTED_VALUE"""),"VERDE")</f>
        <v>VERDE</v>
      </c>
      <c r="D215" s="5" t="str">
        <f ca="1">IFERROR(__xludf.DUMMYFUNCTION("""COMPUTED_VALUE"""),"COP")</f>
        <v>COP</v>
      </c>
      <c r="E215" s="5" t="str">
        <f ca="1">IFERROR(__xludf.DUMMYFUNCTION("""COMPUTED_VALUE"""),"DSD")</f>
        <v>DSD</v>
      </c>
      <c r="F215" s="5" t="b">
        <f ca="1">IFERROR(__xludf.DUMMYFUNCTION("""COMPUTED_VALUE"""),TRUE)</f>
        <v>1</v>
      </c>
      <c r="G215" s="5" t="str">
        <f ca="1">IFERROR(__xludf.DUMMYFUNCTION("""COMPUTED_VALUE"""),"MARIO ALBERTO MARTINEZ")</f>
        <v>MARIO ALBERTO MARTINEZ</v>
      </c>
      <c r="H215" s="5"/>
      <c r="I215" s="5"/>
      <c r="J215" s="5" t="str">
        <f t="shared" ca="1" si="0"/>
        <v>Limpieza realizada</v>
      </c>
    </row>
    <row r="216" spans="1:10">
      <c r="A216" s="65"/>
      <c r="B216" s="5" t="str">
        <f ca="1">IFERROR(__xludf.DUMMYFUNCTION("""COMPUTED_VALUE"""),"FLEXOMETRO 5 MTS")</f>
        <v>FLEXOMETRO 5 MTS</v>
      </c>
      <c r="C216" s="5" t="str">
        <f ca="1">IFERROR(__xludf.DUMMYFUNCTION("""COMPUTED_VALUE"""),"VERDE")</f>
        <v>VERDE</v>
      </c>
      <c r="D216" s="5" t="str">
        <f ca="1">IFERROR(__xludf.DUMMYFUNCTION("""COMPUTED_VALUE"""),"COP")</f>
        <v>COP</v>
      </c>
      <c r="E216" s="5" t="str">
        <f ca="1">IFERROR(__xludf.DUMMYFUNCTION("""COMPUTED_VALUE"""),"DSD")</f>
        <v>DSD</v>
      </c>
      <c r="F216" s="5" t="b">
        <f ca="1">IFERROR(__xludf.DUMMYFUNCTION("""COMPUTED_VALUE"""),TRUE)</f>
        <v>1</v>
      </c>
      <c r="G216" s="5" t="str">
        <f ca="1">IFERROR(__xludf.DUMMYFUNCTION("""COMPUTED_VALUE"""),"MARIO ALBERTO MARTINEZ")</f>
        <v>MARIO ALBERTO MARTINEZ</v>
      </c>
      <c r="H216" s="5"/>
      <c r="I216" s="5"/>
      <c r="J216" s="5" t="str">
        <f t="shared" ca="1" si="0"/>
        <v>Limpieza realizada</v>
      </c>
    </row>
    <row r="217" spans="1:10">
      <c r="A217" s="65"/>
      <c r="B217" s="5" t="str">
        <f ca="1">IFERROR(__xludf.DUMMYFUNCTION("""COMPUTED_VALUE"""),"DESTORNILLADOR DE PALA 1/4"" X 5""")</f>
        <v>DESTORNILLADOR DE PALA 1/4" X 5"</v>
      </c>
      <c r="C217" s="5" t="str">
        <f ca="1">IFERROR(__xludf.DUMMYFUNCTION("""COMPUTED_VALUE"""),"VERDE")</f>
        <v>VERDE</v>
      </c>
      <c r="D217" s="5" t="str">
        <f ca="1">IFERROR(__xludf.DUMMYFUNCTION("""COMPUTED_VALUE"""),"COP")</f>
        <v>COP</v>
      </c>
      <c r="E217" s="5" t="str">
        <f ca="1">IFERROR(__xludf.DUMMYFUNCTION("""COMPUTED_VALUE"""),"DSD")</f>
        <v>DSD</v>
      </c>
      <c r="F217" s="5" t="b">
        <f ca="1">IFERROR(__xludf.DUMMYFUNCTION("""COMPUTED_VALUE"""),TRUE)</f>
        <v>1</v>
      </c>
      <c r="G217" s="5" t="str">
        <f ca="1">IFERROR(__xludf.DUMMYFUNCTION("""COMPUTED_VALUE"""),"MARIO ALBERTO MARTINEZ")</f>
        <v>MARIO ALBERTO MARTINEZ</v>
      </c>
      <c r="H217" s="5"/>
      <c r="I217" s="5"/>
      <c r="J217" s="5" t="str">
        <f t="shared" ca="1" si="0"/>
        <v>Limpieza realizada</v>
      </c>
    </row>
    <row r="218" spans="1:10">
      <c r="A218" s="65"/>
      <c r="B218" s="5" t="str">
        <f ca="1">IFERROR(__xludf.DUMMYFUNCTION("""COMPUTED_VALUE"""),"DESTORNILLADOR DE ESTRELLA 1/4"" X 5""")</f>
        <v>DESTORNILLADOR DE ESTRELLA 1/4" X 5"</v>
      </c>
      <c r="C218" s="5" t="str">
        <f ca="1">IFERROR(__xludf.DUMMYFUNCTION("""COMPUTED_VALUE"""),"VERDE")</f>
        <v>VERDE</v>
      </c>
      <c r="D218" s="5" t="str">
        <f ca="1">IFERROR(__xludf.DUMMYFUNCTION("""COMPUTED_VALUE"""),"COP")</f>
        <v>COP</v>
      </c>
      <c r="E218" s="5" t="str">
        <f ca="1">IFERROR(__xludf.DUMMYFUNCTION("""COMPUTED_VALUE"""),"DSD")</f>
        <v>DSD</v>
      </c>
      <c r="F218" s="5" t="b">
        <f ca="1">IFERROR(__xludf.DUMMYFUNCTION("""COMPUTED_VALUE"""),TRUE)</f>
        <v>1</v>
      </c>
      <c r="G218" s="5" t="str">
        <f ca="1">IFERROR(__xludf.DUMMYFUNCTION("""COMPUTED_VALUE"""),"MARIO ALBERTO MARTINEZ")</f>
        <v>MARIO ALBERTO MARTINEZ</v>
      </c>
      <c r="H218" s="5"/>
      <c r="I218" s="5"/>
      <c r="J218" s="5" t="str">
        <f t="shared" ca="1" si="0"/>
        <v>Limpieza realizada</v>
      </c>
    </row>
    <row r="219" spans="1:10">
      <c r="A219" s="65"/>
      <c r="B219" s="5" t="str">
        <f ca="1">IFERROR(__xludf.DUMMYFUNCTION("""COMPUTED_VALUE"""),"ALICATE CORTAFRIO 7""")</f>
        <v>ALICATE CORTAFRIO 7"</v>
      </c>
      <c r="C219" s="5" t="str">
        <f ca="1">IFERROR(__xludf.DUMMYFUNCTION("""COMPUTED_VALUE"""),"VERDE")</f>
        <v>VERDE</v>
      </c>
      <c r="D219" s="5" t="str">
        <f ca="1">IFERROR(__xludf.DUMMYFUNCTION("""COMPUTED_VALUE"""),"COP")</f>
        <v>COP</v>
      </c>
      <c r="E219" s="5" t="str">
        <f ca="1">IFERROR(__xludf.DUMMYFUNCTION("""COMPUTED_VALUE"""),"DSD")</f>
        <v>DSD</v>
      </c>
      <c r="F219" s="5" t="b">
        <f ca="1">IFERROR(__xludf.DUMMYFUNCTION("""COMPUTED_VALUE"""),TRUE)</f>
        <v>1</v>
      </c>
      <c r="G219" s="5" t="str">
        <f ca="1">IFERROR(__xludf.DUMMYFUNCTION("""COMPUTED_VALUE"""),"MARIO ALBERTO MARTINEZ")</f>
        <v>MARIO ALBERTO MARTINEZ</v>
      </c>
      <c r="H219" s="5"/>
      <c r="I219" s="5"/>
      <c r="J219" s="5" t="str">
        <f t="shared" ca="1" si="0"/>
        <v>Limpieza realizada</v>
      </c>
    </row>
    <row r="220" spans="1:10">
      <c r="A220" s="65"/>
      <c r="B220" s="5" t="str">
        <f ca="1">IFERROR(__xludf.DUMMYFUNCTION("""COMPUTED_VALUE"""),"ALICATE PUNTA LARGA STANLEY REF. 84-101")</f>
        <v>ALICATE PUNTA LARGA STANLEY REF. 84-101</v>
      </c>
      <c r="C220" s="5" t="str">
        <f ca="1">IFERROR(__xludf.DUMMYFUNCTION("""COMPUTED_VALUE"""),"VERDE")</f>
        <v>VERDE</v>
      </c>
      <c r="D220" s="5" t="str">
        <f ca="1">IFERROR(__xludf.DUMMYFUNCTION("""COMPUTED_VALUE"""),"COP")</f>
        <v>COP</v>
      </c>
      <c r="E220" s="5" t="str">
        <f ca="1">IFERROR(__xludf.DUMMYFUNCTION("""COMPUTED_VALUE"""),"DSD")</f>
        <v>DSD</v>
      </c>
      <c r="F220" s="5" t="b">
        <f ca="1">IFERROR(__xludf.DUMMYFUNCTION("""COMPUTED_VALUE"""),TRUE)</f>
        <v>1</v>
      </c>
      <c r="G220" s="5" t="str">
        <f ca="1">IFERROR(__xludf.DUMMYFUNCTION("""COMPUTED_VALUE"""),"MARIO ALBERTO MARTINEZ")</f>
        <v>MARIO ALBERTO MARTINEZ</v>
      </c>
      <c r="H220" s="5"/>
      <c r="I220" s="5"/>
      <c r="J220" s="5" t="str">
        <f t="shared" ca="1" si="0"/>
        <v>Limpieza realizada</v>
      </c>
    </row>
    <row r="221" spans="1:10">
      <c r="A221" s="65"/>
      <c r="B221" s="5" t="str">
        <f ca="1">IFERROR(__xludf.DUMMYFUNCTION("""COMPUTED_VALUE"""),"MARTILLO DE BOLA DE 1 LIBRA")</f>
        <v>MARTILLO DE BOLA DE 1 LIBRA</v>
      </c>
      <c r="C221" s="5" t="str">
        <f ca="1">IFERROR(__xludf.DUMMYFUNCTION("""COMPUTED_VALUE"""),"VERDE")</f>
        <v>VERDE</v>
      </c>
      <c r="D221" s="5" t="str">
        <f ca="1">IFERROR(__xludf.DUMMYFUNCTION("""COMPUTED_VALUE"""),"COP")</f>
        <v>COP</v>
      </c>
      <c r="E221" s="5" t="str">
        <f ca="1">IFERROR(__xludf.DUMMYFUNCTION("""COMPUTED_VALUE"""),"DSD")</f>
        <v>DSD</v>
      </c>
      <c r="F221" s="5" t="b">
        <f ca="1">IFERROR(__xludf.DUMMYFUNCTION("""COMPUTED_VALUE"""),TRUE)</f>
        <v>1</v>
      </c>
      <c r="G221" s="5" t="str">
        <f ca="1">IFERROR(__xludf.DUMMYFUNCTION("""COMPUTED_VALUE"""),"MARIO ALBERTO MARTINEZ")</f>
        <v>MARIO ALBERTO MARTINEZ</v>
      </c>
      <c r="H221" s="5"/>
      <c r="I221" s="5"/>
      <c r="J221" s="5" t="str">
        <f t="shared" ca="1" si="0"/>
        <v>Limpieza realizada</v>
      </c>
    </row>
    <row r="222" spans="1:10">
      <c r="A222" s="65"/>
      <c r="B222" s="5" t="str">
        <f ca="1">IFERROR(__xludf.DUMMYFUNCTION("""COMPUTED_VALUE"""),"DESTORNILLADOR DE ESTRIA 1/8""""*3""""""")</f>
        <v>DESTORNILLADOR DE ESTRIA 1/8""*3"""</v>
      </c>
      <c r="C222" s="5" t="str">
        <f ca="1">IFERROR(__xludf.DUMMYFUNCTION("""COMPUTED_VALUE"""),"VERDE")</f>
        <v>VERDE</v>
      </c>
      <c r="D222" s="5" t="str">
        <f ca="1">IFERROR(__xludf.DUMMYFUNCTION("""COMPUTED_VALUE"""),"COP")</f>
        <v>COP</v>
      </c>
      <c r="E222" s="5" t="str">
        <f ca="1">IFERROR(__xludf.DUMMYFUNCTION("""COMPUTED_VALUE"""),"DSD")</f>
        <v>DSD</v>
      </c>
      <c r="F222" s="5" t="b">
        <f ca="1">IFERROR(__xludf.DUMMYFUNCTION("""COMPUTED_VALUE"""),TRUE)</f>
        <v>1</v>
      </c>
      <c r="G222" s="5" t="str">
        <f ca="1">IFERROR(__xludf.DUMMYFUNCTION("""COMPUTED_VALUE"""),"MARIO ALBERTO MARTINEZ")</f>
        <v>MARIO ALBERTO MARTINEZ</v>
      </c>
      <c r="H222" s="5"/>
      <c r="I222" s="5"/>
      <c r="J222" s="5" t="str">
        <f t="shared" ca="1" si="0"/>
        <v>Limpieza realizada</v>
      </c>
    </row>
    <row r="223" spans="1:10">
      <c r="A223" s="65"/>
      <c r="B223" s="5" t="str">
        <f ca="1">IFERROR(__xludf.DUMMYFUNCTION("""COMPUTED_VALUE"""),"JGO COPAS MIL CUADRAN 3/8 STANLEY 86-209")</f>
        <v>JGO COPAS MIL CUADRAN 3/8 STANLEY 86-209</v>
      </c>
      <c r="C223" s="5" t="str">
        <f ca="1">IFERROR(__xludf.DUMMYFUNCTION("""COMPUTED_VALUE"""),"VERDE")</f>
        <v>VERDE</v>
      </c>
      <c r="D223" s="5" t="str">
        <f ca="1">IFERROR(__xludf.DUMMYFUNCTION("""COMPUTED_VALUE"""),"COP")</f>
        <v>COP</v>
      </c>
      <c r="E223" s="5" t="str">
        <f ca="1">IFERROR(__xludf.DUMMYFUNCTION("""COMPUTED_VALUE"""),"DSD")</f>
        <v>DSD</v>
      </c>
      <c r="F223" s="5" t="b">
        <f ca="1">IFERROR(__xludf.DUMMYFUNCTION("""COMPUTED_VALUE"""),TRUE)</f>
        <v>1</v>
      </c>
      <c r="G223" s="5" t="str">
        <f ca="1">IFERROR(__xludf.DUMMYFUNCTION("""COMPUTED_VALUE"""),"MARIO ALBERTO MARTINEZ")</f>
        <v>MARIO ALBERTO MARTINEZ</v>
      </c>
      <c r="H223" s="5"/>
      <c r="I223" s="5"/>
      <c r="J223" s="5" t="str">
        <f t="shared" ca="1" si="0"/>
        <v>Limpieza realizada</v>
      </c>
    </row>
    <row r="224" spans="1:10">
      <c r="A224" s="65"/>
      <c r="B224" s="5" t="str">
        <f ca="1">IFERROR(__xludf.DUMMYFUNCTION("""COMPUTED_VALUE"""),"JUEGO LLAVES COMBINADAS (MIXTAS) 6-22 MM")</f>
        <v>JUEGO LLAVES COMBINADAS (MIXTAS) 6-22 MM</v>
      </c>
      <c r="C224" s="5" t="str">
        <f ca="1">IFERROR(__xludf.DUMMYFUNCTION("""COMPUTED_VALUE"""),"VERDE")</f>
        <v>VERDE</v>
      </c>
      <c r="D224" s="5" t="str">
        <f ca="1">IFERROR(__xludf.DUMMYFUNCTION("""COMPUTED_VALUE"""),"COP")</f>
        <v>COP</v>
      </c>
      <c r="E224" s="5" t="str">
        <f ca="1">IFERROR(__xludf.DUMMYFUNCTION("""COMPUTED_VALUE"""),"DSD")</f>
        <v>DSD</v>
      </c>
      <c r="F224" s="5" t="b">
        <f ca="1">IFERROR(__xludf.DUMMYFUNCTION("""COMPUTED_VALUE"""),TRUE)</f>
        <v>1</v>
      </c>
      <c r="G224" s="5" t="str">
        <f ca="1">IFERROR(__xludf.DUMMYFUNCTION("""COMPUTED_VALUE"""),"MARIO ALBERTO MARTINEZ")</f>
        <v>MARIO ALBERTO MARTINEZ</v>
      </c>
      <c r="H224" s="5"/>
      <c r="I224" s="5"/>
      <c r="J224" s="5" t="str">
        <f t="shared" ca="1" si="0"/>
        <v>Limpieza realizada</v>
      </c>
    </row>
    <row r="225" spans="1:10">
      <c r="A225" s="65"/>
      <c r="B225" s="5" t="str">
        <f ca="1">IFERROR(__xludf.DUMMYFUNCTION("""COMPUTED_VALUE"""),"ALICATE PUNTA CURVA EXTER 84-272 STANLEY")</f>
        <v>ALICATE PUNTA CURVA EXTER 84-272 STANLEY</v>
      </c>
      <c r="C225" s="5" t="str">
        <f ca="1">IFERROR(__xludf.DUMMYFUNCTION("""COMPUTED_VALUE"""),"VERDE")</f>
        <v>VERDE</v>
      </c>
      <c r="D225" s="5" t="str">
        <f ca="1">IFERROR(__xludf.DUMMYFUNCTION("""COMPUTED_VALUE"""),"COP")</f>
        <v>COP</v>
      </c>
      <c r="E225" s="5" t="str">
        <f ca="1">IFERROR(__xludf.DUMMYFUNCTION("""COMPUTED_VALUE"""),"DSD")</f>
        <v>DSD</v>
      </c>
      <c r="F225" s="5" t="b">
        <f ca="1">IFERROR(__xludf.DUMMYFUNCTION("""COMPUTED_VALUE"""),TRUE)</f>
        <v>1</v>
      </c>
      <c r="G225" s="5" t="str">
        <f ca="1">IFERROR(__xludf.DUMMYFUNCTION("""COMPUTED_VALUE"""),"MARIO ALBERTO MARTINEZ")</f>
        <v>MARIO ALBERTO MARTINEZ</v>
      </c>
      <c r="H225" s="5"/>
      <c r="I225" s="5"/>
      <c r="J225" s="5" t="str">
        <f t="shared" ca="1" si="0"/>
        <v>Limpieza realizada</v>
      </c>
    </row>
    <row r="226" spans="1:10">
      <c r="A226" s="65"/>
      <c r="B226" s="5" t="str">
        <f ca="1">IFERROR(__xludf.DUMMYFUNCTION("""COMPUTED_VALUE"""),"ALICATE PUNTA CURVA INTER 84-274 STANLEY")</f>
        <v>ALICATE PUNTA CURVA INTER 84-274 STANLEY</v>
      </c>
      <c r="C226" s="5" t="str">
        <f ca="1">IFERROR(__xludf.DUMMYFUNCTION("""COMPUTED_VALUE"""),"VERDE")</f>
        <v>VERDE</v>
      </c>
      <c r="D226" s="5" t="str">
        <f ca="1">IFERROR(__xludf.DUMMYFUNCTION("""COMPUTED_VALUE"""),"COP")</f>
        <v>COP</v>
      </c>
      <c r="E226" s="5" t="str">
        <f ca="1">IFERROR(__xludf.DUMMYFUNCTION("""COMPUTED_VALUE"""),"DSD")</f>
        <v>DSD</v>
      </c>
      <c r="F226" s="5" t="b">
        <f ca="1">IFERROR(__xludf.DUMMYFUNCTION("""COMPUTED_VALUE"""),TRUE)</f>
        <v>1</v>
      </c>
      <c r="G226" s="5" t="str">
        <f ca="1">IFERROR(__xludf.DUMMYFUNCTION("""COMPUTED_VALUE"""),"MARIO ALBERTO MARTINEZ")</f>
        <v>MARIO ALBERTO MARTINEZ</v>
      </c>
      <c r="H226" s="5"/>
      <c r="I226" s="5"/>
      <c r="J226" s="5" t="str">
        <f t="shared" ca="1" si="0"/>
        <v>Limpieza realizada</v>
      </c>
    </row>
    <row r="227" spans="1:10">
      <c r="A227" s="65"/>
      <c r="B227" s="5" t="str">
        <f ca="1">IFERROR(__xludf.DUMMYFUNCTION("""COMPUTED_VALUE"""),"JUEGO DE CINCELES Y BOTADORES 12P 16-299")</f>
        <v>JUEGO DE CINCELES Y BOTADORES 12P 16-299</v>
      </c>
      <c r="C227" s="5" t="str">
        <f ca="1">IFERROR(__xludf.DUMMYFUNCTION("""COMPUTED_VALUE"""),"VERDE")</f>
        <v>VERDE</v>
      </c>
      <c r="D227" s="5" t="str">
        <f ca="1">IFERROR(__xludf.DUMMYFUNCTION("""COMPUTED_VALUE"""),"COP")</f>
        <v>COP</v>
      </c>
      <c r="E227" s="5" t="str">
        <f ca="1">IFERROR(__xludf.DUMMYFUNCTION("""COMPUTED_VALUE"""),"DSD")</f>
        <v>DSD</v>
      </c>
      <c r="F227" s="5" t="b">
        <f ca="1">IFERROR(__xludf.DUMMYFUNCTION("""COMPUTED_VALUE"""),TRUE)</f>
        <v>1</v>
      </c>
      <c r="G227" s="5" t="str">
        <f ca="1">IFERROR(__xludf.DUMMYFUNCTION("""COMPUTED_VALUE"""),"MARIO ALBERTO MARTINEZ")</f>
        <v>MARIO ALBERTO MARTINEZ</v>
      </c>
      <c r="H227" s="5"/>
      <c r="I227" s="5"/>
      <c r="J227" s="5" t="str">
        <f t="shared" ca="1" si="0"/>
        <v>Limpieza realizada</v>
      </c>
    </row>
    <row r="228" spans="1:10">
      <c r="A228" s="65"/>
      <c r="B228" s="5" t="str">
        <f ca="1">IFERROR(__xludf.DUMMYFUNCTION("""COMPUTED_VALUE"""),"PINZA AMPERIMETRICA FLUKE 376")</f>
        <v>PINZA AMPERIMETRICA FLUKE 376</v>
      </c>
      <c r="C228" s="5" t="str">
        <f ca="1">IFERROR(__xludf.DUMMYFUNCTION("""COMPUTED_VALUE"""),"VERDE")</f>
        <v>VERDE</v>
      </c>
      <c r="D228" s="5" t="str">
        <f ca="1">IFERROR(__xludf.DUMMYFUNCTION("""COMPUTED_VALUE"""),"COP")</f>
        <v>COP</v>
      </c>
      <c r="E228" s="5" t="str">
        <f ca="1">IFERROR(__xludf.DUMMYFUNCTION("""COMPUTED_VALUE"""),"DSD")</f>
        <v>DSD</v>
      </c>
      <c r="F228" s="5" t="b">
        <f ca="1">IFERROR(__xludf.DUMMYFUNCTION("""COMPUTED_VALUE"""),TRUE)</f>
        <v>1</v>
      </c>
      <c r="G228" s="5" t="str">
        <f ca="1">IFERROR(__xludf.DUMMYFUNCTION("""COMPUTED_VALUE"""),"MARIO ALBERTO MARTINEZ")</f>
        <v>MARIO ALBERTO MARTINEZ</v>
      </c>
      <c r="H228" s="5"/>
      <c r="I228" s="5"/>
      <c r="J228" s="5" t="str">
        <f t="shared" ca="1" si="0"/>
        <v>Limpieza realizada</v>
      </c>
    </row>
    <row r="229" spans="1:10">
      <c r="A229" s="65"/>
      <c r="B229" s="5" t="str">
        <f ca="1">IFERROR(__xludf.DUMMYFUNCTION("""COMPUTED_VALUE"""),"MALETA PARA HERRAMIENTAS STANLEY ST-512")</f>
        <v>MALETA PARA HERRAMIENTAS STANLEY ST-512</v>
      </c>
      <c r="C229" s="5" t="str">
        <f ca="1">IFERROR(__xludf.DUMMYFUNCTION("""COMPUTED_VALUE"""),"VERDE")</f>
        <v>VERDE</v>
      </c>
      <c r="D229" s="5" t="str">
        <f ca="1">IFERROR(__xludf.DUMMYFUNCTION("""COMPUTED_VALUE"""),"COP")</f>
        <v>COP</v>
      </c>
      <c r="E229" s="5" t="str">
        <f ca="1">IFERROR(__xludf.DUMMYFUNCTION("""COMPUTED_VALUE"""),"DSD")</f>
        <v>DSD</v>
      </c>
      <c r="F229" s="5" t="b">
        <f ca="1">IFERROR(__xludf.DUMMYFUNCTION("""COMPUTED_VALUE"""),TRUE)</f>
        <v>1</v>
      </c>
      <c r="G229" s="5" t="str">
        <f ca="1">IFERROR(__xludf.DUMMYFUNCTION("""COMPUTED_VALUE"""),"MARIO ALBERTO MARTINEZ")</f>
        <v>MARIO ALBERTO MARTINEZ</v>
      </c>
      <c r="H229" s="5"/>
      <c r="I229" s="5"/>
      <c r="J229" s="5" t="str">
        <f t="shared" ca="1" si="0"/>
        <v>Limpieza realizada</v>
      </c>
    </row>
    <row r="230" spans="1:10">
      <c r="A230" s="65">
        <f ca="1">IFERROR(__xludf.DUMMYFUNCTION("""COMPUTED_VALUE"""),45350)</f>
        <v>45350</v>
      </c>
      <c r="B230" s="5" t="str">
        <f ca="1">IFERROR(__xludf.DUMMYFUNCTION("""COMPUTED_VALUE"""),"JGO DESTORNILLADORES TORX SDTX90 SNAP-ON")</f>
        <v>JGO DESTORNILLADORES TORX SDTX90 SNAP-ON</v>
      </c>
      <c r="C230" s="5" t="str">
        <f ca="1">IFERROR(__xludf.DUMMYFUNCTION("""COMPUTED_VALUE"""),"VERDE")</f>
        <v>VERDE</v>
      </c>
      <c r="D230" s="5" t="str">
        <f ca="1">IFERROR(__xludf.DUMMYFUNCTION("""COMPUTED_VALUE"""),"COP")</f>
        <v>COP</v>
      </c>
      <c r="E230" s="5" t="str">
        <f ca="1">IFERROR(__xludf.DUMMYFUNCTION("""COMPUTED_VALUE"""),"DSD")</f>
        <v>DSD</v>
      </c>
      <c r="F230" s="5" t="b">
        <f ca="1">IFERROR(__xludf.DUMMYFUNCTION("""COMPUTED_VALUE"""),TRUE)</f>
        <v>1</v>
      </c>
      <c r="G230" s="5" t="str">
        <f ca="1">IFERROR(__xludf.DUMMYFUNCTION("""COMPUTED_VALUE"""),"JEFERSON MUÑOZ")</f>
        <v>JEFERSON MUÑOZ</v>
      </c>
      <c r="H230" s="5"/>
      <c r="I230" s="5"/>
      <c r="J230" s="5" t="str">
        <f t="shared" ca="1" si="0"/>
        <v>Limpieza realizada</v>
      </c>
    </row>
    <row r="231" spans="1:10">
      <c r="A231" s="65"/>
      <c r="B231" s="5" t="str">
        <f ca="1">IFERROR(__xludf.DUMMYFUNCTION("""COMPUTED_VALUE"""),"HOMBRE SOLO DE 8""")</f>
        <v>HOMBRE SOLO DE 8"</v>
      </c>
      <c r="C231" s="5" t="str">
        <f ca="1">IFERROR(__xludf.DUMMYFUNCTION("""COMPUTED_VALUE"""),"VERDE")</f>
        <v>VERDE</v>
      </c>
      <c r="D231" s="5" t="str">
        <f ca="1">IFERROR(__xludf.DUMMYFUNCTION("""COMPUTED_VALUE"""),"COP")</f>
        <v>COP</v>
      </c>
      <c r="E231" s="5" t="str">
        <f ca="1">IFERROR(__xludf.DUMMYFUNCTION("""COMPUTED_VALUE"""),"DSD")</f>
        <v>DSD</v>
      </c>
      <c r="F231" s="5" t="b">
        <f ca="1">IFERROR(__xludf.DUMMYFUNCTION("""COMPUTED_VALUE"""),TRUE)</f>
        <v>1</v>
      </c>
      <c r="G231" s="5" t="str">
        <f ca="1">IFERROR(__xludf.DUMMYFUNCTION("""COMPUTED_VALUE"""),"JEFERSON MUÑOZ")</f>
        <v>JEFERSON MUÑOZ</v>
      </c>
      <c r="H231" s="5"/>
      <c r="I231" s="5"/>
      <c r="J231" s="5" t="str">
        <f t="shared" ca="1" si="0"/>
        <v>Limpieza realizada</v>
      </c>
    </row>
    <row r="232" spans="1:10">
      <c r="A232" s="65"/>
      <c r="B232" s="5" t="str">
        <f ca="1">IFERROR(__xludf.DUMMYFUNCTION("""COMPUTED_VALUE"""),"JUEGO CINCELES PROTO 86B 7 PZAS")</f>
        <v>JUEGO CINCELES PROTO 86B 7 PZAS</v>
      </c>
      <c r="C232" s="5" t="str">
        <f ca="1">IFERROR(__xludf.DUMMYFUNCTION("""COMPUTED_VALUE"""),"VERDE")</f>
        <v>VERDE</v>
      </c>
      <c r="D232" s="5" t="str">
        <f ca="1">IFERROR(__xludf.DUMMYFUNCTION("""COMPUTED_VALUE"""),"COP")</f>
        <v>COP</v>
      </c>
      <c r="E232" s="5" t="str">
        <f ca="1">IFERROR(__xludf.DUMMYFUNCTION("""COMPUTED_VALUE"""),"DSD")</f>
        <v>DSD</v>
      </c>
      <c r="F232" s="5" t="b">
        <f ca="1">IFERROR(__xludf.DUMMYFUNCTION("""COMPUTED_VALUE"""),TRUE)</f>
        <v>1</v>
      </c>
      <c r="G232" s="5" t="str">
        <f ca="1">IFERROR(__xludf.DUMMYFUNCTION("""COMPUTED_VALUE"""),"JEFERSON MUÑOZ")</f>
        <v>JEFERSON MUÑOZ</v>
      </c>
      <c r="H232" s="5"/>
      <c r="I232" s="5"/>
      <c r="J232" s="5" t="str">
        <f t="shared" ca="1" si="0"/>
        <v>Limpieza realizada</v>
      </c>
    </row>
    <row r="233" spans="1:10">
      <c r="A233" s="65"/>
      <c r="B233" s="5" t="str">
        <f ca="1">IFERROR(__xludf.DUMMYFUNCTION("""COMPUTED_VALUE"""),"FLEXOMETRO 5 MTS")</f>
        <v>FLEXOMETRO 5 MTS</v>
      </c>
      <c r="C233" s="5" t="str">
        <f ca="1">IFERROR(__xludf.DUMMYFUNCTION("""COMPUTED_VALUE"""),"VERDE")</f>
        <v>VERDE</v>
      </c>
      <c r="D233" s="5" t="str">
        <f ca="1">IFERROR(__xludf.DUMMYFUNCTION("""COMPUTED_VALUE"""),"COP")</f>
        <v>COP</v>
      </c>
      <c r="E233" s="5" t="str">
        <f ca="1">IFERROR(__xludf.DUMMYFUNCTION("""COMPUTED_VALUE"""),"DSD")</f>
        <v>DSD</v>
      </c>
      <c r="F233" s="5" t="b">
        <f ca="1">IFERROR(__xludf.DUMMYFUNCTION("""COMPUTED_VALUE"""),TRUE)</f>
        <v>1</v>
      </c>
      <c r="G233" s="5" t="str">
        <f ca="1">IFERROR(__xludf.DUMMYFUNCTION("""COMPUTED_VALUE"""),"JEFERSON MUÑOZ")</f>
        <v>JEFERSON MUÑOZ</v>
      </c>
      <c r="H233" s="5"/>
      <c r="I233" s="5"/>
      <c r="J233" s="5" t="str">
        <f t="shared" ca="1" si="0"/>
        <v>Limpieza realizada</v>
      </c>
    </row>
    <row r="234" spans="1:10">
      <c r="A234" s="65"/>
      <c r="B234" s="5" t="str">
        <f ca="1">IFERROR(__xludf.DUMMYFUNCTION("""COMPUTED_VALUE"""),"JUEGO DE BOTADORES 96A PROTO")</f>
        <v>JUEGO DE BOTADORES 96A PROTO</v>
      </c>
      <c r="C234" s="5" t="str">
        <f ca="1">IFERROR(__xludf.DUMMYFUNCTION("""COMPUTED_VALUE"""),"VERDE")</f>
        <v>VERDE</v>
      </c>
      <c r="D234" s="5" t="str">
        <f ca="1">IFERROR(__xludf.DUMMYFUNCTION("""COMPUTED_VALUE"""),"COP")</f>
        <v>COP</v>
      </c>
      <c r="E234" s="5" t="str">
        <f ca="1">IFERROR(__xludf.DUMMYFUNCTION("""COMPUTED_VALUE"""),"DSD")</f>
        <v>DSD</v>
      </c>
      <c r="F234" s="5" t="b">
        <f ca="1">IFERROR(__xludf.DUMMYFUNCTION("""COMPUTED_VALUE"""),TRUE)</f>
        <v>1</v>
      </c>
      <c r="G234" s="5" t="str">
        <f ca="1">IFERROR(__xludf.DUMMYFUNCTION("""COMPUTED_VALUE"""),"JEFERSON MUÑOZ")</f>
        <v>JEFERSON MUÑOZ</v>
      </c>
      <c r="H234" s="5"/>
      <c r="I234" s="5"/>
      <c r="J234" s="5" t="str">
        <f t="shared" ca="1" si="0"/>
        <v>Limpieza realizada</v>
      </c>
    </row>
    <row r="235" spans="1:10">
      <c r="A235" s="65"/>
      <c r="B235" s="5" t="str">
        <f ca="1">IFERROR(__xludf.DUMMYFUNCTION("""COMPUTED_VALUE"""),"JUEGO LLAVES BRISTOL 2-10MM")</f>
        <v>JUEGO LLAVES BRISTOL 2-10MM</v>
      </c>
      <c r="C235" s="5" t="str">
        <f ca="1">IFERROR(__xludf.DUMMYFUNCTION("""COMPUTED_VALUE"""),"VERDE")</f>
        <v>VERDE</v>
      </c>
      <c r="D235" s="5" t="str">
        <f ca="1">IFERROR(__xludf.DUMMYFUNCTION("""COMPUTED_VALUE"""),"COP")</f>
        <v>COP</v>
      </c>
      <c r="E235" s="5" t="str">
        <f ca="1">IFERROR(__xludf.DUMMYFUNCTION("""COMPUTED_VALUE"""),"DSD")</f>
        <v>DSD</v>
      </c>
      <c r="F235" s="5" t="b">
        <f ca="1">IFERROR(__xludf.DUMMYFUNCTION("""COMPUTED_VALUE"""),TRUE)</f>
        <v>1</v>
      </c>
      <c r="G235" s="5" t="str">
        <f ca="1">IFERROR(__xludf.DUMMYFUNCTION("""COMPUTED_VALUE"""),"JEFERSON MUÑOZ")</f>
        <v>JEFERSON MUÑOZ</v>
      </c>
      <c r="H235" s="5"/>
      <c r="I235" s="5"/>
      <c r="J235" s="5" t="str">
        <f t="shared" ca="1" si="0"/>
        <v>Limpieza realizada</v>
      </c>
    </row>
    <row r="236" spans="1:10">
      <c r="A236" s="65"/>
      <c r="B236" s="5" t="str">
        <f ca="1">IFERROR(__xludf.DUMMYFUNCTION("""COMPUTED_VALUE"""),"ALICATE PUNTA LARGA STANLEY REF. 84-101")</f>
        <v>ALICATE PUNTA LARGA STANLEY REF. 84-101</v>
      </c>
      <c r="C236" s="5" t="str">
        <f ca="1">IFERROR(__xludf.DUMMYFUNCTION("""COMPUTED_VALUE"""),"VERDE")</f>
        <v>VERDE</v>
      </c>
      <c r="D236" s="5" t="str">
        <f ca="1">IFERROR(__xludf.DUMMYFUNCTION("""COMPUTED_VALUE"""),"COP")</f>
        <v>COP</v>
      </c>
      <c r="E236" s="5" t="str">
        <f ca="1">IFERROR(__xludf.DUMMYFUNCTION("""COMPUTED_VALUE"""),"DSD")</f>
        <v>DSD</v>
      </c>
      <c r="F236" s="5" t="b">
        <f ca="1">IFERROR(__xludf.DUMMYFUNCTION("""COMPUTED_VALUE"""),TRUE)</f>
        <v>1</v>
      </c>
      <c r="G236" s="5" t="str">
        <f ca="1">IFERROR(__xludf.DUMMYFUNCTION("""COMPUTED_VALUE"""),"JEFERSON MUÑOZ")</f>
        <v>JEFERSON MUÑOZ</v>
      </c>
      <c r="H236" s="5"/>
      <c r="I236" s="5"/>
      <c r="J236" s="5" t="str">
        <f t="shared" ca="1" si="0"/>
        <v>Limpieza realizada</v>
      </c>
    </row>
    <row r="237" spans="1:10">
      <c r="A237" s="65"/>
      <c r="B237" s="5" t="str">
        <f ca="1">IFERROR(__xludf.DUMMYFUNCTION("""COMPUTED_VALUE"""),"MARTILLO DE BOLA DE 2 LIBRAS")</f>
        <v>MARTILLO DE BOLA DE 2 LIBRAS</v>
      </c>
      <c r="C237" s="5" t="str">
        <f ca="1">IFERROR(__xludf.DUMMYFUNCTION("""COMPUTED_VALUE"""),"VERDE")</f>
        <v>VERDE</v>
      </c>
      <c r="D237" s="5" t="str">
        <f ca="1">IFERROR(__xludf.DUMMYFUNCTION("""COMPUTED_VALUE"""),"COP")</f>
        <v>COP</v>
      </c>
      <c r="E237" s="5" t="str">
        <f ca="1">IFERROR(__xludf.DUMMYFUNCTION("""COMPUTED_VALUE"""),"DSD")</f>
        <v>DSD</v>
      </c>
      <c r="F237" s="5" t="b">
        <f ca="1">IFERROR(__xludf.DUMMYFUNCTION("""COMPUTED_VALUE"""),TRUE)</f>
        <v>1</v>
      </c>
      <c r="G237" s="5" t="str">
        <f ca="1">IFERROR(__xludf.DUMMYFUNCTION("""COMPUTED_VALUE"""),"JEFERSON MUÑOZ")</f>
        <v>JEFERSON MUÑOZ</v>
      </c>
      <c r="H237" s="5"/>
      <c r="I237" s="5"/>
      <c r="J237" s="5" t="str">
        <f t="shared" ca="1" si="0"/>
        <v>Limpieza realizada</v>
      </c>
    </row>
    <row r="238" spans="1:10">
      <c r="A238" s="65"/>
      <c r="B238" s="5" t="str">
        <f ca="1">IFERROR(__xludf.DUMMYFUNCTION("""COMPUTED_VALUE"""),"JUEGO LLAVES MIXTAS 6MM A 32MM")</f>
        <v>JUEGO LLAVES MIXTAS 6MM A 32MM</v>
      </c>
      <c r="C238" s="5" t="str">
        <f ca="1">IFERROR(__xludf.DUMMYFUNCTION("""COMPUTED_VALUE"""),"VERDE")</f>
        <v>VERDE</v>
      </c>
      <c r="D238" s="5" t="str">
        <f ca="1">IFERROR(__xludf.DUMMYFUNCTION("""COMPUTED_VALUE"""),"COP")</f>
        <v>COP</v>
      </c>
      <c r="E238" s="5" t="str">
        <f ca="1">IFERROR(__xludf.DUMMYFUNCTION("""COMPUTED_VALUE"""),"DSD")</f>
        <v>DSD</v>
      </c>
      <c r="F238" s="5" t="b">
        <f ca="1">IFERROR(__xludf.DUMMYFUNCTION("""COMPUTED_VALUE"""),TRUE)</f>
        <v>1</v>
      </c>
      <c r="G238" s="5" t="str">
        <f ca="1">IFERROR(__xludf.DUMMYFUNCTION("""COMPUTED_VALUE"""),"JEFERSON MUÑOZ")</f>
        <v>JEFERSON MUÑOZ</v>
      </c>
      <c r="H238" s="5"/>
      <c r="I238" s="5"/>
      <c r="J238" s="5" t="str">
        <f t="shared" ca="1" si="0"/>
        <v>Limpieza realizada</v>
      </c>
    </row>
    <row r="239" spans="1:10">
      <c r="A239" s="65"/>
      <c r="B239" s="5" t="str">
        <f ca="1">IFERROR(__xludf.DUMMYFUNCTION("""COMPUTED_VALUE"""),"DESTORNILLADOR DE ESTRELLA 1/4"" X 8""")</f>
        <v>DESTORNILLADOR DE ESTRELLA 1/4" X 8"</v>
      </c>
      <c r="C239" s="5" t="str">
        <f ca="1">IFERROR(__xludf.DUMMYFUNCTION("""COMPUTED_VALUE"""),"VERDE")</f>
        <v>VERDE</v>
      </c>
      <c r="D239" s="5" t="str">
        <f ca="1">IFERROR(__xludf.DUMMYFUNCTION("""COMPUTED_VALUE"""),"COP")</f>
        <v>COP</v>
      </c>
      <c r="E239" s="5" t="str">
        <f ca="1">IFERROR(__xludf.DUMMYFUNCTION("""COMPUTED_VALUE"""),"DSD")</f>
        <v>DSD</v>
      </c>
      <c r="F239" s="5" t="b">
        <f ca="1">IFERROR(__xludf.DUMMYFUNCTION("""COMPUTED_VALUE"""),TRUE)</f>
        <v>1</v>
      </c>
      <c r="G239" s="5" t="str">
        <f ca="1">IFERROR(__xludf.DUMMYFUNCTION("""COMPUTED_VALUE"""),"JEFERSON MUÑOZ")</f>
        <v>JEFERSON MUÑOZ</v>
      </c>
      <c r="H239" s="5"/>
      <c r="I239" s="5"/>
      <c r="J239" s="5" t="str">
        <f t="shared" ca="1" si="0"/>
        <v>Limpieza realizada</v>
      </c>
    </row>
    <row r="240" spans="1:10">
      <c r="A240" s="65"/>
      <c r="B240" s="5" t="str">
        <f ca="1">IFERROR(__xludf.DUMMYFUNCTION("""COMPUTED_VALUE"""),"JGO COPAS CUADRANTE 1/2"" STANLEY 86-504")</f>
        <v>JGO COPAS CUADRANTE 1/2" STANLEY 86-504</v>
      </c>
      <c r="C240" s="5" t="str">
        <f ca="1">IFERROR(__xludf.DUMMYFUNCTION("""COMPUTED_VALUE"""),"VERDE")</f>
        <v>VERDE</v>
      </c>
      <c r="D240" s="5" t="str">
        <f ca="1">IFERROR(__xludf.DUMMYFUNCTION("""COMPUTED_VALUE"""),"COP")</f>
        <v>COP</v>
      </c>
      <c r="E240" s="5" t="str">
        <f ca="1">IFERROR(__xludf.DUMMYFUNCTION("""COMPUTED_VALUE"""),"DSD")</f>
        <v>DSD</v>
      </c>
      <c r="F240" s="5" t="b">
        <f ca="1">IFERROR(__xludf.DUMMYFUNCTION("""COMPUTED_VALUE"""),TRUE)</f>
        <v>1</v>
      </c>
      <c r="G240" s="5" t="str">
        <f ca="1">IFERROR(__xludf.DUMMYFUNCTION("""COMPUTED_VALUE"""),"JEFERSON MUÑOZ")</f>
        <v>JEFERSON MUÑOZ</v>
      </c>
      <c r="H240" s="5"/>
      <c r="I240" s="5"/>
      <c r="J240" s="5" t="str">
        <f t="shared" ca="1" si="0"/>
        <v>Limpieza realizada</v>
      </c>
    </row>
    <row r="241" spans="1:10">
      <c r="A241" s="65"/>
      <c r="B241" s="5" t="str">
        <f ca="1">IFERROR(__xludf.DUMMYFUNCTION("""COMPUTED_VALUE"""),"DESTORNILLADOR PALA 1/4"" X 4""")</f>
        <v>DESTORNILLADOR PALA 1/4" X 4"</v>
      </c>
      <c r="C241" s="5" t="str">
        <f ca="1">IFERROR(__xludf.DUMMYFUNCTION("""COMPUTED_VALUE"""),"VERDE")</f>
        <v>VERDE</v>
      </c>
      <c r="D241" s="5" t="str">
        <f ca="1">IFERROR(__xludf.DUMMYFUNCTION("""COMPUTED_VALUE"""),"COP")</f>
        <v>COP</v>
      </c>
      <c r="E241" s="5" t="str">
        <f ca="1">IFERROR(__xludf.DUMMYFUNCTION("""COMPUTED_VALUE"""),"DSD")</f>
        <v>DSD</v>
      </c>
      <c r="F241" s="5" t="b">
        <f ca="1">IFERROR(__xludf.DUMMYFUNCTION("""COMPUTED_VALUE"""),TRUE)</f>
        <v>1</v>
      </c>
      <c r="G241" s="5" t="str">
        <f ca="1">IFERROR(__xludf.DUMMYFUNCTION("""COMPUTED_VALUE"""),"JEFERSON MUÑOZ")</f>
        <v>JEFERSON MUÑOZ</v>
      </c>
      <c r="H241" s="5"/>
      <c r="I241" s="5"/>
      <c r="J241" s="5" t="str">
        <f t="shared" ca="1" si="0"/>
        <v>Limpieza realizada</v>
      </c>
    </row>
    <row r="242" spans="1:10">
      <c r="A242" s="65"/>
      <c r="B242" s="5" t="str">
        <f ca="1">IFERROR(__xludf.DUMMYFUNCTION("""COMPUTED_VALUE"""),"LLAVE EXPANSION 10""")</f>
        <v>LLAVE EXPANSION 10"</v>
      </c>
      <c r="C242" s="5" t="str">
        <f ca="1">IFERROR(__xludf.DUMMYFUNCTION("""COMPUTED_VALUE"""),"VERDE")</f>
        <v>VERDE</v>
      </c>
      <c r="D242" s="5" t="str">
        <f ca="1">IFERROR(__xludf.DUMMYFUNCTION("""COMPUTED_VALUE"""),"COP")</f>
        <v>COP</v>
      </c>
      <c r="E242" s="5" t="str">
        <f ca="1">IFERROR(__xludf.DUMMYFUNCTION("""COMPUTED_VALUE"""),"DSD")</f>
        <v>DSD</v>
      </c>
      <c r="F242" s="5" t="b">
        <f ca="1">IFERROR(__xludf.DUMMYFUNCTION("""COMPUTED_VALUE"""),TRUE)</f>
        <v>1</v>
      </c>
      <c r="G242" s="5" t="str">
        <f ca="1">IFERROR(__xludf.DUMMYFUNCTION("""COMPUTED_VALUE"""),"JEFERSON MUÑOZ")</f>
        <v>JEFERSON MUÑOZ</v>
      </c>
      <c r="H242" s="5"/>
      <c r="I242" s="5"/>
      <c r="J242" s="5" t="str">
        <f t="shared" ca="1" si="0"/>
        <v>Limpieza realizada</v>
      </c>
    </row>
    <row r="243" spans="1:10">
      <c r="A243" s="65"/>
      <c r="B243" s="5" t="str">
        <f ca="1">IFERROR(__xludf.DUMMYFUNCTION("""COMPUTED_VALUE"""),"PINZA AMPERIMETRICA")</f>
        <v>PINZA AMPERIMETRICA</v>
      </c>
      <c r="C243" s="5" t="str">
        <f ca="1">IFERROR(__xludf.DUMMYFUNCTION("""COMPUTED_VALUE"""),"VERDE")</f>
        <v>VERDE</v>
      </c>
      <c r="D243" s="5" t="str">
        <f ca="1">IFERROR(__xludf.DUMMYFUNCTION("""COMPUTED_VALUE"""),"COP")</f>
        <v>COP</v>
      </c>
      <c r="E243" s="5" t="str">
        <f ca="1">IFERROR(__xludf.DUMMYFUNCTION("""COMPUTED_VALUE"""),"DSD")</f>
        <v>DSD</v>
      </c>
      <c r="F243" s="5" t="b">
        <f ca="1">IFERROR(__xludf.DUMMYFUNCTION("""COMPUTED_VALUE"""),TRUE)</f>
        <v>1</v>
      </c>
      <c r="G243" s="5" t="str">
        <f ca="1">IFERROR(__xludf.DUMMYFUNCTION("""COMPUTED_VALUE"""),"JEFERSON MUÑOZ")</f>
        <v>JEFERSON MUÑOZ</v>
      </c>
      <c r="H243" s="5"/>
      <c r="I243" s="5"/>
      <c r="J243" s="5" t="str">
        <f t="shared" ca="1" si="0"/>
        <v>Limpieza realizada</v>
      </c>
    </row>
    <row r="244" spans="1:10">
      <c r="A244" s="65"/>
      <c r="B244" s="5" t="str">
        <f ca="1">IFERROR(__xludf.DUMMYFUNCTION("""COMPUTED_VALUE"""),"ALICATE P/ANILLOS DE RETENCION PROTO 377")</f>
        <v>ALICATE P/ANILLOS DE RETENCION PROTO 377</v>
      </c>
      <c r="C244" s="5" t="str">
        <f ca="1">IFERROR(__xludf.DUMMYFUNCTION("""COMPUTED_VALUE"""),"VERDE")</f>
        <v>VERDE</v>
      </c>
      <c r="D244" s="5" t="str">
        <f ca="1">IFERROR(__xludf.DUMMYFUNCTION("""COMPUTED_VALUE"""),"COP")</f>
        <v>COP</v>
      </c>
      <c r="E244" s="5" t="str">
        <f ca="1">IFERROR(__xludf.DUMMYFUNCTION("""COMPUTED_VALUE"""),"DSD")</f>
        <v>DSD</v>
      </c>
      <c r="F244" s="5" t="b">
        <f ca="1">IFERROR(__xludf.DUMMYFUNCTION("""COMPUTED_VALUE"""),TRUE)</f>
        <v>1</v>
      </c>
      <c r="G244" s="5" t="str">
        <f ca="1">IFERROR(__xludf.DUMMYFUNCTION("""COMPUTED_VALUE"""),"JEFERSON MUÑOZ")</f>
        <v>JEFERSON MUÑOZ</v>
      </c>
      <c r="H244" s="5"/>
      <c r="I244" s="5"/>
      <c r="J244" s="5" t="str">
        <f t="shared" ca="1" si="0"/>
        <v>Limpieza realizada</v>
      </c>
    </row>
    <row r="245" spans="1:10">
      <c r="A245" s="65">
        <f ca="1">IFERROR(__xludf.DUMMYFUNCTION("""COMPUTED_VALUE"""),45350)</f>
        <v>45350</v>
      </c>
      <c r="B245" s="5" t="str">
        <f ca="1">IFERROR(__xludf.DUMMYFUNCTION("""COMPUTED_VALUE"""),"ALICATE AISLADO DE 10""")</f>
        <v>ALICATE AISLADO DE 10"</v>
      </c>
      <c r="C245" s="5" t="str">
        <f ca="1">IFERROR(__xludf.DUMMYFUNCTION("""COMPUTED_VALUE"""),"VERDE")</f>
        <v>VERDE</v>
      </c>
      <c r="D245" s="5" t="str">
        <f ca="1">IFERROR(__xludf.DUMMYFUNCTION("""COMPUTED_VALUE"""),"COP")</f>
        <v>COP</v>
      </c>
      <c r="E245" s="5" t="str">
        <f ca="1">IFERROR(__xludf.DUMMYFUNCTION("""COMPUTED_VALUE"""),"DSD")</f>
        <v>DSD</v>
      </c>
      <c r="F245" s="5" t="b">
        <f ca="1">IFERROR(__xludf.DUMMYFUNCTION("""COMPUTED_VALUE"""),TRUE)</f>
        <v>1</v>
      </c>
      <c r="G245" s="5" t="str">
        <f ca="1">IFERROR(__xludf.DUMMYFUNCTION("""COMPUTED_VALUE"""),"GUIDO PAPAMIJA")</f>
        <v>GUIDO PAPAMIJA</v>
      </c>
      <c r="H245" s="5"/>
      <c r="I245" s="5"/>
      <c r="J245" s="5" t="str">
        <f t="shared" ca="1" si="0"/>
        <v>Limpieza realizada</v>
      </c>
    </row>
    <row r="246" spans="1:10">
      <c r="A246" s="65"/>
      <c r="B246" s="5" t="str">
        <f ca="1">IFERROR(__xludf.DUMMYFUNCTION("""COMPUTED_VALUE"""),"ALICATE PRESION HOMBRE SOLO 10 """)</f>
        <v>ALICATE PRESION HOMBRE SOLO 10 "</v>
      </c>
      <c r="C246" s="5" t="str">
        <f ca="1">IFERROR(__xludf.DUMMYFUNCTION("""COMPUTED_VALUE"""),"VERDE")</f>
        <v>VERDE</v>
      </c>
      <c r="D246" s="5" t="str">
        <f ca="1">IFERROR(__xludf.DUMMYFUNCTION("""COMPUTED_VALUE"""),"COP")</f>
        <v>COP</v>
      </c>
      <c r="E246" s="5" t="str">
        <f ca="1">IFERROR(__xludf.DUMMYFUNCTION("""COMPUTED_VALUE"""),"DSD")</f>
        <v>DSD</v>
      </c>
      <c r="F246" s="5" t="b">
        <f ca="1">IFERROR(__xludf.DUMMYFUNCTION("""COMPUTED_VALUE"""),TRUE)</f>
        <v>1</v>
      </c>
      <c r="G246" s="5" t="str">
        <f ca="1">IFERROR(__xludf.DUMMYFUNCTION("""COMPUTED_VALUE"""),"GUIDO PAPAMIJA")</f>
        <v>GUIDO PAPAMIJA</v>
      </c>
      <c r="H246" s="5"/>
      <c r="I246" s="5"/>
      <c r="J246" s="5" t="str">
        <f t="shared" ca="1" si="0"/>
        <v>Limpieza realizada</v>
      </c>
    </row>
    <row r="247" spans="1:10">
      <c r="A247" s="65"/>
      <c r="B247" s="5" t="str">
        <f ca="1">IFERROR(__xludf.DUMMYFUNCTION("""COMPUTED_VALUE"""),"ALICATE P / ANILLOS DE RETENCION PROTO 377")</f>
        <v>ALICATE P / ANILLOS DE RETENCION PROTO 377</v>
      </c>
      <c r="C247" s="5" t="str">
        <f ca="1">IFERROR(__xludf.DUMMYFUNCTION("""COMPUTED_VALUE"""),"VERDE")</f>
        <v>VERDE</v>
      </c>
      <c r="D247" s="5" t="str">
        <f ca="1">IFERROR(__xludf.DUMMYFUNCTION("""COMPUTED_VALUE"""),"COP")</f>
        <v>COP</v>
      </c>
      <c r="E247" s="5" t="str">
        <f ca="1">IFERROR(__xludf.DUMMYFUNCTION("""COMPUTED_VALUE"""),"DSD")</f>
        <v>DSD</v>
      </c>
      <c r="F247" s="5" t="b">
        <f ca="1">IFERROR(__xludf.DUMMYFUNCTION("""COMPUTED_VALUE"""),TRUE)</f>
        <v>1</v>
      </c>
      <c r="G247" s="5" t="str">
        <f ca="1">IFERROR(__xludf.DUMMYFUNCTION("""COMPUTED_VALUE"""),"GUIDO PAPAMIJA")</f>
        <v>GUIDO PAPAMIJA</v>
      </c>
      <c r="H247" s="5"/>
      <c r="I247" s="5"/>
      <c r="J247" s="5" t="str">
        <f t="shared" ca="1" si="0"/>
        <v>Limpieza realizada</v>
      </c>
    </row>
    <row r="248" spans="1:10">
      <c r="A248" s="65"/>
      <c r="B248" s="5" t="str">
        <f ca="1">IFERROR(__xludf.DUMMYFUNCTION("""COMPUTED_VALUE"""),"DESTORNILLADOR DE PALA 1/4"" X 4""")</f>
        <v>DESTORNILLADOR DE PALA 1/4" X 4"</v>
      </c>
      <c r="C248" s="5" t="str">
        <f ca="1">IFERROR(__xludf.DUMMYFUNCTION("""COMPUTED_VALUE"""),"VERDE")</f>
        <v>VERDE</v>
      </c>
      <c r="D248" s="5" t="str">
        <f ca="1">IFERROR(__xludf.DUMMYFUNCTION("""COMPUTED_VALUE"""),"COP")</f>
        <v>COP</v>
      </c>
      <c r="E248" s="5" t="str">
        <f ca="1">IFERROR(__xludf.DUMMYFUNCTION("""COMPUTED_VALUE"""),"DSD")</f>
        <v>DSD</v>
      </c>
      <c r="F248" s="5" t="b">
        <f ca="1">IFERROR(__xludf.DUMMYFUNCTION("""COMPUTED_VALUE"""),TRUE)</f>
        <v>1</v>
      </c>
      <c r="G248" s="5" t="str">
        <f ca="1">IFERROR(__xludf.DUMMYFUNCTION("""COMPUTED_VALUE"""),"GUIDO PAPAMIJA")</f>
        <v>GUIDO PAPAMIJA</v>
      </c>
      <c r="H248" s="5"/>
      <c r="I248" s="5"/>
      <c r="J248" s="5" t="str">
        <f t="shared" ca="1" si="0"/>
        <v>Limpieza realizada</v>
      </c>
    </row>
    <row r="249" spans="1:10">
      <c r="A249" s="65"/>
      <c r="B249" s="5" t="str">
        <f ca="1">IFERROR(__xludf.DUMMYFUNCTION("""COMPUTED_VALUE"""),"DESTORNILLADOR DE ESTRELLA 1/4"" X 6""")</f>
        <v>DESTORNILLADOR DE ESTRELLA 1/4" X 6"</v>
      </c>
      <c r="C249" s="5" t="str">
        <f ca="1">IFERROR(__xludf.DUMMYFUNCTION("""COMPUTED_VALUE"""),"VERDE")</f>
        <v>VERDE</v>
      </c>
      <c r="D249" s="5" t="str">
        <f ca="1">IFERROR(__xludf.DUMMYFUNCTION("""COMPUTED_VALUE"""),"COP")</f>
        <v>COP</v>
      </c>
      <c r="E249" s="5" t="str">
        <f ca="1">IFERROR(__xludf.DUMMYFUNCTION("""COMPUTED_VALUE"""),"DSD")</f>
        <v>DSD</v>
      </c>
      <c r="F249" s="5" t="b">
        <f ca="1">IFERROR(__xludf.DUMMYFUNCTION("""COMPUTED_VALUE"""),TRUE)</f>
        <v>1</v>
      </c>
      <c r="G249" s="5" t="str">
        <f ca="1">IFERROR(__xludf.DUMMYFUNCTION("""COMPUTED_VALUE"""),"GUIDO PAPAMIJA")</f>
        <v>GUIDO PAPAMIJA</v>
      </c>
      <c r="H249" s="5"/>
      <c r="I249" s="5"/>
      <c r="J249" s="5" t="str">
        <f t="shared" ca="1" si="0"/>
        <v>Limpieza realizada</v>
      </c>
    </row>
    <row r="250" spans="1:10">
      <c r="A250" s="65"/>
      <c r="B250" s="5" t="str">
        <f ca="1">IFERROR(__xludf.DUMMYFUNCTION("""COMPUTED_VALUE"""),"JGO COPAS MIL CUADRAN 3/8 STANLEY 86-209")</f>
        <v>JGO COPAS MIL CUADRAN 3/8 STANLEY 86-209</v>
      </c>
      <c r="C250" s="5" t="str">
        <f ca="1">IFERROR(__xludf.DUMMYFUNCTION("""COMPUTED_VALUE"""),"VERDE")</f>
        <v>VERDE</v>
      </c>
      <c r="D250" s="5" t="str">
        <f ca="1">IFERROR(__xludf.DUMMYFUNCTION("""COMPUTED_VALUE"""),"COP")</f>
        <v>COP</v>
      </c>
      <c r="E250" s="5" t="str">
        <f ca="1">IFERROR(__xludf.DUMMYFUNCTION("""COMPUTED_VALUE"""),"DSD")</f>
        <v>DSD</v>
      </c>
      <c r="F250" s="5" t="b">
        <f ca="1">IFERROR(__xludf.DUMMYFUNCTION("""COMPUTED_VALUE"""),TRUE)</f>
        <v>1</v>
      </c>
      <c r="G250" s="5" t="str">
        <f ca="1">IFERROR(__xludf.DUMMYFUNCTION("""COMPUTED_VALUE"""),"GUIDO PAPAMIJA")</f>
        <v>GUIDO PAPAMIJA</v>
      </c>
      <c r="H250" s="5"/>
      <c r="I250" s="5"/>
      <c r="J250" s="5" t="str">
        <f t="shared" ca="1" si="0"/>
        <v>Limpieza realizada</v>
      </c>
    </row>
    <row r="251" spans="1:10">
      <c r="A251" s="65"/>
      <c r="B251" s="5" t="str">
        <f ca="1">IFERROR(__xludf.DUMMYFUNCTION("""COMPUTED_VALUE"""),"JUEGO DE BOTADORES 96A PROTO")</f>
        <v>JUEGO DE BOTADORES 96A PROTO</v>
      </c>
      <c r="C251" s="5" t="str">
        <f ca="1">IFERROR(__xludf.DUMMYFUNCTION("""COMPUTED_VALUE"""),"VERDE")</f>
        <v>VERDE</v>
      </c>
      <c r="D251" s="5" t="str">
        <f ca="1">IFERROR(__xludf.DUMMYFUNCTION("""COMPUTED_VALUE"""),"COP")</f>
        <v>COP</v>
      </c>
      <c r="E251" s="5" t="str">
        <f ca="1">IFERROR(__xludf.DUMMYFUNCTION("""COMPUTED_VALUE"""),"DSD")</f>
        <v>DSD</v>
      </c>
      <c r="F251" s="5" t="b">
        <f ca="1">IFERROR(__xludf.DUMMYFUNCTION("""COMPUTED_VALUE"""),TRUE)</f>
        <v>1</v>
      </c>
      <c r="G251" s="5" t="str">
        <f ca="1">IFERROR(__xludf.DUMMYFUNCTION("""COMPUTED_VALUE"""),"GUIDO PAPAMIJA")</f>
        <v>GUIDO PAPAMIJA</v>
      </c>
      <c r="H251" s="5"/>
      <c r="I251" s="5"/>
      <c r="J251" s="5" t="str">
        <f t="shared" ca="1" si="0"/>
        <v>Limpieza realizada</v>
      </c>
    </row>
    <row r="252" spans="1:10">
      <c r="A252" s="65"/>
      <c r="B252" s="5" t="str">
        <f ca="1">IFERROR(__xludf.DUMMYFUNCTION("""COMPUTED_VALUE"""),"JUEGO LLAVES BRISTOL 2 - 10 MM")</f>
        <v>JUEGO LLAVES BRISTOL 2 - 10 MM</v>
      </c>
      <c r="C252" s="5" t="str">
        <f ca="1">IFERROR(__xludf.DUMMYFUNCTION("""COMPUTED_VALUE"""),"VERDE")</f>
        <v>VERDE</v>
      </c>
      <c r="D252" s="5" t="str">
        <f ca="1">IFERROR(__xludf.DUMMYFUNCTION("""COMPUTED_VALUE"""),"COP")</f>
        <v>COP</v>
      </c>
      <c r="E252" s="5" t="str">
        <f ca="1">IFERROR(__xludf.DUMMYFUNCTION("""COMPUTED_VALUE"""),"DSD")</f>
        <v>DSD</v>
      </c>
      <c r="F252" s="5" t="b">
        <f ca="1">IFERROR(__xludf.DUMMYFUNCTION("""COMPUTED_VALUE"""),TRUE)</f>
        <v>1</v>
      </c>
      <c r="G252" s="5" t="str">
        <f ca="1">IFERROR(__xludf.DUMMYFUNCTION("""COMPUTED_VALUE"""),"GUIDO PAPAMIJA")</f>
        <v>GUIDO PAPAMIJA</v>
      </c>
      <c r="H252" s="5"/>
      <c r="I252" s="5"/>
      <c r="J252" s="5" t="str">
        <f t="shared" ca="1" si="0"/>
        <v>Limpieza realizada</v>
      </c>
    </row>
    <row r="253" spans="1:10">
      <c r="A253" s="65"/>
      <c r="B253" s="5" t="str">
        <f ca="1">IFERROR(__xludf.DUMMYFUNCTION("""COMPUTED_VALUE"""),"LLAVE EXPANSION 10""")</f>
        <v>LLAVE EXPANSION 10"</v>
      </c>
      <c r="C253" s="5" t="str">
        <f ca="1">IFERROR(__xludf.DUMMYFUNCTION("""COMPUTED_VALUE"""),"VERDE")</f>
        <v>VERDE</v>
      </c>
      <c r="D253" s="5" t="str">
        <f ca="1">IFERROR(__xludf.DUMMYFUNCTION("""COMPUTED_VALUE"""),"COP")</f>
        <v>COP</v>
      </c>
      <c r="E253" s="5" t="str">
        <f ca="1">IFERROR(__xludf.DUMMYFUNCTION("""COMPUTED_VALUE"""),"DSD")</f>
        <v>DSD</v>
      </c>
      <c r="F253" s="5" t="b">
        <f ca="1">IFERROR(__xludf.DUMMYFUNCTION("""COMPUTED_VALUE"""),TRUE)</f>
        <v>1</v>
      </c>
      <c r="G253" s="5" t="str">
        <f ca="1">IFERROR(__xludf.DUMMYFUNCTION("""COMPUTED_VALUE"""),"GUIDO PAPAMIJA")</f>
        <v>GUIDO PAPAMIJA</v>
      </c>
      <c r="H253" s="5"/>
      <c r="I253" s="5"/>
      <c r="J253" s="5" t="str">
        <f t="shared" ca="1" si="0"/>
        <v>Limpieza realizada</v>
      </c>
    </row>
    <row r="254" spans="1:10">
      <c r="A254" s="65"/>
      <c r="B254" s="5" t="str">
        <f ca="1">IFERROR(__xludf.DUMMYFUNCTION("""COMPUTED_VALUE"""),"MALETA PARA HERRAMIENTAS STANLEY")</f>
        <v>MALETA PARA HERRAMIENTAS STANLEY</v>
      </c>
      <c r="C254" s="5" t="str">
        <f ca="1">IFERROR(__xludf.DUMMYFUNCTION("""COMPUTED_VALUE"""),"VERDE")</f>
        <v>VERDE</v>
      </c>
      <c r="D254" s="5" t="str">
        <f ca="1">IFERROR(__xludf.DUMMYFUNCTION("""COMPUTED_VALUE"""),"COP")</f>
        <v>COP</v>
      </c>
      <c r="E254" s="5" t="str">
        <f ca="1">IFERROR(__xludf.DUMMYFUNCTION("""COMPUTED_VALUE"""),"DSD")</f>
        <v>DSD</v>
      </c>
      <c r="F254" s="5" t="b">
        <f ca="1">IFERROR(__xludf.DUMMYFUNCTION("""COMPUTED_VALUE"""),TRUE)</f>
        <v>1</v>
      </c>
      <c r="G254" s="5" t="str">
        <f ca="1">IFERROR(__xludf.DUMMYFUNCTION("""COMPUTED_VALUE"""),"GUIDO PAPAMIJA")</f>
        <v>GUIDO PAPAMIJA</v>
      </c>
      <c r="H254" s="5"/>
      <c r="I254" s="5"/>
      <c r="J254" s="5" t="str">
        <f t="shared" ca="1" si="0"/>
        <v>Limpieza realizada</v>
      </c>
    </row>
    <row r="255" spans="1:10">
      <c r="A255" s="65"/>
      <c r="B255" s="5" t="str">
        <f ca="1">IFERROR(__xludf.DUMMYFUNCTION("""COMPUTED_VALUE"""),"MARTILLO BOLA DE 2 LIBRAS")</f>
        <v>MARTILLO BOLA DE 2 LIBRAS</v>
      </c>
      <c r="C255" s="5" t="str">
        <f ca="1">IFERROR(__xludf.DUMMYFUNCTION("""COMPUTED_VALUE"""),"VERDE")</f>
        <v>VERDE</v>
      </c>
      <c r="D255" s="5" t="str">
        <f ca="1">IFERROR(__xludf.DUMMYFUNCTION("""COMPUTED_VALUE"""),"COP")</f>
        <v>COP</v>
      </c>
      <c r="E255" s="5" t="str">
        <f ca="1">IFERROR(__xludf.DUMMYFUNCTION("""COMPUTED_VALUE"""),"DSD")</f>
        <v>DSD</v>
      </c>
      <c r="F255" s="5" t="b">
        <f ca="1">IFERROR(__xludf.DUMMYFUNCTION("""COMPUTED_VALUE"""),TRUE)</f>
        <v>1</v>
      </c>
      <c r="G255" s="5" t="str">
        <f ca="1">IFERROR(__xludf.DUMMYFUNCTION("""COMPUTED_VALUE"""),"GUIDO PAPAMIJA")</f>
        <v>GUIDO PAPAMIJA</v>
      </c>
      <c r="H255" s="5"/>
      <c r="I255" s="5"/>
      <c r="J255" s="5" t="str">
        <f t="shared" ca="1" si="0"/>
        <v>Limpieza realizada</v>
      </c>
    </row>
    <row r="256" spans="1:10">
      <c r="A256" s="65"/>
      <c r="B256" s="5" t="str">
        <f ca="1">IFERROR(__xludf.DUMMYFUNCTION("""COMPUTED_VALUE"""),"PINZAS PARA PINES PROTO 385")</f>
        <v>PINZAS PARA PINES PROTO 385</v>
      </c>
      <c r="C256" s="5" t="str">
        <f ca="1">IFERROR(__xludf.DUMMYFUNCTION("""COMPUTED_VALUE"""),"VERDE")</f>
        <v>VERDE</v>
      </c>
      <c r="D256" s="5" t="str">
        <f ca="1">IFERROR(__xludf.DUMMYFUNCTION("""COMPUTED_VALUE"""),"COP")</f>
        <v>COP</v>
      </c>
      <c r="E256" s="5" t="str">
        <f ca="1">IFERROR(__xludf.DUMMYFUNCTION("""COMPUTED_VALUE"""),"DSD")</f>
        <v>DSD</v>
      </c>
      <c r="F256" s="5" t="b">
        <f ca="1">IFERROR(__xludf.DUMMYFUNCTION("""COMPUTED_VALUE"""),TRUE)</f>
        <v>1</v>
      </c>
      <c r="G256" s="5" t="str">
        <f ca="1">IFERROR(__xludf.DUMMYFUNCTION("""COMPUTED_VALUE"""),"GUIDO PAPAMIJA")</f>
        <v>GUIDO PAPAMIJA</v>
      </c>
      <c r="H256" s="5"/>
      <c r="I256" s="5"/>
      <c r="J256" s="5" t="str">
        <f t="shared" ca="1" si="0"/>
        <v>Limpieza realizada</v>
      </c>
    </row>
    <row r="257" spans="1:10">
      <c r="A257" s="65"/>
      <c r="B257" s="5" t="str">
        <f ca="1">IFERROR(__xludf.DUMMYFUNCTION("""COMPUTED_VALUE"""),"JGO LLAVE MIXTA 7-24 MM STANLEY 86-081")</f>
        <v>JGO LLAVE MIXTA 7-24 MM STANLEY 86-081</v>
      </c>
      <c r="C257" s="5" t="str">
        <f ca="1">IFERROR(__xludf.DUMMYFUNCTION("""COMPUTED_VALUE"""),"VERDE")</f>
        <v>VERDE</v>
      </c>
      <c r="D257" s="5" t="str">
        <f ca="1">IFERROR(__xludf.DUMMYFUNCTION("""COMPUTED_VALUE"""),"COP")</f>
        <v>COP</v>
      </c>
      <c r="E257" s="5" t="str">
        <f ca="1">IFERROR(__xludf.DUMMYFUNCTION("""COMPUTED_VALUE"""),"DSD")</f>
        <v>DSD</v>
      </c>
      <c r="F257" s="5" t="b">
        <f ca="1">IFERROR(__xludf.DUMMYFUNCTION("""COMPUTED_VALUE"""),TRUE)</f>
        <v>1</v>
      </c>
      <c r="G257" s="5" t="str">
        <f ca="1">IFERROR(__xludf.DUMMYFUNCTION("""COMPUTED_VALUE"""),"GUIDO PAPAMIJA")</f>
        <v>GUIDO PAPAMIJA</v>
      </c>
      <c r="H257" s="5"/>
      <c r="I257" s="5"/>
      <c r="J257" s="5" t="str">
        <f t="shared" ref="J257:J373" ca="1" si="1">IF(AND(F257=TRUE, B256&lt;&gt;""), "Limpieza realizada", IF(B257="", "", "Limpiezas no realizadas"))</f>
        <v>Limpieza realizada</v>
      </c>
    </row>
    <row r="258" spans="1:10">
      <c r="A258" s="65"/>
      <c r="B258" s="5" t="str">
        <f ca="1">IFERROR(__xludf.DUMMYFUNCTION("""COMPUTED_VALUE"""),"JUEGO CINCELES PROTO 86B 7 PZAS")</f>
        <v>JUEGO CINCELES PROTO 86B 7 PZAS</v>
      </c>
      <c r="C258" s="5" t="str">
        <f ca="1">IFERROR(__xludf.DUMMYFUNCTION("""COMPUTED_VALUE"""),"VERDE")</f>
        <v>VERDE</v>
      </c>
      <c r="D258" s="5" t="str">
        <f ca="1">IFERROR(__xludf.DUMMYFUNCTION("""COMPUTED_VALUE"""),"COP")</f>
        <v>COP</v>
      </c>
      <c r="E258" s="5" t="str">
        <f ca="1">IFERROR(__xludf.DUMMYFUNCTION("""COMPUTED_VALUE"""),"DSD")</f>
        <v>DSD</v>
      </c>
      <c r="F258" s="5" t="b">
        <f ca="1">IFERROR(__xludf.DUMMYFUNCTION("""COMPUTED_VALUE"""),TRUE)</f>
        <v>1</v>
      </c>
      <c r="G258" s="5" t="str">
        <f ca="1">IFERROR(__xludf.DUMMYFUNCTION("""COMPUTED_VALUE"""),"GUIDO PAPAMIJA")</f>
        <v>GUIDO PAPAMIJA</v>
      </c>
      <c r="H258" s="5"/>
      <c r="I258" s="5"/>
      <c r="J258" s="5" t="str">
        <f t="shared" ca="1" si="1"/>
        <v>Limpieza realizada</v>
      </c>
    </row>
    <row r="259" spans="1:10">
      <c r="A259" s="65"/>
      <c r="B259" s="5" t="str">
        <f ca="1">IFERROR(__xludf.DUMMYFUNCTION("""COMPUTED_VALUE"""),"JGO DESTORNILLADORES TORX SDTX90 SNAP-ON")</f>
        <v>JGO DESTORNILLADORES TORX SDTX90 SNAP-ON</v>
      </c>
      <c r="C259" s="5" t="str">
        <f ca="1">IFERROR(__xludf.DUMMYFUNCTION("""COMPUTED_VALUE"""),"VERDE")</f>
        <v>VERDE</v>
      </c>
      <c r="D259" s="5" t="str">
        <f ca="1">IFERROR(__xludf.DUMMYFUNCTION("""COMPUTED_VALUE"""),"COP")</f>
        <v>COP</v>
      </c>
      <c r="E259" s="5" t="str">
        <f ca="1">IFERROR(__xludf.DUMMYFUNCTION("""COMPUTED_VALUE"""),"DSD")</f>
        <v>DSD</v>
      </c>
      <c r="F259" s="5" t="b">
        <f ca="1">IFERROR(__xludf.DUMMYFUNCTION("""COMPUTED_VALUE"""),TRUE)</f>
        <v>1</v>
      </c>
      <c r="G259" s="5" t="str">
        <f ca="1">IFERROR(__xludf.DUMMYFUNCTION("""COMPUTED_VALUE"""),"GUIDO PAPAMIJA")</f>
        <v>GUIDO PAPAMIJA</v>
      </c>
      <c r="H259" s="5"/>
      <c r="I259" s="5"/>
      <c r="J259" s="5" t="str">
        <f t="shared" ca="1" si="1"/>
        <v>Limpieza realizada</v>
      </c>
    </row>
    <row r="260" spans="1:10">
      <c r="A260" s="65"/>
      <c r="B260" s="5" t="str">
        <f ca="1">IFERROR(__xludf.DUMMYFUNCTION("""COMPUTED_VALUE"""),"MULTIMETRO DIGITAL FLUKE 87")</f>
        <v>MULTIMETRO DIGITAL FLUKE 87</v>
      </c>
      <c r="C260" s="5" t="str">
        <f ca="1">IFERROR(__xludf.DUMMYFUNCTION("""COMPUTED_VALUE"""),"VERDE")</f>
        <v>VERDE</v>
      </c>
      <c r="D260" s="5" t="str">
        <f ca="1">IFERROR(__xludf.DUMMYFUNCTION("""COMPUTED_VALUE"""),"COP")</f>
        <v>COP</v>
      </c>
      <c r="E260" s="5" t="str">
        <f ca="1">IFERROR(__xludf.DUMMYFUNCTION("""COMPUTED_VALUE"""),"DSD")</f>
        <v>DSD</v>
      </c>
      <c r="F260" s="5" t="b">
        <f ca="1">IFERROR(__xludf.DUMMYFUNCTION("""COMPUTED_VALUE"""),TRUE)</f>
        <v>1</v>
      </c>
      <c r="G260" s="5" t="str">
        <f ca="1">IFERROR(__xludf.DUMMYFUNCTION("""COMPUTED_VALUE"""),"GUIDO PAPAMIJA")</f>
        <v>GUIDO PAPAMIJA</v>
      </c>
      <c r="H260" s="5"/>
      <c r="I260" s="5"/>
      <c r="J260" s="5" t="str">
        <f t="shared" ca="1" si="1"/>
        <v>Limpieza realizada</v>
      </c>
    </row>
    <row r="261" spans="1:10">
      <c r="A261" s="65"/>
      <c r="B261" s="5" t="str">
        <f ca="1">IFERROR(__xludf.DUMMYFUNCTION("""COMPUTED_VALUE"""),"JUEGO LLAVES BRISTOL 1,5 - 12 MM")</f>
        <v>JUEGO LLAVES BRISTOL 1,5 - 12 MM</v>
      </c>
      <c r="C261" s="5" t="str">
        <f ca="1">IFERROR(__xludf.DUMMYFUNCTION("""COMPUTED_VALUE"""),"VERDE")</f>
        <v>VERDE</v>
      </c>
      <c r="D261" s="5" t="str">
        <f ca="1">IFERROR(__xludf.DUMMYFUNCTION("""COMPUTED_VALUE"""),"COP")</f>
        <v>COP</v>
      </c>
      <c r="E261" s="5" t="str">
        <f ca="1">IFERROR(__xludf.DUMMYFUNCTION("""COMPUTED_VALUE"""),"DSD")</f>
        <v>DSD</v>
      </c>
      <c r="F261" s="5" t="b">
        <f ca="1">IFERROR(__xludf.DUMMYFUNCTION("""COMPUTED_VALUE"""),TRUE)</f>
        <v>1</v>
      </c>
      <c r="G261" s="5" t="str">
        <f ca="1">IFERROR(__xludf.DUMMYFUNCTION("""COMPUTED_VALUE"""),"HECTOR F VALENCIA")</f>
        <v>HECTOR F VALENCIA</v>
      </c>
      <c r="H261" s="5"/>
      <c r="I261" s="5"/>
      <c r="J261" s="5" t="str">
        <f t="shared" ca="1" si="1"/>
        <v>Limpieza realizada</v>
      </c>
    </row>
    <row r="262" spans="1:10">
      <c r="A262" s="65"/>
      <c r="B262" s="5" t="str">
        <f ca="1">IFERROR(__xludf.DUMMYFUNCTION("""COMPUTED_VALUE"""),"LLAVE COMBINADA 10 MM")</f>
        <v>LLAVE COMBINADA 10 MM</v>
      </c>
      <c r="C262" s="5" t="str">
        <f ca="1">IFERROR(__xludf.DUMMYFUNCTION("""COMPUTED_VALUE"""),"VERDE")</f>
        <v>VERDE</v>
      </c>
      <c r="D262" s="5" t="str">
        <f ca="1">IFERROR(__xludf.DUMMYFUNCTION("""COMPUTED_VALUE"""),"COP")</f>
        <v>COP</v>
      </c>
      <c r="E262" s="5" t="str">
        <f ca="1">IFERROR(__xludf.DUMMYFUNCTION("""COMPUTED_VALUE"""),"DSD")</f>
        <v>DSD</v>
      </c>
      <c r="F262" s="5" t="b">
        <f ca="1">IFERROR(__xludf.DUMMYFUNCTION("""COMPUTED_VALUE"""),TRUE)</f>
        <v>1</v>
      </c>
      <c r="G262" s="5" t="str">
        <f ca="1">IFERROR(__xludf.DUMMYFUNCTION("""COMPUTED_VALUE"""),"HECTOR F VALENCIA")</f>
        <v>HECTOR F VALENCIA</v>
      </c>
      <c r="H262" s="5"/>
      <c r="I262" s="5"/>
      <c r="J262" s="5" t="str">
        <f t="shared" ca="1" si="1"/>
        <v>Limpieza realizada</v>
      </c>
    </row>
    <row r="263" spans="1:10">
      <c r="A263" s="65"/>
      <c r="B263" s="5" t="str">
        <f ca="1">IFERROR(__xludf.DUMMYFUNCTION("""COMPUTED_VALUE"""),"LLAVE DE EXPANSION 8""")</f>
        <v>LLAVE DE EXPANSION 8"</v>
      </c>
      <c r="C263" s="5" t="str">
        <f ca="1">IFERROR(__xludf.DUMMYFUNCTION("""COMPUTED_VALUE"""),"VERDE")</f>
        <v>VERDE</v>
      </c>
      <c r="D263" s="5" t="str">
        <f ca="1">IFERROR(__xludf.DUMMYFUNCTION("""COMPUTED_VALUE"""),"COP")</f>
        <v>COP</v>
      </c>
      <c r="E263" s="5" t="str">
        <f ca="1">IFERROR(__xludf.DUMMYFUNCTION("""COMPUTED_VALUE"""),"DSD")</f>
        <v>DSD</v>
      </c>
      <c r="F263" s="5" t="b">
        <f ca="1">IFERROR(__xludf.DUMMYFUNCTION("""COMPUTED_VALUE"""),TRUE)</f>
        <v>1</v>
      </c>
      <c r="G263" s="5" t="str">
        <f ca="1">IFERROR(__xludf.DUMMYFUNCTION("""COMPUTED_VALUE"""),"HECTOR F VALENCIA")</f>
        <v>HECTOR F VALENCIA</v>
      </c>
      <c r="H263" s="5"/>
      <c r="I263" s="5"/>
      <c r="J263" s="5" t="str">
        <f t="shared" ca="1" si="1"/>
        <v>Limpieza realizada</v>
      </c>
    </row>
    <row r="264" spans="1:10">
      <c r="A264" s="65"/>
      <c r="B264" s="5" t="str">
        <f ca="1">IFERROR(__xludf.DUMMYFUNCTION("""COMPUTED_VALUE"""),"JUEGO LLAVES MIXTAS 6MM A 32MM")</f>
        <v>JUEGO LLAVES MIXTAS 6MM A 32MM</v>
      </c>
      <c r="C264" s="5" t="str">
        <f ca="1">IFERROR(__xludf.DUMMYFUNCTION("""COMPUTED_VALUE"""),"VERDE")</f>
        <v>VERDE</v>
      </c>
      <c r="D264" s="5" t="str">
        <f ca="1">IFERROR(__xludf.DUMMYFUNCTION("""COMPUTED_VALUE"""),"COP")</f>
        <v>COP</v>
      </c>
      <c r="E264" s="5" t="str">
        <f ca="1">IFERROR(__xludf.DUMMYFUNCTION("""COMPUTED_VALUE"""),"DSD")</f>
        <v>DSD</v>
      </c>
      <c r="F264" s="5" t="b">
        <f ca="1">IFERROR(__xludf.DUMMYFUNCTION("""COMPUTED_VALUE"""),TRUE)</f>
        <v>1</v>
      </c>
      <c r="G264" s="5" t="str">
        <f ca="1">IFERROR(__xludf.DUMMYFUNCTION("""COMPUTED_VALUE"""),"HECTOR F VALENCIA")</f>
        <v>HECTOR F VALENCIA</v>
      </c>
      <c r="H264" s="5"/>
      <c r="I264" s="5"/>
      <c r="J264" s="5" t="str">
        <f t="shared" ca="1" si="1"/>
        <v>Limpieza realizada</v>
      </c>
    </row>
    <row r="265" spans="1:10">
      <c r="A265" s="65"/>
      <c r="B265" s="5" t="str">
        <f ca="1">IFERROR(__xludf.DUMMYFUNCTION("""COMPUTED_VALUE"""),"JGO LIMAS PEQUEÑAS HBF100 6 PZA SNAP-ON")</f>
        <v>JGO LIMAS PEQUEÑAS HBF100 6 PZA SNAP-ON</v>
      </c>
      <c r="C265" s="5" t="str">
        <f ca="1">IFERROR(__xludf.DUMMYFUNCTION("""COMPUTED_VALUE"""),"VERDE")</f>
        <v>VERDE</v>
      </c>
      <c r="D265" s="5" t="str">
        <f ca="1">IFERROR(__xludf.DUMMYFUNCTION("""COMPUTED_VALUE"""),"COP")</f>
        <v>COP</v>
      </c>
      <c r="E265" s="5" t="str">
        <f ca="1">IFERROR(__xludf.DUMMYFUNCTION("""COMPUTED_VALUE"""),"DSD")</f>
        <v>DSD</v>
      </c>
      <c r="F265" s="5" t="b">
        <f ca="1">IFERROR(__xludf.DUMMYFUNCTION("""COMPUTED_VALUE"""),TRUE)</f>
        <v>1</v>
      </c>
      <c r="G265" s="5" t="str">
        <f ca="1">IFERROR(__xludf.DUMMYFUNCTION("""COMPUTED_VALUE"""),"HECTOR F VALENCIA")</f>
        <v>HECTOR F VALENCIA</v>
      </c>
      <c r="H265" s="5"/>
      <c r="I265" s="5"/>
      <c r="J265" s="5" t="str">
        <f t="shared" ca="1" si="1"/>
        <v>Limpieza realizada</v>
      </c>
    </row>
    <row r="266" spans="1:10">
      <c r="A266" s="65"/>
      <c r="B266" s="5" t="str">
        <f ca="1">IFERROR(__xludf.DUMMYFUNCTION("""COMPUTED_VALUE"""),"EXTRACTOR TORNILLOS 1/8"" A 1"" 10 PIE")</f>
        <v>EXTRACTOR TORNILLOS 1/8" A 1" 10 PIE</v>
      </c>
      <c r="C266" s="5" t="str">
        <f ca="1">IFERROR(__xludf.DUMMYFUNCTION("""COMPUTED_VALUE"""),"VERDE")</f>
        <v>VERDE</v>
      </c>
      <c r="D266" s="5" t="str">
        <f ca="1">IFERROR(__xludf.DUMMYFUNCTION("""COMPUTED_VALUE"""),"COP")</f>
        <v>COP</v>
      </c>
      <c r="E266" s="5" t="str">
        <f ca="1">IFERROR(__xludf.DUMMYFUNCTION("""COMPUTED_VALUE"""),"DSD")</f>
        <v>DSD</v>
      </c>
      <c r="F266" s="5" t="b">
        <f ca="1">IFERROR(__xludf.DUMMYFUNCTION("""COMPUTED_VALUE"""),TRUE)</f>
        <v>1</v>
      </c>
      <c r="G266" s="5" t="str">
        <f ca="1">IFERROR(__xludf.DUMMYFUNCTION("""COMPUTED_VALUE"""),"HECTOR F VALENCIA")</f>
        <v>HECTOR F VALENCIA</v>
      </c>
      <c r="H266" s="5"/>
      <c r="I266" s="5"/>
      <c r="J266" s="5" t="str">
        <f t="shared" ca="1" si="1"/>
        <v>Limpieza realizada</v>
      </c>
    </row>
    <row r="267" spans="1:10">
      <c r="A267" s="65"/>
      <c r="B267" s="5" t="str">
        <f ca="1">IFERROR(__xludf.DUMMYFUNCTION("""COMPUTED_VALUE"""),"LLAVE MIXTA T.RACHET 10MM STANLEY 91-974")</f>
        <v>LLAVE MIXTA T.RACHET 10MM STANLEY 91-974</v>
      </c>
      <c r="C267" s="5" t="str">
        <f ca="1">IFERROR(__xludf.DUMMYFUNCTION("""COMPUTED_VALUE"""),"VERDE")</f>
        <v>VERDE</v>
      </c>
      <c r="D267" s="5" t="str">
        <f ca="1">IFERROR(__xludf.DUMMYFUNCTION("""COMPUTED_VALUE"""),"COP")</f>
        <v>COP</v>
      </c>
      <c r="E267" s="5" t="str">
        <f ca="1">IFERROR(__xludf.DUMMYFUNCTION("""COMPUTED_VALUE"""),"DSD")</f>
        <v>DSD</v>
      </c>
      <c r="F267" s="5" t="b">
        <f ca="1">IFERROR(__xludf.DUMMYFUNCTION("""COMPUTED_VALUE"""),TRUE)</f>
        <v>1</v>
      </c>
      <c r="G267" s="5" t="str">
        <f ca="1">IFERROR(__xludf.DUMMYFUNCTION("""COMPUTED_VALUE"""),"HECTOR F VALENCIA")</f>
        <v>HECTOR F VALENCIA</v>
      </c>
      <c r="H267" s="5"/>
      <c r="I267" s="5"/>
      <c r="J267" s="5" t="str">
        <f t="shared" ca="1" si="1"/>
        <v>Limpieza realizada</v>
      </c>
    </row>
    <row r="268" spans="1:10">
      <c r="A268" s="65"/>
      <c r="B268" s="5" t="str">
        <f ca="1">IFERROR(__xludf.DUMMYFUNCTION("""COMPUTED_VALUE"""),"LLAVE MIXTA T.RACHET 13MM STANLEY 91-977")</f>
        <v>LLAVE MIXTA T.RACHET 13MM STANLEY 91-977</v>
      </c>
      <c r="C268" s="5" t="str">
        <f ca="1">IFERROR(__xludf.DUMMYFUNCTION("""COMPUTED_VALUE"""),"VERDE")</f>
        <v>VERDE</v>
      </c>
      <c r="D268" s="5" t="str">
        <f ca="1">IFERROR(__xludf.DUMMYFUNCTION("""COMPUTED_VALUE"""),"COP")</f>
        <v>COP</v>
      </c>
      <c r="E268" s="5" t="str">
        <f ca="1">IFERROR(__xludf.DUMMYFUNCTION("""COMPUTED_VALUE"""),"DSD")</f>
        <v>DSD</v>
      </c>
      <c r="F268" s="5" t="b">
        <f ca="1">IFERROR(__xludf.DUMMYFUNCTION("""COMPUTED_VALUE"""),TRUE)</f>
        <v>1</v>
      </c>
      <c r="G268" s="5" t="str">
        <f ca="1">IFERROR(__xludf.DUMMYFUNCTION("""COMPUTED_VALUE"""),"HECTOR F VALENCIA")</f>
        <v>HECTOR F VALENCIA</v>
      </c>
      <c r="H268" s="5"/>
      <c r="I268" s="5"/>
      <c r="J268" s="5" t="str">
        <f t="shared" ca="1" si="1"/>
        <v>Limpieza realizada</v>
      </c>
    </row>
    <row r="269" spans="1:10">
      <c r="A269" s="65"/>
      <c r="B269" s="5" t="str">
        <f ca="1">IFERROR(__xludf.DUMMYFUNCTION("""COMPUTED_VALUE"""),"LLAVE MIXTA T.RACHET 8MM STANLEY 91-973")</f>
        <v>LLAVE MIXTA T.RACHET 8MM STANLEY 91-973</v>
      </c>
      <c r="C269" s="5" t="str">
        <f ca="1">IFERROR(__xludf.DUMMYFUNCTION("""COMPUTED_VALUE"""),"VERDE")</f>
        <v>VERDE</v>
      </c>
      <c r="D269" s="5" t="str">
        <f ca="1">IFERROR(__xludf.DUMMYFUNCTION("""COMPUTED_VALUE"""),"COP")</f>
        <v>COP</v>
      </c>
      <c r="E269" s="5" t="str">
        <f ca="1">IFERROR(__xludf.DUMMYFUNCTION("""COMPUTED_VALUE"""),"DSD")</f>
        <v>DSD</v>
      </c>
      <c r="F269" s="5" t="b">
        <f ca="1">IFERROR(__xludf.DUMMYFUNCTION("""COMPUTED_VALUE"""),TRUE)</f>
        <v>1</v>
      </c>
      <c r="G269" s="5" t="str">
        <f ca="1">IFERROR(__xludf.DUMMYFUNCTION("""COMPUTED_VALUE"""),"HECTOR F VALENCIA")</f>
        <v>HECTOR F VALENCIA</v>
      </c>
      <c r="H269" s="5"/>
      <c r="I269" s="5"/>
      <c r="J269" s="5" t="str">
        <f t="shared" ca="1" si="1"/>
        <v>Limpieza realizada</v>
      </c>
    </row>
    <row r="270" spans="1:10">
      <c r="A270" s="65"/>
      <c r="B270" s="5" t="str">
        <f ca="1">IFERROR(__xludf.DUMMYFUNCTION("""COMPUTED_VALUE"""),"PINZAS PARA PINES")</f>
        <v>PINZAS PARA PINES</v>
      </c>
      <c r="C270" s="5" t="str">
        <f ca="1">IFERROR(__xludf.DUMMYFUNCTION("""COMPUTED_VALUE"""),"VERDE")</f>
        <v>VERDE</v>
      </c>
      <c r="D270" s="5" t="str">
        <f ca="1">IFERROR(__xludf.DUMMYFUNCTION("""COMPUTED_VALUE"""),"COP")</f>
        <v>COP</v>
      </c>
      <c r="E270" s="5" t="str">
        <f ca="1">IFERROR(__xludf.DUMMYFUNCTION("""COMPUTED_VALUE"""),"DSD")</f>
        <v>DSD</v>
      </c>
      <c r="F270" s="5" t="b">
        <f ca="1">IFERROR(__xludf.DUMMYFUNCTION("""COMPUTED_VALUE"""),TRUE)</f>
        <v>1</v>
      </c>
      <c r="G270" s="5" t="str">
        <f ca="1">IFERROR(__xludf.DUMMYFUNCTION("""COMPUTED_VALUE"""),"HECTOR F VALENCIA")</f>
        <v>HECTOR F VALENCIA</v>
      </c>
      <c r="H270" s="5"/>
      <c r="I270" s="5"/>
      <c r="J270" s="5" t="str">
        <f t="shared" ca="1" si="1"/>
        <v>Limpieza realizada</v>
      </c>
    </row>
    <row r="271" spans="1:10">
      <c r="A271" s="65"/>
      <c r="B271" s="5" t="str">
        <f ca="1">IFERROR(__xludf.DUMMYFUNCTION("""COMPUTED_VALUE"""),"Rache neumatico inge")</f>
        <v>Rache neumatico inge</v>
      </c>
      <c r="C271" s="5" t="str">
        <f ca="1">IFERROR(__xludf.DUMMYFUNCTION("""COMPUTED_VALUE"""),"VERDE")</f>
        <v>VERDE</v>
      </c>
      <c r="D271" s="5" t="str">
        <f ca="1">IFERROR(__xludf.DUMMYFUNCTION("""COMPUTED_VALUE"""),"COP")</f>
        <v>COP</v>
      </c>
      <c r="E271" s="5" t="str">
        <f ca="1">IFERROR(__xludf.DUMMYFUNCTION("""COMPUTED_VALUE"""),"DSD")</f>
        <v>DSD</v>
      </c>
      <c r="F271" s="5" t="b">
        <f ca="1">IFERROR(__xludf.DUMMYFUNCTION("""COMPUTED_VALUE"""),TRUE)</f>
        <v>1</v>
      </c>
      <c r="G271" s="5" t="str">
        <f ca="1">IFERROR(__xludf.DUMMYFUNCTION("""COMPUTED_VALUE"""),"HECTOR F VALENCIA")</f>
        <v>HECTOR F VALENCIA</v>
      </c>
      <c r="H271" s="5"/>
      <c r="I271" s="5"/>
      <c r="J271" s="5" t="str">
        <f t="shared" ca="1" si="1"/>
        <v>Limpieza realizada</v>
      </c>
    </row>
    <row r="272" spans="1:10">
      <c r="A272" s="65"/>
      <c r="B272" s="5" t="str">
        <f ca="1">IFERROR(__xludf.DUMMYFUNCTION("""COMPUTED_VALUE"""),"Destornillador estria 1/4 x 1 1/2")</f>
        <v>Destornillador estria 1/4 x 1 1/2</v>
      </c>
      <c r="C272" s="5" t="str">
        <f ca="1">IFERROR(__xludf.DUMMYFUNCTION("""COMPUTED_VALUE"""),"VERDE")</f>
        <v>VERDE</v>
      </c>
      <c r="D272" s="5" t="str">
        <f ca="1">IFERROR(__xludf.DUMMYFUNCTION("""COMPUTED_VALUE"""),"COP")</f>
        <v>COP</v>
      </c>
      <c r="E272" s="5" t="str">
        <f ca="1">IFERROR(__xludf.DUMMYFUNCTION("""COMPUTED_VALUE"""),"DSD")</f>
        <v>DSD</v>
      </c>
      <c r="F272" s="5" t="b">
        <f ca="1">IFERROR(__xludf.DUMMYFUNCTION("""COMPUTED_VALUE"""),TRUE)</f>
        <v>1</v>
      </c>
      <c r="G272" s="5" t="str">
        <f ca="1">IFERROR(__xludf.DUMMYFUNCTION("""COMPUTED_VALUE"""),"HECTOR F VALENCIA")</f>
        <v>HECTOR F VALENCIA</v>
      </c>
      <c r="H272" s="5"/>
      <c r="I272" s="5"/>
      <c r="J272" s="5" t="str">
        <f t="shared" ca="1" si="1"/>
        <v>Limpieza realizada</v>
      </c>
    </row>
    <row r="273" spans="1:10">
      <c r="A273" s="65"/>
      <c r="B273" s="5" t="str">
        <f ca="1">IFERROR(__xludf.DUMMYFUNCTION("""COMPUTED_VALUE"""),"Juego de dados Allen")</f>
        <v>Juego de dados Allen</v>
      </c>
      <c r="C273" s="5" t="str">
        <f ca="1">IFERROR(__xludf.DUMMYFUNCTION("""COMPUTED_VALUE"""),"VERDE")</f>
        <v>VERDE</v>
      </c>
      <c r="D273" s="5" t="str">
        <f ca="1">IFERROR(__xludf.DUMMYFUNCTION("""COMPUTED_VALUE"""),"COP")</f>
        <v>COP</v>
      </c>
      <c r="E273" s="5" t="str">
        <f ca="1">IFERROR(__xludf.DUMMYFUNCTION("""COMPUTED_VALUE"""),"DSD")</f>
        <v>DSD</v>
      </c>
      <c r="F273" s="5" t="b">
        <f ca="1">IFERROR(__xludf.DUMMYFUNCTION("""COMPUTED_VALUE"""),TRUE)</f>
        <v>1</v>
      </c>
      <c r="G273" s="5" t="str">
        <f ca="1">IFERROR(__xludf.DUMMYFUNCTION("""COMPUTED_VALUE"""),"HECTOR F VALENCIA")</f>
        <v>HECTOR F VALENCIA</v>
      </c>
      <c r="H273" s="5"/>
      <c r="I273" s="5"/>
      <c r="J273" s="5" t="str">
        <f t="shared" ca="1" si="1"/>
        <v>Limpieza realizada</v>
      </c>
    </row>
    <row r="274" spans="1:10">
      <c r="A274" s="65"/>
      <c r="B274" s="5" t="str">
        <f ca="1">IFERROR(__xludf.DUMMYFUNCTION("""COMPUTED_VALUE"""),"Alicate plano")</f>
        <v>Alicate plano</v>
      </c>
      <c r="C274" s="5" t="str">
        <f ca="1">IFERROR(__xludf.DUMMYFUNCTION("""COMPUTED_VALUE"""),"VERDE")</f>
        <v>VERDE</v>
      </c>
      <c r="D274" s="5" t="str">
        <f ca="1">IFERROR(__xludf.DUMMYFUNCTION("""COMPUTED_VALUE"""),"COP")</f>
        <v>COP</v>
      </c>
      <c r="E274" s="5" t="str">
        <f ca="1">IFERROR(__xludf.DUMMYFUNCTION("""COMPUTED_VALUE"""),"DSD")</f>
        <v>DSD</v>
      </c>
      <c r="F274" s="5" t="b">
        <f ca="1">IFERROR(__xludf.DUMMYFUNCTION("""COMPUTED_VALUE"""),TRUE)</f>
        <v>1</v>
      </c>
      <c r="G274" s="5" t="str">
        <f ca="1">IFERROR(__xludf.DUMMYFUNCTION("""COMPUTED_VALUE"""),"HECTOR F VALENCIA")</f>
        <v>HECTOR F VALENCIA</v>
      </c>
      <c r="H274" s="5"/>
      <c r="I274" s="5"/>
      <c r="J274" s="5" t="str">
        <f t="shared" ca="1" si="1"/>
        <v>Limpieza realizada</v>
      </c>
    </row>
    <row r="275" spans="1:10">
      <c r="A275" s="65"/>
      <c r="B275" s="5" t="str">
        <f ca="1">IFERROR(__xludf.DUMMYFUNCTION("""COMPUTED_VALUE"""),"Juego de llaves mixtas 3/8"" a 1/4""")</f>
        <v>Juego de llaves mixtas 3/8" a 1/4"</v>
      </c>
      <c r="C275" s="5" t="str">
        <f ca="1">IFERROR(__xludf.DUMMYFUNCTION("""COMPUTED_VALUE"""),"VERDE")</f>
        <v>VERDE</v>
      </c>
      <c r="D275" s="5" t="str">
        <f ca="1">IFERROR(__xludf.DUMMYFUNCTION("""COMPUTED_VALUE"""),"COP")</f>
        <v>COP</v>
      </c>
      <c r="E275" s="5" t="str">
        <f ca="1">IFERROR(__xludf.DUMMYFUNCTION("""COMPUTED_VALUE"""),"DSD")</f>
        <v>DSD</v>
      </c>
      <c r="F275" s="5" t="b">
        <f ca="1">IFERROR(__xludf.DUMMYFUNCTION("""COMPUTED_VALUE"""),TRUE)</f>
        <v>1</v>
      </c>
      <c r="G275" s="5" t="str">
        <f ca="1">IFERROR(__xludf.DUMMYFUNCTION("""COMPUTED_VALUE"""),"HECTOR F VALENCIA")</f>
        <v>HECTOR F VALENCIA</v>
      </c>
      <c r="H275" s="5"/>
      <c r="I275" s="5"/>
      <c r="J275" s="5" t="str">
        <f t="shared" ca="1" si="1"/>
        <v>Limpieza realizada</v>
      </c>
    </row>
    <row r="276" spans="1:10">
      <c r="A276" s="65"/>
      <c r="B276" s="5" t="str">
        <f ca="1">IFERROR(__xludf.DUMMYFUNCTION("""COMPUTED_VALUE"""),"Martillo de poliuretano")</f>
        <v>Martillo de poliuretano</v>
      </c>
      <c r="C276" s="5" t="str">
        <f ca="1">IFERROR(__xludf.DUMMYFUNCTION("""COMPUTED_VALUE"""),"VERDE")</f>
        <v>VERDE</v>
      </c>
      <c r="D276" s="5" t="str">
        <f ca="1">IFERROR(__xludf.DUMMYFUNCTION("""COMPUTED_VALUE"""),"COP")</f>
        <v>COP</v>
      </c>
      <c r="E276" s="5" t="str">
        <f ca="1">IFERROR(__xludf.DUMMYFUNCTION("""COMPUTED_VALUE"""),"DSD")</f>
        <v>DSD</v>
      </c>
      <c r="F276" s="5" t="b">
        <f ca="1">IFERROR(__xludf.DUMMYFUNCTION("""COMPUTED_VALUE"""),TRUE)</f>
        <v>1</v>
      </c>
      <c r="G276" s="5" t="str">
        <f ca="1">IFERROR(__xludf.DUMMYFUNCTION("""COMPUTED_VALUE"""),"HECTOR F VALENCIA")</f>
        <v>HECTOR F VALENCIA</v>
      </c>
      <c r="H276" s="5"/>
      <c r="I276" s="5"/>
      <c r="J276" s="5" t="str">
        <f t="shared" ca="1" si="1"/>
        <v>Limpieza realizada</v>
      </c>
    </row>
    <row r="277" spans="1:10">
      <c r="A277" s="65"/>
      <c r="B277" s="5" t="str">
        <f ca="1">IFERROR(__xludf.DUMMYFUNCTION("""COMPUTED_VALUE"""),"Escuadra de 10""")</f>
        <v>Escuadra de 10"</v>
      </c>
      <c r="C277" s="5" t="str">
        <f ca="1">IFERROR(__xludf.DUMMYFUNCTION("""COMPUTED_VALUE"""),"VERDE")</f>
        <v>VERDE</v>
      </c>
      <c r="D277" s="5" t="str">
        <f ca="1">IFERROR(__xludf.DUMMYFUNCTION("""COMPUTED_VALUE"""),"COP")</f>
        <v>COP</v>
      </c>
      <c r="E277" s="5" t="str">
        <f ca="1">IFERROR(__xludf.DUMMYFUNCTION("""COMPUTED_VALUE"""),"DSD")</f>
        <v>DSD</v>
      </c>
      <c r="F277" s="5" t="b">
        <f ca="1">IFERROR(__xludf.DUMMYFUNCTION("""COMPUTED_VALUE"""),TRUE)</f>
        <v>1</v>
      </c>
      <c r="G277" s="5" t="str">
        <f ca="1">IFERROR(__xludf.DUMMYFUNCTION("""COMPUTED_VALUE"""),"HECTOR F VALENCIA")</f>
        <v>HECTOR F VALENCIA</v>
      </c>
      <c r="H277" s="5"/>
      <c r="I277" s="5"/>
      <c r="J277" s="5" t="str">
        <f t="shared" ca="1" si="1"/>
        <v>Limpieza realizada</v>
      </c>
    </row>
    <row r="278" spans="1:10">
      <c r="A278" s="65"/>
      <c r="B278" s="5" t="str">
        <f ca="1">IFERROR(__xludf.DUMMYFUNCTION("""COMPUTED_VALUE"""),"Niveles de 12""")</f>
        <v>Niveles de 12"</v>
      </c>
      <c r="C278" s="5" t="str">
        <f ca="1">IFERROR(__xludf.DUMMYFUNCTION("""COMPUTED_VALUE"""),"VERDE")</f>
        <v>VERDE</v>
      </c>
      <c r="D278" s="5" t="str">
        <f ca="1">IFERROR(__xludf.DUMMYFUNCTION("""COMPUTED_VALUE"""),"COP")</f>
        <v>COP</v>
      </c>
      <c r="E278" s="5" t="str">
        <f ca="1">IFERROR(__xludf.DUMMYFUNCTION("""COMPUTED_VALUE"""),"DSD")</f>
        <v>DSD</v>
      </c>
      <c r="F278" s="5" t="b">
        <f ca="1">IFERROR(__xludf.DUMMYFUNCTION("""COMPUTED_VALUE"""),TRUE)</f>
        <v>1</v>
      </c>
      <c r="G278" s="5" t="str">
        <f ca="1">IFERROR(__xludf.DUMMYFUNCTION("""COMPUTED_VALUE"""),"HECTOR F VALENCIA")</f>
        <v>HECTOR F VALENCIA</v>
      </c>
      <c r="H278" s="5"/>
      <c r="I278" s="5"/>
      <c r="J278" s="5" t="str">
        <f t="shared" ca="1" si="1"/>
        <v>Limpieza realizada</v>
      </c>
    </row>
    <row r="279" spans="1:10">
      <c r="A279" s="65"/>
      <c r="B279" s="5" t="str">
        <f ca="1">IFERROR(__xludf.DUMMYFUNCTION("""COMPUTED_VALUE"""),"Marco de segueta")</f>
        <v>Marco de segueta</v>
      </c>
      <c r="C279" s="5" t="str">
        <f ca="1">IFERROR(__xludf.DUMMYFUNCTION("""COMPUTED_VALUE"""),"VERDE")</f>
        <v>VERDE</v>
      </c>
      <c r="D279" s="5" t="str">
        <f ca="1">IFERROR(__xludf.DUMMYFUNCTION("""COMPUTED_VALUE"""),"COP")</f>
        <v>COP</v>
      </c>
      <c r="E279" s="5" t="str">
        <f ca="1">IFERROR(__xludf.DUMMYFUNCTION("""COMPUTED_VALUE"""),"DSD")</f>
        <v>DSD</v>
      </c>
      <c r="F279" s="5" t="b">
        <f ca="1">IFERROR(__xludf.DUMMYFUNCTION("""COMPUTED_VALUE"""),TRUE)</f>
        <v>1</v>
      </c>
      <c r="G279" s="5" t="str">
        <f ca="1">IFERROR(__xludf.DUMMYFUNCTION("""COMPUTED_VALUE"""),"HECTOR F VALENCIA")</f>
        <v>HECTOR F VALENCIA</v>
      </c>
      <c r="H279" s="5"/>
      <c r="I279" s="5"/>
      <c r="J279" s="5" t="str">
        <f t="shared" ca="1" si="1"/>
        <v>Limpieza realizada</v>
      </c>
    </row>
    <row r="280" spans="1:10">
      <c r="A280" s="65"/>
      <c r="B280" s="5" t="str">
        <f ca="1">IFERROR(__xludf.DUMMYFUNCTION("""COMPUTED_VALUE"""),"Juego brocas acero 1-13mm")</f>
        <v>Juego brocas acero 1-13mm</v>
      </c>
      <c r="C280" s="5" t="str">
        <f ca="1">IFERROR(__xludf.DUMMYFUNCTION("""COMPUTED_VALUE"""),"VERDE")</f>
        <v>VERDE</v>
      </c>
      <c r="D280" s="5" t="str">
        <f ca="1">IFERROR(__xludf.DUMMYFUNCTION("""COMPUTED_VALUE"""),"COP")</f>
        <v>COP</v>
      </c>
      <c r="E280" s="5" t="str">
        <f ca="1">IFERROR(__xludf.DUMMYFUNCTION("""COMPUTED_VALUE"""),"DSD")</f>
        <v>DSD</v>
      </c>
      <c r="F280" s="5" t="b">
        <f ca="1">IFERROR(__xludf.DUMMYFUNCTION("""COMPUTED_VALUE"""),TRUE)</f>
        <v>1</v>
      </c>
      <c r="G280" s="5" t="str">
        <f ca="1">IFERROR(__xludf.DUMMYFUNCTION("""COMPUTED_VALUE"""),"HECTOR F VALENCIA")</f>
        <v>HECTOR F VALENCIA</v>
      </c>
      <c r="H280" s="5"/>
      <c r="I280" s="5"/>
      <c r="J280" s="5" t="str">
        <f t="shared" ca="1" si="1"/>
        <v>Limpieza realizada</v>
      </c>
    </row>
    <row r="281" spans="1:10">
      <c r="A281" s="65"/>
      <c r="B281" s="5" t="str">
        <f ca="1">IFERROR(__xludf.DUMMYFUNCTION("""COMPUTED_VALUE"""),"Juego llaves combinadas rachet 8 - 19 mm")</f>
        <v>Juego llaves combinadas rachet 8 - 19 mm</v>
      </c>
      <c r="C281" s="5" t="str">
        <f ca="1">IFERROR(__xludf.DUMMYFUNCTION("""COMPUTED_VALUE"""),"VERDE")</f>
        <v>VERDE</v>
      </c>
      <c r="D281" s="5" t="str">
        <f ca="1">IFERROR(__xludf.DUMMYFUNCTION("""COMPUTED_VALUE"""),"COP")</f>
        <v>COP</v>
      </c>
      <c r="E281" s="5" t="str">
        <f ca="1">IFERROR(__xludf.DUMMYFUNCTION("""COMPUTED_VALUE"""),"DSD")</f>
        <v>DSD</v>
      </c>
      <c r="F281" s="5" t="b">
        <f ca="1">IFERROR(__xludf.DUMMYFUNCTION("""COMPUTED_VALUE"""),TRUE)</f>
        <v>1</v>
      </c>
      <c r="G281" s="5" t="str">
        <f ca="1">IFERROR(__xludf.DUMMYFUNCTION("""COMPUTED_VALUE"""),"HECTOR F VALENCIA")</f>
        <v>HECTOR F VALENCIA</v>
      </c>
      <c r="H281" s="5"/>
      <c r="I281" s="5"/>
      <c r="J281" s="5" t="str">
        <f t="shared" ca="1" si="1"/>
        <v>Limpieza realizada</v>
      </c>
    </row>
    <row r="282" spans="1:10">
      <c r="A282" s="65"/>
      <c r="B282" s="5" t="str">
        <f ca="1">IFERROR(__xludf.DUMMYFUNCTION("""COMPUTED_VALUE"""),"Calibrador Stanley mm")</f>
        <v>Calibrador Stanley mm</v>
      </c>
      <c r="C282" s="5" t="str">
        <f ca="1">IFERROR(__xludf.DUMMYFUNCTION("""COMPUTED_VALUE"""),"VERDE")</f>
        <v>VERDE</v>
      </c>
      <c r="D282" s="5" t="str">
        <f ca="1">IFERROR(__xludf.DUMMYFUNCTION("""COMPUTED_VALUE"""),"COP")</f>
        <v>COP</v>
      </c>
      <c r="E282" s="5" t="str">
        <f ca="1">IFERROR(__xludf.DUMMYFUNCTION("""COMPUTED_VALUE"""),"DSD")</f>
        <v>DSD</v>
      </c>
      <c r="F282" s="5" t="b">
        <f ca="1">IFERROR(__xludf.DUMMYFUNCTION("""COMPUTED_VALUE"""),TRUE)</f>
        <v>1</v>
      </c>
      <c r="G282" s="5" t="str">
        <f ca="1">IFERROR(__xludf.DUMMYFUNCTION("""COMPUTED_VALUE"""),"HECTOR F VALENCIA")</f>
        <v>HECTOR F VALENCIA</v>
      </c>
      <c r="H282" s="5"/>
      <c r="I282" s="5"/>
      <c r="J282" s="5" t="str">
        <f t="shared" ca="1" si="1"/>
        <v>Limpieza realizada</v>
      </c>
    </row>
    <row r="283" spans="1:10">
      <c r="A283" s="65"/>
      <c r="B283" s="5" t="str">
        <f ca="1">IFERROR(__xludf.DUMMYFUNCTION("""COMPUTED_VALUE"""),"Juego de copas Stanely 23Pzas")</f>
        <v>Juego de copas Stanely 23Pzas</v>
      </c>
      <c r="C283" s="5" t="str">
        <f ca="1">IFERROR(__xludf.DUMMYFUNCTION("""COMPUTED_VALUE"""),"VERDE")</f>
        <v>VERDE</v>
      </c>
      <c r="D283" s="5" t="str">
        <f ca="1">IFERROR(__xludf.DUMMYFUNCTION("""COMPUTED_VALUE"""),"COP")</f>
        <v>COP</v>
      </c>
      <c r="E283" s="5" t="str">
        <f ca="1">IFERROR(__xludf.DUMMYFUNCTION("""COMPUTED_VALUE"""),"DSD")</f>
        <v>DSD</v>
      </c>
      <c r="F283" s="5" t="b">
        <f ca="1">IFERROR(__xludf.DUMMYFUNCTION("""COMPUTED_VALUE"""),TRUE)</f>
        <v>1</v>
      </c>
      <c r="G283" s="5" t="str">
        <f ca="1">IFERROR(__xludf.DUMMYFUNCTION("""COMPUTED_VALUE"""),"HECTOR F VALENCIA")</f>
        <v>HECTOR F VALENCIA</v>
      </c>
      <c r="H283" s="5"/>
      <c r="I283" s="5"/>
      <c r="J283" s="5" t="str">
        <f t="shared" ca="1" si="1"/>
        <v>Limpieza realizada</v>
      </c>
    </row>
    <row r="284" spans="1:10">
      <c r="A284" s="65"/>
      <c r="B284" s="5" t="str">
        <f ca="1">IFERROR(__xludf.DUMMYFUNCTION("""COMPUTED_VALUE"""),"Llave tubo Ridgid 10""")</f>
        <v>Llave tubo Ridgid 10"</v>
      </c>
      <c r="C284" s="5" t="str">
        <f ca="1">IFERROR(__xludf.DUMMYFUNCTION("""COMPUTED_VALUE"""),"VERDE")</f>
        <v>VERDE</v>
      </c>
      <c r="D284" s="5" t="str">
        <f ca="1">IFERROR(__xludf.DUMMYFUNCTION("""COMPUTED_VALUE"""),"COP")</f>
        <v>COP</v>
      </c>
      <c r="E284" s="5" t="str">
        <f ca="1">IFERROR(__xludf.DUMMYFUNCTION("""COMPUTED_VALUE"""),"DSD")</f>
        <v>DSD</v>
      </c>
      <c r="F284" s="5" t="b">
        <f ca="1">IFERROR(__xludf.DUMMYFUNCTION("""COMPUTED_VALUE"""),TRUE)</f>
        <v>1</v>
      </c>
      <c r="G284" s="5" t="str">
        <f ca="1">IFERROR(__xludf.DUMMYFUNCTION("""COMPUTED_VALUE"""),"HECTOR F VALENCIA")</f>
        <v>HECTOR F VALENCIA</v>
      </c>
      <c r="H284" s="5"/>
      <c r="I284" s="5"/>
      <c r="J284" s="5" t="str">
        <f t="shared" ca="1" si="1"/>
        <v>Limpieza realizada</v>
      </c>
    </row>
    <row r="285" spans="1:10">
      <c r="A285" s="65"/>
      <c r="B285" s="5" t="str">
        <f ca="1">IFERROR(__xludf.DUMMYFUNCTION("""COMPUTED_VALUE"""),"Flexometro de 5 mts Stanley")</f>
        <v>Flexometro de 5 mts Stanley</v>
      </c>
      <c r="C285" s="5" t="str">
        <f ca="1">IFERROR(__xludf.DUMMYFUNCTION("""COMPUTED_VALUE"""),"VERDE")</f>
        <v>VERDE</v>
      </c>
      <c r="D285" s="5" t="str">
        <f ca="1">IFERROR(__xludf.DUMMYFUNCTION("""COMPUTED_VALUE"""),"COP")</f>
        <v>COP</v>
      </c>
      <c r="E285" s="5" t="str">
        <f ca="1">IFERROR(__xludf.DUMMYFUNCTION("""COMPUTED_VALUE"""),"DSD")</f>
        <v>DSD</v>
      </c>
      <c r="F285" s="5" t="b">
        <f ca="1">IFERROR(__xludf.DUMMYFUNCTION("""COMPUTED_VALUE"""),TRUE)</f>
        <v>1</v>
      </c>
      <c r="G285" s="5" t="str">
        <f ca="1">IFERROR(__xludf.DUMMYFUNCTION("""COMPUTED_VALUE"""),"HECTOR F VALENCIA")</f>
        <v>HECTOR F VALENCIA</v>
      </c>
      <c r="H285" s="5"/>
      <c r="I285" s="5"/>
      <c r="J285" s="5" t="str">
        <f t="shared" ca="1" si="1"/>
        <v>Limpieza realizada</v>
      </c>
    </row>
    <row r="286" spans="1:10">
      <c r="A286" s="65"/>
      <c r="B286" s="5" t="str">
        <f ca="1">IFERROR(__xludf.DUMMYFUNCTION("""COMPUTED_VALUE"""),"llave peston Stanley 10""")</f>
        <v>llave peston Stanley 10"</v>
      </c>
      <c r="C286" s="5" t="str">
        <f ca="1">IFERROR(__xludf.DUMMYFUNCTION("""COMPUTED_VALUE"""),"VERDE")</f>
        <v>VERDE</v>
      </c>
      <c r="D286" s="5" t="str">
        <f ca="1">IFERROR(__xludf.DUMMYFUNCTION("""COMPUTED_VALUE"""),"COP")</f>
        <v>COP</v>
      </c>
      <c r="E286" s="5" t="str">
        <f ca="1">IFERROR(__xludf.DUMMYFUNCTION("""COMPUTED_VALUE"""),"DSD")</f>
        <v>DSD</v>
      </c>
      <c r="F286" s="5" t="b">
        <f ca="1">IFERROR(__xludf.DUMMYFUNCTION("""COMPUTED_VALUE"""),TRUE)</f>
        <v>1</v>
      </c>
      <c r="G286" s="5" t="str">
        <f ca="1">IFERROR(__xludf.DUMMYFUNCTION("""COMPUTED_VALUE"""),"HECTOR F VALENCIA")</f>
        <v>HECTOR F VALENCIA</v>
      </c>
      <c r="H286" s="5"/>
      <c r="I286" s="5"/>
      <c r="J286" s="5" t="str">
        <f t="shared" ca="1" si="1"/>
        <v>Limpieza realizada</v>
      </c>
    </row>
    <row r="287" spans="1:10">
      <c r="A287" s="65"/>
      <c r="B287" s="5" t="str">
        <f ca="1">IFERROR(__xludf.DUMMYFUNCTION("""COMPUTED_VALUE"""),"alicate electricista 8""")</f>
        <v>alicate electricista 8"</v>
      </c>
      <c r="C287" s="5" t="str">
        <f ca="1">IFERROR(__xludf.DUMMYFUNCTION("""COMPUTED_VALUE"""),"VERDE")</f>
        <v>VERDE</v>
      </c>
      <c r="D287" s="5" t="str">
        <f ca="1">IFERROR(__xludf.DUMMYFUNCTION("""COMPUTED_VALUE"""),"COP")</f>
        <v>COP</v>
      </c>
      <c r="E287" s="5" t="str">
        <f ca="1">IFERROR(__xludf.DUMMYFUNCTION("""COMPUTED_VALUE"""),"DSD")</f>
        <v>DSD</v>
      </c>
      <c r="F287" s="5" t="b">
        <f ca="1">IFERROR(__xludf.DUMMYFUNCTION("""COMPUTED_VALUE"""),TRUE)</f>
        <v>1</v>
      </c>
      <c r="G287" s="5" t="str">
        <f ca="1">IFERROR(__xludf.DUMMYFUNCTION("""COMPUTED_VALUE"""),"HECTOR F VALENCIA")</f>
        <v>HECTOR F VALENCIA</v>
      </c>
      <c r="H287" s="5"/>
      <c r="I287" s="5"/>
      <c r="J287" s="5" t="str">
        <f t="shared" ca="1" si="1"/>
        <v>Limpieza realizada</v>
      </c>
    </row>
    <row r="288" spans="1:10">
      <c r="A288" s="65"/>
      <c r="B288" s="5" t="str">
        <f ca="1">IFERROR(__xludf.DUMMYFUNCTION("""COMPUTED_VALUE"""),"Hombre solo Stanley 10""")</f>
        <v>Hombre solo Stanley 10"</v>
      </c>
      <c r="C288" s="5" t="str">
        <f ca="1">IFERROR(__xludf.DUMMYFUNCTION("""COMPUTED_VALUE"""),"VERDE")</f>
        <v>VERDE</v>
      </c>
      <c r="D288" s="5" t="str">
        <f ca="1">IFERROR(__xludf.DUMMYFUNCTION("""COMPUTED_VALUE"""),"COP")</f>
        <v>COP</v>
      </c>
      <c r="E288" s="5" t="str">
        <f ca="1">IFERROR(__xludf.DUMMYFUNCTION("""COMPUTED_VALUE"""),"DSD")</f>
        <v>DSD</v>
      </c>
      <c r="F288" s="5" t="b">
        <f ca="1">IFERROR(__xludf.DUMMYFUNCTION("""COMPUTED_VALUE"""),TRUE)</f>
        <v>1</v>
      </c>
      <c r="G288" s="5" t="str">
        <f ca="1">IFERROR(__xludf.DUMMYFUNCTION("""COMPUTED_VALUE"""),"HECTOR F VALENCIA")</f>
        <v>HECTOR F VALENCIA</v>
      </c>
      <c r="H288" s="5"/>
      <c r="I288" s="5"/>
      <c r="J288" s="5" t="str">
        <f t="shared" ca="1" si="1"/>
        <v>Limpieza realizada</v>
      </c>
    </row>
    <row r="289" spans="1:10">
      <c r="A289" s="65"/>
      <c r="B289" s="5" t="str">
        <f ca="1">IFERROR(__xludf.DUMMYFUNCTION("""COMPUTED_VALUE"""),"Juego de cinceles")</f>
        <v>Juego de cinceles</v>
      </c>
      <c r="C289" s="5" t="str">
        <f ca="1">IFERROR(__xludf.DUMMYFUNCTION("""COMPUTED_VALUE"""),"VERDE")</f>
        <v>VERDE</v>
      </c>
      <c r="D289" s="5" t="str">
        <f ca="1">IFERROR(__xludf.DUMMYFUNCTION("""COMPUTED_VALUE"""),"COP")</f>
        <v>COP</v>
      </c>
      <c r="E289" s="5" t="str">
        <f ca="1">IFERROR(__xludf.DUMMYFUNCTION("""COMPUTED_VALUE"""),"DSD")</f>
        <v>DSD</v>
      </c>
      <c r="F289" s="5" t="b">
        <f ca="1">IFERROR(__xludf.DUMMYFUNCTION("""COMPUTED_VALUE"""),TRUE)</f>
        <v>1</v>
      </c>
      <c r="G289" s="5" t="str">
        <f ca="1">IFERROR(__xludf.DUMMYFUNCTION("""COMPUTED_VALUE"""),"HECTOR F VALENCIA")</f>
        <v>HECTOR F VALENCIA</v>
      </c>
      <c r="H289" s="5"/>
      <c r="I289" s="5"/>
      <c r="J289" s="5" t="str">
        <f t="shared" ca="1" si="1"/>
        <v>Limpieza realizada</v>
      </c>
    </row>
    <row r="290" spans="1:10">
      <c r="A290" s="65"/>
      <c r="B290" s="5" t="str">
        <f ca="1">IFERROR(__xludf.DUMMYFUNCTION("""COMPUTED_VALUE"""),"Calibrador 6""")</f>
        <v>Calibrador 6"</v>
      </c>
      <c r="C290" s="5" t="str">
        <f ca="1">IFERROR(__xludf.DUMMYFUNCTION("""COMPUTED_VALUE"""),"VERDE")</f>
        <v>VERDE</v>
      </c>
      <c r="D290" s="5" t="str">
        <f ca="1">IFERROR(__xludf.DUMMYFUNCTION("""COMPUTED_VALUE"""),"COP")</f>
        <v>COP</v>
      </c>
      <c r="E290" s="5" t="str">
        <f ca="1">IFERROR(__xludf.DUMMYFUNCTION("""COMPUTED_VALUE"""),"DSD")</f>
        <v>DSD</v>
      </c>
      <c r="F290" s="5" t="b">
        <f ca="1">IFERROR(__xludf.DUMMYFUNCTION("""COMPUTED_VALUE"""),TRUE)</f>
        <v>1</v>
      </c>
      <c r="G290" s="5" t="str">
        <f ca="1">IFERROR(__xludf.DUMMYFUNCTION("""COMPUTED_VALUE"""),"HECTOR F VALENCIA")</f>
        <v>HECTOR F VALENCIA</v>
      </c>
      <c r="H290" s="5"/>
      <c r="I290" s="5"/>
      <c r="J290" s="5" t="str">
        <f t="shared" ca="1" si="1"/>
        <v>Limpieza realizada</v>
      </c>
    </row>
    <row r="291" spans="1:10">
      <c r="A291" s="65"/>
      <c r="B291" s="5" t="str">
        <f ca="1">IFERROR(__xludf.DUMMYFUNCTION("""COMPUTED_VALUE"""),"Juego de botadores")</f>
        <v>Juego de botadores</v>
      </c>
      <c r="C291" s="5" t="str">
        <f ca="1">IFERROR(__xludf.DUMMYFUNCTION("""COMPUTED_VALUE"""),"VERDE")</f>
        <v>VERDE</v>
      </c>
      <c r="D291" s="5" t="str">
        <f ca="1">IFERROR(__xludf.DUMMYFUNCTION("""COMPUTED_VALUE"""),"COP")</f>
        <v>COP</v>
      </c>
      <c r="E291" s="5" t="str">
        <f ca="1">IFERROR(__xludf.DUMMYFUNCTION("""COMPUTED_VALUE"""),"DSD")</f>
        <v>DSD</v>
      </c>
      <c r="F291" s="5" t="b">
        <f ca="1">IFERROR(__xludf.DUMMYFUNCTION("""COMPUTED_VALUE"""),TRUE)</f>
        <v>1</v>
      </c>
      <c r="G291" s="5" t="str">
        <f ca="1">IFERROR(__xludf.DUMMYFUNCTION("""COMPUTED_VALUE"""),"HECTOR F VALENCIA")</f>
        <v>HECTOR F VALENCIA</v>
      </c>
      <c r="H291" s="5"/>
      <c r="I291" s="5"/>
      <c r="J291" s="5" t="str">
        <f t="shared" ca="1" si="1"/>
        <v>Limpieza realizada</v>
      </c>
    </row>
    <row r="292" spans="1:10">
      <c r="A292" s="65"/>
      <c r="B292" s="5" t="str">
        <f ca="1">IFERROR(__xludf.DUMMYFUNCTION("""COMPUTED_VALUE"""),"Juego de llaves allem larga tipo pbola pulgada")</f>
        <v>Juego de llaves allem larga tipo pbola pulgada</v>
      </c>
      <c r="C292" s="5" t="str">
        <f ca="1">IFERROR(__xludf.DUMMYFUNCTION("""COMPUTED_VALUE"""),"VERDE")</f>
        <v>VERDE</v>
      </c>
      <c r="D292" s="5" t="str">
        <f ca="1">IFERROR(__xludf.DUMMYFUNCTION("""COMPUTED_VALUE"""),"COP")</f>
        <v>COP</v>
      </c>
      <c r="E292" s="5" t="str">
        <f ca="1">IFERROR(__xludf.DUMMYFUNCTION("""COMPUTED_VALUE"""),"DSD")</f>
        <v>DSD</v>
      </c>
      <c r="F292" s="5" t="b">
        <f ca="1">IFERROR(__xludf.DUMMYFUNCTION("""COMPUTED_VALUE"""),TRUE)</f>
        <v>1</v>
      </c>
      <c r="G292" s="5" t="str">
        <f ca="1">IFERROR(__xludf.DUMMYFUNCTION("""COMPUTED_VALUE"""),"HECTOR F VALENCIA")</f>
        <v>HECTOR F VALENCIA</v>
      </c>
      <c r="H292" s="5"/>
      <c r="I292" s="5"/>
      <c r="J292" s="5" t="str">
        <f t="shared" ca="1" si="1"/>
        <v>Limpieza realizada</v>
      </c>
    </row>
    <row r="293" spans="1:10">
      <c r="A293" s="65"/>
      <c r="B293" s="5" t="str">
        <f ca="1">IFERROR(__xludf.DUMMYFUNCTION("""COMPUTED_VALUE"""),"destrornillador pala")</f>
        <v>destrornillador pala</v>
      </c>
      <c r="C293" s="5" t="str">
        <f ca="1">IFERROR(__xludf.DUMMYFUNCTION("""COMPUTED_VALUE"""),"VERDE")</f>
        <v>VERDE</v>
      </c>
      <c r="D293" s="5" t="str">
        <f ca="1">IFERROR(__xludf.DUMMYFUNCTION("""COMPUTED_VALUE"""),"COP")</f>
        <v>COP</v>
      </c>
      <c r="E293" s="5" t="str">
        <f ca="1">IFERROR(__xludf.DUMMYFUNCTION("""COMPUTED_VALUE"""),"DSD")</f>
        <v>DSD</v>
      </c>
      <c r="F293" s="5" t="b">
        <f ca="1">IFERROR(__xludf.DUMMYFUNCTION("""COMPUTED_VALUE"""),TRUE)</f>
        <v>1</v>
      </c>
      <c r="G293" s="5" t="str">
        <f ca="1">IFERROR(__xludf.DUMMYFUNCTION("""COMPUTED_VALUE"""),"HECTOR F VALENCIA")</f>
        <v>HECTOR F VALENCIA</v>
      </c>
      <c r="H293" s="5"/>
      <c r="I293" s="5"/>
      <c r="J293" s="5" t="str">
        <f t="shared" ca="1" si="1"/>
        <v>Limpieza realizada</v>
      </c>
    </row>
    <row r="294" spans="1:10">
      <c r="A294" s="65"/>
      <c r="B294" s="5" t="str">
        <f ca="1">IFERROR(__xludf.DUMMYFUNCTION("""COMPUTED_VALUE"""),"Martillo bola")</f>
        <v>Martillo bola</v>
      </c>
      <c r="C294" s="5" t="str">
        <f ca="1">IFERROR(__xludf.DUMMYFUNCTION("""COMPUTED_VALUE"""),"VERDE")</f>
        <v>VERDE</v>
      </c>
      <c r="D294" s="5" t="str">
        <f ca="1">IFERROR(__xludf.DUMMYFUNCTION("""COMPUTED_VALUE"""),"COP")</f>
        <v>COP</v>
      </c>
      <c r="E294" s="5" t="str">
        <f ca="1">IFERROR(__xludf.DUMMYFUNCTION("""COMPUTED_VALUE"""),"DSD")</f>
        <v>DSD</v>
      </c>
      <c r="F294" s="5" t="b">
        <f ca="1">IFERROR(__xludf.DUMMYFUNCTION("""COMPUTED_VALUE"""),TRUE)</f>
        <v>1</v>
      </c>
      <c r="G294" s="5" t="str">
        <f ca="1">IFERROR(__xludf.DUMMYFUNCTION("""COMPUTED_VALUE"""),"HECTOR F VALENCIA")</f>
        <v>HECTOR F VALENCIA</v>
      </c>
      <c r="H294" s="5"/>
      <c r="I294" s="5"/>
      <c r="J294" s="5" t="str">
        <f t="shared" ca="1" si="1"/>
        <v>Limpieza realizada</v>
      </c>
    </row>
    <row r="295" spans="1:10">
      <c r="A295" s="65"/>
      <c r="B295" s="5" t="str">
        <f ca="1">IFERROR(__xludf.DUMMYFUNCTION("""COMPUTED_VALUE"""),"destornillador pala 1/4x4")</f>
        <v>destornillador pala 1/4x4</v>
      </c>
      <c r="C295" s="5" t="str">
        <f ca="1">IFERROR(__xludf.DUMMYFUNCTION("""COMPUTED_VALUE"""),"VERDE")</f>
        <v>VERDE</v>
      </c>
      <c r="D295" s="5" t="str">
        <f ca="1">IFERROR(__xludf.DUMMYFUNCTION("""COMPUTED_VALUE"""),"COP")</f>
        <v>COP</v>
      </c>
      <c r="E295" s="5" t="str">
        <f ca="1">IFERROR(__xludf.DUMMYFUNCTION("""COMPUTED_VALUE"""),"DSD")</f>
        <v>DSD</v>
      </c>
      <c r="F295" s="5" t="b">
        <f ca="1">IFERROR(__xludf.DUMMYFUNCTION("""COMPUTED_VALUE"""),TRUE)</f>
        <v>1</v>
      </c>
      <c r="G295" s="5" t="str">
        <f ca="1">IFERROR(__xludf.DUMMYFUNCTION("""COMPUTED_VALUE"""),"HECTOR F VALENCIA")</f>
        <v>HECTOR F VALENCIA</v>
      </c>
      <c r="H295" s="5"/>
      <c r="I295" s="5"/>
      <c r="J295" s="5" t="str">
        <f t="shared" ca="1" si="1"/>
        <v>Limpieza realizada</v>
      </c>
    </row>
    <row r="296" spans="1:10">
      <c r="A296" s="65"/>
      <c r="B296" s="5" t="str">
        <f ca="1">IFERROR(__xludf.DUMMYFUNCTION("""COMPUTED_VALUE"""),"destornillador pala 1/4x6")</f>
        <v>destornillador pala 1/4x6</v>
      </c>
      <c r="C296" s="5" t="str">
        <f ca="1">IFERROR(__xludf.DUMMYFUNCTION("""COMPUTED_VALUE"""),"VERDE")</f>
        <v>VERDE</v>
      </c>
      <c r="D296" s="5" t="str">
        <f ca="1">IFERROR(__xludf.DUMMYFUNCTION("""COMPUTED_VALUE"""),"COP")</f>
        <v>COP</v>
      </c>
      <c r="E296" s="5" t="str">
        <f ca="1">IFERROR(__xludf.DUMMYFUNCTION("""COMPUTED_VALUE"""),"DSD")</f>
        <v>DSD</v>
      </c>
      <c r="F296" s="5" t="b">
        <f ca="1">IFERROR(__xludf.DUMMYFUNCTION("""COMPUTED_VALUE"""),TRUE)</f>
        <v>1</v>
      </c>
      <c r="G296" s="5" t="str">
        <f ca="1">IFERROR(__xludf.DUMMYFUNCTION("""COMPUTED_VALUE"""),"HECTOR F VALENCIA")</f>
        <v>HECTOR F VALENCIA</v>
      </c>
      <c r="H296" s="5"/>
      <c r="I296" s="5"/>
      <c r="J296" s="5" t="str">
        <f t="shared" ca="1" si="1"/>
        <v>Limpieza realizada</v>
      </c>
    </row>
    <row r="297" spans="1:10">
      <c r="A297" s="65"/>
      <c r="B297" s="5" t="str">
        <f ca="1">IFERROR(__xludf.DUMMYFUNCTION("""COMPUTED_VALUE"""),"destornillador pala,3/16x 6")</f>
        <v>destornillador pala,3/16x 6</v>
      </c>
      <c r="C297" s="5" t="str">
        <f ca="1">IFERROR(__xludf.DUMMYFUNCTION("""COMPUTED_VALUE"""),"VERDE")</f>
        <v>VERDE</v>
      </c>
      <c r="D297" s="5" t="str">
        <f ca="1">IFERROR(__xludf.DUMMYFUNCTION("""COMPUTED_VALUE"""),"COP")</f>
        <v>COP</v>
      </c>
      <c r="E297" s="5" t="str">
        <f ca="1">IFERROR(__xludf.DUMMYFUNCTION("""COMPUTED_VALUE"""),"DSD")</f>
        <v>DSD</v>
      </c>
      <c r="F297" s="5" t="b">
        <f ca="1">IFERROR(__xludf.DUMMYFUNCTION("""COMPUTED_VALUE"""),TRUE)</f>
        <v>1</v>
      </c>
      <c r="G297" s="5" t="str">
        <f ca="1">IFERROR(__xludf.DUMMYFUNCTION("""COMPUTED_VALUE"""),"HECTOR F VALENCIA")</f>
        <v>HECTOR F VALENCIA</v>
      </c>
      <c r="H297" s="5"/>
      <c r="I297" s="5"/>
      <c r="J297" s="5" t="str">
        <f t="shared" ca="1" si="1"/>
        <v>Limpieza realizada</v>
      </c>
    </row>
    <row r="298" spans="1:10">
      <c r="A298" s="65"/>
      <c r="B298" s="5" t="str">
        <f ca="1">IFERROR(__xludf.DUMMYFUNCTION("""COMPUTED_VALUE"""),"destornillador pala 3/16 x4")</f>
        <v>destornillador pala 3/16 x4</v>
      </c>
      <c r="C298" s="5" t="str">
        <f ca="1">IFERROR(__xludf.DUMMYFUNCTION("""COMPUTED_VALUE"""),"VERDE")</f>
        <v>VERDE</v>
      </c>
      <c r="D298" s="5" t="str">
        <f ca="1">IFERROR(__xludf.DUMMYFUNCTION("""COMPUTED_VALUE"""),"COP")</f>
        <v>COP</v>
      </c>
      <c r="E298" s="5" t="str">
        <f ca="1">IFERROR(__xludf.DUMMYFUNCTION("""COMPUTED_VALUE"""),"DSD")</f>
        <v>DSD</v>
      </c>
      <c r="F298" s="5" t="b">
        <f ca="1">IFERROR(__xludf.DUMMYFUNCTION("""COMPUTED_VALUE"""),TRUE)</f>
        <v>1</v>
      </c>
      <c r="G298" s="5" t="str">
        <f ca="1">IFERROR(__xludf.DUMMYFUNCTION("""COMPUTED_VALUE"""),"HECTOR F VALENCIA")</f>
        <v>HECTOR F VALENCIA</v>
      </c>
      <c r="H298" s="5"/>
      <c r="I298" s="5"/>
      <c r="J298" s="5" t="str">
        <f t="shared" ca="1" si="1"/>
        <v>Limpieza realizada</v>
      </c>
    </row>
    <row r="299" spans="1:10">
      <c r="A299" s="65"/>
      <c r="B299" s="5" t="str">
        <f ca="1">IFERROR(__xludf.DUMMYFUNCTION("""COMPUTED_VALUE"""),"destornillador pala 1/4x1 1/2")</f>
        <v>destornillador pala 1/4x1 1/2</v>
      </c>
      <c r="C299" s="5" t="str">
        <f ca="1">IFERROR(__xludf.DUMMYFUNCTION("""COMPUTED_VALUE"""),"VERDE")</f>
        <v>VERDE</v>
      </c>
      <c r="D299" s="5" t="str">
        <f ca="1">IFERROR(__xludf.DUMMYFUNCTION("""COMPUTED_VALUE"""),"COP")</f>
        <v>COP</v>
      </c>
      <c r="E299" s="5" t="str">
        <f ca="1">IFERROR(__xludf.DUMMYFUNCTION("""COMPUTED_VALUE"""),"DSD")</f>
        <v>DSD</v>
      </c>
      <c r="F299" s="5" t="b">
        <f ca="1">IFERROR(__xludf.DUMMYFUNCTION("""COMPUTED_VALUE"""),TRUE)</f>
        <v>1</v>
      </c>
      <c r="G299" s="5" t="str">
        <f ca="1">IFERROR(__xludf.DUMMYFUNCTION("""COMPUTED_VALUE"""),"HECTOR F VALENCIA")</f>
        <v>HECTOR F VALENCIA</v>
      </c>
      <c r="H299" s="5"/>
      <c r="I299" s="5"/>
      <c r="J299" s="5" t="str">
        <f t="shared" ca="1" si="1"/>
        <v>Limpieza realizada</v>
      </c>
    </row>
    <row r="300" spans="1:10">
      <c r="A300" s="65"/>
      <c r="B300" s="5" t="str">
        <f ca="1">IFERROR(__xludf.DUMMYFUNCTION("""COMPUTED_VALUE"""),"destornillador pala 3/16x8")</f>
        <v>destornillador pala 3/16x8</v>
      </c>
      <c r="C300" s="5" t="str">
        <f ca="1">IFERROR(__xludf.DUMMYFUNCTION("""COMPUTED_VALUE"""),"VERDE")</f>
        <v>VERDE</v>
      </c>
      <c r="D300" s="5" t="str">
        <f ca="1">IFERROR(__xludf.DUMMYFUNCTION("""COMPUTED_VALUE"""),"COP")</f>
        <v>COP</v>
      </c>
      <c r="E300" s="5" t="str">
        <f ca="1">IFERROR(__xludf.DUMMYFUNCTION("""COMPUTED_VALUE"""),"DSD")</f>
        <v>DSD</v>
      </c>
      <c r="F300" s="5" t="b">
        <f ca="1">IFERROR(__xludf.DUMMYFUNCTION("""COMPUTED_VALUE"""),TRUE)</f>
        <v>1</v>
      </c>
      <c r="G300" s="5" t="str">
        <f ca="1">IFERROR(__xludf.DUMMYFUNCTION("""COMPUTED_VALUE"""),"HECTOR F VALENCIA")</f>
        <v>HECTOR F VALENCIA</v>
      </c>
      <c r="H300" s="5"/>
      <c r="I300" s="5"/>
      <c r="J300" s="5" t="str">
        <f t="shared" ca="1" si="1"/>
        <v>Limpieza realizada</v>
      </c>
    </row>
    <row r="301" spans="1:10">
      <c r="A301" s="65"/>
      <c r="B301" s="5" t="str">
        <f ca="1">IFERROR(__xludf.DUMMYFUNCTION("""COMPUTED_VALUE"""),"Destornillador estria 1/4x5")</f>
        <v>Destornillador estria 1/4x5</v>
      </c>
      <c r="C301" s="5" t="str">
        <f ca="1">IFERROR(__xludf.DUMMYFUNCTION("""COMPUTED_VALUE"""),"VERDE")</f>
        <v>VERDE</v>
      </c>
      <c r="D301" s="5" t="str">
        <f ca="1">IFERROR(__xludf.DUMMYFUNCTION("""COMPUTED_VALUE"""),"COP")</f>
        <v>COP</v>
      </c>
      <c r="E301" s="5" t="str">
        <f ca="1">IFERROR(__xludf.DUMMYFUNCTION("""COMPUTED_VALUE"""),"DSD")</f>
        <v>DSD</v>
      </c>
      <c r="F301" s="5" t="b">
        <f ca="1">IFERROR(__xludf.DUMMYFUNCTION("""COMPUTED_VALUE"""),TRUE)</f>
        <v>1</v>
      </c>
      <c r="G301" s="5" t="str">
        <f ca="1">IFERROR(__xludf.DUMMYFUNCTION("""COMPUTED_VALUE"""),"HECTOR F VALENCIA")</f>
        <v>HECTOR F VALENCIA</v>
      </c>
      <c r="H301" s="5"/>
      <c r="I301" s="5"/>
      <c r="J301" s="5" t="str">
        <f t="shared" ca="1" si="1"/>
        <v>Limpieza realizada</v>
      </c>
    </row>
    <row r="302" spans="1:10">
      <c r="A302" s="65"/>
      <c r="B302" s="5" t="str">
        <f ca="1">IFERROR(__xludf.DUMMYFUNCTION("""COMPUTED_VALUE"""),"Destornillador estria 3/16 x4")</f>
        <v>Destornillador estria 3/16 x4</v>
      </c>
      <c r="C302" s="5" t="str">
        <f ca="1">IFERROR(__xludf.DUMMYFUNCTION("""COMPUTED_VALUE"""),"VERDE")</f>
        <v>VERDE</v>
      </c>
      <c r="D302" s="5" t="str">
        <f ca="1">IFERROR(__xludf.DUMMYFUNCTION("""COMPUTED_VALUE"""),"COP")</f>
        <v>COP</v>
      </c>
      <c r="E302" s="5" t="str">
        <f ca="1">IFERROR(__xludf.DUMMYFUNCTION("""COMPUTED_VALUE"""),"DSD")</f>
        <v>DSD</v>
      </c>
      <c r="F302" s="5" t="b">
        <f ca="1">IFERROR(__xludf.DUMMYFUNCTION("""COMPUTED_VALUE"""),TRUE)</f>
        <v>1</v>
      </c>
      <c r="G302" s="5" t="str">
        <f ca="1">IFERROR(__xludf.DUMMYFUNCTION("""COMPUTED_VALUE"""),"HECTOR F VALENCIA")</f>
        <v>HECTOR F VALENCIA</v>
      </c>
      <c r="H302" s="5"/>
      <c r="I302" s="5"/>
      <c r="J302" s="5" t="str">
        <f t="shared" ca="1" si="1"/>
        <v>Limpieza realizada</v>
      </c>
    </row>
    <row r="303" spans="1:10">
      <c r="A303" s="65"/>
      <c r="B303" s="5" t="str">
        <f ca="1">IFERROR(__xludf.DUMMYFUNCTION("""COMPUTED_VALUE"""),"Destornillador estria 5/16x 6")</f>
        <v>Destornillador estria 5/16x 6</v>
      </c>
      <c r="C303" s="5" t="str">
        <f ca="1">IFERROR(__xludf.DUMMYFUNCTION("""COMPUTED_VALUE"""),"VERDE")</f>
        <v>VERDE</v>
      </c>
      <c r="D303" s="5" t="str">
        <f ca="1">IFERROR(__xludf.DUMMYFUNCTION("""COMPUTED_VALUE"""),"COP")</f>
        <v>COP</v>
      </c>
      <c r="E303" s="5" t="str">
        <f ca="1">IFERROR(__xludf.DUMMYFUNCTION("""COMPUTED_VALUE"""),"DSD")</f>
        <v>DSD</v>
      </c>
      <c r="F303" s="5" t="b">
        <f ca="1">IFERROR(__xludf.DUMMYFUNCTION("""COMPUTED_VALUE"""),TRUE)</f>
        <v>1</v>
      </c>
      <c r="G303" s="5" t="str">
        <f ca="1">IFERROR(__xludf.DUMMYFUNCTION("""COMPUTED_VALUE"""),"HECTOR F VALENCIA")</f>
        <v>HECTOR F VALENCIA</v>
      </c>
      <c r="H303" s="5"/>
      <c r="I303" s="5"/>
      <c r="J303" s="5" t="str">
        <f t="shared" ca="1" si="1"/>
        <v>Limpieza realizada</v>
      </c>
    </row>
    <row r="304" spans="1:10">
      <c r="A304" s="65"/>
      <c r="B304" s="5" t="str">
        <f ca="1">IFERROR(__xludf.DUMMYFUNCTION("""COMPUTED_VALUE"""),"Juego de llaves boca fija 7mm hasta 24mm")</f>
        <v>Juego de llaves boca fija 7mm hasta 24mm</v>
      </c>
      <c r="C304" s="5" t="str">
        <f ca="1">IFERROR(__xludf.DUMMYFUNCTION("""COMPUTED_VALUE"""),"VERDE")</f>
        <v>VERDE</v>
      </c>
      <c r="D304" s="5" t="str">
        <f ca="1">IFERROR(__xludf.DUMMYFUNCTION("""COMPUTED_VALUE"""),"COP")</f>
        <v>COP</v>
      </c>
      <c r="E304" s="5" t="str">
        <f ca="1">IFERROR(__xludf.DUMMYFUNCTION("""COMPUTED_VALUE"""),"DSD")</f>
        <v>DSD</v>
      </c>
      <c r="F304" s="5" t="b">
        <f ca="1">IFERROR(__xludf.DUMMYFUNCTION("""COMPUTED_VALUE"""),TRUE)</f>
        <v>1</v>
      </c>
      <c r="G304" s="5" t="str">
        <f ca="1">IFERROR(__xludf.DUMMYFUNCTION("""COMPUTED_VALUE"""),"Christian Camilo Ramírez")</f>
        <v>Christian Camilo Ramírez</v>
      </c>
      <c r="H304" s="5"/>
      <c r="I304" s="5"/>
      <c r="J304" s="5" t="str">
        <f t="shared" ca="1" si="1"/>
        <v>Limpieza realizada</v>
      </c>
    </row>
    <row r="305" spans="1:10">
      <c r="A305" s="65"/>
      <c r="B305" s="5" t="str">
        <f ca="1">IFERROR(__xludf.DUMMYFUNCTION("""COMPUTED_VALUE"""),"Llave expansiva 9""")</f>
        <v>Llave expansiva 9"</v>
      </c>
      <c r="C305" s="5" t="str">
        <f ca="1">IFERROR(__xludf.DUMMYFUNCTION("""COMPUTED_VALUE"""),"VERDE")</f>
        <v>VERDE</v>
      </c>
      <c r="D305" s="5" t="str">
        <f ca="1">IFERROR(__xludf.DUMMYFUNCTION("""COMPUTED_VALUE"""),"COP")</f>
        <v>COP</v>
      </c>
      <c r="E305" s="5" t="str">
        <f ca="1">IFERROR(__xludf.DUMMYFUNCTION("""COMPUTED_VALUE"""),"DSD")</f>
        <v>DSD</v>
      </c>
      <c r="F305" s="5" t="b">
        <f ca="1">IFERROR(__xludf.DUMMYFUNCTION("""COMPUTED_VALUE"""),TRUE)</f>
        <v>1</v>
      </c>
      <c r="G305" s="5" t="str">
        <f ca="1">IFERROR(__xludf.DUMMYFUNCTION("""COMPUTED_VALUE"""),"Christian Camilo Ramírez")</f>
        <v>Christian Camilo Ramírez</v>
      </c>
      <c r="H305" s="5"/>
      <c r="I305" s="5"/>
      <c r="J305" s="5" t="str">
        <f t="shared" ca="1" si="1"/>
        <v>Limpieza realizada</v>
      </c>
    </row>
    <row r="306" spans="1:10">
      <c r="A306" s="65"/>
      <c r="B306" s="5" t="str">
        <f ca="1">IFERROR(__xludf.DUMMYFUNCTION("""COMPUTED_VALUE"""),"Juego de llaves Allen en milimetros")</f>
        <v>Juego de llaves Allen en milimetros</v>
      </c>
      <c r="C306" s="5" t="str">
        <f ca="1">IFERROR(__xludf.DUMMYFUNCTION("""COMPUTED_VALUE"""),"VERDE")</f>
        <v>VERDE</v>
      </c>
      <c r="D306" s="5" t="str">
        <f ca="1">IFERROR(__xludf.DUMMYFUNCTION("""COMPUTED_VALUE"""),"COP")</f>
        <v>COP</v>
      </c>
      <c r="E306" s="5" t="str">
        <f ca="1">IFERROR(__xludf.DUMMYFUNCTION("""COMPUTED_VALUE"""),"DSD")</f>
        <v>DSD</v>
      </c>
      <c r="F306" s="5" t="b">
        <f ca="1">IFERROR(__xludf.DUMMYFUNCTION("""COMPUTED_VALUE"""),TRUE)</f>
        <v>1</v>
      </c>
      <c r="G306" s="5" t="str">
        <f ca="1">IFERROR(__xludf.DUMMYFUNCTION("""COMPUTED_VALUE"""),"Christian Camilo Ramírez")</f>
        <v>Christian Camilo Ramírez</v>
      </c>
      <c r="H306" s="5"/>
      <c r="I306" s="5"/>
      <c r="J306" s="5" t="str">
        <f t="shared" ca="1" si="1"/>
        <v>Limpieza realizada</v>
      </c>
    </row>
    <row r="307" spans="1:10">
      <c r="A307" s="65"/>
      <c r="B307" s="5" t="str">
        <f ca="1">IFERROR(__xludf.DUMMYFUNCTION("""COMPUTED_VALUE"""),"Juego de llaves Allen en pulgadas")</f>
        <v>Juego de llaves Allen en pulgadas</v>
      </c>
      <c r="C307" s="5" t="str">
        <f ca="1">IFERROR(__xludf.DUMMYFUNCTION("""COMPUTED_VALUE"""),"VERDE")</f>
        <v>VERDE</v>
      </c>
      <c r="D307" s="5" t="str">
        <f ca="1">IFERROR(__xludf.DUMMYFUNCTION("""COMPUTED_VALUE"""),"COP")</f>
        <v>COP</v>
      </c>
      <c r="E307" s="5" t="str">
        <f ca="1">IFERROR(__xludf.DUMMYFUNCTION("""COMPUTED_VALUE"""),"DSD")</f>
        <v>DSD</v>
      </c>
      <c r="F307" s="5" t="b">
        <f ca="1">IFERROR(__xludf.DUMMYFUNCTION("""COMPUTED_VALUE"""),TRUE)</f>
        <v>1</v>
      </c>
      <c r="G307" s="5" t="str">
        <f ca="1">IFERROR(__xludf.DUMMYFUNCTION("""COMPUTED_VALUE"""),"Christian Camilo Ramírez")</f>
        <v>Christian Camilo Ramírez</v>
      </c>
      <c r="H307" s="5"/>
      <c r="I307" s="5"/>
      <c r="J307" s="5" t="str">
        <f t="shared" ca="1" si="1"/>
        <v>Limpieza realizada</v>
      </c>
    </row>
    <row r="308" spans="1:10">
      <c r="A308" s="65"/>
      <c r="B308" s="5" t="str">
        <f ca="1">IFERROR(__xludf.DUMMYFUNCTION("""COMPUTED_VALUE"""),"Juego completo desarmadores")</f>
        <v>Juego completo desarmadores</v>
      </c>
      <c r="C308" s="5" t="str">
        <f ca="1">IFERROR(__xludf.DUMMYFUNCTION("""COMPUTED_VALUE"""),"VERDE")</f>
        <v>VERDE</v>
      </c>
      <c r="D308" s="5" t="str">
        <f ca="1">IFERROR(__xludf.DUMMYFUNCTION("""COMPUTED_VALUE"""),"COP")</f>
        <v>COP</v>
      </c>
      <c r="E308" s="5" t="str">
        <f ca="1">IFERROR(__xludf.DUMMYFUNCTION("""COMPUTED_VALUE"""),"DSD")</f>
        <v>DSD</v>
      </c>
      <c r="F308" s="5" t="b">
        <f ca="1">IFERROR(__xludf.DUMMYFUNCTION("""COMPUTED_VALUE"""),TRUE)</f>
        <v>1</v>
      </c>
      <c r="G308" s="5" t="str">
        <f ca="1">IFERROR(__xludf.DUMMYFUNCTION("""COMPUTED_VALUE"""),"Christian Camilo Ramírez")</f>
        <v>Christian Camilo Ramírez</v>
      </c>
      <c r="H308" s="5"/>
      <c r="I308" s="5"/>
      <c r="J308" s="5" t="str">
        <f t="shared" ca="1" si="1"/>
        <v>Limpieza realizada</v>
      </c>
    </row>
    <row r="309" spans="1:10">
      <c r="A309" s="65"/>
      <c r="B309" s="5" t="str">
        <f ca="1">IFERROR(__xludf.DUMMYFUNCTION("""COMPUTED_VALUE"""),"Stanley dielectricos")</f>
        <v>Stanley dielectricos</v>
      </c>
      <c r="C309" s="5" t="str">
        <f ca="1">IFERROR(__xludf.DUMMYFUNCTION("""COMPUTED_VALUE"""),"VERDE")</f>
        <v>VERDE</v>
      </c>
      <c r="D309" s="5" t="str">
        <f ca="1">IFERROR(__xludf.DUMMYFUNCTION("""COMPUTED_VALUE"""),"COP")</f>
        <v>COP</v>
      </c>
      <c r="E309" s="5" t="str">
        <f ca="1">IFERROR(__xludf.DUMMYFUNCTION("""COMPUTED_VALUE"""),"DSD")</f>
        <v>DSD</v>
      </c>
      <c r="F309" s="5" t="b">
        <f ca="1">IFERROR(__xludf.DUMMYFUNCTION("""COMPUTED_VALUE"""),TRUE)</f>
        <v>1</v>
      </c>
      <c r="G309" s="5" t="str">
        <f ca="1">IFERROR(__xludf.DUMMYFUNCTION("""COMPUTED_VALUE"""),"Christian Camilo Ramírez")</f>
        <v>Christian Camilo Ramírez</v>
      </c>
      <c r="H309" s="5"/>
      <c r="I309" s="5"/>
      <c r="J309" s="5" t="str">
        <f t="shared" ca="1" si="1"/>
        <v>Limpieza realizada</v>
      </c>
    </row>
    <row r="310" spans="1:10">
      <c r="A310" s="65"/>
      <c r="B310" s="5" t="str">
        <f ca="1">IFERROR(__xludf.DUMMYFUNCTION("""COMPUTED_VALUE"""),"Juego de compa completo Proto")</f>
        <v>Juego de compa completo Proto</v>
      </c>
      <c r="C310" s="5" t="str">
        <f ca="1">IFERROR(__xludf.DUMMYFUNCTION("""COMPUTED_VALUE"""),"VERDE")</f>
        <v>VERDE</v>
      </c>
      <c r="D310" s="5" t="str">
        <f ca="1">IFERROR(__xludf.DUMMYFUNCTION("""COMPUTED_VALUE"""),"COP")</f>
        <v>COP</v>
      </c>
      <c r="E310" s="5" t="str">
        <f ca="1">IFERROR(__xludf.DUMMYFUNCTION("""COMPUTED_VALUE"""),"DSD")</f>
        <v>DSD</v>
      </c>
      <c r="F310" s="5" t="b">
        <f ca="1">IFERROR(__xludf.DUMMYFUNCTION("""COMPUTED_VALUE"""),TRUE)</f>
        <v>1</v>
      </c>
      <c r="G310" s="5" t="str">
        <f ca="1">IFERROR(__xludf.DUMMYFUNCTION("""COMPUTED_VALUE"""),"Christian Camilo Ramírez")</f>
        <v>Christian Camilo Ramírez</v>
      </c>
      <c r="H310" s="5"/>
      <c r="I310" s="5"/>
      <c r="J310" s="5" t="str">
        <f t="shared" ca="1" si="1"/>
        <v>Limpieza realizada</v>
      </c>
    </row>
    <row r="311" spans="1:10">
      <c r="A311" s="65"/>
      <c r="B311" s="5" t="str">
        <f ca="1">IFERROR(__xludf.DUMMYFUNCTION("""COMPUTED_VALUE"""),"Alicate Stanley")</f>
        <v>Alicate Stanley</v>
      </c>
      <c r="C311" s="5" t="str">
        <f ca="1">IFERROR(__xludf.DUMMYFUNCTION("""COMPUTED_VALUE"""),"VERDE")</f>
        <v>VERDE</v>
      </c>
      <c r="D311" s="5" t="str">
        <f ca="1">IFERROR(__xludf.DUMMYFUNCTION("""COMPUTED_VALUE"""),"COP")</f>
        <v>COP</v>
      </c>
      <c r="E311" s="5" t="str">
        <f ca="1">IFERROR(__xludf.DUMMYFUNCTION("""COMPUTED_VALUE"""),"DSD")</f>
        <v>DSD</v>
      </c>
      <c r="F311" s="5" t="b">
        <f ca="1">IFERROR(__xludf.DUMMYFUNCTION("""COMPUTED_VALUE"""),TRUE)</f>
        <v>1</v>
      </c>
      <c r="G311" s="5" t="str">
        <f ca="1">IFERROR(__xludf.DUMMYFUNCTION("""COMPUTED_VALUE"""),"Christian Camilo Ramírez")</f>
        <v>Christian Camilo Ramírez</v>
      </c>
      <c r="H311" s="5"/>
      <c r="I311" s="5"/>
      <c r="J311" s="5" t="str">
        <f t="shared" ca="1" si="1"/>
        <v>Limpieza realizada</v>
      </c>
    </row>
    <row r="312" spans="1:10">
      <c r="A312" s="65"/>
      <c r="B312" s="5" t="str">
        <f ca="1">IFERROR(__xludf.DUMMYFUNCTION("""COMPUTED_VALUE"""),"Pinza plana Stanley")</f>
        <v>Pinza plana Stanley</v>
      </c>
      <c r="C312" s="5" t="str">
        <f ca="1">IFERROR(__xludf.DUMMYFUNCTION("""COMPUTED_VALUE"""),"VERDE")</f>
        <v>VERDE</v>
      </c>
      <c r="D312" s="5" t="str">
        <f ca="1">IFERROR(__xludf.DUMMYFUNCTION("""COMPUTED_VALUE"""),"COP")</f>
        <v>COP</v>
      </c>
      <c r="E312" s="5" t="str">
        <f ca="1">IFERROR(__xludf.DUMMYFUNCTION("""COMPUTED_VALUE"""),"DSD")</f>
        <v>DSD</v>
      </c>
      <c r="F312" s="5" t="b">
        <f ca="1">IFERROR(__xludf.DUMMYFUNCTION("""COMPUTED_VALUE"""),TRUE)</f>
        <v>1</v>
      </c>
      <c r="G312" s="5" t="str">
        <f ca="1">IFERROR(__xludf.DUMMYFUNCTION("""COMPUTED_VALUE"""),"Christian Camilo Ramírez")</f>
        <v>Christian Camilo Ramírez</v>
      </c>
      <c r="H312" s="5"/>
      <c r="I312" s="5"/>
      <c r="J312" s="5" t="str">
        <f t="shared" ca="1" si="1"/>
        <v>Limpieza realizada</v>
      </c>
    </row>
    <row r="313" spans="1:10">
      <c r="A313" s="65"/>
      <c r="B313" s="5" t="str">
        <f ca="1">IFERROR(__xludf.DUMMYFUNCTION("""COMPUTED_VALUE"""),"Pinza Seguett")</f>
        <v>Pinza Seguett</v>
      </c>
      <c r="C313" s="5" t="str">
        <f ca="1">IFERROR(__xludf.DUMMYFUNCTION("""COMPUTED_VALUE"""),"VERDE")</f>
        <v>VERDE</v>
      </c>
      <c r="D313" s="5" t="str">
        <f ca="1">IFERROR(__xludf.DUMMYFUNCTION("""COMPUTED_VALUE"""),"COP")</f>
        <v>COP</v>
      </c>
      <c r="E313" s="5" t="str">
        <f ca="1">IFERROR(__xludf.DUMMYFUNCTION("""COMPUTED_VALUE"""),"DSD")</f>
        <v>DSD</v>
      </c>
      <c r="F313" s="5" t="b">
        <f ca="1">IFERROR(__xludf.DUMMYFUNCTION("""COMPUTED_VALUE"""),TRUE)</f>
        <v>1</v>
      </c>
      <c r="G313" s="5" t="str">
        <f ca="1">IFERROR(__xludf.DUMMYFUNCTION("""COMPUTED_VALUE"""),"Christian Camilo Ramírez")</f>
        <v>Christian Camilo Ramírez</v>
      </c>
      <c r="H313" s="5"/>
      <c r="I313" s="5"/>
      <c r="J313" s="5" t="str">
        <f t="shared" ca="1" si="1"/>
        <v>Limpieza realizada</v>
      </c>
    </row>
    <row r="314" spans="1:10">
      <c r="A314" s="65"/>
      <c r="B314" s="5" t="str">
        <f ca="1">IFERROR(__xludf.DUMMYFUNCTION("""COMPUTED_VALUE"""),"Juego completo de saca pines y sinceles")</f>
        <v>Juego completo de saca pines y sinceles</v>
      </c>
      <c r="C314" s="5" t="str">
        <f ca="1">IFERROR(__xludf.DUMMYFUNCTION("""COMPUTED_VALUE"""),"VERDE")</f>
        <v>VERDE</v>
      </c>
      <c r="D314" s="5" t="str">
        <f ca="1">IFERROR(__xludf.DUMMYFUNCTION("""COMPUTED_VALUE"""),"COP")</f>
        <v>COP</v>
      </c>
      <c r="E314" s="5" t="str">
        <f ca="1">IFERROR(__xludf.DUMMYFUNCTION("""COMPUTED_VALUE"""),"DSD")</f>
        <v>DSD</v>
      </c>
      <c r="F314" s="5" t="b">
        <f ca="1">IFERROR(__xludf.DUMMYFUNCTION("""COMPUTED_VALUE"""),TRUE)</f>
        <v>1</v>
      </c>
      <c r="G314" s="5" t="str">
        <f ca="1">IFERROR(__xludf.DUMMYFUNCTION("""COMPUTED_VALUE"""),"Christian Camilo Ramírez")</f>
        <v>Christian Camilo Ramírez</v>
      </c>
      <c r="H314" s="5"/>
      <c r="I314" s="5"/>
      <c r="J314" s="5" t="str">
        <f t="shared" ca="1" si="1"/>
        <v>Limpieza realizada</v>
      </c>
    </row>
    <row r="315" spans="1:10">
      <c r="A315" s="65"/>
      <c r="B315" s="5" t="str">
        <f ca="1">IFERROR(__xludf.DUMMYFUNCTION("""COMPUTED_VALUE"""),"Hombre solo de 8""")</f>
        <v>Hombre solo de 8"</v>
      </c>
      <c r="C315" s="5" t="str">
        <f ca="1">IFERROR(__xludf.DUMMYFUNCTION("""COMPUTED_VALUE"""),"VERDE")</f>
        <v>VERDE</v>
      </c>
      <c r="D315" s="5" t="str">
        <f ca="1">IFERROR(__xludf.DUMMYFUNCTION("""COMPUTED_VALUE"""),"COP")</f>
        <v>COP</v>
      </c>
      <c r="E315" s="5" t="str">
        <f ca="1">IFERROR(__xludf.DUMMYFUNCTION("""COMPUTED_VALUE"""),"DSD")</f>
        <v>DSD</v>
      </c>
      <c r="F315" s="5" t="b">
        <f ca="1">IFERROR(__xludf.DUMMYFUNCTION("""COMPUTED_VALUE"""),TRUE)</f>
        <v>1</v>
      </c>
      <c r="G315" s="5" t="str">
        <f ca="1">IFERROR(__xludf.DUMMYFUNCTION("""COMPUTED_VALUE"""),"Christian Camilo Ramírez")</f>
        <v>Christian Camilo Ramírez</v>
      </c>
      <c r="H315" s="5"/>
      <c r="I315" s="5"/>
      <c r="J315" s="5" t="str">
        <f t="shared" ca="1" si="1"/>
        <v>Limpieza realizada</v>
      </c>
    </row>
    <row r="316" spans="1:10">
      <c r="A316" s="65"/>
      <c r="B316" s="5" t="str">
        <f ca="1">IFERROR(__xludf.DUMMYFUNCTION("""COMPUTED_VALUE"""),"Pinza voltiamperimetrica 1000V Fluke Cotafrio Stanley")</f>
        <v>Pinza voltiamperimetrica 1000V Fluke Cotafrio Stanley</v>
      </c>
      <c r="C316" s="5" t="str">
        <f ca="1">IFERROR(__xludf.DUMMYFUNCTION("""COMPUTED_VALUE"""),"VERDE")</f>
        <v>VERDE</v>
      </c>
      <c r="D316" s="5" t="str">
        <f ca="1">IFERROR(__xludf.DUMMYFUNCTION("""COMPUTED_VALUE"""),"COP")</f>
        <v>COP</v>
      </c>
      <c r="E316" s="5" t="str">
        <f ca="1">IFERROR(__xludf.DUMMYFUNCTION("""COMPUTED_VALUE"""),"DSD")</f>
        <v>DSD</v>
      </c>
      <c r="F316" s="5" t="b">
        <f ca="1">IFERROR(__xludf.DUMMYFUNCTION("""COMPUTED_VALUE"""),TRUE)</f>
        <v>1</v>
      </c>
      <c r="G316" s="5" t="str">
        <f ca="1">IFERROR(__xludf.DUMMYFUNCTION("""COMPUTED_VALUE"""),"Christian Camilo Ramírez")</f>
        <v>Christian Camilo Ramírez</v>
      </c>
      <c r="H316" s="5"/>
      <c r="I316" s="5"/>
      <c r="J316" s="5" t="str">
        <f t="shared" ca="1" si="1"/>
        <v>Limpieza realizada</v>
      </c>
    </row>
    <row r="317" spans="1:10">
      <c r="A317" s="65">
        <f ca="1">IFERROR(__xludf.DUMMYFUNCTION("""COMPUTED_VALUE"""),45350)</f>
        <v>45350</v>
      </c>
      <c r="B317" s="5" t="str">
        <f ca="1">IFERROR(__xludf.DUMMYFUNCTION("""COMPUTED_VALUE"""),"Juego de llaves allen mm")</f>
        <v>Juego de llaves allen mm</v>
      </c>
      <c r="C317" s="5" t="str">
        <f ca="1">IFERROR(__xludf.DUMMYFUNCTION("""COMPUTED_VALUE"""),"VERDE")</f>
        <v>VERDE</v>
      </c>
      <c r="D317" s="5" t="str">
        <f ca="1">IFERROR(__xludf.DUMMYFUNCTION("""COMPUTED_VALUE"""),"COP")</f>
        <v>COP</v>
      </c>
      <c r="E317" s="5" t="str">
        <f ca="1">IFERROR(__xludf.DUMMYFUNCTION("""COMPUTED_VALUE"""),"DSD")</f>
        <v>DSD</v>
      </c>
      <c r="F317" s="5" t="b">
        <f ca="1">IFERROR(__xludf.DUMMYFUNCTION("""COMPUTED_VALUE"""),TRUE)</f>
        <v>1</v>
      </c>
      <c r="G317" s="5" t="str">
        <f ca="1">IFERROR(__xludf.DUMMYFUNCTION("""COMPUTED_VALUE"""),"ESTEBAN POTOSI ")</f>
        <v xml:space="preserve">ESTEBAN POTOSI </v>
      </c>
      <c r="H317" s="5"/>
      <c r="I317" s="5"/>
      <c r="J317" s="5" t="str">
        <f t="shared" ca="1" si="1"/>
        <v>Limpieza realizada</v>
      </c>
    </row>
    <row r="318" spans="1:10">
      <c r="A318" s="65"/>
      <c r="B318" s="5" t="str">
        <f ca="1">IFERROR(__xludf.DUMMYFUNCTION("""COMPUTED_VALUE"""),"Juego de llaves allen pulgadas")</f>
        <v>Juego de llaves allen pulgadas</v>
      </c>
      <c r="C318" s="5" t="str">
        <f ca="1">IFERROR(__xludf.DUMMYFUNCTION("""COMPUTED_VALUE"""),"VERDE")</f>
        <v>VERDE</v>
      </c>
      <c r="D318" s="5" t="str">
        <f ca="1">IFERROR(__xludf.DUMMYFUNCTION("""COMPUTED_VALUE"""),"COP")</f>
        <v>COP</v>
      </c>
      <c r="E318" s="5" t="str">
        <f ca="1">IFERROR(__xludf.DUMMYFUNCTION("""COMPUTED_VALUE"""),"DSD")</f>
        <v>DSD</v>
      </c>
      <c r="F318" s="5" t="b">
        <f ca="1">IFERROR(__xludf.DUMMYFUNCTION("""COMPUTED_VALUE"""),TRUE)</f>
        <v>1</v>
      </c>
      <c r="G318" s="5" t="str">
        <f ca="1">IFERROR(__xludf.DUMMYFUNCTION("""COMPUTED_VALUE"""),"ESTEBAN POTOSI ")</f>
        <v xml:space="preserve">ESTEBAN POTOSI </v>
      </c>
      <c r="H318" s="5"/>
      <c r="I318" s="5"/>
      <c r="J318" s="5" t="str">
        <f t="shared" ca="1" si="1"/>
        <v>Limpieza realizada</v>
      </c>
    </row>
    <row r="319" spans="1:10">
      <c r="A319" s="65"/>
      <c r="B319" s="5" t="str">
        <f ca="1">IFERROR(__xludf.DUMMYFUNCTION("""COMPUTED_VALUE"""),"Llave para tubo")</f>
        <v>Llave para tubo</v>
      </c>
      <c r="C319" s="5" t="str">
        <f ca="1">IFERROR(__xludf.DUMMYFUNCTION("""COMPUTED_VALUE"""),"VERDE")</f>
        <v>VERDE</v>
      </c>
      <c r="D319" s="5" t="str">
        <f ca="1">IFERROR(__xludf.DUMMYFUNCTION("""COMPUTED_VALUE"""),"COP")</f>
        <v>COP</v>
      </c>
      <c r="E319" s="5" t="str">
        <f ca="1">IFERROR(__xludf.DUMMYFUNCTION("""COMPUTED_VALUE"""),"DSD")</f>
        <v>DSD</v>
      </c>
      <c r="F319" s="5" t="b">
        <f ca="1">IFERROR(__xludf.DUMMYFUNCTION("""COMPUTED_VALUE"""),TRUE)</f>
        <v>1</v>
      </c>
      <c r="G319" s="5" t="str">
        <f ca="1">IFERROR(__xludf.DUMMYFUNCTION("""COMPUTED_VALUE"""),"ESTEBAN POTOSI ")</f>
        <v xml:space="preserve">ESTEBAN POTOSI </v>
      </c>
      <c r="H319" s="5"/>
      <c r="I319" s="5"/>
      <c r="J319" s="5" t="str">
        <f t="shared" ca="1" si="1"/>
        <v>Limpieza realizada</v>
      </c>
    </row>
    <row r="320" spans="1:10">
      <c r="A320" s="65"/>
      <c r="B320" s="5" t="str">
        <f ca="1">IFERROR(__xludf.DUMMYFUNCTION("""COMPUTED_VALUE"""),"Flexometro")</f>
        <v>Flexometro</v>
      </c>
      <c r="C320" s="5" t="str">
        <f ca="1">IFERROR(__xludf.DUMMYFUNCTION("""COMPUTED_VALUE"""),"VERDE")</f>
        <v>VERDE</v>
      </c>
      <c r="D320" s="5" t="str">
        <f ca="1">IFERROR(__xludf.DUMMYFUNCTION("""COMPUTED_VALUE"""),"COP")</f>
        <v>COP</v>
      </c>
      <c r="E320" s="5" t="str">
        <f ca="1">IFERROR(__xludf.DUMMYFUNCTION("""COMPUTED_VALUE"""),"DSD")</f>
        <v>DSD</v>
      </c>
      <c r="F320" s="5" t="b">
        <f ca="1">IFERROR(__xludf.DUMMYFUNCTION("""COMPUTED_VALUE"""),TRUE)</f>
        <v>1</v>
      </c>
      <c r="G320" s="5" t="str">
        <f ca="1">IFERROR(__xludf.DUMMYFUNCTION("""COMPUTED_VALUE"""),"ESTEBAN POTOSI ")</f>
        <v xml:space="preserve">ESTEBAN POTOSI </v>
      </c>
      <c r="H320" s="5"/>
      <c r="I320" s="5"/>
      <c r="J320" s="5" t="str">
        <f t="shared" ca="1" si="1"/>
        <v>Limpieza realizada</v>
      </c>
    </row>
    <row r="321" spans="1:10">
      <c r="A321" s="65"/>
      <c r="B321" s="5" t="str">
        <f ca="1">IFERROR(__xludf.DUMMYFUNCTION("""COMPUTED_VALUE"""),"Ratchet")</f>
        <v>Ratchet</v>
      </c>
      <c r="C321" s="5" t="str">
        <f ca="1">IFERROR(__xludf.DUMMYFUNCTION("""COMPUTED_VALUE"""),"VERDE")</f>
        <v>VERDE</v>
      </c>
      <c r="D321" s="5" t="str">
        <f ca="1">IFERROR(__xludf.DUMMYFUNCTION("""COMPUTED_VALUE"""),"COP")</f>
        <v>COP</v>
      </c>
      <c r="E321" s="5" t="str">
        <f ca="1">IFERROR(__xludf.DUMMYFUNCTION("""COMPUTED_VALUE"""),"DSD")</f>
        <v>DSD</v>
      </c>
      <c r="F321" s="5" t="b">
        <f ca="1">IFERROR(__xludf.DUMMYFUNCTION("""COMPUTED_VALUE"""),TRUE)</f>
        <v>1</v>
      </c>
      <c r="G321" s="5" t="str">
        <f ca="1">IFERROR(__xludf.DUMMYFUNCTION("""COMPUTED_VALUE"""),"ESTEBAN POTOSI ")</f>
        <v xml:space="preserve">ESTEBAN POTOSI </v>
      </c>
      <c r="H321" s="5"/>
      <c r="I321" s="5"/>
      <c r="J321" s="5" t="str">
        <f t="shared" ca="1" si="1"/>
        <v>Limpieza realizada</v>
      </c>
    </row>
    <row r="322" spans="1:10">
      <c r="A322" s="65"/>
      <c r="B322" s="5" t="str">
        <f ca="1">IFERROR(__xludf.DUMMYFUNCTION("""COMPUTED_VALUE"""),"Juego de llave mixta")</f>
        <v>Juego de llave mixta</v>
      </c>
      <c r="C322" s="5" t="str">
        <f ca="1">IFERROR(__xludf.DUMMYFUNCTION("""COMPUTED_VALUE"""),"VERDE")</f>
        <v>VERDE</v>
      </c>
      <c r="D322" s="5" t="str">
        <f ca="1">IFERROR(__xludf.DUMMYFUNCTION("""COMPUTED_VALUE"""),"COP")</f>
        <v>COP</v>
      </c>
      <c r="E322" s="5" t="str">
        <f ca="1">IFERROR(__xludf.DUMMYFUNCTION("""COMPUTED_VALUE"""),"DSD")</f>
        <v>DSD</v>
      </c>
      <c r="F322" s="5" t="b">
        <f ca="1">IFERROR(__xludf.DUMMYFUNCTION("""COMPUTED_VALUE"""),TRUE)</f>
        <v>1</v>
      </c>
      <c r="G322" s="5" t="str">
        <f ca="1">IFERROR(__xludf.DUMMYFUNCTION("""COMPUTED_VALUE"""),"ESTEBAN POTOSI ")</f>
        <v xml:space="preserve">ESTEBAN POTOSI </v>
      </c>
      <c r="H322" s="5"/>
      <c r="I322" s="5"/>
      <c r="J322" s="5" t="str">
        <f t="shared" ca="1" si="1"/>
        <v>Limpieza realizada</v>
      </c>
    </row>
    <row r="323" spans="1:10">
      <c r="A323" s="65"/>
      <c r="B323" s="5" t="str">
        <f ca="1">IFERROR(__xludf.DUMMYFUNCTION("""COMPUTED_VALUE"""),"Pinza punta larga")</f>
        <v>Pinza punta larga</v>
      </c>
      <c r="C323" s="5" t="str">
        <f ca="1">IFERROR(__xludf.DUMMYFUNCTION("""COMPUTED_VALUE"""),"VERDE")</f>
        <v>VERDE</v>
      </c>
      <c r="D323" s="5" t="str">
        <f ca="1">IFERROR(__xludf.DUMMYFUNCTION("""COMPUTED_VALUE"""),"COP")</f>
        <v>COP</v>
      </c>
      <c r="E323" s="5" t="str">
        <f ca="1">IFERROR(__xludf.DUMMYFUNCTION("""COMPUTED_VALUE"""),"DSD")</f>
        <v>DSD</v>
      </c>
      <c r="F323" s="5" t="b">
        <f ca="1">IFERROR(__xludf.DUMMYFUNCTION("""COMPUTED_VALUE"""),TRUE)</f>
        <v>1</v>
      </c>
      <c r="G323" s="5" t="str">
        <f ca="1">IFERROR(__xludf.DUMMYFUNCTION("""COMPUTED_VALUE"""),"ESTEBAN POTOSI ")</f>
        <v xml:space="preserve">ESTEBAN POTOSI </v>
      </c>
      <c r="H323" s="5"/>
      <c r="I323" s="5"/>
      <c r="J323" s="5" t="str">
        <f t="shared" ca="1" si="1"/>
        <v>Limpieza realizada</v>
      </c>
    </row>
    <row r="324" spans="1:10">
      <c r="A324" s="65"/>
      <c r="B324" s="5" t="str">
        <f ca="1">IFERROR(__xludf.DUMMYFUNCTION("""COMPUTED_VALUE"""),"Alicate")</f>
        <v>Alicate</v>
      </c>
      <c r="C324" s="5" t="str">
        <f ca="1">IFERROR(__xludf.DUMMYFUNCTION("""COMPUTED_VALUE"""),"VERDE")</f>
        <v>VERDE</v>
      </c>
      <c r="D324" s="5" t="str">
        <f ca="1">IFERROR(__xludf.DUMMYFUNCTION("""COMPUTED_VALUE"""),"COP")</f>
        <v>COP</v>
      </c>
      <c r="E324" s="5" t="str">
        <f ca="1">IFERROR(__xludf.DUMMYFUNCTION("""COMPUTED_VALUE"""),"DSD")</f>
        <v>DSD</v>
      </c>
      <c r="F324" s="5" t="b">
        <f ca="1">IFERROR(__xludf.DUMMYFUNCTION("""COMPUTED_VALUE"""),TRUE)</f>
        <v>1</v>
      </c>
      <c r="G324" s="5" t="str">
        <f ca="1">IFERROR(__xludf.DUMMYFUNCTION("""COMPUTED_VALUE"""),"ESTEBAN POTOSI ")</f>
        <v xml:space="preserve">ESTEBAN POTOSI </v>
      </c>
      <c r="H324" s="5"/>
      <c r="I324" s="5"/>
      <c r="J324" s="5" t="str">
        <f t="shared" ca="1" si="1"/>
        <v>Limpieza realizada</v>
      </c>
    </row>
    <row r="325" spans="1:10">
      <c r="A325" s="65"/>
      <c r="B325" s="5" t="str">
        <f ca="1">IFERROR(__xludf.DUMMYFUNCTION("""COMPUTED_VALUE"""),"Pinza chavetera")</f>
        <v>Pinza chavetera</v>
      </c>
      <c r="C325" s="5" t="str">
        <f ca="1">IFERROR(__xludf.DUMMYFUNCTION("""COMPUTED_VALUE"""),"VERDE")</f>
        <v>VERDE</v>
      </c>
      <c r="D325" s="5" t="str">
        <f ca="1">IFERROR(__xludf.DUMMYFUNCTION("""COMPUTED_VALUE"""),"COP")</f>
        <v>COP</v>
      </c>
      <c r="E325" s="5" t="str">
        <f ca="1">IFERROR(__xludf.DUMMYFUNCTION("""COMPUTED_VALUE"""),"DSD")</f>
        <v>DSD</v>
      </c>
      <c r="F325" s="5" t="b">
        <f ca="1">IFERROR(__xludf.DUMMYFUNCTION("""COMPUTED_VALUE"""),TRUE)</f>
        <v>1</v>
      </c>
      <c r="G325" s="5" t="str">
        <f ca="1">IFERROR(__xludf.DUMMYFUNCTION("""COMPUTED_VALUE"""),"ESTEBAN POTOSI ")</f>
        <v xml:space="preserve">ESTEBAN POTOSI </v>
      </c>
      <c r="H325" s="5"/>
      <c r="I325" s="5"/>
      <c r="J325" s="5" t="str">
        <f t="shared" ca="1" si="1"/>
        <v>Limpieza realizada</v>
      </c>
    </row>
    <row r="326" spans="1:10">
      <c r="A326" s="65"/>
      <c r="B326" s="5" t="str">
        <f ca="1">IFERROR(__xludf.DUMMYFUNCTION("""COMPUTED_VALUE"""),"Alicate presion")</f>
        <v>Alicate presion</v>
      </c>
      <c r="C326" s="5" t="str">
        <f ca="1">IFERROR(__xludf.DUMMYFUNCTION("""COMPUTED_VALUE"""),"VERDE")</f>
        <v>VERDE</v>
      </c>
      <c r="D326" s="5" t="str">
        <f ca="1">IFERROR(__xludf.DUMMYFUNCTION("""COMPUTED_VALUE"""),"COP")</f>
        <v>COP</v>
      </c>
      <c r="E326" s="5" t="str">
        <f ca="1">IFERROR(__xludf.DUMMYFUNCTION("""COMPUTED_VALUE"""),"DSD")</f>
        <v>DSD</v>
      </c>
      <c r="F326" s="5" t="b">
        <f ca="1">IFERROR(__xludf.DUMMYFUNCTION("""COMPUTED_VALUE"""),TRUE)</f>
        <v>1</v>
      </c>
      <c r="G326" s="5" t="str">
        <f ca="1">IFERROR(__xludf.DUMMYFUNCTION("""COMPUTED_VALUE"""),"ESTEBAN POTOSI ")</f>
        <v xml:space="preserve">ESTEBAN POTOSI </v>
      </c>
      <c r="H326" s="5"/>
      <c r="I326" s="5"/>
      <c r="J326" s="5" t="str">
        <f t="shared" ca="1" si="1"/>
        <v>Limpieza realizada</v>
      </c>
    </row>
    <row r="327" spans="1:10">
      <c r="A327" s="65"/>
      <c r="B327" s="5" t="str">
        <f ca="1">IFERROR(__xludf.DUMMYFUNCTION("""COMPUTED_VALUE"""),"Maletin")</f>
        <v>Maletin</v>
      </c>
      <c r="C327" s="5" t="str">
        <f ca="1">IFERROR(__xludf.DUMMYFUNCTION("""COMPUTED_VALUE"""),"VERDE")</f>
        <v>VERDE</v>
      </c>
      <c r="D327" s="5" t="str">
        <f ca="1">IFERROR(__xludf.DUMMYFUNCTION("""COMPUTED_VALUE"""),"COP")</f>
        <v>COP</v>
      </c>
      <c r="E327" s="5" t="str">
        <f ca="1">IFERROR(__xludf.DUMMYFUNCTION("""COMPUTED_VALUE"""),"DSD")</f>
        <v>DSD</v>
      </c>
      <c r="F327" s="5" t="b">
        <f ca="1">IFERROR(__xludf.DUMMYFUNCTION("""COMPUTED_VALUE"""),TRUE)</f>
        <v>1</v>
      </c>
      <c r="G327" s="5" t="str">
        <f ca="1">IFERROR(__xludf.DUMMYFUNCTION("""COMPUTED_VALUE"""),"ESTEBAN POTOSI ")</f>
        <v xml:space="preserve">ESTEBAN POTOSI </v>
      </c>
      <c r="H327" s="5"/>
      <c r="I327" s="5"/>
      <c r="J327" s="5" t="str">
        <f t="shared" ca="1" si="1"/>
        <v>Limpieza realizada</v>
      </c>
    </row>
    <row r="328" spans="1:10">
      <c r="A328" s="65"/>
      <c r="B328" s="5" t="str">
        <f ca="1">IFERROR(__xludf.DUMMYFUNCTION("""COMPUTED_VALUE"""),"Destornillador de pala")</f>
        <v>Destornillador de pala</v>
      </c>
      <c r="C328" s="5" t="str">
        <f ca="1">IFERROR(__xludf.DUMMYFUNCTION("""COMPUTED_VALUE"""),"VERDE")</f>
        <v>VERDE</v>
      </c>
      <c r="D328" s="5" t="str">
        <f ca="1">IFERROR(__xludf.DUMMYFUNCTION("""COMPUTED_VALUE"""),"COP")</f>
        <v>COP</v>
      </c>
      <c r="E328" s="5" t="str">
        <f ca="1">IFERROR(__xludf.DUMMYFUNCTION("""COMPUTED_VALUE"""),"DSD")</f>
        <v>DSD</v>
      </c>
      <c r="F328" s="5" t="b">
        <f ca="1">IFERROR(__xludf.DUMMYFUNCTION("""COMPUTED_VALUE"""),TRUE)</f>
        <v>1</v>
      </c>
      <c r="G328" s="5" t="str">
        <f ca="1">IFERROR(__xludf.DUMMYFUNCTION("""COMPUTED_VALUE"""),"ESTEBAN POTOSI ")</f>
        <v xml:space="preserve">ESTEBAN POTOSI </v>
      </c>
      <c r="H328" s="5"/>
      <c r="I328" s="5"/>
      <c r="J328" s="5" t="str">
        <f t="shared" ca="1" si="1"/>
        <v>Limpieza realizada</v>
      </c>
    </row>
    <row r="329" spans="1:10">
      <c r="A329" s="65"/>
      <c r="B329" s="5" t="str">
        <f ca="1">IFERROR(__xludf.DUMMYFUNCTION("""COMPUTED_VALUE"""),"Destornillador de estria")</f>
        <v>Destornillador de estria</v>
      </c>
      <c r="C329" s="5" t="str">
        <f ca="1">IFERROR(__xludf.DUMMYFUNCTION("""COMPUTED_VALUE"""),"VERDE")</f>
        <v>VERDE</v>
      </c>
      <c r="D329" s="5" t="str">
        <f ca="1">IFERROR(__xludf.DUMMYFUNCTION("""COMPUTED_VALUE"""),"COP")</f>
        <v>COP</v>
      </c>
      <c r="E329" s="5" t="str">
        <f ca="1">IFERROR(__xludf.DUMMYFUNCTION("""COMPUTED_VALUE"""),"DSD")</f>
        <v>DSD</v>
      </c>
      <c r="F329" s="5" t="b">
        <f ca="1">IFERROR(__xludf.DUMMYFUNCTION("""COMPUTED_VALUE"""),TRUE)</f>
        <v>1</v>
      </c>
      <c r="G329" s="5" t="str">
        <f ca="1">IFERROR(__xludf.DUMMYFUNCTION("""COMPUTED_VALUE"""),"ESTEBAN POTOSI ")</f>
        <v xml:space="preserve">ESTEBAN POTOSI </v>
      </c>
      <c r="H329" s="5"/>
      <c r="I329" s="5"/>
      <c r="J329" s="5" t="str">
        <f t="shared" ca="1" si="1"/>
        <v>Limpieza realizada</v>
      </c>
    </row>
    <row r="330" spans="1:10">
      <c r="A330" s="65"/>
      <c r="B330" s="5" t="str">
        <f ca="1">IFERROR(__xludf.DUMMYFUNCTION("""COMPUTED_VALUE"""),"Multimetro")</f>
        <v>Multimetro</v>
      </c>
      <c r="C330" s="5" t="str">
        <f ca="1">IFERROR(__xludf.DUMMYFUNCTION("""COMPUTED_VALUE"""),"VERDE")</f>
        <v>VERDE</v>
      </c>
      <c r="D330" s="5" t="str">
        <f ca="1">IFERROR(__xludf.DUMMYFUNCTION("""COMPUTED_VALUE"""),"COP")</f>
        <v>COP</v>
      </c>
      <c r="E330" s="5" t="str">
        <f ca="1">IFERROR(__xludf.DUMMYFUNCTION("""COMPUTED_VALUE"""),"DSD")</f>
        <v>DSD</v>
      </c>
      <c r="F330" s="5" t="b">
        <f ca="1">IFERROR(__xludf.DUMMYFUNCTION("""COMPUTED_VALUE"""),TRUE)</f>
        <v>1</v>
      </c>
      <c r="G330" s="5" t="str">
        <f ca="1">IFERROR(__xludf.DUMMYFUNCTION("""COMPUTED_VALUE"""),"ESTEBAN POTOSI ")</f>
        <v xml:space="preserve">ESTEBAN POTOSI </v>
      </c>
      <c r="H330" s="5"/>
      <c r="I330" s="5"/>
      <c r="J330" s="5" t="str">
        <f t="shared" ca="1" si="1"/>
        <v>Limpieza realizada</v>
      </c>
    </row>
    <row r="331" spans="1:10">
      <c r="A331" s="65"/>
      <c r="B331" s="5" t="str">
        <f ca="1">IFERROR(__xludf.DUMMYFUNCTION("""COMPUTED_VALUE"""),"Juego destornilladores dielectricos")</f>
        <v>Juego destornilladores dielectricos</v>
      </c>
      <c r="C331" s="5" t="str">
        <f ca="1">IFERROR(__xludf.DUMMYFUNCTION("""COMPUTED_VALUE"""),"VERDE")</f>
        <v>VERDE</v>
      </c>
      <c r="D331" s="5" t="str">
        <f ca="1">IFERROR(__xludf.DUMMYFUNCTION("""COMPUTED_VALUE"""),"COP")</f>
        <v>COP</v>
      </c>
      <c r="E331" s="5" t="str">
        <f ca="1">IFERROR(__xludf.DUMMYFUNCTION("""COMPUTED_VALUE"""),"DSD")</f>
        <v>DSD</v>
      </c>
      <c r="F331" s="5" t="b">
        <f ca="1">IFERROR(__xludf.DUMMYFUNCTION("""COMPUTED_VALUE"""),TRUE)</f>
        <v>1</v>
      </c>
      <c r="G331" s="5" t="str">
        <f ca="1">IFERROR(__xludf.DUMMYFUNCTION("""COMPUTED_VALUE"""),"ESTEBAN POTOSI ")</f>
        <v xml:space="preserve">ESTEBAN POTOSI </v>
      </c>
      <c r="H331" s="5"/>
      <c r="I331" s="5"/>
      <c r="J331" s="5" t="str">
        <f t="shared" ca="1" si="1"/>
        <v>Limpieza realizada</v>
      </c>
    </row>
    <row r="332" spans="1:10">
      <c r="A332" s="65">
        <f ca="1">IFERROR(__xludf.DUMMYFUNCTION("""COMPUTED_VALUE"""),45349)</f>
        <v>45349</v>
      </c>
      <c r="B332" s="5" t="str">
        <f ca="1">IFERROR(__xludf.DUMMYFUNCTION("""COMPUTED_VALUE"""),"ALICATE DE PRESION HOMBRE SOLO DE 8""")</f>
        <v>ALICATE DE PRESION HOMBRE SOLO DE 8"</v>
      </c>
      <c r="C332" s="5" t="str">
        <f ca="1">IFERROR(__xludf.DUMMYFUNCTION("""COMPUTED_VALUE"""),"VERDE")</f>
        <v>VERDE</v>
      </c>
      <c r="D332" s="5" t="str">
        <f ca="1">IFERROR(__xludf.DUMMYFUNCTION("""COMPUTED_VALUE"""),"COP")</f>
        <v>COP</v>
      </c>
      <c r="E332" s="5" t="str">
        <f ca="1">IFERROR(__xludf.DUMMYFUNCTION("""COMPUTED_VALUE"""),"DSD")</f>
        <v>DSD</v>
      </c>
      <c r="F332" s="5" t="b">
        <f ca="1">IFERROR(__xludf.DUMMYFUNCTION("""COMPUTED_VALUE"""),TRUE)</f>
        <v>1</v>
      </c>
      <c r="G332" s="5" t="str">
        <f ca="1">IFERROR(__xludf.DUMMYFUNCTION("""COMPUTED_VALUE"""),"Jorge Eliécer Poveda Pardo ")</f>
        <v xml:space="preserve">Jorge Eliécer Poveda Pardo </v>
      </c>
      <c r="H332" s="5"/>
      <c r="I332" s="5"/>
      <c r="J332" s="5" t="str">
        <f t="shared" ca="1" si="1"/>
        <v>Limpieza realizada</v>
      </c>
    </row>
    <row r="333" spans="1:10">
      <c r="A333" s="65"/>
      <c r="B333" s="5" t="str">
        <f ca="1">IFERROR(__xludf.DUMMYFUNCTION("""COMPUTED_VALUE"""),"JUEGO DE CINCELES 86B 7 PZAS PROTO")</f>
        <v>JUEGO DE CINCELES 86B 7 PZAS PROTO</v>
      </c>
      <c r="C333" s="5" t="str">
        <f ca="1">IFERROR(__xludf.DUMMYFUNCTION("""COMPUTED_VALUE"""),"VERDE")</f>
        <v>VERDE</v>
      </c>
      <c r="D333" s="5" t="str">
        <f ca="1">IFERROR(__xludf.DUMMYFUNCTION("""COMPUTED_VALUE"""),"COP")</f>
        <v>COP</v>
      </c>
      <c r="E333" s="5" t="str">
        <f ca="1">IFERROR(__xludf.DUMMYFUNCTION("""COMPUTED_VALUE"""),"DSD")</f>
        <v>DSD</v>
      </c>
      <c r="F333" s="5" t="b">
        <f ca="1">IFERROR(__xludf.DUMMYFUNCTION("""COMPUTED_VALUE"""),TRUE)</f>
        <v>1</v>
      </c>
      <c r="G333" s="5" t="str">
        <f ca="1">IFERROR(__xludf.DUMMYFUNCTION("""COMPUTED_VALUE"""),"Jorge Eliécer Poveda Pardo ")</f>
        <v xml:space="preserve">Jorge Eliécer Poveda Pardo </v>
      </c>
      <c r="H333" s="5"/>
      <c r="I333" s="5"/>
      <c r="J333" s="5" t="str">
        <f t="shared" ca="1" si="1"/>
        <v>Limpieza realizada</v>
      </c>
    </row>
    <row r="334" spans="1:10">
      <c r="A334" s="65"/>
      <c r="B334" s="5" t="str">
        <f ca="1">IFERROR(__xludf.DUMMYFUNCTION("""COMPUTED_VALUE"""),"JUEGO DE LIMAS HBN126 SNAP-ON")</f>
        <v>JUEGO DE LIMAS HBN126 SNAP-ON</v>
      </c>
      <c r="C334" s="5" t="str">
        <f ca="1">IFERROR(__xludf.DUMMYFUNCTION("""COMPUTED_VALUE"""),"VERDE")</f>
        <v>VERDE</v>
      </c>
      <c r="D334" s="5" t="str">
        <f ca="1">IFERROR(__xludf.DUMMYFUNCTION("""COMPUTED_VALUE"""),"COP")</f>
        <v>COP</v>
      </c>
      <c r="E334" s="5" t="str">
        <f ca="1">IFERROR(__xludf.DUMMYFUNCTION("""COMPUTED_VALUE"""),"DSD")</f>
        <v>DSD</v>
      </c>
      <c r="F334" s="5" t="b">
        <f ca="1">IFERROR(__xludf.DUMMYFUNCTION("""COMPUTED_VALUE"""),TRUE)</f>
        <v>1</v>
      </c>
      <c r="G334" s="5" t="str">
        <f ca="1">IFERROR(__xludf.DUMMYFUNCTION("""COMPUTED_VALUE"""),"Jorge Eliécer Poveda Pardo ")</f>
        <v xml:space="preserve">Jorge Eliécer Poveda Pardo </v>
      </c>
      <c r="H334" s="5"/>
      <c r="I334" s="5"/>
      <c r="J334" s="5" t="str">
        <f t="shared" ca="1" si="1"/>
        <v>Limpieza realizada</v>
      </c>
    </row>
    <row r="335" spans="1:10">
      <c r="A335" s="65"/>
      <c r="B335" s="5" t="str">
        <f ca="1">IFERROR(__xludf.DUMMYFUNCTION("""COMPUTED_VALUE"""),"JUEGO DE LLAVES BRISTOL 1,5 - 12 MM")</f>
        <v>JUEGO DE LLAVES BRISTOL 1,5 - 12 MM</v>
      </c>
      <c r="C335" s="5" t="str">
        <f ca="1">IFERROR(__xludf.DUMMYFUNCTION("""COMPUTED_VALUE"""),"VERDE")</f>
        <v>VERDE</v>
      </c>
      <c r="D335" s="5" t="str">
        <f ca="1">IFERROR(__xludf.DUMMYFUNCTION("""COMPUTED_VALUE"""),"COP")</f>
        <v>COP</v>
      </c>
      <c r="E335" s="5" t="str">
        <f ca="1">IFERROR(__xludf.DUMMYFUNCTION("""COMPUTED_VALUE"""),"DSD")</f>
        <v>DSD</v>
      </c>
      <c r="F335" s="5" t="b">
        <f ca="1">IFERROR(__xludf.DUMMYFUNCTION("""COMPUTED_VALUE"""),TRUE)</f>
        <v>1</v>
      </c>
      <c r="G335" s="5" t="str">
        <f ca="1">IFERROR(__xludf.DUMMYFUNCTION("""COMPUTED_VALUE"""),"Jorge Eliécer Poveda Pardo ")</f>
        <v xml:space="preserve">Jorge Eliécer Poveda Pardo </v>
      </c>
      <c r="H335" s="5"/>
      <c r="I335" s="5"/>
      <c r="J335" s="5" t="str">
        <f t="shared" ca="1" si="1"/>
        <v>Limpieza realizada</v>
      </c>
    </row>
    <row r="336" spans="1:10">
      <c r="A336" s="65"/>
      <c r="B336" s="5" t="str">
        <f ca="1">IFERROR(__xludf.DUMMYFUNCTION("""COMPUTED_VALUE"""),"MARCO PARA SEGUETA STANDARD")</f>
        <v>MARCO PARA SEGUETA STANDARD</v>
      </c>
      <c r="C336" s="5" t="str">
        <f ca="1">IFERROR(__xludf.DUMMYFUNCTION("""COMPUTED_VALUE"""),"VERDE")</f>
        <v>VERDE</v>
      </c>
      <c r="D336" s="5" t="str">
        <f ca="1">IFERROR(__xludf.DUMMYFUNCTION("""COMPUTED_VALUE"""),"COP")</f>
        <v>COP</v>
      </c>
      <c r="E336" s="5" t="str">
        <f ca="1">IFERROR(__xludf.DUMMYFUNCTION("""COMPUTED_VALUE"""),"DSD")</f>
        <v>DSD</v>
      </c>
      <c r="F336" s="5" t="b">
        <f ca="1">IFERROR(__xludf.DUMMYFUNCTION("""COMPUTED_VALUE"""),TRUE)</f>
        <v>1</v>
      </c>
      <c r="G336" s="5" t="str">
        <f ca="1">IFERROR(__xludf.DUMMYFUNCTION("""COMPUTED_VALUE"""),"Jorge Eliécer Poveda Pardo ")</f>
        <v xml:space="preserve">Jorge Eliécer Poveda Pardo </v>
      </c>
      <c r="H336" s="5"/>
      <c r="I336" s="5"/>
      <c r="J336" s="5" t="str">
        <f t="shared" ca="1" si="1"/>
        <v>Limpieza realizada</v>
      </c>
    </row>
    <row r="337" spans="1:10">
      <c r="A337" s="65"/>
      <c r="B337" s="5" t="str">
        <f ca="1">IFERROR(__xludf.DUMMYFUNCTION("""COMPUTED_VALUE"""),"NIVEL 6""")</f>
        <v>NIVEL 6"</v>
      </c>
      <c r="C337" s="5" t="str">
        <f ca="1">IFERROR(__xludf.DUMMYFUNCTION("""COMPUTED_VALUE"""),"VERDE")</f>
        <v>VERDE</v>
      </c>
      <c r="D337" s="5" t="str">
        <f ca="1">IFERROR(__xludf.DUMMYFUNCTION("""COMPUTED_VALUE"""),"COP")</f>
        <v>COP</v>
      </c>
      <c r="E337" s="5" t="str">
        <f ca="1">IFERROR(__xludf.DUMMYFUNCTION("""COMPUTED_VALUE"""),"DSD")</f>
        <v>DSD</v>
      </c>
      <c r="F337" s="5" t="b">
        <f ca="1">IFERROR(__xludf.DUMMYFUNCTION("""COMPUTED_VALUE"""),TRUE)</f>
        <v>1</v>
      </c>
      <c r="G337" s="5" t="str">
        <f ca="1">IFERROR(__xludf.DUMMYFUNCTION("""COMPUTED_VALUE"""),"Jorge Eliécer Poveda Pardo ")</f>
        <v xml:space="preserve">Jorge Eliécer Poveda Pardo </v>
      </c>
      <c r="H337" s="5"/>
      <c r="I337" s="5"/>
      <c r="J337" s="5" t="str">
        <f t="shared" ca="1" si="1"/>
        <v>Limpieza realizada</v>
      </c>
    </row>
    <row r="338" spans="1:10">
      <c r="A338" s="65"/>
      <c r="B338" s="5" t="str">
        <f ca="1">IFERROR(__xludf.DUMMYFUNCTION("""COMPUTED_VALUE"""),"DESTORNILLADOR DE PALA 3/8"" X 12"" 981")</f>
        <v>DESTORNILLADOR DE PALA 3/8" X 12" 981</v>
      </c>
      <c r="C338" s="5" t="str">
        <f ca="1">IFERROR(__xludf.DUMMYFUNCTION("""COMPUTED_VALUE"""),"VERDE")</f>
        <v>VERDE</v>
      </c>
      <c r="D338" s="5" t="str">
        <f ca="1">IFERROR(__xludf.DUMMYFUNCTION("""COMPUTED_VALUE"""),"COP")</f>
        <v>COP</v>
      </c>
      <c r="E338" s="5" t="str">
        <f ca="1">IFERROR(__xludf.DUMMYFUNCTION("""COMPUTED_VALUE"""),"DSD")</f>
        <v>DSD</v>
      </c>
      <c r="F338" s="5" t="b">
        <f ca="1">IFERROR(__xludf.DUMMYFUNCTION("""COMPUTED_VALUE"""),TRUE)</f>
        <v>1</v>
      </c>
      <c r="G338" s="5" t="str">
        <f ca="1">IFERROR(__xludf.DUMMYFUNCTION("""COMPUTED_VALUE"""),"Jorge Eliécer Poveda Pardo ")</f>
        <v xml:space="preserve">Jorge Eliécer Poveda Pardo </v>
      </c>
      <c r="H338" s="5"/>
      <c r="I338" s="5"/>
      <c r="J338" s="5" t="str">
        <f t="shared" ca="1" si="1"/>
        <v>Limpieza realizada</v>
      </c>
    </row>
    <row r="339" spans="1:10">
      <c r="A339" s="65"/>
      <c r="B339" s="5" t="str">
        <f ca="1">IFERROR(__xludf.DUMMYFUNCTION("""COMPUTED_VALUE"""),"ALICATE AISLADO DE 8""")</f>
        <v>ALICATE AISLADO DE 8"</v>
      </c>
      <c r="C339" s="5" t="str">
        <f ca="1">IFERROR(__xludf.DUMMYFUNCTION("""COMPUTED_VALUE"""),"VERDE")</f>
        <v>VERDE</v>
      </c>
      <c r="D339" s="5" t="str">
        <f ca="1">IFERROR(__xludf.DUMMYFUNCTION("""COMPUTED_VALUE"""),"COP")</f>
        <v>COP</v>
      </c>
      <c r="E339" s="5" t="str">
        <f ca="1">IFERROR(__xludf.DUMMYFUNCTION("""COMPUTED_VALUE"""),"DSD")</f>
        <v>DSD</v>
      </c>
      <c r="F339" s="5" t="b">
        <f ca="1">IFERROR(__xludf.DUMMYFUNCTION("""COMPUTED_VALUE"""),TRUE)</f>
        <v>1</v>
      </c>
      <c r="G339" s="5" t="str">
        <f ca="1">IFERROR(__xludf.DUMMYFUNCTION("""COMPUTED_VALUE"""),"Jorge Eliécer Poveda Pardo ")</f>
        <v xml:space="preserve">Jorge Eliécer Poveda Pardo </v>
      </c>
      <c r="H339" s="5"/>
      <c r="I339" s="5"/>
      <c r="J339" s="5" t="str">
        <f t="shared" ca="1" si="1"/>
        <v>Limpieza realizada</v>
      </c>
    </row>
    <row r="340" spans="1:10">
      <c r="A340" s="65"/>
      <c r="B340" s="5" t="str">
        <f ca="1">IFERROR(__xludf.DUMMYFUNCTION("""COMPUTED_VALUE"""),"LLAVE DE EXPANSION 8""")</f>
        <v>LLAVE DE EXPANSION 8"</v>
      </c>
      <c r="C340" s="5" t="str">
        <f ca="1">IFERROR(__xludf.DUMMYFUNCTION("""COMPUTED_VALUE"""),"VERDE")</f>
        <v>VERDE</v>
      </c>
      <c r="D340" s="5" t="str">
        <f ca="1">IFERROR(__xludf.DUMMYFUNCTION("""COMPUTED_VALUE"""),"COP")</f>
        <v>COP</v>
      </c>
      <c r="E340" s="5" t="str">
        <f ca="1">IFERROR(__xludf.DUMMYFUNCTION("""COMPUTED_VALUE"""),"DSD")</f>
        <v>DSD</v>
      </c>
      <c r="F340" s="5" t="b">
        <f ca="1">IFERROR(__xludf.DUMMYFUNCTION("""COMPUTED_VALUE"""),TRUE)</f>
        <v>1</v>
      </c>
      <c r="G340" s="5" t="str">
        <f ca="1">IFERROR(__xludf.DUMMYFUNCTION("""COMPUTED_VALUE"""),"Jorge Eliécer Poveda Pardo ")</f>
        <v xml:space="preserve">Jorge Eliécer Poveda Pardo </v>
      </c>
      <c r="H340" s="5"/>
      <c r="I340" s="5"/>
      <c r="J340" s="5" t="str">
        <f t="shared" ca="1" si="1"/>
        <v>Limpieza realizada</v>
      </c>
    </row>
    <row r="341" spans="1:10">
      <c r="A341" s="65"/>
      <c r="B341" s="5" t="str">
        <f ca="1">IFERROR(__xludf.DUMMYFUNCTION("""COMPUTED_VALUE"""),"DESTORNILLADOR DE PALA 1/8"" X 3""")</f>
        <v>DESTORNILLADOR DE PALA 1/8" X 3"</v>
      </c>
      <c r="C341" s="5" t="str">
        <f ca="1">IFERROR(__xludf.DUMMYFUNCTION("""COMPUTED_VALUE"""),"VERDE")</f>
        <v>VERDE</v>
      </c>
      <c r="D341" s="5" t="str">
        <f ca="1">IFERROR(__xludf.DUMMYFUNCTION("""COMPUTED_VALUE"""),"COP")</f>
        <v>COP</v>
      </c>
      <c r="E341" s="5" t="str">
        <f ca="1">IFERROR(__xludf.DUMMYFUNCTION("""COMPUTED_VALUE"""),"DSD")</f>
        <v>DSD</v>
      </c>
      <c r="F341" s="5" t="b">
        <f ca="1">IFERROR(__xludf.DUMMYFUNCTION("""COMPUTED_VALUE"""),TRUE)</f>
        <v>1</v>
      </c>
      <c r="G341" s="5" t="str">
        <f ca="1">IFERROR(__xludf.DUMMYFUNCTION("""COMPUTED_VALUE"""),"Jorge Eliécer Poveda Pardo ")</f>
        <v xml:space="preserve">Jorge Eliécer Poveda Pardo </v>
      </c>
      <c r="H341" s="5"/>
      <c r="I341" s="5"/>
      <c r="J341" s="5" t="str">
        <f t="shared" ca="1" si="1"/>
        <v>Limpieza realizada</v>
      </c>
    </row>
    <row r="342" spans="1:10">
      <c r="A342" s="65"/>
      <c r="B342" s="5" t="str">
        <f ca="1">IFERROR(__xludf.DUMMYFUNCTION("""COMPUTED_VALUE"""),"FLEXOMETRO 5 MTS")</f>
        <v>FLEXOMETRO 5 MTS</v>
      </c>
      <c r="C342" s="5" t="str">
        <f ca="1">IFERROR(__xludf.DUMMYFUNCTION("""COMPUTED_VALUE"""),"VERDE")</f>
        <v>VERDE</v>
      </c>
      <c r="D342" s="5" t="str">
        <f ca="1">IFERROR(__xludf.DUMMYFUNCTION("""COMPUTED_VALUE"""),"COP")</f>
        <v>COP</v>
      </c>
      <c r="E342" s="5" t="str">
        <f ca="1">IFERROR(__xludf.DUMMYFUNCTION("""COMPUTED_VALUE"""),"DSD")</f>
        <v>DSD</v>
      </c>
      <c r="F342" s="5" t="b">
        <f ca="1">IFERROR(__xludf.DUMMYFUNCTION("""COMPUTED_VALUE"""),TRUE)</f>
        <v>1</v>
      </c>
      <c r="G342" s="5" t="str">
        <f ca="1">IFERROR(__xludf.DUMMYFUNCTION("""COMPUTED_VALUE"""),"Jorge Eliécer Poveda Pardo ")</f>
        <v xml:space="preserve">Jorge Eliécer Poveda Pardo </v>
      </c>
      <c r="H342" s="5"/>
      <c r="I342" s="5"/>
      <c r="J342" s="5" t="str">
        <f t="shared" ca="1" si="1"/>
        <v>Limpieza realizada</v>
      </c>
    </row>
    <row r="343" spans="1:10">
      <c r="A343" s="65"/>
      <c r="B343" s="5" t="str">
        <f ca="1">IFERROR(__xludf.DUMMYFUNCTION("""COMPUTED_VALUE"""),"JGO LLAVES BRISTOL O ALLEN  1/16"" A 3/8")</f>
        <v>JGO LLAVES BRISTOL O ALLEN  1/16" A 3/8</v>
      </c>
      <c r="C343" s="5" t="str">
        <f ca="1">IFERROR(__xludf.DUMMYFUNCTION("""COMPUTED_VALUE"""),"VERDE")</f>
        <v>VERDE</v>
      </c>
      <c r="D343" s="5" t="str">
        <f ca="1">IFERROR(__xludf.DUMMYFUNCTION("""COMPUTED_VALUE"""),"COP")</f>
        <v>COP</v>
      </c>
      <c r="E343" s="5" t="str">
        <f ca="1">IFERROR(__xludf.DUMMYFUNCTION("""COMPUTED_VALUE"""),"DSD")</f>
        <v>DSD</v>
      </c>
      <c r="F343" s="5" t="b">
        <f ca="1">IFERROR(__xludf.DUMMYFUNCTION("""COMPUTED_VALUE"""),TRUE)</f>
        <v>1</v>
      </c>
      <c r="G343" s="5" t="str">
        <f ca="1">IFERROR(__xludf.DUMMYFUNCTION("""COMPUTED_VALUE"""),"Jorge Eliécer Poveda Pardo ")</f>
        <v xml:space="preserve">Jorge Eliécer Poveda Pardo </v>
      </c>
      <c r="H343" s="5"/>
      <c r="I343" s="5"/>
      <c r="J343" s="5" t="str">
        <f t="shared" ca="1" si="1"/>
        <v>Limpieza realizada</v>
      </c>
    </row>
    <row r="344" spans="1:10">
      <c r="A344" s="65"/>
      <c r="B344" s="5" t="str">
        <f ca="1">IFERROR(__xludf.DUMMYFUNCTION("""COMPUTED_VALUE"""),"DESTORNILLADOR DE PALA 1/4"" X 5""")</f>
        <v>DESTORNILLADOR DE PALA 1/4" X 5"</v>
      </c>
      <c r="C344" s="5" t="str">
        <f ca="1">IFERROR(__xludf.DUMMYFUNCTION("""COMPUTED_VALUE"""),"VERDE")</f>
        <v>VERDE</v>
      </c>
      <c r="D344" s="5" t="str">
        <f ca="1">IFERROR(__xludf.DUMMYFUNCTION("""COMPUTED_VALUE"""),"COP")</f>
        <v>COP</v>
      </c>
      <c r="E344" s="5" t="str">
        <f ca="1">IFERROR(__xludf.DUMMYFUNCTION("""COMPUTED_VALUE"""),"DSD")</f>
        <v>DSD</v>
      </c>
      <c r="F344" s="5" t="b">
        <f ca="1">IFERROR(__xludf.DUMMYFUNCTION("""COMPUTED_VALUE"""),TRUE)</f>
        <v>1</v>
      </c>
      <c r="G344" s="5" t="str">
        <f ca="1">IFERROR(__xludf.DUMMYFUNCTION("""COMPUTED_VALUE"""),"Jorge Eliécer Poveda Pardo ")</f>
        <v xml:space="preserve">Jorge Eliécer Poveda Pardo </v>
      </c>
      <c r="H344" s="5"/>
      <c r="I344" s="5"/>
      <c r="J344" s="5" t="str">
        <f t="shared" ca="1" si="1"/>
        <v>Limpieza realizada</v>
      </c>
    </row>
    <row r="345" spans="1:10">
      <c r="A345" s="65"/>
      <c r="B345" s="5" t="str">
        <f ca="1">IFERROR(__xludf.DUMMYFUNCTION("""COMPUTED_VALUE"""),"JUEGO DE BOTADORES 96A PROTO")</f>
        <v>JUEGO DE BOTADORES 96A PROTO</v>
      </c>
      <c r="C345" s="5" t="str">
        <f ca="1">IFERROR(__xludf.DUMMYFUNCTION("""COMPUTED_VALUE"""),"VERDE")</f>
        <v>VERDE</v>
      </c>
      <c r="D345" s="5" t="str">
        <f ca="1">IFERROR(__xludf.DUMMYFUNCTION("""COMPUTED_VALUE"""),"COP")</f>
        <v>COP</v>
      </c>
      <c r="E345" s="5" t="str">
        <f ca="1">IFERROR(__xludf.DUMMYFUNCTION("""COMPUTED_VALUE"""),"DSD")</f>
        <v>DSD</v>
      </c>
      <c r="F345" s="5" t="b">
        <f ca="1">IFERROR(__xludf.DUMMYFUNCTION("""COMPUTED_VALUE"""),TRUE)</f>
        <v>1</v>
      </c>
      <c r="G345" s="5" t="str">
        <f ca="1">IFERROR(__xludf.DUMMYFUNCTION("""COMPUTED_VALUE"""),"Jorge Eliécer Poveda Pardo ")</f>
        <v xml:space="preserve">Jorge Eliécer Poveda Pardo </v>
      </c>
      <c r="H345" s="5"/>
      <c r="I345" s="5"/>
      <c r="J345" s="5" t="str">
        <f t="shared" ca="1" si="1"/>
        <v>Limpieza realizada</v>
      </c>
    </row>
    <row r="346" spans="1:10">
      <c r="A346" s="65"/>
      <c r="B346" s="5" t="str">
        <f ca="1">IFERROR(__xludf.DUMMYFUNCTION("""COMPUTED_VALUE"""),"DESTORNILLADOR DE ESTRELLA 1/4"" X 5""")</f>
        <v>DESTORNILLADOR DE ESTRELLA 1/4" X 5"</v>
      </c>
      <c r="C346" s="5" t="str">
        <f ca="1">IFERROR(__xludf.DUMMYFUNCTION("""COMPUTED_VALUE"""),"VERDE")</f>
        <v>VERDE</v>
      </c>
      <c r="D346" s="5" t="str">
        <f ca="1">IFERROR(__xludf.DUMMYFUNCTION("""COMPUTED_VALUE"""),"COP")</f>
        <v>COP</v>
      </c>
      <c r="E346" s="5" t="str">
        <f ca="1">IFERROR(__xludf.DUMMYFUNCTION("""COMPUTED_VALUE"""),"DSD")</f>
        <v>DSD</v>
      </c>
      <c r="F346" s="5" t="b">
        <f ca="1">IFERROR(__xludf.DUMMYFUNCTION("""COMPUTED_VALUE"""),TRUE)</f>
        <v>1</v>
      </c>
      <c r="G346" s="5" t="str">
        <f ca="1">IFERROR(__xludf.DUMMYFUNCTION("""COMPUTED_VALUE"""),"Jorge Eliécer Poveda Pardo ")</f>
        <v xml:space="preserve">Jorge Eliécer Poveda Pardo </v>
      </c>
      <c r="H346" s="5"/>
      <c r="I346" s="5"/>
      <c r="J346" s="5" t="str">
        <f t="shared" ca="1" si="1"/>
        <v>Limpieza realizada</v>
      </c>
    </row>
    <row r="347" spans="1:10">
      <c r="A347" s="65"/>
      <c r="B347" s="5" t="str">
        <f ca="1">IFERROR(__xludf.DUMMYFUNCTION("""COMPUTED_VALUE"""),"ALICATE PUNTA LARGA STANLEY REF. 84-101")</f>
        <v>ALICATE PUNTA LARGA STANLEY REF. 84-101</v>
      </c>
      <c r="C347" s="5" t="str">
        <f ca="1">IFERROR(__xludf.DUMMYFUNCTION("""COMPUTED_VALUE"""),"VERDE")</f>
        <v>VERDE</v>
      </c>
      <c r="D347" s="5" t="str">
        <f ca="1">IFERROR(__xludf.DUMMYFUNCTION("""COMPUTED_VALUE"""),"COP")</f>
        <v>COP</v>
      </c>
      <c r="E347" s="5" t="str">
        <f ca="1">IFERROR(__xludf.DUMMYFUNCTION("""COMPUTED_VALUE"""),"DSD")</f>
        <v>DSD</v>
      </c>
      <c r="F347" s="5" t="b">
        <f ca="1">IFERROR(__xludf.DUMMYFUNCTION("""COMPUTED_VALUE"""),TRUE)</f>
        <v>1</v>
      </c>
      <c r="G347" s="5" t="str">
        <f ca="1">IFERROR(__xludf.DUMMYFUNCTION("""COMPUTED_VALUE"""),"Jorge Eliécer Poveda Pardo ")</f>
        <v xml:space="preserve">Jorge Eliécer Poveda Pardo </v>
      </c>
      <c r="H347" s="5"/>
      <c r="I347" s="5"/>
      <c r="J347" s="5" t="str">
        <f t="shared" ca="1" si="1"/>
        <v>Limpieza realizada</v>
      </c>
    </row>
    <row r="348" spans="1:10">
      <c r="A348" s="65"/>
      <c r="B348" s="5" t="str">
        <f ca="1">IFERROR(__xludf.DUMMYFUNCTION("""COMPUTED_VALUE"""),"MARTILLO POLIURETANO STANLEY REF. 57-532")</f>
        <v>MARTILLO POLIURETANO STANLEY REF. 57-532</v>
      </c>
      <c r="C348" s="5" t="str">
        <f ca="1">IFERROR(__xludf.DUMMYFUNCTION("""COMPUTED_VALUE"""),"VERDE")</f>
        <v>VERDE</v>
      </c>
      <c r="D348" s="5" t="str">
        <f ca="1">IFERROR(__xludf.DUMMYFUNCTION("""COMPUTED_VALUE"""),"COP")</f>
        <v>COP</v>
      </c>
      <c r="E348" s="5" t="str">
        <f ca="1">IFERROR(__xludf.DUMMYFUNCTION("""COMPUTED_VALUE"""),"DSD")</f>
        <v>DSD</v>
      </c>
      <c r="F348" s="5" t="b">
        <f ca="1">IFERROR(__xludf.DUMMYFUNCTION("""COMPUTED_VALUE"""),TRUE)</f>
        <v>1</v>
      </c>
      <c r="G348" s="5" t="str">
        <f ca="1">IFERROR(__xludf.DUMMYFUNCTION("""COMPUTED_VALUE"""),"Jorge Eliécer Poveda Pardo ")</f>
        <v xml:space="preserve">Jorge Eliécer Poveda Pardo </v>
      </c>
      <c r="H348" s="5"/>
      <c r="I348" s="5"/>
      <c r="J348" s="5" t="str">
        <f t="shared" ca="1" si="1"/>
        <v>Limpieza realizada</v>
      </c>
    </row>
    <row r="349" spans="1:10">
      <c r="A349" s="65"/>
      <c r="B349" s="5" t="str">
        <f ca="1">IFERROR(__xludf.DUMMYFUNCTION("""COMPUTED_VALUE"""),"MARTILLO DE BOLA DE 2 LIBRAS")</f>
        <v>MARTILLO DE BOLA DE 2 LIBRAS</v>
      </c>
      <c r="C349" s="5" t="str">
        <f ca="1">IFERROR(__xludf.DUMMYFUNCTION("""COMPUTED_VALUE"""),"VERDE")</f>
        <v>VERDE</v>
      </c>
      <c r="D349" s="5" t="str">
        <f ca="1">IFERROR(__xludf.DUMMYFUNCTION("""COMPUTED_VALUE"""),"COP")</f>
        <v>COP</v>
      </c>
      <c r="E349" s="5" t="str">
        <f ca="1">IFERROR(__xludf.DUMMYFUNCTION("""COMPUTED_VALUE"""),"DSD")</f>
        <v>DSD</v>
      </c>
      <c r="F349" s="5" t="b">
        <f ca="1">IFERROR(__xludf.DUMMYFUNCTION("""COMPUTED_VALUE"""),TRUE)</f>
        <v>1</v>
      </c>
      <c r="G349" s="5" t="str">
        <f ca="1">IFERROR(__xludf.DUMMYFUNCTION("""COMPUTED_VALUE"""),"Jorge Eliécer Poveda Pardo ")</f>
        <v xml:space="preserve">Jorge Eliécer Poveda Pardo </v>
      </c>
      <c r="H349" s="5"/>
      <c r="I349" s="5"/>
      <c r="J349" s="5" t="str">
        <f t="shared" ca="1" si="1"/>
        <v>Limpieza realizada</v>
      </c>
    </row>
    <row r="350" spans="1:10">
      <c r="A350" s="65"/>
      <c r="B350" s="5" t="str">
        <f ca="1">IFERROR(__xludf.DUMMYFUNCTION("""COMPUTED_VALUE"""),"MARTILLO DE BOLA DE 1 LIBRA")</f>
        <v>MARTILLO DE BOLA DE 1 LIBRA</v>
      </c>
      <c r="C350" s="5" t="str">
        <f ca="1">IFERROR(__xludf.DUMMYFUNCTION("""COMPUTED_VALUE"""),"VERDE")</f>
        <v>VERDE</v>
      </c>
      <c r="D350" s="5" t="str">
        <f ca="1">IFERROR(__xludf.DUMMYFUNCTION("""COMPUTED_VALUE"""),"COP")</f>
        <v>COP</v>
      </c>
      <c r="E350" s="5" t="str">
        <f ca="1">IFERROR(__xludf.DUMMYFUNCTION("""COMPUTED_VALUE"""),"DSD")</f>
        <v>DSD</v>
      </c>
      <c r="F350" s="5" t="b">
        <f ca="1">IFERROR(__xludf.DUMMYFUNCTION("""COMPUTED_VALUE"""),TRUE)</f>
        <v>1</v>
      </c>
      <c r="G350" s="5" t="str">
        <f ca="1">IFERROR(__xludf.DUMMYFUNCTION("""COMPUTED_VALUE"""),"Jorge Eliécer Poveda Pardo ")</f>
        <v xml:space="preserve">Jorge Eliécer Poveda Pardo </v>
      </c>
      <c r="H350" s="5"/>
      <c r="I350" s="5"/>
      <c r="J350" s="5" t="str">
        <f t="shared" ca="1" si="1"/>
        <v>Limpieza realizada</v>
      </c>
    </row>
    <row r="351" spans="1:10">
      <c r="A351" s="65"/>
      <c r="B351" s="5" t="str">
        <f ca="1">IFERROR(__xludf.DUMMYFUNCTION("""COMPUTED_VALUE"""),"LLAVE DE EXPANSION 10""")</f>
        <v>LLAVE DE EXPANSION 10"</v>
      </c>
      <c r="C351" s="5" t="str">
        <f ca="1">IFERROR(__xludf.DUMMYFUNCTION("""COMPUTED_VALUE"""),"VERDE")</f>
        <v>VERDE</v>
      </c>
      <c r="D351" s="5" t="str">
        <f ca="1">IFERROR(__xludf.DUMMYFUNCTION("""COMPUTED_VALUE"""),"COP")</f>
        <v>COP</v>
      </c>
      <c r="E351" s="5" t="str">
        <f ca="1">IFERROR(__xludf.DUMMYFUNCTION("""COMPUTED_VALUE"""),"DSD")</f>
        <v>DSD</v>
      </c>
      <c r="F351" s="5" t="b">
        <f ca="1">IFERROR(__xludf.DUMMYFUNCTION("""COMPUTED_VALUE"""),TRUE)</f>
        <v>1</v>
      </c>
      <c r="G351" s="5" t="str">
        <f ca="1">IFERROR(__xludf.DUMMYFUNCTION("""COMPUTED_VALUE"""),"Jorge Eliécer Poveda Pardo ")</f>
        <v xml:space="preserve">Jorge Eliécer Poveda Pardo </v>
      </c>
      <c r="H351" s="5"/>
      <c r="I351" s="5"/>
      <c r="J351" s="5" t="str">
        <f t="shared" ca="1" si="1"/>
        <v>Limpieza realizada</v>
      </c>
    </row>
    <row r="352" spans="1:10">
      <c r="A352" s="65"/>
      <c r="B352" s="5" t="str">
        <f ca="1">IFERROR(__xludf.DUMMYFUNCTION("""COMPUTED_VALUE"""),"JGO DE COPAS MIL CUADRAN 3/8"" STANLEY 86-209")</f>
        <v>JGO DE COPAS MIL CUADRAN 3/8" STANLEY 86-209</v>
      </c>
      <c r="C352" s="5" t="str">
        <f ca="1">IFERROR(__xludf.DUMMYFUNCTION("""COMPUTED_VALUE"""),"VERDE")</f>
        <v>VERDE</v>
      </c>
      <c r="D352" s="5" t="str">
        <f ca="1">IFERROR(__xludf.DUMMYFUNCTION("""COMPUTED_VALUE"""),"COP")</f>
        <v>COP</v>
      </c>
      <c r="E352" s="5" t="str">
        <f ca="1">IFERROR(__xludf.DUMMYFUNCTION("""COMPUTED_VALUE"""),"DSD")</f>
        <v>DSD</v>
      </c>
      <c r="F352" s="5" t="b">
        <f ca="1">IFERROR(__xludf.DUMMYFUNCTION("""COMPUTED_VALUE"""),TRUE)</f>
        <v>1</v>
      </c>
      <c r="G352" s="5" t="str">
        <f ca="1">IFERROR(__xludf.DUMMYFUNCTION("""COMPUTED_VALUE"""),"Jorge Eliécer Poveda Pardo ")</f>
        <v xml:space="preserve">Jorge Eliécer Poveda Pardo </v>
      </c>
      <c r="H352" s="5"/>
      <c r="I352" s="5"/>
      <c r="J352" s="5" t="str">
        <f t="shared" ca="1" si="1"/>
        <v>Limpieza realizada</v>
      </c>
    </row>
    <row r="353" spans="1:10">
      <c r="A353" s="65"/>
      <c r="B353" s="5" t="str">
        <f ca="1">IFERROR(__xludf.DUMMYFUNCTION("""COMPUTED_VALUE"""),"JGO LLAVES TORX 69-266 STANLEY")</f>
        <v>JGO LLAVES TORX 69-266 STANLEY</v>
      </c>
      <c r="C353" s="5" t="str">
        <f ca="1">IFERROR(__xludf.DUMMYFUNCTION("""COMPUTED_VALUE"""),"VERDE")</f>
        <v>VERDE</v>
      </c>
      <c r="D353" s="5" t="str">
        <f ca="1">IFERROR(__xludf.DUMMYFUNCTION("""COMPUTED_VALUE"""),"COP")</f>
        <v>COP</v>
      </c>
      <c r="E353" s="5" t="str">
        <f ca="1">IFERROR(__xludf.DUMMYFUNCTION("""COMPUTED_VALUE"""),"DSD")</f>
        <v>DSD</v>
      </c>
      <c r="F353" s="5" t="b">
        <f ca="1">IFERROR(__xludf.DUMMYFUNCTION("""COMPUTED_VALUE"""),TRUE)</f>
        <v>1</v>
      </c>
      <c r="G353" s="5" t="str">
        <f ca="1">IFERROR(__xludf.DUMMYFUNCTION("""COMPUTED_VALUE"""),"Jorge Eliécer Poveda Pardo ")</f>
        <v xml:space="preserve">Jorge Eliécer Poveda Pardo </v>
      </c>
      <c r="H353" s="5"/>
      <c r="I353" s="5"/>
      <c r="J353" s="5" t="str">
        <f t="shared" ca="1" si="1"/>
        <v>Limpieza realizada</v>
      </c>
    </row>
    <row r="354" spans="1:10">
      <c r="A354" s="65"/>
      <c r="B354" s="5" t="str">
        <f ca="1">IFERROR(__xludf.DUMMYFUNCTION("""COMPUTED_VALUE"""),"JUEGO LLAVES COMBINADAS (MIXTAS) 6-22 MM")</f>
        <v>JUEGO LLAVES COMBINADAS (MIXTAS) 6-22 MM</v>
      </c>
      <c r="C354" s="5" t="str">
        <f ca="1">IFERROR(__xludf.DUMMYFUNCTION("""COMPUTED_VALUE"""),"VERDE")</f>
        <v>VERDE</v>
      </c>
      <c r="D354" s="5" t="str">
        <f ca="1">IFERROR(__xludf.DUMMYFUNCTION("""COMPUTED_VALUE"""),"COP")</f>
        <v>COP</v>
      </c>
      <c r="E354" s="5" t="str">
        <f ca="1">IFERROR(__xludf.DUMMYFUNCTION("""COMPUTED_VALUE"""),"DSD")</f>
        <v>DSD</v>
      </c>
      <c r="F354" s="5" t="b">
        <f ca="1">IFERROR(__xludf.DUMMYFUNCTION("""COMPUTED_VALUE"""),TRUE)</f>
        <v>1</v>
      </c>
      <c r="G354" s="5" t="str">
        <f ca="1">IFERROR(__xludf.DUMMYFUNCTION("""COMPUTED_VALUE"""),"Jorge Eliécer Poveda Pardo ")</f>
        <v xml:space="preserve">Jorge Eliécer Poveda Pardo </v>
      </c>
      <c r="H354" s="5"/>
      <c r="I354" s="5"/>
      <c r="J354" s="5" t="str">
        <f t="shared" ca="1" si="1"/>
        <v>Limpieza realizada</v>
      </c>
    </row>
    <row r="355" spans="1:10">
      <c r="A355" s="65"/>
      <c r="B355" s="5" t="str">
        <f ca="1">IFERROR(__xludf.DUMMYFUNCTION("""COMPUTED_VALUE"""),"ALICATE PUNTA CURVA EXTER 84-272 STANLEY")</f>
        <v>ALICATE PUNTA CURVA EXTER 84-272 STANLEY</v>
      </c>
      <c r="C355" s="5" t="str">
        <f ca="1">IFERROR(__xludf.DUMMYFUNCTION("""COMPUTED_VALUE"""),"VERDE")</f>
        <v>VERDE</v>
      </c>
      <c r="D355" s="5" t="str">
        <f ca="1">IFERROR(__xludf.DUMMYFUNCTION("""COMPUTED_VALUE"""),"COP")</f>
        <v>COP</v>
      </c>
      <c r="E355" s="5" t="str">
        <f ca="1">IFERROR(__xludf.DUMMYFUNCTION("""COMPUTED_VALUE"""),"DSD")</f>
        <v>DSD</v>
      </c>
      <c r="F355" s="5" t="b">
        <f ca="1">IFERROR(__xludf.DUMMYFUNCTION("""COMPUTED_VALUE"""),TRUE)</f>
        <v>1</v>
      </c>
      <c r="G355" s="5" t="str">
        <f ca="1">IFERROR(__xludf.DUMMYFUNCTION("""COMPUTED_VALUE"""),"Jorge Eliécer Poveda Pardo ")</f>
        <v xml:space="preserve">Jorge Eliécer Poveda Pardo </v>
      </c>
      <c r="H355" s="5"/>
      <c r="I355" s="5"/>
      <c r="J355" s="5" t="str">
        <f t="shared" ca="1" si="1"/>
        <v>Limpieza realizada</v>
      </c>
    </row>
    <row r="356" spans="1:10">
      <c r="A356" s="65"/>
      <c r="B356" s="5" t="str">
        <f ca="1">IFERROR(__xludf.DUMMYFUNCTION("""COMPUTED_VALUE"""),"ALICATE PUNTA CURVA EXTER 84-274 STANLEY")</f>
        <v>ALICATE PUNTA CURVA EXTER 84-274 STANLEY</v>
      </c>
      <c r="C356" s="5" t="str">
        <f ca="1">IFERROR(__xludf.DUMMYFUNCTION("""COMPUTED_VALUE"""),"VERDE")</f>
        <v>VERDE</v>
      </c>
      <c r="D356" s="5" t="str">
        <f ca="1">IFERROR(__xludf.DUMMYFUNCTION("""COMPUTED_VALUE"""),"COP")</f>
        <v>COP</v>
      </c>
      <c r="E356" s="5" t="str">
        <f ca="1">IFERROR(__xludf.DUMMYFUNCTION("""COMPUTED_VALUE"""),"DSD")</f>
        <v>DSD</v>
      </c>
      <c r="F356" s="5" t="b">
        <f ca="1">IFERROR(__xludf.DUMMYFUNCTION("""COMPUTED_VALUE"""),TRUE)</f>
        <v>1</v>
      </c>
      <c r="G356" s="5" t="str">
        <f ca="1">IFERROR(__xludf.DUMMYFUNCTION("""COMPUTED_VALUE"""),"Jorge Eliécer Poveda Pardo ")</f>
        <v xml:space="preserve">Jorge Eliécer Poveda Pardo </v>
      </c>
      <c r="H356" s="5"/>
      <c r="I356" s="5"/>
      <c r="J356" s="5" t="str">
        <f t="shared" ca="1" si="1"/>
        <v>Limpieza realizada</v>
      </c>
    </row>
    <row r="357" spans="1:10">
      <c r="A357" s="65"/>
      <c r="B357" s="5" t="str">
        <f ca="1">IFERROR(__xludf.DUMMYFUNCTION("""COMPUTED_VALUE"""),"JUEGO DE CINCELES Y BOTADORES 12P 16-299")</f>
        <v>JUEGO DE CINCELES Y BOTADORES 12P 16-299</v>
      </c>
      <c r="C357" s="5" t="str">
        <f ca="1">IFERROR(__xludf.DUMMYFUNCTION("""COMPUTED_VALUE"""),"VERDE")</f>
        <v>VERDE</v>
      </c>
      <c r="D357" s="5" t="str">
        <f ca="1">IFERROR(__xludf.DUMMYFUNCTION("""COMPUTED_VALUE"""),"COP")</f>
        <v>COP</v>
      </c>
      <c r="E357" s="5" t="str">
        <f ca="1">IFERROR(__xludf.DUMMYFUNCTION("""COMPUTED_VALUE"""),"DSD")</f>
        <v>DSD</v>
      </c>
      <c r="F357" s="5" t="b">
        <f ca="1">IFERROR(__xludf.DUMMYFUNCTION("""COMPUTED_VALUE"""),TRUE)</f>
        <v>1</v>
      </c>
      <c r="G357" s="5" t="str">
        <f ca="1">IFERROR(__xludf.DUMMYFUNCTION("""COMPUTED_VALUE"""),"Jorge Eliécer Poveda Pardo ")</f>
        <v xml:space="preserve">Jorge Eliécer Poveda Pardo </v>
      </c>
      <c r="H357" s="5"/>
      <c r="I357" s="5"/>
      <c r="J357" s="5" t="str">
        <f t="shared" ca="1" si="1"/>
        <v>Limpieza realizada</v>
      </c>
    </row>
    <row r="358" spans="1:10">
      <c r="A358" s="65"/>
      <c r="B358" s="5" t="str">
        <f ca="1">IFERROR(__xludf.DUMMYFUNCTION("""COMPUTED_VALUE"""),"JUEGO DE COPAS TORX ST09052SJ SATA")</f>
        <v>JUEGO DE COPAS TORX ST09052SJ SATA</v>
      </c>
      <c r="C358" s="5" t="str">
        <f ca="1">IFERROR(__xludf.DUMMYFUNCTION("""COMPUTED_VALUE"""),"VERDE")</f>
        <v>VERDE</v>
      </c>
      <c r="D358" s="5" t="str">
        <f ca="1">IFERROR(__xludf.DUMMYFUNCTION("""COMPUTED_VALUE"""),"COP")</f>
        <v>COP</v>
      </c>
      <c r="E358" s="5" t="str">
        <f ca="1">IFERROR(__xludf.DUMMYFUNCTION("""COMPUTED_VALUE"""),"DSD")</f>
        <v>DSD</v>
      </c>
      <c r="F358" s="5" t="b">
        <f ca="1">IFERROR(__xludf.DUMMYFUNCTION("""COMPUTED_VALUE"""),TRUE)</f>
        <v>1</v>
      </c>
      <c r="G358" s="5" t="str">
        <f ca="1">IFERROR(__xludf.DUMMYFUNCTION("""COMPUTED_VALUE"""),"Jorge Eliécer Poveda Pardo ")</f>
        <v xml:space="preserve">Jorge Eliécer Poveda Pardo </v>
      </c>
      <c r="H358" s="5"/>
      <c r="I358" s="5"/>
      <c r="J358" s="5" t="str">
        <f t="shared" ca="1" si="1"/>
        <v>Limpieza realizada</v>
      </c>
    </row>
    <row r="359" spans="1:10">
      <c r="J359" s="5" t="str">
        <f t="shared" ca="1" si="1"/>
        <v/>
      </c>
    </row>
    <row r="360" spans="1:10">
      <c r="J360" s="5" t="str">
        <f t="shared" si="1"/>
        <v/>
      </c>
    </row>
    <row r="361" spans="1:10">
      <c r="J361" s="5" t="str">
        <f t="shared" si="1"/>
        <v/>
      </c>
    </row>
    <row r="362" spans="1:10">
      <c r="J362" s="5" t="str">
        <f t="shared" si="1"/>
        <v/>
      </c>
    </row>
    <row r="363" spans="1:10">
      <c r="J363" s="5" t="str">
        <f t="shared" si="1"/>
        <v/>
      </c>
    </row>
    <row r="364" spans="1:10">
      <c r="J364" s="5" t="str">
        <f t="shared" si="1"/>
        <v/>
      </c>
    </row>
    <row r="365" spans="1:10">
      <c r="J365" s="5" t="str">
        <f t="shared" si="1"/>
        <v/>
      </c>
    </row>
    <row r="366" spans="1:10">
      <c r="J366" s="5" t="str">
        <f t="shared" si="1"/>
        <v/>
      </c>
    </row>
    <row r="367" spans="1:10">
      <c r="J367" s="5" t="str">
        <f t="shared" si="1"/>
        <v/>
      </c>
    </row>
    <row r="368" spans="1:10">
      <c r="J368" s="5" t="str">
        <f t="shared" si="1"/>
        <v/>
      </c>
    </row>
    <row r="369" spans="10:10">
      <c r="J369" s="5" t="str">
        <f t="shared" si="1"/>
        <v/>
      </c>
    </row>
    <row r="370" spans="10:10">
      <c r="J370" s="5" t="str">
        <f t="shared" si="1"/>
        <v/>
      </c>
    </row>
    <row r="371" spans="10:10">
      <c r="J371" s="5" t="str">
        <f t="shared" si="1"/>
        <v/>
      </c>
    </row>
    <row r="372" spans="10:10">
      <c r="J372" s="5" t="str">
        <f t="shared" si="1"/>
        <v/>
      </c>
    </row>
    <row r="373" spans="10:10">
      <c r="J373" s="5" t="str">
        <f t="shared" si="1"/>
        <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U4218"/>
  <sheetViews>
    <sheetView workbookViewId="0"/>
  </sheetViews>
  <sheetFormatPr baseColWidth="10" defaultColWidth="12.6640625" defaultRowHeight="15.75" customHeight="1"/>
  <cols>
    <col min="1" max="1" width="32" customWidth="1"/>
    <col min="2" max="2" width="23.44140625" customWidth="1"/>
    <col min="5" max="5" width="23.109375" customWidth="1"/>
    <col min="6" max="6" width="28" customWidth="1"/>
    <col min="7" max="7" width="30" customWidth="1"/>
    <col min="8" max="8" width="15.21875" customWidth="1"/>
    <col min="9" max="9" width="22.21875" customWidth="1"/>
    <col min="11" max="11" width="21.77734375" customWidth="1"/>
  </cols>
  <sheetData>
    <row r="1" spans="1:47" ht="26.4">
      <c r="A1" s="66" t="str">
        <f ca="1">IFERROR(__xludf.DUMMYFUNCTION("FILTER(Presente!A:A, Presente!H:H&lt;&gt;"""")"),"Línea")</f>
        <v>Línea</v>
      </c>
      <c r="B1" s="66" t="str">
        <f ca="1">IFERROR(__xludf.DUMMYFUNCTION("FILTER(Presente!C:C, Presente!H:H&lt;&gt;"""")"),"Equipo")</f>
        <v>Equipo</v>
      </c>
      <c r="C1" s="66" t="str">
        <f ca="1">IFERROR(__xludf.DUMMYFUNCTION("FILTER(Presente!F:F, Presente!H:H&lt;&gt;"""")"),"Descripción")</f>
        <v>Descripción</v>
      </c>
      <c r="D1" s="13" t="str">
        <f ca="1">IFERROR(__xludf.DUMMYFUNCTION("FILTER(Presente!N:N, Presente!H:H&lt;&gt;"""")"),"Nombre")</f>
        <v>Nombre</v>
      </c>
      <c r="E1" s="66" t="str">
        <f ca="1">IFERROR(__xludf.DUMMYFUNCTION("FILTER(Presente!H:H, Presente!H:H&lt;&gt;"""")"),"Observaciones")</f>
        <v>Observaciones</v>
      </c>
      <c r="F1" s="67" t="s">
        <v>4541</v>
      </c>
      <c r="G1" s="13" t="str">
        <f ca="1">IFERROR(__xludf.DUMMYFUNCTION("FILTER(Pasado!A:A, Pasado!H:H&lt;&gt;"""")"),"Línea")</f>
        <v>Línea</v>
      </c>
      <c r="H1" s="13" t="str">
        <f ca="1">IFERROR(__xludf.DUMMYFUNCTION("FILTER(Pasado!C:C, Pasado!H:H&lt;&gt;"""")"),"Equipo")</f>
        <v>Equipo</v>
      </c>
      <c r="I1" s="9" t="str">
        <f ca="1">IFERROR(__xludf.DUMMYFUNCTION("FILTER(Pasado!F:F, Pasado!H:H&lt;&gt;"""")"),"Descripción")</f>
        <v>Descripción</v>
      </c>
      <c r="J1" s="9" t="str">
        <f ca="1">IFERROR(__xludf.DUMMYFUNCTION("FILTER(Pasado!H:H, Pasado!H:H&lt;&gt;"""")"),"Observaciones")</f>
        <v>Observaciones</v>
      </c>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row>
    <row r="2" spans="1:47" ht="20.25" customHeight="1">
      <c r="A2" s="66" t="str">
        <f ca="1">IFERROR(__xludf.DUMMYFUNCTION("""COMPUTED_VALUE"""),"LINEA DE ENVASADO PET NO RETORNABLE")</f>
        <v>LINEA DE ENVASADO PET NO RETORNABLE</v>
      </c>
      <c r="B2" s="9" t="str">
        <f ca="1">IFERROR(__xludf.DUMMYFUNCTION("""COMPUTED_VALUE"""),"INSPECTOR DE BOTELLA LLENA")</f>
        <v>INSPECTOR DE BOTELLA LLENA</v>
      </c>
      <c r="C2" s="66" t="str">
        <f ca="1">IFERROR(__xludf.DUMMYFUNCTION("""COMPUTED_VALUE"""),"FUNC. FOTOCELDAS, SENSORES")</f>
        <v>FUNC. FOTOCELDAS, SENSORES</v>
      </c>
      <c r="D2" s="66" t="str">
        <f ca="1">IFERROR(__xludf.DUMMYFUNCTION("""COMPUTED_VALUE"""),"Montes Marmolejo Leonel F")</f>
        <v>Montes Marmolejo Leonel F</v>
      </c>
      <c r="E2" s="9" t="str">
        <f ca="1">IFERROR(__xludf.DUMMYFUNCTION("""COMPUTED_VALUE"""),"Máquina fuera de servicio, inhabilitada mal rechazo, se deben de desactivar las funciones desde pantalla llenadora con cada cambio de receta por qué pueden salir las botellas vacías.")</f>
        <v>Máquina fuera de servicio, inhabilitada mal rechazo, se deben de desactivar las funciones desde pantalla llenadora con cada cambio de receta por qué pueden salir las botellas vacías.</v>
      </c>
      <c r="F2" s="9" t="str">
        <f t="shared" ref="F2:F256" ca="1" si="0">IFERROR(INDEX($J$2:$J$2000, MATCH(CONCATENATE(A2,B2,C2),$G$2:$G$2000&amp;$H$2:$H$2000&amp;$I$2:$I$2000,0)), "No coincide")</f>
        <v>No coincide</v>
      </c>
      <c r="G2" s="9" t="str">
        <f ca="1">IFERROR(__xludf.DUMMYFUNCTION("""COMPUTED_VALUE"""),"LINEA DE ENVASADO PET NO RETORNABLE")</f>
        <v>LINEA DE ENVASADO PET NO RETORNABLE</v>
      </c>
      <c r="H2" s="9" t="str">
        <f ca="1">IFERROR(__xludf.DUMMYFUNCTION("""COMPUTED_VALUE"""),"INSPECTOR DE BOTELLA LLENA")</f>
        <v>INSPECTOR DE BOTELLA LLENA</v>
      </c>
      <c r="I2" s="9" t="str">
        <f ca="1">IFERROR(__xludf.DUMMYFUNCTION("""COMPUTED_VALUE"""),"INSP. FALTA DE TAPON")</f>
        <v>INSP. FALTA DE TAPON</v>
      </c>
      <c r="J2" s="9" t="str">
        <f ca="1">IFERROR(__xludf.DUMMYFUNCTION("""COMPUTED_VALUE"""),"Equipo no cumple con su Función. Se encuentra deshabilitado.")</f>
        <v>Equipo no cumple con su Función. Se encuentra deshabilitado.</v>
      </c>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row>
    <row r="3" spans="1:47" ht="15.75" customHeight="1">
      <c r="A3" s="66" t="str">
        <f ca="1">IFERROR(__xludf.DUMMYFUNCTION("""COMPUTED_VALUE"""),"BOMBAS DE SERVICIO PROCESO")</f>
        <v>BOMBAS DE SERVICIO PROCESO</v>
      </c>
      <c r="B3" s="9" t="str">
        <f ca="1">IFERROR(__xludf.DUMMYFUNCTION("""COMPUTED_VALUE"""),"BOMBA AGUA SUAVIZADA")</f>
        <v>BOMBA AGUA SUAVIZADA</v>
      </c>
      <c r="C3" s="9" t="str">
        <f ca="1">IFERROR(__xludf.DUMMYFUNCTION("""COMPUTED_VALUE"""),"PLAN MTTO MEC BOMBA AGUA SUAVIZ 70948901")</f>
        <v>PLAN MTTO MEC BOMBA AGUA SUAVIZ 70948901</v>
      </c>
      <c r="D3" s="9" t="str">
        <f ca="1">IFERROR(__xludf.DUMMYFUNCTION("""COMPUTED_VALUE"""),"John Edier Gomez Zuñiga")</f>
        <v>John Edier Gomez Zuñiga</v>
      </c>
      <c r="E3" s="9" t="str">
        <f ca="1">IFERROR(__xludf.DUMMYFUNCTION("""COMPUTED_VALUE"""),"Bomba se retira para reparación pendiente por instalar
")</f>
        <v xml:space="preserve">Bomba se retira para reparación pendiente por instalar
</v>
      </c>
      <c r="F3" s="9" t="str">
        <f t="shared" ca="1" si="0"/>
        <v>No coincide</v>
      </c>
      <c r="G3" s="9" t="str">
        <f ca="1">IFERROR(__xludf.DUMMYFUNCTION("""COMPUTED_VALUE"""),"LINEA DE ENVASADO PET NO RETORNABLE")</f>
        <v>LINEA DE ENVASADO PET NO RETORNABLE</v>
      </c>
      <c r="H3" s="9" t="str">
        <f ca="1">IFERROR(__xludf.DUMMYFUNCTION("""COMPUTED_VALUE"""),"INSPECTOR DE BOTELLA LLENA")</f>
        <v>INSPECTOR DE BOTELLA LLENA</v>
      </c>
      <c r="I3" s="9" t="str">
        <f ca="1">IFERROR(__xludf.DUMMYFUNCTION("""COMPUTED_VALUE"""),"INSP. SUBLLENADO")</f>
        <v>INSP. SUBLLENADO</v>
      </c>
      <c r="J3" s="9" t="str">
        <f ca="1">IFERROR(__xludf.DUMMYFUNCTION("""COMPUTED_VALUE"""),"No cumple con su funcion. Las señales estan deshabilitadas.")</f>
        <v>No cumple con su funcion. Las señales estan deshabilitadas.</v>
      </c>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row>
    <row r="4" spans="1:47" ht="15.75" customHeight="1">
      <c r="A4" s="66" t="str">
        <f ca="1">IFERROR(__xludf.DUMMYFUNCTION("""COMPUTED_VALUE"""),"BOMBAS DE SERVICIO PROCESO")</f>
        <v>BOMBAS DE SERVICIO PROCESO</v>
      </c>
      <c r="B4" s="9" t="str">
        <f ca="1">IFERROR(__xludf.DUMMYFUNCTION("""COMPUTED_VALUE"""),"BOMBA AGUA CRISTAL")</f>
        <v>BOMBA AGUA CRISTAL</v>
      </c>
      <c r="C4" s="9" t="str">
        <f ca="1">IFERROR(__xludf.DUMMYFUNCTION("""COMPUTED_VALUE"""),"PLAN MTTO MEC BOMBA AGUA CRISTAL70948904")</f>
        <v>PLAN MTTO MEC BOMBA AGUA CRISTAL70948904</v>
      </c>
      <c r="D4" s="9" t="str">
        <f ca="1">IFERROR(__xludf.DUMMYFUNCTION("""COMPUTED_VALUE"""),"John Edier Gomez Zuñiga")</f>
        <v>John Edier Gomez Zuñiga</v>
      </c>
      <c r="E4" s="9" t="str">
        <f ca="1">IFERROR(__xludf.DUMMYFUNCTION("""COMPUTED_VALUE"""),"Bomba con novedad o problema en el checker descarga que provoca gran fuga de líquido ")</f>
        <v xml:space="preserve">Bomba con novedad o problema en el checker descarga que provoca gran fuga de líquido </v>
      </c>
      <c r="F4" s="9" t="str">
        <f t="shared" ca="1" si="0"/>
        <v>No coincide</v>
      </c>
      <c r="G4" s="9" t="str">
        <f ca="1">IFERROR(__xludf.DUMMYFUNCTION("""COMPUTED_VALUE"""),"LINEA DE ENVASADO PET NO RETORNABLE")</f>
        <v>LINEA DE ENVASADO PET NO RETORNABLE</v>
      </c>
      <c r="H4" s="9" t="str">
        <f ca="1">IFERROR(__xludf.DUMMYFUNCTION("""COMPUTED_VALUE"""),"INSPECTOR DE BOTELLA LLENA")</f>
        <v>INSPECTOR DE BOTELLA LLENA</v>
      </c>
      <c r="I4" s="9" t="str">
        <f ca="1">IFERROR(__xludf.DUMMYFUNCTION("""COMPUTED_VALUE"""),"INSP. TAPA TORCIDA")</f>
        <v>INSP. TAPA TORCIDA</v>
      </c>
      <c r="J4" s="9" t="str">
        <f ca="1">IFERROR(__xludf.DUMMYFUNCTION("""COMPUTED_VALUE"""),"No cumple con su función. Equipo deshabilitado.")</f>
        <v>No cumple con su función. Equipo deshabilitado.</v>
      </c>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row>
    <row r="5" spans="1:47" ht="15.75" customHeight="1">
      <c r="A5" s="66" t="str">
        <f ca="1">IFERROR(__xludf.DUMMYFUNCTION("""COMPUTED_VALUE"""),"BOMBAS DE SERVICIO PROCESO")</f>
        <v>BOMBAS DE SERVICIO PROCESO</v>
      </c>
      <c r="B5" s="9" t="str">
        <f ca="1">IFERROR(__xludf.DUMMYFUNCTION("""COMPUTED_VALUE"""),"BOMBA AGUA PRODUCTO")</f>
        <v>BOMBA AGUA PRODUCTO</v>
      </c>
      <c r="C5" s="9" t="str">
        <f ca="1">IFERROR(__xludf.DUMMYFUNCTION("""COMPUTED_VALUE"""),"PLAN MTTO MEC BOMBA AGUA PRODUCT70948905")</f>
        <v>PLAN MTTO MEC BOMBA AGUA PRODUCT70948905</v>
      </c>
      <c r="D5" s="9" t="str">
        <f ca="1">IFERROR(__xludf.DUMMYFUNCTION("""COMPUTED_VALUE"""),"John Edier Gomez Zuñiga")</f>
        <v>John Edier Gomez Zuñiga</v>
      </c>
      <c r="E5" s="9" t="str">
        <f ca="1">IFERROR(__xludf.DUMMYFUNCTION("""COMPUTED_VALUE"""),"Bomba con fuga de líquido por el sello mecánico de la voluta")</f>
        <v>Bomba con fuga de líquido por el sello mecánico de la voluta</v>
      </c>
      <c r="F5" s="9" t="str">
        <f t="shared" ca="1" si="0"/>
        <v>No coincide</v>
      </c>
      <c r="G5" s="9" t="str">
        <f ca="1">IFERROR(__xludf.DUMMYFUNCTION("""COMPUTED_VALUE"""),"BOMBAS DE SERVICIO PROCESO")</f>
        <v>BOMBAS DE SERVICIO PROCESO</v>
      </c>
      <c r="H5" s="9" t="str">
        <f ca="1">IFERROR(__xludf.DUMMYFUNCTION("""COMPUTED_VALUE"""),"BOMBA AGUA SUAVIZADA")</f>
        <v>BOMBA AGUA SUAVIZADA</v>
      </c>
      <c r="I5" s="9" t="str">
        <f ca="1">IFERROR(__xludf.DUMMYFUNCTION("""COMPUTED_VALUE"""),"PLAN MTTO MEC BOMBA AGUA SUAVIZ 70948901")</f>
        <v>PLAN MTTO MEC BOMBA AGUA SUAVIZ 70948901</v>
      </c>
      <c r="J5" s="9" t="str">
        <f ca="1">IFERROR(__xludf.DUMMYFUNCTION("""COMPUTED_VALUE"""),"Se presenta avería en bomba y se retira para enviar a reparar")</f>
        <v>Se presenta avería en bomba y se retira para enviar a reparar</v>
      </c>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row>
    <row r="6" spans="1:47" ht="15.75" customHeight="1">
      <c r="A6" s="66" t="str">
        <f ca="1">IFERROR(__xludf.DUMMYFUNCTION("""COMPUTED_VALUE"""),"LINEA PET CSD - LINEA 10")</f>
        <v>LINEA PET CSD - LINEA 10</v>
      </c>
      <c r="B6" s="9" t="str">
        <f ca="1">IFERROR(__xludf.DUMMYFUNCTION("""COMPUTED_VALUE"""),"CARBOENFRIADOR DE BEBIDAS")</f>
        <v>CARBOENFRIADOR DE BEBIDAS</v>
      </c>
      <c r="C6" s="9" t="str">
        <f ca="1">IFERROR(__xludf.DUMMYFUNCTION("""COMPUTED_VALUE"""),"ESTADO INSTRUMENTOS")</f>
        <v>ESTADO INSTRUMENTOS</v>
      </c>
      <c r="D6" s="9" t="str">
        <f ca="1">IFERROR(__xludf.DUMMYFUNCTION("""COMPUTED_VALUE"""),"Correa Jose Antonio")</f>
        <v>Correa Jose Antonio</v>
      </c>
      <c r="E6" s="9" t="str">
        <f ca="1">IFERROR(__xludf.DUMMYFUNCTION("""COMPUTED_VALUE"""),"Válvula Q185 refrigeración simulada por actuador pendiente para cambio ")</f>
        <v xml:space="preserve">Válvula Q185 refrigeración simulada por actuador pendiente para cambio </v>
      </c>
      <c r="F6" s="9" t="str">
        <f t="shared" ca="1" si="0"/>
        <v>No coincide</v>
      </c>
      <c r="G6" s="9" t="str">
        <f ca="1">IFERROR(__xludf.DUMMYFUNCTION("""COMPUTED_VALUE"""),"BOMBAS DE SERVICIO PROCESO")</f>
        <v>BOMBAS DE SERVICIO PROCESO</v>
      </c>
      <c r="H6" s="9" t="str">
        <f ca="1">IFERROR(__xludf.DUMMYFUNCTION("""COMPUTED_VALUE"""),"BOMBA AGUA CRISTAL")</f>
        <v>BOMBA AGUA CRISTAL</v>
      </c>
      <c r="I6" s="9" t="str">
        <f ca="1">IFERROR(__xludf.DUMMYFUNCTION("""COMPUTED_VALUE"""),"PLAN MTTO MEC BOMBA AGUA CRISTAL 7094890")</f>
        <v>PLAN MTTO MEC BOMBA AGUA CRISTAL 7094890</v>
      </c>
      <c r="J6" s="9" t="str">
        <f ca="1">IFERROR(__xludf.DUMMYFUNCTION("""COMPUTED_VALUE"""),"Bomba con novedad o problema en el cheker de descarga que provoca una gran fuga de líquido.")</f>
        <v>Bomba con novedad o problema en el cheker de descarga que provoca una gran fuga de líquido.</v>
      </c>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row>
    <row r="7" spans="1:47" ht="15.75" customHeight="1">
      <c r="A7" s="66" t="str">
        <f ca="1">IFERROR(__xludf.DUMMYFUNCTION("""COMPUTED_VALUE"""),"LINEA PET CSD - LINEA 10")</f>
        <v>LINEA PET CSD - LINEA 10</v>
      </c>
      <c r="B7" s="9" t="str">
        <f ca="1">IFERROR(__xludf.DUMMYFUNCTION("""COMPUTED_VALUE"""),"CARBOENFRIADOR DE BEBIDAS")</f>
        <v>CARBOENFRIADOR DE BEBIDAS</v>
      </c>
      <c r="C7" s="9" t="str">
        <f ca="1">IFERROR(__xludf.DUMMYFUNCTION("""COMPUTED_VALUE"""),"ESCAPES FLUIDOS(AIRE,CO2,AGUA)")</f>
        <v>ESCAPES FLUIDOS(AIRE,CO2,AGUA)</v>
      </c>
      <c r="D7" s="9" t="str">
        <f ca="1">IFERROR(__xludf.DUMMYFUNCTION("""COMPUTED_VALUE"""),"Correa Jose Antonio")</f>
        <v>Correa Jose Antonio</v>
      </c>
      <c r="E7" s="9" t="str">
        <f ca="1">IFERROR(__xludf.DUMMYFUNCTION("""COMPUTED_VALUE"""),"Válvula Q104 entrada tanque agua con fuga ")</f>
        <v xml:space="preserve">Válvula Q104 entrada tanque agua con fuga </v>
      </c>
      <c r="F7" s="9" t="str">
        <f t="shared" ca="1" si="0"/>
        <v>No coincide</v>
      </c>
      <c r="G7" s="9" t="str">
        <f ca="1">IFERROR(__xludf.DUMMYFUNCTION("""COMPUTED_VALUE"""),"BOMBAS DE SERVICIO PROCESO")</f>
        <v>BOMBAS DE SERVICIO PROCESO</v>
      </c>
      <c r="H7" s="9" t="str">
        <f ca="1">IFERROR(__xludf.DUMMYFUNCTION("""COMPUTED_VALUE"""),"BOMBA AGUA CRISTAL")</f>
        <v>BOMBA AGUA CRISTAL</v>
      </c>
      <c r="I7" s="9" t="str">
        <f ca="1">IFERROR(__xludf.DUMMYFUNCTION("""COMPUTED_VALUE"""),"PLAN MTTO MEC BOMBA AGUA CRISTAL70948904")</f>
        <v>PLAN MTTO MEC BOMBA AGUA CRISTAL70948904</v>
      </c>
      <c r="J7" s="9" t="str">
        <f ca="1">IFERROR(__xludf.DUMMYFUNCTION("""COMPUTED_VALUE"""),"Bomba con novedad o problema en checker de descarga que provoca una gran fuga de líquido")</f>
        <v>Bomba con novedad o problema en checker de descarga que provoca una gran fuga de líquido</v>
      </c>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row>
    <row r="8" spans="1:47" ht="15.75" customHeight="1">
      <c r="A8" s="66" t="str">
        <f ca="1">IFERROR(__xludf.DUMMYFUNCTION("""COMPUTED_VALUE"""),"LINEA DE ENVASADO PET NO RETORNABLE")</f>
        <v>LINEA DE ENVASADO PET NO RETORNABLE</v>
      </c>
      <c r="B8" s="9" t="str">
        <f ca="1">IFERROR(__xludf.DUMMYFUNCTION("""COMPUTED_VALUE"""),"CODIFICADOR LASER")</f>
        <v>CODIFICADOR LASER</v>
      </c>
      <c r="C8" s="9" t="str">
        <f ca="1">IFERROR(__xludf.DUMMYFUNCTION("""COMPUTED_VALUE"""),"REVISION FUNCIONAMIENTO")</f>
        <v>REVISION FUNCIONAMIENTO</v>
      </c>
      <c r="D8" s="9" t="str">
        <f ca="1">IFERROR(__xludf.DUMMYFUNCTION("""COMPUTED_VALUE"""),"Peña Quiñonez Andres Gilberto")</f>
        <v>Peña Quiñonez Andres Gilberto</v>
      </c>
      <c r="E8" s="9" t="str">
        <f ca="1">IFERROR(__xludf.DUMMYFUNCTION("""COMPUTED_VALUE"""),"Equipo fuera de Trabajo. Actualmente se esta trabajando con el codificador de Tinta.")</f>
        <v>Equipo fuera de Trabajo. Actualmente se esta trabajando con el codificador de Tinta.</v>
      </c>
      <c r="F8" s="9" t="str">
        <f t="shared" ca="1" si="0"/>
        <v>No coincide</v>
      </c>
      <c r="G8" s="9" t="str">
        <f ca="1">IFERROR(__xludf.DUMMYFUNCTION("""COMPUTED_VALUE"""),"BOMBAS DE SERVICIO PROCESO")</f>
        <v>BOMBAS DE SERVICIO PROCESO</v>
      </c>
      <c r="H8" s="9" t="str">
        <f ca="1">IFERROR(__xludf.DUMMYFUNCTION("""COMPUTED_VALUE"""),"BOMBA AGUA PRODUCTO")</f>
        <v>BOMBA AGUA PRODUCTO</v>
      </c>
      <c r="I8" s="9" t="str">
        <f ca="1">IFERROR(__xludf.DUMMYFUNCTION("""COMPUTED_VALUE"""),"PLAN MTTO MEC BOMBA AGUA PRODUCT70948907")</f>
        <v>PLAN MTTO MEC BOMBA AGUA PRODUCT70948907</v>
      </c>
      <c r="J8" s="9" t="str">
        <f ca="1">IFERROR(__xludf.DUMMYFUNCTION("""COMPUTED_VALUE"""),"Bomba con fuga de líquido por el sello mecánico de la voluta")</f>
        <v>Bomba con fuga de líquido por el sello mecánico de la voluta</v>
      </c>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row>
    <row r="9" spans="1:47" ht="15.75" customHeight="1">
      <c r="A9" s="66" t="str">
        <f ca="1">IFERROR(__xludf.DUMMYFUNCTION("""COMPUTED_VALUE"""),"LINEA DE ENVASADO JUGOS PET HOT FILL")</f>
        <v>LINEA DE ENVASADO JUGOS PET HOT FILL</v>
      </c>
      <c r="B9" s="9" t="str">
        <f ca="1">IFERROR(__xludf.DUMMYFUNCTION("""COMPUTED_VALUE"""),"ENFRIADOR")</f>
        <v>ENFRIADOR</v>
      </c>
      <c r="C9" s="9" t="str">
        <f ca="1">IFERROR(__xludf.DUMMYFUNCTION("""COMPUTED_VALUE"""),"ESTADO BANDA TRANSPORTADORA")</f>
        <v>ESTADO BANDA TRANSPORTADORA</v>
      </c>
      <c r="D9" s="9" t="str">
        <f ca="1">IFERROR(__xludf.DUMMYFUNCTION("""COMPUTED_VALUE"""),"Vanegas Guependo Hermes")</f>
        <v>Vanegas Guependo Hermes</v>
      </c>
      <c r="E9" s="9" t="str">
        <f ca="1">IFERROR(__xludf.DUMMYFUNCTION("""COMPUTED_VALUE"""),"Banda del cooler tiene un tramó de eslabones dañados y por ende a la salida se caen las botellas en ese tramó ")</f>
        <v xml:space="preserve">Banda del cooler tiene un tramó de eslabones dañados y por ende a la salida se caen las botellas en ese tramó </v>
      </c>
      <c r="F9" s="9" t="str">
        <f t="shared" ca="1" si="0"/>
        <v>No coincide</v>
      </c>
      <c r="G9" s="9" t="str">
        <f ca="1">IFERROR(__xludf.DUMMYFUNCTION("""COMPUTED_VALUE"""),"LINEA PET CSD - LINEA 10")</f>
        <v>LINEA PET CSD - LINEA 10</v>
      </c>
      <c r="H9" s="9" t="str">
        <f ca="1">IFERROR(__xludf.DUMMYFUNCTION("""COMPUTED_VALUE"""),"CARBOENFRIADOR DE BEBIDAS")</f>
        <v>CARBOENFRIADOR DE BEBIDAS</v>
      </c>
      <c r="I9" s="9" t="str">
        <f ca="1">IFERROR(__xludf.DUMMYFUNCTION("""COMPUTED_VALUE"""),"ESTADO INSTRUMENTOS")</f>
        <v>ESTADO INSTRUMENTOS</v>
      </c>
      <c r="J9" s="9" t="str">
        <f ca="1">IFERROR(__xludf.DUMMYFUNCTION("""COMPUTED_VALUE"""),"Válvula Q102 simulada pendiente revisión
 Válvula Q104 simulada pendiente revisión
 Válvula Q185 simulada pendiente revisión")</f>
        <v>Válvula Q102 simulada pendiente revisión
 Válvula Q104 simulada pendiente revisión
 Válvula Q185 simulada pendiente revisión</v>
      </c>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row>
    <row r="10" spans="1:47" ht="15.75" customHeight="1">
      <c r="A10" s="66" t="str">
        <f ca="1">IFERROR(__xludf.DUMMYFUNCTION("""COMPUTED_VALUE"""),"LINEA DE ENVASADO JUGOS PET HOT FILL")</f>
        <v>LINEA DE ENVASADO JUGOS PET HOT FILL</v>
      </c>
      <c r="B10" s="9" t="str">
        <f ca="1">IFERROR(__xludf.DUMMYFUNCTION("""COMPUTED_VALUE"""),"ENVOLVEDORA DE FILM")</f>
        <v>ENVOLVEDORA DE FILM</v>
      </c>
      <c r="C10" s="9" t="str">
        <f ca="1">IFERROR(__xludf.DUMMYFUNCTION("""COMPUTED_VALUE"""),"PLAN MTTO MEC ENVOLVEDORA DE FILM 579064")</f>
        <v>PLAN MTTO MEC ENVOLVEDORA DE FILM 579064</v>
      </c>
      <c r="D10" s="9" t="str">
        <f ca="1">IFERROR(__xludf.DUMMYFUNCTION("""COMPUTED_VALUE"""),"Martinez Delgado Osver")</f>
        <v>Martinez Delgado Osver</v>
      </c>
      <c r="E10" s="9" t="str">
        <f ca="1">IFERROR(__xludf.DUMMYFUNCTION("""COMPUTED_VALUE"""),"Válvula reguladora de presión se encuentra con fuga ")</f>
        <v xml:space="preserve">Válvula reguladora de presión se encuentra con fuga </v>
      </c>
      <c r="F10" s="9" t="str">
        <f t="shared" ca="1" si="0"/>
        <v>No coincide</v>
      </c>
      <c r="G10" s="9" t="str">
        <f ca="1">IFERROR(__xludf.DUMMYFUNCTION("""COMPUTED_VALUE"""),"LINEA DE ENVASADO PET NO RETORNABLE")</f>
        <v>LINEA DE ENVASADO PET NO RETORNABLE</v>
      </c>
      <c r="H10" s="9" t="str">
        <f ca="1">IFERROR(__xludf.DUMMYFUNCTION("""COMPUTED_VALUE"""),"CODIFICADOR LASER")</f>
        <v>CODIFICADOR LASER</v>
      </c>
      <c r="I10" s="9" t="str">
        <f ca="1">IFERROR(__xludf.DUMMYFUNCTION("""COMPUTED_VALUE"""),"REVISION FUNCIONAMIENTO")</f>
        <v>REVISION FUNCIONAMIENTO</v>
      </c>
      <c r="J10" s="9" t="str">
        <f ca="1">IFERROR(__xludf.DUMMYFUNCTION("""COMPUTED_VALUE"""),"Equipo fuera de servicio. Se esta trabajando con Codificador de Tinta.")</f>
        <v>Equipo fuera de servicio. Se esta trabajando con Codificador de Tinta.</v>
      </c>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row>
    <row r="11" spans="1:47" ht="15.75" customHeight="1">
      <c r="A11" s="66" t="str">
        <f ca="1">IFERROR(__xludf.DUMMYFUNCTION("""COMPUTED_VALUE"""),"LINEA PET CSD - LINEA 10")</f>
        <v>LINEA PET CSD - LINEA 10</v>
      </c>
      <c r="B11" s="9" t="str">
        <f ca="1">IFERROR(__xludf.DUMMYFUNCTION("""COMPUTED_VALUE"""),"ETIQUETADORA ENVOLVENTE")</f>
        <v>ETIQUETADORA ENVOLVENTE</v>
      </c>
      <c r="C11" s="9" t="str">
        <f ca="1">IFERROR(__xludf.DUMMYFUNCTION("""COMPUTED_VALUE"""),"INSP. CONJUNTO CORTE")</f>
        <v>INSP. CONJUNTO CORTE</v>
      </c>
      <c r="D11" s="9" t="str">
        <f ca="1">IFERROR(__xludf.DUMMYFUNCTION("""COMPUTED_VALUE"""),"Gordillo Victoria Luis Miguel")</f>
        <v>Gordillo Victoria Luis Miguel</v>
      </c>
      <c r="E11" s="9" t="str">
        <f ca="1">IFERROR(__xludf.DUMMYFUNCTION("""COMPUTED_VALUE"""),"Sale alarma de advertencia del rodillo de corte agregado 1 ")</f>
        <v xml:space="preserve">Sale alarma de advertencia del rodillo de corte agregado 1 </v>
      </c>
      <c r="F11" s="9" t="str">
        <f t="shared" ca="1" si="0"/>
        <v>No coincide</v>
      </c>
      <c r="G11" s="9" t="str">
        <f ca="1">IFERROR(__xludf.DUMMYFUNCTION("""COMPUTED_VALUE"""),"LINEA PET CSD - LINEA 10")</f>
        <v>LINEA PET CSD - LINEA 10</v>
      </c>
      <c r="H11" s="9" t="str">
        <f ca="1">IFERROR(__xludf.DUMMYFUNCTION("""COMPUTED_VALUE"""),"ENFARDADORA")</f>
        <v>ENFARDADORA</v>
      </c>
      <c r="I11" s="9" t="str">
        <f ca="1">IFERROR(__xludf.DUMMYFUNCTION("""COMPUTED_VALUE"""),"INSP CARRILES TRANSPORTE BOTELLAS")</f>
        <v>INSP CARRILES TRANSPORTE BOTELLAS</v>
      </c>
      <c r="J11" s="9" t="str">
        <f ca="1">IFERROR(__xludf.DUMMYFUNCTION("""COMPUTED_VALUE"""),"Guía entrada de botellas (triángulo) se encuentra defectuoso")</f>
        <v>Guía entrada de botellas (triángulo) se encuentra defectuoso</v>
      </c>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row>
    <row r="12" spans="1:47" ht="15.75" customHeight="1">
      <c r="A12" s="66" t="str">
        <f ca="1">IFERROR(__xludf.DUMMYFUNCTION("""COMPUTED_VALUE"""),"LINEA PET CSD - LINEA 10")</f>
        <v>LINEA PET CSD - LINEA 10</v>
      </c>
      <c r="B12" s="9" t="str">
        <f ca="1">IFERROR(__xludf.DUMMYFUNCTION("""COMPUTED_VALUE"""),"ETIQUETADORA ENVOLVENTE")</f>
        <v>ETIQUETADORA ENVOLVENTE</v>
      </c>
      <c r="C12" s="9" t="str">
        <f ca="1">IFERROR(__xludf.DUMMYFUNCTION("""COMPUTED_VALUE"""),"ESTADO UNIDAD MTTO AIRE")</f>
        <v>ESTADO UNIDAD MTTO AIRE</v>
      </c>
      <c r="D12" s="9" t="str">
        <f ca="1">IFERROR(__xludf.DUMMYFUNCTION("""COMPUTED_VALUE"""),"Gordillo Victoria Luis Miguel")</f>
        <v>Gordillo Victoria Luis Miguel</v>
      </c>
      <c r="E12" s="9" t="str">
        <f ca="1">IFERROR(__xludf.DUMMYFUNCTION("""COMPUTED_VALUE"""),"Se observa fuga de aire por silenciador de la unidad Mtto 
  ")</f>
        <v xml:space="preserve">Se observa fuga de aire por silenciador de la unidad Mtto 
  </v>
      </c>
      <c r="F12" s="9" t="str">
        <f t="shared" ca="1" si="0"/>
        <v>No coincide</v>
      </c>
      <c r="G12" s="9" t="str">
        <f ca="1">IFERROR(__xludf.DUMMYFUNCTION("""COMPUTED_VALUE"""),"LINEA PET CSD - LINEA 10")</f>
        <v>LINEA PET CSD - LINEA 10</v>
      </c>
      <c r="H12" s="9" t="str">
        <f ca="1">IFERROR(__xludf.DUMMYFUNCTION("""COMPUTED_VALUE"""),"ENFARDADORA")</f>
        <v>ENFARDADORA</v>
      </c>
      <c r="I12" s="9" t="str">
        <f ca="1">IFERROR(__xludf.DUMMYFUNCTION("""COMPUTED_VALUE"""),"ESTADO BANDAS TRANSP BOTELLAS-PAQUET")</f>
        <v>ESTADO BANDAS TRANSP BOTELLAS-PAQUET</v>
      </c>
      <c r="J12" s="9" t="str">
        <f ca="1">IFERROR(__xludf.DUMMYFUNCTION("""COMPUTED_VALUE"""),"Banda transportadora entrada horno se encuentra defectuosa requiere cambio")</f>
        <v>Banda transportadora entrada horno se encuentra defectuosa requiere cambio</v>
      </c>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row>
    <row r="13" spans="1:47" ht="15.75" customHeight="1">
      <c r="A13" s="66" t="str">
        <f ca="1">IFERROR(__xludf.DUMMYFUNCTION("""COMPUTED_VALUE"""),"LINEA PET CSD - LINEA 10")</f>
        <v>LINEA PET CSD - LINEA 10</v>
      </c>
      <c r="B13" s="9" t="str">
        <f ca="1">IFERROR(__xludf.DUMMYFUNCTION("""COMPUTED_VALUE"""),"ETIQUETADORA ENVOLVENTE")</f>
        <v>ETIQUETADORA ENVOLVENTE</v>
      </c>
      <c r="C13" s="9" t="str">
        <f ca="1">IFERROR(__xludf.DUMMYFUNCTION("""COMPUTED_VALUE"""),"FUNC. CILINDRO TRANSFERENCIA")</f>
        <v>FUNC. CILINDRO TRANSFERENCIA</v>
      </c>
      <c r="D13" s="9" t="str">
        <f ca="1">IFERROR(__xludf.DUMMYFUNCTION("""COMPUTED_VALUE"""),"Gordillo Victoria Luis Miguel")</f>
        <v>Gordillo Victoria Luis Miguel</v>
      </c>
      <c r="E13" s="9" t="str">
        <f ca="1">IFERROR(__xludf.DUMMYFUNCTION("""COMPUTED_VALUE"""),"Listones con mayor desgastados  formato 600 agregado 1 ")</f>
        <v xml:space="preserve">Listones con mayor desgastados  formato 600 agregado 1 </v>
      </c>
      <c r="F13" s="9" t="str">
        <f t="shared" ca="1" si="0"/>
        <v>No coincide</v>
      </c>
      <c r="G13" s="9" t="str">
        <f ca="1">IFERROR(__xludf.DUMMYFUNCTION("""COMPUTED_VALUE"""),"LINEA PET CSD - LINEA 10")</f>
        <v>LINEA PET CSD - LINEA 10</v>
      </c>
      <c r="H13" s="9" t="str">
        <f ca="1">IFERROR(__xludf.DUMMYFUNCTION("""COMPUTED_VALUE"""),"ENFARDADORA")</f>
        <v>ENFARDADORA</v>
      </c>
      <c r="I13" s="9" t="str">
        <f ca="1">IFERROR(__xludf.DUMMYFUNCTION("""COMPUTED_VALUE"""),"INSP TABLERO ELECTRICO/CLIMATIZADOR")</f>
        <v>INSP TABLERO ELECTRICO/CLIMATIZADOR</v>
      </c>
      <c r="J13" s="9" t="str">
        <f ca="1">IFERROR(__xludf.DUMMYFUNCTION("""COMPUTED_VALUE"""),"Armario eléctrico parte superior enfardadora y armario eléctrico horno termoencogible requiere mantenimiento")</f>
        <v>Armario eléctrico parte superior enfardadora y armario eléctrico horno termoencogible requiere mantenimiento</v>
      </c>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row>
    <row r="14" spans="1:47" ht="15.75" customHeight="1">
      <c r="A14" s="66" t="str">
        <f ca="1">IFERROR(__xludf.DUMMYFUNCTION("""COMPUTED_VALUE"""),"LINEA PET CSD - LINEA 10")</f>
        <v>LINEA PET CSD - LINEA 10</v>
      </c>
      <c r="B14" s="9" t="str">
        <f ca="1">IFERROR(__xludf.DUMMYFUNCTION("""COMPUTED_VALUE"""),"ETIQUETADORA ENVOLVENTE")</f>
        <v>ETIQUETADORA ENVOLVENTE</v>
      </c>
      <c r="C14" s="9" t="str">
        <f ca="1">IFERROR(__xludf.DUMMYFUNCTION("""COMPUTED_VALUE"""),"ESTADO PORTAENVASES")</f>
        <v>ESTADO PORTAENVASES</v>
      </c>
      <c r="D14" s="9" t="str">
        <f ca="1">IFERROR(__xludf.DUMMYFUNCTION("""COMPUTED_VALUE"""),"Gordillo Victoria Luis Miguel")</f>
        <v>Gordillo Victoria Luis Miguel</v>
      </c>
      <c r="E14" s="9" t="str">
        <f ca="1">IFERROR(__xludf.DUMMYFUNCTION("""COMPUTED_VALUE"""),"Faltante separador plástico en formatos 250,400,600,1.5")</f>
        <v>Faltante separador plástico en formatos 250,400,600,1.5</v>
      </c>
      <c r="F14" s="9" t="str">
        <f t="shared" ca="1" si="0"/>
        <v>No coincide</v>
      </c>
      <c r="G14" s="9" t="str">
        <f ca="1">IFERROR(__xludf.DUMMYFUNCTION("""COMPUTED_VALUE"""),"LINEA PET CSD - LINEA 10")</f>
        <v>LINEA PET CSD - LINEA 10</v>
      </c>
      <c r="H14" s="9" t="str">
        <f ca="1">IFERROR(__xludf.DUMMYFUNCTION("""COMPUTED_VALUE"""),"ENFARDADORA")</f>
        <v>ENFARDADORA</v>
      </c>
      <c r="I14" s="9" t="str">
        <f ca="1">IFERROR(__xludf.DUMMYFUNCTION("""COMPUTED_VALUE"""),"INSP INDICADORES DE POSICION")</f>
        <v>INSP INDICADORES DE POSICION</v>
      </c>
      <c r="J14" s="9" t="str">
        <f ca="1">IFERROR(__xludf.DUMMYFUNCTION("""COMPUTED_VALUE"""),"Algunos indicadores se encuentran fuera de servicio")</f>
        <v>Algunos indicadores se encuentran fuera de servicio</v>
      </c>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row>
    <row r="15" spans="1:47" ht="15.75" customHeight="1">
      <c r="A15" s="66" t="str">
        <f ca="1">IFERROR(__xludf.DUMMYFUNCTION("""COMPUTED_VALUE"""),"LINEA PET CSD - LINEA 10")</f>
        <v>LINEA PET CSD - LINEA 10</v>
      </c>
      <c r="B15" s="9" t="str">
        <f ca="1">IFERROR(__xludf.DUMMYFUNCTION("""COMPUTED_VALUE"""),"ETIQUETADORA ENVOLVENTE")</f>
        <v>ETIQUETADORA ENVOLVENTE</v>
      </c>
      <c r="C15" s="9" t="str">
        <f ca="1">IFERROR(__xludf.DUMMYFUNCTION("""COMPUTED_VALUE"""),"ESTADO GUIAS ENTRADA-SALIDA")</f>
        <v>ESTADO GUIAS ENTRADA-SALIDA</v>
      </c>
      <c r="D15" s="9" t="str">
        <f ca="1">IFERROR(__xludf.DUMMYFUNCTION("""COMPUTED_VALUE"""),"Gordillo Victoria Luis Miguel")</f>
        <v>Gordillo Victoria Luis Miguel</v>
      </c>
      <c r="E15" s="9" t="str">
        <f ca="1">IFERROR(__xludf.DUMMYFUNCTION("""COMPUTED_VALUE"""),"Mariposas en mal estado estrella guía entrada a carrusel ")</f>
        <v xml:space="preserve">Mariposas en mal estado estrella guía entrada a carrusel </v>
      </c>
      <c r="F15" s="9" t="str">
        <f t="shared" ca="1" si="0"/>
        <v>No coincide</v>
      </c>
      <c r="G15" s="9" t="str">
        <f ca="1">IFERROR(__xludf.DUMMYFUNCTION("""COMPUTED_VALUE"""),"LINEA DE ENVASADO JUGOS PET HOT FILL")</f>
        <v>LINEA DE ENVASADO JUGOS PET HOT FILL</v>
      </c>
      <c r="H15" s="9" t="str">
        <f ca="1">IFERROR(__xludf.DUMMYFUNCTION("""COMPUTED_VALUE"""),"ENFARDADORA")</f>
        <v>ENFARDADORA</v>
      </c>
      <c r="I15" s="9" t="str">
        <f ca="1">IFERROR(__xludf.DUMMYFUNCTION("""COMPUTED_VALUE"""),"INSP. DE FUGAS")</f>
        <v>INSP. DE FUGAS</v>
      </c>
      <c r="J15" s="9" t="str">
        <f ca="1">IFERROR(__xludf.DUMMYFUNCTION("""COMPUTED_VALUE"""),"Caja reductora Presenta fuga:
 =TBB1.2527
 =TBG1.2139")</f>
        <v>Caja reductora Presenta fuga:
 =TBB1.2527
 =TBG1.2139</v>
      </c>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row>
    <row r="16" spans="1:47" ht="15.75" customHeight="1">
      <c r="A16" s="66" t="str">
        <f ca="1">IFERROR(__xludf.DUMMYFUNCTION("""COMPUTED_VALUE"""),"LINEA PET CSD - LINEA 10")</f>
        <v>LINEA PET CSD - LINEA 10</v>
      </c>
      <c r="B16" s="9" t="str">
        <f ca="1">IFERROR(__xludf.DUMMYFUNCTION("""COMPUTED_VALUE"""),"ETIQUETADORA ENVOLVENTE")</f>
        <v>ETIQUETADORA ENVOLVENTE</v>
      </c>
      <c r="C16" s="9" t="str">
        <f ca="1">IFERROR(__xludf.DUMMYFUNCTION("""COMPUTED_VALUE"""),"NUMERO DE CORTES MENSUALES (AGR 1 Y2)")</f>
        <v>NUMERO DE CORTES MENSUALES (AGR 1 Y2)</v>
      </c>
      <c r="D16" s="9" t="str">
        <f ca="1">IFERROR(__xludf.DUMMYFUNCTION("""COMPUTED_VALUE"""),"Gordillo Victoria Luis Miguel")</f>
        <v>Gordillo Victoria Luis Miguel</v>
      </c>
      <c r="E16" s="9" t="str">
        <f ca="1">IFERROR(__xludf.DUMMYFUNCTION("""COMPUTED_VALUE"""),"Cuchilla del agregado 1 despicada         ")</f>
        <v xml:space="preserve">Cuchilla del agregado 1 despicada         </v>
      </c>
      <c r="F16" s="9" t="str">
        <f t="shared" ca="1" si="0"/>
        <v>No coincide</v>
      </c>
      <c r="G16" s="9" t="str">
        <f ca="1">IFERROR(__xludf.DUMMYFUNCTION("""COMPUTED_VALUE"""),"LINEA DE ENVASADO JUGOS PET HOT FILL")</f>
        <v>LINEA DE ENVASADO JUGOS PET HOT FILL</v>
      </c>
      <c r="H16" s="9" t="str">
        <f ca="1">IFERROR(__xludf.DUMMYFUNCTION("""COMPUTED_VALUE"""),"ENVOLVEDORA DE FILM")</f>
        <v>ENVOLVEDORA DE FILM</v>
      </c>
      <c r="I16" s="9" t="str">
        <f ca="1">IFERROR(__xludf.DUMMYFUNCTION("""COMPUTED_VALUE"""),"PLAN MTTO MEC ENVOLVEDORA DE FILM 579064")</f>
        <v>PLAN MTTO MEC ENVOLVEDORA DE FILM 579064</v>
      </c>
      <c r="J16" s="9" t="str">
        <f ca="1">IFERROR(__xludf.DUMMYFUNCTION("""COMPUTED_VALUE"""),"Regulador de presión se encuentra con fuga")</f>
        <v>Regulador de presión se encuentra con fuga</v>
      </c>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row>
    <row r="17" spans="1:47" ht="15.75" customHeight="1">
      <c r="A17" s="66" t="str">
        <f ca="1">IFERROR(__xludf.DUMMYFUNCTION("""COMPUTED_VALUE"""),"LINEA DE ENVASADO PET NO RETORNABLE")</f>
        <v>LINEA DE ENVASADO PET NO RETORNABLE</v>
      </c>
      <c r="B17" s="9" t="str">
        <f ca="1">IFERROR(__xludf.DUMMYFUNCTION("""COMPUTED_VALUE"""),"ETIQUETADORA")</f>
        <v>ETIQUETADORA</v>
      </c>
      <c r="C17" s="9" t="str">
        <f ca="1">IFERROR(__xludf.DUMMYFUNCTION("""COMPUTED_VALUE"""),"INSP TABLERO ELECTRICO/CLIMATIZADOR")</f>
        <v>INSP TABLERO ELECTRICO/CLIMATIZADOR</v>
      </c>
      <c r="D17" s="9" t="str">
        <f ca="1">IFERROR(__xludf.DUMMYFUNCTION("""COMPUTED_VALUE"""),"Sanchez Rodriguez Gerson Andres")</f>
        <v>Sanchez Rodriguez Gerson Andres</v>
      </c>
      <c r="E17" s="9" t="str">
        <f ca="1">IFERROR(__xludf.DUMMYFUNCTION("""COMPUTED_VALUE"""),"Novedad en el climatizador, armario eléctrico permanece con la puerta abierta.")</f>
        <v>Novedad en el climatizador, armario eléctrico permanece con la puerta abierta.</v>
      </c>
      <c r="F17" s="9" t="str">
        <f t="shared" ca="1" si="0"/>
        <v>No coincide</v>
      </c>
      <c r="G17" s="9" t="str">
        <f ca="1">IFERROR(__xludf.DUMMYFUNCTION("""COMPUTED_VALUE"""),"LINEA PET CSD - LINEA 10")</f>
        <v>LINEA PET CSD - LINEA 10</v>
      </c>
      <c r="H17" s="9" t="str">
        <f ca="1">IFERROR(__xludf.DUMMYFUNCTION("""COMPUTED_VALUE"""),"ETIQUETADORA ENVOLVENTE")</f>
        <v>ETIQUETADORA ENVOLVENTE</v>
      </c>
      <c r="I17" s="9" t="str">
        <f ca="1">IFERROR(__xludf.DUMMYFUNCTION("""COMPUTED_VALUE"""),"INSP. CONJUNTO CORTE")</f>
        <v>INSP. CONJUNTO CORTE</v>
      </c>
      <c r="J17" s="9" t="str">
        <f ca="1">IFERROR(__xludf.DUMMYFUNCTION("""COMPUTED_VALUE"""),"Puerta conjunto de corte agregado 2 en mal estado")</f>
        <v>Puerta conjunto de corte agregado 2 en mal estado</v>
      </c>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row>
    <row r="18" spans="1:47" ht="15.75" customHeight="1">
      <c r="A18" s="66" t="str">
        <f ca="1">IFERROR(__xludf.DUMMYFUNCTION("""COMPUTED_VALUE"""),"LINEA PET CSD - LINEA 10")</f>
        <v>LINEA PET CSD - LINEA 10</v>
      </c>
      <c r="B18" s="9" t="str">
        <f ca="1">IFERROR(__xludf.DUMMYFUNCTION("""COMPUTED_VALUE"""),"INSPECTOR ELECTRONICO DE ENVASE")</f>
        <v>INSPECTOR ELECTRONICO DE ENVASE</v>
      </c>
      <c r="C18" s="9" t="str">
        <f ca="1">IFERROR(__xludf.DUMMYFUNCTION("""COMPUTED_VALUE"""),"FUNC.PANEL CONTROL")</f>
        <v>FUNC.PANEL CONTROL</v>
      </c>
      <c r="D18" s="9" t="str">
        <f ca="1">IFERROR(__xludf.DUMMYFUNCTION("""COMPUTED_VALUE"""),"BONILLA ANGULO EDWIN ANDRES")</f>
        <v>BONILLA ANGULO EDWIN ANDRES</v>
      </c>
      <c r="E18" s="9" t="str">
        <f ca="1">IFERROR(__xludf.DUMMYFUNCTION("""COMPUTED_VALUE"""),"Pantalla se apaga en algunas ocasiones, se reinicia equipo")</f>
        <v>Pantalla se apaga en algunas ocasiones, se reinicia equipo</v>
      </c>
      <c r="F18" s="9" t="str">
        <f t="shared" ca="1" si="0"/>
        <v>No coincide</v>
      </c>
      <c r="G18" s="9" t="str">
        <f ca="1">IFERROR(__xludf.DUMMYFUNCTION("""COMPUTED_VALUE"""),"LINEA PET CSD - LINEA 10")</f>
        <v>LINEA PET CSD - LINEA 10</v>
      </c>
      <c r="H18" s="9" t="str">
        <f ca="1">IFERROR(__xludf.DUMMYFUNCTION("""COMPUTED_VALUE"""),"ETIQUETADORA ENVOLVENTE")</f>
        <v>ETIQUETADORA ENVOLVENTE</v>
      </c>
      <c r="I18" s="9" t="str">
        <f ca="1">IFERROR(__xludf.DUMMYFUNCTION("""COMPUTED_VALUE"""),"ESTADO UNIDAD MTTO AIRE")</f>
        <v>ESTADO UNIDAD MTTO AIRE</v>
      </c>
      <c r="J18" s="9" t="str">
        <f ca="1">IFERROR(__xludf.DUMMYFUNCTION("""COMPUTED_VALUE"""),"Cambio de filtros unidad de mantenimiento")</f>
        <v>Cambio de filtros unidad de mantenimiento</v>
      </c>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row>
    <row r="19" spans="1:47" ht="15.75" customHeight="1">
      <c r="A19" s="66" t="str">
        <f ca="1">IFERROR(__xludf.DUMMYFUNCTION("""COMPUTED_VALUE"""),"LINEA PET CSD - LINEA 10")</f>
        <v>LINEA PET CSD - LINEA 10</v>
      </c>
      <c r="B19" s="9" t="str">
        <f ca="1">IFERROR(__xludf.DUMMYFUNCTION("""COMPUTED_VALUE"""),"INSPECTOR ELECTRONICO DE ENVASE")</f>
        <v>INSPECTOR ELECTRONICO DE ENVASE</v>
      </c>
      <c r="C19" s="9" t="str">
        <f ca="1">IFERROR(__xludf.DUMMYFUNCTION("""COMPUTED_VALUE"""),"INSP. TABLERO ELECTRICO/CLIMATIZADOR")</f>
        <v>INSP. TABLERO ELECTRICO/CLIMATIZADOR</v>
      </c>
      <c r="D19" s="9" t="str">
        <f ca="1">IFERROR(__xludf.DUMMYFUNCTION("""COMPUTED_VALUE"""),"BONILLA ANGULO EDWIN ANDRES")</f>
        <v>BONILLA ANGULO EDWIN ANDRES</v>
      </c>
      <c r="E19" s="9" t="str">
        <f ca="1">IFERROR(__xludf.DUMMYFUNCTION("""COMPUTED_VALUE"""),"Climatizador armario eléctrico no refrigera bien, se debe refrigerar externamente")</f>
        <v>Climatizador armario eléctrico no refrigera bien, se debe refrigerar externamente</v>
      </c>
      <c r="F19" s="9" t="str">
        <f t="shared" ca="1" si="0"/>
        <v>No coincide</v>
      </c>
      <c r="G19" s="9" t="str">
        <f ca="1">IFERROR(__xludf.DUMMYFUNCTION("""COMPUTED_VALUE"""),"LINEA PET CSD - LINEA 10")</f>
        <v>LINEA PET CSD - LINEA 10</v>
      </c>
      <c r="H19" s="9" t="str">
        <f ca="1">IFERROR(__xludf.DUMMYFUNCTION("""COMPUTED_VALUE"""),"ETIQUETADORA ENVOLVENTE")</f>
        <v>ETIQUETADORA ENVOLVENTE</v>
      </c>
      <c r="I19" s="9" t="str">
        <f ca="1">IFERROR(__xludf.DUMMYFUNCTION("""COMPUTED_VALUE"""),"FUNC. CILINDRO TRANSFERENCIA")</f>
        <v>FUNC. CILINDRO TRANSFERENCIA</v>
      </c>
      <c r="J19" s="9" t="str">
        <f ca="1">IFERROR(__xludf.DUMMYFUNCTION("""COMPUTED_VALUE"""),"Listones con desgaste en formato 600.")</f>
        <v>Listones con desgaste en formato 600.</v>
      </c>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row>
    <row r="20" spans="1:47" ht="15.75" customHeight="1">
      <c r="A20" s="66" t="str">
        <f ca="1">IFERROR(__xludf.DUMMYFUNCTION("""COMPUTED_VALUE"""),"LINEA DE ENVASADO JUGOS PET HOT FILL")</f>
        <v>LINEA DE ENVASADO JUGOS PET HOT FILL</v>
      </c>
      <c r="B20" s="9" t="str">
        <f ca="1">IFERROR(__xludf.DUMMYFUNCTION("""COMPUTED_VALUE"""),"TRANSPORTADOR DE EMBALAJES")</f>
        <v>TRANSPORTADOR DE EMBALAJES</v>
      </c>
      <c r="C20" s="9" t="str">
        <f ca="1">IFERROR(__xludf.DUMMYFUNCTION("""COMPUTED_VALUE"""),"ESTADO MOTO REDUCTORES")</f>
        <v>ESTADO MOTO REDUCTORES</v>
      </c>
      <c r="D20" s="9" t="str">
        <f ca="1">IFERROR(__xludf.DUMMYFUNCTION("""COMPUTED_VALUE"""),"Martinez Delgado Osver")</f>
        <v>Martinez Delgado Osver</v>
      </c>
      <c r="E20" s="9" t="str">
        <f ca="1">IFERROR(__xludf.DUMMYFUNCTION("""COMPUTED_VALUE"""),"Caja reductora se encuentra con fuga transportador de embalaje motor # 2139 (101)")</f>
        <v>Caja reductora se encuentra con fuga transportador de embalaje motor # 2139 (101)</v>
      </c>
      <c r="F20" s="9" t="str">
        <f t="shared" ca="1" si="0"/>
        <v>No coincide</v>
      </c>
      <c r="G20" s="9" t="str">
        <f ca="1">IFERROR(__xludf.DUMMYFUNCTION("""COMPUTED_VALUE"""),"LINEA PET CSD - LINEA 10")</f>
        <v>LINEA PET CSD - LINEA 10</v>
      </c>
      <c r="H20" s="9" t="str">
        <f ca="1">IFERROR(__xludf.DUMMYFUNCTION("""COMPUTED_VALUE"""),"ETIQUETADORA ENVOLVENTE")</f>
        <v>ETIQUETADORA ENVOLVENTE</v>
      </c>
      <c r="I20" s="9" t="str">
        <f ca="1">IFERROR(__xludf.DUMMYFUNCTION("""COMPUTED_VALUE"""),"INSP. CONJUNTO ENCOLADOR ADHESIVO")</f>
        <v>INSP. CONJUNTO ENCOLADOR ADHESIVO</v>
      </c>
      <c r="J20" s="9" t="str">
        <f ca="1">IFERROR(__xludf.DUMMYFUNCTION("""COMPUTED_VALUE"""),"Puerta de recipiente de adhesivo en mal estado , agregado 1
 Fuga de adhesivo en agregado 1")</f>
        <v>Puerta de recipiente de adhesivo en mal estado , agregado 1
 Fuga de adhesivo en agregado 1</v>
      </c>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row>
    <row r="21" spans="1:47" ht="15.75" customHeight="1">
      <c r="A21" s="66" t="str">
        <f ca="1">IFERROR(__xludf.DUMMYFUNCTION("""COMPUTED_VALUE"""),"LINEA PET CSD - LINEA 10")</f>
        <v>LINEA PET CSD - LINEA 10</v>
      </c>
      <c r="B21" s="9" t="str">
        <f ca="1">IFERROR(__xludf.DUMMYFUNCTION("""COMPUTED_VALUE"""),"TRANSPORTE DE PALETS")</f>
        <v>TRANSPORTE DE PALETS</v>
      </c>
      <c r="C21" s="9" t="str">
        <f ca="1">IFERROR(__xludf.DUMMYFUNCTION("""COMPUTED_VALUE"""),"ESTADO CARRO TRASLACION ESTIBAS")</f>
        <v>ESTADO CARRO TRASLACION ESTIBAS</v>
      </c>
      <c r="D21" s="9" t="str">
        <f ca="1">IFERROR(__xludf.DUMMYFUNCTION("""COMPUTED_VALUE"""),"PARRA VELANDIA JOHN JAIRO")</f>
        <v>PARRA VELANDIA JOHN JAIRO</v>
      </c>
      <c r="E21" s="9" t="str">
        <f ca="1">IFERROR(__xludf.DUMMYFUNCTION("""COMPUTED_VALUE"""),"Se solicita cambió de rodamiento lineal modupal.se está generando un ruido en los rodamientos ")</f>
        <v xml:space="preserve">Se solicita cambió de rodamiento lineal modupal.se está generando un ruido en los rodamientos </v>
      </c>
      <c r="F21" s="9" t="str">
        <f t="shared" ca="1" si="0"/>
        <v>No coincide</v>
      </c>
      <c r="G21" s="9" t="str">
        <f ca="1">IFERROR(__xludf.DUMMYFUNCTION("""COMPUTED_VALUE"""),"LINEA PET CSD - LINEA 10")</f>
        <v>LINEA PET CSD - LINEA 10</v>
      </c>
      <c r="H21" s="9" t="str">
        <f ca="1">IFERROR(__xludf.DUMMYFUNCTION("""COMPUTED_VALUE"""),"ETIQUETADORA ENVOLVENTE")</f>
        <v>ETIQUETADORA ENVOLVENTE</v>
      </c>
      <c r="I21" s="9" t="str">
        <f ca="1">IFERROR(__xludf.DUMMYFUNCTION("""COMPUTED_VALUE"""),"ESTADO PORTAENVASES")</f>
        <v>ESTADO PORTAENVASES</v>
      </c>
      <c r="J21" s="9" t="str">
        <f ca="1">IFERROR(__xludf.DUMMYFUNCTION("""COMPUTED_VALUE"""),"Faltante separador plástico en formato 250,400,600,1.5")</f>
        <v>Faltante separador plástico en formato 250,400,600,1.5</v>
      </c>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row>
    <row r="22" spans="1:47" ht="15.75" customHeight="1">
      <c r="A22" s="66" t="str">
        <f ca="1">IFERROR(__xludf.DUMMYFUNCTION("""COMPUTED_VALUE"""),"LINEA PET CSD - LINEA 10")</f>
        <v>LINEA PET CSD - LINEA 10</v>
      </c>
      <c r="B22" s="9" t="str">
        <f ca="1">IFERROR(__xludf.DUMMYFUNCTION("""COMPUTED_VALUE"""),"LLENADORA DE BOTELLAS PET 162 VALVULAS")</f>
        <v>LLENADORA DE BOTELLAS PET 162 VALVULAS</v>
      </c>
      <c r="C22" s="9" t="str">
        <f ca="1">IFERROR(__xludf.DUMMYFUNCTION("""COMPUTED_VALUE"""),"SELLADO VALVULAS LLENADO/CENTRADORES")</f>
        <v>SELLADO VALVULAS LLENADO/CENTRADORES</v>
      </c>
      <c r="D22" s="9" t="str">
        <f ca="1">IFERROR(__xludf.DUMMYFUNCTION("""COMPUTED_VALUE"""),"Duran Sanchez Nelson Fernando")</f>
        <v>Duran Sanchez Nelson Fernando</v>
      </c>
      <c r="E22" s="9" t="str">
        <f ca="1">IFERROR(__xludf.DUMMYFUNCTION("""COMPUTED_VALUE"""),"Cilindros elevadores con desgaate considerable en soportes, se aprecian golpes en los mismos al parecer por colisión, además se alcanza a apreciar limáya en sus postes laterales.")</f>
        <v>Cilindros elevadores con desgaate considerable en soportes, se aprecian golpes en los mismos al parecer por colisión, además se alcanza a apreciar limáya en sus postes laterales.</v>
      </c>
      <c r="F22" s="9" t="str">
        <f t="shared" ca="1" si="0"/>
        <v>No coincide</v>
      </c>
      <c r="G22" s="9" t="str">
        <f ca="1">IFERROR(__xludf.DUMMYFUNCTION("""COMPUTED_VALUE"""),"LINEA PET CSD - LINEA 10")</f>
        <v>LINEA PET CSD - LINEA 10</v>
      </c>
      <c r="H22" s="9" t="str">
        <f ca="1">IFERROR(__xludf.DUMMYFUNCTION("""COMPUTED_VALUE"""),"ETIQUETADORA ENVOLVENTE")</f>
        <v>ETIQUETADORA ENVOLVENTE</v>
      </c>
      <c r="I22" s="9" t="str">
        <f ca="1">IFERROR(__xludf.DUMMYFUNCTION("""COMPUTED_VALUE"""),"ESTADO MOTORES")</f>
        <v>ESTADO MOTORES</v>
      </c>
      <c r="J22" s="9" t="str">
        <f ca="1">IFERROR(__xludf.DUMMYFUNCTION("""COMPUTED_VALUE"""),"Servomotores de lo conjuntos de corte presenta posible fuga de aceite")</f>
        <v>Servomotores de lo conjuntos de corte presenta posible fuga de aceite</v>
      </c>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row>
    <row r="23" spans="1:47" ht="15.75" customHeight="1">
      <c r="A23" s="66" t="str">
        <f ca="1">IFERROR(__xludf.DUMMYFUNCTION("""COMPUTED_VALUE"""),"LINEA PET CSD - LINEA 10")</f>
        <v>LINEA PET CSD - LINEA 10</v>
      </c>
      <c r="B23" s="9" t="str">
        <f ca="1">IFERROR(__xludf.DUMMYFUNCTION("""COMPUTED_VALUE"""),"LLENADORA DE BOTELLAS PET 162 VALVULAS")</f>
        <v>LLENADORA DE BOTELLAS PET 162 VALVULAS</v>
      </c>
      <c r="C23" s="9" t="str">
        <f ca="1">IFERROR(__xludf.DUMMYFUNCTION("""COMPUTED_VALUE"""),"ESTADO ESTRELLAS Y PINZAS")</f>
        <v>ESTADO ESTRELLAS Y PINZAS</v>
      </c>
      <c r="D23" s="9" t="str">
        <f ca="1">IFERROR(__xludf.DUMMYFUNCTION("""COMPUTED_VALUE"""),"Duran Sanchez Nelson Fernando")</f>
        <v>Duran Sanchez Nelson Fernando</v>
      </c>
      <c r="E23" s="9" t="str">
        <f ca="1">IFERROR(__xludf.DUMMYFUNCTION("""COMPUTED_VALUE"""),"Estrella de salida carrusel llenadora con desgaste en levas y pinzas al parecer por colisiones repetidas.")</f>
        <v>Estrella de salida carrusel llenadora con desgaste en levas y pinzas al parecer por colisiones repetidas.</v>
      </c>
      <c r="F23" s="9" t="str">
        <f t="shared" ca="1" si="0"/>
        <v>No coincide</v>
      </c>
      <c r="G23" s="9" t="str">
        <f ca="1">IFERROR(__xludf.DUMMYFUNCTION("""COMPUTED_VALUE"""),"LINEA PET CSD - LINEA 10")</f>
        <v>LINEA PET CSD - LINEA 10</v>
      </c>
      <c r="H23" s="9" t="str">
        <f ca="1">IFERROR(__xludf.DUMMYFUNCTION("""COMPUTED_VALUE"""),"ETIQUETADORA ENVOLVENTE")</f>
        <v>ETIQUETADORA ENVOLVENTE</v>
      </c>
      <c r="I23" s="9" t="str">
        <f ca="1">IFERROR(__xludf.DUMMYFUNCTION("""COMPUTED_VALUE"""),"ESTADO GUIAS ENTRADA-SALIDA")</f>
        <v>ESTADO GUIAS ENTRADA-SALIDA</v>
      </c>
      <c r="J23" s="9" t="str">
        <f ca="1">IFERROR(__xludf.DUMMYFUNCTION("""COMPUTED_VALUE"""),"Mariposa de sujeción estrella de entrada a carrusel en mal estado")</f>
        <v>Mariposa de sujeción estrella de entrada a carrusel en mal estado</v>
      </c>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row>
    <row r="24" spans="1:47" ht="15.75" customHeight="1">
      <c r="A24" s="66" t="str">
        <f ca="1">IFERROR(__xludf.DUMMYFUNCTION("""COMPUTED_VALUE"""),"LINEA PET CSD - LINEA 10")</f>
        <v>LINEA PET CSD - LINEA 10</v>
      </c>
      <c r="B24" s="9" t="str">
        <f ca="1">IFERROR(__xludf.DUMMYFUNCTION("""COMPUTED_VALUE"""),"LLENADORA DE BOTELLAS PET 162 VALVULAS")</f>
        <v>LLENADORA DE BOTELLAS PET 162 VALVULAS</v>
      </c>
      <c r="C24" s="9" t="str">
        <f ca="1">IFERROR(__xludf.DUMMYFUNCTION("""COMPUTED_VALUE"""),"INSP FUN FRENO MOTOR")</f>
        <v>INSP FUN FRENO MOTOR</v>
      </c>
      <c r="D24" s="9" t="str">
        <f ca="1">IFERROR(__xludf.DUMMYFUNCTION("""COMPUTED_VALUE"""),"Duran Sanchez Nelson Fernando")</f>
        <v>Duran Sanchez Nelson Fernando</v>
      </c>
      <c r="E24" s="9" t="str">
        <f ca="1">IFERROR(__xludf.DUMMYFUNCTION("""COMPUTED_VALUE"""),"Fallo servomotor carrusel llenadora por velocidad límite de frenado sobrepasada en paradas simples o imprevistas de la máquina.")</f>
        <v>Fallo servomotor carrusel llenadora por velocidad límite de frenado sobrepasada en paradas simples o imprevistas de la máquina.</v>
      </c>
      <c r="F24" s="9" t="str">
        <f t="shared" ca="1" si="0"/>
        <v>No coincide</v>
      </c>
      <c r="G24" s="9" t="str">
        <f ca="1">IFERROR(__xludf.DUMMYFUNCTION("""COMPUTED_VALUE"""),"LINEA PET CSD - LINEA 10")</f>
        <v>LINEA PET CSD - LINEA 10</v>
      </c>
      <c r="H24" s="9" t="str">
        <f ca="1">IFERROR(__xludf.DUMMYFUNCTION("""COMPUTED_VALUE"""),"ETIQUETADORA ENVOLVENTE")</f>
        <v>ETIQUETADORA ENVOLVENTE</v>
      </c>
      <c r="I24" s="9" t="str">
        <f ca="1">IFERROR(__xludf.DUMMYFUNCTION("""COMPUTED_VALUE"""),"NUMERO DE CORTES MENSUALES (AGR 1 Y2)")</f>
        <v>NUMERO DE CORTES MENSUALES (AGR 1 Y2)</v>
      </c>
      <c r="J24" s="9" t="str">
        <f ca="1">IFERROR(__xludf.DUMMYFUNCTION("""COMPUTED_VALUE"""),"Cuchilla agregado 1 despicada 
 Cuchilla agregado 2 despicada se cambia por una de segunda")</f>
        <v>Cuchilla agregado 1 despicada 
 Cuchilla agregado 2 despicada se cambia por una de segunda</v>
      </c>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row>
    <row r="25" spans="1:47" ht="15.75" customHeight="1">
      <c r="A25" s="66" t="str">
        <f ca="1">IFERROR(__xludf.DUMMYFUNCTION("""COMPUTED_VALUE"""),"LINEA PET CSD - LINEA 10")</f>
        <v>LINEA PET CSD - LINEA 10</v>
      </c>
      <c r="B25" s="9" t="str">
        <f ca="1">IFERROR(__xludf.DUMMYFUNCTION("""COMPUTED_VALUE"""),"LLENADORA DE BOTELLAS PET 162 VALVULAS")</f>
        <v>LLENADORA DE BOTELLAS PET 162 VALVULAS</v>
      </c>
      <c r="C25" s="9" t="str">
        <f ca="1">IFERROR(__xludf.DUMMYFUNCTION("""COMPUTED_VALUE"""),"ESTADO BANDAS ALIMENTACION (TAPONADOR)")</f>
        <v>ESTADO BANDAS ALIMENTACION (TAPONADOR)</v>
      </c>
      <c r="D25" s="9" t="str">
        <f ca="1">IFERROR(__xludf.DUMMYFUNCTION("""COMPUTED_VALUE"""),"Duran Sanchez Nelson Fernando")</f>
        <v>Duran Sanchez Nelson Fernando</v>
      </c>
      <c r="E25" s="9" t="str">
        <f ca="1">IFERROR(__xludf.DUMMYFUNCTION("""COMPUTED_VALUE"""),"Banda de transporte de tapa entre cascada y disco superior con desgaste  se observa mayor desgaste hacía un lado específico.")</f>
        <v>Banda de transporte de tapa entre cascada y disco superior con desgaste  se observa mayor desgaste hacía un lado específico.</v>
      </c>
      <c r="F25" s="9" t="str">
        <f t="shared" ca="1" si="0"/>
        <v>No coincide</v>
      </c>
      <c r="G25" s="9" t="str">
        <f ca="1">IFERROR(__xludf.DUMMYFUNCTION("""COMPUTED_VALUE"""),"LINEA DE ENVASADO JUGOS PET HOT FILL")</f>
        <v>LINEA DE ENVASADO JUGOS PET HOT FILL</v>
      </c>
      <c r="H25" s="9" t="str">
        <f ca="1">IFERROR(__xludf.DUMMYFUNCTION("""COMPUTED_VALUE"""),"ETIQUETADORA")</f>
        <v>ETIQUETADORA</v>
      </c>
      <c r="I25" s="9" t="str">
        <f ca="1">IFERROR(__xludf.DUMMYFUNCTION("""COMPUTED_VALUE"""),"FUNC. EQUIPO BANDA SEGURIDAD")</f>
        <v>FUNC. EQUIPO BANDA SEGURIDAD</v>
      </c>
      <c r="J25" s="9" t="str">
        <f ca="1">IFERROR(__xludf.DUMMYFUNCTION("""COMPUTED_VALUE"""),"El sistema de encolado el peine de la rasqueta # 1 no está haciendo la función de detener la etiqueta si no que en ocaciones se va hacia la bomba de pegante")</f>
        <v>El sistema de encolado el peine de la rasqueta # 1 no está haciendo la función de detener la etiqueta si no que en ocaciones se va hacia la bomba de pegante</v>
      </c>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row>
    <row r="26" spans="1:47" ht="15.75" customHeight="1">
      <c r="A26" s="66" t="str">
        <f ca="1">IFERROR(__xludf.DUMMYFUNCTION("""COMPUTED_VALUE"""),"LINEA PET CSD - LINEA 10")</f>
        <v>LINEA PET CSD - LINEA 10</v>
      </c>
      <c r="B26" s="9" t="str">
        <f ca="1">IFERROR(__xludf.DUMMYFUNCTION("""COMPUTED_VALUE"""),"LLENADORA DE BOTELLAS PET 162 VALVULAS")</f>
        <v>LLENADORA DE BOTELLAS PET 162 VALVULAS</v>
      </c>
      <c r="C26" s="9" t="str">
        <f ca="1">IFERROR(__xludf.DUMMYFUNCTION("""COMPUTED_VALUE"""),"FUNC SENSORES TAPAS (TAPONADOR)")</f>
        <v>FUNC SENSORES TAPAS (TAPONADOR)</v>
      </c>
      <c r="D26" s="9" t="str">
        <f ca="1">IFERROR(__xludf.DUMMYFUNCTION("""COMPUTED_VALUE"""),"Duran Sanchez Nelson Fernando")</f>
        <v>Duran Sanchez Nelson Fernando</v>
      </c>
      <c r="E26" s="9" t="str">
        <f ca="1">IFERROR(__xludf.DUMMYFUNCTION("""COMPUTED_VALUE"""),"Sensor de tapa del pick and play no fuciona, al atascarse la tapaen canaleta no conmuta y salen demasuadas botellas sin tapa.")</f>
        <v>Sensor de tapa del pick and play no fuciona, al atascarse la tapaen canaleta no conmuta y salen demasuadas botellas sin tapa.</v>
      </c>
      <c r="F26" s="9" t="str">
        <f t="shared" ca="1" si="0"/>
        <v>No coincide</v>
      </c>
      <c r="G26" s="9" t="str">
        <f ca="1">IFERROR(__xludf.DUMMYFUNCTION("""COMPUTED_VALUE"""),"LINEA DE ENVASADO PET NO RETORNABLE")</f>
        <v>LINEA DE ENVASADO PET NO RETORNABLE</v>
      </c>
      <c r="H26" s="9" t="str">
        <f ca="1">IFERROR(__xludf.DUMMYFUNCTION("""COMPUTED_VALUE"""),"ETIQUETADORA")</f>
        <v>ETIQUETADORA</v>
      </c>
      <c r="I26" s="9" t="str">
        <f ca="1">IFERROR(__xludf.DUMMYFUNCTION("""COMPUTED_VALUE"""),"INSP TABLERO ELECTRICO/CLIMATIZADOR")</f>
        <v>INSP TABLERO ELECTRICO/CLIMATIZADOR</v>
      </c>
      <c r="J26" s="9" t="str">
        <f ca="1">IFERROR(__xludf.DUMMYFUNCTION("""COMPUTED_VALUE"""),"Armario eléctrico permanece abierto por novedad en climatizador.")</f>
        <v>Armario eléctrico permanece abierto por novedad en climatizador.</v>
      </c>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row>
    <row r="27" spans="1:47" ht="15.75" customHeight="1">
      <c r="A27" s="66" t="str">
        <f ca="1">IFERROR(__xludf.DUMMYFUNCTION("""COMPUTED_VALUE"""),"LINEA PET CSD - LINEA 10")</f>
        <v>LINEA PET CSD - LINEA 10</v>
      </c>
      <c r="B27" s="9" t="str">
        <f ca="1">IFERROR(__xludf.DUMMYFUNCTION("""COMPUTED_VALUE"""),"LLENADORA DE BOTELLAS PET 162 VALVULAS")</f>
        <v>LLENADORA DE BOTELLAS PET 162 VALVULAS</v>
      </c>
      <c r="C27" s="9" t="str">
        <f ca="1">IFERROR(__xludf.DUMMYFUNCTION("""COMPUTED_VALUE"""),"CORONADORES (TAPONADOR)")</f>
        <v>CORONADORES (TAPONADOR)</v>
      </c>
      <c r="D27" s="9" t="str">
        <f ca="1">IFERROR(__xludf.DUMMYFUNCTION("""COMPUTED_VALUE"""),"Duran Sanchez Nelson Fernando")</f>
        <v>Duran Sanchez Nelson Fernando</v>
      </c>
      <c r="E27" s="9" t="str">
        <f ca="1">IFERROR(__xludf.DUMMYFUNCTION("""COMPUTED_VALUE"""),"Antigiros con desgaste evidente en su gran mayoría lo quepuede provocar mal posicionamiento denla tapa en la botella y bajo torque.")</f>
        <v>Antigiros con desgaste evidente en su gran mayoría lo quepuede provocar mal posicionamiento denla tapa en la botella y bajo torque.</v>
      </c>
      <c r="F27" s="9" t="str">
        <f t="shared" ca="1" si="0"/>
        <v>No coincide</v>
      </c>
      <c r="G27" s="9" t="str">
        <f ca="1">IFERROR(__xludf.DUMMYFUNCTION("""COMPUTED_VALUE"""),"LINEA DE ENVASADO TAMAÑO PERSONAL")</f>
        <v>LINEA DE ENVASADO TAMAÑO PERSONAL</v>
      </c>
      <c r="H27" s="9" t="str">
        <f ca="1">IFERROR(__xludf.DUMMYFUNCTION("""COMPUTED_VALUE"""),"LLENADORA")</f>
        <v>LLENADORA</v>
      </c>
      <c r="I27" s="9" t="str">
        <f ca="1">IFERROR(__xludf.DUMMYFUNCTION("""COMPUTED_VALUE"""),"Fugas de aire, aceite o agua")</f>
        <v>Fugas de aire, aceite o agua</v>
      </c>
      <c r="J27" s="9" t="str">
        <f ca="1">IFERROR(__xludf.DUMMYFUNCTION("""COMPUTED_VALUE"""),"Pendiente corregir fuga de aceite por la caja reductora del coronador, se debe programar para enviar sin fin a taller externó")</f>
        <v>Pendiente corregir fuga de aceite por la caja reductora del coronador, se debe programar para enviar sin fin a taller externó</v>
      </c>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row>
    <row r="28" spans="1:47" ht="15.75" customHeight="1">
      <c r="A28" s="66"/>
      <c r="B28" s="9"/>
      <c r="C28" s="9"/>
      <c r="D28" s="9"/>
      <c r="E28" s="9"/>
      <c r="F28" s="9" t="str">
        <f t="shared" ca="1" si="0"/>
        <v>No coincide</v>
      </c>
      <c r="G28" s="9" t="str">
        <f ca="1">IFERROR(__xludf.DUMMYFUNCTION("""COMPUTED_VALUE"""),"LINEA DE ENVASADO TAMAÑO PERSONAL")</f>
        <v>LINEA DE ENVASADO TAMAÑO PERSONAL</v>
      </c>
      <c r="H28" s="9" t="str">
        <f ca="1">IFERROR(__xludf.DUMMYFUNCTION("""COMPUTED_VALUE"""),"LLENADORA")</f>
        <v>LLENADORA</v>
      </c>
      <c r="I28" s="9" t="str">
        <f ca="1">IFERROR(__xludf.DUMMYFUNCTION("""COMPUTED_VALUE"""),"Estado sistema de duchas y semillenado")</f>
        <v>Estado sistema de duchas y semillenado</v>
      </c>
      <c r="J28" s="9" t="str">
        <f ca="1">IFERROR(__xludf.DUMMYFUNCTION("""COMPUTED_VALUE"""),"Ajuste de sensores para corregir registro de desplazamiento")</f>
        <v>Ajuste de sensores para corregir registro de desplazamiento</v>
      </c>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row>
    <row r="29" spans="1:47" ht="15.75" customHeight="1">
      <c r="A29" s="66"/>
      <c r="B29" s="9"/>
      <c r="C29" s="9"/>
      <c r="D29" s="9"/>
      <c r="E29" s="9"/>
      <c r="F29" s="9" t="str">
        <f t="shared" ca="1" si="0"/>
        <v>No coincide</v>
      </c>
      <c r="G29" s="9" t="str">
        <f ca="1">IFERROR(__xludf.DUMMYFUNCTION("""COMPUTED_VALUE"""),"LINEA DE ENVASADO JUGOS PET HOT FILL")</f>
        <v>LINEA DE ENVASADO JUGOS PET HOT FILL</v>
      </c>
      <c r="H29" s="9" t="str">
        <f ca="1">IFERROR(__xludf.DUMMYFUNCTION("""COMPUTED_VALUE"""),"PALETIZADORA MODUPAL 2A")</f>
        <v>PALETIZADORA MODUPAL 2A</v>
      </c>
      <c r="I29" s="9" t="str">
        <f ca="1">IFERROR(__xludf.DUMMYFUNCTION("""COMPUTED_VALUE"""),"ESTADO GUIAS LATERALES")</f>
        <v>ESTADO GUIAS LATERALES</v>
      </c>
      <c r="J29" s="9" t="str">
        <f ca="1">IFERROR(__xludf.DUMMYFUNCTION("""COMPUTED_VALUE"""),"Guía lateral de mesa giratoria de entrada de estibas se encuentra reventada")</f>
        <v>Guía lateral de mesa giratoria de entrada de estibas se encuentra reventada</v>
      </c>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row>
    <row r="30" spans="1:47" ht="15.75" customHeight="1">
      <c r="A30" s="66"/>
      <c r="B30" s="9"/>
      <c r="C30" s="9"/>
      <c r="D30" s="9"/>
      <c r="E30" s="9"/>
      <c r="F30" s="9" t="str">
        <f t="shared" ca="1" si="0"/>
        <v>No coincide</v>
      </c>
      <c r="G30" s="9" t="str">
        <f ca="1">IFERROR(__xludf.DUMMYFUNCTION("""COMPUTED_VALUE"""),"LINEA DE ENVASADO JUGOS PET HOT FILL")</f>
        <v>LINEA DE ENVASADO JUGOS PET HOT FILL</v>
      </c>
      <c r="H30" s="9" t="str">
        <f ca="1">IFERROR(__xludf.DUMMYFUNCTION("""COMPUTED_VALUE"""),"PALETIZADORA MODUPAL 2A")</f>
        <v>PALETIZADORA MODUPAL 2A</v>
      </c>
      <c r="I30" s="9" t="str">
        <f ca="1">IFERROR(__xludf.DUMMYFUNCTION("""COMPUTED_VALUE"""),"INSP. DE FUGAS")</f>
        <v>INSP. DE FUGAS</v>
      </c>
      <c r="J30" s="9" t="str">
        <f ca="1">IFERROR(__xludf.DUMMYFUNCTION("""COMPUTED_VALUE"""),"Guarda polvo de lubricación módulo 2 brazo se encuentra en mal estado")</f>
        <v>Guarda polvo de lubricación módulo 2 brazo se encuentra en mal estado</v>
      </c>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row>
    <row r="31" spans="1:47" ht="15.75" customHeight="1">
      <c r="A31" s="66"/>
      <c r="B31" s="9"/>
      <c r="C31" s="9"/>
      <c r="D31" s="9"/>
      <c r="E31" s="9"/>
      <c r="F31" s="9" t="str">
        <f t="shared" ca="1" si="0"/>
        <v>No coincide</v>
      </c>
      <c r="G31" s="66" t="str">
        <f ca="1">IFERROR(__xludf.DUMMYFUNCTION("""COMPUTED_VALUE"""),"LINEA DE ENVASADO PET NO RETORNABLE")</f>
        <v>LINEA DE ENVASADO PET NO RETORNABLE</v>
      </c>
      <c r="H31" s="9" t="str">
        <f ca="1">IFERROR(__xludf.DUMMYFUNCTION("""COMPUTED_VALUE"""),"PALETIZADORA")</f>
        <v>PALETIZADORA</v>
      </c>
      <c r="I31" s="9" t="str">
        <f ca="1">IFERROR(__xludf.DUMMYFUNCTION("""COMPUTED_VALUE"""),"ESTADO CARRO GUIA COLOCADOR CAPAS")</f>
        <v>ESTADO CARRO GUIA COLOCADOR CAPAS</v>
      </c>
      <c r="J31" s="9" t="str">
        <f ca="1">IFERROR(__xludf.DUMMYFUNCTION("""COMPUTED_VALUE"""),"Guía izquierda mesa de agrupación presenta roldanas malas.")</f>
        <v>Guía izquierda mesa de agrupación presenta roldanas malas.</v>
      </c>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row>
    <row r="32" spans="1:47" ht="15.75" customHeight="1">
      <c r="A32" s="66"/>
      <c r="B32" s="9"/>
      <c r="C32" s="9"/>
      <c r="D32" s="9"/>
      <c r="E32" s="9"/>
      <c r="F32" s="9" t="str">
        <f t="shared" ca="1" si="0"/>
        <v>No coincide</v>
      </c>
      <c r="G32" s="9" t="str">
        <f ca="1">IFERROR(__xludf.DUMMYFUNCTION("""COMPUTED_VALUE"""),"LINEA PET CSD - LINEA 10")</f>
        <v>LINEA PET CSD - LINEA 10</v>
      </c>
      <c r="H32" s="9" t="str">
        <f ca="1">IFERROR(__xludf.DUMMYFUNCTION("""COMPUTED_VALUE"""),"PALETIZADORA")</f>
        <v>PALETIZADORA</v>
      </c>
      <c r="I32" s="9" t="str">
        <f ca="1">IFERROR(__xludf.DUMMYFUNCTION("""COMPUTED_VALUE"""),"ESTADO CARRO GUIA COLOCADOR CAPAS")</f>
        <v>ESTADO CARRO GUIA COLOCADOR CAPAS</v>
      </c>
      <c r="J32" s="9" t="str">
        <f ca="1">IFERROR(__xludf.DUMMYFUNCTION("""COMPUTED_VALUE"""),"Eje de la persiana X se encuentra golpeado")</f>
        <v>Eje de la persiana X se encuentra golpeado</v>
      </c>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row>
    <row r="33" spans="1:47" ht="15.75" customHeight="1">
      <c r="A33" s="9"/>
      <c r="B33" s="9"/>
      <c r="C33" s="9"/>
      <c r="D33" s="9"/>
      <c r="E33" s="9"/>
      <c r="F33" s="9" t="str">
        <f t="shared" ca="1" si="0"/>
        <v>No coincide</v>
      </c>
      <c r="G33" s="9" t="str">
        <f ca="1">IFERROR(__xludf.DUMMYFUNCTION("""COMPUTED_VALUE"""),"LINEA DE ENVASADO JUGOS PET HOT FILL")</f>
        <v>LINEA DE ENVASADO JUGOS PET HOT FILL</v>
      </c>
      <c r="H33" s="9" t="str">
        <f ca="1">IFERROR(__xludf.DUMMYFUNCTION("""COMPUTED_VALUE"""),"SECADORA BOTELLAS")</f>
        <v>SECADORA BOTELLAS</v>
      </c>
      <c r="I33" s="9" t="str">
        <f ca="1">IFERROR(__xludf.DUMMYFUNCTION("""COMPUTED_VALUE"""),"ESTADO CUERPO PRINCIPAL")</f>
        <v>ESTADO CUERPO PRINCIPAL</v>
      </c>
      <c r="J33" s="9" t="str">
        <f ca="1">IFERROR(__xludf.DUMMYFUNCTION("""COMPUTED_VALUE"""),"Esta dañada , se necesitq para cambio")</f>
        <v>Esta dañada , se necesitq para cambio</v>
      </c>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row>
    <row r="34" spans="1:47" ht="15.75" customHeight="1">
      <c r="A34" s="9"/>
      <c r="B34" s="9"/>
      <c r="C34" s="9"/>
      <c r="D34" s="9"/>
      <c r="E34" s="9"/>
      <c r="F34" s="9" t="str">
        <f t="shared" ca="1" si="0"/>
        <v>No coincide</v>
      </c>
      <c r="G34" s="9" t="str">
        <f ca="1">IFERROR(__xludf.DUMMYFUNCTION("""COMPUTED_VALUE"""),"LINEA DE ENVASADO JUGOS PET HOT FILL")</f>
        <v>LINEA DE ENVASADO JUGOS PET HOT FILL</v>
      </c>
      <c r="H34" s="9" t="str">
        <f ca="1">IFERROR(__xludf.DUMMYFUNCTION("""COMPUTED_VALUE"""),"SECADORA BOTELLAS")</f>
        <v>SECADORA BOTELLAS</v>
      </c>
      <c r="I34" s="9" t="str">
        <f ca="1">IFERROR(__xludf.DUMMYFUNCTION("""COMPUTED_VALUE"""),"INSP. BOMBAS DE VACIO")</f>
        <v>INSP. BOMBAS DE VACIO</v>
      </c>
      <c r="J34" s="9" t="str">
        <f ca="1">IFERROR(__xludf.DUMMYFUNCTION("""COMPUTED_VALUE"""),"La turbina número 2 , esta dañada o funciona")</f>
        <v>La turbina número 2 , esta dañada o funciona</v>
      </c>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row>
    <row r="35" spans="1:47" ht="15.75" customHeight="1">
      <c r="A35" s="9"/>
      <c r="B35" s="9"/>
      <c r="C35" s="9"/>
      <c r="D35" s="9"/>
      <c r="E35" s="9"/>
      <c r="F35" s="9" t="str">
        <f t="shared" ca="1" si="0"/>
        <v>No coincide</v>
      </c>
      <c r="G35" s="9" t="str">
        <f ca="1">IFERROR(__xludf.DUMMYFUNCTION("""COMPUTED_VALUE"""),"LINEA DE ENVASADO JUGOS PET HOT FILL")</f>
        <v>LINEA DE ENVASADO JUGOS PET HOT FILL</v>
      </c>
      <c r="H35" s="9" t="str">
        <f ca="1">IFERROR(__xludf.DUMMYFUNCTION("""COMPUTED_VALUE"""),"SECADORA BOTELLAS")</f>
        <v>SECADORA BOTELLAS</v>
      </c>
      <c r="I35" s="9" t="str">
        <f ca="1">IFERROR(__xludf.DUMMYFUNCTION("""COMPUTED_VALUE"""),"ESTADO DE MANGUERAS")</f>
        <v>ESTADO DE MANGUERAS</v>
      </c>
      <c r="J35" s="9" t="str">
        <f ca="1">IFERROR(__xludf.DUMMYFUNCTION("""COMPUTED_VALUE"""),"Mangueras deterioradas , ya para cambio")</f>
        <v>Mangueras deterioradas , ya para cambio</v>
      </c>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row>
    <row r="36" spans="1:47" ht="15.75" customHeight="1">
      <c r="A36" s="9"/>
      <c r="B36" s="9"/>
      <c r="C36" s="9"/>
      <c r="D36" s="9"/>
      <c r="E36" s="9"/>
      <c r="F36" s="9" t="str">
        <f t="shared" ca="1" si="0"/>
        <v>No coincide</v>
      </c>
      <c r="G36" s="66" t="str">
        <f ca="1">IFERROR(__xludf.DUMMYFUNCTION("""COMPUTED_VALUE"""),"LINEA DE ENVASADO JUGOS PET HOT FILL")</f>
        <v>LINEA DE ENVASADO JUGOS PET HOT FILL</v>
      </c>
      <c r="H36" s="9" t="str">
        <f ca="1">IFERROR(__xludf.DUMMYFUNCTION("""COMPUTED_VALUE"""),"TERMOFORMADO FULL BODY")</f>
        <v>TERMOFORMADO FULL BODY</v>
      </c>
      <c r="I36" s="9" t="str">
        <f ca="1">IFERROR(__xludf.DUMMYFUNCTION("""COMPUTED_VALUE"""),"PLAN MTTO TERMOFORMADO FULL BODY 739536")</f>
        <v>PLAN MTTO TERMOFORMADO FULL BODY 739536</v>
      </c>
      <c r="J36" s="9" t="str">
        <f ca="1">IFERROR(__xludf.DUMMYFUNCTION("""COMPUTED_VALUE"""),"El equipo se encuentra sin funcionamiento")</f>
        <v>El equipo se encuentra sin funcionamiento</v>
      </c>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row>
    <row r="37" spans="1:47" ht="15.75" customHeight="1">
      <c r="A37" s="9"/>
      <c r="B37" s="9"/>
      <c r="C37" s="9"/>
      <c r="D37" s="9"/>
      <c r="E37" s="9"/>
      <c r="F37" s="9" t="str">
        <f t="shared" ca="1" si="0"/>
        <v>No coincide</v>
      </c>
      <c r="G37" s="9" t="str">
        <f ca="1">IFERROR(__xludf.DUMMYFUNCTION("""COMPUTED_VALUE"""),"LINEA DE ENVASADO PET NO RETORNABLE")</f>
        <v>LINEA DE ENVASADO PET NO RETORNABLE</v>
      </c>
      <c r="H37" s="9" t="str">
        <f ca="1">IFERROR(__xludf.DUMMYFUNCTION("""COMPUTED_VALUE"""),"TRANSPORTADOR AEREO")</f>
        <v>TRANSPORTADOR AEREO</v>
      </c>
      <c r="I37" s="9" t="str">
        <f ca="1">IFERROR(__xludf.DUMMYFUNCTION("""COMPUTED_VALUE"""),"INSP SISTEMA NEUMATICO")</f>
        <v>INSP SISTEMA NEUMATICO</v>
      </c>
      <c r="J37" s="9" t="str">
        <f ca="1">IFERROR(__xludf.DUMMYFUNCTION("""COMPUTED_VALUE"""),"Sin presión algunos tramos, motivos manguera en mal estado ( rota ).
 Cilindros en mal estado .")</f>
        <v>Sin presión algunos tramos, motivos manguera en mal estado ( rota ).
 Cilindros en mal estado .</v>
      </c>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row>
    <row r="38" spans="1:47" ht="15.75" customHeight="1">
      <c r="A38" s="9"/>
      <c r="B38" s="9"/>
      <c r="C38" s="9"/>
      <c r="D38" s="9"/>
      <c r="E38" s="9"/>
      <c r="F38" s="9" t="str">
        <f t="shared" ca="1" si="0"/>
        <v>No coincide</v>
      </c>
      <c r="G38" s="9" t="str">
        <f ca="1">IFERROR(__xludf.DUMMYFUNCTION("""COMPUTED_VALUE"""),"LINEA DE ENVASADO PET NO RETORNABLE")</f>
        <v>LINEA DE ENVASADO PET NO RETORNABLE</v>
      </c>
      <c r="H38" s="9" t="str">
        <f ca="1">IFERROR(__xludf.DUMMYFUNCTION("""COMPUTED_VALUE"""),"TRANSPORTADOR DE EMBALAJES")</f>
        <v>TRANSPORTADOR DE EMBALAJES</v>
      </c>
      <c r="I38" s="9" t="str">
        <f ca="1">IFERROR(__xludf.DUMMYFUNCTION("""COMPUTED_VALUE"""),"INSP. TABLERO ELECTRICO/CLIMATIZADOR")</f>
        <v>INSP. TABLERO ELECTRICO/CLIMATIZADOR</v>
      </c>
      <c r="J38" s="9" t="str">
        <f ca="1">IFERROR(__xludf.DUMMYFUNCTION("""COMPUTED_VALUE"""),"Manija de de puerta de tablero número 2 se encuentra en mal Estado")</f>
        <v>Manija de de puerta de tablero número 2 se encuentra en mal Estado</v>
      </c>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row>
    <row r="39" spans="1:47" ht="15.75" customHeight="1">
      <c r="A39" s="9"/>
      <c r="B39" s="9"/>
      <c r="C39" s="9"/>
      <c r="D39" s="9"/>
      <c r="E39" s="9"/>
      <c r="F39" s="9" t="str">
        <f t="shared" ca="1" si="0"/>
        <v>No coincide</v>
      </c>
      <c r="G39" s="9" t="str">
        <f ca="1">IFERROR(__xludf.DUMMYFUNCTION("""COMPUTED_VALUE"""),"LINEA DE ENVASADO PET NO RETORNABLE")</f>
        <v>LINEA DE ENVASADO PET NO RETORNABLE</v>
      </c>
      <c r="H39" s="9" t="str">
        <f ca="1">IFERROR(__xludf.DUMMYFUNCTION("""COMPUTED_VALUE"""),"TRANSPORTADOR DE EMBALAJES")</f>
        <v>TRANSPORTADOR DE EMBALAJES</v>
      </c>
      <c r="I39" s="9" t="str">
        <f ca="1">IFERROR(__xludf.DUMMYFUNCTION("""COMPUTED_VALUE"""),"ESTADO DE TRANSFERENCIAS")</f>
        <v>ESTADO DE TRANSFERENCIAS</v>
      </c>
      <c r="J39" s="9" t="str">
        <f ca="1">IFERROR(__xludf.DUMMYFUNCTION("""COMPUTED_VALUE"""),"Trasferencias entrada a mesa de acomodo de la paletizadora se encuentran en mal Estado, trasferencia de entrada a multidivisor tambien")</f>
        <v>Trasferencias entrada a mesa de acomodo de la paletizadora se encuentran en mal Estado, trasferencia de entrada a multidivisor tambien</v>
      </c>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row>
    <row r="40" spans="1:47" ht="15.75" customHeight="1">
      <c r="A40" s="9"/>
      <c r="B40" s="9"/>
      <c r="C40" s="9"/>
      <c r="D40" s="9"/>
      <c r="E40" s="9"/>
      <c r="F40" s="9" t="str">
        <f t="shared" ca="1" si="0"/>
        <v>No coincide</v>
      </c>
      <c r="G40" s="9" t="str">
        <f ca="1">IFERROR(__xludf.DUMMYFUNCTION("""COMPUTED_VALUE"""),"LINEA DE ENVASADO JUGOS PET HOT FILL")</f>
        <v>LINEA DE ENVASADO JUGOS PET HOT FILL</v>
      </c>
      <c r="H40" s="9" t="str">
        <f ca="1">IFERROR(__xludf.DUMMYFUNCTION("""COMPUTED_VALUE"""),"TRANSPORTADOR DE EMBALAJES")</f>
        <v>TRANSPORTADOR DE EMBALAJES</v>
      </c>
      <c r="I40" s="9" t="str">
        <f ca="1">IFERROR(__xludf.DUMMYFUNCTION("""COMPUTED_VALUE"""),"ESTADO GUIAS LATERALES")</f>
        <v>ESTADO GUIAS LATERALES</v>
      </c>
      <c r="J40" s="9" t="str">
        <f ca="1">IFERROR(__xludf.DUMMYFUNCTION("""COMPUTED_VALUE"""),"Guías laterales de transportador sé encuentra reventada volteador de paquetes")</f>
        <v>Guías laterales de transportador sé encuentra reventada volteador de paquetes</v>
      </c>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row>
    <row r="41" spans="1:47" ht="15.75" customHeight="1">
      <c r="A41" s="9"/>
      <c r="B41" s="9"/>
      <c r="C41" s="9"/>
      <c r="D41" s="9"/>
      <c r="E41" s="9"/>
      <c r="F41" s="9" t="str">
        <f t="shared" ca="1" si="0"/>
        <v>No coincide</v>
      </c>
      <c r="G41" s="9" t="str">
        <f ca="1">IFERROR(__xludf.DUMMYFUNCTION("""COMPUTED_VALUE"""),"LINEA DE ENVASADO FAMILIAR Y PRB")</f>
        <v>LINEA DE ENVASADO FAMILIAR Y PRB</v>
      </c>
      <c r="H41" s="9" t="str">
        <f ca="1">IFERROR(__xludf.DUMMYFUNCTION("""COMPUTED_VALUE"""),"LAVADORA DE BOTELLAS")</f>
        <v>LAVADORA DE BOTELLAS</v>
      </c>
      <c r="I41" s="9" t="str">
        <f ca="1">IFERROR(__xludf.DUMMYFUNCTION("""COMPUTED_VALUE"""),"Estado de piñones de mesa de cargue")</f>
        <v>Estado de piñones de mesa de cargue</v>
      </c>
      <c r="J41" s="9" t="str">
        <f ca="1">IFERROR(__xludf.DUMMYFUNCTION("""COMPUTED_VALUE"""),"El eje se encuentra en regular estado, material fatigado por corrosión")</f>
        <v>El eje se encuentra en regular estado, material fatigado por corrosión</v>
      </c>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row>
    <row r="42" spans="1:47" ht="15.75" customHeight="1">
      <c r="A42" s="9"/>
      <c r="B42" s="9"/>
      <c r="C42" s="9"/>
      <c r="D42" s="9"/>
      <c r="E42" s="9"/>
      <c r="F42" s="9" t="str">
        <f t="shared" ca="1" si="0"/>
        <v>No coincide</v>
      </c>
      <c r="G42" s="9" t="str">
        <f ca="1">IFERROR(__xludf.DUMMYFUNCTION("""COMPUTED_VALUE"""),"LINEA PET CSD - LINEA 10")</f>
        <v>LINEA PET CSD - LINEA 10</v>
      </c>
      <c r="H42" s="9" t="str">
        <f ca="1">IFERROR(__xludf.DUMMYFUNCTION("""COMPUTED_VALUE"""),"LLENADORA DE BOTELLAS PET 162 VALVULAS")</f>
        <v>LLENADORA DE BOTELLAS PET 162 VALVULAS</v>
      </c>
      <c r="I42" s="9" t="str">
        <f ca="1">IFERROR(__xludf.DUMMYFUNCTION("""COMPUTED_VALUE"""),"PISTONES ELEVACION CARRUSEL")</f>
        <v>PISTONES ELEVACION CARRUSEL</v>
      </c>
      <c r="J42" s="9" t="str">
        <f ca="1">IFERROR(__xludf.DUMMYFUNCTION("""COMPUTED_VALUE"""),"Fuga de aire en cilindro elevador de centrador, ocasiona que se quede pegado y botella sale con bajo nivel de llenado. Válvula No 159")</f>
        <v>Fuga de aire en cilindro elevador de centrador, ocasiona que se quede pegado y botella sale con bajo nivel de llenado. Válvula No 159</v>
      </c>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row>
    <row r="43" spans="1:47" ht="15.75" customHeight="1">
      <c r="A43" s="9"/>
      <c r="B43" s="9"/>
      <c r="C43" s="9"/>
      <c r="D43" s="9"/>
      <c r="E43" s="9"/>
      <c r="F43" s="9" t="str">
        <f t="shared" ca="1" si="0"/>
        <v>No coincide</v>
      </c>
      <c r="G43" s="9" t="str">
        <f ca="1">IFERROR(__xludf.DUMMYFUNCTION("""COMPUTED_VALUE"""),"LINEA PET CSD - LINEA 10")</f>
        <v>LINEA PET CSD - LINEA 10</v>
      </c>
      <c r="H43" s="9" t="str">
        <f ca="1">IFERROR(__xludf.DUMMYFUNCTION("""COMPUTED_VALUE"""),"LLENADORA DE BOTELLAS PET 162 VALVULAS")</f>
        <v>LLENADORA DE BOTELLAS PET 162 VALVULAS</v>
      </c>
      <c r="I43" s="9" t="str">
        <f ca="1">IFERROR(__xludf.DUMMYFUNCTION("""COMPUTED_VALUE"""),"FORMATOS MANEJO ENVASES")</f>
        <v>FORMATOS MANEJO ENVASES</v>
      </c>
      <c r="J43" s="9" t="str">
        <f ca="1">IFERROR(__xludf.DUMMYFUNCTION("""COMPUTED_VALUE"""),"Posicionador de envases estrella salida llenadora incompletos.")</f>
        <v>Posicionador de envases estrella salida llenadora incompletos.</v>
      </c>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row>
    <row r="44" spans="1:47" ht="15.75" customHeight="1">
      <c r="A44" s="9"/>
      <c r="B44" s="9"/>
      <c r="C44" s="9"/>
      <c r="D44" s="9"/>
      <c r="E44" s="9"/>
      <c r="F44" s="9" t="str">
        <f t="shared" ca="1" si="0"/>
        <v>No coincide</v>
      </c>
      <c r="G44" s="9" t="str">
        <f ca="1">IFERROR(__xludf.DUMMYFUNCTION("""COMPUTED_VALUE"""),"LINEA PET CSD - LINEA 10")</f>
        <v>LINEA PET CSD - LINEA 10</v>
      </c>
      <c r="H44" s="9" t="str">
        <f ca="1">IFERROR(__xludf.DUMMYFUNCTION("""COMPUTED_VALUE"""),"LLENADORA DE BOTELLAS PET 162 VALVULAS")</f>
        <v>LLENADORA DE BOTELLAS PET 162 VALVULAS</v>
      </c>
      <c r="I44" s="9" t="str">
        <f ca="1">IFERROR(__xludf.DUMMYFUNCTION("""COMPUTED_VALUE"""),"EQUIPO ELECTRICO/ ELECTRONICO")</f>
        <v>EQUIPO ELECTRICO/ ELECTRONICO</v>
      </c>
      <c r="J44" s="9" t="str">
        <f ca="1">IFERROR(__xludf.DUMMYFUNCTION("""COMPUTED_VALUE"""),"Fallo lectura caudal en B700.FIT, equipo se alarma y señal se encuentra simulada en pantalla.")</f>
        <v>Fallo lectura caudal en B700.FIT, equipo se alarma y señal se encuentra simulada en pantalla.</v>
      </c>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row>
    <row r="45" spans="1:47" ht="15.75" customHeight="1">
      <c r="A45" s="9"/>
      <c r="B45" s="9"/>
      <c r="C45" s="9"/>
      <c r="D45" s="9"/>
      <c r="E45" s="9"/>
      <c r="F45" s="9" t="str">
        <f t="shared" ca="1" si="0"/>
        <v>No coincide</v>
      </c>
      <c r="G45" s="9" t="str">
        <f ca="1">IFERROR(__xludf.DUMMYFUNCTION("""COMPUTED_VALUE"""),"LINEA PET CSD - LINEA 10")</f>
        <v>LINEA PET CSD - LINEA 10</v>
      </c>
      <c r="H45" s="9" t="str">
        <f ca="1">IFERROR(__xludf.DUMMYFUNCTION("""COMPUTED_VALUE"""),"LLENADORA DE BOTELLAS PET 162 VALVULAS")</f>
        <v>LLENADORA DE BOTELLAS PET 162 VALVULAS</v>
      </c>
      <c r="I45" s="9" t="str">
        <f ca="1">IFERROR(__xludf.DUMMYFUNCTION("""COMPUTED_VALUE"""),"ESTADO BANDAS ALIMENTACION (TAPONADOR)")</f>
        <v>ESTADO BANDAS ALIMENTACION (TAPONADOR)</v>
      </c>
      <c r="J45" s="9" t="str">
        <f ca="1">IFERROR(__xludf.DUMMYFUNCTION("""COMPUTED_VALUE"""),"Banda presenta desgaste, en un lado, se puede cambiar posición para que el desgaste sea parejo.")</f>
        <v>Banda presenta desgaste, en un lado, se puede cambiar posición para que el desgaste sea parejo.</v>
      </c>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row>
    <row r="46" spans="1:47" ht="15.75" customHeight="1">
      <c r="A46" s="9"/>
      <c r="B46" s="9"/>
      <c r="C46" s="9"/>
      <c r="D46" s="9"/>
      <c r="E46" s="9"/>
      <c r="F46" s="9" t="str">
        <f t="shared" ca="1" si="0"/>
        <v>No coincide</v>
      </c>
      <c r="G46" s="9" t="str">
        <f ca="1">IFERROR(__xludf.DUMMYFUNCTION("""COMPUTED_VALUE"""),"LINEA PET CSD - LINEA 10")</f>
        <v>LINEA PET CSD - LINEA 10</v>
      </c>
      <c r="H46" s="9" t="str">
        <f ca="1">IFERROR(__xludf.DUMMYFUNCTION("""COMPUTED_VALUE"""),"LLENADORA DE BOTELLAS PET 162 VALVULAS")</f>
        <v>LLENADORA DE BOTELLAS PET 162 VALVULAS</v>
      </c>
      <c r="I46" s="9" t="str">
        <f ca="1">IFERROR(__xludf.DUMMYFUNCTION("""COMPUTED_VALUE"""),"CORONADORES (TAPONADOR)")</f>
        <v>CORONADORES (TAPONADOR)</v>
      </c>
      <c r="J46" s="9" t="str">
        <f ca="1">IFERROR(__xludf.DUMMYFUNCTION("""COMPUTED_VALUE"""),"Se evidencia ripio en base soporte botella coronadores.")</f>
        <v>Se evidencia ripio en base soporte botella coronadores.</v>
      </c>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row>
    <row r="47" spans="1:47" ht="15.75" customHeight="1">
      <c r="A47" s="9"/>
      <c r="B47" s="9"/>
      <c r="C47" s="9"/>
      <c r="D47" s="9"/>
      <c r="E47" s="9"/>
      <c r="F47" s="9" t="str">
        <f t="shared" ca="1" si="0"/>
        <v>No coincide</v>
      </c>
      <c r="G47" s="9" t="str">
        <f ca="1">IFERROR(__xludf.DUMMYFUNCTION("""COMPUTED_VALUE"""),"LINEA PET CSD - LINEA 10")</f>
        <v>LINEA PET CSD - LINEA 10</v>
      </c>
      <c r="H47" s="9" t="str">
        <f ca="1">IFERROR(__xludf.DUMMYFUNCTION("""COMPUTED_VALUE"""),"LLENADORA DE BOTELLAS PET 162 VALVULAS")</f>
        <v>LLENADORA DE BOTELLAS PET 162 VALVULAS</v>
      </c>
      <c r="I47" s="9" t="str">
        <f ca="1">IFERROR(__xludf.DUMMYFUNCTION("""COMPUTED_VALUE"""),"INSP ELEVADOR DE TAPAS (TAPONADOR)")</f>
        <v>INSP ELEVADOR DE TAPAS (TAPONADOR)</v>
      </c>
      <c r="J47" s="9" t="str">
        <f ca="1">IFERROR(__xludf.DUMMYFUNCTION("""COMPUTED_VALUE"""),"Equipo está funcionando con armario abierto, se presenta fallo por sobrecalentamiento y se apaga el transportador además se activa la función de vaciar.")</f>
        <v>Equipo está funcionando con armario abierto, se presenta fallo por sobrecalentamiento y se apaga el transportador además se activa la función de vaciar.</v>
      </c>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row>
    <row r="48" spans="1:47" ht="15.75" customHeight="1">
      <c r="A48" s="9"/>
      <c r="B48" s="9"/>
      <c r="C48" s="9"/>
      <c r="D48" s="9"/>
      <c r="E48" s="9"/>
      <c r="F48" s="9" t="str">
        <f t="shared" si="0"/>
        <v>No coincide</v>
      </c>
      <c r="G48" s="9"/>
      <c r="H48" s="9"/>
      <c r="I48" s="9"/>
      <c r="J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row>
    <row r="49" spans="1:47" ht="15.75" customHeight="1">
      <c r="A49" s="9"/>
      <c r="B49" s="9"/>
      <c r="C49" s="9"/>
      <c r="D49" s="9"/>
      <c r="E49" s="9"/>
      <c r="F49" s="9" t="str">
        <f t="shared" si="0"/>
        <v>No coincide</v>
      </c>
      <c r="G49" s="9"/>
      <c r="H49" s="9"/>
      <c r="I49" s="9"/>
      <c r="J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row>
    <row r="50" spans="1:47" ht="15.75" customHeight="1">
      <c r="A50" s="9"/>
      <c r="B50" s="9"/>
      <c r="C50" s="9"/>
      <c r="D50" s="9"/>
      <c r="E50" s="9"/>
      <c r="F50" s="9" t="str">
        <f t="shared" si="0"/>
        <v>No coincide</v>
      </c>
      <c r="G50" s="9"/>
      <c r="H50" s="9"/>
      <c r="I50" s="9"/>
      <c r="J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row>
    <row r="51" spans="1:47" ht="15.75" customHeight="1">
      <c r="A51" s="9"/>
      <c r="B51" s="9"/>
      <c r="C51" s="9"/>
      <c r="D51" s="9"/>
      <c r="E51" s="9"/>
      <c r="F51" s="9" t="str">
        <f t="shared" si="0"/>
        <v>No coincide</v>
      </c>
      <c r="G51" s="9"/>
      <c r="H51" s="9"/>
      <c r="I51" s="9"/>
      <c r="J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row>
    <row r="52" spans="1:47" ht="15.75" customHeight="1">
      <c r="A52" s="9"/>
      <c r="B52" s="9"/>
      <c r="C52" s="9"/>
      <c r="D52" s="9"/>
      <c r="E52" s="9"/>
      <c r="F52" s="9" t="str">
        <f t="shared" si="0"/>
        <v>No coincide</v>
      </c>
      <c r="G52" s="9"/>
      <c r="H52" s="9"/>
      <c r="I52" s="9"/>
      <c r="J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row>
    <row r="53" spans="1:47" ht="15.75" customHeight="1">
      <c r="A53" s="9"/>
      <c r="B53" s="9"/>
      <c r="C53" s="9"/>
      <c r="D53" s="9"/>
      <c r="E53" s="9"/>
      <c r="F53" s="9" t="str">
        <f t="shared" si="0"/>
        <v>No coincide</v>
      </c>
      <c r="G53" s="9"/>
      <c r="H53" s="9"/>
      <c r="I53" s="9"/>
      <c r="J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row>
    <row r="54" spans="1:47" ht="15.75" customHeight="1">
      <c r="A54" s="9"/>
      <c r="B54" s="9"/>
      <c r="C54" s="9"/>
      <c r="D54" s="9"/>
      <c r="E54" s="9"/>
      <c r="F54" s="9" t="str">
        <f t="shared" si="0"/>
        <v>No coincide</v>
      </c>
      <c r="G54" s="9"/>
      <c r="H54" s="9"/>
      <c r="I54" s="9"/>
      <c r="J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row>
    <row r="55" spans="1:47" ht="15.75" customHeight="1">
      <c r="A55" s="9"/>
      <c r="B55" s="9"/>
      <c r="C55" s="9"/>
      <c r="D55" s="9"/>
      <c r="E55" s="9"/>
      <c r="F55" s="9" t="str">
        <f t="shared" si="0"/>
        <v>No coincide</v>
      </c>
      <c r="G55" s="9"/>
      <c r="H55" s="9"/>
      <c r="I55" s="9"/>
      <c r="J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row>
    <row r="56" spans="1:47" ht="15.75" customHeight="1">
      <c r="A56" s="9"/>
      <c r="B56" s="9"/>
      <c r="C56" s="9"/>
      <c r="D56" s="9"/>
      <c r="E56" s="9"/>
      <c r="F56" s="9" t="str">
        <f t="shared" si="0"/>
        <v>No coincide</v>
      </c>
      <c r="G56" s="9"/>
      <c r="H56" s="9"/>
      <c r="I56" s="9"/>
      <c r="J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row>
    <row r="57" spans="1:47" ht="15.75" customHeight="1">
      <c r="A57" s="9"/>
      <c r="B57" s="9"/>
      <c r="C57" s="9"/>
      <c r="D57" s="9"/>
      <c r="E57" s="9"/>
      <c r="F57" s="9" t="str">
        <f t="shared" si="0"/>
        <v>No coincide</v>
      </c>
      <c r="G57" s="9"/>
      <c r="H57" s="9"/>
      <c r="I57" s="9"/>
      <c r="J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row>
    <row r="58" spans="1:47" ht="15.75" customHeight="1">
      <c r="A58" s="9"/>
      <c r="B58" s="9"/>
      <c r="C58" s="9"/>
      <c r="D58" s="9"/>
      <c r="E58" s="9"/>
      <c r="F58" s="9" t="str">
        <f t="shared" si="0"/>
        <v>No coincide</v>
      </c>
      <c r="G58" s="9"/>
      <c r="H58" s="9"/>
      <c r="I58" s="9"/>
      <c r="J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row>
    <row r="59" spans="1:47" ht="15.75" customHeight="1">
      <c r="A59" s="9"/>
      <c r="B59" s="9"/>
      <c r="C59" s="9"/>
      <c r="D59" s="9"/>
      <c r="E59" s="9"/>
      <c r="F59" s="9" t="str">
        <f t="shared" si="0"/>
        <v>No coincide</v>
      </c>
      <c r="G59" s="9"/>
      <c r="H59" s="9"/>
      <c r="I59" s="9"/>
      <c r="J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row>
    <row r="60" spans="1:47" ht="15.75" customHeight="1">
      <c r="A60" s="9"/>
      <c r="B60" s="9"/>
      <c r="C60" s="9"/>
      <c r="D60" s="9"/>
      <c r="E60" s="9"/>
      <c r="F60" s="9" t="str">
        <f t="shared" si="0"/>
        <v>No coincide</v>
      </c>
      <c r="G60" s="9"/>
      <c r="H60" s="9"/>
      <c r="I60" s="9"/>
      <c r="J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row>
    <row r="61" spans="1:47" ht="15.75" customHeight="1">
      <c r="A61" s="9"/>
      <c r="B61" s="9"/>
      <c r="C61" s="9"/>
      <c r="D61" s="9"/>
      <c r="E61" s="9"/>
      <c r="F61" s="9" t="str">
        <f t="shared" si="0"/>
        <v>No coincide</v>
      </c>
      <c r="G61" s="9"/>
      <c r="H61" s="9"/>
      <c r="I61" s="9"/>
      <c r="J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row>
    <row r="62" spans="1:47" ht="15.75" customHeight="1">
      <c r="A62" s="9"/>
      <c r="B62" s="9"/>
      <c r="C62" s="9"/>
      <c r="D62" s="9"/>
      <c r="E62" s="9"/>
      <c r="F62" s="9" t="str">
        <f t="shared" si="0"/>
        <v>No coincide</v>
      </c>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row>
    <row r="63" spans="1:47" ht="15.75" customHeight="1">
      <c r="A63" s="9"/>
      <c r="B63" s="9"/>
      <c r="C63" s="9"/>
      <c r="D63" s="9"/>
      <c r="E63" s="9"/>
      <c r="F63" s="9" t="str">
        <f t="shared" si="0"/>
        <v>No coincide</v>
      </c>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row>
    <row r="64" spans="1:47" ht="15.75" customHeight="1">
      <c r="A64" s="9"/>
      <c r="B64" s="9"/>
      <c r="C64" s="9"/>
      <c r="D64" s="9"/>
      <c r="E64" s="9"/>
      <c r="F64" s="9" t="str">
        <f t="shared" si="0"/>
        <v>No coincide</v>
      </c>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row>
    <row r="65" spans="1:47" ht="15.75" customHeight="1">
      <c r="A65" s="9"/>
      <c r="B65" s="9"/>
      <c r="C65" s="9"/>
      <c r="D65" s="9"/>
      <c r="E65" s="9"/>
      <c r="F65" s="9" t="str">
        <f t="shared" si="0"/>
        <v>No coincide</v>
      </c>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row>
    <row r="66" spans="1:47" ht="15.75" customHeight="1">
      <c r="A66" s="9"/>
      <c r="B66" s="9"/>
      <c r="C66" s="9"/>
      <c r="D66" s="9"/>
      <c r="E66" s="9"/>
      <c r="F66" s="9" t="str">
        <f t="shared" si="0"/>
        <v>No coincide</v>
      </c>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row>
    <row r="67" spans="1:47" ht="15.75" customHeight="1">
      <c r="A67" s="9"/>
      <c r="B67" s="9"/>
      <c r="C67" s="9"/>
      <c r="D67" s="9"/>
      <c r="E67" s="9"/>
      <c r="F67" s="9" t="str">
        <f t="shared" si="0"/>
        <v>No coincide</v>
      </c>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row>
    <row r="68" spans="1:47" ht="15.75" customHeight="1">
      <c r="A68" s="9"/>
      <c r="B68" s="9"/>
      <c r="C68" s="9"/>
      <c r="D68" s="9"/>
      <c r="E68" s="9"/>
      <c r="F68" s="9" t="str">
        <f t="shared" si="0"/>
        <v>No coincide</v>
      </c>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row>
    <row r="69" spans="1:47" ht="15.75" customHeight="1">
      <c r="A69" s="9"/>
      <c r="B69" s="9"/>
      <c r="C69" s="9"/>
      <c r="D69" s="9"/>
      <c r="E69" s="9"/>
      <c r="F69" s="9" t="str">
        <f t="shared" si="0"/>
        <v>No coincide</v>
      </c>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row>
    <row r="70" spans="1:47" ht="15.75" customHeight="1">
      <c r="A70" s="9"/>
      <c r="B70" s="9"/>
      <c r="C70" s="9"/>
      <c r="D70" s="9"/>
      <c r="E70" s="9"/>
      <c r="F70" s="9" t="str">
        <f t="shared" si="0"/>
        <v>No coincide</v>
      </c>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row>
    <row r="71" spans="1:47" ht="15.75" customHeight="1">
      <c r="A71" s="9"/>
      <c r="B71" s="9"/>
      <c r="C71" s="9"/>
      <c r="D71" s="9"/>
      <c r="E71" s="9"/>
      <c r="F71" s="9" t="str">
        <f t="shared" si="0"/>
        <v>No coincide</v>
      </c>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row>
    <row r="72" spans="1:47" ht="15.75" customHeight="1">
      <c r="A72" s="9"/>
      <c r="B72" s="9"/>
      <c r="C72" s="9"/>
      <c r="D72" s="9"/>
      <c r="E72" s="9"/>
      <c r="F72" s="9" t="str">
        <f t="shared" si="0"/>
        <v>No coincide</v>
      </c>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row>
    <row r="73" spans="1:47" ht="15.75" customHeight="1">
      <c r="A73" s="9"/>
      <c r="B73" s="9"/>
      <c r="C73" s="9"/>
      <c r="D73" s="9"/>
      <c r="E73" s="9"/>
      <c r="F73" s="9" t="str">
        <f t="shared" si="0"/>
        <v>No coincide</v>
      </c>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row>
    <row r="74" spans="1:47" ht="15.75" customHeight="1">
      <c r="A74" s="9"/>
      <c r="B74" s="9"/>
      <c r="C74" s="9"/>
      <c r="D74" s="9"/>
      <c r="E74" s="9"/>
      <c r="F74" s="9" t="str">
        <f t="shared" si="0"/>
        <v>No coincide</v>
      </c>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row>
    <row r="75" spans="1:47" ht="15.75" customHeight="1">
      <c r="A75" s="9"/>
      <c r="B75" s="9"/>
      <c r="C75" s="9"/>
      <c r="D75" s="9"/>
      <c r="E75" s="9"/>
      <c r="F75" s="9" t="str">
        <f t="shared" si="0"/>
        <v>No coincide</v>
      </c>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row>
    <row r="76" spans="1:47" ht="15.75" customHeight="1">
      <c r="A76" s="9"/>
      <c r="B76" s="9"/>
      <c r="C76" s="9"/>
      <c r="D76" s="9"/>
      <c r="E76" s="9"/>
      <c r="F76" s="9" t="str">
        <f t="shared" si="0"/>
        <v>No coincide</v>
      </c>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row>
    <row r="77" spans="1:47" ht="15.75" customHeight="1">
      <c r="A77" s="9"/>
      <c r="B77" s="9"/>
      <c r="C77" s="9"/>
      <c r="D77" s="9"/>
      <c r="E77" s="9"/>
      <c r="F77" s="9" t="str">
        <f t="shared" si="0"/>
        <v>No coincide</v>
      </c>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row>
    <row r="78" spans="1:47" ht="15.75" customHeight="1">
      <c r="A78" s="9"/>
      <c r="B78" s="9"/>
      <c r="C78" s="9"/>
      <c r="D78" s="9"/>
      <c r="E78" s="9"/>
      <c r="F78" s="9" t="str">
        <f t="shared" si="0"/>
        <v>No coincide</v>
      </c>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row>
    <row r="79" spans="1:47" ht="15.75" customHeight="1">
      <c r="A79" s="9"/>
      <c r="B79" s="9"/>
      <c r="C79" s="9"/>
      <c r="D79" s="9"/>
      <c r="E79" s="9"/>
      <c r="F79" s="9" t="str">
        <f t="shared" si="0"/>
        <v>No coincide</v>
      </c>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row>
    <row r="80" spans="1:47" ht="15.75" customHeight="1">
      <c r="A80" s="9"/>
      <c r="B80" s="9"/>
      <c r="C80" s="9"/>
      <c r="D80" s="9"/>
      <c r="E80" s="9"/>
      <c r="F80" s="9" t="str">
        <f t="shared" si="0"/>
        <v>No coincide</v>
      </c>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row>
    <row r="81" spans="1:47" ht="15.75" customHeight="1">
      <c r="A81" s="9"/>
      <c r="B81" s="9"/>
      <c r="C81" s="9"/>
      <c r="D81" s="9"/>
      <c r="E81" s="9"/>
      <c r="F81" s="9" t="str">
        <f t="shared" si="0"/>
        <v>No coincide</v>
      </c>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row>
    <row r="82" spans="1:47" ht="15.75" customHeight="1">
      <c r="A82" s="9"/>
      <c r="B82" s="9"/>
      <c r="C82" s="9"/>
      <c r="D82" s="9"/>
      <c r="E82" s="9"/>
      <c r="F82" s="9" t="str">
        <f t="shared" si="0"/>
        <v>No coincide</v>
      </c>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row>
    <row r="83" spans="1:47" ht="15.75" customHeight="1">
      <c r="A83" s="9"/>
      <c r="B83" s="9"/>
      <c r="C83" s="9"/>
      <c r="D83" s="9"/>
      <c r="E83" s="9"/>
      <c r="F83" s="9" t="str">
        <f t="shared" si="0"/>
        <v>No coincide</v>
      </c>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row>
    <row r="84" spans="1:47" ht="15.75" customHeight="1">
      <c r="A84" s="9"/>
      <c r="B84" s="9"/>
      <c r="C84" s="9"/>
      <c r="D84" s="9"/>
      <c r="E84" s="9"/>
      <c r="F84" s="9" t="str">
        <f t="shared" si="0"/>
        <v>No coincide</v>
      </c>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row>
    <row r="85" spans="1:47" ht="15.75" customHeight="1">
      <c r="A85" s="9"/>
      <c r="B85" s="9"/>
      <c r="C85" s="9"/>
      <c r="D85" s="9"/>
      <c r="E85" s="9"/>
      <c r="F85" s="9" t="str">
        <f t="shared" si="0"/>
        <v>No coincide</v>
      </c>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row>
    <row r="86" spans="1:47" ht="15.75" customHeight="1">
      <c r="A86" s="9"/>
      <c r="B86" s="9"/>
      <c r="C86" s="9"/>
      <c r="D86" s="9"/>
      <c r="E86" s="9"/>
      <c r="F86" s="9" t="str">
        <f t="shared" si="0"/>
        <v>No coincide</v>
      </c>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row>
    <row r="87" spans="1:47" ht="15.75" customHeight="1">
      <c r="A87" s="9"/>
      <c r="B87" s="9"/>
      <c r="C87" s="9"/>
      <c r="D87" s="9"/>
      <c r="E87" s="9"/>
      <c r="F87" s="9" t="str">
        <f t="shared" si="0"/>
        <v>No coincide</v>
      </c>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row>
    <row r="88" spans="1:47" ht="15.75" customHeight="1">
      <c r="A88" s="9"/>
      <c r="B88" s="9"/>
      <c r="C88" s="9"/>
      <c r="D88" s="9"/>
      <c r="E88" s="9"/>
      <c r="F88" s="9" t="str">
        <f t="shared" si="0"/>
        <v>No coincide</v>
      </c>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row>
    <row r="89" spans="1:47" ht="15.75" customHeight="1">
      <c r="A89" s="9"/>
      <c r="B89" s="9"/>
      <c r="C89" s="9"/>
      <c r="D89" s="9"/>
      <c r="E89" s="9"/>
      <c r="F89" s="9" t="str">
        <f t="shared" si="0"/>
        <v>No coincide</v>
      </c>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row>
    <row r="90" spans="1:47" ht="15.75" customHeight="1">
      <c r="A90" s="9"/>
      <c r="B90" s="9"/>
      <c r="C90" s="9"/>
      <c r="D90" s="9"/>
      <c r="E90" s="9"/>
      <c r="F90" s="9" t="str">
        <f t="shared" si="0"/>
        <v>No coincide</v>
      </c>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row>
    <row r="91" spans="1:47" ht="15.75" customHeight="1">
      <c r="A91" s="9"/>
      <c r="B91" s="9"/>
      <c r="C91" s="9"/>
      <c r="D91" s="9"/>
      <c r="E91" s="9"/>
      <c r="F91" s="9" t="str">
        <f t="shared" si="0"/>
        <v>No coincide</v>
      </c>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row>
    <row r="92" spans="1:47" ht="15.75" customHeight="1">
      <c r="A92" s="9"/>
      <c r="B92" s="9"/>
      <c r="C92" s="9"/>
      <c r="D92" s="9"/>
      <c r="E92" s="9"/>
      <c r="F92" s="9" t="str">
        <f t="shared" si="0"/>
        <v>No coincide</v>
      </c>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row>
    <row r="93" spans="1:47" ht="15.75" customHeight="1">
      <c r="A93" s="9"/>
      <c r="B93" s="9"/>
      <c r="C93" s="9"/>
      <c r="D93" s="9"/>
      <c r="E93" s="9"/>
      <c r="F93" s="9" t="str">
        <f t="shared" si="0"/>
        <v>No coincide</v>
      </c>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row>
    <row r="94" spans="1:47" ht="15.75" customHeight="1">
      <c r="A94" s="9"/>
      <c r="B94" s="9"/>
      <c r="C94" s="9"/>
      <c r="D94" s="9"/>
      <c r="E94" s="9"/>
      <c r="F94" s="9" t="str">
        <f t="shared" si="0"/>
        <v>No coincide</v>
      </c>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row>
    <row r="95" spans="1:47" ht="15.75" customHeight="1">
      <c r="A95" s="9"/>
      <c r="B95" s="9"/>
      <c r="C95" s="9"/>
      <c r="D95" s="9"/>
      <c r="E95" s="9"/>
      <c r="F95" s="9" t="str">
        <f t="shared" si="0"/>
        <v>No coincide</v>
      </c>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row>
    <row r="96" spans="1:47" ht="15.75" customHeight="1">
      <c r="A96" s="9"/>
      <c r="B96" s="9"/>
      <c r="C96" s="9"/>
      <c r="D96" s="9"/>
      <c r="E96" s="9"/>
      <c r="F96" s="9" t="str">
        <f t="shared" si="0"/>
        <v>No coincide</v>
      </c>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row>
    <row r="97" spans="1:47" ht="15.75" customHeight="1">
      <c r="A97" s="9"/>
      <c r="B97" s="9"/>
      <c r="C97" s="9"/>
      <c r="D97" s="9"/>
      <c r="E97" s="9"/>
      <c r="F97" s="9" t="str">
        <f t="shared" si="0"/>
        <v>No coincide</v>
      </c>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row>
    <row r="98" spans="1:47" ht="15.75" customHeight="1">
      <c r="A98" s="9"/>
      <c r="B98" s="9"/>
      <c r="C98" s="9"/>
      <c r="D98" s="9"/>
      <c r="E98" s="9"/>
      <c r="F98" s="9" t="str">
        <f t="shared" si="0"/>
        <v>No coincide</v>
      </c>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row>
    <row r="99" spans="1:47" ht="15.75" customHeight="1">
      <c r="A99" s="9"/>
      <c r="B99" s="9"/>
      <c r="C99" s="9"/>
      <c r="D99" s="9"/>
      <c r="E99" s="9"/>
      <c r="F99" s="9" t="str">
        <f t="shared" si="0"/>
        <v>No coincide</v>
      </c>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row>
    <row r="100" spans="1:47" ht="15.75" customHeight="1">
      <c r="A100" s="9"/>
      <c r="B100" s="9"/>
      <c r="C100" s="9"/>
      <c r="D100" s="9"/>
      <c r="E100" s="9"/>
      <c r="F100" s="9" t="str">
        <f t="shared" si="0"/>
        <v>No coincide</v>
      </c>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row>
    <row r="101" spans="1:47" ht="15.75" customHeight="1">
      <c r="A101" s="9"/>
      <c r="B101" s="9"/>
      <c r="C101" s="9"/>
      <c r="D101" s="9"/>
      <c r="E101" s="9"/>
      <c r="F101" s="9" t="str">
        <f t="shared" si="0"/>
        <v>No coincide</v>
      </c>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row>
    <row r="102" spans="1:47" ht="15.75" customHeight="1">
      <c r="A102" s="9"/>
      <c r="B102" s="9"/>
      <c r="C102" s="9"/>
      <c r="D102" s="9"/>
      <c r="E102" s="9"/>
      <c r="F102" s="9" t="str">
        <f t="shared" si="0"/>
        <v>No coincide</v>
      </c>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row>
    <row r="103" spans="1:47" ht="15.75" customHeight="1">
      <c r="A103" s="9"/>
      <c r="B103" s="9"/>
      <c r="C103" s="9"/>
      <c r="D103" s="9"/>
      <c r="E103" s="9"/>
      <c r="F103" s="9" t="str">
        <f t="shared" si="0"/>
        <v>No coincide</v>
      </c>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row>
    <row r="104" spans="1:47" ht="15.75" customHeight="1">
      <c r="A104" s="9"/>
      <c r="B104" s="9"/>
      <c r="C104" s="9"/>
      <c r="D104" s="9"/>
      <c r="E104" s="9"/>
      <c r="F104" s="9" t="str">
        <f t="shared" si="0"/>
        <v>No coincide</v>
      </c>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row>
    <row r="105" spans="1:47" ht="15.75" customHeight="1">
      <c r="A105" s="9"/>
      <c r="B105" s="9"/>
      <c r="C105" s="9"/>
      <c r="D105" s="9"/>
      <c r="E105" s="9"/>
      <c r="F105" s="9" t="str">
        <f t="shared" si="0"/>
        <v>No coincide</v>
      </c>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row>
    <row r="106" spans="1:47" ht="15.75" customHeight="1">
      <c r="A106" s="9"/>
      <c r="B106" s="9"/>
      <c r="C106" s="9"/>
      <c r="D106" s="9"/>
      <c r="E106" s="9"/>
      <c r="F106" s="9" t="str">
        <f t="shared" si="0"/>
        <v>No coincide</v>
      </c>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row>
    <row r="107" spans="1:47" ht="15.75" customHeight="1">
      <c r="A107" s="9"/>
      <c r="B107" s="9"/>
      <c r="C107" s="9"/>
      <c r="D107" s="9"/>
      <c r="E107" s="9"/>
      <c r="F107" s="9" t="str">
        <f t="shared" si="0"/>
        <v>No coincide</v>
      </c>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row>
    <row r="108" spans="1:47" ht="15.75" customHeight="1">
      <c r="A108" s="9"/>
      <c r="B108" s="9"/>
      <c r="C108" s="9"/>
      <c r="D108" s="9"/>
      <c r="E108" s="9"/>
      <c r="F108" s="9" t="str">
        <f t="shared" si="0"/>
        <v>No coincide</v>
      </c>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row>
    <row r="109" spans="1:47" ht="15.75" customHeight="1">
      <c r="A109" s="9"/>
      <c r="B109" s="9"/>
      <c r="C109" s="9"/>
      <c r="D109" s="9"/>
      <c r="E109" s="9"/>
      <c r="F109" s="9" t="str">
        <f t="shared" si="0"/>
        <v>No coincide</v>
      </c>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row>
    <row r="110" spans="1:47" ht="15.75" customHeight="1">
      <c r="A110" s="9"/>
      <c r="B110" s="9"/>
      <c r="C110" s="9"/>
      <c r="D110" s="9"/>
      <c r="E110" s="9"/>
      <c r="F110" s="9" t="str">
        <f t="shared" si="0"/>
        <v>No coincide</v>
      </c>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row>
    <row r="111" spans="1:47" ht="15.75" customHeight="1">
      <c r="A111" s="9"/>
      <c r="B111" s="9"/>
      <c r="C111" s="9"/>
      <c r="D111" s="9"/>
      <c r="E111" s="9"/>
      <c r="F111" s="9" t="str">
        <f t="shared" si="0"/>
        <v>No coincide</v>
      </c>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row>
    <row r="112" spans="1:47" ht="15.75" customHeight="1">
      <c r="A112" s="9"/>
      <c r="B112" s="9"/>
      <c r="C112" s="9"/>
      <c r="D112" s="9"/>
      <c r="E112" s="9"/>
      <c r="F112" s="9" t="str">
        <f t="shared" si="0"/>
        <v>No coincide</v>
      </c>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row>
    <row r="113" spans="1:47" ht="15.75" customHeight="1">
      <c r="A113" s="9"/>
      <c r="B113" s="9"/>
      <c r="C113" s="9"/>
      <c r="D113" s="9"/>
      <c r="E113" s="9"/>
      <c r="F113" s="9" t="str">
        <f t="shared" si="0"/>
        <v>No coincide</v>
      </c>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row>
    <row r="114" spans="1:47" ht="15.75" customHeight="1">
      <c r="A114" s="9"/>
      <c r="B114" s="9"/>
      <c r="C114" s="9"/>
      <c r="D114" s="9"/>
      <c r="E114" s="9"/>
      <c r="F114" s="9" t="str">
        <f t="shared" si="0"/>
        <v>No coincide</v>
      </c>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row>
    <row r="115" spans="1:47" ht="15.75" customHeight="1">
      <c r="A115" s="9"/>
      <c r="B115" s="9"/>
      <c r="C115" s="9"/>
      <c r="D115" s="9"/>
      <c r="E115" s="9"/>
      <c r="F115" s="9" t="str">
        <f t="shared" si="0"/>
        <v>No coincide</v>
      </c>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row>
    <row r="116" spans="1:47" ht="15.75" customHeight="1">
      <c r="A116" s="9"/>
      <c r="B116" s="9"/>
      <c r="C116" s="9"/>
      <c r="D116" s="9"/>
      <c r="E116" s="9"/>
      <c r="F116" s="9" t="str">
        <f t="shared" si="0"/>
        <v>No coincide</v>
      </c>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row>
    <row r="117" spans="1:47" ht="15.75" customHeight="1">
      <c r="A117" s="9"/>
      <c r="B117" s="9"/>
      <c r="C117" s="9"/>
      <c r="D117" s="9"/>
      <c r="E117" s="9"/>
      <c r="F117" s="9" t="str">
        <f t="shared" si="0"/>
        <v>No coincide</v>
      </c>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row>
    <row r="118" spans="1:47" ht="15.75" customHeight="1">
      <c r="A118" s="9"/>
      <c r="B118" s="9"/>
      <c r="C118" s="9"/>
      <c r="D118" s="9"/>
      <c r="E118" s="9"/>
      <c r="F118" s="9" t="str">
        <f t="shared" si="0"/>
        <v>No coincide</v>
      </c>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row>
    <row r="119" spans="1:47" ht="15.75" customHeight="1">
      <c r="A119" s="9"/>
      <c r="B119" s="9"/>
      <c r="C119" s="9"/>
      <c r="D119" s="9"/>
      <c r="E119" s="9"/>
      <c r="F119" s="9" t="str">
        <f t="shared" si="0"/>
        <v>No coincide</v>
      </c>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row>
    <row r="120" spans="1:47" ht="15.75" customHeight="1">
      <c r="A120" s="9"/>
      <c r="B120" s="9"/>
      <c r="C120" s="9"/>
      <c r="D120" s="9"/>
      <c r="E120" s="9"/>
      <c r="F120" s="9" t="str">
        <f t="shared" si="0"/>
        <v>No coincide</v>
      </c>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row>
    <row r="121" spans="1:47" ht="15.75" customHeight="1">
      <c r="A121" s="9"/>
      <c r="B121" s="9"/>
      <c r="C121" s="9"/>
      <c r="D121" s="9"/>
      <c r="E121" s="9"/>
      <c r="F121" s="9" t="str">
        <f t="shared" si="0"/>
        <v>No coincide</v>
      </c>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row>
    <row r="122" spans="1:47" ht="15.75" customHeight="1">
      <c r="A122" s="9"/>
      <c r="B122" s="9"/>
      <c r="C122" s="9"/>
      <c r="D122" s="9"/>
      <c r="E122" s="9"/>
      <c r="F122" s="9" t="str">
        <f t="shared" si="0"/>
        <v>No coincide</v>
      </c>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row>
    <row r="123" spans="1:47" ht="15.75" customHeight="1">
      <c r="A123" s="9"/>
      <c r="B123" s="9"/>
      <c r="C123" s="9"/>
      <c r="D123" s="9"/>
      <c r="E123" s="9"/>
      <c r="F123" s="9" t="str">
        <f t="shared" si="0"/>
        <v>No coincide</v>
      </c>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row>
    <row r="124" spans="1:47" ht="15.75" customHeight="1">
      <c r="A124" s="9"/>
      <c r="B124" s="9"/>
      <c r="C124" s="9"/>
      <c r="D124" s="9"/>
      <c r="E124" s="9"/>
      <c r="F124" s="9" t="str">
        <f t="shared" si="0"/>
        <v>No coincide</v>
      </c>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row>
    <row r="125" spans="1:47" ht="15.75" customHeight="1">
      <c r="A125" s="9"/>
      <c r="B125" s="9"/>
      <c r="C125" s="9"/>
      <c r="D125" s="9"/>
      <c r="E125" s="9"/>
      <c r="F125" s="9" t="str">
        <f t="shared" si="0"/>
        <v>No coincide</v>
      </c>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row>
    <row r="126" spans="1:47" ht="15.75" customHeight="1">
      <c r="A126" s="9"/>
      <c r="B126" s="9"/>
      <c r="C126" s="9"/>
      <c r="D126" s="9"/>
      <c r="E126" s="9"/>
      <c r="F126" s="9" t="str">
        <f t="shared" si="0"/>
        <v>No coincide</v>
      </c>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row>
    <row r="127" spans="1:47" ht="15.75" customHeight="1">
      <c r="A127" s="9"/>
      <c r="B127" s="9"/>
      <c r="C127" s="9"/>
      <c r="D127" s="9"/>
      <c r="E127" s="9"/>
      <c r="F127" s="9" t="str">
        <f t="shared" si="0"/>
        <v>No coincide</v>
      </c>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row>
    <row r="128" spans="1:47" ht="15.75" customHeight="1">
      <c r="A128" s="9"/>
      <c r="B128" s="9"/>
      <c r="C128" s="9"/>
      <c r="D128" s="9"/>
      <c r="E128" s="9"/>
      <c r="F128" s="9" t="str">
        <f t="shared" si="0"/>
        <v>No coincide</v>
      </c>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row>
    <row r="129" spans="1:47" ht="15.75" customHeight="1">
      <c r="A129" s="9"/>
      <c r="B129" s="9"/>
      <c r="C129" s="9"/>
      <c r="D129" s="9"/>
      <c r="E129" s="9"/>
      <c r="F129" s="9" t="str">
        <f t="shared" si="0"/>
        <v>No coincide</v>
      </c>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row>
    <row r="130" spans="1:47" ht="15.75" customHeight="1">
      <c r="A130" s="9"/>
      <c r="B130" s="9"/>
      <c r="C130" s="9"/>
      <c r="D130" s="9"/>
      <c r="E130" s="9"/>
      <c r="F130" s="9" t="str">
        <f t="shared" si="0"/>
        <v>No coincide</v>
      </c>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row>
    <row r="131" spans="1:47" ht="15.75" customHeight="1">
      <c r="A131" s="9"/>
      <c r="B131" s="9"/>
      <c r="C131" s="9"/>
      <c r="D131" s="9"/>
      <c r="E131" s="9"/>
      <c r="F131" s="9" t="str">
        <f t="shared" si="0"/>
        <v>No coincide</v>
      </c>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row>
    <row r="132" spans="1:47" ht="15.75" customHeight="1">
      <c r="A132" s="9"/>
      <c r="B132" s="9"/>
      <c r="C132" s="9"/>
      <c r="D132" s="9"/>
      <c r="E132" s="9"/>
      <c r="F132" s="9" t="str">
        <f t="shared" si="0"/>
        <v>No coincide</v>
      </c>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row>
    <row r="133" spans="1:47" ht="15.75" customHeight="1">
      <c r="A133" s="9"/>
      <c r="B133" s="9"/>
      <c r="C133" s="9"/>
      <c r="D133" s="9"/>
      <c r="E133" s="9"/>
      <c r="F133" s="9" t="str">
        <f t="shared" si="0"/>
        <v>No coincide</v>
      </c>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row>
    <row r="134" spans="1:47" ht="15.75" customHeight="1">
      <c r="A134" s="9"/>
      <c r="B134" s="9"/>
      <c r="C134" s="9"/>
      <c r="D134" s="9"/>
      <c r="E134" s="9"/>
      <c r="F134" s="9" t="str">
        <f t="shared" si="0"/>
        <v>No coincide</v>
      </c>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row>
    <row r="135" spans="1:47" ht="15.75" customHeight="1">
      <c r="A135" s="9"/>
      <c r="B135" s="9"/>
      <c r="C135" s="9"/>
      <c r="D135" s="9"/>
      <c r="E135" s="9"/>
      <c r="F135" s="9" t="str">
        <f t="shared" si="0"/>
        <v>No coincide</v>
      </c>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row>
    <row r="136" spans="1:47" ht="15.75" customHeight="1">
      <c r="A136" s="9"/>
      <c r="B136" s="9"/>
      <c r="C136" s="9"/>
      <c r="D136" s="9"/>
      <c r="E136" s="9"/>
      <c r="F136" s="9" t="str">
        <f t="shared" si="0"/>
        <v>No coincide</v>
      </c>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row>
    <row r="137" spans="1:47" ht="15.75" customHeight="1">
      <c r="A137" s="9"/>
      <c r="B137" s="9"/>
      <c r="C137" s="9"/>
      <c r="D137" s="9"/>
      <c r="E137" s="9"/>
      <c r="F137" s="9" t="str">
        <f t="shared" si="0"/>
        <v>No coincide</v>
      </c>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row>
    <row r="138" spans="1:47" ht="15.75" customHeight="1">
      <c r="A138" s="9"/>
      <c r="B138" s="9"/>
      <c r="C138" s="9"/>
      <c r="D138" s="9"/>
      <c r="E138" s="9"/>
      <c r="F138" s="9" t="str">
        <f t="shared" si="0"/>
        <v>No coincide</v>
      </c>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row>
    <row r="139" spans="1:47" ht="15.75" customHeight="1">
      <c r="A139" s="9"/>
      <c r="B139" s="9"/>
      <c r="C139" s="9"/>
      <c r="D139" s="9"/>
      <c r="E139" s="9"/>
      <c r="F139" s="9" t="str">
        <f t="shared" si="0"/>
        <v>No coincide</v>
      </c>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row>
    <row r="140" spans="1:47" ht="15.75" customHeight="1">
      <c r="A140" s="9"/>
      <c r="B140" s="9"/>
      <c r="C140" s="9"/>
      <c r="D140" s="9"/>
      <c r="E140" s="9"/>
      <c r="F140" s="9" t="str">
        <f t="shared" si="0"/>
        <v>No coincide</v>
      </c>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row>
    <row r="141" spans="1:47" ht="15.75" customHeight="1">
      <c r="A141" s="9"/>
      <c r="B141" s="9"/>
      <c r="C141" s="9"/>
      <c r="D141" s="9"/>
      <c r="E141" s="9"/>
      <c r="F141" s="9" t="str">
        <f t="shared" si="0"/>
        <v>No coincide</v>
      </c>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row>
    <row r="142" spans="1:47" ht="15.75" customHeight="1">
      <c r="A142" s="9"/>
      <c r="B142" s="9"/>
      <c r="C142" s="9"/>
      <c r="D142" s="9"/>
      <c r="E142" s="9"/>
      <c r="F142" s="9" t="str">
        <f t="shared" si="0"/>
        <v>No coincide</v>
      </c>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row>
    <row r="143" spans="1:47" ht="15.75" customHeight="1">
      <c r="A143" s="9"/>
      <c r="B143" s="9"/>
      <c r="C143" s="9"/>
      <c r="D143" s="9"/>
      <c r="E143" s="9"/>
      <c r="F143" s="9" t="str">
        <f t="shared" si="0"/>
        <v>No coincide</v>
      </c>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row>
    <row r="144" spans="1:47" ht="15.75" customHeight="1">
      <c r="A144" s="9"/>
      <c r="B144" s="9"/>
      <c r="C144" s="9"/>
      <c r="D144" s="9"/>
      <c r="E144" s="9"/>
      <c r="F144" s="9" t="str">
        <f t="shared" si="0"/>
        <v>No coincide</v>
      </c>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row>
    <row r="145" spans="1:47" ht="15.75" customHeight="1">
      <c r="A145" s="9"/>
      <c r="B145" s="9"/>
      <c r="C145" s="9"/>
      <c r="D145" s="9"/>
      <c r="E145" s="9"/>
      <c r="F145" s="9" t="str">
        <f t="shared" si="0"/>
        <v>No coincide</v>
      </c>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row>
    <row r="146" spans="1:47" ht="15.75" customHeight="1">
      <c r="A146" s="9"/>
      <c r="B146" s="9"/>
      <c r="C146" s="9"/>
      <c r="D146" s="9"/>
      <c r="E146" s="9"/>
      <c r="F146" s="9" t="str">
        <f t="shared" si="0"/>
        <v>No coincide</v>
      </c>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row>
    <row r="147" spans="1:47" ht="15.75" customHeight="1">
      <c r="A147" s="9"/>
      <c r="B147" s="9"/>
      <c r="C147" s="9"/>
      <c r="D147" s="9"/>
      <c r="E147" s="9"/>
      <c r="F147" s="9" t="str">
        <f t="shared" si="0"/>
        <v>No coincide</v>
      </c>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row>
    <row r="148" spans="1:47" ht="15.75" customHeight="1">
      <c r="A148" s="9"/>
      <c r="B148" s="9"/>
      <c r="C148" s="9"/>
      <c r="D148" s="9"/>
      <c r="E148" s="9"/>
      <c r="F148" s="9" t="str">
        <f t="shared" si="0"/>
        <v>No coincide</v>
      </c>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row>
    <row r="149" spans="1:47" ht="15.75" customHeight="1">
      <c r="A149" s="9"/>
      <c r="B149" s="9"/>
      <c r="C149" s="9"/>
      <c r="D149" s="9"/>
      <c r="E149" s="9"/>
      <c r="F149" s="9" t="str">
        <f t="shared" si="0"/>
        <v>No coincide</v>
      </c>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row>
    <row r="150" spans="1:47" ht="15.75" customHeight="1">
      <c r="A150" s="9"/>
      <c r="B150" s="9"/>
      <c r="C150" s="9"/>
      <c r="D150" s="9"/>
      <c r="E150" s="9"/>
      <c r="F150" s="9" t="str">
        <f t="shared" si="0"/>
        <v>No coincide</v>
      </c>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row>
    <row r="151" spans="1:47" ht="15.75" customHeight="1">
      <c r="A151" s="9"/>
      <c r="B151" s="9"/>
      <c r="C151" s="9"/>
      <c r="D151" s="9"/>
      <c r="E151" s="9"/>
      <c r="F151" s="9" t="str">
        <f t="shared" si="0"/>
        <v>No coincide</v>
      </c>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row>
    <row r="152" spans="1:47" ht="15.75" customHeight="1">
      <c r="A152" s="9"/>
      <c r="B152" s="9"/>
      <c r="C152" s="9"/>
      <c r="D152" s="9"/>
      <c r="E152" s="9"/>
      <c r="F152" s="9" t="str">
        <f t="shared" si="0"/>
        <v>No coincide</v>
      </c>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row>
    <row r="153" spans="1:47" ht="15.75" customHeight="1">
      <c r="A153" s="9"/>
      <c r="B153" s="9"/>
      <c r="C153" s="9"/>
      <c r="D153" s="9"/>
      <c r="E153" s="9"/>
      <c r="F153" s="9" t="str">
        <f t="shared" si="0"/>
        <v>No coincide</v>
      </c>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row>
    <row r="154" spans="1:47" ht="15.75" customHeight="1">
      <c r="A154" s="9"/>
      <c r="B154" s="9"/>
      <c r="C154" s="9"/>
      <c r="D154" s="9"/>
      <c r="E154" s="9"/>
      <c r="F154" s="9" t="str">
        <f t="shared" si="0"/>
        <v>No coincide</v>
      </c>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row>
    <row r="155" spans="1:47" ht="15.75" customHeight="1">
      <c r="A155" s="9"/>
      <c r="B155" s="9"/>
      <c r="C155" s="9"/>
      <c r="D155" s="9"/>
      <c r="E155" s="9"/>
      <c r="F155" s="9" t="str">
        <f t="shared" si="0"/>
        <v>No coincide</v>
      </c>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row>
    <row r="156" spans="1:47" ht="15.75" customHeight="1">
      <c r="A156" s="9"/>
      <c r="B156" s="9"/>
      <c r="C156" s="9"/>
      <c r="D156" s="9"/>
      <c r="E156" s="9"/>
      <c r="F156" s="9" t="str">
        <f t="shared" si="0"/>
        <v>No coincide</v>
      </c>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row>
    <row r="157" spans="1:47" ht="15.75" customHeight="1">
      <c r="A157" s="9"/>
      <c r="B157" s="9"/>
      <c r="C157" s="9"/>
      <c r="D157" s="9"/>
      <c r="E157" s="9"/>
      <c r="F157" s="9" t="str">
        <f t="shared" si="0"/>
        <v>No coincide</v>
      </c>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row>
    <row r="158" spans="1:47" ht="15.75" customHeight="1">
      <c r="A158" s="9"/>
      <c r="B158" s="9"/>
      <c r="C158" s="9"/>
      <c r="D158" s="9"/>
      <c r="E158" s="9"/>
      <c r="F158" s="9" t="str">
        <f t="shared" si="0"/>
        <v>No coincide</v>
      </c>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row>
    <row r="159" spans="1:47" ht="15.75" customHeight="1">
      <c r="A159" s="9"/>
      <c r="B159" s="9"/>
      <c r="C159" s="9"/>
      <c r="D159" s="9"/>
      <c r="E159" s="9"/>
      <c r="F159" s="9" t="str">
        <f t="shared" si="0"/>
        <v>No coincide</v>
      </c>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row>
    <row r="160" spans="1:47" ht="15.75" customHeight="1">
      <c r="A160" s="9"/>
      <c r="B160" s="9"/>
      <c r="C160" s="9"/>
      <c r="D160" s="9"/>
      <c r="E160" s="9"/>
      <c r="F160" s="9" t="str">
        <f t="shared" si="0"/>
        <v>No coincide</v>
      </c>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row>
    <row r="161" spans="1:47" ht="15.75" customHeight="1">
      <c r="A161" s="9"/>
      <c r="B161" s="9"/>
      <c r="C161" s="9"/>
      <c r="D161" s="9"/>
      <c r="E161" s="9"/>
      <c r="F161" s="9" t="str">
        <f t="shared" si="0"/>
        <v>No coincide</v>
      </c>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row>
    <row r="162" spans="1:47" ht="15.75" customHeight="1">
      <c r="A162" s="9"/>
      <c r="B162" s="9"/>
      <c r="C162" s="9"/>
      <c r="D162" s="9"/>
      <c r="E162" s="9"/>
      <c r="F162" s="9" t="str">
        <f t="shared" si="0"/>
        <v>No coincide</v>
      </c>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row>
    <row r="163" spans="1:47" ht="15.75" customHeight="1">
      <c r="A163" s="9"/>
      <c r="B163" s="9"/>
      <c r="C163" s="9"/>
      <c r="D163" s="9"/>
      <c r="E163" s="9"/>
      <c r="F163" s="9" t="str">
        <f t="shared" si="0"/>
        <v>No coincide</v>
      </c>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row>
    <row r="164" spans="1:47" ht="15.75" customHeight="1">
      <c r="A164" s="9"/>
      <c r="B164" s="9"/>
      <c r="C164" s="9"/>
      <c r="D164" s="9"/>
      <c r="E164" s="9"/>
      <c r="F164" s="9" t="str">
        <f t="shared" si="0"/>
        <v>No coincide</v>
      </c>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row>
    <row r="165" spans="1:47" ht="15.75" customHeight="1">
      <c r="A165" s="9"/>
      <c r="B165" s="9"/>
      <c r="C165" s="9"/>
      <c r="D165" s="9"/>
      <c r="E165" s="9"/>
      <c r="F165" s="9" t="str">
        <f t="shared" si="0"/>
        <v>No coincide</v>
      </c>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row>
    <row r="166" spans="1:47" ht="15.75" customHeight="1">
      <c r="A166" s="9"/>
      <c r="B166" s="9"/>
      <c r="C166" s="9"/>
      <c r="D166" s="9"/>
      <c r="E166" s="9"/>
      <c r="F166" s="9" t="str">
        <f t="shared" si="0"/>
        <v>No coincide</v>
      </c>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row>
    <row r="167" spans="1:47" ht="15.75" customHeight="1">
      <c r="A167" s="9"/>
      <c r="B167" s="9"/>
      <c r="C167" s="9"/>
      <c r="D167" s="9"/>
      <c r="E167" s="9"/>
      <c r="F167" s="9" t="str">
        <f t="shared" si="0"/>
        <v>No coincide</v>
      </c>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row>
    <row r="168" spans="1:47" ht="15.75" customHeight="1">
      <c r="A168" s="9"/>
      <c r="B168" s="9"/>
      <c r="C168" s="9"/>
      <c r="D168" s="9"/>
      <c r="E168" s="9"/>
      <c r="F168" s="9" t="str">
        <f t="shared" si="0"/>
        <v>No coincide</v>
      </c>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row>
    <row r="169" spans="1:47" ht="15.75" customHeight="1">
      <c r="A169" s="9"/>
      <c r="B169" s="9"/>
      <c r="C169" s="9"/>
      <c r="D169" s="9"/>
      <c r="E169" s="9"/>
      <c r="F169" s="9" t="str">
        <f t="shared" si="0"/>
        <v>No coincide</v>
      </c>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row>
    <row r="170" spans="1:47" ht="15.75" customHeight="1">
      <c r="A170" s="9"/>
      <c r="B170" s="9"/>
      <c r="C170" s="9"/>
      <c r="D170" s="9"/>
      <c r="E170" s="9"/>
      <c r="F170" s="9" t="str">
        <f t="shared" si="0"/>
        <v>No coincide</v>
      </c>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row>
    <row r="171" spans="1:47" ht="15.75" customHeight="1">
      <c r="A171" s="9"/>
      <c r="B171" s="9"/>
      <c r="C171" s="9"/>
      <c r="D171" s="9"/>
      <c r="E171" s="9"/>
      <c r="F171" s="9" t="str">
        <f t="shared" si="0"/>
        <v>No coincide</v>
      </c>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row>
    <row r="172" spans="1:47" ht="15.75" customHeight="1">
      <c r="A172" s="9"/>
      <c r="B172" s="9"/>
      <c r="C172" s="9"/>
      <c r="D172" s="9"/>
      <c r="E172" s="9"/>
      <c r="F172" s="9" t="str">
        <f t="shared" si="0"/>
        <v>No coincide</v>
      </c>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row>
    <row r="173" spans="1:47" ht="15.75" customHeight="1">
      <c r="A173" s="9"/>
      <c r="B173" s="9"/>
      <c r="C173" s="9"/>
      <c r="D173" s="9"/>
      <c r="E173" s="9"/>
      <c r="F173" s="9" t="str">
        <f t="shared" si="0"/>
        <v>No coincide</v>
      </c>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row>
    <row r="174" spans="1:47" ht="15.75" customHeight="1">
      <c r="A174" s="9"/>
      <c r="B174" s="9"/>
      <c r="C174" s="9"/>
      <c r="D174" s="9"/>
      <c r="E174" s="9"/>
      <c r="F174" s="9" t="str">
        <f t="shared" si="0"/>
        <v>No coincide</v>
      </c>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row>
    <row r="175" spans="1:47" ht="15.75" customHeight="1">
      <c r="A175" s="9"/>
      <c r="B175" s="9"/>
      <c r="C175" s="9"/>
      <c r="D175" s="9"/>
      <c r="E175" s="9"/>
      <c r="F175" s="9" t="str">
        <f t="shared" si="0"/>
        <v>No coincide</v>
      </c>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row>
    <row r="176" spans="1:47" ht="15.75" customHeight="1">
      <c r="A176" s="9"/>
      <c r="B176" s="9"/>
      <c r="C176" s="9"/>
      <c r="D176" s="9"/>
      <c r="E176" s="9"/>
      <c r="F176" s="9" t="str">
        <f t="shared" si="0"/>
        <v>No coincide</v>
      </c>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row>
    <row r="177" spans="1:47" ht="15.75" customHeight="1">
      <c r="A177" s="9"/>
      <c r="B177" s="9"/>
      <c r="C177" s="9"/>
      <c r="D177" s="9"/>
      <c r="E177" s="9"/>
      <c r="F177" s="9" t="str">
        <f t="shared" si="0"/>
        <v>No coincide</v>
      </c>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row>
    <row r="178" spans="1:47" ht="15.75" customHeight="1">
      <c r="A178" s="9"/>
      <c r="B178" s="9"/>
      <c r="C178" s="9"/>
      <c r="D178" s="9"/>
      <c r="E178" s="9"/>
      <c r="F178" s="9" t="str">
        <f t="shared" si="0"/>
        <v>No coincide</v>
      </c>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row>
    <row r="179" spans="1:47" ht="15.75" customHeight="1">
      <c r="A179" s="9"/>
      <c r="B179" s="9"/>
      <c r="C179" s="9"/>
      <c r="D179" s="9"/>
      <c r="E179" s="9"/>
      <c r="F179" s="9" t="str">
        <f t="shared" si="0"/>
        <v>No coincide</v>
      </c>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row>
    <row r="180" spans="1:47" ht="15.75" customHeight="1">
      <c r="A180" s="9"/>
      <c r="B180" s="9"/>
      <c r="C180" s="9"/>
      <c r="D180" s="9"/>
      <c r="E180" s="9"/>
      <c r="F180" s="9" t="str">
        <f t="shared" si="0"/>
        <v>No coincide</v>
      </c>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row>
    <row r="181" spans="1:47" ht="15.75" customHeight="1">
      <c r="A181" s="9"/>
      <c r="B181" s="9"/>
      <c r="C181" s="9"/>
      <c r="D181" s="9"/>
      <c r="E181" s="9"/>
      <c r="F181" s="9" t="str">
        <f t="shared" si="0"/>
        <v>No coincide</v>
      </c>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row>
    <row r="182" spans="1:47" ht="15.75" customHeight="1">
      <c r="A182" s="9"/>
      <c r="B182" s="9"/>
      <c r="C182" s="9"/>
      <c r="D182" s="9"/>
      <c r="E182" s="9"/>
      <c r="F182" s="9" t="str">
        <f t="shared" si="0"/>
        <v>No coincide</v>
      </c>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row>
    <row r="183" spans="1:47" ht="15.75" customHeight="1">
      <c r="A183" s="9"/>
      <c r="B183" s="9"/>
      <c r="C183" s="9"/>
      <c r="D183" s="9"/>
      <c r="E183" s="9"/>
      <c r="F183" s="9" t="str">
        <f t="shared" si="0"/>
        <v>No coincide</v>
      </c>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row>
    <row r="184" spans="1:47" ht="15.75" customHeight="1">
      <c r="A184" s="9"/>
      <c r="B184" s="9"/>
      <c r="C184" s="9"/>
      <c r="D184" s="9"/>
      <c r="E184" s="9"/>
      <c r="F184" s="9" t="str">
        <f t="shared" si="0"/>
        <v>No coincide</v>
      </c>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row>
    <row r="185" spans="1:47" ht="15.75" customHeight="1">
      <c r="A185" s="9"/>
      <c r="B185" s="9"/>
      <c r="C185" s="9"/>
      <c r="D185" s="9"/>
      <c r="E185" s="9"/>
      <c r="F185" s="9" t="str">
        <f t="shared" si="0"/>
        <v>No coincide</v>
      </c>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row>
    <row r="186" spans="1:47" ht="15.75" customHeight="1">
      <c r="A186" s="9"/>
      <c r="B186" s="9"/>
      <c r="C186" s="9"/>
      <c r="D186" s="9"/>
      <c r="E186" s="9"/>
      <c r="F186" s="9" t="str">
        <f t="shared" si="0"/>
        <v>No coincide</v>
      </c>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row>
    <row r="187" spans="1:47" ht="15.75" customHeight="1">
      <c r="A187" s="9"/>
      <c r="B187" s="9"/>
      <c r="C187" s="9"/>
      <c r="D187" s="9"/>
      <c r="E187" s="9"/>
      <c r="F187" s="9" t="str">
        <f t="shared" si="0"/>
        <v>No coincide</v>
      </c>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row>
    <row r="188" spans="1:47" ht="15.75" customHeight="1">
      <c r="A188" s="9"/>
      <c r="B188" s="9"/>
      <c r="C188" s="9"/>
      <c r="D188" s="9"/>
      <c r="E188" s="9"/>
      <c r="F188" s="9" t="str">
        <f t="shared" si="0"/>
        <v>No coincide</v>
      </c>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row>
    <row r="189" spans="1:47" ht="15.75" customHeight="1">
      <c r="A189" s="9"/>
      <c r="B189" s="9"/>
      <c r="C189" s="9"/>
      <c r="D189" s="9"/>
      <c r="E189" s="9"/>
      <c r="F189" s="9" t="str">
        <f t="shared" si="0"/>
        <v>No coincide</v>
      </c>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row>
    <row r="190" spans="1:47" ht="15.75" customHeight="1">
      <c r="A190" s="9"/>
      <c r="B190" s="9"/>
      <c r="C190" s="9"/>
      <c r="D190" s="9"/>
      <c r="E190" s="9"/>
      <c r="F190" s="9" t="str">
        <f t="shared" si="0"/>
        <v>No coincide</v>
      </c>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row>
    <row r="191" spans="1:47" ht="15.75" customHeight="1">
      <c r="A191" s="9"/>
      <c r="B191" s="9"/>
      <c r="C191" s="9"/>
      <c r="D191" s="9"/>
      <c r="E191" s="9"/>
      <c r="F191" s="9" t="str">
        <f t="shared" si="0"/>
        <v>No coincide</v>
      </c>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row>
    <row r="192" spans="1:47" ht="15.75" customHeight="1">
      <c r="A192" s="9"/>
      <c r="B192" s="9"/>
      <c r="C192" s="9"/>
      <c r="D192" s="9"/>
      <c r="E192" s="9"/>
      <c r="F192" s="9" t="str">
        <f t="shared" si="0"/>
        <v>No coincide</v>
      </c>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row>
    <row r="193" spans="1:47" ht="15.75" customHeight="1">
      <c r="A193" s="9"/>
      <c r="B193" s="9"/>
      <c r="C193" s="9"/>
      <c r="D193" s="9"/>
      <c r="E193" s="9"/>
      <c r="F193" s="9" t="str">
        <f t="shared" si="0"/>
        <v>No coincide</v>
      </c>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row>
    <row r="194" spans="1:47" ht="15.75" customHeight="1">
      <c r="A194" s="9"/>
      <c r="B194" s="9"/>
      <c r="C194" s="9"/>
      <c r="D194" s="9"/>
      <c r="E194" s="9"/>
      <c r="F194" s="9" t="str">
        <f t="shared" si="0"/>
        <v>No coincide</v>
      </c>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row>
    <row r="195" spans="1:47" ht="15.75" customHeight="1">
      <c r="A195" s="9"/>
      <c r="B195" s="9"/>
      <c r="C195" s="9"/>
      <c r="D195" s="9"/>
      <c r="E195" s="9"/>
      <c r="F195" s="9" t="str">
        <f t="shared" si="0"/>
        <v>No coincide</v>
      </c>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row>
    <row r="196" spans="1:47" ht="15.75" customHeight="1">
      <c r="A196" s="9"/>
      <c r="B196" s="9"/>
      <c r="C196" s="9"/>
      <c r="D196" s="9"/>
      <c r="E196" s="9"/>
      <c r="F196" s="9" t="str">
        <f t="shared" si="0"/>
        <v>No coincide</v>
      </c>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row>
    <row r="197" spans="1:47" ht="15.75" customHeight="1">
      <c r="A197" s="9"/>
      <c r="B197" s="9"/>
      <c r="C197" s="9"/>
      <c r="D197" s="9"/>
      <c r="E197" s="9"/>
      <c r="F197" s="9" t="str">
        <f t="shared" si="0"/>
        <v>No coincide</v>
      </c>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row>
    <row r="198" spans="1:47" ht="15.75" customHeight="1">
      <c r="A198" s="9"/>
      <c r="B198" s="9"/>
      <c r="C198" s="9"/>
      <c r="D198" s="9"/>
      <c r="E198" s="9"/>
      <c r="F198" s="9" t="str">
        <f t="shared" si="0"/>
        <v>No coincide</v>
      </c>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row>
    <row r="199" spans="1:47" ht="15.75" customHeight="1">
      <c r="A199" s="9"/>
      <c r="B199" s="9"/>
      <c r="C199" s="9"/>
      <c r="D199" s="9"/>
      <c r="E199" s="9"/>
      <c r="F199" s="9" t="str">
        <f t="shared" si="0"/>
        <v>No coincide</v>
      </c>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row>
    <row r="200" spans="1:47" ht="15.75" customHeight="1">
      <c r="A200" s="9"/>
      <c r="B200" s="9"/>
      <c r="C200" s="9"/>
      <c r="D200" s="9"/>
      <c r="E200" s="9"/>
      <c r="F200" s="9" t="str">
        <f t="shared" si="0"/>
        <v>No coincide</v>
      </c>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row>
    <row r="201" spans="1:47" ht="15.75" customHeight="1">
      <c r="A201" s="9"/>
      <c r="B201" s="9"/>
      <c r="C201" s="9"/>
      <c r="D201" s="9"/>
      <c r="E201" s="9"/>
      <c r="F201" s="9" t="str">
        <f t="shared" si="0"/>
        <v>No coincide</v>
      </c>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row>
    <row r="202" spans="1:47" ht="15.75" customHeight="1">
      <c r="A202" s="9"/>
      <c r="B202" s="9"/>
      <c r="C202" s="9"/>
      <c r="D202" s="9"/>
      <c r="E202" s="9"/>
      <c r="F202" s="9" t="str">
        <f t="shared" si="0"/>
        <v>No coincide</v>
      </c>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row>
    <row r="203" spans="1:47" ht="15.75" customHeight="1">
      <c r="A203" s="9"/>
      <c r="B203" s="9"/>
      <c r="C203" s="9"/>
      <c r="D203" s="9"/>
      <c r="E203" s="9"/>
      <c r="F203" s="9" t="str">
        <f t="shared" si="0"/>
        <v>No coincide</v>
      </c>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row>
    <row r="204" spans="1:47" ht="15.75" customHeight="1">
      <c r="A204" s="9"/>
      <c r="B204" s="9"/>
      <c r="C204" s="9"/>
      <c r="D204" s="9"/>
      <c r="E204" s="9"/>
      <c r="F204" s="9" t="str">
        <f t="shared" si="0"/>
        <v>No coincide</v>
      </c>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row>
    <row r="205" spans="1:47" ht="15.75" customHeight="1">
      <c r="A205" s="9"/>
      <c r="B205" s="9"/>
      <c r="C205" s="9"/>
      <c r="D205" s="9"/>
      <c r="E205" s="9"/>
      <c r="F205" s="9" t="str">
        <f t="shared" si="0"/>
        <v>No coincide</v>
      </c>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row>
    <row r="206" spans="1:47" ht="15.75" customHeight="1">
      <c r="A206" s="9"/>
      <c r="B206" s="9"/>
      <c r="C206" s="9"/>
      <c r="D206" s="9"/>
      <c r="E206" s="9"/>
      <c r="F206" s="9" t="str">
        <f t="shared" si="0"/>
        <v>No coincide</v>
      </c>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row>
    <row r="207" spans="1:47" ht="15.75" customHeight="1">
      <c r="A207" s="9"/>
      <c r="B207" s="9"/>
      <c r="C207" s="9"/>
      <c r="D207" s="9"/>
      <c r="E207" s="9"/>
      <c r="F207" s="9" t="str">
        <f t="shared" si="0"/>
        <v>No coincide</v>
      </c>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row>
    <row r="208" spans="1:47" ht="15.75" customHeight="1">
      <c r="A208" s="9"/>
      <c r="B208" s="9"/>
      <c r="C208" s="9"/>
      <c r="D208" s="9"/>
      <c r="E208" s="9"/>
      <c r="F208" s="9" t="str">
        <f t="shared" si="0"/>
        <v>No coincide</v>
      </c>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row>
    <row r="209" spans="1:47" ht="15.75" customHeight="1">
      <c r="A209" s="9"/>
      <c r="B209" s="9"/>
      <c r="C209" s="9"/>
      <c r="D209" s="9"/>
      <c r="E209" s="9"/>
      <c r="F209" s="9" t="str">
        <f t="shared" si="0"/>
        <v>No coincide</v>
      </c>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row>
    <row r="210" spans="1:47" ht="15.75" customHeight="1">
      <c r="A210" s="9"/>
      <c r="B210" s="9"/>
      <c r="C210" s="9"/>
      <c r="D210" s="9"/>
      <c r="E210" s="9"/>
      <c r="F210" s="9" t="str">
        <f t="shared" si="0"/>
        <v>No coincide</v>
      </c>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row>
    <row r="211" spans="1:47" ht="15.75" customHeight="1">
      <c r="A211" s="9"/>
      <c r="B211" s="9"/>
      <c r="C211" s="9"/>
      <c r="D211" s="9"/>
      <c r="E211" s="9"/>
      <c r="F211" s="9" t="str">
        <f t="shared" si="0"/>
        <v>No coincide</v>
      </c>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row>
    <row r="212" spans="1:47" ht="15.75" customHeight="1">
      <c r="A212" s="9"/>
      <c r="B212" s="9"/>
      <c r="C212" s="9"/>
      <c r="D212" s="9"/>
      <c r="E212" s="9"/>
      <c r="F212" s="9" t="str">
        <f t="shared" si="0"/>
        <v>No coincide</v>
      </c>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row>
    <row r="213" spans="1:47" ht="15.75" customHeight="1">
      <c r="A213" s="9"/>
      <c r="B213" s="9"/>
      <c r="C213" s="9"/>
      <c r="D213" s="9"/>
      <c r="E213" s="9"/>
      <c r="F213" s="9" t="str">
        <f t="shared" si="0"/>
        <v>No coincide</v>
      </c>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row>
    <row r="214" spans="1:47" ht="15.75" customHeight="1">
      <c r="A214" s="9"/>
      <c r="B214" s="9"/>
      <c r="C214" s="9"/>
      <c r="D214" s="9"/>
      <c r="E214" s="9"/>
      <c r="F214" s="9" t="str">
        <f t="shared" si="0"/>
        <v>No coincide</v>
      </c>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row>
    <row r="215" spans="1:47" ht="15.75" customHeight="1">
      <c r="A215" s="9"/>
      <c r="B215" s="9"/>
      <c r="C215" s="9"/>
      <c r="D215" s="9"/>
      <c r="E215" s="9"/>
      <c r="F215" s="9" t="str">
        <f t="shared" si="0"/>
        <v>No coincide</v>
      </c>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row>
    <row r="216" spans="1:47" ht="15.75" customHeight="1">
      <c r="A216" s="9"/>
      <c r="B216" s="9"/>
      <c r="C216" s="9"/>
      <c r="D216" s="9"/>
      <c r="E216" s="9"/>
      <c r="F216" s="9" t="str">
        <f t="shared" si="0"/>
        <v>No coincide</v>
      </c>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row>
    <row r="217" spans="1:47" ht="15.75" customHeight="1">
      <c r="A217" s="9"/>
      <c r="B217" s="9"/>
      <c r="C217" s="9"/>
      <c r="D217" s="9"/>
      <c r="E217" s="9"/>
      <c r="F217" s="9" t="str">
        <f t="shared" si="0"/>
        <v>No coincide</v>
      </c>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row>
    <row r="218" spans="1:47" ht="15.75" customHeight="1">
      <c r="A218" s="9"/>
      <c r="B218" s="9"/>
      <c r="C218" s="9"/>
      <c r="D218" s="9"/>
      <c r="E218" s="9"/>
      <c r="F218" s="9" t="str">
        <f t="shared" si="0"/>
        <v>No coincide</v>
      </c>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row>
    <row r="219" spans="1:47" ht="15.75" customHeight="1">
      <c r="A219" s="9"/>
      <c r="B219" s="9"/>
      <c r="C219" s="9"/>
      <c r="D219" s="9"/>
      <c r="E219" s="9"/>
      <c r="F219" s="9" t="str">
        <f t="shared" si="0"/>
        <v>No coincide</v>
      </c>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row>
    <row r="220" spans="1:47" ht="15.75" customHeight="1">
      <c r="A220" s="9"/>
      <c r="B220" s="9"/>
      <c r="C220" s="9"/>
      <c r="D220" s="9"/>
      <c r="E220" s="9"/>
      <c r="F220" s="9" t="str">
        <f t="shared" si="0"/>
        <v>No coincide</v>
      </c>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row>
    <row r="221" spans="1:47" ht="15.75" customHeight="1">
      <c r="A221" s="9"/>
      <c r="B221" s="9"/>
      <c r="C221" s="9"/>
      <c r="D221" s="9"/>
      <c r="E221" s="9"/>
      <c r="F221" s="9" t="str">
        <f t="shared" si="0"/>
        <v>No coincide</v>
      </c>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row>
    <row r="222" spans="1:47" ht="15.75" customHeight="1">
      <c r="A222" s="9"/>
      <c r="B222" s="9"/>
      <c r="C222" s="9"/>
      <c r="D222" s="9"/>
      <c r="E222" s="9"/>
      <c r="F222" s="9" t="str">
        <f t="shared" si="0"/>
        <v>No coincide</v>
      </c>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row>
    <row r="223" spans="1:47" ht="15.75" customHeight="1">
      <c r="A223" s="9"/>
      <c r="B223" s="9"/>
      <c r="C223" s="9"/>
      <c r="D223" s="9"/>
      <c r="E223" s="9"/>
      <c r="F223" s="9" t="str">
        <f t="shared" si="0"/>
        <v>No coincide</v>
      </c>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row>
    <row r="224" spans="1:47" ht="15.75" customHeight="1">
      <c r="A224" s="9"/>
      <c r="B224" s="9"/>
      <c r="C224" s="9"/>
      <c r="D224" s="9"/>
      <c r="E224" s="9"/>
      <c r="F224" s="9" t="str">
        <f t="shared" si="0"/>
        <v>No coincide</v>
      </c>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row>
    <row r="225" spans="1:47" ht="15.75" customHeight="1">
      <c r="A225" s="9"/>
      <c r="B225" s="9"/>
      <c r="C225" s="9"/>
      <c r="D225" s="9"/>
      <c r="E225" s="9"/>
      <c r="F225" s="9" t="str">
        <f t="shared" si="0"/>
        <v>No coincide</v>
      </c>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row>
    <row r="226" spans="1:47" ht="15.75" customHeight="1">
      <c r="A226" s="9"/>
      <c r="B226" s="9"/>
      <c r="C226" s="9"/>
      <c r="D226" s="9"/>
      <c r="E226" s="9"/>
      <c r="F226" s="9" t="str">
        <f t="shared" si="0"/>
        <v>No coincide</v>
      </c>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row>
    <row r="227" spans="1:47" ht="15.75" customHeight="1">
      <c r="A227" s="9"/>
      <c r="B227" s="9"/>
      <c r="C227" s="9"/>
      <c r="D227" s="9"/>
      <c r="E227" s="9"/>
      <c r="F227" s="9" t="str">
        <f t="shared" si="0"/>
        <v>No coincide</v>
      </c>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row>
    <row r="228" spans="1:47" ht="15.75" customHeight="1">
      <c r="A228" s="9"/>
      <c r="B228" s="9"/>
      <c r="C228" s="9"/>
      <c r="D228" s="9"/>
      <c r="E228" s="9"/>
      <c r="F228" s="9" t="str">
        <f t="shared" si="0"/>
        <v>No coincide</v>
      </c>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row>
    <row r="229" spans="1:47" ht="15.75" customHeight="1">
      <c r="A229" s="9"/>
      <c r="B229" s="9"/>
      <c r="C229" s="9"/>
      <c r="D229" s="9"/>
      <c r="E229" s="9"/>
      <c r="F229" s="9" t="str">
        <f t="shared" si="0"/>
        <v>No coincide</v>
      </c>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row>
    <row r="230" spans="1:47" ht="15.75" customHeight="1">
      <c r="A230" s="9"/>
      <c r="B230" s="9"/>
      <c r="C230" s="9"/>
      <c r="D230" s="9"/>
      <c r="E230" s="9"/>
      <c r="F230" s="9" t="str">
        <f t="shared" si="0"/>
        <v>No coincide</v>
      </c>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row>
    <row r="231" spans="1:47" ht="15.75" customHeight="1">
      <c r="A231" s="9"/>
      <c r="B231" s="9"/>
      <c r="C231" s="9"/>
      <c r="D231" s="9"/>
      <c r="E231" s="9"/>
      <c r="F231" s="9" t="str">
        <f t="shared" si="0"/>
        <v>No coincide</v>
      </c>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row>
    <row r="232" spans="1:47" ht="15.75" customHeight="1">
      <c r="A232" s="9"/>
      <c r="B232" s="9"/>
      <c r="C232" s="9"/>
      <c r="D232" s="9"/>
      <c r="E232" s="9"/>
      <c r="F232" s="9" t="str">
        <f t="shared" si="0"/>
        <v>No coincide</v>
      </c>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row>
    <row r="233" spans="1:47" ht="15.75" customHeight="1">
      <c r="A233" s="9"/>
      <c r="B233" s="9"/>
      <c r="C233" s="9"/>
      <c r="D233" s="9"/>
      <c r="E233" s="9"/>
      <c r="F233" s="9" t="str">
        <f t="shared" si="0"/>
        <v>No coincide</v>
      </c>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row>
    <row r="234" spans="1:47" ht="15.75" customHeight="1">
      <c r="A234" s="9"/>
      <c r="B234" s="9"/>
      <c r="C234" s="9"/>
      <c r="D234" s="9"/>
      <c r="E234" s="9"/>
      <c r="F234" s="9" t="str">
        <f t="shared" si="0"/>
        <v>No coincide</v>
      </c>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row>
    <row r="235" spans="1:47" ht="15.75" customHeight="1">
      <c r="A235" s="9"/>
      <c r="B235" s="9"/>
      <c r="C235" s="9"/>
      <c r="D235" s="9"/>
      <c r="E235" s="9"/>
      <c r="F235" s="9" t="str">
        <f t="shared" si="0"/>
        <v>No coincide</v>
      </c>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row>
    <row r="236" spans="1:47" ht="15.75" customHeight="1">
      <c r="A236" s="9"/>
      <c r="B236" s="9"/>
      <c r="C236" s="9"/>
      <c r="D236" s="9"/>
      <c r="E236" s="9"/>
      <c r="F236" s="9" t="str">
        <f t="shared" si="0"/>
        <v>No coincide</v>
      </c>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row>
    <row r="237" spans="1:47" ht="15.75" customHeight="1">
      <c r="A237" s="9"/>
      <c r="B237" s="9"/>
      <c r="C237" s="9"/>
      <c r="D237" s="9"/>
      <c r="E237" s="9"/>
      <c r="F237" s="9" t="str">
        <f t="shared" si="0"/>
        <v>No coincide</v>
      </c>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row>
    <row r="238" spans="1:47" ht="15.75" customHeight="1">
      <c r="A238" s="9"/>
      <c r="B238" s="9"/>
      <c r="C238" s="9"/>
      <c r="D238" s="9"/>
      <c r="E238" s="9"/>
      <c r="F238" s="9" t="str">
        <f t="shared" si="0"/>
        <v>No coincide</v>
      </c>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row>
    <row r="239" spans="1:47" ht="15.75" customHeight="1">
      <c r="A239" s="9"/>
      <c r="B239" s="9"/>
      <c r="C239" s="9"/>
      <c r="D239" s="9"/>
      <c r="E239" s="9"/>
      <c r="F239" s="9" t="str">
        <f t="shared" si="0"/>
        <v>No coincide</v>
      </c>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row>
    <row r="240" spans="1:47" ht="15.75" customHeight="1">
      <c r="A240" s="9"/>
      <c r="B240" s="9"/>
      <c r="C240" s="9"/>
      <c r="D240" s="9"/>
      <c r="E240" s="9"/>
      <c r="F240" s="9" t="str">
        <f t="shared" si="0"/>
        <v>No coincide</v>
      </c>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row>
    <row r="241" spans="1:47" ht="15.75" customHeight="1">
      <c r="A241" s="9"/>
      <c r="B241" s="9"/>
      <c r="C241" s="9"/>
      <c r="D241" s="9"/>
      <c r="E241" s="9"/>
      <c r="F241" s="9" t="str">
        <f t="shared" si="0"/>
        <v>No coincide</v>
      </c>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row>
    <row r="242" spans="1:47" ht="15.75" customHeight="1">
      <c r="A242" s="9"/>
      <c r="B242" s="9"/>
      <c r="C242" s="9"/>
      <c r="D242" s="9"/>
      <c r="E242" s="9"/>
      <c r="F242" s="9" t="str">
        <f t="shared" si="0"/>
        <v>No coincide</v>
      </c>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row>
    <row r="243" spans="1:47" ht="15.75" customHeight="1">
      <c r="A243" s="9"/>
      <c r="B243" s="9"/>
      <c r="C243" s="9"/>
      <c r="D243" s="9"/>
      <c r="E243" s="9"/>
      <c r="F243" s="9" t="str">
        <f t="shared" si="0"/>
        <v>No coincide</v>
      </c>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row>
    <row r="244" spans="1:47" ht="15.75" customHeight="1">
      <c r="A244" s="9"/>
      <c r="B244" s="9"/>
      <c r="C244" s="9"/>
      <c r="D244" s="9"/>
      <c r="E244" s="9"/>
      <c r="F244" s="9" t="str">
        <f t="shared" si="0"/>
        <v>No coincide</v>
      </c>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row>
    <row r="245" spans="1:47" ht="15.75" customHeight="1">
      <c r="A245" s="9"/>
      <c r="B245" s="9"/>
      <c r="C245" s="9"/>
      <c r="D245" s="9"/>
      <c r="E245" s="9"/>
      <c r="F245" s="9" t="str">
        <f t="shared" si="0"/>
        <v>No coincide</v>
      </c>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row>
    <row r="246" spans="1:47" ht="15.75" customHeight="1">
      <c r="A246" s="9"/>
      <c r="B246" s="9"/>
      <c r="C246" s="9"/>
      <c r="D246" s="9"/>
      <c r="E246" s="9"/>
      <c r="F246" s="9" t="str">
        <f t="shared" si="0"/>
        <v>No coincide</v>
      </c>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row>
    <row r="247" spans="1:47" ht="15.75" customHeight="1">
      <c r="A247" s="9"/>
      <c r="B247" s="9"/>
      <c r="C247" s="9"/>
      <c r="D247" s="9"/>
      <c r="E247" s="9"/>
      <c r="F247" s="9" t="str">
        <f t="shared" si="0"/>
        <v>No coincide</v>
      </c>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row>
    <row r="248" spans="1:47" ht="15.75" customHeight="1">
      <c r="A248" s="9"/>
      <c r="B248" s="9"/>
      <c r="C248" s="9"/>
      <c r="D248" s="9"/>
      <c r="E248" s="9"/>
      <c r="F248" s="9" t="str">
        <f t="shared" si="0"/>
        <v>No coincide</v>
      </c>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row>
    <row r="249" spans="1:47" ht="15.75" customHeight="1">
      <c r="A249" s="9"/>
      <c r="B249" s="9"/>
      <c r="C249" s="9"/>
      <c r="D249" s="9"/>
      <c r="E249" s="9"/>
      <c r="F249" s="9" t="str">
        <f t="shared" si="0"/>
        <v>No coincide</v>
      </c>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row>
    <row r="250" spans="1:47" ht="15.75" customHeight="1">
      <c r="A250" s="9"/>
      <c r="B250" s="9"/>
      <c r="C250" s="9"/>
      <c r="D250" s="9"/>
      <c r="E250" s="9"/>
      <c r="F250" s="9" t="str">
        <f t="shared" si="0"/>
        <v>No coincide</v>
      </c>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row>
    <row r="251" spans="1:47" ht="15.75" customHeight="1">
      <c r="A251" s="9"/>
      <c r="B251" s="9"/>
      <c r="C251" s="9"/>
      <c r="D251" s="9"/>
      <c r="E251" s="9"/>
      <c r="F251" s="9" t="str">
        <f t="shared" si="0"/>
        <v>No coincide</v>
      </c>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row>
    <row r="252" spans="1:47" ht="15.75" customHeight="1">
      <c r="A252" s="9"/>
      <c r="B252" s="9"/>
      <c r="C252" s="9"/>
      <c r="D252" s="9"/>
      <c r="E252" s="9"/>
      <c r="F252" s="9" t="str">
        <f t="shared" si="0"/>
        <v>No coincide</v>
      </c>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row>
    <row r="253" spans="1:47" ht="15.75" customHeight="1">
      <c r="A253" s="9"/>
      <c r="B253" s="9"/>
      <c r="C253" s="9"/>
      <c r="D253" s="9"/>
      <c r="E253" s="9"/>
      <c r="F253" s="9" t="str">
        <f t="shared" si="0"/>
        <v>No coincide</v>
      </c>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row>
    <row r="254" spans="1:47" ht="15.75" customHeight="1">
      <c r="A254" s="9"/>
      <c r="B254" s="9"/>
      <c r="C254" s="9"/>
      <c r="D254" s="9"/>
      <c r="E254" s="9"/>
      <c r="F254" s="9" t="str">
        <f t="shared" si="0"/>
        <v>No coincide</v>
      </c>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row>
    <row r="255" spans="1:47" ht="15.75" customHeight="1">
      <c r="A255" s="9"/>
      <c r="B255" s="9"/>
      <c r="C255" s="9"/>
      <c r="D255" s="9"/>
      <c r="E255" s="9"/>
      <c r="F255" s="9" t="str">
        <f t="shared" si="0"/>
        <v>No coincide</v>
      </c>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row>
    <row r="256" spans="1:47" ht="15.75" customHeight="1">
      <c r="A256" s="9"/>
      <c r="B256" s="9"/>
      <c r="C256" s="9"/>
      <c r="D256" s="9"/>
      <c r="E256" s="9"/>
      <c r="F256" s="9" t="str">
        <f t="shared" si="0"/>
        <v>No coincide</v>
      </c>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row>
    <row r="257" spans="1:47" ht="15.75" customHeight="1">
      <c r="A257" s="9"/>
      <c r="B257" s="9"/>
      <c r="C257" s="9"/>
      <c r="D257" s="9"/>
      <c r="E257" s="9"/>
      <c r="F257" s="9" t="str">
        <f t="shared" ref="F257:F334" si="1">IFERROR(INDEX($J$2:$J$2000, MATCH(CONCATENATE(A257,B257,C257),$G$2:$G$2000&amp;$H$2:$H$2000&amp;$I$2:$I$2000,0)), "No coincide")</f>
        <v>No coincide</v>
      </c>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row>
    <row r="258" spans="1:47" ht="15.75" customHeight="1">
      <c r="A258" s="9"/>
      <c r="B258" s="9"/>
      <c r="C258" s="9"/>
      <c r="D258" s="9"/>
      <c r="E258" s="9"/>
      <c r="F258" s="9" t="str">
        <f t="shared" si="1"/>
        <v>No coincide</v>
      </c>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row>
    <row r="259" spans="1:47" ht="15.75" customHeight="1">
      <c r="A259" s="9"/>
      <c r="B259" s="9"/>
      <c r="C259" s="9"/>
      <c r="D259" s="9"/>
      <c r="E259" s="9"/>
      <c r="F259" s="9" t="str">
        <f t="shared" si="1"/>
        <v>No coincide</v>
      </c>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row>
    <row r="260" spans="1:47" ht="15.75" customHeight="1">
      <c r="A260" s="9"/>
      <c r="B260" s="9"/>
      <c r="C260" s="9"/>
      <c r="D260" s="9"/>
      <c r="E260" s="9"/>
      <c r="F260" s="9" t="str">
        <f t="shared" si="1"/>
        <v>No coincide</v>
      </c>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row>
    <row r="261" spans="1:47" ht="15.75" customHeight="1">
      <c r="A261" s="9"/>
      <c r="B261" s="9"/>
      <c r="C261" s="9"/>
      <c r="D261" s="9"/>
      <c r="E261" s="9"/>
      <c r="F261" s="9" t="str">
        <f t="shared" si="1"/>
        <v>No coincide</v>
      </c>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row>
    <row r="262" spans="1:47" ht="15.75" customHeight="1">
      <c r="A262" s="9"/>
      <c r="B262" s="9"/>
      <c r="C262" s="9"/>
      <c r="D262" s="9"/>
      <c r="E262" s="9"/>
      <c r="F262" s="9" t="str">
        <f t="shared" si="1"/>
        <v>No coincide</v>
      </c>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row>
    <row r="263" spans="1:47" ht="15.75" customHeight="1">
      <c r="A263" s="9"/>
      <c r="B263" s="9"/>
      <c r="C263" s="9"/>
      <c r="D263" s="9"/>
      <c r="E263" s="9"/>
      <c r="F263" s="9" t="str">
        <f t="shared" si="1"/>
        <v>No coincide</v>
      </c>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row>
    <row r="264" spans="1:47" ht="15.75" customHeight="1">
      <c r="A264" s="9"/>
      <c r="B264" s="9"/>
      <c r="C264" s="9"/>
      <c r="D264" s="9"/>
      <c r="E264" s="9"/>
      <c r="F264" s="9" t="str">
        <f t="shared" si="1"/>
        <v>No coincide</v>
      </c>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row>
    <row r="265" spans="1:47" ht="15.75" customHeight="1">
      <c r="A265" s="9"/>
      <c r="B265" s="9"/>
      <c r="C265" s="9"/>
      <c r="D265" s="9"/>
      <c r="E265" s="9"/>
      <c r="F265" s="9" t="str">
        <f t="shared" si="1"/>
        <v>No coincide</v>
      </c>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row>
    <row r="266" spans="1:47" ht="15.75" customHeight="1">
      <c r="A266" s="9"/>
      <c r="B266" s="9"/>
      <c r="C266" s="9"/>
      <c r="D266" s="9"/>
      <c r="E266" s="9"/>
      <c r="F266" s="9" t="str">
        <f t="shared" si="1"/>
        <v>No coincide</v>
      </c>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row>
    <row r="267" spans="1:47" ht="15.75" customHeight="1">
      <c r="A267" s="9"/>
      <c r="B267" s="9"/>
      <c r="C267" s="9"/>
      <c r="D267" s="9"/>
      <c r="E267" s="9"/>
      <c r="F267" s="9" t="str">
        <f t="shared" si="1"/>
        <v>No coincide</v>
      </c>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row>
    <row r="268" spans="1:47" ht="15.75" customHeight="1">
      <c r="A268" s="9"/>
      <c r="B268" s="9"/>
      <c r="C268" s="9"/>
      <c r="D268" s="9"/>
      <c r="E268" s="9"/>
      <c r="F268" s="9" t="str">
        <f t="shared" si="1"/>
        <v>No coincide</v>
      </c>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row>
    <row r="269" spans="1:47" ht="15.75" customHeight="1">
      <c r="A269" s="9"/>
      <c r="B269" s="9"/>
      <c r="C269" s="9"/>
      <c r="D269" s="9"/>
      <c r="E269" s="9"/>
      <c r="F269" s="9" t="str">
        <f t="shared" si="1"/>
        <v>No coincide</v>
      </c>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c r="AT269" s="9"/>
      <c r="AU269" s="9"/>
    </row>
    <row r="270" spans="1:47" ht="15.75" customHeight="1">
      <c r="A270" s="9"/>
      <c r="B270" s="9"/>
      <c r="C270" s="9"/>
      <c r="D270" s="9"/>
      <c r="E270" s="9"/>
      <c r="F270" s="9" t="str">
        <f t="shared" si="1"/>
        <v>No coincide</v>
      </c>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row>
    <row r="271" spans="1:47" ht="15.75" customHeight="1">
      <c r="A271" s="9"/>
      <c r="B271" s="9"/>
      <c r="C271" s="9"/>
      <c r="D271" s="9"/>
      <c r="E271" s="9"/>
      <c r="F271" s="9" t="str">
        <f t="shared" si="1"/>
        <v>No coincide</v>
      </c>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row>
    <row r="272" spans="1:47" ht="15.75" customHeight="1">
      <c r="A272" s="9"/>
      <c r="B272" s="9"/>
      <c r="C272" s="9"/>
      <c r="D272" s="9"/>
      <c r="E272" s="9"/>
      <c r="F272" s="9" t="str">
        <f t="shared" si="1"/>
        <v>No coincide</v>
      </c>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row>
    <row r="273" spans="1:47" ht="15.75" customHeight="1">
      <c r="A273" s="9"/>
      <c r="B273" s="9"/>
      <c r="C273" s="9"/>
      <c r="D273" s="9"/>
      <c r="E273" s="9"/>
      <c r="F273" s="9" t="str">
        <f t="shared" si="1"/>
        <v>No coincide</v>
      </c>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row>
    <row r="274" spans="1:47" ht="15.75" customHeight="1">
      <c r="A274" s="9"/>
      <c r="B274" s="9"/>
      <c r="C274" s="9"/>
      <c r="D274" s="9"/>
      <c r="E274" s="9"/>
      <c r="F274" s="9" t="str">
        <f t="shared" si="1"/>
        <v>No coincide</v>
      </c>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row>
    <row r="275" spans="1:47" ht="15.75" customHeight="1">
      <c r="A275" s="9"/>
      <c r="B275" s="9"/>
      <c r="C275" s="9"/>
      <c r="D275" s="9"/>
      <c r="E275" s="9"/>
      <c r="F275" s="9" t="str">
        <f t="shared" si="1"/>
        <v>No coincide</v>
      </c>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row>
    <row r="276" spans="1:47" ht="15.75" customHeight="1">
      <c r="A276" s="9"/>
      <c r="B276" s="9"/>
      <c r="C276" s="9"/>
      <c r="D276" s="9"/>
      <c r="E276" s="9"/>
      <c r="F276" s="9" t="str">
        <f t="shared" si="1"/>
        <v>No coincide</v>
      </c>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row>
    <row r="277" spans="1:47" ht="15.75" customHeight="1">
      <c r="A277" s="9"/>
      <c r="B277" s="9"/>
      <c r="C277" s="9"/>
      <c r="D277" s="9"/>
      <c r="E277" s="9"/>
      <c r="F277" s="9" t="str">
        <f t="shared" si="1"/>
        <v>No coincide</v>
      </c>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row>
    <row r="278" spans="1:47" ht="15.75" customHeight="1">
      <c r="A278" s="9"/>
      <c r="B278" s="9"/>
      <c r="C278" s="9"/>
      <c r="D278" s="9"/>
      <c r="E278" s="9"/>
      <c r="F278" s="9" t="str">
        <f t="shared" si="1"/>
        <v>No coincide</v>
      </c>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row>
    <row r="279" spans="1:47" ht="15.75" customHeight="1">
      <c r="A279" s="9"/>
      <c r="B279" s="9"/>
      <c r="C279" s="9"/>
      <c r="D279" s="9"/>
      <c r="E279" s="9"/>
      <c r="F279" s="9" t="str">
        <f t="shared" si="1"/>
        <v>No coincide</v>
      </c>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c r="AT279" s="9"/>
      <c r="AU279" s="9"/>
    </row>
    <row r="280" spans="1:47" ht="15.75" customHeight="1">
      <c r="A280" s="9"/>
      <c r="B280" s="9"/>
      <c r="C280" s="9"/>
      <c r="D280" s="9"/>
      <c r="E280" s="9"/>
      <c r="F280" s="9" t="str">
        <f t="shared" si="1"/>
        <v>No coincide</v>
      </c>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row>
    <row r="281" spans="1:47" ht="15.75" customHeight="1">
      <c r="A281" s="9"/>
      <c r="B281" s="9"/>
      <c r="C281" s="9"/>
      <c r="D281" s="9"/>
      <c r="E281" s="9"/>
      <c r="F281" s="9" t="str">
        <f t="shared" si="1"/>
        <v>No coincide</v>
      </c>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c r="AT281" s="9"/>
      <c r="AU281" s="9"/>
    </row>
    <row r="282" spans="1:47" ht="15.75" customHeight="1">
      <c r="A282" s="9"/>
      <c r="B282" s="9"/>
      <c r="C282" s="9"/>
      <c r="D282" s="9"/>
      <c r="E282" s="9"/>
      <c r="F282" s="9" t="str">
        <f t="shared" si="1"/>
        <v>No coincide</v>
      </c>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c r="AT282" s="9"/>
      <c r="AU282" s="9"/>
    </row>
    <row r="283" spans="1:47" ht="15.75" customHeight="1">
      <c r="A283" s="9"/>
      <c r="B283" s="9"/>
      <c r="C283" s="9"/>
      <c r="D283" s="9"/>
      <c r="E283" s="9"/>
      <c r="F283" s="9" t="str">
        <f t="shared" si="1"/>
        <v>No coincide</v>
      </c>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c r="AT283" s="9"/>
      <c r="AU283" s="9"/>
    </row>
    <row r="284" spans="1:47" ht="15.75" customHeight="1">
      <c r="A284" s="9"/>
      <c r="B284" s="9"/>
      <c r="C284" s="9"/>
      <c r="D284" s="9"/>
      <c r="E284" s="9"/>
      <c r="F284" s="9" t="str">
        <f t="shared" si="1"/>
        <v>No coincide</v>
      </c>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c r="AT284" s="9"/>
      <c r="AU284" s="9"/>
    </row>
    <row r="285" spans="1:47" ht="15.75" customHeight="1">
      <c r="A285" s="9"/>
      <c r="B285" s="9"/>
      <c r="C285" s="9"/>
      <c r="D285" s="9"/>
      <c r="E285" s="9"/>
      <c r="F285" s="9" t="str">
        <f t="shared" si="1"/>
        <v>No coincide</v>
      </c>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c r="AT285" s="9"/>
      <c r="AU285" s="9"/>
    </row>
    <row r="286" spans="1:47" ht="15.75" customHeight="1">
      <c r="A286" s="9"/>
      <c r="B286" s="9"/>
      <c r="C286" s="9"/>
      <c r="D286" s="9"/>
      <c r="E286" s="9"/>
      <c r="F286" s="9" t="str">
        <f t="shared" si="1"/>
        <v>No coincide</v>
      </c>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row>
    <row r="287" spans="1:47" ht="15.75" customHeight="1">
      <c r="A287" s="9"/>
      <c r="B287" s="9"/>
      <c r="C287" s="9"/>
      <c r="D287" s="9"/>
      <c r="E287" s="9"/>
      <c r="F287" s="9" t="str">
        <f t="shared" si="1"/>
        <v>No coincide</v>
      </c>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row>
    <row r="288" spans="1:47" ht="15.75" customHeight="1">
      <c r="A288" s="9"/>
      <c r="B288" s="9"/>
      <c r="C288" s="9"/>
      <c r="D288" s="9"/>
      <c r="E288" s="9"/>
      <c r="F288" s="9" t="str">
        <f t="shared" si="1"/>
        <v>No coincide</v>
      </c>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c r="AT288" s="9"/>
      <c r="AU288" s="9"/>
    </row>
    <row r="289" spans="1:47" ht="15.75" customHeight="1">
      <c r="A289" s="9"/>
      <c r="B289" s="9"/>
      <c r="C289" s="9"/>
      <c r="D289" s="9"/>
      <c r="E289" s="9"/>
      <c r="F289" s="9" t="str">
        <f t="shared" si="1"/>
        <v>No coincide</v>
      </c>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row>
    <row r="290" spans="1:47" ht="15.75" customHeight="1">
      <c r="A290" s="9"/>
      <c r="B290" s="9"/>
      <c r="C290" s="9"/>
      <c r="D290" s="9"/>
      <c r="E290" s="9"/>
      <c r="F290" s="9" t="str">
        <f t="shared" si="1"/>
        <v>No coincide</v>
      </c>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c r="AT290" s="9"/>
      <c r="AU290" s="9"/>
    </row>
    <row r="291" spans="1:47" ht="15.75" customHeight="1">
      <c r="A291" s="9"/>
      <c r="B291" s="9"/>
      <c r="C291" s="9"/>
      <c r="D291" s="9"/>
      <c r="E291" s="9"/>
      <c r="F291" s="9" t="str">
        <f t="shared" si="1"/>
        <v>No coincide</v>
      </c>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row>
    <row r="292" spans="1:47" ht="15.75" customHeight="1">
      <c r="A292" s="9"/>
      <c r="B292" s="9"/>
      <c r="C292" s="9"/>
      <c r="D292" s="9"/>
      <c r="E292" s="9"/>
      <c r="F292" s="9" t="str">
        <f t="shared" si="1"/>
        <v>No coincide</v>
      </c>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row>
    <row r="293" spans="1:47" ht="15.75" customHeight="1">
      <c r="A293" s="9"/>
      <c r="B293" s="9"/>
      <c r="C293" s="9"/>
      <c r="D293" s="9"/>
      <c r="E293" s="9"/>
      <c r="F293" s="9" t="str">
        <f t="shared" si="1"/>
        <v>No coincide</v>
      </c>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row>
    <row r="294" spans="1:47" ht="15.75" customHeight="1">
      <c r="A294" s="9"/>
      <c r="B294" s="9"/>
      <c r="C294" s="9"/>
      <c r="D294" s="9"/>
      <c r="E294" s="9"/>
      <c r="F294" s="9" t="str">
        <f t="shared" si="1"/>
        <v>No coincide</v>
      </c>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row>
    <row r="295" spans="1:47" ht="15.75" customHeight="1">
      <c r="A295" s="9"/>
      <c r="B295" s="9"/>
      <c r="C295" s="9"/>
      <c r="D295" s="9"/>
      <c r="E295" s="9"/>
      <c r="F295" s="9" t="str">
        <f t="shared" si="1"/>
        <v>No coincide</v>
      </c>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row>
    <row r="296" spans="1:47" ht="15.75" customHeight="1">
      <c r="A296" s="9"/>
      <c r="B296" s="9"/>
      <c r="C296" s="9"/>
      <c r="D296" s="9"/>
      <c r="E296" s="9"/>
      <c r="F296" s="9" t="str">
        <f t="shared" si="1"/>
        <v>No coincide</v>
      </c>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row>
    <row r="297" spans="1:47" ht="15.75" customHeight="1">
      <c r="A297" s="9"/>
      <c r="B297" s="9"/>
      <c r="C297" s="9"/>
      <c r="D297" s="9"/>
      <c r="E297" s="9"/>
      <c r="F297" s="9" t="str">
        <f t="shared" si="1"/>
        <v>No coincide</v>
      </c>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row>
    <row r="298" spans="1:47" ht="15.75" customHeight="1">
      <c r="A298" s="9"/>
      <c r="B298" s="9"/>
      <c r="C298" s="9"/>
      <c r="D298" s="9"/>
      <c r="E298" s="9"/>
      <c r="F298" s="9" t="str">
        <f t="shared" si="1"/>
        <v>No coincide</v>
      </c>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row>
    <row r="299" spans="1:47" ht="15.75" customHeight="1">
      <c r="A299" s="9"/>
      <c r="B299" s="9"/>
      <c r="C299" s="9"/>
      <c r="D299" s="9"/>
      <c r="E299" s="9"/>
      <c r="F299" s="9" t="str">
        <f t="shared" si="1"/>
        <v>No coincide</v>
      </c>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row>
    <row r="300" spans="1:47" ht="15.75" customHeight="1">
      <c r="A300" s="9"/>
      <c r="B300" s="9"/>
      <c r="C300" s="9"/>
      <c r="D300" s="9"/>
      <c r="E300" s="9"/>
      <c r="F300" s="9" t="str">
        <f t="shared" si="1"/>
        <v>No coincide</v>
      </c>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row>
    <row r="301" spans="1:47" ht="15.75" customHeight="1">
      <c r="A301" s="9"/>
      <c r="B301" s="9"/>
      <c r="C301" s="9"/>
      <c r="D301" s="9"/>
      <c r="E301" s="9"/>
      <c r="F301" s="9" t="str">
        <f t="shared" si="1"/>
        <v>No coincide</v>
      </c>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row>
    <row r="302" spans="1:47" ht="15.75" customHeight="1">
      <c r="A302" s="9"/>
      <c r="B302" s="9"/>
      <c r="C302" s="9"/>
      <c r="D302" s="9"/>
      <c r="E302" s="9"/>
      <c r="F302" s="9" t="str">
        <f t="shared" si="1"/>
        <v>No coincide</v>
      </c>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row>
    <row r="303" spans="1:47" ht="15.75" customHeight="1">
      <c r="A303" s="9"/>
      <c r="B303" s="9"/>
      <c r="C303" s="9"/>
      <c r="D303" s="9"/>
      <c r="E303" s="9"/>
      <c r="F303" s="9" t="str">
        <f t="shared" si="1"/>
        <v>No coincide</v>
      </c>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c r="AT303" s="9"/>
      <c r="AU303" s="9"/>
    </row>
    <row r="304" spans="1:47" ht="15.75" customHeight="1">
      <c r="A304" s="9"/>
      <c r="B304" s="9"/>
      <c r="C304" s="9"/>
      <c r="D304" s="9"/>
      <c r="E304" s="9"/>
      <c r="F304" s="9" t="str">
        <f t="shared" si="1"/>
        <v>No coincide</v>
      </c>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row>
    <row r="305" spans="1:47" ht="15.75" customHeight="1">
      <c r="A305" s="9"/>
      <c r="B305" s="9"/>
      <c r="C305" s="9"/>
      <c r="D305" s="9"/>
      <c r="E305" s="9"/>
      <c r="F305" s="9" t="str">
        <f t="shared" si="1"/>
        <v>No coincide</v>
      </c>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c r="AT305" s="9"/>
      <c r="AU305" s="9"/>
    </row>
    <row r="306" spans="1:47" ht="15.75" customHeight="1">
      <c r="A306" s="9"/>
      <c r="B306" s="9"/>
      <c r="C306" s="9"/>
      <c r="D306" s="9"/>
      <c r="E306" s="9"/>
      <c r="F306" s="9" t="str">
        <f t="shared" si="1"/>
        <v>No coincide</v>
      </c>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row>
    <row r="307" spans="1:47" ht="15.75" customHeight="1">
      <c r="A307" s="9"/>
      <c r="B307" s="9"/>
      <c r="C307" s="9"/>
      <c r="D307" s="9"/>
      <c r="E307" s="9"/>
      <c r="F307" s="9" t="str">
        <f t="shared" si="1"/>
        <v>No coincide</v>
      </c>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row>
    <row r="308" spans="1:47" ht="15.75" customHeight="1">
      <c r="A308" s="9"/>
      <c r="B308" s="9"/>
      <c r="C308" s="9"/>
      <c r="D308" s="9"/>
      <c r="E308" s="9"/>
      <c r="F308" s="9" t="str">
        <f t="shared" si="1"/>
        <v>No coincide</v>
      </c>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row>
    <row r="309" spans="1:47" ht="15.75" customHeight="1">
      <c r="A309" s="9"/>
      <c r="B309" s="9"/>
      <c r="C309" s="9"/>
      <c r="D309" s="9"/>
      <c r="E309" s="9"/>
      <c r="F309" s="9" t="str">
        <f t="shared" si="1"/>
        <v>No coincide</v>
      </c>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row>
    <row r="310" spans="1:47" ht="15.75" customHeight="1">
      <c r="A310" s="9"/>
      <c r="B310" s="9"/>
      <c r="C310" s="9"/>
      <c r="D310" s="9"/>
      <c r="E310" s="9"/>
      <c r="F310" s="9" t="str">
        <f t="shared" si="1"/>
        <v>No coincide</v>
      </c>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row>
    <row r="311" spans="1:47" ht="15.75" customHeight="1">
      <c r="A311" s="9"/>
      <c r="B311" s="9"/>
      <c r="C311" s="9"/>
      <c r="D311" s="9"/>
      <c r="E311" s="9"/>
      <c r="F311" s="9" t="str">
        <f t="shared" si="1"/>
        <v>No coincide</v>
      </c>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row>
    <row r="312" spans="1:47" ht="15.75" customHeight="1">
      <c r="A312" s="9"/>
      <c r="B312" s="9"/>
      <c r="C312" s="9"/>
      <c r="D312" s="9"/>
      <c r="E312" s="9"/>
      <c r="F312" s="9" t="str">
        <f t="shared" si="1"/>
        <v>No coincide</v>
      </c>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row>
    <row r="313" spans="1:47" ht="15.75" customHeight="1">
      <c r="A313" s="9"/>
      <c r="B313" s="9"/>
      <c r="C313" s="9"/>
      <c r="D313" s="9"/>
      <c r="E313" s="9"/>
      <c r="F313" s="9" t="str">
        <f t="shared" si="1"/>
        <v>No coincide</v>
      </c>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row>
    <row r="314" spans="1:47" ht="15.75" customHeight="1">
      <c r="A314" s="9"/>
      <c r="B314" s="9"/>
      <c r="C314" s="9"/>
      <c r="D314" s="9"/>
      <c r="E314" s="9"/>
      <c r="F314" s="9" t="str">
        <f t="shared" si="1"/>
        <v>No coincide</v>
      </c>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row>
    <row r="315" spans="1:47" ht="15.75" customHeight="1">
      <c r="A315" s="9"/>
      <c r="B315" s="9"/>
      <c r="C315" s="9"/>
      <c r="D315" s="9"/>
      <c r="E315" s="9"/>
      <c r="F315" s="9" t="str">
        <f t="shared" si="1"/>
        <v>No coincide</v>
      </c>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row>
    <row r="316" spans="1:47" ht="15.75" customHeight="1">
      <c r="A316" s="9"/>
      <c r="B316" s="9"/>
      <c r="C316" s="9"/>
      <c r="D316" s="9"/>
      <c r="E316" s="9"/>
      <c r="F316" s="9" t="str">
        <f t="shared" si="1"/>
        <v>No coincide</v>
      </c>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row>
    <row r="317" spans="1:47" ht="15.75" customHeight="1">
      <c r="A317" s="9"/>
      <c r="B317" s="9"/>
      <c r="C317" s="9"/>
      <c r="D317" s="9"/>
      <c r="E317" s="9"/>
      <c r="F317" s="9" t="str">
        <f t="shared" si="1"/>
        <v>No coincide</v>
      </c>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row>
    <row r="318" spans="1:47" ht="15.75" customHeight="1">
      <c r="A318" s="9"/>
      <c r="B318" s="9"/>
      <c r="C318" s="9"/>
      <c r="D318" s="9"/>
      <c r="E318" s="9"/>
      <c r="F318" s="9" t="str">
        <f t="shared" si="1"/>
        <v>No coincide</v>
      </c>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row>
    <row r="319" spans="1:47" ht="15.75" customHeight="1">
      <c r="A319" s="9"/>
      <c r="B319" s="9"/>
      <c r="C319" s="9"/>
      <c r="D319" s="9"/>
      <c r="E319" s="9"/>
      <c r="F319" s="9" t="str">
        <f t="shared" si="1"/>
        <v>No coincide</v>
      </c>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c r="AT319" s="9"/>
      <c r="AU319" s="9"/>
    </row>
    <row r="320" spans="1:47" ht="15.75" customHeight="1">
      <c r="A320" s="9"/>
      <c r="B320" s="9"/>
      <c r="C320" s="9"/>
      <c r="D320" s="9"/>
      <c r="E320" s="9"/>
      <c r="F320" s="9" t="str">
        <f t="shared" si="1"/>
        <v>No coincide</v>
      </c>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row>
    <row r="321" spans="1:47" ht="15.75" customHeight="1">
      <c r="A321" s="9"/>
      <c r="B321" s="9"/>
      <c r="C321" s="9"/>
      <c r="D321" s="9"/>
      <c r="E321" s="9"/>
      <c r="F321" s="9" t="str">
        <f t="shared" si="1"/>
        <v>No coincide</v>
      </c>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row>
    <row r="322" spans="1:47" ht="15.75" customHeight="1">
      <c r="A322" s="9"/>
      <c r="B322" s="9"/>
      <c r="C322" s="9"/>
      <c r="D322" s="9"/>
      <c r="E322" s="9"/>
      <c r="F322" s="9" t="str">
        <f t="shared" si="1"/>
        <v>No coincide</v>
      </c>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row>
    <row r="323" spans="1:47" ht="15.75" customHeight="1">
      <c r="A323" s="9"/>
      <c r="B323" s="9"/>
      <c r="C323" s="9"/>
      <c r="D323" s="9"/>
      <c r="E323" s="9"/>
      <c r="F323" s="9" t="str">
        <f t="shared" si="1"/>
        <v>No coincide</v>
      </c>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c r="AU323" s="9"/>
    </row>
    <row r="324" spans="1:47" ht="15.75" customHeight="1">
      <c r="A324" s="9"/>
      <c r="B324" s="9"/>
      <c r="C324" s="9"/>
      <c r="D324" s="9"/>
      <c r="E324" s="9"/>
      <c r="F324" s="9" t="str">
        <f t="shared" si="1"/>
        <v>No coincide</v>
      </c>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row>
    <row r="325" spans="1:47" ht="15.75" customHeight="1">
      <c r="A325" s="9"/>
      <c r="B325" s="9"/>
      <c r="C325" s="9"/>
      <c r="D325" s="9"/>
      <c r="E325" s="9"/>
      <c r="F325" s="9" t="str">
        <f t="shared" si="1"/>
        <v>No coincide</v>
      </c>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c r="AU325" s="9"/>
    </row>
    <row r="326" spans="1:47" ht="15.75" customHeight="1">
      <c r="A326" s="9"/>
      <c r="B326" s="9"/>
      <c r="C326" s="9"/>
      <c r="D326" s="9"/>
      <c r="E326" s="9"/>
      <c r="F326" s="9" t="str">
        <f t="shared" si="1"/>
        <v>No coincide</v>
      </c>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c r="AU326" s="9"/>
    </row>
    <row r="327" spans="1:47" ht="15.75" customHeight="1">
      <c r="A327" s="9"/>
      <c r="B327" s="9"/>
      <c r="C327" s="9"/>
      <c r="D327" s="9"/>
      <c r="E327" s="9"/>
      <c r="F327" s="9" t="str">
        <f t="shared" si="1"/>
        <v>No coincide</v>
      </c>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c r="AU327" s="9"/>
    </row>
    <row r="328" spans="1:47" ht="15.75" customHeight="1">
      <c r="A328" s="9"/>
      <c r="B328" s="9"/>
      <c r="C328" s="9"/>
      <c r="D328" s="9"/>
      <c r="E328" s="9"/>
      <c r="F328" s="9" t="str">
        <f t="shared" si="1"/>
        <v>No coincide</v>
      </c>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c r="AU328" s="9"/>
    </row>
    <row r="329" spans="1:47" ht="15.75" customHeight="1">
      <c r="A329" s="9"/>
      <c r="B329" s="9"/>
      <c r="C329" s="9"/>
      <c r="D329" s="9"/>
      <c r="E329" s="9"/>
      <c r="F329" s="9" t="str">
        <f t="shared" si="1"/>
        <v>No coincide</v>
      </c>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c r="AU329" s="9"/>
    </row>
    <row r="330" spans="1:47" ht="15.75" customHeight="1">
      <c r="A330" s="9"/>
      <c r="B330" s="9"/>
      <c r="C330" s="9"/>
      <c r="D330" s="9"/>
      <c r="E330" s="9"/>
      <c r="F330" s="9" t="str">
        <f t="shared" si="1"/>
        <v>No coincide</v>
      </c>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c r="AU330" s="9"/>
    </row>
    <row r="331" spans="1:47" ht="15.75" customHeight="1">
      <c r="A331" s="9"/>
      <c r="B331" s="9"/>
      <c r="C331" s="9"/>
      <c r="D331" s="9"/>
      <c r="E331" s="9"/>
      <c r="F331" s="9" t="str">
        <f t="shared" si="1"/>
        <v>No coincide</v>
      </c>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c r="AU331" s="9"/>
    </row>
    <row r="332" spans="1:47" ht="15.75" customHeight="1">
      <c r="A332" s="9"/>
      <c r="B332" s="9"/>
      <c r="C332" s="9"/>
      <c r="D332" s="9"/>
      <c r="E332" s="9"/>
      <c r="F332" s="9" t="str">
        <f t="shared" si="1"/>
        <v>No coincide</v>
      </c>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c r="AT332" s="9"/>
      <c r="AU332" s="9"/>
    </row>
    <row r="333" spans="1:47" ht="15.75" customHeight="1">
      <c r="A333" s="9"/>
      <c r="B333" s="9"/>
      <c r="C333" s="9"/>
      <c r="D333" s="9"/>
      <c r="E333" s="9"/>
      <c r="F333" s="9" t="str">
        <f t="shared" si="1"/>
        <v>No coincide</v>
      </c>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c r="AU333" s="9"/>
    </row>
    <row r="334" spans="1:47" ht="15.75" customHeight="1">
      <c r="A334" s="9"/>
      <c r="B334" s="9"/>
      <c r="C334" s="9"/>
      <c r="D334" s="9"/>
      <c r="E334" s="9"/>
      <c r="F334" s="9" t="str">
        <f t="shared" si="1"/>
        <v>No coincide</v>
      </c>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c r="AT334" s="9"/>
      <c r="AU334" s="9"/>
    </row>
    <row r="335" spans="1:47" ht="15.75" customHeight="1">
      <c r="A335" s="9"/>
      <c r="B335" s="9"/>
      <c r="C335" s="9"/>
      <c r="D335" s="9"/>
      <c r="E335" s="9"/>
      <c r="F335" s="67"/>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c r="AU335" s="9"/>
    </row>
    <row r="336" spans="1:47" ht="15.75" customHeight="1">
      <c r="A336" s="9"/>
      <c r="B336" s="9"/>
      <c r="C336" s="9"/>
      <c r="D336" s="9"/>
      <c r="E336" s="9"/>
      <c r="F336" s="67"/>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c r="AU336" s="9"/>
    </row>
    <row r="337" spans="1:47" ht="15.75" customHeight="1">
      <c r="A337" s="9"/>
      <c r="B337" s="9"/>
      <c r="C337" s="9"/>
      <c r="D337" s="9"/>
      <c r="E337" s="9"/>
      <c r="F337" s="67"/>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c r="AU337" s="9"/>
    </row>
    <row r="338" spans="1:47" ht="15.75" customHeight="1">
      <c r="A338" s="9"/>
      <c r="B338" s="9"/>
      <c r="C338" s="9"/>
      <c r="D338" s="9"/>
      <c r="E338" s="9"/>
      <c r="F338" s="67"/>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c r="AU338" s="9"/>
    </row>
    <row r="339" spans="1:47" ht="15.75" customHeight="1">
      <c r="A339" s="9"/>
      <c r="B339" s="9"/>
      <c r="C339" s="9"/>
      <c r="D339" s="9"/>
      <c r="E339" s="9"/>
      <c r="F339" s="67"/>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row>
    <row r="340" spans="1:47" ht="15.75" customHeight="1">
      <c r="A340" s="9"/>
      <c r="B340" s="9"/>
      <c r="C340" s="9"/>
      <c r="D340" s="9"/>
      <c r="E340" s="9"/>
      <c r="F340" s="67"/>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c r="AT340" s="9"/>
      <c r="AU340" s="9"/>
    </row>
    <row r="341" spans="1:47" ht="15.75" customHeight="1">
      <c r="A341" s="9"/>
      <c r="B341" s="9"/>
      <c r="C341" s="9"/>
      <c r="D341" s="9"/>
      <c r="E341" s="9"/>
      <c r="F341" s="67"/>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c r="AT341" s="9"/>
      <c r="AU341" s="9"/>
    </row>
    <row r="342" spans="1:47" ht="15.75" customHeight="1">
      <c r="A342" s="9"/>
      <c r="B342" s="9"/>
      <c r="C342" s="9"/>
      <c r="D342" s="9"/>
      <c r="E342" s="9"/>
      <c r="F342" s="67"/>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c r="AU342" s="9"/>
    </row>
    <row r="343" spans="1:47" ht="15.75" customHeight="1">
      <c r="A343" s="9"/>
      <c r="B343" s="9"/>
      <c r="C343" s="9"/>
      <c r="D343" s="9"/>
      <c r="E343" s="9"/>
      <c r="F343" s="67"/>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c r="AU343" s="9"/>
    </row>
    <row r="344" spans="1:47" ht="15.75" customHeight="1">
      <c r="A344" s="9"/>
      <c r="B344" s="9"/>
      <c r="C344" s="9"/>
      <c r="D344" s="9"/>
      <c r="E344" s="9"/>
      <c r="F344" s="67"/>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c r="AT344" s="9"/>
      <c r="AU344" s="9"/>
    </row>
    <row r="345" spans="1:47" ht="15.75" customHeight="1">
      <c r="A345" s="9"/>
      <c r="B345" s="9"/>
      <c r="C345" s="9"/>
      <c r="D345" s="9"/>
      <c r="E345" s="9"/>
      <c r="F345" s="67"/>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c r="AU345" s="9"/>
    </row>
    <row r="346" spans="1:47" ht="15.75" customHeight="1">
      <c r="A346" s="9"/>
      <c r="B346" s="9"/>
      <c r="C346" s="9"/>
      <c r="D346" s="9"/>
      <c r="E346" s="9"/>
      <c r="F346" s="67"/>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c r="AU346" s="9"/>
    </row>
    <row r="347" spans="1:47" ht="15.75" customHeight="1">
      <c r="A347" s="9"/>
      <c r="B347" s="9"/>
      <c r="C347" s="9"/>
      <c r="D347" s="9"/>
      <c r="E347" s="9"/>
      <c r="F347" s="67"/>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c r="AU347" s="9"/>
    </row>
    <row r="348" spans="1:47" ht="15.75" customHeight="1">
      <c r="A348" s="9"/>
      <c r="B348" s="9"/>
      <c r="C348" s="9"/>
      <c r="D348" s="9"/>
      <c r="E348" s="9"/>
      <c r="F348" s="67"/>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c r="AU348" s="9"/>
    </row>
    <row r="349" spans="1:47" ht="15.75" customHeight="1">
      <c r="A349" s="9"/>
      <c r="B349" s="9"/>
      <c r="C349" s="9"/>
      <c r="D349" s="9"/>
      <c r="E349" s="9"/>
      <c r="F349" s="67"/>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c r="AU349" s="9"/>
    </row>
    <row r="350" spans="1:47" ht="15.75" customHeight="1">
      <c r="A350" s="9"/>
      <c r="B350" s="9"/>
      <c r="C350" s="9"/>
      <c r="D350" s="9"/>
      <c r="E350" s="9"/>
      <c r="F350" s="67"/>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c r="AT350" s="9"/>
      <c r="AU350" s="9"/>
    </row>
    <row r="351" spans="1:47" ht="15.75" customHeight="1">
      <c r="A351" s="9"/>
      <c r="B351" s="9"/>
      <c r="C351" s="9"/>
      <c r="D351" s="9"/>
      <c r="E351" s="9"/>
      <c r="F351" s="67"/>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row>
    <row r="352" spans="1:47" ht="15.75" customHeight="1">
      <c r="A352" s="9"/>
      <c r="B352" s="9"/>
      <c r="C352" s="9"/>
      <c r="D352" s="9"/>
      <c r="E352" s="9"/>
      <c r="F352" s="67"/>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c r="AU352" s="9"/>
    </row>
    <row r="353" spans="1:47" ht="15.75" customHeight="1">
      <c r="A353" s="9"/>
      <c r="B353" s="9"/>
      <c r="C353" s="9"/>
      <c r="D353" s="9"/>
      <c r="E353" s="9"/>
      <c r="F353" s="67"/>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c r="AT353" s="9"/>
      <c r="AU353" s="9"/>
    </row>
    <row r="354" spans="1:47" ht="15.75" customHeight="1">
      <c r="A354" s="9"/>
      <c r="B354" s="9"/>
      <c r="C354" s="9"/>
      <c r="D354" s="9"/>
      <c r="E354" s="9"/>
      <c r="F354" s="67"/>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c r="AU354" s="9"/>
    </row>
    <row r="355" spans="1:47" ht="15.75" customHeight="1">
      <c r="A355" s="9"/>
      <c r="B355" s="9"/>
      <c r="C355" s="9"/>
      <c r="D355" s="9"/>
      <c r="E355" s="9"/>
      <c r="F355" s="67"/>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c r="AU355" s="9"/>
    </row>
    <row r="356" spans="1:47" ht="15.75" customHeight="1">
      <c r="A356" s="9"/>
      <c r="B356" s="9"/>
      <c r="C356" s="9"/>
      <c r="D356" s="9"/>
      <c r="E356" s="9"/>
      <c r="F356" s="67"/>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c r="AT356" s="9"/>
      <c r="AU356" s="9"/>
    </row>
    <row r="357" spans="1:47" ht="15.75" customHeight="1">
      <c r="A357" s="9"/>
      <c r="B357" s="9"/>
      <c r="C357" s="9"/>
      <c r="D357" s="9"/>
      <c r="E357" s="9"/>
      <c r="F357" s="67"/>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c r="AU357" s="9"/>
    </row>
    <row r="358" spans="1:47" ht="15.75" customHeight="1">
      <c r="A358" s="9"/>
      <c r="B358" s="9"/>
      <c r="C358" s="9"/>
      <c r="D358" s="9"/>
      <c r="E358" s="9"/>
      <c r="F358" s="67"/>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row>
    <row r="359" spans="1:47" ht="15.75" customHeight="1">
      <c r="A359" s="9"/>
      <c r="B359" s="9"/>
      <c r="C359" s="9"/>
      <c r="D359" s="9"/>
      <c r="E359" s="9"/>
      <c r="F359" s="67"/>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c r="AU359" s="9"/>
    </row>
    <row r="360" spans="1:47" ht="15.75" customHeight="1">
      <c r="A360" s="9"/>
      <c r="B360" s="9"/>
      <c r="C360" s="9"/>
      <c r="D360" s="9"/>
      <c r="E360" s="9"/>
      <c r="F360" s="67"/>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row>
    <row r="361" spans="1:47" ht="15.75" customHeight="1">
      <c r="A361" s="9"/>
      <c r="B361" s="9"/>
      <c r="C361" s="9"/>
      <c r="D361" s="9"/>
      <c r="E361" s="9"/>
      <c r="F361" s="67"/>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row>
    <row r="362" spans="1:47" ht="15.75" customHeight="1">
      <c r="A362" s="9"/>
      <c r="B362" s="9"/>
      <c r="C362" s="9"/>
      <c r="D362" s="9"/>
      <c r="E362" s="9"/>
      <c r="F362" s="67"/>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row>
    <row r="363" spans="1:47" ht="15.75" customHeight="1">
      <c r="A363" s="9"/>
      <c r="B363" s="9"/>
      <c r="C363" s="9"/>
      <c r="D363" s="9"/>
      <c r="E363" s="9"/>
      <c r="F363" s="67"/>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c r="AT363" s="9"/>
      <c r="AU363" s="9"/>
    </row>
    <row r="364" spans="1:47" ht="15.75" customHeight="1">
      <c r="A364" s="9"/>
      <c r="B364" s="9"/>
      <c r="C364" s="9"/>
      <c r="D364" s="9"/>
      <c r="E364" s="9"/>
      <c r="F364" s="67"/>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c r="AT364" s="9"/>
      <c r="AU364" s="9"/>
    </row>
    <row r="365" spans="1:47" ht="15.75" customHeight="1">
      <c r="A365" s="9"/>
      <c r="B365" s="9"/>
      <c r="C365" s="9"/>
      <c r="D365" s="9"/>
      <c r="E365" s="9"/>
      <c r="F365" s="67"/>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row>
    <row r="366" spans="1:47" ht="15.75" customHeight="1">
      <c r="A366" s="9"/>
      <c r="B366" s="9"/>
      <c r="C366" s="9"/>
      <c r="D366" s="9"/>
      <c r="E366" s="9"/>
      <c r="F366" s="67"/>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row>
    <row r="367" spans="1:47" ht="15.75" customHeight="1">
      <c r="A367" s="9"/>
      <c r="B367" s="9"/>
      <c r="C367" s="9"/>
      <c r="D367" s="9"/>
      <c r="E367" s="9"/>
      <c r="F367" s="67"/>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c r="AT367" s="9"/>
      <c r="AU367" s="9"/>
    </row>
    <row r="368" spans="1:47" ht="15.75" customHeight="1">
      <c r="A368" s="9"/>
      <c r="B368" s="9"/>
      <c r="C368" s="9"/>
      <c r="D368" s="9"/>
      <c r="E368" s="9"/>
      <c r="F368" s="67"/>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row>
    <row r="369" spans="1:47" ht="15.75" customHeight="1">
      <c r="A369" s="9"/>
      <c r="B369" s="9"/>
      <c r="C369" s="9"/>
      <c r="D369" s="9"/>
      <c r="E369" s="9"/>
      <c r="F369" s="67"/>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row>
    <row r="370" spans="1:47" ht="15.75" customHeight="1">
      <c r="A370" s="9"/>
      <c r="B370" s="9"/>
      <c r="C370" s="9"/>
      <c r="D370" s="9"/>
      <c r="E370" s="9"/>
      <c r="F370" s="67"/>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row>
    <row r="371" spans="1:47" ht="15.75" customHeight="1">
      <c r="A371" s="9"/>
      <c r="B371" s="9"/>
      <c r="C371" s="9"/>
      <c r="D371" s="9"/>
      <c r="E371" s="9"/>
      <c r="F371" s="67"/>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row>
    <row r="372" spans="1:47" ht="15.75" customHeight="1">
      <c r="A372" s="9"/>
      <c r="B372" s="9"/>
      <c r="C372" s="9"/>
      <c r="D372" s="9"/>
      <c r="E372" s="9"/>
      <c r="F372" s="67"/>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c r="AT372" s="9"/>
      <c r="AU372" s="9"/>
    </row>
    <row r="373" spans="1:47" ht="15.75" customHeight="1">
      <c r="A373" s="9"/>
      <c r="B373" s="9"/>
      <c r="C373" s="9"/>
      <c r="D373" s="9"/>
      <c r="E373" s="9"/>
      <c r="F373" s="67"/>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c r="AT373" s="9"/>
      <c r="AU373" s="9"/>
    </row>
    <row r="374" spans="1:47" ht="15.75" customHeight="1">
      <c r="A374" s="9"/>
      <c r="B374" s="9"/>
      <c r="C374" s="9"/>
      <c r="D374" s="9"/>
      <c r="E374" s="9"/>
      <c r="F374" s="67"/>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row>
    <row r="375" spans="1:47" ht="15.75" customHeight="1">
      <c r="A375" s="9"/>
      <c r="B375" s="9"/>
      <c r="C375" s="9"/>
      <c r="D375" s="9"/>
      <c r="E375" s="9"/>
      <c r="F375" s="67"/>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c r="AT375" s="9"/>
      <c r="AU375" s="9"/>
    </row>
    <row r="376" spans="1:47" ht="15.75" customHeight="1">
      <c r="A376" s="9"/>
      <c r="B376" s="9"/>
      <c r="C376" s="9"/>
      <c r="D376" s="9"/>
      <c r="E376" s="9"/>
      <c r="F376" s="67"/>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c r="AT376" s="9"/>
      <c r="AU376" s="9"/>
    </row>
    <row r="377" spans="1:47" ht="15.75" customHeight="1">
      <c r="A377" s="9"/>
      <c r="B377" s="9"/>
      <c r="C377" s="9"/>
      <c r="D377" s="9"/>
      <c r="E377" s="9"/>
      <c r="F377" s="67"/>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row>
    <row r="378" spans="1:47" ht="15.75" customHeight="1">
      <c r="A378" s="9"/>
      <c r="B378" s="9"/>
      <c r="C378" s="9"/>
      <c r="D378" s="9"/>
      <c r="E378" s="9"/>
      <c r="F378" s="67"/>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row>
    <row r="379" spans="1:47" ht="15.75" customHeight="1">
      <c r="A379" s="9"/>
      <c r="B379" s="9"/>
      <c r="C379" s="9"/>
      <c r="D379" s="9"/>
      <c r="E379" s="9"/>
      <c r="F379" s="67"/>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c r="AT379" s="9"/>
      <c r="AU379" s="9"/>
    </row>
    <row r="380" spans="1:47" ht="15.75" customHeight="1">
      <c r="A380" s="9"/>
      <c r="B380" s="9"/>
      <c r="C380" s="9"/>
      <c r="D380" s="9"/>
      <c r="E380" s="9"/>
      <c r="F380" s="67"/>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row>
    <row r="381" spans="1:47" ht="15.75" customHeight="1">
      <c r="A381" s="9"/>
      <c r="B381" s="9"/>
      <c r="C381" s="9"/>
      <c r="D381" s="9"/>
      <c r="E381" s="9"/>
      <c r="F381" s="67"/>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c r="AT381" s="9"/>
      <c r="AU381" s="9"/>
    </row>
    <row r="382" spans="1:47" ht="15.75" customHeight="1">
      <c r="A382" s="9"/>
      <c r="B382" s="9"/>
      <c r="C382" s="9"/>
      <c r="D382" s="9"/>
      <c r="E382" s="9"/>
      <c r="F382" s="67"/>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row>
    <row r="383" spans="1:47" ht="15.75" customHeight="1">
      <c r="A383" s="9"/>
      <c r="B383" s="9"/>
      <c r="C383" s="9"/>
      <c r="D383" s="9"/>
      <c r="E383" s="9"/>
      <c r="F383" s="67"/>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row>
    <row r="384" spans="1:47" ht="15.75" customHeight="1">
      <c r="A384" s="9"/>
      <c r="B384" s="9"/>
      <c r="C384" s="9"/>
      <c r="D384" s="9"/>
      <c r="E384" s="9"/>
      <c r="F384" s="67"/>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c r="AT384" s="9"/>
      <c r="AU384" s="9"/>
    </row>
    <row r="385" spans="1:47" ht="15.75" customHeight="1">
      <c r="A385" s="9"/>
      <c r="B385" s="9"/>
      <c r="C385" s="9"/>
      <c r="D385" s="9"/>
      <c r="E385" s="9"/>
      <c r="F385" s="67"/>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c r="AT385" s="9"/>
      <c r="AU385" s="9"/>
    </row>
    <row r="386" spans="1:47" ht="15.75" customHeight="1">
      <c r="A386" s="9"/>
      <c r="B386" s="9"/>
      <c r="C386" s="9"/>
      <c r="D386" s="9"/>
      <c r="E386" s="9"/>
      <c r="F386" s="67"/>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c r="AT386" s="9"/>
      <c r="AU386" s="9"/>
    </row>
    <row r="387" spans="1:47" ht="15.75" customHeight="1">
      <c r="A387" s="9"/>
      <c r="B387" s="9"/>
      <c r="C387" s="9"/>
      <c r="D387" s="9"/>
      <c r="E387" s="9"/>
      <c r="F387" s="67"/>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c r="AT387" s="9"/>
      <c r="AU387" s="9"/>
    </row>
    <row r="388" spans="1:47" ht="15.75" customHeight="1">
      <c r="A388" s="9"/>
      <c r="B388" s="9"/>
      <c r="C388" s="9"/>
      <c r="D388" s="9"/>
      <c r="E388" s="9"/>
      <c r="F388" s="67"/>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c r="AT388" s="9"/>
      <c r="AU388" s="9"/>
    </row>
    <row r="389" spans="1:47" ht="15.75" customHeight="1">
      <c r="A389" s="9"/>
      <c r="B389" s="9"/>
      <c r="C389" s="9"/>
      <c r="D389" s="9"/>
      <c r="E389" s="9"/>
      <c r="F389" s="67"/>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c r="AT389" s="9"/>
      <c r="AU389" s="9"/>
    </row>
    <row r="390" spans="1:47" ht="15.75" customHeight="1">
      <c r="A390" s="9"/>
      <c r="B390" s="9"/>
      <c r="C390" s="9"/>
      <c r="D390" s="9"/>
      <c r="E390" s="9"/>
      <c r="F390" s="67"/>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c r="AT390" s="9"/>
      <c r="AU390" s="9"/>
    </row>
    <row r="391" spans="1:47" ht="15.75" customHeight="1">
      <c r="A391" s="9"/>
      <c r="B391" s="9"/>
      <c r="C391" s="9"/>
      <c r="D391" s="9"/>
      <c r="E391" s="9"/>
      <c r="F391" s="67"/>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c r="AT391" s="9"/>
      <c r="AU391" s="9"/>
    </row>
    <row r="392" spans="1:47" ht="15.75" customHeight="1">
      <c r="A392" s="9"/>
      <c r="B392" s="9"/>
      <c r="C392" s="9"/>
      <c r="D392" s="9"/>
      <c r="E392" s="9"/>
      <c r="F392" s="67"/>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c r="AT392" s="9"/>
      <c r="AU392" s="9"/>
    </row>
    <row r="393" spans="1:47" ht="15.75" customHeight="1">
      <c r="A393" s="9"/>
      <c r="B393" s="9"/>
      <c r="C393" s="9"/>
      <c r="D393" s="9"/>
      <c r="E393" s="9"/>
      <c r="F393" s="67"/>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c r="AT393" s="9"/>
      <c r="AU393" s="9"/>
    </row>
    <row r="394" spans="1:47" ht="15.75" customHeight="1">
      <c r="A394" s="9"/>
      <c r="B394" s="9"/>
      <c r="C394" s="9"/>
      <c r="D394" s="9"/>
      <c r="E394" s="9"/>
      <c r="F394" s="67"/>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c r="AT394" s="9"/>
      <c r="AU394" s="9"/>
    </row>
    <row r="395" spans="1:47" ht="15.75" customHeight="1">
      <c r="A395" s="9"/>
      <c r="B395" s="9"/>
      <c r="C395" s="9"/>
      <c r="D395" s="9"/>
      <c r="E395" s="9"/>
      <c r="F395" s="67"/>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c r="AT395" s="9"/>
      <c r="AU395" s="9"/>
    </row>
    <row r="396" spans="1:47" ht="15.75" customHeight="1">
      <c r="A396" s="9"/>
      <c r="B396" s="9"/>
      <c r="C396" s="9"/>
      <c r="D396" s="9"/>
      <c r="E396" s="9"/>
      <c r="F396" s="67"/>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c r="AT396" s="9"/>
      <c r="AU396" s="9"/>
    </row>
    <row r="397" spans="1:47" ht="15.75" customHeight="1">
      <c r="A397" s="9"/>
      <c r="B397" s="9"/>
      <c r="C397" s="9"/>
      <c r="D397" s="9"/>
      <c r="E397" s="9"/>
      <c r="F397" s="67"/>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9"/>
    </row>
    <row r="398" spans="1:47" ht="15.75" customHeight="1">
      <c r="A398" s="9"/>
      <c r="B398" s="9"/>
      <c r="C398" s="9"/>
      <c r="D398" s="9"/>
      <c r="E398" s="9"/>
      <c r="F398" s="67"/>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row>
    <row r="399" spans="1:47" ht="15.75" customHeight="1">
      <c r="A399" s="9"/>
      <c r="B399" s="9"/>
      <c r="C399" s="9"/>
      <c r="D399" s="9"/>
      <c r="E399" s="9"/>
      <c r="F399" s="67"/>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9"/>
    </row>
    <row r="400" spans="1:47" ht="15.75" customHeight="1">
      <c r="A400" s="9"/>
      <c r="B400" s="9"/>
      <c r="C400" s="9"/>
      <c r="D400" s="9"/>
      <c r="E400" s="9"/>
      <c r="F400" s="67"/>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c r="AT400" s="9"/>
      <c r="AU400" s="9"/>
    </row>
    <row r="401" spans="1:47" ht="15.75" customHeight="1">
      <c r="A401" s="9"/>
      <c r="B401" s="9"/>
      <c r="C401" s="9"/>
      <c r="D401" s="9"/>
      <c r="E401" s="9"/>
      <c r="F401" s="67"/>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c r="AT401" s="9"/>
      <c r="AU401" s="9"/>
    </row>
    <row r="402" spans="1:47" ht="15.75" customHeight="1">
      <c r="A402" s="9"/>
      <c r="B402" s="9"/>
      <c r="C402" s="9"/>
      <c r="D402" s="9"/>
      <c r="E402" s="9"/>
      <c r="F402" s="67"/>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c r="AT402" s="9"/>
      <c r="AU402" s="9"/>
    </row>
    <row r="403" spans="1:47" ht="15.75" customHeight="1">
      <c r="A403" s="9"/>
      <c r="B403" s="9"/>
      <c r="C403" s="9"/>
      <c r="D403" s="9"/>
      <c r="E403" s="9"/>
      <c r="F403" s="67"/>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c r="AT403" s="9"/>
      <c r="AU403" s="9"/>
    </row>
    <row r="404" spans="1:47" ht="15.75" customHeight="1">
      <c r="A404" s="9"/>
      <c r="B404" s="9"/>
      <c r="C404" s="9"/>
      <c r="D404" s="9"/>
      <c r="E404" s="9"/>
      <c r="F404" s="67"/>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c r="AT404" s="9"/>
      <c r="AU404" s="9"/>
    </row>
    <row r="405" spans="1:47" ht="15.75" customHeight="1">
      <c r="A405" s="9"/>
      <c r="B405" s="9"/>
      <c r="C405" s="9"/>
      <c r="D405" s="9"/>
      <c r="E405" s="9"/>
      <c r="F405" s="67"/>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c r="AT405" s="9"/>
      <c r="AU405" s="9"/>
    </row>
    <row r="406" spans="1:47" ht="15.75" customHeight="1">
      <c r="A406" s="9"/>
      <c r="B406" s="9"/>
      <c r="C406" s="9"/>
      <c r="D406" s="9"/>
      <c r="E406" s="9"/>
      <c r="F406" s="67"/>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c r="AT406" s="9"/>
      <c r="AU406" s="9"/>
    </row>
    <row r="407" spans="1:47" ht="15.75" customHeight="1">
      <c r="A407" s="9"/>
      <c r="B407" s="9"/>
      <c r="C407" s="9"/>
      <c r="D407" s="9"/>
      <c r="E407" s="9"/>
      <c r="F407" s="67"/>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c r="AT407" s="9"/>
      <c r="AU407" s="9"/>
    </row>
    <row r="408" spans="1:47" ht="15.75" customHeight="1">
      <c r="A408" s="9"/>
      <c r="B408" s="9"/>
      <c r="C408" s="9"/>
      <c r="D408" s="9"/>
      <c r="E408" s="9"/>
      <c r="F408" s="67"/>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c r="AT408" s="9"/>
      <c r="AU408" s="9"/>
    </row>
    <row r="409" spans="1:47" ht="15.75" customHeight="1">
      <c r="A409" s="9"/>
      <c r="B409" s="9"/>
      <c r="C409" s="9"/>
      <c r="D409" s="9"/>
      <c r="E409" s="9"/>
      <c r="F409" s="67"/>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c r="AT409" s="9"/>
      <c r="AU409" s="9"/>
    </row>
    <row r="410" spans="1:47" ht="15.75" customHeight="1">
      <c r="A410" s="9"/>
      <c r="B410" s="9"/>
      <c r="C410" s="9"/>
      <c r="D410" s="9"/>
      <c r="E410" s="9"/>
      <c r="F410" s="67"/>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c r="AT410" s="9"/>
      <c r="AU410" s="9"/>
    </row>
    <row r="411" spans="1:47" ht="15.75" customHeight="1">
      <c r="A411" s="9"/>
      <c r="B411" s="9"/>
      <c r="C411" s="9"/>
      <c r="D411" s="9"/>
      <c r="E411" s="9"/>
      <c r="F411" s="67"/>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c r="AT411" s="9"/>
      <c r="AU411" s="9"/>
    </row>
    <row r="412" spans="1:47" ht="15.75" customHeight="1">
      <c r="A412" s="9"/>
      <c r="B412" s="9"/>
      <c r="C412" s="9"/>
      <c r="D412" s="9"/>
      <c r="E412" s="9"/>
      <c r="F412" s="67"/>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c r="AT412" s="9"/>
      <c r="AU412" s="9"/>
    </row>
    <row r="413" spans="1:47" ht="15.75" customHeight="1">
      <c r="A413" s="9"/>
      <c r="B413" s="9"/>
      <c r="C413" s="9"/>
      <c r="D413" s="9"/>
      <c r="E413" s="9"/>
      <c r="F413" s="67"/>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row>
    <row r="414" spans="1:47" ht="15.75" customHeight="1">
      <c r="A414" s="9"/>
      <c r="B414" s="9"/>
      <c r="C414" s="9"/>
      <c r="D414" s="9"/>
      <c r="E414" s="9"/>
      <c r="F414" s="67"/>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c r="AT414" s="9"/>
      <c r="AU414" s="9"/>
    </row>
    <row r="415" spans="1:47" ht="15.75" customHeight="1">
      <c r="A415" s="9"/>
      <c r="B415" s="9"/>
      <c r="C415" s="9"/>
      <c r="D415" s="9"/>
      <c r="E415" s="9"/>
      <c r="F415" s="67"/>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c r="AT415" s="9"/>
      <c r="AU415" s="9"/>
    </row>
    <row r="416" spans="1:47" ht="15.75" customHeight="1">
      <c r="A416" s="9"/>
      <c r="B416" s="9"/>
      <c r="C416" s="9"/>
      <c r="D416" s="9"/>
      <c r="E416" s="9"/>
      <c r="F416" s="67"/>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c r="AT416" s="9"/>
      <c r="AU416" s="9"/>
    </row>
    <row r="417" spans="1:47" ht="15.75" customHeight="1">
      <c r="A417" s="9"/>
      <c r="B417" s="9"/>
      <c r="C417" s="9"/>
      <c r="D417" s="9"/>
      <c r="E417" s="9"/>
      <c r="F417" s="67"/>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c r="AT417" s="9"/>
      <c r="AU417" s="9"/>
    </row>
    <row r="418" spans="1:47" ht="15.75" customHeight="1">
      <c r="A418" s="9"/>
      <c r="B418" s="9"/>
      <c r="C418" s="9"/>
      <c r="D418" s="9"/>
      <c r="E418" s="9"/>
      <c r="F418" s="67"/>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c r="AT418" s="9"/>
      <c r="AU418" s="9"/>
    </row>
    <row r="419" spans="1:47" ht="15.75" customHeight="1">
      <c r="A419" s="9"/>
      <c r="B419" s="9"/>
      <c r="C419" s="9"/>
      <c r="D419" s="9"/>
      <c r="E419" s="9"/>
      <c r="F419" s="67"/>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c r="AT419" s="9"/>
      <c r="AU419" s="9"/>
    </row>
    <row r="420" spans="1:47" ht="15.75" customHeight="1">
      <c r="A420" s="9"/>
      <c r="B420" s="9"/>
      <c r="C420" s="9"/>
      <c r="D420" s="9"/>
      <c r="E420" s="9"/>
      <c r="F420" s="67"/>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c r="AT420" s="9"/>
      <c r="AU420" s="9"/>
    </row>
    <row r="421" spans="1:47" ht="15.75" customHeight="1">
      <c r="A421" s="9"/>
      <c r="B421" s="9"/>
      <c r="C421" s="9"/>
      <c r="D421" s="9"/>
      <c r="E421" s="9"/>
      <c r="F421" s="67"/>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c r="AT421" s="9"/>
      <c r="AU421" s="9"/>
    </row>
    <row r="422" spans="1:47" ht="15.75" customHeight="1">
      <c r="A422" s="9"/>
      <c r="B422" s="9"/>
      <c r="C422" s="9"/>
      <c r="D422" s="9"/>
      <c r="E422" s="9"/>
      <c r="F422" s="67"/>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c r="AT422" s="9"/>
      <c r="AU422" s="9"/>
    </row>
    <row r="423" spans="1:47" ht="15.75" customHeight="1">
      <c r="A423" s="9"/>
      <c r="B423" s="9"/>
      <c r="C423" s="9"/>
      <c r="D423" s="9"/>
      <c r="E423" s="9"/>
      <c r="F423" s="67"/>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c r="AT423" s="9"/>
      <c r="AU423" s="9"/>
    </row>
    <row r="424" spans="1:47" ht="15.75" customHeight="1">
      <c r="A424" s="9"/>
      <c r="B424" s="9"/>
      <c r="C424" s="9"/>
      <c r="D424" s="9"/>
      <c r="E424" s="9"/>
      <c r="F424" s="67"/>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c r="AT424" s="9"/>
      <c r="AU424" s="9"/>
    </row>
    <row r="425" spans="1:47" ht="15.75" customHeight="1">
      <c r="A425" s="9"/>
      <c r="B425" s="9"/>
      <c r="C425" s="9"/>
      <c r="D425" s="9"/>
      <c r="E425" s="9"/>
      <c r="F425" s="67"/>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c r="AU425" s="9"/>
    </row>
    <row r="426" spans="1:47" ht="15.75" customHeight="1">
      <c r="A426" s="9"/>
      <c r="B426" s="9"/>
      <c r="C426" s="9"/>
      <c r="D426" s="9"/>
      <c r="E426" s="9"/>
      <c r="F426" s="67"/>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c r="AT426" s="9"/>
      <c r="AU426" s="9"/>
    </row>
    <row r="427" spans="1:47" ht="15.75" customHeight="1">
      <c r="A427" s="9"/>
      <c r="B427" s="9"/>
      <c r="C427" s="9"/>
      <c r="D427" s="9"/>
      <c r="E427" s="9"/>
      <c r="F427" s="67"/>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row>
    <row r="428" spans="1:47" ht="15.75" customHeight="1">
      <c r="A428" s="9"/>
      <c r="B428" s="9"/>
      <c r="C428" s="9"/>
      <c r="D428" s="9"/>
      <c r="E428" s="9"/>
      <c r="F428" s="67"/>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c r="AT428" s="9"/>
      <c r="AU428" s="9"/>
    </row>
    <row r="429" spans="1:47" ht="15.75" customHeight="1">
      <c r="A429" s="9"/>
      <c r="B429" s="9"/>
      <c r="C429" s="9"/>
      <c r="D429" s="9"/>
      <c r="E429" s="9"/>
      <c r="F429" s="67"/>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c r="AT429" s="9"/>
      <c r="AU429" s="9"/>
    </row>
    <row r="430" spans="1:47" ht="15.75" customHeight="1">
      <c r="A430" s="9"/>
      <c r="B430" s="9"/>
      <c r="C430" s="9"/>
      <c r="D430" s="9"/>
      <c r="E430" s="9"/>
      <c r="F430" s="67"/>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c r="AT430" s="9"/>
      <c r="AU430" s="9"/>
    </row>
    <row r="431" spans="1:47" ht="15.75" customHeight="1">
      <c r="A431" s="9"/>
      <c r="B431" s="9"/>
      <c r="C431" s="9"/>
      <c r="D431" s="9"/>
      <c r="E431" s="9"/>
      <c r="F431" s="67"/>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row>
    <row r="432" spans="1:47" ht="15.75" customHeight="1">
      <c r="A432" s="9"/>
      <c r="B432" s="9"/>
      <c r="C432" s="9"/>
      <c r="D432" s="9"/>
      <c r="E432" s="9"/>
      <c r="F432" s="67"/>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c r="AT432" s="9"/>
      <c r="AU432" s="9"/>
    </row>
    <row r="433" spans="1:47" ht="15.75" customHeight="1">
      <c r="A433" s="9"/>
      <c r="B433" s="9"/>
      <c r="C433" s="9"/>
      <c r="D433" s="9"/>
      <c r="E433" s="9"/>
      <c r="F433" s="67"/>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c r="AT433" s="9"/>
      <c r="AU433" s="9"/>
    </row>
    <row r="434" spans="1:47" ht="15.75" customHeight="1">
      <c r="A434" s="9"/>
      <c r="B434" s="9"/>
      <c r="C434" s="9"/>
      <c r="D434" s="9"/>
      <c r="E434" s="9"/>
      <c r="F434" s="67"/>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c r="AT434" s="9"/>
      <c r="AU434" s="9"/>
    </row>
    <row r="435" spans="1:47" ht="15.75" customHeight="1">
      <c r="A435" s="9"/>
      <c r="B435" s="9"/>
      <c r="C435" s="9"/>
      <c r="D435" s="9"/>
      <c r="E435" s="9"/>
      <c r="F435" s="67"/>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c r="AT435" s="9"/>
      <c r="AU435" s="9"/>
    </row>
    <row r="436" spans="1:47" ht="15.75" customHeight="1">
      <c r="A436" s="9"/>
      <c r="B436" s="9"/>
      <c r="C436" s="9"/>
      <c r="D436" s="9"/>
      <c r="E436" s="9"/>
      <c r="F436" s="67"/>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c r="AT436" s="9"/>
      <c r="AU436" s="9"/>
    </row>
    <row r="437" spans="1:47" ht="15.75" customHeight="1">
      <c r="A437" s="9"/>
      <c r="B437" s="9"/>
      <c r="C437" s="9"/>
      <c r="D437" s="9"/>
      <c r="E437" s="9"/>
      <c r="F437" s="67"/>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c r="AT437" s="9"/>
      <c r="AU437" s="9"/>
    </row>
    <row r="438" spans="1:47" ht="15.75" customHeight="1">
      <c r="A438" s="9"/>
      <c r="B438" s="9"/>
      <c r="C438" s="9"/>
      <c r="D438" s="9"/>
      <c r="E438" s="9"/>
      <c r="F438" s="67"/>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row>
    <row r="439" spans="1:47" ht="15.75" customHeight="1">
      <c r="A439" s="9"/>
      <c r="B439" s="9"/>
      <c r="C439" s="9"/>
      <c r="D439" s="9"/>
      <c r="E439" s="9"/>
      <c r="F439" s="67"/>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c r="AT439" s="9"/>
      <c r="AU439" s="9"/>
    </row>
    <row r="440" spans="1:47" ht="15.75" customHeight="1">
      <c r="A440" s="9"/>
      <c r="B440" s="9"/>
      <c r="C440" s="9"/>
      <c r="D440" s="9"/>
      <c r="E440" s="9"/>
      <c r="F440" s="67"/>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c r="AT440" s="9"/>
      <c r="AU440" s="9"/>
    </row>
    <row r="441" spans="1:47" ht="15.75" customHeight="1">
      <c r="A441" s="9"/>
      <c r="B441" s="9"/>
      <c r="C441" s="9"/>
      <c r="D441" s="9"/>
      <c r="E441" s="9"/>
      <c r="F441" s="67"/>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c r="AT441" s="9"/>
      <c r="AU441" s="9"/>
    </row>
    <row r="442" spans="1:47" ht="15.75" customHeight="1">
      <c r="A442" s="9"/>
      <c r="B442" s="9"/>
      <c r="C442" s="9"/>
      <c r="D442" s="9"/>
      <c r="E442" s="9"/>
      <c r="F442" s="67"/>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row>
    <row r="443" spans="1:47" ht="15.75" customHeight="1">
      <c r="A443" s="9"/>
      <c r="B443" s="9"/>
      <c r="C443" s="9"/>
      <c r="D443" s="9"/>
      <c r="E443" s="9"/>
      <c r="F443" s="67"/>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c r="AT443" s="9"/>
      <c r="AU443" s="9"/>
    </row>
    <row r="444" spans="1:47" ht="15.75" customHeight="1">
      <c r="A444" s="9"/>
      <c r="B444" s="9"/>
      <c r="C444" s="9"/>
      <c r="D444" s="9"/>
      <c r="E444" s="9"/>
      <c r="F444" s="67"/>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c r="AT444" s="9"/>
      <c r="AU444" s="9"/>
    </row>
    <row r="445" spans="1:47" ht="15.75" customHeight="1">
      <c r="A445" s="9"/>
      <c r="B445" s="9"/>
      <c r="C445" s="9"/>
      <c r="D445" s="9"/>
      <c r="E445" s="9"/>
      <c r="F445" s="67"/>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c r="AT445" s="9"/>
      <c r="AU445" s="9"/>
    </row>
    <row r="446" spans="1:47" ht="15.75" customHeight="1">
      <c r="A446" s="9"/>
      <c r="B446" s="9"/>
      <c r="C446" s="9"/>
      <c r="D446" s="9"/>
      <c r="E446" s="9"/>
      <c r="F446" s="67"/>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c r="AT446" s="9"/>
      <c r="AU446" s="9"/>
    </row>
    <row r="447" spans="1:47" ht="15.75" customHeight="1">
      <c r="A447" s="9"/>
      <c r="B447" s="9"/>
      <c r="C447" s="9"/>
      <c r="D447" s="9"/>
      <c r="E447" s="9"/>
      <c r="F447" s="67"/>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c r="AT447" s="9"/>
      <c r="AU447" s="9"/>
    </row>
    <row r="448" spans="1:47" ht="15.75" customHeight="1">
      <c r="A448" s="9"/>
      <c r="B448" s="9"/>
      <c r="C448" s="9"/>
      <c r="D448" s="9"/>
      <c r="E448" s="9"/>
      <c r="F448" s="67"/>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c r="AT448" s="9"/>
      <c r="AU448" s="9"/>
    </row>
    <row r="449" spans="1:47" ht="15.75" customHeight="1">
      <c r="A449" s="9"/>
      <c r="B449" s="9"/>
      <c r="C449" s="9"/>
      <c r="D449" s="9"/>
      <c r="E449" s="9"/>
      <c r="F449" s="67"/>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c r="AT449" s="9"/>
      <c r="AU449" s="9"/>
    </row>
    <row r="450" spans="1:47" ht="15.75" customHeight="1">
      <c r="A450" s="9"/>
      <c r="B450" s="9"/>
      <c r="C450" s="9"/>
      <c r="D450" s="9"/>
      <c r="E450" s="9"/>
      <c r="F450" s="67"/>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c r="AT450" s="9"/>
      <c r="AU450" s="9"/>
    </row>
    <row r="451" spans="1:47" ht="15.75" customHeight="1">
      <c r="A451" s="9"/>
      <c r="B451" s="9"/>
      <c r="C451" s="9"/>
      <c r="D451" s="9"/>
      <c r="E451" s="9"/>
      <c r="F451" s="67"/>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c r="AT451" s="9"/>
      <c r="AU451" s="9"/>
    </row>
    <row r="452" spans="1:47" ht="15.75" customHeight="1">
      <c r="A452" s="9"/>
      <c r="B452" s="9"/>
      <c r="C452" s="9"/>
      <c r="D452" s="9"/>
      <c r="E452" s="9"/>
      <c r="F452" s="67"/>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c r="AT452" s="9"/>
      <c r="AU452" s="9"/>
    </row>
    <row r="453" spans="1:47" ht="15.75" customHeight="1">
      <c r="A453" s="9"/>
      <c r="B453" s="9"/>
      <c r="C453" s="9"/>
      <c r="D453" s="9"/>
      <c r="E453" s="9"/>
      <c r="F453" s="67"/>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c r="AT453" s="9"/>
      <c r="AU453" s="9"/>
    </row>
    <row r="454" spans="1:47" ht="15.75" customHeight="1">
      <c r="A454" s="9"/>
      <c r="B454" s="9"/>
      <c r="C454" s="9"/>
      <c r="D454" s="9"/>
      <c r="E454" s="9"/>
      <c r="F454" s="67"/>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row>
    <row r="455" spans="1:47" ht="15.75" customHeight="1">
      <c r="A455" s="9"/>
      <c r="B455" s="9"/>
      <c r="C455" s="9"/>
      <c r="D455" s="9"/>
      <c r="E455" s="9"/>
      <c r="F455" s="67"/>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c r="AT455" s="9"/>
      <c r="AU455" s="9"/>
    </row>
    <row r="456" spans="1:47" ht="15.75" customHeight="1">
      <c r="A456" s="9"/>
      <c r="B456" s="9"/>
      <c r="C456" s="9"/>
      <c r="D456" s="9"/>
      <c r="E456" s="9"/>
      <c r="F456" s="67"/>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c r="AT456" s="9"/>
      <c r="AU456" s="9"/>
    </row>
    <row r="457" spans="1:47" ht="15.75" customHeight="1">
      <c r="A457" s="9"/>
      <c r="B457" s="9"/>
      <c r="C457" s="9"/>
      <c r="D457" s="9"/>
      <c r="E457" s="9"/>
      <c r="F457" s="67"/>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c r="AT457" s="9"/>
      <c r="AU457" s="9"/>
    </row>
    <row r="458" spans="1:47" ht="15.75" customHeight="1">
      <c r="A458" s="9"/>
      <c r="B458" s="9"/>
      <c r="C458" s="9"/>
      <c r="D458" s="9"/>
      <c r="E458" s="9"/>
      <c r="F458" s="67"/>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c r="AT458" s="9"/>
      <c r="AU458" s="9"/>
    </row>
    <row r="459" spans="1:47" ht="15.75" customHeight="1">
      <c r="A459" s="9"/>
      <c r="B459" s="9"/>
      <c r="C459" s="9"/>
      <c r="D459" s="9"/>
      <c r="E459" s="9"/>
      <c r="F459" s="67"/>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c r="AT459" s="9"/>
      <c r="AU459" s="9"/>
    </row>
    <row r="460" spans="1:47" ht="15.75" customHeight="1">
      <c r="A460" s="9"/>
      <c r="B460" s="9"/>
      <c r="C460" s="9"/>
      <c r="D460" s="9"/>
      <c r="E460" s="9"/>
      <c r="F460" s="67"/>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c r="AT460" s="9"/>
      <c r="AU460" s="9"/>
    </row>
    <row r="461" spans="1:47" ht="15.75" customHeight="1">
      <c r="A461" s="9"/>
      <c r="B461" s="9"/>
      <c r="C461" s="9"/>
      <c r="D461" s="9"/>
      <c r="E461" s="9"/>
      <c r="F461" s="67"/>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c r="AT461" s="9"/>
      <c r="AU461" s="9"/>
    </row>
    <row r="462" spans="1:47" ht="15.75" customHeight="1">
      <c r="A462" s="9"/>
      <c r="B462" s="9"/>
      <c r="C462" s="9"/>
      <c r="D462" s="9"/>
      <c r="E462" s="9"/>
      <c r="F462" s="67"/>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c r="AT462" s="9"/>
      <c r="AU462" s="9"/>
    </row>
    <row r="463" spans="1:47" ht="15.75" customHeight="1">
      <c r="A463" s="9"/>
      <c r="B463" s="9"/>
      <c r="C463" s="9"/>
      <c r="D463" s="9"/>
      <c r="E463" s="9"/>
      <c r="F463" s="67"/>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c r="AT463" s="9"/>
      <c r="AU463" s="9"/>
    </row>
    <row r="464" spans="1:47" ht="15.75" customHeight="1">
      <c r="A464" s="9"/>
      <c r="B464" s="9"/>
      <c r="C464" s="9"/>
      <c r="D464" s="9"/>
      <c r="E464" s="9"/>
      <c r="F464" s="67"/>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c r="AT464" s="9"/>
      <c r="AU464" s="9"/>
    </row>
    <row r="465" spans="1:47" ht="15.75" customHeight="1">
      <c r="A465" s="9"/>
      <c r="B465" s="9"/>
      <c r="C465" s="9"/>
      <c r="D465" s="9"/>
      <c r="E465" s="9"/>
      <c r="F465" s="67"/>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c r="AT465" s="9"/>
      <c r="AU465" s="9"/>
    </row>
    <row r="466" spans="1:47" ht="15.75" customHeight="1">
      <c r="A466" s="9"/>
      <c r="B466" s="9"/>
      <c r="C466" s="9"/>
      <c r="D466" s="9"/>
      <c r="E466" s="9"/>
      <c r="F466" s="67"/>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c r="AT466" s="9"/>
      <c r="AU466" s="9"/>
    </row>
    <row r="467" spans="1:47" ht="15.75" customHeight="1">
      <c r="A467" s="9"/>
      <c r="B467" s="9"/>
      <c r="C467" s="9"/>
      <c r="D467" s="9"/>
      <c r="E467" s="9"/>
      <c r="F467" s="67"/>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c r="AT467" s="9"/>
      <c r="AU467" s="9"/>
    </row>
    <row r="468" spans="1:47" ht="15.75" customHeight="1">
      <c r="A468" s="9"/>
      <c r="B468" s="9"/>
      <c r="C468" s="9"/>
      <c r="D468" s="9"/>
      <c r="E468" s="9"/>
      <c r="F468" s="67"/>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c r="AT468" s="9"/>
      <c r="AU468" s="9"/>
    </row>
    <row r="469" spans="1:47" ht="15.75" customHeight="1">
      <c r="A469" s="9"/>
      <c r="B469" s="9"/>
      <c r="C469" s="9"/>
      <c r="D469" s="9"/>
      <c r="E469" s="9"/>
      <c r="F469" s="67"/>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c r="AT469" s="9"/>
      <c r="AU469" s="9"/>
    </row>
    <row r="470" spans="1:47" ht="15.75" customHeight="1">
      <c r="A470" s="9"/>
      <c r="B470" s="9"/>
      <c r="C470" s="9"/>
      <c r="D470" s="9"/>
      <c r="E470" s="9"/>
      <c r="F470" s="67"/>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c r="AT470" s="9"/>
      <c r="AU470" s="9"/>
    </row>
    <row r="471" spans="1:47" ht="15.75" customHeight="1">
      <c r="A471" s="9"/>
      <c r="B471" s="9"/>
      <c r="C471" s="9"/>
      <c r="D471" s="9"/>
      <c r="E471" s="9"/>
      <c r="F471" s="67"/>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c r="AT471" s="9"/>
      <c r="AU471" s="9"/>
    </row>
    <row r="472" spans="1:47" ht="15.75" customHeight="1">
      <c r="A472" s="9"/>
      <c r="B472" s="9"/>
      <c r="C472" s="9"/>
      <c r="D472" s="9"/>
      <c r="E472" s="9"/>
      <c r="F472" s="67"/>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c r="AT472" s="9"/>
      <c r="AU472" s="9"/>
    </row>
    <row r="473" spans="1:47" ht="15.75" customHeight="1">
      <c r="A473" s="9"/>
      <c r="B473" s="9"/>
      <c r="C473" s="9"/>
      <c r="D473" s="9"/>
      <c r="E473" s="9"/>
      <c r="F473" s="67"/>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c r="AT473" s="9"/>
      <c r="AU473" s="9"/>
    </row>
    <row r="474" spans="1:47" ht="15.75" customHeight="1">
      <c r="A474" s="9"/>
      <c r="B474" s="9"/>
      <c r="C474" s="9"/>
      <c r="D474" s="9"/>
      <c r="E474" s="9"/>
      <c r="F474" s="67"/>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c r="AT474" s="9"/>
      <c r="AU474" s="9"/>
    </row>
    <row r="475" spans="1:47" ht="15.75" customHeight="1">
      <c r="A475" s="9"/>
      <c r="B475" s="9"/>
      <c r="C475" s="9"/>
      <c r="D475" s="9"/>
      <c r="E475" s="9"/>
      <c r="F475" s="67"/>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c r="AT475" s="9"/>
      <c r="AU475" s="9"/>
    </row>
    <row r="476" spans="1:47" ht="15.75" customHeight="1">
      <c r="A476" s="9"/>
      <c r="B476" s="9"/>
      <c r="C476" s="9"/>
      <c r="D476" s="9"/>
      <c r="E476" s="9"/>
      <c r="F476" s="67"/>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row>
    <row r="477" spans="1:47" ht="15.75" customHeight="1">
      <c r="A477" s="9"/>
      <c r="B477" s="9"/>
      <c r="C477" s="9"/>
      <c r="D477" s="9"/>
      <c r="E477" s="9"/>
      <c r="F477" s="67"/>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c r="AR477" s="9"/>
      <c r="AS477" s="9"/>
      <c r="AT477" s="9"/>
      <c r="AU477" s="9"/>
    </row>
    <row r="478" spans="1:47" ht="15.75" customHeight="1">
      <c r="A478" s="9"/>
      <c r="B478" s="9"/>
      <c r="C478" s="9"/>
      <c r="D478" s="9"/>
      <c r="E478" s="9"/>
      <c r="F478" s="67"/>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c r="AR478" s="9"/>
      <c r="AS478" s="9"/>
      <c r="AT478" s="9"/>
      <c r="AU478" s="9"/>
    </row>
    <row r="479" spans="1:47" ht="15.75" customHeight="1">
      <c r="A479" s="9"/>
      <c r="B479" s="9"/>
      <c r="C479" s="9"/>
      <c r="D479" s="9"/>
      <c r="E479" s="9"/>
      <c r="F479" s="67"/>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c r="AL479" s="9"/>
      <c r="AM479" s="9"/>
      <c r="AN479" s="9"/>
      <c r="AO479" s="9"/>
      <c r="AP479" s="9"/>
      <c r="AQ479" s="9"/>
      <c r="AR479" s="9"/>
      <c r="AS479" s="9"/>
      <c r="AT479" s="9"/>
      <c r="AU479" s="9"/>
    </row>
    <row r="480" spans="1:47" ht="15.75" customHeight="1">
      <c r="A480" s="9"/>
      <c r="B480" s="9"/>
      <c r="C480" s="9"/>
      <c r="D480" s="9"/>
      <c r="E480" s="9"/>
      <c r="F480" s="67"/>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c r="AL480" s="9"/>
      <c r="AM480" s="9"/>
      <c r="AN480" s="9"/>
      <c r="AO480" s="9"/>
      <c r="AP480" s="9"/>
      <c r="AQ480" s="9"/>
      <c r="AR480" s="9"/>
      <c r="AS480" s="9"/>
      <c r="AT480" s="9"/>
      <c r="AU480" s="9"/>
    </row>
    <row r="481" spans="1:47" ht="15.75" customHeight="1">
      <c r="A481" s="9"/>
      <c r="B481" s="9"/>
      <c r="C481" s="9"/>
      <c r="D481" s="9"/>
      <c r="E481" s="9"/>
      <c r="F481" s="67"/>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c r="AL481" s="9"/>
      <c r="AM481" s="9"/>
      <c r="AN481" s="9"/>
      <c r="AO481" s="9"/>
      <c r="AP481" s="9"/>
      <c r="AQ481" s="9"/>
      <c r="AR481" s="9"/>
      <c r="AS481" s="9"/>
      <c r="AT481" s="9"/>
      <c r="AU481" s="9"/>
    </row>
    <row r="482" spans="1:47" ht="15.75" customHeight="1">
      <c r="A482" s="9"/>
      <c r="B482" s="9"/>
      <c r="C482" s="9"/>
      <c r="D482" s="9"/>
      <c r="E482" s="9"/>
      <c r="F482" s="67"/>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c r="AL482" s="9"/>
      <c r="AM482" s="9"/>
      <c r="AN482" s="9"/>
      <c r="AO482" s="9"/>
      <c r="AP482" s="9"/>
      <c r="AQ482" s="9"/>
      <c r="AR482" s="9"/>
      <c r="AS482" s="9"/>
      <c r="AT482" s="9"/>
      <c r="AU482" s="9"/>
    </row>
    <row r="483" spans="1:47" ht="15.75" customHeight="1">
      <c r="A483" s="9"/>
      <c r="B483" s="9"/>
      <c r="C483" s="9"/>
      <c r="D483" s="9"/>
      <c r="E483" s="9"/>
      <c r="F483" s="67"/>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c r="AL483" s="9"/>
      <c r="AM483" s="9"/>
      <c r="AN483" s="9"/>
      <c r="AO483" s="9"/>
      <c r="AP483" s="9"/>
      <c r="AQ483" s="9"/>
      <c r="AR483" s="9"/>
      <c r="AS483" s="9"/>
      <c r="AT483" s="9"/>
      <c r="AU483" s="9"/>
    </row>
    <row r="484" spans="1:47" ht="15.75" customHeight="1">
      <c r="A484" s="9"/>
      <c r="B484" s="9"/>
      <c r="C484" s="9"/>
      <c r="D484" s="9"/>
      <c r="E484" s="9"/>
      <c r="F484" s="67"/>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c r="AL484" s="9"/>
      <c r="AM484" s="9"/>
      <c r="AN484" s="9"/>
      <c r="AO484" s="9"/>
      <c r="AP484" s="9"/>
      <c r="AQ484" s="9"/>
      <c r="AR484" s="9"/>
      <c r="AS484" s="9"/>
      <c r="AT484" s="9"/>
      <c r="AU484" s="9"/>
    </row>
    <row r="485" spans="1:47" ht="15.75" customHeight="1">
      <c r="A485" s="9"/>
      <c r="B485" s="9"/>
      <c r="C485" s="9"/>
      <c r="D485" s="9"/>
      <c r="E485" s="9"/>
      <c r="F485" s="67"/>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c r="AL485" s="9"/>
      <c r="AM485" s="9"/>
      <c r="AN485" s="9"/>
      <c r="AO485" s="9"/>
      <c r="AP485" s="9"/>
      <c r="AQ485" s="9"/>
      <c r="AR485" s="9"/>
      <c r="AS485" s="9"/>
      <c r="AT485" s="9"/>
      <c r="AU485" s="9"/>
    </row>
    <row r="486" spans="1:47" ht="15.75" customHeight="1">
      <c r="A486" s="9"/>
      <c r="B486" s="9"/>
      <c r="C486" s="9"/>
      <c r="D486" s="9"/>
      <c r="E486" s="9"/>
      <c r="F486" s="67"/>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c r="AL486" s="9"/>
      <c r="AM486" s="9"/>
      <c r="AN486" s="9"/>
      <c r="AO486" s="9"/>
      <c r="AP486" s="9"/>
      <c r="AQ486" s="9"/>
      <c r="AR486" s="9"/>
      <c r="AS486" s="9"/>
      <c r="AT486" s="9"/>
      <c r="AU486" s="9"/>
    </row>
    <row r="487" spans="1:47" ht="15.75" customHeight="1">
      <c r="A487" s="9"/>
      <c r="B487" s="9"/>
      <c r="C487" s="9"/>
      <c r="D487" s="9"/>
      <c r="E487" s="9"/>
      <c r="F487" s="67"/>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c r="AL487" s="9"/>
      <c r="AM487" s="9"/>
      <c r="AN487" s="9"/>
      <c r="AO487" s="9"/>
      <c r="AP487" s="9"/>
      <c r="AQ487" s="9"/>
      <c r="AR487" s="9"/>
      <c r="AS487" s="9"/>
      <c r="AT487" s="9"/>
      <c r="AU487" s="9"/>
    </row>
    <row r="488" spans="1:47" ht="15.75" customHeight="1">
      <c r="A488" s="9"/>
      <c r="B488" s="9"/>
      <c r="C488" s="9"/>
      <c r="D488" s="9"/>
      <c r="E488" s="9"/>
      <c r="F488" s="67"/>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c r="AL488" s="9"/>
      <c r="AM488" s="9"/>
      <c r="AN488" s="9"/>
      <c r="AO488" s="9"/>
      <c r="AP488" s="9"/>
      <c r="AQ488" s="9"/>
      <c r="AR488" s="9"/>
      <c r="AS488" s="9"/>
      <c r="AT488" s="9"/>
      <c r="AU488" s="9"/>
    </row>
    <row r="489" spans="1:47" ht="15.75" customHeight="1">
      <c r="A489" s="9"/>
      <c r="B489" s="9"/>
      <c r="C489" s="9"/>
      <c r="D489" s="9"/>
      <c r="E489" s="9"/>
      <c r="F489" s="67"/>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c r="AL489" s="9"/>
      <c r="AM489" s="9"/>
      <c r="AN489" s="9"/>
      <c r="AO489" s="9"/>
      <c r="AP489" s="9"/>
      <c r="AQ489" s="9"/>
      <c r="AR489" s="9"/>
      <c r="AS489" s="9"/>
      <c r="AT489" s="9"/>
      <c r="AU489" s="9"/>
    </row>
    <row r="490" spans="1:47" ht="15.75" customHeight="1">
      <c r="A490" s="9"/>
      <c r="B490" s="9"/>
      <c r="C490" s="9"/>
      <c r="D490" s="9"/>
      <c r="E490" s="9"/>
      <c r="F490" s="67"/>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c r="AL490" s="9"/>
      <c r="AM490" s="9"/>
      <c r="AN490" s="9"/>
      <c r="AO490" s="9"/>
      <c r="AP490" s="9"/>
      <c r="AQ490" s="9"/>
      <c r="AR490" s="9"/>
      <c r="AS490" s="9"/>
      <c r="AT490" s="9"/>
      <c r="AU490" s="9"/>
    </row>
    <row r="491" spans="1:47" ht="15.75" customHeight="1">
      <c r="A491" s="9"/>
      <c r="B491" s="9"/>
      <c r="C491" s="9"/>
      <c r="D491" s="9"/>
      <c r="E491" s="9"/>
      <c r="F491" s="67"/>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c r="AL491" s="9"/>
      <c r="AM491" s="9"/>
      <c r="AN491" s="9"/>
      <c r="AO491" s="9"/>
      <c r="AP491" s="9"/>
      <c r="AQ491" s="9"/>
      <c r="AR491" s="9"/>
      <c r="AS491" s="9"/>
      <c r="AT491" s="9"/>
      <c r="AU491" s="9"/>
    </row>
    <row r="492" spans="1:47" ht="15.75" customHeight="1">
      <c r="A492" s="9"/>
      <c r="B492" s="9"/>
      <c r="C492" s="9"/>
      <c r="D492" s="9"/>
      <c r="E492" s="9"/>
      <c r="F492" s="67"/>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c r="AL492" s="9"/>
      <c r="AM492" s="9"/>
      <c r="AN492" s="9"/>
      <c r="AO492" s="9"/>
      <c r="AP492" s="9"/>
      <c r="AQ492" s="9"/>
      <c r="AR492" s="9"/>
      <c r="AS492" s="9"/>
      <c r="AT492" s="9"/>
      <c r="AU492" s="9"/>
    </row>
    <row r="493" spans="1:47" ht="15.75" customHeight="1">
      <c r="A493" s="9"/>
      <c r="B493" s="9"/>
      <c r="C493" s="9"/>
      <c r="D493" s="9"/>
      <c r="E493" s="9"/>
      <c r="F493" s="67"/>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c r="AL493" s="9"/>
      <c r="AM493" s="9"/>
      <c r="AN493" s="9"/>
      <c r="AO493" s="9"/>
      <c r="AP493" s="9"/>
      <c r="AQ493" s="9"/>
      <c r="AR493" s="9"/>
      <c r="AS493" s="9"/>
      <c r="AT493" s="9"/>
      <c r="AU493" s="9"/>
    </row>
    <row r="494" spans="1:47" ht="15.75" customHeight="1">
      <c r="A494" s="9"/>
      <c r="B494" s="9"/>
      <c r="C494" s="9"/>
      <c r="D494" s="9"/>
      <c r="E494" s="9"/>
      <c r="F494" s="67"/>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c r="AL494" s="9"/>
      <c r="AM494" s="9"/>
      <c r="AN494" s="9"/>
      <c r="AO494" s="9"/>
      <c r="AP494" s="9"/>
      <c r="AQ494" s="9"/>
      <c r="AR494" s="9"/>
      <c r="AS494" s="9"/>
      <c r="AT494" s="9"/>
      <c r="AU494" s="9"/>
    </row>
    <row r="495" spans="1:47" ht="15.75" customHeight="1">
      <c r="A495" s="9"/>
      <c r="B495" s="9"/>
      <c r="C495" s="9"/>
      <c r="D495" s="9"/>
      <c r="E495" s="9"/>
      <c r="F495" s="67"/>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c r="AL495" s="9"/>
      <c r="AM495" s="9"/>
      <c r="AN495" s="9"/>
      <c r="AO495" s="9"/>
      <c r="AP495" s="9"/>
      <c r="AQ495" s="9"/>
      <c r="AR495" s="9"/>
      <c r="AS495" s="9"/>
      <c r="AT495" s="9"/>
      <c r="AU495" s="9"/>
    </row>
    <row r="496" spans="1:47" ht="15.75" customHeight="1">
      <c r="A496" s="9"/>
      <c r="B496" s="9"/>
      <c r="C496" s="9"/>
      <c r="D496" s="9"/>
      <c r="E496" s="9"/>
      <c r="F496" s="67"/>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c r="AL496" s="9"/>
      <c r="AM496" s="9"/>
      <c r="AN496" s="9"/>
      <c r="AO496" s="9"/>
      <c r="AP496" s="9"/>
      <c r="AQ496" s="9"/>
      <c r="AR496" s="9"/>
      <c r="AS496" s="9"/>
      <c r="AT496" s="9"/>
      <c r="AU496" s="9"/>
    </row>
    <row r="497" spans="1:47" ht="15.75" customHeight="1">
      <c r="A497" s="9"/>
      <c r="B497" s="9"/>
      <c r="C497" s="9"/>
      <c r="D497" s="9"/>
      <c r="E497" s="9"/>
      <c r="F497" s="67"/>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c r="AL497" s="9"/>
      <c r="AM497" s="9"/>
      <c r="AN497" s="9"/>
      <c r="AO497" s="9"/>
      <c r="AP497" s="9"/>
      <c r="AQ497" s="9"/>
      <c r="AR497" s="9"/>
      <c r="AS497" s="9"/>
      <c r="AT497" s="9"/>
      <c r="AU497" s="9"/>
    </row>
    <row r="498" spans="1:47" ht="15.75" customHeight="1">
      <c r="A498" s="9"/>
      <c r="B498" s="9"/>
      <c r="C498" s="9"/>
      <c r="D498" s="9"/>
      <c r="E498" s="9"/>
      <c r="F498" s="67"/>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c r="AL498" s="9"/>
      <c r="AM498" s="9"/>
      <c r="AN498" s="9"/>
      <c r="AO498" s="9"/>
      <c r="AP498" s="9"/>
      <c r="AQ498" s="9"/>
      <c r="AR498" s="9"/>
      <c r="AS498" s="9"/>
      <c r="AT498" s="9"/>
      <c r="AU498" s="9"/>
    </row>
    <row r="499" spans="1:47" ht="15.75" customHeight="1">
      <c r="A499" s="9"/>
      <c r="B499" s="9"/>
      <c r="C499" s="9"/>
      <c r="D499" s="9"/>
      <c r="E499" s="9"/>
      <c r="F499" s="67"/>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c r="AL499" s="9"/>
      <c r="AM499" s="9"/>
      <c r="AN499" s="9"/>
      <c r="AO499" s="9"/>
      <c r="AP499" s="9"/>
      <c r="AQ499" s="9"/>
      <c r="AR499" s="9"/>
      <c r="AS499" s="9"/>
      <c r="AT499" s="9"/>
      <c r="AU499" s="9"/>
    </row>
    <row r="500" spans="1:47" ht="15.75" customHeight="1">
      <c r="A500" s="9"/>
      <c r="B500" s="9"/>
      <c r="C500" s="9"/>
      <c r="D500" s="9"/>
      <c r="E500" s="9"/>
      <c r="F500" s="67"/>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c r="AL500" s="9"/>
      <c r="AM500" s="9"/>
      <c r="AN500" s="9"/>
      <c r="AO500" s="9"/>
      <c r="AP500" s="9"/>
      <c r="AQ500" s="9"/>
      <c r="AR500" s="9"/>
      <c r="AS500" s="9"/>
      <c r="AT500" s="9"/>
      <c r="AU500" s="9"/>
    </row>
    <row r="501" spans="1:47" ht="15.75" customHeight="1">
      <c r="A501" s="9"/>
      <c r="B501" s="9"/>
      <c r="C501" s="9"/>
      <c r="D501" s="9"/>
      <c r="E501" s="9"/>
      <c r="F501" s="67"/>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c r="AL501" s="9"/>
      <c r="AM501" s="9"/>
      <c r="AN501" s="9"/>
      <c r="AO501" s="9"/>
      <c r="AP501" s="9"/>
      <c r="AQ501" s="9"/>
      <c r="AR501" s="9"/>
      <c r="AS501" s="9"/>
      <c r="AT501" s="9"/>
      <c r="AU501" s="9"/>
    </row>
    <row r="502" spans="1:47" ht="15.75" customHeight="1">
      <c r="A502" s="9"/>
      <c r="B502" s="9"/>
      <c r="C502" s="9"/>
      <c r="D502" s="9"/>
      <c r="E502" s="9"/>
      <c r="F502" s="67"/>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row>
    <row r="503" spans="1:47" ht="15.75" customHeight="1">
      <c r="A503" s="9"/>
      <c r="B503" s="9"/>
      <c r="C503" s="9"/>
      <c r="D503" s="9"/>
      <c r="E503" s="9"/>
      <c r="F503" s="67"/>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row>
    <row r="504" spans="1:47" ht="15.75" customHeight="1">
      <c r="A504" s="9"/>
      <c r="B504" s="9"/>
      <c r="C504" s="9"/>
      <c r="D504" s="9"/>
      <c r="E504" s="9"/>
      <c r="F504" s="67"/>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c r="AL504" s="9"/>
      <c r="AM504" s="9"/>
      <c r="AN504" s="9"/>
      <c r="AO504" s="9"/>
      <c r="AP504" s="9"/>
      <c r="AQ504" s="9"/>
      <c r="AR504" s="9"/>
      <c r="AS504" s="9"/>
      <c r="AT504" s="9"/>
      <c r="AU504" s="9"/>
    </row>
    <row r="505" spans="1:47" ht="15.75" customHeight="1">
      <c r="A505" s="9"/>
      <c r="B505" s="9"/>
      <c r="C505" s="9"/>
      <c r="D505" s="9"/>
      <c r="E505" s="9"/>
      <c r="F505" s="67"/>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row>
    <row r="506" spans="1:47" ht="15.75" customHeight="1">
      <c r="A506" s="9"/>
      <c r="B506" s="9"/>
      <c r="C506" s="9"/>
      <c r="D506" s="9"/>
      <c r="E506" s="9"/>
      <c r="F506" s="67"/>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row>
    <row r="507" spans="1:47" ht="15.75" customHeight="1">
      <c r="A507" s="9"/>
      <c r="B507" s="9"/>
      <c r="C507" s="9"/>
      <c r="D507" s="9"/>
      <c r="E507" s="9"/>
      <c r="F507" s="67"/>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row>
    <row r="508" spans="1:47" ht="15.75" customHeight="1">
      <c r="A508" s="9"/>
      <c r="B508" s="9"/>
      <c r="C508" s="9"/>
      <c r="D508" s="9"/>
      <c r="E508" s="9"/>
      <c r="F508" s="67"/>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row>
    <row r="509" spans="1:47" ht="15.75" customHeight="1">
      <c r="A509" s="9"/>
      <c r="B509" s="9"/>
      <c r="C509" s="9"/>
      <c r="D509" s="9"/>
      <c r="E509" s="9"/>
      <c r="F509" s="67"/>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row>
    <row r="510" spans="1:47" ht="15.75" customHeight="1">
      <c r="A510" s="9"/>
      <c r="B510" s="9"/>
      <c r="C510" s="9"/>
      <c r="D510" s="9"/>
      <c r="E510" s="9"/>
      <c r="F510" s="67"/>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row>
    <row r="511" spans="1:47" ht="15.75" customHeight="1">
      <c r="A511" s="9"/>
      <c r="B511" s="9"/>
      <c r="C511" s="9"/>
      <c r="D511" s="9"/>
      <c r="E511" s="9"/>
      <c r="F511" s="67"/>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row>
    <row r="512" spans="1:47" ht="15.75" customHeight="1">
      <c r="A512" s="9"/>
      <c r="B512" s="9"/>
      <c r="C512" s="9"/>
      <c r="D512" s="9"/>
      <c r="E512" s="9"/>
      <c r="F512" s="67"/>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row>
    <row r="513" spans="1:47" ht="15.75" customHeight="1">
      <c r="A513" s="9"/>
      <c r="B513" s="9"/>
      <c r="C513" s="9"/>
      <c r="D513" s="9"/>
      <c r="E513" s="9"/>
      <c r="F513" s="67"/>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row>
    <row r="514" spans="1:47" ht="15.75" customHeight="1">
      <c r="A514" s="9"/>
      <c r="B514" s="9"/>
      <c r="C514" s="9"/>
      <c r="D514" s="9"/>
      <c r="E514" s="9"/>
      <c r="F514" s="67"/>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row>
    <row r="515" spans="1:47" ht="15.75" customHeight="1">
      <c r="A515" s="9"/>
      <c r="B515" s="9"/>
      <c r="C515" s="9"/>
      <c r="D515" s="9"/>
      <c r="E515" s="9"/>
      <c r="F515" s="67"/>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row>
    <row r="516" spans="1:47" ht="15.75" customHeight="1">
      <c r="A516" s="9"/>
      <c r="B516" s="9"/>
      <c r="C516" s="9"/>
      <c r="D516" s="9"/>
      <c r="E516" s="9"/>
      <c r="F516" s="67"/>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row>
    <row r="517" spans="1:47" ht="15.75" customHeight="1">
      <c r="A517" s="9"/>
      <c r="B517" s="9"/>
      <c r="C517" s="9"/>
      <c r="D517" s="9"/>
      <c r="E517" s="9"/>
      <c r="F517" s="67"/>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row>
    <row r="518" spans="1:47" ht="15.75" customHeight="1">
      <c r="A518" s="9"/>
      <c r="B518" s="9"/>
      <c r="C518" s="9"/>
      <c r="D518" s="9"/>
      <c r="E518" s="9"/>
      <c r="F518" s="67"/>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row>
    <row r="519" spans="1:47" ht="15.75" customHeight="1">
      <c r="A519" s="9"/>
      <c r="B519" s="9"/>
      <c r="C519" s="9"/>
      <c r="D519" s="9"/>
      <c r="E519" s="9"/>
      <c r="F519" s="67"/>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row>
    <row r="520" spans="1:47" ht="15.75" customHeight="1">
      <c r="A520" s="9"/>
      <c r="B520" s="9"/>
      <c r="C520" s="9"/>
      <c r="D520" s="9"/>
      <c r="E520" s="9"/>
      <c r="F520" s="67"/>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row>
    <row r="521" spans="1:47" ht="15.75" customHeight="1">
      <c r="A521" s="9"/>
      <c r="B521" s="9"/>
      <c r="C521" s="9"/>
      <c r="D521" s="9"/>
      <c r="E521" s="9"/>
      <c r="F521" s="67"/>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row>
    <row r="522" spans="1:47" ht="15.75" customHeight="1">
      <c r="A522" s="9"/>
      <c r="B522" s="9"/>
      <c r="C522" s="9"/>
      <c r="D522" s="9"/>
      <c r="E522" s="9"/>
      <c r="F522" s="67"/>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row>
    <row r="523" spans="1:47" ht="15.75" customHeight="1">
      <c r="A523" s="9"/>
      <c r="B523" s="9"/>
      <c r="C523" s="9"/>
      <c r="D523" s="9"/>
      <c r="E523" s="9"/>
      <c r="F523" s="67"/>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row>
    <row r="524" spans="1:47" ht="15.75" customHeight="1">
      <c r="A524" s="9"/>
      <c r="B524" s="9"/>
      <c r="C524" s="9"/>
      <c r="D524" s="9"/>
      <c r="E524" s="9"/>
      <c r="F524" s="67"/>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row>
    <row r="525" spans="1:47" ht="15.75" customHeight="1">
      <c r="A525" s="9"/>
      <c r="B525" s="9"/>
      <c r="C525" s="9"/>
      <c r="D525" s="9"/>
      <c r="E525" s="9"/>
      <c r="F525" s="67"/>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row>
    <row r="526" spans="1:47" ht="15.75" customHeight="1">
      <c r="A526" s="9"/>
      <c r="B526" s="9"/>
      <c r="C526" s="9"/>
      <c r="D526" s="9"/>
      <c r="E526" s="9"/>
      <c r="F526" s="67"/>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row>
    <row r="527" spans="1:47" ht="15.75" customHeight="1">
      <c r="A527" s="9"/>
      <c r="B527" s="9"/>
      <c r="C527" s="9"/>
      <c r="D527" s="9"/>
      <c r="E527" s="9"/>
      <c r="F527" s="67"/>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row>
    <row r="528" spans="1:47" ht="15.75" customHeight="1">
      <c r="A528" s="9"/>
      <c r="B528" s="9"/>
      <c r="C528" s="9"/>
      <c r="D528" s="9"/>
      <c r="E528" s="9"/>
      <c r="F528" s="67"/>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row>
    <row r="529" spans="1:47" ht="15.75" customHeight="1">
      <c r="A529" s="9"/>
      <c r="B529" s="9"/>
      <c r="C529" s="9"/>
      <c r="D529" s="9"/>
      <c r="E529" s="9"/>
      <c r="F529" s="67"/>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row>
    <row r="530" spans="1:47" ht="15.75" customHeight="1">
      <c r="A530" s="9"/>
      <c r="B530" s="9"/>
      <c r="C530" s="9"/>
      <c r="D530" s="9"/>
      <c r="E530" s="9"/>
      <c r="F530" s="67"/>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row>
    <row r="531" spans="1:47" ht="15.75" customHeight="1">
      <c r="A531" s="9"/>
      <c r="B531" s="9"/>
      <c r="C531" s="9"/>
      <c r="D531" s="9"/>
      <c r="E531" s="9"/>
      <c r="F531" s="67"/>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row>
    <row r="532" spans="1:47" ht="15.75" customHeight="1">
      <c r="A532" s="9"/>
      <c r="B532" s="9"/>
      <c r="C532" s="9"/>
      <c r="D532" s="9"/>
      <c r="E532" s="9"/>
      <c r="F532" s="67"/>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row>
    <row r="533" spans="1:47" ht="15.75" customHeight="1">
      <c r="A533" s="9"/>
      <c r="B533" s="9"/>
      <c r="C533" s="9"/>
      <c r="D533" s="9"/>
      <c r="E533" s="9"/>
      <c r="F533" s="67"/>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row>
    <row r="534" spans="1:47" ht="15.75" customHeight="1">
      <c r="A534" s="9"/>
      <c r="B534" s="9"/>
      <c r="C534" s="9"/>
      <c r="D534" s="9"/>
      <c r="E534" s="9"/>
      <c r="F534" s="67"/>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row>
    <row r="535" spans="1:47" ht="15.75" customHeight="1">
      <c r="A535" s="9"/>
      <c r="B535" s="9"/>
      <c r="C535" s="9"/>
      <c r="D535" s="9"/>
      <c r="E535" s="9"/>
      <c r="F535" s="67"/>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row>
    <row r="536" spans="1:47" ht="15.75" customHeight="1">
      <c r="A536" s="9"/>
      <c r="B536" s="9"/>
      <c r="C536" s="9"/>
      <c r="D536" s="9"/>
      <c r="E536" s="9"/>
      <c r="F536" s="67"/>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c r="AL536" s="9"/>
      <c r="AM536" s="9"/>
      <c r="AN536" s="9"/>
      <c r="AO536" s="9"/>
      <c r="AP536" s="9"/>
      <c r="AQ536" s="9"/>
      <c r="AR536" s="9"/>
      <c r="AS536" s="9"/>
      <c r="AT536" s="9"/>
      <c r="AU536" s="9"/>
    </row>
    <row r="537" spans="1:47" ht="15.75" customHeight="1">
      <c r="A537" s="9"/>
      <c r="B537" s="9"/>
      <c r="C537" s="9"/>
      <c r="D537" s="9"/>
      <c r="E537" s="9"/>
      <c r="F537" s="67"/>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row>
    <row r="538" spans="1:47" ht="15.75" customHeight="1">
      <c r="A538" s="9"/>
      <c r="B538" s="9"/>
      <c r="C538" s="9"/>
      <c r="D538" s="9"/>
      <c r="E538" s="9"/>
      <c r="F538" s="67"/>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row>
    <row r="539" spans="1:47" ht="15.75" customHeight="1">
      <c r="A539" s="9"/>
      <c r="B539" s="9"/>
      <c r="C539" s="9"/>
      <c r="D539" s="9"/>
      <c r="E539" s="9"/>
      <c r="F539" s="67"/>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row>
    <row r="540" spans="1:47" ht="15.75" customHeight="1">
      <c r="A540" s="9"/>
      <c r="B540" s="9"/>
      <c r="C540" s="9"/>
      <c r="D540" s="9"/>
      <c r="E540" s="9"/>
      <c r="F540" s="67"/>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row>
    <row r="541" spans="1:47" ht="15.75" customHeight="1">
      <c r="A541" s="9"/>
      <c r="B541" s="9"/>
      <c r="C541" s="9"/>
      <c r="D541" s="9"/>
      <c r="E541" s="9"/>
      <c r="F541" s="67"/>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row>
    <row r="542" spans="1:47" ht="15.75" customHeight="1">
      <c r="A542" s="9"/>
      <c r="B542" s="9"/>
      <c r="C542" s="9"/>
      <c r="D542" s="9"/>
      <c r="E542" s="9"/>
      <c r="F542" s="67"/>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row>
    <row r="543" spans="1:47" ht="15.75" customHeight="1">
      <c r="A543" s="9"/>
      <c r="B543" s="9"/>
      <c r="C543" s="9"/>
      <c r="D543" s="9"/>
      <c r="E543" s="9"/>
      <c r="F543" s="67"/>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row>
    <row r="544" spans="1:47" ht="15.75" customHeight="1">
      <c r="A544" s="9"/>
      <c r="B544" s="9"/>
      <c r="C544" s="9"/>
      <c r="D544" s="9"/>
      <c r="E544" s="9"/>
      <c r="F544" s="67"/>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row>
    <row r="545" spans="1:47" ht="15.75" customHeight="1">
      <c r="A545" s="9"/>
      <c r="B545" s="9"/>
      <c r="C545" s="9"/>
      <c r="D545" s="9"/>
      <c r="E545" s="9"/>
      <c r="F545" s="67"/>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row>
    <row r="546" spans="1:47" ht="15.75" customHeight="1">
      <c r="A546" s="9"/>
      <c r="B546" s="9"/>
      <c r="C546" s="9"/>
      <c r="D546" s="9"/>
      <c r="E546" s="9"/>
      <c r="F546" s="67"/>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row>
    <row r="547" spans="1:47" ht="15.75" customHeight="1">
      <c r="A547" s="9"/>
      <c r="B547" s="9"/>
      <c r="C547" s="9"/>
      <c r="D547" s="9"/>
      <c r="E547" s="9"/>
      <c r="F547" s="67"/>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row>
    <row r="548" spans="1:47" ht="15.75" customHeight="1">
      <c r="A548" s="9"/>
      <c r="B548" s="9"/>
      <c r="C548" s="9"/>
      <c r="D548" s="9"/>
      <c r="E548" s="9"/>
      <c r="F548" s="67"/>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row>
    <row r="549" spans="1:47" ht="15.75" customHeight="1">
      <c r="A549" s="9"/>
      <c r="B549" s="9"/>
      <c r="C549" s="9"/>
      <c r="D549" s="9"/>
      <c r="E549" s="9"/>
      <c r="F549" s="67"/>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row>
    <row r="550" spans="1:47" ht="15.75" customHeight="1">
      <c r="A550" s="9"/>
      <c r="B550" s="9"/>
      <c r="C550" s="9"/>
      <c r="D550" s="9"/>
      <c r="E550" s="9"/>
      <c r="F550" s="67"/>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row>
    <row r="551" spans="1:47" ht="15.75" customHeight="1">
      <c r="A551" s="9"/>
      <c r="B551" s="9"/>
      <c r="C551" s="9"/>
      <c r="D551" s="9"/>
      <c r="E551" s="9"/>
      <c r="F551" s="67"/>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row>
    <row r="552" spans="1:47" ht="15.75" customHeight="1">
      <c r="A552" s="9"/>
      <c r="B552" s="9"/>
      <c r="C552" s="9"/>
      <c r="D552" s="9"/>
      <c r="E552" s="9"/>
      <c r="F552" s="67"/>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row>
    <row r="553" spans="1:47" ht="15.75" customHeight="1">
      <c r="A553" s="9"/>
      <c r="B553" s="9"/>
      <c r="C553" s="9"/>
      <c r="D553" s="9"/>
      <c r="E553" s="9"/>
      <c r="F553" s="67"/>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row>
    <row r="554" spans="1:47" ht="15.75" customHeight="1">
      <c r="A554" s="9"/>
      <c r="B554" s="9"/>
      <c r="C554" s="9"/>
      <c r="D554" s="9"/>
      <c r="E554" s="9"/>
      <c r="F554" s="67"/>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row>
    <row r="555" spans="1:47" ht="15.75" customHeight="1">
      <c r="A555" s="9"/>
      <c r="B555" s="9"/>
      <c r="C555" s="9"/>
      <c r="D555" s="9"/>
      <c r="E555" s="9"/>
      <c r="F555" s="67"/>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row>
    <row r="556" spans="1:47" ht="15.75" customHeight="1">
      <c r="A556" s="9"/>
      <c r="B556" s="9"/>
      <c r="C556" s="9"/>
      <c r="D556" s="9"/>
      <c r="E556" s="9"/>
      <c r="F556" s="67"/>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row>
    <row r="557" spans="1:47" ht="15.75" customHeight="1">
      <c r="A557" s="9"/>
      <c r="B557" s="9"/>
      <c r="C557" s="9"/>
      <c r="D557" s="9"/>
      <c r="E557" s="9"/>
      <c r="F557" s="67"/>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row>
    <row r="558" spans="1:47" ht="15.75" customHeight="1">
      <c r="A558" s="9"/>
      <c r="B558" s="9"/>
      <c r="C558" s="9"/>
      <c r="D558" s="9"/>
      <c r="E558" s="9"/>
      <c r="F558" s="67"/>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row>
    <row r="559" spans="1:47" ht="15.75" customHeight="1">
      <c r="A559" s="9"/>
      <c r="B559" s="9"/>
      <c r="C559" s="9"/>
      <c r="D559" s="9"/>
      <c r="E559" s="9"/>
      <c r="F559" s="67"/>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row>
    <row r="560" spans="1:47" ht="15.75" customHeight="1">
      <c r="A560" s="9"/>
      <c r="B560" s="9"/>
      <c r="C560" s="9"/>
      <c r="D560" s="9"/>
      <c r="E560" s="9"/>
      <c r="F560" s="67"/>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row>
    <row r="561" spans="1:47" ht="15.75" customHeight="1">
      <c r="A561" s="9"/>
      <c r="B561" s="9"/>
      <c r="C561" s="9"/>
      <c r="D561" s="9"/>
      <c r="E561" s="9"/>
      <c r="F561" s="67"/>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row>
    <row r="562" spans="1:47" ht="15.75" customHeight="1">
      <c r="A562" s="9"/>
      <c r="B562" s="9"/>
      <c r="C562" s="9"/>
      <c r="D562" s="9"/>
      <c r="E562" s="9"/>
      <c r="F562" s="67"/>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row>
    <row r="563" spans="1:47" ht="15.75" customHeight="1">
      <c r="A563" s="9"/>
      <c r="B563" s="9"/>
      <c r="C563" s="9"/>
      <c r="D563" s="9"/>
      <c r="E563" s="9"/>
      <c r="F563" s="67"/>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row>
    <row r="564" spans="1:47" ht="15.75" customHeight="1">
      <c r="A564" s="9"/>
      <c r="B564" s="9"/>
      <c r="C564" s="9"/>
      <c r="D564" s="9"/>
      <c r="E564" s="9"/>
      <c r="F564" s="67"/>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row>
    <row r="565" spans="1:47" ht="15.75" customHeight="1">
      <c r="A565" s="9"/>
      <c r="B565" s="9"/>
      <c r="C565" s="9"/>
      <c r="D565" s="9"/>
      <c r="E565" s="9"/>
      <c r="F565" s="67"/>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row>
    <row r="566" spans="1:47" ht="15.75" customHeight="1">
      <c r="A566" s="9"/>
      <c r="B566" s="9"/>
      <c r="C566" s="9"/>
      <c r="D566" s="9"/>
      <c r="E566" s="9"/>
      <c r="F566" s="67"/>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row>
    <row r="567" spans="1:47" ht="15.75" customHeight="1">
      <c r="A567" s="9"/>
      <c r="B567" s="9"/>
      <c r="C567" s="9"/>
      <c r="D567" s="9"/>
      <c r="E567" s="9"/>
      <c r="F567" s="67"/>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row>
    <row r="568" spans="1:47" ht="15.75" customHeight="1">
      <c r="A568" s="9"/>
      <c r="B568" s="9"/>
      <c r="C568" s="9"/>
      <c r="D568" s="9"/>
      <c r="E568" s="9"/>
      <c r="F568" s="67"/>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row>
    <row r="569" spans="1:47" ht="15.75" customHeight="1">
      <c r="A569" s="9"/>
      <c r="B569" s="9"/>
      <c r="C569" s="9"/>
      <c r="D569" s="9"/>
      <c r="E569" s="9"/>
      <c r="F569" s="67"/>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row>
    <row r="570" spans="1:47" ht="15.75" customHeight="1">
      <c r="A570" s="9"/>
      <c r="B570" s="9"/>
      <c r="C570" s="9"/>
      <c r="D570" s="9"/>
      <c r="E570" s="9"/>
      <c r="F570" s="67"/>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row>
    <row r="571" spans="1:47" ht="15.75" customHeight="1">
      <c r="A571" s="9"/>
      <c r="B571" s="9"/>
      <c r="C571" s="9"/>
      <c r="D571" s="9"/>
      <c r="E571" s="9"/>
      <c r="F571" s="67"/>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row>
    <row r="572" spans="1:47" ht="15.75" customHeight="1">
      <c r="A572" s="9"/>
      <c r="B572" s="9"/>
      <c r="C572" s="9"/>
      <c r="D572" s="9"/>
      <c r="E572" s="9"/>
      <c r="F572" s="67"/>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row>
    <row r="573" spans="1:47" ht="15.75" customHeight="1">
      <c r="A573" s="9"/>
      <c r="B573" s="9"/>
      <c r="C573" s="9"/>
      <c r="D573" s="9"/>
      <c r="E573" s="9"/>
      <c r="F573" s="67"/>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row>
    <row r="574" spans="1:47" ht="15.75" customHeight="1">
      <c r="A574" s="9"/>
      <c r="B574" s="9"/>
      <c r="C574" s="9"/>
      <c r="D574" s="9"/>
      <c r="E574" s="9"/>
      <c r="F574" s="67"/>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row>
    <row r="575" spans="1:47" ht="15.75" customHeight="1">
      <c r="A575" s="9"/>
      <c r="B575" s="9"/>
      <c r="C575" s="9"/>
      <c r="D575" s="9"/>
      <c r="E575" s="9"/>
      <c r="F575" s="67"/>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row>
    <row r="576" spans="1:47" ht="15.75" customHeight="1">
      <c r="A576" s="9"/>
      <c r="B576" s="9"/>
      <c r="C576" s="9"/>
      <c r="D576" s="9"/>
      <c r="E576" s="9"/>
      <c r="F576" s="67"/>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row>
    <row r="577" spans="1:47" ht="15.75" customHeight="1">
      <c r="A577" s="9"/>
      <c r="B577" s="9"/>
      <c r="C577" s="9"/>
      <c r="D577" s="9"/>
      <c r="E577" s="9"/>
      <c r="F577" s="67"/>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row>
    <row r="578" spans="1:47" ht="15.75" customHeight="1">
      <c r="A578" s="9"/>
      <c r="B578" s="9"/>
      <c r="C578" s="9"/>
      <c r="D578" s="9"/>
      <c r="E578" s="9"/>
      <c r="F578" s="67"/>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row>
    <row r="579" spans="1:47" ht="15.75" customHeight="1">
      <c r="A579" s="9"/>
      <c r="B579" s="9"/>
      <c r="C579" s="9"/>
      <c r="D579" s="9"/>
      <c r="E579" s="9"/>
      <c r="F579" s="67"/>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row>
    <row r="580" spans="1:47" ht="15.75" customHeight="1">
      <c r="A580" s="9"/>
      <c r="B580" s="9"/>
      <c r="C580" s="9"/>
      <c r="D580" s="9"/>
      <c r="E580" s="9"/>
      <c r="F580" s="67"/>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row>
    <row r="581" spans="1:47" ht="15.75" customHeight="1">
      <c r="A581" s="9"/>
      <c r="B581" s="9"/>
      <c r="C581" s="9"/>
      <c r="D581" s="9"/>
      <c r="E581" s="9"/>
      <c r="F581" s="67"/>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row>
    <row r="582" spans="1:47" ht="15.75" customHeight="1">
      <c r="A582" s="9"/>
      <c r="B582" s="9"/>
      <c r="C582" s="9"/>
      <c r="D582" s="9"/>
      <c r="E582" s="9"/>
      <c r="F582" s="67"/>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row>
    <row r="583" spans="1:47" ht="15.75" customHeight="1">
      <c r="A583" s="9"/>
      <c r="B583" s="9"/>
      <c r="C583" s="9"/>
      <c r="D583" s="9"/>
      <c r="E583" s="9"/>
      <c r="F583" s="67"/>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row>
    <row r="584" spans="1:47" ht="15.75" customHeight="1">
      <c r="A584" s="9"/>
      <c r="B584" s="9"/>
      <c r="C584" s="9"/>
      <c r="D584" s="9"/>
      <c r="E584" s="9"/>
      <c r="F584" s="67"/>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row>
    <row r="585" spans="1:47" ht="15.75" customHeight="1">
      <c r="A585" s="9"/>
      <c r="B585" s="9"/>
      <c r="C585" s="9"/>
      <c r="D585" s="9"/>
      <c r="E585" s="9"/>
      <c r="F585" s="67"/>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row>
    <row r="586" spans="1:47" ht="15.75" customHeight="1">
      <c r="A586" s="9"/>
      <c r="B586" s="9"/>
      <c r="C586" s="9"/>
      <c r="D586" s="9"/>
      <c r="E586" s="9"/>
      <c r="F586" s="67"/>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row>
    <row r="587" spans="1:47" ht="15.75" customHeight="1">
      <c r="A587" s="9"/>
      <c r="B587" s="9"/>
      <c r="C587" s="9"/>
      <c r="D587" s="9"/>
      <c r="E587" s="9"/>
      <c r="F587" s="67"/>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row>
    <row r="588" spans="1:47" ht="15.75" customHeight="1">
      <c r="A588" s="9"/>
      <c r="B588" s="9"/>
      <c r="C588" s="9"/>
      <c r="D588" s="9"/>
      <c r="E588" s="9"/>
      <c r="F588" s="67"/>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c r="AL588" s="9"/>
      <c r="AM588" s="9"/>
      <c r="AN588" s="9"/>
      <c r="AO588" s="9"/>
      <c r="AP588" s="9"/>
      <c r="AQ588" s="9"/>
      <c r="AR588" s="9"/>
      <c r="AS588" s="9"/>
      <c r="AT588" s="9"/>
      <c r="AU588" s="9"/>
    </row>
    <row r="589" spans="1:47" ht="15.75" customHeight="1">
      <c r="A589" s="9"/>
      <c r="B589" s="9"/>
      <c r="C589" s="9"/>
      <c r="D589" s="9"/>
      <c r="E589" s="9"/>
      <c r="F589" s="67"/>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row>
    <row r="590" spans="1:47" ht="15.75" customHeight="1">
      <c r="A590" s="9"/>
      <c r="B590" s="9"/>
      <c r="C590" s="9"/>
      <c r="D590" s="9"/>
      <c r="E590" s="9"/>
      <c r="F590" s="67"/>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row>
    <row r="591" spans="1:47" ht="15.75" customHeight="1">
      <c r="A591" s="9"/>
      <c r="B591" s="9"/>
      <c r="C591" s="9"/>
      <c r="D591" s="9"/>
      <c r="E591" s="9"/>
      <c r="F591" s="67"/>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row>
    <row r="592" spans="1:47" ht="15.75" customHeight="1">
      <c r="A592" s="9"/>
      <c r="B592" s="9"/>
      <c r="C592" s="9"/>
      <c r="D592" s="9"/>
      <c r="E592" s="9"/>
      <c r="F592" s="67"/>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row>
    <row r="593" spans="1:47" ht="15.75" customHeight="1">
      <c r="A593" s="9"/>
      <c r="B593" s="9"/>
      <c r="C593" s="9"/>
      <c r="D593" s="9"/>
      <c r="E593" s="9"/>
      <c r="F593" s="67"/>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row>
    <row r="594" spans="1:47" ht="15.75" customHeight="1">
      <c r="A594" s="9"/>
      <c r="B594" s="9"/>
      <c r="C594" s="9"/>
      <c r="D594" s="9"/>
      <c r="E594" s="9"/>
      <c r="F594" s="67"/>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row>
    <row r="595" spans="1:47" ht="15.75" customHeight="1">
      <c r="A595" s="9"/>
      <c r="B595" s="9"/>
      <c r="C595" s="9"/>
      <c r="D595" s="9"/>
      <c r="E595" s="9"/>
      <c r="F595" s="67"/>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row>
    <row r="596" spans="1:47" ht="15.75" customHeight="1">
      <c r="A596" s="9"/>
      <c r="B596" s="9"/>
      <c r="C596" s="9"/>
      <c r="D596" s="9"/>
      <c r="E596" s="9"/>
      <c r="F596" s="67"/>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row>
    <row r="597" spans="1:47" ht="15.75" customHeight="1">
      <c r="A597" s="9"/>
      <c r="B597" s="9"/>
      <c r="C597" s="9"/>
      <c r="D597" s="9"/>
      <c r="E597" s="9"/>
      <c r="F597" s="67"/>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row>
    <row r="598" spans="1:47" ht="15.75" customHeight="1">
      <c r="A598" s="9"/>
      <c r="B598" s="9"/>
      <c r="C598" s="9"/>
      <c r="D598" s="9"/>
      <c r="E598" s="9"/>
      <c r="F598" s="67"/>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row>
    <row r="599" spans="1:47" ht="15.75" customHeight="1">
      <c r="A599" s="9"/>
      <c r="B599" s="9"/>
      <c r="C599" s="9"/>
      <c r="D599" s="9"/>
      <c r="E599" s="9"/>
      <c r="F599" s="67"/>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row>
    <row r="600" spans="1:47" ht="15.75" customHeight="1">
      <c r="A600" s="9"/>
      <c r="B600" s="9"/>
      <c r="C600" s="9"/>
      <c r="D600" s="9"/>
      <c r="E600" s="9"/>
      <c r="F600" s="67"/>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row>
    <row r="601" spans="1:47" ht="15.75" customHeight="1">
      <c r="A601" s="9"/>
      <c r="B601" s="9"/>
      <c r="C601" s="9"/>
      <c r="D601" s="9"/>
      <c r="E601" s="9"/>
      <c r="F601" s="67"/>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row>
    <row r="602" spans="1:47" ht="15.75" customHeight="1">
      <c r="A602" s="9"/>
      <c r="B602" s="9"/>
      <c r="C602" s="9"/>
      <c r="D602" s="9"/>
      <c r="E602" s="9"/>
      <c r="F602" s="67"/>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row>
    <row r="603" spans="1:47" ht="15.75" customHeight="1">
      <c r="A603" s="9"/>
      <c r="B603" s="9"/>
      <c r="C603" s="9"/>
      <c r="D603" s="9"/>
      <c r="E603" s="9"/>
      <c r="F603" s="67"/>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row>
    <row r="604" spans="1:47" ht="15.75" customHeight="1">
      <c r="A604" s="9"/>
      <c r="B604" s="9"/>
      <c r="C604" s="9"/>
      <c r="D604" s="9"/>
      <c r="E604" s="9"/>
      <c r="F604" s="67"/>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row>
    <row r="605" spans="1:47" ht="15.75" customHeight="1">
      <c r="A605" s="9"/>
      <c r="B605" s="9"/>
      <c r="C605" s="9"/>
      <c r="D605" s="9"/>
      <c r="E605" s="9"/>
      <c r="F605" s="67"/>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row>
    <row r="606" spans="1:47" ht="15.75" customHeight="1">
      <c r="A606" s="9"/>
      <c r="B606" s="9"/>
      <c r="C606" s="9"/>
      <c r="D606" s="9"/>
      <c r="E606" s="9"/>
      <c r="F606" s="67"/>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row>
    <row r="607" spans="1:47" ht="15.75" customHeight="1">
      <c r="A607" s="9"/>
      <c r="B607" s="9"/>
      <c r="C607" s="9"/>
      <c r="D607" s="9"/>
      <c r="E607" s="9"/>
      <c r="F607" s="67"/>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row>
    <row r="608" spans="1:47" ht="15.75" customHeight="1">
      <c r="A608" s="9"/>
      <c r="B608" s="9"/>
      <c r="C608" s="9"/>
      <c r="D608" s="9"/>
      <c r="E608" s="9"/>
      <c r="F608" s="67"/>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row>
    <row r="609" spans="1:47" ht="15.75" customHeight="1">
      <c r="A609" s="9"/>
      <c r="B609" s="9"/>
      <c r="C609" s="9"/>
      <c r="D609" s="9"/>
      <c r="E609" s="9"/>
      <c r="F609" s="67"/>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row>
    <row r="610" spans="1:47" ht="15.75" customHeight="1">
      <c r="A610" s="9"/>
      <c r="B610" s="9"/>
      <c r="C610" s="9"/>
      <c r="D610" s="9"/>
      <c r="E610" s="9"/>
      <c r="F610" s="67"/>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row>
    <row r="611" spans="1:47" ht="15.75" customHeight="1">
      <c r="A611" s="9"/>
      <c r="B611" s="9"/>
      <c r="C611" s="9"/>
      <c r="D611" s="9"/>
      <c r="E611" s="9"/>
      <c r="F611" s="67"/>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row>
    <row r="612" spans="1:47" ht="15.75" customHeight="1">
      <c r="A612" s="9"/>
      <c r="B612" s="9"/>
      <c r="C612" s="9"/>
      <c r="D612" s="9"/>
      <c r="E612" s="9"/>
      <c r="F612" s="67"/>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row>
    <row r="613" spans="1:47" ht="15.75" customHeight="1">
      <c r="A613" s="9"/>
      <c r="B613" s="9"/>
      <c r="C613" s="9"/>
      <c r="D613" s="9"/>
      <c r="E613" s="9"/>
      <c r="F613" s="67"/>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row>
    <row r="614" spans="1:47" ht="15.75" customHeight="1">
      <c r="A614" s="9"/>
      <c r="B614" s="9"/>
      <c r="C614" s="9"/>
      <c r="D614" s="9"/>
      <c r="E614" s="9"/>
      <c r="F614" s="67"/>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row>
    <row r="615" spans="1:47" ht="15.75" customHeight="1">
      <c r="A615" s="9"/>
      <c r="B615" s="9"/>
      <c r="C615" s="9"/>
      <c r="D615" s="9"/>
      <c r="E615" s="9"/>
      <c r="F615" s="67"/>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row>
    <row r="616" spans="1:47" ht="15.75" customHeight="1">
      <c r="A616" s="9"/>
      <c r="B616" s="9"/>
      <c r="C616" s="9"/>
      <c r="D616" s="9"/>
      <c r="E616" s="9"/>
      <c r="F616" s="67"/>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row>
    <row r="617" spans="1:47" ht="15.75" customHeight="1">
      <c r="A617" s="9"/>
      <c r="B617" s="9"/>
      <c r="C617" s="9"/>
      <c r="D617" s="9"/>
      <c r="E617" s="9"/>
      <c r="F617" s="67"/>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row>
    <row r="618" spans="1:47" ht="15.75" customHeight="1">
      <c r="A618" s="9"/>
      <c r="B618" s="9"/>
      <c r="C618" s="9"/>
      <c r="D618" s="9"/>
      <c r="E618" s="9"/>
      <c r="F618" s="67"/>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row>
    <row r="619" spans="1:47" ht="15.75" customHeight="1">
      <c r="A619" s="9"/>
      <c r="B619" s="9"/>
      <c r="C619" s="9"/>
      <c r="D619" s="9"/>
      <c r="E619" s="9"/>
      <c r="F619" s="67"/>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row>
    <row r="620" spans="1:47" ht="15.75" customHeight="1">
      <c r="A620" s="9"/>
      <c r="B620" s="9"/>
      <c r="C620" s="9"/>
      <c r="D620" s="9"/>
      <c r="E620" s="9"/>
      <c r="F620" s="67"/>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row>
    <row r="621" spans="1:47" ht="15.75" customHeight="1">
      <c r="A621" s="9"/>
      <c r="B621" s="9"/>
      <c r="C621" s="9"/>
      <c r="D621" s="9"/>
      <c r="E621" s="9"/>
      <c r="F621" s="67"/>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row>
    <row r="622" spans="1:47" ht="15.75" customHeight="1">
      <c r="A622" s="9"/>
      <c r="B622" s="9"/>
      <c r="C622" s="9"/>
      <c r="D622" s="9"/>
      <c r="E622" s="9"/>
      <c r="F622" s="67"/>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row>
    <row r="623" spans="1:47" ht="15.75" customHeight="1">
      <c r="A623" s="9"/>
      <c r="B623" s="9"/>
      <c r="C623" s="9"/>
      <c r="D623" s="9"/>
      <c r="E623" s="9"/>
      <c r="F623" s="67"/>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row>
    <row r="624" spans="1:47" ht="15.75" customHeight="1">
      <c r="A624" s="9"/>
      <c r="B624" s="9"/>
      <c r="C624" s="9"/>
      <c r="D624" s="9"/>
      <c r="E624" s="9"/>
      <c r="F624" s="67"/>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row>
    <row r="625" spans="1:47" ht="15.75" customHeight="1">
      <c r="A625" s="9"/>
      <c r="B625" s="9"/>
      <c r="C625" s="9"/>
      <c r="D625" s="9"/>
      <c r="E625" s="9"/>
      <c r="F625" s="67"/>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row>
    <row r="626" spans="1:47" ht="15.75" customHeight="1">
      <c r="A626" s="9"/>
      <c r="B626" s="9"/>
      <c r="C626" s="9"/>
      <c r="D626" s="9"/>
      <c r="E626" s="9"/>
      <c r="F626" s="67"/>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row>
    <row r="627" spans="1:47" ht="15.75" customHeight="1">
      <c r="A627" s="9"/>
      <c r="B627" s="9"/>
      <c r="C627" s="9"/>
      <c r="D627" s="9"/>
      <c r="E627" s="9"/>
      <c r="F627" s="67"/>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row>
    <row r="628" spans="1:47" ht="15.75" customHeight="1">
      <c r="A628" s="9"/>
      <c r="B628" s="9"/>
      <c r="C628" s="9"/>
      <c r="D628" s="9"/>
      <c r="E628" s="9"/>
      <c r="F628" s="67"/>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row>
    <row r="629" spans="1:47" ht="15.75" customHeight="1">
      <c r="A629" s="9"/>
      <c r="B629" s="9"/>
      <c r="C629" s="9"/>
      <c r="D629" s="9"/>
      <c r="E629" s="9"/>
      <c r="F629" s="67"/>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row>
    <row r="630" spans="1:47" ht="15.75" customHeight="1">
      <c r="A630" s="9"/>
      <c r="B630" s="9"/>
      <c r="C630" s="9"/>
      <c r="D630" s="9"/>
      <c r="E630" s="9"/>
      <c r="F630" s="67"/>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row>
    <row r="631" spans="1:47" ht="15.75" customHeight="1">
      <c r="A631" s="9"/>
      <c r="B631" s="9"/>
      <c r="C631" s="9"/>
      <c r="D631" s="9"/>
      <c r="E631" s="9"/>
      <c r="F631" s="67"/>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row>
    <row r="632" spans="1:47" ht="15.75" customHeight="1">
      <c r="A632" s="9"/>
      <c r="B632" s="9"/>
      <c r="C632" s="9"/>
      <c r="D632" s="9"/>
      <c r="E632" s="9"/>
      <c r="F632" s="67"/>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row>
    <row r="633" spans="1:47" ht="15.75" customHeight="1">
      <c r="A633" s="9"/>
      <c r="B633" s="9"/>
      <c r="C633" s="9"/>
      <c r="D633" s="9"/>
      <c r="E633" s="9"/>
      <c r="F633" s="67"/>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row>
    <row r="634" spans="1:47" ht="15.75" customHeight="1">
      <c r="A634" s="9"/>
      <c r="B634" s="9"/>
      <c r="C634" s="9"/>
      <c r="D634" s="9"/>
      <c r="E634" s="9"/>
      <c r="F634" s="67"/>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row>
    <row r="635" spans="1:47" ht="15.75" customHeight="1">
      <c r="A635" s="9"/>
      <c r="B635" s="9"/>
      <c r="C635" s="9"/>
      <c r="D635" s="9"/>
      <c r="E635" s="9"/>
      <c r="F635" s="67"/>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row>
    <row r="636" spans="1:47" ht="15.75" customHeight="1">
      <c r="A636" s="9"/>
      <c r="B636" s="9"/>
      <c r="C636" s="9"/>
      <c r="D636" s="9"/>
      <c r="E636" s="9"/>
      <c r="F636" s="67"/>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row>
    <row r="637" spans="1:47" ht="15.75" customHeight="1">
      <c r="A637" s="9"/>
      <c r="B637" s="9"/>
      <c r="C637" s="9"/>
      <c r="D637" s="9"/>
      <c r="E637" s="9"/>
      <c r="F637" s="67"/>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row>
    <row r="638" spans="1:47" ht="15.75" customHeight="1">
      <c r="A638" s="9"/>
      <c r="B638" s="9"/>
      <c r="C638" s="9"/>
      <c r="D638" s="9"/>
      <c r="E638" s="9"/>
      <c r="F638" s="67"/>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row>
    <row r="639" spans="1:47" ht="15.75" customHeight="1">
      <c r="A639" s="9"/>
      <c r="B639" s="9"/>
      <c r="C639" s="9"/>
      <c r="D639" s="9"/>
      <c r="E639" s="9"/>
      <c r="F639" s="67"/>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row>
    <row r="640" spans="1:47" ht="15.75" customHeight="1">
      <c r="A640" s="9"/>
      <c r="B640" s="9"/>
      <c r="C640" s="9"/>
      <c r="D640" s="9"/>
      <c r="E640" s="9"/>
      <c r="F640" s="67"/>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row>
    <row r="641" spans="1:47" ht="15.75" customHeight="1">
      <c r="A641" s="9"/>
      <c r="B641" s="9"/>
      <c r="C641" s="9"/>
      <c r="D641" s="9"/>
      <c r="E641" s="9"/>
      <c r="F641" s="67"/>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row>
    <row r="642" spans="1:47" ht="15.75" customHeight="1">
      <c r="A642" s="9"/>
      <c r="B642" s="9"/>
      <c r="C642" s="9"/>
      <c r="D642" s="9"/>
      <c r="E642" s="9"/>
      <c r="F642" s="67"/>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row>
    <row r="643" spans="1:47" ht="15.75" customHeight="1">
      <c r="A643" s="9"/>
      <c r="B643" s="9"/>
      <c r="C643" s="9"/>
      <c r="D643" s="9"/>
      <c r="E643" s="9"/>
      <c r="F643" s="67"/>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row>
    <row r="644" spans="1:47" ht="15.75" customHeight="1">
      <c r="A644" s="9"/>
      <c r="B644" s="9"/>
      <c r="C644" s="9"/>
      <c r="D644" s="9"/>
      <c r="E644" s="9"/>
      <c r="F644" s="67"/>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row>
    <row r="645" spans="1:47" ht="15.75" customHeight="1">
      <c r="A645" s="9"/>
      <c r="B645" s="9"/>
      <c r="C645" s="9"/>
      <c r="D645" s="9"/>
      <c r="E645" s="9"/>
      <c r="F645" s="67"/>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row>
    <row r="646" spans="1:47" ht="15.75" customHeight="1">
      <c r="A646" s="9"/>
      <c r="B646" s="9"/>
      <c r="C646" s="9"/>
      <c r="D646" s="9"/>
      <c r="E646" s="9"/>
      <c r="F646" s="67"/>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row>
    <row r="647" spans="1:47" ht="15.75" customHeight="1">
      <c r="A647" s="9"/>
      <c r="B647" s="9"/>
      <c r="C647" s="9"/>
      <c r="D647" s="9"/>
      <c r="E647" s="9"/>
      <c r="F647" s="67"/>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row>
    <row r="648" spans="1:47" ht="15.75" customHeight="1">
      <c r="A648" s="9"/>
      <c r="B648" s="9"/>
      <c r="C648" s="9"/>
      <c r="D648" s="9"/>
      <c r="E648" s="9"/>
      <c r="F648" s="67"/>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row>
    <row r="649" spans="1:47" ht="15.75" customHeight="1">
      <c r="A649" s="9"/>
      <c r="B649" s="9"/>
      <c r="C649" s="9"/>
      <c r="D649" s="9"/>
      <c r="E649" s="9"/>
      <c r="F649" s="67"/>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row>
    <row r="650" spans="1:47" ht="15.75" customHeight="1">
      <c r="A650" s="9"/>
      <c r="B650" s="9"/>
      <c r="C650" s="9"/>
      <c r="D650" s="9"/>
      <c r="E650" s="9"/>
      <c r="F650" s="67"/>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row>
    <row r="651" spans="1:47" ht="15.75" customHeight="1">
      <c r="A651" s="9"/>
      <c r="B651" s="9"/>
      <c r="C651" s="9"/>
      <c r="D651" s="9"/>
      <c r="E651" s="9"/>
      <c r="F651" s="67"/>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row>
    <row r="652" spans="1:47" ht="15.75" customHeight="1">
      <c r="A652" s="9"/>
      <c r="B652" s="9"/>
      <c r="C652" s="9"/>
      <c r="D652" s="9"/>
      <c r="E652" s="9"/>
      <c r="F652" s="67"/>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row>
    <row r="653" spans="1:47" ht="15.75" customHeight="1">
      <c r="A653" s="9"/>
      <c r="B653" s="9"/>
      <c r="C653" s="9"/>
      <c r="D653" s="9"/>
      <c r="E653" s="9"/>
      <c r="F653" s="67"/>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row>
    <row r="654" spans="1:47" ht="15.75" customHeight="1">
      <c r="A654" s="9"/>
      <c r="B654" s="9"/>
      <c r="C654" s="9"/>
      <c r="D654" s="9"/>
      <c r="E654" s="9"/>
      <c r="F654" s="67"/>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row>
    <row r="655" spans="1:47" ht="15.75" customHeight="1">
      <c r="A655" s="9"/>
      <c r="B655" s="9"/>
      <c r="C655" s="9"/>
      <c r="D655" s="9"/>
      <c r="E655" s="9"/>
      <c r="F655" s="67"/>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row>
    <row r="656" spans="1:47" ht="15.75" customHeight="1">
      <c r="A656" s="9"/>
      <c r="B656" s="9"/>
      <c r="C656" s="9"/>
      <c r="D656" s="9"/>
      <c r="E656" s="9"/>
      <c r="F656" s="67"/>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row>
    <row r="657" spans="1:47" ht="15.75" customHeight="1">
      <c r="A657" s="9"/>
      <c r="B657" s="9"/>
      <c r="C657" s="9"/>
      <c r="D657" s="9"/>
      <c r="E657" s="9"/>
      <c r="F657" s="67"/>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row>
    <row r="658" spans="1:47" ht="15.75" customHeight="1">
      <c r="A658" s="9"/>
      <c r="B658" s="9"/>
      <c r="C658" s="9"/>
      <c r="D658" s="9"/>
      <c r="E658" s="9"/>
      <c r="F658" s="67"/>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row>
    <row r="659" spans="1:47" ht="15.75" customHeight="1">
      <c r="A659" s="9"/>
      <c r="B659" s="9"/>
      <c r="C659" s="9"/>
      <c r="D659" s="9"/>
      <c r="E659" s="9"/>
      <c r="F659" s="67"/>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row>
    <row r="660" spans="1:47" ht="15.75" customHeight="1">
      <c r="A660" s="9"/>
      <c r="B660" s="9"/>
      <c r="C660" s="9"/>
      <c r="D660" s="9"/>
      <c r="E660" s="9"/>
      <c r="F660" s="67"/>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row>
    <row r="661" spans="1:47" ht="15.75" customHeight="1">
      <c r="A661" s="9"/>
      <c r="B661" s="9"/>
      <c r="C661" s="9"/>
      <c r="D661" s="9"/>
      <c r="E661" s="9"/>
      <c r="F661" s="67"/>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row>
    <row r="662" spans="1:47" ht="15.75" customHeight="1">
      <c r="A662" s="9"/>
      <c r="B662" s="9"/>
      <c r="C662" s="9"/>
      <c r="D662" s="9"/>
      <c r="E662" s="9"/>
      <c r="F662" s="67"/>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row>
    <row r="663" spans="1:47" ht="15.75" customHeight="1">
      <c r="A663" s="9"/>
      <c r="B663" s="9"/>
      <c r="C663" s="9"/>
      <c r="D663" s="9"/>
      <c r="E663" s="9"/>
      <c r="F663" s="67"/>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row>
    <row r="664" spans="1:47" ht="15.75" customHeight="1">
      <c r="A664" s="9"/>
      <c r="B664" s="9"/>
      <c r="C664" s="9"/>
      <c r="D664" s="9"/>
      <c r="E664" s="9"/>
      <c r="F664" s="67"/>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row>
    <row r="665" spans="1:47" ht="15.75" customHeight="1">
      <c r="A665" s="9"/>
      <c r="B665" s="9"/>
      <c r="C665" s="9"/>
      <c r="D665" s="9"/>
      <c r="E665" s="9"/>
      <c r="F665" s="67"/>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row>
    <row r="666" spans="1:47" ht="15.75" customHeight="1">
      <c r="A666" s="9"/>
      <c r="B666" s="9"/>
      <c r="C666" s="9"/>
      <c r="D666" s="9"/>
      <c r="E666" s="9"/>
      <c r="F666" s="67"/>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row>
    <row r="667" spans="1:47" ht="15.75" customHeight="1">
      <c r="A667" s="9"/>
      <c r="B667" s="9"/>
      <c r="C667" s="9"/>
      <c r="D667" s="9"/>
      <c r="E667" s="9"/>
      <c r="F667" s="67"/>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row>
    <row r="668" spans="1:47" ht="15.75" customHeight="1">
      <c r="A668" s="9"/>
      <c r="B668" s="9"/>
      <c r="C668" s="9"/>
      <c r="D668" s="9"/>
      <c r="E668" s="9"/>
      <c r="F668" s="67"/>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row>
    <row r="669" spans="1:47" ht="15.75" customHeight="1">
      <c r="A669" s="9"/>
      <c r="B669" s="9"/>
      <c r="C669" s="9"/>
      <c r="D669" s="9"/>
      <c r="E669" s="9"/>
      <c r="F669" s="67"/>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row>
    <row r="670" spans="1:47" ht="15.75" customHeight="1">
      <c r="A670" s="9"/>
      <c r="B670" s="9"/>
      <c r="C670" s="9"/>
      <c r="D670" s="9"/>
      <c r="E670" s="9"/>
      <c r="F670" s="67"/>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row>
    <row r="671" spans="1:47" ht="15.75" customHeight="1">
      <c r="A671" s="9"/>
      <c r="B671" s="9"/>
      <c r="C671" s="9"/>
      <c r="D671" s="9"/>
      <c r="E671" s="9"/>
      <c r="F671" s="67"/>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row>
    <row r="672" spans="1:47" ht="15.75" customHeight="1">
      <c r="A672" s="9"/>
      <c r="B672" s="9"/>
      <c r="C672" s="9"/>
      <c r="D672" s="9"/>
      <c r="E672" s="9"/>
      <c r="F672" s="67"/>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row>
    <row r="673" spans="1:47" ht="15.75" customHeight="1">
      <c r="A673" s="9"/>
      <c r="B673" s="9"/>
      <c r="C673" s="9"/>
      <c r="D673" s="9"/>
      <c r="E673" s="9"/>
      <c r="F673" s="67"/>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row>
    <row r="674" spans="1:47" ht="15.75" customHeight="1">
      <c r="A674" s="9"/>
      <c r="B674" s="9"/>
      <c r="C674" s="9"/>
      <c r="D674" s="9"/>
      <c r="E674" s="9"/>
      <c r="F674" s="67"/>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row>
    <row r="675" spans="1:47" ht="15.75" customHeight="1">
      <c r="A675" s="9"/>
      <c r="B675" s="9"/>
      <c r="C675" s="9"/>
      <c r="D675" s="9"/>
      <c r="E675" s="9"/>
      <c r="F675" s="67"/>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row>
    <row r="676" spans="1:47" ht="15.75" customHeight="1">
      <c r="A676" s="9"/>
      <c r="B676" s="9"/>
      <c r="C676" s="9"/>
      <c r="D676" s="9"/>
      <c r="E676" s="9"/>
      <c r="F676" s="67"/>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row>
    <row r="677" spans="1:47" ht="15.75" customHeight="1">
      <c r="A677" s="9"/>
      <c r="B677" s="9"/>
      <c r="C677" s="9"/>
      <c r="D677" s="9"/>
      <c r="E677" s="9"/>
      <c r="F677" s="67"/>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row>
    <row r="678" spans="1:47" ht="15.75" customHeight="1">
      <c r="A678" s="9"/>
      <c r="B678" s="9"/>
      <c r="C678" s="9"/>
      <c r="D678" s="9"/>
      <c r="E678" s="9"/>
      <c r="F678" s="67"/>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row>
    <row r="679" spans="1:47" ht="15.75" customHeight="1">
      <c r="A679" s="9"/>
      <c r="B679" s="9"/>
      <c r="C679" s="9"/>
      <c r="D679" s="9"/>
      <c r="E679" s="9"/>
      <c r="F679" s="67"/>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row>
    <row r="680" spans="1:47" ht="15.75" customHeight="1">
      <c r="A680" s="9"/>
      <c r="B680" s="9"/>
      <c r="C680" s="9"/>
      <c r="D680" s="9"/>
      <c r="E680" s="9"/>
      <c r="F680" s="67"/>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row>
    <row r="681" spans="1:47" ht="15.75" customHeight="1">
      <c r="A681" s="9"/>
      <c r="B681" s="9"/>
      <c r="C681" s="9"/>
      <c r="D681" s="9"/>
      <c r="E681" s="9"/>
      <c r="F681" s="67"/>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row>
    <row r="682" spans="1:47" ht="15.75" customHeight="1">
      <c r="A682" s="9"/>
      <c r="B682" s="9"/>
      <c r="C682" s="9"/>
      <c r="D682" s="9"/>
      <c r="E682" s="9"/>
      <c r="F682" s="67"/>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row>
    <row r="683" spans="1:47" ht="15.75" customHeight="1">
      <c r="A683" s="9"/>
      <c r="B683" s="9"/>
      <c r="C683" s="9"/>
      <c r="D683" s="9"/>
      <c r="E683" s="9"/>
      <c r="F683" s="67"/>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row>
    <row r="684" spans="1:47" ht="15.75" customHeight="1">
      <c r="A684" s="9"/>
      <c r="B684" s="9"/>
      <c r="C684" s="9"/>
      <c r="D684" s="9"/>
      <c r="E684" s="9"/>
      <c r="F684" s="67"/>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row>
    <row r="685" spans="1:47" ht="15.75" customHeight="1">
      <c r="A685" s="9"/>
      <c r="B685" s="9"/>
      <c r="C685" s="9"/>
      <c r="D685" s="9"/>
      <c r="E685" s="9"/>
      <c r="F685" s="67"/>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row>
    <row r="686" spans="1:47" ht="15.75" customHeight="1">
      <c r="A686" s="9"/>
      <c r="B686" s="9"/>
      <c r="C686" s="9"/>
      <c r="D686" s="9"/>
      <c r="E686" s="9"/>
      <c r="F686" s="67"/>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row>
    <row r="687" spans="1:47" ht="15.75" customHeight="1">
      <c r="A687" s="9"/>
      <c r="B687" s="9"/>
      <c r="C687" s="9"/>
      <c r="D687" s="9"/>
      <c r="E687" s="9"/>
      <c r="F687" s="67"/>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row>
    <row r="688" spans="1:47" ht="15.75" customHeight="1">
      <c r="A688" s="9"/>
      <c r="B688" s="9"/>
      <c r="C688" s="9"/>
      <c r="D688" s="9"/>
      <c r="E688" s="9"/>
      <c r="F688" s="67"/>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row>
    <row r="689" spans="1:47" ht="15.75" customHeight="1">
      <c r="A689" s="9"/>
      <c r="B689" s="9"/>
      <c r="C689" s="9"/>
      <c r="D689" s="9"/>
      <c r="E689" s="9"/>
      <c r="F689" s="67"/>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row>
    <row r="690" spans="1:47" ht="15.75" customHeight="1">
      <c r="A690" s="9"/>
      <c r="B690" s="9"/>
      <c r="C690" s="9"/>
      <c r="D690" s="9"/>
      <c r="E690" s="9"/>
      <c r="F690" s="67"/>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row>
    <row r="691" spans="1:47" ht="15.75" customHeight="1">
      <c r="A691" s="9"/>
      <c r="B691" s="9"/>
      <c r="C691" s="9"/>
      <c r="D691" s="9"/>
      <c r="E691" s="9"/>
      <c r="F691" s="67"/>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row>
    <row r="692" spans="1:47" ht="15.75" customHeight="1">
      <c r="A692" s="9"/>
      <c r="B692" s="9"/>
      <c r="C692" s="9"/>
      <c r="D692" s="9"/>
      <c r="E692" s="9"/>
      <c r="F692" s="67"/>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row>
    <row r="693" spans="1:47" ht="15.75" customHeight="1">
      <c r="A693" s="9"/>
      <c r="B693" s="9"/>
      <c r="C693" s="9"/>
      <c r="D693" s="9"/>
      <c r="E693" s="9"/>
      <c r="F693" s="67"/>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row>
    <row r="694" spans="1:47" ht="15.75" customHeight="1">
      <c r="A694" s="9"/>
      <c r="B694" s="9"/>
      <c r="C694" s="9"/>
      <c r="D694" s="9"/>
      <c r="E694" s="9"/>
      <c r="F694" s="67"/>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row>
    <row r="695" spans="1:47" ht="15.75" customHeight="1">
      <c r="A695" s="9"/>
      <c r="B695" s="9"/>
      <c r="C695" s="9"/>
      <c r="D695" s="9"/>
      <c r="E695" s="9"/>
      <c r="F695" s="67"/>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row>
    <row r="696" spans="1:47" ht="15.75" customHeight="1">
      <c r="A696" s="9"/>
      <c r="B696" s="9"/>
      <c r="C696" s="9"/>
      <c r="D696" s="9"/>
      <c r="E696" s="9"/>
      <c r="F696" s="67"/>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row>
    <row r="697" spans="1:47" ht="15.75" customHeight="1">
      <c r="A697" s="9"/>
      <c r="B697" s="9"/>
      <c r="C697" s="9"/>
      <c r="D697" s="9"/>
      <c r="E697" s="9"/>
      <c r="F697" s="67"/>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row>
    <row r="698" spans="1:47" ht="15.75" customHeight="1">
      <c r="A698" s="9"/>
      <c r="B698" s="9"/>
      <c r="C698" s="9"/>
      <c r="D698" s="9"/>
      <c r="E698" s="9"/>
      <c r="F698" s="67"/>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row>
    <row r="699" spans="1:47" ht="15.75" customHeight="1">
      <c r="A699" s="9"/>
      <c r="B699" s="9"/>
      <c r="C699" s="9"/>
      <c r="D699" s="9"/>
      <c r="E699" s="9"/>
      <c r="F699" s="67"/>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row>
    <row r="700" spans="1:47" ht="15.75" customHeight="1">
      <c r="A700" s="9"/>
      <c r="B700" s="9"/>
      <c r="C700" s="9"/>
      <c r="D700" s="9"/>
      <c r="E700" s="9"/>
      <c r="F700" s="67"/>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row>
    <row r="701" spans="1:47" ht="15.75" customHeight="1">
      <c r="A701" s="9"/>
      <c r="B701" s="9"/>
      <c r="C701" s="9"/>
      <c r="D701" s="9"/>
      <c r="E701" s="9"/>
      <c r="F701" s="67"/>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row>
    <row r="702" spans="1:47" ht="15.75" customHeight="1">
      <c r="A702" s="9"/>
      <c r="B702" s="9"/>
      <c r="C702" s="9"/>
      <c r="D702" s="9"/>
      <c r="E702" s="9"/>
      <c r="F702" s="67"/>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row>
    <row r="703" spans="1:47" ht="15.75" customHeight="1">
      <c r="A703" s="9"/>
      <c r="B703" s="9"/>
      <c r="C703" s="9"/>
      <c r="D703" s="9"/>
      <c r="E703" s="9"/>
      <c r="F703" s="67"/>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row>
    <row r="704" spans="1:47" ht="15.75" customHeight="1">
      <c r="A704" s="9"/>
      <c r="B704" s="9"/>
      <c r="C704" s="9"/>
      <c r="D704" s="9"/>
      <c r="E704" s="9"/>
      <c r="F704" s="67"/>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row>
    <row r="705" spans="1:47" ht="15.75" customHeight="1">
      <c r="A705" s="9"/>
      <c r="B705" s="9"/>
      <c r="C705" s="9"/>
      <c r="D705" s="9"/>
      <c r="E705" s="9"/>
      <c r="F705" s="67"/>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row>
    <row r="706" spans="1:47" ht="15.75" customHeight="1">
      <c r="A706" s="9"/>
      <c r="B706" s="9"/>
      <c r="C706" s="9"/>
      <c r="D706" s="9"/>
      <c r="E706" s="9"/>
      <c r="F706" s="67"/>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row>
    <row r="707" spans="1:47" ht="15.75" customHeight="1">
      <c r="A707" s="9"/>
      <c r="B707" s="9"/>
      <c r="C707" s="9"/>
      <c r="D707" s="9"/>
      <c r="E707" s="9"/>
      <c r="F707" s="67"/>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row>
    <row r="708" spans="1:47" ht="15.75" customHeight="1">
      <c r="A708" s="9"/>
      <c r="B708" s="9"/>
      <c r="C708" s="9"/>
      <c r="D708" s="9"/>
      <c r="E708" s="9"/>
      <c r="F708" s="67"/>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row>
    <row r="709" spans="1:47" ht="15.75" customHeight="1">
      <c r="A709" s="9"/>
      <c r="B709" s="9"/>
      <c r="C709" s="9"/>
      <c r="D709" s="9"/>
      <c r="E709" s="9"/>
      <c r="F709" s="67"/>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row>
    <row r="710" spans="1:47" ht="15.75" customHeight="1">
      <c r="A710" s="9"/>
      <c r="B710" s="9"/>
      <c r="C710" s="9"/>
      <c r="D710" s="9"/>
      <c r="E710" s="9"/>
      <c r="F710" s="67"/>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row>
    <row r="711" spans="1:47" ht="15.75" customHeight="1">
      <c r="A711" s="9"/>
      <c r="B711" s="9"/>
      <c r="C711" s="9"/>
      <c r="D711" s="9"/>
      <c r="E711" s="9"/>
      <c r="F711" s="67"/>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row>
    <row r="712" spans="1:47" ht="15.75" customHeight="1">
      <c r="A712" s="9"/>
      <c r="B712" s="9"/>
      <c r="C712" s="9"/>
      <c r="D712" s="9"/>
      <c r="E712" s="9"/>
      <c r="F712" s="67"/>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row>
    <row r="713" spans="1:47" ht="15.75" customHeight="1">
      <c r="A713" s="9"/>
      <c r="B713" s="9"/>
      <c r="C713" s="9"/>
      <c r="D713" s="9"/>
      <c r="E713" s="9"/>
      <c r="F713" s="67"/>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row>
    <row r="714" spans="1:47" ht="15.75" customHeight="1">
      <c r="A714" s="9"/>
      <c r="B714" s="9"/>
      <c r="C714" s="9"/>
      <c r="D714" s="9"/>
      <c r="E714" s="9"/>
      <c r="F714" s="67"/>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row>
    <row r="715" spans="1:47" ht="15.75" customHeight="1">
      <c r="A715" s="9"/>
      <c r="B715" s="9"/>
      <c r="C715" s="9"/>
      <c r="D715" s="9"/>
      <c r="E715" s="9"/>
      <c r="F715" s="67"/>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row>
    <row r="716" spans="1:47" ht="15.75" customHeight="1">
      <c r="A716" s="9"/>
      <c r="B716" s="9"/>
      <c r="C716" s="9"/>
      <c r="D716" s="9"/>
      <c r="E716" s="9"/>
      <c r="F716" s="67"/>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row>
    <row r="717" spans="1:47" ht="15.75" customHeight="1">
      <c r="A717" s="9"/>
      <c r="B717" s="9"/>
      <c r="C717" s="9"/>
      <c r="D717" s="9"/>
      <c r="E717" s="9"/>
      <c r="F717" s="67"/>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row>
    <row r="718" spans="1:47" ht="15.75" customHeight="1">
      <c r="A718" s="9"/>
      <c r="B718" s="9"/>
      <c r="C718" s="9"/>
      <c r="D718" s="9"/>
      <c r="E718" s="9"/>
      <c r="F718" s="67"/>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row>
    <row r="719" spans="1:47" ht="15.75" customHeight="1">
      <c r="A719" s="9"/>
      <c r="B719" s="9"/>
      <c r="C719" s="9"/>
      <c r="D719" s="9"/>
      <c r="E719" s="9"/>
      <c r="F719" s="67"/>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row>
    <row r="720" spans="1:47" ht="15.75" customHeight="1">
      <c r="A720" s="9"/>
      <c r="B720" s="9"/>
      <c r="C720" s="9"/>
      <c r="D720" s="9"/>
      <c r="E720" s="9"/>
      <c r="F720" s="67"/>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row>
    <row r="721" spans="1:47" ht="15.75" customHeight="1">
      <c r="A721" s="9"/>
      <c r="B721" s="9"/>
      <c r="C721" s="9"/>
      <c r="D721" s="9"/>
      <c r="E721" s="9"/>
      <c r="F721" s="67"/>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row>
    <row r="722" spans="1:47" ht="15.75" customHeight="1">
      <c r="A722" s="9"/>
      <c r="B722" s="9"/>
      <c r="C722" s="9"/>
      <c r="D722" s="9"/>
      <c r="E722" s="9"/>
      <c r="F722" s="67"/>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row>
    <row r="723" spans="1:47" ht="15.75" customHeight="1">
      <c r="A723" s="9"/>
      <c r="B723" s="9"/>
      <c r="C723" s="9"/>
      <c r="D723" s="9"/>
      <c r="E723" s="9"/>
      <c r="F723" s="67"/>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row>
    <row r="724" spans="1:47" ht="15.75" customHeight="1">
      <c r="A724" s="9"/>
      <c r="B724" s="9"/>
      <c r="C724" s="9"/>
      <c r="D724" s="9"/>
      <c r="E724" s="9"/>
      <c r="F724" s="67"/>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row>
    <row r="725" spans="1:47" ht="15.75" customHeight="1">
      <c r="A725" s="9"/>
      <c r="B725" s="9"/>
      <c r="C725" s="9"/>
      <c r="D725" s="9"/>
      <c r="E725" s="9"/>
      <c r="F725" s="67"/>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row>
    <row r="726" spans="1:47" ht="15.75" customHeight="1">
      <c r="A726" s="9"/>
      <c r="B726" s="9"/>
      <c r="C726" s="9"/>
      <c r="D726" s="9"/>
      <c r="E726" s="9"/>
      <c r="F726" s="67"/>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row>
    <row r="727" spans="1:47" ht="15.75" customHeight="1">
      <c r="A727" s="9"/>
      <c r="B727" s="9"/>
      <c r="C727" s="9"/>
      <c r="D727" s="9"/>
      <c r="E727" s="9"/>
      <c r="F727" s="67"/>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row>
    <row r="728" spans="1:47" ht="15.75" customHeight="1">
      <c r="A728" s="9"/>
      <c r="B728" s="9"/>
      <c r="C728" s="9"/>
      <c r="D728" s="9"/>
      <c r="E728" s="9"/>
      <c r="F728" s="67"/>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row>
    <row r="729" spans="1:47" ht="15.75" customHeight="1">
      <c r="A729" s="9"/>
      <c r="B729" s="9"/>
      <c r="C729" s="9"/>
      <c r="D729" s="9"/>
      <c r="E729" s="9"/>
      <c r="F729" s="67"/>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row>
    <row r="730" spans="1:47" ht="15.75" customHeight="1">
      <c r="A730" s="9"/>
      <c r="B730" s="9"/>
      <c r="C730" s="9"/>
      <c r="D730" s="9"/>
      <c r="E730" s="9"/>
      <c r="F730" s="67"/>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row>
    <row r="731" spans="1:47" ht="15.75" customHeight="1">
      <c r="A731" s="9"/>
      <c r="B731" s="9"/>
      <c r="C731" s="9"/>
      <c r="D731" s="9"/>
      <c r="E731" s="9"/>
      <c r="F731" s="67"/>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row>
    <row r="732" spans="1:47" ht="15.75" customHeight="1">
      <c r="A732" s="9"/>
      <c r="B732" s="9"/>
      <c r="C732" s="9"/>
      <c r="D732" s="9"/>
      <c r="E732" s="9"/>
      <c r="F732" s="67"/>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row>
    <row r="733" spans="1:47" ht="15.75" customHeight="1">
      <c r="A733" s="9"/>
      <c r="B733" s="9"/>
      <c r="C733" s="9"/>
      <c r="D733" s="9"/>
      <c r="E733" s="9"/>
      <c r="F733" s="67"/>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row>
    <row r="734" spans="1:47" ht="15.75" customHeight="1">
      <c r="A734" s="9"/>
      <c r="B734" s="9"/>
      <c r="C734" s="9"/>
      <c r="D734" s="9"/>
      <c r="E734" s="9"/>
      <c r="F734" s="67"/>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row>
    <row r="735" spans="1:47" ht="15.75" customHeight="1">
      <c r="A735" s="9"/>
      <c r="B735" s="9"/>
      <c r="C735" s="9"/>
      <c r="D735" s="9"/>
      <c r="E735" s="9"/>
      <c r="F735" s="67"/>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row>
    <row r="736" spans="1:47" ht="15.75" customHeight="1">
      <c r="A736" s="9"/>
      <c r="B736" s="9"/>
      <c r="C736" s="9"/>
      <c r="D736" s="9"/>
      <c r="E736" s="9"/>
      <c r="F736" s="67"/>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row>
    <row r="737" spans="1:47" ht="15.75" customHeight="1">
      <c r="A737" s="9"/>
      <c r="B737" s="9"/>
      <c r="C737" s="9"/>
      <c r="D737" s="9"/>
      <c r="E737" s="9"/>
      <c r="F737" s="67"/>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row>
    <row r="738" spans="1:47" ht="15.75" customHeight="1">
      <c r="A738" s="9"/>
      <c r="B738" s="9"/>
      <c r="C738" s="9"/>
      <c r="D738" s="9"/>
      <c r="E738" s="9"/>
      <c r="F738" s="67"/>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row>
    <row r="739" spans="1:47" ht="15.75" customHeight="1">
      <c r="A739" s="9"/>
      <c r="B739" s="9"/>
      <c r="C739" s="9"/>
      <c r="D739" s="9"/>
      <c r="E739" s="9"/>
      <c r="F739" s="67"/>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row>
    <row r="740" spans="1:47" ht="15.75" customHeight="1">
      <c r="A740" s="9"/>
      <c r="B740" s="9"/>
      <c r="C740" s="9"/>
      <c r="D740" s="9"/>
      <c r="E740" s="9"/>
      <c r="F740" s="67"/>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row>
    <row r="741" spans="1:47" ht="15.75" customHeight="1">
      <c r="A741" s="9"/>
      <c r="B741" s="9"/>
      <c r="C741" s="9"/>
      <c r="D741" s="9"/>
      <c r="E741" s="9"/>
      <c r="F741" s="67"/>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row>
    <row r="742" spans="1:47" ht="15.75" customHeight="1">
      <c r="A742" s="9"/>
      <c r="B742" s="9"/>
      <c r="C742" s="9"/>
      <c r="D742" s="9"/>
      <c r="E742" s="9"/>
      <c r="F742" s="67"/>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row>
    <row r="743" spans="1:47" ht="15.75" customHeight="1">
      <c r="A743" s="9"/>
      <c r="B743" s="9"/>
      <c r="C743" s="9"/>
      <c r="D743" s="9"/>
      <c r="E743" s="9"/>
      <c r="F743" s="67"/>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row>
    <row r="744" spans="1:47" ht="15.75" customHeight="1">
      <c r="A744" s="9"/>
      <c r="B744" s="9"/>
      <c r="C744" s="9"/>
      <c r="D744" s="9"/>
      <c r="E744" s="9"/>
      <c r="F744" s="67"/>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row>
    <row r="745" spans="1:47" ht="15.75" customHeight="1">
      <c r="A745" s="9"/>
      <c r="B745" s="9"/>
      <c r="C745" s="9"/>
      <c r="D745" s="9"/>
      <c r="E745" s="9"/>
      <c r="F745" s="67"/>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row>
    <row r="746" spans="1:47" ht="15.75" customHeight="1">
      <c r="A746" s="9"/>
      <c r="B746" s="9"/>
      <c r="C746" s="9"/>
      <c r="D746" s="9"/>
      <c r="E746" s="9"/>
      <c r="F746" s="67"/>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row>
    <row r="747" spans="1:47" ht="15.75" customHeight="1">
      <c r="A747" s="9"/>
      <c r="B747" s="9"/>
      <c r="C747" s="9"/>
      <c r="D747" s="9"/>
      <c r="E747" s="9"/>
      <c r="F747" s="67"/>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row>
    <row r="748" spans="1:47" ht="15.75" customHeight="1">
      <c r="A748" s="9"/>
      <c r="B748" s="9"/>
      <c r="C748" s="9"/>
      <c r="D748" s="9"/>
      <c r="E748" s="9"/>
      <c r="F748" s="67"/>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row>
    <row r="749" spans="1:47" ht="15.75" customHeight="1">
      <c r="A749" s="9"/>
      <c r="B749" s="9"/>
      <c r="C749" s="9"/>
      <c r="D749" s="9"/>
      <c r="E749" s="9"/>
      <c r="F749" s="67"/>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row>
    <row r="750" spans="1:47" ht="15.75" customHeight="1">
      <c r="A750" s="9"/>
      <c r="B750" s="9"/>
      <c r="C750" s="9"/>
      <c r="D750" s="9"/>
      <c r="E750" s="9"/>
      <c r="F750" s="67"/>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row>
    <row r="751" spans="1:47" ht="15.75" customHeight="1">
      <c r="A751" s="9"/>
      <c r="B751" s="9"/>
      <c r="C751" s="9"/>
      <c r="D751" s="9"/>
      <c r="E751" s="9"/>
      <c r="F751" s="67"/>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row>
    <row r="752" spans="1:47" ht="15.75" customHeight="1">
      <c r="A752" s="9"/>
      <c r="B752" s="9"/>
      <c r="C752" s="9"/>
      <c r="D752" s="9"/>
      <c r="E752" s="9"/>
      <c r="F752" s="67"/>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row>
    <row r="753" spans="1:47" ht="15.75" customHeight="1">
      <c r="A753" s="9"/>
      <c r="B753" s="9"/>
      <c r="C753" s="9"/>
      <c r="D753" s="9"/>
      <c r="E753" s="9"/>
      <c r="F753" s="67"/>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row>
    <row r="754" spans="1:47" ht="15.75" customHeight="1">
      <c r="A754" s="9"/>
      <c r="B754" s="9"/>
      <c r="C754" s="9"/>
      <c r="D754" s="9"/>
      <c r="E754" s="9"/>
      <c r="F754" s="67"/>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row>
    <row r="755" spans="1:47" ht="15.75" customHeight="1">
      <c r="A755" s="9"/>
      <c r="B755" s="9"/>
      <c r="C755" s="9"/>
      <c r="D755" s="9"/>
      <c r="E755" s="9"/>
      <c r="F755" s="67"/>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row>
    <row r="756" spans="1:47" ht="15.75" customHeight="1">
      <c r="A756" s="9"/>
      <c r="B756" s="9"/>
      <c r="C756" s="9"/>
      <c r="D756" s="9"/>
      <c r="E756" s="9"/>
      <c r="F756" s="67"/>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row>
    <row r="757" spans="1:47" ht="15.75" customHeight="1">
      <c r="A757" s="9"/>
      <c r="B757" s="9"/>
      <c r="C757" s="9"/>
      <c r="D757" s="9"/>
      <c r="E757" s="9"/>
      <c r="F757" s="67"/>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row>
    <row r="758" spans="1:47" ht="15.75" customHeight="1">
      <c r="A758" s="9"/>
      <c r="B758" s="9"/>
      <c r="C758" s="9"/>
      <c r="D758" s="9"/>
      <c r="E758" s="9"/>
      <c r="F758" s="67"/>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row>
    <row r="759" spans="1:47" ht="15.75" customHeight="1">
      <c r="A759" s="9"/>
      <c r="B759" s="9"/>
      <c r="C759" s="9"/>
      <c r="D759" s="9"/>
      <c r="E759" s="9"/>
      <c r="F759" s="67"/>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row>
    <row r="760" spans="1:47" ht="15.75" customHeight="1">
      <c r="A760" s="9"/>
      <c r="B760" s="9"/>
      <c r="C760" s="9"/>
      <c r="D760" s="9"/>
      <c r="E760" s="9"/>
      <c r="F760" s="67"/>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row>
    <row r="761" spans="1:47" ht="15.75" customHeight="1">
      <c r="A761" s="9"/>
      <c r="B761" s="9"/>
      <c r="C761" s="9"/>
      <c r="D761" s="9"/>
      <c r="E761" s="9"/>
      <c r="F761" s="67"/>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row>
    <row r="762" spans="1:47" ht="15.75" customHeight="1">
      <c r="A762" s="9"/>
      <c r="B762" s="9"/>
      <c r="C762" s="9"/>
      <c r="D762" s="9"/>
      <c r="E762" s="9"/>
      <c r="F762" s="67"/>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row>
    <row r="763" spans="1:47" ht="15.75" customHeight="1">
      <c r="A763" s="9"/>
      <c r="B763" s="9"/>
      <c r="C763" s="9"/>
      <c r="D763" s="9"/>
      <c r="E763" s="9"/>
      <c r="F763" s="67"/>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row>
    <row r="764" spans="1:47" ht="15.75" customHeight="1">
      <c r="A764" s="9"/>
      <c r="B764" s="9"/>
      <c r="C764" s="9"/>
      <c r="D764" s="9"/>
      <c r="E764" s="9"/>
      <c r="F764" s="67"/>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row>
    <row r="765" spans="1:47" ht="15.75" customHeight="1">
      <c r="A765" s="9"/>
      <c r="B765" s="9"/>
      <c r="C765" s="9"/>
      <c r="D765" s="9"/>
      <c r="E765" s="9"/>
      <c r="F765" s="67"/>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row>
    <row r="766" spans="1:47" ht="15.75" customHeight="1">
      <c r="A766" s="9"/>
      <c r="B766" s="9"/>
      <c r="C766" s="9"/>
      <c r="D766" s="9"/>
      <c r="E766" s="9"/>
      <c r="F766" s="67"/>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row>
    <row r="767" spans="1:47" ht="15.75" customHeight="1">
      <c r="A767" s="9"/>
      <c r="B767" s="9"/>
      <c r="C767" s="9"/>
      <c r="D767" s="9"/>
      <c r="E767" s="9"/>
      <c r="F767" s="67"/>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row>
    <row r="768" spans="1:47" ht="15.75" customHeight="1">
      <c r="A768" s="9"/>
      <c r="B768" s="9"/>
      <c r="C768" s="9"/>
      <c r="D768" s="9"/>
      <c r="E768" s="9"/>
      <c r="F768" s="67"/>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row>
    <row r="769" spans="1:47" ht="15.75" customHeight="1">
      <c r="A769" s="9"/>
      <c r="B769" s="9"/>
      <c r="C769" s="9"/>
      <c r="D769" s="9"/>
      <c r="E769" s="9"/>
      <c r="F769" s="67"/>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row>
    <row r="770" spans="1:47" ht="15.75" customHeight="1">
      <c r="A770" s="9"/>
      <c r="B770" s="9"/>
      <c r="C770" s="9"/>
      <c r="D770" s="9"/>
      <c r="E770" s="9"/>
      <c r="F770" s="67"/>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row>
    <row r="771" spans="1:47" ht="15.75" customHeight="1">
      <c r="A771" s="9"/>
      <c r="B771" s="9"/>
      <c r="C771" s="9"/>
      <c r="D771" s="9"/>
      <c r="E771" s="9"/>
      <c r="F771" s="67"/>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row>
    <row r="772" spans="1:47" ht="15.75" customHeight="1">
      <c r="A772" s="9"/>
      <c r="B772" s="9"/>
      <c r="C772" s="9"/>
      <c r="D772" s="9"/>
      <c r="E772" s="9"/>
      <c r="F772" s="67"/>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row>
    <row r="773" spans="1:47" ht="15.75" customHeight="1">
      <c r="A773" s="9"/>
      <c r="B773" s="9"/>
      <c r="C773" s="9"/>
      <c r="D773" s="9"/>
      <c r="E773" s="9"/>
      <c r="F773" s="67"/>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row>
    <row r="774" spans="1:47" ht="15.75" customHeight="1">
      <c r="A774" s="9"/>
      <c r="B774" s="9"/>
      <c r="C774" s="9"/>
      <c r="D774" s="9"/>
      <c r="E774" s="9"/>
      <c r="F774" s="67"/>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row>
    <row r="775" spans="1:47" ht="15.75" customHeight="1">
      <c r="A775" s="9"/>
      <c r="B775" s="9"/>
      <c r="C775" s="9"/>
      <c r="D775" s="9"/>
      <c r="E775" s="9"/>
      <c r="F775" s="67"/>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row>
    <row r="776" spans="1:47" ht="15.75" customHeight="1">
      <c r="A776" s="9"/>
      <c r="B776" s="9"/>
      <c r="C776" s="9"/>
      <c r="D776" s="9"/>
      <c r="E776" s="9"/>
      <c r="F776" s="67"/>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row>
    <row r="777" spans="1:47" ht="15.75" customHeight="1">
      <c r="A777" s="9"/>
      <c r="B777" s="9"/>
      <c r="C777" s="9"/>
      <c r="D777" s="9"/>
      <c r="E777" s="9"/>
      <c r="F777" s="67"/>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row>
    <row r="778" spans="1:47" ht="15.75" customHeight="1">
      <c r="A778" s="9"/>
      <c r="B778" s="9"/>
      <c r="C778" s="9"/>
      <c r="D778" s="9"/>
      <c r="E778" s="9"/>
      <c r="F778" s="67"/>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row>
    <row r="779" spans="1:47" ht="15.75" customHeight="1">
      <c r="A779" s="9"/>
      <c r="B779" s="9"/>
      <c r="C779" s="9"/>
      <c r="D779" s="9"/>
      <c r="E779" s="9"/>
      <c r="F779" s="67"/>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row>
    <row r="780" spans="1:47" ht="15.75" customHeight="1">
      <c r="A780" s="9"/>
      <c r="B780" s="9"/>
      <c r="C780" s="9"/>
      <c r="D780" s="9"/>
      <c r="E780" s="9"/>
      <c r="F780" s="67"/>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row>
    <row r="781" spans="1:47" ht="15.75" customHeight="1">
      <c r="A781" s="9"/>
      <c r="B781" s="9"/>
      <c r="C781" s="9"/>
      <c r="D781" s="9"/>
      <c r="E781" s="9"/>
      <c r="F781" s="67"/>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row>
    <row r="782" spans="1:47" ht="15.75" customHeight="1">
      <c r="A782" s="9"/>
      <c r="B782" s="9"/>
      <c r="C782" s="9"/>
      <c r="D782" s="9"/>
      <c r="E782" s="9"/>
      <c r="F782" s="67"/>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row>
    <row r="783" spans="1:47" ht="15.75" customHeight="1">
      <c r="A783" s="9"/>
      <c r="B783" s="9"/>
      <c r="C783" s="9"/>
      <c r="D783" s="9"/>
      <c r="E783" s="9"/>
      <c r="F783" s="67"/>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row>
    <row r="784" spans="1:47" ht="15.75" customHeight="1">
      <c r="A784" s="9"/>
      <c r="B784" s="9"/>
      <c r="C784" s="9"/>
      <c r="D784" s="9"/>
      <c r="E784" s="9"/>
      <c r="F784" s="67"/>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row>
    <row r="785" spans="1:47" ht="15.75" customHeight="1">
      <c r="A785" s="9"/>
      <c r="B785" s="9"/>
      <c r="C785" s="9"/>
      <c r="D785" s="9"/>
      <c r="E785" s="9"/>
      <c r="F785" s="67"/>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row>
    <row r="786" spans="1:47" ht="15.75" customHeight="1">
      <c r="A786" s="9"/>
      <c r="B786" s="9"/>
      <c r="C786" s="9"/>
      <c r="D786" s="9"/>
      <c r="E786" s="9"/>
      <c r="F786" s="67"/>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row>
    <row r="787" spans="1:47" ht="15.75" customHeight="1">
      <c r="A787" s="9"/>
      <c r="B787" s="9"/>
      <c r="C787" s="9"/>
      <c r="D787" s="9"/>
      <c r="E787" s="9"/>
      <c r="F787" s="67"/>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row>
    <row r="788" spans="1:47" ht="15.75" customHeight="1">
      <c r="A788" s="9"/>
      <c r="B788" s="9"/>
      <c r="C788" s="9"/>
      <c r="D788" s="9"/>
      <c r="E788" s="9"/>
      <c r="F788" s="67"/>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row>
    <row r="789" spans="1:47" ht="15.75" customHeight="1">
      <c r="A789" s="9"/>
      <c r="B789" s="9"/>
      <c r="C789" s="9"/>
      <c r="D789" s="9"/>
      <c r="E789" s="9"/>
      <c r="F789" s="67"/>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row>
    <row r="790" spans="1:47" ht="15.75" customHeight="1">
      <c r="A790" s="9"/>
      <c r="B790" s="9"/>
      <c r="C790" s="9"/>
      <c r="D790" s="9"/>
      <c r="E790" s="9"/>
      <c r="F790" s="67"/>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row>
    <row r="791" spans="1:47" ht="15.75" customHeight="1">
      <c r="A791" s="9"/>
      <c r="B791" s="9"/>
      <c r="C791" s="9"/>
      <c r="D791" s="9"/>
      <c r="E791" s="9"/>
      <c r="F791" s="67"/>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row>
    <row r="792" spans="1:47" ht="15.75" customHeight="1">
      <c r="A792" s="9"/>
      <c r="B792" s="9"/>
      <c r="C792" s="9"/>
      <c r="D792" s="9"/>
      <c r="E792" s="9"/>
      <c r="F792" s="67"/>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row>
    <row r="793" spans="1:47" ht="15.75" customHeight="1">
      <c r="A793" s="9"/>
      <c r="B793" s="9"/>
      <c r="C793" s="9"/>
      <c r="D793" s="9"/>
      <c r="E793" s="9"/>
      <c r="F793" s="67"/>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row>
    <row r="794" spans="1:47" ht="15.75" customHeight="1">
      <c r="A794" s="9"/>
      <c r="B794" s="9"/>
      <c r="C794" s="9"/>
      <c r="D794" s="9"/>
      <c r="E794" s="9"/>
      <c r="F794" s="67"/>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row>
    <row r="795" spans="1:47" ht="15.75" customHeight="1">
      <c r="A795" s="9"/>
      <c r="B795" s="9"/>
      <c r="C795" s="9"/>
      <c r="D795" s="9"/>
      <c r="E795" s="9"/>
      <c r="F795" s="67"/>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row>
    <row r="796" spans="1:47" ht="15.75" customHeight="1">
      <c r="A796" s="9"/>
      <c r="B796" s="9"/>
      <c r="C796" s="9"/>
      <c r="D796" s="9"/>
      <c r="E796" s="9"/>
      <c r="F796" s="67"/>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row>
    <row r="797" spans="1:47" ht="15.75" customHeight="1">
      <c r="A797" s="9"/>
      <c r="B797" s="9"/>
      <c r="C797" s="9"/>
      <c r="D797" s="9"/>
      <c r="E797" s="9"/>
      <c r="F797" s="67"/>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row>
    <row r="798" spans="1:47" ht="15.75" customHeight="1">
      <c r="A798" s="9"/>
      <c r="B798" s="9"/>
      <c r="C798" s="9"/>
      <c r="D798" s="9"/>
      <c r="E798" s="9"/>
      <c r="F798" s="67"/>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row>
    <row r="799" spans="1:47" ht="15.75" customHeight="1">
      <c r="A799" s="9"/>
      <c r="B799" s="9"/>
      <c r="C799" s="9"/>
      <c r="D799" s="9"/>
      <c r="E799" s="9"/>
      <c r="F799" s="67"/>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row>
    <row r="800" spans="1:47" ht="15.75" customHeight="1">
      <c r="A800" s="9"/>
      <c r="B800" s="9"/>
      <c r="C800" s="9"/>
      <c r="D800" s="9"/>
      <c r="E800" s="9"/>
      <c r="F800" s="67"/>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row>
    <row r="801" spans="1:47" ht="15.75" customHeight="1">
      <c r="A801" s="9"/>
      <c r="B801" s="9"/>
      <c r="C801" s="9"/>
      <c r="D801" s="9"/>
      <c r="E801" s="9"/>
      <c r="F801" s="67"/>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row>
    <row r="802" spans="1:47" ht="15.75" customHeight="1">
      <c r="A802" s="9"/>
      <c r="B802" s="9"/>
      <c r="C802" s="9"/>
      <c r="D802" s="9"/>
      <c r="E802" s="9"/>
      <c r="F802" s="67"/>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row>
    <row r="803" spans="1:47" ht="15.75" customHeight="1">
      <c r="A803" s="9"/>
      <c r="B803" s="9"/>
      <c r="C803" s="9"/>
      <c r="D803" s="9"/>
      <c r="E803" s="9"/>
      <c r="F803" s="67"/>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row>
    <row r="804" spans="1:47" ht="15.75" customHeight="1">
      <c r="A804" s="9"/>
      <c r="B804" s="9"/>
      <c r="C804" s="9"/>
      <c r="D804" s="9"/>
      <c r="E804" s="9"/>
      <c r="F804" s="67"/>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row>
    <row r="805" spans="1:47" ht="15.75" customHeight="1">
      <c r="A805" s="9"/>
      <c r="B805" s="9"/>
      <c r="C805" s="9"/>
      <c r="D805" s="9"/>
      <c r="E805" s="9"/>
      <c r="F805" s="67"/>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row>
    <row r="806" spans="1:47" ht="15.75" customHeight="1">
      <c r="A806" s="9"/>
      <c r="B806" s="9"/>
      <c r="C806" s="9"/>
      <c r="D806" s="9"/>
      <c r="E806" s="9"/>
      <c r="F806" s="67"/>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row>
    <row r="807" spans="1:47" ht="15.75" customHeight="1">
      <c r="A807" s="9"/>
      <c r="B807" s="9"/>
      <c r="C807" s="9"/>
      <c r="D807" s="9"/>
      <c r="E807" s="9"/>
      <c r="F807" s="67"/>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row>
    <row r="808" spans="1:47" ht="15.75" customHeight="1">
      <c r="A808" s="9"/>
      <c r="B808" s="9"/>
      <c r="C808" s="9"/>
      <c r="D808" s="9"/>
      <c r="E808" s="9"/>
      <c r="F808" s="67"/>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row>
    <row r="809" spans="1:47" ht="15.75" customHeight="1">
      <c r="A809" s="9"/>
      <c r="B809" s="9"/>
      <c r="C809" s="9"/>
      <c r="D809" s="9"/>
      <c r="E809" s="9"/>
      <c r="F809" s="67"/>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row>
    <row r="810" spans="1:47" ht="15.75" customHeight="1">
      <c r="A810" s="9"/>
      <c r="B810" s="9"/>
      <c r="C810" s="9"/>
      <c r="D810" s="9"/>
      <c r="E810" s="9"/>
      <c r="F810" s="67"/>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row>
    <row r="811" spans="1:47" ht="15.75" customHeight="1">
      <c r="A811" s="9"/>
      <c r="B811" s="9"/>
      <c r="C811" s="9"/>
      <c r="D811" s="9"/>
      <c r="E811" s="9"/>
      <c r="F811" s="67"/>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row>
    <row r="812" spans="1:47" ht="15.75" customHeight="1">
      <c r="A812" s="9"/>
      <c r="B812" s="9"/>
      <c r="C812" s="9"/>
      <c r="D812" s="9"/>
      <c r="E812" s="9"/>
      <c r="F812" s="67"/>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row>
    <row r="813" spans="1:47" ht="15.75" customHeight="1">
      <c r="A813" s="9"/>
      <c r="B813" s="9"/>
      <c r="C813" s="9"/>
      <c r="D813" s="9"/>
      <c r="E813" s="9"/>
      <c r="F813" s="67"/>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row>
    <row r="814" spans="1:47" ht="15.75" customHeight="1">
      <c r="A814" s="9"/>
      <c r="B814" s="9"/>
      <c r="C814" s="9"/>
      <c r="D814" s="9"/>
      <c r="E814" s="9"/>
      <c r="F814" s="67"/>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row>
    <row r="815" spans="1:47" ht="15.75" customHeight="1">
      <c r="A815" s="9"/>
      <c r="B815" s="9"/>
      <c r="C815" s="9"/>
      <c r="D815" s="9"/>
      <c r="E815" s="9"/>
      <c r="F815" s="67"/>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row>
    <row r="816" spans="1:47" ht="15.75" customHeight="1">
      <c r="A816" s="9"/>
      <c r="B816" s="9"/>
      <c r="C816" s="9"/>
      <c r="D816" s="9"/>
      <c r="E816" s="9"/>
      <c r="F816" s="67"/>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row>
    <row r="817" spans="1:47" ht="15.75" customHeight="1">
      <c r="A817" s="9"/>
      <c r="B817" s="9"/>
      <c r="C817" s="9"/>
      <c r="D817" s="9"/>
      <c r="E817" s="9"/>
      <c r="F817" s="67"/>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row>
    <row r="818" spans="1:47" ht="15.75" customHeight="1">
      <c r="A818" s="9"/>
      <c r="B818" s="9"/>
      <c r="C818" s="9"/>
      <c r="D818" s="9"/>
      <c r="E818" s="9"/>
      <c r="F818" s="67"/>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row>
    <row r="819" spans="1:47" ht="15.75" customHeight="1">
      <c r="A819" s="9"/>
      <c r="B819" s="9"/>
      <c r="C819" s="9"/>
      <c r="D819" s="9"/>
      <c r="E819" s="9"/>
      <c r="F819" s="67"/>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row>
    <row r="820" spans="1:47" ht="15.75" customHeight="1">
      <c r="A820" s="9"/>
      <c r="B820" s="9"/>
      <c r="C820" s="9"/>
      <c r="D820" s="9"/>
      <c r="E820" s="9"/>
      <c r="F820" s="67"/>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row>
    <row r="821" spans="1:47" ht="15.75" customHeight="1">
      <c r="A821" s="9"/>
      <c r="B821" s="9"/>
      <c r="C821" s="9"/>
      <c r="D821" s="9"/>
      <c r="E821" s="9"/>
      <c r="F821" s="67"/>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row>
    <row r="822" spans="1:47" ht="15.75" customHeight="1">
      <c r="A822" s="9"/>
      <c r="B822" s="9"/>
      <c r="C822" s="9"/>
      <c r="D822" s="9"/>
      <c r="E822" s="9"/>
      <c r="F822" s="67"/>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row>
    <row r="823" spans="1:47" ht="15.75" customHeight="1">
      <c r="A823" s="9"/>
      <c r="B823" s="9"/>
      <c r="C823" s="9"/>
      <c r="D823" s="9"/>
      <c r="E823" s="9"/>
      <c r="F823" s="67"/>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row>
    <row r="824" spans="1:47" ht="15.75" customHeight="1">
      <c r="A824" s="9"/>
      <c r="B824" s="9"/>
      <c r="C824" s="9"/>
      <c r="D824" s="9"/>
      <c r="E824" s="9"/>
      <c r="F824" s="67"/>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row>
    <row r="825" spans="1:47" ht="15.75" customHeight="1">
      <c r="A825" s="9"/>
      <c r="B825" s="9"/>
      <c r="C825" s="9"/>
      <c r="D825" s="9"/>
      <c r="E825" s="9"/>
      <c r="F825" s="67"/>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row>
    <row r="826" spans="1:47" ht="15.75" customHeight="1">
      <c r="A826" s="9"/>
      <c r="B826" s="9"/>
      <c r="C826" s="9"/>
      <c r="D826" s="9"/>
      <c r="E826" s="9"/>
      <c r="F826" s="67"/>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row>
    <row r="827" spans="1:47" ht="15.75" customHeight="1">
      <c r="A827" s="9"/>
      <c r="B827" s="9"/>
      <c r="C827" s="9"/>
      <c r="D827" s="9"/>
      <c r="E827" s="9"/>
      <c r="F827" s="67"/>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row>
    <row r="828" spans="1:47" ht="15.75" customHeight="1">
      <c r="A828" s="9"/>
      <c r="B828" s="9"/>
      <c r="C828" s="9"/>
      <c r="D828" s="9"/>
      <c r="E828" s="9"/>
      <c r="F828" s="67"/>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row>
    <row r="829" spans="1:47" ht="15.75" customHeight="1">
      <c r="A829" s="9"/>
      <c r="B829" s="9"/>
      <c r="C829" s="9"/>
      <c r="D829" s="9"/>
      <c r="E829" s="9"/>
      <c r="F829" s="67"/>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row>
    <row r="830" spans="1:47" ht="15.75" customHeight="1">
      <c r="A830" s="9"/>
      <c r="B830" s="9"/>
      <c r="C830" s="9"/>
      <c r="D830" s="9"/>
      <c r="E830" s="9"/>
      <c r="F830" s="67"/>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row>
    <row r="831" spans="1:47" ht="15.75" customHeight="1">
      <c r="A831" s="9"/>
      <c r="B831" s="9"/>
      <c r="C831" s="9"/>
      <c r="D831" s="9"/>
      <c r="E831" s="9"/>
      <c r="F831" s="67"/>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row>
    <row r="832" spans="1:47" ht="15.75" customHeight="1">
      <c r="A832" s="9"/>
      <c r="B832" s="9"/>
      <c r="C832" s="9"/>
      <c r="D832" s="9"/>
      <c r="E832" s="9"/>
      <c r="F832" s="67"/>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row>
    <row r="833" spans="1:47" ht="15.75" customHeight="1">
      <c r="A833" s="9"/>
      <c r="B833" s="9"/>
      <c r="C833" s="9"/>
      <c r="D833" s="9"/>
      <c r="E833" s="9"/>
      <c r="F833" s="67"/>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row>
    <row r="834" spans="1:47" ht="15.75" customHeight="1">
      <c r="A834" s="9"/>
      <c r="B834" s="9"/>
      <c r="C834" s="9"/>
      <c r="D834" s="9"/>
      <c r="E834" s="9"/>
      <c r="F834" s="67"/>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row>
    <row r="835" spans="1:47" ht="15.75" customHeight="1">
      <c r="A835" s="9"/>
      <c r="B835" s="9"/>
      <c r="C835" s="9"/>
      <c r="D835" s="9"/>
      <c r="E835" s="9"/>
      <c r="F835" s="67"/>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row>
    <row r="836" spans="1:47" ht="15.75" customHeight="1">
      <c r="A836" s="9"/>
      <c r="B836" s="9"/>
      <c r="C836" s="9"/>
      <c r="D836" s="9"/>
      <c r="E836" s="9"/>
      <c r="F836" s="67"/>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row>
    <row r="837" spans="1:47" ht="15.75" customHeight="1">
      <c r="A837" s="9"/>
      <c r="B837" s="9"/>
      <c r="C837" s="9"/>
      <c r="D837" s="9"/>
      <c r="E837" s="9"/>
      <c r="F837" s="67"/>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row>
    <row r="838" spans="1:47" ht="15.75" customHeight="1">
      <c r="A838" s="9"/>
      <c r="B838" s="9"/>
      <c r="C838" s="9"/>
      <c r="D838" s="9"/>
      <c r="E838" s="9"/>
      <c r="F838" s="67"/>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row>
    <row r="839" spans="1:47" ht="15.75" customHeight="1">
      <c r="A839" s="9"/>
      <c r="B839" s="9"/>
      <c r="C839" s="9"/>
      <c r="D839" s="9"/>
      <c r="E839" s="9"/>
      <c r="F839" s="67"/>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row>
    <row r="840" spans="1:47" ht="15.75" customHeight="1">
      <c r="A840" s="9"/>
      <c r="B840" s="9"/>
      <c r="C840" s="9"/>
      <c r="D840" s="9"/>
      <c r="E840" s="9"/>
      <c r="F840" s="67"/>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row>
    <row r="841" spans="1:47" ht="15.75" customHeight="1">
      <c r="A841" s="9"/>
      <c r="B841" s="9"/>
      <c r="C841" s="9"/>
      <c r="D841" s="9"/>
      <c r="E841" s="9"/>
      <c r="F841" s="67"/>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row>
    <row r="842" spans="1:47" ht="15.75" customHeight="1">
      <c r="A842" s="9"/>
      <c r="B842" s="9"/>
      <c r="C842" s="9"/>
      <c r="D842" s="9"/>
      <c r="E842" s="9"/>
      <c r="F842" s="67"/>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row>
    <row r="843" spans="1:47" ht="15.75" customHeight="1">
      <c r="A843" s="9"/>
      <c r="B843" s="9"/>
      <c r="C843" s="9"/>
      <c r="D843" s="9"/>
      <c r="E843" s="9"/>
      <c r="F843" s="67"/>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row>
    <row r="844" spans="1:47" ht="15.75" customHeight="1">
      <c r="A844" s="9"/>
      <c r="B844" s="9"/>
      <c r="C844" s="9"/>
      <c r="D844" s="9"/>
      <c r="E844" s="9"/>
      <c r="F844" s="67"/>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row>
    <row r="845" spans="1:47" ht="15.75" customHeight="1">
      <c r="A845" s="9"/>
      <c r="B845" s="9"/>
      <c r="C845" s="9"/>
      <c r="D845" s="9"/>
      <c r="E845" s="9"/>
      <c r="F845" s="67"/>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row>
    <row r="846" spans="1:47" ht="15.75" customHeight="1">
      <c r="A846" s="9"/>
      <c r="B846" s="9"/>
      <c r="C846" s="9"/>
      <c r="D846" s="9"/>
      <c r="E846" s="9"/>
      <c r="F846" s="67"/>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row>
    <row r="847" spans="1:47" ht="15.75" customHeight="1">
      <c r="A847" s="9"/>
      <c r="B847" s="9"/>
      <c r="C847" s="9"/>
      <c r="D847" s="9"/>
      <c r="E847" s="9"/>
      <c r="F847" s="67"/>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row>
    <row r="848" spans="1:47" ht="15.75" customHeight="1">
      <c r="A848" s="9"/>
      <c r="B848" s="9"/>
      <c r="C848" s="9"/>
      <c r="D848" s="9"/>
      <c r="E848" s="9"/>
      <c r="F848" s="67"/>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row>
    <row r="849" spans="1:47" ht="15.75" customHeight="1">
      <c r="A849" s="9"/>
      <c r="B849" s="9"/>
      <c r="C849" s="9"/>
      <c r="D849" s="9"/>
      <c r="E849" s="9"/>
      <c r="F849" s="67"/>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row>
    <row r="850" spans="1:47" ht="15.75" customHeight="1">
      <c r="A850" s="9"/>
      <c r="B850" s="9"/>
      <c r="C850" s="9"/>
      <c r="D850" s="9"/>
      <c r="E850" s="9"/>
      <c r="F850" s="67"/>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row>
    <row r="851" spans="1:47" ht="15.75" customHeight="1">
      <c r="A851" s="9"/>
      <c r="B851" s="9"/>
      <c r="C851" s="9"/>
      <c r="D851" s="9"/>
      <c r="E851" s="9"/>
      <c r="F851" s="67"/>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row>
    <row r="852" spans="1:47" ht="15.75" customHeight="1">
      <c r="A852" s="9"/>
      <c r="B852" s="9"/>
      <c r="C852" s="9"/>
      <c r="D852" s="9"/>
      <c r="E852" s="9"/>
      <c r="F852" s="67"/>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row>
    <row r="853" spans="1:47" ht="15.75" customHeight="1">
      <c r="A853" s="9"/>
      <c r="B853" s="9"/>
      <c r="C853" s="9"/>
      <c r="D853" s="9"/>
      <c r="E853" s="9"/>
      <c r="F853" s="67"/>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row>
    <row r="854" spans="1:47" ht="15.75" customHeight="1">
      <c r="A854" s="9"/>
      <c r="B854" s="9"/>
      <c r="C854" s="9"/>
      <c r="D854" s="9"/>
      <c r="E854" s="9"/>
      <c r="F854" s="67"/>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row>
    <row r="855" spans="1:47" ht="15.75" customHeight="1">
      <c r="A855" s="9"/>
      <c r="B855" s="9"/>
      <c r="C855" s="9"/>
      <c r="D855" s="9"/>
      <c r="E855" s="9"/>
      <c r="F855" s="67"/>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row>
    <row r="856" spans="1:47" ht="15.75" customHeight="1">
      <c r="A856" s="9"/>
      <c r="B856" s="9"/>
      <c r="C856" s="9"/>
      <c r="D856" s="9"/>
      <c r="E856" s="9"/>
      <c r="F856" s="67"/>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row>
    <row r="857" spans="1:47" ht="15.75" customHeight="1">
      <c r="A857" s="9"/>
      <c r="B857" s="9"/>
      <c r="C857" s="9"/>
      <c r="D857" s="9"/>
      <c r="E857" s="9"/>
      <c r="F857" s="67"/>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row>
    <row r="858" spans="1:47" ht="15.75" customHeight="1">
      <c r="A858" s="9"/>
      <c r="B858" s="9"/>
      <c r="C858" s="9"/>
      <c r="D858" s="9"/>
      <c r="E858" s="9"/>
      <c r="F858" s="67"/>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row>
    <row r="859" spans="1:47" ht="15.75" customHeight="1">
      <c r="A859" s="9"/>
      <c r="B859" s="9"/>
      <c r="C859" s="9"/>
      <c r="D859" s="9"/>
      <c r="E859" s="9"/>
      <c r="F859" s="67"/>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row>
    <row r="860" spans="1:47" ht="15.75" customHeight="1">
      <c r="A860" s="9"/>
      <c r="B860" s="9"/>
      <c r="C860" s="9"/>
      <c r="D860" s="9"/>
      <c r="E860" s="9"/>
      <c r="F860" s="67"/>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row>
    <row r="861" spans="1:47" ht="15.75" customHeight="1">
      <c r="A861" s="9"/>
      <c r="B861" s="9"/>
      <c r="C861" s="9"/>
      <c r="D861" s="9"/>
      <c r="E861" s="9"/>
      <c r="F861" s="67"/>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row>
    <row r="862" spans="1:47" ht="15.75" customHeight="1">
      <c r="A862" s="9"/>
      <c r="B862" s="9"/>
      <c r="C862" s="9"/>
      <c r="D862" s="9"/>
      <c r="E862" s="9"/>
      <c r="F862" s="67"/>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row>
    <row r="863" spans="1:47" ht="15.75" customHeight="1">
      <c r="A863" s="9"/>
      <c r="B863" s="9"/>
      <c r="C863" s="9"/>
      <c r="D863" s="9"/>
      <c r="E863" s="9"/>
      <c r="F863" s="67"/>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row>
    <row r="864" spans="1:47" ht="15.75" customHeight="1">
      <c r="A864" s="9"/>
      <c r="B864" s="9"/>
      <c r="C864" s="9"/>
      <c r="D864" s="9"/>
      <c r="E864" s="9"/>
      <c r="F864" s="67"/>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row>
    <row r="865" spans="1:47" ht="15.75" customHeight="1">
      <c r="A865" s="9"/>
      <c r="B865" s="9"/>
      <c r="C865" s="9"/>
      <c r="D865" s="9"/>
      <c r="E865" s="9"/>
      <c r="F865" s="67"/>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row>
    <row r="866" spans="1:47" ht="15.75" customHeight="1">
      <c r="A866" s="9"/>
      <c r="B866" s="9"/>
      <c r="C866" s="9"/>
      <c r="D866" s="9"/>
      <c r="E866" s="9"/>
      <c r="F866" s="67"/>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row>
    <row r="867" spans="1:47" ht="15.75" customHeight="1">
      <c r="A867" s="9"/>
      <c r="B867" s="9"/>
      <c r="C867" s="9"/>
      <c r="D867" s="9"/>
      <c r="E867" s="9"/>
      <c r="F867" s="67"/>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row>
    <row r="868" spans="1:47" ht="15.75" customHeight="1">
      <c r="A868" s="9"/>
      <c r="B868" s="9"/>
      <c r="C868" s="9"/>
      <c r="D868" s="9"/>
      <c r="E868" s="9"/>
      <c r="F868" s="67"/>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row>
    <row r="869" spans="1:47" ht="15.75" customHeight="1">
      <c r="A869" s="9"/>
      <c r="B869" s="9"/>
      <c r="C869" s="9"/>
      <c r="D869" s="9"/>
      <c r="E869" s="9"/>
      <c r="F869" s="67"/>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row>
    <row r="870" spans="1:47" ht="15.75" customHeight="1">
      <c r="A870" s="9"/>
      <c r="B870" s="9"/>
      <c r="C870" s="9"/>
      <c r="D870" s="9"/>
      <c r="E870" s="9"/>
      <c r="F870" s="67"/>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row>
    <row r="871" spans="1:47" ht="15.75" customHeight="1">
      <c r="A871" s="9"/>
      <c r="B871" s="9"/>
      <c r="C871" s="9"/>
      <c r="D871" s="9"/>
      <c r="E871" s="9"/>
      <c r="F871" s="67"/>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row>
    <row r="872" spans="1:47" ht="15.75" customHeight="1">
      <c r="A872" s="9"/>
      <c r="B872" s="9"/>
      <c r="C872" s="9"/>
      <c r="D872" s="9"/>
      <c r="E872" s="9"/>
      <c r="F872" s="67"/>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row>
    <row r="873" spans="1:47" ht="15.75" customHeight="1">
      <c r="A873" s="9"/>
      <c r="B873" s="9"/>
      <c r="C873" s="9"/>
      <c r="D873" s="9"/>
      <c r="E873" s="9"/>
      <c r="F873" s="67"/>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row>
    <row r="874" spans="1:47" ht="15.75" customHeight="1">
      <c r="A874" s="9"/>
      <c r="B874" s="9"/>
      <c r="C874" s="9"/>
      <c r="D874" s="9"/>
      <c r="E874" s="9"/>
      <c r="F874" s="67"/>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row>
    <row r="875" spans="1:47" ht="15.75" customHeight="1">
      <c r="A875" s="9"/>
      <c r="B875" s="9"/>
      <c r="C875" s="9"/>
      <c r="D875" s="9"/>
      <c r="E875" s="9"/>
      <c r="F875" s="67"/>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row>
    <row r="876" spans="1:47" ht="15.75" customHeight="1">
      <c r="A876" s="9"/>
      <c r="B876" s="9"/>
      <c r="C876" s="9"/>
      <c r="D876" s="9"/>
      <c r="E876" s="9"/>
      <c r="F876" s="67"/>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row>
    <row r="877" spans="1:47" ht="15.75" customHeight="1">
      <c r="A877" s="9"/>
      <c r="B877" s="9"/>
      <c r="C877" s="9"/>
      <c r="D877" s="9"/>
      <c r="E877" s="9"/>
      <c r="F877" s="67"/>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row>
    <row r="878" spans="1:47" ht="15.75" customHeight="1">
      <c r="A878" s="9"/>
      <c r="B878" s="9"/>
      <c r="C878" s="9"/>
      <c r="D878" s="9"/>
      <c r="E878" s="9"/>
      <c r="F878" s="67"/>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row>
    <row r="879" spans="1:47" ht="15.75" customHeight="1">
      <c r="A879" s="9"/>
      <c r="B879" s="9"/>
      <c r="C879" s="9"/>
      <c r="D879" s="9"/>
      <c r="E879" s="9"/>
      <c r="F879" s="67"/>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row>
    <row r="880" spans="1:47" ht="15.75" customHeight="1">
      <c r="A880" s="9"/>
      <c r="B880" s="9"/>
      <c r="C880" s="9"/>
      <c r="D880" s="9"/>
      <c r="E880" s="9"/>
      <c r="F880" s="67"/>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row>
    <row r="881" spans="1:47" ht="15.75" customHeight="1">
      <c r="A881" s="9"/>
      <c r="B881" s="9"/>
      <c r="C881" s="9"/>
      <c r="D881" s="9"/>
      <c r="E881" s="9"/>
      <c r="F881" s="67"/>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row>
    <row r="882" spans="1:47" ht="15.75" customHeight="1">
      <c r="A882" s="9"/>
      <c r="B882" s="9"/>
      <c r="C882" s="9"/>
      <c r="D882" s="9"/>
      <c r="E882" s="9"/>
      <c r="F882" s="67"/>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row>
    <row r="883" spans="1:47" ht="15.75" customHeight="1">
      <c r="A883" s="9"/>
      <c r="B883" s="9"/>
      <c r="C883" s="9"/>
      <c r="D883" s="9"/>
      <c r="E883" s="9"/>
      <c r="F883" s="67"/>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row>
    <row r="884" spans="1:47" ht="15.75" customHeight="1">
      <c r="A884" s="9"/>
      <c r="B884" s="9"/>
      <c r="C884" s="9"/>
      <c r="D884" s="9"/>
      <c r="E884" s="9"/>
      <c r="F884" s="67"/>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row>
    <row r="885" spans="1:47" ht="15.75" customHeight="1">
      <c r="A885" s="9"/>
      <c r="B885" s="9"/>
      <c r="C885" s="9"/>
      <c r="D885" s="9"/>
      <c r="E885" s="9"/>
      <c r="F885" s="67"/>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row>
    <row r="886" spans="1:47" ht="15.75" customHeight="1">
      <c r="A886" s="9"/>
      <c r="B886" s="9"/>
      <c r="C886" s="9"/>
      <c r="D886" s="9"/>
      <c r="E886" s="9"/>
      <c r="F886" s="67"/>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row>
    <row r="887" spans="1:47" ht="15.75" customHeight="1">
      <c r="A887" s="9"/>
      <c r="B887" s="9"/>
      <c r="C887" s="9"/>
      <c r="D887" s="9"/>
      <c r="E887" s="9"/>
      <c r="F887" s="67"/>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row>
    <row r="888" spans="1:47" ht="15.75" customHeight="1">
      <c r="A888" s="9"/>
      <c r="B888" s="9"/>
      <c r="C888" s="9"/>
      <c r="D888" s="9"/>
      <c r="E888" s="9"/>
      <c r="F888" s="67"/>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row>
    <row r="889" spans="1:47" ht="15.75" customHeight="1">
      <c r="A889" s="9"/>
      <c r="B889" s="9"/>
      <c r="C889" s="9"/>
      <c r="D889" s="9"/>
      <c r="E889" s="9"/>
      <c r="F889" s="67"/>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row>
    <row r="890" spans="1:47" ht="15.75" customHeight="1">
      <c r="A890" s="9"/>
      <c r="B890" s="9"/>
      <c r="C890" s="9"/>
      <c r="D890" s="9"/>
      <c r="E890" s="9"/>
      <c r="F890" s="67"/>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row>
    <row r="891" spans="1:47" ht="15.75" customHeight="1">
      <c r="A891" s="9"/>
      <c r="B891" s="9"/>
      <c r="C891" s="9"/>
      <c r="D891" s="9"/>
      <c r="E891" s="9"/>
      <c r="F891" s="67"/>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row>
    <row r="892" spans="1:47" ht="15.75" customHeight="1">
      <c r="A892" s="9"/>
      <c r="B892" s="9"/>
      <c r="C892" s="9"/>
      <c r="D892" s="9"/>
      <c r="E892" s="9"/>
      <c r="F892" s="67"/>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row>
    <row r="893" spans="1:47" ht="15.75" customHeight="1">
      <c r="A893" s="9"/>
      <c r="B893" s="9"/>
      <c r="C893" s="9"/>
      <c r="D893" s="9"/>
      <c r="E893" s="9"/>
      <c r="F893" s="67"/>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row>
    <row r="894" spans="1:47" ht="15.75" customHeight="1">
      <c r="A894" s="9"/>
      <c r="B894" s="9"/>
      <c r="C894" s="9"/>
      <c r="D894" s="9"/>
      <c r="E894" s="9"/>
      <c r="F894" s="67"/>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row>
    <row r="895" spans="1:47" ht="15.75" customHeight="1">
      <c r="A895" s="9"/>
      <c r="B895" s="9"/>
      <c r="C895" s="9"/>
      <c r="D895" s="9"/>
      <c r="E895" s="9"/>
      <c r="F895" s="67"/>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row>
    <row r="896" spans="1:47" ht="15.75" customHeight="1">
      <c r="A896" s="9"/>
      <c r="B896" s="9"/>
      <c r="C896" s="9"/>
      <c r="D896" s="9"/>
      <c r="E896" s="9"/>
      <c r="F896" s="67"/>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row>
    <row r="897" spans="1:47" ht="15.75" customHeight="1">
      <c r="A897" s="9"/>
      <c r="B897" s="9"/>
      <c r="C897" s="9"/>
      <c r="D897" s="9"/>
      <c r="E897" s="9"/>
      <c r="F897" s="67"/>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row>
    <row r="898" spans="1:47" ht="15.75" customHeight="1">
      <c r="A898" s="9"/>
      <c r="B898" s="9"/>
      <c r="C898" s="9"/>
      <c r="D898" s="9"/>
      <c r="E898" s="9"/>
      <c r="F898" s="67"/>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row>
    <row r="899" spans="1:47" ht="15.75" customHeight="1">
      <c r="A899" s="9"/>
      <c r="B899" s="9"/>
      <c r="C899" s="9"/>
      <c r="D899" s="9"/>
      <c r="E899" s="9"/>
      <c r="F899" s="67"/>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row>
    <row r="900" spans="1:47" ht="15.75" customHeight="1">
      <c r="A900" s="9"/>
      <c r="B900" s="9"/>
      <c r="C900" s="9"/>
      <c r="D900" s="9"/>
      <c r="E900" s="9"/>
      <c r="F900" s="67"/>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row>
    <row r="901" spans="1:47" ht="15.75" customHeight="1">
      <c r="A901" s="9"/>
      <c r="B901" s="9"/>
      <c r="C901" s="9"/>
      <c r="D901" s="9"/>
      <c r="E901" s="9"/>
      <c r="F901" s="67"/>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row>
    <row r="902" spans="1:47" ht="15.75" customHeight="1">
      <c r="A902" s="9"/>
      <c r="B902" s="9"/>
      <c r="C902" s="9"/>
      <c r="D902" s="9"/>
      <c r="E902" s="9"/>
      <c r="F902" s="67"/>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row>
    <row r="903" spans="1:47" ht="15.75" customHeight="1">
      <c r="A903" s="9"/>
      <c r="B903" s="9"/>
      <c r="C903" s="9"/>
      <c r="D903" s="9"/>
      <c r="E903" s="9"/>
      <c r="F903" s="67"/>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row>
    <row r="904" spans="1:47" ht="15.75" customHeight="1">
      <c r="A904" s="9"/>
      <c r="B904" s="9"/>
      <c r="C904" s="9"/>
      <c r="D904" s="9"/>
      <c r="E904" s="9"/>
      <c r="F904" s="67"/>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row>
    <row r="905" spans="1:47" ht="15.75" customHeight="1">
      <c r="A905" s="9"/>
      <c r="B905" s="9"/>
      <c r="C905" s="9"/>
      <c r="D905" s="9"/>
      <c r="E905" s="9"/>
      <c r="F905" s="67"/>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row>
    <row r="906" spans="1:47" ht="15.75" customHeight="1">
      <c r="A906" s="9"/>
      <c r="B906" s="9"/>
      <c r="C906" s="9"/>
      <c r="D906" s="9"/>
      <c r="E906" s="9"/>
      <c r="F906" s="67"/>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row>
    <row r="907" spans="1:47" ht="15.75" customHeight="1">
      <c r="A907" s="9"/>
      <c r="B907" s="9"/>
      <c r="C907" s="9"/>
      <c r="D907" s="9"/>
      <c r="E907" s="9"/>
      <c r="F907" s="67"/>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row>
    <row r="908" spans="1:47" ht="15.75" customHeight="1">
      <c r="A908" s="9"/>
      <c r="B908" s="9"/>
      <c r="C908" s="9"/>
      <c r="D908" s="9"/>
      <c r="E908" s="9"/>
      <c r="F908" s="67"/>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row>
    <row r="909" spans="1:47" ht="15.75" customHeight="1">
      <c r="A909" s="9"/>
      <c r="B909" s="9"/>
      <c r="C909" s="9"/>
      <c r="D909" s="9"/>
      <c r="E909" s="9"/>
      <c r="F909" s="67"/>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row>
    <row r="910" spans="1:47" ht="15.75" customHeight="1">
      <c r="A910" s="9"/>
      <c r="B910" s="9"/>
      <c r="C910" s="9"/>
      <c r="D910" s="9"/>
      <c r="E910" s="9"/>
      <c r="F910" s="67"/>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row>
    <row r="911" spans="1:47" ht="15.75" customHeight="1">
      <c r="A911" s="9"/>
      <c r="B911" s="9"/>
      <c r="C911" s="9"/>
      <c r="D911" s="9"/>
      <c r="E911" s="9"/>
      <c r="F911" s="67"/>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row>
    <row r="912" spans="1:47" ht="15.75" customHeight="1">
      <c r="A912" s="9"/>
      <c r="B912" s="9"/>
      <c r="C912" s="9"/>
      <c r="D912" s="9"/>
      <c r="E912" s="9"/>
      <c r="F912" s="67"/>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row>
    <row r="913" spans="1:47" ht="15.75" customHeight="1">
      <c r="A913" s="9"/>
      <c r="B913" s="9"/>
      <c r="C913" s="9"/>
      <c r="D913" s="9"/>
      <c r="E913" s="9"/>
      <c r="F913" s="67"/>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row>
    <row r="914" spans="1:47" ht="15.75" customHeight="1">
      <c r="A914" s="9"/>
      <c r="B914" s="9"/>
      <c r="C914" s="9"/>
      <c r="D914" s="9"/>
      <c r="E914" s="9"/>
      <c r="F914" s="67"/>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row>
    <row r="915" spans="1:47" ht="15.75" customHeight="1">
      <c r="A915" s="9"/>
      <c r="B915" s="9"/>
      <c r="C915" s="9"/>
      <c r="D915" s="9"/>
      <c r="E915" s="9"/>
      <c r="F915" s="67"/>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row>
    <row r="916" spans="1:47" ht="15.75" customHeight="1">
      <c r="A916" s="9"/>
      <c r="B916" s="9"/>
      <c r="C916" s="9"/>
      <c r="D916" s="9"/>
      <c r="E916" s="9"/>
      <c r="F916" s="67"/>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row>
    <row r="917" spans="1:47" ht="15.75" customHeight="1">
      <c r="A917" s="9"/>
      <c r="B917" s="9"/>
      <c r="C917" s="9"/>
      <c r="D917" s="9"/>
      <c r="E917" s="9"/>
      <c r="F917" s="67"/>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row>
    <row r="918" spans="1:47" ht="15.75" customHeight="1">
      <c r="A918" s="9"/>
      <c r="B918" s="9"/>
      <c r="C918" s="9"/>
      <c r="D918" s="9"/>
      <c r="E918" s="9"/>
      <c r="F918" s="67"/>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row>
    <row r="919" spans="1:47" ht="15.75" customHeight="1">
      <c r="A919" s="9"/>
      <c r="B919" s="9"/>
      <c r="C919" s="9"/>
      <c r="D919" s="9"/>
      <c r="E919" s="9"/>
      <c r="F919" s="67"/>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row>
    <row r="920" spans="1:47" ht="15.75" customHeight="1">
      <c r="A920" s="9"/>
      <c r="B920" s="9"/>
      <c r="C920" s="9"/>
      <c r="D920" s="9"/>
      <c r="E920" s="9"/>
      <c r="F920" s="67"/>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row>
    <row r="921" spans="1:47" ht="15.75" customHeight="1">
      <c r="A921" s="9"/>
      <c r="B921" s="9"/>
      <c r="C921" s="9"/>
      <c r="D921" s="9"/>
      <c r="E921" s="9"/>
      <c r="F921" s="67"/>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row>
    <row r="922" spans="1:47" ht="15.75" customHeight="1">
      <c r="A922" s="9"/>
      <c r="B922" s="9"/>
      <c r="C922" s="9"/>
      <c r="D922" s="9"/>
      <c r="E922" s="9"/>
      <c r="F922" s="67"/>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row>
    <row r="923" spans="1:47" ht="15.75" customHeight="1">
      <c r="A923" s="9"/>
      <c r="B923" s="9"/>
      <c r="C923" s="9"/>
      <c r="D923" s="9"/>
      <c r="E923" s="9"/>
      <c r="F923" s="67"/>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row>
    <row r="924" spans="1:47" ht="15.75" customHeight="1">
      <c r="A924" s="9"/>
      <c r="B924" s="9"/>
      <c r="C924" s="9"/>
      <c r="D924" s="9"/>
      <c r="E924" s="9"/>
      <c r="F924" s="67"/>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row>
    <row r="925" spans="1:47" ht="15.75" customHeight="1">
      <c r="A925" s="9"/>
      <c r="B925" s="9"/>
      <c r="C925" s="9"/>
      <c r="D925" s="9"/>
      <c r="E925" s="9"/>
      <c r="F925" s="67"/>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row>
    <row r="926" spans="1:47" ht="15.75" customHeight="1">
      <c r="A926" s="9"/>
      <c r="B926" s="9"/>
      <c r="C926" s="9"/>
      <c r="D926" s="9"/>
      <c r="E926" s="9"/>
      <c r="F926" s="67"/>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row>
    <row r="927" spans="1:47" ht="15.75" customHeight="1">
      <c r="A927" s="9"/>
      <c r="B927" s="9"/>
      <c r="C927" s="9"/>
      <c r="D927" s="9"/>
      <c r="E927" s="9"/>
      <c r="F927" s="67"/>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row>
    <row r="928" spans="1:47" ht="15.75" customHeight="1">
      <c r="A928" s="9"/>
      <c r="B928" s="9"/>
      <c r="C928" s="9"/>
      <c r="D928" s="9"/>
      <c r="E928" s="9"/>
      <c r="F928" s="67"/>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row>
    <row r="929" spans="1:47" ht="15.75" customHeight="1">
      <c r="A929" s="9"/>
      <c r="B929" s="9"/>
      <c r="C929" s="9"/>
      <c r="D929" s="9"/>
      <c r="E929" s="9"/>
      <c r="F929" s="67"/>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row>
    <row r="930" spans="1:47" ht="15.75" customHeight="1">
      <c r="A930" s="9"/>
      <c r="B930" s="9"/>
      <c r="C930" s="9"/>
      <c r="D930" s="9"/>
      <c r="E930" s="9"/>
      <c r="F930" s="67"/>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row>
    <row r="931" spans="1:47" ht="15.75" customHeight="1">
      <c r="A931" s="9"/>
      <c r="B931" s="9"/>
      <c r="C931" s="9"/>
      <c r="D931" s="9"/>
      <c r="E931" s="9"/>
      <c r="F931" s="67"/>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row>
    <row r="932" spans="1:47" ht="15.75" customHeight="1">
      <c r="A932" s="9"/>
      <c r="B932" s="9"/>
      <c r="C932" s="9"/>
      <c r="D932" s="9"/>
      <c r="E932" s="9"/>
      <c r="F932" s="67"/>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row>
    <row r="933" spans="1:47" ht="15.75" customHeight="1">
      <c r="A933" s="9"/>
      <c r="B933" s="9"/>
      <c r="C933" s="9"/>
      <c r="D933" s="9"/>
      <c r="E933" s="9"/>
      <c r="F933" s="67"/>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row>
    <row r="934" spans="1:47" ht="15.75" customHeight="1">
      <c r="A934" s="9"/>
      <c r="B934" s="9"/>
      <c r="C934" s="9"/>
      <c r="D934" s="9"/>
      <c r="E934" s="9"/>
      <c r="F934" s="67"/>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row>
    <row r="935" spans="1:47" ht="15.75" customHeight="1">
      <c r="A935" s="9"/>
      <c r="B935" s="9"/>
      <c r="C935" s="9"/>
      <c r="D935" s="9"/>
      <c r="E935" s="9"/>
      <c r="F935" s="67"/>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row>
    <row r="936" spans="1:47" ht="15.75" customHeight="1">
      <c r="A936" s="9"/>
      <c r="B936" s="9"/>
      <c r="C936" s="9"/>
      <c r="D936" s="9"/>
      <c r="E936" s="9"/>
      <c r="F936" s="67"/>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row>
    <row r="937" spans="1:47" ht="15.75" customHeight="1">
      <c r="A937" s="9"/>
      <c r="B937" s="9"/>
      <c r="C937" s="9"/>
      <c r="D937" s="9"/>
      <c r="E937" s="9"/>
      <c r="F937" s="67"/>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row>
    <row r="938" spans="1:47" ht="15.75" customHeight="1">
      <c r="A938" s="9"/>
      <c r="B938" s="9"/>
      <c r="C938" s="9"/>
      <c r="D938" s="9"/>
      <c r="E938" s="9"/>
      <c r="F938" s="67"/>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row>
    <row r="939" spans="1:47" ht="15.75" customHeight="1">
      <c r="A939" s="9"/>
      <c r="B939" s="9"/>
      <c r="C939" s="9"/>
      <c r="D939" s="9"/>
      <c r="E939" s="9"/>
      <c r="F939" s="67"/>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row>
    <row r="940" spans="1:47" ht="15.75" customHeight="1">
      <c r="A940" s="9"/>
      <c r="B940" s="9"/>
      <c r="C940" s="9"/>
      <c r="D940" s="9"/>
      <c r="E940" s="9"/>
      <c r="F940" s="67"/>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row>
    <row r="941" spans="1:47" ht="15.75" customHeight="1">
      <c r="A941" s="9"/>
      <c r="B941" s="9"/>
      <c r="C941" s="9"/>
      <c r="D941" s="9"/>
      <c r="E941" s="9"/>
      <c r="F941" s="67"/>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row>
    <row r="942" spans="1:47" ht="15.75" customHeight="1">
      <c r="A942" s="9"/>
      <c r="B942" s="9"/>
      <c r="C942" s="9"/>
      <c r="D942" s="9"/>
      <c r="E942" s="9"/>
      <c r="F942" s="67"/>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c r="AL942" s="9"/>
      <c r="AM942" s="9"/>
      <c r="AN942" s="9"/>
      <c r="AO942" s="9"/>
      <c r="AP942" s="9"/>
      <c r="AQ942" s="9"/>
      <c r="AR942" s="9"/>
      <c r="AS942" s="9"/>
      <c r="AT942" s="9"/>
      <c r="AU942" s="9"/>
    </row>
    <row r="943" spans="1:47" ht="15.75" customHeight="1">
      <c r="A943" s="9"/>
      <c r="B943" s="9"/>
      <c r="C943" s="9"/>
      <c r="D943" s="9"/>
      <c r="E943" s="9"/>
      <c r="F943" s="67"/>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c r="AL943" s="9"/>
      <c r="AM943" s="9"/>
      <c r="AN943" s="9"/>
      <c r="AO943" s="9"/>
      <c r="AP943" s="9"/>
      <c r="AQ943" s="9"/>
      <c r="AR943" s="9"/>
      <c r="AS943" s="9"/>
      <c r="AT943" s="9"/>
      <c r="AU943" s="9"/>
    </row>
    <row r="944" spans="1:47" ht="15.75" customHeight="1">
      <c r="A944" s="9"/>
      <c r="B944" s="9"/>
      <c r="C944" s="9"/>
      <c r="D944" s="9"/>
      <c r="E944" s="9"/>
      <c r="F944" s="67"/>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row>
    <row r="945" spans="1:47" ht="15.75" customHeight="1">
      <c r="A945" s="9"/>
      <c r="B945" s="9"/>
      <c r="C945" s="9"/>
      <c r="D945" s="9"/>
      <c r="E945" s="9"/>
      <c r="F945" s="67"/>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row>
    <row r="946" spans="1:47" ht="15.75" customHeight="1">
      <c r="A946" s="9"/>
      <c r="B946" s="9"/>
      <c r="C946" s="9"/>
      <c r="D946" s="9"/>
      <c r="E946" s="9"/>
      <c r="F946" s="67"/>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row>
    <row r="947" spans="1:47" ht="15.75" customHeight="1">
      <c r="A947" s="9"/>
      <c r="B947" s="9"/>
      <c r="C947" s="9"/>
      <c r="D947" s="9"/>
      <c r="E947" s="9"/>
      <c r="F947" s="67"/>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row>
    <row r="948" spans="1:47" ht="15.75" customHeight="1">
      <c r="A948" s="9"/>
      <c r="B948" s="9"/>
      <c r="C948" s="9"/>
      <c r="D948" s="9"/>
      <c r="E948" s="9"/>
      <c r="F948" s="67"/>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row>
    <row r="949" spans="1:47" ht="15.75" customHeight="1">
      <c r="A949" s="9"/>
      <c r="B949" s="9"/>
      <c r="C949" s="9"/>
      <c r="D949" s="9"/>
      <c r="E949" s="9"/>
      <c r="F949" s="67"/>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row>
    <row r="950" spans="1:47" ht="15.75" customHeight="1">
      <c r="A950" s="9"/>
      <c r="B950" s="9"/>
      <c r="C950" s="9"/>
      <c r="D950" s="9"/>
      <c r="E950" s="9"/>
      <c r="F950" s="67"/>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row>
    <row r="951" spans="1:47" ht="15.75" customHeight="1">
      <c r="A951" s="9"/>
      <c r="B951" s="9"/>
      <c r="C951" s="9"/>
      <c r="D951" s="9"/>
      <c r="E951" s="9"/>
      <c r="F951" s="67"/>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row>
    <row r="952" spans="1:47" ht="15.75" customHeight="1">
      <c r="A952" s="9"/>
      <c r="B952" s="9"/>
      <c r="C952" s="9"/>
      <c r="D952" s="9"/>
      <c r="E952" s="9"/>
      <c r="F952" s="67"/>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row>
    <row r="953" spans="1:47" ht="15.75" customHeight="1">
      <c r="A953" s="9"/>
      <c r="B953" s="9"/>
      <c r="C953" s="9"/>
      <c r="D953" s="9"/>
      <c r="E953" s="9"/>
      <c r="F953" s="67"/>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row>
    <row r="954" spans="1:47" ht="15.75" customHeight="1">
      <c r="A954" s="9"/>
      <c r="B954" s="9"/>
      <c r="C954" s="9"/>
      <c r="D954" s="9"/>
      <c r="E954" s="9"/>
      <c r="F954" s="67"/>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row>
    <row r="955" spans="1:47" ht="15.75" customHeight="1">
      <c r="A955" s="9"/>
      <c r="B955" s="9"/>
      <c r="C955" s="9"/>
      <c r="D955" s="9"/>
      <c r="E955" s="9"/>
      <c r="F955" s="67"/>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row>
    <row r="956" spans="1:47" ht="15.75" customHeight="1">
      <c r="A956" s="9"/>
      <c r="B956" s="9"/>
      <c r="C956" s="9"/>
      <c r="D956" s="9"/>
      <c r="E956" s="9"/>
      <c r="F956" s="67"/>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row>
    <row r="957" spans="1:47" ht="15.75" customHeight="1">
      <c r="A957" s="9"/>
      <c r="B957" s="9"/>
      <c r="C957" s="9"/>
      <c r="D957" s="9"/>
      <c r="E957" s="9"/>
      <c r="F957" s="67"/>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c r="AL957" s="9"/>
      <c r="AM957" s="9"/>
      <c r="AN957" s="9"/>
      <c r="AO957" s="9"/>
      <c r="AP957" s="9"/>
      <c r="AQ957" s="9"/>
      <c r="AR957" s="9"/>
      <c r="AS957" s="9"/>
      <c r="AT957" s="9"/>
      <c r="AU957" s="9"/>
    </row>
    <row r="958" spans="1:47" ht="15.75" customHeight="1">
      <c r="A958" s="9"/>
      <c r="B958" s="9"/>
      <c r="C958" s="9"/>
      <c r="D958" s="9"/>
      <c r="E958" s="9"/>
      <c r="F958" s="67"/>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c r="AL958" s="9"/>
      <c r="AM958" s="9"/>
      <c r="AN958" s="9"/>
      <c r="AO958" s="9"/>
      <c r="AP958" s="9"/>
      <c r="AQ958" s="9"/>
      <c r="AR958" s="9"/>
      <c r="AS958" s="9"/>
      <c r="AT958" s="9"/>
      <c r="AU958" s="9"/>
    </row>
    <row r="959" spans="1:47" ht="15.75" customHeight="1">
      <c r="A959" s="9"/>
      <c r="B959" s="9"/>
      <c r="C959" s="9"/>
      <c r="D959" s="9"/>
      <c r="E959" s="9"/>
      <c r="F959" s="67"/>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c r="AL959" s="9"/>
      <c r="AM959" s="9"/>
      <c r="AN959" s="9"/>
      <c r="AO959" s="9"/>
      <c r="AP959" s="9"/>
      <c r="AQ959" s="9"/>
      <c r="AR959" s="9"/>
      <c r="AS959" s="9"/>
      <c r="AT959" s="9"/>
      <c r="AU959" s="9"/>
    </row>
    <row r="960" spans="1:47" ht="15.75" customHeight="1">
      <c r="A960" s="9"/>
      <c r="B960" s="9"/>
      <c r="C960" s="9"/>
      <c r="D960" s="9"/>
      <c r="E960" s="9"/>
      <c r="F960" s="67"/>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c r="AL960" s="9"/>
      <c r="AM960" s="9"/>
      <c r="AN960" s="9"/>
      <c r="AO960" s="9"/>
      <c r="AP960" s="9"/>
      <c r="AQ960" s="9"/>
      <c r="AR960" s="9"/>
      <c r="AS960" s="9"/>
      <c r="AT960" s="9"/>
      <c r="AU960" s="9"/>
    </row>
    <row r="961" spans="1:47" ht="15.75" customHeight="1">
      <c r="A961" s="9"/>
      <c r="B961" s="9"/>
      <c r="C961" s="9"/>
      <c r="D961" s="9"/>
      <c r="E961" s="9"/>
      <c r="F961" s="67"/>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c r="AL961" s="9"/>
      <c r="AM961" s="9"/>
      <c r="AN961" s="9"/>
      <c r="AO961" s="9"/>
      <c r="AP961" s="9"/>
      <c r="AQ961" s="9"/>
      <c r="AR961" s="9"/>
      <c r="AS961" s="9"/>
      <c r="AT961" s="9"/>
      <c r="AU961" s="9"/>
    </row>
    <row r="962" spans="1:47" ht="15.75" customHeight="1">
      <c r="A962" s="9"/>
      <c r="B962" s="9"/>
      <c r="C962" s="9"/>
      <c r="D962" s="9"/>
      <c r="E962" s="9"/>
      <c r="F962" s="67"/>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c r="AL962" s="9"/>
      <c r="AM962" s="9"/>
      <c r="AN962" s="9"/>
      <c r="AO962" s="9"/>
      <c r="AP962" s="9"/>
      <c r="AQ962" s="9"/>
      <c r="AR962" s="9"/>
      <c r="AS962" s="9"/>
      <c r="AT962" s="9"/>
      <c r="AU962" s="9"/>
    </row>
    <row r="963" spans="1:47" ht="15.75" customHeight="1">
      <c r="A963" s="9"/>
      <c r="B963" s="9"/>
      <c r="C963" s="9"/>
      <c r="D963" s="9"/>
      <c r="E963" s="9"/>
      <c r="F963" s="67"/>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c r="AL963" s="9"/>
      <c r="AM963" s="9"/>
      <c r="AN963" s="9"/>
      <c r="AO963" s="9"/>
      <c r="AP963" s="9"/>
      <c r="AQ963" s="9"/>
      <c r="AR963" s="9"/>
      <c r="AS963" s="9"/>
      <c r="AT963" s="9"/>
      <c r="AU963" s="9"/>
    </row>
    <row r="964" spans="1:47" ht="15.75" customHeight="1">
      <c r="A964" s="9"/>
      <c r="B964" s="9"/>
      <c r="C964" s="9"/>
      <c r="D964" s="9"/>
      <c r="E964" s="9"/>
      <c r="F964" s="67"/>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c r="AL964" s="9"/>
      <c r="AM964" s="9"/>
      <c r="AN964" s="9"/>
      <c r="AO964" s="9"/>
      <c r="AP964" s="9"/>
      <c r="AQ964" s="9"/>
      <c r="AR964" s="9"/>
      <c r="AS964" s="9"/>
      <c r="AT964" s="9"/>
      <c r="AU964" s="9"/>
    </row>
    <row r="965" spans="1:47" ht="15.75" customHeight="1">
      <c r="A965" s="9"/>
      <c r="B965" s="9"/>
      <c r="C965" s="9"/>
      <c r="D965" s="9"/>
      <c r="E965" s="9"/>
      <c r="F965" s="67"/>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c r="AL965" s="9"/>
      <c r="AM965" s="9"/>
      <c r="AN965" s="9"/>
      <c r="AO965" s="9"/>
      <c r="AP965" s="9"/>
      <c r="AQ965" s="9"/>
      <c r="AR965" s="9"/>
      <c r="AS965" s="9"/>
      <c r="AT965" s="9"/>
      <c r="AU965" s="9"/>
    </row>
    <row r="966" spans="1:47" ht="15.75" customHeight="1">
      <c r="A966" s="9"/>
      <c r="B966" s="9"/>
      <c r="C966" s="9"/>
      <c r="D966" s="9"/>
      <c r="E966" s="9"/>
      <c r="F966" s="67"/>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c r="AL966" s="9"/>
      <c r="AM966" s="9"/>
      <c r="AN966" s="9"/>
      <c r="AO966" s="9"/>
      <c r="AP966" s="9"/>
      <c r="AQ966" s="9"/>
      <c r="AR966" s="9"/>
      <c r="AS966" s="9"/>
      <c r="AT966" s="9"/>
      <c r="AU966" s="9"/>
    </row>
    <row r="967" spans="1:47" ht="15.75" customHeight="1">
      <c r="A967" s="9"/>
      <c r="B967" s="9"/>
      <c r="C967" s="9"/>
      <c r="D967" s="9"/>
      <c r="E967" s="9"/>
      <c r="F967" s="67"/>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c r="AL967" s="9"/>
      <c r="AM967" s="9"/>
      <c r="AN967" s="9"/>
      <c r="AO967" s="9"/>
      <c r="AP967" s="9"/>
      <c r="AQ967" s="9"/>
      <c r="AR967" s="9"/>
      <c r="AS967" s="9"/>
      <c r="AT967" s="9"/>
      <c r="AU967" s="9"/>
    </row>
    <row r="968" spans="1:47" ht="15.75" customHeight="1">
      <c r="A968" s="9"/>
      <c r="B968" s="9"/>
      <c r="C968" s="9"/>
      <c r="D968" s="9"/>
      <c r="E968" s="9"/>
      <c r="F968" s="67"/>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c r="AR968" s="9"/>
      <c r="AS968" s="9"/>
      <c r="AT968" s="9"/>
      <c r="AU968" s="9"/>
    </row>
    <row r="969" spans="1:47" ht="15.75" customHeight="1">
      <c r="A969" s="9"/>
      <c r="B969" s="9"/>
      <c r="C969" s="9"/>
      <c r="D969" s="9"/>
      <c r="E969" s="9"/>
      <c r="F969" s="67"/>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c r="AT969" s="9"/>
      <c r="AU969" s="9"/>
    </row>
    <row r="970" spans="1:47" ht="15.75" customHeight="1">
      <c r="A970" s="9"/>
      <c r="B970" s="9"/>
      <c r="C970" s="9"/>
      <c r="D970" s="9"/>
      <c r="E970" s="9"/>
      <c r="F970" s="67"/>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c r="AR970" s="9"/>
      <c r="AS970" s="9"/>
      <c r="AT970" s="9"/>
      <c r="AU970" s="9"/>
    </row>
    <row r="971" spans="1:47" ht="15.75" customHeight="1">
      <c r="A971" s="9"/>
      <c r="B971" s="9"/>
      <c r="C971" s="9"/>
      <c r="D971" s="9"/>
      <c r="E971" s="9"/>
      <c r="F971" s="67"/>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c r="AT971" s="9"/>
      <c r="AU971" s="9"/>
    </row>
    <row r="972" spans="1:47" ht="15.75" customHeight="1">
      <c r="A972" s="9"/>
      <c r="B972" s="9"/>
      <c r="C972" s="9"/>
      <c r="D972" s="9"/>
      <c r="E972" s="9"/>
      <c r="F972" s="67"/>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c r="AR972" s="9"/>
      <c r="AS972" s="9"/>
      <c r="AT972" s="9"/>
      <c r="AU972" s="9"/>
    </row>
    <row r="973" spans="1:47" ht="15.75" customHeight="1">
      <c r="A973" s="9"/>
      <c r="B973" s="9"/>
      <c r="C973" s="9"/>
      <c r="D973" s="9"/>
      <c r="E973" s="9"/>
      <c r="F973" s="67"/>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c r="AR973" s="9"/>
      <c r="AS973" s="9"/>
      <c r="AT973" s="9"/>
      <c r="AU973" s="9"/>
    </row>
    <row r="974" spans="1:47" ht="15.75" customHeight="1">
      <c r="A974" s="9"/>
      <c r="B974" s="9"/>
      <c r="C974" s="9"/>
      <c r="D974" s="9"/>
      <c r="E974" s="9"/>
      <c r="F974" s="67"/>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c r="AL974" s="9"/>
      <c r="AM974" s="9"/>
      <c r="AN974" s="9"/>
      <c r="AO974" s="9"/>
      <c r="AP974" s="9"/>
      <c r="AQ974" s="9"/>
      <c r="AR974" s="9"/>
      <c r="AS974" s="9"/>
      <c r="AT974" s="9"/>
      <c r="AU974" s="9"/>
    </row>
    <row r="975" spans="1:47" ht="15.75" customHeight="1">
      <c r="A975" s="9"/>
      <c r="B975" s="9"/>
      <c r="C975" s="9"/>
      <c r="D975" s="9"/>
      <c r="E975" s="9"/>
      <c r="F975" s="67"/>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c r="AL975" s="9"/>
      <c r="AM975" s="9"/>
      <c r="AN975" s="9"/>
      <c r="AO975" s="9"/>
      <c r="AP975" s="9"/>
      <c r="AQ975" s="9"/>
      <c r="AR975" s="9"/>
      <c r="AS975" s="9"/>
      <c r="AT975" s="9"/>
      <c r="AU975" s="9"/>
    </row>
    <row r="976" spans="1:47" ht="15.75" customHeight="1">
      <c r="A976" s="9"/>
      <c r="B976" s="9"/>
      <c r="C976" s="9"/>
      <c r="D976" s="9"/>
      <c r="E976" s="9"/>
      <c r="F976" s="67"/>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c r="AL976" s="9"/>
      <c r="AM976" s="9"/>
      <c r="AN976" s="9"/>
      <c r="AO976" s="9"/>
      <c r="AP976" s="9"/>
      <c r="AQ976" s="9"/>
      <c r="AR976" s="9"/>
      <c r="AS976" s="9"/>
      <c r="AT976" s="9"/>
      <c r="AU976" s="9"/>
    </row>
    <row r="977" spans="1:47" ht="15.75" customHeight="1">
      <c r="A977" s="9"/>
      <c r="B977" s="9"/>
      <c r="C977" s="9"/>
      <c r="D977" s="9"/>
      <c r="E977" s="9"/>
      <c r="F977" s="67"/>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c r="AL977" s="9"/>
      <c r="AM977" s="9"/>
      <c r="AN977" s="9"/>
      <c r="AO977" s="9"/>
      <c r="AP977" s="9"/>
      <c r="AQ977" s="9"/>
      <c r="AR977" s="9"/>
      <c r="AS977" s="9"/>
      <c r="AT977" s="9"/>
      <c r="AU977" s="9"/>
    </row>
    <row r="978" spans="1:47" ht="15.75" customHeight="1">
      <c r="A978" s="9"/>
      <c r="B978" s="9"/>
      <c r="C978" s="9"/>
      <c r="D978" s="9"/>
      <c r="E978" s="9"/>
      <c r="F978" s="67"/>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c r="AL978" s="9"/>
      <c r="AM978" s="9"/>
      <c r="AN978" s="9"/>
      <c r="AO978" s="9"/>
      <c r="AP978" s="9"/>
      <c r="AQ978" s="9"/>
      <c r="AR978" s="9"/>
      <c r="AS978" s="9"/>
      <c r="AT978" s="9"/>
      <c r="AU978" s="9"/>
    </row>
    <row r="979" spans="1:47" ht="15.75" customHeight="1">
      <c r="A979" s="9"/>
      <c r="B979" s="9"/>
      <c r="C979" s="9"/>
      <c r="D979" s="9"/>
      <c r="E979" s="9"/>
      <c r="F979" s="67"/>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c r="AL979" s="9"/>
      <c r="AM979" s="9"/>
      <c r="AN979" s="9"/>
      <c r="AO979" s="9"/>
      <c r="AP979" s="9"/>
      <c r="AQ979" s="9"/>
      <c r="AR979" s="9"/>
      <c r="AS979" s="9"/>
      <c r="AT979" s="9"/>
      <c r="AU979" s="9"/>
    </row>
    <row r="980" spans="1:47" ht="15.75" customHeight="1">
      <c r="A980" s="9"/>
      <c r="B980" s="9"/>
      <c r="C980" s="9"/>
      <c r="D980" s="9"/>
      <c r="E980" s="9"/>
      <c r="F980" s="67"/>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c r="AL980" s="9"/>
      <c r="AM980" s="9"/>
      <c r="AN980" s="9"/>
      <c r="AO980" s="9"/>
      <c r="AP980" s="9"/>
      <c r="AQ980" s="9"/>
      <c r="AR980" s="9"/>
      <c r="AS980" s="9"/>
      <c r="AT980" s="9"/>
      <c r="AU980" s="9"/>
    </row>
    <row r="981" spans="1:47" ht="15.75" customHeight="1">
      <c r="A981" s="9"/>
      <c r="B981" s="9"/>
      <c r="C981" s="9"/>
      <c r="D981" s="9"/>
      <c r="E981" s="9"/>
      <c r="F981" s="67"/>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c r="AL981" s="9"/>
      <c r="AM981" s="9"/>
      <c r="AN981" s="9"/>
      <c r="AO981" s="9"/>
      <c r="AP981" s="9"/>
      <c r="AQ981" s="9"/>
      <c r="AR981" s="9"/>
      <c r="AS981" s="9"/>
      <c r="AT981" s="9"/>
      <c r="AU981" s="9"/>
    </row>
    <row r="982" spans="1:47" ht="15.75" customHeight="1">
      <c r="A982" s="9"/>
      <c r="B982" s="9"/>
      <c r="C982" s="9"/>
      <c r="D982" s="9"/>
      <c r="E982" s="9"/>
      <c r="F982" s="67"/>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c r="AL982" s="9"/>
      <c r="AM982" s="9"/>
      <c r="AN982" s="9"/>
      <c r="AO982" s="9"/>
      <c r="AP982" s="9"/>
      <c r="AQ982" s="9"/>
      <c r="AR982" s="9"/>
      <c r="AS982" s="9"/>
      <c r="AT982" s="9"/>
      <c r="AU982" s="9"/>
    </row>
    <row r="983" spans="1:47" ht="15.75" customHeight="1">
      <c r="A983" s="9"/>
      <c r="B983" s="9"/>
      <c r="C983" s="9"/>
      <c r="D983" s="9"/>
      <c r="E983" s="9"/>
      <c r="F983" s="67"/>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c r="AL983" s="9"/>
      <c r="AM983" s="9"/>
      <c r="AN983" s="9"/>
      <c r="AO983" s="9"/>
      <c r="AP983" s="9"/>
      <c r="AQ983" s="9"/>
      <c r="AR983" s="9"/>
      <c r="AS983" s="9"/>
      <c r="AT983" s="9"/>
      <c r="AU983" s="9"/>
    </row>
    <row r="984" spans="1:47" ht="15.75" customHeight="1">
      <c r="A984" s="9"/>
      <c r="B984" s="9"/>
      <c r="C984" s="9"/>
      <c r="D984" s="9"/>
      <c r="E984" s="9"/>
      <c r="F984" s="67"/>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c r="AL984" s="9"/>
      <c r="AM984" s="9"/>
      <c r="AN984" s="9"/>
      <c r="AO984" s="9"/>
      <c r="AP984" s="9"/>
      <c r="AQ984" s="9"/>
      <c r="AR984" s="9"/>
      <c r="AS984" s="9"/>
      <c r="AT984" s="9"/>
      <c r="AU984" s="9"/>
    </row>
    <row r="985" spans="1:47" ht="15.75" customHeight="1">
      <c r="A985" s="9"/>
      <c r="B985" s="9"/>
      <c r="C985" s="9"/>
      <c r="D985" s="9"/>
      <c r="E985" s="9"/>
      <c r="F985" s="67"/>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c r="AL985" s="9"/>
      <c r="AM985" s="9"/>
      <c r="AN985" s="9"/>
      <c r="AO985" s="9"/>
      <c r="AP985" s="9"/>
      <c r="AQ985" s="9"/>
      <c r="AR985" s="9"/>
      <c r="AS985" s="9"/>
      <c r="AT985" s="9"/>
      <c r="AU985" s="9"/>
    </row>
    <row r="986" spans="1:47" ht="15.75" customHeight="1">
      <c r="A986" s="9"/>
      <c r="B986" s="9"/>
      <c r="C986" s="9"/>
      <c r="D986" s="9"/>
      <c r="E986" s="9"/>
      <c r="F986" s="67"/>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c r="AL986" s="9"/>
      <c r="AM986" s="9"/>
      <c r="AN986" s="9"/>
      <c r="AO986" s="9"/>
      <c r="AP986" s="9"/>
      <c r="AQ986" s="9"/>
      <c r="AR986" s="9"/>
      <c r="AS986" s="9"/>
      <c r="AT986" s="9"/>
      <c r="AU986" s="9"/>
    </row>
    <row r="987" spans="1:47" ht="15.75" customHeight="1">
      <c r="A987" s="9"/>
      <c r="B987" s="9"/>
      <c r="C987" s="9"/>
      <c r="D987" s="9"/>
      <c r="E987" s="9"/>
      <c r="F987" s="67"/>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c r="AL987" s="9"/>
      <c r="AM987" s="9"/>
      <c r="AN987" s="9"/>
      <c r="AO987" s="9"/>
      <c r="AP987" s="9"/>
      <c r="AQ987" s="9"/>
      <c r="AR987" s="9"/>
      <c r="AS987" s="9"/>
      <c r="AT987" s="9"/>
      <c r="AU987" s="9"/>
    </row>
    <row r="988" spans="1:47" ht="15.75" customHeight="1">
      <c r="A988" s="9"/>
      <c r="B988" s="9"/>
      <c r="C988" s="9"/>
      <c r="D988" s="9"/>
      <c r="E988" s="9"/>
      <c r="F988" s="67"/>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c r="AL988" s="9"/>
      <c r="AM988" s="9"/>
      <c r="AN988" s="9"/>
      <c r="AO988" s="9"/>
      <c r="AP988" s="9"/>
      <c r="AQ988" s="9"/>
      <c r="AR988" s="9"/>
      <c r="AS988" s="9"/>
      <c r="AT988" s="9"/>
      <c r="AU988" s="9"/>
    </row>
    <row r="989" spans="1:47" ht="15.75" customHeight="1">
      <c r="A989" s="9"/>
      <c r="B989" s="9"/>
      <c r="C989" s="9"/>
      <c r="D989" s="9"/>
      <c r="E989" s="9"/>
      <c r="F989" s="67"/>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c r="AL989" s="9"/>
      <c r="AM989" s="9"/>
      <c r="AN989" s="9"/>
      <c r="AO989" s="9"/>
      <c r="AP989" s="9"/>
      <c r="AQ989" s="9"/>
      <c r="AR989" s="9"/>
      <c r="AS989" s="9"/>
      <c r="AT989" s="9"/>
      <c r="AU989" s="9"/>
    </row>
    <row r="990" spans="1:47" ht="15.75" customHeight="1">
      <c r="A990" s="9"/>
      <c r="B990" s="9"/>
      <c r="C990" s="9"/>
      <c r="D990" s="9"/>
      <c r="E990" s="9"/>
      <c r="F990" s="67"/>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c r="AL990" s="9"/>
      <c r="AM990" s="9"/>
      <c r="AN990" s="9"/>
      <c r="AO990" s="9"/>
      <c r="AP990" s="9"/>
      <c r="AQ990" s="9"/>
      <c r="AR990" s="9"/>
      <c r="AS990" s="9"/>
      <c r="AT990" s="9"/>
      <c r="AU990" s="9"/>
    </row>
    <row r="991" spans="1:47" ht="15.75" customHeight="1">
      <c r="A991" s="9"/>
      <c r="B991" s="9"/>
      <c r="C991" s="9"/>
      <c r="D991" s="9"/>
      <c r="E991" s="9"/>
      <c r="F991" s="67"/>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c r="AL991" s="9"/>
      <c r="AM991" s="9"/>
      <c r="AN991" s="9"/>
      <c r="AO991" s="9"/>
      <c r="AP991" s="9"/>
      <c r="AQ991" s="9"/>
      <c r="AR991" s="9"/>
      <c r="AS991" s="9"/>
      <c r="AT991" s="9"/>
      <c r="AU991" s="9"/>
    </row>
    <row r="992" spans="1:47" ht="15.75" customHeight="1">
      <c r="A992" s="9"/>
      <c r="B992" s="9"/>
      <c r="C992" s="9"/>
      <c r="D992" s="9"/>
      <c r="E992" s="9"/>
      <c r="F992" s="67"/>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c r="AL992" s="9"/>
      <c r="AM992" s="9"/>
      <c r="AN992" s="9"/>
      <c r="AO992" s="9"/>
      <c r="AP992" s="9"/>
      <c r="AQ992" s="9"/>
      <c r="AR992" s="9"/>
      <c r="AS992" s="9"/>
      <c r="AT992" s="9"/>
      <c r="AU992" s="9"/>
    </row>
    <row r="993" spans="1:47" ht="15.75" customHeight="1">
      <c r="A993" s="9"/>
      <c r="B993" s="9"/>
      <c r="C993" s="9"/>
      <c r="D993" s="9"/>
      <c r="E993" s="9"/>
      <c r="F993" s="67"/>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c r="AL993" s="9"/>
      <c r="AM993" s="9"/>
      <c r="AN993" s="9"/>
      <c r="AO993" s="9"/>
      <c r="AP993" s="9"/>
      <c r="AQ993" s="9"/>
      <c r="AR993" s="9"/>
      <c r="AS993" s="9"/>
      <c r="AT993" s="9"/>
      <c r="AU993" s="9"/>
    </row>
    <row r="994" spans="1:47" ht="15.75" customHeight="1">
      <c r="A994" s="9"/>
      <c r="B994" s="9"/>
      <c r="C994" s="9"/>
      <c r="D994" s="9"/>
      <c r="E994" s="9"/>
      <c r="F994" s="67"/>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c r="AL994" s="9"/>
      <c r="AM994" s="9"/>
      <c r="AN994" s="9"/>
      <c r="AO994" s="9"/>
      <c r="AP994" s="9"/>
      <c r="AQ994" s="9"/>
      <c r="AR994" s="9"/>
      <c r="AS994" s="9"/>
      <c r="AT994" s="9"/>
      <c r="AU994" s="9"/>
    </row>
    <row r="995" spans="1:47" ht="15.75" customHeight="1">
      <c r="A995" s="9"/>
      <c r="B995" s="9"/>
      <c r="C995" s="9"/>
      <c r="D995" s="9"/>
      <c r="E995" s="9"/>
      <c r="F995" s="67"/>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c r="AL995" s="9"/>
      <c r="AM995" s="9"/>
      <c r="AN995" s="9"/>
      <c r="AO995" s="9"/>
      <c r="AP995" s="9"/>
      <c r="AQ995" s="9"/>
      <c r="AR995" s="9"/>
      <c r="AS995" s="9"/>
      <c r="AT995" s="9"/>
      <c r="AU995" s="9"/>
    </row>
    <row r="996" spans="1:47" ht="15.75" customHeight="1">
      <c r="A996" s="9"/>
      <c r="B996" s="9"/>
      <c r="C996" s="9"/>
      <c r="D996" s="9"/>
      <c r="E996" s="9"/>
      <c r="F996" s="67"/>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c r="AL996" s="9"/>
      <c r="AM996" s="9"/>
      <c r="AN996" s="9"/>
      <c r="AO996" s="9"/>
      <c r="AP996" s="9"/>
      <c r="AQ996" s="9"/>
      <c r="AR996" s="9"/>
      <c r="AS996" s="9"/>
      <c r="AT996" s="9"/>
      <c r="AU996" s="9"/>
    </row>
    <row r="997" spans="1:47" ht="15.75" customHeight="1">
      <c r="A997" s="9"/>
      <c r="B997" s="9"/>
      <c r="C997" s="9"/>
      <c r="D997" s="9"/>
      <c r="E997" s="9"/>
      <c r="F997" s="67"/>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c r="AL997" s="9"/>
      <c r="AM997" s="9"/>
      <c r="AN997" s="9"/>
      <c r="AO997" s="9"/>
      <c r="AP997" s="9"/>
      <c r="AQ997" s="9"/>
      <c r="AR997" s="9"/>
      <c r="AS997" s="9"/>
      <c r="AT997" s="9"/>
      <c r="AU997" s="9"/>
    </row>
    <row r="998" spans="1:47" ht="15.75" customHeight="1">
      <c r="A998" s="9"/>
      <c r="B998" s="9"/>
      <c r="C998" s="9"/>
      <c r="D998" s="9"/>
      <c r="E998" s="9"/>
      <c r="F998" s="67"/>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c r="AL998" s="9"/>
      <c r="AM998" s="9"/>
      <c r="AN998" s="9"/>
      <c r="AO998" s="9"/>
      <c r="AP998" s="9"/>
      <c r="AQ998" s="9"/>
      <c r="AR998" s="9"/>
      <c r="AS998" s="9"/>
      <c r="AT998" s="9"/>
      <c r="AU998" s="9"/>
    </row>
    <row r="999" spans="1:47" ht="15.75" customHeight="1">
      <c r="A999" s="9"/>
      <c r="B999" s="9"/>
      <c r="C999" s="9"/>
      <c r="D999" s="9"/>
      <c r="E999" s="9"/>
      <c r="F999" s="67"/>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c r="AL999" s="9"/>
      <c r="AM999" s="9"/>
      <c r="AN999" s="9"/>
      <c r="AO999" s="9"/>
      <c r="AP999" s="9"/>
      <c r="AQ999" s="9"/>
      <c r="AR999" s="9"/>
      <c r="AS999" s="9"/>
      <c r="AT999" s="9"/>
      <c r="AU999" s="9"/>
    </row>
    <row r="1000" spans="1:47" ht="15.75" customHeight="1">
      <c r="A1000" s="9"/>
      <c r="B1000" s="9"/>
      <c r="C1000" s="9"/>
      <c r="D1000" s="9"/>
      <c r="E1000" s="9"/>
      <c r="F1000" s="67"/>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c r="AL1000" s="9"/>
      <c r="AM1000" s="9"/>
      <c r="AN1000" s="9"/>
      <c r="AO1000" s="9"/>
      <c r="AP1000" s="9"/>
      <c r="AQ1000" s="9"/>
      <c r="AR1000" s="9"/>
      <c r="AS1000" s="9"/>
      <c r="AT1000" s="9"/>
      <c r="AU1000" s="9"/>
    </row>
    <row r="1001" spans="1:47" ht="15.75" customHeight="1">
      <c r="A1001" s="9"/>
      <c r="B1001" s="9"/>
      <c r="C1001" s="9"/>
      <c r="D1001" s="9"/>
      <c r="E1001" s="9"/>
      <c r="F1001" s="67"/>
      <c r="G1001" s="9"/>
      <c r="H1001" s="9"/>
      <c r="I1001" s="9"/>
      <c r="J1001" s="9"/>
      <c r="K1001" s="9"/>
      <c r="L1001" s="9"/>
      <c r="M1001" s="9"/>
      <c r="N1001" s="9"/>
      <c r="O1001" s="9"/>
      <c r="P1001" s="9"/>
      <c r="Q1001" s="9"/>
      <c r="R1001" s="9"/>
      <c r="S1001" s="9"/>
      <c r="T1001" s="9"/>
      <c r="U1001" s="9"/>
      <c r="V1001" s="9"/>
      <c r="W1001" s="9"/>
      <c r="X1001" s="9"/>
      <c r="Y1001" s="9"/>
      <c r="Z1001" s="9"/>
      <c r="AA1001" s="9"/>
      <c r="AB1001" s="9"/>
      <c r="AC1001" s="9"/>
      <c r="AD1001" s="9"/>
      <c r="AE1001" s="9"/>
      <c r="AF1001" s="9"/>
      <c r="AG1001" s="9"/>
      <c r="AH1001" s="9"/>
      <c r="AI1001" s="9"/>
      <c r="AJ1001" s="9"/>
      <c r="AK1001" s="9"/>
      <c r="AL1001" s="9"/>
      <c r="AM1001" s="9"/>
      <c r="AN1001" s="9"/>
      <c r="AO1001" s="9"/>
      <c r="AP1001" s="9"/>
      <c r="AQ1001" s="9"/>
      <c r="AR1001" s="9"/>
      <c r="AS1001" s="9"/>
      <c r="AT1001" s="9"/>
      <c r="AU1001" s="9"/>
    </row>
    <row r="1002" spans="1:47" ht="15.75" customHeight="1">
      <c r="A1002" s="9"/>
      <c r="B1002" s="9"/>
      <c r="C1002" s="9"/>
      <c r="D1002" s="9"/>
      <c r="E1002" s="9"/>
      <c r="F1002" s="67"/>
      <c r="G1002" s="9"/>
      <c r="H1002" s="9"/>
      <c r="I1002" s="9"/>
      <c r="J1002" s="9"/>
      <c r="K1002" s="9"/>
      <c r="L1002" s="9"/>
      <c r="M1002" s="9"/>
      <c r="N1002" s="9"/>
      <c r="O1002" s="9"/>
      <c r="P1002" s="9"/>
      <c r="Q1002" s="9"/>
      <c r="R1002" s="9"/>
      <c r="S1002" s="9"/>
      <c r="T1002" s="9"/>
      <c r="U1002" s="9"/>
      <c r="V1002" s="9"/>
      <c r="W1002" s="9"/>
      <c r="X1002" s="9"/>
      <c r="Y1002" s="9"/>
      <c r="Z1002" s="9"/>
      <c r="AA1002" s="9"/>
      <c r="AB1002" s="9"/>
      <c r="AC1002" s="9"/>
      <c r="AD1002" s="9"/>
      <c r="AE1002" s="9"/>
      <c r="AF1002" s="9"/>
      <c r="AG1002" s="9"/>
      <c r="AH1002" s="9"/>
      <c r="AI1002" s="9"/>
      <c r="AJ1002" s="9"/>
      <c r="AK1002" s="9"/>
      <c r="AL1002" s="9"/>
      <c r="AM1002" s="9"/>
      <c r="AN1002" s="9"/>
      <c r="AO1002" s="9"/>
      <c r="AP1002" s="9"/>
      <c r="AQ1002" s="9"/>
      <c r="AR1002" s="9"/>
      <c r="AS1002" s="9"/>
      <c r="AT1002" s="9"/>
      <c r="AU1002" s="9"/>
    </row>
    <row r="1003" spans="1:47" ht="15.75" customHeight="1">
      <c r="A1003" s="9"/>
      <c r="B1003" s="9"/>
      <c r="C1003" s="9"/>
      <c r="D1003" s="9"/>
      <c r="E1003" s="9"/>
      <c r="F1003" s="67"/>
      <c r="G1003" s="9"/>
      <c r="H1003" s="9"/>
      <c r="I1003" s="9"/>
      <c r="J1003" s="9"/>
      <c r="K1003" s="9"/>
      <c r="L1003" s="9"/>
      <c r="M1003" s="9"/>
      <c r="N1003" s="9"/>
      <c r="O1003" s="9"/>
      <c r="P1003" s="9"/>
      <c r="Q1003" s="9"/>
      <c r="R1003" s="9"/>
      <c r="S1003" s="9"/>
      <c r="T1003" s="9"/>
      <c r="U1003" s="9"/>
      <c r="V1003" s="9"/>
      <c r="W1003" s="9"/>
      <c r="X1003" s="9"/>
      <c r="Y1003" s="9"/>
      <c r="Z1003" s="9"/>
      <c r="AA1003" s="9"/>
      <c r="AB1003" s="9"/>
      <c r="AC1003" s="9"/>
      <c r="AD1003" s="9"/>
      <c r="AE1003" s="9"/>
      <c r="AF1003" s="9"/>
      <c r="AG1003" s="9"/>
      <c r="AH1003" s="9"/>
      <c r="AI1003" s="9"/>
      <c r="AJ1003" s="9"/>
      <c r="AK1003" s="9"/>
      <c r="AL1003" s="9"/>
      <c r="AM1003" s="9"/>
      <c r="AN1003" s="9"/>
      <c r="AO1003" s="9"/>
      <c r="AP1003" s="9"/>
      <c r="AQ1003" s="9"/>
      <c r="AR1003" s="9"/>
      <c r="AS1003" s="9"/>
      <c r="AT1003" s="9"/>
      <c r="AU1003" s="9"/>
    </row>
    <row r="1004" spans="1:47" ht="15.75" customHeight="1">
      <c r="A1004" s="9"/>
      <c r="B1004" s="9"/>
      <c r="C1004" s="9"/>
      <c r="D1004" s="9"/>
      <c r="E1004" s="9"/>
      <c r="F1004" s="67"/>
      <c r="G1004" s="9"/>
      <c r="H1004" s="9"/>
      <c r="I1004" s="9"/>
      <c r="J1004" s="9"/>
      <c r="K1004" s="9"/>
      <c r="L1004" s="9"/>
      <c r="M1004" s="9"/>
      <c r="N1004" s="9"/>
      <c r="O1004" s="9"/>
      <c r="P1004" s="9"/>
      <c r="Q1004" s="9"/>
      <c r="R1004" s="9"/>
      <c r="S1004" s="9"/>
      <c r="T1004" s="9"/>
      <c r="U1004" s="9"/>
      <c r="V1004" s="9"/>
      <c r="W1004" s="9"/>
      <c r="X1004" s="9"/>
      <c r="Y1004" s="9"/>
      <c r="Z1004" s="9"/>
      <c r="AA1004" s="9"/>
      <c r="AB1004" s="9"/>
      <c r="AC1004" s="9"/>
      <c r="AD1004" s="9"/>
      <c r="AE1004" s="9"/>
      <c r="AF1004" s="9"/>
      <c r="AG1004" s="9"/>
      <c r="AH1004" s="9"/>
      <c r="AI1004" s="9"/>
      <c r="AJ1004" s="9"/>
      <c r="AK1004" s="9"/>
      <c r="AL1004" s="9"/>
      <c r="AM1004" s="9"/>
      <c r="AN1004" s="9"/>
      <c r="AO1004" s="9"/>
      <c r="AP1004" s="9"/>
      <c r="AQ1004" s="9"/>
      <c r="AR1004" s="9"/>
      <c r="AS1004" s="9"/>
      <c r="AT1004" s="9"/>
      <c r="AU1004" s="9"/>
    </row>
    <row r="1005" spans="1:47" ht="15.75" customHeight="1">
      <c r="A1005" s="9"/>
      <c r="B1005" s="9"/>
      <c r="C1005" s="9"/>
      <c r="D1005" s="9"/>
      <c r="E1005" s="9"/>
      <c r="F1005" s="67"/>
      <c r="G1005" s="9"/>
      <c r="H1005" s="9"/>
      <c r="I1005" s="9"/>
      <c r="J1005" s="9"/>
      <c r="K1005" s="9"/>
      <c r="L1005" s="9"/>
      <c r="M1005" s="9"/>
      <c r="N1005" s="9"/>
      <c r="O1005" s="9"/>
      <c r="P1005" s="9"/>
      <c r="Q1005" s="9"/>
      <c r="R1005" s="9"/>
      <c r="S1005" s="9"/>
      <c r="T1005" s="9"/>
      <c r="U1005" s="9"/>
      <c r="V1005" s="9"/>
      <c r="W1005" s="9"/>
      <c r="X1005" s="9"/>
      <c r="Y1005" s="9"/>
      <c r="Z1005" s="9"/>
      <c r="AA1005" s="9"/>
      <c r="AB1005" s="9"/>
      <c r="AC1005" s="9"/>
      <c r="AD1005" s="9"/>
      <c r="AE1005" s="9"/>
      <c r="AF1005" s="9"/>
      <c r="AG1005" s="9"/>
      <c r="AH1005" s="9"/>
      <c r="AI1005" s="9"/>
      <c r="AJ1005" s="9"/>
      <c r="AK1005" s="9"/>
      <c r="AL1005" s="9"/>
      <c r="AM1005" s="9"/>
      <c r="AN1005" s="9"/>
      <c r="AO1005" s="9"/>
      <c r="AP1005" s="9"/>
      <c r="AQ1005" s="9"/>
      <c r="AR1005" s="9"/>
      <c r="AS1005" s="9"/>
      <c r="AT1005" s="9"/>
      <c r="AU1005" s="9"/>
    </row>
    <row r="1006" spans="1:47" ht="15.75" customHeight="1">
      <c r="A1006" s="9"/>
      <c r="B1006" s="9"/>
      <c r="C1006" s="9"/>
      <c r="D1006" s="9"/>
      <c r="E1006" s="9"/>
      <c r="F1006" s="67"/>
      <c r="G1006" s="9"/>
      <c r="H1006" s="9"/>
      <c r="I1006" s="9"/>
      <c r="J1006" s="9"/>
      <c r="K1006" s="9"/>
      <c r="L1006" s="9"/>
      <c r="M1006" s="9"/>
      <c r="N1006" s="9"/>
      <c r="O1006" s="9"/>
      <c r="P1006" s="9"/>
      <c r="Q1006" s="9"/>
      <c r="R1006" s="9"/>
      <c r="S1006" s="9"/>
      <c r="T1006" s="9"/>
      <c r="U1006" s="9"/>
      <c r="V1006" s="9"/>
      <c r="W1006" s="9"/>
      <c r="X1006" s="9"/>
      <c r="Y1006" s="9"/>
      <c r="Z1006" s="9"/>
      <c r="AA1006" s="9"/>
      <c r="AB1006" s="9"/>
      <c r="AC1006" s="9"/>
      <c r="AD1006" s="9"/>
      <c r="AE1006" s="9"/>
      <c r="AF1006" s="9"/>
      <c r="AG1006" s="9"/>
      <c r="AH1006" s="9"/>
      <c r="AI1006" s="9"/>
      <c r="AJ1006" s="9"/>
      <c r="AK1006" s="9"/>
      <c r="AL1006" s="9"/>
      <c r="AM1006" s="9"/>
      <c r="AN1006" s="9"/>
      <c r="AO1006" s="9"/>
      <c r="AP1006" s="9"/>
      <c r="AQ1006" s="9"/>
      <c r="AR1006" s="9"/>
      <c r="AS1006" s="9"/>
      <c r="AT1006" s="9"/>
      <c r="AU1006" s="9"/>
    </row>
    <row r="1007" spans="1:47" ht="15.75" customHeight="1">
      <c r="A1007" s="9"/>
      <c r="B1007" s="9"/>
      <c r="C1007" s="9"/>
      <c r="D1007" s="9"/>
      <c r="E1007" s="9"/>
      <c r="F1007" s="67"/>
      <c r="G1007" s="9"/>
      <c r="H1007" s="9"/>
      <c r="I1007" s="9"/>
      <c r="J1007" s="9"/>
      <c r="K1007" s="9"/>
      <c r="L1007" s="9"/>
      <c r="M1007" s="9"/>
      <c r="N1007" s="9"/>
      <c r="O1007" s="9"/>
      <c r="P1007" s="9"/>
      <c r="Q1007" s="9"/>
      <c r="R1007" s="9"/>
      <c r="S1007" s="9"/>
      <c r="T1007" s="9"/>
      <c r="U1007" s="9"/>
      <c r="V1007" s="9"/>
      <c r="W1007" s="9"/>
      <c r="X1007" s="9"/>
      <c r="Y1007" s="9"/>
      <c r="Z1007" s="9"/>
      <c r="AA1007" s="9"/>
      <c r="AB1007" s="9"/>
      <c r="AC1007" s="9"/>
      <c r="AD1007" s="9"/>
      <c r="AE1007" s="9"/>
      <c r="AF1007" s="9"/>
      <c r="AG1007" s="9"/>
      <c r="AH1007" s="9"/>
      <c r="AI1007" s="9"/>
      <c r="AJ1007" s="9"/>
      <c r="AK1007" s="9"/>
      <c r="AL1007" s="9"/>
      <c r="AM1007" s="9"/>
      <c r="AN1007" s="9"/>
      <c r="AO1007" s="9"/>
      <c r="AP1007" s="9"/>
      <c r="AQ1007" s="9"/>
      <c r="AR1007" s="9"/>
      <c r="AS1007" s="9"/>
      <c r="AT1007" s="9"/>
      <c r="AU1007" s="9"/>
    </row>
    <row r="1008" spans="1:47" ht="15.75" customHeight="1">
      <c r="A1008" s="9"/>
      <c r="B1008" s="9"/>
      <c r="C1008" s="9"/>
      <c r="D1008" s="9"/>
      <c r="E1008" s="9"/>
      <c r="F1008" s="67"/>
      <c r="G1008" s="9"/>
      <c r="H1008" s="9"/>
      <c r="I1008" s="9"/>
      <c r="J1008" s="9"/>
      <c r="K1008" s="9"/>
      <c r="L1008" s="9"/>
      <c r="M1008" s="9"/>
      <c r="N1008" s="9"/>
      <c r="O1008" s="9"/>
      <c r="P1008" s="9"/>
      <c r="Q1008" s="9"/>
      <c r="R1008" s="9"/>
      <c r="S1008" s="9"/>
      <c r="T1008" s="9"/>
      <c r="U1008" s="9"/>
      <c r="V1008" s="9"/>
      <c r="W1008" s="9"/>
      <c r="X1008" s="9"/>
      <c r="Y1008" s="9"/>
      <c r="Z1008" s="9"/>
      <c r="AA1008" s="9"/>
      <c r="AB1008" s="9"/>
      <c r="AC1008" s="9"/>
      <c r="AD1008" s="9"/>
      <c r="AE1008" s="9"/>
      <c r="AF1008" s="9"/>
      <c r="AG1008" s="9"/>
      <c r="AH1008" s="9"/>
      <c r="AI1008" s="9"/>
      <c r="AJ1008" s="9"/>
      <c r="AK1008" s="9"/>
      <c r="AL1008" s="9"/>
      <c r="AM1008" s="9"/>
      <c r="AN1008" s="9"/>
      <c r="AO1008" s="9"/>
      <c r="AP1008" s="9"/>
      <c r="AQ1008" s="9"/>
      <c r="AR1008" s="9"/>
      <c r="AS1008" s="9"/>
      <c r="AT1008" s="9"/>
      <c r="AU1008" s="9"/>
    </row>
    <row r="1009" spans="1:47" ht="15.75" customHeight="1">
      <c r="A1009" s="9"/>
      <c r="B1009" s="9"/>
      <c r="C1009" s="9"/>
      <c r="D1009" s="9"/>
      <c r="E1009" s="9"/>
      <c r="F1009" s="67"/>
      <c r="G1009" s="9"/>
      <c r="H1009" s="9"/>
      <c r="I1009" s="9"/>
      <c r="J1009" s="9"/>
      <c r="K1009" s="9"/>
      <c r="L1009" s="9"/>
      <c r="M1009" s="9"/>
      <c r="N1009" s="9"/>
      <c r="O1009" s="9"/>
      <c r="P1009" s="9"/>
      <c r="Q1009" s="9"/>
      <c r="R1009" s="9"/>
      <c r="S1009" s="9"/>
      <c r="T1009" s="9"/>
      <c r="U1009" s="9"/>
      <c r="V1009" s="9"/>
      <c r="W1009" s="9"/>
      <c r="X1009" s="9"/>
      <c r="Y1009" s="9"/>
      <c r="Z1009" s="9"/>
      <c r="AA1009" s="9"/>
      <c r="AB1009" s="9"/>
      <c r="AC1009" s="9"/>
      <c r="AD1009" s="9"/>
      <c r="AE1009" s="9"/>
      <c r="AF1009" s="9"/>
      <c r="AG1009" s="9"/>
      <c r="AH1009" s="9"/>
      <c r="AI1009" s="9"/>
      <c r="AJ1009" s="9"/>
      <c r="AK1009" s="9"/>
      <c r="AL1009" s="9"/>
      <c r="AM1009" s="9"/>
      <c r="AN1009" s="9"/>
      <c r="AO1009" s="9"/>
      <c r="AP1009" s="9"/>
      <c r="AQ1009" s="9"/>
      <c r="AR1009" s="9"/>
      <c r="AS1009" s="9"/>
      <c r="AT1009" s="9"/>
      <c r="AU1009" s="9"/>
    </row>
    <row r="1010" spans="1:47" ht="15.75" customHeight="1">
      <c r="A1010" s="9"/>
      <c r="B1010" s="9"/>
      <c r="C1010" s="9"/>
      <c r="D1010" s="9"/>
      <c r="E1010" s="9"/>
      <c r="F1010" s="67"/>
      <c r="G1010" s="9"/>
      <c r="H1010" s="9"/>
      <c r="I1010" s="9"/>
      <c r="J1010" s="9"/>
      <c r="K1010" s="9"/>
      <c r="L1010" s="9"/>
      <c r="M1010" s="9"/>
      <c r="N1010" s="9"/>
      <c r="O1010" s="9"/>
      <c r="P1010" s="9"/>
      <c r="Q1010" s="9"/>
      <c r="R1010" s="9"/>
      <c r="S1010" s="9"/>
      <c r="T1010" s="9"/>
      <c r="U1010" s="9"/>
      <c r="V1010" s="9"/>
      <c r="W1010" s="9"/>
      <c r="X1010" s="9"/>
      <c r="Y1010" s="9"/>
      <c r="Z1010" s="9"/>
      <c r="AA1010" s="9"/>
      <c r="AB1010" s="9"/>
      <c r="AC1010" s="9"/>
      <c r="AD1010" s="9"/>
      <c r="AE1010" s="9"/>
      <c r="AF1010" s="9"/>
      <c r="AG1010" s="9"/>
      <c r="AH1010" s="9"/>
      <c r="AI1010" s="9"/>
      <c r="AJ1010" s="9"/>
      <c r="AK1010" s="9"/>
      <c r="AL1010" s="9"/>
      <c r="AM1010" s="9"/>
      <c r="AN1010" s="9"/>
      <c r="AO1010" s="9"/>
      <c r="AP1010" s="9"/>
      <c r="AQ1010" s="9"/>
      <c r="AR1010" s="9"/>
      <c r="AS1010" s="9"/>
      <c r="AT1010" s="9"/>
      <c r="AU1010" s="9"/>
    </row>
    <row r="1011" spans="1:47" ht="15.75" customHeight="1">
      <c r="A1011" s="9"/>
      <c r="B1011" s="9"/>
      <c r="C1011" s="9"/>
      <c r="D1011" s="9"/>
      <c r="E1011" s="9"/>
      <c r="F1011" s="67"/>
      <c r="G1011" s="9"/>
      <c r="H1011" s="9"/>
      <c r="I1011" s="9"/>
      <c r="J1011" s="9"/>
      <c r="K1011" s="9"/>
      <c r="L1011" s="9"/>
      <c r="M1011" s="9"/>
      <c r="N1011" s="9"/>
      <c r="O1011" s="9"/>
      <c r="P1011" s="9"/>
      <c r="Q1011" s="9"/>
      <c r="R1011" s="9"/>
      <c r="S1011" s="9"/>
      <c r="T1011" s="9"/>
      <c r="U1011" s="9"/>
      <c r="V1011" s="9"/>
      <c r="W1011" s="9"/>
      <c r="X1011" s="9"/>
      <c r="Y1011" s="9"/>
      <c r="Z1011" s="9"/>
      <c r="AA1011" s="9"/>
      <c r="AB1011" s="9"/>
      <c r="AC1011" s="9"/>
      <c r="AD1011" s="9"/>
      <c r="AE1011" s="9"/>
      <c r="AF1011" s="9"/>
      <c r="AG1011" s="9"/>
      <c r="AH1011" s="9"/>
      <c r="AI1011" s="9"/>
      <c r="AJ1011" s="9"/>
      <c r="AK1011" s="9"/>
      <c r="AL1011" s="9"/>
      <c r="AM1011" s="9"/>
      <c r="AN1011" s="9"/>
      <c r="AO1011" s="9"/>
      <c r="AP1011" s="9"/>
      <c r="AQ1011" s="9"/>
      <c r="AR1011" s="9"/>
      <c r="AS1011" s="9"/>
      <c r="AT1011" s="9"/>
      <c r="AU1011" s="9"/>
    </row>
    <row r="1012" spans="1:47" ht="15.75" customHeight="1">
      <c r="A1012" s="9"/>
      <c r="B1012" s="9"/>
      <c r="C1012" s="9"/>
      <c r="D1012" s="9"/>
      <c r="E1012" s="9"/>
      <c r="F1012" s="67"/>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G1012" s="9"/>
      <c r="AH1012" s="9"/>
      <c r="AI1012" s="9"/>
      <c r="AJ1012" s="9"/>
      <c r="AK1012" s="9"/>
      <c r="AL1012" s="9"/>
      <c r="AM1012" s="9"/>
      <c r="AN1012" s="9"/>
      <c r="AO1012" s="9"/>
      <c r="AP1012" s="9"/>
      <c r="AQ1012" s="9"/>
      <c r="AR1012" s="9"/>
      <c r="AS1012" s="9"/>
      <c r="AT1012" s="9"/>
      <c r="AU1012" s="9"/>
    </row>
    <row r="1013" spans="1:47" ht="15.75" customHeight="1">
      <c r="A1013" s="9"/>
      <c r="B1013" s="9"/>
      <c r="C1013" s="9"/>
      <c r="D1013" s="9"/>
      <c r="E1013" s="9"/>
      <c r="F1013" s="67"/>
      <c r="G1013" s="9"/>
      <c r="H1013" s="9"/>
      <c r="I1013" s="9"/>
      <c r="J1013" s="9"/>
      <c r="K1013" s="9"/>
      <c r="L1013" s="9"/>
      <c r="M1013" s="9"/>
      <c r="N1013" s="9"/>
      <c r="O1013" s="9"/>
      <c r="P1013" s="9"/>
      <c r="Q1013" s="9"/>
      <c r="R1013" s="9"/>
      <c r="S1013" s="9"/>
      <c r="T1013" s="9"/>
      <c r="U1013" s="9"/>
      <c r="V1013" s="9"/>
      <c r="W1013" s="9"/>
      <c r="X1013" s="9"/>
      <c r="Y1013" s="9"/>
      <c r="Z1013" s="9"/>
      <c r="AA1013" s="9"/>
      <c r="AB1013" s="9"/>
      <c r="AC1013" s="9"/>
      <c r="AD1013" s="9"/>
      <c r="AE1013" s="9"/>
      <c r="AF1013" s="9"/>
      <c r="AG1013" s="9"/>
      <c r="AH1013" s="9"/>
      <c r="AI1013" s="9"/>
      <c r="AJ1013" s="9"/>
      <c r="AK1013" s="9"/>
      <c r="AL1013" s="9"/>
      <c r="AM1013" s="9"/>
      <c r="AN1013" s="9"/>
      <c r="AO1013" s="9"/>
      <c r="AP1013" s="9"/>
      <c r="AQ1013" s="9"/>
      <c r="AR1013" s="9"/>
      <c r="AS1013" s="9"/>
      <c r="AT1013" s="9"/>
      <c r="AU1013" s="9"/>
    </row>
    <row r="1014" spans="1:47" ht="15.75" customHeight="1">
      <c r="A1014" s="9"/>
      <c r="B1014" s="9"/>
      <c r="C1014" s="9"/>
      <c r="D1014" s="9"/>
      <c r="E1014" s="9"/>
      <c r="F1014" s="67"/>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G1014" s="9"/>
      <c r="AH1014" s="9"/>
      <c r="AI1014" s="9"/>
      <c r="AJ1014" s="9"/>
      <c r="AK1014" s="9"/>
      <c r="AL1014" s="9"/>
      <c r="AM1014" s="9"/>
      <c r="AN1014" s="9"/>
      <c r="AO1014" s="9"/>
      <c r="AP1014" s="9"/>
      <c r="AQ1014" s="9"/>
      <c r="AR1014" s="9"/>
      <c r="AS1014" s="9"/>
      <c r="AT1014" s="9"/>
      <c r="AU1014" s="9"/>
    </row>
    <row r="1015" spans="1:47" ht="15.75" customHeight="1">
      <c r="A1015" s="9"/>
      <c r="B1015" s="9"/>
      <c r="C1015" s="9"/>
      <c r="D1015" s="9"/>
      <c r="E1015" s="9"/>
      <c r="F1015" s="67"/>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G1015" s="9"/>
      <c r="AH1015" s="9"/>
      <c r="AI1015" s="9"/>
      <c r="AJ1015" s="9"/>
      <c r="AK1015" s="9"/>
      <c r="AL1015" s="9"/>
      <c r="AM1015" s="9"/>
      <c r="AN1015" s="9"/>
      <c r="AO1015" s="9"/>
      <c r="AP1015" s="9"/>
      <c r="AQ1015" s="9"/>
      <c r="AR1015" s="9"/>
      <c r="AS1015" s="9"/>
      <c r="AT1015" s="9"/>
      <c r="AU1015" s="9"/>
    </row>
    <row r="1016" spans="1:47" ht="15.75" customHeight="1">
      <c r="A1016" s="9"/>
      <c r="B1016" s="9"/>
      <c r="C1016" s="9"/>
      <c r="D1016" s="9"/>
      <c r="E1016" s="9"/>
      <c r="F1016" s="67"/>
      <c r="G1016" s="9"/>
      <c r="H1016" s="9"/>
      <c r="I1016" s="9"/>
      <c r="J1016" s="9"/>
      <c r="K1016" s="9"/>
      <c r="L1016" s="9"/>
      <c r="M1016" s="9"/>
      <c r="N1016" s="9"/>
      <c r="O1016" s="9"/>
      <c r="P1016" s="9"/>
      <c r="Q1016" s="9"/>
      <c r="R1016" s="9"/>
      <c r="S1016" s="9"/>
      <c r="T1016" s="9"/>
      <c r="U1016" s="9"/>
      <c r="V1016" s="9"/>
      <c r="W1016" s="9"/>
      <c r="X1016" s="9"/>
      <c r="Y1016" s="9"/>
      <c r="Z1016" s="9"/>
      <c r="AA1016" s="9"/>
      <c r="AB1016" s="9"/>
      <c r="AC1016" s="9"/>
      <c r="AD1016" s="9"/>
      <c r="AE1016" s="9"/>
      <c r="AF1016" s="9"/>
      <c r="AG1016" s="9"/>
      <c r="AH1016" s="9"/>
      <c r="AI1016" s="9"/>
      <c r="AJ1016" s="9"/>
      <c r="AK1016" s="9"/>
      <c r="AL1016" s="9"/>
      <c r="AM1016" s="9"/>
      <c r="AN1016" s="9"/>
      <c r="AO1016" s="9"/>
      <c r="AP1016" s="9"/>
      <c r="AQ1016" s="9"/>
      <c r="AR1016" s="9"/>
      <c r="AS1016" s="9"/>
      <c r="AT1016" s="9"/>
      <c r="AU1016" s="9"/>
    </row>
    <row r="1017" spans="1:47" ht="15.75" customHeight="1">
      <c r="A1017" s="9"/>
      <c r="B1017" s="9"/>
      <c r="C1017" s="9"/>
      <c r="D1017" s="9"/>
      <c r="E1017" s="9"/>
      <c r="F1017" s="67"/>
      <c r="G1017" s="9"/>
      <c r="H1017" s="9"/>
      <c r="I1017" s="9"/>
      <c r="J1017" s="9"/>
      <c r="K1017" s="9"/>
      <c r="L1017" s="9"/>
      <c r="M1017" s="9"/>
      <c r="N1017" s="9"/>
      <c r="O1017" s="9"/>
      <c r="P1017" s="9"/>
      <c r="Q1017" s="9"/>
      <c r="R1017" s="9"/>
      <c r="S1017" s="9"/>
      <c r="T1017" s="9"/>
      <c r="U1017" s="9"/>
      <c r="V1017" s="9"/>
      <c r="W1017" s="9"/>
      <c r="X1017" s="9"/>
      <c r="Y1017" s="9"/>
      <c r="Z1017" s="9"/>
      <c r="AA1017" s="9"/>
      <c r="AB1017" s="9"/>
      <c r="AC1017" s="9"/>
      <c r="AD1017" s="9"/>
      <c r="AE1017" s="9"/>
      <c r="AF1017" s="9"/>
      <c r="AG1017" s="9"/>
      <c r="AH1017" s="9"/>
      <c r="AI1017" s="9"/>
      <c r="AJ1017" s="9"/>
      <c r="AK1017" s="9"/>
      <c r="AL1017" s="9"/>
      <c r="AM1017" s="9"/>
      <c r="AN1017" s="9"/>
      <c r="AO1017" s="9"/>
      <c r="AP1017" s="9"/>
      <c r="AQ1017" s="9"/>
      <c r="AR1017" s="9"/>
      <c r="AS1017" s="9"/>
      <c r="AT1017" s="9"/>
      <c r="AU1017" s="9"/>
    </row>
    <row r="1018" spans="1:47" ht="15.75" customHeight="1">
      <c r="A1018" s="9"/>
      <c r="B1018" s="9"/>
      <c r="C1018" s="9"/>
      <c r="D1018" s="9"/>
      <c r="E1018" s="9"/>
      <c r="F1018" s="67"/>
      <c r="G1018" s="9"/>
      <c r="H1018" s="9"/>
      <c r="I1018" s="9"/>
      <c r="J1018" s="9"/>
      <c r="K1018" s="9"/>
      <c r="L1018" s="9"/>
      <c r="M1018" s="9"/>
      <c r="N1018" s="9"/>
      <c r="O1018" s="9"/>
      <c r="P1018" s="9"/>
      <c r="Q1018" s="9"/>
      <c r="R1018" s="9"/>
      <c r="S1018" s="9"/>
      <c r="T1018" s="9"/>
      <c r="U1018" s="9"/>
      <c r="V1018" s="9"/>
      <c r="W1018" s="9"/>
      <c r="X1018" s="9"/>
      <c r="Y1018" s="9"/>
      <c r="Z1018" s="9"/>
      <c r="AA1018" s="9"/>
      <c r="AB1018" s="9"/>
      <c r="AC1018" s="9"/>
      <c r="AD1018" s="9"/>
      <c r="AE1018" s="9"/>
      <c r="AF1018" s="9"/>
      <c r="AG1018" s="9"/>
      <c r="AH1018" s="9"/>
      <c r="AI1018" s="9"/>
      <c r="AJ1018" s="9"/>
      <c r="AK1018" s="9"/>
      <c r="AL1018" s="9"/>
      <c r="AM1018" s="9"/>
      <c r="AN1018" s="9"/>
      <c r="AO1018" s="9"/>
      <c r="AP1018" s="9"/>
      <c r="AQ1018" s="9"/>
      <c r="AR1018" s="9"/>
      <c r="AS1018" s="9"/>
      <c r="AT1018" s="9"/>
      <c r="AU1018" s="9"/>
    </row>
    <row r="1019" spans="1:47" ht="15.75" customHeight="1">
      <c r="A1019" s="9"/>
      <c r="B1019" s="9"/>
      <c r="C1019" s="9"/>
      <c r="D1019" s="9"/>
      <c r="E1019" s="9"/>
      <c r="F1019" s="67"/>
      <c r="G1019" s="9"/>
      <c r="H1019" s="9"/>
      <c r="I1019" s="9"/>
      <c r="J1019" s="9"/>
      <c r="K1019" s="9"/>
      <c r="L1019" s="9"/>
      <c r="M1019" s="9"/>
      <c r="N1019" s="9"/>
      <c r="O1019" s="9"/>
      <c r="P1019" s="9"/>
      <c r="Q1019" s="9"/>
      <c r="R1019" s="9"/>
      <c r="S1019" s="9"/>
      <c r="T1019" s="9"/>
      <c r="U1019" s="9"/>
      <c r="V1019" s="9"/>
      <c r="W1019" s="9"/>
      <c r="X1019" s="9"/>
      <c r="Y1019" s="9"/>
      <c r="Z1019" s="9"/>
      <c r="AA1019" s="9"/>
      <c r="AB1019" s="9"/>
      <c r="AC1019" s="9"/>
      <c r="AD1019" s="9"/>
      <c r="AE1019" s="9"/>
      <c r="AF1019" s="9"/>
      <c r="AG1019" s="9"/>
      <c r="AH1019" s="9"/>
      <c r="AI1019" s="9"/>
      <c r="AJ1019" s="9"/>
      <c r="AK1019" s="9"/>
      <c r="AL1019" s="9"/>
      <c r="AM1019" s="9"/>
      <c r="AN1019" s="9"/>
      <c r="AO1019" s="9"/>
      <c r="AP1019" s="9"/>
      <c r="AQ1019" s="9"/>
      <c r="AR1019" s="9"/>
      <c r="AS1019" s="9"/>
      <c r="AT1019" s="9"/>
      <c r="AU1019" s="9"/>
    </row>
    <row r="1020" spans="1:47" ht="15.75" customHeight="1">
      <c r="A1020" s="9"/>
      <c r="B1020" s="9"/>
      <c r="C1020" s="9"/>
      <c r="D1020" s="9"/>
      <c r="E1020" s="9"/>
      <c r="F1020" s="67"/>
      <c r="G1020" s="9"/>
      <c r="H1020" s="9"/>
      <c r="I1020" s="9"/>
      <c r="J1020" s="9"/>
      <c r="K1020" s="9"/>
      <c r="L1020" s="9"/>
      <c r="M1020" s="9"/>
      <c r="N1020" s="9"/>
      <c r="O1020" s="9"/>
      <c r="P1020" s="9"/>
      <c r="Q1020" s="9"/>
      <c r="R1020" s="9"/>
      <c r="S1020" s="9"/>
      <c r="T1020" s="9"/>
      <c r="U1020" s="9"/>
      <c r="V1020" s="9"/>
      <c r="W1020" s="9"/>
      <c r="X1020" s="9"/>
      <c r="Y1020" s="9"/>
      <c r="Z1020" s="9"/>
      <c r="AA1020" s="9"/>
      <c r="AB1020" s="9"/>
      <c r="AC1020" s="9"/>
      <c r="AD1020" s="9"/>
      <c r="AE1020" s="9"/>
      <c r="AF1020" s="9"/>
      <c r="AG1020" s="9"/>
      <c r="AH1020" s="9"/>
      <c r="AI1020" s="9"/>
      <c r="AJ1020" s="9"/>
      <c r="AK1020" s="9"/>
      <c r="AL1020" s="9"/>
      <c r="AM1020" s="9"/>
      <c r="AN1020" s="9"/>
      <c r="AO1020" s="9"/>
      <c r="AP1020" s="9"/>
      <c r="AQ1020" s="9"/>
      <c r="AR1020" s="9"/>
      <c r="AS1020" s="9"/>
      <c r="AT1020" s="9"/>
      <c r="AU1020" s="9"/>
    </row>
    <row r="1021" spans="1:47" ht="15.75" customHeight="1">
      <c r="A1021" s="9"/>
      <c r="B1021" s="9"/>
      <c r="C1021" s="9"/>
      <c r="D1021" s="9"/>
      <c r="E1021" s="9"/>
      <c r="F1021" s="67"/>
      <c r="G1021" s="9"/>
      <c r="H1021" s="9"/>
      <c r="I1021" s="9"/>
      <c r="J1021" s="9"/>
      <c r="K1021" s="9"/>
      <c r="L1021" s="9"/>
      <c r="M1021" s="9"/>
      <c r="N1021" s="9"/>
      <c r="O1021" s="9"/>
      <c r="P1021" s="9"/>
      <c r="Q1021" s="9"/>
      <c r="R1021" s="9"/>
      <c r="S1021" s="9"/>
      <c r="T1021" s="9"/>
      <c r="U1021" s="9"/>
      <c r="V1021" s="9"/>
      <c r="W1021" s="9"/>
      <c r="X1021" s="9"/>
      <c r="Y1021" s="9"/>
      <c r="Z1021" s="9"/>
      <c r="AA1021" s="9"/>
      <c r="AB1021" s="9"/>
      <c r="AC1021" s="9"/>
      <c r="AD1021" s="9"/>
      <c r="AE1021" s="9"/>
      <c r="AF1021" s="9"/>
      <c r="AG1021" s="9"/>
      <c r="AH1021" s="9"/>
      <c r="AI1021" s="9"/>
      <c r="AJ1021" s="9"/>
      <c r="AK1021" s="9"/>
      <c r="AL1021" s="9"/>
      <c r="AM1021" s="9"/>
      <c r="AN1021" s="9"/>
      <c r="AO1021" s="9"/>
      <c r="AP1021" s="9"/>
      <c r="AQ1021" s="9"/>
      <c r="AR1021" s="9"/>
      <c r="AS1021" s="9"/>
      <c r="AT1021" s="9"/>
      <c r="AU1021" s="9"/>
    </row>
    <row r="1022" spans="1:47" ht="15.75" customHeight="1">
      <c r="A1022" s="9"/>
      <c r="B1022" s="9"/>
      <c r="C1022" s="9"/>
      <c r="D1022" s="9"/>
      <c r="E1022" s="9"/>
      <c r="F1022" s="67"/>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G1022" s="9"/>
      <c r="AH1022" s="9"/>
      <c r="AI1022" s="9"/>
      <c r="AJ1022" s="9"/>
      <c r="AK1022" s="9"/>
      <c r="AL1022" s="9"/>
      <c r="AM1022" s="9"/>
      <c r="AN1022" s="9"/>
      <c r="AO1022" s="9"/>
      <c r="AP1022" s="9"/>
      <c r="AQ1022" s="9"/>
      <c r="AR1022" s="9"/>
      <c r="AS1022" s="9"/>
      <c r="AT1022" s="9"/>
      <c r="AU1022" s="9"/>
    </row>
    <row r="1023" spans="1:47" ht="15.75" customHeight="1">
      <c r="A1023" s="9"/>
      <c r="B1023" s="9"/>
      <c r="C1023" s="9"/>
      <c r="D1023" s="9"/>
      <c r="E1023" s="9"/>
      <c r="F1023" s="67"/>
      <c r="G1023" s="9"/>
      <c r="H1023" s="9"/>
      <c r="I1023" s="9"/>
      <c r="J1023" s="9"/>
      <c r="K1023" s="9"/>
      <c r="L1023" s="9"/>
      <c r="M1023" s="9"/>
      <c r="N1023" s="9"/>
      <c r="O1023" s="9"/>
      <c r="P1023" s="9"/>
      <c r="Q1023" s="9"/>
      <c r="R1023" s="9"/>
      <c r="S1023" s="9"/>
      <c r="T1023" s="9"/>
      <c r="U1023" s="9"/>
      <c r="V1023" s="9"/>
      <c r="W1023" s="9"/>
      <c r="X1023" s="9"/>
      <c r="Y1023" s="9"/>
      <c r="Z1023" s="9"/>
      <c r="AA1023" s="9"/>
      <c r="AB1023" s="9"/>
      <c r="AC1023" s="9"/>
      <c r="AD1023" s="9"/>
      <c r="AE1023" s="9"/>
      <c r="AF1023" s="9"/>
      <c r="AG1023" s="9"/>
      <c r="AH1023" s="9"/>
      <c r="AI1023" s="9"/>
      <c r="AJ1023" s="9"/>
      <c r="AK1023" s="9"/>
      <c r="AL1023" s="9"/>
      <c r="AM1023" s="9"/>
      <c r="AN1023" s="9"/>
      <c r="AO1023" s="9"/>
      <c r="AP1023" s="9"/>
      <c r="AQ1023" s="9"/>
      <c r="AR1023" s="9"/>
      <c r="AS1023" s="9"/>
      <c r="AT1023" s="9"/>
      <c r="AU1023" s="9"/>
    </row>
    <row r="1024" spans="1:47" ht="15.75" customHeight="1">
      <c r="A1024" s="9"/>
      <c r="B1024" s="9"/>
      <c r="C1024" s="9"/>
      <c r="D1024" s="9"/>
      <c r="E1024" s="9"/>
      <c r="F1024" s="67"/>
      <c r="G1024" s="9"/>
      <c r="H1024" s="9"/>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c r="AG1024" s="9"/>
      <c r="AH1024" s="9"/>
      <c r="AI1024" s="9"/>
      <c r="AJ1024" s="9"/>
      <c r="AK1024" s="9"/>
      <c r="AL1024" s="9"/>
      <c r="AM1024" s="9"/>
      <c r="AN1024" s="9"/>
      <c r="AO1024" s="9"/>
      <c r="AP1024" s="9"/>
      <c r="AQ1024" s="9"/>
      <c r="AR1024" s="9"/>
      <c r="AS1024" s="9"/>
      <c r="AT1024" s="9"/>
      <c r="AU1024" s="9"/>
    </row>
    <row r="1025" spans="1:47" ht="15.75" customHeight="1">
      <c r="A1025" s="9"/>
      <c r="B1025" s="9"/>
      <c r="C1025" s="9"/>
      <c r="D1025" s="9"/>
      <c r="E1025" s="9"/>
      <c r="F1025" s="67"/>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G1025" s="9"/>
      <c r="AH1025" s="9"/>
      <c r="AI1025" s="9"/>
      <c r="AJ1025" s="9"/>
      <c r="AK1025" s="9"/>
      <c r="AL1025" s="9"/>
      <c r="AM1025" s="9"/>
      <c r="AN1025" s="9"/>
      <c r="AO1025" s="9"/>
      <c r="AP1025" s="9"/>
      <c r="AQ1025" s="9"/>
      <c r="AR1025" s="9"/>
      <c r="AS1025" s="9"/>
      <c r="AT1025" s="9"/>
      <c r="AU1025" s="9"/>
    </row>
    <row r="1026" spans="1:47" ht="15.75" customHeight="1">
      <c r="A1026" s="9"/>
      <c r="B1026" s="9"/>
      <c r="C1026" s="9"/>
      <c r="D1026" s="9"/>
      <c r="E1026" s="9"/>
      <c r="F1026" s="67"/>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G1026" s="9"/>
      <c r="AH1026" s="9"/>
      <c r="AI1026" s="9"/>
      <c r="AJ1026" s="9"/>
      <c r="AK1026" s="9"/>
      <c r="AL1026" s="9"/>
      <c r="AM1026" s="9"/>
      <c r="AN1026" s="9"/>
      <c r="AO1026" s="9"/>
      <c r="AP1026" s="9"/>
      <c r="AQ1026" s="9"/>
      <c r="AR1026" s="9"/>
      <c r="AS1026" s="9"/>
      <c r="AT1026" s="9"/>
      <c r="AU1026" s="9"/>
    </row>
    <row r="1027" spans="1:47" ht="15.75" customHeight="1">
      <c r="A1027" s="9"/>
      <c r="B1027" s="9"/>
      <c r="C1027" s="9"/>
      <c r="D1027" s="9"/>
      <c r="E1027" s="9"/>
      <c r="F1027" s="67"/>
      <c r="G1027" s="9"/>
      <c r="H1027" s="9"/>
      <c r="I1027" s="9"/>
      <c r="J1027" s="9"/>
      <c r="K1027" s="9"/>
      <c r="L1027" s="9"/>
      <c r="M1027" s="9"/>
      <c r="N1027" s="9"/>
      <c r="O1027" s="9"/>
      <c r="P1027" s="9"/>
      <c r="Q1027" s="9"/>
      <c r="R1027" s="9"/>
      <c r="S1027" s="9"/>
      <c r="T1027" s="9"/>
      <c r="U1027" s="9"/>
      <c r="V1027" s="9"/>
      <c r="W1027" s="9"/>
      <c r="X1027" s="9"/>
      <c r="Y1027" s="9"/>
      <c r="Z1027" s="9"/>
      <c r="AA1027" s="9"/>
      <c r="AB1027" s="9"/>
      <c r="AC1027" s="9"/>
      <c r="AD1027" s="9"/>
      <c r="AE1027" s="9"/>
      <c r="AF1027" s="9"/>
      <c r="AG1027" s="9"/>
      <c r="AH1027" s="9"/>
      <c r="AI1027" s="9"/>
      <c r="AJ1027" s="9"/>
      <c r="AK1027" s="9"/>
      <c r="AL1027" s="9"/>
      <c r="AM1027" s="9"/>
      <c r="AN1027" s="9"/>
      <c r="AO1027" s="9"/>
      <c r="AP1027" s="9"/>
      <c r="AQ1027" s="9"/>
      <c r="AR1027" s="9"/>
      <c r="AS1027" s="9"/>
      <c r="AT1027" s="9"/>
      <c r="AU1027" s="9"/>
    </row>
    <row r="1028" spans="1:47" ht="15.75" customHeight="1">
      <c r="A1028" s="9"/>
      <c r="B1028" s="9"/>
      <c r="C1028" s="9"/>
      <c r="D1028" s="9"/>
      <c r="E1028" s="9"/>
      <c r="F1028" s="67"/>
      <c r="G1028" s="9"/>
      <c r="H1028" s="9"/>
      <c r="I1028" s="9"/>
      <c r="J1028" s="9"/>
      <c r="K1028" s="9"/>
      <c r="L1028" s="9"/>
      <c r="M1028" s="9"/>
      <c r="N1028" s="9"/>
      <c r="O1028" s="9"/>
      <c r="P1028" s="9"/>
      <c r="Q1028" s="9"/>
      <c r="R1028" s="9"/>
      <c r="S1028" s="9"/>
      <c r="T1028" s="9"/>
      <c r="U1028" s="9"/>
      <c r="V1028" s="9"/>
      <c r="W1028" s="9"/>
      <c r="X1028" s="9"/>
      <c r="Y1028" s="9"/>
      <c r="Z1028" s="9"/>
      <c r="AA1028" s="9"/>
      <c r="AB1028" s="9"/>
      <c r="AC1028" s="9"/>
      <c r="AD1028" s="9"/>
      <c r="AE1028" s="9"/>
      <c r="AF1028" s="9"/>
      <c r="AG1028" s="9"/>
      <c r="AH1028" s="9"/>
      <c r="AI1028" s="9"/>
      <c r="AJ1028" s="9"/>
      <c r="AK1028" s="9"/>
      <c r="AL1028" s="9"/>
      <c r="AM1028" s="9"/>
      <c r="AN1028" s="9"/>
      <c r="AO1028" s="9"/>
      <c r="AP1028" s="9"/>
      <c r="AQ1028" s="9"/>
      <c r="AR1028" s="9"/>
      <c r="AS1028" s="9"/>
      <c r="AT1028" s="9"/>
      <c r="AU1028" s="9"/>
    </row>
    <row r="1029" spans="1:47" ht="15.75" customHeight="1">
      <c r="A1029" s="9"/>
      <c r="B1029" s="9"/>
      <c r="C1029" s="9"/>
      <c r="D1029" s="9"/>
      <c r="E1029" s="9"/>
      <c r="F1029" s="67"/>
      <c r="G1029" s="9"/>
      <c r="H1029" s="9"/>
      <c r="I1029" s="9"/>
      <c r="J1029" s="9"/>
      <c r="K1029" s="9"/>
      <c r="L1029" s="9"/>
      <c r="M1029" s="9"/>
      <c r="N1029" s="9"/>
      <c r="O1029" s="9"/>
      <c r="P1029" s="9"/>
      <c r="Q1029" s="9"/>
      <c r="R1029" s="9"/>
      <c r="S1029" s="9"/>
      <c r="T1029" s="9"/>
      <c r="U1029" s="9"/>
      <c r="V1029" s="9"/>
      <c r="W1029" s="9"/>
      <c r="X1029" s="9"/>
      <c r="Y1029" s="9"/>
      <c r="Z1029" s="9"/>
      <c r="AA1029" s="9"/>
      <c r="AB1029" s="9"/>
      <c r="AC1029" s="9"/>
      <c r="AD1029" s="9"/>
      <c r="AE1029" s="9"/>
      <c r="AF1029" s="9"/>
      <c r="AG1029" s="9"/>
      <c r="AH1029" s="9"/>
      <c r="AI1029" s="9"/>
      <c r="AJ1029" s="9"/>
      <c r="AK1029" s="9"/>
      <c r="AL1029" s="9"/>
      <c r="AM1029" s="9"/>
      <c r="AN1029" s="9"/>
      <c r="AO1029" s="9"/>
      <c r="AP1029" s="9"/>
      <c r="AQ1029" s="9"/>
      <c r="AR1029" s="9"/>
      <c r="AS1029" s="9"/>
      <c r="AT1029" s="9"/>
      <c r="AU1029" s="9"/>
    </row>
    <row r="1030" spans="1:47" ht="15.75" customHeight="1">
      <c r="A1030" s="9"/>
      <c r="B1030" s="9"/>
      <c r="C1030" s="9"/>
      <c r="D1030" s="9"/>
      <c r="E1030" s="9"/>
      <c r="F1030" s="67"/>
      <c r="G1030" s="9"/>
      <c r="H1030" s="9"/>
      <c r="I1030" s="9"/>
      <c r="J1030" s="9"/>
      <c r="K1030" s="9"/>
      <c r="L1030" s="9"/>
      <c r="M1030" s="9"/>
      <c r="N1030" s="9"/>
      <c r="O1030" s="9"/>
      <c r="P1030" s="9"/>
      <c r="Q1030" s="9"/>
      <c r="R1030" s="9"/>
      <c r="S1030" s="9"/>
      <c r="T1030" s="9"/>
      <c r="U1030" s="9"/>
      <c r="V1030" s="9"/>
      <c r="W1030" s="9"/>
      <c r="X1030" s="9"/>
      <c r="Y1030" s="9"/>
      <c r="Z1030" s="9"/>
      <c r="AA1030" s="9"/>
      <c r="AB1030" s="9"/>
      <c r="AC1030" s="9"/>
      <c r="AD1030" s="9"/>
      <c r="AE1030" s="9"/>
      <c r="AF1030" s="9"/>
      <c r="AG1030" s="9"/>
      <c r="AH1030" s="9"/>
      <c r="AI1030" s="9"/>
      <c r="AJ1030" s="9"/>
      <c r="AK1030" s="9"/>
      <c r="AL1030" s="9"/>
      <c r="AM1030" s="9"/>
      <c r="AN1030" s="9"/>
      <c r="AO1030" s="9"/>
      <c r="AP1030" s="9"/>
      <c r="AQ1030" s="9"/>
      <c r="AR1030" s="9"/>
      <c r="AS1030" s="9"/>
      <c r="AT1030" s="9"/>
      <c r="AU1030" s="9"/>
    </row>
    <row r="1031" spans="1:47" ht="15.75" customHeight="1">
      <c r="A1031" s="9"/>
      <c r="B1031" s="9"/>
      <c r="C1031" s="9"/>
      <c r="D1031" s="9"/>
      <c r="E1031" s="9"/>
      <c r="F1031" s="67"/>
      <c r="G1031" s="9"/>
      <c r="H1031" s="9"/>
      <c r="I1031" s="9"/>
      <c r="J1031" s="9"/>
      <c r="K1031" s="9"/>
      <c r="L1031" s="9"/>
      <c r="M1031" s="9"/>
      <c r="N1031" s="9"/>
      <c r="O1031" s="9"/>
      <c r="P1031" s="9"/>
      <c r="Q1031" s="9"/>
      <c r="R1031" s="9"/>
      <c r="S1031" s="9"/>
      <c r="T1031" s="9"/>
      <c r="U1031" s="9"/>
      <c r="V1031" s="9"/>
      <c r="W1031" s="9"/>
      <c r="X1031" s="9"/>
      <c r="Y1031" s="9"/>
      <c r="Z1031" s="9"/>
      <c r="AA1031" s="9"/>
      <c r="AB1031" s="9"/>
      <c r="AC1031" s="9"/>
      <c r="AD1031" s="9"/>
      <c r="AE1031" s="9"/>
      <c r="AF1031" s="9"/>
      <c r="AG1031" s="9"/>
      <c r="AH1031" s="9"/>
      <c r="AI1031" s="9"/>
      <c r="AJ1031" s="9"/>
      <c r="AK1031" s="9"/>
      <c r="AL1031" s="9"/>
      <c r="AM1031" s="9"/>
      <c r="AN1031" s="9"/>
      <c r="AO1031" s="9"/>
      <c r="AP1031" s="9"/>
      <c r="AQ1031" s="9"/>
      <c r="AR1031" s="9"/>
      <c r="AS1031" s="9"/>
      <c r="AT1031" s="9"/>
      <c r="AU1031" s="9"/>
    </row>
    <row r="1032" spans="1:47" ht="15.75" customHeight="1">
      <c r="A1032" s="9"/>
      <c r="B1032" s="9"/>
      <c r="C1032" s="9"/>
      <c r="D1032" s="9"/>
      <c r="E1032" s="9"/>
      <c r="F1032" s="67"/>
      <c r="G1032" s="9"/>
      <c r="H1032" s="9"/>
      <c r="I1032" s="9"/>
      <c r="J1032" s="9"/>
      <c r="K1032" s="9"/>
      <c r="L1032" s="9"/>
      <c r="M1032" s="9"/>
      <c r="N1032" s="9"/>
      <c r="O1032" s="9"/>
      <c r="P1032" s="9"/>
      <c r="Q1032" s="9"/>
      <c r="R1032" s="9"/>
      <c r="S1032" s="9"/>
      <c r="T1032" s="9"/>
      <c r="U1032" s="9"/>
      <c r="V1032" s="9"/>
      <c r="W1032" s="9"/>
      <c r="X1032" s="9"/>
      <c r="Y1032" s="9"/>
      <c r="Z1032" s="9"/>
      <c r="AA1032" s="9"/>
      <c r="AB1032" s="9"/>
      <c r="AC1032" s="9"/>
      <c r="AD1032" s="9"/>
      <c r="AE1032" s="9"/>
      <c r="AF1032" s="9"/>
      <c r="AG1032" s="9"/>
      <c r="AH1032" s="9"/>
      <c r="AI1032" s="9"/>
      <c r="AJ1032" s="9"/>
      <c r="AK1032" s="9"/>
      <c r="AL1032" s="9"/>
      <c r="AM1032" s="9"/>
      <c r="AN1032" s="9"/>
      <c r="AO1032" s="9"/>
      <c r="AP1032" s="9"/>
      <c r="AQ1032" s="9"/>
      <c r="AR1032" s="9"/>
      <c r="AS1032" s="9"/>
      <c r="AT1032" s="9"/>
      <c r="AU1032" s="9"/>
    </row>
    <row r="1033" spans="1:47" ht="15.75" customHeight="1">
      <c r="A1033" s="9"/>
      <c r="B1033" s="9"/>
      <c r="C1033" s="9"/>
      <c r="D1033" s="9"/>
      <c r="E1033" s="9"/>
      <c r="F1033" s="67"/>
      <c r="G1033" s="9"/>
      <c r="H1033" s="9"/>
      <c r="I1033" s="9"/>
      <c r="J1033" s="9"/>
      <c r="K1033" s="9"/>
      <c r="L1033" s="9"/>
      <c r="M1033" s="9"/>
      <c r="N1033" s="9"/>
      <c r="O1033" s="9"/>
      <c r="P1033" s="9"/>
      <c r="Q1033" s="9"/>
      <c r="R1033" s="9"/>
      <c r="S1033" s="9"/>
      <c r="T1033" s="9"/>
      <c r="U1033" s="9"/>
      <c r="V1033" s="9"/>
      <c r="W1033" s="9"/>
      <c r="X1033" s="9"/>
      <c r="Y1033" s="9"/>
      <c r="Z1033" s="9"/>
      <c r="AA1033" s="9"/>
      <c r="AB1033" s="9"/>
      <c r="AC1033" s="9"/>
      <c r="AD1033" s="9"/>
      <c r="AE1033" s="9"/>
      <c r="AF1033" s="9"/>
      <c r="AG1033" s="9"/>
      <c r="AH1033" s="9"/>
      <c r="AI1033" s="9"/>
      <c r="AJ1033" s="9"/>
      <c r="AK1033" s="9"/>
      <c r="AL1033" s="9"/>
      <c r="AM1033" s="9"/>
      <c r="AN1033" s="9"/>
      <c r="AO1033" s="9"/>
      <c r="AP1033" s="9"/>
      <c r="AQ1033" s="9"/>
      <c r="AR1033" s="9"/>
      <c r="AS1033" s="9"/>
      <c r="AT1033" s="9"/>
      <c r="AU1033" s="9"/>
    </row>
    <row r="1034" spans="1:47" ht="15.75" customHeight="1">
      <c r="A1034" s="9"/>
      <c r="B1034" s="9"/>
      <c r="C1034" s="9"/>
      <c r="D1034" s="9"/>
      <c r="E1034" s="9"/>
      <c r="F1034" s="67"/>
      <c r="G1034" s="9"/>
      <c r="H1034" s="9"/>
      <c r="I1034" s="9"/>
      <c r="J1034" s="9"/>
      <c r="K1034" s="9"/>
      <c r="L1034" s="9"/>
      <c r="M1034" s="9"/>
      <c r="N1034" s="9"/>
      <c r="O1034" s="9"/>
      <c r="P1034" s="9"/>
      <c r="Q1034" s="9"/>
      <c r="R1034" s="9"/>
      <c r="S1034" s="9"/>
      <c r="T1034" s="9"/>
      <c r="U1034" s="9"/>
      <c r="V1034" s="9"/>
      <c r="W1034" s="9"/>
      <c r="X1034" s="9"/>
      <c r="Y1034" s="9"/>
      <c r="Z1034" s="9"/>
      <c r="AA1034" s="9"/>
      <c r="AB1034" s="9"/>
      <c r="AC1034" s="9"/>
      <c r="AD1034" s="9"/>
      <c r="AE1034" s="9"/>
      <c r="AF1034" s="9"/>
      <c r="AG1034" s="9"/>
      <c r="AH1034" s="9"/>
      <c r="AI1034" s="9"/>
      <c r="AJ1034" s="9"/>
      <c r="AK1034" s="9"/>
      <c r="AL1034" s="9"/>
      <c r="AM1034" s="9"/>
      <c r="AN1034" s="9"/>
      <c r="AO1034" s="9"/>
      <c r="AP1034" s="9"/>
      <c r="AQ1034" s="9"/>
      <c r="AR1034" s="9"/>
      <c r="AS1034" s="9"/>
      <c r="AT1034" s="9"/>
      <c r="AU1034" s="9"/>
    </row>
    <row r="1035" spans="1:47" ht="15.75" customHeight="1">
      <c r="A1035" s="9"/>
      <c r="B1035" s="9"/>
      <c r="C1035" s="9"/>
      <c r="D1035" s="9"/>
      <c r="E1035" s="9"/>
      <c r="F1035" s="67"/>
      <c r="G1035" s="9"/>
      <c r="H1035" s="9"/>
      <c r="I1035" s="9"/>
      <c r="J1035" s="9"/>
      <c r="K1035" s="9"/>
      <c r="L1035" s="9"/>
      <c r="M1035" s="9"/>
      <c r="N1035" s="9"/>
      <c r="O1035" s="9"/>
      <c r="P1035" s="9"/>
      <c r="Q1035" s="9"/>
      <c r="R1035" s="9"/>
      <c r="S1035" s="9"/>
      <c r="T1035" s="9"/>
      <c r="U1035" s="9"/>
      <c r="V1035" s="9"/>
      <c r="W1035" s="9"/>
      <c r="X1035" s="9"/>
      <c r="Y1035" s="9"/>
      <c r="Z1035" s="9"/>
      <c r="AA1035" s="9"/>
      <c r="AB1035" s="9"/>
      <c r="AC1035" s="9"/>
      <c r="AD1035" s="9"/>
      <c r="AE1035" s="9"/>
      <c r="AF1035" s="9"/>
      <c r="AG1035" s="9"/>
      <c r="AH1035" s="9"/>
      <c r="AI1035" s="9"/>
      <c r="AJ1035" s="9"/>
      <c r="AK1035" s="9"/>
      <c r="AL1035" s="9"/>
      <c r="AM1035" s="9"/>
      <c r="AN1035" s="9"/>
      <c r="AO1035" s="9"/>
      <c r="AP1035" s="9"/>
      <c r="AQ1035" s="9"/>
      <c r="AR1035" s="9"/>
      <c r="AS1035" s="9"/>
      <c r="AT1035" s="9"/>
      <c r="AU1035" s="9"/>
    </row>
    <row r="1036" spans="1:47" ht="15.75" customHeight="1">
      <c r="A1036" s="9"/>
      <c r="B1036" s="9"/>
      <c r="C1036" s="9"/>
      <c r="D1036" s="9"/>
      <c r="E1036" s="9"/>
      <c r="F1036" s="67"/>
      <c r="G1036" s="9"/>
      <c r="H1036" s="9"/>
      <c r="I1036" s="9"/>
      <c r="J1036" s="9"/>
      <c r="K1036" s="9"/>
      <c r="L1036" s="9"/>
      <c r="M1036" s="9"/>
      <c r="N1036" s="9"/>
      <c r="O1036" s="9"/>
      <c r="P1036" s="9"/>
      <c r="Q1036" s="9"/>
      <c r="R1036" s="9"/>
      <c r="S1036" s="9"/>
      <c r="T1036" s="9"/>
      <c r="U1036" s="9"/>
      <c r="V1036" s="9"/>
      <c r="W1036" s="9"/>
      <c r="X1036" s="9"/>
      <c r="Y1036" s="9"/>
      <c r="Z1036" s="9"/>
      <c r="AA1036" s="9"/>
      <c r="AB1036" s="9"/>
      <c r="AC1036" s="9"/>
      <c r="AD1036" s="9"/>
      <c r="AE1036" s="9"/>
      <c r="AF1036" s="9"/>
      <c r="AG1036" s="9"/>
      <c r="AH1036" s="9"/>
      <c r="AI1036" s="9"/>
      <c r="AJ1036" s="9"/>
      <c r="AK1036" s="9"/>
      <c r="AL1036" s="9"/>
      <c r="AM1036" s="9"/>
      <c r="AN1036" s="9"/>
      <c r="AO1036" s="9"/>
      <c r="AP1036" s="9"/>
      <c r="AQ1036" s="9"/>
      <c r="AR1036" s="9"/>
      <c r="AS1036" s="9"/>
      <c r="AT1036" s="9"/>
      <c r="AU1036" s="9"/>
    </row>
    <row r="1037" spans="1:47" ht="15.75" customHeight="1">
      <c r="A1037" s="9"/>
      <c r="B1037" s="9"/>
      <c r="C1037" s="9"/>
      <c r="D1037" s="9"/>
      <c r="E1037" s="9"/>
      <c r="F1037" s="67"/>
      <c r="G1037" s="9"/>
      <c r="H1037" s="9"/>
      <c r="I1037" s="9"/>
      <c r="J1037" s="9"/>
      <c r="K1037" s="9"/>
      <c r="L1037" s="9"/>
      <c r="M1037" s="9"/>
      <c r="N1037" s="9"/>
      <c r="O1037" s="9"/>
      <c r="P1037" s="9"/>
      <c r="Q1037" s="9"/>
      <c r="R1037" s="9"/>
      <c r="S1037" s="9"/>
      <c r="T1037" s="9"/>
      <c r="U1037" s="9"/>
      <c r="V1037" s="9"/>
      <c r="W1037" s="9"/>
      <c r="X1037" s="9"/>
      <c r="Y1037" s="9"/>
      <c r="Z1037" s="9"/>
      <c r="AA1037" s="9"/>
      <c r="AB1037" s="9"/>
      <c r="AC1037" s="9"/>
      <c r="AD1037" s="9"/>
      <c r="AE1037" s="9"/>
      <c r="AF1037" s="9"/>
      <c r="AG1037" s="9"/>
      <c r="AH1037" s="9"/>
      <c r="AI1037" s="9"/>
      <c r="AJ1037" s="9"/>
      <c r="AK1037" s="9"/>
      <c r="AL1037" s="9"/>
      <c r="AM1037" s="9"/>
      <c r="AN1037" s="9"/>
      <c r="AO1037" s="9"/>
      <c r="AP1037" s="9"/>
      <c r="AQ1037" s="9"/>
      <c r="AR1037" s="9"/>
      <c r="AS1037" s="9"/>
      <c r="AT1037" s="9"/>
      <c r="AU1037" s="9"/>
    </row>
    <row r="1038" spans="1:47" ht="15.75" customHeight="1">
      <c r="A1038" s="9"/>
      <c r="B1038" s="9"/>
      <c r="C1038" s="9"/>
      <c r="D1038" s="9"/>
      <c r="E1038" s="9"/>
      <c r="F1038" s="67"/>
      <c r="G1038" s="9"/>
      <c r="H1038" s="9"/>
      <c r="I1038" s="9"/>
      <c r="J1038" s="9"/>
      <c r="K1038" s="9"/>
      <c r="L1038" s="9"/>
      <c r="M1038" s="9"/>
      <c r="N1038" s="9"/>
      <c r="O1038" s="9"/>
      <c r="P1038" s="9"/>
      <c r="Q1038" s="9"/>
      <c r="R1038" s="9"/>
      <c r="S1038" s="9"/>
      <c r="T1038" s="9"/>
      <c r="U1038" s="9"/>
      <c r="V1038" s="9"/>
      <c r="W1038" s="9"/>
      <c r="X1038" s="9"/>
      <c r="Y1038" s="9"/>
      <c r="Z1038" s="9"/>
      <c r="AA1038" s="9"/>
      <c r="AB1038" s="9"/>
      <c r="AC1038" s="9"/>
      <c r="AD1038" s="9"/>
      <c r="AE1038" s="9"/>
      <c r="AF1038" s="9"/>
      <c r="AG1038" s="9"/>
      <c r="AH1038" s="9"/>
      <c r="AI1038" s="9"/>
      <c r="AJ1038" s="9"/>
      <c r="AK1038" s="9"/>
      <c r="AL1038" s="9"/>
      <c r="AM1038" s="9"/>
      <c r="AN1038" s="9"/>
      <c r="AO1038" s="9"/>
      <c r="AP1038" s="9"/>
      <c r="AQ1038" s="9"/>
      <c r="AR1038" s="9"/>
      <c r="AS1038" s="9"/>
      <c r="AT1038" s="9"/>
      <c r="AU1038" s="9"/>
    </row>
    <row r="1039" spans="1:47" ht="15.75" customHeight="1">
      <c r="A1039" s="9"/>
      <c r="B1039" s="9"/>
      <c r="C1039" s="9"/>
      <c r="D1039" s="9"/>
      <c r="E1039" s="9"/>
      <c r="F1039" s="67"/>
      <c r="G1039" s="9"/>
      <c r="H1039" s="9"/>
      <c r="I1039" s="9"/>
      <c r="J1039" s="9"/>
      <c r="K1039" s="9"/>
      <c r="L1039" s="9"/>
      <c r="M1039" s="9"/>
      <c r="N1039" s="9"/>
      <c r="O1039" s="9"/>
      <c r="P1039" s="9"/>
      <c r="Q1039" s="9"/>
      <c r="R1039" s="9"/>
      <c r="S1039" s="9"/>
      <c r="T1039" s="9"/>
      <c r="U1039" s="9"/>
      <c r="V1039" s="9"/>
      <c r="W1039" s="9"/>
      <c r="X1039" s="9"/>
      <c r="Y1039" s="9"/>
      <c r="Z1039" s="9"/>
      <c r="AA1039" s="9"/>
      <c r="AB1039" s="9"/>
      <c r="AC1039" s="9"/>
      <c r="AD1039" s="9"/>
      <c r="AE1039" s="9"/>
      <c r="AF1039" s="9"/>
      <c r="AG1039" s="9"/>
      <c r="AH1039" s="9"/>
      <c r="AI1039" s="9"/>
      <c r="AJ1039" s="9"/>
      <c r="AK1039" s="9"/>
      <c r="AL1039" s="9"/>
      <c r="AM1039" s="9"/>
      <c r="AN1039" s="9"/>
      <c r="AO1039" s="9"/>
      <c r="AP1039" s="9"/>
      <c r="AQ1039" s="9"/>
      <c r="AR1039" s="9"/>
      <c r="AS1039" s="9"/>
      <c r="AT1039" s="9"/>
      <c r="AU1039" s="9"/>
    </row>
    <row r="1040" spans="1:47" ht="15.75" customHeight="1">
      <c r="A1040" s="9"/>
      <c r="B1040" s="9"/>
      <c r="C1040" s="9"/>
      <c r="D1040" s="9"/>
      <c r="E1040" s="9"/>
      <c r="F1040" s="67"/>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G1040" s="9"/>
      <c r="AH1040" s="9"/>
      <c r="AI1040" s="9"/>
      <c r="AJ1040" s="9"/>
      <c r="AK1040" s="9"/>
      <c r="AL1040" s="9"/>
      <c r="AM1040" s="9"/>
      <c r="AN1040" s="9"/>
      <c r="AO1040" s="9"/>
      <c r="AP1040" s="9"/>
      <c r="AQ1040" s="9"/>
      <c r="AR1040" s="9"/>
      <c r="AS1040" s="9"/>
      <c r="AT1040" s="9"/>
      <c r="AU1040" s="9"/>
    </row>
    <row r="1041" spans="1:47" ht="15.75" customHeight="1">
      <c r="A1041" s="9"/>
      <c r="B1041" s="9"/>
      <c r="C1041" s="9"/>
      <c r="D1041" s="9"/>
      <c r="E1041" s="9"/>
      <c r="F1041" s="67"/>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G1041" s="9"/>
      <c r="AH1041" s="9"/>
      <c r="AI1041" s="9"/>
      <c r="AJ1041" s="9"/>
      <c r="AK1041" s="9"/>
      <c r="AL1041" s="9"/>
      <c r="AM1041" s="9"/>
      <c r="AN1041" s="9"/>
      <c r="AO1041" s="9"/>
      <c r="AP1041" s="9"/>
      <c r="AQ1041" s="9"/>
      <c r="AR1041" s="9"/>
      <c r="AS1041" s="9"/>
      <c r="AT1041" s="9"/>
      <c r="AU1041" s="9"/>
    </row>
    <row r="1042" spans="1:47" ht="15.75" customHeight="1">
      <c r="A1042" s="9"/>
      <c r="B1042" s="9"/>
      <c r="C1042" s="9"/>
      <c r="D1042" s="9"/>
      <c r="E1042" s="9"/>
      <c r="F1042" s="67"/>
      <c r="G1042" s="9"/>
      <c r="H1042" s="9"/>
      <c r="I1042" s="9"/>
      <c r="J1042" s="9"/>
      <c r="K1042" s="9"/>
      <c r="L1042" s="9"/>
      <c r="M1042" s="9"/>
      <c r="N1042" s="9"/>
      <c r="O1042" s="9"/>
      <c r="P1042" s="9"/>
      <c r="Q1042" s="9"/>
      <c r="R1042" s="9"/>
      <c r="S1042" s="9"/>
      <c r="T1042" s="9"/>
      <c r="U1042" s="9"/>
      <c r="V1042" s="9"/>
      <c r="W1042" s="9"/>
      <c r="X1042" s="9"/>
      <c r="Y1042" s="9"/>
      <c r="Z1042" s="9"/>
      <c r="AA1042" s="9"/>
      <c r="AB1042" s="9"/>
      <c r="AC1042" s="9"/>
      <c r="AD1042" s="9"/>
      <c r="AE1042" s="9"/>
      <c r="AF1042" s="9"/>
      <c r="AG1042" s="9"/>
      <c r="AH1042" s="9"/>
      <c r="AI1042" s="9"/>
      <c r="AJ1042" s="9"/>
      <c r="AK1042" s="9"/>
      <c r="AL1042" s="9"/>
      <c r="AM1042" s="9"/>
      <c r="AN1042" s="9"/>
      <c r="AO1042" s="9"/>
      <c r="AP1042" s="9"/>
      <c r="AQ1042" s="9"/>
      <c r="AR1042" s="9"/>
      <c r="AS1042" s="9"/>
      <c r="AT1042" s="9"/>
      <c r="AU1042" s="9"/>
    </row>
    <row r="1043" spans="1:47" ht="15.75" customHeight="1">
      <c r="A1043" s="9"/>
      <c r="B1043" s="9"/>
      <c r="C1043" s="9"/>
      <c r="D1043" s="9"/>
      <c r="E1043" s="9"/>
      <c r="F1043" s="67"/>
      <c r="G1043" s="9"/>
      <c r="H1043" s="9"/>
      <c r="I1043" s="9"/>
      <c r="J1043" s="9"/>
      <c r="K1043" s="9"/>
      <c r="L1043" s="9"/>
      <c r="M1043" s="9"/>
      <c r="N1043" s="9"/>
      <c r="O1043" s="9"/>
      <c r="P1043" s="9"/>
      <c r="Q1043" s="9"/>
      <c r="R1043" s="9"/>
      <c r="S1043" s="9"/>
      <c r="T1043" s="9"/>
      <c r="U1043" s="9"/>
      <c r="V1043" s="9"/>
      <c r="W1043" s="9"/>
      <c r="X1043" s="9"/>
      <c r="Y1043" s="9"/>
      <c r="Z1043" s="9"/>
      <c r="AA1043" s="9"/>
      <c r="AB1043" s="9"/>
      <c r="AC1043" s="9"/>
      <c r="AD1043" s="9"/>
      <c r="AE1043" s="9"/>
      <c r="AF1043" s="9"/>
      <c r="AG1043" s="9"/>
      <c r="AH1043" s="9"/>
      <c r="AI1043" s="9"/>
      <c r="AJ1043" s="9"/>
      <c r="AK1043" s="9"/>
      <c r="AL1043" s="9"/>
      <c r="AM1043" s="9"/>
      <c r="AN1043" s="9"/>
      <c r="AO1043" s="9"/>
      <c r="AP1043" s="9"/>
      <c r="AQ1043" s="9"/>
      <c r="AR1043" s="9"/>
      <c r="AS1043" s="9"/>
      <c r="AT1043" s="9"/>
      <c r="AU1043" s="9"/>
    </row>
    <row r="1044" spans="1:47" ht="15.75" customHeight="1">
      <c r="A1044" s="9"/>
      <c r="B1044" s="9"/>
      <c r="C1044" s="9"/>
      <c r="D1044" s="9"/>
      <c r="E1044" s="9"/>
      <c r="F1044" s="67"/>
      <c r="G1044" s="9"/>
      <c r="H1044" s="9"/>
      <c r="I1044" s="9"/>
      <c r="J1044" s="9"/>
      <c r="K1044" s="9"/>
      <c r="L1044" s="9"/>
      <c r="M1044" s="9"/>
      <c r="N1044" s="9"/>
      <c r="O1044" s="9"/>
      <c r="P1044" s="9"/>
      <c r="Q1044" s="9"/>
      <c r="R1044" s="9"/>
      <c r="S1044" s="9"/>
      <c r="T1044" s="9"/>
      <c r="U1044" s="9"/>
      <c r="V1044" s="9"/>
      <c r="W1044" s="9"/>
      <c r="X1044" s="9"/>
      <c r="Y1044" s="9"/>
      <c r="Z1044" s="9"/>
      <c r="AA1044" s="9"/>
      <c r="AB1044" s="9"/>
      <c r="AC1044" s="9"/>
      <c r="AD1044" s="9"/>
      <c r="AE1044" s="9"/>
      <c r="AF1044" s="9"/>
      <c r="AG1044" s="9"/>
      <c r="AH1044" s="9"/>
      <c r="AI1044" s="9"/>
      <c r="AJ1044" s="9"/>
      <c r="AK1044" s="9"/>
      <c r="AL1044" s="9"/>
      <c r="AM1044" s="9"/>
      <c r="AN1044" s="9"/>
      <c r="AO1044" s="9"/>
      <c r="AP1044" s="9"/>
      <c r="AQ1044" s="9"/>
      <c r="AR1044" s="9"/>
      <c r="AS1044" s="9"/>
      <c r="AT1044" s="9"/>
      <c r="AU1044" s="9"/>
    </row>
    <row r="1045" spans="1:47" ht="15.75" customHeight="1">
      <c r="A1045" s="9"/>
      <c r="B1045" s="9"/>
      <c r="C1045" s="9"/>
      <c r="D1045" s="9"/>
      <c r="E1045" s="9"/>
      <c r="F1045" s="67"/>
      <c r="G1045" s="9"/>
      <c r="H1045" s="9"/>
      <c r="I1045" s="9"/>
      <c r="J1045" s="9"/>
      <c r="K1045" s="9"/>
      <c r="L1045" s="9"/>
      <c r="M1045" s="9"/>
      <c r="N1045" s="9"/>
      <c r="O1045" s="9"/>
      <c r="P1045" s="9"/>
      <c r="Q1045" s="9"/>
      <c r="R1045" s="9"/>
      <c r="S1045" s="9"/>
      <c r="T1045" s="9"/>
      <c r="U1045" s="9"/>
      <c r="V1045" s="9"/>
      <c r="W1045" s="9"/>
      <c r="X1045" s="9"/>
      <c r="Y1045" s="9"/>
      <c r="Z1045" s="9"/>
      <c r="AA1045" s="9"/>
      <c r="AB1045" s="9"/>
      <c r="AC1045" s="9"/>
      <c r="AD1045" s="9"/>
      <c r="AE1045" s="9"/>
      <c r="AF1045" s="9"/>
      <c r="AG1045" s="9"/>
      <c r="AH1045" s="9"/>
      <c r="AI1045" s="9"/>
      <c r="AJ1045" s="9"/>
      <c r="AK1045" s="9"/>
      <c r="AL1045" s="9"/>
      <c r="AM1045" s="9"/>
      <c r="AN1045" s="9"/>
      <c r="AO1045" s="9"/>
      <c r="AP1045" s="9"/>
      <c r="AQ1045" s="9"/>
      <c r="AR1045" s="9"/>
      <c r="AS1045" s="9"/>
      <c r="AT1045" s="9"/>
      <c r="AU1045" s="9"/>
    </row>
    <row r="1046" spans="1:47" ht="15.75" customHeight="1">
      <c r="A1046" s="9"/>
      <c r="B1046" s="9"/>
      <c r="C1046" s="9"/>
      <c r="D1046" s="9"/>
      <c r="E1046" s="9"/>
      <c r="F1046" s="67"/>
      <c r="G1046" s="9"/>
      <c r="H1046" s="9"/>
      <c r="I1046" s="9"/>
      <c r="J1046" s="9"/>
      <c r="K1046" s="9"/>
      <c r="L1046" s="9"/>
      <c r="M1046" s="9"/>
      <c r="N1046" s="9"/>
      <c r="O1046" s="9"/>
      <c r="P1046" s="9"/>
      <c r="Q1046" s="9"/>
      <c r="R1046" s="9"/>
      <c r="S1046" s="9"/>
      <c r="T1046" s="9"/>
      <c r="U1046" s="9"/>
      <c r="V1046" s="9"/>
      <c r="W1046" s="9"/>
      <c r="X1046" s="9"/>
      <c r="Y1046" s="9"/>
      <c r="Z1046" s="9"/>
      <c r="AA1046" s="9"/>
      <c r="AB1046" s="9"/>
      <c r="AC1046" s="9"/>
      <c r="AD1046" s="9"/>
      <c r="AE1046" s="9"/>
      <c r="AF1046" s="9"/>
      <c r="AG1046" s="9"/>
      <c r="AH1046" s="9"/>
      <c r="AI1046" s="9"/>
      <c r="AJ1046" s="9"/>
      <c r="AK1046" s="9"/>
      <c r="AL1046" s="9"/>
      <c r="AM1046" s="9"/>
      <c r="AN1046" s="9"/>
      <c r="AO1046" s="9"/>
      <c r="AP1046" s="9"/>
      <c r="AQ1046" s="9"/>
      <c r="AR1046" s="9"/>
      <c r="AS1046" s="9"/>
      <c r="AT1046" s="9"/>
      <c r="AU1046" s="9"/>
    </row>
    <row r="1047" spans="1:47" ht="15.75" customHeight="1">
      <c r="A1047" s="9"/>
      <c r="B1047" s="9"/>
      <c r="C1047" s="9"/>
      <c r="D1047" s="9"/>
      <c r="E1047" s="9"/>
      <c r="F1047" s="67"/>
      <c r="G1047" s="9"/>
      <c r="H1047" s="9"/>
      <c r="I1047" s="9"/>
      <c r="J1047" s="9"/>
      <c r="K1047" s="9"/>
      <c r="L1047" s="9"/>
      <c r="M1047" s="9"/>
      <c r="N1047" s="9"/>
      <c r="O1047" s="9"/>
      <c r="P1047" s="9"/>
      <c r="Q1047" s="9"/>
      <c r="R1047" s="9"/>
      <c r="S1047" s="9"/>
      <c r="T1047" s="9"/>
      <c r="U1047" s="9"/>
      <c r="V1047" s="9"/>
      <c r="W1047" s="9"/>
      <c r="X1047" s="9"/>
      <c r="Y1047" s="9"/>
      <c r="Z1047" s="9"/>
      <c r="AA1047" s="9"/>
      <c r="AB1047" s="9"/>
      <c r="AC1047" s="9"/>
      <c r="AD1047" s="9"/>
      <c r="AE1047" s="9"/>
      <c r="AF1047" s="9"/>
      <c r="AG1047" s="9"/>
      <c r="AH1047" s="9"/>
      <c r="AI1047" s="9"/>
      <c r="AJ1047" s="9"/>
      <c r="AK1047" s="9"/>
      <c r="AL1047" s="9"/>
      <c r="AM1047" s="9"/>
      <c r="AN1047" s="9"/>
      <c r="AO1047" s="9"/>
      <c r="AP1047" s="9"/>
      <c r="AQ1047" s="9"/>
      <c r="AR1047" s="9"/>
      <c r="AS1047" s="9"/>
      <c r="AT1047" s="9"/>
      <c r="AU1047" s="9"/>
    </row>
    <row r="1048" spans="1:47" ht="15.75" customHeight="1">
      <c r="A1048" s="9"/>
      <c r="B1048" s="9"/>
      <c r="C1048" s="9"/>
      <c r="D1048" s="9"/>
      <c r="E1048" s="9"/>
      <c r="F1048" s="67"/>
      <c r="G1048" s="9"/>
      <c r="H1048" s="9"/>
      <c r="I1048" s="9"/>
      <c r="J1048" s="9"/>
      <c r="K1048" s="9"/>
      <c r="L1048" s="9"/>
      <c r="M1048" s="9"/>
      <c r="N1048" s="9"/>
      <c r="O1048" s="9"/>
      <c r="P1048" s="9"/>
      <c r="Q1048" s="9"/>
      <c r="R1048" s="9"/>
      <c r="S1048" s="9"/>
      <c r="T1048" s="9"/>
      <c r="U1048" s="9"/>
      <c r="V1048" s="9"/>
      <c r="W1048" s="9"/>
      <c r="X1048" s="9"/>
      <c r="Y1048" s="9"/>
      <c r="Z1048" s="9"/>
      <c r="AA1048" s="9"/>
      <c r="AB1048" s="9"/>
      <c r="AC1048" s="9"/>
      <c r="AD1048" s="9"/>
      <c r="AE1048" s="9"/>
      <c r="AF1048" s="9"/>
      <c r="AG1048" s="9"/>
      <c r="AH1048" s="9"/>
      <c r="AI1048" s="9"/>
      <c r="AJ1048" s="9"/>
      <c r="AK1048" s="9"/>
      <c r="AL1048" s="9"/>
      <c r="AM1048" s="9"/>
      <c r="AN1048" s="9"/>
      <c r="AO1048" s="9"/>
      <c r="AP1048" s="9"/>
      <c r="AQ1048" s="9"/>
      <c r="AR1048" s="9"/>
      <c r="AS1048" s="9"/>
      <c r="AT1048" s="9"/>
      <c r="AU1048" s="9"/>
    </row>
    <row r="1049" spans="1:47" ht="15.75" customHeight="1">
      <c r="A1049" s="9"/>
      <c r="B1049" s="9"/>
      <c r="C1049" s="9"/>
      <c r="D1049" s="9"/>
      <c r="E1049" s="9"/>
      <c r="F1049" s="67"/>
      <c r="G1049" s="9"/>
      <c r="H1049" s="9"/>
      <c r="I1049" s="9"/>
      <c r="J1049" s="9"/>
      <c r="K1049" s="9"/>
      <c r="L1049" s="9"/>
      <c r="M1049" s="9"/>
      <c r="N1049" s="9"/>
      <c r="O1049" s="9"/>
      <c r="P1049" s="9"/>
      <c r="Q1049" s="9"/>
      <c r="R1049" s="9"/>
      <c r="S1049" s="9"/>
      <c r="T1049" s="9"/>
      <c r="U1049" s="9"/>
      <c r="V1049" s="9"/>
      <c r="W1049" s="9"/>
      <c r="X1049" s="9"/>
      <c r="Y1049" s="9"/>
      <c r="Z1049" s="9"/>
      <c r="AA1049" s="9"/>
      <c r="AB1049" s="9"/>
      <c r="AC1049" s="9"/>
      <c r="AD1049" s="9"/>
      <c r="AE1049" s="9"/>
      <c r="AF1049" s="9"/>
      <c r="AG1049" s="9"/>
      <c r="AH1049" s="9"/>
      <c r="AI1049" s="9"/>
      <c r="AJ1049" s="9"/>
      <c r="AK1049" s="9"/>
      <c r="AL1049" s="9"/>
      <c r="AM1049" s="9"/>
      <c r="AN1049" s="9"/>
      <c r="AO1049" s="9"/>
      <c r="AP1049" s="9"/>
      <c r="AQ1049" s="9"/>
      <c r="AR1049" s="9"/>
      <c r="AS1049" s="9"/>
      <c r="AT1049" s="9"/>
      <c r="AU1049" s="9"/>
    </row>
    <row r="1050" spans="1:47" ht="15.75" customHeight="1">
      <c r="A1050" s="9"/>
      <c r="B1050" s="9"/>
      <c r="C1050" s="9"/>
      <c r="D1050" s="9"/>
      <c r="E1050" s="9"/>
      <c r="F1050" s="67"/>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G1050" s="9"/>
      <c r="AH1050" s="9"/>
      <c r="AI1050" s="9"/>
      <c r="AJ1050" s="9"/>
      <c r="AK1050" s="9"/>
      <c r="AL1050" s="9"/>
      <c r="AM1050" s="9"/>
      <c r="AN1050" s="9"/>
      <c r="AO1050" s="9"/>
      <c r="AP1050" s="9"/>
      <c r="AQ1050" s="9"/>
      <c r="AR1050" s="9"/>
      <c r="AS1050" s="9"/>
      <c r="AT1050" s="9"/>
      <c r="AU1050" s="9"/>
    </row>
    <row r="1051" spans="1:47" ht="15.75" customHeight="1">
      <c r="A1051" s="9"/>
      <c r="B1051" s="9"/>
      <c r="C1051" s="9"/>
      <c r="D1051" s="9"/>
      <c r="E1051" s="9"/>
      <c r="F1051" s="67"/>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G1051" s="9"/>
      <c r="AH1051" s="9"/>
      <c r="AI1051" s="9"/>
      <c r="AJ1051" s="9"/>
      <c r="AK1051" s="9"/>
      <c r="AL1051" s="9"/>
      <c r="AM1051" s="9"/>
      <c r="AN1051" s="9"/>
      <c r="AO1051" s="9"/>
      <c r="AP1051" s="9"/>
      <c r="AQ1051" s="9"/>
      <c r="AR1051" s="9"/>
      <c r="AS1051" s="9"/>
      <c r="AT1051" s="9"/>
      <c r="AU1051" s="9"/>
    </row>
    <row r="1052" spans="1:47" ht="15.75" customHeight="1">
      <c r="A1052" s="9"/>
      <c r="B1052" s="9"/>
      <c r="C1052" s="9"/>
      <c r="D1052" s="9"/>
      <c r="E1052" s="9"/>
      <c r="F1052" s="67"/>
      <c r="G1052" s="9"/>
      <c r="H1052" s="9"/>
      <c r="I1052" s="9"/>
      <c r="J1052" s="9"/>
      <c r="K1052" s="9"/>
      <c r="L1052" s="9"/>
      <c r="M1052" s="9"/>
      <c r="N1052" s="9"/>
      <c r="O1052" s="9"/>
      <c r="P1052" s="9"/>
      <c r="Q1052" s="9"/>
      <c r="R1052" s="9"/>
      <c r="S1052" s="9"/>
      <c r="T1052" s="9"/>
      <c r="U1052" s="9"/>
      <c r="V1052" s="9"/>
      <c r="W1052" s="9"/>
      <c r="X1052" s="9"/>
      <c r="Y1052" s="9"/>
      <c r="Z1052" s="9"/>
      <c r="AA1052" s="9"/>
      <c r="AB1052" s="9"/>
      <c r="AC1052" s="9"/>
      <c r="AD1052" s="9"/>
      <c r="AE1052" s="9"/>
      <c r="AF1052" s="9"/>
      <c r="AG1052" s="9"/>
      <c r="AH1052" s="9"/>
      <c r="AI1052" s="9"/>
      <c r="AJ1052" s="9"/>
      <c r="AK1052" s="9"/>
      <c r="AL1052" s="9"/>
      <c r="AM1052" s="9"/>
      <c r="AN1052" s="9"/>
      <c r="AO1052" s="9"/>
      <c r="AP1052" s="9"/>
      <c r="AQ1052" s="9"/>
      <c r="AR1052" s="9"/>
      <c r="AS1052" s="9"/>
      <c r="AT1052" s="9"/>
      <c r="AU1052" s="9"/>
    </row>
    <row r="1053" spans="1:47" ht="15.75" customHeight="1">
      <c r="A1053" s="9"/>
      <c r="B1053" s="9"/>
      <c r="C1053" s="9"/>
      <c r="D1053" s="9"/>
      <c r="E1053" s="9"/>
      <c r="F1053" s="67"/>
      <c r="G1053" s="9"/>
      <c r="H1053" s="9"/>
      <c r="I1053" s="9"/>
      <c r="J1053" s="9"/>
      <c r="K1053" s="9"/>
      <c r="L1053" s="9"/>
      <c r="M1053" s="9"/>
      <c r="N1053" s="9"/>
      <c r="O1053" s="9"/>
      <c r="P1053" s="9"/>
      <c r="Q1053" s="9"/>
      <c r="R1053" s="9"/>
      <c r="S1053" s="9"/>
      <c r="T1053" s="9"/>
      <c r="U1053" s="9"/>
      <c r="V1053" s="9"/>
      <c r="W1053" s="9"/>
      <c r="X1053" s="9"/>
      <c r="Y1053" s="9"/>
      <c r="Z1053" s="9"/>
      <c r="AA1053" s="9"/>
      <c r="AB1053" s="9"/>
      <c r="AC1053" s="9"/>
      <c r="AD1053" s="9"/>
      <c r="AE1053" s="9"/>
      <c r="AF1053" s="9"/>
      <c r="AG1053" s="9"/>
      <c r="AH1053" s="9"/>
      <c r="AI1053" s="9"/>
      <c r="AJ1053" s="9"/>
      <c r="AK1053" s="9"/>
      <c r="AL1053" s="9"/>
      <c r="AM1053" s="9"/>
      <c r="AN1053" s="9"/>
      <c r="AO1053" s="9"/>
      <c r="AP1053" s="9"/>
      <c r="AQ1053" s="9"/>
      <c r="AR1053" s="9"/>
      <c r="AS1053" s="9"/>
      <c r="AT1053" s="9"/>
      <c r="AU1053" s="9"/>
    </row>
    <row r="1054" spans="1:47" ht="15.75" customHeight="1">
      <c r="A1054" s="9"/>
      <c r="B1054" s="9"/>
      <c r="C1054" s="9"/>
      <c r="D1054" s="9"/>
      <c r="E1054" s="9"/>
      <c r="F1054" s="67"/>
      <c r="G1054" s="9"/>
      <c r="H1054" s="9"/>
      <c r="I1054" s="9"/>
      <c r="J1054" s="9"/>
      <c r="K1054" s="9"/>
      <c r="L1054" s="9"/>
      <c r="M1054" s="9"/>
      <c r="N1054" s="9"/>
      <c r="O1054" s="9"/>
      <c r="P1054" s="9"/>
      <c r="Q1054" s="9"/>
      <c r="R1054" s="9"/>
      <c r="S1054" s="9"/>
      <c r="T1054" s="9"/>
      <c r="U1054" s="9"/>
      <c r="V1054" s="9"/>
      <c r="W1054" s="9"/>
      <c r="X1054" s="9"/>
      <c r="Y1054" s="9"/>
      <c r="Z1054" s="9"/>
      <c r="AA1054" s="9"/>
      <c r="AB1054" s="9"/>
      <c r="AC1054" s="9"/>
      <c r="AD1054" s="9"/>
      <c r="AE1054" s="9"/>
      <c r="AF1054" s="9"/>
      <c r="AG1054" s="9"/>
      <c r="AH1054" s="9"/>
      <c r="AI1054" s="9"/>
      <c r="AJ1054" s="9"/>
      <c r="AK1054" s="9"/>
      <c r="AL1054" s="9"/>
      <c r="AM1054" s="9"/>
      <c r="AN1054" s="9"/>
      <c r="AO1054" s="9"/>
      <c r="AP1054" s="9"/>
      <c r="AQ1054" s="9"/>
      <c r="AR1054" s="9"/>
      <c r="AS1054" s="9"/>
      <c r="AT1054" s="9"/>
      <c r="AU1054" s="9"/>
    </row>
    <row r="1055" spans="1:47" ht="15.75" customHeight="1">
      <c r="A1055" s="9"/>
      <c r="B1055" s="9"/>
      <c r="C1055" s="9"/>
      <c r="D1055" s="9"/>
      <c r="E1055" s="9"/>
      <c r="F1055" s="67"/>
      <c r="G1055" s="9"/>
      <c r="H1055" s="9"/>
      <c r="I1055" s="9"/>
      <c r="J1055" s="9"/>
      <c r="K1055" s="9"/>
      <c r="L1055" s="9"/>
      <c r="M1055" s="9"/>
      <c r="N1055" s="9"/>
      <c r="O1055" s="9"/>
      <c r="P1055" s="9"/>
      <c r="Q1055" s="9"/>
      <c r="R1055" s="9"/>
      <c r="S1055" s="9"/>
      <c r="T1055" s="9"/>
      <c r="U1055" s="9"/>
      <c r="V1055" s="9"/>
      <c r="W1055" s="9"/>
      <c r="X1055" s="9"/>
      <c r="Y1055" s="9"/>
      <c r="Z1055" s="9"/>
      <c r="AA1055" s="9"/>
      <c r="AB1055" s="9"/>
      <c r="AC1055" s="9"/>
      <c r="AD1055" s="9"/>
      <c r="AE1055" s="9"/>
      <c r="AF1055" s="9"/>
      <c r="AG1055" s="9"/>
      <c r="AH1055" s="9"/>
      <c r="AI1055" s="9"/>
      <c r="AJ1055" s="9"/>
      <c r="AK1055" s="9"/>
      <c r="AL1055" s="9"/>
      <c r="AM1055" s="9"/>
      <c r="AN1055" s="9"/>
      <c r="AO1055" s="9"/>
      <c r="AP1055" s="9"/>
      <c r="AQ1055" s="9"/>
      <c r="AR1055" s="9"/>
      <c r="AS1055" s="9"/>
      <c r="AT1055" s="9"/>
      <c r="AU1055" s="9"/>
    </row>
    <row r="1056" spans="1:47" ht="15.75" customHeight="1">
      <c r="A1056" s="9"/>
      <c r="B1056" s="9"/>
      <c r="C1056" s="9"/>
      <c r="D1056" s="9"/>
      <c r="E1056" s="9"/>
      <c r="F1056" s="67"/>
      <c r="G1056" s="9"/>
      <c r="H1056" s="9"/>
      <c r="I1056" s="9"/>
      <c r="J1056" s="9"/>
      <c r="K1056" s="9"/>
      <c r="L1056" s="9"/>
      <c r="M1056" s="9"/>
      <c r="N1056" s="9"/>
      <c r="O1056" s="9"/>
      <c r="P1056" s="9"/>
      <c r="Q1056" s="9"/>
      <c r="R1056" s="9"/>
      <c r="S1056" s="9"/>
      <c r="T1056" s="9"/>
      <c r="U1056" s="9"/>
      <c r="V1056" s="9"/>
      <c r="W1056" s="9"/>
      <c r="X1056" s="9"/>
      <c r="Y1056" s="9"/>
      <c r="Z1056" s="9"/>
      <c r="AA1056" s="9"/>
      <c r="AB1056" s="9"/>
      <c r="AC1056" s="9"/>
      <c r="AD1056" s="9"/>
      <c r="AE1056" s="9"/>
      <c r="AF1056" s="9"/>
      <c r="AG1056" s="9"/>
      <c r="AH1056" s="9"/>
      <c r="AI1056" s="9"/>
      <c r="AJ1056" s="9"/>
      <c r="AK1056" s="9"/>
      <c r="AL1056" s="9"/>
      <c r="AM1056" s="9"/>
      <c r="AN1056" s="9"/>
      <c r="AO1056" s="9"/>
      <c r="AP1056" s="9"/>
      <c r="AQ1056" s="9"/>
      <c r="AR1056" s="9"/>
      <c r="AS1056" s="9"/>
      <c r="AT1056" s="9"/>
      <c r="AU1056" s="9"/>
    </row>
    <row r="1057" spans="1:47" ht="15.75" customHeight="1">
      <c r="A1057" s="9"/>
      <c r="B1057" s="9"/>
      <c r="C1057" s="9"/>
      <c r="D1057" s="9"/>
      <c r="E1057" s="9"/>
      <c r="F1057" s="67"/>
      <c r="G1057" s="9"/>
      <c r="H1057" s="9"/>
      <c r="I1057" s="9"/>
      <c r="J1057" s="9"/>
      <c r="K1057" s="9"/>
      <c r="L1057" s="9"/>
      <c r="M1057" s="9"/>
      <c r="N1057" s="9"/>
      <c r="O1057" s="9"/>
      <c r="P1057" s="9"/>
      <c r="Q1057" s="9"/>
      <c r="R1057" s="9"/>
      <c r="S1057" s="9"/>
      <c r="T1057" s="9"/>
      <c r="U1057" s="9"/>
      <c r="V1057" s="9"/>
      <c r="W1057" s="9"/>
      <c r="X1057" s="9"/>
      <c r="Y1057" s="9"/>
      <c r="Z1057" s="9"/>
      <c r="AA1057" s="9"/>
      <c r="AB1057" s="9"/>
      <c r="AC1057" s="9"/>
      <c r="AD1057" s="9"/>
      <c r="AE1057" s="9"/>
      <c r="AF1057" s="9"/>
      <c r="AG1057" s="9"/>
      <c r="AH1057" s="9"/>
      <c r="AI1057" s="9"/>
      <c r="AJ1057" s="9"/>
      <c r="AK1057" s="9"/>
      <c r="AL1057" s="9"/>
      <c r="AM1057" s="9"/>
      <c r="AN1057" s="9"/>
      <c r="AO1057" s="9"/>
      <c r="AP1057" s="9"/>
      <c r="AQ1057" s="9"/>
      <c r="AR1057" s="9"/>
      <c r="AS1057" s="9"/>
      <c r="AT1057" s="9"/>
      <c r="AU1057" s="9"/>
    </row>
    <row r="1058" spans="1:47" ht="15.75" customHeight="1">
      <c r="A1058" s="9"/>
      <c r="B1058" s="9"/>
      <c r="C1058" s="9"/>
      <c r="D1058" s="9"/>
      <c r="E1058" s="9"/>
      <c r="F1058" s="67"/>
      <c r="G1058" s="9"/>
      <c r="H1058" s="9"/>
      <c r="I1058" s="9"/>
      <c r="J1058" s="9"/>
      <c r="K1058" s="9"/>
      <c r="L1058" s="9"/>
      <c r="M1058" s="9"/>
      <c r="N1058" s="9"/>
      <c r="O1058" s="9"/>
      <c r="P1058" s="9"/>
      <c r="Q1058" s="9"/>
      <c r="R1058" s="9"/>
      <c r="S1058" s="9"/>
      <c r="T1058" s="9"/>
      <c r="U1058" s="9"/>
      <c r="V1058" s="9"/>
      <c r="W1058" s="9"/>
      <c r="X1058" s="9"/>
      <c r="Y1058" s="9"/>
      <c r="Z1058" s="9"/>
      <c r="AA1058" s="9"/>
      <c r="AB1058" s="9"/>
      <c r="AC1058" s="9"/>
      <c r="AD1058" s="9"/>
      <c r="AE1058" s="9"/>
      <c r="AF1058" s="9"/>
      <c r="AG1058" s="9"/>
      <c r="AH1058" s="9"/>
      <c r="AI1058" s="9"/>
      <c r="AJ1058" s="9"/>
      <c r="AK1058" s="9"/>
      <c r="AL1058" s="9"/>
      <c r="AM1058" s="9"/>
      <c r="AN1058" s="9"/>
      <c r="AO1058" s="9"/>
      <c r="AP1058" s="9"/>
      <c r="AQ1058" s="9"/>
      <c r="AR1058" s="9"/>
      <c r="AS1058" s="9"/>
      <c r="AT1058" s="9"/>
      <c r="AU1058" s="9"/>
    </row>
    <row r="1059" spans="1:47" ht="15.75" customHeight="1">
      <c r="A1059" s="9"/>
      <c r="B1059" s="9"/>
      <c r="C1059" s="9"/>
      <c r="D1059" s="9"/>
      <c r="E1059" s="9"/>
      <c r="F1059" s="67"/>
      <c r="G1059" s="9"/>
      <c r="H1059" s="9"/>
      <c r="I1059" s="9"/>
      <c r="J1059" s="9"/>
      <c r="K1059" s="9"/>
      <c r="L1059" s="9"/>
      <c r="M1059" s="9"/>
      <c r="N1059" s="9"/>
      <c r="O1059" s="9"/>
      <c r="P1059" s="9"/>
      <c r="Q1059" s="9"/>
      <c r="R1059" s="9"/>
      <c r="S1059" s="9"/>
      <c r="T1059" s="9"/>
      <c r="U1059" s="9"/>
      <c r="V1059" s="9"/>
      <c r="W1059" s="9"/>
      <c r="X1059" s="9"/>
      <c r="Y1059" s="9"/>
      <c r="Z1059" s="9"/>
      <c r="AA1059" s="9"/>
      <c r="AB1059" s="9"/>
      <c r="AC1059" s="9"/>
      <c r="AD1059" s="9"/>
      <c r="AE1059" s="9"/>
      <c r="AF1059" s="9"/>
      <c r="AG1059" s="9"/>
      <c r="AH1059" s="9"/>
      <c r="AI1059" s="9"/>
      <c r="AJ1059" s="9"/>
      <c r="AK1059" s="9"/>
      <c r="AL1059" s="9"/>
      <c r="AM1059" s="9"/>
      <c r="AN1059" s="9"/>
      <c r="AO1059" s="9"/>
      <c r="AP1059" s="9"/>
      <c r="AQ1059" s="9"/>
      <c r="AR1059" s="9"/>
      <c r="AS1059" s="9"/>
      <c r="AT1059" s="9"/>
      <c r="AU1059" s="9"/>
    </row>
    <row r="1060" spans="1:47" ht="15.75" customHeight="1">
      <c r="A1060" s="9"/>
      <c r="B1060" s="9"/>
      <c r="C1060" s="9"/>
      <c r="D1060" s="9"/>
      <c r="E1060" s="9"/>
      <c r="F1060" s="67"/>
      <c r="G1060" s="9"/>
      <c r="H1060" s="9"/>
      <c r="I1060" s="9"/>
      <c r="J1060" s="9"/>
      <c r="K1060" s="9"/>
      <c r="L1060" s="9"/>
      <c r="M1060" s="9"/>
      <c r="N1060" s="9"/>
      <c r="O1060" s="9"/>
      <c r="P1060" s="9"/>
      <c r="Q1060" s="9"/>
      <c r="R1060" s="9"/>
      <c r="S1060" s="9"/>
      <c r="T1060" s="9"/>
      <c r="U1060" s="9"/>
      <c r="V1060" s="9"/>
      <c r="W1060" s="9"/>
      <c r="X1060" s="9"/>
      <c r="Y1060" s="9"/>
      <c r="Z1060" s="9"/>
      <c r="AA1060" s="9"/>
      <c r="AB1060" s="9"/>
      <c r="AC1060" s="9"/>
      <c r="AD1060" s="9"/>
      <c r="AE1060" s="9"/>
      <c r="AF1060" s="9"/>
      <c r="AG1060" s="9"/>
      <c r="AH1060" s="9"/>
      <c r="AI1060" s="9"/>
      <c r="AJ1060" s="9"/>
      <c r="AK1060" s="9"/>
      <c r="AL1060" s="9"/>
      <c r="AM1060" s="9"/>
      <c r="AN1060" s="9"/>
      <c r="AO1060" s="9"/>
      <c r="AP1060" s="9"/>
      <c r="AQ1060" s="9"/>
      <c r="AR1060" s="9"/>
      <c r="AS1060" s="9"/>
      <c r="AT1060" s="9"/>
      <c r="AU1060" s="9"/>
    </row>
    <row r="1061" spans="1:47" ht="15.75" customHeight="1">
      <c r="A1061" s="9"/>
      <c r="B1061" s="9"/>
      <c r="C1061" s="9"/>
      <c r="D1061" s="9"/>
      <c r="E1061" s="9"/>
      <c r="F1061" s="67"/>
      <c r="G1061" s="9"/>
      <c r="H1061" s="9"/>
      <c r="I1061" s="9"/>
      <c r="J1061" s="9"/>
      <c r="K1061" s="9"/>
      <c r="L1061" s="9"/>
      <c r="M1061" s="9"/>
      <c r="N1061" s="9"/>
      <c r="O1061" s="9"/>
      <c r="P1061" s="9"/>
      <c r="Q1061" s="9"/>
      <c r="R1061" s="9"/>
      <c r="S1061" s="9"/>
      <c r="T1061" s="9"/>
      <c r="U1061" s="9"/>
      <c r="V1061" s="9"/>
      <c r="W1061" s="9"/>
      <c r="X1061" s="9"/>
      <c r="Y1061" s="9"/>
      <c r="Z1061" s="9"/>
      <c r="AA1061" s="9"/>
      <c r="AB1061" s="9"/>
      <c r="AC1061" s="9"/>
      <c r="AD1061" s="9"/>
      <c r="AE1061" s="9"/>
      <c r="AF1061" s="9"/>
      <c r="AG1061" s="9"/>
      <c r="AH1061" s="9"/>
      <c r="AI1061" s="9"/>
      <c r="AJ1061" s="9"/>
      <c r="AK1061" s="9"/>
      <c r="AL1061" s="9"/>
      <c r="AM1061" s="9"/>
      <c r="AN1061" s="9"/>
      <c r="AO1061" s="9"/>
      <c r="AP1061" s="9"/>
      <c r="AQ1061" s="9"/>
      <c r="AR1061" s="9"/>
      <c r="AS1061" s="9"/>
      <c r="AT1061" s="9"/>
      <c r="AU1061" s="9"/>
    </row>
    <row r="1062" spans="1:47" ht="15.75" customHeight="1">
      <c r="A1062" s="9"/>
      <c r="B1062" s="9"/>
      <c r="C1062" s="9"/>
      <c r="D1062" s="9"/>
      <c r="E1062" s="9"/>
      <c r="F1062" s="67"/>
      <c r="G1062" s="9"/>
      <c r="H1062" s="9"/>
      <c r="I1062" s="9"/>
      <c r="J1062" s="9"/>
      <c r="K1062" s="9"/>
      <c r="L1062" s="9"/>
      <c r="M1062" s="9"/>
      <c r="N1062" s="9"/>
      <c r="O1062" s="9"/>
      <c r="P1062" s="9"/>
      <c r="Q1062" s="9"/>
      <c r="R1062" s="9"/>
      <c r="S1062" s="9"/>
      <c r="T1062" s="9"/>
      <c r="U1062" s="9"/>
      <c r="V1062" s="9"/>
      <c r="W1062" s="9"/>
      <c r="X1062" s="9"/>
      <c r="Y1062" s="9"/>
      <c r="Z1062" s="9"/>
      <c r="AA1062" s="9"/>
      <c r="AB1062" s="9"/>
      <c r="AC1062" s="9"/>
      <c r="AD1062" s="9"/>
      <c r="AE1062" s="9"/>
      <c r="AF1062" s="9"/>
      <c r="AG1062" s="9"/>
      <c r="AH1062" s="9"/>
      <c r="AI1062" s="9"/>
      <c r="AJ1062" s="9"/>
      <c r="AK1062" s="9"/>
      <c r="AL1062" s="9"/>
      <c r="AM1062" s="9"/>
      <c r="AN1062" s="9"/>
      <c r="AO1062" s="9"/>
      <c r="AP1062" s="9"/>
      <c r="AQ1062" s="9"/>
      <c r="AR1062" s="9"/>
      <c r="AS1062" s="9"/>
      <c r="AT1062" s="9"/>
      <c r="AU1062" s="9"/>
    </row>
    <row r="1063" spans="1:47" ht="15.75" customHeight="1">
      <c r="A1063" s="9"/>
      <c r="B1063" s="9"/>
      <c r="C1063" s="9"/>
      <c r="D1063" s="9"/>
      <c r="E1063" s="9"/>
      <c r="F1063" s="67"/>
      <c r="G1063" s="9"/>
      <c r="H1063" s="9"/>
      <c r="I1063" s="9"/>
      <c r="J1063" s="9"/>
      <c r="K1063" s="9"/>
      <c r="L1063" s="9"/>
      <c r="M1063" s="9"/>
      <c r="N1063" s="9"/>
      <c r="O1063" s="9"/>
      <c r="P1063" s="9"/>
      <c r="Q1063" s="9"/>
      <c r="R1063" s="9"/>
      <c r="S1063" s="9"/>
      <c r="T1063" s="9"/>
      <c r="U1063" s="9"/>
      <c r="V1063" s="9"/>
      <c r="W1063" s="9"/>
      <c r="X1063" s="9"/>
      <c r="Y1063" s="9"/>
      <c r="Z1063" s="9"/>
      <c r="AA1063" s="9"/>
      <c r="AB1063" s="9"/>
      <c r="AC1063" s="9"/>
      <c r="AD1063" s="9"/>
      <c r="AE1063" s="9"/>
      <c r="AF1063" s="9"/>
      <c r="AG1063" s="9"/>
      <c r="AH1063" s="9"/>
      <c r="AI1063" s="9"/>
      <c r="AJ1063" s="9"/>
      <c r="AK1063" s="9"/>
      <c r="AL1063" s="9"/>
      <c r="AM1063" s="9"/>
      <c r="AN1063" s="9"/>
      <c r="AO1063" s="9"/>
      <c r="AP1063" s="9"/>
      <c r="AQ1063" s="9"/>
      <c r="AR1063" s="9"/>
      <c r="AS1063" s="9"/>
      <c r="AT1063" s="9"/>
      <c r="AU1063" s="9"/>
    </row>
    <row r="1064" spans="1:47" ht="15.75" customHeight="1">
      <c r="A1064" s="9"/>
      <c r="B1064" s="9"/>
      <c r="C1064" s="9"/>
      <c r="D1064" s="9"/>
      <c r="E1064" s="9"/>
      <c r="F1064" s="67"/>
      <c r="G1064" s="9"/>
      <c r="H1064" s="9"/>
      <c r="I1064" s="9"/>
      <c r="J1064" s="9"/>
      <c r="K1064" s="9"/>
      <c r="L1064" s="9"/>
      <c r="M1064" s="9"/>
      <c r="N1064" s="9"/>
      <c r="O1064" s="9"/>
      <c r="P1064" s="9"/>
      <c r="Q1064" s="9"/>
      <c r="R1064" s="9"/>
      <c r="S1064" s="9"/>
      <c r="T1064" s="9"/>
      <c r="U1064" s="9"/>
      <c r="V1064" s="9"/>
      <c r="W1064" s="9"/>
      <c r="X1064" s="9"/>
      <c r="Y1064" s="9"/>
      <c r="Z1064" s="9"/>
      <c r="AA1064" s="9"/>
      <c r="AB1064" s="9"/>
      <c r="AC1064" s="9"/>
      <c r="AD1064" s="9"/>
      <c r="AE1064" s="9"/>
      <c r="AF1064" s="9"/>
      <c r="AG1064" s="9"/>
      <c r="AH1064" s="9"/>
      <c r="AI1064" s="9"/>
      <c r="AJ1064" s="9"/>
      <c r="AK1064" s="9"/>
      <c r="AL1064" s="9"/>
      <c r="AM1064" s="9"/>
      <c r="AN1064" s="9"/>
      <c r="AO1064" s="9"/>
      <c r="AP1064" s="9"/>
      <c r="AQ1064" s="9"/>
      <c r="AR1064" s="9"/>
      <c r="AS1064" s="9"/>
      <c r="AT1064" s="9"/>
      <c r="AU1064" s="9"/>
    </row>
    <row r="1065" spans="1:47" ht="15.75" customHeight="1">
      <c r="A1065" s="9"/>
      <c r="B1065" s="9"/>
      <c r="C1065" s="9"/>
      <c r="D1065" s="9"/>
      <c r="E1065" s="9"/>
      <c r="F1065" s="67"/>
      <c r="G1065" s="9"/>
      <c r="H1065" s="9"/>
      <c r="I1065" s="9"/>
      <c r="J1065" s="9"/>
      <c r="K1065" s="9"/>
      <c r="L1065" s="9"/>
      <c r="M1065" s="9"/>
      <c r="N1065" s="9"/>
      <c r="O1065" s="9"/>
      <c r="P1065" s="9"/>
      <c r="Q1065" s="9"/>
      <c r="R1065" s="9"/>
      <c r="S1065" s="9"/>
      <c r="T1065" s="9"/>
      <c r="U1065" s="9"/>
      <c r="V1065" s="9"/>
      <c r="W1065" s="9"/>
      <c r="X1065" s="9"/>
      <c r="Y1065" s="9"/>
      <c r="Z1065" s="9"/>
      <c r="AA1065" s="9"/>
      <c r="AB1065" s="9"/>
      <c r="AC1065" s="9"/>
      <c r="AD1065" s="9"/>
      <c r="AE1065" s="9"/>
      <c r="AF1065" s="9"/>
      <c r="AG1065" s="9"/>
      <c r="AH1065" s="9"/>
      <c r="AI1065" s="9"/>
      <c r="AJ1065" s="9"/>
      <c r="AK1065" s="9"/>
      <c r="AL1065" s="9"/>
      <c r="AM1065" s="9"/>
      <c r="AN1065" s="9"/>
      <c r="AO1065" s="9"/>
      <c r="AP1065" s="9"/>
      <c r="AQ1065" s="9"/>
      <c r="AR1065" s="9"/>
      <c r="AS1065" s="9"/>
      <c r="AT1065" s="9"/>
      <c r="AU1065" s="9"/>
    </row>
    <row r="1066" spans="1:47" ht="15.75" customHeight="1">
      <c r="A1066" s="9"/>
      <c r="B1066" s="9"/>
      <c r="C1066" s="9"/>
      <c r="D1066" s="9"/>
      <c r="E1066" s="9"/>
      <c r="F1066" s="67"/>
      <c r="G1066" s="9"/>
      <c r="H1066" s="9"/>
      <c r="I1066" s="9"/>
      <c r="J1066" s="9"/>
      <c r="K1066" s="9"/>
      <c r="L1066" s="9"/>
      <c r="M1066" s="9"/>
      <c r="N1066" s="9"/>
      <c r="O1066" s="9"/>
      <c r="P1066" s="9"/>
      <c r="Q1066" s="9"/>
      <c r="R1066" s="9"/>
      <c r="S1066" s="9"/>
      <c r="T1066" s="9"/>
      <c r="U1066" s="9"/>
      <c r="V1066" s="9"/>
      <c r="W1066" s="9"/>
      <c r="X1066" s="9"/>
      <c r="Y1066" s="9"/>
      <c r="Z1066" s="9"/>
      <c r="AA1066" s="9"/>
      <c r="AB1066" s="9"/>
      <c r="AC1066" s="9"/>
      <c r="AD1066" s="9"/>
      <c r="AE1066" s="9"/>
      <c r="AF1066" s="9"/>
      <c r="AG1066" s="9"/>
      <c r="AH1066" s="9"/>
      <c r="AI1066" s="9"/>
      <c r="AJ1066" s="9"/>
      <c r="AK1066" s="9"/>
      <c r="AL1066" s="9"/>
      <c r="AM1066" s="9"/>
      <c r="AN1066" s="9"/>
      <c r="AO1066" s="9"/>
      <c r="AP1066" s="9"/>
      <c r="AQ1066" s="9"/>
      <c r="AR1066" s="9"/>
      <c r="AS1066" s="9"/>
      <c r="AT1066" s="9"/>
      <c r="AU1066" s="9"/>
    </row>
    <row r="1067" spans="1:47" ht="15.75" customHeight="1">
      <c r="A1067" s="9"/>
      <c r="B1067" s="9"/>
      <c r="C1067" s="9"/>
      <c r="D1067" s="9"/>
      <c r="E1067" s="9"/>
      <c r="F1067" s="67"/>
      <c r="G1067" s="9"/>
      <c r="H1067" s="9"/>
      <c r="I1067" s="9"/>
      <c r="J1067" s="9"/>
      <c r="K1067" s="9"/>
      <c r="L1067" s="9"/>
      <c r="M1067" s="9"/>
      <c r="N1067" s="9"/>
      <c r="O1067" s="9"/>
      <c r="P1067" s="9"/>
      <c r="Q1067" s="9"/>
      <c r="R1067" s="9"/>
      <c r="S1067" s="9"/>
      <c r="T1067" s="9"/>
      <c r="U1067" s="9"/>
      <c r="V1067" s="9"/>
      <c r="W1067" s="9"/>
      <c r="X1067" s="9"/>
      <c r="Y1067" s="9"/>
      <c r="Z1067" s="9"/>
      <c r="AA1067" s="9"/>
      <c r="AB1067" s="9"/>
      <c r="AC1067" s="9"/>
      <c r="AD1067" s="9"/>
      <c r="AE1067" s="9"/>
      <c r="AF1067" s="9"/>
      <c r="AG1067" s="9"/>
      <c r="AH1067" s="9"/>
      <c r="AI1067" s="9"/>
      <c r="AJ1067" s="9"/>
      <c r="AK1067" s="9"/>
      <c r="AL1067" s="9"/>
      <c r="AM1067" s="9"/>
      <c r="AN1067" s="9"/>
      <c r="AO1067" s="9"/>
      <c r="AP1067" s="9"/>
      <c r="AQ1067" s="9"/>
      <c r="AR1067" s="9"/>
      <c r="AS1067" s="9"/>
      <c r="AT1067" s="9"/>
      <c r="AU1067" s="9"/>
    </row>
    <row r="1068" spans="1:47" ht="15.75" customHeight="1">
      <c r="A1068" s="9"/>
      <c r="B1068" s="9"/>
      <c r="C1068" s="9"/>
      <c r="D1068" s="9"/>
      <c r="E1068" s="9"/>
      <c r="F1068" s="67"/>
      <c r="G1068" s="9"/>
      <c r="H1068" s="9"/>
      <c r="I1068" s="9"/>
      <c r="J1068" s="9"/>
      <c r="K1068" s="9"/>
      <c r="L1068" s="9"/>
      <c r="M1068" s="9"/>
      <c r="N1068" s="9"/>
      <c r="O1068" s="9"/>
      <c r="P1068" s="9"/>
      <c r="Q1068" s="9"/>
      <c r="R1068" s="9"/>
      <c r="S1068" s="9"/>
      <c r="T1068" s="9"/>
      <c r="U1068" s="9"/>
      <c r="V1068" s="9"/>
      <c r="W1068" s="9"/>
      <c r="X1068" s="9"/>
      <c r="Y1068" s="9"/>
      <c r="Z1068" s="9"/>
      <c r="AA1068" s="9"/>
      <c r="AB1068" s="9"/>
      <c r="AC1068" s="9"/>
      <c r="AD1068" s="9"/>
      <c r="AE1068" s="9"/>
      <c r="AF1068" s="9"/>
      <c r="AG1068" s="9"/>
      <c r="AH1068" s="9"/>
      <c r="AI1068" s="9"/>
      <c r="AJ1068" s="9"/>
      <c r="AK1068" s="9"/>
      <c r="AL1068" s="9"/>
      <c r="AM1068" s="9"/>
      <c r="AN1068" s="9"/>
      <c r="AO1068" s="9"/>
      <c r="AP1068" s="9"/>
      <c r="AQ1068" s="9"/>
      <c r="AR1068" s="9"/>
      <c r="AS1068" s="9"/>
      <c r="AT1068" s="9"/>
      <c r="AU1068" s="9"/>
    </row>
    <row r="1069" spans="1:47" ht="15.75" customHeight="1">
      <c r="A1069" s="9"/>
      <c r="B1069" s="9"/>
      <c r="C1069" s="9"/>
      <c r="D1069" s="9"/>
      <c r="E1069" s="9"/>
      <c r="F1069" s="67"/>
      <c r="G1069" s="9"/>
      <c r="H1069" s="9"/>
      <c r="I1069" s="9"/>
      <c r="J1069" s="9"/>
      <c r="K1069" s="9"/>
      <c r="L1069" s="9"/>
      <c r="M1069" s="9"/>
      <c r="N1069" s="9"/>
      <c r="O1069" s="9"/>
      <c r="P1069" s="9"/>
      <c r="Q1069" s="9"/>
      <c r="R1069" s="9"/>
      <c r="S1069" s="9"/>
      <c r="T1069" s="9"/>
      <c r="U1069" s="9"/>
      <c r="V1069" s="9"/>
      <c r="W1069" s="9"/>
      <c r="X1069" s="9"/>
      <c r="Y1069" s="9"/>
      <c r="Z1069" s="9"/>
      <c r="AA1069" s="9"/>
      <c r="AB1069" s="9"/>
      <c r="AC1069" s="9"/>
      <c r="AD1069" s="9"/>
      <c r="AE1069" s="9"/>
      <c r="AF1069" s="9"/>
      <c r="AG1069" s="9"/>
      <c r="AH1069" s="9"/>
      <c r="AI1069" s="9"/>
      <c r="AJ1069" s="9"/>
      <c r="AK1069" s="9"/>
      <c r="AL1069" s="9"/>
      <c r="AM1069" s="9"/>
      <c r="AN1069" s="9"/>
      <c r="AO1069" s="9"/>
      <c r="AP1069" s="9"/>
      <c r="AQ1069" s="9"/>
      <c r="AR1069" s="9"/>
      <c r="AS1069" s="9"/>
      <c r="AT1069" s="9"/>
      <c r="AU1069" s="9"/>
    </row>
    <row r="1070" spans="1:47" ht="15.75" customHeight="1">
      <c r="A1070" s="9"/>
      <c r="B1070" s="9"/>
      <c r="C1070" s="9"/>
      <c r="D1070" s="9"/>
      <c r="E1070" s="9"/>
      <c r="F1070" s="67"/>
      <c r="G1070" s="9"/>
      <c r="H1070" s="9"/>
      <c r="I1070" s="9"/>
      <c r="J1070" s="9"/>
      <c r="K1070" s="9"/>
      <c r="L1070" s="9"/>
      <c r="M1070" s="9"/>
      <c r="N1070" s="9"/>
      <c r="O1070" s="9"/>
      <c r="P1070" s="9"/>
      <c r="Q1070" s="9"/>
      <c r="R1070" s="9"/>
      <c r="S1070" s="9"/>
      <c r="T1070" s="9"/>
      <c r="U1070" s="9"/>
      <c r="V1070" s="9"/>
      <c r="W1070" s="9"/>
      <c r="X1070" s="9"/>
      <c r="Y1070" s="9"/>
      <c r="Z1070" s="9"/>
      <c r="AA1070" s="9"/>
      <c r="AB1070" s="9"/>
      <c r="AC1070" s="9"/>
      <c r="AD1070" s="9"/>
      <c r="AE1070" s="9"/>
      <c r="AF1070" s="9"/>
      <c r="AG1070" s="9"/>
      <c r="AH1070" s="9"/>
      <c r="AI1070" s="9"/>
      <c r="AJ1070" s="9"/>
      <c r="AK1070" s="9"/>
      <c r="AL1070" s="9"/>
      <c r="AM1070" s="9"/>
      <c r="AN1070" s="9"/>
      <c r="AO1070" s="9"/>
      <c r="AP1070" s="9"/>
      <c r="AQ1070" s="9"/>
      <c r="AR1070" s="9"/>
      <c r="AS1070" s="9"/>
      <c r="AT1070" s="9"/>
      <c r="AU1070" s="9"/>
    </row>
    <row r="1071" spans="1:47" ht="15.75" customHeight="1">
      <c r="A1071" s="9"/>
      <c r="B1071" s="9"/>
      <c r="C1071" s="9"/>
      <c r="D1071" s="9"/>
      <c r="E1071" s="9"/>
      <c r="F1071" s="67"/>
      <c r="G1071" s="9"/>
      <c r="H1071" s="9"/>
      <c r="I1071" s="9"/>
      <c r="J1071" s="9"/>
      <c r="K1071" s="9"/>
      <c r="L1071" s="9"/>
      <c r="M1071" s="9"/>
      <c r="N1071" s="9"/>
      <c r="O1071" s="9"/>
      <c r="P1071" s="9"/>
      <c r="Q1071" s="9"/>
      <c r="R1071" s="9"/>
      <c r="S1071" s="9"/>
      <c r="T1071" s="9"/>
      <c r="U1071" s="9"/>
      <c r="V1071" s="9"/>
      <c r="W1071" s="9"/>
      <c r="X1071" s="9"/>
      <c r="Y1071" s="9"/>
      <c r="Z1071" s="9"/>
      <c r="AA1071" s="9"/>
      <c r="AB1071" s="9"/>
      <c r="AC1071" s="9"/>
      <c r="AD1071" s="9"/>
      <c r="AE1071" s="9"/>
      <c r="AF1071" s="9"/>
      <c r="AG1071" s="9"/>
      <c r="AH1071" s="9"/>
      <c r="AI1071" s="9"/>
      <c r="AJ1071" s="9"/>
      <c r="AK1071" s="9"/>
      <c r="AL1071" s="9"/>
      <c r="AM1071" s="9"/>
      <c r="AN1071" s="9"/>
      <c r="AO1071" s="9"/>
      <c r="AP1071" s="9"/>
      <c r="AQ1071" s="9"/>
      <c r="AR1071" s="9"/>
      <c r="AS1071" s="9"/>
      <c r="AT1071" s="9"/>
      <c r="AU1071" s="9"/>
    </row>
    <row r="1072" spans="1:47" ht="15.75" customHeight="1">
      <c r="A1072" s="9"/>
      <c r="B1072" s="9"/>
      <c r="C1072" s="9"/>
      <c r="D1072" s="9"/>
      <c r="E1072" s="9"/>
      <c r="F1072" s="67"/>
      <c r="G1072" s="9"/>
      <c r="H1072" s="9"/>
      <c r="I1072" s="9"/>
      <c r="J1072" s="9"/>
      <c r="K1072" s="9"/>
      <c r="L1072" s="9"/>
      <c r="M1072" s="9"/>
      <c r="N1072" s="9"/>
      <c r="O1072" s="9"/>
      <c r="P1072" s="9"/>
      <c r="Q1072" s="9"/>
      <c r="R1072" s="9"/>
      <c r="S1072" s="9"/>
      <c r="T1072" s="9"/>
      <c r="U1072" s="9"/>
      <c r="V1072" s="9"/>
      <c r="W1072" s="9"/>
      <c r="X1072" s="9"/>
      <c r="Y1072" s="9"/>
      <c r="Z1072" s="9"/>
      <c r="AA1072" s="9"/>
      <c r="AB1072" s="9"/>
      <c r="AC1072" s="9"/>
      <c r="AD1072" s="9"/>
      <c r="AE1072" s="9"/>
      <c r="AF1072" s="9"/>
      <c r="AG1072" s="9"/>
      <c r="AH1072" s="9"/>
      <c r="AI1072" s="9"/>
      <c r="AJ1072" s="9"/>
      <c r="AK1072" s="9"/>
      <c r="AL1072" s="9"/>
      <c r="AM1072" s="9"/>
      <c r="AN1072" s="9"/>
      <c r="AO1072" s="9"/>
      <c r="AP1072" s="9"/>
      <c r="AQ1072" s="9"/>
      <c r="AR1072" s="9"/>
      <c r="AS1072" s="9"/>
      <c r="AT1072" s="9"/>
      <c r="AU1072" s="9"/>
    </row>
    <row r="1073" spans="1:47" ht="15.75" customHeight="1">
      <c r="A1073" s="9"/>
      <c r="B1073" s="9"/>
      <c r="C1073" s="9"/>
      <c r="D1073" s="9"/>
      <c r="E1073" s="9"/>
      <c r="F1073" s="67"/>
      <c r="G1073" s="9"/>
      <c r="H1073" s="9"/>
      <c r="I1073" s="9"/>
      <c r="J1073" s="9"/>
      <c r="K1073" s="9"/>
      <c r="L1073" s="9"/>
      <c r="M1073" s="9"/>
      <c r="N1073" s="9"/>
      <c r="O1073" s="9"/>
      <c r="P1073" s="9"/>
      <c r="Q1073" s="9"/>
      <c r="R1073" s="9"/>
      <c r="S1073" s="9"/>
      <c r="T1073" s="9"/>
      <c r="U1073" s="9"/>
      <c r="V1073" s="9"/>
      <c r="W1073" s="9"/>
      <c r="X1073" s="9"/>
      <c r="Y1073" s="9"/>
      <c r="Z1073" s="9"/>
      <c r="AA1073" s="9"/>
      <c r="AB1073" s="9"/>
      <c r="AC1073" s="9"/>
      <c r="AD1073" s="9"/>
      <c r="AE1073" s="9"/>
      <c r="AF1073" s="9"/>
      <c r="AG1073" s="9"/>
      <c r="AH1073" s="9"/>
      <c r="AI1073" s="9"/>
      <c r="AJ1073" s="9"/>
      <c r="AK1073" s="9"/>
      <c r="AL1073" s="9"/>
      <c r="AM1073" s="9"/>
      <c r="AN1073" s="9"/>
      <c r="AO1073" s="9"/>
      <c r="AP1073" s="9"/>
      <c r="AQ1073" s="9"/>
      <c r="AR1073" s="9"/>
      <c r="AS1073" s="9"/>
      <c r="AT1073" s="9"/>
      <c r="AU1073" s="9"/>
    </row>
    <row r="1074" spans="1:47" ht="15.75" customHeight="1">
      <c r="A1074" s="9"/>
      <c r="B1074" s="9"/>
      <c r="C1074" s="9"/>
      <c r="D1074" s="9"/>
      <c r="E1074" s="9"/>
      <c r="F1074" s="67"/>
      <c r="G1074" s="9"/>
      <c r="H1074" s="9"/>
      <c r="I1074" s="9"/>
      <c r="J1074" s="9"/>
      <c r="K1074" s="9"/>
      <c r="L1074" s="9"/>
      <c r="M1074" s="9"/>
      <c r="N1074" s="9"/>
      <c r="O1074" s="9"/>
      <c r="P1074" s="9"/>
      <c r="Q1074" s="9"/>
      <c r="R1074" s="9"/>
      <c r="S1074" s="9"/>
      <c r="T1074" s="9"/>
      <c r="U1074" s="9"/>
      <c r="V1074" s="9"/>
      <c r="W1074" s="9"/>
      <c r="X1074" s="9"/>
      <c r="Y1074" s="9"/>
      <c r="Z1074" s="9"/>
      <c r="AA1074" s="9"/>
      <c r="AB1074" s="9"/>
      <c r="AC1074" s="9"/>
      <c r="AD1074" s="9"/>
      <c r="AE1074" s="9"/>
      <c r="AF1074" s="9"/>
      <c r="AG1074" s="9"/>
      <c r="AH1074" s="9"/>
      <c r="AI1074" s="9"/>
      <c r="AJ1074" s="9"/>
      <c r="AK1074" s="9"/>
      <c r="AL1074" s="9"/>
      <c r="AM1074" s="9"/>
      <c r="AN1074" s="9"/>
      <c r="AO1074" s="9"/>
      <c r="AP1074" s="9"/>
      <c r="AQ1074" s="9"/>
      <c r="AR1074" s="9"/>
      <c r="AS1074" s="9"/>
      <c r="AT1074" s="9"/>
      <c r="AU1074" s="9"/>
    </row>
    <row r="1075" spans="1:47" ht="15.75" customHeight="1">
      <c r="A1075" s="9"/>
      <c r="B1075" s="9"/>
      <c r="C1075" s="9"/>
      <c r="D1075" s="9"/>
      <c r="E1075" s="9"/>
      <c r="F1075" s="67"/>
      <c r="G1075" s="9"/>
      <c r="H1075" s="9"/>
      <c r="I1075" s="9"/>
      <c r="J1075" s="9"/>
      <c r="K1075" s="9"/>
      <c r="L1075" s="9"/>
      <c r="M1075" s="9"/>
      <c r="N1075" s="9"/>
      <c r="O1075" s="9"/>
      <c r="P1075" s="9"/>
      <c r="Q1075" s="9"/>
      <c r="R1075" s="9"/>
      <c r="S1075" s="9"/>
      <c r="T1075" s="9"/>
      <c r="U1075" s="9"/>
      <c r="V1075" s="9"/>
      <c r="W1075" s="9"/>
      <c r="X1075" s="9"/>
      <c r="Y1075" s="9"/>
      <c r="Z1075" s="9"/>
      <c r="AA1075" s="9"/>
      <c r="AB1075" s="9"/>
      <c r="AC1075" s="9"/>
      <c r="AD1075" s="9"/>
      <c r="AE1075" s="9"/>
      <c r="AF1075" s="9"/>
      <c r="AG1075" s="9"/>
      <c r="AH1075" s="9"/>
      <c r="AI1075" s="9"/>
      <c r="AJ1075" s="9"/>
      <c r="AK1075" s="9"/>
      <c r="AL1075" s="9"/>
      <c r="AM1075" s="9"/>
      <c r="AN1075" s="9"/>
      <c r="AO1075" s="9"/>
      <c r="AP1075" s="9"/>
      <c r="AQ1075" s="9"/>
      <c r="AR1075" s="9"/>
      <c r="AS1075" s="9"/>
      <c r="AT1075" s="9"/>
      <c r="AU1075" s="9"/>
    </row>
    <row r="1076" spans="1:47" ht="15.75" customHeight="1">
      <c r="A1076" s="9"/>
      <c r="B1076" s="9"/>
      <c r="C1076" s="9"/>
      <c r="D1076" s="9"/>
      <c r="E1076" s="9"/>
      <c r="F1076" s="67"/>
      <c r="G1076" s="9"/>
      <c r="H1076" s="9"/>
      <c r="I1076" s="9"/>
      <c r="J1076" s="9"/>
      <c r="K1076" s="9"/>
      <c r="L1076" s="9"/>
      <c r="M1076" s="9"/>
      <c r="N1076" s="9"/>
      <c r="O1076" s="9"/>
      <c r="P1076" s="9"/>
      <c r="Q1076" s="9"/>
      <c r="R1076" s="9"/>
      <c r="S1076" s="9"/>
      <c r="T1076" s="9"/>
      <c r="U1076" s="9"/>
      <c r="V1076" s="9"/>
      <c r="W1076" s="9"/>
      <c r="X1076" s="9"/>
      <c r="Y1076" s="9"/>
      <c r="Z1076" s="9"/>
      <c r="AA1076" s="9"/>
      <c r="AB1076" s="9"/>
      <c r="AC1076" s="9"/>
      <c r="AD1076" s="9"/>
      <c r="AE1076" s="9"/>
      <c r="AF1076" s="9"/>
      <c r="AG1076" s="9"/>
      <c r="AH1076" s="9"/>
      <c r="AI1076" s="9"/>
      <c r="AJ1076" s="9"/>
      <c r="AK1076" s="9"/>
      <c r="AL1076" s="9"/>
      <c r="AM1076" s="9"/>
      <c r="AN1076" s="9"/>
      <c r="AO1076" s="9"/>
      <c r="AP1076" s="9"/>
      <c r="AQ1076" s="9"/>
      <c r="AR1076" s="9"/>
      <c r="AS1076" s="9"/>
      <c r="AT1076" s="9"/>
      <c r="AU1076" s="9"/>
    </row>
    <row r="1077" spans="1:47" ht="15.75" customHeight="1">
      <c r="A1077" s="9"/>
      <c r="B1077" s="9"/>
      <c r="C1077" s="9"/>
      <c r="D1077" s="9"/>
      <c r="E1077" s="9"/>
      <c r="F1077" s="67"/>
      <c r="G1077" s="9"/>
      <c r="H1077" s="9"/>
      <c r="I1077" s="9"/>
      <c r="J1077" s="9"/>
      <c r="K1077" s="9"/>
      <c r="L1077" s="9"/>
      <c r="M1077" s="9"/>
      <c r="N1077" s="9"/>
      <c r="O1077" s="9"/>
      <c r="P1077" s="9"/>
      <c r="Q1077" s="9"/>
      <c r="R1077" s="9"/>
      <c r="S1077" s="9"/>
      <c r="T1077" s="9"/>
      <c r="U1077" s="9"/>
      <c r="V1077" s="9"/>
      <c r="W1077" s="9"/>
      <c r="X1077" s="9"/>
      <c r="Y1077" s="9"/>
      <c r="Z1077" s="9"/>
      <c r="AA1077" s="9"/>
      <c r="AB1077" s="9"/>
      <c r="AC1077" s="9"/>
      <c r="AD1077" s="9"/>
      <c r="AE1077" s="9"/>
      <c r="AF1077" s="9"/>
      <c r="AG1077" s="9"/>
      <c r="AH1077" s="9"/>
      <c r="AI1077" s="9"/>
      <c r="AJ1077" s="9"/>
      <c r="AK1077" s="9"/>
      <c r="AL1077" s="9"/>
      <c r="AM1077" s="9"/>
      <c r="AN1077" s="9"/>
      <c r="AO1077" s="9"/>
      <c r="AP1077" s="9"/>
      <c r="AQ1077" s="9"/>
      <c r="AR1077" s="9"/>
      <c r="AS1077" s="9"/>
      <c r="AT1077" s="9"/>
      <c r="AU1077" s="9"/>
    </row>
    <row r="1078" spans="1:47" ht="15.75" customHeight="1">
      <c r="A1078" s="9"/>
      <c r="B1078" s="9"/>
      <c r="C1078" s="9"/>
      <c r="D1078" s="9"/>
      <c r="E1078" s="9"/>
      <c r="F1078" s="67"/>
      <c r="G1078" s="9"/>
      <c r="H1078" s="9"/>
      <c r="I1078" s="9"/>
      <c r="J1078" s="9"/>
      <c r="K1078" s="9"/>
      <c r="L1078" s="9"/>
      <c r="M1078" s="9"/>
      <c r="N1078" s="9"/>
      <c r="O1078" s="9"/>
      <c r="P1078" s="9"/>
      <c r="Q1078" s="9"/>
      <c r="R1078" s="9"/>
      <c r="S1078" s="9"/>
      <c r="T1078" s="9"/>
      <c r="U1078" s="9"/>
      <c r="V1078" s="9"/>
      <c r="W1078" s="9"/>
      <c r="X1078" s="9"/>
      <c r="Y1078" s="9"/>
      <c r="Z1078" s="9"/>
      <c r="AA1078" s="9"/>
      <c r="AB1078" s="9"/>
      <c r="AC1078" s="9"/>
      <c r="AD1078" s="9"/>
      <c r="AE1078" s="9"/>
      <c r="AF1078" s="9"/>
      <c r="AG1078" s="9"/>
      <c r="AH1078" s="9"/>
      <c r="AI1078" s="9"/>
      <c r="AJ1078" s="9"/>
      <c r="AK1078" s="9"/>
      <c r="AL1078" s="9"/>
      <c r="AM1078" s="9"/>
      <c r="AN1078" s="9"/>
      <c r="AO1078" s="9"/>
      <c r="AP1078" s="9"/>
      <c r="AQ1078" s="9"/>
      <c r="AR1078" s="9"/>
      <c r="AS1078" s="9"/>
      <c r="AT1078" s="9"/>
      <c r="AU1078" s="9"/>
    </row>
    <row r="1079" spans="1:47" ht="15.75" customHeight="1">
      <c r="A1079" s="9"/>
      <c r="B1079" s="9"/>
      <c r="C1079" s="9"/>
      <c r="D1079" s="9"/>
      <c r="E1079" s="9"/>
      <c r="F1079" s="67"/>
      <c r="G1079" s="9"/>
      <c r="H1079" s="9"/>
      <c r="I1079" s="9"/>
      <c r="J1079" s="9"/>
      <c r="K1079" s="9"/>
      <c r="L1079" s="9"/>
      <c r="M1079" s="9"/>
      <c r="N1079" s="9"/>
      <c r="O1079" s="9"/>
      <c r="P1079" s="9"/>
      <c r="Q1079" s="9"/>
      <c r="R1079" s="9"/>
      <c r="S1079" s="9"/>
      <c r="T1079" s="9"/>
      <c r="U1079" s="9"/>
      <c r="V1079" s="9"/>
      <c r="W1079" s="9"/>
      <c r="X1079" s="9"/>
      <c r="Y1079" s="9"/>
      <c r="Z1079" s="9"/>
      <c r="AA1079" s="9"/>
      <c r="AB1079" s="9"/>
      <c r="AC1079" s="9"/>
      <c r="AD1079" s="9"/>
      <c r="AE1079" s="9"/>
      <c r="AF1079" s="9"/>
      <c r="AG1079" s="9"/>
      <c r="AH1079" s="9"/>
      <c r="AI1079" s="9"/>
      <c r="AJ1079" s="9"/>
      <c r="AK1079" s="9"/>
      <c r="AL1079" s="9"/>
      <c r="AM1079" s="9"/>
      <c r="AN1079" s="9"/>
      <c r="AO1079" s="9"/>
      <c r="AP1079" s="9"/>
      <c r="AQ1079" s="9"/>
      <c r="AR1079" s="9"/>
      <c r="AS1079" s="9"/>
      <c r="AT1079" s="9"/>
      <c r="AU1079" s="9"/>
    </row>
    <row r="1080" spans="1:47" ht="15.75" customHeight="1">
      <c r="A1080" s="9"/>
      <c r="B1080" s="9"/>
      <c r="C1080" s="9"/>
      <c r="D1080" s="9"/>
      <c r="E1080" s="9"/>
      <c r="F1080" s="67"/>
      <c r="G1080" s="9"/>
      <c r="H1080" s="9"/>
      <c r="I1080" s="9"/>
      <c r="J1080" s="9"/>
      <c r="K1080" s="9"/>
      <c r="L1080" s="9"/>
      <c r="M1080" s="9"/>
      <c r="N1080" s="9"/>
      <c r="O1080" s="9"/>
      <c r="P1080" s="9"/>
      <c r="Q1080" s="9"/>
      <c r="R1080" s="9"/>
      <c r="S1080" s="9"/>
      <c r="T1080" s="9"/>
      <c r="U1080" s="9"/>
      <c r="V1080" s="9"/>
      <c r="W1080" s="9"/>
      <c r="X1080" s="9"/>
      <c r="Y1080" s="9"/>
      <c r="Z1080" s="9"/>
      <c r="AA1080" s="9"/>
      <c r="AB1080" s="9"/>
      <c r="AC1080" s="9"/>
      <c r="AD1080" s="9"/>
      <c r="AE1080" s="9"/>
      <c r="AF1080" s="9"/>
      <c r="AG1080" s="9"/>
      <c r="AH1080" s="9"/>
      <c r="AI1080" s="9"/>
      <c r="AJ1080" s="9"/>
      <c r="AK1080" s="9"/>
      <c r="AL1080" s="9"/>
      <c r="AM1080" s="9"/>
      <c r="AN1080" s="9"/>
      <c r="AO1080" s="9"/>
      <c r="AP1080" s="9"/>
      <c r="AQ1080" s="9"/>
      <c r="AR1080" s="9"/>
      <c r="AS1080" s="9"/>
      <c r="AT1080" s="9"/>
      <c r="AU1080" s="9"/>
    </row>
    <row r="1081" spans="1:47" ht="15.75" customHeight="1">
      <c r="A1081" s="9"/>
      <c r="B1081" s="9"/>
      <c r="C1081" s="9"/>
      <c r="D1081" s="9"/>
      <c r="E1081" s="9"/>
      <c r="F1081" s="67"/>
      <c r="G1081" s="9"/>
      <c r="H1081" s="9"/>
      <c r="I1081" s="9"/>
      <c r="J1081" s="9"/>
      <c r="K1081" s="9"/>
      <c r="L1081" s="9"/>
      <c r="M1081" s="9"/>
      <c r="N1081" s="9"/>
      <c r="O1081" s="9"/>
      <c r="P1081" s="9"/>
      <c r="Q1081" s="9"/>
      <c r="R1081" s="9"/>
      <c r="S1081" s="9"/>
      <c r="T1081" s="9"/>
      <c r="U1081" s="9"/>
      <c r="V1081" s="9"/>
      <c r="W1081" s="9"/>
      <c r="X1081" s="9"/>
      <c r="Y1081" s="9"/>
      <c r="Z1081" s="9"/>
      <c r="AA1081" s="9"/>
      <c r="AB1081" s="9"/>
      <c r="AC1081" s="9"/>
      <c r="AD1081" s="9"/>
      <c r="AE1081" s="9"/>
      <c r="AF1081" s="9"/>
      <c r="AG1081" s="9"/>
      <c r="AH1081" s="9"/>
      <c r="AI1081" s="9"/>
      <c r="AJ1081" s="9"/>
      <c r="AK1081" s="9"/>
      <c r="AL1081" s="9"/>
      <c r="AM1081" s="9"/>
      <c r="AN1081" s="9"/>
      <c r="AO1081" s="9"/>
      <c r="AP1081" s="9"/>
      <c r="AQ1081" s="9"/>
      <c r="AR1081" s="9"/>
      <c r="AS1081" s="9"/>
      <c r="AT1081" s="9"/>
      <c r="AU1081" s="9"/>
    </row>
    <row r="1082" spans="1:47" ht="15.75" customHeight="1">
      <c r="A1082" s="9"/>
      <c r="B1082" s="9"/>
      <c r="C1082" s="9"/>
      <c r="D1082" s="9"/>
      <c r="E1082" s="9"/>
      <c r="F1082" s="67"/>
      <c r="G1082" s="9"/>
      <c r="H1082" s="9"/>
      <c r="I1082" s="9"/>
      <c r="J1082" s="9"/>
      <c r="K1082" s="9"/>
      <c r="L1082" s="9"/>
      <c r="M1082" s="9"/>
      <c r="N1082" s="9"/>
      <c r="O1082" s="9"/>
      <c r="P1082" s="9"/>
      <c r="Q1082" s="9"/>
      <c r="R1082" s="9"/>
      <c r="S1082" s="9"/>
      <c r="T1082" s="9"/>
      <c r="U1082" s="9"/>
      <c r="V1082" s="9"/>
      <c r="W1082" s="9"/>
      <c r="X1082" s="9"/>
      <c r="Y1082" s="9"/>
      <c r="Z1082" s="9"/>
      <c r="AA1082" s="9"/>
      <c r="AB1082" s="9"/>
      <c r="AC1082" s="9"/>
      <c r="AD1082" s="9"/>
      <c r="AE1082" s="9"/>
      <c r="AF1082" s="9"/>
      <c r="AG1082" s="9"/>
      <c r="AH1082" s="9"/>
      <c r="AI1082" s="9"/>
      <c r="AJ1082" s="9"/>
      <c r="AK1082" s="9"/>
      <c r="AL1082" s="9"/>
      <c r="AM1082" s="9"/>
      <c r="AN1082" s="9"/>
      <c r="AO1082" s="9"/>
      <c r="AP1082" s="9"/>
      <c r="AQ1082" s="9"/>
      <c r="AR1082" s="9"/>
      <c r="AS1082" s="9"/>
      <c r="AT1082" s="9"/>
      <c r="AU1082" s="9"/>
    </row>
    <row r="1083" spans="1:47" ht="15.75" customHeight="1">
      <c r="A1083" s="9"/>
      <c r="B1083" s="9"/>
      <c r="C1083" s="9"/>
      <c r="D1083" s="9"/>
      <c r="E1083" s="9"/>
      <c r="F1083" s="67"/>
      <c r="G1083" s="9"/>
      <c r="H1083" s="9"/>
      <c r="I1083" s="9"/>
      <c r="J1083" s="9"/>
      <c r="K1083" s="9"/>
      <c r="L1083" s="9"/>
      <c r="M1083" s="9"/>
      <c r="N1083" s="9"/>
      <c r="O1083" s="9"/>
      <c r="P1083" s="9"/>
      <c r="Q1083" s="9"/>
      <c r="R1083" s="9"/>
      <c r="S1083" s="9"/>
      <c r="T1083" s="9"/>
      <c r="U1083" s="9"/>
      <c r="V1083" s="9"/>
      <c r="W1083" s="9"/>
      <c r="X1083" s="9"/>
      <c r="Y1083" s="9"/>
      <c r="Z1083" s="9"/>
      <c r="AA1083" s="9"/>
      <c r="AB1083" s="9"/>
      <c r="AC1083" s="9"/>
      <c r="AD1083" s="9"/>
      <c r="AE1083" s="9"/>
      <c r="AF1083" s="9"/>
      <c r="AG1083" s="9"/>
      <c r="AH1083" s="9"/>
      <c r="AI1083" s="9"/>
      <c r="AJ1083" s="9"/>
      <c r="AK1083" s="9"/>
      <c r="AL1083" s="9"/>
      <c r="AM1083" s="9"/>
      <c r="AN1083" s="9"/>
      <c r="AO1083" s="9"/>
      <c r="AP1083" s="9"/>
      <c r="AQ1083" s="9"/>
      <c r="AR1083" s="9"/>
      <c r="AS1083" s="9"/>
      <c r="AT1083" s="9"/>
      <c r="AU1083" s="9"/>
    </row>
    <row r="1084" spans="1:47" ht="15.75" customHeight="1">
      <c r="A1084" s="9"/>
      <c r="B1084" s="9"/>
      <c r="C1084" s="9"/>
      <c r="D1084" s="9"/>
      <c r="E1084" s="9"/>
      <c r="F1084" s="67"/>
      <c r="G1084" s="9"/>
      <c r="H1084" s="9"/>
      <c r="I1084" s="9"/>
      <c r="J1084" s="9"/>
      <c r="K1084" s="9"/>
      <c r="L1084" s="9"/>
      <c r="M1084" s="9"/>
      <c r="N1084" s="9"/>
      <c r="O1084" s="9"/>
      <c r="P1084" s="9"/>
      <c r="Q1084" s="9"/>
      <c r="R1084" s="9"/>
      <c r="S1084" s="9"/>
      <c r="T1084" s="9"/>
      <c r="U1084" s="9"/>
      <c r="V1084" s="9"/>
      <c r="W1084" s="9"/>
      <c r="X1084" s="9"/>
      <c r="Y1084" s="9"/>
      <c r="Z1084" s="9"/>
      <c r="AA1084" s="9"/>
      <c r="AB1084" s="9"/>
      <c r="AC1084" s="9"/>
      <c r="AD1084" s="9"/>
      <c r="AE1084" s="9"/>
      <c r="AF1084" s="9"/>
      <c r="AG1084" s="9"/>
      <c r="AH1084" s="9"/>
      <c r="AI1084" s="9"/>
      <c r="AJ1084" s="9"/>
      <c r="AK1084" s="9"/>
      <c r="AL1084" s="9"/>
      <c r="AM1084" s="9"/>
      <c r="AN1084" s="9"/>
      <c r="AO1084" s="9"/>
      <c r="AP1084" s="9"/>
      <c r="AQ1084" s="9"/>
      <c r="AR1084" s="9"/>
      <c r="AS1084" s="9"/>
      <c r="AT1084" s="9"/>
      <c r="AU1084" s="9"/>
    </row>
    <row r="1085" spans="1:47" ht="15.75" customHeight="1">
      <c r="A1085" s="9"/>
      <c r="B1085" s="9"/>
      <c r="C1085" s="9"/>
      <c r="D1085" s="9"/>
      <c r="E1085" s="9"/>
      <c r="F1085" s="67"/>
      <c r="G1085" s="9"/>
      <c r="H1085" s="9"/>
      <c r="I1085" s="9"/>
      <c r="J1085" s="9"/>
      <c r="K1085" s="9"/>
      <c r="L1085" s="9"/>
      <c r="M1085" s="9"/>
      <c r="N1085" s="9"/>
      <c r="O1085" s="9"/>
      <c r="P1085" s="9"/>
      <c r="Q1085" s="9"/>
      <c r="R1085" s="9"/>
      <c r="S1085" s="9"/>
      <c r="T1085" s="9"/>
      <c r="U1085" s="9"/>
      <c r="V1085" s="9"/>
      <c r="W1085" s="9"/>
      <c r="X1085" s="9"/>
      <c r="Y1085" s="9"/>
      <c r="Z1085" s="9"/>
      <c r="AA1085" s="9"/>
      <c r="AB1085" s="9"/>
      <c r="AC1085" s="9"/>
      <c r="AD1085" s="9"/>
      <c r="AE1085" s="9"/>
      <c r="AF1085" s="9"/>
      <c r="AG1085" s="9"/>
      <c r="AH1085" s="9"/>
      <c r="AI1085" s="9"/>
      <c r="AJ1085" s="9"/>
      <c r="AK1085" s="9"/>
      <c r="AL1085" s="9"/>
      <c r="AM1085" s="9"/>
      <c r="AN1085" s="9"/>
      <c r="AO1085" s="9"/>
      <c r="AP1085" s="9"/>
      <c r="AQ1085" s="9"/>
      <c r="AR1085" s="9"/>
      <c r="AS1085" s="9"/>
      <c r="AT1085" s="9"/>
      <c r="AU1085" s="9"/>
    </row>
    <row r="1086" spans="1:47" ht="15.75" customHeight="1">
      <c r="A1086" s="9"/>
      <c r="B1086" s="9"/>
      <c r="C1086" s="9"/>
      <c r="D1086" s="9"/>
      <c r="E1086" s="9"/>
      <c r="F1086" s="67"/>
      <c r="G1086" s="9"/>
      <c r="H1086" s="9"/>
      <c r="I1086" s="9"/>
      <c r="J1086" s="9"/>
      <c r="K1086" s="9"/>
      <c r="L1086" s="9"/>
      <c r="M1086" s="9"/>
      <c r="N1086" s="9"/>
      <c r="O1086" s="9"/>
      <c r="P1086" s="9"/>
      <c r="Q1086" s="9"/>
      <c r="R1086" s="9"/>
      <c r="S1086" s="9"/>
      <c r="T1086" s="9"/>
      <c r="U1086" s="9"/>
      <c r="V1086" s="9"/>
      <c r="W1086" s="9"/>
      <c r="X1086" s="9"/>
      <c r="Y1086" s="9"/>
      <c r="Z1086" s="9"/>
      <c r="AA1086" s="9"/>
      <c r="AB1086" s="9"/>
      <c r="AC1086" s="9"/>
      <c r="AD1086" s="9"/>
      <c r="AE1086" s="9"/>
      <c r="AF1086" s="9"/>
      <c r="AG1086" s="9"/>
      <c r="AH1086" s="9"/>
      <c r="AI1086" s="9"/>
      <c r="AJ1086" s="9"/>
      <c r="AK1086" s="9"/>
      <c r="AL1086" s="9"/>
      <c r="AM1086" s="9"/>
      <c r="AN1086" s="9"/>
      <c r="AO1086" s="9"/>
      <c r="AP1086" s="9"/>
      <c r="AQ1086" s="9"/>
      <c r="AR1086" s="9"/>
      <c r="AS1086" s="9"/>
      <c r="AT1086" s="9"/>
      <c r="AU1086" s="9"/>
    </row>
    <row r="1087" spans="1:47" ht="15.75" customHeight="1">
      <c r="A1087" s="9"/>
      <c r="B1087" s="9"/>
      <c r="C1087" s="9"/>
      <c r="D1087" s="9"/>
      <c r="E1087" s="9"/>
      <c r="F1087" s="67"/>
      <c r="G1087" s="9"/>
      <c r="H1087" s="9"/>
      <c r="I1087" s="9"/>
      <c r="J1087" s="9"/>
      <c r="K1087" s="9"/>
      <c r="L1087" s="9"/>
      <c r="M1087" s="9"/>
      <c r="N1087" s="9"/>
      <c r="O1087" s="9"/>
      <c r="P1087" s="9"/>
      <c r="Q1087" s="9"/>
      <c r="R1087" s="9"/>
      <c r="S1087" s="9"/>
      <c r="T1087" s="9"/>
      <c r="U1087" s="9"/>
      <c r="V1087" s="9"/>
      <c r="W1087" s="9"/>
      <c r="X1087" s="9"/>
      <c r="Y1087" s="9"/>
      <c r="Z1087" s="9"/>
      <c r="AA1087" s="9"/>
      <c r="AB1087" s="9"/>
      <c r="AC1087" s="9"/>
      <c r="AD1087" s="9"/>
      <c r="AE1087" s="9"/>
      <c r="AF1087" s="9"/>
      <c r="AG1087" s="9"/>
      <c r="AH1087" s="9"/>
      <c r="AI1087" s="9"/>
      <c r="AJ1087" s="9"/>
      <c r="AK1087" s="9"/>
      <c r="AL1087" s="9"/>
      <c r="AM1087" s="9"/>
      <c r="AN1087" s="9"/>
      <c r="AO1087" s="9"/>
      <c r="AP1087" s="9"/>
      <c r="AQ1087" s="9"/>
      <c r="AR1087" s="9"/>
      <c r="AS1087" s="9"/>
      <c r="AT1087" s="9"/>
      <c r="AU1087" s="9"/>
    </row>
    <row r="1088" spans="1:47" ht="15.75" customHeight="1">
      <c r="A1088" s="9"/>
      <c r="B1088" s="9"/>
      <c r="C1088" s="9"/>
      <c r="D1088" s="9"/>
      <c r="E1088" s="9"/>
      <c r="F1088" s="67"/>
      <c r="G1088" s="9"/>
      <c r="H1088" s="9"/>
      <c r="I1088" s="9"/>
      <c r="J1088" s="9"/>
      <c r="K1088" s="9"/>
      <c r="L1088" s="9"/>
      <c r="M1088" s="9"/>
      <c r="N1088" s="9"/>
      <c r="O1088" s="9"/>
      <c r="P1088" s="9"/>
      <c r="Q1088" s="9"/>
      <c r="R1088" s="9"/>
      <c r="S1088" s="9"/>
      <c r="T1088" s="9"/>
      <c r="U1088" s="9"/>
      <c r="V1088" s="9"/>
      <c r="W1088" s="9"/>
      <c r="X1088" s="9"/>
      <c r="Y1088" s="9"/>
      <c r="Z1088" s="9"/>
      <c r="AA1088" s="9"/>
      <c r="AB1088" s="9"/>
      <c r="AC1088" s="9"/>
      <c r="AD1088" s="9"/>
      <c r="AE1088" s="9"/>
      <c r="AF1088" s="9"/>
      <c r="AG1088" s="9"/>
      <c r="AH1088" s="9"/>
      <c r="AI1088" s="9"/>
      <c r="AJ1088" s="9"/>
      <c r="AK1088" s="9"/>
      <c r="AL1088" s="9"/>
      <c r="AM1088" s="9"/>
      <c r="AN1088" s="9"/>
      <c r="AO1088" s="9"/>
      <c r="AP1088" s="9"/>
      <c r="AQ1088" s="9"/>
      <c r="AR1088" s="9"/>
      <c r="AS1088" s="9"/>
      <c r="AT1088" s="9"/>
      <c r="AU1088" s="9"/>
    </row>
    <row r="1089" spans="1:47" ht="15.75" customHeight="1">
      <c r="A1089" s="9"/>
      <c r="B1089" s="9"/>
      <c r="C1089" s="9"/>
      <c r="D1089" s="9"/>
      <c r="E1089" s="9"/>
      <c r="F1089" s="67"/>
      <c r="G1089" s="9"/>
      <c r="H1089" s="9"/>
      <c r="I1089" s="9"/>
      <c r="J1089" s="9"/>
      <c r="K1089" s="9"/>
      <c r="L1089" s="9"/>
      <c r="M1089" s="9"/>
      <c r="N1089" s="9"/>
      <c r="O1089" s="9"/>
      <c r="P1089" s="9"/>
      <c r="Q1089" s="9"/>
      <c r="R1089" s="9"/>
      <c r="S1089" s="9"/>
      <c r="T1089" s="9"/>
      <c r="U1089" s="9"/>
      <c r="V1089" s="9"/>
      <c r="W1089" s="9"/>
      <c r="X1089" s="9"/>
      <c r="Y1089" s="9"/>
      <c r="Z1089" s="9"/>
      <c r="AA1089" s="9"/>
      <c r="AB1089" s="9"/>
      <c r="AC1089" s="9"/>
      <c r="AD1089" s="9"/>
      <c r="AE1089" s="9"/>
      <c r="AF1089" s="9"/>
      <c r="AG1089" s="9"/>
      <c r="AH1089" s="9"/>
      <c r="AI1089" s="9"/>
      <c r="AJ1089" s="9"/>
      <c r="AK1089" s="9"/>
      <c r="AL1089" s="9"/>
      <c r="AM1089" s="9"/>
      <c r="AN1089" s="9"/>
      <c r="AO1089" s="9"/>
      <c r="AP1089" s="9"/>
      <c r="AQ1089" s="9"/>
      <c r="AR1089" s="9"/>
      <c r="AS1089" s="9"/>
      <c r="AT1089" s="9"/>
      <c r="AU1089" s="9"/>
    </row>
    <row r="1090" spans="1:47" ht="15.75" customHeight="1">
      <c r="A1090" s="9"/>
      <c r="B1090" s="9"/>
      <c r="C1090" s="9"/>
      <c r="D1090" s="9"/>
      <c r="E1090" s="9"/>
      <c r="F1090" s="67"/>
      <c r="G1090" s="9"/>
      <c r="H1090" s="9"/>
      <c r="I1090" s="9"/>
      <c r="J1090" s="9"/>
      <c r="K1090" s="9"/>
      <c r="L1090" s="9"/>
      <c r="M1090" s="9"/>
      <c r="N1090" s="9"/>
      <c r="O1090" s="9"/>
      <c r="P1090" s="9"/>
      <c r="Q1090" s="9"/>
      <c r="R1090" s="9"/>
      <c r="S1090" s="9"/>
      <c r="T1090" s="9"/>
      <c r="U1090" s="9"/>
      <c r="V1090" s="9"/>
      <c r="W1090" s="9"/>
      <c r="X1090" s="9"/>
      <c r="Y1090" s="9"/>
      <c r="Z1090" s="9"/>
      <c r="AA1090" s="9"/>
      <c r="AB1090" s="9"/>
      <c r="AC1090" s="9"/>
      <c r="AD1090" s="9"/>
      <c r="AE1090" s="9"/>
      <c r="AF1090" s="9"/>
      <c r="AG1090" s="9"/>
      <c r="AH1090" s="9"/>
      <c r="AI1090" s="9"/>
      <c r="AJ1090" s="9"/>
      <c r="AK1090" s="9"/>
      <c r="AL1090" s="9"/>
      <c r="AM1090" s="9"/>
      <c r="AN1090" s="9"/>
      <c r="AO1090" s="9"/>
      <c r="AP1090" s="9"/>
      <c r="AQ1090" s="9"/>
      <c r="AR1090" s="9"/>
      <c r="AS1090" s="9"/>
      <c r="AT1090" s="9"/>
      <c r="AU1090" s="9"/>
    </row>
    <row r="1091" spans="1:47" ht="15.75" customHeight="1">
      <c r="A1091" s="9"/>
      <c r="B1091" s="9"/>
      <c r="C1091" s="9"/>
      <c r="D1091" s="9"/>
      <c r="E1091" s="9"/>
      <c r="F1091" s="67"/>
      <c r="G1091" s="9"/>
      <c r="H1091" s="9"/>
      <c r="I1091" s="9"/>
      <c r="J1091" s="9"/>
      <c r="K1091" s="9"/>
      <c r="L1091" s="9"/>
      <c r="M1091" s="9"/>
      <c r="N1091" s="9"/>
      <c r="O1091" s="9"/>
      <c r="P1091" s="9"/>
      <c r="Q1091" s="9"/>
      <c r="R1091" s="9"/>
      <c r="S1091" s="9"/>
      <c r="T1091" s="9"/>
      <c r="U1091" s="9"/>
      <c r="V1091" s="9"/>
      <c r="W1091" s="9"/>
      <c r="X1091" s="9"/>
      <c r="Y1091" s="9"/>
      <c r="Z1091" s="9"/>
      <c r="AA1091" s="9"/>
      <c r="AB1091" s="9"/>
      <c r="AC1091" s="9"/>
      <c r="AD1091" s="9"/>
      <c r="AE1091" s="9"/>
      <c r="AF1091" s="9"/>
      <c r="AG1091" s="9"/>
      <c r="AH1091" s="9"/>
      <c r="AI1091" s="9"/>
      <c r="AJ1091" s="9"/>
      <c r="AK1091" s="9"/>
      <c r="AL1091" s="9"/>
      <c r="AM1091" s="9"/>
      <c r="AN1091" s="9"/>
      <c r="AO1091" s="9"/>
      <c r="AP1091" s="9"/>
      <c r="AQ1091" s="9"/>
      <c r="AR1091" s="9"/>
      <c r="AS1091" s="9"/>
      <c r="AT1091" s="9"/>
      <c r="AU1091" s="9"/>
    </row>
    <row r="1092" spans="1:47" ht="15.75" customHeight="1">
      <c r="A1092" s="9"/>
      <c r="B1092" s="9"/>
      <c r="C1092" s="9"/>
      <c r="D1092" s="9"/>
      <c r="E1092" s="9"/>
      <c r="F1092" s="67"/>
      <c r="G1092" s="9"/>
      <c r="H1092" s="9"/>
      <c r="I1092" s="9"/>
      <c r="J1092" s="9"/>
      <c r="K1092" s="9"/>
      <c r="L1092" s="9"/>
      <c r="M1092" s="9"/>
      <c r="N1092" s="9"/>
      <c r="O1092" s="9"/>
      <c r="P1092" s="9"/>
      <c r="Q1092" s="9"/>
      <c r="R1092" s="9"/>
      <c r="S1092" s="9"/>
      <c r="T1092" s="9"/>
      <c r="U1092" s="9"/>
      <c r="V1092" s="9"/>
      <c r="W1092" s="9"/>
      <c r="X1092" s="9"/>
      <c r="Y1092" s="9"/>
      <c r="Z1092" s="9"/>
      <c r="AA1092" s="9"/>
      <c r="AB1092" s="9"/>
      <c r="AC1092" s="9"/>
      <c r="AD1092" s="9"/>
      <c r="AE1092" s="9"/>
      <c r="AF1092" s="9"/>
      <c r="AG1092" s="9"/>
      <c r="AH1092" s="9"/>
      <c r="AI1092" s="9"/>
      <c r="AJ1092" s="9"/>
      <c r="AK1092" s="9"/>
      <c r="AL1092" s="9"/>
      <c r="AM1092" s="9"/>
      <c r="AN1092" s="9"/>
      <c r="AO1092" s="9"/>
      <c r="AP1092" s="9"/>
      <c r="AQ1092" s="9"/>
      <c r="AR1092" s="9"/>
      <c r="AS1092" s="9"/>
      <c r="AT1092" s="9"/>
      <c r="AU1092" s="9"/>
    </row>
    <row r="1093" spans="1:47" ht="15.75" customHeight="1">
      <c r="A1093" s="9"/>
      <c r="B1093" s="9"/>
      <c r="C1093" s="9"/>
      <c r="D1093" s="9"/>
      <c r="E1093" s="9"/>
      <c r="F1093" s="67"/>
      <c r="G1093" s="9"/>
      <c r="H1093" s="9"/>
      <c r="I1093" s="9"/>
      <c r="J1093" s="9"/>
      <c r="K1093" s="9"/>
      <c r="L1093" s="9"/>
      <c r="M1093" s="9"/>
      <c r="N1093" s="9"/>
      <c r="O1093" s="9"/>
      <c r="P1093" s="9"/>
      <c r="Q1093" s="9"/>
      <c r="R1093" s="9"/>
      <c r="S1093" s="9"/>
      <c r="T1093" s="9"/>
      <c r="U1093" s="9"/>
      <c r="V1093" s="9"/>
      <c r="W1093" s="9"/>
      <c r="X1093" s="9"/>
      <c r="Y1093" s="9"/>
      <c r="Z1093" s="9"/>
      <c r="AA1093" s="9"/>
      <c r="AB1093" s="9"/>
      <c r="AC1093" s="9"/>
      <c r="AD1093" s="9"/>
      <c r="AE1093" s="9"/>
      <c r="AF1093" s="9"/>
      <c r="AG1093" s="9"/>
      <c r="AH1093" s="9"/>
      <c r="AI1093" s="9"/>
      <c r="AJ1093" s="9"/>
      <c r="AK1093" s="9"/>
      <c r="AL1093" s="9"/>
      <c r="AM1093" s="9"/>
      <c r="AN1093" s="9"/>
      <c r="AO1093" s="9"/>
      <c r="AP1093" s="9"/>
      <c r="AQ1093" s="9"/>
      <c r="AR1093" s="9"/>
      <c r="AS1093" s="9"/>
      <c r="AT1093" s="9"/>
      <c r="AU1093" s="9"/>
    </row>
    <row r="1094" spans="1:47" ht="15.75" customHeight="1">
      <c r="A1094" s="9"/>
      <c r="B1094" s="9"/>
      <c r="C1094" s="9"/>
      <c r="D1094" s="9"/>
      <c r="E1094" s="9"/>
      <c r="F1094" s="67"/>
      <c r="G1094" s="9"/>
      <c r="H1094" s="9"/>
      <c r="I1094" s="9"/>
      <c r="J1094" s="9"/>
      <c r="K1094" s="9"/>
      <c r="L1094" s="9"/>
      <c r="M1094" s="9"/>
      <c r="N1094" s="9"/>
      <c r="O1094" s="9"/>
      <c r="P1094" s="9"/>
      <c r="Q1094" s="9"/>
      <c r="R1094" s="9"/>
      <c r="S1094" s="9"/>
      <c r="T1094" s="9"/>
      <c r="U1094" s="9"/>
      <c r="V1094" s="9"/>
      <c r="W1094" s="9"/>
      <c r="X1094" s="9"/>
      <c r="Y1094" s="9"/>
      <c r="Z1094" s="9"/>
      <c r="AA1094" s="9"/>
      <c r="AB1094" s="9"/>
      <c r="AC1094" s="9"/>
      <c r="AD1094" s="9"/>
      <c r="AE1094" s="9"/>
      <c r="AF1094" s="9"/>
      <c r="AG1094" s="9"/>
      <c r="AH1094" s="9"/>
      <c r="AI1094" s="9"/>
      <c r="AJ1094" s="9"/>
      <c r="AK1094" s="9"/>
      <c r="AL1094" s="9"/>
      <c r="AM1094" s="9"/>
      <c r="AN1094" s="9"/>
      <c r="AO1094" s="9"/>
      <c r="AP1094" s="9"/>
      <c r="AQ1094" s="9"/>
      <c r="AR1094" s="9"/>
      <c r="AS1094" s="9"/>
      <c r="AT1094" s="9"/>
      <c r="AU1094" s="9"/>
    </row>
    <row r="1095" spans="1:47" ht="15.75" customHeight="1">
      <c r="A1095" s="9"/>
      <c r="B1095" s="9"/>
      <c r="C1095" s="9"/>
      <c r="D1095" s="9"/>
      <c r="E1095" s="9"/>
      <c r="F1095" s="67"/>
      <c r="G1095" s="9"/>
      <c r="H1095" s="9"/>
      <c r="I1095" s="9"/>
      <c r="J1095" s="9"/>
      <c r="K1095" s="9"/>
      <c r="L1095" s="9"/>
      <c r="M1095" s="9"/>
      <c r="N1095" s="9"/>
      <c r="O1095" s="9"/>
      <c r="P1095" s="9"/>
      <c r="Q1095" s="9"/>
      <c r="R1095" s="9"/>
      <c r="S1095" s="9"/>
      <c r="T1095" s="9"/>
      <c r="U1095" s="9"/>
      <c r="V1095" s="9"/>
      <c r="W1095" s="9"/>
      <c r="X1095" s="9"/>
      <c r="Y1095" s="9"/>
      <c r="Z1095" s="9"/>
      <c r="AA1095" s="9"/>
      <c r="AB1095" s="9"/>
      <c r="AC1095" s="9"/>
      <c r="AD1095" s="9"/>
      <c r="AE1095" s="9"/>
      <c r="AF1095" s="9"/>
      <c r="AG1095" s="9"/>
      <c r="AH1095" s="9"/>
      <c r="AI1095" s="9"/>
      <c r="AJ1095" s="9"/>
      <c r="AK1095" s="9"/>
      <c r="AL1095" s="9"/>
      <c r="AM1095" s="9"/>
      <c r="AN1095" s="9"/>
      <c r="AO1095" s="9"/>
      <c r="AP1095" s="9"/>
      <c r="AQ1095" s="9"/>
      <c r="AR1095" s="9"/>
      <c r="AS1095" s="9"/>
      <c r="AT1095" s="9"/>
      <c r="AU1095" s="9"/>
    </row>
    <row r="1096" spans="1:47" ht="15.75" customHeight="1">
      <c r="A1096" s="9"/>
      <c r="B1096" s="9"/>
      <c r="C1096" s="9"/>
      <c r="D1096" s="9"/>
      <c r="E1096" s="9"/>
      <c r="F1096" s="67"/>
      <c r="G1096" s="9"/>
      <c r="H1096" s="9"/>
      <c r="I1096" s="9"/>
      <c r="J1096" s="9"/>
      <c r="K1096" s="9"/>
      <c r="L1096" s="9"/>
      <c r="M1096" s="9"/>
      <c r="N1096" s="9"/>
      <c r="O1096" s="9"/>
      <c r="P1096" s="9"/>
      <c r="Q1096" s="9"/>
      <c r="R1096" s="9"/>
      <c r="S1096" s="9"/>
      <c r="T1096" s="9"/>
      <c r="U1096" s="9"/>
      <c r="V1096" s="9"/>
      <c r="W1096" s="9"/>
      <c r="X1096" s="9"/>
      <c r="Y1096" s="9"/>
      <c r="Z1096" s="9"/>
      <c r="AA1096" s="9"/>
      <c r="AB1096" s="9"/>
      <c r="AC1096" s="9"/>
      <c r="AD1096" s="9"/>
      <c r="AE1096" s="9"/>
      <c r="AF1096" s="9"/>
      <c r="AG1096" s="9"/>
      <c r="AH1096" s="9"/>
      <c r="AI1096" s="9"/>
      <c r="AJ1096" s="9"/>
      <c r="AK1096" s="9"/>
      <c r="AL1096" s="9"/>
      <c r="AM1096" s="9"/>
      <c r="AN1096" s="9"/>
      <c r="AO1096" s="9"/>
      <c r="AP1096" s="9"/>
      <c r="AQ1096" s="9"/>
      <c r="AR1096" s="9"/>
      <c r="AS1096" s="9"/>
      <c r="AT1096" s="9"/>
      <c r="AU1096" s="9"/>
    </row>
    <row r="1097" spans="1:47" ht="15.75" customHeight="1">
      <c r="A1097" s="9"/>
      <c r="B1097" s="9"/>
      <c r="C1097" s="9"/>
      <c r="D1097" s="9"/>
      <c r="E1097" s="9"/>
      <c r="F1097" s="67"/>
      <c r="G1097" s="9"/>
      <c r="H1097" s="9"/>
      <c r="I1097" s="9"/>
      <c r="J1097" s="9"/>
      <c r="K1097" s="9"/>
      <c r="L1097" s="9"/>
      <c r="M1097" s="9"/>
      <c r="N1097" s="9"/>
      <c r="O1097" s="9"/>
      <c r="P1097" s="9"/>
      <c r="Q1097" s="9"/>
      <c r="R1097" s="9"/>
      <c r="S1097" s="9"/>
      <c r="T1097" s="9"/>
      <c r="U1097" s="9"/>
      <c r="V1097" s="9"/>
      <c r="W1097" s="9"/>
      <c r="X1097" s="9"/>
      <c r="Y1097" s="9"/>
      <c r="Z1097" s="9"/>
      <c r="AA1097" s="9"/>
      <c r="AB1097" s="9"/>
      <c r="AC1097" s="9"/>
      <c r="AD1097" s="9"/>
      <c r="AE1097" s="9"/>
      <c r="AF1097" s="9"/>
      <c r="AG1097" s="9"/>
      <c r="AH1097" s="9"/>
      <c r="AI1097" s="9"/>
      <c r="AJ1097" s="9"/>
      <c r="AK1097" s="9"/>
      <c r="AL1097" s="9"/>
      <c r="AM1097" s="9"/>
      <c r="AN1097" s="9"/>
      <c r="AO1097" s="9"/>
      <c r="AP1097" s="9"/>
      <c r="AQ1097" s="9"/>
      <c r="AR1097" s="9"/>
      <c r="AS1097" s="9"/>
      <c r="AT1097" s="9"/>
      <c r="AU1097" s="9"/>
    </row>
    <row r="1098" spans="1:47" ht="15.75" customHeight="1">
      <c r="A1098" s="9"/>
      <c r="B1098" s="9"/>
      <c r="C1098" s="9"/>
      <c r="D1098" s="9"/>
      <c r="E1098" s="9"/>
      <c r="F1098" s="67"/>
      <c r="G1098" s="9"/>
      <c r="H1098" s="9"/>
      <c r="I1098" s="9"/>
      <c r="J1098" s="9"/>
      <c r="K1098" s="9"/>
      <c r="L1098" s="9"/>
      <c r="M1098" s="9"/>
      <c r="N1098" s="9"/>
      <c r="O1098" s="9"/>
      <c r="P1098" s="9"/>
      <c r="Q1098" s="9"/>
      <c r="R1098" s="9"/>
      <c r="S1098" s="9"/>
      <c r="T1098" s="9"/>
      <c r="U1098" s="9"/>
      <c r="V1098" s="9"/>
      <c r="W1098" s="9"/>
      <c r="X1098" s="9"/>
      <c r="Y1098" s="9"/>
      <c r="Z1098" s="9"/>
      <c r="AA1098" s="9"/>
      <c r="AB1098" s="9"/>
      <c r="AC1098" s="9"/>
      <c r="AD1098" s="9"/>
      <c r="AE1098" s="9"/>
      <c r="AF1098" s="9"/>
      <c r="AG1098" s="9"/>
      <c r="AH1098" s="9"/>
      <c r="AI1098" s="9"/>
      <c r="AJ1098" s="9"/>
      <c r="AK1098" s="9"/>
      <c r="AL1098" s="9"/>
      <c r="AM1098" s="9"/>
      <c r="AN1098" s="9"/>
      <c r="AO1098" s="9"/>
      <c r="AP1098" s="9"/>
      <c r="AQ1098" s="9"/>
      <c r="AR1098" s="9"/>
      <c r="AS1098" s="9"/>
      <c r="AT1098" s="9"/>
      <c r="AU1098" s="9"/>
    </row>
    <row r="1099" spans="1:47" ht="15.75" customHeight="1">
      <c r="A1099" s="9"/>
      <c r="B1099" s="9"/>
      <c r="C1099" s="9"/>
      <c r="D1099" s="9"/>
      <c r="E1099" s="9"/>
      <c r="F1099" s="67"/>
      <c r="G1099" s="9"/>
      <c r="H1099" s="9"/>
      <c r="I1099" s="9"/>
      <c r="J1099" s="9"/>
      <c r="K1099" s="9"/>
      <c r="L1099" s="9"/>
      <c r="M1099" s="9"/>
      <c r="N1099" s="9"/>
      <c r="O1099" s="9"/>
      <c r="P1099" s="9"/>
      <c r="Q1099" s="9"/>
      <c r="R1099" s="9"/>
      <c r="S1099" s="9"/>
      <c r="T1099" s="9"/>
      <c r="U1099" s="9"/>
      <c r="V1099" s="9"/>
      <c r="W1099" s="9"/>
      <c r="X1099" s="9"/>
      <c r="Y1099" s="9"/>
      <c r="Z1099" s="9"/>
      <c r="AA1099" s="9"/>
      <c r="AB1099" s="9"/>
      <c r="AC1099" s="9"/>
      <c r="AD1099" s="9"/>
      <c r="AE1099" s="9"/>
      <c r="AF1099" s="9"/>
      <c r="AG1099" s="9"/>
      <c r="AH1099" s="9"/>
      <c r="AI1099" s="9"/>
      <c r="AJ1099" s="9"/>
      <c r="AK1099" s="9"/>
      <c r="AL1099" s="9"/>
      <c r="AM1099" s="9"/>
      <c r="AN1099" s="9"/>
      <c r="AO1099" s="9"/>
      <c r="AP1099" s="9"/>
      <c r="AQ1099" s="9"/>
      <c r="AR1099" s="9"/>
      <c r="AS1099" s="9"/>
      <c r="AT1099" s="9"/>
      <c r="AU1099" s="9"/>
    </row>
    <row r="1100" spans="1:47" ht="15.75" customHeight="1">
      <c r="A1100" s="9"/>
      <c r="B1100" s="9"/>
      <c r="C1100" s="9"/>
      <c r="D1100" s="9"/>
      <c r="E1100" s="9"/>
      <c r="F1100" s="67"/>
      <c r="G1100" s="9"/>
      <c r="H1100" s="9"/>
      <c r="I1100" s="9"/>
      <c r="J1100" s="9"/>
      <c r="K1100" s="9"/>
      <c r="L1100" s="9"/>
      <c r="M1100" s="9"/>
      <c r="N1100" s="9"/>
      <c r="O1100" s="9"/>
      <c r="P1100" s="9"/>
      <c r="Q1100" s="9"/>
      <c r="R1100" s="9"/>
      <c r="S1100" s="9"/>
      <c r="T1100" s="9"/>
      <c r="U1100" s="9"/>
      <c r="V1100" s="9"/>
      <c r="W1100" s="9"/>
      <c r="X1100" s="9"/>
      <c r="Y1100" s="9"/>
      <c r="Z1100" s="9"/>
      <c r="AA1100" s="9"/>
      <c r="AB1100" s="9"/>
      <c r="AC1100" s="9"/>
      <c r="AD1100" s="9"/>
      <c r="AE1100" s="9"/>
      <c r="AF1100" s="9"/>
      <c r="AG1100" s="9"/>
      <c r="AH1100" s="9"/>
      <c r="AI1100" s="9"/>
      <c r="AJ1100" s="9"/>
      <c r="AK1100" s="9"/>
      <c r="AL1100" s="9"/>
      <c r="AM1100" s="9"/>
      <c r="AN1100" s="9"/>
      <c r="AO1100" s="9"/>
      <c r="AP1100" s="9"/>
      <c r="AQ1100" s="9"/>
      <c r="AR1100" s="9"/>
      <c r="AS1100" s="9"/>
      <c r="AT1100" s="9"/>
      <c r="AU1100" s="9"/>
    </row>
    <row r="1101" spans="1:47" ht="15.75" customHeight="1">
      <c r="A1101" s="9"/>
      <c r="B1101" s="9"/>
      <c r="C1101" s="9"/>
      <c r="D1101" s="9"/>
      <c r="E1101" s="9"/>
      <c r="F1101" s="67"/>
      <c r="G1101" s="9"/>
      <c r="H1101" s="9"/>
      <c r="I1101" s="9"/>
      <c r="J1101" s="9"/>
      <c r="K1101" s="9"/>
      <c r="L1101" s="9"/>
      <c r="M1101" s="9"/>
      <c r="N1101" s="9"/>
      <c r="O1101" s="9"/>
      <c r="P1101" s="9"/>
      <c r="Q1101" s="9"/>
      <c r="R1101" s="9"/>
      <c r="S1101" s="9"/>
      <c r="T1101" s="9"/>
      <c r="U1101" s="9"/>
      <c r="V1101" s="9"/>
      <c r="W1101" s="9"/>
      <c r="X1101" s="9"/>
      <c r="Y1101" s="9"/>
      <c r="Z1101" s="9"/>
      <c r="AA1101" s="9"/>
      <c r="AB1101" s="9"/>
      <c r="AC1101" s="9"/>
      <c r="AD1101" s="9"/>
      <c r="AE1101" s="9"/>
      <c r="AF1101" s="9"/>
      <c r="AG1101" s="9"/>
      <c r="AH1101" s="9"/>
      <c r="AI1101" s="9"/>
      <c r="AJ1101" s="9"/>
      <c r="AK1101" s="9"/>
      <c r="AL1101" s="9"/>
      <c r="AM1101" s="9"/>
      <c r="AN1101" s="9"/>
      <c r="AO1101" s="9"/>
      <c r="AP1101" s="9"/>
      <c r="AQ1101" s="9"/>
      <c r="AR1101" s="9"/>
      <c r="AS1101" s="9"/>
      <c r="AT1101" s="9"/>
      <c r="AU1101" s="9"/>
    </row>
    <row r="1102" spans="1:47" ht="15.75" customHeight="1">
      <c r="A1102" s="9"/>
      <c r="B1102" s="9"/>
      <c r="C1102" s="9"/>
      <c r="D1102" s="9"/>
      <c r="E1102" s="9"/>
      <c r="F1102" s="67"/>
      <c r="G1102" s="9"/>
      <c r="H1102" s="9"/>
      <c r="I1102" s="9"/>
      <c r="J1102" s="9"/>
      <c r="K1102" s="9"/>
      <c r="L1102" s="9"/>
      <c r="M1102" s="9"/>
      <c r="N1102" s="9"/>
      <c r="O1102" s="9"/>
      <c r="P1102" s="9"/>
      <c r="Q1102" s="9"/>
      <c r="R1102" s="9"/>
      <c r="S1102" s="9"/>
      <c r="T1102" s="9"/>
      <c r="U1102" s="9"/>
      <c r="V1102" s="9"/>
      <c r="W1102" s="9"/>
      <c r="X1102" s="9"/>
      <c r="Y1102" s="9"/>
      <c r="Z1102" s="9"/>
      <c r="AA1102" s="9"/>
      <c r="AB1102" s="9"/>
      <c r="AC1102" s="9"/>
      <c r="AD1102" s="9"/>
      <c r="AE1102" s="9"/>
      <c r="AF1102" s="9"/>
      <c r="AG1102" s="9"/>
      <c r="AH1102" s="9"/>
      <c r="AI1102" s="9"/>
      <c r="AJ1102" s="9"/>
      <c r="AK1102" s="9"/>
      <c r="AL1102" s="9"/>
      <c r="AM1102" s="9"/>
      <c r="AN1102" s="9"/>
      <c r="AO1102" s="9"/>
      <c r="AP1102" s="9"/>
      <c r="AQ1102" s="9"/>
      <c r="AR1102" s="9"/>
      <c r="AS1102" s="9"/>
      <c r="AT1102" s="9"/>
      <c r="AU1102" s="9"/>
    </row>
    <row r="1103" spans="1:47" ht="15.75" customHeight="1">
      <c r="A1103" s="9"/>
      <c r="B1103" s="9"/>
      <c r="C1103" s="9"/>
      <c r="D1103" s="9"/>
      <c r="E1103" s="9"/>
      <c r="F1103" s="67"/>
      <c r="G1103" s="9"/>
      <c r="H1103" s="9"/>
      <c r="I1103" s="9"/>
      <c r="J1103" s="9"/>
      <c r="K1103" s="9"/>
      <c r="L1103" s="9"/>
      <c r="M1103" s="9"/>
      <c r="N1103" s="9"/>
      <c r="O1103" s="9"/>
      <c r="P1103" s="9"/>
      <c r="Q1103" s="9"/>
      <c r="R1103" s="9"/>
      <c r="S1103" s="9"/>
      <c r="T1103" s="9"/>
      <c r="U1103" s="9"/>
      <c r="V1103" s="9"/>
      <c r="W1103" s="9"/>
      <c r="X1103" s="9"/>
      <c r="Y1103" s="9"/>
      <c r="Z1103" s="9"/>
      <c r="AA1103" s="9"/>
      <c r="AB1103" s="9"/>
      <c r="AC1103" s="9"/>
      <c r="AD1103" s="9"/>
      <c r="AE1103" s="9"/>
      <c r="AF1103" s="9"/>
      <c r="AG1103" s="9"/>
      <c r="AH1103" s="9"/>
      <c r="AI1103" s="9"/>
      <c r="AJ1103" s="9"/>
      <c r="AK1103" s="9"/>
      <c r="AL1103" s="9"/>
      <c r="AM1103" s="9"/>
      <c r="AN1103" s="9"/>
      <c r="AO1103" s="9"/>
      <c r="AP1103" s="9"/>
      <c r="AQ1103" s="9"/>
      <c r="AR1103" s="9"/>
      <c r="AS1103" s="9"/>
      <c r="AT1103" s="9"/>
      <c r="AU1103" s="9"/>
    </row>
    <row r="1104" spans="1:47" ht="15.75" customHeight="1">
      <c r="A1104" s="9"/>
      <c r="B1104" s="9"/>
      <c r="C1104" s="9"/>
      <c r="D1104" s="9"/>
      <c r="E1104" s="9"/>
      <c r="F1104" s="67"/>
      <c r="G1104" s="9"/>
      <c r="H1104" s="9"/>
      <c r="I1104" s="9"/>
      <c r="J1104" s="9"/>
      <c r="K1104" s="9"/>
      <c r="L1104" s="9"/>
      <c r="M1104" s="9"/>
      <c r="N1104" s="9"/>
      <c r="O1104" s="9"/>
      <c r="P1104" s="9"/>
      <c r="Q1104" s="9"/>
      <c r="R1104" s="9"/>
      <c r="S1104" s="9"/>
      <c r="T1104" s="9"/>
      <c r="U1104" s="9"/>
      <c r="V1104" s="9"/>
      <c r="W1104" s="9"/>
      <c r="X1104" s="9"/>
      <c r="Y1104" s="9"/>
      <c r="Z1104" s="9"/>
      <c r="AA1104" s="9"/>
      <c r="AB1104" s="9"/>
      <c r="AC1104" s="9"/>
      <c r="AD1104" s="9"/>
      <c r="AE1104" s="9"/>
      <c r="AF1104" s="9"/>
      <c r="AG1104" s="9"/>
      <c r="AH1104" s="9"/>
      <c r="AI1104" s="9"/>
      <c r="AJ1104" s="9"/>
      <c r="AK1104" s="9"/>
      <c r="AL1104" s="9"/>
      <c r="AM1104" s="9"/>
      <c r="AN1104" s="9"/>
      <c r="AO1104" s="9"/>
      <c r="AP1104" s="9"/>
      <c r="AQ1104" s="9"/>
      <c r="AR1104" s="9"/>
      <c r="AS1104" s="9"/>
      <c r="AT1104" s="9"/>
      <c r="AU1104" s="9"/>
    </row>
    <row r="1105" spans="1:47" ht="15.75" customHeight="1">
      <c r="A1105" s="9"/>
      <c r="B1105" s="9"/>
      <c r="C1105" s="9"/>
      <c r="D1105" s="9"/>
      <c r="E1105" s="9"/>
      <c r="F1105" s="67"/>
      <c r="G1105" s="9"/>
      <c r="H1105" s="9"/>
      <c r="I1105" s="9"/>
      <c r="J1105" s="9"/>
      <c r="K1105" s="9"/>
      <c r="L1105" s="9"/>
      <c r="M1105" s="9"/>
      <c r="N1105" s="9"/>
      <c r="O1105" s="9"/>
      <c r="P1105" s="9"/>
      <c r="Q1105" s="9"/>
      <c r="R1105" s="9"/>
      <c r="S1105" s="9"/>
      <c r="T1105" s="9"/>
      <c r="U1105" s="9"/>
      <c r="V1105" s="9"/>
      <c r="W1105" s="9"/>
      <c r="X1105" s="9"/>
      <c r="Y1105" s="9"/>
      <c r="Z1105" s="9"/>
      <c r="AA1105" s="9"/>
      <c r="AB1105" s="9"/>
      <c r="AC1105" s="9"/>
      <c r="AD1105" s="9"/>
      <c r="AE1105" s="9"/>
      <c r="AF1105" s="9"/>
      <c r="AG1105" s="9"/>
      <c r="AH1105" s="9"/>
      <c r="AI1105" s="9"/>
      <c r="AJ1105" s="9"/>
      <c r="AK1105" s="9"/>
      <c r="AL1105" s="9"/>
      <c r="AM1105" s="9"/>
      <c r="AN1105" s="9"/>
      <c r="AO1105" s="9"/>
      <c r="AP1105" s="9"/>
      <c r="AQ1105" s="9"/>
      <c r="AR1105" s="9"/>
      <c r="AS1105" s="9"/>
      <c r="AT1105" s="9"/>
      <c r="AU1105" s="9"/>
    </row>
    <row r="1106" spans="1:47" ht="15.75" customHeight="1">
      <c r="A1106" s="9"/>
      <c r="B1106" s="9"/>
      <c r="C1106" s="9"/>
      <c r="D1106" s="9"/>
      <c r="E1106" s="9"/>
      <c r="F1106" s="67"/>
      <c r="G1106" s="9"/>
      <c r="H1106" s="9"/>
      <c r="I1106" s="9"/>
      <c r="J1106" s="9"/>
      <c r="K1106" s="9"/>
      <c r="L1106" s="9"/>
      <c r="M1106" s="9"/>
      <c r="N1106" s="9"/>
      <c r="O1106" s="9"/>
      <c r="P1106" s="9"/>
      <c r="Q1106" s="9"/>
      <c r="R1106" s="9"/>
      <c r="S1106" s="9"/>
      <c r="T1106" s="9"/>
      <c r="U1106" s="9"/>
      <c r="V1106" s="9"/>
      <c r="W1106" s="9"/>
      <c r="X1106" s="9"/>
      <c r="Y1106" s="9"/>
      <c r="Z1106" s="9"/>
      <c r="AA1106" s="9"/>
      <c r="AB1106" s="9"/>
      <c r="AC1106" s="9"/>
      <c r="AD1106" s="9"/>
      <c r="AE1106" s="9"/>
      <c r="AF1106" s="9"/>
      <c r="AG1106" s="9"/>
      <c r="AH1106" s="9"/>
      <c r="AI1106" s="9"/>
      <c r="AJ1106" s="9"/>
      <c r="AK1106" s="9"/>
      <c r="AL1106" s="9"/>
      <c r="AM1106" s="9"/>
      <c r="AN1106" s="9"/>
      <c r="AO1106" s="9"/>
      <c r="AP1106" s="9"/>
      <c r="AQ1106" s="9"/>
      <c r="AR1106" s="9"/>
      <c r="AS1106" s="9"/>
      <c r="AT1106" s="9"/>
      <c r="AU1106" s="9"/>
    </row>
    <row r="1107" spans="1:47" ht="15.75" customHeight="1">
      <c r="A1107" s="9"/>
      <c r="B1107" s="9"/>
      <c r="C1107" s="9"/>
      <c r="D1107" s="9"/>
      <c r="E1107" s="9"/>
      <c r="F1107" s="67"/>
      <c r="G1107" s="9"/>
      <c r="H1107" s="9"/>
      <c r="I1107" s="9"/>
      <c r="J1107" s="9"/>
      <c r="K1107" s="9"/>
      <c r="L1107" s="9"/>
      <c r="M1107" s="9"/>
      <c r="N1107" s="9"/>
      <c r="O1107" s="9"/>
      <c r="P1107" s="9"/>
      <c r="Q1107" s="9"/>
      <c r="R1107" s="9"/>
      <c r="S1107" s="9"/>
      <c r="T1107" s="9"/>
      <c r="U1107" s="9"/>
      <c r="V1107" s="9"/>
      <c r="W1107" s="9"/>
      <c r="X1107" s="9"/>
      <c r="Y1107" s="9"/>
      <c r="Z1107" s="9"/>
      <c r="AA1107" s="9"/>
      <c r="AB1107" s="9"/>
      <c r="AC1107" s="9"/>
      <c r="AD1107" s="9"/>
      <c r="AE1107" s="9"/>
      <c r="AF1107" s="9"/>
      <c r="AG1107" s="9"/>
      <c r="AH1107" s="9"/>
      <c r="AI1107" s="9"/>
      <c r="AJ1107" s="9"/>
      <c r="AK1107" s="9"/>
      <c r="AL1107" s="9"/>
      <c r="AM1107" s="9"/>
      <c r="AN1107" s="9"/>
      <c r="AO1107" s="9"/>
      <c r="AP1107" s="9"/>
      <c r="AQ1107" s="9"/>
      <c r="AR1107" s="9"/>
      <c r="AS1107" s="9"/>
      <c r="AT1107" s="9"/>
      <c r="AU1107" s="9"/>
    </row>
    <row r="1108" spans="1:47" ht="15.75" customHeight="1">
      <c r="A1108" s="9"/>
      <c r="B1108" s="9"/>
      <c r="C1108" s="9"/>
      <c r="D1108" s="9"/>
      <c r="E1108" s="9"/>
      <c r="F1108" s="67"/>
      <c r="G1108" s="9"/>
      <c r="H1108" s="9"/>
      <c r="I1108" s="9"/>
      <c r="J1108" s="9"/>
      <c r="K1108" s="9"/>
      <c r="L1108" s="9"/>
      <c r="M1108" s="9"/>
      <c r="N1108" s="9"/>
      <c r="O1108" s="9"/>
      <c r="P1108" s="9"/>
      <c r="Q1108" s="9"/>
      <c r="R1108" s="9"/>
      <c r="S1108" s="9"/>
      <c r="T1108" s="9"/>
      <c r="U1108" s="9"/>
      <c r="V1108" s="9"/>
      <c r="W1108" s="9"/>
      <c r="X1108" s="9"/>
      <c r="Y1108" s="9"/>
      <c r="Z1108" s="9"/>
      <c r="AA1108" s="9"/>
      <c r="AB1108" s="9"/>
      <c r="AC1108" s="9"/>
      <c r="AD1108" s="9"/>
      <c r="AE1108" s="9"/>
      <c r="AF1108" s="9"/>
      <c r="AG1108" s="9"/>
      <c r="AH1108" s="9"/>
      <c r="AI1108" s="9"/>
      <c r="AJ1108" s="9"/>
      <c r="AK1108" s="9"/>
      <c r="AL1108" s="9"/>
      <c r="AM1108" s="9"/>
      <c r="AN1108" s="9"/>
      <c r="AO1108" s="9"/>
      <c r="AP1108" s="9"/>
      <c r="AQ1108" s="9"/>
      <c r="AR1108" s="9"/>
      <c r="AS1108" s="9"/>
      <c r="AT1108" s="9"/>
      <c r="AU1108" s="9"/>
    </row>
    <row r="1109" spans="1:47" ht="15.75" customHeight="1">
      <c r="A1109" s="9"/>
      <c r="B1109" s="9"/>
      <c r="C1109" s="9"/>
      <c r="D1109" s="9"/>
      <c r="E1109" s="9"/>
      <c r="F1109" s="67"/>
      <c r="G1109" s="9"/>
      <c r="H1109" s="9"/>
      <c r="I1109" s="9"/>
      <c r="J1109" s="9"/>
      <c r="K1109" s="9"/>
      <c r="L1109" s="9"/>
      <c r="M1109" s="9"/>
      <c r="N1109" s="9"/>
      <c r="O1109" s="9"/>
      <c r="P1109" s="9"/>
      <c r="Q1109" s="9"/>
      <c r="R1109" s="9"/>
      <c r="S1109" s="9"/>
      <c r="T1109" s="9"/>
      <c r="U1109" s="9"/>
      <c r="V1109" s="9"/>
      <c r="W1109" s="9"/>
      <c r="X1109" s="9"/>
      <c r="Y1109" s="9"/>
      <c r="Z1109" s="9"/>
      <c r="AA1109" s="9"/>
      <c r="AB1109" s="9"/>
      <c r="AC1109" s="9"/>
      <c r="AD1109" s="9"/>
      <c r="AE1109" s="9"/>
      <c r="AF1109" s="9"/>
      <c r="AG1109" s="9"/>
      <c r="AH1109" s="9"/>
      <c r="AI1109" s="9"/>
      <c r="AJ1109" s="9"/>
      <c r="AK1109" s="9"/>
      <c r="AL1109" s="9"/>
      <c r="AM1109" s="9"/>
      <c r="AN1109" s="9"/>
      <c r="AO1109" s="9"/>
      <c r="AP1109" s="9"/>
      <c r="AQ1109" s="9"/>
      <c r="AR1109" s="9"/>
      <c r="AS1109" s="9"/>
      <c r="AT1109" s="9"/>
      <c r="AU1109" s="9"/>
    </row>
    <row r="1110" spans="1:47" ht="15.75" customHeight="1">
      <c r="A1110" s="9"/>
      <c r="B1110" s="9"/>
      <c r="C1110" s="9"/>
      <c r="D1110" s="9"/>
      <c r="E1110" s="9"/>
      <c r="F1110" s="67"/>
      <c r="G1110" s="9"/>
      <c r="H1110" s="9"/>
      <c r="I1110" s="9"/>
      <c r="J1110" s="9"/>
      <c r="K1110" s="9"/>
      <c r="L1110" s="9"/>
      <c r="M1110" s="9"/>
      <c r="N1110" s="9"/>
      <c r="O1110" s="9"/>
      <c r="P1110" s="9"/>
      <c r="Q1110" s="9"/>
      <c r="R1110" s="9"/>
      <c r="S1110" s="9"/>
      <c r="T1110" s="9"/>
      <c r="U1110" s="9"/>
      <c r="V1110" s="9"/>
      <c r="W1110" s="9"/>
      <c r="X1110" s="9"/>
      <c r="Y1110" s="9"/>
      <c r="Z1110" s="9"/>
      <c r="AA1110" s="9"/>
      <c r="AB1110" s="9"/>
      <c r="AC1110" s="9"/>
      <c r="AD1110" s="9"/>
      <c r="AE1110" s="9"/>
      <c r="AF1110" s="9"/>
      <c r="AG1110" s="9"/>
      <c r="AH1110" s="9"/>
      <c r="AI1110" s="9"/>
      <c r="AJ1110" s="9"/>
      <c r="AK1110" s="9"/>
      <c r="AL1110" s="9"/>
      <c r="AM1110" s="9"/>
      <c r="AN1110" s="9"/>
      <c r="AO1110" s="9"/>
      <c r="AP1110" s="9"/>
      <c r="AQ1110" s="9"/>
      <c r="AR1110" s="9"/>
      <c r="AS1110" s="9"/>
      <c r="AT1110" s="9"/>
      <c r="AU1110" s="9"/>
    </row>
    <row r="1111" spans="1:47" ht="15.75" customHeight="1">
      <c r="A1111" s="9"/>
      <c r="B1111" s="9"/>
      <c r="C1111" s="9"/>
      <c r="D1111" s="9"/>
      <c r="E1111" s="9"/>
      <c r="F1111" s="67"/>
      <c r="G1111" s="9"/>
      <c r="H1111" s="9"/>
      <c r="I1111" s="9"/>
      <c r="J1111" s="9"/>
      <c r="K1111" s="9"/>
      <c r="L1111" s="9"/>
      <c r="M1111" s="9"/>
      <c r="N1111" s="9"/>
      <c r="O1111" s="9"/>
      <c r="P1111" s="9"/>
      <c r="Q1111" s="9"/>
      <c r="R1111" s="9"/>
      <c r="S1111" s="9"/>
      <c r="T1111" s="9"/>
      <c r="U1111" s="9"/>
      <c r="V1111" s="9"/>
      <c r="W1111" s="9"/>
      <c r="X1111" s="9"/>
      <c r="Y1111" s="9"/>
      <c r="Z1111" s="9"/>
      <c r="AA1111" s="9"/>
      <c r="AB1111" s="9"/>
      <c r="AC1111" s="9"/>
      <c r="AD1111" s="9"/>
      <c r="AE1111" s="9"/>
      <c r="AF1111" s="9"/>
      <c r="AG1111" s="9"/>
      <c r="AH1111" s="9"/>
      <c r="AI1111" s="9"/>
      <c r="AJ1111" s="9"/>
      <c r="AK1111" s="9"/>
      <c r="AL1111" s="9"/>
      <c r="AM1111" s="9"/>
      <c r="AN1111" s="9"/>
      <c r="AO1111" s="9"/>
      <c r="AP1111" s="9"/>
      <c r="AQ1111" s="9"/>
      <c r="AR1111" s="9"/>
      <c r="AS1111" s="9"/>
      <c r="AT1111" s="9"/>
      <c r="AU1111" s="9"/>
    </row>
    <row r="1112" spans="1:47" ht="15.75" customHeight="1">
      <c r="A1112" s="9"/>
      <c r="B1112" s="9"/>
      <c r="C1112" s="9"/>
      <c r="D1112" s="9"/>
      <c r="E1112" s="9"/>
      <c r="F1112" s="67"/>
      <c r="G1112" s="9"/>
      <c r="H1112" s="9"/>
      <c r="I1112" s="9"/>
      <c r="J1112" s="9"/>
      <c r="K1112" s="9"/>
      <c r="L1112" s="9"/>
      <c r="M1112" s="9"/>
      <c r="N1112" s="9"/>
      <c r="O1112" s="9"/>
      <c r="P1112" s="9"/>
      <c r="Q1112" s="9"/>
      <c r="R1112" s="9"/>
      <c r="S1112" s="9"/>
      <c r="T1112" s="9"/>
      <c r="U1112" s="9"/>
      <c r="V1112" s="9"/>
      <c r="W1112" s="9"/>
      <c r="X1112" s="9"/>
      <c r="Y1112" s="9"/>
      <c r="Z1112" s="9"/>
      <c r="AA1112" s="9"/>
      <c r="AB1112" s="9"/>
      <c r="AC1112" s="9"/>
      <c r="AD1112" s="9"/>
      <c r="AE1112" s="9"/>
      <c r="AF1112" s="9"/>
      <c r="AG1112" s="9"/>
      <c r="AH1112" s="9"/>
      <c r="AI1112" s="9"/>
      <c r="AJ1112" s="9"/>
      <c r="AK1112" s="9"/>
      <c r="AL1112" s="9"/>
      <c r="AM1112" s="9"/>
      <c r="AN1112" s="9"/>
      <c r="AO1112" s="9"/>
      <c r="AP1112" s="9"/>
      <c r="AQ1112" s="9"/>
      <c r="AR1112" s="9"/>
      <c r="AS1112" s="9"/>
      <c r="AT1112" s="9"/>
      <c r="AU1112" s="9"/>
    </row>
    <row r="1113" spans="1:47" ht="15.75" customHeight="1">
      <c r="A1113" s="9"/>
      <c r="B1113" s="9"/>
      <c r="C1113" s="9"/>
      <c r="D1113" s="9"/>
      <c r="E1113" s="9"/>
      <c r="F1113" s="67"/>
      <c r="G1113" s="9"/>
      <c r="H1113" s="9"/>
      <c r="I1113" s="9"/>
      <c r="J1113" s="9"/>
      <c r="K1113" s="9"/>
      <c r="L1113" s="9"/>
      <c r="M1113" s="9"/>
      <c r="N1113" s="9"/>
      <c r="O1113" s="9"/>
      <c r="P1113" s="9"/>
      <c r="Q1113" s="9"/>
      <c r="R1113" s="9"/>
      <c r="S1113" s="9"/>
      <c r="T1113" s="9"/>
      <c r="U1113" s="9"/>
      <c r="V1113" s="9"/>
      <c r="W1113" s="9"/>
      <c r="X1113" s="9"/>
      <c r="Y1113" s="9"/>
      <c r="Z1113" s="9"/>
      <c r="AA1113" s="9"/>
      <c r="AB1113" s="9"/>
      <c r="AC1113" s="9"/>
      <c r="AD1113" s="9"/>
      <c r="AE1113" s="9"/>
      <c r="AF1113" s="9"/>
      <c r="AG1113" s="9"/>
      <c r="AH1113" s="9"/>
      <c r="AI1113" s="9"/>
      <c r="AJ1113" s="9"/>
      <c r="AK1113" s="9"/>
      <c r="AL1113" s="9"/>
      <c r="AM1113" s="9"/>
      <c r="AN1113" s="9"/>
      <c r="AO1113" s="9"/>
      <c r="AP1113" s="9"/>
      <c r="AQ1113" s="9"/>
      <c r="AR1113" s="9"/>
      <c r="AS1113" s="9"/>
      <c r="AT1113" s="9"/>
      <c r="AU1113" s="9"/>
    </row>
    <row r="1114" spans="1:47" ht="15.75" customHeight="1">
      <c r="A1114" s="9"/>
      <c r="B1114" s="9"/>
      <c r="C1114" s="9"/>
      <c r="D1114" s="9"/>
      <c r="E1114" s="9"/>
      <c r="F1114" s="67"/>
      <c r="G1114" s="9"/>
      <c r="H1114" s="9"/>
      <c r="I1114" s="9"/>
      <c r="J1114" s="9"/>
      <c r="K1114" s="9"/>
      <c r="L1114" s="9"/>
      <c r="M1114" s="9"/>
      <c r="N1114" s="9"/>
      <c r="O1114" s="9"/>
      <c r="P1114" s="9"/>
      <c r="Q1114" s="9"/>
      <c r="R1114" s="9"/>
      <c r="S1114" s="9"/>
      <c r="T1114" s="9"/>
      <c r="U1114" s="9"/>
      <c r="V1114" s="9"/>
      <c r="W1114" s="9"/>
      <c r="X1114" s="9"/>
      <c r="Y1114" s="9"/>
      <c r="Z1114" s="9"/>
      <c r="AA1114" s="9"/>
      <c r="AB1114" s="9"/>
      <c r="AC1114" s="9"/>
      <c r="AD1114" s="9"/>
      <c r="AE1114" s="9"/>
      <c r="AF1114" s="9"/>
      <c r="AG1114" s="9"/>
      <c r="AH1114" s="9"/>
      <c r="AI1114" s="9"/>
      <c r="AJ1114" s="9"/>
      <c r="AK1114" s="9"/>
      <c r="AL1114" s="9"/>
      <c r="AM1114" s="9"/>
      <c r="AN1114" s="9"/>
      <c r="AO1114" s="9"/>
      <c r="AP1114" s="9"/>
      <c r="AQ1114" s="9"/>
      <c r="AR1114" s="9"/>
      <c r="AS1114" s="9"/>
      <c r="AT1114" s="9"/>
      <c r="AU1114" s="9"/>
    </row>
    <row r="1115" spans="1:47" ht="15.75" customHeight="1">
      <c r="A1115" s="9"/>
      <c r="B1115" s="9"/>
      <c r="C1115" s="9"/>
      <c r="D1115" s="9"/>
      <c r="E1115" s="9"/>
      <c r="F1115" s="67"/>
      <c r="G1115" s="9"/>
      <c r="H1115" s="9"/>
      <c r="I1115" s="9"/>
      <c r="J1115" s="9"/>
      <c r="K1115" s="9"/>
      <c r="L1115" s="9"/>
      <c r="M1115" s="9"/>
      <c r="N1115" s="9"/>
      <c r="O1115" s="9"/>
      <c r="P1115" s="9"/>
      <c r="Q1115" s="9"/>
      <c r="R1115" s="9"/>
      <c r="S1115" s="9"/>
      <c r="T1115" s="9"/>
      <c r="U1115" s="9"/>
      <c r="V1115" s="9"/>
      <c r="W1115" s="9"/>
      <c r="X1115" s="9"/>
      <c r="Y1115" s="9"/>
      <c r="Z1115" s="9"/>
      <c r="AA1115" s="9"/>
      <c r="AB1115" s="9"/>
      <c r="AC1115" s="9"/>
      <c r="AD1115" s="9"/>
      <c r="AE1115" s="9"/>
      <c r="AF1115" s="9"/>
      <c r="AG1115" s="9"/>
      <c r="AH1115" s="9"/>
      <c r="AI1115" s="9"/>
      <c r="AJ1115" s="9"/>
      <c r="AK1115" s="9"/>
      <c r="AL1115" s="9"/>
      <c r="AM1115" s="9"/>
      <c r="AN1115" s="9"/>
      <c r="AO1115" s="9"/>
      <c r="AP1115" s="9"/>
      <c r="AQ1115" s="9"/>
      <c r="AR1115" s="9"/>
      <c r="AS1115" s="9"/>
      <c r="AT1115" s="9"/>
      <c r="AU1115" s="9"/>
    </row>
    <row r="1116" spans="1:47" ht="15.75" customHeight="1">
      <c r="A1116" s="9"/>
      <c r="B1116" s="9"/>
      <c r="C1116" s="9"/>
      <c r="D1116" s="9"/>
      <c r="E1116" s="9"/>
      <c r="F1116" s="67"/>
      <c r="G1116" s="9"/>
      <c r="H1116" s="9"/>
      <c r="I1116" s="9"/>
      <c r="J1116" s="9"/>
      <c r="K1116" s="9"/>
      <c r="L1116" s="9"/>
      <c r="M1116" s="9"/>
      <c r="N1116" s="9"/>
      <c r="O1116" s="9"/>
      <c r="P1116" s="9"/>
      <c r="Q1116" s="9"/>
      <c r="R1116" s="9"/>
      <c r="S1116" s="9"/>
      <c r="T1116" s="9"/>
      <c r="U1116" s="9"/>
      <c r="V1116" s="9"/>
      <c r="W1116" s="9"/>
      <c r="X1116" s="9"/>
      <c r="Y1116" s="9"/>
      <c r="Z1116" s="9"/>
      <c r="AA1116" s="9"/>
      <c r="AB1116" s="9"/>
      <c r="AC1116" s="9"/>
      <c r="AD1116" s="9"/>
      <c r="AE1116" s="9"/>
      <c r="AF1116" s="9"/>
      <c r="AG1116" s="9"/>
      <c r="AH1116" s="9"/>
      <c r="AI1116" s="9"/>
      <c r="AJ1116" s="9"/>
      <c r="AK1116" s="9"/>
      <c r="AL1116" s="9"/>
      <c r="AM1116" s="9"/>
      <c r="AN1116" s="9"/>
      <c r="AO1116" s="9"/>
      <c r="AP1116" s="9"/>
      <c r="AQ1116" s="9"/>
      <c r="AR1116" s="9"/>
      <c r="AS1116" s="9"/>
      <c r="AT1116" s="9"/>
      <c r="AU1116" s="9"/>
    </row>
    <row r="1117" spans="1:47" ht="15.75" customHeight="1">
      <c r="A1117" s="9"/>
      <c r="B1117" s="9"/>
      <c r="C1117" s="9"/>
      <c r="D1117" s="9"/>
      <c r="E1117" s="9"/>
      <c r="F1117" s="67"/>
      <c r="G1117" s="9"/>
      <c r="H1117" s="9"/>
      <c r="I1117" s="9"/>
      <c r="J1117" s="9"/>
      <c r="K1117" s="9"/>
      <c r="L1117" s="9"/>
      <c r="M1117" s="9"/>
      <c r="N1117" s="9"/>
      <c r="O1117" s="9"/>
      <c r="P1117" s="9"/>
      <c r="Q1117" s="9"/>
      <c r="R1117" s="9"/>
      <c r="S1117" s="9"/>
      <c r="T1117" s="9"/>
      <c r="U1117" s="9"/>
      <c r="V1117" s="9"/>
      <c r="W1117" s="9"/>
      <c r="X1117" s="9"/>
      <c r="Y1117" s="9"/>
      <c r="Z1117" s="9"/>
      <c r="AA1117" s="9"/>
      <c r="AB1117" s="9"/>
      <c r="AC1117" s="9"/>
      <c r="AD1117" s="9"/>
      <c r="AE1117" s="9"/>
      <c r="AF1117" s="9"/>
      <c r="AG1117" s="9"/>
      <c r="AH1117" s="9"/>
      <c r="AI1117" s="9"/>
      <c r="AJ1117" s="9"/>
      <c r="AK1117" s="9"/>
      <c r="AL1117" s="9"/>
      <c r="AM1117" s="9"/>
      <c r="AN1117" s="9"/>
      <c r="AO1117" s="9"/>
      <c r="AP1117" s="9"/>
      <c r="AQ1117" s="9"/>
      <c r="AR1117" s="9"/>
      <c r="AS1117" s="9"/>
      <c r="AT1117" s="9"/>
      <c r="AU1117" s="9"/>
    </row>
    <row r="1118" spans="1:47" ht="15.75" customHeight="1">
      <c r="A1118" s="9"/>
      <c r="B1118" s="9"/>
      <c r="C1118" s="9"/>
      <c r="D1118" s="9"/>
      <c r="E1118" s="9"/>
      <c r="F1118" s="67"/>
      <c r="G1118" s="9"/>
      <c r="H1118" s="9"/>
      <c r="I1118" s="9"/>
      <c r="J1118" s="9"/>
      <c r="K1118" s="9"/>
      <c r="L1118" s="9"/>
      <c r="M1118" s="9"/>
      <c r="N1118" s="9"/>
      <c r="O1118" s="9"/>
      <c r="P1118" s="9"/>
      <c r="Q1118" s="9"/>
      <c r="R1118" s="9"/>
      <c r="S1118" s="9"/>
      <c r="T1118" s="9"/>
      <c r="U1118" s="9"/>
      <c r="V1118" s="9"/>
      <c r="W1118" s="9"/>
      <c r="X1118" s="9"/>
      <c r="Y1118" s="9"/>
      <c r="Z1118" s="9"/>
      <c r="AA1118" s="9"/>
      <c r="AB1118" s="9"/>
      <c r="AC1118" s="9"/>
      <c r="AD1118" s="9"/>
      <c r="AE1118" s="9"/>
      <c r="AF1118" s="9"/>
      <c r="AG1118" s="9"/>
      <c r="AH1118" s="9"/>
      <c r="AI1118" s="9"/>
      <c r="AJ1118" s="9"/>
      <c r="AK1118" s="9"/>
      <c r="AL1118" s="9"/>
      <c r="AM1118" s="9"/>
      <c r="AN1118" s="9"/>
      <c r="AO1118" s="9"/>
      <c r="AP1118" s="9"/>
      <c r="AQ1118" s="9"/>
      <c r="AR1118" s="9"/>
      <c r="AS1118" s="9"/>
      <c r="AT1118" s="9"/>
      <c r="AU1118" s="9"/>
    </row>
    <row r="1119" spans="1:47" ht="15.75" customHeight="1">
      <c r="A1119" s="9"/>
      <c r="B1119" s="9"/>
      <c r="C1119" s="9"/>
      <c r="D1119" s="9"/>
      <c r="E1119" s="9"/>
      <c r="F1119" s="67"/>
      <c r="G1119" s="9"/>
      <c r="H1119" s="9"/>
      <c r="I1119" s="9"/>
      <c r="J1119" s="9"/>
      <c r="K1119" s="9"/>
      <c r="L1119" s="9"/>
      <c r="M1119" s="9"/>
      <c r="N1119" s="9"/>
      <c r="O1119" s="9"/>
      <c r="P1119" s="9"/>
      <c r="Q1119" s="9"/>
      <c r="R1119" s="9"/>
      <c r="S1119" s="9"/>
      <c r="T1119" s="9"/>
      <c r="U1119" s="9"/>
      <c r="V1119" s="9"/>
      <c r="W1119" s="9"/>
      <c r="X1119" s="9"/>
      <c r="Y1119" s="9"/>
      <c r="Z1119" s="9"/>
      <c r="AA1119" s="9"/>
      <c r="AB1119" s="9"/>
      <c r="AC1119" s="9"/>
      <c r="AD1119" s="9"/>
      <c r="AE1119" s="9"/>
      <c r="AF1119" s="9"/>
      <c r="AG1119" s="9"/>
      <c r="AH1119" s="9"/>
      <c r="AI1119" s="9"/>
      <c r="AJ1119" s="9"/>
      <c r="AK1119" s="9"/>
      <c r="AL1119" s="9"/>
      <c r="AM1119" s="9"/>
      <c r="AN1119" s="9"/>
      <c r="AO1119" s="9"/>
      <c r="AP1119" s="9"/>
      <c r="AQ1119" s="9"/>
      <c r="AR1119" s="9"/>
      <c r="AS1119" s="9"/>
      <c r="AT1119" s="9"/>
      <c r="AU1119" s="9"/>
    </row>
    <row r="1120" spans="1:47" ht="15.75" customHeight="1">
      <c r="A1120" s="9"/>
      <c r="B1120" s="9"/>
      <c r="C1120" s="9"/>
      <c r="D1120" s="9"/>
      <c r="E1120" s="9"/>
      <c r="F1120" s="67"/>
      <c r="G1120" s="9"/>
      <c r="H1120" s="9"/>
      <c r="I1120" s="9"/>
      <c r="J1120" s="9"/>
      <c r="K1120" s="9"/>
      <c r="L1120" s="9"/>
      <c r="M1120" s="9"/>
      <c r="N1120" s="9"/>
      <c r="O1120" s="9"/>
      <c r="P1120" s="9"/>
      <c r="Q1120" s="9"/>
      <c r="R1120" s="9"/>
      <c r="S1120" s="9"/>
      <c r="T1120" s="9"/>
      <c r="U1120" s="9"/>
      <c r="V1120" s="9"/>
      <c r="W1120" s="9"/>
      <c r="X1120" s="9"/>
      <c r="Y1120" s="9"/>
      <c r="Z1120" s="9"/>
      <c r="AA1120" s="9"/>
      <c r="AB1120" s="9"/>
      <c r="AC1120" s="9"/>
      <c r="AD1120" s="9"/>
      <c r="AE1120" s="9"/>
      <c r="AF1120" s="9"/>
      <c r="AG1120" s="9"/>
      <c r="AH1120" s="9"/>
      <c r="AI1120" s="9"/>
      <c r="AJ1120" s="9"/>
      <c r="AK1120" s="9"/>
      <c r="AL1120" s="9"/>
      <c r="AM1120" s="9"/>
      <c r="AN1120" s="9"/>
      <c r="AO1120" s="9"/>
      <c r="AP1120" s="9"/>
      <c r="AQ1120" s="9"/>
      <c r="AR1120" s="9"/>
      <c r="AS1120" s="9"/>
      <c r="AT1120" s="9"/>
      <c r="AU1120" s="9"/>
    </row>
    <row r="1121" spans="1:47" ht="15.75" customHeight="1">
      <c r="A1121" s="9"/>
      <c r="B1121" s="9"/>
      <c r="C1121" s="9"/>
      <c r="D1121" s="9"/>
      <c r="E1121" s="9"/>
      <c r="F1121" s="67"/>
      <c r="G1121" s="9"/>
      <c r="H1121" s="9"/>
      <c r="I1121" s="9"/>
      <c r="J1121" s="9"/>
      <c r="K1121" s="9"/>
      <c r="L1121" s="9"/>
      <c r="M1121" s="9"/>
      <c r="N1121" s="9"/>
      <c r="O1121" s="9"/>
      <c r="P1121" s="9"/>
      <c r="Q1121" s="9"/>
      <c r="R1121" s="9"/>
      <c r="S1121" s="9"/>
      <c r="T1121" s="9"/>
      <c r="U1121" s="9"/>
      <c r="V1121" s="9"/>
      <c r="W1121" s="9"/>
      <c r="X1121" s="9"/>
      <c r="Y1121" s="9"/>
      <c r="Z1121" s="9"/>
      <c r="AA1121" s="9"/>
      <c r="AB1121" s="9"/>
      <c r="AC1121" s="9"/>
      <c r="AD1121" s="9"/>
      <c r="AE1121" s="9"/>
      <c r="AF1121" s="9"/>
      <c r="AG1121" s="9"/>
      <c r="AH1121" s="9"/>
      <c r="AI1121" s="9"/>
      <c r="AJ1121" s="9"/>
      <c r="AK1121" s="9"/>
      <c r="AL1121" s="9"/>
      <c r="AM1121" s="9"/>
      <c r="AN1121" s="9"/>
      <c r="AO1121" s="9"/>
      <c r="AP1121" s="9"/>
      <c r="AQ1121" s="9"/>
      <c r="AR1121" s="9"/>
      <c r="AS1121" s="9"/>
      <c r="AT1121" s="9"/>
      <c r="AU1121" s="9"/>
    </row>
    <row r="1122" spans="1:47" ht="15.75" customHeight="1">
      <c r="A1122" s="9"/>
      <c r="B1122" s="9"/>
      <c r="C1122" s="9"/>
      <c r="D1122" s="9"/>
      <c r="E1122" s="9"/>
      <c r="F1122" s="67"/>
      <c r="G1122" s="9"/>
      <c r="H1122" s="9"/>
      <c r="I1122" s="9"/>
      <c r="J1122" s="9"/>
      <c r="K1122" s="9"/>
      <c r="L1122" s="9"/>
      <c r="M1122" s="9"/>
      <c r="N1122" s="9"/>
      <c r="O1122" s="9"/>
      <c r="P1122" s="9"/>
      <c r="Q1122" s="9"/>
      <c r="R1122" s="9"/>
      <c r="S1122" s="9"/>
      <c r="T1122" s="9"/>
      <c r="U1122" s="9"/>
      <c r="V1122" s="9"/>
      <c r="W1122" s="9"/>
      <c r="X1122" s="9"/>
      <c r="Y1122" s="9"/>
      <c r="Z1122" s="9"/>
      <c r="AA1122" s="9"/>
      <c r="AB1122" s="9"/>
      <c r="AC1122" s="9"/>
      <c r="AD1122" s="9"/>
      <c r="AE1122" s="9"/>
      <c r="AF1122" s="9"/>
      <c r="AG1122" s="9"/>
      <c r="AH1122" s="9"/>
      <c r="AI1122" s="9"/>
      <c r="AJ1122" s="9"/>
      <c r="AK1122" s="9"/>
      <c r="AL1122" s="9"/>
      <c r="AM1122" s="9"/>
      <c r="AN1122" s="9"/>
      <c r="AO1122" s="9"/>
      <c r="AP1122" s="9"/>
      <c r="AQ1122" s="9"/>
      <c r="AR1122" s="9"/>
      <c r="AS1122" s="9"/>
      <c r="AT1122" s="9"/>
      <c r="AU1122" s="9"/>
    </row>
    <row r="1123" spans="1:47" ht="15.75" customHeight="1">
      <c r="A1123" s="9"/>
      <c r="B1123" s="9"/>
      <c r="C1123" s="9"/>
      <c r="D1123" s="9"/>
      <c r="E1123" s="9"/>
      <c r="F1123" s="67"/>
      <c r="G1123" s="9"/>
      <c r="H1123" s="9"/>
      <c r="I1123" s="9"/>
      <c r="J1123" s="9"/>
      <c r="K1123" s="9"/>
      <c r="L1123" s="9"/>
      <c r="M1123" s="9"/>
      <c r="N1123" s="9"/>
      <c r="O1123" s="9"/>
      <c r="P1123" s="9"/>
      <c r="Q1123" s="9"/>
      <c r="R1123" s="9"/>
      <c r="S1123" s="9"/>
      <c r="T1123" s="9"/>
      <c r="U1123" s="9"/>
      <c r="V1123" s="9"/>
      <c r="W1123" s="9"/>
      <c r="X1123" s="9"/>
      <c r="Y1123" s="9"/>
      <c r="Z1123" s="9"/>
      <c r="AA1123" s="9"/>
      <c r="AB1123" s="9"/>
      <c r="AC1123" s="9"/>
      <c r="AD1123" s="9"/>
      <c r="AE1123" s="9"/>
      <c r="AF1123" s="9"/>
      <c r="AG1123" s="9"/>
      <c r="AH1123" s="9"/>
      <c r="AI1123" s="9"/>
      <c r="AJ1123" s="9"/>
      <c r="AK1123" s="9"/>
      <c r="AL1123" s="9"/>
      <c r="AM1123" s="9"/>
      <c r="AN1123" s="9"/>
      <c r="AO1123" s="9"/>
      <c r="AP1123" s="9"/>
      <c r="AQ1123" s="9"/>
      <c r="AR1123" s="9"/>
      <c r="AS1123" s="9"/>
      <c r="AT1123" s="9"/>
      <c r="AU1123" s="9"/>
    </row>
    <row r="1124" spans="1:47" ht="15.75" customHeight="1">
      <c r="A1124" s="9"/>
      <c r="B1124" s="9"/>
      <c r="C1124" s="9"/>
      <c r="D1124" s="9"/>
      <c r="E1124" s="9"/>
      <c r="F1124" s="67"/>
      <c r="G1124" s="9"/>
      <c r="H1124" s="9"/>
      <c r="I1124" s="9"/>
      <c r="J1124" s="9"/>
      <c r="K1124" s="9"/>
      <c r="L1124" s="9"/>
      <c r="M1124" s="9"/>
      <c r="N1124" s="9"/>
      <c r="O1124" s="9"/>
      <c r="P1124" s="9"/>
      <c r="Q1124" s="9"/>
      <c r="R1124" s="9"/>
      <c r="S1124" s="9"/>
      <c r="T1124" s="9"/>
      <c r="U1124" s="9"/>
      <c r="V1124" s="9"/>
      <c r="W1124" s="9"/>
      <c r="X1124" s="9"/>
      <c r="Y1124" s="9"/>
      <c r="Z1124" s="9"/>
      <c r="AA1124" s="9"/>
      <c r="AB1124" s="9"/>
      <c r="AC1124" s="9"/>
      <c r="AD1124" s="9"/>
      <c r="AE1124" s="9"/>
      <c r="AF1124" s="9"/>
      <c r="AG1124" s="9"/>
      <c r="AH1124" s="9"/>
      <c r="AI1124" s="9"/>
      <c r="AJ1124" s="9"/>
      <c r="AK1124" s="9"/>
      <c r="AL1124" s="9"/>
      <c r="AM1124" s="9"/>
      <c r="AN1124" s="9"/>
      <c r="AO1124" s="9"/>
      <c r="AP1124" s="9"/>
      <c r="AQ1124" s="9"/>
      <c r="AR1124" s="9"/>
      <c r="AS1124" s="9"/>
      <c r="AT1124" s="9"/>
      <c r="AU1124" s="9"/>
    </row>
    <row r="1125" spans="1:47" ht="15.75" customHeight="1">
      <c r="A1125" s="9"/>
      <c r="B1125" s="9"/>
      <c r="C1125" s="9"/>
      <c r="D1125" s="9"/>
      <c r="E1125" s="9"/>
      <c r="F1125" s="67"/>
      <c r="G1125" s="9"/>
      <c r="H1125" s="9"/>
      <c r="I1125" s="9"/>
      <c r="J1125" s="9"/>
      <c r="K1125" s="9"/>
      <c r="L1125" s="9"/>
      <c r="M1125" s="9"/>
      <c r="N1125" s="9"/>
      <c r="O1125" s="9"/>
      <c r="P1125" s="9"/>
      <c r="Q1125" s="9"/>
      <c r="R1125" s="9"/>
      <c r="S1125" s="9"/>
      <c r="T1125" s="9"/>
      <c r="U1125" s="9"/>
      <c r="V1125" s="9"/>
      <c r="W1125" s="9"/>
      <c r="X1125" s="9"/>
      <c r="Y1125" s="9"/>
      <c r="Z1125" s="9"/>
      <c r="AA1125" s="9"/>
      <c r="AB1125" s="9"/>
      <c r="AC1125" s="9"/>
      <c r="AD1125" s="9"/>
      <c r="AE1125" s="9"/>
      <c r="AF1125" s="9"/>
      <c r="AG1125" s="9"/>
      <c r="AH1125" s="9"/>
      <c r="AI1125" s="9"/>
      <c r="AJ1125" s="9"/>
      <c r="AK1125" s="9"/>
      <c r="AL1125" s="9"/>
      <c r="AM1125" s="9"/>
      <c r="AN1125" s="9"/>
      <c r="AO1125" s="9"/>
      <c r="AP1125" s="9"/>
      <c r="AQ1125" s="9"/>
      <c r="AR1125" s="9"/>
      <c r="AS1125" s="9"/>
      <c r="AT1125" s="9"/>
      <c r="AU1125" s="9"/>
    </row>
    <row r="1126" spans="1:47" ht="15.75" customHeight="1">
      <c r="A1126" s="9"/>
      <c r="B1126" s="9"/>
      <c r="C1126" s="9"/>
      <c r="D1126" s="9"/>
      <c r="E1126" s="9"/>
      <c r="F1126" s="67"/>
      <c r="G1126" s="9"/>
      <c r="H1126" s="9"/>
      <c r="I1126" s="9"/>
      <c r="J1126" s="9"/>
      <c r="K1126" s="9"/>
      <c r="L1126" s="9"/>
      <c r="M1126" s="9"/>
      <c r="N1126" s="9"/>
      <c r="O1126" s="9"/>
      <c r="P1126" s="9"/>
      <c r="Q1126" s="9"/>
      <c r="R1126" s="9"/>
      <c r="S1126" s="9"/>
      <c r="T1126" s="9"/>
      <c r="U1126" s="9"/>
      <c r="V1126" s="9"/>
      <c r="W1126" s="9"/>
      <c r="X1126" s="9"/>
      <c r="Y1126" s="9"/>
      <c r="Z1126" s="9"/>
      <c r="AA1126" s="9"/>
      <c r="AB1126" s="9"/>
      <c r="AC1126" s="9"/>
      <c r="AD1126" s="9"/>
      <c r="AE1126" s="9"/>
      <c r="AF1126" s="9"/>
      <c r="AG1126" s="9"/>
      <c r="AH1126" s="9"/>
      <c r="AI1126" s="9"/>
      <c r="AJ1126" s="9"/>
      <c r="AK1126" s="9"/>
      <c r="AL1126" s="9"/>
      <c r="AM1126" s="9"/>
      <c r="AN1126" s="9"/>
      <c r="AO1126" s="9"/>
      <c r="AP1126" s="9"/>
      <c r="AQ1126" s="9"/>
      <c r="AR1126" s="9"/>
      <c r="AS1126" s="9"/>
      <c r="AT1126" s="9"/>
      <c r="AU1126" s="9"/>
    </row>
    <row r="1127" spans="1:47" ht="15.75" customHeight="1">
      <c r="A1127" s="9"/>
      <c r="B1127" s="9"/>
      <c r="C1127" s="9"/>
      <c r="D1127" s="9"/>
      <c r="E1127" s="9"/>
      <c r="F1127" s="67"/>
      <c r="G1127" s="9"/>
      <c r="H1127" s="9"/>
      <c r="I1127" s="9"/>
      <c r="J1127" s="9"/>
      <c r="K1127" s="9"/>
      <c r="L1127" s="9"/>
      <c r="M1127" s="9"/>
      <c r="N1127" s="9"/>
      <c r="O1127" s="9"/>
      <c r="P1127" s="9"/>
      <c r="Q1127" s="9"/>
      <c r="R1127" s="9"/>
      <c r="S1127" s="9"/>
      <c r="T1127" s="9"/>
      <c r="U1127" s="9"/>
      <c r="V1127" s="9"/>
      <c r="W1127" s="9"/>
      <c r="X1127" s="9"/>
      <c r="Y1127" s="9"/>
      <c r="Z1127" s="9"/>
      <c r="AA1127" s="9"/>
      <c r="AB1127" s="9"/>
      <c r="AC1127" s="9"/>
      <c r="AD1127" s="9"/>
      <c r="AE1127" s="9"/>
      <c r="AF1127" s="9"/>
      <c r="AG1127" s="9"/>
      <c r="AH1127" s="9"/>
      <c r="AI1127" s="9"/>
      <c r="AJ1127" s="9"/>
      <c r="AK1127" s="9"/>
      <c r="AL1127" s="9"/>
      <c r="AM1127" s="9"/>
      <c r="AN1127" s="9"/>
      <c r="AO1127" s="9"/>
      <c r="AP1127" s="9"/>
      <c r="AQ1127" s="9"/>
      <c r="AR1127" s="9"/>
      <c r="AS1127" s="9"/>
      <c r="AT1127" s="9"/>
      <c r="AU1127" s="9"/>
    </row>
    <row r="1128" spans="1:47" ht="15.75" customHeight="1">
      <c r="A1128" s="9"/>
      <c r="B1128" s="9"/>
      <c r="C1128" s="9"/>
      <c r="D1128" s="9"/>
      <c r="E1128" s="9"/>
      <c r="F1128" s="67"/>
      <c r="G1128" s="9"/>
      <c r="H1128" s="9"/>
      <c r="I1128" s="9"/>
      <c r="J1128" s="9"/>
      <c r="K1128" s="9"/>
      <c r="L1128" s="9"/>
      <c r="M1128" s="9"/>
      <c r="N1128" s="9"/>
      <c r="O1128" s="9"/>
      <c r="P1128" s="9"/>
      <c r="Q1128" s="9"/>
      <c r="R1128" s="9"/>
      <c r="S1128" s="9"/>
      <c r="T1128" s="9"/>
      <c r="U1128" s="9"/>
      <c r="V1128" s="9"/>
      <c r="W1128" s="9"/>
      <c r="X1128" s="9"/>
      <c r="Y1128" s="9"/>
      <c r="Z1128" s="9"/>
      <c r="AA1128" s="9"/>
      <c r="AB1128" s="9"/>
      <c r="AC1128" s="9"/>
      <c r="AD1128" s="9"/>
      <c r="AE1128" s="9"/>
      <c r="AF1128" s="9"/>
      <c r="AG1128" s="9"/>
      <c r="AH1128" s="9"/>
      <c r="AI1128" s="9"/>
      <c r="AJ1128" s="9"/>
      <c r="AK1128" s="9"/>
      <c r="AL1128" s="9"/>
      <c r="AM1128" s="9"/>
      <c r="AN1128" s="9"/>
      <c r="AO1128" s="9"/>
      <c r="AP1128" s="9"/>
      <c r="AQ1128" s="9"/>
      <c r="AR1128" s="9"/>
      <c r="AS1128" s="9"/>
      <c r="AT1128" s="9"/>
      <c r="AU1128" s="9"/>
    </row>
    <row r="1129" spans="1:47" ht="15.75" customHeight="1">
      <c r="A1129" s="9"/>
      <c r="B1129" s="9"/>
      <c r="C1129" s="9"/>
      <c r="D1129" s="9"/>
      <c r="E1129" s="9"/>
      <c r="F1129" s="67"/>
      <c r="G1129" s="9"/>
      <c r="H1129" s="9"/>
      <c r="I1129" s="9"/>
      <c r="J1129" s="9"/>
      <c r="K1129" s="9"/>
      <c r="L1129" s="9"/>
      <c r="M1129" s="9"/>
      <c r="N1129" s="9"/>
      <c r="O1129" s="9"/>
      <c r="P1129" s="9"/>
      <c r="Q1129" s="9"/>
      <c r="R1129" s="9"/>
      <c r="S1129" s="9"/>
      <c r="T1129" s="9"/>
      <c r="U1129" s="9"/>
      <c r="V1129" s="9"/>
      <c r="W1129" s="9"/>
      <c r="X1129" s="9"/>
      <c r="Y1129" s="9"/>
      <c r="Z1129" s="9"/>
      <c r="AA1129" s="9"/>
      <c r="AB1129" s="9"/>
      <c r="AC1129" s="9"/>
      <c r="AD1129" s="9"/>
      <c r="AE1129" s="9"/>
      <c r="AF1129" s="9"/>
      <c r="AG1129" s="9"/>
      <c r="AH1129" s="9"/>
      <c r="AI1129" s="9"/>
      <c r="AJ1129" s="9"/>
      <c r="AK1129" s="9"/>
      <c r="AL1129" s="9"/>
      <c r="AM1129" s="9"/>
      <c r="AN1129" s="9"/>
      <c r="AO1129" s="9"/>
      <c r="AP1129" s="9"/>
      <c r="AQ1129" s="9"/>
      <c r="AR1129" s="9"/>
      <c r="AS1129" s="9"/>
      <c r="AT1129" s="9"/>
      <c r="AU1129" s="9"/>
    </row>
    <row r="1130" spans="1:47" ht="15.75" customHeight="1">
      <c r="A1130" s="9"/>
      <c r="B1130" s="9"/>
      <c r="C1130" s="9"/>
      <c r="D1130" s="9"/>
      <c r="E1130" s="9"/>
      <c r="F1130" s="67"/>
      <c r="G1130" s="9"/>
      <c r="H1130" s="9"/>
      <c r="I1130" s="9"/>
      <c r="J1130" s="9"/>
      <c r="K1130" s="9"/>
      <c r="L1130" s="9"/>
      <c r="M1130" s="9"/>
      <c r="N1130" s="9"/>
      <c r="O1130" s="9"/>
      <c r="P1130" s="9"/>
      <c r="Q1130" s="9"/>
      <c r="R1130" s="9"/>
      <c r="S1130" s="9"/>
      <c r="T1130" s="9"/>
      <c r="U1130" s="9"/>
      <c r="V1130" s="9"/>
      <c r="W1130" s="9"/>
      <c r="X1130" s="9"/>
      <c r="Y1130" s="9"/>
      <c r="Z1130" s="9"/>
      <c r="AA1130" s="9"/>
      <c r="AB1130" s="9"/>
      <c r="AC1130" s="9"/>
      <c r="AD1130" s="9"/>
      <c r="AE1130" s="9"/>
      <c r="AF1130" s="9"/>
      <c r="AG1130" s="9"/>
      <c r="AH1130" s="9"/>
      <c r="AI1130" s="9"/>
      <c r="AJ1130" s="9"/>
      <c r="AK1130" s="9"/>
      <c r="AL1130" s="9"/>
      <c r="AM1130" s="9"/>
      <c r="AN1130" s="9"/>
      <c r="AO1130" s="9"/>
      <c r="AP1130" s="9"/>
      <c r="AQ1130" s="9"/>
      <c r="AR1130" s="9"/>
      <c r="AS1130" s="9"/>
      <c r="AT1130" s="9"/>
      <c r="AU1130" s="9"/>
    </row>
    <row r="1131" spans="1:47" ht="15.75" customHeight="1">
      <c r="A1131" s="9"/>
      <c r="B1131" s="9"/>
      <c r="C1131" s="9"/>
      <c r="D1131" s="9"/>
      <c r="E1131" s="9"/>
      <c r="F1131" s="67"/>
      <c r="G1131" s="9"/>
      <c r="H1131" s="9"/>
      <c r="I1131" s="9"/>
      <c r="J1131" s="9"/>
      <c r="K1131" s="9"/>
      <c r="L1131" s="9"/>
      <c r="M1131" s="9"/>
      <c r="N1131" s="9"/>
      <c r="O1131" s="9"/>
      <c r="P1131" s="9"/>
      <c r="Q1131" s="9"/>
      <c r="R1131" s="9"/>
      <c r="S1131" s="9"/>
      <c r="T1131" s="9"/>
      <c r="U1131" s="9"/>
      <c r="V1131" s="9"/>
      <c r="W1131" s="9"/>
      <c r="X1131" s="9"/>
      <c r="Y1131" s="9"/>
      <c r="Z1131" s="9"/>
      <c r="AA1131" s="9"/>
      <c r="AB1131" s="9"/>
      <c r="AC1131" s="9"/>
      <c r="AD1131" s="9"/>
      <c r="AE1131" s="9"/>
      <c r="AF1131" s="9"/>
      <c r="AG1131" s="9"/>
      <c r="AH1131" s="9"/>
      <c r="AI1131" s="9"/>
      <c r="AJ1131" s="9"/>
      <c r="AK1131" s="9"/>
      <c r="AL1131" s="9"/>
      <c r="AM1131" s="9"/>
      <c r="AN1131" s="9"/>
      <c r="AO1131" s="9"/>
      <c r="AP1131" s="9"/>
      <c r="AQ1131" s="9"/>
      <c r="AR1131" s="9"/>
      <c r="AS1131" s="9"/>
      <c r="AT1131" s="9"/>
      <c r="AU1131" s="9"/>
    </row>
    <row r="1132" spans="1:47" ht="15.75" customHeight="1">
      <c r="A1132" s="9"/>
      <c r="B1132" s="9"/>
      <c r="C1132" s="9"/>
      <c r="D1132" s="9"/>
      <c r="E1132" s="9"/>
      <c r="F1132" s="67"/>
      <c r="G1132" s="9"/>
      <c r="H1132" s="9"/>
      <c r="I1132" s="9"/>
      <c r="J1132" s="9"/>
      <c r="K1132" s="9"/>
      <c r="L1132" s="9"/>
      <c r="M1132" s="9"/>
      <c r="N1132" s="9"/>
      <c r="O1132" s="9"/>
      <c r="P1132" s="9"/>
      <c r="Q1132" s="9"/>
      <c r="R1132" s="9"/>
      <c r="S1132" s="9"/>
      <c r="T1132" s="9"/>
      <c r="U1132" s="9"/>
      <c r="V1132" s="9"/>
      <c r="W1132" s="9"/>
      <c r="X1132" s="9"/>
      <c r="Y1132" s="9"/>
      <c r="Z1132" s="9"/>
      <c r="AA1132" s="9"/>
      <c r="AB1132" s="9"/>
      <c r="AC1132" s="9"/>
      <c r="AD1132" s="9"/>
      <c r="AE1132" s="9"/>
      <c r="AF1132" s="9"/>
      <c r="AG1132" s="9"/>
      <c r="AH1132" s="9"/>
      <c r="AI1132" s="9"/>
      <c r="AJ1132" s="9"/>
      <c r="AK1132" s="9"/>
      <c r="AL1132" s="9"/>
      <c r="AM1132" s="9"/>
      <c r="AN1132" s="9"/>
      <c r="AO1132" s="9"/>
      <c r="AP1132" s="9"/>
      <c r="AQ1132" s="9"/>
      <c r="AR1132" s="9"/>
      <c r="AS1132" s="9"/>
      <c r="AT1132" s="9"/>
      <c r="AU1132" s="9"/>
    </row>
    <row r="1133" spans="1:47" ht="15.75" customHeight="1">
      <c r="A1133" s="9"/>
      <c r="B1133" s="9"/>
      <c r="C1133" s="9"/>
      <c r="D1133" s="9"/>
      <c r="E1133" s="9"/>
      <c r="F1133" s="67"/>
      <c r="G1133" s="9"/>
      <c r="H1133" s="9"/>
      <c r="I1133" s="9"/>
      <c r="J1133" s="9"/>
      <c r="K1133" s="9"/>
      <c r="L1133" s="9"/>
      <c r="M1133" s="9"/>
      <c r="N1133" s="9"/>
      <c r="O1133" s="9"/>
      <c r="P1133" s="9"/>
      <c r="Q1133" s="9"/>
      <c r="R1133" s="9"/>
      <c r="S1133" s="9"/>
      <c r="T1133" s="9"/>
      <c r="U1133" s="9"/>
      <c r="V1133" s="9"/>
      <c r="W1133" s="9"/>
      <c r="X1133" s="9"/>
      <c r="Y1133" s="9"/>
      <c r="Z1133" s="9"/>
      <c r="AA1133" s="9"/>
      <c r="AB1133" s="9"/>
      <c r="AC1133" s="9"/>
      <c r="AD1133" s="9"/>
      <c r="AE1133" s="9"/>
      <c r="AF1133" s="9"/>
      <c r="AG1133" s="9"/>
      <c r="AH1133" s="9"/>
      <c r="AI1133" s="9"/>
      <c r="AJ1133" s="9"/>
      <c r="AK1133" s="9"/>
      <c r="AL1133" s="9"/>
      <c r="AM1133" s="9"/>
      <c r="AN1133" s="9"/>
      <c r="AO1133" s="9"/>
      <c r="AP1133" s="9"/>
      <c r="AQ1133" s="9"/>
      <c r="AR1133" s="9"/>
      <c r="AS1133" s="9"/>
      <c r="AT1133" s="9"/>
      <c r="AU1133" s="9"/>
    </row>
    <row r="1134" spans="1:47" ht="15.75" customHeight="1">
      <c r="A1134" s="9"/>
      <c r="B1134" s="9"/>
      <c r="C1134" s="9"/>
      <c r="D1134" s="9"/>
      <c r="E1134" s="9"/>
      <c r="F1134" s="67"/>
      <c r="G1134" s="9"/>
      <c r="H1134" s="9"/>
      <c r="I1134" s="9"/>
      <c r="J1134" s="9"/>
      <c r="K1134" s="9"/>
      <c r="L1134" s="9"/>
      <c r="M1134" s="9"/>
      <c r="N1134" s="9"/>
      <c r="O1134" s="9"/>
      <c r="P1134" s="9"/>
      <c r="Q1134" s="9"/>
      <c r="R1134" s="9"/>
      <c r="S1134" s="9"/>
      <c r="T1134" s="9"/>
      <c r="U1134" s="9"/>
      <c r="V1134" s="9"/>
      <c r="W1134" s="9"/>
      <c r="X1134" s="9"/>
      <c r="Y1134" s="9"/>
      <c r="Z1134" s="9"/>
      <c r="AA1134" s="9"/>
      <c r="AB1134" s="9"/>
      <c r="AC1134" s="9"/>
      <c r="AD1134" s="9"/>
      <c r="AE1134" s="9"/>
      <c r="AF1134" s="9"/>
      <c r="AG1134" s="9"/>
      <c r="AH1134" s="9"/>
      <c r="AI1134" s="9"/>
      <c r="AJ1134" s="9"/>
      <c r="AK1134" s="9"/>
      <c r="AL1134" s="9"/>
      <c r="AM1134" s="9"/>
      <c r="AN1134" s="9"/>
      <c r="AO1134" s="9"/>
      <c r="AP1134" s="9"/>
      <c r="AQ1134" s="9"/>
      <c r="AR1134" s="9"/>
      <c r="AS1134" s="9"/>
      <c r="AT1134" s="9"/>
      <c r="AU1134" s="9"/>
    </row>
    <row r="1135" spans="1:47" ht="15.75" customHeight="1">
      <c r="A1135" s="9"/>
      <c r="B1135" s="9"/>
      <c r="C1135" s="9"/>
      <c r="D1135" s="9"/>
      <c r="E1135" s="9"/>
      <c r="F1135" s="67"/>
      <c r="G1135" s="9"/>
      <c r="H1135" s="9"/>
      <c r="I1135" s="9"/>
      <c r="J1135" s="9"/>
      <c r="K1135" s="9"/>
      <c r="L1135" s="9"/>
      <c r="M1135" s="9"/>
      <c r="N1135" s="9"/>
      <c r="O1135" s="9"/>
      <c r="P1135" s="9"/>
      <c r="Q1135" s="9"/>
      <c r="R1135" s="9"/>
      <c r="S1135" s="9"/>
      <c r="T1135" s="9"/>
      <c r="U1135" s="9"/>
      <c r="V1135" s="9"/>
      <c r="W1135" s="9"/>
      <c r="X1135" s="9"/>
      <c r="Y1135" s="9"/>
      <c r="Z1135" s="9"/>
      <c r="AA1135" s="9"/>
      <c r="AB1135" s="9"/>
      <c r="AC1135" s="9"/>
      <c r="AD1135" s="9"/>
      <c r="AE1135" s="9"/>
      <c r="AF1135" s="9"/>
      <c r="AG1135" s="9"/>
      <c r="AH1135" s="9"/>
      <c r="AI1135" s="9"/>
      <c r="AJ1135" s="9"/>
      <c r="AK1135" s="9"/>
      <c r="AL1135" s="9"/>
      <c r="AM1135" s="9"/>
      <c r="AN1135" s="9"/>
      <c r="AO1135" s="9"/>
      <c r="AP1135" s="9"/>
      <c r="AQ1135" s="9"/>
      <c r="AR1135" s="9"/>
      <c r="AS1135" s="9"/>
      <c r="AT1135" s="9"/>
      <c r="AU1135" s="9"/>
    </row>
    <row r="1136" spans="1:47" ht="15.75" customHeight="1">
      <c r="A1136" s="9"/>
      <c r="B1136" s="9"/>
      <c r="C1136" s="9"/>
      <c r="D1136" s="9"/>
      <c r="E1136" s="9"/>
      <c r="F1136" s="67"/>
      <c r="G1136" s="9"/>
      <c r="H1136" s="9"/>
      <c r="I1136" s="9"/>
      <c r="J1136" s="9"/>
      <c r="K1136" s="9"/>
      <c r="L1136" s="9"/>
      <c r="M1136" s="9"/>
      <c r="N1136" s="9"/>
      <c r="O1136" s="9"/>
      <c r="P1136" s="9"/>
      <c r="Q1136" s="9"/>
      <c r="R1136" s="9"/>
      <c r="S1136" s="9"/>
      <c r="T1136" s="9"/>
      <c r="U1136" s="9"/>
      <c r="V1136" s="9"/>
      <c r="W1136" s="9"/>
      <c r="X1136" s="9"/>
      <c r="Y1136" s="9"/>
      <c r="Z1136" s="9"/>
      <c r="AA1136" s="9"/>
      <c r="AB1136" s="9"/>
      <c r="AC1136" s="9"/>
      <c r="AD1136" s="9"/>
      <c r="AE1136" s="9"/>
      <c r="AF1136" s="9"/>
      <c r="AG1136" s="9"/>
      <c r="AH1136" s="9"/>
      <c r="AI1136" s="9"/>
      <c r="AJ1136" s="9"/>
      <c r="AK1136" s="9"/>
      <c r="AL1136" s="9"/>
      <c r="AM1136" s="9"/>
      <c r="AN1136" s="9"/>
      <c r="AO1136" s="9"/>
      <c r="AP1136" s="9"/>
      <c r="AQ1136" s="9"/>
      <c r="AR1136" s="9"/>
      <c r="AS1136" s="9"/>
      <c r="AT1136" s="9"/>
      <c r="AU1136" s="9"/>
    </row>
    <row r="1137" spans="1:47" ht="15.75" customHeight="1">
      <c r="A1137" s="9"/>
      <c r="B1137" s="9"/>
      <c r="C1137" s="9"/>
      <c r="D1137" s="9"/>
      <c r="E1137" s="9"/>
      <c r="F1137" s="67"/>
      <c r="G1137" s="9"/>
      <c r="H1137" s="9"/>
      <c r="I1137" s="9"/>
      <c r="J1137" s="9"/>
      <c r="K1137" s="9"/>
      <c r="L1137" s="9"/>
      <c r="M1137" s="9"/>
      <c r="N1137" s="9"/>
      <c r="O1137" s="9"/>
      <c r="P1137" s="9"/>
      <c r="Q1137" s="9"/>
      <c r="R1137" s="9"/>
      <c r="S1137" s="9"/>
      <c r="T1137" s="9"/>
      <c r="U1137" s="9"/>
      <c r="V1137" s="9"/>
      <c r="W1137" s="9"/>
      <c r="X1137" s="9"/>
      <c r="Y1137" s="9"/>
      <c r="Z1137" s="9"/>
      <c r="AA1137" s="9"/>
      <c r="AB1137" s="9"/>
      <c r="AC1137" s="9"/>
      <c r="AD1137" s="9"/>
      <c r="AE1137" s="9"/>
      <c r="AF1137" s="9"/>
      <c r="AG1137" s="9"/>
      <c r="AH1137" s="9"/>
      <c r="AI1137" s="9"/>
      <c r="AJ1137" s="9"/>
      <c r="AK1137" s="9"/>
      <c r="AL1137" s="9"/>
      <c r="AM1137" s="9"/>
      <c r="AN1137" s="9"/>
      <c r="AO1137" s="9"/>
      <c r="AP1137" s="9"/>
      <c r="AQ1137" s="9"/>
      <c r="AR1137" s="9"/>
      <c r="AS1137" s="9"/>
      <c r="AT1137" s="9"/>
      <c r="AU1137" s="9"/>
    </row>
    <row r="1138" spans="1:47" ht="15.75" customHeight="1">
      <c r="A1138" s="9"/>
      <c r="B1138" s="9"/>
      <c r="C1138" s="9"/>
      <c r="D1138" s="9"/>
      <c r="E1138" s="9"/>
      <c r="F1138" s="67"/>
      <c r="G1138" s="9"/>
      <c r="H1138" s="9"/>
      <c r="I1138" s="9"/>
      <c r="J1138" s="9"/>
      <c r="K1138" s="9"/>
      <c r="L1138" s="9"/>
      <c r="M1138" s="9"/>
      <c r="N1138" s="9"/>
      <c r="O1138" s="9"/>
      <c r="P1138" s="9"/>
      <c r="Q1138" s="9"/>
      <c r="R1138" s="9"/>
      <c r="S1138" s="9"/>
      <c r="T1138" s="9"/>
      <c r="U1138" s="9"/>
      <c r="V1138" s="9"/>
      <c r="W1138" s="9"/>
      <c r="X1138" s="9"/>
      <c r="Y1138" s="9"/>
      <c r="Z1138" s="9"/>
      <c r="AA1138" s="9"/>
      <c r="AB1138" s="9"/>
      <c r="AC1138" s="9"/>
      <c r="AD1138" s="9"/>
      <c r="AE1138" s="9"/>
      <c r="AF1138" s="9"/>
      <c r="AG1138" s="9"/>
      <c r="AH1138" s="9"/>
      <c r="AI1138" s="9"/>
      <c r="AJ1138" s="9"/>
      <c r="AK1138" s="9"/>
      <c r="AL1138" s="9"/>
      <c r="AM1138" s="9"/>
      <c r="AN1138" s="9"/>
      <c r="AO1138" s="9"/>
      <c r="AP1138" s="9"/>
      <c r="AQ1138" s="9"/>
      <c r="AR1138" s="9"/>
      <c r="AS1138" s="9"/>
      <c r="AT1138" s="9"/>
      <c r="AU1138" s="9"/>
    </row>
    <row r="1139" spans="1:47" ht="15.75" customHeight="1">
      <c r="A1139" s="9"/>
      <c r="B1139" s="9"/>
      <c r="C1139" s="9"/>
      <c r="D1139" s="9"/>
      <c r="E1139" s="9"/>
      <c r="F1139" s="67"/>
      <c r="G1139" s="9"/>
      <c r="H1139" s="9"/>
      <c r="I1139" s="9"/>
      <c r="J1139" s="9"/>
      <c r="K1139" s="9"/>
      <c r="L1139" s="9"/>
      <c r="M1139" s="9"/>
      <c r="N1139" s="9"/>
      <c r="O1139" s="9"/>
      <c r="P1139" s="9"/>
      <c r="Q1139" s="9"/>
      <c r="R1139" s="9"/>
      <c r="S1139" s="9"/>
      <c r="T1139" s="9"/>
      <c r="U1139" s="9"/>
      <c r="V1139" s="9"/>
      <c r="W1139" s="9"/>
      <c r="X1139" s="9"/>
      <c r="Y1139" s="9"/>
      <c r="Z1139" s="9"/>
      <c r="AA1139" s="9"/>
      <c r="AB1139" s="9"/>
      <c r="AC1139" s="9"/>
      <c r="AD1139" s="9"/>
      <c r="AE1139" s="9"/>
      <c r="AF1139" s="9"/>
      <c r="AG1139" s="9"/>
      <c r="AH1139" s="9"/>
      <c r="AI1139" s="9"/>
      <c r="AJ1139" s="9"/>
      <c r="AK1139" s="9"/>
      <c r="AL1139" s="9"/>
      <c r="AM1139" s="9"/>
      <c r="AN1139" s="9"/>
      <c r="AO1139" s="9"/>
      <c r="AP1139" s="9"/>
      <c r="AQ1139" s="9"/>
      <c r="AR1139" s="9"/>
      <c r="AS1139" s="9"/>
      <c r="AT1139" s="9"/>
      <c r="AU1139" s="9"/>
    </row>
    <row r="1140" spans="1:47" ht="15.75" customHeight="1">
      <c r="A1140" s="9"/>
      <c r="B1140" s="9"/>
      <c r="C1140" s="9"/>
      <c r="D1140" s="9"/>
      <c r="E1140" s="9"/>
      <c r="F1140" s="67"/>
      <c r="G1140" s="9"/>
      <c r="H1140" s="9"/>
      <c r="I1140" s="9"/>
      <c r="J1140" s="9"/>
      <c r="K1140" s="9"/>
      <c r="L1140" s="9"/>
      <c r="M1140" s="9"/>
      <c r="N1140" s="9"/>
      <c r="O1140" s="9"/>
      <c r="P1140" s="9"/>
      <c r="Q1140" s="9"/>
      <c r="R1140" s="9"/>
      <c r="S1140" s="9"/>
      <c r="T1140" s="9"/>
      <c r="U1140" s="9"/>
      <c r="V1140" s="9"/>
      <c r="W1140" s="9"/>
      <c r="X1140" s="9"/>
      <c r="Y1140" s="9"/>
      <c r="Z1140" s="9"/>
      <c r="AA1140" s="9"/>
      <c r="AB1140" s="9"/>
      <c r="AC1140" s="9"/>
      <c r="AD1140" s="9"/>
      <c r="AE1140" s="9"/>
      <c r="AF1140" s="9"/>
      <c r="AG1140" s="9"/>
      <c r="AH1140" s="9"/>
      <c r="AI1140" s="9"/>
      <c r="AJ1140" s="9"/>
      <c r="AK1140" s="9"/>
      <c r="AL1140" s="9"/>
      <c r="AM1140" s="9"/>
      <c r="AN1140" s="9"/>
      <c r="AO1140" s="9"/>
      <c r="AP1140" s="9"/>
      <c r="AQ1140" s="9"/>
      <c r="AR1140" s="9"/>
      <c r="AS1140" s="9"/>
      <c r="AT1140" s="9"/>
      <c r="AU1140" s="9"/>
    </row>
    <row r="1141" spans="1:47" ht="15.75" customHeight="1">
      <c r="A1141" s="9"/>
      <c r="B1141" s="9"/>
      <c r="C1141" s="9"/>
      <c r="D1141" s="9"/>
      <c r="E1141" s="9"/>
      <c r="F1141" s="67"/>
      <c r="G1141" s="9"/>
      <c r="H1141" s="9"/>
      <c r="I1141" s="9"/>
      <c r="J1141" s="9"/>
      <c r="K1141" s="9"/>
      <c r="L1141" s="9"/>
      <c r="M1141" s="9"/>
      <c r="N1141" s="9"/>
      <c r="O1141" s="9"/>
      <c r="P1141" s="9"/>
      <c r="Q1141" s="9"/>
      <c r="R1141" s="9"/>
      <c r="S1141" s="9"/>
      <c r="T1141" s="9"/>
      <c r="U1141" s="9"/>
      <c r="V1141" s="9"/>
      <c r="W1141" s="9"/>
      <c r="X1141" s="9"/>
      <c r="Y1141" s="9"/>
      <c r="Z1141" s="9"/>
      <c r="AA1141" s="9"/>
      <c r="AB1141" s="9"/>
      <c r="AC1141" s="9"/>
      <c r="AD1141" s="9"/>
      <c r="AE1141" s="9"/>
      <c r="AF1141" s="9"/>
      <c r="AG1141" s="9"/>
      <c r="AH1141" s="9"/>
      <c r="AI1141" s="9"/>
      <c r="AJ1141" s="9"/>
      <c r="AK1141" s="9"/>
      <c r="AL1141" s="9"/>
      <c r="AM1141" s="9"/>
      <c r="AN1141" s="9"/>
      <c r="AO1141" s="9"/>
      <c r="AP1141" s="9"/>
      <c r="AQ1141" s="9"/>
      <c r="AR1141" s="9"/>
      <c r="AS1141" s="9"/>
      <c r="AT1141" s="9"/>
      <c r="AU1141" s="9"/>
    </row>
    <row r="1142" spans="1:47" ht="15.75" customHeight="1">
      <c r="A1142" s="9"/>
      <c r="B1142" s="9"/>
      <c r="C1142" s="9"/>
      <c r="D1142" s="9"/>
      <c r="E1142" s="9"/>
      <c r="F1142" s="67"/>
      <c r="G1142" s="9"/>
      <c r="H1142" s="9"/>
      <c r="I1142" s="9"/>
      <c r="J1142" s="9"/>
      <c r="K1142" s="9"/>
      <c r="L1142" s="9"/>
      <c r="M1142" s="9"/>
      <c r="N1142" s="9"/>
      <c r="O1142" s="9"/>
      <c r="P1142" s="9"/>
      <c r="Q1142" s="9"/>
      <c r="R1142" s="9"/>
      <c r="S1142" s="9"/>
      <c r="T1142" s="9"/>
      <c r="U1142" s="9"/>
      <c r="V1142" s="9"/>
      <c r="W1142" s="9"/>
      <c r="X1142" s="9"/>
      <c r="Y1142" s="9"/>
      <c r="Z1142" s="9"/>
      <c r="AA1142" s="9"/>
      <c r="AB1142" s="9"/>
      <c r="AC1142" s="9"/>
      <c r="AD1142" s="9"/>
      <c r="AE1142" s="9"/>
      <c r="AF1142" s="9"/>
      <c r="AG1142" s="9"/>
      <c r="AH1142" s="9"/>
      <c r="AI1142" s="9"/>
      <c r="AJ1142" s="9"/>
      <c r="AK1142" s="9"/>
      <c r="AL1142" s="9"/>
      <c r="AM1142" s="9"/>
      <c r="AN1142" s="9"/>
      <c r="AO1142" s="9"/>
      <c r="AP1142" s="9"/>
      <c r="AQ1142" s="9"/>
      <c r="AR1142" s="9"/>
      <c r="AS1142" s="9"/>
      <c r="AT1142" s="9"/>
      <c r="AU1142" s="9"/>
    </row>
    <row r="1143" spans="1:47" ht="15.75" customHeight="1">
      <c r="A1143" s="9"/>
      <c r="B1143" s="9"/>
      <c r="C1143" s="9"/>
      <c r="D1143" s="9"/>
      <c r="E1143" s="9"/>
      <c r="F1143" s="67"/>
      <c r="G1143" s="9"/>
      <c r="H1143" s="9"/>
      <c r="I1143" s="9"/>
      <c r="J1143" s="9"/>
      <c r="K1143" s="9"/>
      <c r="L1143" s="9"/>
      <c r="M1143" s="9"/>
      <c r="N1143" s="9"/>
      <c r="O1143" s="9"/>
      <c r="P1143" s="9"/>
      <c r="Q1143" s="9"/>
      <c r="R1143" s="9"/>
      <c r="S1143" s="9"/>
      <c r="T1143" s="9"/>
      <c r="U1143" s="9"/>
      <c r="V1143" s="9"/>
      <c r="W1143" s="9"/>
      <c r="X1143" s="9"/>
      <c r="Y1143" s="9"/>
      <c r="Z1143" s="9"/>
      <c r="AA1143" s="9"/>
      <c r="AB1143" s="9"/>
      <c r="AC1143" s="9"/>
      <c r="AD1143" s="9"/>
      <c r="AE1143" s="9"/>
      <c r="AF1143" s="9"/>
      <c r="AG1143" s="9"/>
      <c r="AH1143" s="9"/>
      <c r="AI1143" s="9"/>
      <c r="AJ1143" s="9"/>
      <c r="AK1143" s="9"/>
      <c r="AL1143" s="9"/>
      <c r="AM1143" s="9"/>
      <c r="AN1143" s="9"/>
      <c r="AO1143" s="9"/>
      <c r="AP1143" s="9"/>
      <c r="AQ1143" s="9"/>
      <c r="AR1143" s="9"/>
      <c r="AS1143" s="9"/>
      <c r="AT1143" s="9"/>
      <c r="AU1143" s="9"/>
    </row>
    <row r="1144" spans="1:47" ht="15.75" customHeight="1">
      <c r="A1144" s="9"/>
      <c r="B1144" s="9"/>
      <c r="C1144" s="9"/>
      <c r="D1144" s="9"/>
      <c r="E1144" s="9"/>
      <c r="F1144" s="67"/>
      <c r="G1144" s="9"/>
      <c r="H1144" s="9"/>
      <c r="I1144" s="9"/>
      <c r="J1144" s="9"/>
      <c r="K1144" s="9"/>
      <c r="L1144" s="9"/>
      <c r="M1144" s="9"/>
      <c r="N1144" s="9"/>
      <c r="O1144" s="9"/>
      <c r="P1144" s="9"/>
      <c r="Q1144" s="9"/>
      <c r="R1144" s="9"/>
      <c r="S1144" s="9"/>
      <c r="T1144" s="9"/>
      <c r="U1144" s="9"/>
      <c r="V1144" s="9"/>
      <c r="W1144" s="9"/>
      <c r="X1144" s="9"/>
      <c r="Y1144" s="9"/>
      <c r="Z1144" s="9"/>
      <c r="AA1144" s="9"/>
      <c r="AB1144" s="9"/>
      <c r="AC1144" s="9"/>
      <c r="AD1144" s="9"/>
      <c r="AE1144" s="9"/>
      <c r="AF1144" s="9"/>
      <c r="AG1144" s="9"/>
      <c r="AH1144" s="9"/>
      <c r="AI1144" s="9"/>
      <c r="AJ1144" s="9"/>
      <c r="AK1144" s="9"/>
      <c r="AL1144" s="9"/>
      <c r="AM1144" s="9"/>
      <c r="AN1144" s="9"/>
      <c r="AO1144" s="9"/>
      <c r="AP1144" s="9"/>
      <c r="AQ1144" s="9"/>
      <c r="AR1144" s="9"/>
      <c r="AS1144" s="9"/>
      <c r="AT1144" s="9"/>
      <c r="AU1144" s="9"/>
    </row>
    <row r="1145" spans="1:47" ht="15.75" customHeight="1">
      <c r="A1145" s="9"/>
      <c r="B1145" s="9"/>
      <c r="C1145" s="9"/>
      <c r="D1145" s="9"/>
      <c r="E1145" s="9"/>
      <c r="F1145" s="67"/>
      <c r="G1145" s="9"/>
      <c r="H1145" s="9"/>
      <c r="I1145" s="9"/>
      <c r="J1145" s="9"/>
      <c r="K1145" s="9"/>
      <c r="L1145" s="9"/>
      <c r="M1145" s="9"/>
      <c r="N1145" s="9"/>
      <c r="O1145" s="9"/>
      <c r="P1145" s="9"/>
      <c r="Q1145" s="9"/>
      <c r="R1145" s="9"/>
      <c r="S1145" s="9"/>
      <c r="T1145" s="9"/>
      <c r="U1145" s="9"/>
      <c r="V1145" s="9"/>
      <c r="W1145" s="9"/>
      <c r="X1145" s="9"/>
      <c r="Y1145" s="9"/>
      <c r="Z1145" s="9"/>
      <c r="AA1145" s="9"/>
      <c r="AB1145" s="9"/>
      <c r="AC1145" s="9"/>
      <c r="AD1145" s="9"/>
      <c r="AE1145" s="9"/>
      <c r="AF1145" s="9"/>
      <c r="AG1145" s="9"/>
      <c r="AH1145" s="9"/>
      <c r="AI1145" s="9"/>
      <c r="AJ1145" s="9"/>
      <c r="AK1145" s="9"/>
      <c r="AL1145" s="9"/>
      <c r="AM1145" s="9"/>
      <c r="AN1145" s="9"/>
      <c r="AO1145" s="9"/>
      <c r="AP1145" s="9"/>
      <c r="AQ1145" s="9"/>
      <c r="AR1145" s="9"/>
      <c r="AS1145" s="9"/>
      <c r="AT1145" s="9"/>
      <c r="AU1145" s="9"/>
    </row>
    <row r="1146" spans="1:47" ht="15.75" customHeight="1">
      <c r="A1146" s="9"/>
      <c r="B1146" s="9"/>
      <c r="C1146" s="9"/>
      <c r="D1146" s="9"/>
      <c r="E1146" s="9"/>
      <c r="F1146" s="67"/>
      <c r="G1146" s="9"/>
      <c r="H1146" s="9"/>
      <c r="I1146" s="9"/>
      <c r="J1146" s="9"/>
      <c r="K1146" s="9"/>
      <c r="L1146" s="9"/>
      <c r="M1146" s="9"/>
      <c r="N1146" s="9"/>
      <c r="O1146" s="9"/>
      <c r="P1146" s="9"/>
      <c r="Q1146" s="9"/>
      <c r="R1146" s="9"/>
      <c r="S1146" s="9"/>
      <c r="T1146" s="9"/>
      <c r="U1146" s="9"/>
      <c r="V1146" s="9"/>
      <c r="W1146" s="9"/>
      <c r="X1146" s="9"/>
      <c r="Y1146" s="9"/>
      <c r="Z1146" s="9"/>
      <c r="AA1146" s="9"/>
      <c r="AB1146" s="9"/>
      <c r="AC1146" s="9"/>
      <c r="AD1146" s="9"/>
      <c r="AE1146" s="9"/>
      <c r="AF1146" s="9"/>
      <c r="AG1146" s="9"/>
      <c r="AH1146" s="9"/>
      <c r="AI1146" s="9"/>
      <c r="AJ1146" s="9"/>
      <c r="AK1146" s="9"/>
      <c r="AL1146" s="9"/>
      <c r="AM1146" s="9"/>
      <c r="AN1146" s="9"/>
      <c r="AO1146" s="9"/>
      <c r="AP1146" s="9"/>
      <c r="AQ1146" s="9"/>
      <c r="AR1146" s="9"/>
      <c r="AS1146" s="9"/>
      <c r="AT1146" s="9"/>
      <c r="AU1146" s="9"/>
    </row>
    <row r="1147" spans="1:47" ht="15.75" customHeight="1">
      <c r="A1147" s="9"/>
      <c r="B1147" s="9"/>
      <c r="C1147" s="9"/>
      <c r="D1147" s="9"/>
      <c r="E1147" s="9"/>
      <c r="F1147" s="67"/>
      <c r="G1147" s="9"/>
      <c r="H1147" s="9"/>
      <c r="I1147" s="9"/>
      <c r="J1147" s="9"/>
      <c r="K1147" s="9"/>
      <c r="L1147" s="9"/>
      <c r="M1147" s="9"/>
      <c r="N1147" s="9"/>
      <c r="O1147" s="9"/>
      <c r="P1147" s="9"/>
      <c r="Q1147" s="9"/>
      <c r="R1147" s="9"/>
      <c r="S1147" s="9"/>
      <c r="T1147" s="9"/>
      <c r="U1147" s="9"/>
      <c r="V1147" s="9"/>
      <c r="W1147" s="9"/>
      <c r="X1147" s="9"/>
      <c r="Y1147" s="9"/>
      <c r="Z1147" s="9"/>
      <c r="AA1147" s="9"/>
      <c r="AB1147" s="9"/>
      <c r="AC1147" s="9"/>
      <c r="AD1147" s="9"/>
      <c r="AE1147" s="9"/>
      <c r="AF1147" s="9"/>
      <c r="AG1147" s="9"/>
      <c r="AH1147" s="9"/>
      <c r="AI1147" s="9"/>
      <c r="AJ1147" s="9"/>
      <c r="AK1147" s="9"/>
      <c r="AL1147" s="9"/>
      <c r="AM1147" s="9"/>
      <c r="AN1147" s="9"/>
      <c r="AO1147" s="9"/>
      <c r="AP1147" s="9"/>
      <c r="AQ1147" s="9"/>
      <c r="AR1147" s="9"/>
      <c r="AS1147" s="9"/>
      <c r="AT1147" s="9"/>
      <c r="AU1147" s="9"/>
    </row>
    <row r="1148" spans="1:47" ht="15.75" customHeight="1">
      <c r="A1148" s="9"/>
      <c r="B1148" s="9"/>
      <c r="C1148" s="9"/>
      <c r="D1148" s="9"/>
      <c r="E1148" s="9"/>
      <c r="F1148" s="67"/>
      <c r="G1148" s="9"/>
      <c r="H1148" s="9"/>
      <c r="I1148" s="9"/>
      <c r="J1148" s="9"/>
      <c r="K1148" s="9"/>
      <c r="L1148" s="9"/>
      <c r="M1148" s="9"/>
      <c r="N1148" s="9"/>
      <c r="O1148" s="9"/>
      <c r="P1148" s="9"/>
      <c r="Q1148" s="9"/>
      <c r="R1148" s="9"/>
      <c r="S1148" s="9"/>
      <c r="T1148" s="9"/>
      <c r="U1148" s="9"/>
      <c r="V1148" s="9"/>
      <c r="W1148" s="9"/>
      <c r="X1148" s="9"/>
      <c r="Y1148" s="9"/>
      <c r="Z1148" s="9"/>
      <c r="AA1148" s="9"/>
      <c r="AB1148" s="9"/>
      <c r="AC1148" s="9"/>
      <c r="AD1148" s="9"/>
      <c r="AE1148" s="9"/>
      <c r="AF1148" s="9"/>
      <c r="AG1148" s="9"/>
      <c r="AH1148" s="9"/>
      <c r="AI1148" s="9"/>
      <c r="AJ1148" s="9"/>
      <c r="AK1148" s="9"/>
      <c r="AL1148" s="9"/>
      <c r="AM1148" s="9"/>
      <c r="AN1148" s="9"/>
      <c r="AO1148" s="9"/>
      <c r="AP1148" s="9"/>
      <c r="AQ1148" s="9"/>
      <c r="AR1148" s="9"/>
      <c r="AS1148" s="9"/>
      <c r="AT1148" s="9"/>
      <c r="AU1148" s="9"/>
    </row>
    <row r="1149" spans="1:47" ht="15.75" customHeight="1">
      <c r="A1149" s="9"/>
      <c r="B1149" s="9"/>
      <c r="C1149" s="9"/>
      <c r="D1149" s="9"/>
      <c r="E1149" s="9"/>
      <c r="F1149" s="67"/>
      <c r="G1149" s="9"/>
      <c r="H1149" s="9"/>
      <c r="I1149" s="9"/>
      <c r="J1149" s="9"/>
      <c r="K1149" s="9"/>
      <c r="L1149" s="9"/>
      <c r="M1149" s="9"/>
      <c r="N1149" s="9"/>
      <c r="O1149" s="9"/>
      <c r="P1149" s="9"/>
      <c r="Q1149" s="9"/>
      <c r="R1149" s="9"/>
      <c r="S1149" s="9"/>
      <c r="T1149" s="9"/>
      <c r="U1149" s="9"/>
      <c r="V1149" s="9"/>
      <c r="W1149" s="9"/>
      <c r="X1149" s="9"/>
      <c r="Y1149" s="9"/>
      <c r="Z1149" s="9"/>
      <c r="AA1149" s="9"/>
      <c r="AB1149" s="9"/>
      <c r="AC1149" s="9"/>
      <c r="AD1149" s="9"/>
      <c r="AE1149" s="9"/>
      <c r="AF1149" s="9"/>
      <c r="AG1149" s="9"/>
      <c r="AH1149" s="9"/>
      <c r="AI1149" s="9"/>
      <c r="AJ1149" s="9"/>
      <c r="AK1149" s="9"/>
      <c r="AL1149" s="9"/>
      <c r="AM1149" s="9"/>
      <c r="AN1149" s="9"/>
      <c r="AO1149" s="9"/>
      <c r="AP1149" s="9"/>
      <c r="AQ1149" s="9"/>
      <c r="AR1149" s="9"/>
      <c r="AS1149" s="9"/>
      <c r="AT1149" s="9"/>
      <c r="AU1149" s="9"/>
    </row>
    <row r="1150" spans="1:47" ht="15.75" customHeight="1">
      <c r="A1150" s="9"/>
      <c r="B1150" s="9"/>
      <c r="C1150" s="9"/>
      <c r="D1150" s="9"/>
      <c r="E1150" s="9"/>
      <c r="F1150" s="67"/>
      <c r="G1150" s="9"/>
      <c r="H1150" s="9"/>
      <c r="I1150" s="9"/>
      <c r="J1150" s="9"/>
      <c r="K1150" s="9"/>
      <c r="L1150" s="9"/>
      <c r="M1150" s="9"/>
      <c r="N1150" s="9"/>
      <c r="O1150" s="9"/>
      <c r="P1150" s="9"/>
      <c r="Q1150" s="9"/>
      <c r="R1150" s="9"/>
      <c r="S1150" s="9"/>
      <c r="T1150" s="9"/>
      <c r="U1150" s="9"/>
      <c r="V1150" s="9"/>
      <c r="W1150" s="9"/>
      <c r="X1150" s="9"/>
      <c r="Y1150" s="9"/>
      <c r="Z1150" s="9"/>
      <c r="AA1150" s="9"/>
      <c r="AB1150" s="9"/>
      <c r="AC1150" s="9"/>
      <c r="AD1150" s="9"/>
      <c r="AE1150" s="9"/>
      <c r="AF1150" s="9"/>
      <c r="AG1150" s="9"/>
      <c r="AH1150" s="9"/>
      <c r="AI1150" s="9"/>
      <c r="AJ1150" s="9"/>
      <c r="AK1150" s="9"/>
      <c r="AL1150" s="9"/>
      <c r="AM1150" s="9"/>
      <c r="AN1150" s="9"/>
      <c r="AO1150" s="9"/>
      <c r="AP1150" s="9"/>
      <c r="AQ1150" s="9"/>
      <c r="AR1150" s="9"/>
      <c r="AS1150" s="9"/>
      <c r="AT1150" s="9"/>
      <c r="AU1150" s="9"/>
    </row>
    <row r="1151" spans="1:47" ht="15.75" customHeight="1">
      <c r="A1151" s="9"/>
      <c r="B1151" s="9"/>
      <c r="C1151" s="9"/>
      <c r="D1151" s="9"/>
      <c r="E1151" s="9"/>
      <c r="F1151" s="67"/>
      <c r="G1151" s="9"/>
      <c r="H1151" s="9"/>
      <c r="I1151" s="9"/>
      <c r="J1151" s="9"/>
      <c r="K1151" s="9"/>
      <c r="L1151" s="9"/>
      <c r="M1151" s="9"/>
      <c r="N1151" s="9"/>
      <c r="O1151" s="9"/>
      <c r="P1151" s="9"/>
      <c r="Q1151" s="9"/>
      <c r="R1151" s="9"/>
      <c r="S1151" s="9"/>
      <c r="T1151" s="9"/>
      <c r="U1151" s="9"/>
      <c r="V1151" s="9"/>
      <c r="W1151" s="9"/>
      <c r="X1151" s="9"/>
      <c r="Y1151" s="9"/>
      <c r="Z1151" s="9"/>
      <c r="AA1151" s="9"/>
      <c r="AB1151" s="9"/>
      <c r="AC1151" s="9"/>
      <c r="AD1151" s="9"/>
      <c r="AE1151" s="9"/>
      <c r="AF1151" s="9"/>
      <c r="AG1151" s="9"/>
      <c r="AH1151" s="9"/>
      <c r="AI1151" s="9"/>
      <c r="AJ1151" s="9"/>
      <c r="AK1151" s="9"/>
      <c r="AL1151" s="9"/>
      <c r="AM1151" s="9"/>
      <c r="AN1151" s="9"/>
      <c r="AO1151" s="9"/>
      <c r="AP1151" s="9"/>
      <c r="AQ1151" s="9"/>
      <c r="AR1151" s="9"/>
      <c r="AS1151" s="9"/>
      <c r="AT1151" s="9"/>
      <c r="AU1151" s="9"/>
    </row>
    <row r="1152" spans="1:47" ht="15.75" customHeight="1">
      <c r="A1152" s="9"/>
      <c r="B1152" s="9"/>
      <c r="C1152" s="9"/>
      <c r="D1152" s="9"/>
      <c r="E1152" s="9"/>
      <c r="F1152" s="67"/>
      <c r="G1152" s="9"/>
      <c r="H1152" s="9"/>
      <c r="I1152" s="9"/>
      <c r="J1152" s="9"/>
      <c r="K1152" s="9"/>
      <c r="L1152" s="9"/>
      <c r="M1152" s="9"/>
      <c r="N1152" s="9"/>
      <c r="O1152" s="9"/>
      <c r="P1152" s="9"/>
      <c r="Q1152" s="9"/>
      <c r="R1152" s="9"/>
      <c r="S1152" s="9"/>
      <c r="T1152" s="9"/>
      <c r="U1152" s="9"/>
      <c r="V1152" s="9"/>
      <c r="W1152" s="9"/>
      <c r="X1152" s="9"/>
      <c r="Y1152" s="9"/>
      <c r="Z1152" s="9"/>
      <c r="AA1152" s="9"/>
      <c r="AB1152" s="9"/>
      <c r="AC1152" s="9"/>
      <c r="AD1152" s="9"/>
      <c r="AE1152" s="9"/>
      <c r="AF1152" s="9"/>
      <c r="AG1152" s="9"/>
      <c r="AH1152" s="9"/>
      <c r="AI1152" s="9"/>
      <c r="AJ1152" s="9"/>
      <c r="AK1152" s="9"/>
      <c r="AL1152" s="9"/>
      <c r="AM1152" s="9"/>
      <c r="AN1152" s="9"/>
      <c r="AO1152" s="9"/>
      <c r="AP1152" s="9"/>
      <c r="AQ1152" s="9"/>
      <c r="AR1152" s="9"/>
      <c r="AS1152" s="9"/>
      <c r="AT1152" s="9"/>
      <c r="AU1152" s="9"/>
    </row>
    <row r="1153" spans="1:47" ht="15.75" customHeight="1">
      <c r="A1153" s="9"/>
      <c r="B1153" s="9"/>
      <c r="C1153" s="9"/>
      <c r="D1153" s="9"/>
      <c r="E1153" s="9"/>
      <c r="F1153" s="67"/>
      <c r="G1153" s="9"/>
      <c r="H1153" s="9"/>
      <c r="I1153" s="9"/>
      <c r="J1153" s="9"/>
      <c r="K1153" s="9"/>
      <c r="L1153" s="9"/>
      <c r="M1153" s="9"/>
      <c r="N1153" s="9"/>
      <c r="O1153" s="9"/>
      <c r="P1153" s="9"/>
      <c r="Q1153" s="9"/>
      <c r="R1153" s="9"/>
      <c r="S1153" s="9"/>
      <c r="T1153" s="9"/>
      <c r="U1153" s="9"/>
      <c r="V1153" s="9"/>
      <c r="W1153" s="9"/>
      <c r="X1153" s="9"/>
      <c r="Y1153" s="9"/>
      <c r="Z1153" s="9"/>
      <c r="AA1153" s="9"/>
      <c r="AB1153" s="9"/>
      <c r="AC1153" s="9"/>
      <c r="AD1153" s="9"/>
      <c r="AE1153" s="9"/>
      <c r="AF1153" s="9"/>
      <c r="AG1153" s="9"/>
      <c r="AH1153" s="9"/>
      <c r="AI1153" s="9"/>
      <c r="AJ1153" s="9"/>
      <c r="AK1153" s="9"/>
      <c r="AL1153" s="9"/>
      <c r="AM1153" s="9"/>
      <c r="AN1153" s="9"/>
      <c r="AO1153" s="9"/>
      <c r="AP1153" s="9"/>
      <c r="AQ1153" s="9"/>
      <c r="AR1153" s="9"/>
      <c r="AS1153" s="9"/>
      <c r="AT1153" s="9"/>
      <c r="AU1153" s="9"/>
    </row>
    <row r="1154" spans="1:47" ht="15.75" customHeight="1">
      <c r="A1154" s="9"/>
      <c r="B1154" s="9"/>
      <c r="C1154" s="9"/>
      <c r="D1154" s="9"/>
      <c r="E1154" s="9"/>
      <c r="F1154" s="67"/>
      <c r="G1154" s="9"/>
      <c r="H1154" s="9"/>
      <c r="I1154" s="9"/>
      <c r="J1154" s="9"/>
      <c r="K1154" s="9"/>
      <c r="L1154" s="9"/>
      <c r="M1154" s="9"/>
      <c r="N1154" s="9"/>
      <c r="O1154" s="9"/>
      <c r="P1154" s="9"/>
      <c r="Q1154" s="9"/>
      <c r="R1154" s="9"/>
      <c r="S1154" s="9"/>
      <c r="T1154" s="9"/>
      <c r="U1154" s="9"/>
      <c r="V1154" s="9"/>
      <c r="W1154" s="9"/>
      <c r="X1154" s="9"/>
      <c r="Y1154" s="9"/>
      <c r="Z1154" s="9"/>
      <c r="AA1154" s="9"/>
      <c r="AB1154" s="9"/>
      <c r="AC1154" s="9"/>
      <c r="AD1154" s="9"/>
      <c r="AE1154" s="9"/>
      <c r="AF1154" s="9"/>
      <c r="AG1154" s="9"/>
      <c r="AH1154" s="9"/>
      <c r="AI1154" s="9"/>
      <c r="AJ1154" s="9"/>
      <c r="AK1154" s="9"/>
      <c r="AL1154" s="9"/>
      <c r="AM1154" s="9"/>
      <c r="AN1154" s="9"/>
      <c r="AO1154" s="9"/>
      <c r="AP1154" s="9"/>
      <c r="AQ1154" s="9"/>
      <c r="AR1154" s="9"/>
      <c r="AS1154" s="9"/>
      <c r="AT1154" s="9"/>
      <c r="AU1154" s="9"/>
    </row>
    <row r="1155" spans="1:47" ht="15.75" customHeight="1">
      <c r="A1155" s="9"/>
      <c r="B1155" s="9"/>
      <c r="C1155" s="9"/>
      <c r="D1155" s="9"/>
      <c r="E1155" s="9"/>
      <c r="F1155" s="67"/>
      <c r="G1155" s="9"/>
      <c r="H1155" s="9"/>
      <c r="I1155" s="9"/>
      <c r="J1155" s="9"/>
      <c r="K1155" s="9"/>
      <c r="L1155" s="9"/>
      <c r="M1155" s="9"/>
      <c r="N1155" s="9"/>
      <c r="O1155" s="9"/>
      <c r="P1155" s="9"/>
      <c r="Q1155" s="9"/>
      <c r="R1155" s="9"/>
      <c r="S1155" s="9"/>
      <c r="T1155" s="9"/>
      <c r="U1155" s="9"/>
      <c r="V1155" s="9"/>
      <c r="W1155" s="9"/>
      <c r="X1155" s="9"/>
      <c r="Y1155" s="9"/>
      <c r="Z1155" s="9"/>
      <c r="AA1155" s="9"/>
      <c r="AB1155" s="9"/>
      <c r="AC1155" s="9"/>
      <c r="AD1155" s="9"/>
      <c r="AE1155" s="9"/>
      <c r="AF1155" s="9"/>
      <c r="AG1155" s="9"/>
      <c r="AH1155" s="9"/>
      <c r="AI1155" s="9"/>
      <c r="AJ1155" s="9"/>
      <c r="AK1155" s="9"/>
      <c r="AL1155" s="9"/>
      <c r="AM1155" s="9"/>
      <c r="AN1155" s="9"/>
      <c r="AO1155" s="9"/>
      <c r="AP1155" s="9"/>
      <c r="AQ1155" s="9"/>
      <c r="AR1155" s="9"/>
      <c r="AS1155" s="9"/>
      <c r="AT1155" s="9"/>
      <c r="AU1155" s="9"/>
    </row>
    <row r="1156" spans="1:47" ht="15.75" customHeight="1">
      <c r="A1156" s="9"/>
      <c r="B1156" s="9"/>
      <c r="C1156" s="9"/>
      <c r="D1156" s="9"/>
      <c r="E1156" s="9"/>
      <c r="F1156" s="67"/>
      <c r="G1156" s="9"/>
      <c r="H1156" s="9"/>
      <c r="I1156" s="9"/>
      <c r="J1156" s="9"/>
      <c r="K1156" s="9"/>
      <c r="L1156" s="9"/>
      <c r="M1156" s="9"/>
      <c r="N1156" s="9"/>
      <c r="O1156" s="9"/>
      <c r="P1156" s="9"/>
      <c r="Q1156" s="9"/>
      <c r="R1156" s="9"/>
      <c r="S1156" s="9"/>
      <c r="T1156" s="9"/>
      <c r="U1156" s="9"/>
      <c r="V1156" s="9"/>
      <c r="W1156" s="9"/>
      <c r="X1156" s="9"/>
      <c r="Y1156" s="9"/>
      <c r="Z1156" s="9"/>
      <c r="AA1156" s="9"/>
      <c r="AB1156" s="9"/>
      <c r="AC1156" s="9"/>
      <c r="AD1156" s="9"/>
      <c r="AE1156" s="9"/>
      <c r="AF1156" s="9"/>
      <c r="AG1156" s="9"/>
      <c r="AH1156" s="9"/>
      <c r="AI1156" s="9"/>
      <c r="AJ1156" s="9"/>
      <c r="AK1156" s="9"/>
      <c r="AL1156" s="9"/>
      <c r="AM1156" s="9"/>
      <c r="AN1156" s="9"/>
      <c r="AO1156" s="9"/>
      <c r="AP1156" s="9"/>
      <c r="AQ1156" s="9"/>
      <c r="AR1156" s="9"/>
      <c r="AS1156" s="9"/>
      <c r="AT1156" s="9"/>
      <c r="AU1156" s="9"/>
    </row>
    <row r="1157" spans="1:47" ht="15.75" customHeight="1">
      <c r="A1157" s="9"/>
      <c r="B1157" s="9"/>
      <c r="C1157" s="9"/>
      <c r="D1157" s="9"/>
      <c r="E1157" s="9"/>
      <c r="F1157" s="67"/>
      <c r="G1157" s="9"/>
      <c r="H1157" s="9"/>
      <c r="I1157" s="9"/>
      <c r="J1157" s="9"/>
      <c r="K1157" s="9"/>
      <c r="L1157" s="9"/>
      <c r="M1157" s="9"/>
      <c r="N1157" s="9"/>
      <c r="O1157" s="9"/>
      <c r="P1157" s="9"/>
      <c r="Q1157" s="9"/>
      <c r="R1157" s="9"/>
      <c r="S1157" s="9"/>
      <c r="T1157" s="9"/>
      <c r="U1157" s="9"/>
      <c r="V1157" s="9"/>
      <c r="W1157" s="9"/>
      <c r="X1157" s="9"/>
      <c r="Y1157" s="9"/>
      <c r="Z1157" s="9"/>
      <c r="AA1157" s="9"/>
      <c r="AB1157" s="9"/>
      <c r="AC1157" s="9"/>
      <c r="AD1157" s="9"/>
      <c r="AE1157" s="9"/>
      <c r="AF1157" s="9"/>
      <c r="AG1157" s="9"/>
      <c r="AH1157" s="9"/>
      <c r="AI1157" s="9"/>
      <c r="AJ1157" s="9"/>
      <c r="AK1157" s="9"/>
      <c r="AL1157" s="9"/>
      <c r="AM1157" s="9"/>
      <c r="AN1157" s="9"/>
      <c r="AO1157" s="9"/>
      <c r="AP1157" s="9"/>
      <c r="AQ1157" s="9"/>
      <c r="AR1157" s="9"/>
      <c r="AS1157" s="9"/>
      <c r="AT1157" s="9"/>
      <c r="AU1157" s="9"/>
    </row>
    <row r="1158" spans="1:47" ht="15.75" customHeight="1">
      <c r="A1158" s="9"/>
      <c r="B1158" s="9"/>
      <c r="C1158" s="9"/>
      <c r="D1158" s="9"/>
      <c r="E1158" s="9"/>
      <c r="F1158" s="67"/>
      <c r="G1158" s="9"/>
      <c r="H1158" s="9"/>
      <c r="I1158" s="9"/>
      <c r="J1158" s="9"/>
      <c r="K1158" s="9"/>
      <c r="L1158" s="9"/>
      <c r="M1158" s="9"/>
      <c r="N1158" s="9"/>
      <c r="O1158" s="9"/>
      <c r="P1158" s="9"/>
      <c r="Q1158" s="9"/>
      <c r="R1158" s="9"/>
      <c r="S1158" s="9"/>
      <c r="T1158" s="9"/>
      <c r="U1158" s="9"/>
      <c r="V1158" s="9"/>
      <c r="W1158" s="9"/>
      <c r="X1158" s="9"/>
      <c r="Y1158" s="9"/>
      <c r="Z1158" s="9"/>
      <c r="AA1158" s="9"/>
      <c r="AB1158" s="9"/>
      <c r="AC1158" s="9"/>
      <c r="AD1158" s="9"/>
      <c r="AE1158" s="9"/>
      <c r="AF1158" s="9"/>
      <c r="AG1158" s="9"/>
      <c r="AH1158" s="9"/>
      <c r="AI1158" s="9"/>
      <c r="AJ1158" s="9"/>
      <c r="AK1158" s="9"/>
      <c r="AL1158" s="9"/>
      <c r="AM1158" s="9"/>
      <c r="AN1158" s="9"/>
      <c r="AO1158" s="9"/>
      <c r="AP1158" s="9"/>
      <c r="AQ1158" s="9"/>
      <c r="AR1158" s="9"/>
      <c r="AS1158" s="9"/>
      <c r="AT1158" s="9"/>
      <c r="AU1158" s="9"/>
    </row>
    <row r="1159" spans="1:47" ht="15.75" customHeight="1">
      <c r="A1159" s="9"/>
      <c r="B1159" s="9"/>
      <c r="C1159" s="9"/>
      <c r="D1159" s="9"/>
      <c r="E1159" s="9"/>
      <c r="F1159" s="67"/>
      <c r="G1159" s="9"/>
      <c r="H1159" s="9"/>
      <c r="I1159" s="9"/>
      <c r="J1159" s="9"/>
      <c r="K1159" s="9"/>
      <c r="L1159" s="9"/>
      <c r="M1159" s="9"/>
      <c r="N1159" s="9"/>
      <c r="O1159" s="9"/>
      <c r="P1159" s="9"/>
      <c r="Q1159" s="9"/>
      <c r="R1159" s="9"/>
      <c r="S1159" s="9"/>
      <c r="T1159" s="9"/>
      <c r="U1159" s="9"/>
      <c r="V1159" s="9"/>
      <c r="W1159" s="9"/>
      <c r="X1159" s="9"/>
      <c r="Y1159" s="9"/>
      <c r="Z1159" s="9"/>
      <c r="AA1159" s="9"/>
      <c r="AB1159" s="9"/>
      <c r="AC1159" s="9"/>
      <c r="AD1159" s="9"/>
      <c r="AE1159" s="9"/>
      <c r="AF1159" s="9"/>
      <c r="AG1159" s="9"/>
      <c r="AH1159" s="9"/>
      <c r="AI1159" s="9"/>
      <c r="AJ1159" s="9"/>
      <c r="AK1159" s="9"/>
      <c r="AL1159" s="9"/>
      <c r="AM1159" s="9"/>
      <c r="AN1159" s="9"/>
      <c r="AO1159" s="9"/>
      <c r="AP1159" s="9"/>
      <c r="AQ1159" s="9"/>
      <c r="AR1159" s="9"/>
      <c r="AS1159" s="9"/>
      <c r="AT1159" s="9"/>
      <c r="AU1159" s="9"/>
    </row>
    <row r="1160" spans="1:47" ht="15.75" customHeight="1">
      <c r="A1160" s="9"/>
      <c r="B1160" s="9"/>
      <c r="C1160" s="9"/>
      <c r="D1160" s="9"/>
      <c r="E1160" s="9"/>
      <c r="F1160" s="67"/>
      <c r="G1160" s="9"/>
      <c r="H1160" s="9"/>
      <c r="I1160" s="9"/>
      <c r="J1160" s="9"/>
      <c r="K1160" s="9"/>
      <c r="L1160" s="9"/>
      <c r="M1160" s="9"/>
      <c r="N1160" s="9"/>
      <c r="O1160" s="9"/>
      <c r="P1160" s="9"/>
      <c r="Q1160" s="9"/>
      <c r="R1160" s="9"/>
      <c r="S1160" s="9"/>
      <c r="T1160" s="9"/>
      <c r="U1160" s="9"/>
      <c r="V1160" s="9"/>
      <c r="W1160" s="9"/>
      <c r="X1160" s="9"/>
      <c r="Y1160" s="9"/>
      <c r="Z1160" s="9"/>
      <c r="AA1160" s="9"/>
      <c r="AB1160" s="9"/>
      <c r="AC1160" s="9"/>
      <c r="AD1160" s="9"/>
      <c r="AE1160" s="9"/>
      <c r="AF1160" s="9"/>
      <c r="AG1160" s="9"/>
      <c r="AH1160" s="9"/>
      <c r="AI1160" s="9"/>
      <c r="AJ1160" s="9"/>
      <c r="AK1160" s="9"/>
      <c r="AL1160" s="9"/>
      <c r="AM1160" s="9"/>
      <c r="AN1160" s="9"/>
      <c r="AO1160" s="9"/>
      <c r="AP1160" s="9"/>
      <c r="AQ1160" s="9"/>
      <c r="AR1160" s="9"/>
      <c r="AS1160" s="9"/>
      <c r="AT1160" s="9"/>
      <c r="AU1160" s="9"/>
    </row>
    <row r="1161" spans="1:47" ht="15.75" customHeight="1">
      <c r="A1161" s="9"/>
      <c r="B1161" s="9"/>
      <c r="C1161" s="9"/>
      <c r="D1161" s="9"/>
      <c r="E1161" s="9"/>
      <c r="F1161" s="67"/>
      <c r="G1161" s="9"/>
      <c r="H1161" s="9"/>
      <c r="I1161" s="9"/>
      <c r="J1161" s="9"/>
      <c r="K1161" s="9"/>
      <c r="L1161" s="9"/>
      <c r="M1161" s="9"/>
      <c r="N1161" s="9"/>
      <c r="O1161" s="9"/>
      <c r="P1161" s="9"/>
      <c r="Q1161" s="9"/>
      <c r="R1161" s="9"/>
      <c r="S1161" s="9"/>
      <c r="T1161" s="9"/>
      <c r="U1161" s="9"/>
      <c r="V1161" s="9"/>
      <c r="W1161" s="9"/>
      <c r="X1161" s="9"/>
      <c r="Y1161" s="9"/>
      <c r="Z1161" s="9"/>
      <c r="AA1161" s="9"/>
      <c r="AB1161" s="9"/>
      <c r="AC1161" s="9"/>
      <c r="AD1161" s="9"/>
      <c r="AE1161" s="9"/>
      <c r="AF1161" s="9"/>
      <c r="AG1161" s="9"/>
      <c r="AH1161" s="9"/>
      <c r="AI1161" s="9"/>
      <c r="AJ1161" s="9"/>
      <c r="AK1161" s="9"/>
      <c r="AL1161" s="9"/>
      <c r="AM1161" s="9"/>
      <c r="AN1161" s="9"/>
      <c r="AO1161" s="9"/>
      <c r="AP1161" s="9"/>
      <c r="AQ1161" s="9"/>
      <c r="AR1161" s="9"/>
      <c r="AS1161" s="9"/>
      <c r="AT1161" s="9"/>
      <c r="AU1161" s="9"/>
    </row>
    <row r="1162" spans="1:47" ht="15.75" customHeight="1">
      <c r="A1162" s="9"/>
      <c r="B1162" s="9"/>
      <c r="C1162" s="9"/>
      <c r="D1162" s="9"/>
      <c r="E1162" s="9"/>
      <c r="F1162" s="67"/>
      <c r="G1162" s="9"/>
      <c r="H1162" s="9"/>
      <c r="I1162" s="9"/>
      <c r="J1162" s="9"/>
      <c r="K1162" s="9"/>
      <c r="L1162" s="9"/>
      <c r="M1162" s="9"/>
      <c r="N1162" s="9"/>
      <c r="O1162" s="9"/>
      <c r="P1162" s="9"/>
      <c r="Q1162" s="9"/>
      <c r="R1162" s="9"/>
      <c r="S1162" s="9"/>
      <c r="T1162" s="9"/>
      <c r="U1162" s="9"/>
      <c r="V1162" s="9"/>
      <c r="W1162" s="9"/>
      <c r="X1162" s="9"/>
      <c r="Y1162" s="9"/>
      <c r="Z1162" s="9"/>
      <c r="AA1162" s="9"/>
      <c r="AB1162" s="9"/>
      <c r="AC1162" s="9"/>
      <c r="AD1162" s="9"/>
      <c r="AE1162" s="9"/>
      <c r="AF1162" s="9"/>
      <c r="AG1162" s="9"/>
      <c r="AH1162" s="9"/>
      <c r="AI1162" s="9"/>
      <c r="AJ1162" s="9"/>
      <c r="AK1162" s="9"/>
      <c r="AL1162" s="9"/>
      <c r="AM1162" s="9"/>
      <c r="AN1162" s="9"/>
      <c r="AO1162" s="9"/>
      <c r="AP1162" s="9"/>
      <c r="AQ1162" s="9"/>
      <c r="AR1162" s="9"/>
      <c r="AS1162" s="9"/>
      <c r="AT1162" s="9"/>
      <c r="AU1162" s="9"/>
    </row>
    <row r="1163" spans="1:47" ht="15.75" customHeight="1">
      <c r="A1163" s="9"/>
      <c r="B1163" s="9"/>
      <c r="C1163" s="9"/>
      <c r="D1163" s="9"/>
      <c r="E1163" s="9"/>
      <c r="F1163" s="67"/>
      <c r="G1163" s="9"/>
      <c r="H1163" s="9"/>
      <c r="I1163" s="9"/>
      <c r="J1163" s="9"/>
      <c r="K1163" s="9"/>
      <c r="L1163" s="9"/>
      <c r="M1163" s="9"/>
      <c r="N1163" s="9"/>
      <c r="O1163" s="9"/>
      <c r="P1163" s="9"/>
      <c r="Q1163" s="9"/>
      <c r="R1163" s="9"/>
      <c r="S1163" s="9"/>
      <c r="T1163" s="9"/>
      <c r="U1163" s="9"/>
      <c r="V1163" s="9"/>
      <c r="W1163" s="9"/>
      <c r="X1163" s="9"/>
      <c r="Y1163" s="9"/>
      <c r="Z1163" s="9"/>
      <c r="AA1163" s="9"/>
      <c r="AB1163" s="9"/>
      <c r="AC1163" s="9"/>
      <c r="AD1163" s="9"/>
      <c r="AE1163" s="9"/>
      <c r="AF1163" s="9"/>
      <c r="AG1163" s="9"/>
      <c r="AH1163" s="9"/>
      <c r="AI1163" s="9"/>
      <c r="AJ1163" s="9"/>
      <c r="AK1163" s="9"/>
      <c r="AL1163" s="9"/>
      <c r="AM1163" s="9"/>
      <c r="AN1163" s="9"/>
      <c r="AO1163" s="9"/>
      <c r="AP1163" s="9"/>
      <c r="AQ1163" s="9"/>
      <c r="AR1163" s="9"/>
      <c r="AS1163" s="9"/>
      <c r="AT1163" s="9"/>
      <c r="AU1163" s="9"/>
    </row>
    <row r="1164" spans="1:47" ht="15.75" customHeight="1">
      <c r="A1164" s="9"/>
      <c r="B1164" s="9"/>
      <c r="C1164" s="9"/>
      <c r="D1164" s="9"/>
      <c r="E1164" s="9"/>
      <c r="F1164" s="67"/>
      <c r="G1164" s="9"/>
      <c r="H1164" s="9"/>
      <c r="I1164" s="9"/>
      <c r="J1164" s="9"/>
      <c r="K1164" s="9"/>
      <c r="L1164" s="9"/>
      <c r="M1164" s="9"/>
      <c r="N1164" s="9"/>
      <c r="O1164" s="9"/>
      <c r="P1164" s="9"/>
      <c r="Q1164" s="9"/>
      <c r="R1164" s="9"/>
      <c r="S1164" s="9"/>
      <c r="T1164" s="9"/>
      <c r="U1164" s="9"/>
      <c r="V1164" s="9"/>
      <c r="W1164" s="9"/>
      <c r="X1164" s="9"/>
      <c r="Y1164" s="9"/>
      <c r="Z1164" s="9"/>
      <c r="AA1164" s="9"/>
      <c r="AB1164" s="9"/>
      <c r="AC1164" s="9"/>
      <c r="AD1164" s="9"/>
      <c r="AE1164" s="9"/>
      <c r="AF1164" s="9"/>
      <c r="AG1164" s="9"/>
      <c r="AH1164" s="9"/>
      <c r="AI1164" s="9"/>
      <c r="AJ1164" s="9"/>
      <c r="AK1164" s="9"/>
      <c r="AL1164" s="9"/>
      <c r="AM1164" s="9"/>
      <c r="AN1164" s="9"/>
      <c r="AO1164" s="9"/>
      <c r="AP1164" s="9"/>
      <c r="AQ1164" s="9"/>
      <c r="AR1164" s="9"/>
      <c r="AS1164" s="9"/>
      <c r="AT1164" s="9"/>
      <c r="AU1164" s="9"/>
    </row>
    <row r="1165" spans="1:47" ht="15.75" customHeight="1">
      <c r="A1165" s="9"/>
      <c r="B1165" s="9"/>
      <c r="C1165" s="9"/>
      <c r="D1165" s="9"/>
      <c r="E1165" s="9"/>
      <c r="F1165" s="67"/>
      <c r="G1165" s="9"/>
      <c r="H1165" s="9"/>
      <c r="I1165" s="9"/>
      <c r="J1165" s="9"/>
      <c r="K1165" s="9"/>
      <c r="L1165" s="9"/>
      <c r="M1165" s="9"/>
      <c r="N1165" s="9"/>
      <c r="O1165" s="9"/>
      <c r="P1165" s="9"/>
      <c r="Q1165" s="9"/>
      <c r="R1165" s="9"/>
      <c r="S1165" s="9"/>
      <c r="T1165" s="9"/>
      <c r="U1165" s="9"/>
      <c r="V1165" s="9"/>
      <c r="W1165" s="9"/>
      <c r="X1165" s="9"/>
      <c r="Y1165" s="9"/>
      <c r="Z1165" s="9"/>
      <c r="AA1165" s="9"/>
      <c r="AB1165" s="9"/>
      <c r="AC1165" s="9"/>
      <c r="AD1165" s="9"/>
      <c r="AE1165" s="9"/>
      <c r="AF1165" s="9"/>
      <c r="AG1165" s="9"/>
      <c r="AH1165" s="9"/>
      <c r="AI1165" s="9"/>
      <c r="AJ1165" s="9"/>
      <c r="AK1165" s="9"/>
      <c r="AL1165" s="9"/>
      <c r="AM1165" s="9"/>
      <c r="AN1165" s="9"/>
      <c r="AO1165" s="9"/>
      <c r="AP1165" s="9"/>
      <c r="AQ1165" s="9"/>
      <c r="AR1165" s="9"/>
      <c r="AS1165" s="9"/>
      <c r="AT1165" s="9"/>
      <c r="AU1165" s="9"/>
    </row>
    <row r="1166" spans="1:47" ht="15.75" customHeight="1">
      <c r="A1166" s="9"/>
      <c r="B1166" s="9"/>
      <c r="C1166" s="9"/>
      <c r="D1166" s="9"/>
      <c r="E1166" s="9"/>
      <c r="F1166" s="67"/>
      <c r="G1166" s="9"/>
      <c r="H1166" s="9"/>
      <c r="I1166" s="9"/>
      <c r="J1166" s="9"/>
      <c r="K1166" s="9"/>
      <c r="L1166" s="9"/>
      <c r="M1166" s="9"/>
      <c r="N1166" s="9"/>
      <c r="O1166" s="9"/>
      <c r="P1166" s="9"/>
      <c r="Q1166" s="9"/>
      <c r="R1166" s="9"/>
      <c r="S1166" s="9"/>
      <c r="T1166" s="9"/>
      <c r="U1166" s="9"/>
      <c r="V1166" s="9"/>
      <c r="W1166" s="9"/>
      <c r="X1166" s="9"/>
      <c r="Y1166" s="9"/>
      <c r="Z1166" s="9"/>
      <c r="AA1166" s="9"/>
      <c r="AB1166" s="9"/>
      <c r="AC1166" s="9"/>
      <c r="AD1166" s="9"/>
      <c r="AE1166" s="9"/>
      <c r="AF1166" s="9"/>
      <c r="AG1166" s="9"/>
      <c r="AH1166" s="9"/>
      <c r="AI1166" s="9"/>
      <c r="AJ1166" s="9"/>
      <c r="AK1166" s="9"/>
      <c r="AL1166" s="9"/>
      <c r="AM1166" s="9"/>
      <c r="AN1166" s="9"/>
      <c r="AO1166" s="9"/>
      <c r="AP1166" s="9"/>
      <c r="AQ1166" s="9"/>
      <c r="AR1166" s="9"/>
      <c r="AS1166" s="9"/>
      <c r="AT1166" s="9"/>
      <c r="AU1166" s="9"/>
    </row>
    <row r="1167" spans="1:47" ht="15.75" customHeight="1">
      <c r="A1167" s="9"/>
      <c r="B1167" s="9"/>
      <c r="C1167" s="9"/>
      <c r="D1167" s="9"/>
      <c r="E1167" s="9"/>
      <c r="F1167" s="67"/>
      <c r="G1167" s="9"/>
      <c r="H1167" s="9"/>
      <c r="I1167" s="9"/>
      <c r="J1167" s="9"/>
      <c r="K1167" s="9"/>
      <c r="L1167" s="9"/>
      <c r="M1167" s="9"/>
      <c r="N1167" s="9"/>
      <c r="O1167" s="9"/>
      <c r="P1167" s="9"/>
      <c r="Q1167" s="9"/>
      <c r="R1167" s="9"/>
      <c r="S1167" s="9"/>
      <c r="T1167" s="9"/>
      <c r="U1167" s="9"/>
      <c r="V1167" s="9"/>
      <c r="W1167" s="9"/>
      <c r="X1167" s="9"/>
      <c r="Y1167" s="9"/>
      <c r="Z1167" s="9"/>
      <c r="AA1167" s="9"/>
      <c r="AB1167" s="9"/>
      <c r="AC1167" s="9"/>
      <c r="AD1167" s="9"/>
      <c r="AE1167" s="9"/>
      <c r="AF1167" s="9"/>
      <c r="AG1167" s="9"/>
      <c r="AH1167" s="9"/>
      <c r="AI1167" s="9"/>
      <c r="AJ1167" s="9"/>
      <c r="AK1167" s="9"/>
      <c r="AL1167" s="9"/>
      <c r="AM1167" s="9"/>
      <c r="AN1167" s="9"/>
      <c r="AO1167" s="9"/>
      <c r="AP1167" s="9"/>
      <c r="AQ1167" s="9"/>
      <c r="AR1167" s="9"/>
      <c r="AS1167" s="9"/>
      <c r="AT1167" s="9"/>
      <c r="AU1167" s="9"/>
    </row>
    <row r="1168" spans="1:47" ht="15.75" customHeight="1">
      <c r="A1168" s="9"/>
      <c r="B1168" s="9"/>
      <c r="C1168" s="9"/>
      <c r="D1168" s="9"/>
      <c r="E1168" s="9"/>
      <c r="F1168" s="67"/>
      <c r="G1168" s="9"/>
      <c r="H1168" s="9"/>
      <c r="I1168" s="9"/>
      <c r="J1168" s="9"/>
      <c r="K1168" s="9"/>
      <c r="L1168" s="9"/>
      <c r="M1168" s="9"/>
      <c r="N1168" s="9"/>
      <c r="O1168" s="9"/>
      <c r="P1168" s="9"/>
      <c r="Q1168" s="9"/>
      <c r="R1168" s="9"/>
      <c r="S1168" s="9"/>
      <c r="T1168" s="9"/>
      <c r="U1168" s="9"/>
      <c r="V1168" s="9"/>
      <c r="W1168" s="9"/>
      <c r="X1168" s="9"/>
      <c r="Y1168" s="9"/>
      <c r="Z1168" s="9"/>
      <c r="AA1168" s="9"/>
      <c r="AB1168" s="9"/>
      <c r="AC1168" s="9"/>
      <c r="AD1168" s="9"/>
      <c r="AE1168" s="9"/>
      <c r="AF1168" s="9"/>
      <c r="AG1168" s="9"/>
      <c r="AH1168" s="9"/>
      <c r="AI1168" s="9"/>
      <c r="AJ1168" s="9"/>
      <c r="AK1168" s="9"/>
      <c r="AL1168" s="9"/>
      <c r="AM1168" s="9"/>
      <c r="AN1168" s="9"/>
      <c r="AO1168" s="9"/>
      <c r="AP1168" s="9"/>
      <c r="AQ1168" s="9"/>
      <c r="AR1168" s="9"/>
      <c r="AS1168" s="9"/>
      <c r="AT1168" s="9"/>
      <c r="AU1168" s="9"/>
    </row>
    <row r="1169" spans="1:47" ht="15.75" customHeight="1">
      <c r="A1169" s="9"/>
      <c r="B1169" s="9"/>
      <c r="C1169" s="9"/>
      <c r="D1169" s="9"/>
      <c r="E1169" s="9"/>
      <c r="F1169" s="67"/>
      <c r="G1169" s="9"/>
      <c r="H1169" s="9"/>
      <c r="I1169" s="9"/>
      <c r="J1169" s="9"/>
      <c r="K1169" s="9"/>
      <c r="L1169" s="9"/>
      <c r="M1169" s="9"/>
      <c r="N1169" s="9"/>
      <c r="O1169" s="9"/>
      <c r="P1169" s="9"/>
      <c r="Q1169" s="9"/>
      <c r="R1169" s="9"/>
      <c r="S1169" s="9"/>
      <c r="T1169" s="9"/>
      <c r="U1169" s="9"/>
      <c r="V1169" s="9"/>
      <c r="W1169" s="9"/>
      <c r="X1169" s="9"/>
      <c r="Y1169" s="9"/>
      <c r="Z1169" s="9"/>
      <c r="AA1169" s="9"/>
      <c r="AB1169" s="9"/>
      <c r="AC1169" s="9"/>
      <c r="AD1169" s="9"/>
      <c r="AE1169" s="9"/>
      <c r="AF1169" s="9"/>
      <c r="AG1169" s="9"/>
      <c r="AH1169" s="9"/>
      <c r="AI1169" s="9"/>
      <c r="AJ1169" s="9"/>
      <c r="AK1169" s="9"/>
      <c r="AL1169" s="9"/>
      <c r="AM1169" s="9"/>
      <c r="AN1169" s="9"/>
      <c r="AO1169" s="9"/>
      <c r="AP1169" s="9"/>
      <c r="AQ1169" s="9"/>
      <c r="AR1169" s="9"/>
      <c r="AS1169" s="9"/>
      <c r="AT1169" s="9"/>
      <c r="AU1169" s="9"/>
    </row>
    <row r="1170" spans="1:47" ht="15.75" customHeight="1">
      <c r="A1170" s="9"/>
      <c r="B1170" s="9"/>
      <c r="C1170" s="9"/>
      <c r="D1170" s="9"/>
      <c r="E1170" s="9"/>
      <c r="F1170" s="67"/>
      <c r="G1170" s="9"/>
      <c r="H1170" s="9"/>
      <c r="I1170" s="9"/>
      <c r="J1170" s="9"/>
      <c r="K1170" s="9"/>
      <c r="L1170" s="9"/>
      <c r="M1170" s="9"/>
      <c r="N1170" s="9"/>
      <c r="O1170" s="9"/>
      <c r="P1170" s="9"/>
      <c r="Q1170" s="9"/>
      <c r="R1170" s="9"/>
      <c r="S1170" s="9"/>
      <c r="T1170" s="9"/>
      <c r="U1170" s="9"/>
      <c r="V1170" s="9"/>
      <c r="W1170" s="9"/>
      <c r="X1170" s="9"/>
      <c r="Y1170" s="9"/>
      <c r="Z1170" s="9"/>
      <c r="AA1170" s="9"/>
      <c r="AB1170" s="9"/>
      <c r="AC1170" s="9"/>
      <c r="AD1170" s="9"/>
      <c r="AE1170" s="9"/>
      <c r="AF1170" s="9"/>
      <c r="AG1170" s="9"/>
      <c r="AH1170" s="9"/>
      <c r="AI1170" s="9"/>
      <c r="AJ1170" s="9"/>
      <c r="AK1170" s="9"/>
      <c r="AL1170" s="9"/>
      <c r="AM1170" s="9"/>
      <c r="AN1170" s="9"/>
      <c r="AO1170" s="9"/>
      <c r="AP1170" s="9"/>
      <c r="AQ1170" s="9"/>
      <c r="AR1170" s="9"/>
      <c r="AS1170" s="9"/>
      <c r="AT1170" s="9"/>
      <c r="AU1170" s="9"/>
    </row>
    <row r="1171" spans="1:47" ht="15.75" customHeight="1">
      <c r="A1171" s="9"/>
      <c r="B1171" s="9"/>
      <c r="C1171" s="9"/>
      <c r="D1171" s="9"/>
      <c r="E1171" s="9"/>
      <c r="F1171" s="67"/>
      <c r="G1171" s="9"/>
      <c r="H1171" s="9"/>
      <c r="I1171" s="9"/>
      <c r="J1171" s="9"/>
      <c r="K1171" s="9"/>
      <c r="L1171" s="9"/>
      <c r="M1171" s="9"/>
      <c r="N1171" s="9"/>
      <c r="O1171" s="9"/>
      <c r="P1171" s="9"/>
      <c r="Q1171" s="9"/>
      <c r="R1171" s="9"/>
      <c r="S1171" s="9"/>
      <c r="T1171" s="9"/>
      <c r="U1171" s="9"/>
      <c r="V1171" s="9"/>
      <c r="W1171" s="9"/>
      <c r="X1171" s="9"/>
      <c r="Y1171" s="9"/>
      <c r="Z1171" s="9"/>
      <c r="AA1171" s="9"/>
      <c r="AB1171" s="9"/>
      <c r="AC1171" s="9"/>
      <c r="AD1171" s="9"/>
      <c r="AE1171" s="9"/>
      <c r="AF1171" s="9"/>
      <c r="AG1171" s="9"/>
      <c r="AH1171" s="9"/>
      <c r="AI1171" s="9"/>
      <c r="AJ1171" s="9"/>
      <c r="AK1171" s="9"/>
      <c r="AL1171" s="9"/>
      <c r="AM1171" s="9"/>
      <c r="AN1171" s="9"/>
      <c r="AO1171" s="9"/>
      <c r="AP1171" s="9"/>
      <c r="AQ1171" s="9"/>
      <c r="AR1171" s="9"/>
      <c r="AS1171" s="9"/>
      <c r="AT1171" s="9"/>
      <c r="AU1171" s="9"/>
    </row>
    <row r="1172" spans="1:47" ht="15.75" customHeight="1">
      <c r="A1172" s="9"/>
      <c r="B1172" s="9"/>
      <c r="C1172" s="9"/>
      <c r="D1172" s="9"/>
      <c r="E1172" s="9"/>
      <c r="F1172" s="67"/>
      <c r="G1172" s="9"/>
      <c r="H1172" s="9"/>
      <c r="I1172" s="9"/>
      <c r="J1172" s="9"/>
      <c r="K1172" s="9"/>
      <c r="L1172" s="9"/>
      <c r="M1172" s="9"/>
      <c r="N1172" s="9"/>
      <c r="O1172" s="9"/>
      <c r="P1172" s="9"/>
      <c r="Q1172" s="9"/>
      <c r="R1172" s="9"/>
      <c r="S1172" s="9"/>
      <c r="T1172" s="9"/>
      <c r="U1172" s="9"/>
      <c r="V1172" s="9"/>
      <c r="W1172" s="9"/>
      <c r="X1172" s="9"/>
      <c r="Y1172" s="9"/>
      <c r="Z1172" s="9"/>
      <c r="AA1172" s="9"/>
      <c r="AB1172" s="9"/>
      <c r="AC1172" s="9"/>
      <c r="AD1172" s="9"/>
      <c r="AE1172" s="9"/>
      <c r="AF1172" s="9"/>
      <c r="AG1172" s="9"/>
      <c r="AH1172" s="9"/>
      <c r="AI1172" s="9"/>
      <c r="AJ1172" s="9"/>
      <c r="AK1172" s="9"/>
      <c r="AL1172" s="9"/>
      <c r="AM1172" s="9"/>
      <c r="AN1172" s="9"/>
      <c r="AO1172" s="9"/>
      <c r="AP1172" s="9"/>
      <c r="AQ1172" s="9"/>
      <c r="AR1172" s="9"/>
      <c r="AS1172" s="9"/>
      <c r="AT1172" s="9"/>
      <c r="AU1172" s="9"/>
    </row>
    <row r="1173" spans="1:47" ht="15.75" customHeight="1">
      <c r="A1173" s="9"/>
      <c r="B1173" s="9"/>
      <c r="C1173" s="9"/>
      <c r="D1173" s="9"/>
      <c r="E1173" s="9"/>
      <c r="F1173" s="67"/>
      <c r="G1173" s="9"/>
      <c r="H1173" s="9"/>
      <c r="I1173" s="9"/>
      <c r="J1173" s="9"/>
      <c r="K1173" s="9"/>
      <c r="L1173" s="9"/>
      <c r="M1173" s="9"/>
      <c r="N1173" s="9"/>
      <c r="O1173" s="9"/>
      <c r="P1173" s="9"/>
      <c r="Q1173" s="9"/>
      <c r="R1173" s="9"/>
      <c r="S1173" s="9"/>
      <c r="T1173" s="9"/>
      <c r="U1173" s="9"/>
      <c r="V1173" s="9"/>
      <c r="W1173" s="9"/>
      <c r="X1173" s="9"/>
      <c r="Y1173" s="9"/>
      <c r="Z1173" s="9"/>
      <c r="AA1173" s="9"/>
      <c r="AB1173" s="9"/>
      <c r="AC1173" s="9"/>
      <c r="AD1173" s="9"/>
      <c r="AE1173" s="9"/>
      <c r="AF1173" s="9"/>
      <c r="AG1173" s="9"/>
      <c r="AH1173" s="9"/>
      <c r="AI1173" s="9"/>
      <c r="AJ1173" s="9"/>
      <c r="AK1173" s="9"/>
      <c r="AL1173" s="9"/>
      <c r="AM1173" s="9"/>
      <c r="AN1173" s="9"/>
      <c r="AO1173" s="9"/>
      <c r="AP1173" s="9"/>
      <c r="AQ1173" s="9"/>
      <c r="AR1173" s="9"/>
      <c r="AS1173" s="9"/>
      <c r="AT1173" s="9"/>
      <c r="AU1173" s="9"/>
    </row>
    <row r="1174" spans="1:47" ht="15.75" customHeight="1">
      <c r="A1174" s="9"/>
      <c r="B1174" s="9"/>
      <c r="C1174" s="9"/>
      <c r="D1174" s="9"/>
      <c r="E1174" s="9"/>
      <c r="F1174" s="67"/>
      <c r="G1174" s="9"/>
      <c r="H1174" s="9"/>
      <c r="I1174" s="9"/>
      <c r="J1174" s="9"/>
      <c r="K1174" s="9"/>
      <c r="L1174" s="9"/>
      <c r="M1174" s="9"/>
      <c r="N1174" s="9"/>
      <c r="O1174" s="9"/>
      <c r="P1174" s="9"/>
      <c r="Q1174" s="9"/>
      <c r="R1174" s="9"/>
      <c r="S1174" s="9"/>
      <c r="T1174" s="9"/>
      <c r="U1174" s="9"/>
      <c r="V1174" s="9"/>
      <c r="W1174" s="9"/>
      <c r="X1174" s="9"/>
      <c r="Y1174" s="9"/>
      <c r="Z1174" s="9"/>
      <c r="AA1174" s="9"/>
      <c r="AB1174" s="9"/>
      <c r="AC1174" s="9"/>
      <c r="AD1174" s="9"/>
      <c r="AE1174" s="9"/>
      <c r="AF1174" s="9"/>
      <c r="AG1174" s="9"/>
      <c r="AH1174" s="9"/>
      <c r="AI1174" s="9"/>
      <c r="AJ1174" s="9"/>
      <c r="AK1174" s="9"/>
      <c r="AL1174" s="9"/>
      <c r="AM1174" s="9"/>
      <c r="AN1174" s="9"/>
      <c r="AO1174" s="9"/>
      <c r="AP1174" s="9"/>
      <c r="AQ1174" s="9"/>
      <c r="AR1174" s="9"/>
      <c r="AS1174" s="9"/>
      <c r="AT1174" s="9"/>
      <c r="AU1174" s="9"/>
    </row>
    <row r="1175" spans="1:47" ht="15.75" customHeight="1">
      <c r="A1175" s="9"/>
      <c r="B1175" s="9"/>
      <c r="C1175" s="9"/>
      <c r="D1175" s="9"/>
      <c r="E1175" s="9"/>
      <c r="F1175" s="67"/>
      <c r="G1175" s="9"/>
      <c r="H1175" s="9"/>
      <c r="I1175" s="9"/>
      <c r="J1175" s="9"/>
      <c r="K1175" s="9"/>
      <c r="L1175" s="9"/>
      <c r="M1175" s="9"/>
      <c r="N1175" s="9"/>
      <c r="O1175" s="9"/>
      <c r="P1175" s="9"/>
      <c r="Q1175" s="9"/>
      <c r="R1175" s="9"/>
      <c r="S1175" s="9"/>
      <c r="T1175" s="9"/>
      <c r="U1175" s="9"/>
      <c r="V1175" s="9"/>
      <c r="W1175" s="9"/>
      <c r="X1175" s="9"/>
      <c r="Y1175" s="9"/>
      <c r="Z1175" s="9"/>
      <c r="AA1175" s="9"/>
      <c r="AB1175" s="9"/>
      <c r="AC1175" s="9"/>
      <c r="AD1175" s="9"/>
      <c r="AE1175" s="9"/>
      <c r="AF1175" s="9"/>
      <c r="AG1175" s="9"/>
      <c r="AH1175" s="9"/>
      <c r="AI1175" s="9"/>
      <c r="AJ1175" s="9"/>
      <c r="AK1175" s="9"/>
      <c r="AL1175" s="9"/>
      <c r="AM1175" s="9"/>
      <c r="AN1175" s="9"/>
      <c r="AO1175" s="9"/>
      <c r="AP1175" s="9"/>
      <c r="AQ1175" s="9"/>
      <c r="AR1175" s="9"/>
      <c r="AS1175" s="9"/>
      <c r="AT1175" s="9"/>
      <c r="AU1175" s="9"/>
    </row>
    <row r="1176" spans="1:47" ht="15.75" customHeight="1">
      <c r="A1176" s="9"/>
      <c r="B1176" s="9"/>
      <c r="C1176" s="9"/>
      <c r="D1176" s="9"/>
      <c r="E1176" s="9"/>
      <c r="F1176" s="67"/>
      <c r="G1176" s="9"/>
      <c r="H1176" s="9"/>
      <c r="I1176" s="9"/>
      <c r="J1176" s="9"/>
      <c r="K1176" s="9"/>
      <c r="L1176" s="9"/>
      <c r="M1176" s="9"/>
      <c r="N1176" s="9"/>
      <c r="O1176" s="9"/>
      <c r="P1176" s="9"/>
      <c r="Q1176" s="9"/>
      <c r="R1176" s="9"/>
      <c r="S1176" s="9"/>
      <c r="T1176" s="9"/>
      <c r="U1176" s="9"/>
      <c r="V1176" s="9"/>
      <c r="W1176" s="9"/>
      <c r="X1176" s="9"/>
      <c r="Y1176" s="9"/>
      <c r="Z1176" s="9"/>
      <c r="AA1176" s="9"/>
      <c r="AB1176" s="9"/>
      <c r="AC1176" s="9"/>
      <c r="AD1176" s="9"/>
      <c r="AE1176" s="9"/>
      <c r="AF1176" s="9"/>
      <c r="AG1176" s="9"/>
      <c r="AH1176" s="9"/>
      <c r="AI1176" s="9"/>
      <c r="AJ1176" s="9"/>
      <c r="AK1176" s="9"/>
      <c r="AL1176" s="9"/>
      <c r="AM1176" s="9"/>
      <c r="AN1176" s="9"/>
      <c r="AO1176" s="9"/>
      <c r="AP1176" s="9"/>
      <c r="AQ1176" s="9"/>
      <c r="AR1176" s="9"/>
      <c r="AS1176" s="9"/>
      <c r="AT1176" s="9"/>
      <c r="AU1176" s="9"/>
    </row>
    <row r="1177" spans="1:47" ht="15.75" customHeight="1">
      <c r="A1177" s="9"/>
      <c r="B1177" s="9"/>
      <c r="C1177" s="9"/>
      <c r="D1177" s="9"/>
      <c r="E1177" s="9"/>
      <c r="F1177" s="67"/>
      <c r="G1177" s="9"/>
      <c r="H1177" s="9"/>
      <c r="I1177" s="9"/>
      <c r="J1177" s="9"/>
      <c r="K1177" s="9"/>
      <c r="L1177" s="9"/>
      <c r="M1177" s="9"/>
      <c r="N1177" s="9"/>
      <c r="O1177" s="9"/>
      <c r="P1177" s="9"/>
      <c r="Q1177" s="9"/>
      <c r="R1177" s="9"/>
      <c r="S1177" s="9"/>
      <c r="T1177" s="9"/>
      <c r="U1177" s="9"/>
      <c r="V1177" s="9"/>
      <c r="W1177" s="9"/>
      <c r="X1177" s="9"/>
      <c r="Y1177" s="9"/>
      <c r="Z1177" s="9"/>
      <c r="AA1177" s="9"/>
      <c r="AB1177" s="9"/>
      <c r="AC1177" s="9"/>
      <c r="AD1177" s="9"/>
      <c r="AE1177" s="9"/>
      <c r="AF1177" s="9"/>
      <c r="AG1177" s="9"/>
      <c r="AH1177" s="9"/>
      <c r="AI1177" s="9"/>
      <c r="AJ1177" s="9"/>
      <c r="AK1177" s="9"/>
      <c r="AL1177" s="9"/>
      <c r="AM1177" s="9"/>
      <c r="AN1177" s="9"/>
      <c r="AO1177" s="9"/>
      <c r="AP1177" s="9"/>
      <c r="AQ1177" s="9"/>
      <c r="AR1177" s="9"/>
      <c r="AS1177" s="9"/>
      <c r="AT1177" s="9"/>
      <c r="AU1177" s="9"/>
    </row>
    <row r="1178" spans="1:47" ht="15.75" customHeight="1">
      <c r="A1178" s="9"/>
      <c r="B1178" s="9"/>
      <c r="C1178" s="9"/>
      <c r="D1178" s="9"/>
      <c r="E1178" s="9"/>
      <c r="F1178" s="67"/>
      <c r="G1178" s="9"/>
      <c r="H1178" s="9"/>
      <c r="I1178" s="9"/>
      <c r="J1178" s="9"/>
      <c r="K1178" s="9"/>
      <c r="L1178" s="9"/>
      <c r="M1178" s="9"/>
      <c r="N1178" s="9"/>
      <c r="O1178" s="9"/>
      <c r="P1178" s="9"/>
      <c r="Q1178" s="9"/>
      <c r="R1178" s="9"/>
      <c r="S1178" s="9"/>
      <c r="T1178" s="9"/>
      <c r="U1178" s="9"/>
      <c r="V1178" s="9"/>
      <c r="W1178" s="9"/>
      <c r="X1178" s="9"/>
      <c r="Y1178" s="9"/>
      <c r="Z1178" s="9"/>
      <c r="AA1178" s="9"/>
      <c r="AB1178" s="9"/>
      <c r="AC1178" s="9"/>
      <c r="AD1178" s="9"/>
      <c r="AE1178" s="9"/>
      <c r="AF1178" s="9"/>
      <c r="AG1178" s="9"/>
      <c r="AH1178" s="9"/>
      <c r="AI1178" s="9"/>
      <c r="AJ1178" s="9"/>
      <c r="AK1178" s="9"/>
      <c r="AL1178" s="9"/>
      <c r="AM1178" s="9"/>
      <c r="AN1178" s="9"/>
      <c r="AO1178" s="9"/>
      <c r="AP1178" s="9"/>
      <c r="AQ1178" s="9"/>
      <c r="AR1178" s="9"/>
      <c r="AS1178" s="9"/>
      <c r="AT1178" s="9"/>
      <c r="AU1178" s="9"/>
    </row>
    <row r="1179" spans="1:47" ht="15.75" customHeight="1">
      <c r="A1179" s="9"/>
      <c r="B1179" s="9"/>
      <c r="C1179" s="9"/>
      <c r="D1179" s="9"/>
      <c r="E1179" s="9"/>
      <c r="F1179" s="67"/>
      <c r="G1179" s="9"/>
      <c r="H1179" s="9"/>
      <c r="I1179" s="9"/>
      <c r="J1179" s="9"/>
      <c r="K1179" s="9"/>
      <c r="L1179" s="9"/>
      <c r="M1179" s="9"/>
      <c r="N1179" s="9"/>
      <c r="O1179" s="9"/>
      <c r="P1179" s="9"/>
      <c r="Q1179" s="9"/>
      <c r="R1179" s="9"/>
      <c r="S1179" s="9"/>
      <c r="T1179" s="9"/>
      <c r="U1179" s="9"/>
      <c r="V1179" s="9"/>
      <c r="W1179" s="9"/>
      <c r="X1179" s="9"/>
      <c r="Y1179" s="9"/>
      <c r="Z1179" s="9"/>
      <c r="AA1179" s="9"/>
      <c r="AB1179" s="9"/>
      <c r="AC1179" s="9"/>
      <c r="AD1179" s="9"/>
      <c r="AE1179" s="9"/>
      <c r="AF1179" s="9"/>
      <c r="AG1179" s="9"/>
      <c r="AH1179" s="9"/>
      <c r="AI1179" s="9"/>
      <c r="AJ1179" s="9"/>
      <c r="AK1179" s="9"/>
      <c r="AL1179" s="9"/>
      <c r="AM1179" s="9"/>
      <c r="AN1179" s="9"/>
      <c r="AO1179" s="9"/>
      <c r="AP1179" s="9"/>
      <c r="AQ1179" s="9"/>
      <c r="AR1179" s="9"/>
      <c r="AS1179" s="9"/>
      <c r="AT1179" s="9"/>
      <c r="AU1179" s="9"/>
    </row>
    <row r="1180" spans="1:47" ht="15.75" customHeight="1">
      <c r="A1180" s="9"/>
      <c r="B1180" s="9"/>
      <c r="C1180" s="9"/>
      <c r="D1180" s="9"/>
      <c r="E1180" s="9"/>
      <c r="F1180" s="67"/>
      <c r="G1180" s="9"/>
      <c r="H1180" s="9"/>
      <c r="I1180" s="9"/>
      <c r="J1180" s="9"/>
      <c r="K1180" s="9"/>
      <c r="L1180" s="9"/>
      <c r="M1180" s="9"/>
      <c r="N1180" s="9"/>
      <c r="O1180" s="9"/>
      <c r="P1180" s="9"/>
      <c r="Q1180" s="9"/>
      <c r="R1180" s="9"/>
      <c r="S1180" s="9"/>
      <c r="T1180" s="9"/>
      <c r="U1180" s="9"/>
      <c r="V1180" s="9"/>
      <c r="W1180" s="9"/>
      <c r="X1180" s="9"/>
      <c r="Y1180" s="9"/>
      <c r="Z1180" s="9"/>
      <c r="AA1180" s="9"/>
      <c r="AB1180" s="9"/>
      <c r="AC1180" s="9"/>
      <c r="AD1180" s="9"/>
      <c r="AE1180" s="9"/>
      <c r="AF1180" s="9"/>
      <c r="AG1180" s="9"/>
      <c r="AH1180" s="9"/>
      <c r="AI1180" s="9"/>
      <c r="AJ1180" s="9"/>
      <c r="AK1180" s="9"/>
      <c r="AL1180" s="9"/>
      <c r="AM1180" s="9"/>
      <c r="AN1180" s="9"/>
      <c r="AO1180" s="9"/>
      <c r="AP1180" s="9"/>
      <c r="AQ1180" s="9"/>
      <c r="AR1180" s="9"/>
      <c r="AS1180" s="9"/>
      <c r="AT1180" s="9"/>
      <c r="AU1180" s="9"/>
    </row>
    <row r="1181" spans="1:47" ht="15.75" customHeight="1">
      <c r="A1181" s="9"/>
      <c r="B1181" s="9"/>
      <c r="C1181" s="9"/>
      <c r="D1181" s="9"/>
      <c r="E1181" s="9"/>
      <c r="F1181" s="67"/>
      <c r="G1181" s="9"/>
      <c r="H1181" s="9"/>
      <c r="I1181" s="9"/>
      <c r="J1181" s="9"/>
      <c r="K1181" s="9"/>
      <c r="L1181" s="9"/>
      <c r="M1181" s="9"/>
      <c r="N1181" s="9"/>
      <c r="O1181" s="9"/>
      <c r="P1181" s="9"/>
      <c r="Q1181" s="9"/>
      <c r="R1181" s="9"/>
      <c r="S1181" s="9"/>
      <c r="T1181" s="9"/>
      <c r="U1181" s="9"/>
      <c r="V1181" s="9"/>
      <c r="W1181" s="9"/>
      <c r="X1181" s="9"/>
      <c r="Y1181" s="9"/>
      <c r="Z1181" s="9"/>
      <c r="AA1181" s="9"/>
      <c r="AB1181" s="9"/>
      <c r="AC1181" s="9"/>
      <c r="AD1181" s="9"/>
      <c r="AE1181" s="9"/>
      <c r="AF1181" s="9"/>
      <c r="AG1181" s="9"/>
      <c r="AH1181" s="9"/>
      <c r="AI1181" s="9"/>
      <c r="AJ1181" s="9"/>
      <c r="AK1181" s="9"/>
      <c r="AL1181" s="9"/>
      <c r="AM1181" s="9"/>
      <c r="AN1181" s="9"/>
      <c r="AO1181" s="9"/>
      <c r="AP1181" s="9"/>
      <c r="AQ1181" s="9"/>
      <c r="AR1181" s="9"/>
      <c r="AS1181" s="9"/>
      <c r="AT1181" s="9"/>
      <c r="AU1181" s="9"/>
    </row>
    <row r="1182" spans="1:47" ht="15.75" customHeight="1">
      <c r="A1182" s="9"/>
      <c r="B1182" s="9"/>
      <c r="C1182" s="9"/>
      <c r="D1182" s="9"/>
      <c r="E1182" s="9"/>
      <c r="F1182" s="67"/>
      <c r="G1182" s="9"/>
      <c r="H1182" s="9"/>
      <c r="I1182" s="9"/>
      <c r="J1182" s="9"/>
      <c r="K1182" s="9"/>
      <c r="L1182" s="9"/>
      <c r="M1182" s="9"/>
      <c r="N1182" s="9"/>
      <c r="O1182" s="9"/>
      <c r="P1182" s="9"/>
      <c r="Q1182" s="9"/>
      <c r="R1182" s="9"/>
      <c r="S1182" s="9"/>
      <c r="T1182" s="9"/>
      <c r="U1182" s="9"/>
      <c r="V1182" s="9"/>
      <c r="W1182" s="9"/>
      <c r="X1182" s="9"/>
      <c r="Y1182" s="9"/>
      <c r="Z1182" s="9"/>
      <c r="AA1182" s="9"/>
      <c r="AB1182" s="9"/>
      <c r="AC1182" s="9"/>
      <c r="AD1182" s="9"/>
      <c r="AE1182" s="9"/>
      <c r="AF1182" s="9"/>
      <c r="AG1182" s="9"/>
      <c r="AH1182" s="9"/>
      <c r="AI1182" s="9"/>
      <c r="AJ1182" s="9"/>
      <c r="AK1182" s="9"/>
      <c r="AL1182" s="9"/>
      <c r="AM1182" s="9"/>
      <c r="AN1182" s="9"/>
      <c r="AO1182" s="9"/>
      <c r="AP1182" s="9"/>
      <c r="AQ1182" s="9"/>
      <c r="AR1182" s="9"/>
      <c r="AS1182" s="9"/>
      <c r="AT1182" s="9"/>
      <c r="AU1182" s="9"/>
    </row>
    <row r="1183" spans="1:47" ht="15.75" customHeight="1">
      <c r="A1183" s="9"/>
      <c r="B1183" s="9"/>
      <c r="C1183" s="9"/>
      <c r="D1183" s="9"/>
      <c r="E1183" s="9"/>
      <c r="F1183" s="67"/>
      <c r="G1183" s="9"/>
      <c r="H1183" s="9"/>
      <c r="I1183" s="9"/>
      <c r="J1183" s="9"/>
      <c r="K1183" s="9"/>
      <c r="L1183" s="9"/>
      <c r="M1183" s="9"/>
      <c r="N1183" s="9"/>
      <c r="O1183" s="9"/>
      <c r="P1183" s="9"/>
      <c r="Q1183" s="9"/>
      <c r="R1183" s="9"/>
      <c r="S1183" s="9"/>
      <c r="T1183" s="9"/>
      <c r="U1183" s="9"/>
      <c r="V1183" s="9"/>
      <c r="W1183" s="9"/>
      <c r="X1183" s="9"/>
      <c r="Y1183" s="9"/>
      <c r="Z1183" s="9"/>
      <c r="AA1183" s="9"/>
      <c r="AB1183" s="9"/>
      <c r="AC1183" s="9"/>
      <c r="AD1183" s="9"/>
      <c r="AE1183" s="9"/>
      <c r="AF1183" s="9"/>
      <c r="AG1183" s="9"/>
      <c r="AH1183" s="9"/>
      <c r="AI1183" s="9"/>
      <c r="AJ1183" s="9"/>
      <c r="AK1183" s="9"/>
      <c r="AL1183" s="9"/>
      <c r="AM1183" s="9"/>
      <c r="AN1183" s="9"/>
      <c r="AO1183" s="9"/>
      <c r="AP1183" s="9"/>
      <c r="AQ1183" s="9"/>
      <c r="AR1183" s="9"/>
      <c r="AS1183" s="9"/>
      <c r="AT1183" s="9"/>
      <c r="AU1183" s="9"/>
    </row>
    <row r="1184" spans="1:47" ht="15.75" customHeight="1">
      <c r="A1184" s="9"/>
      <c r="B1184" s="9"/>
      <c r="C1184" s="9"/>
      <c r="D1184" s="9"/>
      <c r="E1184" s="9"/>
      <c r="F1184" s="67"/>
      <c r="G1184" s="9"/>
      <c r="H1184" s="9"/>
      <c r="I1184" s="9"/>
      <c r="J1184" s="9"/>
      <c r="K1184" s="9"/>
      <c r="L1184" s="9"/>
      <c r="M1184" s="9"/>
      <c r="N1184" s="9"/>
      <c r="O1184" s="9"/>
      <c r="P1184" s="9"/>
      <c r="Q1184" s="9"/>
      <c r="R1184" s="9"/>
      <c r="S1184" s="9"/>
      <c r="T1184" s="9"/>
      <c r="U1184" s="9"/>
      <c r="V1184" s="9"/>
      <c r="W1184" s="9"/>
      <c r="X1184" s="9"/>
      <c r="Y1184" s="9"/>
      <c r="Z1184" s="9"/>
      <c r="AA1184" s="9"/>
      <c r="AB1184" s="9"/>
      <c r="AC1184" s="9"/>
      <c r="AD1184" s="9"/>
      <c r="AE1184" s="9"/>
      <c r="AF1184" s="9"/>
      <c r="AG1184" s="9"/>
      <c r="AH1184" s="9"/>
      <c r="AI1184" s="9"/>
      <c r="AJ1184" s="9"/>
      <c r="AK1184" s="9"/>
      <c r="AL1184" s="9"/>
      <c r="AM1184" s="9"/>
      <c r="AN1184" s="9"/>
      <c r="AO1184" s="9"/>
      <c r="AP1184" s="9"/>
      <c r="AQ1184" s="9"/>
      <c r="AR1184" s="9"/>
      <c r="AS1184" s="9"/>
      <c r="AT1184" s="9"/>
      <c r="AU1184" s="9"/>
    </row>
    <row r="1185" spans="1:47" ht="15.75" customHeight="1">
      <c r="A1185" s="9"/>
      <c r="B1185" s="9"/>
      <c r="C1185" s="9"/>
      <c r="D1185" s="9"/>
      <c r="E1185" s="9"/>
      <c r="F1185" s="67"/>
      <c r="G1185" s="9"/>
      <c r="H1185" s="9"/>
      <c r="I1185" s="9"/>
      <c r="J1185" s="9"/>
      <c r="K1185" s="9"/>
      <c r="L1185" s="9"/>
      <c r="M1185" s="9"/>
      <c r="N1185" s="9"/>
      <c r="O1185" s="9"/>
      <c r="P1185" s="9"/>
      <c r="Q1185" s="9"/>
      <c r="R1185" s="9"/>
      <c r="S1185" s="9"/>
      <c r="T1185" s="9"/>
      <c r="U1185" s="9"/>
      <c r="V1185" s="9"/>
      <c r="W1185" s="9"/>
      <c r="X1185" s="9"/>
      <c r="Y1185" s="9"/>
      <c r="Z1185" s="9"/>
      <c r="AA1185" s="9"/>
      <c r="AB1185" s="9"/>
      <c r="AC1185" s="9"/>
      <c r="AD1185" s="9"/>
      <c r="AE1185" s="9"/>
      <c r="AF1185" s="9"/>
      <c r="AG1185" s="9"/>
      <c r="AH1185" s="9"/>
      <c r="AI1185" s="9"/>
      <c r="AJ1185" s="9"/>
      <c r="AK1185" s="9"/>
      <c r="AL1185" s="9"/>
      <c r="AM1185" s="9"/>
      <c r="AN1185" s="9"/>
      <c r="AO1185" s="9"/>
      <c r="AP1185" s="9"/>
      <c r="AQ1185" s="9"/>
      <c r="AR1185" s="9"/>
      <c r="AS1185" s="9"/>
      <c r="AT1185" s="9"/>
      <c r="AU1185" s="9"/>
    </row>
    <row r="1186" spans="1:47" ht="15.75" customHeight="1">
      <c r="A1186" s="9"/>
      <c r="B1186" s="9"/>
      <c r="C1186" s="9"/>
      <c r="D1186" s="9"/>
      <c r="E1186" s="9"/>
      <c r="F1186" s="67"/>
      <c r="G1186" s="9"/>
      <c r="H1186" s="9"/>
      <c r="I1186" s="9"/>
      <c r="J1186" s="9"/>
      <c r="K1186" s="9"/>
      <c r="L1186" s="9"/>
      <c r="M1186" s="9"/>
      <c r="N1186" s="9"/>
      <c r="O1186" s="9"/>
      <c r="P1186" s="9"/>
      <c r="Q1186" s="9"/>
      <c r="R1186" s="9"/>
      <c r="S1186" s="9"/>
      <c r="T1186" s="9"/>
      <c r="U1186" s="9"/>
      <c r="V1186" s="9"/>
      <c r="W1186" s="9"/>
      <c r="X1186" s="9"/>
      <c r="Y1186" s="9"/>
      <c r="Z1186" s="9"/>
      <c r="AA1186" s="9"/>
      <c r="AB1186" s="9"/>
      <c r="AC1186" s="9"/>
      <c r="AD1186" s="9"/>
      <c r="AE1186" s="9"/>
      <c r="AF1186" s="9"/>
      <c r="AG1186" s="9"/>
      <c r="AH1186" s="9"/>
      <c r="AI1186" s="9"/>
      <c r="AJ1186" s="9"/>
      <c r="AK1186" s="9"/>
      <c r="AL1186" s="9"/>
      <c r="AM1186" s="9"/>
      <c r="AN1186" s="9"/>
      <c r="AO1186" s="9"/>
      <c r="AP1186" s="9"/>
      <c r="AQ1186" s="9"/>
      <c r="AR1186" s="9"/>
      <c r="AS1186" s="9"/>
      <c r="AT1186" s="9"/>
      <c r="AU1186" s="9"/>
    </row>
    <row r="1187" spans="1:47" ht="15.75" customHeight="1">
      <c r="A1187" s="9"/>
      <c r="B1187" s="9"/>
      <c r="C1187" s="9"/>
      <c r="D1187" s="9"/>
      <c r="E1187" s="9"/>
      <c r="F1187" s="67"/>
      <c r="G1187" s="9"/>
      <c r="H1187" s="9"/>
      <c r="I1187" s="9"/>
      <c r="J1187" s="9"/>
      <c r="K1187" s="9"/>
      <c r="L1187" s="9"/>
      <c r="M1187" s="9"/>
      <c r="N1187" s="9"/>
      <c r="O1187" s="9"/>
      <c r="P1187" s="9"/>
      <c r="Q1187" s="9"/>
      <c r="R1187" s="9"/>
      <c r="S1187" s="9"/>
      <c r="T1187" s="9"/>
      <c r="U1187" s="9"/>
      <c r="V1187" s="9"/>
      <c r="W1187" s="9"/>
      <c r="X1187" s="9"/>
      <c r="Y1187" s="9"/>
      <c r="Z1187" s="9"/>
      <c r="AA1187" s="9"/>
      <c r="AB1187" s="9"/>
      <c r="AC1187" s="9"/>
      <c r="AD1187" s="9"/>
      <c r="AE1187" s="9"/>
      <c r="AF1187" s="9"/>
      <c r="AG1187" s="9"/>
      <c r="AH1187" s="9"/>
      <c r="AI1187" s="9"/>
      <c r="AJ1187" s="9"/>
      <c r="AK1187" s="9"/>
      <c r="AL1187" s="9"/>
      <c r="AM1187" s="9"/>
      <c r="AN1187" s="9"/>
      <c r="AO1187" s="9"/>
      <c r="AP1187" s="9"/>
      <c r="AQ1187" s="9"/>
      <c r="AR1187" s="9"/>
      <c r="AS1187" s="9"/>
      <c r="AT1187" s="9"/>
      <c r="AU1187" s="9"/>
    </row>
    <row r="1188" spans="1:47" ht="15.75" customHeight="1">
      <c r="A1188" s="9"/>
      <c r="B1188" s="9"/>
      <c r="C1188" s="9"/>
      <c r="D1188" s="9"/>
      <c r="E1188" s="9"/>
      <c r="F1188" s="67"/>
      <c r="G1188" s="9"/>
      <c r="H1188" s="9"/>
      <c r="I1188" s="9"/>
      <c r="J1188" s="9"/>
      <c r="K1188" s="9"/>
      <c r="L1188" s="9"/>
      <c r="M1188" s="9"/>
      <c r="N1188" s="9"/>
      <c r="O1188" s="9"/>
      <c r="P1188" s="9"/>
      <c r="Q1188" s="9"/>
      <c r="R1188" s="9"/>
      <c r="S1188" s="9"/>
      <c r="T1188" s="9"/>
      <c r="U1188" s="9"/>
      <c r="V1188" s="9"/>
      <c r="W1188" s="9"/>
      <c r="X1188" s="9"/>
      <c r="Y1188" s="9"/>
      <c r="Z1188" s="9"/>
      <c r="AA1188" s="9"/>
      <c r="AB1188" s="9"/>
      <c r="AC1188" s="9"/>
      <c r="AD1188" s="9"/>
      <c r="AE1188" s="9"/>
      <c r="AF1188" s="9"/>
      <c r="AG1188" s="9"/>
      <c r="AH1188" s="9"/>
      <c r="AI1188" s="9"/>
      <c r="AJ1188" s="9"/>
      <c r="AK1188" s="9"/>
      <c r="AL1188" s="9"/>
      <c r="AM1188" s="9"/>
      <c r="AN1188" s="9"/>
      <c r="AO1188" s="9"/>
      <c r="AP1188" s="9"/>
      <c r="AQ1188" s="9"/>
      <c r="AR1188" s="9"/>
      <c r="AS1188" s="9"/>
      <c r="AT1188" s="9"/>
      <c r="AU1188" s="9"/>
    </row>
    <row r="1189" spans="1:47" ht="15.75" customHeight="1">
      <c r="A1189" s="9"/>
      <c r="B1189" s="9"/>
      <c r="C1189" s="9"/>
      <c r="D1189" s="9"/>
      <c r="E1189" s="9"/>
      <c r="F1189" s="67"/>
      <c r="G1189" s="9"/>
      <c r="H1189" s="9"/>
      <c r="I1189" s="9"/>
      <c r="J1189" s="9"/>
      <c r="K1189" s="9"/>
      <c r="L1189" s="9"/>
      <c r="M1189" s="9"/>
      <c r="N1189" s="9"/>
      <c r="O1189" s="9"/>
      <c r="P1189" s="9"/>
      <c r="Q1189" s="9"/>
      <c r="R1189" s="9"/>
      <c r="S1189" s="9"/>
      <c r="T1189" s="9"/>
      <c r="U1189" s="9"/>
      <c r="V1189" s="9"/>
      <c r="W1189" s="9"/>
      <c r="X1189" s="9"/>
      <c r="Y1189" s="9"/>
      <c r="Z1189" s="9"/>
      <c r="AA1189" s="9"/>
      <c r="AB1189" s="9"/>
      <c r="AC1189" s="9"/>
      <c r="AD1189" s="9"/>
      <c r="AE1189" s="9"/>
      <c r="AF1189" s="9"/>
      <c r="AG1189" s="9"/>
      <c r="AH1189" s="9"/>
      <c r="AI1189" s="9"/>
      <c r="AJ1189" s="9"/>
      <c r="AK1189" s="9"/>
      <c r="AL1189" s="9"/>
      <c r="AM1189" s="9"/>
      <c r="AN1189" s="9"/>
      <c r="AO1189" s="9"/>
      <c r="AP1189" s="9"/>
      <c r="AQ1189" s="9"/>
      <c r="AR1189" s="9"/>
      <c r="AS1189" s="9"/>
      <c r="AT1189" s="9"/>
      <c r="AU1189" s="9"/>
    </row>
    <row r="1190" spans="1:47" ht="15.75" customHeight="1">
      <c r="A1190" s="9"/>
      <c r="B1190" s="9"/>
      <c r="C1190" s="9"/>
      <c r="D1190" s="9"/>
      <c r="E1190" s="9"/>
      <c r="F1190" s="67"/>
      <c r="G1190" s="9"/>
      <c r="H1190" s="9"/>
      <c r="I1190" s="9"/>
      <c r="J1190" s="9"/>
      <c r="K1190" s="9"/>
      <c r="L1190" s="9"/>
      <c r="M1190" s="9"/>
      <c r="N1190" s="9"/>
      <c r="O1190" s="9"/>
      <c r="P1190" s="9"/>
      <c r="Q1190" s="9"/>
      <c r="R1190" s="9"/>
      <c r="S1190" s="9"/>
      <c r="T1190" s="9"/>
      <c r="U1190" s="9"/>
      <c r="V1190" s="9"/>
      <c r="W1190" s="9"/>
      <c r="X1190" s="9"/>
      <c r="Y1190" s="9"/>
      <c r="Z1190" s="9"/>
      <c r="AA1190" s="9"/>
      <c r="AB1190" s="9"/>
      <c r="AC1190" s="9"/>
      <c r="AD1190" s="9"/>
      <c r="AE1190" s="9"/>
      <c r="AF1190" s="9"/>
      <c r="AG1190" s="9"/>
      <c r="AH1190" s="9"/>
      <c r="AI1190" s="9"/>
      <c r="AJ1190" s="9"/>
      <c r="AK1190" s="9"/>
      <c r="AL1190" s="9"/>
      <c r="AM1190" s="9"/>
      <c r="AN1190" s="9"/>
      <c r="AO1190" s="9"/>
      <c r="AP1190" s="9"/>
      <c r="AQ1190" s="9"/>
      <c r="AR1190" s="9"/>
      <c r="AS1190" s="9"/>
      <c r="AT1190" s="9"/>
      <c r="AU1190" s="9"/>
    </row>
    <row r="1191" spans="1:47" ht="15.75" customHeight="1">
      <c r="A1191" s="9"/>
      <c r="B1191" s="9"/>
      <c r="C1191" s="9"/>
      <c r="D1191" s="9"/>
      <c r="E1191" s="9"/>
      <c r="F1191" s="67"/>
      <c r="G1191" s="9"/>
      <c r="H1191" s="9"/>
      <c r="I1191" s="9"/>
      <c r="J1191" s="9"/>
      <c r="K1191" s="9"/>
      <c r="L1191" s="9"/>
      <c r="M1191" s="9"/>
      <c r="N1191" s="9"/>
      <c r="O1191" s="9"/>
      <c r="P1191" s="9"/>
      <c r="Q1191" s="9"/>
      <c r="R1191" s="9"/>
      <c r="S1191" s="9"/>
      <c r="T1191" s="9"/>
      <c r="U1191" s="9"/>
      <c r="V1191" s="9"/>
      <c r="W1191" s="9"/>
      <c r="X1191" s="9"/>
      <c r="Y1191" s="9"/>
      <c r="Z1191" s="9"/>
      <c r="AA1191" s="9"/>
      <c r="AB1191" s="9"/>
      <c r="AC1191" s="9"/>
      <c r="AD1191" s="9"/>
      <c r="AE1191" s="9"/>
      <c r="AF1191" s="9"/>
      <c r="AG1191" s="9"/>
      <c r="AH1191" s="9"/>
      <c r="AI1191" s="9"/>
      <c r="AJ1191" s="9"/>
      <c r="AK1191" s="9"/>
      <c r="AL1191" s="9"/>
      <c r="AM1191" s="9"/>
      <c r="AN1191" s="9"/>
      <c r="AO1191" s="9"/>
      <c r="AP1191" s="9"/>
      <c r="AQ1191" s="9"/>
      <c r="AR1191" s="9"/>
      <c r="AS1191" s="9"/>
      <c r="AT1191" s="9"/>
      <c r="AU1191" s="9"/>
    </row>
    <row r="1192" spans="1:47" ht="15.75" customHeight="1">
      <c r="A1192" s="9"/>
      <c r="B1192" s="9"/>
      <c r="C1192" s="9"/>
      <c r="D1192" s="9"/>
      <c r="E1192" s="9"/>
      <c r="F1192" s="67"/>
      <c r="G1192" s="9"/>
      <c r="H1192" s="9"/>
      <c r="I1192" s="9"/>
      <c r="J1192" s="9"/>
      <c r="K1192" s="9"/>
      <c r="L1192" s="9"/>
      <c r="M1192" s="9"/>
      <c r="N1192" s="9"/>
      <c r="O1192" s="9"/>
      <c r="P1192" s="9"/>
      <c r="Q1192" s="9"/>
      <c r="R1192" s="9"/>
      <c r="S1192" s="9"/>
      <c r="T1192" s="9"/>
      <c r="U1192" s="9"/>
      <c r="V1192" s="9"/>
      <c r="W1192" s="9"/>
      <c r="X1192" s="9"/>
      <c r="Y1192" s="9"/>
      <c r="Z1192" s="9"/>
      <c r="AA1192" s="9"/>
      <c r="AB1192" s="9"/>
      <c r="AC1192" s="9"/>
      <c r="AD1192" s="9"/>
      <c r="AE1192" s="9"/>
      <c r="AF1192" s="9"/>
      <c r="AG1192" s="9"/>
      <c r="AH1192" s="9"/>
      <c r="AI1192" s="9"/>
      <c r="AJ1192" s="9"/>
      <c r="AK1192" s="9"/>
      <c r="AL1192" s="9"/>
      <c r="AM1192" s="9"/>
      <c r="AN1192" s="9"/>
      <c r="AO1192" s="9"/>
      <c r="AP1192" s="9"/>
      <c r="AQ1192" s="9"/>
      <c r="AR1192" s="9"/>
      <c r="AS1192" s="9"/>
      <c r="AT1192" s="9"/>
      <c r="AU1192" s="9"/>
    </row>
    <row r="1193" spans="1:47" ht="15.75" customHeight="1">
      <c r="A1193" s="9"/>
      <c r="B1193" s="9"/>
      <c r="C1193" s="9"/>
      <c r="D1193" s="9"/>
      <c r="E1193" s="9"/>
      <c r="F1193" s="67"/>
      <c r="G1193" s="9"/>
      <c r="H1193" s="9"/>
      <c r="I1193" s="9"/>
      <c r="J1193" s="9"/>
      <c r="K1193" s="9"/>
      <c r="L1193" s="9"/>
      <c r="M1193" s="9"/>
      <c r="N1193" s="9"/>
      <c r="O1193" s="9"/>
      <c r="P1193" s="9"/>
      <c r="Q1193" s="9"/>
      <c r="R1193" s="9"/>
      <c r="S1193" s="9"/>
      <c r="T1193" s="9"/>
      <c r="U1193" s="9"/>
      <c r="V1193" s="9"/>
      <c r="W1193" s="9"/>
      <c r="X1193" s="9"/>
      <c r="Y1193" s="9"/>
      <c r="Z1193" s="9"/>
      <c r="AA1193" s="9"/>
      <c r="AB1193" s="9"/>
      <c r="AC1193" s="9"/>
      <c r="AD1193" s="9"/>
      <c r="AE1193" s="9"/>
      <c r="AF1193" s="9"/>
      <c r="AG1193" s="9"/>
      <c r="AH1193" s="9"/>
      <c r="AI1193" s="9"/>
      <c r="AJ1193" s="9"/>
      <c r="AK1193" s="9"/>
      <c r="AL1193" s="9"/>
      <c r="AM1193" s="9"/>
      <c r="AN1193" s="9"/>
      <c r="AO1193" s="9"/>
      <c r="AP1193" s="9"/>
      <c r="AQ1193" s="9"/>
      <c r="AR1193" s="9"/>
      <c r="AS1193" s="9"/>
      <c r="AT1193" s="9"/>
      <c r="AU1193" s="9"/>
    </row>
    <row r="1194" spans="1:47" ht="15.75" customHeight="1">
      <c r="A1194" s="9"/>
      <c r="B1194" s="9"/>
      <c r="C1194" s="9"/>
      <c r="D1194" s="9"/>
      <c r="E1194" s="9"/>
      <c r="F1194" s="67"/>
      <c r="G1194" s="9"/>
      <c r="H1194" s="9"/>
      <c r="I1194" s="9"/>
      <c r="J1194" s="9"/>
      <c r="K1194" s="9"/>
      <c r="L1194" s="9"/>
      <c r="M1194" s="9"/>
      <c r="N1194" s="9"/>
      <c r="O1194" s="9"/>
      <c r="P1194" s="9"/>
      <c r="Q1194" s="9"/>
      <c r="R1194" s="9"/>
      <c r="S1194" s="9"/>
      <c r="T1194" s="9"/>
      <c r="U1194" s="9"/>
      <c r="V1194" s="9"/>
      <c r="W1194" s="9"/>
      <c r="X1194" s="9"/>
      <c r="Y1194" s="9"/>
      <c r="Z1194" s="9"/>
      <c r="AA1194" s="9"/>
      <c r="AB1194" s="9"/>
      <c r="AC1194" s="9"/>
      <c r="AD1194" s="9"/>
      <c r="AE1194" s="9"/>
      <c r="AF1194" s="9"/>
      <c r="AG1194" s="9"/>
      <c r="AH1194" s="9"/>
      <c r="AI1194" s="9"/>
      <c r="AJ1194" s="9"/>
      <c r="AK1194" s="9"/>
      <c r="AL1194" s="9"/>
      <c r="AM1194" s="9"/>
      <c r="AN1194" s="9"/>
      <c r="AO1194" s="9"/>
      <c r="AP1194" s="9"/>
      <c r="AQ1194" s="9"/>
      <c r="AR1194" s="9"/>
      <c r="AS1194" s="9"/>
      <c r="AT1194" s="9"/>
      <c r="AU1194" s="9"/>
    </row>
    <row r="1195" spans="1:47" ht="15.75" customHeight="1">
      <c r="A1195" s="9"/>
      <c r="B1195" s="9"/>
      <c r="C1195" s="9"/>
      <c r="D1195" s="9"/>
      <c r="E1195" s="9"/>
      <c r="F1195" s="67"/>
      <c r="G1195" s="9"/>
      <c r="H1195" s="9"/>
      <c r="I1195" s="9"/>
      <c r="J1195" s="9"/>
      <c r="K1195" s="9"/>
      <c r="L1195" s="9"/>
      <c r="M1195" s="9"/>
      <c r="N1195" s="9"/>
      <c r="O1195" s="9"/>
      <c r="P1195" s="9"/>
      <c r="Q1195" s="9"/>
      <c r="R1195" s="9"/>
      <c r="S1195" s="9"/>
      <c r="T1195" s="9"/>
      <c r="U1195" s="9"/>
      <c r="V1195" s="9"/>
      <c r="W1195" s="9"/>
      <c r="X1195" s="9"/>
      <c r="Y1195" s="9"/>
      <c r="Z1195" s="9"/>
      <c r="AA1195" s="9"/>
      <c r="AB1195" s="9"/>
      <c r="AC1195" s="9"/>
      <c r="AD1195" s="9"/>
      <c r="AE1195" s="9"/>
      <c r="AF1195" s="9"/>
      <c r="AG1195" s="9"/>
      <c r="AH1195" s="9"/>
      <c r="AI1195" s="9"/>
      <c r="AJ1195" s="9"/>
      <c r="AK1195" s="9"/>
      <c r="AL1195" s="9"/>
      <c r="AM1195" s="9"/>
      <c r="AN1195" s="9"/>
      <c r="AO1195" s="9"/>
      <c r="AP1195" s="9"/>
      <c r="AQ1195" s="9"/>
      <c r="AR1195" s="9"/>
      <c r="AS1195" s="9"/>
      <c r="AT1195" s="9"/>
      <c r="AU1195" s="9"/>
    </row>
    <row r="1196" spans="1:47" ht="15.75" customHeight="1">
      <c r="A1196" s="9"/>
      <c r="B1196" s="9"/>
      <c r="C1196" s="9"/>
      <c r="D1196" s="9"/>
      <c r="E1196" s="9"/>
      <c r="F1196" s="67"/>
      <c r="G1196" s="9"/>
      <c r="H1196" s="9"/>
      <c r="I1196" s="9"/>
      <c r="J1196" s="9"/>
      <c r="K1196" s="9"/>
      <c r="L1196" s="9"/>
      <c r="M1196" s="9"/>
      <c r="N1196" s="9"/>
      <c r="O1196" s="9"/>
      <c r="P1196" s="9"/>
      <c r="Q1196" s="9"/>
      <c r="R1196" s="9"/>
      <c r="S1196" s="9"/>
      <c r="T1196" s="9"/>
      <c r="U1196" s="9"/>
      <c r="V1196" s="9"/>
      <c r="W1196" s="9"/>
      <c r="X1196" s="9"/>
      <c r="Y1196" s="9"/>
      <c r="Z1196" s="9"/>
      <c r="AA1196" s="9"/>
      <c r="AB1196" s="9"/>
      <c r="AC1196" s="9"/>
      <c r="AD1196" s="9"/>
      <c r="AE1196" s="9"/>
      <c r="AF1196" s="9"/>
      <c r="AG1196" s="9"/>
      <c r="AH1196" s="9"/>
      <c r="AI1196" s="9"/>
      <c r="AJ1196" s="9"/>
      <c r="AK1196" s="9"/>
      <c r="AL1196" s="9"/>
      <c r="AM1196" s="9"/>
      <c r="AN1196" s="9"/>
      <c r="AO1196" s="9"/>
      <c r="AP1196" s="9"/>
      <c r="AQ1196" s="9"/>
      <c r="AR1196" s="9"/>
      <c r="AS1196" s="9"/>
      <c r="AT1196" s="9"/>
      <c r="AU1196" s="9"/>
    </row>
    <row r="1197" spans="1:47" ht="15.75" customHeight="1">
      <c r="A1197" s="9"/>
      <c r="B1197" s="9"/>
      <c r="C1197" s="9"/>
      <c r="D1197" s="9"/>
      <c r="E1197" s="9"/>
      <c r="F1197" s="67"/>
      <c r="G1197" s="9"/>
      <c r="H1197" s="9"/>
      <c r="I1197" s="9"/>
      <c r="J1197" s="9"/>
      <c r="K1197" s="9"/>
      <c r="L1197" s="9"/>
      <c r="M1197" s="9"/>
      <c r="N1197" s="9"/>
      <c r="O1197" s="9"/>
      <c r="P1197" s="9"/>
      <c r="Q1197" s="9"/>
      <c r="R1197" s="9"/>
      <c r="S1197" s="9"/>
      <c r="T1197" s="9"/>
      <c r="U1197" s="9"/>
      <c r="V1197" s="9"/>
      <c r="W1197" s="9"/>
      <c r="X1197" s="9"/>
      <c r="Y1197" s="9"/>
      <c r="Z1197" s="9"/>
      <c r="AA1197" s="9"/>
      <c r="AB1197" s="9"/>
      <c r="AC1197" s="9"/>
      <c r="AD1197" s="9"/>
      <c r="AE1197" s="9"/>
      <c r="AF1197" s="9"/>
      <c r="AG1197" s="9"/>
      <c r="AH1197" s="9"/>
      <c r="AI1197" s="9"/>
      <c r="AJ1197" s="9"/>
      <c r="AK1197" s="9"/>
      <c r="AL1197" s="9"/>
      <c r="AM1197" s="9"/>
      <c r="AN1197" s="9"/>
      <c r="AO1197" s="9"/>
      <c r="AP1197" s="9"/>
      <c r="AQ1197" s="9"/>
      <c r="AR1197" s="9"/>
      <c r="AS1197" s="9"/>
      <c r="AT1197" s="9"/>
      <c r="AU1197" s="9"/>
    </row>
    <row r="1198" spans="1:47" ht="15.75" customHeight="1">
      <c r="A1198" s="9"/>
      <c r="B1198" s="9"/>
      <c r="C1198" s="9"/>
      <c r="D1198" s="9"/>
      <c r="E1198" s="9"/>
      <c r="F1198" s="67"/>
      <c r="G1198" s="9"/>
      <c r="H1198" s="9"/>
      <c r="I1198" s="9"/>
      <c r="J1198" s="9"/>
      <c r="K1198" s="9"/>
      <c r="L1198" s="9"/>
      <c r="M1198" s="9"/>
      <c r="N1198" s="9"/>
      <c r="O1198" s="9"/>
      <c r="P1198" s="9"/>
      <c r="Q1198" s="9"/>
      <c r="R1198" s="9"/>
      <c r="S1198" s="9"/>
      <c r="T1198" s="9"/>
      <c r="U1198" s="9"/>
      <c r="V1198" s="9"/>
      <c r="W1198" s="9"/>
      <c r="X1198" s="9"/>
      <c r="Y1198" s="9"/>
      <c r="Z1198" s="9"/>
      <c r="AA1198" s="9"/>
      <c r="AB1198" s="9"/>
      <c r="AC1198" s="9"/>
      <c r="AD1198" s="9"/>
      <c r="AE1198" s="9"/>
      <c r="AF1198" s="9"/>
      <c r="AG1198" s="9"/>
      <c r="AH1198" s="9"/>
      <c r="AI1198" s="9"/>
      <c r="AJ1198" s="9"/>
      <c r="AK1198" s="9"/>
      <c r="AL1198" s="9"/>
      <c r="AM1198" s="9"/>
      <c r="AN1198" s="9"/>
      <c r="AO1198" s="9"/>
      <c r="AP1198" s="9"/>
      <c r="AQ1198" s="9"/>
      <c r="AR1198" s="9"/>
      <c r="AS1198" s="9"/>
      <c r="AT1198" s="9"/>
      <c r="AU1198" s="9"/>
    </row>
    <row r="1199" spans="1:47" ht="15.75" customHeight="1">
      <c r="A1199" s="9"/>
      <c r="B1199" s="9"/>
      <c r="C1199" s="9"/>
      <c r="D1199" s="9"/>
      <c r="E1199" s="9"/>
      <c r="F1199" s="67"/>
      <c r="G1199" s="9"/>
      <c r="H1199" s="9"/>
      <c r="I1199" s="9"/>
      <c r="J1199" s="9"/>
      <c r="K1199" s="9"/>
      <c r="L1199" s="9"/>
      <c r="M1199" s="9"/>
      <c r="N1199" s="9"/>
      <c r="O1199" s="9"/>
      <c r="P1199" s="9"/>
      <c r="Q1199" s="9"/>
      <c r="R1199" s="9"/>
      <c r="S1199" s="9"/>
      <c r="T1199" s="9"/>
      <c r="U1199" s="9"/>
      <c r="V1199" s="9"/>
      <c r="W1199" s="9"/>
      <c r="X1199" s="9"/>
      <c r="Y1199" s="9"/>
      <c r="Z1199" s="9"/>
      <c r="AA1199" s="9"/>
      <c r="AB1199" s="9"/>
      <c r="AC1199" s="9"/>
      <c r="AD1199" s="9"/>
      <c r="AE1199" s="9"/>
      <c r="AF1199" s="9"/>
      <c r="AG1199" s="9"/>
      <c r="AH1199" s="9"/>
      <c r="AI1199" s="9"/>
      <c r="AJ1199" s="9"/>
      <c r="AK1199" s="9"/>
      <c r="AL1199" s="9"/>
      <c r="AM1199" s="9"/>
      <c r="AN1199" s="9"/>
      <c r="AO1199" s="9"/>
      <c r="AP1199" s="9"/>
      <c r="AQ1199" s="9"/>
      <c r="AR1199" s="9"/>
      <c r="AS1199" s="9"/>
      <c r="AT1199" s="9"/>
      <c r="AU1199" s="9"/>
    </row>
    <row r="1200" spans="1:47" ht="15.75" customHeight="1">
      <c r="A1200" s="9"/>
      <c r="B1200" s="9"/>
      <c r="C1200" s="9"/>
      <c r="D1200" s="9"/>
      <c r="E1200" s="9"/>
      <c r="F1200" s="67"/>
      <c r="G1200" s="9"/>
      <c r="H1200" s="9"/>
      <c r="I1200" s="9"/>
      <c r="J1200" s="9"/>
      <c r="K1200" s="9"/>
      <c r="L1200" s="9"/>
      <c r="M1200" s="9"/>
      <c r="N1200" s="9"/>
      <c r="O1200" s="9"/>
      <c r="P1200" s="9"/>
      <c r="Q1200" s="9"/>
      <c r="R1200" s="9"/>
      <c r="S1200" s="9"/>
      <c r="T1200" s="9"/>
      <c r="U1200" s="9"/>
      <c r="V1200" s="9"/>
      <c r="W1200" s="9"/>
      <c r="X1200" s="9"/>
      <c r="Y1200" s="9"/>
      <c r="Z1200" s="9"/>
      <c r="AA1200" s="9"/>
      <c r="AB1200" s="9"/>
      <c r="AC1200" s="9"/>
      <c r="AD1200" s="9"/>
      <c r="AE1200" s="9"/>
      <c r="AF1200" s="9"/>
      <c r="AG1200" s="9"/>
      <c r="AH1200" s="9"/>
      <c r="AI1200" s="9"/>
      <c r="AJ1200" s="9"/>
      <c r="AK1200" s="9"/>
      <c r="AL1200" s="9"/>
      <c r="AM1200" s="9"/>
      <c r="AN1200" s="9"/>
      <c r="AO1200" s="9"/>
      <c r="AP1200" s="9"/>
      <c r="AQ1200" s="9"/>
      <c r="AR1200" s="9"/>
      <c r="AS1200" s="9"/>
      <c r="AT1200" s="9"/>
      <c r="AU1200" s="9"/>
    </row>
    <row r="1201" spans="1:47" ht="15.75" customHeight="1">
      <c r="A1201" s="9"/>
      <c r="B1201" s="9"/>
      <c r="C1201" s="9"/>
      <c r="D1201" s="9"/>
      <c r="E1201" s="9"/>
      <c r="F1201" s="67"/>
      <c r="G1201" s="9"/>
      <c r="H1201" s="9"/>
      <c r="I1201" s="9"/>
      <c r="J1201" s="9"/>
      <c r="K1201" s="9"/>
      <c r="L1201" s="9"/>
      <c r="M1201" s="9"/>
      <c r="N1201" s="9"/>
      <c r="O1201" s="9"/>
      <c r="P1201" s="9"/>
      <c r="Q1201" s="9"/>
      <c r="R1201" s="9"/>
      <c r="S1201" s="9"/>
      <c r="T1201" s="9"/>
      <c r="U1201" s="9"/>
      <c r="V1201" s="9"/>
      <c r="W1201" s="9"/>
      <c r="X1201" s="9"/>
      <c r="Y1201" s="9"/>
      <c r="Z1201" s="9"/>
      <c r="AA1201" s="9"/>
      <c r="AB1201" s="9"/>
      <c r="AC1201" s="9"/>
      <c r="AD1201" s="9"/>
      <c r="AE1201" s="9"/>
      <c r="AF1201" s="9"/>
      <c r="AG1201" s="9"/>
      <c r="AH1201" s="9"/>
      <c r="AI1201" s="9"/>
      <c r="AJ1201" s="9"/>
      <c r="AK1201" s="9"/>
      <c r="AL1201" s="9"/>
      <c r="AM1201" s="9"/>
      <c r="AN1201" s="9"/>
      <c r="AO1201" s="9"/>
      <c r="AP1201" s="9"/>
      <c r="AQ1201" s="9"/>
      <c r="AR1201" s="9"/>
      <c r="AS1201" s="9"/>
      <c r="AT1201" s="9"/>
      <c r="AU1201" s="9"/>
    </row>
    <row r="1202" spans="1:47" ht="15.75" customHeight="1">
      <c r="A1202" s="9"/>
      <c r="B1202" s="9"/>
      <c r="C1202" s="9"/>
      <c r="D1202" s="9"/>
      <c r="E1202" s="9"/>
      <c r="F1202" s="67"/>
      <c r="G1202" s="9"/>
      <c r="H1202" s="9"/>
      <c r="I1202" s="9"/>
      <c r="J1202" s="9"/>
      <c r="K1202" s="9"/>
      <c r="L1202" s="9"/>
      <c r="M1202" s="9"/>
      <c r="N1202" s="9"/>
      <c r="O1202" s="9"/>
      <c r="P1202" s="9"/>
      <c r="Q1202" s="9"/>
      <c r="R1202" s="9"/>
      <c r="S1202" s="9"/>
      <c r="T1202" s="9"/>
      <c r="U1202" s="9"/>
      <c r="V1202" s="9"/>
      <c r="W1202" s="9"/>
      <c r="X1202" s="9"/>
      <c r="Y1202" s="9"/>
      <c r="Z1202" s="9"/>
      <c r="AA1202" s="9"/>
      <c r="AB1202" s="9"/>
      <c r="AC1202" s="9"/>
      <c r="AD1202" s="9"/>
      <c r="AE1202" s="9"/>
      <c r="AF1202" s="9"/>
      <c r="AG1202" s="9"/>
      <c r="AH1202" s="9"/>
      <c r="AI1202" s="9"/>
      <c r="AJ1202" s="9"/>
      <c r="AK1202" s="9"/>
      <c r="AL1202" s="9"/>
      <c r="AM1202" s="9"/>
      <c r="AN1202" s="9"/>
      <c r="AO1202" s="9"/>
      <c r="AP1202" s="9"/>
      <c r="AQ1202" s="9"/>
      <c r="AR1202" s="9"/>
      <c r="AS1202" s="9"/>
      <c r="AT1202" s="9"/>
      <c r="AU1202" s="9"/>
    </row>
    <row r="1203" spans="1:47" ht="15.75" customHeight="1">
      <c r="A1203" s="9"/>
      <c r="B1203" s="9"/>
      <c r="C1203" s="9"/>
      <c r="D1203" s="9"/>
      <c r="E1203" s="9"/>
      <c r="F1203" s="67"/>
      <c r="G1203" s="9"/>
      <c r="H1203" s="9"/>
      <c r="I1203" s="9"/>
      <c r="J1203" s="9"/>
      <c r="K1203" s="9"/>
      <c r="L1203" s="9"/>
      <c r="M1203" s="9"/>
      <c r="N1203" s="9"/>
      <c r="O1203" s="9"/>
      <c r="P1203" s="9"/>
      <c r="Q1203" s="9"/>
      <c r="R1203" s="9"/>
      <c r="S1203" s="9"/>
      <c r="T1203" s="9"/>
      <c r="U1203" s="9"/>
      <c r="V1203" s="9"/>
      <c r="W1203" s="9"/>
      <c r="X1203" s="9"/>
      <c r="Y1203" s="9"/>
      <c r="Z1203" s="9"/>
      <c r="AA1203" s="9"/>
      <c r="AB1203" s="9"/>
      <c r="AC1203" s="9"/>
      <c r="AD1203" s="9"/>
      <c r="AE1203" s="9"/>
      <c r="AF1203" s="9"/>
      <c r="AG1203" s="9"/>
      <c r="AH1203" s="9"/>
      <c r="AI1203" s="9"/>
      <c r="AJ1203" s="9"/>
      <c r="AK1203" s="9"/>
      <c r="AL1203" s="9"/>
      <c r="AM1203" s="9"/>
      <c r="AN1203" s="9"/>
      <c r="AO1203" s="9"/>
      <c r="AP1203" s="9"/>
      <c r="AQ1203" s="9"/>
      <c r="AR1203" s="9"/>
      <c r="AS1203" s="9"/>
      <c r="AT1203" s="9"/>
      <c r="AU1203" s="9"/>
    </row>
    <row r="1204" spans="1:47" ht="15.75" customHeight="1">
      <c r="A1204" s="9"/>
      <c r="B1204" s="9"/>
      <c r="C1204" s="9"/>
      <c r="D1204" s="9"/>
      <c r="E1204" s="9"/>
      <c r="F1204" s="67"/>
      <c r="G1204" s="9"/>
      <c r="H1204" s="9"/>
      <c r="I1204" s="9"/>
      <c r="J1204" s="9"/>
      <c r="K1204" s="9"/>
      <c r="L1204" s="9"/>
      <c r="M1204" s="9"/>
      <c r="N1204" s="9"/>
      <c r="O1204" s="9"/>
      <c r="P1204" s="9"/>
      <c r="Q1204" s="9"/>
      <c r="R1204" s="9"/>
      <c r="S1204" s="9"/>
      <c r="T1204" s="9"/>
      <c r="U1204" s="9"/>
      <c r="V1204" s="9"/>
      <c r="W1204" s="9"/>
      <c r="X1204" s="9"/>
      <c r="Y1204" s="9"/>
      <c r="Z1204" s="9"/>
      <c r="AA1204" s="9"/>
      <c r="AB1204" s="9"/>
      <c r="AC1204" s="9"/>
      <c r="AD1204" s="9"/>
      <c r="AE1204" s="9"/>
      <c r="AF1204" s="9"/>
      <c r="AG1204" s="9"/>
      <c r="AH1204" s="9"/>
      <c r="AI1204" s="9"/>
      <c r="AJ1204" s="9"/>
      <c r="AK1204" s="9"/>
      <c r="AL1204" s="9"/>
      <c r="AM1204" s="9"/>
      <c r="AN1204" s="9"/>
      <c r="AO1204" s="9"/>
      <c r="AP1204" s="9"/>
      <c r="AQ1204" s="9"/>
      <c r="AR1204" s="9"/>
      <c r="AS1204" s="9"/>
      <c r="AT1204" s="9"/>
      <c r="AU1204" s="9"/>
    </row>
    <row r="1205" spans="1:47" ht="15.75" customHeight="1">
      <c r="A1205" s="9"/>
      <c r="B1205" s="9"/>
      <c r="C1205" s="9"/>
      <c r="D1205" s="9"/>
      <c r="E1205" s="9"/>
      <c r="F1205" s="67"/>
      <c r="G1205" s="9"/>
      <c r="H1205" s="9"/>
      <c r="I1205" s="9"/>
      <c r="J1205" s="9"/>
      <c r="K1205" s="9"/>
      <c r="L1205" s="9"/>
      <c r="M1205" s="9"/>
      <c r="N1205" s="9"/>
      <c r="O1205" s="9"/>
      <c r="P1205" s="9"/>
      <c r="Q1205" s="9"/>
      <c r="R1205" s="9"/>
      <c r="S1205" s="9"/>
      <c r="T1205" s="9"/>
      <c r="U1205" s="9"/>
      <c r="V1205" s="9"/>
      <c r="W1205" s="9"/>
      <c r="X1205" s="9"/>
      <c r="Y1205" s="9"/>
      <c r="Z1205" s="9"/>
      <c r="AA1205" s="9"/>
      <c r="AB1205" s="9"/>
      <c r="AC1205" s="9"/>
      <c r="AD1205" s="9"/>
      <c r="AE1205" s="9"/>
      <c r="AF1205" s="9"/>
      <c r="AG1205" s="9"/>
      <c r="AH1205" s="9"/>
      <c r="AI1205" s="9"/>
      <c r="AJ1205" s="9"/>
      <c r="AK1205" s="9"/>
      <c r="AL1205" s="9"/>
      <c r="AM1205" s="9"/>
      <c r="AN1205" s="9"/>
      <c r="AO1205" s="9"/>
      <c r="AP1205" s="9"/>
      <c r="AQ1205" s="9"/>
      <c r="AR1205" s="9"/>
      <c r="AS1205" s="9"/>
      <c r="AT1205" s="9"/>
      <c r="AU1205" s="9"/>
    </row>
    <row r="1206" spans="1:47" ht="15.75" customHeight="1">
      <c r="A1206" s="9"/>
      <c r="B1206" s="9"/>
      <c r="C1206" s="9"/>
      <c r="D1206" s="9"/>
      <c r="E1206" s="9"/>
      <c r="F1206" s="67"/>
      <c r="G1206" s="9"/>
      <c r="H1206" s="9"/>
      <c r="I1206" s="9"/>
      <c r="J1206" s="9"/>
      <c r="K1206" s="9"/>
      <c r="L1206" s="9"/>
      <c r="M1206" s="9"/>
      <c r="N1206" s="9"/>
      <c r="O1206" s="9"/>
      <c r="P1206" s="9"/>
      <c r="Q1206" s="9"/>
      <c r="R1206" s="9"/>
      <c r="S1206" s="9"/>
      <c r="T1206" s="9"/>
      <c r="U1206" s="9"/>
      <c r="V1206" s="9"/>
      <c r="W1206" s="9"/>
      <c r="X1206" s="9"/>
      <c r="Y1206" s="9"/>
      <c r="Z1206" s="9"/>
      <c r="AA1206" s="9"/>
      <c r="AB1206" s="9"/>
      <c r="AC1206" s="9"/>
      <c r="AD1206" s="9"/>
      <c r="AE1206" s="9"/>
      <c r="AF1206" s="9"/>
      <c r="AG1206" s="9"/>
      <c r="AH1206" s="9"/>
      <c r="AI1206" s="9"/>
      <c r="AJ1206" s="9"/>
      <c r="AK1206" s="9"/>
      <c r="AL1206" s="9"/>
      <c r="AM1206" s="9"/>
      <c r="AN1206" s="9"/>
      <c r="AO1206" s="9"/>
      <c r="AP1206" s="9"/>
      <c r="AQ1206" s="9"/>
      <c r="AR1206" s="9"/>
      <c r="AS1206" s="9"/>
      <c r="AT1206" s="9"/>
      <c r="AU1206" s="9"/>
    </row>
    <row r="1207" spans="1:47" ht="15.75" customHeight="1">
      <c r="A1207" s="9"/>
      <c r="B1207" s="9"/>
      <c r="C1207" s="9"/>
      <c r="D1207" s="9"/>
      <c r="E1207" s="9"/>
      <c r="F1207" s="67"/>
      <c r="G1207" s="9"/>
      <c r="H1207" s="9"/>
      <c r="I1207" s="9"/>
      <c r="J1207" s="9"/>
      <c r="K1207" s="9"/>
      <c r="L1207" s="9"/>
      <c r="M1207" s="9"/>
      <c r="N1207" s="9"/>
      <c r="O1207" s="9"/>
      <c r="P1207" s="9"/>
      <c r="Q1207" s="9"/>
      <c r="R1207" s="9"/>
      <c r="S1207" s="9"/>
      <c r="T1207" s="9"/>
      <c r="U1207" s="9"/>
      <c r="V1207" s="9"/>
      <c r="W1207" s="9"/>
      <c r="X1207" s="9"/>
      <c r="Y1207" s="9"/>
      <c r="Z1207" s="9"/>
      <c r="AA1207" s="9"/>
      <c r="AB1207" s="9"/>
      <c r="AC1207" s="9"/>
      <c r="AD1207" s="9"/>
      <c r="AE1207" s="9"/>
      <c r="AF1207" s="9"/>
      <c r="AG1207" s="9"/>
      <c r="AH1207" s="9"/>
      <c r="AI1207" s="9"/>
      <c r="AJ1207" s="9"/>
      <c r="AK1207" s="9"/>
      <c r="AL1207" s="9"/>
      <c r="AM1207" s="9"/>
      <c r="AN1207" s="9"/>
      <c r="AO1207" s="9"/>
      <c r="AP1207" s="9"/>
      <c r="AQ1207" s="9"/>
      <c r="AR1207" s="9"/>
      <c r="AS1207" s="9"/>
      <c r="AT1207" s="9"/>
      <c r="AU1207" s="9"/>
    </row>
    <row r="1208" spans="1:47" ht="15.75" customHeight="1">
      <c r="A1208" s="9"/>
      <c r="B1208" s="9"/>
      <c r="C1208" s="9"/>
      <c r="D1208" s="9"/>
      <c r="E1208" s="9"/>
      <c r="F1208" s="67"/>
      <c r="G1208" s="9"/>
      <c r="H1208" s="9"/>
      <c r="I1208" s="9"/>
      <c r="J1208" s="9"/>
      <c r="K1208" s="9"/>
      <c r="L1208" s="9"/>
      <c r="M1208" s="9"/>
      <c r="N1208" s="9"/>
      <c r="O1208" s="9"/>
      <c r="P1208" s="9"/>
      <c r="Q1208" s="9"/>
      <c r="R1208" s="9"/>
      <c r="S1208" s="9"/>
      <c r="T1208" s="9"/>
      <c r="U1208" s="9"/>
      <c r="V1208" s="9"/>
      <c r="W1208" s="9"/>
      <c r="X1208" s="9"/>
      <c r="Y1208" s="9"/>
      <c r="Z1208" s="9"/>
      <c r="AA1208" s="9"/>
      <c r="AB1208" s="9"/>
      <c r="AC1208" s="9"/>
      <c r="AD1208" s="9"/>
      <c r="AE1208" s="9"/>
      <c r="AF1208" s="9"/>
      <c r="AG1208" s="9"/>
      <c r="AH1208" s="9"/>
      <c r="AI1208" s="9"/>
      <c r="AJ1208" s="9"/>
      <c r="AK1208" s="9"/>
      <c r="AL1208" s="9"/>
      <c r="AM1208" s="9"/>
      <c r="AN1208" s="9"/>
      <c r="AO1208" s="9"/>
      <c r="AP1208" s="9"/>
      <c r="AQ1208" s="9"/>
      <c r="AR1208" s="9"/>
      <c r="AS1208" s="9"/>
      <c r="AT1208" s="9"/>
      <c r="AU1208" s="9"/>
    </row>
    <row r="1209" spans="1:47" ht="15.75" customHeight="1">
      <c r="A1209" s="9"/>
      <c r="B1209" s="9"/>
      <c r="C1209" s="9"/>
      <c r="D1209" s="9"/>
      <c r="E1209" s="9"/>
      <c r="F1209" s="67"/>
      <c r="G1209" s="9"/>
      <c r="H1209" s="9"/>
      <c r="I1209" s="9"/>
      <c r="J1209" s="9"/>
      <c r="K1209" s="9"/>
      <c r="L1209" s="9"/>
      <c r="M1209" s="9"/>
      <c r="N1209" s="9"/>
      <c r="O1209" s="9"/>
      <c r="P1209" s="9"/>
      <c r="Q1209" s="9"/>
      <c r="R1209" s="9"/>
      <c r="S1209" s="9"/>
      <c r="T1209" s="9"/>
      <c r="U1209" s="9"/>
      <c r="V1209" s="9"/>
      <c r="W1209" s="9"/>
      <c r="X1209" s="9"/>
      <c r="Y1209" s="9"/>
      <c r="Z1209" s="9"/>
      <c r="AA1209" s="9"/>
      <c r="AB1209" s="9"/>
      <c r="AC1209" s="9"/>
      <c r="AD1209" s="9"/>
      <c r="AE1209" s="9"/>
      <c r="AF1209" s="9"/>
      <c r="AG1209" s="9"/>
      <c r="AH1209" s="9"/>
      <c r="AI1209" s="9"/>
      <c r="AJ1209" s="9"/>
      <c r="AK1209" s="9"/>
      <c r="AL1209" s="9"/>
      <c r="AM1209" s="9"/>
      <c r="AN1209" s="9"/>
      <c r="AO1209" s="9"/>
      <c r="AP1209" s="9"/>
      <c r="AQ1209" s="9"/>
      <c r="AR1209" s="9"/>
      <c r="AS1209" s="9"/>
      <c r="AT1209" s="9"/>
      <c r="AU1209" s="9"/>
    </row>
    <row r="1210" spans="1:47" ht="15.75" customHeight="1">
      <c r="A1210" s="9"/>
      <c r="B1210" s="9"/>
      <c r="C1210" s="9"/>
      <c r="D1210" s="9"/>
      <c r="E1210" s="9"/>
      <c r="F1210" s="67"/>
      <c r="G1210" s="9"/>
      <c r="H1210" s="9"/>
      <c r="I1210" s="9"/>
      <c r="J1210" s="9"/>
      <c r="K1210" s="9"/>
      <c r="L1210" s="9"/>
      <c r="M1210" s="9"/>
      <c r="N1210" s="9"/>
      <c r="O1210" s="9"/>
      <c r="P1210" s="9"/>
      <c r="Q1210" s="9"/>
      <c r="R1210" s="9"/>
      <c r="S1210" s="9"/>
      <c r="T1210" s="9"/>
      <c r="U1210" s="9"/>
      <c r="V1210" s="9"/>
      <c r="W1210" s="9"/>
      <c r="X1210" s="9"/>
      <c r="Y1210" s="9"/>
      <c r="Z1210" s="9"/>
      <c r="AA1210" s="9"/>
      <c r="AB1210" s="9"/>
      <c r="AC1210" s="9"/>
      <c r="AD1210" s="9"/>
      <c r="AE1210" s="9"/>
      <c r="AF1210" s="9"/>
      <c r="AG1210" s="9"/>
      <c r="AH1210" s="9"/>
      <c r="AI1210" s="9"/>
      <c r="AJ1210" s="9"/>
      <c r="AK1210" s="9"/>
      <c r="AL1210" s="9"/>
      <c r="AM1210" s="9"/>
      <c r="AN1210" s="9"/>
      <c r="AO1210" s="9"/>
      <c r="AP1210" s="9"/>
      <c r="AQ1210" s="9"/>
      <c r="AR1210" s="9"/>
      <c r="AS1210" s="9"/>
      <c r="AT1210" s="9"/>
      <c r="AU1210" s="9"/>
    </row>
    <row r="1211" spans="1:47" ht="15.75" customHeight="1">
      <c r="A1211" s="9"/>
      <c r="B1211" s="9"/>
      <c r="C1211" s="9"/>
      <c r="D1211" s="9"/>
      <c r="E1211" s="9"/>
      <c r="F1211" s="67"/>
      <c r="G1211" s="9"/>
      <c r="H1211" s="9"/>
      <c r="I1211" s="9"/>
      <c r="J1211" s="9"/>
      <c r="K1211" s="9"/>
      <c r="L1211" s="9"/>
      <c r="M1211" s="9"/>
      <c r="N1211" s="9"/>
      <c r="O1211" s="9"/>
      <c r="P1211" s="9"/>
      <c r="Q1211" s="9"/>
      <c r="R1211" s="9"/>
      <c r="S1211" s="9"/>
      <c r="T1211" s="9"/>
      <c r="U1211" s="9"/>
      <c r="V1211" s="9"/>
      <c r="W1211" s="9"/>
      <c r="X1211" s="9"/>
      <c r="Y1211" s="9"/>
      <c r="Z1211" s="9"/>
      <c r="AA1211" s="9"/>
      <c r="AB1211" s="9"/>
      <c r="AC1211" s="9"/>
      <c r="AD1211" s="9"/>
      <c r="AE1211" s="9"/>
      <c r="AF1211" s="9"/>
      <c r="AG1211" s="9"/>
      <c r="AH1211" s="9"/>
      <c r="AI1211" s="9"/>
      <c r="AJ1211" s="9"/>
      <c r="AK1211" s="9"/>
      <c r="AL1211" s="9"/>
      <c r="AM1211" s="9"/>
      <c r="AN1211" s="9"/>
      <c r="AO1211" s="9"/>
      <c r="AP1211" s="9"/>
      <c r="AQ1211" s="9"/>
      <c r="AR1211" s="9"/>
      <c r="AS1211" s="9"/>
      <c r="AT1211" s="9"/>
      <c r="AU1211" s="9"/>
    </row>
    <row r="1212" spans="1:47" ht="15.75" customHeight="1">
      <c r="A1212" s="9"/>
      <c r="B1212" s="9"/>
      <c r="C1212" s="9"/>
      <c r="D1212" s="9"/>
      <c r="E1212" s="9"/>
      <c r="F1212" s="67"/>
      <c r="G1212" s="9"/>
      <c r="H1212" s="9"/>
      <c r="I1212" s="9"/>
      <c r="J1212" s="9"/>
      <c r="K1212" s="9"/>
      <c r="L1212" s="9"/>
      <c r="M1212" s="9"/>
      <c r="N1212" s="9"/>
      <c r="O1212" s="9"/>
      <c r="P1212" s="9"/>
      <c r="Q1212" s="9"/>
      <c r="R1212" s="9"/>
      <c r="S1212" s="9"/>
      <c r="T1212" s="9"/>
      <c r="U1212" s="9"/>
      <c r="V1212" s="9"/>
      <c r="W1212" s="9"/>
      <c r="X1212" s="9"/>
      <c r="Y1212" s="9"/>
      <c r="Z1212" s="9"/>
      <c r="AA1212" s="9"/>
      <c r="AB1212" s="9"/>
      <c r="AC1212" s="9"/>
      <c r="AD1212" s="9"/>
      <c r="AE1212" s="9"/>
      <c r="AF1212" s="9"/>
      <c r="AG1212" s="9"/>
      <c r="AH1212" s="9"/>
      <c r="AI1212" s="9"/>
      <c r="AJ1212" s="9"/>
      <c r="AK1212" s="9"/>
      <c r="AL1212" s="9"/>
      <c r="AM1212" s="9"/>
      <c r="AN1212" s="9"/>
      <c r="AO1212" s="9"/>
      <c r="AP1212" s="9"/>
      <c r="AQ1212" s="9"/>
      <c r="AR1212" s="9"/>
      <c r="AS1212" s="9"/>
      <c r="AT1212" s="9"/>
      <c r="AU1212" s="9"/>
    </row>
    <row r="1213" spans="1:47" ht="15.75" customHeight="1">
      <c r="A1213" s="9"/>
      <c r="B1213" s="9"/>
      <c r="C1213" s="9"/>
      <c r="D1213" s="9"/>
      <c r="E1213" s="9"/>
      <c r="F1213" s="67"/>
      <c r="G1213" s="9"/>
      <c r="H1213" s="9"/>
      <c r="I1213" s="9"/>
      <c r="J1213" s="9"/>
      <c r="K1213" s="9"/>
      <c r="L1213" s="9"/>
      <c r="M1213" s="9"/>
      <c r="N1213" s="9"/>
      <c r="O1213" s="9"/>
      <c r="P1213" s="9"/>
      <c r="Q1213" s="9"/>
      <c r="R1213" s="9"/>
      <c r="S1213" s="9"/>
      <c r="T1213" s="9"/>
      <c r="U1213" s="9"/>
      <c r="V1213" s="9"/>
      <c r="W1213" s="9"/>
      <c r="X1213" s="9"/>
      <c r="Y1213" s="9"/>
      <c r="Z1213" s="9"/>
      <c r="AA1213" s="9"/>
      <c r="AB1213" s="9"/>
      <c r="AC1213" s="9"/>
      <c r="AD1213" s="9"/>
      <c r="AE1213" s="9"/>
      <c r="AF1213" s="9"/>
      <c r="AG1213" s="9"/>
      <c r="AH1213" s="9"/>
      <c r="AI1213" s="9"/>
      <c r="AJ1213" s="9"/>
      <c r="AK1213" s="9"/>
      <c r="AL1213" s="9"/>
      <c r="AM1213" s="9"/>
      <c r="AN1213" s="9"/>
      <c r="AO1213" s="9"/>
      <c r="AP1213" s="9"/>
      <c r="AQ1213" s="9"/>
      <c r="AR1213" s="9"/>
      <c r="AS1213" s="9"/>
      <c r="AT1213" s="9"/>
      <c r="AU1213" s="9"/>
    </row>
    <row r="1214" spans="1:47" ht="15.75" customHeight="1">
      <c r="A1214" s="9"/>
      <c r="B1214" s="9"/>
      <c r="C1214" s="9"/>
      <c r="D1214" s="9"/>
      <c r="E1214" s="9"/>
      <c r="F1214" s="67"/>
      <c r="G1214" s="9"/>
      <c r="H1214" s="9"/>
      <c r="I1214" s="9"/>
      <c r="J1214" s="9"/>
      <c r="K1214" s="9"/>
      <c r="L1214" s="9"/>
      <c r="M1214" s="9"/>
      <c r="N1214" s="9"/>
      <c r="O1214" s="9"/>
      <c r="P1214" s="9"/>
      <c r="Q1214" s="9"/>
      <c r="R1214" s="9"/>
      <c r="S1214" s="9"/>
      <c r="T1214" s="9"/>
      <c r="U1214" s="9"/>
      <c r="V1214" s="9"/>
      <c r="W1214" s="9"/>
      <c r="X1214" s="9"/>
      <c r="Y1214" s="9"/>
      <c r="Z1214" s="9"/>
      <c r="AA1214" s="9"/>
      <c r="AB1214" s="9"/>
      <c r="AC1214" s="9"/>
      <c r="AD1214" s="9"/>
      <c r="AE1214" s="9"/>
      <c r="AF1214" s="9"/>
      <c r="AG1214" s="9"/>
      <c r="AH1214" s="9"/>
      <c r="AI1214" s="9"/>
      <c r="AJ1214" s="9"/>
      <c r="AK1214" s="9"/>
      <c r="AL1214" s="9"/>
      <c r="AM1214" s="9"/>
      <c r="AN1214" s="9"/>
      <c r="AO1214" s="9"/>
      <c r="AP1214" s="9"/>
      <c r="AQ1214" s="9"/>
      <c r="AR1214" s="9"/>
      <c r="AS1214" s="9"/>
      <c r="AT1214" s="9"/>
      <c r="AU1214" s="9"/>
    </row>
    <row r="1215" spans="1:47" ht="15.75" customHeight="1">
      <c r="A1215" s="9"/>
      <c r="B1215" s="9"/>
      <c r="C1215" s="9"/>
      <c r="D1215" s="9"/>
      <c r="E1215" s="9"/>
      <c r="F1215" s="67"/>
      <c r="G1215" s="9"/>
      <c r="H1215" s="9"/>
      <c r="I1215" s="9"/>
      <c r="J1215" s="9"/>
      <c r="K1215" s="9"/>
      <c r="L1215" s="9"/>
      <c r="M1215" s="9"/>
      <c r="N1215" s="9"/>
      <c r="O1215" s="9"/>
      <c r="P1215" s="9"/>
      <c r="Q1215" s="9"/>
      <c r="R1215" s="9"/>
      <c r="S1215" s="9"/>
      <c r="T1215" s="9"/>
      <c r="U1215" s="9"/>
      <c r="V1215" s="9"/>
      <c r="W1215" s="9"/>
      <c r="X1215" s="9"/>
      <c r="Y1215" s="9"/>
      <c r="Z1215" s="9"/>
      <c r="AA1215" s="9"/>
      <c r="AB1215" s="9"/>
      <c r="AC1215" s="9"/>
      <c r="AD1215" s="9"/>
      <c r="AE1215" s="9"/>
      <c r="AF1215" s="9"/>
      <c r="AG1215" s="9"/>
      <c r="AH1215" s="9"/>
      <c r="AI1215" s="9"/>
      <c r="AJ1215" s="9"/>
      <c r="AK1215" s="9"/>
      <c r="AL1215" s="9"/>
      <c r="AM1215" s="9"/>
      <c r="AN1215" s="9"/>
      <c r="AO1215" s="9"/>
      <c r="AP1215" s="9"/>
      <c r="AQ1215" s="9"/>
      <c r="AR1215" s="9"/>
      <c r="AS1215" s="9"/>
      <c r="AT1215" s="9"/>
      <c r="AU1215" s="9"/>
    </row>
    <row r="1216" spans="1:47" ht="15.75" customHeight="1">
      <c r="A1216" s="9"/>
      <c r="B1216" s="9"/>
      <c r="C1216" s="9"/>
      <c r="D1216" s="9"/>
      <c r="E1216" s="9"/>
      <c r="F1216" s="67"/>
      <c r="G1216" s="9"/>
      <c r="H1216" s="9"/>
      <c r="I1216" s="9"/>
      <c r="J1216" s="9"/>
      <c r="K1216" s="9"/>
      <c r="L1216" s="9"/>
      <c r="M1216" s="9"/>
      <c r="N1216" s="9"/>
      <c r="O1216" s="9"/>
      <c r="P1216" s="9"/>
      <c r="Q1216" s="9"/>
      <c r="R1216" s="9"/>
      <c r="S1216" s="9"/>
      <c r="T1216" s="9"/>
      <c r="U1216" s="9"/>
      <c r="V1216" s="9"/>
      <c r="W1216" s="9"/>
      <c r="X1216" s="9"/>
      <c r="Y1216" s="9"/>
      <c r="Z1216" s="9"/>
      <c r="AA1216" s="9"/>
      <c r="AB1216" s="9"/>
      <c r="AC1216" s="9"/>
      <c r="AD1216" s="9"/>
      <c r="AE1216" s="9"/>
      <c r="AF1216" s="9"/>
      <c r="AG1216" s="9"/>
      <c r="AH1216" s="9"/>
      <c r="AI1216" s="9"/>
      <c r="AJ1216" s="9"/>
      <c r="AK1216" s="9"/>
      <c r="AL1216" s="9"/>
      <c r="AM1216" s="9"/>
      <c r="AN1216" s="9"/>
      <c r="AO1216" s="9"/>
      <c r="AP1216" s="9"/>
      <c r="AQ1216" s="9"/>
      <c r="AR1216" s="9"/>
      <c r="AS1216" s="9"/>
      <c r="AT1216" s="9"/>
      <c r="AU1216" s="9"/>
    </row>
    <row r="1217" spans="1:47" ht="15.75" customHeight="1">
      <c r="A1217" s="9"/>
      <c r="B1217" s="9"/>
      <c r="C1217" s="9"/>
      <c r="D1217" s="9"/>
      <c r="E1217" s="9"/>
      <c r="F1217" s="67"/>
      <c r="G1217" s="9"/>
      <c r="H1217" s="9"/>
      <c r="I1217" s="9"/>
      <c r="J1217" s="9"/>
      <c r="K1217" s="9"/>
      <c r="L1217" s="9"/>
      <c r="M1217" s="9"/>
      <c r="N1217" s="9"/>
      <c r="O1217" s="9"/>
      <c r="P1217" s="9"/>
      <c r="Q1217" s="9"/>
      <c r="R1217" s="9"/>
      <c r="S1217" s="9"/>
      <c r="T1217" s="9"/>
      <c r="U1217" s="9"/>
      <c r="V1217" s="9"/>
      <c r="W1217" s="9"/>
      <c r="X1217" s="9"/>
      <c r="Y1217" s="9"/>
      <c r="Z1217" s="9"/>
      <c r="AA1217" s="9"/>
      <c r="AB1217" s="9"/>
      <c r="AC1217" s="9"/>
      <c r="AD1217" s="9"/>
      <c r="AE1217" s="9"/>
      <c r="AF1217" s="9"/>
      <c r="AG1217" s="9"/>
      <c r="AH1217" s="9"/>
      <c r="AI1217" s="9"/>
      <c r="AJ1217" s="9"/>
      <c r="AK1217" s="9"/>
      <c r="AL1217" s="9"/>
      <c r="AM1217" s="9"/>
      <c r="AN1217" s="9"/>
      <c r="AO1217" s="9"/>
      <c r="AP1217" s="9"/>
      <c r="AQ1217" s="9"/>
      <c r="AR1217" s="9"/>
      <c r="AS1217" s="9"/>
      <c r="AT1217" s="9"/>
      <c r="AU1217" s="9"/>
    </row>
    <row r="1218" spans="1:47" ht="15.75" customHeight="1">
      <c r="A1218" s="9"/>
      <c r="B1218" s="9"/>
      <c r="C1218" s="9"/>
      <c r="D1218" s="9"/>
      <c r="E1218" s="9"/>
      <c r="F1218" s="67"/>
      <c r="G1218" s="9"/>
      <c r="H1218" s="9"/>
      <c r="I1218" s="9"/>
      <c r="J1218" s="9"/>
      <c r="K1218" s="9"/>
      <c r="L1218" s="9"/>
      <c r="M1218" s="9"/>
      <c r="N1218" s="9"/>
      <c r="O1218" s="9"/>
      <c r="P1218" s="9"/>
      <c r="Q1218" s="9"/>
      <c r="R1218" s="9"/>
      <c r="S1218" s="9"/>
      <c r="T1218" s="9"/>
      <c r="U1218" s="9"/>
      <c r="V1218" s="9"/>
      <c r="W1218" s="9"/>
      <c r="X1218" s="9"/>
      <c r="Y1218" s="9"/>
      <c r="Z1218" s="9"/>
      <c r="AA1218" s="9"/>
      <c r="AB1218" s="9"/>
      <c r="AC1218" s="9"/>
      <c r="AD1218" s="9"/>
      <c r="AE1218" s="9"/>
      <c r="AF1218" s="9"/>
      <c r="AG1218" s="9"/>
      <c r="AH1218" s="9"/>
      <c r="AI1218" s="9"/>
      <c r="AJ1218" s="9"/>
      <c r="AK1218" s="9"/>
      <c r="AL1218" s="9"/>
      <c r="AM1218" s="9"/>
      <c r="AN1218" s="9"/>
      <c r="AO1218" s="9"/>
      <c r="AP1218" s="9"/>
      <c r="AQ1218" s="9"/>
      <c r="AR1218" s="9"/>
      <c r="AS1218" s="9"/>
      <c r="AT1218" s="9"/>
      <c r="AU1218" s="9"/>
    </row>
    <row r="1219" spans="1:47" ht="15.75" customHeight="1">
      <c r="A1219" s="9"/>
      <c r="B1219" s="9"/>
      <c r="C1219" s="9"/>
      <c r="D1219" s="9"/>
      <c r="E1219" s="9"/>
      <c r="F1219" s="67"/>
      <c r="G1219" s="9"/>
      <c r="H1219" s="9"/>
      <c r="I1219" s="9"/>
      <c r="J1219" s="9"/>
      <c r="K1219" s="9"/>
      <c r="L1219" s="9"/>
      <c r="M1219" s="9"/>
      <c r="N1219" s="9"/>
      <c r="O1219" s="9"/>
      <c r="P1219" s="9"/>
      <c r="Q1219" s="9"/>
      <c r="R1219" s="9"/>
      <c r="S1219" s="9"/>
      <c r="T1219" s="9"/>
      <c r="U1219" s="9"/>
      <c r="V1219" s="9"/>
      <c r="W1219" s="9"/>
      <c r="X1219" s="9"/>
      <c r="Y1219" s="9"/>
      <c r="Z1219" s="9"/>
      <c r="AA1219" s="9"/>
      <c r="AB1219" s="9"/>
      <c r="AC1219" s="9"/>
      <c r="AD1219" s="9"/>
      <c r="AE1219" s="9"/>
      <c r="AF1219" s="9"/>
      <c r="AG1219" s="9"/>
      <c r="AH1219" s="9"/>
      <c r="AI1219" s="9"/>
      <c r="AJ1219" s="9"/>
      <c r="AK1219" s="9"/>
      <c r="AL1219" s="9"/>
      <c r="AM1219" s="9"/>
      <c r="AN1219" s="9"/>
      <c r="AO1219" s="9"/>
      <c r="AP1219" s="9"/>
      <c r="AQ1219" s="9"/>
      <c r="AR1219" s="9"/>
      <c r="AS1219" s="9"/>
      <c r="AT1219" s="9"/>
      <c r="AU1219" s="9"/>
    </row>
    <row r="1220" spans="1:47" ht="15.75" customHeight="1">
      <c r="A1220" s="9"/>
      <c r="B1220" s="9"/>
      <c r="C1220" s="9"/>
      <c r="D1220" s="9"/>
      <c r="E1220" s="9"/>
      <c r="F1220" s="67"/>
      <c r="G1220" s="9"/>
      <c r="H1220" s="9"/>
      <c r="I1220" s="9"/>
      <c r="J1220" s="9"/>
      <c r="K1220" s="9"/>
      <c r="L1220" s="9"/>
      <c r="M1220" s="9"/>
      <c r="N1220" s="9"/>
      <c r="O1220" s="9"/>
      <c r="P1220" s="9"/>
      <c r="Q1220" s="9"/>
      <c r="R1220" s="9"/>
      <c r="S1220" s="9"/>
      <c r="T1220" s="9"/>
      <c r="U1220" s="9"/>
      <c r="V1220" s="9"/>
      <c r="W1220" s="9"/>
      <c r="X1220" s="9"/>
      <c r="Y1220" s="9"/>
      <c r="Z1220" s="9"/>
      <c r="AA1220" s="9"/>
      <c r="AB1220" s="9"/>
      <c r="AC1220" s="9"/>
      <c r="AD1220" s="9"/>
      <c r="AE1220" s="9"/>
      <c r="AF1220" s="9"/>
      <c r="AG1220" s="9"/>
      <c r="AH1220" s="9"/>
      <c r="AI1220" s="9"/>
      <c r="AJ1220" s="9"/>
      <c r="AK1220" s="9"/>
      <c r="AL1220" s="9"/>
      <c r="AM1220" s="9"/>
      <c r="AN1220" s="9"/>
      <c r="AO1220" s="9"/>
      <c r="AP1220" s="9"/>
      <c r="AQ1220" s="9"/>
      <c r="AR1220" s="9"/>
      <c r="AS1220" s="9"/>
      <c r="AT1220" s="9"/>
      <c r="AU1220" s="9"/>
    </row>
    <row r="1221" spans="1:47" ht="15.75" customHeight="1">
      <c r="A1221" s="9"/>
      <c r="B1221" s="9"/>
      <c r="C1221" s="9"/>
      <c r="D1221" s="9"/>
      <c r="E1221" s="9"/>
      <c r="F1221" s="67"/>
      <c r="G1221" s="9"/>
      <c r="H1221" s="9"/>
      <c r="I1221" s="9"/>
      <c r="J1221" s="9"/>
      <c r="K1221" s="9"/>
      <c r="L1221" s="9"/>
      <c r="M1221" s="9"/>
      <c r="N1221" s="9"/>
      <c r="O1221" s="9"/>
      <c r="P1221" s="9"/>
      <c r="Q1221" s="9"/>
      <c r="R1221" s="9"/>
      <c r="S1221" s="9"/>
      <c r="T1221" s="9"/>
      <c r="U1221" s="9"/>
      <c r="V1221" s="9"/>
      <c r="W1221" s="9"/>
      <c r="X1221" s="9"/>
      <c r="Y1221" s="9"/>
      <c r="Z1221" s="9"/>
      <c r="AA1221" s="9"/>
      <c r="AB1221" s="9"/>
      <c r="AC1221" s="9"/>
      <c r="AD1221" s="9"/>
      <c r="AE1221" s="9"/>
      <c r="AF1221" s="9"/>
      <c r="AG1221" s="9"/>
      <c r="AH1221" s="9"/>
      <c r="AI1221" s="9"/>
      <c r="AJ1221" s="9"/>
      <c r="AK1221" s="9"/>
      <c r="AL1221" s="9"/>
      <c r="AM1221" s="9"/>
      <c r="AN1221" s="9"/>
      <c r="AO1221" s="9"/>
      <c r="AP1221" s="9"/>
      <c r="AQ1221" s="9"/>
      <c r="AR1221" s="9"/>
      <c r="AS1221" s="9"/>
      <c r="AT1221" s="9"/>
      <c r="AU1221" s="9"/>
    </row>
    <row r="1222" spans="1:47" ht="15.75" customHeight="1">
      <c r="A1222" s="9"/>
      <c r="B1222" s="9"/>
      <c r="C1222" s="9"/>
      <c r="D1222" s="9"/>
      <c r="E1222" s="9"/>
      <c r="F1222" s="67"/>
      <c r="G1222" s="9"/>
      <c r="H1222" s="9"/>
      <c r="I1222" s="9"/>
      <c r="J1222" s="9"/>
      <c r="K1222" s="9"/>
      <c r="L1222" s="9"/>
      <c r="M1222" s="9"/>
      <c r="N1222" s="9"/>
      <c r="O1222" s="9"/>
      <c r="P1222" s="9"/>
      <c r="Q1222" s="9"/>
      <c r="R1222" s="9"/>
      <c r="S1222" s="9"/>
      <c r="T1222" s="9"/>
      <c r="U1222" s="9"/>
      <c r="V1222" s="9"/>
      <c r="W1222" s="9"/>
      <c r="X1222" s="9"/>
      <c r="Y1222" s="9"/>
      <c r="Z1222" s="9"/>
      <c r="AA1222" s="9"/>
      <c r="AB1222" s="9"/>
      <c r="AC1222" s="9"/>
      <c r="AD1222" s="9"/>
      <c r="AE1222" s="9"/>
      <c r="AF1222" s="9"/>
      <c r="AG1222" s="9"/>
      <c r="AH1222" s="9"/>
      <c r="AI1222" s="9"/>
      <c r="AJ1222" s="9"/>
      <c r="AK1222" s="9"/>
      <c r="AL1222" s="9"/>
      <c r="AM1222" s="9"/>
      <c r="AN1222" s="9"/>
      <c r="AO1222" s="9"/>
      <c r="AP1222" s="9"/>
      <c r="AQ1222" s="9"/>
      <c r="AR1222" s="9"/>
      <c r="AS1222" s="9"/>
      <c r="AT1222" s="9"/>
      <c r="AU1222" s="9"/>
    </row>
    <row r="1223" spans="1:47" ht="15.75" customHeight="1">
      <c r="A1223" s="9"/>
      <c r="B1223" s="9"/>
      <c r="C1223" s="9"/>
      <c r="D1223" s="9"/>
      <c r="E1223" s="9"/>
      <c r="F1223" s="67"/>
      <c r="G1223" s="9"/>
      <c r="H1223" s="9"/>
      <c r="I1223" s="9"/>
      <c r="J1223" s="9"/>
      <c r="K1223" s="9"/>
      <c r="L1223" s="9"/>
      <c r="M1223" s="9"/>
      <c r="N1223" s="9"/>
      <c r="O1223" s="9"/>
      <c r="P1223" s="9"/>
      <c r="Q1223" s="9"/>
      <c r="R1223" s="9"/>
      <c r="S1223" s="9"/>
      <c r="T1223" s="9"/>
      <c r="U1223" s="9"/>
      <c r="V1223" s="9"/>
      <c r="W1223" s="9"/>
      <c r="X1223" s="9"/>
      <c r="Y1223" s="9"/>
      <c r="Z1223" s="9"/>
      <c r="AA1223" s="9"/>
      <c r="AB1223" s="9"/>
      <c r="AC1223" s="9"/>
      <c r="AD1223" s="9"/>
      <c r="AE1223" s="9"/>
      <c r="AF1223" s="9"/>
      <c r="AG1223" s="9"/>
      <c r="AH1223" s="9"/>
      <c r="AI1223" s="9"/>
      <c r="AJ1223" s="9"/>
      <c r="AK1223" s="9"/>
      <c r="AL1223" s="9"/>
      <c r="AM1223" s="9"/>
      <c r="AN1223" s="9"/>
      <c r="AO1223" s="9"/>
      <c r="AP1223" s="9"/>
      <c r="AQ1223" s="9"/>
      <c r="AR1223" s="9"/>
      <c r="AS1223" s="9"/>
      <c r="AT1223" s="9"/>
      <c r="AU1223" s="9"/>
    </row>
    <row r="1224" spans="1:47" ht="15.75" customHeight="1">
      <c r="A1224" s="9"/>
      <c r="B1224" s="9"/>
      <c r="C1224" s="9"/>
      <c r="D1224" s="9"/>
      <c r="E1224" s="9"/>
      <c r="F1224" s="67"/>
      <c r="G1224" s="9"/>
      <c r="H1224" s="9"/>
      <c r="I1224" s="9"/>
      <c r="J1224" s="9"/>
      <c r="K1224" s="9"/>
      <c r="L1224" s="9"/>
      <c r="M1224" s="9"/>
      <c r="N1224" s="9"/>
      <c r="O1224" s="9"/>
      <c r="P1224" s="9"/>
      <c r="Q1224" s="9"/>
      <c r="R1224" s="9"/>
      <c r="S1224" s="9"/>
      <c r="T1224" s="9"/>
      <c r="U1224" s="9"/>
      <c r="V1224" s="9"/>
      <c r="W1224" s="9"/>
      <c r="X1224" s="9"/>
      <c r="Y1224" s="9"/>
      <c r="Z1224" s="9"/>
      <c r="AA1224" s="9"/>
      <c r="AB1224" s="9"/>
      <c r="AC1224" s="9"/>
      <c r="AD1224" s="9"/>
      <c r="AE1224" s="9"/>
      <c r="AF1224" s="9"/>
      <c r="AG1224" s="9"/>
      <c r="AH1224" s="9"/>
      <c r="AI1224" s="9"/>
      <c r="AJ1224" s="9"/>
      <c r="AK1224" s="9"/>
      <c r="AL1224" s="9"/>
      <c r="AM1224" s="9"/>
      <c r="AN1224" s="9"/>
      <c r="AO1224" s="9"/>
      <c r="AP1224" s="9"/>
      <c r="AQ1224" s="9"/>
      <c r="AR1224" s="9"/>
      <c r="AS1224" s="9"/>
      <c r="AT1224" s="9"/>
      <c r="AU1224" s="9"/>
    </row>
    <row r="1225" spans="1:47" ht="15.75" customHeight="1">
      <c r="A1225" s="9"/>
      <c r="B1225" s="9"/>
      <c r="C1225" s="9"/>
      <c r="D1225" s="9"/>
      <c r="E1225" s="9"/>
      <c r="F1225" s="67"/>
      <c r="G1225" s="9"/>
      <c r="H1225" s="9"/>
      <c r="I1225" s="9"/>
      <c r="J1225" s="9"/>
      <c r="K1225" s="9"/>
      <c r="L1225" s="9"/>
      <c r="M1225" s="9"/>
      <c r="N1225" s="9"/>
      <c r="O1225" s="9"/>
      <c r="P1225" s="9"/>
      <c r="Q1225" s="9"/>
      <c r="R1225" s="9"/>
      <c r="S1225" s="9"/>
      <c r="T1225" s="9"/>
      <c r="U1225" s="9"/>
      <c r="V1225" s="9"/>
      <c r="W1225" s="9"/>
      <c r="X1225" s="9"/>
      <c r="Y1225" s="9"/>
      <c r="Z1225" s="9"/>
      <c r="AA1225" s="9"/>
      <c r="AB1225" s="9"/>
      <c r="AC1225" s="9"/>
      <c r="AD1225" s="9"/>
      <c r="AE1225" s="9"/>
      <c r="AF1225" s="9"/>
      <c r="AG1225" s="9"/>
      <c r="AH1225" s="9"/>
      <c r="AI1225" s="9"/>
      <c r="AJ1225" s="9"/>
      <c r="AK1225" s="9"/>
      <c r="AL1225" s="9"/>
      <c r="AM1225" s="9"/>
      <c r="AN1225" s="9"/>
      <c r="AO1225" s="9"/>
      <c r="AP1225" s="9"/>
      <c r="AQ1225" s="9"/>
      <c r="AR1225" s="9"/>
      <c r="AS1225" s="9"/>
      <c r="AT1225" s="9"/>
      <c r="AU1225" s="9"/>
    </row>
    <row r="1226" spans="1:47" ht="15.75" customHeight="1">
      <c r="A1226" s="9"/>
      <c r="B1226" s="9"/>
      <c r="C1226" s="9"/>
      <c r="D1226" s="9"/>
      <c r="E1226" s="9"/>
      <c r="F1226" s="67"/>
      <c r="G1226" s="9"/>
      <c r="H1226" s="9"/>
      <c r="I1226" s="9"/>
      <c r="J1226" s="9"/>
      <c r="K1226" s="9"/>
      <c r="L1226" s="9"/>
      <c r="M1226" s="9"/>
      <c r="N1226" s="9"/>
      <c r="O1226" s="9"/>
      <c r="P1226" s="9"/>
      <c r="Q1226" s="9"/>
      <c r="R1226" s="9"/>
      <c r="S1226" s="9"/>
      <c r="T1226" s="9"/>
      <c r="U1226" s="9"/>
      <c r="V1226" s="9"/>
      <c r="W1226" s="9"/>
      <c r="X1226" s="9"/>
      <c r="Y1226" s="9"/>
      <c r="Z1226" s="9"/>
      <c r="AA1226" s="9"/>
      <c r="AB1226" s="9"/>
      <c r="AC1226" s="9"/>
      <c r="AD1226" s="9"/>
      <c r="AE1226" s="9"/>
      <c r="AF1226" s="9"/>
      <c r="AG1226" s="9"/>
      <c r="AH1226" s="9"/>
      <c r="AI1226" s="9"/>
      <c r="AJ1226" s="9"/>
      <c r="AK1226" s="9"/>
      <c r="AL1226" s="9"/>
      <c r="AM1226" s="9"/>
      <c r="AN1226" s="9"/>
      <c r="AO1226" s="9"/>
      <c r="AP1226" s="9"/>
      <c r="AQ1226" s="9"/>
      <c r="AR1226" s="9"/>
      <c r="AS1226" s="9"/>
      <c r="AT1226" s="9"/>
      <c r="AU1226" s="9"/>
    </row>
    <row r="1227" spans="1:47" ht="15.75" customHeight="1">
      <c r="A1227" s="9"/>
      <c r="B1227" s="9"/>
      <c r="C1227" s="9"/>
      <c r="D1227" s="9"/>
      <c r="E1227" s="9"/>
      <c r="F1227" s="67"/>
      <c r="G1227" s="9"/>
      <c r="H1227" s="9"/>
      <c r="I1227" s="9"/>
      <c r="J1227" s="9"/>
      <c r="K1227" s="9"/>
      <c r="L1227" s="9"/>
      <c r="M1227" s="9"/>
      <c r="N1227" s="9"/>
      <c r="O1227" s="9"/>
      <c r="P1227" s="9"/>
      <c r="Q1227" s="9"/>
      <c r="R1227" s="9"/>
      <c r="S1227" s="9"/>
      <c r="T1227" s="9"/>
      <c r="U1227" s="9"/>
      <c r="V1227" s="9"/>
      <c r="W1227" s="9"/>
      <c r="X1227" s="9"/>
      <c r="Y1227" s="9"/>
      <c r="Z1227" s="9"/>
      <c r="AA1227" s="9"/>
      <c r="AB1227" s="9"/>
      <c r="AC1227" s="9"/>
      <c r="AD1227" s="9"/>
      <c r="AE1227" s="9"/>
      <c r="AF1227" s="9"/>
      <c r="AG1227" s="9"/>
      <c r="AH1227" s="9"/>
      <c r="AI1227" s="9"/>
      <c r="AJ1227" s="9"/>
      <c r="AK1227" s="9"/>
      <c r="AL1227" s="9"/>
      <c r="AM1227" s="9"/>
      <c r="AN1227" s="9"/>
      <c r="AO1227" s="9"/>
      <c r="AP1227" s="9"/>
      <c r="AQ1227" s="9"/>
      <c r="AR1227" s="9"/>
      <c r="AS1227" s="9"/>
      <c r="AT1227" s="9"/>
      <c r="AU1227" s="9"/>
    </row>
    <row r="1228" spans="1:47" ht="15.75" customHeight="1">
      <c r="A1228" s="9"/>
      <c r="B1228" s="9"/>
      <c r="C1228" s="9"/>
      <c r="D1228" s="9"/>
      <c r="E1228" s="9"/>
      <c r="F1228" s="67"/>
      <c r="G1228" s="9"/>
      <c r="H1228" s="9"/>
      <c r="I1228" s="9"/>
      <c r="J1228" s="9"/>
      <c r="K1228" s="9"/>
      <c r="L1228" s="9"/>
      <c r="M1228" s="9"/>
      <c r="N1228" s="9"/>
      <c r="O1228" s="9"/>
      <c r="P1228" s="9"/>
      <c r="Q1228" s="9"/>
      <c r="R1228" s="9"/>
      <c r="S1228" s="9"/>
      <c r="T1228" s="9"/>
      <c r="U1228" s="9"/>
      <c r="V1228" s="9"/>
      <c r="W1228" s="9"/>
      <c r="X1228" s="9"/>
      <c r="Y1228" s="9"/>
      <c r="Z1228" s="9"/>
      <c r="AA1228" s="9"/>
      <c r="AB1228" s="9"/>
      <c r="AC1228" s="9"/>
      <c r="AD1228" s="9"/>
      <c r="AE1228" s="9"/>
      <c r="AF1228" s="9"/>
      <c r="AG1228" s="9"/>
      <c r="AH1228" s="9"/>
      <c r="AI1228" s="9"/>
      <c r="AJ1228" s="9"/>
      <c r="AK1228" s="9"/>
      <c r="AL1228" s="9"/>
      <c r="AM1228" s="9"/>
      <c r="AN1228" s="9"/>
      <c r="AO1228" s="9"/>
      <c r="AP1228" s="9"/>
      <c r="AQ1228" s="9"/>
      <c r="AR1228" s="9"/>
      <c r="AS1228" s="9"/>
      <c r="AT1228" s="9"/>
      <c r="AU1228" s="9"/>
    </row>
    <row r="1229" spans="1:47" ht="15.75" customHeight="1">
      <c r="A1229" s="9"/>
      <c r="B1229" s="9"/>
      <c r="C1229" s="9"/>
      <c r="D1229" s="9"/>
      <c r="E1229" s="9"/>
      <c r="F1229" s="67"/>
      <c r="G1229" s="9"/>
      <c r="H1229" s="9"/>
      <c r="I1229" s="9"/>
      <c r="J1229" s="9"/>
      <c r="K1229" s="9"/>
      <c r="L1229" s="9"/>
      <c r="M1229" s="9"/>
      <c r="N1229" s="9"/>
      <c r="O1229" s="9"/>
      <c r="P1229" s="9"/>
      <c r="Q1229" s="9"/>
      <c r="R1229" s="9"/>
      <c r="S1229" s="9"/>
      <c r="T1229" s="9"/>
      <c r="U1229" s="9"/>
      <c r="V1229" s="9"/>
      <c r="W1229" s="9"/>
      <c r="X1229" s="9"/>
      <c r="Y1229" s="9"/>
      <c r="Z1229" s="9"/>
      <c r="AA1229" s="9"/>
      <c r="AB1229" s="9"/>
      <c r="AC1229" s="9"/>
      <c r="AD1229" s="9"/>
      <c r="AE1229" s="9"/>
      <c r="AF1229" s="9"/>
      <c r="AG1229" s="9"/>
      <c r="AH1229" s="9"/>
      <c r="AI1229" s="9"/>
      <c r="AJ1229" s="9"/>
      <c r="AK1229" s="9"/>
      <c r="AL1229" s="9"/>
      <c r="AM1229" s="9"/>
      <c r="AN1229" s="9"/>
      <c r="AO1229" s="9"/>
      <c r="AP1229" s="9"/>
      <c r="AQ1229" s="9"/>
      <c r="AR1229" s="9"/>
      <c r="AS1229" s="9"/>
      <c r="AT1229" s="9"/>
      <c r="AU1229" s="9"/>
    </row>
    <row r="1230" spans="1:47" ht="15.75" customHeight="1">
      <c r="A1230" s="9"/>
      <c r="B1230" s="9"/>
      <c r="C1230" s="9"/>
      <c r="D1230" s="9"/>
      <c r="E1230" s="9"/>
      <c r="F1230" s="67"/>
      <c r="G1230" s="9"/>
      <c r="H1230" s="9"/>
      <c r="I1230" s="9"/>
      <c r="J1230" s="9"/>
      <c r="K1230" s="9"/>
      <c r="L1230" s="9"/>
      <c r="M1230" s="9"/>
      <c r="N1230" s="9"/>
      <c r="O1230" s="9"/>
      <c r="P1230" s="9"/>
      <c r="Q1230" s="9"/>
      <c r="R1230" s="9"/>
      <c r="S1230" s="9"/>
      <c r="T1230" s="9"/>
      <c r="U1230" s="9"/>
      <c r="V1230" s="9"/>
      <c r="W1230" s="9"/>
      <c r="X1230" s="9"/>
      <c r="Y1230" s="9"/>
      <c r="Z1230" s="9"/>
      <c r="AA1230" s="9"/>
      <c r="AB1230" s="9"/>
      <c r="AC1230" s="9"/>
      <c r="AD1230" s="9"/>
      <c r="AE1230" s="9"/>
      <c r="AF1230" s="9"/>
      <c r="AG1230" s="9"/>
      <c r="AH1230" s="9"/>
      <c r="AI1230" s="9"/>
      <c r="AJ1230" s="9"/>
      <c r="AK1230" s="9"/>
      <c r="AL1230" s="9"/>
      <c r="AM1230" s="9"/>
      <c r="AN1230" s="9"/>
      <c r="AO1230" s="9"/>
      <c r="AP1230" s="9"/>
      <c r="AQ1230" s="9"/>
      <c r="AR1230" s="9"/>
      <c r="AS1230" s="9"/>
      <c r="AT1230" s="9"/>
      <c r="AU1230" s="9"/>
    </row>
    <row r="1231" spans="1:47" ht="15.75" customHeight="1">
      <c r="A1231" s="9"/>
      <c r="B1231" s="9"/>
      <c r="C1231" s="9"/>
      <c r="D1231" s="9"/>
      <c r="E1231" s="9"/>
      <c r="F1231" s="67"/>
      <c r="G1231" s="9"/>
      <c r="H1231" s="9"/>
      <c r="I1231" s="9"/>
      <c r="J1231" s="9"/>
      <c r="K1231" s="9"/>
      <c r="L1231" s="9"/>
      <c r="M1231" s="9"/>
      <c r="N1231" s="9"/>
      <c r="O1231" s="9"/>
      <c r="P1231" s="9"/>
      <c r="Q1231" s="9"/>
      <c r="R1231" s="9"/>
      <c r="S1231" s="9"/>
      <c r="T1231" s="9"/>
      <c r="U1231" s="9"/>
      <c r="V1231" s="9"/>
      <c r="W1231" s="9"/>
      <c r="X1231" s="9"/>
      <c r="Y1231" s="9"/>
      <c r="Z1231" s="9"/>
      <c r="AA1231" s="9"/>
      <c r="AB1231" s="9"/>
      <c r="AC1231" s="9"/>
      <c r="AD1231" s="9"/>
      <c r="AE1231" s="9"/>
      <c r="AF1231" s="9"/>
      <c r="AG1231" s="9"/>
      <c r="AH1231" s="9"/>
      <c r="AI1231" s="9"/>
      <c r="AJ1231" s="9"/>
      <c r="AK1231" s="9"/>
      <c r="AL1231" s="9"/>
      <c r="AM1231" s="9"/>
      <c r="AN1231" s="9"/>
      <c r="AO1231" s="9"/>
      <c r="AP1231" s="9"/>
      <c r="AQ1231" s="9"/>
      <c r="AR1231" s="9"/>
      <c r="AS1231" s="9"/>
      <c r="AT1231" s="9"/>
      <c r="AU1231" s="9"/>
    </row>
    <row r="1232" spans="1:47" ht="15.75" customHeight="1">
      <c r="A1232" s="9"/>
      <c r="B1232" s="9"/>
      <c r="C1232" s="9"/>
      <c r="D1232" s="9"/>
      <c r="E1232" s="9"/>
      <c r="F1232" s="67"/>
      <c r="G1232" s="9"/>
      <c r="H1232" s="9"/>
      <c r="I1232" s="9"/>
      <c r="J1232" s="9"/>
      <c r="K1232" s="9"/>
      <c r="L1232" s="9"/>
      <c r="M1232" s="9"/>
      <c r="N1232" s="9"/>
      <c r="O1232" s="9"/>
      <c r="P1232" s="9"/>
      <c r="Q1232" s="9"/>
      <c r="R1232" s="9"/>
      <c r="S1232" s="9"/>
      <c r="T1232" s="9"/>
      <c r="U1232" s="9"/>
      <c r="V1232" s="9"/>
      <c r="W1232" s="9"/>
      <c r="X1232" s="9"/>
      <c r="Y1232" s="9"/>
      <c r="Z1232" s="9"/>
      <c r="AA1232" s="9"/>
      <c r="AB1232" s="9"/>
      <c r="AC1232" s="9"/>
      <c r="AD1232" s="9"/>
      <c r="AE1232" s="9"/>
      <c r="AF1232" s="9"/>
      <c r="AG1232" s="9"/>
      <c r="AH1232" s="9"/>
      <c r="AI1232" s="9"/>
      <c r="AJ1232" s="9"/>
      <c r="AK1232" s="9"/>
      <c r="AL1232" s="9"/>
      <c r="AM1232" s="9"/>
      <c r="AN1232" s="9"/>
      <c r="AO1232" s="9"/>
      <c r="AP1232" s="9"/>
      <c r="AQ1232" s="9"/>
      <c r="AR1232" s="9"/>
      <c r="AS1232" s="9"/>
      <c r="AT1232" s="9"/>
      <c r="AU1232" s="9"/>
    </row>
    <row r="1233" spans="1:47" ht="15.75" customHeight="1">
      <c r="A1233" s="9"/>
      <c r="B1233" s="9"/>
      <c r="C1233" s="9"/>
      <c r="D1233" s="9"/>
      <c r="E1233" s="9"/>
      <c r="F1233" s="67"/>
      <c r="G1233" s="9"/>
      <c r="H1233" s="9"/>
      <c r="I1233" s="9"/>
      <c r="J1233" s="9"/>
      <c r="K1233" s="9"/>
      <c r="L1233" s="9"/>
      <c r="M1233" s="9"/>
      <c r="N1233" s="9"/>
      <c r="O1233" s="9"/>
      <c r="P1233" s="9"/>
      <c r="Q1233" s="9"/>
      <c r="R1233" s="9"/>
      <c r="S1233" s="9"/>
      <c r="T1233" s="9"/>
      <c r="U1233" s="9"/>
      <c r="V1233" s="9"/>
      <c r="W1233" s="9"/>
      <c r="X1233" s="9"/>
      <c r="Y1233" s="9"/>
      <c r="Z1233" s="9"/>
      <c r="AA1233" s="9"/>
      <c r="AB1233" s="9"/>
      <c r="AC1233" s="9"/>
      <c r="AD1233" s="9"/>
      <c r="AE1233" s="9"/>
      <c r="AF1233" s="9"/>
      <c r="AG1233" s="9"/>
      <c r="AH1233" s="9"/>
      <c r="AI1233" s="9"/>
      <c r="AJ1233" s="9"/>
      <c r="AK1233" s="9"/>
      <c r="AL1233" s="9"/>
      <c r="AM1233" s="9"/>
      <c r="AN1233" s="9"/>
      <c r="AO1233" s="9"/>
      <c r="AP1233" s="9"/>
      <c r="AQ1233" s="9"/>
      <c r="AR1233" s="9"/>
      <c r="AS1233" s="9"/>
      <c r="AT1233" s="9"/>
      <c r="AU1233" s="9"/>
    </row>
    <row r="1234" spans="1:47" ht="15.75" customHeight="1">
      <c r="A1234" s="9"/>
      <c r="B1234" s="9"/>
      <c r="C1234" s="9"/>
      <c r="D1234" s="9"/>
      <c r="E1234" s="9"/>
      <c r="F1234" s="67"/>
      <c r="G1234" s="9"/>
      <c r="H1234" s="9"/>
      <c r="I1234" s="9"/>
      <c r="J1234" s="9"/>
      <c r="K1234" s="9"/>
      <c r="L1234" s="9"/>
      <c r="M1234" s="9"/>
      <c r="N1234" s="9"/>
      <c r="O1234" s="9"/>
      <c r="P1234" s="9"/>
      <c r="Q1234" s="9"/>
      <c r="R1234" s="9"/>
      <c r="S1234" s="9"/>
      <c r="T1234" s="9"/>
      <c r="U1234" s="9"/>
      <c r="V1234" s="9"/>
      <c r="W1234" s="9"/>
      <c r="X1234" s="9"/>
      <c r="Y1234" s="9"/>
      <c r="Z1234" s="9"/>
      <c r="AA1234" s="9"/>
      <c r="AB1234" s="9"/>
      <c r="AC1234" s="9"/>
      <c r="AD1234" s="9"/>
      <c r="AE1234" s="9"/>
      <c r="AF1234" s="9"/>
      <c r="AG1234" s="9"/>
      <c r="AH1234" s="9"/>
      <c r="AI1234" s="9"/>
      <c r="AJ1234" s="9"/>
      <c r="AK1234" s="9"/>
      <c r="AL1234" s="9"/>
      <c r="AM1234" s="9"/>
      <c r="AN1234" s="9"/>
      <c r="AO1234" s="9"/>
      <c r="AP1234" s="9"/>
      <c r="AQ1234" s="9"/>
      <c r="AR1234" s="9"/>
      <c r="AS1234" s="9"/>
      <c r="AT1234" s="9"/>
      <c r="AU1234" s="9"/>
    </row>
    <row r="1235" spans="1:47" ht="15.75" customHeight="1">
      <c r="A1235" s="9"/>
      <c r="B1235" s="9"/>
      <c r="C1235" s="9"/>
      <c r="D1235" s="9"/>
      <c r="E1235" s="9"/>
      <c r="F1235" s="67"/>
      <c r="G1235" s="9"/>
      <c r="H1235" s="9"/>
      <c r="I1235" s="9"/>
      <c r="J1235" s="9"/>
      <c r="K1235" s="9"/>
      <c r="L1235" s="9"/>
      <c r="M1235" s="9"/>
      <c r="N1235" s="9"/>
      <c r="O1235" s="9"/>
      <c r="P1235" s="9"/>
      <c r="Q1235" s="9"/>
      <c r="R1235" s="9"/>
      <c r="S1235" s="9"/>
      <c r="T1235" s="9"/>
      <c r="U1235" s="9"/>
      <c r="V1235" s="9"/>
      <c r="W1235" s="9"/>
      <c r="X1235" s="9"/>
      <c r="Y1235" s="9"/>
      <c r="Z1235" s="9"/>
      <c r="AA1235" s="9"/>
      <c r="AB1235" s="9"/>
      <c r="AC1235" s="9"/>
      <c r="AD1235" s="9"/>
      <c r="AE1235" s="9"/>
      <c r="AF1235" s="9"/>
      <c r="AG1235" s="9"/>
      <c r="AH1235" s="9"/>
      <c r="AI1235" s="9"/>
      <c r="AJ1235" s="9"/>
      <c r="AK1235" s="9"/>
      <c r="AL1235" s="9"/>
      <c r="AM1235" s="9"/>
      <c r="AN1235" s="9"/>
      <c r="AO1235" s="9"/>
      <c r="AP1235" s="9"/>
      <c r="AQ1235" s="9"/>
      <c r="AR1235" s="9"/>
      <c r="AS1235" s="9"/>
      <c r="AT1235" s="9"/>
      <c r="AU1235" s="9"/>
    </row>
    <row r="1236" spans="1:47" ht="15.75" customHeight="1">
      <c r="A1236" s="9"/>
      <c r="B1236" s="9"/>
      <c r="C1236" s="9"/>
      <c r="D1236" s="9"/>
      <c r="E1236" s="9"/>
      <c r="F1236" s="67"/>
      <c r="G1236" s="9"/>
      <c r="H1236" s="9"/>
      <c r="I1236" s="9"/>
      <c r="J1236" s="9"/>
      <c r="K1236" s="9"/>
      <c r="L1236" s="9"/>
      <c r="M1236" s="9"/>
      <c r="N1236" s="9"/>
      <c r="O1236" s="9"/>
      <c r="P1236" s="9"/>
      <c r="Q1236" s="9"/>
      <c r="R1236" s="9"/>
      <c r="S1236" s="9"/>
      <c r="T1236" s="9"/>
      <c r="U1236" s="9"/>
      <c r="V1236" s="9"/>
      <c r="W1236" s="9"/>
      <c r="X1236" s="9"/>
      <c r="Y1236" s="9"/>
      <c r="Z1236" s="9"/>
      <c r="AA1236" s="9"/>
      <c r="AB1236" s="9"/>
      <c r="AC1236" s="9"/>
      <c r="AD1236" s="9"/>
      <c r="AE1236" s="9"/>
      <c r="AF1236" s="9"/>
      <c r="AG1236" s="9"/>
      <c r="AH1236" s="9"/>
      <c r="AI1236" s="9"/>
      <c r="AJ1236" s="9"/>
      <c r="AK1236" s="9"/>
      <c r="AL1236" s="9"/>
      <c r="AM1236" s="9"/>
      <c r="AN1236" s="9"/>
      <c r="AO1236" s="9"/>
      <c r="AP1236" s="9"/>
      <c r="AQ1236" s="9"/>
      <c r="AR1236" s="9"/>
      <c r="AS1236" s="9"/>
      <c r="AT1236" s="9"/>
      <c r="AU1236" s="9"/>
    </row>
    <row r="1237" spans="1:47" ht="15.75" customHeight="1">
      <c r="A1237" s="9"/>
      <c r="B1237" s="9"/>
      <c r="C1237" s="9"/>
      <c r="D1237" s="9"/>
      <c r="E1237" s="9"/>
      <c r="F1237" s="67"/>
      <c r="G1237" s="9"/>
      <c r="H1237" s="9"/>
      <c r="I1237" s="9"/>
      <c r="J1237" s="9"/>
      <c r="K1237" s="9"/>
      <c r="L1237" s="9"/>
      <c r="M1237" s="9"/>
      <c r="N1237" s="9"/>
      <c r="O1237" s="9"/>
      <c r="P1237" s="9"/>
      <c r="Q1237" s="9"/>
      <c r="R1237" s="9"/>
      <c r="S1237" s="9"/>
      <c r="T1237" s="9"/>
      <c r="U1237" s="9"/>
      <c r="V1237" s="9"/>
      <c r="W1237" s="9"/>
      <c r="X1237" s="9"/>
      <c r="Y1237" s="9"/>
      <c r="Z1237" s="9"/>
      <c r="AA1237" s="9"/>
      <c r="AB1237" s="9"/>
      <c r="AC1237" s="9"/>
      <c r="AD1237" s="9"/>
      <c r="AE1237" s="9"/>
      <c r="AF1237" s="9"/>
      <c r="AG1237" s="9"/>
      <c r="AH1237" s="9"/>
      <c r="AI1237" s="9"/>
      <c r="AJ1237" s="9"/>
      <c r="AK1237" s="9"/>
      <c r="AL1237" s="9"/>
      <c r="AM1237" s="9"/>
      <c r="AN1237" s="9"/>
      <c r="AO1237" s="9"/>
      <c r="AP1237" s="9"/>
      <c r="AQ1237" s="9"/>
      <c r="AR1237" s="9"/>
      <c r="AS1237" s="9"/>
      <c r="AT1237" s="9"/>
      <c r="AU1237" s="9"/>
    </row>
    <row r="1238" spans="1:47" ht="15.75" customHeight="1">
      <c r="A1238" s="9"/>
      <c r="B1238" s="9"/>
      <c r="C1238" s="9"/>
      <c r="D1238" s="9"/>
      <c r="E1238" s="9"/>
      <c r="F1238" s="67"/>
      <c r="G1238" s="9"/>
      <c r="H1238" s="9"/>
      <c r="I1238" s="9"/>
      <c r="J1238" s="9"/>
      <c r="K1238" s="9"/>
      <c r="L1238" s="9"/>
      <c r="M1238" s="9"/>
      <c r="N1238" s="9"/>
      <c r="O1238" s="9"/>
      <c r="P1238" s="9"/>
      <c r="Q1238" s="9"/>
      <c r="R1238" s="9"/>
      <c r="S1238" s="9"/>
      <c r="T1238" s="9"/>
      <c r="U1238" s="9"/>
      <c r="V1238" s="9"/>
      <c r="W1238" s="9"/>
      <c r="X1238" s="9"/>
      <c r="Y1238" s="9"/>
      <c r="Z1238" s="9"/>
      <c r="AA1238" s="9"/>
      <c r="AB1238" s="9"/>
      <c r="AC1238" s="9"/>
      <c r="AD1238" s="9"/>
      <c r="AE1238" s="9"/>
      <c r="AF1238" s="9"/>
      <c r="AG1238" s="9"/>
      <c r="AH1238" s="9"/>
      <c r="AI1238" s="9"/>
      <c r="AJ1238" s="9"/>
      <c r="AK1238" s="9"/>
      <c r="AL1238" s="9"/>
      <c r="AM1238" s="9"/>
      <c r="AN1238" s="9"/>
      <c r="AO1238" s="9"/>
      <c r="AP1238" s="9"/>
      <c r="AQ1238" s="9"/>
      <c r="AR1238" s="9"/>
      <c r="AS1238" s="9"/>
      <c r="AT1238" s="9"/>
      <c r="AU1238" s="9"/>
    </row>
    <row r="1239" spans="1:47" ht="15.75" customHeight="1">
      <c r="A1239" s="9"/>
      <c r="B1239" s="9"/>
      <c r="C1239" s="9"/>
      <c r="D1239" s="9"/>
      <c r="E1239" s="9"/>
      <c r="F1239" s="67"/>
      <c r="G1239" s="9"/>
      <c r="H1239" s="9"/>
      <c r="I1239" s="9"/>
      <c r="J1239" s="9"/>
      <c r="K1239" s="9"/>
      <c r="L1239" s="9"/>
      <c r="M1239" s="9"/>
      <c r="N1239" s="9"/>
      <c r="O1239" s="9"/>
      <c r="P1239" s="9"/>
      <c r="Q1239" s="9"/>
      <c r="R1239" s="9"/>
      <c r="S1239" s="9"/>
      <c r="T1239" s="9"/>
      <c r="U1239" s="9"/>
      <c r="V1239" s="9"/>
      <c r="W1239" s="9"/>
      <c r="X1239" s="9"/>
      <c r="Y1239" s="9"/>
      <c r="Z1239" s="9"/>
      <c r="AA1239" s="9"/>
      <c r="AB1239" s="9"/>
      <c r="AC1239" s="9"/>
      <c r="AD1239" s="9"/>
      <c r="AE1239" s="9"/>
      <c r="AF1239" s="9"/>
      <c r="AG1239" s="9"/>
      <c r="AH1239" s="9"/>
      <c r="AI1239" s="9"/>
      <c r="AJ1239" s="9"/>
      <c r="AK1239" s="9"/>
      <c r="AL1239" s="9"/>
      <c r="AM1239" s="9"/>
      <c r="AN1239" s="9"/>
      <c r="AO1239" s="9"/>
      <c r="AP1239" s="9"/>
      <c r="AQ1239" s="9"/>
      <c r="AR1239" s="9"/>
      <c r="AS1239" s="9"/>
      <c r="AT1239" s="9"/>
      <c r="AU1239" s="9"/>
    </row>
    <row r="1240" spans="1:47" ht="15.75" customHeight="1">
      <c r="A1240" s="9"/>
      <c r="B1240" s="9"/>
      <c r="C1240" s="9"/>
      <c r="D1240" s="9"/>
      <c r="E1240" s="9"/>
      <c r="F1240" s="67"/>
      <c r="G1240" s="9"/>
      <c r="H1240" s="9"/>
      <c r="I1240" s="9"/>
      <c r="J1240" s="9"/>
      <c r="K1240" s="9"/>
      <c r="L1240" s="9"/>
      <c r="M1240" s="9"/>
      <c r="N1240" s="9"/>
      <c r="O1240" s="9"/>
      <c r="P1240" s="9"/>
      <c r="Q1240" s="9"/>
      <c r="R1240" s="9"/>
      <c r="S1240" s="9"/>
      <c r="T1240" s="9"/>
      <c r="U1240" s="9"/>
      <c r="V1240" s="9"/>
      <c r="W1240" s="9"/>
      <c r="X1240" s="9"/>
      <c r="Y1240" s="9"/>
      <c r="Z1240" s="9"/>
      <c r="AA1240" s="9"/>
      <c r="AB1240" s="9"/>
      <c r="AC1240" s="9"/>
      <c r="AD1240" s="9"/>
      <c r="AE1240" s="9"/>
      <c r="AF1240" s="9"/>
      <c r="AG1240" s="9"/>
      <c r="AH1240" s="9"/>
      <c r="AI1240" s="9"/>
      <c r="AJ1240" s="9"/>
      <c r="AK1240" s="9"/>
      <c r="AL1240" s="9"/>
      <c r="AM1240" s="9"/>
      <c r="AN1240" s="9"/>
      <c r="AO1240" s="9"/>
      <c r="AP1240" s="9"/>
      <c r="AQ1240" s="9"/>
      <c r="AR1240" s="9"/>
      <c r="AS1240" s="9"/>
      <c r="AT1240" s="9"/>
      <c r="AU1240" s="9"/>
    </row>
    <row r="1241" spans="1:47" ht="15.75" customHeight="1">
      <c r="A1241" s="9"/>
      <c r="B1241" s="9"/>
      <c r="C1241" s="9"/>
      <c r="D1241" s="9"/>
      <c r="E1241" s="9"/>
      <c r="F1241" s="67"/>
      <c r="G1241" s="9"/>
      <c r="H1241" s="9"/>
      <c r="I1241" s="9"/>
      <c r="J1241" s="9"/>
      <c r="K1241" s="9"/>
      <c r="L1241" s="9"/>
      <c r="M1241" s="9"/>
      <c r="N1241" s="9"/>
      <c r="O1241" s="9"/>
      <c r="P1241" s="9"/>
      <c r="Q1241" s="9"/>
      <c r="R1241" s="9"/>
      <c r="S1241" s="9"/>
      <c r="T1241" s="9"/>
      <c r="U1241" s="9"/>
      <c r="V1241" s="9"/>
      <c r="W1241" s="9"/>
      <c r="X1241" s="9"/>
      <c r="Y1241" s="9"/>
      <c r="Z1241" s="9"/>
      <c r="AA1241" s="9"/>
      <c r="AB1241" s="9"/>
      <c r="AC1241" s="9"/>
      <c r="AD1241" s="9"/>
      <c r="AE1241" s="9"/>
      <c r="AF1241" s="9"/>
      <c r="AG1241" s="9"/>
      <c r="AH1241" s="9"/>
      <c r="AI1241" s="9"/>
      <c r="AJ1241" s="9"/>
      <c r="AK1241" s="9"/>
      <c r="AL1241" s="9"/>
      <c r="AM1241" s="9"/>
      <c r="AN1241" s="9"/>
      <c r="AO1241" s="9"/>
      <c r="AP1241" s="9"/>
      <c r="AQ1241" s="9"/>
      <c r="AR1241" s="9"/>
      <c r="AS1241" s="9"/>
      <c r="AT1241" s="9"/>
      <c r="AU1241" s="9"/>
    </row>
    <row r="1242" spans="1:47" ht="15.75" customHeight="1">
      <c r="A1242" s="9"/>
      <c r="B1242" s="9"/>
      <c r="C1242" s="9"/>
      <c r="D1242" s="9"/>
      <c r="E1242" s="9"/>
      <c r="F1242" s="67"/>
      <c r="G1242" s="9"/>
      <c r="H1242" s="9"/>
      <c r="I1242" s="9"/>
      <c r="J1242" s="9"/>
      <c r="K1242" s="9"/>
      <c r="L1242" s="9"/>
      <c r="M1242" s="9"/>
      <c r="N1242" s="9"/>
      <c r="O1242" s="9"/>
      <c r="P1242" s="9"/>
      <c r="Q1242" s="9"/>
      <c r="R1242" s="9"/>
      <c r="S1242" s="9"/>
      <c r="T1242" s="9"/>
      <c r="U1242" s="9"/>
      <c r="V1242" s="9"/>
      <c r="W1242" s="9"/>
      <c r="X1242" s="9"/>
      <c r="Y1242" s="9"/>
      <c r="Z1242" s="9"/>
      <c r="AA1242" s="9"/>
      <c r="AB1242" s="9"/>
      <c r="AC1242" s="9"/>
      <c r="AD1242" s="9"/>
      <c r="AE1242" s="9"/>
      <c r="AF1242" s="9"/>
      <c r="AG1242" s="9"/>
      <c r="AH1242" s="9"/>
      <c r="AI1242" s="9"/>
      <c r="AJ1242" s="9"/>
      <c r="AK1242" s="9"/>
      <c r="AL1242" s="9"/>
      <c r="AM1242" s="9"/>
      <c r="AN1242" s="9"/>
      <c r="AO1242" s="9"/>
      <c r="AP1242" s="9"/>
      <c r="AQ1242" s="9"/>
      <c r="AR1242" s="9"/>
      <c r="AS1242" s="9"/>
      <c r="AT1242" s="9"/>
      <c r="AU1242" s="9"/>
    </row>
    <row r="1243" spans="1:47" ht="15.75" customHeight="1">
      <c r="A1243" s="9"/>
      <c r="B1243" s="9"/>
      <c r="C1243" s="9"/>
      <c r="D1243" s="9"/>
      <c r="E1243" s="9"/>
      <c r="F1243" s="67"/>
      <c r="G1243" s="9"/>
      <c r="H1243" s="9"/>
      <c r="I1243" s="9"/>
      <c r="J1243" s="9"/>
      <c r="K1243" s="9"/>
      <c r="L1243" s="9"/>
      <c r="M1243" s="9"/>
      <c r="N1243" s="9"/>
      <c r="O1243" s="9"/>
      <c r="P1243" s="9"/>
      <c r="Q1243" s="9"/>
      <c r="R1243" s="9"/>
      <c r="S1243" s="9"/>
      <c r="T1243" s="9"/>
      <c r="U1243" s="9"/>
      <c r="V1243" s="9"/>
      <c r="W1243" s="9"/>
      <c r="X1243" s="9"/>
      <c r="Y1243" s="9"/>
      <c r="Z1243" s="9"/>
      <c r="AA1243" s="9"/>
      <c r="AB1243" s="9"/>
      <c r="AC1243" s="9"/>
      <c r="AD1243" s="9"/>
      <c r="AE1243" s="9"/>
      <c r="AF1243" s="9"/>
      <c r="AG1243" s="9"/>
      <c r="AH1243" s="9"/>
      <c r="AI1243" s="9"/>
      <c r="AJ1243" s="9"/>
      <c r="AK1243" s="9"/>
      <c r="AL1243" s="9"/>
      <c r="AM1243" s="9"/>
      <c r="AN1243" s="9"/>
      <c r="AO1243" s="9"/>
      <c r="AP1243" s="9"/>
      <c r="AQ1243" s="9"/>
      <c r="AR1243" s="9"/>
      <c r="AS1243" s="9"/>
      <c r="AT1243" s="9"/>
      <c r="AU1243" s="9"/>
    </row>
    <row r="1244" spans="1:47" ht="15.75" customHeight="1">
      <c r="A1244" s="9"/>
      <c r="B1244" s="9"/>
      <c r="C1244" s="9"/>
      <c r="D1244" s="9"/>
      <c r="E1244" s="9"/>
      <c r="F1244" s="67"/>
      <c r="G1244" s="9"/>
      <c r="H1244" s="9"/>
      <c r="I1244" s="9"/>
      <c r="J1244" s="9"/>
      <c r="K1244" s="9"/>
      <c r="L1244" s="9"/>
      <c r="M1244" s="9"/>
      <c r="N1244" s="9"/>
      <c r="O1244" s="9"/>
      <c r="P1244" s="9"/>
      <c r="Q1244" s="9"/>
      <c r="R1244" s="9"/>
      <c r="S1244" s="9"/>
      <c r="T1244" s="9"/>
      <c r="U1244" s="9"/>
      <c r="V1244" s="9"/>
      <c r="W1244" s="9"/>
      <c r="X1244" s="9"/>
      <c r="Y1244" s="9"/>
      <c r="Z1244" s="9"/>
      <c r="AA1244" s="9"/>
      <c r="AB1244" s="9"/>
      <c r="AC1244" s="9"/>
      <c r="AD1244" s="9"/>
      <c r="AE1244" s="9"/>
      <c r="AF1244" s="9"/>
      <c r="AG1244" s="9"/>
      <c r="AH1244" s="9"/>
      <c r="AI1244" s="9"/>
      <c r="AJ1244" s="9"/>
      <c r="AK1244" s="9"/>
      <c r="AL1244" s="9"/>
      <c r="AM1244" s="9"/>
      <c r="AN1244" s="9"/>
      <c r="AO1244" s="9"/>
      <c r="AP1244" s="9"/>
      <c r="AQ1244" s="9"/>
      <c r="AR1244" s="9"/>
      <c r="AS1244" s="9"/>
      <c r="AT1244" s="9"/>
      <c r="AU1244" s="9"/>
    </row>
    <row r="1245" spans="1:47" ht="15.75" customHeight="1">
      <c r="A1245" s="9"/>
      <c r="B1245" s="9"/>
      <c r="C1245" s="9"/>
      <c r="D1245" s="9"/>
      <c r="E1245" s="9"/>
      <c r="F1245" s="67"/>
      <c r="G1245" s="9"/>
      <c r="H1245" s="9"/>
      <c r="I1245" s="9"/>
      <c r="J1245" s="9"/>
      <c r="K1245" s="9"/>
      <c r="L1245" s="9"/>
      <c r="M1245" s="9"/>
      <c r="N1245" s="9"/>
      <c r="O1245" s="9"/>
      <c r="P1245" s="9"/>
      <c r="Q1245" s="9"/>
      <c r="R1245" s="9"/>
      <c r="S1245" s="9"/>
      <c r="T1245" s="9"/>
      <c r="U1245" s="9"/>
      <c r="V1245" s="9"/>
      <c r="W1245" s="9"/>
      <c r="X1245" s="9"/>
      <c r="Y1245" s="9"/>
      <c r="Z1245" s="9"/>
      <c r="AA1245" s="9"/>
      <c r="AB1245" s="9"/>
      <c r="AC1245" s="9"/>
      <c r="AD1245" s="9"/>
      <c r="AE1245" s="9"/>
      <c r="AF1245" s="9"/>
      <c r="AG1245" s="9"/>
      <c r="AH1245" s="9"/>
      <c r="AI1245" s="9"/>
      <c r="AJ1245" s="9"/>
      <c r="AK1245" s="9"/>
      <c r="AL1245" s="9"/>
      <c r="AM1245" s="9"/>
      <c r="AN1245" s="9"/>
      <c r="AO1245" s="9"/>
      <c r="AP1245" s="9"/>
      <c r="AQ1245" s="9"/>
      <c r="AR1245" s="9"/>
      <c r="AS1245" s="9"/>
      <c r="AT1245" s="9"/>
      <c r="AU1245" s="9"/>
    </row>
    <row r="1246" spans="1:47" ht="15.75" customHeight="1">
      <c r="A1246" s="9"/>
      <c r="B1246" s="9"/>
      <c r="C1246" s="9"/>
      <c r="D1246" s="9"/>
      <c r="E1246" s="9"/>
      <c r="F1246" s="67"/>
      <c r="G1246" s="9"/>
      <c r="H1246" s="9"/>
      <c r="I1246" s="9"/>
      <c r="J1246" s="9"/>
      <c r="K1246" s="9"/>
      <c r="L1246" s="9"/>
      <c r="M1246" s="9"/>
      <c r="N1246" s="9"/>
      <c r="O1246" s="9"/>
      <c r="P1246" s="9"/>
      <c r="Q1246" s="9"/>
      <c r="R1246" s="9"/>
      <c r="S1246" s="9"/>
      <c r="T1246" s="9"/>
      <c r="U1246" s="9"/>
      <c r="V1246" s="9"/>
      <c r="W1246" s="9"/>
      <c r="X1246" s="9"/>
      <c r="Y1246" s="9"/>
      <c r="Z1246" s="9"/>
      <c r="AA1246" s="9"/>
      <c r="AB1246" s="9"/>
      <c r="AC1246" s="9"/>
      <c r="AD1246" s="9"/>
      <c r="AE1246" s="9"/>
      <c r="AF1246" s="9"/>
      <c r="AG1246" s="9"/>
      <c r="AH1246" s="9"/>
      <c r="AI1246" s="9"/>
      <c r="AJ1246" s="9"/>
      <c r="AK1246" s="9"/>
      <c r="AL1246" s="9"/>
      <c r="AM1246" s="9"/>
      <c r="AN1246" s="9"/>
      <c r="AO1246" s="9"/>
      <c r="AP1246" s="9"/>
      <c r="AQ1246" s="9"/>
      <c r="AR1246" s="9"/>
      <c r="AS1246" s="9"/>
      <c r="AT1246" s="9"/>
      <c r="AU1246" s="9"/>
    </row>
    <row r="1247" spans="1:47" ht="15.75" customHeight="1">
      <c r="A1247" s="9"/>
      <c r="B1247" s="9"/>
      <c r="C1247" s="9"/>
      <c r="D1247" s="9"/>
      <c r="E1247" s="9"/>
      <c r="F1247" s="67"/>
      <c r="G1247" s="9"/>
      <c r="H1247" s="9"/>
      <c r="I1247" s="9"/>
      <c r="J1247" s="9"/>
      <c r="K1247" s="9"/>
      <c r="L1247" s="9"/>
      <c r="M1247" s="9"/>
      <c r="N1247" s="9"/>
      <c r="O1247" s="9"/>
      <c r="P1247" s="9"/>
      <c r="Q1247" s="9"/>
      <c r="R1247" s="9"/>
      <c r="S1247" s="9"/>
      <c r="T1247" s="9"/>
      <c r="U1247" s="9"/>
      <c r="V1247" s="9"/>
      <c r="W1247" s="9"/>
      <c r="X1247" s="9"/>
      <c r="Y1247" s="9"/>
      <c r="Z1247" s="9"/>
      <c r="AA1247" s="9"/>
      <c r="AB1247" s="9"/>
      <c r="AC1247" s="9"/>
      <c r="AD1247" s="9"/>
      <c r="AE1247" s="9"/>
      <c r="AF1247" s="9"/>
      <c r="AG1247" s="9"/>
      <c r="AH1247" s="9"/>
      <c r="AI1247" s="9"/>
      <c r="AJ1247" s="9"/>
      <c r="AK1247" s="9"/>
      <c r="AL1247" s="9"/>
      <c r="AM1247" s="9"/>
      <c r="AN1247" s="9"/>
      <c r="AO1247" s="9"/>
      <c r="AP1247" s="9"/>
      <c r="AQ1247" s="9"/>
      <c r="AR1247" s="9"/>
      <c r="AS1247" s="9"/>
      <c r="AT1247" s="9"/>
      <c r="AU1247" s="9"/>
    </row>
    <row r="1248" spans="1:47" ht="15.75" customHeight="1">
      <c r="A1248" s="9"/>
      <c r="B1248" s="9"/>
      <c r="C1248" s="9"/>
      <c r="D1248" s="9"/>
      <c r="E1248" s="9"/>
      <c r="F1248" s="67"/>
      <c r="G1248" s="9"/>
      <c r="H1248" s="9"/>
      <c r="I1248" s="9"/>
      <c r="J1248" s="9"/>
      <c r="K1248" s="9"/>
      <c r="L1248" s="9"/>
      <c r="M1248" s="9"/>
      <c r="N1248" s="9"/>
      <c r="O1248" s="9"/>
      <c r="P1248" s="9"/>
      <c r="Q1248" s="9"/>
      <c r="R1248" s="9"/>
      <c r="S1248" s="9"/>
      <c r="T1248" s="9"/>
      <c r="U1248" s="9"/>
      <c r="V1248" s="9"/>
      <c r="W1248" s="9"/>
      <c r="X1248" s="9"/>
      <c r="Y1248" s="9"/>
      <c r="Z1248" s="9"/>
      <c r="AA1248" s="9"/>
      <c r="AB1248" s="9"/>
      <c r="AC1248" s="9"/>
      <c r="AD1248" s="9"/>
      <c r="AE1248" s="9"/>
      <c r="AF1248" s="9"/>
      <c r="AG1248" s="9"/>
      <c r="AH1248" s="9"/>
      <c r="AI1248" s="9"/>
      <c r="AJ1248" s="9"/>
      <c r="AK1248" s="9"/>
      <c r="AL1248" s="9"/>
      <c r="AM1248" s="9"/>
      <c r="AN1248" s="9"/>
      <c r="AO1248" s="9"/>
      <c r="AP1248" s="9"/>
      <c r="AQ1248" s="9"/>
      <c r="AR1248" s="9"/>
      <c r="AS1248" s="9"/>
      <c r="AT1248" s="9"/>
      <c r="AU1248" s="9"/>
    </row>
    <row r="1249" spans="1:47" ht="15.75" customHeight="1">
      <c r="A1249" s="9"/>
      <c r="B1249" s="9"/>
      <c r="C1249" s="9"/>
      <c r="D1249" s="9"/>
      <c r="E1249" s="9"/>
      <c r="F1249" s="67"/>
      <c r="G1249" s="9"/>
      <c r="H1249" s="9"/>
      <c r="I1249" s="9"/>
      <c r="J1249" s="9"/>
      <c r="K1249" s="9"/>
      <c r="L1249" s="9"/>
      <c r="M1249" s="9"/>
      <c r="N1249" s="9"/>
      <c r="O1249" s="9"/>
      <c r="P1249" s="9"/>
      <c r="Q1249" s="9"/>
      <c r="R1249" s="9"/>
      <c r="S1249" s="9"/>
      <c r="T1249" s="9"/>
      <c r="U1249" s="9"/>
      <c r="V1249" s="9"/>
      <c r="W1249" s="9"/>
      <c r="X1249" s="9"/>
      <c r="Y1249" s="9"/>
      <c r="Z1249" s="9"/>
      <c r="AA1249" s="9"/>
      <c r="AB1249" s="9"/>
      <c r="AC1249" s="9"/>
      <c r="AD1249" s="9"/>
      <c r="AE1249" s="9"/>
      <c r="AF1249" s="9"/>
      <c r="AG1249" s="9"/>
      <c r="AH1249" s="9"/>
      <c r="AI1249" s="9"/>
      <c r="AJ1249" s="9"/>
      <c r="AK1249" s="9"/>
      <c r="AL1249" s="9"/>
      <c r="AM1249" s="9"/>
      <c r="AN1249" s="9"/>
      <c r="AO1249" s="9"/>
      <c r="AP1249" s="9"/>
      <c r="AQ1249" s="9"/>
      <c r="AR1249" s="9"/>
      <c r="AS1249" s="9"/>
      <c r="AT1249" s="9"/>
      <c r="AU1249" s="9"/>
    </row>
    <row r="1250" spans="1:47" ht="15.75" customHeight="1">
      <c r="A1250" s="9"/>
      <c r="B1250" s="9"/>
      <c r="C1250" s="9"/>
      <c r="D1250" s="9"/>
      <c r="E1250" s="9"/>
      <c r="F1250" s="67"/>
      <c r="G1250" s="9"/>
      <c r="H1250" s="9"/>
      <c r="I1250" s="9"/>
      <c r="J1250" s="9"/>
      <c r="K1250" s="9"/>
      <c r="L1250" s="9"/>
      <c r="M1250" s="9"/>
      <c r="N1250" s="9"/>
      <c r="O1250" s="9"/>
      <c r="P1250" s="9"/>
      <c r="Q1250" s="9"/>
      <c r="R1250" s="9"/>
      <c r="S1250" s="9"/>
      <c r="T1250" s="9"/>
      <c r="U1250" s="9"/>
      <c r="V1250" s="9"/>
      <c r="W1250" s="9"/>
      <c r="X1250" s="9"/>
      <c r="Y1250" s="9"/>
      <c r="Z1250" s="9"/>
      <c r="AA1250" s="9"/>
      <c r="AB1250" s="9"/>
      <c r="AC1250" s="9"/>
      <c r="AD1250" s="9"/>
      <c r="AE1250" s="9"/>
      <c r="AF1250" s="9"/>
      <c r="AG1250" s="9"/>
      <c r="AH1250" s="9"/>
      <c r="AI1250" s="9"/>
      <c r="AJ1250" s="9"/>
      <c r="AK1250" s="9"/>
      <c r="AL1250" s="9"/>
      <c r="AM1250" s="9"/>
      <c r="AN1250" s="9"/>
      <c r="AO1250" s="9"/>
      <c r="AP1250" s="9"/>
      <c r="AQ1250" s="9"/>
      <c r="AR1250" s="9"/>
      <c r="AS1250" s="9"/>
      <c r="AT1250" s="9"/>
      <c r="AU1250" s="9"/>
    </row>
    <row r="1251" spans="1:47" ht="15.75" customHeight="1">
      <c r="A1251" s="9"/>
      <c r="B1251" s="9"/>
      <c r="C1251" s="9"/>
      <c r="D1251" s="9"/>
      <c r="E1251" s="9"/>
      <c r="F1251" s="67"/>
      <c r="G1251" s="9"/>
      <c r="H1251" s="9"/>
      <c r="I1251" s="9"/>
      <c r="J1251" s="9"/>
      <c r="K1251" s="9"/>
      <c r="L1251" s="9"/>
      <c r="M1251" s="9"/>
      <c r="N1251" s="9"/>
      <c r="O1251" s="9"/>
      <c r="P1251" s="9"/>
      <c r="Q1251" s="9"/>
      <c r="R1251" s="9"/>
      <c r="S1251" s="9"/>
      <c r="T1251" s="9"/>
      <c r="U1251" s="9"/>
      <c r="V1251" s="9"/>
      <c r="W1251" s="9"/>
      <c r="X1251" s="9"/>
      <c r="Y1251" s="9"/>
      <c r="Z1251" s="9"/>
      <c r="AA1251" s="9"/>
      <c r="AB1251" s="9"/>
      <c r="AC1251" s="9"/>
      <c r="AD1251" s="9"/>
      <c r="AE1251" s="9"/>
      <c r="AF1251" s="9"/>
      <c r="AG1251" s="9"/>
      <c r="AH1251" s="9"/>
      <c r="AI1251" s="9"/>
      <c r="AJ1251" s="9"/>
      <c r="AK1251" s="9"/>
      <c r="AL1251" s="9"/>
      <c r="AM1251" s="9"/>
      <c r="AN1251" s="9"/>
      <c r="AO1251" s="9"/>
      <c r="AP1251" s="9"/>
      <c r="AQ1251" s="9"/>
      <c r="AR1251" s="9"/>
      <c r="AS1251" s="9"/>
      <c r="AT1251" s="9"/>
      <c r="AU1251" s="9"/>
    </row>
    <row r="1252" spans="1:47" ht="15.75" customHeight="1">
      <c r="A1252" s="9"/>
      <c r="B1252" s="9"/>
      <c r="C1252" s="9"/>
      <c r="D1252" s="9"/>
      <c r="E1252" s="9"/>
      <c r="F1252" s="67"/>
      <c r="G1252" s="9"/>
      <c r="H1252" s="9"/>
      <c r="I1252" s="9"/>
      <c r="J1252" s="9"/>
      <c r="K1252" s="9"/>
      <c r="L1252" s="9"/>
      <c r="M1252" s="9"/>
      <c r="N1252" s="9"/>
      <c r="O1252" s="9"/>
      <c r="P1252" s="9"/>
      <c r="Q1252" s="9"/>
      <c r="R1252" s="9"/>
      <c r="S1252" s="9"/>
      <c r="T1252" s="9"/>
      <c r="U1252" s="9"/>
      <c r="V1252" s="9"/>
      <c r="W1252" s="9"/>
      <c r="X1252" s="9"/>
      <c r="Y1252" s="9"/>
      <c r="Z1252" s="9"/>
      <c r="AA1252" s="9"/>
      <c r="AB1252" s="9"/>
      <c r="AC1252" s="9"/>
      <c r="AD1252" s="9"/>
      <c r="AE1252" s="9"/>
      <c r="AF1252" s="9"/>
      <c r="AG1252" s="9"/>
      <c r="AH1252" s="9"/>
      <c r="AI1252" s="9"/>
      <c r="AJ1252" s="9"/>
      <c r="AK1252" s="9"/>
      <c r="AL1252" s="9"/>
      <c r="AM1252" s="9"/>
      <c r="AN1252" s="9"/>
      <c r="AO1252" s="9"/>
      <c r="AP1252" s="9"/>
      <c r="AQ1252" s="9"/>
      <c r="AR1252" s="9"/>
      <c r="AS1252" s="9"/>
      <c r="AT1252" s="9"/>
      <c r="AU1252" s="9"/>
    </row>
    <row r="1253" spans="1:47" ht="15.75" customHeight="1">
      <c r="A1253" s="9"/>
      <c r="B1253" s="9"/>
      <c r="C1253" s="9"/>
      <c r="D1253" s="9"/>
      <c r="E1253" s="9"/>
      <c r="F1253" s="67"/>
      <c r="G1253" s="9"/>
      <c r="H1253" s="9"/>
      <c r="I1253" s="9"/>
      <c r="J1253" s="9"/>
      <c r="K1253" s="9"/>
      <c r="L1253" s="9"/>
      <c r="M1253" s="9"/>
      <c r="N1253" s="9"/>
      <c r="O1253" s="9"/>
      <c r="P1253" s="9"/>
      <c r="Q1253" s="9"/>
      <c r="R1253" s="9"/>
      <c r="S1253" s="9"/>
      <c r="T1253" s="9"/>
      <c r="U1253" s="9"/>
      <c r="V1253" s="9"/>
      <c r="W1253" s="9"/>
      <c r="X1253" s="9"/>
      <c r="Y1253" s="9"/>
      <c r="Z1253" s="9"/>
      <c r="AA1253" s="9"/>
      <c r="AB1253" s="9"/>
      <c r="AC1253" s="9"/>
      <c r="AD1253" s="9"/>
      <c r="AE1253" s="9"/>
      <c r="AF1253" s="9"/>
      <c r="AG1253" s="9"/>
      <c r="AH1253" s="9"/>
      <c r="AI1253" s="9"/>
      <c r="AJ1253" s="9"/>
      <c r="AK1253" s="9"/>
      <c r="AL1253" s="9"/>
      <c r="AM1253" s="9"/>
      <c r="AN1253" s="9"/>
      <c r="AO1253" s="9"/>
      <c r="AP1253" s="9"/>
      <c r="AQ1253" s="9"/>
      <c r="AR1253" s="9"/>
      <c r="AS1253" s="9"/>
      <c r="AT1253" s="9"/>
      <c r="AU1253" s="9"/>
    </row>
    <row r="1254" spans="1:47" ht="15.75" customHeight="1">
      <c r="A1254" s="9"/>
      <c r="B1254" s="9"/>
      <c r="C1254" s="9"/>
      <c r="D1254" s="9"/>
      <c r="E1254" s="9"/>
      <c r="F1254" s="67"/>
      <c r="G1254" s="9"/>
      <c r="H1254" s="9"/>
      <c r="I1254" s="9"/>
      <c r="J1254" s="9"/>
      <c r="K1254" s="9"/>
      <c r="L1254" s="9"/>
      <c r="M1254" s="9"/>
      <c r="N1254" s="9"/>
      <c r="O1254" s="9"/>
      <c r="P1254" s="9"/>
      <c r="Q1254" s="9"/>
      <c r="R1254" s="9"/>
      <c r="S1254" s="9"/>
      <c r="T1254" s="9"/>
      <c r="U1254" s="9"/>
      <c r="V1254" s="9"/>
      <c r="W1254" s="9"/>
      <c r="X1254" s="9"/>
      <c r="Y1254" s="9"/>
      <c r="Z1254" s="9"/>
      <c r="AA1254" s="9"/>
      <c r="AB1254" s="9"/>
      <c r="AC1254" s="9"/>
      <c r="AD1254" s="9"/>
      <c r="AE1254" s="9"/>
      <c r="AF1254" s="9"/>
      <c r="AG1254" s="9"/>
      <c r="AH1254" s="9"/>
      <c r="AI1254" s="9"/>
      <c r="AJ1254" s="9"/>
      <c r="AK1254" s="9"/>
      <c r="AL1254" s="9"/>
      <c r="AM1254" s="9"/>
      <c r="AN1254" s="9"/>
      <c r="AO1254" s="9"/>
      <c r="AP1254" s="9"/>
      <c r="AQ1254" s="9"/>
      <c r="AR1254" s="9"/>
      <c r="AS1254" s="9"/>
      <c r="AT1254" s="9"/>
      <c r="AU1254" s="9"/>
    </row>
    <row r="1255" spans="1:47" ht="15.75" customHeight="1">
      <c r="A1255" s="9"/>
      <c r="B1255" s="9"/>
      <c r="C1255" s="9"/>
      <c r="D1255" s="9"/>
      <c r="E1255" s="9"/>
      <c r="F1255" s="67"/>
      <c r="G1255" s="9"/>
      <c r="H1255" s="9"/>
      <c r="I1255" s="9"/>
      <c r="J1255" s="9"/>
      <c r="K1255" s="9"/>
      <c r="L1255" s="9"/>
      <c r="M1255" s="9"/>
      <c r="N1255" s="9"/>
      <c r="O1255" s="9"/>
      <c r="P1255" s="9"/>
      <c r="Q1255" s="9"/>
      <c r="R1255" s="9"/>
      <c r="S1255" s="9"/>
      <c r="T1255" s="9"/>
      <c r="U1255" s="9"/>
      <c r="V1255" s="9"/>
      <c r="W1255" s="9"/>
      <c r="X1255" s="9"/>
      <c r="Y1255" s="9"/>
      <c r="Z1255" s="9"/>
      <c r="AA1255" s="9"/>
      <c r="AB1255" s="9"/>
      <c r="AC1255" s="9"/>
      <c r="AD1255" s="9"/>
      <c r="AE1255" s="9"/>
      <c r="AF1255" s="9"/>
      <c r="AG1255" s="9"/>
      <c r="AH1255" s="9"/>
      <c r="AI1255" s="9"/>
      <c r="AJ1255" s="9"/>
      <c r="AK1255" s="9"/>
      <c r="AL1255" s="9"/>
      <c r="AM1255" s="9"/>
      <c r="AN1255" s="9"/>
      <c r="AO1255" s="9"/>
      <c r="AP1255" s="9"/>
      <c r="AQ1255" s="9"/>
      <c r="AR1255" s="9"/>
      <c r="AS1255" s="9"/>
      <c r="AT1255" s="9"/>
      <c r="AU1255" s="9"/>
    </row>
    <row r="1256" spans="1:47" ht="15.75" customHeight="1">
      <c r="A1256" s="9"/>
      <c r="B1256" s="9"/>
      <c r="C1256" s="9"/>
      <c r="D1256" s="9"/>
      <c r="E1256" s="9"/>
      <c r="F1256" s="67"/>
      <c r="G1256" s="9"/>
      <c r="H1256" s="9"/>
      <c r="I1256" s="9"/>
      <c r="J1256" s="9"/>
      <c r="K1256" s="9"/>
      <c r="L1256" s="9"/>
      <c r="M1256" s="9"/>
      <c r="N1256" s="9"/>
      <c r="O1256" s="9"/>
      <c r="P1256" s="9"/>
      <c r="Q1256" s="9"/>
      <c r="R1256" s="9"/>
      <c r="S1256" s="9"/>
      <c r="T1256" s="9"/>
      <c r="U1256" s="9"/>
      <c r="V1256" s="9"/>
      <c r="W1256" s="9"/>
      <c r="X1256" s="9"/>
      <c r="Y1256" s="9"/>
      <c r="Z1256" s="9"/>
      <c r="AA1256" s="9"/>
      <c r="AB1256" s="9"/>
      <c r="AC1256" s="9"/>
      <c r="AD1256" s="9"/>
      <c r="AE1256" s="9"/>
      <c r="AF1256" s="9"/>
      <c r="AG1256" s="9"/>
      <c r="AH1256" s="9"/>
      <c r="AI1256" s="9"/>
      <c r="AJ1256" s="9"/>
      <c r="AK1256" s="9"/>
      <c r="AL1256" s="9"/>
      <c r="AM1256" s="9"/>
      <c r="AN1256" s="9"/>
      <c r="AO1256" s="9"/>
      <c r="AP1256" s="9"/>
      <c r="AQ1256" s="9"/>
      <c r="AR1256" s="9"/>
      <c r="AS1256" s="9"/>
      <c r="AT1256" s="9"/>
      <c r="AU1256" s="9"/>
    </row>
    <row r="1257" spans="1:47" ht="15.75" customHeight="1">
      <c r="A1257" s="9"/>
      <c r="B1257" s="9"/>
      <c r="C1257" s="9"/>
      <c r="D1257" s="9"/>
      <c r="E1257" s="9"/>
      <c r="F1257" s="67"/>
      <c r="G1257" s="9"/>
      <c r="H1257" s="9"/>
      <c r="I1257" s="9"/>
      <c r="J1257" s="9"/>
      <c r="K1257" s="9"/>
      <c r="L1257" s="9"/>
      <c r="M1257" s="9"/>
      <c r="N1257" s="9"/>
      <c r="O1257" s="9"/>
      <c r="P1257" s="9"/>
      <c r="Q1257" s="9"/>
      <c r="R1257" s="9"/>
      <c r="S1257" s="9"/>
      <c r="T1257" s="9"/>
      <c r="U1257" s="9"/>
      <c r="V1257" s="9"/>
      <c r="W1257" s="9"/>
      <c r="X1257" s="9"/>
      <c r="Y1257" s="9"/>
      <c r="Z1257" s="9"/>
      <c r="AA1257" s="9"/>
      <c r="AB1257" s="9"/>
      <c r="AC1257" s="9"/>
      <c r="AD1257" s="9"/>
      <c r="AE1257" s="9"/>
      <c r="AF1257" s="9"/>
      <c r="AG1257" s="9"/>
      <c r="AH1257" s="9"/>
      <c r="AI1257" s="9"/>
      <c r="AJ1257" s="9"/>
      <c r="AK1257" s="9"/>
      <c r="AL1257" s="9"/>
      <c r="AM1257" s="9"/>
      <c r="AN1257" s="9"/>
      <c r="AO1257" s="9"/>
      <c r="AP1257" s="9"/>
      <c r="AQ1257" s="9"/>
      <c r="AR1257" s="9"/>
      <c r="AS1257" s="9"/>
      <c r="AT1257" s="9"/>
      <c r="AU1257" s="9"/>
    </row>
    <row r="1258" spans="1:47" ht="15.75" customHeight="1">
      <c r="A1258" s="9"/>
      <c r="B1258" s="9"/>
      <c r="C1258" s="9"/>
      <c r="D1258" s="9"/>
      <c r="E1258" s="9"/>
      <c r="F1258" s="67"/>
      <c r="G1258" s="9"/>
      <c r="H1258" s="9"/>
      <c r="I1258" s="9"/>
      <c r="J1258" s="9"/>
      <c r="K1258" s="9"/>
      <c r="L1258" s="9"/>
      <c r="M1258" s="9"/>
      <c r="N1258" s="9"/>
      <c r="O1258" s="9"/>
      <c r="P1258" s="9"/>
      <c r="Q1258" s="9"/>
      <c r="R1258" s="9"/>
      <c r="S1258" s="9"/>
      <c r="T1258" s="9"/>
      <c r="U1258" s="9"/>
      <c r="V1258" s="9"/>
      <c r="W1258" s="9"/>
      <c r="X1258" s="9"/>
      <c r="Y1258" s="9"/>
      <c r="Z1258" s="9"/>
      <c r="AA1258" s="9"/>
      <c r="AB1258" s="9"/>
      <c r="AC1258" s="9"/>
      <c r="AD1258" s="9"/>
      <c r="AE1258" s="9"/>
      <c r="AF1258" s="9"/>
      <c r="AG1258" s="9"/>
      <c r="AH1258" s="9"/>
      <c r="AI1258" s="9"/>
      <c r="AJ1258" s="9"/>
      <c r="AK1258" s="9"/>
      <c r="AL1258" s="9"/>
      <c r="AM1258" s="9"/>
      <c r="AN1258" s="9"/>
      <c r="AO1258" s="9"/>
      <c r="AP1258" s="9"/>
      <c r="AQ1258" s="9"/>
      <c r="AR1258" s="9"/>
      <c r="AS1258" s="9"/>
      <c r="AT1258" s="9"/>
      <c r="AU1258" s="9"/>
    </row>
    <row r="1259" spans="1:47" ht="15.75" customHeight="1">
      <c r="A1259" s="9"/>
      <c r="B1259" s="9"/>
      <c r="C1259" s="9"/>
      <c r="D1259" s="9"/>
      <c r="E1259" s="9"/>
      <c r="F1259" s="67"/>
      <c r="G1259" s="9"/>
      <c r="H1259" s="9"/>
      <c r="I1259" s="9"/>
      <c r="J1259" s="9"/>
      <c r="K1259" s="9"/>
      <c r="L1259" s="9"/>
      <c r="M1259" s="9"/>
      <c r="N1259" s="9"/>
      <c r="O1259" s="9"/>
      <c r="P1259" s="9"/>
      <c r="Q1259" s="9"/>
      <c r="R1259" s="9"/>
      <c r="S1259" s="9"/>
      <c r="T1259" s="9"/>
      <c r="U1259" s="9"/>
      <c r="V1259" s="9"/>
      <c r="W1259" s="9"/>
      <c r="X1259" s="9"/>
      <c r="Y1259" s="9"/>
      <c r="Z1259" s="9"/>
      <c r="AA1259" s="9"/>
      <c r="AB1259" s="9"/>
      <c r="AC1259" s="9"/>
      <c r="AD1259" s="9"/>
      <c r="AE1259" s="9"/>
      <c r="AF1259" s="9"/>
      <c r="AG1259" s="9"/>
      <c r="AH1259" s="9"/>
      <c r="AI1259" s="9"/>
      <c r="AJ1259" s="9"/>
      <c r="AK1259" s="9"/>
      <c r="AL1259" s="9"/>
      <c r="AM1259" s="9"/>
      <c r="AN1259" s="9"/>
      <c r="AO1259" s="9"/>
      <c r="AP1259" s="9"/>
      <c r="AQ1259" s="9"/>
      <c r="AR1259" s="9"/>
      <c r="AS1259" s="9"/>
      <c r="AT1259" s="9"/>
      <c r="AU1259" s="9"/>
    </row>
    <row r="1260" spans="1:47" ht="15.75" customHeight="1">
      <c r="A1260" s="9"/>
      <c r="B1260" s="9"/>
      <c r="C1260" s="9"/>
      <c r="D1260" s="9"/>
      <c r="E1260" s="9"/>
      <c r="F1260" s="67"/>
      <c r="G1260" s="9"/>
      <c r="H1260" s="9"/>
      <c r="I1260" s="9"/>
      <c r="J1260" s="9"/>
      <c r="K1260" s="9"/>
      <c r="L1260" s="9"/>
      <c r="M1260" s="9"/>
      <c r="N1260" s="9"/>
      <c r="O1260" s="9"/>
      <c r="P1260" s="9"/>
      <c r="Q1260" s="9"/>
      <c r="R1260" s="9"/>
      <c r="S1260" s="9"/>
      <c r="T1260" s="9"/>
      <c r="U1260" s="9"/>
      <c r="V1260" s="9"/>
      <c r="W1260" s="9"/>
      <c r="X1260" s="9"/>
      <c r="Y1260" s="9"/>
      <c r="Z1260" s="9"/>
      <c r="AA1260" s="9"/>
      <c r="AB1260" s="9"/>
      <c r="AC1260" s="9"/>
      <c r="AD1260" s="9"/>
      <c r="AE1260" s="9"/>
      <c r="AF1260" s="9"/>
      <c r="AG1260" s="9"/>
      <c r="AH1260" s="9"/>
      <c r="AI1260" s="9"/>
      <c r="AJ1260" s="9"/>
      <c r="AK1260" s="9"/>
      <c r="AL1260" s="9"/>
      <c r="AM1260" s="9"/>
      <c r="AN1260" s="9"/>
      <c r="AO1260" s="9"/>
      <c r="AP1260" s="9"/>
      <c r="AQ1260" s="9"/>
      <c r="AR1260" s="9"/>
      <c r="AS1260" s="9"/>
      <c r="AT1260" s="9"/>
      <c r="AU1260" s="9"/>
    </row>
    <row r="1261" spans="1:47" ht="15.75" customHeight="1">
      <c r="A1261" s="9"/>
      <c r="B1261" s="9"/>
      <c r="C1261" s="9"/>
      <c r="D1261" s="9"/>
      <c r="E1261" s="9"/>
      <c r="F1261" s="67"/>
      <c r="G1261" s="9"/>
      <c r="H1261" s="9"/>
      <c r="I1261" s="9"/>
      <c r="J1261" s="9"/>
      <c r="K1261" s="9"/>
      <c r="L1261" s="9"/>
      <c r="M1261" s="9"/>
      <c r="N1261" s="9"/>
      <c r="O1261" s="9"/>
      <c r="P1261" s="9"/>
      <c r="Q1261" s="9"/>
      <c r="R1261" s="9"/>
      <c r="S1261" s="9"/>
      <c r="T1261" s="9"/>
      <c r="U1261" s="9"/>
      <c r="V1261" s="9"/>
      <c r="W1261" s="9"/>
      <c r="X1261" s="9"/>
      <c r="Y1261" s="9"/>
      <c r="Z1261" s="9"/>
      <c r="AA1261" s="9"/>
      <c r="AB1261" s="9"/>
      <c r="AC1261" s="9"/>
      <c r="AD1261" s="9"/>
      <c r="AE1261" s="9"/>
      <c r="AF1261" s="9"/>
      <c r="AG1261" s="9"/>
      <c r="AH1261" s="9"/>
      <c r="AI1261" s="9"/>
      <c r="AJ1261" s="9"/>
      <c r="AK1261" s="9"/>
      <c r="AL1261" s="9"/>
      <c r="AM1261" s="9"/>
      <c r="AN1261" s="9"/>
      <c r="AO1261" s="9"/>
      <c r="AP1261" s="9"/>
      <c r="AQ1261" s="9"/>
      <c r="AR1261" s="9"/>
      <c r="AS1261" s="9"/>
      <c r="AT1261" s="9"/>
      <c r="AU1261" s="9"/>
    </row>
    <row r="1262" spans="1:47" ht="15.75" customHeight="1">
      <c r="A1262" s="9"/>
      <c r="B1262" s="9"/>
      <c r="C1262" s="9"/>
      <c r="D1262" s="9"/>
      <c r="E1262" s="9"/>
      <c r="F1262" s="67"/>
      <c r="G1262" s="9"/>
      <c r="H1262" s="9"/>
      <c r="I1262" s="9"/>
      <c r="J1262" s="9"/>
      <c r="K1262" s="9"/>
      <c r="L1262" s="9"/>
      <c r="M1262" s="9"/>
      <c r="N1262" s="9"/>
      <c r="O1262" s="9"/>
      <c r="P1262" s="9"/>
      <c r="Q1262" s="9"/>
      <c r="R1262" s="9"/>
      <c r="S1262" s="9"/>
      <c r="T1262" s="9"/>
      <c r="U1262" s="9"/>
      <c r="V1262" s="9"/>
      <c r="W1262" s="9"/>
      <c r="X1262" s="9"/>
      <c r="Y1262" s="9"/>
      <c r="Z1262" s="9"/>
      <c r="AA1262" s="9"/>
      <c r="AB1262" s="9"/>
      <c r="AC1262" s="9"/>
      <c r="AD1262" s="9"/>
      <c r="AE1262" s="9"/>
      <c r="AF1262" s="9"/>
      <c r="AG1262" s="9"/>
      <c r="AH1262" s="9"/>
      <c r="AI1262" s="9"/>
      <c r="AJ1262" s="9"/>
      <c r="AK1262" s="9"/>
      <c r="AL1262" s="9"/>
      <c r="AM1262" s="9"/>
      <c r="AN1262" s="9"/>
      <c r="AO1262" s="9"/>
      <c r="AP1262" s="9"/>
      <c r="AQ1262" s="9"/>
      <c r="AR1262" s="9"/>
      <c r="AS1262" s="9"/>
      <c r="AT1262" s="9"/>
      <c r="AU1262" s="9"/>
    </row>
    <row r="1263" spans="1:47" ht="15.75" customHeight="1">
      <c r="A1263" s="9"/>
      <c r="B1263" s="9"/>
      <c r="C1263" s="9"/>
      <c r="D1263" s="9"/>
      <c r="E1263" s="9"/>
      <c r="F1263" s="67"/>
      <c r="G1263" s="9"/>
      <c r="H1263" s="9"/>
      <c r="I1263" s="9"/>
      <c r="J1263" s="9"/>
      <c r="K1263" s="9"/>
      <c r="L1263" s="9"/>
      <c r="M1263" s="9"/>
      <c r="N1263" s="9"/>
      <c r="O1263" s="9"/>
      <c r="P1263" s="9"/>
      <c r="Q1263" s="9"/>
      <c r="R1263" s="9"/>
      <c r="S1263" s="9"/>
      <c r="T1263" s="9"/>
      <c r="U1263" s="9"/>
      <c r="V1263" s="9"/>
      <c r="W1263" s="9"/>
      <c r="X1263" s="9"/>
      <c r="Y1263" s="9"/>
      <c r="Z1263" s="9"/>
      <c r="AA1263" s="9"/>
      <c r="AB1263" s="9"/>
      <c r="AC1263" s="9"/>
      <c r="AD1263" s="9"/>
      <c r="AE1263" s="9"/>
      <c r="AF1263" s="9"/>
      <c r="AG1263" s="9"/>
      <c r="AH1263" s="9"/>
      <c r="AI1263" s="9"/>
      <c r="AJ1263" s="9"/>
      <c r="AK1263" s="9"/>
      <c r="AL1263" s="9"/>
      <c r="AM1263" s="9"/>
      <c r="AN1263" s="9"/>
      <c r="AO1263" s="9"/>
      <c r="AP1263" s="9"/>
      <c r="AQ1263" s="9"/>
      <c r="AR1263" s="9"/>
      <c r="AS1263" s="9"/>
      <c r="AT1263" s="9"/>
      <c r="AU1263" s="9"/>
    </row>
    <row r="1264" spans="1:47" ht="15.75" customHeight="1">
      <c r="A1264" s="9"/>
      <c r="B1264" s="9"/>
      <c r="C1264" s="9"/>
      <c r="D1264" s="9"/>
      <c r="E1264" s="9"/>
      <c r="F1264" s="67"/>
      <c r="G1264" s="9"/>
      <c r="H1264" s="9"/>
      <c r="I1264" s="9"/>
      <c r="J1264" s="9"/>
      <c r="K1264" s="9"/>
      <c r="L1264" s="9"/>
      <c r="M1264" s="9"/>
      <c r="N1264" s="9"/>
      <c r="O1264" s="9"/>
      <c r="P1264" s="9"/>
      <c r="Q1264" s="9"/>
      <c r="R1264" s="9"/>
      <c r="S1264" s="9"/>
      <c r="T1264" s="9"/>
      <c r="U1264" s="9"/>
      <c r="V1264" s="9"/>
      <c r="W1264" s="9"/>
      <c r="X1264" s="9"/>
      <c r="Y1264" s="9"/>
      <c r="Z1264" s="9"/>
      <c r="AA1264" s="9"/>
      <c r="AB1264" s="9"/>
      <c r="AC1264" s="9"/>
      <c r="AD1264" s="9"/>
      <c r="AE1264" s="9"/>
      <c r="AF1264" s="9"/>
      <c r="AG1264" s="9"/>
      <c r="AH1264" s="9"/>
      <c r="AI1264" s="9"/>
      <c r="AJ1264" s="9"/>
      <c r="AK1264" s="9"/>
      <c r="AL1264" s="9"/>
      <c r="AM1264" s="9"/>
      <c r="AN1264" s="9"/>
      <c r="AO1264" s="9"/>
      <c r="AP1264" s="9"/>
      <c r="AQ1264" s="9"/>
      <c r="AR1264" s="9"/>
      <c r="AS1264" s="9"/>
      <c r="AT1264" s="9"/>
      <c r="AU1264" s="9"/>
    </row>
    <row r="1265" spans="1:47" ht="15.75" customHeight="1">
      <c r="A1265" s="9"/>
      <c r="B1265" s="9"/>
      <c r="C1265" s="9"/>
      <c r="D1265" s="9"/>
      <c r="E1265" s="9"/>
      <c r="F1265" s="67"/>
      <c r="G1265" s="9"/>
      <c r="H1265" s="9"/>
      <c r="I1265" s="9"/>
      <c r="J1265" s="9"/>
      <c r="K1265" s="9"/>
      <c r="L1265" s="9"/>
      <c r="M1265" s="9"/>
      <c r="N1265" s="9"/>
      <c r="O1265" s="9"/>
      <c r="P1265" s="9"/>
      <c r="Q1265" s="9"/>
      <c r="R1265" s="9"/>
      <c r="S1265" s="9"/>
      <c r="T1265" s="9"/>
      <c r="U1265" s="9"/>
      <c r="V1265" s="9"/>
      <c r="W1265" s="9"/>
      <c r="X1265" s="9"/>
      <c r="Y1265" s="9"/>
      <c r="Z1265" s="9"/>
      <c r="AA1265" s="9"/>
      <c r="AB1265" s="9"/>
      <c r="AC1265" s="9"/>
      <c r="AD1265" s="9"/>
      <c r="AE1265" s="9"/>
      <c r="AF1265" s="9"/>
      <c r="AG1265" s="9"/>
      <c r="AH1265" s="9"/>
      <c r="AI1265" s="9"/>
      <c r="AJ1265" s="9"/>
      <c r="AK1265" s="9"/>
      <c r="AL1265" s="9"/>
      <c r="AM1265" s="9"/>
      <c r="AN1265" s="9"/>
      <c r="AO1265" s="9"/>
      <c r="AP1265" s="9"/>
      <c r="AQ1265" s="9"/>
      <c r="AR1265" s="9"/>
      <c r="AS1265" s="9"/>
      <c r="AT1265" s="9"/>
      <c r="AU1265" s="9"/>
    </row>
    <row r="1266" spans="1:47" ht="15.75" customHeight="1">
      <c r="A1266" s="9"/>
      <c r="B1266" s="9"/>
      <c r="C1266" s="9"/>
      <c r="D1266" s="9"/>
      <c r="E1266" s="9"/>
      <c r="F1266" s="67"/>
      <c r="G1266" s="9"/>
      <c r="H1266" s="9"/>
      <c r="I1266" s="9"/>
      <c r="J1266" s="9"/>
      <c r="K1266" s="9"/>
      <c r="L1266" s="9"/>
      <c r="M1266" s="9"/>
      <c r="N1266" s="9"/>
      <c r="O1266" s="9"/>
      <c r="P1266" s="9"/>
      <c r="Q1266" s="9"/>
      <c r="R1266" s="9"/>
      <c r="S1266" s="9"/>
      <c r="T1266" s="9"/>
      <c r="U1266" s="9"/>
      <c r="V1266" s="9"/>
      <c r="W1266" s="9"/>
      <c r="X1266" s="9"/>
      <c r="Y1266" s="9"/>
      <c r="Z1266" s="9"/>
      <c r="AA1266" s="9"/>
      <c r="AB1266" s="9"/>
      <c r="AC1266" s="9"/>
      <c r="AD1266" s="9"/>
      <c r="AE1266" s="9"/>
      <c r="AF1266" s="9"/>
      <c r="AG1266" s="9"/>
      <c r="AH1266" s="9"/>
      <c r="AI1266" s="9"/>
      <c r="AJ1266" s="9"/>
      <c r="AK1266" s="9"/>
      <c r="AL1266" s="9"/>
      <c r="AM1266" s="9"/>
      <c r="AN1266" s="9"/>
      <c r="AO1266" s="9"/>
      <c r="AP1266" s="9"/>
      <c r="AQ1266" s="9"/>
      <c r="AR1266" s="9"/>
      <c r="AS1266" s="9"/>
      <c r="AT1266" s="9"/>
      <c r="AU1266" s="9"/>
    </row>
    <row r="1267" spans="1:47" ht="15.75" customHeight="1">
      <c r="A1267" s="9"/>
      <c r="B1267" s="9"/>
      <c r="C1267" s="9"/>
      <c r="D1267" s="9"/>
      <c r="E1267" s="9"/>
      <c r="F1267" s="67"/>
      <c r="G1267" s="9"/>
      <c r="H1267" s="9"/>
      <c r="I1267" s="9"/>
      <c r="J1267" s="9"/>
      <c r="K1267" s="9"/>
      <c r="L1267" s="9"/>
      <c r="M1267" s="9"/>
      <c r="N1267" s="9"/>
      <c r="O1267" s="9"/>
      <c r="P1267" s="9"/>
      <c r="Q1267" s="9"/>
      <c r="R1267" s="9"/>
      <c r="S1267" s="9"/>
      <c r="T1267" s="9"/>
      <c r="U1267" s="9"/>
      <c r="V1267" s="9"/>
      <c r="W1267" s="9"/>
      <c r="X1267" s="9"/>
      <c r="Y1267" s="9"/>
      <c r="Z1267" s="9"/>
      <c r="AA1267" s="9"/>
      <c r="AB1267" s="9"/>
      <c r="AC1267" s="9"/>
      <c r="AD1267" s="9"/>
      <c r="AE1267" s="9"/>
      <c r="AF1267" s="9"/>
      <c r="AG1267" s="9"/>
      <c r="AH1267" s="9"/>
      <c r="AI1267" s="9"/>
      <c r="AJ1267" s="9"/>
      <c r="AK1267" s="9"/>
      <c r="AL1267" s="9"/>
      <c r="AM1267" s="9"/>
      <c r="AN1267" s="9"/>
      <c r="AO1267" s="9"/>
      <c r="AP1267" s="9"/>
      <c r="AQ1267" s="9"/>
      <c r="AR1267" s="9"/>
      <c r="AS1267" s="9"/>
      <c r="AT1267" s="9"/>
      <c r="AU1267" s="9"/>
    </row>
    <row r="1268" spans="1:47" ht="15.75" customHeight="1">
      <c r="A1268" s="9"/>
      <c r="B1268" s="9"/>
      <c r="C1268" s="9"/>
      <c r="D1268" s="9"/>
      <c r="E1268" s="9"/>
      <c r="F1268" s="67"/>
      <c r="G1268" s="9"/>
      <c r="H1268" s="9"/>
      <c r="I1268" s="9"/>
      <c r="J1268" s="9"/>
      <c r="K1268" s="9"/>
      <c r="L1268" s="9"/>
      <c r="M1268" s="9"/>
      <c r="N1268" s="9"/>
      <c r="O1268" s="9"/>
      <c r="P1268" s="9"/>
      <c r="Q1268" s="9"/>
      <c r="R1268" s="9"/>
      <c r="S1268" s="9"/>
      <c r="T1268" s="9"/>
      <c r="U1268" s="9"/>
      <c r="V1268" s="9"/>
      <c r="W1268" s="9"/>
      <c r="X1268" s="9"/>
      <c r="Y1268" s="9"/>
      <c r="Z1268" s="9"/>
      <c r="AA1268" s="9"/>
      <c r="AB1268" s="9"/>
      <c r="AC1268" s="9"/>
      <c r="AD1268" s="9"/>
      <c r="AE1268" s="9"/>
      <c r="AF1268" s="9"/>
      <c r="AG1268" s="9"/>
      <c r="AH1268" s="9"/>
      <c r="AI1268" s="9"/>
      <c r="AJ1268" s="9"/>
      <c r="AK1268" s="9"/>
      <c r="AL1268" s="9"/>
      <c r="AM1268" s="9"/>
      <c r="AN1268" s="9"/>
      <c r="AO1268" s="9"/>
      <c r="AP1268" s="9"/>
      <c r="AQ1268" s="9"/>
      <c r="AR1268" s="9"/>
      <c r="AS1268" s="9"/>
      <c r="AT1268" s="9"/>
      <c r="AU1268" s="9"/>
    </row>
    <row r="1269" spans="1:47" ht="15.75" customHeight="1">
      <c r="A1269" s="9"/>
      <c r="B1269" s="9"/>
      <c r="C1269" s="9"/>
      <c r="D1269" s="9"/>
      <c r="E1269" s="9"/>
      <c r="F1269" s="67"/>
      <c r="G1269" s="9"/>
      <c r="H1269" s="9"/>
      <c r="I1269" s="9"/>
      <c r="J1269" s="9"/>
      <c r="K1269" s="9"/>
      <c r="L1269" s="9"/>
      <c r="M1269" s="9"/>
      <c r="N1269" s="9"/>
      <c r="O1269" s="9"/>
      <c r="P1269" s="9"/>
      <c r="Q1269" s="9"/>
      <c r="R1269" s="9"/>
      <c r="S1269" s="9"/>
      <c r="T1269" s="9"/>
      <c r="U1269" s="9"/>
      <c r="V1269" s="9"/>
      <c r="W1269" s="9"/>
      <c r="X1269" s="9"/>
      <c r="Y1269" s="9"/>
      <c r="Z1269" s="9"/>
      <c r="AA1269" s="9"/>
      <c r="AB1269" s="9"/>
      <c r="AC1269" s="9"/>
      <c r="AD1269" s="9"/>
      <c r="AE1269" s="9"/>
      <c r="AF1269" s="9"/>
      <c r="AG1269" s="9"/>
      <c r="AH1269" s="9"/>
      <c r="AI1269" s="9"/>
      <c r="AJ1269" s="9"/>
      <c r="AK1269" s="9"/>
      <c r="AL1269" s="9"/>
      <c r="AM1269" s="9"/>
      <c r="AN1269" s="9"/>
      <c r="AO1269" s="9"/>
      <c r="AP1269" s="9"/>
      <c r="AQ1269" s="9"/>
      <c r="AR1269" s="9"/>
      <c r="AS1269" s="9"/>
      <c r="AT1269" s="9"/>
      <c r="AU1269" s="9"/>
    </row>
    <row r="1270" spans="1:47" ht="15.75" customHeight="1">
      <c r="A1270" s="9"/>
      <c r="B1270" s="9"/>
      <c r="C1270" s="9"/>
      <c r="D1270" s="9"/>
      <c r="E1270" s="9"/>
      <c r="F1270" s="67"/>
      <c r="G1270" s="9"/>
      <c r="H1270" s="9"/>
      <c r="I1270" s="9"/>
      <c r="J1270" s="9"/>
      <c r="K1270" s="9"/>
      <c r="L1270" s="9"/>
      <c r="M1270" s="9"/>
      <c r="N1270" s="9"/>
      <c r="O1270" s="9"/>
      <c r="P1270" s="9"/>
      <c r="Q1270" s="9"/>
      <c r="R1270" s="9"/>
      <c r="S1270" s="9"/>
      <c r="T1270" s="9"/>
      <c r="U1270" s="9"/>
      <c r="V1270" s="9"/>
      <c r="W1270" s="9"/>
      <c r="X1270" s="9"/>
      <c r="Y1270" s="9"/>
      <c r="Z1270" s="9"/>
      <c r="AA1270" s="9"/>
      <c r="AB1270" s="9"/>
      <c r="AC1270" s="9"/>
      <c r="AD1270" s="9"/>
      <c r="AE1270" s="9"/>
      <c r="AF1270" s="9"/>
      <c r="AG1270" s="9"/>
      <c r="AH1270" s="9"/>
      <c r="AI1270" s="9"/>
      <c r="AJ1270" s="9"/>
      <c r="AK1270" s="9"/>
      <c r="AL1270" s="9"/>
      <c r="AM1270" s="9"/>
      <c r="AN1270" s="9"/>
      <c r="AO1270" s="9"/>
      <c r="AP1270" s="9"/>
      <c r="AQ1270" s="9"/>
      <c r="AR1270" s="9"/>
      <c r="AS1270" s="9"/>
      <c r="AT1270" s="9"/>
      <c r="AU1270" s="9"/>
    </row>
    <row r="1271" spans="1:47" ht="15.75" customHeight="1">
      <c r="A1271" s="9"/>
      <c r="B1271" s="9"/>
      <c r="C1271" s="9"/>
      <c r="D1271" s="9"/>
      <c r="E1271" s="9"/>
      <c r="F1271" s="67"/>
      <c r="G1271" s="9"/>
      <c r="H1271" s="9"/>
      <c r="I1271" s="9"/>
      <c r="J1271" s="9"/>
      <c r="K1271" s="9"/>
      <c r="L1271" s="9"/>
      <c r="M1271" s="9"/>
      <c r="N1271" s="9"/>
      <c r="O1271" s="9"/>
      <c r="P1271" s="9"/>
      <c r="Q1271" s="9"/>
      <c r="R1271" s="9"/>
      <c r="S1271" s="9"/>
      <c r="T1271" s="9"/>
      <c r="U1271" s="9"/>
      <c r="V1271" s="9"/>
      <c r="W1271" s="9"/>
      <c r="X1271" s="9"/>
      <c r="Y1271" s="9"/>
      <c r="Z1271" s="9"/>
      <c r="AA1271" s="9"/>
      <c r="AB1271" s="9"/>
      <c r="AC1271" s="9"/>
      <c r="AD1271" s="9"/>
      <c r="AE1271" s="9"/>
      <c r="AF1271" s="9"/>
      <c r="AG1271" s="9"/>
      <c r="AH1271" s="9"/>
      <c r="AI1271" s="9"/>
      <c r="AJ1271" s="9"/>
      <c r="AK1271" s="9"/>
      <c r="AL1271" s="9"/>
      <c r="AM1271" s="9"/>
      <c r="AN1271" s="9"/>
      <c r="AO1271" s="9"/>
      <c r="AP1271" s="9"/>
      <c r="AQ1271" s="9"/>
      <c r="AR1271" s="9"/>
      <c r="AS1271" s="9"/>
      <c r="AT1271" s="9"/>
      <c r="AU1271" s="9"/>
    </row>
    <row r="1272" spans="1:47" ht="15.75" customHeight="1">
      <c r="A1272" s="9"/>
      <c r="B1272" s="9"/>
      <c r="C1272" s="9"/>
      <c r="D1272" s="9"/>
      <c r="E1272" s="9"/>
      <c r="F1272" s="67"/>
      <c r="G1272" s="9"/>
      <c r="H1272" s="9"/>
      <c r="I1272" s="9"/>
      <c r="J1272" s="9"/>
      <c r="K1272" s="9"/>
      <c r="L1272" s="9"/>
      <c r="M1272" s="9"/>
      <c r="N1272" s="9"/>
      <c r="O1272" s="9"/>
      <c r="P1272" s="9"/>
      <c r="Q1272" s="9"/>
      <c r="R1272" s="9"/>
      <c r="S1272" s="9"/>
      <c r="T1272" s="9"/>
      <c r="U1272" s="9"/>
      <c r="V1272" s="9"/>
      <c r="W1272" s="9"/>
      <c r="X1272" s="9"/>
      <c r="Y1272" s="9"/>
      <c r="Z1272" s="9"/>
      <c r="AA1272" s="9"/>
      <c r="AB1272" s="9"/>
      <c r="AC1272" s="9"/>
      <c r="AD1272" s="9"/>
      <c r="AE1272" s="9"/>
      <c r="AF1272" s="9"/>
      <c r="AG1272" s="9"/>
      <c r="AH1272" s="9"/>
      <c r="AI1272" s="9"/>
      <c r="AJ1272" s="9"/>
      <c r="AK1272" s="9"/>
      <c r="AL1272" s="9"/>
      <c r="AM1272" s="9"/>
      <c r="AN1272" s="9"/>
      <c r="AO1272" s="9"/>
      <c r="AP1272" s="9"/>
      <c r="AQ1272" s="9"/>
      <c r="AR1272" s="9"/>
      <c r="AS1272" s="9"/>
      <c r="AT1272" s="9"/>
      <c r="AU1272" s="9"/>
    </row>
    <row r="1273" spans="1:47" ht="15.75" customHeight="1">
      <c r="A1273" s="9"/>
      <c r="B1273" s="9"/>
      <c r="C1273" s="9"/>
      <c r="D1273" s="9"/>
      <c r="E1273" s="9"/>
      <c r="F1273" s="67"/>
      <c r="G1273" s="9"/>
      <c r="H1273" s="9"/>
      <c r="I1273" s="9"/>
      <c r="J1273" s="9"/>
      <c r="K1273" s="9"/>
      <c r="L1273" s="9"/>
      <c r="M1273" s="9"/>
      <c r="N1273" s="9"/>
      <c r="O1273" s="9"/>
      <c r="P1273" s="9"/>
      <c r="Q1273" s="9"/>
      <c r="R1273" s="9"/>
      <c r="S1273" s="9"/>
      <c r="T1273" s="9"/>
      <c r="U1273" s="9"/>
      <c r="V1273" s="9"/>
      <c r="W1273" s="9"/>
      <c r="X1273" s="9"/>
      <c r="Y1273" s="9"/>
      <c r="Z1273" s="9"/>
      <c r="AA1273" s="9"/>
      <c r="AB1273" s="9"/>
      <c r="AC1273" s="9"/>
      <c r="AD1273" s="9"/>
      <c r="AE1273" s="9"/>
      <c r="AF1273" s="9"/>
      <c r="AG1273" s="9"/>
      <c r="AH1273" s="9"/>
      <c r="AI1273" s="9"/>
      <c r="AJ1273" s="9"/>
      <c r="AK1273" s="9"/>
      <c r="AL1273" s="9"/>
      <c r="AM1273" s="9"/>
      <c r="AN1273" s="9"/>
      <c r="AO1273" s="9"/>
      <c r="AP1273" s="9"/>
      <c r="AQ1273" s="9"/>
      <c r="AR1273" s="9"/>
      <c r="AS1273" s="9"/>
      <c r="AT1273" s="9"/>
      <c r="AU1273" s="9"/>
    </row>
    <row r="1274" spans="1:47" ht="15.75" customHeight="1">
      <c r="A1274" s="9"/>
      <c r="B1274" s="9"/>
      <c r="C1274" s="9"/>
      <c r="D1274" s="9"/>
      <c r="E1274" s="9"/>
      <c r="F1274" s="67"/>
      <c r="G1274" s="9"/>
      <c r="H1274" s="9"/>
      <c r="I1274" s="9"/>
      <c r="J1274" s="9"/>
      <c r="K1274" s="9"/>
      <c r="L1274" s="9"/>
      <c r="M1274" s="9"/>
      <c r="N1274" s="9"/>
      <c r="O1274" s="9"/>
      <c r="P1274" s="9"/>
      <c r="Q1274" s="9"/>
      <c r="R1274" s="9"/>
      <c r="S1274" s="9"/>
      <c r="T1274" s="9"/>
      <c r="U1274" s="9"/>
      <c r="V1274" s="9"/>
      <c r="W1274" s="9"/>
      <c r="X1274" s="9"/>
      <c r="Y1274" s="9"/>
      <c r="Z1274" s="9"/>
      <c r="AA1274" s="9"/>
      <c r="AB1274" s="9"/>
      <c r="AC1274" s="9"/>
      <c r="AD1274" s="9"/>
      <c r="AE1274" s="9"/>
      <c r="AF1274" s="9"/>
      <c r="AG1274" s="9"/>
      <c r="AH1274" s="9"/>
      <c r="AI1274" s="9"/>
      <c r="AJ1274" s="9"/>
      <c r="AK1274" s="9"/>
      <c r="AL1274" s="9"/>
      <c r="AM1274" s="9"/>
      <c r="AN1274" s="9"/>
      <c r="AO1274" s="9"/>
      <c r="AP1274" s="9"/>
      <c r="AQ1274" s="9"/>
      <c r="AR1274" s="9"/>
      <c r="AS1274" s="9"/>
      <c r="AT1274" s="9"/>
      <c r="AU1274" s="9"/>
    </row>
    <row r="1275" spans="1:47" ht="15.75" customHeight="1">
      <c r="A1275" s="9"/>
      <c r="B1275" s="9"/>
      <c r="C1275" s="9"/>
      <c r="D1275" s="9"/>
      <c r="E1275" s="9"/>
      <c r="F1275" s="67"/>
      <c r="G1275" s="9"/>
      <c r="H1275" s="9"/>
      <c r="I1275" s="9"/>
      <c r="J1275" s="9"/>
      <c r="K1275" s="9"/>
      <c r="L1275" s="9"/>
      <c r="M1275" s="9"/>
      <c r="N1275" s="9"/>
      <c r="O1275" s="9"/>
      <c r="P1275" s="9"/>
      <c r="Q1275" s="9"/>
      <c r="R1275" s="9"/>
      <c r="S1275" s="9"/>
      <c r="T1275" s="9"/>
      <c r="U1275" s="9"/>
      <c r="V1275" s="9"/>
      <c r="W1275" s="9"/>
      <c r="X1275" s="9"/>
      <c r="Y1275" s="9"/>
      <c r="Z1275" s="9"/>
      <c r="AA1275" s="9"/>
      <c r="AB1275" s="9"/>
      <c r="AC1275" s="9"/>
      <c r="AD1275" s="9"/>
      <c r="AE1275" s="9"/>
      <c r="AF1275" s="9"/>
      <c r="AG1275" s="9"/>
      <c r="AH1275" s="9"/>
      <c r="AI1275" s="9"/>
      <c r="AJ1275" s="9"/>
      <c r="AK1275" s="9"/>
      <c r="AL1275" s="9"/>
      <c r="AM1275" s="9"/>
      <c r="AN1275" s="9"/>
      <c r="AO1275" s="9"/>
      <c r="AP1275" s="9"/>
      <c r="AQ1275" s="9"/>
      <c r="AR1275" s="9"/>
      <c r="AS1275" s="9"/>
      <c r="AT1275" s="9"/>
      <c r="AU1275" s="9"/>
    </row>
    <row r="1276" spans="1:47" ht="15.75" customHeight="1">
      <c r="A1276" s="9"/>
      <c r="B1276" s="9"/>
      <c r="C1276" s="9"/>
      <c r="D1276" s="9"/>
      <c r="E1276" s="9"/>
      <c r="F1276" s="67"/>
      <c r="G1276" s="9"/>
      <c r="H1276" s="9"/>
      <c r="I1276" s="9"/>
      <c r="J1276" s="9"/>
      <c r="K1276" s="9"/>
      <c r="L1276" s="9"/>
      <c r="M1276" s="9"/>
      <c r="N1276" s="9"/>
      <c r="O1276" s="9"/>
      <c r="P1276" s="9"/>
      <c r="Q1276" s="9"/>
      <c r="R1276" s="9"/>
      <c r="S1276" s="9"/>
      <c r="T1276" s="9"/>
      <c r="U1276" s="9"/>
      <c r="V1276" s="9"/>
      <c r="W1276" s="9"/>
      <c r="X1276" s="9"/>
      <c r="Y1276" s="9"/>
      <c r="Z1276" s="9"/>
      <c r="AA1276" s="9"/>
      <c r="AB1276" s="9"/>
      <c r="AC1276" s="9"/>
      <c r="AD1276" s="9"/>
      <c r="AE1276" s="9"/>
      <c r="AF1276" s="9"/>
      <c r="AG1276" s="9"/>
      <c r="AH1276" s="9"/>
      <c r="AI1276" s="9"/>
      <c r="AJ1276" s="9"/>
      <c r="AK1276" s="9"/>
      <c r="AL1276" s="9"/>
      <c r="AM1276" s="9"/>
      <c r="AN1276" s="9"/>
      <c r="AO1276" s="9"/>
      <c r="AP1276" s="9"/>
      <c r="AQ1276" s="9"/>
      <c r="AR1276" s="9"/>
      <c r="AS1276" s="9"/>
      <c r="AT1276" s="9"/>
      <c r="AU1276" s="9"/>
    </row>
    <row r="1277" spans="1:47" ht="15.75" customHeight="1">
      <c r="A1277" s="9"/>
      <c r="B1277" s="9"/>
      <c r="C1277" s="9"/>
      <c r="D1277" s="9"/>
      <c r="E1277" s="9"/>
      <c r="F1277" s="67"/>
      <c r="G1277" s="9"/>
      <c r="H1277" s="9"/>
      <c r="I1277" s="9"/>
      <c r="J1277" s="9"/>
      <c r="K1277" s="9"/>
      <c r="L1277" s="9"/>
      <c r="M1277" s="9"/>
      <c r="N1277" s="9"/>
      <c r="O1277" s="9"/>
      <c r="P1277" s="9"/>
      <c r="Q1277" s="9"/>
      <c r="R1277" s="9"/>
      <c r="S1277" s="9"/>
      <c r="T1277" s="9"/>
      <c r="U1277" s="9"/>
      <c r="V1277" s="9"/>
      <c r="W1277" s="9"/>
      <c r="X1277" s="9"/>
      <c r="Y1277" s="9"/>
      <c r="Z1277" s="9"/>
      <c r="AA1277" s="9"/>
      <c r="AB1277" s="9"/>
      <c r="AC1277" s="9"/>
      <c r="AD1277" s="9"/>
      <c r="AE1277" s="9"/>
      <c r="AF1277" s="9"/>
      <c r="AG1277" s="9"/>
      <c r="AH1277" s="9"/>
      <c r="AI1277" s="9"/>
      <c r="AJ1277" s="9"/>
      <c r="AK1277" s="9"/>
      <c r="AL1277" s="9"/>
      <c r="AM1277" s="9"/>
      <c r="AN1277" s="9"/>
      <c r="AO1277" s="9"/>
      <c r="AP1277" s="9"/>
      <c r="AQ1277" s="9"/>
      <c r="AR1277" s="9"/>
      <c r="AS1277" s="9"/>
      <c r="AT1277" s="9"/>
      <c r="AU1277" s="9"/>
    </row>
    <row r="1278" spans="1:47" ht="15.75" customHeight="1">
      <c r="A1278" s="9"/>
      <c r="B1278" s="9"/>
      <c r="C1278" s="9"/>
      <c r="D1278" s="9"/>
      <c r="E1278" s="9"/>
      <c r="F1278" s="67"/>
      <c r="G1278" s="9"/>
      <c r="H1278" s="9"/>
      <c r="I1278" s="9"/>
      <c r="J1278" s="9"/>
      <c r="K1278" s="9"/>
      <c r="L1278" s="9"/>
      <c r="M1278" s="9"/>
      <c r="N1278" s="9"/>
      <c r="O1278" s="9"/>
      <c r="P1278" s="9"/>
      <c r="Q1278" s="9"/>
      <c r="R1278" s="9"/>
      <c r="S1278" s="9"/>
      <c r="T1278" s="9"/>
      <c r="U1278" s="9"/>
      <c r="V1278" s="9"/>
      <c r="W1278" s="9"/>
      <c r="X1278" s="9"/>
      <c r="Y1278" s="9"/>
      <c r="Z1278" s="9"/>
      <c r="AA1278" s="9"/>
      <c r="AB1278" s="9"/>
      <c r="AC1278" s="9"/>
      <c r="AD1278" s="9"/>
      <c r="AE1278" s="9"/>
      <c r="AF1278" s="9"/>
      <c r="AG1278" s="9"/>
      <c r="AH1278" s="9"/>
      <c r="AI1278" s="9"/>
      <c r="AJ1278" s="9"/>
      <c r="AK1278" s="9"/>
      <c r="AL1278" s="9"/>
      <c r="AM1278" s="9"/>
      <c r="AN1278" s="9"/>
      <c r="AO1278" s="9"/>
      <c r="AP1278" s="9"/>
      <c r="AQ1278" s="9"/>
      <c r="AR1278" s="9"/>
      <c r="AS1278" s="9"/>
      <c r="AT1278" s="9"/>
      <c r="AU1278" s="9"/>
    </row>
    <row r="1279" spans="1:47" ht="15.75" customHeight="1">
      <c r="A1279" s="9"/>
      <c r="B1279" s="9"/>
      <c r="C1279" s="9"/>
      <c r="D1279" s="9"/>
      <c r="E1279" s="9"/>
      <c r="F1279" s="67"/>
      <c r="G1279" s="9"/>
      <c r="H1279" s="9"/>
      <c r="I1279" s="9"/>
      <c r="J1279" s="9"/>
      <c r="K1279" s="9"/>
      <c r="L1279" s="9"/>
      <c r="M1279" s="9"/>
      <c r="N1279" s="9"/>
      <c r="O1279" s="9"/>
      <c r="P1279" s="9"/>
      <c r="Q1279" s="9"/>
      <c r="R1279" s="9"/>
      <c r="S1279" s="9"/>
      <c r="T1279" s="9"/>
      <c r="U1279" s="9"/>
      <c r="V1279" s="9"/>
      <c r="W1279" s="9"/>
      <c r="X1279" s="9"/>
      <c r="Y1279" s="9"/>
      <c r="Z1279" s="9"/>
      <c r="AA1279" s="9"/>
      <c r="AB1279" s="9"/>
      <c r="AC1279" s="9"/>
      <c r="AD1279" s="9"/>
      <c r="AE1279" s="9"/>
      <c r="AF1279" s="9"/>
      <c r="AG1279" s="9"/>
      <c r="AH1279" s="9"/>
      <c r="AI1279" s="9"/>
      <c r="AJ1279" s="9"/>
      <c r="AK1279" s="9"/>
      <c r="AL1279" s="9"/>
      <c r="AM1279" s="9"/>
      <c r="AN1279" s="9"/>
      <c r="AO1279" s="9"/>
      <c r="AP1279" s="9"/>
      <c r="AQ1279" s="9"/>
      <c r="AR1279" s="9"/>
      <c r="AS1279" s="9"/>
      <c r="AT1279" s="9"/>
      <c r="AU1279" s="9"/>
    </row>
    <row r="1280" spans="1:47" ht="15.75" customHeight="1">
      <c r="A1280" s="9"/>
      <c r="B1280" s="9"/>
      <c r="C1280" s="9"/>
      <c r="D1280" s="9"/>
      <c r="E1280" s="9"/>
      <c r="F1280" s="67"/>
      <c r="G1280" s="9"/>
      <c r="H1280" s="9"/>
      <c r="I1280" s="9"/>
      <c r="J1280" s="9"/>
      <c r="K1280" s="9"/>
      <c r="L1280" s="9"/>
      <c r="M1280" s="9"/>
      <c r="N1280" s="9"/>
      <c r="O1280" s="9"/>
      <c r="P1280" s="9"/>
      <c r="Q1280" s="9"/>
      <c r="R1280" s="9"/>
      <c r="S1280" s="9"/>
      <c r="T1280" s="9"/>
      <c r="U1280" s="9"/>
      <c r="V1280" s="9"/>
      <c r="W1280" s="9"/>
      <c r="X1280" s="9"/>
      <c r="Y1280" s="9"/>
      <c r="Z1280" s="9"/>
      <c r="AA1280" s="9"/>
      <c r="AB1280" s="9"/>
      <c r="AC1280" s="9"/>
      <c r="AD1280" s="9"/>
      <c r="AE1280" s="9"/>
      <c r="AF1280" s="9"/>
      <c r="AG1280" s="9"/>
      <c r="AH1280" s="9"/>
      <c r="AI1280" s="9"/>
      <c r="AJ1280" s="9"/>
      <c r="AK1280" s="9"/>
      <c r="AL1280" s="9"/>
      <c r="AM1280" s="9"/>
      <c r="AN1280" s="9"/>
      <c r="AO1280" s="9"/>
      <c r="AP1280" s="9"/>
      <c r="AQ1280" s="9"/>
      <c r="AR1280" s="9"/>
      <c r="AS1280" s="9"/>
      <c r="AT1280" s="9"/>
      <c r="AU1280" s="9"/>
    </row>
    <row r="1281" spans="1:47" ht="15.75" customHeight="1">
      <c r="A1281" s="9"/>
      <c r="B1281" s="9"/>
      <c r="C1281" s="9"/>
      <c r="D1281" s="9"/>
      <c r="E1281" s="9"/>
      <c r="F1281" s="67"/>
      <c r="G1281" s="9"/>
      <c r="H1281" s="9"/>
      <c r="I1281" s="9"/>
      <c r="J1281" s="9"/>
      <c r="K1281" s="9"/>
      <c r="L1281" s="9"/>
      <c r="M1281" s="9"/>
      <c r="N1281" s="9"/>
      <c r="O1281" s="9"/>
      <c r="P1281" s="9"/>
      <c r="Q1281" s="9"/>
      <c r="R1281" s="9"/>
      <c r="S1281" s="9"/>
      <c r="T1281" s="9"/>
      <c r="U1281" s="9"/>
      <c r="V1281" s="9"/>
      <c r="W1281" s="9"/>
      <c r="X1281" s="9"/>
      <c r="Y1281" s="9"/>
      <c r="Z1281" s="9"/>
      <c r="AA1281" s="9"/>
      <c r="AB1281" s="9"/>
      <c r="AC1281" s="9"/>
      <c r="AD1281" s="9"/>
      <c r="AE1281" s="9"/>
      <c r="AF1281" s="9"/>
      <c r="AG1281" s="9"/>
      <c r="AH1281" s="9"/>
      <c r="AI1281" s="9"/>
      <c r="AJ1281" s="9"/>
      <c r="AK1281" s="9"/>
      <c r="AL1281" s="9"/>
      <c r="AM1281" s="9"/>
      <c r="AN1281" s="9"/>
      <c r="AO1281" s="9"/>
      <c r="AP1281" s="9"/>
      <c r="AQ1281" s="9"/>
      <c r="AR1281" s="9"/>
      <c r="AS1281" s="9"/>
      <c r="AT1281" s="9"/>
      <c r="AU1281" s="9"/>
    </row>
    <row r="1282" spans="1:47" ht="15.75" customHeight="1">
      <c r="A1282" s="9"/>
      <c r="B1282" s="9"/>
      <c r="C1282" s="9"/>
      <c r="D1282" s="9"/>
      <c r="E1282" s="9"/>
      <c r="F1282" s="67"/>
      <c r="G1282" s="9"/>
      <c r="H1282" s="9"/>
      <c r="I1282" s="9"/>
      <c r="J1282" s="9"/>
      <c r="K1282" s="9"/>
      <c r="L1282" s="9"/>
      <c r="M1282" s="9"/>
      <c r="N1282" s="9"/>
      <c r="O1282" s="9"/>
      <c r="P1282" s="9"/>
      <c r="Q1282" s="9"/>
      <c r="R1282" s="9"/>
      <c r="S1282" s="9"/>
      <c r="T1282" s="9"/>
      <c r="U1282" s="9"/>
      <c r="V1282" s="9"/>
      <c r="W1282" s="9"/>
      <c r="X1282" s="9"/>
      <c r="Y1282" s="9"/>
      <c r="Z1282" s="9"/>
      <c r="AA1282" s="9"/>
      <c r="AB1282" s="9"/>
      <c r="AC1282" s="9"/>
      <c r="AD1282" s="9"/>
      <c r="AE1282" s="9"/>
      <c r="AF1282" s="9"/>
      <c r="AG1282" s="9"/>
      <c r="AH1282" s="9"/>
      <c r="AI1282" s="9"/>
      <c r="AJ1282" s="9"/>
      <c r="AK1282" s="9"/>
      <c r="AL1282" s="9"/>
      <c r="AM1282" s="9"/>
      <c r="AN1282" s="9"/>
      <c r="AO1282" s="9"/>
      <c r="AP1282" s="9"/>
      <c r="AQ1282" s="9"/>
      <c r="AR1282" s="9"/>
      <c r="AS1282" s="9"/>
      <c r="AT1282" s="9"/>
      <c r="AU1282" s="9"/>
    </row>
    <row r="1283" spans="1:47" ht="15.75" customHeight="1">
      <c r="A1283" s="9"/>
      <c r="B1283" s="9"/>
      <c r="C1283" s="9"/>
      <c r="D1283" s="9"/>
      <c r="E1283" s="9"/>
      <c r="F1283" s="67"/>
      <c r="G1283" s="9"/>
      <c r="H1283" s="9"/>
      <c r="I1283" s="9"/>
      <c r="J1283" s="9"/>
      <c r="K1283" s="9"/>
      <c r="L1283" s="9"/>
      <c r="M1283" s="9"/>
      <c r="N1283" s="9"/>
      <c r="O1283" s="9"/>
      <c r="P1283" s="9"/>
      <c r="Q1283" s="9"/>
      <c r="R1283" s="9"/>
      <c r="S1283" s="9"/>
      <c r="T1283" s="9"/>
      <c r="U1283" s="9"/>
      <c r="V1283" s="9"/>
      <c r="W1283" s="9"/>
      <c r="X1283" s="9"/>
      <c r="Y1283" s="9"/>
      <c r="Z1283" s="9"/>
      <c r="AA1283" s="9"/>
      <c r="AB1283" s="9"/>
      <c r="AC1283" s="9"/>
      <c r="AD1283" s="9"/>
      <c r="AE1283" s="9"/>
      <c r="AF1283" s="9"/>
      <c r="AG1283" s="9"/>
      <c r="AH1283" s="9"/>
      <c r="AI1283" s="9"/>
      <c r="AJ1283" s="9"/>
      <c r="AK1283" s="9"/>
      <c r="AL1283" s="9"/>
      <c r="AM1283" s="9"/>
      <c r="AN1283" s="9"/>
      <c r="AO1283" s="9"/>
      <c r="AP1283" s="9"/>
      <c r="AQ1283" s="9"/>
      <c r="AR1283" s="9"/>
      <c r="AS1283" s="9"/>
      <c r="AT1283" s="9"/>
      <c r="AU1283" s="9"/>
    </row>
    <row r="1284" spans="1:47" ht="15.75" customHeight="1">
      <c r="A1284" s="9"/>
      <c r="B1284" s="9"/>
      <c r="C1284" s="9"/>
      <c r="D1284" s="9"/>
      <c r="E1284" s="9"/>
      <c r="F1284" s="67"/>
      <c r="G1284" s="9"/>
      <c r="H1284" s="9"/>
      <c r="I1284" s="9"/>
      <c r="J1284" s="9"/>
      <c r="K1284" s="9"/>
      <c r="L1284" s="9"/>
      <c r="M1284" s="9"/>
      <c r="N1284" s="9"/>
      <c r="O1284" s="9"/>
      <c r="P1284" s="9"/>
      <c r="Q1284" s="9"/>
      <c r="R1284" s="9"/>
      <c r="S1284" s="9"/>
      <c r="T1284" s="9"/>
      <c r="U1284" s="9"/>
      <c r="V1284" s="9"/>
      <c r="W1284" s="9"/>
      <c r="X1284" s="9"/>
      <c r="Y1284" s="9"/>
      <c r="Z1284" s="9"/>
      <c r="AA1284" s="9"/>
      <c r="AB1284" s="9"/>
      <c r="AC1284" s="9"/>
      <c r="AD1284" s="9"/>
      <c r="AE1284" s="9"/>
      <c r="AF1284" s="9"/>
      <c r="AG1284" s="9"/>
      <c r="AH1284" s="9"/>
      <c r="AI1284" s="9"/>
      <c r="AJ1284" s="9"/>
      <c r="AK1284" s="9"/>
      <c r="AL1284" s="9"/>
      <c r="AM1284" s="9"/>
      <c r="AN1284" s="9"/>
      <c r="AO1284" s="9"/>
      <c r="AP1284" s="9"/>
      <c r="AQ1284" s="9"/>
      <c r="AR1284" s="9"/>
      <c r="AS1284" s="9"/>
      <c r="AT1284" s="9"/>
      <c r="AU1284" s="9"/>
    </row>
    <row r="1285" spans="1:47" ht="15.75" customHeight="1">
      <c r="A1285" s="9"/>
      <c r="B1285" s="9"/>
      <c r="C1285" s="9"/>
      <c r="D1285" s="9"/>
      <c r="E1285" s="9"/>
      <c r="F1285" s="67"/>
      <c r="G1285" s="9"/>
      <c r="H1285" s="9"/>
      <c r="I1285" s="9"/>
      <c r="J1285" s="9"/>
      <c r="K1285" s="9"/>
      <c r="L1285" s="9"/>
      <c r="M1285" s="9"/>
      <c r="N1285" s="9"/>
      <c r="O1285" s="9"/>
      <c r="P1285" s="9"/>
      <c r="Q1285" s="9"/>
      <c r="R1285" s="9"/>
      <c r="S1285" s="9"/>
      <c r="T1285" s="9"/>
      <c r="U1285" s="9"/>
      <c r="V1285" s="9"/>
      <c r="W1285" s="9"/>
      <c r="X1285" s="9"/>
      <c r="Y1285" s="9"/>
      <c r="Z1285" s="9"/>
      <c r="AA1285" s="9"/>
      <c r="AB1285" s="9"/>
      <c r="AC1285" s="9"/>
      <c r="AD1285" s="9"/>
      <c r="AE1285" s="9"/>
      <c r="AF1285" s="9"/>
      <c r="AG1285" s="9"/>
      <c r="AH1285" s="9"/>
      <c r="AI1285" s="9"/>
      <c r="AJ1285" s="9"/>
      <c r="AK1285" s="9"/>
      <c r="AL1285" s="9"/>
      <c r="AM1285" s="9"/>
      <c r="AN1285" s="9"/>
      <c r="AO1285" s="9"/>
      <c r="AP1285" s="9"/>
      <c r="AQ1285" s="9"/>
      <c r="AR1285" s="9"/>
      <c r="AS1285" s="9"/>
      <c r="AT1285" s="9"/>
      <c r="AU1285" s="9"/>
    </row>
    <row r="1286" spans="1:47" ht="15.75" customHeight="1">
      <c r="A1286" s="9"/>
      <c r="B1286" s="9"/>
      <c r="C1286" s="9"/>
      <c r="D1286" s="9"/>
      <c r="E1286" s="9"/>
      <c r="F1286" s="67"/>
      <c r="G1286" s="9"/>
      <c r="H1286" s="9"/>
      <c r="I1286" s="9"/>
      <c r="J1286" s="9"/>
      <c r="K1286" s="9"/>
      <c r="L1286" s="9"/>
      <c r="M1286" s="9"/>
      <c r="N1286" s="9"/>
      <c r="O1286" s="9"/>
      <c r="P1286" s="9"/>
      <c r="Q1286" s="9"/>
      <c r="R1286" s="9"/>
      <c r="S1286" s="9"/>
      <c r="T1286" s="9"/>
      <c r="U1286" s="9"/>
      <c r="V1286" s="9"/>
      <c r="W1286" s="9"/>
      <c r="X1286" s="9"/>
      <c r="Y1286" s="9"/>
      <c r="Z1286" s="9"/>
      <c r="AA1286" s="9"/>
      <c r="AB1286" s="9"/>
      <c r="AC1286" s="9"/>
      <c r="AD1286" s="9"/>
      <c r="AE1286" s="9"/>
      <c r="AF1286" s="9"/>
      <c r="AG1286" s="9"/>
      <c r="AH1286" s="9"/>
      <c r="AI1286" s="9"/>
      <c r="AJ1286" s="9"/>
      <c r="AK1286" s="9"/>
      <c r="AL1286" s="9"/>
      <c r="AM1286" s="9"/>
      <c r="AN1286" s="9"/>
      <c r="AO1286" s="9"/>
      <c r="AP1286" s="9"/>
      <c r="AQ1286" s="9"/>
      <c r="AR1286" s="9"/>
      <c r="AS1286" s="9"/>
      <c r="AT1286" s="9"/>
      <c r="AU1286" s="9"/>
    </row>
    <row r="1287" spans="1:47" ht="15.75" customHeight="1">
      <c r="A1287" s="9"/>
      <c r="B1287" s="9"/>
      <c r="C1287" s="9"/>
      <c r="D1287" s="9"/>
      <c r="E1287" s="9"/>
      <c r="F1287" s="67"/>
      <c r="G1287" s="9"/>
      <c r="H1287" s="9"/>
      <c r="I1287" s="9"/>
      <c r="J1287" s="9"/>
      <c r="K1287" s="9"/>
      <c r="L1287" s="9"/>
      <c r="M1287" s="9"/>
      <c r="N1287" s="9"/>
      <c r="O1287" s="9"/>
      <c r="P1287" s="9"/>
      <c r="Q1287" s="9"/>
      <c r="R1287" s="9"/>
      <c r="S1287" s="9"/>
      <c r="T1287" s="9"/>
      <c r="U1287" s="9"/>
      <c r="V1287" s="9"/>
      <c r="W1287" s="9"/>
      <c r="X1287" s="9"/>
      <c r="Y1287" s="9"/>
      <c r="Z1287" s="9"/>
      <c r="AA1287" s="9"/>
      <c r="AB1287" s="9"/>
      <c r="AC1287" s="9"/>
      <c r="AD1287" s="9"/>
      <c r="AE1287" s="9"/>
      <c r="AF1287" s="9"/>
      <c r="AG1287" s="9"/>
      <c r="AH1287" s="9"/>
      <c r="AI1287" s="9"/>
      <c r="AJ1287" s="9"/>
      <c r="AK1287" s="9"/>
      <c r="AL1287" s="9"/>
      <c r="AM1287" s="9"/>
      <c r="AN1287" s="9"/>
      <c r="AO1287" s="9"/>
      <c r="AP1287" s="9"/>
      <c r="AQ1287" s="9"/>
      <c r="AR1287" s="9"/>
      <c r="AS1287" s="9"/>
      <c r="AT1287" s="9"/>
      <c r="AU1287" s="9"/>
    </row>
    <row r="1288" spans="1:47" ht="15.75" customHeight="1">
      <c r="A1288" s="9"/>
      <c r="B1288" s="9"/>
      <c r="C1288" s="9"/>
      <c r="D1288" s="9"/>
      <c r="E1288" s="9"/>
      <c r="F1288" s="67"/>
      <c r="G1288" s="9"/>
      <c r="H1288" s="9"/>
      <c r="I1288" s="9"/>
      <c r="J1288" s="9"/>
      <c r="K1288" s="9"/>
      <c r="L1288" s="9"/>
      <c r="M1288" s="9"/>
      <c r="N1288" s="9"/>
      <c r="O1288" s="9"/>
      <c r="P1288" s="9"/>
      <c r="Q1288" s="9"/>
      <c r="R1288" s="9"/>
      <c r="S1288" s="9"/>
      <c r="T1288" s="9"/>
      <c r="U1288" s="9"/>
      <c r="V1288" s="9"/>
      <c r="W1288" s="9"/>
      <c r="X1288" s="9"/>
      <c r="Y1288" s="9"/>
      <c r="Z1288" s="9"/>
      <c r="AA1288" s="9"/>
      <c r="AB1288" s="9"/>
      <c r="AC1288" s="9"/>
      <c r="AD1288" s="9"/>
      <c r="AE1288" s="9"/>
      <c r="AF1288" s="9"/>
      <c r="AG1288" s="9"/>
      <c r="AH1288" s="9"/>
      <c r="AI1288" s="9"/>
      <c r="AJ1288" s="9"/>
      <c r="AK1288" s="9"/>
      <c r="AL1288" s="9"/>
      <c r="AM1288" s="9"/>
      <c r="AN1288" s="9"/>
      <c r="AO1288" s="9"/>
      <c r="AP1288" s="9"/>
      <c r="AQ1288" s="9"/>
      <c r="AR1288" s="9"/>
      <c r="AS1288" s="9"/>
      <c r="AT1288" s="9"/>
      <c r="AU1288" s="9"/>
    </row>
    <row r="1289" spans="1:47" ht="15.75" customHeight="1">
      <c r="A1289" s="9"/>
      <c r="B1289" s="9"/>
      <c r="C1289" s="9"/>
      <c r="D1289" s="9"/>
      <c r="E1289" s="9"/>
      <c r="F1289" s="67"/>
      <c r="G1289" s="9"/>
      <c r="H1289" s="9"/>
      <c r="I1289" s="9"/>
      <c r="J1289" s="9"/>
      <c r="K1289" s="9"/>
      <c r="L1289" s="9"/>
      <c r="M1289" s="9"/>
      <c r="N1289" s="9"/>
      <c r="O1289" s="9"/>
      <c r="P1289" s="9"/>
      <c r="Q1289" s="9"/>
      <c r="R1289" s="9"/>
      <c r="S1289" s="9"/>
      <c r="T1289" s="9"/>
      <c r="U1289" s="9"/>
      <c r="V1289" s="9"/>
      <c r="W1289" s="9"/>
      <c r="X1289" s="9"/>
      <c r="Y1289" s="9"/>
      <c r="Z1289" s="9"/>
      <c r="AA1289" s="9"/>
      <c r="AB1289" s="9"/>
      <c r="AC1289" s="9"/>
      <c r="AD1289" s="9"/>
      <c r="AE1289" s="9"/>
      <c r="AF1289" s="9"/>
      <c r="AG1289" s="9"/>
      <c r="AH1289" s="9"/>
      <c r="AI1289" s="9"/>
      <c r="AJ1289" s="9"/>
      <c r="AK1289" s="9"/>
      <c r="AL1289" s="9"/>
      <c r="AM1289" s="9"/>
      <c r="AN1289" s="9"/>
      <c r="AO1289" s="9"/>
      <c r="AP1289" s="9"/>
      <c r="AQ1289" s="9"/>
      <c r="AR1289" s="9"/>
      <c r="AS1289" s="9"/>
      <c r="AT1289" s="9"/>
      <c r="AU1289" s="9"/>
    </row>
    <row r="1290" spans="1:47" ht="15.75" customHeight="1">
      <c r="A1290" s="9"/>
      <c r="B1290" s="9"/>
      <c r="C1290" s="9"/>
      <c r="D1290" s="9"/>
      <c r="E1290" s="9"/>
      <c r="F1290" s="67"/>
      <c r="G1290" s="9"/>
      <c r="H1290" s="9"/>
      <c r="I1290" s="9"/>
      <c r="J1290" s="9"/>
      <c r="K1290" s="9"/>
      <c r="L1290" s="9"/>
      <c r="M1290" s="9"/>
      <c r="N1290" s="9"/>
      <c r="O1290" s="9"/>
      <c r="P1290" s="9"/>
      <c r="Q1290" s="9"/>
      <c r="R1290" s="9"/>
      <c r="S1290" s="9"/>
      <c r="T1290" s="9"/>
      <c r="U1290" s="9"/>
      <c r="V1290" s="9"/>
      <c r="W1290" s="9"/>
      <c r="X1290" s="9"/>
      <c r="Y1290" s="9"/>
      <c r="Z1290" s="9"/>
      <c r="AA1290" s="9"/>
      <c r="AB1290" s="9"/>
      <c r="AC1290" s="9"/>
      <c r="AD1290" s="9"/>
      <c r="AE1290" s="9"/>
      <c r="AF1290" s="9"/>
      <c r="AG1290" s="9"/>
      <c r="AH1290" s="9"/>
      <c r="AI1290" s="9"/>
      <c r="AJ1290" s="9"/>
      <c r="AK1290" s="9"/>
      <c r="AL1290" s="9"/>
      <c r="AM1290" s="9"/>
      <c r="AN1290" s="9"/>
      <c r="AO1290" s="9"/>
      <c r="AP1290" s="9"/>
      <c r="AQ1290" s="9"/>
      <c r="AR1290" s="9"/>
      <c r="AS1290" s="9"/>
      <c r="AT1290" s="9"/>
      <c r="AU1290" s="9"/>
    </row>
    <row r="1291" spans="1:47" ht="15.75" customHeight="1">
      <c r="A1291" s="9"/>
      <c r="B1291" s="9"/>
      <c r="C1291" s="9"/>
      <c r="D1291" s="9"/>
      <c r="E1291" s="9"/>
      <c r="F1291" s="67"/>
      <c r="G1291" s="9"/>
      <c r="H1291" s="9"/>
      <c r="I1291" s="9"/>
      <c r="J1291" s="9"/>
      <c r="K1291" s="9"/>
      <c r="L1291" s="9"/>
      <c r="M1291" s="9"/>
      <c r="N1291" s="9"/>
      <c r="O1291" s="9"/>
      <c r="P1291" s="9"/>
      <c r="Q1291" s="9"/>
      <c r="R1291" s="9"/>
      <c r="S1291" s="9"/>
      <c r="T1291" s="9"/>
      <c r="U1291" s="9"/>
      <c r="V1291" s="9"/>
      <c r="W1291" s="9"/>
      <c r="X1291" s="9"/>
      <c r="Y1291" s="9"/>
      <c r="Z1291" s="9"/>
      <c r="AA1291" s="9"/>
      <c r="AB1291" s="9"/>
      <c r="AC1291" s="9"/>
      <c r="AD1291" s="9"/>
      <c r="AE1291" s="9"/>
      <c r="AF1291" s="9"/>
      <c r="AG1291" s="9"/>
      <c r="AH1291" s="9"/>
      <c r="AI1291" s="9"/>
      <c r="AJ1291" s="9"/>
      <c r="AK1291" s="9"/>
      <c r="AL1291" s="9"/>
      <c r="AM1291" s="9"/>
      <c r="AN1291" s="9"/>
      <c r="AO1291" s="9"/>
      <c r="AP1291" s="9"/>
      <c r="AQ1291" s="9"/>
      <c r="AR1291" s="9"/>
      <c r="AS1291" s="9"/>
      <c r="AT1291" s="9"/>
      <c r="AU1291" s="9"/>
    </row>
    <row r="1292" spans="1:47" ht="15.75" customHeight="1">
      <c r="A1292" s="9"/>
      <c r="B1292" s="9"/>
      <c r="C1292" s="9"/>
      <c r="D1292" s="9"/>
      <c r="E1292" s="9"/>
      <c r="F1292" s="67"/>
      <c r="G1292" s="9"/>
      <c r="H1292" s="9"/>
      <c r="I1292" s="9"/>
      <c r="J1292" s="9"/>
      <c r="K1292" s="9"/>
      <c r="L1292" s="9"/>
      <c r="M1292" s="9"/>
      <c r="N1292" s="9"/>
      <c r="O1292" s="9"/>
      <c r="P1292" s="9"/>
      <c r="Q1292" s="9"/>
      <c r="R1292" s="9"/>
      <c r="S1292" s="9"/>
      <c r="T1292" s="9"/>
      <c r="U1292" s="9"/>
      <c r="V1292" s="9"/>
      <c r="W1292" s="9"/>
      <c r="X1292" s="9"/>
      <c r="Y1292" s="9"/>
      <c r="Z1292" s="9"/>
      <c r="AA1292" s="9"/>
      <c r="AB1292" s="9"/>
      <c r="AC1292" s="9"/>
      <c r="AD1292" s="9"/>
      <c r="AE1292" s="9"/>
      <c r="AF1292" s="9"/>
      <c r="AG1292" s="9"/>
      <c r="AH1292" s="9"/>
      <c r="AI1292" s="9"/>
      <c r="AJ1292" s="9"/>
      <c r="AK1292" s="9"/>
      <c r="AL1292" s="9"/>
      <c r="AM1292" s="9"/>
      <c r="AN1292" s="9"/>
      <c r="AO1292" s="9"/>
      <c r="AP1292" s="9"/>
      <c r="AQ1292" s="9"/>
      <c r="AR1292" s="9"/>
      <c r="AS1292" s="9"/>
      <c r="AT1292" s="9"/>
      <c r="AU1292" s="9"/>
    </row>
    <row r="1293" spans="1:47" ht="15.75" customHeight="1">
      <c r="A1293" s="9"/>
      <c r="B1293" s="9"/>
      <c r="C1293" s="9"/>
      <c r="D1293" s="9"/>
      <c r="E1293" s="9"/>
      <c r="F1293" s="67"/>
      <c r="G1293" s="9"/>
      <c r="H1293" s="9"/>
      <c r="I1293" s="9"/>
      <c r="J1293" s="9"/>
      <c r="K1293" s="9"/>
      <c r="L1293" s="9"/>
      <c r="M1293" s="9"/>
      <c r="N1293" s="9"/>
      <c r="O1293" s="9"/>
      <c r="P1293" s="9"/>
      <c r="Q1293" s="9"/>
      <c r="R1293" s="9"/>
      <c r="S1293" s="9"/>
      <c r="T1293" s="9"/>
      <c r="U1293" s="9"/>
      <c r="V1293" s="9"/>
      <c r="W1293" s="9"/>
      <c r="X1293" s="9"/>
      <c r="Y1293" s="9"/>
      <c r="Z1293" s="9"/>
      <c r="AA1293" s="9"/>
      <c r="AB1293" s="9"/>
      <c r="AC1293" s="9"/>
      <c r="AD1293" s="9"/>
      <c r="AE1293" s="9"/>
      <c r="AF1293" s="9"/>
      <c r="AG1293" s="9"/>
      <c r="AH1293" s="9"/>
      <c r="AI1293" s="9"/>
      <c r="AJ1293" s="9"/>
      <c r="AK1293" s="9"/>
      <c r="AL1293" s="9"/>
      <c r="AM1293" s="9"/>
      <c r="AN1293" s="9"/>
      <c r="AO1293" s="9"/>
      <c r="AP1293" s="9"/>
      <c r="AQ1293" s="9"/>
      <c r="AR1293" s="9"/>
      <c r="AS1293" s="9"/>
      <c r="AT1293" s="9"/>
      <c r="AU1293" s="9"/>
    </row>
    <row r="1294" spans="1:47" ht="15.75" customHeight="1">
      <c r="A1294" s="9"/>
      <c r="B1294" s="9"/>
      <c r="C1294" s="9"/>
      <c r="D1294" s="9"/>
      <c r="E1294" s="9"/>
      <c r="F1294" s="67"/>
      <c r="G1294" s="9"/>
      <c r="H1294" s="9"/>
      <c r="I1294" s="9"/>
      <c r="J1294" s="9"/>
      <c r="K1294" s="9"/>
      <c r="L1294" s="9"/>
      <c r="M1294" s="9"/>
      <c r="N1294" s="9"/>
      <c r="O1294" s="9"/>
      <c r="P1294" s="9"/>
      <c r="Q1294" s="9"/>
      <c r="R1294" s="9"/>
      <c r="S1294" s="9"/>
      <c r="T1294" s="9"/>
      <c r="U1294" s="9"/>
      <c r="V1294" s="9"/>
      <c r="W1294" s="9"/>
      <c r="X1294" s="9"/>
      <c r="Y1294" s="9"/>
      <c r="Z1294" s="9"/>
      <c r="AA1294" s="9"/>
      <c r="AB1294" s="9"/>
      <c r="AC1294" s="9"/>
      <c r="AD1294" s="9"/>
      <c r="AE1294" s="9"/>
      <c r="AF1294" s="9"/>
      <c r="AG1294" s="9"/>
      <c r="AH1294" s="9"/>
      <c r="AI1294" s="9"/>
      <c r="AJ1294" s="9"/>
      <c r="AK1294" s="9"/>
      <c r="AL1294" s="9"/>
      <c r="AM1294" s="9"/>
      <c r="AN1294" s="9"/>
      <c r="AO1294" s="9"/>
      <c r="AP1294" s="9"/>
      <c r="AQ1294" s="9"/>
      <c r="AR1294" s="9"/>
      <c r="AS1294" s="9"/>
      <c r="AT1294" s="9"/>
      <c r="AU1294" s="9"/>
    </row>
    <row r="1295" spans="1:47" ht="15.75" customHeight="1">
      <c r="A1295" s="9"/>
      <c r="B1295" s="9"/>
      <c r="C1295" s="9"/>
      <c r="D1295" s="9"/>
      <c r="E1295" s="9"/>
      <c r="F1295" s="67"/>
      <c r="G1295" s="9"/>
      <c r="H1295" s="9"/>
      <c r="I1295" s="9"/>
      <c r="J1295" s="9"/>
      <c r="K1295" s="9"/>
      <c r="L1295" s="9"/>
      <c r="M1295" s="9"/>
      <c r="N1295" s="9"/>
      <c r="O1295" s="9"/>
      <c r="P1295" s="9"/>
      <c r="Q1295" s="9"/>
      <c r="R1295" s="9"/>
      <c r="S1295" s="9"/>
      <c r="T1295" s="9"/>
      <c r="U1295" s="9"/>
      <c r="V1295" s="9"/>
      <c r="W1295" s="9"/>
      <c r="X1295" s="9"/>
      <c r="Y1295" s="9"/>
      <c r="Z1295" s="9"/>
      <c r="AA1295" s="9"/>
      <c r="AB1295" s="9"/>
      <c r="AC1295" s="9"/>
      <c r="AD1295" s="9"/>
      <c r="AE1295" s="9"/>
      <c r="AF1295" s="9"/>
      <c r="AG1295" s="9"/>
      <c r="AH1295" s="9"/>
      <c r="AI1295" s="9"/>
      <c r="AJ1295" s="9"/>
      <c r="AK1295" s="9"/>
      <c r="AL1295" s="9"/>
      <c r="AM1295" s="9"/>
      <c r="AN1295" s="9"/>
      <c r="AO1295" s="9"/>
      <c r="AP1295" s="9"/>
      <c r="AQ1295" s="9"/>
      <c r="AR1295" s="9"/>
      <c r="AS1295" s="9"/>
      <c r="AT1295" s="9"/>
      <c r="AU1295" s="9"/>
    </row>
    <row r="1296" spans="1:47" ht="15.75" customHeight="1">
      <c r="A1296" s="9"/>
      <c r="B1296" s="9"/>
      <c r="C1296" s="9"/>
      <c r="D1296" s="9"/>
      <c r="E1296" s="9"/>
      <c r="F1296" s="67"/>
      <c r="G1296" s="9"/>
      <c r="H1296" s="9"/>
      <c r="I1296" s="9"/>
      <c r="J1296" s="9"/>
      <c r="K1296" s="9"/>
      <c r="L1296" s="9"/>
      <c r="M1296" s="9"/>
      <c r="N1296" s="9"/>
      <c r="O1296" s="9"/>
      <c r="P1296" s="9"/>
      <c r="Q1296" s="9"/>
      <c r="R1296" s="9"/>
      <c r="S1296" s="9"/>
      <c r="T1296" s="9"/>
      <c r="U1296" s="9"/>
      <c r="V1296" s="9"/>
      <c r="W1296" s="9"/>
      <c r="X1296" s="9"/>
      <c r="Y1296" s="9"/>
      <c r="Z1296" s="9"/>
      <c r="AA1296" s="9"/>
      <c r="AB1296" s="9"/>
      <c r="AC1296" s="9"/>
      <c r="AD1296" s="9"/>
      <c r="AE1296" s="9"/>
      <c r="AF1296" s="9"/>
      <c r="AG1296" s="9"/>
      <c r="AH1296" s="9"/>
      <c r="AI1296" s="9"/>
      <c r="AJ1296" s="9"/>
      <c r="AK1296" s="9"/>
      <c r="AL1296" s="9"/>
      <c r="AM1296" s="9"/>
      <c r="AN1296" s="9"/>
      <c r="AO1296" s="9"/>
      <c r="AP1296" s="9"/>
      <c r="AQ1296" s="9"/>
      <c r="AR1296" s="9"/>
      <c r="AS1296" s="9"/>
      <c r="AT1296" s="9"/>
      <c r="AU1296" s="9"/>
    </row>
    <row r="1297" spans="1:47" ht="15.75" customHeight="1">
      <c r="A1297" s="9"/>
      <c r="B1297" s="9"/>
      <c r="C1297" s="9"/>
      <c r="D1297" s="9"/>
      <c r="E1297" s="9"/>
      <c r="F1297" s="67"/>
      <c r="G1297" s="9"/>
      <c r="H1297" s="9"/>
      <c r="I1297" s="9"/>
      <c r="J1297" s="9"/>
      <c r="K1297" s="9"/>
      <c r="L1297" s="9"/>
      <c r="M1297" s="9"/>
      <c r="N1297" s="9"/>
      <c r="O1297" s="9"/>
      <c r="P1297" s="9"/>
      <c r="Q1297" s="9"/>
      <c r="R1297" s="9"/>
      <c r="S1297" s="9"/>
      <c r="T1297" s="9"/>
      <c r="U1297" s="9"/>
      <c r="V1297" s="9"/>
      <c r="W1297" s="9"/>
      <c r="X1297" s="9"/>
      <c r="Y1297" s="9"/>
      <c r="Z1297" s="9"/>
      <c r="AA1297" s="9"/>
      <c r="AB1297" s="9"/>
      <c r="AC1297" s="9"/>
      <c r="AD1297" s="9"/>
      <c r="AE1297" s="9"/>
      <c r="AF1297" s="9"/>
      <c r="AG1297" s="9"/>
      <c r="AH1297" s="9"/>
      <c r="AI1297" s="9"/>
      <c r="AJ1297" s="9"/>
      <c r="AK1297" s="9"/>
      <c r="AL1297" s="9"/>
      <c r="AM1297" s="9"/>
      <c r="AN1297" s="9"/>
      <c r="AO1297" s="9"/>
      <c r="AP1297" s="9"/>
      <c r="AQ1297" s="9"/>
      <c r="AR1297" s="9"/>
      <c r="AS1297" s="9"/>
      <c r="AT1297" s="9"/>
      <c r="AU1297" s="9"/>
    </row>
    <row r="1298" spans="1:47" ht="15.75" customHeight="1">
      <c r="A1298" s="9"/>
      <c r="B1298" s="9"/>
      <c r="C1298" s="9"/>
      <c r="D1298" s="9"/>
      <c r="E1298" s="9"/>
      <c r="F1298" s="67"/>
      <c r="G1298" s="9"/>
      <c r="H1298" s="9"/>
      <c r="I1298" s="9"/>
      <c r="J1298" s="9"/>
      <c r="K1298" s="9"/>
      <c r="L1298" s="9"/>
      <c r="M1298" s="9"/>
      <c r="N1298" s="9"/>
      <c r="O1298" s="9"/>
      <c r="P1298" s="9"/>
      <c r="Q1298" s="9"/>
      <c r="R1298" s="9"/>
      <c r="S1298" s="9"/>
      <c r="T1298" s="9"/>
      <c r="U1298" s="9"/>
      <c r="V1298" s="9"/>
      <c r="W1298" s="9"/>
      <c r="X1298" s="9"/>
      <c r="Y1298" s="9"/>
      <c r="Z1298" s="9"/>
      <c r="AA1298" s="9"/>
      <c r="AB1298" s="9"/>
      <c r="AC1298" s="9"/>
      <c r="AD1298" s="9"/>
      <c r="AE1298" s="9"/>
      <c r="AF1298" s="9"/>
      <c r="AG1298" s="9"/>
      <c r="AH1298" s="9"/>
      <c r="AI1298" s="9"/>
      <c r="AJ1298" s="9"/>
      <c r="AK1298" s="9"/>
      <c r="AL1298" s="9"/>
      <c r="AM1298" s="9"/>
      <c r="AN1298" s="9"/>
      <c r="AO1298" s="9"/>
      <c r="AP1298" s="9"/>
      <c r="AQ1298" s="9"/>
      <c r="AR1298" s="9"/>
      <c r="AS1298" s="9"/>
      <c r="AT1298" s="9"/>
      <c r="AU1298" s="9"/>
    </row>
    <row r="1299" spans="1:47" ht="15.75" customHeight="1">
      <c r="A1299" s="9"/>
      <c r="B1299" s="9"/>
      <c r="C1299" s="9"/>
      <c r="D1299" s="9"/>
      <c r="E1299" s="9"/>
      <c r="F1299" s="67"/>
      <c r="G1299" s="9"/>
      <c r="H1299" s="9"/>
      <c r="I1299" s="9"/>
      <c r="J1299" s="9"/>
      <c r="K1299" s="9"/>
      <c r="L1299" s="9"/>
      <c r="M1299" s="9"/>
      <c r="N1299" s="9"/>
      <c r="O1299" s="9"/>
      <c r="P1299" s="9"/>
      <c r="Q1299" s="9"/>
      <c r="R1299" s="9"/>
      <c r="S1299" s="9"/>
      <c r="T1299" s="9"/>
      <c r="U1299" s="9"/>
      <c r="V1299" s="9"/>
      <c r="W1299" s="9"/>
      <c r="X1299" s="9"/>
      <c r="Y1299" s="9"/>
      <c r="Z1299" s="9"/>
      <c r="AA1299" s="9"/>
      <c r="AB1299" s="9"/>
      <c r="AC1299" s="9"/>
      <c r="AD1299" s="9"/>
      <c r="AE1299" s="9"/>
      <c r="AF1299" s="9"/>
      <c r="AG1299" s="9"/>
      <c r="AH1299" s="9"/>
      <c r="AI1299" s="9"/>
      <c r="AJ1299" s="9"/>
      <c r="AK1299" s="9"/>
      <c r="AL1299" s="9"/>
      <c r="AM1299" s="9"/>
      <c r="AN1299" s="9"/>
      <c r="AO1299" s="9"/>
      <c r="AP1299" s="9"/>
      <c r="AQ1299" s="9"/>
      <c r="AR1299" s="9"/>
      <c r="AS1299" s="9"/>
      <c r="AT1299" s="9"/>
      <c r="AU1299" s="9"/>
    </row>
    <row r="1300" spans="1:47" ht="15.75" customHeight="1">
      <c r="A1300" s="9"/>
      <c r="B1300" s="9"/>
      <c r="C1300" s="9"/>
      <c r="D1300" s="9"/>
      <c r="E1300" s="9"/>
      <c r="F1300" s="67"/>
      <c r="G1300" s="9"/>
      <c r="H1300" s="9"/>
      <c r="I1300" s="9"/>
      <c r="J1300" s="9"/>
      <c r="K1300" s="9"/>
      <c r="L1300" s="9"/>
      <c r="M1300" s="9"/>
      <c r="N1300" s="9"/>
      <c r="O1300" s="9"/>
      <c r="P1300" s="9"/>
      <c r="Q1300" s="9"/>
      <c r="R1300" s="9"/>
      <c r="S1300" s="9"/>
      <c r="T1300" s="9"/>
      <c r="U1300" s="9"/>
      <c r="V1300" s="9"/>
      <c r="W1300" s="9"/>
      <c r="X1300" s="9"/>
      <c r="Y1300" s="9"/>
      <c r="Z1300" s="9"/>
      <c r="AA1300" s="9"/>
      <c r="AB1300" s="9"/>
      <c r="AC1300" s="9"/>
      <c r="AD1300" s="9"/>
      <c r="AE1300" s="9"/>
      <c r="AF1300" s="9"/>
      <c r="AG1300" s="9"/>
      <c r="AH1300" s="9"/>
      <c r="AI1300" s="9"/>
      <c r="AJ1300" s="9"/>
      <c r="AK1300" s="9"/>
      <c r="AL1300" s="9"/>
      <c r="AM1300" s="9"/>
      <c r="AN1300" s="9"/>
      <c r="AO1300" s="9"/>
      <c r="AP1300" s="9"/>
      <c r="AQ1300" s="9"/>
      <c r="AR1300" s="9"/>
      <c r="AS1300" s="9"/>
      <c r="AT1300" s="9"/>
      <c r="AU1300" s="9"/>
    </row>
    <row r="1301" spans="1:47" ht="15.75" customHeight="1">
      <c r="A1301" s="9"/>
      <c r="B1301" s="9"/>
      <c r="C1301" s="9"/>
      <c r="D1301" s="9"/>
      <c r="E1301" s="9"/>
      <c r="F1301" s="67"/>
      <c r="G1301" s="9"/>
      <c r="H1301" s="9"/>
      <c r="I1301" s="9"/>
      <c r="J1301" s="9"/>
      <c r="K1301" s="9"/>
      <c r="L1301" s="9"/>
      <c r="M1301" s="9"/>
      <c r="N1301" s="9"/>
      <c r="O1301" s="9"/>
      <c r="P1301" s="9"/>
      <c r="Q1301" s="9"/>
      <c r="R1301" s="9"/>
      <c r="S1301" s="9"/>
      <c r="T1301" s="9"/>
      <c r="U1301" s="9"/>
      <c r="V1301" s="9"/>
      <c r="W1301" s="9"/>
      <c r="X1301" s="9"/>
      <c r="Y1301" s="9"/>
      <c r="Z1301" s="9"/>
      <c r="AA1301" s="9"/>
      <c r="AB1301" s="9"/>
      <c r="AC1301" s="9"/>
      <c r="AD1301" s="9"/>
      <c r="AE1301" s="9"/>
      <c r="AF1301" s="9"/>
      <c r="AG1301" s="9"/>
      <c r="AH1301" s="9"/>
      <c r="AI1301" s="9"/>
      <c r="AJ1301" s="9"/>
      <c r="AK1301" s="9"/>
      <c r="AL1301" s="9"/>
      <c r="AM1301" s="9"/>
      <c r="AN1301" s="9"/>
      <c r="AO1301" s="9"/>
      <c r="AP1301" s="9"/>
      <c r="AQ1301" s="9"/>
      <c r="AR1301" s="9"/>
      <c r="AS1301" s="9"/>
      <c r="AT1301" s="9"/>
      <c r="AU1301" s="9"/>
    </row>
    <row r="1302" spans="1:47" ht="15.75" customHeight="1">
      <c r="A1302" s="9"/>
      <c r="B1302" s="9"/>
      <c r="C1302" s="9"/>
      <c r="D1302" s="9"/>
      <c r="E1302" s="9"/>
      <c r="F1302" s="67"/>
      <c r="G1302" s="9"/>
      <c r="H1302" s="9"/>
      <c r="I1302" s="9"/>
      <c r="J1302" s="9"/>
      <c r="K1302" s="9"/>
      <c r="L1302" s="9"/>
      <c r="M1302" s="9"/>
      <c r="N1302" s="9"/>
      <c r="O1302" s="9"/>
      <c r="P1302" s="9"/>
      <c r="Q1302" s="9"/>
      <c r="R1302" s="9"/>
      <c r="S1302" s="9"/>
      <c r="T1302" s="9"/>
      <c r="U1302" s="9"/>
      <c r="V1302" s="9"/>
      <c r="W1302" s="9"/>
      <c r="X1302" s="9"/>
      <c r="Y1302" s="9"/>
      <c r="Z1302" s="9"/>
      <c r="AA1302" s="9"/>
      <c r="AB1302" s="9"/>
      <c r="AC1302" s="9"/>
      <c r="AD1302" s="9"/>
      <c r="AE1302" s="9"/>
      <c r="AF1302" s="9"/>
      <c r="AG1302" s="9"/>
      <c r="AH1302" s="9"/>
      <c r="AI1302" s="9"/>
      <c r="AJ1302" s="9"/>
      <c r="AK1302" s="9"/>
      <c r="AL1302" s="9"/>
      <c r="AM1302" s="9"/>
      <c r="AN1302" s="9"/>
      <c r="AO1302" s="9"/>
      <c r="AP1302" s="9"/>
      <c r="AQ1302" s="9"/>
      <c r="AR1302" s="9"/>
      <c r="AS1302" s="9"/>
      <c r="AT1302" s="9"/>
      <c r="AU1302" s="9"/>
    </row>
    <row r="1303" spans="1:47" ht="15.75" customHeight="1">
      <c r="A1303" s="9"/>
      <c r="B1303" s="9"/>
      <c r="C1303" s="9"/>
      <c r="D1303" s="9"/>
      <c r="E1303" s="9"/>
      <c r="F1303" s="67"/>
      <c r="G1303" s="9"/>
      <c r="H1303" s="9"/>
      <c r="I1303" s="9"/>
      <c r="J1303" s="9"/>
      <c r="K1303" s="9"/>
      <c r="L1303" s="9"/>
      <c r="M1303" s="9"/>
      <c r="N1303" s="9"/>
      <c r="O1303" s="9"/>
      <c r="P1303" s="9"/>
      <c r="Q1303" s="9"/>
      <c r="R1303" s="9"/>
      <c r="S1303" s="9"/>
      <c r="T1303" s="9"/>
      <c r="U1303" s="9"/>
      <c r="V1303" s="9"/>
      <c r="W1303" s="9"/>
      <c r="X1303" s="9"/>
      <c r="Y1303" s="9"/>
      <c r="Z1303" s="9"/>
      <c r="AA1303" s="9"/>
      <c r="AB1303" s="9"/>
      <c r="AC1303" s="9"/>
      <c r="AD1303" s="9"/>
      <c r="AE1303" s="9"/>
      <c r="AF1303" s="9"/>
      <c r="AG1303" s="9"/>
      <c r="AH1303" s="9"/>
      <c r="AI1303" s="9"/>
      <c r="AJ1303" s="9"/>
      <c r="AK1303" s="9"/>
      <c r="AL1303" s="9"/>
      <c r="AM1303" s="9"/>
      <c r="AN1303" s="9"/>
      <c r="AO1303" s="9"/>
      <c r="AP1303" s="9"/>
      <c r="AQ1303" s="9"/>
      <c r="AR1303" s="9"/>
      <c r="AS1303" s="9"/>
      <c r="AT1303" s="9"/>
      <c r="AU1303" s="9"/>
    </row>
    <row r="1304" spans="1:47" ht="15.75" customHeight="1">
      <c r="A1304" s="9"/>
      <c r="B1304" s="9"/>
      <c r="C1304" s="9"/>
      <c r="D1304" s="9"/>
      <c r="E1304" s="9"/>
      <c r="F1304" s="67"/>
      <c r="G1304" s="9"/>
      <c r="H1304" s="9"/>
      <c r="I1304" s="9"/>
      <c r="J1304" s="9"/>
      <c r="K1304" s="9"/>
      <c r="L1304" s="9"/>
      <c r="M1304" s="9"/>
      <c r="N1304" s="9"/>
      <c r="O1304" s="9"/>
      <c r="P1304" s="9"/>
      <c r="Q1304" s="9"/>
      <c r="R1304" s="9"/>
      <c r="S1304" s="9"/>
      <c r="T1304" s="9"/>
      <c r="U1304" s="9"/>
      <c r="V1304" s="9"/>
      <c r="W1304" s="9"/>
      <c r="X1304" s="9"/>
      <c r="Y1304" s="9"/>
      <c r="Z1304" s="9"/>
      <c r="AA1304" s="9"/>
      <c r="AB1304" s="9"/>
      <c r="AC1304" s="9"/>
      <c r="AD1304" s="9"/>
      <c r="AE1304" s="9"/>
      <c r="AF1304" s="9"/>
      <c r="AG1304" s="9"/>
      <c r="AH1304" s="9"/>
      <c r="AI1304" s="9"/>
      <c r="AJ1304" s="9"/>
      <c r="AK1304" s="9"/>
      <c r="AL1304" s="9"/>
      <c r="AM1304" s="9"/>
      <c r="AN1304" s="9"/>
      <c r="AO1304" s="9"/>
      <c r="AP1304" s="9"/>
      <c r="AQ1304" s="9"/>
      <c r="AR1304" s="9"/>
      <c r="AS1304" s="9"/>
      <c r="AT1304" s="9"/>
      <c r="AU1304" s="9"/>
    </row>
    <row r="1305" spans="1:47" ht="15.75" customHeight="1">
      <c r="A1305" s="9"/>
      <c r="B1305" s="9"/>
      <c r="C1305" s="9"/>
      <c r="D1305" s="9"/>
      <c r="E1305" s="9"/>
      <c r="F1305" s="67"/>
      <c r="G1305" s="9"/>
      <c r="H1305" s="9"/>
      <c r="I1305" s="9"/>
      <c r="J1305" s="9"/>
      <c r="K1305" s="9"/>
      <c r="L1305" s="9"/>
      <c r="M1305" s="9"/>
      <c r="N1305" s="9"/>
      <c r="O1305" s="9"/>
      <c r="P1305" s="9"/>
      <c r="Q1305" s="9"/>
      <c r="R1305" s="9"/>
      <c r="S1305" s="9"/>
      <c r="T1305" s="9"/>
      <c r="U1305" s="9"/>
      <c r="V1305" s="9"/>
      <c r="W1305" s="9"/>
      <c r="X1305" s="9"/>
      <c r="Y1305" s="9"/>
      <c r="Z1305" s="9"/>
      <c r="AA1305" s="9"/>
      <c r="AB1305" s="9"/>
      <c r="AC1305" s="9"/>
      <c r="AD1305" s="9"/>
      <c r="AE1305" s="9"/>
      <c r="AF1305" s="9"/>
      <c r="AG1305" s="9"/>
      <c r="AH1305" s="9"/>
      <c r="AI1305" s="9"/>
      <c r="AJ1305" s="9"/>
      <c r="AK1305" s="9"/>
      <c r="AL1305" s="9"/>
      <c r="AM1305" s="9"/>
      <c r="AN1305" s="9"/>
      <c r="AO1305" s="9"/>
      <c r="AP1305" s="9"/>
      <c r="AQ1305" s="9"/>
      <c r="AR1305" s="9"/>
      <c r="AS1305" s="9"/>
      <c r="AT1305" s="9"/>
      <c r="AU1305" s="9"/>
    </row>
    <row r="1306" spans="1:47" ht="15.75" customHeight="1">
      <c r="A1306" s="9"/>
      <c r="B1306" s="9"/>
      <c r="C1306" s="9"/>
      <c r="D1306" s="9"/>
      <c r="E1306" s="9"/>
      <c r="F1306" s="67"/>
      <c r="G1306" s="9"/>
      <c r="H1306" s="9"/>
      <c r="I1306" s="9"/>
      <c r="J1306" s="9"/>
      <c r="K1306" s="9"/>
      <c r="L1306" s="9"/>
      <c r="M1306" s="9"/>
      <c r="N1306" s="9"/>
      <c r="O1306" s="9"/>
      <c r="P1306" s="9"/>
      <c r="Q1306" s="9"/>
      <c r="R1306" s="9"/>
      <c r="S1306" s="9"/>
      <c r="T1306" s="9"/>
      <c r="U1306" s="9"/>
      <c r="V1306" s="9"/>
      <c r="W1306" s="9"/>
      <c r="X1306" s="9"/>
      <c r="Y1306" s="9"/>
      <c r="Z1306" s="9"/>
      <c r="AA1306" s="9"/>
      <c r="AB1306" s="9"/>
      <c r="AC1306" s="9"/>
      <c r="AD1306" s="9"/>
      <c r="AE1306" s="9"/>
      <c r="AF1306" s="9"/>
      <c r="AG1306" s="9"/>
      <c r="AH1306" s="9"/>
      <c r="AI1306" s="9"/>
      <c r="AJ1306" s="9"/>
      <c r="AK1306" s="9"/>
      <c r="AL1306" s="9"/>
      <c r="AM1306" s="9"/>
      <c r="AN1306" s="9"/>
      <c r="AO1306" s="9"/>
      <c r="AP1306" s="9"/>
      <c r="AQ1306" s="9"/>
      <c r="AR1306" s="9"/>
      <c r="AS1306" s="9"/>
      <c r="AT1306" s="9"/>
      <c r="AU1306" s="9"/>
    </row>
    <row r="1307" spans="1:47" ht="15.75" customHeight="1">
      <c r="A1307" s="9"/>
      <c r="B1307" s="9"/>
      <c r="C1307" s="9"/>
      <c r="D1307" s="9"/>
      <c r="E1307" s="9"/>
      <c r="F1307" s="67"/>
      <c r="G1307" s="9"/>
      <c r="H1307" s="9"/>
      <c r="I1307" s="9"/>
      <c r="J1307" s="9"/>
      <c r="K1307" s="9"/>
      <c r="L1307" s="9"/>
      <c r="M1307" s="9"/>
      <c r="N1307" s="9"/>
      <c r="O1307" s="9"/>
      <c r="P1307" s="9"/>
      <c r="Q1307" s="9"/>
      <c r="R1307" s="9"/>
      <c r="S1307" s="9"/>
      <c r="T1307" s="9"/>
      <c r="U1307" s="9"/>
      <c r="V1307" s="9"/>
      <c r="W1307" s="9"/>
      <c r="X1307" s="9"/>
      <c r="Y1307" s="9"/>
      <c r="Z1307" s="9"/>
      <c r="AA1307" s="9"/>
      <c r="AB1307" s="9"/>
      <c r="AC1307" s="9"/>
      <c r="AD1307" s="9"/>
      <c r="AE1307" s="9"/>
      <c r="AF1307" s="9"/>
      <c r="AG1307" s="9"/>
      <c r="AH1307" s="9"/>
      <c r="AI1307" s="9"/>
      <c r="AJ1307" s="9"/>
      <c r="AK1307" s="9"/>
      <c r="AL1307" s="9"/>
      <c r="AM1307" s="9"/>
      <c r="AN1307" s="9"/>
      <c r="AO1307" s="9"/>
      <c r="AP1307" s="9"/>
      <c r="AQ1307" s="9"/>
      <c r="AR1307" s="9"/>
      <c r="AS1307" s="9"/>
      <c r="AT1307" s="9"/>
      <c r="AU1307" s="9"/>
    </row>
    <row r="1308" spans="1:47" ht="15.75" customHeight="1">
      <c r="A1308" s="9"/>
      <c r="B1308" s="9"/>
      <c r="C1308" s="9"/>
      <c r="D1308" s="9"/>
      <c r="E1308" s="9"/>
      <c r="F1308" s="67"/>
      <c r="G1308" s="9"/>
      <c r="H1308" s="9"/>
      <c r="I1308" s="9"/>
      <c r="J1308" s="9"/>
      <c r="K1308" s="9"/>
      <c r="L1308" s="9"/>
      <c r="M1308" s="9"/>
      <c r="N1308" s="9"/>
      <c r="O1308" s="9"/>
      <c r="P1308" s="9"/>
      <c r="Q1308" s="9"/>
      <c r="R1308" s="9"/>
      <c r="S1308" s="9"/>
      <c r="T1308" s="9"/>
      <c r="U1308" s="9"/>
      <c r="V1308" s="9"/>
      <c r="W1308" s="9"/>
      <c r="X1308" s="9"/>
      <c r="Y1308" s="9"/>
      <c r="Z1308" s="9"/>
      <c r="AA1308" s="9"/>
      <c r="AB1308" s="9"/>
      <c r="AC1308" s="9"/>
      <c r="AD1308" s="9"/>
      <c r="AE1308" s="9"/>
      <c r="AF1308" s="9"/>
      <c r="AG1308" s="9"/>
      <c r="AH1308" s="9"/>
      <c r="AI1308" s="9"/>
      <c r="AJ1308" s="9"/>
      <c r="AK1308" s="9"/>
      <c r="AL1308" s="9"/>
      <c r="AM1308" s="9"/>
      <c r="AN1308" s="9"/>
      <c r="AO1308" s="9"/>
      <c r="AP1308" s="9"/>
      <c r="AQ1308" s="9"/>
      <c r="AR1308" s="9"/>
      <c r="AS1308" s="9"/>
      <c r="AT1308" s="9"/>
      <c r="AU1308" s="9"/>
    </row>
    <row r="1309" spans="1:47" ht="15.75" customHeight="1">
      <c r="A1309" s="9"/>
      <c r="B1309" s="9"/>
      <c r="C1309" s="9"/>
      <c r="D1309" s="9"/>
      <c r="E1309" s="9"/>
      <c r="F1309" s="67"/>
      <c r="G1309" s="9"/>
      <c r="H1309" s="9"/>
      <c r="I1309" s="9"/>
      <c r="J1309" s="9"/>
      <c r="K1309" s="9"/>
      <c r="L1309" s="9"/>
      <c r="M1309" s="9"/>
      <c r="N1309" s="9"/>
      <c r="O1309" s="9"/>
      <c r="P1309" s="9"/>
      <c r="Q1309" s="9"/>
      <c r="R1309" s="9"/>
      <c r="S1309" s="9"/>
      <c r="T1309" s="9"/>
      <c r="U1309" s="9"/>
      <c r="V1309" s="9"/>
      <c r="W1309" s="9"/>
      <c r="X1309" s="9"/>
      <c r="Y1309" s="9"/>
      <c r="Z1309" s="9"/>
      <c r="AA1309" s="9"/>
      <c r="AB1309" s="9"/>
      <c r="AC1309" s="9"/>
      <c r="AD1309" s="9"/>
      <c r="AE1309" s="9"/>
      <c r="AF1309" s="9"/>
      <c r="AG1309" s="9"/>
      <c r="AH1309" s="9"/>
      <c r="AI1309" s="9"/>
      <c r="AJ1309" s="9"/>
      <c r="AK1309" s="9"/>
      <c r="AL1309" s="9"/>
      <c r="AM1309" s="9"/>
      <c r="AN1309" s="9"/>
      <c r="AO1309" s="9"/>
      <c r="AP1309" s="9"/>
      <c r="AQ1309" s="9"/>
      <c r="AR1309" s="9"/>
      <c r="AS1309" s="9"/>
      <c r="AT1309" s="9"/>
      <c r="AU1309" s="9"/>
    </row>
    <row r="1310" spans="1:47" ht="15.75" customHeight="1">
      <c r="A1310" s="9"/>
      <c r="B1310" s="9"/>
      <c r="C1310" s="9"/>
      <c r="D1310" s="9"/>
      <c r="E1310" s="9"/>
      <c r="F1310" s="67"/>
      <c r="G1310" s="9"/>
      <c r="H1310" s="9"/>
      <c r="I1310" s="9"/>
      <c r="J1310" s="9"/>
      <c r="K1310" s="9"/>
      <c r="L1310" s="9"/>
      <c r="M1310" s="9"/>
      <c r="N1310" s="9"/>
      <c r="O1310" s="9"/>
      <c r="P1310" s="9"/>
      <c r="Q1310" s="9"/>
      <c r="R1310" s="9"/>
      <c r="S1310" s="9"/>
      <c r="T1310" s="9"/>
      <c r="U1310" s="9"/>
      <c r="V1310" s="9"/>
      <c r="W1310" s="9"/>
      <c r="X1310" s="9"/>
      <c r="Y1310" s="9"/>
      <c r="Z1310" s="9"/>
      <c r="AA1310" s="9"/>
      <c r="AB1310" s="9"/>
      <c r="AC1310" s="9"/>
      <c r="AD1310" s="9"/>
      <c r="AE1310" s="9"/>
      <c r="AF1310" s="9"/>
      <c r="AG1310" s="9"/>
      <c r="AH1310" s="9"/>
      <c r="AI1310" s="9"/>
      <c r="AJ1310" s="9"/>
      <c r="AK1310" s="9"/>
      <c r="AL1310" s="9"/>
      <c r="AM1310" s="9"/>
      <c r="AN1310" s="9"/>
      <c r="AO1310" s="9"/>
      <c r="AP1310" s="9"/>
      <c r="AQ1310" s="9"/>
      <c r="AR1310" s="9"/>
      <c r="AS1310" s="9"/>
      <c r="AT1310" s="9"/>
      <c r="AU1310" s="9"/>
    </row>
    <row r="1311" spans="1:47" ht="15.75" customHeight="1">
      <c r="A1311" s="9"/>
      <c r="B1311" s="9"/>
      <c r="C1311" s="9"/>
      <c r="D1311" s="9"/>
      <c r="E1311" s="9"/>
      <c r="F1311" s="67"/>
      <c r="G1311" s="9"/>
      <c r="H1311" s="9"/>
      <c r="I1311" s="9"/>
      <c r="J1311" s="9"/>
      <c r="K1311" s="9"/>
      <c r="L1311" s="9"/>
      <c r="M1311" s="9"/>
      <c r="N1311" s="9"/>
      <c r="O1311" s="9"/>
      <c r="P1311" s="9"/>
      <c r="Q1311" s="9"/>
      <c r="R1311" s="9"/>
      <c r="S1311" s="9"/>
      <c r="T1311" s="9"/>
      <c r="U1311" s="9"/>
      <c r="V1311" s="9"/>
      <c r="W1311" s="9"/>
      <c r="X1311" s="9"/>
      <c r="Y1311" s="9"/>
      <c r="Z1311" s="9"/>
      <c r="AA1311" s="9"/>
      <c r="AB1311" s="9"/>
      <c r="AC1311" s="9"/>
      <c r="AD1311" s="9"/>
      <c r="AE1311" s="9"/>
      <c r="AF1311" s="9"/>
      <c r="AG1311" s="9"/>
      <c r="AH1311" s="9"/>
      <c r="AI1311" s="9"/>
      <c r="AJ1311" s="9"/>
      <c r="AK1311" s="9"/>
      <c r="AL1311" s="9"/>
      <c r="AM1311" s="9"/>
      <c r="AN1311" s="9"/>
      <c r="AO1311" s="9"/>
      <c r="AP1311" s="9"/>
      <c r="AQ1311" s="9"/>
      <c r="AR1311" s="9"/>
      <c r="AS1311" s="9"/>
      <c r="AT1311" s="9"/>
      <c r="AU1311" s="9"/>
    </row>
    <row r="1312" spans="1:47" ht="15.75" customHeight="1">
      <c r="A1312" s="9"/>
      <c r="B1312" s="9"/>
      <c r="C1312" s="9"/>
      <c r="D1312" s="9"/>
      <c r="E1312" s="9"/>
      <c r="F1312" s="67"/>
      <c r="G1312" s="9"/>
      <c r="H1312" s="9"/>
      <c r="I1312" s="9"/>
      <c r="J1312" s="9"/>
      <c r="K1312" s="9"/>
      <c r="L1312" s="9"/>
      <c r="M1312" s="9"/>
      <c r="N1312" s="9"/>
      <c r="O1312" s="9"/>
      <c r="P1312" s="9"/>
      <c r="Q1312" s="9"/>
      <c r="R1312" s="9"/>
      <c r="S1312" s="9"/>
      <c r="T1312" s="9"/>
      <c r="U1312" s="9"/>
      <c r="V1312" s="9"/>
      <c r="W1312" s="9"/>
      <c r="X1312" s="9"/>
      <c r="Y1312" s="9"/>
      <c r="Z1312" s="9"/>
      <c r="AA1312" s="9"/>
      <c r="AB1312" s="9"/>
      <c r="AC1312" s="9"/>
      <c r="AD1312" s="9"/>
      <c r="AE1312" s="9"/>
      <c r="AF1312" s="9"/>
      <c r="AG1312" s="9"/>
      <c r="AH1312" s="9"/>
      <c r="AI1312" s="9"/>
      <c r="AJ1312" s="9"/>
      <c r="AK1312" s="9"/>
      <c r="AL1312" s="9"/>
      <c r="AM1312" s="9"/>
      <c r="AN1312" s="9"/>
      <c r="AO1312" s="9"/>
      <c r="AP1312" s="9"/>
      <c r="AQ1312" s="9"/>
      <c r="AR1312" s="9"/>
      <c r="AS1312" s="9"/>
      <c r="AT1312" s="9"/>
      <c r="AU1312" s="9"/>
    </row>
    <row r="1313" spans="1:47" ht="15.75" customHeight="1">
      <c r="A1313" s="9"/>
      <c r="B1313" s="9"/>
      <c r="C1313" s="9"/>
      <c r="D1313" s="9"/>
      <c r="E1313" s="9"/>
      <c r="F1313" s="67"/>
      <c r="G1313" s="9"/>
      <c r="H1313" s="9"/>
      <c r="I1313" s="9"/>
      <c r="J1313" s="9"/>
      <c r="K1313" s="9"/>
      <c r="L1313" s="9"/>
      <c r="M1313" s="9"/>
      <c r="N1313" s="9"/>
      <c r="O1313" s="9"/>
      <c r="P1313" s="9"/>
      <c r="Q1313" s="9"/>
      <c r="R1313" s="9"/>
      <c r="S1313" s="9"/>
      <c r="T1313" s="9"/>
      <c r="U1313" s="9"/>
      <c r="V1313" s="9"/>
      <c r="W1313" s="9"/>
      <c r="X1313" s="9"/>
      <c r="Y1313" s="9"/>
      <c r="Z1313" s="9"/>
      <c r="AA1313" s="9"/>
      <c r="AB1313" s="9"/>
      <c r="AC1313" s="9"/>
      <c r="AD1313" s="9"/>
      <c r="AE1313" s="9"/>
      <c r="AF1313" s="9"/>
      <c r="AG1313" s="9"/>
      <c r="AH1313" s="9"/>
      <c r="AI1313" s="9"/>
      <c r="AJ1313" s="9"/>
      <c r="AK1313" s="9"/>
      <c r="AL1313" s="9"/>
      <c r="AM1313" s="9"/>
      <c r="AN1313" s="9"/>
      <c r="AO1313" s="9"/>
      <c r="AP1313" s="9"/>
      <c r="AQ1313" s="9"/>
      <c r="AR1313" s="9"/>
      <c r="AS1313" s="9"/>
      <c r="AT1313" s="9"/>
      <c r="AU1313" s="9"/>
    </row>
    <row r="1314" spans="1:47" ht="15.75" customHeight="1">
      <c r="A1314" s="9"/>
      <c r="B1314" s="9"/>
      <c r="C1314" s="9"/>
      <c r="D1314" s="9"/>
      <c r="E1314" s="9"/>
      <c r="F1314" s="67"/>
      <c r="G1314" s="9"/>
      <c r="H1314" s="9"/>
      <c r="I1314" s="9"/>
      <c r="J1314" s="9"/>
      <c r="K1314" s="9"/>
      <c r="L1314" s="9"/>
      <c r="M1314" s="9"/>
      <c r="N1314" s="9"/>
      <c r="O1314" s="9"/>
      <c r="P1314" s="9"/>
      <c r="Q1314" s="9"/>
      <c r="R1314" s="9"/>
      <c r="S1314" s="9"/>
      <c r="T1314" s="9"/>
      <c r="U1314" s="9"/>
      <c r="V1314" s="9"/>
      <c r="W1314" s="9"/>
      <c r="X1314" s="9"/>
      <c r="Y1314" s="9"/>
      <c r="Z1314" s="9"/>
      <c r="AA1314" s="9"/>
      <c r="AB1314" s="9"/>
      <c r="AC1314" s="9"/>
      <c r="AD1314" s="9"/>
      <c r="AE1314" s="9"/>
      <c r="AF1314" s="9"/>
      <c r="AG1314" s="9"/>
      <c r="AH1314" s="9"/>
      <c r="AI1314" s="9"/>
      <c r="AJ1314" s="9"/>
      <c r="AK1314" s="9"/>
      <c r="AL1314" s="9"/>
      <c r="AM1314" s="9"/>
      <c r="AN1314" s="9"/>
      <c r="AO1314" s="9"/>
      <c r="AP1314" s="9"/>
      <c r="AQ1314" s="9"/>
      <c r="AR1314" s="9"/>
      <c r="AS1314" s="9"/>
      <c r="AT1314" s="9"/>
      <c r="AU1314" s="9"/>
    </row>
    <row r="1315" spans="1:47" ht="15.75" customHeight="1">
      <c r="A1315" s="9"/>
      <c r="B1315" s="9"/>
      <c r="C1315" s="9"/>
      <c r="D1315" s="9"/>
      <c r="E1315" s="9"/>
      <c r="F1315" s="67"/>
      <c r="G1315" s="9"/>
      <c r="H1315" s="9"/>
      <c r="I1315" s="9"/>
      <c r="J1315" s="9"/>
      <c r="K1315" s="9"/>
      <c r="L1315" s="9"/>
      <c r="M1315" s="9"/>
      <c r="N1315" s="9"/>
      <c r="O1315" s="9"/>
      <c r="P1315" s="9"/>
      <c r="Q1315" s="9"/>
      <c r="R1315" s="9"/>
      <c r="S1315" s="9"/>
      <c r="T1315" s="9"/>
      <c r="U1315" s="9"/>
      <c r="V1315" s="9"/>
      <c r="W1315" s="9"/>
      <c r="X1315" s="9"/>
      <c r="Y1315" s="9"/>
      <c r="Z1315" s="9"/>
      <c r="AA1315" s="9"/>
      <c r="AB1315" s="9"/>
      <c r="AC1315" s="9"/>
      <c r="AD1315" s="9"/>
      <c r="AE1315" s="9"/>
      <c r="AF1315" s="9"/>
      <c r="AG1315" s="9"/>
      <c r="AH1315" s="9"/>
      <c r="AI1315" s="9"/>
      <c r="AJ1315" s="9"/>
      <c r="AK1315" s="9"/>
      <c r="AL1315" s="9"/>
      <c r="AM1315" s="9"/>
      <c r="AN1315" s="9"/>
      <c r="AO1315" s="9"/>
      <c r="AP1315" s="9"/>
      <c r="AQ1315" s="9"/>
      <c r="AR1315" s="9"/>
      <c r="AS1315" s="9"/>
      <c r="AT1315" s="9"/>
      <c r="AU1315" s="9"/>
    </row>
    <row r="1316" spans="1:47" ht="15.75" customHeight="1">
      <c r="A1316" s="9"/>
      <c r="B1316" s="9"/>
      <c r="C1316" s="9"/>
      <c r="D1316" s="9"/>
      <c r="E1316" s="9"/>
      <c r="F1316" s="67"/>
      <c r="G1316" s="9"/>
      <c r="H1316" s="9"/>
      <c r="I1316" s="9"/>
      <c r="J1316" s="9"/>
      <c r="K1316" s="9"/>
      <c r="L1316" s="9"/>
      <c r="M1316" s="9"/>
      <c r="N1316" s="9"/>
      <c r="O1316" s="9"/>
      <c r="P1316" s="9"/>
      <c r="Q1316" s="9"/>
      <c r="R1316" s="9"/>
      <c r="S1316" s="9"/>
      <c r="T1316" s="9"/>
      <c r="U1316" s="9"/>
      <c r="V1316" s="9"/>
      <c r="W1316" s="9"/>
      <c r="X1316" s="9"/>
      <c r="Y1316" s="9"/>
      <c r="Z1316" s="9"/>
      <c r="AA1316" s="9"/>
      <c r="AB1316" s="9"/>
      <c r="AC1316" s="9"/>
      <c r="AD1316" s="9"/>
      <c r="AE1316" s="9"/>
      <c r="AF1316" s="9"/>
      <c r="AG1316" s="9"/>
      <c r="AH1316" s="9"/>
      <c r="AI1316" s="9"/>
      <c r="AJ1316" s="9"/>
      <c r="AK1316" s="9"/>
      <c r="AL1316" s="9"/>
      <c r="AM1316" s="9"/>
      <c r="AN1316" s="9"/>
      <c r="AO1316" s="9"/>
      <c r="AP1316" s="9"/>
      <c r="AQ1316" s="9"/>
      <c r="AR1316" s="9"/>
      <c r="AS1316" s="9"/>
      <c r="AT1316" s="9"/>
      <c r="AU1316" s="9"/>
    </row>
    <row r="1317" spans="1:47" ht="15.75" customHeight="1">
      <c r="A1317" s="9"/>
      <c r="B1317" s="9"/>
      <c r="C1317" s="9"/>
      <c r="D1317" s="9"/>
      <c r="E1317" s="9"/>
      <c r="F1317" s="67"/>
      <c r="G1317" s="9"/>
      <c r="H1317" s="9"/>
      <c r="I1317" s="9"/>
      <c r="J1317" s="9"/>
      <c r="K1317" s="9"/>
      <c r="L1317" s="9"/>
      <c r="M1317" s="9"/>
      <c r="N1317" s="9"/>
      <c r="O1317" s="9"/>
      <c r="P1317" s="9"/>
      <c r="Q1317" s="9"/>
      <c r="R1317" s="9"/>
      <c r="S1317" s="9"/>
      <c r="T1317" s="9"/>
      <c r="U1317" s="9"/>
      <c r="V1317" s="9"/>
      <c r="W1317" s="9"/>
      <c r="X1317" s="9"/>
      <c r="Y1317" s="9"/>
      <c r="Z1317" s="9"/>
      <c r="AA1317" s="9"/>
      <c r="AB1317" s="9"/>
      <c r="AC1317" s="9"/>
      <c r="AD1317" s="9"/>
      <c r="AE1317" s="9"/>
      <c r="AF1317" s="9"/>
      <c r="AG1317" s="9"/>
      <c r="AH1317" s="9"/>
      <c r="AI1317" s="9"/>
      <c r="AJ1317" s="9"/>
      <c r="AK1317" s="9"/>
      <c r="AL1317" s="9"/>
      <c r="AM1317" s="9"/>
      <c r="AN1317" s="9"/>
      <c r="AO1317" s="9"/>
      <c r="AP1317" s="9"/>
      <c r="AQ1317" s="9"/>
      <c r="AR1317" s="9"/>
      <c r="AS1317" s="9"/>
      <c r="AT1317" s="9"/>
      <c r="AU1317" s="9"/>
    </row>
    <row r="1318" spans="1:47" ht="15.75" customHeight="1">
      <c r="A1318" s="9"/>
      <c r="B1318" s="9"/>
      <c r="C1318" s="9"/>
      <c r="D1318" s="9"/>
      <c r="E1318" s="9"/>
      <c r="F1318" s="67"/>
      <c r="G1318" s="9"/>
      <c r="H1318" s="9"/>
      <c r="I1318" s="9"/>
      <c r="J1318" s="9"/>
      <c r="K1318" s="9"/>
      <c r="L1318" s="9"/>
      <c r="M1318" s="9"/>
      <c r="N1318" s="9"/>
      <c r="O1318" s="9"/>
      <c r="P1318" s="9"/>
      <c r="Q1318" s="9"/>
      <c r="R1318" s="9"/>
      <c r="S1318" s="9"/>
      <c r="T1318" s="9"/>
      <c r="U1318" s="9"/>
      <c r="V1318" s="9"/>
      <c r="W1318" s="9"/>
      <c r="X1318" s="9"/>
      <c r="Y1318" s="9"/>
      <c r="Z1318" s="9"/>
      <c r="AA1318" s="9"/>
      <c r="AB1318" s="9"/>
      <c r="AC1318" s="9"/>
      <c r="AD1318" s="9"/>
      <c r="AE1318" s="9"/>
      <c r="AF1318" s="9"/>
      <c r="AG1318" s="9"/>
      <c r="AH1318" s="9"/>
      <c r="AI1318" s="9"/>
      <c r="AJ1318" s="9"/>
      <c r="AK1318" s="9"/>
      <c r="AL1318" s="9"/>
      <c r="AM1318" s="9"/>
      <c r="AN1318" s="9"/>
      <c r="AO1318" s="9"/>
      <c r="AP1318" s="9"/>
      <c r="AQ1318" s="9"/>
      <c r="AR1318" s="9"/>
      <c r="AS1318" s="9"/>
      <c r="AT1318" s="9"/>
      <c r="AU1318" s="9"/>
    </row>
    <row r="1319" spans="1:47" ht="15.75" customHeight="1">
      <c r="A1319" s="9"/>
      <c r="B1319" s="9"/>
      <c r="C1319" s="9"/>
      <c r="D1319" s="9"/>
      <c r="E1319" s="9"/>
      <c r="F1319" s="67"/>
      <c r="G1319" s="9"/>
      <c r="H1319" s="9"/>
      <c r="I1319" s="9"/>
      <c r="J1319" s="9"/>
      <c r="K1319" s="9"/>
      <c r="L1319" s="9"/>
      <c r="M1319" s="9"/>
      <c r="N1319" s="9"/>
      <c r="O1319" s="9"/>
      <c r="P1319" s="9"/>
      <c r="Q1319" s="9"/>
      <c r="R1319" s="9"/>
      <c r="S1319" s="9"/>
      <c r="T1319" s="9"/>
      <c r="U1319" s="9"/>
      <c r="V1319" s="9"/>
      <c r="W1319" s="9"/>
      <c r="X1319" s="9"/>
      <c r="Y1319" s="9"/>
      <c r="Z1319" s="9"/>
      <c r="AA1319" s="9"/>
      <c r="AB1319" s="9"/>
      <c r="AC1319" s="9"/>
      <c r="AD1319" s="9"/>
      <c r="AE1319" s="9"/>
      <c r="AF1319" s="9"/>
      <c r="AG1319" s="9"/>
      <c r="AH1319" s="9"/>
      <c r="AI1319" s="9"/>
      <c r="AJ1319" s="9"/>
      <c r="AK1319" s="9"/>
      <c r="AL1319" s="9"/>
      <c r="AM1319" s="9"/>
      <c r="AN1319" s="9"/>
      <c r="AO1319" s="9"/>
      <c r="AP1319" s="9"/>
      <c r="AQ1319" s="9"/>
      <c r="AR1319" s="9"/>
      <c r="AS1319" s="9"/>
      <c r="AT1319" s="9"/>
      <c r="AU1319" s="9"/>
    </row>
    <row r="1320" spans="1:47" ht="15.75" customHeight="1">
      <c r="A1320" s="9"/>
      <c r="B1320" s="9"/>
      <c r="C1320" s="9"/>
      <c r="D1320" s="9"/>
      <c r="E1320" s="9"/>
      <c r="F1320" s="67"/>
      <c r="G1320" s="9"/>
      <c r="H1320" s="9"/>
      <c r="I1320" s="9"/>
      <c r="J1320" s="9"/>
      <c r="K1320" s="9"/>
      <c r="L1320" s="9"/>
      <c r="M1320" s="9"/>
      <c r="N1320" s="9"/>
      <c r="O1320" s="9"/>
      <c r="P1320" s="9"/>
      <c r="Q1320" s="9"/>
      <c r="R1320" s="9"/>
      <c r="S1320" s="9"/>
      <c r="T1320" s="9"/>
      <c r="U1320" s="9"/>
      <c r="V1320" s="9"/>
      <c r="W1320" s="9"/>
      <c r="X1320" s="9"/>
      <c r="Y1320" s="9"/>
      <c r="Z1320" s="9"/>
      <c r="AA1320" s="9"/>
      <c r="AB1320" s="9"/>
      <c r="AC1320" s="9"/>
      <c r="AD1320" s="9"/>
      <c r="AE1320" s="9"/>
      <c r="AF1320" s="9"/>
      <c r="AG1320" s="9"/>
      <c r="AH1320" s="9"/>
      <c r="AI1320" s="9"/>
      <c r="AJ1320" s="9"/>
      <c r="AK1320" s="9"/>
      <c r="AL1320" s="9"/>
      <c r="AM1320" s="9"/>
      <c r="AN1320" s="9"/>
      <c r="AO1320" s="9"/>
      <c r="AP1320" s="9"/>
      <c r="AQ1320" s="9"/>
      <c r="AR1320" s="9"/>
      <c r="AS1320" s="9"/>
      <c r="AT1320" s="9"/>
      <c r="AU1320" s="9"/>
    </row>
    <row r="1321" spans="1:47" ht="15.75" customHeight="1">
      <c r="A1321" s="9"/>
      <c r="B1321" s="9"/>
      <c r="C1321" s="9"/>
      <c r="D1321" s="9"/>
      <c r="E1321" s="9"/>
      <c r="F1321" s="67"/>
      <c r="G1321" s="9"/>
      <c r="H1321" s="9"/>
      <c r="I1321" s="9"/>
      <c r="J1321" s="9"/>
      <c r="K1321" s="9"/>
      <c r="L1321" s="9"/>
      <c r="M1321" s="9"/>
      <c r="N1321" s="9"/>
      <c r="O1321" s="9"/>
      <c r="P1321" s="9"/>
      <c r="Q1321" s="9"/>
      <c r="R1321" s="9"/>
      <c r="S1321" s="9"/>
      <c r="T1321" s="9"/>
      <c r="U1321" s="9"/>
      <c r="V1321" s="9"/>
      <c r="W1321" s="9"/>
      <c r="X1321" s="9"/>
      <c r="Y1321" s="9"/>
      <c r="Z1321" s="9"/>
      <c r="AA1321" s="9"/>
      <c r="AB1321" s="9"/>
      <c r="AC1321" s="9"/>
      <c r="AD1321" s="9"/>
      <c r="AE1321" s="9"/>
      <c r="AF1321" s="9"/>
      <c r="AG1321" s="9"/>
      <c r="AH1321" s="9"/>
      <c r="AI1321" s="9"/>
      <c r="AJ1321" s="9"/>
      <c r="AK1321" s="9"/>
      <c r="AL1321" s="9"/>
      <c r="AM1321" s="9"/>
      <c r="AN1321" s="9"/>
      <c r="AO1321" s="9"/>
      <c r="AP1321" s="9"/>
      <c r="AQ1321" s="9"/>
      <c r="AR1321" s="9"/>
      <c r="AS1321" s="9"/>
      <c r="AT1321" s="9"/>
      <c r="AU1321" s="9"/>
    </row>
    <row r="1322" spans="1:47" ht="15.75" customHeight="1">
      <c r="A1322" s="9"/>
      <c r="B1322" s="9"/>
      <c r="C1322" s="9"/>
      <c r="D1322" s="9"/>
      <c r="E1322" s="9"/>
      <c r="F1322" s="67"/>
      <c r="G1322" s="9"/>
      <c r="H1322" s="9"/>
      <c r="I1322" s="9"/>
      <c r="J1322" s="9"/>
      <c r="K1322" s="9"/>
      <c r="L1322" s="9"/>
      <c r="M1322" s="9"/>
      <c r="N1322" s="9"/>
      <c r="O1322" s="9"/>
      <c r="P1322" s="9"/>
      <c r="Q1322" s="9"/>
      <c r="R1322" s="9"/>
      <c r="S1322" s="9"/>
      <c r="T1322" s="9"/>
      <c r="U1322" s="9"/>
      <c r="V1322" s="9"/>
      <c r="W1322" s="9"/>
      <c r="X1322" s="9"/>
      <c r="Y1322" s="9"/>
      <c r="Z1322" s="9"/>
      <c r="AA1322" s="9"/>
      <c r="AB1322" s="9"/>
      <c r="AC1322" s="9"/>
      <c r="AD1322" s="9"/>
      <c r="AE1322" s="9"/>
      <c r="AF1322" s="9"/>
      <c r="AG1322" s="9"/>
      <c r="AH1322" s="9"/>
      <c r="AI1322" s="9"/>
      <c r="AJ1322" s="9"/>
      <c r="AK1322" s="9"/>
      <c r="AL1322" s="9"/>
      <c r="AM1322" s="9"/>
      <c r="AN1322" s="9"/>
      <c r="AO1322" s="9"/>
      <c r="AP1322" s="9"/>
      <c r="AQ1322" s="9"/>
      <c r="AR1322" s="9"/>
      <c r="AS1322" s="9"/>
      <c r="AT1322" s="9"/>
      <c r="AU1322" s="9"/>
    </row>
    <row r="1323" spans="1:47" ht="15.75" customHeight="1">
      <c r="A1323" s="9"/>
      <c r="B1323" s="9"/>
      <c r="C1323" s="9"/>
      <c r="D1323" s="9"/>
      <c r="E1323" s="9"/>
      <c r="F1323" s="67"/>
      <c r="G1323" s="9"/>
      <c r="H1323" s="9"/>
      <c r="I1323" s="9"/>
      <c r="J1323" s="9"/>
      <c r="K1323" s="9"/>
      <c r="L1323" s="9"/>
      <c r="M1323" s="9"/>
      <c r="N1323" s="9"/>
      <c r="O1323" s="9"/>
      <c r="P1323" s="9"/>
      <c r="Q1323" s="9"/>
      <c r="R1323" s="9"/>
      <c r="S1323" s="9"/>
      <c r="T1323" s="9"/>
      <c r="U1323" s="9"/>
      <c r="V1323" s="9"/>
      <c r="W1323" s="9"/>
      <c r="X1323" s="9"/>
      <c r="Y1323" s="9"/>
      <c r="Z1323" s="9"/>
      <c r="AA1323" s="9"/>
      <c r="AB1323" s="9"/>
      <c r="AC1323" s="9"/>
      <c r="AD1323" s="9"/>
      <c r="AE1323" s="9"/>
      <c r="AF1323" s="9"/>
      <c r="AG1323" s="9"/>
      <c r="AH1323" s="9"/>
      <c r="AI1323" s="9"/>
      <c r="AJ1323" s="9"/>
      <c r="AK1323" s="9"/>
      <c r="AL1323" s="9"/>
      <c r="AM1323" s="9"/>
      <c r="AN1323" s="9"/>
      <c r="AO1323" s="9"/>
      <c r="AP1323" s="9"/>
      <c r="AQ1323" s="9"/>
      <c r="AR1323" s="9"/>
      <c r="AS1323" s="9"/>
      <c r="AT1323" s="9"/>
      <c r="AU1323" s="9"/>
    </row>
    <row r="1324" spans="1:47" ht="15.75" customHeight="1">
      <c r="A1324" s="9"/>
      <c r="B1324" s="9"/>
      <c r="C1324" s="9"/>
      <c r="D1324" s="9"/>
      <c r="E1324" s="9"/>
      <c r="F1324" s="67"/>
      <c r="G1324" s="9"/>
      <c r="H1324" s="9"/>
      <c r="I1324" s="9"/>
      <c r="J1324" s="9"/>
      <c r="K1324" s="9"/>
      <c r="L1324" s="9"/>
      <c r="M1324" s="9"/>
      <c r="N1324" s="9"/>
      <c r="O1324" s="9"/>
      <c r="P1324" s="9"/>
      <c r="Q1324" s="9"/>
      <c r="R1324" s="9"/>
      <c r="S1324" s="9"/>
      <c r="T1324" s="9"/>
      <c r="U1324" s="9"/>
      <c r="V1324" s="9"/>
      <c r="W1324" s="9"/>
      <c r="X1324" s="9"/>
      <c r="Y1324" s="9"/>
      <c r="Z1324" s="9"/>
      <c r="AA1324" s="9"/>
      <c r="AB1324" s="9"/>
      <c r="AC1324" s="9"/>
      <c r="AD1324" s="9"/>
      <c r="AE1324" s="9"/>
      <c r="AF1324" s="9"/>
      <c r="AG1324" s="9"/>
      <c r="AH1324" s="9"/>
      <c r="AI1324" s="9"/>
      <c r="AJ1324" s="9"/>
      <c r="AK1324" s="9"/>
      <c r="AL1324" s="9"/>
      <c r="AM1324" s="9"/>
      <c r="AN1324" s="9"/>
      <c r="AO1324" s="9"/>
      <c r="AP1324" s="9"/>
      <c r="AQ1324" s="9"/>
      <c r="AR1324" s="9"/>
      <c r="AS1324" s="9"/>
      <c r="AT1324" s="9"/>
      <c r="AU1324" s="9"/>
    </row>
    <row r="1325" spans="1:47" ht="15.75" customHeight="1">
      <c r="A1325" s="9"/>
      <c r="B1325" s="9"/>
      <c r="C1325" s="9"/>
      <c r="D1325" s="9"/>
      <c r="E1325" s="9"/>
      <c r="F1325" s="67"/>
      <c r="G1325" s="9"/>
      <c r="H1325" s="9"/>
      <c r="I1325" s="9"/>
      <c r="J1325" s="9"/>
      <c r="K1325" s="9"/>
      <c r="L1325" s="9"/>
      <c r="M1325" s="9"/>
      <c r="N1325" s="9"/>
      <c r="O1325" s="9"/>
      <c r="P1325" s="9"/>
      <c r="Q1325" s="9"/>
      <c r="R1325" s="9"/>
      <c r="S1325" s="9"/>
      <c r="T1325" s="9"/>
      <c r="U1325" s="9"/>
      <c r="V1325" s="9"/>
      <c r="W1325" s="9"/>
      <c r="X1325" s="9"/>
      <c r="Y1325" s="9"/>
      <c r="Z1325" s="9"/>
      <c r="AA1325" s="9"/>
      <c r="AB1325" s="9"/>
      <c r="AC1325" s="9"/>
      <c r="AD1325" s="9"/>
      <c r="AE1325" s="9"/>
      <c r="AF1325" s="9"/>
      <c r="AG1325" s="9"/>
      <c r="AH1325" s="9"/>
      <c r="AI1325" s="9"/>
      <c r="AJ1325" s="9"/>
      <c r="AK1325" s="9"/>
      <c r="AL1325" s="9"/>
      <c r="AM1325" s="9"/>
      <c r="AN1325" s="9"/>
      <c r="AO1325" s="9"/>
      <c r="AP1325" s="9"/>
      <c r="AQ1325" s="9"/>
      <c r="AR1325" s="9"/>
      <c r="AS1325" s="9"/>
      <c r="AT1325" s="9"/>
      <c r="AU1325" s="9"/>
    </row>
    <row r="1326" spans="1:47" ht="15.75" customHeight="1">
      <c r="A1326" s="9"/>
      <c r="B1326" s="9"/>
      <c r="C1326" s="9"/>
      <c r="D1326" s="9"/>
      <c r="E1326" s="9"/>
      <c r="F1326" s="67"/>
      <c r="G1326" s="9"/>
      <c r="H1326" s="9"/>
      <c r="I1326" s="9"/>
      <c r="J1326" s="9"/>
      <c r="K1326" s="9"/>
      <c r="L1326" s="9"/>
      <c r="M1326" s="9"/>
      <c r="N1326" s="9"/>
      <c r="O1326" s="9"/>
      <c r="P1326" s="9"/>
      <c r="Q1326" s="9"/>
      <c r="R1326" s="9"/>
      <c r="S1326" s="9"/>
      <c r="T1326" s="9"/>
      <c r="U1326" s="9"/>
      <c r="V1326" s="9"/>
      <c r="W1326" s="9"/>
      <c r="X1326" s="9"/>
      <c r="Y1326" s="9"/>
      <c r="Z1326" s="9"/>
      <c r="AA1326" s="9"/>
      <c r="AB1326" s="9"/>
      <c r="AC1326" s="9"/>
      <c r="AD1326" s="9"/>
      <c r="AE1326" s="9"/>
      <c r="AF1326" s="9"/>
      <c r="AG1326" s="9"/>
      <c r="AH1326" s="9"/>
      <c r="AI1326" s="9"/>
      <c r="AJ1326" s="9"/>
      <c r="AK1326" s="9"/>
      <c r="AL1326" s="9"/>
      <c r="AM1326" s="9"/>
      <c r="AN1326" s="9"/>
      <c r="AO1326" s="9"/>
      <c r="AP1326" s="9"/>
      <c r="AQ1326" s="9"/>
      <c r="AR1326" s="9"/>
      <c r="AS1326" s="9"/>
      <c r="AT1326" s="9"/>
      <c r="AU1326" s="9"/>
    </row>
    <row r="1327" spans="1:47" ht="15.75" customHeight="1">
      <c r="A1327" s="9"/>
      <c r="B1327" s="9"/>
      <c r="C1327" s="9"/>
      <c r="D1327" s="9"/>
      <c r="E1327" s="9"/>
      <c r="F1327" s="67"/>
      <c r="G1327" s="9"/>
      <c r="H1327" s="9"/>
      <c r="I1327" s="9"/>
      <c r="J1327" s="9"/>
      <c r="K1327" s="9"/>
      <c r="L1327" s="9"/>
      <c r="M1327" s="9"/>
      <c r="N1327" s="9"/>
      <c r="O1327" s="9"/>
      <c r="P1327" s="9"/>
      <c r="Q1327" s="9"/>
      <c r="R1327" s="9"/>
      <c r="S1327" s="9"/>
      <c r="T1327" s="9"/>
      <c r="U1327" s="9"/>
      <c r="V1327" s="9"/>
      <c r="W1327" s="9"/>
      <c r="X1327" s="9"/>
      <c r="Y1327" s="9"/>
      <c r="Z1327" s="9"/>
      <c r="AA1327" s="9"/>
      <c r="AB1327" s="9"/>
      <c r="AC1327" s="9"/>
      <c r="AD1327" s="9"/>
      <c r="AE1327" s="9"/>
      <c r="AF1327" s="9"/>
      <c r="AG1327" s="9"/>
      <c r="AH1327" s="9"/>
      <c r="AI1327" s="9"/>
      <c r="AJ1327" s="9"/>
      <c r="AK1327" s="9"/>
      <c r="AL1327" s="9"/>
      <c r="AM1327" s="9"/>
      <c r="AN1327" s="9"/>
      <c r="AO1327" s="9"/>
      <c r="AP1327" s="9"/>
      <c r="AQ1327" s="9"/>
      <c r="AR1327" s="9"/>
      <c r="AS1327" s="9"/>
      <c r="AT1327" s="9"/>
      <c r="AU1327" s="9"/>
    </row>
    <row r="1328" spans="1:47" ht="15.75" customHeight="1">
      <c r="A1328" s="9"/>
      <c r="B1328" s="9"/>
      <c r="C1328" s="9"/>
      <c r="D1328" s="9"/>
      <c r="E1328" s="9"/>
      <c r="F1328" s="67"/>
      <c r="G1328" s="9"/>
      <c r="H1328" s="9"/>
      <c r="I1328" s="9"/>
      <c r="J1328" s="9"/>
      <c r="K1328" s="9"/>
      <c r="L1328" s="9"/>
      <c r="M1328" s="9"/>
      <c r="N1328" s="9"/>
      <c r="O1328" s="9"/>
      <c r="P1328" s="9"/>
      <c r="Q1328" s="9"/>
      <c r="R1328" s="9"/>
      <c r="S1328" s="9"/>
      <c r="T1328" s="9"/>
      <c r="U1328" s="9"/>
      <c r="V1328" s="9"/>
      <c r="W1328" s="9"/>
      <c r="X1328" s="9"/>
      <c r="Y1328" s="9"/>
      <c r="Z1328" s="9"/>
      <c r="AA1328" s="9"/>
      <c r="AB1328" s="9"/>
      <c r="AC1328" s="9"/>
      <c r="AD1328" s="9"/>
      <c r="AE1328" s="9"/>
      <c r="AF1328" s="9"/>
      <c r="AG1328" s="9"/>
      <c r="AH1328" s="9"/>
      <c r="AI1328" s="9"/>
      <c r="AJ1328" s="9"/>
      <c r="AK1328" s="9"/>
      <c r="AL1328" s="9"/>
      <c r="AM1328" s="9"/>
      <c r="AN1328" s="9"/>
      <c r="AO1328" s="9"/>
      <c r="AP1328" s="9"/>
      <c r="AQ1328" s="9"/>
      <c r="AR1328" s="9"/>
      <c r="AS1328" s="9"/>
      <c r="AT1328" s="9"/>
      <c r="AU1328" s="9"/>
    </row>
    <row r="1329" spans="1:47" ht="15.75" customHeight="1">
      <c r="A1329" s="9"/>
      <c r="B1329" s="9"/>
      <c r="C1329" s="9"/>
      <c r="D1329" s="9"/>
      <c r="E1329" s="9"/>
      <c r="F1329" s="67"/>
      <c r="G1329" s="9"/>
      <c r="H1329" s="9"/>
      <c r="I1329" s="9"/>
      <c r="J1329" s="9"/>
      <c r="K1329" s="9"/>
      <c r="L1329" s="9"/>
      <c r="M1329" s="9"/>
      <c r="N1329" s="9"/>
      <c r="O1329" s="9"/>
      <c r="P1329" s="9"/>
      <c r="Q1329" s="9"/>
      <c r="R1329" s="9"/>
      <c r="S1329" s="9"/>
      <c r="T1329" s="9"/>
      <c r="U1329" s="9"/>
      <c r="V1329" s="9"/>
      <c r="W1329" s="9"/>
      <c r="X1329" s="9"/>
      <c r="Y1329" s="9"/>
      <c r="Z1329" s="9"/>
      <c r="AA1329" s="9"/>
      <c r="AB1329" s="9"/>
      <c r="AC1329" s="9"/>
      <c r="AD1329" s="9"/>
      <c r="AE1329" s="9"/>
      <c r="AF1329" s="9"/>
      <c r="AG1329" s="9"/>
      <c r="AH1329" s="9"/>
      <c r="AI1329" s="9"/>
      <c r="AJ1329" s="9"/>
      <c r="AK1329" s="9"/>
      <c r="AL1329" s="9"/>
      <c r="AM1329" s="9"/>
      <c r="AN1329" s="9"/>
      <c r="AO1329" s="9"/>
      <c r="AP1329" s="9"/>
      <c r="AQ1329" s="9"/>
      <c r="AR1329" s="9"/>
      <c r="AS1329" s="9"/>
      <c r="AT1329" s="9"/>
      <c r="AU1329" s="9"/>
    </row>
    <row r="1330" spans="1:47" ht="15.75" customHeight="1">
      <c r="A1330" s="9"/>
      <c r="B1330" s="9"/>
      <c r="C1330" s="9"/>
      <c r="D1330" s="9"/>
      <c r="E1330" s="9"/>
      <c r="F1330" s="67"/>
      <c r="G1330" s="9"/>
      <c r="H1330" s="9"/>
      <c r="I1330" s="9"/>
      <c r="J1330" s="9"/>
      <c r="K1330" s="9"/>
      <c r="L1330" s="9"/>
      <c r="M1330" s="9"/>
      <c r="N1330" s="9"/>
      <c r="O1330" s="9"/>
      <c r="P1330" s="9"/>
      <c r="Q1330" s="9"/>
      <c r="R1330" s="9"/>
      <c r="S1330" s="9"/>
      <c r="T1330" s="9"/>
      <c r="U1330" s="9"/>
      <c r="V1330" s="9"/>
      <c r="W1330" s="9"/>
      <c r="X1330" s="9"/>
      <c r="Y1330" s="9"/>
      <c r="Z1330" s="9"/>
      <c r="AA1330" s="9"/>
      <c r="AB1330" s="9"/>
      <c r="AC1330" s="9"/>
      <c r="AD1330" s="9"/>
      <c r="AE1330" s="9"/>
      <c r="AF1330" s="9"/>
      <c r="AG1330" s="9"/>
      <c r="AH1330" s="9"/>
      <c r="AI1330" s="9"/>
      <c r="AJ1330" s="9"/>
      <c r="AK1330" s="9"/>
      <c r="AL1330" s="9"/>
      <c r="AM1330" s="9"/>
      <c r="AN1330" s="9"/>
      <c r="AO1330" s="9"/>
      <c r="AP1330" s="9"/>
      <c r="AQ1330" s="9"/>
      <c r="AR1330" s="9"/>
      <c r="AS1330" s="9"/>
      <c r="AT1330" s="9"/>
      <c r="AU1330" s="9"/>
    </row>
    <row r="1331" spans="1:47" ht="15.75" customHeight="1">
      <c r="A1331" s="9"/>
      <c r="B1331" s="9"/>
      <c r="C1331" s="9"/>
      <c r="D1331" s="9"/>
      <c r="E1331" s="9"/>
      <c r="F1331" s="67"/>
      <c r="G1331" s="9"/>
      <c r="H1331" s="9"/>
      <c r="I1331" s="9"/>
      <c r="J1331" s="9"/>
      <c r="K1331" s="9"/>
      <c r="L1331" s="9"/>
      <c r="M1331" s="9"/>
      <c r="N1331" s="9"/>
      <c r="O1331" s="9"/>
      <c r="P1331" s="9"/>
      <c r="Q1331" s="9"/>
      <c r="R1331" s="9"/>
      <c r="S1331" s="9"/>
      <c r="T1331" s="9"/>
      <c r="U1331" s="9"/>
      <c r="V1331" s="9"/>
      <c r="W1331" s="9"/>
      <c r="X1331" s="9"/>
      <c r="Y1331" s="9"/>
      <c r="Z1331" s="9"/>
      <c r="AA1331" s="9"/>
      <c r="AB1331" s="9"/>
      <c r="AC1331" s="9"/>
      <c r="AD1331" s="9"/>
      <c r="AE1331" s="9"/>
      <c r="AF1331" s="9"/>
      <c r="AG1331" s="9"/>
      <c r="AH1331" s="9"/>
      <c r="AI1331" s="9"/>
      <c r="AJ1331" s="9"/>
      <c r="AK1331" s="9"/>
      <c r="AL1331" s="9"/>
      <c r="AM1331" s="9"/>
      <c r="AN1331" s="9"/>
      <c r="AO1331" s="9"/>
      <c r="AP1331" s="9"/>
      <c r="AQ1331" s="9"/>
      <c r="AR1331" s="9"/>
      <c r="AS1331" s="9"/>
      <c r="AT1331" s="9"/>
      <c r="AU1331" s="9"/>
    </row>
    <row r="1332" spans="1:47" ht="15.75" customHeight="1">
      <c r="A1332" s="9"/>
      <c r="B1332" s="9"/>
      <c r="C1332" s="9"/>
      <c r="D1332" s="9"/>
      <c r="E1332" s="9"/>
      <c r="F1332" s="67"/>
      <c r="G1332" s="9"/>
      <c r="H1332" s="9"/>
      <c r="I1332" s="9"/>
      <c r="J1332" s="9"/>
      <c r="K1332" s="9"/>
      <c r="L1332" s="9"/>
      <c r="M1332" s="9"/>
      <c r="N1332" s="9"/>
      <c r="O1332" s="9"/>
      <c r="P1332" s="9"/>
      <c r="Q1332" s="9"/>
      <c r="R1332" s="9"/>
      <c r="S1332" s="9"/>
      <c r="T1332" s="9"/>
      <c r="U1332" s="9"/>
      <c r="V1332" s="9"/>
      <c r="W1332" s="9"/>
      <c r="X1332" s="9"/>
      <c r="Y1332" s="9"/>
      <c r="Z1332" s="9"/>
      <c r="AA1332" s="9"/>
      <c r="AB1332" s="9"/>
      <c r="AC1332" s="9"/>
      <c r="AD1332" s="9"/>
      <c r="AE1332" s="9"/>
      <c r="AF1332" s="9"/>
      <c r="AG1332" s="9"/>
      <c r="AH1332" s="9"/>
      <c r="AI1332" s="9"/>
      <c r="AJ1332" s="9"/>
      <c r="AK1332" s="9"/>
      <c r="AL1332" s="9"/>
      <c r="AM1332" s="9"/>
      <c r="AN1332" s="9"/>
      <c r="AO1332" s="9"/>
      <c r="AP1332" s="9"/>
      <c r="AQ1332" s="9"/>
      <c r="AR1332" s="9"/>
      <c r="AS1332" s="9"/>
      <c r="AT1332" s="9"/>
      <c r="AU1332" s="9"/>
    </row>
    <row r="1333" spans="1:47" ht="15.75" customHeight="1">
      <c r="A1333" s="9"/>
      <c r="B1333" s="9"/>
      <c r="C1333" s="9"/>
      <c r="D1333" s="9"/>
      <c r="E1333" s="9"/>
      <c r="F1333" s="67"/>
      <c r="G1333" s="9"/>
      <c r="H1333" s="9"/>
      <c r="I1333" s="9"/>
      <c r="J1333" s="9"/>
      <c r="K1333" s="9"/>
      <c r="L1333" s="9"/>
      <c r="M1333" s="9"/>
      <c r="N1333" s="9"/>
      <c r="O1333" s="9"/>
      <c r="P1333" s="9"/>
      <c r="Q1333" s="9"/>
      <c r="R1333" s="9"/>
      <c r="S1333" s="9"/>
      <c r="T1333" s="9"/>
      <c r="U1333" s="9"/>
      <c r="V1333" s="9"/>
      <c r="W1333" s="9"/>
      <c r="X1333" s="9"/>
      <c r="Y1333" s="9"/>
      <c r="Z1333" s="9"/>
      <c r="AA1333" s="9"/>
      <c r="AB1333" s="9"/>
      <c r="AC1333" s="9"/>
      <c r="AD1333" s="9"/>
      <c r="AE1333" s="9"/>
      <c r="AF1333" s="9"/>
      <c r="AG1333" s="9"/>
      <c r="AH1333" s="9"/>
      <c r="AI1333" s="9"/>
      <c r="AJ1333" s="9"/>
      <c r="AK1333" s="9"/>
      <c r="AL1333" s="9"/>
      <c r="AM1333" s="9"/>
      <c r="AN1333" s="9"/>
      <c r="AO1333" s="9"/>
      <c r="AP1333" s="9"/>
      <c r="AQ1333" s="9"/>
      <c r="AR1333" s="9"/>
      <c r="AS1333" s="9"/>
      <c r="AT1333" s="9"/>
      <c r="AU1333" s="9"/>
    </row>
    <row r="1334" spans="1:47" ht="15.75" customHeight="1">
      <c r="A1334" s="9"/>
      <c r="B1334" s="9"/>
      <c r="C1334" s="9"/>
      <c r="D1334" s="9"/>
      <c r="E1334" s="9"/>
      <c r="F1334" s="67"/>
      <c r="G1334" s="9"/>
      <c r="H1334" s="9"/>
      <c r="I1334" s="9"/>
      <c r="J1334" s="9"/>
      <c r="K1334" s="9"/>
      <c r="L1334" s="9"/>
      <c r="M1334" s="9"/>
      <c r="N1334" s="9"/>
      <c r="O1334" s="9"/>
      <c r="P1334" s="9"/>
      <c r="Q1334" s="9"/>
      <c r="R1334" s="9"/>
      <c r="S1334" s="9"/>
      <c r="T1334" s="9"/>
      <c r="U1334" s="9"/>
      <c r="V1334" s="9"/>
      <c r="W1334" s="9"/>
      <c r="X1334" s="9"/>
      <c r="Y1334" s="9"/>
      <c r="Z1334" s="9"/>
      <c r="AA1334" s="9"/>
      <c r="AB1334" s="9"/>
      <c r="AC1334" s="9"/>
      <c r="AD1334" s="9"/>
      <c r="AE1334" s="9"/>
      <c r="AF1334" s="9"/>
      <c r="AG1334" s="9"/>
      <c r="AH1334" s="9"/>
      <c r="AI1334" s="9"/>
      <c r="AJ1334" s="9"/>
      <c r="AK1334" s="9"/>
      <c r="AL1334" s="9"/>
      <c r="AM1334" s="9"/>
      <c r="AN1334" s="9"/>
      <c r="AO1334" s="9"/>
      <c r="AP1334" s="9"/>
      <c r="AQ1334" s="9"/>
      <c r="AR1334" s="9"/>
      <c r="AS1334" s="9"/>
      <c r="AT1334" s="9"/>
      <c r="AU1334" s="9"/>
    </row>
    <row r="1335" spans="1:47" ht="15.75" customHeight="1">
      <c r="A1335" s="9"/>
      <c r="B1335" s="9"/>
      <c r="C1335" s="9"/>
      <c r="D1335" s="9"/>
      <c r="E1335" s="9"/>
      <c r="F1335" s="67"/>
      <c r="G1335" s="9"/>
      <c r="H1335" s="9"/>
      <c r="I1335" s="9"/>
      <c r="J1335" s="9"/>
      <c r="K1335" s="9"/>
      <c r="L1335" s="9"/>
      <c r="M1335" s="9"/>
      <c r="N1335" s="9"/>
      <c r="O1335" s="9"/>
      <c r="P1335" s="9"/>
      <c r="Q1335" s="9"/>
      <c r="R1335" s="9"/>
      <c r="S1335" s="9"/>
      <c r="T1335" s="9"/>
      <c r="U1335" s="9"/>
      <c r="V1335" s="9"/>
      <c r="W1335" s="9"/>
      <c r="X1335" s="9"/>
      <c r="Y1335" s="9"/>
      <c r="Z1335" s="9"/>
      <c r="AA1335" s="9"/>
      <c r="AB1335" s="9"/>
      <c r="AC1335" s="9"/>
      <c r="AD1335" s="9"/>
      <c r="AE1335" s="9"/>
      <c r="AF1335" s="9"/>
      <c r="AG1335" s="9"/>
      <c r="AH1335" s="9"/>
      <c r="AI1335" s="9"/>
      <c r="AJ1335" s="9"/>
      <c r="AK1335" s="9"/>
      <c r="AL1335" s="9"/>
      <c r="AM1335" s="9"/>
      <c r="AN1335" s="9"/>
      <c r="AO1335" s="9"/>
      <c r="AP1335" s="9"/>
      <c r="AQ1335" s="9"/>
      <c r="AR1335" s="9"/>
      <c r="AS1335" s="9"/>
      <c r="AT1335" s="9"/>
      <c r="AU1335" s="9"/>
    </row>
    <row r="1336" spans="1:47" ht="15.75" customHeight="1">
      <c r="A1336" s="9"/>
      <c r="B1336" s="9"/>
      <c r="C1336" s="9"/>
      <c r="D1336" s="9"/>
      <c r="E1336" s="9"/>
      <c r="F1336" s="67"/>
      <c r="G1336" s="9"/>
      <c r="H1336" s="9"/>
      <c r="I1336" s="9"/>
      <c r="J1336" s="9"/>
      <c r="K1336" s="9"/>
      <c r="L1336" s="9"/>
      <c r="M1336" s="9"/>
      <c r="N1336" s="9"/>
      <c r="O1336" s="9"/>
      <c r="P1336" s="9"/>
      <c r="Q1336" s="9"/>
      <c r="R1336" s="9"/>
      <c r="S1336" s="9"/>
      <c r="T1336" s="9"/>
      <c r="U1336" s="9"/>
      <c r="V1336" s="9"/>
      <c r="W1336" s="9"/>
      <c r="X1336" s="9"/>
      <c r="Y1336" s="9"/>
      <c r="Z1336" s="9"/>
      <c r="AA1336" s="9"/>
      <c r="AB1336" s="9"/>
      <c r="AC1336" s="9"/>
      <c r="AD1336" s="9"/>
      <c r="AE1336" s="9"/>
      <c r="AF1336" s="9"/>
      <c r="AG1336" s="9"/>
      <c r="AH1336" s="9"/>
      <c r="AI1336" s="9"/>
      <c r="AJ1336" s="9"/>
      <c r="AK1336" s="9"/>
      <c r="AL1336" s="9"/>
      <c r="AM1336" s="9"/>
      <c r="AN1336" s="9"/>
      <c r="AO1336" s="9"/>
      <c r="AP1336" s="9"/>
      <c r="AQ1336" s="9"/>
      <c r="AR1336" s="9"/>
      <c r="AS1336" s="9"/>
      <c r="AT1336" s="9"/>
      <c r="AU1336" s="9"/>
    </row>
    <row r="1337" spans="1:47" ht="15.75" customHeight="1">
      <c r="A1337" s="9"/>
      <c r="B1337" s="9"/>
      <c r="C1337" s="9"/>
      <c r="D1337" s="9"/>
      <c r="E1337" s="9"/>
      <c r="F1337" s="67"/>
      <c r="G1337" s="9"/>
      <c r="H1337" s="9"/>
      <c r="I1337" s="9"/>
      <c r="J1337" s="9"/>
      <c r="K1337" s="9"/>
      <c r="L1337" s="9"/>
      <c r="M1337" s="9"/>
      <c r="N1337" s="9"/>
      <c r="O1337" s="9"/>
      <c r="P1337" s="9"/>
      <c r="Q1337" s="9"/>
      <c r="R1337" s="9"/>
      <c r="S1337" s="9"/>
      <c r="T1337" s="9"/>
      <c r="U1337" s="9"/>
      <c r="V1337" s="9"/>
      <c r="W1337" s="9"/>
      <c r="X1337" s="9"/>
      <c r="Y1337" s="9"/>
      <c r="Z1337" s="9"/>
      <c r="AA1337" s="9"/>
      <c r="AB1337" s="9"/>
      <c r="AC1337" s="9"/>
      <c r="AD1337" s="9"/>
      <c r="AE1337" s="9"/>
      <c r="AF1337" s="9"/>
      <c r="AG1337" s="9"/>
      <c r="AH1337" s="9"/>
      <c r="AI1337" s="9"/>
      <c r="AJ1337" s="9"/>
      <c r="AK1337" s="9"/>
      <c r="AL1337" s="9"/>
      <c r="AM1337" s="9"/>
      <c r="AN1337" s="9"/>
      <c r="AO1337" s="9"/>
      <c r="AP1337" s="9"/>
      <c r="AQ1337" s="9"/>
      <c r="AR1337" s="9"/>
      <c r="AS1337" s="9"/>
      <c r="AT1337" s="9"/>
      <c r="AU1337" s="9"/>
    </row>
    <row r="1338" spans="1:47" ht="15.75" customHeight="1">
      <c r="A1338" s="9"/>
      <c r="B1338" s="9"/>
      <c r="C1338" s="9"/>
      <c r="D1338" s="9"/>
      <c r="E1338" s="9"/>
      <c r="F1338" s="67"/>
      <c r="G1338" s="9"/>
      <c r="H1338" s="9"/>
      <c r="I1338" s="9"/>
      <c r="J1338" s="9"/>
      <c r="K1338" s="9"/>
      <c r="L1338" s="9"/>
      <c r="M1338" s="9"/>
      <c r="N1338" s="9"/>
      <c r="O1338" s="9"/>
      <c r="P1338" s="9"/>
      <c r="Q1338" s="9"/>
      <c r="R1338" s="9"/>
      <c r="S1338" s="9"/>
      <c r="T1338" s="9"/>
      <c r="U1338" s="9"/>
      <c r="V1338" s="9"/>
      <c r="W1338" s="9"/>
      <c r="X1338" s="9"/>
      <c r="Y1338" s="9"/>
      <c r="Z1338" s="9"/>
      <c r="AA1338" s="9"/>
      <c r="AB1338" s="9"/>
      <c r="AC1338" s="9"/>
      <c r="AD1338" s="9"/>
      <c r="AE1338" s="9"/>
      <c r="AF1338" s="9"/>
      <c r="AG1338" s="9"/>
      <c r="AH1338" s="9"/>
      <c r="AI1338" s="9"/>
      <c r="AJ1338" s="9"/>
      <c r="AK1338" s="9"/>
      <c r="AL1338" s="9"/>
      <c r="AM1338" s="9"/>
      <c r="AN1338" s="9"/>
      <c r="AO1338" s="9"/>
      <c r="AP1338" s="9"/>
      <c r="AQ1338" s="9"/>
      <c r="AR1338" s="9"/>
      <c r="AS1338" s="9"/>
      <c r="AT1338" s="9"/>
      <c r="AU1338" s="9"/>
    </row>
    <row r="1339" spans="1:47" ht="15.75" customHeight="1">
      <c r="A1339" s="9"/>
      <c r="B1339" s="9"/>
      <c r="C1339" s="9"/>
      <c r="D1339" s="9"/>
      <c r="E1339" s="9"/>
      <c r="F1339" s="67"/>
      <c r="G1339" s="9"/>
      <c r="H1339" s="9"/>
      <c r="I1339" s="9"/>
      <c r="J1339" s="9"/>
      <c r="K1339" s="9"/>
      <c r="L1339" s="9"/>
      <c r="M1339" s="9"/>
      <c r="N1339" s="9"/>
      <c r="O1339" s="9"/>
      <c r="P1339" s="9"/>
      <c r="Q1339" s="9"/>
      <c r="R1339" s="9"/>
      <c r="S1339" s="9"/>
      <c r="T1339" s="9"/>
      <c r="U1339" s="9"/>
      <c r="V1339" s="9"/>
      <c r="W1339" s="9"/>
      <c r="X1339" s="9"/>
      <c r="Y1339" s="9"/>
      <c r="Z1339" s="9"/>
      <c r="AA1339" s="9"/>
      <c r="AB1339" s="9"/>
      <c r="AC1339" s="9"/>
      <c r="AD1339" s="9"/>
      <c r="AE1339" s="9"/>
      <c r="AF1339" s="9"/>
      <c r="AG1339" s="9"/>
      <c r="AH1339" s="9"/>
      <c r="AI1339" s="9"/>
      <c r="AJ1339" s="9"/>
      <c r="AK1339" s="9"/>
      <c r="AL1339" s="9"/>
      <c r="AM1339" s="9"/>
      <c r="AN1339" s="9"/>
      <c r="AO1339" s="9"/>
      <c r="AP1339" s="9"/>
      <c r="AQ1339" s="9"/>
      <c r="AR1339" s="9"/>
      <c r="AS1339" s="9"/>
      <c r="AT1339" s="9"/>
      <c r="AU1339" s="9"/>
    </row>
    <row r="1340" spans="1:47" ht="15.75" customHeight="1">
      <c r="A1340" s="9"/>
      <c r="B1340" s="9"/>
      <c r="C1340" s="9"/>
      <c r="D1340" s="9"/>
      <c r="E1340" s="9"/>
      <c r="F1340" s="67"/>
      <c r="G1340" s="9"/>
      <c r="H1340" s="9"/>
      <c r="I1340" s="9"/>
      <c r="J1340" s="9"/>
      <c r="K1340" s="9"/>
      <c r="L1340" s="9"/>
      <c r="M1340" s="9"/>
      <c r="N1340" s="9"/>
      <c r="O1340" s="9"/>
      <c r="P1340" s="9"/>
      <c r="Q1340" s="9"/>
      <c r="R1340" s="9"/>
      <c r="S1340" s="9"/>
      <c r="T1340" s="9"/>
      <c r="U1340" s="9"/>
      <c r="V1340" s="9"/>
      <c r="W1340" s="9"/>
      <c r="X1340" s="9"/>
      <c r="Y1340" s="9"/>
      <c r="Z1340" s="9"/>
      <c r="AA1340" s="9"/>
      <c r="AB1340" s="9"/>
      <c r="AC1340" s="9"/>
      <c r="AD1340" s="9"/>
      <c r="AE1340" s="9"/>
      <c r="AF1340" s="9"/>
      <c r="AG1340" s="9"/>
      <c r="AH1340" s="9"/>
      <c r="AI1340" s="9"/>
      <c r="AJ1340" s="9"/>
      <c r="AK1340" s="9"/>
      <c r="AL1340" s="9"/>
      <c r="AM1340" s="9"/>
      <c r="AN1340" s="9"/>
      <c r="AO1340" s="9"/>
      <c r="AP1340" s="9"/>
      <c r="AQ1340" s="9"/>
      <c r="AR1340" s="9"/>
      <c r="AS1340" s="9"/>
      <c r="AT1340" s="9"/>
      <c r="AU1340" s="9"/>
    </row>
    <row r="1341" spans="1:47" ht="15.75" customHeight="1">
      <c r="A1341" s="9"/>
      <c r="B1341" s="9"/>
      <c r="C1341" s="9"/>
      <c r="D1341" s="9"/>
      <c r="E1341" s="9"/>
      <c r="F1341" s="67"/>
      <c r="G1341" s="9"/>
      <c r="H1341" s="9"/>
      <c r="I1341" s="9"/>
      <c r="J1341" s="9"/>
      <c r="K1341" s="9"/>
      <c r="L1341" s="9"/>
      <c r="M1341" s="9"/>
      <c r="N1341" s="9"/>
      <c r="O1341" s="9"/>
      <c r="P1341" s="9"/>
      <c r="Q1341" s="9"/>
      <c r="R1341" s="9"/>
      <c r="S1341" s="9"/>
      <c r="T1341" s="9"/>
      <c r="U1341" s="9"/>
      <c r="V1341" s="9"/>
      <c r="W1341" s="9"/>
      <c r="X1341" s="9"/>
      <c r="Y1341" s="9"/>
      <c r="Z1341" s="9"/>
      <c r="AA1341" s="9"/>
      <c r="AB1341" s="9"/>
      <c r="AC1341" s="9"/>
      <c r="AD1341" s="9"/>
      <c r="AE1341" s="9"/>
      <c r="AF1341" s="9"/>
      <c r="AG1341" s="9"/>
      <c r="AH1341" s="9"/>
      <c r="AI1341" s="9"/>
      <c r="AJ1341" s="9"/>
      <c r="AK1341" s="9"/>
      <c r="AL1341" s="9"/>
      <c r="AM1341" s="9"/>
      <c r="AN1341" s="9"/>
      <c r="AO1341" s="9"/>
      <c r="AP1341" s="9"/>
      <c r="AQ1341" s="9"/>
      <c r="AR1341" s="9"/>
      <c r="AS1341" s="9"/>
      <c r="AT1341" s="9"/>
      <c r="AU1341" s="9"/>
    </row>
    <row r="1342" spans="1:47" ht="15.75" customHeight="1">
      <c r="A1342" s="9"/>
      <c r="B1342" s="9"/>
      <c r="C1342" s="9"/>
      <c r="D1342" s="9"/>
      <c r="E1342" s="9"/>
      <c r="F1342" s="67"/>
      <c r="G1342" s="9"/>
      <c r="H1342" s="9"/>
      <c r="I1342" s="9"/>
      <c r="J1342" s="9"/>
      <c r="K1342" s="9"/>
      <c r="L1342" s="9"/>
      <c r="M1342" s="9"/>
      <c r="N1342" s="9"/>
      <c r="O1342" s="9"/>
      <c r="P1342" s="9"/>
      <c r="Q1342" s="9"/>
      <c r="R1342" s="9"/>
      <c r="S1342" s="9"/>
      <c r="T1342" s="9"/>
      <c r="U1342" s="9"/>
      <c r="V1342" s="9"/>
      <c r="W1342" s="9"/>
      <c r="X1342" s="9"/>
      <c r="Y1342" s="9"/>
      <c r="Z1342" s="9"/>
      <c r="AA1342" s="9"/>
      <c r="AB1342" s="9"/>
      <c r="AC1342" s="9"/>
      <c r="AD1342" s="9"/>
      <c r="AE1342" s="9"/>
      <c r="AF1342" s="9"/>
      <c r="AG1342" s="9"/>
      <c r="AH1342" s="9"/>
      <c r="AI1342" s="9"/>
      <c r="AJ1342" s="9"/>
      <c r="AK1342" s="9"/>
      <c r="AL1342" s="9"/>
      <c r="AM1342" s="9"/>
      <c r="AN1342" s="9"/>
      <c r="AO1342" s="9"/>
      <c r="AP1342" s="9"/>
      <c r="AQ1342" s="9"/>
      <c r="AR1342" s="9"/>
      <c r="AS1342" s="9"/>
      <c r="AT1342" s="9"/>
      <c r="AU1342" s="9"/>
    </row>
    <row r="1343" spans="1:47" ht="15.75" customHeight="1">
      <c r="A1343" s="9"/>
      <c r="B1343" s="9"/>
      <c r="C1343" s="9"/>
      <c r="D1343" s="9"/>
      <c r="E1343" s="9"/>
      <c r="F1343" s="67"/>
      <c r="G1343" s="9"/>
      <c r="H1343" s="9"/>
      <c r="I1343" s="9"/>
      <c r="J1343" s="9"/>
      <c r="K1343" s="9"/>
      <c r="L1343" s="9"/>
      <c r="M1343" s="9"/>
      <c r="N1343" s="9"/>
      <c r="O1343" s="9"/>
      <c r="P1343" s="9"/>
      <c r="Q1343" s="9"/>
      <c r="R1343" s="9"/>
      <c r="S1343" s="9"/>
      <c r="T1343" s="9"/>
      <c r="U1343" s="9"/>
      <c r="V1343" s="9"/>
      <c r="W1343" s="9"/>
      <c r="X1343" s="9"/>
      <c r="Y1343" s="9"/>
      <c r="Z1343" s="9"/>
      <c r="AA1343" s="9"/>
      <c r="AB1343" s="9"/>
      <c r="AC1343" s="9"/>
      <c r="AD1343" s="9"/>
      <c r="AE1343" s="9"/>
      <c r="AF1343" s="9"/>
      <c r="AG1343" s="9"/>
      <c r="AH1343" s="9"/>
      <c r="AI1343" s="9"/>
      <c r="AJ1343" s="9"/>
      <c r="AK1343" s="9"/>
      <c r="AL1343" s="9"/>
      <c r="AM1343" s="9"/>
      <c r="AN1343" s="9"/>
      <c r="AO1343" s="9"/>
      <c r="AP1343" s="9"/>
      <c r="AQ1343" s="9"/>
      <c r="AR1343" s="9"/>
      <c r="AS1343" s="9"/>
      <c r="AT1343" s="9"/>
      <c r="AU1343" s="9"/>
    </row>
    <row r="1344" spans="1:47" ht="15.75" customHeight="1">
      <c r="A1344" s="9"/>
      <c r="B1344" s="9"/>
      <c r="C1344" s="9"/>
      <c r="D1344" s="9"/>
      <c r="E1344" s="9"/>
      <c r="F1344" s="67"/>
      <c r="G1344" s="9"/>
      <c r="H1344" s="9"/>
      <c r="I1344" s="9"/>
      <c r="J1344" s="9"/>
      <c r="K1344" s="9"/>
      <c r="L1344" s="9"/>
      <c r="M1344" s="9"/>
      <c r="N1344" s="9"/>
      <c r="O1344" s="9"/>
      <c r="P1344" s="9"/>
      <c r="Q1344" s="9"/>
      <c r="R1344" s="9"/>
      <c r="S1344" s="9"/>
      <c r="T1344" s="9"/>
      <c r="U1344" s="9"/>
      <c r="V1344" s="9"/>
      <c r="W1344" s="9"/>
      <c r="X1344" s="9"/>
      <c r="Y1344" s="9"/>
      <c r="Z1344" s="9"/>
      <c r="AA1344" s="9"/>
      <c r="AB1344" s="9"/>
      <c r="AC1344" s="9"/>
      <c r="AD1344" s="9"/>
      <c r="AE1344" s="9"/>
      <c r="AF1344" s="9"/>
      <c r="AG1344" s="9"/>
      <c r="AH1344" s="9"/>
      <c r="AI1344" s="9"/>
      <c r="AJ1344" s="9"/>
      <c r="AK1344" s="9"/>
      <c r="AL1344" s="9"/>
      <c r="AM1344" s="9"/>
      <c r="AN1344" s="9"/>
      <c r="AO1344" s="9"/>
      <c r="AP1344" s="9"/>
      <c r="AQ1344" s="9"/>
      <c r="AR1344" s="9"/>
      <c r="AS1344" s="9"/>
      <c r="AT1344" s="9"/>
      <c r="AU1344" s="9"/>
    </row>
    <row r="1345" spans="1:47" ht="15.75" customHeight="1">
      <c r="A1345" s="9"/>
      <c r="B1345" s="9"/>
      <c r="C1345" s="9"/>
      <c r="D1345" s="9"/>
      <c r="E1345" s="9"/>
      <c r="F1345" s="67"/>
      <c r="G1345" s="9"/>
      <c r="H1345" s="9"/>
      <c r="I1345" s="9"/>
      <c r="J1345" s="9"/>
      <c r="K1345" s="9"/>
      <c r="L1345" s="9"/>
      <c r="M1345" s="9"/>
      <c r="N1345" s="9"/>
      <c r="O1345" s="9"/>
      <c r="P1345" s="9"/>
      <c r="Q1345" s="9"/>
      <c r="R1345" s="9"/>
      <c r="S1345" s="9"/>
      <c r="T1345" s="9"/>
      <c r="U1345" s="9"/>
      <c r="V1345" s="9"/>
      <c r="W1345" s="9"/>
      <c r="X1345" s="9"/>
      <c r="Y1345" s="9"/>
      <c r="Z1345" s="9"/>
      <c r="AA1345" s="9"/>
      <c r="AB1345" s="9"/>
      <c r="AC1345" s="9"/>
      <c r="AD1345" s="9"/>
      <c r="AE1345" s="9"/>
      <c r="AF1345" s="9"/>
      <c r="AG1345" s="9"/>
      <c r="AH1345" s="9"/>
      <c r="AI1345" s="9"/>
      <c r="AJ1345" s="9"/>
      <c r="AK1345" s="9"/>
      <c r="AL1345" s="9"/>
      <c r="AM1345" s="9"/>
      <c r="AN1345" s="9"/>
      <c r="AO1345" s="9"/>
      <c r="AP1345" s="9"/>
      <c r="AQ1345" s="9"/>
      <c r="AR1345" s="9"/>
      <c r="AS1345" s="9"/>
      <c r="AT1345" s="9"/>
      <c r="AU1345" s="9"/>
    </row>
    <row r="1346" spans="1:47" ht="15.75" customHeight="1">
      <c r="A1346" s="9"/>
      <c r="B1346" s="9"/>
      <c r="C1346" s="9"/>
      <c r="D1346" s="9"/>
      <c r="E1346" s="9"/>
      <c r="F1346" s="67"/>
      <c r="G1346" s="9"/>
      <c r="H1346" s="9"/>
      <c r="I1346" s="9"/>
      <c r="J1346" s="9"/>
      <c r="K1346" s="9"/>
      <c r="L1346" s="9"/>
      <c r="M1346" s="9"/>
      <c r="N1346" s="9"/>
      <c r="O1346" s="9"/>
      <c r="P1346" s="9"/>
      <c r="Q1346" s="9"/>
      <c r="R1346" s="9"/>
      <c r="S1346" s="9"/>
      <c r="T1346" s="9"/>
      <c r="U1346" s="9"/>
      <c r="V1346" s="9"/>
      <c r="W1346" s="9"/>
      <c r="X1346" s="9"/>
      <c r="Y1346" s="9"/>
      <c r="Z1346" s="9"/>
      <c r="AA1346" s="9"/>
      <c r="AB1346" s="9"/>
      <c r="AC1346" s="9"/>
      <c r="AD1346" s="9"/>
      <c r="AE1346" s="9"/>
      <c r="AF1346" s="9"/>
      <c r="AG1346" s="9"/>
      <c r="AH1346" s="9"/>
      <c r="AI1346" s="9"/>
      <c r="AJ1346" s="9"/>
      <c r="AK1346" s="9"/>
      <c r="AL1346" s="9"/>
      <c r="AM1346" s="9"/>
      <c r="AN1346" s="9"/>
      <c r="AO1346" s="9"/>
      <c r="AP1346" s="9"/>
      <c r="AQ1346" s="9"/>
      <c r="AR1346" s="9"/>
      <c r="AS1346" s="9"/>
      <c r="AT1346" s="9"/>
      <c r="AU1346" s="9"/>
    </row>
    <row r="1347" spans="1:47" ht="15.75" customHeight="1">
      <c r="A1347" s="9"/>
      <c r="B1347" s="9"/>
      <c r="C1347" s="9"/>
      <c r="D1347" s="9"/>
      <c r="E1347" s="9"/>
      <c r="F1347" s="67"/>
      <c r="G1347" s="9"/>
      <c r="H1347" s="9"/>
      <c r="I1347" s="9"/>
      <c r="J1347" s="9"/>
      <c r="K1347" s="9"/>
      <c r="L1347" s="9"/>
      <c r="M1347" s="9"/>
      <c r="N1347" s="9"/>
      <c r="O1347" s="9"/>
      <c r="P1347" s="9"/>
      <c r="Q1347" s="9"/>
      <c r="R1347" s="9"/>
      <c r="S1347" s="9"/>
      <c r="T1347" s="9"/>
      <c r="U1347" s="9"/>
      <c r="V1347" s="9"/>
      <c r="W1347" s="9"/>
      <c r="X1347" s="9"/>
      <c r="Y1347" s="9"/>
      <c r="Z1347" s="9"/>
      <c r="AA1347" s="9"/>
      <c r="AB1347" s="9"/>
      <c r="AC1347" s="9"/>
      <c r="AD1347" s="9"/>
      <c r="AE1347" s="9"/>
      <c r="AF1347" s="9"/>
      <c r="AG1347" s="9"/>
      <c r="AH1347" s="9"/>
      <c r="AI1347" s="9"/>
      <c r="AJ1347" s="9"/>
      <c r="AK1347" s="9"/>
      <c r="AL1347" s="9"/>
      <c r="AM1347" s="9"/>
      <c r="AN1347" s="9"/>
      <c r="AO1347" s="9"/>
      <c r="AP1347" s="9"/>
      <c r="AQ1347" s="9"/>
      <c r="AR1347" s="9"/>
      <c r="AS1347" s="9"/>
      <c r="AT1347" s="9"/>
      <c r="AU1347" s="9"/>
    </row>
    <row r="1348" spans="1:47" ht="15.75" customHeight="1">
      <c r="A1348" s="9"/>
      <c r="B1348" s="9"/>
      <c r="C1348" s="9"/>
      <c r="D1348" s="9"/>
      <c r="E1348" s="9"/>
      <c r="F1348" s="67"/>
      <c r="G1348" s="9"/>
      <c r="H1348" s="9"/>
      <c r="I1348" s="9"/>
      <c r="J1348" s="9"/>
      <c r="K1348" s="9"/>
      <c r="L1348" s="9"/>
      <c r="M1348" s="9"/>
      <c r="N1348" s="9"/>
      <c r="O1348" s="9"/>
      <c r="P1348" s="9"/>
      <c r="Q1348" s="9"/>
      <c r="R1348" s="9"/>
      <c r="S1348" s="9"/>
      <c r="T1348" s="9"/>
      <c r="U1348" s="9"/>
      <c r="V1348" s="9"/>
      <c r="W1348" s="9"/>
      <c r="X1348" s="9"/>
      <c r="Y1348" s="9"/>
      <c r="Z1348" s="9"/>
      <c r="AA1348" s="9"/>
      <c r="AB1348" s="9"/>
      <c r="AC1348" s="9"/>
      <c r="AD1348" s="9"/>
      <c r="AE1348" s="9"/>
      <c r="AF1348" s="9"/>
      <c r="AG1348" s="9"/>
      <c r="AH1348" s="9"/>
      <c r="AI1348" s="9"/>
      <c r="AJ1348" s="9"/>
      <c r="AK1348" s="9"/>
      <c r="AL1348" s="9"/>
      <c r="AM1348" s="9"/>
      <c r="AN1348" s="9"/>
      <c r="AO1348" s="9"/>
      <c r="AP1348" s="9"/>
      <c r="AQ1348" s="9"/>
      <c r="AR1348" s="9"/>
      <c r="AS1348" s="9"/>
      <c r="AT1348" s="9"/>
      <c r="AU1348" s="9"/>
    </row>
    <row r="1349" spans="1:47" ht="15.75" customHeight="1">
      <c r="A1349" s="9"/>
      <c r="B1349" s="9"/>
      <c r="C1349" s="9"/>
      <c r="D1349" s="9"/>
      <c r="E1349" s="9"/>
      <c r="F1349" s="67"/>
      <c r="G1349" s="9"/>
      <c r="H1349" s="9"/>
      <c r="I1349" s="9"/>
      <c r="J1349" s="9"/>
      <c r="K1349" s="9"/>
      <c r="L1349" s="9"/>
      <c r="M1349" s="9"/>
      <c r="N1349" s="9"/>
      <c r="O1349" s="9"/>
      <c r="P1349" s="9"/>
      <c r="Q1349" s="9"/>
      <c r="R1349" s="9"/>
      <c r="S1349" s="9"/>
      <c r="T1349" s="9"/>
      <c r="U1349" s="9"/>
      <c r="V1349" s="9"/>
      <c r="W1349" s="9"/>
      <c r="X1349" s="9"/>
      <c r="Y1349" s="9"/>
      <c r="Z1349" s="9"/>
      <c r="AA1349" s="9"/>
      <c r="AB1349" s="9"/>
      <c r="AC1349" s="9"/>
      <c r="AD1349" s="9"/>
      <c r="AE1349" s="9"/>
      <c r="AF1349" s="9"/>
      <c r="AG1349" s="9"/>
      <c r="AH1349" s="9"/>
      <c r="AI1349" s="9"/>
      <c r="AJ1349" s="9"/>
      <c r="AK1349" s="9"/>
      <c r="AL1349" s="9"/>
      <c r="AM1349" s="9"/>
      <c r="AN1349" s="9"/>
      <c r="AO1349" s="9"/>
      <c r="AP1349" s="9"/>
      <c r="AQ1349" s="9"/>
      <c r="AR1349" s="9"/>
      <c r="AS1349" s="9"/>
      <c r="AT1349" s="9"/>
      <c r="AU1349" s="9"/>
    </row>
    <row r="1350" spans="1:47" ht="15.75" customHeight="1">
      <c r="A1350" s="9"/>
      <c r="B1350" s="9"/>
      <c r="C1350" s="9"/>
      <c r="D1350" s="9"/>
      <c r="E1350" s="9"/>
      <c r="F1350" s="67"/>
      <c r="G1350" s="9"/>
      <c r="H1350" s="9"/>
      <c r="I1350" s="9"/>
      <c r="J1350" s="9"/>
      <c r="K1350" s="9"/>
      <c r="L1350" s="9"/>
      <c r="M1350" s="9"/>
      <c r="N1350" s="9"/>
      <c r="O1350" s="9"/>
      <c r="P1350" s="9"/>
      <c r="Q1350" s="9"/>
      <c r="R1350" s="9"/>
      <c r="S1350" s="9"/>
      <c r="T1350" s="9"/>
      <c r="U1350" s="9"/>
      <c r="V1350" s="9"/>
      <c r="W1350" s="9"/>
      <c r="X1350" s="9"/>
      <c r="Y1350" s="9"/>
      <c r="Z1350" s="9"/>
      <c r="AA1350" s="9"/>
      <c r="AB1350" s="9"/>
      <c r="AC1350" s="9"/>
      <c r="AD1350" s="9"/>
      <c r="AE1350" s="9"/>
      <c r="AF1350" s="9"/>
      <c r="AG1350" s="9"/>
      <c r="AH1350" s="9"/>
      <c r="AI1350" s="9"/>
      <c r="AJ1350" s="9"/>
      <c r="AK1350" s="9"/>
      <c r="AL1350" s="9"/>
      <c r="AM1350" s="9"/>
      <c r="AN1350" s="9"/>
      <c r="AO1350" s="9"/>
      <c r="AP1350" s="9"/>
      <c r="AQ1350" s="9"/>
      <c r="AR1350" s="9"/>
      <c r="AS1350" s="9"/>
      <c r="AT1350" s="9"/>
      <c r="AU1350" s="9"/>
    </row>
    <row r="1351" spans="1:47" ht="15.75" customHeight="1">
      <c r="A1351" s="9"/>
      <c r="B1351" s="9"/>
      <c r="C1351" s="9"/>
      <c r="D1351" s="9"/>
      <c r="E1351" s="9"/>
      <c r="F1351" s="67"/>
      <c r="G1351" s="9"/>
      <c r="H1351" s="9"/>
      <c r="I1351" s="9"/>
      <c r="J1351" s="9"/>
      <c r="K1351" s="9"/>
      <c r="L1351" s="9"/>
      <c r="M1351" s="9"/>
      <c r="N1351" s="9"/>
      <c r="O1351" s="9"/>
      <c r="P1351" s="9"/>
      <c r="Q1351" s="9"/>
      <c r="R1351" s="9"/>
      <c r="S1351" s="9"/>
      <c r="T1351" s="9"/>
      <c r="U1351" s="9"/>
      <c r="V1351" s="9"/>
      <c r="W1351" s="9"/>
      <c r="X1351" s="9"/>
      <c r="Y1351" s="9"/>
      <c r="Z1351" s="9"/>
      <c r="AA1351" s="9"/>
      <c r="AB1351" s="9"/>
      <c r="AC1351" s="9"/>
      <c r="AD1351" s="9"/>
      <c r="AE1351" s="9"/>
      <c r="AF1351" s="9"/>
      <c r="AG1351" s="9"/>
      <c r="AH1351" s="9"/>
      <c r="AI1351" s="9"/>
      <c r="AJ1351" s="9"/>
      <c r="AK1351" s="9"/>
      <c r="AL1351" s="9"/>
      <c r="AM1351" s="9"/>
      <c r="AN1351" s="9"/>
      <c r="AO1351" s="9"/>
      <c r="AP1351" s="9"/>
      <c r="AQ1351" s="9"/>
      <c r="AR1351" s="9"/>
      <c r="AS1351" s="9"/>
      <c r="AT1351" s="9"/>
      <c r="AU1351" s="9"/>
    </row>
    <row r="1352" spans="1:47" ht="15.75" customHeight="1">
      <c r="A1352" s="9"/>
      <c r="B1352" s="9"/>
      <c r="C1352" s="9"/>
      <c r="D1352" s="9"/>
      <c r="E1352" s="9"/>
      <c r="F1352" s="67"/>
      <c r="G1352" s="9"/>
      <c r="H1352" s="9"/>
      <c r="I1352" s="9"/>
      <c r="J1352" s="9"/>
      <c r="K1352" s="9"/>
      <c r="L1352" s="9"/>
      <c r="M1352" s="9"/>
      <c r="N1352" s="9"/>
      <c r="O1352" s="9"/>
      <c r="P1352" s="9"/>
      <c r="Q1352" s="9"/>
      <c r="R1352" s="9"/>
      <c r="S1352" s="9"/>
      <c r="T1352" s="9"/>
      <c r="U1352" s="9"/>
      <c r="V1352" s="9"/>
      <c r="W1352" s="9"/>
      <c r="X1352" s="9"/>
      <c r="Y1352" s="9"/>
      <c r="Z1352" s="9"/>
      <c r="AA1352" s="9"/>
      <c r="AB1352" s="9"/>
      <c r="AC1352" s="9"/>
      <c r="AD1352" s="9"/>
      <c r="AE1352" s="9"/>
      <c r="AF1352" s="9"/>
      <c r="AG1352" s="9"/>
      <c r="AH1352" s="9"/>
      <c r="AI1352" s="9"/>
      <c r="AJ1352" s="9"/>
      <c r="AK1352" s="9"/>
      <c r="AL1352" s="9"/>
      <c r="AM1352" s="9"/>
      <c r="AN1352" s="9"/>
      <c r="AO1352" s="9"/>
      <c r="AP1352" s="9"/>
      <c r="AQ1352" s="9"/>
      <c r="AR1352" s="9"/>
      <c r="AS1352" s="9"/>
      <c r="AT1352" s="9"/>
      <c r="AU1352" s="9"/>
    </row>
    <row r="1353" spans="1:47" ht="15.75" customHeight="1">
      <c r="A1353" s="9"/>
      <c r="B1353" s="9"/>
      <c r="C1353" s="9"/>
      <c r="D1353" s="9"/>
      <c r="E1353" s="9"/>
      <c r="F1353" s="67"/>
      <c r="G1353" s="9"/>
      <c r="H1353" s="9"/>
      <c r="I1353" s="9"/>
      <c r="J1353" s="9"/>
      <c r="K1353" s="9"/>
      <c r="L1353" s="9"/>
      <c r="M1353" s="9"/>
      <c r="N1353" s="9"/>
      <c r="O1353" s="9"/>
      <c r="P1353" s="9"/>
      <c r="Q1353" s="9"/>
      <c r="R1353" s="9"/>
      <c r="S1353" s="9"/>
      <c r="T1353" s="9"/>
      <c r="U1353" s="9"/>
      <c r="V1353" s="9"/>
      <c r="W1353" s="9"/>
      <c r="X1353" s="9"/>
      <c r="Y1353" s="9"/>
      <c r="Z1353" s="9"/>
      <c r="AA1353" s="9"/>
      <c r="AB1353" s="9"/>
      <c r="AC1353" s="9"/>
      <c r="AD1353" s="9"/>
      <c r="AE1353" s="9"/>
      <c r="AF1353" s="9"/>
      <c r="AG1353" s="9"/>
      <c r="AH1353" s="9"/>
      <c r="AI1353" s="9"/>
      <c r="AJ1353" s="9"/>
      <c r="AK1353" s="9"/>
      <c r="AL1353" s="9"/>
      <c r="AM1353" s="9"/>
      <c r="AN1353" s="9"/>
      <c r="AO1353" s="9"/>
      <c r="AP1353" s="9"/>
      <c r="AQ1353" s="9"/>
      <c r="AR1353" s="9"/>
      <c r="AS1353" s="9"/>
      <c r="AT1353" s="9"/>
      <c r="AU1353" s="9"/>
    </row>
    <row r="1354" spans="1:47" ht="15.75" customHeight="1">
      <c r="A1354" s="9"/>
      <c r="B1354" s="9"/>
      <c r="C1354" s="9"/>
      <c r="D1354" s="9"/>
      <c r="E1354" s="9"/>
      <c r="F1354" s="67"/>
      <c r="G1354" s="9"/>
      <c r="H1354" s="9"/>
      <c r="I1354" s="9"/>
      <c r="J1354" s="9"/>
      <c r="K1354" s="9"/>
      <c r="L1354" s="9"/>
      <c r="M1354" s="9"/>
      <c r="N1354" s="9"/>
      <c r="O1354" s="9"/>
      <c r="P1354" s="9"/>
      <c r="Q1354" s="9"/>
      <c r="R1354" s="9"/>
      <c r="S1354" s="9"/>
      <c r="T1354" s="9"/>
      <c r="U1354" s="9"/>
      <c r="V1354" s="9"/>
      <c r="W1354" s="9"/>
      <c r="X1354" s="9"/>
      <c r="Y1354" s="9"/>
      <c r="Z1354" s="9"/>
      <c r="AA1354" s="9"/>
      <c r="AB1354" s="9"/>
      <c r="AC1354" s="9"/>
      <c r="AD1354" s="9"/>
      <c r="AE1354" s="9"/>
      <c r="AF1354" s="9"/>
      <c r="AG1354" s="9"/>
      <c r="AH1354" s="9"/>
      <c r="AI1354" s="9"/>
      <c r="AJ1354" s="9"/>
      <c r="AK1354" s="9"/>
      <c r="AL1354" s="9"/>
      <c r="AM1354" s="9"/>
      <c r="AN1354" s="9"/>
      <c r="AO1354" s="9"/>
      <c r="AP1354" s="9"/>
      <c r="AQ1354" s="9"/>
      <c r="AR1354" s="9"/>
      <c r="AS1354" s="9"/>
      <c r="AT1354" s="9"/>
      <c r="AU1354" s="9"/>
    </row>
    <row r="1355" spans="1:47" ht="15.75" customHeight="1">
      <c r="A1355" s="9"/>
      <c r="B1355" s="9"/>
      <c r="C1355" s="9"/>
      <c r="D1355" s="9"/>
      <c r="E1355" s="9"/>
      <c r="F1355" s="67"/>
      <c r="G1355" s="9"/>
      <c r="H1355" s="9"/>
      <c r="I1355" s="9"/>
      <c r="J1355" s="9"/>
      <c r="K1355" s="9"/>
      <c r="L1355" s="9"/>
      <c r="M1355" s="9"/>
      <c r="N1355" s="9"/>
      <c r="O1355" s="9"/>
      <c r="P1355" s="9"/>
      <c r="Q1355" s="9"/>
      <c r="R1355" s="9"/>
      <c r="S1355" s="9"/>
      <c r="T1355" s="9"/>
      <c r="U1355" s="9"/>
      <c r="V1355" s="9"/>
      <c r="W1355" s="9"/>
      <c r="X1355" s="9"/>
      <c r="Y1355" s="9"/>
      <c r="Z1355" s="9"/>
      <c r="AA1355" s="9"/>
      <c r="AB1355" s="9"/>
      <c r="AC1355" s="9"/>
      <c r="AD1355" s="9"/>
      <c r="AE1355" s="9"/>
      <c r="AF1355" s="9"/>
      <c r="AG1355" s="9"/>
      <c r="AH1355" s="9"/>
      <c r="AI1355" s="9"/>
      <c r="AJ1355" s="9"/>
      <c r="AK1355" s="9"/>
      <c r="AL1355" s="9"/>
      <c r="AM1355" s="9"/>
      <c r="AN1355" s="9"/>
      <c r="AO1355" s="9"/>
      <c r="AP1355" s="9"/>
      <c r="AQ1355" s="9"/>
      <c r="AR1355" s="9"/>
      <c r="AS1355" s="9"/>
      <c r="AT1355" s="9"/>
      <c r="AU1355" s="9"/>
    </row>
    <row r="1356" spans="1:47" ht="15.75" customHeight="1">
      <c r="A1356" s="9"/>
      <c r="B1356" s="9"/>
      <c r="C1356" s="9"/>
      <c r="D1356" s="9"/>
      <c r="E1356" s="9"/>
      <c r="F1356" s="67"/>
      <c r="G1356" s="9"/>
      <c r="H1356" s="9"/>
      <c r="I1356" s="9"/>
      <c r="J1356" s="9"/>
      <c r="K1356" s="9"/>
      <c r="L1356" s="9"/>
      <c r="M1356" s="9"/>
      <c r="N1356" s="9"/>
      <c r="O1356" s="9"/>
      <c r="P1356" s="9"/>
      <c r="Q1356" s="9"/>
      <c r="R1356" s="9"/>
      <c r="S1356" s="9"/>
      <c r="T1356" s="9"/>
      <c r="U1356" s="9"/>
      <c r="V1356" s="9"/>
      <c r="W1356" s="9"/>
      <c r="X1356" s="9"/>
      <c r="Y1356" s="9"/>
      <c r="Z1356" s="9"/>
      <c r="AA1356" s="9"/>
      <c r="AB1356" s="9"/>
      <c r="AC1356" s="9"/>
      <c r="AD1356" s="9"/>
      <c r="AE1356" s="9"/>
      <c r="AF1356" s="9"/>
      <c r="AG1356" s="9"/>
      <c r="AH1356" s="9"/>
      <c r="AI1356" s="9"/>
      <c r="AJ1356" s="9"/>
      <c r="AK1356" s="9"/>
      <c r="AL1356" s="9"/>
      <c r="AM1356" s="9"/>
      <c r="AN1356" s="9"/>
      <c r="AO1356" s="9"/>
      <c r="AP1356" s="9"/>
      <c r="AQ1356" s="9"/>
      <c r="AR1356" s="9"/>
      <c r="AS1356" s="9"/>
      <c r="AT1356" s="9"/>
      <c r="AU1356" s="9"/>
    </row>
    <row r="1357" spans="1:47" ht="15.75" customHeight="1">
      <c r="A1357" s="9"/>
      <c r="B1357" s="9"/>
      <c r="C1357" s="9"/>
      <c r="D1357" s="9"/>
      <c r="E1357" s="9"/>
      <c r="F1357" s="67"/>
      <c r="G1357" s="9"/>
      <c r="H1357" s="9"/>
      <c r="I1357" s="9"/>
      <c r="J1357" s="9"/>
      <c r="K1357" s="9"/>
      <c r="L1357" s="9"/>
      <c r="M1357" s="9"/>
      <c r="N1357" s="9"/>
      <c r="O1357" s="9"/>
      <c r="P1357" s="9"/>
      <c r="Q1357" s="9"/>
      <c r="R1357" s="9"/>
      <c r="S1357" s="9"/>
      <c r="T1357" s="9"/>
      <c r="U1357" s="9"/>
      <c r="V1357" s="9"/>
      <c r="W1357" s="9"/>
      <c r="X1357" s="9"/>
      <c r="Y1357" s="9"/>
      <c r="Z1357" s="9"/>
      <c r="AA1357" s="9"/>
      <c r="AB1357" s="9"/>
      <c r="AC1357" s="9"/>
      <c r="AD1357" s="9"/>
      <c r="AE1357" s="9"/>
      <c r="AF1357" s="9"/>
      <c r="AG1357" s="9"/>
      <c r="AH1357" s="9"/>
      <c r="AI1357" s="9"/>
      <c r="AJ1357" s="9"/>
      <c r="AK1357" s="9"/>
      <c r="AL1357" s="9"/>
      <c r="AM1357" s="9"/>
      <c r="AN1357" s="9"/>
      <c r="AO1357" s="9"/>
      <c r="AP1357" s="9"/>
      <c r="AQ1357" s="9"/>
      <c r="AR1357" s="9"/>
      <c r="AS1357" s="9"/>
      <c r="AT1357" s="9"/>
      <c r="AU1357" s="9"/>
    </row>
    <row r="1358" spans="1:47" ht="15.75" customHeight="1">
      <c r="A1358" s="9"/>
      <c r="B1358" s="9"/>
      <c r="C1358" s="9"/>
      <c r="D1358" s="9"/>
      <c r="E1358" s="9"/>
      <c r="F1358" s="67"/>
      <c r="G1358" s="9"/>
      <c r="H1358" s="9"/>
      <c r="I1358" s="9"/>
      <c r="J1358" s="9"/>
      <c r="K1358" s="9"/>
      <c r="L1358" s="9"/>
      <c r="M1358" s="9"/>
      <c r="N1358" s="9"/>
      <c r="O1358" s="9"/>
      <c r="P1358" s="9"/>
      <c r="Q1358" s="9"/>
      <c r="R1358" s="9"/>
      <c r="S1358" s="9"/>
      <c r="T1358" s="9"/>
      <c r="U1358" s="9"/>
      <c r="V1358" s="9"/>
      <c r="W1358" s="9"/>
      <c r="X1358" s="9"/>
      <c r="Y1358" s="9"/>
      <c r="Z1358" s="9"/>
      <c r="AA1358" s="9"/>
      <c r="AB1358" s="9"/>
      <c r="AC1358" s="9"/>
      <c r="AD1358" s="9"/>
      <c r="AE1358" s="9"/>
      <c r="AF1358" s="9"/>
      <c r="AG1358" s="9"/>
      <c r="AH1358" s="9"/>
      <c r="AI1358" s="9"/>
      <c r="AJ1358" s="9"/>
      <c r="AK1358" s="9"/>
      <c r="AL1358" s="9"/>
      <c r="AM1358" s="9"/>
      <c r="AN1358" s="9"/>
      <c r="AO1358" s="9"/>
      <c r="AP1358" s="9"/>
      <c r="AQ1358" s="9"/>
      <c r="AR1358" s="9"/>
      <c r="AS1358" s="9"/>
      <c r="AT1358" s="9"/>
      <c r="AU1358" s="9"/>
    </row>
    <row r="1359" spans="1:47" ht="15.75" customHeight="1">
      <c r="A1359" s="9"/>
      <c r="B1359" s="9"/>
      <c r="C1359" s="9"/>
      <c r="D1359" s="9"/>
      <c r="E1359" s="9"/>
      <c r="F1359" s="67"/>
      <c r="G1359" s="9"/>
      <c r="H1359" s="9"/>
      <c r="I1359" s="9"/>
      <c r="J1359" s="9"/>
      <c r="K1359" s="9"/>
      <c r="L1359" s="9"/>
      <c r="M1359" s="9"/>
      <c r="N1359" s="9"/>
      <c r="O1359" s="9"/>
      <c r="P1359" s="9"/>
      <c r="Q1359" s="9"/>
      <c r="R1359" s="9"/>
      <c r="S1359" s="9"/>
      <c r="T1359" s="9"/>
      <c r="U1359" s="9"/>
      <c r="V1359" s="9"/>
      <c r="W1359" s="9"/>
      <c r="X1359" s="9"/>
      <c r="Y1359" s="9"/>
      <c r="Z1359" s="9"/>
      <c r="AA1359" s="9"/>
      <c r="AB1359" s="9"/>
      <c r="AC1359" s="9"/>
      <c r="AD1359" s="9"/>
      <c r="AE1359" s="9"/>
      <c r="AF1359" s="9"/>
      <c r="AG1359" s="9"/>
      <c r="AH1359" s="9"/>
      <c r="AI1359" s="9"/>
      <c r="AJ1359" s="9"/>
      <c r="AK1359" s="9"/>
      <c r="AL1359" s="9"/>
      <c r="AM1359" s="9"/>
      <c r="AN1359" s="9"/>
      <c r="AO1359" s="9"/>
      <c r="AP1359" s="9"/>
      <c r="AQ1359" s="9"/>
      <c r="AR1359" s="9"/>
      <c r="AS1359" s="9"/>
      <c r="AT1359" s="9"/>
      <c r="AU1359" s="9"/>
    </row>
    <row r="1360" spans="1:47" ht="15.75" customHeight="1">
      <c r="A1360" s="9"/>
      <c r="B1360" s="9"/>
      <c r="C1360" s="9"/>
      <c r="D1360" s="9"/>
      <c r="E1360" s="9"/>
      <c r="F1360" s="67"/>
      <c r="G1360" s="9"/>
      <c r="H1360" s="9"/>
      <c r="I1360" s="9"/>
      <c r="J1360" s="9"/>
      <c r="K1360" s="9"/>
      <c r="L1360" s="9"/>
      <c r="M1360" s="9"/>
      <c r="N1360" s="9"/>
      <c r="O1360" s="9"/>
      <c r="P1360" s="9"/>
      <c r="Q1360" s="9"/>
      <c r="R1360" s="9"/>
      <c r="S1360" s="9"/>
      <c r="T1360" s="9"/>
      <c r="U1360" s="9"/>
      <c r="V1360" s="9"/>
      <c r="W1360" s="9"/>
      <c r="X1360" s="9"/>
      <c r="Y1360" s="9"/>
      <c r="Z1360" s="9"/>
      <c r="AA1360" s="9"/>
      <c r="AB1360" s="9"/>
      <c r="AC1360" s="9"/>
      <c r="AD1360" s="9"/>
      <c r="AE1360" s="9"/>
      <c r="AF1360" s="9"/>
      <c r="AG1360" s="9"/>
      <c r="AH1360" s="9"/>
      <c r="AI1360" s="9"/>
      <c r="AJ1360" s="9"/>
      <c r="AK1360" s="9"/>
      <c r="AL1360" s="9"/>
      <c r="AM1360" s="9"/>
      <c r="AN1360" s="9"/>
      <c r="AO1360" s="9"/>
      <c r="AP1360" s="9"/>
      <c r="AQ1360" s="9"/>
      <c r="AR1360" s="9"/>
      <c r="AS1360" s="9"/>
      <c r="AT1360" s="9"/>
      <c r="AU1360" s="9"/>
    </row>
    <row r="1361" spans="1:47" ht="15.75" customHeight="1">
      <c r="A1361" s="9"/>
      <c r="B1361" s="9"/>
      <c r="C1361" s="9"/>
      <c r="D1361" s="9"/>
      <c r="E1361" s="9"/>
      <c r="F1361" s="67"/>
      <c r="G1361" s="9"/>
      <c r="H1361" s="9"/>
      <c r="I1361" s="9"/>
      <c r="J1361" s="9"/>
      <c r="K1361" s="9"/>
      <c r="L1361" s="9"/>
      <c r="M1361" s="9"/>
      <c r="N1361" s="9"/>
      <c r="O1361" s="9"/>
      <c r="P1361" s="9"/>
      <c r="Q1361" s="9"/>
      <c r="R1361" s="9"/>
      <c r="S1361" s="9"/>
      <c r="T1361" s="9"/>
      <c r="U1361" s="9"/>
      <c r="V1361" s="9"/>
      <c r="W1361" s="9"/>
      <c r="X1361" s="9"/>
      <c r="Y1361" s="9"/>
      <c r="Z1361" s="9"/>
      <c r="AA1361" s="9"/>
      <c r="AB1361" s="9"/>
      <c r="AC1361" s="9"/>
      <c r="AD1361" s="9"/>
      <c r="AE1361" s="9"/>
      <c r="AF1361" s="9"/>
      <c r="AG1361" s="9"/>
      <c r="AH1361" s="9"/>
      <c r="AI1361" s="9"/>
      <c r="AJ1361" s="9"/>
      <c r="AK1361" s="9"/>
      <c r="AL1361" s="9"/>
      <c r="AM1361" s="9"/>
      <c r="AN1361" s="9"/>
      <c r="AO1361" s="9"/>
      <c r="AP1361" s="9"/>
      <c r="AQ1361" s="9"/>
      <c r="AR1361" s="9"/>
      <c r="AS1361" s="9"/>
      <c r="AT1361" s="9"/>
      <c r="AU1361" s="9"/>
    </row>
    <row r="1362" spans="1:47" ht="15.75" customHeight="1">
      <c r="A1362" s="9"/>
      <c r="B1362" s="9"/>
      <c r="C1362" s="9"/>
      <c r="D1362" s="9"/>
      <c r="E1362" s="9"/>
      <c r="F1362" s="67"/>
      <c r="G1362" s="9"/>
      <c r="H1362" s="9"/>
      <c r="I1362" s="9"/>
      <c r="J1362" s="9"/>
      <c r="K1362" s="9"/>
      <c r="L1362" s="9"/>
      <c r="M1362" s="9"/>
      <c r="N1362" s="9"/>
      <c r="O1362" s="9"/>
      <c r="P1362" s="9"/>
      <c r="Q1362" s="9"/>
      <c r="R1362" s="9"/>
      <c r="S1362" s="9"/>
      <c r="T1362" s="9"/>
      <c r="U1362" s="9"/>
      <c r="V1362" s="9"/>
      <c r="W1362" s="9"/>
      <c r="X1362" s="9"/>
      <c r="Y1362" s="9"/>
      <c r="Z1362" s="9"/>
      <c r="AA1362" s="9"/>
      <c r="AB1362" s="9"/>
      <c r="AC1362" s="9"/>
      <c r="AD1362" s="9"/>
      <c r="AE1362" s="9"/>
      <c r="AF1362" s="9"/>
      <c r="AG1362" s="9"/>
      <c r="AH1362" s="9"/>
      <c r="AI1362" s="9"/>
      <c r="AJ1362" s="9"/>
      <c r="AK1362" s="9"/>
      <c r="AL1362" s="9"/>
      <c r="AM1362" s="9"/>
      <c r="AN1362" s="9"/>
      <c r="AO1362" s="9"/>
      <c r="AP1362" s="9"/>
      <c r="AQ1362" s="9"/>
      <c r="AR1362" s="9"/>
      <c r="AS1362" s="9"/>
      <c r="AT1362" s="9"/>
      <c r="AU1362" s="9"/>
    </row>
    <row r="1363" spans="1:47" ht="15.75" customHeight="1">
      <c r="A1363" s="9"/>
      <c r="B1363" s="9"/>
      <c r="C1363" s="9"/>
      <c r="D1363" s="9"/>
      <c r="E1363" s="9"/>
      <c r="F1363" s="67"/>
      <c r="G1363" s="9"/>
      <c r="H1363" s="9"/>
      <c r="I1363" s="9"/>
      <c r="J1363" s="9"/>
      <c r="K1363" s="9"/>
      <c r="L1363" s="9"/>
      <c r="M1363" s="9"/>
      <c r="N1363" s="9"/>
      <c r="O1363" s="9"/>
      <c r="P1363" s="9"/>
      <c r="Q1363" s="9"/>
      <c r="R1363" s="9"/>
      <c r="S1363" s="9"/>
      <c r="T1363" s="9"/>
      <c r="U1363" s="9"/>
      <c r="V1363" s="9"/>
      <c r="W1363" s="9"/>
      <c r="X1363" s="9"/>
      <c r="Y1363" s="9"/>
      <c r="Z1363" s="9"/>
      <c r="AA1363" s="9"/>
      <c r="AB1363" s="9"/>
      <c r="AC1363" s="9"/>
      <c r="AD1363" s="9"/>
      <c r="AE1363" s="9"/>
      <c r="AF1363" s="9"/>
      <c r="AG1363" s="9"/>
      <c r="AH1363" s="9"/>
      <c r="AI1363" s="9"/>
      <c r="AJ1363" s="9"/>
      <c r="AK1363" s="9"/>
      <c r="AL1363" s="9"/>
      <c r="AM1363" s="9"/>
      <c r="AN1363" s="9"/>
      <c r="AO1363" s="9"/>
      <c r="AP1363" s="9"/>
      <c r="AQ1363" s="9"/>
      <c r="AR1363" s="9"/>
      <c r="AS1363" s="9"/>
      <c r="AT1363" s="9"/>
      <c r="AU1363" s="9"/>
    </row>
    <row r="1364" spans="1:47" ht="15.75" customHeight="1">
      <c r="A1364" s="9"/>
      <c r="B1364" s="9"/>
      <c r="C1364" s="9"/>
      <c r="D1364" s="9"/>
      <c r="E1364" s="9"/>
      <c r="F1364" s="67"/>
      <c r="G1364" s="9"/>
      <c r="H1364" s="9"/>
      <c r="I1364" s="9"/>
      <c r="J1364" s="9"/>
      <c r="K1364" s="9"/>
      <c r="L1364" s="9"/>
      <c r="M1364" s="9"/>
      <c r="N1364" s="9"/>
      <c r="O1364" s="9"/>
      <c r="P1364" s="9"/>
      <c r="Q1364" s="9"/>
      <c r="R1364" s="9"/>
      <c r="S1364" s="9"/>
      <c r="T1364" s="9"/>
      <c r="U1364" s="9"/>
      <c r="V1364" s="9"/>
      <c r="W1364" s="9"/>
      <c r="X1364" s="9"/>
      <c r="Y1364" s="9"/>
      <c r="Z1364" s="9"/>
      <c r="AA1364" s="9"/>
      <c r="AB1364" s="9"/>
      <c r="AC1364" s="9"/>
      <c r="AD1364" s="9"/>
      <c r="AE1364" s="9"/>
      <c r="AF1364" s="9"/>
      <c r="AG1364" s="9"/>
      <c r="AH1364" s="9"/>
      <c r="AI1364" s="9"/>
      <c r="AJ1364" s="9"/>
      <c r="AK1364" s="9"/>
      <c r="AL1364" s="9"/>
      <c r="AM1364" s="9"/>
      <c r="AN1364" s="9"/>
      <c r="AO1364" s="9"/>
      <c r="AP1364" s="9"/>
      <c r="AQ1364" s="9"/>
      <c r="AR1364" s="9"/>
      <c r="AS1364" s="9"/>
      <c r="AT1364" s="9"/>
      <c r="AU1364" s="9"/>
    </row>
    <row r="1365" spans="1:47" ht="15.75" customHeight="1">
      <c r="A1365" s="9"/>
      <c r="B1365" s="9"/>
      <c r="C1365" s="9"/>
      <c r="D1365" s="9"/>
      <c r="E1365" s="9"/>
      <c r="F1365" s="67"/>
      <c r="G1365" s="9"/>
      <c r="H1365" s="9"/>
      <c r="I1365" s="9"/>
      <c r="J1365" s="9"/>
      <c r="K1365" s="9"/>
      <c r="L1365" s="9"/>
      <c r="M1365" s="9"/>
      <c r="N1365" s="9"/>
      <c r="O1365" s="9"/>
      <c r="P1365" s="9"/>
      <c r="Q1365" s="9"/>
      <c r="R1365" s="9"/>
      <c r="S1365" s="9"/>
      <c r="T1365" s="9"/>
      <c r="U1365" s="9"/>
      <c r="V1365" s="9"/>
      <c r="W1365" s="9"/>
      <c r="X1365" s="9"/>
      <c r="Y1365" s="9"/>
      <c r="Z1365" s="9"/>
      <c r="AA1365" s="9"/>
      <c r="AB1365" s="9"/>
      <c r="AC1365" s="9"/>
      <c r="AD1365" s="9"/>
      <c r="AE1365" s="9"/>
      <c r="AF1365" s="9"/>
      <c r="AG1365" s="9"/>
      <c r="AH1365" s="9"/>
      <c r="AI1365" s="9"/>
      <c r="AJ1365" s="9"/>
      <c r="AK1365" s="9"/>
      <c r="AL1365" s="9"/>
      <c r="AM1365" s="9"/>
      <c r="AN1365" s="9"/>
      <c r="AO1365" s="9"/>
      <c r="AP1365" s="9"/>
      <c r="AQ1365" s="9"/>
      <c r="AR1365" s="9"/>
      <c r="AS1365" s="9"/>
      <c r="AT1365" s="9"/>
      <c r="AU1365" s="9"/>
    </row>
    <row r="1366" spans="1:47" ht="15.75" customHeight="1">
      <c r="A1366" s="9"/>
      <c r="B1366" s="9"/>
      <c r="C1366" s="9"/>
      <c r="D1366" s="9"/>
      <c r="E1366" s="9"/>
      <c r="F1366" s="67"/>
      <c r="G1366" s="9"/>
      <c r="H1366" s="9"/>
      <c r="I1366" s="9"/>
      <c r="J1366" s="9"/>
      <c r="K1366" s="9"/>
      <c r="L1366" s="9"/>
      <c r="M1366" s="9"/>
      <c r="N1366" s="9"/>
      <c r="O1366" s="9"/>
      <c r="P1366" s="9"/>
      <c r="Q1366" s="9"/>
      <c r="R1366" s="9"/>
      <c r="S1366" s="9"/>
      <c r="T1366" s="9"/>
      <c r="U1366" s="9"/>
      <c r="V1366" s="9"/>
      <c r="W1366" s="9"/>
      <c r="X1366" s="9"/>
      <c r="Y1366" s="9"/>
      <c r="Z1366" s="9"/>
      <c r="AA1366" s="9"/>
      <c r="AB1366" s="9"/>
      <c r="AC1366" s="9"/>
      <c r="AD1366" s="9"/>
      <c r="AE1366" s="9"/>
      <c r="AF1366" s="9"/>
      <c r="AG1366" s="9"/>
      <c r="AH1366" s="9"/>
      <c r="AI1366" s="9"/>
      <c r="AJ1366" s="9"/>
      <c r="AK1366" s="9"/>
      <c r="AL1366" s="9"/>
      <c r="AM1366" s="9"/>
      <c r="AN1366" s="9"/>
      <c r="AO1366" s="9"/>
      <c r="AP1366" s="9"/>
      <c r="AQ1366" s="9"/>
      <c r="AR1366" s="9"/>
      <c r="AS1366" s="9"/>
      <c r="AT1366" s="9"/>
      <c r="AU1366" s="9"/>
    </row>
    <row r="1367" spans="1:47" ht="15.75" customHeight="1">
      <c r="A1367" s="9"/>
      <c r="B1367" s="9"/>
      <c r="C1367" s="9"/>
      <c r="D1367" s="9"/>
      <c r="E1367" s="9"/>
      <c r="F1367" s="67"/>
      <c r="G1367" s="9"/>
      <c r="H1367" s="9"/>
      <c r="I1367" s="9"/>
      <c r="J1367" s="9"/>
      <c r="K1367" s="9"/>
      <c r="L1367" s="9"/>
      <c r="M1367" s="9"/>
      <c r="N1367" s="9"/>
      <c r="O1367" s="9"/>
      <c r="P1367" s="9"/>
      <c r="Q1367" s="9"/>
      <c r="R1367" s="9"/>
      <c r="S1367" s="9"/>
      <c r="T1367" s="9"/>
      <c r="U1367" s="9"/>
      <c r="V1367" s="9"/>
      <c r="W1367" s="9"/>
      <c r="X1367" s="9"/>
      <c r="Y1367" s="9"/>
      <c r="Z1367" s="9"/>
      <c r="AA1367" s="9"/>
      <c r="AB1367" s="9"/>
      <c r="AC1367" s="9"/>
      <c r="AD1367" s="9"/>
      <c r="AE1367" s="9"/>
      <c r="AF1367" s="9"/>
      <c r="AG1367" s="9"/>
      <c r="AH1367" s="9"/>
      <c r="AI1367" s="9"/>
      <c r="AJ1367" s="9"/>
      <c r="AK1367" s="9"/>
      <c r="AL1367" s="9"/>
      <c r="AM1367" s="9"/>
      <c r="AN1367" s="9"/>
      <c r="AO1367" s="9"/>
      <c r="AP1367" s="9"/>
      <c r="AQ1367" s="9"/>
      <c r="AR1367" s="9"/>
      <c r="AS1367" s="9"/>
      <c r="AT1367" s="9"/>
      <c r="AU1367" s="9"/>
    </row>
    <row r="1368" spans="1:47" ht="15.75" customHeight="1">
      <c r="A1368" s="9"/>
      <c r="B1368" s="9"/>
      <c r="C1368" s="9"/>
      <c r="D1368" s="9"/>
      <c r="E1368" s="9"/>
      <c r="F1368" s="67"/>
      <c r="G1368" s="9"/>
      <c r="H1368" s="9"/>
      <c r="I1368" s="9"/>
      <c r="J1368" s="9"/>
      <c r="K1368" s="9"/>
      <c r="L1368" s="9"/>
      <c r="M1368" s="9"/>
      <c r="N1368" s="9"/>
      <c r="O1368" s="9"/>
      <c r="P1368" s="9"/>
      <c r="Q1368" s="9"/>
      <c r="R1368" s="9"/>
      <c r="S1368" s="9"/>
      <c r="T1368" s="9"/>
      <c r="U1368" s="9"/>
      <c r="V1368" s="9"/>
      <c r="W1368" s="9"/>
      <c r="X1368" s="9"/>
      <c r="Y1368" s="9"/>
      <c r="Z1368" s="9"/>
      <c r="AA1368" s="9"/>
      <c r="AB1368" s="9"/>
      <c r="AC1368" s="9"/>
      <c r="AD1368" s="9"/>
      <c r="AE1368" s="9"/>
      <c r="AF1368" s="9"/>
      <c r="AG1368" s="9"/>
      <c r="AH1368" s="9"/>
      <c r="AI1368" s="9"/>
      <c r="AJ1368" s="9"/>
      <c r="AK1368" s="9"/>
      <c r="AL1368" s="9"/>
      <c r="AM1368" s="9"/>
      <c r="AN1368" s="9"/>
      <c r="AO1368" s="9"/>
      <c r="AP1368" s="9"/>
      <c r="AQ1368" s="9"/>
      <c r="AR1368" s="9"/>
      <c r="AS1368" s="9"/>
      <c r="AT1368" s="9"/>
      <c r="AU1368" s="9"/>
    </row>
    <row r="1369" spans="1:47" ht="15.75" customHeight="1">
      <c r="A1369" s="9"/>
      <c r="B1369" s="9"/>
      <c r="C1369" s="9"/>
      <c r="D1369" s="9"/>
      <c r="E1369" s="9"/>
      <c r="F1369" s="67"/>
      <c r="G1369" s="9"/>
      <c r="H1369" s="9"/>
      <c r="I1369" s="9"/>
      <c r="J1369" s="9"/>
      <c r="K1369" s="9"/>
      <c r="L1369" s="9"/>
      <c r="M1369" s="9"/>
      <c r="N1369" s="9"/>
      <c r="O1369" s="9"/>
      <c r="P1369" s="9"/>
      <c r="Q1369" s="9"/>
      <c r="R1369" s="9"/>
      <c r="S1369" s="9"/>
      <c r="T1369" s="9"/>
      <c r="U1369" s="9"/>
      <c r="V1369" s="9"/>
      <c r="W1369" s="9"/>
      <c r="X1369" s="9"/>
      <c r="Y1369" s="9"/>
      <c r="Z1369" s="9"/>
      <c r="AA1369" s="9"/>
      <c r="AB1369" s="9"/>
      <c r="AC1369" s="9"/>
      <c r="AD1369" s="9"/>
      <c r="AE1369" s="9"/>
      <c r="AF1369" s="9"/>
      <c r="AG1369" s="9"/>
      <c r="AH1369" s="9"/>
      <c r="AI1369" s="9"/>
      <c r="AJ1369" s="9"/>
      <c r="AK1369" s="9"/>
      <c r="AL1369" s="9"/>
      <c r="AM1369" s="9"/>
      <c r="AN1369" s="9"/>
      <c r="AO1369" s="9"/>
      <c r="AP1369" s="9"/>
      <c r="AQ1369" s="9"/>
      <c r="AR1369" s="9"/>
      <c r="AS1369" s="9"/>
      <c r="AT1369" s="9"/>
      <c r="AU1369" s="9"/>
    </row>
    <row r="1370" spans="1:47" ht="15.75" customHeight="1">
      <c r="A1370" s="9"/>
      <c r="B1370" s="9"/>
      <c r="C1370" s="9"/>
      <c r="D1370" s="9"/>
      <c r="E1370" s="9"/>
      <c r="F1370" s="67"/>
      <c r="G1370" s="9"/>
      <c r="H1370" s="9"/>
      <c r="I1370" s="9"/>
      <c r="J1370" s="9"/>
      <c r="K1370" s="9"/>
      <c r="L1370" s="9"/>
      <c r="M1370" s="9"/>
      <c r="N1370" s="9"/>
      <c r="O1370" s="9"/>
      <c r="P1370" s="9"/>
      <c r="Q1370" s="9"/>
      <c r="R1370" s="9"/>
      <c r="S1370" s="9"/>
      <c r="T1370" s="9"/>
      <c r="U1370" s="9"/>
      <c r="V1370" s="9"/>
      <c r="W1370" s="9"/>
      <c r="X1370" s="9"/>
      <c r="Y1370" s="9"/>
      <c r="Z1370" s="9"/>
      <c r="AA1370" s="9"/>
      <c r="AB1370" s="9"/>
      <c r="AC1370" s="9"/>
      <c r="AD1370" s="9"/>
      <c r="AE1370" s="9"/>
      <c r="AF1370" s="9"/>
      <c r="AG1370" s="9"/>
      <c r="AH1370" s="9"/>
      <c r="AI1370" s="9"/>
      <c r="AJ1370" s="9"/>
      <c r="AK1370" s="9"/>
      <c r="AL1370" s="9"/>
      <c r="AM1370" s="9"/>
      <c r="AN1370" s="9"/>
      <c r="AO1370" s="9"/>
      <c r="AP1370" s="9"/>
      <c r="AQ1370" s="9"/>
      <c r="AR1370" s="9"/>
      <c r="AS1370" s="9"/>
      <c r="AT1370" s="9"/>
      <c r="AU1370" s="9"/>
    </row>
    <row r="1371" spans="1:47" ht="15.75" customHeight="1">
      <c r="A1371" s="9"/>
      <c r="B1371" s="9"/>
      <c r="C1371" s="9"/>
      <c r="D1371" s="9"/>
      <c r="E1371" s="9"/>
      <c r="F1371" s="67"/>
      <c r="G1371" s="9"/>
      <c r="H1371" s="9"/>
      <c r="I1371" s="9"/>
      <c r="J1371" s="9"/>
      <c r="K1371" s="9"/>
      <c r="L1371" s="9"/>
      <c r="M1371" s="9"/>
      <c r="N1371" s="9"/>
      <c r="O1371" s="9"/>
      <c r="P1371" s="9"/>
      <c r="Q1371" s="9"/>
      <c r="R1371" s="9"/>
      <c r="S1371" s="9"/>
      <c r="T1371" s="9"/>
      <c r="U1371" s="9"/>
      <c r="V1371" s="9"/>
      <c r="W1371" s="9"/>
      <c r="X1371" s="9"/>
      <c r="Y1371" s="9"/>
      <c r="Z1371" s="9"/>
      <c r="AA1371" s="9"/>
      <c r="AB1371" s="9"/>
      <c r="AC1371" s="9"/>
      <c r="AD1371" s="9"/>
      <c r="AE1371" s="9"/>
      <c r="AF1371" s="9"/>
      <c r="AG1371" s="9"/>
      <c r="AH1371" s="9"/>
      <c r="AI1371" s="9"/>
      <c r="AJ1371" s="9"/>
      <c r="AK1371" s="9"/>
      <c r="AL1371" s="9"/>
      <c r="AM1371" s="9"/>
      <c r="AN1371" s="9"/>
      <c r="AO1371" s="9"/>
      <c r="AP1371" s="9"/>
      <c r="AQ1371" s="9"/>
      <c r="AR1371" s="9"/>
      <c r="AS1371" s="9"/>
      <c r="AT1371" s="9"/>
      <c r="AU1371" s="9"/>
    </row>
    <row r="1372" spans="1:47" ht="15.75" customHeight="1">
      <c r="A1372" s="9"/>
      <c r="B1372" s="9"/>
      <c r="C1372" s="9"/>
      <c r="D1372" s="9"/>
      <c r="E1372" s="9"/>
      <c r="F1372" s="67"/>
      <c r="G1372" s="9"/>
      <c r="H1372" s="9"/>
      <c r="I1372" s="9"/>
      <c r="J1372" s="9"/>
      <c r="K1372" s="9"/>
      <c r="L1372" s="9"/>
      <c r="M1372" s="9"/>
      <c r="N1372" s="9"/>
      <c r="O1372" s="9"/>
      <c r="P1372" s="9"/>
      <c r="Q1372" s="9"/>
      <c r="R1372" s="9"/>
      <c r="S1372" s="9"/>
      <c r="T1372" s="9"/>
      <c r="U1372" s="9"/>
      <c r="V1372" s="9"/>
      <c r="W1372" s="9"/>
      <c r="X1372" s="9"/>
      <c r="Y1372" s="9"/>
      <c r="Z1372" s="9"/>
      <c r="AA1372" s="9"/>
      <c r="AB1372" s="9"/>
      <c r="AC1372" s="9"/>
      <c r="AD1372" s="9"/>
      <c r="AE1372" s="9"/>
      <c r="AF1372" s="9"/>
      <c r="AG1372" s="9"/>
      <c r="AH1372" s="9"/>
      <c r="AI1372" s="9"/>
      <c r="AJ1372" s="9"/>
      <c r="AK1372" s="9"/>
      <c r="AL1372" s="9"/>
      <c r="AM1372" s="9"/>
      <c r="AN1372" s="9"/>
      <c r="AO1372" s="9"/>
      <c r="AP1372" s="9"/>
      <c r="AQ1372" s="9"/>
      <c r="AR1372" s="9"/>
      <c r="AS1372" s="9"/>
      <c r="AT1372" s="9"/>
      <c r="AU1372" s="9"/>
    </row>
    <row r="1373" spans="1:47" ht="15.75" customHeight="1">
      <c r="A1373" s="9"/>
      <c r="B1373" s="9"/>
      <c r="C1373" s="9"/>
      <c r="D1373" s="9"/>
      <c r="E1373" s="9"/>
      <c r="F1373" s="67"/>
      <c r="G1373" s="9"/>
      <c r="H1373" s="9"/>
      <c r="I1373" s="9"/>
      <c r="J1373" s="9"/>
      <c r="K1373" s="9"/>
      <c r="L1373" s="9"/>
      <c r="M1373" s="9"/>
      <c r="N1373" s="9"/>
      <c r="O1373" s="9"/>
      <c r="P1373" s="9"/>
      <c r="Q1373" s="9"/>
      <c r="R1373" s="9"/>
      <c r="S1373" s="9"/>
      <c r="T1373" s="9"/>
      <c r="U1373" s="9"/>
      <c r="V1373" s="9"/>
      <c r="W1373" s="9"/>
      <c r="X1373" s="9"/>
      <c r="Y1373" s="9"/>
      <c r="Z1373" s="9"/>
      <c r="AA1373" s="9"/>
      <c r="AB1373" s="9"/>
      <c r="AC1373" s="9"/>
      <c r="AD1373" s="9"/>
      <c r="AE1373" s="9"/>
      <c r="AF1373" s="9"/>
      <c r="AG1373" s="9"/>
      <c r="AH1373" s="9"/>
      <c r="AI1373" s="9"/>
      <c r="AJ1373" s="9"/>
      <c r="AK1373" s="9"/>
      <c r="AL1373" s="9"/>
      <c r="AM1373" s="9"/>
      <c r="AN1373" s="9"/>
      <c r="AO1373" s="9"/>
      <c r="AP1373" s="9"/>
      <c r="AQ1373" s="9"/>
      <c r="AR1373" s="9"/>
      <c r="AS1373" s="9"/>
      <c r="AT1373" s="9"/>
      <c r="AU1373" s="9"/>
    </row>
    <row r="1374" spans="1:47" ht="15.75" customHeight="1">
      <c r="A1374" s="9"/>
      <c r="B1374" s="9"/>
      <c r="C1374" s="9"/>
      <c r="D1374" s="9"/>
      <c r="E1374" s="9"/>
      <c r="F1374" s="67"/>
      <c r="G1374" s="9"/>
      <c r="H1374" s="9"/>
      <c r="I1374" s="9"/>
      <c r="J1374" s="9"/>
      <c r="K1374" s="9"/>
      <c r="L1374" s="9"/>
      <c r="M1374" s="9"/>
      <c r="N1374" s="9"/>
      <c r="O1374" s="9"/>
      <c r="P1374" s="9"/>
      <c r="Q1374" s="9"/>
      <c r="R1374" s="9"/>
      <c r="S1374" s="9"/>
      <c r="T1374" s="9"/>
      <c r="U1374" s="9"/>
      <c r="V1374" s="9"/>
      <c r="W1374" s="9"/>
      <c r="X1374" s="9"/>
      <c r="Y1374" s="9"/>
      <c r="Z1374" s="9"/>
      <c r="AA1374" s="9"/>
      <c r="AB1374" s="9"/>
      <c r="AC1374" s="9"/>
      <c r="AD1374" s="9"/>
      <c r="AE1374" s="9"/>
      <c r="AF1374" s="9"/>
      <c r="AG1374" s="9"/>
      <c r="AH1374" s="9"/>
      <c r="AI1374" s="9"/>
      <c r="AJ1374" s="9"/>
      <c r="AK1374" s="9"/>
      <c r="AL1374" s="9"/>
      <c r="AM1374" s="9"/>
      <c r="AN1374" s="9"/>
      <c r="AO1374" s="9"/>
      <c r="AP1374" s="9"/>
      <c r="AQ1374" s="9"/>
      <c r="AR1374" s="9"/>
      <c r="AS1374" s="9"/>
      <c r="AT1374" s="9"/>
      <c r="AU1374" s="9"/>
    </row>
    <row r="1375" spans="1:47" ht="15.75" customHeight="1">
      <c r="A1375" s="9"/>
      <c r="B1375" s="9"/>
      <c r="C1375" s="9"/>
      <c r="D1375" s="9"/>
      <c r="E1375" s="9"/>
      <c r="F1375" s="67"/>
      <c r="G1375" s="9"/>
      <c r="H1375" s="9"/>
      <c r="I1375" s="9"/>
      <c r="J1375" s="9"/>
      <c r="K1375" s="9"/>
      <c r="L1375" s="9"/>
      <c r="M1375" s="9"/>
      <c r="N1375" s="9"/>
      <c r="O1375" s="9"/>
      <c r="P1375" s="9"/>
      <c r="Q1375" s="9"/>
      <c r="R1375" s="9"/>
      <c r="S1375" s="9"/>
      <c r="T1375" s="9"/>
      <c r="U1375" s="9"/>
      <c r="V1375" s="9"/>
      <c r="W1375" s="9"/>
      <c r="X1375" s="9"/>
      <c r="Y1375" s="9"/>
      <c r="Z1375" s="9"/>
      <c r="AA1375" s="9"/>
      <c r="AB1375" s="9"/>
      <c r="AC1375" s="9"/>
      <c r="AD1375" s="9"/>
      <c r="AE1375" s="9"/>
      <c r="AF1375" s="9"/>
      <c r="AG1375" s="9"/>
      <c r="AH1375" s="9"/>
      <c r="AI1375" s="9"/>
      <c r="AJ1375" s="9"/>
      <c r="AK1375" s="9"/>
      <c r="AL1375" s="9"/>
      <c r="AM1375" s="9"/>
      <c r="AN1375" s="9"/>
      <c r="AO1375" s="9"/>
      <c r="AP1375" s="9"/>
      <c r="AQ1375" s="9"/>
      <c r="AR1375" s="9"/>
      <c r="AS1375" s="9"/>
      <c r="AT1375" s="9"/>
      <c r="AU1375" s="9"/>
    </row>
    <row r="1376" spans="1:47" ht="15.75" customHeight="1">
      <c r="A1376" s="9"/>
      <c r="B1376" s="9"/>
      <c r="C1376" s="9"/>
      <c r="D1376" s="9"/>
      <c r="E1376" s="9"/>
      <c r="F1376" s="67"/>
      <c r="G1376" s="9"/>
      <c r="H1376" s="9"/>
      <c r="I1376" s="9"/>
      <c r="J1376" s="9"/>
      <c r="K1376" s="9"/>
      <c r="L1376" s="9"/>
      <c r="M1376" s="9"/>
      <c r="N1376" s="9"/>
      <c r="O1376" s="9"/>
      <c r="P1376" s="9"/>
      <c r="Q1376" s="9"/>
      <c r="R1376" s="9"/>
      <c r="S1376" s="9"/>
      <c r="T1376" s="9"/>
      <c r="U1376" s="9"/>
      <c r="V1376" s="9"/>
      <c r="W1376" s="9"/>
      <c r="X1376" s="9"/>
      <c r="Y1376" s="9"/>
      <c r="Z1376" s="9"/>
      <c r="AA1376" s="9"/>
      <c r="AB1376" s="9"/>
      <c r="AC1376" s="9"/>
      <c r="AD1376" s="9"/>
      <c r="AE1376" s="9"/>
      <c r="AF1376" s="9"/>
      <c r="AG1376" s="9"/>
      <c r="AH1376" s="9"/>
      <c r="AI1376" s="9"/>
      <c r="AJ1376" s="9"/>
      <c r="AK1376" s="9"/>
      <c r="AL1376" s="9"/>
      <c r="AM1376" s="9"/>
      <c r="AN1376" s="9"/>
      <c r="AO1376" s="9"/>
      <c r="AP1376" s="9"/>
      <c r="AQ1376" s="9"/>
      <c r="AR1376" s="9"/>
      <c r="AS1376" s="9"/>
      <c r="AT1376" s="9"/>
      <c r="AU1376" s="9"/>
    </row>
    <row r="1377" spans="1:47" ht="15.75" customHeight="1">
      <c r="A1377" s="9"/>
      <c r="B1377" s="9"/>
      <c r="C1377" s="9"/>
      <c r="D1377" s="9"/>
      <c r="E1377" s="9"/>
      <c r="F1377" s="67"/>
      <c r="G1377" s="9"/>
      <c r="H1377" s="9"/>
      <c r="I1377" s="9"/>
      <c r="J1377" s="9"/>
      <c r="K1377" s="9"/>
      <c r="L1377" s="9"/>
      <c r="M1377" s="9"/>
      <c r="N1377" s="9"/>
      <c r="O1377" s="9"/>
      <c r="P1377" s="9"/>
      <c r="Q1377" s="9"/>
      <c r="R1377" s="9"/>
      <c r="S1377" s="9"/>
      <c r="T1377" s="9"/>
      <c r="U1377" s="9"/>
      <c r="V1377" s="9"/>
      <c r="W1377" s="9"/>
      <c r="X1377" s="9"/>
      <c r="Y1377" s="9"/>
      <c r="Z1377" s="9"/>
      <c r="AA1377" s="9"/>
      <c r="AB1377" s="9"/>
      <c r="AC1377" s="9"/>
      <c r="AD1377" s="9"/>
      <c r="AE1377" s="9"/>
      <c r="AF1377" s="9"/>
      <c r="AG1377" s="9"/>
      <c r="AH1377" s="9"/>
      <c r="AI1377" s="9"/>
      <c r="AJ1377" s="9"/>
      <c r="AK1377" s="9"/>
      <c r="AL1377" s="9"/>
      <c r="AM1377" s="9"/>
      <c r="AN1377" s="9"/>
      <c r="AO1377" s="9"/>
      <c r="AP1377" s="9"/>
      <c r="AQ1377" s="9"/>
      <c r="AR1377" s="9"/>
      <c r="AS1377" s="9"/>
      <c r="AT1377" s="9"/>
      <c r="AU1377" s="9"/>
    </row>
    <row r="1378" spans="1:47" ht="15.75" customHeight="1">
      <c r="A1378" s="9"/>
      <c r="B1378" s="9"/>
      <c r="C1378" s="9"/>
      <c r="D1378" s="9"/>
      <c r="E1378" s="9"/>
      <c r="F1378" s="67"/>
      <c r="G1378" s="9"/>
      <c r="H1378" s="9"/>
      <c r="I1378" s="9"/>
      <c r="J1378" s="9"/>
      <c r="K1378" s="9"/>
      <c r="L1378" s="9"/>
      <c r="M1378" s="9"/>
      <c r="N1378" s="9"/>
      <c r="O1378" s="9"/>
      <c r="P1378" s="9"/>
      <c r="Q1378" s="9"/>
      <c r="R1378" s="9"/>
      <c r="S1378" s="9"/>
      <c r="T1378" s="9"/>
      <c r="U1378" s="9"/>
      <c r="V1378" s="9"/>
      <c r="W1378" s="9"/>
      <c r="X1378" s="9"/>
      <c r="Y1378" s="9"/>
      <c r="Z1378" s="9"/>
      <c r="AA1378" s="9"/>
      <c r="AB1378" s="9"/>
      <c r="AC1378" s="9"/>
      <c r="AD1378" s="9"/>
      <c r="AE1378" s="9"/>
      <c r="AF1378" s="9"/>
      <c r="AG1378" s="9"/>
      <c r="AH1378" s="9"/>
      <c r="AI1378" s="9"/>
      <c r="AJ1378" s="9"/>
      <c r="AK1378" s="9"/>
      <c r="AL1378" s="9"/>
      <c r="AM1378" s="9"/>
      <c r="AN1378" s="9"/>
      <c r="AO1378" s="9"/>
      <c r="AP1378" s="9"/>
      <c r="AQ1378" s="9"/>
      <c r="AR1378" s="9"/>
      <c r="AS1378" s="9"/>
      <c r="AT1378" s="9"/>
      <c r="AU1378" s="9"/>
    </row>
    <row r="1379" spans="1:47" ht="15.75" customHeight="1">
      <c r="A1379" s="9"/>
      <c r="B1379" s="9"/>
      <c r="C1379" s="9"/>
      <c r="D1379" s="9"/>
      <c r="E1379" s="9"/>
      <c r="F1379" s="67"/>
      <c r="G1379" s="9"/>
      <c r="H1379" s="9"/>
      <c r="I1379" s="9"/>
      <c r="J1379" s="9"/>
      <c r="K1379" s="9"/>
      <c r="L1379" s="9"/>
      <c r="M1379" s="9"/>
      <c r="N1379" s="9"/>
      <c r="O1379" s="9"/>
      <c r="P1379" s="9"/>
      <c r="Q1379" s="9"/>
      <c r="R1379" s="9"/>
      <c r="S1379" s="9"/>
      <c r="T1379" s="9"/>
      <c r="U1379" s="9"/>
      <c r="V1379" s="9"/>
      <c r="W1379" s="9"/>
      <c r="X1379" s="9"/>
      <c r="Y1379" s="9"/>
      <c r="Z1379" s="9"/>
      <c r="AA1379" s="9"/>
      <c r="AB1379" s="9"/>
      <c r="AC1379" s="9"/>
      <c r="AD1379" s="9"/>
      <c r="AE1379" s="9"/>
      <c r="AF1379" s="9"/>
      <c r="AG1379" s="9"/>
      <c r="AH1379" s="9"/>
      <c r="AI1379" s="9"/>
      <c r="AJ1379" s="9"/>
      <c r="AK1379" s="9"/>
      <c r="AL1379" s="9"/>
      <c r="AM1379" s="9"/>
      <c r="AN1379" s="9"/>
      <c r="AO1379" s="9"/>
      <c r="AP1379" s="9"/>
      <c r="AQ1379" s="9"/>
      <c r="AR1379" s="9"/>
      <c r="AS1379" s="9"/>
      <c r="AT1379" s="9"/>
      <c r="AU1379" s="9"/>
    </row>
    <row r="1380" spans="1:47" ht="15.75" customHeight="1">
      <c r="A1380" s="9"/>
      <c r="B1380" s="9"/>
      <c r="C1380" s="9"/>
      <c r="D1380" s="9"/>
      <c r="E1380" s="9"/>
      <c r="F1380" s="67"/>
      <c r="G1380" s="9"/>
      <c r="H1380" s="9"/>
      <c r="I1380" s="9"/>
      <c r="J1380" s="9"/>
      <c r="K1380" s="9"/>
      <c r="L1380" s="9"/>
      <c r="M1380" s="9"/>
      <c r="N1380" s="9"/>
      <c r="O1380" s="9"/>
      <c r="P1380" s="9"/>
      <c r="Q1380" s="9"/>
      <c r="R1380" s="9"/>
      <c r="S1380" s="9"/>
      <c r="T1380" s="9"/>
      <c r="U1380" s="9"/>
      <c r="V1380" s="9"/>
      <c r="W1380" s="9"/>
      <c r="X1380" s="9"/>
      <c r="Y1380" s="9"/>
      <c r="Z1380" s="9"/>
      <c r="AA1380" s="9"/>
      <c r="AB1380" s="9"/>
      <c r="AC1380" s="9"/>
      <c r="AD1380" s="9"/>
      <c r="AE1380" s="9"/>
      <c r="AF1380" s="9"/>
      <c r="AG1380" s="9"/>
      <c r="AH1380" s="9"/>
      <c r="AI1380" s="9"/>
      <c r="AJ1380" s="9"/>
      <c r="AK1380" s="9"/>
      <c r="AL1380" s="9"/>
      <c r="AM1380" s="9"/>
      <c r="AN1380" s="9"/>
      <c r="AO1380" s="9"/>
      <c r="AP1380" s="9"/>
      <c r="AQ1380" s="9"/>
      <c r="AR1380" s="9"/>
      <c r="AS1380" s="9"/>
      <c r="AT1380" s="9"/>
      <c r="AU1380" s="9"/>
    </row>
    <row r="1381" spans="1:47" ht="15.75" customHeight="1">
      <c r="A1381" s="9"/>
      <c r="B1381" s="9"/>
      <c r="C1381" s="9"/>
      <c r="D1381" s="9"/>
      <c r="E1381" s="9"/>
      <c r="F1381" s="67"/>
      <c r="G1381" s="9"/>
      <c r="H1381" s="9"/>
      <c r="I1381" s="9"/>
      <c r="J1381" s="9"/>
      <c r="K1381" s="9"/>
      <c r="L1381" s="9"/>
      <c r="M1381" s="9"/>
      <c r="N1381" s="9"/>
      <c r="O1381" s="9"/>
      <c r="P1381" s="9"/>
      <c r="Q1381" s="9"/>
      <c r="R1381" s="9"/>
      <c r="S1381" s="9"/>
      <c r="T1381" s="9"/>
      <c r="U1381" s="9"/>
      <c r="V1381" s="9"/>
      <c r="W1381" s="9"/>
      <c r="X1381" s="9"/>
      <c r="Y1381" s="9"/>
      <c r="Z1381" s="9"/>
      <c r="AA1381" s="9"/>
      <c r="AB1381" s="9"/>
      <c r="AC1381" s="9"/>
      <c r="AD1381" s="9"/>
      <c r="AE1381" s="9"/>
      <c r="AF1381" s="9"/>
      <c r="AG1381" s="9"/>
      <c r="AH1381" s="9"/>
      <c r="AI1381" s="9"/>
      <c r="AJ1381" s="9"/>
      <c r="AK1381" s="9"/>
      <c r="AL1381" s="9"/>
      <c r="AM1381" s="9"/>
      <c r="AN1381" s="9"/>
      <c r="AO1381" s="9"/>
      <c r="AP1381" s="9"/>
      <c r="AQ1381" s="9"/>
      <c r="AR1381" s="9"/>
      <c r="AS1381" s="9"/>
      <c r="AT1381" s="9"/>
      <c r="AU1381" s="9"/>
    </row>
    <row r="1382" spans="1:47" ht="15.75" customHeight="1">
      <c r="A1382" s="9"/>
      <c r="B1382" s="9"/>
      <c r="C1382" s="9"/>
      <c r="D1382" s="9"/>
      <c r="E1382" s="9"/>
      <c r="F1382" s="67"/>
      <c r="G1382" s="9"/>
      <c r="H1382" s="9"/>
      <c r="I1382" s="9"/>
      <c r="J1382" s="9"/>
      <c r="K1382" s="9"/>
      <c r="L1382" s="9"/>
      <c r="M1382" s="9"/>
      <c r="N1382" s="9"/>
      <c r="O1382" s="9"/>
      <c r="P1382" s="9"/>
      <c r="Q1382" s="9"/>
      <c r="R1382" s="9"/>
      <c r="S1382" s="9"/>
      <c r="T1382" s="9"/>
      <c r="U1382" s="9"/>
      <c r="V1382" s="9"/>
      <c r="W1382" s="9"/>
      <c r="X1382" s="9"/>
      <c r="Y1382" s="9"/>
      <c r="Z1382" s="9"/>
      <c r="AA1382" s="9"/>
      <c r="AB1382" s="9"/>
      <c r="AC1382" s="9"/>
      <c r="AD1382" s="9"/>
      <c r="AE1382" s="9"/>
      <c r="AF1382" s="9"/>
      <c r="AG1382" s="9"/>
      <c r="AH1382" s="9"/>
      <c r="AI1382" s="9"/>
      <c r="AJ1382" s="9"/>
      <c r="AK1382" s="9"/>
      <c r="AL1382" s="9"/>
      <c r="AM1382" s="9"/>
      <c r="AN1382" s="9"/>
      <c r="AO1382" s="9"/>
      <c r="AP1382" s="9"/>
      <c r="AQ1382" s="9"/>
      <c r="AR1382" s="9"/>
      <c r="AS1382" s="9"/>
      <c r="AT1382" s="9"/>
      <c r="AU1382" s="9"/>
    </row>
    <row r="1383" spans="1:47" ht="15.75" customHeight="1">
      <c r="A1383" s="9"/>
      <c r="B1383" s="9"/>
      <c r="C1383" s="9"/>
      <c r="D1383" s="9"/>
      <c r="E1383" s="9"/>
      <c r="F1383" s="67"/>
      <c r="G1383" s="9"/>
      <c r="H1383" s="9"/>
      <c r="I1383" s="9"/>
      <c r="J1383" s="9"/>
      <c r="K1383" s="9"/>
      <c r="L1383" s="9"/>
      <c r="M1383" s="9"/>
      <c r="N1383" s="9"/>
      <c r="O1383" s="9"/>
      <c r="P1383" s="9"/>
      <c r="Q1383" s="9"/>
      <c r="R1383" s="9"/>
      <c r="S1383" s="9"/>
      <c r="T1383" s="9"/>
      <c r="U1383" s="9"/>
      <c r="V1383" s="9"/>
      <c r="W1383" s="9"/>
      <c r="X1383" s="9"/>
      <c r="Y1383" s="9"/>
      <c r="Z1383" s="9"/>
      <c r="AA1383" s="9"/>
      <c r="AB1383" s="9"/>
      <c r="AC1383" s="9"/>
      <c r="AD1383" s="9"/>
      <c r="AE1383" s="9"/>
      <c r="AF1383" s="9"/>
      <c r="AG1383" s="9"/>
      <c r="AH1383" s="9"/>
      <c r="AI1383" s="9"/>
      <c r="AJ1383" s="9"/>
      <c r="AK1383" s="9"/>
      <c r="AL1383" s="9"/>
      <c r="AM1383" s="9"/>
      <c r="AN1383" s="9"/>
      <c r="AO1383" s="9"/>
      <c r="AP1383" s="9"/>
      <c r="AQ1383" s="9"/>
      <c r="AR1383" s="9"/>
      <c r="AS1383" s="9"/>
      <c r="AT1383" s="9"/>
      <c r="AU1383" s="9"/>
    </row>
    <row r="1384" spans="1:47" ht="15.75" customHeight="1">
      <c r="A1384" s="9"/>
      <c r="B1384" s="9"/>
      <c r="C1384" s="9"/>
      <c r="D1384" s="9"/>
      <c r="E1384" s="9"/>
      <c r="F1384" s="67"/>
      <c r="G1384" s="9"/>
      <c r="H1384" s="9"/>
      <c r="I1384" s="9"/>
      <c r="J1384" s="9"/>
      <c r="K1384" s="9"/>
      <c r="L1384" s="9"/>
      <c r="M1384" s="9"/>
      <c r="N1384" s="9"/>
      <c r="O1384" s="9"/>
      <c r="P1384" s="9"/>
      <c r="Q1384" s="9"/>
      <c r="R1384" s="9"/>
      <c r="S1384" s="9"/>
      <c r="T1384" s="9"/>
      <c r="U1384" s="9"/>
      <c r="V1384" s="9"/>
      <c r="W1384" s="9"/>
      <c r="X1384" s="9"/>
      <c r="Y1384" s="9"/>
      <c r="Z1384" s="9"/>
      <c r="AA1384" s="9"/>
      <c r="AB1384" s="9"/>
      <c r="AC1384" s="9"/>
      <c r="AD1384" s="9"/>
      <c r="AE1384" s="9"/>
      <c r="AF1384" s="9"/>
      <c r="AG1384" s="9"/>
      <c r="AH1384" s="9"/>
      <c r="AI1384" s="9"/>
      <c r="AJ1384" s="9"/>
      <c r="AK1384" s="9"/>
      <c r="AL1384" s="9"/>
      <c r="AM1384" s="9"/>
      <c r="AN1384" s="9"/>
      <c r="AO1384" s="9"/>
      <c r="AP1384" s="9"/>
      <c r="AQ1384" s="9"/>
      <c r="AR1384" s="9"/>
      <c r="AS1384" s="9"/>
      <c r="AT1384" s="9"/>
      <c r="AU1384" s="9"/>
    </row>
    <row r="1385" spans="1:47" ht="15.75" customHeight="1">
      <c r="A1385" s="9"/>
      <c r="B1385" s="9"/>
      <c r="C1385" s="9"/>
      <c r="D1385" s="9"/>
      <c r="E1385" s="9"/>
      <c r="F1385" s="67"/>
      <c r="G1385" s="9"/>
      <c r="H1385" s="9"/>
      <c r="I1385" s="9"/>
      <c r="J1385" s="9"/>
      <c r="K1385" s="9"/>
      <c r="L1385" s="9"/>
      <c r="M1385" s="9"/>
      <c r="N1385" s="9"/>
      <c r="O1385" s="9"/>
      <c r="P1385" s="9"/>
      <c r="Q1385" s="9"/>
      <c r="R1385" s="9"/>
      <c r="S1385" s="9"/>
      <c r="T1385" s="9"/>
      <c r="U1385" s="9"/>
      <c r="V1385" s="9"/>
      <c r="W1385" s="9"/>
      <c r="X1385" s="9"/>
      <c r="Y1385" s="9"/>
      <c r="Z1385" s="9"/>
      <c r="AA1385" s="9"/>
      <c r="AB1385" s="9"/>
      <c r="AC1385" s="9"/>
      <c r="AD1385" s="9"/>
      <c r="AE1385" s="9"/>
      <c r="AF1385" s="9"/>
      <c r="AG1385" s="9"/>
      <c r="AH1385" s="9"/>
      <c r="AI1385" s="9"/>
      <c r="AJ1385" s="9"/>
      <c r="AK1385" s="9"/>
      <c r="AL1385" s="9"/>
      <c r="AM1385" s="9"/>
      <c r="AN1385" s="9"/>
      <c r="AO1385" s="9"/>
      <c r="AP1385" s="9"/>
      <c r="AQ1385" s="9"/>
      <c r="AR1385" s="9"/>
      <c r="AS1385" s="9"/>
      <c r="AT1385" s="9"/>
      <c r="AU1385" s="9"/>
    </row>
    <row r="1386" spans="1:47" ht="15.75" customHeight="1">
      <c r="A1386" s="9"/>
      <c r="B1386" s="9"/>
      <c r="C1386" s="9"/>
      <c r="D1386" s="9"/>
      <c r="E1386" s="9"/>
      <c r="F1386" s="67"/>
      <c r="G1386" s="9"/>
      <c r="H1386" s="9"/>
      <c r="I1386" s="9"/>
      <c r="J1386" s="9"/>
      <c r="K1386" s="9"/>
      <c r="L1386" s="9"/>
      <c r="M1386" s="9"/>
      <c r="N1386" s="9"/>
      <c r="O1386" s="9"/>
      <c r="P1386" s="9"/>
      <c r="Q1386" s="9"/>
      <c r="R1386" s="9"/>
      <c r="S1386" s="9"/>
      <c r="T1386" s="9"/>
      <c r="U1386" s="9"/>
      <c r="V1386" s="9"/>
      <c r="W1386" s="9"/>
      <c r="X1386" s="9"/>
      <c r="Y1386" s="9"/>
      <c r="Z1386" s="9"/>
      <c r="AA1386" s="9"/>
      <c r="AB1386" s="9"/>
      <c r="AC1386" s="9"/>
      <c r="AD1386" s="9"/>
      <c r="AE1386" s="9"/>
      <c r="AF1386" s="9"/>
      <c r="AG1386" s="9"/>
      <c r="AH1386" s="9"/>
      <c r="AI1386" s="9"/>
      <c r="AJ1386" s="9"/>
      <c r="AK1386" s="9"/>
      <c r="AL1386" s="9"/>
      <c r="AM1386" s="9"/>
      <c r="AN1386" s="9"/>
      <c r="AO1386" s="9"/>
      <c r="AP1386" s="9"/>
      <c r="AQ1386" s="9"/>
      <c r="AR1386" s="9"/>
      <c r="AS1386" s="9"/>
      <c r="AT1386" s="9"/>
      <c r="AU1386" s="9"/>
    </row>
    <row r="1387" spans="1:47" ht="15.75" customHeight="1">
      <c r="A1387" s="9"/>
      <c r="B1387" s="9"/>
      <c r="C1387" s="9"/>
      <c r="D1387" s="9"/>
      <c r="E1387" s="9"/>
      <c r="F1387" s="67"/>
      <c r="G1387" s="9"/>
      <c r="H1387" s="9"/>
      <c r="I1387" s="9"/>
      <c r="J1387" s="9"/>
      <c r="K1387" s="9"/>
      <c r="L1387" s="9"/>
      <c r="M1387" s="9"/>
      <c r="N1387" s="9"/>
      <c r="O1387" s="9"/>
      <c r="P1387" s="9"/>
      <c r="Q1387" s="9"/>
      <c r="R1387" s="9"/>
      <c r="S1387" s="9"/>
      <c r="T1387" s="9"/>
      <c r="U1387" s="9"/>
      <c r="V1387" s="9"/>
      <c r="W1387" s="9"/>
      <c r="X1387" s="9"/>
      <c r="Y1387" s="9"/>
      <c r="Z1387" s="9"/>
      <c r="AA1387" s="9"/>
      <c r="AB1387" s="9"/>
      <c r="AC1387" s="9"/>
      <c r="AD1387" s="9"/>
      <c r="AE1387" s="9"/>
      <c r="AF1387" s="9"/>
      <c r="AG1387" s="9"/>
      <c r="AH1387" s="9"/>
      <c r="AI1387" s="9"/>
      <c r="AJ1387" s="9"/>
      <c r="AK1387" s="9"/>
      <c r="AL1387" s="9"/>
      <c r="AM1387" s="9"/>
      <c r="AN1387" s="9"/>
      <c r="AO1387" s="9"/>
      <c r="AP1387" s="9"/>
      <c r="AQ1387" s="9"/>
      <c r="AR1387" s="9"/>
      <c r="AS1387" s="9"/>
      <c r="AT1387" s="9"/>
      <c r="AU1387" s="9"/>
    </row>
    <row r="1388" spans="1:47" ht="15.75" customHeight="1">
      <c r="A1388" s="9"/>
      <c r="B1388" s="9"/>
      <c r="C1388" s="9"/>
      <c r="D1388" s="9"/>
      <c r="E1388" s="9"/>
      <c r="F1388" s="67"/>
      <c r="G1388" s="9"/>
      <c r="H1388" s="9"/>
      <c r="I1388" s="9"/>
      <c r="J1388" s="9"/>
      <c r="K1388" s="9"/>
      <c r="L1388" s="9"/>
      <c r="M1388" s="9"/>
      <c r="N1388" s="9"/>
      <c r="O1388" s="9"/>
      <c r="P1388" s="9"/>
      <c r="Q1388" s="9"/>
      <c r="R1388" s="9"/>
      <c r="S1388" s="9"/>
      <c r="T1388" s="9"/>
      <c r="U1388" s="9"/>
      <c r="V1388" s="9"/>
      <c r="W1388" s="9"/>
      <c r="X1388" s="9"/>
      <c r="Y1388" s="9"/>
      <c r="Z1388" s="9"/>
      <c r="AA1388" s="9"/>
      <c r="AB1388" s="9"/>
      <c r="AC1388" s="9"/>
      <c r="AD1388" s="9"/>
      <c r="AE1388" s="9"/>
      <c r="AF1388" s="9"/>
      <c r="AG1388" s="9"/>
      <c r="AH1388" s="9"/>
      <c r="AI1388" s="9"/>
      <c r="AJ1388" s="9"/>
      <c r="AK1388" s="9"/>
      <c r="AL1388" s="9"/>
      <c r="AM1388" s="9"/>
      <c r="AN1388" s="9"/>
      <c r="AO1388" s="9"/>
      <c r="AP1388" s="9"/>
      <c r="AQ1388" s="9"/>
      <c r="AR1388" s="9"/>
      <c r="AS1388" s="9"/>
      <c r="AT1388" s="9"/>
      <c r="AU1388" s="9"/>
    </row>
    <row r="1389" spans="1:47" ht="15.75" customHeight="1">
      <c r="A1389" s="9"/>
      <c r="B1389" s="9"/>
      <c r="C1389" s="9"/>
      <c r="D1389" s="9"/>
      <c r="E1389" s="9"/>
      <c r="F1389" s="67"/>
      <c r="G1389" s="9"/>
      <c r="H1389" s="9"/>
      <c r="I1389" s="9"/>
      <c r="J1389" s="9"/>
      <c r="K1389" s="9"/>
      <c r="L1389" s="9"/>
      <c r="M1389" s="9"/>
      <c r="N1389" s="9"/>
      <c r="O1389" s="9"/>
      <c r="P1389" s="9"/>
      <c r="Q1389" s="9"/>
      <c r="R1389" s="9"/>
      <c r="S1389" s="9"/>
      <c r="T1389" s="9"/>
      <c r="U1389" s="9"/>
      <c r="V1389" s="9"/>
      <c r="W1389" s="9"/>
      <c r="X1389" s="9"/>
      <c r="Y1389" s="9"/>
      <c r="Z1389" s="9"/>
      <c r="AA1389" s="9"/>
      <c r="AB1389" s="9"/>
      <c r="AC1389" s="9"/>
      <c r="AD1389" s="9"/>
      <c r="AE1389" s="9"/>
      <c r="AF1389" s="9"/>
      <c r="AG1389" s="9"/>
      <c r="AH1389" s="9"/>
      <c r="AI1389" s="9"/>
      <c r="AJ1389" s="9"/>
      <c r="AK1389" s="9"/>
      <c r="AL1389" s="9"/>
      <c r="AM1389" s="9"/>
      <c r="AN1389" s="9"/>
      <c r="AO1389" s="9"/>
      <c r="AP1389" s="9"/>
      <c r="AQ1389" s="9"/>
      <c r="AR1389" s="9"/>
      <c r="AS1389" s="9"/>
      <c r="AT1389" s="9"/>
      <c r="AU1389" s="9"/>
    </row>
    <row r="1390" spans="1:47" ht="15.75" customHeight="1">
      <c r="A1390" s="9"/>
      <c r="B1390" s="9"/>
      <c r="C1390" s="9"/>
      <c r="D1390" s="9"/>
      <c r="E1390" s="9"/>
      <c r="F1390" s="67"/>
      <c r="G1390" s="9"/>
      <c r="H1390" s="9"/>
      <c r="I1390" s="9"/>
      <c r="J1390" s="9"/>
      <c r="K1390" s="9"/>
      <c r="L1390" s="9"/>
      <c r="M1390" s="9"/>
      <c r="N1390" s="9"/>
      <c r="O1390" s="9"/>
      <c r="P1390" s="9"/>
      <c r="Q1390" s="9"/>
      <c r="R1390" s="9"/>
      <c r="S1390" s="9"/>
      <c r="T1390" s="9"/>
      <c r="U1390" s="9"/>
      <c r="V1390" s="9"/>
      <c r="W1390" s="9"/>
      <c r="X1390" s="9"/>
      <c r="Y1390" s="9"/>
      <c r="Z1390" s="9"/>
      <c r="AA1390" s="9"/>
      <c r="AB1390" s="9"/>
      <c r="AC1390" s="9"/>
      <c r="AD1390" s="9"/>
      <c r="AE1390" s="9"/>
      <c r="AF1390" s="9"/>
      <c r="AG1390" s="9"/>
      <c r="AH1390" s="9"/>
      <c r="AI1390" s="9"/>
      <c r="AJ1390" s="9"/>
      <c r="AK1390" s="9"/>
      <c r="AL1390" s="9"/>
      <c r="AM1390" s="9"/>
      <c r="AN1390" s="9"/>
      <c r="AO1390" s="9"/>
      <c r="AP1390" s="9"/>
      <c r="AQ1390" s="9"/>
      <c r="AR1390" s="9"/>
      <c r="AS1390" s="9"/>
      <c r="AT1390" s="9"/>
      <c r="AU1390" s="9"/>
    </row>
    <row r="1391" spans="1:47" ht="15.75" customHeight="1">
      <c r="A1391" s="9"/>
      <c r="B1391" s="9"/>
      <c r="C1391" s="9"/>
      <c r="D1391" s="9"/>
      <c r="E1391" s="9"/>
      <c r="F1391" s="67"/>
      <c r="G1391" s="9"/>
      <c r="H1391" s="9"/>
      <c r="I1391" s="9"/>
      <c r="J1391" s="9"/>
      <c r="K1391" s="9"/>
      <c r="L1391" s="9"/>
      <c r="M1391" s="9"/>
      <c r="N1391" s="9"/>
      <c r="O1391" s="9"/>
      <c r="P1391" s="9"/>
      <c r="Q1391" s="9"/>
      <c r="R1391" s="9"/>
      <c r="S1391" s="9"/>
      <c r="T1391" s="9"/>
      <c r="U1391" s="9"/>
      <c r="V1391" s="9"/>
      <c r="W1391" s="9"/>
      <c r="X1391" s="9"/>
      <c r="Y1391" s="9"/>
      <c r="Z1391" s="9"/>
      <c r="AA1391" s="9"/>
      <c r="AB1391" s="9"/>
      <c r="AC1391" s="9"/>
      <c r="AD1391" s="9"/>
      <c r="AE1391" s="9"/>
      <c r="AF1391" s="9"/>
      <c r="AG1391" s="9"/>
      <c r="AH1391" s="9"/>
      <c r="AI1391" s="9"/>
      <c r="AJ1391" s="9"/>
      <c r="AK1391" s="9"/>
      <c r="AL1391" s="9"/>
      <c r="AM1391" s="9"/>
      <c r="AN1391" s="9"/>
      <c r="AO1391" s="9"/>
      <c r="AP1391" s="9"/>
      <c r="AQ1391" s="9"/>
      <c r="AR1391" s="9"/>
      <c r="AS1391" s="9"/>
      <c r="AT1391" s="9"/>
      <c r="AU1391" s="9"/>
    </row>
    <row r="1392" spans="1:47" ht="15.75" customHeight="1">
      <c r="A1392" s="9"/>
      <c r="B1392" s="9"/>
      <c r="C1392" s="9"/>
      <c r="D1392" s="9"/>
      <c r="E1392" s="9"/>
      <c r="F1392" s="67"/>
      <c r="G1392" s="9"/>
      <c r="H1392" s="9"/>
      <c r="I1392" s="9"/>
      <c r="J1392" s="9"/>
      <c r="K1392" s="9"/>
      <c r="L1392" s="9"/>
      <c r="M1392" s="9"/>
      <c r="N1392" s="9"/>
      <c r="O1392" s="9"/>
      <c r="P1392" s="9"/>
      <c r="Q1392" s="9"/>
      <c r="R1392" s="9"/>
      <c r="S1392" s="9"/>
      <c r="T1392" s="9"/>
      <c r="U1392" s="9"/>
      <c r="V1392" s="9"/>
      <c r="W1392" s="9"/>
      <c r="X1392" s="9"/>
      <c r="Y1392" s="9"/>
      <c r="Z1392" s="9"/>
      <c r="AA1392" s="9"/>
      <c r="AB1392" s="9"/>
      <c r="AC1392" s="9"/>
      <c r="AD1392" s="9"/>
      <c r="AE1392" s="9"/>
      <c r="AF1392" s="9"/>
      <c r="AG1392" s="9"/>
      <c r="AH1392" s="9"/>
      <c r="AI1392" s="9"/>
      <c r="AJ1392" s="9"/>
      <c r="AK1392" s="9"/>
      <c r="AL1392" s="9"/>
      <c r="AM1392" s="9"/>
      <c r="AN1392" s="9"/>
      <c r="AO1392" s="9"/>
      <c r="AP1392" s="9"/>
      <c r="AQ1392" s="9"/>
      <c r="AR1392" s="9"/>
      <c r="AS1392" s="9"/>
      <c r="AT1392" s="9"/>
      <c r="AU1392" s="9"/>
    </row>
    <row r="1393" spans="1:47" ht="15.75" customHeight="1">
      <c r="A1393" s="9"/>
      <c r="B1393" s="9"/>
      <c r="C1393" s="9"/>
      <c r="D1393" s="9"/>
      <c r="E1393" s="9"/>
      <c r="F1393" s="67"/>
      <c r="G1393" s="9"/>
      <c r="H1393" s="9"/>
      <c r="I1393" s="9"/>
      <c r="J1393" s="9"/>
      <c r="K1393" s="9"/>
      <c r="L1393" s="9"/>
      <c r="M1393" s="9"/>
      <c r="N1393" s="9"/>
      <c r="O1393" s="9"/>
      <c r="P1393" s="9"/>
      <c r="Q1393" s="9"/>
      <c r="R1393" s="9"/>
      <c r="S1393" s="9"/>
      <c r="T1393" s="9"/>
      <c r="U1393" s="9"/>
      <c r="V1393" s="9"/>
      <c r="W1393" s="9"/>
      <c r="X1393" s="9"/>
      <c r="Y1393" s="9"/>
      <c r="Z1393" s="9"/>
      <c r="AA1393" s="9"/>
      <c r="AB1393" s="9"/>
      <c r="AC1393" s="9"/>
      <c r="AD1393" s="9"/>
      <c r="AE1393" s="9"/>
      <c r="AF1393" s="9"/>
      <c r="AG1393" s="9"/>
      <c r="AH1393" s="9"/>
      <c r="AI1393" s="9"/>
      <c r="AJ1393" s="9"/>
      <c r="AK1393" s="9"/>
      <c r="AL1393" s="9"/>
      <c r="AM1393" s="9"/>
      <c r="AN1393" s="9"/>
      <c r="AO1393" s="9"/>
      <c r="AP1393" s="9"/>
      <c r="AQ1393" s="9"/>
      <c r="AR1393" s="9"/>
      <c r="AS1393" s="9"/>
      <c r="AT1393" s="9"/>
      <c r="AU1393" s="9"/>
    </row>
    <row r="1394" spans="1:47" ht="15.75" customHeight="1">
      <c r="A1394" s="9"/>
      <c r="B1394" s="9"/>
      <c r="C1394" s="9"/>
      <c r="D1394" s="9"/>
      <c r="E1394" s="9"/>
      <c r="F1394" s="67"/>
      <c r="G1394" s="9"/>
      <c r="H1394" s="9"/>
      <c r="I1394" s="9"/>
      <c r="J1394" s="9"/>
      <c r="K1394" s="9"/>
      <c r="L1394" s="9"/>
      <c r="M1394" s="9"/>
      <c r="N1394" s="9"/>
      <c r="O1394" s="9"/>
      <c r="P1394" s="9"/>
      <c r="Q1394" s="9"/>
      <c r="R1394" s="9"/>
      <c r="S1394" s="9"/>
      <c r="T1394" s="9"/>
      <c r="U1394" s="9"/>
      <c r="V1394" s="9"/>
      <c r="W1394" s="9"/>
      <c r="X1394" s="9"/>
      <c r="Y1394" s="9"/>
      <c r="Z1394" s="9"/>
      <c r="AA1394" s="9"/>
      <c r="AB1394" s="9"/>
      <c r="AC1394" s="9"/>
      <c r="AD1394" s="9"/>
      <c r="AE1394" s="9"/>
      <c r="AF1394" s="9"/>
      <c r="AG1394" s="9"/>
      <c r="AH1394" s="9"/>
      <c r="AI1394" s="9"/>
      <c r="AJ1394" s="9"/>
      <c r="AK1394" s="9"/>
      <c r="AL1394" s="9"/>
      <c r="AM1394" s="9"/>
      <c r="AN1394" s="9"/>
      <c r="AO1394" s="9"/>
      <c r="AP1394" s="9"/>
      <c r="AQ1394" s="9"/>
      <c r="AR1394" s="9"/>
      <c r="AS1394" s="9"/>
      <c r="AT1394" s="9"/>
      <c r="AU1394" s="9"/>
    </row>
    <row r="1395" spans="1:47" ht="15.75" customHeight="1">
      <c r="A1395" s="9"/>
      <c r="B1395" s="9"/>
      <c r="C1395" s="9"/>
      <c r="D1395" s="9"/>
      <c r="E1395" s="9"/>
      <c r="F1395" s="67"/>
      <c r="G1395" s="9"/>
      <c r="H1395" s="9"/>
      <c r="I1395" s="9"/>
      <c r="J1395" s="9"/>
      <c r="K1395" s="9"/>
      <c r="L1395" s="9"/>
      <c r="M1395" s="9"/>
      <c r="N1395" s="9"/>
      <c r="O1395" s="9"/>
      <c r="P1395" s="9"/>
      <c r="Q1395" s="9"/>
      <c r="R1395" s="9"/>
      <c r="S1395" s="9"/>
      <c r="T1395" s="9"/>
      <c r="U1395" s="9"/>
      <c r="V1395" s="9"/>
      <c r="W1395" s="9"/>
      <c r="X1395" s="9"/>
      <c r="Y1395" s="9"/>
      <c r="Z1395" s="9"/>
      <c r="AA1395" s="9"/>
      <c r="AB1395" s="9"/>
      <c r="AC1395" s="9"/>
      <c r="AD1395" s="9"/>
      <c r="AE1395" s="9"/>
      <c r="AF1395" s="9"/>
      <c r="AG1395" s="9"/>
      <c r="AH1395" s="9"/>
      <c r="AI1395" s="9"/>
      <c r="AJ1395" s="9"/>
      <c r="AK1395" s="9"/>
      <c r="AL1395" s="9"/>
      <c r="AM1395" s="9"/>
      <c r="AN1395" s="9"/>
      <c r="AO1395" s="9"/>
      <c r="AP1395" s="9"/>
      <c r="AQ1395" s="9"/>
      <c r="AR1395" s="9"/>
      <c r="AS1395" s="9"/>
      <c r="AT1395" s="9"/>
      <c r="AU1395" s="9"/>
    </row>
    <row r="1396" spans="1:47" ht="15.75" customHeight="1">
      <c r="A1396" s="9"/>
      <c r="B1396" s="9"/>
      <c r="C1396" s="9"/>
      <c r="D1396" s="9"/>
      <c r="E1396" s="9"/>
      <c r="F1396" s="67"/>
      <c r="G1396" s="9"/>
      <c r="H1396" s="9"/>
      <c r="I1396" s="9"/>
      <c r="J1396" s="9"/>
      <c r="K1396" s="9"/>
      <c r="L1396" s="9"/>
      <c r="M1396" s="9"/>
      <c r="N1396" s="9"/>
      <c r="O1396" s="9"/>
      <c r="P1396" s="9"/>
      <c r="Q1396" s="9"/>
      <c r="R1396" s="9"/>
      <c r="S1396" s="9"/>
      <c r="T1396" s="9"/>
      <c r="U1396" s="9"/>
      <c r="V1396" s="9"/>
      <c r="W1396" s="9"/>
      <c r="X1396" s="9"/>
      <c r="Y1396" s="9"/>
      <c r="Z1396" s="9"/>
      <c r="AA1396" s="9"/>
      <c r="AB1396" s="9"/>
      <c r="AC1396" s="9"/>
      <c r="AD1396" s="9"/>
      <c r="AE1396" s="9"/>
      <c r="AF1396" s="9"/>
      <c r="AG1396" s="9"/>
      <c r="AH1396" s="9"/>
      <c r="AI1396" s="9"/>
      <c r="AJ1396" s="9"/>
      <c r="AK1396" s="9"/>
      <c r="AL1396" s="9"/>
      <c r="AM1396" s="9"/>
      <c r="AN1396" s="9"/>
      <c r="AO1396" s="9"/>
      <c r="AP1396" s="9"/>
      <c r="AQ1396" s="9"/>
      <c r="AR1396" s="9"/>
      <c r="AS1396" s="9"/>
      <c r="AT1396" s="9"/>
      <c r="AU1396" s="9"/>
    </row>
    <row r="1397" spans="1:47" ht="15.75" customHeight="1">
      <c r="A1397" s="9"/>
      <c r="B1397" s="9"/>
      <c r="C1397" s="9"/>
      <c r="D1397" s="9"/>
      <c r="E1397" s="9"/>
      <c r="F1397" s="67"/>
      <c r="G1397" s="9"/>
      <c r="H1397" s="9"/>
      <c r="I1397" s="9"/>
      <c r="J1397" s="9"/>
      <c r="K1397" s="9"/>
      <c r="L1397" s="9"/>
      <c r="M1397" s="9"/>
      <c r="N1397" s="9"/>
      <c r="O1397" s="9"/>
      <c r="P1397" s="9"/>
      <c r="Q1397" s="9"/>
      <c r="R1397" s="9"/>
      <c r="S1397" s="9"/>
      <c r="T1397" s="9"/>
      <c r="U1397" s="9"/>
      <c r="V1397" s="9"/>
      <c r="W1397" s="9"/>
      <c r="X1397" s="9"/>
      <c r="Y1397" s="9"/>
      <c r="Z1397" s="9"/>
      <c r="AA1397" s="9"/>
      <c r="AB1397" s="9"/>
      <c r="AC1397" s="9"/>
      <c r="AD1397" s="9"/>
      <c r="AE1397" s="9"/>
      <c r="AF1397" s="9"/>
      <c r="AG1397" s="9"/>
      <c r="AH1397" s="9"/>
      <c r="AI1397" s="9"/>
      <c r="AJ1397" s="9"/>
      <c r="AK1397" s="9"/>
      <c r="AL1397" s="9"/>
      <c r="AM1397" s="9"/>
      <c r="AN1397" s="9"/>
      <c r="AO1397" s="9"/>
      <c r="AP1397" s="9"/>
      <c r="AQ1397" s="9"/>
      <c r="AR1397" s="9"/>
      <c r="AS1397" s="9"/>
      <c r="AT1397" s="9"/>
      <c r="AU1397" s="9"/>
    </row>
    <row r="1398" spans="1:47" ht="15.75" customHeight="1">
      <c r="A1398" s="9"/>
      <c r="B1398" s="9"/>
      <c r="C1398" s="9"/>
      <c r="D1398" s="9"/>
      <c r="E1398" s="9"/>
      <c r="F1398" s="67"/>
      <c r="G1398" s="9"/>
      <c r="H1398" s="9"/>
      <c r="I1398" s="9"/>
      <c r="J1398" s="9"/>
      <c r="K1398" s="9"/>
      <c r="L1398" s="9"/>
      <c r="M1398" s="9"/>
      <c r="N1398" s="9"/>
      <c r="O1398" s="9"/>
      <c r="P1398" s="9"/>
      <c r="Q1398" s="9"/>
      <c r="R1398" s="9"/>
      <c r="S1398" s="9"/>
      <c r="T1398" s="9"/>
      <c r="U1398" s="9"/>
      <c r="V1398" s="9"/>
      <c r="W1398" s="9"/>
      <c r="X1398" s="9"/>
      <c r="Y1398" s="9"/>
      <c r="Z1398" s="9"/>
      <c r="AA1398" s="9"/>
      <c r="AB1398" s="9"/>
      <c r="AC1398" s="9"/>
      <c r="AD1398" s="9"/>
      <c r="AE1398" s="9"/>
      <c r="AF1398" s="9"/>
      <c r="AG1398" s="9"/>
      <c r="AH1398" s="9"/>
      <c r="AI1398" s="9"/>
      <c r="AJ1398" s="9"/>
      <c r="AK1398" s="9"/>
      <c r="AL1398" s="9"/>
      <c r="AM1398" s="9"/>
      <c r="AN1398" s="9"/>
      <c r="AO1398" s="9"/>
      <c r="AP1398" s="9"/>
      <c r="AQ1398" s="9"/>
      <c r="AR1398" s="9"/>
      <c r="AS1398" s="9"/>
      <c r="AT1398" s="9"/>
      <c r="AU1398" s="9"/>
    </row>
    <row r="1399" spans="1:47" ht="15.75" customHeight="1">
      <c r="A1399" s="9"/>
      <c r="B1399" s="9"/>
      <c r="C1399" s="9"/>
      <c r="D1399" s="9"/>
      <c r="E1399" s="9"/>
      <c r="F1399" s="67"/>
      <c r="G1399" s="9"/>
      <c r="H1399" s="9"/>
      <c r="I1399" s="9"/>
      <c r="J1399" s="9"/>
      <c r="K1399" s="9"/>
      <c r="L1399" s="9"/>
      <c r="M1399" s="9"/>
      <c r="N1399" s="9"/>
      <c r="O1399" s="9"/>
      <c r="P1399" s="9"/>
      <c r="Q1399" s="9"/>
      <c r="R1399" s="9"/>
      <c r="S1399" s="9"/>
      <c r="T1399" s="9"/>
      <c r="U1399" s="9"/>
      <c r="V1399" s="9"/>
      <c r="W1399" s="9"/>
      <c r="X1399" s="9"/>
      <c r="Y1399" s="9"/>
      <c r="Z1399" s="9"/>
      <c r="AA1399" s="9"/>
      <c r="AB1399" s="9"/>
      <c r="AC1399" s="9"/>
      <c r="AD1399" s="9"/>
      <c r="AE1399" s="9"/>
      <c r="AF1399" s="9"/>
      <c r="AG1399" s="9"/>
      <c r="AH1399" s="9"/>
      <c r="AI1399" s="9"/>
      <c r="AJ1399" s="9"/>
      <c r="AK1399" s="9"/>
      <c r="AL1399" s="9"/>
      <c r="AM1399" s="9"/>
      <c r="AN1399" s="9"/>
      <c r="AO1399" s="9"/>
      <c r="AP1399" s="9"/>
      <c r="AQ1399" s="9"/>
      <c r="AR1399" s="9"/>
      <c r="AS1399" s="9"/>
      <c r="AT1399" s="9"/>
      <c r="AU1399" s="9"/>
    </row>
    <row r="1400" spans="1:47" ht="15.75" customHeight="1">
      <c r="A1400" s="9"/>
      <c r="B1400" s="9"/>
      <c r="C1400" s="9"/>
      <c r="D1400" s="9"/>
      <c r="E1400" s="9"/>
      <c r="F1400" s="67"/>
      <c r="G1400" s="9"/>
      <c r="H1400" s="9"/>
      <c r="I1400" s="9"/>
      <c r="J1400" s="9"/>
      <c r="K1400" s="9"/>
      <c r="L1400" s="9"/>
      <c r="M1400" s="9"/>
      <c r="N1400" s="9"/>
      <c r="O1400" s="9"/>
      <c r="P1400" s="9"/>
      <c r="Q1400" s="9"/>
      <c r="R1400" s="9"/>
      <c r="S1400" s="9"/>
      <c r="T1400" s="9"/>
      <c r="U1400" s="9"/>
      <c r="V1400" s="9"/>
      <c r="W1400" s="9"/>
      <c r="X1400" s="9"/>
      <c r="Y1400" s="9"/>
      <c r="Z1400" s="9"/>
      <c r="AA1400" s="9"/>
      <c r="AB1400" s="9"/>
      <c r="AC1400" s="9"/>
      <c r="AD1400" s="9"/>
      <c r="AE1400" s="9"/>
      <c r="AF1400" s="9"/>
      <c r="AG1400" s="9"/>
      <c r="AH1400" s="9"/>
      <c r="AI1400" s="9"/>
      <c r="AJ1400" s="9"/>
      <c r="AK1400" s="9"/>
      <c r="AL1400" s="9"/>
      <c r="AM1400" s="9"/>
      <c r="AN1400" s="9"/>
      <c r="AO1400" s="9"/>
      <c r="AP1400" s="9"/>
      <c r="AQ1400" s="9"/>
      <c r="AR1400" s="9"/>
      <c r="AS1400" s="9"/>
      <c r="AT1400" s="9"/>
      <c r="AU1400" s="9"/>
    </row>
    <row r="1401" spans="1:47" ht="15.75" customHeight="1">
      <c r="A1401" s="9"/>
      <c r="B1401" s="9"/>
      <c r="C1401" s="9"/>
      <c r="D1401" s="9"/>
      <c r="E1401" s="9"/>
      <c r="F1401" s="67"/>
      <c r="G1401" s="9"/>
      <c r="H1401" s="9"/>
      <c r="I1401" s="9"/>
      <c r="J1401" s="9"/>
      <c r="K1401" s="9"/>
      <c r="L1401" s="9"/>
      <c r="M1401" s="9"/>
      <c r="N1401" s="9"/>
      <c r="O1401" s="9"/>
      <c r="P1401" s="9"/>
      <c r="Q1401" s="9"/>
      <c r="R1401" s="9"/>
      <c r="S1401" s="9"/>
      <c r="T1401" s="9"/>
      <c r="U1401" s="9"/>
      <c r="V1401" s="9"/>
      <c r="W1401" s="9"/>
      <c r="X1401" s="9"/>
      <c r="Y1401" s="9"/>
      <c r="Z1401" s="9"/>
      <c r="AA1401" s="9"/>
      <c r="AB1401" s="9"/>
      <c r="AC1401" s="9"/>
      <c r="AD1401" s="9"/>
      <c r="AE1401" s="9"/>
      <c r="AF1401" s="9"/>
      <c r="AG1401" s="9"/>
      <c r="AH1401" s="9"/>
      <c r="AI1401" s="9"/>
      <c r="AJ1401" s="9"/>
      <c r="AK1401" s="9"/>
      <c r="AL1401" s="9"/>
      <c r="AM1401" s="9"/>
      <c r="AN1401" s="9"/>
      <c r="AO1401" s="9"/>
      <c r="AP1401" s="9"/>
      <c r="AQ1401" s="9"/>
      <c r="AR1401" s="9"/>
      <c r="AS1401" s="9"/>
      <c r="AT1401" s="9"/>
      <c r="AU1401" s="9"/>
    </row>
    <row r="1402" spans="1:47" ht="15.75" customHeight="1">
      <c r="A1402" s="9"/>
      <c r="B1402" s="9"/>
      <c r="C1402" s="9"/>
      <c r="D1402" s="9"/>
      <c r="E1402" s="9"/>
      <c r="F1402" s="67"/>
      <c r="G1402" s="9"/>
      <c r="H1402" s="9"/>
      <c r="I1402" s="9"/>
      <c r="J1402" s="9"/>
      <c r="K1402" s="9"/>
      <c r="L1402" s="9"/>
      <c r="M1402" s="9"/>
      <c r="N1402" s="9"/>
      <c r="O1402" s="9"/>
      <c r="P1402" s="9"/>
      <c r="Q1402" s="9"/>
      <c r="R1402" s="9"/>
      <c r="S1402" s="9"/>
      <c r="T1402" s="9"/>
      <c r="U1402" s="9"/>
      <c r="V1402" s="9"/>
      <c r="W1402" s="9"/>
      <c r="X1402" s="9"/>
      <c r="Y1402" s="9"/>
      <c r="Z1402" s="9"/>
      <c r="AA1402" s="9"/>
      <c r="AB1402" s="9"/>
      <c r="AC1402" s="9"/>
      <c r="AD1402" s="9"/>
      <c r="AE1402" s="9"/>
      <c r="AF1402" s="9"/>
      <c r="AG1402" s="9"/>
      <c r="AH1402" s="9"/>
      <c r="AI1402" s="9"/>
      <c r="AJ1402" s="9"/>
      <c r="AK1402" s="9"/>
      <c r="AL1402" s="9"/>
      <c r="AM1402" s="9"/>
      <c r="AN1402" s="9"/>
      <c r="AO1402" s="9"/>
      <c r="AP1402" s="9"/>
      <c r="AQ1402" s="9"/>
      <c r="AR1402" s="9"/>
      <c r="AS1402" s="9"/>
      <c r="AT1402" s="9"/>
      <c r="AU1402" s="9"/>
    </row>
    <row r="1403" spans="1:47" ht="15.75" customHeight="1">
      <c r="A1403" s="9"/>
      <c r="B1403" s="9"/>
      <c r="C1403" s="9"/>
      <c r="D1403" s="9"/>
      <c r="E1403" s="9"/>
      <c r="F1403" s="67"/>
      <c r="G1403" s="9"/>
      <c r="H1403" s="9"/>
      <c r="I1403" s="9"/>
      <c r="J1403" s="9"/>
      <c r="K1403" s="9"/>
      <c r="L1403" s="9"/>
      <c r="M1403" s="9"/>
      <c r="N1403" s="9"/>
      <c r="O1403" s="9"/>
      <c r="P1403" s="9"/>
      <c r="Q1403" s="9"/>
      <c r="R1403" s="9"/>
      <c r="S1403" s="9"/>
      <c r="T1403" s="9"/>
      <c r="U1403" s="9"/>
      <c r="V1403" s="9"/>
      <c r="W1403" s="9"/>
      <c r="X1403" s="9"/>
      <c r="Y1403" s="9"/>
      <c r="Z1403" s="9"/>
      <c r="AA1403" s="9"/>
      <c r="AB1403" s="9"/>
      <c r="AC1403" s="9"/>
      <c r="AD1403" s="9"/>
      <c r="AE1403" s="9"/>
      <c r="AF1403" s="9"/>
      <c r="AG1403" s="9"/>
      <c r="AH1403" s="9"/>
      <c r="AI1403" s="9"/>
      <c r="AJ1403" s="9"/>
      <c r="AK1403" s="9"/>
      <c r="AL1403" s="9"/>
      <c r="AM1403" s="9"/>
      <c r="AN1403" s="9"/>
      <c r="AO1403" s="9"/>
      <c r="AP1403" s="9"/>
      <c r="AQ1403" s="9"/>
      <c r="AR1403" s="9"/>
      <c r="AS1403" s="9"/>
      <c r="AT1403" s="9"/>
      <c r="AU1403" s="9"/>
    </row>
    <row r="1404" spans="1:47" ht="15.75" customHeight="1">
      <c r="A1404" s="9"/>
      <c r="B1404" s="9"/>
      <c r="C1404" s="9"/>
      <c r="D1404" s="9"/>
      <c r="E1404" s="9"/>
      <c r="F1404" s="67"/>
      <c r="G1404" s="9"/>
      <c r="H1404" s="9"/>
      <c r="I1404" s="9"/>
      <c r="J1404" s="9"/>
      <c r="K1404" s="9"/>
      <c r="L1404" s="9"/>
      <c r="M1404" s="9"/>
      <c r="N1404" s="9"/>
      <c r="O1404" s="9"/>
      <c r="P1404" s="9"/>
      <c r="Q1404" s="9"/>
      <c r="R1404" s="9"/>
      <c r="S1404" s="9"/>
      <c r="T1404" s="9"/>
      <c r="U1404" s="9"/>
      <c r="V1404" s="9"/>
      <c r="W1404" s="9"/>
      <c r="X1404" s="9"/>
      <c r="Y1404" s="9"/>
      <c r="Z1404" s="9"/>
      <c r="AA1404" s="9"/>
      <c r="AB1404" s="9"/>
      <c r="AC1404" s="9"/>
      <c r="AD1404" s="9"/>
      <c r="AE1404" s="9"/>
      <c r="AF1404" s="9"/>
      <c r="AG1404" s="9"/>
      <c r="AH1404" s="9"/>
      <c r="AI1404" s="9"/>
      <c r="AJ1404" s="9"/>
      <c r="AK1404" s="9"/>
      <c r="AL1404" s="9"/>
      <c r="AM1404" s="9"/>
      <c r="AN1404" s="9"/>
      <c r="AO1404" s="9"/>
      <c r="AP1404" s="9"/>
      <c r="AQ1404" s="9"/>
      <c r="AR1404" s="9"/>
      <c r="AS1404" s="9"/>
      <c r="AT1404" s="9"/>
      <c r="AU1404" s="9"/>
    </row>
    <row r="1405" spans="1:47" ht="15.75" customHeight="1">
      <c r="A1405" s="9"/>
      <c r="B1405" s="9"/>
      <c r="C1405" s="9"/>
      <c r="D1405" s="9"/>
      <c r="E1405" s="9"/>
      <c r="F1405" s="67"/>
      <c r="G1405" s="9"/>
      <c r="H1405" s="9"/>
      <c r="I1405" s="9"/>
      <c r="J1405" s="9"/>
      <c r="K1405" s="9"/>
      <c r="L1405" s="9"/>
      <c r="M1405" s="9"/>
      <c r="N1405" s="9"/>
      <c r="O1405" s="9"/>
      <c r="P1405" s="9"/>
      <c r="Q1405" s="9"/>
      <c r="R1405" s="9"/>
      <c r="S1405" s="9"/>
      <c r="T1405" s="9"/>
      <c r="U1405" s="9"/>
      <c r="V1405" s="9"/>
      <c r="W1405" s="9"/>
      <c r="X1405" s="9"/>
      <c r="Y1405" s="9"/>
      <c r="Z1405" s="9"/>
      <c r="AA1405" s="9"/>
      <c r="AB1405" s="9"/>
      <c r="AC1405" s="9"/>
      <c r="AD1405" s="9"/>
      <c r="AE1405" s="9"/>
      <c r="AF1405" s="9"/>
      <c r="AG1405" s="9"/>
      <c r="AH1405" s="9"/>
      <c r="AI1405" s="9"/>
      <c r="AJ1405" s="9"/>
      <c r="AK1405" s="9"/>
      <c r="AL1405" s="9"/>
      <c r="AM1405" s="9"/>
      <c r="AN1405" s="9"/>
      <c r="AO1405" s="9"/>
      <c r="AP1405" s="9"/>
      <c r="AQ1405" s="9"/>
      <c r="AR1405" s="9"/>
      <c r="AS1405" s="9"/>
      <c r="AT1405" s="9"/>
      <c r="AU1405" s="9"/>
    </row>
    <row r="1406" spans="1:47" ht="15.75" customHeight="1">
      <c r="A1406" s="9"/>
      <c r="B1406" s="9"/>
      <c r="C1406" s="9"/>
      <c r="D1406" s="9"/>
      <c r="E1406" s="9"/>
      <c r="F1406" s="67"/>
      <c r="G1406" s="9"/>
      <c r="H1406" s="9"/>
      <c r="I1406" s="9"/>
      <c r="J1406" s="9"/>
      <c r="K1406" s="9"/>
      <c r="L1406" s="9"/>
      <c r="M1406" s="9"/>
      <c r="N1406" s="9"/>
      <c r="O1406" s="9"/>
      <c r="P1406" s="9"/>
      <c r="Q1406" s="9"/>
      <c r="R1406" s="9"/>
      <c r="S1406" s="9"/>
      <c r="T1406" s="9"/>
      <c r="U1406" s="9"/>
      <c r="V1406" s="9"/>
      <c r="W1406" s="9"/>
      <c r="X1406" s="9"/>
      <c r="Y1406" s="9"/>
      <c r="Z1406" s="9"/>
      <c r="AA1406" s="9"/>
      <c r="AB1406" s="9"/>
      <c r="AC1406" s="9"/>
      <c r="AD1406" s="9"/>
      <c r="AE1406" s="9"/>
      <c r="AF1406" s="9"/>
      <c r="AG1406" s="9"/>
      <c r="AH1406" s="9"/>
      <c r="AI1406" s="9"/>
      <c r="AJ1406" s="9"/>
      <c r="AK1406" s="9"/>
      <c r="AL1406" s="9"/>
      <c r="AM1406" s="9"/>
      <c r="AN1406" s="9"/>
      <c r="AO1406" s="9"/>
      <c r="AP1406" s="9"/>
      <c r="AQ1406" s="9"/>
      <c r="AR1406" s="9"/>
      <c r="AS1406" s="9"/>
      <c r="AT1406" s="9"/>
      <c r="AU1406" s="9"/>
    </row>
    <row r="1407" spans="1:47" ht="15.75" customHeight="1">
      <c r="A1407" s="9"/>
      <c r="B1407" s="9"/>
      <c r="C1407" s="9"/>
      <c r="D1407" s="9"/>
      <c r="E1407" s="9"/>
      <c r="F1407" s="67"/>
      <c r="G1407" s="9"/>
      <c r="H1407" s="9"/>
      <c r="I1407" s="9"/>
      <c r="J1407" s="9"/>
      <c r="K1407" s="9"/>
      <c r="L1407" s="9"/>
      <c r="M1407" s="9"/>
      <c r="N1407" s="9"/>
      <c r="O1407" s="9"/>
      <c r="P1407" s="9"/>
      <c r="Q1407" s="9"/>
      <c r="R1407" s="9"/>
      <c r="S1407" s="9"/>
      <c r="T1407" s="9"/>
      <c r="U1407" s="9"/>
      <c r="V1407" s="9"/>
      <c r="W1407" s="9"/>
      <c r="X1407" s="9"/>
      <c r="Y1407" s="9"/>
      <c r="Z1407" s="9"/>
      <c r="AA1407" s="9"/>
      <c r="AB1407" s="9"/>
      <c r="AC1407" s="9"/>
      <c r="AD1407" s="9"/>
      <c r="AE1407" s="9"/>
      <c r="AF1407" s="9"/>
      <c r="AG1407" s="9"/>
      <c r="AH1407" s="9"/>
      <c r="AI1407" s="9"/>
      <c r="AJ1407" s="9"/>
      <c r="AK1407" s="9"/>
      <c r="AL1407" s="9"/>
      <c r="AM1407" s="9"/>
      <c r="AN1407" s="9"/>
      <c r="AO1407" s="9"/>
      <c r="AP1407" s="9"/>
      <c r="AQ1407" s="9"/>
      <c r="AR1407" s="9"/>
      <c r="AS1407" s="9"/>
      <c r="AT1407" s="9"/>
      <c r="AU1407" s="9"/>
    </row>
    <row r="1408" spans="1:47" ht="15.75" customHeight="1">
      <c r="A1408" s="9"/>
      <c r="B1408" s="9"/>
      <c r="C1408" s="9"/>
      <c r="D1408" s="9"/>
      <c r="E1408" s="9"/>
      <c r="F1408" s="67"/>
      <c r="G1408" s="9"/>
      <c r="H1408" s="9"/>
      <c r="I1408" s="9"/>
      <c r="J1408" s="9"/>
      <c r="K1408" s="9"/>
      <c r="L1408" s="9"/>
      <c r="M1408" s="9"/>
      <c r="N1408" s="9"/>
      <c r="O1408" s="9"/>
      <c r="P1408" s="9"/>
      <c r="Q1408" s="9"/>
      <c r="R1408" s="9"/>
      <c r="S1408" s="9"/>
      <c r="T1408" s="9"/>
      <c r="U1408" s="9"/>
      <c r="V1408" s="9"/>
      <c r="W1408" s="9"/>
      <c r="X1408" s="9"/>
      <c r="Y1408" s="9"/>
      <c r="Z1408" s="9"/>
      <c r="AA1408" s="9"/>
      <c r="AB1408" s="9"/>
      <c r="AC1408" s="9"/>
      <c r="AD1408" s="9"/>
      <c r="AE1408" s="9"/>
      <c r="AF1408" s="9"/>
      <c r="AG1408" s="9"/>
      <c r="AH1408" s="9"/>
      <c r="AI1408" s="9"/>
      <c r="AJ1408" s="9"/>
      <c r="AK1408" s="9"/>
      <c r="AL1408" s="9"/>
      <c r="AM1408" s="9"/>
      <c r="AN1408" s="9"/>
      <c r="AO1408" s="9"/>
      <c r="AP1408" s="9"/>
      <c r="AQ1408" s="9"/>
      <c r="AR1408" s="9"/>
      <c r="AS1408" s="9"/>
      <c r="AT1408" s="9"/>
      <c r="AU1408" s="9"/>
    </row>
    <row r="1409" spans="1:47" ht="15.75" customHeight="1">
      <c r="A1409" s="9"/>
      <c r="B1409" s="9"/>
      <c r="C1409" s="9"/>
      <c r="D1409" s="9"/>
      <c r="E1409" s="9"/>
      <c r="F1409" s="67"/>
      <c r="G1409" s="9"/>
      <c r="H1409" s="9"/>
      <c r="I1409" s="9"/>
      <c r="J1409" s="9"/>
      <c r="K1409" s="9"/>
      <c r="L1409" s="9"/>
      <c r="M1409" s="9"/>
      <c r="N1409" s="9"/>
      <c r="O1409" s="9"/>
      <c r="P1409" s="9"/>
      <c r="Q1409" s="9"/>
      <c r="R1409" s="9"/>
      <c r="S1409" s="9"/>
      <c r="T1409" s="9"/>
      <c r="U1409" s="9"/>
      <c r="V1409" s="9"/>
      <c r="W1409" s="9"/>
      <c r="X1409" s="9"/>
      <c r="Y1409" s="9"/>
      <c r="Z1409" s="9"/>
      <c r="AA1409" s="9"/>
      <c r="AB1409" s="9"/>
      <c r="AC1409" s="9"/>
      <c r="AD1409" s="9"/>
      <c r="AE1409" s="9"/>
      <c r="AF1409" s="9"/>
      <c r="AG1409" s="9"/>
      <c r="AH1409" s="9"/>
      <c r="AI1409" s="9"/>
      <c r="AJ1409" s="9"/>
      <c r="AK1409" s="9"/>
      <c r="AL1409" s="9"/>
      <c r="AM1409" s="9"/>
      <c r="AN1409" s="9"/>
      <c r="AO1409" s="9"/>
      <c r="AP1409" s="9"/>
      <c r="AQ1409" s="9"/>
      <c r="AR1409" s="9"/>
      <c r="AS1409" s="9"/>
      <c r="AT1409" s="9"/>
      <c r="AU1409" s="9"/>
    </row>
    <row r="1410" spans="1:47" ht="15.75" customHeight="1">
      <c r="A1410" s="9"/>
      <c r="B1410" s="9"/>
      <c r="C1410" s="9"/>
      <c r="D1410" s="9"/>
      <c r="E1410" s="9"/>
      <c r="F1410" s="67"/>
      <c r="G1410" s="9"/>
      <c r="H1410" s="9"/>
      <c r="I1410" s="9"/>
      <c r="J1410" s="9"/>
      <c r="K1410" s="9"/>
      <c r="L1410" s="9"/>
      <c r="M1410" s="9"/>
      <c r="N1410" s="9"/>
      <c r="O1410" s="9"/>
      <c r="P1410" s="9"/>
      <c r="Q1410" s="9"/>
      <c r="R1410" s="9"/>
      <c r="S1410" s="9"/>
      <c r="T1410" s="9"/>
      <c r="U1410" s="9"/>
      <c r="V1410" s="9"/>
      <c r="W1410" s="9"/>
      <c r="X1410" s="9"/>
      <c r="Y1410" s="9"/>
      <c r="Z1410" s="9"/>
      <c r="AA1410" s="9"/>
      <c r="AB1410" s="9"/>
      <c r="AC1410" s="9"/>
      <c r="AD1410" s="9"/>
      <c r="AE1410" s="9"/>
      <c r="AF1410" s="9"/>
      <c r="AG1410" s="9"/>
      <c r="AH1410" s="9"/>
      <c r="AI1410" s="9"/>
      <c r="AJ1410" s="9"/>
      <c r="AK1410" s="9"/>
      <c r="AL1410" s="9"/>
      <c r="AM1410" s="9"/>
      <c r="AN1410" s="9"/>
      <c r="AO1410" s="9"/>
      <c r="AP1410" s="9"/>
      <c r="AQ1410" s="9"/>
      <c r="AR1410" s="9"/>
      <c r="AS1410" s="9"/>
      <c r="AT1410" s="9"/>
      <c r="AU1410" s="9"/>
    </row>
    <row r="1411" spans="1:47" ht="15.75" customHeight="1">
      <c r="A1411" s="9"/>
      <c r="B1411" s="9"/>
      <c r="C1411" s="9"/>
      <c r="D1411" s="9"/>
      <c r="E1411" s="9"/>
      <c r="F1411" s="67"/>
      <c r="G1411" s="9"/>
      <c r="H1411" s="9"/>
      <c r="I1411" s="9"/>
      <c r="J1411" s="9"/>
      <c r="K1411" s="9"/>
      <c r="L1411" s="9"/>
      <c r="M1411" s="9"/>
      <c r="N1411" s="9"/>
      <c r="O1411" s="9"/>
      <c r="P1411" s="9"/>
      <c r="Q1411" s="9"/>
      <c r="R1411" s="9"/>
      <c r="S1411" s="9"/>
      <c r="T1411" s="9"/>
      <c r="U1411" s="9"/>
      <c r="V1411" s="9"/>
      <c r="W1411" s="9"/>
      <c r="X1411" s="9"/>
      <c r="Y1411" s="9"/>
      <c r="Z1411" s="9"/>
      <c r="AA1411" s="9"/>
      <c r="AB1411" s="9"/>
      <c r="AC1411" s="9"/>
      <c r="AD1411" s="9"/>
      <c r="AE1411" s="9"/>
      <c r="AF1411" s="9"/>
      <c r="AG1411" s="9"/>
      <c r="AH1411" s="9"/>
      <c r="AI1411" s="9"/>
      <c r="AJ1411" s="9"/>
      <c r="AK1411" s="9"/>
      <c r="AL1411" s="9"/>
      <c r="AM1411" s="9"/>
      <c r="AN1411" s="9"/>
      <c r="AO1411" s="9"/>
      <c r="AP1411" s="9"/>
      <c r="AQ1411" s="9"/>
      <c r="AR1411" s="9"/>
      <c r="AS1411" s="9"/>
      <c r="AT1411" s="9"/>
      <c r="AU1411" s="9"/>
    </row>
    <row r="1412" spans="1:47" ht="15.75" customHeight="1">
      <c r="A1412" s="9"/>
      <c r="B1412" s="9"/>
      <c r="C1412" s="9"/>
      <c r="D1412" s="9"/>
      <c r="E1412" s="9"/>
      <c r="F1412" s="67"/>
      <c r="G1412" s="9"/>
      <c r="H1412" s="9"/>
      <c r="I1412" s="9"/>
      <c r="J1412" s="9"/>
      <c r="K1412" s="9"/>
      <c r="L1412" s="9"/>
      <c r="M1412" s="9"/>
      <c r="N1412" s="9"/>
      <c r="O1412" s="9"/>
      <c r="P1412" s="9"/>
      <c r="Q1412" s="9"/>
      <c r="R1412" s="9"/>
      <c r="S1412" s="9"/>
      <c r="T1412" s="9"/>
      <c r="U1412" s="9"/>
      <c r="V1412" s="9"/>
      <c r="W1412" s="9"/>
      <c r="X1412" s="9"/>
      <c r="Y1412" s="9"/>
      <c r="Z1412" s="9"/>
      <c r="AA1412" s="9"/>
      <c r="AB1412" s="9"/>
      <c r="AC1412" s="9"/>
      <c r="AD1412" s="9"/>
      <c r="AE1412" s="9"/>
      <c r="AF1412" s="9"/>
      <c r="AG1412" s="9"/>
      <c r="AH1412" s="9"/>
      <c r="AI1412" s="9"/>
      <c r="AJ1412" s="9"/>
      <c r="AK1412" s="9"/>
      <c r="AL1412" s="9"/>
      <c r="AM1412" s="9"/>
      <c r="AN1412" s="9"/>
      <c r="AO1412" s="9"/>
      <c r="AP1412" s="9"/>
      <c r="AQ1412" s="9"/>
      <c r="AR1412" s="9"/>
      <c r="AS1412" s="9"/>
      <c r="AT1412" s="9"/>
      <c r="AU1412" s="9"/>
    </row>
    <row r="1413" spans="1:47" ht="15.75" customHeight="1">
      <c r="A1413" s="9"/>
      <c r="B1413" s="9"/>
      <c r="C1413" s="9"/>
      <c r="D1413" s="9"/>
      <c r="E1413" s="9"/>
      <c r="F1413" s="67"/>
      <c r="G1413" s="9"/>
      <c r="H1413" s="9"/>
      <c r="I1413" s="9"/>
      <c r="J1413" s="9"/>
      <c r="K1413" s="9"/>
      <c r="L1413" s="9"/>
      <c r="M1413" s="9"/>
      <c r="N1413" s="9"/>
      <c r="O1413" s="9"/>
      <c r="P1413" s="9"/>
      <c r="Q1413" s="9"/>
      <c r="R1413" s="9"/>
      <c r="S1413" s="9"/>
      <c r="T1413" s="9"/>
      <c r="U1413" s="9"/>
      <c r="V1413" s="9"/>
      <c r="W1413" s="9"/>
      <c r="X1413" s="9"/>
      <c r="Y1413" s="9"/>
      <c r="Z1413" s="9"/>
      <c r="AA1413" s="9"/>
      <c r="AB1413" s="9"/>
      <c r="AC1413" s="9"/>
      <c r="AD1413" s="9"/>
      <c r="AE1413" s="9"/>
      <c r="AF1413" s="9"/>
      <c r="AG1413" s="9"/>
      <c r="AH1413" s="9"/>
      <c r="AI1413" s="9"/>
      <c r="AJ1413" s="9"/>
      <c r="AK1413" s="9"/>
      <c r="AL1413" s="9"/>
      <c r="AM1413" s="9"/>
      <c r="AN1413" s="9"/>
      <c r="AO1413" s="9"/>
      <c r="AP1413" s="9"/>
      <c r="AQ1413" s="9"/>
      <c r="AR1413" s="9"/>
      <c r="AS1413" s="9"/>
      <c r="AT1413" s="9"/>
      <c r="AU1413" s="9"/>
    </row>
    <row r="1414" spans="1:47" ht="15.75" customHeight="1">
      <c r="A1414" s="9"/>
      <c r="B1414" s="9"/>
      <c r="C1414" s="9"/>
      <c r="D1414" s="9"/>
      <c r="E1414" s="9"/>
      <c r="F1414" s="67"/>
      <c r="G1414" s="9"/>
      <c r="H1414" s="9"/>
      <c r="I1414" s="9"/>
      <c r="J1414" s="9"/>
      <c r="K1414" s="9"/>
      <c r="L1414" s="9"/>
      <c r="M1414" s="9"/>
      <c r="N1414" s="9"/>
      <c r="O1414" s="9"/>
      <c r="P1414" s="9"/>
      <c r="Q1414" s="9"/>
      <c r="R1414" s="9"/>
      <c r="S1414" s="9"/>
      <c r="T1414" s="9"/>
      <c r="U1414" s="9"/>
      <c r="V1414" s="9"/>
      <c r="W1414" s="9"/>
      <c r="X1414" s="9"/>
      <c r="Y1414" s="9"/>
      <c r="Z1414" s="9"/>
      <c r="AA1414" s="9"/>
      <c r="AB1414" s="9"/>
      <c r="AC1414" s="9"/>
      <c r="AD1414" s="9"/>
      <c r="AE1414" s="9"/>
      <c r="AF1414" s="9"/>
      <c r="AG1414" s="9"/>
      <c r="AH1414" s="9"/>
      <c r="AI1414" s="9"/>
      <c r="AJ1414" s="9"/>
      <c r="AK1414" s="9"/>
      <c r="AL1414" s="9"/>
      <c r="AM1414" s="9"/>
      <c r="AN1414" s="9"/>
      <c r="AO1414" s="9"/>
      <c r="AP1414" s="9"/>
      <c r="AQ1414" s="9"/>
      <c r="AR1414" s="9"/>
      <c r="AS1414" s="9"/>
      <c r="AT1414" s="9"/>
      <c r="AU1414" s="9"/>
    </row>
    <row r="1415" spans="1:47" ht="15.75" customHeight="1">
      <c r="A1415" s="9"/>
      <c r="B1415" s="9"/>
      <c r="C1415" s="9"/>
      <c r="D1415" s="9"/>
      <c r="E1415" s="9"/>
      <c r="F1415" s="67"/>
      <c r="G1415" s="9"/>
      <c r="H1415" s="9"/>
      <c r="I1415" s="9"/>
      <c r="J1415" s="9"/>
      <c r="K1415" s="9"/>
      <c r="L1415" s="9"/>
      <c r="M1415" s="9"/>
      <c r="N1415" s="9"/>
      <c r="O1415" s="9"/>
      <c r="P1415" s="9"/>
      <c r="Q1415" s="9"/>
      <c r="R1415" s="9"/>
      <c r="S1415" s="9"/>
      <c r="T1415" s="9"/>
      <c r="U1415" s="9"/>
      <c r="V1415" s="9"/>
      <c r="W1415" s="9"/>
      <c r="X1415" s="9"/>
      <c r="Y1415" s="9"/>
      <c r="Z1415" s="9"/>
      <c r="AA1415" s="9"/>
      <c r="AB1415" s="9"/>
      <c r="AC1415" s="9"/>
      <c r="AD1415" s="9"/>
      <c r="AE1415" s="9"/>
      <c r="AF1415" s="9"/>
      <c r="AG1415" s="9"/>
      <c r="AH1415" s="9"/>
      <c r="AI1415" s="9"/>
      <c r="AJ1415" s="9"/>
      <c r="AK1415" s="9"/>
      <c r="AL1415" s="9"/>
      <c r="AM1415" s="9"/>
      <c r="AN1415" s="9"/>
      <c r="AO1415" s="9"/>
      <c r="AP1415" s="9"/>
      <c r="AQ1415" s="9"/>
      <c r="AR1415" s="9"/>
      <c r="AS1415" s="9"/>
      <c r="AT1415" s="9"/>
      <c r="AU1415" s="9"/>
    </row>
    <row r="1416" spans="1:47" ht="15.75" customHeight="1">
      <c r="A1416" s="9"/>
      <c r="B1416" s="9"/>
      <c r="C1416" s="9"/>
      <c r="D1416" s="9"/>
      <c r="E1416" s="9"/>
      <c r="F1416" s="67"/>
      <c r="G1416" s="9"/>
      <c r="H1416" s="9"/>
      <c r="I1416" s="9"/>
      <c r="J1416" s="9"/>
      <c r="K1416" s="9"/>
      <c r="L1416" s="9"/>
      <c r="M1416" s="9"/>
      <c r="N1416" s="9"/>
      <c r="O1416" s="9"/>
      <c r="P1416" s="9"/>
      <c r="Q1416" s="9"/>
      <c r="R1416" s="9"/>
      <c r="S1416" s="9"/>
      <c r="T1416" s="9"/>
      <c r="U1416" s="9"/>
      <c r="V1416" s="9"/>
      <c r="W1416" s="9"/>
      <c r="X1416" s="9"/>
      <c r="Y1416" s="9"/>
      <c r="Z1416" s="9"/>
      <c r="AA1416" s="9"/>
      <c r="AB1416" s="9"/>
      <c r="AC1416" s="9"/>
      <c r="AD1416" s="9"/>
      <c r="AE1416" s="9"/>
      <c r="AF1416" s="9"/>
      <c r="AG1416" s="9"/>
      <c r="AH1416" s="9"/>
      <c r="AI1416" s="9"/>
      <c r="AJ1416" s="9"/>
      <c r="AK1416" s="9"/>
      <c r="AL1416" s="9"/>
      <c r="AM1416" s="9"/>
      <c r="AN1416" s="9"/>
      <c r="AO1416" s="9"/>
      <c r="AP1416" s="9"/>
      <c r="AQ1416" s="9"/>
      <c r="AR1416" s="9"/>
      <c r="AS1416" s="9"/>
      <c r="AT1416" s="9"/>
      <c r="AU1416" s="9"/>
    </row>
    <row r="1417" spans="1:47" ht="15.75" customHeight="1">
      <c r="A1417" s="9"/>
      <c r="B1417" s="9"/>
      <c r="C1417" s="9"/>
      <c r="D1417" s="9"/>
      <c r="E1417" s="9"/>
      <c r="F1417" s="67"/>
      <c r="G1417" s="9"/>
      <c r="H1417" s="9"/>
      <c r="I1417" s="9"/>
      <c r="J1417" s="9"/>
      <c r="K1417" s="9"/>
      <c r="L1417" s="9"/>
      <c r="M1417" s="9"/>
      <c r="N1417" s="9"/>
      <c r="O1417" s="9"/>
      <c r="P1417" s="9"/>
      <c r="Q1417" s="9"/>
      <c r="R1417" s="9"/>
      <c r="S1417" s="9"/>
      <c r="T1417" s="9"/>
      <c r="U1417" s="9"/>
      <c r="V1417" s="9"/>
      <c r="W1417" s="9"/>
      <c r="X1417" s="9"/>
      <c r="Y1417" s="9"/>
      <c r="Z1417" s="9"/>
      <c r="AA1417" s="9"/>
      <c r="AB1417" s="9"/>
      <c r="AC1417" s="9"/>
      <c r="AD1417" s="9"/>
      <c r="AE1417" s="9"/>
      <c r="AF1417" s="9"/>
      <c r="AG1417" s="9"/>
      <c r="AH1417" s="9"/>
      <c r="AI1417" s="9"/>
      <c r="AJ1417" s="9"/>
      <c r="AK1417" s="9"/>
      <c r="AL1417" s="9"/>
      <c r="AM1417" s="9"/>
      <c r="AN1417" s="9"/>
      <c r="AO1417" s="9"/>
      <c r="AP1417" s="9"/>
      <c r="AQ1417" s="9"/>
      <c r="AR1417" s="9"/>
      <c r="AS1417" s="9"/>
      <c r="AT1417" s="9"/>
      <c r="AU1417" s="9"/>
    </row>
    <row r="1418" spans="1:47" ht="15.75" customHeight="1">
      <c r="A1418" s="9"/>
      <c r="B1418" s="9"/>
      <c r="C1418" s="9"/>
      <c r="D1418" s="9"/>
      <c r="E1418" s="9"/>
      <c r="F1418" s="67"/>
      <c r="G1418" s="9"/>
      <c r="H1418" s="9"/>
      <c r="I1418" s="9"/>
      <c r="J1418" s="9"/>
      <c r="K1418" s="9"/>
      <c r="L1418" s="9"/>
      <c r="M1418" s="9"/>
      <c r="N1418" s="9"/>
      <c r="O1418" s="9"/>
      <c r="P1418" s="9"/>
      <c r="Q1418" s="9"/>
      <c r="R1418" s="9"/>
      <c r="S1418" s="9"/>
      <c r="T1418" s="9"/>
      <c r="U1418" s="9"/>
      <c r="V1418" s="9"/>
      <c r="W1418" s="9"/>
      <c r="X1418" s="9"/>
      <c r="Y1418" s="9"/>
      <c r="Z1418" s="9"/>
      <c r="AA1418" s="9"/>
      <c r="AB1418" s="9"/>
      <c r="AC1418" s="9"/>
      <c r="AD1418" s="9"/>
      <c r="AE1418" s="9"/>
      <c r="AF1418" s="9"/>
      <c r="AG1418" s="9"/>
      <c r="AH1418" s="9"/>
      <c r="AI1418" s="9"/>
      <c r="AJ1418" s="9"/>
      <c r="AK1418" s="9"/>
      <c r="AL1418" s="9"/>
      <c r="AM1418" s="9"/>
      <c r="AN1418" s="9"/>
      <c r="AO1418" s="9"/>
      <c r="AP1418" s="9"/>
      <c r="AQ1418" s="9"/>
      <c r="AR1418" s="9"/>
      <c r="AS1418" s="9"/>
      <c r="AT1418" s="9"/>
      <c r="AU1418" s="9"/>
    </row>
    <row r="1419" spans="1:47" ht="15.75" customHeight="1">
      <c r="A1419" s="9"/>
      <c r="B1419" s="9"/>
      <c r="C1419" s="9"/>
      <c r="D1419" s="9"/>
      <c r="E1419" s="9"/>
      <c r="F1419" s="67"/>
      <c r="G1419" s="9"/>
      <c r="H1419" s="9"/>
      <c r="I1419" s="9"/>
      <c r="J1419" s="9"/>
      <c r="K1419" s="9"/>
      <c r="L1419" s="9"/>
      <c r="M1419" s="9"/>
      <c r="N1419" s="9"/>
      <c r="O1419" s="9"/>
      <c r="P1419" s="9"/>
      <c r="Q1419" s="9"/>
      <c r="R1419" s="9"/>
      <c r="S1419" s="9"/>
      <c r="T1419" s="9"/>
      <c r="U1419" s="9"/>
      <c r="V1419" s="9"/>
      <c r="W1419" s="9"/>
      <c r="X1419" s="9"/>
      <c r="Y1419" s="9"/>
      <c r="Z1419" s="9"/>
      <c r="AA1419" s="9"/>
      <c r="AB1419" s="9"/>
      <c r="AC1419" s="9"/>
      <c r="AD1419" s="9"/>
      <c r="AE1419" s="9"/>
      <c r="AF1419" s="9"/>
      <c r="AG1419" s="9"/>
      <c r="AH1419" s="9"/>
      <c r="AI1419" s="9"/>
      <c r="AJ1419" s="9"/>
      <c r="AK1419" s="9"/>
      <c r="AL1419" s="9"/>
      <c r="AM1419" s="9"/>
      <c r="AN1419" s="9"/>
      <c r="AO1419" s="9"/>
      <c r="AP1419" s="9"/>
      <c r="AQ1419" s="9"/>
      <c r="AR1419" s="9"/>
      <c r="AS1419" s="9"/>
      <c r="AT1419" s="9"/>
      <c r="AU1419" s="9"/>
    </row>
    <row r="1420" spans="1:47" ht="15.75" customHeight="1">
      <c r="A1420" s="9"/>
      <c r="B1420" s="9"/>
      <c r="C1420" s="9"/>
      <c r="D1420" s="9"/>
      <c r="E1420" s="9"/>
      <c r="F1420" s="67"/>
      <c r="G1420" s="9"/>
      <c r="H1420" s="9"/>
      <c r="I1420" s="9"/>
      <c r="J1420" s="9"/>
      <c r="K1420" s="9"/>
      <c r="L1420" s="9"/>
      <c r="M1420" s="9"/>
      <c r="N1420" s="9"/>
      <c r="O1420" s="9"/>
      <c r="P1420" s="9"/>
      <c r="Q1420" s="9"/>
      <c r="R1420" s="9"/>
      <c r="S1420" s="9"/>
      <c r="T1420" s="9"/>
      <c r="U1420" s="9"/>
      <c r="V1420" s="9"/>
      <c r="W1420" s="9"/>
      <c r="X1420" s="9"/>
      <c r="Y1420" s="9"/>
      <c r="Z1420" s="9"/>
      <c r="AA1420" s="9"/>
      <c r="AB1420" s="9"/>
      <c r="AC1420" s="9"/>
      <c r="AD1420" s="9"/>
      <c r="AE1420" s="9"/>
      <c r="AF1420" s="9"/>
      <c r="AG1420" s="9"/>
      <c r="AH1420" s="9"/>
      <c r="AI1420" s="9"/>
      <c r="AJ1420" s="9"/>
      <c r="AK1420" s="9"/>
      <c r="AL1420" s="9"/>
      <c r="AM1420" s="9"/>
      <c r="AN1420" s="9"/>
      <c r="AO1420" s="9"/>
      <c r="AP1420" s="9"/>
      <c r="AQ1420" s="9"/>
      <c r="AR1420" s="9"/>
      <c r="AS1420" s="9"/>
      <c r="AT1420" s="9"/>
      <c r="AU1420" s="9"/>
    </row>
    <row r="1421" spans="1:47" ht="15.75" customHeight="1">
      <c r="A1421" s="9"/>
      <c r="B1421" s="9"/>
      <c r="C1421" s="9"/>
      <c r="D1421" s="9"/>
      <c r="E1421" s="9"/>
      <c r="F1421" s="67"/>
      <c r="G1421" s="9"/>
      <c r="H1421" s="9"/>
      <c r="I1421" s="9"/>
      <c r="J1421" s="9"/>
      <c r="K1421" s="9"/>
      <c r="L1421" s="9"/>
      <c r="M1421" s="9"/>
      <c r="N1421" s="9"/>
      <c r="O1421" s="9"/>
      <c r="P1421" s="9"/>
      <c r="Q1421" s="9"/>
      <c r="R1421" s="9"/>
      <c r="S1421" s="9"/>
      <c r="T1421" s="9"/>
      <c r="U1421" s="9"/>
      <c r="V1421" s="9"/>
      <c r="W1421" s="9"/>
      <c r="X1421" s="9"/>
      <c r="Y1421" s="9"/>
      <c r="Z1421" s="9"/>
      <c r="AA1421" s="9"/>
      <c r="AB1421" s="9"/>
      <c r="AC1421" s="9"/>
      <c r="AD1421" s="9"/>
      <c r="AE1421" s="9"/>
      <c r="AF1421" s="9"/>
      <c r="AG1421" s="9"/>
      <c r="AH1421" s="9"/>
      <c r="AI1421" s="9"/>
      <c r="AJ1421" s="9"/>
      <c r="AK1421" s="9"/>
      <c r="AL1421" s="9"/>
      <c r="AM1421" s="9"/>
      <c r="AN1421" s="9"/>
      <c r="AO1421" s="9"/>
      <c r="AP1421" s="9"/>
      <c r="AQ1421" s="9"/>
      <c r="AR1421" s="9"/>
      <c r="AS1421" s="9"/>
      <c r="AT1421" s="9"/>
      <c r="AU1421" s="9"/>
    </row>
    <row r="1422" spans="1:47" ht="15.75" customHeight="1">
      <c r="A1422" s="9"/>
      <c r="B1422" s="9"/>
      <c r="C1422" s="9"/>
      <c r="D1422" s="9"/>
      <c r="E1422" s="9"/>
      <c r="F1422" s="67"/>
      <c r="G1422" s="9"/>
      <c r="H1422" s="9"/>
      <c r="I1422" s="9"/>
      <c r="J1422" s="9"/>
      <c r="K1422" s="9"/>
      <c r="L1422" s="9"/>
      <c r="M1422" s="9"/>
      <c r="N1422" s="9"/>
      <c r="O1422" s="9"/>
      <c r="P1422" s="9"/>
      <c r="Q1422" s="9"/>
      <c r="R1422" s="9"/>
      <c r="S1422" s="9"/>
      <c r="T1422" s="9"/>
      <c r="U1422" s="9"/>
      <c r="V1422" s="9"/>
      <c r="W1422" s="9"/>
      <c r="X1422" s="9"/>
      <c r="Y1422" s="9"/>
      <c r="Z1422" s="9"/>
      <c r="AA1422" s="9"/>
      <c r="AB1422" s="9"/>
      <c r="AC1422" s="9"/>
      <c r="AD1422" s="9"/>
      <c r="AE1422" s="9"/>
      <c r="AF1422" s="9"/>
      <c r="AG1422" s="9"/>
      <c r="AH1422" s="9"/>
      <c r="AI1422" s="9"/>
      <c r="AJ1422" s="9"/>
      <c r="AK1422" s="9"/>
      <c r="AL1422" s="9"/>
      <c r="AM1422" s="9"/>
      <c r="AN1422" s="9"/>
      <c r="AO1422" s="9"/>
      <c r="AP1422" s="9"/>
      <c r="AQ1422" s="9"/>
      <c r="AR1422" s="9"/>
      <c r="AS1422" s="9"/>
      <c r="AT1422" s="9"/>
      <c r="AU1422" s="9"/>
    </row>
    <row r="1423" spans="1:47" ht="15.75" customHeight="1">
      <c r="A1423" s="9"/>
      <c r="B1423" s="9"/>
      <c r="C1423" s="9"/>
      <c r="D1423" s="9"/>
      <c r="E1423" s="9"/>
      <c r="F1423" s="67"/>
      <c r="G1423" s="9"/>
      <c r="H1423" s="9"/>
      <c r="I1423" s="9"/>
      <c r="J1423" s="9"/>
      <c r="K1423" s="9"/>
      <c r="L1423" s="9"/>
      <c r="M1423" s="9"/>
      <c r="N1423" s="9"/>
      <c r="O1423" s="9"/>
      <c r="P1423" s="9"/>
      <c r="Q1423" s="9"/>
      <c r="R1423" s="9"/>
      <c r="S1423" s="9"/>
      <c r="T1423" s="9"/>
      <c r="U1423" s="9"/>
      <c r="V1423" s="9"/>
      <c r="W1423" s="9"/>
      <c r="X1423" s="9"/>
      <c r="Y1423" s="9"/>
      <c r="Z1423" s="9"/>
      <c r="AA1423" s="9"/>
      <c r="AB1423" s="9"/>
      <c r="AC1423" s="9"/>
      <c r="AD1423" s="9"/>
      <c r="AE1423" s="9"/>
      <c r="AF1423" s="9"/>
      <c r="AG1423" s="9"/>
      <c r="AH1423" s="9"/>
      <c r="AI1423" s="9"/>
      <c r="AJ1423" s="9"/>
      <c r="AK1423" s="9"/>
      <c r="AL1423" s="9"/>
      <c r="AM1423" s="9"/>
      <c r="AN1423" s="9"/>
      <c r="AO1423" s="9"/>
      <c r="AP1423" s="9"/>
      <c r="AQ1423" s="9"/>
      <c r="AR1423" s="9"/>
      <c r="AS1423" s="9"/>
      <c r="AT1423" s="9"/>
      <c r="AU1423" s="9"/>
    </row>
    <row r="1424" spans="1:47" ht="15.75" customHeight="1">
      <c r="A1424" s="9"/>
      <c r="B1424" s="9"/>
      <c r="C1424" s="9"/>
      <c r="D1424" s="9"/>
      <c r="E1424" s="9"/>
      <c r="F1424" s="67"/>
      <c r="G1424" s="9"/>
      <c r="H1424" s="9"/>
      <c r="I1424" s="9"/>
      <c r="J1424" s="9"/>
      <c r="K1424" s="9"/>
      <c r="L1424" s="9"/>
      <c r="M1424" s="9"/>
      <c r="N1424" s="9"/>
      <c r="O1424" s="9"/>
      <c r="P1424" s="9"/>
      <c r="Q1424" s="9"/>
      <c r="R1424" s="9"/>
      <c r="S1424" s="9"/>
      <c r="T1424" s="9"/>
      <c r="U1424" s="9"/>
      <c r="V1424" s="9"/>
      <c r="W1424" s="9"/>
      <c r="X1424" s="9"/>
      <c r="Y1424" s="9"/>
      <c r="Z1424" s="9"/>
      <c r="AA1424" s="9"/>
      <c r="AB1424" s="9"/>
      <c r="AC1424" s="9"/>
      <c r="AD1424" s="9"/>
      <c r="AE1424" s="9"/>
      <c r="AF1424" s="9"/>
      <c r="AG1424" s="9"/>
      <c r="AH1424" s="9"/>
      <c r="AI1424" s="9"/>
      <c r="AJ1424" s="9"/>
      <c r="AK1424" s="9"/>
      <c r="AL1424" s="9"/>
      <c r="AM1424" s="9"/>
      <c r="AN1424" s="9"/>
      <c r="AO1424" s="9"/>
      <c r="AP1424" s="9"/>
      <c r="AQ1424" s="9"/>
      <c r="AR1424" s="9"/>
      <c r="AS1424" s="9"/>
      <c r="AT1424" s="9"/>
      <c r="AU1424" s="9"/>
    </row>
    <row r="1425" spans="1:47" ht="15.75" customHeight="1">
      <c r="A1425" s="9"/>
      <c r="B1425" s="9"/>
      <c r="C1425" s="9"/>
      <c r="D1425" s="9"/>
      <c r="E1425" s="9"/>
      <c r="F1425" s="67"/>
      <c r="G1425" s="9"/>
      <c r="H1425" s="9"/>
      <c r="I1425" s="9"/>
      <c r="J1425" s="9"/>
      <c r="K1425" s="9"/>
      <c r="L1425" s="9"/>
      <c r="M1425" s="9"/>
      <c r="N1425" s="9"/>
      <c r="O1425" s="9"/>
      <c r="P1425" s="9"/>
      <c r="Q1425" s="9"/>
      <c r="R1425" s="9"/>
      <c r="S1425" s="9"/>
      <c r="T1425" s="9"/>
      <c r="U1425" s="9"/>
      <c r="V1425" s="9"/>
      <c r="W1425" s="9"/>
      <c r="X1425" s="9"/>
      <c r="Y1425" s="9"/>
      <c r="Z1425" s="9"/>
      <c r="AA1425" s="9"/>
      <c r="AB1425" s="9"/>
      <c r="AC1425" s="9"/>
      <c r="AD1425" s="9"/>
      <c r="AE1425" s="9"/>
      <c r="AF1425" s="9"/>
      <c r="AG1425" s="9"/>
      <c r="AH1425" s="9"/>
      <c r="AI1425" s="9"/>
      <c r="AJ1425" s="9"/>
      <c r="AK1425" s="9"/>
      <c r="AL1425" s="9"/>
      <c r="AM1425" s="9"/>
      <c r="AN1425" s="9"/>
      <c r="AO1425" s="9"/>
      <c r="AP1425" s="9"/>
      <c r="AQ1425" s="9"/>
      <c r="AR1425" s="9"/>
      <c r="AS1425" s="9"/>
      <c r="AT1425" s="9"/>
      <c r="AU1425" s="9"/>
    </row>
    <row r="1426" spans="1:47" ht="15.75" customHeight="1">
      <c r="A1426" s="9"/>
      <c r="B1426" s="9"/>
      <c r="C1426" s="9"/>
      <c r="D1426" s="9"/>
      <c r="E1426" s="9"/>
      <c r="F1426" s="67"/>
      <c r="G1426" s="9"/>
      <c r="H1426" s="9"/>
      <c r="I1426" s="9"/>
      <c r="J1426" s="9"/>
      <c r="K1426" s="9"/>
      <c r="L1426" s="9"/>
      <c r="M1426" s="9"/>
      <c r="N1426" s="9"/>
      <c r="O1426" s="9"/>
      <c r="P1426" s="9"/>
      <c r="Q1426" s="9"/>
      <c r="R1426" s="9"/>
      <c r="S1426" s="9"/>
      <c r="T1426" s="9"/>
      <c r="U1426" s="9"/>
      <c r="V1426" s="9"/>
      <c r="W1426" s="9"/>
      <c r="X1426" s="9"/>
      <c r="Y1426" s="9"/>
      <c r="Z1426" s="9"/>
      <c r="AA1426" s="9"/>
      <c r="AB1426" s="9"/>
      <c r="AC1426" s="9"/>
      <c r="AD1426" s="9"/>
      <c r="AE1426" s="9"/>
      <c r="AF1426" s="9"/>
      <c r="AG1426" s="9"/>
      <c r="AH1426" s="9"/>
      <c r="AI1426" s="9"/>
      <c r="AJ1426" s="9"/>
      <c r="AK1426" s="9"/>
      <c r="AL1426" s="9"/>
      <c r="AM1426" s="9"/>
      <c r="AN1426" s="9"/>
      <c r="AO1426" s="9"/>
      <c r="AP1426" s="9"/>
      <c r="AQ1426" s="9"/>
      <c r="AR1426" s="9"/>
      <c r="AS1426" s="9"/>
      <c r="AT1426" s="9"/>
      <c r="AU1426" s="9"/>
    </row>
    <row r="1427" spans="1:47" ht="15.75" customHeight="1">
      <c r="A1427" s="9"/>
      <c r="B1427" s="9"/>
      <c r="C1427" s="9"/>
      <c r="D1427" s="9"/>
      <c r="E1427" s="9"/>
      <c r="F1427" s="67"/>
      <c r="G1427" s="9"/>
      <c r="H1427" s="9"/>
      <c r="I1427" s="9"/>
      <c r="J1427" s="9"/>
      <c r="K1427" s="9"/>
      <c r="L1427" s="9"/>
      <c r="M1427" s="9"/>
      <c r="N1427" s="9"/>
      <c r="O1427" s="9"/>
      <c r="P1427" s="9"/>
      <c r="Q1427" s="9"/>
      <c r="R1427" s="9"/>
      <c r="S1427" s="9"/>
      <c r="T1427" s="9"/>
      <c r="U1427" s="9"/>
      <c r="V1427" s="9"/>
      <c r="W1427" s="9"/>
      <c r="X1427" s="9"/>
      <c r="Y1427" s="9"/>
      <c r="Z1427" s="9"/>
      <c r="AA1427" s="9"/>
      <c r="AB1427" s="9"/>
      <c r="AC1427" s="9"/>
      <c r="AD1427" s="9"/>
      <c r="AE1427" s="9"/>
      <c r="AF1427" s="9"/>
      <c r="AG1427" s="9"/>
      <c r="AH1427" s="9"/>
      <c r="AI1427" s="9"/>
      <c r="AJ1427" s="9"/>
      <c r="AK1427" s="9"/>
      <c r="AL1427" s="9"/>
      <c r="AM1427" s="9"/>
      <c r="AN1427" s="9"/>
      <c r="AO1427" s="9"/>
      <c r="AP1427" s="9"/>
      <c r="AQ1427" s="9"/>
      <c r="AR1427" s="9"/>
      <c r="AS1427" s="9"/>
      <c r="AT1427" s="9"/>
      <c r="AU1427" s="9"/>
    </row>
    <row r="1428" spans="1:47" ht="15.75" customHeight="1">
      <c r="A1428" s="9"/>
      <c r="B1428" s="9"/>
      <c r="C1428" s="9"/>
      <c r="D1428" s="9"/>
      <c r="E1428" s="9"/>
      <c r="F1428" s="67"/>
      <c r="G1428" s="9"/>
      <c r="H1428" s="9"/>
      <c r="I1428" s="9"/>
      <c r="J1428" s="9"/>
      <c r="K1428" s="9"/>
      <c r="L1428" s="9"/>
      <c r="M1428" s="9"/>
      <c r="N1428" s="9"/>
      <c r="O1428" s="9"/>
      <c r="P1428" s="9"/>
      <c r="Q1428" s="9"/>
      <c r="R1428" s="9"/>
      <c r="S1428" s="9"/>
      <c r="T1428" s="9"/>
      <c r="U1428" s="9"/>
      <c r="V1428" s="9"/>
      <c r="W1428" s="9"/>
      <c r="X1428" s="9"/>
      <c r="Y1428" s="9"/>
      <c r="Z1428" s="9"/>
      <c r="AA1428" s="9"/>
      <c r="AB1428" s="9"/>
      <c r="AC1428" s="9"/>
      <c r="AD1428" s="9"/>
      <c r="AE1428" s="9"/>
      <c r="AF1428" s="9"/>
      <c r="AG1428" s="9"/>
      <c r="AH1428" s="9"/>
      <c r="AI1428" s="9"/>
      <c r="AJ1428" s="9"/>
      <c r="AK1428" s="9"/>
      <c r="AL1428" s="9"/>
      <c r="AM1428" s="9"/>
      <c r="AN1428" s="9"/>
      <c r="AO1428" s="9"/>
      <c r="AP1428" s="9"/>
      <c r="AQ1428" s="9"/>
      <c r="AR1428" s="9"/>
      <c r="AS1428" s="9"/>
      <c r="AT1428" s="9"/>
      <c r="AU1428" s="9"/>
    </row>
    <row r="1429" spans="1:47" ht="15.75" customHeight="1">
      <c r="A1429" s="9"/>
      <c r="B1429" s="9"/>
      <c r="C1429" s="9"/>
      <c r="D1429" s="9"/>
      <c r="E1429" s="9"/>
      <c r="F1429" s="67"/>
      <c r="G1429" s="9"/>
      <c r="H1429" s="9"/>
      <c r="I1429" s="9"/>
      <c r="J1429" s="9"/>
      <c r="K1429" s="9"/>
      <c r="L1429" s="9"/>
      <c r="M1429" s="9"/>
      <c r="N1429" s="9"/>
      <c r="O1429" s="9"/>
      <c r="P1429" s="9"/>
      <c r="Q1429" s="9"/>
      <c r="R1429" s="9"/>
      <c r="S1429" s="9"/>
      <c r="T1429" s="9"/>
      <c r="U1429" s="9"/>
      <c r="V1429" s="9"/>
      <c r="W1429" s="9"/>
      <c r="X1429" s="9"/>
      <c r="Y1429" s="9"/>
      <c r="Z1429" s="9"/>
      <c r="AA1429" s="9"/>
      <c r="AB1429" s="9"/>
      <c r="AC1429" s="9"/>
      <c r="AD1429" s="9"/>
      <c r="AE1429" s="9"/>
      <c r="AF1429" s="9"/>
      <c r="AG1429" s="9"/>
      <c r="AH1429" s="9"/>
      <c r="AI1429" s="9"/>
      <c r="AJ1429" s="9"/>
      <c r="AK1429" s="9"/>
      <c r="AL1429" s="9"/>
      <c r="AM1429" s="9"/>
      <c r="AN1429" s="9"/>
      <c r="AO1429" s="9"/>
      <c r="AP1429" s="9"/>
      <c r="AQ1429" s="9"/>
      <c r="AR1429" s="9"/>
      <c r="AS1429" s="9"/>
      <c r="AT1429" s="9"/>
      <c r="AU1429" s="9"/>
    </row>
    <row r="1430" spans="1:47" ht="15.75" customHeight="1">
      <c r="A1430" s="9"/>
      <c r="B1430" s="9"/>
      <c r="C1430" s="9"/>
      <c r="D1430" s="9"/>
      <c r="E1430" s="9"/>
      <c r="F1430" s="67"/>
      <c r="G1430" s="9"/>
      <c r="H1430" s="9"/>
      <c r="I1430" s="9"/>
      <c r="J1430" s="9"/>
      <c r="K1430" s="9"/>
      <c r="L1430" s="9"/>
      <c r="M1430" s="9"/>
      <c r="N1430" s="9"/>
      <c r="O1430" s="9"/>
      <c r="P1430" s="9"/>
      <c r="Q1430" s="9"/>
      <c r="R1430" s="9"/>
      <c r="S1430" s="9"/>
      <c r="T1430" s="9"/>
      <c r="U1430" s="9"/>
      <c r="V1430" s="9"/>
      <c r="W1430" s="9"/>
      <c r="X1430" s="9"/>
      <c r="Y1430" s="9"/>
      <c r="Z1430" s="9"/>
      <c r="AA1430" s="9"/>
      <c r="AB1430" s="9"/>
      <c r="AC1430" s="9"/>
      <c r="AD1430" s="9"/>
      <c r="AE1430" s="9"/>
      <c r="AF1430" s="9"/>
      <c r="AG1430" s="9"/>
      <c r="AH1430" s="9"/>
      <c r="AI1430" s="9"/>
      <c r="AJ1430" s="9"/>
      <c r="AK1430" s="9"/>
      <c r="AL1430" s="9"/>
      <c r="AM1430" s="9"/>
      <c r="AN1430" s="9"/>
      <c r="AO1430" s="9"/>
      <c r="AP1430" s="9"/>
      <c r="AQ1430" s="9"/>
      <c r="AR1430" s="9"/>
      <c r="AS1430" s="9"/>
      <c r="AT1430" s="9"/>
      <c r="AU1430" s="9"/>
    </row>
    <row r="1431" spans="1:47" ht="15.75" customHeight="1">
      <c r="A1431" s="9"/>
      <c r="B1431" s="9"/>
      <c r="C1431" s="9"/>
      <c r="D1431" s="9"/>
      <c r="E1431" s="9"/>
      <c r="F1431" s="67"/>
      <c r="G1431" s="9"/>
      <c r="H1431" s="9"/>
      <c r="I1431" s="9"/>
      <c r="J1431" s="9"/>
      <c r="K1431" s="9"/>
      <c r="L1431" s="9"/>
      <c r="M1431" s="9"/>
      <c r="N1431" s="9"/>
      <c r="O1431" s="9"/>
      <c r="P1431" s="9"/>
      <c r="Q1431" s="9"/>
      <c r="R1431" s="9"/>
      <c r="S1431" s="9"/>
      <c r="T1431" s="9"/>
      <c r="U1431" s="9"/>
      <c r="V1431" s="9"/>
      <c r="W1431" s="9"/>
      <c r="X1431" s="9"/>
      <c r="Y1431" s="9"/>
      <c r="Z1431" s="9"/>
      <c r="AA1431" s="9"/>
      <c r="AB1431" s="9"/>
      <c r="AC1431" s="9"/>
      <c r="AD1431" s="9"/>
      <c r="AE1431" s="9"/>
      <c r="AF1431" s="9"/>
      <c r="AG1431" s="9"/>
      <c r="AH1431" s="9"/>
      <c r="AI1431" s="9"/>
      <c r="AJ1431" s="9"/>
      <c r="AK1431" s="9"/>
      <c r="AL1431" s="9"/>
      <c r="AM1431" s="9"/>
      <c r="AN1431" s="9"/>
      <c r="AO1431" s="9"/>
      <c r="AP1431" s="9"/>
      <c r="AQ1431" s="9"/>
      <c r="AR1431" s="9"/>
      <c r="AS1431" s="9"/>
      <c r="AT1431" s="9"/>
      <c r="AU1431" s="9"/>
    </row>
    <row r="1432" spans="1:47" ht="15.75" customHeight="1">
      <c r="A1432" s="9"/>
      <c r="B1432" s="9"/>
      <c r="C1432" s="9"/>
      <c r="D1432" s="9"/>
      <c r="E1432" s="9"/>
      <c r="F1432" s="67"/>
      <c r="G1432" s="9"/>
      <c r="H1432" s="9"/>
      <c r="I1432" s="9"/>
      <c r="J1432" s="9"/>
      <c r="K1432" s="9"/>
      <c r="L1432" s="9"/>
      <c r="M1432" s="9"/>
      <c r="N1432" s="9"/>
      <c r="O1432" s="9"/>
      <c r="P1432" s="9"/>
      <c r="Q1432" s="9"/>
      <c r="R1432" s="9"/>
      <c r="S1432" s="9"/>
      <c r="T1432" s="9"/>
      <c r="U1432" s="9"/>
      <c r="V1432" s="9"/>
      <c r="W1432" s="9"/>
      <c r="X1432" s="9"/>
      <c r="Y1432" s="9"/>
      <c r="Z1432" s="9"/>
      <c r="AA1432" s="9"/>
      <c r="AB1432" s="9"/>
      <c r="AC1432" s="9"/>
      <c r="AD1432" s="9"/>
      <c r="AE1432" s="9"/>
      <c r="AF1432" s="9"/>
      <c r="AG1432" s="9"/>
      <c r="AH1432" s="9"/>
      <c r="AI1432" s="9"/>
      <c r="AJ1432" s="9"/>
      <c r="AK1432" s="9"/>
      <c r="AL1432" s="9"/>
      <c r="AM1432" s="9"/>
      <c r="AN1432" s="9"/>
      <c r="AO1432" s="9"/>
      <c r="AP1432" s="9"/>
      <c r="AQ1432" s="9"/>
      <c r="AR1432" s="9"/>
      <c r="AS1432" s="9"/>
      <c r="AT1432" s="9"/>
      <c r="AU1432" s="9"/>
    </row>
    <row r="1433" spans="1:47" ht="15.75" customHeight="1">
      <c r="A1433" s="9"/>
      <c r="B1433" s="9"/>
      <c r="C1433" s="9"/>
      <c r="D1433" s="9"/>
      <c r="E1433" s="9"/>
      <c r="F1433" s="67"/>
      <c r="G1433" s="9"/>
      <c r="H1433" s="9"/>
      <c r="I1433" s="9"/>
      <c r="J1433" s="9"/>
      <c r="K1433" s="9"/>
      <c r="L1433" s="9"/>
      <c r="M1433" s="9"/>
      <c r="N1433" s="9"/>
      <c r="O1433" s="9"/>
      <c r="P1433" s="9"/>
      <c r="Q1433" s="9"/>
      <c r="R1433" s="9"/>
      <c r="S1433" s="9"/>
      <c r="T1433" s="9"/>
      <c r="U1433" s="9"/>
      <c r="V1433" s="9"/>
      <c r="W1433" s="9"/>
      <c r="X1433" s="9"/>
      <c r="Y1433" s="9"/>
      <c r="Z1433" s="9"/>
      <c r="AA1433" s="9"/>
      <c r="AB1433" s="9"/>
      <c r="AC1433" s="9"/>
      <c r="AD1433" s="9"/>
      <c r="AE1433" s="9"/>
      <c r="AF1433" s="9"/>
      <c r="AG1433" s="9"/>
      <c r="AH1433" s="9"/>
      <c r="AI1433" s="9"/>
      <c r="AJ1433" s="9"/>
      <c r="AK1433" s="9"/>
      <c r="AL1433" s="9"/>
      <c r="AM1433" s="9"/>
      <c r="AN1433" s="9"/>
      <c r="AO1433" s="9"/>
      <c r="AP1433" s="9"/>
      <c r="AQ1433" s="9"/>
      <c r="AR1433" s="9"/>
      <c r="AS1433" s="9"/>
      <c r="AT1433" s="9"/>
      <c r="AU1433" s="9"/>
    </row>
    <row r="1434" spans="1:47" ht="15.75" customHeight="1">
      <c r="A1434" s="9"/>
      <c r="B1434" s="9"/>
      <c r="C1434" s="9"/>
      <c r="D1434" s="9"/>
      <c r="E1434" s="9"/>
      <c r="F1434" s="67"/>
      <c r="G1434" s="9"/>
      <c r="H1434" s="9"/>
      <c r="I1434" s="9"/>
      <c r="J1434" s="9"/>
      <c r="K1434" s="9"/>
      <c r="L1434" s="9"/>
      <c r="M1434" s="9"/>
      <c r="N1434" s="9"/>
      <c r="O1434" s="9"/>
      <c r="P1434" s="9"/>
      <c r="Q1434" s="9"/>
      <c r="R1434" s="9"/>
      <c r="S1434" s="9"/>
      <c r="T1434" s="9"/>
      <c r="U1434" s="9"/>
      <c r="V1434" s="9"/>
      <c r="W1434" s="9"/>
      <c r="X1434" s="9"/>
      <c r="Y1434" s="9"/>
      <c r="Z1434" s="9"/>
      <c r="AA1434" s="9"/>
      <c r="AB1434" s="9"/>
      <c r="AC1434" s="9"/>
      <c r="AD1434" s="9"/>
      <c r="AE1434" s="9"/>
      <c r="AF1434" s="9"/>
      <c r="AG1434" s="9"/>
      <c r="AH1434" s="9"/>
      <c r="AI1434" s="9"/>
      <c r="AJ1434" s="9"/>
      <c r="AK1434" s="9"/>
      <c r="AL1434" s="9"/>
      <c r="AM1434" s="9"/>
      <c r="AN1434" s="9"/>
      <c r="AO1434" s="9"/>
      <c r="AP1434" s="9"/>
      <c r="AQ1434" s="9"/>
      <c r="AR1434" s="9"/>
      <c r="AS1434" s="9"/>
      <c r="AT1434" s="9"/>
      <c r="AU1434" s="9"/>
    </row>
    <row r="1435" spans="1:47" ht="15.75" customHeight="1">
      <c r="A1435" s="9"/>
      <c r="B1435" s="9"/>
      <c r="C1435" s="9"/>
      <c r="D1435" s="9"/>
      <c r="E1435" s="9"/>
      <c r="F1435" s="67"/>
      <c r="G1435" s="9"/>
      <c r="H1435" s="9"/>
      <c r="I1435" s="9"/>
      <c r="J1435" s="9"/>
      <c r="K1435" s="9"/>
      <c r="L1435" s="9"/>
      <c r="M1435" s="9"/>
      <c r="N1435" s="9"/>
      <c r="O1435" s="9"/>
      <c r="P1435" s="9"/>
      <c r="Q1435" s="9"/>
      <c r="R1435" s="9"/>
      <c r="S1435" s="9"/>
      <c r="T1435" s="9"/>
      <c r="U1435" s="9"/>
      <c r="V1435" s="9"/>
      <c r="W1435" s="9"/>
      <c r="X1435" s="9"/>
      <c r="Y1435" s="9"/>
      <c r="Z1435" s="9"/>
      <c r="AA1435" s="9"/>
      <c r="AB1435" s="9"/>
      <c r="AC1435" s="9"/>
      <c r="AD1435" s="9"/>
      <c r="AE1435" s="9"/>
      <c r="AF1435" s="9"/>
      <c r="AG1435" s="9"/>
      <c r="AH1435" s="9"/>
      <c r="AI1435" s="9"/>
      <c r="AJ1435" s="9"/>
      <c r="AK1435" s="9"/>
      <c r="AL1435" s="9"/>
      <c r="AM1435" s="9"/>
      <c r="AN1435" s="9"/>
      <c r="AO1435" s="9"/>
      <c r="AP1435" s="9"/>
      <c r="AQ1435" s="9"/>
      <c r="AR1435" s="9"/>
      <c r="AS1435" s="9"/>
      <c r="AT1435" s="9"/>
      <c r="AU1435" s="9"/>
    </row>
    <row r="1436" spans="1:47" ht="15.75" customHeight="1">
      <c r="A1436" s="9"/>
      <c r="B1436" s="9"/>
      <c r="C1436" s="9"/>
      <c r="D1436" s="9"/>
      <c r="E1436" s="9"/>
      <c r="F1436" s="67"/>
      <c r="G1436" s="9"/>
      <c r="H1436" s="9"/>
      <c r="I1436" s="9"/>
      <c r="J1436" s="9"/>
      <c r="K1436" s="9"/>
      <c r="L1436" s="9"/>
      <c r="M1436" s="9"/>
      <c r="N1436" s="9"/>
      <c r="O1436" s="9"/>
      <c r="P1436" s="9"/>
      <c r="Q1436" s="9"/>
      <c r="R1436" s="9"/>
      <c r="S1436" s="9"/>
      <c r="T1436" s="9"/>
      <c r="U1436" s="9"/>
      <c r="V1436" s="9"/>
      <c r="W1436" s="9"/>
      <c r="X1436" s="9"/>
      <c r="Y1436" s="9"/>
      <c r="Z1436" s="9"/>
      <c r="AA1436" s="9"/>
      <c r="AB1436" s="9"/>
      <c r="AC1436" s="9"/>
      <c r="AD1436" s="9"/>
      <c r="AE1436" s="9"/>
      <c r="AF1436" s="9"/>
      <c r="AG1436" s="9"/>
      <c r="AH1436" s="9"/>
      <c r="AI1436" s="9"/>
      <c r="AJ1436" s="9"/>
      <c r="AK1436" s="9"/>
      <c r="AL1436" s="9"/>
      <c r="AM1436" s="9"/>
      <c r="AN1436" s="9"/>
      <c r="AO1436" s="9"/>
      <c r="AP1436" s="9"/>
      <c r="AQ1436" s="9"/>
      <c r="AR1436" s="9"/>
      <c r="AS1436" s="9"/>
      <c r="AT1436" s="9"/>
      <c r="AU1436" s="9"/>
    </row>
    <row r="1437" spans="1:47" ht="15.75" customHeight="1">
      <c r="A1437" s="9"/>
      <c r="B1437" s="9"/>
      <c r="C1437" s="9"/>
      <c r="D1437" s="9"/>
      <c r="E1437" s="9"/>
      <c r="F1437" s="67"/>
      <c r="G1437" s="9"/>
      <c r="H1437" s="9"/>
      <c r="I1437" s="9"/>
      <c r="J1437" s="9"/>
      <c r="K1437" s="9"/>
      <c r="L1437" s="9"/>
      <c r="M1437" s="9"/>
      <c r="N1437" s="9"/>
      <c r="O1437" s="9"/>
      <c r="P1437" s="9"/>
      <c r="Q1437" s="9"/>
      <c r="R1437" s="9"/>
      <c r="S1437" s="9"/>
      <c r="T1437" s="9"/>
      <c r="U1437" s="9"/>
      <c r="V1437" s="9"/>
      <c r="W1437" s="9"/>
      <c r="X1437" s="9"/>
      <c r="Y1437" s="9"/>
      <c r="Z1437" s="9"/>
      <c r="AA1437" s="9"/>
      <c r="AB1437" s="9"/>
      <c r="AC1437" s="9"/>
      <c r="AD1437" s="9"/>
      <c r="AE1437" s="9"/>
      <c r="AF1437" s="9"/>
      <c r="AG1437" s="9"/>
      <c r="AH1437" s="9"/>
      <c r="AI1437" s="9"/>
      <c r="AJ1437" s="9"/>
      <c r="AK1437" s="9"/>
      <c r="AL1437" s="9"/>
      <c r="AM1437" s="9"/>
      <c r="AN1437" s="9"/>
      <c r="AO1437" s="9"/>
      <c r="AP1437" s="9"/>
      <c r="AQ1437" s="9"/>
      <c r="AR1437" s="9"/>
      <c r="AS1437" s="9"/>
      <c r="AT1437" s="9"/>
      <c r="AU1437" s="9"/>
    </row>
    <row r="1438" spans="1:47" ht="15.75" customHeight="1">
      <c r="A1438" s="9"/>
      <c r="B1438" s="9"/>
      <c r="C1438" s="9"/>
      <c r="D1438" s="9"/>
      <c r="E1438" s="9"/>
      <c r="F1438" s="67"/>
      <c r="G1438" s="9"/>
      <c r="H1438" s="9"/>
      <c r="I1438" s="9"/>
      <c r="J1438" s="9"/>
      <c r="K1438" s="9"/>
      <c r="L1438" s="9"/>
      <c r="M1438" s="9"/>
      <c r="N1438" s="9"/>
      <c r="O1438" s="9"/>
      <c r="P1438" s="9"/>
      <c r="Q1438" s="9"/>
      <c r="R1438" s="9"/>
      <c r="S1438" s="9"/>
      <c r="T1438" s="9"/>
      <c r="U1438" s="9"/>
      <c r="V1438" s="9"/>
      <c r="W1438" s="9"/>
      <c r="X1438" s="9"/>
      <c r="Y1438" s="9"/>
      <c r="Z1438" s="9"/>
      <c r="AA1438" s="9"/>
      <c r="AB1438" s="9"/>
      <c r="AC1438" s="9"/>
      <c r="AD1438" s="9"/>
      <c r="AE1438" s="9"/>
      <c r="AF1438" s="9"/>
      <c r="AG1438" s="9"/>
      <c r="AH1438" s="9"/>
      <c r="AI1438" s="9"/>
      <c r="AJ1438" s="9"/>
      <c r="AK1438" s="9"/>
      <c r="AL1438" s="9"/>
      <c r="AM1438" s="9"/>
      <c r="AN1438" s="9"/>
      <c r="AO1438" s="9"/>
      <c r="AP1438" s="9"/>
      <c r="AQ1438" s="9"/>
      <c r="AR1438" s="9"/>
      <c r="AS1438" s="9"/>
      <c r="AT1438" s="9"/>
      <c r="AU1438" s="9"/>
    </row>
    <row r="1439" spans="1:47" ht="15.75" customHeight="1">
      <c r="A1439" s="9"/>
      <c r="B1439" s="9"/>
      <c r="C1439" s="9"/>
      <c r="D1439" s="9"/>
      <c r="E1439" s="9"/>
      <c r="F1439" s="67"/>
      <c r="G1439" s="9"/>
      <c r="H1439" s="9"/>
      <c r="I1439" s="9"/>
      <c r="J1439" s="9"/>
      <c r="K1439" s="9"/>
      <c r="L1439" s="9"/>
      <c r="M1439" s="9"/>
      <c r="N1439" s="9"/>
      <c r="O1439" s="9"/>
      <c r="P1439" s="9"/>
      <c r="Q1439" s="9"/>
      <c r="R1439" s="9"/>
      <c r="S1439" s="9"/>
      <c r="T1439" s="9"/>
      <c r="U1439" s="9"/>
      <c r="V1439" s="9"/>
      <c r="W1439" s="9"/>
      <c r="X1439" s="9"/>
      <c r="Y1439" s="9"/>
      <c r="Z1439" s="9"/>
      <c r="AA1439" s="9"/>
      <c r="AB1439" s="9"/>
      <c r="AC1439" s="9"/>
      <c r="AD1439" s="9"/>
      <c r="AE1439" s="9"/>
      <c r="AF1439" s="9"/>
      <c r="AG1439" s="9"/>
      <c r="AH1439" s="9"/>
      <c r="AI1439" s="9"/>
      <c r="AJ1439" s="9"/>
      <c r="AK1439" s="9"/>
      <c r="AL1439" s="9"/>
      <c r="AM1439" s="9"/>
      <c r="AN1439" s="9"/>
      <c r="AO1439" s="9"/>
      <c r="AP1439" s="9"/>
      <c r="AQ1439" s="9"/>
      <c r="AR1439" s="9"/>
      <c r="AS1439" s="9"/>
      <c r="AT1439" s="9"/>
      <c r="AU1439" s="9"/>
    </row>
    <row r="1440" spans="1:47" ht="15.75" customHeight="1">
      <c r="A1440" s="9"/>
      <c r="B1440" s="9"/>
      <c r="C1440" s="9"/>
      <c r="D1440" s="9"/>
      <c r="E1440" s="9"/>
      <c r="F1440" s="67"/>
      <c r="G1440" s="9"/>
      <c r="H1440" s="9"/>
      <c r="I1440" s="9"/>
      <c r="J1440" s="9"/>
      <c r="K1440" s="9"/>
      <c r="L1440" s="9"/>
      <c r="M1440" s="9"/>
      <c r="N1440" s="9"/>
      <c r="O1440" s="9"/>
      <c r="P1440" s="9"/>
      <c r="Q1440" s="9"/>
      <c r="R1440" s="9"/>
      <c r="S1440" s="9"/>
      <c r="T1440" s="9"/>
      <c r="U1440" s="9"/>
      <c r="V1440" s="9"/>
      <c r="W1440" s="9"/>
      <c r="X1440" s="9"/>
      <c r="Y1440" s="9"/>
      <c r="Z1440" s="9"/>
      <c r="AA1440" s="9"/>
      <c r="AB1440" s="9"/>
      <c r="AC1440" s="9"/>
      <c r="AD1440" s="9"/>
      <c r="AE1440" s="9"/>
      <c r="AF1440" s="9"/>
      <c r="AG1440" s="9"/>
      <c r="AH1440" s="9"/>
      <c r="AI1440" s="9"/>
      <c r="AJ1440" s="9"/>
      <c r="AK1440" s="9"/>
      <c r="AL1440" s="9"/>
      <c r="AM1440" s="9"/>
      <c r="AN1440" s="9"/>
      <c r="AO1440" s="9"/>
      <c r="AP1440" s="9"/>
      <c r="AQ1440" s="9"/>
      <c r="AR1440" s="9"/>
      <c r="AS1440" s="9"/>
      <c r="AT1440" s="9"/>
      <c r="AU1440" s="9"/>
    </row>
    <row r="1441" spans="1:47" ht="15.75" customHeight="1">
      <c r="A1441" s="9"/>
      <c r="B1441" s="9"/>
      <c r="C1441" s="9"/>
      <c r="D1441" s="9"/>
      <c r="E1441" s="9"/>
      <c r="F1441" s="67"/>
      <c r="G1441" s="9"/>
      <c r="H1441" s="9"/>
      <c r="I1441" s="9"/>
      <c r="J1441" s="9"/>
      <c r="K1441" s="9"/>
      <c r="L1441" s="9"/>
      <c r="M1441" s="9"/>
      <c r="N1441" s="9"/>
      <c r="O1441" s="9"/>
      <c r="P1441" s="9"/>
      <c r="Q1441" s="9"/>
      <c r="R1441" s="9"/>
      <c r="S1441" s="9"/>
      <c r="T1441" s="9"/>
      <c r="U1441" s="9"/>
      <c r="V1441" s="9"/>
      <c r="W1441" s="9"/>
      <c r="X1441" s="9"/>
      <c r="Y1441" s="9"/>
      <c r="Z1441" s="9"/>
      <c r="AA1441" s="9"/>
      <c r="AB1441" s="9"/>
      <c r="AC1441" s="9"/>
      <c r="AD1441" s="9"/>
      <c r="AE1441" s="9"/>
      <c r="AF1441" s="9"/>
      <c r="AG1441" s="9"/>
      <c r="AH1441" s="9"/>
      <c r="AI1441" s="9"/>
      <c r="AJ1441" s="9"/>
      <c r="AK1441" s="9"/>
      <c r="AL1441" s="9"/>
      <c r="AM1441" s="9"/>
      <c r="AN1441" s="9"/>
      <c r="AO1441" s="9"/>
      <c r="AP1441" s="9"/>
      <c r="AQ1441" s="9"/>
      <c r="AR1441" s="9"/>
      <c r="AS1441" s="9"/>
      <c r="AT1441" s="9"/>
      <c r="AU1441" s="9"/>
    </row>
    <row r="1442" spans="1:47" ht="15.75" customHeight="1">
      <c r="A1442" s="9"/>
      <c r="B1442" s="9"/>
      <c r="C1442" s="9"/>
      <c r="D1442" s="9"/>
      <c r="E1442" s="9"/>
      <c r="F1442" s="67"/>
      <c r="G1442" s="9"/>
      <c r="H1442" s="9"/>
      <c r="I1442" s="9"/>
      <c r="J1442" s="9"/>
      <c r="K1442" s="9"/>
      <c r="L1442" s="9"/>
      <c r="M1442" s="9"/>
      <c r="N1442" s="9"/>
      <c r="O1442" s="9"/>
      <c r="P1442" s="9"/>
      <c r="Q1442" s="9"/>
      <c r="R1442" s="9"/>
      <c r="S1442" s="9"/>
      <c r="T1442" s="9"/>
      <c r="U1442" s="9"/>
      <c r="V1442" s="9"/>
      <c r="W1442" s="9"/>
      <c r="X1442" s="9"/>
      <c r="Y1442" s="9"/>
      <c r="Z1442" s="9"/>
      <c r="AA1442" s="9"/>
      <c r="AB1442" s="9"/>
      <c r="AC1442" s="9"/>
      <c r="AD1442" s="9"/>
      <c r="AE1442" s="9"/>
      <c r="AF1442" s="9"/>
      <c r="AG1442" s="9"/>
      <c r="AH1442" s="9"/>
      <c r="AI1442" s="9"/>
      <c r="AJ1442" s="9"/>
      <c r="AK1442" s="9"/>
      <c r="AL1442" s="9"/>
      <c r="AM1442" s="9"/>
      <c r="AN1442" s="9"/>
      <c r="AO1442" s="9"/>
      <c r="AP1442" s="9"/>
      <c r="AQ1442" s="9"/>
      <c r="AR1442" s="9"/>
      <c r="AS1442" s="9"/>
      <c r="AT1442" s="9"/>
      <c r="AU1442" s="9"/>
    </row>
    <row r="1443" spans="1:47" ht="15.75" customHeight="1">
      <c r="A1443" s="9"/>
      <c r="B1443" s="9"/>
      <c r="C1443" s="9"/>
      <c r="D1443" s="9"/>
      <c r="E1443" s="9"/>
      <c r="F1443" s="67"/>
      <c r="G1443" s="9"/>
      <c r="H1443" s="9"/>
      <c r="I1443" s="9"/>
      <c r="J1443" s="9"/>
      <c r="K1443" s="9"/>
      <c r="L1443" s="9"/>
      <c r="M1443" s="9"/>
      <c r="N1443" s="9"/>
      <c r="O1443" s="9"/>
      <c r="P1443" s="9"/>
      <c r="Q1443" s="9"/>
      <c r="R1443" s="9"/>
      <c r="S1443" s="9"/>
      <c r="T1443" s="9"/>
      <c r="U1443" s="9"/>
      <c r="V1443" s="9"/>
      <c r="W1443" s="9"/>
      <c r="X1443" s="9"/>
      <c r="Y1443" s="9"/>
      <c r="Z1443" s="9"/>
      <c r="AA1443" s="9"/>
      <c r="AB1443" s="9"/>
      <c r="AC1443" s="9"/>
      <c r="AD1443" s="9"/>
      <c r="AE1443" s="9"/>
      <c r="AF1443" s="9"/>
      <c r="AG1443" s="9"/>
      <c r="AH1443" s="9"/>
      <c r="AI1443" s="9"/>
      <c r="AJ1443" s="9"/>
      <c r="AK1443" s="9"/>
      <c r="AL1443" s="9"/>
      <c r="AM1443" s="9"/>
      <c r="AN1443" s="9"/>
      <c r="AO1443" s="9"/>
      <c r="AP1443" s="9"/>
      <c r="AQ1443" s="9"/>
      <c r="AR1443" s="9"/>
      <c r="AS1443" s="9"/>
      <c r="AT1443" s="9"/>
      <c r="AU1443" s="9"/>
    </row>
    <row r="1444" spans="1:47" ht="15.75" customHeight="1">
      <c r="A1444" s="9"/>
      <c r="B1444" s="9"/>
      <c r="C1444" s="9"/>
      <c r="D1444" s="9"/>
      <c r="E1444" s="9"/>
      <c r="F1444" s="67"/>
      <c r="G1444" s="9"/>
      <c r="H1444" s="9"/>
      <c r="I1444" s="9"/>
      <c r="J1444" s="9"/>
      <c r="K1444" s="9"/>
      <c r="L1444" s="9"/>
      <c r="M1444" s="9"/>
      <c r="N1444" s="9"/>
      <c r="O1444" s="9"/>
      <c r="P1444" s="9"/>
      <c r="Q1444" s="9"/>
      <c r="R1444" s="9"/>
      <c r="S1444" s="9"/>
      <c r="T1444" s="9"/>
      <c r="U1444" s="9"/>
      <c r="V1444" s="9"/>
      <c r="W1444" s="9"/>
      <c r="X1444" s="9"/>
      <c r="Y1444" s="9"/>
      <c r="Z1444" s="9"/>
      <c r="AA1444" s="9"/>
      <c r="AB1444" s="9"/>
      <c r="AC1444" s="9"/>
      <c r="AD1444" s="9"/>
      <c r="AE1444" s="9"/>
      <c r="AF1444" s="9"/>
      <c r="AG1444" s="9"/>
      <c r="AH1444" s="9"/>
      <c r="AI1444" s="9"/>
      <c r="AJ1444" s="9"/>
      <c r="AK1444" s="9"/>
      <c r="AL1444" s="9"/>
      <c r="AM1444" s="9"/>
      <c r="AN1444" s="9"/>
      <c r="AO1444" s="9"/>
      <c r="AP1444" s="9"/>
      <c r="AQ1444" s="9"/>
      <c r="AR1444" s="9"/>
      <c r="AS1444" s="9"/>
      <c r="AT1444" s="9"/>
      <c r="AU1444" s="9"/>
    </row>
    <row r="1445" spans="1:47" ht="15.75" customHeight="1">
      <c r="A1445" s="9"/>
      <c r="B1445" s="9"/>
      <c r="C1445" s="9"/>
      <c r="D1445" s="9"/>
      <c r="E1445" s="9"/>
      <c r="F1445" s="67"/>
      <c r="G1445" s="9"/>
      <c r="H1445" s="9"/>
      <c r="I1445" s="9"/>
      <c r="J1445" s="9"/>
      <c r="K1445" s="9"/>
      <c r="L1445" s="9"/>
      <c r="M1445" s="9"/>
      <c r="N1445" s="9"/>
      <c r="O1445" s="9"/>
      <c r="P1445" s="9"/>
      <c r="Q1445" s="9"/>
      <c r="R1445" s="9"/>
      <c r="S1445" s="9"/>
      <c r="T1445" s="9"/>
      <c r="U1445" s="9"/>
      <c r="V1445" s="9"/>
      <c r="W1445" s="9"/>
      <c r="X1445" s="9"/>
      <c r="Y1445" s="9"/>
      <c r="Z1445" s="9"/>
      <c r="AA1445" s="9"/>
      <c r="AB1445" s="9"/>
      <c r="AC1445" s="9"/>
      <c r="AD1445" s="9"/>
      <c r="AE1445" s="9"/>
      <c r="AF1445" s="9"/>
      <c r="AG1445" s="9"/>
      <c r="AH1445" s="9"/>
      <c r="AI1445" s="9"/>
      <c r="AJ1445" s="9"/>
      <c r="AK1445" s="9"/>
      <c r="AL1445" s="9"/>
      <c r="AM1445" s="9"/>
      <c r="AN1445" s="9"/>
      <c r="AO1445" s="9"/>
      <c r="AP1445" s="9"/>
      <c r="AQ1445" s="9"/>
      <c r="AR1445" s="9"/>
      <c r="AS1445" s="9"/>
      <c r="AT1445" s="9"/>
      <c r="AU1445" s="9"/>
    </row>
    <row r="1446" spans="1:47" ht="15.75" customHeight="1">
      <c r="A1446" s="9"/>
      <c r="B1446" s="9"/>
      <c r="C1446" s="9"/>
      <c r="D1446" s="9"/>
      <c r="E1446" s="9"/>
      <c r="F1446" s="67"/>
      <c r="G1446" s="9"/>
      <c r="H1446" s="9"/>
      <c r="I1446" s="9"/>
      <c r="J1446" s="9"/>
      <c r="K1446" s="9"/>
      <c r="L1446" s="9"/>
      <c r="M1446" s="9"/>
      <c r="N1446" s="9"/>
      <c r="O1446" s="9"/>
      <c r="P1446" s="9"/>
      <c r="Q1446" s="9"/>
      <c r="R1446" s="9"/>
      <c r="S1446" s="9"/>
      <c r="T1446" s="9"/>
      <c r="U1446" s="9"/>
      <c r="V1446" s="9"/>
      <c r="W1446" s="9"/>
      <c r="X1446" s="9"/>
      <c r="Y1446" s="9"/>
      <c r="Z1446" s="9"/>
      <c r="AA1446" s="9"/>
      <c r="AB1446" s="9"/>
      <c r="AC1446" s="9"/>
      <c r="AD1446" s="9"/>
      <c r="AE1446" s="9"/>
      <c r="AF1446" s="9"/>
      <c r="AG1446" s="9"/>
      <c r="AH1446" s="9"/>
      <c r="AI1446" s="9"/>
      <c r="AJ1446" s="9"/>
      <c r="AK1446" s="9"/>
      <c r="AL1446" s="9"/>
      <c r="AM1446" s="9"/>
      <c r="AN1446" s="9"/>
      <c r="AO1446" s="9"/>
      <c r="AP1446" s="9"/>
      <c r="AQ1446" s="9"/>
      <c r="AR1446" s="9"/>
      <c r="AS1446" s="9"/>
      <c r="AT1446" s="9"/>
      <c r="AU1446" s="9"/>
    </row>
    <row r="1447" spans="1:47" ht="15.75" customHeight="1">
      <c r="A1447" s="9"/>
      <c r="B1447" s="9"/>
      <c r="C1447" s="9"/>
      <c r="D1447" s="9"/>
      <c r="E1447" s="9"/>
      <c r="F1447" s="67"/>
      <c r="G1447" s="9"/>
      <c r="H1447" s="9"/>
      <c r="I1447" s="9"/>
      <c r="J1447" s="9"/>
      <c r="K1447" s="9"/>
      <c r="L1447" s="9"/>
      <c r="M1447" s="9"/>
      <c r="N1447" s="9"/>
      <c r="O1447" s="9"/>
      <c r="P1447" s="9"/>
      <c r="Q1447" s="9"/>
      <c r="R1447" s="9"/>
      <c r="S1447" s="9"/>
      <c r="T1447" s="9"/>
      <c r="U1447" s="9"/>
      <c r="V1447" s="9"/>
      <c r="W1447" s="9"/>
      <c r="X1447" s="9"/>
      <c r="Y1447" s="9"/>
      <c r="Z1447" s="9"/>
      <c r="AA1447" s="9"/>
      <c r="AB1447" s="9"/>
      <c r="AC1447" s="9"/>
      <c r="AD1447" s="9"/>
      <c r="AE1447" s="9"/>
      <c r="AF1447" s="9"/>
      <c r="AG1447" s="9"/>
      <c r="AH1447" s="9"/>
      <c r="AI1447" s="9"/>
      <c r="AJ1447" s="9"/>
      <c r="AK1447" s="9"/>
      <c r="AL1447" s="9"/>
      <c r="AM1447" s="9"/>
      <c r="AN1447" s="9"/>
      <c r="AO1447" s="9"/>
      <c r="AP1447" s="9"/>
      <c r="AQ1447" s="9"/>
      <c r="AR1447" s="9"/>
      <c r="AS1447" s="9"/>
      <c r="AT1447" s="9"/>
      <c r="AU1447" s="9"/>
    </row>
    <row r="1448" spans="1:47" ht="15.75" customHeight="1">
      <c r="A1448" s="9"/>
      <c r="B1448" s="9"/>
      <c r="C1448" s="9"/>
      <c r="D1448" s="9"/>
      <c r="E1448" s="9"/>
      <c r="F1448" s="67"/>
      <c r="G1448" s="9"/>
      <c r="H1448" s="9"/>
      <c r="I1448" s="9"/>
      <c r="J1448" s="9"/>
      <c r="K1448" s="9"/>
      <c r="L1448" s="9"/>
      <c r="M1448" s="9"/>
      <c r="N1448" s="9"/>
      <c r="O1448" s="9"/>
      <c r="P1448" s="9"/>
      <c r="Q1448" s="9"/>
      <c r="R1448" s="9"/>
      <c r="S1448" s="9"/>
      <c r="T1448" s="9"/>
      <c r="U1448" s="9"/>
      <c r="V1448" s="9"/>
      <c r="W1448" s="9"/>
      <c r="X1448" s="9"/>
      <c r="Y1448" s="9"/>
      <c r="Z1448" s="9"/>
      <c r="AA1448" s="9"/>
      <c r="AB1448" s="9"/>
      <c r="AC1448" s="9"/>
      <c r="AD1448" s="9"/>
      <c r="AE1448" s="9"/>
      <c r="AF1448" s="9"/>
      <c r="AG1448" s="9"/>
      <c r="AH1448" s="9"/>
      <c r="AI1448" s="9"/>
      <c r="AJ1448" s="9"/>
      <c r="AK1448" s="9"/>
      <c r="AL1448" s="9"/>
      <c r="AM1448" s="9"/>
      <c r="AN1448" s="9"/>
      <c r="AO1448" s="9"/>
      <c r="AP1448" s="9"/>
      <c r="AQ1448" s="9"/>
      <c r="AR1448" s="9"/>
      <c r="AS1448" s="9"/>
      <c r="AT1448" s="9"/>
      <c r="AU1448" s="9"/>
    </row>
    <row r="1449" spans="1:47" ht="15.75" customHeight="1">
      <c r="A1449" s="9"/>
      <c r="B1449" s="9"/>
      <c r="C1449" s="9"/>
      <c r="D1449" s="9"/>
      <c r="E1449" s="9"/>
      <c r="F1449" s="67"/>
      <c r="G1449" s="9"/>
      <c r="H1449" s="9"/>
      <c r="I1449" s="9"/>
      <c r="J1449" s="9"/>
      <c r="K1449" s="9"/>
      <c r="L1449" s="9"/>
      <c r="M1449" s="9"/>
      <c r="N1449" s="9"/>
      <c r="O1449" s="9"/>
      <c r="P1449" s="9"/>
      <c r="Q1449" s="9"/>
      <c r="R1449" s="9"/>
      <c r="S1449" s="9"/>
      <c r="T1449" s="9"/>
      <c r="U1449" s="9"/>
      <c r="V1449" s="9"/>
      <c r="W1449" s="9"/>
      <c r="X1449" s="9"/>
      <c r="Y1449" s="9"/>
      <c r="Z1449" s="9"/>
      <c r="AA1449" s="9"/>
      <c r="AB1449" s="9"/>
      <c r="AC1449" s="9"/>
      <c r="AD1449" s="9"/>
      <c r="AE1449" s="9"/>
      <c r="AF1449" s="9"/>
      <c r="AG1449" s="9"/>
      <c r="AH1449" s="9"/>
      <c r="AI1449" s="9"/>
      <c r="AJ1449" s="9"/>
      <c r="AK1449" s="9"/>
      <c r="AL1449" s="9"/>
      <c r="AM1449" s="9"/>
      <c r="AN1449" s="9"/>
      <c r="AO1449" s="9"/>
      <c r="AP1449" s="9"/>
      <c r="AQ1449" s="9"/>
      <c r="AR1449" s="9"/>
      <c r="AS1449" s="9"/>
      <c r="AT1449" s="9"/>
      <c r="AU1449" s="9"/>
    </row>
    <row r="1450" spans="1:47" ht="15.75" customHeight="1">
      <c r="A1450" s="9"/>
      <c r="B1450" s="9"/>
      <c r="C1450" s="9"/>
      <c r="D1450" s="9"/>
      <c r="E1450" s="9"/>
      <c r="F1450" s="67"/>
      <c r="G1450" s="9"/>
      <c r="H1450" s="9"/>
      <c r="I1450" s="9"/>
      <c r="J1450" s="9"/>
      <c r="K1450" s="9"/>
      <c r="L1450" s="9"/>
      <c r="M1450" s="9"/>
      <c r="N1450" s="9"/>
      <c r="O1450" s="9"/>
      <c r="P1450" s="9"/>
      <c r="Q1450" s="9"/>
      <c r="R1450" s="9"/>
      <c r="S1450" s="9"/>
      <c r="T1450" s="9"/>
      <c r="U1450" s="9"/>
      <c r="V1450" s="9"/>
      <c r="W1450" s="9"/>
      <c r="X1450" s="9"/>
      <c r="Y1450" s="9"/>
      <c r="Z1450" s="9"/>
      <c r="AA1450" s="9"/>
      <c r="AB1450" s="9"/>
      <c r="AC1450" s="9"/>
      <c r="AD1450" s="9"/>
      <c r="AE1450" s="9"/>
      <c r="AF1450" s="9"/>
      <c r="AG1450" s="9"/>
      <c r="AH1450" s="9"/>
      <c r="AI1450" s="9"/>
      <c r="AJ1450" s="9"/>
      <c r="AK1450" s="9"/>
      <c r="AL1450" s="9"/>
      <c r="AM1450" s="9"/>
      <c r="AN1450" s="9"/>
      <c r="AO1450" s="9"/>
      <c r="AP1450" s="9"/>
      <c r="AQ1450" s="9"/>
      <c r="AR1450" s="9"/>
      <c r="AS1450" s="9"/>
      <c r="AT1450" s="9"/>
      <c r="AU1450" s="9"/>
    </row>
    <row r="1451" spans="1:47" ht="15.75" customHeight="1">
      <c r="A1451" s="9"/>
      <c r="B1451" s="9"/>
      <c r="C1451" s="9"/>
      <c r="D1451" s="9"/>
      <c r="E1451" s="9"/>
      <c r="F1451" s="67"/>
      <c r="G1451" s="9"/>
      <c r="H1451" s="9"/>
      <c r="I1451" s="9"/>
      <c r="J1451" s="9"/>
      <c r="K1451" s="9"/>
      <c r="L1451" s="9"/>
      <c r="M1451" s="9"/>
      <c r="N1451" s="9"/>
      <c r="O1451" s="9"/>
      <c r="P1451" s="9"/>
      <c r="Q1451" s="9"/>
      <c r="R1451" s="9"/>
      <c r="S1451" s="9"/>
      <c r="T1451" s="9"/>
      <c r="U1451" s="9"/>
      <c r="V1451" s="9"/>
      <c r="W1451" s="9"/>
      <c r="X1451" s="9"/>
      <c r="Y1451" s="9"/>
      <c r="Z1451" s="9"/>
      <c r="AA1451" s="9"/>
      <c r="AB1451" s="9"/>
      <c r="AC1451" s="9"/>
      <c r="AD1451" s="9"/>
      <c r="AE1451" s="9"/>
      <c r="AF1451" s="9"/>
      <c r="AG1451" s="9"/>
      <c r="AH1451" s="9"/>
      <c r="AI1451" s="9"/>
      <c r="AJ1451" s="9"/>
      <c r="AK1451" s="9"/>
      <c r="AL1451" s="9"/>
      <c r="AM1451" s="9"/>
      <c r="AN1451" s="9"/>
      <c r="AO1451" s="9"/>
      <c r="AP1451" s="9"/>
      <c r="AQ1451" s="9"/>
      <c r="AR1451" s="9"/>
      <c r="AS1451" s="9"/>
      <c r="AT1451" s="9"/>
      <c r="AU1451" s="9"/>
    </row>
    <row r="1452" spans="1:47" ht="15.75" customHeight="1">
      <c r="A1452" s="9"/>
      <c r="B1452" s="9"/>
      <c r="C1452" s="9"/>
      <c r="D1452" s="9"/>
      <c r="E1452" s="9"/>
      <c r="F1452" s="67"/>
      <c r="G1452" s="9"/>
      <c r="H1452" s="9"/>
      <c r="I1452" s="9"/>
      <c r="J1452" s="9"/>
      <c r="K1452" s="9"/>
      <c r="L1452" s="9"/>
      <c r="M1452" s="9"/>
      <c r="N1452" s="9"/>
      <c r="O1452" s="9"/>
      <c r="P1452" s="9"/>
      <c r="Q1452" s="9"/>
      <c r="R1452" s="9"/>
      <c r="S1452" s="9"/>
      <c r="T1452" s="9"/>
      <c r="U1452" s="9"/>
      <c r="V1452" s="9"/>
      <c r="W1452" s="9"/>
      <c r="X1452" s="9"/>
      <c r="Y1452" s="9"/>
      <c r="Z1452" s="9"/>
      <c r="AA1452" s="9"/>
      <c r="AB1452" s="9"/>
      <c r="AC1452" s="9"/>
      <c r="AD1452" s="9"/>
      <c r="AE1452" s="9"/>
      <c r="AF1452" s="9"/>
      <c r="AG1452" s="9"/>
      <c r="AH1452" s="9"/>
      <c r="AI1452" s="9"/>
      <c r="AJ1452" s="9"/>
      <c r="AK1452" s="9"/>
      <c r="AL1452" s="9"/>
      <c r="AM1452" s="9"/>
      <c r="AN1452" s="9"/>
      <c r="AO1452" s="9"/>
      <c r="AP1452" s="9"/>
      <c r="AQ1452" s="9"/>
      <c r="AR1452" s="9"/>
      <c r="AS1452" s="9"/>
      <c r="AT1452" s="9"/>
      <c r="AU1452" s="9"/>
    </row>
    <row r="1453" spans="1:47" ht="15.75" customHeight="1">
      <c r="A1453" s="9"/>
      <c r="B1453" s="9"/>
      <c r="C1453" s="9"/>
      <c r="D1453" s="9"/>
      <c r="E1453" s="9"/>
      <c r="F1453" s="67"/>
      <c r="G1453" s="9"/>
      <c r="H1453" s="9"/>
      <c r="I1453" s="9"/>
      <c r="J1453" s="9"/>
      <c r="K1453" s="9"/>
      <c r="L1453" s="9"/>
      <c r="M1453" s="9"/>
      <c r="N1453" s="9"/>
      <c r="O1453" s="9"/>
      <c r="P1453" s="9"/>
      <c r="Q1453" s="9"/>
      <c r="R1453" s="9"/>
      <c r="S1453" s="9"/>
      <c r="T1453" s="9"/>
      <c r="U1453" s="9"/>
      <c r="V1453" s="9"/>
      <c r="W1453" s="9"/>
      <c r="X1453" s="9"/>
      <c r="Y1453" s="9"/>
      <c r="Z1453" s="9"/>
      <c r="AA1453" s="9"/>
      <c r="AB1453" s="9"/>
      <c r="AC1453" s="9"/>
      <c r="AD1453" s="9"/>
      <c r="AE1453" s="9"/>
      <c r="AF1453" s="9"/>
      <c r="AG1453" s="9"/>
      <c r="AH1453" s="9"/>
      <c r="AI1453" s="9"/>
      <c r="AJ1453" s="9"/>
      <c r="AK1453" s="9"/>
      <c r="AL1453" s="9"/>
      <c r="AM1453" s="9"/>
      <c r="AN1453" s="9"/>
      <c r="AO1453" s="9"/>
      <c r="AP1453" s="9"/>
      <c r="AQ1453" s="9"/>
      <c r="AR1453" s="9"/>
      <c r="AS1453" s="9"/>
      <c r="AT1453" s="9"/>
      <c r="AU1453" s="9"/>
    </row>
    <row r="1454" spans="1:47" ht="15.75" customHeight="1">
      <c r="A1454" s="9"/>
      <c r="B1454" s="9"/>
      <c r="C1454" s="9"/>
      <c r="D1454" s="9"/>
      <c r="E1454" s="9"/>
      <c r="F1454" s="67"/>
      <c r="G1454" s="9"/>
      <c r="H1454" s="9"/>
      <c r="I1454" s="9"/>
      <c r="J1454" s="9"/>
      <c r="K1454" s="9"/>
      <c r="L1454" s="9"/>
      <c r="M1454" s="9"/>
      <c r="N1454" s="9"/>
      <c r="O1454" s="9"/>
      <c r="P1454" s="9"/>
      <c r="Q1454" s="9"/>
      <c r="R1454" s="9"/>
      <c r="S1454" s="9"/>
      <c r="T1454" s="9"/>
      <c r="U1454" s="9"/>
      <c r="V1454" s="9"/>
      <c r="W1454" s="9"/>
      <c r="X1454" s="9"/>
      <c r="Y1454" s="9"/>
      <c r="Z1454" s="9"/>
      <c r="AA1454" s="9"/>
      <c r="AB1454" s="9"/>
      <c r="AC1454" s="9"/>
      <c r="AD1454" s="9"/>
      <c r="AE1454" s="9"/>
      <c r="AF1454" s="9"/>
      <c r="AG1454" s="9"/>
      <c r="AH1454" s="9"/>
      <c r="AI1454" s="9"/>
      <c r="AJ1454" s="9"/>
      <c r="AK1454" s="9"/>
      <c r="AL1454" s="9"/>
      <c r="AM1454" s="9"/>
      <c r="AN1454" s="9"/>
      <c r="AO1454" s="9"/>
      <c r="AP1454" s="9"/>
      <c r="AQ1454" s="9"/>
      <c r="AR1454" s="9"/>
      <c r="AS1454" s="9"/>
      <c r="AT1454" s="9"/>
      <c r="AU1454" s="9"/>
    </row>
    <row r="1455" spans="1:47" ht="15.75" customHeight="1">
      <c r="A1455" s="9"/>
      <c r="B1455" s="9"/>
      <c r="C1455" s="9"/>
      <c r="D1455" s="9"/>
      <c r="E1455" s="9"/>
      <c r="F1455" s="67"/>
      <c r="G1455" s="9"/>
      <c r="H1455" s="9"/>
      <c r="I1455" s="9"/>
      <c r="J1455" s="9"/>
      <c r="K1455" s="9"/>
      <c r="L1455" s="9"/>
      <c r="M1455" s="9"/>
      <c r="N1455" s="9"/>
      <c r="O1455" s="9"/>
      <c r="P1455" s="9"/>
      <c r="Q1455" s="9"/>
      <c r="R1455" s="9"/>
      <c r="S1455" s="9"/>
      <c r="T1455" s="9"/>
      <c r="U1455" s="9"/>
      <c r="V1455" s="9"/>
      <c r="W1455" s="9"/>
      <c r="X1455" s="9"/>
      <c r="Y1455" s="9"/>
      <c r="Z1455" s="9"/>
      <c r="AA1455" s="9"/>
      <c r="AB1455" s="9"/>
      <c r="AC1455" s="9"/>
      <c r="AD1455" s="9"/>
      <c r="AE1455" s="9"/>
      <c r="AF1455" s="9"/>
      <c r="AG1455" s="9"/>
      <c r="AH1455" s="9"/>
      <c r="AI1455" s="9"/>
      <c r="AJ1455" s="9"/>
      <c r="AK1455" s="9"/>
      <c r="AL1455" s="9"/>
      <c r="AM1455" s="9"/>
      <c r="AN1455" s="9"/>
      <c r="AO1455" s="9"/>
      <c r="AP1455" s="9"/>
      <c r="AQ1455" s="9"/>
      <c r="AR1455" s="9"/>
      <c r="AS1455" s="9"/>
      <c r="AT1455" s="9"/>
      <c r="AU1455" s="9"/>
    </row>
    <row r="1456" spans="1:47" ht="15.75" customHeight="1">
      <c r="A1456" s="9"/>
      <c r="B1456" s="9"/>
      <c r="C1456" s="9"/>
      <c r="D1456" s="9"/>
      <c r="E1456" s="9"/>
      <c r="F1456" s="67"/>
      <c r="G1456" s="9"/>
      <c r="H1456" s="9"/>
      <c r="I1456" s="9"/>
      <c r="J1456" s="9"/>
      <c r="K1456" s="9"/>
      <c r="L1456" s="9"/>
      <c r="M1456" s="9"/>
      <c r="N1456" s="9"/>
      <c r="O1456" s="9"/>
      <c r="P1456" s="9"/>
      <c r="Q1456" s="9"/>
      <c r="R1456" s="9"/>
      <c r="S1456" s="9"/>
      <c r="T1456" s="9"/>
      <c r="U1456" s="9"/>
      <c r="V1456" s="9"/>
      <c r="W1456" s="9"/>
      <c r="X1456" s="9"/>
      <c r="Y1456" s="9"/>
      <c r="Z1456" s="9"/>
      <c r="AA1456" s="9"/>
      <c r="AB1456" s="9"/>
      <c r="AC1456" s="9"/>
      <c r="AD1456" s="9"/>
      <c r="AE1456" s="9"/>
      <c r="AF1456" s="9"/>
      <c r="AG1456" s="9"/>
      <c r="AH1456" s="9"/>
      <c r="AI1456" s="9"/>
      <c r="AJ1456" s="9"/>
      <c r="AK1456" s="9"/>
      <c r="AL1456" s="9"/>
      <c r="AM1456" s="9"/>
      <c r="AN1456" s="9"/>
      <c r="AO1456" s="9"/>
      <c r="AP1456" s="9"/>
      <c r="AQ1456" s="9"/>
      <c r="AR1456" s="9"/>
      <c r="AS1456" s="9"/>
      <c r="AT1456" s="9"/>
      <c r="AU1456" s="9"/>
    </row>
    <row r="1457" spans="1:47" ht="15.75" customHeight="1">
      <c r="A1457" s="9"/>
      <c r="B1457" s="9"/>
      <c r="C1457" s="9"/>
      <c r="D1457" s="9"/>
      <c r="E1457" s="9"/>
      <c r="F1457" s="67"/>
      <c r="G1457" s="9"/>
      <c r="H1457" s="9"/>
      <c r="I1457" s="9"/>
      <c r="J1457" s="9"/>
      <c r="K1457" s="9"/>
      <c r="L1457" s="9"/>
      <c r="M1457" s="9"/>
      <c r="N1457" s="9"/>
      <c r="O1457" s="9"/>
      <c r="P1457" s="9"/>
      <c r="Q1457" s="9"/>
      <c r="R1457" s="9"/>
      <c r="S1457" s="9"/>
      <c r="T1457" s="9"/>
      <c r="U1457" s="9"/>
      <c r="V1457" s="9"/>
      <c r="W1457" s="9"/>
      <c r="X1457" s="9"/>
      <c r="Y1457" s="9"/>
      <c r="Z1457" s="9"/>
      <c r="AA1457" s="9"/>
      <c r="AB1457" s="9"/>
      <c r="AC1457" s="9"/>
      <c r="AD1457" s="9"/>
      <c r="AE1457" s="9"/>
      <c r="AF1457" s="9"/>
      <c r="AG1457" s="9"/>
      <c r="AH1457" s="9"/>
      <c r="AI1457" s="9"/>
      <c r="AJ1457" s="9"/>
      <c r="AK1457" s="9"/>
      <c r="AL1457" s="9"/>
      <c r="AM1457" s="9"/>
      <c r="AN1457" s="9"/>
      <c r="AO1457" s="9"/>
      <c r="AP1457" s="9"/>
      <c r="AQ1457" s="9"/>
      <c r="AR1457" s="9"/>
      <c r="AS1457" s="9"/>
      <c r="AT1457" s="9"/>
      <c r="AU1457" s="9"/>
    </row>
    <row r="1458" spans="1:47" ht="15.75" customHeight="1">
      <c r="A1458" s="9"/>
      <c r="B1458" s="9"/>
      <c r="C1458" s="9"/>
      <c r="D1458" s="9"/>
      <c r="E1458" s="9"/>
      <c r="F1458" s="67"/>
      <c r="G1458" s="9"/>
      <c r="H1458" s="9"/>
      <c r="I1458" s="9"/>
      <c r="J1458" s="9"/>
      <c r="K1458" s="9"/>
      <c r="L1458" s="9"/>
      <c r="M1458" s="9"/>
      <c r="N1458" s="9"/>
      <c r="O1458" s="9"/>
      <c r="P1458" s="9"/>
      <c r="Q1458" s="9"/>
      <c r="R1458" s="9"/>
      <c r="S1458" s="9"/>
      <c r="T1458" s="9"/>
      <c r="U1458" s="9"/>
      <c r="V1458" s="9"/>
      <c r="W1458" s="9"/>
      <c r="X1458" s="9"/>
      <c r="Y1458" s="9"/>
      <c r="Z1458" s="9"/>
      <c r="AA1458" s="9"/>
      <c r="AB1458" s="9"/>
      <c r="AC1458" s="9"/>
      <c r="AD1458" s="9"/>
      <c r="AE1458" s="9"/>
      <c r="AF1458" s="9"/>
      <c r="AG1458" s="9"/>
      <c r="AH1458" s="9"/>
      <c r="AI1458" s="9"/>
      <c r="AJ1458" s="9"/>
      <c r="AK1458" s="9"/>
      <c r="AL1458" s="9"/>
      <c r="AM1458" s="9"/>
      <c r="AN1458" s="9"/>
      <c r="AO1458" s="9"/>
      <c r="AP1458" s="9"/>
      <c r="AQ1458" s="9"/>
      <c r="AR1458" s="9"/>
      <c r="AS1458" s="9"/>
      <c r="AT1458" s="9"/>
      <c r="AU1458" s="9"/>
    </row>
    <row r="1459" spans="1:47" ht="15.75" customHeight="1">
      <c r="A1459" s="9"/>
      <c r="B1459" s="9"/>
      <c r="C1459" s="9"/>
      <c r="D1459" s="9"/>
      <c r="E1459" s="9"/>
      <c r="F1459" s="67"/>
      <c r="G1459" s="9"/>
      <c r="H1459" s="9"/>
      <c r="I1459" s="9"/>
      <c r="J1459" s="9"/>
      <c r="K1459" s="9"/>
      <c r="L1459" s="9"/>
      <c r="M1459" s="9"/>
      <c r="N1459" s="9"/>
      <c r="O1459" s="9"/>
      <c r="P1459" s="9"/>
      <c r="Q1459" s="9"/>
      <c r="R1459" s="9"/>
      <c r="S1459" s="9"/>
      <c r="T1459" s="9"/>
      <c r="U1459" s="9"/>
      <c r="V1459" s="9"/>
      <c r="W1459" s="9"/>
      <c r="X1459" s="9"/>
      <c r="Y1459" s="9"/>
      <c r="Z1459" s="9"/>
      <c r="AA1459" s="9"/>
      <c r="AB1459" s="9"/>
      <c r="AC1459" s="9"/>
      <c r="AD1459" s="9"/>
      <c r="AE1459" s="9"/>
      <c r="AF1459" s="9"/>
      <c r="AG1459" s="9"/>
      <c r="AH1459" s="9"/>
      <c r="AI1459" s="9"/>
      <c r="AJ1459" s="9"/>
      <c r="AK1459" s="9"/>
      <c r="AL1459" s="9"/>
      <c r="AM1459" s="9"/>
      <c r="AN1459" s="9"/>
      <c r="AO1459" s="9"/>
      <c r="AP1459" s="9"/>
      <c r="AQ1459" s="9"/>
      <c r="AR1459" s="9"/>
      <c r="AS1459" s="9"/>
      <c r="AT1459" s="9"/>
      <c r="AU1459" s="9"/>
    </row>
    <row r="1460" spans="1:47" ht="15.75" customHeight="1">
      <c r="A1460" s="9"/>
      <c r="B1460" s="9"/>
      <c r="C1460" s="9"/>
      <c r="D1460" s="9"/>
      <c r="E1460" s="9"/>
      <c r="F1460" s="67"/>
      <c r="G1460" s="9"/>
      <c r="H1460" s="9"/>
      <c r="I1460" s="9"/>
      <c r="J1460" s="9"/>
      <c r="K1460" s="9"/>
      <c r="L1460" s="9"/>
      <c r="M1460" s="9"/>
      <c r="N1460" s="9"/>
      <c r="O1460" s="9"/>
      <c r="P1460" s="9"/>
      <c r="Q1460" s="9"/>
      <c r="R1460" s="9"/>
      <c r="S1460" s="9"/>
      <c r="T1460" s="9"/>
      <c r="U1460" s="9"/>
      <c r="V1460" s="9"/>
      <c r="W1460" s="9"/>
      <c r="X1460" s="9"/>
      <c r="Y1460" s="9"/>
      <c r="Z1460" s="9"/>
      <c r="AA1460" s="9"/>
      <c r="AB1460" s="9"/>
      <c r="AC1460" s="9"/>
      <c r="AD1460" s="9"/>
      <c r="AE1460" s="9"/>
      <c r="AF1460" s="9"/>
      <c r="AG1460" s="9"/>
      <c r="AH1460" s="9"/>
      <c r="AI1460" s="9"/>
      <c r="AJ1460" s="9"/>
      <c r="AK1460" s="9"/>
      <c r="AL1460" s="9"/>
      <c r="AM1460" s="9"/>
      <c r="AN1460" s="9"/>
      <c r="AO1460" s="9"/>
      <c r="AP1460" s="9"/>
      <c r="AQ1460" s="9"/>
      <c r="AR1460" s="9"/>
      <c r="AS1460" s="9"/>
      <c r="AT1460" s="9"/>
      <c r="AU1460" s="9"/>
    </row>
    <row r="1461" spans="1:47" ht="15.75" customHeight="1">
      <c r="A1461" s="9"/>
      <c r="B1461" s="9"/>
      <c r="C1461" s="9"/>
      <c r="D1461" s="9"/>
      <c r="E1461" s="9"/>
      <c r="F1461" s="67"/>
      <c r="G1461" s="9"/>
      <c r="H1461" s="9"/>
      <c r="I1461" s="9"/>
      <c r="J1461" s="9"/>
      <c r="K1461" s="9"/>
      <c r="L1461" s="9"/>
      <c r="M1461" s="9"/>
      <c r="N1461" s="9"/>
      <c r="O1461" s="9"/>
      <c r="P1461" s="9"/>
      <c r="Q1461" s="9"/>
      <c r="R1461" s="9"/>
      <c r="S1461" s="9"/>
      <c r="T1461" s="9"/>
      <c r="U1461" s="9"/>
      <c r="V1461" s="9"/>
      <c r="W1461" s="9"/>
      <c r="X1461" s="9"/>
      <c r="Y1461" s="9"/>
      <c r="Z1461" s="9"/>
      <c r="AA1461" s="9"/>
      <c r="AB1461" s="9"/>
      <c r="AC1461" s="9"/>
      <c r="AD1461" s="9"/>
      <c r="AE1461" s="9"/>
      <c r="AF1461" s="9"/>
      <c r="AG1461" s="9"/>
      <c r="AH1461" s="9"/>
      <c r="AI1461" s="9"/>
      <c r="AJ1461" s="9"/>
      <c r="AK1461" s="9"/>
      <c r="AL1461" s="9"/>
      <c r="AM1461" s="9"/>
      <c r="AN1461" s="9"/>
      <c r="AO1461" s="9"/>
      <c r="AP1461" s="9"/>
      <c r="AQ1461" s="9"/>
      <c r="AR1461" s="9"/>
      <c r="AS1461" s="9"/>
      <c r="AT1461" s="9"/>
      <c r="AU1461" s="9"/>
    </row>
    <row r="1462" spans="1:47" ht="15.75" customHeight="1">
      <c r="A1462" s="9"/>
      <c r="B1462" s="9"/>
      <c r="C1462" s="9"/>
      <c r="D1462" s="9"/>
      <c r="E1462" s="9"/>
      <c r="F1462" s="67"/>
      <c r="G1462" s="9"/>
      <c r="H1462" s="9"/>
      <c r="I1462" s="9"/>
      <c r="J1462" s="9"/>
      <c r="K1462" s="9"/>
      <c r="L1462" s="9"/>
      <c r="M1462" s="9"/>
      <c r="N1462" s="9"/>
      <c r="O1462" s="9"/>
      <c r="P1462" s="9"/>
      <c r="Q1462" s="9"/>
      <c r="R1462" s="9"/>
      <c r="S1462" s="9"/>
      <c r="T1462" s="9"/>
      <c r="U1462" s="9"/>
      <c r="V1462" s="9"/>
      <c r="W1462" s="9"/>
      <c r="X1462" s="9"/>
      <c r="Y1462" s="9"/>
      <c r="Z1462" s="9"/>
      <c r="AA1462" s="9"/>
      <c r="AB1462" s="9"/>
      <c r="AC1462" s="9"/>
      <c r="AD1462" s="9"/>
      <c r="AE1462" s="9"/>
      <c r="AF1462" s="9"/>
      <c r="AG1462" s="9"/>
      <c r="AH1462" s="9"/>
      <c r="AI1462" s="9"/>
      <c r="AJ1462" s="9"/>
      <c r="AK1462" s="9"/>
      <c r="AL1462" s="9"/>
      <c r="AM1462" s="9"/>
      <c r="AN1462" s="9"/>
      <c r="AO1462" s="9"/>
      <c r="AP1462" s="9"/>
      <c r="AQ1462" s="9"/>
      <c r="AR1462" s="9"/>
      <c r="AS1462" s="9"/>
      <c r="AT1462" s="9"/>
      <c r="AU1462" s="9"/>
    </row>
    <row r="1463" spans="1:47" ht="15.75" customHeight="1">
      <c r="A1463" s="9"/>
      <c r="B1463" s="9"/>
      <c r="C1463" s="9"/>
      <c r="D1463" s="9"/>
      <c r="E1463" s="9"/>
      <c r="F1463" s="67"/>
      <c r="G1463" s="9"/>
      <c r="H1463" s="9"/>
      <c r="I1463" s="9"/>
      <c r="J1463" s="9"/>
      <c r="K1463" s="9"/>
      <c r="L1463" s="9"/>
      <c r="M1463" s="9"/>
      <c r="N1463" s="9"/>
      <c r="O1463" s="9"/>
      <c r="P1463" s="9"/>
      <c r="Q1463" s="9"/>
      <c r="R1463" s="9"/>
      <c r="S1463" s="9"/>
      <c r="T1463" s="9"/>
      <c r="U1463" s="9"/>
      <c r="V1463" s="9"/>
      <c r="W1463" s="9"/>
      <c r="X1463" s="9"/>
      <c r="Y1463" s="9"/>
      <c r="Z1463" s="9"/>
      <c r="AA1463" s="9"/>
      <c r="AB1463" s="9"/>
      <c r="AC1463" s="9"/>
      <c r="AD1463" s="9"/>
      <c r="AE1463" s="9"/>
      <c r="AF1463" s="9"/>
      <c r="AG1463" s="9"/>
      <c r="AH1463" s="9"/>
      <c r="AI1463" s="9"/>
      <c r="AJ1463" s="9"/>
      <c r="AK1463" s="9"/>
      <c r="AL1463" s="9"/>
      <c r="AM1463" s="9"/>
      <c r="AN1463" s="9"/>
      <c r="AO1463" s="9"/>
      <c r="AP1463" s="9"/>
      <c r="AQ1463" s="9"/>
      <c r="AR1463" s="9"/>
      <c r="AS1463" s="9"/>
      <c r="AT1463" s="9"/>
      <c r="AU1463" s="9"/>
    </row>
    <row r="1464" spans="1:47" ht="15.75" customHeight="1">
      <c r="A1464" s="9"/>
      <c r="B1464" s="9"/>
      <c r="C1464" s="9"/>
      <c r="D1464" s="9"/>
      <c r="E1464" s="9"/>
      <c r="F1464" s="67"/>
      <c r="G1464" s="9"/>
      <c r="H1464" s="9"/>
      <c r="I1464" s="9"/>
      <c r="J1464" s="9"/>
      <c r="K1464" s="9"/>
      <c r="L1464" s="9"/>
      <c r="M1464" s="9"/>
      <c r="N1464" s="9"/>
      <c r="O1464" s="9"/>
      <c r="P1464" s="9"/>
      <c r="Q1464" s="9"/>
      <c r="R1464" s="9"/>
      <c r="S1464" s="9"/>
      <c r="T1464" s="9"/>
      <c r="U1464" s="9"/>
      <c r="V1464" s="9"/>
      <c r="W1464" s="9"/>
      <c r="X1464" s="9"/>
      <c r="Y1464" s="9"/>
      <c r="Z1464" s="9"/>
      <c r="AA1464" s="9"/>
      <c r="AB1464" s="9"/>
      <c r="AC1464" s="9"/>
      <c r="AD1464" s="9"/>
      <c r="AE1464" s="9"/>
      <c r="AF1464" s="9"/>
      <c r="AG1464" s="9"/>
      <c r="AH1464" s="9"/>
      <c r="AI1464" s="9"/>
      <c r="AJ1464" s="9"/>
      <c r="AK1464" s="9"/>
      <c r="AL1464" s="9"/>
      <c r="AM1464" s="9"/>
      <c r="AN1464" s="9"/>
      <c r="AO1464" s="9"/>
      <c r="AP1464" s="9"/>
      <c r="AQ1464" s="9"/>
      <c r="AR1464" s="9"/>
      <c r="AS1464" s="9"/>
      <c r="AT1464" s="9"/>
      <c r="AU1464" s="9"/>
    </row>
    <row r="1465" spans="1:47" ht="15.75" customHeight="1">
      <c r="A1465" s="9"/>
      <c r="B1465" s="9"/>
      <c r="C1465" s="9"/>
      <c r="D1465" s="9"/>
      <c r="E1465" s="9"/>
      <c r="F1465" s="67"/>
      <c r="G1465" s="9"/>
      <c r="H1465" s="9"/>
      <c r="I1465" s="9"/>
      <c r="J1465" s="9"/>
      <c r="K1465" s="9"/>
      <c r="L1465" s="9"/>
      <c r="M1465" s="9"/>
      <c r="N1465" s="9"/>
      <c r="O1465" s="9"/>
      <c r="P1465" s="9"/>
      <c r="Q1465" s="9"/>
      <c r="R1465" s="9"/>
      <c r="S1465" s="9"/>
      <c r="T1465" s="9"/>
      <c r="U1465" s="9"/>
      <c r="V1465" s="9"/>
      <c r="W1465" s="9"/>
      <c r="X1465" s="9"/>
      <c r="Y1465" s="9"/>
      <c r="Z1465" s="9"/>
      <c r="AA1465" s="9"/>
      <c r="AB1465" s="9"/>
      <c r="AC1465" s="9"/>
      <c r="AD1465" s="9"/>
      <c r="AE1465" s="9"/>
      <c r="AF1465" s="9"/>
      <c r="AG1465" s="9"/>
      <c r="AH1465" s="9"/>
      <c r="AI1465" s="9"/>
      <c r="AJ1465" s="9"/>
      <c r="AK1465" s="9"/>
      <c r="AL1465" s="9"/>
      <c r="AM1465" s="9"/>
      <c r="AN1465" s="9"/>
      <c r="AO1465" s="9"/>
      <c r="AP1465" s="9"/>
      <c r="AQ1465" s="9"/>
      <c r="AR1465" s="9"/>
      <c r="AS1465" s="9"/>
      <c r="AT1465" s="9"/>
      <c r="AU1465" s="9"/>
    </row>
    <row r="1466" spans="1:47" ht="15.75" customHeight="1">
      <c r="A1466" s="9"/>
      <c r="B1466" s="9"/>
      <c r="C1466" s="9"/>
      <c r="D1466" s="9"/>
      <c r="E1466" s="9"/>
      <c r="F1466" s="67"/>
      <c r="G1466" s="9"/>
      <c r="H1466" s="9"/>
      <c r="I1466" s="9"/>
      <c r="J1466" s="9"/>
      <c r="K1466" s="9"/>
      <c r="L1466" s="9"/>
      <c r="M1466" s="9"/>
      <c r="N1466" s="9"/>
      <c r="O1466" s="9"/>
      <c r="P1466" s="9"/>
      <c r="Q1466" s="9"/>
      <c r="R1466" s="9"/>
      <c r="S1466" s="9"/>
      <c r="T1466" s="9"/>
      <c r="U1466" s="9"/>
      <c r="V1466" s="9"/>
      <c r="W1466" s="9"/>
      <c r="X1466" s="9"/>
      <c r="Y1466" s="9"/>
      <c r="Z1466" s="9"/>
      <c r="AA1466" s="9"/>
      <c r="AB1466" s="9"/>
      <c r="AC1466" s="9"/>
      <c r="AD1466" s="9"/>
      <c r="AE1466" s="9"/>
      <c r="AF1466" s="9"/>
      <c r="AG1466" s="9"/>
      <c r="AH1466" s="9"/>
      <c r="AI1466" s="9"/>
      <c r="AJ1466" s="9"/>
      <c r="AK1466" s="9"/>
      <c r="AL1466" s="9"/>
      <c r="AM1466" s="9"/>
      <c r="AN1466" s="9"/>
      <c r="AO1466" s="9"/>
      <c r="AP1466" s="9"/>
      <c r="AQ1466" s="9"/>
      <c r="AR1466" s="9"/>
      <c r="AS1466" s="9"/>
      <c r="AT1466" s="9"/>
      <c r="AU1466" s="9"/>
    </row>
    <row r="1467" spans="1:47" ht="15.75" customHeight="1">
      <c r="A1467" s="9"/>
      <c r="B1467" s="9"/>
      <c r="C1467" s="9"/>
      <c r="D1467" s="9"/>
      <c r="E1467" s="9"/>
      <c r="F1467" s="67"/>
      <c r="G1467" s="9"/>
      <c r="H1467" s="9"/>
      <c r="I1467" s="9"/>
      <c r="J1467" s="9"/>
      <c r="K1467" s="9"/>
      <c r="L1467" s="9"/>
      <c r="M1467" s="9"/>
      <c r="N1467" s="9"/>
      <c r="O1467" s="9"/>
      <c r="P1467" s="9"/>
      <c r="Q1467" s="9"/>
      <c r="R1467" s="9"/>
      <c r="S1467" s="9"/>
      <c r="T1467" s="9"/>
      <c r="U1467" s="9"/>
      <c r="V1467" s="9"/>
      <c r="W1467" s="9"/>
      <c r="X1467" s="9"/>
      <c r="Y1467" s="9"/>
      <c r="Z1467" s="9"/>
      <c r="AA1467" s="9"/>
      <c r="AB1467" s="9"/>
      <c r="AC1467" s="9"/>
      <c r="AD1467" s="9"/>
      <c r="AE1467" s="9"/>
      <c r="AF1467" s="9"/>
      <c r="AG1467" s="9"/>
      <c r="AH1467" s="9"/>
      <c r="AI1467" s="9"/>
      <c r="AJ1467" s="9"/>
      <c r="AK1467" s="9"/>
      <c r="AL1467" s="9"/>
      <c r="AM1467" s="9"/>
      <c r="AN1467" s="9"/>
      <c r="AO1467" s="9"/>
      <c r="AP1467" s="9"/>
      <c r="AQ1467" s="9"/>
      <c r="AR1467" s="9"/>
      <c r="AS1467" s="9"/>
      <c r="AT1467" s="9"/>
      <c r="AU1467" s="9"/>
    </row>
    <row r="1468" spans="1:47" ht="15.75" customHeight="1">
      <c r="A1468" s="9"/>
      <c r="B1468" s="9"/>
      <c r="C1468" s="9"/>
      <c r="D1468" s="9"/>
      <c r="E1468" s="9"/>
      <c r="F1468" s="67"/>
      <c r="G1468" s="9"/>
      <c r="H1468" s="9"/>
      <c r="I1468" s="9"/>
      <c r="J1468" s="9"/>
      <c r="K1468" s="9"/>
      <c r="L1468" s="9"/>
      <c r="M1468" s="9"/>
      <c r="N1468" s="9"/>
      <c r="O1468" s="9"/>
      <c r="P1468" s="9"/>
      <c r="Q1468" s="9"/>
      <c r="R1468" s="9"/>
      <c r="S1468" s="9"/>
      <c r="T1468" s="9"/>
      <c r="U1468" s="9"/>
      <c r="V1468" s="9"/>
      <c r="W1468" s="9"/>
      <c r="X1468" s="9"/>
      <c r="Y1468" s="9"/>
      <c r="Z1468" s="9"/>
      <c r="AA1468" s="9"/>
      <c r="AB1468" s="9"/>
      <c r="AC1468" s="9"/>
      <c r="AD1468" s="9"/>
      <c r="AE1468" s="9"/>
      <c r="AF1468" s="9"/>
      <c r="AG1468" s="9"/>
      <c r="AH1468" s="9"/>
      <c r="AI1468" s="9"/>
      <c r="AJ1468" s="9"/>
      <c r="AK1468" s="9"/>
      <c r="AL1468" s="9"/>
      <c r="AM1468" s="9"/>
      <c r="AN1468" s="9"/>
      <c r="AO1468" s="9"/>
      <c r="AP1468" s="9"/>
      <c r="AQ1468" s="9"/>
      <c r="AR1468" s="9"/>
      <c r="AS1468" s="9"/>
      <c r="AT1468" s="9"/>
      <c r="AU1468" s="9"/>
    </row>
    <row r="1469" spans="1:47" ht="15.75" customHeight="1">
      <c r="A1469" s="9"/>
      <c r="B1469" s="9"/>
      <c r="C1469" s="9"/>
      <c r="D1469" s="9"/>
      <c r="E1469" s="9"/>
      <c r="F1469" s="67"/>
      <c r="G1469" s="9"/>
      <c r="H1469" s="9"/>
      <c r="I1469" s="9"/>
      <c r="J1469" s="9"/>
      <c r="K1469" s="9"/>
      <c r="L1469" s="9"/>
      <c r="M1469" s="9"/>
      <c r="N1469" s="9"/>
      <c r="O1469" s="9"/>
      <c r="P1469" s="9"/>
      <c r="Q1469" s="9"/>
      <c r="R1469" s="9"/>
      <c r="S1469" s="9"/>
      <c r="T1469" s="9"/>
      <c r="U1469" s="9"/>
      <c r="V1469" s="9"/>
      <c r="W1469" s="9"/>
      <c r="X1469" s="9"/>
      <c r="Y1469" s="9"/>
      <c r="Z1469" s="9"/>
      <c r="AA1469" s="9"/>
      <c r="AB1469" s="9"/>
      <c r="AC1469" s="9"/>
      <c r="AD1469" s="9"/>
      <c r="AE1469" s="9"/>
      <c r="AF1469" s="9"/>
      <c r="AG1469" s="9"/>
      <c r="AH1469" s="9"/>
      <c r="AI1469" s="9"/>
      <c r="AJ1469" s="9"/>
      <c r="AK1469" s="9"/>
      <c r="AL1469" s="9"/>
      <c r="AM1469" s="9"/>
      <c r="AN1469" s="9"/>
      <c r="AO1469" s="9"/>
      <c r="AP1469" s="9"/>
      <c r="AQ1469" s="9"/>
      <c r="AR1469" s="9"/>
      <c r="AS1469" s="9"/>
      <c r="AT1469" s="9"/>
      <c r="AU1469" s="9"/>
    </row>
    <row r="1470" spans="1:47" ht="15.75" customHeight="1">
      <c r="A1470" s="9"/>
      <c r="B1470" s="9"/>
      <c r="C1470" s="9"/>
      <c r="D1470" s="9"/>
      <c r="E1470" s="9"/>
      <c r="F1470" s="67"/>
      <c r="G1470" s="9"/>
      <c r="H1470" s="9"/>
      <c r="I1470" s="9"/>
      <c r="J1470" s="9"/>
      <c r="K1470" s="9"/>
      <c r="L1470" s="9"/>
      <c r="M1470" s="9"/>
      <c r="N1470" s="9"/>
      <c r="O1470" s="9"/>
      <c r="P1470" s="9"/>
      <c r="Q1470" s="9"/>
      <c r="R1470" s="9"/>
      <c r="S1470" s="9"/>
      <c r="T1470" s="9"/>
      <c r="U1470" s="9"/>
      <c r="V1470" s="9"/>
      <c r="W1470" s="9"/>
      <c r="X1470" s="9"/>
      <c r="Y1470" s="9"/>
      <c r="Z1470" s="9"/>
      <c r="AA1470" s="9"/>
      <c r="AB1470" s="9"/>
      <c r="AC1470" s="9"/>
      <c r="AD1470" s="9"/>
      <c r="AE1470" s="9"/>
      <c r="AF1470" s="9"/>
      <c r="AG1470" s="9"/>
      <c r="AH1470" s="9"/>
      <c r="AI1470" s="9"/>
      <c r="AJ1470" s="9"/>
      <c r="AK1470" s="9"/>
      <c r="AL1470" s="9"/>
      <c r="AM1470" s="9"/>
      <c r="AN1470" s="9"/>
      <c r="AO1470" s="9"/>
      <c r="AP1470" s="9"/>
      <c r="AQ1470" s="9"/>
      <c r="AR1470" s="9"/>
      <c r="AS1470" s="9"/>
      <c r="AT1470" s="9"/>
      <c r="AU1470" s="9"/>
    </row>
    <row r="1471" spans="1:47" ht="15.75" customHeight="1">
      <c r="A1471" s="9"/>
      <c r="B1471" s="9"/>
      <c r="C1471" s="9"/>
      <c r="D1471" s="9"/>
      <c r="E1471" s="9"/>
      <c r="F1471" s="67"/>
      <c r="G1471" s="9"/>
      <c r="H1471" s="9"/>
      <c r="I1471" s="9"/>
      <c r="J1471" s="9"/>
      <c r="K1471" s="9"/>
      <c r="L1471" s="9"/>
      <c r="M1471" s="9"/>
      <c r="N1471" s="9"/>
      <c r="O1471" s="9"/>
      <c r="P1471" s="9"/>
      <c r="Q1471" s="9"/>
      <c r="R1471" s="9"/>
      <c r="S1471" s="9"/>
      <c r="T1471" s="9"/>
      <c r="U1471" s="9"/>
      <c r="V1471" s="9"/>
      <c r="W1471" s="9"/>
      <c r="X1471" s="9"/>
      <c r="Y1471" s="9"/>
      <c r="Z1471" s="9"/>
      <c r="AA1471" s="9"/>
      <c r="AB1471" s="9"/>
      <c r="AC1471" s="9"/>
      <c r="AD1471" s="9"/>
      <c r="AE1471" s="9"/>
      <c r="AF1471" s="9"/>
      <c r="AG1471" s="9"/>
      <c r="AH1471" s="9"/>
      <c r="AI1471" s="9"/>
      <c r="AJ1471" s="9"/>
      <c r="AK1471" s="9"/>
      <c r="AL1471" s="9"/>
      <c r="AM1471" s="9"/>
      <c r="AN1471" s="9"/>
      <c r="AO1471" s="9"/>
      <c r="AP1471" s="9"/>
      <c r="AQ1471" s="9"/>
      <c r="AR1471" s="9"/>
      <c r="AS1471" s="9"/>
      <c r="AT1471" s="9"/>
      <c r="AU1471" s="9"/>
    </row>
    <row r="1472" spans="1:47" ht="15.75" customHeight="1">
      <c r="A1472" s="9"/>
      <c r="B1472" s="9"/>
      <c r="C1472" s="9"/>
      <c r="D1472" s="9"/>
      <c r="E1472" s="9"/>
      <c r="F1472" s="67"/>
      <c r="G1472" s="9"/>
      <c r="H1472" s="9"/>
      <c r="I1472" s="9"/>
      <c r="J1472" s="9"/>
      <c r="K1472" s="9"/>
      <c r="L1472" s="9"/>
      <c r="M1472" s="9"/>
      <c r="N1472" s="9"/>
      <c r="O1472" s="9"/>
      <c r="P1472" s="9"/>
      <c r="Q1472" s="9"/>
      <c r="R1472" s="9"/>
      <c r="S1472" s="9"/>
      <c r="T1472" s="9"/>
      <c r="U1472" s="9"/>
      <c r="V1472" s="9"/>
      <c r="W1472" s="9"/>
      <c r="X1472" s="9"/>
      <c r="Y1472" s="9"/>
      <c r="Z1472" s="9"/>
      <c r="AA1472" s="9"/>
      <c r="AB1472" s="9"/>
      <c r="AC1472" s="9"/>
      <c r="AD1472" s="9"/>
      <c r="AE1472" s="9"/>
      <c r="AF1472" s="9"/>
      <c r="AG1472" s="9"/>
      <c r="AH1472" s="9"/>
      <c r="AI1472" s="9"/>
      <c r="AJ1472" s="9"/>
      <c r="AK1472" s="9"/>
      <c r="AL1472" s="9"/>
      <c r="AM1472" s="9"/>
      <c r="AN1472" s="9"/>
      <c r="AO1472" s="9"/>
      <c r="AP1472" s="9"/>
      <c r="AQ1472" s="9"/>
      <c r="AR1472" s="9"/>
      <c r="AS1472" s="9"/>
      <c r="AT1472" s="9"/>
      <c r="AU1472" s="9"/>
    </row>
    <row r="1473" spans="1:47" ht="15.75" customHeight="1">
      <c r="A1473" s="9"/>
      <c r="B1473" s="9"/>
      <c r="C1473" s="9"/>
      <c r="D1473" s="9"/>
      <c r="E1473" s="9"/>
      <c r="F1473" s="67"/>
      <c r="G1473" s="9"/>
      <c r="H1473" s="9"/>
      <c r="I1473" s="9"/>
      <c r="J1473" s="9"/>
      <c r="K1473" s="9"/>
      <c r="L1473" s="9"/>
      <c r="M1473" s="9"/>
      <c r="N1473" s="9"/>
      <c r="O1473" s="9"/>
      <c r="P1473" s="9"/>
      <c r="Q1473" s="9"/>
      <c r="R1473" s="9"/>
      <c r="S1473" s="9"/>
      <c r="T1473" s="9"/>
      <c r="U1473" s="9"/>
      <c r="V1473" s="9"/>
      <c r="W1473" s="9"/>
      <c r="X1473" s="9"/>
      <c r="Y1473" s="9"/>
      <c r="Z1473" s="9"/>
      <c r="AA1473" s="9"/>
      <c r="AB1473" s="9"/>
      <c r="AC1473" s="9"/>
      <c r="AD1473" s="9"/>
      <c r="AE1473" s="9"/>
      <c r="AF1473" s="9"/>
      <c r="AG1473" s="9"/>
      <c r="AH1473" s="9"/>
      <c r="AI1473" s="9"/>
      <c r="AJ1473" s="9"/>
      <c r="AK1473" s="9"/>
      <c r="AL1473" s="9"/>
      <c r="AM1473" s="9"/>
      <c r="AN1473" s="9"/>
      <c r="AO1473" s="9"/>
      <c r="AP1473" s="9"/>
      <c r="AQ1473" s="9"/>
      <c r="AR1473" s="9"/>
      <c r="AS1473" s="9"/>
      <c r="AT1473" s="9"/>
      <c r="AU1473" s="9"/>
    </row>
    <row r="1474" spans="1:47" ht="15.75" customHeight="1">
      <c r="A1474" s="9"/>
      <c r="B1474" s="9"/>
      <c r="C1474" s="9"/>
      <c r="D1474" s="9"/>
      <c r="E1474" s="9"/>
      <c r="F1474" s="67"/>
      <c r="G1474" s="9"/>
      <c r="H1474" s="9"/>
      <c r="I1474" s="9"/>
      <c r="J1474" s="9"/>
      <c r="K1474" s="9"/>
      <c r="L1474" s="9"/>
      <c r="M1474" s="9"/>
      <c r="N1474" s="9"/>
      <c r="O1474" s="9"/>
      <c r="P1474" s="9"/>
      <c r="Q1474" s="9"/>
      <c r="R1474" s="9"/>
      <c r="S1474" s="9"/>
      <c r="T1474" s="9"/>
      <c r="U1474" s="9"/>
      <c r="V1474" s="9"/>
      <c r="W1474" s="9"/>
      <c r="X1474" s="9"/>
      <c r="Y1474" s="9"/>
      <c r="Z1474" s="9"/>
      <c r="AA1474" s="9"/>
      <c r="AB1474" s="9"/>
      <c r="AC1474" s="9"/>
      <c r="AD1474" s="9"/>
      <c r="AE1474" s="9"/>
      <c r="AF1474" s="9"/>
      <c r="AG1474" s="9"/>
      <c r="AH1474" s="9"/>
      <c r="AI1474" s="9"/>
      <c r="AJ1474" s="9"/>
      <c r="AK1474" s="9"/>
      <c r="AL1474" s="9"/>
      <c r="AM1474" s="9"/>
      <c r="AN1474" s="9"/>
      <c r="AO1474" s="9"/>
      <c r="AP1474" s="9"/>
      <c r="AQ1474" s="9"/>
      <c r="AR1474" s="9"/>
      <c r="AS1474" s="9"/>
      <c r="AT1474" s="9"/>
      <c r="AU1474" s="9"/>
    </row>
    <row r="1475" spans="1:47" ht="15.75" customHeight="1">
      <c r="A1475" s="9"/>
      <c r="B1475" s="9"/>
      <c r="C1475" s="9"/>
      <c r="D1475" s="9"/>
      <c r="E1475" s="9"/>
      <c r="F1475" s="67"/>
      <c r="G1475" s="9"/>
      <c r="H1475" s="9"/>
      <c r="I1475" s="9"/>
      <c r="J1475" s="9"/>
      <c r="K1475" s="9"/>
      <c r="L1475" s="9"/>
      <c r="M1475" s="9"/>
      <c r="N1475" s="9"/>
      <c r="O1475" s="9"/>
      <c r="P1475" s="9"/>
      <c r="Q1475" s="9"/>
      <c r="R1475" s="9"/>
      <c r="S1475" s="9"/>
      <c r="T1475" s="9"/>
      <c r="U1475" s="9"/>
      <c r="V1475" s="9"/>
      <c r="W1475" s="9"/>
      <c r="X1475" s="9"/>
      <c r="Y1475" s="9"/>
      <c r="Z1475" s="9"/>
      <c r="AA1475" s="9"/>
      <c r="AB1475" s="9"/>
      <c r="AC1475" s="9"/>
      <c r="AD1475" s="9"/>
      <c r="AE1475" s="9"/>
      <c r="AF1475" s="9"/>
      <c r="AG1475" s="9"/>
      <c r="AH1475" s="9"/>
      <c r="AI1475" s="9"/>
      <c r="AJ1475" s="9"/>
      <c r="AK1475" s="9"/>
      <c r="AL1475" s="9"/>
      <c r="AM1475" s="9"/>
      <c r="AN1475" s="9"/>
      <c r="AO1475" s="9"/>
      <c r="AP1475" s="9"/>
      <c r="AQ1475" s="9"/>
      <c r="AR1475" s="9"/>
      <c r="AS1475" s="9"/>
      <c r="AT1475" s="9"/>
      <c r="AU1475" s="9"/>
    </row>
    <row r="1476" spans="1:47" ht="15.75" customHeight="1">
      <c r="A1476" s="9"/>
      <c r="B1476" s="9"/>
      <c r="C1476" s="9"/>
      <c r="D1476" s="9"/>
      <c r="E1476" s="9"/>
      <c r="F1476" s="67"/>
      <c r="G1476" s="9"/>
      <c r="H1476" s="9"/>
      <c r="I1476" s="9"/>
      <c r="J1476" s="9"/>
      <c r="K1476" s="9"/>
      <c r="L1476" s="9"/>
      <c r="M1476" s="9"/>
      <c r="N1476" s="9"/>
      <c r="O1476" s="9"/>
      <c r="P1476" s="9"/>
      <c r="Q1476" s="9"/>
      <c r="R1476" s="9"/>
      <c r="S1476" s="9"/>
      <c r="T1476" s="9"/>
      <c r="U1476" s="9"/>
      <c r="V1476" s="9"/>
      <c r="W1476" s="9"/>
      <c r="X1476" s="9"/>
      <c r="Y1476" s="9"/>
      <c r="Z1476" s="9"/>
      <c r="AA1476" s="9"/>
      <c r="AB1476" s="9"/>
      <c r="AC1476" s="9"/>
      <c r="AD1476" s="9"/>
      <c r="AE1476" s="9"/>
      <c r="AF1476" s="9"/>
      <c r="AG1476" s="9"/>
      <c r="AH1476" s="9"/>
      <c r="AI1476" s="9"/>
      <c r="AJ1476" s="9"/>
      <c r="AK1476" s="9"/>
      <c r="AL1476" s="9"/>
      <c r="AM1476" s="9"/>
      <c r="AN1476" s="9"/>
      <c r="AO1476" s="9"/>
      <c r="AP1476" s="9"/>
      <c r="AQ1476" s="9"/>
      <c r="AR1476" s="9"/>
      <c r="AS1476" s="9"/>
      <c r="AT1476" s="9"/>
      <c r="AU1476" s="9"/>
    </row>
    <row r="1477" spans="1:47" ht="15.75" customHeight="1">
      <c r="A1477" s="9"/>
      <c r="B1477" s="9"/>
      <c r="C1477" s="9"/>
      <c r="D1477" s="9"/>
      <c r="E1477" s="9"/>
      <c r="F1477" s="67"/>
      <c r="G1477" s="9"/>
      <c r="H1477" s="9"/>
      <c r="I1477" s="9"/>
      <c r="J1477" s="9"/>
      <c r="K1477" s="9"/>
      <c r="L1477" s="9"/>
      <c r="M1477" s="9"/>
      <c r="N1477" s="9"/>
      <c r="O1477" s="9"/>
      <c r="P1477" s="9"/>
      <c r="Q1477" s="9"/>
      <c r="R1477" s="9"/>
      <c r="S1477" s="9"/>
      <c r="T1477" s="9"/>
      <c r="U1477" s="9"/>
      <c r="V1477" s="9"/>
      <c r="W1477" s="9"/>
      <c r="X1477" s="9"/>
      <c r="Y1477" s="9"/>
      <c r="Z1477" s="9"/>
      <c r="AA1477" s="9"/>
      <c r="AB1477" s="9"/>
      <c r="AC1477" s="9"/>
      <c r="AD1477" s="9"/>
      <c r="AE1477" s="9"/>
      <c r="AF1477" s="9"/>
      <c r="AG1477" s="9"/>
      <c r="AH1477" s="9"/>
      <c r="AI1477" s="9"/>
      <c r="AJ1477" s="9"/>
      <c r="AK1477" s="9"/>
      <c r="AL1477" s="9"/>
      <c r="AM1477" s="9"/>
      <c r="AN1477" s="9"/>
      <c r="AO1477" s="9"/>
      <c r="AP1477" s="9"/>
      <c r="AQ1477" s="9"/>
      <c r="AR1477" s="9"/>
      <c r="AS1477" s="9"/>
      <c r="AT1477" s="9"/>
      <c r="AU1477" s="9"/>
    </row>
    <row r="1478" spans="1:47" ht="15.75" customHeight="1">
      <c r="A1478" s="9"/>
      <c r="B1478" s="9"/>
      <c r="C1478" s="9"/>
      <c r="D1478" s="9"/>
      <c r="E1478" s="9"/>
      <c r="F1478" s="67"/>
      <c r="G1478" s="9"/>
      <c r="H1478" s="9"/>
      <c r="I1478" s="9"/>
      <c r="J1478" s="9"/>
      <c r="K1478" s="9"/>
      <c r="L1478" s="9"/>
      <c r="M1478" s="9"/>
      <c r="N1478" s="9"/>
      <c r="O1478" s="9"/>
      <c r="P1478" s="9"/>
      <c r="Q1478" s="9"/>
      <c r="R1478" s="9"/>
      <c r="S1478" s="9"/>
      <c r="T1478" s="9"/>
      <c r="U1478" s="9"/>
      <c r="V1478" s="9"/>
      <c r="W1478" s="9"/>
      <c r="X1478" s="9"/>
      <c r="Y1478" s="9"/>
      <c r="Z1478" s="9"/>
      <c r="AA1478" s="9"/>
      <c r="AB1478" s="9"/>
      <c r="AC1478" s="9"/>
      <c r="AD1478" s="9"/>
      <c r="AE1478" s="9"/>
      <c r="AF1478" s="9"/>
      <c r="AG1478" s="9"/>
      <c r="AH1478" s="9"/>
      <c r="AI1478" s="9"/>
      <c r="AJ1478" s="9"/>
      <c r="AK1478" s="9"/>
      <c r="AL1478" s="9"/>
      <c r="AM1478" s="9"/>
      <c r="AN1478" s="9"/>
      <c r="AO1478" s="9"/>
      <c r="AP1478" s="9"/>
      <c r="AQ1478" s="9"/>
      <c r="AR1478" s="9"/>
      <c r="AS1478" s="9"/>
      <c r="AT1478" s="9"/>
      <c r="AU1478" s="9"/>
    </row>
    <row r="1479" spans="1:47" ht="15.75" customHeight="1">
      <c r="A1479" s="9"/>
      <c r="B1479" s="9"/>
      <c r="C1479" s="9"/>
      <c r="D1479" s="9"/>
      <c r="E1479" s="9"/>
      <c r="F1479" s="67"/>
      <c r="G1479" s="9"/>
      <c r="H1479" s="9"/>
      <c r="I1479" s="9"/>
      <c r="J1479" s="9"/>
      <c r="K1479" s="9"/>
      <c r="L1479" s="9"/>
      <c r="M1479" s="9"/>
      <c r="N1479" s="9"/>
      <c r="O1479" s="9"/>
      <c r="P1479" s="9"/>
      <c r="Q1479" s="9"/>
      <c r="R1479" s="9"/>
      <c r="S1479" s="9"/>
      <c r="T1479" s="9"/>
      <c r="U1479" s="9"/>
      <c r="V1479" s="9"/>
      <c r="W1479" s="9"/>
      <c r="X1479" s="9"/>
      <c r="Y1479" s="9"/>
      <c r="Z1479" s="9"/>
      <c r="AA1479" s="9"/>
      <c r="AB1479" s="9"/>
      <c r="AC1479" s="9"/>
      <c r="AD1479" s="9"/>
      <c r="AE1479" s="9"/>
      <c r="AF1479" s="9"/>
      <c r="AG1479" s="9"/>
      <c r="AH1479" s="9"/>
      <c r="AI1479" s="9"/>
      <c r="AJ1479" s="9"/>
      <c r="AK1479" s="9"/>
      <c r="AL1479" s="9"/>
      <c r="AM1479" s="9"/>
      <c r="AN1479" s="9"/>
      <c r="AO1479" s="9"/>
      <c r="AP1479" s="9"/>
      <c r="AQ1479" s="9"/>
      <c r="AR1479" s="9"/>
      <c r="AS1479" s="9"/>
      <c r="AT1479" s="9"/>
      <c r="AU1479" s="9"/>
    </row>
    <row r="1480" spans="1:47" ht="15.75" customHeight="1">
      <c r="A1480" s="9"/>
      <c r="B1480" s="9"/>
      <c r="C1480" s="9"/>
      <c r="D1480" s="9"/>
      <c r="E1480" s="9"/>
      <c r="F1480" s="67"/>
      <c r="G1480" s="9"/>
      <c r="H1480" s="9"/>
      <c r="I1480" s="9"/>
      <c r="J1480" s="9"/>
      <c r="K1480" s="9"/>
      <c r="L1480" s="9"/>
      <c r="M1480" s="9"/>
      <c r="N1480" s="9"/>
      <c r="O1480" s="9"/>
      <c r="P1480" s="9"/>
      <c r="Q1480" s="9"/>
      <c r="R1480" s="9"/>
      <c r="S1480" s="9"/>
      <c r="T1480" s="9"/>
      <c r="U1480" s="9"/>
      <c r="V1480" s="9"/>
      <c r="W1480" s="9"/>
      <c r="X1480" s="9"/>
      <c r="Y1480" s="9"/>
      <c r="Z1480" s="9"/>
      <c r="AA1480" s="9"/>
      <c r="AB1480" s="9"/>
      <c r="AC1480" s="9"/>
      <c r="AD1480" s="9"/>
      <c r="AE1480" s="9"/>
      <c r="AF1480" s="9"/>
      <c r="AG1480" s="9"/>
      <c r="AH1480" s="9"/>
      <c r="AI1480" s="9"/>
      <c r="AJ1480" s="9"/>
      <c r="AK1480" s="9"/>
      <c r="AL1480" s="9"/>
      <c r="AM1480" s="9"/>
      <c r="AN1480" s="9"/>
      <c r="AO1480" s="9"/>
      <c r="AP1480" s="9"/>
      <c r="AQ1480" s="9"/>
      <c r="AR1480" s="9"/>
      <c r="AS1480" s="9"/>
      <c r="AT1480" s="9"/>
      <c r="AU1480" s="9"/>
    </row>
    <row r="1481" spans="1:47" ht="15.75" customHeight="1">
      <c r="A1481" s="9"/>
      <c r="B1481" s="9"/>
      <c r="C1481" s="9"/>
      <c r="D1481" s="9"/>
      <c r="E1481" s="9"/>
      <c r="F1481" s="67"/>
      <c r="G1481" s="9"/>
      <c r="H1481" s="9"/>
      <c r="I1481" s="9"/>
      <c r="J1481" s="9"/>
      <c r="K1481" s="9"/>
      <c r="L1481" s="9"/>
      <c r="M1481" s="9"/>
      <c r="N1481" s="9"/>
      <c r="O1481" s="9"/>
      <c r="P1481" s="9"/>
      <c r="Q1481" s="9"/>
      <c r="R1481" s="9"/>
      <c r="S1481" s="9"/>
      <c r="T1481" s="9"/>
      <c r="U1481" s="9"/>
      <c r="V1481" s="9"/>
      <c r="W1481" s="9"/>
      <c r="X1481" s="9"/>
      <c r="Y1481" s="9"/>
      <c r="Z1481" s="9"/>
      <c r="AA1481" s="9"/>
      <c r="AB1481" s="9"/>
      <c r="AC1481" s="9"/>
      <c r="AD1481" s="9"/>
      <c r="AE1481" s="9"/>
      <c r="AF1481" s="9"/>
      <c r="AG1481" s="9"/>
      <c r="AH1481" s="9"/>
      <c r="AI1481" s="9"/>
      <c r="AJ1481" s="9"/>
      <c r="AK1481" s="9"/>
      <c r="AL1481" s="9"/>
      <c r="AM1481" s="9"/>
      <c r="AN1481" s="9"/>
      <c r="AO1481" s="9"/>
      <c r="AP1481" s="9"/>
      <c r="AQ1481" s="9"/>
      <c r="AR1481" s="9"/>
      <c r="AS1481" s="9"/>
      <c r="AT1481" s="9"/>
      <c r="AU1481" s="9"/>
    </row>
    <row r="1482" spans="1:47" ht="15.75" customHeight="1">
      <c r="A1482" s="9"/>
      <c r="B1482" s="9"/>
      <c r="C1482" s="9"/>
      <c r="D1482" s="9"/>
      <c r="E1482" s="9"/>
      <c r="F1482" s="67"/>
      <c r="G1482" s="9"/>
      <c r="H1482" s="9"/>
      <c r="I1482" s="9"/>
      <c r="J1482" s="9"/>
      <c r="K1482" s="9"/>
      <c r="L1482" s="9"/>
      <c r="M1482" s="9"/>
      <c r="N1482" s="9"/>
      <c r="O1482" s="9"/>
      <c r="P1482" s="9"/>
      <c r="Q1482" s="9"/>
      <c r="R1482" s="9"/>
      <c r="S1482" s="9"/>
      <c r="T1482" s="9"/>
      <c r="U1482" s="9"/>
      <c r="V1482" s="9"/>
      <c r="W1482" s="9"/>
      <c r="X1482" s="9"/>
      <c r="Y1482" s="9"/>
      <c r="Z1482" s="9"/>
      <c r="AA1482" s="9"/>
      <c r="AB1482" s="9"/>
      <c r="AC1482" s="9"/>
      <c r="AD1482" s="9"/>
      <c r="AE1482" s="9"/>
      <c r="AF1482" s="9"/>
      <c r="AG1482" s="9"/>
      <c r="AH1482" s="9"/>
      <c r="AI1482" s="9"/>
      <c r="AJ1482" s="9"/>
      <c r="AK1482" s="9"/>
      <c r="AL1482" s="9"/>
      <c r="AM1482" s="9"/>
      <c r="AN1482" s="9"/>
      <c r="AO1482" s="9"/>
      <c r="AP1482" s="9"/>
      <c r="AQ1482" s="9"/>
      <c r="AR1482" s="9"/>
      <c r="AS1482" s="9"/>
      <c r="AT1482" s="9"/>
      <c r="AU1482" s="9"/>
    </row>
    <row r="1483" spans="1:47" ht="15.75" customHeight="1">
      <c r="A1483" s="9"/>
      <c r="B1483" s="9"/>
      <c r="C1483" s="9"/>
      <c r="D1483" s="9"/>
      <c r="E1483" s="9"/>
      <c r="F1483" s="67"/>
      <c r="G1483" s="9"/>
      <c r="H1483" s="9"/>
      <c r="I1483" s="9"/>
      <c r="J1483" s="9"/>
      <c r="K1483" s="9"/>
      <c r="L1483" s="9"/>
      <c r="M1483" s="9"/>
      <c r="N1483" s="9"/>
      <c r="O1483" s="9"/>
      <c r="P1483" s="9"/>
      <c r="Q1483" s="9"/>
      <c r="R1483" s="9"/>
      <c r="S1483" s="9"/>
      <c r="T1483" s="9"/>
      <c r="U1483" s="9"/>
      <c r="V1483" s="9"/>
      <c r="W1483" s="9"/>
      <c r="X1483" s="9"/>
      <c r="Y1483" s="9"/>
      <c r="Z1483" s="9"/>
      <c r="AA1483" s="9"/>
      <c r="AB1483" s="9"/>
      <c r="AC1483" s="9"/>
      <c r="AD1483" s="9"/>
      <c r="AE1483" s="9"/>
      <c r="AF1483" s="9"/>
      <c r="AG1483" s="9"/>
      <c r="AH1483" s="9"/>
      <c r="AI1483" s="9"/>
      <c r="AJ1483" s="9"/>
      <c r="AK1483" s="9"/>
      <c r="AL1483" s="9"/>
      <c r="AM1483" s="9"/>
      <c r="AN1483" s="9"/>
      <c r="AO1483" s="9"/>
      <c r="AP1483" s="9"/>
      <c r="AQ1483" s="9"/>
      <c r="AR1483" s="9"/>
      <c r="AS1483" s="9"/>
      <c r="AT1483" s="9"/>
      <c r="AU1483" s="9"/>
    </row>
    <row r="1484" spans="1:47" ht="15.75" customHeight="1">
      <c r="A1484" s="9"/>
      <c r="B1484" s="9"/>
      <c r="C1484" s="9"/>
      <c r="D1484" s="9"/>
      <c r="E1484" s="9"/>
      <c r="F1484" s="67"/>
      <c r="G1484" s="9"/>
      <c r="H1484" s="9"/>
      <c r="I1484" s="9"/>
      <c r="J1484" s="9"/>
      <c r="K1484" s="9"/>
      <c r="L1484" s="9"/>
      <c r="M1484" s="9"/>
      <c r="N1484" s="9"/>
      <c r="O1484" s="9"/>
      <c r="P1484" s="9"/>
      <c r="Q1484" s="9"/>
      <c r="R1484" s="9"/>
      <c r="S1484" s="9"/>
      <c r="T1484" s="9"/>
      <c r="U1484" s="9"/>
      <c r="V1484" s="9"/>
      <c r="W1484" s="9"/>
      <c r="X1484" s="9"/>
      <c r="Y1484" s="9"/>
      <c r="Z1484" s="9"/>
      <c r="AA1484" s="9"/>
      <c r="AB1484" s="9"/>
      <c r="AC1484" s="9"/>
      <c r="AD1484" s="9"/>
      <c r="AE1484" s="9"/>
      <c r="AF1484" s="9"/>
      <c r="AG1484" s="9"/>
      <c r="AH1484" s="9"/>
      <c r="AI1484" s="9"/>
      <c r="AJ1484" s="9"/>
      <c r="AK1484" s="9"/>
      <c r="AL1484" s="9"/>
      <c r="AM1484" s="9"/>
      <c r="AN1484" s="9"/>
      <c r="AO1484" s="9"/>
      <c r="AP1484" s="9"/>
      <c r="AQ1484" s="9"/>
      <c r="AR1484" s="9"/>
      <c r="AS1484" s="9"/>
      <c r="AT1484" s="9"/>
      <c r="AU1484" s="9"/>
    </row>
    <row r="1485" spans="1:47" ht="15.75" customHeight="1">
      <c r="A1485" s="9"/>
      <c r="B1485" s="9"/>
      <c r="C1485" s="9"/>
      <c r="D1485" s="9"/>
      <c r="E1485" s="9"/>
      <c r="F1485" s="67"/>
      <c r="G1485" s="9"/>
      <c r="H1485" s="9"/>
      <c r="I1485" s="9"/>
      <c r="J1485" s="9"/>
      <c r="K1485" s="9"/>
      <c r="L1485" s="9"/>
      <c r="M1485" s="9"/>
      <c r="N1485" s="9"/>
      <c r="O1485" s="9"/>
      <c r="P1485" s="9"/>
      <c r="Q1485" s="9"/>
      <c r="R1485" s="9"/>
      <c r="S1485" s="9"/>
      <c r="T1485" s="9"/>
      <c r="U1485" s="9"/>
      <c r="V1485" s="9"/>
      <c r="W1485" s="9"/>
      <c r="X1485" s="9"/>
      <c r="Y1485" s="9"/>
      <c r="Z1485" s="9"/>
      <c r="AA1485" s="9"/>
      <c r="AB1485" s="9"/>
      <c r="AC1485" s="9"/>
      <c r="AD1485" s="9"/>
      <c r="AE1485" s="9"/>
      <c r="AF1485" s="9"/>
      <c r="AG1485" s="9"/>
      <c r="AH1485" s="9"/>
      <c r="AI1485" s="9"/>
      <c r="AJ1485" s="9"/>
      <c r="AK1485" s="9"/>
      <c r="AL1485" s="9"/>
      <c r="AM1485" s="9"/>
      <c r="AN1485" s="9"/>
      <c r="AO1485" s="9"/>
      <c r="AP1485" s="9"/>
      <c r="AQ1485" s="9"/>
      <c r="AR1485" s="9"/>
      <c r="AS1485" s="9"/>
      <c r="AT1485" s="9"/>
      <c r="AU1485" s="9"/>
    </row>
    <row r="1486" spans="1:47" ht="15.75" customHeight="1">
      <c r="A1486" s="9"/>
      <c r="B1486" s="9"/>
      <c r="C1486" s="9"/>
      <c r="D1486" s="9"/>
      <c r="E1486" s="9"/>
      <c r="F1486" s="67"/>
      <c r="G1486" s="9"/>
      <c r="H1486" s="9"/>
      <c r="I1486" s="9"/>
      <c r="J1486" s="9"/>
      <c r="K1486" s="9"/>
      <c r="L1486" s="9"/>
      <c r="M1486" s="9"/>
      <c r="N1486" s="9"/>
      <c r="O1486" s="9"/>
      <c r="P1486" s="9"/>
      <c r="Q1486" s="9"/>
      <c r="R1486" s="9"/>
      <c r="S1486" s="9"/>
      <c r="T1486" s="9"/>
      <c r="U1486" s="9"/>
      <c r="V1486" s="9"/>
      <c r="W1486" s="9"/>
      <c r="X1486" s="9"/>
      <c r="Y1486" s="9"/>
      <c r="Z1486" s="9"/>
      <c r="AA1486" s="9"/>
      <c r="AB1486" s="9"/>
      <c r="AC1486" s="9"/>
      <c r="AD1486" s="9"/>
      <c r="AE1486" s="9"/>
      <c r="AF1486" s="9"/>
      <c r="AG1486" s="9"/>
      <c r="AH1486" s="9"/>
      <c r="AI1486" s="9"/>
      <c r="AJ1486" s="9"/>
      <c r="AK1486" s="9"/>
      <c r="AL1486" s="9"/>
      <c r="AM1486" s="9"/>
      <c r="AN1486" s="9"/>
      <c r="AO1486" s="9"/>
      <c r="AP1486" s="9"/>
      <c r="AQ1486" s="9"/>
      <c r="AR1486" s="9"/>
      <c r="AS1486" s="9"/>
      <c r="AT1486" s="9"/>
      <c r="AU1486" s="9"/>
    </row>
    <row r="1487" spans="1:47" ht="15.75" customHeight="1">
      <c r="A1487" s="9"/>
      <c r="B1487" s="9"/>
      <c r="C1487" s="9"/>
      <c r="D1487" s="9"/>
      <c r="E1487" s="9"/>
      <c r="F1487" s="67"/>
      <c r="G1487" s="9"/>
      <c r="H1487" s="9"/>
      <c r="I1487" s="9"/>
      <c r="J1487" s="9"/>
      <c r="K1487" s="9"/>
      <c r="L1487" s="9"/>
      <c r="M1487" s="9"/>
      <c r="N1487" s="9"/>
      <c r="O1487" s="9"/>
      <c r="P1487" s="9"/>
      <c r="Q1487" s="9"/>
      <c r="R1487" s="9"/>
      <c r="S1487" s="9"/>
      <c r="T1487" s="9"/>
      <c r="U1487" s="9"/>
      <c r="V1487" s="9"/>
      <c r="W1487" s="9"/>
      <c r="X1487" s="9"/>
      <c r="Y1487" s="9"/>
      <c r="Z1487" s="9"/>
      <c r="AA1487" s="9"/>
      <c r="AB1487" s="9"/>
      <c r="AC1487" s="9"/>
      <c r="AD1487" s="9"/>
      <c r="AE1487" s="9"/>
      <c r="AF1487" s="9"/>
      <c r="AG1487" s="9"/>
      <c r="AH1487" s="9"/>
      <c r="AI1487" s="9"/>
      <c r="AJ1487" s="9"/>
      <c r="AK1487" s="9"/>
      <c r="AL1487" s="9"/>
      <c r="AM1487" s="9"/>
      <c r="AN1487" s="9"/>
      <c r="AO1487" s="9"/>
      <c r="AP1487" s="9"/>
      <c r="AQ1487" s="9"/>
      <c r="AR1487" s="9"/>
      <c r="AS1487" s="9"/>
      <c r="AT1487" s="9"/>
      <c r="AU1487" s="9"/>
    </row>
    <row r="1488" spans="1:47" ht="15.75" customHeight="1">
      <c r="A1488" s="9"/>
      <c r="B1488" s="9"/>
      <c r="C1488" s="9"/>
      <c r="D1488" s="9"/>
      <c r="E1488" s="9"/>
      <c r="F1488" s="67"/>
      <c r="G1488" s="9"/>
      <c r="H1488" s="9"/>
      <c r="I1488" s="9"/>
      <c r="J1488" s="9"/>
      <c r="K1488" s="9"/>
      <c r="L1488" s="9"/>
      <c r="M1488" s="9"/>
      <c r="N1488" s="9"/>
      <c r="O1488" s="9"/>
      <c r="P1488" s="9"/>
      <c r="Q1488" s="9"/>
      <c r="R1488" s="9"/>
      <c r="S1488" s="9"/>
      <c r="T1488" s="9"/>
      <c r="U1488" s="9"/>
      <c r="V1488" s="9"/>
      <c r="W1488" s="9"/>
      <c r="X1488" s="9"/>
      <c r="Y1488" s="9"/>
      <c r="Z1488" s="9"/>
      <c r="AA1488" s="9"/>
      <c r="AB1488" s="9"/>
      <c r="AC1488" s="9"/>
      <c r="AD1488" s="9"/>
      <c r="AE1488" s="9"/>
      <c r="AF1488" s="9"/>
      <c r="AG1488" s="9"/>
      <c r="AH1488" s="9"/>
      <c r="AI1488" s="9"/>
      <c r="AJ1488" s="9"/>
      <c r="AK1488" s="9"/>
      <c r="AL1488" s="9"/>
      <c r="AM1488" s="9"/>
      <c r="AN1488" s="9"/>
      <c r="AO1488" s="9"/>
      <c r="AP1488" s="9"/>
      <c r="AQ1488" s="9"/>
      <c r="AR1488" s="9"/>
      <c r="AS1488" s="9"/>
      <c r="AT1488" s="9"/>
      <c r="AU1488" s="9"/>
    </row>
    <row r="1489" spans="1:47" ht="15.75" customHeight="1">
      <c r="A1489" s="9"/>
      <c r="B1489" s="9"/>
      <c r="C1489" s="9"/>
      <c r="D1489" s="9"/>
      <c r="E1489" s="9"/>
      <c r="F1489" s="67"/>
      <c r="G1489" s="9"/>
      <c r="H1489" s="9"/>
      <c r="I1489" s="9"/>
      <c r="J1489" s="9"/>
      <c r="K1489" s="9"/>
      <c r="L1489" s="9"/>
      <c r="M1489" s="9"/>
      <c r="N1489" s="9"/>
      <c r="O1489" s="9"/>
      <c r="P1489" s="9"/>
      <c r="Q1489" s="9"/>
      <c r="R1489" s="9"/>
      <c r="S1489" s="9"/>
      <c r="T1489" s="9"/>
      <c r="U1489" s="9"/>
      <c r="V1489" s="9"/>
      <c r="W1489" s="9"/>
      <c r="X1489" s="9"/>
      <c r="Y1489" s="9"/>
      <c r="Z1489" s="9"/>
      <c r="AA1489" s="9"/>
      <c r="AB1489" s="9"/>
      <c r="AC1489" s="9"/>
      <c r="AD1489" s="9"/>
      <c r="AE1489" s="9"/>
      <c r="AF1489" s="9"/>
      <c r="AG1489" s="9"/>
      <c r="AH1489" s="9"/>
      <c r="AI1489" s="9"/>
      <c r="AJ1489" s="9"/>
      <c r="AK1489" s="9"/>
      <c r="AL1489" s="9"/>
      <c r="AM1489" s="9"/>
      <c r="AN1489" s="9"/>
      <c r="AO1489" s="9"/>
      <c r="AP1489" s="9"/>
      <c r="AQ1489" s="9"/>
      <c r="AR1489" s="9"/>
      <c r="AS1489" s="9"/>
      <c r="AT1489" s="9"/>
      <c r="AU1489" s="9"/>
    </row>
    <row r="1490" spans="1:47" ht="15.75" customHeight="1">
      <c r="A1490" s="9"/>
      <c r="B1490" s="9"/>
      <c r="C1490" s="9"/>
      <c r="D1490" s="9"/>
      <c r="E1490" s="9"/>
      <c r="F1490" s="67"/>
      <c r="G1490" s="9"/>
      <c r="H1490" s="9"/>
      <c r="I1490" s="9"/>
      <c r="J1490" s="9"/>
      <c r="K1490" s="9"/>
      <c r="L1490" s="9"/>
      <c r="M1490" s="9"/>
      <c r="N1490" s="9"/>
      <c r="O1490" s="9"/>
      <c r="P1490" s="9"/>
      <c r="Q1490" s="9"/>
      <c r="R1490" s="9"/>
      <c r="S1490" s="9"/>
      <c r="T1490" s="9"/>
      <c r="U1490" s="9"/>
      <c r="V1490" s="9"/>
      <c r="W1490" s="9"/>
      <c r="X1490" s="9"/>
      <c r="Y1490" s="9"/>
      <c r="Z1490" s="9"/>
      <c r="AA1490" s="9"/>
      <c r="AB1490" s="9"/>
      <c r="AC1490" s="9"/>
      <c r="AD1490" s="9"/>
      <c r="AE1490" s="9"/>
      <c r="AF1490" s="9"/>
      <c r="AG1490" s="9"/>
      <c r="AH1490" s="9"/>
      <c r="AI1490" s="9"/>
      <c r="AJ1490" s="9"/>
      <c r="AK1490" s="9"/>
      <c r="AL1490" s="9"/>
      <c r="AM1490" s="9"/>
      <c r="AN1490" s="9"/>
      <c r="AO1490" s="9"/>
      <c r="AP1490" s="9"/>
      <c r="AQ1490" s="9"/>
      <c r="AR1490" s="9"/>
      <c r="AS1490" s="9"/>
      <c r="AT1490" s="9"/>
      <c r="AU1490" s="9"/>
    </row>
    <row r="1491" spans="1:47" ht="15.75" customHeight="1">
      <c r="A1491" s="9"/>
      <c r="B1491" s="9"/>
      <c r="C1491" s="9"/>
      <c r="D1491" s="9"/>
      <c r="E1491" s="9"/>
      <c r="F1491" s="67"/>
      <c r="G1491" s="9"/>
      <c r="H1491" s="9"/>
      <c r="I1491" s="9"/>
      <c r="J1491" s="9"/>
      <c r="K1491" s="9"/>
      <c r="L1491" s="9"/>
      <c r="M1491" s="9"/>
      <c r="N1491" s="9"/>
      <c r="O1491" s="9"/>
      <c r="P1491" s="9"/>
      <c r="Q1491" s="9"/>
      <c r="R1491" s="9"/>
      <c r="S1491" s="9"/>
      <c r="T1491" s="9"/>
      <c r="U1491" s="9"/>
      <c r="V1491" s="9"/>
      <c r="W1491" s="9"/>
      <c r="X1491" s="9"/>
      <c r="Y1491" s="9"/>
      <c r="Z1491" s="9"/>
      <c r="AA1491" s="9"/>
      <c r="AB1491" s="9"/>
      <c r="AC1491" s="9"/>
      <c r="AD1491" s="9"/>
      <c r="AE1491" s="9"/>
      <c r="AF1491" s="9"/>
      <c r="AG1491" s="9"/>
      <c r="AH1491" s="9"/>
      <c r="AI1491" s="9"/>
      <c r="AJ1491" s="9"/>
      <c r="AK1491" s="9"/>
      <c r="AL1491" s="9"/>
      <c r="AM1491" s="9"/>
      <c r="AN1491" s="9"/>
      <c r="AO1491" s="9"/>
      <c r="AP1491" s="9"/>
      <c r="AQ1491" s="9"/>
      <c r="AR1491" s="9"/>
      <c r="AS1491" s="9"/>
      <c r="AT1491" s="9"/>
      <c r="AU1491" s="9"/>
    </row>
    <row r="1492" spans="1:47" ht="15.75" customHeight="1">
      <c r="A1492" s="9"/>
      <c r="B1492" s="9"/>
      <c r="C1492" s="9"/>
      <c r="D1492" s="9"/>
      <c r="E1492" s="9"/>
      <c r="F1492" s="67"/>
      <c r="G1492" s="9"/>
      <c r="H1492" s="9"/>
      <c r="I1492" s="9"/>
      <c r="J1492" s="9"/>
      <c r="K1492" s="9"/>
      <c r="L1492" s="9"/>
      <c r="M1492" s="9"/>
      <c r="N1492" s="9"/>
      <c r="O1492" s="9"/>
      <c r="P1492" s="9"/>
      <c r="Q1492" s="9"/>
      <c r="R1492" s="9"/>
      <c r="S1492" s="9"/>
      <c r="T1492" s="9"/>
      <c r="U1492" s="9"/>
      <c r="V1492" s="9"/>
      <c r="W1492" s="9"/>
      <c r="X1492" s="9"/>
      <c r="Y1492" s="9"/>
      <c r="Z1492" s="9"/>
      <c r="AA1492" s="9"/>
      <c r="AB1492" s="9"/>
      <c r="AC1492" s="9"/>
      <c r="AD1492" s="9"/>
      <c r="AE1492" s="9"/>
      <c r="AF1492" s="9"/>
      <c r="AG1492" s="9"/>
      <c r="AH1492" s="9"/>
      <c r="AI1492" s="9"/>
      <c r="AJ1492" s="9"/>
      <c r="AK1492" s="9"/>
      <c r="AL1492" s="9"/>
      <c r="AM1492" s="9"/>
      <c r="AN1492" s="9"/>
      <c r="AO1492" s="9"/>
      <c r="AP1492" s="9"/>
      <c r="AQ1492" s="9"/>
      <c r="AR1492" s="9"/>
      <c r="AS1492" s="9"/>
      <c r="AT1492" s="9"/>
      <c r="AU1492" s="9"/>
    </row>
    <row r="1493" spans="1:47" ht="15.75" customHeight="1">
      <c r="A1493" s="9"/>
      <c r="B1493" s="9"/>
      <c r="C1493" s="9"/>
      <c r="D1493" s="9"/>
      <c r="E1493" s="9"/>
      <c r="F1493" s="67"/>
      <c r="G1493" s="9"/>
      <c r="H1493" s="9"/>
      <c r="I1493" s="9"/>
      <c r="J1493" s="9"/>
      <c r="K1493" s="9"/>
      <c r="L1493" s="9"/>
      <c r="M1493" s="9"/>
      <c r="N1493" s="9"/>
      <c r="O1493" s="9"/>
      <c r="P1493" s="9"/>
      <c r="Q1493" s="9"/>
      <c r="R1493" s="9"/>
      <c r="S1493" s="9"/>
      <c r="T1493" s="9"/>
      <c r="U1493" s="9"/>
      <c r="V1493" s="9"/>
      <c r="W1493" s="9"/>
      <c r="X1493" s="9"/>
      <c r="Y1493" s="9"/>
      <c r="Z1493" s="9"/>
      <c r="AA1493" s="9"/>
      <c r="AB1493" s="9"/>
      <c r="AC1493" s="9"/>
      <c r="AD1493" s="9"/>
      <c r="AE1493" s="9"/>
      <c r="AF1493" s="9"/>
      <c r="AG1493" s="9"/>
      <c r="AH1493" s="9"/>
      <c r="AI1493" s="9"/>
      <c r="AJ1493" s="9"/>
      <c r="AK1493" s="9"/>
      <c r="AL1493" s="9"/>
      <c r="AM1493" s="9"/>
      <c r="AN1493" s="9"/>
      <c r="AO1493" s="9"/>
      <c r="AP1493" s="9"/>
      <c r="AQ1493" s="9"/>
      <c r="AR1493" s="9"/>
      <c r="AS1493" s="9"/>
      <c r="AT1493" s="9"/>
      <c r="AU1493" s="9"/>
    </row>
    <row r="1494" spans="1:47" ht="15.75" customHeight="1">
      <c r="A1494" s="9"/>
      <c r="B1494" s="9"/>
      <c r="C1494" s="9"/>
      <c r="D1494" s="9"/>
      <c r="E1494" s="9"/>
      <c r="F1494" s="67"/>
      <c r="G1494" s="9"/>
      <c r="H1494" s="9"/>
      <c r="I1494" s="9"/>
      <c r="J1494" s="9"/>
      <c r="K1494" s="9"/>
      <c r="L1494" s="9"/>
      <c r="M1494" s="9"/>
      <c r="N1494" s="9"/>
      <c r="O1494" s="9"/>
      <c r="P1494" s="9"/>
      <c r="Q1494" s="9"/>
      <c r="R1494" s="9"/>
      <c r="S1494" s="9"/>
      <c r="T1494" s="9"/>
      <c r="U1494" s="9"/>
      <c r="V1494" s="9"/>
      <c r="W1494" s="9"/>
      <c r="X1494" s="9"/>
      <c r="Y1494" s="9"/>
      <c r="Z1494" s="9"/>
      <c r="AA1494" s="9"/>
      <c r="AB1494" s="9"/>
      <c r="AC1494" s="9"/>
      <c r="AD1494" s="9"/>
      <c r="AE1494" s="9"/>
      <c r="AF1494" s="9"/>
      <c r="AG1494" s="9"/>
      <c r="AH1494" s="9"/>
      <c r="AI1494" s="9"/>
      <c r="AJ1494" s="9"/>
      <c r="AK1494" s="9"/>
      <c r="AL1494" s="9"/>
      <c r="AM1494" s="9"/>
      <c r="AN1494" s="9"/>
      <c r="AO1494" s="9"/>
      <c r="AP1494" s="9"/>
      <c r="AQ1494" s="9"/>
      <c r="AR1494" s="9"/>
      <c r="AS1494" s="9"/>
      <c r="AT1494" s="9"/>
      <c r="AU1494" s="9"/>
    </row>
    <row r="1495" spans="1:47" ht="15.75" customHeight="1">
      <c r="A1495" s="9"/>
      <c r="B1495" s="9"/>
      <c r="C1495" s="9"/>
      <c r="D1495" s="9"/>
      <c r="E1495" s="9"/>
      <c r="F1495" s="67"/>
      <c r="G1495" s="9"/>
      <c r="H1495" s="9"/>
      <c r="I1495" s="9"/>
      <c r="J1495" s="9"/>
      <c r="K1495" s="9"/>
      <c r="L1495" s="9"/>
      <c r="M1495" s="9"/>
      <c r="N1495" s="9"/>
      <c r="O1495" s="9"/>
      <c r="P1495" s="9"/>
      <c r="Q1495" s="9"/>
      <c r="R1495" s="9"/>
      <c r="S1495" s="9"/>
      <c r="T1495" s="9"/>
      <c r="U1495" s="9"/>
      <c r="V1495" s="9"/>
      <c r="W1495" s="9"/>
      <c r="X1495" s="9"/>
      <c r="Y1495" s="9"/>
      <c r="Z1495" s="9"/>
      <c r="AA1495" s="9"/>
      <c r="AB1495" s="9"/>
      <c r="AC1495" s="9"/>
      <c r="AD1495" s="9"/>
      <c r="AE1495" s="9"/>
      <c r="AF1495" s="9"/>
      <c r="AG1495" s="9"/>
      <c r="AH1495" s="9"/>
      <c r="AI1495" s="9"/>
      <c r="AJ1495" s="9"/>
      <c r="AK1495" s="9"/>
      <c r="AL1495" s="9"/>
      <c r="AM1495" s="9"/>
      <c r="AN1495" s="9"/>
      <c r="AO1495" s="9"/>
      <c r="AP1495" s="9"/>
      <c r="AQ1495" s="9"/>
      <c r="AR1495" s="9"/>
      <c r="AS1495" s="9"/>
      <c r="AT1495" s="9"/>
      <c r="AU1495" s="9"/>
    </row>
    <row r="1496" spans="1:47" ht="15.75" customHeight="1">
      <c r="A1496" s="9"/>
      <c r="B1496" s="9"/>
      <c r="C1496" s="9"/>
      <c r="D1496" s="9"/>
      <c r="E1496" s="9"/>
      <c r="F1496" s="67"/>
      <c r="G1496" s="9"/>
      <c r="H1496" s="9"/>
      <c r="I1496" s="9"/>
      <c r="J1496" s="9"/>
      <c r="K1496" s="9"/>
      <c r="L1496" s="9"/>
      <c r="M1496" s="9"/>
      <c r="N1496" s="9"/>
      <c r="O1496" s="9"/>
      <c r="P1496" s="9"/>
      <c r="Q1496" s="9"/>
      <c r="R1496" s="9"/>
      <c r="S1496" s="9"/>
      <c r="T1496" s="9"/>
      <c r="U1496" s="9"/>
      <c r="V1496" s="9"/>
      <c r="W1496" s="9"/>
      <c r="X1496" s="9"/>
      <c r="Y1496" s="9"/>
      <c r="Z1496" s="9"/>
      <c r="AA1496" s="9"/>
      <c r="AB1496" s="9"/>
      <c r="AC1496" s="9"/>
      <c r="AD1496" s="9"/>
      <c r="AE1496" s="9"/>
      <c r="AF1496" s="9"/>
      <c r="AG1496" s="9"/>
      <c r="AH1496" s="9"/>
      <c r="AI1496" s="9"/>
      <c r="AJ1496" s="9"/>
      <c r="AK1496" s="9"/>
      <c r="AL1496" s="9"/>
      <c r="AM1496" s="9"/>
      <c r="AN1496" s="9"/>
      <c r="AO1496" s="9"/>
      <c r="AP1496" s="9"/>
      <c r="AQ1496" s="9"/>
      <c r="AR1496" s="9"/>
      <c r="AS1496" s="9"/>
      <c r="AT1496" s="9"/>
      <c r="AU1496" s="9"/>
    </row>
    <row r="1497" spans="1:47" ht="15.75" customHeight="1">
      <c r="A1497" s="9"/>
      <c r="B1497" s="9"/>
      <c r="C1497" s="9"/>
      <c r="D1497" s="9"/>
      <c r="E1497" s="9"/>
      <c r="F1497" s="67"/>
      <c r="G1497" s="9"/>
      <c r="H1497" s="9"/>
      <c r="I1497" s="9"/>
      <c r="J1497" s="9"/>
      <c r="K1497" s="9"/>
      <c r="L1497" s="9"/>
      <c r="M1497" s="9"/>
      <c r="N1497" s="9"/>
      <c r="O1497" s="9"/>
      <c r="P1497" s="9"/>
      <c r="Q1497" s="9"/>
      <c r="R1497" s="9"/>
      <c r="S1497" s="9"/>
      <c r="T1497" s="9"/>
      <c r="U1497" s="9"/>
      <c r="V1497" s="9"/>
      <c r="W1497" s="9"/>
      <c r="X1497" s="9"/>
      <c r="Y1497" s="9"/>
      <c r="Z1497" s="9"/>
      <c r="AA1497" s="9"/>
      <c r="AB1497" s="9"/>
      <c r="AC1497" s="9"/>
      <c r="AD1497" s="9"/>
      <c r="AE1497" s="9"/>
      <c r="AF1497" s="9"/>
      <c r="AG1497" s="9"/>
      <c r="AH1497" s="9"/>
      <c r="AI1497" s="9"/>
      <c r="AJ1497" s="9"/>
      <c r="AK1497" s="9"/>
      <c r="AL1497" s="9"/>
      <c r="AM1497" s="9"/>
      <c r="AN1497" s="9"/>
      <c r="AO1497" s="9"/>
      <c r="AP1497" s="9"/>
      <c r="AQ1497" s="9"/>
      <c r="AR1497" s="9"/>
      <c r="AS1497" s="9"/>
      <c r="AT1497" s="9"/>
      <c r="AU1497" s="9"/>
    </row>
    <row r="1498" spans="1:47" ht="15.75" customHeight="1">
      <c r="A1498" s="9"/>
      <c r="B1498" s="9"/>
      <c r="C1498" s="9"/>
      <c r="D1498" s="9"/>
      <c r="E1498" s="9"/>
      <c r="F1498" s="67"/>
      <c r="G1498" s="9"/>
      <c r="H1498" s="9"/>
      <c r="I1498" s="9"/>
      <c r="J1498" s="9"/>
      <c r="K1498" s="9"/>
      <c r="L1498" s="9"/>
      <c r="M1498" s="9"/>
      <c r="N1498" s="9"/>
      <c r="O1498" s="9"/>
      <c r="P1498" s="9"/>
      <c r="Q1498" s="9"/>
      <c r="R1498" s="9"/>
      <c r="S1498" s="9"/>
      <c r="T1498" s="9"/>
      <c r="U1498" s="9"/>
      <c r="V1498" s="9"/>
      <c r="W1498" s="9"/>
      <c r="X1498" s="9"/>
      <c r="Y1498" s="9"/>
      <c r="Z1498" s="9"/>
      <c r="AA1498" s="9"/>
      <c r="AB1498" s="9"/>
      <c r="AC1498" s="9"/>
      <c r="AD1498" s="9"/>
      <c r="AE1498" s="9"/>
      <c r="AF1498" s="9"/>
      <c r="AG1498" s="9"/>
      <c r="AH1498" s="9"/>
      <c r="AI1498" s="9"/>
      <c r="AJ1498" s="9"/>
      <c r="AK1498" s="9"/>
      <c r="AL1498" s="9"/>
      <c r="AM1498" s="9"/>
      <c r="AN1498" s="9"/>
      <c r="AO1498" s="9"/>
      <c r="AP1498" s="9"/>
      <c r="AQ1498" s="9"/>
      <c r="AR1498" s="9"/>
      <c r="AS1498" s="9"/>
      <c r="AT1498" s="9"/>
      <c r="AU1498" s="9"/>
    </row>
    <row r="1499" spans="1:47" ht="15.75" customHeight="1">
      <c r="A1499" s="9"/>
      <c r="B1499" s="9"/>
      <c r="C1499" s="9"/>
      <c r="D1499" s="9"/>
      <c r="E1499" s="9"/>
      <c r="F1499" s="67"/>
      <c r="G1499" s="9"/>
      <c r="H1499" s="9"/>
      <c r="I1499" s="9"/>
      <c r="J1499" s="9"/>
      <c r="K1499" s="9"/>
      <c r="L1499" s="9"/>
      <c r="M1499" s="9"/>
      <c r="N1499" s="9"/>
      <c r="O1499" s="9"/>
      <c r="P1499" s="9"/>
      <c r="Q1499" s="9"/>
      <c r="R1499" s="9"/>
      <c r="S1499" s="9"/>
      <c r="T1499" s="9"/>
      <c r="U1499" s="9"/>
      <c r="V1499" s="9"/>
      <c r="W1499" s="9"/>
      <c r="X1499" s="9"/>
      <c r="Y1499" s="9"/>
      <c r="Z1499" s="9"/>
      <c r="AA1499" s="9"/>
      <c r="AB1499" s="9"/>
      <c r="AC1499" s="9"/>
      <c r="AD1499" s="9"/>
      <c r="AE1499" s="9"/>
      <c r="AF1499" s="9"/>
      <c r="AG1499" s="9"/>
      <c r="AH1499" s="9"/>
      <c r="AI1499" s="9"/>
      <c r="AJ1499" s="9"/>
      <c r="AK1499" s="9"/>
      <c r="AL1499" s="9"/>
      <c r="AM1499" s="9"/>
      <c r="AN1499" s="9"/>
      <c r="AO1499" s="9"/>
      <c r="AP1499" s="9"/>
      <c r="AQ1499" s="9"/>
      <c r="AR1499" s="9"/>
      <c r="AS1499" s="9"/>
      <c r="AT1499" s="9"/>
      <c r="AU1499" s="9"/>
    </row>
    <row r="1500" spans="1:47" ht="15.75" customHeight="1">
      <c r="A1500" s="9"/>
      <c r="B1500" s="9"/>
      <c r="C1500" s="9"/>
      <c r="D1500" s="9"/>
      <c r="E1500" s="9"/>
      <c r="F1500" s="67"/>
      <c r="G1500" s="9"/>
      <c r="H1500" s="9"/>
      <c r="I1500" s="9"/>
      <c r="J1500" s="9"/>
      <c r="K1500" s="9"/>
      <c r="L1500" s="9"/>
      <c r="M1500" s="9"/>
      <c r="N1500" s="9"/>
      <c r="O1500" s="9"/>
      <c r="P1500" s="9"/>
      <c r="Q1500" s="9"/>
      <c r="R1500" s="9"/>
      <c r="S1500" s="9"/>
      <c r="T1500" s="9"/>
      <c r="U1500" s="9"/>
      <c r="V1500" s="9"/>
      <c r="W1500" s="9"/>
      <c r="X1500" s="9"/>
      <c r="Y1500" s="9"/>
      <c r="Z1500" s="9"/>
      <c r="AA1500" s="9"/>
      <c r="AB1500" s="9"/>
      <c r="AC1500" s="9"/>
      <c r="AD1500" s="9"/>
      <c r="AE1500" s="9"/>
      <c r="AF1500" s="9"/>
      <c r="AG1500" s="9"/>
      <c r="AH1500" s="9"/>
      <c r="AI1500" s="9"/>
      <c r="AJ1500" s="9"/>
      <c r="AK1500" s="9"/>
      <c r="AL1500" s="9"/>
      <c r="AM1500" s="9"/>
      <c r="AN1500" s="9"/>
      <c r="AO1500" s="9"/>
      <c r="AP1500" s="9"/>
      <c r="AQ1500" s="9"/>
      <c r="AR1500" s="9"/>
      <c r="AS1500" s="9"/>
      <c r="AT1500" s="9"/>
      <c r="AU1500" s="9"/>
    </row>
    <row r="1501" spans="1:47" ht="15.75" customHeight="1">
      <c r="A1501" s="9"/>
      <c r="B1501" s="9"/>
      <c r="C1501" s="9"/>
      <c r="D1501" s="9"/>
      <c r="E1501" s="9"/>
      <c r="F1501" s="67"/>
      <c r="G1501" s="9"/>
      <c r="H1501" s="9"/>
      <c r="I1501" s="9"/>
      <c r="J1501" s="9"/>
      <c r="K1501" s="9"/>
      <c r="L1501" s="9"/>
      <c r="M1501" s="9"/>
      <c r="N1501" s="9"/>
      <c r="O1501" s="9"/>
      <c r="P1501" s="9"/>
      <c r="Q1501" s="9"/>
      <c r="R1501" s="9"/>
      <c r="S1501" s="9"/>
      <c r="T1501" s="9"/>
      <c r="U1501" s="9"/>
      <c r="V1501" s="9"/>
      <c r="W1501" s="9"/>
      <c r="X1501" s="9"/>
      <c r="Y1501" s="9"/>
      <c r="Z1501" s="9"/>
      <c r="AA1501" s="9"/>
      <c r="AB1501" s="9"/>
      <c r="AC1501" s="9"/>
      <c r="AD1501" s="9"/>
      <c r="AE1501" s="9"/>
      <c r="AF1501" s="9"/>
      <c r="AG1501" s="9"/>
      <c r="AH1501" s="9"/>
      <c r="AI1501" s="9"/>
      <c r="AJ1501" s="9"/>
      <c r="AK1501" s="9"/>
      <c r="AL1501" s="9"/>
      <c r="AM1501" s="9"/>
      <c r="AN1501" s="9"/>
      <c r="AO1501" s="9"/>
      <c r="AP1501" s="9"/>
      <c r="AQ1501" s="9"/>
      <c r="AR1501" s="9"/>
      <c r="AS1501" s="9"/>
      <c r="AT1501" s="9"/>
      <c r="AU1501" s="9"/>
    </row>
    <row r="1502" spans="1:47" ht="15.75" customHeight="1">
      <c r="A1502" s="9"/>
      <c r="B1502" s="9"/>
      <c r="C1502" s="9"/>
      <c r="D1502" s="9"/>
      <c r="E1502" s="9"/>
      <c r="F1502" s="67"/>
      <c r="G1502" s="9"/>
      <c r="H1502" s="9"/>
      <c r="I1502" s="9"/>
      <c r="J1502" s="9"/>
      <c r="K1502" s="9"/>
      <c r="L1502" s="9"/>
      <c r="M1502" s="9"/>
      <c r="N1502" s="9"/>
      <c r="O1502" s="9"/>
      <c r="P1502" s="9"/>
      <c r="Q1502" s="9"/>
      <c r="R1502" s="9"/>
      <c r="S1502" s="9"/>
      <c r="T1502" s="9"/>
      <c r="U1502" s="9"/>
      <c r="V1502" s="9"/>
      <c r="W1502" s="9"/>
      <c r="X1502" s="9"/>
      <c r="Y1502" s="9"/>
      <c r="Z1502" s="9"/>
      <c r="AA1502" s="9"/>
      <c r="AB1502" s="9"/>
      <c r="AC1502" s="9"/>
      <c r="AD1502" s="9"/>
      <c r="AE1502" s="9"/>
      <c r="AF1502" s="9"/>
      <c r="AG1502" s="9"/>
      <c r="AH1502" s="9"/>
      <c r="AI1502" s="9"/>
      <c r="AJ1502" s="9"/>
      <c r="AK1502" s="9"/>
      <c r="AL1502" s="9"/>
      <c r="AM1502" s="9"/>
      <c r="AN1502" s="9"/>
      <c r="AO1502" s="9"/>
      <c r="AP1502" s="9"/>
      <c r="AQ1502" s="9"/>
      <c r="AR1502" s="9"/>
      <c r="AS1502" s="9"/>
      <c r="AT1502" s="9"/>
      <c r="AU1502" s="9"/>
    </row>
    <row r="1503" spans="1:47" ht="15.75" customHeight="1">
      <c r="A1503" s="9"/>
      <c r="B1503" s="9"/>
      <c r="C1503" s="9"/>
      <c r="D1503" s="9"/>
      <c r="E1503" s="9"/>
      <c r="F1503" s="67"/>
      <c r="G1503" s="9"/>
      <c r="H1503" s="9"/>
      <c r="I1503" s="9"/>
      <c r="J1503" s="9"/>
      <c r="K1503" s="9"/>
      <c r="L1503" s="9"/>
      <c r="M1503" s="9"/>
      <c r="N1503" s="9"/>
      <c r="O1503" s="9"/>
      <c r="P1503" s="9"/>
      <c r="Q1503" s="9"/>
      <c r="R1503" s="9"/>
      <c r="S1503" s="9"/>
      <c r="T1503" s="9"/>
      <c r="U1503" s="9"/>
      <c r="V1503" s="9"/>
      <c r="W1503" s="9"/>
      <c r="X1503" s="9"/>
      <c r="Y1503" s="9"/>
      <c r="Z1503" s="9"/>
      <c r="AA1503" s="9"/>
      <c r="AB1503" s="9"/>
      <c r="AC1503" s="9"/>
      <c r="AD1503" s="9"/>
      <c r="AE1503" s="9"/>
      <c r="AF1503" s="9"/>
      <c r="AG1503" s="9"/>
      <c r="AH1503" s="9"/>
      <c r="AI1503" s="9"/>
      <c r="AJ1503" s="9"/>
      <c r="AK1503" s="9"/>
      <c r="AL1503" s="9"/>
      <c r="AM1503" s="9"/>
      <c r="AN1503" s="9"/>
      <c r="AO1503" s="9"/>
      <c r="AP1503" s="9"/>
      <c r="AQ1503" s="9"/>
      <c r="AR1503" s="9"/>
      <c r="AS1503" s="9"/>
      <c r="AT1503" s="9"/>
      <c r="AU1503" s="9"/>
    </row>
    <row r="1504" spans="1:47" ht="15.75" customHeight="1">
      <c r="A1504" s="9"/>
      <c r="B1504" s="9"/>
      <c r="C1504" s="9"/>
      <c r="D1504" s="9"/>
      <c r="E1504" s="9"/>
      <c r="F1504" s="67"/>
      <c r="G1504" s="9"/>
      <c r="H1504" s="9"/>
      <c r="I1504" s="9"/>
      <c r="J1504" s="9"/>
      <c r="K1504" s="9"/>
      <c r="L1504" s="9"/>
      <c r="M1504" s="9"/>
      <c r="N1504" s="9"/>
      <c r="O1504" s="9"/>
      <c r="P1504" s="9"/>
      <c r="Q1504" s="9"/>
      <c r="R1504" s="9"/>
      <c r="S1504" s="9"/>
      <c r="T1504" s="9"/>
      <c r="U1504" s="9"/>
      <c r="V1504" s="9"/>
      <c r="W1504" s="9"/>
      <c r="X1504" s="9"/>
      <c r="Y1504" s="9"/>
      <c r="Z1504" s="9"/>
      <c r="AA1504" s="9"/>
      <c r="AB1504" s="9"/>
      <c r="AC1504" s="9"/>
      <c r="AD1504" s="9"/>
      <c r="AE1504" s="9"/>
      <c r="AF1504" s="9"/>
      <c r="AG1504" s="9"/>
      <c r="AH1504" s="9"/>
      <c r="AI1504" s="9"/>
      <c r="AJ1504" s="9"/>
      <c r="AK1504" s="9"/>
      <c r="AL1504" s="9"/>
      <c r="AM1504" s="9"/>
      <c r="AN1504" s="9"/>
      <c r="AO1504" s="9"/>
      <c r="AP1504" s="9"/>
      <c r="AQ1504" s="9"/>
      <c r="AR1504" s="9"/>
      <c r="AS1504" s="9"/>
      <c r="AT1504" s="9"/>
      <c r="AU1504" s="9"/>
    </row>
    <row r="1505" spans="1:47" ht="15.75" customHeight="1">
      <c r="A1505" s="9"/>
      <c r="B1505" s="9"/>
      <c r="C1505" s="9"/>
      <c r="D1505" s="9"/>
      <c r="E1505" s="9"/>
      <c r="F1505" s="67"/>
      <c r="G1505" s="9"/>
      <c r="H1505" s="9"/>
      <c r="I1505" s="9"/>
      <c r="J1505" s="9"/>
      <c r="K1505" s="9"/>
      <c r="L1505" s="9"/>
      <c r="M1505" s="9"/>
      <c r="N1505" s="9"/>
      <c r="O1505" s="9"/>
      <c r="P1505" s="9"/>
      <c r="Q1505" s="9"/>
      <c r="R1505" s="9"/>
      <c r="S1505" s="9"/>
      <c r="T1505" s="9"/>
      <c r="U1505" s="9"/>
      <c r="V1505" s="9"/>
      <c r="W1505" s="9"/>
      <c r="X1505" s="9"/>
      <c r="Y1505" s="9"/>
      <c r="Z1505" s="9"/>
      <c r="AA1505" s="9"/>
      <c r="AB1505" s="9"/>
      <c r="AC1505" s="9"/>
      <c r="AD1505" s="9"/>
      <c r="AE1505" s="9"/>
      <c r="AF1505" s="9"/>
      <c r="AG1505" s="9"/>
      <c r="AH1505" s="9"/>
      <c r="AI1505" s="9"/>
      <c r="AJ1505" s="9"/>
      <c r="AK1505" s="9"/>
      <c r="AL1505" s="9"/>
      <c r="AM1505" s="9"/>
      <c r="AN1505" s="9"/>
      <c r="AO1505" s="9"/>
      <c r="AP1505" s="9"/>
      <c r="AQ1505" s="9"/>
      <c r="AR1505" s="9"/>
      <c r="AS1505" s="9"/>
      <c r="AT1505" s="9"/>
      <c r="AU1505" s="9"/>
    </row>
    <row r="1506" spans="1:47" ht="15.75" customHeight="1">
      <c r="A1506" s="9"/>
      <c r="B1506" s="9"/>
      <c r="C1506" s="9"/>
      <c r="D1506" s="9"/>
      <c r="E1506" s="9"/>
      <c r="F1506" s="67"/>
      <c r="G1506" s="9"/>
      <c r="H1506" s="9"/>
      <c r="I1506" s="9"/>
      <c r="J1506" s="9"/>
      <c r="K1506" s="9"/>
      <c r="L1506" s="9"/>
      <c r="M1506" s="9"/>
      <c r="N1506" s="9"/>
      <c r="O1506" s="9"/>
      <c r="P1506" s="9"/>
      <c r="Q1506" s="9"/>
      <c r="R1506" s="9"/>
      <c r="S1506" s="9"/>
      <c r="T1506" s="9"/>
      <c r="U1506" s="9"/>
      <c r="V1506" s="9"/>
      <c r="W1506" s="9"/>
      <c r="X1506" s="9"/>
      <c r="Y1506" s="9"/>
      <c r="Z1506" s="9"/>
      <c r="AA1506" s="9"/>
      <c r="AB1506" s="9"/>
      <c r="AC1506" s="9"/>
      <c r="AD1506" s="9"/>
      <c r="AE1506" s="9"/>
      <c r="AF1506" s="9"/>
      <c r="AG1506" s="9"/>
      <c r="AH1506" s="9"/>
      <c r="AI1506" s="9"/>
      <c r="AJ1506" s="9"/>
      <c r="AK1506" s="9"/>
      <c r="AL1506" s="9"/>
      <c r="AM1506" s="9"/>
      <c r="AN1506" s="9"/>
      <c r="AO1506" s="9"/>
      <c r="AP1506" s="9"/>
      <c r="AQ1506" s="9"/>
      <c r="AR1506" s="9"/>
      <c r="AS1506" s="9"/>
      <c r="AT1506" s="9"/>
      <c r="AU1506" s="9"/>
    </row>
    <row r="1507" spans="1:47" ht="15.75" customHeight="1">
      <c r="A1507" s="9"/>
      <c r="B1507" s="9"/>
      <c r="C1507" s="9"/>
      <c r="D1507" s="9"/>
      <c r="E1507" s="9"/>
      <c r="F1507" s="67"/>
      <c r="G1507" s="9"/>
      <c r="H1507" s="9"/>
      <c r="I1507" s="9"/>
      <c r="J1507" s="9"/>
      <c r="K1507" s="9"/>
      <c r="L1507" s="9"/>
      <c r="M1507" s="9"/>
      <c r="N1507" s="9"/>
      <c r="O1507" s="9"/>
      <c r="P1507" s="9"/>
      <c r="Q1507" s="9"/>
      <c r="R1507" s="9"/>
      <c r="S1507" s="9"/>
      <c r="T1507" s="9"/>
      <c r="U1507" s="9"/>
      <c r="V1507" s="9"/>
      <c r="W1507" s="9"/>
      <c r="X1507" s="9"/>
      <c r="Y1507" s="9"/>
      <c r="Z1507" s="9"/>
      <c r="AA1507" s="9"/>
      <c r="AB1507" s="9"/>
      <c r="AC1507" s="9"/>
      <c r="AD1507" s="9"/>
      <c r="AE1507" s="9"/>
      <c r="AF1507" s="9"/>
      <c r="AG1507" s="9"/>
      <c r="AH1507" s="9"/>
      <c r="AI1507" s="9"/>
      <c r="AJ1507" s="9"/>
      <c r="AK1507" s="9"/>
      <c r="AL1507" s="9"/>
      <c r="AM1507" s="9"/>
      <c r="AN1507" s="9"/>
      <c r="AO1507" s="9"/>
      <c r="AP1507" s="9"/>
      <c r="AQ1507" s="9"/>
      <c r="AR1507" s="9"/>
      <c r="AS1507" s="9"/>
      <c r="AT1507" s="9"/>
      <c r="AU1507" s="9"/>
    </row>
    <row r="1508" spans="1:47" ht="15.75" customHeight="1">
      <c r="A1508" s="9"/>
      <c r="B1508" s="9"/>
      <c r="C1508" s="9"/>
      <c r="D1508" s="9"/>
      <c r="E1508" s="9"/>
      <c r="F1508" s="67"/>
      <c r="G1508" s="9"/>
      <c r="H1508" s="9"/>
      <c r="I1508" s="9"/>
      <c r="J1508" s="9"/>
      <c r="K1508" s="9"/>
      <c r="L1508" s="9"/>
      <c r="M1508" s="9"/>
      <c r="N1508" s="9"/>
      <c r="O1508" s="9"/>
      <c r="P1508" s="9"/>
      <c r="Q1508" s="9"/>
      <c r="R1508" s="9"/>
      <c r="S1508" s="9"/>
      <c r="T1508" s="9"/>
      <c r="U1508" s="9"/>
      <c r="V1508" s="9"/>
      <c r="W1508" s="9"/>
      <c r="X1508" s="9"/>
      <c r="Y1508" s="9"/>
      <c r="Z1508" s="9"/>
      <c r="AA1508" s="9"/>
      <c r="AB1508" s="9"/>
      <c r="AC1508" s="9"/>
      <c r="AD1508" s="9"/>
      <c r="AE1508" s="9"/>
      <c r="AF1508" s="9"/>
      <c r="AG1508" s="9"/>
      <c r="AH1508" s="9"/>
      <c r="AI1508" s="9"/>
      <c r="AJ1508" s="9"/>
      <c r="AK1508" s="9"/>
      <c r="AL1508" s="9"/>
      <c r="AM1508" s="9"/>
      <c r="AN1508" s="9"/>
      <c r="AO1508" s="9"/>
      <c r="AP1508" s="9"/>
      <c r="AQ1508" s="9"/>
      <c r="AR1508" s="9"/>
      <c r="AS1508" s="9"/>
      <c r="AT1508" s="9"/>
      <c r="AU1508" s="9"/>
    </row>
    <row r="1509" spans="1:47" ht="15.75" customHeight="1">
      <c r="A1509" s="9"/>
      <c r="B1509" s="9"/>
      <c r="C1509" s="9"/>
      <c r="D1509" s="9"/>
      <c r="E1509" s="9"/>
      <c r="F1509" s="67"/>
      <c r="G1509" s="9"/>
      <c r="H1509" s="9"/>
      <c r="I1509" s="9"/>
      <c r="J1509" s="9"/>
      <c r="K1509" s="9"/>
      <c r="L1509" s="9"/>
      <c r="M1509" s="9"/>
      <c r="N1509" s="9"/>
      <c r="O1509" s="9"/>
      <c r="P1509" s="9"/>
      <c r="Q1509" s="9"/>
      <c r="R1509" s="9"/>
      <c r="S1509" s="9"/>
      <c r="T1509" s="9"/>
      <c r="U1509" s="9"/>
      <c r="V1509" s="9"/>
      <c r="W1509" s="9"/>
      <c r="X1509" s="9"/>
      <c r="Y1509" s="9"/>
      <c r="Z1509" s="9"/>
      <c r="AA1509" s="9"/>
      <c r="AB1509" s="9"/>
      <c r="AC1509" s="9"/>
      <c r="AD1509" s="9"/>
      <c r="AE1509" s="9"/>
      <c r="AF1509" s="9"/>
      <c r="AG1509" s="9"/>
      <c r="AH1509" s="9"/>
      <c r="AI1509" s="9"/>
      <c r="AJ1509" s="9"/>
      <c r="AK1509" s="9"/>
      <c r="AL1509" s="9"/>
      <c r="AM1509" s="9"/>
      <c r="AN1509" s="9"/>
      <c r="AO1509" s="9"/>
      <c r="AP1509" s="9"/>
      <c r="AQ1509" s="9"/>
      <c r="AR1509" s="9"/>
      <c r="AS1509" s="9"/>
      <c r="AT1509" s="9"/>
      <c r="AU1509" s="9"/>
    </row>
    <row r="1510" spans="1:47" ht="15.75" customHeight="1">
      <c r="A1510" s="9"/>
      <c r="B1510" s="9"/>
      <c r="C1510" s="9"/>
      <c r="D1510" s="9"/>
      <c r="E1510" s="9"/>
      <c r="F1510" s="67"/>
      <c r="G1510" s="9"/>
      <c r="H1510" s="9"/>
      <c r="I1510" s="9"/>
      <c r="J1510" s="9"/>
      <c r="K1510" s="9"/>
      <c r="L1510" s="9"/>
      <c r="M1510" s="9"/>
      <c r="N1510" s="9"/>
      <c r="O1510" s="9"/>
      <c r="P1510" s="9"/>
      <c r="Q1510" s="9"/>
      <c r="R1510" s="9"/>
      <c r="S1510" s="9"/>
      <c r="T1510" s="9"/>
      <c r="U1510" s="9"/>
      <c r="V1510" s="9"/>
      <c r="W1510" s="9"/>
      <c r="X1510" s="9"/>
      <c r="Y1510" s="9"/>
      <c r="Z1510" s="9"/>
      <c r="AA1510" s="9"/>
      <c r="AB1510" s="9"/>
      <c r="AC1510" s="9"/>
      <c r="AD1510" s="9"/>
      <c r="AE1510" s="9"/>
      <c r="AF1510" s="9"/>
      <c r="AG1510" s="9"/>
      <c r="AH1510" s="9"/>
      <c r="AI1510" s="9"/>
      <c r="AJ1510" s="9"/>
      <c r="AK1510" s="9"/>
      <c r="AL1510" s="9"/>
      <c r="AM1510" s="9"/>
      <c r="AN1510" s="9"/>
      <c r="AO1510" s="9"/>
      <c r="AP1510" s="9"/>
      <c r="AQ1510" s="9"/>
      <c r="AR1510" s="9"/>
      <c r="AS1510" s="9"/>
      <c r="AT1510" s="9"/>
      <c r="AU1510" s="9"/>
    </row>
    <row r="1511" spans="1:47" ht="15.75" customHeight="1">
      <c r="A1511" s="9"/>
      <c r="B1511" s="9"/>
      <c r="C1511" s="9"/>
      <c r="D1511" s="9"/>
      <c r="E1511" s="9"/>
      <c r="F1511" s="67"/>
      <c r="G1511" s="9"/>
      <c r="H1511" s="9"/>
      <c r="I1511" s="9"/>
      <c r="J1511" s="9"/>
      <c r="K1511" s="9"/>
      <c r="L1511" s="9"/>
      <c r="M1511" s="9"/>
      <c r="N1511" s="9"/>
      <c r="O1511" s="9"/>
      <c r="P1511" s="9"/>
      <c r="Q1511" s="9"/>
      <c r="R1511" s="9"/>
      <c r="S1511" s="9"/>
      <c r="T1511" s="9"/>
      <c r="U1511" s="9"/>
      <c r="V1511" s="9"/>
      <c r="W1511" s="9"/>
      <c r="X1511" s="9"/>
      <c r="Y1511" s="9"/>
      <c r="Z1511" s="9"/>
      <c r="AA1511" s="9"/>
      <c r="AB1511" s="9"/>
      <c r="AC1511" s="9"/>
      <c r="AD1511" s="9"/>
      <c r="AE1511" s="9"/>
      <c r="AF1511" s="9"/>
      <c r="AG1511" s="9"/>
      <c r="AH1511" s="9"/>
      <c r="AI1511" s="9"/>
      <c r="AJ1511" s="9"/>
      <c r="AK1511" s="9"/>
      <c r="AL1511" s="9"/>
      <c r="AM1511" s="9"/>
      <c r="AN1511" s="9"/>
      <c r="AO1511" s="9"/>
      <c r="AP1511" s="9"/>
      <c r="AQ1511" s="9"/>
      <c r="AR1511" s="9"/>
      <c r="AS1511" s="9"/>
      <c r="AT1511" s="9"/>
      <c r="AU1511" s="9"/>
    </row>
    <row r="1512" spans="1:47" ht="15.75" customHeight="1">
      <c r="A1512" s="9"/>
      <c r="B1512" s="9"/>
      <c r="C1512" s="9"/>
      <c r="D1512" s="9"/>
      <c r="E1512" s="9"/>
      <c r="F1512" s="67"/>
      <c r="G1512" s="9"/>
      <c r="H1512" s="9"/>
      <c r="I1512" s="9"/>
      <c r="J1512" s="9"/>
      <c r="K1512" s="9"/>
      <c r="L1512" s="9"/>
      <c r="M1512" s="9"/>
      <c r="N1512" s="9"/>
      <c r="O1512" s="9"/>
      <c r="P1512" s="9"/>
      <c r="Q1512" s="9"/>
      <c r="R1512" s="9"/>
      <c r="S1512" s="9"/>
      <c r="T1512" s="9"/>
      <c r="U1512" s="9"/>
      <c r="V1512" s="9"/>
      <c r="W1512" s="9"/>
      <c r="X1512" s="9"/>
      <c r="Y1512" s="9"/>
      <c r="Z1512" s="9"/>
      <c r="AA1512" s="9"/>
      <c r="AB1512" s="9"/>
      <c r="AC1512" s="9"/>
      <c r="AD1512" s="9"/>
      <c r="AE1512" s="9"/>
      <c r="AF1512" s="9"/>
      <c r="AG1512" s="9"/>
      <c r="AH1512" s="9"/>
      <c r="AI1512" s="9"/>
      <c r="AJ1512" s="9"/>
      <c r="AK1512" s="9"/>
      <c r="AL1512" s="9"/>
      <c r="AM1512" s="9"/>
      <c r="AN1512" s="9"/>
      <c r="AO1512" s="9"/>
      <c r="AP1512" s="9"/>
      <c r="AQ1512" s="9"/>
      <c r="AR1512" s="9"/>
      <c r="AS1512" s="9"/>
      <c r="AT1512" s="9"/>
      <c r="AU1512" s="9"/>
    </row>
    <row r="1513" spans="1:47" ht="15.75" customHeight="1">
      <c r="A1513" s="9"/>
      <c r="B1513" s="9"/>
      <c r="C1513" s="9"/>
      <c r="D1513" s="9"/>
      <c r="E1513" s="9"/>
      <c r="F1513" s="67"/>
      <c r="G1513" s="9"/>
      <c r="H1513" s="9"/>
      <c r="I1513" s="9"/>
      <c r="J1513" s="9"/>
      <c r="K1513" s="9"/>
      <c r="L1513" s="9"/>
      <c r="M1513" s="9"/>
      <c r="N1513" s="9"/>
      <c r="O1513" s="9"/>
      <c r="P1513" s="9"/>
      <c r="Q1513" s="9"/>
      <c r="R1513" s="9"/>
      <c r="S1513" s="9"/>
      <c r="T1513" s="9"/>
      <c r="U1513" s="9"/>
      <c r="V1513" s="9"/>
      <c r="W1513" s="9"/>
      <c r="X1513" s="9"/>
      <c r="Y1513" s="9"/>
      <c r="Z1513" s="9"/>
      <c r="AA1513" s="9"/>
      <c r="AB1513" s="9"/>
      <c r="AC1513" s="9"/>
      <c r="AD1513" s="9"/>
      <c r="AE1513" s="9"/>
      <c r="AF1513" s="9"/>
      <c r="AG1513" s="9"/>
      <c r="AH1513" s="9"/>
      <c r="AI1513" s="9"/>
      <c r="AJ1513" s="9"/>
      <c r="AK1513" s="9"/>
      <c r="AL1513" s="9"/>
      <c r="AM1513" s="9"/>
      <c r="AN1513" s="9"/>
      <c r="AO1513" s="9"/>
      <c r="AP1513" s="9"/>
      <c r="AQ1513" s="9"/>
      <c r="AR1513" s="9"/>
      <c r="AS1513" s="9"/>
      <c r="AT1513" s="9"/>
      <c r="AU1513" s="9"/>
    </row>
    <row r="1514" spans="1:47" ht="15.75" customHeight="1">
      <c r="A1514" s="9"/>
      <c r="B1514" s="9"/>
      <c r="C1514" s="9"/>
      <c r="D1514" s="9"/>
      <c r="E1514" s="9"/>
      <c r="F1514" s="67"/>
      <c r="G1514" s="9"/>
      <c r="H1514" s="9"/>
      <c r="I1514" s="9"/>
      <c r="J1514" s="9"/>
      <c r="K1514" s="9"/>
      <c r="L1514" s="9"/>
      <c r="M1514" s="9"/>
      <c r="N1514" s="9"/>
      <c r="O1514" s="9"/>
      <c r="P1514" s="9"/>
      <c r="Q1514" s="9"/>
      <c r="R1514" s="9"/>
      <c r="S1514" s="9"/>
      <c r="T1514" s="9"/>
      <c r="U1514" s="9"/>
      <c r="V1514" s="9"/>
      <c r="W1514" s="9"/>
      <c r="X1514" s="9"/>
      <c r="Y1514" s="9"/>
      <c r="Z1514" s="9"/>
      <c r="AA1514" s="9"/>
      <c r="AB1514" s="9"/>
      <c r="AC1514" s="9"/>
      <c r="AD1514" s="9"/>
      <c r="AE1514" s="9"/>
      <c r="AF1514" s="9"/>
      <c r="AG1514" s="9"/>
      <c r="AH1514" s="9"/>
      <c r="AI1514" s="9"/>
      <c r="AJ1514" s="9"/>
      <c r="AK1514" s="9"/>
      <c r="AL1514" s="9"/>
      <c r="AM1514" s="9"/>
      <c r="AN1514" s="9"/>
      <c r="AO1514" s="9"/>
      <c r="AP1514" s="9"/>
      <c r="AQ1514" s="9"/>
      <c r="AR1514" s="9"/>
      <c r="AS1514" s="9"/>
      <c r="AT1514" s="9"/>
      <c r="AU1514" s="9"/>
    </row>
    <row r="1515" spans="1:47" ht="15.75" customHeight="1">
      <c r="A1515" s="9"/>
      <c r="B1515" s="9"/>
      <c r="C1515" s="9"/>
      <c r="D1515" s="9"/>
      <c r="E1515" s="9"/>
      <c r="F1515" s="67"/>
      <c r="G1515" s="9"/>
      <c r="H1515" s="9"/>
      <c r="I1515" s="9"/>
      <c r="J1515" s="9"/>
      <c r="K1515" s="9"/>
      <c r="L1515" s="9"/>
      <c r="M1515" s="9"/>
      <c r="N1515" s="9"/>
      <c r="O1515" s="9"/>
      <c r="P1515" s="9"/>
      <c r="Q1515" s="9"/>
      <c r="R1515" s="9"/>
      <c r="S1515" s="9"/>
      <c r="T1515" s="9"/>
      <c r="U1515" s="9"/>
      <c r="V1515" s="9"/>
      <c r="W1515" s="9"/>
      <c r="X1515" s="9"/>
      <c r="Y1515" s="9"/>
      <c r="Z1515" s="9"/>
      <c r="AA1515" s="9"/>
      <c r="AB1515" s="9"/>
      <c r="AC1515" s="9"/>
      <c r="AD1515" s="9"/>
      <c r="AE1515" s="9"/>
      <c r="AF1515" s="9"/>
      <c r="AG1515" s="9"/>
      <c r="AH1515" s="9"/>
      <c r="AI1515" s="9"/>
      <c r="AJ1515" s="9"/>
      <c r="AK1515" s="9"/>
      <c r="AL1515" s="9"/>
      <c r="AM1515" s="9"/>
      <c r="AN1515" s="9"/>
      <c r="AO1515" s="9"/>
      <c r="AP1515" s="9"/>
      <c r="AQ1515" s="9"/>
      <c r="AR1515" s="9"/>
      <c r="AS1515" s="9"/>
      <c r="AT1515" s="9"/>
      <c r="AU1515" s="9"/>
    </row>
    <row r="1516" spans="1:47" ht="15.75" customHeight="1">
      <c r="A1516" s="9"/>
      <c r="B1516" s="9"/>
      <c r="C1516" s="9"/>
      <c r="D1516" s="9"/>
      <c r="E1516" s="9"/>
      <c r="F1516" s="67"/>
      <c r="G1516" s="9"/>
      <c r="H1516" s="9"/>
      <c r="I1516" s="9"/>
      <c r="J1516" s="9"/>
      <c r="K1516" s="9"/>
      <c r="L1516" s="9"/>
      <c r="M1516" s="9"/>
      <c r="N1516" s="9"/>
      <c r="O1516" s="9"/>
      <c r="P1516" s="9"/>
      <c r="Q1516" s="9"/>
      <c r="R1516" s="9"/>
      <c r="S1516" s="9"/>
      <c r="T1516" s="9"/>
      <c r="U1516" s="9"/>
      <c r="V1516" s="9"/>
      <c r="W1516" s="9"/>
      <c r="X1516" s="9"/>
      <c r="Y1516" s="9"/>
      <c r="Z1516" s="9"/>
      <c r="AA1516" s="9"/>
      <c r="AB1516" s="9"/>
      <c r="AC1516" s="9"/>
      <c r="AD1516" s="9"/>
      <c r="AE1516" s="9"/>
      <c r="AF1516" s="9"/>
      <c r="AG1516" s="9"/>
      <c r="AH1516" s="9"/>
      <c r="AI1516" s="9"/>
      <c r="AJ1516" s="9"/>
      <c r="AK1516" s="9"/>
      <c r="AL1516" s="9"/>
      <c r="AM1516" s="9"/>
      <c r="AN1516" s="9"/>
      <c r="AO1516" s="9"/>
      <c r="AP1516" s="9"/>
      <c r="AQ1516" s="9"/>
      <c r="AR1516" s="9"/>
      <c r="AS1516" s="9"/>
      <c r="AT1516" s="9"/>
      <c r="AU1516" s="9"/>
    </row>
    <row r="1517" spans="1:47" ht="15.75" customHeight="1">
      <c r="A1517" s="9"/>
      <c r="B1517" s="9"/>
      <c r="C1517" s="9"/>
      <c r="D1517" s="9"/>
      <c r="E1517" s="9"/>
      <c r="F1517" s="67"/>
      <c r="G1517" s="9"/>
      <c r="H1517" s="9"/>
      <c r="I1517" s="9"/>
      <c r="J1517" s="9"/>
      <c r="K1517" s="9"/>
      <c r="L1517" s="9"/>
      <c r="M1517" s="9"/>
      <c r="N1517" s="9"/>
      <c r="O1517" s="9"/>
      <c r="P1517" s="9"/>
      <c r="Q1517" s="9"/>
      <c r="R1517" s="9"/>
      <c r="S1517" s="9"/>
      <c r="T1517" s="9"/>
      <c r="U1517" s="9"/>
      <c r="V1517" s="9"/>
      <c r="W1517" s="9"/>
      <c r="X1517" s="9"/>
      <c r="Y1517" s="9"/>
      <c r="Z1517" s="9"/>
      <c r="AA1517" s="9"/>
      <c r="AB1517" s="9"/>
      <c r="AC1517" s="9"/>
      <c r="AD1517" s="9"/>
      <c r="AE1517" s="9"/>
      <c r="AF1517" s="9"/>
      <c r="AG1517" s="9"/>
      <c r="AH1517" s="9"/>
      <c r="AI1517" s="9"/>
      <c r="AJ1517" s="9"/>
      <c r="AK1517" s="9"/>
      <c r="AL1517" s="9"/>
      <c r="AM1517" s="9"/>
      <c r="AN1517" s="9"/>
      <c r="AO1517" s="9"/>
      <c r="AP1517" s="9"/>
      <c r="AQ1517" s="9"/>
      <c r="AR1517" s="9"/>
      <c r="AS1517" s="9"/>
      <c r="AT1517" s="9"/>
      <c r="AU1517" s="9"/>
    </row>
    <row r="1518" spans="1:47" ht="15.75" customHeight="1">
      <c r="A1518" s="9"/>
      <c r="B1518" s="9"/>
      <c r="C1518" s="9"/>
      <c r="D1518" s="9"/>
      <c r="E1518" s="9"/>
      <c r="F1518" s="67"/>
      <c r="G1518" s="9"/>
      <c r="H1518" s="9"/>
      <c r="I1518" s="9"/>
      <c r="J1518" s="9"/>
      <c r="K1518" s="9"/>
      <c r="L1518" s="9"/>
      <c r="M1518" s="9"/>
      <c r="N1518" s="9"/>
      <c r="O1518" s="9"/>
      <c r="P1518" s="9"/>
      <c r="Q1518" s="9"/>
      <c r="R1518" s="9"/>
      <c r="S1518" s="9"/>
      <c r="T1518" s="9"/>
      <c r="U1518" s="9"/>
      <c r="V1518" s="9"/>
      <c r="W1518" s="9"/>
      <c r="X1518" s="9"/>
      <c r="Y1518" s="9"/>
      <c r="Z1518" s="9"/>
      <c r="AA1518" s="9"/>
      <c r="AB1518" s="9"/>
      <c r="AC1518" s="9"/>
      <c r="AD1518" s="9"/>
      <c r="AE1518" s="9"/>
      <c r="AF1518" s="9"/>
      <c r="AG1518" s="9"/>
      <c r="AH1518" s="9"/>
      <c r="AI1518" s="9"/>
      <c r="AJ1518" s="9"/>
      <c r="AK1518" s="9"/>
      <c r="AL1518" s="9"/>
      <c r="AM1518" s="9"/>
      <c r="AN1518" s="9"/>
      <c r="AO1518" s="9"/>
      <c r="AP1518" s="9"/>
      <c r="AQ1518" s="9"/>
      <c r="AR1518" s="9"/>
      <c r="AS1518" s="9"/>
      <c r="AT1518" s="9"/>
      <c r="AU1518" s="9"/>
    </row>
    <row r="1519" spans="1:47" ht="15.75" customHeight="1">
      <c r="A1519" s="9"/>
      <c r="B1519" s="9"/>
      <c r="C1519" s="9"/>
      <c r="D1519" s="9"/>
      <c r="E1519" s="9"/>
      <c r="F1519" s="67"/>
      <c r="G1519" s="9"/>
      <c r="H1519" s="9"/>
      <c r="I1519" s="9"/>
      <c r="J1519" s="9"/>
      <c r="K1519" s="9"/>
      <c r="L1519" s="9"/>
      <c r="M1519" s="9"/>
      <c r="N1519" s="9"/>
      <c r="O1519" s="9"/>
      <c r="P1519" s="9"/>
      <c r="Q1519" s="9"/>
      <c r="R1519" s="9"/>
      <c r="S1519" s="9"/>
      <c r="T1519" s="9"/>
      <c r="U1519" s="9"/>
      <c r="V1519" s="9"/>
      <c r="W1519" s="9"/>
      <c r="X1519" s="9"/>
      <c r="Y1519" s="9"/>
      <c r="Z1519" s="9"/>
      <c r="AA1519" s="9"/>
      <c r="AB1519" s="9"/>
      <c r="AC1519" s="9"/>
      <c r="AD1519" s="9"/>
      <c r="AE1519" s="9"/>
      <c r="AF1519" s="9"/>
      <c r="AG1519" s="9"/>
      <c r="AH1519" s="9"/>
      <c r="AI1519" s="9"/>
      <c r="AJ1519" s="9"/>
      <c r="AK1519" s="9"/>
      <c r="AL1519" s="9"/>
      <c r="AM1519" s="9"/>
      <c r="AN1519" s="9"/>
      <c r="AO1519" s="9"/>
      <c r="AP1519" s="9"/>
      <c r="AQ1519" s="9"/>
      <c r="AR1519" s="9"/>
      <c r="AS1519" s="9"/>
      <c r="AT1519" s="9"/>
      <c r="AU1519" s="9"/>
    </row>
    <row r="1520" spans="1:47" ht="15.75" customHeight="1">
      <c r="A1520" s="9"/>
      <c r="B1520" s="9"/>
      <c r="C1520" s="9"/>
      <c r="D1520" s="9"/>
      <c r="E1520" s="9"/>
      <c r="F1520" s="67"/>
      <c r="G1520" s="9"/>
      <c r="H1520" s="9"/>
      <c r="I1520" s="9"/>
      <c r="J1520" s="9"/>
      <c r="K1520" s="9"/>
      <c r="L1520" s="9"/>
      <c r="M1520" s="9"/>
      <c r="N1520" s="9"/>
      <c r="O1520" s="9"/>
      <c r="P1520" s="9"/>
      <c r="Q1520" s="9"/>
      <c r="R1520" s="9"/>
      <c r="S1520" s="9"/>
      <c r="T1520" s="9"/>
      <c r="U1520" s="9"/>
      <c r="V1520" s="9"/>
      <c r="W1520" s="9"/>
      <c r="X1520" s="9"/>
      <c r="Y1520" s="9"/>
      <c r="Z1520" s="9"/>
      <c r="AA1520" s="9"/>
      <c r="AB1520" s="9"/>
      <c r="AC1520" s="9"/>
      <c r="AD1520" s="9"/>
      <c r="AE1520" s="9"/>
      <c r="AF1520" s="9"/>
      <c r="AG1520" s="9"/>
      <c r="AH1520" s="9"/>
      <c r="AI1520" s="9"/>
      <c r="AJ1520" s="9"/>
      <c r="AK1520" s="9"/>
      <c r="AL1520" s="9"/>
      <c r="AM1520" s="9"/>
      <c r="AN1520" s="9"/>
      <c r="AO1520" s="9"/>
      <c r="AP1520" s="9"/>
      <c r="AQ1520" s="9"/>
      <c r="AR1520" s="9"/>
      <c r="AS1520" s="9"/>
      <c r="AT1520" s="9"/>
      <c r="AU1520" s="9"/>
    </row>
    <row r="1521" spans="1:47" ht="15.75" customHeight="1">
      <c r="A1521" s="9"/>
      <c r="B1521" s="9"/>
      <c r="C1521" s="9"/>
      <c r="D1521" s="9"/>
      <c r="E1521" s="9"/>
      <c r="F1521" s="67"/>
      <c r="G1521" s="9"/>
      <c r="H1521" s="9"/>
      <c r="I1521" s="9"/>
      <c r="J1521" s="9"/>
      <c r="K1521" s="9"/>
      <c r="L1521" s="9"/>
      <c r="M1521" s="9"/>
      <c r="N1521" s="9"/>
      <c r="O1521" s="9"/>
      <c r="P1521" s="9"/>
      <c r="Q1521" s="9"/>
      <c r="R1521" s="9"/>
      <c r="S1521" s="9"/>
      <c r="T1521" s="9"/>
      <c r="U1521" s="9"/>
      <c r="V1521" s="9"/>
      <c r="W1521" s="9"/>
      <c r="X1521" s="9"/>
      <c r="Y1521" s="9"/>
      <c r="Z1521" s="9"/>
      <c r="AA1521" s="9"/>
      <c r="AB1521" s="9"/>
      <c r="AC1521" s="9"/>
      <c r="AD1521" s="9"/>
      <c r="AE1521" s="9"/>
      <c r="AF1521" s="9"/>
      <c r="AG1521" s="9"/>
      <c r="AH1521" s="9"/>
      <c r="AI1521" s="9"/>
      <c r="AJ1521" s="9"/>
      <c r="AK1521" s="9"/>
      <c r="AL1521" s="9"/>
      <c r="AM1521" s="9"/>
      <c r="AN1521" s="9"/>
      <c r="AO1521" s="9"/>
      <c r="AP1521" s="9"/>
      <c r="AQ1521" s="9"/>
      <c r="AR1521" s="9"/>
      <c r="AS1521" s="9"/>
      <c r="AT1521" s="9"/>
      <c r="AU1521" s="9"/>
    </row>
    <row r="1522" spans="1:47" ht="15.75" customHeight="1">
      <c r="A1522" s="9"/>
      <c r="B1522" s="9"/>
      <c r="C1522" s="9"/>
      <c r="D1522" s="9"/>
      <c r="E1522" s="9"/>
      <c r="F1522" s="67"/>
      <c r="G1522" s="9"/>
      <c r="H1522" s="9"/>
      <c r="I1522" s="9"/>
      <c r="J1522" s="9"/>
      <c r="K1522" s="9"/>
      <c r="L1522" s="9"/>
      <c r="M1522" s="9"/>
      <c r="N1522" s="9"/>
      <c r="O1522" s="9"/>
      <c r="P1522" s="9"/>
      <c r="Q1522" s="9"/>
      <c r="R1522" s="9"/>
      <c r="S1522" s="9"/>
      <c r="T1522" s="9"/>
      <c r="U1522" s="9"/>
      <c r="V1522" s="9"/>
      <c r="W1522" s="9"/>
      <c r="X1522" s="9"/>
      <c r="Y1522" s="9"/>
      <c r="Z1522" s="9"/>
      <c r="AA1522" s="9"/>
      <c r="AB1522" s="9"/>
      <c r="AC1522" s="9"/>
      <c r="AD1522" s="9"/>
      <c r="AE1522" s="9"/>
      <c r="AF1522" s="9"/>
      <c r="AG1522" s="9"/>
      <c r="AH1522" s="9"/>
      <c r="AI1522" s="9"/>
      <c r="AJ1522" s="9"/>
      <c r="AK1522" s="9"/>
      <c r="AL1522" s="9"/>
      <c r="AM1522" s="9"/>
      <c r="AN1522" s="9"/>
      <c r="AO1522" s="9"/>
      <c r="AP1522" s="9"/>
      <c r="AQ1522" s="9"/>
      <c r="AR1522" s="9"/>
      <c r="AS1522" s="9"/>
      <c r="AT1522" s="9"/>
      <c r="AU1522" s="9"/>
    </row>
    <row r="1523" spans="1:47" ht="15.75" customHeight="1">
      <c r="A1523" s="9"/>
      <c r="B1523" s="9"/>
      <c r="C1523" s="9"/>
      <c r="D1523" s="9"/>
      <c r="E1523" s="9"/>
      <c r="F1523" s="67"/>
      <c r="G1523" s="9"/>
      <c r="H1523" s="9"/>
      <c r="I1523" s="9"/>
      <c r="J1523" s="9"/>
      <c r="K1523" s="9"/>
      <c r="L1523" s="9"/>
      <c r="M1523" s="9"/>
      <c r="N1523" s="9"/>
      <c r="O1523" s="9"/>
      <c r="P1523" s="9"/>
      <c r="Q1523" s="9"/>
      <c r="R1523" s="9"/>
      <c r="S1523" s="9"/>
      <c r="T1523" s="9"/>
      <c r="U1523" s="9"/>
      <c r="V1523" s="9"/>
      <c r="W1523" s="9"/>
      <c r="X1523" s="9"/>
      <c r="Y1523" s="9"/>
      <c r="Z1523" s="9"/>
      <c r="AA1523" s="9"/>
      <c r="AB1523" s="9"/>
      <c r="AC1523" s="9"/>
      <c r="AD1523" s="9"/>
      <c r="AE1523" s="9"/>
      <c r="AF1523" s="9"/>
      <c r="AG1523" s="9"/>
      <c r="AH1523" s="9"/>
      <c r="AI1523" s="9"/>
      <c r="AJ1523" s="9"/>
      <c r="AK1523" s="9"/>
      <c r="AL1523" s="9"/>
      <c r="AM1523" s="9"/>
      <c r="AN1523" s="9"/>
      <c r="AO1523" s="9"/>
      <c r="AP1523" s="9"/>
      <c r="AQ1523" s="9"/>
      <c r="AR1523" s="9"/>
      <c r="AS1523" s="9"/>
      <c r="AT1523" s="9"/>
      <c r="AU1523" s="9"/>
    </row>
    <row r="1524" spans="1:47" ht="15.75" customHeight="1">
      <c r="A1524" s="9"/>
      <c r="B1524" s="9"/>
      <c r="C1524" s="9"/>
      <c r="D1524" s="9"/>
      <c r="E1524" s="9"/>
      <c r="F1524" s="67"/>
      <c r="G1524" s="9"/>
      <c r="H1524" s="9"/>
      <c r="I1524" s="9"/>
      <c r="J1524" s="9"/>
      <c r="K1524" s="9"/>
      <c r="L1524" s="9"/>
      <c r="M1524" s="9"/>
      <c r="N1524" s="9"/>
      <c r="O1524" s="9"/>
      <c r="P1524" s="9"/>
      <c r="Q1524" s="9"/>
      <c r="R1524" s="9"/>
      <c r="S1524" s="9"/>
      <c r="T1524" s="9"/>
      <c r="U1524" s="9"/>
      <c r="V1524" s="9"/>
      <c r="W1524" s="9"/>
      <c r="X1524" s="9"/>
      <c r="Y1524" s="9"/>
      <c r="Z1524" s="9"/>
      <c r="AA1524" s="9"/>
      <c r="AB1524" s="9"/>
      <c r="AC1524" s="9"/>
      <c r="AD1524" s="9"/>
      <c r="AE1524" s="9"/>
      <c r="AF1524" s="9"/>
      <c r="AG1524" s="9"/>
      <c r="AH1524" s="9"/>
      <c r="AI1524" s="9"/>
      <c r="AJ1524" s="9"/>
      <c r="AK1524" s="9"/>
      <c r="AL1524" s="9"/>
      <c r="AM1524" s="9"/>
      <c r="AN1524" s="9"/>
      <c r="AO1524" s="9"/>
      <c r="AP1524" s="9"/>
      <c r="AQ1524" s="9"/>
      <c r="AR1524" s="9"/>
      <c r="AS1524" s="9"/>
      <c r="AT1524" s="9"/>
      <c r="AU1524" s="9"/>
    </row>
    <row r="1525" spans="1:47" ht="15.75" customHeight="1">
      <c r="A1525" s="9"/>
      <c r="B1525" s="9"/>
      <c r="C1525" s="9"/>
      <c r="D1525" s="9"/>
      <c r="E1525" s="9"/>
      <c r="F1525" s="67"/>
      <c r="G1525" s="9"/>
      <c r="H1525" s="9"/>
      <c r="I1525" s="9"/>
      <c r="J1525" s="9"/>
      <c r="K1525" s="9"/>
      <c r="L1525" s="9"/>
      <c r="M1525" s="9"/>
      <c r="N1525" s="9"/>
      <c r="O1525" s="9"/>
      <c r="P1525" s="9"/>
      <c r="Q1525" s="9"/>
      <c r="R1525" s="9"/>
      <c r="S1525" s="9"/>
      <c r="T1525" s="9"/>
      <c r="U1525" s="9"/>
      <c r="V1525" s="9"/>
      <c r="W1525" s="9"/>
      <c r="X1525" s="9"/>
      <c r="Y1525" s="9"/>
      <c r="Z1525" s="9"/>
      <c r="AA1525" s="9"/>
      <c r="AB1525" s="9"/>
      <c r="AC1525" s="9"/>
      <c r="AD1525" s="9"/>
      <c r="AE1525" s="9"/>
      <c r="AF1525" s="9"/>
      <c r="AG1525" s="9"/>
      <c r="AH1525" s="9"/>
      <c r="AI1525" s="9"/>
      <c r="AJ1525" s="9"/>
      <c r="AK1525" s="9"/>
      <c r="AL1525" s="9"/>
      <c r="AM1525" s="9"/>
      <c r="AN1525" s="9"/>
      <c r="AO1525" s="9"/>
      <c r="AP1525" s="9"/>
      <c r="AQ1525" s="9"/>
      <c r="AR1525" s="9"/>
      <c r="AS1525" s="9"/>
      <c r="AT1525" s="9"/>
      <c r="AU1525" s="9"/>
    </row>
    <row r="1526" spans="1:47" ht="15.75" customHeight="1">
      <c r="A1526" s="9"/>
      <c r="B1526" s="9"/>
      <c r="C1526" s="9"/>
      <c r="D1526" s="9"/>
      <c r="E1526" s="9"/>
      <c r="F1526" s="67"/>
      <c r="G1526" s="9"/>
      <c r="H1526" s="9"/>
      <c r="I1526" s="9"/>
      <c r="J1526" s="9"/>
      <c r="K1526" s="9"/>
      <c r="L1526" s="9"/>
      <c r="M1526" s="9"/>
      <c r="N1526" s="9"/>
      <c r="O1526" s="9"/>
      <c r="P1526" s="9"/>
      <c r="Q1526" s="9"/>
      <c r="R1526" s="9"/>
      <c r="S1526" s="9"/>
      <c r="T1526" s="9"/>
      <c r="U1526" s="9"/>
      <c r="V1526" s="9"/>
      <c r="W1526" s="9"/>
      <c r="X1526" s="9"/>
      <c r="Y1526" s="9"/>
      <c r="Z1526" s="9"/>
      <c r="AA1526" s="9"/>
      <c r="AB1526" s="9"/>
      <c r="AC1526" s="9"/>
      <c r="AD1526" s="9"/>
      <c r="AE1526" s="9"/>
      <c r="AF1526" s="9"/>
      <c r="AG1526" s="9"/>
      <c r="AH1526" s="9"/>
      <c r="AI1526" s="9"/>
      <c r="AJ1526" s="9"/>
      <c r="AK1526" s="9"/>
      <c r="AL1526" s="9"/>
      <c r="AM1526" s="9"/>
      <c r="AN1526" s="9"/>
      <c r="AO1526" s="9"/>
      <c r="AP1526" s="9"/>
      <c r="AQ1526" s="9"/>
      <c r="AR1526" s="9"/>
      <c r="AS1526" s="9"/>
      <c r="AT1526" s="9"/>
      <c r="AU1526" s="9"/>
    </row>
    <row r="1527" spans="1:47" ht="15.75" customHeight="1">
      <c r="A1527" s="9"/>
      <c r="B1527" s="9"/>
      <c r="C1527" s="9"/>
      <c r="D1527" s="9"/>
      <c r="E1527" s="9"/>
      <c r="F1527" s="67"/>
      <c r="G1527" s="9"/>
      <c r="H1527" s="9"/>
      <c r="I1527" s="9"/>
      <c r="J1527" s="9"/>
      <c r="K1527" s="9"/>
      <c r="L1527" s="9"/>
      <c r="M1527" s="9"/>
      <c r="N1527" s="9"/>
      <c r="O1527" s="9"/>
      <c r="P1527" s="9"/>
      <c r="Q1527" s="9"/>
      <c r="R1527" s="9"/>
      <c r="S1527" s="9"/>
      <c r="T1527" s="9"/>
      <c r="U1527" s="9"/>
      <c r="V1527" s="9"/>
      <c r="W1527" s="9"/>
      <c r="X1527" s="9"/>
      <c r="Y1527" s="9"/>
      <c r="Z1527" s="9"/>
      <c r="AA1527" s="9"/>
      <c r="AB1527" s="9"/>
      <c r="AC1527" s="9"/>
      <c r="AD1527" s="9"/>
      <c r="AE1527" s="9"/>
      <c r="AF1527" s="9"/>
      <c r="AG1527" s="9"/>
      <c r="AH1527" s="9"/>
      <c r="AI1527" s="9"/>
      <c r="AJ1527" s="9"/>
      <c r="AK1527" s="9"/>
      <c r="AL1527" s="9"/>
      <c r="AM1527" s="9"/>
      <c r="AN1527" s="9"/>
      <c r="AO1527" s="9"/>
      <c r="AP1527" s="9"/>
      <c r="AQ1527" s="9"/>
      <c r="AR1527" s="9"/>
      <c r="AS1527" s="9"/>
      <c r="AT1527" s="9"/>
      <c r="AU1527" s="9"/>
    </row>
    <row r="1528" spans="1:47" ht="15.75" customHeight="1">
      <c r="A1528" s="9"/>
      <c r="B1528" s="9"/>
      <c r="C1528" s="9"/>
      <c r="D1528" s="9"/>
      <c r="E1528" s="9"/>
      <c r="F1528" s="67"/>
      <c r="G1528" s="9"/>
      <c r="H1528" s="9"/>
      <c r="I1528" s="9"/>
      <c r="J1528" s="9"/>
      <c r="K1528" s="9"/>
      <c r="L1528" s="9"/>
      <c r="M1528" s="9"/>
      <c r="N1528" s="9"/>
      <c r="O1528" s="9"/>
      <c r="P1528" s="9"/>
      <c r="Q1528" s="9"/>
      <c r="R1528" s="9"/>
      <c r="S1528" s="9"/>
      <c r="T1528" s="9"/>
      <c r="U1528" s="9"/>
      <c r="V1528" s="9"/>
      <c r="W1528" s="9"/>
      <c r="X1528" s="9"/>
      <c r="Y1528" s="9"/>
      <c r="Z1528" s="9"/>
      <c r="AA1528" s="9"/>
      <c r="AB1528" s="9"/>
      <c r="AC1528" s="9"/>
      <c r="AD1528" s="9"/>
      <c r="AE1528" s="9"/>
      <c r="AF1528" s="9"/>
      <c r="AG1528" s="9"/>
      <c r="AH1528" s="9"/>
      <c r="AI1528" s="9"/>
      <c r="AJ1528" s="9"/>
      <c r="AK1528" s="9"/>
      <c r="AL1528" s="9"/>
      <c r="AM1528" s="9"/>
      <c r="AN1528" s="9"/>
      <c r="AO1528" s="9"/>
      <c r="AP1528" s="9"/>
      <c r="AQ1528" s="9"/>
      <c r="AR1528" s="9"/>
      <c r="AS1528" s="9"/>
      <c r="AT1528" s="9"/>
      <c r="AU1528" s="9"/>
    </row>
    <row r="1529" spans="1:47" ht="15.75" customHeight="1">
      <c r="A1529" s="9"/>
      <c r="B1529" s="9"/>
      <c r="C1529" s="9"/>
      <c r="D1529" s="9"/>
      <c r="E1529" s="9"/>
      <c r="F1529" s="67"/>
      <c r="G1529" s="9"/>
      <c r="H1529" s="9"/>
      <c r="I1529" s="9"/>
      <c r="J1529" s="9"/>
      <c r="K1529" s="9"/>
      <c r="L1529" s="9"/>
      <c r="M1529" s="9"/>
      <c r="N1529" s="9"/>
      <c r="O1529" s="9"/>
      <c r="P1529" s="9"/>
      <c r="Q1529" s="9"/>
      <c r="R1529" s="9"/>
      <c r="S1529" s="9"/>
      <c r="T1529" s="9"/>
      <c r="U1529" s="9"/>
      <c r="V1529" s="9"/>
      <c r="W1529" s="9"/>
      <c r="X1529" s="9"/>
      <c r="Y1529" s="9"/>
      <c r="Z1529" s="9"/>
      <c r="AA1529" s="9"/>
      <c r="AB1529" s="9"/>
      <c r="AC1529" s="9"/>
      <c r="AD1529" s="9"/>
      <c r="AE1529" s="9"/>
      <c r="AF1529" s="9"/>
      <c r="AG1529" s="9"/>
      <c r="AH1529" s="9"/>
      <c r="AI1529" s="9"/>
      <c r="AJ1529" s="9"/>
      <c r="AK1529" s="9"/>
      <c r="AL1529" s="9"/>
      <c r="AM1529" s="9"/>
      <c r="AN1529" s="9"/>
      <c r="AO1529" s="9"/>
      <c r="AP1529" s="9"/>
      <c r="AQ1529" s="9"/>
      <c r="AR1529" s="9"/>
      <c r="AS1529" s="9"/>
      <c r="AT1529" s="9"/>
      <c r="AU1529" s="9"/>
    </row>
    <row r="1530" spans="1:47" ht="15.75" customHeight="1">
      <c r="A1530" s="9"/>
      <c r="B1530" s="9"/>
      <c r="C1530" s="9"/>
      <c r="D1530" s="9"/>
      <c r="E1530" s="9"/>
      <c r="F1530" s="67"/>
      <c r="G1530" s="9"/>
      <c r="H1530" s="9"/>
      <c r="I1530" s="9"/>
      <c r="J1530" s="9"/>
      <c r="K1530" s="9"/>
      <c r="L1530" s="9"/>
      <c r="M1530" s="9"/>
      <c r="N1530" s="9"/>
      <c r="O1530" s="9"/>
      <c r="P1530" s="9"/>
      <c r="Q1530" s="9"/>
      <c r="R1530" s="9"/>
      <c r="S1530" s="9"/>
      <c r="T1530" s="9"/>
      <c r="U1530" s="9"/>
      <c r="V1530" s="9"/>
      <c r="W1530" s="9"/>
      <c r="X1530" s="9"/>
      <c r="Y1530" s="9"/>
      <c r="Z1530" s="9"/>
      <c r="AA1530" s="9"/>
      <c r="AB1530" s="9"/>
      <c r="AC1530" s="9"/>
      <c r="AD1530" s="9"/>
      <c r="AE1530" s="9"/>
      <c r="AF1530" s="9"/>
      <c r="AG1530" s="9"/>
      <c r="AH1530" s="9"/>
      <c r="AI1530" s="9"/>
      <c r="AJ1530" s="9"/>
      <c r="AK1530" s="9"/>
      <c r="AL1530" s="9"/>
      <c r="AM1530" s="9"/>
      <c r="AN1530" s="9"/>
      <c r="AO1530" s="9"/>
      <c r="AP1530" s="9"/>
      <c r="AQ1530" s="9"/>
      <c r="AR1530" s="9"/>
      <c r="AS1530" s="9"/>
      <c r="AT1530" s="9"/>
      <c r="AU1530" s="9"/>
    </row>
    <row r="1531" spans="1:47" ht="15.75" customHeight="1">
      <c r="A1531" s="9"/>
      <c r="B1531" s="9"/>
      <c r="C1531" s="9"/>
      <c r="D1531" s="9"/>
      <c r="E1531" s="9"/>
      <c r="F1531" s="67"/>
      <c r="G1531" s="9"/>
      <c r="H1531" s="9"/>
      <c r="I1531" s="9"/>
      <c r="J1531" s="9"/>
      <c r="K1531" s="9"/>
      <c r="L1531" s="9"/>
      <c r="M1531" s="9"/>
      <c r="N1531" s="9"/>
      <c r="O1531" s="9"/>
      <c r="P1531" s="9"/>
      <c r="Q1531" s="9"/>
      <c r="R1531" s="9"/>
      <c r="S1531" s="9"/>
      <c r="T1531" s="9"/>
      <c r="U1531" s="9"/>
      <c r="V1531" s="9"/>
      <c r="W1531" s="9"/>
      <c r="X1531" s="9"/>
      <c r="Y1531" s="9"/>
      <c r="Z1531" s="9"/>
      <c r="AA1531" s="9"/>
      <c r="AB1531" s="9"/>
      <c r="AC1531" s="9"/>
      <c r="AD1531" s="9"/>
      <c r="AE1531" s="9"/>
      <c r="AF1531" s="9"/>
      <c r="AG1531" s="9"/>
      <c r="AH1531" s="9"/>
      <c r="AI1531" s="9"/>
      <c r="AJ1531" s="9"/>
      <c r="AK1531" s="9"/>
      <c r="AL1531" s="9"/>
      <c r="AM1531" s="9"/>
      <c r="AN1531" s="9"/>
      <c r="AO1531" s="9"/>
      <c r="AP1531" s="9"/>
      <c r="AQ1531" s="9"/>
      <c r="AR1531" s="9"/>
      <c r="AS1531" s="9"/>
      <c r="AT1531" s="9"/>
      <c r="AU1531" s="9"/>
    </row>
    <row r="1532" spans="1:47" ht="15.75" customHeight="1">
      <c r="A1532" s="9"/>
      <c r="B1532" s="9"/>
      <c r="C1532" s="9"/>
      <c r="D1532" s="9"/>
      <c r="E1532" s="9"/>
      <c r="F1532" s="67"/>
      <c r="G1532" s="9"/>
      <c r="H1532" s="9"/>
      <c r="I1532" s="9"/>
      <c r="J1532" s="9"/>
      <c r="K1532" s="9"/>
      <c r="L1532" s="9"/>
      <c r="M1532" s="9"/>
      <c r="N1532" s="9"/>
      <c r="O1532" s="9"/>
      <c r="P1532" s="9"/>
      <c r="Q1532" s="9"/>
      <c r="R1532" s="9"/>
      <c r="S1532" s="9"/>
      <c r="T1532" s="9"/>
      <c r="U1532" s="9"/>
      <c r="V1532" s="9"/>
      <c r="W1532" s="9"/>
      <c r="X1532" s="9"/>
      <c r="Y1532" s="9"/>
      <c r="Z1532" s="9"/>
      <c r="AA1532" s="9"/>
      <c r="AB1532" s="9"/>
      <c r="AC1532" s="9"/>
      <c r="AD1532" s="9"/>
      <c r="AE1532" s="9"/>
      <c r="AF1532" s="9"/>
      <c r="AG1532" s="9"/>
      <c r="AH1532" s="9"/>
      <c r="AI1532" s="9"/>
      <c r="AJ1532" s="9"/>
      <c r="AK1532" s="9"/>
      <c r="AL1532" s="9"/>
      <c r="AM1532" s="9"/>
      <c r="AN1532" s="9"/>
      <c r="AO1532" s="9"/>
      <c r="AP1532" s="9"/>
      <c r="AQ1532" s="9"/>
      <c r="AR1532" s="9"/>
      <c r="AS1532" s="9"/>
      <c r="AT1532" s="9"/>
      <c r="AU1532" s="9"/>
    </row>
    <row r="1533" spans="1:47" ht="15.75" customHeight="1">
      <c r="A1533" s="9"/>
      <c r="B1533" s="9"/>
      <c r="C1533" s="9"/>
      <c r="D1533" s="9"/>
      <c r="E1533" s="9"/>
      <c r="F1533" s="67"/>
      <c r="G1533" s="9"/>
      <c r="H1533" s="9"/>
      <c r="I1533" s="9"/>
      <c r="J1533" s="9"/>
      <c r="K1533" s="9"/>
      <c r="L1533" s="9"/>
      <c r="M1533" s="9"/>
      <c r="N1533" s="9"/>
      <c r="O1533" s="9"/>
      <c r="P1533" s="9"/>
      <c r="Q1533" s="9"/>
      <c r="R1533" s="9"/>
      <c r="S1533" s="9"/>
      <c r="T1533" s="9"/>
      <c r="U1533" s="9"/>
      <c r="V1533" s="9"/>
      <c r="W1533" s="9"/>
      <c r="X1533" s="9"/>
      <c r="Y1533" s="9"/>
      <c r="Z1533" s="9"/>
      <c r="AA1533" s="9"/>
      <c r="AB1533" s="9"/>
      <c r="AC1533" s="9"/>
      <c r="AD1533" s="9"/>
      <c r="AE1533" s="9"/>
      <c r="AF1533" s="9"/>
      <c r="AG1533" s="9"/>
      <c r="AH1533" s="9"/>
      <c r="AI1533" s="9"/>
      <c r="AJ1533" s="9"/>
      <c r="AK1533" s="9"/>
      <c r="AL1533" s="9"/>
      <c r="AM1533" s="9"/>
      <c r="AN1533" s="9"/>
      <c r="AO1533" s="9"/>
      <c r="AP1533" s="9"/>
      <c r="AQ1533" s="9"/>
      <c r="AR1533" s="9"/>
      <c r="AS1533" s="9"/>
      <c r="AT1533" s="9"/>
      <c r="AU1533" s="9"/>
    </row>
    <row r="1534" spans="1:47" ht="15.75" customHeight="1">
      <c r="A1534" s="9"/>
      <c r="B1534" s="9"/>
      <c r="C1534" s="9"/>
      <c r="D1534" s="9"/>
      <c r="E1534" s="9"/>
      <c r="F1534" s="67"/>
      <c r="G1534" s="9"/>
      <c r="H1534" s="9"/>
      <c r="I1534" s="9"/>
      <c r="J1534" s="9"/>
      <c r="K1534" s="9"/>
      <c r="L1534" s="9"/>
      <c r="M1534" s="9"/>
      <c r="N1534" s="9"/>
      <c r="O1534" s="9"/>
      <c r="P1534" s="9"/>
      <c r="Q1534" s="9"/>
      <c r="R1534" s="9"/>
      <c r="S1534" s="9"/>
      <c r="T1534" s="9"/>
      <c r="U1534" s="9"/>
      <c r="V1534" s="9"/>
      <c r="W1534" s="9"/>
      <c r="X1534" s="9"/>
      <c r="Y1534" s="9"/>
      <c r="Z1534" s="9"/>
      <c r="AA1534" s="9"/>
      <c r="AB1534" s="9"/>
      <c r="AC1534" s="9"/>
      <c r="AD1534" s="9"/>
      <c r="AE1534" s="9"/>
      <c r="AF1534" s="9"/>
      <c r="AG1534" s="9"/>
      <c r="AH1534" s="9"/>
      <c r="AI1534" s="9"/>
      <c r="AJ1534" s="9"/>
      <c r="AK1534" s="9"/>
      <c r="AL1534" s="9"/>
      <c r="AM1534" s="9"/>
      <c r="AN1534" s="9"/>
      <c r="AO1534" s="9"/>
      <c r="AP1534" s="9"/>
      <c r="AQ1534" s="9"/>
      <c r="AR1534" s="9"/>
      <c r="AS1534" s="9"/>
      <c r="AT1534" s="9"/>
      <c r="AU1534" s="9"/>
    </row>
    <row r="1535" spans="1:47" ht="15.75" customHeight="1">
      <c r="A1535" s="9"/>
      <c r="B1535" s="9"/>
      <c r="C1535" s="9"/>
      <c r="D1535" s="9"/>
      <c r="E1535" s="9"/>
      <c r="F1535" s="67"/>
      <c r="G1535" s="9"/>
      <c r="H1535" s="9"/>
      <c r="I1535" s="9"/>
      <c r="J1535" s="9"/>
      <c r="K1535" s="9"/>
      <c r="L1535" s="9"/>
      <c r="M1535" s="9"/>
      <c r="N1535" s="9"/>
      <c r="O1535" s="9"/>
      <c r="P1535" s="9"/>
      <c r="Q1535" s="9"/>
      <c r="R1535" s="9"/>
      <c r="S1535" s="9"/>
      <c r="T1535" s="9"/>
      <c r="U1535" s="9"/>
      <c r="V1535" s="9"/>
      <c r="W1535" s="9"/>
      <c r="X1535" s="9"/>
      <c r="Y1535" s="9"/>
      <c r="Z1535" s="9"/>
      <c r="AA1535" s="9"/>
      <c r="AB1535" s="9"/>
      <c r="AC1535" s="9"/>
      <c r="AD1535" s="9"/>
      <c r="AE1535" s="9"/>
      <c r="AF1535" s="9"/>
      <c r="AG1535" s="9"/>
      <c r="AH1535" s="9"/>
      <c r="AI1535" s="9"/>
      <c r="AJ1535" s="9"/>
      <c r="AK1535" s="9"/>
      <c r="AL1535" s="9"/>
      <c r="AM1535" s="9"/>
      <c r="AN1535" s="9"/>
      <c r="AO1535" s="9"/>
      <c r="AP1535" s="9"/>
      <c r="AQ1535" s="9"/>
      <c r="AR1535" s="9"/>
      <c r="AS1535" s="9"/>
      <c r="AT1535" s="9"/>
      <c r="AU1535" s="9"/>
    </row>
    <row r="1536" spans="1:47" ht="15.75" customHeight="1">
      <c r="A1536" s="9"/>
      <c r="B1536" s="9"/>
      <c r="C1536" s="9"/>
      <c r="D1536" s="9"/>
      <c r="E1536" s="9"/>
      <c r="F1536" s="67"/>
      <c r="G1536" s="9"/>
      <c r="H1536" s="9"/>
      <c r="I1536" s="9"/>
      <c r="J1536" s="9"/>
      <c r="K1536" s="9"/>
      <c r="L1536" s="9"/>
      <c r="M1536" s="9"/>
      <c r="N1536" s="9"/>
      <c r="O1536" s="9"/>
      <c r="P1536" s="9"/>
      <c r="Q1536" s="9"/>
      <c r="R1536" s="9"/>
      <c r="S1536" s="9"/>
      <c r="T1536" s="9"/>
      <c r="U1536" s="9"/>
      <c r="V1536" s="9"/>
      <c r="W1536" s="9"/>
      <c r="X1536" s="9"/>
      <c r="Y1536" s="9"/>
      <c r="Z1536" s="9"/>
      <c r="AA1536" s="9"/>
      <c r="AB1536" s="9"/>
      <c r="AC1536" s="9"/>
      <c r="AD1536" s="9"/>
      <c r="AE1536" s="9"/>
      <c r="AF1536" s="9"/>
      <c r="AG1536" s="9"/>
      <c r="AH1536" s="9"/>
      <c r="AI1536" s="9"/>
      <c r="AJ1536" s="9"/>
      <c r="AK1536" s="9"/>
      <c r="AL1536" s="9"/>
      <c r="AM1536" s="9"/>
      <c r="AN1536" s="9"/>
      <c r="AO1536" s="9"/>
      <c r="AP1536" s="9"/>
      <c r="AQ1536" s="9"/>
      <c r="AR1536" s="9"/>
      <c r="AS1536" s="9"/>
      <c r="AT1536" s="9"/>
      <c r="AU1536" s="9"/>
    </row>
    <row r="1537" spans="1:47" ht="15.75" customHeight="1">
      <c r="A1537" s="9"/>
      <c r="B1537" s="9"/>
      <c r="C1537" s="9"/>
      <c r="D1537" s="9"/>
      <c r="E1537" s="9"/>
      <c r="F1537" s="67"/>
      <c r="G1537" s="9"/>
      <c r="H1537" s="9"/>
      <c r="I1537" s="9"/>
      <c r="J1537" s="9"/>
      <c r="K1537" s="9"/>
      <c r="L1537" s="9"/>
      <c r="M1537" s="9"/>
      <c r="N1537" s="9"/>
      <c r="O1537" s="9"/>
      <c r="P1537" s="9"/>
      <c r="Q1537" s="9"/>
      <c r="R1537" s="9"/>
      <c r="S1537" s="9"/>
      <c r="T1537" s="9"/>
      <c r="U1537" s="9"/>
      <c r="V1537" s="9"/>
      <c r="W1537" s="9"/>
      <c r="X1537" s="9"/>
      <c r="Y1537" s="9"/>
      <c r="Z1537" s="9"/>
      <c r="AA1537" s="9"/>
      <c r="AB1537" s="9"/>
      <c r="AC1537" s="9"/>
      <c r="AD1537" s="9"/>
      <c r="AE1537" s="9"/>
      <c r="AF1537" s="9"/>
      <c r="AG1537" s="9"/>
      <c r="AH1537" s="9"/>
      <c r="AI1537" s="9"/>
      <c r="AJ1537" s="9"/>
      <c r="AK1537" s="9"/>
      <c r="AL1537" s="9"/>
      <c r="AM1537" s="9"/>
      <c r="AN1537" s="9"/>
      <c r="AO1537" s="9"/>
      <c r="AP1537" s="9"/>
      <c r="AQ1537" s="9"/>
      <c r="AR1537" s="9"/>
      <c r="AS1537" s="9"/>
      <c r="AT1537" s="9"/>
      <c r="AU1537" s="9"/>
    </row>
    <row r="1538" spans="1:47" ht="15.75" customHeight="1">
      <c r="A1538" s="9"/>
      <c r="B1538" s="9"/>
      <c r="C1538" s="9"/>
      <c r="D1538" s="9"/>
      <c r="E1538" s="9"/>
      <c r="F1538" s="67"/>
      <c r="G1538" s="9"/>
      <c r="H1538" s="9"/>
      <c r="I1538" s="9"/>
      <c r="J1538" s="9"/>
      <c r="K1538" s="9"/>
      <c r="L1538" s="9"/>
      <c r="M1538" s="9"/>
      <c r="N1538" s="9"/>
      <c r="O1538" s="9"/>
      <c r="P1538" s="9"/>
      <c r="Q1538" s="9"/>
      <c r="R1538" s="9"/>
      <c r="S1538" s="9"/>
      <c r="T1538" s="9"/>
      <c r="U1538" s="9"/>
      <c r="V1538" s="9"/>
      <c r="W1538" s="9"/>
      <c r="X1538" s="9"/>
      <c r="Y1538" s="9"/>
      <c r="Z1538" s="9"/>
      <c r="AA1538" s="9"/>
      <c r="AB1538" s="9"/>
      <c r="AC1538" s="9"/>
      <c r="AD1538" s="9"/>
      <c r="AE1538" s="9"/>
      <c r="AF1538" s="9"/>
      <c r="AG1538" s="9"/>
      <c r="AH1538" s="9"/>
      <c r="AI1538" s="9"/>
      <c r="AJ1538" s="9"/>
      <c r="AK1538" s="9"/>
      <c r="AL1538" s="9"/>
      <c r="AM1538" s="9"/>
      <c r="AN1538" s="9"/>
      <c r="AO1538" s="9"/>
      <c r="AP1538" s="9"/>
      <c r="AQ1538" s="9"/>
      <c r="AR1538" s="9"/>
      <c r="AS1538" s="9"/>
      <c r="AT1538" s="9"/>
      <c r="AU1538" s="9"/>
    </row>
    <row r="1539" spans="1:47" ht="15.75" customHeight="1">
      <c r="A1539" s="9"/>
      <c r="B1539" s="9"/>
      <c r="C1539" s="9"/>
      <c r="D1539" s="9"/>
      <c r="E1539" s="9"/>
      <c r="F1539" s="67"/>
      <c r="G1539" s="9"/>
      <c r="H1539" s="9"/>
      <c r="I1539" s="9"/>
      <c r="J1539" s="9"/>
      <c r="K1539" s="9"/>
      <c r="L1539" s="9"/>
      <c r="M1539" s="9"/>
      <c r="N1539" s="9"/>
      <c r="O1539" s="9"/>
      <c r="P1539" s="9"/>
      <c r="Q1539" s="9"/>
      <c r="R1539" s="9"/>
      <c r="S1539" s="9"/>
      <c r="T1539" s="9"/>
      <c r="U1539" s="9"/>
      <c r="V1539" s="9"/>
      <c r="W1539" s="9"/>
      <c r="X1539" s="9"/>
      <c r="Y1539" s="9"/>
      <c r="Z1539" s="9"/>
      <c r="AA1539" s="9"/>
      <c r="AB1539" s="9"/>
      <c r="AC1539" s="9"/>
      <c r="AD1539" s="9"/>
      <c r="AE1539" s="9"/>
      <c r="AF1539" s="9"/>
      <c r="AG1539" s="9"/>
      <c r="AH1539" s="9"/>
      <c r="AI1539" s="9"/>
      <c r="AJ1539" s="9"/>
      <c r="AK1539" s="9"/>
      <c r="AL1539" s="9"/>
      <c r="AM1539" s="9"/>
      <c r="AN1539" s="9"/>
      <c r="AO1539" s="9"/>
      <c r="AP1539" s="9"/>
      <c r="AQ1539" s="9"/>
      <c r="AR1539" s="9"/>
      <c r="AS1539" s="9"/>
      <c r="AT1539" s="9"/>
      <c r="AU1539" s="9"/>
    </row>
    <row r="1540" spans="1:47" ht="15.75" customHeight="1">
      <c r="A1540" s="9"/>
      <c r="B1540" s="9"/>
      <c r="C1540" s="9"/>
      <c r="D1540" s="9"/>
      <c r="E1540" s="9"/>
      <c r="F1540" s="67"/>
      <c r="G1540" s="9"/>
      <c r="H1540" s="9"/>
      <c r="I1540" s="9"/>
      <c r="J1540" s="9"/>
      <c r="K1540" s="9"/>
      <c r="L1540" s="9"/>
      <c r="M1540" s="9"/>
      <c r="N1540" s="9"/>
      <c r="O1540" s="9"/>
      <c r="P1540" s="9"/>
      <c r="Q1540" s="9"/>
      <c r="R1540" s="9"/>
      <c r="S1540" s="9"/>
      <c r="T1540" s="9"/>
      <c r="U1540" s="9"/>
      <c r="V1540" s="9"/>
      <c r="W1540" s="9"/>
      <c r="X1540" s="9"/>
      <c r="Y1540" s="9"/>
      <c r="Z1540" s="9"/>
      <c r="AA1540" s="9"/>
      <c r="AB1540" s="9"/>
      <c r="AC1540" s="9"/>
      <c r="AD1540" s="9"/>
      <c r="AE1540" s="9"/>
      <c r="AF1540" s="9"/>
      <c r="AG1540" s="9"/>
      <c r="AH1540" s="9"/>
      <c r="AI1540" s="9"/>
      <c r="AJ1540" s="9"/>
      <c r="AK1540" s="9"/>
      <c r="AL1540" s="9"/>
      <c r="AM1540" s="9"/>
      <c r="AN1540" s="9"/>
      <c r="AO1540" s="9"/>
      <c r="AP1540" s="9"/>
      <c r="AQ1540" s="9"/>
      <c r="AR1540" s="9"/>
      <c r="AS1540" s="9"/>
      <c r="AT1540" s="9"/>
      <c r="AU1540" s="9"/>
    </row>
    <row r="1541" spans="1:47" ht="15.75" customHeight="1">
      <c r="A1541" s="9"/>
      <c r="B1541" s="9"/>
      <c r="C1541" s="9"/>
      <c r="D1541" s="9"/>
      <c r="E1541" s="9"/>
      <c r="F1541" s="67"/>
      <c r="G1541" s="9"/>
      <c r="H1541" s="9"/>
      <c r="I1541" s="9"/>
      <c r="J1541" s="9"/>
      <c r="K1541" s="9"/>
      <c r="L1541" s="9"/>
      <c r="M1541" s="9"/>
      <c r="N1541" s="9"/>
      <c r="O1541" s="9"/>
      <c r="P1541" s="9"/>
      <c r="Q1541" s="9"/>
      <c r="R1541" s="9"/>
      <c r="S1541" s="9"/>
      <c r="T1541" s="9"/>
      <c r="U1541" s="9"/>
      <c r="V1541" s="9"/>
      <c r="W1541" s="9"/>
      <c r="X1541" s="9"/>
      <c r="Y1541" s="9"/>
      <c r="Z1541" s="9"/>
      <c r="AA1541" s="9"/>
      <c r="AB1541" s="9"/>
      <c r="AC1541" s="9"/>
      <c r="AD1541" s="9"/>
      <c r="AE1541" s="9"/>
      <c r="AF1541" s="9"/>
      <c r="AG1541" s="9"/>
      <c r="AH1541" s="9"/>
      <c r="AI1541" s="9"/>
      <c r="AJ1541" s="9"/>
      <c r="AK1541" s="9"/>
      <c r="AL1541" s="9"/>
      <c r="AM1541" s="9"/>
      <c r="AN1541" s="9"/>
      <c r="AO1541" s="9"/>
      <c r="AP1541" s="9"/>
      <c r="AQ1541" s="9"/>
      <c r="AR1541" s="9"/>
      <c r="AS1541" s="9"/>
      <c r="AT1541" s="9"/>
      <c r="AU1541" s="9"/>
    </row>
    <row r="1542" spans="1:47" ht="15.75" customHeight="1">
      <c r="A1542" s="9"/>
      <c r="B1542" s="9"/>
      <c r="C1542" s="9"/>
      <c r="D1542" s="9"/>
      <c r="E1542" s="9"/>
      <c r="F1542" s="67"/>
      <c r="G1542" s="9"/>
      <c r="H1542" s="9"/>
      <c r="I1542" s="9"/>
      <c r="J1542" s="9"/>
      <c r="K1542" s="9"/>
      <c r="L1542" s="9"/>
      <c r="M1542" s="9"/>
      <c r="N1542" s="9"/>
      <c r="O1542" s="9"/>
      <c r="P1542" s="9"/>
      <c r="Q1542" s="9"/>
      <c r="R1542" s="9"/>
      <c r="S1542" s="9"/>
      <c r="T1542" s="9"/>
      <c r="U1542" s="9"/>
      <c r="V1542" s="9"/>
      <c r="W1542" s="9"/>
      <c r="X1542" s="9"/>
      <c r="Y1542" s="9"/>
      <c r="Z1542" s="9"/>
      <c r="AA1542" s="9"/>
      <c r="AB1542" s="9"/>
      <c r="AC1542" s="9"/>
      <c r="AD1542" s="9"/>
      <c r="AE1542" s="9"/>
      <c r="AF1542" s="9"/>
      <c r="AG1542" s="9"/>
      <c r="AH1542" s="9"/>
      <c r="AI1542" s="9"/>
      <c r="AJ1542" s="9"/>
      <c r="AK1542" s="9"/>
      <c r="AL1542" s="9"/>
      <c r="AM1542" s="9"/>
      <c r="AN1542" s="9"/>
      <c r="AO1542" s="9"/>
      <c r="AP1542" s="9"/>
      <c r="AQ1542" s="9"/>
      <c r="AR1542" s="9"/>
      <c r="AS1542" s="9"/>
      <c r="AT1542" s="9"/>
      <c r="AU1542" s="9"/>
    </row>
    <row r="1543" spans="1:47" ht="15.75" customHeight="1">
      <c r="A1543" s="9"/>
      <c r="B1543" s="9"/>
      <c r="C1543" s="9"/>
      <c r="D1543" s="9"/>
      <c r="E1543" s="9"/>
      <c r="F1543" s="67"/>
      <c r="G1543" s="9"/>
      <c r="H1543" s="9"/>
      <c r="I1543" s="9"/>
      <c r="J1543" s="9"/>
      <c r="K1543" s="9"/>
      <c r="L1543" s="9"/>
      <c r="M1543" s="9"/>
      <c r="N1543" s="9"/>
      <c r="O1543" s="9"/>
      <c r="P1543" s="9"/>
      <c r="Q1543" s="9"/>
      <c r="R1543" s="9"/>
      <c r="S1543" s="9"/>
      <c r="T1543" s="9"/>
      <c r="U1543" s="9"/>
      <c r="V1543" s="9"/>
      <c r="W1543" s="9"/>
      <c r="X1543" s="9"/>
      <c r="Y1543" s="9"/>
      <c r="Z1543" s="9"/>
      <c r="AA1543" s="9"/>
      <c r="AB1543" s="9"/>
      <c r="AC1543" s="9"/>
      <c r="AD1543" s="9"/>
      <c r="AE1543" s="9"/>
      <c r="AF1543" s="9"/>
      <c r="AG1543" s="9"/>
      <c r="AH1543" s="9"/>
      <c r="AI1543" s="9"/>
      <c r="AJ1543" s="9"/>
      <c r="AK1543" s="9"/>
      <c r="AL1543" s="9"/>
      <c r="AM1543" s="9"/>
      <c r="AN1543" s="9"/>
      <c r="AO1543" s="9"/>
      <c r="AP1543" s="9"/>
      <c r="AQ1543" s="9"/>
      <c r="AR1543" s="9"/>
      <c r="AS1543" s="9"/>
      <c r="AT1543" s="9"/>
      <c r="AU1543" s="9"/>
    </row>
    <row r="1544" spans="1:47" ht="15.75" customHeight="1">
      <c r="A1544" s="9"/>
      <c r="B1544" s="9"/>
      <c r="C1544" s="9"/>
      <c r="D1544" s="9"/>
      <c r="E1544" s="9"/>
      <c r="F1544" s="67"/>
      <c r="G1544" s="9"/>
      <c r="H1544" s="9"/>
      <c r="I1544" s="9"/>
      <c r="J1544" s="9"/>
      <c r="K1544" s="9"/>
      <c r="L1544" s="9"/>
      <c r="M1544" s="9"/>
      <c r="N1544" s="9"/>
      <c r="O1544" s="9"/>
      <c r="P1544" s="9"/>
      <c r="Q1544" s="9"/>
      <c r="R1544" s="9"/>
      <c r="S1544" s="9"/>
      <c r="T1544" s="9"/>
      <c r="U1544" s="9"/>
      <c r="V1544" s="9"/>
      <c r="W1544" s="9"/>
      <c r="X1544" s="9"/>
      <c r="Y1544" s="9"/>
      <c r="Z1544" s="9"/>
      <c r="AA1544" s="9"/>
      <c r="AB1544" s="9"/>
      <c r="AC1544" s="9"/>
      <c r="AD1544" s="9"/>
      <c r="AE1544" s="9"/>
      <c r="AF1544" s="9"/>
      <c r="AG1544" s="9"/>
      <c r="AH1544" s="9"/>
      <c r="AI1544" s="9"/>
      <c r="AJ1544" s="9"/>
      <c r="AK1544" s="9"/>
      <c r="AL1544" s="9"/>
      <c r="AM1544" s="9"/>
      <c r="AN1544" s="9"/>
      <c r="AO1544" s="9"/>
      <c r="AP1544" s="9"/>
      <c r="AQ1544" s="9"/>
      <c r="AR1544" s="9"/>
      <c r="AS1544" s="9"/>
      <c r="AT1544" s="9"/>
      <c r="AU1544" s="9"/>
    </row>
    <row r="1545" spans="1:47" ht="15.75" customHeight="1">
      <c r="A1545" s="9"/>
      <c r="B1545" s="9"/>
      <c r="C1545" s="9"/>
      <c r="D1545" s="9"/>
      <c r="E1545" s="9"/>
      <c r="F1545" s="67"/>
      <c r="G1545" s="9"/>
      <c r="H1545" s="9"/>
      <c r="I1545" s="9"/>
      <c r="J1545" s="9"/>
      <c r="K1545" s="9"/>
      <c r="L1545" s="9"/>
      <c r="M1545" s="9"/>
      <c r="N1545" s="9"/>
      <c r="O1545" s="9"/>
      <c r="P1545" s="9"/>
      <c r="Q1545" s="9"/>
      <c r="R1545" s="9"/>
      <c r="S1545" s="9"/>
      <c r="T1545" s="9"/>
      <c r="U1545" s="9"/>
      <c r="V1545" s="9"/>
      <c r="W1545" s="9"/>
      <c r="X1545" s="9"/>
      <c r="Y1545" s="9"/>
      <c r="Z1545" s="9"/>
      <c r="AA1545" s="9"/>
      <c r="AB1545" s="9"/>
      <c r="AC1545" s="9"/>
      <c r="AD1545" s="9"/>
      <c r="AE1545" s="9"/>
      <c r="AF1545" s="9"/>
      <c r="AG1545" s="9"/>
      <c r="AH1545" s="9"/>
      <c r="AI1545" s="9"/>
      <c r="AJ1545" s="9"/>
      <c r="AK1545" s="9"/>
      <c r="AL1545" s="9"/>
      <c r="AM1545" s="9"/>
      <c r="AN1545" s="9"/>
      <c r="AO1545" s="9"/>
      <c r="AP1545" s="9"/>
      <c r="AQ1545" s="9"/>
      <c r="AR1545" s="9"/>
      <c r="AS1545" s="9"/>
      <c r="AT1545" s="9"/>
      <c r="AU1545" s="9"/>
    </row>
    <row r="1546" spans="1:47" ht="15.75" customHeight="1">
      <c r="A1546" s="9"/>
      <c r="B1546" s="9"/>
      <c r="C1546" s="9"/>
      <c r="D1546" s="9"/>
      <c r="E1546" s="9"/>
      <c r="F1546" s="67"/>
      <c r="G1546" s="9"/>
      <c r="H1546" s="9"/>
      <c r="I1546" s="9"/>
      <c r="J1546" s="9"/>
      <c r="K1546" s="9"/>
      <c r="L1546" s="9"/>
      <c r="M1546" s="9"/>
      <c r="N1546" s="9"/>
      <c r="O1546" s="9"/>
      <c r="P1546" s="9"/>
      <c r="Q1546" s="9"/>
      <c r="R1546" s="9"/>
      <c r="S1546" s="9"/>
      <c r="T1546" s="9"/>
      <c r="U1546" s="9"/>
      <c r="V1546" s="9"/>
      <c r="W1546" s="9"/>
      <c r="X1546" s="9"/>
      <c r="Y1546" s="9"/>
      <c r="Z1546" s="9"/>
      <c r="AA1546" s="9"/>
      <c r="AB1546" s="9"/>
      <c r="AC1546" s="9"/>
      <c r="AD1546" s="9"/>
      <c r="AE1546" s="9"/>
      <c r="AF1546" s="9"/>
      <c r="AG1546" s="9"/>
      <c r="AH1546" s="9"/>
      <c r="AI1546" s="9"/>
      <c r="AJ1546" s="9"/>
      <c r="AK1546" s="9"/>
      <c r="AL1546" s="9"/>
      <c r="AM1546" s="9"/>
      <c r="AN1546" s="9"/>
      <c r="AO1546" s="9"/>
      <c r="AP1546" s="9"/>
      <c r="AQ1546" s="9"/>
      <c r="AR1546" s="9"/>
      <c r="AS1546" s="9"/>
      <c r="AT1546" s="9"/>
      <c r="AU1546" s="9"/>
    </row>
    <row r="1547" spans="1:47" ht="15.75" customHeight="1">
      <c r="A1547" s="9"/>
      <c r="B1547" s="9"/>
      <c r="C1547" s="9"/>
      <c r="D1547" s="9"/>
      <c r="E1547" s="9"/>
      <c r="F1547" s="67"/>
      <c r="G1547" s="9"/>
      <c r="H1547" s="9"/>
      <c r="I1547" s="9"/>
      <c r="J1547" s="9"/>
      <c r="K1547" s="9"/>
      <c r="L1547" s="9"/>
      <c r="M1547" s="9"/>
      <c r="N1547" s="9"/>
      <c r="O1547" s="9"/>
      <c r="P1547" s="9"/>
      <c r="Q1547" s="9"/>
      <c r="R1547" s="9"/>
      <c r="S1547" s="9"/>
      <c r="T1547" s="9"/>
      <c r="U1547" s="9"/>
      <c r="V1547" s="9"/>
      <c r="W1547" s="9"/>
      <c r="X1547" s="9"/>
      <c r="Y1547" s="9"/>
      <c r="Z1547" s="9"/>
      <c r="AA1547" s="9"/>
      <c r="AB1547" s="9"/>
      <c r="AC1547" s="9"/>
      <c r="AD1547" s="9"/>
      <c r="AE1547" s="9"/>
      <c r="AF1547" s="9"/>
      <c r="AG1547" s="9"/>
      <c r="AH1547" s="9"/>
      <c r="AI1547" s="9"/>
      <c r="AJ1547" s="9"/>
      <c r="AK1547" s="9"/>
      <c r="AL1547" s="9"/>
      <c r="AM1547" s="9"/>
      <c r="AN1547" s="9"/>
      <c r="AO1547" s="9"/>
      <c r="AP1547" s="9"/>
      <c r="AQ1547" s="9"/>
      <c r="AR1547" s="9"/>
      <c r="AS1547" s="9"/>
      <c r="AT1547" s="9"/>
      <c r="AU1547" s="9"/>
    </row>
    <row r="1548" spans="1:47" ht="15.75" customHeight="1">
      <c r="A1548" s="9"/>
      <c r="B1548" s="9"/>
      <c r="C1548" s="9"/>
      <c r="D1548" s="9"/>
      <c r="E1548" s="9"/>
      <c r="F1548" s="67"/>
      <c r="G1548" s="9"/>
      <c r="H1548" s="9"/>
      <c r="I1548" s="9"/>
      <c r="J1548" s="9"/>
      <c r="K1548" s="9"/>
      <c r="L1548" s="9"/>
      <c r="M1548" s="9"/>
      <c r="N1548" s="9"/>
      <c r="O1548" s="9"/>
      <c r="P1548" s="9"/>
      <c r="Q1548" s="9"/>
      <c r="R1548" s="9"/>
      <c r="S1548" s="9"/>
      <c r="T1548" s="9"/>
      <c r="U1548" s="9"/>
      <c r="V1548" s="9"/>
      <c r="W1548" s="9"/>
      <c r="X1548" s="9"/>
      <c r="Y1548" s="9"/>
      <c r="Z1548" s="9"/>
      <c r="AA1548" s="9"/>
      <c r="AB1548" s="9"/>
      <c r="AC1548" s="9"/>
      <c r="AD1548" s="9"/>
      <c r="AE1548" s="9"/>
      <c r="AF1548" s="9"/>
      <c r="AG1548" s="9"/>
      <c r="AH1548" s="9"/>
      <c r="AI1548" s="9"/>
      <c r="AJ1548" s="9"/>
      <c r="AK1548" s="9"/>
      <c r="AL1548" s="9"/>
      <c r="AM1548" s="9"/>
      <c r="AN1548" s="9"/>
      <c r="AO1548" s="9"/>
      <c r="AP1548" s="9"/>
      <c r="AQ1548" s="9"/>
      <c r="AR1548" s="9"/>
      <c r="AS1548" s="9"/>
      <c r="AT1548" s="9"/>
      <c r="AU1548" s="9"/>
    </row>
    <row r="1549" spans="1:47" ht="15.75" customHeight="1">
      <c r="A1549" s="9"/>
      <c r="B1549" s="9"/>
      <c r="C1549" s="9"/>
      <c r="D1549" s="9"/>
      <c r="E1549" s="9"/>
      <c r="F1549" s="67"/>
      <c r="G1549" s="9"/>
      <c r="H1549" s="9"/>
      <c r="I1549" s="9"/>
      <c r="J1549" s="9"/>
      <c r="K1549" s="9"/>
      <c r="L1549" s="9"/>
      <c r="M1549" s="9"/>
      <c r="N1549" s="9"/>
      <c r="O1549" s="9"/>
      <c r="P1549" s="9"/>
      <c r="Q1549" s="9"/>
      <c r="R1549" s="9"/>
      <c r="S1549" s="9"/>
      <c r="T1549" s="9"/>
      <c r="U1549" s="9"/>
      <c r="V1549" s="9"/>
      <c r="W1549" s="9"/>
      <c r="X1549" s="9"/>
      <c r="Y1549" s="9"/>
      <c r="Z1549" s="9"/>
      <c r="AA1549" s="9"/>
      <c r="AB1549" s="9"/>
      <c r="AC1549" s="9"/>
      <c r="AD1549" s="9"/>
      <c r="AE1549" s="9"/>
      <c r="AF1549" s="9"/>
      <c r="AG1549" s="9"/>
      <c r="AH1549" s="9"/>
      <c r="AI1549" s="9"/>
      <c r="AJ1549" s="9"/>
      <c r="AK1549" s="9"/>
      <c r="AL1549" s="9"/>
      <c r="AM1549" s="9"/>
      <c r="AN1549" s="9"/>
      <c r="AO1549" s="9"/>
      <c r="AP1549" s="9"/>
      <c r="AQ1549" s="9"/>
      <c r="AR1549" s="9"/>
      <c r="AS1549" s="9"/>
      <c r="AT1549" s="9"/>
      <c r="AU1549" s="9"/>
    </row>
    <row r="1550" spans="1:47" ht="15.75" customHeight="1">
      <c r="A1550" s="9"/>
      <c r="B1550" s="9"/>
      <c r="C1550" s="9"/>
      <c r="D1550" s="9"/>
      <c r="E1550" s="9"/>
      <c r="F1550" s="67"/>
      <c r="G1550" s="9"/>
      <c r="H1550" s="9"/>
      <c r="I1550" s="9"/>
      <c r="J1550" s="9"/>
      <c r="K1550" s="9"/>
      <c r="L1550" s="9"/>
      <c r="M1550" s="9"/>
      <c r="N1550" s="9"/>
      <c r="O1550" s="9"/>
      <c r="P1550" s="9"/>
      <c r="Q1550" s="9"/>
      <c r="R1550" s="9"/>
      <c r="S1550" s="9"/>
      <c r="T1550" s="9"/>
      <c r="U1550" s="9"/>
      <c r="V1550" s="9"/>
      <c r="W1550" s="9"/>
      <c r="X1550" s="9"/>
      <c r="Y1550" s="9"/>
      <c r="Z1550" s="9"/>
      <c r="AA1550" s="9"/>
      <c r="AB1550" s="9"/>
      <c r="AC1550" s="9"/>
      <c r="AD1550" s="9"/>
      <c r="AE1550" s="9"/>
      <c r="AF1550" s="9"/>
      <c r="AG1550" s="9"/>
      <c r="AH1550" s="9"/>
      <c r="AI1550" s="9"/>
      <c r="AJ1550" s="9"/>
      <c r="AK1550" s="9"/>
      <c r="AL1550" s="9"/>
      <c r="AM1550" s="9"/>
      <c r="AN1550" s="9"/>
      <c r="AO1550" s="9"/>
      <c r="AP1550" s="9"/>
      <c r="AQ1550" s="9"/>
      <c r="AR1550" s="9"/>
      <c r="AS1550" s="9"/>
      <c r="AT1550" s="9"/>
      <c r="AU1550" s="9"/>
    </row>
    <row r="1551" spans="1:47" ht="15.75" customHeight="1">
      <c r="A1551" s="9"/>
      <c r="B1551" s="9"/>
      <c r="C1551" s="9"/>
      <c r="D1551" s="9"/>
      <c r="E1551" s="9"/>
      <c r="F1551" s="67"/>
      <c r="G1551" s="9"/>
      <c r="H1551" s="9"/>
      <c r="I1551" s="9"/>
      <c r="J1551" s="9"/>
      <c r="K1551" s="9"/>
      <c r="L1551" s="9"/>
      <c r="M1551" s="9"/>
      <c r="N1551" s="9"/>
      <c r="O1551" s="9"/>
      <c r="P1551" s="9"/>
      <c r="Q1551" s="9"/>
      <c r="R1551" s="9"/>
      <c r="S1551" s="9"/>
      <c r="T1551" s="9"/>
      <c r="U1551" s="9"/>
      <c r="V1551" s="9"/>
      <c r="W1551" s="9"/>
      <c r="X1551" s="9"/>
      <c r="Y1551" s="9"/>
      <c r="Z1551" s="9"/>
      <c r="AA1551" s="9"/>
      <c r="AB1551" s="9"/>
      <c r="AC1551" s="9"/>
      <c r="AD1551" s="9"/>
      <c r="AE1551" s="9"/>
      <c r="AF1551" s="9"/>
      <c r="AG1551" s="9"/>
      <c r="AH1551" s="9"/>
      <c r="AI1551" s="9"/>
      <c r="AJ1551" s="9"/>
      <c r="AK1551" s="9"/>
      <c r="AL1551" s="9"/>
      <c r="AM1551" s="9"/>
      <c r="AN1551" s="9"/>
      <c r="AO1551" s="9"/>
      <c r="AP1551" s="9"/>
      <c r="AQ1551" s="9"/>
      <c r="AR1551" s="9"/>
      <c r="AS1551" s="9"/>
      <c r="AT1551" s="9"/>
      <c r="AU1551" s="9"/>
    </row>
    <row r="1552" spans="1:47" ht="15.75" customHeight="1">
      <c r="A1552" s="9"/>
      <c r="B1552" s="9"/>
      <c r="C1552" s="9"/>
      <c r="D1552" s="9"/>
      <c r="E1552" s="9"/>
      <c r="F1552" s="67"/>
      <c r="G1552" s="9"/>
      <c r="H1552" s="9"/>
      <c r="I1552" s="9"/>
      <c r="J1552" s="9"/>
      <c r="K1552" s="9"/>
      <c r="L1552" s="9"/>
      <c r="M1552" s="9"/>
      <c r="N1552" s="9"/>
      <c r="O1552" s="9"/>
      <c r="P1552" s="9"/>
      <c r="Q1552" s="9"/>
      <c r="R1552" s="9"/>
      <c r="S1552" s="9"/>
      <c r="T1552" s="9"/>
      <c r="U1552" s="9"/>
      <c r="V1552" s="9"/>
      <c r="W1552" s="9"/>
      <c r="X1552" s="9"/>
      <c r="Y1552" s="9"/>
      <c r="Z1552" s="9"/>
      <c r="AA1552" s="9"/>
      <c r="AB1552" s="9"/>
      <c r="AC1552" s="9"/>
      <c r="AD1552" s="9"/>
      <c r="AE1552" s="9"/>
      <c r="AF1552" s="9"/>
      <c r="AG1552" s="9"/>
      <c r="AH1552" s="9"/>
      <c r="AI1552" s="9"/>
      <c r="AJ1552" s="9"/>
      <c r="AK1552" s="9"/>
      <c r="AL1552" s="9"/>
      <c r="AM1552" s="9"/>
      <c r="AN1552" s="9"/>
      <c r="AO1552" s="9"/>
      <c r="AP1552" s="9"/>
      <c r="AQ1552" s="9"/>
      <c r="AR1552" s="9"/>
      <c r="AS1552" s="9"/>
      <c r="AT1552" s="9"/>
      <c r="AU1552" s="9"/>
    </row>
    <row r="1553" spans="1:47" ht="15.75" customHeight="1">
      <c r="A1553" s="9"/>
      <c r="B1553" s="9"/>
      <c r="C1553" s="9"/>
      <c r="D1553" s="9"/>
      <c r="E1553" s="9"/>
      <c r="F1553" s="67"/>
      <c r="G1553" s="9"/>
      <c r="H1553" s="9"/>
      <c r="I1553" s="9"/>
      <c r="J1553" s="9"/>
      <c r="K1553" s="9"/>
      <c r="L1553" s="9"/>
      <c r="M1553" s="9"/>
      <c r="N1553" s="9"/>
      <c r="O1553" s="9"/>
      <c r="P1553" s="9"/>
      <c r="Q1553" s="9"/>
      <c r="R1553" s="9"/>
      <c r="S1553" s="9"/>
      <c r="T1553" s="9"/>
      <c r="U1553" s="9"/>
      <c r="V1553" s="9"/>
      <c r="W1553" s="9"/>
      <c r="X1553" s="9"/>
      <c r="Y1553" s="9"/>
      <c r="Z1553" s="9"/>
      <c r="AA1553" s="9"/>
      <c r="AB1553" s="9"/>
      <c r="AC1553" s="9"/>
      <c r="AD1553" s="9"/>
      <c r="AE1553" s="9"/>
      <c r="AF1553" s="9"/>
      <c r="AG1553" s="9"/>
      <c r="AH1553" s="9"/>
      <c r="AI1553" s="9"/>
      <c r="AJ1553" s="9"/>
      <c r="AK1553" s="9"/>
      <c r="AL1553" s="9"/>
      <c r="AM1553" s="9"/>
      <c r="AN1553" s="9"/>
      <c r="AO1553" s="9"/>
      <c r="AP1553" s="9"/>
      <c r="AQ1553" s="9"/>
      <c r="AR1553" s="9"/>
      <c r="AS1553" s="9"/>
      <c r="AT1553" s="9"/>
      <c r="AU1553" s="9"/>
    </row>
    <row r="1554" spans="1:47" ht="15.75" customHeight="1">
      <c r="A1554" s="9"/>
      <c r="B1554" s="9"/>
      <c r="C1554" s="9"/>
      <c r="D1554" s="9"/>
      <c r="E1554" s="9"/>
      <c r="F1554" s="67"/>
      <c r="G1554" s="9"/>
      <c r="H1554" s="9"/>
      <c r="I1554" s="9"/>
      <c r="J1554" s="9"/>
      <c r="K1554" s="9"/>
      <c r="L1554" s="9"/>
      <c r="M1554" s="9"/>
      <c r="N1554" s="9"/>
      <c r="O1554" s="9"/>
      <c r="P1554" s="9"/>
      <c r="Q1554" s="9"/>
      <c r="R1554" s="9"/>
      <c r="S1554" s="9"/>
      <c r="T1554" s="9"/>
      <c r="U1554" s="9"/>
      <c r="V1554" s="9"/>
      <c r="W1554" s="9"/>
      <c r="X1554" s="9"/>
      <c r="Y1554" s="9"/>
      <c r="Z1554" s="9"/>
      <c r="AA1554" s="9"/>
      <c r="AB1554" s="9"/>
      <c r="AC1554" s="9"/>
      <c r="AD1554" s="9"/>
      <c r="AE1554" s="9"/>
      <c r="AF1554" s="9"/>
      <c r="AG1554" s="9"/>
      <c r="AH1554" s="9"/>
      <c r="AI1554" s="9"/>
      <c r="AJ1554" s="9"/>
      <c r="AK1554" s="9"/>
      <c r="AL1554" s="9"/>
      <c r="AM1554" s="9"/>
      <c r="AN1554" s="9"/>
      <c r="AO1554" s="9"/>
      <c r="AP1554" s="9"/>
      <c r="AQ1554" s="9"/>
      <c r="AR1554" s="9"/>
      <c r="AS1554" s="9"/>
      <c r="AT1554" s="9"/>
      <c r="AU1554" s="9"/>
    </row>
    <row r="1555" spans="1:47" ht="15.75" customHeight="1">
      <c r="A1555" s="9"/>
      <c r="B1555" s="9"/>
      <c r="C1555" s="9"/>
      <c r="D1555" s="9"/>
      <c r="E1555" s="9"/>
      <c r="F1555" s="67"/>
      <c r="G1555" s="9"/>
      <c r="H1555" s="9"/>
      <c r="I1555" s="9"/>
      <c r="J1555" s="9"/>
      <c r="K1555" s="9"/>
      <c r="L1555" s="9"/>
      <c r="M1555" s="9"/>
      <c r="N1555" s="9"/>
      <c r="O1555" s="9"/>
      <c r="P1555" s="9"/>
      <c r="Q1555" s="9"/>
      <c r="R1555" s="9"/>
      <c r="S1555" s="9"/>
      <c r="T1555" s="9"/>
      <c r="U1555" s="9"/>
      <c r="V1555" s="9"/>
      <c r="W1555" s="9"/>
      <c r="X1555" s="9"/>
      <c r="Y1555" s="9"/>
      <c r="Z1555" s="9"/>
      <c r="AA1555" s="9"/>
      <c r="AB1555" s="9"/>
      <c r="AC1555" s="9"/>
      <c r="AD1555" s="9"/>
      <c r="AE1555" s="9"/>
      <c r="AF1555" s="9"/>
      <c r="AG1555" s="9"/>
      <c r="AH1555" s="9"/>
      <c r="AI1555" s="9"/>
      <c r="AJ1555" s="9"/>
      <c r="AK1555" s="9"/>
      <c r="AL1555" s="9"/>
      <c r="AM1555" s="9"/>
      <c r="AN1555" s="9"/>
      <c r="AO1555" s="9"/>
      <c r="AP1555" s="9"/>
      <c r="AQ1555" s="9"/>
      <c r="AR1555" s="9"/>
      <c r="AS1555" s="9"/>
      <c r="AT1555" s="9"/>
      <c r="AU1555" s="9"/>
    </row>
    <row r="1556" spans="1:47" ht="15.75" customHeight="1">
      <c r="A1556" s="9"/>
      <c r="B1556" s="9"/>
      <c r="C1556" s="9"/>
      <c r="D1556" s="9"/>
      <c r="E1556" s="9"/>
      <c r="F1556" s="67"/>
      <c r="G1556" s="9"/>
      <c r="H1556" s="9"/>
      <c r="I1556" s="9"/>
      <c r="J1556" s="9"/>
      <c r="K1556" s="9"/>
      <c r="L1556" s="9"/>
      <c r="M1556" s="9"/>
      <c r="N1556" s="9"/>
      <c r="O1556" s="9"/>
      <c r="P1556" s="9"/>
      <c r="Q1556" s="9"/>
      <c r="R1556" s="9"/>
      <c r="S1556" s="9"/>
      <c r="T1556" s="9"/>
      <c r="U1556" s="9"/>
      <c r="V1556" s="9"/>
      <c r="W1556" s="9"/>
      <c r="X1556" s="9"/>
      <c r="Y1556" s="9"/>
      <c r="Z1556" s="9"/>
      <c r="AA1556" s="9"/>
      <c r="AB1556" s="9"/>
      <c r="AC1556" s="9"/>
      <c r="AD1556" s="9"/>
      <c r="AE1556" s="9"/>
      <c r="AF1556" s="9"/>
      <c r="AG1556" s="9"/>
      <c r="AH1556" s="9"/>
      <c r="AI1556" s="9"/>
      <c r="AJ1556" s="9"/>
      <c r="AK1556" s="9"/>
      <c r="AL1556" s="9"/>
      <c r="AM1556" s="9"/>
      <c r="AN1556" s="9"/>
      <c r="AO1556" s="9"/>
      <c r="AP1556" s="9"/>
      <c r="AQ1556" s="9"/>
      <c r="AR1556" s="9"/>
      <c r="AS1556" s="9"/>
      <c r="AT1556" s="9"/>
      <c r="AU1556" s="9"/>
    </row>
    <row r="1557" spans="1:47" ht="15.75" customHeight="1">
      <c r="A1557" s="9"/>
      <c r="B1557" s="9"/>
      <c r="C1557" s="9"/>
      <c r="D1557" s="9"/>
      <c r="E1557" s="9"/>
      <c r="F1557" s="67"/>
      <c r="G1557" s="9"/>
      <c r="H1557" s="9"/>
      <c r="I1557" s="9"/>
      <c r="J1557" s="9"/>
      <c r="K1557" s="9"/>
      <c r="L1557" s="9"/>
      <c r="M1557" s="9"/>
      <c r="N1557" s="9"/>
      <c r="O1557" s="9"/>
      <c r="P1557" s="9"/>
      <c r="Q1557" s="9"/>
      <c r="R1557" s="9"/>
      <c r="S1557" s="9"/>
      <c r="T1557" s="9"/>
      <c r="U1557" s="9"/>
      <c r="V1557" s="9"/>
      <c r="W1557" s="9"/>
      <c r="X1557" s="9"/>
      <c r="Y1557" s="9"/>
      <c r="Z1557" s="9"/>
      <c r="AA1557" s="9"/>
      <c r="AB1557" s="9"/>
      <c r="AC1557" s="9"/>
      <c r="AD1557" s="9"/>
      <c r="AE1557" s="9"/>
      <c r="AF1557" s="9"/>
      <c r="AG1557" s="9"/>
      <c r="AH1557" s="9"/>
      <c r="AI1557" s="9"/>
      <c r="AJ1557" s="9"/>
      <c r="AK1557" s="9"/>
      <c r="AL1557" s="9"/>
      <c r="AM1557" s="9"/>
      <c r="AN1557" s="9"/>
      <c r="AO1557" s="9"/>
      <c r="AP1557" s="9"/>
      <c r="AQ1557" s="9"/>
      <c r="AR1557" s="9"/>
      <c r="AS1557" s="9"/>
      <c r="AT1557" s="9"/>
      <c r="AU1557" s="9"/>
    </row>
    <row r="1558" spans="1:47" ht="15.75" customHeight="1">
      <c r="A1558" s="9"/>
      <c r="B1558" s="9"/>
      <c r="C1558" s="9"/>
      <c r="D1558" s="9"/>
      <c r="E1558" s="9"/>
      <c r="F1558" s="67"/>
      <c r="G1558" s="9"/>
      <c r="H1558" s="9"/>
      <c r="I1558" s="9"/>
      <c r="J1558" s="9"/>
      <c r="K1558" s="9"/>
      <c r="L1558" s="9"/>
      <c r="M1558" s="9"/>
      <c r="N1558" s="9"/>
      <c r="O1558" s="9"/>
      <c r="P1558" s="9"/>
      <c r="Q1558" s="9"/>
      <c r="R1558" s="9"/>
      <c r="S1558" s="9"/>
      <c r="T1558" s="9"/>
      <c r="U1558" s="9"/>
      <c r="V1558" s="9"/>
      <c r="W1558" s="9"/>
      <c r="X1558" s="9"/>
      <c r="Y1558" s="9"/>
      <c r="Z1558" s="9"/>
      <c r="AA1558" s="9"/>
      <c r="AB1558" s="9"/>
      <c r="AC1558" s="9"/>
      <c r="AD1558" s="9"/>
      <c r="AE1558" s="9"/>
      <c r="AF1558" s="9"/>
      <c r="AG1558" s="9"/>
      <c r="AH1558" s="9"/>
      <c r="AI1558" s="9"/>
      <c r="AJ1558" s="9"/>
      <c r="AK1558" s="9"/>
      <c r="AL1558" s="9"/>
      <c r="AM1558" s="9"/>
      <c r="AN1558" s="9"/>
      <c r="AO1558" s="9"/>
      <c r="AP1558" s="9"/>
      <c r="AQ1558" s="9"/>
      <c r="AR1558" s="9"/>
      <c r="AS1558" s="9"/>
      <c r="AT1558" s="9"/>
      <c r="AU1558" s="9"/>
    </row>
    <row r="1559" spans="1:47" ht="15.75" customHeight="1">
      <c r="A1559" s="9"/>
      <c r="B1559" s="9"/>
      <c r="C1559" s="9"/>
      <c r="D1559" s="9"/>
      <c r="E1559" s="9"/>
      <c r="F1559" s="67"/>
      <c r="G1559" s="9"/>
      <c r="H1559" s="9"/>
      <c r="I1559" s="9"/>
      <c r="J1559" s="9"/>
      <c r="K1559" s="9"/>
      <c r="L1559" s="9"/>
      <c r="M1559" s="9"/>
      <c r="N1559" s="9"/>
      <c r="O1559" s="9"/>
      <c r="P1559" s="9"/>
      <c r="Q1559" s="9"/>
      <c r="R1559" s="9"/>
      <c r="S1559" s="9"/>
      <c r="T1559" s="9"/>
      <c r="U1559" s="9"/>
      <c r="V1559" s="9"/>
      <c r="W1559" s="9"/>
      <c r="X1559" s="9"/>
      <c r="Y1559" s="9"/>
      <c r="Z1559" s="9"/>
      <c r="AA1559" s="9"/>
      <c r="AB1559" s="9"/>
      <c r="AC1559" s="9"/>
      <c r="AD1559" s="9"/>
      <c r="AE1559" s="9"/>
      <c r="AF1559" s="9"/>
      <c r="AG1559" s="9"/>
      <c r="AH1559" s="9"/>
      <c r="AI1559" s="9"/>
      <c r="AJ1559" s="9"/>
      <c r="AK1559" s="9"/>
      <c r="AL1559" s="9"/>
      <c r="AM1559" s="9"/>
      <c r="AN1559" s="9"/>
      <c r="AO1559" s="9"/>
      <c r="AP1559" s="9"/>
      <c r="AQ1559" s="9"/>
      <c r="AR1559" s="9"/>
      <c r="AS1559" s="9"/>
      <c r="AT1559" s="9"/>
      <c r="AU1559" s="9"/>
    </row>
    <row r="1560" spans="1:47" ht="15.75" customHeight="1">
      <c r="A1560" s="9"/>
      <c r="B1560" s="9"/>
      <c r="C1560" s="9"/>
      <c r="D1560" s="9"/>
      <c r="E1560" s="9"/>
      <c r="F1560" s="67"/>
      <c r="G1560" s="9"/>
      <c r="H1560" s="9"/>
      <c r="I1560" s="9"/>
      <c r="J1560" s="9"/>
      <c r="K1560" s="9"/>
      <c r="L1560" s="9"/>
      <c r="M1560" s="9"/>
      <c r="N1560" s="9"/>
      <c r="O1560" s="9"/>
      <c r="P1560" s="9"/>
      <c r="Q1560" s="9"/>
      <c r="R1560" s="9"/>
      <c r="S1560" s="9"/>
      <c r="T1560" s="9"/>
      <c r="U1560" s="9"/>
      <c r="V1560" s="9"/>
      <c r="W1560" s="9"/>
      <c r="X1560" s="9"/>
      <c r="Y1560" s="9"/>
      <c r="Z1560" s="9"/>
      <c r="AA1560" s="9"/>
      <c r="AB1560" s="9"/>
      <c r="AC1560" s="9"/>
      <c r="AD1560" s="9"/>
      <c r="AE1560" s="9"/>
      <c r="AF1560" s="9"/>
      <c r="AG1560" s="9"/>
      <c r="AH1560" s="9"/>
      <c r="AI1560" s="9"/>
      <c r="AJ1560" s="9"/>
      <c r="AK1560" s="9"/>
      <c r="AL1560" s="9"/>
      <c r="AM1560" s="9"/>
      <c r="AN1560" s="9"/>
      <c r="AO1560" s="9"/>
      <c r="AP1560" s="9"/>
      <c r="AQ1560" s="9"/>
      <c r="AR1560" s="9"/>
      <c r="AS1560" s="9"/>
      <c r="AT1560" s="9"/>
      <c r="AU1560" s="9"/>
    </row>
    <row r="1561" spans="1:47" ht="15.75" customHeight="1">
      <c r="A1561" s="9"/>
      <c r="B1561" s="9"/>
      <c r="C1561" s="9"/>
      <c r="D1561" s="9"/>
      <c r="E1561" s="9"/>
      <c r="F1561" s="67"/>
      <c r="G1561" s="9"/>
      <c r="H1561" s="9"/>
      <c r="I1561" s="9"/>
      <c r="J1561" s="9"/>
      <c r="K1561" s="9"/>
      <c r="L1561" s="9"/>
      <c r="M1561" s="9"/>
      <c r="N1561" s="9"/>
      <c r="O1561" s="9"/>
      <c r="P1561" s="9"/>
      <c r="Q1561" s="9"/>
      <c r="R1561" s="9"/>
      <c r="S1561" s="9"/>
      <c r="T1561" s="9"/>
      <c r="U1561" s="9"/>
      <c r="V1561" s="9"/>
      <c r="W1561" s="9"/>
      <c r="X1561" s="9"/>
      <c r="Y1561" s="9"/>
      <c r="Z1561" s="9"/>
      <c r="AA1561" s="9"/>
      <c r="AB1561" s="9"/>
      <c r="AC1561" s="9"/>
      <c r="AD1561" s="9"/>
      <c r="AE1561" s="9"/>
      <c r="AF1561" s="9"/>
      <c r="AG1561" s="9"/>
      <c r="AH1561" s="9"/>
      <c r="AI1561" s="9"/>
      <c r="AJ1561" s="9"/>
      <c r="AK1561" s="9"/>
      <c r="AL1561" s="9"/>
      <c r="AM1561" s="9"/>
      <c r="AN1561" s="9"/>
      <c r="AO1561" s="9"/>
      <c r="AP1561" s="9"/>
      <c r="AQ1561" s="9"/>
      <c r="AR1561" s="9"/>
      <c r="AS1561" s="9"/>
      <c r="AT1561" s="9"/>
      <c r="AU1561" s="9"/>
    </row>
    <row r="1562" spans="1:47" ht="15.75" customHeight="1">
      <c r="A1562" s="9"/>
      <c r="B1562" s="9"/>
      <c r="C1562" s="9"/>
      <c r="D1562" s="9"/>
      <c r="E1562" s="9"/>
      <c r="F1562" s="67"/>
      <c r="G1562" s="9"/>
      <c r="H1562" s="9"/>
      <c r="I1562" s="9"/>
      <c r="J1562" s="9"/>
      <c r="K1562" s="9"/>
      <c r="L1562" s="9"/>
      <c r="M1562" s="9"/>
      <c r="N1562" s="9"/>
      <c r="O1562" s="9"/>
      <c r="P1562" s="9"/>
      <c r="Q1562" s="9"/>
      <c r="R1562" s="9"/>
      <c r="S1562" s="9"/>
      <c r="T1562" s="9"/>
      <c r="U1562" s="9"/>
      <c r="V1562" s="9"/>
      <c r="W1562" s="9"/>
      <c r="X1562" s="9"/>
      <c r="Y1562" s="9"/>
      <c r="Z1562" s="9"/>
      <c r="AA1562" s="9"/>
      <c r="AB1562" s="9"/>
      <c r="AC1562" s="9"/>
      <c r="AD1562" s="9"/>
      <c r="AE1562" s="9"/>
      <c r="AF1562" s="9"/>
      <c r="AG1562" s="9"/>
      <c r="AH1562" s="9"/>
      <c r="AI1562" s="9"/>
      <c r="AJ1562" s="9"/>
      <c r="AK1562" s="9"/>
      <c r="AL1562" s="9"/>
      <c r="AM1562" s="9"/>
      <c r="AN1562" s="9"/>
      <c r="AO1562" s="9"/>
      <c r="AP1562" s="9"/>
      <c r="AQ1562" s="9"/>
      <c r="AR1562" s="9"/>
      <c r="AS1562" s="9"/>
      <c r="AT1562" s="9"/>
      <c r="AU1562" s="9"/>
    </row>
    <row r="1563" spans="1:47" ht="15.75" customHeight="1">
      <c r="A1563" s="9"/>
      <c r="B1563" s="9"/>
      <c r="C1563" s="9"/>
      <c r="D1563" s="9"/>
      <c r="E1563" s="9"/>
      <c r="F1563" s="67"/>
      <c r="G1563" s="9"/>
      <c r="H1563" s="9"/>
      <c r="I1563" s="9"/>
      <c r="J1563" s="9"/>
      <c r="K1563" s="9"/>
      <c r="L1563" s="9"/>
      <c r="M1563" s="9"/>
      <c r="N1563" s="9"/>
      <c r="O1563" s="9"/>
      <c r="P1563" s="9"/>
      <c r="Q1563" s="9"/>
      <c r="R1563" s="9"/>
      <c r="S1563" s="9"/>
      <c r="T1563" s="9"/>
      <c r="U1563" s="9"/>
      <c r="V1563" s="9"/>
      <c r="W1563" s="9"/>
      <c r="X1563" s="9"/>
      <c r="Y1563" s="9"/>
      <c r="Z1563" s="9"/>
      <c r="AA1563" s="9"/>
      <c r="AB1563" s="9"/>
      <c r="AC1563" s="9"/>
      <c r="AD1563" s="9"/>
      <c r="AE1563" s="9"/>
      <c r="AF1563" s="9"/>
      <c r="AG1563" s="9"/>
      <c r="AH1563" s="9"/>
      <c r="AI1563" s="9"/>
      <c r="AJ1563" s="9"/>
      <c r="AK1563" s="9"/>
      <c r="AL1563" s="9"/>
      <c r="AM1563" s="9"/>
      <c r="AN1563" s="9"/>
      <c r="AO1563" s="9"/>
      <c r="AP1563" s="9"/>
      <c r="AQ1563" s="9"/>
      <c r="AR1563" s="9"/>
      <c r="AS1563" s="9"/>
      <c r="AT1563" s="9"/>
      <c r="AU1563" s="9"/>
    </row>
    <row r="1564" spans="1:47" ht="15.75" customHeight="1">
      <c r="A1564" s="9"/>
      <c r="B1564" s="9"/>
      <c r="C1564" s="9"/>
      <c r="D1564" s="9"/>
      <c r="E1564" s="9"/>
      <c r="F1564" s="67"/>
      <c r="G1564" s="9"/>
      <c r="H1564" s="9"/>
      <c r="I1564" s="9"/>
      <c r="J1564" s="9"/>
      <c r="K1564" s="9"/>
      <c r="L1564" s="9"/>
      <c r="M1564" s="9"/>
      <c r="N1564" s="9"/>
      <c r="O1564" s="9"/>
      <c r="P1564" s="9"/>
      <c r="Q1564" s="9"/>
      <c r="R1564" s="9"/>
      <c r="S1564" s="9"/>
      <c r="T1564" s="9"/>
      <c r="U1564" s="9"/>
      <c r="V1564" s="9"/>
      <c r="W1564" s="9"/>
      <c r="X1564" s="9"/>
      <c r="Y1564" s="9"/>
      <c r="Z1564" s="9"/>
      <c r="AA1564" s="9"/>
      <c r="AB1564" s="9"/>
      <c r="AC1564" s="9"/>
      <c r="AD1564" s="9"/>
      <c r="AE1564" s="9"/>
      <c r="AF1564" s="9"/>
      <c r="AG1564" s="9"/>
      <c r="AH1564" s="9"/>
      <c r="AI1564" s="9"/>
      <c r="AJ1564" s="9"/>
      <c r="AK1564" s="9"/>
      <c r="AL1564" s="9"/>
      <c r="AM1564" s="9"/>
      <c r="AN1564" s="9"/>
      <c r="AO1564" s="9"/>
      <c r="AP1564" s="9"/>
      <c r="AQ1564" s="9"/>
      <c r="AR1564" s="9"/>
      <c r="AS1564" s="9"/>
      <c r="AT1564" s="9"/>
      <c r="AU1564" s="9"/>
    </row>
    <row r="1565" spans="1:47" ht="15.75" customHeight="1">
      <c r="A1565" s="9"/>
      <c r="B1565" s="9"/>
      <c r="C1565" s="9"/>
      <c r="D1565" s="9"/>
      <c r="E1565" s="9"/>
      <c r="F1565" s="67"/>
      <c r="G1565" s="9"/>
      <c r="H1565" s="9"/>
      <c r="I1565" s="9"/>
      <c r="J1565" s="9"/>
      <c r="K1565" s="9"/>
      <c r="L1565" s="9"/>
      <c r="M1565" s="9"/>
      <c r="N1565" s="9"/>
      <c r="O1565" s="9"/>
      <c r="P1565" s="9"/>
      <c r="Q1565" s="9"/>
      <c r="R1565" s="9"/>
      <c r="S1565" s="9"/>
      <c r="T1565" s="9"/>
      <c r="U1565" s="9"/>
      <c r="V1565" s="9"/>
      <c r="W1565" s="9"/>
      <c r="X1565" s="9"/>
      <c r="Y1565" s="9"/>
      <c r="Z1565" s="9"/>
      <c r="AA1565" s="9"/>
      <c r="AB1565" s="9"/>
      <c r="AC1565" s="9"/>
      <c r="AD1565" s="9"/>
      <c r="AE1565" s="9"/>
      <c r="AF1565" s="9"/>
      <c r="AG1565" s="9"/>
      <c r="AH1565" s="9"/>
      <c r="AI1565" s="9"/>
      <c r="AJ1565" s="9"/>
      <c r="AK1565" s="9"/>
      <c r="AL1565" s="9"/>
      <c r="AM1565" s="9"/>
      <c r="AN1565" s="9"/>
      <c r="AO1565" s="9"/>
      <c r="AP1565" s="9"/>
      <c r="AQ1565" s="9"/>
      <c r="AR1565" s="9"/>
      <c r="AS1565" s="9"/>
      <c r="AT1565" s="9"/>
      <c r="AU1565" s="9"/>
    </row>
    <row r="1566" spans="1:47" ht="15.75" customHeight="1">
      <c r="A1566" s="9"/>
      <c r="B1566" s="9"/>
      <c r="C1566" s="9"/>
      <c r="D1566" s="9"/>
      <c r="E1566" s="9"/>
      <c r="F1566" s="67"/>
      <c r="G1566" s="9"/>
      <c r="H1566" s="9"/>
      <c r="I1566" s="9"/>
      <c r="J1566" s="9"/>
      <c r="K1566" s="9"/>
      <c r="L1566" s="9"/>
      <c r="M1566" s="9"/>
      <c r="N1566" s="9"/>
      <c r="O1566" s="9"/>
      <c r="P1566" s="9"/>
      <c r="Q1566" s="9"/>
      <c r="R1566" s="9"/>
      <c r="S1566" s="9"/>
      <c r="T1566" s="9"/>
      <c r="U1566" s="9"/>
      <c r="V1566" s="9"/>
      <c r="W1566" s="9"/>
      <c r="X1566" s="9"/>
      <c r="Y1566" s="9"/>
      <c r="Z1566" s="9"/>
      <c r="AA1566" s="9"/>
      <c r="AB1566" s="9"/>
      <c r="AC1566" s="9"/>
      <c r="AD1566" s="9"/>
      <c r="AE1566" s="9"/>
      <c r="AF1566" s="9"/>
      <c r="AG1566" s="9"/>
      <c r="AH1566" s="9"/>
      <c r="AI1566" s="9"/>
      <c r="AJ1566" s="9"/>
      <c r="AK1566" s="9"/>
      <c r="AL1566" s="9"/>
      <c r="AM1566" s="9"/>
      <c r="AN1566" s="9"/>
      <c r="AO1566" s="9"/>
      <c r="AP1566" s="9"/>
      <c r="AQ1566" s="9"/>
      <c r="AR1566" s="9"/>
      <c r="AS1566" s="9"/>
      <c r="AT1566" s="9"/>
      <c r="AU1566" s="9"/>
    </row>
    <row r="1567" spans="1:47" ht="15.75" customHeight="1">
      <c r="A1567" s="9"/>
      <c r="B1567" s="9"/>
      <c r="C1567" s="9"/>
      <c r="D1567" s="9"/>
      <c r="E1567" s="9"/>
      <c r="F1567" s="67"/>
      <c r="G1567" s="9"/>
      <c r="H1567" s="9"/>
      <c r="I1567" s="9"/>
      <c r="J1567" s="9"/>
      <c r="K1567" s="9"/>
      <c r="L1567" s="9"/>
      <c r="M1567" s="9"/>
      <c r="N1567" s="9"/>
      <c r="O1567" s="9"/>
      <c r="P1567" s="9"/>
      <c r="Q1567" s="9"/>
      <c r="R1567" s="9"/>
      <c r="S1567" s="9"/>
      <c r="T1567" s="9"/>
      <c r="U1567" s="9"/>
      <c r="V1567" s="9"/>
      <c r="W1567" s="9"/>
      <c r="X1567" s="9"/>
      <c r="Y1567" s="9"/>
      <c r="Z1567" s="9"/>
      <c r="AA1567" s="9"/>
      <c r="AB1567" s="9"/>
      <c r="AC1567" s="9"/>
      <c r="AD1567" s="9"/>
      <c r="AE1567" s="9"/>
      <c r="AF1567" s="9"/>
      <c r="AG1567" s="9"/>
      <c r="AH1567" s="9"/>
      <c r="AI1567" s="9"/>
      <c r="AJ1567" s="9"/>
      <c r="AK1567" s="9"/>
      <c r="AL1567" s="9"/>
      <c r="AM1567" s="9"/>
      <c r="AN1567" s="9"/>
      <c r="AO1567" s="9"/>
      <c r="AP1567" s="9"/>
      <c r="AQ1567" s="9"/>
      <c r="AR1567" s="9"/>
      <c r="AS1567" s="9"/>
      <c r="AT1567" s="9"/>
      <c r="AU1567" s="9"/>
    </row>
    <row r="1568" spans="1:47" ht="15.75" customHeight="1">
      <c r="A1568" s="9"/>
      <c r="B1568" s="9"/>
      <c r="C1568" s="9"/>
      <c r="D1568" s="9"/>
      <c r="E1568" s="9"/>
      <c r="F1568" s="67"/>
      <c r="G1568" s="9"/>
      <c r="H1568" s="9"/>
      <c r="I1568" s="9"/>
      <c r="J1568" s="9"/>
      <c r="K1568" s="9"/>
      <c r="L1568" s="9"/>
      <c r="M1568" s="9"/>
      <c r="N1568" s="9"/>
      <c r="O1568" s="9"/>
      <c r="P1568" s="9"/>
      <c r="Q1568" s="9"/>
      <c r="R1568" s="9"/>
      <c r="S1568" s="9"/>
      <c r="T1568" s="9"/>
      <c r="U1568" s="9"/>
      <c r="V1568" s="9"/>
      <c r="W1568" s="9"/>
      <c r="X1568" s="9"/>
      <c r="Y1568" s="9"/>
      <c r="Z1568" s="9"/>
      <c r="AA1568" s="9"/>
      <c r="AB1568" s="9"/>
      <c r="AC1568" s="9"/>
      <c r="AD1568" s="9"/>
      <c r="AE1568" s="9"/>
      <c r="AF1568" s="9"/>
      <c r="AG1568" s="9"/>
      <c r="AH1568" s="9"/>
      <c r="AI1568" s="9"/>
      <c r="AJ1568" s="9"/>
      <c r="AK1568" s="9"/>
      <c r="AL1568" s="9"/>
      <c r="AM1568" s="9"/>
      <c r="AN1568" s="9"/>
      <c r="AO1568" s="9"/>
      <c r="AP1568" s="9"/>
      <c r="AQ1568" s="9"/>
      <c r="AR1568" s="9"/>
      <c r="AS1568" s="9"/>
      <c r="AT1568" s="9"/>
      <c r="AU1568" s="9"/>
    </row>
    <row r="1569" spans="1:47" ht="15.75" customHeight="1">
      <c r="A1569" s="9"/>
      <c r="B1569" s="9"/>
      <c r="C1569" s="9"/>
      <c r="D1569" s="9"/>
      <c r="E1569" s="9"/>
      <c r="F1569" s="67"/>
      <c r="G1569" s="9"/>
      <c r="H1569" s="9"/>
      <c r="I1569" s="9"/>
      <c r="J1569" s="9"/>
      <c r="K1569" s="9"/>
      <c r="L1569" s="9"/>
      <c r="M1569" s="9"/>
      <c r="N1569" s="9"/>
      <c r="O1569" s="9"/>
      <c r="P1569" s="9"/>
      <c r="Q1569" s="9"/>
      <c r="R1569" s="9"/>
      <c r="S1569" s="9"/>
      <c r="T1569" s="9"/>
      <c r="U1569" s="9"/>
      <c r="V1569" s="9"/>
      <c r="W1569" s="9"/>
      <c r="X1569" s="9"/>
      <c r="Y1569" s="9"/>
      <c r="Z1569" s="9"/>
      <c r="AA1569" s="9"/>
      <c r="AB1569" s="9"/>
      <c r="AC1569" s="9"/>
      <c r="AD1569" s="9"/>
      <c r="AE1569" s="9"/>
      <c r="AF1569" s="9"/>
      <c r="AG1569" s="9"/>
      <c r="AH1569" s="9"/>
      <c r="AI1569" s="9"/>
      <c r="AJ1569" s="9"/>
      <c r="AK1569" s="9"/>
      <c r="AL1569" s="9"/>
      <c r="AM1569" s="9"/>
      <c r="AN1569" s="9"/>
      <c r="AO1569" s="9"/>
      <c r="AP1569" s="9"/>
      <c r="AQ1569" s="9"/>
      <c r="AR1569" s="9"/>
      <c r="AS1569" s="9"/>
      <c r="AT1569" s="9"/>
      <c r="AU1569" s="9"/>
    </row>
    <row r="1570" spans="1:47" ht="15.75" customHeight="1">
      <c r="A1570" s="9"/>
      <c r="B1570" s="9"/>
      <c r="C1570" s="9"/>
      <c r="D1570" s="9"/>
      <c r="E1570" s="9"/>
      <c r="F1570" s="67"/>
      <c r="G1570" s="9"/>
      <c r="H1570" s="9"/>
      <c r="I1570" s="9"/>
      <c r="J1570" s="9"/>
      <c r="K1570" s="9"/>
      <c r="L1570" s="9"/>
      <c r="M1570" s="9"/>
      <c r="N1570" s="9"/>
      <c r="O1570" s="9"/>
      <c r="P1570" s="9"/>
      <c r="Q1570" s="9"/>
      <c r="R1570" s="9"/>
      <c r="S1570" s="9"/>
      <c r="T1570" s="9"/>
      <c r="U1570" s="9"/>
      <c r="V1570" s="9"/>
      <c r="W1570" s="9"/>
      <c r="X1570" s="9"/>
      <c r="Y1570" s="9"/>
      <c r="Z1570" s="9"/>
      <c r="AA1570" s="9"/>
      <c r="AB1570" s="9"/>
      <c r="AC1570" s="9"/>
      <c r="AD1570" s="9"/>
      <c r="AE1570" s="9"/>
      <c r="AF1570" s="9"/>
      <c r="AG1570" s="9"/>
      <c r="AH1570" s="9"/>
      <c r="AI1570" s="9"/>
      <c r="AJ1570" s="9"/>
      <c r="AK1570" s="9"/>
      <c r="AL1570" s="9"/>
      <c r="AM1570" s="9"/>
      <c r="AN1570" s="9"/>
      <c r="AO1570" s="9"/>
      <c r="AP1570" s="9"/>
      <c r="AQ1570" s="9"/>
      <c r="AR1570" s="9"/>
      <c r="AS1570" s="9"/>
      <c r="AT1570" s="9"/>
      <c r="AU1570" s="9"/>
    </row>
    <row r="1571" spans="1:47" ht="15.75" customHeight="1">
      <c r="A1571" s="9"/>
      <c r="B1571" s="9"/>
      <c r="C1571" s="9"/>
      <c r="D1571" s="9"/>
      <c r="E1571" s="9"/>
      <c r="F1571" s="67"/>
      <c r="G1571" s="9"/>
      <c r="H1571" s="9"/>
      <c r="I1571" s="9"/>
      <c r="J1571" s="9"/>
      <c r="K1571" s="9"/>
      <c r="L1571" s="9"/>
      <c r="M1571" s="9"/>
      <c r="N1571" s="9"/>
      <c r="O1571" s="9"/>
      <c r="P1571" s="9"/>
      <c r="Q1571" s="9"/>
      <c r="R1571" s="9"/>
      <c r="S1571" s="9"/>
      <c r="T1571" s="9"/>
      <c r="U1571" s="9"/>
      <c r="V1571" s="9"/>
      <c r="W1571" s="9"/>
      <c r="X1571" s="9"/>
      <c r="Y1571" s="9"/>
      <c r="Z1571" s="9"/>
      <c r="AA1571" s="9"/>
      <c r="AB1571" s="9"/>
      <c r="AC1571" s="9"/>
      <c r="AD1571" s="9"/>
      <c r="AE1571" s="9"/>
      <c r="AF1571" s="9"/>
      <c r="AG1571" s="9"/>
      <c r="AH1571" s="9"/>
      <c r="AI1571" s="9"/>
      <c r="AJ1571" s="9"/>
      <c r="AK1571" s="9"/>
      <c r="AL1571" s="9"/>
      <c r="AM1571" s="9"/>
      <c r="AN1571" s="9"/>
      <c r="AO1571" s="9"/>
      <c r="AP1571" s="9"/>
      <c r="AQ1571" s="9"/>
      <c r="AR1571" s="9"/>
      <c r="AS1571" s="9"/>
      <c r="AT1571" s="9"/>
      <c r="AU1571" s="9"/>
    </row>
    <row r="1572" spans="1:47" ht="15.75" customHeight="1">
      <c r="A1572" s="9"/>
      <c r="B1572" s="9"/>
      <c r="C1572" s="9"/>
      <c r="D1572" s="9"/>
      <c r="E1572" s="9"/>
      <c r="F1572" s="67"/>
      <c r="G1572" s="9"/>
      <c r="H1572" s="9"/>
      <c r="I1572" s="9"/>
      <c r="J1572" s="9"/>
      <c r="K1572" s="9"/>
      <c r="L1572" s="9"/>
      <c r="M1572" s="9"/>
      <c r="N1572" s="9"/>
      <c r="O1572" s="9"/>
      <c r="P1572" s="9"/>
      <c r="Q1572" s="9"/>
      <c r="R1572" s="9"/>
      <c r="S1572" s="9"/>
      <c r="T1572" s="9"/>
      <c r="U1572" s="9"/>
      <c r="V1572" s="9"/>
      <c r="W1572" s="9"/>
      <c r="X1572" s="9"/>
      <c r="Y1572" s="9"/>
      <c r="Z1572" s="9"/>
      <c r="AA1572" s="9"/>
      <c r="AB1572" s="9"/>
      <c r="AC1572" s="9"/>
      <c r="AD1572" s="9"/>
      <c r="AE1572" s="9"/>
      <c r="AF1572" s="9"/>
      <c r="AG1572" s="9"/>
      <c r="AH1572" s="9"/>
      <c r="AI1572" s="9"/>
      <c r="AJ1572" s="9"/>
      <c r="AK1572" s="9"/>
      <c r="AL1572" s="9"/>
      <c r="AM1572" s="9"/>
      <c r="AN1572" s="9"/>
      <c r="AO1572" s="9"/>
      <c r="AP1572" s="9"/>
      <c r="AQ1572" s="9"/>
      <c r="AR1572" s="9"/>
      <c r="AS1572" s="9"/>
      <c r="AT1572" s="9"/>
      <c r="AU1572" s="9"/>
    </row>
    <row r="1573" spans="1:47" ht="15.75" customHeight="1">
      <c r="A1573" s="9"/>
      <c r="B1573" s="9"/>
      <c r="C1573" s="9"/>
      <c r="D1573" s="9"/>
      <c r="E1573" s="9"/>
      <c r="F1573" s="67"/>
      <c r="G1573" s="9"/>
      <c r="H1573" s="9"/>
      <c r="I1573" s="9"/>
      <c r="J1573" s="9"/>
      <c r="K1573" s="9"/>
      <c r="L1573" s="9"/>
      <c r="M1573" s="9"/>
      <c r="N1573" s="9"/>
      <c r="O1573" s="9"/>
      <c r="P1573" s="9"/>
      <c r="Q1573" s="9"/>
      <c r="R1573" s="9"/>
      <c r="S1573" s="9"/>
      <c r="T1573" s="9"/>
      <c r="U1573" s="9"/>
      <c r="V1573" s="9"/>
      <c r="W1573" s="9"/>
      <c r="X1573" s="9"/>
      <c r="Y1573" s="9"/>
      <c r="Z1573" s="9"/>
      <c r="AA1573" s="9"/>
      <c r="AB1573" s="9"/>
      <c r="AC1573" s="9"/>
      <c r="AD1573" s="9"/>
      <c r="AE1573" s="9"/>
      <c r="AF1573" s="9"/>
      <c r="AG1573" s="9"/>
      <c r="AH1573" s="9"/>
      <c r="AI1573" s="9"/>
      <c r="AJ1573" s="9"/>
      <c r="AK1573" s="9"/>
      <c r="AL1573" s="9"/>
      <c r="AM1573" s="9"/>
      <c r="AN1573" s="9"/>
      <c r="AO1573" s="9"/>
      <c r="AP1573" s="9"/>
      <c r="AQ1573" s="9"/>
      <c r="AR1573" s="9"/>
      <c r="AS1573" s="9"/>
      <c r="AT1573" s="9"/>
      <c r="AU1573" s="9"/>
    </row>
    <row r="1574" spans="1:47" ht="15.75" customHeight="1">
      <c r="A1574" s="9"/>
      <c r="B1574" s="9"/>
      <c r="C1574" s="9"/>
      <c r="D1574" s="9"/>
      <c r="E1574" s="9"/>
      <c r="F1574" s="67"/>
      <c r="G1574" s="9"/>
      <c r="H1574" s="9"/>
      <c r="I1574" s="9"/>
      <c r="J1574" s="9"/>
      <c r="K1574" s="9"/>
      <c r="L1574" s="9"/>
      <c r="M1574" s="9"/>
      <c r="N1574" s="9"/>
      <c r="O1574" s="9"/>
      <c r="P1574" s="9"/>
      <c r="Q1574" s="9"/>
      <c r="R1574" s="9"/>
      <c r="S1574" s="9"/>
      <c r="T1574" s="9"/>
      <c r="U1574" s="9"/>
      <c r="V1574" s="9"/>
      <c r="W1574" s="9"/>
      <c r="X1574" s="9"/>
      <c r="Y1574" s="9"/>
      <c r="Z1574" s="9"/>
      <c r="AA1574" s="9"/>
      <c r="AB1574" s="9"/>
      <c r="AC1574" s="9"/>
      <c r="AD1574" s="9"/>
      <c r="AE1574" s="9"/>
      <c r="AF1574" s="9"/>
      <c r="AG1574" s="9"/>
      <c r="AH1574" s="9"/>
      <c r="AI1574" s="9"/>
      <c r="AJ1574" s="9"/>
      <c r="AK1574" s="9"/>
      <c r="AL1574" s="9"/>
      <c r="AM1574" s="9"/>
      <c r="AN1574" s="9"/>
      <c r="AO1574" s="9"/>
      <c r="AP1574" s="9"/>
      <c r="AQ1574" s="9"/>
      <c r="AR1574" s="9"/>
      <c r="AS1574" s="9"/>
      <c r="AT1574" s="9"/>
      <c r="AU1574" s="9"/>
    </row>
    <row r="1575" spans="1:47" ht="15.75" customHeight="1">
      <c r="A1575" s="9"/>
      <c r="B1575" s="9"/>
      <c r="C1575" s="9"/>
      <c r="D1575" s="9"/>
      <c r="E1575" s="9"/>
      <c r="F1575" s="67"/>
      <c r="G1575" s="9"/>
      <c r="H1575" s="9"/>
      <c r="I1575" s="9"/>
      <c r="J1575" s="9"/>
      <c r="K1575" s="9"/>
      <c r="L1575" s="9"/>
      <c r="M1575" s="9"/>
      <c r="N1575" s="9"/>
      <c r="O1575" s="9"/>
      <c r="P1575" s="9"/>
      <c r="Q1575" s="9"/>
      <c r="R1575" s="9"/>
      <c r="S1575" s="9"/>
      <c r="T1575" s="9"/>
      <c r="U1575" s="9"/>
      <c r="V1575" s="9"/>
      <c r="W1575" s="9"/>
      <c r="X1575" s="9"/>
      <c r="Y1575" s="9"/>
      <c r="Z1575" s="9"/>
      <c r="AA1575" s="9"/>
      <c r="AB1575" s="9"/>
      <c r="AC1575" s="9"/>
      <c r="AD1575" s="9"/>
      <c r="AE1575" s="9"/>
      <c r="AF1575" s="9"/>
      <c r="AG1575" s="9"/>
      <c r="AH1575" s="9"/>
      <c r="AI1575" s="9"/>
      <c r="AJ1575" s="9"/>
      <c r="AK1575" s="9"/>
      <c r="AL1575" s="9"/>
      <c r="AM1575" s="9"/>
      <c r="AN1575" s="9"/>
      <c r="AO1575" s="9"/>
      <c r="AP1575" s="9"/>
      <c r="AQ1575" s="9"/>
      <c r="AR1575" s="9"/>
      <c r="AS1575" s="9"/>
      <c r="AT1575" s="9"/>
      <c r="AU1575" s="9"/>
    </row>
    <row r="1576" spans="1:47" ht="15.75" customHeight="1">
      <c r="A1576" s="9"/>
      <c r="B1576" s="9"/>
      <c r="C1576" s="9"/>
      <c r="D1576" s="9"/>
      <c r="E1576" s="9"/>
      <c r="F1576" s="67"/>
      <c r="G1576" s="9"/>
      <c r="H1576" s="9"/>
      <c r="I1576" s="9"/>
      <c r="J1576" s="9"/>
      <c r="K1576" s="9"/>
      <c r="L1576" s="9"/>
      <c r="M1576" s="9"/>
      <c r="N1576" s="9"/>
      <c r="O1576" s="9"/>
      <c r="P1576" s="9"/>
      <c r="Q1576" s="9"/>
      <c r="R1576" s="9"/>
      <c r="S1576" s="9"/>
      <c r="T1576" s="9"/>
      <c r="U1576" s="9"/>
      <c r="V1576" s="9"/>
      <c r="W1576" s="9"/>
      <c r="X1576" s="9"/>
      <c r="Y1576" s="9"/>
      <c r="Z1576" s="9"/>
      <c r="AA1576" s="9"/>
      <c r="AB1576" s="9"/>
      <c r="AC1576" s="9"/>
      <c r="AD1576" s="9"/>
      <c r="AE1576" s="9"/>
      <c r="AF1576" s="9"/>
      <c r="AG1576" s="9"/>
      <c r="AH1576" s="9"/>
      <c r="AI1576" s="9"/>
      <c r="AJ1576" s="9"/>
      <c r="AK1576" s="9"/>
      <c r="AL1576" s="9"/>
      <c r="AM1576" s="9"/>
      <c r="AN1576" s="9"/>
      <c r="AO1576" s="9"/>
      <c r="AP1576" s="9"/>
      <c r="AQ1576" s="9"/>
      <c r="AR1576" s="9"/>
      <c r="AS1576" s="9"/>
      <c r="AT1576" s="9"/>
      <c r="AU1576" s="9"/>
    </row>
    <row r="1577" spans="1:47" ht="15.75" customHeight="1">
      <c r="A1577" s="9"/>
      <c r="B1577" s="9"/>
      <c r="C1577" s="9"/>
      <c r="D1577" s="9"/>
      <c r="E1577" s="9"/>
      <c r="F1577" s="67"/>
      <c r="G1577" s="9"/>
      <c r="H1577" s="9"/>
      <c r="I1577" s="9"/>
      <c r="J1577" s="9"/>
      <c r="K1577" s="9"/>
      <c r="L1577" s="9"/>
      <c r="M1577" s="9"/>
      <c r="N1577" s="9"/>
      <c r="O1577" s="9"/>
      <c r="P1577" s="9"/>
      <c r="Q1577" s="9"/>
      <c r="R1577" s="9"/>
      <c r="S1577" s="9"/>
      <c r="T1577" s="9"/>
      <c r="U1577" s="9"/>
      <c r="V1577" s="9"/>
      <c r="W1577" s="9"/>
      <c r="X1577" s="9"/>
      <c r="Y1577" s="9"/>
      <c r="Z1577" s="9"/>
      <c r="AA1577" s="9"/>
      <c r="AB1577" s="9"/>
      <c r="AC1577" s="9"/>
      <c r="AD1577" s="9"/>
      <c r="AE1577" s="9"/>
      <c r="AF1577" s="9"/>
      <c r="AG1577" s="9"/>
      <c r="AH1577" s="9"/>
      <c r="AI1577" s="9"/>
      <c r="AJ1577" s="9"/>
      <c r="AK1577" s="9"/>
      <c r="AL1577" s="9"/>
      <c r="AM1577" s="9"/>
      <c r="AN1577" s="9"/>
      <c r="AO1577" s="9"/>
      <c r="AP1577" s="9"/>
      <c r="AQ1577" s="9"/>
      <c r="AR1577" s="9"/>
      <c r="AS1577" s="9"/>
      <c r="AT1577" s="9"/>
      <c r="AU1577" s="9"/>
    </row>
    <row r="1578" spans="1:47" ht="15.75" customHeight="1">
      <c r="A1578" s="9"/>
      <c r="B1578" s="9"/>
      <c r="C1578" s="9"/>
      <c r="D1578" s="9"/>
      <c r="E1578" s="9"/>
      <c r="F1578" s="67"/>
      <c r="G1578" s="9"/>
      <c r="H1578" s="9"/>
      <c r="I1578" s="9"/>
      <c r="J1578" s="9"/>
      <c r="K1578" s="9"/>
      <c r="L1578" s="9"/>
      <c r="M1578" s="9"/>
      <c r="N1578" s="9"/>
      <c r="O1578" s="9"/>
      <c r="P1578" s="9"/>
      <c r="Q1578" s="9"/>
      <c r="R1578" s="9"/>
      <c r="S1578" s="9"/>
      <c r="T1578" s="9"/>
      <c r="U1578" s="9"/>
      <c r="V1578" s="9"/>
      <c r="W1578" s="9"/>
      <c r="X1578" s="9"/>
      <c r="Y1578" s="9"/>
      <c r="Z1578" s="9"/>
      <c r="AA1578" s="9"/>
      <c r="AB1578" s="9"/>
      <c r="AC1578" s="9"/>
      <c r="AD1578" s="9"/>
      <c r="AE1578" s="9"/>
      <c r="AF1578" s="9"/>
      <c r="AG1578" s="9"/>
      <c r="AH1578" s="9"/>
      <c r="AI1578" s="9"/>
      <c r="AJ1578" s="9"/>
      <c r="AK1578" s="9"/>
      <c r="AL1578" s="9"/>
      <c r="AM1578" s="9"/>
      <c r="AN1578" s="9"/>
      <c r="AO1578" s="9"/>
      <c r="AP1578" s="9"/>
      <c r="AQ1578" s="9"/>
      <c r="AR1578" s="9"/>
      <c r="AS1578" s="9"/>
      <c r="AT1578" s="9"/>
      <c r="AU1578" s="9"/>
    </row>
    <row r="1579" spans="1:47" ht="15.75" customHeight="1">
      <c r="A1579" s="9"/>
      <c r="B1579" s="9"/>
      <c r="C1579" s="9"/>
      <c r="D1579" s="9"/>
      <c r="E1579" s="9"/>
      <c r="F1579" s="67"/>
      <c r="G1579" s="9"/>
      <c r="H1579" s="9"/>
      <c r="I1579" s="9"/>
      <c r="J1579" s="9"/>
      <c r="K1579" s="9"/>
      <c r="L1579" s="9"/>
      <c r="M1579" s="9"/>
      <c r="N1579" s="9"/>
      <c r="O1579" s="9"/>
      <c r="P1579" s="9"/>
      <c r="Q1579" s="9"/>
      <c r="R1579" s="9"/>
      <c r="S1579" s="9"/>
      <c r="T1579" s="9"/>
      <c r="U1579" s="9"/>
      <c r="V1579" s="9"/>
      <c r="W1579" s="9"/>
      <c r="X1579" s="9"/>
      <c r="Y1579" s="9"/>
      <c r="Z1579" s="9"/>
      <c r="AA1579" s="9"/>
      <c r="AB1579" s="9"/>
      <c r="AC1579" s="9"/>
      <c r="AD1579" s="9"/>
      <c r="AE1579" s="9"/>
      <c r="AF1579" s="9"/>
      <c r="AG1579" s="9"/>
      <c r="AH1579" s="9"/>
      <c r="AI1579" s="9"/>
      <c r="AJ1579" s="9"/>
      <c r="AK1579" s="9"/>
      <c r="AL1579" s="9"/>
      <c r="AM1579" s="9"/>
      <c r="AN1579" s="9"/>
      <c r="AO1579" s="9"/>
      <c r="AP1579" s="9"/>
      <c r="AQ1579" s="9"/>
      <c r="AR1579" s="9"/>
      <c r="AS1579" s="9"/>
      <c r="AT1579" s="9"/>
      <c r="AU1579" s="9"/>
    </row>
    <row r="1580" spans="1:47" ht="15.75" customHeight="1">
      <c r="A1580" s="9"/>
      <c r="B1580" s="9"/>
      <c r="C1580" s="9"/>
      <c r="D1580" s="9"/>
      <c r="E1580" s="9"/>
      <c r="F1580" s="67"/>
      <c r="G1580" s="9"/>
      <c r="H1580" s="9"/>
      <c r="I1580" s="9"/>
      <c r="J1580" s="9"/>
      <c r="K1580" s="9"/>
      <c r="L1580" s="9"/>
      <c r="M1580" s="9"/>
      <c r="N1580" s="9"/>
      <c r="O1580" s="9"/>
      <c r="P1580" s="9"/>
      <c r="Q1580" s="9"/>
      <c r="R1580" s="9"/>
      <c r="S1580" s="9"/>
      <c r="T1580" s="9"/>
      <c r="U1580" s="9"/>
      <c r="V1580" s="9"/>
      <c r="W1580" s="9"/>
      <c r="X1580" s="9"/>
      <c r="Y1580" s="9"/>
      <c r="Z1580" s="9"/>
      <c r="AA1580" s="9"/>
      <c r="AB1580" s="9"/>
      <c r="AC1580" s="9"/>
      <c r="AD1580" s="9"/>
      <c r="AE1580" s="9"/>
      <c r="AF1580" s="9"/>
      <c r="AG1580" s="9"/>
      <c r="AH1580" s="9"/>
      <c r="AI1580" s="9"/>
      <c r="AJ1580" s="9"/>
      <c r="AK1580" s="9"/>
      <c r="AL1580" s="9"/>
      <c r="AM1580" s="9"/>
      <c r="AN1580" s="9"/>
      <c r="AO1580" s="9"/>
      <c r="AP1580" s="9"/>
      <c r="AQ1580" s="9"/>
      <c r="AR1580" s="9"/>
      <c r="AS1580" s="9"/>
      <c r="AT1580" s="9"/>
      <c r="AU1580" s="9"/>
    </row>
    <row r="1581" spans="1:47" ht="15.75" customHeight="1">
      <c r="A1581" s="9"/>
      <c r="B1581" s="9"/>
      <c r="C1581" s="9"/>
      <c r="D1581" s="9"/>
      <c r="E1581" s="9"/>
      <c r="F1581" s="67"/>
      <c r="G1581" s="9"/>
      <c r="H1581" s="9"/>
      <c r="I1581" s="9"/>
      <c r="J1581" s="9"/>
      <c r="K1581" s="9"/>
      <c r="L1581" s="9"/>
      <c r="M1581" s="9"/>
      <c r="N1581" s="9"/>
      <c r="O1581" s="9"/>
      <c r="P1581" s="9"/>
      <c r="Q1581" s="9"/>
      <c r="R1581" s="9"/>
      <c r="S1581" s="9"/>
      <c r="T1581" s="9"/>
      <c r="U1581" s="9"/>
      <c r="V1581" s="9"/>
      <c r="W1581" s="9"/>
      <c r="X1581" s="9"/>
      <c r="Y1581" s="9"/>
      <c r="Z1581" s="9"/>
      <c r="AA1581" s="9"/>
      <c r="AB1581" s="9"/>
      <c r="AC1581" s="9"/>
      <c r="AD1581" s="9"/>
      <c r="AE1581" s="9"/>
      <c r="AF1581" s="9"/>
      <c r="AG1581" s="9"/>
      <c r="AH1581" s="9"/>
      <c r="AI1581" s="9"/>
      <c r="AJ1581" s="9"/>
      <c r="AK1581" s="9"/>
      <c r="AL1581" s="9"/>
      <c r="AM1581" s="9"/>
      <c r="AN1581" s="9"/>
      <c r="AO1581" s="9"/>
      <c r="AP1581" s="9"/>
      <c r="AQ1581" s="9"/>
      <c r="AR1581" s="9"/>
      <c r="AS1581" s="9"/>
      <c r="AT1581" s="9"/>
      <c r="AU1581" s="9"/>
    </row>
    <row r="1582" spans="1:47" ht="15.75" customHeight="1">
      <c r="A1582" s="9"/>
      <c r="B1582" s="9"/>
      <c r="C1582" s="9"/>
      <c r="D1582" s="9"/>
      <c r="E1582" s="9"/>
      <c r="F1582" s="67"/>
      <c r="G1582" s="9"/>
      <c r="H1582" s="9"/>
      <c r="I1582" s="9"/>
      <c r="J1582" s="9"/>
      <c r="K1582" s="9"/>
      <c r="L1582" s="9"/>
      <c r="M1582" s="9"/>
      <c r="N1582" s="9"/>
      <c r="O1582" s="9"/>
      <c r="P1582" s="9"/>
      <c r="Q1582" s="9"/>
      <c r="R1582" s="9"/>
      <c r="S1582" s="9"/>
      <c r="T1582" s="9"/>
      <c r="U1582" s="9"/>
      <c r="V1582" s="9"/>
      <c r="W1582" s="9"/>
      <c r="X1582" s="9"/>
      <c r="Y1582" s="9"/>
      <c r="Z1582" s="9"/>
      <c r="AA1582" s="9"/>
      <c r="AB1582" s="9"/>
      <c r="AC1582" s="9"/>
      <c r="AD1582" s="9"/>
      <c r="AE1582" s="9"/>
      <c r="AF1582" s="9"/>
      <c r="AG1582" s="9"/>
      <c r="AH1582" s="9"/>
      <c r="AI1582" s="9"/>
      <c r="AJ1582" s="9"/>
      <c r="AK1582" s="9"/>
      <c r="AL1582" s="9"/>
      <c r="AM1582" s="9"/>
      <c r="AN1582" s="9"/>
      <c r="AO1582" s="9"/>
      <c r="AP1582" s="9"/>
      <c r="AQ1582" s="9"/>
      <c r="AR1582" s="9"/>
      <c r="AS1582" s="9"/>
      <c r="AT1582" s="9"/>
      <c r="AU1582" s="9"/>
    </row>
    <row r="1583" spans="1:47" ht="15.75" customHeight="1">
      <c r="A1583" s="9"/>
      <c r="B1583" s="9"/>
      <c r="C1583" s="9"/>
      <c r="D1583" s="9"/>
      <c r="E1583" s="9"/>
      <c r="F1583" s="67"/>
      <c r="G1583" s="9"/>
      <c r="H1583" s="9"/>
      <c r="I1583" s="9"/>
      <c r="J1583" s="9"/>
      <c r="K1583" s="9"/>
      <c r="L1583" s="9"/>
      <c r="M1583" s="9"/>
      <c r="N1583" s="9"/>
      <c r="O1583" s="9"/>
      <c r="P1583" s="9"/>
      <c r="Q1583" s="9"/>
      <c r="R1583" s="9"/>
      <c r="S1583" s="9"/>
      <c r="T1583" s="9"/>
      <c r="U1583" s="9"/>
      <c r="V1583" s="9"/>
      <c r="W1583" s="9"/>
      <c r="X1583" s="9"/>
      <c r="Y1583" s="9"/>
      <c r="Z1583" s="9"/>
      <c r="AA1583" s="9"/>
      <c r="AB1583" s="9"/>
      <c r="AC1583" s="9"/>
      <c r="AD1583" s="9"/>
      <c r="AE1583" s="9"/>
      <c r="AF1583" s="9"/>
      <c r="AG1583" s="9"/>
      <c r="AH1583" s="9"/>
      <c r="AI1583" s="9"/>
      <c r="AJ1583" s="9"/>
      <c r="AK1583" s="9"/>
      <c r="AL1583" s="9"/>
      <c r="AM1583" s="9"/>
      <c r="AN1583" s="9"/>
      <c r="AO1583" s="9"/>
      <c r="AP1583" s="9"/>
      <c r="AQ1583" s="9"/>
      <c r="AR1583" s="9"/>
      <c r="AS1583" s="9"/>
      <c r="AT1583" s="9"/>
      <c r="AU1583" s="9"/>
    </row>
    <row r="1584" spans="1:47" ht="15.75" customHeight="1">
      <c r="A1584" s="9"/>
      <c r="B1584" s="9"/>
      <c r="C1584" s="9"/>
      <c r="D1584" s="9"/>
      <c r="E1584" s="9"/>
      <c r="F1584" s="67"/>
      <c r="G1584" s="9"/>
      <c r="H1584" s="9"/>
      <c r="I1584" s="9"/>
      <c r="J1584" s="9"/>
      <c r="K1584" s="9"/>
      <c r="L1584" s="9"/>
      <c r="M1584" s="9"/>
      <c r="N1584" s="9"/>
      <c r="O1584" s="9"/>
      <c r="P1584" s="9"/>
      <c r="Q1584" s="9"/>
      <c r="R1584" s="9"/>
      <c r="S1584" s="9"/>
      <c r="T1584" s="9"/>
      <c r="U1584" s="9"/>
      <c r="V1584" s="9"/>
      <c r="W1584" s="9"/>
      <c r="X1584" s="9"/>
      <c r="Y1584" s="9"/>
      <c r="Z1584" s="9"/>
      <c r="AA1584" s="9"/>
      <c r="AB1584" s="9"/>
      <c r="AC1584" s="9"/>
      <c r="AD1584" s="9"/>
      <c r="AE1584" s="9"/>
      <c r="AF1584" s="9"/>
      <c r="AG1584" s="9"/>
      <c r="AH1584" s="9"/>
      <c r="AI1584" s="9"/>
      <c r="AJ1584" s="9"/>
      <c r="AK1584" s="9"/>
      <c r="AL1584" s="9"/>
      <c r="AM1584" s="9"/>
      <c r="AN1584" s="9"/>
      <c r="AO1584" s="9"/>
      <c r="AP1584" s="9"/>
      <c r="AQ1584" s="9"/>
      <c r="AR1584" s="9"/>
      <c r="AS1584" s="9"/>
      <c r="AT1584" s="9"/>
      <c r="AU1584" s="9"/>
    </row>
    <row r="1585" spans="1:47" ht="15.75" customHeight="1">
      <c r="A1585" s="9"/>
      <c r="B1585" s="9"/>
      <c r="C1585" s="9"/>
      <c r="D1585" s="9"/>
      <c r="E1585" s="9"/>
      <c r="F1585" s="67"/>
      <c r="G1585" s="9"/>
      <c r="H1585" s="9"/>
      <c r="I1585" s="9"/>
      <c r="J1585" s="9"/>
      <c r="K1585" s="9"/>
      <c r="L1585" s="9"/>
      <c r="M1585" s="9"/>
      <c r="N1585" s="9"/>
      <c r="O1585" s="9"/>
      <c r="P1585" s="9"/>
      <c r="Q1585" s="9"/>
      <c r="R1585" s="9"/>
      <c r="S1585" s="9"/>
      <c r="T1585" s="9"/>
      <c r="U1585" s="9"/>
      <c r="V1585" s="9"/>
      <c r="W1585" s="9"/>
      <c r="X1585" s="9"/>
      <c r="Y1585" s="9"/>
      <c r="Z1585" s="9"/>
      <c r="AA1585" s="9"/>
      <c r="AB1585" s="9"/>
      <c r="AC1585" s="9"/>
      <c r="AD1585" s="9"/>
      <c r="AE1585" s="9"/>
      <c r="AF1585" s="9"/>
      <c r="AG1585" s="9"/>
      <c r="AH1585" s="9"/>
      <c r="AI1585" s="9"/>
      <c r="AJ1585" s="9"/>
      <c r="AK1585" s="9"/>
      <c r="AL1585" s="9"/>
      <c r="AM1585" s="9"/>
      <c r="AN1585" s="9"/>
      <c r="AO1585" s="9"/>
      <c r="AP1585" s="9"/>
      <c r="AQ1585" s="9"/>
      <c r="AR1585" s="9"/>
      <c r="AS1585" s="9"/>
      <c r="AT1585" s="9"/>
      <c r="AU1585" s="9"/>
    </row>
    <row r="1586" spans="1:47" ht="15.75" customHeight="1">
      <c r="A1586" s="9"/>
      <c r="B1586" s="9"/>
      <c r="C1586" s="9"/>
      <c r="D1586" s="9"/>
      <c r="E1586" s="9"/>
      <c r="F1586" s="67"/>
      <c r="G1586" s="9"/>
      <c r="H1586" s="9"/>
      <c r="I1586" s="9"/>
      <c r="J1586" s="9"/>
      <c r="K1586" s="9"/>
      <c r="L1586" s="9"/>
      <c r="M1586" s="9"/>
      <c r="N1586" s="9"/>
      <c r="O1586" s="9"/>
      <c r="P1586" s="9"/>
      <c r="Q1586" s="9"/>
      <c r="R1586" s="9"/>
      <c r="S1586" s="9"/>
      <c r="T1586" s="9"/>
      <c r="U1586" s="9"/>
      <c r="V1586" s="9"/>
      <c r="W1586" s="9"/>
      <c r="X1586" s="9"/>
      <c r="Y1586" s="9"/>
      <c r="Z1586" s="9"/>
      <c r="AA1586" s="9"/>
      <c r="AB1586" s="9"/>
      <c r="AC1586" s="9"/>
      <c r="AD1586" s="9"/>
      <c r="AE1586" s="9"/>
      <c r="AF1586" s="9"/>
      <c r="AG1586" s="9"/>
      <c r="AH1586" s="9"/>
      <c r="AI1586" s="9"/>
      <c r="AJ1586" s="9"/>
      <c r="AK1586" s="9"/>
      <c r="AL1586" s="9"/>
      <c r="AM1586" s="9"/>
      <c r="AN1586" s="9"/>
      <c r="AO1586" s="9"/>
      <c r="AP1586" s="9"/>
      <c r="AQ1586" s="9"/>
      <c r="AR1586" s="9"/>
      <c r="AS1586" s="9"/>
      <c r="AT1586" s="9"/>
      <c r="AU1586" s="9"/>
    </row>
    <row r="1587" spans="1:47" ht="15.75" customHeight="1">
      <c r="A1587" s="9"/>
      <c r="B1587" s="9"/>
      <c r="C1587" s="9"/>
      <c r="D1587" s="9"/>
      <c r="E1587" s="9"/>
      <c r="F1587" s="67"/>
      <c r="G1587" s="9"/>
      <c r="H1587" s="9"/>
      <c r="I1587" s="9"/>
      <c r="J1587" s="9"/>
      <c r="K1587" s="9"/>
      <c r="L1587" s="9"/>
      <c r="M1587" s="9"/>
      <c r="N1587" s="9"/>
      <c r="O1587" s="9"/>
      <c r="P1587" s="9"/>
      <c r="Q1587" s="9"/>
      <c r="R1587" s="9"/>
      <c r="S1587" s="9"/>
      <c r="T1587" s="9"/>
      <c r="U1587" s="9"/>
      <c r="V1587" s="9"/>
      <c r="W1587" s="9"/>
      <c r="X1587" s="9"/>
      <c r="Y1587" s="9"/>
      <c r="Z1587" s="9"/>
      <c r="AA1587" s="9"/>
      <c r="AB1587" s="9"/>
      <c r="AC1587" s="9"/>
      <c r="AD1587" s="9"/>
      <c r="AE1587" s="9"/>
      <c r="AF1587" s="9"/>
      <c r="AG1587" s="9"/>
      <c r="AH1587" s="9"/>
      <c r="AI1587" s="9"/>
      <c r="AJ1587" s="9"/>
      <c r="AK1587" s="9"/>
      <c r="AL1587" s="9"/>
      <c r="AM1587" s="9"/>
      <c r="AN1587" s="9"/>
      <c r="AO1587" s="9"/>
      <c r="AP1587" s="9"/>
      <c r="AQ1587" s="9"/>
      <c r="AR1587" s="9"/>
      <c r="AS1587" s="9"/>
      <c r="AT1587" s="9"/>
      <c r="AU1587" s="9"/>
    </row>
    <row r="1588" spans="1:47" ht="15.75" customHeight="1">
      <c r="A1588" s="9"/>
      <c r="B1588" s="9"/>
      <c r="C1588" s="9"/>
      <c r="D1588" s="9"/>
      <c r="E1588" s="9"/>
      <c r="F1588" s="67"/>
      <c r="G1588" s="9"/>
      <c r="H1588" s="9"/>
      <c r="I1588" s="9"/>
      <c r="J1588" s="9"/>
      <c r="K1588" s="9"/>
      <c r="L1588" s="9"/>
      <c r="M1588" s="9"/>
      <c r="N1588" s="9"/>
      <c r="O1588" s="9"/>
      <c r="P1588" s="9"/>
      <c r="Q1588" s="9"/>
      <c r="R1588" s="9"/>
      <c r="S1588" s="9"/>
      <c r="T1588" s="9"/>
      <c r="U1588" s="9"/>
      <c r="V1588" s="9"/>
      <c r="W1588" s="9"/>
      <c r="X1588" s="9"/>
      <c r="Y1588" s="9"/>
      <c r="Z1588" s="9"/>
      <c r="AA1588" s="9"/>
      <c r="AB1588" s="9"/>
      <c r="AC1588" s="9"/>
      <c r="AD1588" s="9"/>
      <c r="AE1588" s="9"/>
      <c r="AF1588" s="9"/>
      <c r="AG1588" s="9"/>
      <c r="AH1588" s="9"/>
      <c r="AI1588" s="9"/>
      <c r="AJ1588" s="9"/>
      <c r="AK1588" s="9"/>
      <c r="AL1588" s="9"/>
      <c r="AM1588" s="9"/>
      <c r="AN1588" s="9"/>
      <c r="AO1588" s="9"/>
      <c r="AP1588" s="9"/>
      <c r="AQ1588" s="9"/>
      <c r="AR1588" s="9"/>
      <c r="AS1588" s="9"/>
      <c r="AT1588" s="9"/>
      <c r="AU1588" s="9"/>
    </row>
    <row r="1589" spans="1:47" ht="15.75" customHeight="1">
      <c r="A1589" s="9"/>
      <c r="B1589" s="9"/>
      <c r="C1589" s="9"/>
      <c r="D1589" s="9"/>
      <c r="E1589" s="9"/>
      <c r="F1589" s="67"/>
      <c r="G1589" s="9"/>
      <c r="H1589" s="9"/>
      <c r="I1589" s="9"/>
      <c r="J1589" s="9"/>
      <c r="K1589" s="9"/>
      <c r="L1589" s="9"/>
      <c r="M1589" s="9"/>
      <c r="N1589" s="9"/>
      <c r="O1589" s="9"/>
      <c r="P1589" s="9"/>
      <c r="Q1589" s="9"/>
      <c r="R1589" s="9"/>
      <c r="S1589" s="9"/>
      <c r="T1589" s="9"/>
      <c r="U1589" s="9"/>
      <c r="V1589" s="9"/>
      <c r="W1589" s="9"/>
      <c r="X1589" s="9"/>
      <c r="Y1589" s="9"/>
      <c r="Z1589" s="9"/>
      <c r="AA1589" s="9"/>
      <c r="AB1589" s="9"/>
      <c r="AC1589" s="9"/>
      <c r="AD1589" s="9"/>
      <c r="AE1589" s="9"/>
      <c r="AF1589" s="9"/>
      <c r="AG1589" s="9"/>
      <c r="AH1589" s="9"/>
      <c r="AI1589" s="9"/>
      <c r="AJ1589" s="9"/>
      <c r="AK1589" s="9"/>
      <c r="AL1589" s="9"/>
      <c r="AM1589" s="9"/>
      <c r="AN1589" s="9"/>
      <c r="AO1589" s="9"/>
      <c r="AP1589" s="9"/>
      <c r="AQ1589" s="9"/>
      <c r="AR1589" s="9"/>
      <c r="AS1589" s="9"/>
      <c r="AT1589" s="9"/>
      <c r="AU1589" s="9"/>
    </row>
    <row r="1590" spans="1:47" ht="15.75" customHeight="1">
      <c r="A1590" s="9"/>
      <c r="B1590" s="9"/>
      <c r="C1590" s="9"/>
      <c r="D1590" s="9"/>
      <c r="E1590" s="9"/>
      <c r="F1590" s="67"/>
      <c r="G1590" s="9"/>
      <c r="H1590" s="9"/>
      <c r="I1590" s="9"/>
      <c r="J1590" s="9"/>
      <c r="K1590" s="9"/>
      <c r="L1590" s="9"/>
      <c r="M1590" s="9"/>
      <c r="N1590" s="9"/>
      <c r="O1590" s="9"/>
      <c r="P1590" s="9"/>
      <c r="Q1590" s="9"/>
      <c r="R1590" s="9"/>
      <c r="S1590" s="9"/>
      <c r="T1590" s="9"/>
      <c r="U1590" s="9"/>
      <c r="V1590" s="9"/>
      <c r="W1590" s="9"/>
      <c r="X1590" s="9"/>
      <c r="Y1590" s="9"/>
      <c r="Z1590" s="9"/>
      <c r="AA1590" s="9"/>
      <c r="AB1590" s="9"/>
      <c r="AC1590" s="9"/>
      <c r="AD1590" s="9"/>
      <c r="AE1590" s="9"/>
      <c r="AF1590" s="9"/>
      <c r="AG1590" s="9"/>
      <c r="AH1590" s="9"/>
      <c r="AI1590" s="9"/>
      <c r="AJ1590" s="9"/>
      <c r="AK1590" s="9"/>
      <c r="AL1590" s="9"/>
      <c r="AM1590" s="9"/>
      <c r="AN1590" s="9"/>
      <c r="AO1590" s="9"/>
      <c r="AP1590" s="9"/>
      <c r="AQ1590" s="9"/>
      <c r="AR1590" s="9"/>
      <c r="AS1590" s="9"/>
      <c r="AT1590" s="9"/>
      <c r="AU1590" s="9"/>
    </row>
    <row r="1591" spans="1:47" ht="15.75" customHeight="1">
      <c r="A1591" s="9"/>
      <c r="B1591" s="9"/>
      <c r="C1591" s="9"/>
      <c r="D1591" s="9"/>
      <c r="E1591" s="9"/>
      <c r="F1591" s="67"/>
      <c r="G1591" s="9"/>
      <c r="H1591" s="9"/>
      <c r="I1591" s="9"/>
      <c r="J1591" s="9"/>
      <c r="K1591" s="9"/>
      <c r="L1591" s="9"/>
      <c r="M1591" s="9"/>
      <c r="N1591" s="9"/>
      <c r="O1591" s="9"/>
      <c r="P1591" s="9"/>
      <c r="Q1591" s="9"/>
      <c r="R1591" s="9"/>
      <c r="S1591" s="9"/>
      <c r="T1591" s="9"/>
      <c r="U1591" s="9"/>
      <c r="V1591" s="9"/>
      <c r="W1591" s="9"/>
      <c r="X1591" s="9"/>
      <c r="Y1591" s="9"/>
      <c r="Z1591" s="9"/>
      <c r="AA1591" s="9"/>
      <c r="AB1591" s="9"/>
      <c r="AC1591" s="9"/>
      <c r="AD1591" s="9"/>
      <c r="AE1591" s="9"/>
      <c r="AF1591" s="9"/>
      <c r="AG1591" s="9"/>
      <c r="AH1591" s="9"/>
      <c r="AI1591" s="9"/>
      <c r="AJ1591" s="9"/>
      <c r="AK1591" s="9"/>
      <c r="AL1591" s="9"/>
      <c r="AM1591" s="9"/>
      <c r="AN1591" s="9"/>
      <c r="AO1591" s="9"/>
      <c r="AP1591" s="9"/>
      <c r="AQ1591" s="9"/>
      <c r="AR1591" s="9"/>
      <c r="AS1591" s="9"/>
      <c r="AT1591" s="9"/>
      <c r="AU1591" s="9"/>
    </row>
    <row r="1592" spans="1:47" ht="15.75" customHeight="1">
      <c r="A1592" s="9"/>
      <c r="B1592" s="9"/>
      <c r="C1592" s="9"/>
      <c r="D1592" s="9"/>
      <c r="E1592" s="9"/>
      <c r="F1592" s="67"/>
      <c r="G1592" s="9"/>
      <c r="H1592" s="9"/>
      <c r="I1592" s="9"/>
      <c r="J1592" s="9"/>
      <c r="K1592" s="9"/>
      <c r="L1592" s="9"/>
      <c r="M1592" s="9"/>
      <c r="N1592" s="9"/>
      <c r="O1592" s="9"/>
      <c r="P1592" s="9"/>
      <c r="Q1592" s="9"/>
      <c r="R1592" s="9"/>
      <c r="S1592" s="9"/>
      <c r="T1592" s="9"/>
      <c r="U1592" s="9"/>
      <c r="V1592" s="9"/>
      <c r="W1592" s="9"/>
      <c r="X1592" s="9"/>
      <c r="Y1592" s="9"/>
      <c r="Z1592" s="9"/>
      <c r="AA1592" s="9"/>
      <c r="AB1592" s="9"/>
      <c r="AC1592" s="9"/>
      <c r="AD1592" s="9"/>
      <c r="AE1592" s="9"/>
      <c r="AF1592" s="9"/>
      <c r="AG1592" s="9"/>
      <c r="AH1592" s="9"/>
      <c r="AI1592" s="9"/>
      <c r="AJ1592" s="9"/>
      <c r="AK1592" s="9"/>
      <c r="AL1592" s="9"/>
      <c r="AM1592" s="9"/>
      <c r="AN1592" s="9"/>
      <c r="AO1592" s="9"/>
      <c r="AP1592" s="9"/>
      <c r="AQ1592" s="9"/>
      <c r="AR1592" s="9"/>
      <c r="AS1592" s="9"/>
      <c r="AT1592" s="9"/>
      <c r="AU1592" s="9"/>
    </row>
    <row r="1593" spans="1:47" ht="15.75" customHeight="1">
      <c r="A1593" s="9"/>
      <c r="B1593" s="9"/>
      <c r="C1593" s="9"/>
      <c r="D1593" s="9"/>
      <c r="E1593" s="9"/>
      <c r="F1593" s="67"/>
      <c r="G1593" s="9"/>
      <c r="H1593" s="9"/>
      <c r="I1593" s="9"/>
      <c r="J1593" s="9"/>
      <c r="K1593" s="9"/>
      <c r="L1593" s="9"/>
      <c r="M1593" s="9"/>
      <c r="N1593" s="9"/>
      <c r="O1593" s="9"/>
      <c r="P1593" s="9"/>
      <c r="Q1593" s="9"/>
      <c r="R1593" s="9"/>
      <c r="S1593" s="9"/>
      <c r="T1593" s="9"/>
      <c r="U1593" s="9"/>
      <c r="V1593" s="9"/>
      <c r="W1593" s="9"/>
      <c r="X1593" s="9"/>
      <c r="Y1593" s="9"/>
      <c r="Z1593" s="9"/>
      <c r="AA1593" s="9"/>
      <c r="AB1593" s="9"/>
      <c r="AC1593" s="9"/>
      <c r="AD1593" s="9"/>
      <c r="AE1593" s="9"/>
      <c r="AF1593" s="9"/>
      <c r="AG1593" s="9"/>
      <c r="AH1593" s="9"/>
      <c r="AI1593" s="9"/>
      <c r="AJ1593" s="9"/>
      <c r="AK1593" s="9"/>
      <c r="AL1593" s="9"/>
      <c r="AM1593" s="9"/>
      <c r="AN1593" s="9"/>
      <c r="AO1593" s="9"/>
      <c r="AP1593" s="9"/>
      <c r="AQ1593" s="9"/>
      <c r="AR1593" s="9"/>
      <c r="AS1593" s="9"/>
      <c r="AT1593" s="9"/>
      <c r="AU1593" s="9"/>
    </row>
    <row r="1594" spans="1:47" ht="15.75" customHeight="1">
      <c r="A1594" s="9"/>
      <c r="B1594" s="9"/>
      <c r="C1594" s="9"/>
      <c r="D1594" s="9"/>
      <c r="E1594" s="9"/>
      <c r="F1594" s="67"/>
      <c r="G1594" s="9"/>
      <c r="H1594" s="9"/>
      <c r="I1594" s="9"/>
      <c r="J1594" s="9"/>
      <c r="K1594" s="9"/>
      <c r="L1594" s="9"/>
      <c r="M1594" s="9"/>
      <c r="N1594" s="9"/>
      <c r="O1594" s="9"/>
      <c r="P1594" s="9"/>
      <c r="Q1594" s="9"/>
      <c r="R1594" s="9"/>
      <c r="S1594" s="9"/>
      <c r="T1594" s="9"/>
      <c r="U1594" s="9"/>
      <c r="V1594" s="9"/>
      <c r="W1594" s="9"/>
      <c r="X1594" s="9"/>
      <c r="Y1594" s="9"/>
      <c r="Z1594" s="9"/>
      <c r="AA1594" s="9"/>
      <c r="AB1594" s="9"/>
      <c r="AC1594" s="9"/>
      <c r="AD1594" s="9"/>
      <c r="AE1594" s="9"/>
      <c r="AF1594" s="9"/>
      <c r="AG1594" s="9"/>
      <c r="AH1594" s="9"/>
      <c r="AI1594" s="9"/>
      <c r="AJ1594" s="9"/>
      <c r="AK1594" s="9"/>
      <c r="AL1594" s="9"/>
      <c r="AM1594" s="9"/>
      <c r="AN1594" s="9"/>
      <c r="AO1594" s="9"/>
      <c r="AP1594" s="9"/>
      <c r="AQ1594" s="9"/>
      <c r="AR1594" s="9"/>
      <c r="AS1594" s="9"/>
      <c r="AT1594" s="9"/>
      <c r="AU1594" s="9"/>
    </row>
    <row r="1595" spans="1:47" ht="15.75" customHeight="1">
      <c r="A1595" s="9"/>
      <c r="B1595" s="9"/>
      <c r="C1595" s="9"/>
      <c r="D1595" s="9"/>
      <c r="E1595" s="9"/>
      <c r="F1595" s="67"/>
      <c r="G1595" s="9"/>
      <c r="H1595" s="9"/>
      <c r="I1595" s="9"/>
      <c r="J1595" s="9"/>
      <c r="K1595" s="9"/>
      <c r="L1595" s="9"/>
      <c r="M1595" s="9"/>
      <c r="N1595" s="9"/>
      <c r="O1595" s="9"/>
      <c r="P1595" s="9"/>
      <c r="Q1595" s="9"/>
      <c r="R1595" s="9"/>
      <c r="S1595" s="9"/>
      <c r="T1595" s="9"/>
      <c r="U1595" s="9"/>
      <c r="V1595" s="9"/>
      <c r="W1595" s="9"/>
      <c r="X1595" s="9"/>
      <c r="Y1595" s="9"/>
      <c r="Z1595" s="9"/>
      <c r="AA1595" s="9"/>
      <c r="AB1595" s="9"/>
      <c r="AC1595" s="9"/>
      <c r="AD1595" s="9"/>
      <c r="AE1595" s="9"/>
      <c r="AF1595" s="9"/>
      <c r="AG1595" s="9"/>
      <c r="AH1595" s="9"/>
      <c r="AI1595" s="9"/>
      <c r="AJ1595" s="9"/>
      <c r="AK1595" s="9"/>
      <c r="AL1595" s="9"/>
      <c r="AM1595" s="9"/>
      <c r="AN1595" s="9"/>
      <c r="AO1595" s="9"/>
      <c r="AP1595" s="9"/>
      <c r="AQ1595" s="9"/>
      <c r="AR1595" s="9"/>
      <c r="AS1595" s="9"/>
      <c r="AT1595" s="9"/>
      <c r="AU1595" s="9"/>
    </row>
    <row r="1596" spans="1:47" ht="15.75" customHeight="1">
      <c r="A1596" s="9"/>
      <c r="B1596" s="9"/>
      <c r="C1596" s="9"/>
      <c r="D1596" s="9"/>
      <c r="E1596" s="9"/>
      <c r="F1596" s="67"/>
      <c r="G1596" s="9"/>
      <c r="H1596" s="9"/>
      <c r="I1596" s="9"/>
      <c r="J1596" s="9"/>
      <c r="K1596" s="9"/>
      <c r="L1596" s="9"/>
      <c r="M1596" s="9"/>
      <c r="N1596" s="9"/>
      <c r="O1596" s="9"/>
      <c r="P1596" s="9"/>
      <c r="Q1596" s="9"/>
      <c r="R1596" s="9"/>
      <c r="S1596" s="9"/>
      <c r="T1596" s="9"/>
      <c r="U1596" s="9"/>
      <c r="V1596" s="9"/>
      <c r="W1596" s="9"/>
      <c r="X1596" s="9"/>
      <c r="Y1596" s="9"/>
      <c r="Z1596" s="9"/>
      <c r="AA1596" s="9"/>
      <c r="AB1596" s="9"/>
      <c r="AC1596" s="9"/>
      <c r="AD1596" s="9"/>
      <c r="AE1596" s="9"/>
      <c r="AF1596" s="9"/>
      <c r="AG1596" s="9"/>
      <c r="AH1596" s="9"/>
      <c r="AI1596" s="9"/>
      <c r="AJ1596" s="9"/>
      <c r="AK1596" s="9"/>
      <c r="AL1596" s="9"/>
      <c r="AM1596" s="9"/>
      <c r="AN1596" s="9"/>
      <c r="AO1596" s="9"/>
      <c r="AP1596" s="9"/>
      <c r="AQ1596" s="9"/>
      <c r="AR1596" s="9"/>
      <c r="AS1596" s="9"/>
      <c r="AT1596" s="9"/>
      <c r="AU1596" s="9"/>
    </row>
    <row r="1597" spans="1:47" ht="15.75" customHeight="1">
      <c r="A1597" s="9"/>
      <c r="B1597" s="9"/>
      <c r="C1597" s="9"/>
      <c r="D1597" s="9"/>
      <c r="E1597" s="9"/>
      <c r="F1597" s="67"/>
      <c r="G1597" s="9"/>
      <c r="H1597" s="9"/>
      <c r="I1597" s="9"/>
      <c r="J1597" s="9"/>
      <c r="K1597" s="9"/>
      <c r="L1597" s="9"/>
      <c r="M1597" s="9"/>
      <c r="N1597" s="9"/>
      <c r="O1597" s="9"/>
      <c r="P1597" s="9"/>
      <c r="Q1597" s="9"/>
      <c r="R1597" s="9"/>
      <c r="S1597" s="9"/>
      <c r="T1597" s="9"/>
      <c r="U1597" s="9"/>
      <c r="V1597" s="9"/>
      <c r="W1597" s="9"/>
      <c r="X1597" s="9"/>
      <c r="Y1597" s="9"/>
      <c r="Z1597" s="9"/>
      <c r="AA1597" s="9"/>
      <c r="AB1597" s="9"/>
      <c r="AC1597" s="9"/>
      <c r="AD1597" s="9"/>
      <c r="AE1597" s="9"/>
      <c r="AF1597" s="9"/>
      <c r="AG1597" s="9"/>
      <c r="AH1597" s="9"/>
      <c r="AI1597" s="9"/>
      <c r="AJ1597" s="9"/>
      <c r="AK1597" s="9"/>
      <c r="AL1597" s="9"/>
      <c r="AM1597" s="9"/>
      <c r="AN1597" s="9"/>
      <c r="AO1597" s="9"/>
      <c r="AP1597" s="9"/>
      <c r="AQ1597" s="9"/>
      <c r="AR1597" s="9"/>
      <c r="AS1597" s="9"/>
      <c r="AT1597" s="9"/>
      <c r="AU1597" s="9"/>
    </row>
    <row r="1598" spans="1:47" ht="15.75" customHeight="1">
      <c r="A1598" s="9"/>
      <c r="B1598" s="9"/>
      <c r="C1598" s="9"/>
      <c r="D1598" s="9"/>
      <c r="E1598" s="9"/>
      <c r="F1598" s="67"/>
      <c r="G1598" s="9"/>
      <c r="H1598" s="9"/>
      <c r="I1598" s="9"/>
      <c r="J1598" s="9"/>
      <c r="K1598" s="9"/>
      <c r="L1598" s="9"/>
      <c r="M1598" s="9"/>
      <c r="N1598" s="9"/>
      <c r="O1598" s="9"/>
      <c r="P1598" s="9"/>
      <c r="Q1598" s="9"/>
      <c r="R1598" s="9"/>
      <c r="S1598" s="9"/>
      <c r="T1598" s="9"/>
      <c r="U1598" s="9"/>
      <c r="V1598" s="9"/>
      <c r="W1598" s="9"/>
      <c r="X1598" s="9"/>
      <c r="Y1598" s="9"/>
      <c r="Z1598" s="9"/>
      <c r="AA1598" s="9"/>
      <c r="AB1598" s="9"/>
      <c r="AC1598" s="9"/>
      <c r="AD1598" s="9"/>
      <c r="AE1598" s="9"/>
      <c r="AF1598" s="9"/>
      <c r="AG1598" s="9"/>
      <c r="AH1598" s="9"/>
      <c r="AI1598" s="9"/>
      <c r="AJ1598" s="9"/>
      <c r="AK1598" s="9"/>
      <c r="AL1598" s="9"/>
      <c r="AM1598" s="9"/>
      <c r="AN1598" s="9"/>
      <c r="AO1598" s="9"/>
      <c r="AP1598" s="9"/>
      <c r="AQ1598" s="9"/>
      <c r="AR1598" s="9"/>
      <c r="AS1598" s="9"/>
      <c r="AT1598" s="9"/>
      <c r="AU1598" s="9"/>
    </row>
    <row r="1599" spans="1:47" ht="15.75" customHeight="1">
      <c r="A1599" s="9"/>
      <c r="B1599" s="9"/>
      <c r="C1599" s="9"/>
      <c r="D1599" s="9"/>
      <c r="E1599" s="9"/>
      <c r="F1599" s="67"/>
      <c r="G1599" s="9"/>
      <c r="H1599" s="9"/>
      <c r="I1599" s="9"/>
      <c r="J1599" s="9"/>
      <c r="K1599" s="9"/>
      <c r="L1599" s="9"/>
      <c r="M1599" s="9"/>
      <c r="N1599" s="9"/>
      <c r="O1599" s="9"/>
      <c r="P1599" s="9"/>
      <c r="Q1599" s="9"/>
      <c r="R1599" s="9"/>
      <c r="S1599" s="9"/>
      <c r="T1599" s="9"/>
      <c r="U1599" s="9"/>
      <c r="V1599" s="9"/>
      <c r="W1599" s="9"/>
      <c r="X1599" s="9"/>
      <c r="Y1599" s="9"/>
      <c r="Z1599" s="9"/>
      <c r="AA1599" s="9"/>
      <c r="AB1599" s="9"/>
      <c r="AC1599" s="9"/>
      <c r="AD1599" s="9"/>
      <c r="AE1599" s="9"/>
      <c r="AF1599" s="9"/>
      <c r="AG1599" s="9"/>
      <c r="AH1599" s="9"/>
      <c r="AI1599" s="9"/>
      <c r="AJ1599" s="9"/>
      <c r="AK1599" s="9"/>
      <c r="AL1599" s="9"/>
      <c r="AM1599" s="9"/>
      <c r="AN1599" s="9"/>
      <c r="AO1599" s="9"/>
      <c r="AP1599" s="9"/>
      <c r="AQ1599" s="9"/>
      <c r="AR1599" s="9"/>
      <c r="AS1599" s="9"/>
      <c r="AT1599" s="9"/>
      <c r="AU1599" s="9"/>
    </row>
    <row r="1600" spans="1:47" ht="15.75" customHeight="1">
      <c r="A1600" s="9"/>
      <c r="B1600" s="9"/>
      <c r="C1600" s="9"/>
      <c r="D1600" s="9"/>
      <c r="E1600" s="9"/>
      <c r="F1600" s="67"/>
      <c r="G1600" s="9"/>
      <c r="H1600" s="9"/>
      <c r="I1600" s="9"/>
      <c r="J1600" s="9"/>
      <c r="K1600" s="9"/>
      <c r="L1600" s="9"/>
      <c r="M1600" s="9"/>
      <c r="N1600" s="9"/>
      <c r="O1600" s="9"/>
      <c r="P1600" s="9"/>
      <c r="Q1600" s="9"/>
      <c r="R1600" s="9"/>
      <c r="S1600" s="9"/>
      <c r="T1600" s="9"/>
      <c r="U1600" s="9"/>
      <c r="V1600" s="9"/>
      <c r="W1600" s="9"/>
      <c r="X1600" s="9"/>
      <c r="Y1600" s="9"/>
      <c r="Z1600" s="9"/>
      <c r="AA1600" s="9"/>
      <c r="AB1600" s="9"/>
      <c r="AC1600" s="9"/>
      <c r="AD1600" s="9"/>
      <c r="AE1600" s="9"/>
      <c r="AF1600" s="9"/>
      <c r="AG1600" s="9"/>
      <c r="AH1600" s="9"/>
      <c r="AI1600" s="9"/>
      <c r="AJ1600" s="9"/>
      <c r="AK1600" s="9"/>
      <c r="AL1600" s="9"/>
      <c r="AM1600" s="9"/>
      <c r="AN1600" s="9"/>
      <c r="AO1600" s="9"/>
      <c r="AP1600" s="9"/>
      <c r="AQ1600" s="9"/>
      <c r="AR1600" s="9"/>
      <c r="AS1600" s="9"/>
      <c r="AT1600" s="9"/>
      <c r="AU1600" s="9"/>
    </row>
    <row r="1601" spans="1:47" ht="15.75" customHeight="1">
      <c r="A1601" s="9"/>
      <c r="B1601" s="9"/>
      <c r="C1601" s="9"/>
      <c r="D1601" s="9"/>
      <c r="E1601" s="9"/>
      <c r="F1601" s="67"/>
      <c r="G1601" s="9"/>
      <c r="H1601" s="9"/>
      <c r="I1601" s="9"/>
      <c r="J1601" s="9"/>
      <c r="K1601" s="9"/>
      <c r="L1601" s="9"/>
      <c r="M1601" s="9"/>
      <c r="N1601" s="9"/>
      <c r="O1601" s="9"/>
      <c r="P1601" s="9"/>
      <c r="Q1601" s="9"/>
      <c r="R1601" s="9"/>
      <c r="S1601" s="9"/>
      <c r="T1601" s="9"/>
      <c r="U1601" s="9"/>
      <c r="V1601" s="9"/>
      <c r="W1601" s="9"/>
      <c r="X1601" s="9"/>
      <c r="Y1601" s="9"/>
      <c r="Z1601" s="9"/>
      <c r="AA1601" s="9"/>
      <c r="AB1601" s="9"/>
      <c r="AC1601" s="9"/>
      <c r="AD1601" s="9"/>
      <c r="AE1601" s="9"/>
      <c r="AF1601" s="9"/>
      <c r="AG1601" s="9"/>
      <c r="AH1601" s="9"/>
      <c r="AI1601" s="9"/>
      <c r="AJ1601" s="9"/>
      <c r="AK1601" s="9"/>
      <c r="AL1601" s="9"/>
      <c r="AM1601" s="9"/>
      <c r="AN1601" s="9"/>
      <c r="AO1601" s="9"/>
      <c r="AP1601" s="9"/>
      <c r="AQ1601" s="9"/>
      <c r="AR1601" s="9"/>
      <c r="AS1601" s="9"/>
      <c r="AT1601" s="9"/>
      <c r="AU1601" s="9"/>
    </row>
    <row r="1602" spans="1:47" ht="15.75" customHeight="1">
      <c r="A1602" s="9"/>
      <c r="B1602" s="9"/>
      <c r="C1602" s="9"/>
      <c r="D1602" s="9"/>
      <c r="E1602" s="9"/>
      <c r="F1602" s="67"/>
      <c r="G1602" s="9"/>
      <c r="H1602" s="9"/>
      <c r="I1602" s="9"/>
      <c r="J1602" s="9"/>
      <c r="K1602" s="9"/>
      <c r="L1602" s="9"/>
      <c r="M1602" s="9"/>
      <c r="N1602" s="9"/>
      <c r="O1602" s="9"/>
      <c r="P1602" s="9"/>
      <c r="Q1602" s="9"/>
      <c r="R1602" s="9"/>
      <c r="S1602" s="9"/>
      <c r="T1602" s="9"/>
      <c r="U1602" s="9"/>
      <c r="V1602" s="9"/>
      <c r="W1602" s="9"/>
      <c r="X1602" s="9"/>
      <c r="Y1602" s="9"/>
      <c r="Z1602" s="9"/>
      <c r="AA1602" s="9"/>
      <c r="AB1602" s="9"/>
      <c r="AC1602" s="9"/>
      <c r="AD1602" s="9"/>
      <c r="AE1602" s="9"/>
      <c r="AF1602" s="9"/>
      <c r="AG1602" s="9"/>
      <c r="AH1602" s="9"/>
      <c r="AI1602" s="9"/>
      <c r="AJ1602" s="9"/>
      <c r="AK1602" s="9"/>
      <c r="AL1602" s="9"/>
      <c r="AM1602" s="9"/>
      <c r="AN1602" s="9"/>
      <c r="AO1602" s="9"/>
      <c r="AP1602" s="9"/>
      <c r="AQ1602" s="9"/>
      <c r="AR1602" s="9"/>
      <c r="AS1602" s="9"/>
      <c r="AT1602" s="9"/>
      <c r="AU1602" s="9"/>
    </row>
    <row r="1603" spans="1:47" ht="15.75" customHeight="1">
      <c r="A1603" s="9"/>
      <c r="B1603" s="9"/>
      <c r="C1603" s="9"/>
      <c r="D1603" s="9"/>
      <c r="E1603" s="9"/>
      <c r="F1603" s="67"/>
      <c r="G1603" s="9"/>
      <c r="H1603" s="9"/>
      <c r="I1603" s="9"/>
      <c r="J1603" s="9"/>
      <c r="K1603" s="9"/>
      <c r="L1603" s="9"/>
      <c r="M1603" s="9"/>
      <c r="N1603" s="9"/>
      <c r="O1603" s="9"/>
      <c r="P1603" s="9"/>
      <c r="Q1603" s="9"/>
      <c r="R1603" s="9"/>
      <c r="S1603" s="9"/>
      <c r="T1603" s="9"/>
      <c r="U1603" s="9"/>
      <c r="V1603" s="9"/>
      <c r="W1603" s="9"/>
      <c r="X1603" s="9"/>
      <c r="Y1603" s="9"/>
      <c r="Z1603" s="9"/>
      <c r="AA1603" s="9"/>
      <c r="AB1603" s="9"/>
      <c r="AC1603" s="9"/>
      <c r="AD1603" s="9"/>
      <c r="AE1603" s="9"/>
      <c r="AF1603" s="9"/>
      <c r="AG1603" s="9"/>
      <c r="AH1603" s="9"/>
      <c r="AI1603" s="9"/>
      <c r="AJ1603" s="9"/>
      <c r="AK1603" s="9"/>
      <c r="AL1603" s="9"/>
      <c r="AM1603" s="9"/>
      <c r="AN1603" s="9"/>
      <c r="AO1603" s="9"/>
      <c r="AP1603" s="9"/>
      <c r="AQ1603" s="9"/>
      <c r="AR1603" s="9"/>
      <c r="AS1603" s="9"/>
      <c r="AT1603" s="9"/>
      <c r="AU1603" s="9"/>
    </row>
    <row r="1604" spans="1:47" ht="15.75" customHeight="1">
      <c r="A1604" s="9"/>
      <c r="B1604" s="9"/>
      <c r="C1604" s="9"/>
      <c r="D1604" s="9"/>
      <c r="E1604" s="9"/>
      <c r="F1604" s="67"/>
      <c r="G1604" s="9"/>
      <c r="H1604" s="9"/>
      <c r="I1604" s="9"/>
      <c r="J1604" s="9"/>
      <c r="K1604" s="9"/>
      <c r="L1604" s="9"/>
      <c r="M1604" s="9"/>
      <c r="N1604" s="9"/>
      <c r="O1604" s="9"/>
      <c r="P1604" s="9"/>
      <c r="Q1604" s="9"/>
      <c r="R1604" s="9"/>
      <c r="S1604" s="9"/>
      <c r="T1604" s="9"/>
      <c r="U1604" s="9"/>
      <c r="V1604" s="9"/>
      <c r="W1604" s="9"/>
      <c r="X1604" s="9"/>
      <c r="Y1604" s="9"/>
      <c r="Z1604" s="9"/>
      <c r="AA1604" s="9"/>
      <c r="AB1604" s="9"/>
      <c r="AC1604" s="9"/>
      <c r="AD1604" s="9"/>
      <c r="AE1604" s="9"/>
      <c r="AF1604" s="9"/>
      <c r="AG1604" s="9"/>
      <c r="AH1604" s="9"/>
      <c r="AI1604" s="9"/>
      <c r="AJ1604" s="9"/>
      <c r="AK1604" s="9"/>
      <c r="AL1604" s="9"/>
      <c r="AM1604" s="9"/>
      <c r="AN1604" s="9"/>
      <c r="AO1604" s="9"/>
      <c r="AP1604" s="9"/>
      <c r="AQ1604" s="9"/>
      <c r="AR1604" s="9"/>
      <c r="AS1604" s="9"/>
      <c r="AT1604" s="9"/>
      <c r="AU1604" s="9"/>
    </row>
    <row r="1605" spans="1:47" ht="15.75" customHeight="1">
      <c r="A1605" s="9"/>
      <c r="B1605" s="9"/>
      <c r="C1605" s="9"/>
      <c r="D1605" s="9"/>
      <c r="E1605" s="9"/>
      <c r="F1605" s="67"/>
      <c r="G1605" s="9"/>
      <c r="H1605" s="9"/>
      <c r="I1605" s="9"/>
      <c r="J1605" s="9"/>
      <c r="K1605" s="9"/>
      <c r="L1605" s="9"/>
      <c r="M1605" s="9"/>
      <c r="N1605" s="9"/>
      <c r="O1605" s="9"/>
      <c r="P1605" s="9"/>
      <c r="Q1605" s="9"/>
      <c r="R1605" s="9"/>
      <c r="S1605" s="9"/>
      <c r="T1605" s="9"/>
      <c r="U1605" s="9"/>
      <c r="V1605" s="9"/>
      <c r="W1605" s="9"/>
      <c r="X1605" s="9"/>
      <c r="Y1605" s="9"/>
      <c r="Z1605" s="9"/>
      <c r="AA1605" s="9"/>
      <c r="AB1605" s="9"/>
      <c r="AC1605" s="9"/>
      <c r="AD1605" s="9"/>
      <c r="AE1605" s="9"/>
      <c r="AF1605" s="9"/>
      <c r="AG1605" s="9"/>
      <c r="AH1605" s="9"/>
      <c r="AI1605" s="9"/>
      <c r="AJ1605" s="9"/>
      <c r="AK1605" s="9"/>
      <c r="AL1605" s="9"/>
      <c r="AM1605" s="9"/>
      <c r="AN1605" s="9"/>
      <c r="AO1605" s="9"/>
      <c r="AP1605" s="9"/>
      <c r="AQ1605" s="9"/>
      <c r="AR1605" s="9"/>
      <c r="AS1605" s="9"/>
      <c r="AT1605" s="9"/>
      <c r="AU1605" s="9"/>
    </row>
    <row r="1606" spans="1:47" ht="15.75" customHeight="1">
      <c r="A1606" s="9"/>
      <c r="B1606" s="9"/>
      <c r="C1606" s="9"/>
      <c r="D1606" s="9"/>
      <c r="E1606" s="9"/>
      <c r="F1606" s="67"/>
      <c r="G1606" s="9"/>
      <c r="H1606" s="9"/>
      <c r="I1606" s="9"/>
      <c r="J1606" s="9"/>
      <c r="K1606" s="9"/>
      <c r="L1606" s="9"/>
      <c r="M1606" s="9"/>
      <c r="N1606" s="9"/>
      <c r="O1606" s="9"/>
      <c r="P1606" s="9"/>
      <c r="Q1606" s="9"/>
      <c r="R1606" s="9"/>
      <c r="S1606" s="9"/>
      <c r="T1606" s="9"/>
      <c r="U1606" s="9"/>
      <c r="V1606" s="9"/>
      <c r="W1606" s="9"/>
      <c r="X1606" s="9"/>
      <c r="Y1606" s="9"/>
      <c r="Z1606" s="9"/>
      <c r="AA1606" s="9"/>
      <c r="AB1606" s="9"/>
      <c r="AC1606" s="9"/>
      <c r="AD1606" s="9"/>
      <c r="AE1606" s="9"/>
      <c r="AF1606" s="9"/>
      <c r="AG1606" s="9"/>
      <c r="AH1606" s="9"/>
      <c r="AI1606" s="9"/>
      <c r="AJ1606" s="9"/>
      <c r="AK1606" s="9"/>
      <c r="AL1606" s="9"/>
      <c r="AM1606" s="9"/>
      <c r="AN1606" s="9"/>
      <c r="AO1606" s="9"/>
      <c r="AP1606" s="9"/>
      <c r="AQ1606" s="9"/>
      <c r="AR1606" s="9"/>
      <c r="AS1606" s="9"/>
      <c r="AT1606" s="9"/>
      <c r="AU1606" s="9"/>
    </row>
    <row r="1607" spans="1:47" ht="15.75" customHeight="1">
      <c r="A1607" s="9"/>
      <c r="B1607" s="9"/>
      <c r="C1607" s="9"/>
      <c r="D1607" s="9"/>
      <c r="E1607" s="9"/>
      <c r="F1607" s="67"/>
      <c r="G1607" s="9"/>
      <c r="H1607" s="9"/>
      <c r="I1607" s="9"/>
      <c r="J1607" s="9"/>
      <c r="K1607" s="9"/>
      <c r="L1607" s="9"/>
      <c r="M1607" s="9"/>
      <c r="N1607" s="9"/>
      <c r="O1607" s="9"/>
      <c r="P1607" s="9"/>
      <c r="Q1607" s="9"/>
      <c r="R1607" s="9"/>
      <c r="S1607" s="9"/>
      <c r="T1607" s="9"/>
      <c r="U1607" s="9"/>
      <c r="V1607" s="9"/>
      <c r="W1607" s="9"/>
      <c r="X1607" s="9"/>
      <c r="Y1607" s="9"/>
      <c r="Z1607" s="9"/>
      <c r="AA1607" s="9"/>
      <c r="AB1607" s="9"/>
      <c r="AC1607" s="9"/>
      <c r="AD1607" s="9"/>
      <c r="AE1607" s="9"/>
      <c r="AF1607" s="9"/>
      <c r="AG1607" s="9"/>
      <c r="AH1607" s="9"/>
      <c r="AI1607" s="9"/>
      <c r="AJ1607" s="9"/>
      <c r="AK1607" s="9"/>
      <c r="AL1607" s="9"/>
      <c r="AM1607" s="9"/>
      <c r="AN1607" s="9"/>
      <c r="AO1607" s="9"/>
      <c r="AP1607" s="9"/>
      <c r="AQ1607" s="9"/>
      <c r="AR1607" s="9"/>
      <c r="AS1607" s="9"/>
      <c r="AT1607" s="9"/>
      <c r="AU1607" s="9"/>
    </row>
    <row r="1608" spans="1:47" ht="15.75" customHeight="1">
      <c r="A1608" s="9"/>
      <c r="B1608" s="9"/>
      <c r="C1608" s="9"/>
      <c r="D1608" s="9"/>
      <c r="E1608" s="9"/>
      <c r="F1608" s="67"/>
      <c r="G1608" s="9"/>
      <c r="H1608" s="9"/>
      <c r="I1608" s="9"/>
      <c r="J1608" s="9"/>
      <c r="K1608" s="9"/>
      <c r="L1608" s="9"/>
      <c r="M1608" s="9"/>
      <c r="N1608" s="9"/>
      <c r="O1608" s="9"/>
      <c r="P1608" s="9"/>
      <c r="Q1608" s="9"/>
      <c r="R1608" s="9"/>
      <c r="S1608" s="9"/>
      <c r="T1608" s="9"/>
      <c r="U1608" s="9"/>
      <c r="V1608" s="9"/>
      <c r="W1608" s="9"/>
      <c r="X1608" s="9"/>
      <c r="Y1608" s="9"/>
      <c r="Z1608" s="9"/>
      <c r="AA1608" s="9"/>
      <c r="AB1608" s="9"/>
      <c r="AC1608" s="9"/>
      <c r="AD1608" s="9"/>
      <c r="AE1608" s="9"/>
      <c r="AF1608" s="9"/>
      <c r="AG1608" s="9"/>
      <c r="AH1608" s="9"/>
      <c r="AI1608" s="9"/>
      <c r="AJ1608" s="9"/>
      <c r="AK1608" s="9"/>
      <c r="AL1608" s="9"/>
      <c r="AM1608" s="9"/>
      <c r="AN1608" s="9"/>
      <c r="AO1608" s="9"/>
      <c r="AP1608" s="9"/>
      <c r="AQ1608" s="9"/>
      <c r="AR1608" s="9"/>
      <c r="AS1608" s="9"/>
      <c r="AT1608" s="9"/>
      <c r="AU1608" s="9"/>
    </row>
    <row r="1609" spans="1:47" ht="15.75" customHeight="1">
      <c r="A1609" s="9"/>
      <c r="B1609" s="9"/>
      <c r="C1609" s="9"/>
      <c r="D1609" s="9"/>
      <c r="E1609" s="9"/>
      <c r="F1609" s="67"/>
      <c r="G1609" s="9"/>
      <c r="H1609" s="9"/>
      <c r="I1609" s="9"/>
      <c r="J1609" s="9"/>
      <c r="K1609" s="9"/>
      <c r="L1609" s="9"/>
      <c r="M1609" s="9"/>
      <c r="N1609" s="9"/>
      <c r="O1609" s="9"/>
      <c r="P1609" s="9"/>
      <c r="Q1609" s="9"/>
      <c r="R1609" s="9"/>
      <c r="S1609" s="9"/>
      <c r="T1609" s="9"/>
      <c r="U1609" s="9"/>
      <c r="V1609" s="9"/>
      <c r="W1609" s="9"/>
      <c r="X1609" s="9"/>
      <c r="Y1609" s="9"/>
      <c r="Z1609" s="9"/>
      <c r="AA1609" s="9"/>
      <c r="AB1609" s="9"/>
      <c r="AC1609" s="9"/>
      <c r="AD1609" s="9"/>
      <c r="AE1609" s="9"/>
      <c r="AF1609" s="9"/>
      <c r="AG1609" s="9"/>
      <c r="AH1609" s="9"/>
      <c r="AI1609" s="9"/>
      <c r="AJ1609" s="9"/>
      <c r="AK1609" s="9"/>
      <c r="AL1609" s="9"/>
      <c r="AM1609" s="9"/>
      <c r="AN1609" s="9"/>
      <c r="AO1609" s="9"/>
      <c r="AP1609" s="9"/>
      <c r="AQ1609" s="9"/>
      <c r="AR1609" s="9"/>
      <c r="AS1609" s="9"/>
      <c r="AT1609" s="9"/>
      <c r="AU1609" s="9"/>
    </row>
    <row r="1610" spans="1:47" ht="15.75" customHeight="1">
      <c r="A1610" s="9"/>
      <c r="B1610" s="9"/>
      <c r="C1610" s="9"/>
      <c r="D1610" s="9"/>
      <c r="E1610" s="9"/>
      <c r="F1610" s="67"/>
      <c r="G1610" s="9"/>
      <c r="H1610" s="9"/>
      <c r="I1610" s="9"/>
      <c r="J1610" s="9"/>
      <c r="K1610" s="9"/>
      <c r="L1610" s="9"/>
      <c r="M1610" s="9"/>
      <c r="N1610" s="9"/>
      <c r="O1610" s="9"/>
      <c r="P1610" s="9"/>
      <c r="Q1610" s="9"/>
      <c r="R1610" s="9"/>
      <c r="S1610" s="9"/>
      <c r="T1610" s="9"/>
      <c r="U1610" s="9"/>
      <c r="V1610" s="9"/>
      <c r="W1610" s="9"/>
      <c r="X1610" s="9"/>
      <c r="Y1610" s="9"/>
      <c r="Z1610" s="9"/>
      <c r="AA1610" s="9"/>
      <c r="AB1610" s="9"/>
      <c r="AC1610" s="9"/>
      <c r="AD1610" s="9"/>
      <c r="AE1610" s="9"/>
      <c r="AF1610" s="9"/>
      <c r="AG1610" s="9"/>
      <c r="AH1610" s="9"/>
      <c r="AI1610" s="9"/>
      <c r="AJ1610" s="9"/>
      <c r="AK1610" s="9"/>
      <c r="AL1610" s="9"/>
      <c r="AM1610" s="9"/>
      <c r="AN1610" s="9"/>
      <c r="AO1610" s="9"/>
      <c r="AP1610" s="9"/>
      <c r="AQ1610" s="9"/>
      <c r="AR1610" s="9"/>
      <c r="AS1610" s="9"/>
      <c r="AT1610" s="9"/>
      <c r="AU1610" s="9"/>
    </row>
    <row r="1611" spans="1:47" ht="15.75" customHeight="1">
      <c r="A1611" s="9"/>
      <c r="B1611" s="9"/>
      <c r="C1611" s="9"/>
      <c r="D1611" s="9"/>
      <c r="E1611" s="9"/>
      <c r="F1611" s="67"/>
      <c r="G1611" s="9"/>
      <c r="H1611" s="9"/>
      <c r="I1611" s="9"/>
      <c r="J1611" s="9"/>
      <c r="K1611" s="9"/>
      <c r="L1611" s="9"/>
      <c r="M1611" s="9"/>
      <c r="N1611" s="9"/>
      <c r="O1611" s="9"/>
      <c r="P1611" s="9"/>
      <c r="Q1611" s="9"/>
      <c r="R1611" s="9"/>
      <c r="S1611" s="9"/>
      <c r="T1611" s="9"/>
      <c r="U1611" s="9"/>
      <c r="V1611" s="9"/>
      <c r="W1611" s="9"/>
      <c r="X1611" s="9"/>
      <c r="Y1611" s="9"/>
      <c r="Z1611" s="9"/>
      <c r="AA1611" s="9"/>
      <c r="AB1611" s="9"/>
      <c r="AC1611" s="9"/>
      <c r="AD1611" s="9"/>
      <c r="AE1611" s="9"/>
      <c r="AF1611" s="9"/>
      <c r="AG1611" s="9"/>
      <c r="AH1611" s="9"/>
      <c r="AI1611" s="9"/>
      <c r="AJ1611" s="9"/>
      <c r="AK1611" s="9"/>
      <c r="AL1611" s="9"/>
      <c r="AM1611" s="9"/>
      <c r="AN1611" s="9"/>
      <c r="AO1611" s="9"/>
      <c r="AP1611" s="9"/>
      <c r="AQ1611" s="9"/>
      <c r="AR1611" s="9"/>
      <c r="AS1611" s="9"/>
      <c r="AT1611" s="9"/>
      <c r="AU1611" s="9"/>
    </row>
    <row r="1612" spans="1:47" ht="15.75" customHeight="1">
      <c r="A1612" s="9"/>
      <c r="B1612" s="9"/>
      <c r="C1612" s="9"/>
      <c r="D1612" s="9"/>
      <c r="E1612" s="9"/>
      <c r="F1612" s="67"/>
      <c r="G1612" s="9"/>
      <c r="H1612" s="9"/>
      <c r="I1612" s="9"/>
      <c r="J1612" s="9"/>
      <c r="K1612" s="9"/>
      <c r="L1612" s="9"/>
      <c r="M1612" s="9"/>
      <c r="N1612" s="9"/>
      <c r="O1612" s="9"/>
      <c r="P1612" s="9"/>
      <c r="Q1612" s="9"/>
      <c r="R1612" s="9"/>
      <c r="S1612" s="9"/>
      <c r="T1612" s="9"/>
      <c r="U1612" s="9"/>
      <c r="V1612" s="9"/>
      <c r="W1612" s="9"/>
      <c r="X1612" s="9"/>
      <c r="Y1612" s="9"/>
      <c r="Z1612" s="9"/>
      <c r="AA1612" s="9"/>
      <c r="AB1612" s="9"/>
      <c r="AC1612" s="9"/>
      <c r="AD1612" s="9"/>
      <c r="AE1612" s="9"/>
      <c r="AF1612" s="9"/>
      <c r="AG1612" s="9"/>
      <c r="AH1612" s="9"/>
      <c r="AI1612" s="9"/>
      <c r="AJ1612" s="9"/>
      <c r="AK1612" s="9"/>
      <c r="AL1612" s="9"/>
      <c r="AM1612" s="9"/>
      <c r="AN1612" s="9"/>
      <c r="AO1612" s="9"/>
      <c r="AP1612" s="9"/>
      <c r="AQ1612" s="9"/>
      <c r="AR1612" s="9"/>
      <c r="AS1612" s="9"/>
      <c r="AT1612" s="9"/>
      <c r="AU1612" s="9"/>
    </row>
    <row r="1613" spans="1:47" ht="15.75" customHeight="1">
      <c r="A1613" s="9"/>
      <c r="B1613" s="9"/>
      <c r="C1613" s="9"/>
      <c r="D1613" s="9"/>
      <c r="E1613" s="9"/>
      <c r="F1613" s="67"/>
      <c r="G1613" s="9"/>
      <c r="H1613" s="9"/>
      <c r="I1613" s="9"/>
      <c r="J1613" s="9"/>
      <c r="K1613" s="9"/>
      <c r="L1613" s="9"/>
      <c r="M1613" s="9"/>
      <c r="N1613" s="9"/>
      <c r="O1613" s="9"/>
      <c r="P1613" s="9"/>
      <c r="Q1613" s="9"/>
      <c r="R1613" s="9"/>
      <c r="S1613" s="9"/>
      <c r="T1613" s="9"/>
      <c r="U1613" s="9"/>
      <c r="V1613" s="9"/>
      <c r="W1613" s="9"/>
      <c r="X1613" s="9"/>
      <c r="Y1613" s="9"/>
      <c r="Z1613" s="9"/>
      <c r="AA1613" s="9"/>
      <c r="AB1613" s="9"/>
      <c r="AC1613" s="9"/>
      <c r="AD1613" s="9"/>
      <c r="AE1613" s="9"/>
      <c r="AF1613" s="9"/>
      <c r="AG1613" s="9"/>
      <c r="AH1613" s="9"/>
      <c r="AI1613" s="9"/>
      <c r="AJ1613" s="9"/>
      <c r="AK1613" s="9"/>
      <c r="AL1613" s="9"/>
      <c r="AM1613" s="9"/>
      <c r="AN1613" s="9"/>
      <c r="AO1613" s="9"/>
      <c r="AP1613" s="9"/>
      <c r="AQ1613" s="9"/>
      <c r="AR1613" s="9"/>
      <c r="AS1613" s="9"/>
      <c r="AT1613" s="9"/>
      <c r="AU1613" s="9"/>
    </row>
    <row r="1614" spans="1:47" ht="15.75" customHeight="1">
      <c r="A1614" s="9"/>
      <c r="B1614" s="9"/>
      <c r="C1614" s="9"/>
      <c r="D1614" s="9"/>
      <c r="E1614" s="9"/>
      <c r="F1614" s="67"/>
      <c r="G1614" s="9"/>
      <c r="H1614" s="9"/>
      <c r="I1614" s="9"/>
      <c r="J1614" s="9"/>
      <c r="K1614" s="9"/>
      <c r="L1614" s="9"/>
      <c r="M1614" s="9"/>
      <c r="N1614" s="9"/>
      <c r="O1614" s="9"/>
      <c r="P1614" s="9"/>
      <c r="Q1614" s="9"/>
      <c r="R1614" s="9"/>
      <c r="S1614" s="9"/>
      <c r="T1614" s="9"/>
      <c r="U1614" s="9"/>
      <c r="V1614" s="9"/>
      <c r="W1614" s="9"/>
      <c r="X1614" s="9"/>
      <c r="Y1614" s="9"/>
      <c r="Z1614" s="9"/>
      <c r="AA1614" s="9"/>
      <c r="AB1614" s="9"/>
      <c r="AC1614" s="9"/>
      <c r="AD1614" s="9"/>
      <c r="AE1614" s="9"/>
      <c r="AF1614" s="9"/>
      <c r="AG1614" s="9"/>
      <c r="AH1614" s="9"/>
      <c r="AI1614" s="9"/>
      <c r="AJ1614" s="9"/>
      <c r="AK1614" s="9"/>
      <c r="AL1614" s="9"/>
      <c r="AM1614" s="9"/>
      <c r="AN1614" s="9"/>
      <c r="AO1614" s="9"/>
      <c r="AP1614" s="9"/>
      <c r="AQ1614" s="9"/>
      <c r="AR1614" s="9"/>
      <c r="AS1614" s="9"/>
      <c r="AT1614" s="9"/>
      <c r="AU1614" s="9"/>
    </row>
    <row r="1615" spans="1:47" ht="15.75" customHeight="1">
      <c r="A1615" s="9"/>
      <c r="B1615" s="9"/>
      <c r="C1615" s="9"/>
      <c r="D1615" s="9"/>
      <c r="E1615" s="9"/>
      <c r="F1615" s="67"/>
      <c r="G1615" s="9"/>
      <c r="H1615" s="9"/>
      <c r="I1615" s="9"/>
      <c r="J1615" s="9"/>
      <c r="K1615" s="9"/>
      <c r="L1615" s="9"/>
      <c r="M1615" s="9"/>
      <c r="N1615" s="9"/>
      <c r="O1615" s="9"/>
      <c r="P1615" s="9"/>
      <c r="Q1615" s="9"/>
      <c r="R1615" s="9"/>
      <c r="S1615" s="9"/>
      <c r="T1615" s="9"/>
      <c r="U1615" s="9"/>
      <c r="V1615" s="9"/>
      <c r="W1615" s="9"/>
      <c r="X1615" s="9"/>
      <c r="Y1615" s="9"/>
      <c r="Z1615" s="9"/>
      <c r="AA1615" s="9"/>
      <c r="AB1615" s="9"/>
      <c r="AC1615" s="9"/>
      <c r="AD1615" s="9"/>
      <c r="AE1615" s="9"/>
      <c r="AF1615" s="9"/>
      <c r="AG1615" s="9"/>
      <c r="AH1615" s="9"/>
      <c r="AI1615" s="9"/>
      <c r="AJ1615" s="9"/>
      <c r="AK1615" s="9"/>
      <c r="AL1615" s="9"/>
      <c r="AM1615" s="9"/>
      <c r="AN1615" s="9"/>
      <c r="AO1615" s="9"/>
      <c r="AP1615" s="9"/>
      <c r="AQ1615" s="9"/>
      <c r="AR1615" s="9"/>
      <c r="AS1615" s="9"/>
      <c r="AT1615" s="9"/>
      <c r="AU1615" s="9"/>
    </row>
    <row r="1616" spans="1:47" ht="15.75" customHeight="1">
      <c r="A1616" s="9"/>
      <c r="B1616" s="9"/>
      <c r="C1616" s="9"/>
      <c r="D1616" s="9"/>
      <c r="E1616" s="9"/>
      <c r="F1616" s="67"/>
      <c r="G1616" s="9"/>
      <c r="H1616" s="9"/>
      <c r="I1616" s="9"/>
      <c r="J1616" s="9"/>
      <c r="K1616" s="9"/>
      <c r="L1616" s="9"/>
      <c r="M1616" s="9"/>
      <c r="N1616" s="9"/>
      <c r="O1616" s="9"/>
      <c r="P1616" s="9"/>
      <c r="Q1616" s="9"/>
      <c r="R1616" s="9"/>
      <c r="S1616" s="9"/>
      <c r="T1616" s="9"/>
      <c r="U1616" s="9"/>
      <c r="V1616" s="9"/>
      <c r="W1616" s="9"/>
      <c r="X1616" s="9"/>
      <c r="Y1616" s="9"/>
      <c r="Z1616" s="9"/>
      <c r="AA1616" s="9"/>
      <c r="AB1616" s="9"/>
      <c r="AC1616" s="9"/>
      <c r="AD1616" s="9"/>
      <c r="AE1616" s="9"/>
      <c r="AF1616" s="9"/>
      <c r="AG1616" s="9"/>
      <c r="AH1616" s="9"/>
      <c r="AI1616" s="9"/>
      <c r="AJ1616" s="9"/>
      <c r="AK1616" s="9"/>
      <c r="AL1616" s="9"/>
      <c r="AM1616" s="9"/>
      <c r="AN1616" s="9"/>
      <c r="AO1616" s="9"/>
      <c r="AP1616" s="9"/>
      <c r="AQ1616" s="9"/>
      <c r="AR1616" s="9"/>
      <c r="AS1616" s="9"/>
      <c r="AT1616" s="9"/>
      <c r="AU1616" s="9"/>
    </row>
    <row r="1617" spans="1:47" ht="15.75" customHeight="1">
      <c r="A1617" s="9"/>
      <c r="B1617" s="9"/>
      <c r="C1617" s="9"/>
      <c r="D1617" s="9"/>
      <c r="E1617" s="9"/>
      <c r="F1617" s="67"/>
      <c r="G1617" s="9"/>
      <c r="H1617" s="9"/>
      <c r="I1617" s="9"/>
      <c r="J1617" s="9"/>
      <c r="K1617" s="9"/>
      <c r="L1617" s="9"/>
      <c r="M1617" s="9"/>
      <c r="N1617" s="9"/>
      <c r="O1617" s="9"/>
      <c r="P1617" s="9"/>
      <c r="Q1617" s="9"/>
      <c r="R1617" s="9"/>
      <c r="S1617" s="9"/>
      <c r="T1617" s="9"/>
      <c r="U1617" s="9"/>
      <c r="V1617" s="9"/>
      <c r="W1617" s="9"/>
      <c r="X1617" s="9"/>
      <c r="Y1617" s="9"/>
      <c r="Z1617" s="9"/>
      <c r="AA1617" s="9"/>
      <c r="AB1617" s="9"/>
      <c r="AC1617" s="9"/>
      <c r="AD1617" s="9"/>
      <c r="AE1617" s="9"/>
      <c r="AF1617" s="9"/>
      <c r="AG1617" s="9"/>
      <c r="AH1617" s="9"/>
      <c r="AI1617" s="9"/>
      <c r="AJ1617" s="9"/>
      <c r="AK1617" s="9"/>
      <c r="AL1617" s="9"/>
      <c r="AM1617" s="9"/>
      <c r="AN1617" s="9"/>
      <c r="AO1617" s="9"/>
      <c r="AP1617" s="9"/>
      <c r="AQ1617" s="9"/>
      <c r="AR1617" s="9"/>
      <c r="AS1617" s="9"/>
      <c r="AT1617" s="9"/>
      <c r="AU1617" s="9"/>
    </row>
    <row r="1618" spans="1:47" ht="15.75" customHeight="1">
      <c r="A1618" s="9"/>
      <c r="B1618" s="9"/>
      <c r="C1618" s="9"/>
      <c r="D1618" s="9"/>
      <c r="E1618" s="9"/>
      <c r="F1618" s="67"/>
      <c r="G1618" s="9"/>
      <c r="H1618" s="9"/>
      <c r="I1618" s="9"/>
      <c r="J1618" s="9"/>
      <c r="K1618" s="9"/>
      <c r="L1618" s="9"/>
      <c r="M1618" s="9"/>
      <c r="N1618" s="9"/>
      <c r="O1618" s="9"/>
      <c r="P1618" s="9"/>
      <c r="Q1618" s="9"/>
      <c r="R1618" s="9"/>
      <c r="S1618" s="9"/>
      <c r="T1618" s="9"/>
      <c r="U1618" s="9"/>
      <c r="V1618" s="9"/>
      <c r="W1618" s="9"/>
      <c r="X1618" s="9"/>
      <c r="Y1618" s="9"/>
      <c r="Z1618" s="9"/>
      <c r="AA1618" s="9"/>
      <c r="AB1618" s="9"/>
      <c r="AC1618" s="9"/>
      <c r="AD1618" s="9"/>
      <c r="AE1618" s="9"/>
      <c r="AF1618" s="9"/>
      <c r="AG1618" s="9"/>
      <c r="AH1618" s="9"/>
      <c r="AI1618" s="9"/>
      <c r="AJ1618" s="9"/>
      <c r="AK1618" s="9"/>
      <c r="AL1618" s="9"/>
      <c r="AM1618" s="9"/>
      <c r="AN1618" s="9"/>
      <c r="AO1618" s="9"/>
      <c r="AP1618" s="9"/>
      <c r="AQ1618" s="9"/>
      <c r="AR1618" s="9"/>
      <c r="AS1618" s="9"/>
      <c r="AT1618" s="9"/>
      <c r="AU1618" s="9"/>
    </row>
    <row r="1619" spans="1:47" ht="15.75" customHeight="1">
      <c r="A1619" s="9"/>
      <c r="B1619" s="9"/>
      <c r="C1619" s="9"/>
      <c r="D1619" s="9"/>
      <c r="E1619" s="9"/>
      <c r="F1619" s="67"/>
      <c r="G1619" s="9"/>
      <c r="H1619" s="9"/>
      <c r="I1619" s="9"/>
      <c r="J1619" s="9"/>
      <c r="K1619" s="9"/>
      <c r="L1619" s="9"/>
      <c r="M1619" s="9"/>
      <c r="N1619" s="9"/>
      <c r="O1619" s="9"/>
      <c r="P1619" s="9"/>
      <c r="Q1619" s="9"/>
      <c r="R1619" s="9"/>
      <c r="S1619" s="9"/>
      <c r="T1619" s="9"/>
      <c r="U1619" s="9"/>
      <c r="V1619" s="9"/>
      <c r="W1619" s="9"/>
      <c r="X1619" s="9"/>
      <c r="Y1619" s="9"/>
      <c r="Z1619" s="9"/>
      <c r="AA1619" s="9"/>
      <c r="AB1619" s="9"/>
      <c r="AC1619" s="9"/>
      <c r="AD1619" s="9"/>
      <c r="AE1619" s="9"/>
      <c r="AF1619" s="9"/>
      <c r="AG1619" s="9"/>
      <c r="AH1619" s="9"/>
      <c r="AI1619" s="9"/>
      <c r="AJ1619" s="9"/>
      <c r="AK1619" s="9"/>
      <c r="AL1619" s="9"/>
      <c r="AM1619" s="9"/>
      <c r="AN1619" s="9"/>
      <c r="AO1619" s="9"/>
      <c r="AP1619" s="9"/>
      <c r="AQ1619" s="9"/>
      <c r="AR1619" s="9"/>
      <c r="AS1619" s="9"/>
      <c r="AT1619" s="9"/>
      <c r="AU1619" s="9"/>
    </row>
    <row r="1620" spans="1:47" ht="15.75" customHeight="1">
      <c r="A1620" s="9"/>
      <c r="B1620" s="9"/>
      <c r="C1620" s="9"/>
      <c r="D1620" s="9"/>
      <c r="E1620" s="9"/>
      <c r="F1620" s="67"/>
      <c r="G1620" s="9"/>
      <c r="H1620" s="9"/>
      <c r="I1620" s="9"/>
      <c r="J1620" s="9"/>
      <c r="K1620" s="9"/>
      <c r="L1620" s="9"/>
      <c r="M1620" s="9"/>
      <c r="N1620" s="9"/>
      <c r="O1620" s="9"/>
      <c r="P1620" s="9"/>
      <c r="Q1620" s="9"/>
      <c r="R1620" s="9"/>
      <c r="S1620" s="9"/>
      <c r="T1620" s="9"/>
      <c r="U1620" s="9"/>
      <c r="V1620" s="9"/>
      <c r="W1620" s="9"/>
      <c r="X1620" s="9"/>
      <c r="Y1620" s="9"/>
      <c r="Z1620" s="9"/>
      <c r="AA1620" s="9"/>
      <c r="AB1620" s="9"/>
      <c r="AC1620" s="9"/>
      <c r="AD1620" s="9"/>
      <c r="AE1620" s="9"/>
      <c r="AF1620" s="9"/>
      <c r="AG1620" s="9"/>
      <c r="AH1620" s="9"/>
      <c r="AI1620" s="9"/>
      <c r="AJ1620" s="9"/>
      <c r="AK1620" s="9"/>
      <c r="AL1620" s="9"/>
      <c r="AM1620" s="9"/>
      <c r="AN1620" s="9"/>
      <c r="AO1620" s="9"/>
      <c r="AP1620" s="9"/>
      <c r="AQ1620" s="9"/>
      <c r="AR1620" s="9"/>
      <c r="AS1620" s="9"/>
      <c r="AT1620" s="9"/>
      <c r="AU1620" s="9"/>
    </row>
    <row r="1621" spans="1:47" ht="15.75" customHeight="1">
      <c r="A1621" s="9"/>
      <c r="B1621" s="9"/>
      <c r="C1621" s="9"/>
      <c r="D1621" s="9"/>
      <c r="E1621" s="9"/>
      <c r="F1621" s="67"/>
      <c r="G1621" s="9"/>
      <c r="H1621" s="9"/>
      <c r="I1621" s="9"/>
      <c r="J1621" s="9"/>
      <c r="K1621" s="9"/>
      <c r="L1621" s="9"/>
      <c r="M1621" s="9"/>
      <c r="N1621" s="9"/>
      <c r="O1621" s="9"/>
      <c r="P1621" s="9"/>
      <c r="Q1621" s="9"/>
      <c r="R1621" s="9"/>
      <c r="S1621" s="9"/>
      <c r="T1621" s="9"/>
      <c r="U1621" s="9"/>
      <c r="V1621" s="9"/>
      <c r="W1621" s="9"/>
      <c r="X1621" s="9"/>
      <c r="Y1621" s="9"/>
      <c r="Z1621" s="9"/>
      <c r="AA1621" s="9"/>
      <c r="AB1621" s="9"/>
      <c r="AC1621" s="9"/>
      <c r="AD1621" s="9"/>
      <c r="AE1621" s="9"/>
      <c r="AF1621" s="9"/>
      <c r="AG1621" s="9"/>
      <c r="AH1621" s="9"/>
      <c r="AI1621" s="9"/>
      <c r="AJ1621" s="9"/>
      <c r="AK1621" s="9"/>
      <c r="AL1621" s="9"/>
      <c r="AM1621" s="9"/>
      <c r="AN1621" s="9"/>
      <c r="AO1621" s="9"/>
      <c r="AP1621" s="9"/>
      <c r="AQ1621" s="9"/>
      <c r="AR1621" s="9"/>
      <c r="AS1621" s="9"/>
      <c r="AT1621" s="9"/>
      <c r="AU1621" s="9"/>
    </row>
    <row r="1622" spans="1:47" ht="15.75" customHeight="1">
      <c r="A1622" s="9"/>
      <c r="B1622" s="9"/>
      <c r="C1622" s="9"/>
      <c r="D1622" s="9"/>
      <c r="E1622" s="9"/>
      <c r="F1622" s="67"/>
      <c r="G1622" s="9"/>
      <c r="H1622" s="9"/>
      <c r="I1622" s="9"/>
      <c r="J1622" s="9"/>
      <c r="K1622" s="9"/>
      <c r="L1622" s="9"/>
      <c r="M1622" s="9"/>
      <c r="N1622" s="9"/>
      <c r="O1622" s="9"/>
      <c r="P1622" s="9"/>
      <c r="Q1622" s="9"/>
      <c r="R1622" s="9"/>
      <c r="S1622" s="9"/>
      <c r="T1622" s="9"/>
      <c r="U1622" s="9"/>
      <c r="V1622" s="9"/>
      <c r="W1622" s="9"/>
      <c r="X1622" s="9"/>
      <c r="Y1622" s="9"/>
      <c r="Z1622" s="9"/>
      <c r="AA1622" s="9"/>
      <c r="AB1622" s="9"/>
      <c r="AC1622" s="9"/>
      <c r="AD1622" s="9"/>
      <c r="AE1622" s="9"/>
      <c r="AF1622" s="9"/>
      <c r="AG1622" s="9"/>
      <c r="AH1622" s="9"/>
      <c r="AI1622" s="9"/>
      <c r="AJ1622" s="9"/>
      <c r="AK1622" s="9"/>
      <c r="AL1622" s="9"/>
      <c r="AM1622" s="9"/>
      <c r="AN1622" s="9"/>
      <c r="AO1622" s="9"/>
      <c r="AP1622" s="9"/>
      <c r="AQ1622" s="9"/>
      <c r="AR1622" s="9"/>
      <c r="AS1622" s="9"/>
      <c r="AT1622" s="9"/>
      <c r="AU1622" s="9"/>
    </row>
    <row r="1623" spans="1:47" ht="15.75" customHeight="1">
      <c r="A1623" s="9"/>
      <c r="B1623" s="9"/>
      <c r="C1623" s="9"/>
      <c r="D1623" s="9"/>
      <c r="E1623" s="9"/>
      <c r="F1623" s="67"/>
      <c r="G1623" s="9"/>
      <c r="H1623" s="9"/>
      <c r="I1623" s="9"/>
      <c r="J1623" s="9"/>
      <c r="K1623" s="9"/>
      <c r="L1623" s="9"/>
      <c r="M1623" s="9"/>
      <c r="N1623" s="9"/>
      <c r="O1623" s="9"/>
      <c r="P1623" s="9"/>
      <c r="Q1623" s="9"/>
      <c r="R1623" s="9"/>
      <c r="S1623" s="9"/>
      <c r="T1623" s="9"/>
      <c r="U1623" s="9"/>
      <c r="V1623" s="9"/>
      <c r="W1623" s="9"/>
      <c r="X1623" s="9"/>
      <c r="Y1623" s="9"/>
      <c r="Z1623" s="9"/>
      <c r="AA1623" s="9"/>
      <c r="AB1623" s="9"/>
      <c r="AC1623" s="9"/>
      <c r="AD1623" s="9"/>
      <c r="AE1623" s="9"/>
      <c r="AF1623" s="9"/>
      <c r="AG1623" s="9"/>
      <c r="AH1623" s="9"/>
      <c r="AI1623" s="9"/>
      <c r="AJ1623" s="9"/>
      <c r="AK1623" s="9"/>
      <c r="AL1623" s="9"/>
      <c r="AM1623" s="9"/>
      <c r="AN1623" s="9"/>
      <c r="AO1623" s="9"/>
      <c r="AP1623" s="9"/>
      <c r="AQ1623" s="9"/>
      <c r="AR1623" s="9"/>
      <c r="AS1623" s="9"/>
      <c r="AT1623" s="9"/>
      <c r="AU1623" s="9"/>
    </row>
    <row r="1624" spans="1:47" ht="15.75" customHeight="1">
      <c r="A1624" s="9"/>
      <c r="B1624" s="9"/>
      <c r="C1624" s="9"/>
      <c r="D1624" s="9"/>
      <c r="E1624" s="9"/>
      <c r="F1624" s="67"/>
      <c r="G1624" s="9"/>
      <c r="H1624" s="9"/>
      <c r="I1624" s="9"/>
      <c r="J1624" s="9"/>
      <c r="K1624" s="9"/>
      <c r="L1624" s="9"/>
      <c r="M1624" s="9"/>
      <c r="N1624" s="9"/>
      <c r="O1624" s="9"/>
      <c r="P1624" s="9"/>
      <c r="Q1624" s="9"/>
      <c r="R1624" s="9"/>
      <c r="S1624" s="9"/>
      <c r="T1624" s="9"/>
      <c r="U1624" s="9"/>
      <c r="V1624" s="9"/>
      <c r="W1624" s="9"/>
      <c r="X1624" s="9"/>
      <c r="Y1624" s="9"/>
      <c r="Z1624" s="9"/>
      <c r="AA1624" s="9"/>
      <c r="AB1624" s="9"/>
      <c r="AC1624" s="9"/>
      <c r="AD1624" s="9"/>
      <c r="AE1624" s="9"/>
      <c r="AF1624" s="9"/>
      <c r="AG1624" s="9"/>
      <c r="AH1624" s="9"/>
      <c r="AI1624" s="9"/>
      <c r="AJ1624" s="9"/>
      <c r="AK1624" s="9"/>
      <c r="AL1624" s="9"/>
      <c r="AM1624" s="9"/>
      <c r="AN1624" s="9"/>
      <c r="AO1624" s="9"/>
      <c r="AP1624" s="9"/>
      <c r="AQ1624" s="9"/>
      <c r="AR1624" s="9"/>
      <c r="AS1624" s="9"/>
      <c r="AT1624" s="9"/>
      <c r="AU1624" s="9"/>
    </row>
    <row r="1625" spans="1:47" ht="15.75" customHeight="1">
      <c r="A1625" s="9"/>
      <c r="B1625" s="9"/>
      <c r="C1625" s="9"/>
      <c r="D1625" s="9"/>
      <c r="E1625" s="9"/>
      <c r="F1625" s="67"/>
      <c r="G1625" s="9"/>
      <c r="H1625" s="9"/>
      <c r="I1625" s="9"/>
      <c r="J1625" s="9"/>
      <c r="K1625" s="9"/>
      <c r="L1625" s="9"/>
      <c r="M1625" s="9"/>
      <c r="N1625" s="9"/>
      <c r="O1625" s="9"/>
      <c r="P1625" s="9"/>
      <c r="Q1625" s="9"/>
      <c r="R1625" s="9"/>
      <c r="S1625" s="9"/>
      <c r="T1625" s="9"/>
      <c r="U1625" s="9"/>
      <c r="V1625" s="9"/>
      <c r="W1625" s="9"/>
      <c r="X1625" s="9"/>
      <c r="Y1625" s="9"/>
      <c r="Z1625" s="9"/>
      <c r="AA1625" s="9"/>
      <c r="AB1625" s="9"/>
      <c r="AC1625" s="9"/>
      <c r="AD1625" s="9"/>
      <c r="AE1625" s="9"/>
      <c r="AF1625" s="9"/>
      <c r="AG1625" s="9"/>
      <c r="AH1625" s="9"/>
      <c r="AI1625" s="9"/>
      <c r="AJ1625" s="9"/>
      <c r="AK1625" s="9"/>
      <c r="AL1625" s="9"/>
      <c r="AM1625" s="9"/>
      <c r="AN1625" s="9"/>
      <c r="AO1625" s="9"/>
      <c r="AP1625" s="9"/>
      <c r="AQ1625" s="9"/>
      <c r="AR1625" s="9"/>
      <c r="AS1625" s="9"/>
      <c r="AT1625" s="9"/>
      <c r="AU1625" s="9"/>
    </row>
    <row r="1626" spans="1:47" ht="15.75" customHeight="1">
      <c r="A1626" s="9"/>
      <c r="B1626" s="9"/>
      <c r="C1626" s="9"/>
      <c r="D1626" s="9"/>
      <c r="E1626" s="9"/>
      <c r="F1626" s="67"/>
      <c r="G1626" s="9"/>
      <c r="H1626" s="9"/>
      <c r="I1626" s="9"/>
      <c r="J1626" s="9"/>
      <c r="K1626" s="9"/>
      <c r="L1626" s="9"/>
      <c r="M1626" s="9"/>
      <c r="N1626" s="9"/>
      <c r="O1626" s="9"/>
      <c r="P1626" s="9"/>
      <c r="Q1626" s="9"/>
      <c r="R1626" s="9"/>
      <c r="S1626" s="9"/>
      <c r="T1626" s="9"/>
      <c r="U1626" s="9"/>
      <c r="V1626" s="9"/>
      <c r="W1626" s="9"/>
      <c r="X1626" s="9"/>
      <c r="Y1626" s="9"/>
      <c r="Z1626" s="9"/>
      <c r="AA1626" s="9"/>
      <c r="AB1626" s="9"/>
      <c r="AC1626" s="9"/>
      <c r="AD1626" s="9"/>
      <c r="AE1626" s="9"/>
      <c r="AF1626" s="9"/>
      <c r="AG1626" s="9"/>
      <c r="AH1626" s="9"/>
      <c r="AI1626" s="9"/>
      <c r="AJ1626" s="9"/>
      <c r="AK1626" s="9"/>
      <c r="AL1626" s="9"/>
      <c r="AM1626" s="9"/>
      <c r="AN1626" s="9"/>
      <c r="AO1626" s="9"/>
      <c r="AP1626" s="9"/>
      <c r="AQ1626" s="9"/>
      <c r="AR1626" s="9"/>
      <c r="AS1626" s="9"/>
      <c r="AT1626" s="9"/>
      <c r="AU1626" s="9"/>
    </row>
    <row r="1627" spans="1:47" ht="15.75" customHeight="1">
      <c r="A1627" s="9"/>
      <c r="B1627" s="9"/>
      <c r="C1627" s="9"/>
      <c r="D1627" s="9"/>
      <c r="E1627" s="9"/>
      <c r="F1627" s="67"/>
      <c r="G1627" s="9"/>
      <c r="H1627" s="9"/>
      <c r="I1627" s="9"/>
      <c r="J1627" s="9"/>
      <c r="K1627" s="9"/>
      <c r="L1627" s="9"/>
      <c r="M1627" s="9"/>
      <c r="N1627" s="9"/>
      <c r="O1627" s="9"/>
      <c r="P1627" s="9"/>
      <c r="Q1627" s="9"/>
      <c r="R1627" s="9"/>
      <c r="S1627" s="9"/>
      <c r="T1627" s="9"/>
      <c r="U1627" s="9"/>
      <c r="V1627" s="9"/>
      <c r="W1627" s="9"/>
      <c r="X1627" s="9"/>
      <c r="Y1627" s="9"/>
      <c r="Z1627" s="9"/>
      <c r="AA1627" s="9"/>
      <c r="AB1627" s="9"/>
      <c r="AC1627" s="9"/>
      <c r="AD1627" s="9"/>
      <c r="AE1627" s="9"/>
      <c r="AF1627" s="9"/>
      <c r="AG1627" s="9"/>
      <c r="AH1627" s="9"/>
      <c r="AI1627" s="9"/>
      <c r="AJ1627" s="9"/>
      <c r="AK1627" s="9"/>
      <c r="AL1627" s="9"/>
      <c r="AM1627" s="9"/>
      <c r="AN1627" s="9"/>
      <c r="AO1627" s="9"/>
      <c r="AP1627" s="9"/>
      <c r="AQ1627" s="9"/>
      <c r="AR1627" s="9"/>
      <c r="AS1627" s="9"/>
      <c r="AT1627" s="9"/>
      <c r="AU1627" s="9"/>
    </row>
    <row r="1628" spans="1:47" ht="15.75" customHeight="1">
      <c r="A1628" s="9"/>
      <c r="B1628" s="9"/>
      <c r="C1628" s="9"/>
      <c r="D1628" s="9"/>
      <c r="E1628" s="9"/>
      <c r="F1628" s="67"/>
      <c r="G1628" s="9"/>
      <c r="H1628" s="9"/>
      <c r="I1628" s="9"/>
      <c r="J1628" s="9"/>
      <c r="K1628" s="9"/>
      <c r="L1628" s="9"/>
      <c r="M1628" s="9"/>
      <c r="N1628" s="9"/>
      <c r="O1628" s="9"/>
      <c r="P1628" s="9"/>
      <c r="Q1628" s="9"/>
      <c r="R1628" s="9"/>
      <c r="S1628" s="9"/>
      <c r="T1628" s="9"/>
      <c r="U1628" s="9"/>
      <c r="V1628" s="9"/>
      <c r="W1628" s="9"/>
      <c r="X1628" s="9"/>
      <c r="Y1628" s="9"/>
      <c r="Z1628" s="9"/>
      <c r="AA1628" s="9"/>
      <c r="AB1628" s="9"/>
      <c r="AC1628" s="9"/>
      <c r="AD1628" s="9"/>
      <c r="AE1628" s="9"/>
      <c r="AF1628" s="9"/>
      <c r="AG1628" s="9"/>
      <c r="AH1628" s="9"/>
      <c r="AI1628" s="9"/>
      <c r="AJ1628" s="9"/>
      <c r="AK1628" s="9"/>
      <c r="AL1628" s="9"/>
      <c r="AM1628" s="9"/>
      <c r="AN1628" s="9"/>
      <c r="AO1628" s="9"/>
      <c r="AP1628" s="9"/>
      <c r="AQ1628" s="9"/>
      <c r="AR1628" s="9"/>
      <c r="AS1628" s="9"/>
      <c r="AT1628" s="9"/>
      <c r="AU1628" s="9"/>
    </row>
    <row r="1629" spans="1:47" ht="15.75" customHeight="1">
      <c r="A1629" s="9"/>
      <c r="B1629" s="9"/>
      <c r="C1629" s="9"/>
      <c r="D1629" s="9"/>
      <c r="E1629" s="9"/>
      <c r="F1629" s="67"/>
      <c r="G1629" s="9"/>
      <c r="H1629" s="9"/>
      <c r="I1629" s="9"/>
      <c r="J1629" s="9"/>
      <c r="K1629" s="9"/>
      <c r="L1629" s="9"/>
      <c r="M1629" s="9"/>
      <c r="N1629" s="9"/>
      <c r="O1629" s="9"/>
      <c r="P1629" s="9"/>
      <c r="Q1629" s="9"/>
      <c r="R1629" s="9"/>
      <c r="S1629" s="9"/>
      <c r="T1629" s="9"/>
      <c r="U1629" s="9"/>
      <c r="V1629" s="9"/>
      <c r="W1629" s="9"/>
      <c r="X1629" s="9"/>
      <c r="Y1629" s="9"/>
      <c r="Z1629" s="9"/>
      <c r="AA1629" s="9"/>
      <c r="AB1629" s="9"/>
      <c r="AC1629" s="9"/>
      <c r="AD1629" s="9"/>
      <c r="AE1629" s="9"/>
      <c r="AF1629" s="9"/>
      <c r="AG1629" s="9"/>
      <c r="AH1629" s="9"/>
      <c r="AI1629" s="9"/>
      <c r="AJ1629" s="9"/>
      <c r="AK1629" s="9"/>
      <c r="AL1629" s="9"/>
      <c r="AM1629" s="9"/>
      <c r="AN1629" s="9"/>
      <c r="AO1629" s="9"/>
      <c r="AP1629" s="9"/>
      <c r="AQ1629" s="9"/>
      <c r="AR1629" s="9"/>
      <c r="AS1629" s="9"/>
      <c r="AT1629" s="9"/>
      <c r="AU1629" s="9"/>
    </row>
    <row r="1630" spans="1:47" ht="15.75" customHeight="1">
      <c r="A1630" s="9"/>
      <c r="B1630" s="9"/>
      <c r="C1630" s="9"/>
      <c r="D1630" s="9"/>
      <c r="E1630" s="9"/>
      <c r="F1630" s="67"/>
      <c r="G1630" s="9"/>
      <c r="H1630" s="9"/>
      <c r="I1630" s="9"/>
      <c r="J1630" s="9"/>
      <c r="K1630" s="9"/>
      <c r="L1630" s="9"/>
      <c r="M1630" s="9"/>
      <c r="N1630" s="9"/>
      <c r="O1630" s="9"/>
      <c r="P1630" s="9"/>
      <c r="Q1630" s="9"/>
      <c r="R1630" s="9"/>
      <c r="S1630" s="9"/>
      <c r="T1630" s="9"/>
      <c r="U1630" s="9"/>
      <c r="V1630" s="9"/>
      <c r="W1630" s="9"/>
      <c r="X1630" s="9"/>
      <c r="Y1630" s="9"/>
      <c r="Z1630" s="9"/>
      <c r="AA1630" s="9"/>
      <c r="AB1630" s="9"/>
      <c r="AC1630" s="9"/>
      <c r="AD1630" s="9"/>
      <c r="AE1630" s="9"/>
      <c r="AF1630" s="9"/>
      <c r="AG1630" s="9"/>
      <c r="AH1630" s="9"/>
      <c r="AI1630" s="9"/>
      <c r="AJ1630" s="9"/>
      <c r="AK1630" s="9"/>
      <c r="AL1630" s="9"/>
      <c r="AM1630" s="9"/>
      <c r="AN1630" s="9"/>
      <c r="AO1630" s="9"/>
      <c r="AP1630" s="9"/>
      <c r="AQ1630" s="9"/>
      <c r="AR1630" s="9"/>
      <c r="AS1630" s="9"/>
      <c r="AT1630" s="9"/>
      <c r="AU1630" s="9"/>
    </row>
    <row r="1631" spans="1:47" ht="15.75" customHeight="1">
      <c r="A1631" s="9"/>
      <c r="B1631" s="9"/>
      <c r="C1631" s="9"/>
      <c r="D1631" s="9"/>
      <c r="E1631" s="9"/>
      <c r="F1631" s="67"/>
      <c r="G1631" s="9"/>
      <c r="H1631" s="9"/>
      <c r="I1631" s="9"/>
      <c r="J1631" s="9"/>
      <c r="K1631" s="9"/>
      <c r="L1631" s="9"/>
      <c r="M1631" s="9"/>
      <c r="N1631" s="9"/>
      <c r="O1631" s="9"/>
      <c r="P1631" s="9"/>
      <c r="Q1631" s="9"/>
      <c r="R1631" s="9"/>
      <c r="S1631" s="9"/>
      <c r="T1631" s="9"/>
      <c r="U1631" s="9"/>
      <c r="V1631" s="9"/>
      <c r="W1631" s="9"/>
      <c r="X1631" s="9"/>
      <c r="Y1631" s="9"/>
      <c r="Z1631" s="9"/>
      <c r="AA1631" s="9"/>
      <c r="AB1631" s="9"/>
      <c r="AC1631" s="9"/>
      <c r="AD1631" s="9"/>
      <c r="AE1631" s="9"/>
      <c r="AF1631" s="9"/>
      <c r="AG1631" s="9"/>
      <c r="AH1631" s="9"/>
      <c r="AI1631" s="9"/>
      <c r="AJ1631" s="9"/>
      <c r="AK1631" s="9"/>
      <c r="AL1631" s="9"/>
      <c r="AM1631" s="9"/>
      <c r="AN1631" s="9"/>
      <c r="AO1631" s="9"/>
      <c r="AP1631" s="9"/>
      <c r="AQ1631" s="9"/>
      <c r="AR1631" s="9"/>
      <c r="AS1631" s="9"/>
      <c r="AT1631" s="9"/>
      <c r="AU1631" s="9"/>
    </row>
    <row r="1632" spans="1:47" ht="15.75" customHeight="1">
      <c r="A1632" s="9"/>
      <c r="B1632" s="9"/>
      <c r="C1632" s="9"/>
      <c r="D1632" s="9"/>
      <c r="E1632" s="9"/>
      <c r="F1632" s="67"/>
      <c r="G1632" s="9"/>
      <c r="H1632" s="9"/>
      <c r="I1632" s="9"/>
      <c r="J1632" s="9"/>
      <c r="K1632" s="9"/>
      <c r="L1632" s="9"/>
      <c r="M1632" s="9"/>
      <c r="N1632" s="9"/>
      <c r="O1632" s="9"/>
      <c r="P1632" s="9"/>
      <c r="Q1632" s="9"/>
      <c r="R1632" s="9"/>
      <c r="S1632" s="9"/>
      <c r="T1632" s="9"/>
      <c r="U1632" s="9"/>
      <c r="V1632" s="9"/>
      <c r="W1632" s="9"/>
      <c r="X1632" s="9"/>
      <c r="Y1632" s="9"/>
      <c r="Z1632" s="9"/>
      <c r="AA1632" s="9"/>
      <c r="AB1632" s="9"/>
      <c r="AC1632" s="9"/>
      <c r="AD1632" s="9"/>
      <c r="AE1632" s="9"/>
      <c r="AF1632" s="9"/>
      <c r="AG1632" s="9"/>
      <c r="AH1632" s="9"/>
      <c r="AI1632" s="9"/>
      <c r="AJ1632" s="9"/>
      <c r="AK1632" s="9"/>
      <c r="AL1632" s="9"/>
      <c r="AM1632" s="9"/>
      <c r="AN1632" s="9"/>
      <c r="AO1632" s="9"/>
      <c r="AP1632" s="9"/>
      <c r="AQ1632" s="9"/>
      <c r="AR1632" s="9"/>
      <c r="AS1632" s="9"/>
      <c r="AT1632" s="9"/>
      <c r="AU1632" s="9"/>
    </row>
    <row r="1633" spans="1:47" ht="15.75" customHeight="1">
      <c r="A1633" s="9"/>
      <c r="B1633" s="9"/>
      <c r="C1633" s="9"/>
      <c r="D1633" s="9"/>
      <c r="E1633" s="9"/>
      <c r="F1633" s="67"/>
      <c r="G1633" s="9"/>
      <c r="H1633" s="9"/>
      <c r="I1633" s="9"/>
      <c r="J1633" s="9"/>
      <c r="K1633" s="9"/>
      <c r="L1633" s="9"/>
      <c r="M1633" s="9"/>
      <c r="N1633" s="9"/>
      <c r="O1633" s="9"/>
      <c r="P1633" s="9"/>
      <c r="Q1633" s="9"/>
      <c r="R1633" s="9"/>
      <c r="S1633" s="9"/>
      <c r="T1633" s="9"/>
      <c r="U1633" s="9"/>
      <c r="V1633" s="9"/>
      <c r="W1633" s="9"/>
      <c r="X1633" s="9"/>
      <c r="Y1633" s="9"/>
      <c r="Z1633" s="9"/>
      <c r="AA1633" s="9"/>
      <c r="AB1633" s="9"/>
      <c r="AC1633" s="9"/>
      <c r="AD1633" s="9"/>
      <c r="AE1633" s="9"/>
      <c r="AF1633" s="9"/>
      <c r="AG1633" s="9"/>
      <c r="AH1633" s="9"/>
      <c r="AI1633" s="9"/>
      <c r="AJ1633" s="9"/>
      <c r="AK1633" s="9"/>
      <c r="AL1633" s="9"/>
      <c r="AM1633" s="9"/>
      <c r="AN1633" s="9"/>
      <c r="AO1633" s="9"/>
      <c r="AP1633" s="9"/>
      <c r="AQ1633" s="9"/>
      <c r="AR1633" s="9"/>
      <c r="AS1633" s="9"/>
      <c r="AT1633" s="9"/>
      <c r="AU1633" s="9"/>
    </row>
    <row r="1634" spans="1:47" ht="15.75" customHeight="1">
      <c r="A1634" s="9"/>
      <c r="B1634" s="9"/>
      <c r="C1634" s="9"/>
      <c r="D1634" s="9"/>
      <c r="E1634" s="9"/>
      <c r="F1634" s="67"/>
      <c r="G1634" s="9"/>
      <c r="H1634" s="9"/>
      <c r="I1634" s="9"/>
      <c r="J1634" s="9"/>
      <c r="K1634" s="9"/>
      <c r="L1634" s="9"/>
      <c r="M1634" s="9"/>
      <c r="N1634" s="9"/>
      <c r="O1634" s="9"/>
      <c r="P1634" s="9"/>
      <c r="Q1634" s="9"/>
      <c r="R1634" s="9"/>
      <c r="S1634" s="9"/>
      <c r="T1634" s="9"/>
      <c r="U1634" s="9"/>
      <c r="V1634" s="9"/>
      <c r="W1634" s="9"/>
      <c r="X1634" s="9"/>
      <c r="Y1634" s="9"/>
      <c r="Z1634" s="9"/>
      <c r="AA1634" s="9"/>
      <c r="AB1634" s="9"/>
      <c r="AC1634" s="9"/>
      <c r="AD1634" s="9"/>
      <c r="AE1634" s="9"/>
      <c r="AF1634" s="9"/>
      <c r="AG1634" s="9"/>
      <c r="AH1634" s="9"/>
      <c r="AI1634" s="9"/>
      <c r="AJ1634" s="9"/>
      <c r="AK1634" s="9"/>
      <c r="AL1634" s="9"/>
      <c r="AM1634" s="9"/>
      <c r="AN1634" s="9"/>
      <c r="AO1634" s="9"/>
      <c r="AP1634" s="9"/>
      <c r="AQ1634" s="9"/>
      <c r="AR1634" s="9"/>
      <c r="AS1634" s="9"/>
      <c r="AT1634" s="9"/>
      <c r="AU1634" s="9"/>
    </row>
    <row r="1635" spans="1:47" ht="15.75" customHeight="1">
      <c r="A1635" s="9"/>
      <c r="B1635" s="9"/>
      <c r="C1635" s="9"/>
      <c r="D1635" s="9"/>
      <c r="E1635" s="9"/>
      <c r="F1635" s="67"/>
      <c r="G1635" s="9"/>
      <c r="H1635" s="9"/>
      <c r="I1635" s="9"/>
      <c r="J1635" s="9"/>
      <c r="K1635" s="9"/>
      <c r="L1635" s="9"/>
      <c r="M1635" s="9"/>
      <c r="N1635" s="9"/>
      <c r="O1635" s="9"/>
      <c r="P1635" s="9"/>
      <c r="Q1635" s="9"/>
      <c r="R1635" s="9"/>
      <c r="S1635" s="9"/>
      <c r="T1635" s="9"/>
      <c r="U1635" s="9"/>
      <c r="V1635" s="9"/>
      <c r="W1635" s="9"/>
      <c r="X1635" s="9"/>
      <c r="Y1635" s="9"/>
      <c r="Z1635" s="9"/>
      <c r="AA1635" s="9"/>
      <c r="AB1635" s="9"/>
      <c r="AC1635" s="9"/>
      <c r="AD1635" s="9"/>
      <c r="AE1635" s="9"/>
      <c r="AF1635" s="9"/>
      <c r="AG1635" s="9"/>
      <c r="AH1635" s="9"/>
      <c r="AI1635" s="9"/>
      <c r="AJ1635" s="9"/>
      <c r="AK1635" s="9"/>
      <c r="AL1635" s="9"/>
      <c r="AM1635" s="9"/>
      <c r="AN1635" s="9"/>
      <c r="AO1635" s="9"/>
      <c r="AP1635" s="9"/>
      <c r="AQ1635" s="9"/>
      <c r="AR1635" s="9"/>
      <c r="AS1635" s="9"/>
      <c r="AT1635" s="9"/>
      <c r="AU1635" s="9"/>
    </row>
    <row r="1636" spans="1:47" ht="15.75" customHeight="1">
      <c r="A1636" s="9"/>
      <c r="B1636" s="9"/>
      <c r="C1636" s="9"/>
      <c r="D1636" s="9"/>
      <c r="E1636" s="9"/>
      <c r="F1636" s="67"/>
      <c r="G1636" s="9"/>
      <c r="H1636" s="9"/>
      <c r="I1636" s="9"/>
      <c r="J1636" s="9"/>
      <c r="K1636" s="9"/>
      <c r="L1636" s="9"/>
      <c r="M1636" s="9"/>
      <c r="N1636" s="9"/>
      <c r="O1636" s="9"/>
      <c r="P1636" s="9"/>
      <c r="Q1636" s="9"/>
      <c r="R1636" s="9"/>
      <c r="S1636" s="9"/>
      <c r="T1636" s="9"/>
      <c r="U1636" s="9"/>
      <c r="V1636" s="9"/>
      <c r="W1636" s="9"/>
      <c r="X1636" s="9"/>
      <c r="Y1636" s="9"/>
      <c r="Z1636" s="9"/>
      <c r="AA1636" s="9"/>
      <c r="AB1636" s="9"/>
      <c r="AC1636" s="9"/>
      <c r="AD1636" s="9"/>
      <c r="AE1636" s="9"/>
      <c r="AF1636" s="9"/>
      <c r="AG1636" s="9"/>
      <c r="AH1636" s="9"/>
      <c r="AI1636" s="9"/>
      <c r="AJ1636" s="9"/>
      <c r="AK1636" s="9"/>
      <c r="AL1636" s="9"/>
      <c r="AM1636" s="9"/>
      <c r="AN1636" s="9"/>
      <c r="AO1636" s="9"/>
      <c r="AP1636" s="9"/>
      <c r="AQ1636" s="9"/>
      <c r="AR1636" s="9"/>
      <c r="AS1636" s="9"/>
      <c r="AT1636" s="9"/>
      <c r="AU1636" s="9"/>
    </row>
    <row r="1637" spans="1:47" ht="15.75" customHeight="1">
      <c r="A1637" s="9"/>
      <c r="B1637" s="9"/>
      <c r="C1637" s="9"/>
      <c r="D1637" s="9"/>
      <c r="E1637" s="9"/>
      <c r="F1637" s="67"/>
      <c r="G1637" s="9"/>
      <c r="H1637" s="9"/>
      <c r="I1637" s="9"/>
      <c r="J1637" s="9"/>
      <c r="K1637" s="9"/>
      <c r="L1637" s="9"/>
      <c r="M1637" s="9"/>
      <c r="N1637" s="9"/>
      <c r="O1637" s="9"/>
      <c r="P1637" s="9"/>
      <c r="Q1637" s="9"/>
      <c r="R1637" s="9"/>
      <c r="S1637" s="9"/>
      <c r="T1637" s="9"/>
      <c r="U1637" s="9"/>
      <c r="V1637" s="9"/>
      <c r="W1637" s="9"/>
      <c r="X1637" s="9"/>
      <c r="Y1637" s="9"/>
      <c r="Z1637" s="9"/>
      <c r="AA1637" s="9"/>
      <c r="AB1637" s="9"/>
      <c r="AC1637" s="9"/>
      <c r="AD1637" s="9"/>
      <c r="AE1637" s="9"/>
      <c r="AF1637" s="9"/>
      <c r="AG1637" s="9"/>
      <c r="AH1637" s="9"/>
      <c r="AI1637" s="9"/>
      <c r="AJ1637" s="9"/>
      <c r="AK1637" s="9"/>
      <c r="AL1637" s="9"/>
      <c r="AM1637" s="9"/>
      <c r="AN1637" s="9"/>
      <c r="AO1637" s="9"/>
      <c r="AP1637" s="9"/>
      <c r="AQ1637" s="9"/>
      <c r="AR1637" s="9"/>
      <c r="AS1637" s="9"/>
      <c r="AT1637" s="9"/>
      <c r="AU1637" s="9"/>
    </row>
    <row r="1638" spans="1:47" ht="15.75" customHeight="1">
      <c r="A1638" s="9"/>
      <c r="B1638" s="9"/>
      <c r="C1638" s="9"/>
      <c r="D1638" s="9"/>
      <c r="E1638" s="9"/>
      <c r="F1638" s="67"/>
      <c r="G1638" s="9"/>
      <c r="H1638" s="9"/>
      <c r="I1638" s="9"/>
      <c r="J1638" s="9"/>
      <c r="K1638" s="9"/>
      <c r="L1638" s="9"/>
      <c r="M1638" s="9"/>
      <c r="N1638" s="9"/>
      <c r="O1638" s="9"/>
      <c r="P1638" s="9"/>
      <c r="Q1638" s="9"/>
      <c r="R1638" s="9"/>
      <c r="S1638" s="9"/>
      <c r="T1638" s="9"/>
      <c r="U1638" s="9"/>
      <c r="V1638" s="9"/>
      <c r="W1638" s="9"/>
      <c r="X1638" s="9"/>
      <c r="Y1638" s="9"/>
      <c r="Z1638" s="9"/>
      <c r="AA1638" s="9"/>
      <c r="AB1638" s="9"/>
      <c r="AC1638" s="9"/>
      <c r="AD1638" s="9"/>
      <c r="AE1638" s="9"/>
      <c r="AF1638" s="9"/>
      <c r="AG1638" s="9"/>
      <c r="AH1638" s="9"/>
      <c r="AI1638" s="9"/>
      <c r="AJ1638" s="9"/>
      <c r="AK1638" s="9"/>
      <c r="AL1638" s="9"/>
      <c r="AM1638" s="9"/>
      <c r="AN1638" s="9"/>
      <c r="AO1638" s="9"/>
      <c r="AP1638" s="9"/>
      <c r="AQ1638" s="9"/>
      <c r="AR1638" s="9"/>
      <c r="AS1638" s="9"/>
      <c r="AT1638" s="9"/>
      <c r="AU1638" s="9"/>
    </row>
    <row r="1639" spans="1:47" ht="15.75" customHeight="1">
      <c r="A1639" s="9"/>
      <c r="B1639" s="9"/>
      <c r="C1639" s="9"/>
      <c r="D1639" s="9"/>
      <c r="E1639" s="9"/>
      <c r="F1639" s="67"/>
      <c r="G1639" s="9"/>
      <c r="H1639" s="9"/>
      <c r="I1639" s="9"/>
      <c r="J1639" s="9"/>
      <c r="K1639" s="9"/>
      <c r="L1639" s="9"/>
      <c r="M1639" s="9"/>
      <c r="N1639" s="9"/>
      <c r="O1639" s="9"/>
      <c r="P1639" s="9"/>
      <c r="Q1639" s="9"/>
      <c r="R1639" s="9"/>
      <c r="S1639" s="9"/>
      <c r="T1639" s="9"/>
      <c r="U1639" s="9"/>
      <c r="V1639" s="9"/>
      <c r="W1639" s="9"/>
      <c r="X1639" s="9"/>
      <c r="Y1639" s="9"/>
      <c r="Z1639" s="9"/>
      <c r="AA1639" s="9"/>
      <c r="AB1639" s="9"/>
      <c r="AC1639" s="9"/>
      <c r="AD1639" s="9"/>
      <c r="AE1639" s="9"/>
      <c r="AF1639" s="9"/>
      <c r="AG1639" s="9"/>
      <c r="AH1639" s="9"/>
      <c r="AI1639" s="9"/>
      <c r="AJ1639" s="9"/>
      <c r="AK1639" s="9"/>
      <c r="AL1639" s="9"/>
      <c r="AM1639" s="9"/>
      <c r="AN1639" s="9"/>
      <c r="AO1639" s="9"/>
      <c r="AP1639" s="9"/>
      <c r="AQ1639" s="9"/>
      <c r="AR1639" s="9"/>
      <c r="AS1639" s="9"/>
      <c r="AT1639" s="9"/>
      <c r="AU1639" s="9"/>
    </row>
    <row r="1640" spans="1:47" ht="15.75" customHeight="1">
      <c r="A1640" s="9"/>
      <c r="B1640" s="9"/>
      <c r="C1640" s="9"/>
      <c r="D1640" s="9"/>
      <c r="E1640" s="9"/>
      <c r="F1640" s="67"/>
      <c r="G1640" s="9"/>
      <c r="H1640" s="9"/>
      <c r="I1640" s="9"/>
      <c r="J1640" s="9"/>
      <c r="K1640" s="9"/>
      <c r="L1640" s="9"/>
      <c r="M1640" s="9"/>
      <c r="N1640" s="9"/>
      <c r="O1640" s="9"/>
      <c r="P1640" s="9"/>
      <c r="Q1640" s="9"/>
      <c r="R1640" s="9"/>
      <c r="S1640" s="9"/>
      <c r="T1640" s="9"/>
      <c r="U1640" s="9"/>
      <c r="V1640" s="9"/>
      <c r="W1640" s="9"/>
      <c r="X1640" s="9"/>
      <c r="Y1640" s="9"/>
      <c r="Z1640" s="9"/>
      <c r="AA1640" s="9"/>
      <c r="AB1640" s="9"/>
      <c r="AC1640" s="9"/>
      <c r="AD1640" s="9"/>
      <c r="AE1640" s="9"/>
      <c r="AF1640" s="9"/>
      <c r="AG1640" s="9"/>
      <c r="AH1640" s="9"/>
      <c r="AI1640" s="9"/>
      <c r="AJ1640" s="9"/>
      <c r="AK1640" s="9"/>
      <c r="AL1640" s="9"/>
      <c r="AM1640" s="9"/>
      <c r="AN1640" s="9"/>
      <c r="AO1640" s="9"/>
      <c r="AP1640" s="9"/>
      <c r="AQ1640" s="9"/>
      <c r="AR1640" s="9"/>
      <c r="AS1640" s="9"/>
      <c r="AT1640" s="9"/>
      <c r="AU1640" s="9"/>
    </row>
    <row r="1641" spans="1:47" ht="15.75" customHeight="1">
      <c r="A1641" s="9"/>
      <c r="B1641" s="9"/>
      <c r="C1641" s="9"/>
      <c r="D1641" s="9"/>
      <c r="E1641" s="9"/>
      <c r="F1641" s="67"/>
      <c r="G1641" s="9"/>
      <c r="H1641" s="9"/>
      <c r="I1641" s="9"/>
      <c r="J1641" s="9"/>
      <c r="K1641" s="9"/>
      <c r="L1641" s="9"/>
      <c r="M1641" s="9"/>
      <c r="N1641" s="9"/>
      <c r="O1641" s="9"/>
      <c r="P1641" s="9"/>
      <c r="Q1641" s="9"/>
      <c r="R1641" s="9"/>
      <c r="S1641" s="9"/>
      <c r="T1641" s="9"/>
      <c r="U1641" s="9"/>
      <c r="V1641" s="9"/>
      <c r="W1641" s="9"/>
      <c r="X1641" s="9"/>
      <c r="Y1641" s="9"/>
      <c r="Z1641" s="9"/>
      <c r="AA1641" s="9"/>
      <c r="AB1641" s="9"/>
      <c r="AC1641" s="9"/>
      <c r="AD1641" s="9"/>
      <c r="AE1641" s="9"/>
      <c r="AF1641" s="9"/>
      <c r="AG1641" s="9"/>
      <c r="AH1641" s="9"/>
      <c r="AI1641" s="9"/>
      <c r="AJ1641" s="9"/>
      <c r="AK1641" s="9"/>
      <c r="AL1641" s="9"/>
      <c r="AM1641" s="9"/>
      <c r="AN1641" s="9"/>
      <c r="AO1641" s="9"/>
      <c r="AP1641" s="9"/>
      <c r="AQ1641" s="9"/>
      <c r="AR1641" s="9"/>
      <c r="AS1641" s="9"/>
      <c r="AT1641" s="9"/>
      <c r="AU1641" s="9"/>
    </row>
    <row r="1642" spans="1:47" ht="15.75" customHeight="1">
      <c r="A1642" s="9"/>
      <c r="B1642" s="9"/>
      <c r="C1642" s="9"/>
      <c r="D1642" s="9"/>
      <c r="E1642" s="9"/>
      <c r="F1642" s="67"/>
      <c r="G1642" s="9"/>
      <c r="H1642" s="9"/>
      <c r="I1642" s="9"/>
      <c r="J1642" s="9"/>
      <c r="K1642" s="9"/>
      <c r="L1642" s="9"/>
      <c r="M1642" s="9"/>
      <c r="N1642" s="9"/>
      <c r="O1642" s="9"/>
      <c r="P1642" s="9"/>
      <c r="Q1642" s="9"/>
      <c r="R1642" s="9"/>
      <c r="S1642" s="9"/>
      <c r="T1642" s="9"/>
      <c r="U1642" s="9"/>
      <c r="V1642" s="9"/>
      <c r="W1642" s="9"/>
      <c r="X1642" s="9"/>
      <c r="Y1642" s="9"/>
      <c r="Z1642" s="9"/>
      <c r="AA1642" s="9"/>
      <c r="AB1642" s="9"/>
      <c r="AC1642" s="9"/>
      <c r="AD1642" s="9"/>
      <c r="AE1642" s="9"/>
      <c r="AF1642" s="9"/>
      <c r="AG1642" s="9"/>
      <c r="AH1642" s="9"/>
      <c r="AI1642" s="9"/>
      <c r="AJ1642" s="9"/>
      <c r="AK1642" s="9"/>
      <c r="AL1642" s="9"/>
      <c r="AM1642" s="9"/>
      <c r="AN1642" s="9"/>
      <c r="AO1642" s="9"/>
      <c r="AP1642" s="9"/>
      <c r="AQ1642" s="9"/>
      <c r="AR1642" s="9"/>
      <c r="AS1642" s="9"/>
      <c r="AT1642" s="9"/>
      <c r="AU1642" s="9"/>
    </row>
    <row r="1643" spans="1:47" ht="15.75" customHeight="1">
      <c r="A1643" s="9"/>
      <c r="B1643" s="9"/>
      <c r="C1643" s="9"/>
      <c r="D1643" s="9"/>
      <c r="E1643" s="9"/>
      <c r="F1643" s="67"/>
      <c r="G1643" s="9"/>
      <c r="H1643" s="9"/>
      <c r="I1643" s="9"/>
      <c r="J1643" s="9"/>
      <c r="K1643" s="9"/>
      <c r="L1643" s="9"/>
      <c r="M1643" s="9"/>
      <c r="N1643" s="9"/>
      <c r="O1643" s="9"/>
      <c r="P1643" s="9"/>
      <c r="Q1643" s="9"/>
      <c r="R1643" s="9"/>
      <c r="S1643" s="9"/>
      <c r="T1643" s="9"/>
      <c r="U1643" s="9"/>
      <c r="V1643" s="9"/>
      <c r="W1643" s="9"/>
      <c r="X1643" s="9"/>
      <c r="Y1643" s="9"/>
      <c r="Z1643" s="9"/>
      <c r="AA1643" s="9"/>
      <c r="AB1643" s="9"/>
      <c r="AC1643" s="9"/>
      <c r="AD1643" s="9"/>
      <c r="AE1643" s="9"/>
      <c r="AF1643" s="9"/>
      <c r="AG1643" s="9"/>
      <c r="AH1643" s="9"/>
      <c r="AI1643" s="9"/>
      <c r="AJ1643" s="9"/>
      <c r="AK1643" s="9"/>
      <c r="AL1643" s="9"/>
      <c r="AM1643" s="9"/>
      <c r="AN1643" s="9"/>
      <c r="AO1643" s="9"/>
      <c r="AP1643" s="9"/>
      <c r="AQ1643" s="9"/>
      <c r="AR1643" s="9"/>
      <c r="AS1643" s="9"/>
      <c r="AT1643" s="9"/>
      <c r="AU1643" s="9"/>
    </row>
    <row r="1644" spans="1:47" ht="15.75" customHeight="1">
      <c r="A1644" s="9"/>
      <c r="B1644" s="9"/>
      <c r="C1644" s="9"/>
      <c r="D1644" s="9"/>
      <c r="E1644" s="9"/>
      <c r="F1644" s="67"/>
      <c r="G1644" s="9"/>
      <c r="H1644" s="9"/>
      <c r="I1644" s="9"/>
      <c r="J1644" s="9"/>
      <c r="K1644" s="9"/>
      <c r="L1644" s="9"/>
      <c r="M1644" s="9"/>
      <c r="N1644" s="9"/>
      <c r="O1644" s="9"/>
      <c r="P1644" s="9"/>
      <c r="Q1644" s="9"/>
      <c r="R1644" s="9"/>
      <c r="S1644" s="9"/>
      <c r="T1644" s="9"/>
      <c r="U1644" s="9"/>
      <c r="V1644" s="9"/>
      <c r="W1644" s="9"/>
      <c r="X1644" s="9"/>
      <c r="Y1644" s="9"/>
      <c r="Z1644" s="9"/>
      <c r="AA1644" s="9"/>
      <c r="AB1644" s="9"/>
      <c r="AC1644" s="9"/>
      <c r="AD1644" s="9"/>
      <c r="AE1644" s="9"/>
      <c r="AF1644" s="9"/>
      <c r="AG1644" s="9"/>
      <c r="AH1644" s="9"/>
      <c r="AI1644" s="9"/>
      <c r="AJ1644" s="9"/>
      <c r="AK1644" s="9"/>
      <c r="AL1644" s="9"/>
      <c r="AM1644" s="9"/>
      <c r="AN1644" s="9"/>
      <c r="AO1644" s="9"/>
      <c r="AP1644" s="9"/>
      <c r="AQ1644" s="9"/>
      <c r="AR1644" s="9"/>
      <c r="AS1644" s="9"/>
      <c r="AT1644" s="9"/>
      <c r="AU1644" s="9"/>
    </row>
    <row r="1645" spans="1:47" ht="15.75" customHeight="1">
      <c r="A1645" s="9"/>
      <c r="B1645" s="9"/>
      <c r="C1645" s="9"/>
      <c r="D1645" s="9"/>
      <c r="E1645" s="9"/>
      <c r="F1645" s="67"/>
      <c r="G1645" s="9"/>
      <c r="H1645" s="9"/>
      <c r="I1645" s="9"/>
      <c r="J1645" s="9"/>
      <c r="K1645" s="9"/>
      <c r="L1645" s="9"/>
      <c r="M1645" s="9"/>
      <c r="N1645" s="9"/>
      <c r="O1645" s="9"/>
      <c r="P1645" s="9"/>
      <c r="Q1645" s="9"/>
      <c r="R1645" s="9"/>
      <c r="S1645" s="9"/>
      <c r="T1645" s="9"/>
      <c r="U1645" s="9"/>
      <c r="V1645" s="9"/>
      <c r="W1645" s="9"/>
      <c r="X1645" s="9"/>
      <c r="Y1645" s="9"/>
      <c r="Z1645" s="9"/>
      <c r="AA1645" s="9"/>
      <c r="AB1645" s="9"/>
      <c r="AC1645" s="9"/>
      <c r="AD1645" s="9"/>
      <c r="AE1645" s="9"/>
      <c r="AF1645" s="9"/>
      <c r="AG1645" s="9"/>
      <c r="AH1645" s="9"/>
      <c r="AI1645" s="9"/>
      <c r="AJ1645" s="9"/>
      <c r="AK1645" s="9"/>
      <c r="AL1645" s="9"/>
      <c r="AM1645" s="9"/>
      <c r="AN1645" s="9"/>
      <c r="AO1645" s="9"/>
      <c r="AP1645" s="9"/>
      <c r="AQ1645" s="9"/>
      <c r="AR1645" s="9"/>
      <c r="AS1645" s="9"/>
      <c r="AT1645" s="9"/>
      <c r="AU1645" s="9"/>
    </row>
    <row r="1646" spans="1:47" ht="15.75" customHeight="1">
      <c r="A1646" s="9"/>
      <c r="B1646" s="9"/>
      <c r="C1646" s="9"/>
      <c r="D1646" s="9"/>
      <c r="E1646" s="9"/>
      <c r="F1646" s="67"/>
      <c r="G1646" s="9"/>
      <c r="H1646" s="9"/>
      <c r="I1646" s="9"/>
      <c r="J1646" s="9"/>
      <c r="K1646" s="9"/>
      <c r="L1646" s="9"/>
      <c r="M1646" s="9"/>
      <c r="N1646" s="9"/>
      <c r="O1646" s="9"/>
      <c r="P1646" s="9"/>
      <c r="Q1646" s="9"/>
      <c r="R1646" s="9"/>
      <c r="S1646" s="9"/>
      <c r="T1646" s="9"/>
      <c r="U1646" s="9"/>
      <c r="V1646" s="9"/>
      <c r="W1646" s="9"/>
      <c r="X1646" s="9"/>
      <c r="Y1646" s="9"/>
      <c r="Z1646" s="9"/>
      <c r="AA1646" s="9"/>
      <c r="AB1646" s="9"/>
      <c r="AC1646" s="9"/>
      <c r="AD1646" s="9"/>
      <c r="AE1646" s="9"/>
      <c r="AF1646" s="9"/>
      <c r="AG1646" s="9"/>
      <c r="AH1646" s="9"/>
      <c r="AI1646" s="9"/>
      <c r="AJ1646" s="9"/>
      <c r="AK1646" s="9"/>
      <c r="AL1646" s="9"/>
      <c r="AM1646" s="9"/>
      <c r="AN1646" s="9"/>
      <c r="AO1646" s="9"/>
      <c r="AP1646" s="9"/>
      <c r="AQ1646" s="9"/>
      <c r="AR1646" s="9"/>
      <c r="AS1646" s="9"/>
      <c r="AT1646" s="9"/>
      <c r="AU1646" s="9"/>
    </row>
    <row r="1647" spans="1:47" ht="15.75" customHeight="1">
      <c r="A1647" s="9"/>
      <c r="B1647" s="9"/>
      <c r="C1647" s="9"/>
      <c r="D1647" s="9"/>
      <c r="E1647" s="9"/>
      <c r="F1647" s="67"/>
      <c r="G1647" s="9"/>
      <c r="H1647" s="9"/>
      <c r="I1647" s="9"/>
      <c r="J1647" s="9"/>
      <c r="K1647" s="9"/>
      <c r="L1647" s="9"/>
      <c r="M1647" s="9"/>
      <c r="N1647" s="9"/>
      <c r="O1647" s="9"/>
      <c r="P1647" s="9"/>
      <c r="Q1647" s="9"/>
      <c r="R1647" s="9"/>
      <c r="S1647" s="9"/>
      <c r="T1647" s="9"/>
      <c r="U1647" s="9"/>
      <c r="V1647" s="9"/>
      <c r="W1647" s="9"/>
      <c r="X1647" s="9"/>
      <c r="Y1647" s="9"/>
      <c r="Z1647" s="9"/>
      <c r="AA1647" s="9"/>
      <c r="AB1647" s="9"/>
      <c r="AC1647" s="9"/>
      <c r="AD1647" s="9"/>
      <c r="AE1647" s="9"/>
      <c r="AF1647" s="9"/>
      <c r="AG1647" s="9"/>
      <c r="AH1647" s="9"/>
      <c r="AI1647" s="9"/>
      <c r="AJ1647" s="9"/>
      <c r="AK1647" s="9"/>
      <c r="AL1647" s="9"/>
      <c r="AM1647" s="9"/>
      <c r="AN1647" s="9"/>
      <c r="AO1647" s="9"/>
      <c r="AP1647" s="9"/>
      <c r="AQ1647" s="9"/>
      <c r="AR1647" s="9"/>
      <c r="AS1647" s="9"/>
      <c r="AT1647" s="9"/>
      <c r="AU1647" s="9"/>
    </row>
    <row r="1648" spans="1:47" ht="15.75" customHeight="1">
      <c r="A1648" s="9"/>
      <c r="B1648" s="9"/>
      <c r="C1648" s="9"/>
      <c r="D1648" s="9"/>
      <c r="E1648" s="9"/>
      <c r="F1648" s="67"/>
      <c r="G1648" s="9"/>
      <c r="H1648" s="9"/>
      <c r="I1648" s="9"/>
      <c r="J1648" s="9"/>
      <c r="K1648" s="9"/>
      <c r="L1648" s="9"/>
      <c r="M1648" s="9"/>
      <c r="N1648" s="9"/>
      <c r="O1648" s="9"/>
      <c r="P1648" s="9"/>
      <c r="Q1648" s="9"/>
      <c r="R1648" s="9"/>
      <c r="S1648" s="9"/>
      <c r="T1648" s="9"/>
      <c r="U1648" s="9"/>
      <c r="V1648" s="9"/>
      <c r="W1648" s="9"/>
      <c r="X1648" s="9"/>
      <c r="Y1648" s="9"/>
      <c r="Z1648" s="9"/>
      <c r="AA1648" s="9"/>
      <c r="AB1648" s="9"/>
      <c r="AC1648" s="9"/>
      <c r="AD1648" s="9"/>
      <c r="AE1648" s="9"/>
      <c r="AF1648" s="9"/>
      <c r="AG1648" s="9"/>
      <c r="AH1648" s="9"/>
      <c r="AI1648" s="9"/>
      <c r="AJ1648" s="9"/>
      <c r="AK1648" s="9"/>
      <c r="AL1648" s="9"/>
      <c r="AM1648" s="9"/>
      <c r="AN1648" s="9"/>
      <c r="AO1648" s="9"/>
      <c r="AP1648" s="9"/>
      <c r="AQ1648" s="9"/>
      <c r="AR1648" s="9"/>
      <c r="AS1648" s="9"/>
      <c r="AT1648" s="9"/>
      <c r="AU1648" s="9"/>
    </row>
    <row r="1649" spans="1:47" ht="15.75" customHeight="1">
      <c r="A1649" s="9"/>
      <c r="B1649" s="9"/>
      <c r="C1649" s="9"/>
      <c r="D1649" s="9"/>
      <c r="E1649" s="9"/>
      <c r="F1649" s="67"/>
      <c r="G1649" s="9"/>
      <c r="H1649" s="9"/>
      <c r="I1649" s="9"/>
      <c r="J1649" s="9"/>
      <c r="K1649" s="9"/>
      <c r="L1649" s="9"/>
      <c r="M1649" s="9"/>
      <c r="N1649" s="9"/>
      <c r="O1649" s="9"/>
      <c r="P1649" s="9"/>
      <c r="Q1649" s="9"/>
      <c r="R1649" s="9"/>
      <c r="S1649" s="9"/>
      <c r="T1649" s="9"/>
      <c r="U1649" s="9"/>
      <c r="V1649" s="9"/>
      <c r="W1649" s="9"/>
      <c r="X1649" s="9"/>
      <c r="Y1649" s="9"/>
      <c r="Z1649" s="9"/>
      <c r="AA1649" s="9"/>
      <c r="AB1649" s="9"/>
      <c r="AC1649" s="9"/>
      <c r="AD1649" s="9"/>
      <c r="AE1649" s="9"/>
      <c r="AF1649" s="9"/>
      <c r="AG1649" s="9"/>
      <c r="AH1649" s="9"/>
      <c r="AI1649" s="9"/>
      <c r="AJ1649" s="9"/>
      <c r="AK1649" s="9"/>
      <c r="AL1649" s="9"/>
      <c r="AM1649" s="9"/>
      <c r="AN1649" s="9"/>
      <c r="AO1649" s="9"/>
      <c r="AP1649" s="9"/>
      <c r="AQ1649" s="9"/>
      <c r="AR1649" s="9"/>
      <c r="AS1649" s="9"/>
      <c r="AT1649" s="9"/>
      <c r="AU1649" s="9"/>
    </row>
    <row r="1650" spans="1:47" ht="15.75" customHeight="1">
      <c r="A1650" s="9"/>
      <c r="B1650" s="9"/>
      <c r="C1650" s="9"/>
      <c r="D1650" s="9"/>
      <c r="E1650" s="9"/>
      <c r="F1650" s="67"/>
      <c r="G1650" s="9"/>
      <c r="H1650" s="9"/>
      <c r="I1650" s="9"/>
      <c r="J1650" s="9"/>
      <c r="K1650" s="9"/>
      <c r="L1650" s="9"/>
      <c r="M1650" s="9"/>
      <c r="N1650" s="9"/>
      <c r="O1650" s="9"/>
      <c r="P1650" s="9"/>
      <c r="Q1650" s="9"/>
      <c r="R1650" s="9"/>
      <c r="S1650" s="9"/>
      <c r="T1650" s="9"/>
      <c r="U1650" s="9"/>
      <c r="V1650" s="9"/>
      <c r="W1650" s="9"/>
      <c r="X1650" s="9"/>
      <c r="Y1650" s="9"/>
      <c r="Z1650" s="9"/>
      <c r="AA1650" s="9"/>
      <c r="AB1650" s="9"/>
      <c r="AC1650" s="9"/>
      <c r="AD1650" s="9"/>
      <c r="AE1650" s="9"/>
      <c r="AF1650" s="9"/>
      <c r="AG1650" s="9"/>
      <c r="AH1650" s="9"/>
      <c r="AI1650" s="9"/>
      <c r="AJ1650" s="9"/>
      <c r="AK1650" s="9"/>
      <c r="AL1650" s="9"/>
      <c r="AM1650" s="9"/>
      <c r="AN1650" s="9"/>
      <c r="AO1650" s="9"/>
      <c r="AP1650" s="9"/>
      <c r="AQ1650" s="9"/>
      <c r="AR1650" s="9"/>
      <c r="AS1650" s="9"/>
      <c r="AT1650" s="9"/>
      <c r="AU1650" s="9"/>
    </row>
    <row r="1651" spans="1:47" ht="15.75" customHeight="1">
      <c r="A1651" s="9"/>
      <c r="B1651" s="9"/>
      <c r="C1651" s="9"/>
      <c r="D1651" s="9"/>
      <c r="E1651" s="9"/>
      <c r="F1651" s="67"/>
      <c r="G1651" s="9"/>
      <c r="H1651" s="9"/>
      <c r="I1651" s="9"/>
      <c r="J1651" s="9"/>
      <c r="K1651" s="9"/>
      <c r="L1651" s="9"/>
      <c r="M1651" s="9"/>
      <c r="N1651" s="9"/>
      <c r="O1651" s="9"/>
      <c r="P1651" s="9"/>
      <c r="Q1651" s="9"/>
      <c r="R1651" s="9"/>
      <c r="S1651" s="9"/>
      <c r="T1651" s="9"/>
      <c r="U1651" s="9"/>
      <c r="V1651" s="9"/>
      <c r="W1651" s="9"/>
      <c r="X1651" s="9"/>
      <c r="Y1651" s="9"/>
      <c r="Z1651" s="9"/>
      <c r="AA1651" s="9"/>
      <c r="AB1651" s="9"/>
      <c r="AC1651" s="9"/>
      <c r="AD1651" s="9"/>
      <c r="AE1651" s="9"/>
      <c r="AF1651" s="9"/>
      <c r="AG1651" s="9"/>
      <c r="AH1651" s="9"/>
      <c r="AI1651" s="9"/>
      <c r="AJ1651" s="9"/>
      <c r="AK1651" s="9"/>
      <c r="AL1651" s="9"/>
      <c r="AM1651" s="9"/>
      <c r="AN1651" s="9"/>
      <c r="AO1651" s="9"/>
      <c r="AP1651" s="9"/>
      <c r="AQ1651" s="9"/>
      <c r="AR1651" s="9"/>
      <c r="AS1651" s="9"/>
      <c r="AT1651" s="9"/>
      <c r="AU1651" s="9"/>
    </row>
    <row r="1652" spans="1:47" ht="15.75" customHeight="1">
      <c r="A1652" s="9"/>
      <c r="B1652" s="9"/>
      <c r="C1652" s="9"/>
      <c r="D1652" s="9"/>
      <c r="E1652" s="9"/>
      <c r="F1652" s="67"/>
      <c r="G1652" s="9"/>
      <c r="H1652" s="9"/>
      <c r="I1652" s="9"/>
      <c r="J1652" s="9"/>
      <c r="K1652" s="9"/>
      <c r="L1652" s="9"/>
      <c r="M1652" s="9"/>
      <c r="N1652" s="9"/>
      <c r="O1652" s="9"/>
      <c r="P1652" s="9"/>
      <c r="Q1652" s="9"/>
      <c r="R1652" s="9"/>
      <c r="S1652" s="9"/>
      <c r="T1652" s="9"/>
      <c r="U1652" s="9"/>
      <c r="V1652" s="9"/>
      <c r="W1652" s="9"/>
      <c r="X1652" s="9"/>
      <c r="Y1652" s="9"/>
      <c r="Z1652" s="9"/>
      <c r="AA1652" s="9"/>
      <c r="AB1652" s="9"/>
      <c r="AC1652" s="9"/>
      <c r="AD1652" s="9"/>
      <c r="AE1652" s="9"/>
      <c r="AF1652" s="9"/>
      <c r="AG1652" s="9"/>
      <c r="AH1652" s="9"/>
      <c r="AI1652" s="9"/>
      <c r="AJ1652" s="9"/>
      <c r="AK1652" s="9"/>
      <c r="AL1652" s="9"/>
      <c r="AM1652" s="9"/>
      <c r="AN1652" s="9"/>
      <c r="AO1652" s="9"/>
      <c r="AP1652" s="9"/>
      <c r="AQ1652" s="9"/>
      <c r="AR1652" s="9"/>
      <c r="AS1652" s="9"/>
      <c r="AT1652" s="9"/>
      <c r="AU1652" s="9"/>
    </row>
    <row r="1653" spans="1:47" ht="15.75" customHeight="1">
      <c r="A1653" s="9"/>
      <c r="B1653" s="9"/>
      <c r="C1653" s="9"/>
      <c r="D1653" s="9"/>
      <c r="E1653" s="9"/>
      <c r="F1653" s="67"/>
      <c r="G1653" s="9"/>
      <c r="H1653" s="9"/>
      <c r="I1653" s="9"/>
      <c r="J1653" s="9"/>
      <c r="K1653" s="9"/>
      <c r="L1653" s="9"/>
      <c r="M1653" s="9"/>
      <c r="N1653" s="9"/>
      <c r="O1653" s="9"/>
      <c r="P1653" s="9"/>
      <c r="Q1653" s="9"/>
      <c r="R1653" s="9"/>
      <c r="S1653" s="9"/>
      <c r="T1653" s="9"/>
      <c r="U1653" s="9"/>
      <c r="V1653" s="9"/>
      <c r="W1653" s="9"/>
      <c r="X1653" s="9"/>
      <c r="Y1653" s="9"/>
      <c r="Z1653" s="9"/>
      <c r="AA1653" s="9"/>
      <c r="AB1653" s="9"/>
      <c r="AC1653" s="9"/>
      <c r="AD1653" s="9"/>
      <c r="AE1653" s="9"/>
      <c r="AF1653" s="9"/>
      <c r="AG1653" s="9"/>
      <c r="AH1653" s="9"/>
      <c r="AI1653" s="9"/>
      <c r="AJ1653" s="9"/>
      <c r="AK1653" s="9"/>
      <c r="AL1653" s="9"/>
      <c r="AM1653" s="9"/>
      <c r="AN1653" s="9"/>
      <c r="AO1653" s="9"/>
      <c r="AP1653" s="9"/>
      <c r="AQ1653" s="9"/>
      <c r="AR1653" s="9"/>
      <c r="AS1653" s="9"/>
      <c r="AT1653" s="9"/>
      <c r="AU1653" s="9"/>
    </row>
    <row r="1654" spans="1:47" ht="15.75" customHeight="1">
      <c r="A1654" s="9"/>
      <c r="B1654" s="9"/>
      <c r="C1654" s="9"/>
      <c r="D1654" s="9"/>
      <c r="E1654" s="9"/>
      <c r="F1654" s="67"/>
      <c r="G1654" s="9"/>
      <c r="H1654" s="9"/>
      <c r="I1654" s="9"/>
      <c r="J1654" s="9"/>
      <c r="K1654" s="9"/>
      <c r="L1654" s="9"/>
      <c r="M1654" s="9"/>
      <c r="N1654" s="9"/>
      <c r="O1654" s="9"/>
      <c r="P1654" s="9"/>
      <c r="Q1654" s="9"/>
      <c r="R1654" s="9"/>
      <c r="S1654" s="9"/>
      <c r="T1654" s="9"/>
      <c r="U1654" s="9"/>
      <c r="V1654" s="9"/>
      <c r="W1654" s="9"/>
      <c r="X1654" s="9"/>
      <c r="Y1654" s="9"/>
      <c r="Z1654" s="9"/>
      <c r="AA1654" s="9"/>
      <c r="AB1654" s="9"/>
      <c r="AC1654" s="9"/>
      <c r="AD1654" s="9"/>
      <c r="AE1654" s="9"/>
      <c r="AF1654" s="9"/>
      <c r="AG1654" s="9"/>
      <c r="AH1654" s="9"/>
      <c r="AI1654" s="9"/>
      <c r="AJ1654" s="9"/>
      <c r="AK1654" s="9"/>
      <c r="AL1654" s="9"/>
      <c r="AM1654" s="9"/>
      <c r="AN1654" s="9"/>
      <c r="AO1654" s="9"/>
      <c r="AP1654" s="9"/>
      <c r="AQ1654" s="9"/>
      <c r="AR1654" s="9"/>
      <c r="AS1654" s="9"/>
      <c r="AT1654" s="9"/>
      <c r="AU1654" s="9"/>
    </row>
    <row r="1655" spans="1:47" ht="15.75" customHeight="1">
      <c r="A1655" s="9"/>
      <c r="B1655" s="9"/>
      <c r="C1655" s="9"/>
      <c r="D1655" s="9"/>
      <c r="E1655" s="9"/>
      <c r="F1655" s="67"/>
      <c r="G1655" s="9"/>
      <c r="H1655" s="9"/>
      <c r="I1655" s="9"/>
      <c r="J1655" s="9"/>
      <c r="K1655" s="9"/>
      <c r="L1655" s="9"/>
      <c r="M1655" s="9"/>
      <c r="N1655" s="9"/>
      <c r="O1655" s="9"/>
      <c r="P1655" s="9"/>
      <c r="Q1655" s="9"/>
      <c r="R1655" s="9"/>
      <c r="S1655" s="9"/>
      <c r="T1655" s="9"/>
      <c r="U1655" s="9"/>
      <c r="V1655" s="9"/>
      <c r="W1655" s="9"/>
      <c r="X1655" s="9"/>
      <c r="Y1655" s="9"/>
      <c r="Z1655" s="9"/>
      <c r="AA1655" s="9"/>
      <c r="AB1655" s="9"/>
      <c r="AC1655" s="9"/>
      <c r="AD1655" s="9"/>
      <c r="AE1655" s="9"/>
      <c r="AF1655" s="9"/>
      <c r="AG1655" s="9"/>
      <c r="AH1655" s="9"/>
      <c r="AI1655" s="9"/>
      <c r="AJ1655" s="9"/>
      <c r="AK1655" s="9"/>
      <c r="AL1655" s="9"/>
      <c r="AM1655" s="9"/>
      <c r="AN1655" s="9"/>
      <c r="AO1655" s="9"/>
      <c r="AP1655" s="9"/>
      <c r="AQ1655" s="9"/>
      <c r="AR1655" s="9"/>
      <c r="AS1655" s="9"/>
      <c r="AT1655" s="9"/>
      <c r="AU1655" s="9"/>
    </row>
    <row r="1656" spans="1:47" ht="15.75" customHeight="1">
      <c r="A1656" s="9"/>
      <c r="B1656" s="9"/>
      <c r="C1656" s="9"/>
      <c r="D1656" s="9"/>
      <c r="E1656" s="9"/>
      <c r="F1656" s="67"/>
      <c r="G1656" s="9"/>
      <c r="H1656" s="9"/>
      <c r="I1656" s="9"/>
      <c r="J1656" s="9"/>
      <c r="K1656" s="9"/>
      <c r="L1656" s="9"/>
      <c r="M1656" s="9"/>
      <c r="N1656" s="9"/>
      <c r="O1656" s="9"/>
      <c r="P1656" s="9"/>
      <c r="Q1656" s="9"/>
      <c r="R1656" s="9"/>
      <c r="S1656" s="9"/>
      <c r="T1656" s="9"/>
      <c r="U1656" s="9"/>
      <c r="V1656" s="9"/>
      <c r="W1656" s="9"/>
      <c r="X1656" s="9"/>
      <c r="Y1656" s="9"/>
      <c r="Z1656" s="9"/>
      <c r="AA1656" s="9"/>
      <c r="AB1656" s="9"/>
      <c r="AC1656" s="9"/>
      <c r="AD1656" s="9"/>
      <c r="AE1656" s="9"/>
      <c r="AF1656" s="9"/>
      <c r="AG1656" s="9"/>
      <c r="AH1656" s="9"/>
      <c r="AI1656" s="9"/>
      <c r="AJ1656" s="9"/>
      <c r="AK1656" s="9"/>
      <c r="AL1656" s="9"/>
      <c r="AM1656" s="9"/>
      <c r="AN1656" s="9"/>
      <c r="AO1656" s="9"/>
      <c r="AP1656" s="9"/>
      <c r="AQ1656" s="9"/>
      <c r="AR1656" s="9"/>
      <c r="AS1656" s="9"/>
      <c r="AT1656" s="9"/>
      <c r="AU1656" s="9"/>
    </row>
    <row r="1657" spans="1:47" ht="15.75" customHeight="1">
      <c r="A1657" s="9"/>
      <c r="B1657" s="9"/>
      <c r="C1657" s="9"/>
      <c r="D1657" s="9"/>
      <c r="E1657" s="9"/>
      <c r="F1657" s="67"/>
      <c r="G1657" s="9"/>
      <c r="H1657" s="9"/>
      <c r="I1657" s="9"/>
      <c r="J1657" s="9"/>
      <c r="K1657" s="9"/>
      <c r="L1657" s="9"/>
      <c r="M1657" s="9"/>
      <c r="N1657" s="9"/>
      <c r="O1657" s="9"/>
      <c r="P1657" s="9"/>
      <c r="Q1657" s="9"/>
      <c r="R1657" s="9"/>
      <c r="S1657" s="9"/>
      <c r="T1657" s="9"/>
      <c r="U1657" s="9"/>
      <c r="V1657" s="9"/>
      <c r="W1657" s="9"/>
      <c r="X1657" s="9"/>
      <c r="Y1657" s="9"/>
      <c r="Z1657" s="9"/>
      <c r="AA1657" s="9"/>
      <c r="AB1657" s="9"/>
      <c r="AC1657" s="9"/>
      <c r="AD1657" s="9"/>
      <c r="AE1657" s="9"/>
      <c r="AF1657" s="9"/>
      <c r="AG1657" s="9"/>
      <c r="AH1657" s="9"/>
      <c r="AI1657" s="9"/>
      <c r="AJ1657" s="9"/>
      <c r="AK1657" s="9"/>
      <c r="AL1657" s="9"/>
      <c r="AM1657" s="9"/>
      <c r="AN1657" s="9"/>
      <c r="AO1657" s="9"/>
      <c r="AP1657" s="9"/>
      <c r="AQ1657" s="9"/>
      <c r="AR1657" s="9"/>
      <c r="AS1657" s="9"/>
      <c r="AT1657" s="9"/>
      <c r="AU1657" s="9"/>
    </row>
    <row r="1658" spans="1:47" ht="15.75" customHeight="1">
      <c r="A1658" s="9"/>
      <c r="B1658" s="9"/>
      <c r="C1658" s="9"/>
      <c r="D1658" s="9"/>
      <c r="E1658" s="9"/>
      <c r="F1658" s="67"/>
      <c r="G1658" s="9"/>
      <c r="H1658" s="9"/>
      <c r="I1658" s="9"/>
      <c r="J1658" s="9"/>
      <c r="K1658" s="9"/>
      <c r="L1658" s="9"/>
      <c r="M1658" s="9"/>
      <c r="N1658" s="9"/>
      <c r="O1658" s="9"/>
      <c r="P1658" s="9"/>
      <c r="Q1658" s="9"/>
      <c r="R1658" s="9"/>
      <c r="S1658" s="9"/>
      <c r="T1658" s="9"/>
      <c r="U1658" s="9"/>
      <c r="V1658" s="9"/>
      <c r="W1658" s="9"/>
      <c r="X1658" s="9"/>
      <c r="Y1658" s="9"/>
      <c r="Z1658" s="9"/>
      <c r="AA1658" s="9"/>
      <c r="AB1658" s="9"/>
      <c r="AC1658" s="9"/>
      <c r="AD1658" s="9"/>
      <c r="AE1658" s="9"/>
      <c r="AF1658" s="9"/>
      <c r="AG1658" s="9"/>
      <c r="AH1658" s="9"/>
      <c r="AI1658" s="9"/>
      <c r="AJ1658" s="9"/>
      <c r="AK1658" s="9"/>
      <c r="AL1658" s="9"/>
      <c r="AM1658" s="9"/>
      <c r="AN1658" s="9"/>
      <c r="AO1658" s="9"/>
      <c r="AP1658" s="9"/>
      <c r="AQ1658" s="9"/>
      <c r="AR1658" s="9"/>
      <c r="AS1658" s="9"/>
      <c r="AT1658" s="9"/>
      <c r="AU1658" s="9"/>
    </row>
    <row r="1659" spans="1:47" ht="15.75" customHeight="1">
      <c r="A1659" s="9"/>
      <c r="B1659" s="9"/>
      <c r="C1659" s="9"/>
      <c r="D1659" s="9"/>
      <c r="E1659" s="9"/>
      <c r="F1659" s="67"/>
      <c r="G1659" s="9"/>
      <c r="H1659" s="9"/>
      <c r="I1659" s="9"/>
      <c r="J1659" s="9"/>
      <c r="K1659" s="9"/>
      <c r="L1659" s="9"/>
      <c r="M1659" s="9"/>
      <c r="N1659" s="9"/>
      <c r="O1659" s="9"/>
      <c r="P1659" s="9"/>
      <c r="Q1659" s="9"/>
      <c r="R1659" s="9"/>
      <c r="S1659" s="9"/>
      <c r="T1659" s="9"/>
      <c r="U1659" s="9"/>
      <c r="V1659" s="9"/>
      <c r="W1659" s="9"/>
      <c r="X1659" s="9"/>
      <c r="Y1659" s="9"/>
      <c r="Z1659" s="9"/>
      <c r="AA1659" s="9"/>
      <c r="AB1659" s="9"/>
      <c r="AC1659" s="9"/>
      <c r="AD1659" s="9"/>
      <c r="AE1659" s="9"/>
      <c r="AF1659" s="9"/>
      <c r="AG1659" s="9"/>
      <c r="AH1659" s="9"/>
      <c r="AI1659" s="9"/>
      <c r="AJ1659" s="9"/>
      <c r="AK1659" s="9"/>
      <c r="AL1659" s="9"/>
      <c r="AM1659" s="9"/>
      <c r="AN1659" s="9"/>
      <c r="AO1659" s="9"/>
      <c r="AP1659" s="9"/>
      <c r="AQ1659" s="9"/>
      <c r="AR1659" s="9"/>
      <c r="AS1659" s="9"/>
      <c r="AT1659" s="9"/>
      <c r="AU1659" s="9"/>
    </row>
    <row r="1660" spans="1:47" ht="15.75" customHeight="1">
      <c r="A1660" s="9"/>
      <c r="B1660" s="9"/>
      <c r="C1660" s="9"/>
      <c r="D1660" s="9"/>
      <c r="E1660" s="9"/>
      <c r="F1660" s="67"/>
      <c r="G1660" s="9"/>
      <c r="H1660" s="9"/>
      <c r="I1660" s="9"/>
      <c r="J1660" s="9"/>
      <c r="K1660" s="9"/>
      <c r="L1660" s="9"/>
      <c r="M1660" s="9"/>
      <c r="N1660" s="9"/>
      <c r="O1660" s="9"/>
      <c r="P1660" s="9"/>
      <c r="Q1660" s="9"/>
      <c r="R1660" s="9"/>
      <c r="S1660" s="9"/>
      <c r="T1660" s="9"/>
      <c r="U1660" s="9"/>
      <c r="V1660" s="9"/>
      <c r="W1660" s="9"/>
      <c r="X1660" s="9"/>
      <c r="Y1660" s="9"/>
      <c r="Z1660" s="9"/>
      <c r="AA1660" s="9"/>
      <c r="AB1660" s="9"/>
      <c r="AC1660" s="9"/>
      <c r="AD1660" s="9"/>
      <c r="AE1660" s="9"/>
      <c r="AF1660" s="9"/>
      <c r="AG1660" s="9"/>
      <c r="AH1660" s="9"/>
      <c r="AI1660" s="9"/>
      <c r="AJ1660" s="9"/>
      <c r="AK1660" s="9"/>
      <c r="AL1660" s="9"/>
      <c r="AM1660" s="9"/>
      <c r="AN1660" s="9"/>
      <c r="AO1660" s="9"/>
      <c r="AP1660" s="9"/>
      <c r="AQ1660" s="9"/>
      <c r="AR1660" s="9"/>
      <c r="AS1660" s="9"/>
      <c r="AT1660" s="9"/>
      <c r="AU1660" s="9"/>
    </row>
    <row r="1661" spans="1:47" ht="15.75" customHeight="1">
      <c r="A1661" s="9"/>
      <c r="B1661" s="9"/>
      <c r="C1661" s="9"/>
      <c r="D1661" s="9"/>
      <c r="E1661" s="9"/>
      <c r="F1661" s="67"/>
      <c r="G1661" s="9"/>
      <c r="H1661" s="9"/>
      <c r="I1661" s="9"/>
      <c r="J1661" s="9"/>
      <c r="K1661" s="9"/>
      <c r="L1661" s="9"/>
      <c r="M1661" s="9"/>
      <c r="N1661" s="9"/>
      <c r="O1661" s="9"/>
      <c r="P1661" s="9"/>
      <c r="Q1661" s="9"/>
      <c r="R1661" s="9"/>
      <c r="S1661" s="9"/>
      <c r="T1661" s="9"/>
      <c r="U1661" s="9"/>
      <c r="V1661" s="9"/>
      <c r="W1661" s="9"/>
      <c r="X1661" s="9"/>
      <c r="Y1661" s="9"/>
      <c r="Z1661" s="9"/>
      <c r="AA1661" s="9"/>
      <c r="AB1661" s="9"/>
      <c r="AC1661" s="9"/>
      <c r="AD1661" s="9"/>
      <c r="AE1661" s="9"/>
      <c r="AF1661" s="9"/>
      <c r="AG1661" s="9"/>
      <c r="AH1661" s="9"/>
      <c r="AI1661" s="9"/>
      <c r="AJ1661" s="9"/>
      <c r="AK1661" s="9"/>
      <c r="AL1661" s="9"/>
      <c r="AM1661" s="9"/>
      <c r="AN1661" s="9"/>
      <c r="AO1661" s="9"/>
      <c r="AP1661" s="9"/>
      <c r="AQ1661" s="9"/>
      <c r="AR1661" s="9"/>
      <c r="AS1661" s="9"/>
      <c r="AT1661" s="9"/>
      <c r="AU1661" s="9"/>
    </row>
    <row r="1662" spans="1:47" ht="15.75" customHeight="1">
      <c r="A1662" s="9"/>
      <c r="B1662" s="9"/>
      <c r="C1662" s="9"/>
      <c r="D1662" s="9"/>
      <c r="E1662" s="9"/>
      <c r="F1662" s="67"/>
      <c r="G1662" s="9"/>
      <c r="H1662" s="9"/>
      <c r="I1662" s="9"/>
      <c r="J1662" s="9"/>
      <c r="K1662" s="9"/>
      <c r="L1662" s="9"/>
      <c r="M1662" s="9"/>
      <c r="N1662" s="9"/>
      <c r="O1662" s="9"/>
      <c r="P1662" s="9"/>
      <c r="Q1662" s="9"/>
      <c r="R1662" s="9"/>
      <c r="S1662" s="9"/>
      <c r="T1662" s="9"/>
      <c r="U1662" s="9"/>
      <c r="V1662" s="9"/>
      <c r="W1662" s="9"/>
      <c r="X1662" s="9"/>
      <c r="Y1662" s="9"/>
      <c r="Z1662" s="9"/>
      <c r="AA1662" s="9"/>
      <c r="AB1662" s="9"/>
      <c r="AC1662" s="9"/>
      <c r="AD1662" s="9"/>
      <c r="AE1662" s="9"/>
      <c r="AF1662" s="9"/>
      <c r="AG1662" s="9"/>
      <c r="AH1662" s="9"/>
      <c r="AI1662" s="9"/>
      <c r="AJ1662" s="9"/>
      <c r="AK1662" s="9"/>
      <c r="AL1662" s="9"/>
      <c r="AM1662" s="9"/>
      <c r="AN1662" s="9"/>
      <c r="AO1662" s="9"/>
      <c r="AP1662" s="9"/>
      <c r="AQ1662" s="9"/>
      <c r="AR1662" s="9"/>
      <c r="AS1662" s="9"/>
      <c r="AT1662" s="9"/>
      <c r="AU1662" s="9"/>
    </row>
    <row r="1663" spans="1:47" ht="15.75" customHeight="1">
      <c r="A1663" s="9"/>
      <c r="B1663" s="9"/>
      <c r="C1663" s="9"/>
      <c r="D1663" s="9"/>
      <c r="E1663" s="9"/>
      <c r="F1663" s="67"/>
      <c r="G1663" s="9"/>
      <c r="H1663" s="9"/>
      <c r="I1663" s="9"/>
      <c r="J1663" s="9"/>
      <c r="K1663" s="9"/>
      <c r="L1663" s="9"/>
      <c r="M1663" s="9"/>
      <c r="N1663" s="9"/>
      <c r="O1663" s="9"/>
      <c r="P1663" s="9"/>
      <c r="Q1663" s="9"/>
      <c r="R1663" s="9"/>
      <c r="S1663" s="9"/>
      <c r="T1663" s="9"/>
      <c r="U1663" s="9"/>
      <c r="V1663" s="9"/>
      <c r="W1663" s="9"/>
      <c r="X1663" s="9"/>
      <c r="Y1663" s="9"/>
      <c r="Z1663" s="9"/>
      <c r="AA1663" s="9"/>
      <c r="AB1663" s="9"/>
      <c r="AC1663" s="9"/>
      <c r="AD1663" s="9"/>
      <c r="AE1663" s="9"/>
      <c r="AF1663" s="9"/>
      <c r="AG1663" s="9"/>
      <c r="AH1663" s="9"/>
      <c r="AI1663" s="9"/>
      <c r="AJ1663" s="9"/>
      <c r="AK1663" s="9"/>
      <c r="AL1663" s="9"/>
      <c r="AM1663" s="9"/>
      <c r="AN1663" s="9"/>
      <c r="AO1663" s="9"/>
      <c r="AP1663" s="9"/>
      <c r="AQ1663" s="9"/>
      <c r="AR1663" s="9"/>
      <c r="AS1663" s="9"/>
      <c r="AT1663" s="9"/>
      <c r="AU1663" s="9"/>
    </row>
    <row r="1664" spans="1:47" ht="15.75" customHeight="1">
      <c r="A1664" s="9"/>
      <c r="B1664" s="9"/>
      <c r="C1664" s="9"/>
      <c r="D1664" s="9"/>
      <c r="E1664" s="9"/>
      <c r="F1664" s="67"/>
      <c r="G1664" s="9"/>
      <c r="H1664" s="9"/>
      <c r="I1664" s="9"/>
      <c r="J1664" s="9"/>
      <c r="K1664" s="9"/>
      <c r="L1664" s="9"/>
      <c r="M1664" s="9"/>
      <c r="N1664" s="9"/>
      <c r="O1664" s="9"/>
      <c r="P1664" s="9"/>
      <c r="Q1664" s="9"/>
      <c r="R1664" s="9"/>
      <c r="S1664" s="9"/>
      <c r="T1664" s="9"/>
      <c r="U1664" s="9"/>
      <c r="V1664" s="9"/>
      <c r="W1664" s="9"/>
      <c r="X1664" s="9"/>
      <c r="Y1664" s="9"/>
      <c r="Z1664" s="9"/>
      <c r="AA1664" s="9"/>
      <c r="AB1664" s="9"/>
      <c r="AC1664" s="9"/>
      <c r="AD1664" s="9"/>
      <c r="AE1664" s="9"/>
      <c r="AF1664" s="9"/>
      <c r="AG1664" s="9"/>
      <c r="AH1664" s="9"/>
      <c r="AI1664" s="9"/>
      <c r="AJ1664" s="9"/>
      <c r="AK1664" s="9"/>
      <c r="AL1664" s="9"/>
      <c r="AM1664" s="9"/>
      <c r="AN1664" s="9"/>
      <c r="AO1664" s="9"/>
      <c r="AP1664" s="9"/>
      <c r="AQ1664" s="9"/>
      <c r="AR1664" s="9"/>
      <c r="AS1664" s="9"/>
      <c r="AT1664" s="9"/>
      <c r="AU1664" s="9"/>
    </row>
    <row r="1665" spans="1:47" ht="15.75" customHeight="1">
      <c r="A1665" s="9"/>
      <c r="B1665" s="9"/>
      <c r="C1665" s="9"/>
      <c r="D1665" s="9"/>
      <c r="E1665" s="9"/>
      <c r="F1665" s="67"/>
      <c r="G1665" s="9"/>
      <c r="H1665" s="9"/>
      <c r="I1665" s="9"/>
      <c r="J1665" s="9"/>
      <c r="K1665" s="9"/>
      <c r="L1665" s="9"/>
      <c r="M1665" s="9"/>
      <c r="N1665" s="9"/>
      <c r="O1665" s="9"/>
      <c r="P1665" s="9"/>
      <c r="Q1665" s="9"/>
      <c r="R1665" s="9"/>
      <c r="S1665" s="9"/>
      <c r="T1665" s="9"/>
      <c r="U1665" s="9"/>
      <c r="V1665" s="9"/>
      <c r="W1665" s="9"/>
      <c r="X1665" s="9"/>
      <c r="Y1665" s="9"/>
      <c r="Z1665" s="9"/>
      <c r="AA1665" s="9"/>
      <c r="AB1665" s="9"/>
      <c r="AC1665" s="9"/>
      <c r="AD1665" s="9"/>
      <c r="AE1665" s="9"/>
      <c r="AF1665" s="9"/>
      <c r="AG1665" s="9"/>
      <c r="AH1665" s="9"/>
      <c r="AI1665" s="9"/>
      <c r="AJ1665" s="9"/>
      <c r="AK1665" s="9"/>
      <c r="AL1665" s="9"/>
      <c r="AM1665" s="9"/>
      <c r="AN1665" s="9"/>
      <c r="AO1665" s="9"/>
      <c r="AP1665" s="9"/>
      <c r="AQ1665" s="9"/>
      <c r="AR1665" s="9"/>
      <c r="AS1665" s="9"/>
      <c r="AT1665" s="9"/>
      <c r="AU1665" s="9"/>
    </row>
    <row r="1666" spans="1:47" ht="15.75" customHeight="1">
      <c r="A1666" s="9"/>
      <c r="B1666" s="9"/>
      <c r="C1666" s="9"/>
      <c r="D1666" s="9"/>
      <c r="E1666" s="9"/>
      <c r="F1666" s="67"/>
      <c r="G1666" s="9"/>
      <c r="H1666" s="9"/>
      <c r="I1666" s="9"/>
      <c r="J1666" s="9"/>
      <c r="K1666" s="9"/>
      <c r="L1666" s="9"/>
      <c r="M1666" s="9"/>
      <c r="N1666" s="9"/>
      <c r="O1666" s="9"/>
      <c r="P1666" s="9"/>
      <c r="Q1666" s="9"/>
      <c r="R1666" s="9"/>
      <c r="S1666" s="9"/>
      <c r="T1666" s="9"/>
      <c r="U1666" s="9"/>
      <c r="V1666" s="9"/>
      <c r="W1666" s="9"/>
      <c r="X1666" s="9"/>
      <c r="Y1666" s="9"/>
      <c r="Z1666" s="9"/>
      <c r="AA1666" s="9"/>
      <c r="AB1666" s="9"/>
      <c r="AC1666" s="9"/>
      <c r="AD1666" s="9"/>
      <c r="AE1666" s="9"/>
      <c r="AF1666" s="9"/>
      <c r="AG1666" s="9"/>
      <c r="AH1666" s="9"/>
      <c r="AI1666" s="9"/>
      <c r="AJ1666" s="9"/>
      <c r="AK1666" s="9"/>
      <c r="AL1666" s="9"/>
      <c r="AM1666" s="9"/>
      <c r="AN1666" s="9"/>
      <c r="AO1666" s="9"/>
      <c r="AP1666" s="9"/>
      <c r="AQ1666" s="9"/>
      <c r="AR1666" s="9"/>
      <c r="AS1666" s="9"/>
      <c r="AT1666" s="9"/>
      <c r="AU1666" s="9"/>
    </row>
    <row r="1667" spans="1:47" ht="15.75" customHeight="1">
      <c r="A1667" s="9"/>
      <c r="B1667" s="9"/>
      <c r="C1667" s="9"/>
      <c r="D1667" s="9"/>
      <c r="E1667" s="9"/>
      <c r="F1667" s="67"/>
      <c r="G1667" s="9"/>
      <c r="H1667" s="9"/>
      <c r="I1667" s="9"/>
      <c r="J1667" s="9"/>
      <c r="K1667" s="9"/>
      <c r="L1667" s="9"/>
      <c r="M1667" s="9"/>
      <c r="N1667" s="9"/>
      <c r="O1667" s="9"/>
      <c r="P1667" s="9"/>
      <c r="Q1667" s="9"/>
      <c r="R1667" s="9"/>
      <c r="S1667" s="9"/>
      <c r="T1667" s="9"/>
      <c r="U1667" s="9"/>
      <c r="V1667" s="9"/>
      <c r="W1667" s="9"/>
      <c r="X1667" s="9"/>
      <c r="Y1667" s="9"/>
      <c r="Z1667" s="9"/>
      <c r="AA1667" s="9"/>
      <c r="AB1667" s="9"/>
      <c r="AC1667" s="9"/>
      <c r="AD1667" s="9"/>
      <c r="AE1667" s="9"/>
      <c r="AF1667" s="9"/>
      <c r="AG1667" s="9"/>
      <c r="AH1667" s="9"/>
      <c r="AI1667" s="9"/>
      <c r="AJ1667" s="9"/>
      <c r="AK1667" s="9"/>
      <c r="AL1667" s="9"/>
      <c r="AM1667" s="9"/>
      <c r="AN1667" s="9"/>
      <c r="AO1667" s="9"/>
      <c r="AP1667" s="9"/>
      <c r="AQ1667" s="9"/>
      <c r="AR1667" s="9"/>
      <c r="AS1667" s="9"/>
      <c r="AT1667" s="9"/>
      <c r="AU1667" s="9"/>
    </row>
    <row r="1668" spans="1:47" ht="15.75" customHeight="1">
      <c r="A1668" s="9"/>
      <c r="B1668" s="9"/>
      <c r="C1668" s="9"/>
      <c r="D1668" s="9"/>
      <c r="E1668" s="9"/>
      <c r="F1668" s="67"/>
      <c r="G1668" s="9"/>
      <c r="H1668" s="9"/>
      <c r="I1668" s="9"/>
      <c r="J1668" s="9"/>
      <c r="K1668" s="9"/>
      <c r="L1668" s="9"/>
      <c r="M1668" s="9"/>
      <c r="N1668" s="9"/>
      <c r="O1668" s="9"/>
      <c r="P1668" s="9"/>
      <c r="Q1668" s="9"/>
      <c r="R1668" s="9"/>
      <c r="S1668" s="9"/>
      <c r="T1668" s="9"/>
      <c r="U1668" s="9"/>
      <c r="V1668" s="9"/>
      <c r="W1668" s="9"/>
      <c r="X1668" s="9"/>
      <c r="Y1668" s="9"/>
      <c r="Z1668" s="9"/>
      <c r="AA1668" s="9"/>
      <c r="AB1668" s="9"/>
      <c r="AC1668" s="9"/>
      <c r="AD1668" s="9"/>
      <c r="AE1668" s="9"/>
      <c r="AF1668" s="9"/>
      <c r="AG1668" s="9"/>
      <c r="AH1668" s="9"/>
      <c r="AI1668" s="9"/>
      <c r="AJ1668" s="9"/>
      <c r="AK1668" s="9"/>
      <c r="AL1668" s="9"/>
      <c r="AM1668" s="9"/>
      <c r="AN1668" s="9"/>
      <c r="AO1668" s="9"/>
      <c r="AP1668" s="9"/>
      <c r="AQ1668" s="9"/>
      <c r="AR1668" s="9"/>
      <c r="AS1668" s="9"/>
      <c r="AT1668" s="9"/>
      <c r="AU1668" s="9"/>
    </row>
    <row r="1669" spans="1:47" ht="15.75" customHeight="1">
      <c r="A1669" s="9"/>
      <c r="B1669" s="9"/>
      <c r="C1669" s="9"/>
      <c r="D1669" s="9"/>
      <c r="E1669" s="9"/>
      <c r="F1669" s="67"/>
      <c r="G1669" s="9"/>
      <c r="H1669" s="9"/>
      <c r="I1669" s="9"/>
      <c r="J1669" s="9"/>
      <c r="K1669" s="9"/>
      <c r="L1669" s="9"/>
      <c r="M1669" s="9"/>
      <c r="N1669" s="9"/>
      <c r="O1669" s="9"/>
      <c r="P1669" s="9"/>
      <c r="Q1669" s="9"/>
      <c r="R1669" s="9"/>
      <c r="S1669" s="9"/>
      <c r="T1669" s="9"/>
      <c r="U1669" s="9"/>
      <c r="V1669" s="9"/>
      <c r="W1669" s="9"/>
      <c r="X1669" s="9"/>
      <c r="Y1669" s="9"/>
      <c r="Z1669" s="9"/>
      <c r="AA1669" s="9"/>
      <c r="AB1669" s="9"/>
      <c r="AC1669" s="9"/>
      <c r="AD1669" s="9"/>
      <c r="AE1669" s="9"/>
      <c r="AF1669" s="9"/>
      <c r="AG1669" s="9"/>
      <c r="AH1669" s="9"/>
      <c r="AI1669" s="9"/>
      <c r="AJ1669" s="9"/>
      <c r="AK1669" s="9"/>
      <c r="AL1669" s="9"/>
      <c r="AM1669" s="9"/>
      <c r="AN1669" s="9"/>
      <c r="AO1669" s="9"/>
      <c r="AP1669" s="9"/>
      <c r="AQ1669" s="9"/>
      <c r="AR1669" s="9"/>
      <c r="AS1669" s="9"/>
      <c r="AT1669" s="9"/>
      <c r="AU1669" s="9"/>
    </row>
    <row r="1670" spans="1:47" ht="15.75" customHeight="1">
      <c r="A1670" s="9"/>
      <c r="B1670" s="9"/>
      <c r="C1670" s="9"/>
      <c r="D1670" s="9"/>
      <c r="E1670" s="9"/>
      <c r="F1670" s="67"/>
      <c r="G1670" s="9"/>
      <c r="H1670" s="9"/>
      <c r="I1670" s="9"/>
      <c r="J1670" s="9"/>
      <c r="K1670" s="9"/>
      <c r="L1670" s="9"/>
      <c r="M1670" s="9"/>
      <c r="N1670" s="9"/>
      <c r="O1670" s="9"/>
      <c r="P1670" s="9"/>
      <c r="Q1670" s="9"/>
      <c r="R1670" s="9"/>
      <c r="S1670" s="9"/>
      <c r="T1670" s="9"/>
      <c r="U1670" s="9"/>
      <c r="V1670" s="9"/>
      <c r="W1670" s="9"/>
      <c r="X1670" s="9"/>
      <c r="Y1670" s="9"/>
      <c r="Z1670" s="9"/>
      <c r="AA1670" s="9"/>
      <c r="AB1670" s="9"/>
      <c r="AC1670" s="9"/>
      <c r="AD1670" s="9"/>
      <c r="AE1670" s="9"/>
      <c r="AF1670" s="9"/>
      <c r="AG1670" s="9"/>
      <c r="AH1670" s="9"/>
      <c r="AI1670" s="9"/>
      <c r="AJ1670" s="9"/>
      <c r="AK1670" s="9"/>
      <c r="AL1670" s="9"/>
      <c r="AM1670" s="9"/>
      <c r="AN1670" s="9"/>
      <c r="AO1670" s="9"/>
      <c r="AP1670" s="9"/>
      <c r="AQ1670" s="9"/>
      <c r="AR1670" s="9"/>
      <c r="AS1670" s="9"/>
      <c r="AT1670" s="9"/>
      <c r="AU1670" s="9"/>
    </row>
    <row r="1671" spans="1:47" ht="15.75" customHeight="1">
      <c r="A1671" s="9"/>
      <c r="B1671" s="9"/>
      <c r="C1671" s="9"/>
      <c r="D1671" s="9"/>
      <c r="E1671" s="9"/>
      <c r="F1671" s="67"/>
      <c r="G1671" s="9"/>
      <c r="H1671" s="9"/>
      <c r="I1671" s="9"/>
      <c r="J1671" s="9"/>
      <c r="K1671" s="9"/>
      <c r="L1671" s="9"/>
      <c r="M1671" s="9"/>
      <c r="N1671" s="9"/>
      <c r="O1671" s="9"/>
      <c r="P1671" s="9"/>
      <c r="Q1671" s="9"/>
      <c r="R1671" s="9"/>
      <c r="S1671" s="9"/>
      <c r="T1671" s="9"/>
      <c r="U1671" s="9"/>
      <c r="V1671" s="9"/>
      <c r="W1671" s="9"/>
      <c r="X1671" s="9"/>
      <c r="Y1671" s="9"/>
      <c r="Z1671" s="9"/>
      <c r="AA1671" s="9"/>
      <c r="AB1671" s="9"/>
      <c r="AC1671" s="9"/>
      <c r="AD1671" s="9"/>
      <c r="AE1671" s="9"/>
      <c r="AF1671" s="9"/>
      <c r="AG1671" s="9"/>
      <c r="AH1671" s="9"/>
      <c r="AI1671" s="9"/>
      <c r="AJ1671" s="9"/>
      <c r="AK1671" s="9"/>
      <c r="AL1671" s="9"/>
      <c r="AM1671" s="9"/>
      <c r="AN1671" s="9"/>
      <c r="AO1671" s="9"/>
      <c r="AP1671" s="9"/>
      <c r="AQ1671" s="9"/>
      <c r="AR1671" s="9"/>
      <c r="AS1671" s="9"/>
      <c r="AT1671" s="9"/>
      <c r="AU1671" s="9"/>
    </row>
    <row r="1672" spans="1:47" ht="15.75" customHeight="1">
      <c r="A1672" s="9"/>
      <c r="B1672" s="9"/>
      <c r="C1672" s="9"/>
      <c r="D1672" s="9"/>
      <c r="E1672" s="9"/>
      <c r="F1672" s="67"/>
      <c r="G1672" s="9"/>
      <c r="H1672" s="9"/>
      <c r="I1672" s="9"/>
      <c r="J1672" s="9"/>
      <c r="K1672" s="9"/>
      <c r="L1672" s="9"/>
      <c r="M1672" s="9"/>
      <c r="N1672" s="9"/>
      <c r="O1672" s="9"/>
      <c r="P1672" s="9"/>
      <c r="Q1672" s="9"/>
      <c r="R1672" s="9"/>
      <c r="S1672" s="9"/>
      <c r="T1672" s="9"/>
      <c r="U1672" s="9"/>
      <c r="V1672" s="9"/>
      <c r="W1672" s="9"/>
      <c r="X1672" s="9"/>
      <c r="Y1672" s="9"/>
      <c r="Z1672" s="9"/>
      <c r="AA1672" s="9"/>
      <c r="AB1672" s="9"/>
      <c r="AC1672" s="9"/>
      <c r="AD1672" s="9"/>
      <c r="AE1672" s="9"/>
      <c r="AF1672" s="9"/>
      <c r="AG1672" s="9"/>
      <c r="AH1672" s="9"/>
      <c r="AI1672" s="9"/>
      <c r="AJ1672" s="9"/>
      <c r="AK1672" s="9"/>
      <c r="AL1672" s="9"/>
      <c r="AM1672" s="9"/>
      <c r="AN1672" s="9"/>
      <c r="AO1672" s="9"/>
      <c r="AP1672" s="9"/>
      <c r="AQ1672" s="9"/>
      <c r="AR1672" s="9"/>
      <c r="AS1672" s="9"/>
      <c r="AT1672" s="9"/>
      <c r="AU1672" s="9"/>
    </row>
    <row r="1673" spans="1:47" ht="15.75" customHeight="1">
      <c r="A1673" s="9"/>
      <c r="B1673" s="9"/>
      <c r="C1673" s="9"/>
      <c r="D1673" s="9"/>
      <c r="E1673" s="9"/>
      <c r="F1673" s="67"/>
      <c r="G1673" s="9"/>
      <c r="H1673" s="9"/>
      <c r="I1673" s="9"/>
      <c r="J1673" s="9"/>
      <c r="K1673" s="9"/>
      <c r="L1673" s="9"/>
      <c r="M1673" s="9"/>
      <c r="N1673" s="9"/>
      <c r="O1673" s="9"/>
      <c r="P1673" s="9"/>
      <c r="Q1673" s="9"/>
      <c r="R1673" s="9"/>
      <c r="S1673" s="9"/>
      <c r="T1673" s="9"/>
      <c r="U1673" s="9"/>
      <c r="V1673" s="9"/>
      <c r="W1673" s="9"/>
      <c r="X1673" s="9"/>
      <c r="Y1673" s="9"/>
      <c r="Z1673" s="9"/>
      <c r="AA1673" s="9"/>
      <c r="AB1673" s="9"/>
      <c r="AC1673" s="9"/>
      <c r="AD1673" s="9"/>
      <c r="AE1673" s="9"/>
      <c r="AF1673" s="9"/>
      <c r="AG1673" s="9"/>
      <c r="AH1673" s="9"/>
      <c r="AI1673" s="9"/>
      <c r="AJ1673" s="9"/>
      <c r="AK1673" s="9"/>
      <c r="AL1673" s="9"/>
      <c r="AM1673" s="9"/>
      <c r="AN1673" s="9"/>
      <c r="AO1673" s="9"/>
      <c r="AP1673" s="9"/>
      <c r="AQ1673" s="9"/>
      <c r="AR1673" s="9"/>
      <c r="AS1673" s="9"/>
      <c r="AT1673" s="9"/>
      <c r="AU1673" s="9"/>
    </row>
    <row r="1674" spans="1:47" ht="15.75" customHeight="1">
      <c r="A1674" s="9"/>
      <c r="B1674" s="9"/>
      <c r="C1674" s="9"/>
      <c r="D1674" s="9"/>
      <c r="E1674" s="9"/>
      <c r="F1674" s="67"/>
      <c r="G1674" s="9"/>
      <c r="H1674" s="9"/>
      <c r="I1674" s="9"/>
      <c r="J1674" s="9"/>
      <c r="K1674" s="9"/>
      <c r="L1674" s="9"/>
      <c r="M1674" s="9"/>
      <c r="N1674" s="9"/>
      <c r="O1674" s="9"/>
      <c r="P1674" s="9"/>
      <c r="Q1674" s="9"/>
      <c r="R1674" s="9"/>
      <c r="S1674" s="9"/>
      <c r="T1674" s="9"/>
      <c r="U1674" s="9"/>
      <c r="V1674" s="9"/>
      <c r="W1674" s="9"/>
      <c r="X1674" s="9"/>
      <c r="Y1674" s="9"/>
      <c r="Z1674" s="9"/>
      <c r="AA1674" s="9"/>
      <c r="AB1674" s="9"/>
      <c r="AC1674" s="9"/>
      <c r="AD1674" s="9"/>
      <c r="AE1674" s="9"/>
      <c r="AF1674" s="9"/>
      <c r="AG1674" s="9"/>
      <c r="AH1674" s="9"/>
      <c r="AI1674" s="9"/>
      <c r="AJ1674" s="9"/>
      <c r="AK1674" s="9"/>
      <c r="AL1674" s="9"/>
      <c r="AM1674" s="9"/>
      <c r="AN1674" s="9"/>
      <c r="AO1674" s="9"/>
      <c r="AP1674" s="9"/>
      <c r="AQ1674" s="9"/>
      <c r="AR1674" s="9"/>
      <c r="AS1674" s="9"/>
      <c r="AT1674" s="9"/>
      <c r="AU1674" s="9"/>
    </row>
    <row r="1675" spans="1:47" ht="15.75" customHeight="1">
      <c r="A1675" s="9"/>
      <c r="B1675" s="9"/>
      <c r="C1675" s="9"/>
      <c r="D1675" s="9"/>
      <c r="E1675" s="9"/>
      <c r="F1675" s="67"/>
      <c r="G1675" s="9"/>
      <c r="H1675" s="9"/>
      <c r="I1675" s="9"/>
      <c r="J1675" s="9"/>
      <c r="K1675" s="9"/>
      <c r="L1675" s="9"/>
      <c r="M1675" s="9"/>
      <c r="N1675" s="9"/>
      <c r="O1675" s="9"/>
      <c r="P1675" s="9"/>
      <c r="Q1675" s="9"/>
      <c r="R1675" s="9"/>
      <c r="S1675" s="9"/>
      <c r="T1675" s="9"/>
      <c r="U1675" s="9"/>
      <c r="V1675" s="9"/>
      <c r="W1675" s="9"/>
      <c r="X1675" s="9"/>
      <c r="Y1675" s="9"/>
      <c r="Z1675" s="9"/>
      <c r="AA1675" s="9"/>
      <c r="AB1675" s="9"/>
      <c r="AC1675" s="9"/>
      <c r="AD1675" s="9"/>
      <c r="AE1675" s="9"/>
      <c r="AF1675" s="9"/>
      <c r="AG1675" s="9"/>
      <c r="AH1675" s="9"/>
      <c r="AI1675" s="9"/>
      <c r="AJ1675" s="9"/>
      <c r="AK1675" s="9"/>
      <c r="AL1675" s="9"/>
      <c r="AM1675" s="9"/>
      <c r="AN1675" s="9"/>
      <c r="AO1675" s="9"/>
      <c r="AP1675" s="9"/>
      <c r="AQ1675" s="9"/>
      <c r="AR1675" s="9"/>
      <c r="AS1675" s="9"/>
      <c r="AT1675" s="9"/>
      <c r="AU1675" s="9"/>
    </row>
    <row r="1676" spans="1:47" ht="15.75" customHeight="1">
      <c r="A1676" s="9"/>
      <c r="B1676" s="9"/>
      <c r="C1676" s="9"/>
      <c r="D1676" s="9"/>
      <c r="E1676" s="9"/>
      <c r="F1676" s="67"/>
      <c r="G1676" s="9"/>
      <c r="H1676" s="9"/>
      <c r="I1676" s="9"/>
      <c r="J1676" s="9"/>
      <c r="K1676" s="9"/>
      <c r="L1676" s="9"/>
      <c r="M1676" s="9"/>
      <c r="N1676" s="9"/>
      <c r="O1676" s="9"/>
      <c r="P1676" s="9"/>
      <c r="Q1676" s="9"/>
      <c r="R1676" s="9"/>
      <c r="S1676" s="9"/>
      <c r="T1676" s="9"/>
      <c r="U1676" s="9"/>
      <c r="V1676" s="9"/>
      <c r="W1676" s="9"/>
      <c r="X1676" s="9"/>
      <c r="Y1676" s="9"/>
      <c r="Z1676" s="9"/>
      <c r="AA1676" s="9"/>
      <c r="AB1676" s="9"/>
      <c r="AC1676" s="9"/>
      <c r="AD1676" s="9"/>
      <c r="AE1676" s="9"/>
      <c r="AF1676" s="9"/>
      <c r="AG1676" s="9"/>
      <c r="AH1676" s="9"/>
      <c r="AI1676" s="9"/>
      <c r="AJ1676" s="9"/>
      <c r="AK1676" s="9"/>
      <c r="AL1676" s="9"/>
      <c r="AM1676" s="9"/>
      <c r="AN1676" s="9"/>
      <c r="AO1676" s="9"/>
      <c r="AP1676" s="9"/>
      <c r="AQ1676" s="9"/>
      <c r="AR1676" s="9"/>
      <c r="AS1676" s="9"/>
      <c r="AT1676" s="9"/>
      <c r="AU1676" s="9"/>
    </row>
    <row r="1677" spans="1:47" ht="15.75" customHeight="1">
      <c r="A1677" s="9"/>
      <c r="B1677" s="9"/>
      <c r="C1677" s="9"/>
      <c r="D1677" s="9"/>
      <c r="E1677" s="9"/>
      <c r="F1677" s="67"/>
      <c r="G1677" s="9"/>
      <c r="H1677" s="9"/>
      <c r="I1677" s="9"/>
      <c r="J1677" s="9"/>
      <c r="K1677" s="9"/>
      <c r="L1677" s="9"/>
      <c r="M1677" s="9"/>
      <c r="N1677" s="9"/>
      <c r="O1677" s="9"/>
      <c r="P1677" s="9"/>
      <c r="Q1677" s="9"/>
      <c r="R1677" s="9"/>
      <c r="S1677" s="9"/>
      <c r="T1677" s="9"/>
      <c r="U1677" s="9"/>
      <c r="V1677" s="9"/>
      <c r="W1677" s="9"/>
      <c r="X1677" s="9"/>
      <c r="Y1677" s="9"/>
      <c r="Z1677" s="9"/>
      <c r="AA1677" s="9"/>
      <c r="AB1677" s="9"/>
      <c r="AC1677" s="9"/>
      <c r="AD1677" s="9"/>
      <c r="AE1677" s="9"/>
      <c r="AF1677" s="9"/>
      <c r="AG1677" s="9"/>
      <c r="AH1677" s="9"/>
      <c r="AI1677" s="9"/>
      <c r="AJ1677" s="9"/>
      <c r="AK1677" s="9"/>
      <c r="AL1677" s="9"/>
      <c r="AM1677" s="9"/>
      <c r="AN1677" s="9"/>
      <c r="AO1677" s="9"/>
      <c r="AP1677" s="9"/>
      <c r="AQ1677" s="9"/>
      <c r="AR1677" s="9"/>
      <c r="AS1677" s="9"/>
      <c r="AT1677" s="9"/>
      <c r="AU1677" s="9"/>
    </row>
    <row r="1678" spans="1:47" ht="15.75" customHeight="1">
      <c r="A1678" s="9"/>
      <c r="B1678" s="9"/>
      <c r="C1678" s="9"/>
      <c r="D1678" s="9"/>
      <c r="E1678" s="9"/>
      <c r="F1678" s="67"/>
      <c r="G1678" s="9"/>
      <c r="H1678" s="9"/>
      <c r="I1678" s="9"/>
      <c r="J1678" s="9"/>
      <c r="K1678" s="9"/>
      <c r="L1678" s="9"/>
      <c r="M1678" s="9"/>
      <c r="N1678" s="9"/>
      <c r="O1678" s="9"/>
      <c r="P1678" s="9"/>
      <c r="Q1678" s="9"/>
      <c r="R1678" s="9"/>
      <c r="S1678" s="9"/>
      <c r="T1678" s="9"/>
      <c r="U1678" s="9"/>
      <c r="V1678" s="9"/>
      <c r="W1678" s="9"/>
      <c r="X1678" s="9"/>
      <c r="Y1678" s="9"/>
      <c r="Z1678" s="9"/>
      <c r="AA1678" s="9"/>
      <c r="AB1678" s="9"/>
      <c r="AC1678" s="9"/>
      <c r="AD1678" s="9"/>
      <c r="AE1678" s="9"/>
      <c r="AF1678" s="9"/>
      <c r="AG1678" s="9"/>
      <c r="AH1678" s="9"/>
      <c r="AI1678" s="9"/>
      <c r="AJ1678" s="9"/>
      <c r="AK1678" s="9"/>
      <c r="AL1678" s="9"/>
      <c r="AM1678" s="9"/>
      <c r="AN1678" s="9"/>
      <c r="AO1678" s="9"/>
      <c r="AP1678" s="9"/>
      <c r="AQ1678" s="9"/>
      <c r="AR1678" s="9"/>
      <c r="AS1678" s="9"/>
      <c r="AT1678" s="9"/>
      <c r="AU1678" s="9"/>
    </row>
    <row r="1679" spans="1:47" ht="15.75" customHeight="1">
      <c r="A1679" s="9"/>
      <c r="B1679" s="9"/>
      <c r="C1679" s="9"/>
      <c r="D1679" s="9"/>
      <c r="E1679" s="9"/>
      <c r="F1679" s="67"/>
      <c r="G1679" s="9"/>
      <c r="H1679" s="9"/>
      <c r="I1679" s="9"/>
      <c r="J1679" s="9"/>
      <c r="K1679" s="9"/>
      <c r="L1679" s="9"/>
      <c r="M1679" s="9"/>
      <c r="N1679" s="9"/>
      <c r="O1679" s="9"/>
      <c r="P1679" s="9"/>
      <c r="Q1679" s="9"/>
      <c r="R1679" s="9"/>
      <c r="S1679" s="9"/>
      <c r="T1679" s="9"/>
      <c r="U1679" s="9"/>
      <c r="V1679" s="9"/>
      <c r="W1679" s="9"/>
      <c r="X1679" s="9"/>
      <c r="Y1679" s="9"/>
      <c r="Z1679" s="9"/>
      <c r="AA1679" s="9"/>
      <c r="AB1679" s="9"/>
      <c r="AC1679" s="9"/>
      <c r="AD1679" s="9"/>
      <c r="AE1679" s="9"/>
      <c r="AF1679" s="9"/>
      <c r="AG1679" s="9"/>
      <c r="AH1679" s="9"/>
      <c r="AI1679" s="9"/>
      <c r="AJ1679" s="9"/>
      <c r="AK1679" s="9"/>
      <c r="AL1679" s="9"/>
      <c r="AM1679" s="9"/>
      <c r="AN1679" s="9"/>
      <c r="AO1679" s="9"/>
      <c r="AP1679" s="9"/>
      <c r="AQ1679" s="9"/>
      <c r="AR1679" s="9"/>
      <c r="AS1679" s="9"/>
      <c r="AT1679" s="9"/>
      <c r="AU1679" s="9"/>
    </row>
    <row r="1680" spans="1:47" ht="15.75" customHeight="1">
      <c r="A1680" s="9"/>
      <c r="B1680" s="9"/>
      <c r="C1680" s="9"/>
      <c r="D1680" s="9"/>
      <c r="E1680" s="9"/>
      <c r="F1680" s="67"/>
      <c r="G1680" s="9"/>
      <c r="H1680" s="9"/>
      <c r="I1680" s="9"/>
      <c r="J1680" s="9"/>
      <c r="K1680" s="9"/>
      <c r="L1680" s="9"/>
      <c r="M1680" s="9"/>
      <c r="N1680" s="9"/>
      <c r="O1680" s="9"/>
      <c r="P1680" s="9"/>
      <c r="Q1680" s="9"/>
      <c r="R1680" s="9"/>
      <c r="S1680" s="9"/>
      <c r="T1680" s="9"/>
      <c r="U1680" s="9"/>
      <c r="V1680" s="9"/>
      <c r="W1680" s="9"/>
      <c r="X1680" s="9"/>
      <c r="Y1680" s="9"/>
      <c r="Z1680" s="9"/>
      <c r="AA1680" s="9"/>
      <c r="AB1680" s="9"/>
      <c r="AC1680" s="9"/>
      <c r="AD1680" s="9"/>
      <c r="AE1680" s="9"/>
      <c r="AF1680" s="9"/>
      <c r="AG1680" s="9"/>
      <c r="AH1680" s="9"/>
      <c r="AI1680" s="9"/>
      <c r="AJ1680" s="9"/>
      <c r="AK1680" s="9"/>
      <c r="AL1680" s="9"/>
      <c r="AM1680" s="9"/>
      <c r="AN1680" s="9"/>
      <c r="AO1680" s="9"/>
      <c r="AP1680" s="9"/>
      <c r="AQ1680" s="9"/>
      <c r="AR1680" s="9"/>
      <c r="AS1680" s="9"/>
      <c r="AT1680" s="9"/>
      <c r="AU1680" s="9"/>
    </row>
    <row r="1681" spans="1:47" ht="15.75" customHeight="1">
      <c r="A1681" s="9"/>
      <c r="B1681" s="9"/>
      <c r="C1681" s="9"/>
      <c r="D1681" s="9"/>
      <c r="E1681" s="9"/>
      <c r="F1681" s="67"/>
      <c r="G1681" s="9"/>
      <c r="H1681" s="9"/>
      <c r="I1681" s="9"/>
      <c r="J1681" s="9"/>
      <c r="K1681" s="9"/>
      <c r="L1681" s="9"/>
      <c r="M1681" s="9"/>
      <c r="N1681" s="9"/>
      <c r="O1681" s="9"/>
      <c r="P1681" s="9"/>
      <c r="Q1681" s="9"/>
      <c r="R1681" s="9"/>
      <c r="S1681" s="9"/>
      <c r="T1681" s="9"/>
      <c r="U1681" s="9"/>
      <c r="V1681" s="9"/>
      <c r="W1681" s="9"/>
      <c r="X1681" s="9"/>
      <c r="Y1681" s="9"/>
      <c r="Z1681" s="9"/>
      <c r="AA1681" s="9"/>
      <c r="AB1681" s="9"/>
      <c r="AC1681" s="9"/>
      <c r="AD1681" s="9"/>
      <c r="AE1681" s="9"/>
      <c r="AF1681" s="9"/>
      <c r="AG1681" s="9"/>
      <c r="AH1681" s="9"/>
      <c r="AI1681" s="9"/>
      <c r="AJ1681" s="9"/>
      <c r="AK1681" s="9"/>
      <c r="AL1681" s="9"/>
      <c r="AM1681" s="9"/>
      <c r="AN1681" s="9"/>
      <c r="AO1681" s="9"/>
      <c r="AP1681" s="9"/>
      <c r="AQ1681" s="9"/>
      <c r="AR1681" s="9"/>
      <c r="AS1681" s="9"/>
      <c r="AT1681" s="9"/>
      <c r="AU1681" s="9"/>
    </row>
    <row r="1682" spans="1:47" ht="15.75" customHeight="1">
      <c r="A1682" s="9"/>
      <c r="B1682" s="9"/>
      <c r="C1682" s="9"/>
      <c r="D1682" s="9"/>
      <c r="E1682" s="9"/>
      <c r="F1682" s="67"/>
      <c r="G1682" s="9"/>
      <c r="H1682" s="9"/>
      <c r="I1682" s="9"/>
      <c r="J1682" s="9"/>
      <c r="K1682" s="9"/>
      <c r="L1682" s="9"/>
      <c r="M1682" s="9"/>
      <c r="N1682" s="9"/>
      <c r="O1682" s="9"/>
      <c r="P1682" s="9"/>
      <c r="Q1682" s="9"/>
      <c r="R1682" s="9"/>
      <c r="S1682" s="9"/>
      <c r="T1682" s="9"/>
      <c r="U1682" s="9"/>
      <c r="V1682" s="9"/>
      <c r="W1682" s="9"/>
      <c r="X1682" s="9"/>
      <c r="Y1682" s="9"/>
      <c r="Z1682" s="9"/>
      <c r="AA1682" s="9"/>
      <c r="AB1682" s="9"/>
      <c r="AC1682" s="9"/>
      <c r="AD1682" s="9"/>
      <c r="AE1682" s="9"/>
      <c r="AF1682" s="9"/>
      <c r="AG1682" s="9"/>
      <c r="AH1682" s="9"/>
      <c r="AI1682" s="9"/>
      <c r="AJ1682" s="9"/>
      <c r="AK1682" s="9"/>
      <c r="AL1682" s="9"/>
      <c r="AM1682" s="9"/>
      <c r="AN1682" s="9"/>
      <c r="AO1682" s="9"/>
      <c r="AP1682" s="9"/>
      <c r="AQ1682" s="9"/>
      <c r="AR1682" s="9"/>
      <c r="AS1682" s="9"/>
      <c r="AT1682" s="9"/>
      <c r="AU1682" s="9"/>
    </row>
    <row r="1683" spans="1:47" ht="15.75" customHeight="1">
      <c r="A1683" s="9"/>
      <c r="B1683" s="9"/>
      <c r="C1683" s="9"/>
      <c r="D1683" s="9"/>
      <c r="E1683" s="9"/>
      <c r="F1683" s="67"/>
      <c r="G1683" s="9"/>
      <c r="H1683" s="9"/>
      <c r="I1683" s="9"/>
      <c r="J1683" s="9"/>
      <c r="K1683" s="9"/>
      <c r="L1683" s="9"/>
      <c r="M1683" s="9"/>
      <c r="N1683" s="9"/>
      <c r="O1683" s="9"/>
      <c r="P1683" s="9"/>
      <c r="Q1683" s="9"/>
      <c r="R1683" s="9"/>
      <c r="S1683" s="9"/>
      <c r="T1683" s="9"/>
      <c r="U1683" s="9"/>
      <c r="V1683" s="9"/>
      <c r="W1683" s="9"/>
      <c r="X1683" s="9"/>
      <c r="Y1683" s="9"/>
      <c r="Z1683" s="9"/>
      <c r="AA1683" s="9"/>
      <c r="AB1683" s="9"/>
      <c r="AC1683" s="9"/>
      <c r="AD1683" s="9"/>
      <c r="AE1683" s="9"/>
      <c r="AF1683" s="9"/>
      <c r="AG1683" s="9"/>
      <c r="AH1683" s="9"/>
      <c r="AI1683" s="9"/>
      <c r="AJ1683" s="9"/>
      <c r="AK1683" s="9"/>
      <c r="AL1683" s="9"/>
      <c r="AM1683" s="9"/>
      <c r="AN1683" s="9"/>
      <c r="AO1683" s="9"/>
      <c r="AP1683" s="9"/>
      <c r="AQ1683" s="9"/>
      <c r="AR1683" s="9"/>
      <c r="AS1683" s="9"/>
      <c r="AT1683" s="9"/>
      <c r="AU1683" s="9"/>
    </row>
    <row r="1684" spans="1:47" ht="15.75" customHeight="1">
      <c r="A1684" s="9"/>
      <c r="B1684" s="9"/>
      <c r="C1684" s="9"/>
      <c r="D1684" s="9"/>
      <c r="E1684" s="9"/>
      <c r="F1684" s="67"/>
      <c r="G1684" s="9"/>
      <c r="H1684" s="9"/>
      <c r="I1684" s="9"/>
      <c r="J1684" s="9"/>
      <c r="K1684" s="9"/>
      <c r="L1684" s="9"/>
      <c r="M1684" s="9"/>
      <c r="N1684" s="9"/>
      <c r="O1684" s="9"/>
      <c r="P1684" s="9"/>
      <c r="Q1684" s="9"/>
      <c r="R1684" s="9"/>
      <c r="S1684" s="9"/>
      <c r="T1684" s="9"/>
      <c r="U1684" s="9"/>
      <c r="V1684" s="9"/>
      <c r="W1684" s="9"/>
      <c r="X1684" s="9"/>
      <c r="Y1684" s="9"/>
      <c r="Z1684" s="9"/>
      <c r="AA1684" s="9"/>
      <c r="AB1684" s="9"/>
      <c r="AC1684" s="9"/>
      <c r="AD1684" s="9"/>
      <c r="AE1684" s="9"/>
      <c r="AF1684" s="9"/>
      <c r="AG1684" s="9"/>
      <c r="AH1684" s="9"/>
      <c r="AI1684" s="9"/>
      <c r="AJ1684" s="9"/>
      <c r="AK1684" s="9"/>
      <c r="AL1684" s="9"/>
      <c r="AM1684" s="9"/>
      <c r="AN1684" s="9"/>
      <c r="AO1684" s="9"/>
      <c r="AP1684" s="9"/>
      <c r="AQ1684" s="9"/>
      <c r="AR1684" s="9"/>
      <c r="AS1684" s="9"/>
      <c r="AT1684" s="9"/>
      <c r="AU1684" s="9"/>
    </row>
    <row r="1685" spans="1:47" ht="15.75" customHeight="1">
      <c r="A1685" s="9"/>
      <c r="B1685" s="9"/>
      <c r="C1685" s="9"/>
      <c r="D1685" s="9"/>
      <c r="E1685" s="9"/>
      <c r="F1685" s="67"/>
      <c r="G1685" s="9"/>
      <c r="H1685" s="9"/>
      <c r="I1685" s="9"/>
      <c r="J1685" s="9"/>
      <c r="K1685" s="9"/>
      <c r="L1685" s="9"/>
      <c r="M1685" s="9"/>
      <c r="N1685" s="9"/>
      <c r="O1685" s="9"/>
      <c r="P1685" s="9"/>
      <c r="Q1685" s="9"/>
      <c r="R1685" s="9"/>
      <c r="S1685" s="9"/>
      <c r="T1685" s="9"/>
      <c r="U1685" s="9"/>
      <c r="V1685" s="9"/>
      <c r="W1685" s="9"/>
      <c r="X1685" s="9"/>
      <c r="Y1685" s="9"/>
      <c r="Z1685" s="9"/>
      <c r="AA1685" s="9"/>
      <c r="AB1685" s="9"/>
      <c r="AC1685" s="9"/>
      <c r="AD1685" s="9"/>
      <c r="AE1685" s="9"/>
      <c r="AF1685" s="9"/>
      <c r="AG1685" s="9"/>
      <c r="AH1685" s="9"/>
      <c r="AI1685" s="9"/>
      <c r="AJ1685" s="9"/>
      <c r="AK1685" s="9"/>
      <c r="AL1685" s="9"/>
      <c r="AM1685" s="9"/>
      <c r="AN1685" s="9"/>
      <c r="AO1685" s="9"/>
      <c r="AP1685" s="9"/>
      <c r="AQ1685" s="9"/>
      <c r="AR1685" s="9"/>
      <c r="AS1685" s="9"/>
      <c r="AT1685" s="9"/>
      <c r="AU1685" s="9"/>
    </row>
    <row r="1686" spans="1:47" ht="15.75" customHeight="1">
      <c r="A1686" s="9"/>
      <c r="B1686" s="9"/>
      <c r="C1686" s="9"/>
      <c r="D1686" s="9"/>
      <c r="E1686" s="9"/>
      <c r="F1686" s="67"/>
      <c r="G1686" s="9"/>
      <c r="H1686" s="9"/>
      <c r="I1686" s="9"/>
      <c r="J1686" s="9"/>
      <c r="K1686" s="9"/>
      <c r="L1686" s="9"/>
      <c r="M1686" s="9"/>
      <c r="N1686" s="9"/>
      <c r="O1686" s="9"/>
      <c r="P1686" s="9"/>
      <c r="Q1686" s="9"/>
      <c r="R1686" s="9"/>
      <c r="S1686" s="9"/>
      <c r="T1686" s="9"/>
      <c r="U1686" s="9"/>
      <c r="V1686" s="9"/>
      <c r="W1686" s="9"/>
      <c r="X1686" s="9"/>
      <c r="Y1686" s="9"/>
      <c r="Z1686" s="9"/>
      <c r="AA1686" s="9"/>
      <c r="AB1686" s="9"/>
      <c r="AC1686" s="9"/>
      <c r="AD1686" s="9"/>
      <c r="AE1686" s="9"/>
      <c r="AF1686" s="9"/>
      <c r="AG1686" s="9"/>
      <c r="AH1686" s="9"/>
      <c r="AI1686" s="9"/>
      <c r="AJ1686" s="9"/>
      <c r="AK1686" s="9"/>
      <c r="AL1686" s="9"/>
      <c r="AM1686" s="9"/>
      <c r="AN1686" s="9"/>
      <c r="AO1686" s="9"/>
      <c r="AP1686" s="9"/>
      <c r="AQ1686" s="9"/>
      <c r="AR1686" s="9"/>
      <c r="AS1686" s="9"/>
      <c r="AT1686" s="9"/>
      <c r="AU1686" s="9"/>
    </row>
    <row r="1687" spans="1:47" ht="15.75" customHeight="1">
      <c r="A1687" s="9"/>
      <c r="B1687" s="9"/>
      <c r="C1687" s="9"/>
      <c r="D1687" s="9"/>
      <c r="E1687" s="9"/>
      <c r="F1687" s="67"/>
      <c r="G1687" s="9"/>
      <c r="H1687" s="9"/>
      <c r="I1687" s="9"/>
      <c r="J1687" s="9"/>
      <c r="K1687" s="9"/>
      <c r="L1687" s="9"/>
      <c r="M1687" s="9"/>
      <c r="N1687" s="9"/>
      <c r="O1687" s="9"/>
      <c r="P1687" s="9"/>
      <c r="Q1687" s="9"/>
      <c r="R1687" s="9"/>
      <c r="S1687" s="9"/>
      <c r="T1687" s="9"/>
      <c r="U1687" s="9"/>
      <c r="V1687" s="9"/>
      <c r="W1687" s="9"/>
      <c r="X1687" s="9"/>
      <c r="Y1687" s="9"/>
      <c r="Z1687" s="9"/>
      <c r="AA1687" s="9"/>
      <c r="AB1687" s="9"/>
      <c r="AC1687" s="9"/>
      <c r="AD1687" s="9"/>
      <c r="AE1687" s="9"/>
      <c r="AF1687" s="9"/>
      <c r="AG1687" s="9"/>
      <c r="AH1687" s="9"/>
      <c r="AI1687" s="9"/>
      <c r="AJ1687" s="9"/>
      <c r="AK1687" s="9"/>
      <c r="AL1687" s="9"/>
      <c r="AM1687" s="9"/>
      <c r="AN1687" s="9"/>
      <c r="AO1687" s="9"/>
      <c r="AP1687" s="9"/>
      <c r="AQ1687" s="9"/>
      <c r="AR1687" s="9"/>
      <c r="AS1687" s="9"/>
      <c r="AT1687" s="9"/>
      <c r="AU1687" s="9"/>
    </row>
    <row r="1688" spans="1:47" ht="15.75" customHeight="1">
      <c r="A1688" s="9"/>
      <c r="B1688" s="9"/>
      <c r="C1688" s="9"/>
      <c r="D1688" s="9"/>
      <c r="E1688" s="9"/>
      <c r="F1688" s="67"/>
      <c r="G1688" s="9"/>
      <c r="H1688" s="9"/>
      <c r="I1688" s="9"/>
      <c r="J1688" s="9"/>
      <c r="K1688" s="9"/>
      <c r="L1688" s="9"/>
      <c r="M1688" s="9"/>
      <c r="N1688" s="9"/>
      <c r="O1688" s="9"/>
      <c r="P1688" s="9"/>
      <c r="Q1688" s="9"/>
      <c r="R1688" s="9"/>
      <c r="S1688" s="9"/>
      <c r="T1688" s="9"/>
      <c r="U1688" s="9"/>
      <c r="V1688" s="9"/>
      <c r="W1688" s="9"/>
      <c r="X1688" s="9"/>
      <c r="Y1688" s="9"/>
      <c r="Z1688" s="9"/>
      <c r="AA1688" s="9"/>
      <c r="AB1688" s="9"/>
      <c r="AC1688" s="9"/>
      <c r="AD1688" s="9"/>
      <c r="AE1688" s="9"/>
      <c r="AF1688" s="9"/>
      <c r="AG1688" s="9"/>
      <c r="AH1688" s="9"/>
      <c r="AI1688" s="9"/>
      <c r="AJ1688" s="9"/>
      <c r="AK1688" s="9"/>
      <c r="AL1688" s="9"/>
      <c r="AM1688" s="9"/>
      <c r="AN1688" s="9"/>
      <c r="AO1688" s="9"/>
      <c r="AP1688" s="9"/>
      <c r="AQ1688" s="9"/>
      <c r="AR1688" s="9"/>
      <c r="AS1688" s="9"/>
      <c r="AT1688" s="9"/>
      <c r="AU1688" s="9"/>
    </row>
    <row r="1689" spans="1:47" ht="15.75" customHeight="1">
      <c r="A1689" s="9"/>
      <c r="B1689" s="9"/>
      <c r="C1689" s="9"/>
      <c r="D1689" s="9"/>
      <c r="E1689" s="9"/>
      <c r="F1689" s="67"/>
      <c r="G1689" s="9"/>
      <c r="H1689" s="9"/>
      <c r="I1689" s="9"/>
      <c r="J1689" s="9"/>
      <c r="K1689" s="9"/>
      <c r="L1689" s="9"/>
      <c r="M1689" s="9"/>
      <c r="N1689" s="9"/>
      <c r="O1689" s="9"/>
      <c r="P1689" s="9"/>
      <c r="Q1689" s="9"/>
      <c r="R1689" s="9"/>
      <c r="S1689" s="9"/>
      <c r="T1689" s="9"/>
      <c r="U1689" s="9"/>
      <c r="V1689" s="9"/>
      <c r="W1689" s="9"/>
      <c r="X1689" s="9"/>
      <c r="Y1689" s="9"/>
      <c r="Z1689" s="9"/>
      <c r="AA1689" s="9"/>
      <c r="AB1689" s="9"/>
      <c r="AC1689" s="9"/>
      <c r="AD1689" s="9"/>
      <c r="AE1689" s="9"/>
      <c r="AF1689" s="9"/>
      <c r="AG1689" s="9"/>
      <c r="AH1689" s="9"/>
      <c r="AI1689" s="9"/>
      <c r="AJ1689" s="9"/>
      <c r="AK1689" s="9"/>
      <c r="AL1689" s="9"/>
      <c r="AM1689" s="9"/>
      <c r="AN1689" s="9"/>
      <c r="AO1689" s="9"/>
      <c r="AP1689" s="9"/>
      <c r="AQ1689" s="9"/>
      <c r="AR1689" s="9"/>
      <c r="AS1689" s="9"/>
      <c r="AT1689" s="9"/>
      <c r="AU1689" s="9"/>
    </row>
    <row r="1690" spans="1:47" ht="15.75" customHeight="1">
      <c r="A1690" s="9"/>
      <c r="B1690" s="9"/>
      <c r="C1690" s="9"/>
      <c r="D1690" s="9"/>
      <c r="E1690" s="9"/>
      <c r="F1690" s="67"/>
      <c r="G1690" s="9"/>
      <c r="H1690" s="9"/>
      <c r="I1690" s="9"/>
      <c r="J1690" s="9"/>
      <c r="K1690" s="9"/>
      <c r="L1690" s="9"/>
      <c r="M1690" s="9"/>
      <c r="N1690" s="9"/>
      <c r="O1690" s="9"/>
      <c r="P1690" s="9"/>
      <c r="Q1690" s="9"/>
      <c r="R1690" s="9"/>
      <c r="S1690" s="9"/>
      <c r="T1690" s="9"/>
      <c r="U1690" s="9"/>
      <c r="V1690" s="9"/>
      <c r="W1690" s="9"/>
      <c r="X1690" s="9"/>
      <c r="Y1690" s="9"/>
      <c r="Z1690" s="9"/>
      <c r="AA1690" s="9"/>
      <c r="AB1690" s="9"/>
      <c r="AC1690" s="9"/>
      <c r="AD1690" s="9"/>
      <c r="AE1690" s="9"/>
      <c r="AF1690" s="9"/>
      <c r="AG1690" s="9"/>
      <c r="AH1690" s="9"/>
      <c r="AI1690" s="9"/>
      <c r="AJ1690" s="9"/>
      <c r="AK1690" s="9"/>
      <c r="AL1690" s="9"/>
      <c r="AM1690" s="9"/>
      <c r="AN1690" s="9"/>
      <c r="AO1690" s="9"/>
      <c r="AP1690" s="9"/>
      <c r="AQ1690" s="9"/>
      <c r="AR1690" s="9"/>
      <c r="AS1690" s="9"/>
      <c r="AT1690" s="9"/>
      <c r="AU1690" s="9"/>
    </row>
    <row r="1691" spans="1:47" ht="15.75" customHeight="1">
      <c r="A1691" s="9"/>
      <c r="B1691" s="9"/>
      <c r="C1691" s="9"/>
      <c r="D1691" s="9"/>
      <c r="E1691" s="9"/>
      <c r="F1691" s="67"/>
      <c r="G1691" s="9"/>
      <c r="H1691" s="9"/>
      <c r="I1691" s="9"/>
      <c r="J1691" s="9"/>
      <c r="K1691" s="9"/>
      <c r="L1691" s="9"/>
      <c r="M1691" s="9"/>
      <c r="N1691" s="9"/>
      <c r="O1691" s="9"/>
      <c r="P1691" s="9"/>
      <c r="Q1691" s="9"/>
      <c r="R1691" s="9"/>
      <c r="S1691" s="9"/>
      <c r="T1691" s="9"/>
      <c r="U1691" s="9"/>
      <c r="V1691" s="9"/>
      <c r="W1691" s="9"/>
      <c r="X1691" s="9"/>
      <c r="Y1691" s="9"/>
      <c r="Z1691" s="9"/>
      <c r="AA1691" s="9"/>
      <c r="AB1691" s="9"/>
      <c r="AC1691" s="9"/>
      <c r="AD1691" s="9"/>
      <c r="AE1691" s="9"/>
      <c r="AF1691" s="9"/>
      <c r="AG1691" s="9"/>
      <c r="AH1691" s="9"/>
      <c r="AI1691" s="9"/>
      <c r="AJ1691" s="9"/>
      <c r="AK1691" s="9"/>
      <c r="AL1691" s="9"/>
      <c r="AM1691" s="9"/>
      <c r="AN1691" s="9"/>
      <c r="AO1691" s="9"/>
      <c r="AP1691" s="9"/>
      <c r="AQ1691" s="9"/>
      <c r="AR1691" s="9"/>
      <c r="AS1691" s="9"/>
      <c r="AT1691" s="9"/>
      <c r="AU1691" s="9"/>
    </row>
    <row r="1692" spans="1:47" ht="15.75" customHeight="1">
      <c r="A1692" s="9"/>
      <c r="B1692" s="9"/>
      <c r="C1692" s="9"/>
      <c r="D1692" s="9"/>
      <c r="E1692" s="9"/>
      <c r="F1692" s="67"/>
      <c r="G1692" s="9"/>
      <c r="H1692" s="9"/>
      <c r="I1692" s="9"/>
      <c r="J1692" s="9"/>
      <c r="K1692" s="9"/>
      <c r="L1692" s="9"/>
      <c r="M1692" s="9"/>
      <c r="N1692" s="9"/>
      <c r="O1692" s="9"/>
      <c r="P1692" s="9"/>
      <c r="Q1692" s="9"/>
      <c r="R1692" s="9"/>
      <c r="S1692" s="9"/>
      <c r="T1692" s="9"/>
      <c r="U1692" s="9"/>
      <c r="V1692" s="9"/>
      <c r="W1692" s="9"/>
      <c r="X1692" s="9"/>
      <c r="Y1692" s="9"/>
      <c r="Z1692" s="9"/>
      <c r="AA1692" s="9"/>
      <c r="AB1692" s="9"/>
      <c r="AC1692" s="9"/>
      <c r="AD1692" s="9"/>
      <c r="AE1692" s="9"/>
      <c r="AF1692" s="9"/>
      <c r="AG1692" s="9"/>
      <c r="AH1692" s="9"/>
      <c r="AI1692" s="9"/>
      <c r="AJ1692" s="9"/>
      <c r="AK1692" s="9"/>
      <c r="AL1692" s="9"/>
      <c r="AM1692" s="9"/>
      <c r="AN1692" s="9"/>
      <c r="AO1692" s="9"/>
      <c r="AP1692" s="9"/>
      <c r="AQ1692" s="9"/>
      <c r="AR1692" s="9"/>
      <c r="AS1692" s="9"/>
      <c r="AT1692" s="9"/>
      <c r="AU1692" s="9"/>
    </row>
    <row r="1693" spans="1:47" ht="15.75" customHeight="1">
      <c r="A1693" s="9"/>
      <c r="B1693" s="9"/>
      <c r="C1693" s="9"/>
      <c r="D1693" s="9"/>
      <c r="E1693" s="9"/>
      <c r="F1693" s="67"/>
      <c r="G1693" s="9"/>
      <c r="H1693" s="9"/>
      <c r="I1693" s="9"/>
      <c r="J1693" s="9"/>
      <c r="K1693" s="9"/>
      <c r="L1693" s="9"/>
      <c r="M1693" s="9"/>
      <c r="N1693" s="9"/>
      <c r="O1693" s="9"/>
      <c r="P1693" s="9"/>
      <c r="Q1693" s="9"/>
      <c r="R1693" s="9"/>
      <c r="S1693" s="9"/>
      <c r="T1693" s="9"/>
      <c r="U1693" s="9"/>
      <c r="V1693" s="9"/>
      <c r="W1693" s="9"/>
      <c r="X1693" s="9"/>
      <c r="Y1693" s="9"/>
      <c r="Z1693" s="9"/>
      <c r="AA1693" s="9"/>
      <c r="AB1693" s="9"/>
      <c r="AC1693" s="9"/>
      <c r="AD1693" s="9"/>
      <c r="AE1693" s="9"/>
      <c r="AF1693" s="9"/>
      <c r="AG1693" s="9"/>
      <c r="AH1693" s="9"/>
      <c r="AI1693" s="9"/>
      <c r="AJ1693" s="9"/>
      <c r="AK1693" s="9"/>
      <c r="AL1693" s="9"/>
      <c r="AM1693" s="9"/>
      <c r="AN1693" s="9"/>
      <c r="AO1693" s="9"/>
      <c r="AP1693" s="9"/>
      <c r="AQ1693" s="9"/>
      <c r="AR1693" s="9"/>
      <c r="AS1693" s="9"/>
      <c r="AT1693" s="9"/>
      <c r="AU1693" s="9"/>
    </row>
    <row r="1694" spans="1:47" ht="15.75" customHeight="1">
      <c r="A1694" s="9"/>
      <c r="B1694" s="9"/>
      <c r="C1694" s="9"/>
      <c r="D1694" s="9"/>
      <c r="E1694" s="9"/>
      <c r="F1694" s="67"/>
      <c r="G1694" s="9"/>
      <c r="H1694" s="9"/>
      <c r="I1694" s="9"/>
      <c r="J1694" s="9"/>
      <c r="K1694" s="9"/>
      <c r="L1694" s="9"/>
      <c r="M1694" s="9"/>
      <c r="N1694" s="9"/>
      <c r="O1694" s="9"/>
      <c r="P1694" s="9"/>
      <c r="Q1694" s="9"/>
      <c r="R1694" s="9"/>
      <c r="S1694" s="9"/>
      <c r="T1694" s="9"/>
      <c r="U1694" s="9"/>
      <c r="V1694" s="9"/>
      <c r="W1694" s="9"/>
      <c r="X1694" s="9"/>
      <c r="Y1694" s="9"/>
      <c r="Z1694" s="9"/>
      <c r="AA1694" s="9"/>
      <c r="AB1694" s="9"/>
      <c r="AC1694" s="9"/>
      <c r="AD1694" s="9"/>
      <c r="AE1694" s="9"/>
      <c r="AF1694" s="9"/>
      <c r="AG1694" s="9"/>
      <c r="AH1694" s="9"/>
      <c r="AI1694" s="9"/>
      <c r="AJ1694" s="9"/>
      <c r="AK1694" s="9"/>
      <c r="AL1694" s="9"/>
      <c r="AM1694" s="9"/>
      <c r="AN1694" s="9"/>
      <c r="AO1694" s="9"/>
      <c r="AP1694" s="9"/>
      <c r="AQ1694" s="9"/>
      <c r="AR1694" s="9"/>
      <c r="AS1694" s="9"/>
      <c r="AT1694" s="9"/>
      <c r="AU1694" s="9"/>
    </row>
    <row r="1695" spans="1:47" ht="15.75" customHeight="1">
      <c r="A1695" s="9"/>
      <c r="B1695" s="9"/>
      <c r="C1695" s="9"/>
      <c r="D1695" s="9"/>
      <c r="E1695" s="9"/>
      <c r="F1695" s="67"/>
      <c r="G1695" s="9"/>
      <c r="H1695" s="9"/>
      <c r="I1695" s="9"/>
      <c r="J1695" s="9"/>
      <c r="K1695" s="9"/>
      <c r="L1695" s="9"/>
      <c r="M1695" s="9"/>
      <c r="N1695" s="9"/>
      <c r="O1695" s="9"/>
      <c r="P1695" s="9"/>
      <c r="Q1695" s="9"/>
      <c r="R1695" s="9"/>
      <c r="S1695" s="9"/>
      <c r="T1695" s="9"/>
      <c r="U1695" s="9"/>
      <c r="V1695" s="9"/>
      <c r="W1695" s="9"/>
      <c r="X1695" s="9"/>
      <c r="Y1695" s="9"/>
      <c r="Z1695" s="9"/>
      <c r="AA1695" s="9"/>
      <c r="AB1695" s="9"/>
      <c r="AC1695" s="9"/>
      <c r="AD1695" s="9"/>
      <c r="AE1695" s="9"/>
      <c r="AF1695" s="9"/>
      <c r="AG1695" s="9"/>
      <c r="AH1695" s="9"/>
      <c r="AI1695" s="9"/>
      <c r="AJ1695" s="9"/>
      <c r="AK1695" s="9"/>
      <c r="AL1695" s="9"/>
      <c r="AM1695" s="9"/>
      <c r="AN1695" s="9"/>
      <c r="AO1695" s="9"/>
      <c r="AP1695" s="9"/>
      <c r="AQ1695" s="9"/>
      <c r="AR1695" s="9"/>
      <c r="AS1695" s="9"/>
      <c r="AT1695" s="9"/>
      <c r="AU1695" s="9"/>
    </row>
    <row r="1696" spans="1:47" ht="15.75" customHeight="1">
      <c r="A1696" s="9"/>
      <c r="B1696" s="9"/>
      <c r="C1696" s="9"/>
      <c r="D1696" s="9"/>
      <c r="E1696" s="9"/>
      <c r="F1696" s="67"/>
      <c r="G1696" s="9"/>
      <c r="H1696" s="9"/>
      <c r="I1696" s="9"/>
      <c r="J1696" s="9"/>
      <c r="K1696" s="9"/>
      <c r="L1696" s="9"/>
      <c r="M1696" s="9"/>
      <c r="N1696" s="9"/>
      <c r="O1696" s="9"/>
      <c r="P1696" s="9"/>
      <c r="Q1696" s="9"/>
      <c r="R1696" s="9"/>
      <c r="S1696" s="9"/>
      <c r="T1696" s="9"/>
      <c r="U1696" s="9"/>
      <c r="V1696" s="9"/>
      <c r="W1696" s="9"/>
      <c r="X1696" s="9"/>
      <c r="Y1696" s="9"/>
      <c r="Z1696" s="9"/>
      <c r="AA1696" s="9"/>
      <c r="AB1696" s="9"/>
      <c r="AC1696" s="9"/>
      <c r="AD1696" s="9"/>
      <c r="AE1696" s="9"/>
      <c r="AF1696" s="9"/>
      <c r="AG1696" s="9"/>
      <c r="AH1696" s="9"/>
      <c r="AI1696" s="9"/>
      <c r="AJ1696" s="9"/>
      <c r="AK1696" s="9"/>
      <c r="AL1696" s="9"/>
      <c r="AM1696" s="9"/>
      <c r="AN1696" s="9"/>
      <c r="AO1696" s="9"/>
      <c r="AP1696" s="9"/>
      <c r="AQ1696" s="9"/>
      <c r="AR1696" s="9"/>
      <c r="AS1696" s="9"/>
      <c r="AT1696" s="9"/>
      <c r="AU1696" s="9"/>
    </row>
    <row r="1697" spans="1:47" ht="15.75" customHeight="1">
      <c r="A1697" s="9"/>
      <c r="B1697" s="9"/>
      <c r="C1697" s="9"/>
      <c r="D1697" s="9"/>
      <c r="E1697" s="9"/>
      <c r="F1697" s="67"/>
      <c r="G1697" s="9"/>
      <c r="H1697" s="9"/>
      <c r="I1697" s="9"/>
      <c r="J1697" s="9"/>
      <c r="K1697" s="9"/>
      <c r="L1697" s="9"/>
      <c r="M1697" s="9"/>
      <c r="N1697" s="9"/>
      <c r="O1697" s="9"/>
      <c r="P1697" s="9"/>
      <c r="Q1697" s="9"/>
      <c r="R1697" s="9"/>
      <c r="S1697" s="9"/>
      <c r="T1697" s="9"/>
      <c r="U1697" s="9"/>
      <c r="V1697" s="9"/>
      <c r="W1697" s="9"/>
      <c r="X1697" s="9"/>
      <c r="Y1697" s="9"/>
      <c r="Z1697" s="9"/>
      <c r="AA1697" s="9"/>
      <c r="AB1697" s="9"/>
      <c r="AC1697" s="9"/>
      <c r="AD1697" s="9"/>
      <c r="AE1697" s="9"/>
      <c r="AF1697" s="9"/>
      <c r="AG1697" s="9"/>
      <c r="AH1697" s="9"/>
      <c r="AI1697" s="9"/>
      <c r="AJ1697" s="9"/>
      <c r="AK1697" s="9"/>
      <c r="AL1697" s="9"/>
      <c r="AM1697" s="9"/>
      <c r="AN1697" s="9"/>
      <c r="AO1697" s="9"/>
      <c r="AP1697" s="9"/>
      <c r="AQ1697" s="9"/>
      <c r="AR1697" s="9"/>
      <c r="AS1697" s="9"/>
      <c r="AT1697" s="9"/>
      <c r="AU1697" s="9"/>
    </row>
    <row r="1698" spans="1:47" ht="15.75" customHeight="1">
      <c r="A1698" s="9"/>
      <c r="B1698" s="9"/>
      <c r="C1698" s="9"/>
      <c r="D1698" s="9"/>
      <c r="E1698" s="9"/>
      <c r="F1698" s="67"/>
      <c r="G1698" s="9"/>
      <c r="H1698" s="9"/>
      <c r="I1698" s="9"/>
      <c r="J1698" s="9"/>
      <c r="K1698" s="9"/>
      <c r="L1698" s="9"/>
      <c r="M1698" s="9"/>
      <c r="N1698" s="9"/>
      <c r="O1698" s="9"/>
      <c r="P1698" s="9"/>
      <c r="Q1698" s="9"/>
      <c r="R1698" s="9"/>
      <c r="S1698" s="9"/>
      <c r="T1698" s="9"/>
      <c r="U1698" s="9"/>
      <c r="V1698" s="9"/>
      <c r="W1698" s="9"/>
      <c r="X1698" s="9"/>
      <c r="Y1698" s="9"/>
      <c r="Z1698" s="9"/>
      <c r="AA1698" s="9"/>
      <c r="AB1698" s="9"/>
      <c r="AC1698" s="9"/>
      <c r="AD1698" s="9"/>
      <c r="AE1698" s="9"/>
      <c r="AF1698" s="9"/>
      <c r="AG1698" s="9"/>
      <c r="AH1698" s="9"/>
      <c r="AI1698" s="9"/>
      <c r="AJ1698" s="9"/>
      <c r="AK1698" s="9"/>
      <c r="AL1698" s="9"/>
      <c r="AM1698" s="9"/>
      <c r="AN1698" s="9"/>
      <c r="AO1698" s="9"/>
      <c r="AP1698" s="9"/>
      <c r="AQ1698" s="9"/>
      <c r="AR1698" s="9"/>
      <c r="AS1698" s="9"/>
      <c r="AT1698" s="9"/>
      <c r="AU1698" s="9"/>
    </row>
    <row r="1699" spans="1:47" ht="15.75" customHeight="1">
      <c r="A1699" s="9"/>
      <c r="B1699" s="9"/>
      <c r="C1699" s="9"/>
      <c r="D1699" s="9"/>
      <c r="E1699" s="9"/>
      <c r="F1699" s="67"/>
      <c r="G1699" s="9"/>
      <c r="H1699" s="9"/>
      <c r="I1699" s="9"/>
      <c r="J1699" s="9"/>
      <c r="K1699" s="9"/>
      <c r="L1699" s="9"/>
      <c r="M1699" s="9"/>
      <c r="N1699" s="9"/>
      <c r="O1699" s="9"/>
      <c r="P1699" s="9"/>
      <c r="Q1699" s="9"/>
      <c r="R1699" s="9"/>
      <c r="S1699" s="9"/>
      <c r="T1699" s="9"/>
      <c r="U1699" s="9"/>
      <c r="V1699" s="9"/>
      <c r="W1699" s="9"/>
      <c r="X1699" s="9"/>
      <c r="Y1699" s="9"/>
      <c r="Z1699" s="9"/>
      <c r="AA1699" s="9"/>
      <c r="AB1699" s="9"/>
      <c r="AC1699" s="9"/>
      <c r="AD1699" s="9"/>
      <c r="AE1699" s="9"/>
      <c r="AF1699" s="9"/>
      <c r="AG1699" s="9"/>
      <c r="AH1699" s="9"/>
      <c r="AI1699" s="9"/>
      <c r="AJ1699" s="9"/>
      <c r="AK1699" s="9"/>
      <c r="AL1699" s="9"/>
      <c r="AM1699" s="9"/>
      <c r="AN1699" s="9"/>
      <c r="AO1699" s="9"/>
      <c r="AP1699" s="9"/>
      <c r="AQ1699" s="9"/>
      <c r="AR1699" s="9"/>
      <c r="AS1699" s="9"/>
      <c r="AT1699" s="9"/>
      <c r="AU1699" s="9"/>
    </row>
    <row r="1700" spans="1:47" ht="15.75" customHeight="1">
      <c r="A1700" s="9"/>
      <c r="B1700" s="9"/>
      <c r="C1700" s="9"/>
      <c r="D1700" s="9"/>
      <c r="E1700" s="9"/>
      <c r="F1700" s="67"/>
      <c r="G1700" s="9"/>
      <c r="H1700" s="9"/>
      <c r="I1700" s="9"/>
      <c r="J1700" s="9"/>
      <c r="K1700" s="9"/>
      <c r="L1700" s="9"/>
      <c r="M1700" s="9"/>
      <c r="N1700" s="9"/>
      <c r="O1700" s="9"/>
      <c r="P1700" s="9"/>
      <c r="Q1700" s="9"/>
      <c r="R1700" s="9"/>
      <c r="S1700" s="9"/>
      <c r="T1700" s="9"/>
      <c r="U1700" s="9"/>
      <c r="V1700" s="9"/>
      <c r="W1700" s="9"/>
      <c r="X1700" s="9"/>
      <c r="Y1700" s="9"/>
      <c r="Z1700" s="9"/>
      <c r="AA1700" s="9"/>
      <c r="AB1700" s="9"/>
      <c r="AC1700" s="9"/>
      <c r="AD1700" s="9"/>
      <c r="AE1700" s="9"/>
      <c r="AF1700" s="9"/>
      <c r="AG1700" s="9"/>
      <c r="AH1700" s="9"/>
      <c r="AI1700" s="9"/>
      <c r="AJ1700" s="9"/>
      <c r="AK1700" s="9"/>
      <c r="AL1700" s="9"/>
      <c r="AM1700" s="9"/>
      <c r="AN1700" s="9"/>
      <c r="AO1700" s="9"/>
      <c r="AP1700" s="9"/>
      <c r="AQ1700" s="9"/>
      <c r="AR1700" s="9"/>
      <c r="AS1700" s="9"/>
      <c r="AT1700" s="9"/>
      <c r="AU1700" s="9"/>
    </row>
    <row r="1701" spans="1:47" ht="15.75" customHeight="1">
      <c r="A1701" s="9"/>
      <c r="B1701" s="9"/>
      <c r="C1701" s="9"/>
      <c r="D1701" s="9"/>
      <c r="E1701" s="9"/>
      <c r="F1701" s="67"/>
      <c r="G1701" s="9"/>
      <c r="H1701" s="9"/>
      <c r="I1701" s="9"/>
      <c r="J1701" s="9"/>
      <c r="K1701" s="9"/>
      <c r="L1701" s="9"/>
      <c r="M1701" s="9"/>
      <c r="N1701" s="9"/>
      <c r="O1701" s="9"/>
      <c r="P1701" s="9"/>
      <c r="Q1701" s="9"/>
      <c r="R1701" s="9"/>
      <c r="S1701" s="9"/>
      <c r="T1701" s="9"/>
      <c r="U1701" s="9"/>
      <c r="V1701" s="9"/>
      <c r="W1701" s="9"/>
      <c r="X1701" s="9"/>
      <c r="Y1701" s="9"/>
      <c r="Z1701" s="9"/>
      <c r="AA1701" s="9"/>
      <c r="AB1701" s="9"/>
      <c r="AC1701" s="9"/>
      <c r="AD1701" s="9"/>
      <c r="AE1701" s="9"/>
      <c r="AF1701" s="9"/>
      <c r="AG1701" s="9"/>
      <c r="AH1701" s="9"/>
      <c r="AI1701" s="9"/>
      <c r="AJ1701" s="9"/>
      <c r="AK1701" s="9"/>
      <c r="AL1701" s="9"/>
      <c r="AM1701" s="9"/>
      <c r="AN1701" s="9"/>
      <c r="AO1701" s="9"/>
      <c r="AP1701" s="9"/>
      <c r="AQ1701" s="9"/>
      <c r="AR1701" s="9"/>
      <c r="AS1701" s="9"/>
      <c r="AT1701" s="9"/>
      <c r="AU1701" s="9"/>
    </row>
    <row r="1702" spans="1:47" ht="15.75" customHeight="1">
      <c r="A1702" s="9"/>
      <c r="B1702" s="9"/>
      <c r="C1702" s="9"/>
      <c r="D1702" s="9"/>
      <c r="E1702" s="9"/>
      <c r="F1702" s="67"/>
      <c r="G1702" s="9"/>
      <c r="H1702" s="9"/>
      <c r="I1702" s="9"/>
      <c r="J1702" s="9"/>
      <c r="K1702" s="9"/>
      <c r="L1702" s="9"/>
      <c r="M1702" s="9"/>
      <c r="N1702" s="9"/>
      <c r="O1702" s="9"/>
      <c r="P1702" s="9"/>
      <c r="Q1702" s="9"/>
      <c r="R1702" s="9"/>
      <c r="S1702" s="9"/>
      <c r="T1702" s="9"/>
      <c r="U1702" s="9"/>
      <c r="V1702" s="9"/>
      <c r="W1702" s="9"/>
      <c r="X1702" s="9"/>
      <c r="Y1702" s="9"/>
      <c r="Z1702" s="9"/>
      <c r="AA1702" s="9"/>
      <c r="AB1702" s="9"/>
      <c r="AC1702" s="9"/>
      <c r="AD1702" s="9"/>
      <c r="AE1702" s="9"/>
      <c r="AF1702" s="9"/>
      <c r="AG1702" s="9"/>
      <c r="AH1702" s="9"/>
      <c r="AI1702" s="9"/>
      <c r="AJ1702" s="9"/>
      <c r="AK1702" s="9"/>
      <c r="AL1702" s="9"/>
      <c r="AM1702" s="9"/>
      <c r="AN1702" s="9"/>
      <c r="AO1702" s="9"/>
      <c r="AP1702" s="9"/>
      <c r="AQ1702" s="9"/>
      <c r="AR1702" s="9"/>
      <c r="AS1702" s="9"/>
      <c r="AT1702" s="9"/>
      <c r="AU1702" s="9"/>
    </row>
    <row r="1703" spans="1:47" ht="15.75" customHeight="1">
      <c r="A1703" s="9"/>
      <c r="B1703" s="9"/>
      <c r="C1703" s="9"/>
      <c r="D1703" s="9"/>
      <c r="E1703" s="9"/>
      <c r="F1703" s="67"/>
      <c r="G1703" s="9"/>
      <c r="H1703" s="9"/>
      <c r="I1703" s="9"/>
      <c r="J1703" s="9"/>
      <c r="K1703" s="9"/>
      <c r="L1703" s="9"/>
      <c r="M1703" s="9"/>
      <c r="N1703" s="9"/>
      <c r="O1703" s="9"/>
      <c r="P1703" s="9"/>
      <c r="Q1703" s="9"/>
      <c r="R1703" s="9"/>
      <c r="S1703" s="9"/>
      <c r="T1703" s="9"/>
      <c r="U1703" s="9"/>
      <c r="V1703" s="9"/>
      <c r="W1703" s="9"/>
      <c r="X1703" s="9"/>
      <c r="Y1703" s="9"/>
      <c r="Z1703" s="9"/>
      <c r="AA1703" s="9"/>
      <c r="AB1703" s="9"/>
      <c r="AC1703" s="9"/>
      <c r="AD1703" s="9"/>
      <c r="AE1703" s="9"/>
      <c r="AF1703" s="9"/>
      <c r="AG1703" s="9"/>
      <c r="AH1703" s="9"/>
      <c r="AI1703" s="9"/>
      <c r="AJ1703" s="9"/>
      <c r="AK1703" s="9"/>
      <c r="AL1703" s="9"/>
      <c r="AM1703" s="9"/>
      <c r="AN1703" s="9"/>
      <c r="AO1703" s="9"/>
      <c r="AP1703" s="9"/>
      <c r="AQ1703" s="9"/>
      <c r="AR1703" s="9"/>
      <c r="AS1703" s="9"/>
      <c r="AT1703" s="9"/>
      <c r="AU1703" s="9"/>
    </row>
    <row r="1704" spans="1:47" ht="15.75" customHeight="1">
      <c r="A1704" s="9"/>
      <c r="B1704" s="9"/>
      <c r="C1704" s="9"/>
      <c r="D1704" s="9"/>
      <c r="E1704" s="9"/>
      <c r="F1704" s="67"/>
      <c r="G1704" s="9"/>
      <c r="H1704" s="9"/>
      <c r="I1704" s="9"/>
      <c r="J1704" s="9"/>
      <c r="K1704" s="9"/>
      <c r="L1704" s="9"/>
      <c r="M1704" s="9"/>
      <c r="N1704" s="9"/>
      <c r="O1704" s="9"/>
      <c r="P1704" s="9"/>
      <c r="Q1704" s="9"/>
      <c r="R1704" s="9"/>
      <c r="S1704" s="9"/>
      <c r="T1704" s="9"/>
      <c r="U1704" s="9"/>
      <c r="V1704" s="9"/>
      <c r="W1704" s="9"/>
      <c r="X1704" s="9"/>
      <c r="Y1704" s="9"/>
      <c r="Z1704" s="9"/>
      <c r="AA1704" s="9"/>
      <c r="AB1704" s="9"/>
      <c r="AC1704" s="9"/>
      <c r="AD1704" s="9"/>
      <c r="AE1704" s="9"/>
      <c r="AF1704" s="9"/>
      <c r="AG1704" s="9"/>
      <c r="AH1704" s="9"/>
      <c r="AI1704" s="9"/>
      <c r="AJ1704" s="9"/>
      <c r="AK1704" s="9"/>
      <c r="AL1704" s="9"/>
      <c r="AM1704" s="9"/>
      <c r="AN1704" s="9"/>
      <c r="AO1704" s="9"/>
      <c r="AP1704" s="9"/>
      <c r="AQ1704" s="9"/>
      <c r="AR1704" s="9"/>
      <c r="AS1704" s="9"/>
      <c r="AT1704" s="9"/>
      <c r="AU1704" s="9"/>
    </row>
    <row r="1705" spans="1:47" ht="15.75" customHeight="1">
      <c r="A1705" s="9"/>
      <c r="B1705" s="9"/>
      <c r="C1705" s="9"/>
      <c r="D1705" s="9"/>
      <c r="E1705" s="9"/>
      <c r="F1705" s="67"/>
      <c r="G1705" s="9"/>
      <c r="H1705" s="9"/>
      <c r="I1705" s="9"/>
      <c r="J1705" s="9"/>
      <c r="K1705" s="9"/>
      <c r="L1705" s="9"/>
      <c r="M1705" s="9"/>
      <c r="N1705" s="9"/>
      <c r="O1705" s="9"/>
      <c r="P1705" s="9"/>
      <c r="Q1705" s="9"/>
      <c r="R1705" s="9"/>
      <c r="S1705" s="9"/>
      <c r="T1705" s="9"/>
      <c r="U1705" s="9"/>
      <c r="V1705" s="9"/>
      <c r="W1705" s="9"/>
      <c r="X1705" s="9"/>
      <c r="Y1705" s="9"/>
      <c r="Z1705" s="9"/>
      <c r="AA1705" s="9"/>
      <c r="AB1705" s="9"/>
      <c r="AC1705" s="9"/>
      <c r="AD1705" s="9"/>
      <c r="AE1705" s="9"/>
      <c r="AF1705" s="9"/>
      <c r="AG1705" s="9"/>
      <c r="AH1705" s="9"/>
      <c r="AI1705" s="9"/>
      <c r="AJ1705" s="9"/>
      <c r="AK1705" s="9"/>
      <c r="AL1705" s="9"/>
      <c r="AM1705" s="9"/>
      <c r="AN1705" s="9"/>
      <c r="AO1705" s="9"/>
      <c r="AP1705" s="9"/>
      <c r="AQ1705" s="9"/>
      <c r="AR1705" s="9"/>
      <c r="AS1705" s="9"/>
      <c r="AT1705" s="9"/>
      <c r="AU1705" s="9"/>
    </row>
    <row r="1706" spans="1:47" ht="15.75" customHeight="1">
      <c r="A1706" s="9"/>
      <c r="B1706" s="9"/>
      <c r="C1706" s="9"/>
      <c r="D1706" s="9"/>
      <c r="E1706" s="9"/>
      <c r="F1706" s="67"/>
      <c r="G1706" s="9"/>
      <c r="H1706" s="9"/>
      <c r="I1706" s="9"/>
      <c r="J1706" s="9"/>
      <c r="K1706" s="9"/>
      <c r="L1706" s="9"/>
      <c r="M1706" s="9"/>
      <c r="N1706" s="9"/>
      <c r="O1706" s="9"/>
      <c r="P1706" s="9"/>
      <c r="Q1706" s="9"/>
      <c r="R1706" s="9"/>
      <c r="S1706" s="9"/>
      <c r="T1706" s="9"/>
      <c r="U1706" s="9"/>
      <c r="V1706" s="9"/>
      <c r="W1706" s="9"/>
      <c r="X1706" s="9"/>
      <c r="Y1706" s="9"/>
      <c r="Z1706" s="9"/>
      <c r="AA1706" s="9"/>
      <c r="AB1706" s="9"/>
      <c r="AC1706" s="9"/>
      <c r="AD1706" s="9"/>
      <c r="AE1706" s="9"/>
      <c r="AF1706" s="9"/>
      <c r="AG1706" s="9"/>
      <c r="AH1706" s="9"/>
      <c r="AI1706" s="9"/>
      <c r="AJ1706" s="9"/>
      <c r="AK1706" s="9"/>
      <c r="AL1706" s="9"/>
      <c r="AM1706" s="9"/>
      <c r="AN1706" s="9"/>
      <c r="AO1706" s="9"/>
      <c r="AP1706" s="9"/>
      <c r="AQ1706" s="9"/>
      <c r="AR1706" s="9"/>
      <c r="AS1706" s="9"/>
      <c r="AT1706" s="9"/>
      <c r="AU1706" s="9"/>
    </row>
    <row r="1707" spans="1:47" ht="15.75" customHeight="1">
      <c r="A1707" s="9"/>
      <c r="B1707" s="9"/>
      <c r="C1707" s="9"/>
      <c r="D1707" s="9"/>
      <c r="E1707" s="9"/>
      <c r="F1707" s="67"/>
      <c r="G1707" s="9"/>
      <c r="H1707" s="9"/>
      <c r="I1707" s="9"/>
      <c r="J1707" s="9"/>
      <c r="K1707" s="9"/>
      <c r="L1707" s="9"/>
      <c r="M1707" s="9"/>
      <c r="N1707" s="9"/>
      <c r="O1707" s="9"/>
      <c r="P1707" s="9"/>
      <c r="Q1707" s="9"/>
      <c r="R1707" s="9"/>
      <c r="S1707" s="9"/>
      <c r="T1707" s="9"/>
      <c r="U1707" s="9"/>
      <c r="V1707" s="9"/>
      <c r="W1707" s="9"/>
      <c r="X1707" s="9"/>
      <c r="Y1707" s="9"/>
      <c r="Z1707" s="9"/>
      <c r="AA1707" s="9"/>
      <c r="AB1707" s="9"/>
      <c r="AC1707" s="9"/>
      <c r="AD1707" s="9"/>
      <c r="AE1707" s="9"/>
      <c r="AF1707" s="9"/>
      <c r="AG1707" s="9"/>
      <c r="AH1707" s="9"/>
      <c r="AI1707" s="9"/>
      <c r="AJ1707" s="9"/>
      <c r="AK1707" s="9"/>
      <c r="AL1707" s="9"/>
      <c r="AM1707" s="9"/>
      <c r="AN1707" s="9"/>
      <c r="AO1707" s="9"/>
      <c r="AP1707" s="9"/>
      <c r="AQ1707" s="9"/>
      <c r="AR1707" s="9"/>
      <c r="AS1707" s="9"/>
      <c r="AT1707" s="9"/>
      <c r="AU1707" s="9"/>
    </row>
    <row r="1708" spans="1:47" ht="15.75" customHeight="1">
      <c r="A1708" s="9"/>
      <c r="B1708" s="9"/>
      <c r="C1708" s="9"/>
      <c r="D1708" s="9"/>
      <c r="E1708" s="9"/>
      <c r="F1708" s="67"/>
      <c r="G1708" s="9"/>
      <c r="H1708" s="9"/>
      <c r="I1708" s="9"/>
      <c r="J1708" s="9"/>
      <c r="K1708" s="9"/>
      <c r="L1708" s="9"/>
      <c r="M1708" s="9"/>
      <c r="N1708" s="9"/>
      <c r="O1708" s="9"/>
      <c r="P1708" s="9"/>
      <c r="Q1708" s="9"/>
      <c r="R1708" s="9"/>
      <c r="S1708" s="9"/>
      <c r="T1708" s="9"/>
      <c r="U1708" s="9"/>
      <c r="V1708" s="9"/>
      <c r="W1708" s="9"/>
      <c r="X1708" s="9"/>
      <c r="Y1708" s="9"/>
      <c r="Z1708" s="9"/>
      <c r="AA1708" s="9"/>
      <c r="AB1708" s="9"/>
      <c r="AC1708" s="9"/>
      <c r="AD1708" s="9"/>
      <c r="AE1708" s="9"/>
      <c r="AF1708" s="9"/>
      <c r="AG1708" s="9"/>
      <c r="AH1708" s="9"/>
      <c r="AI1708" s="9"/>
      <c r="AJ1708" s="9"/>
      <c r="AK1708" s="9"/>
      <c r="AL1708" s="9"/>
      <c r="AM1708" s="9"/>
      <c r="AN1708" s="9"/>
      <c r="AO1708" s="9"/>
      <c r="AP1708" s="9"/>
      <c r="AQ1708" s="9"/>
      <c r="AR1708" s="9"/>
      <c r="AS1708" s="9"/>
      <c r="AT1708" s="9"/>
      <c r="AU1708" s="9"/>
    </row>
    <row r="1709" spans="1:47" ht="15.75" customHeight="1">
      <c r="A1709" s="9"/>
      <c r="B1709" s="9"/>
      <c r="C1709" s="9"/>
      <c r="D1709" s="9"/>
      <c r="E1709" s="9"/>
      <c r="F1709" s="67"/>
      <c r="G1709" s="9"/>
      <c r="H1709" s="9"/>
      <c r="I1709" s="9"/>
      <c r="J1709" s="9"/>
      <c r="K1709" s="9"/>
      <c r="L1709" s="9"/>
      <c r="M1709" s="9"/>
      <c r="N1709" s="9"/>
      <c r="O1709" s="9"/>
      <c r="P1709" s="9"/>
      <c r="Q1709" s="9"/>
      <c r="R1709" s="9"/>
      <c r="S1709" s="9"/>
      <c r="T1709" s="9"/>
      <c r="U1709" s="9"/>
      <c r="V1709" s="9"/>
      <c r="W1709" s="9"/>
      <c r="X1709" s="9"/>
      <c r="Y1709" s="9"/>
      <c r="Z1709" s="9"/>
      <c r="AA1709" s="9"/>
      <c r="AB1709" s="9"/>
      <c r="AC1709" s="9"/>
      <c r="AD1709" s="9"/>
      <c r="AE1709" s="9"/>
      <c r="AF1709" s="9"/>
      <c r="AG1709" s="9"/>
      <c r="AH1709" s="9"/>
      <c r="AI1709" s="9"/>
      <c r="AJ1709" s="9"/>
      <c r="AK1709" s="9"/>
      <c r="AL1709" s="9"/>
      <c r="AM1709" s="9"/>
      <c r="AN1709" s="9"/>
      <c r="AO1709" s="9"/>
      <c r="AP1709" s="9"/>
      <c r="AQ1709" s="9"/>
      <c r="AR1709" s="9"/>
      <c r="AS1709" s="9"/>
      <c r="AT1709" s="9"/>
      <c r="AU1709" s="9"/>
    </row>
    <row r="1710" spans="1:47" ht="15.75" customHeight="1">
      <c r="A1710" s="9"/>
      <c r="B1710" s="9"/>
      <c r="C1710" s="9"/>
      <c r="D1710" s="9"/>
      <c r="E1710" s="9"/>
      <c r="F1710" s="67"/>
      <c r="G1710" s="9"/>
      <c r="H1710" s="9"/>
      <c r="I1710" s="9"/>
      <c r="J1710" s="9"/>
      <c r="K1710" s="9"/>
      <c r="L1710" s="9"/>
      <c r="M1710" s="9"/>
      <c r="N1710" s="9"/>
      <c r="O1710" s="9"/>
      <c r="P1710" s="9"/>
      <c r="Q1710" s="9"/>
      <c r="R1710" s="9"/>
      <c r="S1710" s="9"/>
      <c r="T1710" s="9"/>
      <c r="U1710" s="9"/>
      <c r="V1710" s="9"/>
      <c r="W1710" s="9"/>
      <c r="X1710" s="9"/>
      <c r="Y1710" s="9"/>
      <c r="Z1710" s="9"/>
      <c r="AA1710" s="9"/>
      <c r="AB1710" s="9"/>
      <c r="AC1710" s="9"/>
      <c r="AD1710" s="9"/>
      <c r="AE1710" s="9"/>
      <c r="AF1710" s="9"/>
      <c r="AG1710" s="9"/>
      <c r="AH1710" s="9"/>
      <c r="AI1710" s="9"/>
      <c r="AJ1710" s="9"/>
      <c r="AK1710" s="9"/>
      <c r="AL1710" s="9"/>
      <c r="AM1710" s="9"/>
      <c r="AN1710" s="9"/>
      <c r="AO1710" s="9"/>
      <c r="AP1710" s="9"/>
      <c r="AQ1710" s="9"/>
      <c r="AR1710" s="9"/>
      <c r="AS1710" s="9"/>
      <c r="AT1710" s="9"/>
      <c r="AU1710" s="9"/>
    </row>
    <row r="1711" spans="1:47" ht="15.75" customHeight="1">
      <c r="A1711" s="9"/>
      <c r="B1711" s="9"/>
      <c r="C1711" s="9"/>
      <c r="D1711" s="9"/>
      <c r="E1711" s="9"/>
      <c r="F1711" s="67"/>
      <c r="G1711" s="9"/>
      <c r="H1711" s="9"/>
      <c r="I1711" s="9"/>
      <c r="J1711" s="9"/>
      <c r="K1711" s="9"/>
      <c r="L1711" s="9"/>
      <c r="M1711" s="9"/>
      <c r="N1711" s="9"/>
      <c r="O1711" s="9"/>
      <c r="P1711" s="9"/>
      <c r="Q1711" s="9"/>
      <c r="R1711" s="9"/>
      <c r="S1711" s="9"/>
      <c r="T1711" s="9"/>
      <c r="U1711" s="9"/>
      <c r="V1711" s="9"/>
      <c r="W1711" s="9"/>
      <c r="X1711" s="9"/>
      <c r="Y1711" s="9"/>
      <c r="Z1711" s="9"/>
      <c r="AA1711" s="9"/>
      <c r="AB1711" s="9"/>
      <c r="AC1711" s="9"/>
      <c r="AD1711" s="9"/>
      <c r="AE1711" s="9"/>
      <c r="AF1711" s="9"/>
      <c r="AG1711" s="9"/>
      <c r="AH1711" s="9"/>
      <c r="AI1711" s="9"/>
      <c r="AJ1711" s="9"/>
      <c r="AK1711" s="9"/>
      <c r="AL1711" s="9"/>
      <c r="AM1711" s="9"/>
      <c r="AN1711" s="9"/>
      <c r="AO1711" s="9"/>
      <c r="AP1711" s="9"/>
      <c r="AQ1711" s="9"/>
      <c r="AR1711" s="9"/>
      <c r="AS1711" s="9"/>
      <c r="AT1711" s="9"/>
      <c r="AU1711" s="9"/>
    </row>
    <row r="1712" spans="1:47" ht="15.75" customHeight="1">
      <c r="A1712" s="9"/>
      <c r="B1712" s="9"/>
      <c r="C1712" s="9"/>
      <c r="D1712" s="9"/>
      <c r="E1712" s="9"/>
      <c r="F1712" s="67"/>
      <c r="G1712" s="9"/>
      <c r="H1712" s="9"/>
      <c r="I1712" s="9"/>
      <c r="J1712" s="9"/>
      <c r="K1712" s="9"/>
      <c r="L1712" s="9"/>
      <c r="M1712" s="9"/>
      <c r="N1712" s="9"/>
      <c r="O1712" s="9"/>
      <c r="P1712" s="9"/>
      <c r="Q1712" s="9"/>
      <c r="R1712" s="9"/>
      <c r="S1712" s="9"/>
      <c r="T1712" s="9"/>
      <c r="U1712" s="9"/>
      <c r="V1712" s="9"/>
      <c r="W1712" s="9"/>
      <c r="X1712" s="9"/>
      <c r="Y1712" s="9"/>
      <c r="Z1712" s="9"/>
      <c r="AA1712" s="9"/>
      <c r="AB1712" s="9"/>
      <c r="AC1712" s="9"/>
      <c r="AD1712" s="9"/>
      <c r="AE1712" s="9"/>
      <c r="AF1712" s="9"/>
      <c r="AG1712" s="9"/>
      <c r="AH1712" s="9"/>
      <c r="AI1712" s="9"/>
      <c r="AJ1712" s="9"/>
      <c r="AK1712" s="9"/>
      <c r="AL1712" s="9"/>
      <c r="AM1712" s="9"/>
      <c r="AN1712" s="9"/>
      <c r="AO1712" s="9"/>
      <c r="AP1712" s="9"/>
      <c r="AQ1712" s="9"/>
      <c r="AR1712" s="9"/>
      <c r="AS1712" s="9"/>
      <c r="AT1712" s="9"/>
      <c r="AU1712" s="9"/>
    </row>
    <row r="1713" spans="1:47" ht="15.75" customHeight="1">
      <c r="A1713" s="9"/>
      <c r="B1713" s="9"/>
      <c r="C1713" s="9"/>
      <c r="D1713" s="9"/>
      <c r="E1713" s="9"/>
      <c r="F1713" s="67"/>
      <c r="G1713" s="9"/>
      <c r="H1713" s="9"/>
      <c r="I1713" s="9"/>
      <c r="J1713" s="9"/>
      <c r="K1713" s="9"/>
      <c r="L1713" s="9"/>
      <c r="M1713" s="9"/>
      <c r="N1713" s="9"/>
      <c r="O1713" s="9"/>
      <c r="P1713" s="9"/>
      <c r="Q1713" s="9"/>
      <c r="R1713" s="9"/>
      <c r="S1713" s="9"/>
      <c r="T1713" s="9"/>
      <c r="U1713" s="9"/>
      <c r="V1713" s="9"/>
      <c r="W1713" s="9"/>
      <c r="X1713" s="9"/>
      <c r="Y1713" s="9"/>
      <c r="Z1713" s="9"/>
      <c r="AA1713" s="9"/>
      <c r="AB1713" s="9"/>
      <c r="AC1713" s="9"/>
      <c r="AD1713" s="9"/>
      <c r="AE1713" s="9"/>
      <c r="AF1713" s="9"/>
      <c r="AG1713" s="9"/>
      <c r="AH1713" s="9"/>
      <c r="AI1713" s="9"/>
      <c r="AJ1713" s="9"/>
      <c r="AK1713" s="9"/>
      <c r="AL1713" s="9"/>
      <c r="AM1713" s="9"/>
      <c r="AN1713" s="9"/>
      <c r="AO1713" s="9"/>
      <c r="AP1713" s="9"/>
      <c r="AQ1713" s="9"/>
      <c r="AR1713" s="9"/>
      <c r="AS1713" s="9"/>
      <c r="AT1713" s="9"/>
      <c r="AU1713" s="9"/>
    </row>
    <row r="1714" spans="1:47" ht="15.75" customHeight="1">
      <c r="A1714" s="9"/>
      <c r="B1714" s="9"/>
      <c r="C1714" s="9"/>
      <c r="D1714" s="9"/>
      <c r="E1714" s="9"/>
      <c r="F1714" s="67"/>
      <c r="G1714" s="9"/>
      <c r="H1714" s="9"/>
      <c r="I1714" s="9"/>
      <c r="J1714" s="9"/>
      <c r="K1714" s="9"/>
      <c r="L1714" s="9"/>
      <c r="M1714" s="9"/>
      <c r="N1714" s="9"/>
      <c r="O1714" s="9"/>
      <c r="P1714" s="9"/>
      <c r="Q1714" s="9"/>
      <c r="R1714" s="9"/>
      <c r="S1714" s="9"/>
      <c r="T1714" s="9"/>
      <c r="U1714" s="9"/>
      <c r="V1714" s="9"/>
      <c r="W1714" s="9"/>
      <c r="X1714" s="9"/>
      <c r="Y1714" s="9"/>
      <c r="Z1714" s="9"/>
      <c r="AA1714" s="9"/>
      <c r="AB1714" s="9"/>
      <c r="AC1714" s="9"/>
      <c r="AD1714" s="9"/>
      <c r="AE1714" s="9"/>
      <c r="AF1714" s="9"/>
      <c r="AG1714" s="9"/>
      <c r="AH1714" s="9"/>
      <c r="AI1714" s="9"/>
      <c r="AJ1714" s="9"/>
      <c r="AK1714" s="9"/>
      <c r="AL1714" s="9"/>
      <c r="AM1714" s="9"/>
      <c r="AN1714" s="9"/>
      <c r="AO1714" s="9"/>
      <c r="AP1714" s="9"/>
      <c r="AQ1714" s="9"/>
      <c r="AR1714" s="9"/>
      <c r="AS1714" s="9"/>
      <c r="AT1714" s="9"/>
      <c r="AU1714" s="9"/>
    </row>
    <row r="1715" spans="1:47" ht="15.75" customHeight="1">
      <c r="A1715" s="9"/>
      <c r="B1715" s="9"/>
      <c r="C1715" s="9"/>
      <c r="D1715" s="9"/>
      <c r="E1715" s="9"/>
      <c r="F1715" s="67"/>
      <c r="G1715" s="9"/>
      <c r="H1715" s="9"/>
      <c r="I1715" s="9"/>
      <c r="J1715" s="9"/>
      <c r="K1715" s="9"/>
      <c r="L1715" s="9"/>
      <c r="M1715" s="9"/>
      <c r="N1715" s="9"/>
      <c r="O1715" s="9"/>
      <c r="P1715" s="9"/>
      <c r="Q1715" s="9"/>
      <c r="R1715" s="9"/>
      <c r="S1715" s="9"/>
      <c r="T1715" s="9"/>
      <c r="U1715" s="9"/>
      <c r="V1715" s="9"/>
      <c r="W1715" s="9"/>
      <c r="X1715" s="9"/>
      <c r="Y1715" s="9"/>
      <c r="Z1715" s="9"/>
      <c r="AA1715" s="9"/>
      <c r="AB1715" s="9"/>
      <c r="AC1715" s="9"/>
      <c r="AD1715" s="9"/>
      <c r="AE1715" s="9"/>
      <c r="AF1715" s="9"/>
      <c r="AG1715" s="9"/>
      <c r="AH1715" s="9"/>
      <c r="AI1715" s="9"/>
      <c r="AJ1715" s="9"/>
      <c r="AK1715" s="9"/>
      <c r="AL1715" s="9"/>
      <c r="AM1715" s="9"/>
      <c r="AN1715" s="9"/>
      <c r="AO1715" s="9"/>
      <c r="AP1715" s="9"/>
      <c r="AQ1715" s="9"/>
      <c r="AR1715" s="9"/>
      <c r="AS1715" s="9"/>
      <c r="AT1715" s="9"/>
      <c r="AU1715" s="9"/>
    </row>
    <row r="1716" spans="1:47" ht="15.75" customHeight="1">
      <c r="A1716" s="9"/>
      <c r="B1716" s="9"/>
      <c r="C1716" s="9"/>
      <c r="D1716" s="9"/>
      <c r="E1716" s="9"/>
      <c r="F1716" s="67"/>
      <c r="G1716" s="9"/>
      <c r="H1716" s="9"/>
      <c r="I1716" s="9"/>
      <c r="J1716" s="9"/>
      <c r="K1716" s="9"/>
      <c r="L1716" s="9"/>
      <c r="M1716" s="9"/>
      <c r="N1716" s="9"/>
      <c r="O1716" s="9"/>
      <c r="P1716" s="9"/>
      <c r="Q1716" s="9"/>
      <c r="R1716" s="9"/>
      <c r="S1716" s="9"/>
      <c r="T1716" s="9"/>
      <c r="U1716" s="9"/>
      <c r="V1716" s="9"/>
      <c r="W1716" s="9"/>
      <c r="X1716" s="9"/>
      <c r="Y1716" s="9"/>
      <c r="Z1716" s="9"/>
      <c r="AA1716" s="9"/>
      <c r="AB1716" s="9"/>
      <c r="AC1716" s="9"/>
      <c r="AD1716" s="9"/>
      <c r="AE1716" s="9"/>
      <c r="AF1716" s="9"/>
      <c r="AG1716" s="9"/>
      <c r="AH1716" s="9"/>
      <c r="AI1716" s="9"/>
      <c r="AJ1716" s="9"/>
      <c r="AK1716" s="9"/>
      <c r="AL1716" s="9"/>
      <c r="AM1716" s="9"/>
      <c r="AN1716" s="9"/>
      <c r="AO1716" s="9"/>
      <c r="AP1716" s="9"/>
      <c r="AQ1716" s="9"/>
      <c r="AR1716" s="9"/>
      <c r="AS1716" s="9"/>
      <c r="AT1716" s="9"/>
      <c r="AU1716" s="9"/>
    </row>
    <row r="1717" spans="1:47" ht="15.75" customHeight="1">
      <c r="A1717" s="9"/>
      <c r="B1717" s="9"/>
      <c r="C1717" s="9"/>
      <c r="D1717" s="9"/>
      <c r="E1717" s="9"/>
      <c r="F1717" s="67"/>
      <c r="G1717" s="9"/>
      <c r="H1717" s="9"/>
      <c r="I1717" s="9"/>
      <c r="J1717" s="9"/>
      <c r="K1717" s="9"/>
      <c r="L1717" s="9"/>
      <c r="M1717" s="9"/>
      <c r="N1717" s="9"/>
      <c r="O1717" s="9"/>
      <c r="P1717" s="9"/>
      <c r="Q1717" s="9"/>
      <c r="R1717" s="9"/>
      <c r="S1717" s="9"/>
      <c r="T1717" s="9"/>
      <c r="U1717" s="9"/>
      <c r="V1717" s="9"/>
      <c r="W1717" s="9"/>
      <c r="X1717" s="9"/>
      <c r="Y1717" s="9"/>
      <c r="Z1717" s="9"/>
      <c r="AA1717" s="9"/>
      <c r="AB1717" s="9"/>
      <c r="AC1717" s="9"/>
      <c r="AD1717" s="9"/>
      <c r="AE1717" s="9"/>
      <c r="AF1717" s="9"/>
      <c r="AG1717" s="9"/>
      <c r="AH1717" s="9"/>
      <c r="AI1717" s="9"/>
      <c r="AJ1717" s="9"/>
      <c r="AK1717" s="9"/>
      <c r="AL1717" s="9"/>
      <c r="AM1717" s="9"/>
      <c r="AN1717" s="9"/>
      <c r="AO1717" s="9"/>
      <c r="AP1717" s="9"/>
      <c r="AQ1717" s="9"/>
      <c r="AR1717" s="9"/>
      <c r="AS1717" s="9"/>
      <c r="AT1717" s="9"/>
      <c r="AU1717" s="9"/>
    </row>
    <row r="1718" spans="1:47" ht="15.75" customHeight="1">
      <c r="A1718" s="9"/>
      <c r="B1718" s="9"/>
      <c r="C1718" s="9"/>
      <c r="D1718" s="9"/>
      <c r="E1718" s="9"/>
      <c r="F1718" s="67"/>
      <c r="G1718" s="9"/>
      <c r="H1718" s="9"/>
      <c r="I1718" s="9"/>
      <c r="J1718" s="9"/>
      <c r="K1718" s="9"/>
      <c r="L1718" s="9"/>
      <c r="M1718" s="9"/>
      <c r="N1718" s="9"/>
      <c r="O1718" s="9"/>
      <c r="P1718" s="9"/>
      <c r="Q1718" s="9"/>
      <c r="R1718" s="9"/>
      <c r="S1718" s="9"/>
      <c r="T1718" s="9"/>
      <c r="U1718" s="9"/>
      <c r="V1718" s="9"/>
      <c r="W1718" s="9"/>
      <c r="X1718" s="9"/>
      <c r="Y1718" s="9"/>
      <c r="Z1718" s="9"/>
      <c r="AA1718" s="9"/>
      <c r="AB1718" s="9"/>
      <c r="AC1718" s="9"/>
      <c r="AD1718" s="9"/>
      <c r="AE1718" s="9"/>
      <c r="AF1718" s="9"/>
      <c r="AG1718" s="9"/>
      <c r="AH1718" s="9"/>
      <c r="AI1718" s="9"/>
      <c r="AJ1718" s="9"/>
      <c r="AK1718" s="9"/>
      <c r="AL1718" s="9"/>
      <c r="AM1718" s="9"/>
      <c r="AN1718" s="9"/>
      <c r="AO1718" s="9"/>
      <c r="AP1718" s="9"/>
      <c r="AQ1718" s="9"/>
      <c r="AR1718" s="9"/>
      <c r="AS1718" s="9"/>
      <c r="AT1718" s="9"/>
      <c r="AU1718" s="9"/>
    </row>
    <row r="1719" spans="1:47" ht="15.75" customHeight="1">
      <c r="A1719" s="9"/>
      <c r="B1719" s="9"/>
      <c r="C1719" s="9"/>
      <c r="D1719" s="9"/>
      <c r="E1719" s="9"/>
      <c r="F1719" s="67"/>
      <c r="G1719" s="9"/>
      <c r="H1719" s="9"/>
      <c r="I1719" s="9"/>
      <c r="J1719" s="9"/>
      <c r="K1719" s="9"/>
      <c r="L1719" s="9"/>
      <c r="M1719" s="9"/>
      <c r="N1719" s="9"/>
      <c r="O1719" s="9"/>
      <c r="P1719" s="9"/>
      <c r="Q1719" s="9"/>
      <c r="R1719" s="9"/>
      <c r="S1719" s="9"/>
      <c r="T1719" s="9"/>
      <c r="U1719" s="9"/>
      <c r="V1719" s="9"/>
      <c r="W1719" s="9"/>
      <c r="X1719" s="9"/>
      <c r="Y1719" s="9"/>
      <c r="Z1719" s="9"/>
      <c r="AA1719" s="9"/>
      <c r="AB1719" s="9"/>
      <c r="AC1719" s="9"/>
      <c r="AD1719" s="9"/>
      <c r="AE1719" s="9"/>
      <c r="AF1719" s="9"/>
      <c r="AG1719" s="9"/>
      <c r="AH1719" s="9"/>
      <c r="AI1719" s="9"/>
      <c r="AJ1719" s="9"/>
      <c r="AK1719" s="9"/>
      <c r="AL1719" s="9"/>
      <c r="AM1719" s="9"/>
      <c r="AN1719" s="9"/>
      <c r="AO1719" s="9"/>
      <c r="AP1719" s="9"/>
      <c r="AQ1719" s="9"/>
      <c r="AR1719" s="9"/>
      <c r="AS1719" s="9"/>
      <c r="AT1719" s="9"/>
      <c r="AU1719" s="9"/>
    </row>
    <row r="1720" spans="1:47" ht="15.75" customHeight="1">
      <c r="A1720" s="9"/>
      <c r="B1720" s="9"/>
      <c r="C1720" s="9"/>
      <c r="D1720" s="9"/>
      <c r="E1720" s="9"/>
      <c r="F1720" s="67"/>
      <c r="G1720" s="9"/>
      <c r="H1720" s="9"/>
      <c r="I1720" s="9"/>
      <c r="J1720" s="9"/>
      <c r="K1720" s="9"/>
      <c r="L1720" s="9"/>
      <c r="M1720" s="9"/>
      <c r="N1720" s="9"/>
      <c r="O1720" s="9"/>
      <c r="P1720" s="9"/>
      <c r="Q1720" s="9"/>
      <c r="R1720" s="9"/>
      <c r="S1720" s="9"/>
      <c r="T1720" s="9"/>
      <c r="U1720" s="9"/>
      <c r="V1720" s="9"/>
      <c r="W1720" s="9"/>
      <c r="X1720" s="9"/>
      <c r="Y1720" s="9"/>
      <c r="Z1720" s="9"/>
      <c r="AA1720" s="9"/>
      <c r="AB1720" s="9"/>
      <c r="AC1720" s="9"/>
      <c r="AD1720" s="9"/>
      <c r="AE1720" s="9"/>
      <c r="AF1720" s="9"/>
      <c r="AG1720" s="9"/>
      <c r="AH1720" s="9"/>
      <c r="AI1720" s="9"/>
      <c r="AJ1720" s="9"/>
      <c r="AK1720" s="9"/>
      <c r="AL1720" s="9"/>
      <c r="AM1720" s="9"/>
      <c r="AN1720" s="9"/>
      <c r="AO1720" s="9"/>
      <c r="AP1720" s="9"/>
      <c r="AQ1720" s="9"/>
      <c r="AR1720" s="9"/>
      <c r="AS1720" s="9"/>
      <c r="AT1720" s="9"/>
      <c r="AU1720" s="9"/>
    </row>
    <row r="1721" spans="1:47" ht="15.75" customHeight="1">
      <c r="A1721" s="9"/>
      <c r="B1721" s="9"/>
      <c r="C1721" s="9"/>
      <c r="D1721" s="9"/>
      <c r="E1721" s="9"/>
      <c r="F1721" s="67"/>
      <c r="G1721" s="9"/>
      <c r="H1721" s="9"/>
      <c r="I1721" s="9"/>
      <c r="J1721" s="9"/>
      <c r="K1721" s="9"/>
      <c r="L1721" s="9"/>
      <c r="M1721" s="9"/>
      <c r="N1721" s="9"/>
      <c r="O1721" s="9"/>
      <c r="P1721" s="9"/>
      <c r="Q1721" s="9"/>
      <c r="R1721" s="9"/>
      <c r="S1721" s="9"/>
      <c r="T1721" s="9"/>
      <c r="U1721" s="9"/>
      <c r="V1721" s="9"/>
      <c r="W1721" s="9"/>
      <c r="X1721" s="9"/>
      <c r="Y1721" s="9"/>
      <c r="Z1721" s="9"/>
      <c r="AA1721" s="9"/>
      <c r="AB1721" s="9"/>
      <c r="AC1721" s="9"/>
      <c r="AD1721" s="9"/>
      <c r="AE1721" s="9"/>
      <c r="AF1721" s="9"/>
      <c r="AG1721" s="9"/>
      <c r="AH1721" s="9"/>
      <c r="AI1721" s="9"/>
      <c r="AJ1721" s="9"/>
      <c r="AK1721" s="9"/>
      <c r="AL1721" s="9"/>
      <c r="AM1721" s="9"/>
      <c r="AN1721" s="9"/>
      <c r="AO1721" s="9"/>
      <c r="AP1721" s="9"/>
      <c r="AQ1721" s="9"/>
      <c r="AR1721" s="9"/>
      <c r="AS1721" s="9"/>
      <c r="AT1721" s="9"/>
      <c r="AU1721" s="9"/>
    </row>
    <row r="1722" spans="1:47" ht="15.75" customHeight="1">
      <c r="A1722" s="9"/>
      <c r="B1722" s="9"/>
      <c r="C1722" s="9"/>
      <c r="D1722" s="9"/>
      <c r="E1722" s="9"/>
      <c r="F1722" s="67"/>
      <c r="G1722" s="9"/>
      <c r="H1722" s="9"/>
      <c r="I1722" s="9"/>
      <c r="J1722" s="9"/>
      <c r="K1722" s="9"/>
      <c r="L1722" s="9"/>
      <c r="M1722" s="9"/>
      <c r="N1722" s="9"/>
      <c r="O1722" s="9"/>
      <c r="P1722" s="9"/>
      <c r="Q1722" s="9"/>
      <c r="R1722" s="9"/>
      <c r="S1722" s="9"/>
      <c r="T1722" s="9"/>
      <c r="U1722" s="9"/>
      <c r="V1722" s="9"/>
      <c r="W1722" s="9"/>
      <c r="X1722" s="9"/>
      <c r="Y1722" s="9"/>
      <c r="Z1722" s="9"/>
      <c r="AA1722" s="9"/>
      <c r="AB1722" s="9"/>
      <c r="AC1722" s="9"/>
      <c r="AD1722" s="9"/>
      <c r="AE1722" s="9"/>
      <c r="AF1722" s="9"/>
      <c r="AG1722" s="9"/>
      <c r="AH1722" s="9"/>
      <c r="AI1722" s="9"/>
      <c r="AJ1722" s="9"/>
      <c r="AK1722" s="9"/>
      <c r="AL1722" s="9"/>
      <c r="AM1722" s="9"/>
      <c r="AN1722" s="9"/>
      <c r="AO1722" s="9"/>
      <c r="AP1722" s="9"/>
      <c r="AQ1722" s="9"/>
      <c r="AR1722" s="9"/>
      <c r="AS1722" s="9"/>
      <c r="AT1722" s="9"/>
      <c r="AU1722" s="9"/>
    </row>
    <row r="1723" spans="1:47" ht="15.75" customHeight="1">
      <c r="A1723" s="9"/>
      <c r="B1723" s="9"/>
      <c r="C1723" s="9"/>
      <c r="D1723" s="9"/>
      <c r="E1723" s="9"/>
      <c r="F1723" s="67"/>
      <c r="G1723" s="9"/>
      <c r="H1723" s="9"/>
      <c r="I1723" s="9"/>
      <c r="J1723" s="9"/>
      <c r="K1723" s="9"/>
      <c r="L1723" s="9"/>
      <c r="M1723" s="9"/>
      <c r="N1723" s="9"/>
      <c r="O1723" s="9"/>
      <c r="P1723" s="9"/>
      <c r="Q1723" s="9"/>
      <c r="R1723" s="9"/>
      <c r="S1723" s="9"/>
      <c r="T1723" s="9"/>
      <c r="U1723" s="9"/>
      <c r="V1723" s="9"/>
      <c r="W1723" s="9"/>
      <c r="X1723" s="9"/>
      <c r="Y1723" s="9"/>
      <c r="Z1723" s="9"/>
      <c r="AA1723" s="9"/>
      <c r="AB1723" s="9"/>
      <c r="AC1723" s="9"/>
      <c r="AD1723" s="9"/>
      <c r="AE1723" s="9"/>
      <c r="AF1723" s="9"/>
      <c r="AG1723" s="9"/>
      <c r="AH1723" s="9"/>
      <c r="AI1723" s="9"/>
      <c r="AJ1723" s="9"/>
      <c r="AK1723" s="9"/>
      <c r="AL1723" s="9"/>
      <c r="AM1723" s="9"/>
      <c r="AN1723" s="9"/>
      <c r="AO1723" s="9"/>
      <c r="AP1723" s="9"/>
      <c r="AQ1723" s="9"/>
      <c r="AR1723" s="9"/>
      <c r="AS1723" s="9"/>
      <c r="AT1723" s="9"/>
      <c r="AU1723" s="9"/>
    </row>
    <row r="1724" spans="1:47" ht="15.75" customHeight="1">
      <c r="A1724" s="9"/>
      <c r="B1724" s="9"/>
      <c r="C1724" s="9"/>
      <c r="D1724" s="9"/>
      <c r="E1724" s="9"/>
      <c r="F1724" s="67"/>
      <c r="G1724" s="9"/>
      <c r="H1724" s="9"/>
      <c r="I1724" s="9"/>
      <c r="J1724" s="9"/>
      <c r="K1724" s="9"/>
      <c r="L1724" s="9"/>
      <c r="M1724" s="9"/>
      <c r="N1724" s="9"/>
      <c r="O1724" s="9"/>
      <c r="P1724" s="9"/>
      <c r="Q1724" s="9"/>
      <c r="R1724" s="9"/>
      <c r="S1724" s="9"/>
      <c r="T1724" s="9"/>
      <c r="U1724" s="9"/>
      <c r="V1724" s="9"/>
      <c r="W1724" s="9"/>
      <c r="X1724" s="9"/>
      <c r="Y1724" s="9"/>
      <c r="Z1724" s="9"/>
      <c r="AA1724" s="9"/>
      <c r="AB1724" s="9"/>
      <c r="AC1724" s="9"/>
      <c r="AD1724" s="9"/>
      <c r="AE1724" s="9"/>
      <c r="AF1724" s="9"/>
      <c r="AG1724" s="9"/>
      <c r="AH1724" s="9"/>
      <c r="AI1724" s="9"/>
      <c r="AJ1724" s="9"/>
      <c r="AK1724" s="9"/>
      <c r="AL1724" s="9"/>
      <c r="AM1724" s="9"/>
      <c r="AN1724" s="9"/>
      <c r="AO1724" s="9"/>
      <c r="AP1724" s="9"/>
      <c r="AQ1724" s="9"/>
      <c r="AR1724" s="9"/>
      <c r="AS1724" s="9"/>
      <c r="AT1724" s="9"/>
      <c r="AU1724" s="9"/>
    </row>
    <row r="1725" spans="1:47" ht="15.75" customHeight="1">
      <c r="A1725" s="9"/>
      <c r="B1725" s="9"/>
      <c r="C1725" s="9"/>
      <c r="D1725" s="9"/>
      <c r="E1725" s="9"/>
      <c r="F1725" s="67"/>
      <c r="G1725" s="9"/>
      <c r="H1725" s="9"/>
      <c r="I1725" s="9"/>
      <c r="J1725" s="9"/>
      <c r="K1725" s="9"/>
      <c r="L1725" s="9"/>
      <c r="M1725" s="9"/>
      <c r="N1725" s="9"/>
      <c r="O1725" s="9"/>
      <c r="P1725" s="9"/>
      <c r="Q1725" s="9"/>
      <c r="R1725" s="9"/>
      <c r="S1725" s="9"/>
      <c r="T1725" s="9"/>
      <c r="U1725" s="9"/>
      <c r="V1725" s="9"/>
      <c r="W1725" s="9"/>
      <c r="X1725" s="9"/>
      <c r="Y1725" s="9"/>
      <c r="Z1725" s="9"/>
      <c r="AA1725" s="9"/>
      <c r="AB1725" s="9"/>
      <c r="AC1725" s="9"/>
      <c r="AD1725" s="9"/>
      <c r="AE1725" s="9"/>
      <c r="AF1725" s="9"/>
      <c r="AG1725" s="9"/>
      <c r="AH1725" s="9"/>
      <c r="AI1725" s="9"/>
      <c r="AJ1725" s="9"/>
      <c r="AK1725" s="9"/>
      <c r="AL1725" s="9"/>
      <c r="AM1725" s="9"/>
      <c r="AN1725" s="9"/>
      <c r="AO1725" s="9"/>
      <c r="AP1725" s="9"/>
      <c r="AQ1725" s="9"/>
      <c r="AR1725" s="9"/>
      <c r="AS1725" s="9"/>
      <c r="AT1725" s="9"/>
      <c r="AU1725" s="9"/>
    </row>
    <row r="1726" spans="1:47" ht="15.75" customHeight="1">
      <c r="A1726" s="9"/>
      <c r="B1726" s="9"/>
      <c r="C1726" s="9"/>
      <c r="D1726" s="9"/>
      <c r="E1726" s="9"/>
      <c r="F1726" s="67"/>
      <c r="G1726" s="9"/>
      <c r="H1726" s="9"/>
      <c r="I1726" s="9"/>
      <c r="J1726" s="9"/>
      <c r="K1726" s="9"/>
      <c r="L1726" s="9"/>
      <c r="M1726" s="9"/>
      <c r="N1726" s="9"/>
      <c r="O1726" s="9"/>
      <c r="P1726" s="9"/>
      <c r="Q1726" s="9"/>
      <c r="R1726" s="9"/>
      <c r="S1726" s="9"/>
      <c r="T1726" s="9"/>
      <c r="U1726" s="9"/>
      <c r="V1726" s="9"/>
      <c r="W1726" s="9"/>
      <c r="X1726" s="9"/>
      <c r="Y1726" s="9"/>
      <c r="Z1726" s="9"/>
      <c r="AA1726" s="9"/>
      <c r="AB1726" s="9"/>
      <c r="AC1726" s="9"/>
      <c r="AD1726" s="9"/>
      <c r="AE1726" s="9"/>
      <c r="AF1726" s="9"/>
      <c r="AG1726" s="9"/>
      <c r="AH1726" s="9"/>
      <c r="AI1726" s="9"/>
      <c r="AJ1726" s="9"/>
      <c r="AK1726" s="9"/>
      <c r="AL1726" s="9"/>
      <c r="AM1726" s="9"/>
      <c r="AN1726" s="9"/>
      <c r="AO1726" s="9"/>
      <c r="AP1726" s="9"/>
      <c r="AQ1726" s="9"/>
      <c r="AR1726" s="9"/>
      <c r="AS1726" s="9"/>
      <c r="AT1726" s="9"/>
      <c r="AU1726" s="9"/>
    </row>
    <row r="1727" spans="1:47" ht="15.75" customHeight="1">
      <c r="A1727" s="9"/>
      <c r="B1727" s="9"/>
      <c r="C1727" s="9"/>
      <c r="D1727" s="9"/>
      <c r="E1727" s="9"/>
      <c r="F1727" s="67"/>
      <c r="G1727" s="9"/>
      <c r="H1727" s="9"/>
      <c r="I1727" s="9"/>
      <c r="J1727" s="9"/>
      <c r="K1727" s="9"/>
      <c r="L1727" s="9"/>
      <c r="M1727" s="9"/>
      <c r="N1727" s="9"/>
      <c r="O1727" s="9"/>
      <c r="P1727" s="9"/>
      <c r="Q1727" s="9"/>
      <c r="R1727" s="9"/>
      <c r="S1727" s="9"/>
      <c r="T1727" s="9"/>
      <c r="U1727" s="9"/>
      <c r="V1727" s="9"/>
      <c r="W1727" s="9"/>
      <c r="X1727" s="9"/>
      <c r="Y1727" s="9"/>
      <c r="Z1727" s="9"/>
      <c r="AA1727" s="9"/>
      <c r="AB1727" s="9"/>
      <c r="AC1727" s="9"/>
      <c r="AD1727" s="9"/>
      <c r="AE1727" s="9"/>
      <c r="AF1727" s="9"/>
      <c r="AG1727" s="9"/>
      <c r="AH1727" s="9"/>
      <c r="AI1727" s="9"/>
      <c r="AJ1727" s="9"/>
      <c r="AK1727" s="9"/>
      <c r="AL1727" s="9"/>
      <c r="AM1727" s="9"/>
      <c r="AN1727" s="9"/>
      <c r="AO1727" s="9"/>
      <c r="AP1727" s="9"/>
      <c r="AQ1727" s="9"/>
      <c r="AR1727" s="9"/>
      <c r="AS1727" s="9"/>
      <c r="AT1727" s="9"/>
      <c r="AU1727" s="9"/>
    </row>
    <row r="1728" spans="1:47" ht="15.75" customHeight="1">
      <c r="A1728" s="9"/>
      <c r="B1728" s="9"/>
      <c r="C1728" s="9"/>
      <c r="D1728" s="9"/>
      <c r="E1728" s="9"/>
      <c r="F1728" s="67"/>
      <c r="G1728" s="9"/>
      <c r="H1728" s="9"/>
      <c r="I1728" s="9"/>
      <c r="J1728" s="9"/>
      <c r="K1728" s="9"/>
      <c r="L1728" s="9"/>
      <c r="M1728" s="9"/>
      <c r="N1728" s="9"/>
      <c r="O1728" s="9"/>
      <c r="P1728" s="9"/>
      <c r="Q1728" s="9"/>
      <c r="R1728" s="9"/>
      <c r="S1728" s="9"/>
      <c r="T1728" s="9"/>
      <c r="U1728" s="9"/>
      <c r="V1728" s="9"/>
      <c r="W1728" s="9"/>
      <c r="X1728" s="9"/>
      <c r="Y1728" s="9"/>
      <c r="Z1728" s="9"/>
      <c r="AA1728" s="9"/>
      <c r="AB1728" s="9"/>
      <c r="AC1728" s="9"/>
      <c r="AD1728" s="9"/>
      <c r="AE1728" s="9"/>
      <c r="AF1728" s="9"/>
      <c r="AG1728" s="9"/>
      <c r="AH1728" s="9"/>
      <c r="AI1728" s="9"/>
      <c r="AJ1728" s="9"/>
      <c r="AK1728" s="9"/>
      <c r="AL1728" s="9"/>
      <c r="AM1728" s="9"/>
      <c r="AN1728" s="9"/>
      <c r="AO1728" s="9"/>
      <c r="AP1728" s="9"/>
      <c r="AQ1728" s="9"/>
      <c r="AR1728" s="9"/>
      <c r="AS1728" s="9"/>
      <c r="AT1728" s="9"/>
      <c r="AU1728" s="9"/>
    </row>
    <row r="1729" spans="1:47" ht="15.75" customHeight="1">
      <c r="A1729" s="9"/>
      <c r="B1729" s="9"/>
      <c r="C1729" s="9"/>
      <c r="D1729" s="9"/>
      <c r="E1729" s="9"/>
      <c r="F1729" s="67"/>
      <c r="G1729" s="9"/>
      <c r="H1729" s="9"/>
      <c r="I1729" s="9"/>
      <c r="J1729" s="9"/>
      <c r="K1729" s="9"/>
      <c r="L1729" s="9"/>
      <c r="M1729" s="9"/>
      <c r="N1729" s="9"/>
      <c r="O1729" s="9"/>
      <c r="P1729" s="9"/>
      <c r="Q1729" s="9"/>
      <c r="R1729" s="9"/>
      <c r="S1729" s="9"/>
      <c r="T1729" s="9"/>
      <c r="U1729" s="9"/>
      <c r="V1729" s="9"/>
      <c r="W1729" s="9"/>
      <c r="X1729" s="9"/>
      <c r="Y1729" s="9"/>
      <c r="Z1729" s="9"/>
      <c r="AA1729" s="9"/>
      <c r="AB1729" s="9"/>
      <c r="AC1729" s="9"/>
      <c r="AD1729" s="9"/>
      <c r="AE1729" s="9"/>
      <c r="AF1729" s="9"/>
      <c r="AG1729" s="9"/>
      <c r="AH1729" s="9"/>
      <c r="AI1729" s="9"/>
      <c r="AJ1729" s="9"/>
      <c r="AK1729" s="9"/>
      <c r="AL1729" s="9"/>
      <c r="AM1729" s="9"/>
      <c r="AN1729" s="9"/>
      <c r="AO1729" s="9"/>
      <c r="AP1729" s="9"/>
      <c r="AQ1729" s="9"/>
      <c r="AR1729" s="9"/>
      <c r="AS1729" s="9"/>
      <c r="AT1729" s="9"/>
      <c r="AU1729" s="9"/>
    </row>
    <row r="1730" spans="1:47" ht="15.75" customHeight="1">
      <c r="A1730" s="9"/>
      <c r="B1730" s="9"/>
      <c r="C1730" s="9"/>
      <c r="D1730" s="9"/>
      <c r="E1730" s="9"/>
      <c r="F1730" s="67"/>
      <c r="G1730" s="9"/>
      <c r="H1730" s="9"/>
      <c r="I1730" s="9"/>
      <c r="J1730" s="9"/>
      <c r="K1730" s="9"/>
      <c r="L1730" s="9"/>
      <c r="M1730" s="9"/>
      <c r="N1730" s="9"/>
      <c r="O1730" s="9"/>
      <c r="P1730" s="9"/>
      <c r="Q1730" s="9"/>
      <c r="R1730" s="9"/>
      <c r="S1730" s="9"/>
      <c r="T1730" s="9"/>
      <c r="U1730" s="9"/>
      <c r="V1730" s="9"/>
      <c r="W1730" s="9"/>
      <c r="X1730" s="9"/>
      <c r="Y1730" s="9"/>
      <c r="Z1730" s="9"/>
      <c r="AA1730" s="9"/>
      <c r="AB1730" s="9"/>
      <c r="AC1730" s="9"/>
      <c r="AD1730" s="9"/>
      <c r="AE1730" s="9"/>
      <c r="AF1730" s="9"/>
      <c r="AG1730" s="9"/>
      <c r="AH1730" s="9"/>
      <c r="AI1730" s="9"/>
      <c r="AJ1730" s="9"/>
      <c r="AK1730" s="9"/>
      <c r="AL1730" s="9"/>
      <c r="AM1730" s="9"/>
      <c r="AN1730" s="9"/>
      <c r="AO1730" s="9"/>
      <c r="AP1730" s="9"/>
      <c r="AQ1730" s="9"/>
      <c r="AR1730" s="9"/>
      <c r="AS1730" s="9"/>
      <c r="AT1730" s="9"/>
      <c r="AU1730" s="9"/>
    </row>
    <row r="1731" spans="1:47" ht="15.75" customHeight="1">
      <c r="A1731" s="9"/>
      <c r="B1731" s="9"/>
      <c r="C1731" s="9"/>
      <c r="D1731" s="9"/>
      <c r="E1731" s="9"/>
      <c r="F1731" s="67"/>
      <c r="G1731" s="9"/>
      <c r="H1731" s="9"/>
      <c r="I1731" s="9"/>
      <c r="J1731" s="9"/>
      <c r="K1731" s="9"/>
      <c r="L1731" s="9"/>
      <c r="M1731" s="9"/>
      <c r="N1731" s="9"/>
      <c r="O1731" s="9"/>
      <c r="P1731" s="9"/>
      <c r="Q1731" s="9"/>
      <c r="R1731" s="9"/>
      <c r="S1731" s="9"/>
      <c r="T1731" s="9"/>
      <c r="U1731" s="9"/>
      <c r="V1731" s="9"/>
      <c r="W1731" s="9"/>
      <c r="X1731" s="9"/>
      <c r="Y1731" s="9"/>
      <c r="Z1731" s="9"/>
      <c r="AA1731" s="9"/>
      <c r="AB1731" s="9"/>
      <c r="AC1731" s="9"/>
      <c r="AD1731" s="9"/>
      <c r="AE1731" s="9"/>
      <c r="AF1731" s="9"/>
      <c r="AG1731" s="9"/>
      <c r="AH1731" s="9"/>
      <c r="AI1731" s="9"/>
      <c r="AJ1731" s="9"/>
      <c r="AK1731" s="9"/>
      <c r="AL1731" s="9"/>
      <c r="AM1731" s="9"/>
      <c r="AN1731" s="9"/>
      <c r="AO1731" s="9"/>
      <c r="AP1731" s="9"/>
      <c r="AQ1731" s="9"/>
      <c r="AR1731" s="9"/>
      <c r="AS1731" s="9"/>
      <c r="AT1731" s="9"/>
      <c r="AU1731" s="9"/>
    </row>
    <row r="1732" spans="1:47" ht="15.75" customHeight="1">
      <c r="A1732" s="9"/>
      <c r="B1732" s="9"/>
      <c r="C1732" s="9"/>
      <c r="D1732" s="9"/>
      <c r="E1732" s="9"/>
      <c r="F1732" s="67"/>
      <c r="G1732" s="9"/>
      <c r="H1732" s="9"/>
      <c r="I1732" s="9"/>
      <c r="J1732" s="9"/>
      <c r="K1732" s="9"/>
      <c r="L1732" s="9"/>
      <c r="M1732" s="9"/>
      <c r="N1732" s="9"/>
      <c r="O1732" s="9"/>
      <c r="P1732" s="9"/>
      <c r="Q1732" s="9"/>
      <c r="R1732" s="9"/>
      <c r="S1732" s="9"/>
      <c r="T1732" s="9"/>
      <c r="U1732" s="9"/>
      <c r="V1732" s="9"/>
      <c r="W1732" s="9"/>
      <c r="X1732" s="9"/>
      <c r="Y1732" s="9"/>
      <c r="Z1732" s="9"/>
      <c r="AA1732" s="9"/>
      <c r="AB1732" s="9"/>
      <c r="AC1732" s="9"/>
      <c r="AD1732" s="9"/>
      <c r="AE1732" s="9"/>
      <c r="AF1732" s="9"/>
      <c r="AG1732" s="9"/>
      <c r="AH1732" s="9"/>
      <c r="AI1732" s="9"/>
      <c r="AJ1732" s="9"/>
      <c r="AK1732" s="9"/>
      <c r="AL1732" s="9"/>
      <c r="AM1732" s="9"/>
      <c r="AN1732" s="9"/>
      <c r="AO1732" s="9"/>
      <c r="AP1732" s="9"/>
      <c r="AQ1732" s="9"/>
      <c r="AR1732" s="9"/>
      <c r="AS1732" s="9"/>
      <c r="AT1732" s="9"/>
      <c r="AU1732" s="9"/>
    </row>
    <row r="1733" spans="1:47" ht="15.75" customHeight="1">
      <c r="A1733" s="9"/>
      <c r="B1733" s="9"/>
      <c r="C1733" s="9"/>
      <c r="D1733" s="9"/>
      <c r="E1733" s="9"/>
      <c r="F1733" s="67"/>
      <c r="G1733" s="9"/>
      <c r="H1733" s="9"/>
      <c r="I1733" s="9"/>
      <c r="J1733" s="9"/>
      <c r="K1733" s="9"/>
      <c r="L1733" s="9"/>
      <c r="M1733" s="9"/>
      <c r="N1733" s="9"/>
      <c r="O1733" s="9"/>
      <c r="P1733" s="9"/>
      <c r="Q1733" s="9"/>
      <c r="R1733" s="9"/>
      <c r="S1733" s="9"/>
      <c r="T1733" s="9"/>
      <c r="U1733" s="9"/>
      <c r="V1733" s="9"/>
      <c r="W1733" s="9"/>
      <c r="X1733" s="9"/>
      <c r="Y1733" s="9"/>
      <c r="Z1733" s="9"/>
      <c r="AA1733" s="9"/>
      <c r="AB1733" s="9"/>
      <c r="AC1733" s="9"/>
      <c r="AD1733" s="9"/>
      <c r="AE1733" s="9"/>
      <c r="AF1733" s="9"/>
      <c r="AG1733" s="9"/>
      <c r="AH1733" s="9"/>
      <c r="AI1733" s="9"/>
      <c r="AJ1733" s="9"/>
      <c r="AK1733" s="9"/>
      <c r="AL1733" s="9"/>
      <c r="AM1733" s="9"/>
      <c r="AN1733" s="9"/>
      <c r="AO1733" s="9"/>
      <c r="AP1733" s="9"/>
      <c r="AQ1733" s="9"/>
      <c r="AR1733" s="9"/>
      <c r="AS1733" s="9"/>
      <c r="AT1733" s="9"/>
      <c r="AU1733" s="9"/>
    </row>
    <row r="1734" spans="1:47" ht="15.75" customHeight="1">
      <c r="A1734" s="9"/>
      <c r="B1734" s="9"/>
      <c r="C1734" s="9"/>
      <c r="D1734" s="9"/>
      <c r="E1734" s="9"/>
      <c r="F1734" s="67"/>
      <c r="G1734" s="9"/>
      <c r="H1734" s="9"/>
      <c r="I1734" s="9"/>
      <c r="J1734" s="9"/>
      <c r="K1734" s="9"/>
      <c r="L1734" s="9"/>
      <c r="M1734" s="9"/>
      <c r="N1734" s="9"/>
      <c r="O1734" s="9"/>
      <c r="P1734" s="9"/>
      <c r="Q1734" s="9"/>
      <c r="R1734" s="9"/>
      <c r="S1734" s="9"/>
      <c r="T1734" s="9"/>
      <c r="U1734" s="9"/>
      <c r="V1734" s="9"/>
      <c r="W1734" s="9"/>
      <c r="X1734" s="9"/>
      <c r="Y1734" s="9"/>
      <c r="Z1734" s="9"/>
      <c r="AA1734" s="9"/>
      <c r="AB1734" s="9"/>
      <c r="AC1734" s="9"/>
      <c r="AD1734" s="9"/>
      <c r="AE1734" s="9"/>
      <c r="AF1734" s="9"/>
      <c r="AG1734" s="9"/>
      <c r="AH1734" s="9"/>
      <c r="AI1734" s="9"/>
      <c r="AJ1734" s="9"/>
      <c r="AK1734" s="9"/>
      <c r="AL1734" s="9"/>
      <c r="AM1734" s="9"/>
      <c r="AN1734" s="9"/>
      <c r="AO1734" s="9"/>
      <c r="AP1734" s="9"/>
      <c r="AQ1734" s="9"/>
      <c r="AR1734" s="9"/>
      <c r="AS1734" s="9"/>
      <c r="AT1734" s="9"/>
      <c r="AU1734" s="9"/>
    </row>
    <row r="1735" spans="1:47" ht="15.75" customHeight="1">
      <c r="A1735" s="9"/>
      <c r="B1735" s="9"/>
      <c r="C1735" s="9"/>
      <c r="D1735" s="9"/>
      <c r="E1735" s="9"/>
      <c r="F1735" s="67"/>
      <c r="G1735" s="9"/>
      <c r="H1735" s="9"/>
      <c r="I1735" s="9"/>
      <c r="J1735" s="9"/>
      <c r="K1735" s="9"/>
      <c r="L1735" s="9"/>
      <c r="M1735" s="9"/>
      <c r="N1735" s="9"/>
      <c r="O1735" s="9"/>
      <c r="P1735" s="9"/>
      <c r="Q1735" s="9"/>
      <c r="R1735" s="9"/>
      <c r="S1735" s="9"/>
      <c r="T1735" s="9"/>
      <c r="U1735" s="9"/>
      <c r="V1735" s="9"/>
      <c r="W1735" s="9"/>
      <c r="X1735" s="9"/>
      <c r="Y1735" s="9"/>
      <c r="Z1735" s="9"/>
      <c r="AA1735" s="9"/>
      <c r="AB1735" s="9"/>
      <c r="AC1735" s="9"/>
      <c r="AD1735" s="9"/>
      <c r="AE1735" s="9"/>
      <c r="AF1735" s="9"/>
      <c r="AG1735" s="9"/>
      <c r="AH1735" s="9"/>
      <c r="AI1735" s="9"/>
      <c r="AJ1735" s="9"/>
      <c r="AK1735" s="9"/>
      <c r="AL1735" s="9"/>
      <c r="AM1735" s="9"/>
      <c r="AN1735" s="9"/>
      <c r="AO1735" s="9"/>
      <c r="AP1735" s="9"/>
      <c r="AQ1735" s="9"/>
      <c r="AR1735" s="9"/>
      <c r="AS1735" s="9"/>
      <c r="AT1735" s="9"/>
      <c r="AU1735" s="9"/>
    </row>
    <row r="1736" spans="1:47" ht="15.75" customHeight="1">
      <c r="A1736" s="9"/>
      <c r="B1736" s="9"/>
      <c r="C1736" s="9"/>
      <c r="D1736" s="9"/>
      <c r="E1736" s="9"/>
      <c r="F1736" s="67"/>
      <c r="G1736" s="9"/>
      <c r="H1736" s="9"/>
      <c r="I1736" s="9"/>
      <c r="J1736" s="9"/>
      <c r="K1736" s="9"/>
      <c r="L1736" s="9"/>
      <c r="M1736" s="9"/>
      <c r="N1736" s="9"/>
      <c r="O1736" s="9"/>
      <c r="P1736" s="9"/>
      <c r="Q1736" s="9"/>
      <c r="R1736" s="9"/>
      <c r="S1736" s="9"/>
      <c r="T1736" s="9"/>
      <c r="U1736" s="9"/>
      <c r="V1736" s="9"/>
      <c r="W1736" s="9"/>
      <c r="X1736" s="9"/>
      <c r="Y1736" s="9"/>
      <c r="Z1736" s="9"/>
      <c r="AA1736" s="9"/>
      <c r="AB1736" s="9"/>
      <c r="AC1736" s="9"/>
      <c r="AD1736" s="9"/>
      <c r="AE1736" s="9"/>
      <c r="AF1736" s="9"/>
      <c r="AG1736" s="9"/>
      <c r="AH1736" s="9"/>
      <c r="AI1736" s="9"/>
      <c r="AJ1736" s="9"/>
      <c r="AK1736" s="9"/>
      <c r="AL1736" s="9"/>
      <c r="AM1736" s="9"/>
      <c r="AN1736" s="9"/>
      <c r="AO1736" s="9"/>
      <c r="AP1736" s="9"/>
      <c r="AQ1736" s="9"/>
      <c r="AR1736" s="9"/>
      <c r="AS1736" s="9"/>
      <c r="AT1736" s="9"/>
      <c r="AU1736" s="9"/>
    </row>
    <row r="1737" spans="1:47" ht="15.75" customHeight="1">
      <c r="A1737" s="9"/>
      <c r="B1737" s="9"/>
      <c r="C1737" s="9"/>
      <c r="D1737" s="9"/>
      <c r="E1737" s="9"/>
      <c r="F1737" s="67"/>
      <c r="G1737" s="9"/>
      <c r="H1737" s="9"/>
      <c r="I1737" s="9"/>
      <c r="J1737" s="9"/>
      <c r="K1737" s="9"/>
      <c r="L1737" s="9"/>
      <c r="M1737" s="9"/>
      <c r="N1737" s="9"/>
      <c r="O1737" s="9"/>
      <c r="P1737" s="9"/>
      <c r="Q1737" s="9"/>
      <c r="R1737" s="9"/>
      <c r="S1737" s="9"/>
      <c r="T1737" s="9"/>
      <c r="U1737" s="9"/>
      <c r="V1737" s="9"/>
      <c r="W1737" s="9"/>
      <c r="X1737" s="9"/>
      <c r="Y1737" s="9"/>
      <c r="Z1737" s="9"/>
      <c r="AA1737" s="9"/>
      <c r="AB1737" s="9"/>
      <c r="AC1737" s="9"/>
      <c r="AD1737" s="9"/>
      <c r="AE1737" s="9"/>
      <c r="AF1737" s="9"/>
      <c r="AG1737" s="9"/>
      <c r="AH1737" s="9"/>
      <c r="AI1737" s="9"/>
      <c r="AJ1737" s="9"/>
      <c r="AK1737" s="9"/>
      <c r="AL1737" s="9"/>
      <c r="AM1737" s="9"/>
      <c r="AN1737" s="9"/>
      <c r="AO1737" s="9"/>
      <c r="AP1737" s="9"/>
      <c r="AQ1737" s="9"/>
      <c r="AR1737" s="9"/>
      <c r="AS1737" s="9"/>
      <c r="AT1737" s="9"/>
      <c r="AU1737" s="9"/>
    </row>
    <row r="1738" spans="1:47" ht="15.75" customHeight="1">
      <c r="A1738" s="9"/>
      <c r="B1738" s="9"/>
      <c r="C1738" s="9"/>
      <c r="D1738" s="9"/>
      <c r="E1738" s="9"/>
      <c r="F1738" s="67"/>
      <c r="G1738" s="9"/>
      <c r="H1738" s="9"/>
      <c r="I1738" s="9"/>
      <c r="J1738" s="9"/>
      <c r="K1738" s="9"/>
      <c r="L1738" s="9"/>
      <c r="M1738" s="9"/>
      <c r="N1738" s="9"/>
      <c r="O1738" s="9"/>
      <c r="P1738" s="9"/>
      <c r="Q1738" s="9"/>
      <c r="R1738" s="9"/>
      <c r="S1738" s="9"/>
      <c r="T1738" s="9"/>
      <c r="U1738" s="9"/>
      <c r="V1738" s="9"/>
      <c r="W1738" s="9"/>
      <c r="X1738" s="9"/>
      <c r="Y1738" s="9"/>
      <c r="Z1738" s="9"/>
      <c r="AA1738" s="9"/>
      <c r="AB1738" s="9"/>
      <c r="AC1738" s="9"/>
      <c r="AD1738" s="9"/>
      <c r="AE1738" s="9"/>
      <c r="AF1738" s="9"/>
      <c r="AG1738" s="9"/>
      <c r="AH1738" s="9"/>
      <c r="AI1738" s="9"/>
      <c r="AJ1738" s="9"/>
      <c r="AK1738" s="9"/>
      <c r="AL1738" s="9"/>
      <c r="AM1738" s="9"/>
      <c r="AN1738" s="9"/>
      <c r="AO1738" s="9"/>
      <c r="AP1738" s="9"/>
      <c r="AQ1738" s="9"/>
      <c r="AR1738" s="9"/>
      <c r="AS1738" s="9"/>
      <c r="AT1738" s="9"/>
      <c r="AU1738" s="9"/>
    </row>
    <row r="1739" spans="1:47" ht="15.75" customHeight="1">
      <c r="A1739" s="9"/>
      <c r="B1739" s="9"/>
      <c r="C1739" s="9"/>
      <c r="D1739" s="9"/>
      <c r="E1739" s="9"/>
      <c r="F1739" s="67"/>
      <c r="G1739" s="9"/>
      <c r="H1739" s="9"/>
      <c r="I1739" s="9"/>
      <c r="J1739" s="9"/>
      <c r="K1739" s="9"/>
      <c r="L1739" s="9"/>
      <c r="M1739" s="9"/>
      <c r="N1739" s="9"/>
      <c r="O1739" s="9"/>
      <c r="P1739" s="9"/>
      <c r="Q1739" s="9"/>
      <c r="R1739" s="9"/>
      <c r="S1739" s="9"/>
      <c r="T1739" s="9"/>
      <c r="U1739" s="9"/>
      <c r="V1739" s="9"/>
      <c r="W1739" s="9"/>
      <c r="X1739" s="9"/>
      <c r="Y1739" s="9"/>
      <c r="Z1739" s="9"/>
      <c r="AA1739" s="9"/>
      <c r="AB1739" s="9"/>
      <c r="AC1739" s="9"/>
      <c r="AD1739" s="9"/>
      <c r="AE1739" s="9"/>
      <c r="AF1739" s="9"/>
      <c r="AG1739" s="9"/>
      <c r="AH1739" s="9"/>
      <c r="AI1739" s="9"/>
      <c r="AJ1739" s="9"/>
      <c r="AK1739" s="9"/>
      <c r="AL1739" s="9"/>
      <c r="AM1739" s="9"/>
      <c r="AN1739" s="9"/>
      <c r="AO1739" s="9"/>
      <c r="AP1739" s="9"/>
      <c r="AQ1739" s="9"/>
      <c r="AR1739" s="9"/>
      <c r="AS1739" s="9"/>
      <c r="AT1739" s="9"/>
      <c r="AU1739" s="9"/>
    </row>
    <row r="1740" spans="1:47" ht="15.75" customHeight="1">
      <c r="A1740" s="9"/>
      <c r="B1740" s="9"/>
      <c r="C1740" s="9"/>
      <c r="D1740" s="9"/>
      <c r="E1740" s="9"/>
      <c r="F1740" s="67"/>
      <c r="G1740" s="9"/>
      <c r="H1740" s="9"/>
      <c r="I1740" s="9"/>
      <c r="J1740" s="9"/>
      <c r="K1740" s="9"/>
      <c r="L1740" s="9"/>
      <c r="M1740" s="9"/>
      <c r="N1740" s="9"/>
      <c r="O1740" s="9"/>
      <c r="P1740" s="9"/>
      <c r="Q1740" s="9"/>
      <c r="R1740" s="9"/>
      <c r="S1740" s="9"/>
      <c r="T1740" s="9"/>
      <c r="U1740" s="9"/>
      <c r="V1740" s="9"/>
      <c r="W1740" s="9"/>
      <c r="X1740" s="9"/>
      <c r="Y1740" s="9"/>
      <c r="Z1740" s="9"/>
      <c r="AA1740" s="9"/>
      <c r="AB1740" s="9"/>
      <c r="AC1740" s="9"/>
      <c r="AD1740" s="9"/>
      <c r="AE1740" s="9"/>
      <c r="AF1740" s="9"/>
      <c r="AG1740" s="9"/>
      <c r="AH1740" s="9"/>
      <c r="AI1740" s="9"/>
      <c r="AJ1740" s="9"/>
      <c r="AK1740" s="9"/>
      <c r="AL1740" s="9"/>
      <c r="AM1740" s="9"/>
      <c r="AN1740" s="9"/>
      <c r="AO1740" s="9"/>
      <c r="AP1740" s="9"/>
      <c r="AQ1740" s="9"/>
      <c r="AR1740" s="9"/>
      <c r="AS1740" s="9"/>
      <c r="AT1740" s="9"/>
      <c r="AU1740" s="9"/>
    </row>
    <row r="1741" spans="1:47" ht="15.75" customHeight="1">
      <c r="A1741" s="9"/>
      <c r="B1741" s="9"/>
      <c r="C1741" s="9"/>
      <c r="D1741" s="9"/>
      <c r="E1741" s="9"/>
      <c r="F1741" s="67"/>
      <c r="G1741" s="9"/>
      <c r="H1741" s="9"/>
      <c r="I1741" s="9"/>
      <c r="J1741" s="9"/>
      <c r="K1741" s="9"/>
      <c r="L1741" s="9"/>
      <c r="M1741" s="9"/>
      <c r="N1741" s="9"/>
      <c r="O1741" s="9"/>
      <c r="P1741" s="9"/>
      <c r="Q1741" s="9"/>
      <c r="R1741" s="9"/>
      <c r="S1741" s="9"/>
      <c r="T1741" s="9"/>
      <c r="U1741" s="9"/>
      <c r="V1741" s="9"/>
      <c r="W1741" s="9"/>
      <c r="X1741" s="9"/>
      <c r="Y1741" s="9"/>
      <c r="Z1741" s="9"/>
      <c r="AA1741" s="9"/>
      <c r="AB1741" s="9"/>
      <c r="AC1741" s="9"/>
      <c r="AD1741" s="9"/>
      <c r="AE1741" s="9"/>
      <c r="AF1741" s="9"/>
      <c r="AG1741" s="9"/>
      <c r="AH1741" s="9"/>
      <c r="AI1741" s="9"/>
      <c r="AJ1741" s="9"/>
      <c r="AK1741" s="9"/>
      <c r="AL1741" s="9"/>
      <c r="AM1741" s="9"/>
      <c r="AN1741" s="9"/>
      <c r="AO1741" s="9"/>
      <c r="AP1741" s="9"/>
      <c r="AQ1741" s="9"/>
      <c r="AR1741" s="9"/>
      <c r="AS1741" s="9"/>
      <c r="AT1741" s="9"/>
      <c r="AU1741" s="9"/>
    </row>
    <row r="1742" spans="1:47" ht="15.75" customHeight="1">
      <c r="A1742" s="9"/>
      <c r="B1742" s="9"/>
      <c r="C1742" s="9"/>
      <c r="D1742" s="9"/>
      <c r="E1742" s="9"/>
      <c r="F1742" s="67"/>
      <c r="G1742" s="9"/>
      <c r="H1742" s="9"/>
      <c r="I1742" s="9"/>
      <c r="J1742" s="9"/>
      <c r="K1742" s="9"/>
      <c r="L1742" s="9"/>
      <c r="M1742" s="9"/>
      <c r="N1742" s="9"/>
      <c r="O1742" s="9"/>
      <c r="P1742" s="9"/>
      <c r="Q1742" s="9"/>
      <c r="R1742" s="9"/>
      <c r="S1742" s="9"/>
      <c r="T1742" s="9"/>
      <c r="U1742" s="9"/>
      <c r="V1742" s="9"/>
      <c r="W1742" s="9"/>
      <c r="X1742" s="9"/>
      <c r="Y1742" s="9"/>
      <c r="Z1742" s="9"/>
      <c r="AA1742" s="9"/>
      <c r="AB1742" s="9"/>
      <c r="AC1742" s="9"/>
      <c r="AD1742" s="9"/>
      <c r="AE1742" s="9"/>
      <c r="AF1742" s="9"/>
      <c r="AG1742" s="9"/>
      <c r="AH1742" s="9"/>
      <c r="AI1742" s="9"/>
      <c r="AJ1742" s="9"/>
      <c r="AK1742" s="9"/>
      <c r="AL1742" s="9"/>
      <c r="AM1742" s="9"/>
      <c r="AN1742" s="9"/>
      <c r="AO1742" s="9"/>
      <c r="AP1742" s="9"/>
      <c r="AQ1742" s="9"/>
      <c r="AR1742" s="9"/>
      <c r="AS1742" s="9"/>
      <c r="AT1742" s="9"/>
      <c r="AU1742" s="9"/>
    </row>
    <row r="1743" spans="1:47" ht="15.75" customHeight="1">
      <c r="A1743" s="9"/>
      <c r="B1743" s="9"/>
      <c r="C1743" s="9"/>
      <c r="D1743" s="9"/>
      <c r="E1743" s="9"/>
      <c r="F1743" s="67"/>
      <c r="G1743" s="9"/>
      <c r="H1743" s="9"/>
      <c r="I1743" s="9"/>
      <c r="J1743" s="9"/>
      <c r="K1743" s="9"/>
      <c r="L1743" s="9"/>
      <c r="M1743" s="9"/>
      <c r="N1743" s="9"/>
      <c r="O1743" s="9"/>
      <c r="P1743" s="9"/>
      <c r="Q1743" s="9"/>
      <c r="R1743" s="9"/>
      <c r="S1743" s="9"/>
      <c r="T1743" s="9"/>
      <c r="U1743" s="9"/>
      <c r="V1743" s="9"/>
      <c r="W1743" s="9"/>
      <c r="X1743" s="9"/>
      <c r="Y1743" s="9"/>
      <c r="Z1743" s="9"/>
      <c r="AA1743" s="9"/>
      <c r="AB1743" s="9"/>
      <c r="AC1743" s="9"/>
      <c r="AD1743" s="9"/>
      <c r="AE1743" s="9"/>
      <c r="AF1743" s="9"/>
      <c r="AG1743" s="9"/>
      <c r="AH1743" s="9"/>
      <c r="AI1743" s="9"/>
      <c r="AJ1743" s="9"/>
      <c r="AK1743" s="9"/>
      <c r="AL1743" s="9"/>
      <c r="AM1743" s="9"/>
      <c r="AN1743" s="9"/>
      <c r="AO1743" s="9"/>
      <c r="AP1743" s="9"/>
      <c r="AQ1743" s="9"/>
      <c r="AR1743" s="9"/>
      <c r="AS1743" s="9"/>
      <c r="AT1743" s="9"/>
      <c r="AU1743" s="9"/>
    </row>
    <row r="1744" spans="1:47" ht="15.75" customHeight="1">
      <c r="A1744" s="9"/>
      <c r="B1744" s="9"/>
      <c r="C1744" s="9"/>
      <c r="D1744" s="9"/>
      <c r="E1744" s="9"/>
      <c r="F1744" s="67"/>
      <c r="G1744" s="9"/>
      <c r="H1744" s="9"/>
      <c r="I1744" s="9"/>
      <c r="J1744" s="9"/>
      <c r="K1744" s="9"/>
      <c r="L1744" s="9"/>
      <c r="M1744" s="9"/>
      <c r="N1744" s="9"/>
      <c r="O1744" s="9"/>
      <c r="P1744" s="9"/>
      <c r="Q1744" s="9"/>
      <c r="R1744" s="9"/>
      <c r="S1744" s="9"/>
      <c r="T1744" s="9"/>
      <c r="U1744" s="9"/>
      <c r="V1744" s="9"/>
      <c r="W1744" s="9"/>
      <c r="X1744" s="9"/>
      <c r="Y1744" s="9"/>
      <c r="Z1744" s="9"/>
      <c r="AA1744" s="9"/>
      <c r="AB1744" s="9"/>
      <c r="AC1744" s="9"/>
      <c r="AD1744" s="9"/>
      <c r="AE1744" s="9"/>
      <c r="AF1744" s="9"/>
      <c r="AG1744" s="9"/>
      <c r="AH1744" s="9"/>
      <c r="AI1744" s="9"/>
      <c r="AJ1744" s="9"/>
      <c r="AK1744" s="9"/>
      <c r="AL1744" s="9"/>
      <c r="AM1744" s="9"/>
      <c r="AN1744" s="9"/>
      <c r="AO1744" s="9"/>
      <c r="AP1744" s="9"/>
      <c r="AQ1744" s="9"/>
      <c r="AR1744" s="9"/>
      <c r="AS1744" s="9"/>
      <c r="AT1744" s="9"/>
      <c r="AU1744" s="9"/>
    </row>
    <row r="1745" spans="1:47" ht="15.75" customHeight="1">
      <c r="A1745" s="9"/>
      <c r="B1745" s="9"/>
      <c r="C1745" s="9"/>
      <c r="D1745" s="9"/>
      <c r="E1745" s="9"/>
      <c r="F1745" s="67"/>
      <c r="G1745" s="9"/>
      <c r="H1745" s="9"/>
      <c r="I1745" s="9"/>
      <c r="J1745" s="9"/>
      <c r="K1745" s="9"/>
      <c r="L1745" s="9"/>
      <c r="M1745" s="9"/>
      <c r="N1745" s="9"/>
      <c r="O1745" s="9"/>
      <c r="P1745" s="9"/>
      <c r="Q1745" s="9"/>
      <c r="R1745" s="9"/>
      <c r="S1745" s="9"/>
      <c r="T1745" s="9"/>
      <c r="U1745" s="9"/>
      <c r="V1745" s="9"/>
      <c r="W1745" s="9"/>
      <c r="X1745" s="9"/>
      <c r="Y1745" s="9"/>
      <c r="Z1745" s="9"/>
      <c r="AA1745" s="9"/>
      <c r="AB1745" s="9"/>
      <c r="AC1745" s="9"/>
      <c r="AD1745" s="9"/>
      <c r="AE1745" s="9"/>
      <c r="AF1745" s="9"/>
      <c r="AG1745" s="9"/>
      <c r="AH1745" s="9"/>
      <c r="AI1745" s="9"/>
      <c r="AJ1745" s="9"/>
      <c r="AK1745" s="9"/>
      <c r="AL1745" s="9"/>
      <c r="AM1745" s="9"/>
      <c r="AN1745" s="9"/>
      <c r="AO1745" s="9"/>
      <c r="AP1745" s="9"/>
      <c r="AQ1745" s="9"/>
      <c r="AR1745" s="9"/>
      <c r="AS1745" s="9"/>
      <c r="AT1745" s="9"/>
      <c r="AU1745" s="9"/>
    </row>
    <row r="1746" spans="1:47" ht="15.75" customHeight="1">
      <c r="A1746" s="9"/>
      <c r="B1746" s="9"/>
      <c r="C1746" s="9"/>
      <c r="D1746" s="9"/>
      <c r="E1746" s="9"/>
      <c r="F1746" s="67"/>
      <c r="G1746" s="9"/>
      <c r="H1746" s="9"/>
      <c r="I1746" s="9"/>
      <c r="J1746" s="9"/>
      <c r="K1746" s="9"/>
      <c r="L1746" s="9"/>
      <c r="M1746" s="9"/>
      <c r="N1746" s="9"/>
      <c r="O1746" s="9"/>
      <c r="P1746" s="9"/>
      <c r="Q1746" s="9"/>
      <c r="R1746" s="9"/>
      <c r="S1746" s="9"/>
      <c r="T1746" s="9"/>
      <c r="U1746" s="9"/>
      <c r="V1746" s="9"/>
      <c r="W1746" s="9"/>
      <c r="X1746" s="9"/>
      <c r="Y1746" s="9"/>
      <c r="Z1746" s="9"/>
      <c r="AA1746" s="9"/>
      <c r="AB1746" s="9"/>
      <c r="AC1746" s="9"/>
      <c r="AD1746" s="9"/>
      <c r="AE1746" s="9"/>
      <c r="AF1746" s="9"/>
      <c r="AG1746" s="9"/>
      <c r="AH1746" s="9"/>
      <c r="AI1746" s="9"/>
      <c r="AJ1746" s="9"/>
      <c r="AK1746" s="9"/>
      <c r="AL1746" s="9"/>
      <c r="AM1746" s="9"/>
      <c r="AN1746" s="9"/>
      <c r="AO1746" s="9"/>
      <c r="AP1746" s="9"/>
      <c r="AQ1746" s="9"/>
      <c r="AR1746" s="9"/>
      <c r="AS1746" s="9"/>
      <c r="AT1746" s="9"/>
      <c r="AU1746" s="9"/>
    </row>
    <row r="1747" spans="1:47" ht="15.75" customHeight="1">
      <c r="A1747" s="9"/>
      <c r="B1747" s="9"/>
      <c r="C1747" s="9"/>
      <c r="D1747" s="9"/>
      <c r="E1747" s="9"/>
      <c r="F1747" s="67"/>
      <c r="G1747" s="9"/>
      <c r="H1747" s="9"/>
      <c r="I1747" s="9"/>
      <c r="J1747" s="9"/>
      <c r="K1747" s="9"/>
      <c r="L1747" s="9"/>
      <c r="M1747" s="9"/>
      <c r="N1747" s="9"/>
      <c r="O1747" s="9"/>
      <c r="P1747" s="9"/>
      <c r="Q1747" s="9"/>
      <c r="R1747" s="9"/>
      <c r="S1747" s="9"/>
      <c r="T1747" s="9"/>
      <c r="U1747" s="9"/>
      <c r="V1747" s="9"/>
      <c r="W1747" s="9"/>
      <c r="X1747" s="9"/>
      <c r="Y1747" s="9"/>
      <c r="Z1747" s="9"/>
      <c r="AA1747" s="9"/>
      <c r="AB1747" s="9"/>
      <c r="AC1747" s="9"/>
      <c r="AD1747" s="9"/>
      <c r="AE1747" s="9"/>
      <c r="AF1747" s="9"/>
      <c r="AG1747" s="9"/>
      <c r="AH1747" s="9"/>
      <c r="AI1747" s="9"/>
      <c r="AJ1747" s="9"/>
      <c r="AK1747" s="9"/>
      <c r="AL1747" s="9"/>
      <c r="AM1747" s="9"/>
      <c r="AN1747" s="9"/>
      <c r="AO1747" s="9"/>
      <c r="AP1747" s="9"/>
      <c r="AQ1747" s="9"/>
      <c r="AR1747" s="9"/>
      <c r="AS1747" s="9"/>
      <c r="AT1747" s="9"/>
      <c r="AU1747" s="9"/>
    </row>
    <row r="1748" spans="1:47" ht="15.75" customHeight="1">
      <c r="A1748" s="9"/>
      <c r="B1748" s="9"/>
      <c r="C1748" s="9"/>
      <c r="D1748" s="9"/>
      <c r="E1748" s="9"/>
      <c r="F1748" s="67"/>
      <c r="G1748" s="9"/>
      <c r="H1748" s="9"/>
      <c r="I1748" s="9"/>
      <c r="J1748" s="9"/>
      <c r="K1748" s="9"/>
      <c r="L1748" s="9"/>
      <c r="M1748" s="9"/>
      <c r="N1748" s="9"/>
      <c r="O1748" s="9"/>
      <c r="P1748" s="9"/>
      <c r="Q1748" s="9"/>
      <c r="R1748" s="9"/>
      <c r="S1748" s="9"/>
      <c r="T1748" s="9"/>
      <c r="U1748" s="9"/>
      <c r="V1748" s="9"/>
      <c r="W1748" s="9"/>
      <c r="X1748" s="9"/>
      <c r="Y1748" s="9"/>
      <c r="Z1748" s="9"/>
      <c r="AA1748" s="9"/>
      <c r="AB1748" s="9"/>
      <c r="AC1748" s="9"/>
      <c r="AD1748" s="9"/>
      <c r="AE1748" s="9"/>
      <c r="AF1748" s="9"/>
      <c r="AG1748" s="9"/>
      <c r="AH1748" s="9"/>
      <c r="AI1748" s="9"/>
      <c r="AJ1748" s="9"/>
      <c r="AK1748" s="9"/>
      <c r="AL1748" s="9"/>
      <c r="AM1748" s="9"/>
      <c r="AN1748" s="9"/>
      <c r="AO1748" s="9"/>
      <c r="AP1748" s="9"/>
      <c r="AQ1748" s="9"/>
      <c r="AR1748" s="9"/>
      <c r="AS1748" s="9"/>
      <c r="AT1748" s="9"/>
      <c r="AU1748" s="9"/>
    </row>
    <row r="1749" spans="1:47" ht="15.75" customHeight="1">
      <c r="A1749" s="9"/>
      <c r="B1749" s="9"/>
      <c r="C1749" s="9"/>
      <c r="D1749" s="9"/>
      <c r="E1749" s="9"/>
      <c r="F1749" s="67"/>
      <c r="G1749" s="9"/>
      <c r="H1749" s="9"/>
      <c r="I1749" s="9"/>
      <c r="J1749" s="9"/>
      <c r="K1749" s="9"/>
      <c r="L1749" s="9"/>
      <c r="M1749" s="9"/>
      <c r="N1749" s="9"/>
      <c r="O1749" s="9"/>
      <c r="P1749" s="9"/>
      <c r="Q1749" s="9"/>
      <c r="R1749" s="9"/>
      <c r="S1749" s="9"/>
      <c r="T1749" s="9"/>
      <c r="U1749" s="9"/>
      <c r="V1749" s="9"/>
      <c r="W1749" s="9"/>
      <c r="X1749" s="9"/>
      <c r="Y1749" s="9"/>
      <c r="Z1749" s="9"/>
      <c r="AA1749" s="9"/>
      <c r="AB1749" s="9"/>
      <c r="AC1749" s="9"/>
      <c r="AD1749" s="9"/>
      <c r="AE1749" s="9"/>
      <c r="AF1749" s="9"/>
      <c r="AG1749" s="9"/>
      <c r="AH1749" s="9"/>
      <c r="AI1749" s="9"/>
      <c r="AJ1749" s="9"/>
      <c r="AK1749" s="9"/>
      <c r="AL1749" s="9"/>
      <c r="AM1749" s="9"/>
      <c r="AN1749" s="9"/>
      <c r="AO1749" s="9"/>
      <c r="AP1749" s="9"/>
      <c r="AQ1749" s="9"/>
      <c r="AR1749" s="9"/>
      <c r="AS1749" s="9"/>
      <c r="AT1749" s="9"/>
      <c r="AU1749" s="9"/>
    </row>
    <row r="1750" spans="1:47" ht="15.75" customHeight="1">
      <c r="A1750" s="9"/>
      <c r="B1750" s="9"/>
      <c r="C1750" s="9"/>
      <c r="D1750" s="9"/>
      <c r="E1750" s="9"/>
      <c r="F1750" s="67"/>
      <c r="G1750" s="9"/>
      <c r="H1750" s="9"/>
      <c r="I1750" s="9"/>
      <c r="J1750" s="9"/>
      <c r="K1750" s="9"/>
      <c r="L1750" s="9"/>
      <c r="M1750" s="9"/>
      <c r="N1750" s="9"/>
      <c r="O1750" s="9"/>
      <c r="P1750" s="9"/>
      <c r="Q1750" s="9"/>
      <c r="R1750" s="9"/>
      <c r="S1750" s="9"/>
      <c r="T1750" s="9"/>
      <c r="U1750" s="9"/>
      <c r="V1750" s="9"/>
      <c r="W1750" s="9"/>
      <c r="X1750" s="9"/>
      <c r="Y1750" s="9"/>
      <c r="Z1750" s="9"/>
      <c r="AA1750" s="9"/>
      <c r="AB1750" s="9"/>
      <c r="AC1750" s="9"/>
      <c r="AD1750" s="9"/>
      <c r="AE1750" s="9"/>
      <c r="AF1750" s="9"/>
      <c r="AG1750" s="9"/>
      <c r="AH1750" s="9"/>
      <c r="AI1750" s="9"/>
      <c r="AJ1750" s="9"/>
      <c r="AK1750" s="9"/>
      <c r="AL1750" s="9"/>
      <c r="AM1750" s="9"/>
      <c r="AN1750" s="9"/>
      <c r="AO1750" s="9"/>
      <c r="AP1750" s="9"/>
      <c r="AQ1750" s="9"/>
      <c r="AR1750" s="9"/>
      <c r="AS1750" s="9"/>
      <c r="AT1750" s="9"/>
      <c r="AU1750" s="9"/>
    </row>
    <row r="1751" spans="1:47" ht="15.75" customHeight="1">
      <c r="A1751" s="9"/>
      <c r="B1751" s="9"/>
      <c r="C1751" s="9"/>
      <c r="D1751" s="9"/>
      <c r="E1751" s="9"/>
      <c r="F1751" s="67"/>
      <c r="G1751" s="9"/>
      <c r="H1751" s="9"/>
      <c r="I1751" s="9"/>
      <c r="J1751" s="9"/>
      <c r="K1751" s="9"/>
      <c r="L1751" s="9"/>
      <c r="M1751" s="9"/>
      <c r="N1751" s="9"/>
      <c r="O1751" s="9"/>
      <c r="P1751" s="9"/>
      <c r="Q1751" s="9"/>
      <c r="R1751" s="9"/>
      <c r="S1751" s="9"/>
      <c r="T1751" s="9"/>
      <c r="U1751" s="9"/>
      <c r="V1751" s="9"/>
      <c r="W1751" s="9"/>
      <c r="X1751" s="9"/>
      <c r="Y1751" s="9"/>
      <c r="Z1751" s="9"/>
      <c r="AA1751" s="9"/>
      <c r="AB1751" s="9"/>
      <c r="AC1751" s="9"/>
      <c r="AD1751" s="9"/>
      <c r="AE1751" s="9"/>
      <c r="AF1751" s="9"/>
      <c r="AG1751" s="9"/>
      <c r="AH1751" s="9"/>
      <c r="AI1751" s="9"/>
      <c r="AJ1751" s="9"/>
      <c r="AK1751" s="9"/>
      <c r="AL1751" s="9"/>
      <c r="AM1751" s="9"/>
      <c r="AN1751" s="9"/>
      <c r="AO1751" s="9"/>
      <c r="AP1751" s="9"/>
      <c r="AQ1751" s="9"/>
      <c r="AR1751" s="9"/>
      <c r="AS1751" s="9"/>
      <c r="AT1751" s="9"/>
      <c r="AU1751" s="9"/>
    </row>
    <row r="1752" spans="1:47" ht="15.75" customHeight="1">
      <c r="A1752" s="9"/>
      <c r="B1752" s="9"/>
      <c r="C1752" s="9"/>
      <c r="D1752" s="9"/>
      <c r="E1752" s="9"/>
      <c r="F1752" s="67"/>
      <c r="G1752" s="9"/>
      <c r="H1752" s="9"/>
      <c r="I1752" s="9"/>
      <c r="J1752" s="9"/>
      <c r="K1752" s="9"/>
      <c r="L1752" s="9"/>
      <c r="M1752" s="9"/>
      <c r="N1752" s="9"/>
      <c r="O1752" s="9"/>
      <c r="P1752" s="9"/>
      <c r="Q1752" s="9"/>
      <c r="R1752" s="9"/>
      <c r="S1752" s="9"/>
      <c r="T1752" s="9"/>
      <c r="U1752" s="9"/>
      <c r="V1752" s="9"/>
      <c r="W1752" s="9"/>
      <c r="X1752" s="9"/>
      <c r="Y1752" s="9"/>
      <c r="Z1752" s="9"/>
      <c r="AA1752" s="9"/>
      <c r="AB1752" s="9"/>
      <c r="AC1752" s="9"/>
      <c r="AD1752" s="9"/>
      <c r="AE1752" s="9"/>
      <c r="AF1752" s="9"/>
      <c r="AG1752" s="9"/>
      <c r="AH1752" s="9"/>
      <c r="AI1752" s="9"/>
      <c r="AJ1752" s="9"/>
      <c r="AK1752" s="9"/>
      <c r="AL1752" s="9"/>
      <c r="AM1752" s="9"/>
      <c r="AN1752" s="9"/>
      <c r="AO1752" s="9"/>
      <c r="AP1752" s="9"/>
      <c r="AQ1752" s="9"/>
      <c r="AR1752" s="9"/>
      <c r="AS1752" s="9"/>
      <c r="AT1752" s="9"/>
      <c r="AU1752" s="9"/>
    </row>
    <row r="1753" spans="1:47" ht="15.75" customHeight="1">
      <c r="A1753" s="9"/>
      <c r="B1753" s="9"/>
      <c r="C1753" s="9"/>
      <c r="D1753" s="9"/>
      <c r="E1753" s="9"/>
      <c r="F1753" s="67"/>
      <c r="G1753" s="9"/>
      <c r="H1753" s="9"/>
      <c r="I1753" s="9"/>
      <c r="J1753" s="9"/>
      <c r="K1753" s="9"/>
      <c r="L1753" s="9"/>
      <c r="M1753" s="9"/>
      <c r="N1753" s="9"/>
      <c r="O1753" s="9"/>
      <c r="P1753" s="9"/>
      <c r="Q1753" s="9"/>
      <c r="R1753" s="9"/>
      <c r="S1753" s="9"/>
      <c r="T1753" s="9"/>
      <c r="U1753" s="9"/>
      <c r="V1753" s="9"/>
      <c r="W1753" s="9"/>
      <c r="X1753" s="9"/>
      <c r="Y1753" s="9"/>
      <c r="Z1753" s="9"/>
      <c r="AA1753" s="9"/>
      <c r="AB1753" s="9"/>
      <c r="AC1753" s="9"/>
      <c r="AD1753" s="9"/>
      <c r="AE1753" s="9"/>
      <c r="AF1753" s="9"/>
      <c r="AG1753" s="9"/>
      <c r="AH1753" s="9"/>
      <c r="AI1753" s="9"/>
      <c r="AJ1753" s="9"/>
      <c r="AK1753" s="9"/>
      <c r="AL1753" s="9"/>
      <c r="AM1753" s="9"/>
      <c r="AN1753" s="9"/>
      <c r="AO1753" s="9"/>
      <c r="AP1753" s="9"/>
      <c r="AQ1753" s="9"/>
      <c r="AR1753" s="9"/>
      <c r="AS1753" s="9"/>
      <c r="AT1753" s="9"/>
      <c r="AU1753" s="9"/>
    </row>
    <row r="1754" spans="1:47" ht="15.75" customHeight="1">
      <c r="A1754" s="9"/>
      <c r="B1754" s="9"/>
      <c r="C1754" s="9"/>
      <c r="D1754" s="9"/>
      <c r="E1754" s="9"/>
      <c r="F1754" s="67"/>
      <c r="G1754" s="9"/>
      <c r="H1754" s="9"/>
      <c r="I1754" s="9"/>
      <c r="J1754" s="9"/>
      <c r="K1754" s="9"/>
      <c r="L1754" s="9"/>
      <c r="M1754" s="9"/>
      <c r="N1754" s="9"/>
      <c r="O1754" s="9"/>
      <c r="P1754" s="9"/>
      <c r="Q1754" s="9"/>
      <c r="R1754" s="9"/>
      <c r="S1754" s="9"/>
      <c r="T1754" s="9"/>
      <c r="U1754" s="9"/>
      <c r="V1754" s="9"/>
      <c r="W1754" s="9"/>
      <c r="X1754" s="9"/>
      <c r="Y1754" s="9"/>
      <c r="Z1754" s="9"/>
      <c r="AA1754" s="9"/>
      <c r="AB1754" s="9"/>
      <c r="AC1754" s="9"/>
      <c r="AD1754" s="9"/>
      <c r="AE1754" s="9"/>
      <c r="AF1754" s="9"/>
      <c r="AG1754" s="9"/>
      <c r="AH1754" s="9"/>
      <c r="AI1754" s="9"/>
      <c r="AJ1754" s="9"/>
      <c r="AK1754" s="9"/>
      <c r="AL1754" s="9"/>
      <c r="AM1754" s="9"/>
      <c r="AN1754" s="9"/>
      <c r="AO1754" s="9"/>
      <c r="AP1754" s="9"/>
      <c r="AQ1754" s="9"/>
      <c r="AR1754" s="9"/>
      <c r="AS1754" s="9"/>
      <c r="AT1754" s="9"/>
      <c r="AU1754" s="9"/>
    </row>
    <row r="1755" spans="1:47" ht="15.75" customHeight="1">
      <c r="A1755" s="9"/>
      <c r="B1755" s="9"/>
      <c r="C1755" s="9"/>
      <c r="D1755" s="9"/>
      <c r="E1755" s="9"/>
      <c r="F1755" s="67"/>
      <c r="G1755" s="9"/>
      <c r="H1755" s="9"/>
      <c r="I1755" s="9"/>
      <c r="J1755" s="9"/>
      <c r="K1755" s="9"/>
      <c r="L1755" s="9"/>
      <c r="M1755" s="9"/>
      <c r="N1755" s="9"/>
      <c r="O1755" s="9"/>
      <c r="P1755" s="9"/>
      <c r="Q1755" s="9"/>
      <c r="R1755" s="9"/>
      <c r="S1755" s="9"/>
      <c r="T1755" s="9"/>
      <c r="U1755" s="9"/>
      <c r="V1755" s="9"/>
      <c r="W1755" s="9"/>
      <c r="X1755" s="9"/>
      <c r="Y1755" s="9"/>
      <c r="Z1755" s="9"/>
      <c r="AA1755" s="9"/>
      <c r="AB1755" s="9"/>
      <c r="AC1755" s="9"/>
      <c r="AD1755" s="9"/>
      <c r="AE1755" s="9"/>
      <c r="AF1755" s="9"/>
      <c r="AG1755" s="9"/>
      <c r="AH1755" s="9"/>
      <c r="AI1755" s="9"/>
      <c r="AJ1755" s="9"/>
      <c r="AK1755" s="9"/>
      <c r="AL1755" s="9"/>
      <c r="AM1755" s="9"/>
      <c r="AN1755" s="9"/>
      <c r="AO1755" s="9"/>
      <c r="AP1755" s="9"/>
      <c r="AQ1755" s="9"/>
      <c r="AR1755" s="9"/>
      <c r="AS1755" s="9"/>
      <c r="AT1755" s="9"/>
      <c r="AU1755" s="9"/>
    </row>
    <row r="1756" spans="1:47" ht="15.75" customHeight="1">
      <c r="A1756" s="9"/>
      <c r="B1756" s="9"/>
      <c r="C1756" s="9"/>
      <c r="D1756" s="9"/>
      <c r="E1756" s="9"/>
      <c r="F1756" s="67"/>
      <c r="G1756" s="9"/>
      <c r="H1756" s="9"/>
      <c r="I1756" s="9"/>
      <c r="J1756" s="9"/>
      <c r="K1756" s="9"/>
      <c r="L1756" s="9"/>
      <c r="M1756" s="9"/>
      <c r="N1756" s="9"/>
      <c r="O1756" s="9"/>
      <c r="P1756" s="9"/>
      <c r="Q1756" s="9"/>
      <c r="R1756" s="9"/>
      <c r="S1756" s="9"/>
      <c r="T1756" s="9"/>
      <c r="U1756" s="9"/>
      <c r="V1756" s="9"/>
      <c r="W1756" s="9"/>
      <c r="X1756" s="9"/>
      <c r="Y1756" s="9"/>
      <c r="Z1756" s="9"/>
      <c r="AA1756" s="9"/>
      <c r="AB1756" s="9"/>
      <c r="AC1756" s="9"/>
      <c r="AD1756" s="9"/>
      <c r="AE1756" s="9"/>
      <c r="AF1756" s="9"/>
      <c r="AG1756" s="9"/>
      <c r="AH1756" s="9"/>
      <c r="AI1756" s="9"/>
      <c r="AJ1756" s="9"/>
      <c r="AK1756" s="9"/>
      <c r="AL1756" s="9"/>
      <c r="AM1756" s="9"/>
      <c r="AN1756" s="9"/>
      <c r="AO1756" s="9"/>
      <c r="AP1756" s="9"/>
      <c r="AQ1756" s="9"/>
      <c r="AR1756" s="9"/>
      <c r="AS1756" s="9"/>
      <c r="AT1756" s="9"/>
      <c r="AU1756" s="9"/>
    </row>
    <row r="1757" spans="1:47" ht="15.75" customHeight="1">
      <c r="A1757" s="9"/>
      <c r="B1757" s="9"/>
      <c r="C1757" s="9"/>
      <c r="D1757" s="9"/>
      <c r="E1757" s="9"/>
      <c r="F1757" s="67"/>
      <c r="G1757" s="9"/>
      <c r="H1757" s="9"/>
      <c r="I1757" s="9"/>
      <c r="J1757" s="9"/>
      <c r="K1757" s="9"/>
      <c r="L1757" s="9"/>
      <c r="M1757" s="9"/>
      <c r="N1757" s="9"/>
      <c r="O1757" s="9"/>
      <c r="P1757" s="9"/>
      <c r="Q1757" s="9"/>
      <c r="R1757" s="9"/>
      <c r="S1757" s="9"/>
      <c r="T1757" s="9"/>
      <c r="U1757" s="9"/>
      <c r="V1757" s="9"/>
      <c r="W1757" s="9"/>
      <c r="X1757" s="9"/>
      <c r="Y1757" s="9"/>
      <c r="Z1757" s="9"/>
      <c r="AA1757" s="9"/>
      <c r="AB1757" s="9"/>
      <c r="AC1757" s="9"/>
      <c r="AD1757" s="9"/>
      <c r="AE1757" s="9"/>
      <c r="AF1757" s="9"/>
      <c r="AG1757" s="9"/>
      <c r="AH1757" s="9"/>
      <c r="AI1757" s="9"/>
      <c r="AJ1757" s="9"/>
      <c r="AK1757" s="9"/>
      <c r="AL1757" s="9"/>
      <c r="AM1757" s="9"/>
      <c r="AN1757" s="9"/>
      <c r="AO1757" s="9"/>
      <c r="AP1757" s="9"/>
      <c r="AQ1757" s="9"/>
      <c r="AR1757" s="9"/>
      <c r="AS1757" s="9"/>
      <c r="AT1757" s="9"/>
      <c r="AU1757" s="9"/>
    </row>
    <row r="1758" spans="1:47" ht="15.75" customHeight="1">
      <c r="A1758" s="9"/>
      <c r="B1758" s="9"/>
      <c r="C1758" s="9"/>
      <c r="D1758" s="9"/>
      <c r="E1758" s="9"/>
      <c r="F1758" s="67"/>
      <c r="G1758" s="9"/>
      <c r="H1758" s="9"/>
      <c r="I1758" s="9"/>
      <c r="J1758" s="9"/>
      <c r="K1758" s="9"/>
      <c r="L1758" s="9"/>
      <c r="M1758" s="9"/>
      <c r="N1758" s="9"/>
      <c r="O1758" s="9"/>
      <c r="P1758" s="9"/>
      <c r="Q1758" s="9"/>
      <c r="R1758" s="9"/>
      <c r="S1758" s="9"/>
      <c r="T1758" s="9"/>
      <c r="U1758" s="9"/>
      <c r="V1758" s="9"/>
      <c r="W1758" s="9"/>
      <c r="X1758" s="9"/>
      <c r="Y1758" s="9"/>
      <c r="Z1758" s="9"/>
      <c r="AA1758" s="9"/>
      <c r="AB1758" s="9"/>
      <c r="AC1758" s="9"/>
      <c r="AD1758" s="9"/>
      <c r="AE1758" s="9"/>
      <c r="AF1758" s="9"/>
      <c r="AG1758" s="9"/>
      <c r="AH1758" s="9"/>
      <c r="AI1758" s="9"/>
      <c r="AJ1758" s="9"/>
      <c r="AK1758" s="9"/>
      <c r="AL1758" s="9"/>
      <c r="AM1758" s="9"/>
      <c r="AN1758" s="9"/>
      <c r="AO1758" s="9"/>
      <c r="AP1758" s="9"/>
      <c r="AQ1758" s="9"/>
      <c r="AR1758" s="9"/>
      <c r="AS1758" s="9"/>
      <c r="AT1758" s="9"/>
      <c r="AU1758" s="9"/>
    </row>
    <row r="1759" spans="1:47" ht="15.75" customHeight="1">
      <c r="A1759" s="9"/>
      <c r="B1759" s="9"/>
      <c r="C1759" s="9"/>
      <c r="D1759" s="9"/>
      <c r="E1759" s="9"/>
      <c r="F1759" s="67"/>
      <c r="G1759" s="9"/>
      <c r="H1759" s="9"/>
      <c r="I1759" s="9"/>
      <c r="J1759" s="9"/>
      <c r="K1759" s="9"/>
      <c r="L1759" s="9"/>
      <c r="M1759" s="9"/>
      <c r="N1759" s="9"/>
      <c r="O1759" s="9"/>
      <c r="P1759" s="9"/>
      <c r="Q1759" s="9"/>
      <c r="R1759" s="9"/>
      <c r="S1759" s="9"/>
      <c r="T1759" s="9"/>
      <c r="U1759" s="9"/>
      <c r="V1759" s="9"/>
      <c r="W1759" s="9"/>
      <c r="X1759" s="9"/>
      <c r="Y1759" s="9"/>
      <c r="Z1759" s="9"/>
      <c r="AA1759" s="9"/>
      <c r="AB1759" s="9"/>
      <c r="AC1759" s="9"/>
      <c r="AD1759" s="9"/>
      <c r="AE1759" s="9"/>
      <c r="AF1759" s="9"/>
      <c r="AG1759" s="9"/>
      <c r="AH1759" s="9"/>
      <c r="AI1759" s="9"/>
      <c r="AJ1759" s="9"/>
      <c r="AK1759" s="9"/>
      <c r="AL1759" s="9"/>
      <c r="AM1759" s="9"/>
      <c r="AN1759" s="9"/>
      <c r="AO1759" s="9"/>
      <c r="AP1759" s="9"/>
      <c r="AQ1759" s="9"/>
      <c r="AR1759" s="9"/>
      <c r="AS1759" s="9"/>
      <c r="AT1759" s="9"/>
      <c r="AU1759" s="9"/>
    </row>
    <row r="1760" spans="1:47" ht="15.75" customHeight="1">
      <c r="A1760" s="9"/>
      <c r="B1760" s="9"/>
      <c r="C1760" s="9"/>
      <c r="D1760" s="9"/>
      <c r="E1760" s="9"/>
      <c r="F1760" s="67"/>
      <c r="G1760" s="9"/>
      <c r="H1760" s="9"/>
      <c r="I1760" s="9"/>
      <c r="J1760" s="9"/>
      <c r="K1760" s="9"/>
      <c r="L1760" s="9"/>
      <c r="M1760" s="9"/>
      <c r="N1760" s="9"/>
      <c r="O1760" s="9"/>
      <c r="P1760" s="9"/>
      <c r="Q1760" s="9"/>
      <c r="R1760" s="9"/>
      <c r="S1760" s="9"/>
      <c r="T1760" s="9"/>
      <c r="U1760" s="9"/>
      <c r="V1760" s="9"/>
      <c r="W1760" s="9"/>
      <c r="X1760" s="9"/>
      <c r="Y1760" s="9"/>
      <c r="Z1760" s="9"/>
      <c r="AA1760" s="9"/>
      <c r="AB1760" s="9"/>
      <c r="AC1760" s="9"/>
      <c r="AD1760" s="9"/>
      <c r="AE1760" s="9"/>
      <c r="AF1760" s="9"/>
      <c r="AG1760" s="9"/>
      <c r="AH1760" s="9"/>
      <c r="AI1760" s="9"/>
      <c r="AJ1760" s="9"/>
      <c r="AK1760" s="9"/>
      <c r="AL1760" s="9"/>
      <c r="AM1760" s="9"/>
      <c r="AN1760" s="9"/>
      <c r="AO1760" s="9"/>
      <c r="AP1760" s="9"/>
      <c r="AQ1760" s="9"/>
      <c r="AR1760" s="9"/>
      <c r="AS1760" s="9"/>
      <c r="AT1760" s="9"/>
      <c r="AU1760" s="9"/>
    </row>
    <row r="1761" spans="1:47" ht="15.75" customHeight="1">
      <c r="A1761" s="9"/>
      <c r="B1761" s="9"/>
      <c r="C1761" s="9"/>
      <c r="D1761" s="9"/>
      <c r="E1761" s="9"/>
      <c r="F1761" s="67"/>
      <c r="G1761" s="9"/>
      <c r="H1761" s="9"/>
      <c r="I1761" s="9"/>
      <c r="J1761" s="9"/>
      <c r="K1761" s="9"/>
      <c r="L1761" s="9"/>
      <c r="M1761" s="9"/>
      <c r="N1761" s="9"/>
      <c r="O1761" s="9"/>
      <c r="P1761" s="9"/>
      <c r="Q1761" s="9"/>
      <c r="R1761" s="9"/>
      <c r="S1761" s="9"/>
      <c r="T1761" s="9"/>
      <c r="U1761" s="9"/>
      <c r="V1761" s="9"/>
      <c r="W1761" s="9"/>
      <c r="X1761" s="9"/>
      <c r="Y1761" s="9"/>
      <c r="Z1761" s="9"/>
      <c r="AA1761" s="9"/>
      <c r="AB1761" s="9"/>
      <c r="AC1761" s="9"/>
      <c r="AD1761" s="9"/>
      <c r="AE1761" s="9"/>
      <c r="AF1761" s="9"/>
      <c r="AG1761" s="9"/>
      <c r="AH1761" s="9"/>
      <c r="AI1761" s="9"/>
      <c r="AJ1761" s="9"/>
      <c r="AK1761" s="9"/>
      <c r="AL1761" s="9"/>
      <c r="AM1761" s="9"/>
      <c r="AN1761" s="9"/>
      <c r="AO1761" s="9"/>
      <c r="AP1761" s="9"/>
      <c r="AQ1761" s="9"/>
      <c r="AR1761" s="9"/>
      <c r="AS1761" s="9"/>
      <c r="AT1761" s="9"/>
      <c r="AU1761" s="9"/>
    </row>
    <row r="1762" spans="1:47" ht="15.75" customHeight="1">
      <c r="A1762" s="9"/>
      <c r="B1762" s="9"/>
      <c r="C1762" s="9"/>
      <c r="D1762" s="9"/>
      <c r="E1762" s="9"/>
      <c r="F1762" s="67"/>
      <c r="G1762" s="9"/>
      <c r="H1762" s="9"/>
      <c r="I1762" s="9"/>
      <c r="J1762" s="9"/>
      <c r="K1762" s="9"/>
      <c r="L1762" s="9"/>
      <c r="M1762" s="9"/>
      <c r="N1762" s="9"/>
      <c r="O1762" s="9"/>
      <c r="P1762" s="9"/>
      <c r="Q1762" s="9"/>
      <c r="R1762" s="9"/>
      <c r="S1762" s="9"/>
      <c r="T1762" s="9"/>
      <c r="U1762" s="9"/>
      <c r="V1762" s="9"/>
      <c r="W1762" s="9"/>
      <c r="X1762" s="9"/>
      <c r="Y1762" s="9"/>
      <c r="Z1762" s="9"/>
      <c r="AA1762" s="9"/>
      <c r="AB1762" s="9"/>
      <c r="AC1762" s="9"/>
      <c r="AD1762" s="9"/>
      <c r="AE1762" s="9"/>
      <c r="AF1762" s="9"/>
      <c r="AG1762" s="9"/>
      <c r="AH1762" s="9"/>
      <c r="AI1762" s="9"/>
      <c r="AJ1762" s="9"/>
      <c r="AK1762" s="9"/>
      <c r="AL1762" s="9"/>
      <c r="AM1762" s="9"/>
      <c r="AN1762" s="9"/>
      <c r="AO1762" s="9"/>
      <c r="AP1762" s="9"/>
      <c r="AQ1762" s="9"/>
      <c r="AR1762" s="9"/>
      <c r="AS1762" s="9"/>
      <c r="AT1762" s="9"/>
      <c r="AU1762" s="9"/>
    </row>
    <row r="1763" spans="1:47" ht="15.75" customHeight="1">
      <c r="A1763" s="9"/>
      <c r="B1763" s="9"/>
      <c r="C1763" s="9"/>
      <c r="D1763" s="9"/>
      <c r="E1763" s="9"/>
      <c r="F1763" s="67"/>
      <c r="G1763" s="9"/>
      <c r="H1763" s="9"/>
      <c r="I1763" s="9"/>
      <c r="J1763" s="9"/>
      <c r="K1763" s="9"/>
      <c r="L1763" s="9"/>
      <c r="M1763" s="9"/>
      <c r="N1763" s="9"/>
      <c r="O1763" s="9"/>
      <c r="P1763" s="9"/>
      <c r="Q1763" s="9"/>
      <c r="R1763" s="9"/>
      <c r="S1763" s="9"/>
      <c r="T1763" s="9"/>
      <c r="U1763" s="9"/>
      <c r="V1763" s="9"/>
      <c r="W1763" s="9"/>
      <c r="X1763" s="9"/>
      <c r="Y1763" s="9"/>
      <c r="Z1763" s="9"/>
      <c r="AA1763" s="9"/>
      <c r="AB1763" s="9"/>
      <c r="AC1763" s="9"/>
      <c r="AD1763" s="9"/>
      <c r="AE1763" s="9"/>
      <c r="AF1763" s="9"/>
      <c r="AG1763" s="9"/>
      <c r="AH1763" s="9"/>
      <c r="AI1763" s="9"/>
      <c r="AJ1763" s="9"/>
      <c r="AK1763" s="9"/>
      <c r="AL1763" s="9"/>
      <c r="AM1763" s="9"/>
      <c r="AN1763" s="9"/>
      <c r="AO1763" s="9"/>
      <c r="AP1763" s="9"/>
      <c r="AQ1763" s="9"/>
      <c r="AR1763" s="9"/>
      <c r="AS1763" s="9"/>
      <c r="AT1763" s="9"/>
      <c r="AU1763" s="9"/>
    </row>
    <row r="1764" spans="1:47" ht="15.75" customHeight="1">
      <c r="A1764" s="9"/>
      <c r="B1764" s="9"/>
      <c r="C1764" s="9"/>
      <c r="D1764" s="9"/>
      <c r="E1764" s="9"/>
      <c r="F1764" s="67"/>
      <c r="G1764" s="9"/>
      <c r="H1764" s="9"/>
      <c r="I1764" s="9"/>
      <c r="J1764" s="9"/>
      <c r="K1764" s="9"/>
      <c r="L1764" s="9"/>
      <c r="M1764" s="9"/>
      <c r="N1764" s="9"/>
      <c r="O1764" s="9"/>
      <c r="P1764" s="9"/>
      <c r="Q1764" s="9"/>
      <c r="R1764" s="9"/>
      <c r="S1764" s="9"/>
      <c r="T1764" s="9"/>
      <c r="U1764" s="9"/>
      <c r="V1764" s="9"/>
      <c r="W1764" s="9"/>
      <c r="X1764" s="9"/>
      <c r="Y1764" s="9"/>
      <c r="Z1764" s="9"/>
      <c r="AA1764" s="9"/>
      <c r="AB1764" s="9"/>
      <c r="AC1764" s="9"/>
      <c r="AD1764" s="9"/>
      <c r="AE1764" s="9"/>
      <c r="AF1764" s="9"/>
      <c r="AG1764" s="9"/>
      <c r="AH1764" s="9"/>
      <c r="AI1764" s="9"/>
      <c r="AJ1764" s="9"/>
      <c r="AK1764" s="9"/>
      <c r="AL1764" s="9"/>
      <c r="AM1764" s="9"/>
      <c r="AN1764" s="9"/>
      <c r="AO1764" s="9"/>
      <c r="AP1764" s="9"/>
      <c r="AQ1764" s="9"/>
      <c r="AR1764" s="9"/>
      <c r="AS1764" s="9"/>
      <c r="AT1764" s="9"/>
      <c r="AU1764" s="9"/>
    </row>
    <row r="1765" spans="1:47" ht="15.75" customHeight="1">
      <c r="A1765" s="9"/>
      <c r="B1765" s="9"/>
      <c r="C1765" s="9"/>
      <c r="D1765" s="9"/>
      <c r="E1765" s="9"/>
      <c r="F1765" s="67"/>
      <c r="G1765" s="9"/>
      <c r="H1765" s="9"/>
      <c r="I1765" s="9"/>
      <c r="J1765" s="9"/>
      <c r="K1765" s="9"/>
      <c r="L1765" s="9"/>
      <c r="M1765" s="9"/>
      <c r="N1765" s="9"/>
      <c r="O1765" s="9"/>
      <c r="P1765" s="9"/>
      <c r="Q1765" s="9"/>
      <c r="R1765" s="9"/>
      <c r="S1765" s="9"/>
      <c r="T1765" s="9"/>
      <c r="U1765" s="9"/>
      <c r="V1765" s="9"/>
      <c r="W1765" s="9"/>
      <c r="X1765" s="9"/>
      <c r="Y1765" s="9"/>
      <c r="Z1765" s="9"/>
      <c r="AA1765" s="9"/>
      <c r="AB1765" s="9"/>
      <c r="AC1765" s="9"/>
      <c r="AD1765" s="9"/>
      <c r="AE1765" s="9"/>
      <c r="AF1765" s="9"/>
      <c r="AG1765" s="9"/>
      <c r="AH1765" s="9"/>
      <c r="AI1765" s="9"/>
      <c r="AJ1765" s="9"/>
      <c r="AK1765" s="9"/>
      <c r="AL1765" s="9"/>
      <c r="AM1765" s="9"/>
      <c r="AN1765" s="9"/>
      <c r="AO1765" s="9"/>
      <c r="AP1765" s="9"/>
      <c r="AQ1765" s="9"/>
      <c r="AR1765" s="9"/>
      <c r="AS1765" s="9"/>
      <c r="AT1765" s="9"/>
      <c r="AU1765" s="9"/>
    </row>
    <row r="1766" spans="1:47" ht="15.75" customHeight="1">
      <c r="A1766" s="9"/>
      <c r="B1766" s="9"/>
      <c r="C1766" s="9"/>
      <c r="D1766" s="9"/>
      <c r="E1766" s="9"/>
      <c r="F1766" s="67"/>
      <c r="G1766" s="9"/>
      <c r="H1766" s="9"/>
      <c r="I1766" s="9"/>
      <c r="J1766" s="9"/>
      <c r="K1766" s="9"/>
      <c r="L1766" s="9"/>
      <c r="M1766" s="9"/>
      <c r="N1766" s="9"/>
      <c r="O1766" s="9"/>
      <c r="P1766" s="9"/>
      <c r="Q1766" s="9"/>
      <c r="R1766" s="9"/>
      <c r="S1766" s="9"/>
      <c r="T1766" s="9"/>
      <c r="U1766" s="9"/>
      <c r="V1766" s="9"/>
      <c r="W1766" s="9"/>
      <c r="X1766" s="9"/>
      <c r="Y1766" s="9"/>
      <c r="Z1766" s="9"/>
      <c r="AA1766" s="9"/>
      <c r="AB1766" s="9"/>
      <c r="AC1766" s="9"/>
      <c r="AD1766" s="9"/>
      <c r="AE1766" s="9"/>
      <c r="AF1766" s="9"/>
      <c r="AG1766" s="9"/>
      <c r="AH1766" s="9"/>
      <c r="AI1766" s="9"/>
      <c r="AJ1766" s="9"/>
      <c r="AK1766" s="9"/>
      <c r="AL1766" s="9"/>
      <c r="AM1766" s="9"/>
      <c r="AN1766" s="9"/>
      <c r="AO1766" s="9"/>
      <c r="AP1766" s="9"/>
      <c r="AQ1766" s="9"/>
      <c r="AR1766" s="9"/>
      <c r="AS1766" s="9"/>
      <c r="AT1766" s="9"/>
      <c r="AU1766" s="9"/>
    </row>
    <row r="1767" spans="1:47" ht="15.75" customHeight="1">
      <c r="A1767" s="9"/>
      <c r="B1767" s="9"/>
      <c r="C1767" s="9"/>
      <c r="D1767" s="9"/>
      <c r="E1767" s="9"/>
      <c r="F1767" s="67"/>
      <c r="G1767" s="9"/>
      <c r="H1767" s="9"/>
      <c r="I1767" s="9"/>
      <c r="J1767" s="9"/>
      <c r="K1767" s="9"/>
      <c r="L1767" s="9"/>
      <c r="M1767" s="9"/>
      <c r="N1767" s="9"/>
      <c r="O1767" s="9"/>
      <c r="P1767" s="9"/>
      <c r="Q1767" s="9"/>
      <c r="R1767" s="9"/>
      <c r="S1767" s="9"/>
      <c r="T1767" s="9"/>
      <c r="U1767" s="9"/>
      <c r="V1767" s="9"/>
      <c r="W1767" s="9"/>
      <c r="X1767" s="9"/>
      <c r="Y1767" s="9"/>
      <c r="Z1767" s="9"/>
      <c r="AA1767" s="9"/>
      <c r="AB1767" s="9"/>
      <c r="AC1767" s="9"/>
      <c r="AD1767" s="9"/>
      <c r="AE1767" s="9"/>
      <c r="AF1767" s="9"/>
      <c r="AG1767" s="9"/>
      <c r="AH1767" s="9"/>
      <c r="AI1767" s="9"/>
      <c r="AJ1767" s="9"/>
      <c r="AK1767" s="9"/>
      <c r="AL1767" s="9"/>
      <c r="AM1767" s="9"/>
      <c r="AN1767" s="9"/>
      <c r="AO1767" s="9"/>
      <c r="AP1767" s="9"/>
      <c r="AQ1767" s="9"/>
      <c r="AR1767" s="9"/>
      <c r="AS1767" s="9"/>
      <c r="AT1767" s="9"/>
      <c r="AU1767" s="9"/>
    </row>
    <row r="1768" spans="1:47" ht="15.75" customHeight="1">
      <c r="A1768" s="9"/>
      <c r="B1768" s="9"/>
      <c r="C1768" s="9"/>
      <c r="D1768" s="9"/>
      <c r="E1768" s="9"/>
      <c r="F1768" s="67"/>
      <c r="G1768" s="9"/>
      <c r="H1768" s="9"/>
      <c r="I1768" s="9"/>
      <c r="J1768" s="9"/>
      <c r="K1768" s="9"/>
      <c r="L1768" s="9"/>
      <c r="M1768" s="9"/>
      <c r="N1768" s="9"/>
      <c r="O1768" s="9"/>
      <c r="P1768" s="9"/>
      <c r="Q1768" s="9"/>
      <c r="R1768" s="9"/>
      <c r="S1768" s="9"/>
      <c r="T1768" s="9"/>
      <c r="U1768" s="9"/>
      <c r="V1768" s="9"/>
      <c r="W1768" s="9"/>
      <c r="X1768" s="9"/>
      <c r="Y1768" s="9"/>
      <c r="Z1768" s="9"/>
      <c r="AA1768" s="9"/>
      <c r="AB1768" s="9"/>
      <c r="AC1768" s="9"/>
      <c r="AD1768" s="9"/>
      <c r="AE1768" s="9"/>
      <c r="AF1768" s="9"/>
      <c r="AG1768" s="9"/>
      <c r="AH1768" s="9"/>
      <c r="AI1768" s="9"/>
      <c r="AJ1768" s="9"/>
      <c r="AK1768" s="9"/>
      <c r="AL1768" s="9"/>
      <c r="AM1768" s="9"/>
      <c r="AN1768" s="9"/>
      <c r="AO1768" s="9"/>
      <c r="AP1768" s="9"/>
      <c r="AQ1768" s="9"/>
      <c r="AR1768" s="9"/>
      <c r="AS1768" s="9"/>
      <c r="AT1768" s="9"/>
      <c r="AU1768" s="9"/>
    </row>
    <row r="1769" spans="1:47" ht="15.75" customHeight="1">
      <c r="A1769" s="9"/>
      <c r="B1769" s="9"/>
      <c r="C1769" s="9"/>
      <c r="D1769" s="9"/>
      <c r="E1769" s="9"/>
      <c r="F1769" s="67"/>
      <c r="G1769" s="9"/>
      <c r="H1769" s="9"/>
      <c r="I1769" s="9"/>
      <c r="J1769" s="9"/>
      <c r="K1769" s="9"/>
      <c r="L1769" s="9"/>
      <c r="M1769" s="9"/>
      <c r="N1769" s="9"/>
      <c r="O1769" s="9"/>
      <c r="P1769" s="9"/>
      <c r="Q1769" s="9"/>
      <c r="R1769" s="9"/>
      <c r="S1769" s="9"/>
      <c r="T1769" s="9"/>
      <c r="U1769" s="9"/>
      <c r="V1769" s="9"/>
      <c r="W1769" s="9"/>
      <c r="X1769" s="9"/>
      <c r="Y1769" s="9"/>
      <c r="Z1769" s="9"/>
      <c r="AA1769" s="9"/>
      <c r="AB1769" s="9"/>
      <c r="AC1769" s="9"/>
      <c r="AD1769" s="9"/>
      <c r="AE1769" s="9"/>
      <c r="AF1769" s="9"/>
      <c r="AG1769" s="9"/>
      <c r="AH1769" s="9"/>
      <c r="AI1769" s="9"/>
      <c r="AJ1769" s="9"/>
      <c r="AK1769" s="9"/>
      <c r="AL1769" s="9"/>
      <c r="AM1769" s="9"/>
      <c r="AN1769" s="9"/>
      <c r="AO1769" s="9"/>
      <c r="AP1769" s="9"/>
      <c r="AQ1769" s="9"/>
      <c r="AR1769" s="9"/>
      <c r="AS1769" s="9"/>
      <c r="AT1769" s="9"/>
      <c r="AU1769" s="9"/>
    </row>
    <row r="1770" spans="1:47" ht="15.75" customHeight="1">
      <c r="A1770" s="9"/>
      <c r="B1770" s="9"/>
      <c r="C1770" s="9"/>
      <c r="D1770" s="9"/>
      <c r="E1770" s="9"/>
      <c r="F1770" s="67"/>
      <c r="G1770" s="9"/>
      <c r="H1770" s="9"/>
      <c r="I1770" s="9"/>
      <c r="J1770" s="9"/>
      <c r="K1770" s="9"/>
      <c r="L1770" s="9"/>
      <c r="M1770" s="9"/>
      <c r="N1770" s="9"/>
      <c r="O1770" s="9"/>
      <c r="P1770" s="9"/>
      <c r="Q1770" s="9"/>
      <c r="R1770" s="9"/>
      <c r="S1770" s="9"/>
      <c r="T1770" s="9"/>
      <c r="U1770" s="9"/>
      <c r="V1770" s="9"/>
      <c r="W1770" s="9"/>
      <c r="X1770" s="9"/>
      <c r="Y1770" s="9"/>
      <c r="Z1770" s="9"/>
      <c r="AA1770" s="9"/>
      <c r="AB1770" s="9"/>
      <c r="AC1770" s="9"/>
      <c r="AD1770" s="9"/>
      <c r="AE1770" s="9"/>
      <c r="AF1770" s="9"/>
      <c r="AG1770" s="9"/>
      <c r="AH1770" s="9"/>
      <c r="AI1770" s="9"/>
      <c r="AJ1770" s="9"/>
      <c r="AK1770" s="9"/>
      <c r="AL1770" s="9"/>
      <c r="AM1770" s="9"/>
      <c r="AN1770" s="9"/>
      <c r="AO1770" s="9"/>
      <c r="AP1770" s="9"/>
      <c r="AQ1770" s="9"/>
      <c r="AR1770" s="9"/>
      <c r="AS1770" s="9"/>
      <c r="AT1770" s="9"/>
      <c r="AU1770" s="9"/>
    </row>
    <row r="1771" spans="1:47" ht="15.75" customHeight="1">
      <c r="A1771" s="9"/>
      <c r="B1771" s="9"/>
      <c r="C1771" s="9"/>
      <c r="D1771" s="9"/>
      <c r="E1771" s="9"/>
      <c r="F1771" s="67"/>
      <c r="G1771" s="9"/>
      <c r="H1771" s="9"/>
      <c r="I1771" s="9"/>
      <c r="J1771" s="9"/>
      <c r="K1771" s="9"/>
      <c r="L1771" s="9"/>
      <c r="M1771" s="9"/>
      <c r="N1771" s="9"/>
      <c r="O1771" s="9"/>
      <c r="P1771" s="9"/>
      <c r="Q1771" s="9"/>
      <c r="R1771" s="9"/>
      <c r="S1771" s="9"/>
      <c r="T1771" s="9"/>
      <c r="U1771" s="9"/>
      <c r="V1771" s="9"/>
      <c r="W1771" s="9"/>
      <c r="X1771" s="9"/>
      <c r="Y1771" s="9"/>
      <c r="Z1771" s="9"/>
      <c r="AA1771" s="9"/>
      <c r="AB1771" s="9"/>
      <c r="AC1771" s="9"/>
      <c r="AD1771" s="9"/>
      <c r="AE1771" s="9"/>
      <c r="AF1771" s="9"/>
      <c r="AG1771" s="9"/>
      <c r="AH1771" s="9"/>
      <c r="AI1771" s="9"/>
      <c r="AJ1771" s="9"/>
      <c r="AK1771" s="9"/>
      <c r="AL1771" s="9"/>
      <c r="AM1771" s="9"/>
      <c r="AN1771" s="9"/>
      <c r="AO1771" s="9"/>
      <c r="AP1771" s="9"/>
      <c r="AQ1771" s="9"/>
      <c r="AR1771" s="9"/>
      <c r="AS1771" s="9"/>
      <c r="AT1771" s="9"/>
      <c r="AU1771" s="9"/>
    </row>
    <row r="1772" spans="1:47" ht="15.75" customHeight="1">
      <c r="A1772" s="9"/>
      <c r="B1772" s="9"/>
      <c r="C1772" s="9"/>
      <c r="D1772" s="9"/>
      <c r="E1772" s="9"/>
      <c r="F1772" s="67"/>
      <c r="G1772" s="9"/>
      <c r="H1772" s="9"/>
      <c r="I1772" s="9"/>
      <c r="J1772" s="9"/>
      <c r="K1772" s="9"/>
      <c r="L1772" s="9"/>
      <c r="M1772" s="9"/>
      <c r="N1772" s="9"/>
      <c r="O1772" s="9"/>
      <c r="P1772" s="9"/>
      <c r="Q1772" s="9"/>
      <c r="R1772" s="9"/>
      <c r="S1772" s="9"/>
      <c r="T1772" s="9"/>
      <c r="U1772" s="9"/>
      <c r="V1772" s="9"/>
      <c r="W1772" s="9"/>
      <c r="X1772" s="9"/>
      <c r="Y1772" s="9"/>
      <c r="Z1772" s="9"/>
      <c r="AA1772" s="9"/>
      <c r="AB1772" s="9"/>
      <c r="AC1772" s="9"/>
      <c r="AD1772" s="9"/>
      <c r="AE1772" s="9"/>
      <c r="AF1772" s="9"/>
      <c r="AG1772" s="9"/>
      <c r="AH1772" s="9"/>
      <c r="AI1772" s="9"/>
      <c r="AJ1772" s="9"/>
      <c r="AK1772" s="9"/>
      <c r="AL1772" s="9"/>
      <c r="AM1772" s="9"/>
      <c r="AN1772" s="9"/>
      <c r="AO1772" s="9"/>
      <c r="AP1772" s="9"/>
      <c r="AQ1772" s="9"/>
      <c r="AR1772" s="9"/>
      <c r="AS1772" s="9"/>
      <c r="AT1772" s="9"/>
      <c r="AU1772" s="9"/>
    </row>
    <row r="1773" spans="1:47" ht="15.75" customHeight="1">
      <c r="A1773" s="9"/>
      <c r="B1773" s="9"/>
      <c r="C1773" s="9"/>
      <c r="D1773" s="9"/>
      <c r="E1773" s="9"/>
      <c r="F1773" s="67"/>
      <c r="G1773" s="9"/>
      <c r="H1773" s="9"/>
      <c r="I1773" s="9"/>
      <c r="J1773" s="9"/>
      <c r="K1773" s="9"/>
      <c r="L1773" s="9"/>
      <c r="M1773" s="9"/>
      <c r="N1773" s="9"/>
      <c r="O1773" s="9"/>
      <c r="P1773" s="9"/>
      <c r="Q1773" s="9"/>
      <c r="R1773" s="9"/>
      <c r="S1773" s="9"/>
      <c r="T1773" s="9"/>
      <c r="U1773" s="9"/>
      <c r="V1773" s="9"/>
      <c r="W1773" s="9"/>
      <c r="X1773" s="9"/>
      <c r="Y1773" s="9"/>
      <c r="Z1773" s="9"/>
      <c r="AA1773" s="9"/>
      <c r="AB1773" s="9"/>
      <c r="AC1773" s="9"/>
      <c r="AD1773" s="9"/>
      <c r="AE1773" s="9"/>
      <c r="AF1773" s="9"/>
      <c r="AG1773" s="9"/>
      <c r="AH1773" s="9"/>
      <c r="AI1773" s="9"/>
      <c r="AJ1773" s="9"/>
      <c r="AK1773" s="9"/>
      <c r="AL1773" s="9"/>
      <c r="AM1773" s="9"/>
      <c r="AN1773" s="9"/>
      <c r="AO1773" s="9"/>
      <c r="AP1773" s="9"/>
      <c r="AQ1773" s="9"/>
      <c r="AR1773" s="9"/>
      <c r="AS1773" s="9"/>
      <c r="AT1773" s="9"/>
      <c r="AU1773" s="9"/>
    </row>
    <row r="1774" spans="1:47" ht="15.75" customHeight="1">
      <c r="A1774" s="9"/>
      <c r="B1774" s="9"/>
      <c r="C1774" s="9"/>
      <c r="D1774" s="9"/>
      <c r="E1774" s="9"/>
      <c r="F1774" s="67"/>
      <c r="G1774" s="9"/>
      <c r="H1774" s="9"/>
      <c r="I1774" s="9"/>
      <c r="J1774" s="9"/>
      <c r="K1774" s="9"/>
      <c r="L1774" s="9"/>
      <c r="M1774" s="9"/>
      <c r="N1774" s="9"/>
      <c r="O1774" s="9"/>
      <c r="P1774" s="9"/>
      <c r="Q1774" s="9"/>
      <c r="R1774" s="9"/>
      <c r="S1774" s="9"/>
      <c r="T1774" s="9"/>
      <c r="U1774" s="9"/>
      <c r="V1774" s="9"/>
      <c r="W1774" s="9"/>
      <c r="X1774" s="9"/>
      <c r="Y1774" s="9"/>
      <c r="Z1774" s="9"/>
      <c r="AA1774" s="9"/>
      <c r="AB1774" s="9"/>
      <c r="AC1774" s="9"/>
      <c r="AD1774" s="9"/>
      <c r="AE1774" s="9"/>
      <c r="AF1774" s="9"/>
      <c r="AG1774" s="9"/>
      <c r="AH1774" s="9"/>
      <c r="AI1774" s="9"/>
      <c r="AJ1774" s="9"/>
      <c r="AK1774" s="9"/>
      <c r="AL1774" s="9"/>
      <c r="AM1774" s="9"/>
      <c r="AN1774" s="9"/>
      <c r="AO1774" s="9"/>
      <c r="AP1774" s="9"/>
      <c r="AQ1774" s="9"/>
      <c r="AR1774" s="9"/>
      <c r="AS1774" s="9"/>
      <c r="AT1774" s="9"/>
      <c r="AU1774" s="9"/>
    </row>
    <row r="1775" spans="1:47" ht="15.75" customHeight="1">
      <c r="A1775" s="9"/>
      <c r="B1775" s="9"/>
      <c r="C1775" s="9"/>
      <c r="D1775" s="9"/>
      <c r="E1775" s="9"/>
      <c r="F1775" s="67"/>
      <c r="G1775" s="9"/>
      <c r="H1775" s="9"/>
      <c r="I1775" s="9"/>
      <c r="J1775" s="9"/>
      <c r="K1775" s="9"/>
      <c r="L1775" s="9"/>
      <c r="M1775" s="9"/>
      <c r="N1775" s="9"/>
      <c r="O1775" s="9"/>
      <c r="P1775" s="9"/>
      <c r="Q1775" s="9"/>
      <c r="R1775" s="9"/>
      <c r="S1775" s="9"/>
      <c r="T1775" s="9"/>
      <c r="U1775" s="9"/>
      <c r="V1775" s="9"/>
      <c r="W1775" s="9"/>
      <c r="X1775" s="9"/>
      <c r="Y1775" s="9"/>
      <c r="Z1775" s="9"/>
      <c r="AA1775" s="9"/>
      <c r="AB1775" s="9"/>
      <c r="AC1775" s="9"/>
      <c r="AD1775" s="9"/>
      <c r="AE1775" s="9"/>
      <c r="AF1775" s="9"/>
      <c r="AG1775" s="9"/>
      <c r="AH1775" s="9"/>
      <c r="AI1775" s="9"/>
      <c r="AJ1775" s="9"/>
      <c r="AK1775" s="9"/>
      <c r="AL1775" s="9"/>
      <c r="AM1775" s="9"/>
      <c r="AN1775" s="9"/>
      <c r="AO1775" s="9"/>
      <c r="AP1775" s="9"/>
      <c r="AQ1775" s="9"/>
      <c r="AR1775" s="9"/>
      <c r="AS1775" s="9"/>
      <c r="AT1775" s="9"/>
      <c r="AU1775" s="9"/>
    </row>
    <row r="1776" spans="1:47" ht="15.75" customHeight="1">
      <c r="A1776" s="9"/>
      <c r="B1776" s="9"/>
      <c r="C1776" s="9"/>
      <c r="D1776" s="9"/>
      <c r="E1776" s="9"/>
      <c r="F1776" s="67"/>
      <c r="G1776" s="9"/>
      <c r="H1776" s="9"/>
      <c r="I1776" s="9"/>
      <c r="J1776" s="9"/>
      <c r="K1776" s="9"/>
      <c r="L1776" s="9"/>
      <c r="M1776" s="9"/>
      <c r="N1776" s="9"/>
      <c r="O1776" s="9"/>
      <c r="P1776" s="9"/>
      <c r="Q1776" s="9"/>
      <c r="R1776" s="9"/>
      <c r="S1776" s="9"/>
      <c r="T1776" s="9"/>
      <c r="U1776" s="9"/>
      <c r="V1776" s="9"/>
      <c r="W1776" s="9"/>
      <c r="X1776" s="9"/>
      <c r="Y1776" s="9"/>
      <c r="Z1776" s="9"/>
      <c r="AA1776" s="9"/>
      <c r="AB1776" s="9"/>
      <c r="AC1776" s="9"/>
      <c r="AD1776" s="9"/>
      <c r="AE1776" s="9"/>
      <c r="AF1776" s="9"/>
      <c r="AG1776" s="9"/>
      <c r="AH1776" s="9"/>
      <c r="AI1776" s="9"/>
      <c r="AJ1776" s="9"/>
      <c r="AK1776" s="9"/>
      <c r="AL1776" s="9"/>
      <c r="AM1776" s="9"/>
      <c r="AN1776" s="9"/>
      <c r="AO1776" s="9"/>
      <c r="AP1776" s="9"/>
      <c r="AQ1776" s="9"/>
      <c r="AR1776" s="9"/>
      <c r="AS1776" s="9"/>
      <c r="AT1776" s="9"/>
      <c r="AU1776" s="9"/>
    </row>
    <row r="1777" spans="1:47" ht="15.75" customHeight="1">
      <c r="A1777" s="9"/>
      <c r="B1777" s="9"/>
      <c r="C1777" s="9"/>
      <c r="D1777" s="9"/>
      <c r="E1777" s="9"/>
      <c r="F1777" s="67"/>
      <c r="G1777" s="9"/>
      <c r="H1777" s="9"/>
      <c r="I1777" s="9"/>
      <c r="J1777" s="9"/>
      <c r="K1777" s="9"/>
      <c r="L1777" s="9"/>
      <c r="M1777" s="9"/>
      <c r="N1777" s="9"/>
      <c r="O1777" s="9"/>
      <c r="P1777" s="9"/>
      <c r="Q1777" s="9"/>
      <c r="R1777" s="9"/>
      <c r="S1777" s="9"/>
      <c r="T1777" s="9"/>
      <c r="U1777" s="9"/>
      <c r="V1777" s="9"/>
      <c r="W1777" s="9"/>
      <c r="X1777" s="9"/>
      <c r="Y1777" s="9"/>
      <c r="Z1777" s="9"/>
      <c r="AA1777" s="9"/>
      <c r="AB1777" s="9"/>
      <c r="AC1777" s="9"/>
      <c r="AD1777" s="9"/>
      <c r="AE1777" s="9"/>
      <c r="AF1777" s="9"/>
      <c r="AG1777" s="9"/>
      <c r="AH1777" s="9"/>
      <c r="AI1777" s="9"/>
      <c r="AJ1777" s="9"/>
      <c r="AK1777" s="9"/>
      <c r="AL1777" s="9"/>
      <c r="AM1777" s="9"/>
      <c r="AN1777" s="9"/>
      <c r="AO1777" s="9"/>
      <c r="AP1777" s="9"/>
      <c r="AQ1777" s="9"/>
      <c r="AR1777" s="9"/>
      <c r="AS1777" s="9"/>
      <c r="AT1777" s="9"/>
      <c r="AU1777" s="9"/>
    </row>
    <row r="1778" spans="1:47" ht="15.75" customHeight="1">
      <c r="A1778" s="9"/>
      <c r="B1778" s="9"/>
      <c r="C1778" s="9"/>
      <c r="D1778" s="9"/>
      <c r="E1778" s="9"/>
      <c r="F1778" s="67"/>
      <c r="G1778" s="9"/>
      <c r="H1778" s="9"/>
      <c r="I1778" s="9"/>
      <c r="J1778" s="9"/>
      <c r="K1778" s="9"/>
      <c r="L1778" s="9"/>
      <c r="M1778" s="9"/>
      <c r="N1778" s="9"/>
      <c r="O1778" s="9"/>
      <c r="P1778" s="9"/>
      <c r="Q1778" s="9"/>
      <c r="R1778" s="9"/>
      <c r="S1778" s="9"/>
      <c r="T1778" s="9"/>
      <c r="U1778" s="9"/>
      <c r="V1778" s="9"/>
      <c r="W1778" s="9"/>
      <c r="X1778" s="9"/>
      <c r="Y1778" s="9"/>
      <c r="Z1778" s="9"/>
      <c r="AA1778" s="9"/>
      <c r="AB1778" s="9"/>
      <c r="AC1778" s="9"/>
      <c r="AD1778" s="9"/>
      <c r="AE1778" s="9"/>
      <c r="AF1778" s="9"/>
      <c r="AG1778" s="9"/>
      <c r="AH1778" s="9"/>
      <c r="AI1778" s="9"/>
      <c r="AJ1778" s="9"/>
      <c r="AK1778" s="9"/>
      <c r="AL1778" s="9"/>
      <c r="AM1778" s="9"/>
      <c r="AN1778" s="9"/>
      <c r="AO1778" s="9"/>
      <c r="AP1778" s="9"/>
      <c r="AQ1778" s="9"/>
      <c r="AR1778" s="9"/>
      <c r="AS1778" s="9"/>
      <c r="AT1778" s="9"/>
      <c r="AU1778" s="9"/>
    </row>
    <row r="1779" spans="1:47" ht="15.75" customHeight="1">
      <c r="A1779" s="9"/>
      <c r="B1779" s="9"/>
      <c r="C1779" s="9"/>
      <c r="D1779" s="9"/>
      <c r="E1779" s="9"/>
      <c r="F1779" s="67"/>
      <c r="G1779" s="9"/>
      <c r="H1779" s="9"/>
      <c r="I1779" s="9"/>
      <c r="J1779" s="9"/>
      <c r="K1779" s="9"/>
      <c r="L1779" s="9"/>
      <c r="M1779" s="9"/>
      <c r="N1779" s="9"/>
      <c r="O1779" s="9"/>
      <c r="P1779" s="9"/>
      <c r="Q1779" s="9"/>
      <c r="R1779" s="9"/>
      <c r="S1779" s="9"/>
      <c r="T1779" s="9"/>
      <c r="U1779" s="9"/>
      <c r="V1779" s="9"/>
      <c r="W1779" s="9"/>
      <c r="X1779" s="9"/>
      <c r="Y1779" s="9"/>
      <c r="Z1779" s="9"/>
      <c r="AA1779" s="9"/>
      <c r="AB1779" s="9"/>
      <c r="AC1779" s="9"/>
      <c r="AD1779" s="9"/>
      <c r="AE1779" s="9"/>
      <c r="AF1779" s="9"/>
      <c r="AG1779" s="9"/>
      <c r="AH1779" s="9"/>
      <c r="AI1779" s="9"/>
      <c r="AJ1779" s="9"/>
      <c r="AK1779" s="9"/>
      <c r="AL1779" s="9"/>
      <c r="AM1779" s="9"/>
      <c r="AN1779" s="9"/>
      <c r="AO1779" s="9"/>
      <c r="AP1779" s="9"/>
      <c r="AQ1779" s="9"/>
      <c r="AR1779" s="9"/>
      <c r="AS1779" s="9"/>
      <c r="AT1779" s="9"/>
      <c r="AU1779" s="9"/>
    </row>
    <row r="1780" spans="1:47" ht="15.75" customHeight="1">
      <c r="A1780" s="9"/>
      <c r="B1780" s="9"/>
      <c r="C1780" s="9"/>
      <c r="D1780" s="9"/>
      <c r="E1780" s="9"/>
      <c r="F1780" s="67"/>
      <c r="G1780" s="9"/>
      <c r="H1780" s="9"/>
      <c r="I1780" s="9"/>
      <c r="J1780" s="9"/>
      <c r="K1780" s="9"/>
      <c r="L1780" s="9"/>
      <c r="M1780" s="9"/>
      <c r="N1780" s="9"/>
      <c r="O1780" s="9"/>
      <c r="P1780" s="9"/>
      <c r="Q1780" s="9"/>
      <c r="R1780" s="9"/>
      <c r="S1780" s="9"/>
      <c r="T1780" s="9"/>
      <c r="U1780" s="9"/>
      <c r="V1780" s="9"/>
      <c r="W1780" s="9"/>
      <c r="X1780" s="9"/>
      <c r="Y1780" s="9"/>
      <c r="Z1780" s="9"/>
      <c r="AA1780" s="9"/>
      <c r="AB1780" s="9"/>
      <c r="AC1780" s="9"/>
      <c r="AD1780" s="9"/>
      <c r="AE1780" s="9"/>
      <c r="AF1780" s="9"/>
      <c r="AG1780" s="9"/>
      <c r="AH1780" s="9"/>
      <c r="AI1780" s="9"/>
      <c r="AJ1780" s="9"/>
      <c r="AK1780" s="9"/>
      <c r="AL1780" s="9"/>
      <c r="AM1780" s="9"/>
      <c r="AN1780" s="9"/>
      <c r="AO1780" s="9"/>
      <c r="AP1780" s="9"/>
      <c r="AQ1780" s="9"/>
      <c r="AR1780" s="9"/>
      <c r="AS1780" s="9"/>
      <c r="AT1780" s="9"/>
      <c r="AU1780" s="9"/>
    </row>
    <row r="1781" spans="1:47" ht="15.75" customHeight="1">
      <c r="A1781" s="9"/>
      <c r="B1781" s="9"/>
      <c r="C1781" s="9"/>
      <c r="D1781" s="9"/>
      <c r="E1781" s="9"/>
      <c r="F1781" s="67"/>
      <c r="G1781" s="9"/>
      <c r="H1781" s="9"/>
      <c r="I1781" s="9"/>
      <c r="J1781" s="9"/>
      <c r="K1781" s="9"/>
      <c r="L1781" s="9"/>
      <c r="M1781" s="9"/>
      <c r="N1781" s="9"/>
      <c r="O1781" s="9"/>
      <c r="P1781" s="9"/>
      <c r="Q1781" s="9"/>
      <c r="R1781" s="9"/>
      <c r="S1781" s="9"/>
      <c r="T1781" s="9"/>
      <c r="U1781" s="9"/>
      <c r="V1781" s="9"/>
      <c r="W1781" s="9"/>
      <c r="X1781" s="9"/>
      <c r="Y1781" s="9"/>
      <c r="Z1781" s="9"/>
      <c r="AA1781" s="9"/>
      <c r="AB1781" s="9"/>
      <c r="AC1781" s="9"/>
      <c r="AD1781" s="9"/>
      <c r="AE1781" s="9"/>
      <c r="AF1781" s="9"/>
      <c r="AG1781" s="9"/>
      <c r="AH1781" s="9"/>
      <c r="AI1781" s="9"/>
      <c r="AJ1781" s="9"/>
      <c r="AK1781" s="9"/>
      <c r="AL1781" s="9"/>
      <c r="AM1781" s="9"/>
      <c r="AN1781" s="9"/>
      <c r="AO1781" s="9"/>
      <c r="AP1781" s="9"/>
      <c r="AQ1781" s="9"/>
      <c r="AR1781" s="9"/>
      <c r="AS1781" s="9"/>
      <c r="AT1781" s="9"/>
      <c r="AU1781" s="9"/>
    </row>
    <row r="1782" spans="1:47" ht="15.75" customHeight="1">
      <c r="A1782" s="9"/>
      <c r="B1782" s="9"/>
      <c r="C1782" s="9"/>
      <c r="D1782" s="9"/>
      <c r="E1782" s="9"/>
      <c r="F1782" s="67"/>
      <c r="G1782" s="9"/>
      <c r="H1782" s="9"/>
      <c r="I1782" s="9"/>
      <c r="J1782" s="9"/>
      <c r="K1782" s="9"/>
      <c r="L1782" s="9"/>
      <c r="M1782" s="9"/>
      <c r="N1782" s="9"/>
      <c r="O1782" s="9"/>
      <c r="P1782" s="9"/>
      <c r="Q1782" s="9"/>
      <c r="R1782" s="9"/>
      <c r="S1782" s="9"/>
      <c r="T1782" s="9"/>
      <c r="U1782" s="9"/>
      <c r="V1782" s="9"/>
      <c r="W1782" s="9"/>
      <c r="X1782" s="9"/>
      <c r="Y1782" s="9"/>
      <c r="Z1782" s="9"/>
      <c r="AA1782" s="9"/>
      <c r="AB1782" s="9"/>
      <c r="AC1782" s="9"/>
      <c r="AD1782" s="9"/>
      <c r="AE1782" s="9"/>
      <c r="AF1782" s="9"/>
      <c r="AG1782" s="9"/>
      <c r="AH1782" s="9"/>
      <c r="AI1782" s="9"/>
      <c r="AJ1782" s="9"/>
      <c r="AK1782" s="9"/>
      <c r="AL1782" s="9"/>
      <c r="AM1782" s="9"/>
      <c r="AN1782" s="9"/>
      <c r="AO1782" s="9"/>
      <c r="AP1782" s="9"/>
      <c r="AQ1782" s="9"/>
      <c r="AR1782" s="9"/>
      <c r="AS1782" s="9"/>
      <c r="AT1782" s="9"/>
      <c r="AU1782" s="9"/>
    </row>
    <row r="1783" spans="1:47" ht="15.75" customHeight="1">
      <c r="A1783" s="9"/>
      <c r="B1783" s="9"/>
      <c r="C1783" s="9"/>
      <c r="D1783" s="9"/>
      <c r="E1783" s="9"/>
      <c r="F1783" s="67"/>
      <c r="G1783" s="9"/>
      <c r="H1783" s="9"/>
      <c r="I1783" s="9"/>
      <c r="J1783" s="9"/>
      <c r="K1783" s="9"/>
      <c r="L1783" s="9"/>
      <c r="M1783" s="9"/>
      <c r="N1783" s="9"/>
      <c r="O1783" s="9"/>
      <c r="P1783" s="9"/>
      <c r="Q1783" s="9"/>
      <c r="R1783" s="9"/>
      <c r="S1783" s="9"/>
      <c r="T1783" s="9"/>
      <c r="U1783" s="9"/>
      <c r="V1783" s="9"/>
      <c r="W1783" s="9"/>
      <c r="X1783" s="9"/>
      <c r="Y1783" s="9"/>
      <c r="Z1783" s="9"/>
      <c r="AA1783" s="9"/>
      <c r="AB1783" s="9"/>
      <c r="AC1783" s="9"/>
      <c r="AD1783" s="9"/>
      <c r="AE1783" s="9"/>
      <c r="AF1783" s="9"/>
      <c r="AG1783" s="9"/>
      <c r="AH1783" s="9"/>
      <c r="AI1783" s="9"/>
      <c r="AJ1783" s="9"/>
      <c r="AK1783" s="9"/>
      <c r="AL1783" s="9"/>
      <c r="AM1783" s="9"/>
      <c r="AN1783" s="9"/>
      <c r="AO1783" s="9"/>
      <c r="AP1783" s="9"/>
      <c r="AQ1783" s="9"/>
      <c r="AR1783" s="9"/>
      <c r="AS1783" s="9"/>
      <c r="AT1783" s="9"/>
      <c r="AU1783" s="9"/>
    </row>
    <row r="1784" spans="1:47" ht="15.75" customHeight="1">
      <c r="A1784" s="9"/>
      <c r="B1784" s="9"/>
      <c r="C1784" s="9"/>
      <c r="D1784" s="9"/>
      <c r="E1784" s="9"/>
      <c r="F1784" s="67"/>
      <c r="G1784" s="9"/>
      <c r="H1784" s="9"/>
      <c r="I1784" s="9"/>
      <c r="J1784" s="9"/>
      <c r="K1784" s="9"/>
      <c r="L1784" s="9"/>
      <c r="M1784" s="9"/>
      <c r="N1784" s="9"/>
      <c r="O1784" s="9"/>
      <c r="P1784" s="9"/>
      <c r="Q1784" s="9"/>
      <c r="R1784" s="9"/>
      <c r="S1784" s="9"/>
      <c r="T1784" s="9"/>
      <c r="U1784" s="9"/>
      <c r="V1784" s="9"/>
      <c r="W1784" s="9"/>
      <c r="X1784" s="9"/>
      <c r="Y1784" s="9"/>
      <c r="Z1784" s="9"/>
      <c r="AA1784" s="9"/>
      <c r="AB1784" s="9"/>
      <c r="AC1784" s="9"/>
      <c r="AD1784" s="9"/>
      <c r="AE1784" s="9"/>
      <c r="AF1784" s="9"/>
      <c r="AG1784" s="9"/>
      <c r="AH1784" s="9"/>
      <c r="AI1784" s="9"/>
      <c r="AJ1784" s="9"/>
      <c r="AK1784" s="9"/>
      <c r="AL1784" s="9"/>
      <c r="AM1784" s="9"/>
      <c r="AN1784" s="9"/>
      <c r="AO1784" s="9"/>
      <c r="AP1784" s="9"/>
      <c r="AQ1784" s="9"/>
      <c r="AR1784" s="9"/>
      <c r="AS1784" s="9"/>
      <c r="AT1784" s="9"/>
      <c r="AU1784" s="9"/>
    </row>
    <row r="1785" spans="1:47" ht="15.75" customHeight="1">
      <c r="A1785" s="9"/>
      <c r="B1785" s="9"/>
      <c r="C1785" s="9"/>
      <c r="D1785" s="9"/>
      <c r="E1785" s="9"/>
      <c r="F1785" s="67"/>
      <c r="G1785" s="9"/>
      <c r="H1785" s="9"/>
      <c r="I1785" s="9"/>
      <c r="J1785" s="9"/>
      <c r="K1785" s="9"/>
      <c r="L1785" s="9"/>
      <c r="M1785" s="9"/>
      <c r="N1785" s="9"/>
      <c r="O1785" s="9"/>
      <c r="P1785" s="9"/>
      <c r="Q1785" s="9"/>
      <c r="R1785" s="9"/>
      <c r="S1785" s="9"/>
      <c r="T1785" s="9"/>
      <c r="U1785" s="9"/>
      <c r="V1785" s="9"/>
      <c r="W1785" s="9"/>
      <c r="X1785" s="9"/>
      <c r="Y1785" s="9"/>
      <c r="Z1785" s="9"/>
      <c r="AA1785" s="9"/>
      <c r="AB1785" s="9"/>
      <c r="AC1785" s="9"/>
      <c r="AD1785" s="9"/>
      <c r="AE1785" s="9"/>
      <c r="AF1785" s="9"/>
      <c r="AG1785" s="9"/>
      <c r="AH1785" s="9"/>
      <c r="AI1785" s="9"/>
      <c r="AJ1785" s="9"/>
      <c r="AK1785" s="9"/>
      <c r="AL1785" s="9"/>
      <c r="AM1785" s="9"/>
      <c r="AN1785" s="9"/>
      <c r="AO1785" s="9"/>
      <c r="AP1785" s="9"/>
      <c r="AQ1785" s="9"/>
      <c r="AR1785" s="9"/>
      <c r="AS1785" s="9"/>
      <c r="AT1785" s="9"/>
      <c r="AU1785" s="9"/>
    </row>
    <row r="1786" spans="1:47" ht="15.75" customHeight="1">
      <c r="A1786" s="9"/>
      <c r="B1786" s="9"/>
      <c r="C1786" s="9"/>
      <c r="D1786" s="9"/>
      <c r="E1786" s="9"/>
      <c r="F1786" s="67"/>
      <c r="G1786" s="9"/>
      <c r="H1786" s="9"/>
      <c r="I1786" s="9"/>
      <c r="J1786" s="9"/>
      <c r="K1786" s="9"/>
      <c r="L1786" s="9"/>
      <c r="M1786" s="9"/>
      <c r="N1786" s="9"/>
      <c r="O1786" s="9"/>
      <c r="P1786" s="9"/>
      <c r="Q1786" s="9"/>
      <c r="R1786" s="9"/>
      <c r="S1786" s="9"/>
      <c r="T1786" s="9"/>
      <c r="U1786" s="9"/>
      <c r="V1786" s="9"/>
      <c r="W1786" s="9"/>
      <c r="X1786" s="9"/>
      <c r="Y1786" s="9"/>
      <c r="Z1786" s="9"/>
      <c r="AA1786" s="9"/>
      <c r="AB1786" s="9"/>
      <c r="AC1786" s="9"/>
      <c r="AD1786" s="9"/>
      <c r="AE1786" s="9"/>
      <c r="AF1786" s="9"/>
      <c r="AG1786" s="9"/>
      <c r="AH1786" s="9"/>
      <c r="AI1786" s="9"/>
      <c r="AJ1786" s="9"/>
      <c r="AK1786" s="9"/>
      <c r="AL1786" s="9"/>
      <c r="AM1786" s="9"/>
      <c r="AN1786" s="9"/>
      <c r="AO1786" s="9"/>
      <c r="AP1786" s="9"/>
      <c r="AQ1786" s="9"/>
      <c r="AR1786" s="9"/>
      <c r="AS1786" s="9"/>
      <c r="AT1786" s="9"/>
      <c r="AU1786" s="9"/>
    </row>
    <row r="1787" spans="1:47" ht="15.75" customHeight="1">
      <c r="A1787" s="9"/>
      <c r="B1787" s="9"/>
      <c r="C1787" s="9"/>
      <c r="D1787" s="9"/>
      <c r="E1787" s="9"/>
      <c r="F1787" s="67"/>
      <c r="G1787" s="9"/>
      <c r="H1787" s="9"/>
      <c r="I1787" s="9"/>
      <c r="J1787" s="9"/>
      <c r="K1787" s="9"/>
      <c r="L1787" s="9"/>
      <c r="M1787" s="9"/>
      <c r="N1787" s="9"/>
      <c r="O1787" s="9"/>
      <c r="P1787" s="9"/>
      <c r="Q1787" s="9"/>
      <c r="R1787" s="9"/>
      <c r="S1787" s="9"/>
      <c r="T1787" s="9"/>
      <c r="U1787" s="9"/>
      <c r="V1787" s="9"/>
      <c r="W1787" s="9"/>
      <c r="X1787" s="9"/>
      <c r="Y1787" s="9"/>
      <c r="Z1787" s="9"/>
      <c r="AA1787" s="9"/>
      <c r="AB1787" s="9"/>
      <c r="AC1787" s="9"/>
      <c r="AD1787" s="9"/>
      <c r="AE1787" s="9"/>
      <c r="AF1787" s="9"/>
      <c r="AG1787" s="9"/>
      <c r="AH1787" s="9"/>
      <c r="AI1787" s="9"/>
      <c r="AJ1787" s="9"/>
      <c r="AK1787" s="9"/>
      <c r="AL1787" s="9"/>
      <c r="AM1787" s="9"/>
      <c r="AN1787" s="9"/>
      <c r="AO1787" s="9"/>
      <c r="AP1787" s="9"/>
      <c r="AQ1787" s="9"/>
      <c r="AR1787" s="9"/>
      <c r="AS1787" s="9"/>
      <c r="AT1787" s="9"/>
      <c r="AU1787" s="9"/>
    </row>
    <row r="1788" spans="1:47" ht="15.75" customHeight="1">
      <c r="A1788" s="9"/>
      <c r="B1788" s="9"/>
      <c r="C1788" s="9"/>
      <c r="D1788" s="9"/>
      <c r="E1788" s="9"/>
      <c r="F1788" s="67"/>
      <c r="G1788" s="9"/>
      <c r="H1788" s="9"/>
      <c r="I1788" s="9"/>
      <c r="J1788" s="9"/>
      <c r="K1788" s="9"/>
      <c r="L1788" s="9"/>
      <c r="M1788" s="9"/>
      <c r="N1788" s="9"/>
      <c r="O1788" s="9"/>
      <c r="P1788" s="9"/>
      <c r="Q1788" s="9"/>
      <c r="R1788" s="9"/>
      <c r="S1788" s="9"/>
      <c r="T1788" s="9"/>
      <c r="U1788" s="9"/>
      <c r="V1788" s="9"/>
      <c r="W1788" s="9"/>
      <c r="X1788" s="9"/>
      <c r="Y1788" s="9"/>
      <c r="Z1788" s="9"/>
      <c r="AA1788" s="9"/>
      <c r="AB1788" s="9"/>
      <c r="AC1788" s="9"/>
      <c r="AD1788" s="9"/>
      <c r="AE1788" s="9"/>
      <c r="AF1788" s="9"/>
      <c r="AG1788" s="9"/>
      <c r="AH1788" s="9"/>
      <c r="AI1788" s="9"/>
      <c r="AJ1788" s="9"/>
      <c r="AK1788" s="9"/>
      <c r="AL1788" s="9"/>
      <c r="AM1788" s="9"/>
      <c r="AN1788" s="9"/>
      <c r="AO1788" s="9"/>
      <c r="AP1788" s="9"/>
      <c r="AQ1788" s="9"/>
      <c r="AR1788" s="9"/>
      <c r="AS1788" s="9"/>
      <c r="AT1788" s="9"/>
      <c r="AU1788" s="9"/>
    </row>
    <row r="1789" spans="1:47" ht="15.75" customHeight="1">
      <c r="A1789" s="9"/>
      <c r="B1789" s="9"/>
      <c r="C1789" s="9"/>
      <c r="D1789" s="9"/>
      <c r="E1789" s="9"/>
      <c r="F1789" s="67"/>
      <c r="G1789" s="9"/>
      <c r="H1789" s="9"/>
      <c r="I1789" s="9"/>
      <c r="J1789" s="9"/>
      <c r="K1789" s="9"/>
      <c r="L1789" s="9"/>
      <c r="M1789" s="9"/>
      <c r="N1789" s="9"/>
      <c r="O1789" s="9"/>
      <c r="P1789" s="9"/>
      <c r="Q1789" s="9"/>
      <c r="R1789" s="9"/>
      <c r="S1789" s="9"/>
      <c r="T1789" s="9"/>
      <c r="U1789" s="9"/>
      <c r="V1789" s="9"/>
      <c r="W1789" s="9"/>
      <c r="X1789" s="9"/>
      <c r="Y1789" s="9"/>
      <c r="Z1789" s="9"/>
      <c r="AA1789" s="9"/>
      <c r="AB1789" s="9"/>
      <c r="AC1789" s="9"/>
      <c r="AD1789" s="9"/>
      <c r="AE1789" s="9"/>
      <c r="AF1789" s="9"/>
      <c r="AG1789" s="9"/>
      <c r="AH1789" s="9"/>
      <c r="AI1789" s="9"/>
      <c r="AJ1789" s="9"/>
      <c r="AK1789" s="9"/>
      <c r="AL1789" s="9"/>
      <c r="AM1789" s="9"/>
      <c r="AN1789" s="9"/>
      <c r="AO1789" s="9"/>
      <c r="AP1789" s="9"/>
      <c r="AQ1789" s="9"/>
      <c r="AR1789" s="9"/>
      <c r="AS1789" s="9"/>
      <c r="AT1789" s="9"/>
      <c r="AU1789" s="9"/>
    </row>
    <row r="1790" spans="1:47" ht="15.75" customHeight="1">
      <c r="A1790" s="9"/>
      <c r="B1790" s="9"/>
      <c r="C1790" s="9"/>
      <c r="D1790" s="9"/>
      <c r="E1790" s="9"/>
      <c r="F1790" s="67"/>
      <c r="G1790" s="9"/>
      <c r="H1790" s="9"/>
      <c r="I1790" s="9"/>
      <c r="J1790" s="9"/>
      <c r="K1790" s="9"/>
      <c r="L1790" s="9"/>
      <c r="M1790" s="9"/>
      <c r="N1790" s="9"/>
      <c r="O1790" s="9"/>
      <c r="P1790" s="9"/>
      <c r="Q1790" s="9"/>
      <c r="R1790" s="9"/>
      <c r="S1790" s="9"/>
      <c r="T1790" s="9"/>
      <c r="U1790" s="9"/>
      <c r="V1790" s="9"/>
      <c r="W1790" s="9"/>
      <c r="X1790" s="9"/>
      <c r="Y1790" s="9"/>
      <c r="Z1790" s="9"/>
      <c r="AA1790" s="9"/>
      <c r="AB1790" s="9"/>
      <c r="AC1790" s="9"/>
      <c r="AD1790" s="9"/>
      <c r="AE1790" s="9"/>
      <c r="AF1790" s="9"/>
      <c r="AG1790" s="9"/>
      <c r="AH1790" s="9"/>
      <c r="AI1790" s="9"/>
      <c r="AJ1790" s="9"/>
      <c r="AK1790" s="9"/>
      <c r="AL1790" s="9"/>
      <c r="AM1790" s="9"/>
      <c r="AN1790" s="9"/>
      <c r="AO1790" s="9"/>
      <c r="AP1790" s="9"/>
      <c r="AQ1790" s="9"/>
      <c r="AR1790" s="9"/>
      <c r="AS1790" s="9"/>
      <c r="AT1790" s="9"/>
      <c r="AU1790" s="9"/>
    </row>
    <row r="1791" spans="1:47" ht="15.75" customHeight="1">
      <c r="A1791" s="9"/>
      <c r="B1791" s="9"/>
      <c r="C1791" s="9"/>
      <c r="D1791" s="9"/>
      <c r="E1791" s="9"/>
      <c r="F1791" s="67"/>
      <c r="G1791" s="9"/>
      <c r="H1791" s="9"/>
      <c r="I1791" s="9"/>
      <c r="J1791" s="9"/>
      <c r="K1791" s="9"/>
      <c r="L1791" s="9"/>
      <c r="M1791" s="9"/>
      <c r="N1791" s="9"/>
      <c r="O1791" s="9"/>
      <c r="P1791" s="9"/>
      <c r="Q1791" s="9"/>
      <c r="R1791" s="9"/>
      <c r="S1791" s="9"/>
      <c r="T1791" s="9"/>
      <c r="U1791" s="9"/>
      <c r="V1791" s="9"/>
      <c r="W1791" s="9"/>
      <c r="X1791" s="9"/>
      <c r="Y1791" s="9"/>
      <c r="Z1791" s="9"/>
      <c r="AA1791" s="9"/>
      <c r="AB1791" s="9"/>
      <c r="AC1791" s="9"/>
      <c r="AD1791" s="9"/>
      <c r="AE1791" s="9"/>
      <c r="AF1791" s="9"/>
      <c r="AG1791" s="9"/>
      <c r="AH1791" s="9"/>
      <c r="AI1791" s="9"/>
      <c r="AJ1791" s="9"/>
      <c r="AK1791" s="9"/>
      <c r="AL1791" s="9"/>
      <c r="AM1791" s="9"/>
      <c r="AN1791" s="9"/>
      <c r="AO1791" s="9"/>
      <c r="AP1791" s="9"/>
      <c r="AQ1791" s="9"/>
      <c r="AR1791" s="9"/>
      <c r="AS1791" s="9"/>
      <c r="AT1791" s="9"/>
      <c r="AU1791" s="9"/>
    </row>
    <row r="1792" spans="1:47" ht="15.75" customHeight="1">
      <c r="A1792" s="9"/>
      <c r="B1792" s="9"/>
      <c r="C1792" s="9"/>
      <c r="D1792" s="9"/>
      <c r="E1792" s="9"/>
      <c r="F1792" s="67"/>
      <c r="G1792" s="9"/>
      <c r="H1792" s="9"/>
      <c r="I1792" s="9"/>
      <c r="J1792" s="9"/>
      <c r="K1792" s="9"/>
      <c r="L1792" s="9"/>
      <c r="M1792" s="9"/>
      <c r="N1792" s="9"/>
      <c r="O1792" s="9"/>
      <c r="P1792" s="9"/>
      <c r="Q1792" s="9"/>
      <c r="R1792" s="9"/>
      <c r="S1792" s="9"/>
      <c r="T1792" s="9"/>
      <c r="U1792" s="9"/>
      <c r="V1792" s="9"/>
      <c r="W1792" s="9"/>
      <c r="X1792" s="9"/>
      <c r="Y1792" s="9"/>
      <c r="Z1792" s="9"/>
      <c r="AA1792" s="9"/>
      <c r="AB1792" s="9"/>
      <c r="AC1792" s="9"/>
      <c r="AD1792" s="9"/>
      <c r="AE1792" s="9"/>
      <c r="AF1792" s="9"/>
      <c r="AG1792" s="9"/>
      <c r="AH1792" s="9"/>
      <c r="AI1792" s="9"/>
      <c r="AJ1792" s="9"/>
      <c r="AK1792" s="9"/>
      <c r="AL1792" s="9"/>
      <c r="AM1792" s="9"/>
      <c r="AN1792" s="9"/>
      <c r="AO1792" s="9"/>
      <c r="AP1792" s="9"/>
      <c r="AQ1792" s="9"/>
      <c r="AR1792" s="9"/>
      <c r="AS1792" s="9"/>
      <c r="AT1792" s="9"/>
      <c r="AU1792" s="9"/>
    </row>
    <row r="1793" spans="1:47" ht="15.75" customHeight="1">
      <c r="A1793" s="9"/>
      <c r="B1793" s="9"/>
      <c r="C1793" s="9"/>
      <c r="D1793" s="9"/>
      <c r="E1793" s="9"/>
      <c r="F1793" s="67"/>
      <c r="G1793" s="9"/>
      <c r="H1793" s="9"/>
      <c r="I1793" s="9"/>
      <c r="J1793" s="9"/>
      <c r="K1793" s="9"/>
      <c r="L1793" s="9"/>
      <c r="M1793" s="9"/>
      <c r="N1793" s="9"/>
      <c r="O1793" s="9"/>
      <c r="P1793" s="9"/>
      <c r="Q1793" s="9"/>
      <c r="R1793" s="9"/>
      <c r="S1793" s="9"/>
      <c r="T1793" s="9"/>
      <c r="U1793" s="9"/>
      <c r="V1793" s="9"/>
      <c r="W1793" s="9"/>
      <c r="X1793" s="9"/>
      <c r="Y1793" s="9"/>
      <c r="Z1793" s="9"/>
      <c r="AA1793" s="9"/>
      <c r="AB1793" s="9"/>
      <c r="AC1793" s="9"/>
      <c r="AD1793" s="9"/>
      <c r="AE1793" s="9"/>
      <c r="AF1793" s="9"/>
      <c r="AG1793" s="9"/>
      <c r="AH1793" s="9"/>
      <c r="AI1793" s="9"/>
      <c r="AJ1793" s="9"/>
      <c r="AK1793" s="9"/>
      <c r="AL1793" s="9"/>
      <c r="AM1793" s="9"/>
      <c r="AN1793" s="9"/>
      <c r="AO1793" s="9"/>
      <c r="AP1793" s="9"/>
      <c r="AQ1793" s="9"/>
      <c r="AR1793" s="9"/>
      <c r="AS1793" s="9"/>
      <c r="AT1793" s="9"/>
      <c r="AU1793" s="9"/>
    </row>
    <row r="1794" spans="1:47" ht="15.75" customHeight="1">
      <c r="A1794" s="9"/>
      <c r="B1794" s="9"/>
      <c r="C1794" s="9"/>
      <c r="D1794" s="9"/>
      <c r="E1794" s="9"/>
      <c r="F1794" s="67"/>
      <c r="G1794" s="9"/>
      <c r="H1794" s="9"/>
      <c r="I1794" s="9"/>
      <c r="J1794" s="9"/>
      <c r="K1794" s="9"/>
      <c r="L1794" s="9"/>
      <c r="M1794" s="9"/>
      <c r="N1794" s="9"/>
      <c r="O1794" s="9"/>
      <c r="P1794" s="9"/>
      <c r="Q1794" s="9"/>
      <c r="R1794" s="9"/>
      <c r="S1794" s="9"/>
      <c r="T1794" s="9"/>
      <c r="U1794" s="9"/>
      <c r="V1794" s="9"/>
      <c r="W1794" s="9"/>
      <c r="X1794" s="9"/>
      <c r="Y1794" s="9"/>
      <c r="Z1794" s="9"/>
      <c r="AA1794" s="9"/>
      <c r="AB1794" s="9"/>
      <c r="AC1794" s="9"/>
      <c r="AD1794" s="9"/>
      <c r="AE1794" s="9"/>
      <c r="AF1794" s="9"/>
      <c r="AG1794" s="9"/>
      <c r="AH1794" s="9"/>
      <c r="AI1794" s="9"/>
      <c r="AJ1794" s="9"/>
      <c r="AK1794" s="9"/>
      <c r="AL1794" s="9"/>
      <c r="AM1794" s="9"/>
      <c r="AN1794" s="9"/>
      <c r="AO1794" s="9"/>
      <c r="AP1794" s="9"/>
      <c r="AQ1794" s="9"/>
      <c r="AR1794" s="9"/>
      <c r="AS1794" s="9"/>
      <c r="AT1794" s="9"/>
      <c r="AU1794" s="9"/>
    </row>
    <row r="1795" spans="1:47" ht="15.75" customHeight="1">
      <c r="A1795" s="9"/>
      <c r="B1795" s="9"/>
      <c r="C1795" s="9"/>
      <c r="D1795" s="9"/>
      <c r="E1795" s="9"/>
      <c r="F1795" s="67"/>
      <c r="G1795" s="9"/>
      <c r="H1795" s="9"/>
      <c r="I1795" s="9"/>
      <c r="J1795" s="9"/>
      <c r="K1795" s="9"/>
      <c r="L1795" s="9"/>
      <c r="M1795" s="9"/>
      <c r="N1795" s="9"/>
      <c r="O1795" s="9"/>
      <c r="P1795" s="9"/>
      <c r="Q1795" s="9"/>
      <c r="R1795" s="9"/>
      <c r="S1795" s="9"/>
      <c r="T1795" s="9"/>
      <c r="U1795" s="9"/>
      <c r="V1795" s="9"/>
      <c r="W1795" s="9"/>
      <c r="X1795" s="9"/>
      <c r="Y1795" s="9"/>
      <c r="Z1795" s="9"/>
      <c r="AA1795" s="9"/>
      <c r="AB1795" s="9"/>
      <c r="AC1795" s="9"/>
      <c r="AD1795" s="9"/>
      <c r="AE1795" s="9"/>
      <c r="AF1795" s="9"/>
      <c r="AG1795" s="9"/>
      <c r="AH1795" s="9"/>
      <c r="AI1795" s="9"/>
      <c r="AJ1795" s="9"/>
      <c r="AK1795" s="9"/>
      <c r="AL1795" s="9"/>
      <c r="AM1795" s="9"/>
      <c r="AN1795" s="9"/>
      <c r="AO1795" s="9"/>
      <c r="AP1795" s="9"/>
      <c r="AQ1795" s="9"/>
      <c r="AR1795" s="9"/>
      <c r="AS1795" s="9"/>
      <c r="AT1795" s="9"/>
      <c r="AU1795" s="9"/>
    </row>
    <row r="1796" spans="1:47" ht="15.75" customHeight="1">
      <c r="A1796" s="9"/>
      <c r="B1796" s="9"/>
      <c r="C1796" s="9"/>
      <c r="D1796" s="9"/>
      <c r="E1796" s="9"/>
      <c r="F1796" s="67"/>
      <c r="G1796" s="9"/>
      <c r="H1796" s="9"/>
      <c r="I1796" s="9"/>
      <c r="J1796" s="9"/>
      <c r="K1796" s="9"/>
      <c r="L1796" s="9"/>
      <c r="M1796" s="9"/>
      <c r="N1796" s="9"/>
      <c r="O1796" s="9"/>
      <c r="P1796" s="9"/>
      <c r="Q1796" s="9"/>
      <c r="R1796" s="9"/>
      <c r="S1796" s="9"/>
      <c r="T1796" s="9"/>
      <c r="U1796" s="9"/>
      <c r="V1796" s="9"/>
      <c r="W1796" s="9"/>
      <c r="X1796" s="9"/>
      <c r="Y1796" s="9"/>
      <c r="Z1796" s="9"/>
      <c r="AA1796" s="9"/>
      <c r="AB1796" s="9"/>
      <c r="AC1796" s="9"/>
      <c r="AD1796" s="9"/>
      <c r="AE1796" s="9"/>
      <c r="AF1796" s="9"/>
      <c r="AG1796" s="9"/>
      <c r="AH1796" s="9"/>
      <c r="AI1796" s="9"/>
      <c r="AJ1796" s="9"/>
      <c r="AK1796" s="9"/>
      <c r="AL1796" s="9"/>
      <c r="AM1796" s="9"/>
      <c r="AN1796" s="9"/>
      <c r="AO1796" s="9"/>
      <c r="AP1796" s="9"/>
      <c r="AQ1796" s="9"/>
      <c r="AR1796" s="9"/>
      <c r="AS1796" s="9"/>
      <c r="AT1796" s="9"/>
      <c r="AU1796" s="9"/>
    </row>
    <row r="1797" spans="1:47" ht="15.75" customHeight="1">
      <c r="A1797" s="9"/>
      <c r="B1797" s="9"/>
      <c r="C1797" s="9"/>
      <c r="D1797" s="9"/>
      <c r="E1797" s="9"/>
      <c r="F1797" s="67"/>
      <c r="G1797" s="9"/>
      <c r="H1797" s="9"/>
      <c r="I1797" s="9"/>
      <c r="J1797" s="9"/>
      <c r="K1797" s="9"/>
      <c r="L1797" s="9"/>
      <c r="M1797" s="9"/>
      <c r="N1797" s="9"/>
      <c r="O1797" s="9"/>
      <c r="P1797" s="9"/>
      <c r="Q1797" s="9"/>
      <c r="R1797" s="9"/>
      <c r="S1797" s="9"/>
      <c r="T1797" s="9"/>
      <c r="U1797" s="9"/>
      <c r="V1797" s="9"/>
      <c r="W1797" s="9"/>
      <c r="X1797" s="9"/>
      <c r="Y1797" s="9"/>
      <c r="Z1797" s="9"/>
      <c r="AA1797" s="9"/>
      <c r="AB1797" s="9"/>
      <c r="AC1797" s="9"/>
      <c r="AD1797" s="9"/>
      <c r="AE1797" s="9"/>
      <c r="AF1797" s="9"/>
      <c r="AG1797" s="9"/>
      <c r="AH1797" s="9"/>
      <c r="AI1797" s="9"/>
      <c r="AJ1797" s="9"/>
      <c r="AK1797" s="9"/>
      <c r="AL1797" s="9"/>
      <c r="AM1797" s="9"/>
      <c r="AN1797" s="9"/>
      <c r="AO1797" s="9"/>
      <c r="AP1797" s="9"/>
      <c r="AQ1797" s="9"/>
      <c r="AR1797" s="9"/>
      <c r="AS1797" s="9"/>
      <c r="AT1797" s="9"/>
      <c r="AU1797" s="9"/>
    </row>
    <row r="1798" spans="1:47" ht="15.75" customHeight="1">
      <c r="A1798" s="9"/>
      <c r="B1798" s="9"/>
      <c r="C1798" s="9"/>
      <c r="D1798" s="9"/>
      <c r="E1798" s="9"/>
      <c r="F1798" s="67"/>
      <c r="G1798" s="9"/>
      <c r="H1798" s="9"/>
      <c r="I1798" s="9"/>
      <c r="J1798" s="9"/>
      <c r="K1798" s="9"/>
      <c r="L1798" s="9"/>
      <c r="M1798" s="9"/>
      <c r="N1798" s="9"/>
      <c r="O1798" s="9"/>
      <c r="P1798" s="9"/>
      <c r="Q1798" s="9"/>
      <c r="R1798" s="9"/>
      <c r="S1798" s="9"/>
      <c r="T1798" s="9"/>
      <c r="U1798" s="9"/>
      <c r="V1798" s="9"/>
      <c r="W1798" s="9"/>
      <c r="X1798" s="9"/>
      <c r="Y1798" s="9"/>
      <c r="Z1798" s="9"/>
      <c r="AA1798" s="9"/>
      <c r="AB1798" s="9"/>
      <c r="AC1798" s="9"/>
      <c r="AD1798" s="9"/>
      <c r="AE1798" s="9"/>
      <c r="AF1798" s="9"/>
      <c r="AG1798" s="9"/>
      <c r="AH1798" s="9"/>
      <c r="AI1798" s="9"/>
      <c r="AJ1798" s="9"/>
      <c r="AK1798" s="9"/>
      <c r="AL1798" s="9"/>
      <c r="AM1798" s="9"/>
      <c r="AN1798" s="9"/>
      <c r="AO1798" s="9"/>
      <c r="AP1798" s="9"/>
      <c r="AQ1798" s="9"/>
      <c r="AR1798" s="9"/>
      <c r="AS1798" s="9"/>
      <c r="AT1798" s="9"/>
      <c r="AU1798" s="9"/>
    </row>
    <row r="1799" spans="1:47" ht="15.75" customHeight="1">
      <c r="A1799" s="9"/>
      <c r="B1799" s="9"/>
      <c r="C1799" s="9"/>
      <c r="D1799" s="9"/>
      <c r="E1799" s="9"/>
      <c r="F1799" s="67"/>
      <c r="G1799" s="9"/>
      <c r="H1799" s="9"/>
      <c r="I1799" s="9"/>
      <c r="J1799" s="9"/>
      <c r="K1799" s="9"/>
      <c r="L1799" s="9"/>
      <c r="M1799" s="9"/>
      <c r="N1799" s="9"/>
      <c r="O1799" s="9"/>
      <c r="P1799" s="9"/>
      <c r="Q1799" s="9"/>
      <c r="R1799" s="9"/>
      <c r="S1799" s="9"/>
      <c r="T1799" s="9"/>
      <c r="U1799" s="9"/>
      <c r="V1799" s="9"/>
      <c r="W1799" s="9"/>
      <c r="X1799" s="9"/>
      <c r="Y1799" s="9"/>
      <c r="Z1799" s="9"/>
      <c r="AA1799" s="9"/>
      <c r="AB1799" s="9"/>
      <c r="AC1799" s="9"/>
      <c r="AD1799" s="9"/>
      <c r="AE1799" s="9"/>
      <c r="AF1799" s="9"/>
      <c r="AG1799" s="9"/>
      <c r="AH1799" s="9"/>
      <c r="AI1799" s="9"/>
      <c r="AJ1799" s="9"/>
      <c r="AK1799" s="9"/>
      <c r="AL1799" s="9"/>
      <c r="AM1799" s="9"/>
      <c r="AN1799" s="9"/>
      <c r="AO1799" s="9"/>
      <c r="AP1799" s="9"/>
      <c r="AQ1799" s="9"/>
      <c r="AR1799" s="9"/>
      <c r="AS1799" s="9"/>
      <c r="AT1799" s="9"/>
      <c r="AU1799" s="9"/>
    </row>
    <row r="1800" spans="1:47" ht="15.75" customHeight="1">
      <c r="A1800" s="9"/>
      <c r="B1800" s="9"/>
      <c r="C1800" s="9"/>
      <c r="D1800" s="9"/>
      <c r="E1800" s="9"/>
      <c r="F1800" s="67"/>
      <c r="G1800" s="9"/>
      <c r="H1800" s="9"/>
      <c r="I1800" s="9"/>
      <c r="J1800" s="9"/>
      <c r="K1800" s="9"/>
      <c r="L1800" s="9"/>
      <c r="M1800" s="9"/>
      <c r="N1800" s="9"/>
      <c r="O1800" s="9"/>
      <c r="P1800" s="9"/>
      <c r="Q1800" s="9"/>
      <c r="R1800" s="9"/>
      <c r="S1800" s="9"/>
      <c r="T1800" s="9"/>
      <c r="U1800" s="9"/>
      <c r="V1800" s="9"/>
      <c r="W1800" s="9"/>
      <c r="X1800" s="9"/>
      <c r="Y1800" s="9"/>
      <c r="Z1800" s="9"/>
      <c r="AA1800" s="9"/>
      <c r="AB1800" s="9"/>
      <c r="AC1800" s="9"/>
      <c r="AD1800" s="9"/>
      <c r="AE1800" s="9"/>
      <c r="AF1800" s="9"/>
      <c r="AG1800" s="9"/>
      <c r="AH1800" s="9"/>
      <c r="AI1800" s="9"/>
      <c r="AJ1800" s="9"/>
      <c r="AK1800" s="9"/>
      <c r="AL1800" s="9"/>
      <c r="AM1800" s="9"/>
      <c r="AN1800" s="9"/>
      <c r="AO1800" s="9"/>
      <c r="AP1800" s="9"/>
      <c r="AQ1800" s="9"/>
      <c r="AR1800" s="9"/>
      <c r="AS1800" s="9"/>
      <c r="AT1800" s="9"/>
      <c r="AU1800" s="9"/>
    </row>
    <row r="1801" spans="1:47" ht="15.75" customHeight="1">
      <c r="A1801" s="9"/>
      <c r="B1801" s="9"/>
      <c r="C1801" s="9"/>
      <c r="D1801" s="9"/>
      <c r="E1801" s="9"/>
      <c r="F1801" s="67"/>
      <c r="G1801" s="9"/>
      <c r="H1801" s="9"/>
      <c r="I1801" s="9"/>
      <c r="J1801" s="9"/>
      <c r="K1801" s="9"/>
      <c r="L1801" s="9"/>
      <c r="M1801" s="9"/>
      <c r="N1801" s="9"/>
      <c r="O1801" s="9"/>
      <c r="P1801" s="9"/>
      <c r="Q1801" s="9"/>
      <c r="R1801" s="9"/>
      <c r="S1801" s="9"/>
      <c r="T1801" s="9"/>
      <c r="U1801" s="9"/>
      <c r="V1801" s="9"/>
      <c r="W1801" s="9"/>
      <c r="X1801" s="9"/>
      <c r="Y1801" s="9"/>
      <c r="Z1801" s="9"/>
      <c r="AA1801" s="9"/>
      <c r="AB1801" s="9"/>
      <c r="AC1801" s="9"/>
      <c r="AD1801" s="9"/>
      <c r="AE1801" s="9"/>
      <c r="AF1801" s="9"/>
      <c r="AG1801" s="9"/>
      <c r="AH1801" s="9"/>
      <c r="AI1801" s="9"/>
      <c r="AJ1801" s="9"/>
      <c r="AK1801" s="9"/>
      <c r="AL1801" s="9"/>
      <c r="AM1801" s="9"/>
      <c r="AN1801" s="9"/>
      <c r="AO1801" s="9"/>
      <c r="AP1801" s="9"/>
      <c r="AQ1801" s="9"/>
      <c r="AR1801" s="9"/>
      <c r="AS1801" s="9"/>
      <c r="AT1801" s="9"/>
      <c r="AU1801" s="9"/>
    </row>
    <row r="1802" spans="1:47" ht="15.75" customHeight="1">
      <c r="A1802" s="9"/>
      <c r="B1802" s="9"/>
      <c r="C1802" s="9"/>
      <c r="D1802" s="9"/>
      <c r="E1802" s="9"/>
      <c r="F1802" s="67"/>
      <c r="G1802" s="9"/>
      <c r="H1802" s="9"/>
      <c r="I1802" s="9"/>
      <c r="J1802" s="9"/>
      <c r="K1802" s="9"/>
      <c r="L1802" s="9"/>
      <c r="M1802" s="9"/>
      <c r="N1802" s="9"/>
      <c r="O1802" s="9"/>
      <c r="P1802" s="9"/>
      <c r="Q1802" s="9"/>
      <c r="R1802" s="9"/>
      <c r="S1802" s="9"/>
      <c r="T1802" s="9"/>
      <c r="U1802" s="9"/>
      <c r="V1802" s="9"/>
      <c r="W1802" s="9"/>
      <c r="X1802" s="9"/>
      <c r="Y1802" s="9"/>
      <c r="Z1802" s="9"/>
      <c r="AA1802" s="9"/>
      <c r="AB1802" s="9"/>
      <c r="AC1802" s="9"/>
      <c r="AD1802" s="9"/>
      <c r="AE1802" s="9"/>
      <c r="AF1802" s="9"/>
      <c r="AG1802" s="9"/>
      <c r="AH1802" s="9"/>
      <c r="AI1802" s="9"/>
      <c r="AJ1802" s="9"/>
      <c r="AK1802" s="9"/>
      <c r="AL1802" s="9"/>
      <c r="AM1802" s="9"/>
      <c r="AN1802" s="9"/>
      <c r="AO1802" s="9"/>
      <c r="AP1802" s="9"/>
      <c r="AQ1802" s="9"/>
      <c r="AR1802" s="9"/>
      <c r="AS1802" s="9"/>
      <c r="AT1802" s="9"/>
      <c r="AU1802" s="9"/>
    </row>
    <row r="1803" spans="1:47" ht="15.75" customHeight="1">
      <c r="A1803" s="9"/>
      <c r="B1803" s="9"/>
      <c r="C1803" s="9"/>
      <c r="D1803" s="9"/>
      <c r="E1803" s="9"/>
      <c r="F1803" s="67"/>
      <c r="G1803" s="9"/>
      <c r="H1803" s="9"/>
      <c r="I1803" s="9"/>
      <c r="J1803" s="9"/>
      <c r="K1803" s="9"/>
      <c r="L1803" s="9"/>
      <c r="M1803" s="9"/>
      <c r="N1803" s="9"/>
      <c r="O1803" s="9"/>
      <c r="P1803" s="9"/>
      <c r="Q1803" s="9"/>
      <c r="R1803" s="9"/>
      <c r="S1803" s="9"/>
      <c r="T1803" s="9"/>
      <c r="U1803" s="9"/>
      <c r="V1803" s="9"/>
      <c r="W1803" s="9"/>
      <c r="X1803" s="9"/>
      <c r="Y1803" s="9"/>
      <c r="Z1803" s="9"/>
      <c r="AA1803" s="9"/>
      <c r="AB1803" s="9"/>
      <c r="AC1803" s="9"/>
      <c r="AD1803" s="9"/>
      <c r="AE1803" s="9"/>
      <c r="AF1803" s="9"/>
      <c r="AG1803" s="9"/>
      <c r="AH1803" s="9"/>
      <c r="AI1803" s="9"/>
      <c r="AJ1803" s="9"/>
      <c r="AK1803" s="9"/>
      <c r="AL1803" s="9"/>
      <c r="AM1803" s="9"/>
      <c r="AN1803" s="9"/>
      <c r="AO1803" s="9"/>
      <c r="AP1803" s="9"/>
      <c r="AQ1803" s="9"/>
      <c r="AR1803" s="9"/>
      <c r="AS1803" s="9"/>
      <c r="AT1803" s="9"/>
      <c r="AU1803" s="9"/>
    </row>
    <row r="1804" spans="1:47" ht="15.75" customHeight="1">
      <c r="A1804" s="9"/>
      <c r="B1804" s="9"/>
      <c r="C1804" s="9"/>
      <c r="D1804" s="9"/>
      <c r="E1804" s="9"/>
      <c r="F1804" s="67"/>
      <c r="G1804" s="9"/>
      <c r="H1804" s="9"/>
      <c r="I1804" s="9"/>
      <c r="J1804" s="9"/>
      <c r="K1804" s="9"/>
      <c r="L1804" s="9"/>
      <c r="M1804" s="9"/>
      <c r="N1804" s="9"/>
      <c r="O1804" s="9"/>
      <c r="P1804" s="9"/>
      <c r="Q1804" s="9"/>
      <c r="R1804" s="9"/>
      <c r="S1804" s="9"/>
      <c r="T1804" s="9"/>
      <c r="U1804" s="9"/>
      <c r="V1804" s="9"/>
      <c r="W1804" s="9"/>
      <c r="X1804" s="9"/>
      <c r="Y1804" s="9"/>
      <c r="Z1804" s="9"/>
      <c r="AA1804" s="9"/>
      <c r="AB1804" s="9"/>
      <c r="AC1804" s="9"/>
      <c r="AD1804" s="9"/>
      <c r="AE1804" s="9"/>
      <c r="AF1804" s="9"/>
      <c r="AG1804" s="9"/>
      <c r="AH1804" s="9"/>
      <c r="AI1804" s="9"/>
      <c r="AJ1804" s="9"/>
      <c r="AK1804" s="9"/>
      <c r="AL1804" s="9"/>
      <c r="AM1804" s="9"/>
      <c r="AN1804" s="9"/>
      <c r="AO1804" s="9"/>
      <c r="AP1804" s="9"/>
      <c r="AQ1804" s="9"/>
      <c r="AR1804" s="9"/>
      <c r="AS1804" s="9"/>
      <c r="AT1804" s="9"/>
      <c r="AU1804" s="9"/>
    </row>
    <row r="1805" spans="1:47" ht="15.75" customHeight="1">
      <c r="A1805" s="9"/>
      <c r="B1805" s="9"/>
      <c r="C1805" s="9"/>
      <c r="D1805" s="9"/>
      <c r="E1805" s="9"/>
      <c r="F1805" s="67"/>
      <c r="G1805" s="9"/>
      <c r="H1805" s="9"/>
      <c r="I1805" s="9"/>
      <c r="J1805" s="9"/>
      <c r="K1805" s="9"/>
      <c r="L1805" s="9"/>
      <c r="M1805" s="9"/>
      <c r="N1805" s="9"/>
      <c r="O1805" s="9"/>
      <c r="P1805" s="9"/>
      <c r="Q1805" s="9"/>
      <c r="R1805" s="9"/>
      <c r="S1805" s="9"/>
      <c r="T1805" s="9"/>
      <c r="U1805" s="9"/>
      <c r="V1805" s="9"/>
      <c r="W1805" s="9"/>
      <c r="X1805" s="9"/>
      <c r="Y1805" s="9"/>
      <c r="Z1805" s="9"/>
      <c r="AA1805" s="9"/>
      <c r="AB1805" s="9"/>
      <c r="AC1805" s="9"/>
      <c r="AD1805" s="9"/>
      <c r="AE1805" s="9"/>
      <c r="AF1805" s="9"/>
      <c r="AG1805" s="9"/>
      <c r="AH1805" s="9"/>
      <c r="AI1805" s="9"/>
      <c r="AJ1805" s="9"/>
      <c r="AK1805" s="9"/>
      <c r="AL1805" s="9"/>
      <c r="AM1805" s="9"/>
      <c r="AN1805" s="9"/>
      <c r="AO1805" s="9"/>
      <c r="AP1805" s="9"/>
      <c r="AQ1805" s="9"/>
      <c r="AR1805" s="9"/>
      <c r="AS1805" s="9"/>
      <c r="AT1805" s="9"/>
      <c r="AU1805" s="9"/>
    </row>
    <row r="1806" spans="1:47" ht="15.75" customHeight="1">
      <c r="A1806" s="9"/>
      <c r="B1806" s="9"/>
      <c r="C1806" s="9"/>
      <c r="D1806" s="9"/>
      <c r="E1806" s="9"/>
      <c r="F1806" s="67"/>
      <c r="G1806" s="9"/>
      <c r="H1806" s="9"/>
      <c r="I1806" s="9"/>
      <c r="J1806" s="9"/>
      <c r="K1806" s="9"/>
      <c r="L1806" s="9"/>
      <c r="M1806" s="9"/>
      <c r="N1806" s="9"/>
      <c r="O1806" s="9"/>
      <c r="P1806" s="9"/>
      <c r="Q1806" s="9"/>
      <c r="R1806" s="9"/>
      <c r="S1806" s="9"/>
      <c r="T1806" s="9"/>
      <c r="U1806" s="9"/>
      <c r="V1806" s="9"/>
      <c r="W1806" s="9"/>
      <c r="X1806" s="9"/>
      <c r="Y1806" s="9"/>
      <c r="Z1806" s="9"/>
      <c r="AA1806" s="9"/>
      <c r="AB1806" s="9"/>
      <c r="AC1806" s="9"/>
      <c r="AD1806" s="9"/>
      <c r="AE1806" s="9"/>
      <c r="AF1806" s="9"/>
      <c r="AG1806" s="9"/>
      <c r="AH1806" s="9"/>
      <c r="AI1806" s="9"/>
      <c r="AJ1806" s="9"/>
      <c r="AK1806" s="9"/>
      <c r="AL1806" s="9"/>
      <c r="AM1806" s="9"/>
      <c r="AN1806" s="9"/>
      <c r="AO1806" s="9"/>
      <c r="AP1806" s="9"/>
      <c r="AQ1806" s="9"/>
      <c r="AR1806" s="9"/>
      <c r="AS1806" s="9"/>
      <c r="AT1806" s="9"/>
      <c r="AU1806" s="9"/>
    </row>
    <row r="1807" spans="1:47" ht="15.75" customHeight="1">
      <c r="A1807" s="9"/>
      <c r="B1807" s="9"/>
      <c r="C1807" s="9"/>
      <c r="D1807" s="9"/>
      <c r="E1807" s="9"/>
      <c r="F1807" s="67"/>
      <c r="G1807" s="9"/>
      <c r="H1807" s="9"/>
      <c r="I1807" s="9"/>
      <c r="J1807" s="9"/>
      <c r="K1807" s="9"/>
      <c r="L1807" s="9"/>
      <c r="M1807" s="9"/>
      <c r="N1807" s="9"/>
      <c r="O1807" s="9"/>
      <c r="P1807" s="9"/>
      <c r="Q1807" s="9"/>
      <c r="R1807" s="9"/>
      <c r="S1807" s="9"/>
      <c r="T1807" s="9"/>
      <c r="U1807" s="9"/>
      <c r="V1807" s="9"/>
      <c r="W1807" s="9"/>
      <c r="X1807" s="9"/>
      <c r="Y1807" s="9"/>
      <c r="Z1807" s="9"/>
      <c r="AA1807" s="9"/>
      <c r="AB1807" s="9"/>
      <c r="AC1807" s="9"/>
      <c r="AD1807" s="9"/>
      <c r="AE1807" s="9"/>
      <c r="AF1807" s="9"/>
      <c r="AG1807" s="9"/>
      <c r="AH1807" s="9"/>
      <c r="AI1807" s="9"/>
      <c r="AJ1807" s="9"/>
      <c r="AK1807" s="9"/>
      <c r="AL1807" s="9"/>
      <c r="AM1807" s="9"/>
      <c r="AN1807" s="9"/>
      <c r="AO1807" s="9"/>
      <c r="AP1807" s="9"/>
      <c r="AQ1807" s="9"/>
      <c r="AR1807" s="9"/>
      <c r="AS1807" s="9"/>
      <c r="AT1807" s="9"/>
      <c r="AU1807" s="9"/>
    </row>
    <row r="1808" spans="1:47" ht="15.75" customHeight="1">
      <c r="A1808" s="9"/>
      <c r="B1808" s="9"/>
      <c r="C1808" s="9"/>
      <c r="D1808" s="9"/>
      <c r="E1808" s="9"/>
      <c r="F1808" s="67"/>
      <c r="G1808" s="9"/>
      <c r="H1808" s="9"/>
      <c r="I1808" s="9"/>
      <c r="J1808" s="9"/>
      <c r="K1808" s="9"/>
      <c r="L1808" s="9"/>
      <c r="M1808" s="9"/>
      <c r="N1808" s="9"/>
      <c r="O1808" s="9"/>
      <c r="P1808" s="9"/>
      <c r="Q1808" s="9"/>
      <c r="R1808" s="9"/>
      <c r="S1808" s="9"/>
      <c r="T1808" s="9"/>
      <c r="U1808" s="9"/>
      <c r="V1808" s="9"/>
      <c r="W1808" s="9"/>
      <c r="X1808" s="9"/>
      <c r="Y1808" s="9"/>
      <c r="Z1808" s="9"/>
      <c r="AA1808" s="9"/>
      <c r="AB1808" s="9"/>
      <c r="AC1808" s="9"/>
      <c r="AD1808" s="9"/>
      <c r="AE1808" s="9"/>
      <c r="AF1808" s="9"/>
      <c r="AG1808" s="9"/>
      <c r="AH1808" s="9"/>
      <c r="AI1808" s="9"/>
      <c r="AJ1808" s="9"/>
      <c r="AK1808" s="9"/>
      <c r="AL1808" s="9"/>
      <c r="AM1808" s="9"/>
      <c r="AN1808" s="9"/>
      <c r="AO1808" s="9"/>
      <c r="AP1808" s="9"/>
      <c r="AQ1808" s="9"/>
      <c r="AR1808" s="9"/>
      <c r="AS1808" s="9"/>
      <c r="AT1808" s="9"/>
      <c r="AU1808" s="9"/>
    </row>
    <row r="1809" spans="1:47" ht="15.75" customHeight="1">
      <c r="A1809" s="9"/>
      <c r="B1809" s="9"/>
      <c r="C1809" s="9"/>
      <c r="D1809" s="9"/>
      <c r="E1809" s="9"/>
      <c r="F1809" s="67"/>
      <c r="G1809" s="9"/>
      <c r="H1809" s="9"/>
      <c r="I1809" s="9"/>
      <c r="J1809" s="9"/>
      <c r="K1809" s="9"/>
      <c r="L1809" s="9"/>
      <c r="M1809" s="9"/>
      <c r="N1809" s="9"/>
      <c r="O1809" s="9"/>
      <c r="P1809" s="9"/>
      <c r="Q1809" s="9"/>
      <c r="R1809" s="9"/>
      <c r="S1809" s="9"/>
      <c r="T1809" s="9"/>
      <c r="U1809" s="9"/>
      <c r="V1809" s="9"/>
      <c r="W1809" s="9"/>
      <c r="X1809" s="9"/>
      <c r="Y1809" s="9"/>
      <c r="Z1809" s="9"/>
      <c r="AA1809" s="9"/>
      <c r="AB1809" s="9"/>
      <c r="AC1809" s="9"/>
      <c r="AD1809" s="9"/>
      <c r="AE1809" s="9"/>
      <c r="AF1809" s="9"/>
      <c r="AG1809" s="9"/>
      <c r="AH1809" s="9"/>
      <c r="AI1809" s="9"/>
      <c r="AJ1809" s="9"/>
      <c r="AK1809" s="9"/>
      <c r="AL1809" s="9"/>
      <c r="AM1809" s="9"/>
      <c r="AN1809" s="9"/>
      <c r="AO1809" s="9"/>
      <c r="AP1809" s="9"/>
      <c r="AQ1809" s="9"/>
      <c r="AR1809" s="9"/>
      <c r="AS1809" s="9"/>
      <c r="AT1809" s="9"/>
      <c r="AU1809" s="9"/>
    </row>
    <row r="1810" spans="1:47" ht="15.75" customHeight="1">
      <c r="A1810" s="9"/>
      <c r="B1810" s="9"/>
      <c r="C1810" s="9"/>
      <c r="D1810" s="9"/>
      <c r="E1810" s="9"/>
      <c r="F1810" s="67"/>
      <c r="G1810" s="9"/>
      <c r="H1810" s="9"/>
      <c r="I1810" s="9"/>
      <c r="J1810" s="9"/>
      <c r="K1810" s="9"/>
      <c r="L1810" s="9"/>
      <c r="M1810" s="9"/>
      <c r="N1810" s="9"/>
      <c r="O1810" s="9"/>
      <c r="P1810" s="9"/>
      <c r="Q1810" s="9"/>
      <c r="R1810" s="9"/>
      <c r="S1810" s="9"/>
      <c r="T1810" s="9"/>
      <c r="U1810" s="9"/>
      <c r="V1810" s="9"/>
      <c r="W1810" s="9"/>
      <c r="X1810" s="9"/>
      <c r="Y1810" s="9"/>
      <c r="Z1810" s="9"/>
      <c r="AA1810" s="9"/>
      <c r="AB1810" s="9"/>
      <c r="AC1810" s="9"/>
      <c r="AD1810" s="9"/>
      <c r="AE1810" s="9"/>
      <c r="AF1810" s="9"/>
      <c r="AG1810" s="9"/>
      <c r="AH1810" s="9"/>
      <c r="AI1810" s="9"/>
      <c r="AJ1810" s="9"/>
      <c r="AK1810" s="9"/>
      <c r="AL1810" s="9"/>
      <c r="AM1810" s="9"/>
      <c r="AN1810" s="9"/>
      <c r="AO1810" s="9"/>
      <c r="AP1810" s="9"/>
      <c r="AQ1810" s="9"/>
      <c r="AR1810" s="9"/>
      <c r="AS1810" s="9"/>
      <c r="AT1810" s="9"/>
      <c r="AU1810" s="9"/>
    </row>
    <row r="1811" spans="1:47" ht="15.75" customHeight="1">
      <c r="A1811" s="9"/>
      <c r="B1811" s="9"/>
      <c r="C1811" s="9"/>
      <c r="D1811" s="9"/>
      <c r="E1811" s="9"/>
      <c r="F1811" s="67"/>
      <c r="G1811" s="9"/>
      <c r="H1811" s="9"/>
      <c r="I1811" s="9"/>
      <c r="J1811" s="9"/>
      <c r="K1811" s="9"/>
      <c r="L1811" s="9"/>
      <c r="M1811" s="9"/>
      <c r="N1811" s="9"/>
      <c r="O1811" s="9"/>
      <c r="P1811" s="9"/>
      <c r="Q1811" s="9"/>
      <c r="R1811" s="9"/>
      <c r="S1811" s="9"/>
      <c r="T1811" s="9"/>
      <c r="U1811" s="9"/>
      <c r="V1811" s="9"/>
      <c r="W1811" s="9"/>
      <c r="X1811" s="9"/>
      <c r="Y1811" s="9"/>
      <c r="Z1811" s="9"/>
      <c r="AA1811" s="9"/>
      <c r="AB1811" s="9"/>
      <c r="AC1811" s="9"/>
      <c r="AD1811" s="9"/>
      <c r="AE1811" s="9"/>
      <c r="AF1811" s="9"/>
      <c r="AG1811" s="9"/>
      <c r="AH1811" s="9"/>
      <c r="AI1811" s="9"/>
      <c r="AJ1811" s="9"/>
      <c r="AK1811" s="9"/>
      <c r="AL1811" s="9"/>
      <c r="AM1811" s="9"/>
      <c r="AN1811" s="9"/>
      <c r="AO1811" s="9"/>
      <c r="AP1811" s="9"/>
      <c r="AQ1811" s="9"/>
      <c r="AR1811" s="9"/>
      <c r="AS1811" s="9"/>
      <c r="AT1811" s="9"/>
      <c r="AU1811" s="9"/>
    </row>
    <row r="1812" spans="1:47" ht="15.75" customHeight="1">
      <c r="A1812" s="9"/>
      <c r="B1812" s="9"/>
      <c r="C1812" s="9"/>
      <c r="D1812" s="9"/>
      <c r="E1812" s="9"/>
      <c r="F1812" s="67"/>
      <c r="G1812" s="9"/>
      <c r="H1812" s="9"/>
      <c r="I1812" s="9"/>
      <c r="J1812" s="9"/>
      <c r="K1812" s="9"/>
      <c r="L1812" s="9"/>
      <c r="M1812" s="9"/>
      <c r="N1812" s="9"/>
      <c r="O1812" s="9"/>
      <c r="P1812" s="9"/>
      <c r="Q1812" s="9"/>
      <c r="R1812" s="9"/>
      <c r="S1812" s="9"/>
      <c r="T1812" s="9"/>
      <c r="U1812" s="9"/>
      <c r="V1812" s="9"/>
      <c r="W1812" s="9"/>
      <c r="X1812" s="9"/>
      <c r="Y1812" s="9"/>
      <c r="Z1812" s="9"/>
      <c r="AA1812" s="9"/>
      <c r="AB1812" s="9"/>
      <c r="AC1812" s="9"/>
      <c r="AD1812" s="9"/>
      <c r="AE1812" s="9"/>
      <c r="AF1812" s="9"/>
      <c r="AG1812" s="9"/>
      <c r="AH1812" s="9"/>
      <c r="AI1812" s="9"/>
      <c r="AJ1812" s="9"/>
      <c r="AK1812" s="9"/>
      <c r="AL1812" s="9"/>
      <c r="AM1812" s="9"/>
      <c r="AN1812" s="9"/>
      <c r="AO1812" s="9"/>
      <c r="AP1812" s="9"/>
      <c r="AQ1812" s="9"/>
      <c r="AR1812" s="9"/>
      <c r="AS1812" s="9"/>
      <c r="AT1812" s="9"/>
      <c r="AU1812" s="9"/>
    </row>
    <row r="1813" spans="1:47" ht="15.75" customHeight="1">
      <c r="A1813" s="9"/>
      <c r="B1813" s="9"/>
      <c r="C1813" s="9"/>
      <c r="D1813" s="9"/>
      <c r="E1813" s="9"/>
      <c r="F1813" s="67"/>
      <c r="G1813" s="9"/>
      <c r="H1813" s="9"/>
      <c r="I1813" s="9"/>
      <c r="J1813" s="9"/>
      <c r="K1813" s="9"/>
      <c r="L1813" s="9"/>
      <c r="M1813" s="9"/>
      <c r="N1813" s="9"/>
      <c r="O1813" s="9"/>
      <c r="P1813" s="9"/>
      <c r="Q1813" s="9"/>
      <c r="R1813" s="9"/>
      <c r="S1813" s="9"/>
      <c r="T1813" s="9"/>
      <c r="U1813" s="9"/>
      <c r="V1813" s="9"/>
      <c r="W1813" s="9"/>
      <c r="X1813" s="9"/>
      <c r="Y1813" s="9"/>
      <c r="Z1813" s="9"/>
      <c r="AA1813" s="9"/>
      <c r="AB1813" s="9"/>
      <c r="AC1813" s="9"/>
      <c r="AD1813" s="9"/>
      <c r="AE1813" s="9"/>
      <c r="AF1813" s="9"/>
      <c r="AG1813" s="9"/>
      <c r="AH1813" s="9"/>
      <c r="AI1813" s="9"/>
      <c r="AJ1813" s="9"/>
      <c r="AK1813" s="9"/>
      <c r="AL1813" s="9"/>
      <c r="AM1813" s="9"/>
      <c r="AN1813" s="9"/>
      <c r="AO1813" s="9"/>
      <c r="AP1813" s="9"/>
      <c r="AQ1813" s="9"/>
      <c r="AR1813" s="9"/>
      <c r="AS1813" s="9"/>
      <c r="AT1813" s="9"/>
      <c r="AU1813" s="9"/>
    </row>
    <row r="1814" spans="1:47" ht="15.75" customHeight="1">
      <c r="A1814" s="9"/>
      <c r="B1814" s="9"/>
      <c r="C1814" s="9"/>
      <c r="D1814" s="9"/>
      <c r="E1814" s="9"/>
      <c r="F1814" s="67"/>
      <c r="G1814" s="9"/>
      <c r="H1814" s="9"/>
      <c r="I1814" s="9"/>
      <c r="J1814" s="9"/>
      <c r="K1814" s="9"/>
      <c r="L1814" s="9"/>
      <c r="M1814" s="9"/>
      <c r="N1814" s="9"/>
      <c r="O1814" s="9"/>
      <c r="P1814" s="9"/>
      <c r="Q1814" s="9"/>
      <c r="R1814" s="9"/>
      <c r="S1814" s="9"/>
      <c r="T1814" s="9"/>
      <c r="U1814" s="9"/>
      <c r="V1814" s="9"/>
      <c r="W1814" s="9"/>
      <c r="X1814" s="9"/>
      <c r="Y1814" s="9"/>
      <c r="Z1814" s="9"/>
      <c r="AA1814" s="9"/>
      <c r="AB1814" s="9"/>
      <c r="AC1814" s="9"/>
      <c r="AD1814" s="9"/>
      <c r="AE1814" s="9"/>
      <c r="AF1814" s="9"/>
      <c r="AG1814" s="9"/>
      <c r="AH1814" s="9"/>
      <c r="AI1814" s="9"/>
      <c r="AJ1814" s="9"/>
      <c r="AK1814" s="9"/>
      <c r="AL1814" s="9"/>
      <c r="AM1814" s="9"/>
      <c r="AN1814" s="9"/>
      <c r="AO1814" s="9"/>
      <c r="AP1814" s="9"/>
      <c r="AQ1814" s="9"/>
      <c r="AR1814" s="9"/>
      <c r="AS1814" s="9"/>
      <c r="AT1814" s="9"/>
      <c r="AU1814" s="9"/>
    </row>
    <row r="1815" spans="1:47" ht="15.75" customHeight="1">
      <c r="A1815" s="9"/>
      <c r="B1815" s="9"/>
      <c r="C1815" s="9"/>
      <c r="D1815" s="9"/>
      <c r="E1815" s="9"/>
      <c r="F1815" s="67"/>
      <c r="G1815" s="9"/>
      <c r="H1815" s="9"/>
      <c r="I1815" s="9"/>
      <c r="J1815" s="9"/>
      <c r="K1815" s="9"/>
      <c r="L1815" s="9"/>
      <c r="M1815" s="9"/>
      <c r="N1815" s="9"/>
      <c r="O1815" s="9"/>
      <c r="P1815" s="9"/>
      <c r="Q1815" s="9"/>
      <c r="R1815" s="9"/>
      <c r="S1815" s="9"/>
      <c r="T1815" s="9"/>
      <c r="U1815" s="9"/>
      <c r="V1815" s="9"/>
      <c r="W1815" s="9"/>
      <c r="X1815" s="9"/>
      <c r="Y1815" s="9"/>
      <c r="Z1815" s="9"/>
      <c r="AA1815" s="9"/>
      <c r="AB1815" s="9"/>
      <c r="AC1815" s="9"/>
      <c r="AD1815" s="9"/>
      <c r="AE1815" s="9"/>
      <c r="AF1815" s="9"/>
      <c r="AG1815" s="9"/>
      <c r="AH1815" s="9"/>
      <c r="AI1815" s="9"/>
      <c r="AJ1815" s="9"/>
      <c r="AK1815" s="9"/>
      <c r="AL1815" s="9"/>
      <c r="AM1815" s="9"/>
      <c r="AN1815" s="9"/>
      <c r="AO1815" s="9"/>
      <c r="AP1815" s="9"/>
      <c r="AQ1815" s="9"/>
      <c r="AR1815" s="9"/>
      <c r="AS1815" s="9"/>
      <c r="AT1815" s="9"/>
      <c r="AU1815" s="9"/>
    </row>
    <row r="1816" spans="1:47" ht="15.75" customHeight="1">
      <c r="A1816" s="9"/>
      <c r="B1816" s="9"/>
      <c r="C1816" s="9"/>
      <c r="D1816" s="9"/>
      <c r="E1816" s="9"/>
      <c r="F1816" s="67"/>
      <c r="G1816" s="9"/>
      <c r="H1816" s="9"/>
      <c r="I1816" s="9"/>
      <c r="J1816" s="9"/>
      <c r="K1816" s="9"/>
      <c r="L1816" s="9"/>
      <c r="M1816" s="9"/>
      <c r="N1816" s="9"/>
      <c r="O1816" s="9"/>
      <c r="P1816" s="9"/>
      <c r="Q1816" s="9"/>
      <c r="R1816" s="9"/>
      <c r="S1816" s="9"/>
      <c r="T1816" s="9"/>
      <c r="U1816" s="9"/>
      <c r="V1816" s="9"/>
      <c r="W1816" s="9"/>
      <c r="X1816" s="9"/>
      <c r="Y1816" s="9"/>
      <c r="Z1816" s="9"/>
      <c r="AA1816" s="9"/>
      <c r="AB1816" s="9"/>
      <c r="AC1816" s="9"/>
      <c r="AD1816" s="9"/>
      <c r="AE1816" s="9"/>
      <c r="AF1816" s="9"/>
      <c r="AG1816" s="9"/>
      <c r="AH1816" s="9"/>
      <c r="AI1816" s="9"/>
      <c r="AJ1816" s="9"/>
      <c r="AK1816" s="9"/>
      <c r="AL1816" s="9"/>
      <c r="AM1816" s="9"/>
      <c r="AN1816" s="9"/>
      <c r="AO1816" s="9"/>
      <c r="AP1816" s="9"/>
      <c r="AQ1816" s="9"/>
      <c r="AR1816" s="9"/>
      <c r="AS1816" s="9"/>
      <c r="AT1816" s="9"/>
      <c r="AU1816" s="9"/>
    </row>
    <row r="1817" spans="1:47" ht="15.75" customHeight="1">
      <c r="A1817" s="9"/>
      <c r="B1817" s="9"/>
      <c r="C1817" s="9"/>
      <c r="D1817" s="9"/>
      <c r="E1817" s="9"/>
      <c r="F1817" s="67"/>
      <c r="G1817" s="9"/>
      <c r="H1817" s="9"/>
      <c r="I1817" s="9"/>
      <c r="J1817" s="9"/>
      <c r="K1817" s="9"/>
      <c r="L1817" s="9"/>
      <c r="M1817" s="9"/>
      <c r="N1817" s="9"/>
      <c r="O1817" s="9"/>
      <c r="P1817" s="9"/>
      <c r="Q1817" s="9"/>
      <c r="R1817" s="9"/>
      <c r="S1817" s="9"/>
      <c r="T1817" s="9"/>
      <c r="U1817" s="9"/>
      <c r="V1817" s="9"/>
      <c r="W1817" s="9"/>
      <c r="X1817" s="9"/>
      <c r="Y1817" s="9"/>
      <c r="Z1817" s="9"/>
      <c r="AA1817" s="9"/>
      <c r="AB1817" s="9"/>
      <c r="AC1817" s="9"/>
      <c r="AD1817" s="9"/>
      <c r="AE1817" s="9"/>
      <c r="AF1817" s="9"/>
      <c r="AG1817" s="9"/>
      <c r="AH1817" s="9"/>
      <c r="AI1817" s="9"/>
      <c r="AJ1817" s="9"/>
      <c r="AK1817" s="9"/>
      <c r="AL1817" s="9"/>
      <c r="AM1817" s="9"/>
      <c r="AN1817" s="9"/>
      <c r="AO1817" s="9"/>
      <c r="AP1817" s="9"/>
      <c r="AQ1817" s="9"/>
      <c r="AR1817" s="9"/>
      <c r="AS1817" s="9"/>
      <c r="AT1817" s="9"/>
      <c r="AU1817" s="9"/>
    </row>
    <row r="1818" spans="1:47" ht="15.75" customHeight="1">
      <c r="A1818" s="9"/>
      <c r="B1818" s="9"/>
      <c r="C1818" s="9"/>
      <c r="D1818" s="9"/>
      <c r="E1818" s="9"/>
      <c r="F1818" s="67"/>
      <c r="G1818" s="9"/>
      <c r="H1818" s="9"/>
      <c r="I1818" s="9"/>
      <c r="J1818" s="9"/>
      <c r="K1818" s="9"/>
      <c r="L1818" s="9"/>
      <c r="M1818" s="9"/>
      <c r="N1818" s="9"/>
      <c r="O1818" s="9"/>
      <c r="P1818" s="9"/>
      <c r="Q1818" s="9"/>
      <c r="R1818" s="9"/>
      <c r="S1818" s="9"/>
      <c r="T1818" s="9"/>
      <c r="U1818" s="9"/>
      <c r="V1818" s="9"/>
      <c r="W1818" s="9"/>
      <c r="X1818" s="9"/>
      <c r="Y1818" s="9"/>
      <c r="Z1818" s="9"/>
      <c r="AA1818" s="9"/>
      <c r="AB1818" s="9"/>
      <c r="AC1818" s="9"/>
      <c r="AD1818" s="9"/>
      <c r="AE1818" s="9"/>
      <c r="AF1818" s="9"/>
      <c r="AG1818" s="9"/>
      <c r="AH1818" s="9"/>
      <c r="AI1818" s="9"/>
      <c r="AJ1818" s="9"/>
      <c r="AK1818" s="9"/>
      <c r="AL1818" s="9"/>
      <c r="AM1818" s="9"/>
      <c r="AN1818" s="9"/>
      <c r="AO1818" s="9"/>
      <c r="AP1818" s="9"/>
      <c r="AQ1818" s="9"/>
      <c r="AR1818" s="9"/>
      <c r="AS1818" s="9"/>
      <c r="AT1818" s="9"/>
      <c r="AU1818" s="9"/>
    </row>
    <row r="1819" spans="1:47" ht="15.75" customHeight="1">
      <c r="A1819" s="9"/>
      <c r="B1819" s="9"/>
      <c r="C1819" s="9"/>
      <c r="D1819" s="9"/>
      <c r="E1819" s="9"/>
      <c r="F1819" s="67"/>
      <c r="G1819" s="9"/>
      <c r="H1819" s="9"/>
      <c r="I1819" s="9"/>
      <c r="J1819" s="9"/>
      <c r="K1819" s="9"/>
      <c r="L1819" s="9"/>
      <c r="M1819" s="9"/>
      <c r="N1819" s="9"/>
      <c r="O1819" s="9"/>
      <c r="P1819" s="9"/>
      <c r="Q1819" s="9"/>
      <c r="R1819" s="9"/>
      <c r="S1819" s="9"/>
      <c r="T1819" s="9"/>
      <c r="U1819" s="9"/>
      <c r="V1819" s="9"/>
      <c r="W1819" s="9"/>
      <c r="X1819" s="9"/>
      <c r="Y1819" s="9"/>
      <c r="Z1819" s="9"/>
      <c r="AA1819" s="9"/>
      <c r="AB1819" s="9"/>
      <c r="AC1819" s="9"/>
      <c r="AD1819" s="9"/>
      <c r="AE1819" s="9"/>
      <c r="AF1819" s="9"/>
      <c r="AG1819" s="9"/>
      <c r="AH1819" s="9"/>
      <c r="AI1819" s="9"/>
      <c r="AJ1819" s="9"/>
      <c r="AK1819" s="9"/>
      <c r="AL1819" s="9"/>
      <c r="AM1819" s="9"/>
      <c r="AN1819" s="9"/>
      <c r="AO1819" s="9"/>
      <c r="AP1819" s="9"/>
      <c r="AQ1819" s="9"/>
      <c r="AR1819" s="9"/>
      <c r="AS1819" s="9"/>
      <c r="AT1819" s="9"/>
      <c r="AU1819" s="9"/>
    </row>
    <row r="1820" spans="1:47" ht="15.75" customHeight="1">
      <c r="A1820" s="9"/>
      <c r="B1820" s="9"/>
      <c r="C1820" s="9"/>
      <c r="D1820" s="9"/>
      <c r="E1820" s="9"/>
      <c r="F1820" s="67"/>
      <c r="G1820" s="9"/>
      <c r="H1820" s="9"/>
      <c r="I1820" s="9"/>
      <c r="J1820" s="9"/>
      <c r="K1820" s="9"/>
      <c r="L1820" s="9"/>
      <c r="M1820" s="9"/>
      <c r="N1820" s="9"/>
      <c r="O1820" s="9"/>
      <c r="P1820" s="9"/>
      <c r="Q1820" s="9"/>
      <c r="R1820" s="9"/>
      <c r="S1820" s="9"/>
      <c r="T1820" s="9"/>
      <c r="U1820" s="9"/>
      <c r="V1820" s="9"/>
      <c r="W1820" s="9"/>
      <c r="X1820" s="9"/>
      <c r="Y1820" s="9"/>
      <c r="Z1820" s="9"/>
      <c r="AA1820" s="9"/>
      <c r="AB1820" s="9"/>
      <c r="AC1820" s="9"/>
      <c r="AD1820" s="9"/>
      <c r="AE1820" s="9"/>
      <c r="AF1820" s="9"/>
      <c r="AG1820" s="9"/>
      <c r="AH1820" s="9"/>
      <c r="AI1820" s="9"/>
      <c r="AJ1820" s="9"/>
      <c r="AK1820" s="9"/>
      <c r="AL1820" s="9"/>
      <c r="AM1820" s="9"/>
      <c r="AN1820" s="9"/>
      <c r="AO1820" s="9"/>
      <c r="AP1820" s="9"/>
      <c r="AQ1820" s="9"/>
      <c r="AR1820" s="9"/>
      <c r="AS1820" s="9"/>
      <c r="AT1820" s="9"/>
      <c r="AU1820" s="9"/>
    </row>
    <row r="1821" spans="1:47" ht="15.75" customHeight="1">
      <c r="A1821" s="9"/>
      <c r="B1821" s="9"/>
      <c r="C1821" s="9"/>
      <c r="D1821" s="9"/>
      <c r="E1821" s="9"/>
      <c r="F1821" s="67"/>
      <c r="G1821" s="9"/>
      <c r="H1821" s="9"/>
      <c r="I1821" s="9"/>
      <c r="J1821" s="9"/>
      <c r="K1821" s="9"/>
      <c r="L1821" s="9"/>
      <c r="M1821" s="9"/>
      <c r="N1821" s="9"/>
      <c r="O1821" s="9"/>
      <c r="P1821" s="9"/>
      <c r="Q1821" s="9"/>
      <c r="R1821" s="9"/>
      <c r="S1821" s="9"/>
      <c r="T1821" s="9"/>
      <c r="U1821" s="9"/>
      <c r="V1821" s="9"/>
      <c r="W1821" s="9"/>
      <c r="X1821" s="9"/>
      <c r="Y1821" s="9"/>
      <c r="Z1821" s="9"/>
      <c r="AA1821" s="9"/>
      <c r="AB1821" s="9"/>
      <c r="AC1821" s="9"/>
      <c r="AD1821" s="9"/>
      <c r="AE1821" s="9"/>
      <c r="AF1821" s="9"/>
      <c r="AG1821" s="9"/>
      <c r="AH1821" s="9"/>
      <c r="AI1821" s="9"/>
      <c r="AJ1821" s="9"/>
      <c r="AK1821" s="9"/>
      <c r="AL1821" s="9"/>
      <c r="AM1821" s="9"/>
      <c r="AN1821" s="9"/>
      <c r="AO1821" s="9"/>
      <c r="AP1821" s="9"/>
      <c r="AQ1821" s="9"/>
      <c r="AR1821" s="9"/>
      <c r="AS1821" s="9"/>
      <c r="AT1821" s="9"/>
      <c r="AU1821" s="9"/>
    </row>
    <row r="1822" spans="1:47" ht="15.75" customHeight="1">
      <c r="A1822" s="9"/>
      <c r="B1822" s="9"/>
      <c r="C1822" s="9"/>
      <c r="D1822" s="9"/>
      <c r="E1822" s="9"/>
      <c r="F1822" s="67"/>
      <c r="G1822" s="9"/>
      <c r="H1822" s="9"/>
      <c r="I1822" s="9"/>
      <c r="J1822" s="9"/>
      <c r="K1822" s="9"/>
      <c r="L1822" s="9"/>
      <c r="M1822" s="9"/>
      <c r="N1822" s="9"/>
      <c r="O1822" s="9"/>
      <c r="P1822" s="9"/>
      <c r="Q1822" s="9"/>
      <c r="R1822" s="9"/>
      <c r="S1822" s="9"/>
      <c r="T1822" s="9"/>
      <c r="U1822" s="9"/>
      <c r="V1822" s="9"/>
      <c r="W1822" s="9"/>
      <c r="X1822" s="9"/>
      <c r="Y1822" s="9"/>
      <c r="Z1822" s="9"/>
      <c r="AA1822" s="9"/>
      <c r="AB1822" s="9"/>
      <c r="AC1822" s="9"/>
      <c r="AD1822" s="9"/>
      <c r="AE1822" s="9"/>
      <c r="AF1822" s="9"/>
      <c r="AG1822" s="9"/>
      <c r="AH1822" s="9"/>
      <c r="AI1822" s="9"/>
      <c r="AJ1822" s="9"/>
      <c r="AK1822" s="9"/>
      <c r="AL1822" s="9"/>
      <c r="AM1822" s="9"/>
      <c r="AN1822" s="9"/>
      <c r="AO1822" s="9"/>
      <c r="AP1822" s="9"/>
      <c r="AQ1822" s="9"/>
      <c r="AR1822" s="9"/>
      <c r="AS1822" s="9"/>
      <c r="AT1822" s="9"/>
      <c r="AU1822" s="9"/>
    </row>
    <row r="1823" spans="1:47" ht="15.75" customHeight="1">
      <c r="A1823" s="9"/>
      <c r="B1823" s="9"/>
      <c r="C1823" s="9"/>
      <c r="D1823" s="9"/>
      <c r="E1823" s="9"/>
      <c r="F1823" s="67"/>
      <c r="G1823" s="9"/>
      <c r="H1823" s="9"/>
      <c r="I1823" s="9"/>
      <c r="J1823" s="9"/>
      <c r="K1823" s="9"/>
      <c r="L1823" s="9"/>
      <c r="M1823" s="9"/>
      <c r="N1823" s="9"/>
      <c r="O1823" s="9"/>
      <c r="P1823" s="9"/>
      <c r="Q1823" s="9"/>
      <c r="R1823" s="9"/>
      <c r="S1823" s="9"/>
      <c r="T1823" s="9"/>
      <c r="U1823" s="9"/>
      <c r="V1823" s="9"/>
      <c r="W1823" s="9"/>
      <c r="X1823" s="9"/>
      <c r="Y1823" s="9"/>
      <c r="Z1823" s="9"/>
      <c r="AA1823" s="9"/>
      <c r="AB1823" s="9"/>
      <c r="AC1823" s="9"/>
      <c r="AD1823" s="9"/>
      <c r="AE1823" s="9"/>
      <c r="AF1823" s="9"/>
      <c r="AG1823" s="9"/>
      <c r="AH1823" s="9"/>
      <c r="AI1823" s="9"/>
      <c r="AJ1823" s="9"/>
      <c r="AK1823" s="9"/>
      <c r="AL1823" s="9"/>
      <c r="AM1823" s="9"/>
      <c r="AN1823" s="9"/>
      <c r="AO1823" s="9"/>
      <c r="AP1823" s="9"/>
      <c r="AQ1823" s="9"/>
      <c r="AR1823" s="9"/>
      <c r="AS1823" s="9"/>
      <c r="AT1823" s="9"/>
      <c r="AU1823" s="9"/>
    </row>
    <row r="1824" spans="1:47" ht="15.75" customHeight="1">
      <c r="A1824" s="9"/>
      <c r="B1824" s="9"/>
      <c r="C1824" s="9"/>
      <c r="D1824" s="9"/>
      <c r="E1824" s="9"/>
      <c r="F1824" s="67"/>
      <c r="G1824" s="9"/>
      <c r="H1824" s="9"/>
      <c r="I1824" s="9"/>
      <c r="J1824" s="9"/>
      <c r="K1824" s="9"/>
      <c r="L1824" s="9"/>
      <c r="M1824" s="9"/>
      <c r="N1824" s="9"/>
      <c r="O1824" s="9"/>
      <c r="P1824" s="9"/>
      <c r="Q1824" s="9"/>
      <c r="R1824" s="9"/>
      <c r="S1824" s="9"/>
      <c r="T1824" s="9"/>
      <c r="U1824" s="9"/>
      <c r="V1824" s="9"/>
      <c r="W1824" s="9"/>
      <c r="X1824" s="9"/>
      <c r="Y1824" s="9"/>
      <c r="Z1824" s="9"/>
      <c r="AA1824" s="9"/>
      <c r="AB1824" s="9"/>
      <c r="AC1824" s="9"/>
      <c r="AD1824" s="9"/>
      <c r="AE1824" s="9"/>
      <c r="AF1824" s="9"/>
      <c r="AG1824" s="9"/>
      <c r="AH1824" s="9"/>
      <c r="AI1824" s="9"/>
      <c r="AJ1824" s="9"/>
      <c r="AK1824" s="9"/>
      <c r="AL1824" s="9"/>
      <c r="AM1824" s="9"/>
      <c r="AN1824" s="9"/>
      <c r="AO1824" s="9"/>
      <c r="AP1824" s="9"/>
      <c r="AQ1824" s="9"/>
      <c r="AR1824" s="9"/>
      <c r="AS1824" s="9"/>
      <c r="AT1824" s="9"/>
      <c r="AU1824" s="9"/>
    </row>
    <row r="1825" spans="1:47" ht="15.75" customHeight="1">
      <c r="A1825" s="9"/>
      <c r="B1825" s="9"/>
      <c r="C1825" s="9"/>
      <c r="D1825" s="9"/>
      <c r="E1825" s="9"/>
      <c r="F1825" s="67"/>
      <c r="G1825" s="9"/>
      <c r="H1825" s="9"/>
      <c r="I1825" s="9"/>
      <c r="J1825" s="9"/>
      <c r="K1825" s="9"/>
      <c r="L1825" s="9"/>
      <c r="M1825" s="9"/>
      <c r="N1825" s="9"/>
      <c r="O1825" s="9"/>
      <c r="P1825" s="9"/>
      <c r="Q1825" s="9"/>
      <c r="R1825" s="9"/>
      <c r="S1825" s="9"/>
      <c r="T1825" s="9"/>
      <c r="U1825" s="9"/>
      <c r="V1825" s="9"/>
      <c r="W1825" s="9"/>
      <c r="X1825" s="9"/>
      <c r="Y1825" s="9"/>
      <c r="Z1825" s="9"/>
      <c r="AA1825" s="9"/>
      <c r="AB1825" s="9"/>
      <c r="AC1825" s="9"/>
      <c r="AD1825" s="9"/>
      <c r="AE1825" s="9"/>
      <c r="AF1825" s="9"/>
      <c r="AG1825" s="9"/>
      <c r="AH1825" s="9"/>
      <c r="AI1825" s="9"/>
      <c r="AJ1825" s="9"/>
      <c r="AK1825" s="9"/>
      <c r="AL1825" s="9"/>
      <c r="AM1825" s="9"/>
      <c r="AN1825" s="9"/>
      <c r="AO1825" s="9"/>
      <c r="AP1825" s="9"/>
      <c r="AQ1825" s="9"/>
      <c r="AR1825" s="9"/>
      <c r="AS1825" s="9"/>
      <c r="AT1825" s="9"/>
      <c r="AU1825" s="9"/>
    </row>
    <row r="1826" spans="1:47" ht="15.75" customHeight="1">
      <c r="A1826" s="9"/>
      <c r="B1826" s="9"/>
      <c r="C1826" s="9"/>
      <c r="D1826" s="9"/>
      <c r="E1826" s="9"/>
      <c r="F1826" s="67"/>
      <c r="G1826" s="9"/>
      <c r="H1826" s="9"/>
      <c r="I1826" s="9"/>
      <c r="J1826" s="9"/>
      <c r="K1826" s="9"/>
      <c r="L1826" s="9"/>
      <c r="M1826" s="9"/>
      <c r="N1826" s="9"/>
      <c r="O1826" s="9"/>
      <c r="P1826" s="9"/>
      <c r="Q1826" s="9"/>
      <c r="R1826" s="9"/>
      <c r="S1826" s="9"/>
      <c r="T1826" s="9"/>
      <c r="U1826" s="9"/>
      <c r="V1826" s="9"/>
      <c r="W1826" s="9"/>
      <c r="X1826" s="9"/>
      <c r="Y1826" s="9"/>
      <c r="Z1826" s="9"/>
      <c r="AA1826" s="9"/>
      <c r="AB1826" s="9"/>
      <c r="AC1826" s="9"/>
      <c r="AD1826" s="9"/>
      <c r="AE1826" s="9"/>
      <c r="AF1826" s="9"/>
      <c r="AG1826" s="9"/>
      <c r="AH1826" s="9"/>
      <c r="AI1826" s="9"/>
      <c r="AJ1826" s="9"/>
      <c r="AK1826" s="9"/>
      <c r="AL1826" s="9"/>
      <c r="AM1826" s="9"/>
      <c r="AN1826" s="9"/>
      <c r="AO1826" s="9"/>
      <c r="AP1826" s="9"/>
      <c r="AQ1826" s="9"/>
      <c r="AR1826" s="9"/>
      <c r="AS1826" s="9"/>
      <c r="AT1826" s="9"/>
      <c r="AU1826" s="9"/>
    </row>
    <row r="1827" spans="1:47" ht="15.75" customHeight="1">
      <c r="A1827" s="9"/>
      <c r="B1827" s="9"/>
      <c r="C1827" s="9"/>
      <c r="D1827" s="9"/>
      <c r="E1827" s="9"/>
      <c r="F1827" s="67"/>
      <c r="G1827" s="9"/>
      <c r="H1827" s="9"/>
      <c r="I1827" s="9"/>
      <c r="J1827" s="9"/>
      <c r="K1827" s="9"/>
      <c r="L1827" s="9"/>
      <c r="M1827" s="9"/>
      <c r="N1827" s="9"/>
      <c r="O1827" s="9"/>
      <c r="P1827" s="9"/>
      <c r="Q1827" s="9"/>
      <c r="R1827" s="9"/>
      <c r="S1827" s="9"/>
      <c r="T1827" s="9"/>
      <c r="U1827" s="9"/>
      <c r="V1827" s="9"/>
      <c r="W1827" s="9"/>
      <c r="X1827" s="9"/>
      <c r="Y1827" s="9"/>
      <c r="Z1827" s="9"/>
      <c r="AA1827" s="9"/>
      <c r="AB1827" s="9"/>
      <c r="AC1827" s="9"/>
      <c r="AD1827" s="9"/>
      <c r="AE1827" s="9"/>
      <c r="AF1827" s="9"/>
      <c r="AG1827" s="9"/>
      <c r="AH1827" s="9"/>
      <c r="AI1827" s="9"/>
      <c r="AJ1827" s="9"/>
      <c r="AK1827" s="9"/>
      <c r="AL1827" s="9"/>
      <c r="AM1827" s="9"/>
      <c r="AN1827" s="9"/>
      <c r="AO1827" s="9"/>
      <c r="AP1827" s="9"/>
      <c r="AQ1827" s="9"/>
      <c r="AR1827" s="9"/>
      <c r="AS1827" s="9"/>
      <c r="AT1827" s="9"/>
      <c r="AU1827" s="9"/>
    </row>
    <row r="1828" spans="1:47" ht="15.75" customHeight="1">
      <c r="A1828" s="9"/>
      <c r="B1828" s="9"/>
      <c r="C1828" s="9"/>
      <c r="D1828" s="9"/>
      <c r="E1828" s="9"/>
      <c r="F1828" s="67"/>
      <c r="G1828" s="9"/>
      <c r="H1828" s="9"/>
      <c r="I1828" s="9"/>
      <c r="J1828" s="9"/>
      <c r="K1828" s="9"/>
      <c r="L1828" s="9"/>
      <c r="M1828" s="9"/>
      <c r="N1828" s="9"/>
      <c r="O1828" s="9"/>
      <c r="P1828" s="9"/>
      <c r="Q1828" s="9"/>
      <c r="R1828" s="9"/>
      <c r="S1828" s="9"/>
      <c r="T1828" s="9"/>
      <c r="U1828" s="9"/>
      <c r="V1828" s="9"/>
      <c r="W1828" s="9"/>
      <c r="X1828" s="9"/>
      <c r="Y1828" s="9"/>
      <c r="Z1828" s="9"/>
      <c r="AA1828" s="9"/>
      <c r="AB1828" s="9"/>
      <c r="AC1828" s="9"/>
      <c r="AD1828" s="9"/>
      <c r="AE1828" s="9"/>
      <c r="AF1828" s="9"/>
      <c r="AG1828" s="9"/>
      <c r="AH1828" s="9"/>
      <c r="AI1828" s="9"/>
      <c r="AJ1828" s="9"/>
      <c r="AK1828" s="9"/>
      <c r="AL1828" s="9"/>
      <c r="AM1828" s="9"/>
      <c r="AN1828" s="9"/>
      <c r="AO1828" s="9"/>
      <c r="AP1828" s="9"/>
      <c r="AQ1828" s="9"/>
      <c r="AR1828" s="9"/>
      <c r="AS1828" s="9"/>
      <c r="AT1828" s="9"/>
      <c r="AU1828" s="9"/>
    </row>
    <row r="1829" spans="1:47" ht="15.75" customHeight="1">
      <c r="A1829" s="9"/>
      <c r="B1829" s="9"/>
      <c r="C1829" s="9"/>
      <c r="D1829" s="9"/>
      <c r="E1829" s="9"/>
      <c r="F1829" s="67"/>
      <c r="G1829" s="9"/>
      <c r="H1829" s="9"/>
      <c r="I1829" s="9"/>
      <c r="J1829" s="9"/>
      <c r="K1829" s="9"/>
      <c r="L1829" s="9"/>
      <c r="M1829" s="9"/>
      <c r="N1829" s="9"/>
      <c r="O1829" s="9"/>
      <c r="P1829" s="9"/>
      <c r="Q1829" s="9"/>
      <c r="R1829" s="9"/>
      <c r="S1829" s="9"/>
      <c r="T1829" s="9"/>
      <c r="U1829" s="9"/>
      <c r="V1829" s="9"/>
      <c r="W1829" s="9"/>
      <c r="X1829" s="9"/>
      <c r="Y1829" s="9"/>
      <c r="Z1829" s="9"/>
      <c r="AA1829" s="9"/>
      <c r="AB1829" s="9"/>
      <c r="AC1829" s="9"/>
      <c r="AD1829" s="9"/>
      <c r="AE1829" s="9"/>
      <c r="AF1829" s="9"/>
      <c r="AG1829" s="9"/>
      <c r="AH1829" s="9"/>
      <c r="AI1829" s="9"/>
      <c r="AJ1829" s="9"/>
      <c r="AK1829" s="9"/>
      <c r="AL1829" s="9"/>
      <c r="AM1829" s="9"/>
      <c r="AN1829" s="9"/>
      <c r="AO1829" s="9"/>
      <c r="AP1829" s="9"/>
      <c r="AQ1829" s="9"/>
      <c r="AR1829" s="9"/>
      <c r="AS1829" s="9"/>
      <c r="AT1829" s="9"/>
      <c r="AU1829" s="9"/>
    </row>
    <row r="1830" spans="1:47" ht="15.75" customHeight="1">
      <c r="A1830" s="9"/>
      <c r="B1830" s="9"/>
      <c r="C1830" s="9"/>
      <c r="D1830" s="9"/>
      <c r="E1830" s="9"/>
      <c r="F1830" s="67"/>
      <c r="G1830" s="9"/>
      <c r="H1830" s="9"/>
      <c r="I1830" s="9"/>
      <c r="J1830" s="9"/>
      <c r="K1830" s="9"/>
      <c r="L1830" s="9"/>
      <c r="M1830" s="9"/>
      <c r="N1830" s="9"/>
      <c r="O1830" s="9"/>
      <c r="P1830" s="9"/>
      <c r="Q1830" s="9"/>
      <c r="R1830" s="9"/>
      <c r="S1830" s="9"/>
      <c r="T1830" s="9"/>
      <c r="U1830" s="9"/>
      <c r="V1830" s="9"/>
      <c r="W1830" s="9"/>
      <c r="X1830" s="9"/>
      <c r="Y1830" s="9"/>
      <c r="Z1830" s="9"/>
      <c r="AA1830" s="9"/>
      <c r="AB1830" s="9"/>
      <c r="AC1830" s="9"/>
      <c r="AD1830" s="9"/>
      <c r="AE1830" s="9"/>
      <c r="AF1830" s="9"/>
      <c r="AG1830" s="9"/>
      <c r="AH1830" s="9"/>
      <c r="AI1830" s="9"/>
      <c r="AJ1830" s="9"/>
      <c r="AK1830" s="9"/>
      <c r="AL1830" s="9"/>
      <c r="AM1830" s="9"/>
      <c r="AN1830" s="9"/>
      <c r="AO1830" s="9"/>
      <c r="AP1830" s="9"/>
      <c r="AQ1830" s="9"/>
      <c r="AR1830" s="9"/>
      <c r="AS1830" s="9"/>
      <c r="AT1830" s="9"/>
      <c r="AU1830" s="9"/>
    </row>
    <row r="1831" spans="1:47" ht="15.75" customHeight="1">
      <c r="A1831" s="9"/>
      <c r="B1831" s="9"/>
      <c r="C1831" s="9"/>
      <c r="D1831" s="9"/>
      <c r="E1831" s="9"/>
      <c r="F1831" s="67"/>
      <c r="G1831" s="9"/>
      <c r="H1831" s="9"/>
      <c r="I1831" s="9"/>
      <c r="J1831" s="9"/>
      <c r="K1831" s="9"/>
      <c r="L1831" s="9"/>
      <c r="M1831" s="9"/>
      <c r="N1831" s="9"/>
      <c r="O1831" s="9"/>
      <c r="P1831" s="9"/>
      <c r="Q1831" s="9"/>
      <c r="R1831" s="9"/>
      <c r="S1831" s="9"/>
      <c r="T1831" s="9"/>
      <c r="U1831" s="9"/>
      <c r="V1831" s="9"/>
      <c r="W1831" s="9"/>
      <c r="X1831" s="9"/>
      <c r="Y1831" s="9"/>
      <c r="Z1831" s="9"/>
      <c r="AA1831" s="9"/>
      <c r="AB1831" s="9"/>
      <c r="AC1831" s="9"/>
      <c r="AD1831" s="9"/>
      <c r="AE1831" s="9"/>
      <c r="AF1831" s="9"/>
      <c r="AG1831" s="9"/>
      <c r="AH1831" s="9"/>
      <c r="AI1831" s="9"/>
      <c r="AJ1831" s="9"/>
      <c r="AK1831" s="9"/>
      <c r="AL1831" s="9"/>
      <c r="AM1831" s="9"/>
      <c r="AN1831" s="9"/>
      <c r="AO1831" s="9"/>
      <c r="AP1831" s="9"/>
      <c r="AQ1831" s="9"/>
      <c r="AR1831" s="9"/>
      <c r="AS1831" s="9"/>
      <c r="AT1831" s="9"/>
      <c r="AU1831" s="9"/>
    </row>
    <row r="1832" spans="1:47" ht="15.75" customHeight="1">
      <c r="A1832" s="9"/>
      <c r="B1832" s="9"/>
      <c r="C1832" s="9"/>
      <c r="D1832" s="9"/>
      <c r="E1832" s="9"/>
      <c r="F1832" s="67"/>
      <c r="G1832" s="9"/>
      <c r="H1832" s="9"/>
      <c r="I1832" s="9"/>
      <c r="J1832" s="9"/>
      <c r="K1832" s="9"/>
      <c r="L1832" s="9"/>
      <c r="M1832" s="9"/>
      <c r="N1832" s="9"/>
      <c r="O1832" s="9"/>
      <c r="P1832" s="9"/>
      <c r="Q1832" s="9"/>
      <c r="R1832" s="9"/>
      <c r="S1832" s="9"/>
      <c r="T1832" s="9"/>
      <c r="U1832" s="9"/>
      <c r="V1832" s="9"/>
      <c r="W1832" s="9"/>
      <c r="X1832" s="9"/>
      <c r="Y1832" s="9"/>
      <c r="Z1832" s="9"/>
      <c r="AA1832" s="9"/>
      <c r="AB1832" s="9"/>
      <c r="AC1832" s="9"/>
      <c r="AD1832" s="9"/>
      <c r="AE1832" s="9"/>
      <c r="AF1832" s="9"/>
      <c r="AG1832" s="9"/>
      <c r="AH1832" s="9"/>
      <c r="AI1832" s="9"/>
      <c r="AJ1832" s="9"/>
      <c r="AK1832" s="9"/>
      <c r="AL1832" s="9"/>
      <c r="AM1832" s="9"/>
      <c r="AN1832" s="9"/>
      <c r="AO1832" s="9"/>
      <c r="AP1832" s="9"/>
      <c r="AQ1832" s="9"/>
      <c r="AR1832" s="9"/>
      <c r="AS1832" s="9"/>
      <c r="AT1832" s="9"/>
      <c r="AU1832" s="9"/>
    </row>
    <row r="1833" spans="1:47" ht="15.75" customHeight="1">
      <c r="A1833" s="9"/>
      <c r="B1833" s="9"/>
      <c r="C1833" s="9"/>
      <c r="D1833" s="9"/>
      <c r="E1833" s="9"/>
      <c r="F1833" s="67"/>
      <c r="G1833" s="9"/>
      <c r="H1833" s="9"/>
      <c r="I1833" s="9"/>
      <c r="J1833" s="9"/>
      <c r="K1833" s="9"/>
      <c r="L1833" s="9"/>
      <c r="M1833" s="9"/>
      <c r="N1833" s="9"/>
      <c r="O1833" s="9"/>
      <c r="P1833" s="9"/>
      <c r="Q1833" s="9"/>
      <c r="R1833" s="9"/>
      <c r="S1833" s="9"/>
      <c r="T1833" s="9"/>
      <c r="U1833" s="9"/>
      <c r="V1833" s="9"/>
      <c r="W1833" s="9"/>
      <c r="X1833" s="9"/>
      <c r="Y1833" s="9"/>
      <c r="Z1833" s="9"/>
      <c r="AA1833" s="9"/>
      <c r="AB1833" s="9"/>
      <c r="AC1833" s="9"/>
      <c r="AD1833" s="9"/>
      <c r="AE1833" s="9"/>
      <c r="AF1833" s="9"/>
      <c r="AG1833" s="9"/>
      <c r="AH1833" s="9"/>
      <c r="AI1833" s="9"/>
      <c r="AJ1833" s="9"/>
      <c r="AK1833" s="9"/>
      <c r="AL1833" s="9"/>
      <c r="AM1833" s="9"/>
      <c r="AN1833" s="9"/>
      <c r="AO1833" s="9"/>
      <c r="AP1833" s="9"/>
      <c r="AQ1833" s="9"/>
      <c r="AR1833" s="9"/>
      <c r="AS1833" s="9"/>
      <c r="AT1833" s="9"/>
      <c r="AU1833" s="9"/>
    </row>
    <row r="1834" spans="1:47" ht="15.75" customHeight="1">
      <c r="A1834" s="9"/>
      <c r="B1834" s="9"/>
      <c r="C1834" s="9"/>
      <c r="D1834" s="9"/>
      <c r="E1834" s="9"/>
      <c r="F1834" s="67"/>
      <c r="G1834" s="9"/>
      <c r="H1834" s="9"/>
      <c r="I1834" s="9"/>
      <c r="J1834" s="9"/>
      <c r="K1834" s="9"/>
      <c r="L1834" s="9"/>
      <c r="M1834" s="9"/>
      <c r="N1834" s="9"/>
      <c r="O1834" s="9"/>
      <c r="P1834" s="9"/>
      <c r="Q1834" s="9"/>
      <c r="R1834" s="9"/>
      <c r="S1834" s="9"/>
      <c r="T1834" s="9"/>
      <c r="U1834" s="9"/>
      <c r="V1834" s="9"/>
      <c r="W1834" s="9"/>
      <c r="X1834" s="9"/>
      <c r="Y1834" s="9"/>
      <c r="Z1834" s="9"/>
      <c r="AA1834" s="9"/>
      <c r="AB1834" s="9"/>
      <c r="AC1834" s="9"/>
      <c r="AD1834" s="9"/>
      <c r="AE1834" s="9"/>
      <c r="AF1834" s="9"/>
      <c r="AG1834" s="9"/>
      <c r="AH1834" s="9"/>
      <c r="AI1834" s="9"/>
      <c r="AJ1834" s="9"/>
      <c r="AK1834" s="9"/>
      <c r="AL1834" s="9"/>
      <c r="AM1834" s="9"/>
      <c r="AN1834" s="9"/>
      <c r="AO1834" s="9"/>
      <c r="AP1834" s="9"/>
      <c r="AQ1834" s="9"/>
      <c r="AR1834" s="9"/>
      <c r="AS1834" s="9"/>
      <c r="AT1834" s="9"/>
      <c r="AU1834" s="9"/>
    </row>
    <row r="1835" spans="1:47" ht="15.75" customHeight="1">
      <c r="A1835" s="9"/>
      <c r="B1835" s="9"/>
      <c r="C1835" s="9"/>
      <c r="D1835" s="9"/>
      <c r="E1835" s="9"/>
      <c r="F1835" s="67"/>
      <c r="G1835" s="9"/>
      <c r="H1835" s="9"/>
      <c r="I1835" s="9"/>
      <c r="J1835" s="9"/>
      <c r="K1835" s="9"/>
      <c r="L1835" s="9"/>
      <c r="M1835" s="9"/>
      <c r="N1835" s="9"/>
      <c r="O1835" s="9"/>
      <c r="P1835" s="9"/>
      <c r="Q1835" s="9"/>
      <c r="R1835" s="9"/>
      <c r="S1835" s="9"/>
      <c r="T1835" s="9"/>
      <c r="U1835" s="9"/>
      <c r="V1835" s="9"/>
      <c r="W1835" s="9"/>
      <c r="X1835" s="9"/>
      <c r="Y1835" s="9"/>
      <c r="Z1835" s="9"/>
      <c r="AA1835" s="9"/>
      <c r="AB1835" s="9"/>
      <c r="AC1835" s="9"/>
      <c r="AD1835" s="9"/>
      <c r="AE1835" s="9"/>
      <c r="AF1835" s="9"/>
      <c r="AG1835" s="9"/>
      <c r="AH1835" s="9"/>
      <c r="AI1835" s="9"/>
      <c r="AJ1835" s="9"/>
      <c r="AK1835" s="9"/>
      <c r="AL1835" s="9"/>
      <c r="AM1835" s="9"/>
      <c r="AN1835" s="9"/>
      <c r="AO1835" s="9"/>
      <c r="AP1835" s="9"/>
      <c r="AQ1835" s="9"/>
      <c r="AR1835" s="9"/>
      <c r="AS1835" s="9"/>
      <c r="AT1835" s="9"/>
      <c r="AU1835" s="9"/>
    </row>
    <row r="1836" spans="1:47" ht="15.75" customHeight="1">
      <c r="A1836" s="9"/>
      <c r="B1836" s="9"/>
      <c r="C1836" s="9"/>
      <c r="D1836" s="9"/>
      <c r="E1836" s="9"/>
      <c r="F1836" s="67"/>
      <c r="G1836" s="9"/>
      <c r="H1836" s="9"/>
      <c r="I1836" s="9"/>
      <c r="J1836" s="9"/>
      <c r="K1836" s="9"/>
      <c r="L1836" s="9"/>
      <c r="M1836" s="9"/>
      <c r="N1836" s="9"/>
      <c r="O1836" s="9"/>
      <c r="P1836" s="9"/>
      <c r="Q1836" s="9"/>
      <c r="R1836" s="9"/>
      <c r="S1836" s="9"/>
      <c r="T1836" s="9"/>
      <c r="U1836" s="9"/>
      <c r="V1836" s="9"/>
      <c r="W1836" s="9"/>
      <c r="X1836" s="9"/>
      <c r="Y1836" s="9"/>
      <c r="Z1836" s="9"/>
      <c r="AA1836" s="9"/>
      <c r="AB1836" s="9"/>
      <c r="AC1836" s="9"/>
      <c r="AD1836" s="9"/>
      <c r="AE1836" s="9"/>
      <c r="AF1836" s="9"/>
      <c r="AG1836" s="9"/>
      <c r="AH1836" s="9"/>
      <c r="AI1836" s="9"/>
      <c r="AJ1836" s="9"/>
      <c r="AK1836" s="9"/>
      <c r="AL1836" s="9"/>
      <c r="AM1836" s="9"/>
      <c r="AN1836" s="9"/>
      <c r="AO1836" s="9"/>
      <c r="AP1836" s="9"/>
      <c r="AQ1836" s="9"/>
      <c r="AR1836" s="9"/>
      <c r="AS1836" s="9"/>
      <c r="AT1836" s="9"/>
      <c r="AU1836" s="9"/>
    </row>
    <row r="1837" spans="1:47" ht="15.75" customHeight="1">
      <c r="A1837" s="9"/>
      <c r="B1837" s="9"/>
      <c r="C1837" s="9"/>
      <c r="D1837" s="9"/>
      <c r="E1837" s="9"/>
      <c r="F1837" s="67"/>
      <c r="G1837" s="9"/>
      <c r="H1837" s="9"/>
      <c r="I1837" s="9"/>
      <c r="J1837" s="9"/>
      <c r="K1837" s="9"/>
      <c r="L1837" s="9"/>
      <c r="M1837" s="9"/>
      <c r="N1837" s="9"/>
      <c r="O1837" s="9"/>
      <c r="P1837" s="9"/>
      <c r="Q1837" s="9"/>
      <c r="R1837" s="9"/>
      <c r="S1837" s="9"/>
      <c r="T1837" s="9"/>
      <c r="U1837" s="9"/>
      <c r="V1837" s="9"/>
      <c r="W1837" s="9"/>
      <c r="X1837" s="9"/>
      <c r="Y1837" s="9"/>
      <c r="Z1837" s="9"/>
      <c r="AA1837" s="9"/>
      <c r="AB1837" s="9"/>
      <c r="AC1837" s="9"/>
      <c r="AD1837" s="9"/>
      <c r="AE1837" s="9"/>
      <c r="AF1837" s="9"/>
      <c r="AG1837" s="9"/>
      <c r="AH1837" s="9"/>
      <c r="AI1837" s="9"/>
      <c r="AJ1837" s="9"/>
      <c r="AK1837" s="9"/>
      <c r="AL1837" s="9"/>
      <c r="AM1837" s="9"/>
      <c r="AN1837" s="9"/>
      <c r="AO1837" s="9"/>
      <c r="AP1837" s="9"/>
      <c r="AQ1837" s="9"/>
      <c r="AR1837" s="9"/>
      <c r="AS1837" s="9"/>
      <c r="AT1837" s="9"/>
      <c r="AU1837" s="9"/>
    </row>
    <row r="1838" spans="1:47" ht="15.75" customHeight="1">
      <c r="A1838" s="9"/>
      <c r="B1838" s="9"/>
      <c r="C1838" s="9"/>
      <c r="D1838" s="9"/>
      <c r="E1838" s="9"/>
      <c r="F1838" s="67"/>
      <c r="G1838" s="9"/>
      <c r="H1838" s="9"/>
      <c r="I1838" s="9"/>
      <c r="J1838" s="9"/>
      <c r="K1838" s="9"/>
      <c r="L1838" s="9"/>
      <c r="M1838" s="9"/>
      <c r="N1838" s="9"/>
      <c r="O1838" s="9"/>
      <c r="P1838" s="9"/>
      <c r="Q1838" s="9"/>
      <c r="R1838" s="9"/>
      <c r="S1838" s="9"/>
      <c r="T1838" s="9"/>
      <c r="U1838" s="9"/>
      <c r="V1838" s="9"/>
      <c r="W1838" s="9"/>
      <c r="X1838" s="9"/>
      <c r="Y1838" s="9"/>
      <c r="Z1838" s="9"/>
      <c r="AA1838" s="9"/>
      <c r="AB1838" s="9"/>
      <c r="AC1838" s="9"/>
      <c r="AD1838" s="9"/>
      <c r="AE1838" s="9"/>
      <c r="AF1838" s="9"/>
      <c r="AG1838" s="9"/>
      <c r="AH1838" s="9"/>
      <c r="AI1838" s="9"/>
      <c r="AJ1838" s="9"/>
      <c r="AK1838" s="9"/>
      <c r="AL1838" s="9"/>
      <c r="AM1838" s="9"/>
      <c r="AN1838" s="9"/>
      <c r="AO1838" s="9"/>
      <c r="AP1838" s="9"/>
      <c r="AQ1838" s="9"/>
      <c r="AR1838" s="9"/>
      <c r="AS1838" s="9"/>
      <c r="AT1838" s="9"/>
      <c r="AU1838" s="9"/>
    </row>
    <row r="1839" spans="1:47" ht="15.75" customHeight="1">
      <c r="A1839" s="9"/>
      <c r="B1839" s="9"/>
      <c r="C1839" s="9"/>
      <c r="D1839" s="9"/>
      <c r="E1839" s="9"/>
      <c r="F1839" s="67"/>
      <c r="G1839" s="9"/>
      <c r="H1839" s="9"/>
      <c r="I1839" s="9"/>
      <c r="J1839" s="9"/>
      <c r="K1839" s="9"/>
      <c r="L1839" s="9"/>
      <c r="M1839" s="9"/>
      <c r="N1839" s="9"/>
      <c r="O1839" s="9"/>
      <c r="P1839" s="9"/>
      <c r="Q1839" s="9"/>
      <c r="R1839" s="9"/>
      <c r="S1839" s="9"/>
      <c r="T1839" s="9"/>
      <c r="U1839" s="9"/>
      <c r="V1839" s="9"/>
      <c r="W1839" s="9"/>
      <c r="X1839" s="9"/>
      <c r="Y1839" s="9"/>
      <c r="Z1839" s="9"/>
      <c r="AA1839" s="9"/>
      <c r="AB1839" s="9"/>
      <c r="AC1839" s="9"/>
      <c r="AD1839" s="9"/>
      <c r="AE1839" s="9"/>
      <c r="AF1839" s="9"/>
      <c r="AG1839" s="9"/>
      <c r="AH1839" s="9"/>
      <c r="AI1839" s="9"/>
      <c r="AJ1839" s="9"/>
      <c r="AK1839" s="9"/>
      <c r="AL1839" s="9"/>
      <c r="AM1839" s="9"/>
      <c r="AN1839" s="9"/>
      <c r="AO1839" s="9"/>
      <c r="AP1839" s="9"/>
      <c r="AQ1839" s="9"/>
      <c r="AR1839" s="9"/>
      <c r="AS1839" s="9"/>
      <c r="AT1839" s="9"/>
      <c r="AU1839" s="9"/>
    </row>
    <row r="1840" spans="1:47" ht="15.75" customHeight="1">
      <c r="A1840" s="9"/>
      <c r="B1840" s="9"/>
      <c r="C1840" s="9"/>
      <c r="D1840" s="9"/>
      <c r="E1840" s="9"/>
      <c r="F1840" s="67"/>
      <c r="G1840" s="9"/>
      <c r="H1840" s="9"/>
      <c r="I1840" s="9"/>
      <c r="J1840" s="9"/>
      <c r="K1840" s="9"/>
      <c r="L1840" s="9"/>
      <c r="M1840" s="9"/>
      <c r="N1840" s="9"/>
      <c r="O1840" s="9"/>
      <c r="P1840" s="9"/>
      <c r="Q1840" s="9"/>
      <c r="R1840" s="9"/>
      <c r="S1840" s="9"/>
      <c r="T1840" s="9"/>
      <c r="U1840" s="9"/>
      <c r="V1840" s="9"/>
      <c r="W1840" s="9"/>
      <c r="X1840" s="9"/>
      <c r="Y1840" s="9"/>
      <c r="Z1840" s="9"/>
      <c r="AA1840" s="9"/>
      <c r="AB1840" s="9"/>
      <c r="AC1840" s="9"/>
      <c r="AD1840" s="9"/>
      <c r="AE1840" s="9"/>
      <c r="AF1840" s="9"/>
      <c r="AG1840" s="9"/>
      <c r="AH1840" s="9"/>
      <c r="AI1840" s="9"/>
      <c r="AJ1840" s="9"/>
      <c r="AK1840" s="9"/>
      <c r="AL1840" s="9"/>
      <c r="AM1840" s="9"/>
      <c r="AN1840" s="9"/>
      <c r="AO1840" s="9"/>
      <c r="AP1840" s="9"/>
      <c r="AQ1840" s="9"/>
      <c r="AR1840" s="9"/>
      <c r="AS1840" s="9"/>
      <c r="AT1840" s="9"/>
      <c r="AU1840" s="9"/>
    </row>
    <row r="1841" spans="1:47" ht="15.75" customHeight="1">
      <c r="A1841" s="9"/>
      <c r="B1841" s="9"/>
      <c r="C1841" s="9"/>
      <c r="D1841" s="9"/>
      <c r="E1841" s="9"/>
      <c r="F1841" s="67"/>
      <c r="G1841" s="9"/>
      <c r="H1841" s="9"/>
      <c r="I1841" s="9"/>
      <c r="J1841" s="9"/>
      <c r="K1841" s="9"/>
      <c r="L1841" s="9"/>
      <c r="M1841" s="9"/>
      <c r="N1841" s="9"/>
      <c r="O1841" s="9"/>
      <c r="P1841" s="9"/>
      <c r="Q1841" s="9"/>
      <c r="R1841" s="9"/>
      <c r="S1841" s="9"/>
      <c r="T1841" s="9"/>
      <c r="U1841" s="9"/>
      <c r="V1841" s="9"/>
      <c r="W1841" s="9"/>
      <c r="X1841" s="9"/>
      <c r="Y1841" s="9"/>
      <c r="Z1841" s="9"/>
      <c r="AA1841" s="9"/>
      <c r="AB1841" s="9"/>
      <c r="AC1841" s="9"/>
      <c r="AD1841" s="9"/>
      <c r="AE1841" s="9"/>
      <c r="AF1841" s="9"/>
      <c r="AG1841" s="9"/>
      <c r="AH1841" s="9"/>
      <c r="AI1841" s="9"/>
      <c r="AJ1841" s="9"/>
      <c r="AK1841" s="9"/>
      <c r="AL1841" s="9"/>
      <c r="AM1841" s="9"/>
      <c r="AN1841" s="9"/>
      <c r="AO1841" s="9"/>
      <c r="AP1841" s="9"/>
      <c r="AQ1841" s="9"/>
      <c r="AR1841" s="9"/>
      <c r="AS1841" s="9"/>
      <c r="AT1841" s="9"/>
      <c r="AU1841" s="9"/>
    </row>
    <row r="1842" spans="1:47" ht="15.75" customHeight="1">
      <c r="A1842" s="9"/>
      <c r="B1842" s="9"/>
      <c r="C1842" s="9"/>
      <c r="D1842" s="9"/>
      <c r="E1842" s="9"/>
      <c r="F1842" s="67"/>
      <c r="G1842" s="9"/>
      <c r="H1842" s="9"/>
      <c r="I1842" s="9"/>
      <c r="J1842" s="9"/>
      <c r="K1842" s="9"/>
      <c r="L1842" s="9"/>
      <c r="M1842" s="9"/>
      <c r="N1842" s="9"/>
      <c r="O1842" s="9"/>
      <c r="P1842" s="9"/>
      <c r="Q1842" s="9"/>
      <c r="R1842" s="9"/>
      <c r="S1842" s="9"/>
      <c r="T1842" s="9"/>
      <c r="U1842" s="9"/>
      <c r="V1842" s="9"/>
      <c r="W1842" s="9"/>
      <c r="X1842" s="9"/>
      <c r="Y1842" s="9"/>
      <c r="Z1842" s="9"/>
      <c r="AA1842" s="9"/>
      <c r="AB1842" s="9"/>
      <c r="AC1842" s="9"/>
      <c r="AD1842" s="9"/>
      <c r="AE1842" s="9"/>
      <c r="AF1842" s="9"/>
      <c r="AG1842" s="9"/>
      <c r="AH1842" s="9"/>
      <c r="AI1842" s="9"/>
      <c r="AJ1842" s="9"/>
      <c r="AK1842" s="9"/>
      <c r="AL1842" s="9"/>
      <c r="AM1842" s="9"/>
      <c r="AN1842" s="9"/>
      <c r="AO1842" s="9"/>
      <c r="AP1842" s="9"/>
      <c r="AQ1842" s="9"/>
      <c r="AR1842" s="9"/>
      <c r="AS1842" s="9"/>
      <c r="AT1842" s="9"/>
      <c r="AU1842" s="9"/>
    </row>
    <row r="1843" spans="1:47" ht="15.75" customHeight="1">
      <c r="A1843" s="9"/>
      <c r="B1843" s="9"/>
      <c r="C1843" s="9"/>
      <c r="D1843" s="9"/>
      <c r="E1843" s="9"/>
      <c r="F1843" s="67"/>
      <c r="G1843" s="9"/>
      <c r="H1843" s="9"/>
      <c r="I1843" s="9"/>
      <c r="J1843" s="9"/>
      <c r="K1843" s="9"/>
      <c r="L1843" s="9"/>
      <c r="M1843" s="9"/>
      <c r="N1843" s="9"/>
      <c r="O1843" s="9"/>
      <c r="P1843" s="9"/>
      <c r="Q1843" s="9"/>
      <c r="R1843" s="9"/>
      <c r="S1843" s="9"/>
      <c r="T1843" s="9"/>
      <c r="U1843" s="9"/>
      <c r="V1843" s="9"/>
      <c r="W1843" s="9"/>
      <c r="X1843" s="9"/>
      <c r="Y1843" s="9"/>
      <c r="Z1843" s="9"/>
      <c r="AA1843" s="9"/>
      <c r="AB1843" s="9"/>
      <c r="AC1843" s="9"/>
      <c r="AD1843" s="9"/>
      <c r="AE1843" s="9"/>
      <c r="AF1843" s="9"/>
      <c r="AG1843" s="9"/>
      <c r="AH1843" s="9"/>
      <c r="AI1843" s="9"/>
      <c r="AJ1843" s="9"/>
      <c r="AK1843" s="9"/>
      <c r="AL1843" s="9"/>
      <c r="AM1843" s="9"/>
      <c r="AN1843" s="9"/>
      <c r="AO1843" s="9"/>
      <c r="AP1843" s="9"/>
      <c r="AQ1843" s="9"/>
      <c r="AR1843" s="9"/>
      <c r="AS1843" s="9"/>
      <c r="AT1843" s="9"/>
      <c r="AU1843" s="9"/>
    </row>
    <row r="1844" spans="1:47" ht="15.75" customHeight="1">
      <c r="A1844" s="9"/>
      <c r="B1844" s="9"/>
      <c r="C1844" s="9"/>
      <c r="D1844" s="9"/>
      <c r="E1844" s="9"/>
      <c r="F1844" s="67"/>
      <c r="G1844" s="9"/>
      <c r="H1844" s="9"/>
      <c r="I1844" s="9"/>
      <c r="J1844" s="9"/>
      <c r="K1844" s="9"/>
      <c r="L1844" s="9"/>
      <c r="M1844" s="9"/>
      <c r="N1844" s="9"/>
      <c r="O1844" s="9"/>
      <c r="P1844" s="9"/>
      <c r="Q1844" s="9"/>
      <c r="R1844" s="9"/>
      <c r="S1844" s="9"/>
      <c r="T1844" s="9"/>
      <c r="U1844" s="9"/>
      <c r="V1844" s="9"/>
      <c r="W1844" s="9"/>
      <c r="X1844" s="9"/>
      <c r="Y1844" s="9"/>
      <c r="Z1844" s="9"/>
      <c r="AA1844" s="9"/>
      <c r="AB1844" s="9"/>
      <c r="AC1844" s="9"/>
      <c r="AD1844" s="9"/>
      <c r="AE1844" s="9"/>
      <c r="AF1844" s="9"/>
      <c r="AG1844" s="9"/>
      <c r="AH1844" s="9"/>
      <c r="AI1844" s="9"/>
      <c r="AJ1844" s="9"/>
      <c r="AK1844" s="9"/>
      <c r="AL1844" s="9"/>
      <c r="AM1844" s="9"/>
      <c r="AN1844" s="9"/>
      <c r="AO1844" s="9"/>
      <c r="AP1844" s="9"/>
      <c r="AQ1844" s="9"/>
      <c r="AR1844" s="9"/>
      <c r="AS1844" s="9"/>
      <c r="AT1844" s="9"/>
      <c r="AU1844" s="9"/>
    </row>
    <row r="1845" spans="1:47" ht="15.75" customHeight="1">
      <c r="A1845" s="9"/>
      <c r="B1845" s="9"/>
      <c r="C1845" s="9"/>
      <c r="D1845" s="9"/>
      <c r="E1845" s="9"/>
      <c r="F1845" s="67"/>
      <c r="G1845" s="9"/>
      <c r="H1845" s="9"/>
      <c r="I1845" s="9"/>
      <c r="J1845" s="9"/>
      <c r="K1845" s="9"/>
      <c r="L1845" s="9"/>
      <c r="M1845" s="9"/>
      <c r="N1845" s="9"/>
      <c r="O1845" s="9"/>
      <c r="P1845" s="9"/>
      <c r="Q1845" s="9"/>
      <c r="R1845" s="9"/>
      <c r="S1845" s="9"/>
      <c r="T1845" s="9"/>
      <c r="U1845" s="9"/>
      <c r="V1845" s="9"/>
      <c r="W1845" s="9"/>
      <c r="X1845" s="9"/>
      <c r="Y1845" s="9"/>
      <c r="Z1845" s="9"/>
      <c r="AA1845" s="9"/>
      <c r="AB1845" s="9"/>
      <c r="AC1845" s="9"/>
      <c r="AD1845" s="9"/>
      <c r="AE1845" s="9"/>
      <c r="AF1845" s="9"/>
      <c r="AG1845" s="9"/>
      <c r="AH1845" s="9"/>
      <c r="AI1845" s="9"/>
      <c r="AJ1845" s="9"/>
      <c r="AK1845" s="9"/>
      <c r="AL1845" s="9"/>
      <c r="AM1845" s="9"/>
      <c r="AN1845" s="9"/>
      <c r="AO1845" s="9"/>
      <c r="AP1845" s="9"/>
      <c r="AQ1845" s="9"/>
      <c r="AR1845" s="9"/>
      <c r="AS1845" s="9"/>
      <c r="AT1845" s="9"/>
      <c r="AU1845" s="9"/>
    </row>
    <row r="1846" spans="1:47" ht="15.75" customHeight="1">
      <c r="A1846" s="9"/>
      <c r="B1846" s="9"/>
      <c r="C1846" s="9"/>
      <c r="D1846" s="9"/>
      <c r="E1846" s="9"/>
      <c r="F1846" s="67"/>
      <c r="G1846" s="9"/>
      <c r="H1846" s="9"/>
      <c r="I1846" s="9"/>
      <c r="J1846" s="9"/>
      <c r="K1846" s="9"/>
      <c r="L1846" s="9"/>
      <c r="M1846" s="9"/>
      <c r="N1846" s="9"/>
      <c r="O1846" s="9"/>
      <c r="P1846" s="9"/>
      <c r="Q1846" s="9"/>
      <c r="R1846" s="9"/>
      <c r="S1846" s="9"/>
      <c r="T1846" s="9"/>
      <c r="U1846" s="9"/>
      <c r="V1846" s="9"/>
      <c r="W1846" s="9"/>
      <c r="X1846" s="9"/>
      <c r="Y1846" s="9"/>
      <c r="Z1846" s="9"/>
      <c r="AA1846" s="9"/>
      <c r="AB1846" s="9"/>
      <c r="AC1846" s="9"/>
      <c r="AD1846" s="9"/>
      <c r="AE1846" s="9"/>
      <c r="AF1846" s="9"/>
      <c r="AG1846" s="9"/>
      <c r="AH1846" s="9"/>
      <c r="AI1846" s="9"/>
      <c r="AJ1846" s="9"/>
      <c r="AK1846" s="9"/>
      <c r="AL1846" s="9"/>
      <c r="AM1846" s="9"/>
      <c r="AN1846" s="9"/>
      <c r="AO1846" s="9"/>
      <c r="AP1846" s="9"/>
      <c r="AQ1846" s="9"/>
      <c r="AR1846" s="9"/>
      <c r="AS1846" s="9"/>
      <c r="AT1846" s="9"/>
      <c r="AU1846" s="9"/>
    </row>
    <row r="1847" spans="1:47" ht="15.75" customHeight="1">
      <c r="A1847" s="9"/>
      <c r="B1847" s="9"/>
      <c r="C1847" s="9"/>
      <c r="D1847" s="9"/>
      <c r="E1847" s="9"/>
      <c r="F1847" s="67"/>
      <c r="G1847" s="9"/>
      <c r="H1847" s="9"/>
      <c r="I1847" s="9"/>
      <c r="J1847" s="9"/>
      <c r="K1847" s="9"/>
      <c r="L1847" s="9"/>
      <c r="M1847" s="9"/>
      <c r="N1847" s="9"/>
      <c r="O1847" s="9"/>
      <c r="P1847" s="9"/>
      <c r="Q1847" s="9"/>
      <c r="R1847" s="9"/>
      <c r="S1847" s="9"/>
      <c r="T1847" s="9"/>
      <c r="U1847" s="9"/>
      <c r="V1847" s="9"/>
      <c r="W1847" s="9"/>
      <c r="X1847" s="9"/>
      <c r="Y1847" s="9"/>
      <c r="Z1847" s="9"/>
      <c r="AA1847" s="9"/>
      <c r="AB1847" s="9"/>
      <c r="AC1847" s="9"/>
      <c r="AD1847" s="9"/>
      <c r="AE1847" s="9"/>
      <c r="AF1847" s="9"/>
      <c r="AG1847" s="9"/>
      <c r="AH1847" s="9"/>
      <c r="AI1847" s="9"/>
      <c r="AJ1847" s="9"/>
      <c r="AK1847" s="9"/>
      <c r="AL1847" s="9"/>
      <c r="AM1847" s="9"/>
      <c r="AN1847" s="9"/>
      <c r="AO1847" s="9"/>
      <c r="AP1847" s="9"/>
      <c r="AQ1847" s="9"/>
      <c r="AR1847" s="9"/>
      <c r="AS1847" s="9"/>
      <c r="AT1847" s="9"/>
      <c r="AU1847" s="9"/>
    </row>
    <row r="1848" spans="1:47" ht="15.75" customHeight="1">
      <c r="A1848" s="9"/>
      <c r="B1848" s="9"/>
      <c r="C1848" s="9"/>
      <c r="D1848" s="9"/>
      <c r="E1848" s="9"/>
      <c r="F1848" s="67"/>
      <c r="G1848" s="9"/>
      <c r="H1848" s="9"/>
      <c r="I1848" s="9"/>
      <c r="J1848" s="9"/>
      <c r="K1848" s="9"/>
      <c r="L1848" s="9"/>
      <c r="M1848" s="9"/>
      <c r="N1848" s="9"/>
      <c r="O1848" s="9"/>
      <c r="P1848" s="9"/>
      <c r="Q1848" s="9"/>
      <c r="R1848" s="9"/>
      <c r="S1848" s="9"/>
      <c r="T1848" s="9"/>
      <c r="U1848" s="9"/>
      <c r="V1848" s="9"/>
      <c r="W1848" s="9"/>
      <c r="X1848" s="9"/>
      <c r="Y1848" s="9"/>
      <c r="Z1848" s="9"/>
      <c r="AA1848" s="9"/>
      <c r="AB1848" s="9"/>
      <c r="AC1848" s="9"/>
      <c r="AD1848" s="9"/>
      <c r="AE1848" s="9"/>
      <c r="AF1848" s="9"/>
      <c r="AG1848" s="9"/>
      <c r="AH1848" s="9"/>
      <c r="AI1848" s="9"/>
      <c r="AJ1848" s="9"/>
      <c r="AK1848" s="9"/>
      <c r="AL1848" s="9"/>
      <c r="AM1848" s="9"/>
      <c r="AN1848" s="9"/>
      <c r="AO1848" s="9"/>
      <c r="AP1848" s="9"/>
      <c r="AQ1848" s="9"/>
      <c r="AR1848" s="9"/>
      <c r="AS1848" s="9"/>
      <c r="AT1848" s="9"/>
      <c r="AU1848" s="9"/>
    </row>
    <row r="1849" spans="1:47" ht="15.75" customHeight="1">
      <c r="A1849" s="9"/>
      <c r="B1849" s="9"/>
      <c r="C1849" s="9"/>
      <c r="D1849" s="9"/>
      <c r="E1849" s="9"/>
      <c r="F1849" s="67"/>
      <c r="G1849" s="9"/>
      <c r="H1849" s="9"/>
      <c r="I1849" s="9"/>
      <c r="J1849" s="9"/>
      <c r="K1849" s="9"/>
      <c r="L1849" s="9"/>
      <c r="M1849" s="9"/>
      <c r="N1849" s="9"/>
      <c r="O1849" s="9"/>
      <c r="P1849" s="9"/>
      <c r="Q1849" s="9"/>
      <c r="R1849" s="9"/>
      <c r="S1849" s="9"/>
      <c r="T1849" s="9"/>
      <c r="U1849" s="9"/>
      <c r="V1849" s="9"/>
      <c r="W1849" s="9"/>
      <c r="X1849" s="9"/>
      <c r="Y1849" s="9"/>
      <c r="Z1849" s="9"/>
      <c r="AA1849" s="9"/>
      <c r="AB1849" s="9"/>
      <c r="AC1849" s="9"/>
      <c r="AD1849" s="9"/>
      <c r="AE1849" s="9"/>
      <c r="AF1849" s="9"/>
      <c r="AG1849" s="9"/>
      <c r="AH1849" s="9"/>
      <c r="AI1849" s="9"/>
      <c r="AJ1849" s="9"/>
      <c r="AK1849" s="9"/>
      <c r="AL1849" s="9"/>
      <c r="AM1849" s="9"/>
      <c r="AN1849" s="9"/>
      <c r="AO1849" s="9"/>
      <c r="AP1849" s="9"/>
      <c r="AQ1849" s="9"/>
      <c r="AR1849" s="9"/>
      <c r="AS1849" s="9"/>
      <c r="AT1849" s="9"/>
      <c r="AU1849" s="9"/>
    </row>
    <row r="1850" spans="1:47" ht="15.75" customHeight="1">
      <c r="A1850" s="9"/>
      <c r="B1850" s="9"/>
      <c r="C1850" s="9"/>
      <c r="D1850" s="9"/>
      <c r="E1850" s="9"/>
      <c r="F1850" s="67"/>
      <c r="G1850" s="9"/>
      <c r="H1850" s="9"/>
      <c r="I1850" s="9"/>
      <c r="J1850" s="9"/>
      <c r="K1850" s="9"/>
      <c r="L1850" s="9"/>
      <c r="M1850" s="9"/>
      <c r="N1850" s="9"/>
      <c r="O1850" s="9"/>
      <c r="P1850" s="9"/>
      <c r="Q1850" s="9"/>
      <c r="R1850" s="9"/>
      <c r="S1850" s="9"/>
      <c r="T1850" s="9"/>
      <c r="U1850" s="9"/>
      <c r="V1850" s="9"/>
      <c r="W1850" s="9"/>
      <c r="X1850" s="9"/>
      <c r="Y1850" s="9"/>
      <c r="Z1850" s="9"/>
      <c r="AA1850" s="9"/>
      <c r="AB1850" s="9"/>
      <c r="AC1850" s="9"/>
      <c r="AD1850" s="9"/>
      <c r="AE1850" s="9"/>
      <c r="AF1850" s="9"/>
      <c r="AG1850" s="9"/>
      <c r="AH1850" s="9"/>
      <c r="AI1850" s="9"/>
      <c r="AJ1850" s="9"/>
      <c r="AK1850" s="9"/>
      <c r="AL1850" s="9"/>
      <c r="AM1850" s="9"/>
      <c r="AN1850" s="9"/>
      <c r="AO1850" s="9"/>
      <c r="AP1850" s="9"/>
      <c r="AQ1850" s="9"/>
      <c r="AR1850" s="9"/>
      <c r="AS1850" s="9"/>
      <c r="AT1850" s="9"/>
      <c r="AU1850" s="9"/>
    </row>
    <row r="1851" spans="1:47" ht="15.75" customHeight="1">
      <c r="A1851" s="9"/>
      <c r="B1851" s="9"/>
      <c r="C1851" s="9"/>
      <c r="D1851" s="9"/>
      <c r="E1851" s="9"/>
      <c r="F1851" s="67"/>
      <c r="G1851" s="9"/>
      <c r="H1851" s="9"/>
      <c r="I1851" s="9"/>
      <c r="J1851" s="9"/>
      <c r="K1851" s="9"/>
      <c r="L1851" s="9"/>
      <c r="M1851" s="9"/>
      <c r="N1851" s="9"/>
      <c r="O1851" s="9"/>
      <c r="P1851" s="9"/>
      <c r="Q1851" s="9"/>
      <c r="R1851" s="9"/>
      <c r="S1851" s="9"/>
      <c r="T1851" s="9"/>
      <c r="U1851" s="9"/>
      <c r="V1851" s="9"/>
      <c r="W1851" s="9"/>
      <c r="X1851" s="9"/>
      <c r="Y1851" s="9"/>
      <c r="Z1851" s="9"/>
      <c r="AA1851" s="9"/>
      <c r="AB1851" s="9"/>
      <c r="AC1851" s="9"/>
      <c r="AD1851" s="9"/>
      <c r="AE1851" s="9"/>
      <c r="AF1851" s="9"/>
      <c r="AG1851" s="9"/>
      <c r="AH1851" s="9"/>
      <c r="AI1851" s="9"/>
      <c r="AJ1851" s="9"/>
      <c r="AK1851" s="9"/>
      <c r="AL1851" s="9"/>
      <c r="AM1851" s="9"/>
      <c r="AN1851" s="9"/>
      <c r="AO1851" s="9"/>
      <c r="AP1851" s="9"/>
      <c r="AQ1851" s="9"/>
      <c r="AR1851" s="9"/>
      <c r="AS1851" s="9"/>
      <c r="AT1851" s="9"/>
      <c r="AU1851" s="9"/>
    </row>
    <row r="1852" spans="1:47" ht="15.75" customHeight="1">
      <c r="A1852" s="9"/>
      <c r="B1852" s="9"/>
      <c r="C1852" s="9"/>
      <c r="D1852" s="9"/>
      <c r="E1852" s="9"/>
      <c r="F1852" s="67"/>
      <c r="G1852" s="9"/>
      <c r="H1852" s="9"/>
      <c r="I1852" s="9"/>
      <c r="J1852" s="9"/>
      <c r="K1852" s="9"/>
      <c r="L1852" s="9"/>
      <c r="M1852" s="9"/>
      <c r="N1852" s="9"/>
      <c r="O1852" s="9"/>
      <c r="P1852" s="9"/>
      <c r="Q1852" s="9"/>
      <c r="R1852" s="9"/>
      <c r="S1852" s="9"/>
      <c r="T1852" s="9"/>
      <c r="U1852" s="9"/>
      <c r="V1852" s="9"/>
      <c r="W1852" s="9"/>
      <c r="X1852" s="9"/>
      <c r="Y1852" s="9"/>
      <c r="Z1852" s="9"/>
      <c r="AA1852" s="9"/>
      <c r="AB1852" s="9"/>
      <c r="AC1852" s="9"/>
      <c r="AD1852" s="9"/>
      <c r="AE1852" s="9"/>
      <c r="AF1852" s="9"/>
      <c r="AG1852" s="9"/>
      <c r="AH1852" s="9"/>
      <c r="AI1852" s="9"/>
      <c r="AJ1852" s="9"/>
      <c r="AK1852" s="9"/>
      <c r="AL1852" s="9"/>
      <c r="AM1852" s="9"/>
      <c r="AN1852" s="9"/>
      <c r="AO1852" s="9"/>
      <c r="AP1852" s="9"/>
      <c r="AQ1852" s="9"/>
      <c r="AR1852" s="9"/>
      <c r="AS1852" s="9"/>
      <c r="AT1852" s="9"/>
      <c r="AU1852" s="9"/>
    </row>
    <row r="1853" spans="1:47" ht="15.75" customHeight="1">
      <c r="A1853" s="9"/>
      <c r="B1853" s="9"/>
      <c r="C1853" s="9"/>
      <c r="D1853" s="9"/>
      <c r="E1853" s="9"/>
      <c r="F1853" s="67"/>
      <c r="G1853" s="9"/>
      <c r="H1853" s="9"/>
      <c r="I1853" s="9"/>
      <c r="J1853" s="9"/>
      <c r="K1853" s="9"/>
      <c r="L1853" s="9"/>
      <c r="M1853" s="9"/>
      <c r="N1853" s="9"/>
      <c r="O1853" s="9"/>
      <c r="P1853" s="9"/>
      <c r="Q1853" s="9"/>
      <c r="R1853" s="9"/>
      <c r="S1853" s="9"/>
      <c r="T1853" s="9"/>
      <c r="U1853" s="9"/>
      <c r="V1853" s="9"/>
      <c r="W1853" s="9"/>
      <c r="X1853" s="9"/>
      <c r="Y1853" s="9"/>
      <c r="Z1853" s="9"/>
      <c r="AA1853" s="9"/>
      <c r="AB1853" s="9"/>
      <c r="AC1853" s="9"/>
      <c r="AD1853" s="9"/>
      <c r="AE1853" s="9"/>
      <c r="AF1853" s="9"/>
      <c r="AG1853" s="9"/>
      <c r="AH1853" s="9"/>
      <c r="AI1853" s="9"/>
      <c r="AJ1853" s="9"/>
      <c r="AK1853" s="9"/>
      <c r="AL1853" s="9"/>
      <c r="AM1853" s="9"/>
      <c r="AN1853" s="9"/>
      <c r="AO1853" s="9"/>
      <c r="AP1853" s="9"/>
      <c r="AQ1853" s="9"/>
      <c r="AR1853" s="9"/>
      <c r="AS1853" s="9"/>
      <c r="AT1853" s="9"/>
      <c r="AU1853" s="9"/>
    </row>
    <row r="1854" spans="1:47" ht="15.75" customHeight="1">
      <c r="A1854" s="9"/>
      <c r="B1854" s="9"/>
      <c r="C1854" s="9"/>
      <c r="D1854" s="9"/>
      <c r="E1854" s="9"/>
      <c r="F1854" s="67"/>
      <c r="G1854" s="9"/>
      <c r="H1854" s="9"/>
      <c r="I1854" s="9"/>
      <c r="J1854" s="9"/>
      <c r="K1854" s="9"/>
      <c r="L1854" s="9"/>
      <c r="M1854" s="9"/>
      <c r="N1854" s="9"/>
      <c r="O1854" s="9"/>
      <c r="P1854" s="9"/>
      <c r="Q1854" s="9"/>
      <c r="R1854" s="9"/>
      <c r="S1854" s="9"/>
      <c r="T1854" s="9"/>
      <c r="U1854" s="9"/>
      <c r="V1854" s="9"/>
      <c r="W1854" s="9"/>
      <c r="X1854" s="9"/>
      <c r="Y1854" s="9"/>
      <c r="Z1854" s="9"/>
      <c r="AA1854" s="9"/>
      <c r="AB1854" s="9"/>
      <c r="AC1854" s="9"/>
      <c r="AD1854" s="9"/>
      <c r="AE1854" s="9"/>
      <c r="AF1854" s="9"/>
      <c r="AG1854" s="9"/>
      <c r="AH1854" s="9"/>
      <c r="AI1854" s="9"/>
      <c r="AJ1854" s="9"/>
      <c r="AK1854" s="9"/>
      <c r="AL1854" s="9"/>
      <c r="AM1854" s="9"/>
      <c r="AN1854" s="9"/>
      <c r="AO1854" s="9"/>
      <c r="AP1854" s="9"/>
      <c r="AQ1854" s="9"/>
      <c r="AR1854" s="9"/>
      <c r="AS1854" s="9"/>
      <c r="AT1854" s="9"/>
      <c r="AU1854" s="9"/>
    </row>
    <row r="1855" spans="1:47" ht="15.75" customHeight="1">
      <c r="A1855" s="9"/>
      <c r="B1855" s="9"/>
      <c r="C1855" s="9"/>
      <c r="D1855" s="9"/>
      <c r="E1855" s="9"/>
      <c r="F1855" s="67"/>
      <c r="G1855" s="9"/>
      <c r="H1855" s="9"/>
      <c r="I1855" s="9"/>
      <c r="J1855" s="9"/>
      <c r="K1855" s="9"/>
      <c r="L1855" s="9"/>
      <c r="M1855" s="9"/>
      <c r="N1855" s="9"/>
      <c r="O1855" s="9"/>
      <c r="P1855" s="9"/>
      <c r="Q1855" s="9"/>
      <c r="R1855" s="9"/>
      <c r="S1855" s="9"/>
      <c r="T1855" s="9"/>
      <c r="U1855" s="9"/>
      <c r="V1855" s="9"/>
      <c r="W1855" s="9"/>
      <c r="X1855" s="9"/>
      <c r="Y1855" s="9"/>
      <c r="Z1855" s="9"/>
      <c r="AA1855" s="9"/>
      <c r="AB1855" s="9"/>
      <c r="AC1855" s="9"/>
      <c r="AD1855" s="9"/>
      <c r="AE1855" s="9"/>
      <c r="AF1855" s="9"/>
      <c r="AG1855" s="9"/>
      <c r="AH1855" s="9"/>
      <c r="AI1855" s="9"/>
      <c r="AJ1855" s="9"/>
      <c r="AK1855" s="9"/>
      <c r="AL1855" s="9"/>
      <c r="AM1855" s="9"/>
      <c r="AN1855" s="9"/>
      <c r="AO1855" s="9"/>
      <c r="AP1855" s="9"/>
      <c r="AQ1855" s="9"/>
      <c r="AR1855" s="9"/>
      <c r="AS1855" s="9"/>
      <c r="AT1855" s="9"/>
      <c r="AU1855" s="9"/>
    </row>
    <row r="1856" spans="1:47" ht="15.75" customHeight="1">
      <c r="A1856" s="9"/>
      <c r="B1856" s="9"/>
      <c r="C1856" s="9"/>
      <c r="D1856" s="9"/>
      <c r="E1856" s="9"/>
      <c r="F1856" s="67"/>
      <c r="G1856" s="9"/>
      <c r="H1856" s="9"/>
      <c r="I1856" s="9"/>
      <c r="J1856" s="9"/>
      <c r="K1856" s="9"/>
      <c r="L1856" s="9"/>
      <c r="M1856" s="9"/>
      <c r="N1856" s="9"/>
      <c r="O1856" s="9"/>
      <c r="P1856" s="9"/>
      <c r="Q1856" s="9"/>
      <c r="R1856" s="9"/>
      <c r="S1856" s="9"/>
      <c r="T1856" s="9"/>
      <c r="U1856" s="9"/>
      <c r="V1856" s="9"/>
      <c r="W1856" s="9"/>
      <c r="X1856" s="9"/>
      <c r="Y1856" s="9"/>
      <c r="Z1856" s="9"/>
      <c r="AA1856" s="9"/>
      <c r="AB1856" s="9"/>
      <c r="AC1856" s="9"/>
      <c r="AD1856" s="9"/>
      <c r="AE1856" s="9"/>
      <c r="AF1856" s="9"/>
      <c r="AG1856" s="9"/>
      <c r="AH1856" s="9"/>
      <c r="AI1856" s="9"/>
      <c r="AJ1856" s="9"/>
      <c r="AK1856" s="9"/>
      <c r="AL1856" s="9"/>
      <c r="AM1856" s="9"/>
      <c r="AN1856" s="9"/>
      <c r="AO1856" s="9"/>
      <c r="AP1856" s="9"/>
      <c r="AQ1856" s="9"/>
      <c r="AR1856" s="9"/>
      <c r="AS1856" s="9"/>
      <c r="AT1856" s="9"/>
      <c r="AU1856" s="9"/>
    </row>
    <row r="1857" spans="1:47" ht="15.75" customHeight="1">
      <c r="A1857" s="9"/>
      <c r="B1857" s="9"/>
      <c r="C1857" s="9"/>
      <c r="D1857" s="9"/>
      <c r="E1857" s="9"/>
      <c r="F1857" s="67"/>
      <c r="G1857" s="9"/>
      <c r="H1857" s="9"/>
      <c r="I1857" s="9"/>
      <c r="J1857" s="9"/>
      <c r="K1857" s="9"/>
      <c r="L1857" s="9"/>
      <c r="M1857" s="9"/>
      <c r="N1857" s="9"/>
      <c r="O1857" s="9"/>
      <c r="P1857" s="9"/>
      <c r="Q1857" s="9"/>
      <c r="R1857" s="9"/>
      <c r="S1857" s="9"/>
      <c r="T1857" s="9"/>
      <c r="U1857" s="9"/>
      <c r="V1857" s="9"/>
      <c r="W1857" s="9"/>
      <c r="X1857" s="9"/>
      <c r="Y1857" s="9"/>
      <c r="Z1857" s="9"/>
      <c r="AA1857" s="9"/>
      <c r="AB1857" s="9"/>
      <c r="AC1857" s="9"/>
      <c r="AD1857" s="9"/>
      <c r="AE1857" s="9"/>
      <c r="AF1857" s="9"/>
      <c r="AG1857" s="9"/>
      <c r="AH1857" s="9"/>
      <c r="AI1857" s="9"/>
      <c r="AJ1857" s="9"/>
      <c r="AK1857" s="9"/>
      <c r="AL1857" s="9"/>
      <c r="AM1857" s="9"/>
      <c r="AN1857" s="9"/>
      <c r="AO1857" s="9"/>
      <c r="AP1857" s="9"/>
      <c r="AQ1857" s="9"/>
      <c r="AR1857" s="9"/>
      <c r="AS1857" s="9"/>
      <c r="AT1857" s="9"/>
      <c r="AU1857" s="9"/>
    </row>
    <row r="1858" spans="1:47" ht="15.75" customHeight="1">
      <c r="A1858" s="9"/>
      <c r="B1858" s="9"/>
      <c r="C1858" s="9"/>
      <c r="D1858" s="9"/>
      <c r="E1858" s="9"/>
      <c r="F1858" s="67"/>
      <c r="G1858" s="9"/>
      <c r="H1858" s="9"/>
      <c r="I1858" s="9"/>
      <c r="J1858" s="9"/>
      <c r="K1858" s="9"/>
      <c r="L1858" s="9"/>
      <c r="M1858" s="9"/>
      <c r="N1858" s="9"/>
      <c r="O1858" s="9"/>
      <c r="P1858" s="9"/>
      <c r="Q1858" s="9"/>
      <c r="R1858" s="9"/>
      <c r="S1858" s="9"/>
      <c r="T1858" s="9"/>
      <c r="U1858" s="9"/>
      <c r="V1858" s="9"/>
      <c r="W1858" s="9"/>
      <c r="X1858" s="9"/>
      <c r="Y1858" s="9"/>
      <c r="Z1858" s="9"/>
      <c r="AA1858" s="9"/>
      <c r="AB1858" s="9"/>
      <c r="AC1858" s="9"/>
      <c r="AD1858" s="9"/>
      <c r="AE1858" s="9"/>
      <c r="AF1858" s="9"/>
      <c r="AG1858" s="9"/>
      <c r="AH1858" s="9"/>
      <c r="AI1858" s="9"/>
      <c r="AJ1858" s="9"/>
      <c r="AK1858" s="9"/>
      <c r="AL1858" s="9"/>
      <c r="AM1858" s="9"/>
      <c r="AN1858" s="9"/>
      <c r="AO1858" s="9"/>
      <c r="AP1858" s="9"/>
      <c r="AQ1858" s="9"/>
      <c r="AR1858" s="9"/>
      <c r="AS1858" s="9"/>
      <c r="AT1858" s="9"/>
      <c r="AU1858" s="9"/>
    </row>
    <row r="1859" spans="1:47" ht="15.75" customHeight="1">
      <c r="A1859" s="9"/>
      <c r="B1859" s="9"/>
      <c r="C1859" s="9"/>
      <c r="D1859" s="9"/>
      <c r="E1859" s="9"/>
      <c r="F1859" s="67"/>
      <c r="G1859" s="9"/>
      <c r="H1859" s="9"/>
      <c r="I1859" s="9"/>
      <c r="J1859" s="9"/>
      <c r="K1859" s="9"/>
      <c r="L1859" s="9"/>
      <c r="M1859" s="9"/>
      <c r="N1859" s="9"/>
      <c r="O1859" s="9"/>
      <c r="P1859" s="9"/>
      <c r="Q1859" s="9"/>
      <c r="R1859" s="9"/>
      <c r="S1859" s="9"/>
      <c r="T1859" s="9"/>
      <c r="U1859" s="9"/>
      <c r="V1859" s="9"/>
      <c r="W1859" s="9"/>
      <c r="X1859" s="9"/>
      <c r="Y1859" s="9"/>
      <c r="Z1859" s="9"/>
      <c r="AA1859" s="9"/>
      <c r="AB1859" s="9"/>
      <c r="AC1859" s="9"/>
      <c r="AD1859" s="9"/>
      <c r="AE1859" s="9"/>
      <c r="AF1859" s="9"/>
      <c r="AG1859" s="9"/>
      <c r="AH1859" s="9"/>
      <c r="AI1859" s="9"/>
      <c r="AJ1859" s="9"/>
      <c r="AK1859" s="9"/>
      <c r="AL1859" s="9"/>
      <c r="AM1859" s="9"/>
      <c r="AN1859" s="9"/>
      <c r="AO1859" s="9"/>
      <c r="AP1859" s="9"/>
      <c r="AQ1859" s="9"/>
      <c r="AR1859" s="9"/>
      <c r="AS1859" s="9"/>
      <c r="AT1859" s="9"/>
      <c r="AU1859" s="9"/>
    </row>
    <row r="1860" spans="1:47" ht="15.75" customHeight="1">
      <c r="A1860" s="9"/>
      <c r="B1860" s="9"/>
      <c r="C1860" s="9"/>
      <c r="D1860" s="9"/>
      <c r="E1860" s="9"/>
      <c r="F1860" s="67"/>
      <c r="G1860" s="9"/>
      <c r="H1860" s="9"/>
      <c r="I1860" s="9"/>
      <c r="J1860" s="9"/>
      <c r="K1860" s="9"/>
      <c r="L1860" s="9"/>
      <c r="M1860" s="9"/>
      <c r="N1860" s="9"/>
      <c r="O1860" s="9"/>
      <c r="P1860" s="9"/>
      <c r="Q1860" s="9"/>
      <c r="R1860" s="9"/>
      <c r="S1860" s="9"/>
      <c r="T1860" s="9"/>
      <c r="U1860" s="9"/>
      <c r="V1860" s="9"/>
      <c r="W1860" s="9"/>
      <c r="X1860" s="9"/>
      <c r="Y1860" s="9"/>
      <c r="Z1860" s="9"/>
      <c r="AA1860" s="9"/>
      <c r="AB1860" s="9"/>
      <c r="AC1860" s="9"/>
      <c r="AD1860" s="9"/>
      <c r="AE1860" s="9"/>
      <c r="AF1860" s="9"/>
      <c r="AG1860" s="9"/>
      <c r="AH1860" s="9"/>
      <c r="AI1860" s="9"/>
      <c r="AJ1860" s="9"/>
      <c r="AK1860" s="9"/>
      <c r="AL1860" s="9"/>
      <c r="AM1860" s="9"/>
      <c r="AN1860" s="9"/>
      <c r="AO1860" s="9"/>
      <c r="AP1860" s="9"/>
      <c r="AQ1860" s="9"/>
      <c r="AR1860" s="9"/>
      <c r="AS1860" s="9"/>
      <c r="AT1860" s="9"/>
      <c r="AU1860" s="9"/>
    </row>
    <row r="1861" spans="1:47" ht="15.75" customHeight="1">
      <c r="A1861" s="9"/>
      <c r="B1861" s="9"/>
      <c r="C1861" s="9"/>
      <c r="D1861" s="9"/>
      <c r="E1861" s="9"/>
      <c r="F1861" s="67"/>
      <c r="G1861" s="9"/>
      <c r="H1861" s="9"/>
      <c r="I1861" s="9"/>
      <c r="J1861" s="9"/>
      <c r="K1861" s="9"/>
      <c r="L1861" s="9"/>
      <c r="M1861" s="9"/>
      <c r="N1861" s="9"/>
      <c r="O1861" s="9"/>
      <c r="P1861" s="9"/>
      <c r="Q1861" s="9"/>
      <c r="R1861" s="9"/>
      <c r="S1861" s="9"/>
      <c r="T1861" s="9"/>
      <c r="U1861" s="9"/>
      <c r="V1861" s="9"/>
      <c r="W1861" s="9"/>
      <c r="X1861" s="9"/>
      <c r="Y1861" s="9"/>
      <c r="Z1861" s="9"/>
      <c r="AA1861" s="9"/>
      <c r="AB1861" s="9"/>
      <c r="AC1861" s="9"/>
      <c r="AD1861" s="9"/>
      <c r="AE1861" s="9"/>
      <c r="AF1861" s="9"/>
      <c r="AG1861" s="9"/>
      <c r="AH1861" s="9"/>
      <c r="AI1861" s="9"/>
      <c r="AJ1861" s="9"/>
      <c r="AK1861" s="9"/>
      <c r="AL1861" s="9"/>
      <c r="AM1861" s="9"/>
      <c r="AN1861" s="9"/>
      <c r="AO1861" s="9"/>
      <c r="AP1861" s="9"/>
      <c r="AQ1861" s="9"/>
      <c r="AR1861" s="9"/>
      <c r="AS1861" s="9"/>
      <c r="AT1861" s="9"/>
      <c r="AU1861" s="9"/>
    </row>
    <row r="1862" spans="1:47" ht="15.75" customHeight="1">
      <c r="A1862" s="9"/>
      <c r="B1862" s="9"/>
      <c r="C1862" s="9"/>
      <c r="D1862" s="9"/>
      <c r="E1862" s="9"/>
      <c r="F1862" s="67"/>
      <c r="G1862" s="9"/>
      <c r="H1862" s="9"/>
      <c r="I1862" s="9"/>
      <c r="J1862" s="9"/>
      <c r="K1862" s="9"/>
      <c r="L1862" s="9"/>
      <c r="M1862" s="9"/>
      <c r="N1862" s="9"/>
      <c r="O1862" s="9"/>
      <c r="P1862" s="9"/>
      <c r="Q1862" s="9"/>
      <c r="R1862" s="9"/>
      <c r="S1862" s="9"/>
      <c r="T1862" s="9"/>
      <c r="U1862" s="9"/>
      <c r="V1862" s="9"/>
      <c r="W1862" s="9"/>
      <c r="X1862" s="9"/>
      <c r="Y1862" s="9"/>
      <c r="Z1862" s="9"/>
      <c r="AA1862" s="9"/>
      <c r="AB1862" s="9"/>
      <c r="AC1862" s="9"/>
      <c r="AD1862" s="9"/>
      <c r="AE1862" s="9"/>
      <c r="AF1862" s="9"/>
      <c r="AG1862" s="9"/>
      <c r="AH1862" s="9"/>
      <c r="AI1862" s="9"/>
      <c r="AJ1862" s="9"/>
      <c r="AK1862" s="9"/>
      <c r="AL1862" s="9"/>
      <c r="AM1862" s="9"/>
      <c r="AN1862" s="9"/>
      <c r="AO1862" s="9"/>
      <c r="AP1862" s="9"/>
      <c r="AQ1862" s="9"/>
      <c r="AR1862" s="9"/>
      <c r="AS1862" s="9"/>
      <c r="AT1862" s="9"/>
      <c r="AU1862" s="9"/>
    </row>
    <row r="1863" spans="1:47" ht="15.75" customHeight="1">
      <c r="A1863" s="9"/>
      <c r="B1863" s="9"/>
      <c r="C1863" s="9"/>
      <c r="D1863" s="9"/>
      <c r="E1863" s="9"/>
      <c r="F1863" s="67"/>
      <c r="G1863" s="9"/>
      <c r="H1863" s="9"/>
      <c r="I1863" s="9"/>
      <c r="J1863" s="9"/>
      <c r="K1863" s="9"/>
      <c r="L1863" s="9"/>
      <c r="M1863" s="9"/>
      <c r="N1863" s="9"/>
      <c r="O1863" s="9"/>
      <c r="P1863" s="9"/>
      <c r="Q1863" s="9"/>
      <c r="R1863" s="9"/>
      <c r="S1863" s="9"/>
      <c r="T1863" s="9"/>
      <c r="U1863" s="9"/>
      <c r="V1863" s="9"/>
      <c r="W1863" s="9"/>
      <c r="X1863" s="9"/>
      <c r="Y1863" s="9"/>
      <c r="Z1863" s="9"/>
      <c r="AA1863" s="9"/>
      <c r="AB1863" s="9"/>
      <c r="AC1863" s="9"/>
      <c r="AD1863" s="9"/>
      <c r="AE1863" s="9"/>
      <c r="AF1863" s="9"/>
      <c r="AG1863" s="9"/>
      <c r="AH1863" s="9"/>
      <c r="AI1863" s="9"/>
      <c r="AJ1863" s="9"/>
      <c r="AK1863" s="9"/>
      <c r="AL1863" s="9"/>
      <c r="AM1863" s="9"/>
      <c r="AN1863" s="9"/>
      <c r="AO1863" s="9"/>
      <c r="AP1863" s="9"/>
      <c r="AQ1863" s="9"/>
      <c r="AR1863" s="9"/>
      <c r="AS1863" s="9"/>
      <c r="AT1863" s="9"/>
      <c r="AU1863" s="9"/>
    </row>
    <row r="1864" spans="1:47" ht="15.75" customHeight="1">
      <c r="A1864" s="9"/>
      <c r="B1864" s="9"/>
      <c r="C1864" s="9"/>
      <c r="D1864" s="9"/>
      <c r="E1864" s="9"/>
      <c r="F1864" s="67"/>
      <c r="G1864" s="9"/>
      <c r="H1864" s="9"/>
      <c r="I1864" s="9"/>
      <c r="J1864" s="9"/>
      <c r="K1864" s="9"/>
      <c r="L1864" s="9"/>
      <c r="M1864" s="9"/>
      <c r="N1864" s="9"/>
      <c r="O1864" s="9"/>
      <c r="P1864" s="9"/>
      <c r="Q1864" s="9"/>
      <c r="R1864" s="9"/>
      <c r="S1864" s="9"/>
      <c r="T1864" s="9"/>
      <c r="U1864" s="9"/>
      <c r="V1864" s="9"/>
      <c r="W1864" s="9"/>
      <c r="X1864" s="9"/>
      <c r="Y1864" s="9"/>
      <c r="Z1864" s="9"/>
      <c r="AA1864" s="9"/>
      <c r="AB1864" s="9"/>
      <c r="AC1864" s="9"/>
      <c r="AD1864" s="9"/>
      <c r="AE1864" s="9"/>
      <c r="AF1864" s="9"/>
      <c r="AG1864" s="9"/>
      <c r="AH1864" s="9"/>
      <c r="AI1864" s="9"/>
      <c r="AJ1864" s="9"/>
      <c r="AK1864" s="9"/>
      <c r="AL1864" s="9"/>
      <c r="AM1864" s="9"/>
      <c r="AN1864" s="9"/>
      <c r="AO1864" s="9"/>
      <c r="AP1864" s="9"/>
      <c r="AQ1864" s="9"/>
      <c r="AR1864" s="9"/>
      <c r="AS1864" s="9"/>
      <c r="AT1864" s="9"/>
      <c r="AU1864" s="9"/>
    </row>
    <row r="1865" spans="1:47" ht="15.75" customHeight="1">
      <c r="A1865" s="9"/>
      <c r="B1865" s="9"/>
      <c r="C1865" s="9"/>
      <c r="D1865" s="9"/>
      <c r="E1865" s="9"/>
      <c r="F1865" s="67"/>
      <c r="G1865" s="9"/>
      <c r="H1865" s="9"/>
      <c r="I1865" s="9"/>
      <c r="J1865" s="9"/>
      <c r="K1865" s="9"/>
      <c r="L1865" s="9"/>
      <c r="M1865" s="9"/>
      <c r="N1865" s="9"/>
      <c r="O1865" s="9"/>
      <c r="P1865" s="9"/>
      <c r="Q1865" s="9"/>
      <c r="R1865" s="9"/>
      <c r="S1865" s="9"/>
      <c r="T1865" s="9"/>
      <c r="U1865" s="9"/>
      <c r="V1865" s="9"/>
      <c r="W1865" s="9"/>
      <c r="X1865" s="9"/>
      <c r="Y1865" s="9"/>
      <c r="Z1865" s="9"/>
      <c r="AA1865" s="9"/>
      <c r="AB1865" s="9"/>
      <c r="AC1865" s="9"/>
      <c r="AD1865" s="9"/>
      <c r="AE1865" s="9"/>
      <c r="AF1865" s="9"/>
      <c r="AG1865" s="9"/>
      <c r="AH1865" s="9"/>
      <c r="AI1865" s="9"/>
      <c r="AJ1865" s="9"/>
      <c r="AK1865" s="9"/>
      <c r="AL1865" s="9"/>
      <c r="AM1865" s="9"/>
      <c r="AN1865" s="9"/>
      <c r="AO1865" s="9"/>
      <c r="AP1865" s="9"/>
      <c r="AQ1865" s="9"/>
      <c r="AR1865" s="9"/>
      <c r="AS1865" s="9"/>
      <c r="AT1865" s="9"/>
      <c r="AU1865" s="9"/>
    </row>
    <row r="1866" spans="1:47" ht="15.75" customHeight="1">
      <c r="A1866" s="9"/>
      <c r="B1866" s="9"/>
      <c r="C1866" s="9"/>
      <c r="D1866" s="9"/>
      <c r="E1866" s="9"/>
      <c r="F1866" s="67"/>
      <c r="G1866" s="9"/>
      <c r="H1866" s="9"/>
      <c r="I1866" s="9"/>
      <c r="J1866" s="9"/>
      <c r="K1866" s="9"/>
      <c r="L1866" s="9"/>
      <c r="M1866" s="9"/>
      <c r="N1866" s="9"/>
      <c r="O1866" s="9"/>
      <c r="P1866" s="9"/>
      <c r="Q1866" s="9"/>
      <c r="R1866" s="9"/>
      <c r="S1866" s="9"/>
      <c r="T1866" s="9"/>
      <c r="U1866" s="9"/>
      <c r="V1866" s="9"/>
      <c r="W1866" s="9"/>
      <c r="X1866" s="9"/>
      <c r="Y1866" s="9"/>
      <c r="Z1866" s="9"/>
      <c r="AA1866" s="9"/>
      <c r="AB1866" s="9"/>
      <c r="AC1866" s="9"/>
      <c r="AD1866" s="9"/>
      <c r="AE1866" s="9"/>
      <c r="AF1866" s="9"/>
      <c r="AG1866" s="9"/>
      <c r="AH1866" s="9"/>
      <c r="AI1866" s="9"/>
      <c r="AJ1866" s="9"/>
      <c r="AK1866" s="9"/>
      <c r="AL1866" s="9"/>
      <c r="AM1866" s="9"/>
      <c r="AN1866" s="9"/>
      <c r="AO1866" s="9"/>
      <c r="AP1866" s="9"/>
      <c r="AQ1866" s="9"/>
      <c r="AR1866" s="9"/>
      <c r="AS1866" s="9"/>
      <c r="AT1866" s="9"/>
      <c r="AU1866" s="9"/>
    </row>
    <row r="1867" spans="1:47" ht="15.75" customHeight="1">
      <c r="A1867" s="9"/>
      <c r="B1867" s="9"/>
      <c r="C1867" s="9"/>
      <c r="D1867" s="9"/>
      <c r="E1867" s="9"/>
      <c r="F1867" s="67"/>
      <c r="G1867" s="9"/>
      <c r="H1867" s="9"/>
      <c r="I1867" s="9"/>
      <c r="J1867" s="9"/>
      <c r="K1867" s="9"/>
      <c r="L1867" s="9"/>
      <c r="M1867" s="9"/>
      <c r="N1867" s="9"/>
      <c r="O1867" s="9"/>
      <c r="P1867" s="9"/>
      <c r="Q1867" s="9"/>
      <c r="R1867" s="9"/>
      <c r="S1867" s="9"/>
      <c r="T1867" s="9"/>
      <c r="U1867" s="9"/>
      <c r="V1867" s="9"/>
      <c r="W1867" s="9"/>
      <c r="X1867" s="9"/>
      <c r="Y1867" s="9"/>
      <c r="Z1867" s="9"/>
      <c r="AA1867" s="9"/>
      <c r="AB1867" s="9"/>
      <c r="AC1867" s="9"/>
      <c r="AD1867" s="9"/>
      <c r="AE1867" s="9"/>
      <c r="AF1867" s="9"/>
      <c r="AG1867" s="9"/>
      <c r="AH1867" s="9"/>
      <c r="AI1867" s="9"/>
      <c r="AJ1867" s="9"/>
      <c r="AK1867" s="9"/>
      <c r="AL1867" s="9"/>
      <c r="AM1867" s="9"/>
      <c r="AN1867" s="9"/>
      <c r="AO1867" s="9"/>
      <c r="AP1867" s="9"/>
      <c r="AQ1867" s="9"/>
      <c r="AR1867" s="9"/>
      <c r="AS1867" s="9"/>
      <c r="AT1867" s="9"/>
      <c r="AU1867" s="9"/>
    </row>
    <row r="1868" spans="1:47" ht="15.75" customHeight="1">
      <c r="A1868" s="9"/>
      <c r="B1868" s="9"/>
      <c r="C1868" s="9"/>
      <c r="D1868" s="9"/>
      <c r="E1868" s="9"/>
      <c r="F1868" s="67"/>
      <c r="G1868" s="9"/>
      <c r="H1868" s="9"/>
      <c r="I1868" s="9"/>
      <c r="J1868" s="9"/>
      <c r="K1868" s="9"/>
      <c r="L1868" s="9"/>
      <c r="M1868" s="9"/>
      <c r="N1868" s="9"/>
      <c r="O1868" s="9"/>
      <c r="P1868" s="9"/>
      <c r="Q1868" s="9"/>
      <c r="R1868" s="9"/>
      <c r="S1868" s="9"/>
      <c r="T1868" s="9"/>
      <c r="U1868" s="9"/>
      <c r="V1868" s="9"/>
      <c r="W1868" s="9"/>
      <c r="X1868" s="9"/>
      <c r="Y1868" s="9"/>
      <c r="Z1868" s="9"/>
      <c r="AA1868" s="9"/>
      <c r="AB1868" s="9"/>
      <c r="AC1868" s="9"/>
      <c r="AD1868" s="9"/>
      <c r="AE1868" s="9"/>
      <c r="AF1868" s="9"/>
      <c r="AG1868" s="9"/>
      <c r="AH1868" s="9"/>
      <c r="AI1868" s="9"/>
      <c r="AJ1868" s="9"/>
      <c r="AK1868" s="9"/>
      <c r="AL1868" s="9"/>
      <c r="AM1868" s="9"/>
      <c r="AN1868" s="9"/>
      <c r="AO1868" s="9"/>
      <c r="AP1868" s="9"/>
      <c r="AQ1868" s="9"/>
      <c r="AR1868" s="9"/>
      <c r="AS1868" s="9"/>
      <c r="AT1868" s="9"/>
      <c r="AU1868" s="9"/>
    </row>
    <row r="1869" spans="1:47" ht="15.75" customHeight="1">
      <c r="A1869" s="9"/>
      <c r="B1869" s="9"/>
      <c r="C1869" s="9"/>
      <c r="D1869" s="9"/>
      <c r="E1869" s="9"/>
      <c r="F1869" s="67"/>
      <c r="G1869" s="9"/>
      <c r="H1869" s="9"/>
      <c r="I1869" s="9"/>
      <c r="J1869" s="9"/>
      <c r="K1869" s="9"/>
      <c r="L1869" s="9"/>
      <c r="M1869" s="9"/>
      <c r="N1869" s="9"/>
      <c r="O1869" s="9"/>
      <c r="P1869" s="9"/>
      <c r="Q1869" s="9"/>
      <c r="R1869" s="9"/>
      <c r="S1869" s="9"/>
      <c r="T1869" s="9"/>
      <c r="U1869" s="9"/>
      <c r="V1869" s="9"/>
      <c r="W1869" s="9"/>
      <c r="X1869" s="9"/>
      <c r="Y1869" s="9"/>
      <c r="Z1869" s="9"/>
      <c r="AA1869" s="9"/>
      <c r="AB1869" s="9"/>
      <c r="AC1869" s="9"/>
      <c r="AD1869" s="9"/>
      <c r="AE1869" s="9"/>
      <c r="AF1869" s="9"/>
      <c r="AG1869" s="9"/>
      <c r="AH1869" s="9"/>
      <c r="AI1869" s="9"/>
      <c r="AJ1869" s="9"/>
      <c r="AK1869" s="9"/>
      <c r="AL1869" s="9"/>
      <c r="AM1869" s="9"/>
      <c r="AN1869" s="9"/>
      <c r="AO1869" s="9"/>
      <c r="AP1869" s="9"/>
      <c r="AQ1869" s="9"/>
      <c r="AR1869" s="9"/>
      <c r="AS1869" s="9"/>
      <c r="AT1869" s="9"/>
      <c r="AU1869" s="9"/>
    </row>
    <row r="1870" spans="1:47" ht="15.75" customHeight="1">
      <c r="A1870" s="9"/>
      <c r="B1870" s="9"/>
      <c r="C1870" s="9"/>
      <c r="D1870" s="9"/>
      <c r="E1870" s="9"/>
      <c r="F1870" s="67"/>
      <c r="G1870" s="9"/>
      <c r="H1870" s="9"/>
      <c r="I1870" s="9"/>
      <c r="J1870" s="9"/>
      <c r="K1870" s="9"/>
      <c r="L1870" s="9"/>
      <c r="M1870" s="9"/>
      <c r="N1870" s="9"/>
      <c r="O1870" s="9"/>
      <c r="P1870" s="9"/>
      <c r="Q1870" s="9"/>
      <c r="R1870" s="9"/>
      <c r="S1870" s="9"/>
      <c r="T1870" s="9"/>
      <c r="U1870" s="9"/>
      <c r="V1870" s="9"/>
      <c r="W1870" s="9"/>
      <c r="X1870" s="9"/>
      <c r="Y1870" s="9"/>
      <c r="Z1870" s="9"/>
      <c r="AA1870" s="9"/>
      <c r="AB1870" s="9"/>
      <c r="AC1870" s="9"/>
      <c r="AD1870" s="9"/>
      <c r="AE1870" s="9"/>
      <c r="AF1870" s="9"/>
      <c r="AG1870" s="9"/>
      <c r="AH1870" s="9"/>
      <c r="AI1870" s="9"/>
      <c r="AJ1870" s="9"/>
      <c r="AK1870" s="9"/>
      <c r="AL1870" s="9"/>
      <c r="AM1870" s="9"/>
      <c r="AN1870" s="9"/>
      <c r="AO1870" s="9"/>
      <c r="AP1870" s="9"/>
      <c r="AQ1870" s="9"/>
      <c r="AR1870" s="9"/>
      <c r="AS1870" s="9"/>
      <c r="AT1870" s="9"/>
      <c r="AU1870" s="9"/>
    </row>
    <row r="1871" spans="1:47" ht="15.75" customHeight="1">
      <c r="A1871" s="9"/>
      <c r="B1871" s="9"/>
      <c r="C1871" s="9"/>
      <c r="D1871" s="9"/>
      <c r="E1871" s="9"/>
      <c r="F1871" s="67"/>
      <c r="G1871" s="9"/>
      <c r="H1871" s="9"/>
      <c r="I1871" s="9"/>
      <c r="J1871" s="9"/>
      <c r="K1871" s="9"/>
      <c r="L1871" s="9"/>
      <c r="M1871" s="9"/>
      <c r="N1871" s="9"/>
      <c r="O1871" s="9"/>
      <c r="P1871" s="9"/>
      <c r="Q1871" s="9"/>
      <c r="R1871" s="9"/>
      <c r="S1871" s="9"/>
      <c r="T1871" s="9"/>
      <c r="U1871" s="9"/>
      <c r="V1871" s="9"/>
      <c r="W1871" s="9"/>
      <c r="X1871" s="9"/>
      <c r="Y1871" s="9"/>
      <c r="Z1871" s="9"/>
      <c r="AA1871" s="9"/>
      <c r="AB1871" s="9"/>
      <c r="AC1871" s="9"/>
      <c r="AD1871" s="9"/>
      <c r="AE1871" s="9"/>
      <c r="AF1871" s="9"/>
      <c r="AG1871" s="9"/>
      <c r="AH1871" s="9"/>
      <c r="AI1871" s="9"/>
      <c r="AJ1871" s="9"/>
      <c r="AK1871" s="9"/>
      <c r="AL1871" s="9"/>
      <c r="AM1871" s="9"/>
      <c r="AN1871" s="9"/>
      <c r="AO1871" s="9"/>
      <c r="AP1871" s="9"/>
      <c r="AQ1871" s="9"/>
      <c r="AR1871" s="9"/>
      <c r="AS1871" s="9"/>
      <c r="AT1871" s="9"/>
      <c r="AU1871" s="9"/>
    </row>
    <row r="1872" spans="1:47" ht="15.75" customHeight="1">
      <c r="A1872" s="9"/>
      <c r="B1872" s="9"/>
      <c r="C1872" s="9"/>
      <c r="D1872" s="9"/>
      <c r="E1872" s="9"/>
      <c r="F1872" s="67"/>
      <c r="G1872" s="9"/>
      <c r="H1872" s="9"/>
      <c r="I1872" s="9"/>
      <c r="J1872" s="9"/>
      <c r="K1872" s="9"/>
      <c r="L1872" s="9"/>
      <c r="M1872" s="9"/>
      <c r="N1872" s="9"/>
      <c r="O1872" s="9"/>
      <c r="P1872" s="9"/>
      <c r="Q1872" s="9"/>
      <c r="R1872" s="9"/>
      <c r="S1872" s="9"/>
      <c r="T1872" s="9"/>
      <c r="U1872" s="9"/>
      <c r="V1872" s="9"/>
      <c r="W1872" s="9"/>
      <c r="X1872" s="9"/>
      <c r="Y1872" s="9"/>
      <c r="Z1872" s="9"/>
      <c r="AA1872" s="9"/>
      <c r="AB1872" s="9"/>
      <c r="AC1872" s="9"/>
      <c r="AD1872" s="9"/>
      <c r="AE1872" s="9"/>
      <c r="AF1872" s="9"/>
      <c r="AG1872" s="9"/>
      <c r="AH1872" s="9"/>
      <c r="AI1872" s="9"/>
      <c r="AJ1872" s="9"/>
      <c r="AK1872" s="9"/>
      <c r="AL1872" s="9"/>
      <c r="AM1872" s="9"/>
      <c r="AN1872" s="9"/>
      <c r="AO1872" s="9"/>
      <c r="AP1872" s="9"/>
      <c r="AQ1872" s="9"/>
      <c r="AR1872" s="9"/>
      <c r="AS1872" s="9"/>
      <c r="AT1872" s="9"/>
      <c r="AU1872" s="9"/>
    </row>
    <row r="1873" spans="1:47" ht="15.75" customHeight="1">
      <c r="A1873" s="9"/>
      <c r="B1873" s="9"/>
      <c r="C1873" s="9"/>
      <c r="D1873" s="9"/>
      <c r="E1873" s="9"/>
      <c r="F1873" s="67"/>
      <c r="G1873" s="9"/>
      <c r="H1873" s="9"/>
      <c r="I1873" s="9"/>
      <c r="J1873" s="9"/>
      <c r="K1873" s="9"/>
      <c r="L1873" s="9"/>
      <c r="M1873" s="9"/>
      <c r="N1873" s="9"/>
      <c r="O1873" s="9"/>
      <c r="P1873" s="9"/>
      <c r="Q1873" s="9"/>
      <c r="R1873" s="9"/>
      <c r="S1873" s="9"/>
      <c r="T1873" s="9"/>
      <c r="U1873" s="9"/>
      <c r="V1873" s="9"/>
      <c r="W1873" s="9"/>
      <c r="X1873" s="9"/>
      <c r="Y1873" s="9"/>
      <c r="Z1873" s="9"/>
      <c r="AA1873" s="9"/>
      <c r="AB1873" s="9"/>
      <c r="AC1873" s="9"/>
      <c r="AD1873" s="9"/>
      <c r="AE1873" s="9"/>
      <c r="AF1873" s="9"/>
      <c r="AG1873" s="9"/>
      <c r="AH1873" s="9"/>
      <c r="AI1873" s="9"/>
      <c r="AJ1873" s="9"/>
      <c r="AK1873" s="9"/>
      <c r="AL1873" s="9"/>
      <c r="AM1873" s="9"/>
      <c r="AN1873" s="9"/>
      <c r="AO1873" s="9"/>
      <c r="AP1873" s="9"/>
      <c r="AQ1873" s="9"/>
      <c r="AR1873" s="9"/>
      <c r="AS1873" s="9"/>
      <c r="AT1873" s="9"/>
      <c r="AU1873" s="9"/>
    </row>
    <row r="1874" spans="1:47" ht="15.75" customHeight="1">
      <c r="A1874" s="9"/>
      <c r="B1874" s="9"/>
      <c r="C1874" s="9"/>
      <c r="D1874" s="9"/>
      <c r="E1874" s="9"/>
      <c r="F1874" s="67"/>
      <c r="G1874" s="9"/>
      <c r="H1874" s="9"/>
      <c r="I1874" s="9"/>
      <c r="J1874" s="9"/>
      <c r="K1874" s="9"/>
      <c r="L1874" s="9"/>
      <c r="M1874" s="9"/>
      <c r="N1874" s="9"/>
      <c r="O1874" s="9"/>
      <c r="P1874" s="9"/>
      <c r="Q1874" s="9"/>
      <c r="R1874" s="9"/>
      <c r="S1874" s="9"/>
      <c r="T1874" s="9"/>
      <c r="U1874" s="9"/>
      <c r="V1874" s="9"/>
      <c r="W1874" s="9"/>
      <c r="X1874" s="9"/>
      <c r="Y1874" s="9"/>
      <c r="Z1874" s="9"/>
      <c r="AA1874" s="9"/>
      <c r="AB1874" s="9"/>
      <c r="AC1874" s="9"/>
      <c r="AD1874" s="9"/>
      <c r="AE1874" s="9"/>
      <c r="AF1874" s="9"/>
      <c r="AG1874" s="9"/>
      <c r="AH1874" s="9"/>
      <c r="AI1874" s="9"/>
      <c r="AJ1874" s="9"/>
      <c r="AK1874" s="9"/>
      <c r="AL1874" s="9"/>
      <c r="AM1874" s="9"/>
      <c r="AN1874" s="9"/>
      <c r="AO1874" s="9"/>
      <c r="AP1874" s="9"/>
      <c r="AQ1874" s="9"/>
      <c r="AR1874" s="9"/>
      <c r="AS1874" s="9"/>
      <c r="AT1874" s="9"/>
      <c r="AU1874" s="9"/>
    </row>
    <row r="1875" spans="1:47" ht="15.75" customHeight="1">
      <c r="A1875" s="9"/>
      <c r="B1875" s="9"/>
      <c r="C1875" s="9"/>
      <c r="D1875" s="9"/>
      <c r="E1875" s="9"/>
      <c r="F1875" s="67"/>
      <c r="G1875" s="9"/>
      <c r="H1875" s="9"/>
      <c r="I1875" s="9"/>
      <c r="J1875" s="9"/>
      <c r="K1875" s="9"/>
      <c r="L1875" s="9"/>
      <c r="M1875" s="9"/>
      <c r="N1875" s="9"/>
      <c r="O1875" s="9"/>
      <c r="P1875" s="9"/>
      <c r="Q1875" s="9"/>
      <c r="R1875" s="9"/>
      <c r="S1875" s="9"/>
      <c r="T1875" s="9"/>
      <c r="U1875" s="9"/>
      <c r="V1875" s="9"/>
      <c r="W1875" s="9"/>
      <c r="X1875" s="9"/>
      <c r="Y1875" s="9"/>
      <c r="Z1875" s="9"/>
      <c r="AA1875" s="9"/>
      <c r="AB1875" s="9"/>
      <c r="AC1875" s="9"/>
      <c r="AD1875" s="9"/>
      <c r="AE1875" s="9"/>
      <c r="AF1875" s="9"/>
      <c r="AG1875" s="9"/>
      <c r="AH1875" s="9"/>
      <c r="AI1875" s="9"/>
      <c r="AJ1875" s="9"/>
      <c r="AK1875" s="9"/>
      <c r="AL1875" s="9"/>
      <c r="AM1875" s="9"/>
      <c r="AN1875" s="9"/>
      <c r="AO1875" s="9"/>
      <c r="AP1875" s="9"/>
      <c r="AQ1875" s="9"/>
      <c r="AR1875" s="9"/>
      <c r="AS1875" s="9"/>
      <c r="AT1875" s="9"/>
      <c r="AU1875" s="9"/>
    </row>
    <row r="1876" spans="1:47" ht="15.75" customHeight="1">
      <c r="A1876" s="9"/>
      <c r="B1876" s="9"/>
      <c r="C1876" s="9"/>
      <c r="D1876" s="9"/>
      <c r="E1876" s="9"/>
      <c r="F1876" s="67"/>
      <c r="G1876" s="9"/>
      <c r="H1876" s="9"/>
      <c r="I1876" s="9"/>
      <c r="J1876" s="9"/>
      <c r="K1876" s="9"/>
      <c r="L1876" s="9"/>
      <c r="M1876" s="9"/>
      <c r="N1876" s="9"/>
      <c r="O1876" s="9"/>
      <c r="P1876" s="9"/>
      <c r="Q1876" s="9"/>
      <c r="R1876" s="9"/>
      <c r="S1876" s="9"/>
      <c r="T1876" s="9"/>
      <c r="U1876" s="9"/>
      <c r="V1876" s="9"/>
      <c r="W1876" s="9"/>
      <c r="X1876" s="9"/>
      <c r="Y1876" s="9"/>
      <c r="Z1876" s="9"/>
      <c r="AA1876" s="9"/>
      <c r="AB1876" s="9"/>
      <c r="AC1876" s="9"/>
      <c r="AD1876" s="9"/>
      <c r="AE1876" s="9"/>
      <c r="AF1876" s="9"/>
      <c r="AG1876" s="9"/>
      <c r="AH1876" s="9"/>
      <c r="AI1876" s="9"/>
      <c r="AJ1876" s="9"/>
      <c r="AK1876" s="9"/>
      <c r="AL1876" s="9"/>
      <c r="AM1876" s="9"/>
      <c r="AN1876" s="9"/>
      <c r="AO1876" s="9"/>
      <c r="AP1876" s="9"/>
      <c r="AQ1876" s="9"/>
      <c r="AR1876" s="9"/>
      <c r="AS1876" s="9"/>
      <c r="AT1876" s="9"/>
      <c r="AU1876" s="9"/>
    </row>
    <row r="1877" spans="1:47" ht="15.75" customHeight="1">
      <c r="A1877" s="9"/>
      <c r="B1877" s="9"/>
      <c r="C1877" s="9"/>
      <c r="D1877" s="9"/>
      <c r="E1877" s="9"/>
      <c r="F1877" s="67"/>
      <c r="G1877" s="9"/>
      <c r="H1877" s="9"/>
      <c r="I1877" s="9"/>
      <c r="J1877" s="9"/>
      <c r="K1877" s="9"/>
      <c r="L1877" s="9"/>
      <c r="M1877" s="9"/>
      <c r="N1877" s="9"/>
      <c r="O1877" s="9"/>
      <c r="P1877" s="9"/>
      <c r="Q1877" s="9"/>
      <c r="R1877" s="9"/>
      <c r="S1877" s="9"/>
      <c r="T1877" s="9"/>
      <c r="U1877" s="9"/>
      <c r="V1877" s="9"/>
      <c r="W1877" s="9"/>
      <c r="X1877" s="9"/>
      <c r="Y1877" s="9"/>
      <c r="Z1877" s="9"/>
      <c r="AA1877" s="9"/>
      <c r="AB1877" s="9"/>
      <c r="AC1877" s="9"/>
      <c r="AD1877" s="9"/>
      <c r="AE1877" s="9"/>
      <c r="AF1877" s="9"/>
      <c r="AG1877" s="9"/>
      <c r="AH1877" s="9"/>
      <c r="AI1877" s="9"/>
      <c r="AJ1877" s="9"/>
      <c r="AK1877" s="9"/>
      <c r="AL1877" s="9"/>
      <c r="AM1877" s="9"/>
      <c r="AN1877" s="9"/>
      <c r="AO1877" s="9"/>
      <c r="AP1877" s="9"/>
      <c r="AQ1877" s="9"/>
      <c r="AR1877" s="9"/>
      <c r="AS1877" s="9"/>
      <c r="AT1877" s="9"/>
      <c r="AU1877" s="9"/>
    </row>
    <row r="1878" spans="1:47" ht="15.75" customHeight="1">
      <c r="A1878" s="9"/>
      <c r="B1878" s="9"/>
      <c r="C1878" s="9"/>
      <c r="D1878" s="9"/>
      <c r="E1878" s="9"/>
      <c r="F1878" s="67"/>
      <c r="G1878" s="9"/>
      <c r="H1878" s="9"/>
      <c r="I1878" s="9"/>
      <c r="J1878" s="9"/>
      <c r="K1878" s="9"/>
      <c r="L1878" s="9"/>
      <c r="M1878" s="9"/>
      <c r="N1878" s="9"/>
      <c r="O1878" s="9"/>
      <c r="P1878" s="9"/>
      <c r="Q1878" s="9"/>
      <c r="R1878" s="9"/>
      <c r="S1878" s="9"/>
      <c r="T1878" s="9"/>
      <c r="U1878" s="9"/>
      <c r="V1878" s="9"/>
      <c r="W1878" s="9"/>
      <c r="X1878" s="9"/>
      <c r="Y1878" s="9"/>
      <c r="Z1878" s="9"/>
      <c r="AA1878" s="9"/>
      <c r="AB1878" s="9"/>
      <c r="AC1878" s="9"/>
      <c r="AD1878" s="9"/>
      <c r="AE1878" s="9"/>
      <c r="AF1878" s="9"/>
      <c r="AG1878" s="9"/>
      <c r="AH1878" s="9"/>
      <c r="AI1878" s="9"/>
      <c r="AJ1878" s="9"/>
      <c r="AK1878" s="9"/>
      <c r="AL1878" s="9"/>
      <c r="AM1878" s="9"/>
      <c r="AN1878" s="9"/>
      <c r="AO1878" s="9"/>
      <c r="AP1878" s="9"/>
      <c r="AQ1878" s="9"/>
      <c r="AR1878" s="9"/>
      <c r="AS1878" s="9"/>
      <c r="AT1878" s="9"/>
      <c r="AU1878" s="9"/>
    </row>
    <row r="1879" spans="1:47" ht="15.75" customHeight="1">
      <c r="A1879" s="9"/>
      <c r="B1879" s="9"/>
      <c r="C1879" s="9"/>
      <c r="D1879" s="9"/>
      <c r="E1879" s="9"/>
      <c r="F1879" s="67"/>
      <c r="G1879" s="9"/>
      <c r="H1879" s="9"/>
      <c r="I1879" s="9"/>
      <c r="J1879" s="9"/>
      <c r="K1879" s="9"/>
      <c r="L1879" s="9"/>
      <c r="M1879" s="9"/>
      <c r="N1879" s="9"/>
      <c r="O1879" s="9"/>
      <c r="P1879" s="9"/>
      <c r="Q1879" s="9"/>
      <c r="R1879" s="9"/>
      <c r="S1879" s="9"/>
      <c r="T1879" s="9"/>
      <c r="U1879" s="9"/>
      <c r="V1879" s="9"/>
      <c r="W1879" s="9"/>
      <c r="X1879" s="9"/>
      <c r="Y1879" s="9"/>
      <c r="Z1879" s="9"/>
      <c r="AA1879" s="9"/>
      <c r="AB1879" s="9"/>
      <c r="AC1879" s="9"/>
      <c r="AD1879" s="9"/>
      <c r="AE1879" s="9"/>
      <c r="AF1879" s="9"/>
      <c r="AG1879" s="9"/>
      <c r="AH1879" s="9"/>
      <c r="AI1879" s="9"/>
      <c r="AJ1879" s="9"/>
      <c r="AK1879" s="9"/>
      <c r="AL1879" s="9"/>
      <c r="AM1879" s="9"/>
      <c r="AN1879" s="9"/>
      <c r="AO1879" s="9"/>
      <c r="AP1879" s="9"/>
      <c r="AQ1879" s="9"/>
      <c r="AR1879" s="9"/>
      <c r="AS1879" s="9"/>
      <c r="AT1879" s="9"/>
      <c r="AU1879" s="9"/>
    </row>
    <row r="1880" spans="1:47" ht="15.75" customHeight="1">
      <c r="A1880" s="9"/>
      <c r="B1880" s="9"/>
      <c r="C1880" s="9"/>
      <c r="D1880" s="9"/>
      <c r="E1880" s="9"/>
      <c r="F1880" s="67"/>
      <c r="G1880" s="9"/>
      <c r="H1880" s="9"/>
      <c r="I1880" s="9"/>
      <c r="J1880" s="9"/>
      <c r="K1880" s="9"/>
      <c r="L1880" s="9"/>
      <c r="M1880" s="9"/>
      <c r="N1880" s="9"/>
      <c r="O1880" s="9"/>
      <c r="P1880" s="9"/>
      <c r="Q1880" s="9"/>
      <c r="R1880" s="9"/>
      <c r="S1880" s="9"/>
      <c r="T1880" s="9"/>
      <c r="U1880" s="9"/>
      <c r="V1880" s="9"/>
      <c r="W1880" s="9"/>
      <c r="X1880" s="9"/>
      <c r="Y1880" s="9"/>
      <c r="Z1880" s="9"/>
      <c r="AA1880" s="9"/>
      <c r="AB1880" s="9"/>
      <c r="AC1880" s="9"/>
      <c r="AD1880" s="9"/>
      <c r="AE1880" s="9"/>
      <c r="AF1880" s="9"/>
      <c r="AG1880" s="9"/>
      <c r="AH1880" s="9"/>
      <c r="AI1880" s="9"/>
      <c r="AJ1880" s="9"/>
      <c r="AK1880" s="9"/>
      <c r="AL1880" s="9"/>
      <c r="AM1880" s="9"/>
      <c r="AN1880" s="9"/>
      <c r="AO1880" s="9"/>
      <c r="AP1880" s="9"/>
      <c r="AQ1880" s="9"/>
      <c r="AR1880" s="9"/>
      <c r="AS1880" s="9"/>
      <c r="AT1880" s="9"/>
      <c r="AU1880" s="9"/>
    </row>
    <row r="1881" spans="1:47" ht="15.75" customHeight="1">
      <c r="A1881" s="9"/>
      <c r="B1881" s="9"/>
      <c r="C1881" s="9"/>
      <c r="D1881" s="9"/>
      <c r="E1881" s="9"/>
      <c r="F1881" s="67"/>
      <c r="G1881" s="9"/>
      <c r="H1881" s="9"/>
      <c r="I1881" s="9"/>
      <c r="J1881" s="9"/>
      <c r="K1881" s="9"/>
      <c r="L1881" s="9"/>
      <c r="M1881" s="9"/>
      <c r="N1881" s="9"/>
      <c r="O1881" s="9"/>
      <c r="P1881" s="9"/>
      <c r="Q1881" s="9"/>
      <c r="R1881" s="9"/>
      <c r="S1881" s="9"/>
      <c r="T1881" s="9"/>
      <c r="U1881" s="9"/>
      <c r="V1881" s="9"/>
      <c r="W1881" s="9"/>
      <c r="X1881" s="9"/>
      <c r="Y1881" s="9"/>
      <c r="Z1881" s="9"/>
      <c r="AA1881" s="9"/>
      <c r="AB1881" s="9"/>
      <c r="AC1881" s="9"/>
      <c r="AD1881" s="9"/>
      <c r="AE1881" s="9"/>
      <c r="AF1881" s="9"/>
      <c r="AG1881" s="9"/>
      <c r="AH1881" s="9"/>
      <c r="AI1881" s="9"/>
      <c r="AJ1881" s="9"/>
      <c r="AK1881" s="9"/>
      <c r="AL1881" s="9"/>
      <c r="AM1881" s="9"/>
      <c r="AN1881" s="9"/>
      <c r="AO1881" s="9"/>
      <c r="AP1881" s="9"/>
      <c r="AQ1881" s="9"/>
      <c r="AR1881" s="9"/>
      <c r="AS1881" s="9"/>
      <c r="AT1881" s="9"/>
      <c r="AU1881" s="9"/>
    </row>
    <row r="1882" spans="1:47" ht="15.75" customHeight="1">
      <c r="A1882" s="9"/>
      <c r="B1882" s="9"/>
      <c r="C1882" s="9"/>
      <c r="D1882" s="9"/>
      <c r="E1882" s="9"/>
      <c r="F1882" s="67"/>
      <c r="G1882" s="9"/>
      <c r="H1882" s="9"/>
      <c r="I1882" s="9"/>
      <c r="J1882" s="9"/>
      <c r="K1882" s="9"/>
      <c r="L1882" s="9"/>
      <c r="M1882" s="9"/>
      <c r="N1882" s="9"/>
      <c r="O1882" s="9"/>
      <c r="P1882" s="9"/>
      <c r="Q1882" s="9"/>
      <c r="R1882" s="9"/>
      <c r="S1882" s="9"/>
      <c r="T1882" s="9"/>
      <c r="U1882" s="9"/>
      <c r="V1882" s="9"/>
      <c r="W1882" s="9"/>
      <c r="X1882" s="9"/>
      <c r="Y1882" s="9"/>
      <c r="Z1882" s="9"/>
      <c r="AA1882" s="9"/>
      <c r="AB1882" s="9"/>
      <c r="AC1882" s="9"/>
      <c r="AD1882" s="9"/>
      <c r="AE1882" s="9"/>
      <c r="AF1882" s="9"/>
      <c r="AG1882" s="9"/>
      <c r="AH1882" s="9"/>
      <c r="AI1882" s="9"/>
      <c r="AJ1882" s="9"/>
      <c r="AK1882" s="9"/>
      <c r="AL1882" s="9"/>
      <c r="AM1882" s="9"/>
      <c r="AN1882" s="9"/>
      <c r="AO1882" s="9"/>
      <c r="AP1882" s="9"/>
      <c r="AQ1882" s="9"/>
      <c r="AR1882" s="9"/>
      <c r="AS1882" s="9"/>
      <c r="AT1882" s="9"/>
      <c r="AU1882" s="9"/>
    </row>
    <row r="1883" spans="1:47" ht="15.75" customHeight="1">
      <c r="A1883" s="9"/>
      <c r="B1883" s="9"/>
      <c r="C1883" s="9"/>
      <c r="D1883" s="9"/>
      <c r="E1883" s="9"/>
      <c r="F1883" s="67"/>
      <c r="G1883" s="9"/>
      <c r="H1883" s="9"/>
      <c r="I1883" s="9"/>
      <c r="J1883" s="9"/>
      <c r="K1883" s="9"/>
      <c r="L1883" s="9"/>
      <c r="M1883" s="9"/>
      <c r="N1883" s="9"/>
      <c r="O1883" s="9"/>
      <c r="P1883" s="9"/>
      <c r="Q1883" s="9"/>
      <c r="R1883" s="9"/>
      <c r="S1883" s="9"/>
      <c r="T1883" s="9"/>
      <c r="U1883" s="9"/>
      <c r="V1883" s="9"/>
      <c r="W1883" s="9"/>
      <c r="X1883" s="9"/>
      <c r="Y1883" s="9"/>
      <c r="Z1883" s="9"/>
      <c r="AA1883" s="9"/>
      <c r="AB1883" s="9"/>
      <c r="AC1883" s="9"/>
      <c r="AD1883" s="9"/>
      <c r="AE1883" s="9"/>
      <c r="AF1883" s="9"/>
      <c r="AG1883" s="9"/>
      <c r="AH1883" s="9"/>
      <c r="AI1883" s="9"/>
      <c r="AJ1883" s="9"/>
      <c r="AK1883" s="9"/>
      <c r="AL1883" s="9"/>
      <c r="AM1883" s="9"/>
      <c r="AN1883" s="9"/>
      <c r="AO1883" s="9"/>
      <c r="AP1883" s="9"/>
      <c r="AQ1883" s="9"/>
      <c r="AR1883" s="9"/>
      <c r="AS1883" s="9"/>
      <c r="AT1883" s="9"/>
      <c r="AU1883" s="9"/>
    </row>
    <row r="1884" spans="1:47" ht="15.75" customHeight="1">
      <c r="A1884" s="9"/>
      <c r="B1884" s="9"/>
      <c r="C1884" s="9"/>
      <c r="D1884" s="9"/>
      <c r="E1884" s="9"/>
      <c r="F1884" s="67"/>
      <c r="G1884" s="9"/>
      <c r="H1884" s="9"/>
      <c r="I1884" s="9"/>
      <c r="J1884" s="9"/>
      <c r="K1884" s="9"/>
      <c r="L1884" s="9"/>
      <c r="M1884" s="9"/>
      <c r="N1884" s="9"/>
      <c r="O1884" s="9"/>
      <c r="P1884" s="9"/>
      <c r="Q1884" s="9"/>
      <c r="R1884" s="9"/>
      <c r="S1884" s="9"/>
      <c r="T1884" s="9"/>
      <c r="U1884" s="9"/>
      <c r="V1884" s="9"/>
      <c r="W1884" s="9"/>
      <c r="X1884" s="9"/>
      <c r="Y1884" s="9"/>
      <c r="Z1884" s="9"/>
      <c r="AA1884" s="9"/>
      <c r="AB1884" s="9"/>
      <c r="AC1884" s="9"/>
      <c r="AD1884" s="9"/>
      <c r="AE1884" s="9"/>
      <c r="AF1884" s="9"/>
      <c r="AG1884" s="9"/>
      <c r="AH1884" s="9"/>
      <c r="AI1884" s="9"/>
      <c r="AJ1884" s="9"/>
      <c r="AK1884" s="9"/>
      <c r="AL1884" s="9"/>
      <c r="AM1884" s="9"/>
      <c r="AN1884" s="9"/>
      <c r="AO1884" s="9"/>
      <c r="AP1884" s="9"/>
      <c r="AQ1884" s="9"/>
      <c r="AR1884" s="9"/>
      <c r="AS1884" s="9"/>
      <c r="AT1884" s="9"/>
      <c r="AU1884" s="9"/>
    </row>
    <row r="1885" spans="1:47" ht="15.75" customHeight="1">
      <c r="A1885" s="9"/>
      <c r="B1885" s="9"/>
      <c r="C1885" s="9"/>
      <c r="D1885" s="9"/>
      <c r="E1885" s="9"/>
      <c r="F1885" s="67"/>
      <c r="G1885" s="9"/>
      <c r="H1885" s="9"/>
      <c r="I1885" s="9"/>
      <c r="J1885" s="9"/>
      <c r="K1885" s="9"/>
      <c r="L1885" s="9"/>
      <c r="M1885" s="9"/>
      <c r="N1885" s="9"/>
      <c r="O1885" s="9"/>
      <c r="P1885" s="9"/>
      <c r="Q1885" s="9"/>
      <c r="R1885" s="9"/>
      <c r="S1885" s="9"/>
      <c r="T1885" s="9"/>
      <c r="U1885" s="9"/>
      <c r="V1885" s="9"/>
      <c r="W1885" s="9"/>
      <c r="X1885" s="9"/>
      <c r="Y1885" s="9"/>
      <c r="Z1885" s="9"/>
      <c r="AA1885" s="9"/>
      <c r="AB1885" s="9"/>
      <c r="AC1885" s="9"/>
      <c r="AD1885" s="9"/>
      <c r="AE1885" s="9"/>
      <c r="AF1885" s="9"/>
      <c r="AG1885" s="9"/>
      <c r="AH1885" s="9"/>
      <c r="AI1885" s="9"/>
      <c r="AJ1885" s="9"/>
      <c r="AK1885" s="9"/>
      <c r="AL1885" s="9"/>
      <c r="AM1885" s="9"/>
      <c r="AN1885" s="9"/>
      <c r="AO1885" s="9"/>
      <c r="AP1885" s="9"/>
      <c r="AQ1885" s="9"/>
      <c r="AR1885" s="9"/>
      <c r="AS1885" s="9"/>
      <c r="AT1885" s="9"/>
      <c r="AU1885" s="9"/>
    </row>
    <row r="1886" spans="1:47" ht="15.75" customHeight="1">
      <c r="A1886" s="9"/>
      <c r="B1886" s="9"/>
      <c r="C1886" s="9"/>
      <c r="D1886" s="9"/>
      <c r="E1886" s="9"/>
      <c r="F1886" s="67"/>
      <c r="G1886" s="9"/>
      <c r="H1886" s="9"/>
      <c r="I1886" s="9"/>
      <c r="J1886" s="9"/>
      <c r="K1886" s="9"/>
      <c r="L1886" s="9"/>
      <c r="M1886" s="9"/>
      <c r="N1886" s="9"/>
      <c r="O1886" s="9"/>
      <c r="P1886" s="9"/>
      <c r="Q1886" s="9"/>
      <c r="R1886" s="9"/>
      <c r="S1886" s="9"/>
      <c r="T1886" s="9"/>
      <c r="U1886" s="9"/>
      <c r="V1886" s="9"/>
      <c r="W1886" s="9"/>
      <c r="X1886" s="9"/>
      <c r="Y1886" s="9"/>
      <c r="Z1886" s="9"/>
      <c r="AA1886" s="9"/>
      <c r="AB1886" s="9"/>
      <c r="AC1886" s="9"/>
      <c r="AD1886" s="9"/>
      <c r="AE1886" s="9"/>
      <c r="AF1886" s="9"/>
      <c r="AG1886" s="9"/>
      <c r="AH1886" s="9"/>
      <c r="AI1886" s="9"/>
      <c r="AJ1886" s="9"/>
      <c r="AK1886" s="9"/>
      <c r="AL1886" s="9"/>
      <c r="AM1886" s="9"/>
      <c r="AN1886" s="9"/>
      <c r="AO1886" s="9"/>
      <c r="AP1886" s="9"/>
      <c r="AQ1886" s="9"/>
      <c r="AR1886" s="9"/>
      <c r="AS1886" s="9"/>
      <c r="AT1886" s="9"/>
      <c r="AU1886" s="9"/>
    </row>
    <row r="1887" spans="1:47" ht="15.75" customHeight="1">
      <c r="A1887" s="9"/>
      <c r="B1887" s="9"/>
      <c r="C1887" s="9"/>
      <c r="D1887" s="9"/>
      <c r="E1887" s="9"/>
      <c r="F1887" s="67"/>
      <c r="G1887" s="9"/>
      <c r="H1887" s="9"/>
      <c r="I1887" s="9"/>
      <c r="J1887" s="9"/>
      <c r="K1887" s="9"/>
      <c r="L1887" s="9"/>
      <c r="M1887" s="9"/>
      <c r="N1887" s="9"/>
      <c r="O1887" s="9"/>
      <c r="P1887" s="9"/>
      <c r="Q1887" s="9"/>
      <c r="R1887" s="9"/>
      <c r="S1887" s="9"/>
      <c r="T1887" s="9"/>
      <c r="U1887" s="9"/>
      <c r="V1887" s="9"/>
      <c r="W1887" s="9"/>
      <c r="X1887" s="9"/>
      <c r="Y1887" s="9"/>
      <c r="Z1887" s="9"/>
      <c r="AA1887" s="9"/>
      <c r="AB1887" s="9"/>
      <c r="AC1887" s="9"/>
      <c r="AD1887" s="9"/>
      <c r="AE1887" s="9"/>
      <c r="AF1887" s="9"/>
      <c r="AG1887" s="9"/>
      <c r="AH1887" s="9"/>
      <c r="AI1887" s="9"/>
      <c r="AJ1887" s="9"/>
      <c r="AK1887" s="9"/>
      <c r="AL1887" s="9"/>
      <c r="AM1887" s="9"/>
      <c r="AN1887" s="9"/>
      <c r="AO1887" s="9"/>
      <c r="AP1887" s="9"/>
      <c r="AQ1887" s="9"/>
      <c r="AR1887" s="9"/>
      <c r="AS1887" s="9"/>
      <c r="AT1887" s="9"/>
      <c r="AU1887" s="9"/>
    </row>
    <row r="1888" spans="1:47" ht="15.75" customHeight="1">
      <c r="A1888" s="9"/>
      <c r="B1888" s="9"/>
      <c r="C1888" s="9"/>
      <c r="D1888" s="9"/>
      <c r="E1888" s="9"/>
      <c r="F1888" s="67"/>
      <c r="G1888" s="9"/>
      <c r="H1888" s="9"/>
      <c r="I1888" s="9"/>
      <c r="J1888" s="9"/>
      <c r="K1888" s="9"/>
      <c r="L1888" s="9"/>
      <c r="M1888" s="9"/>
      <c r="N1888" s="9"/>
      <c r="O1888" s="9"/>
      <c r="P1888" s="9"/>
      <c r="Q1888" s="9"/>
      <c r="R1888" s="9"/>
      <c r="S1888" s="9"/>
      <c r="T1888" s="9"/>
      <c r="U1888" s="9"/>
      <c r="V1888" s="9"/>
      <c r="W1888" s="9"/>
      <c r="X1888" s="9"/>
      <c r="Y1888" s="9"/>
      <c r="Z1888" s="9"/>
      <c r="AA1888" s="9"/>
      <c r="AB1888" s="9"/>
      <c r="AC1888" s="9"/>
      <c r="AD1888" s="9"/>
      <c r="AE1888" s="9"/>
      <c r="AF1888" s="9"/>
      <c r="AG1888" s="9"/>
      <c r="AH1888" s="9"/>
      <c r="AI1888" s="9"/>
      <c r="AJ1888" s="9"/>
      <c r="AK1888" s="9"/>
      <c r="AL1888" s="9"/>
      <c r="AM1888" s="9"/>
      <c r="AN1888" s="9"/>
      <c r="AO1888" s="9"/>
      <c r="AP1888" s="9"/>
      <c r="AQ1888" s="9"/>
      <c r="AR1888" s="9"/>
      <c r="AS1888" s="9"/>
      <c r="AT1888" s="9"/>
      <c r="AU1888" s="9"/>
    </row>
    <row r="1889" spans="1:47" ht="15.75" customHeight="1">
      <c r="A1889" s="9"/>
      <c r="B1889" s="9"/>
      <c r="C1889" s="9"/>
      <c r="D1889" s="9"/>
      <c r="E1889" s="9"/>
      <c r="F1889" s="67"/>
      <c r="G1889" s="9"/>
      <c r="H1889" s="9"/>
      <c r="I1889" s="9"/>
      <c r="J1889" s="9"/>
      <c r="K1889" s="9"/>
      <c r="L1889" s="9"/>
      <c r="M1889" s="9"/>
      <c r="N1889" s="9"/>
      <c r="O1889" s="9"/>
      <c r="P1889" s="9"/>
      <c r="Q1889" s="9"/>
      <c r="R1889" s="9"/>
      <c r="S1889" s="9"/>
      <c r="T1889" s="9"/>
      <c r="U1889" s="9"/>
      <c r="V1889" s="9"/>
      <c r="W1889" s="9"/>
      <c r="X1889" s="9"/>
      <c r="Y1889" s="9"/>
      <c r="Z1889" s="9"/>
      <c r="AA1889" s="9"/>
      <c r="AB1889" s="9"/>
      <c r="AC1889" s="9"/>
      <c r="AD1889" s="9"/>
      <c r="AE1889" s="9"/>
      <c r="AF1889" s="9"/>
      <c r="AG1889" s="9"/>
      <c r="AH1889" s="9"/>
      <c r="AI1889" s="9"/>
      <c r="AJ1889" s="9"/>
      <c r="AK1889" s="9"/>
      <c r="AL1889" s="9"/>
      <c r="AM1889" s="9"/>
      <c r="AN1889" s="9"/>
      <c r="AO1889" s="9"/>
      <c r="AP1889" s="9"/>
      <c r="AQ1889" s="9"/>
      <c r="AR1889" s="9"/>
      <c r="AS1889" s="9"/>
      <c r="AT1889" s="9"/>
      <c r="AU1889" s="9"/>
    </row>
    <row r="1890" spans="1:47" ht="15.75" customHeight="1">
      <c r="A1890" s="9"/>
      <c r="B1890" s="9"/>
      <c r="C1890" s="9"/>
      <c r="D1890" s="9"/>
      <c r="E1890" s="9"/>
      <c r="F1890" s="67"/>
      <c r="G1890" s="9"/>
      <c r="H1890" s="9"/>
      <c r="I1890" s="9"/>
      <c r="J1890" s="9"/>
      <c r="K1890" s="9"/>
      <c r="L1890" s="9"/>
      <c r="M1890" s="9"/>
      <c r="N1890" s="9"/>
      <c r="O1890" s="9"/>
      <c r="P1890" s="9"/>
      <c r="Q1890" s="9"/>
      <c r="R1890" s="9"/>
      <c r="S1890" s="9"/>
      <c r="T1890" s="9"/>
      <c r="U1890" s="9"/>
      <c r="V1890" s="9"/>
      <c r="W1890" s="9"/>
      <c r="X1890" s="9"/>
      <c r="Y1890" s="9"/>
      <c r="Z1890" s="9"/>
      <c r="AA1890" s="9"/>
      <c r="AB1890" s="9"/>
      <c r="AC1890" s="9"/>
      <c r="AD1890" s="9"/>
      <c r="AE1890" s="9"/>
      <c r="AF1890" s="9"/>
      <c r="AG1890" s="9"/>
      <c r="AH1890" s="9"/>
      <c r="AI1890" s="9"/>
      <c r="AJ1890" s="9"/>
      <c r="AK1890" s="9"/>
      <c r="AL1890" s="9"/>
      <c r="AM1890" s="9"/>
      <c r="AN1890" s="9"/>
      <c r="AO1890" s="9"/>
      <c r="AP1890" s="9"/>
      <c r="AQ1890" s="9"/>
      <c r="AR1890" s="9"/>
      <c r="AS1890" s="9"/>
      <c r="AT1890" s="9"/>
      <c r="AU1890" s="9"/>
    </row>
    <row r="1891" spans="1:47" ht="15.75" customHeight="1">
      <c r="A1891" s="9"/>
      <c r="B1891" s="9"/>
      <c r="C1891" s="9"/>
      <c r="D1891" s="9"/>
      <c r="E1891" s="9"/>
      <c r="F1891" s="67"/>
      <c r="G1891" s="9"/>
      <c r="H1891" s="9"/>
      <c r="I1891" s="9"/>
      <c r="J1891" s="9"/>
      <c r="K1891" s="9"/>
      <c r="L1891" s="9"/>
      <c r="M1891" s="9"/>
      <c r="N1891" s="9"/>
      <c r="O1891" s="9"/>
      <c r="P1891" s="9"/>
      <c r="Q1891" s="9"/>
      <c r="R1891" s="9"/>
      <c r="S1891" s="9"/>
      <c r="T1891" s="9"/>
      <c r="U1891" s="9"/>
      <c r="V1891" s="9"/>
      <c r="W1891" s="9"/>
      <c r="X1891" s="9"/>
      <c r="Y1891" s="9"/>
      <c r="Z1891" s="9"/>
      <c r="AA1891" s="9"/>
      <c r="AB1891" s="9"/>
      <c r="AC1891" s="9"/>
      <c r="AD1891" s="9"/>
      <c r="AE1891" s="9"/>
      <c r="AF1891" s="9"/>
      <c r="AG1891" s="9"/>
      <c r="AH1891" s="9"/>
      <c r="AI1891" s="9"/>
      <c r="AJ1891" s="9"/>
      <c r="AK1891" s="9"/>
      <c r="AL1891" s="9"/>
      <c r="AM1891" s="9"/>
      <c r="AN1891" s="9"/>
      <c r="AO1891" s="9"/>
      <c r="AP1891" s="9"/>
      <c r="AQ1891" s="9"/>
      <c r="AR1891" s="9"/>
      <c r="AS1891" s="9"/>
      <c r="AT1891" s="9"/>
      <c r="AU1891" s="9"/>
    </row>
    <row r="1892" spans="1:47" ht="15.75" customHeight="1">
      <c r="A1892" s="9"/>
      <c r="B1892" s="9"/>
      <c r="C1892" s="9"/>
      <c r="D1892" s="9"/>
      <c r="E1892" s="9"/>
      <c r="F1892" s="67"/>
      <c r="G1892" s="9"/>
      <c r="H1892" s="9"/>
      <c r="I1892" s="9"/>
      <c r="J1892" s="9"/>
      <c r="K1892" s="9"/>
      <c r="L1892" s="9"/>
      <c r="M1892" s="9"/>
      <c r="N1892" s="9"/>
      <c r="O1892" s="9"/>
      <c r="P1892" s="9"/>
      <c r="Q1892" s="9"/>
      <c r="R1892" s="9"/>
      <c r="S1892" s="9"/>
      <c r="T1892" s="9"/>
      <c r="U1892" s="9"/>
      <c r="V1892" s="9"/>
      <c r="W1892" s="9"/>
      <c r="X1892" s="9"/>
      <c r="Y1892" s="9"/>
      <c r="Z1892" s="9"/>
      <c r="AA1892" s="9"/>
      <c r="AB1892" s="9"/>
      <c r="AC1892" s="9"/>
      <c r="AD1892" s="9"/>
      <c r="AE1892" s="9"/>
      <c r="AF1892" s="9"/>
      <c r="AG1892" s="9"/>
      <c r="AH1892" s="9"/>
      <c r="AI1892" s="9"/>
      <c r="AJ1892" s="9"/>
      <c r="AK1892" s="9"/>
      <c r="AL1892" s="9"/>
      <c r="AM1892" s="9"/>
      <c r="AN1892" s="9"/>
      <c r="AO1892" s="9"/>
      <c r="AP1892" s="9"/>
      <c r="AQ1892" s="9"/>
      <c r="AR1892" s="9"/>
      <c r="AS1892" s="9"/>
      <c r="AT1892" s="9"/>
      <c r="AU1892" s="9"/>
    </row>
    <row r="1893" spans="1:47" ht="15.75" customHeight="1">
      <c r="A1893" s="9"/>
      <c r="B1893" s="9"/>
      <c r="C1893" s="9"/>
      <c r="D1893" s="9"/>
      <c r="E1893" s="9"/>
      <c r="F1893" s="67"/>
      <c r="G1893" s="9"/>
      <c r="H1893" s="9"/>
      <c r="I1893" s="9"/>
      <c r="J1893" s="9"/>
      <c r="K1893" s="9"/>
      <c r="L1893" s="9"/>
      <c r="M1893" s="9"/>
      <c r="N1893" s="9"/>
      <c r="O1893" s="9"/>
      <c r="P1893" s="9"/>
      <c r="Q1893" s="9"/>
      <c r="R1893" s="9"/>
      <c r="S1893" s="9"/>
      <c r="T1893" s="9"/>
      <c r="U1893" s="9"/>
      <c r="V1893" s="9"/>
      <c r="W1893" s="9"/>
      <c r="X1893" s="9"/>
      <c r="Y1893" s="9"/>
      <c r="Z1893" s="9"/>
      <c r="AA1893" s="9"/>
      <c r="AB1893" s="9"/>
      <c r="AC1893" s="9"/>
      <c r="AD1893" s="9"/>
      <c r="AE1893" s="9"/>
      <c r="AF1893" s="9"/>
      <c r="AG1893" s="9"/>
      <c r="AH1893" s="9"/>
      <c r="AI1893" s="9"/>
      <c r="AJ1893" s="9"/>
      <c r="AK1893" s="9"/>
      <c r="AL1893" s="9"/>
      <c r="AM1893" s="9"/>
      <c r="AN1893" s="9"/>
      <c r="AO1893" s="9"/>
      <c r="AP1893" s="9"/>
      <c r="AQ1893" s="9"/>
      <c r="AR1893" s="9"/>
      <c r="AS1893" s="9"/>
      <c r="AT1893" s="9"/>
      <c r="AU1893" s="9"/>
    </row>
    <row r="1894" spans="1:47" ht="15.75" customHeight="1">
      <c r="A1894" s="9"/>
      <c r="B1894" s="9"/>
      <c r="C1894" s="9"/>
      <c r="D1894" s="9"/>
      <c r="E1894" s="9"/>
      <c r="F1894" s="67"/>
      <c r="G1894" s="9"/>
      <c r="H1894" s="9"/>
      <c r="I1894" s="9"/>
      <c r="J1894" s="9"/>
      <c r="K1894" s="9"/>
      <c r="L1894" s="9"/>
      <c r="M1894" s="9"/>
      <c r="N1894" s="9"/>
      <c r="O1894" s="9"/>
      <c r="P1894" s="9"/>
      <c r="Q1894" s="9"/>
      <c r="R1894" s="9"/>
      <c r="S1894" s="9"/>
      <c r="T1894" s="9"/>
      <c r="U1894" s="9"/>
      <c r="V1894" s="9"/>
      <c r="W1894" s="9"/>
      <c r="X1894" s="9"/>
      <c r="Y1894" s="9"/>
      <c r="Z1894" s="9"/>
      <c r="AA1894" s="9"/>
      <c r="AB1894" s="9"/>
      <c r="AC1894" s="9"/>
      <c r="AD1894" s="9"/>
      <c r="AE1894" s="9"/>
      <c r="AF1894" s="9"/>
      <c r="AG1894" s="9"/>
      <c r="AH1894" s="9"/>
      <c r="AI1894" s="9"/>
      <c r="AJ1894" s="9"/>
      <c r="AK1894" s="9"/>
      <c r="AL1894" s="9"/>
      <c r="AM1894" s="9"/>
      <c r="AN1894" s="9"/>
      <c r="AO1894" s="9"/>
      <c r="AP1894" s="9"/>
      <c r="AQ1894" s="9"/>
      <c r="AR1894" s="9"/>
      <c r="AS1894" s="9"/>
      <c r="AT1894" s="9"/>
      <c r="AU1894" s="9"/>
    </row>
    <row r="1895" spans="1:47" ht="15.75" customHeight="1">
      <c r="A1895" s="9"/>
      <c r="B1895" s="9"/>
      <c r="C1895" s="9"/>
      <c r="D1895" s="9"/>
      <c r="E1895" s="9"/>
      <c r="F1895" s="67"/>
      <c r="G1895" s="9"/>
      <c r="H1895" s="9"/>
      <c r="I1895" s="9"/>
      <c r="J1895" s="9"/>
      <c r="K1895" s="9"/>
      <c r="L1895" s="9"/>
      <c r="M1895" s="9"/>
      <c r="N1895" s="9"/>
      <c r="O1895" s="9"/>
      <c r="P1895" s="9"/>
      <c r="Q1895" s="9"/>
      <c r="R1895" s="9"/>
      <c r="S1895" s="9"/>
      <c r="T1895" s="9"/>
      <c r="U1895" s="9"/>
      <c r="V1895" s="9"/>
      <c r="W1895" s="9"/>
      <c r="X1895" s="9"/>
      <c r="Y1895" s="9"/>
      <c r="Z1895" s="9"/>
      <c r="AA1895" s="9"/>
      <c r="AB1895" s="9"/>
      <c r="AC1895" s="9"/>
      <c r="AD1895" s="9"/>
      <c r="AE1895" s="9"/>
      <c r="AF1895" s="9"/>
      <c r="AG1895" s="9"/>
      <c r="AH1895" s="9"/>
      <c r="AI1895" s="9"/>
      <c r="AJ1895" s="9"/>
      <c r="AK1895" s="9"/>
      <c r="AL1895" s="9"/>
      <c r="AM1895" s="9"/>
      <c r="AN1895" s="9"/>
      <c r="AO1895" s="9"/>
      <c r="AP1895" s="9"/>
      <c r="AQ1895" s="9"/>
      <c r="AR1895" s="9"/>
      <c r="AS1895" s="9"/>
      <c r="AT1895" s="9"/>
      <c r="AU1895" s="9"/>
    </row>
    <row r="1896" spans="1:47" ht="15.75" customHeight="1">
      <c r="A1896" s="9"/>
      <c r="B1896" s="9"/>
      <c r="C1896" s="9"/>
      <c r="D1896" s="9"/>
      <c r="E1896" s="9"/>
      <c r="F1896" s="67"/>
      <c r="G1896" s="9"/>
      <c r="H1896" s="9"/>
      <c r="I1896" s="9"/>
      <c r="J1896" s="9"/>
      <c r="K1896" s="9"/>
      <c r="L1896" s="9"/>
      <c r="M1896" s="9"/>
      <c r="N1896" s="9"/>
      <c r="O1896" s="9"/>
      <c r="P1896" s="9"/>
      <c r="Q1896" s="9"/>
      <c r="R1896" s="9"/>
      <c r="S1896" s="9"/>
      <c r="T1896" s="9"/>
      <c r="U1896" s="9"/>
      <c r="V1896" s="9"/>
      <c r="W1896" s="9"/>
      <c r="X1896" s="9"/>
      <c r="Y1896" s="9"/>
      <c r="Z1896" s="9"/>
      <c r="AA1896" s="9"/>
      <c r="AB1896" s="9"/>
      <c r="AC1896" s="9"/>
      <c r="AD1896" s="9"/>
      <c r="AE1896" s="9"/>
      <c r="AF1896" s="9"/>
      <c r="AG1896" s="9"/>
      <c r="AH1896" s="9"/>
      <c r="AI1896" s="9"/>
      <c r="AJ1896" s="9"/>
      <c r="AK1896" s="9"/>
      <c r="AL1896" s="9"/>
      <c r="AM1896" s="9"/>
      <c r="AN1896" s="9"/>
      <c r="AO1896" s="9"/>
      <c r="AP1896" s="9"/>
      <c r="AQ1896" s="9"/>
      <c r="AR1896" s="9"/>
      <c r="AS1896" s="9"/>
      <c r="AT1896" s="9"/>
      <c r="AU1896" s="9"/>
    </row>
    <row r="1897" spans="1:47" ht="15.75" customHeight="1">
      <c r="A1897" s="9"/>
      <c r="B1897" s="9"/>
      <c r="C1897" s="9"/>
      <c r="D1897" s="9"/>
      <c r="E1897" s="9"/>
      <c r="F1897" s="67"/>
      <c r="G1897" s="9"/>
      <c r="H1897" s="9"/>
      <c r="I1897" s="9"/>
      <c r="J1897" s="9"/>
      <c r="K1897" s="9"/>
      <c r="L1897" s="9"/>
      <c r="M1897" s="9"/>
      <c r="N1897" s="9"/>
      <c r="O1897" s="9"/>
      <c r="P1897" s="9"/>
      <c r="Q1897" s="9"/>
      <c r="R1897" s="9"/>
      <c r="S1897" s="9"/>
      <c r="T1897" s="9"/>
      <c r="U1897" s="9"/>
      <c r="V1897" s="9"/>
      <c r="W1897" s="9"/>
      <c r="X1897" s="9"/>
      <c r="Y1897" s="9"/>
      <c r="Z1897" s="9"/>
      <c r="AA1897" s="9"/>
      <c r="AB1897" s="9"/>
      <c r="AC1897" s="9"/>
      <c r="AD1897" s="9"/>
      <c r="AE1897" s="9"/>
      <c r="AF1897" s="9"/>
      <c r="AG1897" s="9"/>
      <c r="AH1897" s="9"/>
      <c r="AI1897" s="9"/>
      <c r="AJ1897" s="9"/>
      <c r="AK1897" s="9"/>
      <c r="AL1897" s="9"/>
      <c r="AM1897" s="9"/>
      <c r="AN1897" s="9"/>
      <c r="AO1897" s="9"/>
      <c r="AP1897" s="9"/>
      <c r="AQ1897" s="9"/>
      <c r="AR1897" s="9"/>
      <c r="AS1897" s="9"/>
      <c r="AT1897" s="9"/>
      <c r="AU1897" s="9"/>
    </row>
    <row r="1898" spans="1:47" ht="15.75" customHeight="1">
      <c r="A1898" s="9"/>
      <c r="B1898" s="9"/>
      <c r="C1898" s="9"/>
      <c r="D1898" s="9"/>
      <c r="E1898" s="9"/>
      <c r="F1898" s="67"/>
      <c r="G1898" s="9"/>
      <c r="H1898" s="9"/>
      <c r="I1898" s="9"/>
      <c r="J1898" s="9"/>
      <c r="K1898" s="9"/>
      <c r="L1898" s="9"/>
      <c r="M1898" s="9"/>
      <c r="N1898" s="9"/>
      <c r="O1898" s="9"/>
      <c r="P1898" s="9"/>
      <c r="Q1898" s="9"/>
      <c r="R1898" s="9"/>
      <c r="S1898" s="9"/>
      <c r="T1898" s="9"/>
      <c r="U1898" s="9"/>
      <c r="V1898" s="9"/>
      <c r="W1898" s="9"/>
      <c r="X1898" s="9"/>
      <c r="Y1898" s="9"/>
      <c r="Z1898" s="9"/>
      <c r="AA1898" s="9"/>
      <c r="AB1898" s="9"/>
      <c r="AC1898" s="9"/>
      <c r="AD1898" s="9"/>
      <c r="AE1898" s="9"/>
      <c r="AF1898" s="9"/>
      <c r="AG1898" s="9"/>
      <c r="AH1898" s="9"/>
      <c r="AI1898" s="9"/>
      <c r="AJ1898" s="9"/>
      <c r="AK1898" s="9"/>
      <c r="AL1898" s="9"/>
      <c r="AM1898" s="9"/>
      <c r="AN1898" s="9"/>
      <c r="AO1898" s="9"/>
      <c r="AP1898" s="9"/>
      <c r="AQ1898" s="9"/>
      <c r="AR1898" s="9"/>
      <c r="AS1898" s="9"/>
      <c r="AT1898" s="9"/>
      <c r="AU1898" s="9"/>
    </row>
    <row r="1899" spans="1:47" ht="15.75" customHeight="1">
      <c r="A1899" s="9"/>
      <c r="B1899" s="9"/>
      <c r="C1899" s="9"/>
      <c r="D1899" s="9"/>
      <c r="E1899" s="9"/>
      <c r="F1899" s="67"/>
      <c r="G1899" s="9"/>
      <c r="H1899" s="9"/>
      <c r="I1899" s="9"/>
      <c r="J1899" s="9"/>
      <c r="K1899" s="9"/>
      <c r="L1899" s="9"/>
      <c r="M1899" s="9"/>
      <c r="N1899" s="9"/>
      <c r="O1899" s="9"/>
      <c r="P1899" s="9"/>
      <c r="Q1899" s="9"/>
      <c r="R1899" s="9"/>
      <c r="S1899" s="9"/>
      <c r="T1899" s="9"/>
      <c r="U1899" s="9"/>
      <c r="V1899" s="9"/>
      <c r="W1899" s="9"/>
      <c r="X1899" s="9"/>
      <c r="Y1899" s="9"/>
      <c r="Z1899" s="9"/>
      <c r="AA1899" s="9"/>
      <c r="AB1899" s="9"/>
      <c r="AC1899" s="9"/>
      <c r="AD1899" s="9"/>
      <c r="AE1899" s="9"/>
      <c r="AF1899" s="9"/>
      <c r="AG1899" s="9"/>
      <c r="AH1899" s="9"/>
      <c r="AI1899" s="9"/>
      <c r="AJ1899" s="9"/>
      <c r="AK1899" s="9"/>
      <c r="AL1899" s="9"/>
      <c r="AM1899" s="9"/>
      <c r="AN1899" s="9"/>
      <c r="AO1899" s="9"/>
      <c r="AP1899" s="9"/>
      <c r="AQ1899" s="9"/>
      <c r="AR1899" s="9"/>
      <c r="AS1899" s="9"/>
      <c r="AT1899" s="9"/>
      <c r="AU1899" s="9"/>
    </row>
    <row r="1900" spans="1:47" ht="15.75" customHeight="1">
      <c r="A1900" s="9"/>
      <c r="B1900" s="9"/>
      <c r="C1900" s="9"/>
      <c r="D1900" s="9"/>
      <c r="E1900" s="9"/>
      <c r="F1900" s="67"/>
      <c r="G1900" s="9"/>
      <c r="H1900" s="9"/>
      <c r="I1900" s="9"/>
      <c r="J1900" s="9"/>
      <c r="K1900" s="9"/>
      <c r="L1900" s="9"/>
      <c r="M1900" s="9"/>
      <c r="N1900" s="9"/>
      <c r="O1900" s="9"/>
      <c r="P1900" s="9"/>
      <c r="Q1900" s="9"/>
      <c r="R1900" s="9"/>
      <c r="S1900" s="9"/>
      <c r="T1900" s="9"/>
      <c r="U1900" s="9"/>
      <c r="V1900" s="9"/>
      <c r="W1900" s="9"/>
      <c r="X1900" s="9"/>
      <c r="Y1900" s="9"/>
      <c r="Z1900" s="9"/>
      <c r="AA1900" s="9"/>
      <c r="AB1900" s="9"/>
      <c r="AC1900" s="9"/>
      <c r="AD1900" s="9"/>
      <c r="AE1900" s="9"/>
      <c r="AF1900" s="9"/>
      <c r="AG1900" s="9"/>
      <c r="AH1900" s="9"/>
      <c r="AI1900" s="9"/>
      <c r="AJ1900" s="9"/>
      <c r="AK1900" s="9"/>
      <c r="AL1900" s="9"/>
      <c r="AM1900" s="9"/>
      <c r="AN1900" s="9"/>
      <c r="AO1900" s="9"/>
      <c r="AP1900" s="9"/>
      <c r="AQ1900" s="9"/>
      <c r="AR1900" s="9"/>
      <c r="AS1900" s="9"/>
      <c r="AT1900" s="9"/>
      <c r="AU1900" s="9"/>
    </row>
    <row r="1901" spans="1:47" ht="15.75" customHeight="1">
      <c r="A1901" s="9"/>
      <c r="B1901" s="9"/>
      <c r="C1901" s="9"/>
      <c r="D1901" s="9"/>
      <c r="E1901" s="9"/>
      <c r="F1901" s="67"/>
      <c r="G1901" s="9"/>
      <c r="H1901" s="9"/>
      <c r="I1901" s="9"/>
      <c r="J1901" s="9"/>
      <c r="K1901" s="9"/>
      <c r="L1901" s="9"/>
      <c r="M1901" s="9"/>
      <c r="N1901" s="9"/>
      <c r="O1901" s="9"/>
      <c r="P1901" s="9"/>
      <c r="Q1901" s="9"/>
      <c r="R1901" s="9"/>
      <c r="S1901" s="9"/>
      <c r="T1901" s="9"/>
      <c r="U1901" s="9"/>
      <c r="V1901" s="9"/>
      <c r="W1901" s="9"/>
      <c r="X1901" s="9"/>
      <c r="Y1901" s="9"/>
      <c r="Z1901" s="9"/>
      <c r="AA1901" s="9"/>
      <c r="AB1901" s="9"/>
      <c r="AC1901" s="9"/>
      <c r="AD1901" s="9"/>
      <c r="AE1901" s="9"/>
      <c r="AF1901" s="9"/>
      <c r="AG1901" s="9"/>
      <c r="AH1901" s="9"/>
      <c r="AI1901" s="9"/>
      <c r="AJ1901" s="9"/>
      <c r="AK1901" s="9"/>
      <c r="AL1901" s="9"/>
      <c r="AM1901" s="9"/>
      <c r="AN1901" s="9"/>
      <c r="AO1901" s="9"/>
      <c r="AP1901" s="9"/>
      <c r="AQ1901" s="9"/>
      <c r="AR1901" s="9"/>
      <c r="AS1901" s="9"/>
      <c r="AT1901" s="9"/>
      <c r="AU1901" s="9"/>
    </row>
    <row r="1902" spans="1:47" ht="15.75" customHeight="1">
      <c r="A1902" s="9"/>
      <c r="B1902" s="9"/>
      <c r="C1902" s="9"/>
      <c r="D1902" s="9"/>
      <c r="E1902" s="9"/>
      <c r="F1902" s="67"/>
      <c r="G1902" s="9"/>
      <c r="H1902" s="9"/>
      <c r="I1902" s="9"/>
      <c r="J1902" s="9"/>
      <c r="K1902" s="9"/>
      <c r="L1902" s="9"/>
      <c r="M1902" s="9"/>
      <c r="N1902" s="9"/>
      <c r="O1902" s="9"/>
      <c r="P1902" s="9"/>
      <c r="Q1902" s="9"/>
      <c r="R1902" s="9"/>
      <c r="S1902" s="9"/>
      <c r="T1902" s="9"/>
      <c r="U1902" s="9"/>
      <c r="V1902" s="9"/>
      <c r="W1902" s="9"/>
      <c r="X1902" s="9"/>
      <c r="Y1902" s="9"/>
      <c r="Z1902" s="9"/>
      <c r="AA1902" s="9"/>
      <c r="AB1902" s="9"/>
      <c r="AC1902" s="9"/>
      <c r="AD1902" s="9"/>
      <c r="AE1902" s="9"/>
      <c r="AF1902" s="9"/>
      <c r="AG1902" s="9"/>
      <c r="AH1902" s="9"/>
      <c r="AI1902" s="9"/>
      <c r="AJ1902" s="9"/>
      <c r="AK1902" s="9"/>
      <c r="AL1902" s="9"/>
      <c r="AM1902" s="9"/>
      <c r="AN1902" s="9"/>
      <c r="AO1902" s="9"/>
      <c r="AP1902" s="9"/>
      <c r="AQ1902" s="9"/>
      <c r="AR1902" s="9"/>
      <c r="AS1902" s="9"/>
      <c r="AT1902" s="9"/>
      <c r="AU1902" s="9"/>
    </row>
    <row r="1903" spans="1:47" ht="15.75" customHeight="1">
      <c r="A1903" s="9"/>
      <c r="B1903" s="9"/>
      <c r="C1903" s="9"/>
      <c r="D1903" s="9"/>
      <c r="E1903" s="9"/>
      <c r="F1903" s="67"/>
      <c r="G1903" s="9"/>
      <c r="H1903" s="9"/>
      <c r="I1903" s="9"/>
      <c r="J1903" s="9"/>
      <c r="K1903" s="9"/>
      <c r="L1903" s="9"/>
      <c r="M1903" s="9"/>
      <c r="N1903" s="9"/>
      <c r="O1903" s="9"/>
      <c r="P1903" s="9"/>
      <c r="Q1903" s="9"/>
      <c r="R1903" s="9"/>
      <c r="S1903" s="9"/>
      <c r="T1903" s="9"/>
      <c r="U1903" s="9"/>
      <c r="V1903" s="9"/>
      <c r="W1903" s="9"/>
      <c r="X1903" s="9"/>
      <c r="Y1903" s="9"/>
      <c r="Z1903" s="9"/>
      <c r="AA1903" s="9"/>
      <c r="AB1903" s="9"/>
      <c r="AC1903" s="9"/>
      <c r="AD1903" s="9"/>
      <c r="AE1903" s="9"/>
      <c r="AF1903" s="9"/>
      <c r="AG1903" s="9"/>
      <c r="AH1903" s="9"/>
      <c r="AI1903" s="9"/>
      <c r="AJ1903" s="9"/>
      <c r="AK1903" s="9"/>
      <c r="AL1903" s="9"/>
      <c r="AM1903" s="9"/>
      <c r="AN1903" s="9"/>
      <c r="AO1903" s="9"/>
      <c r="AP1903" s="9"/>
      <c r="AQ1903" s="9"/>
      <c r="AR1903" s="9"/>
      <c r="AS1903" s="9"/>
      <c r="AT1903" s="9"/>
      <c r="AU1903" s="9"/>
    </row>
    <row r="1904" spans="1:47" ht="15.75" customHeight="1">
      <c r="A1904" s="9"/>
      <c r="B1904" s="9"/>
      <c r="C1904" s="9"/>
      <c r="D1904" s="9"/>
      <c r="E1904" s="9"/>
      <c r="F1904" s="67"/>
      <c r="G1904" s="9"/>
      <c r="H1904" s="9"/>
      <c r="I1904" s="9"/>
      <c r="J1904" s="9"/>
      <c r="K1904" s="9"/>
      <c r="L1904" s="9"/>
      <c r="M1904" s="9"/>
      <c r="N1904" s="9"/>
      <c r="O1904" s="9"/>
      <c r="P1904" s="9"/>
      <c r="Q1904" s="9"/>
      <c r="R1904" s="9"/>
      <c r="S1904" s="9"/>
      <c r="T1904" s="9"/>
      <c r="U1904" s="9"/>
      <c r="V1904" s="9"/>
      <c r="W1904" s="9"/>
      <c r="X1904" s="9"/>
      <c r="Y1904" s="9"/>
      <c r="Z1904" s="9"/>
      <c r="AA1904" s="9"/>
      <c r="AB1904" s="9"/>
      <c r="AC1904" s="9"/>
      <c r="AD1904" s="9"/>
      <c r="AE1904" s="9"/>
      <c r="AF1904" s="9"/>
      <c r="AG1904" s="9"/>
      <c r="AH1904" s="9"/>
      <c r="AI1904" s="9"/>
      <c r="AJ1904" s="9"/>
      <c r="AK1904" s="9"/>
      <c r="AL1904" s="9"/>
      <c r="AM1904" s="9"/>
      <c r="AN1904" s="9"/>
      <c r="AO1904" s="9"/>
      <c r="AP1904" s="9"/>
      <c r="AQ1904" s="9"/>
      <c r="AR1904" s="9"/>
      <c r="AS1904" s="9"/>
      <c r="AT1904" s="9"/>
      <c r="AU1904" s="9"/>
    </row>
    <row r="1905" spans="1:47" ht="15.75" customHeight="1">
      <c r="A1905" s="9"/>
      <c r="B1905" s="9"/>
      <c r="C1905" s="9"/>
      <c r="D1905" s="9"/>
      <c r="E1905" s="9"/>
      <c r="F1905" s="67"/>
      <c r="G1905" s="9"/>
      <c r="H1905" s="9"/>
      <c r="I1905" s="9"/>
      <c r="J1905" s="9"/>
      <c r="K1905" s="9"/>
      <c r="L1905" s="9"/>
      <c r="M1905" s="9"/>
      <c r="N1905" s="9"/>
      <c r="O1905" s="9"/>
      <c r="P1905" s="9"/>
      <c r="Q1905" s="9"/>
      <c r="R1905" s="9"/>
      <c r="S1905" s="9"/>
      <c r="T1905" s="9"/>
      <c r="U1905" s="9"/>
      <c r="V1905" s="9"/>
      <c r="W1905" s="9"/>
      <c r="X1905" s="9"/>
      <c r="Y1905" s="9"/>
      <c r="Z1905" s="9"/>
      <c r="AA1905" s="9"/>
      <c r="AB1905" s="9"/>
      <c r="AC1905" s="9"/>
      <c r="AD1905" s="9"/>
      <c r="AE1905" s="9"/>
      <c r="AF1905" s="9"/>
      <c r="AG1905" s="9"/>
      <c r="AH1905" s="9"/>
      <c r="AI1905" s="9"/>
      <c r="AJ1905" s="9"/>
      <c r="AK1905" s="9"/>
      <c r="AL1905" s="9"/>
      <c r="AM1905" s="9"/>
      <c r="AN1905" s="9"/>
      <c r="AO1905" s="9"/>
      <c r="AP1905" s="9"/>
      <c r="AQ1905" s="9"/>
      <c r="AR1905" s="9"/>
      <c r="AS1905" s="9"/>
      <c r="AT1905" s="9"/>
      <c r="AU1905" s="9"/>
    </row>
    <row r="1906" spans="1:47" ht="15.75" customHeight="1">
      <c r="A1906" s="9"/>
      <c r="B1906" s="9"/>
      <c r="C1906" s="9"/>
      <c r="D1906" s="9"/>
      <c r="E1906" s="9"/>
      <c r="F1906" s="67"/>
      <c r="G1906" s="9"/>
      <c r="H1906" s="9"/>
      <c r="I1906" s="9"/>
      <c r="J1906" s="9"/>
      <c r="K1906" s="9"/>
      <c r="L1906" s="9"/>
      <c r="M1906" s="9"/>
      <c r="N1906" s="9"/>
      <c r="O1906" s="9"/>
      <c r="P1906" s="9"/>
      <c r="Q1906" s="9"/>
      <c r="R1906" s="9"/>
      <c r="S1906" s="9"/>
      <c r="T1906" s="9"/>
      <c r="U1906" s="9"/>
      <c r="V1906" s="9"/>
      <c r="W1906" s="9"/>
      <c r="X1906" s="9"/>
      <c r="Y1906" s="9"/>
      <c r="Z1906" s="9"/>
      <c r="AA1906" s="9"/>
      <c r="AB1906" s="9"/>
      <c r="AC1906" s="9"/>
      <c r="AD1906" s="9"/>
      <c r="AE1906" s="9"/>
      <c r="AF1906" s="9"/>
      <c r="AG1906" s="9"/>
      <c r="AH1906" s="9"/>
      <c r="AI1906" s="9"/>
      <c r="AJ1906" s="9"/>
      <c r="AK1906" s="9"/>
      <c r="AL1906" s="9"/>
      <c r="AM1906" s="9"/>
      <c r="AN1906" s="9"/>
      <c r="AO1906" s="9"/>
      <c r="AP1906" s="9"/>
      <c r="AQ1906" s="9"/>
      <c r="AR1906" s="9"/>
      <c r="AS1906" s="9"/>
      <c r="AT1906" s="9"/>
      <c r="AU1906" s="9"/>
    </row>
    <row r="1907" spans="1:47" ht="15.75" customHeight="1">
      <c r="A1907" s="9"/>
      <c r="B1907" s="9"/>
      <c r="C1907" s="9"/>
      <c r="D1907" s="9"/>
      <c r="E1907" s="9"/>
      <c r="F1907" s="67"/>
      <c r="G1907" s="9"/>
      <c r="H1907" s="9"/>
      <c r="I1907" s="9"/>
      <c r="J1907" s="9"/>
      <c r="K1907" s="9"/>
      <c r="L1907" s="9"/>
      <c r="M1907" s="9"/>
      <c r="N1907" s="9"/>
      <c r="O1907" s="9"/>
      <c r="P1907" s="9"/>
      <c r="Q1907" s="9"/>
      <c r="R1907" s="9"/>
      <c r="S1907" s="9"/>
      <c r="T1907" s="9"/>
      <c r="U1907" s="9"/>
      <c r="V1907" s="9"/>
      <c r="W1907" s="9"/>
      <c r="X1907" s="9"/>
      <c r="Y1907" s="9"/>
      <c r="Z1907" s="9"/>
      <c r="AA1907" s="9"/>
      <c r="AB1907" s="9"/>
      <c r="AC1907" s="9"/>
      <c r="AD1907" s="9"/>
      <c r="AE1907" s="9"/>
      <c r="AF1907" s="9"/>
      <c r="AG1907" s="9"/>
      <c r="AH1907" s="9"/>
      <c r="AI1907" s="9"/>
      <c r="AJ1907" s="9"/>
      <c r="AK1907" s="9"/>
      <c r="AL1907" s="9"/>
      <c r="AM1907" s="9"/>
      <c r="AN1907" s="9"/>
      <c r="AO1907" s="9"/>
      <c r="AP1907" s="9"/>
      <c r="AQ1907" s="9"/>
      <c r="AR1907" s="9"/>
      <c r="AS1907" s="9"/>
      <c r="AT1907" s="9"/>
      <c r="AU1907" s="9"/>
    </row>
    <row r="1908" spans="1:47" ht="15.75" customHeight="1">
      <c r="A1908" s="9"/>
      <c r="B1908" s="9"/>
      <c r="C1908" s="9"/>
      <c r="D1908" s="9"/>
      <c r="E1908" s="9"/>
      <c r="F1908" s="67"/>
      <c r="G1908" s="9"/>
      <c r="H1908" s="9"/>
      <c r="I1908" s="9"/>
      <c r="J1908" s="9"/>
      <c r="K1908" s="9"/>
      <c r="L1908" s="9"/>
      <c r="M1908" s="9"/>
      <c r="N1908" s="9"/>
      <c r="O1908" s="9"/>
      <c r="P1908" s="9"/>
      <c r="Q1908" s="9"/>
      <c r="R1908" s="9"/>
      <c r="S1908" s="9"/>
      <c r="T1908" s="9"/>
      <c r="U1908" s="9"/>
      <c r="V1908" s="9"/>
      <c r="W1908" s="9"/>
      <c r="X1908" s="9"/>
      <c r="Y1908" s="9"/>
      <c r="Z1908" s="9"/>
      <c r="AA1908" s="9"/>
      <c r="AB1908" s="9"/>
      <c r="AC1908" s="9"/>
      <c r="AD1908" s="9"/>
      <c r="AE1908" s="9"/>
      <c r="AF1908" s="9"/>
      <c r="AG1908" s="9"/>
      <c r="AH1908" s="9"/>
      <c r="AI1908" s="9"/>
      <c r="AJ1908" s="9"/>
      <c r="AK1908" s="9"/>
      <c r="AL1908" s="9"/>
      <c r="AM1908" s="9"/>
      <c r="AN1908" s="9"/>
      <c r="AO1908" s="9"/>
      <c r="AP1908" s="9"/>
      <c r="AQ1908" s="9"/>
      <c r="AR1908" s="9"/>
      <c r="AS1908" s="9"/>
      <c r="AT1908" s="9"/>
      <c r="AU1908" s="9"/>
    </row>
    <row r="1909" spans="1:47" ht="15.75" customHeight="1">
      <c r="A1909" s="9"/>
      <c r="B1909" s="9"/>
      <c r="C1909" s="9"/>
      <c r="D1909" s="9"/>
      <c r="E1909" s="9"/>
      <c r="F1909" s="67"/>
      <c r="G1909" s="9"/>
      <c r="H1909" s="9"/>
      <c r="I1909" s="9"/>
      <c r="J1909" s="9"/>
      <c r="K1909" s="9"/>
      <c r="L1909" s="9"/>
      <c r="M1909" s="9"/>
      <c r="N1909" s="9"/>
      <c r="O1909" s="9"/>
      <c r="P1909" s="9"/>
      <c r="Q1909" s="9"/>
      <c r="R1909" s="9"/>
      <c r="S1909" s="9"/>
      <c r="T1909" s="9"/>
      <c r="U1909" s="9"/>
      <c r="V1909" s="9"/>
      <c r="W1909" s="9"/>
      <c r="X1909" s="9"/>
      <c r="Y1909" s="9"/>
      <c r="Z1909" s="9"/>
      <c r="AA1909" s="9"/>
      <c r="AB1909" s="9"/>
      <c r="AC1909" s="9"/>
      <c r="AD1909" s="9"/>
      <c r="AE1909" s="9"/>
      <c r="AF1909" s="9"/>
      <c r="AG1909" s="9"/>
      <c r="AH1909" s="9"/>
      <c r="AI1909" s="9"/>
      <c r="AJ1909" s="9"/>
      <c r="AK1909" s="9"/>
      <c r="AL1909" s="9"/>
      <c r="AM1909" s="9"/>
      <c r="AN1909" s="9"/>
      <c r="AO1909" s="9"/>
      <c r="AP1909" s="9"/>
      <c r="AQ1909" s="9"/>
      <c r="AR1909" s="9"/>
      <c r="AS1909" s="9"/>
      <c r="AT1909" s="9"/>
      <c r="AU1909" s="9"/>
    </row>
    <row r="1910" spans="1:47" ht="15.75" customHeight="1">
      <c r="A1910" s="9"/>
      <c r="B1910" s="9"/>
      <c r="C1910" s="9"/>
      <c r="D1910" s="9"/>
      <c r="E1910" s="9"/>
      <c r="F1910" s="67"/>
      <c r="G1910" s="9"/>
      <c r="H1910" s="9"/>
      <c r="I1910" s="9"/>
      <c r="J1910" s="9"/>
      <c r="K1910" s="9"/>
      <c r="L1910" s="9"/>
      <c r="M1910" s="9"/>
      <c r="N1910" s="9"/>
      <c r="O1910" s="9"/>
      <c r="P1910" s="9"/>
      <c r="Q1910" s="9"/>
      <c r="R1910" s="9"/>
      <c r="S1910" s="9"/>
      <c r="T1910" s="9"/>
      <c r="U1910" s="9"/>
      <c r="V1910" s="9"/>
      <c r="W1910" s="9"/>
      <c r="X1910" s="9"/>
      <c r="Y1910" s="9"/>
      <c r="Z1910" s="9"/>
      <c r="AA1910" s="9"/>
      <c r="AB1910" s="9"/>
      <c r="AC1910" s="9"/>
      <c r="AD1910" s="9"/>
      <c r="AE1910" s="9"/>
      <c r="AF1910" s="9"/>
      <c r="AG1910" s="9"/>
      <c r="AH1910" s="9"/>
      <c r="AI1910" s="9"/>
      <c r="AJ1910" s="9"/>
      <c r="AK1910" s="9"/>
      <c r="AL1910" s="9"/>
      <c r="AM1910" s="9"/>
      <c r="AN1910" s="9"/>
      <c r="AO1910" s="9"/>
      <c r="AP1910" s="9"/>
      <c r="AQ1910" s="9"/>
      <c r="AR1910" s="9"/>
      <c r="AS1910" s="9"/>
      <c r="AT1910" s="9"/>
      <c r="AU1910" s="9"/>
    </row>
    <row r="1911" spans="1:47" ht="15.75" customHeight="1">
      <c r="A1911" s="9"/>
      <c r="B1911" s="9"/>
      <c r="C1911" s="9"/>
      <c r="D1911" s="9"/>
      <c r="E1911" s="9"/>
      <c r="F1911" s="67"/>
      <c r="G1911" s="9"/>
      <c r="H1911" s="9"/>
      <c r="I1911" s="9"/>
      <c r="J1911" s="9"/>
      <c r="K1911" s="9"/>
      <c r="L1911" s="9"/>
      <c r="M1911" s="9"/>
      <c r="N1911" s="9"/>
      <c r="O1911" s="9"/>
      <c r="P1911" s="9"/>
      <c r="Q1911" s="9"/>
      <c r="R1911" s="9"/>
      <c r="S1911" s="9"/>
      <c r="T1911" s="9"/>
      <c r="U1911" s="9"/>
      <c r="V1911" s="9"/>
      <c r="W1911" s="9"/>
      <c r="X1911" s="9"/>
      <c r="Y1911" s="9"/>
      <c r="Z1911" s="9"/>
      <c r="AA1911" s="9"/>
      <c r="AB1911" s="9"/>
      <c r="AC1911" s="9"/>
      <c r="AD1911" s="9"/>
      <c r="AE1911" s="9"/>
      <c r="AF1911" s="9"/>
      <c r="AG1911" s="9"/>
      <c r="AH1911" s="9"/>
      <c r="AI1911" s="9"/>
      <c r="AJ1911" s="9"/>
      <c r="AK1911" s="9"/>
      <c r="AL1911" s="9"/>
      <c r="AM1911" s="9"/>
      <c r="AN1911" s="9"/>
      <c r="AO1911" s="9"/>
      <c r="AP1911" s="9"/>
      <c r="AQ1911" s="9"/>
      <c r="AR1911" s="9"/>
      <c r="AS1911" s="9"/>
      <c r="AT1911" s="9"/>
      <c r="AU1911" s="9"/>
    </row>
    <row r="1912" spans="1:47" ht="15.75" customHeight="1">
      <c r="A1912" s="9"/>
      <c r="B1912" s="9"/>
      <c r="C1912" s="9"/>
      <c r="D1912" s="9"/>
      <c r="E1912" s="9"/>
      <c r="F1912" s="67"/>
      <c r="G1912" s="9"/>
      <c r="H1912" s="9"/>
      <c r="I1912" s="9"/>
      <c r="J1912" s="9"/>
      <c r="K1912" s="9"/>
      <c r="L1912" s="9"/>
      <c r="M1912" s="9"/>
      <c r="N1912" s="9"/>
      <c r="O1912" s="9"/>
      <c r="P1912" s="9"/>
      <c r="Q1912" s="9"/>
      <c r="R1912" s="9"/>
      <c r="S1912" s="9"/>
      <c r="T1912" s="9"/>
      <c r="U1912" s="9"/>
      <c r="V1912" s="9"/>
      <c r="W1912" s="9"/>
      <c r="X1912" s="9"/>
      <c r="Y1912" s="9"/>
      <c r="Z1912" s="9"/>
      <c r="AA1912" s="9"/>
      <c r="AB1912" s="9"/>
      <c r="AC1912" s="9"/>
      <c r="AD1912" s="9"/>
      <c r="AE1912" s="9"/>
      <c r="AF1912" s="9"/>
      <c r="AG1912" s="9"/>
      <c r="AH1912" s="9"/>
      <c r="AI1912" s="9"/>
      <c r="AJ1912" s="9"/>
      <c r="AK1912" s="9"/>
      <c r="AL1912" s="9"/>
      <c r="AM1912" s="9"/>
      <c r="AN1912" s="9"/>
      <c r="AO1912" s="9"/>
      <c r="AP1912" s="9"/>
      <c r="AQ1912" s="9"/>
      <c r="AR1912" s="9"/>
      <c r="AS1912" s="9"/>
      <c r="AT1912" s="9"/>
      <c r="AU1912" s="9"/>
    </row>
    <row r="1913" spans="1:47" ht="15.75" customHeight="1">
      <c r="A1913" s="9"/>
      <c r="B1913" s="9"/>
      <c r="C1913" s="9"/>
      <c r="D1913" s="9"/>
      <c r="E1913" s="9"/>
      <c r="F1913" s="67"/>
      <c r="G1913" s="9"/>
      <c r="H1913" s="9"/>
      <c r="I1913" s="9"/>
      <c r="J1913" s="9"/>
      <c r="K1913" s="9"/>
      <c r="L1913" s="9"/>
      <c r="M1913" s="9"/>
      <c r="N1913" s="9"/>
      <c r="O1913" s="9"/>
      <c r="P1913" s="9"/>
      <c r="Q1913" s="9"/>
      <c r="R1913" s="9"/>
      <c r="S1913" s="9"/>
      <c r="T1913" s="9"/>
      <c r="U1913" s="9"/>
      <c r="V1913" s="9"/>
      <c r="W1913" s="9"/>
      <c r="X1913" s="9"/>
      <c r="Y1913" s="9"/>
      <c r="Z1913" s="9"/>
      <c r="AA1913" s="9"/>
      <c r="AB1913" s="9"/>
      <c r="AC1913" s="9"/>
      <c r="AD1913" s="9"/>
      <c r="AE1913" s="9"/>
      <c r="AF1913" s="9"/>
      <c r="AG1913" s="9"/>
      <c r="AH1913" s="9"/>
      <c r="AI1913" s="9"/>
      <c r="AJ1913" s="9"/>
      <c r="AK1913" s="9"/>
      <c r="AL1913" s="9"/>
      <c r="AM1913" s="9"/>
      <c r="AN1913" s="9"/>
      <c r="AO1913" s="9"/>
      <c r="AP1913" s="9"/>
      <c r="AQ1913" s="9"/>
      <c r="AR1913" s="9"/>
      <c r="AS1913" s="9"/>
      <c r="AT1913" s="9"/>
      <c r="AU1913" s="9"/>
    </row>
    <row r="1914" spans="1:47" ht="15.75" customHeight="1">
      <c r="A1914" s="9"/>
      <c r="B1914" s="9"/>
      <c r="C1914" s="9"/>
      <c r="D1914" s="9"/>
      <c r="E1914" s="9"/>
      <c r="F1914" s="67"/>
      <c r="G1914" s="9"/>
      <c r="H1914" s="9"/>
      <c r="I1914" s="9"/>
      <c r="J1914" s="9"/>
      <c r="K1914" s="9"/>
      <c r="L1914" s="9"/>
      <c r="M1914" s="9"/>
      <c r="N1914" s="9"/>
      <c r="O1914" s="9"/>
      <c r="P1914" s="9"/>
      <c r="Q1914" s="9"/>
      <c r="R1914" s="9"/>
      <c r="S1914" s="9"/>
      <c r="T1914" s="9"/>
      <c r="U1914" s="9"/>
      <c r="V1914" s="9"/>
      <c r="W1914" s="9"/>
      <c r="X1914" s="9"/>
      <c r="Y1914" s="9"/>
      <c r="Z1914" s="9"/>
      <c r="AA1914" s="9"/>
      <c r="AB1914" s="9"/>
      <c r="AC1914" s="9"/>
      <c r="AD1914" s="9"/>
      <c r="AE1914" s="9"/>
      <c r="AF1914" s="9"/>
      <c r="AG1914" s="9"/>
      <c r="AH1914" s="9"/>
      <c r="AI1914" s="9"/>
      <c r="AJ1914" s="9"/>
      <c r="AK1914" s="9"/>
      <c r="AL1914" s="9"/>
      <c r="AM1914" s="9"/>
      <c r="AN1914" s="9"/>
      <c r="AO1914" s="9"/>
      <c r="AP1914" s="9"/>
      <c r="AQ1914" s="9"/>
      <c r="AR1914" s="9"/>
      <c r="AS1914" s="9"/>
      <c r="AT1914" s="9"/>
      <c r="AU1914" s="9"/>
    </row>
    <row r="1915" spans="1:47" ht="15.75" customHeight="1">
      <c r="A1915" s="9"/>
      <c r="B1915" s="9"/>
      <c r="C1915" s="9"/>
      <c r="D1915" s="9"/>
      <c r="E1915" s="9"/>
      <c r="F1915" s="67"/>
      <c r="G1915" s="9"/>
      <c r="H1915" s="9"/>
      <c r="I1915" s="9"/>
      <c r="J1915" s="9"/>
      <c r="K1915" s="9"/>
      <c r="L1915" s="9"/>
      <c r="M1915" s="9"/>
      <c r="N1915" s="9"/>
      <c r="O1915" s="9"/>
      <c r="P1915" s="9"/>
      <c r="Q1915" s="9"/>
      <c r="R1915" s="9"/>
      <c r="S1915" s="9"/>
      <c r="T1915" s="9"/>
      <c r="U1915" s="9"/>
      <c r="V1915" s="9"/>
      <c r="W1915" s="9"/>
      <c r="X1915" s="9"/>
      <c r="Y1915" s="9"/>
      <c r="Z1915" s="9"/>
      <c r="AA1915" s="9"/>
      <c r="AB1915" s="9"/>
      <c r="AC1915" s="9"/>
      <c r="AD1915" s="9"/>
      <c r="AE1915" s="9"/>
      <c r="AF1915" s="9"/>
      <c r="AG1915" s="9"/>
      <c r="AH1915" s="9"/>
      <c r="AI1915" s="9"/>
      <c r="AJ1915" s="9"/>
      <c r="AK1915" s="9"/>
      <c r="AL1915" s="9"/>
      <c r="AM1915" s="9"/>
      <c r="AN1915" s="9"/>
      <c r="AO1915" s="9"/>
      <c r="AP1915" s="9"/>
      <c r="AQ1915" s="9"/>
      <c r="AR1915" s="9"/>
      <c r="AS1915" s="9"/>
      <c r="AT1915" s="9"/>
      <c r="AU1915" s="9"/>
    </row>
    <row r="1916" spans="1:47" ht="15.75" customHeight="1">
      <c r="A1916" s="9"/>
      <c r="B1916" s="9"/>
      <c r="C1916" s="9"/>
      <c r="D1916" s="9"/>
      <c r="E1916" s="9"/>
      <c r="F1916" s="67"/>
      <c r="G1916" s="9"/>
      <c r="H1916" s="9"/>
      <c r="I1916" s="9"/>
      <c r="J1916" s="9"/>
      <c r="K1916" s="9"/>
      <c r="L1916" s="9"/>
      <c r="M1916" s="9"/>
      <c r="N1916" s="9"/>
      <c r="O1916" s="9"/>
      <c r="P1916" s="9"/>
      <c r="Q1916" s="9"/>
      <c r="R1916" s="9"/>
      <c r="S1916" s="9"/>
      <c r="T1916" s="9"/>
      <c r="U1916" s="9"/>
      <c r="V1916" s="9"/>
      <c r="W1916" s="9"/>
      <c r="X1916" s="9"/>
      <c r="Y1916" s="9"/>
      <c r="Z1916" s="9"/>
      <c r="AA1916" s="9"/>
      <c r="AB1916" s="9"/>
      <c r="AC1916" s="9"/>
      <c r="AD1916" s="9"/>
      <c r="AE1916" s="9"/>
      <c r="AF1916" s="9"/>
      <c r="AG1916" s="9"/>
      <c r="AH1916" s="9"/>
      <c r="AI1916" s="9"/>
      <c r="AJ1916" s="9"/>
      <c r="AK1916" s="9"/>
      <c r="AL1916" s="9"/>
      <c r="AM1916" s="9"/>
      <c r="AN1916" s="9"/>
      <c r="AO1916" s="9"/>
      <c r="AP1916" s="9"/>
      <c r="AQ1916" s="9"/>
      <c r="AR1916" s="9"/>
      <c r="AS1916" s="9"/>
      <c r="AT1916" s="9"/>
      <c r="AU1916" s="9"/>
    </row>
    <row r="1917" spans="1:47" ht="15.75" customHeight="1">
      <c r="A1917" s="9"/>
      <c r="B1917" s="9"/>
      <c r="C1917" s="9"/>
      <c r="D1917" s="9"/>
      <c r="E1917" s="9"/>
      <c r="F1917" s="67"/>
      <c r="G1917" s="9"/>
      <c r="H1917" s="9"/>
      <c r="I1917" s="9"/>
      <c r="J1917" s="9"/>
      <c r="K1917" s="9"/>
      <c r="L1917" s="9"/>
      <c r="M1917" s="9"/>
      <c r="N1917" s="9"/>
      <c r="O1917" s="9"/>
      <c r="P1917" s="9"/>
      <c r="Q1917" s="9"/>
      <c r="R1917" s="9"/>
      <c r="S1917" s="9"/>
      <c r="T1917" s="9"/>
      <c r="U1917" s="9"/>
      <c r="V1917" s="9"/>
      <c r="W1917" s="9"/>
      <c r="X1917" s="9"/>
      <c r="Y1917" s="9"/>
      <c r="Z1917" s="9"/>
      <c r="AA1917" s="9"/>
      <c r="AB1917" s="9"/>
      <c r="AC1917" s="9"/>
      <c r="AD1917" s="9"/>
      <c r="AE1917" s="9"/>
      <c r="AF1917" s="9"/>
      <c r="AG1917" s="9"/>
      <c r="AH1917" s="9"/>
      <c r="AI1917" s="9"/>
      <c r="AJ1917" s="9"/>
      <c r="AK1917" s="9"/>
      <c r="AL1917" s="9"/>
      <c r="AM1917" s="9"/>
      <c r="AN1917" s="9"/>
      <c r="AO1917" s="9"/>
      <c r="AP1917" s="9"/>
      <c r="AQ1917" s="9"/>
      <c r="AR1917" s="9"/>
      <c r="AS1917" s="9"/>
      <c r="AT1917" s="9"/>
      <c r="AU1917" s="9"/>
    </row>
    <row r="1918" spans="1:47" ht="15.75" customHeight="1">
      <c r="A1918" s="9"/>
      <c r="B1918" s="9"/>
      <c r="C1918" s="9"/>
      <c r="D1918" s="9"/>
      <c r="E1918" s="9"/>
      <c r="F1918" s="67"/>
      <c r="G1918" s="9"/>
      <c r="H1918" s="9"/>
      <c r="I1918" s="9"/>
      <c r="J1918" s="9"/>
      <c r="K1918" s="9"/>
      <c r="L1918" s="9"/>
      <c r="M1918" s="9"/>
      <c r="N1918" s="9"/>
      <c r="O1918" s="9"/>
      <c r="P1918" s="9"/>
      <c r="Q1918" s="9"/>
      <c r="R1918" s="9"/>
      <c r="S1918" s="9"/>
      <c r="T1918" s="9"/>
      <c r="U1918" s="9"/>
      <c r="V1918" s="9"/>
      <c r="W1918" s="9"/>
      <c r="X1918" s="9"/>
      <c r="Y1918" s="9"/>
      <c r="Z1918" s="9"/>
      <c r="AA1918" s="9"/>
      <c r="AB1918" s="9"/>
      <c r="AC1918" s="9"/>
      <c r="AD1918" s="9"/>
      <c r="AE1918" s="9"/>
      <c r="AF1918" s="9"/>
      <c r="AG1918" s="9"/>
      <c r="AH1918" s="9"/>
      <c r="AI1918" s="9"/>
      <c r="AJ1918" s="9"/>
      <c r="AK1918" s="9"/>
      <c r="AL1918" s="9"/>
      <c r="AM1918" s="9"/>
      <c r="AN1918" s="9"/>
      <c r="AO1918" s="9"/>
      <c r="AP1918" s="9"/>
      <c r="AQ1918" s="9"/>
      <c r="AR1918" s="9"/>
      <c r="AS1918" s="9"/>
      <c r="AT1918" s="9"/>
      <c r="AU1918" s="9"/>
    </row>
    <row r="1919" spans="1:47" ht="15.75" customHeight="1">
      <c r="A1919" s="9"/>
      <c r="B1919" s="9"/>
      <c r="C1919" s="9"/>
      <c r="D1919" s="9"/>
      <c r="E1919" s="9"/>
      <c r="F1919" s="67"/>
      <c r="G1919" s="9"/>
      <c r="H1919" s="9"/>
      <c r="I1919" s="9"/>
      <c r="J1919" s="9"/>
      <c r="K1919" s="9"/>
      <c r="L1919" s="9"/>
      <c r="M1919" s="9"/>
      <c r="N1919" s="9"/>
      <c r="O1919" s="9"/>
      <c r="P1919" s="9"/>
      <c r="Q1919" s="9"/>
      <c r="R1919" s="9"/>
      <c r="S1919" s="9"/>
      <c r="T1919" s="9"/>
      <c r="U1919" s="9"/>
      <c r="V1919" s="9"/>
      <c r="W1919" s="9"/>
      <c r="X1919" s="9"/>
      <c r="Y1919" s="9"/>
      <c r="Z1919" s="9"/>
      <c r="AA1919" s="9"/>
      <c r="AB1919" s="9"/>
      <c r="AC1919" s="9"/>
      <c r="AD1919" s="9"/>
      <c r="AE1919" s="9"/>
      <c r="AF1919" s="9"/>
      <c r="AG1919" s="9"/>
      <c r="AH1919" s="9"/>
      <c r="AI1919" s="9"/>
      <c r="AJ1919" s="9"/>
      <c r="AK1919" s="9"/>
      <c r="AL1919" s="9"/>
      <c r="AM1919" s="9"/>
      <c r="AN1919" s="9"/>
      <c r="AO1919" s="9"/>
      <c r="AP1919" s="9"/>
      <c r="AQ1919" s="9"/>
      <c r="AR1919" s="9"/>
      <c r="AS1919" s="9"/>
      <c r="AT1919" s="9"/>
      <c r="AU1919" s="9"/>
    </row>
    <row r="1920" spans="1:47" ht="15.75" customHeight="1">
      <c r="A1920" s="9"/>
      <c r="B1920" s="9"/>
      <c r="C1920" s="9"/>
      <c r="D1920" s="9"/>
      <c r="E1920" s="9"/>
      <c r="F1920" s="67"/>
      <c r="G1920" s="9"/>
      <c r="H1920" s="9"/>
      <c r="I1920" s="9"/>
      <c r="J1920" s="9"/>
      <c r="K1920" s="9"/>
      <c r="L1920" s="9"/>
      <c r="M1920" s="9"/>
      <c r="N1920" s="9"/>
      <c r="O1920" s="9"/>
      <c r="P1920" s="9"/>
      <c r="Q1920" s="9"/>
      <c r="R1920" s="9"/>
      <c r="S1920" s="9"/>
      <c r="T1920" s="9"/>
      <c r="U1920" s="9"/>
      <c r="V1920" s="9"/>
      <c r="W1920" s="9"/>
      <c r="X1920" s="9"/>
      <c r="Y1920" s="9"/>
      <c r="Z1920" s="9"/>
      <c r="AA1920" s="9"/>
      <c r="AB1920" s="9"/>
      <c r="AC1920" s="9"/>
      <c r="AD1920" s="9"/>
      <c r="AE1920" s="9"/>
      <c r="AF1920" s="9"/>
      <c r="AG1920" s="9"/>
      <c r="AH1920" s="9"/>
      <c r="AI1920" s="9"/>
      <c r="AJ1920" s="9"/>
      <c r="AK1920" s="9"/>
      <c r="AL1920" s="9"/>
      <c r="AM1920" s="9"/>
      <c r="AN1920" s="9"/>
      <c r="AO1920" s="9"/>
      <c r="AP1920" s="9"/>
      <c r="AQ1920" s="9"/>
      <c r="AR1920" s="9"/>
      <c r="AS1920" s="9"/>
      <c r="AT1920" s="9"/>
      <c r="AU1920" s="9"/>
    </row>
    <row r="1921" spans="1:47" ht="15.75" customHeight="1">
      <c r="A1921" s="9"/>
      <c r="B1921" s="9"/>
      <c r="C1921" s="9"/>
      <c r="D1921" s="9"/>
      <c r="E1921" s="9"/>
      <c r="F1921" s="67"/>
      <c r="G1921" s="9"/>
      <c r="H1921" s="9"/>
      <c r="I1921" s="9"/>
      <c r="J1921" s="9"/>
      <c r="K1921" s="9"/>
      <c r="L1921" s="9"/>
      <c r="M1921" s="9"/>
      <c r="N1921" s="9"/>
      <c r="O1921" s="9"/>
      <c r="P1921" s="9"/>
      <c r="Q1921" s="9"/>
      <c r="R1921" s="9"/>
      <c r="S1921" s="9"/>
      <c r="T1921" s="9"/>
      <c r="U1921" s="9"/>
      <c r="V1921" s="9"/>
      <c r="W1921" s="9"/>
      <c r="X1921" s="9"/>
      <c r="Y1921" s="9"/>
      <c r="Z1921" s="9"/>
      <c r="AA1921" s="9"/>
      <c r="AB1921" s="9"/>
      <c r="AC1921" s="9"/>
      <c r="AD1921" s="9"/>
      <c r="AE1921" s="9"/>
      <c r="AF1921" s="9"/>
      <c r="AG1921" s="9"/>
      <c r="AH1921" s="9"/>
      <c r="AI1921" s="9"/>
      <c r="AJ1921" s="9"/>
      <c r="AK1921" s="9"/>
      <c r="AL1921" s="9"/>
      <c r="AM1921" s="9"/>
      <c r="AN1921" s="9"/>
      <c r="AO1921" s="9"/>
      <c r="AP1921" s="9"/>
      <c r="AQ1921" s="9"/>
      <c r="AR1921" s="9"/>
      <c r="AS1921" s="9"/>
      <c r="AT1921" s="9"/>
      <c r="AU1921" s="9"/>
    </row>
    <row r="1922" spans="1:47" ht="15.75" customHeight="1">
      <c r="A1922" s="9"/>
      <c r="B1922" s="9"/>
      <c r="C1922" s="9"/>
      <c r="D1922" s="9"/>
      <c r="E1922" s="9"/>
      <c r="F1922" s="67"/>
      <c r="G1922" s="9"/>
      <c r="H1922" s="9"/>
      <c r="I1922" s="9"/>
      <c r="J1922" s="9"/>
      <c r="K1922" s="9"/>
      <c r="L1922" s="9"/>
      <c r="M1922" s="9"/>
      <c r="N1922" s="9"/>
      <c r="O1922" s="9"/>
      <c r="P1922" s="9"/>
      <c r="Q1922" s="9"/>
      <c r="R1922" s="9"/>
      <c r="S1922" s="9"/>
      <c r="T1922" s="9"/>
      <c r="U1922" s="9"/>
      <c r="V1922" s="9"/>
      <c r="W1922" s="9"/>
      <c r="X1922" s="9"/>
      <c r="Y1922" s="9"/>
      <c r="Z1922" s="9"/>
      <c r="AA1922" s="9"/>
      <c r="AB1922" s="9"/>
      <c r="AC1922" s="9"/>
      <c r="AD1922" s="9"/>
      <c r="AE1922" s="9"/>
      <c r="AF1922" s="9"/>
      <c r="AG1922" s="9"/>
      <c r="AH1922" s="9"/>
      <c r="AI1922" s="9"/>
      <c r="AJ1922" s="9"/>
      <c r="AK1922" s="9"/>
      <c r="AL1922" s="9"/>
      <c r="AM1922" s="9"/>
      <c r="AN1922" s="9"/>
      <c r="AO1922" s="9"/>
      <c r="AP1922" s="9"/>
      <c r="AQ1922" s="9"/>
      <c r="AR1922" s="9"/>
      <c r="AS1922" s="9"/>
      <c r="AT1922" s="9"/>
      <c r="AU1922" s="9"/>
    </row>
    <row r="1923" spans="1:47" ht="15.75" customHeight="1">
      <c r="A1923" s="9"/>
      <c r="B1923" s="9"/>
      <c r="C1923" s="9"/>
      <c r="D1923" s="9"/>
      <c r="E1923" s="9"/>
      <c r="F1923" s="67"/>
      <c r="G1923" s="9"/>
      <c r="H1923" s="9"/>
      <c r="I1923" s="9"/>
      <c r="J1923" s="9"/>
      <c r="K1923" s="9"/>
      <c r="L1923" s="9"/>
      <c r="M1923" s="9"/>
      <c r="N1923" s="9"/>
      <c r="O1923" s="9"/>
      <c r="P1923" s="9"/>
      <c r="Q1923" s="9"/>
      <c r="R1923" s="9"/>
      <c r="S1923" s="9"/>
      <c r="T1923" s="9"/>
      <c r="U1923" s="9"/>
      <c r="V1923" s="9"/>
      <c r="W1923" s="9"/>
      <c r="X1923" s="9"/>
      <c r="Y1923" s="9"/>
      <c r="Z1923" s="9"/>
      <c r="AA1923" s="9"/>
      <c r="AB1923" s="9"/>
      <c r="AC1923" s="9"/>
      <c r="AD1923" s="9"/>
      <c r="AE1923" s="9"/>
      <c r="AF1923" s="9"/>
      <c r="AG1923" s="9"/>
      <c r="AH1923" s="9"/>
      <c r="AI1923" s="9"/>
      <c r="AJ1923" s="9"/>
      <c r="AK1923" s="9"/>
      <c r="AL1923" s="9"/>
      <c r="AM1923" s="9"/>
      <c r="AN1923" s="9"/>
      <c r="AO1923" s="9"/>
      <c r="AP1923" s="9"/>
      <c r="AQ1923" s="9"/>
      <c r="AR1923" s="9"/>
      <c r="AS1923" s="9"/>
      <c r="AT1923" s="9"/>
      <c r="AU1923" s="9"/>
    </row>
    <row r="1924" spans="1:47" ht="15.75" customHeight="1">
      <c r="A1924" s="9"/>
      <c r="B1924" s="9"/>
      <c r="C1924" s="9"/>
      <c r="D1924" s="9"/>
      <c r="E1924" s="9"/>
      <c r="F1924" s="67"/>
      <c r="G1924" s="9"/>
      <c r="H1924" s="9"/>
      <c r="I1924" s="9"/>
      <c r="J1924" s="9"/>
      <c r="K1924" s="9"/>
      <c r="L1924" s="9"/>
      <c r="M1924" s="9"/>
      <c r="N1924" s="9"/>
      <c r="O1924" s="9"/>
      <c r="P1924" s="9"/>
      <c r="Q1924" s="9"/>
      <c r="R1924" s="9"/>
      <c r="S1924" s="9"/>
      <c r="T1924" s="9"/>
      <c r="U1924" s="9"/>
      <c r="V1924" s="9"/>
      <c r="W1924" s="9"/>
      <c r="X1924" s="9"/>
      <c r="Y1924" s="9"/>
      <c r="Z1924" s="9"/>
      <c r="AA1924" s="9"/>
      <c r="AB1924" s="9"/>
      <c r="AC1924" s="9"/>
      <c r="AD1924" s="9"/>
      <c r="AE1924" s="9"/>
      <c r="AF1924" s="9"/>
      <c r="AG1924" s="9"/>
      <c r="AH1924" s="9"/>
      <c r="AI1924" s="9"/>
      <c r="AJ1924" s="9"/>
      <c r="AK1924" s="9"/>
      <c r="AL1924" s="9"/>
      <c r="AM1924" s="9"/>
      <c r="AN1924" s="9"/>
      <c r="AO1924" s="9"/>
      <c r="AP1924" s="9"/>
      <c r="AQ1924" s="9"/>
      <c r="AR1924" s="9"/>
      <c r="AS1924" s="9"/>
      <c r="AT1924" s="9"/>
      <c r="AU1924" s="9"/>
    </row>
    <row r="1925" spans="1:47" ht="15.75" customHeight="1">
      <c r="A1925" s="9"/>
      <c r="B1925" s="9"/>
      <c r="C1925" s="9"/>
      <c r="D1925" s="9"/>
      <c r="E1925" s="9"/>
      <c r="F1925" s="67"/>
      <c r="G1925" s="9"/>
      <c r="H1925" s="9"/>
      <c r="I1925" s="9"/>
      <c r="J1925" s="9"/>
      <c r="K1925" s="9"/>
      <c r="L1925" s="9"/>
      <c r="M1925" s="9"/>
      <c r="N1925" s="9"/>
      <c r="O1925" s="9"/>
      <c r="P1925" s="9"/>
      <c r="Q1925" s="9"/>
      <c r="R1925" s="9"/>
      <c r="S1925" s="9"/>
      <c r="T1925" s="9"/>
      <c r="U1925" s="9"/>
      <c r="V1925" s="9"/>
      <c r="W1925" s="9"/>
      <c r="X1925" s="9"/>
      <c r="Y1925" s="9"/>
      <c r="Z1925" s="9"/>
      <c r="AA1925" s="9"/>
      <c r="AB1925" s="9"/>
      <c r="AC1925" s="9"/>
      <c r="AD1925" s="9"/>
      <c r="AE1925" s="9"/>
      <c r="AF1925" s="9"/>
      <c r="AG1925" s="9"/>
      <c r="AH1925" s="9"/>
      <c r="AI1925" s="9"/>
      <c r="AJ1925" s="9"/>
      <c r="AK1925" s="9"/>
      <c r="AL1925" s="9"/>
      <c r="AM1925" s="9"/>
      <c r="AN1925" s="9"/>
      <c r="AO1925" s="9"/>
      <c r="AP1925" s="9"/>
      <c r="AQ1925" s="9"/>
      <c r="AR1925" s="9"/>
      <c r="AS1925" s="9"/>
      <c r="AT1925" s="9"/>
      <c r="AU1925" s="9"/>
    </row>
    <row r="1926" spans="1:47" ht="15.75" customHeight="1">
      <c r="A1926" s="9"/>
      <c r="B1926" s="9"/>
      <c r="C1926" s="9"/>
      <c r="D1926" s="9"/>
      <c r="E1926" s="9"/>
      <c r="F1926" s="67"/>
      <c r="G1926" s="9"/>
      <c r="H1926" s="9"/>
      <c r="I1926" s="9"/>
      <c r="J1926" s="9"/>
      <c r="K1926" s="9"/>
      <c r="L1926" s="9"/>
      <c r="M1926" s="9"/>
      <c r="N1926" s="9"/>
      <c r="O1926" s="9"/>
      <c r="P1926" s="9"/>
      <c r="Q1926" s="9"/>
      <c r="R1926" s="9"/>
      <c r="S1926" s="9"/>
      <c r="T1926" s="9"/>
      <c r="U1926" s="9"/>
      <c r="V1926" s="9"/>
      <c r="W1926" s="9"/>
      <c r="X1926" s="9"/>
      <c r="Y1926" s="9"/>
      <c r="Z1926" s="9"/>
      <c r="AA1926" s="9"/>
      <c r="AB1926" s="9"/>
      <c r="AC1926" s="9"/>
      <c r="AD1926" s="9"/>
      <c r="AE1926" s="9"/>
      <c r="AF1926" s="9"/>
      <c r="AG1926" s="9"/>
      <c r="AH1926" s="9"/>
      <c r="AI1926" s="9"/>
      <c r="AJ1926" s="9"/>
      <c r="AK1926" s="9"/>
      <c r="AL1926" s="9"/>
      <c r="AM1926" s="9"/>
      <c r="AN1926" s="9"/>
      <c r="AO1926" s="9"/>
      <c r="AP1926" s="9"/>
      <c r="AQ1926" s="9"/>
      <c r="AR1926" s="9"/>
      <c r="AS1926" s="9"/>
      <c r="AT1926" s="9"/>
      <c r="AU1926" s="9"/>
    </row>
    <row r="1927" spans="1:47" ht="15.75" customHeight="1">
      <c r="A1927" s="9"/>
      <c r="B1927" s="9"/>
      <c r="C1927" s="9"/>
      <c r="D1927" s="9"/>
      <c r="E1927" s="9"/>
      <c r="F1927" s="67"/>
      <c r="G1927" s="9"/>
      <c r="H1927" s="9"/>
      <c r="I1927" s="9"/>
      <c r="J1927" s="9"/>
      <c r="K1927" s="9"/>
      <c r="L1927" s="9"/>
      <c r="M1927" s="9"/>
      <c r="N1927" s="9"/>
      <c r="O1927" s="9"/>
      <c r="P1927" s="9"/>
      <c r="Q1927" s="9"/>
      <c r="R1927" s="9"/>
      <c r="S1927" s="9"/>
      <c r="T1927" s="9"/>
      <c r="U1927" s="9"/>
      <c r="V1927" s="9"/>
      <c r="W1927" s="9"/>
      <c r="X1927" s="9"/>
      <c r="Y1927" s="9"/>
      <c r="Z1927" s="9"/>
      <c r="AA1927" s="9"/>
      <c r="AB1927" s="9"/>
      <c r="AC1927" s="9"/>
      <c r="AD1927" s="9"/>
      <c r="AE1927" s="9"/>
      <c r="AF1927" s="9"/>
      <c r="AG1927" s="9"/>
      <c r="AH1927" s="9"/>
      <c r="AI1927" s="9"/>
      <c r="AJ1927" s="9"/>
      <c r="AK1927" s="9"/>
      <c r="AL1927" s="9"/>
      <c r="AM1927" s="9"/>
      <c r="AN1927" s="9"/>
      <c r="AO1927" s="9"/>
      <c r="AP1927" s="9"/>
      <c r="AQ1927" s="9"/>
      <c r="AR1927" s="9"/>
      <c r="AS1927" s="9"/>
      <c r="AT1927" s="9"/>
      <c r="AU1927" s="9"/>
    </row>
    <row r="1928" spans="1:47" ht="15.75" customHeight="1">
      <c r="A1928" s="9"/>
      <c r="B1928" s="9"/>
      <c r="C1928" s="9"/>
      <c r="D1928" s="9"/>
      <c r="E1928" s="9"/>
      <c r="F1928" s="67"/>
      <c r="G1928" s="9"/>
      <c r="H1928" s="9"/>
      <c r="I1928" s="9"/>
      <c r="J1928" s="9"/>
      <c r="K1928" s="9"/>
      <c r="L1928" s="9"/>
      <c r="M1928" s="9"/>
      <c r="N1928" s="9"/>
      <c r="O1928" s="9"/>
      <c r="P1928" s="9"/>
      <c r="Q1928" s="9"/>
      <c r="R1928" s="9"/>
      <c r="S1928" s="9"/>
      <c r="T1928" s="9"/>
      <c r="U1928" s="9"/>
      <c r="V1928" s="9"/>
      <c r="W1928" s="9"/>
      <c r="X1928" s="9"/>
      <c r="Y1928" s="9"/>
      <c r="Z1928" s="9"/>
      <c r="AA1928" s="9"/>
      <c r="AB1928" s="9"/>
      <c r="AC1928" s="9"/>
      <c r="AD1928" s="9"/>
      <c r="AE1928" s="9"/>
      <c r="AF1928" s="9"/>
      <c r="AG1928" s="9"/>
      <c r="AH1928" s="9"/>
      <c r="AI1928" s="9"/>
      <c r="AJ1928" s="9"/>
      <c r="AK1928" s="9"/>
      <c r="AL1928" s="9"/>
      <c r="AM1928" s="9"/>
      <c r="AN1928" s="9"/>
      <c r="AO1928" s="9"/>
      <c r="AP1928" s="9"/>
      <c r="AQ1928" s="9"/>
      <c r="AR1928" s="9"/>
      <c r="AS1928" s="9"/>
      <c r="AT1928" s="9"/>
      <c r="AU1928" s="9"/>
    </row>
    <row r="1929" spans="1:47" ht="15.75" customHeight="1">
      <c r="A1929" s="9"/>
      <c r="B1929" s="9"/>
      <c r="C1929" s="9"/>
      <c r="D1929" s="9"/>
      <c r="E1929" s="9"/>
      <c r="F1929" s="67"/>
      <c r="G1929" s="9"/>
      <c r="H1929" s="9"/>
      <c r="I1929" s="9"/>
      <c r="J1929" s="9"/>
      <c r="K1929" s="9"/>
      <c r="L1929" s="9"/>
      <c r="M1929" s="9"/>
      <c r="N1929" s="9"/>
      <c r="O1929" s="9"/>
      <c r="P1929" s="9"/>
      <c r="Q1929" s="9"/>
      <c r="R1929" s="9"/>
      <c r="S1929" s="9"/>
      <c r="T1929" s="9"/>
      <c r="U1929" s="9"/>
      <c r="V1929" s="9"/>
      <c r="W1929" s="9"/>
      <c r="X1929" s="9"/>
      <c r="Y1929" s="9"/>
      <c r="Z1929" s="9"/>
      <c r="AA1929" s="9"/>
      <c r="AB1929" s="9"/>
      <c r="AC1929" s="9"/>
      <c r="AD1929" s="9"/>
      <c r="AE1929" s="9"/>
      <c r="AF1929" s="9"/>
      <c r="AG1929" s="9"/>
      <c r="AH1929" s="9"/>
      <c r="AI1929" s="9"/>
      <c r="AJ1929" s="9"/>
      <c r="AK1929" s="9"/>
      <c r="AL1929" s="9"/>
      <c r="AM1929" s="9"/>
      <c r="AN1929" s="9"/>
      <c r="AO1929" s="9"/>
      <c r="AP1929" s="9"/>
      <c r="AQ1929" s="9"/>
      <c r="AR1929" s="9"/>
      <c r="AS1929" s="9"/>
      <c r="AT1929" s="9"/>
      <c r="AU1929" s="9"/>
    </row>
    <row r="1930" spans="1:47" ht="15.75" customHeight="1">
      <c r="A1930" s="9"/>
      <c r="B1930" s="9"/>
      <c r="C1930" s="9"/>
      <c r="D1930" s="9"/>
      <c r="E1930" s="9"/>
      <c r="F1930" s="67"/>
      <c r="G1930" s="9"/>
      <c r="H1930" s="9"/>
      <c r="I1930" s="9"/>
      <c r="J1930" s="9"/>
      <c r="K1930" s="9"/>
      <c r="L1930" s="9"/>
      <c r="M1930" s="9"/>
      <c r="N1930" s="9"/>
      <c r="O1930" s="9"/>
      <c r="P1930" s="9"/>
      <c r="Q1930" s="9"/>
      <c r="R1930" s="9"/>
      <c r="S1930" s="9"/>
      <c r="T1930" s="9"/>
      <c r="U1930" s="9"/>
      <c r="V1930" s="9"/>
      <c r="W1930" s="9"/>
      <c r="X1930" s="9"/>
      <c r="Y1930" s="9"/>
      <c r="Z1930" s="9"/>
      <c r="AA1930" s="9"/>
      <c r="AB1930" s="9"/>
      <c r="AC1930" s="9"/>
      <c r="AD1930" s="9"/>
      <c r="AE1930" s="9"/>
      <c r="AF1930" s="9"/>
      <c r="AG1930" s="9"/>
      <c r="AH1930" s="9"/>
      <c r="AI1930" s="9"/>
      <c r="AJ1930" s="9"/>
      <c r="AK1930" s="9"/>
      <c r="AL1930" s="9"/>
      <c r="AM1930" s="9"/>
      <c r="AN1930" s="9"/>
      <c r="AO1930" s="9"/>
      <c r="AP1930" s="9"/>
      <c r="AQ1930" s="9"/>
      <c r="AR1930" s="9"/>
      <c r="AS1930" s="9"/>
      <c r="AT1930" s="9"/>
      <c r="AU1930" s="9"/>
    </row>
    <row r="1931" spans="1:47" ht="15.75" customHeight="1">
      <c r="A1931" s="9"/>
      <c r="B1931" s="9"/>
      <c r="C1931" s="9"/>
      <c r="D1931" s="9"/>
      <c r="E1931" s="9"/>
      <c r="F1931" s="67"/>
      <c r="G1931" s="9"/>
      <c r="H1931" s="9"/>
      <c r="I1931" s="9"/>
      <c r="J1931" s="9"/>
      <c r="K1931" s="9"/>
      <c r="L1931" s="9"/>
      <c r="M1931" s="9"/>
      <c r="N1931" s="9"/>
      <c r="O1931" s="9"/>
      <c r="P1931" s="9"/>
      <c r="Q1931" s="9"/>
      <c r="R1931" s="9"/>
      <c r="S1931" s="9"/>
      <c r="T1931" s="9"/>
      <c r="U1931" s="9"/>
      <c r="V1931" s="9"/>
      <c r="W1931" s="9"/>
      <c r="X1931" s="9"/>
      <c r="Y1931" s="9"/>
      <c r="Z1931" s="9"/>
      <c r="AA1931" s="9"/>
      <c r="AB1931" s="9"/>
      <c r="AC1931" s="9"/>
      <c r="AD1931" s="9"/>
      <c r="AE1931" s="9"/>
      <c r="AF1931" s="9"/>
      <c r="AG1931" s="9"/>
      <c r="AH1931" s="9"/>
      <c r="AI1931" s="9"/>
      <c r="AJ1931" s="9"/>
      <c r="AK1931" s="9"/>
      <c r="AL1931" s="9"/>
      <c r="AM1931" s="9"/>
      <c r="AN1931" s="9"/>
      <c r="AO1931" s="9"/>
      <c r="AP1931" s="9"/>
      <c r="AQ1931" s="9"/>
      <c r="AR1931" s="9"/>
      <c r="AS1931" s="9"/>
      <c r="AT1931" s="9"/>
      <c r="AU1931" s="9"/>
    </row>
    <row r="1932" spans="1:47" ht="15.75" customHeight="1">
      <c r="A1932" s="9"/>
      <c r="B1932" s="9"/>
      <c r="C1932" s="9"/>
      <c r="D1932" s="9"/>
      <c r="E1932" s="9"/>
      <c r="F1932" s="67"/>
      <c r="G1932" s="9"/>
      <c r="H1932" s="9"/>
      <c r="I1932" s="9"/>
      <c r="J1932" s="9"/>
      <c r="K1932" s="9"/>
      <c r="L1932" s="9"/>
      <c r="M1932" s="9"/>
      <c r="N1932" s="9"/>
      <c r="O1932" s="9"/>
      <c r="P1932" s="9"/>
      <c r="Q1932" s="9"/>
      <c r="R1932" s="9"/>
      <c r="S1932" s="9"/>
      <c r="T1932" s="9"/>
      <c r="U1932" s="9"/>
      <c r="V1932" s="9"/>
      <c r="W1932" s="9"/>
      <c r="X1932" s="9"/>
      <c r="Y1932" s="9"/>
      <c r="Z1932" s="9"/>
      <c r="AA1932" s="9"/>
      <c r="AB1932" s="9"/>
      <c r="AC1932" s="9"/>
      <c r="AD1932" s="9"/>
      <c r="AE1932" s="9"/>
      <c r="AF1932" s="9"/>
      <c r="AG1932" s="9"/>
      <c r="AH1932" s="9"/>
      <c r="AI1932" s="9"/>
      <c r="AJ1932" s="9"/>
      <c r="AK1932" s="9"/>
      <c r="AL1932" s="9"/>
      <c r="AM1932" s="9"/>
      <c r="AN1932" s="9"/>
      <c r="AO1932" s="9"/>
      <c r="AP1932" s="9"/>
      <c r="AQ1932" s="9"/>
      <c r="AR1932" s="9"/>
      <c r="AS1932" s="9"/>
      <c r="AT1932" s="9"/>
      <c r="AU1932" s="9"/>
    </row>
    <row r="1933" spans="1:47" ht="15.75" customHeight="1">
      <c r="A1933" s="9"/>
      <c r="B1933" s="9"/>
      <c r="C1933" s="9"/>
      <c r="D1933" s="9"/>
      <c r="E1933" s="9"/>
      <c r="F1933" s="67"/>
      <c r="G1933" s="9"/>
      <c r="H1933" s="9"/>
      <c r="I1933" s="9"/>
      <c r="J1933" s="9"/>
      <c r="K1933" s="9"/>
      <c r="L1933" s="9"/>
      <c r="M1933" s="9"/>
      <c r="N1933" s="9"/>
      <c r="O1933" s="9"/>
      <c r="P1933" s="9"/>
      <c r="Q1933" s="9"/>
      <c r="R1933" s="9"/>
      <c r="S1933" s="9"/>
      <c r="T1933" s="9"/>
      <c r="U1933" s="9"/>
      <c r="V1933" s="9"/>
      <c r="W1933" s="9"/>
      <c r="X1933" s="9"/>
      <c r="Y1933" s="9"/>
      <c r="Z1933" s="9"/>
      <c r="AA1933" s="9"/>
      <c r="AB1933" s="9"/>
      <c r="AC1933" s="9"/>
      <c r="AD1933" s="9"/>
      <c r="AE1933" s="9"/>
      <c r="AF1933" s="9"/>
      <c r="AG1933" s="9"/>
      <c r="AH1933" s="9"/>
      <c r="AI1933" s="9"/>
      <c r="AJ1933" s="9"/>
      <c r="AK1933" s="9"/>
      <c r="AL1933" s="9"/>
      <c r="AM1933" s="9"/>
      <c r="AN1933" s="9"/>
      <c r="AO1933" s="9"/>
      <c r="AP1933" s="9"/>
      <c r="AQ1933" s="9"/>
      <c r="AR1933" s="9"/>
      <c r="AS1933" s="9"/>
      <c r="AT1933" s="9"/>
      <c r="AU1933" s="9"/>
    </row>
    <row r="1934" spans="1:47" ht="15.75" customHeight="1">
      <c r="A1934" s="9"/>
      <c r="B1934" s="9"/>
      <c r="C1934" s="9"/>
      <c r="D1934" s="9"/>
      <c r="E1934" s="9"/>
      <c r="F1934" s="67"/>
      <c r="G1934" s="9"/>
      <c r="H1934" s="9"/>
      <c r="I1934" s="9"/>
      <c r="J1934" s="9"/>
      <c r="K1934" s="9"/>
      <c r="L1934" s="9"/>
      <c r="M1934" s="9"/>
      <c r="N1934" s="9"/>
      <c r="O1934" s="9"/>
      <c r="P1934" s="9"/>
      <c r="Q1934" s="9"/>
      <c r="R1934" s="9"/>
      <c r="S1934" s="9"/>
      <c r="T1934" s="9"/>
      <c r="U1934" s="9"/>
      <c r="V1934" s="9"/>
      <c r="W1934" s="9"/>
      <c r="X1934" s="9"/>
      <c r="Y1934" s="9"/>
      <c r="Z1934" s="9"/>
      <c r="AA1934" s="9"/>
      <c r="AB1934" s="9"/>
      <c r="AC1934" s="9"/>
      <c r="AD1934" s="9"/>
      <c r="AE1934" s="9"/>
      <c r="AF1934" s="9"/>
      <c r="AG1934" s="9"/>
      <c r="AH1934" s="9"/>
      <c r="AI1934" s="9"/>
      <c r="AJ1934" s="9"/>
      <c r="AK1934" s="9"/>
      <c r="AL1934" s="9"/>
      <c r="AM1934" s="9"/>
      <c r="AN1934" s="9"/>
      <c r="AO1934" s="9"/>
      <c r="AP1934" s="9"/>
      <c r="AQ1934" s="9"/>
      <c r="AR1934" s="9"/>
      <c r="AS1934" s="9"/>
      <c r="AT1934" s="9"/>
      <c r="AU1934" s="9"/>
    </row>
    <row r="1935" spans="1:47" ht="15.75" customHeight="1">
      <c r="A1935" s="9"/>
      <c r="B1935" s="9"/>
      <c r="C1935" s="9"/>
      <c r="D1935" s="9"/>
      <c r="E1935" s="9"/>
      <c r="F1935" s="67"/>
      <c r="G1935" s="9"/>
      <c r="H1935" s="9"/>
      <c r="I1935" s="9"/>
      <c r="J1935" s="9"/>
      <c r="K1935" s="9"/>
      <c r="L1935" s="9"/>
      <c r="M1935" s="9"/>
      <c r="N1935" s="9"/>
      <c r="O1935" s="9"/>
      <c r="P1935" s="9"/>
      <c r="Q1935" s="9"/>
      <c r="R1935" s="9"/>
      <c r="S1935" s="9"/>
      <c r="T1935" s="9"/>
      <c r="U1935" s="9"/>
      <c r="V1935" s="9"/>
      <c r="W1935" s="9"/>
      <c r="X1935" s="9"/>
      <c r="Y1935" s="9"/>
      <c r="Z1935" s="9"/>
      <c r="AA1935" s="9"/>
      <c r="AB1935" s="9"/>
      <c r="AC1935" s="9"/>
      <c r="AD1935" s="9"/>
      <c r="AE1935" s="9"/>
      <c r="AF1935" s="9"/>
      <c r="AG1935" s="9"/>
      <c r="AH1935" s="9"/>
      <c r="AI1935" s="9"/>
      <c r="AJ1935" s="9"/>
      <c r="AK1935" s="9"/>
      <c r="AL1935" s="9"/>
      <c r="AM1935" s="9"/>
      <c r="AN1935" s="9"/>
      <c r="AO1935" s="9"/>
      <c r="AP1935" s="9"/>
      <c r="AQ1935" s="9"/>
      <c r="AR1935" s="9"/>
      <c r="AS1935" s="9"/>
      <c r="AT1935" s="9"/>
      <c r="AU1935" s="9"/>
    </row>
    <row r="1936" spans="1:47" ht="15.75" customHeight="1">
      <c r="A1936" s="9"/>
      <c r="B1936" s="9"/>
      <c r="C1936" s="9"/>
      <c r="D1936" s="9"/>
      <c r="E1936" s="9"/>
      <c r="F1936" s="67"/>
      <c r="G1936" s="9"/>
      <c r="H1936" s="9"/>
      <c r="I1936" s="9"/>
      <c r="J1936" s="9"/>
      <c r="K1936" s="9"/>
      <c r="L1936" s="9"/>
      <c r="M1936" s="9"/>
      <c r="N1936" s="9"/>
      <c r="O1936" s="9"/>
      <c r="P1936" s="9"/>
      <c r="Q1936" s="9"/>
      <c r="R1936" s="9"/>
      <c r="S1936" s="9"/>
      <c r="T1936" s="9"/>
      <c r="U1936" s="9"/>
      <c r="V1936" s="9"/>
      <c r="W1936" s="9"/>
      <c r="X1936" s="9"/>
      <c r="Y1936" s="9"/>
      <c r="Z1936" s="9"/>
      <c r="AA1936" s="9"/>
      <c r="AB1936" s="9"/>
      <c r="AC1936" s="9"/>
      <c r="AD1936" s="9"/>
      <c r="AE1936" s="9"/>
      <c r="AF1936" s="9"/>
      <c r="AG1936" s="9"/>
      <c r="AH1936" s="9"/>
      <c r="AI1936" s="9"/>
      <c r="AJ1936" s="9"/>
      <c r="AK1936" s="9"/>
      <c r="AL1936" s="9"/>
      <c r="AM1936" s="9"/>
      <c r="AN1936" s="9"/>
      <c r="AO1936" s="9"/>
      <c r="AP1936" s="9"/>
      <c r="AQ1936" s="9"/>
      <c r="AR1936" s="9"/>
      <c r="AS1936" s="9"/>
      <c r="AT1936" s="9"/>
      <c r="AU1936" s="9"/>
    </row>
    <row r="1937" spans="1:47" ht="15.75" customHeight="1">
      <c r="A1937" s="9"/>
      <c r="B1937" s="9"/>
      <c r="C1937" s="9"/>
      <c r="D1937" s="9"/>
      <c r="E1937" s="9"/>
      <c r="F1937" s="67"/>
      <c r="G1937" s="9"/>
      <c r="H1937" s="9"/>
      <c r="I1937" s="9"/>
      <c r="J1937" s="9"/>
      <c r="K1937" s="9"/>
      <c r="L1937" s="9"/>
      <c r="M1937" s="9"/>
      <c r="N1937" s="9"/>
      <c r="O1937" s="9"/>
      <c r="P1937" s="9"/>
      <c r="Q1937" s="9"/>
      <c r="R1937" s="9"/>
      <c r="S1937" s="9"/>
      <c r="T1937" s="9"/>
      <c r="U1937" s="9"/>
      <c r="V1937" s="9"/>
      <c r="W1937" s="9"/>
      <c r="X1937" s="9"/>
      <c r="Y1937" s="9"/>
      <c r="Z1937" s="9"/>
      <c r="AA1937" s="9"/>
      <c r="AB1937" s="9"/>
      <c r="AC1937" s="9"/>
      <c r="AD1937" s="9"/>
      <c r="AE1937" s="9"/>
      <c r="AF1937" s="9"/>
      <c r="AG1937" s="9"/>
      <c r="AH1937" s="9"/>
      <c r="AI1937" s="9"/>
      <c r="AJ1937" s="9"/>
      <c r="AK1937" s="9"/>
      <c r="AL1937" s="9"/>
      <c r="AM1937" s="9"/>
      <c r="AN1937" s="9"/>
      <c r="AO1937" s="9"/>
      <c r="AP1937" s="9"/>
      <c r="AQ1937" s="9"/>
      <c r="AR1937" s="9"/>
      <c r="AS1937" s="9"/>
      <c r="AT1937" s="9"/>
      <c r="AU1937" s="9"/>
    </row>
    <row r="1938" spans="1:47" ht="15.75" customHeight="1">
      <c r="A1938" s="9"/>
      <c r="B1938" s="9"/>
      <c r="C1938" s="9"/>
      <c r="D1938" s="9"/>
      <c r="E1938" s="9"/>
      <c r="F1938" s="67"/>
      <c r="G1938" s="9"/>
      <c r="H1938" s="9"/>
      <c r="I1938" s="9"/>
      <c r="J1938" s="9"/>
      <c r="K1938" s="9"/>
      <c r="L1938" s="9"/>
      <c r="M1938" s="9"/>
      <c r="N1938" s="9"/>
      <c r="O1938" s="9"/>
      <c r="P1938" s="9"/>
      <c r="Q1938" s="9"/>
      <c r="R1938" s="9"/>
      <c r="S1938" s="9"/>
      <c r="T1938" s="9"/>
      <c r="U1938" s="9"/>
      <c r="V1938" s="9"/>
      <c r="W1938" s="9"/>
      <c r="X1938" s="9"/>
      <c r="Y1938" s="9"/>
      <c r="Z1938" s="9"/>
      <c r="AA1938" s="9"/>
      <c r="AB1938" s="9"/>
      <c r="AC1938" s="9"/>
      <c r="AD1938" s="9"/>
      <c r="AE1938" s="9"/>
      <c r="AF1938" s="9"/>
      <c r="AG1938" s="9"/>
      <c r="AH1938" s="9"/>
      <c r="AI1938" s="9"/>
      <c r="AJ1938" s="9"/>
      <c r="AK1938" s="9"/>
      <c r="AL1938" s="9"/>
      <c r="AM1938" s="9"/>
      <c r="AN1938" s="9"/>
      <c r="AO1938" s="9"/>
      <c r="AP1938" s="9"/>
      <c r="AQ1938" s="9"/>
      <c r="AR1938" s="9"/>
      <c r="AS1938" s="9"/>
      <c r="AT1938" s="9"/>
      <c r="AU1938" s="9"/>
    </row>
    <row r="1939" spans="1:47" ht="15.75" customHeight="1">
      <c r="A1939" s="9"/>
      <c r="B1939" s="9"/>
      <c r="C1939" s="9"/>
      <c r="D1939" s="9"/>
      <c r="E1939" s="9"/>
      <c r="F1939" s="67"/>
      <c r="G1939" s="9"/>
      <c r="H1939" s="9"/>
      <c r="I1939" s="9"/>
      <c r="J1939" s="9"/>
      <c r="K1939" s="9"/>
      <c r="L1939" s="9"/>
      <c r="M1939" s="9"/>
      <c r="N1939" s="9"/>
      <c r="O1939" s="9"/>
      <c r="P1939" s="9"/>
      <c r="Q1939" s="9"/>
      <c r="R1939" s="9"/>
      <c r="S1939" s="9"/>
      <c r="T1939" s="9"/>
      <c r="U1939" s="9"/>
      <c r="V1939" s="9"/>
      <c r="W1939" s="9"/>
      <c r="X1939" s="9"/>
      <c r="Y1939" s="9"/>
      <c r="Z1939" s="9"/>
      <c r="AA1939" s="9"/>
      <c r="AB1939" s="9"/>
      <c r="AC1939" s="9"/>
      <c r="AD1939" s="9"/>
      <c r="AE1939" s="9"/>
      <c r="AF1939" s="9"/>
      <c r="AG1939" s="9"/>
      <c r="AH1939" s="9"/>
      <c r="AI1939" s="9"/>
      <c r="AJ1939" s="9"/>
      <c r="AK1939" s="9"/>
      <c r="AL1939" s="9"/>
      <c r="AM1939" s="9"/>
      <c r="AN1939" s="9"/>
      <c r="AO1939" s="9"/>
      <c r="AP1939" s="9"/>
      <c r="AQ1939" s="9"/>
      <c r="AR1939" s="9"/>
      <c r="AS1939" s="9"/>
      <c r="AT1939" s="9"/>
      <c r="AU1939" s="9"/>
    </row>
    <row r="1940" spans="1:47" ht="15.75" customHeight="1">
      <c r="A1940" s="9"/>
      <c r="B1940" s="9"/>
      <c r="C1940" s="9"/>
      <c r="D1940" s="9"/>
      <c r="E1940" s="9"/>
      <c r="F1940" s="67"/>
      <c r="G1940" s="9"/>
      <c r="H1940" s="9"/>
      <c r="I1940" s="9"/>
      <c r="J1940" s="9"/>
      <c r="K1940" s="9"/>
      <c r="L1940" s="9"/>
      <c r="M1940" s="9"/>
      <c r="N1940" s="9"/>
      <c r="O1940" s="9"/>
      <c r="P1940" s="9"/>
      <c r="Q1940" s="9"/>
      <c r="R1940" s="9"/>
      <c r="S1940" s="9"/>
      <c r="T1940" s="9"/>
      <c r="U1940" s="9"/>
      <c r="V1940" s="9"/>
      <c r="W1940" s="9"/>
      <c r="X1940" s="9"/>
      <c r="Y1940" s="9"/>
      <c r="Z1940" s="9"/>
      <c r="AA1940" s="9"/>
      <c r="AB1940" s="9"/>
      <c r="AC1940" s="9"/>
      <c r="AD1940" s="9"/>
      <c r="AE1940" s="9"/>
      <c r="AF1940" s="9"/>
      <c r="AG1940" s="9"/>
      <c r="AH1940" s="9"/>
      <c r="AI1940" s="9"/>
      <c r="AJ1940" s="9"/>
      <c r="AK1940" s="9"/>
      <c r="AL1940" s="9"/>
      <c r="AM1940" s="9"/>
      <c r="AN1940" s="9"/>
      <c r="AO1940" s="9"/>
      <c r="AP1940" s="9"/>
      <c r="AQ1940" s="9"/>
      <c r="AR1940" s="9"/>
      <c r="AS1940" s="9"/>
      <c r="AT1940" s="9"/>
      <c r="AU1940" s="9"/>
    </row>
    <row r="1941" spans="1:47" ht="15.75" customHeight="1">
      <c r="A1941" s="9"/>
      <c r="B1941" s="9"/>
      <c r="C1941" s="9"/>
      <c r="D1941" s="9"/>
      <c r="E1941" s="9"/>
      <c r="F1941" s="67"/>
      <c r="G1941" s="9"/>
      <c r="H1941" s="9"/>
      <c r="I1941" s="9"/>
      <c r="J1941" s="9"/>
      <c r="K1941" s="9"/>
      <c r="L1941" s="9"/>
      <c r="M1941" s="9"/>
      <c r="N1941" s="9"/>
      <c r="O1941" s="9"/>
      <c r="P1941" s="9"/>
      <c r="Q1941" s="9"/>
      <c r="R1941" s="9"/>
      <c r="S1941" s="9"/>
      <c r="T1941" s="9"/>
      <c r="U1941" s="9"/>
      <c r="V1941" s="9"/>
      <c r="W1941" s="9"/>
      <c r="X1941" s="9"/>
      <c r="Y1941" s="9"/>
      <c r="Z1941" s="9"/>
      <c r="AA1941" s="9"/>
      <c r="AB1941" s="9"/>
      <c r="AC1941" s="9"/>
      <c r="AD1941" s="9"/>
      <c r="AE1941" s="9"/>
      <c r="AF1941" s="9"/>
      <c r="AG1941" s="9"/>
      <c r="AH1941" s="9"/>
      <c r="AI1941" s="9"/>
      <c r="AJ1941" s="9"/>
      <c r="AK1941" s="9"/>
      <c r="AL1941" s="9"/>
      <c r="AM1941" s="9"/>
      <c r="AN1941" s="9"/>
      <c r="AO1941" s="9"/>
      <c r="AP1941" s="9"/>
      <c r="AQ1941" s="9"/>
      <c r="AR1941" s="9"/>
      <c r="AS1941" s="9"/>
      <c r="AT1941" s="9"/>
      <c r="AU1941" s="9"/>
    </row>
    <row r="1942" spans="1:47" ht="15.75" customHeight="1">
      <c r="A1942" s="9"/>
      <c r="B1942" s="9"/>
      <c r="C1942" s="9"/>
      <c r="D1942" s="9"/>
      <c r="E1942" s="9"/>
      <c r="F1942" s="67"/>
      <c r="G1942" s="9"/>
      <c r="H1942" s="9"/>
      <c r="I1942" s="9"/>
      <c r="J1942" s="9"/>
      <c r="K1942" s="9"/>
      <c r="L1942" s="9"/>
      <c r="M1942" s="9"/>
      <c r="N1942" s="9"/>
      <c r="O1942" s="9"/>
      <c r="P1942" s="9"/>
      <c r="Q1942" s="9"/>
      <c r="R1942" s="9"/>
      <c r="S1942" s="9"/>
      <c r="T1942" s="9"/>
      <c r="U1942" s="9"/>
      <c r="V1942" s="9"/>
      <c r="W1942" s="9"/>
      <c r="X1942" s="9"/>
      <c r="Y1942" s="9"/>
      <c r="Z1942" s="9"/>
      <c r="AA1942" s="9"/>
      <c r="AB1942" s="9"/>
      <c r="AC1942" s="9"/>
      <c r="AD1942" s="9"/>
      <c r="AE1942" s="9"/>
      <c r="AF1942" s="9"/>
      <c r="AG1942" s="9"/>
      <c r="AH1942" s="9"/>
      <c r="AI1942" s="9"/>
      <c r="AJ1942" s="9"/>
      <c r="AK1942" s="9"/>
      <c r="AL1942" s="9"/>
      <c r="AM1942" s="9"/>
      <c r="AN1942" s="9"/>
      <c r="AO1942" s="9"/>
      <c r="AP1942" s="9"/>
      <c r="AQ1942" s="9"/>
      <c r="AR1942" s="9"/>
      <c r="AS1942" s="9"/>
      <c r="AT1942" s="9"/>
      <c r="AU1942" s="9"/>
    </row>
    <row r="1943" spans="1:47" ht="15.75" customHeight="1">
      <c r="A1943" s="9"/>
      <c r="B1943" s="9"/>
      <c r="C1943" s="9"/>
      <c r="D1943" s="9"/>
      <c r="E1943" s="9"/>
      <c r="F1943" s="67"/>
      <c r="G1943" s="9"/>
      <c r="H1943" s="9"/>
      <c r="I1943" s="9"/>
      <c r="J1943" s="9"/>
      <c r="K1943" s="9"/>
      <c r="L1943" s="9"/>
      <c r="M1943" s="9"/>
      <c r="N1943" s="9"/>
      <c r="O1943" s="9"/>
      <c r="P1943" s="9"/>
      <c r="Q1943" s="9"/>
      <c r="R1943" s="9"/>
      <c r="S1943" s="9"/>
      <c r="T1943" s="9"/>
      <c r="U1943" s="9"/>
      <c r="V1943" s="9"/>
      <c r="W1943" s="9"/>
      <c r="X1943" s="9"/>
      <c r="Y1943" s="9"/>
      <c r="Z1943" s="9"/>
      <c r="AA1943" s="9"/>
      <c r="AB1943" s="9"/>
      <c r="AC1943" s="9"/>
      <c r="AD1943" s="9"/>
      <c r="AE1943" s="9"/>
      <c r="AF1943" s="9"/>
      <c r="AG1943" s="9"/>
      <c r="AH1943" s="9"/>
      <c r="AI1943" s="9"/>
      <c r="AJ1943" s="9"/>
      <c r="AK1943" s="9"/>
      <c r="AL1943" s="9"/>
      <c r="AM1943" s="9"/>
      <c r="AN1943" s="9"/>
      <c r="AO1943" s="9"/>
      <c r="AP1943" s="9"/>
      <c r="AQ1943" s="9"/>
      <c r="AR1943" s="9"/>
      <c r="AS1943" s="9"/>
      <c r="AT1943" s="9"/>
      <c r="AU1943" s="9"/>
    </row>
    <row r="1944" spans="1:47" ht="15.75" customHeight="1">
      <c r="A1944" s="9"/>
      <c r="B1944" s="9"/>
      <c r="C1944" s="9"/>
      <c r="D1944" s="9"/>
      <c r="E1944" s="9"/>
      <c r="F1944" s="67"/>
      <c r="G1944" s="9"/>
      <c r="H1944" s="9"/>
      <c r="I1944" s="9"/>
      <c r="J1944" s="9"/>
      <c r="K1944" s="9"/>
      <c r="L1944" s="9"/>
      <c r="M1944" s="9"/>
      <c r="N1944" s="9"/>
      <c r="O1944" s="9"/>
      <c r="P1944" s="9"/>
      <c r="Q1944" s="9"/>
      <c r="R1944" s="9"/>
      <c r="S1944" s="9"/>
      <c r="T1944" s="9"/>
      <c r="U1944" s="9"/>
      <c r="V1944" s="9"/>
      <c r="W1944" s="9"/>
      <c r="X1944" s="9"/>
      <c r="Y1944" s="9"/>
      <c r="Z1944" s="9"/>
      <c r="AA1944" s="9"/>
      <c r="AB1944" s="9"/>
      <c r="AC1944" s="9"/>
      <c r="AD1944" s="9"/>
      <c r="AE1944" s="9"/>
      <c r="AF1944" s="9"/>
      <c r="AG1944" s="9"/>
      <c r="AH1944" s="9"/>
      <c r="AI1944" s="9"/>
      <c r="AJ1944" s="9"/>
      <c r="AK1944" s="9"/>
      <c r="AL1944" s="9"/>
      <c r="AM1944" s="9"/>
      <c r="AN1944" s="9"/>
      <c r="AO1944" s="9"/>
      <c r="AP1944" s="9"/>
      <c r="AQ1944" s="9"/>
      <c r="AR1944" s="9"/>
      <c r="AS1944" s="9"/>
      <c r="AT1944" s="9"/>
      <c r="AU1944" s="9"/>
    </row>
    <row r="1945" spans="1:47" ht="15.75" customHeight="1">
      <c r="A1945" s="9"/>
      <c r="B1945" s="9"/>
      <c r="C1945" s="9"/>
      <c r="D1945" s="9"/>
      <c r="E1945" s="9"/>
      <c r="F1945" s="67"/>
      <c r="G1945" s="9"/>
      <c r="H1945" s="9"/>
      <c r="I1945" s="9"/>
      <c r="J1945" s="9"/>
      <c r="K1945" s="9"/>
      <c r="L1945" s="9"/>
      <c r="M1945" s="9"/>
      <c r="N1945" s="9"/>
      <c r="O1945" s="9"/>
      <c r="P1945" s="9"/>
      <c r="Q1945" s="9"/>
      <c r="R1945" s="9"/>
      <c r="S1945" s="9"/>
      <c r="T1945" s="9"/>
      <c r="U1945" s="9"/>
      <c r="V1945" s="9"/>
      <c r="W1945" s="9"/>
      <c r="X1945" s="9"/>
      <c r="Y1945" s="9"/>
      <c r="Z1945" s="9"/>
      <c r="AA1945" s="9"/>
      <c r="AB1945" s="9"/>
      <c r="AC1945" s="9"/>
      <c r="AD1945" s="9"/>
      <c r="AE1945" s="9"/>
      <c r="AF1945" s="9"/>
      <c r="AG1945" s="9"/>
      <c r="AH1945" s="9"/>
      <c r="AI1945" s="9"/>
      <c r="AJ1945" s="9"/>
      <c r="AK1945" s="9"/>
      <c r="AL1945" s="9"/>
      <c r="AM1945" s="9"/>
      <c r="AN1945" s="9"/>
      <c r="AO1945" s="9"/>
      <c r="AP1945" s="9"/>
      <c r="AQ1945" s="9"/>
      <c r="AR1945" s="9"/>
      <c r="AS1945" s="9"/>
      <c r="AT1945" s="9"/>
      <c r="AU1945" s="9"/>
    </row>
    <row r="1946" spans="1:47" ht="15.75" customHeight="1">
      <c r="A1946" s="9"/>
      <c r="B1946" s="9"/>
      <c r="C1946" s="9"/>
      <c r="D1946" s="9"/>
      <c r="E1946" s="9"/>
      <c r="F1946" s="67"/>
      <c r="G1946" s="9"/>
      <c r="H1946" s="9"/>
      <c r="I1946" s="9"/>
      <c r="J1946" s="9"/>
      <c r="K1946" s="9"/>
      <c r="L1946" s="9"/>
      <c r="M1946" s="9"/>
      <c r="N1946" s="9"/>
      <c r="O1946" s="9"/>
      <c r="P1946" s="9"/>
      <c r="Q1946" s="9"/>
      <c r="R1946" s="9"/>
      <c r="S1946" s="9"/>
      <c r="T1946" s="9"/>
      <c r="U1946" s="9"/>
      <c r="V1946" s="9"/>
      <c r="W1946" s="9"/>
      <c r="X1946" s="9"/>
      <c r="Y1946" s="9"/>
      <c r="Z1946" s="9"/>
      <c r="AA1946" s="9"/>
      <c r="AB1946" s="9"/>
      <c r="AC1946" s="9"/>
      <c r="AD1946" s="9"/>
      <c r="AE1946" s="9"/>
      <c r="AF1946" s="9"/>
      <c r="AG1946" s="9"/>
      <c r="AH1946" s="9"/>
      <c r="AI1946" s="9"/>
      <c r="AJ1946" s="9"/>
      <c r="AK1946" s="9"/>
      <c r="AL1946" s="9"/>
      <c r="AM1946" s="9"/>
      <c r="AN1946" s="9"/>
      <c r="AO1946" s="9"/>
      <c r="AP1946" s="9"/>
      <c r="AQ1946" s="9"/>
      <c r="AR1946" s="9"/>
      <c r="AS1946" s="9"/>
      <c r="AT1946" s="9"/>
      <c r="AU1946" s="9"/>
    </row>
    <row r="1947" spans="1:47" ht="15.75" customHeight="1">
      <c r="A1947" s="9"/>
      <c r="B1947" s="9"/>
      <c r="C1947" s="9"/>
      <c r="D1947" s="9"/>
      <c r="E1947" s="9"/>
      <c r="F1947" s="67"/>
      <c r="G1947" s="9"/>
      <c r="H1947" s="9"/>
      <c r="I1947" s="9"/>
      <c r="J1947" s="9"/>
      <c r="K1947" s="9"/>
      <c r="L1947" s="9"/>
      <c r="M1947" s="9"/>
      <c r="N1947" s="9"/>
      <c r="O1947" s="9"/>
      <c r="P1947" s="9"/>
      <c r="Q1947" s="9"/>
      <c r="R1947" s="9"/>
      <c r="S1947" s="9"/>
      <c r="T1947" s="9"/>
      <c r="U1947" s="9"/>
      <c r="V1947" s="9"/>
      <c r="W1947" s="9"/>
      <c r="X1947" s="9"/>
      <c r="Y1947" s="9"/>
      <c r="Z1947" s="9"/>
      <c r="AA1947" s="9"/>
      <c r="AB1947" s="9"/>
      <c r="AC1947" s="9"/>
      <c r="AD1947" s="9"/>
      <c r="AE1947" s="9"/>
      <c r="AF1947" s="9"/>
      <c r="AG1947" s="9"/>
      <c r="AH1947" s="9"/>
      <c r="AI1947" s="9"/>
      <c r="AJ1947" s="9"/>
      <c r="AK1947" s="9"/>
      <c r="AL1947" s="9"/>
      <c r="AM1947" s="9"/>
      <c r="AN1947" s="9"/>
      <c r="AO1947" s="9"/>
      <c r="AP1947" s="9"/>
      <c r="AQ1947" s="9"/>
      <c r="AR1947" s="9"/>
      <c r="AS1947" s="9"/>
      <c r="AT1947" s="9"/>
      <c r="AU1947" s="9"/>
    </row>
    <row r="1948" spans="1:47" ht="15.75" customHeight="1">
      <c r="A1948" s="9"/>
      <c r="B1948" s="9"/>
      <c r="C1948" s="9"/>
      <c r="D1948" s="9"/>
      <c r="E1948" s="9"/>
      <c r="F1948" s="67"/>
      <c r="G1948" s="9"/>
      <c r="H1948" s="9"/>
      <c r="I1948" s="9"/>
      <c r="J1948" s="9"/>
      <c r="K1948" s="9"/>
      <c r="L1948" s="9"/>
      <c r="M1948" s="9"/>
      <c r="N1948" s="9"/>
      <c r="O1948" s="9"/>
      <c r="P1948" s="9"/>
      <c r="Q1948" s="9"/>
      <c r="R1948" s="9"/>
      <c r="S1948" s="9"/>
      <c r="T1948" s="9"/>
      <c r="U1948" s="9"/>
      <c r="V1948" s="9"/>
      <c r="W1948" s="9"/>
      <c r="X1948" s="9"/>
      <c r="Y1948" s="9"/>
      <c r="Z1948" s="9"/>
      <c r="AA1948" s="9"/>
      <c r="AB1948" s="9"/>
      <c r="AC1948" s="9"/>
      <c r="AD1948" s="9"/>
      <c r="AE1948" s="9"/>
      <c r="AF1948" s="9"/>
      <c r="AG1948" s="9"/>
      <c r="AH1948" s="9"/>
      <c r="AI1948" s="9"/>
      <c r="AJ1948" s="9"/>
      <c r="AK1948" s="9"/>
      <c r="AL1948" s="9"/>
      <c r="AM1948" s="9"/>
      <c r="AN1948" s="9"/>
      <c r="AO1948" s="9"/>
      <c r="AP1948" s="9"/>
      <c r="AQ1948" s="9"/>
      <c r="AR1948" s="9"/>
      <c r="AS1948" s="9"/>
      <c r="AT1948" s="9"/>
      <c r="AU1948" s="9"/>
    </row>
    <row r="1949" spans="1:47" ht="15.75" customHeight="1">
      <c r="A1949" s="9"/>
      <c r="B1949" s="9"/>
      <c r="C1949" s="9"/>
      <c r="D1949" s="9"/>
      <c r="E1949" s="9"/>
      <c r="F1949" s="67"/>
      <c r="G1949" s="9"/>
      <c r="H1949" s="9"/>
      <c r="I1949" s="9"/>
      <c r="J1949" s="9"/>
      <c r="K1949" s="9"/>
      <c r="L1949" s="9"/>
      <c r="M1949" s="9"/>
      <c r="N1949" s="9"/>
      <c r="O1949" s="9"/>
      <c r="P1949" s="9"/>
      <c r="Q1949" s="9"/>
      <c r="R1949" s="9"/>
      <c r="S1949" s="9"/>
      <c r="T1949" s="9"/>
      <c r="U1949" s="9"/>
      <c r="V1949" s="9"/>
      <c r="W1949" s="9"/>
      <c r="X1949" s="9"/>
      <c r="Y1949" s="9"/>
      <c r="Z1949" s="9"/>
      <c r="AA1949" s="9"/>
      <c r="AB1949" s="9"/>
      <c r="AC1949" s="9"/>
      <c r="AD1949" s="9"/>
      <c r="AE1949" s="9"/>
      <c r="AF1949" s="9"/>
      <c r="AG1949" s="9"/>
      <c r="AH1949" s="9"/>
      <c r="AI1949" s="9"/>
      <c r="AJ1949" s="9"/>
      <c r="AK1949" s="9"/>
      <c r="AL1949" s="9"/>
      <c r="AM1949" s="9"/>
      <c r="AN1949" s="9"/>
      <c r="AO1949" s="9"/>
      <c r="AP1949" s="9"/>
      <c r="AQ1949" s="9"/>
      <c r="AR1949" s="9"/>
      <c r="AS1949" s="9"/>
      <c r="AT1949" s="9"/>
      <c r="AU1949" s="9"/>
    </row>
    <row r="1950" spans="1:47" ht="15.75" customHeight="1">
      <c r="A1950" s="9"/>
      <c r="B1950" s="9"/>
      <c r="C1950" s="9"/>
      <c r="D1950" s="9"/>
      <c r="E1950" s="9"/>
      <c r="F1950" s="67"/>
      <c r="G1950" s="9"/>
      <c r="H1950" s="9"/>
      <c r="I1950" s="9"/>
      <c r="J1950" s="9"/>
      <c r="K1950" s="9"/>
      <c r="L1950" s="9"/>
      <c r="M1950" s="9"/>
      <c r="N1950" s="9"/>
      <c r="O1950" s="9"/>
      <c r="P1950" s="9"/>
      <c r="Q1950" s="9"/>
      <c r="R1950" s="9"/>
      <c r="S1950" s="9"/>
      <c r="T1950" s="9"/>
      <c r="U1950" s="9"/>
      <c r="V1950" s="9"/>
      <c r="W1950" s="9"/>
      <c r="X1950" s="9"/>
      <c r="Y1950" s="9"/>
      <c r="Z1950" s="9"/>
      <c r="AA1950" s="9"/>
      <c r="AB1950" s="9"/>
      <c r="AC1950" s="9"/>
      <c r="AD1950" s="9"/>
      <c r="AE1950" s="9"/>
      <c r="AF1950" s="9"/>
      <c r="AG1950" s="9"/>
      <c r="AH1950" s="9"/>
      <c r="AI1950" s="9"/>
      <c r="AJ1950" s="9"/>
      <c r="AK1950" s="9"/>
      <c r="AL1950" s="9"/>
      <c r="AM1950" s="9"/>
      <c r="AN1950" s="9"/>
      <c r="AO1950" s="9"/>
      <c r="AP1950" s="9"/>
      <c r="AQ1950" s="9"/>
      <c r="AR1950" s="9"/>
      <c r="AS1950" s="9"/>
      <c r="AT1950" s="9"/>
      <c r="AU1950" s="9"/>
    </row>
    <row r="1951" spans="1:47" ht="15.75" customHeight="1">
      <c r="A1951" s="9"/>
      <c r="B1951" s="9"/>
      <c r="C1951" s="9"/>
      <c r="D1951" s="9"/>
      <c r="E1951" s="9"/>
      <c r="F1951" s="67"/>
      <c r="G1951" s="9"/>
      <c r="H1951" s="9"/>
      <c r="I1951" s="9"/>
      <c r="J1951" s="9"/>
      <c r="K1951" s="9"/>
      <c r="L1951" s="9"/>
      <c r="M1951" s="9"/>
      <c r="N1951" s="9"/>
      <c r="O1951" s="9"/>
      <c r="P1951" s="9"/>
      <c r="Q1951" s="9"/>
      <c r="R1951" s="9"/>
      <c r="S1951" s="9"/>
      <c r="T1951" s="9"/>
      <c r="U1951" s="9"/>
      <c r="V1951" s="9"/>
      <c r="W1951" s="9"/>
      <c r="X1951" s="9"/>
      <c r="Y1951" s="9"/>
      <c r="Z1951" s="9"/>
      <c r="AA1951" s="9"/>
      <c r="AB1951" s="9"/>
      <c r="AC1951" s="9"/>
      <c r="AD1951" s="9"/>
      <c r="AE1951" s="9"/>
      <c r="AF1951" s="9"/>
      <c r="AG1951" s="9"/>
      <c r="AH1951" s="9"/>
      <c r="AI1951" s="9"/>
      <c r="AJ1951" s="9"/>
      <c r="AK1951" s="9"/>
      <c r="AL1951" s="9"/>
      <c r="AM1951" s="9"/>
      <c r="AN1951" s="9"/>
      <c r="AO1951" s="9"/>
      <c r="AP1951" s="9"/>
      <c r="AQ1951" s="9"/>
      <c r="AR1951" s="9"/>
      <c r="AS1951" s="9"/>
      <c r="AT1951" s="9"/>
      <c r="AU1951" s="9"/>
    </row>
    <row r="1952" spans="1:47" ht="15.75" customHeight="1">
      <c r="A1952" s="9"/>
      <c r="B1952" s="9"/>
      <c r="C1952" s="9"/>
      <c r="D1952" s="9"/>
      <c r="E1952" s="9"/>
      <c r="F1952" s="67"/>
      <c r="G1952" s="9"/>
      <c r="H1952" s="9"/>
      <c r="I1952" s="9"/>
      <c r="J1952" s="9"/>
      <c r="K1952" s="9"/>
      <c r="L1952" s="9"/>
      <c r="M1952" s="9"/>
      <c r="N1952" s="9"/>
      <c r="O1952" s="9"/>
      <c r="P1952" s="9"/>
      <c r="Q1952" s="9"/>
      <c r="R1952" s="9"/>
      <c r="S1952" s="9"/>
      <c r="T1952" s="9"/>
      <c r="U1952" s="9"/>
      <c r="V1952" s="9"/>
      <c r="W1952" s="9"/>
      <c r="X1952" s="9"/>
      <c r="Y1952" s="9"/>
      <c r="Z1952" s="9"/>
      <c r="AA1952" s="9"/>
      <c r="AB1952" s="9"/>
      <c r="AC1952" s="9"/>
      <c r="AD1952" s="9"/>
      <c r="AE1952" s="9"/>
      <c r="AF1952" s="9"/>
      <c r="AG1952" s="9"/>
      <c r="AH1952" s="9"/>
      <c r="AI1952" s="9"/>
      <c r="AJ1952" s="9"/>
      <c r="AK1952" s="9"/>
      <c r="AL1952" s="9"/>
      <c r="AM1952" s="9"/>
      <c r="AN1952" s="9"/>
      <c r="AO1952" s="9"/>
      <c r="AP1952" s="9"/>
      <c r="AQ1952" s="9"/>
      <c r="AR1952" s="9"/>
      <c r="AS1952" s="9"/>
      <c r="AT1952" s="9"/>
      <c r="AU1952" s="9"/>
    </row>
    <row r="1953" spans="1:47" ht="15.75" customHeight="1">
      <c r="A1953" s="9"/>
      <c r="B1953" s="9"/>
      <c r="C1953" s="9"/>
      <c r="D1953" s="9"/>
      <c r="E1953" s="9"/>
      <c r="F1953" s="67"/>
      <c r="G1953" s="9"/>
      <c r="H1953" s="9"/>
      <c r="I1953" s="9"/>
      <c r="J1953" s="9"/>
      <c r="K1953" s="9"/>
      <c r="L1953" s="9"/>
      <c r="M1953" s="9"/>
      <c r="N1953" s="9"/>
      <c r="O1953" s="9"/>
      <c r="P1953" s="9"/>
      <c r="Q1953" s="9"/>
      <c r="R1953" s="9"/>
      <c r="S1953" s="9"/>
      <c r="T1953" s="9"/>
      <c r="U1953" s="9"/>
      <c r="V1953" s="9"/>
      <c r="W1953" s="9"/>
      <c r="X1953" s="9"/>
      <c r="Y1953" s="9"/>
      <c r="Z1953" s="9"/>
      <c r="AA1953" s="9"/>
      <c r="AB1953" s="9"/>
      <c r="AC1953" s="9"/>
      <c r="AD1953" s="9"/>
      <c r="AE1953" s="9"/>
      <c r="AF1953" s="9"/>
      <c r="AG1953" s="9"/>
      <c r="AH1953" s="9"/>
      <c r="AI1953" s="9"/>
      <c r="AJ1953" s="9"/>
      <c r="AK1953" s="9"/>
      <c r="AL1953" s="9"/>
      <c r="AM1953" s="9"/>
      <c r="AN1953" s="9"/>
      <c r="AO1953" s="9"/>
      <c r="AP1953" s="9"/>
      <c r="AQ1953" s="9"/>
      <c r="AR1953" s="9"/>
      <c r="AS1953" s="9"/>
      <c r="AT1953" s="9"/>
      <c r="AU1953" s="9"/>
    </row>
    <row r="1954" spans="1:47" ht="15.75" customHeight="1">
      <c r="A1954" s="9"/>
      <c r="B1954" s="9"/>
      <c r="C1954" s="9"/>
      <c r="D1954" s="9"/>
      <c r="E1954" s="9"/>
      <c r="F1954" s="67"/>
      <c r="G1954" s="9"/>
      <c r="H1954" s="9"/>
      <c r="I1954" s="9"/>
      <c r="J1954" s="9"/>
      <c r="K1954" s="9"/>
      <c r="L1954" s="9"/>
      <c r="M1954" s="9"/>
      <c r="N1954" s="9"/>
      <c r="O1954" s="9"/>
      <c r="P1954" s="9"/>
      <c r="Q1954" s="9"/>
      <c r="R1954" s="9"/>
      <c r="S1954" s="9"/>
      <c r="T1954" s="9"/>
      <c r="U1954" s="9"/>
      <c r="V1954" s="9"/>
      <c r="W1954" s="9"/>
      <c r="X1954" s="9"/>
      <c r="Y1954" s="9"/>
      <c r="Z1954" s="9"/>
      <c r="AA1954" s="9"/>
      <c r="AB1954" s="9"/>
      <c r="AC1954" s="9"/>
      <c r="AD1954" s="9"/>
      <c r="AE1954" s="9"/>
      <c r="AF1954" s="9"/>
      <c r="AG1954" s="9"/>
      <c r="AH1954" s="9"/>
      <c r="AI1954" s="9"/>
      <c r="AJ1954" s="9"/>
      <c r="AK1954" s="9"/>
      <c r="AL1954" s="9"/>
      <c r="AM1954" s="9"/>
      <c r="AN1954" s="9"/>
      <c r="AO1954" s="9"/>
      <c r="AP1954" s="9"/>
      <c r="AQ1954" s="9"/>
      <c r="AR1954" s="9"/>
      <c r="AS1954" s="9"/>
      <c r="AT1954" s="9"/>
      <c r="AU1954" s="9"/>
    </row>
    <row r="1955" spans="1:47" ht="15.75" customHeight="1">
      <c r="A1955" s="9"/>
      <c r="B1955" s="9"/>
      <c r="C1955" s="9"/>
      <c r="D1955" s="9"/>
      <c r="E1955" s="9"/>
      <c r="F1955" s="67"/>
      <c r="G1955" s="9"/>
      <c r="H1955" s="9"/>
      <c r="I1955" s="9"/>
      <c r="J1955" s="9"/>
      <c r="K1955" s="9"/>
      <c r="L1955" s="9"/>
      <c r="M1955" s="9"/>
      <c r="N1955" s="9"/>
      <c r="O1955" s="9"/>
      <c r="P1955" s="9"/>
      <c r="Q1955" s="9"/>
      <c r="R1955" s="9"/>
      <c r="S1955" s="9"/>
      <c r="T1955" s="9"/>
      <c r="U1955" s="9"/>
      <c r="V1955" s="9"/>
      <c r="W1955" s="9"/>
      <c r="X1955" s="9"/>
      <c r="Y1955" s="9"/>
      <c r="Z1955" s="9"/>
      <c r="AA1955" s="9"/>
      <c r="AB1955" s="9"/>
      <c r="AC1955" s="9"/>
      <c r="AD1955" s="9"/>
      <c r="AE1955" s="9"/>
      <c r="AF1955" s="9"/>
      <c r="AG1955" s="9"/>
      <c r="AH1955" s="9"/>
      <c r="AI1955" s="9"/>
      <c r="AJ1955" s="9"/>
      <c r="AK1955" s="9"/>
      <c r="AL1955" s="9"/>
      <c r="AM1955" s="9"/>
      <c r="AN1955" s="9"/>
      <c r="AO1955" s="9"/>
      <c r="AP1955" s="9"/>
      <c r="AQ1955" s="9"/>
      <c r="AR1955" s="9"/>
      <c r="AS1955" s="9"/>
      <c r="AT1955" s="9"/>
      <c r="AU1955" s="9"/>
    </row>
    <row r="1956" spans="1:47" ht="15.75" customHeight="1">
      <c r="A1956" s="9"/>
      <c r="B1956" s="9"/>
      <c r="C1956" s="9"/>
      <c r="D1956" s="9"/>
      <c r="E1956" s="9"/>
      <c r="F1956" s="67"/>
      <c r="G1956" s="9"/>
      <c r="H1956" s="9"/>
      <c r="I1956" s="9"/>
      <c r="J1956" s="9"/>
      <c r="K1956" s="9"/>
      <c r="L1956" s="9"/>
      <c r="M1956" s="9"/>
      <c r="N1956" s="9"/>
      <c r="O1956" s="9"/>
      <c r="P1956" s="9"/>
      <c r="Q1956" s="9"/>
      <c r="R1956" s="9"/>
      <c r="S1956" s="9"/>
      <c r="T1956" s="9"/>
      <c r="U1956" s="9"/>
      <c r="V1956" s="9"/>
      <c r="W1956" s="9"/>
      <c r="X1956" s="9"/>
      <c r="Y1956" s="9"/>
      <c r="Z1956" s="9"/>
      <c r="AA1956" s="9"/>
      <c r="AB1956" s="9"/>
      <c r="AC1956" s="9"/>
      <c r="AD1956" s="9"/>
      <c r="AE1956" s="9"/>
      <c r="AF1956" s="9"/>
      <c r="AG1956" s="9"/>
      <c r="AH1956" s="9"/>
      <c r="AI1956" s="9"/>
      <c r="AJ1956" s="9"/>
      <c r="AK1956" s="9"/>
      <c r="AL1956" s="9"/>
      <c r="AM1956" s="9"/>
      <c r="AN1956" s="9"/>
      <c r="AO1956" s="9"/>
      <c r="AP1956" s="9"/>
      <c r="AQ1956" s="9"/>
      <c r="AR1956" s="9"/>
      <c r="AS1956" s="9"/>
      <c r="AT1956" s="9"/>
      <c r="AU1956" s="9"/>
    </row>
    <row r="1957" spans="1:47" ht="15.75" customHeight="1">
      <c r="A1957" s="9"/>
      <c r="B1957" s="9"/>
      <c r="C1957" s="9"/>
      <c r="D1957" s="9"/>
      <c r="E1957" s="9"/>
      <c r="F1957" s="67"/>
      <c r="G1957" s="9"/>
      <c r="H1957" s="9"/>
      <c r="I1957" s="9"/>
      <c r="J1957" s="9"/>
      <c r="K1957" s="9"/>
      <c r="L1957" s="9"/>
      <c r="M1957" s="9"/>
      <c r="N1957" s="9"/>
      <c r="O1957" s="9"/>
      <c r="P1957" s="9"/>
      <c r="Q1957" s="9"/>
      <c r="R1957" s="9"/>
      <c r="S1957" s="9"/>
      <c r="T1957" s="9"/>
      <c r="U1957" s="9"/>
      <c r="V1957" s="9"/>
      <c r="W1957" s="9"/>
      <c r="X1957" s="9"/>
      <c r="Y1957" s="9"/>
      <c r="Z1957" s="9"/>
      <c r="AA1957" s="9"/>
      <c r="AB1957" s="9"/>
      <c r="AC1957" s="9"/>
      <c r="AD1957" s="9"/>
      <c r="AE1957" s="9"/>
      <c r="AF1957" s="9"/>
      <c r="AG1957" s="9"/>
      <c r="AH1957" s="9"/>
      <c r="AI1957" s="9"/>
      <c r="AJ1957" s="9"/>
      <c r="AK1957" s="9"/>
      <c r="AL1957" s="9"/>
      <c r="AM1957" s="9"/>
      <c r="AN1957" s="9"/>
      <c r="AO1957" s="9"/>
      <c r="AP1957" s="9"/>
      <c r="AQ1957" s="9"/>
      <c r="AR1957" s="9"/>
      <c r="AS1957" s="9"/>
      <c r="AT1957" s="9"/>
      <c r="AU1957" s="9"/>
    </row>
    <row r="1958" spans="1:47" ht="15.75" customHeight="1">
      <c r="A1958" s="9"/>
      <c r="B1958" s="9"/>
      <c r="C1958" s="9"/>
      <c r="D1958" s="9"/>
      <c r="E1958" s="9"/>
      <c r="F1958" s="67"/>
      <c r="G1958" s="9"/>
      <c r="H1958" s="9"/>
      <c r="I1958" s="9"/>
      <c r="J1958" s="9"/>
      <c r="K1958" s="9"/>
      <c r="L1958" s="9"/>
      <c r="M1958" s="9"/>
      <c r="N1958" s="9"/>
      <c r="O1958" s="9"/>
      <c r="P1958" s="9"/>
      <c r="Q1958" s="9"/>
      <c r="R1958" s="9"/>
      <c r="S1958" s="9"/>
      <c r="T1958" s="9"/>
      <c r="U1958" s="9"/>
      <c r="V1958" s="9"/>
      <c r="W1958" s="9"/>
      <c r="X1958" s="9"/>
      <c r="Y1958" s="9"/>
      <c r="Z1958" s="9"/>
      <c r="AA1958" s="9"/>
      <c r="AB1958" s="9"/>
      <c r="AC1958" s="9"/>
      <c r="AD1958" s="9"/>
      <c r="AE1958" s="9"/>
      <c r="AF1958" s="9"/>
      <c r="AG1958" s="9"/>
      <c r="AH1958" s="9"/>
      <c r="AI1958" s="9"/>
      <c r="AJ1958" s="9"/>
      <c r="AK1958" s="9"/>
      <c r="AL1958" s="9"/>
      <c r="AM1958" s="9"/>
      <c r="AN1958" s="9"/>
      <c r="AO1958" s="9"/>
      <c r="AP1958" s="9"/>
      <c r="AQ1958" s="9"/>
      <c r="AR1958" s="9"/>
      <c r="AS1958" s="9"/>
      <c r="AT1958" s="9"/>
      <c r="AU1958" s="9"/>
    </row>
    <row r="1959" spans="1:47" ht="15.75" customHeight="1">
      <c r="A1959" s="9"/>
      <c r="B1959" s="9"/>
      <c r="C1959" s="9"/>
      <c r="D1959" s="9"/>
      <c r="E1959" s="9"/>
      <c r="F1959" s="67"/>
      <c r="G1959" s="9"/>
      <c r="H1959" s="9"/>
      <c r="I1959" s="9"/>
      <c r="J1959" s="9"/>
      <c r="K1959" s="9"/>
      <c r="L1959" s="9"/>
      <c r="M1959" s="9"/>
      <c r="N1959" s="9"/>
      <c r="O1959" s="9"/>
      <c r="P1959" s="9"/>
      <c r="Q1959" s="9"/>
      <c r="R1959" s="9"/>
      <c r="S1959" s="9"/>
      <c r="T1959" s="9"/>
      <c r="U1959" s="9"/>
      <c r="V1959" s="9"/>
      <c r="W1959" s="9"/>
      <c r="X1959" s="9"/>
      <c r="Y1959" s="9"/>
      <c r="Z1959" s="9"/>
      <c r="AA1959" s="9"/>
      <c r="AB1959" s="9"/>
      <c r="AC1959" s="9"/>
      <c r="AD1959" s="9"/>
      <c r="AE1959" s="9"/>
      <c r="AF1959" s="9"/>
      <c r="AG1959" s="9"/>
      <c r="AH1959" s="9"/>
      <c r="AI1959" s="9"/>
      <c r="AJ1959" s="9"/>
      <c r="AK1959" s="9"/>
      <c r="AL1959" s="9"/>
      <c r="AM1959" s="9"/>
      <c r="AN1959" s="9"/>
      <c r="AO1959" s="9"/>
      <c r="AP1959" s="9"/>
      <c r="AQ1959" s="9"/>
      <c r="AR1959" s="9"/>
      <c r="AS1959" s="9"/>
      <c r="AT1959" s="9"/>
      <c r="AU1959" s="9"/>
    </row>
    <row r="1960" spans="1:47" ht="15.75" customHeight="1">
      <c r="A1960" s="9"/>
      <c r="B1960" s="9"/>
      <c r="C1960" s="9"/>
      <c r="D1960" s="9"/>
      <c r="E1960" s="9"/>
      <c r="F1960" s="67"/>
      <c r="G1960" s="9"/>
      <c r="H1960" s="9"/>
      <c r="I1960" s="9"/>
      <c r="J1960" s="9"/>
      <c r="K1960" s="9"/>
      <c r="L1960" s="9"/>
      <c r="M1960" s="9"/>
      <c r="N1960" s="9"/>
      <c r="O1960" s="9"/>
      <c r="P1960" s="9"/>
      <c r="Q1960" s="9"/>
      <c r="R1960" s="9"/>
      <c r="S1960" s="9"/>
      <c r="T1960" s="9"/>
      <c r="U1960" s="9"/>
      <c r="V1960" s="9"/>
      <c r="W1960" s="9"/>
      <c r="X1960" s="9"/>
      <c r="Y1960" s="9"/>
      <c r="Z1960" s="9"/>
      <c r="AA1960" s="9"/>
      <c r="AB1960" s="9"/>
      <c r="AC1960" s="9"/>
      <c r="AD1960" s="9"/>
      <c r="AE1960" s="9"/>
      <c r="AF1960" s="9"/>
      <c r="AG1960" s="9"/>
      <c r="AH1960" s="9"/>
      <c r="AI1960" s="9"/>
      <c r="AJ1960" s="9"/>
      <c r="AK1960" s="9"/>
      <c r="AL1960" s="9"/>
      <c r="AM1960" s="9"/>
      <c r="AN1960" s="9"/>
      <c r="AO1960" s="9"/>
      <c r="AP1960" s="9"/>
      <c r="AQ1960" s="9"/>
      <c r="AR1960" s="9"/>
      <c r="AS1960" s="9"/>
      <c r="AT1960" s="9"/>
      <c r="AU1960" s="9"/>
    </row>
    <row r="1961" spans="1:47" ht="15.75" customHeight="1">
      <c r="A1961" s="9"/>
      <c r="B1961" s="9"/>
      <c r="C1961" s="9"/>
      <c r="D1961" s="9"/>
      <c r="E1961" s="9"/>
      <c r="F1961" s="67"/>
      <c r="G1961" s="9"/>
      <c r="H1961" s="9"/>
      <c r="I1961" s="9"/>
      <c r="J1961" s="9"/>
      <c r="K1961" s="9"/>
      <c r="L1961" s="9"/>
      <c r="M1961" s="9"/>
      <c r="N1961" s="9"/>
      <c r="O1961" s="9"/>
      <c r="P1961" s="9"/>
      <c r="Q1961" s="9"/>
      <c r="R1961" s="9"/>
      <c r="S1961" s="9"/>
      <c r="T1961" s="9"/>
      <c r="U1961" s="9"/>
      <c r="V1961" s="9"/>
      <c r="W1961" s="9"/>
      <c r="X1961" s="9"/>
      <c r="Y1961" s="9"/>
      <c r="Z1961" s="9"/>
      <c r="AA1961" s="9"/>
      <c r="AB1961" s="9"/>
      <c r="AC1961" s="9"/>
      <c r="AD1961" s="9"/>
      <c r="AE1961" s="9"/>
      <c r="AF1961" s="9"/>
      <c r="AG1961" s="9"/>
      <c r="AH1961" s="9"/>
      <c r="AI1961" s="9"/>
      <c r="AJ1961" s="9"/>
      <c r="AK1961" s="9"/>
      <c r="AL1961" s="9"/>
      <c r="AM1961" s="9"/>
      <c r="AN1961" s="9"/>
      <c r="AO1961" s="9"/>
      <c r="AP1961" s="9"/>
      <c r="AQ1961" s="9"/>
      <c r="AR1961" s="9"/>
      <c r="AS1961" s="9"/>
      <c r="AT1961" s="9"/>
      <c r="AU1961" s="9"/>
    </row>
    <row r="1962" spans="1:47" ht="15.75" customHeight="1">
      <c r="A1962" s="9"/>
      <c r="B1962" s="9"/>
      <c r="C1962" s="9"/>
      <c r="D1962" s="9"/>
      <c r="E1962" s="9"/>
      <c r="F1962" s="67"/>
      <c r="G1962" s="9"/>
      <c r="H1962" s="9"/>
      <c r="I1962" s="9"/>
      <c r="J1962" s="9"/>
      <c r="K1962" s="9"/>
      <c r="L1962" s="9"/>
      <c r="M1962" s="9"/>
      <c r="N1962" s="9"/>
      <c r="O1962" s="9"/>
      <c r="P1962" s="9"/>
      <c r="Q1962" s="9"/>
      <c r="R1962" s="9"/>
      <c r="S1962" s="9"/>
      <c r="T1962" s="9"/>
      <c r="U1962" s="9"/>
      <c r="V1962" s="9"/>
      <c r="W1962" s="9"/>
      <c r="X1962" s="9"/>
      <c r="Y1962" s="9"/>
      <c r="Z1962" s="9"/>
      <c r="AA1962" s="9"/>
      <c r="AB1962" s="9"/>
      <c r="AC1962" s="9"/>
      <c r="AD1962" s="9"/>
      <c r="AE1962" s="9"/>
      <c r="AF1962" s="9"/>
      <c r="AG1962" s="9"/>
      <c r="AH1962" s="9"/>
      <c r="AI1962" s="9"/>
      <c r="AJ1962" s="9"/>
      <c r="AK1962" s="9"/>
      <c r="AL1962" s="9"/>
      <c r="AM1962" s="9"/>
      <c r="AN1962" s="9"/>
      <c r="AO1962" s="9"/>
      <c r="AP1962" s="9"/>
      <c r="AQ1962" s="9"/>
      <c r="AR1962" s="9"/>
      <c r="AS1962" s="9"/>
      <c r="AT1962" s="9"/>
      <c r="AU1962" s="9"/>
    </row>
    <row r="1963" spans="1:47" ht="15.75" customHeight="1">
      <c r="A1963" s="9"/>
      <c r="B1963" s="9"/>
      <c r="C1963" s="9"/>
      <c r="D1963" s="9"/>
      <c r="E1963" s="9"/>
      <c r="F1963" s="67"/>
      <c r="G1963" s="9"/>
      <c r="H1963" s="9"/>
      <c r="I1963" s="9"/>
      <c r="J1963" s="9"/>
      <c r="K1963" s="9"/>
      <c r="L1963" s="9"/>
      <c r="M1963" s="9"/>
      <c r="N1963" s="9"/>
      <c r="O1963" s="9"/>
      <c r="P1963" s="9"/>
      <c r="Q1963" s="9"/>
      <c r="R1963" s="9"/>
      <c r="S1963" s="9"/>
      <c r="T1963" s="9"/>
      <c r="U1963" s="9"/>
      <c r="V1963" s="9"/>
      <c r="W1963" s="9"/>
      <c r="X1963" s="9"/>
      <c r="Y1963" s="9"/>
      <c r="Z1963" s="9"/>
      <c r="AA1963" s="9"/>
      <c r="AB1963" s="9"/>
      <c r="AC1963" s="9"/>
      <c r="AD1963" s="9"/>
      <c r="AE1963" s="9"/>
      <c r="AF1963" s="9"/>
      <c r="AG1963" s="9"/>
      <c r="AH1963" s="9"/>
      <c r="AI1963" s="9"/>
      <c r="AJ1963" s="9"/>
      <c r="AK1963" s="9"/>
      <c r="AL1963" s="9"/>
      <c r="AM1963" s="9"/>
      <c r="AN1963" s="9"/>
      <c r="AO1963" s="9"/>
      <c r="AP1963" s="9"/>
      <c r="AQ1963" s="9"/>
      <c r="AR1963" s="9"/>
      <c r="AS1963" s="9"/>
      <c r="AT1963" s="9"/>
      <c r="AU1963" s="9"/>
    </row>
    <row r="1964" spans="1:47" ht="15.75" customHeight="1">
      <c r="A1964" s="9"/>
      <c r="B1964" s="9"/>
      <c r="C1964" s="9"/>
      <c r="D1964" s="9"/>
      <c r="E1964" s="9"/>
      <c r="F1964" s="67"/>
      <c r="G1964" s="9"/>
      <c r="H1964" s="9"/>
      <c r="I1964" s="9"/>
      <c r="J1964" s="9"/>
      <c r="K1964" s="9"/>
      <c r="L1964" s="9"/>
      <c r="M1964" s="9"/>
      <c r="N1964" s="9"/>
      <c r="O1964" s="9"/>
      <c r="P1964" s="9"/>
      <c r="Q1964" s="9"/>
      <c r="R1964" s="9"/>
      <c r="S1964" s="9"/>
      <c r="T1964" s="9"/>
      <c r="U1964" s="9"/>
      <c r="V1964" s="9"/>
      <c r="W1964" s="9"/>
      <c r="X1964" s="9"/>
      <c r="Y1964" s="9"/>
      <c r="Z1964" s="9"/>
      <c r="AA1964" s="9"/>
      <c r="AB1964" s="9"/>
      <c r="AC1964" s="9"/>
      <c r="AD1964" s="9"/>
      <c r="AE1964" s="9"/>
      <c r="AF1964" s="9"/>
      <c r="AG1964" s="9"/>
      <c r="AH1964" s="9"/>
      <c r="AI1964" s="9"/>
      <c r="AJ1964" s="9"/>
      <c r="AK1964" s="9"/>
      <c r="AL1964" s="9"/>
      <c r="AM1964" s="9"/>
      <c r="AN1964" s="9"/>
      <c r="AO1964" s="9"/>
      <c r="AP1964" s="9"/>
      <c r="AQ1964" s="9"/>
      <c r="AR1964" s="9"/>
      <c r="AS1964" s="9"/>
      <c r="AT1964" s="9"/>
      <c r="AU1964" s="9"/>
    </row>
    <row r="1965" spans="1:47" ht="15.75" customHeight="1">
      <c r="A1965" s="9"/>
      <c r="B1965" s="9"/>
      <c r="C1965" s="9"/>
      <c r="D1965" s="9"/>
      <c r="E1965" s="9"/>
      <c r="F1965" s="67"/>
      <c r="G1965" s="9"/>
      <c r="H1965" s="9"/>
      <c r="I1965" s="9"/>
      <c r="J1965" s="9"/>
      <c r="K1965" s="9"/>
      <c r="L1965" s="9"/>
      <c r="M1965" s="9"/>
      <c r="N1965" s="9"/>
      <c r="O1965" s="9"/>
      <c r="P1965" s="9"/>
      <c r="Q1965" s="9"/>
      <c r="R1965" s="9"/>
      <c r="S1965" s="9"/>
      <c r="T1965" s="9"/>
      <c r="U1965" s="9"/>
      <c r="V1965" s="9"/>
      <c r="W1965" s="9"/>
      <c r="X1965" s="9"/>
      <c r="Y1965" s="9"/>
      <c r="Z1965" s="9"/>
      <c r="AA1965" s="9"/>
      <c r="AB1965" s="9"/>
      <c r="AC1965" s="9"/>
      <c r="AD1965" s="9"/>
      <c r="AE1965" s="9"/>
      <c r="AF1965" s="9"/>
      <c r="AG1965" s="9"/>
      <c r="AH1965" s="9"/>
      <c r="AI1965" s="9"/>
      <c r="AJ1965" s="9"/>
      <c r="AK1965" s="9"/>
      <c r="AL1965" s="9"/>
      <c r="AM1965" s="9"/>
      <c r="AN1965" s="9"/>
      <c r="AO1965" s="9"/>
      <c r="AP1965" s="9"/>
      <c r="AQ1965" s="9"/>
      <c r="AR1965" s="9"/>
      <c r="AS1965" s="9"/>
      <c r="AT1965" s="9"/>
      <c r="AU1965" s="9"/>
    </row>
    <row r="1966" spans="1:47" ht="15.75" customHeight="1">
      <c r="A1966" s="9"/>
      <c r="B1966" s="9"/>
      <c r="C1966" s="9"/>
      <c r="D1966" s="9"/>
      <c r="E1966" s="9"/>
      <c r="F1966" s="67"/>
      <c r="G1966" s="9"/>
      <c r="H1966" s="9"/>
      <c r="I1966" s="9"/>
      <c r="J1966" s="9"/>
      <c r="K1966" s="9"/>
      <c r="L1966" s="9"/>
      <c r="M1966" s="9"/>
      <c r="N1966" s="9"/>
      <c r="O1966" s="9"/>
      <c r="P1966" s="9"/>
      <c r="Q1966" s="9"/>
      <c r="R1966" s="9"/>
      <c r="S1966" s="9"/>
      <c r="T1966" s="9"/>
      <c r="U1966" s="9"/>
      <c r="V1966" s="9"/>
      <c r="W1966" s="9"/>
      <c r="X1966" s="9"/>
      <c r="Y1966" s="9"/>
      <c r="Z1966" s="9"/>
      <c r="AA1966" s="9"/>
      <c r="AB1966" s="9"/>
      <c r="AC1966" s="9"/>
      <c r="AD1966" s="9"/>
      <c r="AE1966" s="9"/>
      <c r="AF1966" s="9"/>
      <c r="AG1966" s="9"/>
      <c r="AH1966" s="9"/>
      <c r="AI1966" s="9"/>
      <c r="AJ1966" s="9"/>
      <c r="AK1966" s="9"/>
      <c r="AL1966" s="9"/>
      <c r="AM1966" s="9"/>
      <c r="AN1966" s="9"/>
      <c r="AO1966" s="9"/>
      <c r="AP1966" s="9"/>
      <c r="AQ1966" s="9"/>
      <c r="AR1966" s="9"/>
      <c r="AS1966" s="9"/>
      <c r="AT1966" s="9"/>
      <c r="AU1966" s="9"/>
    </row>
    <row r="1967" spans="1:47" ht="15.75" customHeight="1">
      <c r="A1967" s="9"/>
      <c r="B1967" s="9"/>
      <c r="C1967" s="9"/>
      <c r="D1967" s="9"/>
      <c r="E1967" s="9"/>
      <c r="F1967" s="67"/>
      <c r="G1967" s="9"/>
      <c r="H1967" s="9"/>
      <c r="I1967" s="9"/>
      <c r="J1967" s="9"/>
      <c r="K1967" s="9"/>
      <c r="L1967" s="9"/>
      <c r="M1967" s="9"/>
      <c r="N1967" s="9"/>
      <c r="O1967" s="9"/>
      <c r="P1967" s="9"/>
      <c r="Q1967" s="9"/>
      <c r="R1967" s="9"/>
      <c r="S1967" s="9"/>
      <c r="T1967" s="9"/>
      <c r="U1967" s="9"/>
      <c r="V1967" s="9"/>
      <c r="W1967" s="9"/>
      <c r="X1967" s="9"/>
      <c r="Y1967" s="9"/>
      <c r="Z1967" s="9"/>
      <c r="AA1967" s="9"/>
      <c r="AB1967" s="9"/>
      <c r="AC1967" s="9"/>
      <c r="AD1967" s="9"/>
      <c r="AE1967" s="9"/>
      <c r="AF1967" s="9"/>
      <c r="AG1967" s="9"/>
      <c r="AH1967" s="9"/>
      <c r="AI1967" s="9"/>
      <c r="AJ1967" s="9"/>
      <c r="AK1967" s="9"/>
      <c r="AL1967" s="9"/>
      <c r="AM1967" s="9"/>
      <c r="AN1967" s="9"/>
      <c r="AO1967" s="9"/>
      <c r="AP1967" s="9"/>
      <c r="AQ1967" s="9"/>
      <c r="AR1967" s="9"/>
      <c r="AS1967" s="9"/>
      <c r="AT1967" s="9"/>
      <c r="AU1967" s="9"/>
    </row>
    <row r="1968" spans="1:47" ht="15.75" customHeight="1">
      <c r="A1968" s="9"/>
      <c r="B1968" s="9"/>
      <c r="C1968" s="9"/>
      <c r="D1968" s="9"/>
      <c r="E1968" s="9"/>
      <c r="F1968" s="67"/>
      <c r="G1968" s="9"/>
      <c r="H1968" s="9"/>
      <c r="I1968" s="9"/>
      <c r="J1968" s="9"/>
      <c r="K1968" s="9"/>
      <c r="L1968" s="9"/>
      <c r="M1968" s="9"/>
      <c r="N1968" s="9"/>
      <c r="O1968" s="9"/>
      <c r="P1968" s="9"/>
      <c r="Q1968" s="9"/>
      <c r="R1968" s="9"/>
      <c r="S1968" s="9"/>
      <c r="T1968" s="9"/>
      <c r="U1968" s="9"/>
      <c r="V1968" s="9"/>
      <c r="W1968" s="9"/>
      <c r="X1968" s="9"/>
      <c r="Y1968" s="9"/>
      <c r="Z1968" s="9"/>
      <c r="AA1968" s="9"/>
      <c r="AB1968" s="9"/>
      <c r="AC1968" s="9"/>
      <c r="AD1968" s="9"/>
      <c r="AE1968" s="9"/>
      <c r="AF1968" s="9"/>
      <c r="AG1968" s="9"/>
      <c r="AH1968" s="9"/>
      <c r="AI1968" s="9"/>
      <c r="AJ1968" s="9"/>
      <c r="AK1968" s="9"/>
      <c r="AL1968" s="9"/>
      <c r="AM1968" s="9"/>
      <c r="AN1968" s="9"/>
      <c r="AO1968" s="9"/>
      <c r="AP1968" s="9"/>
      <c r="AQ1968" s="9"/>
      <c r="AR1968" s="9"/>
      <c r="AS1968" s="9"/>
      <c r="AT1968" s="9"/>
      <c r="AU1968" s="9"/>
    </row>
    <row r="1969" spans="1:47" ht="15.75" customHeight="1">
      <c r="A1969" s="9"/>
      <c r="B1969" s="9"/>
      <c r="C1969" s="9"/>
      <c r="D1969" s="9"/>
      <c r="E1969" s="9"/>
      <c r="F1969" s="67"/>
      <c r="G1969" s="9"/>
      <c r="H1969" s="9"/>
      <c r="I1969" s="9"/>
      <c r="J1969" s="9"/>
      <c r="K1969" s="9"/>
      <c r="L1969" s="9"/>
      <c r="M1969" s="9"/>
      <c r="N1969" s="9"/>
      <c r="O1969" s="9"/>
      <c r="P1969" s="9"/>
      <c r="Q1969" s="9"/>
      <c r="R1969" s="9"/>
      <c r="S1969" s="9"/>
      <c r="T1969" s="9"/>
      <c r="U1969" s="9"/>
      <c r="V1969" s="9"/>
      <c r="W1969" s="9"/>
      <c r="X1969" s="9"/>
      <c r="Y1969" s="9"/>
      <c r="Z1969" s="9"/>
      <c r="AA1969" s="9"/>
      <c r="AB1969" s="9"/>
      <c r="AC1969" s="9"/>
      <c r="AD1969" s="9"/>
      <c r="AE1969" s="9"/>
      <c r="AF1969" s="9"/>
      <c r="AG1969" s="9"/>
      <c r="AH1969" s="9"/>
      <c r="AI1969" s="9"/>
      <c r="AJ1969" s="9"/>
      <c r="AK1969" s="9"/>
      <c r="AL1969" s="9"/>
      <c r="AM1969" s="9"/>
      <c r="AN1969" s="9"/>
      <c r="AO1969" s="9"/>
      <c r="AP1969" s="9"/>
      <c r="AQ1969" s="9"/>
      <c r="AR1969" s="9"/>
      <c r="AS1969" s="9"/>
      <c r="AT1969" s="9"/>
      <c r="AU1969" s="9"/>
    </row>
    <row r="1970" spans="1:47" ht="15.75" customHeight="1">
      <c r="A1970" s="9"/>
      <c r="B1970" s="9"/>
      <c r="C1970" s="9"/>
      <c r="D1970" s="9"/>
      <c r="E1970" s="9"/>
      <c r="F1970" s="67"/>
      <c r="G1970" s="9"/>
      <c r="H1970" s="9"/>
      <c r="I1970" s="9"/>
      <c r="J1970" s="9"/>
      <c r="K1970" s="9"/>
      <c r="L1970" s="9"/>
      <c r="M1970" s="9"/>
      <c r="N1970" s="9"/>
      <c r="O1970" s="9"/>
      <c r="P1970" s="9"/>
      <c r="Q1970" s="9"/>
      <c r="R1970" s="9"/>
      <c r="S1970" s="9"/>
      <c r="T1970" s="9"/>
      <c r="U1970" s="9"/>
      <c r="V1970" s="9"/>
      <c r="W1970" s="9"/>
      <c r="X1970" s="9"/>
      <c r="Y1970" s="9"/>
      <c r="Z1970" s="9"/>
      <c r="AA1970" s="9"/>
      <c r="AB1970" s="9"/>
      <c r="AC1970" s="9"/>
      <c r="AD1970" s="9"/>
      <c r="AE1970" s="9"/>
      <c r="AF1970" s="9"/>
      <c r="AG1970" s="9"/>
      <c r="AH1970" s="9"/>
      <c r="AI1970" s="9"/>
      <c r="AJ1970" s="9"/>
      <c r="AK1970" s="9"/>
      <c r="AL1970" s="9"/>
      <c r="AM1970" s="9"/>
      <c r="AN1970" s="9"/>
      <c r="AO1970" s="9"/>
      <c r="AP1970" s="9"/>
      <c r="AQ1970" s="9"/>
      <c r="AR1970" s="9"/>
      <c r="AS1970" s="9"/>
      <c r="AT1970" s="9"/>
      <c r="AU1970" s="9"/>
    </row>
    <row r="1971" spans="1:47" ht="15.75" customHeight="1">
      <c r="A1971" s="9"/>
      <c r="B1971" s="9"/>
      <c r="C1971" s="9"/>
      <c r="D1971" s="9"/>
      <c r="E1971" s="9"/>
      <c r="F1971" s="67"/>
      <c r="G1971" s="9"/>
      <c r="H1971" s="9"/>
      <c r="I1971" s="9"/>
      <c r="J1971" s="9"/>
      <c r="K1971" s="9"/>
      <c r="L1971" s="9"/>
      <c r="M1971" s="9"/>
      <c r="N1971" s="9"/>
      <c r="O1971" s="9"/>
      <c r="P1971" s="9"/>
      <c r="Q1971" s="9"/>
      <c r="R1971" s="9"/>
      <c r="S1971" s="9"/>
      <c r="T1971" s="9"/>
      <c r="U1971" s="9"/>
      <c r="V1971" s="9"/>
      <c r="W1971" s="9"/>
      <c r="X1971" s="9"/>
      <c r="Y1971" s="9"/>
      <c r="Z1971" s="9"/>
      <c r="AA1971" s="9"/>
      <c r="AB1971" s="9"/>
      <c r="AC1971" s="9"/>
      <c r="AD1971" s="9"/>
      <c r="AE1971" s="9"/>
      <c r="AF1971" s="9"/>
      <c r="AG1971" s="9"/>
      <c r="AH1971" s="9"/>
      <c r="AI1971" s="9"/>
      <c r="AJ1971" s="9"/>
      <c r="AK1971" s="9"/>
      <c r="AL1971" s="9"/>
      <c r="AM1971" s="9"/>
      <c r="AN1971" s="9"/>
      <c r="AO1971" s="9"/>
      <c r="AP1971" s="9"/>
      <c r="AQ1971" s="9"/>
      <c r="AR1971" s="9"/>
      <c r="AS1971" s="9"/>
      <c r="AT1971" s="9"/>
      <c r="AU1971" s="9"/>
    </row>
    <row r="1972" spans="1:47" ht="15.75" customHeight="1">
      <c r="A1972" s="9"/>
      <c r="B1972" s="9"/>
      <c r="C1972" s="9"/>
      <c r="D1972" s="9"/>
      <c r="E1972" s="9"/>
      <c r="F1972" s="67"/>
      <c r="G1972" s="9"/>
      <c r="H1972" s="9"/>
      <c r="I1972" s="9"/>
      <c r="J1972" s="9"/>
      <c r="K1972" s="9"/>
      <c r="L1972" s="9"/>
      <c r="M1972" s="9"/>
      <c r="N1972" s="9"/>
      <c r="O1972" s="9"/>
      <c r="P1972" s="9"/>
      <c r="Q1972" s="9"/>
      <c r="R1972" s="9"/>
      <c r="S1972" s="9"/>
      <c r="T1972" s="9"/>
      <c r="U1972" s="9"/>
      <c r="V1972" s="9"/>
      <c r="W1972" s="9"/>
      <c r="X1972" s="9"/>
      <c r="Y1972" s="9"/>
      <c r="Z1972" s="9"/>
      <c r="AA1972" s="9"/>
      <c r="AB1972" s="9"/>
      <c r="AC1972" s="9"/>
      <c r="AD1972" s="9"/>
      <c r="AE1972" s="9"/>
      <c r="AF1972" s="9"/>
      <c r="AG1972" s="9"/>
      <c r="AH1972" s="9"/>
      <c r="AI1972" s="9"/>
      <c r="AJ1972" s="9"/>
      <c r="AK1972" s="9"/>
      <c r="AL1972" s="9"/>
      <c r="AM1972" s="9"/>
      <c r="AN1972" s="9"/>
      <c r="AO1972" s="9"/>
      <c r="AP1972" s="9"/>
      <c r="AQ1972" s="9"/>
      <c r="AR1972" s="9"/>
      <c r="AS1972" s="9"/>
      <c r="AT1972" s="9"/>
      <c r="AU1972" s="9"/>
    </row>
    <row r="1973" spans="1:47" ht="15.75" customHeight="1">
      <c r="A1973" s="9"/>
      <c r="B1973" s="9"/>
      <c r="C1973" s="9"/>
      <c r="D1973" s="9"/>
      <c r="E1973" s="9"/>
      <c r="F1973" s="67"/>
      <c r="G1973" s="9"/>
      <c r="H1973" s="9"/>
      <c r="I1973" s="9"/>
      <c r="J1973" s="9"/>
      <c r="K1973" s="9"/>
      <c r="L1973" s="9"/>
      <c r="M1973" s="9"/>
      <c r="N1973" s="9"/>
      <c r="O1973" s="9"/>
      <c r="P1973" s="9"/>
      <c r="Q1973" s="9"/>
      <c r="R1973" s="9"/>
      <c r="S1973" s="9"/>
      <c r="T1973" s="9"/>
      <c r="U1973" s="9"/>
      <c r="V1973" s="9"/>
      <c r="W1973" s="9"/>
      <c r="X1973" s="9"/>
      <c r="Y1973" s="9"/>
      <c r="Z1973" s="9"/>
      <c r="AA1973" s="9"/>
      <c r="AB1973" s="9"/>
      <c r="AC1973" s="9"/>
      <c r="AD1973" s="9"/>
      <c r="AE1973" s="9"/>
      <c r="AF1973" s="9"/>
      <c r="AG1973" s="9"/>
      <c r="AH1973" s="9"/>
      <c r="AI1973" s="9"/>
      <c r="AJ1973" s="9"/>
      <c r="AK1973" s="9"/>
      <c r="AL1973" s="9"/>
      <c r="AM1973" s="9"/>
      <c r="AN1973" s="9"/>
      <c r="AO1973" s="9"/>
      <c r="AP1973" s="9"/>
      <c r="AQ1973" s="9"/>
      <c r="AR1973" s="9"/>
      <c r="AS1973" s="9"/>
      <c r="AT1973" s="9"/>
      <c r="AU1973" s="9"/>
    </row>
    <row r="1974" spans="1:47" ht="15.75" customHeight="1">
      <c r="A1974" s="9"/>
      <c r="B1974" s="9"/>
      <c r="C1974" s="9"/>
      <c r="D1974" s="9"/>
      <c r="E1974" s="9"/>
      <c r="F1974" s="67"/>
      <c r="G1974" s="9"/>
      <c r="H1974" s="9"/>
      <c r="I1974" s="9"/>
      <c r="J1974" s="9"/>
      <c r="K1974" s="9"/>
      <c r="L1974" s="9"/>
      <c r="M1974" s="9"/>
      <c r="N1974" s="9"/>
      <c r="O1974" s="9"/>
      <c r="P1974" s="9"/>
      <c r="Q1974" s="9"/>
      <c r="R1974" s="9"/>
      <c r="S1974" s="9"/>
      <c r="T1974" s="9"/>
      <c r="U1974" s="9"/>
      <c r="V1974" s="9"/>
      <c r="W1974" s="9"/>
      <c r="X1974" s="9"/>
      <c r="Y1974" s="9"/>
      <c r="Z1974" s="9"/>
      <c r="AA1974" s="9"/>
      <c r="AB1974" s="9"/>
      <c r="AC1974" s="9"/>
      <c r="AD1974" s="9"/>
      <c r="AE1974" s="9"/>
      <c r="AF1974" s="9"/>
      <c r="AG1974" s="9"/>
      <c r="AH1974" s="9"/>
      <c r="AI1974" s="9"/>
      <c r="AJ1974" s="9"/>
      <c r="AK1974" s="9"/>
      <c r="AL1974" s="9"/>
      <c r="AM1974" s="9"/>
      <c r="AN1974" s="9"/>
      <c r="AO1974" s="9"/>
      <c r="AP1974" s="9"/>
      <c r="AQ1974" s="9"/>
      <c r="AR1974" s="9"/>
      <c r="AS1974" s="9"/>
      <c r="AT1974" s="9"/>
      <c r="AU1974" s="9"/>
    </row>
    <row r="1975" spans="1:47" ht="15.75" customHeight="1">
      <c r="A1975" s="9"/>
      <c r="B1975" s="9"/>
      <c r="C1975" s="9"/>
      <c r="D1975" s="9"/>
      <c r="E1975" s="9"/>
      <c r="F1975" s="67"/>
      <c r="G1975" s="9"/>
      <c r="H1975" s="9"/>
      <c r="I1975" s="9"/>
      <c r="J1975" s="9"/>
      <c r="K1975" s="9"/>
      <c r="L1975" s="9"/>
      <c r="M1975" s="9"/>
      <c r="N1975" s="9"/>
      <c r="O1975" s="9"/>
      <c r="P1975" s="9"/>
      <c r="Q1975" s="9"/>
      <c r="R1975" s="9"/>
      <c r="S1975" s="9"/>
      <c r="T1975" s="9"/>
      <c r="U1975" s="9"/>
      <c r="V1975" s="9"/>
      <c r="W1975" s="9"/>
      <c r="X1975" s="9"/>
      <c r="Y1975" s="9"/>
      <c r="Z1975" s="9"/>
      <c r="AA1975" s="9"/>
      <c r="AB1975" s="9"/>
      <c r="AC1975" s="9"/>
      <c r="AD1975" s="9"/>
      <c r="AE1975" s="9"/>
      <c r="AF1975" s="9"/>
      <c r="AG1975" s="9"/>
      <c r="AH1975" s="9"/>
      <c r="AI1975" s="9"/>
      <c r="AJ1975" s="9"/>
      <c r="AK1975" s="9"/>
      <c r="AL1975" s="9"/>
      <c r="AM1975" s="9"/>
      <c r="AN1975" s="9"/>
      <c r="AO1975" s="9"/>
      <c r="AP1975" s="9"/>
      <c r="AQ1975" s="9"/>
      <c r="AR1975" s="9"/>
      <c r="AS1975" s="9"/>
      <c r="AT1975" s="9"/>
      <c r="AU1975" s="9"/>
    </row>
    <row r="1976" spans="1:47" ht="15.75" customHeight="1">
      <c r="A1976" s="9"/>
      <c r="B1976" s="9"/>
      <c r="C1976" s="9"/>
      <c r="D1976" s="9"/>
      <c r="E1976" s="9"/>
      <c r="F1976" s="67"/>
      <c r="G1976" s="9"/>
      <c r="H1976" s="9"/>
      <c r="I1976" s="9"/>
      <c r="J1976" s="9"/>
      <c r="K1976" s="9"/>
      <c r="L1976" s="9"/>
      <c r="M1976" s="9"/>
      <c r="N1976" s="9"/>
      <c r="O1976" s="9"/>
      <c r="P1976" s="9"/>
      <c r="Q1976" s="9"/>
      <c r="R1976" s="9"/>
      <c r="S1976" s="9"/>
      <c r="T1976" s="9"/>
      <c r="U1976" s="9"/>
      <c r="V1976" s="9"/>
      <c r="W1976" s="9"/>
      <c r="X1976" s="9"/>
      <c r="Y1976" s="9"/>
      <c r="Z1976" s="9"/>
      <c r="AA1976" s="9"/>
      <c r="AB1976" s="9"/>
      <c r="AC1976" s="9"/>
      <c r="AD1976" s="9"/>
      <c r="AE1976" s="9"/>
      <c r="AF1976" s="9"/>
      <c r="AG1976" s="9"/>
      <c r="AH1976" s="9"/>
      <c r="AI1976" s="9"/>
      <c r="AJ1976" s="9"/>
      <c r="AK1976" s="9"/>
      <c r="AL1976" s="9"/>
      <c r="AM1976" s="9"/>
      <c r="AN1976" s="9"/>
      <c r="AO1976" s="9"/>
      <c r="AP1976" s="9"/>
      <c r="AQ1976" s="9"/>
      <c r="AR1976" s="9"/>
      <c r="AS1976" s="9"/>
      <c r="AT1976" s="9"/>
      <c r="AU1976" s="9"/>
    </row>
    <row r="1977" spans="1:47" ht="15.75" customHeight="1">
      <c r="A1977" s="9"/>
      <c r="B1977" s="9"/>
      <c r="C1977" s="9"/>
      <c r="D1977" s="9"/>
      <c r="E1977" s="9"/>
      <c r="F1977" s="67"/>
      <c r="G1977" s="9"/>
      <c r="H1977" s="9"/>
      <c r="I1977" s="9"/>
      <c r="J1977" s="9"/>
      <c r="K1977" s="9"/>
      <c r="L1977" s="9"/>
      <c r="M1977" s="9"/>
      <c r="N1977" s="9"/>
      <c r="O1977" s="9"/>
      <c r="P1977" s="9"/>
      <c r="Q1977" s="9"/>
      <c r="R1977" s="9"/>
      <c r="S1977" s="9"/>
      <c r="T1977" s="9"/>
      <c r="U1977" s="9"/>
      <c r="V1977" s="9"/>
      <c r="W1977" s="9"/>
      <c r="X1977" s="9"/>
      <c r="Y1977" s="9"/>
      <c r="Z1977" s="9"/>
      <c r="AA1977" s="9"/>
      <c r="AB1977" s="9"/>
      <c r="AC1977" s="9"/>
      <c r="AD1977" s="9"/>
      <c r="AE1977" s="9"/>
      <c r="AF1977" s="9"/>
      <c r="AG1977" s="9"/>
      <c r="AH1977" s="9"/>
      <c r="AI1977" s="9"/>
      <c r="AJ1977" s="9"/>
      <c r="AK1977" s="9"/>
      <c r="AL1977" s="9"/>
      <c r="AM1977" s="9"/>
      <c r="AN1977" s="9"/>
      <c r="AO1977" s="9"/>
      <c r="AP1977" s="9"/>
      <c r="AQ1977" s="9"/>
      <c r="AR1977" s="9"/>
      <c r="AS1977" s="9"/>
      <c r="AT1977" s="9"/>
      <c r="AU1977" s="9"/>
    </row>
    <row r="1978" spans="1:47" ht="15.75" customHeight="1">
      <c r="A1978" s="9"/>
      <c r="B1978" s="9"/>
      <c r="C1978" s="9"/>
      <c r="D1978" s="9"/>
      <c r="E1978" s="9"/>
      <c r="F1978" s="67"/>
      <c r="G1978" s="9"/>
      <c r="H1978" s="9"/>
      <c r="I1978" s="9"/>
      <c r="J1978" s="9"/>
      <c r="K1978" s="9"/>
      <c r="L1978" s="9"/>
      <c r="M1978" s="9"/>
      <c r="N1978" s="9"/>
      <c r="O1978" s="9"/>
      <c r="P1978" s="9"/>
      <c r="Q1978" s="9"/>
      <c r="R1978" s="9"/>
      <c r="S1978" s="9"/>
      <c r="T1978" s="9"/>
      <c r="U1978" s="9"/>
      <c r="V1978" s="9"/>
      <c r="W1978" s="9"/>
      <c r="X1978" s="9"/>
      <c r="Y1978" s="9"/>
      <c r="Z1978" s="9"/>
      <c r="AA1978" s="9"/>
      <c r="AB1978" s="9"/>
      <c r="AC1978" s="9"/>
      <c r="AD1978" s="9"/>
      <c r="AE1978" s="9"/>
      <c r="AF1978" s="9"/>
      <c r="AG1978" s="9"/>
      <c r="AH1978" s="9"/>
      <c r="AI1978" s="9"/>
      <c r="AJ1978" s="9"/>
      <c r="AK1978" s="9"/>
      <c r="AL1978" s="9"/>
      <c r="AM1978" s="9"/>
      <c r="AN1978" s="9"/>
      <c r="AO1978" s="9"/>
      <c r="AP1978" s="9"/>
      <c r="AQ1978" s="9"/>
      <c r="AR1978" s="9"/>
      <c r="AS1978" s="9"/>
      <c r="AT1978" s="9"/>
      <c r="AU1978" s="9"/>
    </row>
    <row r="1979" spans="1:47" ht="15.75" customHeight="1">
      <c r="A1979" s="9"/>
      <c r="B1979" s="9"/>
      <c r="C1979" s="9"/>
      <c r="D1979" s="9"/>
      <c r="E1979" s="9"/>
      <c r="F1979" s="67"/>
      <c r="G1979" s="9"/>
      <c r="H1979" s="9"/>
      <c r="I1979" s="9"/>
      <c r="J1979" s="9"/>
      <c r="K1979" s="9"/>
      <c r="L1979" s="9"/>
      <c r="M1979" s="9"/>
      <c r="N1979" s="9"/>
      <c r="O1979" s="9"/>
      <c r="P1979" s="9"/>
      <c r="Q1979" s="9"/>
      <c r="R1979" s="9"/>
      <c r="S1979" s="9"/>
      <c r="T1979" s="9"/>
      <c r="U1979" s="9"/>
      <c r="V1979" s="9"/>
      <c r="W1979" s="9"/>
      <c r="X1979" s="9"/>
      <c r="Y1979" s="9"/>
      <c r="Z1979" s="9"/>
      <c r="AA1979" s="9"/>
      <c r="AB1979" s="9"/>
      <c r="AC1979" s="9"/>
      <c r="AD1979" s="9"/>
      <c r="AE1979" s="9"/>
      <c r="AF1979" s="9"/>
      <c r="AG1979" s="9"/>
      <c r="AH1979" s="9"/>
      <c r="AI1979" s="9"/>
      <c r="AJ1979" s="9"/>
      <c r="AK1979" s="9"/>
      <c r="AL1979" s="9"/>
      <c r="AM1979" s="9"/>
      <c r="AN1979" s="9"/>
      <c r="AO1979" s="9"/>
      <c r="AP1979" s="9"/>
      <c r="AQ1979" s="9"/>
      <c r="AR1979" s="9"/>
      <c r="AS1979" s="9"/>
      <c r="AT1979" s="9"/>
      <c r="AU1979" s="9"/>
    </row>
    <row r="1980" spans="1:47" ht="15.75" customHeight="1">
      <c r="A1980" s="9"/>
      <c r="B1980" s="9"/>
      <c r="C1980" s="9"/>
      <c r="D1980" s="9"/>
      <c r="E1980" s="9"/>
      <c r="F1980" s="67"/>
      <c r="G1980" s="9"/>
      <c r="H1980" s="9"/>
      <c r="I1980" s="9"/>
      <c r="J1980" s="9"/>
      <c r="K1980" s="9"/>
      <c r="L1980" s="9"/>
      <c r="M1980" s="9"/>
      <c r="N1980" s="9"/>
      <c r="O1980" s="9"/>
      <c r="P1980" s="9"/>
      <c r="Q1980" s="9"/>
      <c r="R1980" s="9"/>
      <c r="S1980" s="9"/>
      <c r="T1980" s="9"/>
      <c r="U1980" s="9"/>
      <c r="V1980" s="9"/>
      <c r="W1980" s="9"/>
      <c r="X1980" s="9"/>
      <c r="Y1980" s="9"/>
      <c r="Z1980" s="9"/>
      <c r="AA1980" s="9"/>
      <c r="AB1980" s="9"/>
      <c r="AC1980" s="9"/>
      <c r="AD1980" s="9"/>
      <c r="AE1980" s="9"/>
      <c r="AF1980" s="9"/>
      <c r="AG1980" s="9"/>
      <c r="AH1980" s="9"/>
      <c r="AI1980" s="9"/>
      <c r="AJ1980" s="9"/>
      <c r="AK1980" s="9"/>
      <c r="AL1980" s="9"/>
      <c r="AM1980" s="9"/>
      <c r="AN1980" s="9"/>
      <c r="AO1980" s="9"/>
      <c r="AP1980" s="9"/>
      <c r="AQ1980" s="9"/>
      <c r="AR1980" s="9"/>
      <c r="AS1980" s="9"/>
      <c r="AT1980" s="9"/>
      <c r="AU1980" s="9"/>
    </row>
    <row r="1981" spans="1:47" ht="15.75" customHeight="1">
      <c r="A1981" s="9"/>
      <c r="B1981" s="9"/>
      <c r="C1981" s="9"/>
      <c r="D1981" s="9"/>
      <c r="E1981" s="9"/>
      <c r="F1981" s="67"/>
      <c r="G1981" s="9"/>
      <c r="H1981" s="9"/>
      <c r="I1981" s="9"/>
      <c r="J1981" s="9"/>
      <c r="K1981" s="9"/>
      <c r="L1981" s="9"/>
      <c r="M1981" s="9"/>
      <c r="N1981" s="9"/>
      <c r="O1981" s="9"/>
      <c r="P1981" s="9"/>
      <c r="Q1981" s="9"/>
      <c r="R1981" s="9"/>
      <c r="S1981" s="9"/>
      <c r="T1981" s="9"/>
      <c r="U1981" s="9"/>
      <c r="V1981" s="9"/>
      <c r="W1981" s="9"/>
      <c r="X1981" s="9"/>
      <c r="Y1981" s="9"/>
      <c r="Z1981" s="9"/>
      <c r="AA1981" s="9"/>
      <c r="AB1981" s="9"/>
      <c r="AC1981" s="9"/>
      <c r="AD1981" s="9"/>
      <c r="AE1981" s="9"/>
      <c r="AF1981" s="9"/>
      <c r="AG1981" s="9"/>
      <c r="AH1981" s="9"/>
      <c r="AI1981" s="9"/>
      <c r="AJ1981" s="9"/>
      <c r="AK1981" s="9"/>
      <c r="AL1981" s="9"/>
      <c r="AM1981" s="9"/>
      <c r="AN1981" s="9"/>
      <c r="AO1981" s="9"/>
      <c r="AP1981" s="9"/>
      <c r="AQ1981" s="9"/>
      <c r="AR1981" s="9"/>
      <c r="AS1981" s="9"/>
      <c r="AT1981" s="9"/>
      <c r="AU1981" s="9"/>
    </row>
    <row r="1982" spans="1:47" ht="15.75" customHeight="1">
      <c r="A1982" s="9"/>
      <c r="B1982" s="9"/>
      <c r="C1982" s="9"/>
      <c r="D1982" s="9"/>
      <c r="E1982" s="9"/>
      <c r="F1982" s="67"/>
      <c r="G1982" s="9"/>
      <c r="H1982" s="9"/>
      <c r="I1982" s="9"/>
      <c r="J1982" s="9"/>
      <c r="K1982" s="9"/>
      <c r="L1982" s="9"/>
      <c r="M1982" s="9"/>
      <c r="N1982" s="9"/>
      <c r="O1982" s="9"/>
      <c r="P1982" s="9"/>
      <c r="Q1982" s="9"/>
      <c r="R1982" s="9"/>
      <c r="S1982" s="9"/>
      <c r="T1982" s="9"/>
      <c r="U1982" s="9"/>
      <c r="V1982" s="9"/>
      <c r="W1982" s="9"/>
      <c r="X1982" s="9"/>
      <c r="Y1982" s="9"/>
      <c r="Z1982" s="9"/>
      <c r="AA1982" s="9"/>
      <c r="AB1982" s="9"/>
      <c r="AC1982" s="9"/>
      <c r="AD1982" s="9"/>
      <c r="AE1982" s="9"/>
      <c r="AF1982" s="9"/>
      <c r="AG1982" s="9"/>
      <c r="AH1982" s="9"/>
      <c r="AI1982" s="9"/>
      <c r="AJ1982" s="9"/>
      <c r="AK1982" s="9"/>
      <c r="AL1982" s="9"/>
      <c r="AM1982" s="9"/>
      <c r="AN1982" s="9"/>
      <c r="AO1982" s="9"/>
      <c r="AP1982" s="9"/>
      <c r="AQ1982" s="9"/>
      <c r="AR1982" s="9"/>
      <c r="AS1982" s="9"/>
      <c r="AT1982" s="9"/>
      <c r="AU1982" s="9"/>
    </row>
    <row r="1983" spans="1:47" ht="15.75" customHeight="1">
      <c r="A1983" s="9"/>
      <c r="B1983" s="9"/>
      <c r="C1983" s="9"/>
      <c r="D1983" s="9"/>
      <c r="E1983" s="9"/>
      <c r="F1983" s="67"/>
      <c r="G1983" s="9"/>
      <c r="H1983" s="9"/>
      <c r="I1983" s="9"/>
      <c r="J1983" s="9"/>
      <c r="K1983" s="9"/>
      <c r="L1983" s="9"/>
      <c r="M1983" s="9"/>
      <c r="N1983" s="9"/>
      <c r="O1983" s="9"/>
      <c r="P1983" s="9"/>
      <c r="Q1983" s="9"/>
      <c r="R1983" s="9"/>
      <c r="S1983" s="9"/>
      <c r="T1983" s="9"/>
      <c r="U1983" s="9"/>
      <c r="V1983" s="9"/>
      <c r="W1983" s="9"/>
      <c r="X1983" s="9"/>
      <c r="Y1983" s="9"/>
      <c r="Z1983" s="9"/>
      <c r="AA1983" s="9"/>
      <c r="AB1983" s="9"/>
      <c r="AC1983" s="9"/>
      <c r="AD1983" s="9"/>
      <c r="AE1983" s="9"/>
      <c r="AF1983" s="9"/>
      <c r="AG1983" s="9"/>
      <c r="AH1983" s="9"/>
      <c r="AI1983" s="9"/>
      <c r="AJ1983" s="9"/>
      <c r="AK1983" s="9"/>
      <c r="AL1983" s="9"/>
      <c r="AM1983" s="9"/>
      <c r="AN1983" s="9"/>
      <c r="AO1983" s="9"/>
      <c r="AP1983" s="9"/>
      <c r="AQ1983" s="9"/>
      <c r="AR1983" s="9"/>
      <c r="AS1983" s="9"/>
      <c r="AT1983" s="9"/>
      <c r="AU1983" s="9"/>
    </row>
    <row r="1984" spans="1:47" ht="15.75" customHeight="1">
      <c r="A1984" s="9"/>
      <c r="B1984" s="9"/>
      <c r="C1984" s="9"/>
      <c r="D1984" s="9"/>
      <c r="E1984" s="9"/>
      <c r="F1984" s="67"/>
      <c r="G1984" s="9"/>
      <c r="H1984" s="9"/>
      <c r="I1984" s="9"/>
      <c r="J1984" s="9"/>
      <c r="K1984" s="9"/>
      <c r="L1984" s="9"/>
      <c r="M1984" s="9"/>
      <c r="N1984" s="9"/>
      <c r="O1984" s="9"/>
      <c r="P1984" s="9"/>
      <c r="Q1984" s="9"/>
      <c r="R1984" s="9"/>
      <c r="S1984" s="9"/>
      <c r="T1984" s="9"/>
      <c r="U1984" s="9"/>
      <c r="V1984" s="9"/>
      <c r="W1984" s="9"/>
      <c r="X1984" s="9"/>
      <c r="Y1984" s="9"/>
      <c r="Z1984" s="9"/>
      <c r="AA1984" s="9"/>
      <c r="AB1984" s="9"/>
      <c r="AC1984" s="9"/>
      <c r="AD1984" s="9"/>
      <c r="AE1984" s="9"/>
      <c r="AF1984" s="9"/>
      <c r="AG1984" s="9"/>
      <c r="AH1984" s="9"/>
      <c r="AI1984" s="9"/>
      <c r="AJ1984" s="9"/>
      <c r="AK1984" s="9"/>
      <c r="AL1984" s="9"/>
      <c r="AM1984" s="9"/>
      <c r="AN1984" s="9"/>
      <c r="AO1984" s="9"/>
      <c r="AP1984" s="9"/>
      <c r="AQ1984" s="9"/>
      <c r="AR1984" s="9"/>
      <c r="AS1984" s="9"/>
      <c r="AT1984" s="9"/>
      <c r="AU1984" s="9"/>
    </row>
    <row r="1985" spans="1:47" ht="15.75" customHeight="1">
      <c r="A1985" s="9"/>
      <c r="B1985" s="9"/>
      <c r="C1985" s="9"/>
      <c r="D1985" s="9"/>
      <c r="E1985" s="9"/>
      <c r="F1985" s="67"/>
      <c r="G1985" s="9"/>
      <c r="H1985" s="9"/>
      <c r="I1985" s="9"/>
      <c r="J1985" s="9"/>
      <c r="K1985" s="9"/>
      <c r="L1985" s="9"/>
      <c r="M1985" s="9"/>
      <c r="N1985" s="9"/>
      <c r="O1985" s="9"/>
      <c r="P1985" s="9"/>
      <c r="Q1985" s="9"/>
      <c r="R1985" s="9"/>
      <c r="S1985" s="9"/>
      <c r="T1985" s="9"/>
      <c r="U1985" s="9"/>
      <c r="V1985" s="9"/>
      <c r="W1985" s="9"/>
      <c r="X1985" s="9"/>
      <c r="Y1985" s="9"/>
      <c r="Z1985" s="9"/>
      <c r="AA1985" s="9"/>
      <c r="AB1985" s="9"/>
      <c r="AC1985" s="9"/>
      <c r="AD1985" s="9"/>
      <c r="AE1985" s="9"/>
      <c r="AF1985" s="9"/>
      <c r="AG1985" s="9"/>
      <c r="AH1985" s="9"/>
      <c r="AI1985" s="9"/>
      <c r="AJ1985" s="9"/>
      <c r="AK1985" s="9"/>
      <c r="AL1985" s="9"/>
      <c r="AM1985" s="9"/>
      <c r="AN1985" s="9"/>
      <c r="AO1985" s="9"/>
      <c r="AP1985" s="9"/>
      <c r="AQ1985" s="9"/>
      <c r="AR1985" s="9"/>
      <c r="AS1985" s="9"/>
      <c r="AT1985" s="9"/>
      <c r="AU1985" s="9"/>
    </row>
    <row r="1986" spans="1:47" ht="15.75" customHeight="1">
      <c r="A1986" s="9"/>
      <c r="B1986" s="9"/>
      <c r="C1986" s="9"/>
      <c r="D1986" s="9"/>
      <c r="E1986" s="9"/>
      <c r="F1986" s="67"/>
      <c r="G1986" s="9"/>
      <c r="H1986" s="9"/>
      <c r="I1986" s="9"/>
      <c r="J1986" s="9"/>
      <c r="K1986" s="9"/>
      <c r="L1986" s="9"/>
      <c r="M1986" s="9"/>
      <c r="N1986" s="9"/>
      <c r="O1986" s="9"/>
      <c r="P1986" s="9"/>
      <c r="Q1986" s="9"/>
      <c r="R1986" s="9"/>
      <c r="S1986" s="9"/>
      <c r="T1986" s="9"/>
      <c r="U1986" s="9"/>
      <c r="V1986" s="9"/>
      <c r="W1986" s="9"/>
      <c r="X1986" s="9"/>
      <c r="Y1986" s="9"/>
      <c r="Z1986" s="9"/>
      <c r="AA1986" s="9"/>
      <c r="AB1986" s="9"/>
      <c r="AC1986" s="9"/>
      <c r="AD1986" s="9"/>
      <c r="AE1986" s="9"/>
      <c r="AF1986" s="9"/>
      <c r="AG1986" s="9"/>
      <c r="AH1986" s="9"/>
      <c r="AI1986" s="9"/>
      <c r="AJ1986" s="9"/>
      <c r="AK1986" s="9"/>
      <c r="AL1986" s="9"/>
      <c r="AM1986" s="9"/>
      <c r="AN1986" s="9"/>
      <c r="AO1986" s="9"/>
      <c r="AP1986" s="9"/>
      <c r="AQ1986" s="9"/>
      <c r="AR1986" s="9"/>
      <c r="AS1986" s="9"/>
      <c r="AT1986" s="9"/>
      <c r="AU1986" s="9"/>
    </row>
    <row r="1987" spans="1:47" ht="15.75" customHeight="1">
      <c r="A1987" s="9"/>
      <c r="B1987" s="9"/>
      <c r="C1987" s="9"/>
      <c r="D1987" s="9"/>
      <c r="E1987" s="9"/>
      <c r="F1987" s="67"/>
      <c r="G1987" s="9"/>
      <c r="H1987" s="9"/>
      <c r="I1987" s="9"/>
      <c r="J1987" s="9"/>
      <c r="K1987" s="9"/>
      <c r="L1987" s="9"/>
      <c r="M1987" s="9"/>
      <c r="N1987" s="9"/>
      <c r="O1987" s="9"/>
      <c r="P1987" s="9"/>
      <c r="Q1987" s="9"/>
      <c r="R1987" s="9"/>
      <c r="S1987" s="9"/>
      <c r="T1987" s="9"/>
      <c r="U1987" s="9"/>
      <c r="V1987" s="9"/>
      <c r="W1987" s="9"/>
      <c r="X1987" s="9"/>
      <c r="Y1987" s="9"/>
      <c r="Z1987" s="9"/>
      <c r="AA1987" s="9"/>
      <c r="AB1987" s="9"/>
      <c r="AC1987" s="9"/>
      <c r="AD1987" s="9"/>
      <c r="AE1987" s="9"/>
      <c r="AF1987" s="9"/>
      <c r="AG1987" s="9"/>
      <c r="AH1987" s="9"/>
      <c r="AI1987" s="9"/>
      <c r="AJ1987" s="9"/>
      <c r="AK1987" s="9"/>
      <c r="AL1987" s="9"/>
      <c r="AM1987" s="9"/>
      <c r="AN1987" s="9"/>
      <c r="AO1987" s="9"/>
      <c r="AP1987" s="9"/>
      <c r="AQ1987" s="9"/>
      <c r="AR1987" s="9"/>
      <c r="AS1987" s="9"/>
      <c r="AT1987" s="9"/>
      <c r="AU1987" s="9"/>
    </row>
    <row r="1988" spans="1:47" ht="15.75" customHeight="1">
      <c r="A1988" s="9"/>
      <c r="B1988" s="9"/>
      <c r="C1988" s="9"/>
      <c r="D1988" s="9"/>
      <c r="E1988" s="9"/>
      <c r="F1988" s="67"/>
      <c r="G1988" s="9"/>
      <c r="H1988" s="9"/>
      <c r="I1988" s="9"/>
      <c r="J1988" s="9"/>
      <c r="K1988" s="9"/>
      <c r="L1988" s="9"/>
      <c r="M1988" s="9"/>
      <c r="N1988" s="9"/>
      <c r="O1988" s="9"/>
      <c r="P1988" s="9"/>
      <c r="Q1988" s="9"/>
      <c r="R1988" s="9"/>
      <c r="S1988" s="9"/>
      <c r="T1988" s="9"/>
      <c r="U1988" s="9"/>
      <c r="V1988" s="9"/>
      <c r="W1988" s="9"/>
      <c r="X1988" s="9"/>
      <c r="Y1988" s="9"/>
      <c r="Z1988" s="9"/>
      <c r="AA1988" s="9"/>
      <c r="AB1988" s="9"/>
      <c r="AC1988" s="9"/>
      <c r="AD1988" s="9"/>
      <c r="AE1988" s="9"/>
      <c r="AF1988" s="9"/>
      <c r="AG1988" s="9"/>
      <c r="AH1988" s="9"/>
      <c r="AI1988" s="9"/>
      <c r="AJ1988" s="9"/>
      <c r="AK1988" s="9"/>
      <c r="AL1988" s="9"/>
      <c r="AM1988" s="9"/>
      <c r="AN1988" s="9"/>
      <c r="AO1988" s="9"/>
      <c r="AP1988" s="9"/>
      <c r="AQ1988" s="9"/>
      <c r="AR1988" s="9"/>
      <c r="AS1988" s="9"/>
      <c r="AT1988" s="9"/>
      <c r="AU1988" s="9"/>
    </row>
    <row r="1989" spans="1:47" ht="15.75" customHeight="1">
      <c r="A1989" s="9"/>
      <c r="B1989" s="9"/>
      <c r="C1989" s="9"/>
      <c r="D1989" s="9"/>
      <c r="E1989" s="9"/>
      <c r="F1989" s="67"/>
      <c r="G1989" s="9"/>
      <c r="H1989" s="9"/>
      <c r="I1989" s="9"/>
      <c r="J1989" s="9"/>
      <c r="K1989" s="9"/>
      <c r="L1989" s="9"/>
      <c r="M1989" s="9"/>
      <c r="N1989" s="9"/>
      <c r="O1989" s="9"/>
      <c r="P1989" s="9"/>
      <c r="Q1989" s="9"/>
      <c r="R1989" s="9"/>
      <c r="S1989" s="9"/>
      <c r="T1989" s="9"/>
      <c r="U1989" s="9"/>
      <c r="V1989" s="9"/>
      <c r="W1989" s="9"/>
      <c r="X1989" s="9"/>
      <c r="Y1989" s="9"/>
      <c r="Z1989" s="9"/>
      <c r="AA1989" s="9"/>
      <c r="AB1989" s="9"/>
      <c r="AC1989" s="9"/>
      <c r="AD1989" s="9"/>
      <c r="AE1989" s="9"/>
      <c r="AF1989" s="9"/>
      <c r="AG1989" s="9"/>
      <c r="AH1989" s="9"/>
      <c r="AI1989" s="9"/>
      <c r="AJ1989" s="9"/>
      <c r="AK1989" s="9"/>
      <c r="AL1989" s="9"/>
      <c r="AM1989" s="9"/>
      <c r="AN1989" s="9"/>
      <c r="AO1989" s="9"/>
      <c r="AP1989" s="9"/>
      <c r="AQ1989" s="9"/>
      <c r="AR1989" s="9"/>
      <c r="AS1989" s="9"/>
      <c r="AT1989" s="9"/>
      <c r="AU1989" s="9"/>
    </row>
    <row r="1990" spans="1:47" ht="15.75" customHeight="1">
      <c r="A1990" s="9"/>
      <c r="B1990" s="9"/>
      <c r="C1990" s="9"/>
      <c r="D1990" s="9"/>
      <c r="E1990" s="9"/>
      <c r="F1990" s="67"/>
      <c r="G1990" s="9"/>
      <c r="H1990" s="9"/>
      <c r="I1990" s="9"/>
      <c r="J1990" s="9"/>
      <c r="K1990" s="9"/>
      <c r="L1990" s="9"/>
      <c r="M1990" s="9"/>
      <c r="N1990" s="9"/>
      <c r="O1990" s="9"/>
      <c r="P1990" s="9"/>
      <c r="Q1990" s="9"/>
      <c r="R1990" s="9"/>
      <c r="S1990" s="9"/>
      <c r="T1990" s="9"/>
      <c r="U1990" s="9"/>
      <c r="V1990" s="9"/>
      <c r="W1990" s="9"/>
      <c r="X1990" s="9"/>
      <c r="Y1990" s="9"/>
      <c r="Z1990" s="9"/>
      <c r="AA1990" s="9"/>
      <c r="AB1990" s="9"/>
      <c r="AC1990" s="9"/>
      <c r="AD1990" s="9"/>
      <c r="AE1990" s="9"/>
      <c r="AF1990" s="9"/>
      <c r="AG1990" s="9"/>
      <c r="AH1990" s="9"/>
      <c r="AI1990" s="9"/>
      <c r="AJ1990" s="9"/>
      <c r="AK1990" s="9"/>
      <c r="AL1990" s="9"/>
      <c r="AM1990" s="9"/>
      <c r="AN1990" s="9"/>
      <c r="AO1990" s="9"/>
      <c r="AP1990" s="9"/>
      <c r="AQ1990" s="9"/>
      <c r="AR1990" s="9"/>
      <c r="AS1990" s="9"/>
      <c r="AT1990" s="9"/>
      <c r="AU1990" s="9"/>
    </row>
    <row r="1991" spans="1:47" ht="15.75" customHeight="1">
      <c r="A1991" s="9"/>
      <c r="B1991" s="9"/>
      <c r="C1991" s="9"/>
      <c r="D1991" s="9"/>
      <c r="E1991" s="9"/>
      <c r="F1991" s="67"/>
      <c r="G1991" s="9"/>
      <c r="H1991" s="9"/>
      <c r="I1991" s="9"/>
      <c r="J1991" s="9"/>
      <c r="K1991" s="9"/>
      <c r="L1991" s="9"/>
      <c r="M1991" s="9"/>
      <c r="N1991" s="9"/>
      <c r="O1991" s="9"/>
      <c r="P1991" s="9"/>
      <c r="Q1991" s="9"/>
      <c r="R1991" s="9"/>
      <c r="S1991" s="9"/>
      <c r="T1991" s="9"/>
      <c r="U1991" s="9"/>
      <c r="V1991" s="9"/>
      <c r="W1991" s="9"/>
      <c r="X1991" s="9"/>
      <c r="Y1991" s="9"/>
      <c r="Z1991" s="9"/>
      <c r="AA1991" s="9"/>
      <c r="AB1991" s="9"/>
      <c r="AC1991" s="9"/>
      <c r="AD1991" s="9"/>
      <c r="AE1991" s="9"/>
      <c r="AF1991" s="9"/>
      <c r="AG1991" s="9"/>
      <c r="AH1991" s="9"/>
      <c r="AI1991" s="9"/>
      <c r="AJ1991" s="9"/>
      <c r="AK1991" s="9"/>
      <c r="AL1991" s="9"/>
      <c r="AM1991" s="9"/>
      <c r="AN1991" s="9"/>
      <c r="AO1991" s="9"/>
      <c r="AP1991" s="9"/>
      <c r="AQ1991" s="9"/>
      <c r="AR1991" s="9"/>
      <c r="AS1991" s="9"/>
      <c r="AT1991" s="9"/>
      <c r="AU1991" s="9"/>
    </row>
    <row r="1992" spans="1:47" ht="15.75" customHeight="1">
      <c r="A1992" s="9"/>
      <c r="B1992" s="9"/>
      <c r="C1992" s="9"/>
      <c r="D1992" s="9"/>
      <c r="E1992" s="9"/>
      <c r="F1992" s="67"/>
      <c r="G1992" s="9"/>
      <c r="H1992" s="9"/>
      <c r="I1992" s="9"/>
      <c r="J1992" s="9"/>
      <c r="K1992" s="9"/>
      <c r="L1992" s="9"/>
      <c r="M1992" s="9"/>
      <c r="N1992" s="9"/>
      <c r="O1992" s="9"/>
      <c r="P1992" s="9"/>
      <c r="Q1992" s="9"/>
      <c r="R1992" s="9"/>
      <c r="S1992" s="9"/>
      <c r="T1992" s="9"/>
      <c r="U1992" s="9"/>
      <c r="V1992" s="9"/>
      <c r="W1992" s="9"/>
      <c r="X1992" s="9"/>
      <c r="Y1992" s="9"/>
      <c r="Z1992" s="9"/>
      <c r="AA1992" s="9"/>
      <c r="AB1992" s="9"/>
      <c r="AC1992" s="9"/>
      <c r="AD1992" s="9"/>
      <c r="AE1992" s="9"/>
      <c r="AF1992" s="9"/>
      <c r="AG1992" s="9"/>
      <c r="AH1992" s="9"/>
      <c r="AI1992" s="9"/>
      <c r="AJ1992" s="9"/>
      <c r="AK1992" s="9"/>
      <c r="AL1992" s="9"/>
      <c r="AM1992" s="9"/>
      <c r="AN1992" s="9"/>
      <c r="AO1992" s="9"/>
      <c r="AP1992" s="9"/>
      <c r="AQ1992" s="9"/>
      <c r="AR1992" s="9"/>
      <c r="AS1992" s="9"/>
      <c r="AT1992" s="9"/>
      <c r="AU1992" s="9"/>
    </row>
    <row r="1993" spans="1:47" ht="15.75" customHeight="1">
      <c r="A1993" s="9"/>
      <c r="B1993" s="9"/>
      <c r="C1993" s="9"/>
      <c r="D1993" s="9"/>
      <c r="E1993" s="9"/>
      <c r="F1993" s="67"/>
      <c r="G1993" s="9"/>
      <c r="H1993" s="9"/>
      <c r="I1993" s="9"/>
      <c r="J1993" s="9"/>
      <c r="K1993" s="9"/>
      <c r="L1993" s="9"/>
      <c r="M1993" s="9"/>
      <c r="N1993" s="9"/>
      <c r="O1993" s="9"/>
      <c r="P1993" s="9"/>
      <c r="Q1993" s="9"/>
      <c r="R1993" s="9"/>
      <c r="S1993" s="9"/>
      <c r="T1993" s="9"/>
      <c r="U1993" s="9"/>
      <c r="V1993" s="9"/>
      <c r="W1993" s="9"/>
      <c r="X1993" s="9"/>
      <c r="Y1993" s="9"/>
      <c r="Z1993" s="9"/>
      <c r="AA1993" s="9"/>
      <c r="AB1993" s="9"/>
      <c r="AC1993" s="9"/>
      <c r="AD1993" s="9"/>
      <c r="AE1993" s="9"/>
      <c r="AF1993" s="9"/>
      <c r="AG1993" s="9"/>
      <c r="AH1993" s="9"/>
      <c r="AI1993" s="9"/>
      <c r="AJ1993" s="9"/>
      <c r="AK1993" s="9"/>
      <c r="AL1993" s="9"/>
      <c r="AM1993" s="9"/>
      <c r="AN1993" s="9"/>
      <c r="AO1993" s="9"/>
      <c r="AP1993" s="9"/>
      <c r="AQ1993" s="9"/>
      <c r="AR1993" s="9"/>
      <c r="AS1993" s="9"/>
      <c r="AT1993" s="9"/>
      <c r="AU1993" s="9"/>
    </row>
    <row r="1994" spans="1:47" ht="15.75" customHeight="1">
      <c r="A1994" s="9"/>
      <c r="B1994" s="9"/>
      <c r="C1994" s="9"/>
      <c r="D1994" s="9"/>
      <c r="E1994" s="9"/>
      <c r="F1994" s="67"/>
      <c r="G1994" s="9"/>
      <c r="H1994" s="9"/>
      <c r="I1994" s="9"/>
      <c r="J1994" s="9"/>
      <c r="K1994" s="9"/>
      <c r="L1994" s="9"/>
      <c r="M1994" s="9"/>
      <c r="N1994" s="9"/>
      <c r="O1994" s="9"/>
      <c r="P1994" s="9"/>
      <c r="Q1994" s="9"/>
      <c r="R1994" s="9"/>
      <c r="S1994" s="9"/>
      <c r="T1994" s="9"/>
      <c r="U1994" s="9"/>
      <c r="V1994" s="9"/>
      <c r="W1994" s="9"/>
      <c r="X1994" s="9"/>
      <c r="Y1994" s="9"/>
      <c r="Z1994" s="9"/>
      <c r="AA1994" s="9"/>
      <c r="AB1994" s="9"/>
      <c r="AC1994" s="9"/>
      <c r="AD1994" s="9"/>
      <c r="AE1994" s="9"/>
      <c r="AF1994" s="9"/>
      <c r="AG1994" s="9"/>
      <c r="AH1994" s="9"/>
      <c r="AI1994" s="9"/>
      <c r="AJ1994" s="9"/>
      <c r="AK1994" s="9"/>
      <c r="AL1994" s="9"/>
      <c r="AM1994" s="9"/>
      <c r="AN1994" s="9"/>
      <c r="AO1994" s="9"/>
      <c r="AP1994" s="9"/>
      <c r="AQ1994" s="9"/>
      <c r="AR1994" s="9"/>
      <c r="AS1994" s="9"/>
      <c r="AT1994" s="9"/>
      <c r="AU1994" s="9"/>
    </row>
    <row r="1995" spans="1:47" ht="15.75" customHeight="1">
      <c r="A1995" s="9"/>
      <c r="B1995" s="9"/>
      <c r="C1995" s="9"/>
      <c r="D1995" s="9"/>
      <c r="E1995" s="9"/>
      <c r="F1995" s="67"/>
      <c r="G1995" s="9"/>
      <c r="H1995" s="9"/>
      <c r="I1995" s="9"/>
      <c r="J1995" s="9"/>
      <c r="K1995" s="9"/>
      <c r="L1995" s="9"/>
      <c r="M1995" s="9"/>
      <c r="N1995" s="9"/>
      <c r="O1995" s="9"/>
      <c r="P1995" s="9"/>
      <c r="Q1995" s="9"/>
      <c r="R1995" s="9"/>
      <c r="S1995" s="9"/>
      <c r="T1995" s="9"/>
      <c r="U1995" s="9"/>
      <c r="V1995" s="9"/>
      <c r="W1995" s="9"/>
      <c r="X1995" s="9"/>
      <c r="Y1995" s="9"/>
      <c r="Z1995" s="9"/>
      <c r="AA1995" s="9"/>
      <c r="AB1995" s="9"/>
      <c r="AC1995" s="9"/>
      <c r="AD1995" s="9"/>
      <c r="AE1995" s="9"/>
      <c r="AF1995" s="9"/>
      <c r="AG1995" s="9"/>
      <c r="AH1995" s="9"/>
      <c r="AI1995" s="9"/>
      <c r="AJ1995" s="9"/>
      <c r="AK1995" s="9"/>
      <c r="AL1995" s="9"/>
      <c r="AM1995" s="9"/>
      <c r="AN1995" s="9"/>
      <c r="AO1995" s="9"/>
      <c r="AP1995" s="9"/>
      <c r="AQ1995" s="9"/>
      <c r="AR1995" s="9"/>
      <c r="AS1995" s="9"/>
      <c r="AT1995" s="9"/>
      <c r="AU1995" s="9"/>
    </row>
    <row r="1996" spans="1:47" ht="15.75" customHeight="1">
      <c r="A1996" s="9"/>
      <c r="B1996" s="9"/>
      <c r="C1996" s="9"/>
      <c r="D1996" s="9"/>
      <c r="E1996" s="9"/>
      <c r="F1996" s="67"/>
      <c r="G1996" s="9"/>
      <c r="H1996" s="9"/>
      <c r="I1996" s="9"/>
      <c r="J1996" s="9"/>
      <c r="K1996" s="9"/>
      <c r="L1996" s="9"/>
      <c r="M1996" s="9"/>
      <c r="N1996" s="9"/>
      <c r="O1996" s="9"/>
      <c r="P1996" s="9"/>
      <c r="Q1996" s="9"/>
      <c r="R1996" s="9"/>
      <c r="S1996" s="9"/>
      <c r="T1996" s="9"/>
      <c r="U1996" s="9"/>
      <c r="V1996" s="9"/>
      <c r="W1996" s="9"/>
      <c r="X1996" s="9"/>
      <c r="Y1996" s="9"/>
      <c r="Z1996" s="9"/>
      <c r="AA1996" s="9"/>
      <c r="AB1996" s="9"/>
      <c r="AC1996" s="9"/>
      <c r="AD1996" s="9"/>
      <c r="AE1996" s="9"/>
      <c r="AF1996" s="9"/>
      <c r="AG1996" s="9"/>
      <c r="AH1996" s="9"/>
      <c r="AI1996" s="9"/>
      <c r="AJ1996" s="9"/>
      <c r="AK1996" s="9"/>
      <c r="AL1996" s="9"/>
      <c r="AM1996" s="9"/>
      <c r="AN1996" s="9"/>
      <c r="AO1996" s="9"/>
      <c r="AP1996" s="9"/>
      <c r="AQ1996" s="9"/>
      <c r="AR1996" s="9"/>
      <c r="AS1996" s="9"/>
      <c r="AT1996" s="9"/>
      <c r="AU1996" s="9"/>
    </row>
    <row r="1997" spans="1:47" ht="15.75" customHeight="1">
      <c r="A1997" s="9"/>
      <c r="B1997" s="9"/>
      <c r="C1997" s="9"/>
      <c r="D1997" s="9"/>
      <c r="E1997" s="9"/>
      <c r="F1997" s="67"/>
      <c r="G1997" s="9"/>
      <c r="H1997" s="9"/>
      <c r="I1997" s="9"/>
      <c r="J1997" s="9"/>
      <c r="K1997" s="9"/>
      <c r="L1997" s="9"/>
      <c r="M1997" s="9"/>
      <c r="N1997" s="9"/>
      <c r="O1997" s="9"/>
      <c r="P1997" s="9"/>
      <c r="Q1997" s="9"/>
      <c r="R1997" s="9"/>
      <c r="S1997" s="9"/>
      <c r="T1997" s="9"/>
      <c r="U1997" s="9"/>
      <c r="V1997" s="9"/>
      <c r="W1997" s="9"/>
      <c r="X1997" s="9"/>
      <c r="Y1997" s="9"/>
      <c r="Z1997" s="9"/>
      <c r="AA1997" s="9"/>
      <c r="AB1997" s="9"/>
      <c r="AC1997" s="9"/>
      <c r="AD1997" s="9"/>
      <c r="AE1997" s="9"/>
      <c r="AF1997" s="9"/>
      <c r="AG1997" s="9"/>
      <c r="AH1997" s="9"/>
      <c r="AI1997" s="9"/>
      <c r="AJ1997" s="9"/>
      <c r="AK1997" s="9"/>
      <c r="AL1997" s="9"/>
      <c r="AM1997" s="9"/>
      <c r="AN1997" s="9"/>
      <c r="AO1997" s="9"/>
      <c r="AP1997" s="9"/>
      <c r="AQ1997" s="9"/>
      <c r="AR1997" s="9"/>
      <c r="AS1997" s="9"/>
      <c r="AT1997" s="9"/>
      <c r="AU1997" s="9"/>
    </row>
    <row r="1998" spans="1:47" ht="15.75" customHeight="1">
      <c r="A1998" s="9"/>
      <c r="B1998" s="9"/>
      <c r="C1998" s="9"/>
      <c r="D1998" s="9"/>
      <c r="E1998" s="9"/>
      <c r="F1998" s="67"/>
      <c r="G1998" s="9"/>
      <c r="H1998" s="9"/>
      <c r="I1998" s="9"/>
      <c r="J1998" s="9"/>
      <c r="K1998" s="9"/>
      <c r="L1998" s="9"/>
      <c r="M1998" s="9"/>
      <c r="N1998" s="9"/>
      <c r="O1998" s="9"/>
      <c r="P1998" s="9"/>
      <c r="Q1998" s="9"/>
      <c r="R1998" s="9"/>
      <c r="S1998" s="9"/>
      <c r="T1998" s="9"/>
      <c r="U1998" s="9"/>
      <c r="V1998" s="9"/>
      <c r="W1998" s="9"/>
      <c r="X1998" s="9"/>
      <c r="Y1998" s="9"/>
      <c r="Z1998" s="9"/>
      <c r="AA1998" s="9"/>
      <c r="AB1998" s="9"/>
      <c r="AC1998" s="9"/>
      <c r="AD1998" s="9"/>
      <c r="AE1998" s="9"/>
      <c r="AF1998" s="9"/>
      <c r="AG1998" s="9"/>
      <c r="AH1998" s="9"/>
      <c r="AI1998" s="9"/>
      <c r="AJ1998" s="9"/>
      <c r="AK1998" s="9"/>
      <c r="AL1998" s="9"/>
      <c r="AM1998" s="9"/>
      <c r="AN1998" s="9"/>
      <c r="AO1998" s="9"/>
      <c r="AP1998" s="9"/>
      <c r="AQ1998" s="9"/>
      <c r="AR1998" s="9"/>
      <c r="AS1998" s="9"/>
      <c r="AT1998" s="9"/>
      <c r="AU1998" s="9"/>
    </row>
    <row r="1999" spans="1:47" ht="15.75" customHeight="1">
      <c r="A1999" s="9"/>
      <c r="B1999" s="9"/>
      <c r="C1999" s="9"/>
      <c r="D1999" s="9"/>
      <c r="E1999" s="9"/>
      <c r="F1999" s="67"/>
      <c r="G1999" s="9"/>
      <c r="H1999" s="9"/>
      <c r="I1999" s="9"/>
      <c r="J1999" s="9"/>
      <c r="K1999" s="9"/>
      <c r="L1999" s="9"/>
      <c r="M1999" s="9"/>
      <c r="N1999" s="9"/>
      <c r="O1999" s="9"/>
      <c r="P1999" s="9"/>
      <c r="Q1999" s="9"/>
      <c r="R1999" s="9"/>
      <c r="S1999" s="9"/>
      <c r="T1999" s="9"/>
      <c r="U1999" s="9"/>
      <c r="V1999" s="9"/>
      <c r="W1999" s="9"/>
      <c r="X1999" s="9"/>
      <c r="Y1999" s="9"/>
      <c r="Z1999" s="9"/>
      <c r="AA1999" s="9"/>
      <c r="AB1999" s="9"/>
      <c r="AC1999" s="9"/>
      <c r="AD1999" s="9"/>
      <c r="AE1999" s="9"/>
      <c r="AF1999" s="9"/>
      <c r="AG1999" s="9"/>
      <c r="AH1999" s="9"/>
      <c r="AI1999" s="9"/>
      <c r="AJ1999" s="9"/>
      <c r="AK1999" s="9"/>
      <c r="AL1999" s="9"/>
      <c r="AM1999" s="9"/>
      <c r="AN1999" s="9"/>
      <c r="AO1999" s="9"/>
      <c r="AP1999" s="9"/>
      <c r="AQ1999" s="9"/>
      <c r="AR1999" s="9"/>
      <c r="AS1999" s="9"/>
      <c r="AT1999" s="9"/>
      <c r="AU1999" s="9"/>
    </row>
    <row r="2000" spans="1:47" ht="15.75" customHeight="1">
      <c r="A2000" s="9"/>
      <c r="B2000" s="9"/>
      <c r="C2000" s="9"/>
      <c r="D2000" s="9"/>
      <c r="E2000" s="9"/>
      <c r="F2000" s="67"/>
      <c r="G2000" s="9"/>
      <c r="H2000" s="9"/>
      <c r="I2000" s="9"/>
      <c r="J2000" s="9"/>
      <c r="K2000" s="9"/>
      <c r="L2000" s="9"/>
      <c r="M2000" s="9"/>
      <c r="N2000" s="9"/>
      <c r="O2000" s="9"/>
      <c r="P2000" s="9"/>
      <c r="Q2000" s="9"/>
      <c r="R2000" s="9"/>
      <c r="S2000" s="9"/>
      <c r="T2000" s="9"/>
      <c r="U2000" s="9"/>
      <c r="V2000" s="9"/>
      <c r="W2000" s="9"/>
      <c r="X2000" s="9"/>
      <c r="Y2000" s="9"/>
      <c r="Z2000" s="9"/>
      <c r="AA2000" s="9"/>
      <c r="AB2000" s="9"/>
      <c r="AC2000" s="9"/>
      <c r="AD2000" s="9"/>
      <c r="AE2000" s="9"/>
      <c r="AF2000" s="9"/>
      <c r="AG2000" s="9"/>
      <c r="AH2000" s="9"/>
      <c r="AI2000" s="9"/>
      <c r="AJ2000" s="9"/>
      <c r="AK2000" s="9"/>
      <c r="AL2000" s="9"/>
      <c r="AM2000" s="9"/>
      <c r="AN2000" s="9"/>
      <c r="AO2000" s="9"/>
      <c r="AP2000" s="9"/>
      <c r="AQ2000" s="9"/>
      <c r="AR2000" s="9"/>
      <c r="AS2000" s="9"/>
      <c r="AT2000" s="9"/>
      <c r="AU2000" s="9"/>
    </row>
    <row r="2001" spans="1:47" ht="15.75" customHeight="1">
      <c r="A2001" s="9"/>
      <c r="B2001" s="9"/>
      <c r="C2001" s="9"/>
      <c r="D2001" s="9"/>
      <c r="E2001" s="9"/>
      <c r="F2001" s="67"/>
      <c r="G2001" s="9"/>
      <c r="H2001" s="9"/>
      <c r="I2001" s="9"/>
      <c r="J2001" s="9"/>
      <c r="K2001" s="9"/>
      <c r="L2001" s="9"/>
      <c r="M2001" s="9"/>
      <c r="N2001" s="9"/>
      <c r="O2001" s="9"/>
      <c r="P2001" s="9"/>
      <c r="Q2001" s="9"/>
      <c r="R2001" s="9"/>
      <c r="S2001" s="9"/>
      <c r="T2001" s="9"/>
      <c r="U2001" s="9"/>
      <c r="V2001" s="9"/>
      <c r="W2001" s="9"/>
      <c r="X2001" s="9"/>
      <c r="Y2001" s="9"/>
      <c r="Z2001" s="9"/>
      <c r="AA2001" s="9"/>
      <c r="AB2001" s="9"/>
      <c r="AC2001" s="9"/>
      <c r="AD2001" s="9"/>
      <c r="AE2001" s="9"/>
      <c r="AF2001" s="9"/>
      <c r="AG2001" s="9"/>
      <c r="AH2001" s="9"/>
      <c r="AI2001" s="9"/>
      <c r="AJ2001" s="9"/>
      <c r="AK2001" s="9"/>
      <c r="AL2001" s="9"/>
      <c r="AM2001" s="9"/>
      <c r="AN2001" s="9"/>
      <c r="AO2001" s="9"/>
      <c r="AP2001" s="9"/>
      <c r="AQ2001" s="9"/>
      <c r="AR2001" s="9"/>
      <c r="AS2001" s="9"/>
      <c r="AT2001" s="9"/>
      <c r="AU2001" s="9"/>
    </row>
    <row r="2002" spans="1:47" ht="15.75" customHeight="1">
      <c r="A2002" s="9"/>
      <c r="B2002" s="9"/>
      <c r="C2002" s="9"/>
      <c r="D2002" s="9"/>
      <c r="E2002" s="9"/>
      <c r="F2002" s="67"/>
      <c r="G2002" s="9"/>
      <c r="H2002" s="9"/>
      <c r="I2002" s="9"/>
      <c r="J2002" s="9"/>
      <c r="K2002" s="9"/>
      <c r="L2002" s="9"/>
      <c r="M2002" s="9"/>
      <c r="N2002" s="9"/>
      <c r="O2002" s="9"/>
      <c r="P2002" s="9"/>
      <c r="Q2002" s="9"/>
      <c r="R2002" s="9"/>
      <c r="S2002" s="9"/>
      <c r="T2002" s="9"/>
      <c r="U2002" s="9"/>
      <c r="V2002" s="9"/>
      <c r="W2002" s="9"/>
      <c r="X2002" s="9"/>
      <c r="Y2002" s="9"/>
      <c r="Z2002" s="9"/>
      <c r="AA2002" s="9"/>
      <c r="AB2002" s="9"/>
      <c r="AC2002" s="9"/>
      <c r="AD2002" s="9"/>
      <c r="AE2002" s="9"/>
      <c r="AF2002" s="9"/>
      <c r="AG2002" s="9"/>
      <c r="AH2002" s="9"/>
      <c r="AI2002" s="9"/>
      <c r="AJ2002" s="9"/>
      <c r="AK2002" s="9"/>
      <c r="AL2002" s="9"/>
      <c r="AM2002" s="9"/>
      <c r="AN2002" s="9"/>
      <c r="AO2002" s="9"/>
      <c r="AP2002" s="9"/>
      <c r="AQ2002" s="9"/>
      <c r="AR2002" s="9"/>
      <c r="AS2002" s="9"/>
      <c r="AT2002" s="9"/>
      <c r="AU2002" s="9"/>
    </row>
    <row r="2003" spans="1:47" ht="15.75" customHeight="1">
      <c r="A2003" s="9"/>
      <c r="B2003" s="9"/>
      <c r="C2003" s="9"/>
      <c r="D2003" s="9"/>
      <c r="E2003" s="9"/>
      <c r="F2003" s="67"/>
      <c r="G2003" s="9"/>
      <c r="H2003" s="9"/>
      <c r="I2003" s="9"/>
      <c r="J2003" s="9"/>
      <c r="K2003" s="9"/>
      <c r="L2003" s="9"/>
      <c r="M2003" s="9"/>
      <c r="N2003" s="9"/>
      <c r="O2003" s="9"/>
      <c r="P2003" s="9"/>
      <c r="Q2003" s="9"/>
      <c r="R2003" s="9"/>
      <c r="S2003" s="9"/>
      <c r="T2003" s="9"/>
      <c r="U2003" s="9"/>
      <c r="V2003" s="9"/>
      <c r="W2003" s="9"/>
      <c r="X2003" s="9"/>
      <c r="Y2003" s="9"/>
      <c r="Z2003" s="9"/>
      <c r="AA2003" s="9"/>
      <c r="AB2003" s="9"/>
      <c r="AC2003" s="9"/>
      <c r="AD2003" s="9"/>
      <c r="AE2003" s="9"/>
      <c r="AF2003" s="9"/>
      <c r="AG2003" s="9"/>
      <c r="AH2003" s="9"/>
      <c r="AI2003" s="9"/>
      <c r="AJ2003" s="9"/>
      <c r="AK2003" s="9"/>
      <c r="AL2003" s="9"/>
      <c r="AM2003" s="9"/>
      <c r="AN2003" s="9"/>
      <c r="AO2003" s="9"/>
      <c r="AP2003" s="9"/>
      <c r="AQ2003" s="9"/>
      <c r="AR2003" s="9"/>
      <c r="AS2003" s="9"/>
      <c r="AT2003" s="9"/>
      <c r="AU2003" s="9"/>
    </row>
    <row r="2004" spans="1:47" ht="15.75" customHeight="1">
      <c r="A2004" s="9"/>
      <c r="B2004" s="9"/>
      <c r="C2004" s="9"/>
      <c r="D2004" s="9"/>
      <c r="E2004" s="9"/>
      <c r="F2004" s="67"/>
      <c r="G2004" s="9"/>
      <c r="H2004" s="9"/>
      <c r="I2004" s="9"/>
      <c r="J2004" s="9"/>
      <c r="K2004" s="9"/>
      <c r="L2004" s="9"/>
      <c r="M2004" s="9"/>
      <c r="N2004" s="9"/>
      <c r="O2004" s="9"/>
      <c r="P2004" s="9"/>
      <c r="Q2004" s="9"/>
      <c r="R2004" s="9"/>
      <c r="S2004" s="9"/>
      <c r="T2004" s="9"/>
      <c r="U2004" s="9"/>
      <c r="V2004" s="9"/>
      <c r="W2004" s="9"/>
      <c r="X2004" s="9"/>
      <c r="Y2004" s="9"/>
      <c r="Z2004" s="9"/>
      <c r="AA2004" s="9"/>
      <c r="AB2004" s="9"/>
      <c r="AC2004" s="9"/>
      <c r="AD2004" s="9"/>
      <c r="AE2004" s="9"/>
      <c r="AF2004" s="9"/>
      <c r="AG2004" s="9"/>
      <c r="AH2004" s="9"/>
      <c r="AI2004" s="9"/>
      <c r="AJ2004" s="9"/>
      <c r="AK2004" s="9"/>
      <c r="AL2004" s="9"/>
      <c r="AM2004" s="9"/>
      <c r="AN2004" s="9"/>
      <c r="AO2004" s="9"/>
      <c r="AP2004" s="9"/>
      <c r="AQ2004" s="9"/>
      <c r="AR2004" s="9"/>
      <c r="AS2004" s="9"/>
      <c r="AT2004" s="9"/>
      <c r="AU2004" s="9"/>
    </row>
    <row r="2005" spans="1:47" ht="15.75" customHeight="1">
      <c r="A2005" s="9"/>
      <c r="B2005" s="9"/>
      <c r="C2005" s="9"/>
      <c r="D2005" s="9"/>
      <c r="E2005" s="9"/>
      <c r="F2005" s="67"/>
      <c r="G2005" s="9"/>
      <c r="H2005" s="9"/>
      <c r="I2005" s="9"/>
      <c r="J2005" s="9"/>
      <c r="K2005" s="9"/>
      <c r="L2005" s="9"/>
      <c r="M2005" s="9"/>
      <c r="N2005" s="9"/>
      <c r="O2005" s="9"/>
      <c r="P2005" s="9"/>
      <c r="Q2005" s="9"/>
      <c r="R2005" s="9"/>
      <c r="S2005" s="9"/>
      <c r="T2005" s="9"/>
      <c r="U2005" s="9"/>
      <c r="V2005" s="9"/>
      <c r="W2005" s="9"/>
      <c r="X2005" s="9"/>
      <c r="Y2005" s="9"/>
      <c r="Z2005" s="9"/>
      <c r="AA2005" s="9"/>
      <c r="AB2005" s="9"/>
      <c r="AC2005" s="9"/>
      <c r="AD2005" s="9"/>
      <c r="AE2005" s="9"/>
      <c r="AF2005" s="9"/>
      <c r="AG2005" s="9"/>
      <c r="AH2005" s="9"/>
      <c r="AI2005" s="9"/>
      <c r="AJ2005" s="9"/>
      <c r="AK2005" s="9"/>
      <c r="AL2005" s="9"/>
      <c r="AM2005" s="9"/>
      <c r="AN2005" s="9"/>
      <c r="AO2005" s="9"/>
      <c r="AP2005" s="9"/>
      <c r="AQ2005" s="9"/>
      <c r="AR2005" s="9"/>
      <c r="AS2005" s="9"/>
      <c r="AT2005" s="9"/>
      <c r="AU2005" s="9"/>
    </row>
    <row r="2006" spans="1:47" ht="15.75" customHeight="1">
      <c r="A2006" s="9"/>
      <c r="B2006" s="9"/>
      <c r="C2006" s="9"/>
      <c r="D2006" s="9"/>
      <c r="E2006" s="9"/>
      <c r="F2006" s="67"/>
      <c r="G2006" s="9"/>
      <c r="H2006" s="9"/>
      <c r="I2006" s="9"/>
      <c r="J2006" s="9"/>
      <c r="K2006" s="9"/>
      <c r="L2006" s="9"/>
      <c r="M2006" s="9"/>
      <c r="N2006" s="9"/>
      <c r="O2006" s="9"/>
      <c r="P2006" s="9"/>
      <c r="Q2006" s="9"/>
      <c r="R2006" s="9"/>
      <c r="S2006" s="9"/>
      <c r="T2006" s="9"/>
      <c r="U2006" s="9"/>
      <c r="V2006" s="9"/>
      <c r="W2006" s="9"/>
      <c r="X2006" s="9"/>
      <c r="Y2006" s="9"/>
      <c r="Z2006" s="9"/>
      <c r="AA2006" s="9"/>
      <c r="AB2006" s="9"/>
      <c r="AC2006" s="9"/>
      <c r="AD2006" s="9"/>
      <c r="AE2006" s="9"/>
      <c r="AF2006" s="9"/>
      <c r="AG2006" s="9"/>
      <c r="AH2006" s="9"/>
      <c r="AI2006" s="9"/>
      <c r="AJ2006" s="9"/>
      <c r="AK2006" s="9"/>
      <c r="AL2006" s="9"/>
      <c r="AM2006" s="9"/>
      <c r="AN2006" s="9"/>
      <c r="AO2006" s="9"/>
      <c r="AP2006" s="9"/>
      <c r="AQ2006" s="9"/>
      <c r="AR2006" s="9"/>
      <c r="AS2006" s="9"/>
      <c r="AT2006" s="9"/>
      <c r="AU2006" s="9"/>
    </row>
    <row r="2007" spans="1:47" ht="15.75" customHeight="1">
      <c r="A2007" s="9"/>
      <c r="B2007" s="9"/>
      <c r="C2007" s="9"/>
      <c r="D2007" s="9"/>
      <c r="E2007" s="9"/>
      <c r="F2007" s="67"/>
      <c r="G2007" s="9"/>
      <c r="H2007" s="9"/>
      <c r="I2007" s="9"/>
      <c r="J2007" s="9"/>
      <c r="K2007" s="9"/>
      <c r="L2007" s="9"/>
      <c r="M2007" s="9"/>
      <c r="N2007" s="9"/>
      <c r="O2007" s="9"/>
      <c r="P2007" s="9"/>
      <c r="Q2007" s="9"/>
      <c r="R2007" s="9"/>
      <c r="S2007" s="9"/>
      <c r="T2007" s="9"/>
      <c r="U2007" s="9"/>
      <c r="V2007" s="9"/>
      <c r="W2007" s="9"/>
      <c r="X2007" s="9"/>
      <c r="Y2007" s="9"/>
      <c r="Z2007" s="9"/>
      <c r="AA2007" s="9"/>
      <c r="AB2007" s="9"/>
      <c r="AC2007" s="9"/>
      <c r="AD2007" s="9"/>
      <c r="AE2007" s="9"/>
      <c r="AF2007" s="9"/>
      <c r="AG2007" s="9"/>
      <c r="AH2007" s="9"/>
      <c r="AI2007" s="9"/>
      <c r="AJ2007" s="9"/>
      <c r="AK2007" s="9"/>
      <c r="AL2007" s="9"/>
      <c r="AM2007" s="9"/>
      <c r="AN2007" s="9"/>
      <c r="AO2007" s="9"/>
      <c r="AP2007" s="9"/>
      <c r="AQ2007" s="9"/>
      <c r="AR2007" s="9"/>
      <c r="AS2007" s="9"/>
      <c r="AT2007" s="9"/>
      <c r="AU2007" s="9"/>
    </row>
    <row r="2008" spans="1:47" ht="15.75" customHeight="1">
      <c r="A2008" s="9"/>
      <c r="B2008" s="9"/>
      <c r="C2008" s="9"/>
      <c r="D2008" s="9"/>
      <c r="E2008" s="9"/>
      <c r="F2008" s="67"/>
      <c r="G2008" s="9"/>
      <c r="H2008" s="9"/>
      <c r="I2008" s="9"/>
      <c r="J2008" s="9"/>
      <c r="K2008" s="9"/>
      <c r="L2008" s="9"/>
      <c r="M2008" s="9"/>
      <c r="N2008" s="9"/>
      <c r="O2008" s="9"/>
      <c r="P2008" s="9"/>
      <c r="Q2008" s="9"/>
      <c r="R2008" s="9"/>
      <c r="S2008" s="9"/>
      <c r="T2008" s="9"/>
      <c r="U2008" s="9"/>
      <c r="V2008" s="9"/>
      <c r="W2008" s="9"/>
      <c r="X2008" s="9"/>
      <c r="Y2008" s="9"/>
      <c r="Z2008" s="9"/>
      <c r="AA2008" s="9"/>
      <c r="AB2008" s="9"/>
      <c r="AC2008" s="9"/>
      <c r="AD2008" s="9"/>
      <c r="AE2008" s="9"/>
      <c r="AF2008" s="9"/>
      <c r="AG2008" s="9"/>
      <c r="AH2008" s="9"/>
      <c r="AI2008" s="9"/>
      <c r="AJ2008" s="9"/>
      <c r="AK2008" s="9"/>
      <c r="AL2008" s="9"/>
      <c r="AM2008" s="9"/>
      <c r="AN2008" s="9"/>
      <c r="AO2008" s="9"/>
      <c r="AP2008" s="9"/>
      <c r="AQ2008" s="9"/>
      <c r="AR2008" s="9"/>
      <c r="AS2008" s="9"/>
      <c r="AT2008" s="9"/>
      <c r="AU2008" s="9"/>
    </row>
    <row r="2009" spans="1:47" ht="15.75" customHeight="1">
      <c r="A2009" s="9"/>
      <c r="B2009" s="9"/>
      <c r="C2009" s="9"/>
      <c r="D2009" s="9"/>
      <c r="E2009" s="9"/>
      <c r="F2009" s="67"/>
      <c r="G2009" s="9"/>
      <c r="H2009" s="9"/>
      <c r="I2009" s="9"/>
      <c r="J2009" s="9"/>
      <c r="K2009" s="9"/>
      <c r="L2009" s="9"/>
      <c r="M2009" s="9"/>
      <c r="N2009" s="9"/>
      <c r="O2009" s="9"/>
      <c r="P2009" s="9"/>
      <c r="Q2009" s="9"/>
      <c r="R2009" s="9"/>
      <c r="S2009" s="9"/>
      <c r="T2009" s="9"/>
      <c r="U2009" s="9"/>
      <c r="V2009" s="9"/>
      <c r="W2009" s="9"/>
      <c r="X2009" s="9"/>
      <c r="Y2009" s="9"/>
      <c r="Z2009" s="9"/>
      <c r="AA2009" s="9"/>
      <c r="AB2009" s="9"/>
      <c r="AC2009" s="9"/>
      <c r="AD2009" s="9"/>
      <c r="AE2009" s="9"/>
      <c r="AF2009" s="9"/>
      <c r="AG2009" s="9"/>
      <c r="AH2009" s="9"/>
      <c r="AI2009" s="9"/>
      <c r="AJ2009" s="9"/>
      <c r="AK2009" s="9"/>
      <c r="AL2009" s="9"/>
      <c r="AM2009" s="9"/>
      <c r="AN2009" s="9"/>
      <c r="AO2009" s="9"/>
      <c r="AP2009" s="9"/>
      <c r="AQ2009" s="9"/>
      <c r="AR2009" s="9"/>
      <c r="AS2009" s="9"/>
      <c r="AT2009" s="9"/>
      <c r="AU2009" s="9"/>
    </row>
    <row r="2010" spans="1:47" ht="15.75" customHeight="1">
      <c r="A2010" s="9"/>
      <c r="B2010" s="9"/>
      <c r="C2010" s="9"/>
      <c r="D2010" s="9"/>
      <c r="E2010" s="9"/>
      <c r="F2010" s="67"/>
      <c r="G2010" s="9"/>
      <c r="H2010" s="9"/>
      <c r="I2010" s="9"/>
      <c r="J2010" s="9"/>
      <c r="K2010" s="9"/>
      <c r="L2010" s="9"/>
      <c r="M2010" s="9"/>
      <c r="N2010" s="9"/>
      <c r="O2010" s="9"/>
      <c r="P2010" s="9"/>
      <c r="Q2010" s="9"/>
      <c r="R2010" s="9"/>
      <c r="S2010" s="9"/>
      <c r="T2010" s="9"/>
      <c r="U2010" s="9"/>
      <c r="V2010" s="9"/>
      <c r="W2010" s="9"/>
      <c r="X2010" s="9"/>
      <c r="Y2010" s="9"/>
      <c r="Z2010" s="9"/>
      <c r="AA2010" s="9"/>
      <c r="AB2010" s="9"/>
      <c r="AC2010" s="9"/>
      <c r="AD2010" s="9"/>
      <c r="AE2010" s="9"/>
      <c r="AF2010" s="9"/>
      <c r="AG2010" s="9"/>
      <c r="AH2010" s="9"/>
      <c r="AI2010" s="9"/>
      <c r="AJ2010" s="9"/>
      <c r="AK2010" s="9"/>
      <c r="AL2010" s="9"/>
      <c r="AM2010" s="9"/>
      <c r="AN2010" s="9"/>
      <c r="AO2010" s="9"/>
      <c r="AP2010" s="9"/>
      <c r="AQ2010" s="9"/>
      <c r="AR2010" s="9"/>
      <c r="AS2010" s="9"/>
      <c r="AT2010" s="9"/>
      <c r="AU2010" s="9"/>
    </row>
    <row r="2011" spans="1:47" ht="15.75" customHeight="1">
      <c r="A2011" s="9"/>
      <c r="B2011" s="9"/>
      <c r="C2011" s="9"/>
      <c r="D2011" s="9"/>
      <c r="E2011" s="9"/>
      <c r="F2011" s="67"/>
      <c r="G2011" s="9"/>
      <c r="H2011" s="9"/>
      <c r="I2011" s="9"/>
      <c r="J2011" s="9"/>
      <c r="K2011" s="9"/>
      <c r="L2011" s="9"/>
      <c r="M2011" s="9"/>
      <c r="N2011" s="9"/>
      <c r="O2011" s="9"/>
      <c r="P2011" s="9"/>
      <c r="Q2011" s="9"/>
      <c r="R2011" s="9"/>
      <c r="S2011" s="9"/>
      <c r="T2011" s="9"/>
      <c r="U2011" s="9"/>
      <c r="V2011" s="9"/>
      <c r="W2011" s="9"/>
      <c r="X2011" s="9"/>
      <c r="Y2011" s="9"/>
      <c r="Z2011" s="9"/>
      <c r="AA2011" s="9"/>
      <c r="AB2011" s="9"/>
      <c r="AC2011" s="9"/>
      <c r="AD2011" s="9"/>
      <c r="AE2011" s="9"/>
      <c r="AF2011" s="9"/>
      <c r="AG2011" s="9"/>
      <c r="AH2011" s="9"/>
      <c r="AI2011" s="9"/>
      <c r="AJ2011" s="9"/>
      <c r="AK2011" s="9"/>
      <c r="AL2011" s="9"/>
      <c r="AM2011" s="9"/>
      <c r="AN2011" s="9"/>
      <c r="AO2011" s="9"/>
      <c r="AP2011" s="9"/>
      <c r="AQ2011" s="9"/>
      <c r="AR2011" s="9"/>
      <c r="AS2011" s="9"/>
      <c r="AT2011" s="9"/>
      <c r="AU2011" s="9"/>
    </row>
    <row r="2012" spans="1:47" ht="15.75" customHeight="1">
      <c r="A2012" s="9"/>
      <c r="B2012" s="9"/>
      <c r="C2012" s="9"/>
      <c r="D2012" s="9"/>
      <c r="E2012" s="9"/>
      <c r="F2012" s="67"/>
      <c r="G2012" s="9"/>
      <c r="H2012" s="9"/>
      <c r="I2012" s="9"/>
      <c r="J2012" s="9"/>
      <c r="K2012" s="9"/>
      <c r="L2012" s="9"/>
      <c r="M2012" s="9"/>
      <c r="N2012" s="9"/>
      <c r="O2012" s="9"/>
      <c r="P2012" s="9"/>
      <c r="Q2012" s="9"/>
      <c r="R2012" s="9"/>
      <c r="S2012" s="9"/>
      <c r="T2012" s="9"/>
      <c r="U2012" s="9"/>
      <c r="V2012" s="9"/>
      <c r="W2012" s="9"/>
      <c r="X2012" s="9"/>
      <c r="Y2012" s="9"/>
      <c r="Z2012" s="9"/>
      <c r="AA2012" s="9"/>
      <c r="AB2012" s="9"/>
      <c r="AC2012" s="9"/>
      <c r="AD2012" s="9"/>
      <c r="AE2012" s="9"/>
      <c r="AF2012" s="9"/>
      <c r="AG2012" s="9"/>
      <c r="AH2012" s="9"/>
      <c r="AI2012" s="9"/>
      <c r="AJ2012" s="9"/>
      <c r="AK2012" s="9"/>
      <c r="AL2012" s="9"/>
      <c r="AM2012" s="9"/>
      <c r="AN2012" s="9"/>
      <c r="AO2012" s="9"/>
      <c r="AP2012" s="9"/>
      <c r="AQ2012" s="9"/>
      <c r="AR2012" s="9"/>
      <c r="AS2012" s="9"/>
      <c r="AT2012" s="9"/>
      <c r="AU2012" s="9"/>
    </row>
    <row r="2013" spans="1:47" ht="15.75" customHeight="1">
      <c r="A2013" s="9"/>
      <c r="B2013" s="9"/>
      <c r="C2013" s="9"/>
      <c r="D2013" s="9"/>
      <c r="E2013" s="9"/>
      <c r="F2013" s="67"/>
      <c r="G2013" s="9"/>
      <c r="H2013" s="9"/>
      <c r="I2013" s="9"/>
      <c r="J2013" s="9"/>
      <c r="K2013" s="9"/>
      <c r="L2013" s="9"/>
      <c r="M2013" s="9"/>
      <c r="N2013" s="9"/>
      <c r="O2013" s="9"/>
      <c r="P2013" s="9"/>
      <c r="Q2013" s="9"/>
      <c r="R2013" s="9"/>
      <c r="S2013" s="9"/>
      <c r="T2013" s="9"/>
      <c r="U2013" s="9"/>
      <c r="V2013" s="9"/>
      <c r="W2013" s="9"/>
      <c r="X2013" s="9"/>
      <c r="Y2013" s="9"/>
      <c r="Z2013" s="9"/>
      <c r="AA2013" s="9"/>
      <c r="AB2013" s="9"/>
      <c r="AC2013" s="9"/>
      <c r="AD2013" s="9"/>
      <c r="AE2013" s="9"/>
      <c r="AF2013" s="9"/>
      <c r="AG2013" s="9"/>
      <c r="AH2013" s="9"/>
      <c r="AI2013" s="9"/>
      <c r="AJ2013" s="9"/>
      <c r="AK2013" s="9"/>
      <c r="AL2013" s="9"/>
      <c r="AM2013" s="9"/>
      <c r="AN2013" s="9"/>
      <c r="AO2013" s="9"/>
      <c r="AP2013" s="9"/>
      <c r="AQ2013" s="9"/>
      <c r="AR2013" s="9"/>
      <c r="AS2013" s="9"/>
      <c r="AT2013" s="9"/>
      <c r="AU2013" s="9"/>
    </row>
    <row r="2014" spans="1:47" ht="15.75" customHeight="1">
      <c r="A2014" s="9"/>
      <c r="B2014" s="9"/>
      <c r="C2014" s="9"/>
      <c r="D2014" s="9"/>
      <c r="E2014" s="9"/>
      <c r="F2014" s="67"/>
      <c r="G2014" s="9"/>
      <c r="H2014" s="9"/>
      <c r="I2014" s="9"/>
      <c r="J2014" s="9"/>
      <c r="K2014" s="9"/>
      <c r="L2014" s="9"/>
      <c r="M2014" s="9"/>
      <c r="N2014" s="9"/>
      <c r="O2014" s="9"/>
      <c r="P2014" s="9"/>
      <c r="Q2014" s="9"/>
      <c r="R2014" s="9"/>
      <c r="S2014" s="9"/>
      <c r="T2014" s="9"/>
      <c r="U2014" s="9"/>
      <c r="V2014" s="9"/>
      <c r="W2014" s="9"/>
      <c r="X2014" s="9"/>
      <c r="Y2014" s="9"/>
      <c r="Z2014" s="9"/>
      <c r="AA2014" s="9"/>
      <c r="AB2014" s="9"/>
      <c r="AC2014" s="9"/>
      <c r="AD2014" s="9"/>
      <c r="AE2014" s="9"/>
      <c r="AF2014" s="9"/>
      <c r="AG2014" s="9"/>
      <c r="AH2014" s="9"/>
      <c r="AI2014" s="9"/>
      <c r="AJ2014" s="9"/>
      <c r="AK2014" s="9"/>
      <c r="AL2014" s="9"/>
      <c r="AM2014" s="9"/>
      <c r="AN2014" s="9"/>
      <c r="AO2014" s="9"/>
      <c r="AP2014" s="9"/>
      <c r="AQ2014" s="9"/>
      <c r="AR2014" s="9"/>
      <c r="AS2014" s="9"/>
      <c r="AT2014" s="9"/>
      <c r="AU2014" s="9"/>
    </row>
    <row r="2015" spans="1:47" ht="15.75" customHeight="1">
      <c r="A2015" s="9"/>
      <c r="B2015" s="9"/>
      <c r="C2015" s="9"/>
      <c r="D2015" s="9"/>
      <c r="E2015" s="9"/>
      <c r="F2015" s="67"/>
      <c r="G2015" s="9"/>
      <c r="H2015" s="9"/>
      <c r="I2015" s="9"/>
      <c r="J2015" s="9"/>
      <c r="K2015" s="9"/>
      <c r="L2015" s="9"/>
      <c r="M2015" s="9"/>
      <c r="N2015" s="9"/>
      <c r="O2015" s="9"/>
      <c r="P2015" s="9"/>
      <c r="Q2015" s="9"/>
      <c r="R2015" s="9"/>
      <c r="S2015" s="9"/>
      <c r="T2015" s="9"/>
      <c r="U2015" s="9"/>
      <c r="V2015" s="9"/>
      <c r="W2015" s="9"/>
      <c r="X2015" s="9"/>
      <c r="Y2015" s="9"/>
      <c r="Z2015" s="9"/>
      <c r="AA2015" s="9"/>
      <c r="AB2015" s="9"/>
      <c r="AC2015" s="9"/>
      <c r="AD2015" s="9"/>
      <c r="AE2015" s="9"/>
      <c r="AF2015" s="9"/>
      <c r="AG2015" s="9"/>
      <c r="AH2015" s="9"/>
      <c r="AI2015" s="9"/>
      <c r="AJ2015" s="9"/>
      <c r="AK2015" s="9"/>
      <c r="AL2015" s="9"/>
      <c r="AM2015" s="9"/>
      <c r="AN2015" s="9"/>
      <c r="AO2015" s="9"/>
      <c r="AP2015" s="9"/>
      <c r="AQ2015" s="9"/>
      <c r="AR2015" s="9"/>
      <c r="AS2015" s="9"/>
      <c r="AT2015" s="9"/>
      <c r="AU2015" s="9"/>
    </row>
    <row r="2016" spans="1:47" ht="15.75" customHeight="1">
      <c r="A2016" s="9"/>
      <c r="B2016" s="9"/>
      <c r="C2016" s="9"/>
      <c r="D2016" s="9"/>
      <c r="E2016" s="9"/>
      <c r="F2016" s="67"/>
      <c r="G2016" s="9"/>
      <c r="H2016" s="9"/>
      <c r="I2016" s="9"/>
      <c r="J2016" s="9"/>
      <c r="K2016" s="9"/>
      <c r="L2016" s="9"/>
      <c r="M2016" s="9"/>
      <c r="N2016" s="9"/>
      <c r="O2016" s="9"/>
      <c r="P2016" s="9"/>
      <c r="Q2016" s="9"/>
      <c r="R2016" s="9"/>
      <c r="S2016" s="9"/>
      <c r="T2016" s="9"/>
      <c r="U2016" s="9"/>
      <c r="V2016" s="9"/>
      <c r="W2016" s="9"/>
      <c r="X2016" s="9"/>
      <c r="Y2016" s="9"/>
      <c r="Z2016" s="9"/>
      <c r="AA2016" s="9"/>
      <c r="AB2016" s="9"/>
      <c r="AC2016" s="9"/>
      <c r="AD2016" s="9"/>
      <c r="AE2016" s="9"/>
      <c r="AF2016" s="9"/>
      <c r="AG2016" s="9"/>
      <c r="AH2016" s="9"/>
      <c r="AI2016" s="9"/>
      <c r="AJ2016" s="9"/>
      <c r="AK2016" s="9"/>
      <c r="AL2016" s="9"/>
      <c r="AM2016" s="9"/>
      <c r="AN2016" s="9"/>
      <c r="AO2016" s="9"/>
      <c r="AP2016" s="9"/>
      <c r="AQ2016" s="9"/>
      <c r="AR2016" s="9"/>
      <c r="AS2016" s="9"/>
      <c r="AT2016" s="9"/>
      <c r="AU2016" s="9"/>
    </row>
    <row r="2017" spans="1:47" ht="15.75" customHeight="1">
      <c r="A2017" s="9"/>
      <c r="B2017" s="9"/>
      <c r="C2017" s="9"/>
      <c r="D2017" s="9"/>
      <c r="E2017" s="9"/>
      <c r="F2017" s="67"/>
      <c r="G2017" s="9"/>
      <c r="H2017" s="9"/>
      <c r="I2017" s="9"/>
      <c r="J2017" s="9"/>
      <c r="K2017" s="9"/>
      <c r="L2017" s="9"/>
      <c r="M2017" s="9"/>
      <c r="N2017" s="9"/>
      <c r="O2017" s="9"/>
      <c r="P2017" s="9"/>
      <c r="Q2017" s="9"/>
      <c r="R2017" s="9"/>
      <c r="S2017" s="9"/>
      <c r="T2017" s="9"/>
      <c r="U2017" s="9"/>
      <c r="V2017" s="9"/>
      <c r="W2017" s="9"/>
      <c r="X2017" s="9"/>
      <c r="Y2017" s="9"/>
      <c r="Z2017" s="9"/>
      <c r="AA2017" s="9"/>
      <c r="AB2017" s="9"/>
      <c r="AC2017" s="9"/>
      <c r="AD2017" s="9"/>
      <c r="AE2017" s="9"/>
      <c r="AF2017" s="9"/>
      <c r="AG2017" s="9"/>
      <c r="AH2017" s="9"/>
      <c r="AI2017" s="9"/>
      <c r="AJ2017" s="9"/>
      <c r="AK2017" s="9"/>
      <c r="AL2017" s="9"/>
      <c r="AM2017" s="9"/>
      <c r="AN2017" s="9"/>
      <c r="AO2017" s="9"/>
      <c r="AP2017" s="9"/>
      <c r="AQ2017" s="9"/>
      <c r="AR2017" s="9"/>
      <c r="AS2017" s="9"/>
      <c r="AT2017" s="9"/>
      <c r="AU2017" s="9"/>
    </row>
    <row r="2018" spans="1:47" ht="15.75" customHeight="1">
      <c r="A2018" s="9"/>
      <c r="B2018" s="9"/>
      <c r="C2018" s="9"/>
      <c r="D2018" s="9"/>
      <c r="E2018" s="9"/>
      <c r="F2018" s="67"/>
      <c r="G2018" s="9"/>
      <c r="H2018" s="9"/>
      <c r="I2018" s="9"/>
      <c r="J2018" s="9"/>
      <c r="K2018" s="9"/>
      <c r="L2018" s="9"/>
      <c r="M2018" s="9"/>
      <c r="N2018" s="9"/>
      <c r="O2018" s="9"/>
      <c r="P2018" s="9"/>
      <c r="Q2018" s="9"/>
      <c r="R2018" s="9"/>
      <c r="S2018" s="9"/>
      <c r="T2018" s="9"/>
      <c r="U2018" s="9"/>
      <c r="V2018" s="9"/>
      <c r="W2018" s="9"/>
      <c r="X2018" s="9"/>
      <c r="Y2018" s="9"/>
      <c r="Z2018" s="9"/>
      <c r="AA2018" s="9"/>
      <c r="AB2018" s="9"/>
      <c r="AC2018" s="9"/>
      <c r="AD2018" s="9"/>
      <c r="AE2018" s="9"/>
      <c r="AF2018" s="9"/>
      <c r="AG2018" s="9"/>
      <c r="AH2018" s="9"/>
      <c r="AI2018" s="9"/>
      <c r="AJ2018" s="9"/>
      <c r="AK2018" s="9"/>
      <c r="AL2018" s="9"/>
      <c r="AM2018" s="9"/>
      <c r="AN2018" s="9"/>
      <c r="AO2018" s="9"/>
      <c r="AP2018" s="9"/>
      <c r="AQ2018" s="9"/>
      <c r="AR2018" s="9"/>
      <c r="AS2018" s="9"/>
      <c r="AT2018" s="9"/>
      <c r="AU2018" s="9"/>
    </row>
    <row r="2019" spans="1:47" ht="15.75" customHeight="1">
      <c r="A2019" s="9"/>
      <c r="B2019" s="9"/>
      <c r="C2019" s="9"/>
      <c r="D2019" s="9"/>
      <c r="E2019" s="9"/>
      <c r="F2019" s="67"/>
      <c r="G2019" s="9"/>
      <c r="H2019" s="9"/>
      <c r="I2019" s="9"/>
      <c r="J2019" s="9"/>
      <c r="K2019" s="9"/>
      <c r="L2019" s="9"/>
      <c r="M2019" s="9"/>
      <c r="N2019" s="9"/>
      <c r="O2019" s="9"/>
      <c r="P2019" s="9"/>
      <c r="Q2019" s="9"/>
      <c r="R2019" s="9"/>
      <c r="S2019" s="9"/>
      <c r="T2019" s="9"/>
      <c r="U2019" s="9"/>
      <c r="V2019" s="9"/>
      <c r="W2019" s="9"/>
      <c r="X2019" s="9"/>
      <c r="Y2019" s="9"/>
      <c r="Z2019" s="9"/>
      <c r="AA2019" s="9"/>
      <c r="AB2019" s="9"/>
      <c r="AC2019" s="9"/>
      <c r="AD2019" s="9"/>
      <c r="AE2019" s="9"/>
      <c r="AF2019" s="9"/>
      <c r="AG2019" s="9"/>
      <c r="AH2019" s="9"/>
      <c r="AI2019" s="9"/>
      <c r="AJ2019" s="9"/>
      <c r="AK2019" s="9"/>
      <c r="AL2019" s="9"/>
      <c r="AM2019" s="9"/>
      <c r="AN2019" s="9"/>
      <c r="AO2019" s="9"/>
      <c r="AP2019" s="9"/>
      <c r="AQ2019" s="9"/>
      <c r="AR2019" s="9"/>
      <c r="AS2019" s="9"/>
      <c r="AT2019" s="9"/>
      <c r="AU2019" s="9"/>
    </row>
    <row r="2020" spans="1:47" ht="15.75" customHeight="1">
      <c r="A2020" s="9"/>
      <c r="B2020" s="9"/>
      <c r="C2020" s="9"/>
      <c r="D2020" s="9"/>
      <c r="E2020" s="9"/>
      <c r="F2020" s="67"/>
      <c r="G2020" s="9"/>
      <c r="H2020" s="9"/>
      <c r="I2020" s="9"/>
      <c r="J2020" s="9"/>
      <c r="K2020" s="9"/>
      <c r="L2020" s="9"/>
      <c r="M2020" s="9"/>
      <c r="N2020" s="9"/>
      <c r="O2020" s="9"/>
      <c r="P2020" s="9"/>
      <c r="Q2020" s="9"/>
      <c r="R2020" s="9"/>
      <c r="S2020" s="9"/>
      <c r="T2020" s="9"/>
      <c r="U2020" s="9"/>
      <c r="V2020" s="9"/>
      <c r="W2020" s="9"/>
      <c r="X2020" s="9"/>
      <c r="Y2020" s="9"/>
      <c r="Z2020" s="9"/>
      <c r="AA2020" s="9"/>
      <c r="AB2020" s="9"/>
      <c r="AC2020" s="9"/>
      <c r="AD2020" s="9"/>
      <c r="AE2020" s="9"/>
      <c r="AF2020" s="9"/>
      <c r="AG2020" s="9"/>
      <c r="AH2020" s="9"/>
      <c r="AI2020" s="9"/>
      <c r="AJ2020" s="9"/>
      <c r="AK2020" s="9"/>
      <c r="AL2020" s="9"/>
      <c r="AM2020" s="9"/>
      <c r="AN2020" s="9"/>
      <c r="AO2020" s="9"/>
      <c r="AP2020" s="9"/>
      <c r="AQ2020" s="9"/>
      <c r="AR2020" s="9"/>
      <c r="AS2020" s="9"/>
      <c r="AT2020" s="9"/>
      <c r="AU2020" s="9"/>
    </row>
    <row r="2021" spans="1:47" ht="15.75" customHeight="1">
      <c r="A2021" s="9"/>
      <c r="B2021" s="9"/>
      <c r="C2021" s="9"/>
      <c r="D2021" s="9"/>
      <c r="E2021" s="9"/>
      <c r="F2021" s="67"/>
      <c r="G2021" s="9"/>
      <c r="H2021" s="9"/>
      <c r="I2021" s="9"/>
      <c r="J2021" s="9"/>
      <c r="K2021" s="9"/>
      <c r="L2021" s="9"/>
      <c r="M2021" s="9"/>
      <c r="N2021" s="9"/>
      <c r="O2021" s="9"/>
      <c r="P2021" s="9"/>
      <c r="Q2021" s="9"/>
      <c r="R2021" s="9"/>
      <c r="S2021" s="9"/>
      <c r="T2021" s="9"/>
      <c r="U2021" s="9"/>
      <c r="V2021" s="9"/>
      <c r="W2021" s="9"/>
      <c r="X2021" s="9"/>
      <c r="Y2021" s="9"/>
      <c r="Z2021" s="9"/>
      <c r="AA2021" s="9"/>
      <c r="AB2021" s="9"/>
      <c r="AC2021" s="9"/>
      <c r="AD2021" s="9"/>
      <c r="AE2021" s="9"/>
      <c r="AF2021" s="9"/>
      <c r="AG2021" s="9"/>
      <c r="AH2021" s="9"/>
      <c r="AI2021" s="9"/>
      <c r="AJ2021" s="9"/>
      <c r="AK2021" s="9"/>
      <c r="AL2021" s="9"/>
      <c r="AM2021" s="9"/>
      <c r="AN2021" s="9"/>
      <c r="AO2021" s="9"/>
      <c r="AP2021" s="9"/>
      <c r="AQ2021" s="9"/>
      <c r="AR2021" s="9"/>
      <c r="AS2021" s="9"/>
      <c r="AT2021" s="9"/>
      <c r="AU2021" s="9"/>
    </row>
    <row r="2022" spans="1:47" ht="15.75" customHeight="1">
      <c r="A2022" s="9"/>
      <c r="B2022" s="9"/>
      <c r="C2022" s="9"/>
      <c r="D2022" s="9"/>
      <c r="E2022" s="9"/>
      <c r="F2022" s="67"/>
      <c r="G2022" s="9"/>
      <c r="H2022" s="9"/>
      <c r="I2022" s="9"/>
      <c r="J2022" s="9"/>
      <c r="K2022" s="9"/>
      <c r="L2022" s="9"/>
      <c r="M2022" s="9"/>
      <c r="N2022" s="9"/>
      <c r="O2022" s="9"/>
      <c r="P2022" s="9"/>
      <c r="Q2022" s="9"/>
      <c r="R2022" s="9"/>
      <c r="S2022" s="9"/>
      <c r="T2022" s="9"/>
      <c r="U2022" s="9"/>
      <c r="V2022" s="9"/>
      <c r="W2022" s="9"/>
      <c r="X2022" s="9"/>
      <c r="Y2022" s="9"/>
      <c r="Z2022" s="9"/>
      <c r="AA2022" s="9"/>
      <c r="AB2022" s="9"/>
      <c r="AC2022" s="9"/>
      <c r="AD2022" s="9"/>
      <c r="AE2022" s="9"/>
      <c r="AF2022" s="9"/>
      <c r="AG2022" s="9"/>
      <c r="AH2022" s="9"/>
      <c r="AI2022" s="9"/>
      <c r="AJ2022" s="9"/>
      <c r="AK2022" s="9"/>
      <c r="AL2022" s="9"/>
      <c r="AM2022" s="9"/>
      <c r="AN2022" s="9"/>
      <c r="AO2022" s="9"/>
      <c r="AP2022" s="9"/>
      <c r="AQ2022" s="9"/>
      <c r="AR2022" s="9"/>
      <c r="AS2022" s="9"/>
      <c r="AT2022" s="9"/>
      <c r="AU2022" s="9"/>
    </row>
    <row r="2023" spans="1:47" ht="15.75" customHeight="1">
      <c r="A2023" s="9"/>
      <c r="B2023" s="9"/>
      <c r="C2023" s="9"/>
      <c r="D2023" s="9"/>
      <c r="E2023" s="9"/>
      <c r="F2023" s="67"/>
      <c r="G2023" s="9"/>
      <c r="H2023" s="9"/>
      <c r="I2023" s="9"/>
      <c r="J2023" s="9"/>
      <c r="K2023" s="9"/>
      <c r="L2023" s="9"/>
      <c r="M2023" s="9"/>
      <c r="N2023" s="9"/>
      <c r="O2023" s="9"/>
      <c r="P2023" s="9"/>
      <c r="Q2023" s="9"/>
      <c r="R2023" s="9"/>
      <c r="S2023" s="9"/>
      <c r="T2023" s="9"/>
      <c r="U2023" s="9"/>
      <c r="V2023" s="9"/>
      <c r="W2023" s="9"/>
      <c r="X2023" s="9"/>
      <c r="Y2023" s="9"/>
      <c r="Z2023" s="9"/>
      <c r="AA2023" s="9"/>
      <c r="AB2023" s="9"/>
      <c r="AC2023" s="9"/>
      <c r="AD2023" s="9"/>
      <c r="AE2023" s="9"/>
      <c r="AF2023" s="9"/>
      <c r="AG2023" s="9"/>
      <c r="AH2023" s="9"/>
      <c r="AI2023" s="9"/>
      <c r="AJ2023" s="9"/>
      <c r="AK2023" s="9"/>
      <c r="AL2023" s="9"/>
      <c r="AM2023" s="9"/>
      <c r="AN2023" s="9"/>
      <c r="AO2023" s="9"/>
      <c r="AP2023" s="9"/>
      <c r="AQ2023" s="9"/>
      <c r="AR2023" s="9"/>
      <c r="AS2023" s="9"/>
      <c r="AT2023" s="9"/>
      <c r="AU2023" s="9"/>
    </row>
    <row r="2024" spans="1:47" ht="15.75" customHeight="1">
      <c r="A2024" s="9"/>
      <c r="B2024" s="9"/>
      <c r="C2024" s="9"/>
      <c r="D2024" s="9"/>
      <c r="E2024" s="9"/>
      <c r="F2024" s="67"/>
      <c r="G2024" s="9"/>
      <c r="H2024" s="9"/>
      <c r="I2024" s="9"/>
      <c r="J2024" s="9"/>
      <c r="K2024" s="9"/>
      <c r="L2024" s="9"/>
      <c r="M2024" s="9"/>
      <c r="N2024" s="9"/>
      <c r="O2024" s="9"/>
      <c r="P2024" s="9"/>
      <c r="Q2024" s="9"/>
      <c r="R2024" s="9"/>
      <c r="S2024" s="9"/>
      <c r="T2024" s="9"/>
      <c r="U2024" s="9"/>
      <c r="V2024" s="9"/>
      <c r="W2024" s="9"/>
      <c r="X2024" s="9"/>
      <c r="Y2024" s="9"/>
      <c r="Z2024" s="9"/>
      <c r="AA2024" s="9"/>
      <c r="AB2024" s="9"/>
      <c r="AC2024" s="9"/>
      <c r="AD2024" s="9"/>
      <c r="AE2024" s="9"/>
      <c r="AF2024" s="9"/>
      <c r="AG2024" s="9"/>
      <c r="AH2024" s="9"/>
      <c r="AI2024" s="9"/>
      <c r="AJ2024" s="9"/>
      <c r="AK2024" s="9"/>
      <c r="AL2024" s="9"/>
      <c r="AM2024" s="9"/>
      <c r="AN2024" s="9"/>
      <c r="AO2024" s="9"/>
      <c r="AP2024" s="9"/>
      <c r="AQ2024" s="9"/>
      <c r="AR2024" s="9"/>
      <c r="AS2024" s="9"/>
      <c r="AT2024" s="9"/>
      <c r="AU2024" s="9"/>
    </row>
    <row r="2025" spans="1:47" ht="15.75" customHeight="1">
      <c r="A2025" s="9"/>
      <c r="B2025" s="9"/>
      <c r="C2025" s="9"/>
      <c r="D2025" s="9"/>
      <c r="E2025" s="9"/>
      <c r="F2025" s="67"/>
      <c r="G2025" s="9"/>
      <c r="H2025" s="9"/>
      <c r="I2025" s="9"/>
      <c r="J2025" s="9"/>
      <c r="K2025" s="9"/>
      <c r="L2025" s="9"/>
      <c r="M2025" s="9"/>
      <c r="N2025" s="9"/>
      <c r="O2025" s="9"/>
      <c r="P2025" s="9"/>
      <c r="Q2025" s="9"/>
      <c r="R2025" s="9"/>
      <c r="S2025" s="9"/>
      <c r="T2025" s="9"/>
      <c r="U2025" s="9"/>
      <c r="V2025" s="9"/>
      <c r="W2025" s="9"/>
      <c r="X2025" s="9"/>
      <c r="Y2025" s="9"/>
      <c r="Z2025" s="9"/>
      <c r="AA2025" s="9"/>
      <c r="AB2025" s="9"/>
      <c r="AC2025" s="9"/>
      <c r="AD2025" s="9"/>
      <c r="AE2025" s="9"/>
      <c r="AF2025" s="9"/>
      <c r="AG2025" s="9"/>
      <c r="AH2025" s="9"/>
      <c r="AI2025" s="9"/>
      <c r="AJ2025" s="9"/>
      <c r="AK2025" s="9"/>
      <c r="AL2025" s="9"/>
      <c r="AM2025" s="9"/>
      <c r="AN2025" s="9"/>
      <c r="AO2025" s="9"/>
      <c r="AP2025" s="9"/>
      <c r="AQ2025" s="9"/>
      <c r="AR2025" s="9"/>
      <c r="AS2025" s="9"/>
      <c r="AT2025" s="9"/>
      <c r="AU2025" s="9"/>
    </row>
    <row r="2026" spans="1:47" ht="15.75" customHeight="1">
      <c r="A2026" s="9"/>
      <c r="B2026" s="9"/>
      <c r="C2026" s="9"/>
      <c r="D2026" s="9"/>
      <c r="E2026" s="9"/>
      <c r="F2026" s="67"/>
      <c r="G2026" s="9"/>
      <c r="H2026" s="9"/>
      <c r="I2026" s="9"/>
      <c r="J2026" s="9"/>
      <c r="K2026" s="9"/>
      <c r="L2026" s="9"/>
      <c r="M2026" s="9"/>
      <c r="N2026" s="9"/>
      <c r="O2026" s="9"/>
      <c r="P2026" s="9"/>
      <c r="Q2026" s="9"/>
      <c r="R2026" s="9"/>
      <c r="S2026" s="9"/>
      <c r="T2026" s="9"/>
      <c r="U2026" s="9"/>
      <c r="V2026" s="9"/>
      <c r="W2026" s="9"/>
      <c r="X2026" s="9"/>
      <c r="Y2026" s="9"/>
      <c r="Z2026" s="9"/>
      <c r="AA2026" s="9"/>
      <c r="AB2026" s="9"/>
      <c r="AC2026" s="9"/>
      <c r="AD2026" s="9"/>
      <c r="AE2026" s="9"/>
      <c r="AF2026" s="9"/>
      <c r="AG2026" s="9"/>
      <c r="AH2026" s="9"/>
      <c r="AI2026" s="9"/>
      <c r="AJ2026" s="9"/>
      <c r="AK2026" s="9"/>
      <c r="AL2026" s="9"/>
      <c r="AM2026" s="9"/>
      <c r="AN2026" s="9"/>
      <c r="AO2026" s="9"/>
      <c r="AP2026" s="9"/>
      <c r="AQ2026" s="9"/>
      <c r="AR2026" s="9"/>
      <c r="AS2026" s="9"/>
      <c r="AT2026" s="9"/>
      <c r="AU2026" s="9"/>
    </row>
    <row r="2027" spans="1:47" ht="15.75" customHeight="1">
      <c r="A2027" s="9"/>
      <c r="B2027" s="9"/>
      <c r="C2027" s="9"/>
      <c r="D2027" s="9"/>
      <c r="E2027" s="9"/>
      <c r="F2027" s="67"/>
      <c r="G2027" s="9"/>
      <c r="H2027" s="9"/>
      <c r="I2027" s="9"/>
      <c r="J2027" s="9"/>
      <c r="K2027" s="9"/>
      <c r="L2027" s="9"/>
      <c r="M2027" s="9"/>
      <c r="N2027" s="9"/>
      <c r="O2027" s="9"/>
      <c r="P2027" s="9"/>
      <c r="Q2027" s="9"/>
      <c r="R2027" s="9"/>
      <c r="S2027" s="9"/>
      <c r="T2027" s="9"/>
      <c r="U2027" s="9"/>
      <c r="V2027" s="9"/>
      <c r="W2027" s="9"/>
      <c r="X2027" s="9"/>
      <c r="Y2027" s="9"/>
      <c r="Z2027" s="9"/>
      <c r="AA2027" s="9"/>
      <c r="AB2027" s="9"/>
      <c r="AC2027" s="9"/>
      <c r="AD2027" s="9"/>
      <c r="AE2027" s="9"/>
      <c r="AF2027" s="9"/>
      <c r="AG2027" s="9"/>
      <c r="AH2027" s="9"/>
      <c r="AI2027" s="9"/>
      <c r="AJ2027" s="9"/>
      <c r="AK2027" s="9"/>
      <c r="AL2027" s="9"/>
      <c r="AM2027" s="9"/>
      <c r="AN2027" s="9"/>
      <c r="AO2027" s="9"/>
      <c r="AP2027" s="9"/>
      <c r="AQ2027" s="9"/>
      <c r="AR2027" s="9"/>
      <c r="AS2027" s="9"/>
      <c r="AT2027" s="9"/>
      <c r="AU2027" s="9"/>
    </row>
    <row r="2028" spans="1:47" ht="15.75" customHeight="1">
      <c r="A2028" s="9"/>
      <c r="B2028" s="9"/>
      <c r="C2028" s="9"/>
      <c r="D2028" s="9"/>
      <c r="E2028" s="9"/>
      <c r="F2028" s="67"/>
      <c r="G2028" s="9"/>
      <c r="H2028" s="9"/>
      <c r="I2028" s="9"/>
      <c r="J2028" s="9"/>
      <c r="K2028" s="9"/>
      <c r="L2028" s="9"/>
      <c r="M2028" s="9"/>
      <c r="N2028" s="9"/>
      <c r="O2028" s="9"/>
      <c r="P2028" s="9"/>
      <c r="Q2028" s="9"/>
      <c r="R2028" s="9"/>
      <c r="S2028" s="9"/>
      <c r="T2028" s="9"/>
      <c r="U2028" s="9"/>
      <c r="V2028" s="9"/>
      <c r="W2028" s="9"/>
      <c r="X2028" s="9"/>
      <c r="Y2028" s="9"/>
      <c r="Z2028" s="9"/>
      <c r="AA2028" s="9"/>
      <c r="AB2028" s="9"/>
      <c r="AC2028" s="9"/>
      <c r="AD2028" s="9"/>
      <c r="AE2028" s="9"/>
      <c r="AF2028" s="9"/>
      <c r="AG2028" s="9"/>
      <c r="AH2028" s="9"/>
      <c r="AI2028" s="9"/>
      <c r="AJ2028" s="9"/>
      <c r="AK2028" s="9"/>
      <c r="AL2028" s="9"/>
      <c r="AM2028" s="9"/>
      <c r="AN2028" s="9"/>
      <c r="AO2028" s="9"/>
      <c r="AP2028" s="9"/>
      <c r="AQ2028" s="9"/>
      <c r="AR2028" s="9"/>
      <c r="AS2028" s="9"/>
      <c r="AT2028" s="9"/>
      <c r="AU2028" s="9"/>
    </row>
    <row r="2029" spans="1:47" ht="15.75" customHeight="1">
      <c r="A2029" s="9"/>
      <c r="B2029" s="9"/>
      <c r="C2029" s="9"/>
      <c r="D2029" s="9"/>
      <c r="E2029" s="9"/>
      <c r="F2029" s="67"/>
      <c r="G2029" s="9"/>
      <c r="H2029" s="9"/>
      <c r="I2029" s="9"/>
      <c r="J2029" s="9"/>
      <c r="K2029" s="9"/>
      <c r="L2029" s="9"/>
      <c r="M2029" s="9"/>
      <c r="N2029" s="9"/>
      <c r="O2029" s="9"/>
      <c r="P2029" s="9"/>
      <c r="Q2029" s="9"/>
      <c r="R2029" s="9"/>
      <c r="S2029" s="9"/>
      <c r="T2029" s="9"/>
      <c r="U2029" s="9"/>
      <c r="V2029" s="9"/>
      <c r="W2029" s="9"/>
      <c r="X2029" s="9"/>
      <c r="Y2029" s="9"/>
      <c r="Z2029" s="9"/>
      <c r="AA2029" s="9"/>
      <c r="AB2029" s="9"/>
      <c r="AC2029" s="9"/>
      <c r="AD2029" s="9"/>
      <c r="AE2029" s="9"/>
      <c r="AF2029" s="9"/>
      <c r="AG2029" s="9"/>
      <c r="AH2029" s="9"/>
      <c r="AI2029" s="9"/>
      <c r="AJ2029" s="9"/>
      <c r="AK2029" s="9"/>
      <c r="AL2029" s="9"/>
      <c r="AM2029" s="9"/>
      <c r="AN2029" s="9"/>
      <c r="AO2029" s="9"/>
      <c r="AP2029" s="9"/>
      <c r="AQ2029" s="9"/>
      <c r="AR2029" s="9"/>
      <c r="AS2029" s="9"/>
      <c r="AT2029" s="9"/>
      <c r="AU2029" s="9"/>
    </row>
    <row r="2030" spans="1:47" ht="15.75" customHeight="1">
      <c r="A2030" s="9"/>
      <c r="B2030" s="9"/>
      <c r="C2030" s="9"/>
      <c r="D2030" s="9"/>
      <c r="E2030" s="9"/>
      <c r="F2030" s="67"/>
      <c r="G2030" s="9"/>
      <c r="H2030" s="9"/>
      <c r="I2030" s="9"/>
      <c r="J2030" s="9"/>
      <c r="K2030" s="9"/>
      <c r="L2030" s="9"/>
      <c r="M2030" s="9"/>
      <c r="N2030" s="9"/>
      <c r="O2030" s="9"/>
      <c r="P2030" s="9"/>
      <c r="Q2030" s="9"/>
      <c r="R2030" s="9"/>
      <c r="S2030" s="9"/>
      <c r="T2030" s="9"/>
      <c r="U2030" s="9"/>
      <c r="V2030" s="9"/>
      <c r="W2030" s="9"/>
      <c r="X2030" s="9"/>
      <c r="Y2030" s="9"/>
      <c r="Z2030" s="9"/>
      <c r="AA2030" s="9"/>
      <c r="AB2030" s="9"/>
      <c r="AC2030" s="9"/>
      <c r="AD2030" s="9"/>
      <c r="AE2030" s="9"/>
      <c r="AF2030" s="9"/>
      <c r="AG2030" s="9"/>
      <c r="AH2030" s="9"/>
      <c r="AI2030" s="9"/>
      <c r="AJ2030" s="9"/>
      <c r="AK2030" s="9"/>
      <c r="AL2030" s="9"/>
      <c r="AM2030" s="9"/>
      <c r="AN2030" s="9"/>
      <c r="AO2030" s="9"/>
      <c r="AP2030" s="9"/>
      <c r="AQ2030" s="9"/>
      <c r="AR2030" s="9"/>
      <c r="AS2030" s="9"/>
      <c r="AT2030" s="9"/>
      <c r="AU2030" s="9"/>
    </row>
    <row r="2031" spans="1:47" ht="15.75" customHeight="1">
      <c r="A2031" s="9"/>
      <c r="B2031" s="9"/>
      <c r="C2031" s="9"/>
      <c r="D2031" s="9"/>
      <c r="E2031" s="9"/>
      <c r="F2031" s="67"/>
      <c r="G2031" s="9"/>
      <c r="H2031" s="9"/>
      <c r="I2031" s="9"/>
      <c r="J2031" s="9"/>
      <c r="K2031" s="9"/>
      <c r="L2031" s="9"/>
      <c r="M2031" s="9"/>
      <c r="N2031" s="9"/>
      <c r="O2031" s="9"/>
      <c r="P2031" s="9"/>
      <c r="Q2031" s="9"/>
      <c r="R2031" s="9"/>
      <c r="S2031" s="9"/>
      <c r="T2031" s="9"/>
      <c r="U2031" s="9"/>
      <c r="V2031" s="9"/>
      <c r="W2031" s="9"/>
      <c r="X2031" s="9"/>
      <c r="Y2031" s="9"/>
      <c r="Z2031" s="9"/>
      <c r="AA2031" s="9"/>
      <c r="AB2031" s="9"/>
      <c r="AC2031" s="9"/>
      <c r="AD2031" s="9"/>
      <c r="AE2031" s="9"/>
      <c r="AF2031" s="9"/>
      <c r="AG2031" s="9"/>
      <c r="AH2031" s="9"/>
      <c r="AI2031" s="9"/>
      <c r="AJ2031" s="9"/>
      <c r="AK2031" s="9"/>
      <c r="AL2031" s="9"/>
      <c r="AM2031" s="9"/>
      <c r="AN2031" s="9"/>
      <c r="AO2031" s="9"/>
      <c r="AP2031" s="9"/>
      <c r="AQ2031" s="9"/>
      <c r="AR2031" s="9"/>
      <c r="AS2031" s="9"/>
      <c r="AT2031" s="9"/>
      <c r="AU2031" s="9"/>
    </row>
    <row r="2032" spans="1:47" ht="15.75" customHeight="1">
      <c r="A2032" s="9"/>
      <c r="B2032" s="9"/>
      <c r="C2032" s="9"/>
      <c r="D2032" s="9"/>
      <c r="E2032" s="9"/>
      <c r="F2032" s="67"/>
      <c r="G2032" s="9"/>
      <c r="H2032" s="9"/>
      <c r="I2032" s="9"/>
      <c r="J2032" s="9"/>
      <c r="K2032" s="9"/>
      <c r="L2032" s="9"/>
      <c r="M2032" s="9"/>
      <c r="N2032" s="9"/>
      <c r="O2032" s="9"/>
      <c r="P2032" s="9"/>
      <c r="Q2032" s="9"/>
      <c r="R2032" s="9"/>
      <c r="S2032" s="9"/>
      <c r="T2032" s="9"/>
      <c r="U2032" s="9"/>
      <c r="V2032" s="9"/>
      <c r="W2032" s="9"/>
      <c r="X2032" s="9"/>
      <c r="Y2032" s="9"/>
      <c r="Z2032" s="9"/>
      <c r="AA2032" s="9"/>
      <c r="AB2032" s="9"/>
      <c r="AC2032" s="9"/>
      <c r="AD2032" s="9"/>
      <c r="AE2032" s="9"/>
      <c r="AF2032" s="9"/>
      <c r="AG2032" s="9"/>
      <c r="AH2032" s="9"/>
      <c r="AI2032" s="9"/>
      <c r="AJ2032" s="9"/>
      <c r="AK2032" s="9"/>
      <c r="AL2032" s="9"/>
      <c r="AM2032" s="9"/>
      <c r="AN2032" s="9"/>
      <c r="AO2032" s="9"/>
      <c r="AP2032" s="9"/>
      <c r="AQ2032" s="9"/>
      <c r="AR2032" s="9"/>
      <c r="AS2032" s="9"/>
      <c r="AT2032" s="9"/>
      <c r="AU2032" s="9"/>
    </row>
    <row r="2033" spans="1:47" ht="15.75" customHeight="1">
      <c r="A2033" s="9"/>
      <c r="B2033" s="9"/>
      <c r="C2033" s="9"/>
      <c r="D2033" s="9"/>
      <c r="E2033" s="9"/>
      <c r="F2033" s="67"/>
      <c r="G2033" s="9"/>
      <c r="H2033" s="9"/>
      <c r="I2033" s="9"/>
      <c r="J2033" s="9"/>
      <c r="K2033" s="9"/>
      <c r="L2033" s="9"/>
      <c r="M2033" s="9"/>
      <c r="N2033" s="9"/>
      <c r="O2033" s="9"/>
      <c r="P2033" s="9"/>
      <c r="Q2033" s="9"/>
      <c r="R2033" s="9"/>
      <c r="S2033" s="9"/>
      <c r="T2033" s="9"/>
      <c r="U2033" s="9"/>
      <c r="V2033" s="9"/>
      <c r="W2033" s="9"/>
      <c r="X2033" s="9"/>
      <c r="Y2033" s="9"/>
      <c r="Z2033" s="9"/>
      <c r="AA2033" s="9"/>
      <c r="AB2033" s="9"/>
      <c r="AC2033" s="9"/>
      <c r="AD2033" s="9"/>
      <c r="AE2033" s="9"/>
      <c r="AF2033" s="9"/>
      <c r="AG2033" s="9"/>
      <c r="AH2033" s="9"/>
      <c r="AI2033" s="9"/>
      <c r="AJ2033" s="9"/>
      <c r="AK2033" s="9"/>
      <c r="AL2033" s="9"/>
      <c r="AM2033" s="9"/>
      <c r="AN2033" s="9"/>
      <c r="AO2033" s="9"/>
      <c r="AP2033" s="9"/>
      <c r="AQ2033" s="9"/>
      <c r="AR2033" s="9"/>
      <c r="AS2033" s="9"/>
      <c r="AT2033" s="9"/>
      <c r="AU2033" s="9"/>
    </row>
    <row r="2034" spans="1:47" ht="15.75" customHeight="1">
      <c r="A2034" s="9"/>
      <c r="B2034" s="9"/>
      <c r="C2034" s="9"/>
      <c r="D2034" s="9"/>
      <c r="E2034" s="9"/>
      <c r="F2034" s="67"/>
      <c r="G2034" s="9"/>
      <c r="H2034" s="9"/>
      <c r="I2034" s="9"/>
      <c r="J2034" s="9"/>
      <c r="K2034" s="9"/>
      <c r="L2034" s="9"/>
      <c r="M2034" s="9"/>
      <c r="N2034" s="9"/>
      <c r="O2034" s="9"/>
      <c r="P2034" s="9"/>
      <c r="Q2034" s="9"/>
      <c r="R2034" s="9"/>
      <c r="S2034" s="9"/>
      <c r="T2034" s="9"/>
      <c r="U2034" s="9"/>
      <c r="V2034" s="9"/>
      <c r="W2034" s="9"/>
      <c r="X2034" s="9"/>
      <c r="Y2034" s="9"/>
      <c r="Z2034" s="9"/>
      <c r="AA2034" s="9"/>
      <c r="AB2034" s="9"/>
      <c r="AC2034" s="9"/>
      <c r="AD2034" s="9"/>
      <c r="AE2034" s="9"/>
      <c r="AF2034" s="9"/>
      <c r="AG2034" s="9"/>
      <c r="AH2034" s="9"/>
      <c r="AI2034" s="9"/>
      <c r="AJ2034" s="9"/>
      <c r="AK2034" s="9"/>
      <c r="AL2034" s="9"/>
      <c r="AM2034" s="9"/>
      <c r="AN2034" s="9"/>
      <c r="AO2034" s="9"/>
      <c r="AP2034" s="9"/>
      <c r="AQ2034" s="9"/>
      <c r="AR2034" s="9"/>
      <c r="AS2034" s="9"/>
      <c r="AT2034" s="9"/>
      <c r="AU2034" s="9"/>
    </row>
    <row r="2035" spans="1:47" ht="15.75" customHeight="1">
      <c r="A2035" s="9"/>
      <c r="B2035" s="9"/>
      <c r="C2035" s="9"/>
      <c r="D2035" s="9"/>
      <c r="E2035" s="9"/>
      <c r="F2035" s="67"/>
      <c r="G2035" s="9"/>
      <c r="H2035" s="9"/>
      <c r="I2035" s="9"/>
      <c r="J2035" s="9"/>
      <c r="K2035" s="9"/>
      <c r="L2035" s="9"/>
      <c r="M2035" s="9"/>
      <c r="N2035" s="9"/>
      <c r="O2035" s="9"/>
      <c r="P2035" s="9"/>
      <c r="Q2035" s="9"/>
      <c r="R2035" s="9"/>
      <c r="S2035" s="9"/>
      <c r="T2035" s="9"/>
      <c r="U2035" s="9"/>
      <c r="V2035" s="9"/>
      <c r="W2035" s="9"/>
      <c r="X2035" s="9"/>
      <c r="Y2035" s="9"/>
      <c r="Z2035" s="9"/>
      <c r="AA2035" s="9"/>
      <c r="AB2035" s="9"/>
      <c r="AC2035" s="9"/>
      <c r="AD2035" s="9"/>
      <c r="AE2035" s="9"/>
      <c r="AF2035" s="9"/>
      <c r="AG2035" s="9"/>
      <c r="AH2035" s="9"/>
      <c r="AI2035" s="9"/>
      <c r="AJ2035" s="9"/>
      <c r="AK2035" s="9"/>
      <c r="AL2035" s="9"/>
      <c r="AM2035" s="9"/>
      <c r="AN2035" s="9"/>
      <c r="AO2035" s="9"/>
      <c r="AP2035" s="9"/>
      <c r="AQ2035" s="9"/>
      <c r="AR2035" s="9"/>
      <c r="AS2035" s="9"/>
      <c r="AT2035" s="9"/>
      <c r="AU2035" s="9"/>
    </row>
    <row r="2036" spans="1:47" ht="15.75" customHeight="1">
      <c r="A2036" s="9"/>
      <c r="B2036" s="9"/>
      <c r="C2036" s="9"/>
      <c r="D2036" s="9"/>
      <c r="E2036" s="9"/>
      <c r="F2036" s="67"/>
      <c r="G2036" s="9"/>
      <c r="H2036" s="9"/>
      <c r="I2036" s="9"/>
      <c r="J2036" s="9"/>
      <c r="K2036" s="9"/>
      <c r="L2036" s="9"/>
      <c r="M2036" s="9"/>
      <c r="N2036" s="9"/>
      <c r="O2036" s="9"/>
      <c r="P2036" s="9"/>
      <c r="Q2036" s="9"/>
      <c r="R2036" s="9"/>
      <c r="S2036" s="9"/>
      <c r="T2036" s="9"/>
      <c r="U2036" s="9"/>
      <c r="V2036" s="9"/>
      <c r="W2036" s="9"/>
      <c r="X2036" s="9"/>
      <c r="Y2036" s="9"/>
      <c r="Z2036" s="9"/>
      <c r="AA2036" s="9"/>
      <c r="AB2036" s="9"/>
      <c r="AC2036" s="9"/>
      <c r="AD2036" s="9"/>
      <c r="AE2036" s="9"/>
      <c r="AF2036" s="9"/>
      <c r="AG2036" s="9"/>
      <c r="AH2036" s="9"/>
      <c r="AI2036" s="9"/>
      <c r="AJ2036" s="9"/>
      <c r="AK2036" s="9"/>
      <c r="AL2036" s="9"/>
      <c r="AM2036" s="9"/>
      <c r="AN2036" s="9"/>
      <c r="AO2036" s="9"/>
      <c r="AP2036" s="9"/>
      <c r="AQ2036" s="9"/>
      <c r="AR2036" s="9"/>
      <c r="AS2036" s="9"/>
      <c r="AT2036" s="9"/>
      <c r="AU2036" s="9"/>
    </row>
    <row r="2037" spans="1:47" ht="15.75" customHeight="1">
      <c r="A2037" s="9"/>
      <c r="B2037" s="9"/>
      <c r="C2037" s="9"/>
      <c r="D2037" s="9"/>
      <c r="E2037" s="9"/>
      <c r="F2037" s="67"/>
      <c r="G2037" s="9"/>
      <c r="H2037" s="9"/>
      <c r="I2037" s="9"/>
      <c r="J2037" s="9"/>
      <c r="K2037" s="9"/>
      <c r="L2037" s="9"/>
      <c r="M2037" s="9"/>
      <c r="N2037" s="9"/>
      <c r="O2037" s="9"/>
      <c r="P2037" s="9"/>
      <c r="Q2037" s="9"/>
      <c r="R2037" s="9"/>
      <c r="S2037" s="9"/>
      <c r="T2037" s="9"/>
      <c r="U2037" s="9"/>
      <c r="V2037" s="9"/>
      <c r="W2037" s="9"/>
      <c r="X2037" s="9"/>
      <c r="Y2037" s="9"/>
      <c r="Z2037" s="9"/>
      <c r="AA2037" s="9"/>
      <c r="AB2037" s="9"/>
      <c r="AC2037" s="9"/>
      <c r="AD2037" s="9"/>
      <c r="AE2037" s="9"/>
      <c r="AF2037" s="9"/>
      <c r="AG2037" s="9"/>
      <c r="AH2037" s="9"/>
      <c r="AI2037" s="9"/>
      <c r="AJ2037" s="9"/>
      <c r="AK2037" s="9"/>
      <c r="AL2037" s="9"/>
      <c r="AM2037" s="9"/>
      <c r="AN2037" s="9"/>
      <c r="AO2037" s="9"/>
      <c r="AP2037" s="9"/>
      <c r="AQ2037" s="9"/>
      <c r="AR2037" s="9"/>
      <c r="AS2037" s="9"/>
      <c r="AT2037" s="9"/>
      <c r="AU2037" s="9"/>
    </row>
    <row r="2038" spans="1:47" ht="15.75" customHeight="1">
      <c r="A2038" s="9"/>
      <c r="B2038" s="9"/>
      <c r="C2038" s="9"/>
      <c r="D2038" s="9"/>
      <c r="E2038" s="9"/>
      <c r="F2038" s="67"/>
      <c r="G2038" s="9"/>
      <c r="H2038" s="9"/>
      <c r="I2038" s="9"/>
      <c r="J2038" s="9"/>
      <c r="K2038" s="9"/>
      <c r="L2038" s="9"/>
      <c r="M2038" s="9"/>
      <c r="N2038" s="9"/>
      <c r="O2038" s="9"/>
      <c r="P2038" s="9"/>
      <c r="Q2038" s="9"/>
      <c r="R2038" s="9"/>
      <c r="S2038" s="9"/>
      <c r="T2038" s="9"/>
      <c r="U2038" s="9"/>
      <c r="V2038" s="9"/>
      <c r="W2038" s="9"/>
      <c r="X2038" s="9"/>
      <c r="Y2038" s="9"/>
      <c r="Z2038" s="9"/>
      <c r="AA2038" s="9"/>
      <c r="AB2038" s="9"/>
      <c r="AC2038" s="9"/>
      <c r="AD2038" s="9"/>
      <c r="AE2038" s="9"/>
      <c r="AF2038" s="9"/>
      <c r="AG2038" s="9"/>
      <c r="AH2038" s="9"/>
      <c r="AI2038" s="9"/>
      <c r="AJ2038" s="9"/>
      <c r="AK2038" s="9"/>
      <c r="AL2038" s="9"/>
      <c r="AM2038" s="9"/>
      <c r="AN2038" s="9"/>
      <c r="AO2038" s="9"/>
      <c r="AP2038" s="9"/>
      <c r="AQ2038" s="9"/>
      <c r="AR2038" s="9"/>
      <c r="AS2038" s="9"/>
      <c r="AT2038" s="9"/>
      <c r="AU2038" s="9"/>
    </row>
    <row r="2039" spans="1:47" ht="15.75" customHeight="1">
      <c r="A2039" s="9"/>
      <c r="B2039" s="9"/>
      <c r="C2039" s="9"/>
      <c r="D2039" s="9"/>
      <c r="E2039" s="9"/>
      <c r="F2039" s="67"/>
      <c r="G2039" s="9"/>
      <c r="H2039" s="9"/>
      <c r="I2039" s="9"/>
      <c r="J2039" s="9"/>
      <c r="K2039" s="9"/>
      <c r="L2039" s="9"/>
      <c r="M2039" s="9"/>
      <c r="N2039" s="9"/>
      <c r="O2039" s="9"/>
      <c r="P2039" s="9"/>
      <c r="Q2039" s="9"/>
      <c r="R2039" s="9"/>
      <c r="S2039" s="9"/>
      <c r="T2039" s="9"/>
      <c r="U2039" s="9"/>
      <c r="V2039" s="9"/>
      <c r="W2039" s="9"/>
      <c r="X2039" s="9"/>
      <c r="Y2039" s="9"/>
      <c r="Z2039" s="9"/>
      <c r="AA2039" s="9"/>
      <c r="AB2039" s="9"/>
      <c r="AC2039" s="9"/>
      <c r="AD2039" s="9"/>
      <c r="AE2039" s="9"/>
      <c r="AF2039" s="9"/>
      <c r="AG2039" s="9"/>
      <c r="AH2039" s="9"/>
      <c r="AI2039" s="9"/>
      <c r="AJ2039" s="9"/>
      <c r="AK2039" s="9"/>
      <c r="AL2039" s="9"/>
      <c r="AM2039" s="9"/>
      <c r="AN2039" s="9"/>
      <c r="AO2039" s="9"/>
      <c r="AP2039" s="9"/>
      <c r="AQ2039" s="9"/>
      <c r="AR2039" s="9"/>
      <c r="AS2039" s="9"/>
      <c r="AT2039" s="9"/>
      <c r="AU2039" s="9"/>
    </row>
    <row r="2040" spans="1:47" ht="15.75" customHeight="1">
      <c r="A2040" s="9"/>
      <c r="B2040" s="9"/>
      <c r="C2040" s="9"/>
      <c r="D2040" s="9"/>
      <c r="E2040" s="9"/>
      <c r="F2040" s="67"/>
      <c r="G2040" s="9"/>
      <c r="H2040" s="9"/>
      <c r="I2040" s="9"/>
      <c r="J2040" s="9"/>
      <c r="K2040" s="9"/>
      <c r="L2040" s="9"/>
      <c r="M2040" s="9"/>
      <c r="N2040" s="9"/>
      <c r="O2040" s="9"/>
      <c r="P2040" s="9"/>
      <c r="Q2040" s="9"/>
      <c r="R2040" s="9"/>
      <c r="S2040" s="9"/>
      <c r="T2040" s="9"/>
      <c r="U2040" s="9"/>
      <c r="V2040" s="9"/>
      <c r="W2040" s="9"/>
      <c r="X2040" s="9"/>
      <c r="Y2040" s="9"/>
      <c r="Z2040" s="9"/>
      <c r="AA2040" s="9"/>
      <c r="AB2040" s="9"/>
      <c r="AC2040" s="9"/>
      <c r="AD2040" s="9"/>
      <c r="AE2040" s="9"/>
      <c r="AF2040" s="9"/>
      <c r="AG2040" s="9"/>
      <c r="AH2040" s="9"/>
      <c r="AI2040" s="9"/>
      <c r="AJ2040" s="9"/>
      <c r="AK2040" s="9"/>
      <c r="AL2040" s="9"/>
      <c r="AM2040" s="9"/>
      <c r="AN2040" s="9"/>
      <c r="AO2040" s="9"/>
      <c r="AP2040" s="9"/>
      <c r="AQ2040" s="9"/>
      <c r="AR2040" s="9"/>
      <c r="AS2040" s="9"/>
      <c r="AT2040" s="9"/>
      <c r="AU2040" s="9"/>
    </row>
    <row r="2041" spans="1:47" ht="15.75" customHeight="1">
      <c r="A2041" s="9"/>
      <c r="B2041" s="9"/>
      <c r="C2041" s="9"/>
      <c r="D2041" s="9"/>
      <c r="E2041" s="9"/>
      <c r="F2041" s="67"/>
      <c r="G2041" s="9"/>
      <c r="H2041" s="9"/>
      <c r="I2041" s="9"/>
      <c r="J2041" s="9"/>
      <c r="K2041" s="9"/>
      <c r="L2041" s="9"/>
      <c r="M2041" s="9"/>
      <c r="N2041" s="9"/>
      <c r="O2041" s="9"/>
      <c r="P2041" s="9"/>
      <c r="Q2041" s="9"/>
      <c r="R2041" s="9"/>
      <c r="S2041" s="9"/>
      <c r="T2041" s="9"/>
      <c r="U2041" s="9"/>
      <c r="V2041" s="9"/>
      <c r="W2041" s="9"/>
      <c r="X2041" s="9"/>
      <c r="Y2041" s="9"/>
      <c r="Z2041" s="9"/>
      <c r="AA2041" s="9"/>
      <c r="AB2041" s="9"/>
      <c r="AC2041" s="9"/>
      <c r="AD2041" s="9"/>
      <c r="AE2041" s="9"/>
      <c r="AF2041" s="9"/>
      <c r="AG2041" s="9"/>
      <c r="AH2041" s="9"/>
      <c r="AI2041" s="9"/>
      <c r="AJ2041" s="9"/>
      <c r="AK2041" s="9"/>
      <c r="AL2041" s="9"/>
      <c r="AM2041" s="9"/>
      <c r="AN2041" s="9"/>
      <c r="AO2041" s="9"/>
      <c r="AP2041" s="9"/>
      <c r="AQ2041" s="9"/>
      <c r="AR2041" s="9"/>
      <c r="AS2041" s="9"/>
      <c r="AT2041" s="9"/>
      <c r="AU2041" s="9"/>
    </row>
    <row r="2042" spans="1:47" ht="15.75" customHeight="1">
      <c r="A2042" s="9"/>
      <c r="B2042" s="9"/>
      <c r="C2042" s="9"/>
      <c r="D2042" s="9"/>
      <c r="E2042" s="9"/>
      <c r="F2042" s="67"/>
      <c r="G2042" s="9"/>
      <c r="H2042" s="9"/>
      <c r="I2042" s="9"/>
      <c r="J2042" s="9"/>
      <c r="K2042" s="9"/>
      <c r="L2042" s="9"/>
      <c r="M2042" s="9"/>
      <c r="N2042" s="9"/>
      <c r="O2042" s="9"/>
      <c r="P2042" s="9"/>
      <c r="Q2042" s="9"/>
      <c r="R2042" s="9"/>
      <c r="S2042" s="9"/>
      <c r="T2042" s="9"/>
      <c r="U2042" s="9"/>
      <c r="V2042" s="9"/>
      <c r="W2042" s="9"/>
      <c r="X2042" s="9"/>
      <c r="Y2042" s="9"/>
      <c r="Z2042" s="9"/>
      <c r="AA2042" s="9"/>
      <c r="AB2042" s="9"/>
      <c r="AC2042" s="9"/>
      <c r="AD2042" s="9"/>
      <c r="AE2042" s="9"/>
      <c r="AF2042" s="9"/>
      <c r="AG2042" s="9"/>
      <c r="AH2042" s="9"/>
      <c r="AI2042" s="9"/>
      <c r="AJ2042" s="9"/>
      <c r="AK2042" s="9"/>
      <c r="AL2042" s="9"/>
      <c r="AM2042" s="9"/>
      <c r="AN2042" s="9"/>
      <c r="AO2042" s="9"/>
      <c r="AP2042" s="9"/>
      <c r="AQ2042" s="9"/>
      <c r="AR2042" s="9"/>
      <c r="AS2042" s="9"/>
      <c r="AT2042" s="9"/>
      <c r="AU2042" s="9"/>
    </row>
    <row r="2043" spans="1:47" ht="15.75" customHeight="1">
      <c r="A2043" s="9"/>
      <c r="B2043" s="9"/>
      <c r="C2043" s="9"/>
      <c r="D2043" s="9"/>
      <c r="E2043" s="9"/>
      <c r="F2043" s="67"/>
      <c r="G2043" s="9"/>
      <c r="H2043" s="9"/>
      <c r="I2043" s="9"/>
      <c r="J2043" s="9"/>
      <c r="K2043" s="9"/>
      <c r="L2043" s="9"/>
      <c r="M2043" s="9"/>
      <c r="N2043" s="9"/>
      <c r="O2043" s="9"/>
      <c r="P2043" s="9"/>
      <c r="Q2043" s="9"/>
      <c r="R2043" s="9"/>
      <c r="S2043" s="9"/>
      <c r="T2043" s="9"/>
      <c r="U2043" s="9"/>
      <c r="V2043" s="9"/>
      <c r="W2043" s="9"/>
      <c r="X2043" s="9"/>
      <c r="Y2043" s="9"/>
      <c r="Z2043" s="9"/>
      <c r="AA2043" s="9"/>
      <c r="AB2043" s="9"/>
      <c r="AC2043" s="9"/>
      <c r="AD2043" s="9"/>
      <c r="AE2043" s="9"/>
      <c r="AF2043" s="9"/>
      <c r="AG2043" s="9"/>
      <c r="AH2043" s="9"/>
      <c r="AI2043" s="9"/>
      <c r="AJ2043" s="9"/>
      <c r="AK2043" s="9"/>
      <c r="AL2043" s="9"/>
      <c r="AM2043" s="9"/>
      <c r="AN2043" s="9"/>
      <c r="AO2043" s="9"/>
      <c r="AP2043" s="9"/>
      <c r="AQ2043" s="9"/>
      <c r="AR2043" s="9"/>
      <c r="AS2043" s="9"/>
      <c r="AT2043" s="9"/>
      <c r="AU2043" s="9"/>
    </row>
    <row r="2044" spans="1:47" ht="15.75" customHeight="1">
      <c r="A2044" s="9"/>
      <c r="B2044" s="9"/>
      <c r="C2044" s="9"/>
      <c r="D2044" s="9"/>
      <c r="E2044" s="9"/>
      <c r="F2044" s="67"/>
      <c r="G2044" s="9"/>
      <c r="H2044" s="9"/>
      <c r="I2044" s="9"/>
      <c r="J2044" s="9"/>
      <c r="K2044" s="9"/>
      <c r="L2044" s="9"/>
      <c r="M2044" s="9"/>
      <c r="N2044" s="9"/>
      <c r="O2044" s="9"/>
      <c r="P2044" s="9"/>
      <c r="Q2044" s="9"/>
      <c r="R2044" s="9"/>
      <c r="S2044" s="9"/>
      <c r="T2044" s="9"/>
      <c r="U2044" s="9"/>
      <c r="V2044" s="9"/>
      <c r="W2044" s="9"/>
      <c r="X2044" s="9"/>
      <c r="Y2044" s="9"/>
      <c r="Z2044" s="9"/>
      <c r="AA2044" s="9"/>
      <c r="AB2044" s="9"/>
      <c r="AC2044" s="9"/>
      <c r="AD2044" s="9"/>
      <c r="AE2044" s="9"/>
      <c r="AF2044" s="9"/>
      <c r="AG2044" s="9"/>
      <c r="AH2044" s="9"/>
      <c r="AI2044" s="9"/>
      <c r="AJ2044" s="9"/>
      <c r="AK2044" s="9"/>
      <c r="AL2044" s="9"/>
      <c r="AM2044" s="9"/>
      <c r="AN2044" s="9"/>
      <c r="AO2044" s="9"/>
      <c r="AP2044" s="9"/>
      <c r="AQ2044" s="9"/>
      <c r="AR2044" s="9"/>
      <c r="AS2044" s="9"/>
      <c r="AT2044" s="9"/>
      <c r="AU2044" s="9"/>
    </row>
    <row r="2045" spans="1:47" ht="15.75" customHeight="1">
      <c r="A2045" s="9"/>
      <c r="B2045" s="9"/>
      <c r="C2045" s="9"/>
      <c r="D2045" s="9"/>
      <c r="E2045" s="9"/>
      <c r="F2045" s="67"/>
      <c r="G2045" s="9"/>
      <c r="H2045" s="9"/>
      <c r="I2045" s="9"/>
      <c r="J2045" s="9"/>
      <c r="K2045" s="9"/>
      <c r="L2045" s="9"/>
      <c r="M2045" s="9"/>
      <c r="N2045" s="9"/>
      <c r="O2045" s="9"/>
      <c r="P2045" s="9"/>
      <c r="Q2045" s="9"/>
      <c r="R2045" s="9"/>
      <c r="S2045" s="9"/>
      <c r="T2045" s="9"/>
      <c r="U2045" s="9"/>
      <c r="V2045" s="9"/>
      <c r="W2045" s="9"/>
      <c r="X2045" s="9"/>
      <c r="Y2045" s="9"/>
      <c r="Z2045" s="9"/>
      <c r="AA2045" s="9"/>
      <c r="AB2045" s="9"/>
      <c r="AC2045" s="9"/>
      <c r="AD2045" s="9"/>
      <c r="AE2045" s="9"/>
      <c r="AF2045" s="9"/>
      <c r="AG2045" s="9"/>
      <c r="AH2045" s="9"/>
      <c r="AI2045" s="9"/>
      <c r="AJ2045" s="9"/>
      <c r="AK2045" s="9"/>
      <c r="AL2045" s="9"/>
      <c r="AM2045" s="9"/>
      <c r="AN2045" s="9"/>
      <c r="AO2045" s="9"/>
      <c r="AP2045" s="9"/>
      <c r="AQ2045" s="9"/>
      <c r="AR2045" s="9"/>
      <c r="AS2045" s="9"/>
      <c r="AT2045" s="9"/>
      <c r="AU2045" s="9"/>
    </row>
    <row r="2046" spans="1:47" ht="15.75" customHeight="1">
      <c r="A2046" s="9"/>
      <c r="B2046" s="9"/>
      <c r="C2046" s="9"/>
      <c r="D2046" s="9"/>
      <c r="E2046" s="9"/>
      <c r="F2046" s="67"/>
      <c r="G2046" s="9"/>
      <c r="H2046" s="9"/>
      <c r="I2046" s="9"/>
      <c r="J2046" s="9"/>
      <c r="K2046" s="9"/>
      <c r="L2046" s="9"/>
      <c r="M2046" s="9"/>
      <c r="N2046" s="9"/>
      <c r="O2046" s="9"/>
      <c r="P2046" s="9"/>
      <c r="Q2046" s="9"/>
      <c r="R2046" s="9"/>
      <c r="S2046" s="9"/>
      <c r="T2046" s="9"/>
      <c r="U2046" s="9"/>
      <c r="V2046" s="9"/>
      <c r="W2046" s="9"/>
      <c r="X2046" s="9"/>
      <c r="Y2046" s="9"/>
      <c r="Z2046" s="9"/>
      <c r="AA2046" s="9"/>
      <c r="AB2046" s="9"/>
      <c r="AC2046" s="9"/>
      <c r="AD2046" s="9"/>
      <c r="AE2046" s="9"/>
      <c r="AF2046" s="9"/>
      <c r="AG2046" s="9"/>
      <c r="AH2046" s="9"/>
      <c r="AI2046" s="9"/>
      <c r="AJ2046" s="9"/>
      <c r="AK2046" s="9"/>
      <c r="AL2046" s="9"/>
      <c r="AM2046" s="9"/>
      <c r="AN2046" s="9"/>
      <c r="AO2046" s="9"/>
      <c r="AP2046" s="9"/>
      <c r="AQ2046" s="9"/>
      <c r="AR2046" s="9"/>
      <c r="AS2046" s="9"/>
      <c r="AT2046" s="9"/>
      <c r="AU2046" s="9"/>
    </row>
    <row r="2047" spans="1:47" ht="15.75" customHeight="1">
      <c r="A2047" s="9"/>
      <c r="B2047" s="9"/>
      <c r="C2047" s="9"/>
      <c r="D2047" s="9"/>
      <c r="E2047" s="9"/>
      <c r="F2047" s="67"/>
      <c r="G2047" s="9"/>
      <c r="H2047" s="9"/>
      <c r="I2047" s="9"/>
      <c r="J2047" s="9"/>
      <c r="K2047" s="9"/>
      <c r="L2047" s="9"/>
      <c r="M2047" s="9"/>
      <c r="N2047" s="9"/>
      <c r="O2047" s="9"/>
      <c r="P2047" s="9"/>
      <c r="Q2047" s="9"/>
      <c r="R2047" s="9"/>
      <c r="S2047" s="9"/>
      <c r="T2047" s="9"/>
      <c r="U2047" s="9"/>
      <c r="V2047" s="9"/>
      <c r="W2047" s="9"/>
      <c r="X2047" s="9"/>
      <c r="Y2047" s="9"/>
      <c r="Z2047" s="9"/>
      <c r="AA2047" s="9"/>
      <c r="AB2047" s="9"/>
      <c r="AC2047" s="9"/>
      <c r="AD2047" s="9"/>
      <c r="AE2047" s="9"/>
      <c r="AF2047" s="9"/>
      <c r="AG2047" s="9"/>
      <c r="AH2047" s="9"/>
      <c r="AI2047" s="9"/>
      <c r="AJ2047" s="9"/>
      <c r="AK2047" s="9"/>
      <c r="AL2047" s="9"/>
      <c r="AM2047" s="9"/>
      <c r="AN2047" s="9"/>
      <c r="AO2047" s="9"/>
      <c r="AP2047" s="9"/>
      <c r="AQ2047" s="9"/>
      <c r="AR2047" s="9"/>
      <c r="AS2047" s="9"/>
      <c r="AT2047" s="9"/>
      <c r="AU2047" s="9"/>
    </row>
    <row r="2048" spans="1:47" ht="15.75" customHeight="1">
      <c r="A2048" s="9"/>
      <c r="B2048" s="9"/>
      <c r="C2048" s="9"/>
      <c r="D2048" s="9"/>
      <c r="E2048" s="9"/>
      <c r="F2048" s="67"/>
      <c r="G2048" s="9"/>
      <c r="H2048" s="9"/>
      <c r="I2048" s="9"/>
      <c r="J2048" s="9"/>
      <c r="K2048" s="9"/>
      <c r="L2048" s="9"/>
      <c r="M2048" s="9"/>
      <c r="N2048" s="9"/>
      <c r="O2048" s="9"/>
      <c r="P2048" s="9"/>
      <c r="Q2048" s="9"/>
      <c r="R2048" s="9"/>
      <c r="S2048" s="9"/>
      <c r="T2048" s="9"/>
      <c r="U2048" s="9"/>
      <c r="V2048" s="9"/>
      <c r="W2048" s="9"/>
      <c r="X2048" s="9"/>
      <c r="Y2048" s="9"/>
      <c r="Z2048" s="9"/>
      <c r="AA2048" s="9"/>
      <c r="AB2048" s="9"/>
      <c r="AC2048" s="9"/>
      <c r="AD2048" s="9"/>
      <c r="AE2048" s="9"/>
      <c r="AF2048" s="9"/>
      <c r="AG2048" s="9"/>
      <c r="AH2048" s="9"/>
      <c r="AI2048" s="9"/>
      <c r="AJ2048" s="9"/>
      <c r="AK2048" s="9"/>
      <c r="AL2048" s="9"/>
      <c r="AM2048" s="9"/>
      <c r="AN2048" s="9"/>
      <c r="AO2048" s="9"/>
      <c r="AP2048" s="9"/>
      <c r="AQ2048" s="9"/>
      <c r="AR2048" s="9"/>
      <c r="AS2048" s="9"/>
      <c r="AT2048" s="9"/>
      <c r="AU2048" s="9"/>
    </row>
    <row r="2049" spans="1:47" ht="15.75" customHeight="1">
      <c r="A2049" s="9"/>
      <c r="B2049" s="9"/>
      <c r="C2049" s="9"/>
      <c r="D2049" s="9"/>
      <c r="E2049" s="9"/>
      <c r="F2049" s="67"/>
      <c r="G2049" s="9"/>
      <c r="H2049" s="9"/>
      <c r="I2049" s="9"/>
      <c r="J2049" s="9"/>
      <c r="K2049" s="9"/>
      <c r="L2049" s="9"/>
      <c r="M2049" s="9"/>
      <c r="N2049" s="9"/>
      <c r="O2049" s="9"/>
      <c r="P2049" s="9"/>
      <c r="Q2049" s="9"/>
      <c r="R2049" s="9"/>
      <c r="S2049" s="9"/>
      <c r="T2049" s="9"/>
      <c r="U2049" s="9"/>
      <c r="V2049" s="9"/>
      <c r="W2049" s="9"/>
      <c r="X2049" s="9"/>
      <c r="Y2049" s="9"/>
      <c r="Z2049" s="9"/>
      <c r="AA2049" s="9"/>
      <c r="AB2049" s="9"/>
      <c r="AC2049" s="9"/>
      <c r="AD2049" s="9"/>
      <c r="AE2049" s="9"/>
      <c r="AF2049" s="9"/>
      <c r="AG2049" s="9"/>
      <c r="AH2049" s="9"/>
      <c r="AI2049" s="9"/>
      <c r="AJ2049" s="9"/>
      <c r="AK2049" s="9"/>
      <c r="AL2049" s="9"/>
      <c r="AM2049" s="9"/>
      <c r="AN2049" s="9"/>
      <c r="AO2049" s="9"/>
      <c r="AP2049" s="9"/>
      <c r="AQ2049" s="9"/>
      <c r="AR2049" s="9"/>
      <c r="AS2049" s="9"/>
      <c r="AT2049" s="9"/>
      <c r="AU2049" s="9"/>
    </row>
    <row r="2050" spans="1:47" ht="15.75" customHeight="1">
      <c r="A2050" s="9"/>
      <c r="B2050" s="9"/>
      <c r="C2050" s="9"/>
      <c r="D2050" s="9"/>
      <c r="E2050" s="9"/>
      <c r="F2050" s="67"/>
      <c r="G2050" s="9"/>
      <c r="H2050" s="9"/>
      <c r="I2050" s="9"/>
      <c r="J2050" s="9"/>
      <c r="K2050" s="9"/>
      <c r="L2050" s="9"/>
      <c r="M2050" s="9"/>
      <c r="N2050" s="9"/>
      <c r="O2050" s="9"/>
      <c r="P2050" s="9"/>
      <c r="Q2050" s="9"/>
      <c r="R2050" s="9"/>
      <c r="S2050" s="9"/>
      <c r="T2050" s="9"/>
      <c r="U2050" s="9"/>
      <c r="V2050" s="9"/>
      <c r="W2050" s="9"/>
      <c r="X2050" s="9"/>
      <c r="Y2050" s="9"/>
      <c r="Z2050" s="9"/>
      <c r="AA2050" s="9"/>
      <c r="AB2050" s="9"/>
      <c r="AC2050" s="9"/>
      <c r="AD2050" s="9"/>
      <c r="AE2050" s="9"/>
      <c r="AF2050" s="9"/>
      <c r="AG2050" s="9"/>
      <c r="AH2050" s="9"/>
      <c r="AI2050" s="9"/>
      <c r="AJ2050" s="9"/>
      <c r="AK2050" s="9"/>
      <c r="AL2050" s="9"/>
      <c r="AM2050" s="9"/>
      <c r="AN2050" s="9"/>
      <c r="AO2050" s="9"/>
      <c r="AP2050" s="9"/>
      <c r="AQ2050" s="9"/>
      <c r="AR2050" s="9"/>
      <c r="AS2050" s="9"/>
      <c r="AT2050" s="9"/>
      <c r="AU2050" s="9"/>
    </row>
    <row r="2051" spans="1:47" ht="15.75" customHeight="1">
      <c r="A2051" s="9"/>
      <c r="B2051" s="9"/>
      <c r="C2051" s="9"/>
      <c r="D2051" s="9"/>
      <c r="E2051" s="9"/>
      <c r="F2051" s="67"/>
      <c r="G2051" s="9"/>
      <c r="H2051" s="9"/>
      <c r="I2051" s="9"/>
      <c r="J2051" s="9"/>
      <c r="K2051" s="9"/>
      <c r="L2051" s="9"/>
      <c r="M2051" s="9"/>
      <c r="N2051" s="9"/>
      <c r="O2051" s="9"/>
      <c r="P2051" s="9"/>
      <c r="Q2051" s="9"/>
      <c r="R2051" s="9"/>
      <c r="S2051" s="9"/>
      <c r="T2051" s="9"/>
      <c r="U2051" s="9"/>
      <c r="V2051" s="9"/>
      <c r="W2051" s="9"/>
      <c r="X2051" s="9"/>
      <c r="Y2051" s="9"/>
      <c r="Z2051" s="9"/>
      <c r="AA2051" s="9"/>
      <c r="AB2051" s="9"/>
      <c r="AC2051" s="9"/>
      <c r="AD2051" s="9"/>
      <c r="AE2051" s="9"/>
      <c r="AF2051" s="9"/>
      <c r="AG2051" s="9"/>
      <c r="AH2051" s="9"/>
      <c r="AI2051" s="9"/>
      <c r="AJ2051" s="9"/>
      <c r="AK2051" s="9"/>
      <c r="AL2051" s="9"/>
      <c r="AM2051" s="9"/>
      <c r="AN2051" s="9"/>
      <c r="AO2051" s="9"/>
      <c r="AP2051" s="9"/>
      <c r="AQ2051" s="9"/>
      <c r="AR2051" s="9"/>
      <c r="AS2051" s="9"/>
      <c r="AT2051" s="9"/>
      <c r="AU2051" s="9"/>
    </row>
    <row r="2052" spans="1:47" ht="15.75" customHeight="1">
      <c r="A2052" s="9"/>
      <c r="B2052" s="9"/>
      <c r="C2052" s="9"/>
      <c r="D2052" s="9"/>
      <c r="E2052" s="9"/>
      <c r="F2052" s="67"/>
      <c r="G2052" s="9"/>
      <c r="H2052" s="9"/>
      <c r="I2052" s="9"/>
      <c r="J2052" s="9"/>
      <c r="K2052" s="9"/>
      <c r="L2052" s="9"/>
      <c r="M2052" s="9"/>
      <c r="N2052" s="9"/>
      <c r="O2052" s="9"/>
      <c r="P2052" s="9"/>
      <c r="Q2052" s="9"/>
      <c r="R2052" s="9"/>
      <c r="S2052" s="9"/>
      <c r="T2052" s="9"/>
      <c r="U2052" s="9"/>
      <c r="V2052" s="9"/>
      <c r="W2052" s="9"/>
      <c r="X2052" s="9"/>
      <c r="Y2052" s="9"/>
      <c r="Z2052" s="9"/>
      <c r="AA2052" s="9"/>
      <c r="AB2052" s="9"/>
      <c r="AC2052" s="9"/>
      <c r="AD2052" s="9"/>
      <c r="AE2052" s="9"/>
      <c r="AF2052" s="9"/>
      <c r="AG2052" s="9"/>
      <c r="AH2052" s="9"/>
      <c r="AI2052" s="9"/>
      <c r="AJ2052" s="9"/>
      <c r="AK2052" s="9"/>
      <c r="AL2052" s="9"/>
      <c r="AM2052" s="9"/>
      <c r="AN2052" s="9"/>
      <c r="AO2052" s="9"/>
      <c r="AP2052" s="9"/>
      <c r="AQ2052" s="9"/>
      <c r="AR2052" s="9"/>
      <c r="AS2052" s="9"/>
      <c r="AT2052" s="9"/>
      <c r="AU2052" s="9"/>
    </row>
    <row r="2053" spans="1:47" ht="15.75" customHeight="1">
      <c r="A2053" s="9"/>
      <c r="B2053" s="9"/>
      <c r="C2053" s="9"/>
      <c r="D2053" s="9"/>
      <c r="E2053" s="9"/>
      <c r="F2053" s="67"/>
      <c r="G2053" s="9"/>
      <c r="H2053" s="9"/>
      <c r="I2053" s="9"/>
      <c r="J2053" s="9"/>
      <c r="K2053" s="9"/>
      <c r="L2053" s="9"/>
      <c r="M2053" s="9"/>
      <c r="N2053" s="9"/>
      <c r="O2053" s="9"/>
      <c r="P2053" s="9"/>
      <c r="Q2053" s="9"/>
      <c r="R2053" s="9"/>
      <c r="S2053" s="9"/>
      <c r="T2053" s="9"/>
      <c r="U2053" s="9"/>
      <c r="V2053" s="9"/>
      <c r="W2053" s="9"/>
      <c r="X2053" s="9"/>
      <c r="Y2053" s="9"/>
      <c r="Z2053" s="9"/>
      <c r="AA2053" s="9"/>
      <c r="AB2053" s="9"/>
      <c r="AC2053" s="9"/>
      <c r="AD2053" s="9"/>
      <c r="AE2053" s="9"/>
      <c r="AF2053" s="9"/>
      <c r="AG2053" s="9"/>
      <c r="AH2053" s="9"/>
      <c r="AI2053" s="9"/>
      <c r="AJ2053" s="9"/>
      <c r="AK2053" s="9"/>
      <c r="AL2053" s="9"/>
      <c r="AM2053" s="9"/>
      <c r="AN2053" s="9"/>
      <c r="AO2053" s="9"/>
      <c r="AP2053" s="9"/>
      <c r="AQ2053" s="9"/>
      <c r="AR2053" s="9"/>
      <c r="AS2053" s="9"/>
      <c r="AT2053" s="9"/>
      <c r="AU2053" s="9"/>
    </row>
    <row r="2054" spans="1:47" ht="15.75" customHeight="1">
      <c r="A2054" s="9"/>
      <c r="B2054" s="9"/>
      <c r="C2054" s="9"/>
      <c r="D2054" s="9"/>
      <c r="E2054" s="9"/>
      <c r="F2054" s="67"/>
      <c r="G2054" s="9"/>
      <c r="H2054" s="9"/>
      <c r="I2054" s="9"/>
      <c r="J2054" s="9"/>
      <c r="K2054" s="9"/>
      <c r="L2054" s="9"/>
      <c r="M2054" s="9"/>
      <c r="N2054" s="9"/>
      <c r="O2054" s="9"/>
      <c r="P2054" s="9"/>
      <c r="Q2054" s="9"/>
      <c r="R2054" s="9"/>
      <c r="S2054" s="9"/>
      <c r="T2054" s="9"/>
      <c r="U2054" s="9"/>
      <c r="V2054" s="9"/>
      <c r="W2054" s="9"/>
      <c r="X2054" s="9"/>
      <c r="Y2054" s="9"/>
      <c r="Z2054" s="9"/>
      <c r="AA2054" s="9"/>
      <c r="AB2054" s="9"/>
      <c r="AC2054" s="9"/>
      <c r="AD2054" s="9"/>
      <c r="AE2054" s="9"/>
      <c r="AF2054" s="9"/>
      <c r="AG2054" s="9"/>
      <c r="AH2054" s="9"/>
      <c r="AI2054" s="9"/>
      <c r="AJ2054" s="9"/>
      <c r="AK2054" s="9"/>
      <c r="AL2054" s="9"/>
      <c r="AM2054" s="9"/>
      <c r="AN2054" s="9"/>
      <c r="AO2054" s="9"/>
      <c r="AP2054" s="9"/>
      <c r="AQ2054" s="9"/>
      <c r="AR2054" s="9"/>
      <c r="AS2054" s="9"/>
      <c r="AT2054" s="9"/>
      <c r="AU2054" s="9"/>
    </row>
    <row r="2055" spans="1:47" ht="15.75" customHeight="1">
      <c r="A2055" s="9"/>
      <c r="B2055" s="9"/>
      <c r="C2055" s="9"/>
      <c r="D2055" s="9"/>
      <c r="E2055" s="9"/>
      <c r="F2055" s="67"/>
      <c r="G2055" s="9"/>
      <c r="H2055" s="9"/>
      <c r="I2055" s="9"/>
      <c r="J2055" s="9"/>
      <c r="K2055" s="9"/>
      <c r="L2055" s="9"/>
      <c r="M2055" s="9"/>
      <c r="N2055" s="9"/>
      <c r="O2055" s="9"/>
      <c r="P2055" s="9"/>
      <c r="Q2055" s="9"/>
      <c r="R2055" s="9"/>
      <c r="S2055" s="9"/>
      <c r="T2055" s="9"/>
      <c r="U2055" s="9"/>
      <c r="V2055" s="9"/>
      <c r="W2055" s="9"/>
      <c r="X2055" s="9"/>
      <c r="Y2055" s="9"/>
      <c r="Z2055" s="9"/>
      <c r="AA2055" s="9"/>
      <c r="AB2055" s="9"/>
      <c r="AC2055" s="9"/>
      <c r="AD2055" s="9"/>
      <c r="AE2055" s="9"/>
      <c r="AF2055" s="9"/>
      <c r="AG2055" s="9"/>
      <c r="AH2055" s="9"/>
      <c r="AI2055" s="9"/>
      <c r="AJ2055" s="9"/>
      <c r="AK2055" s="9"/>
      <c r="AL2055" s="9"/>
      <c r="AM2055" s="9"/>
      <c r="AN2055" s="9"/>
      <c r="AO2055" s="9"/>
      <c r="AP2055" s="9"/>
      <c r="AQ2055" s="9"/>
      <c r="AR2055" s="9"/>
      <c r="AS2055" s="9"/>
      <c r="AT2055" s="9"/>
      <c r="AU2055" s="9"/>
    </row>
    <row r="2056" spans="1:47" ht="15.75" customHeight="1">
      <c r="A2056" s="9"/>
      <c r="B2056" s="9"/>
      <c r="C2056" s="9"/>
      <c r="D2056" s="9"/>
      <c r="E2056" s="9"/>
      <c r="F2056" s="67"/>
      <c r="G2056" s="9"/>
      <c r="H2056" s="9"/>
      <c r="I2056" s="9"/>
      <c r="J2056" s="9"/>
      <c r="K2056" s="9"/>
      <c r="L2056" s="9"/>
      <c r="M2056" s="9"/>
      <c r="N2056" s="9"/>
      <c r="O2056" s="9"/>
      <c r="P2056" s="9"/>
      <c r="Q2056" s="9"/>
      <c r="R2056" s="9"/>
      <c r="S2056" s="9"/>
      <c r="T2056" s="9"/>
      <c r="U2056" s="9"/>
      <c r="V2056" s="9"/>
      <c r="W2056" s="9"/>
      <c r="X2056" s="9"/>
      <c r="Y2056" s="9"/>
      <c r="Z2056" s="9"/>
      <c r="AA2056" s="9"/>
      <c r="AB2056" s="9"/>
      <c r="AC2056" s="9"/>
      <c r="AD2056" s="9"/>
      <c r="AE2056" s="9"/>
      <c r="AF2056" s="9"/>
      <c r="AG2056" s="9"/>
      <c r="AH2056" s="9"/>
      <c r="AI2056" s="9"/>
      <c r="AJ2056" s="9"/>
      <c r="AK2056" s="9"/>
      <c r="AL2056" s="9"/>
      <c r="AM2056" s="9"/>
      <c r="AN2056" s="9"/>
      <c r="AO2056" s="9"/>
      <c r="AP2056" s="9"/>
      <c r="AQ2056" s="9"/>
      <c r="AR2056" s="9"/>
      <c r="AS2056" s="9"/>
      <c r="AT2056" s="9"/>
      <c r="AU2056" s="9"/>
    </row>
    <row r="2057" spans="1:47" ht="15.75" customHeight="1">
      <c r="A2057" s="9"/>
      <c r="B2057" s="9"/>
      <c r="C2057" s="9"/>
      <c r="D2057" s="9"/>
      <c r="E2057" s="9"/>
      <c r="F2057" s="67"/>
      <c r="G2057" s="9"/>
      <c r="H2057" s="9"/>
      <c r="I2057" s="9"/>
      <c r="J2057" s="9"/>
      <c r="K2057" s="9"/>
      <c r="L2057" s="9"/>
      <c r="M2057" s="9"/>
      <c r="N2057" s="9"/>
      <c r="O2057" s="9"/>
      <c r="P2057" s="9"/>
      <c r="Q2057" s="9"/>
      <c r="R2057" s="9"/>
      <c r="S2057" s="9"/>
      <c r="T2057" s="9"/>
      <c r="U2057" s="9"/>
      <c r="V2057" s="9"/>
      <c r="W2057" s="9"/>
      <c r="X2057" s="9"/>
      <c r="Y2057" s="9"/>
      <c r="Z2057" s="9"/>
      <c r="AA2057" s="9"/>
      <c r="AB2057" s="9"/>
      <c r="AC2057" s="9"/>
      <c r="AD2057" s="9"/>
      <c r="AE2057" s="9"/>
      <c r="AF2057" s="9"/>
      <c r="AG2057" s="9"/>
      <c r="AH2057" s="9"/>
      <c r="AI2057" s="9"/>
      <c r="AJ2057" s="9"/>
      <c r="AK2057" s="9"/>
      <c r="AL2057" s="9"/>
      <c r="AM2057" s="9"/>
      <c r="AN2057" s="9"/>
      <c r="AO2057" s="9"/>
      <c r="AP2057" s="9"/>
      <c r="AQ2057" s="9"/>
      <c r="AR2057" s="9"/>
      <c r="AS2057" s="9"/>
      <c r="AT2057" s="9"/>
      <c r="AU2057" s="9"/>
    </row>
    <row r="2058" spans="1:47" ht="15.75" customHeight="1">
      <c r="A2058" s="9"/>
      <c r="B2058" s="9"/>
      <c r="C2058" s="9"/>
      <c r="D2058" s="9"/>
      <c r="E2058" s="9"/>
      <c r="F2058" s="67"/>
      <c r="G2058" s="9"/>
      <c r="H2058" s="9"/>
      <c r="I2058" s="9"/>
      <c r="J2058" s="9"/>
      <c r="K2058" s="9"/>
      <c r="L2058" s="9"/>
      <c r="M2058" s="9"/>
      <c r="N2058" s="9"/>
      <c r="O2058" s="9"/>
      <c r="P2058" s="9"/>
      <c r="Q2058" s="9"/>
      <c r="R2058" s="9"/>
      <c r="S2058" s="9"/>
      <c r="T2058" s="9"/>
      <c r="U2058" s="9"/>
      <c r="V2058" s="9"/>
      <c r="W2058" s="9"/>
      <c r="X2058" s="9"/>
      <c r="Y2058" s="9"/>
      <c r="Z2058" s="9"/>
      <c r="AA2058" s="9"/>
      <c r="AB2058" s="9"/>
      <c r="AC2058" s="9"/>
      <c r="AD2058" s="9"/>
      <c r="AE2058" s="9"/>
      <c r="AF2058" s="9"/>
      <c r="AG2058" s="9"/>
      <c r="AH2058" s="9"/>
      <c r="AI2058" s="9"/>
      <c r="AJ2058" s="9"/>
      <c r="AK2058" s="9"/>
      <c r="AL2058" s="9"/>
      <c r="AM2058" s="9"/>
      <c r="AN2058" s="9"/>
      <c r="AO2058" s="9"/>
      <c r="AP2058" s="9"/>
      <c r="AQ2058" s="9"/>
      <c r="AR2058" s="9"/>
      <c r="AS2058" s="9"/>
      <c r="AT2058" s="9"/>
      <c r="AU2058" s="9"/>
    </row>
    <row r="2059" spans="1:47" ht="15.75" customHeight="1">
      <c r="A2059" s="9"/>
      <c r="B2059" s="9"/>
      <c r="C2059" s="9"/>
      <c r="D2059" s="9"/>
      <c r="E2059" s="9"/>
      <c r="F2059" s="67"/>
      <c r="G2059" s="9"/>
      <c r="H2059" s="9"/>
      <c r="I2059" s="9"/>
      <c r="J2059" s="9"/>
      <c r="K2059" s="9"/>
      <c r="L2059" s="9"/>
      <c r="M2059" s="9"/>
      <c r="N2059" s="9"/>
      <c r="O2059" s="9"/>
      <c r="P2059" s="9"/>
      <c r="Q2059" s="9"/>
      <c r="R2059" s="9"/>
      <c r="S2059" s="9"/>
      <c r="T2059" s="9"/>
      <c r="U2059" s="9"/>
      <c r="V2059" s="9"/>
      <c r="W2059" s="9"/>
      <c r="X2059" s="9"/>
      <c r="Y2059" s="9"/>
      <c r="Z2059" s="9"/>
      <c r="AA2059" s="9"/>
      <c r="AB2059" s="9"/>
      <c r="AC2059" s="9"/>
      <c r="AD2059" s="9"/>
      <c r="AE2059" s="9"/>
      <c r="AF2059" s="9"/>
      <c r="AG2059" s="9"/>
      <c r="AH2059" s="9"/>
      <c r="AI2059" s="9"/>
      <c r="AJ2059" s="9"/>
      <c r="AK2059" s="9"/>
      <c r="AL2059" s="9"/>
      <c r="AM2059" s="9"/>
      <c r="AN2059" s="9"/>
      <c r="AO2059" s="9"/>
      <c r="AP2059" s="9"/>
      <c r="AQ2059" s="9"/>
      <c r="AR2059" s="9"/>
      <c r="AS2059" s="9"/>
      <c r="AT2059" s="9"/>
      <c r="AU2059" s="9"/>
    </row>
    <row r="2060" spans="1:47" ht="15.75" customHeight="1">
      <c r="A2060" s="9"/>
      <c r="B2060" s="9"/>
      <c r="C2060" s="9"/>
      <c r="D2060" s="9"/>
      <c r="E2060" s="9"/>
      <c r="F2060" s="67"/>
      <c r="G2060" s="9"/>
      <c r="H2060" s="9"/>
      <c r="I2060" s="9"/>
      <c r="J2060" s="9"/>
      <c r="K2060" s="9"/>
      <c r="L2060" s="9"/>
      <c r="M2060" s="9"/>
      <c r="N2060" s="9"/>
      <c r="O2060" s="9"/>
      <c r="P2060" s="9"/>
      <c r="Q2060" s="9"/>
      <c r="R2060" s="9"/>
      <c r="S2060" s="9"/>
      <c r="T2060" s="9"/>
      <c r="U2060" s="9"/>
      <c r="V2060" s="9"/>
      <c r="W2060" s="9"/>
      <c r="X2060" s="9"/>
      <c r="Y2060" s="9"/>
      <c r="Z2060" s="9"/>
      <c r="AA2060" s="9"/>
      <c r="AB2060" s="9"/>
      <c r="AC2060" s="9"/>
      <c r="AD2060" s="9"/>
      <c r="AE2060" s="9"/>
      <c r="AF2060" s="9"/>
      <c r="AG2060" s="9"/>
      <c r="AH2060" s="9"/>
      <c r="AI2060" s="9"/>
      <c r="AJ2060" s="9"/>
      <c r="AK2060" s="9"/>
      <c r="AL2060" s="9"/>
      <c r="AM2060" s="9"/>
      <c r="AN2060" s="9"/>
      <c r="AO2060" s="9"/>
      <c r="AP2060" s="9"/>
      <c r="AQ2060" s="9"/>
      <c r="AR2060" s="9"/>
      <c r="AS2060" s="9"/>
      <c r="AT2060" s="9"/>
      <c r="AU2060" s="9"/>
    </row>
    <row r="2061" spans="1:47" ht="15.75" customHeight="1">
      <c r="A2061" s="9"/>
      <c r="B2061" s="9"/>
      <c r="C2061" s="9"/>
      <c r="D2061" s="9"/>
      <c r="E2061" s="9"/>
      <c r="F2061" s="67"/>
      <c r="G2061" s="9"/>
      <c r="H2061" s="9"/>
      <c r="I2061" s="9"/>
      <c r="J2061" s="9"/>
      <c r="K2061" s="9"/>
      <c r="L2061" s="9"/>
      <c r="M2061" s="9"/>
      <c r="N2061" s="9"/>
      <c r="O2061" s="9"/>
      <c r="P2061" s="9"/>
      <c r="Q2061" s="9"/>
      <c r="R2061" s="9"/>
      <c r="S2061" s="9"/>
      <c r="T2061" s="9"/>
      <c r="U2061" s="9"/>
      <c r="V2061" s="9"/>
      <c r="W2061" s="9"/>
      <c r="X2061" s="9"/>
      <c r="Y2061" s="9"/>
      <c r="Z2061" s="9"/>
      <c r="AA2061" s="9"/>
      <c r="AB2061" s="9"/>
      <c r="AC2061" s="9"/>
      <c r="AD2061" s="9"/>
      <c r="AE2061" s="9"/>
      <c r="AF2061" s="9"/>
      <c r="AG2061" s="9"/>
      <c r="AH2061" s="9"/>
      <c r="AI2061" s="9"/>
      <c r="AJ2061" s="9"/>
      <c r="AK2061" s="9"/>
      <c r="AL2061" s="9"/>
      <c r="AM2061" s="9"/>
      <c r="AN2061" s="9"/>
      <c r="AO2061" s="9"/>
      <c r="AP2061" s="9"/>
      <c r="AQ2061" s="9"/>
      <c r="AR2061" s="9"/>
      <c r="AS2061" s="9"/>
      <c r="AT2061" s="9"/>
      <c r="AU2061" s="9"/>
    </row>
    <row r="2062" spans="1:47" ht="15.75" customHeight="1">
      <c r="A2062" s="9"/>
      <c r="B2062" s="9"/>
      <c r="C2062" s="9"/>
      <c r="D2062" s="9"/>
      <c r="E2062" s="9"/>
      <c r="F2062" s="67"/>
      <c r="G2062" s="9"/>
      <c r="H2062" s="9"/>
      <c r="I2062" s="9"/>
      <c r="J2062" s="9"/>
      <c r="K2062" s="9"/>
      <c r="L2062" s="9"/>
      <c r="M2062" s="9"/>
      <c r="N2062" s="9"/>
      <c r="O2062" s="9"/>
      <c r="P2062" s="9"/>
      <c r="Q2062" s="9"/>
      <c r="R2062" s="9"/>
      <c r="S2062" s="9"/>
      <c r="T2062" s="9"/>
      <c r="U2062" s="9"/>
      <c r="V2062" s="9"/>
      <c r="W2062" s="9"/>
      <c r="X2062" s="9"/>
      <c r="Y2062" s="9"/>
      <c r="Z2062" s="9"/>
      <c r="AA2062" s="9"/>
      <c r="AB2062" s="9"/>
      <c r="AC2062" s="9"/>
      <c r="AD2062" s="9"/>
      <c r="AE2062" s="9"/>
      <c r="AF2062" s="9"/>
      <c r="AG2062" s="9"/>
      <c r="AH2062" s="9"/>
      <c r="AI2062" s="9"/>
      <c r="AJ2062" s="9"/>
      <c r="AK2062" s="9"/>
      <c r="AL2062" s="9"/>
      <c r="AM2062" s="9"/>
      <c r="AN2062" s="9"/>
      <c r="AO2062" s="9"/>
      <c r="AP2062" s="9"/>
      <c r="AQ2062" s="9"/>
      <c r="AR2062" s="9"/>
      <c r="AS2062" s="9"/>
      <c r="AT2062" s="9"/>
      <c r="AU2062" s="9"/>
    </row>
    <row r="2063" spans="1:47" ht="15.75" customHeight="1">
      <c r="A2063" s="9"/>
      <c r="B2063" s="9"/>
      <c r="C2063" s="9"/>
      <c r="D2063" s="9"/>
      <c r="E2063" s="9"/>
      <c r="F2063" s="67"/>
      <c r="G2063" s="9"/>
      <c r="H2063" s="9"/>
      <c r="I2063" s="9"/>
      <c r="J2063" s="9"/>
      <c r="K2063" s="9"/>
      <c r="L2063" s="9"/>
      <c r="M2063" s="9"/>
      <c r="N2063" s="9"/>
      <c r="O2063" s="9"/>
      <c r="P2063" s="9"/>
      <c r="Q2063" s="9"/>
      <c r="R2063" s="9"/>
      <c r="S2063" s="9"/>
      <c r="T2063" s="9"/>
      <c r="U2063" s="9"/>
      <c r="V2063" s="9"/>
      <c r="W2063" s="9"/>
      <c r="X2063" s="9"/>
      <c r="Y2063" s="9"/>
      <c r="Z2063" s="9"/>
      <c r="AA2063" s="9"/>
      <c r="AB2063" s="9"/>
      <c r="AC2063" s="9"/>
      <c r="AD2063" s="9"/>
      <c r="AE2063" s="9"/>
      <c r="AF2063" s="9"/>
      <c r="AG2063" s="9"/>
      <c r="AH2063" s="9"/>
      <c r="AI2063" s="9"/>
      <c r="AJ2063" s="9"/>
      <c r="AK2063" s="9"/>
      <c r="AL2063" s="9"/>
      <c r="AM2063" s="9"/>
      <c r="AN2063" s="9"/>
      <c r="AO2063" s="9"/>
      <c r="AP2063" s="9"/>
      <c r="AQ2063" s="9"/>
      <c r="AR2063" s="9"/>
      <c r="AS2063" s="9"/>
      <c r="AT2063" s="9"/>
      <c r="AU2063" s="9"/>
    </row>
    <row r="2064" spans="1:47" ht="15.75" customHeight="1">
      <c r="A2064" s="9"/>
      <c r="B2064" s="9"/>
      <c r="C2064" s="9"/>
      <c r="D2064" s="9"/>
      <c r="E2064" s="9"/>
      <c r="F2064" s="67"/>
      <c r="G2064" s="9"/>
      <c r="H2064" s="9"/>
      <c r="I2064" s="9"/>
      <c r="J2064" s="9"/>
      <c r="K2064" s="9"/>
      <c r="L2064" s="9"/>
      <c r="M2064" s="9"/>
      <c r="N2064" s="9"/>
      <c r="O2064" s="9"/>
      <c r="P2064" s="9"/>
      <c r="Q2064" s="9"/>
      <c r="R2064" s="9"/>
      <c r="S2064" s="9"/>
      <c r="T2064" s="9"/>
      <c r="U2064" s="9"/>
      <c r="V2064" s="9"/>
      <c r="W2064" s="9"/>
      <c r="X2064" s="9"/>
      <c r="Y2064" s="9"/>
      <c r="Z2064" s="9"/>
      <c r="AA2064" s="9"/>
      <c r="AB2064" s="9"/>
      <c r="AC2064" s="9"/>
      <c r="AD2064" s="9"/>
      <c r="AE2064" s="9"/>
      <c r="AF2064" s="9"/>
      <c r="AG2064" s="9"/>
      <c r="AH2064" s="9"/>
      <c r="AI2064" s="9"/>
      <c r="AJ2064" s="9"/>
      <c r="AK2064" s="9"/>
      <c r="AL2064" s="9"/>
      <c r="AM2064" s="9"/>
      <c r="AN2064" s="9"/>
      <c r="AO2064" s="9"/>
      <c r="AP2064" s="9"/>
      <c r="AQ2064" s="9"/>
      <c r="AR2064" s="9"/>
      <c r="AS2064" s="9"/>
      <c r="AT2064" s="9"/>
      <c r="AU2064" s="9"/>
    </row>
    <row r="2065" spans="1:47" ht="15.75" customHeight="1">
      <c r="A2065" s="9"/>
      <c r="B2065" s="9"/>
      <c r="C2065" s="9"/>
      <c r="D2065" s="9"/>
      <c r="E2065" s="9"/>
      <c r="F2065" s="67"/>
      <c r="G2065" s="9"/>
      <c r="H2065" s="9"/>
      <c r="I2065" s="9"/>
      <c r="J2065" s="9"/>
      <c r="K2065" s="9"/>
      <c r="L2065" s="9"/>
      <c r="M2065" s="9"/>
      <c r="N2065" s="9"/>
      <c r="O2065" s="9"/>
      <c r="P2065" s="9"/>
      <c r="Q2065" s="9"/>
      <c r="R2065" s="9"/>
      <c r="S2065" s="9"/>
      <c r="T2065" s="9"/>
      <c r="U2065" s="9"/>
      <c r="V2065" s="9"/>
      <c r="W2065" s="9"/>
      <c r="X2065" s="9"/>
      <c r="Y2065" s="9"/>
      <c r="Z2065" s="9"/>
      <c r="AA2065" s="9"/>
      <c r="AB2065" s="9"/>
      <c r="AC2065" s="9"/>
      <c r="AD2065" s="9"/>
      <c r="AE2065" s="9"/>
      <c r="AF2065" s="9"/>
      <c r="AG2065" s="9"/>
      <c r="AH2065" s="9"/>
      <c r="AI2065" s="9"/>
      <c r="AJ2065" s="9"/>
      <c r="AK2065" s="9"/>
      <c r="AL2065" s="9"/>
      <c r="AM2065" s="9"/>
      <c r="AN2065" s="9"/>
      <c r="AO2065" s="9"/>
      <c r="AP2065" s="9"/>
      <c r="AQ2065" s="9"/>
      <c r="AR2065" s="9"/>
      <c r="AS2065" s="9"/>
      <c r="AT2065" s="9"/>
      <c r="AU2065" s="9"/>
    </row>
    <row r="2066" spans="1:47" ht="15.75" customHeight="1">
      <c r="A2066" s="9"/>
      <c r="B2066" s="9"/>
      <c r="C2066" s="9"/>
      <c r="D2066" s="9"/>
      <c r="E2066" s="9"/>
      <c r="F2066" s="67"/>
      <c r="G2066" s="9"/>
      <c r="H2066" s="9"/>
      <c r="I2066" s="9"/>
      <c r="J2066" s="9"/>
      <c r="K2066" s="9"/>
      <c r="L2066" s="9"/>
      <c r="M2066" s="9"/>
      <c r="N2066" s="9"/>
      <c r="O2066" s="9"/>
      <c r="P2066" s="9"/>
      <c r="Q2066" s="9"/>
      <c r="R2066" s="9"/>
      <c r="S2066" s="9"/>
      <c r="T2066" s="9"/>
      <c r="U2066" s="9"/>
      <c r="V2066" s="9"/>
      <c r="W2066" s="9"/>
      <c r="X2066" s="9"/>
      <c r="Y2066" s="9"/>
      <c r="Z2066" s="9"/>
      <c r="AA2066" s="9"/>
      <c r="AB2066" s="9"/>
      <c r="AC2066" s="9"/>
      <c r="AD2066" s="9"/>
      <c r="AE2066" s="9"/>
      <c r="AF2066" s="9"/>
      <c r="AG2066" s="9"/>
      <c r="AH2066" s="9"/>
      <c r="AI2066" s="9"/>
      <c r="AJ2066" s="9"/>
      <c r="AK2066" s="9"/>
      <c r="AL2066" s="9"/>
      <c r="AM2066" s="9"/>
      <c r="AN2066" s="9"/>
      <c r="AO2066" s="9"/>
      <c r="AP2066" s="9"/>
      <c r="AQ2066" s="9"/>
      <c r="AR2066" s="9"/>
      <c r="AS2066" s="9"/>
      <c r="AT2066" s="9"/>
      <c r="AU2066" s="9"/>
    </row>
    <row r="2067" spans="1:47" ht="15.75" customHeight="1">
      <c r="A2067" s="9"/>
      <c r="B2067" s="9"/>
      <c r="C2067" s="9"/>
      <c r="D2067" s="9"/>
      <c r="E2067" s="9"/>
      <c r="F2067" s="67"/>
      <c r="G2067" s="9"/>
      <c r="H2067" s="9"/>
      <c r="I2067" s="9"/>
      <c r="J2067" s="9"/>
      <c r="K2067" s="9"/>
      <c r="L2067" s="9"/>
      <c r="M2067" s="9"/>
      <c r="N2067" s="9"/>
      <c r="O2067" s="9"/>
      <c r="P2067" s="9"/>
      <c r="Q2067" s="9"/>
      <c r="R2067" s="9"/>
      <c r="S2067" s="9"/>
      <c r="T2067" s="9"/>
      <c r="U2067" s="9"/>
      <c r="V2067" s="9"/>
      <c r="W2067" s="9"/>
      <c r="X2067" s="9"/>
      <c r="Y2067" s="9"/>
      <c r="Z2067" s="9"/>
      <c r="AA2067" s="9"/>
      <c r="AB2067" s="9"/>
      <c r="AC2067" s="9"/>
      <c r="AD2067" s="9"/>
      <c r="AE2067" s="9"/>
      <c r="AF2067" s="9"/>
      <c r="AG2067" s="9"/>
      <c r="AH2067" s="9"/>
      <c r="AI2067" s="9"/>
      <c r="AJ2067" s="9"/>
      <c r="AK2067" s="9"/>
      <c r="AL2067" s="9"/>
      <c r="AM2067" s="9"/>
      <c r="AN2067" s="9"/>
      <c r="AO2067" s="9"/>
      <c r="AP2067" s="9"/>
      <c r="AQ2067" s="9"/>
      <c r="AR2067" s="9"/>
      <c r="AS2067" s="9"/>
      <c r="AT2067" s="9"/>
      <c r="AU2067" s="9"/>
    </row>
    <row r="2068" spans="1:47" ht="15.75" customHeight="1">
      <c r="A2068" s="9"/>
      <c r="B2068" s="9"/>
      <c r="C2068" s="9"/>
      <c r="D2068" s="9"/>
      <c r="E2068" s="9"/>
      <c r="F2068" s="67"/>
      <c r="G2068" s="9"/>
      <c r="H2068" s="9"/>
      <c r="I2068" s="9"/>
      <c r="J2068" s="9"/>
      <c r="K2068" s="9"/>
      <c r="L2068" s="9"/>
      <c r="M2068" s="9"/>
      <c r="N2068" s="9"/>
      <c r="O2068" s="9"/>
      <c r="P2068" s="9"/>
      <c r="Q2068" s="9"/>
      <c r="R2068" s="9"/>
      <c r="S2068" s="9"/>
      <c r="T2068" s="9"/>
      <c r="U2068" s="9"/>
      <c r="V2068" s="9"/>
      <c r="W2068" s="9"/>
      <c r="X2068" s="9"/>
      <c r="Y2068" s="9"/>
      <c r="Z2068" s="9"/>
      <c r="AA2068" s="9"/>
      <c r="AB2068" s="9"/>
      <c r="AC2068" s="9"/>
      <c r="AD2068" s="9"/>
      <c r="AE2068" s="9"/>
      <c r="AF2068" s="9"/>
      <c r="AG2068" s="9"/>
      <c r="AH2068" s="9"/>
      <c r="AI2068" s="9"/>
      <c r="AJ2068" s="9"/>
      <c r="AK2068" s="9"/>
      <c r="AL2068" s="9"/>
      <c r="AM2068" s="9"/>
      <c r="AN2068" s="9"/>
      <c r="AO2068" s="9"/>
      <c r="AP2068" s="9"/>
      <c r="AQ2068" s="9"/>
      <c r="AR2068" s="9"/>
      <c r="AS2068" s="9"/>
      <c r="AT2068" s="9"/>
      <c r="AU2068" s="9"/>
    </row>
    <row r="2069" spans="1:47" ht="15.75" customHeight="1">
      <c r="A2069" s="9"/>
      <c r="B2069" s="9"/>
      <c r="C2069" s="9"/>
      <c r="D2069" s="9"/>
      <c r="E2069" s="9"/>
      <c r="F2069" s="67"/>
      <c r="G2069" s="9"/>
      <c r="H2069" s="9"/>
      <c r="I2069" s="9"/>
      <c r="J2069" s="9"/>
      <c r="K2069" s="9"/>
      <c r="L2069" s="9"/>
      <c r="M2069" s="9"/>
      <c r="N2069" s="9"/>
      <c r="O2069" s="9"/>
      <c r="P2069" s="9"/>
      <c r="Q2069" s="9"/>
      <c r="R2069" s="9"/>
      <c r="S2069" s="9"/>
      <c r="T2069" s="9"/>
      <c r="U2069" s="9"/>
      <c r="V2069" s="9"/>
      <c r="W2069" s="9"/>
      <c r="X2069" s="9"/>
      <c r="Y2069" s="9"/>
      <c r="Z2069" s="9"/>
      <c r="AA2069" s="9"/>
      <c r="AB2069" s="9"/>
      <c r="AC2069" s="9"/>
      <c r="AD2069" s="9"/>
      <c r="AE2069" s="9"/>
      <c r="AF2069" s="9"/>
      <c r="AG2069" s="9"/>
      <c r="AH2069" s="9"/>
      <c r="AI2069" s="9"/>
      <c r="AJ2069" s="9"/>
      <c r="AK2069" s="9"/>
      <c r="AL2069" s="9"/>
      <c r="AM2069" s="9"/>
      <c r="AN2069" s="9"/>
      <c r="AO2069" s="9"/>
      <c r="AP2069" s="9"/>
      <c r="AQ2069" s="9"/>
      <c r="AR2069" s="9"/>
      <c r="AS2069" s="9"/>
      <c r="AT2069" s="9"/>
      <c r="AU2069" s="9"/>
    </row>
    <row r="2070" spans="1:47" ht="15.75" customHeight="1">
      <c r="A2070" s="9"/>
      <c r="B2070" s="9"/>
      <c r="C2070" s="9"/>
      <c r="D2070" s="9"/>
      <c r="E2070" s="9"/>
      <c r="F2070" s="67"/>
      <c r="G2070" s="9"/>
      <c r="H2070" s="9"/>
      <c r="I2070" s="9"/>
      <c r="J2070" s="9"/>
      <c r="K2070" s="9"/>
      <c r="L2070" s="9"/>
      <c r="M2070" s="9"/>
      <c r="N2070" s="9"/>
      <c r="O2070" s="9"/>
      <c r="P2070" s="9"/>
      <c r="Q2070" s="9"/>
      <c r="R2070" s="9"/>
      <c r="S2070" s="9"/>
      <c r="T2070" s="9"/>
      <c r="U2070" s="9"/>
      <c r="V2070" s="9"/>
      <c r="W2070" s="9"/>
      <c r="X2070" s="9"/>
      <c r="Y2070" s="9"/>
      <c r="Z2070" s="9"/>
      <c r="AA2070" s="9"/>
      <c r="AB2070" s="9"/>
      <c r="AC2070" s="9"/>
      <c r="AD2070" s="9"/>
      <c r="AE2070" s="9"/>
      <c r="AF2070" s="9"/>
      <c r="AG2070" s="9"/>
      <c r="AH2070" s="9"/>
      <c r="AI2070" s="9"/>
      <c r="AJ2070" s="9"/>
      <c r="AK2070" s="9"/>
      <c r="AL2070" s="9"/>
      <c r="AM2070" s="9"/>
      <c r="AN2070" s="9"/>
      <c r="AO2070" s="9"/>
      <c r="AP2070" s="9"/>
      <c r="AQ2070" s="9"/>
      <c r="AR2070" s="9"/>
      <c r="AS2070" s="9"/>
      <c r="AT2070" s="9"/>
      <c r="AU2070" s="9"/>
    </row>
    <row r="2071" spans="1:47" ht="15.75" customHeight="1">
      <c r="A2071" s="9"/>
      <c r="B2071" s="9"/>
      <c r="C2071" s="9"/>
      <c r="D2071" s="9"/>
      <c r="E2071" s="9"/>
      <c r="F2071" s="67"/>
      <c r="G2071" s="9"/>
      <c r="H2071" s="9"/>
      <c r="I2071" s="9"/>
      <c r="J2071" s="9"/>
      <c r="K2071" s="9"/>
      <c r="L2071" s="9"/>
      <c r="M2071" s="9"/>
      <c r="N2071" s="9"/>
      <c r="O2071" s="9"/>
      <c r="P2071" s="9"/>
      <c r="Q2071" s="9"/>
      <c r="R2071" s="9"/>
      <c r="S2071" s="9"/>
      <c r="T2071" s="9"/>
      <c r="U2071" s="9"/>
      <c r="V2071" s="9"/>
      <c r="W2071" s="9"/>
      <c r="X2071" s="9"/>
      <c r="Y2071" s="9"/>
      <c r="Z2071" s="9"/>
      <c r="AA2071" s="9"/>
      <c r="AB2071" s="9"/>
      <c r="AC2071" s="9"/>
      <c r="AD2071" s="9"/>
      <c r="AE2071" s="9"/>
      <c r="AF2071" s="9"/>
      <c r="AG2071" s="9"/>
      <c r="AH2071" s="9"/>
      <c r="AI2071" s="9"/>
      <c r="AJ2071" s="9"/>
      <c r="AK2071" s="9"/>
      <c r="AL2071" s="9"/>
      <c r="AM2071" s="9"/>
      <c r="AN2071" s="9"/>
      <c r="AO2071" s="9"/>
      <c r="AP2071" s="9"/>
      <c r="AQ2071" s="9"/>
      <c r="AR2071" s="9"/>
      <c r="AS2071" s="9"/>
      <c r="AT2071" s="9"/>
      <c r="AU2071" s="9"/>
    </row>
    <row r="2072" spans="1:47" ht="15.75" customHeight="1">
      <c r="A2072" s="9"/>
      <c r="B2072" s="9"/>
      <c r="C2072" s="9"/>
      <c r="D2072" s="9"/>
      <c r="E2072" s="9"/>
      <c r="F2072" s="67"/>
      <c r="G2072" s="9"/>
      <c r="H2072" s="9"/>
      <c r="I2072" s="9"/>
      <c r="J2072" s="9"/>
      <c r="K2072" s="9"/>
      <c r="L2072" s="9"/>
      <c r="M2072" s="9"/>
      <c r="N2072" s="9"/>
      <c r="O2072" s="9"/>
      <c r="P2072" s="9"/>
      <c r="Q2072" s="9"/>
      <c r="R2072" s="9"/>
      <c r="S2072" s="9"/>
      <c r="T2072" s="9"/>
      <c r="U2072" s="9"/>
      <c r="V2072" s="9"/>
      <c r="W2072" s="9"/>
      <c r="X2072" s="9"/>
      <c r="Y2072" s="9"/>
      <c r="Z2072" s="9"/>
      <c r="AA2072" s="9"/>
      <c r="AB2072" s="9"/>
      <c r="AC2072" s="9"/>
      <c r="AD2072" s="9"/>
      <c r="AE2072" s="9"/>
      <c r="AF2072" s="9"/>
      <c r="AG2072" s="9"/>
      <c r="AH2072" s="9"/>
      <c r="AI2072" s="9"/>
      <c r="AJ2072" s="9"/>
      <c r="AK2072" s="9"/>
      <c r="AL2072" s="9"/>
      <c r="AM2072" s="9"/>
      <c r="AN2072" s="9"/>
      <c r="AO2072" s="9"/>
      <c r="AP2072" s="9"/>
      <c r="AQ2072" s="9"/>
      <c r="AR2072" s="9"/>
      <c r="AS2072" s="9"/>
      <c r="AT2072" s="9"/>
      <c r="AU2072" s="9"/>
    </row>
    <row r="2073" spans="1:47" ht="15.75" customHeight="1">
      <c r="A2073" s="9"/>
      <c r="B2073" s="9"/>
      <c r="C2073" s="9"/>
      <c r="D2073" s="9"/>
      <c r="E2073" s="9"/>
      <c r="F2073" s="67"/>
      <c r="G2073" s="9"/>
      <c r="H2073" s="9"/>
      <c r="I2073" s="9"/>
      <c r="J2073" s="9"/>
      <c r="K2073" s="9"/>
      <c r="L2073" s="9"/>
      <c r="M2073" s="9"/>
      <c r="N2073" s="9"/>
      <c r="O2073" s="9"/>
      <c r="P2073" s="9"/>
      <c r="Q2073" s="9"/>
      <c r="R2073" s="9"/>
      <c r="S2073" s="9"/>
      <c r="T2073" s="9"/>
      <c r="U2073" s="9"/>
      <c r="V2073" s="9"/>
      <c r="W2073" s="9"/>
      <c r="X2073" s="9"/>
      <c r="Y2073" s="9"/>
      <c r="Z2073" s="9"/>
      <c r="AA2073" s="9"/>
      <c r="AB2073" s="9"/>
      <c r="AC2073" s="9"/>
      <c r="AD2073" s="9"/>
      <c r="AE2073" s="9"/>
      <c r="AF2073" s="9"/>
      <c r="AG2073" s="9"/>
      <c r="AH2073" s="9"/>
      <c r="AI2073" s="9"/>
      <c r="AJ2073" s="9"/>
      <c r="AK2073" s="9"/>
      <c r="AL2073" s="9"/>
      <c r="AM2073" s="9"/>
      <c r="AN2073" s="9"/>
      <c r="AO2073" s="9"/>
      <c r="AP2073" s="9"/>
      <c r="AQ2073" s="9"/>
      <c r="AR2073" s="9"/>
      <c r="AS2073" s="9"/>
      <c r="AT2073" s="9"/>
      <c r="AU2073" s="9"/>
    </row>
    <row r="2074" spans="1:47" ht="15.75" customHeight="1">
      <c r="A2074" s="9"/>
      <c r="B2074" s="9"/>
      <c r="C2074" s="9"/>
      <c r="D2074" s="9"/>
      <c r="E2074" s="9"/>
      <c r="F2074" s="67"/>
      <c r="G2074" s="9"/>
      <c r="H2074" s="9"/>
      <c r="I2074" s="9"/>
      <c r="J2074" s="9"/>
      <c r="K2074" s="9"/>
      <c r="L2074" s="9"/>
      <c r="M2074" s="9"/>
      <c r="N2074" s="9"/>
      <c r="O2074" s="9"/>
      <c r="P2074" s="9"/>
      <c r="Q2074" s="9"/>
      <c r="R2074" s="9"/>
      <c r="S2074" s="9"/>
      <c r="T2074" s="9"/>
      <c r="U2074" s="9"/>
      <c r="V2074" s="9"/>
      <c r="W2074" s="9"/>
      <c r="X2074" s="9"/>
      <c r="Y2074" s="9"/>
      <c r="Z2074" s="9"/>
      <c r="AA2074" s="9"/>
      <c r="AB2074" s="9"/>
      <c r="AC2074" s="9"/>
      <c r="AD2074" s="9"/>
      <c r="AE2074" s="9"/>
      <c r="AF2074" s="9"/>
      <c r="AG2074" s="9"/>
      <c r="AH2074" s="9"/>
      <c r="AI2074" s="9"/>
      <c r="AJ2074" s="9"/>
      <c r="AK2074" s="9"/>
      <c r="AL2074" s="9"/>
      <c r="AM2074" s="9"/>
      <c r="AN2074" s="9"/>
      <c r="AO2074" s="9"/>
      <c r="AP2074" s="9"/>
      <c r="AQ2074" s="9"/>
      <c r="AR2074" s="9"/>
      <c r="AS2074" s="9"/>
      <c r="AT2074" s="9"/>
      <c r="AU2074" s="9"/>
    </row>
    <row r="2075" spans="1:47" ht="15.75" customHeight="1">
      <c r="A2075" s="9"/>
      <c r="B2075" s="9"/>
      <c r="C2075" s="9"/>
      <c r="D2075" s="9"/>
      <c r="E2075" s="9"/>
      <c r="F2075" s="67"/>
      <c r="G2075" s="9"/>
      <c r="H2075" s="9"/>
      <c r="I2075" s="9"/>
      <c r="J2075" s="9"/>
      <c r="K2075" s="9"/>
      <c r="L2075" s="9"/>
      <c r="M2075" s="9"/>
      <c r="N2075" s="9"/>
      <c r="O2075" s="9"/>
      <c r="P2075" s="9"/>
      <c r="Q2075" s="9"/>
      <c r="R2075" s="9"/>
      <c r="S2075" s="9"/>
      <c r="T2075" s="9"/>
      <c r="U2075" s="9"/>
      <c r="V2075" s="9"/>
      <c r="W2075" s="9"/>
      <c r="X2075" s="9"/>
      <c r="Y2075" s="9"/>
      <c r="Z2075" s="9"/>
      <c r="AA2075" s="9"/>
      <c r="AB2075" s="9"/>
      <c r="AC2075" s="9"/>
      <c r="AD2075" s="9"/>
      <c r="AE2075" s="9"/>
      <c r="AF2075" s="9"/>
      <c r="AG2075" s="9"/>
      <c r="AH2075" s="9"/>
      <c r="AI2075" s="9"/>
      <c r="AJ2075" s="9"/>
      <c r="AK2075" s="9"/>
      <c r="AL2075" s="9"/>
      <c r="AM2075" s="9"/>
      <c r="AN2075" s="9"/>
      <c r="AO2075" s="9"/>
      <c r="AP2075" s="9"/>
      <c r="AQ2075" s="9"/>
      <c r="AR2075" s="9"/>
      <c r="AS2075" s="9"/>
      <c r="AT2075" s="9"/>
      <c r="AU2075" s="9"/>
    </row>
    <row r="2076" spans="1:47" ht="15.75" customHeight="1">
      <c r="A2076" s="9"/>
      <c r="B2076" s="9"/>
      <c r="C2076" s="9"/>
      <c r="D2076" s="9"/>
      <c r="E2076" s="9"/>
      <c r="F2076" s="67"/>
      <c r="G2076" s="9"/>
      <c r="H2076" s="9"/>
      <c r="I2076" s="9"/>
      <c r="J2076" s="9"/>
      <c r="K2076" s="9"/>
      <c r="L2076" s="9"/>
      <c r="M2076" s="9"/>
      <c r="N2076" s="9"/>
      <c r="O2076" s="9"/>
      <c r="P2076" s="9"/>
      <c r="Q2076" s="9"/>
      <c r="R2076" s="9"/>
      <c r="S2076" s="9"/>
      <c r="T2076" s="9"/>
      <c r="U2076" s="9"/>
      <c r="V2076" s="9"/>
      <c r="W2076" s="9"/>
      <c r="X2076" s="9"/>
      <c r="Y2076" s="9"/>
      <c r="Z2076" s="9"/>
      <c r="AA2076" s="9"/>
      <c r="AB2076" s="9"/>
      <c r="AC2076" s="9"/>
      <c r="AD2076" s="9"/>
      <c r="AE2076" s="9"/>
      <c r="AF2076" s="9"/>
      <c r="AG2076" s="9"/>
      <c r="AH2076" s="9"/>
      <c r="AI2076" s="9"/>
      <c r="AJ2076" s="9"/>
      <c r="AK2076" s="9"/>
      <c r="AL2076" s="9"/>
      <c r="AM2076" s="9"/>
      <c r="AN2076" s="9"/>
      <c r="AO2076" s="9"/>
      <c r="AP2076" s="9"/>
      <c r="AQ2076" s="9"/>
      <c r="AR2076" s="9"/>
      <c r="AS2076" s="9"/>
      <c r="AT2076" s="9"/>
      <c r="AU2076" s="9"/>
    </row>
    <row r="2077" spans="1:47" ht="15.75" customHeight="1">
      <c r="A2077" s="9"/>
      <c r="B2077" s="9"/>
      <c r="C2077" s="9"/>
      <c r="D2077" s="9"/>
      <c r="E2077" s="9"/>
      <c r="F2077" s="67"/>
      <c r="G2077" s="9"/>
      <c r="H2077" s="9"/>
      <c r="I2077" s="9"/>
      <c r="J2077" s="9"/>
      <c r="K2077" s="9"/>
      <c r="L2077" s="9"/>
      <c r="M2077" s="9"/>
      <c r="N2077" s="9"/>
      <c r="O2077" s="9"/>
      <c r="P2077" s="9"/>
      <c r="Q2077" s="9"/>
      <c r="R2077" s="9"/>
      <c r="S2077" s="9"/>
      <c r="T2077" s="9"/>
      <c r="U2077" s="9"/>
      <c r="V2077" s="9"/>
      <c r="W2077" s="9"/>
      <c r="X2077" s="9"/>
      <c r="Y2077" s="9"/>
      <c r="Z2077" s="9"/>
      <c r="AA2077" s="9"/>
      <c r="AB2077" s="9"/>
      <c r="AC2077" s="9"/>
      <c r="AD2077" s="9"/>
      <c r="AE2077" s="9"/>
      <c r="AF2077" s="9"/>
      <c r="AG2077" s="9"/>
      <c r="AH2077" s="9"/>
      <c r="AI2077" s="9"/>
      <c r="AJ2077" s="9"/>
      <c r="AK2077" s="9"/>
      <c r="AL2077" s="9"/>
      <c r="AM2077" s="9"/>
      <c r="AN2077" s="9"/>
      <c r="AO2077" s="9"/>
      <c r="AP2077" s="9"/>
      <c r="AQ2077" s="9"/>
      <c r="AR2077" s="9"/>
      <c r="AS2077" s="9"/>
      <c r="AT2077" s="9"/>
      <c r="AU2077" s="9"/>
    </row>
    <row r="2078" spans="1:47" ht="15.75" customHeight="1">
      <c r="A2078" s="9"/>
      <c r="B2078" s="9"/>
      <c r="C2078" s="9"/>
      <c r="D2078" s="9"/>
      <c r="E2078" s="9"/>
      <c r="F2078" s="67"/>
      <c r="G2078" s="9"/>
      <c r="H2078" s="9"/>
      <c r="I2078" s="9"/>
      <c r="J2078" s="9"/>
      <c r="K2078" s="9"/>
      <c r="L2078" s="9"/>
      <c r="M2078" s="9"/>
      <c r="N2078" s="9"/>
      <c r="O2078" s="9"/>
      <c r="P2078" s="9"/>
      <c r="Q2078" s="9"/>
      <c r="R2078" s="9"/>
      <c r="S2078" s="9"/>
      <c r="T2078" s="9"/>
      <c r="U2078" s="9"/>
      <c r="V2078" s="9"/>
      <c r="W2078" s="9"/>
      <c r="X2078" s="9"/>
      <c r="Y2078" s="9"/>
      <c r="Z2078" s="9"/>
      <c r="AA2078" s="9"/>
      <c r="AB2078" s="9"/>
      <c r="AC2078" s="9"/>
      <c r="AD2078" s="9"/>
      <c r="AE2078" s="9"/>
      <c r="AF2078" s="9"/>
      <c r="AG2078" s="9"/>
      <c r="AH2078" s="9"/>
      <c r="AI2078" s="9"/>
      <c r="AJ2078" s="9"/>
      <c r="AK2078" s="9"/>
      <c r="AL2078" s="9"/>
      <c r="AM2078" s="9"/>
      <c r="AN2078" s="9"/>
      <c r="AO2078" s="9"/>
      <c r="AP2078" s="9"/>
      <c r="AQ2078" s="9"/>
      <c r="AR2078" s="9"/>
      <c r="AS2078" s="9"/>
      <c r="AT2078" s="9"/>
      <c r="AU2078" s="9"/>
    </row>
    <row r="2079" spans="1:47" ht="15.75" customHeight="1">
      <c r="A2079" s="9"/>
      <c r="B2079" s="9"/>
      <c r="C2079" s="9"/>
      <c r="D2079" s="9"/>
      <c r="E2079" s="9"/>
      <c r="F2079" s="67"/>
      <c r="G2079" s="9"/>
      <c r="H2079" s="9"/>
      <c r="I2079" s="9"/>
      <c r="J2079" s="9"/>
      <c r="K2079" s="9"/>
      <c r="L2079" s="9"/>
      <c r="M2079" s="9"/>
      <c r="N2079" s="9"/>
      <c r="O2079" s="9"/>
      <c r="P2079" s="9"/>
      <c r="Q2079" s="9"/>
      <c r="R2079" s="9"/>
      <c r="S2079" s="9"/>
      <c r="T2079" s="9"/>
      <c r="U2079" s="9"/>
      <c r="V2079" s="9"/>
      <c r="W2079" s="9"/>
      <c r="X2079" s="9"/>
      <c r="Y2079" s="9"/>
      <c r="Z2079" s="9"/>
      <c r="AA2079" s="9"/>
      <c r="AB2079" s="9"/>
      <c r="AC2079" s="9"/>
      <c r="AD2079" s="9"/>
      <c r="AE2079" s="9"/>
      <c r="AF2079" s="9"/>
      <c r="AG2079" s="9"/>
      <c r="AH2079" s="9"/>
      <c r="AI2079" s="9"/>
      <c r="AJ2079" s="9"/>
      <c r="AK2079" s="9"/>
      <c r="AL2079" s="9"/>
      <c r="AM2079" s="9"/>
      <c r="AN2079" s="9"/>
      <c r="AO2079" s="9"/>
      <c r="AP2079" s="9"/>
      <c r="AQ2079" s="9"/>
      <c r="AR2079" s="9"/>
      <c r="AS2079" s="9"/>
      <c r="AT2079" s="9"/>
      <c r="AU2079" s="9"/>
    </row>
    <row r="2080" spans="1:47" ht="15.75" customHeight="1">
      <c r="A2080" s="9"/>
      <c r="B2080" s="9"/>
      <c r="C2080" s="9"/>
      <c r="D2080" s="9"/>
      <c r="E2080" s="9"/>
      <c r="F2080" s="67"/>
      <c r="G2080" s="9"/>
      <c r="H2080" s="9"/>
      <c r="I2080" s="9"/>
      <c r="J2080" s="9"/>
      <c r="K2080" s="9"/>
      <c r="L2080" s="9"/>
      <c r="M2080" s="9"/>
      <c r="N2080" s="9"/>
      <c r="O2080" s="9"/>
      <c r="P2080" s="9"/>
      <c r="Q2080" s="9"/>
      <c r="R2080" s="9"/>
      <c r="S2080" s="9"/>
      <c r="T2080" s="9"/>
      <c r="U2080" s="9"/>
      <c r="V2080" s="9"/>
      <c r="W2080" s="9"/>
      <c r="X2080" s="9"/>
      <c r="Y2080" s="9"/>
      <c r="Z2080" s="9"/>
      <c r="AA2080" s="9"/>
      <c r="AB2080" s="9"/>
      <c r="AC2080" s="9"/>
      <c r="AD2080" s="9"/>
      <c r="AE2080" s="9"/>
      <c r="AF2080" s="9"/>
      <c r="AG2080" s="9"/>
      <c r="AH2080" s="9"/>
      <c r="AI2080" s="9"/>
      <c r="AJ2080" s="9"/>
      <c r="AK2080" s="9"/>
      <c r="AL2080" s="9"/>
      <c r="AM2080" s="9"/>
      <c r="AN2080" s="9"/>
      <c r="AO2080" s="9"/>
      <c r="AP2080" s="9"/>
      <c r="AQ2080" s="9"/>
      <c r="AR2080" s="9"/>
      <c r="AS2080" s="9"/>
      <c r="AT2080" s="9"/>
      <c r="AU2080" s="9"/>
    </row>
    <row r="2081" spans="1:47" ht="15.75" customHeight="1">
      <c r="A2081" s="9"/>
      <c r="B2081" s="9"/>
      <c r="C2081" s="9"/>
      <c r="D2081" s="9"/>
      <c r="E2081" s="9"/>
      <c r="F2081" s="67"/>
      <c r="G2081" s="9"/>
      <c r="H2081" s="9"/>
      <c r="I2081" s="9"/>
      <c r="J2081" s="9"/>
      <c r="K2081" s="9"/>
      <c r="L2081" s="9"/>
      <c r="M2081" s="9"/>
      <c r="N2081" s="9"/>
      <c r="O2081" s="9"/>
      <c r="P2081" s="9"/>
      <c r="Q2081" s="9"/>
      <c r="R2081" s="9"/>
      <c r="S2081" s="9"/>
      <c r="T2081" s="9"/>
      <c r="U2081" s="9"/>
      <c r="V2081" s="9"/>
      <c r="W2081" s="9"/>
      <c r="X2081" s="9"/>
      <c r="Y2081" s="9"/>
      <c r="Z2081" s="9"/>
      <c r="AA2081" s="9"/>
      <c r="AB2081" s="9"/>
      <c r="AC2081" s="9"/>
      <c r="AD2081" s="9"/>
      <c r="AE2081" s="9"/>
      <c r="AF2081" s="9"/>
      <c r="AG2081" s="9"/>
      <c r="AH2081" s="9"/>
      <c r="AI2081" s="9"/>
      <c r="AJ2081" s="9"/>
      <c r="AK2081" s="9"/>
      <c r="AL2081" s="9"/>
      <c r="AM2081" s="9"/>
      <c r="AN2081" s="9"/>
      <c r="AO2081" s="9"/>
      <c r="AP2081" s="9"/>
      <c r="AQ2081" s="9"/>
      <c r="AR2081" s="9"/>
      <c r="AS2081" s="9"/>
      <c r="AT2081" s="9"/>
      <c r="AU2081" s="9"/>
    </row>
    <row r="2082" spans="1:47" ht="15.75" customHeight="1">
      <c r="A2082" s="9"/>
      <c r="B2082" s="9"/>
      <c r="C2082" s="9"/>
      <c r="D2082" s="9"/>
      <c r="E2082" s="9"/>
      <c r="F2082" s="67"/>
      <c r="G2082" s="9"/>
      <c r="H2082" s="9"/>
      <c r="I2082" s="9"/>
      <c r="J2082" s="9"/>
      <c r="K2082" s="9"/>
      <c r="L2082" s="9"/>
      <c r="M2082" s="9"/>
      <c r="N2082" s="9"/>
      <c r="O2082" s="9"/>
      <c r="P2082" s="9"/>
      <c r="Q2082" s="9"/>
      <c r="R2082" s="9"/>
      <c r="S2082" s="9"/>
      <c r="T2082" s="9"/>
      <c r="U2082" s="9"/>
      <c r="V2082" s="9"/>
      <c r="W2082" s="9"/>
      <c r="X2082" s="9"/>
      <c r="Y2082" s="9"/>
      <c r="Z2082" s="9"/>
      <c r="AA2082" s="9"/>
      <c r="AB2082" s="9"/>
      <c r="AC2082" s="9"/>
      <c r="AD2082" s="9"/>
      <c r="AE2082" s="9"/>
      <c r="AF2082" s="9"/>
      <c r="AG2082" s="9"/>
      <c r="AH2082" s="9"/>
      <c r="AI2082" s="9"/>
      <c r="AJ2082" s="9"/>
      <c r="AK2082" s="9"/>
      <c r="AL2082" s="9"/>
      <c r="AM2082" s="9"/>
      <c r="AN2082" s="9"/>
      <c r="AO2082" s="9"/>
      <c r="AP2082" s="9"/>
      <c r="AQ2082" s="9"/>
      <c r="AR2082" s="9"/>
      <c r="AS2082" s="9"/>
      <c r="AT2082" s="9"/>
      <c r="AU2082" s="9"/>
    </row>
    <row r="2083" spans="1:47" ht="15.75" customHeight="1">
      <c r="A2083" s="9"/>
      <c r="B2083" s="9"/>
      <c r="C2083" s="9"/>
      <c r="D2083" s="9"/>
      <c r="E2083" s="9"/>
      <c r="F2083" s="67"/>
      <c r="G2083" s="9"/>
      <c r="H2083" s="9"/>
      <c r="I2083" s="9"/>
      <c r="J2083" s="9"/>
      <c r="K2083" s="9"/>
      <c r="L2083" s="9"/>
      <c r="M2083" s="9"/>
      <c r="N2083" s="9"/>
      <c r="O2083" s="9"/>
      <c r="P2083" s="9"/>
      <c r="Q2083" s="9"/>
      <c r="R2083" s="9"/>
      <c r="S2083" s="9"/>
      <c r="T2083" s="9"/>
      <c r="U2083" s="9"/>
      <c r="V2083" s="9"/>
      <c r="W2083" s="9"/>
      <c r="X2083" s="9"/>
      <c r="Y2083" s="9"/>
      <c r="Z2083" s="9"/>
      <c r="AA2083" s="9"/>
      <c r="AB2083" s="9"/>
      <c r="AC2083" s="9"/>
      <c r="AD2083" s="9"/>
      <c r="AE2083" s="9"/>
      <c r="AF2083" s="9"/>
      <c r="AG2083" s="9"/>
      <c r="AH2083" s="9"/>
      <c r="AI2083" s="9"/>
      <c r="AJ2083" s="9"/>
      <c r="AK2083" s="9"/>
      <c r="AL2083" s="9"/>
      <c r="AM2083" s="9"/>
      <c r="AN2083" s="9"/>
      <c r="AO2083" s="9"/>
      <c r="AP2083" s="9"/>
      <c r="AQ2083" s="9"/>
      <c r="AR2083" s="9"/>
      <c r="AS2083" s="9"/>
      <c r="AT2083" s="9"/>
      <c r="AU2083" s="9"/>
    </row>
    <row r="2084" spans="1:47" ht="15.75" customHeight="1">
      <c r="A2084" s="9"/>
      <c r="B2084" s="9"/>
      <c r="C2084" s="9"/>
      <c r="D2084" s="9"/>
      <c r="E2084" s="9"/>
      <c r="F2084" s="67"/>
      <c r="G2084" s="9"/>
      <c r="H2084" s="9"/>
      <c r="I2084" s="9"/>
      <c r="J2084" s="9"/>
      <c r="K2084" s="9"/>
      <c r="L2084" s="9"/>
      <c r="M2084" s="9"/>
      <c r="N2084" s="9"/>
      <c r="O2084" s="9"/>
      <c r="P2084" s="9"/>
      <c r="Q2084" s="9"/>
      <c r="R2084" s="9"/>
      <c r="S2084" s="9"/>
      <c r="T2084" s="9"/>
      <c r="U2084" s="9"/>
      <c r="V2084" s="9"/>
      <c r="W2084" s="9"/>
      <c r="X2084" s="9"/>
      <c r="Y2084" s="9"/>
      <c r="Z2084" s="9"/>
      <c r="AA2084" s="9"/>
      <c r="AB2084" s="9"/>
      <c r="AC2084" s="9"/>
      <c r="AD2084" s="9"/>
      <c r="AE2084" s="9"/>
      <c r="AF2084" s="9"/>
      <c r="AG2084" s="9"/>
      <c r="AH2084" s="9"/>
      <c r="AI2084" s="9"/>
      <c r="AJ2084" s="9"/>
      <c r="AK2084" s="9"/>
      <c r="AL2084" s="9"/>
      <c r="AM2084" s="9"/>
      <c r="AN2084" s="9"/>
      <c r="AO2084" s="9"/>
      <c r="AP2084" s="9"/>
      <c r="AQ2084" s="9"/>
      <c r="AR2084" s="9"/>
      <c r="AS2084" s="9"/>
      <c r="AT2084" s="9"/>
      <c r="AU2084" s="9"/>
    </row>
    <row r="2085" spans="1:47" ht="15.75" customHeight="1">
      <c r="A2085" s="9"/>
      <c r="B2085" s="9"/>
      <c r="C2085" s="9"/>
      <c r="D2085" s="9"/>
      <c r="E2085" s="9"/>
      <c r="F2085" s="67"/>
      <c r="G2085" s="9"/>
      <c r="H2085" s="9"/>
      <c r="I2085" s="9"/>
      <c r="J2085" s="9"/>
      <c r="K2085" s="9"/>
      <c r="L2085" s="9"/>
      <c r="M2085" s="9"/>
      <c r="N2085" s="9"/>
      <c r="O2085" s="9"/>
      <c r="P2085" s="9"/>
      <c r="Q2085" s="9"/>
      <c r="R2085" s="9"/>
      <c r="S2085" s="9"/>
      <c r="T2085" s="9"/>
      <c r="U2085" s="9"/>
      <c r="V2085" s="9"/>
      <c r="W2085" s="9"/>
      <c r="X2085" s="9"/>
      <c r="Y2085" s="9"/>
      <c r="Z2085" s="9"/>
      <c r="AA2085" s="9"/>
      <c r="AB2085" s="9"/>
      <c r="AC2085" s="9"/>
      <c r="AD2085" s="9"/>
      <c r="AE2085" s="9"/>
      <c r="AF2085" s="9"/>
      <c r="AG2085" s="9"/>
      <c r="AH2085" s="9"/>
      <c r="AI2085" s="9"/>
      <c r="AJ2085" s="9"/>
      <c r="AK2085" s="9"/>
      <c r="AL2085" s="9"/>
      <c r="AM2085" s="9"/>
      <c r="AN2085" s="9"/>
      <c r="AO2085" s="9"/>
      <c r="AP2085" s="9"/>
      <c r="AQ2085" s="9"/>
      <c r="AR2085" s="9"/>
      <c r="AS2085" s="9"/>
      <c r="AT2085" s="9"/>
      <c r="AU2085" s="9"/>
    </row>
    <row r="2086" spans="1:47" ht="15.75" customHeight="1">
      <c r="A2086" s="9"/>
      <c r="B2086" s="9"/>
      <c r="C2086" s="9"/>
      <c r="D2086" s="9"/>
      <c r="E2086" s="9"/>
      <c r="F2086" s="67"/>
      <c r="G2086" s="9"/>
      <c r="H2086" s="9"/>
      <c r="I2086" s="9"/>
      <c r="J2086" s="9"/>
      <c r="K2086" s="9"/>
      <c r="L2086" s="9"/>
      <c r="M2086" s="9"/>
      <c r="N2086" s="9"/>
      <c r="O2086" s="9"/>
      <c r="P2086" s="9"/>
      <c r="Q2086" s="9"/>
      <c r="R2086" s="9"/>
      <c r="S2086" s="9"/>
      <c r="T2086" s="9"/>
      <c r="U2086" s="9"/>
      <c r="V2086" s="9"/>
      <c r="W2086" s="9"/>
      <c r="X2086" s="9"/>
      <c r="Y2086" s="9"/>
      <c r="Z2086" s="9"/>
      <c r="AA2086" s="9"/>
      <c r="AB2086" s="9"/>
      <c r="AC2086" s="9"/>
      <c r="AD2086" s="9"/>
      <c r="AE2086" s="9"/>
      <c r="AF2086" s="9"/>
      <c r="AG2086" s="9"/>
      <c r="AH2086" s="9"/>
      <c r="AI2086" s="9"/>
      <c r="AJ2086" s="9"/>
      <c r="AK2086" s="9"/>
      <c r="AL2086" s="9"/>
      <c r="AM2086" s="9"/>
      <c r="AN2086" s="9"/>
      <c r="AO2086" s="9"/>
      <c r="AP2086" s="9"/>
      <c r="AQ2086" s="9"/>
      <c r="AR2086" s="9"/>
      <c r="AS2086" s="9"/>
      <c r="AT2086" s="9"/>
      <c r="AU2086" s="9"/>
    </row>
    <row r="2087" spans="1:47" ht="15.75" customHeight="1">
      <c r="A2087" s="9"/>
      <c r="B2087" s="9"/>
      <c r="C2087" s="9"/>
      <c r="D2087" s="9"/>
      <c r="E2087" s="9"/>
      <c r="F2087" s="67"/>
      <c r="G2087" s="9"/>
      <c r="H2087" s="9"/>
      <c r="I2087" s="9"/>
      <c r="J2087" s="9"/>
      <c r="K2087" s="9"/>
      <c r="L2087" s="9"/>
      <c r="M2087" s="9"/>
      <c r="N2087" s="9"/>
      <c r="O2087" s="9"/>
      <c r="P2087" s="9"/>
      <c r="Q2087" s="9"/>
      <c r="R2087" s="9"/>
      <c r="S2087" s="9"/>
      <c r="T2087" s="9"/>
      <c r="U2087" s="9"/>
      <c r="V2087" s="9"/>
      <c r="W2087" s="9"/>
      <c r="X2087" s="9"/>
      <c r="Y2087" s="9"/>
      <c r="Z2087" s="9"/>
      <c r="AA2087" s="9"/>
      <c r="AB2087" s="9"/>
      <c r="AC2087" s="9"/>
      <c r="AD2087" s="9"/>
      <c r="AE2087" s="9"/>
      <c r="AF2087" s="9"/>
      <c r="AG2087" s="9"/>
      <c r="AH2087" s="9"/>
      <c r="AI2087" s="9"/>
      <c r="AJ2087" s="9"/>
      <c r="AK2087" s="9"/>
      <c r="AL2087" s="9"/>
      <c r="AM2087" s="9"/>
      <c r="AN2087" s="9"/>
      <c r="AO2087" s="9"/>
      <c r="AP2087" s="9"/>
      <c r="AQ2087" s="9"/>
      <c r="AR2087" s="9"/>
      <c r="AS2087" s="9"/>
      <c r="AT2087" s="9"/>
      <c r="AU2087" s="9"/>
    </row>
    <row r="2088" spans="1:47" ht="15.75" customHeight="1">
      <c r="A2088" s="9"/>
      <c r="B2088" s="9"/>
      <c r="C2088" s="9"/>
      <c r="D2088" s="9"/>
      <c r="E2088" s="9"/>
      <c r="F2088" s="67"/>
      <c r="G2088" s="9"/>
      <c r="H2088" s="9"/>
      <c r="I2088" s="9"/>
      <c r="J2088" s="9"/>
      <c r="K2088" s="9"/>
      <c r="L2088" s="9"/>
      <c r="M2088" s="9"/>
      <c r="N2088" s="9"/>
      <c r="O2088" s="9"/>
      <c r="P2088" s="9"/>
      <c r="Q2088" s="9"/>
      <c r="R2088" s="9"/>
      <c r="S2088" s="9"/>
      <c r="T2088" s="9"/>
      <c r="U2088" s="9"/>
      <c r="V2088" s="9"/>
      <c r="W2088" s="9"/>
      <c r="X2088" s="9"/>
      <c r="Y2088" s="9"/>
      <c r="Z2088" s="9"/>
      <c r="AA2088" s="9"/>
      <c r="AB2088" s="9"/>
      <c r="AC2088" s="9"/>
      <c r="AD2088" s="9"/>
      <c r="AE2088" s="9"/>
      <c r="AF2088" s="9"/>
      <c r="AG2088" s="9"/>
      <c r="AH2088" s="9"/>
      <c r="AI2088" s="9"/>
      <c r="AJ2088" s="9"/>
      <c r="AK2088" s="9"/>
      <c r="AL2088" s="9"/>
      <c r="AM2088" s="9"/>
      <c r="AN2088" s="9"/>
      <c r="AO2088" s="9"/>
      <c r="AP2088" s="9"/>
      <c r="AQ2088" s="9"/>
      <c r="AR2088" s="9"/>
      <c r="AS2088" s="9"/>
      <c r="AT2088" s="9"/>
      <c r="AU2088" s="9"/>
    </row>
    <row r="2089" spans="1:47" ht="15.75" customHeight="1">
      <c r="A2089" s="9"/>
      <c r="B2089" s="9"/>
      <c r="C2089" s="9"/>
      <c r="D2089" s="9"/>
      <c r="E2089" s="9"/>
      <c r="F2089" s="67"/>
      <c r="G2089" s="9"/>
      <c r="H2089" s="9"/>
      <c r="I2089" s="9"/>
      <c r="J2089" s="9"/>
      <c r="K2089" s="9"/>
      <c r="L2089" s="9"/>
      <c r="M2089" s="9"/>
      <c r="N2089" s="9"/>
      <c r="O2089" s="9"/>
      <c r="P2089" s="9"/>
      <c r="Q2089" s="9"/>
      <c r="R2089" s="9"/>
      <c r="S2089" s="9"/>
      <c r="T2089" s="9"/>
      <c r="U2089" s="9"/>
      <c r="V2089" s="9"/>
      <c r="W2089" s="9"/>
      <c r="X2089" s="9"/>
      <c r="Y2089" s="9"/>
      <c r="Z2089" s="9"/>
      <c r="AA2089" s="9"/>
      <c r="AB2089" s="9"/>
      <c r="AC2089" s="9"/>
      <c r="AD2089" s="9"/>
      <c r="AE2089" s="9"/>
      <c r="AF2089" s="9"/>
      <c r="AG2089" s="9"/>
      <c r="AH2089" s="9"/>
      <c r="AI2089" s="9"/>
      <c r="AJ2089" s="9"/>
      <c r="AK2089" s="9"/>
      <c r="AL2089" s="9"/>
      <c r="AM2089" s="9"/>
      <c r="AN2089" s="9"/>
      <c r="AO2089" s="9"/>
      <c r="AP2089" s="9"/>
      <c r="AQ2089" s="9"/>
      <c r="AR2089" s="9"/>
      <c r="AS2089" s="9"/>
      <c r="AT2089" s="9"/>
      <c r="AU2089" s="9"/>
    </row>
    <row r="2090" spans="1:47" ht="15.75" customHeight="1">
      <c r="A2090" s="9"/>
      <c r="B2090" s="9"/>
      <c r="C2090" s="9"/>
      <c r="D2090" s="9"/>
      <c r="E2090" s="9"/>
      <c r="F2090" s="67"/>
      <c r="G2090" s="9"/>
      <c r="H2090" s="9"/>
      <c r="I2090" s="9"/>
      <c r="J2090" s="9"/>
      <c r="K2090" s="9"/>
      <c r="L2090" s="9"/>
      <c r="M2090" s="9"/>
      <c r="N2090" s="9"/>
      <c r="O2090" s="9"/>
      <c r="P2090" s="9"/>
      <c r="Q2090" s="9"/>
      <c r="R2090" s="9"/>
      <c r="S2090" s="9"/>
      <c r="T2090" s="9"/>
      <c r="U2090" s="9"/>
      <c r="V2090" s="9"/>
      <c r="W2090" s="9"/>
      <c r="X2090" s="9"/>
      <c r="Y2090" s="9"/>
      <c r="Z2090" s="9"/>
      <c r="AA2090" s="9"/>
      <c r="AB2090" s="9"/>
      <c r="AC2090" s="9"/>
      <c r="AD2090" s="9"/>
      <c r="AE2090" s="9"/>
      <c r="AF2090" s="9"/>
      <c r="AG2090" s="9"/>
      <c r="AH2090" s="9"/>
      <c r="AI2090" s="9"/>
      <c r="AJ2090" s="9"/>
      <c r="AK2090" s="9"/>
      <c r="AL2090" s="9"/>
      <c r="AM2090" s="9"/>
      <c r="AN2090" s="9"/>
      <c r="AO2090" s="9"/>
      <c r="AP2090" s="9"/>
      <c r="AQ2090" s="9"/>
      <c r="AR2090" s="9"/>
      <c r="AS2090" s="9"/>
      <c r="AT2090" s="9"/>
      <c r="AU2090" s="9"/>
    </row>
    <row r="2091" spans="1:47" ht="15.75" customHeight="1">
      <c r="A2091" s="9"/>
      <c r="B2091" s="9"/>
      <c r="C2091" s="9"/>
      <c r="D2091" s="9"/>
      <c r="E2091" s="9"/>
      <c r="F2091" s="67"/>
      <c r="G2091" s="9"/>
      <c r="H2091" s="9"/>
      <c r="I2091" s="9"/>
      <c r="J2091" s="9"/>
      <c r="K2091" s="9"/>
      <c r="L2091" s="9"/>
      <c r="M2091" s="9"/>
      <c r="N2091" s="9"/>
      <c r="O2091" s="9"/>
      <c r="P2091" s="9"/>
      <c r="Q2091" s="9"/>
      <c r="R2091" s="9"/>
      <c r="S2091" s="9"/>
      <c r="T2091" s="9"/>
      <c r="U2091" s="9"/>
      <c r="V2091" s="9"/>
      <c r="W2091" s="9"/>
      <c r="X2091" s="9"/>
      <c r="Y2091" s="9"/>
      <c r="Z2091" s="9"/>
      <c r="AA2091" s="9"/>
      <c r="AB2091" s="9"/>
      <c r="AC2091" s="9"/>
      <c r="AD2091" s="9"/>
      <c r="AE2091" s="9"/>
      <c r="AF2091" s="9"/>
      <c r="AG2091" s="9"/>
      <c r="AH2091" s="9"/>
      <c r="AI2091" s="9"/>
      <c r="AJ2091" s="9"/>
      <c r="AK2091" s="9"/>
      <c r="AL2091" s="9"/>
      <c r="AM2091" s="9"/>
      <c r="AN2091" s="9"/>
      <c r="AO2091" s="9"/>
      <c r="AP2091" s="9"/>
      <c r="AQ2091" s="9"/>
      <c r="AR2091" s="9"/>
      <c r="AS2091" s="9"/>
      <c r="AT2091" s="9"/>
      <c r="AU2091" s="9"/>
    </row>
    <row r="2092" spans="1:47" ht="15.75" customHeight="1">
      <c r="A2092" s="9"/>
      <c r="B2092" s="9"/>
      <c r="C2092" s="9"/>
      <c r="D2092" s="9"/>
      <c r="E2092" s="9"/>
      <c r="F2092" s="67"/>
      <c r="G2092" s="9"/>
      <c r="H2092" s="9"/>
      <c r="I2092" s="9"/>
      <c r="J2092" s="9"/>
      <c r="K2092" s="9"/>
      <c r="L2092" s="9"/>
      <c r="M2092" s="9"/>
      <c r="N2092" s="9"/>
      <c r="O2092" s="9"/>
      <c r="P2092" s="9"/>
      <c r="Q2092" s="9"/>
      <c r="R2092" s="9"/>
      <c r="S2092" s="9"/>
      <c r="T2092" s="9"/>
      <c r="U2092" s="9"/>
      <c r="V2092" s="9"/>
      <c r="W2092" s="9"/>
      <c r="X2092" s="9"/>
      <c r="Y2092" s="9"/>
      <c r="Z2092" s="9"/>
      <c r="AA2092" s="9"/>
      <c r="AB2092" s="9"/>
      <c r="AC2092" s="9"/>
      <c r="AD2092" s="9"/>
      <c r="AE2092" s="9"/>
      <c r="AF2092" s="9"/>
      <c r="AG2092" s="9"/>
      <c r="AH2092" s="9"/>
      <c r="AI2092" s="9"/>
      <c r="AJ2092" s="9"/>
      <c r="AK2092" s="9"/>
      <c r="AL2092" s="9"/>
      <c r="AM2092" s="9"/>
      <c r="AN2092" s="9"/>
      <c r="AO2092" s="9"/>
      <c r="AP2092" s="9"/>
      <c r="AQ2092" s="9"/>
      <c r="AR2092" s="9"/>
      <c r="AS2092" s="9"/>
      <c r="AT2092" s="9"/>
      <c r="AU2092" s="9"/>
    </row>
    <row r="2093" spans="1:47" ht="15.75" customHeight="1">
      <c r="A2093" s="9"/>
      <c r="B2093" s="9"/>
      <c r="C2093" s="9"/>
      <c r="D2093" s="9"/>
      <c r="E2093" s="9"/>
      <c r="F2093" s="67"/>
      <c r="G2093" s="9"/>
      <c r="H2093" s="9"/>
      <c r="I2093" s="9"/>
      <c r="J2093" s="9"/>
      <c r="K2093" s="9"/>
      <c r="L2093" s="9"/>
      <c r="M2093" s="9"/>
      <c r="N2093" s="9"/>
      <c r="O2093" s="9"/>
      <c r="P2093" s="9"/>
      <c r="Q2093" s="9"/>
      <c r="R2093" s="9"/>
      <c r="S2093" s="9"/>
      <c r="T2093" s="9"/>
      <c r="U2093" s="9"/>
      <c r="V2093" s="9"/>
      <c r="W2093" s="9"/>
      <c r="X2093" s="9"/>
      <c r="Y2093" s="9"/>
      <c r="Z2093" s="9"/>
      <c r="AA2093" s="9"/>
      <c r="AB2093" s="9"/>
      <c r="AC2093" s="9"/>
      <c r="AD2093" s="9"/>
      <c r="AE2093" s="9"/>
      <c r="AF2093" s="9"/>
      <c r="AG2093" s="9"/>
      <c r="AH2093" s="9"/>
      <c r="AI2093" s="9"/>
      <c r="AJ2093" s="9"/>
      <c r="AK2093" s="9"/>
      <c r="AL2093" s="9"/>
      <c r="AM2093" s="9"/>
      <c r="AN2093" s="9"/>
      <c r="AO2093" s="9"/>
      <c r="AP2093" s="9"/>
      <c r="AQ2093" s="9"/>
      <c r="AR2093" s="9"/>
      <c r="AS2093" s="9"/>
      <c r="AT2093" s="9"/>
      <c r="AU2093" s="9"/>
    </row>
    <row r="2094" spans="1:47" ht="15.75" customHeight="1">
      <c r="A2094" s="9"/>
      <c r="B2094" s="9"/>
      <c r="C2094" s="9"/>
      <c r="D2094" s="9"/>
      <c r="E2094" s="9"/>
      <c r="F2094" s="67"/>
      <c r="G2094" s="9"/>
      <c r="H2094" s="9"/>
      <c r="I2094" s="9"/>
      <c r="J2094" s="9"/>
      <c r="K2094" s="9"/>
      <c r="L2094" s="9"/>
      <c r="M2094" s="9"/>
      <c r="N2094" s="9"/>
      <c r="O2094" s="9"/>
      <c r="P2094" s="9"/>
      <c r="Q2094" s="9"/>
      <c r="R2094" s="9"/>
      <c r="S2094" s="9"/>
      <c r="T2094" s="9"/>
      <c r="U2094" s="9"/>
      <c r="V2094" s="9"/>
      <c r="W2094" s="9"/>
      <c r="X2094" s="9"/>
      <c r="Y2094" s="9"/>
      <c r="Z2094" s="9"/>
      <c r="AA2094" s="9"/>
      <c r="AB2094" s="9"/>
      <c r="AC2094" s="9"/>
      <c r="AD2094" s="9"/>
      <c r="AE2094" s="9"/>
      <c r="AF2094" s="9"/>
      <c r="AG2094" s="9"/>
      <c r="AH2094" s="9"/>
      <c r="AI2094" s="9"/>
      <c r="AJ2094" s="9"/>
      <c r="AK2094" s="9"/>
      <c r="AL2094" s="9"/>
      <c r="AM2094" s="9"/>
      <c r="AN2094" s="9"/>
      <c r="AO2094" s="9"/>
      <c r="AP2094" s="9"/>
      <c r="AQ2094" s="9"/>
      <c r="AR2094" s="9"/>
      <c r="AS2094" s="9"/>
      <c r="AT2094" s="9"/>
      <c r="AU2094" s="9"/>
    </row>
    <row r="2095" spans="1:47" ht="15.75" customHeight="1">
      <c r="A2095" s="9"/>
      <c r="B2095" s="9"/>
      <c r="C2095" s="9"/>
      <c r="D2095" s="9"/>
      <c r="E2095" s="9"/>
      <c r="F2095" s="67"/>
      <c r="G2095" s="9"/>
      <c r="H2095" s="9"/>
      <c r="I2095" s="9"/>
      <c r="J2095" s="9"/>
      <c r="K2095" s="9"/>
      <c r="L2095" s="9"/>
      <c r="M2095" s="9"/>
      <c r="N2095" s="9"/>
      <c r="O2095" s="9"/>
      <c r="P2095" s="9"/>
      <c r="Q2095" s="9"/>
      <c r="R2095" s="9"/>
      <c r="S2095" s="9"/>
      <c r="T2095" s="9"/>
      <c r="U2095" s="9"/>
      <c r="V2095" s="9"/>
      <c r="W2095" s="9"/>
      <c r="X2095" s="9"/>
      <c r="Y2095" s="9"/>
      <c r="Z2095" s="9"/>
      <c r="AA2095" s="9"/>
      <c r="AB2095" s="9"/>
      <c r="AC2095" s="9"/>
      <c r="AD2095" s="9"/>
      <c r="AE2095" s="9"/>
      <c r="AF2095" s="9"/>
      <c r="AG2095" s="9"/>
      <c r="AH2095" s="9"/>
      <c r="AI2095" s="9"/>
      <c r="AJ2095" s="9"/>
      <c r="AK2095" s="9"/>
      <c r="AL2095" s="9"/>
      <c r="AM2095" s="9"/>
      <c r="AN2095" s="9"/>
      <c r="AO2095" s="9"/>
      <c r="AP2095" s="9"/>
      <c r="AQ2095" s="9"/>
      <c r="AR2095" s="9"/>
      <c r="AS2095" s="9"/>
      <c r="AT2095" s="9"/>
      <c r="AU2095" s="9"/>
    </row>
    <row r="2096" spans="1:47" ht="15.75" customHeight="1">
      <c r="A2096" s="9"/>
      <c r="B2096" s="9"/>
      <c r="C2096" s="9"/>
      <c r="D2096" s="9"/>
      <c r="E2096" s="9"/>
      <c r="F2096" s="67"/>
      <c r="G2096" s="9"/>
      <c r="H2096" s="9"/>
      <c r="I2096" s="9"/>
      <c r="J2096" s="9"/>
      <c r="K2096" s="9"/>
      <c r="L2096" s="9"/>
      <c r="M2096" s="9"/>
      <c r="N2096" s="9"/>
      <c r="O2096" s="9"/>
      <c r="P2096" s="9"/>
      <c r="Q2096" s="9"/>
      <c r="R2096" s="9"/>
      <c r="S2096" s="9"/>
      <c r="T2096" s="9"/>
      <c r="U2096" s="9"/>
      <c r="V2096" s="9"/>
      <c r="W2096" s="9"/>
      <c r="X2096" s="9"/>
      <c r="Y2096" s="9"/>
      <c r="Z2096" s="9"/>
      <c r="AA2096" s="9"/>
      <c r="AB2096" s="9"/>
      <c r="AC2096" s="9"/>
      <c r="AD2096" s="9"/>
      <c r="AE2096" s="9"/>
      <c r="AF2096" s="9"/>
      <c r="AG2096" s="9"/>
      <c r="AH2096" s="9"/>
      <c r="AI2096" s="9"/>
      <c r="AJ2096" s="9"/>
      <c r="AK2096" s="9"/>
      <c r="AL2096" s="9"/>
      <c r="AM2096" s="9"/>
      <c r="AN2096" s="9"/>
      <c r="AO2096" s="9"/>
      <c r="AP2096" s="9"/>
      <c r="AQ2096" s="9"/>
      <c r="AR2096" s="9"/>
      <c r="AS2096" s="9"/>
      <c r="AT2096" s="9"/>
      <c r="AU2096" s="9"/>
    </row>
    <row r="2097" spans="1:47" ht="15.75" customHeight="1">
      <c r="A2097" s="9"/>
      <c r="B2097" s="9"/>
      <c r="C2097" s="9"/>
      <c r="D2097" s="9"/>
      <c r="E2097" s="9"/>
      <c r="F2097" s="67"/>
      <c r="G2097" s="9"/>
      <c r="H2097" s="9"/>
      <c r="I2097" s="9"/>
      <c r="J2097" s="9"/>
      <c r="K2097" s="9"/>
      <c r="L2097" s="9"/>
      <c r="M2097" s="9"/>
      <c r="N2097" s="9"/>
      <c r="O2097" s="9"/>
      <c r="P2097" s="9"/>
      <c r="Q2097" s="9"/>
      <c r="R2097" s="9"/>
      <c r="S2097" s="9"/>
      <c r="T2097" s="9"/>
      <c r="U2097" s="9"/>
      <c r="V2097" s="9"/>
      <c r="W2097" s="9"/>
      <c r="X2097" s="9"/>
      <c r="Y2097" s="9"/>
      <c r="Z2097" s="9"/>
      <c r="AA2097" s="9"/>
      <c r="AB2097" s="9"/>
      <c r="AC2097" s="9"/>
      <c r="AD2097" s="9"/>
      <c r="AE2097" s="9"/>
      <c r="AF2097" s="9"/>
      <c r="AG2097" s="9"/>
      <c r="AH2097" s="9"/>
      <c r="AI2097" s="9"/>
      <c r="AJ2097" s="9"/>
      <c r="AK2097" s="9"/>
      <c r="AL2097" s="9"/>
      <c r="AM2097" s="9"/>
      <c r="AN2097" s="9"/>
      <c r="AO2097" s="9"/>
      <c r="AP2097" s="9"/>
      <c r="AQ2097" s="9"/>
      <c r="AR2097" s="9"/>
      <c r="AS2097" s="9"/>
      <c r="AT2097" s="9"/>
      <c r="AU2097" s="9"/>
    </row>
    <row r="2098" spans="1:47" ht="15.75" customHeight="1">
      <c r="A2098" s="9"/>
      <c r="B2098" s="9"/>
      <c r="C2098" s="9"/>
      <c r="D2098" s="9"/>
      <c r="E2098" s="9"/>
      <c r="F2098" s="67"/>
      <c r="G2098" s="9"/>
      <c r="H2098" s="9"/>
      <c r="I2098" s="9"/>
      <c r="J2098" s="9"/>
      <c r="K2098" s="9"/>
      <c r="L2098" s="9"/>
      <c r="M2098" s="9"/>
      <c r="N2098" s="9"/>
      <c r="O2098" s="9"/>
      <c r="P2098" s="9"/>
      <c r="Q2098" s="9"/>
      <c r="R2098" s="9"/>
      <c r="S2098" s="9"/>
      <c r="T2098" s="9"/>
      <c r="U2098" s="9"/>
      <c r="V2098" s="9"/>
      <c r="W2098" s="9"/>
      <c r="X2098" s="9"/>
      <c r="Y2098" s="9"/>
      <c r="Z2098" s="9"/>
      <c r="AA2098" s="9"/>
      <c r="AB2098" s="9"/>
      <c r="AC2098" s="9"/>
      <c r="AD2098" s="9"/>
      <c r="AE2098" s="9"/>
      <c r="AF2098" s="9"/>
      <c r="AG2098" s="9"/>
      <c r="AH2098" s="9"/>
      <c r="AI2098" s="9"/>
      <c r="AJ2098" s="9"/>
      <c r="AK2098" s="9"/>
      <c r="AL2098" s="9"/>
      <c r="AM2098" s="9"/>
      <c r="AN2098" s="9"/>
      <c r="AO2098" s="9"/>
      <c r="AP2098" s="9"/>
      <c r="AQ2098" s="9"/>
      <c r="AR2098" s="9"/>
      <c r="AS2098" s="9"/>
      <c r="AT2098" s="9"/>
      <c r="AU2098" s="9"/>
    </row>
    <row r="2099" spans="1:47" ht="15.75" customHeight="1">
      <c r="A2099" s="9"/>
      <c r="B2099" s="9"/>
      <c r="C2099" s="9"/>
      <c r="D2099" s="9"/>
      <c r="E2099" s="9"/>
      <c r="F2099" s="67"/>
      <c r="G2099" s="9"/>
      <c r="H2099" s="9"/>
      <c r="I2099" s="9"/>
      <c r="J2099" s="9"/>
      <c r="K2099" s="9"/>
      <c r="L2099" s="9"/>
      <c r="M2099" s="9"/>
      <c r="N2099" s="9"/>
      <c r="O2099" s="9"/>
      <c r="P2099" s="9"/>
      <c r="Q2099" s="9"/>
      <c r="R2099" s="9"/>
      <c r="S2099" s="9"/>
      <c r="T2099" s="9"/>
      <c r="U2099" s="9"/>
      <c r="V2099" s="9"/>
      <c r="W2099" s="9"/>
      <c r="X2099" s="9"/>
      <c r="Y2099" s="9"/>
      <c r="Z2099" s="9"/>
      <c r="AA2099" s="9"/>
      <c r="AB2099" s="9"/>
      <c r="AC2099" s="9"/>
      <c r="AD2099" s="9"/>
      <c r="AE2099" s="9"/>
      <c r="AF2099" s="9"/>
      <c r="AG2099" s="9"/>
      <c r="AH2099" s="9"/>
      <c r="AI2099" s="9"/>
      <c r="AJ2099" s="9"/>
      <c r="AK2099" s="9"/>
      <c r="AL2099" s="9"/>
      <c r="AM2099" s="9"/>
      <c r="AN2099" s="9"/>
      <c r="AO2099" s="9"/>
      <c r="AP2099" s="9"/>
      <c r="AQ2099" s="9"/>
      <c r="AR2099" s="9"/>
      <c r="AS2099" s="9"/>
      <c r="AT2099" s="9"/>
      <c r="AU2099" s="9"/>
    </row>
    <row r="2100" spans="1:47" ht="15.75" customHeight="1">
      <c r="A2100" s="9"/>
      <c r="B2100" s="9"/>
      <c r="C2100" s="9"/>
      <c r="D2100" s="9"/>
      <c r="E2100" s="9"/>
      <c r="F2100" s="67"/>
      <c r="G2100" s="9"/>
      <c r="H2100" s="9"/>
      <c r="I2100" s="9"/>
      <c r="J2100" s="9"/>
      <c r="K2100" s="9"/>
      <c r="L2100" s="9"/>
      <c r="M2100" s="9"/>
      <c r="N2100" s="9"/>
      <c r="O2100" s="9"/>
      <c r="P2100" s="9"/>
      <c r="Q2100" s="9"/>
      <c r="R2100" s="9"/>
      <c r="S2100" s="9"/>
      <c r="T2100" s="9"/>
      <c r="U2100" s="9"/>
      <c r="V2100" s="9"/>
      <c r="W2100" s="9"/>
      <c r="X2100" s="9"/>
      <c r="Y2100" s="9"/>
      <c r="Z2100" s="9"/>
      <c r="AA2100" s="9"/>
      <c r="AB2100" s="9"/>
      <c r="AC2100" s="9"/>
      <c r="AD2100" s="9"/>
      <c r="AE2100" s="9"/>
      <c r="AF2100" s="9"/>
      <c r="AG2100" s="9"/>
      <c r="AH2100" s="9"/>
      <c r="AI2100" s="9"/>
      <c r="AJ2100" s="9"/>
      <c r="AK2100" s="9"/>
      <c r="AL2100" s="9"/>
      <c r="AM2100" s="9"/>
      <c r="AN2100" s="9"/>
      <c r="AO2100" s="9"/>
      <c r="AP2100" s="9"/>
      <c r="AQ2100" s="9"/>
      <c r="AR2100" s="9"/>
      <c r="AS2100" s="9"/>
      <c r="AT2100" s="9"/>
      <c r="AU2100" s="9"/>
    </row>
    <row r="2101" spans="1:47" ht="15.75" customHeight="1">
      <c r="A2101" s="9"/>
      <c r="B2101" s="9"/>
      <c r="C2101" s="9"/>
      <c r="D2101" s="9"/>
      <c r="E2101" s="9"/>
      <c r="F2101" s="67"/>
      <c r="G2101" s="9"/>
      <c r="H2101" s="9"/>
      <c r="I2101" s="9"/>
      <c r="J2101" s="9"/>
      <c r="K2101" s="9"/>
      <c r="L2101" s="9"/>
      <c r="M2101" s="9"/>
      <c r="N2101" s="9"/>
      <c r="O2101" s="9"/>
      <c r="P2101" s="9"/>
      <c r="Q2101" s="9"/>
      <c r="R2101" s="9"/>
      <c r="S2101" s="9"/>
      <c r="T2101" s="9"/>
      <c r="U2101" s="9"/>
      <c r="V2101" s="9"/>
      <c r="W2101" s="9"/>
      <c r="X2101" s="9"/>
      <c r="Y2101" s="9"/>
      <c r="Z2101" s="9"/>
      <c r="AA2101" s="9"/>
      <c r="AB2101" s="9"/>
      <c r="AC2101" s="9"/>
      <c r="AD2101" s="9"/>
      <c r="AE2101" s="9"/>
      <c r="AF2101" s="9"/>
      <c r="AG2101" s="9"/>
      <c r="AH2101" s="9"/>
      <c r="AI2101" s="9"/>
      <c r="AJ2101" s="9"/>
      <c r="AK2101" s="9"/>
      <c r="AL2101" s="9"/>
      <c r="AM2101" s="9"/>
      <c r="AN2101" s="9"/>
      <c r="AO2101" s="9"/>
      <c r="AP2101" s="9"/>
      <c r="AQ2101" s="9"/>
      <c r="AR2101" s="9"/>
      <c r="AS2101" s="9"/>
      <c r="AT2101" s="9"/>
      <c r="AU2101" s="9"/>
    </row>
    <row r="2102" spans="1:47" ht="15.75" customHeight="1">
      <c r="A2102" s="9"/>
      <c r="B2102" s="9"/>
      <c r="C2102" s="9"/>
      <c r="D2102" s="9"/>
      <c r="E2102" s="9"/>
      <c r="F2102" s="67"/>
      <c r="G2102" s="9"/>
      <c r="H2102" s="9"/>
      <c r="I2102" s="9"/>
      <c r="J2102" s="9"/>
      <c r="K2102" s="9"/>
      <c r="L2102" s="9"/>
      <c r="M2102" s="9"/>
      <c r="N2102" s="9"/>
      <c r="O2102" s="9"/>
      <c r="P2102" s="9"/>
      <c r="Q2102" s="9"/>
      <c r="R2102" s="9"/>
      <c r="S2102" s="9"/>
      <c r="T2102" s="9"/>
      <c r="U2102" s="9"/>
      <c r="V2102" s="9"/>
      <c r="W2102" s="9"/>
      <c r="X2102" s="9"/>
      <c r="Y2102" s="9"/>
      <c r="Z2102" s="9"/>
      <c r="AA2102" s="9"/>
      <c r="AB2102" s="9"/>
      <c r="AC2102" s="9"/>
      <c r="AD2102" s="9"/>
      <c r="AE2102" s="9"/>
      <c r="AF2102" s="9"/>
      <c r="AG2102" s="9"/>
      <c r="AH2102" s="9"/>
      <c r="AI2102" s="9"/>
      <c r="AJ2102" s="9"/>
      <c r="AK2102" s="9"/>
      <c r="AL2102" s="9"/>
      <c r="AM2102" s="9"/>
      <c r="AN2102" s="9"/>
      <c r="AO2102" s="9"/>
      <c r="AP2102" s="9"/>
      <c r="AQ2102" s="9"/>
      <c r="AR2102" s="9"/>
      <c r="AS2102" s="9"/>
      <c r="AT2102" s="9"/>
      <c r="AU2102" s="9"/>
    </row>
    <row r="2103" spans="1:47" ht="15.75" customHeight="1">
      <c r="A2103" s="9"/>
      <c r="B2103" s="9"/>
      <c r="C2103" s="9"/>
      <c r="D2103" s="9"/>
      <c r="E2103" s="9"/>
      <c r="F2103" s="67"/>
      <c r="G2103" s="9"/>
      <c r="H2103" s="9"/>
      <c r="I2103" s="9"/>
      <c r="J2103" s="9"/>
      <c r="K2103" s="9"/>
      <c r="L2103" s="9"/>
      <c r="M2103" s="9"/>
      <c r="N2103" s="9"/>
      <c r="O2103" s="9"/>
      <c r="P2103" s="9"/>
      <c r="Q2103" s="9"/>
      <c r="R2103" s="9"/>
      <c r="S2103" s="9"/>
      <c r="T2103" s="9"/>
      <c r="U2103" s="9"/>
      <c r="V2103" s="9"/>
      <c r="W2103" s="9"/>
      <c r="X2103" s="9"/>
      <c r="Y2103" s="9"/>
      <c r="Z2103" s="9"/>
      <c r="AA2103" s="9"/>
      <c r="AB2103" s="9"/>
      <c r="AC2103" s="9"/>
      <c r="AD2103" s="9"/>
      <c r="AE2103" s="9"/>
      <c r="AF2103" s="9"/>
      <c r="AG2103" s="9"/>
      <c r="AH2103" s="9"/>
      <c r="AI2103" s="9"/>
      <c r="AJ2103" s="9"/>
      <c r="AK2103" s="9"/>
      <c r="AL2103" s="9"/>
      <c r="AM2103" s="9"/>
      <c r="AN2103" s="9"/>
      <c r="AO2103" s="9"/>
      <c r="AP2103" s="9"/>
      <c r="AQ2103" s="9"/>
      <c r="AR2103" s="9"/>
      <c r="AS2103" s="9"/>
      <c r="AT2103" s="9"/>
      <c r="AU2103" s="9"/>
    </row>
    <row r="2104" spans="1:47" ht="15.75" customHeight="1">
      <c r="A2104" s="9"/>
      <c r="B2104" s="9"/>
      <c r="C2104" s="9"/>
      <c r="D2104" s="9"/>
      <c r="E2104" s="9"/>
      <c r="F2104" s="67"/>
      <c r="G2104" s="9"/>
      <c r="H2104" s="9"/>
      <c r="I2104" s="9"/>
      <c r="J2104" s="9"/>
      <c r="K2104" s="9"/>
      <c r="L2104" s="9"/>
      <c r="M2104" s="9"/>
      <c r="N2104" s="9"/>
      <c r="O2104" s="9"/>
      <c r="P2104" s="9"/>
      <c r="Q2104" s="9"/>
      <c r="R2104" s="9"/>
      <c r="S2104" s="9"/>
      <c r="T2104" s="9"/>
      <c r="U2104" s="9"/>
      <c r="V2104" s="9"/>
      <c r="W2104" s="9"/>
      <c r="X2104" s="9"/>
      <c r="Y2104" s="9"/>
      <c r="Z2104" s="9"/>
      <c r="AA2104" s="9"/>
      <c r="AB2104" s="9"/>
      <c r="AC2104" s="9"/>
      <c r="AD2104" s="9"/>
      <c r="AE2104" s="9"/>
      <c r="AF2104" s="9"/>
      <c r="AG2104" s="9"/>
      <c r="AH2104" s="9"/>
      <c r="AI2104" s="9"/>
      <c r="AJ2104" s="9"/>
      <c r="AK2104" s="9"/>
      <c r="AL2104" s="9"/>
      <c r="AM2104" s="9"/>
      <c r="AN2104" s="9"/>
      <c r="AO2104" s="9"/>
      <c r="AP2104" s="9"/>
      <c r="AQ2104" s="9"/>
      <c r="AR2104" s="9"/>
      <c r="AS2104" s="9"/>
      <c r="AT2104" s="9"/>
      <c r="AU2104" s="9"/>
    </row>
    <row r="2105" spans="1:47" ht="15.75" customHeight="1">
      <c r="A2105" s="9"/>
      <c r="B2105" s="9"/>
      <c r="C2105" s="9"/>
      <c r="D2105" s="9"/>
      <c r="E2105" s="9"/>
      <c r="F2105" s="67"/>
      <c r="G2105" s="9"/>
      <c r="H2105" s="9"/>
      <c r="I2105" s="9"/>
      <c r="J2105" s="9"/>
      <c r="K2105" s="9"/>
      <c r="L2105" s="9"/>
      <c r="M2105" s="9"/>
      <c r="N2105" s="9"/>
      <c r="O2105" s="9"/>
      <c r="P2105" s="9"/>
      <c r="Q2105" s="9"/>
      <c r="R2105" s="9"/>
      <c r="S2105" s="9"/>
      <c r="T2105" s="9"/>
      <c r="U2105" s="9"/>
      <c r="V2105" s="9"/>
      <c r="W2105" s="9"/>
      <c r="X2105" s="9"/>
      <c r="Y2105" s="9"/>
      <c r="Z2105" s="9"/>
      <c r="AA2105" s="9"/>
      <c r="AB2105" s="9"/>
      <c r="AC2105" s="9"/>
      <c r="AD2105" s="9"/>
      <c r="AE2105" s="9"/>
      <c r="AF2105" s="9"/>
      <c r="AG2105" s="9"/>
      <c r="AH2105" s="9"/>
      <c r="AI2105" s="9"/>
      <c r="AJ2105" s="9"/>
      <c r="AK2105" s="9"/>
      <c r="AL2105" s="9"/>
      <c r="AM2105" s="9"/>
      <c r="AN2105" s="9"/>
      <c r="AO2105" s="9"/>
      <c r="AP2105" s="9"/>
      <c r="AQ2105" s="9"/>
      <c r="AR2105" s="9"/>
      <c r="AS2105" s="9"/>
      <c r="AT2105" s="9"/>
      <c r="AU2105" s="9"/>
    </row>
    <row r="2106" spans="1:47" ht="15.75" customHeight="1">
      <c r="A2106" s="9"/>
      <c r="B2106" s="9"/>
      <c r="C2106" s="9"/>
      <c r="D2106" s="9"/>
      <c r="E2106" s="9"/>
      <c r="F2106" s="67"/>
      <c r="G2106" s="9"/>
      <c r="H2106" s="9"/>
      <c r="I2106" s="9"/>
      <c r="J2106" s="9"/>
      <c r="K2106" s="9"/>
      <c r="L2106" s="9"/>
      <c r="M2106" s="9"/>
      <c r="N2106" s="9"/>
      <c r="O2106" s="9"/>
      <c r="P2106" s="9"/>
      <c r="Q2106" s="9"/>
      <c r="R2106" s="9"/>
      <c r="S2106" s="9"/>
      <c r="T2106" s="9"/>
      <c r="U2106" s="9"/>
      <c r="V2106" s="9"/>
      <c r="W2106" s="9"/>
      <c r="X2106" s="9"/>
      <c r="Y2106" s="9"/>
      <c r="Z2106" s="9"/>
      <c r="AA2106" s="9"/>
      <c r="AB2106" s="9"/>
      <c r="AC2106" s="9"/>
      <c r="AD2106" s="9"/>
      <c r="AE2106" s="9"/>
      <c r="AF2106" s="9"/>
      <c r="AG2106" s="9"/>
      <c r="AH2106" s="9"/>
      <c r="AI2106" s="9"/>
      <c r="AJ2106" s="9"/>
      <c r="AK2106" s="9"/>
      <c r="AL2106" s="9"/>
      <c r="AM2106" s="9"/>
      <c r="AN2106" s="9"/>
      <c r="AO2106" s="9"/>
      <c r="AP2106" s="9"/>
      <c r="AQ2106" s="9"/>
      <c r="AR2106" s="9"/>
      <c r="AS2106" s="9"/>
      <c r="AT2106" s="9"/>
      <c r="AU2106" s="9"/>
    </row>
    <row r="2107" spans="1:47" ht="15.75" customHeight="1">
      <c r="A2107" s="9"/>
      <c r="B2107" s="9"/>
      <c r="C2107" s="9"/>
      <c r="D2107" s="9"/>
      <c r="E2107" s="9"/>
      <c r="F2107" s="67"/>
      <c r="G2107" s="9"/>
      <c r="H2107" s="9"/>
      <c r="I2107" s="9"/>
      <c r="J2107" s="9"/>
      <c r="K2107" s="9"/>
      <c r="L2107" s="9"/>
      <c r="M2107" s="9"/>
      <c r="N2107" s="9"/>
      <c r="O2107" s="9"/>
      <c r="P2107" s="9"/>
      <c r="Q2107" s="9"/>
      <c r="R2107" s="9"/>
      <c r="S2107" s="9"/>
      <c r="T2107" s="9"/>
      <c r="U2107" s="9"/>
      <c r="V2107" s="9"/>
      <c r="W2107" s="9"/>
      <c r="X2107" s="9"/>
      <c r="Y2107" s="9"/>
      <c r="Z2107" s="9"/>
      <c r="AA2107" s="9"/>
      <c r="AB2107" s="9"/>
      <c r="AC2107" s="9"/>
      <c r="AD2107" s="9"/>
      <c r="AE2107" s="9"/>
      <c r="AF2107" s="9"/>
      <c r="AG2107" s="9"/>
      <c r="AH2107" s="9"/>
      <c r="AI2107" s="9"/>
      <c r="AJ2107" s="9"/>
      <c r="AK2107" s="9"/>
      <c r="AL2107" s="9"/>
      <c r="AM2107" s="9"/>
      <c r="AN2107" s="9"/>
      <c r="AO2107" s="9"/>
      <c r="AP2107" s="9"/>
      <c r="AQ2107" s="9"/>
      <c r="AR2107" s="9"/>
      <c r="AS2107" s="9"/>
      <c r="AT2107" s="9"/>
      <c r="AU2107" s="9"/>
    </row>
    <row r="2108" spans="1:47" ht="15.75" customHeight="1">
      <c r="A2108" s="9"/>
      <c r="B2108" s="9"/>
      <c r="C2108" s="9"/>
      <c r="D2108" s="9"/>
      <c r="E2108" s="9"/>
      <c r="F2108" s="67"/>
      <c r="G2108" s="9"/>
      <c r="H2108" s="9"/>
      <c r="I2108" s="9"/>
      <c r="J2108" s="9"/>
      <c r="K2108" s="9"/>
      <c r="L2108" s="9"/>
      <c r="M2108" s="9"/>
      <c r="N2108" s="9"/>
      <c r="O2108" s="9"/>
      <c r="P2108" s="9"/>
      <c r="Q2108" s="9"/>
      <c r="R2108" s="9"/>
      <c r="S2108" s="9"/>
      <c r="T2108" s="9"/>
      <c r="U2108" s="9"/>
      <c r="V2108" s="9"/>
      <c r="W2108" s="9"/>
      <c r="X2108" s="9"/>
      <c r="Y2108" s="9"/>
      <c r="Z2108" s="9"/>
      <c r="AA2108" s="9"/>
      <c r="AB2108" s="9"/>
      <c r="AC2108" s="9"/>
      <c r="AD2108" s="9"/>
      <c r="AE2108" s="9"/>
      <c r="AF2108" s="9"/>
      <c r="AG2108" s="9"/>
      <c r="AH2108" s="9"/>
      <c r="AI2108" s="9"/>
      <c r="AJ2108" s="9"/>
      <c r="AK2108" s="9"/>
      <c r="AL2108" s="9"/>
      <c r="AM2108" s="9"/>
      <c r="AN2108" s="9"/>
      <c r="AO2108" s="9"/>
      <c r="AP2108" s="9"/>
      <c r="AQ2108" s="9"/>
      <c r="AR2108" s="9"/>
      <c r="AS2108" s="9"/>
      <c r="AT2108" s="9"/>
      <c r="AU2108" s="9"/>
    </row>
    <row r="2109" spans="1:47" ht="15.75" customHeight="1">
      <c r="A2109" s="9"/>
      <c r="B2109" s="9"/>
      <c r="C2109" s="9"/>
      <c r="D2109" s="9"/>
      <c r="E2109" s="9"/>
      <c r="F2109" s="67"/>
      <c r="G2109" s="9"/>
      <c r="H2109" s="9"/>
      <c r="I2109" s="9"/>
      <c r="J2109" s="9"/>
      <c r="K2109" s="9"/>
      <c r="L2109" s="9"/>
      <c r="M2109" s="9"/>
      <c r="N2109" s="9"/>
      <c r="O2109" s="9"/>
      <c r="P2109" s="9"/>
      <c r="Q2109" s="9"/>
      <c r="R2109" s="9"/>
      <c r="S2109" s="9"/>
      <c r="T2109" s="9"/>
      <c r="U2109" s="9"/>
      <c r="V2109" s="9"/>
      <c r="W2109" s="9"/>
      <c r="X2109" s="9"/>
      <c r="Y2109" s="9"/>
      <c r="Z2109" s="9"/>
      <c r="AA2109" s="9"/>
      <c r="AB2109" s="9"/>
      <c r="AC2109" s="9"/>
      <c r="AD2109" s="9"/>
      <c r="AE2109" s="9"/>
      <c r="AF2109" s="9"/>
      <c r="AG2109" s="9"/>
      <c r="AH2109" s="9"/>
      <c r="AI2109" s="9"/>
      <c r="AJ2109" s="9"/>
      <c r="AK2109" s="9"/>
      <c r="AL2109" s="9"/>
      <c r="AM2109" s="9"/>
      <c r="AN2109" s="9"/>
      <c r="AO2109" s="9"/>
      <c r="AP2109" s="9"/>
      <c r="AQ2109" s="9"/>
      <c r="AR2109" s="9"/>
      <c r="AS2109" s="9"/>
      <c r="AT2109" s="9"/>
      <c r="AU2109" s="9"/>
    </row>
    <row r="2110" spans="1:47" ht="15.75" customHeight="1">
      <c r="A2110" s="9"/>
      <c r="B2110" s="9"/>
      <c r="C2110" s="9"/>
      <c r="D2110" s="9"/>
      <c r="E2110" s="9"/>
      <c r="F2110" s="67"/>
      <c r="G2110" s="9"/>
      <c r="H2110" s="9"/>
      <c r="I2110" s="9"/>
      <c r="J2110" s="9"/>
      <c r="K2110" s="9"/>
      <c r="L2110" s="9"/>
      <c r="M2110" s="9"/>
      <c r="N2110" s="9"/>
      <c r="O2110" s="9"/>
      <c r="P2110" s="9"/>
      <c r="Q2110" s="9"/>
      <c r="R2110" s="9"/>
      <c r="S2110" s="9"/>
      <c r="T2110" s="9"/>
      <c r="U2110" s="9"/>
      <c r="V2110" s="9"/>
      <c r="W2110" s="9"/>
      <c r="X2110" s="9"/>
      <c r="Y2110" s="9"/>
      <c r="Z2110" s="9"/>
      <c r="AA2110" s="9"/>
      <c r="AB2110" s="9"/>
      <c r="AC2110" s="9"/>
      <c r="AD2110" s="9"/>
      <c r="AE2110" s="9"/>
      <c r="AF2110" s="9"/>
      <c r="AG2110" s="9"/>
      <c r="AH2110" s="9"/>
      <c r="AI2110" s="9"/>
      <c r="AJ2110" s="9"/>
      <c r="AK2110" s="9"/>
      <c r="AL2110" s="9"/>
      <c r="AM2110" s="9"/>
      <c r="AN2110" s="9"/>
      <c r="AO2110" s="9"/>
      <c r="AP2110" s="9"/>
      <c r="AQ2110" s="9"/>
      <c r="AR2110" s="9"/>
      <c r="AS2110" s="9"/>
      <c r="AT2110" s="9"/>
      <c r="AU2110" s="9"/>
    </row>
    <row r="2111" spans="1:47" ht="15.75" customHeight="1">
      <c r="A2111" s="9"/>
      <c r="B2111" s="9"/>
      <c r="C2111" s="9"/>
      <c r="D2111" s="9"/>
      <c r="E2111" s="9"/>
      <c r="F2111" s="67"/>
      <c r="G2111" s="9"/>
      <c r="H2111" s="9"/>
      <c r="I2111" s="9"/>
      <c r="J2111" s="9"/>
      <c r="K2111" s="9"/>
      <c r="L2111" s="9"/>
      <c r="M2111" s="9"/>
      <c r="N2111" s="9"/>
      <c r="O2111" s="9"/>
      <c r="P2111" s="9"/>
      <c r="Q2111" s="9"/>
      <c r="R2111" s="9"/>
      <c r="S2111" s="9"/>
      <c r="T2111" s="9"/>
      <c r="U2111" s="9"/>
      <c r="V2111" s="9"/>
      <c r="W2111" s="9"/>
      <c r="X2111" s="9"/>
      <c r="Y2111" s="9"/>
      <c r="Z2111" s="9"/>
      <c r="AA2111" s="9"/>
      <c r="AB2111" s="9"/>
      <c r="AC2111" s="9"/>
      <c r="AD2111" s="9"/>
      <c r="AE2111" s="9"/>
      <c r="AF2111" s="9"/>
      <c r="AG2111" s="9"/>
      <c r="AH2111" s="9"/>
      <c r="AI2111" s="9"/>
      <c r="AJ2111" s="9"/>
      <c r="AK2111" s="9"/>
      <c r="AL2111" s="9"/>
      <c r="AM2111" s="9"/>
      <c r="AN2111" s="9"/>
      <c r="AO2111" s="9"/>
      <c r="AP2111" s="9"/>
      <c r="AQ2111" s="9"/>
      <c r="AR2111" s="9"/>
      <c r="AS2111" s="9"/>
      <c r="AT2111" s="9"/>
      <c r="AU2111" s="9"/>
    </row>
    <row r="2112" spans="1:47" ht="15.75" customHeight="1">
      <c r="A2112" s="9"/>
      <c r="B2112" s="9"/>
      <c r="C2112" s="9"/>
      <c r="D2112" s="9"/>
      <c r="E2112" s="9"/>
      <c r="F2112" s="67"/>
      <c r="G2112" s="9"/>
      <c r="H2112" s="9"/>
      <c r="I2112" s="9"/>
      <c r="J2112" s="9"/>
      <c r="K2112" s="9"/>
      <c r="L2112" s="9"/>
      <c r="M2112" s="9"/>
      <c r="N2112" s="9"/>
      <c r="O2112" s="9"/>
      <c r="P2112" s="9"/>
      <c r="Q2112" s="9"/>
      <c r="R2112" s="9"/>
      <c r="S2112" s="9"/>
      <c r="T2112" s="9"/>
      <c r="U2112" s="9"/>
      <c r="V2112" s="9"/>
      <c r="W2112" s="9"/>
      <c r="X2112" s="9"/>
      <c r="Y2112" s="9"/>
      <c r="Z2112" s="9"/>
      <c r="AA2112" s="9"/>
      <c r="AB2112" s="9"/>
      <c r="AC2112" s="9"/>
      <c r="AD2112" s="9"/>
      <c r="AE2112" s="9"/>
      <c r="AF2112" s="9"/>
      <c r="AG2112" s="9"/>
      <c r="AH2112" s="9"/>
      <c r="AI2112" s="9"/>
      <c r="AJ2112" s="9"/>
      <c r="AK2112" s="9"/>
      <c r="AL2112" s="9"/>
      <c r="AM2112" s="9"/>
      <c r="AN2112" s="9"/>
      <c r="AO2112" s="9"/>
      <c r="AP2112" s="9"/>
      <c r="AQ2112" s="9"/>
      <c r="AR2112" s="9"/>
      <c r="AS2112" s="9"/>
      <c r="AT2112" s="9"/>
      <c r="AU2112" s="9"/>
    </row>
    <row r="2113" spans="1:47" ht="15.75" customHeight="1">
      <c r="A2113" s="9"/>
      <c r="B2113" s="9"/>
      <c r="C2113" s="9"/>
      <c r="D2113" s="9"/>
      <c r="E2113" s="9"/>
      <c r="F2113" s="67"/>
      <c r="G2113" s="9"/>
      <c r="H2113" s="9"/>
      <c r="I2113" s="9"/>
      <c r="J2113" s="9"/>
      <c r="K2113" s="9"/>
      <c r="L2113" s="9"/>
      <c r="M2113" s="9"/>
      <c r="N2113" s="9"/>
      <c r="O2113" s="9"/>
      <c r="P2113" s="9"/>
      <c r="Q2113" s="9"/>
      <c r="R2113" s="9"/>
      <c r="S2113" s="9"/>
      <c r="T2113" s="9"/>
      <c r="U2113" s="9"/>
      <c r="V2113" s="9"/>
      <c r="W2113" s="9"/>
      <c r="X2113" s="9"/>
      <c r="Y2113" s="9"/>
      <c r="Z2113" s="9"/>
      <c r="AA2113" s="9"/>
      <c r="AB2113" s="9"/>
      <c r="AC2113" s="9"/>
      <c r="AD2113" s="9"/>
      <c r="AE2113" s="9"/>
      <c r="AF2113" s="9"/>
      <c r="AG2113" s="9"/>
      <c r="AH2113" s="9"/>
      <c r="AI2113" s="9"/>
      <c r="AJ2113" s="9"/>
      <c r="AK2113" s="9"/>
      <c r="AL2113" s="9"/>
      <c r="AM2113" s="9"/>
      <c r="AN2113" s="9"/>
      <c r="AO2113" s="9"/>
      <c r="AP2113" s="9"/>
      <c r="AQ2113" s="9"/>
      <c r="AR2113" s="9"/>
      <c r="AS2113" s="9"/>
      <c r="AT2113" s="9"/>
      <c r="AU2113" s="9"/>
    </row>
    <row r="2114" spans="1:47" ht="15.75" customHeight="1">
      <c r="A2114" s="9"/>
      <c r="B2114" s="9"/>
      <c r="C2114" s="9"/>
      <c r="D2114" s="9"/>
      <c r="E2114" s="9"/>
      <c r="F2114" s="67"/>
      <c r="G2114" s="9"/>
      <c r="H2114" s="9"/>
      <c r="I2114" s="9"/>
      <c r="J2114" s="9"/>
      <c r="K2114" s="9"/>
      <c r="L2114" s="9"/>
      <c r="M2114" s="9"/>
      <c r="N2114" s="9"/>
      <c r="O2114" s="9"/>
      <c r="P2114" s="9"/>
      <c r="Q2114" s="9"/>
      <c r="R2114" s="9"/>
      <c r="S2114" s="9"/>
      <c r="T2114" s="9"/>
      <c r="U2114" s="9"/>
      <c r="V2114" s="9"/>
      <c r="W2114" s="9"/>
      <c r="X2114" s="9"/>
      <c r="Y2114" s="9"/>
      <c r="Z2114" s="9"/>
      <c r="AA2114" s="9"/>
      <c r="AB2114" s="9"/>
      <c r="AC2114" s="9"/>
      <c r="AD2114" s="9"/>
      <c r="AE2114" s="9"/>
      <c r="AF2114" s="9"/>
      <c r="AG2114" s="9"/>
      <c r="AH2114" s="9"/>
      <c r="AI2114" s="9"/>
      <c r="AJ2114" s="9"/>
      <c r="AK2114" s="9"/>
      <c r="AL2114" s="9"/>
      <c r="AM2114" s="9"/>
      <c r="AN2114" s="9"/>
      <c r="AO2114" s="9"/>
      <c r="AP2114" s="9"/>
      <c r="AQ2114" s="9"/>
      <c r="AR2114" s="9"/>
      <c r="AS2114" s="9"/>
      <c r="AT2114" s="9"/>
      <c r="AU2114" s="9"/>
    </row>
    <row r="2115" spans="1:47" ht="15.75" customHeight="1">
      <c r="A2115" s="9"/>
      <c r="B2115" s="9"/>
      <c r="C2115" s="9"/>
      <c r="D2115" s="9"/>
      <c r="E2115" s="9"/>
      <c r="F2115" s="67"/>
      <c r="G2115" s="9"/>
      <c r="H2115" s="9"/>
      <c r="I2115" s="9"/>
      <c r="J2115" s="9"/>
      <c r="K2115" s="9"/>
      <c r="L2115" s="9"/>
      <c r="M2115" s="9"/>
      <c r="N2115" s="9"/>
      <c r="O2115" s="9"/>
      <c r="P2115" s="9"/>
      <c r="Q2115" s="9"/>
      <c r="R2115" s="9"/>
      <c r="S2115" s="9"/>
      <c r="T2115" s="9"/>
      <c r="U2115" s="9"/>
      <c r="V2115" s="9"/>
      <c r="W2115" s="9"/>
      <c r="X2115" s="9"/>
      <c r="Y2115" s="9"/>
      <c r="Z2115" s="9"/>
      <c r="AA2115" s="9"/>
      <c r="AB2115" s="9"/>
      <c r="AC2115" s="9"/>
      <c r="AD2115" s="9"/>
      <c r="AE2115" s="9"/>
      <c r="AF2115" s="9"/>
      <c r="AG2115" s="9"/>
      <c r="AH2115" s="9"/>
      <c r="AI2115" s="9"/>
      <c r="AJ2115" s="9"/>
      <c r="AK2115" s="9"/>
      <c r="AL2115" s="9"/>
      <c r="AM2115" s="9"/>
      <c r="AN2115" s="9"/>
      <c r="AO2115" s="9"/>
      <c r="AP2115" s="9"/>
      <c r="AQ2115" s="9"/>
      <c r="AR2115" s="9"/>
      <c r="AS2115" s="9"/>
      <c r="AT2115" s="9"/>
      <c r="AU2115" s="9"/>
    </row>
    <row r="2116" spans="1:47" ht="15.75" customHeight="1">
      <c r="A2116" s="9"/>
      <c r="B2116" s="9"/>
      <c r="C2116" s="9"/>
      <c r="D2116" s="9"/>
      <c r="E2116" s="9"/>
      <c r="F2116" s="67"/>
      <c r="G2116" s="9"/>
      <c r="H2116" s="9"/>
      <c r="I2116" s="9"/>
      <c r="J2116" s="9"/>
      <c r="K2116" s="9"/>
      <c r="L2116" s="9"/>
      <c r="M2116" s="9"/>
      <c r="N2116" s="9"/>
      <c r="O2116" s="9"/>
      <c r="P2116" s="9"/>
      <c r="Q2116" s="9"/>
      <c r="R2116" s="9"/>
      <c r="S2116" s="9"/>
      <c r="T2116" s="9"/>
      <c r="U2116" s="9"/>
      <c r="V2116" s="9"/>
      <c r="W2116" s="9"/>
      <c r="X2116" s="9"/>
      <c r="Y2116" s="9"/>
      <c r="Z2116" s="9"/>
      <c r="AA2116" s="9"/>
      <c r="AB2116" s="9"/>
      <c r="AC2116" s="9"/>
      <c r="AD2116" s="9"/>
      <c r="AE2116" s="9"/>
      <c r="AF2116" s="9"/>
      <c r="AG2116" s="9"/>
      <c r="AH2116" s="9"/>
      <c r="AI2116" s="9"/>
      <c r="AJ2116" s="9"/>
      <c r="AK2116" s="9"/>
      <c r="AL2116" s="9"/>
      <c r="AM2116" s="9"/>
      <c r="AN2116" s="9"/>
      <c r="AO2116" s="9"/>
      <c r="AP2116" s="9"/>
      <c r="AQ2116" s="9"/>
      <c r="AR2116" s="9"/>
      <c r="AS2116" s="9"/>
      <c r="AT2116" s="9"/>
      <c r="AU2116" s="9"/>
    </row>
    <row r="2117" spans="1:47" ht="15.75" customHeight="1">
      <c r="A2117" s="9"/>
      <c r="B2117" s="9"/>
      <c r="C2117" s="9"/>
      <c r="D2117" s="9"/>
      <c r="E2117" s="9"/>
      <c r="F2117" s="67"/>
      <c r="G2117" s="9"/>
      <c r="H2117" s="9"/>
      <c r="I2117" s="9"/>
      <c r="J2117" s="9"/>
      <c r="K2117" s="9"/>
      <c r="L2117" s="9"/>
      <c r="M2117" s="9"/>
      <c r="N2117" s="9"/>
      <c r="O2117" s="9"/>
      <c r="P2117" s="9"/>
      <c r="Q2117" s="9"/>
      <c r="R2117" s="9"/>
      <c r="S2117" s="9"/>
      <c r="T2117" s="9"/>
      <c r="U2117" s="9"/>
      <c r="V2117" s="9"/>
      <c r="W2117" s="9"/>
      <c r="X2117" s="9"/>
      <c r="Y2117" s="9"/>
      <c r="Z2117" s="9"/>
      <c r="AA2117" s="9"/>
      <c r="AB2117" s="9"/>
      <c r="AC2117" s="9"/>
      <c r="AD2117" s="9"/>
      <c r="AE2117" s="9"/>
      <c r="AF2117" s="9"/>
      <c r="AG2117" s="9"/>
      <c r="AH2117" s="9"/>
      <c r="AI2117" s="9"/>
      <c r="AJ2117" s="9"/>
      <c r="AK2117" s="9"/>
      <c r="AL2117" s="9"/>
      <c r="AM2117" s="9"/>
      <c r="AN2117" s="9"/>
      <c r="AO2117" s="9"/>
      <c r="AP2117" s="9"/>
      <c r="AQ2117" s="9"/>
      <c r="AR2117" s="9"/>
      <c r="AS2117" s="9"/>
      <c r="AT2117" s="9"/>
      <c r="AU2117" s="9"/>
    </row>
    <row r="2118" spans="1:47" ht="15.75" customHeight="1">
      <c r="A2118" s="9"/>
      <c r="B2118" s="9"/>
      <c r="C2118" s="9"/>
      <c r="D2118" s="9"/>
      <c r="E2118" s="9"/>
      <c r="F2118" s="67"/>
      <c r="G2118" s="9"/>
      <c r="H2118" s="9"/>
      <c r="I2118" s="9"/>
      <c r="J2118" s="9"/>
      <c r="K2118" s="9"/>
      <c r="L2118" s="9"/>
      <c r="M2118" s="9"/>
      <c r="N2118" s="9"/>
      <c r="O2118" s="9"/>
      <c r="P2118" s="9"/>
      <c r="Q2118" s="9"/>
      <c r="R2118" s="9"/>
      <c r="S2118" s="9"/>
      <c r="T2118" s="9"/>
      <c r="U2118" s="9"/>
      <c r="V2118" s="9"/>
      <c r="W2118" s="9"/>
      <c r="X2118" s="9"/>
      <c r="Y2118" s="9"/>
      <c r="Z2118" s="9"/>
      <c r="AA2118" s="9"/>
      <c r="AB2118" s="9"/>
      <c r="AC2118" s="9"/>
      <c r="AD2118" s="9"/>
      <c r="AE2118" s="9"/>
      <c r="AF2118" s="9"/>
      <c r="AG2118" s="9"/>
      <c r="AH2118" s="9"/>
      <c r="AI2118" s="9"/>
      <c r="AJ2118" s="9"/>
      <c r="AK2118" s="9"/>
      <c r="AL2118" s="9"/>
      <c r="AM2118" s="9"/>
      <c r="AN2118" s="9"/>
      <c r="AO2118" s="9"/>
      <c r="AP2118" s="9"/>
      <c r="AQ2118" s="9"/>
      <c r="AR2118" s="9"/>
      <c r="AS2118" s="9"/>
      <c r="AT2118" s="9"/>
      <c r="AU2118" s="9"/>
    </row>
    <row r="2119" spans="1:47" ht="15.75" customHeight="1">
      <c r="A2119" s="9"/>
      <c r="B2119" s="9"/>
      <c r="C2119" s="9"/>
      <c r="D2119" s="9"/>
      <c r="E2119" s="9"/>
      <c r="F2119" s="67"/>
      <c r="G2119" s="9"/>
      <c r="H2119" s="9"/>
      <c r="I2119" s="9"/>
      <c r="J2119" s="9"/>
      <c r="K2119" s="9"/>
      <c r="L2119" s="9"/>
      <c r="M2119" s="9"/>
      <c r="N2119" s="9"/>
      <c r="O2119" s="9"/>
      <c r="P2119" s="9"/>
      <c r="Q2119" s="9"/>
      <c r="R2119" s="9"/>
      <c r="S2119" s="9"/>
      <c r="T2119" s="9"/>
      <c r="U2119" s="9"/>
      <c r="V2119" s="9"/>
      <c r="W2119" s="9"/>
      <c r="X2119" s="9"/>
      <c r="Y2119" s="9"/>
      <c r="Z2119" s="9"/>
      <c r="AA2119" s="9"/>
      <c r="AB2119" s="9"/>
      <c r="AC2119" s="9"/>
      <c r="AD2119" s="9"/>
      <c r="AE2119" s="9"/>
      <c r="AF2119" s="9"/>
      <c r="AG2119" s="9"/>
      <c r="AH2119" s="9"/>
      <c r="AI2119" s="9"/>
      <c r="AJ2119" s="9"/>
      <c r="AK2119" s="9"/>
      <c r="AL2119" s="9"/>
      <c r="AM2119" s="9"/>
      <c r="AN2119" s="9"/>
      <c r="AO2119" s="9"/>
      <c r="AP2119" s="9"/>
      <c r="AQ2119" s="9"/>
      <c r="AR2119" s="9"/>
      <c r="AS2119" s="9"/>
      <c r="AT2119" s="9"/>
      <c r="AU2119" s="9"/>
    </row>
    <row r="2120" spans="1:47" ht="15.75" customHeight="1">
      <c r="A2120" s="9"/>
      <c r="B2120" s="9"/>
      <c r="C2120" s="9"/>
      <c r="D2120" s="9"/>
      <c r="E2120" s="9"/>
      <c r="F2120" s="67"/>
      <c r="G2120" s="9"/>
      <c r="H2120" s="9"/>
      <c r="I2120" s="9"/>
      <c r="J2120" s="9"/>
      <c r="K2120" s="9"/>
      <c r="L2120" s="9"/>
      <c r="M2120" s="9"/>
      <c r="N2120" s="9"/>
      <c r="O2120" s="9"/>
      <c r="P2120" s="9"/>
      <c r="Q2120" s="9"/>
      <c r="R2120" s="9"/>
      <c r="S2120" s="9"/>
      <c r="T2120" s="9"/>
      <c r="U2120" s="9"/>
      <c r="V2120" s="9"/>
      <c r="W2120" s="9"/>
      <c r="X2120" s="9"/>
      <c r="Y2120" s="9"/>
      <c r="Z2120" s="9"/>
      <c r="AA2120" s="9"/>
      <c r="AB2120" s="9"/>
      <c r="AC2120" s="9"/>
      <c r="AD2120" s="9"/>
      <c r="AE2120" s="9"/>
      <c r="AF2120" s="9"/>
      <c r="AG2120" s="9"/>
      <c r="AH2120" s="9"/>
      <c r="AI2120" s="9"/>
      <c r="AJ2120" s="9"/>
      <c r="AK2120" s="9"/>
      <c r="AL2120" s="9"/>
      <c r="AM2120" s="9"/>
      <c r="AN2120" s="9"/>
      <c r="AO2120" s="9"/>
      <c r="AP2120" s="9"/>
      <c r="AQ2120" s="9"/>
      <c r="AR2120" s="9"/>
      <c r="AS2120" s="9"/>
      <c r="AT2120" s="9"/>
      <c r="AU2120" s="9"/>
    </row>
    <row r="2121" spans="1:47" ht="15.75" customHeight="1">
      <c r="A2121" s="9"/>
      <c r="B2121" s="9"/>
      <c r="C2121" s="9"/>
      <c r="D2121" s="9"/>
      <c r="E2121" s="9"/>
      <c r="F2121" s="67"/>
      <c r="G2121" s="9"/>
      <c r="H2121" s="9"/>
      <c r="I2121" s="9"/>
      <c r="J2121" s="9"/>
      <c r="K2121" s="9"/>
      <c r="L2121" s="9"/>
      <c r="M2121" s="9"/>
      <c r="N2121" s="9"/>
      <c r="O2121" s="9"/>
      <c r="P2121" s="9"/>
      <c r="Q2121" s="9"/>
      <c r="R2121" s="9"/>
      <c r="S2121" s="9"/>
      <c r="T2121" s="9"/>
      <c r="U2121" s="9"/>
      <c r="V2121" s="9"/>
      <c r="W2121" s="9"/>
      <c r="X2121" s="9"/>
      <c r="Y2121" s="9"/>
      <c r="Z2121" s="9"/>
      <c r="AA2121" s="9"/>
      <c r="AB2121" s="9"/>
      <c r="AC2121" s="9"/>
      <c r="AD2121" s="9"/>
      <c r="AE2121" s="9"/>
      <c r="AF2121" s="9"/>
      <c r="AG2121" s="9"/>
      <c r="AH2121" s="9"/>
      <c r="AI2121" s="9"/>
      <c r="AJ2121" s="9"/>
      <c r="AK2121" s="9"/>
      <c r="AL2121" s="9"/>
      <c r="AM2121" s="9"/>
      <c r="AN2121" s="9"/>
      <c r="AO2121" s="9"/>
      <c r="AP2121" s="9"/>
      <c r="AQ2121" s="9"/>
      <c r="AR2121" s="9"/>
      <c r="AS2121" s="9"/>
      <c r="AT2121" s="9"/>
      <c r="AU2121" s="9"/>
    </row>
    <row r="2122" spans="1:47" ht="15.75" customHeight="1">
      <c r="A2122" s="9"/>
      <c r="B2122" s="9"/>
      <c r="C2122" s="9"/>
      <c r="D2122" s="9"/>
      <c r="E2122" s="9"/>
      <c r="F2122" s="67"/>
      <c r="G2122" s="9"/>
      <c r="H2122" s="9"/>
      <c r="I2122" s="9"/>
      <c r="J2122" s="9"/>
      <c r="K2122" s="9"/>
      <c r="L2122" s="9"/>
      <c r="M2122" s="9"/>
      <c r="N2122" s="9"/>
      <c r="O2122" s="9"/>
      <c r="P2122" s="9"/>
      <c r="Q2122" s="9"/>
      <c r="R2122" s="9"/>
      <c r="S2122" s="9"/>
      <c r="T2122" s="9"/>
      <c r="U2122" s="9"/>
      <c r="V2122" s="9"/>
      <c r="W2122" s="9"/>
      <c r="X2122" s="9"/>
      <c r="Y2122" s="9"/>
      <c r="Z2122" s="9"/>
      <c r="AA2122" s="9"/>
      <c r="AB2122" s="9"/>
      <c r="AC2122" s="9"/>
      <c r="AD2122" s="9"/>
      <c r="AE2122" s="9"/>
      <c r="AF2122" s="9"/>
      <c r="AG2122" s="9"/>
      <c r="AH2122" s="9"/>
      <c r="AI2122" s="9"/>
      <c r="AJ2122" s="9"/>
      <c r="AK2122" s="9"/>
      <c r="AL2122" s="9"/>
      <c r="AM2122" s="9"/>
      <c r="AN2122" s="9"/>
      <c r="AO2122" s="9"/>
      <c r="AP2122" s="9"/>
      <c r="AQ2122" s="9"/>
      <c r="AR2122" s="9"/>
      <c r="AS2122" s="9"/>
      <c r="AT2122" s="9"/>
      <c r="AU2122" s="9"/>
    </row>
    <row r="2123" spans="1:47" ht="15.75" customHeight="1">
      <c r="A2123" s="9"/>
      <c r="B2123" s="9"/>
      <c r="C2123" s="9"/>
      <c r="D2123" s="9"/>
      <c r="E2123" s="9"/>
      <c r="F2123" s="67"/>
      <c r="G2123" s="9"/>
      <c r="H2123" s="9"/>
      <c r="I2123" s="9"/>
      <c r="J2123" s="9"/>
      <c r="K2123" s="9"/>
      <c r="L2123" s="9"/>
      <c r="M2123" s="9"/>
      <c r="N2123" s="9"/>
      <c r="O2123" s="9"/>
      <c r="P2123" s="9"/>
      <c r="Q2123" s="9"/>
      <c r="R2123" s="9"/>
      <c r="S2123" s="9"/>
      <c r="T2123" s="9"/>
      <c r="U2123" s="9"/>
      <c r="V2123" s="9"/>
      <c r="W2123" s="9"/>
      <c r="X2123" s="9"/>
      <c r="Y2123" s="9"/>
      <c r="Z2123" s="9"/>
      <c r="AA2123" s="9"/>
      <c r="AB2123" s="9"/>
      <c r="AC2123" s="9"/>
      <c r="AD2123" s="9"/>
      <c r="AE2123" s="9"/>
      <c r="AF2123" s="9"/>
      <c r="AG2123" s="9"/>
      <c r="AH2123" s="9"/>
      <c r="AI2123" s="9"/>
      <c r="AJ2123" s="9"/>
      <c r="AK2123" s="9"/>
      <c r="AL2123" s="9"/>
      <c r="AM2123" s="9"/>
      <c r="AN2123" s="9"/>
      <c r="AO2123" s="9"/>
      <c r="AP2123" s="9"/>
      <c r="AQ2123" s="9"/>
      <c r="AR2123" s="9"/>
      <c r="AS2123" s="9"/>
      <c r="AT2123" s="9"/>
      <c r="AU2123" s="9"/>
    </row>
    <row r="2124" spans="1:47" ht="15.75" customHeight="1">
      <c r="A2124" s="9"/>
      <c r="B2124" s="9"/>
      <c r="C2124" s="9"/>
      <c r="D2124" s="9"/>
      <c r="E2124" s="9"/>
      <c r="F2124" s="67"/>
      <c r="G2124" s="9"/>
      <c r="H2124" s="9"/>
      <c r="I2124" s="9"/>
      <c r="J2124" s="9"/>
      <c r="K2124" s="9"/>
      <c r="L2124" s="9"/>
      <c r="M2124" s="9"/>
      <c r="N2124" s="9"/>
      <c r="O2124" s="9"/>
      <c r="P2124" s="9"/>
      <c r="Q2124" s="9"/>
      <c r="R2124" s="9"/>
      <c r="S2124" s="9"/>
      <c r="T2124" s="9"/>
      <c r="U2124" s="9"/>
      <c r="V2124" s="9"/>
      <c r="W2124" s="9"/>
      <c r="X2124" s="9"/>
      <c r="Y2124" s="9"/>
      <c r="Z2124" s="9"/>
      <c r="AA2124" s="9"/>
      <c r="AB2124" s="9"/>
      <c r="AC2124" s="9"/>
      <c r="AD2124" s="9"/>
      <c r="AE2124" s="9"/>
      <c r="AF2124" s="9"/>
      <c r="AG2124" s="9"/>
      <c r="AH2124" s="9"/>
      <c r="AI2124" s="9"/>
      <c r="AJ2124" s="9"/>
      <c r="AK2124" s="9"/>
      <c r="AL2124" s="9"/>
      <c r="AM2124" s="9"/>
      <c r="AN2124" s="9"/>
      <c r="AO2124" s="9"/>
      <c r="AP2124" s="9"/>
      <c r="AQ2124" s="9"/>
      <c r="AR2124" s="9"/>
      <c r="AS2124" s="9"/>
      <c r="AT2124" s="9"/>
      <c r="AU2124" s="9"/>
    </row>
    <row r="2125" spans="1:47" ht="15.75" customHeight="1">
      <c r="A2125" s="9"/>
      <c r="B2125" s="9"/>
      <c r="C2125" s="9"/>
      <c r="D2125" s="9"/>
      <c r="E2125" s="9"/>
      <c r="F2125" s="67"/>
      <c r="G2125" s="9"/>
      <c r="H2125" s="9"/>
      <c r="I2125" s="9"/>
      <c r="J2125" s="9"/>
      <c r="K2125" s="9"/>
      <c r="L2125" s="9"/>
      <c r="M2125" s="9"/>
      <c r="N2125" s="9"/>
      <c r="O2125" s="9"/>
      <c r="P2125" s="9"/>
      <c r="Q2125" s="9"/>
      <c r="R2125" s="9"/>
      <c r="S2125" s="9"/>
      <c r="T2125" s="9"/>
      <c r="U2125" s="9"/>
      <c r="V2125" s="9"/>
      <c r="W2125" s="9"/>
      <c r="X2125" s="9"/>
      <c r="Y2125" s="9"/>
      <c r="Z2125" s="9"/>
      <c r="AA2125" s="9"/>
      <c r="AB2125" s="9"/>
      <c r="AC2125" s="9"/>
      <c r="AD2125" s="9"/>
      <c r="AE2125" s="9"/>
      <c r="AF2125" s="9"/>
      <c r="AG2125" s="9"/>
      <c r="AH2125" s="9"/>
      <c r="AI2125" s="9"/>
      <c r="AJ2125" s="9"/>
      <c r="AK2125" s="9"/>
      <c r="AL2125" s="9"/>
      <c r="AM2125" s="9"/>
      <c r="AN2125" s="9"/>
      <c r="AO2125" s="9"/>
      <c r="AP2125" s="9"/>
      <c r="AQ2125" s="9"/>
      <c r="AR2125" s="9"/>
      <c r="AS2125" s="9"/>
      <c r="AT2125" s="9"/>
      <c r="AU2125" s="9"/>
    </row>
    <row r="2126" spans="1:47" ht="15.75" customHeight="1">
      <c r="A2126" s="9"/>
      <c r="B2126" s="9"/>
      <c r="C2126" s="9"/>
      <c r="D2126" s="9"/>
      <c r="E2126" s="9"/>
      <c r="F2126" s="67"/>
      <c r="G2126" s="9"/>
      <c r="H2126" s="9"/>
      <c r="I2126" s="9"/>
      <c r="J2126" s="9"/>
      <c r="K2126" s="9"/>
      <c r="L2126" s="9"/>
      <c r="M2126" s="9"/>
      <c r="N2126" s="9"/>
      <c r="O2126" s="9"/>
      <c r="P2126" s="9"/>
      <c r="Q2126" s="9"/>
      <c r="R2126" s="9"/>
      <c r="S2126" s="9"/>
      <c r="T2126" s="9"/>
      <c r="U2126" s="9"/>
      <c r="V2126" s="9"/>
      <c r="W2126" s="9"/>
      <c r="X2126" s="9"/>
      <c r="Y2126" s="9"/>
      <c r="Z2126" s="9"/>
      <c r="AA2126" s="9"/>
      <c r="AB2126" s="9"/>
      <c r="AC2126" s="9"/>
      <c r="AD2126" s="9"/>
      <c r="AE2126" s="9"/>
      <c r="AF2126" s="9"/>
      <c r="AG2126" s="9"/>
      <c r="AH2126" s="9"/>
      <c r="AI2126" s="9"/>
      <c r="AJ2126" s="9"/>
      <c r="AK2126" s="9"/>
      <c r="AL2126" s="9"/>
      <c r="AM2126" s="9"/>
      <c r="AN2126" s="9"/>
      <c r="AO2126" s="9"/>
      <c r="AP2126" s="9"/>
      <c r="AQ2126" s="9"/>
      <c r="AR2126" s="9"/>
      <c r="AS2126" s="9"/>
      <c r="AT2126" s="9"/>
      <c r="AU2126" s="9"/>
    </row>
    <row r="2127" spans="1:47" ht="15.75" customHeight="1">
      <c r="A2127" s="9"/>
      <c r="B2127" s="9"/>
      <c r="C2127" s="9"/>
      <c r="D2127" s="9"/>
      <c r="E2127" s="9"/>
      <c r="F2127" s="67"/>
      <c r="G2127" s="9"/>
      <c r="H2127" s="9"/>
      <c r="I2127" s="9"/>
      <c r="J2127" s="9"/>
      <c r="K2127" s="9"/>
      <c r="L2127" s="9"/>
      <c r="M2127" s="9"/>
      <c r="N2127" s="9"/>
      <c r="O2127" s="9"/>
      <c r="P2127" s="9"/>
      <c r="Q2127" s="9"/>
      <c r="R2127" s="9"/>
      <c r="S2127" s="9"/>
      <c r="T2127" s="9"/>
      <c r="U2127" s="9"/>
      <c r="V2127" s="9"/>
      <c r="W2127" s="9"/>
      <c r="X2127" s="9"/>
      <c r="Y2127" s="9"/>
      <c r="Z2127" s="9"/>
      <c r="AA2127" s="9"/>
      <c r="AB2127" s="9"/>
      <c r="AC2127" s="9"/>
      <c r="AD2127" s="9"/>
      <c r="AE2127" s="9"/>
      <c r="AF2127" s="9"/>
      <c r="AG2127" s="9"/>
      <c r="AH2127" s="9"/>
      <c r="AI2127" s="9"/>
      <c r="AJ2127" s="9"/>
      <c r="AK2127" s="9"/>
      <c r="AL2127" s="9"/>
      <c r="AM2127" s="9"/>
      <c r="AN2127" s="9"/>
      <c r="AO2127" s="9"/>
      <c r="AP2127" s="9"/>
      <c r="AQ2127" s="9"/>
      <c r="AR2127" s="9"/>
      <c r="AS2127" s="9"/>
      <c r="AT2127" s="9"/>
      <c r="AU2127" s="9"/>
    </row>
    <row r="2128" spans="1:47" ht="15.75" customHeight="1">
      <c r="A2128" s="9"/>
      <c r="B2128" s="9"/>
      <c r="C2128" s="9"/>
      <c r="D2128" s="9"/>
      <c r="E2128" s="9"/>
      <c r="F2128" s="67"/>
      <c r="G2128" s="9"/>
      <c r="H2128" s="9"/>
      <c r="I2128" s="9"/>
      <c r="J2128" s="9"/>
      <c r="K2128" s="9"/>
      <c r="L2128" s="9"/>
      <c r="M2128" s="9"/>
      <c r="N2128" s="9"/>
      <c r="O2128" s="9"/>
      <c r="P2128" s="9"/>
      <c r="Q2128" s="9"/>
      <c r="R2128" s="9"/>
      <c r="S2128" s="9"/>
      <c r="T2128" s="9"/>
      <c r="U2128" s="9"/>
      <c r="V2128" s="9"/>
      <c r="W2128" s="9"/>
      <c r="X2128" s="9"/>
      <c r="Y2128" s="9"/>
      <c r="Z2128" s="9"/>
      <c r="AA2128" s="9"/>
      <c r="AB2128" s="9"/>
      <c r="AC2128" s="9"/>
      <c r="AD2128" s="9"/>
      <c r="AE2128" s="9"/>
      <c r="AF2128" s="9"/>
      <c r="AG2128" s="9"/>
      <c r="AH2128" s="9"/>
      <c r="AI2128" s="9"/>
      <c r="AJ2128" s="9"/>
      <c r="AK2128" s="9"/>
      <c r="AL2128" s="9"/>
      <c r="AM2128" s="9"/>
      <c r="AN2128" s="9"/>
      <c r="AO2128" s="9"/>
      <c r="AP2128" s="9"/>
      <c r="AQ2128" s="9"/>
      <c r="AR2128" s="9"/>
      <c r="AS2128" s="9"/>
      <c r="AT2128" s="9"/>
      <c r="AU2128" s="9"/>
    </row>
    <row r="2129" spans="1:47" ht="15.75" customHeight="1">
      <c r="A2129" s="9"/>
      <c r="B2129" s="9"/>
      <c r="C2129" s="9"/>
      <c r="D2129" s="9"/>
      <c r="E2129" s="9"/>
      <c r="F2129" s="67"/>
      <c r="G2129" s="9"/>
      <c r="H2129" s="9"/>
      <c r="I2129" s="9"/>
      <c r="J2129" s="9"/>
      <c r="K2129" s="9"/>
      <c r="L2129" s="9"/>
      <c r="M2129" s="9"/>
      <c r="N2129" s="9"/>
      <c r="O2129" s="9"/>
      <c r="P2129" s="9"/>
      <c r="Q2129" s="9"/>
      <c r="R2129" s="9"/>
      <c r="S2129" s="9"/>
      <c r="T2129" s="9"/>
      <c r="U2129" s="9"/>
      <c r="V2129" s="9"/>
      <c r="W2129" s="9"/>
      <c r="X2129" s="9"/>
      <c r="Y2129" s="9"/>
      <c r="Z2129" s="9"/>
      <c r="AA2129" s="9"/>
      <c r="AB2129" s="9"/>
      <c r="AC2129" s="9"/>
      <c r="AD2129" s="9"/>
      <c r="AE2129" s="9"/>
      <c r="AF2129" s="9"/>
      <c r="AG2129" s="9"/>
      <c r="AH2129" s="9"/>
      <c r="AI2129" s="9"/>
      <c r="AJ2129" s="9"/>
      <c r="AK2129" s="9"/>
      <c r="AL2129" s="9"/>
      <c r="AM2129" s="9"/>
      <c r="AN2129" s="9"/>
      <c r="AO2129" s="9"/>
      <c r="AP2129" s="9"/>
      <c r="AQ2129" s="9"/>
      <c r="AR2129" s="9"/>
      <c r="AS2129" s="9"/>
      <c r="AT2129" s="9"/>
      <c r="AU2129" s="9"/>
    </row>
    <row r="2130" spans="1:47" ht="15.75" customHeight="1">
      <c r="A2130" s="9"/>
      <c r="B2130" s="9"/>
      <c r="C2130" s="9"/>
      <c r="D2130" s="9"/>
      <c r="E2130" s="9"/>
      <c r="F2130" s="67"/>
      <c r="G2130" s="9"/>
      <c r="H2130" s="9"/>
      <c r="I2130" s="9"/>
      <c r="J2130" s="9"/>
      <c r="K2130" s="9"/>
      <c r="L2130" s="9"/>
      <c r="M2130" s="9"/>
      <c r="N2130" s="9"/>
      <c r="O2130" s="9"/>
      <c r="P2130" s="9"/>
      <c r="Q2130" s="9"/>
      <c r="R2130" s="9"/>
      <c r="S2130" s="9"/>
      <c r="T2130" s="9"/>
      <c r="U2130" s="9"/>
      <c r="V2130" s="9"/>
      <c r="W2130" s="9"/>
      <c r="X2130" s="9"/>
      <c r="Y2130" s="9"/>
      <c r="Z2130" s="9"/>
      <c r="AA2130" s="9"/>
      <c r="AB2130" s="9"/>
      <c r="AC2130" s="9"/>
      <c r="AD2130" s="9"/>
      <c r="AE2130" s="9"/>
      <c r="AF2130" s="9"/>
      <c r="AG2130" s="9"/>
      <c r="AH2130" s="9"/>
      <c r="AI2130" s="9"/>
      <c r="AJ2130" s="9"/>
      <c r="AK2130" s="9"/>
      <c r="AL2130" s="9"/>
      <c r="AM2130" s="9"/>
      <c r="AN2130" s="9"/>
      <c r="AO2130" s="9"/>
      <c r="AP2130" s="9"/>
      <c r="AQ2130" s="9"/>
      <c r="AR2130" s="9"/>
      <c r="AS2130" s="9"/>
      <c r="AT2130" s="9"/>
      <c r="AU2130" s="9"/>
    </row>
    <row r="2131" spans="1:47" ht="15.75" customHeight="1">
      <c r="A2131" s="9"/>
      <c r="B2131" s="9"/>
      <c r="C2131" s="9"/>
      <c r="D2131" s="9"/>
      <c r="E2131" s="9"/>
      <c r="F2131" s="67"/>
      <c r="G2131" s="9"/>
      <c r="H2131" s="9"/>
      <c r="I2131" s="9"/>
      <c r="J2131" s="9"/>
      <c r="K2131" s="9"/>
      <c r="L2131" s="9"/>
      <c r="M2131" s="9"/>
      <c r="N2131" s="9"/>
      <c r="O2131" s="9"/>
      <c r="P2131" s="9"/>
      <c r="Q2131" s="9"/>
      <c r="R2131" s="9"/>
      <c r="S2131" s="9"/>
      <c r="T2131" s="9"/>
      <c r="U2131" s="9"/>
      <c r="V2131" s="9"/>
      <c r="W2131" s="9"/>
      <c r="X2131" s="9"/>
      <c r="Y2131" s="9"/>
      <c r="Z2131" s="9"/>
      <c r="AA2131" s="9"/>
      <c r="AB2131" s="9"/>
      <c r="AC2131" s="9"/>
      <c r="AD2131" s="9"/>
      <c r="AE2131" s="9"/>
      <c r="AF2131" s="9"/>
      <c r="AG2131" s="9"/>
      <c r="AH2131" s="9"/>
      <c r="AI2131" s="9"/>
      <c r="AJ2131" s="9"/>
      <c r="AK2131" s="9"/>
      <c r="AL2131" s="9"/>
      <c r="AM2131" s="9"/>
      <c r="AN2131" s="9"/>
      <c r="AO2131" s="9"/>
      <c r="AP2131" s="9"/>
      <c r="AQ2131" s="9"/>
      <c r="AR2131" s="9"/>
      <c r="AS2131" s="9"/>
      <c r="AT2131" s="9"/>
      <c r="AU2131" s="9"/>
    </row>
    <row r="2132" spans="1:47" ht="15.75" customHeight="1">
      <c r="A2132" s="9"/>
      <c r="B2132" s="9"/>
      <c r="C2132" s="9"/>
      <c r="D2132" s="9"/>
      <c r="E2132" s="9"/>
      <c r="F2132" s="67"/>
      <c r="G2132" s="9"/>
      <c r="H2132" s="9"/>
      <c r="I2132" s="9"/>
      <c r="J2132" s="9"/>
      <c r="K2132" s="9"/>
      <c r="L2132" s="9"/>
      <c r="M2132" s="9"/>
      <c r="N2132" s="9"/>
      <c r="O2132" s="9"/>
      <c r="P2132" s="9"/>
      <c r="Q2132" s="9"/>
      <c r="R2132" s="9"/>
      <c r="S2132" s="9"/>
      <c r="T2132" s="9"/>
      <c r="U2132" s="9"/>
      <c r="V2132" s="9"/>
      <c r="W2132" s="9"/>
      <c r="X2132" s="9"/>
      <c r="Y2132" s="9"/>
      <c r="Z2132" s="9"/>
      <c r="AA2132" s="9"/>
      <c r="AB2132" s="9"/>
      <c r="AC2132" s="9"/>
      <c r="AD2132" s="9"/>
      <c r="AE2132" s="9"/>
      <c r="AF2132" s="9"/>
      <c r="AG2132" s="9"/>
      <c r="AH2132" s="9"/>
      <c r="AI2132" s="9"/>
      <c r="AJ2132" s="9"/>
      <c r="AK2132" s="9"/>
      <c r="AL2132" s="9"/>
      <c r="AM2132" s="9"/>
      <c r="AN2132" s="9"/>
      <c r="AO2132" s="9"/>
      <c r="AP2132" s="9"/>
      <c r="AQ2132" s="9"/>
      <c r="AR2132" s="9"/>
      <c r="AS2132" s="9"/>
      <c r="AT2132" s="9"/>
      <c r="AU2132" s="9"/>
    </row>
    <row r="2133" spans="1:47" ht="15.75" customHeight="1">
      <c r="A2133" s="9"/>
      <c r="B2133" s="9"/>
      <c r="C2133" s="9"/>
      <c r="D2133" s="9"/>
      <c r="E2133" s="9"/>
      <c r="F2133" s="67"/>
      <c r="G2133" s="9"/>
      <c r="H2133" s="9"/>
      <c r="I2133" s="9"/>
      <c r="J2133" s="9"/>
      <c r="K2133" s="9"/>
      <c r="L2133" s="9"/>
      <c r="M2133" s="9"/>
      <c r="N2133" s="9"/>
      <c r="O2133" s="9"/>
      <c r="P2133" s="9"/>
      <c r="Q2133" s="9"/>
      <c r="R2133" s="9"/>
      <c r="S2133" s="9"/>
      <c r="T2133" s="9"/>
      <c r="U2133" s="9"/>
      <c r="V2133" s="9"/>
      <c r="W2133" s="9"/>
      <c r="X2133" s="9"/>
      <c r="Y2133" s="9"/>
      <c r="Z2133" s="9"/>
      <c r="AA2133" s="9"/>
      <c r="AB2133" s="9"/>
      <c r="AC2133" s="9"/>
      <c r="AD2133" s="9"/>
      <c r="AE2133" s="9"/>
      <c r="AF2133" s="9"/>
      <c r="AG2133" s="9"/>
      <c r="AH2133" s="9"/>
      <c r="AI2133" s="9"/>
      <c r="AJ2133" s="9"/>
      <c r="AK2133" s="9"/>
      <c r="AL2133" s="9"/>
      <c r="AM2133" s="9"/>
      <c r="AN2133" s="9"/>
      <c r="AO2133" s="9"/>
      <c r="AP2133" s="9"/>
      <c r="AQ2133" s="9"/>
      <c r="AR2133" s="9"/>
      <c r="AS2133" s="9"/>
      <c r="AT2133" s="9"/>
      <c r="AU2133" s="9"/>
    </row>
    <row r="2134" spans="1:47" ht="15.75" customHeight="1">
      <c r="A2134" s="9"/>
      <c r="B2134" s="9"/>
      <c r="C2134" s="9"/>
      <c r="D2134" s="9"/>
      <c r="E2134" s="9"/>
      <c r="F2134" s="67"/>
      <c r="G2134" s="9"/>
      <c r="H2134" s="9"/>
      <c r="I2134" s="9"/>
      <c r="J2134" s="9"/>
      <c r="K2134" s="9"/>
      <c r="L2134" s="9"/>
      <c r="M2134" s="9"/>
      <c r="N2134" s="9"/>
      <c r="O2134" s="9"/>
      <c r="P2134" s="9"/>
      <c r="Q2134" s="9"/>
      <c r="R2134" s="9"/>
      <c r="S2134" s="9"/>
      <c r="T2134" s="9"/>
      <c r="U2134" s="9"/>
      <c r="V2134" s="9"/>
      <c r="W2134" s="9"/>
      <c r="X2134" s="9"/>
      <c r="Y2134" s="9"/>
      <c r="Z2134" s="9"/>
      <c r="AA2134" s="9"/>
      <c r="AB2134" s="9"/>
      <c r="AC2134" s="9"/>
      <c r="AD2134" s="9"/>
      <c r="AE2134" s="9"/>
      <c r="AF2134" s="9"/>
      <c r="AG2134" s="9"/>
      <c r="AH2134" s="9"/>
      <c r="AI2134" s="9"/>
      <c r="AJ2134" s="9"/>
      <c r="AK2134" s="9"/>
      <c r="AL2134" s="9"/>
      <c r="AM2134" s="9"/>
      <c r="AN2134" s="9"/>
      <c r="AO2134" s="9"/>
      <c r="AP2134" s="9"/>
      <c r="AQ2134" s="9"/>
      <c r="AR2134" s="9"/>
      <c r="AS2134" s="9"/>
      <c r="AT2134" s="9"/>
      <c r="AU2134" s="9"/>
    </row>
    <row r="2135" spans="1:47" ht="15.75" customHeight="1">
      <c r="A2135" s="9"/>
      <c r="B2135" s="9"/>
      <c r="C2135" s="9"/>
      <c r="D2135" s="9"/>
      <c r="E2135" s="9"/>
      <c r="F2135" s="67"/>
      <c r="G2135" s="9"/>
      <c r="H2135" s="9"/>
      <c r="I2135" s="9"/>
      <c r="J2135" s="9"/>
      <c r="K2135" s="9"/>
      <c r="L2135" s="9"/>
      <c r="M2135" s="9"/>
      <c r="N2135" s="9"/>
      <c r="O2135" s="9"/>
      <c r="P2135" s="9"/>
      <c r="Q2135" s="9"/>
      <c r="R2135" s="9"/>
      <c r="S2135" s="9"/>
      <c r="T2135" s="9"/>
      <c r="U2135" s="9"/>
      <c r="V2135" s="9"/>
      <c r="W2135" s="9"/>
      <c r="X2135" s="9"/>
      <c r="Y2135" s="9"/>
      <c r="Z2135" s="9"/>
      <c r="AA2135" s="9"/>
      <c r="AB2135" s="9"/>
      <c r="AC2135" s="9"/>
      <c r="AD2135" s="9"/>
      <c r="AE2135" s="9"/>
      <c r="AF2135" s="9"/>
      <c r="AG2135" s="9"/>
      <c r="AH2135" s="9"/>
      <c r="AI2135" s="9"/>
      <c r="AJ2135" s="9"/>
      <c r="AK2135" s="9"/>
      <c r="AL2135" s="9"/>
      <c r="AM2135" s="9"/>
      <c r="AN2135" s="9"/>
      <c r="AO2135" s="9"/>
      <c r="AP2135" s="9"/>
      <c r="AQ2135" s="9"/>
      <c r="AR2135" s="9"/>
      <c r="AS2135" s="9"/>
      <c r="AT2135" s="9"/>
      <c r="AU2135" s="9"/>
    </row>
    <row r="2136" spans="1:47" ht="15.75" customHeight="1">
      <c r="A2136" s="9"/>
      <c r="B2136" s="9"/>
      <c r="C2136" s="9"/>
      <c r="D2136" s="9"/>
      <c r="E2136" s="9"/>
      <c r="F2136" s="67"/>
      <c r="G2136" s="9"/>
      <c r="H2136" s="9"/>
      <c r="I2136" s="9"/>
      <c r="J2136" s="9"/>
      <c r="K2136" s="9"/>
      <c r="L2136" s="9"/>
      <c r="M2136" s="9"/>
      <c r="N2136" s="9"/>
      <c r="O2136" s="9"/>
      <c r="P2136" s="9"/>
      <c r="Q2136" s="9"/>
      <c r="R2136" s="9"/>
      <c r="S2136" s="9"/>
      <c r="T2136" s="9"/>
      <c r="U2136" s="9"/>
      <c r="V2136" s="9"/>
      <c r="W2136" s="9"/>
      <c r="X2136" s="9"/>
      <c r="Y2136" s="9"/>
      <c r="Z2136" s="9"/>
      <c r="AA2136" s="9"/>
      <c r="AB2136" s="9"/>
      <c r="AC2136" s="9"/>
      <c r="AD2136" s="9"/>
      <c r="AE2136" s="9"/>
      <c r="AF2136" s="9"/>
      <c r="AG2136" s="9"/>
      <c r="AH2136" s="9"/>
      <c r="AI2136" s="9"/>
      <c r="AJ2136" s="9"/>
      <c r="AK2136" s="9"/>
      <c r="AL2136" s="9"/>
      <c r="AM2136" s="9"/>
      <c r="AN2136" s="9"/>
      <c r="AO2136" s="9"/>
      <c r="AP2136" s="9"/>
      <c r="AQ2136" s="9"/>
      <c r="AR2136" s="9"/>
      <c r="AS2136" s="9"/>
      <c r="AT2136" s="9"/>
      <c r="AU2136" s="9"/>
    </row>
    <row r="2137" spans="1:47" ht="15.75" customHeight="1">
      <c r="A2137" s="9"/>
      <c r="B2137" s="9"/>
      <c r="C2137" s="9"/>
      <c r="D2137" s="9"/>
      <c r="E2137" s="9"/>
      <c r="F2137" s="67"/>
      <c r="G2137" s="9"/>
      <c r="H2137" s="9"/>
      <c r="I2137" s="9"/>
      <c r="J2137" s="9"/>
      <c r="K2137" s="9"/>
      <c r="L2137" s="9"/>
      <c r="M2137" s="9"/>
      <c r="N2137" s="9"/>
      <c r="O2137" s="9"/>
      <c r="P2137" s="9"/>
      <c r="Q2137" s="9"/>
      <c r="R2137" s="9"/>
      <c r="S2137" s="9"/>
      <c r="T2137" s="9"/>
      <c r="U2137" s="9"/>
      <c r="V2137" s="9"/>
      <c r="W2137" s="9"/>
      <c r="X2137" s="9"/>
      <c r="Y2137" s="9"/>
      <c r="Z2137" s="9"/>
      <c r="AA2137" s="9"/>
      <c r="AB2137" s="9"/>
      <c r="AC2137" s="9"/>
      <c r="AD2137" s="9"/>
      <c r="AE2137" s="9"/>
      <c r="AF2137" s="9"/>
      <c r="AG2137" s="9"/>
      <c r="AH2137" s="9"/>
      <c r="AI2137" s="9"/>
      <c r="AJ2137" s="9"/>
      <c r="AK2137" s="9"/>
      <c r="AL2137" s="9"/>
      <c r="AM2137" s="9"/>
      <c r="AN2137" s="9"/>
      <c r="AO2137" s="9"/>
      <c r="AP2137" s="9"/>
      <c r="AQ2137" s="9"/>
      <c r="AR2137" s="9"/>
      <c r="AS2137" s="9"/>
      <c r="AT2137" s="9"/>
      <c r="AU2137" s="9"/>
    </row>
    <row r="2138" spans="1:47" ht="15.75" customHeight="1">
      <c r="A2138" s="9"/>
      <c r="B2138" s="9"/>
      <c r="C2138" s="9"/>
      <c r="D2138" s="9"/>
      <c r="E2138" s="9"/>
      <c r="F2138" s="67"/>
      <c r="G2138" s="9"/>
      <c r="H2138" s="9"/>
      <c r="I2138" s="9"/>
      <c r="J2138" s="9"/>
      <c r="K2138" s="9"/>
      <c r="L2138" s="9"/>
      <c r="M2138" s="9"/>
      <c r="N2138" s="9"/>
      <c r="O2138" s="9"/>
      <c r="P2138" s="9"/>
      <c r="Q2138" s="9"/>
      <c r="R2138" s="9"/>
      <c r="S2138" s="9"/>
      <c r="T2138" s="9"/>
      <c r="U2138" s="9"/>
      <c r="V2138" s="9"/>
      <c r="W2138" s="9"/>
      <c r="X2138" s="9"/>
      <c r="Y2138" s="9"/>
      <c r="Z2138" s="9"/>
      <c r="AA2138" s="9"/>
      <c r="AB2138" s="9"/>
      <c r="AC2138" s="9"/>
      <c r="AD2138" s="9"/>
      <c r="AE2138" s="9"/>
      <c r="AF2138" s="9"/>
      <c r="AG2138" s="9"/>
      <c r="AH2138" s="9"/>
      <c r="AI2138" s="9"/>
      <c r="AJ2138" s="9"/>
      <c r="AK2138" s="9"/>
      <c r="AL2138" s="9"/>
      <c r="AM2138" s="9"/>
      <c r="AN2138" s="9"/>
      <c r="AO2138" s="9"/>
      <c r="AP2138" s="9"/>
      <c r="AQ2138" s="9"/>
      <c r="AR2138" s="9"/>
      <c r="AS2138" s="9"/>
      <c r="AT2138" s="9"/>
      <c r="AU2138" s="9"/>
    </row>
    <row r="2139" spans="1:47" ht="15.75" customHeight="1">
      <c r="A2139" s="9"/>
      <c r="B2139" s="9"/>
      <c r="C2139" s="9"/>
      <c r="D2139" s="9"/>
      <c r="E2139" s="9"/>
      <c r="F2139" s="67"/>
      <c r="G2139" s="9"/>
      <c r="H2139" s="9"/>
      <c r="I2139" s="9"/>
      <c r="J2139" s="9"/>
      <c r="K2139" s="9"/>
      <c r="L2139" s="9"/>
      <c r="M2139" s="9"/>
      <c r="N2139" s="9"/>
      <c r="O2139" s="9"/>
      <c r="P2139" s="9"/>
      <c r="Q2139" s="9"/>
      <c r="R2139" s="9"/>
      <c r="S2139" s="9"/>
      <c r="T2139" s="9"/>
      <c r="U2139" s="9"/>
      <c r="V2139" s="9"/>
      <c r="W2139" s="9"/>
      <c r="X2139" s="9"/>
      <c r="Y2139" s="9"/>
      <c r="Z2139" s="9"/>
      <c r="AA2139" s="9"/>
      <c r="AB2139" s="9"/>
      <c r="AC2139" s="9"/>
      <c r="AD2139" s="9"/>
      <c r="AE2139" s="9"/>
      <c r="AF2139" s="9"/>
      <c r="AG2139" s="9"/>
      <c r="AH2139" s="9"/>
      <c r="AI2139" s="9"/>
      <c r="AJ2139" s="9"/>
      <c r="AK2139" s="9"/>
      <c r="AL2139" s="9"/>
      <c r="AM2139" s="9"/>
      <c r="AN2139" s="9"/>
      <c r="AO2139" s="9"/>
      <c r="AP2139" s="9"/>
      <c r="AQ2139" s="9"/>
      <c r="AR2139" s="9"/>
      <c r="AS2139" s="9"/>
      <c r="AT2139" s="9"/>
      <c r="AU2139" s="9"/>
    </row>
    <row r="2140" spans="1:47" ht="15.75" customHeight="1">
      <c r="A2140" s="9"/>
      <c r="B2140" s="9"/>
      <c r="C2140" s="9"/>
      <c r="D2140" s="9"/>
      <c r="E2140" s="9"/>
      <c r="F2140" s="67"/>
      <c r="G2140" s="9"/>
      <c r="H2140" s="9"/>
      <c r="I2140" s="9"/>
      <c r="J2140" s="9"/>
      <c r="K2140" s="9"/>
      <c r="L2140" s="9"/>
      <c r="M2140" s="9"/>
      <c r="N2140" s="9"/>
      <c r="O2140" s="9"/>
      <c r="P2140" s="9"/>
      <c r="Q2140" s="9"/>
      <c r="R2140" s="9"/>
      <c r="S2140" s="9"/>
      <c r="T2140" s="9"/>
      <c r="U2140" s="9"/>
      <c r="V2140" s="9"/>
      <c r="W2140" s="9"/>
      <c r="X2140" s="9"/>
      <c r="Y2140" s="9"/>
      <c r="Z2140" s="9"/>
      <c r="AA2140" s="9"/>
      <c r="AB2140" s="9"/>
      <c r="AC2140" s="9"/>
      <c r="AD2140" s="9"/>
      <c r="AE2140" s="9"/>
      <c r="AF2140" s="9"/>
      <c r="AG2140" s="9"/>
      <c r="AH2140" s="9"/>
      <c r="AI2140" s="9"/>
      <c r="AJ2140" s="9"/>
      <c r="AK2140" s="9"/>
      <c r="AL2140" s="9"/>
      <c r="AM2140" s="9"/>
      <c r="AN2140" s="9"/>
      <c r="AO2140" s="9"/>
      <c r="AP2140" s="9"/>
      <c r="AQ2140" s="9"/>
      <c r="AR2140" s="9"/>
      <c r="AS2140" s="9"/>
      <c r="AT2140" s="9"/>
      <c r="AU2140" s="9"/>
    </row>
    <row r="2141" spans="1:47" ht="15.75" customHeight="1">
      <c r="A2141" s="9"/>
      <c r="B2141" s="9"/>
      <c r="C2141" s="9"/>
      <c r="D2141" s="9"/>
      <c r="E2141" s="9"/>
      <c r="F2141" s="67"/>
      <c r="G2141" s="9"/>
      <c r="H2141" s="9"/>
      <c r="I2141" s="9"/>
      <c r="J2141" s="9"/>
      <c r="K2141" s="9"/>
      <c r="L2141" s="9"/>
      <c r="M2141" s="9"/>
      <c r="N2141" s="9"/>
      <c r="O2141" s="9"/>
      <c r="P2141" s="9"/>
      <c r="Q2141" s="9"/>
      <c r="R2141" s="9"/>
      <c r="S2141" s="9"/>
      <c r="T2141" s="9"/>
      <c r="U2141" s="9"/>
      <c r="V2141" s="9"/>
      <c r="W2141" s="9"/>
      <c r="X2141" s="9"/>
      <c r="Y2141" s="9"/>
      <c r="Z2141" s="9"/>
      <c r="AA2141" s="9"/>
      <c r="AB2141" s="9"/>
      <c r="AC2141" s="9"/>
      <c r="AD2141" s="9"/>
      <c r="AE2141" s="9"/>
      <c r="AF2141" s="9"/>
      <c r="AG2141" s="9"/>
      <c r="AH2141" s="9"/>
      <c r="AI2141" s="9"/>
      <c r="AJ2141" s="9"/>
      <c r="AK2141" s="9"/>
      <c r="AL2141" s="9"/>
      <c r="AM2141" s="9"/>
      <c r="AN2141" s="9"/>
      <c r="AO2141" s="9"/>
      <c r="AP2141" s="9"/>
      <c r="AQ2141" s="9"/>
      <c r="AR2141" s="9"/>
      <c r="AS2141" s="9"/>
      <c r="AT2141" s="9"/>
      <c r="AU2141" s="9"/>
    </row>
    <row r="2142" spans="1:47" ht="15.75" customHeight="1">
      <c r="A2142" s="9"/>
      <c r="B2142" s="9"/>
      <c r="C2142" s="9"/>
      <c r="D2142" s="9"/>
      <c r="E2142" s="9"/>
      <c r="F2142" s="67"/>
      <c r="G2142" s="9"/>
      <c r="H2142" s="9"/>
      <c r="I2142" s="9"/>
      <c r="J2142" s="9"/>
      <c r="K2142" s="9"/>
      <c r="L2142" s="9"/>
      <c r="M2142" s="9"/>
      <c r="N2142" s="9"/>
      <c r="O2142" s="9"/>
      <c r="P2142" s="9"/>
      <c r="Q2142" s="9"/>
      <c r="R2142" s="9"/>
      <c r="S2142" s="9"/>
      <c r="T2142" s="9"/>
      <c r="U2142" s="9"/>
      <c r="V2142" s="9"/>
      <c r="W2142" s="9"/>
      <c r="X2142" s="9"/>
      <c r="Y2142" s="9"/>
      <c r="Z2142" s="9"/>
      <c r="AA2142" s="9"/>
      <c r="AB2142" s="9"/>
      <c r="AC2142" s="9"/>
      <c r="AD2142" s="9"/>
      <c r="AE2142" s="9"/>
      <c r="AF2142" s="9"/>
      <c r="AG2142" s="9"/>
      <c r="AH2142" s="9"/>
      <c r="AI2142" s="9"/>
      <c r="AJ2142" s="9"/>
      <c r="AK2142" s="9"/>
      <c r="AL2142" s="9"/>
      <c r="AM2142" s="9"/>
      <c r="AN2142" s="9"/>
      <c r="AO2142" s="9"/>
      <c r="AP2142" s="9"/>
      <c r="AQ2142" s="9"/>
      <c r="AR2142" s="9"/>
      <c r="AS2142" s="9"/>
      <c r="AT2142" s="9"/>
      <c r="AU2142" s="9"/>
    </row>
    <row r="2143" spans="1:47" ht="15.75" customHeight="1">
      <c r="A2143" s="9"/>
      <c r="B2143" s="9"/>
      <c r="C2143" s="9"/>
      <c r="D2143" s="9"/>
      <c r="E2143" s="9"/>
      <c r="F2143" s="67"/>
      <c r="G2143" s="9"/>
      <c r="H2143" s="9"/>
      <c r="I2143" s="9"/>
      <c r="J2143" s="9"/>
      <c r="K2143" s="9"/>
      <c r="L2143" s="9"/>
      <c r="M2143" s="9"/>
      <c r="N2143" s="9"/>
      <c r="O2143" s="9"/>
      <c r="P2143" s="9"/>
      <c r="Q2143" s="9"/>
      <c r="R2143" s="9"/>
      <c r="S2143" s="9"/>
      <c r="T2143" s="9"/>
      <c r="U2143" s="9"/>
      <c r="V2143" s="9"/>
      <c r="W2143" s="9"/>
      <c r="X2143" s="9"/>
      <c r="Y2143" s="9"/>
      <c r="Z2143" s="9"/>
      <c r="AA2143" s="9"/>
      <c r="AB2143" s="9"/>
      <c r="AC2143" s="9"/>
      <c r="AD2143" s="9"/>
      <c r="AE2143" s="9"/>
      <c r="AF2143" s="9"/>
      <c r="AG2143" s="9"/>
      <c r="AH2143" s="9"/>
      <c r="AI2143" s="9"/>
      <c r="AJ2143" s="9"/>
      <c r="AK2143" s="9"/>
      <c r="AL2143" s="9"/>
      <c r="AM2143" s="9"/>
      <c r="AN2143" s="9"/>
      <c r="AO2143" s="9"/>
      <c r="AP2143" s="9"/>
      <c r="AQ2143" s="9"/>
      <c r="AR2143" s="9"/>
      <c r="AS2143" s="9"/>
      <c r="AT2143" s="9"/>
      <c r="AU2143" s="9"/>
    </row>
    <row r="2144" spans="1:47" ht="15.75" customHeight="1">
      <c r="A2144" s="9"/>
      <c r="B2144" s="9"/>
      <c r="C2144" s="9"/>
      <c r="D2144" s="9"/>
      <c r="E2144" s="9"/>
      <c r="F2144" s="67"/>
      <c r="G2144" s="9"/>
      <c r="H2144" s="9"/>
      <c r="I2144" s="9"/>
      <c r="J2144" s="9"/>
      <c r="K2144" s="9"/>
      <c r="L2144" s="9"/>
      <c r="M2144" s="9"/>
      <c r="N2144" s="9"/>
      <c r="O2144" s="9"/>
      <c r="P2144" s="9"/>
      <c r="Q2144" s="9"/>
      <c r="R2144" s="9"/>
      <c r="S2144" s="9"/>
      <c r="T2144" s="9"/>
      <c r="U2144" s="9"/>
      <c r="V2144" s="9"/>
      <c r="W2144" s="9"/>
      <c r="X2144" s="9"/>
      <c r="Y2144" s="9"/>
      <c r="Z2144" s="9"/>
      <c r="AA2144" s="9"/>
      <c r="AB2144" s="9"/>
      <c r="AC2144" s="9"/>
      <c r="AD2144" s="9"/>
      <c r="AE2144" s="9"/>
      <c r="AF2144" s="9"/>
      <c r="AG2144" s="9"/>
      <c r="AH2144" s="9"/>
      <c r="AI2144" s="9"/>
      <c r="AJ2144" s="9"/>
      <c r="AK2144" s="9"/>
      <c r="AL2144" s="9"/>
      <c r="AM2144" s="9"/>
      <c r="AN2144" s="9"/>
      <c r="AO2144" s="9"/>
      <c r="AP2144" s="9"/>
      <c r="AQ2144" s="9"/>
      <c r="AR2144" s="9"/>
      <c r="AS2144" s="9"/>
      <c r="AT2144" s="9"/>
      <c r="AU2144" s="9"/>
    </row>
    <row r="2145" spans="1:47" ht="15.75" customHeight="1">
      <c r="A2145" s="9"/>
      <c r="B2145" s="9"/>
      <c r="C2145" s="9"/>
      <c r="D2145" s="9"/>
      <c r="E2145" s="9"/>
      <c r="F2145" s="67"/>
      <c r="G2145" s="9"/>
      <c r="H2145" s="9"/>
      <c r="I2145" s="9"/>
      <c r="J2145" s="9"/>
      <c r="K2145" s="9"/>
      <c r="L2145" s="9"/>
      <c r="M2145" s="9"/>
      <c r="N2145" s="9"/>
      <c r="O2145" s="9"/>
      <c r="P2145" s="9"/>
      <c r="Q2145" s="9"/>
      <c r="R2145" s="9"/>
      <c r="S2145" s="9"/>
      <c r="T2145" s="9"/>
      <c r="U2145" s="9"/>
      <c r="V2145" s="9"/>
      <c r="W2145" s="9"/>
      <c r="X2145" s="9"/>
      <c r="Y2145" s="9"/>
      <c r="Z2145" s="9"/>
      <c r="AA2145" s="9"/>
      <c r="AB2145" s="9"/>
      <c r="AC2145" s="9"/>
      <c r="AD2145" s="9"/>
      <c r="AE2145" s="9"/>
      <c r="AF2145" s="9"/>
      <c r="AG2145" s="9"/>
      <c r="AH2145" s="9"/>
      <c r="AI2145" s="9"/>
      <c r="AJ2145" s="9"/>
      <c r="AK2145" s="9"/>
      <c r="AL2145" s="9"/>
      <c r="AM2145" s="9"/>
      <c r="AN2145" s="9"/>
      <c r="AO2145" s="9"/>
      <c r="AP2145" s="9"/>
      <c r="AQ2145" s="9"/>
      <c r="AR2145" s="9"/>
      <c r="AS2145" s="9"/>
      <c r="AT2145" s="9"/>
      <c r="AU2145" s="9"/>
    </row>
    <row r="2146" spans="1:47" ht="15.75" customHeight="1">
      <c r="A2146" s="9"/>
      <c r="B2146" s="9"/>
      <c r="C2146" s="9"/>
      <c r="D2146" s="9"/>
      <c r="E2146" s="9"/>
      <c r="F2146" s="67"/>
      <c r="G2146" s="9"/>
      <c r="H2146" s="9"/>
      <c r="I2146" s="9"/>
      <c r="J2146" s="9"/>
      <c r="K2146" s="9"/>
      <c r="L2146" s="9"/>
      <c r="M2146" s="9"/>
      <c r="N2146" s="9"/>
      <c r="O2146" s="9"/>
      <c r="P2146" s="9"/>
      <c r="Q2146" s="9"/>
      <c r="R2146" s="9"/>
      <c r="S2146" s="9"/>
      <c r="T2146" s="9"/>
      <c r="U2146" s="9"/>
      <c r="V2146" s="9"/>
      <c r="W2146" s="9"/>
      <c r="X2146" s="9"/>
      <c r="Y2146" s="9"/>
      <c r="Z2146" s="9"/>
      <c r="AA2146" s="9"/>
      <c r="AB2146" s="9"/>
      <c r="AC2146" s="9"/>
      <c r="AD2146" s="9"/>
      <c r="AE2146" s="9"/>
      <c r="AF2146" s="9"/>
      <c r="AG2146" s="9"/>
      <c r="AH2146" s="9"/>
      <c r="AI2146" s="9"/>
      <c r="AJ2146" s="9"/>
      <c r="AK2146" s="9"/>
      <c r="AL2146" s="9"/>
      <c r="AM2146" s="9"/>
      <c r="AN2146" s="9"/>
      <c r="AO2146" s="9"/>
      <c r="AP2146" s="9"/>
      <c r="AQ2146" s="9"/>
      <c r="AR2146" s="9"/>
      <c r="AS2146" s="9"/>
      <c r="AT2146" s="9"/>
      <c r="AU2146" s="9"/>
    </row>
    <row r="2147" spans="1:47" ht="15.75" customHeight="1">
      <c r="A2147" s="9"/>
      <c r="B2147" s="9"/>
      <c r="C2147" s="9"/>
      <c r="D2147" s="9"/>
      <c r="E2147" s="9"/>
      <c r="F2147" s="67"/>
      <c r="G2147" s="9"/>
      <c r="H2147" s="9"/>
      <c r="I2147" s="9"/>
      <c r="J2147" s="9"/>
      <c r="K2147" s="9"/>
      <c r="L2147" s="9"/>
      <c r="M2147" s="9"/>
      <c r="N2147" s="9"/>
      <c r="O2147" s="9"/>
      <c r="P2147" s="9"/>
      <c r="Q2147" s="9"/>
      <c r="R2147" s="9"/>
      <c r="S2147" s="9"/>
      <c r="T2147" s="9"/>
      <c r="U2147" s="9"/>
      <c r="V2147" s="9"/>
      <c r="W2147" s="9"/>
      <c r="X2147" s="9"/>
      <c r="Y2147" s="9"/>
      <c r="Z2147" s="9"/>
      <c r="AA2147" s="9"/>
      <c r="AB2147" s="9"/>
      <c r="AC2147" s="9"/>
      <c r="AD2147" s="9"/>
      <c r="AE2147" s="9"/>
      <c r="AF2147" s="9"/>
      <c r="AG2147" s="9"/>
      <c r="AH2147" s="9"/>
      <c r="AI2147" s="9"/>
      <c r="AJ2147" s="9"/>
      <c r="AK2147" s="9"/>
      <c r="AL2147" s="9"/>
      <c r="AM2147" s="9"/>
      <c r="AN2147" s="9"/>
      <c r="AO2147" s="9"/>
      <c r="AP2147" s="9"/>
      <c r="AQ2147" s="9"/>
      <c r="AR2147" s="9"/>
      <c r="AS2147" s="9"/>
      <c r="AT2147" s="9"/>
      <c r="AU2147" s="9"/>
    </row>
    <row r="2148" spans="1:47" ht="15.75" customHeight="1">
      <c r="A2148" s="9"/>
      <c r="B2148" s="9"/>
      <c r="C2148" s="9"/>
      <c r="D2148" s="9"/>
      <c r="E2148" s="9"/>
      <c r="F2148" s="67"/>
      <c r="G2148" s="9"/>
      <c r="H2148" s="9"/>
      <c r="I2148" s="9"/>
      <c r="J2148" s="9"/>
      <c r="K2148" s="9"/>
      <c r="L2148" s="9"/>
      <c r="M2148" s="9"/>
      <c r="N2148" s="9"/>
      <c r="O2148" s="9"/>
      <c r="P2148" s="9"/>
      <c r="Q2148" s="9"/>
      <c r="R2148" s="9"/>
      <c r="S2148" s="9"/>
      <c r="T2148" s="9"/>
      <c r="U2148" s="9"/>
      <c r="V2148" s="9"/>
      <c r="W2148" s="9"/>
      <c r="X2148" s="9"/>
      <c r="Y2148" s="9"/>
      <c r="Z2148" s="9"/>
      <c r="AA2148" s="9"/>
      <c r="AB2148" s="9"/>
      <c r="AC2148" s="9"/>
      <c r="AD2148" s="9"/>
      <c r="AE2148" s="9"/>
      <c r="AF2148" s="9"/>
      <c r="AG2148" s="9"/>
      <c r="AH2148" s="9"/>
      <c r="AI2148" s="9"/>
      <c r="AJ2148" s="9"/>
      <c r="AK2148" s="9"/>
      <c r="AL2148" s="9"/>
      <c r="AM2148" s="9"/>
      <c r="AN2148" s="9"/>
      <c r="AO2148" s="9"/>
      <c r="AP2148" s="9"/>
      <c r="AQ2148" s="9"/>
      <c r="AR2148" s="9"/>
      <c r="AS2148" s="9"/>
      <c r="AT2148" s="9"/>
      <c r="AU2148" s="9"/>
    </row>
    <row r="2149" spans="1:47" ht="15.75" customHeight="1">
      <c r="A2149" s="9"/>
      <c r="B2149" s="9"/>
      <c r="C2149" s="9"/>
      <c r="D2149" s="9"/>
      <c r="E2149" s="9"/>
      <c r="F2149" s="67"/>
      <c r="G2149" s="9"/>
      <c r="H2149" s="9"/>
      <c r="I2149" s="9"/>
      <c r="J2149" s="9"/>
      <c r="K2149" s="9"/>
      <c r="L2149" s="9"/>
      <c r="M2149" s="9"/>
      <c r="N2149" s="9"/>
      <c r="O2149" s="9"/>
      <c r="P2149" s="9"/>
      <c r="Q2149" s="9"/>
      <c r="R2149" s="9"/>
      <c r="S2149" s="9"/>
      <c r="T2149" s="9"/>
      <c r="U2149" s="9"/>
      <c r="V2149" s="9"/>
      <c r="W2149" s="9"/>
      <c r="X2149" s="9"/>
      <c r="Y2149" s="9"/>
      <c r="Z2149" s="9"/>
      <c r="AA2149" s="9"/>
      <c r="AB2149" s="9"/>
      <c r="AC2149" s="9"/>
      <c r="AD2149" s="9"/>
      <c r="AE2149" s="9"/>
      <c r="AF2149" s="9"/>
      <c r="AG2149" s="9"/>
      <c r="AH2149" s="9"/>
      <c r="AI2149" s="9"/>
      <c r="AJ2149" s="9"/>
      <c r="AK2149" s="9"/>
      <c r="AL2149" s="9"/>
      <c r="AM2149" s="9"/>
      <c r="AN2149" s="9"/>
      <c r="AO2149" s="9"/>
      <c r="AP2149" s="9"/>
      <c r="AQ2149" s="9"/>
      <c r="AR2149" s="9"/>
      <c r="AS2149" s="9"/>
      <c r="AT2149" s="9"/>
      <c r="AU2149" s="9"/>
    </row>
    <row r="2150" spans="1:47" ht="15.75" customHeight="1">
      <c r="A2150" s="9"/>
      <c r="B2150" s="9"/>
      <c r="C2150" s="9"/>
      <c r="D2150" s="9"/>
      <c r="E2150" s="9"/>
      <c r="F2150" s="67"/>
      <c r="G2150" s="9"/>
      <c r="H2150" s="9"/>
      <c r="I2150" s="9"/>
      <c r="J2150" s="9"/>
      <c r="K2150" s="9"/>
      <c r="L2150" s="9"/>
      <c r="M2150" s="9"/>
      <c r="N2150" s="9"/>
      <c r="O2150" s="9"/>
      <c r="P2150" s="9"/>
      <c r="Q2150" s="9"/>
      <c r="R2150" s="9"/>
      <c r="S2150" s="9"/>
      <c r="T2150" s="9"/>
      <c r="U2150" s="9"/>
      <c r="V2150" s="9"/>
      <c r="W2150" s="9"/>
      <c r="X2150" s="9"/>
      <c r="Y2150" s="9"/>
      <c r="Z2150" s="9"/>
      <c r="AA2150" s="9"/>
      <c r="AB2150" s="9"/>
      <c r="AC2150" s="9"/>
      <c r="AD2150" s="9"/>
      <c r="AE2150" s="9"/>
      <c r="AF2150" s="9"/>
      <c r="AG2150" s="9"/>
      <c r="AH2150" s="9"/>
      <c r="AI2150" s="9"/>
      <c r="AJ2150" s="9"/>
      <c r="AK2150" s="9"/>
      <c r="AL2150" s="9"/>
      <c r="AM2150" s="9"/>
      <c r="AN2150" s="9"/>
      <c r="AO2150" s="9"/>
      <c r="AP2150" s="9"/>
      <c r="AQ2150" s="9"/>
      <c r="AR2150" s="9"/>
      <c r="AS2150" s="9"/>
      <c r="AT2150" s="9"/>
      <c r="AU2150" s="9"/>
    </row>
    <row r="2151" spans="1:47" ht="15.75" customHeight="1">
      <c r="A2151" s="9"/>
      <c r="B2151" s="9"/>
      <c r="C2151" s="9"/>
      <c r="D2151" s="9"/>
      <c r="E2151" s="9"/>
      <c r="F2151" s="67"/>
      <c r="G2151" s="9"/>
      <c r="H2151" s="9"/>
      <c r="I2151" s="9"/>
      <c r="J2151" s="9"/>
      <c r="K2151" s="9"/>
      <c r="L2151" s="9"/>
      <c r="M2151" s="9"/>
      <c r="N2151" s="9"/>
      <c r="O2151" s="9"/>
      <c r="P2151" s="9"/>
      <c r="Q2151" s="9"/>
      <c r="R2151" s="9"/>
      <c r="S2151" s="9"/>
      <c r="T2151" s="9"/>
      <c r="U2151" s="9"/>
      <c r="V2151" s="9"/>
      <c r="W2151" s="9"/>
      <c r="X2151" s="9"/>
      <c r="Y2151" s="9"/>
      <c r="Z2151" s="9"/>
      <c r="AA2151" s="9"/>
      <c r="AB2151" s="9"/>
      <c r="AC2151" s="9"/>
      <c r="AD2151" s="9"/>
      <c r="AE2151" s="9"/>
      <c r="AF2151" s="9"/>
      <c r="AG2151" s="9"/>
      <c r="AH2151" s="9"/>
      <c r="AI2151" s="9"/>
      <c r="AJ2151" s="9"/>
      <c r="AK2151" s="9"/>
      <c r="AL2151" s="9"/>
      <c r="AM2151" s="9"/>
      <c r="AN2151" s="9"/>
      <c r="AO2151" s="9"/>
      <c r="AP2151" s="9"/>
      <c r="AQ2151" s="9"/>
      <c r="AR2151" s="9"/>
      <c r="AS2151" s="9"/>
      <c r="AT2151" s="9"/>
      <c r="AU2151" s="9"/>
    </row>
    <row r="2152" spans="1:47" ht="15.75" customHeight="1">
      <c r="A2152" s="9"/>
      <c r="B2152" s="9"/>
      <c r="C2152" s="9"/>
      <c r="D2152" s="9"/>
      <c r="E2152" s="9"/>
      <c r="F2152" s="67"/>
      <c r="G2152" s="9"/>
      <c r="H2152" s="9"/>
      <c r="I2152" s="9"/>
      <c r="J2152" s="9"/>
      <c r="K2152" s="9"/>
      <c r="L2152" s="9"/>
      <c r="M2152" s="9"/>
      <c r="N2152" s="9"/>
      <c r="O2152" s="9"/>
      <c r="P2152" s="9"/>
      <c r="Q2152" s="9"/>
      <c r="R2152" s="9"/>
      <c r="S2152" s="9"/>
      <c r="T2152" s="9"/>
      <c r="U2152" s="9"/>
      <c r="V2152" s="9"/>
      <c r="W2152" s="9"/>
      <c r="X2152" s="9"/>
      <c r="Y2152" s="9"/>
      <c r="Z2152" s="9"/>
      <c r="AA2152" s="9"/>
      <c r="AB2152" s="9"/>
      <c r="AC2152" s="9"/>
      <c r="AD2152" s="9"/>
      <c r="AE2152" s="9"/>
      <c r="AF2152" s="9"/>
      <c r="AG2152" s="9"/>
      <c r="AH2152" s="9"/>
      <c r="AI2152" s="9"/>
      <c r="AJ2152" s="9"/>
      <c r="AK2152" s="9"/>
      <c r="AL2152" s="9"/>
      <c r="AM2152" s="9"/>
      <c r="AN2152" s="9"/>
      <c r="AO2152" s="9"/>
      <c r="AP2152" s="9"/>
      <c r="AQ2152" s="9"/>
      <c r="AR2152" s="9"/>
      <c r="AS2152" s="9"/>
      <c r="AT2152" s="9"/>
      <c r="AU2152" s="9"/>
    </row>
    <row r="2153" spans="1:47" ht="15.75" customHeight="1">
      <c r="A2153" s="9"/>
      <c r="B2153" s="9"/>
      <c r="C2153" s="9"/>
      <c r="D2153" s="9"/>
      <c r="E2153" s="9"/>
      <c r="F2153" s="67"/>
      <c r="G2153" s="9"/>
      <c r="H2153" s="9"/>
      <c r="I2153" s="9"/>
      <c r="J2153" s="9"/>
      <c r="K2153" s="9"/>
      <c r="L2153" s="9"/>
      <c r="M2153" s="9"/>
      <c r="N2153" s="9"/>
      <c r="O2153" s="9"/>
      <c r="P2153" s="9"/>
      <c r="Q2153" s="9"/>
      <c r="R2153" s="9"/>
      <c r="S2153" s="9"/>
      <c r="T2153" s="9"/>
      <c r="U2153" s="9"/>
      <c r="V2153" s="9"/>
      <c r="W2153" s="9"/>
      <c r="X2153" s="9"/>
      <c r="Y2153" s="9"/>
      <c r="Z2153" s="9"/>
      <c r="AA2153" s="9"/>
      <c r="AB2153" s="9"/>
      <c r="AC2153" s="9"/>
      <c r="AD2153" s="9"/>
      <c r="AE2153" s="9"/>
      <c r="AF2153" s="9"/>
      <c r="AG2153" s="9"/>
      <c r="AH2153" s="9"/>
      <c r="AI2153" s="9"/>
      <c r="AJ2153" s="9"/>
      <c r="AK2153" s="9"/>
      <c r="AL2153" s="9"/>
      <c r="AM2153" s="9"/>
      <c r="AN2153" s="9"/>
      <c r="AO2153" s="9"/>
      <c r="AP2153" s="9"/>
      <c r="AQ2153" s="9"/>
      <c r="AR2153" s="9"/>
      <c r="AS2153" s="9"/>
      <c r="AT2153" s="9"/>
      <c r="AU2153" s="9"/>
    </row>
    <row r="2154" spans="1:47" ht="15.75" customHeight="1">
      <c r="A2154" s="9"/>
      <c r="B2154" s="9"/>
      <c r="C2154" s="9"/>
      <c r="D2154" s="9"/>
      <c r="E2154" s="9"/>
      <c r="F2154" s="67"/>
      <c r="G2154" s="9"/>
      <c r="H2154" s="9"/>
      <c r="I2154" s="9"/>
      <c r="J2154" s="9"/>
      <c r="K2154" s="9"/>
      <c r="L2154" s="9"/>
      <c r="M2154" s="9"/>
      <c r="N2154" s="9"/>
      <c r="O2154" s="9"/>
      <c r="P2154" s="9"/>
      <c r="Q2154" s="9"/>
      <c r="R2154" s="9"/>
      <c r="S2154" s="9"/>
      <c r="T2154" s="9"/>
      <c r="U2154" s="9"/>
      <c r="V2154" s="9"/>
      <c r="W2154" s="9"/>
      <c r="X2154" s="9"/>
      <c r="Y2154" s="9"/>
      <c r="Z2154" s="9"/>
      <c r="AA2154" s="9"/>
      <c r="AB2154" s="9"/>
      <c r="AC2154" s="9"/>
      <c r="AD2154" s="9"/>
      <c r="AE2154" s="9"/>
      <c r="AF2154" s="9"/>
      <c r="AG2154" s="9"/>
      <c r="AH2154" s="9"/>
      <c r="AI2154" s="9"/>
      <c r="AJ2154" s="9"/>
      <c r="AK2154" s="9"/>
      <c r="AL2154" s="9"/>
      <c r="AM2154" s="9"/>
      <c r="AN2154" s="9"/>
      <c r="AO2154" s="9"/>
      <c r="AP2154" s="9"/>
      <c r="AQ2154" s="9"/>
      <c r="AR2154" s="9"/>
      <c r="AS2154" s="9"/>
      <c r="AT2154" s="9"/>
      <c r="AU2154" s="9"/>
    </row>
    <row r="2155" spans="1:47" ht="15.75" customHeight="1">
      <c r="A2155" s="9"/>
      <c r="B2155" s="9"/>
      <c r="C2155" s="9"/>
      <c r="D2155" s="9"/>
      <c r="E2155" s="9"/>
      <c r="F2155" s="67"/>
      <c r="G2155" s="9"/>
      <c r="H2155" s="9"/>
      <c r="I2155" s="9"/>
      <c r="J2155" s="9"/>
      <c r="K2155" s="9"/>
      <c r="L2155" s="9"/>
      <c r="M2155" s="9"/>
      <c r="N2155" s="9"/>
      <c r="O2155" s="9"/>
      <c r="P2155" s="9"/>
      <c r="Q2155" s="9"/>
      <c r="R2155" s="9"/>
      <c r="S2155" s="9"/>
      <c r="T2155" s="9"/>
      <c r="U2155" s="9"/>
      <c r="V2155" s="9"/>
      <c r="W2155" s="9"/>
      <c r="X2155" s="9"/>
      <c r="Y2155" s="9"/>
      <c r="Z2155" s="9"/>
      <c r="AA2155" s="9"/>
      <c r="AB2155" s="9"/>
      <c r="AC2155" s="9"/>
      <c r="AD2155" s="9"/>
      <c r="AE2155" s="9"/>
      <c r="AF2155" s="9"/>
      <c r="AG2155" s="9"/>
      <c r="AH2155" s="9"/>
      <c r="AI2155" s="9"/>
      <c r="AJ2155" s="9"/>
      <c r="AK2155" s="9"/>
      <c r="AL2155" s="9"/>
      <c r="AM2155" s="9"/>
      <c r="AN2155" s="9"/>
      <c r="AO2155" s="9"/>
      <c r="AP2155" s="9"/>
      <c r="AQ2155" s="9"/>
      <c r="AR2155" s="9"/>
      <c r="AS2155" s="9"/>
      <c r="AT2155" s="9"/>
      <c r="AU2155" s="9"/>
    </row>
    <row r="2156" spans="1:47" ht="15.75" customHeight="1">
      <c r="A2156" s="9"/>
      <c r="B2156" s="9"/>
      <c r="C2156" s="9"/>
      <c r="D2156" s="9"/>
      <c r="E2156" s="9"/>
      <c r="F2156" s="67"/>
      <c r="G2156" s="9"/>
      <c r="H2156" s="9"/>
      <c r="I2156" s="9"/>
      <c r="J2156" s="9"/>
      <c r="K2156" s="9"/>
      <c r="L2156" s="9"/>
      <c r="M2156" s="9"/>
      <c r="N2156" s="9"/>
      <c r="O2156" s="9"/>
      <c r="P2156" s="9"/>
      <c r="Q2156" s="9"/>
      <c r="R2156" s="9"/>
      <c r="S2156" s="9"/>
      <c r="T2156" s="9"/>
      <c r="U2156" s="9"/>
      <c r="V2156" s="9"/>
      <c r="W2156" s="9"/>
      <c r="X2156" s="9"/>
      <c r="Y2156" s="9"/>
      <c r="Z2156" s="9"/>
      <c r="AA2156" s="9"/>
      <c r="AB2156" s="9"/>
      <c r="AC2156" s="9"/>
      <c r="AD2156" s="9"/>
      <c r="AE2156" s="9"/>
      <c r="AF2156" s="9"/>
      <c r="AG2156" s="9"/>
      <c r="AH2156" s="9"/>
      <c r="AI2156" s="9"/>
      <c r="AJ2156" s="9"/>
      <c r="AK2156" s="9"/>
      <c r="AL2156" s="9"/>
      <c r="AM2156" s="9"/>
      <c r="AN2156" s="9"/>
      <c r="AO2156" s="9"/>
      <c r="AP2156" s="9"/>
      <c r="AQ2156" s="9"/>
      <c r="AR2156" s="9"/>
      <c r="AS2156" s="9"/>
      <c r="AT2156" s="9"/>
      <c r="AU2156" s="9"/>
    </row>
    <row r="2157" spans="1:47" ht="15.75" customHeight="1">
      <c r="A2157" s="9"/>
      <c r="B2157" s="9"/>
      <c r="C2157" s="9"/>
      <c r="D2157" s="9"/>
      <c r="E2157" s="9"/>
      <c r="F2157" s="67"/>
      <c r="G2157" s="9"/>
      <c r="H2157" s="9"/>
      <c r="I2157" s="9"/>
      <c r="J2157" s="9"/>
      <c r="K2157" s="9"/>
      <c r="L2157" s="9"/>
      <c r="M2157" s="9"/>
      <c r="N2157" s="9"/>
      <c r="O2157" s="9"/>
      <c r="P2157" s="9"/>
      <c r="Q2157" s="9"/>
      <c r="R2157" s="9"/>
      <c r="S2157" s="9"/>
      <c r="T2157" s="9"/>
      <c r="U2157" s="9"/>
      <c r="V2157" s="9"/>
      <c r="W2157" s="9"/>
      <c r="X2157" s="9"/>
      <c r="Y2157" s="9"/>
      <c r="Z2157" s="9"/>
      <c r="AA2157" s="9"/>
      <c r="AB2157" s="9"/>
      <c r="AC2157" s="9"/>
      <c r="AD2157" s="9"/>
      <c r="AE2157" s="9"/>
      <c r="AF2157" s="9"/>
      <c r="AG2157" s="9"/>
      <c r="AH2157" s="9"/>
      <c r="AI2157" s="9"/>
      <c r="AJ2157" s="9"/>
      <c r="AK2157" s="9"/>
      <c r="AL2157" s="9"/>
      <c r="AM2157" s="9"/>
      <c r="AN2157" s="9"/>
      <c r="AO2157" s="9"/>
      <c r="AP2157" s="9"/>
      <c r="AQ2157" s="9"/>
      <c r="AR2157" s="9"/>
      <c r="AS2157" s="9"/>
      <c r="AT2157" s="9"/>
      <c r="AU2157" s="9"/>
    </row>
    <row r="2158" spans="1:47" ht="15.75" customHeight="1">
      <c r="A2158" s="9"/>
      <c r="B2158" s="9"/>
      <c r="C2158" s="9"/>
      <c r="D2158" s="9"/>
      <c r="E2158" s="9"/>
      <c r="F2158" s="67"/>
      <c r="G2158" s="9"/>
      <c r="H2158" s="9"/>
      <c r="I2158" s="9"/>
      <c r="J2158" s="9"/>
      <c r="K2158" s="9"/>
      <c r="L2158" s="9"/>
      <c r="M2158" s="9"/>
      <c r="N2158" s="9"/>
      <c r="O2158" s="9"/>
      <c r="P2158" s="9"/>
      <c r="Q2158" s="9"/>
      <c r="R2158" s="9"/>
      <c r="S2158" s="9"/>
      <c r="T2158" s="9"/>
      <c r="U2158" s="9"/>
      <c r="V2158" s="9"/>
      <c r="W2158" s="9"/>
      <c r="X2158" s="9"/>
      <c r="Y2158" s="9"/>
      <c r="Z2158" s="9"/>
      <c r="AA2158" s="9"/>
      <c r="AB2158" s="9"/>
      <c r="AC2158" s="9"/>
      <c r="AD2158" s="9"/>
      <c r="AE2158" s="9"/>
      <c r="AF2158" s="9"/>
      <c r="AG2158" s="9"/>
      <c r="AH2158" s="9"/>
      <c r="AI2158" s="9"/>
      <c r="AJ2158" s="9"/>
      <c r="AK2158" s="9"/>
      <c r="AL2158" s="9"/>
      <c r="AM2158" s="9"/>
      <c r="AN2158" s="9"/>
      <c r="AO2158" s="9"/>
      <c r="AP2158" s="9"/>
      <c r="AQ2158" s="9"/>
      <c r="AR2158" s="9"/>
      <c r="AS2158" s="9"/>
      <c r="AT2158" s="9"/>
      <c r="AU2158" s="9"/>
    </row>
    <row r="2159" spans="1:47" ht="15.75" customHeight="1">
      <c r="A2159" s="9"/>
      <c r="B2159" s="9"/>
      <c r="C2159" s="9"/>
      <c r="D2159" s="9"/>
      <c r="E2159" s="9"/>
      <c r="F2159" s="67"/>
      <c r="G2159" s="9"/>
      <c r="H2159" s="9"/>
      <c r="I2159" s="9"/>
      <c r="J2159" s="9"/>
      <c r="K2159" s="9"/>
      <c r="L2159" s="9"/>
      <c r="M2159" s="9"/>
      <c r="N2159" s="9"/>
      <c r="O2159" s="9"/>
      <c r="P2159" s="9"/>
      <c r="Q2159" s="9"/>
      <c r="R2159" s="9"/>
      <c r="S2159" s="9"/>
      <c r="T2159" s="9"/>
      <c r="U2159" s="9"/>
      <c r="V2159" s="9"/>
      <c r="W2159" s="9"/>
      <c r="X2159" s="9"/>
      <c r="Y2159" s="9"/>
      <c r="Z2159" s="9"/>
      <c r="AA2159" s="9"/>
      <c r="AB2159" s="9"/>
      <c r="AC2159" s="9"/>
      <c r="AD2159" s="9"/>
      <c r="AE2159" s="9"/>
      <c r="AF2159" s="9"/>
      <c r="AG2159" s="9"/>
      <c r="AH2159" s="9"/>
      <c r="AI2159" s="9"/>
      <c r="AJ2159" s="9"/>
      <c r="AK2159" s="9"/>
      <c r="AL2159" s="9"/>
      <c r="AM2159" s="9"/>
      <c r="AN2159" s="9"/>
      <c r="AO2159" s="9"/>
      <c r="AP2159" s="9"/>
      <c r="AQ2159" s="9"/>
      <c r="AR2159" s="9"/>
      <c r="AS2159" s="9"/>
      <c r="AT2159" s="9"/>
      <c r="AU2159" s="9"/>
    </row>
    <row r="2160" spans="1:47" ht="15.75" customHeight="1">
      <c r="A2160" s="9"/>
      <c r="B2160" s="9"/>
      <c r="C2160" s="9"/>
      <c r="D2160" s="9"/>
      <c r="E2160" s="9"/>
      <c r="F2160" s="67"/>
      <c r="G2160" s="9"/>
      <c r="H2160" s="9"/>
      <c r="I2160" s="9"/>
      <c r="J2160" s="9"/>
      <c r="K2160" s="9"/>
      <c r="L2160" s="9"/>
      <c r="M2160" s="9"/>
      <c r="N2160" s="9"/>
      <c r="O2160" s="9"/>
      <c r="P2160" s="9"/>
      <c r="Q2160" s="9"/>
      <c r="R2160" s="9"/>
      <c r="S2160" s="9"/>
      <c r="T2160" s="9"/>
      <c r="U2160" s="9"/>
      <c r="V2160" s="9"/>
      <c r="W2160" s="9"/>
      <c r="X2160" s="9"/>
      <c r="Y2160" s="9"/>
      <c r="Z2160" s="9"/>
      <c r="AA2160" s="9"/>
      <c r="AB2160" s="9"/>
      <c r="AC2160" s="9"/>
      <c r="AD2160" s="9"/>
      <c r="AE2160" s="9"/>
      <c r="AF2160" s="9"/>
      <c r="AG2160" s="9"/>
      <c r="AH2160" s="9"/>
      <c r="AI2160" s="9"/>
      <c r="AJ2160" s="9"/>
      <c r="AK2160" s="9"/>
      <c r="AL2160" s="9"/>
      <c r="AM2160" s="9"/>
      <c r="AN2160" s="9"/>
      <c r="AO2160" s="9"/>
      <c r="AP2160" s="9"/>
      <c r="AQ2160" s="9"/>
      <c r="AR2160" s="9"/>
      <c r="AS2160" s="9"/>
      <c r="AT2160" s="9"/>
      <c r="AU2160" s="9"/>
    </row>
    <row r="2161" spans="1:47" ht="15.75" customHeight="1">
      <c r="A2161" s="9"/>
      <c r="B2161" s="9"/>
      <c r="C2161" s="9"/>
      <c r="D2161" s="9"/>
      <c r="E2161" s="9"/>
      <c r="F2161" s="67"/>
      <c r="G2161" s="9"/>
      <c r="H2161" s="9"/>
      <c r="I2161" s="9"/>
      <c r="J2161" s="9"/>
      <c r="K2161" s="9"/>
      <c r="L2161" s="9"/>
      <c r="M2161" s="9"/>
      <c r="N2161" s="9"/>
      <c r="O2161" s="9"/>
      <c r="P2161" s="9"/>
      <c r="Q2161" s="9"/>
      <c r="R2161" s="9"/>
      <c r="S2161" s="9"/>
      <c r="T2161" s="9"/>
      <c r="U2161" s="9"/>
      <c r="V2161" s="9"/>
      <c r="W2161" s="9"/>
      <c r="X2161" s="9"/>
      <c r="Y2161" s="9"/>
      <c r="Z2161" s="9"/>
      <c r="AA2161" s="9"/>
      <c r="AB2161" s="9"/>
      <c r="AC2161" s="9"/>
      <c r="AD2161" s="9"/>
      <c r="AE2161" s="9"/>
      <c r="AF2161" s="9"/>
      <c r="AG2161" s="9"/>
      <c r="AH2161" s="9"/>
      <c r="AI2161" s="9"/>
      <c r="AJ2161" s="9"/>
      <c r="AK2161" s="9"/>
      <c r="AL2161" s="9"/>
      <c r="AM2161" s="9"/>
      <c r="AN2161" s="9"/>
      <c r="AO2161" s="9"/>
      <c r="AP2161" s="9"/>
      <c r="AQ2161" s="9"/>
      <c r="AR2161" s="9"/>
      <c r="AS2161" s="9"/>
      <c r="AT2161" s="9"/>
      <c r="AU2161" s="9"/>
    </row>
    <row r="2162" spans="1:47" ht="15.75" customHeight="1">
      <c r="A2162" s="9"/>
      <c r="B2162" s="9"/>
      <c r="C2162" s="9"/>
      <c r="D2162" s="9"/>
      <c r="E2162" s="9"/>
      <c r="F2162" s="67"/>
      <c r="G2162" s="9"/>
      <c r="H2162" s="9"/>
      <c r="I2162" s="9"/>
      <c r="J2162" s="9"/>
      <c r="K2162" s="9"/>
      <c r="L2162" s="9"/>
      <c r="M2162" s="9"/>
      <c r="N2162" s="9"/>
      <c r="O2162" s="9"/>
      <c r="P2162" s="9"/>
      <c r="Q2162" s="9"/>
      <c r="R2162" s="9"/>
      <c r="S2162" s="9"/>
      <c r="T2162" s="9"/>
      <c r="U2162" s="9"/>
      <c r="V2162" s="9"/>
      <c r="W2162" s="9"/>
      <c r="X2162" s="9"/>
      <c r="Y2162" s="9"/>
      <c r="Z2162" s="9"/>
      <c r="AA2162" s="9"/>
      <c r="AB2162" s="9"/>
      <c r="AC2162" s="9"/>
      <c r="AD2162" s="9"/>
      <c r="AE2162" s="9"/>
      <c r="AF2162" s="9"/>
      <c r="AG2162" s="9"/>
      <c r="AH2162" s="9"/>
      <c r="AI2162" s="9"/>
      <c r="AJ2162" s="9"/>
      <c r="AK2162" s="9"/>
      <c r="AL2162" s="9"/>
      <c r="AM2162" s="9"/>
      <c r="AN2162" s="9"/>
      <c r="AO2162" s="9"/>
      <c r="AP2162" s="9"/>
      <c r="AQ2162" s="9"/>
      <c r="AR2162" s="9"/>
      <c r="AS2162" s="9"/>
      <c r="AT2162" s="9"/>
      <c r="AU2162" s="9"/>
    </row>
    <row r="2163" spans="1:47" ht="15.75" customHeight="1">
      <c r="A2163" s="9"/>
      <c r="B2163" s="9"/>
      <c r="C2163" s="9"/>
      <c r="D2163" s="9"/>
      <c r="E2163" s="9"/>
      <c r="F2163" s="67"/>
      <c r="G2163" s="9"/>
      <c r="H2163" s="9"/>
      <c r="I2163" s="9"/>
      <c r="J2163" s="9"/>
      <c r="K2163" s="9"/>
      <c r="L2163" s="9"/>
      <c r="M2163" s="9"/>
      <c r="N2163" s="9"/>
      <c r="O2163" s="9"/>
      <c r="P2163" s="9"/>
      <c r="Q2163" s="9"/>
      <c r="R2163" s="9"/>
      <c r="S2163" s="9"/>
      <c r="T2163" s="9"/>
      <c r="U2163" s="9"/>
      <c r="V2163" s="9"/>
      <c r="W2163" s="9"/>
      <c r="X2163" s="9"/>
      <c r="Y2163" s="9"/>
      <c r="Z2163" s="9"/>
      <c r="AA2163" s="9"/>
      <c r="AB2163" s="9"/>
      <c r="AC2163" s="9"/>
      <c r="AD2163" s="9"/>
      <c r="AE2163" s="9"/>
      <c r="AF2163" s="9"/>
      <c r="AG2163" s="9"/>
      <c r="AH2163" s="9"/>
      <c r="AI2163" s="9"/>
      <c r="AJ2163" s="9"/>
      <c r="AK2163" s="9"/>
      <c r="AL2163" s="9"/>
      <c r="AM2163" s="9"/>
      <c r="AN2163" s="9"/>
      <c r="AO2163" s="9"/>
      <c r="AP2163" s="9"/>
      <c r="AQ2163" s="9"/>
      <c r="AR2163" s="9"/>
      <c r="AS2163" s="9"/>
      <c r="AT2163" s="9"/>
      <c r="AU2163" s="9"/>
    </row>
    <row r="2164" spans="1:47" ht="15.75" customHeight="1">
      <c r="A2164" s="9"/>
      <c r="B2164" s="9"/>
      <c r="C2164" s="9"/>
      <c r="D2164" s="9"/>
      <c r="E2164" s="9"/>
      <c r="F2164" s="67"/>
      <c r="G2164" s="9"/>
      <c r="H2164" s="9"/>
      <c r="I2164" s="9"/>
      <c r="J2164" s="9"/>
      <c r="K2164" s="9"/>
      <c r="L2164" s="9"/>
      <c r="M2164" s="9"/>
      <c r="N2164" s="9"/>
      <c r="O2164" s="9"/>
      <c r="P2164" s="9"/>
      <c r="Q2164" s="9"/>
      <c r="R2164" s="9"/>
      <c r="S2164" s="9"/>
      <c r="T2164" s="9"/>
      <c r="U2164" s="9"/>
      <c r="V2164" s="9"/>
      <c r="W2164" s="9"/>
      <c r="X2164" s="9"/>
      <c r="Y2164" s="9"/>
      <c r="Z2164" s="9"/>
      <c r="AA2164" s="9"/>
      <c r="AB2164" s="9"/>
      <c r="AC2164" s="9"/>
      <c r="AD2164" s="9"/>
      <c r="AE2164" s="9"/>
      <c r="AF2164" s="9"/>
      <c r="AG2164" s="9"/>
      <c r="AH2164" s="9"/>
      <c r="AI2164" s="9"/>
      <c r="AJ2164" s="9"/>
      <c r="AK2164" s="9"/>
      <c r="AL2164" s="9"/>
      <c r="AM2164" s="9"/>
      <c r="AN2164" s="9"/>
      <c r="AO2164" s="9"/>
      <c r="AP2164" s="9"/>
      <c r="AQ2164" s="9"/>
      <c r="AR2164" s="9"/>
      <c r="AS2164" s="9"/>
      <c r="AT2164" s="9"/>
      <c r="AU2164" s="9"/>
    </row>
    <row r="2165" spans="1:47" ht="15.75" customHeight="1">
      <c r="A2165" s="9"/>
      <c r="B2165" s="9"/>
      <c r="C2165" s="9"/>
      <c r="D2165" s="9"/>
      <c r="E2165" s="9"/>
      <c r="F2165" s="67"/>
      <c r="G2165" s="9"/>
      <c r="H2165" s="9"/>
      <c r="I2165" s="9"/>
      <c r="J2165" s="9"/>
      <c r="K2165" s="9"/>
      <c r="L2165" s="9"/>
      <c r="M2165" s="9"/>
      <c r="N2165" s="9"/>
      <c r="O2165" s="9"/>
      <c r="P2165" s="9"/>
      <c r="Q2165" s="9"/>
      <c r="R2165" s="9"/>
      <c r="S2165" s="9"/>
      <c r="T2165" s="9"/>
      <c r="U2165" s="9"/>
      <c r="V2165" s="9"/>
      <c r="W2165" s="9"/>
      <c r="X2165" s="9"/>
      <c r="Y2165" s="9"/>
      <c r="Z2165" s="9"/>
      <c r="AA2165" s="9"/>
      <c r="AB2165" s="9"/>
      <c r="AC2165" s="9"/>
      <c r="AD2165" s="9"/>
      <c r="AE2165" s="9"/>
      <c r="AF2165" s="9"/>
      <c r="AG2165" s="9"/>
      <c r="AH2165" s="9"/>
      <c r="AI2165" s="9"/>
      <c r="AJ2165" s="9"/>
      <c r="AK2165" s="9"/>
      <c r="AL2165" s="9"/>
      <c r="AM2165" s="9"/>
      <c r="AN2165" s="9"/>
      <c r="AO2165" s="9"/>
      <c r="AP2165" s="9"/>
      <c r="AQ2165" s="9"/>
      <c r="AR2165" s="9"/>
      <c r="AS2165" s="9"/>
      <c r="AT2165" s="9"/>
      <c r="AU2165" s="9"/>
    </row>
    <row r="2166" spans="1:47" ht="15.75" customHeight="1">
      <c r="A2166" s="9"/>
      <c r="B2166" s="9"/>
      <c r="C2166" s="9"/>
      <c r="D2166" s="9"/>
      <c r="E2166" s="9"/>
      <c r="F2166" s="67"/>
      <c r="G2166" s="9"/>
      <c r="H2166" s="9"/>
      <c r="I2166" s="9"/>
      <c r="J2166" s="9"/>
      <c r="K2166" s="9"/>
      <c r="L2166" s="9"/>
      <c r="M2166" s="9"/>
      <c r="N2166" s="9"/>
      <c r="O2166" s="9"/>
      <c r="P2166" s="9"/>
      <c r="Q2166" s="9"/>
      <c r="R2166" s="9"/>
      <c r="S2166" s="9"/>
      <c r="T2166" s="9"/>
      <c r="U2166" s="9"/>
      <c r="V2166" s="9"/>
      <c r="W2166" s="9"/>
      <c r="X2166" s="9"/>
      <c r="Y2166" s="9"/>
      <c r="Z2166" s="9"/>
      <c r="AA2166" s="9"/>
      <c r="AB2166" s="9"/>
      <c r="AC2166" s="9"/>
      <c r="AD2166" s="9"/>
      <c r="AE2166" s="9"/>
      <c r="AF2166" s="9"/>
      <c r="AG2166" s="9"/>
      <c r="AH2166" s="9"/>
      <c r="AI2166" s="9"/>
      <c r="AJ2166" s="9"/>
      <c r="AK2166" s="9"/>
      <c r="AL2166" s="9"/>
      <c r="AM2166" s="9"/>
      <c r="AN2166" s="9"/>
      <c r="AO2166" s="9"/>
      <c r="AP2166" s="9"/>
      <c r="AQ2166" s="9"/>
      <c r="AR2166" s="9"/>
      <c r="AS2166" s="9"/>
      <c r="AT2166" s="9"/>
      <c r="AU2166" s="9"/>
    </row>
    <row r="2167" spans="1:47" ht="15.75" customHeight="1">
      <c r="A2167" s="9"/>
      <c r="B2167" s="9"/>
      <c r="C2167" s="9"/>
      <c r="D2167" s="9"/>
      <c r="E2167" s="9"/>
      <c r="F2167" s="67"/>
      <c r="G2167" s="9"/>
      <c r="H2167" s="9"/>
      <c r="I2167" s="9"/>
      <c r="J2167" s="9"/>
      <c r="K2167" s="9"/>
      <c r="L2167" s="9"/>
      <c r="M2167" s="9"/>
      <c r="N2167" s="9"/>
      <c r="O2167" s="9"/>
      <c r="P2167" s="9"/>
      <c r="Q2167" s="9"/>
      <c r="R2167" s="9"/>
      <c r="S2167" s="9"/>
      <c r="T2167" s="9"/>
      <c r="U2167" s="9"/>
      <c r="V2167" s="9"/>
      <c r="W2167" s="9"/>
      <c r="X2167" s="9"/>
      <c r="Y2167" s="9"/>
      <c r="Z2167" s="9"/>
      <c r="AA2167" s="9"/>
      <c r="AB2167" s="9"/>
      <c r="AC2167" s="9"/>
      <c r="AD2167" s="9"/>
      <c r="AE2167" s="9"/>
      <c r="AF2167" s="9"/>
      <c r="AG2167" s="9"/>
      <c r="AH2167" s="9"/>
      <c r="AI2167" s="9"/>
      <c r="AJ2167" s="9"/>
      <c r="AK2167" s="9"/>
      <c r="AL2167" s="9"/>
      <c r="AM2167" s="9"/>
      <c r="AN2167" s="9"/>
      <c r="AO2167" s="9"/>
      <c r="AP2167" s="9"/>
      <c r="AQ2167" s="9"/>
      <c r="AR2167" s="9"/>
      <c r="AS2167" s="9"/>
      <c r="AT2167" s="9"/>
      <c r="AU2167" s="9"/>
    </row>
    <row r="2168" spans="1:47" ht="15.75" customHeight="1">
      <c r="A2168" s="9"/>
      <c r="B2168" s="9"/>
      <c r="C2168" s="9"/>
      <c r="D2168" s="9"/>
      <c r="E2168" s="9"/>
      <c r="F2168" s="67"/>
      <c r="G2168" s="9"/>
      <c r="H2168" s="9"/>
      <c r="I2168" s="9"/>
      <c r="J2168" s="9"/>
      <c r="K2168" s="9"/>
      <c r="L2168" s="9"/>
      <c r="M2168" s="9"/>
      <c r="N2168" s="9"/>
      <c r="O2168" s="9"/>
      <c r="P2168" s="9"/>
      <c r="Q2168" s="9"/>
      <c r="R2168" s="9"/>
      <c r="S2168" s="9"/>
      <c r="T2168" s="9"/>
      <c r="U2168" s="9"/>
      <c r="V2168" s="9"/>
      <c r="W2168" s="9"/>
      <c r="X2168" s="9"/>
      <c r="Y2168" s="9"/>
      <c r="Z2168" s="9"/>
      <c r="AA2168" s="9"/>
      <c r="AB2168" s="9"/>
      <c r="AC2168" s="9"/>
      <c r="AD2168" s="9"/>
      <c r="AE2168" s="9"/>
      <c r="AF2168" s="9"/>
      <c r="AG2168" s="9"/>
      <c r="AH2168" s="9"/>
      <c r="AI2168" s="9"/>
      <c r="AJ2168" s="9"/>
      <c r="AK2168" s="9"/>
      <c r="AL2168" s="9"/>
      <c r="AM2168" s="9"/>
      <c r="AN2168" s="9"/>
      <c r="AO2168" s="9"/>
      <c r="AP2168" s="9"/>
      <c r="AQ2168" s="9"/>
      <c r="AR2168" s="9"/>
      <c r="AS2168" s="9"/>
      <c r="AT2168" s="9"/>
      <c r="AU2168" s="9"/>
    </row>
    <row r="2169" spans="1:47" ht="15.75" customHeight="1">
      <c r="A2169" s="9"/>
      <c r="B2169" s="9"/>
      <c r="C2169" s="9"/>
      <c r="D2169" s="9"/>
      <c r="E2169" s="9"/>
      <c r="F2169" s="67"/>
      <c r="G2169" s="9"/>
      <c r="H2169" s="9"/>
      <c r="I2169" s="9"/>
      <c r="J2169" s="9"/>
      <c r="K2169" s="9"/>
      <c r="L2169" s="9"/>
      <c r="M2169" s="9"/>
      <c r="N2169" s="9"/>
      <c r="O2169" s="9"/>
      <c r="P2169" s="9"/>
      <c r="Q2169" s="9"/>
      <c r="R2169" s="9"/>
      <c r="S2169" s="9"/>
      <c r="T2169" s="9"/>
      <c r="U2169" s="9"/>
      <c r="V2169" s="9"/>
      <c r="W2169" s="9"/>
      <c r="X2169" s="9"/>
      <c r="Y2169" s="9"/>
      <c r="Z2169" s="9"/>
      <c r="AA2169" s="9"/>
      <c r="AB2169" s="9"/>
      <c r="AC2169" s="9"/>
      <c r="AD2169" s="9"/>
      <c r="AE2169" s="9"/>
      <c r="AF2169" s="9"/>
      <c r="AG2169" s="9"/>
      <c r="AH2169" s="9"/>
      <c r="AI2169" s="9"/>
      <c r="AJ2169" s="9"/>
      <c r="AK2169" s="9"/>
      <c r="AL2169" s="9"/>
      <c r="AM2169" s="9"/>
      <c r="AN2169" s="9"/>
      <c r="AO2169" s="9"/>
      <c r="AP2169" s="9"/>
      <c r="AQ2169" s="9"/>
      <c r="AR2169" s="9"/>
      <c r="AS2169" s="9"/>
      <c r="AT2169" s="9"/>
      <c r="AU2169" s="9"/>
    </row>
    <row r="2170" spans="1:47" ht="15.75" customHeight="1">
      <c r="A2170" s="9"/>
      <c r="B2170" s="9"/>
      <c r="C2170" s="9"/>
      <c r="D2170" s="9"/>
      <c r="E2170" s="9"/>
      <c r="F2170" s="67"/>
      <c r="G2170" s="9"/>
      <c r="H2170" s="9"/>
      <c r="I2170" s="9"/>
      <c r="J2170" s="9"/>
      <c r="K2170" s="9"/>
      <c r="L2170" s="9"/>
      <c r="M2170" s="9"/>
      <c r="N2170" s="9"/>
      <c r="O2170" s="9"/>
      <c r="P2170" s="9"/>
      <c r="Q2170" s="9"/>
      <c r="R2170" s="9"/>
      <c r="S2170" s="9"/>
      <c r="T2170" s="9"/>
      <c r="U2170" s="9"/>
      <c r="V2170" s="9"/>
      <c r="W2170" s="9"/>
      <c r="X2170" s="9"/>
      <c r="Y2170" s="9"/>
      <c r="Z2170" s="9"/>
      <c r="AA2170" s="9"/>
      <c r="AB2170" s="9"/>
      <c r="AC2170" s="9"/>
      <c r="AD2170" s="9"/>
      <c r="AE2170" s="9"/>
      <c r="AF2170" s="9"/>
      <c r="AG2170" s="9"/>
      <c r="AH2170" s="9"/>
      <c r="AI2170" s="9"/>
      <c r="AJ2170" s="9"/>
      <c r="AK2170" s="9"/>
      <c r="AL2170" s="9"/>
      <c r="AM2170" s="9"/>
      <c r="AN2170" s="9"/>
      <c r="AO2170" s="9"/>
      <c r="AP2170" s="9"/>
      <c r="AQ2170" s="9"/>
      <c r="AR2170" s="9"/>
      <c r="AS2170" s="9"/>
      <c r="AT2170" s="9"/>
      <c r="AU2170" s="9"/>
    </row>
    <row r="2171" spans="1:47" ht="15.75" customHeight="1">
      <c r="A2171" s="9"/>
      <c r="B2171" s="9"/>
      <c r="C2171" s="9"/>
      <c r="D2171" s="9"/>
      <c r="E2171" s="9"/>
      <c r="F2171" s="67"/>
      <c r="G2171" s="9"/>
      <c r="H2171" s="9"/>
      <c r="I2171" s="9"/>
      <c r="J2171" s="9"/>
      <c r="K2171" s="9"/>
      <c r="L2171" s="9"/>
      <c r="M2171" s="9"/>
      <c r="N2171" s="9"/>
      <c r="O2171" s="9"/>
      <c r="P2171" s="9"/>
      <c r="Q2171" s="9"/>
      <c r="R2171" s="9"/>
      <c r="S2171" s="9"/>
      <c r="T2171" s="9"/>
      <c r="U2171" s="9"/>
      <c r="V2171" s="9"/>
      <c r="W2171" s="9"/>
      <c r="X2171" s="9"/>
      <c r="Y2171" s="9"/>
      <c r="Z2171" s="9"/>
      <c r="AA2171" s="9"/>
      <c r="AB2171" s="9"/>
      <c r="AC2171" s="9"/>
      <c r="AD2171" s="9"/>
      <c r="AE2171" s="9"/>
      <c r="AF2171" s="9"/>
      <c r="AG2171" s="9"/>
      <c r="AH2171" s="9"/>
      <c r="AI2171" s="9"/>
      <c r="AJ2171" s="9"/>
      <c r="AK2171" s="9"/>
      <c r="AL2171" s="9"/>
      <c r="AM2171" s="9"/>
      <c r="AN2171" s="9"/>
      <c r="AO2171" s="9"/>
      <c r="AP2171" s="9"/>
      <c r="AQ2171" s="9"/>
      <c r="AR2171" s="9"/>
      <c r="AS2171" s="9"/>
      <c r="AT2171" s="9"/>
      <c r="AU2171" s="9"/>
    </row>
    <row r="2172" spans="1:47" ht="15.75" customHeight="1">
      <c r="A2172" s="9"/>
      <c r="B2172" s="9"/>
      <c r="C2172" s="9"/>
      <c r="D2172" s="9"/>
      <c r="E2172" s="9"/>
      <c r="F2172" s="67"/>
      <c r="G2172" s="9"/>
      <c r="H2172" s="9"/>
      <c r="I2172" s="9"/>
      <c r="J2172" s="9"/>
      <c r="K2172" s="9"/>
      <c r="L2172" s="9"/>
      <c r="M2172" s="9"/>
      <c r="N2172" s="9"/>
      <c r="O2172" s="9"/>
      <c r="P2172" s="9"/>
      <c r="Q2172" s="9"/>
      <c r="R2172" s="9"/>
      <c r="S2172" s="9"/>
      <c r="T2172" s="9"/>
      <c r="U2172" s="9"/>
      <c r="V2172" s="9"/>
      <c r="W2172" s="9"/>
      <c r="X2172" s="9"/>
      <c r="Y2172" s="9"/>
      <c r="Z2172" s="9"/>
      <c r="AA2172" s="9"/>
      <c r="AB2172" s="9"/>
      <c r="AC2172" s="9"/>
      <c r="AD2172" s="9"/>
      <c r="AE2172" s="9"/>
      <c r="AF2172" s="9"/>
      <c r="AG2172" s="9"/>
      <c r="AH2172" s="9"/>
      <c r="AI2172" s="9"/>
      <c r="AJ2172" s="9"/>
      <c r="AK2172" s="9"/>
      <c r="AL2172" s="9"/>
      <c r="AM2172" s="9"/>
      <c r="AN2172" s="9"/>
      <c r="AO2172" s="9"/>
      <c r="AP2172" s="9"/>
      <c r="AQ2172" s="9"/>
      <c r="AR2172" s="9"/>
      <c r="AS2172" s="9"/>
      <c r="AT2172" s="9"/>
      <c r="AU2172" s="9"/>
    </row>
    <row r="2173" spans="1:47" ht="15.75" customHeight="1">
      <c r="A2173" s="9"/>
      <c r="B2173" s="9"/>
      <c r="C2173" s="9"/>
      <c r="D2173" s="9"/>
      <c r="E2173" s="9"/>
      <c r="F2173" s="67"/>
      <c r="G2173" s="9"/>
      <c r="H2173" s="9"/>
      <c r="I2173" s="9"/>
      <c r="J2173" s="9"/>
      <c r="K2173" s="9"/>
      <c r="L2173" s="9"/>
      <c r="M2173" s="9"/>
      <c r="N2173" s="9"/>
      <c r="O2173" s="9"/>
      <c r="P2173" s="9"/>
      <c r="Q2173" s="9"/>
      <c r="R2173" s="9"/>
      <c r="S2173" s="9"/>
      <c r="T2173" s="9"/>
      <c r="U2173" s="9"/>
      <c r="V2173" s="9"/>
      <c r="W2173" s="9"/>
      <c r="X2173" s="9"/>
      <c r="Y2173" s="9"/>
      <c r="Z2173" s="9"/>
      <c r="AA2173" s="9"/>
      <c r="AB2173" s="9"/>
      <c r="AC2173" s="9"/>
      <c r="AD2173" s="9"/>
      <c r="AE2173" s="9"/>
      <c r="AF2173" s="9"/>
      <c r="AG2173" s="9"/>
      <c r="AH2173" s="9"/>
      <c r="AI2173" s="9"/>
      <c r="AJ2173" s="9"/>
      <c r="AK2173" s="9"/>
      <c r="AL2173" s="9"/>
      <c r="AM2173" s="9"/>
      <c r="AN2173" s="9"/>
      <c r="AO2173" s="9"/>
      <c r="AP2173" s="9"/>
      <c r="AQ2173" s="9"/>
      <c r="AR2173" s="9"/>
      <c r="AS2173" s="9"/>
      <c r="AT2173" s="9"/>
      <c r="AU2173" s="9"/>
    </row>
    <row r="2174" spans="1:47" ht="15.75" customHeight="1">
      <c r="A2174" s="9"/>
      <c r="B2174" s="9"/>
      <c r="C2174" s="9"/>
      <c r="D2174" s="9"/>
      <c r="E2174" s="9"/>
      <c r="F2174" s="67"/>
      <c r="G2174" s="9"/>
      <c r="H2174" s="9"/>
      <c r="I2174" s="9"/>
      <c r="J2174" s="9"/>
      <c r="K2174" s="9"/>
      <c r="L2174" s="9"/>
      <c r="M2174" s="9"/>
      <c r="N2174" s="9"/>
      <c r="O2174" s="9"/>
      <c r="P2174" s="9"/>
      <c r="Q2174" s="9"/>
      <c r="R2174" s="9"/>
      <c r="S2174" s="9"/>
      <c r="T2174" s="9"/>
      <c r="U2174" s="9"/>
      <c r="V2174" s="9"/>
      <c r="W2174" s="9"/>
      <c r="X2174" s="9"/>
      <c r="Y2174" s="9"/>
      <c r="Z2174" s="9"/>
      <c r="AA2174" s="9"/>
      <c r="AB2174" s="9"/>
      <c r="AC2174" s="9"/>
      <c r="AD2174" s="9"/>
      <c r="AE2174" s="9"/>
      <c r="AF2174" s="9"/>
      <c r="AG2174" s="9"/>
      <c r="AH2174" s="9"/>
      <c r="AI2174" s="9"/>
      <c r="AJ2174" s="9"/>
      <c r="AK2174" s="9"/>
      <c r="AL2174" s="9"/>
      <c r="AM2174" s="9"/>
      <c r="AN2174" s="9"/>
      <c r="AO2174" s="9"/>
      <c r="AP2174" s="9"/>
      <c r="AQ2174" s="9"/>
      <c r="AR2174" s="9"/>
      <c r="AS2174" s="9"/>
      <c r="AT2174" s="9"/>
      <c r="AU2174" s="9"/>
    </row>
    <row r="2175" spans="1:47" ht="15.75" customHeight="1">
      <c r="A2175" s="9"/>
      <c r="B2175" s="9"/>
      <c r="C2175" s="9"/>
      <c r="D2175" s="9"/>
      <c r="E2175" s="9"/>
      <c r="F2175" s="67"/>
      <c r="G2175" s="9"/>
      <c r="H2175" s="9"/>
      <c r="I2175" s="9"/>
      <c r="J2175" s="9"/>
      <c r="K2175" s="9"/>
      <c r="L2175" s="9"/>
      <c r="M2175" s="9"/>
      <c r="N2175" s="9"/>
      <c r="O2175" s="9"/>
      <c r="P2175" s="9"/>
      <c r="Q2175" s="9"/>
      <c r="R2175" s="9"/>
      <c r="S2175" s="9"/>
      <c r="T2175" s="9"/>
      <c r="U2175" s="9"/>
      <c r="V2175" s="9"/>
      <c r="W2175" s="9"/>
      <c r="X2175" s="9"/>
      <c r="Y2175" s="9"/>
      <c r="Z2175" s="9"/>
      <c r="AA2175" s="9"/>
      <c r="AB2175" s="9"/>
      <c r="AC2175" s="9"/>
      <c r="AD2175" s="9"/>
      <c r="AE2175" s="9"/>
      <c r="AF2175" s="9"/>
      <c r="AG2175" s="9"/>
      <c r="AH2175" s="9"/>
      <c r="AI2175" s="9"/>
      <c r="AJ2175" s="9"/>
      <c r="AK2175" s="9"/>
      <c r="AL2175" s="9"/>
      <c r="AM2175" s="9"/>
      <c r="AN2175" s="9"/>
      <c r="AO2175" s="9"/>
      <c r="AP2175" s="9"/>
      <c r="AQ2175" s="9"/>
      <c r="AR2175" s="9"/>
      <c r="AS2175" s="9"/>
      <c r="AT2175" s="9"/>
      <c r="AU2175" s="9"/>
    </row>
    <row r="2176" spans="1:47" ht="15.75" customHeight="1">
      <c r="A2176" s="9"/>
      <c r="B2176" s="9"/>
      <c r="C2176" s="9"/>
      <c r="D2176" s="9"/>
      <c r="E2176" s="9"/>
      <c r="F2176" s="67"/>
      <c r="G2176" s="9"/>
      <c r="H2176" s="9"/>
      <c r="I2176" s="9"/>
      <c r="J2176" s="9"/>
      <c r="K2176" s="9"/>
      <c r="L2176" s="9"/>
      <c r="M2176" s="9"/>
      <c r="N2176" s="9"/>
      <c r="O2176" s="9"/>
      <c r="P2176" s="9"/>
      <c r="Q2176" s="9"/>
      <c r="R2176" s="9"/>
      <c r="S2176" s="9"/>
      <c r="T2176" s="9"/>
      <c r="U2176" s="9"/>
      <c r="V2176" s="9"/>
      <c r="W2176" s="9"/>
      <c r="X2176" s="9"/>
      <c r="Y2176" s="9"/>
      <c r="Z2176" s="9"/>
      <c r="AA2176" s="9"/>
      <c r="AB2176" s="9"/>
      <c r="AC2176" s="9"/>
      <c r="AD2176" s="9"/>
      <c r="AE2176" s="9"/>
      <c r="AF2176" s="9"/>
      <c r="AG2176" s="9"/>
      <c r="AH2176" s="9"/>
      <c r="AI2176" s="9"/>
      <c r="AJ2176" s="9"/>
      <c r="AK2176" s="9"/>
      <c r="AL2176" s="9"/>
      <c r="AM2176" s="9"/>
      <c r="AN2176" s="9"/>
      <c r="AO2176" s="9"/>
      <c r="AP2176" s="9"/>
      <c r="AQ2176" s="9"/>
      <c r="AR2176" s="9"/>
      <c r="AS2176" s="9"/>
      <c r="AT2176" s="9"/>
      <c r="AU2176" s="9"/>
    </row>
    <row r="2177" spans="1:47" ht="15.75" customHeight="1">
      <c r="A2177" s="9"/>
      <c r="B2177" s="9"/>
      <c r="C2177" s="9"/>
      <c r="D2177" s="9"/>
      <c r="E2177" s="9"/>
      <c r="F2177" s="67"/>
      <c r="G2177" s="9"/>
      <c r="H2177" s="9"/>
      <c r="I2177" s="9"/>
      <c r="J2177" s="9"/>
      <c r="K2177" s="9"/>
      <c r="L2177" s="9"/>
      <c r="M2177" s="9"/>
      <c r="N2177" s="9"/>
      <c r="O2177" s="9"/>
      <c r="P2177" s="9"/>
      <c r="Q2177" s="9"/>
      <c r="R2177" s="9"/>
      <c r="S2177" s="9"/>
      <c r="T2177" s="9"/>
      <c r="U2177" s="9"/>
      <c r="V2177" s="9"/>
      <c r="W2177" s="9"/>
      <c r="X2177" s="9"/>
      <c r="Y2177" s="9"/>
      <c r="Z2177" s="9"/>
      <c r="AA2177" s="9"/>
      <c r="AB2177" s="9"/>
      <c r="AC2177" s="9"/>
      <c r="AD2177" s="9"/>
      <c r="AE2177" s="9"/>
      <c r="AF2177" s="9"/>
      <c r="AG2177" s="9"/>
      <c r="AH2177" s="9"/>
      <c r="AI2177" s="9"/>
      <c r="AJ2177" s="9"/>
      <c r="AK2177" s="9"/>
      <c r="AL2177" s="9"/>
      <c r="AM2177" s="9"/>
      <c r="AN2177" s="9"/>
      <c r="AO2177" s="9"/>
      <c r="AP2177" s="9"/>
      <c r="AQ2177" s="9"/>
      <c r="AR2177" s="9"/>
      <c r="AS2177" s="9"/>
      <c r="AT2177" s="9"/>
      <c r="AU2177" s="9"/>
    </row>
    <row r="2178" spans="1:47" ht="15.75" customHeight="1">
      <c r="A2178" s="9"/>
      <c r="B2178" s="9"/>
      <c r="C2178" s="9"/>
      <c r="D2178" s="9"/>
      <c r="E2178" s="9"/>
      <c r="F2178" s="67"/>
      <c r="G2178" s="9"/>
      <c r="H2178" s="9"/>
      <c r="I2178" s="9"/>
      <c r="J2178" s="9"/>
      <c r="K2178" s="9"/>
      <c r="L2178" s="9"/>
      <c r="M2178" s="9"/>
      <c r="N2178" s="9"/>
      <c r="O2178" s="9"/>
      <c r="P2178" s="9"/>
      <c r="Q2178" s="9"/>
      <c r="R2178" s="9"/>
      <c r="S2178" s="9"/>
      <c r="T2178" s="9"/>
      <c r="U2178" s="9"/>
      <c r="V2178" s="9"/>
      <c r="W2178" s="9"/>
      <c r="X2178" s="9"/>
      <c r="Y2178" s="9"/>
      <c r="Z2178" s="9"/>
      <c r="AA2178" s="9"/>
      <c r="AB2178" s="9"/>
      <c r="AC2178" s="9"/>
      <c r="AD2178" s="9"/>
      <c r="AE2178" s="9"/>
      <c r="AF2178" s="9"/>
      <c r="AG2178" s="9"/>
      <c r="AH2178" s="9"/>
      <c r="AI2178" s="9"/>
      <c r="AJ2178" s="9"/>
      <c r="AK2178" s="9"/>
      <c r="AL2178" s="9"/>
      <c r="AM2178" s="9"/>
      <c r="AN2178" s="9"/>
      <c r="AO2178" s="9"/>
      <c r="AP2178" s="9"/>
      <c r="AQ2178" s="9"/>
      <c r="AR2178" s="9"/>
      <c r="AS2178" s="9"/>
      <c r="AT2178" s="9"/>
      <c r="AU2178" s="9"/>
    </row>
    <row r="2179" spans="1:47" ht="15.75" customHeight="1">
      <c r="A2179" s="9"/>
      <c r="B2179" s="9"/>
      <c r="C2179" s="9"/>
      <c r="D2179" s="9"/>
      <c r="E2179" s="9"/>
      <c r="F2179" s="67"/>
      <c r="G2179" s="9"/>
      <c r="H2179" s="9"/>
      <c r="I2179" s="9"/>
      <c r="J2179" s="9"/>
      <c r="K2179" s="9"/>
      <c r="L2179" s="9"/>
      <c r="M2179" s="9"/>
      <c r="N2179" s="9"/>
      <c r="O2179" s="9"/>
      <c r="P2179" s="9"/>
      <c r="Q2179" s="9"/>
      <c r="R2179" s="9"/>
      <c r="S2179" s="9"/>
      <c r="T2179" s="9"/>
      <c r="U2179" s="9"/>
      <c r="V2179" s="9"/>
      <c r="W2179" s="9"/>
      <c r="X2179" s="9"/>
      <c r="Y2179" s="9"/>
      <c r="Z2179" s="9"/>
      <c r="AA2179" s="9"/>
      <c r="AB2179" s="9"/>
      <c r="AC2179" s="9"/>
      <c r="AD2179" s="9"/>
      <c r="AE2179" s="9"/>
      <c r="AF2179" s="9"/>
      <c r="AG2179" s="9"/>
      <c r="AH2179" s="9"/>
      <c r="AI2179" s="9"/>
      <c r="AJ2179" s="9"/>
      <c r="AK2179" s="9"/>
      <c r="AL2179" s="9"/>
      <c r="AM2179" s="9"/>
      <c r="AN2179" s="9"/>
      <c r="AO2179" s="9"/>
      <c r="AP2179" s="9"/>
      <c r="AQ2179" s="9"/>
      <c r="AR2179" s="9"/>
      <c r="AS2179" s="9"/>
      <c r="AT2179" s="9"/>
      <c r="AU2179" s="9"/>
    </row>
    <row r="2180" spans="1:47" ht="15.75" customHeight="1">
      <c r="A2180" s="9"/>
      <c r="B2180" s="9"/>
      <c r="C2180" s="9"/>
      <c r="D2180" s="9"/>
      <c r="E2180" s="9"/>
      <c r="F2180" s="67"/>
      <c r="G2180" s="9"/>
      <c r="H2180" s="9"/>
      <c r="I2180" s="9"/>
      <c r="J2180" s="9"/>
      <c r="K2180" s="9"/>
      <c r="L2180" s="9"/>
      <c r="M2180" s="9"/>
      <c r="N2180" s="9"/>
      <c r="O2180" s="9"/>
      <c r="P2180" s="9"/>
      <c r="Q2180" s="9"/>
      <c r="R2180" s="9"/>
      <c r="S2180" s="9"/>
      <c r="T2180" s="9"/>
      <c r="U2180" s="9"/>
      <c r="V2180" s="9"/>
      <c r="W2180" s="9"/>
      <c r="X2180" s="9"/>
      <c r="Y2180" s="9"/>
      <c r="Z2180" s="9"/>
      <c r="AA2180" s="9"/>
      <c r="AB2180" s="9"/>
      <c r="AC2180" s="9"/>
      <c r="AD2180" s="9"/>
      <c r="AE2180" s="9"/>
      <c r="AF2180" s="9"/>
      <c r="AG2180" s="9"/>
      <c r="AH2180" s="9"/>
      <c r="AI2180" s="9"/>
      <c r="AJ2180" s="9"/>
      <c r="AK2180" s="9"/>
      <c r="AL2180" s="9"/>
      <c r="AM2180" s="9"/>
      <c r="AN2180" s="9"/>
      <c r="AO2180" s="9"/>
      <c r="AP2180" s="9"/>
      <c r="AQ2180" s="9"/>
      <c r="AR2180" s="9"/>
      <c r="AS2180" s="9"/>
      <c r="AT2180" s="9"/>
      <c r="AU2180" s="9"/>
    </row>
    <row r="2181" spans="1:47" ht="15.75" customHeight="1">
      <c r="A2181" s="9"/>
      <c r="B2181" s="9"/>
      <c r="C2181" s="9"/>
      <c r="D2181" s="9"/>
      <c r="E2181" s="9"/>
      <c r="F2181" s="67"/>
      <c r="G2181" s="9"/>
      <c r="H2181" s="9"/>
      <c r="I2181" s="9"/>
      <c r="J2181" s="9"/>
      <c r="K2181" s="9"/>
      <c r="L2181" s="9"/>
      <c r="M2181" s="9"/>
      <c r="N2181" s="9"/>
      <c r="O2181" s="9"/>
      <c r="P2181" s="9"/>
      <c r="Q2181" s="9"/>
      <c r="R2181" s="9"/>
      <c r="S2181" s="9"/>
      <c r="T2181" s="9"/>
      <c r="U2181" s="9"/>
      <c r="V2181" s="9"/>
      <c r="W2181" s="9"/>
      <c r="X2181" s="9"/>
      <c r="Y2181" s="9"/>
      <c r="Z2181" s="9"/>
      <c r="AA2181" s="9"/>
      <c r="AB2181" s="9"/>
      <c r="AC2181" s="9"/>
      <c r="AD2181" s="9"/>
      <c r="AE2181" s="9"/>
      <c r="AF2181" s="9"/>
      <c r="AG2181" s="9"/>
      <c r="AH2181" s="9"/>
      <c r="AI2181" s="9"/>
      <c r="AJ2181" s="9"/>
      <c r="AK2181" s="9"/>
      <c r="AL2181" s="9"/>
      <c r="AM2181" s="9"/>
      <c r="AN2181" s="9"/>
      <c r="AO2181" s="9"/>
      <c r="AP2181" s="9"/>
      <c r="AQ2181" s="9"/>
      <c r="AR2181" s="9"/>
      <c r="AS2181" s="9"/>
      <c r="AT2181" s="9"/>
      <c r="AU2181" s="9"/>
    </row>
    <row r="2182" spans="1:47" ht="15.75" customHeight="1">
      <c r="A2182" s="9"/>
      <c r="B2182" s="9"/>
      <c r="C2182" s="9"/>
      <c r="D2182" s="9"/>
      <c r="E2182" s="9"/>
      <c r="F2182" s="67"/>
      <c r="G2182" s="9"/>
      <c r="H2182" s="9"/>
      <c r="I2182" s="9"/>
      <c r="J2182" s="9"/>
      <c r="K2182" s="9"/>
      <c r="L2182" s="9"/>
      <c r="M2182" s="9"/>
      <c r="N2182" s="9"/>
      <c r="O2182" s="9"/>
      <c r="P2182" s="9"/>
      <c r="Q2182" s="9"/>
      <c r="R2182" s="9"/>
      <c r="S2182" s="9"/>
      <c r="T2182" s="9"/>
      <c r="U2182" s="9"/>
      <c r="V2182" s="9"/>
      <c r="W2182" s="9"/>
      <c r="X2182" s="9"/>
      <c r="Y2182" s="9"/>
      <c r="Z2182" s="9"/>
      <c r="AA2182" s="9"/>
      <c r="AB2182" s="9"/>
      <c r="AC2182" s="9"/>
      <c r="AD2182" s="9"/>
      <c r="AE2182" s="9"/>
      <c r="AF2182" s="9"/>
      <c r="AG2182" s="9"/>
      <c r="AH2182" s="9"/>
      <c r="AI2182" s="9"/>
      <c r="AJ2182" s="9"/>
      <c r="AK2182" s="9"/>
      <c r="AL2182" s="9"/>
      <c r="AM2182" s="9"/>
      <c r="AN2182" s="9"/>
      <c r="AO2182" s="9"/>
      <c r="AP2182" s="9"/>
      <c r="AQ2182" s="9"/>
      <c r="AR2182" s="9"/>
      <c r="AS2182" s="9"/>
      <c r="AT2182" s="9"/>
      <c r="AU2182" s="9"/>
    </row>
    <row r="2183" spans="1:47" ht="15.75" customHeight="1">
      <c r="A2183" s="9"/>
      <c r="B2183" s="9"/>
      <c r="C2183" s="9"/>
      <c r="D2183" s="9"/>
      <c r="E2183" s="9"/>
      <c r="F2183" s="67"/>
      <c r="G2183" s="9"/>
      <c r="H2183" s="9"/>
      <c r="I2183" s="9"/>
      <c r="J2183" s="9"/>
      <c r="K2183" s="9"/>
      <c r="L2183" s="9"/>
      <c r="M2183" s="9"/>
      <c r="N2183" s="9"/>
      <c r="O2183" s="9"/>
      <c r="P2183" s="9"/>
      <c r="Q2183" s="9"/>
      <c r="R2183" s="9"/>
      <c r="S2183" s="9"/>
      <c r="T2183" s="9"/>
      <c r="U2183" s="9"/>
      <c r="V2183" s="9"/>
      <c r="W2183" s="9"/>
      <c r="X2183" s="9"/>
      <c r="Y2183" s="9"/>
      <c r="Z2183" s="9"/>
      <c r="AA2183" s="9"/>
      <c r="AB2183" s="9"/>
      <c r="AC2183" s="9"/>
      <c r="AD2183" s="9"/>
      <c r="AE2183" s="9"/>
      <c r="AF2183" s="9"/>
      <c r="AG2183" s="9"/>
      <c r="AH2183" s="9"/>
      <c r="AI2183" s="9"/>
      <c r="AJ2183" s="9"/>
      <c r="AK2183" s="9"/>
      <c r="AL2183" s="9"/>
      <c r="AM2183" s="9"/>
      <c r="AN2183" s="9"/>
      <c r="AO2183" s="9"/>
      <c r="AP2183" s="9"/>
      <c r="AQ2183" s="9"/>
      <c r="AR2183" s="9"/>
      <c r="AS2183" s="9"/>
      <c r="AT2183" s="9"/>
      <c r="AU2183" s="9"/>
    </row>
    <row r="2184" spans="1:47" ht="15.75" customHeight="1">
      <c r="A2184" s="9"/>
      <c r="B2184" s="9"/>
      <c r="C2184" s="9"/>
      <c r="D2184" s="9"/>
      <c r="E2184" s="9"/>
      <c r="F2184" s="67"/>
      <c r="G2184" s="9"/>
      <c r="H2184" s="9"/>
      <c r="I2184" s="9"/>
      <c r="J2184" s="9"/>
      <c r="K2184" s="9"/>
      <c r="L2184" s="9"/>
      <c r="M2184" s="9"/>
      <c r="N2184" s="9"/>
      <c r="O2184" s="9"/>
      <c r="P2184" s="9"/>
      <c r="Q2184" s="9"/>
      <c r="R2184" s="9"/>
      <c r="S2184" s="9"/>
      <c r="T2184" s="9"/>
      <c r="U2184" s="9"/>
      <c r="V2184" s="9"/>
      <c r="W2184" s="9"/>
      <c r="X2184" s="9"/>
      <c r="Y2184" s="9"/>
      <c r="Z2184" s="9"/>
      <c r="AA2184" s="9"/>
      <c r="AB2184" s="9"/>
      <c r="AC2184" s="9"/>
      <c r="AD2184" s="9"/>
      <c r="AE2184" s="9"/>
      <c r="AF2184" s="9"/>
      <c r="AG2184" s="9"/>
      <c r="AH2184" s="9"/>
      <c r="AI2184" s="9"/>
      <c r="AJ2184" s="9"/>
      <c r="AK2184" s="9"/>
      <c r="AL2184" s="9"/>
      <c r="AM2184" s="9"/>
      <c r="AN2184" s="9"/>
      <c r="AO2184" s="9"/>
      <c r="AP2184" s="9"/>
      <c r="AQ2184" s="9"/>
      <c r="AR2184" s="9"/>
      <c r="AS2184" s="9"/>
      <c r="AT2184" s="9"/>
      <c r="AU2184" s="9"/>
    </row>
    <row r="2185" spans="1:47" ht="15.75" customHeight="1">
      <c r="A2185" s="9"/>
      <c r="B2185" s="9"/>
      <c r="C2185" s="9"/>
      <c r="D2185" s="9"/>
      <c r="E2185" s="9"/>
      <c r="F2185" s="67"/>
      <c r="G2185" s="9"/>
      <c r="H2185" s="9"/>
      <c r="I2185" s="9"/>
      <c r="J2185" s="9"/>
      <c r="K2185" s="9"/>
      <c r="L2185" s="9"/>
      <c r="M2185" s="9"/>
      <c r="N2185" s="9"/>
      <c r="O2185" s="9"/>
      <c r="P2185" s="9"/>
      <c r="Q2185" s="9"/>
      <c r="R2185" s="9"/>
      <c r="S2185" s="9"/>
      <c r="T2185" s="9"/>
      <c r="U2185" s="9"/>
      <c r="V2185" s="9"/>
      <c r="W2185" s="9"/>
      <c r="X2185" s="9"/>
      <c r="Y2185" s="9"/>
      <c r="Z2185" s="9"/>
      <c r="AA2185" s="9"/>
      <c r="AB2185" s="9"/>
      <c r="AC2185" s="9"/>
      <c r="AD2185" s="9"/>
      <c r="AE2185" s="9"/>
      <c r="AF2185" s="9"/>
      <c r="AG2185" s="9"/>
      <c r="AH2185" s="9"/>
      <c r="AI2185" s="9"/>
      <c r="AJ2185" s="9"/>
      <c r="AK2185" s="9"/>
      <c r="AL2185" s="9"/>
      <c r="AM2185" s="9"/>
      <c r="AN2185" s="9"/>
      <c r="AO2185" s="9"/>
      <c r="AP2185" s="9"/>
      <c r="AQ2185" s="9"/>
      <c r="AR2185" s="9"/>
      <c r="AS2185" s="9"/>
      <c r="AT2185" s="9"/>
      <c r="AU2185" s="9"/>
    </row>
    <row r="2186" spans="1:47" ht="15.75" customHeight="1">
      <c r="A2186" s="9"/>
      <c r="B2186" s="9"/>
      <c r="C2186" s="9"/>
      <c r="D2186" s="9"/>
      <c r="E2186" s="9"/>
      <c r="F2186" s="67"/>
      <c r="G2186" s="9"/>
      <c r="H2186" s="9"/>
      <c r="I2186" s="9"/>
      <c r="J2186" s="9"/>
      <c r="K2186" s="9"/>
      <c r="L2186" s="9"/>
      <c r="M2186" s="9"/>
      <c r="N2186" s="9"/>
      <c r="O2186" s="9"/>
      <c r="P2186" s="9"/>
      <c r="Q2186" s="9"/>
      <c r="R2186" s="9"/>
      <c r="S2186" s="9"/>
      <c r="T2186" s="9"/>
      <c r="U2186" s="9"/>
      <c r="V2186" s="9"/>
      <c r="W2186" s="9"/>
      <c r="X2186" s="9"/>
      <c r="Y2186" s="9"/>
      <c r="Z2186" s="9"/>
      <c r="AA2186" s="9"/>
      <c r="AB2186" s="9"/>
      <c r="AC2186" s="9"/>
      <c r="AD2186" s="9"/>
      <c r="AE2186" s="9"/>
      <c r="AF2186" s="9"/>
      <c r="AG2186" s="9"/>
      <c r="AH2186" s="9"/>
      <c r="AI2186" s="9"/>
      <c r="AJ2186" s="9"/>
      <c r="AK2186" s="9"/>
      <c r="AL2186" s="9"/>
      <c r="AM2186" s="9"/>
      <c r="AN2186" s="9"/>
      <c r="AO2186" s="9"/>
      <c r="AP2186" s="9"/>
      <c r="AQ2186" s="9"/>
      <c r="AR2186" s="9"/>
      <c r="AS2186" s="9"/>
      <c r="AT2186" s="9"/>
      <c r="AU2186" s="9"/>
    </row>
    <row r="2187" spans="1:47" ht="15.75" customHeight="1">
      <c r="A2187" s="9"/>
      <c r="B2187" s="9"/>
      <c r="C2187" s="9"/>
      <c r="D2187" s="9"/>
      <c r="E2187" s="9"/>
      <c r="F2187" s="67"/>
      <c r="G2187" s="9"/>
      <c r="H2187" s="9"/>
      <c r="I2187" s="9"/>
      <c r="J2187" s="9"/>
      <c r="K2187" s="9"/>
      <c r="L2187" s="9"/>
      <c r="M2187" s="9"/>
      <c r="N2187" s="9"/>
      <c r="O2187" s="9"/>
      <c r="P2187" s="9"/>
      <c r="Q2187" s="9"/>
      <c r="R2187" s="9"/>
      <c r="S2187" s="9"/>
      <c r="T2187" s="9"/>
      <c r="U2187" s="9"/>
      <c r="V2187" s="9"/>
      <c r="W2187" s="9"/>
      <c r="X2187" s="9"/>
      <c r="Y2187" s="9"/>
      <c r="Z2187" s="9"/>
      <c r="AA2187" s="9"/>
      <c r="AB2187" s="9"/>
      <c r="AC2187" s="9"/>
      <c r="AD2187" s="9"/>
      <c r="AE2187" s="9"/>
      <c r="AF2187" s="9"/>
      <c r="AG2187" s="9"/>
      <c r="AH2187" s="9"/>
      <c r="AI2187" s="9"/>
      <c r="AJ2187" s="9"/>
      <c r="AK2187" s="9"/>
      <c r="AL2187" s="9"/>
      <c r="AM2187" s="9"/>
      <c r="AN2187" s="9"/>
      <c r="AO2187" s="9"/>
      <c r="AP2187" s="9"/>
      <c r="AQ2187" s="9"/>
      <c r="AR2187" s="9"/>
      <c r="AS2187" s="9"/>
      <c r="AT2187" s="9"/>
      <c r="AU2187" s="9"/>
    </row>
    <row r="2188" spans="1:47" ht="15.75" customHeight="1">
      <c r="A2188" s="9"/>
      <c r="B2188" s="9"/>
      <c r="C2188" s="9"/>
      <c r="D2188" s="9"/>
      <c r="E2188" s="9"/>
      <c r="F2188" s="67"/>
      <c r="G2188" s="9"/>
      <c r="H2188" s="9"/>
      <c r="I2188" s="9"/>
      <c r="J2188" s="9"/>
      <c r="K2188" s="9"/>
      <c r="L2188" s="9"/>
      <c r="M2188" s="9"/>
      <c r="N2188" s="9"/>
      <c r="O2188" s="9"/>
      <c r="P2188" s="9"/>
      <c r="Q2188" s="9"/>
      <c r="R2188" s="9"/>
      <c r="S2188" s="9"/>
      <c r="T2188" s="9"/>
      <c r="U2188" s="9"/>
      <c r="V2188" s="9"/>
      <c r="W2188" s="9"/>
      <c r="X2188" s="9"/>
      <c r="Y2188" s="9"/>
      <c r="Z2188" s="9"/>
      <c r="AA2188" s="9"/>
      <c r="AB2188" s="9"/>
      <c r="AC2188" s="9"/>
      <c r="AD2188" s="9"/>
      <c r="AE2188" s="9"/>
      <c r="AF2188" s="9"/>
      <c r="AG2188" s="9"/>
      <c r="AH2188" s="9"/>
      <c r="AI2188" s="9"/>
      <c r="AJ2188" s="9"/>
      <c r="AK2188" s="9"/>
      <c r="AL2188" s="9"/>
      <c r="AM2188" s="9"/>
      <c r="AN2188" s="9"/>
      <c r="AO2188" s="9"/>
      <c r="AP2188" s="9"/>
      <c r="AQ2188" s="9"/>
      <c r="AR2188" s="9"/>
      <c r="AS2188" s="9"/>
      <c r="AT2188" s="9"/>
      <c r="AU2188" s="9"/>
    </row>
    <row r="2189" spans="1:47" ht="15.75" customHeight="1">
      <c r="A2189" s="9"/>
      <c r="B2189" s="9"/>
      <c r="C2189" s="9"/>
      <c r="D2189" s="9"/>
      <c r="E2189" s="9"/>
      <c r="F2189" s="67"/>
      <c r="G2189" s="9"/>
      <c r="H2189" s="9"/>
      <c r="I2189" s="9"/>
      <c r="J2189" s="9"/>
      <c r="K2189" s="9"/>
      <c r="L2189" s="9"/>
      <c r="M2189" s="9"/>
      <c r="N2189" s="9"/>
      <c r="O2189" s="9"/>
      <c r="P2189" s="9"/>
      <c r="Q2189" s="9"/>
      <c r="R2189" s="9"/>
      <c r="S2189" s="9"/>
      <c r="T2189" s="9"/>
      <c r="U2189" s="9"/>
      <c r="V2189" s="9"/>
      <c r="W2189" s="9"/>
      <c r="X2189" s="9"/>
      <c r="Y2189" s="9"/>
      <c r="Z2189" s="9"/>
      <c r="AA2189" s="9"/>
      <c r="AB2189" s="9"/>
      <c r="AC2189" s="9"/>
      <c r="AD2189" s="9"/>
      <c r="AE2189" s="9"/>
      <c r="AF2189" s="9"/>
      <c r="AG2189" s="9"/>
      <c r="AH2189" s="9"/>
      <c r="AI2189" s="9"/>
      <c r="AJ2189" s="9"/>
      <c r="AK2189" s="9"/>
      <c r="AL2189" s="9"/>
      <c r="AM2189" s="9"/>
      <c r="AN2189" s="9"/>
      <c r="AO2189" s="9"/>
      <c r="AP2189" s="9"/>
      <c r="AQ2189" s="9"/>
      <c r="AR2189" s="9"/>
      <c r="AS2189" s="9"/>
      <c r="AT2189" s="9"/>
      <c r="AU2189" s="9"/>
    </row>
    <row r="2190" spans="1:47" ht="15.75" customHeight="1">
      <c r="A2190" s="9"/>
      <c r="B2190" s="9"/>
      <c r="C2190" s="9"/>
      <c r="D2190" s="9"/>
      <c r="E2190" s="9"/>
      <c r="F2190" s="67"/>
      <c r="G2190" s="9"/>
      <c r="H2190" s="9"/>
      <c r="I2190" s="9"/>
      <c r="J2190" s="9"/>
      <c r="K2190" s="9"/>
      <c r="L2190" s="9"/>
      <c r="M2190" s="9"/>
      <c r="N2190" s="9"/>
      <c r="O2190" s="9"/>
      <c r="P2190" s="9"/>
      <c r="Q2190" s="9"/>
      <c r="R2190" s="9"/>
      <c r="S2190" s="9"/>
      <c r="T2190" s="9"/>
      <c r="U2190" s="9"/>
      <c r="V2190" s="9"/>
      <c r="W2190" s="9"/>
      <c r="X2190" s="9"/>
      <c r="Y2190" s="9"/>
      <c r="Z2190" s="9"/>
      <c r="AA2190" s="9"/>
      <c r="AB2190" s="9"/>
      <c r="AC2190" s="9"/>
      <c r="AD2190" s="9"/>
      <c r="AE2190" s="9"/>
      <c r="AF2190" s="9"/>
      <c r="AG2190" s="9"/>
      <c r="AH2190" s="9"/>
      <c r="AI2190" s="9"/>
      <c r="AJ2190" s="9"/>
      <c r="AK2190" s="9"/>
      <c r="AL2190" s="9"/>
      <c r="AM2190" s="9"/>
      <c r="AN2190" s="9"/>
      <c r="AO2190" s="9"/>
      <c r="AP2190" s="9"/>
      <c r="AQ2190" s="9"/>
      <c r="AR2190" s="9"/>
      <c r="AS2190" s="9"/>
      <c r="AT2190" s="9"/>
      <c r="AU2190" s="9"/>
    </row>
    <row r="2191" spans="1:47" ht="15.75" customHeight="1">
      <c r="A2191" s="9"/>
      <c r="B2191" s="9"/>
      <c r="C2191" s="9"/>
      <c r="D2191" s="9"/>
      <c r="E2191" s="9"/>
      <c r="F2191" s="67"/>
      <c r="G2191" s="9"/>
      <c r="H2191" s="9"/>
      <c r="I2191" s="9"/>
      <c r="J2191" s="9"/>
      <c r="K2191" s="9"/>
      <c r="L2191" s="9"/>
      <c r="M2191" s="9"/>
      <c r="N2191" s="9"/>
      <c r="O2191" s="9"/>
      <c r="P2191" s="9"/>
      <c r="Q2191" s="9"/>
      <c r="R2191" s="9"/>
      <c r="S2191" s="9"/>
      <c r="T2191" s="9"/>
      <c r="U2191" s="9"/>
      <c r="V2191" s="9"/>
      <c r="W2191" s="9"/>
      <c r="X2191" s="9"/>
      <c r="Y2191" s="9"/>
      <c r="Z2191" s="9"/>
      <c r="AA2191" s="9"/>
      <c r="AB2191" s="9"/>
      <c r="AC2191" s="9"/>
      <c r="AD2191" s="9"/>
      <c r="AE2191" s="9"/>
      <c r="AF2191" s="9"/>
      <c r="AG2191" s="9"/>
      <c r="AH2191" s="9"/>
      <c r="AI2191" s="9"/>
      <c r="AJ2191" s="9"/>
      <c r="AK2191" s="9"/>
      <c r="AL2191" s="9"/>
      <c r="AM2191" s="9"/>
      <c r="AN2191" s="9"/>
      <c r="AO2191" s="9"/>
      <c r="AP2191" s="9"/>
      <c r="AQ2191" s="9"/>
      <c r="AR2191" s="9"/>
      <c r="AS2191" s="9"/>
      <c r="AT2191" s="9"/>
      <c r="AU2191" s="9"/>
    </row>
    <row r="2192" spans="1:47" ht="15.75" customHeight="1">
      <c r="A2192" s="9"/>
      <c r="B2192" s="9"/>
      <c r="C2192" s="9"/>
      <c r="D2192" s="9"/>
      <c r="E2192" s="9"/>
      <c r="F2192" s="67"/>
      <c r="G2192" s="9"/>
      <c r="H2192" s="9"/>
      <c r="I2192" s="9"/>
      <c r="J2192" s="9"/>
      <c r="K2192" s="9"/>
      <c r="L2192" s="9"/>
      <c r="M2192" s="9"/>
      <c r="N2192" s="9"/>
      <c r="O2192" s="9"/>
      <c r="P2192" s="9"/>
      <c r="Q2192" s="9"/>
      <c r="R2192" s="9"/>
      <c r="S2192" s="9"/>
      <c r="T2192" s="9"/>
      <c r="U2192" s="9"/>
      <c r="V2192" s="9"/>
      <c r="W2192" s="9"/>
      <c r="X2192" s="9"/>
      <c r="Y2192" s="9"/>
      <c r="Z2192" s="9"/>
      <c r="AA2192" s="9"/>
      <c r="AB2192" s="9"/>
      <c r="AC2192" s="9"/>
      <c r="AD2192" s="9"/>
      <c r="AE2192" s="9"/>
      <c r="AF2192" s="9"/>
      <c r="AG2192" s="9"/>
      <c r="AH2192" s="9"/>
      <c r="AI2192" s="9"/>
      <c r="AJ2192" s="9"/>
      <c r="AK2192" s="9"/>
      <c r="AL2192" s="9"/>
      <c r="AM2192" s="9"/>
      <c r="AN2192" s="9"/>
      <c r="AO2192" s="9"/>
      <c r="AP2192" s="9"/>
      <c r="AQ2192" s="9"/>
      <c r="AR2192" s="9"/>
      <c r="AS2192" s="9"/>
      <c r="AT2192" s="9"/>
      <c r="AU2192" s="9"/>
    </row>
    <row r="2193" spans="1:47" ht="15.75" customHeight="1">
      <c r="A2193" s="9"/>
      <c r="B2193" s="9"/>
      <c r="C2193" s="9"/>
      <c r="D2193" s="9"/>
      <c r="E2193" s="9"/>
      <c r="F2193" s="67"/>
      <c r="G2193" s="9"/>
      <c r="H2193" s="9"/>
      <c r="I2193" s="9"/>
      <c r="J2193" s="9"/>
      <c r="K2193" s="9"/>
      <c r="L2193" s="9"/>
      <c r="M2193" s="9"/>
      <c r="N2193" s="9"/>
      <c r="O2193" s="9"/>
      <c r="P2193" s="9"/>
      <c r="Q2193" s="9"/>
      <c r="R2193" s="9"/>
      <c r="S2193" s="9"/>
      <c r="T2193" s="9"/>
      <c r="U2193" s="9"/>
      <c r="V2193" s="9"/>
      <c r="W2193" s="9"/>
      <c r="X2193" s="9"/>
      <c r="Y2193" s="9"/>
      <c r="Z2193" s="9"/>
      <c r="AA2193" s="9"/>
      <c r="AB2193" s="9"/>
      <c r="AC2193" s="9"/>
      <c r="AD2193" s="9"/>
      <c r="AE2193" s="9"/>
      <c r="AF2193" s="9"/>
      <c r="AG2193" s="9"/>
      <c r="AH2193" s="9"/>
      <c r="AI2193" s="9"/>
      <c r="AJ2193" s="9"/>
      <c r="AK2193" s="9"/>
      <c r="AL2193" s="9"/>
      <c r="AM2193" s="9"/>
      <c r="AN2193" s="9"/>
      <c r="AO2193" s="9"/>
      <c r="AP2193" s="9"/>
      <c r="AQ2193" s="9"/>
      <c r="AR2193" s="9"/>
      <c r="AS2193" s="9"/>
      <c r="AT2193" s="9"/>
      <c r="AU2193" s="9"/>
    </row>
    <row r="2194" spans="1:47" ht="15.75" customHeight="1">
      <c r="A2194" s="9"/>
      <c r="B2194" s="9"/>
      <c r="C2194" s="9"/>
      <c r="D2194" s="9"/>
      <c r="E2194" s="9"/>
      <c r="F2194" s="67"/>
      <c r="G2194" s="9"/>
      <c r="H2194" s="9"/>
      <c r="I2194" s="9"/>
      <c r="J2194" s="9"/>
      <c r="K2194" s="9"/>
      <c r="L2194" s="9"/>
      <c r="M2194" s="9"/>
      <c r="N2194" s="9"/>
      <c r="O2194" s="9"/>
      <c r="P2194" s="9"/>
      <c r="Q2194" s="9"/>
      <c r="R2194" s="9"/>
      <c r="S2194" s="9"/>
      <c r="T2194" s="9"/>
      <c r="U2194" s="9"/>
      <c r="V2194" s="9"/>
      <c r="W2194" s="9"/>
      <c r="X2194" s="9"/>
      <c r="Y2194" s="9"/>
      <c r="Z2194" s="9"/>
      <c r="AA2194" s="9"/>
      <c r="AB2194" s="9"/>
      <c r="AC2194" s="9"/>
      <c r="AD2194" s="9"/>
      <c r="AE2194" s="9"/>
      <c r="AF2194" s="9"/>
      <c r="AG2194" s="9"/>
      <c r="AH2194" s="9"/>
      <c r="AI2194" s="9"/>
      <c r="AJ2194" s="9"/>
      <c r="AK2194" s="9"/>
      <c r="AL2194" s="9"/>
      <c r="AM2194" s="9"/>
      <c r="AN2194" s="9"/>
      <c r="AO2194" s="9"/>
      <c r="AP2194" s="9"/>
      <c r="AQ2194" s="9"/>
      <c r="AR2194" s="9"/>
      <c r="AS2194" s="9"/>
      <c r="AT2194" s="9"/>
      <c r="AU2194" s="9"/>
    </row>
    <row r="2195" spans="1:47" ht="15.75" customHeight="1">
      <c r="A2195" s="9"/>
      <c r="B2195" s="9"/>
      <c r="C2195" s="9"/>
      <c r="D2195" s="9"/>
      <c r="E2195" s="9"/>
      <c r="F2195" s="67"/>
      <c r="G2195" s="9"/>
      <c r="H2195" s="9"/>
      <c r="I2195" s="9"/>
      <c r="J2195" s="9"/>
      <c r="K2195" s="9"/>
      <c r="L2195" s="9"/>
      <c r="M2195" s="9"/>
      <c r="N2195" s="9"/>
      <c r="O2195" s="9"/>
      <c r="P2195" s="9"/>
      <c r="Q2195" s="9"/>
      <c r="R2195" s="9"/>
      <c r="S2195" s="9"/>
      <c r="T2195" s="9"/>
      <c r="U2195" s="9"/>
      <c r="V2195" s="9"/>
      <c r="W2195" s="9"/>
      <c r="X2195" s="9"/>
      <c r="Y2195" s="9"/>
      <c r="Z2195" s="9"/>
      <c r="AA2195" s="9"/>
      <c r="AB2195" s="9"/>
      <c r="AC2195" s="9"/>
      <c r="AD2195" s="9"/>
      <c r="AE2195" s="9"/>
      <c r="AF2195" s="9"/>
      <c r="AG2195" s="9"/>
      <c r="AH2195" s="9"/>
      <c r="AI2195" s="9"/>
      <c r="AJ2195" s="9"/>
      <c r="AK2195" s="9"/>
      <c r="AL2195" s="9"/>
      <c r="AM2195" s="9"/>
      <c r="AN2195" s="9"/>
      <c r="AO2195" s="9"/>
      <c r="AP2195" s="9"/>
      <c r="AQ2195" s="9"/>
      <c r="AR2195" s="9"/>
      <c r="AS2195" s="9"/>
      <c r="AT2195" s="9"/>
      <c r="AU2195" s="9"/>
    </row>
    <row r="2196" spans="1:47" ht="15.75" customHeight="1">
      <c r="A2196" s="9"/>
      <c r="B2196" s="9"/>
      <c r="C2196" s="9"/>
      <c r="D2196" s="9"/>
      <c r="E2196" s="9"/>
      <c r="F2196" s="67"/>
      <c r="G2196" s="9"/>
      <c r="H2196" s="9"/>
      <c r="I2196" s="9"/>
      <c r="J2196" s="9"/>
      <c r="K2196" s="9"/>
      <c r="L2196" s="9"/>
      <c r="M2196" s="9"/>
      <c r="N2196" s="9"/>
      <c r="O2196" s="9"/>
      <c r="P2196" s="9"/>
      <c r="Q2196" s="9"/>
      <c r="R2196" s="9"/>
      <c r="S2196" s="9"/>
      <c r="T2196" s="9"/>
      <c r="U2196" s="9"/>
      <c r="V2196" s="9"/>
      <c r="W2196" s="9"/>
      <c r="X2196" s="9"/>
      <c r="Y2196" s="9"/>
      <c r="Z2196" s="9"/>
      <c r="AA2196" s="9"/>
      <c r="AB2196" s="9"/>
      <c r="AC2196" s="9"/>
      <c r="AD2196" s="9"/>
      <c r="AE2196" s="9"/>
      <c r="AF2196" s="9"/>
      <c r="AG2196" s="9"/>
      <c r="AH2196" s="9"/>
      <c r="AI2196" s="9"/>
      <c r="AJ2196" s="9"/>
      <c r="AK2196" s="9"/>
      <c r="AL2196" s="9"/>
      <c r="AM2196" s="9"/>
      <c r="AN2196" s="9"/>
      <c r="AO2196" s="9"/>
      <c r="AP2196" s="9"/>
      <c r="AQ2196" s="9"/>
      <c r="AR2196" s="9"/>
      <c r="AS2196" s="9"/>
      <c r="AT2196" s="9"/>
      <c r="AU2196" s="9"/>
    </row>
    <row r="2197" spans="1:47" ht="15.75" customHeight="1">
      <c r="A2197" s="9"/>
      <c r="B2197" s="9"/>
      <c r="C2197" s="9"/>
      <c r="D2197" s="9"/>
      <c r="E2197" s="9"/>
      <c r="F2197" s="67"/>
      <c r="G2197" s="9"/>
      <c r="H2197" s="9"/>
      <c r="I2197" s="9"/>
      <c r="J2197" s="9"/>
      <c r="K2197" s="9"/>
      <c r="L2197" s="9"/>
      <c r="M2197" s="9"/>
      <c r="N2197" s="9"/>
      <c r="O2197" s="9"/>
      <c r="P2197" s="9"/>
      <c r="Q2197" s="9"/>
      <c r="R2197" s="9"/>
      <c r="S2197" s="9"/>
      <c r="T2197" s="9"/>
      <c r="U2197" s="9"/>
      <c r="V2197" s="9"/>
      <c r="W2197" s="9"/>
      <c r="X2197" s="9"/>
      <c r="Y2197" s="9"/>
      <c r="Z2197" s="9"/>
      <c r="AA2197" s="9"/>
      <c r="AB2197" s="9"/>
      <c r="AC2197" s="9"/>
      <c r="AD2197" s="9"/>
      <c r="AE2197" s="9"/>
      <c r="AF2197" s="9"/>
      <c r="AG2197" s="9"/>
      <c r="AH2197" s="9"/>
      <c r="AI2197" s="9"/>
      <c r="AJ2197" s="9"/>
      <c r="AK2197" s="9"/>
      <c r="AL2197" s="9"/>
      <c r="AM2197" s="9"/>
      <c r="AN2197" s="9"/>
      <c r="AO2197" s="9"/>
      <c r="AP2197" s="9"/>
      <c r="AQ2197" s="9"/>
      <c r="AR2197" s="9"/>
      <c r="AS2197" s="9"/>
      <c r="AT2197" s="9"/>
      <c r="AU2197" s="9"/>
    </row>
    <row r="2198" spans="1:47" ht="15.75" customHeight="1">
      <c r="A2198" s="9"/>
      <c r="B2198" s="9"/>
      <c r="C2198" s="9"/>
      <c r="D2198" s="9"/>
      <c r="E2198" s="9"/>
      <c r="F2198" s="67"/>
      <c r="G2198" s="9"/>
      <c r="H2198" s="9"/>
      <c r="I2198" s="9"/>
      <c r="J2198" s="9"/>
      <c r="K2198" s="9"/>
      <c r="L2198" s="9"/>
      <c r="M2198" s="9"/>
      <c r="N2198" s="9"/>
      <c r="O2198" s="9"/>
      <c r="P2198" s="9"/>
      <c r="Q2198" s="9"/>
      <c r="R2198" s="9"/>
      <c r="S2198" s="9"/>
      <c r="T2198" s="9"/>
      <c r="U2198" s="9"/>
      <c r="V2198" s="9"/>
      <c r="W2198" s="9"/>
      <c r="X2198" s="9"/>
      <c r="Y2198" s="9"/>
      <c r="Z2198" s="9"/>
      <c r="AA2198" s="9"/>
      <c r="AB2198" s="9"/>
      <c r="AC2198" s="9"/>
      <c r="AD2198" s="9"/>
      <c r="AE2198" s="9"/>
      <c r="AF2198" s="9"/>
      <c r="AG2198" s="9"/>
      <c r="AH2198" s="9"/>
      <c r="AI2198" s="9"/>
      <c r="AJ2198" s="9"/>
      <c r="AK2198" s="9"/>
      <c r="AL2198" s="9"/>
      <c r="AM2198" s="9"/>
      <c r="AN2198" s="9"/>
      <c r="AO2198" s="9"/>
      <c r="AP2198" s="9"/>
      <c r="AQ2198" s="9"/>
      <c r="AR2198" s="9"/>
      <c r="AS2198" s="9"/>
      <c r="AT2198" s="9"/>
      <c r="AU2198" s="9"/>
    </row>
    <row r="2199" spans="1:47" ht="15.75" customHeight="1">
      <c r="A2199" s="9"/>
      <c r="B2199" s="9"/>
      <c r="C2199" s="9"/>
      <c r="D2199" s="9"/>
      <c r="E2199" s="9"/>
      <c r="F2199" s="67"/>
      <c r="G2199" s="9"/>
      <c r="H2199" s="9"/>
      <c r="I2199" s="9"/>
      <c r="J2199" s="9"/>
      <c r="K2199" s="9"/>
      <c r="L2199" s="9"/>
      <c r="M2199" s="9"/>
      <c r="N2199" s="9"/>
      <c r="O2199" s="9"/>
      <c r="P2199" s="9"/>
      <c r="Q2199" s="9"/>
      <c r="R2199" s="9"/>
      <c r="S2199" s="9"/>
      <c r="T2199" s="9"/>
      <c r="U2199" s="9"/>
      <c r="V2199" s="9"/>
      <c r="W2199" s="9"/>
      <c r="X2199" s="9"/>
      <c r="Y2199" s="9"/>
      <c r="Z2199" s="9"/>
      <c r="AA2199" s="9"/>
      <c r="AB2199" s="9"/>
      <c r="AC2199" s="9"/>
      <c r="AD2199" s="9"/>
      <c r="AE2199" s="9"/>
      <c r="AF2199" s="9"/>
      <c r="AG2199" s="9"/>
      <c r="AH2199" s="9"/>
      <c r="AI2199" s="9"/>
      <c r="AJ2199" s="9"/>
      <c r="AK2199" s="9"/>
      <c r="AL2199" s="9"/>
      <c r="AM2199" s="9"/>
      <c r="AN2199" s="9"/>
      <c r="AO2199" s="9"/>
      <c r="AP2199" s="9"/>
      <c r="AQ2199" s="9"/>
      <c r="AR2199" s="9"/>
      <c r="AS2199" s="9"/>
      <c r="AT2199" s="9"/>
      <c r="AU2199" s="9"/>
    </row>
    <row r="2200" spans="1:47" ht="15.75" customHeight="1">
      <c r="A2200" s="9"/>
      <c r="B2200" s="9"/>
      <c r="C2200" s="9"/>
      <c r="D2200" s="9"/>
      <c r="E2200" s="9"/>
      <c r="F2200" s="67"/>
      <c r="G2200" s="9"/>
      <c r="H2200" s="9"/>
      <c r="I2200" s="9"/>
      <c r="J2200" s="9"/>
      <c r="K2200" s="9"/>
      <c r="L2200" s="9"/>
      <c r="M2200" s="9"/>
      <c r="N2200" s="9"/>
      <c r="O2200" s="9"/>
      <c r="P2200" s="9"/>
      <c r="Q2200" s="9"/>
      <c r="R2200" s="9"/>
      <c r="S2200" s="9"/>
      <c r="T2200" s="9"/>
      <c r="U2200" s="9"/>
      <c r="V2200" s="9"/>
      <c r="W2200" s="9"/>
      <c r="X2200" s="9"/>
      <c r="Y2200" s="9"/>
      <c r="Z2200" s="9"/>
      <c r="AA2200" s="9"/>
      <c r="AB2200" s="9"/>
      <c r="AC2200" s="9"/>
      <c r="AD2200" s="9"/>
      <c r="AE2200" s="9"/>
      <c r="AF2200" s="9"/>
      <c r="AG2200" s="9"/>
      <c r="AH2200" s="9"/>
      <c r="AI2200" s="9"/>
      <c r="AJ2200" s="9"/>
      <c r="AK2200" s="9"/>
      <c r="AL2200" s="9"/>
      <c r="AM2200" s="9"/>
      <c r="AN2200" s="9"/>
      <c r="AO2200" s="9"/>
      <c r="AP2200" s="9"/>
      <c r="AQ2200" s="9"/>
      <c r="AR2200" s="9"/>
      <c r="AS2200" s="9"/>
      <c r="AT2200" s="9"/>
      <c r="AU2200" s="9"/>
    </row>
    <row r="2201" spans="1:47" ht="15.75" customHeight="1">
      <c r="A2201" s="9"/>
      <c r="B2201" s="9"/>
      <c r="C2201" s="9"/>
      <c r="D2201" s="9"/>
      <c r="E2201" s="9"/>
      <c r="F2201" s="67"/>
      <c r="G2201" s="9"/>
      <c r="H2201" s="9"/>
      <c r="I2201" s="9"/>
      <c r="J2201" s="9"/>
      <c r="K2201" s="9"/>
      <c r="L2201" s="9"/>
      <c r="M2201" s="9"/>
      <c r="N2201" s="9"/>
      <c r="O2201" s="9"/>
      <c r="P2201" s="9"/>
      <c r="Q2201" s="9"/>
      <c r="R2201" s="9"/>
      <c r="S2201" s="9"/>
      <c r="T2201" s="9"/>
      <c r="U2201" s="9"/>
      <c r="V2201" s="9"/>
      <c r="W2201" s="9"/>
      <c r="X2201" s="9"/>
      <c r="Y2201" s="9"/>
      <c r="Z2201" s="9"/>
      <c r="AA2201" s="9"/>
      <c r="AB2201" s="9"/>
      <c r="AC2201" s="9"/>
      <c r="AD2201" s="9"/>
      <c r="AE2201" s="9"/>
      <c r="AF2201" s="9"/>
      <c r="AG2201" s="9"/>
      <c r="AH2201" s="9"/>
      <c r="AI2201" s="9"/>
      <c r="AJ2201" s="9"/>
      <c r="AK2201" s="9"/>
      <c r="AL2201" s="9"/>
      <c r="AM2201" s="9"/>
      <c r="AN2201" s="9"/>
      <c r="AO2201" s="9"/>
      <c r="AP2201" s="9"/>
      <c r="AQ2201" s="9"/>
      <c r="AR2201" s="9"/>
      <c r="AS2201" s="9"/>
      <c r="AT2201" s="9"/>
      <c r="AU2201" s="9"/>
    </row>
    <row r="2202" spans="1:47" ht="15.75" customHeight="1">
      <c r="A2202" s="9"/>
      <c r="B2202" s="9"/>
      <c r="C2202" s="9"/>
      <c r="D2202" s="9"/>
      <c r="E2202" s="9"/>
      <c r="F2202" s="67"/>
      <c r="G2202" s="9"/>
      <c r="H2202" s="9"/>
      <c r="I2202" s="9"/>
      <c r="J2202" s="9"/>
      <c r="K2202" s="9"/>
      <c r="L2202" s="9"/>
      <c r="M2202" s="9"/>
      <c r="N2202" s="9"/>
      <c r="O2202" s="9"/>
      <c r="P2202" s="9"/>
      <c r="Q2202" s="9"/>
      <c r="R2202" s="9"/>
      <c r="S2202" s="9"/>
      <c r="T2202" s="9"/>
      <c r="U2202" s="9"/>
      <c r="V2202" s="9"/>
      <c r="W2202" s="9"/>
      <c r="X2202" s="9"/>
      <c r="Y2202" s="9"/>
      <c r="Z2202" s="9"/>
      <c r="AA2202" s="9"/>
      <c r="AB2202" s="9"/>
      <c r="AC2202" s="9"/>
      <c r="AD2202" s="9"/>
      <c r="AE2202" s="9"/>
      <c r="AF2202" s="9"/>
      <c r="AG2202" s="9"/>
      <c r="AH2202" s="9"/>
      <c r="AI2202" s="9"/>
      <c r="AJ2202" s="9"/>
      <c r="AK2202" s="9"/>
      <c r="AL2202" s="9"/>
      <c r="AM2202" s="9"/>
      <c r="AN2202" s="9"/>
      <c r="AO2202" s="9"/>
      <c r="AP2202" s="9"/>
      <c r="AQ2202" s="9"/>
      <c r="AR2202" s="9"/>
      <c r="AS2202" s="9"/>
      <c r="AT2202" s="9"/>
      <c r="AU2202" s="9"/>
    </row>
    <row r="2203" spans="1:47" ht="15.75" customHeight="1">
      <c r="A2203" s="9"/>
      <c r="B2203" s="9"/>
      <c r="C2203" s="9"/>
      <c r="D2203" s="9"/>
      <c r="E2203" s="9"/>
      <c r="F2203" s="67"/>
      <c r="G2203" s="9"/>
      <c r="H2203" s="9"/>
      <c r="I2203" s="9"/>
      <c r="J2203" s="9"/>
      <c r="K2203" s="9"/>
      <c r="L2203" s="9"/>
      <c r="M2203" s="9"/>
      <c r="N2203" s="9"/>
      <c r="O2203" s="9"/>
      <c r="P2203" s="9"/>
      <c r="Q2203" s="9"/>
      <c r="R2203" s="9"/>
      <c r="S2203" s="9"/>
      <c r="T2203" s="9"/>
      <c r="U2203" s="9"/>
      <c r="V2203" s="9"/>
      <c r="W2203" s="9"/>
      <c r="X2203" s="9"/>
      <c r="Y2203" s="9"/>
      <c r="Z2203" s="9"/>
      <c r="AA2203" s="9"/>
      <c r="AB2203" s="9"/>
      <c r="AC2203" s="9"/>
      <c r="AD2203" s="9"/>
      <c r="AE2203" s="9"/>
      <c r="AF2203" s="9"/>
      <c r="AG2203" s="9"/>
      <c r="AH2203" s="9"/>
      <c r="AI2203" s="9"/>
      <c r="AJ2203" s="9"/>
      <c r="AK2203" s="9"/>
      <c r="AL2203" s="9"/>
      <c r="AM2203" s="9"/>
      <c r="AN2203" s="9"/>
      <c r="AO2203" s="9"/>
      <c r="AP2203" s="9"/>
      <c r="AQ2203" s="9"/>
      <c r="AR2203" s="9"/>
      <c r="AS2203" s="9"/>
      <c r="AT2203" s="9"/>
      <c r="AU2203" s="9"/>
    </row>
    <row r="2204" spans="1:47" ht="15.75" customHeight="1">
      <c r="A2204" s="9"/>
      <c r="B2204" s="9"/>
      <c r="C2204" s="9"/>
      <c r="D2204" s="9"/>
      <c r="E2204" s="9"/>
      <c r="F2204" s="67"/>
      <c r="G2204" s="9"/>
      <c r="H2204" s="9"/>
      <c r="I2204" s="9"/>
      <c r="J2204" s="9"/>
      <c r="K2204" s="9"/>
      <c r="L2204" s="9"/>
      <c r="M2204" s="9"/>
      <c r="N2204" s="9"/>
      <c r="O2204" s="9"/>
      <c r="P2204" s="9"/>
      <c r="Q2204" s="9"/>
      <c r="R2204" s="9"/>
      <c r="S2204" s="9"/>
      <c r="T2204" s="9"/>
      <c r="U2204" s="9"/>
      <c r="V2204" s="9"/>
      <c r="W2204" s="9"/>
      <c r="X2204" s="9"/>
      <c r="Y2204" s="9"/>
      <c r="Z2204" s="9"/>
      <c r="AA2204" s="9"/>
      <c r="AB2204" s="9"/>
      <c r="AC2204" s="9"/>
      <c r="AD2204" s="9"/>
      <c r="AE2204" s="9"/>
      <c r="AF2204" s="9"/>
      <c r="AG2204" s="9"/>
      <c r="AH2204" s="9"/>
      <c r="AI2204" s="9"/>
      <c r="AJ2204" s="9"/>
      <c r="AK2204" s="9"/>
      <c r="AL2204" s="9"/>
      <c r="AM2204" s="9"/>
      <c r="AN2204" s="9"/>
      <c r="AO2204" s="9"/>
      <c r="AP2204" s="9"/>
      <c r="AQ2204" s="9"/>
      <c r="AR2204" s="9"/>
      <c r="AS2204" s="9"/>
      <c r="AT2204" s="9"/>
      <c r="AU2204" s="9"/>
    </row>
    <row r="2205" spans="1:47" ht="15.75" customHeight="1">
      <c r="A2205" s="9"/>
      <c r="B2205" s="9"/>
      <c r="C2205" s="9"/>
      <c r="D2205" s="9"/>
      <c r="E2205" s="9"/>
      <c r="F2205" s="67"/>
      <c r="G2205" s="9"/>
      <c r="H2205" s="9"/>
      <c r="I2205" s="9"/>
      <c r="J2205" s="9"/>
      <c r="K2205" s="9"/>
      <c r="L2205" s="9"/>
      <c r="M2205" s="9"/>
      <c r="N2205" s="9"/>
      <c r="O2205" s="9"/>
      <c r="P2205" s="9"/>
      <c r="Q2205" s="9"/>
      <c r="R2205" s="9"/>
      <c r="S2205" s="9"/>
      <c r="T2205" s="9"/>
      <c r="U2205" s="9"/>
      <c r="V2205" s="9"/>
      <c r="W2205" s="9"/>
      <c r="X2205" s="9"/>
      <c r="Y2205" s="9"/>
      <c r="Z2205" s="9"/>
      <c r="AA2205" s="9"/>
      <c r="AB2205" s="9"/>
      <c r="AC2205" s="9"/>
      <c r="AD2205" s="9"/>
      <c r="AE2205" s="9"/>
      <c r="AF2205" s="9"/>
      <c r="AG2205" s="9"/>
      <c r="AH2205" s="9"/>
      <c r="AI2205" s="9"/>
      <c r="AJ2205" s="9"/>
      <c r="AK2205" s="9"/>
      <c r="AL2205" s="9"/>
      <c r="AM2205" s="9"/>
      <c r="AN2205" s="9"/>
      <c r="AO2205" s="9"/>
      <c r="AP2205" s="9"/>
      <c r="AQ2205" s="9"/>
      <c r="AR2205" s="9"/>
      <c r="AS2205" s="9"/>
      <c r="AT2205" s="9"/>
      <c r="AU2205" s="9"/>
    </row>
    <row r="2206" spans="1:47" ht="15.75" customHeight="1">
      <c r="A2206" s="9"/>
      <c r="B2206" s="9"/>
      <c r="C2206" s="9"/>
      <c r="D2206" s="9"/>
      <c r="E2206" s="9"/>
      <c r="F2206" s="67"/>
      <c r="G2206" s="9"/>
      <c r="H2206" s="9"/>
      <c r="I2206" s="9"/>
      <c r="J2206" s="9"/>
      <c r="K2206" s="9"/>
      <c r="L2206" s="9"/>
      <c r="M2206" s="9"/>
      <c r="N2206" s="9"/>
      <c r="O2206" s="9"/>
      <c r="P2206" s="9"/>
      <c r="Q2206" s="9"/>
      <c r="R2206" s="9"/>
      <c r="S2206" s="9"/>
      <c r="T2206" s="9"/>
      <c r="U2206" s="9"/>
      <c r="V2206" s="9"/>
      <c r="W2206" s="9"/>
      <c r="X2206" s="9"/>
      <c r="Y2206" s="9"/>
      <c r="Z2206" s="9"/>
      <c r="AA2206" s="9"/>
      <c r="AB2206" s="9"/>
      <c r="AC2206" s="9"/>
      <c r="AD2206" s="9"/>
      <c r="AE2206" s="9"/>
      <c r="AF2206" s="9"/>
      <c r="AG2206" s="9"/>
      <c r="AH2206" s="9"/>
      <c r="AI2206" s="9"/>
      <c r="AJ2206" s="9"/>
      <c r="AK2206" s="9"/>
      <c r="AL2206" s="9"/>
      <c r="AM2206" s="9"/>
      <c r="AN2206" s="9"/>
      <c r="AO2206" s="9"/>
      <c r="AP2206" s="9"/>
      <c r="AQ2206" s="9"/>
      <c r="AR2206" s="9"/>
      <c r="AS2206" s="9"/>
      <c r="AT2206" s="9"/>
      <c r="AU2206" s="9"/>
    </row>
    <row r="2207" spans="1:47" ht="15.75" customHeight="1">
      <c r="A2207" s="9"/>
      <c r="B2207" s="9"/>
      <c r="C2207" s="9"/>
      <c r="D2207" s="9"/>
      <c r="E2207" s="9"/>
      <c r="F2207" s="67"/>
      <c r="G2207" s="9"/>
      <c r="H2207" s="9"/>
      <c r="I2207" s="9"/>
      <c r="J2207" s="9"/>
      <c r="K2207" s="9"/>
      <c r="L2207" s="9"/>
      <c r="M2207" s="9"/>
      <c r="N2207" s="9"/>
      <c r="O2207" s="9"/>
      <c r="P2207" s="9"/>
      <c r="Q2207" s="9"/>
      <c r="R2207" s="9"/>
      <c r="S2207" s="9"/>
      <c r="T2207" s="9"/>
      <c r="U2207" s="9"/>
      <c r="V2207" s="9"/>
      <c r="W2207" s="9"/>
      <c r="X2207" s="9"/>
      <c r="Y2207" s="9"/>
      <c r="Z2207" s="9"/>
      <c r="AA2207" s="9"/>
      <c r="AB2207" s="9"/>
      <c r="AC2207" s="9"/>
      <c r="AD2207" s="9"/>
      <c r="AE2207" s="9"/>
      <c r="AF2207" s="9"/>
      <c r="AG2207" s="9"/>
      <c r="AH2207" s="9"/>
      <c r="AI2207" s="9"/>
      <c r="AJ2207" s="9"/>
      <c r="AK2207" s="9"/>
      <c r="AL2207" s="9"/>
      <c r="AM2207" s="9"/>
      <c r="AN2207" s="9"/>
      <c r="AO2207" s="9"/>
      <c r="AP2207" s="9"/>
      <c r="AQ2207" s="9"/>
      <c r="AR2207" s="9"/>
      <c r="AS2207" s="9"/>
      <c r="AT2207" s="9"/>
      <c r="AU2207" s="9"/>
    </row>
    <row r="2208" spans="1:47" ht="15.75" customHeight="1">
      <c r="A2208" s="9"/>
      <c r="B2208" s="9"/>
      <c r="C2208" s="9"/>
      <c r="D2208" s="9"/>
      <c r="E2208" s="9"/>
      <c r="F2208" s="67"/>
      <c r="G2208" s="9"/>
      <c r="H2208" s="9"/>
      <c r="I2208" s="9"/>
      <c r="J2208" s="9"/>
      <c r="K2208" s="9"/>
      <c r="L2208" s="9"/>
      <c r="M2208" s="9"/>
      <c r="N2208" s="9"/>
      <c r="O2208" s="9"/>
      <c r="P2208" s="9"/>
      <c r="Q2208" s="9"/>
      <c r="R2208" s="9"/>
      <c r="S2208" s="9"/>
      <c r="T2208" s="9"/>
      <c r="U2208" s="9"/>
      <c r="V2208" s="9"/>
      <c r="W2208" s="9"/>
      <c r="X2208" s="9"/>
      <c r="Y2208" s="9"/>
      <c r="Z2208" s="9"/>
      <c r="AA2208" s="9"/>
      <c r="AB2208" s="9"/>
      <c r="AC2208" s="9"/>
      <c r="AD2208" s="9"/>
      <c r="AE2208" s="9"/>
      <c r="AF2208" s="9"/>
      <c r="AG2208" s="9"/>
      <c r="AH2208" s="9"/>
      <c r="AI2208" s="9"/>
      <c r="AJ2208" s="9"/>
      <c r="AK2208" s="9"/>
      <c r="AL2208" s="9"/>
      <c r="AM2208" s="9"/>
      <c r="AN2208" s="9"/>
      <c r="AO2208" s="9"/>
      <c r="AP2208" s="9"/>
      <c r="AQ2208" s="9"/>
      <c r="AR2208" s="9"/>
      <c r="AS2208" s="9"/>
      <c r="AT2208" s="9"/>
      <c r="AU2208" s="9"/>
    </row>
    <row r="2209" spans="1:47" ht="15.75" customHeight="1">
      <c r="A2209" s="9"/>
      <c r="B2209" s="9"/>
      <c r="C2209" s="9"/>
      <c r="D2209" s="9"/>
      <c r="E2209" s="9"/>
      <c r="F2209" s="67"/>
      <c r="G2209" s="9"/>
      <c r="H2209" s="9"/>
      <c r="I2209" s="9"/>
      <c r="J2209" s="9"/>
      <c r="K2209" s="9"/>
      <c r="L2209" s="9"/>
      <c r="M2209" s="9"/>
      <c r="N2209" s="9"/>
      <c r="O2209" s="9"/>
      <c r="P2209" s="9"/>
      <c r="Q2209" s="9"/>
      <c r="R2209" s="9"/>
      <c r="S2209" s="9"/>
      <c r="T2209" s="9"/>
      <c r="U2209" s="9"/>
      <c r="V2209" s="9"/>
      <c r="W2209" s="9"/>
      <c r="X2209" s="9"/>
      <c r="Y2209" s="9"/>
      <c r="Z2209" s="9"/>
      <c r="AA2209" s="9"/>
      <c r="AB2209" s="9"/>
      <c r="AC2209" s="9"/>
      <c r="AD2209" s="9"/>
      <c r="AE2209" s="9"/>
      <c r="AF2209" s="9"/>
      <c r="AG2209" s="9"/>
      <c r="AH2209" s="9"/>
      <c r="AI2209" s="9"/>
      <c r="AJ2209" s="9"/>
      <c r="AK2209" s="9"/>
      <c r="AL2209" s="9"/>
      <c r="AM2209" s="9"/>
      <c r="AN2209" s="9"/>
      <c r="AO2209" s="9"/>
      <c r="AP2209" s="9"/>
      <c r="AQ2209" s="9"/>
      <c r="AR2209" s="9"/>
      <c r="AS2209" s="9"/>
      <c r="AT2209" s="9"/>
      <c r="AU2209" s="9"/>
    </row>
    <row r="2210" spans="1:47" ht="15.75" customHeight="1">
      <c r="A2210" s="9"/>
      <c r="B2210" s="9"/>
      <c r="C2210" s="9"/>
      <c r="D2210" s="9"/>
      <c r="E2210" s="9"/>
      <c r="F2210" s="67"/>
      <c r="G2210" s="9"/>
      <c r="H2210" s="9"/>
      <c r="I2210" s="9"/>
      <c r="J2210" s="9"/>
      <c r="K2210" s="9"/>
      <c r="L2210" s="9"/>
      <c r="M2210" s="9"/>
      <c r="N2210" s="9"/>
      <c r="O2210" s="9"/>
      <c r="P2210" s="9"/>
      <c r="Q2210" s="9"/>
      <c r="R2210" s="9"/>
      <c r="S2210" s="9"/>
      <c r="T2210" s="9"/>
      <c r="U2210" s="9"/>
      <c r="V2210" s="9"/>
      <c r="W2210" s="9"/>
      <c r="X2210" s="9"/>
      <c r="Y2210" s="9"/>
      <c r="Z2210" s="9"/>
      <c r="AA2210" s="9"/>
      <c r="AB2210" s="9"/>
      <c r="AC2210" s="9"/>
      <c r="AD2210" s="9"/>
      <c r="AE2210" s="9"/>
      <c r="AF2210" s="9"/>
      <c r="AG2210" s="9"/>
      <c r="AH2210" s="9"/>
      <c r="AI2210" s="9"/>
      <c r="AJ2210" s="9"/>
      <c r="AK2210" s="9"/>
      <c r="AL2210" s="9"/>
      <c r="AM2210" s="9"/>
      <c r="AN2210" s="9"/>
      <c r="AO2210" s="9"/>
      <c r="AP2210" s="9"/>
      <c r="AQ2210" s="9"/>
      <c r="AR2210" s="9"/>
      <c r="AS2210" s="9"/>
      <c r="AT2210" s="9"/>
      <c r="AU2210" s="9"/>
    </row>
    <row r="2211" spans="1:47" ht="15.75" customHeight="1">
      <c r="A2211" s="9"/>
      <c r="B2211" s="9"/>
      <c r="C2211" s="9"/>
      <c r="D2211" s="9"/>
      <c r="E2211" s="9"/>
      <c r="F2211" s="67"/>
      <c r="G2211" s="9"/>
      <c r="H2211" s="9"/>
      <c r="I2211" s="9"/>
      <c r="J2211" s="9"/>
      <c r="K2211" s="9"/>
      <c r="L2211" s="9"/>
      <c r="M2211" s="9"/>
      <c r="N2211" s="9"/>
      <c r="O2211" s="9"/>
      <c r="P2211" s="9"/>
      <c r="Q2211" s="9"/>
      <c r="R2211" s="9"/>
      <c r="S2211" s="9"/>
      <c r="T2211" s="9"/>
      <c r="U2211" s="9"/>
      <c r="V2211" s="9"/>
      <c r="W2211" s="9"/>
      <c r="X2211" s="9"/>
      <c r="Y2211" s="9"/>
      <c r="Z2211" s="9"/>
      <c r="AA2211" s="9"/>
      <c r="AB2211" s="9"/>
      <c r="AC2211" s="9"/>
      <c r="AD2211" s="9"/>
      <c r="AE2211" s="9"/>
      <c r="AF2211" s="9"/>
      <c r="AG2211" s="9"/>
      <c r="AH2211" s="9"/>
      <c r="AI2211" s="9"/>
      <c r="AJ2211" s="9"/>
      <c r="AK2211" s="9"/>
      <c r="AL2211" s="9"/>
      <c r="AM2211" s="9"/>
      <c r="AN2211" s="9"/>
      <c r="AO2211" s="9"/>
      <c r="AP2211" s="9"/>
      <c r="AQ2211" s="9"/>
      <c r="AR2211" s="9"/>
      <c r="AS2211" s="9"/>
      <c r="AT2211" s="9"/>
      <c r="AU2211" s="9"/>
    </row>
    <row r="2212" spans="1:47" ht="15.75" customHeight="1">
      <c r="A2212" s="9"/>
      <c r="B2212" s="9"/>
      <c r="C2212" s="9"/>
      <c r="D2212" s="9"/>
      <c r="E2212" s="9"/>
      <c r="F2212" s="67"/>
      <c r="G2212" s="9"/>
      <c r="H2212" s="9"/>
      <c r="I2212" s="9"/>
      <c r="J2212" s="9"/>
      <c r="K2212" s="9"/>
      <c r="L2212" s="9"/>
      <c r="M2212" s="9"/>
      <c r="N2212" s="9"/>
      <c r="O2212" s="9"/>
      <c r="P2212" s="9"/>
      <c r="Q2212" s="9"/>
      <c r="R2212" s="9"/>
      <c r="S2212" s="9"/>
      <c r="T2212" s="9"/>
      <c r="U2212" s="9"/>
      <c r="V2212" s="9"/>
      <c r="W2212" s="9"/>
      <c r="X2212" s="9"/>
      <c r="Y2212" s="9"/>
      <c r="Z2212" s="9"/>
      <c r="AA2212" s="9"/>
      <c r="AB2212" s="9"/>
      <c r="AC2212" s="9"/>
      <c r="AD2212" s="9"/>
      <c r="AE2212" s="9"/>
      <c r="AF2212" s="9"/>
      <c r="AG2212" s="9"/>
      <c r="AH2212" s="9"/>
      <c r="AI2212" s="9"/>
      <c r="AJ2212" s="9"/>
      <c r="AK2212" s="9"/>
      <c r="AL2212" s="9"/>
      <c r="AM2212" s="9"/>
      <c r="AN2212" s="9"/>
      <c r="AO2212" s="9"/>
      <c r="AP2212" s="9"/>
      <c r="AQ2212" s="9"/>
      <c r="AR2212" s="9"/>
      <c r="AS2212" s="9"/>
      <c r="AT2212" s="9"/>
      <c r="AU2212" s="9"/>
    </row>
    <row r="2213" spans="1:47" ht="15.75" customHeight="1">
      <c r="A2213" s="9"/>
      <c r="B2213" s="9"/>
      <c r="C2213" s="9"/>
      <c r="D2213" s="9"/>
      <c r="E2213" s="9"/>
      <c r="F2213" s="67"/>
      <c r="G2213" s="9"/>
      <c r="H2213" s="9"/>
      <c r="I2213" s="9"/>
      <c r="J2213" s="9"/>
      <c r="K2213" s="9"/>
      <c r="L2213" s="9"/>
      <c r="M2213" s="9"/>
      <c r="N2213" s="9"/>
      <c r="O2213" s="9"/>
      <c r="P2213" s="9"/>
      <c r="Q2213" s="9"/>
      <c r="R2213" s="9"/>
      <c r="S2213" s="9"/>
      <c r="T2213" s="9"/>
      <c r="U2213" s="9"/>
      <c r="V2213" s="9"/>
      <c r="W2213" s="9"/>
      <c r="X2213" s="9"/>
      <c r="Y2213" s="9"/>
      <c r="Z2213" s="9"/>
      <c r="AA2213" s="9"/>
      <c r="AB2213" s="9"/>
      <c r="AC2213" s="9"/>
      <c r="AD2213" s="9"/>
      <c r="AE2213" s="9"/>
      <c r="AF2213" s="9"/>
      <c r="AG2213" s="9"/>
      <c r="AH2213" s="9"/>
      <c r="AI2213" s="9"/>
      <c r="AJ2213" s="9"/>
      <c r="AK2213" s="9"/>
      <c r="AL2213" s="9"/>
      <c r="AM2213" s="9"/>
      <c r="AN2213" s="9"/>
      <c r="AO2213" s="9"/>
      <c r="AP2213" s="9"/>
      <c r="AQ2213" s="9"/>
      <c r="AR2213" s="9"/>
      <c r="AS2213" s="9"/>
      <c r="AT2213" s="9"/>
      <c r="AU2213" s="9"/>
    </row>
    <row r="2214" spans="1:47" ht="15.75" customHeight="1">
      <c r="A2214" s="9"/>
      <c r="B2214" s="9"/>
      <c r="C2214" s="9"/>
      <c r="D2214" s="9"/>
      <c r="E2214" s="9"/>
      <c r="F2214" s="67"/>
      <c r="G2214" s="9"/>
      <c r="H2214" s="9"/>
      <c r="I2214" s="9"/>
      <c r="J2214" s="9"/>
      <c r="K2214" s="9"/>
      <c r="L2214" s="9"/>
      <c r="M2214" s="9"/>
      <c r="N2214" s="9"/>
      <c r="O2214" s="9"/>
      <c r="P2214" s="9"/>
      <c r="Q2214" s="9"/>
      <c r="R2214" s="9"/>
      <c r="S2214" s="9"/>
      <c r="T2214" s="9"/>
      <c r="U2214" s="9"/>
      <c r="V2214" s="9"/>
      <c r="W2214" s="9"/>
      <c r="X2214" s="9"/>
      <c r="Y2214" s="9"/>
      <c r="Z2214" s="9"/>
      <c r="AA2214" s="9"/>
      <c r="AB2214" s="9"/>
      <c r="AC2214" s="9"/>
      <c r="AD2214" s="9"/>
      <c r="AE2214" s="9"/>
      <c r="AF2214" s="9"/>
      <c r="AG2214" s="9"/>
      <c r="AH2214" s="9"/>
      <c r="AI2214" s="9"/>
      <c r="AJ2214" s="9"/>
      <c r="AK2214" s="9"/>
      <c r="AL2214" s="9"/>
      <c r="AM2214" s="9"/>
      <c r="AN2214" s="9"/>
      <c r="AO2214" s="9"/>
      <c r="AP2214" s="9"/>
      <c r="AQ2214" s="9"/>
      <c r="AR2214" s="9"/>
      <c r="AS2214" s="9"/>
      <c r="AT2214" s="9"/>
      <c r="AU2214" s="9"/>
    </row>
    <row r="2215" spans="1:47" ht="15.75" customHeight="1">
      <c r="A2215" s="9"/>
      <c r="B2215" s="9"/>
      <c r="C2215" s="9"/>
      <c r="D2215" s="9"/>
      <c r="E2215" s="9"/>
      <c r="F2215" s="67"/>
      <c r="G2215" s="9"/>
      <c r="H2215" s="9"/>
      <c r="I2215" s="9"/>
      <c r="J2215" s="9"/>
      <c r="K2215" s="9"/>
      <c r="L2215" s="9"/>
      <c r="M2215" s="9"/>
      <c r="N2215" s="9"/>
      <c r="O2215" s="9"/>
      <c r="P2215" s="9"/>
      <c r="Q2215" s="9"/>
      <c r="R2215" s="9"/>
      <c r="S2215" s="9"/>
      <c r="T2215" s="9"/>
      <c r="U2215" s="9"/>
      <c r="V2215" s="9"/>
      <c r="W2215" s="9"/>
      <c r="X2215" s="9"/>
      <c r="Y2215" s="9"/>
      <c r="Z2215" s="9"/>
      <c r="AA2215" s="9"/>
      <c r="AB2215" s="9"/>
      <c r="AC2215" s="9"/>
      <c r="AD2215" s="9"/>
      <c r="AE2215" s="9"/>
      <c r="AF2215" s="9"/>
      <c r="AG2215" s="9"/>
      <c r="AH2215" s="9"/>
      <c r="AI2215" s="9"/>
      <c r="AJ2215" s="9"/>
      <c r="AK2215" s="9"/>
      <c r="AL2215" s="9"/>
      <c r="AM2215" s="9"/>
      <c r="AN2215" s="9"/>
      <c r="AO2215" s="9"/>
      <c r="AP2215" s="9"/>
      <c r="AQ2215" s="9"/>
      <c r="AR2215" s="9"/>
      <c r="AS2215" s="9"/>
      <c r="AT2215" s="9"/>
      <c r="AU2215" s="9"/>
    </row>
    <row r="2216" spans="1:47" ht="15.75" customHeight="1">
      <c r="A2216" s="9"/>
      <c r="B2216" s="9"/>
      <c r="C2216" s="9"/>
      <c r="D2216" s="9"/>
      <c r="E2216" s="9"/>
      <c r="F2216" s="67"/>
      <c r="G2216" s="9"/>
      <c r="H2216" s="9"/>
      <c r="I2216" s="9"/>
      <c r="J2216" s="9"/>
      <c r="K2216" s="9"/>
      <c r="L2216" s="9"/>
      <c r="M2216" s="9"/>
      <c r="N2216" s="9"/>
      <c r="O2216" s="9"/>
      <c r="P2216" s="9"/>
      <c r="Q2216" s="9"/>
      <c r="R2216" s="9"/>
      <c r="S2216" s="9"/>
      <c r="T2216" s="9"/>
      <c r="U2216" s="9"/>
      <c r="V2216" s="9"/>
      <c r="W2216" s="9"/>
      <c r="X2216" s="9"/>
      <c r="Y2216" s="9"/>
      <c r="Z2216" s="9"/>
      <c r="AA2216" s="9"/>
      <c r="AB2216" s="9"/>
      <c r="AC2216" s="9"/>
      <c r="AD2216" s="9"/>
      <c r="AE2216" s="9"/>
      <c r="AF2216" s="9"/>
      <c r="AG2216" s="9"/>
      <c r="AH2216" s="9"/>
      <c r="AI2216" s="9"/>
      <c r="AJ2216" s="9"/>
      <c r="AK2216" s="9"/>
      <c r="AL2216" s="9"/>
      <c r="AM2216" s="9"/>
      <c r="AN2216" s="9"/>
      <c r="AO2216" s="9"/>
      <c r="AP2216" s="9"/>
      <c r="AQ2216" s="9"/>
      <c r="AR2216" s="9"/>
      <c r="AS2216" s="9"/>
      <c r="AT2216" s="9"/>
      <c r="AU2216" s="9"/>
    </row>
    <row r="2217" spans="1:47" ht="15.75" customHeight="1">
      <c r="A2217" s="9"/>
      <c r="B2217" s="9"/>
      <c r="C2217" s="9"/>
      <c r="D2217" s="9"/>
      <c r="E2217" s="9"/>
      <c r="F2217" s="67"/>
      <c r="G2217" s="9"/>
      <c r="H2217" s="9"/>
      <c r="I2217" s="9"/>
      <c r="J2217" s="9"/>
      <c r="K2217" s="9"/>
      <c r="L2217" s="9"/>
      <c r="M2217" s="9"/>
      <c r="N2217" s="9"/>
      <c r="O2217" s="9"/>
      <c r="P2217" s="9"/>
      <c r="Q2217" s="9"/>
      <c r="R2217" s="9"/>
      <c r="S2217" s="9"/>
      <c r="T2217" s="9"/>
      <c r="U2217" s="9"/>
      <c r="V2217" s="9"/>
      <c r="W2217" s="9"/>
      <c r="X2217" s="9"/>
      <c r="Y2217" s="9"/>
      <c r="Z2217" s="9"/>
      <c r="AA2217" s="9"/>
      <c r="AB2217" s="9"/>
      <c r="AC2217" s="9"/>
      <c r="AD2217" s="9"/>
      <c r="AE2217" s="9"/>
      <c r="AF2217" s="9"/>
      <c r="AG2217" s="9"/>
      <c r="AH2217" s="9"/>
      <c r="AI2217" s="9"/>
      <c r="AJ2217" s="9"/>
      <c r="AK2217" s="9"/>
      <c r="AL2217" s="9"/>
      <c r="AM2217" s="9"/>
      <c r="AN2217" s="9"/>
      <c r="AO2217" s="9"/>
      <c r="AP2217" s="9"/>
      <c r="AQ2217" s="9"/>
      <c r="AR2217" s="9"/>
      <c r="AS2217" s="9"/>
      <c r="AT2217" s="9"/>
      <c r="AU2217" s="9"/>
    </row>
    <row r="2218" spans="1:47" ht="15.75" customHeight="1">
      <c r="A2218" s="9"/>
      <c r="B2218" s="9"/>
      <c r="C2218" s="9"/>
      <c r="D2218" s="9"/>
      <c r="E2218" s="9"/>
      <c r="F2218" s="67"/>
      <c r="G2218" s="9"/>
      <c r="H2218" s="9"/>
      <c r="I2218" s="9"/>
      <c r="J2218" s="9"/>
      <c r="K2218" s="9"/>
      <c r="L2218" s="9"/>
      <c r="M2218" s="9"/>
      <c r="N2218" s="9"/>
      <c r="O2218" s="9"/>
      <c r="P2218" s="9"/>
      <c r="Q2218" s="9"/>
      <c r="R2218" s="9"/>
      <c r="S2218" s="9"/>
      <c r="T2218" s="9"/>
      <c r="U2218" s="9"/>
      <c r="V2218" s="9"/>
      <c r="W2218" s="9"/>
      <c r="X2218" s="9"/>
      <c r="Y2218" s="9"/>
      <c r="Z2218" s="9"/>
      <c r="AA2218" s="9"/>
      <c r="AB2218" s="9"/>
      <c r="AC2218" s="9"/>
      <c r="AD2218" s="9"/>
      <c r="AE2218" s="9"/>
      <c r="AF2218" s="9"/>
      <c r="AG2218" s="9"/>
      <c r="AH2218" s="9"/>
      <c r="AI2218" s="9"/>
      <c r="AJ2218" s="9"/>
      <c r="AK2218" s="9"/>
      <c r="AL2218" s="9"/>
      <c r="AM2218" s="9"/>
      <c r="AN2218" s="9"/>
      <c r="AO2218" s="9"/>
      <c r="AP2218" s="9"/>
      <c r="AQ2218" s="9"/>
      <c r="AR2218" s="9"/>
      <c r="AS2218" s="9"/>
      <c r="AT2218" s="9"/>
      <c r="AU2218" s="9"/>
    </row>
    <row r="2219" spans="1:47" ht="15.75" customHeight="1">
      <c r="A2219" s="9"/>
      <c r="B2219" s="9"/>
      <c r="C2219" s="9"/>
      <c r="D2219" s="9"/>
      <c r="E2219" s="9"/>
      <c r="F2219" s="67"/>
      <c r="G2219" s="9"/>
      <c r="H2219" s="9"/>
      <c r="I2219" s="9"/>
      <c r="J2219" s="9"/>
      <c r="K2219" s="9"/>
      <c r="L2219" s="9"/>
      <c r="M2219" s="9"/>
      <c r="N2219" s="9"/>
      <c r="O2219" s="9"/>
      <c r="P2219" s="9"/>
      <c r="Q2219" s="9"/>
      <c r="R2219" s="9"/>
      <c r="S2219" s="9"/>
      <c r="T2219" s="9"/>
      <c r="U2219" s="9"/>
      <c r="V2219" s="9"/>
      <c r="W2219" s="9"/>
      <c r="X2219" s="9"/>
      <c r="Y2219" s="9"/>
      <c r="Z2219" s="9"/>
      <c r="AA2219" s="9"/>
      <c r="AB2219" s="9"/>
      <c r="AC2219" s="9"/>
      <c r="AD2219" s="9"/>
      <c r="AE2219" s="9"/>
      <c r="AF2219" s="9"/>
      <c r="AG2219" s="9"/>
      <c r="AH2219" s="9"/>
      <c r="AI2219" s="9"/>
      <c r="AJ2219" s="9"/>
      <c r="AK2219" s="9"/>
      <c r="AL2219" s="9"/>
      <c r="AM2219" s="9"/>
      <c r="AN2219" s="9"/>
      <c r="AO2219" s="9"/>
      <c r="AP2219" s="9"/>
      <c r="AQ2219" s="9"/>
      <c r="AR2219" s="9"/>
      <c r="AS2219" s="9"/>
      <c r="AT2219" s="9"/>
      <c r="AU2219" s="9"/>
    </row>
    <row r="2220" spans="1:47" ht="15.75" customHeight="1">
      <c r="A2220" s="9"/>
      <c r="B2220" s="9"/>
      <c r="C2220" s="9"/>
      <c r="D2220" s="9"/>
      <c r="E2220" s="9"/>
      <c r="F2220" s="67"/>
      <c r="G2220" s="9"/>
      <c r="H2220" s="9"/>
      <c r="I2220" s="9"/>
      <c r="J2220" s="9"/>
      <c r="K2220" s="9"/>
      <c r="L2220" s="9"/>
      <c r="M2220" s="9"/>
      <c r="N2220" s="9"/>
      <c r="O2220" s="9"/>
      <c r="P2220" s="9"/>
      <c r="Q2220" s="9"/>
      <c r="R2220" s="9"/>
      <c r="S2220" s="9"/>
      <c r="T2220" s="9"/>
      <c r="U2220" s="9"/>
      <c r="V2220" s="9"/>
      <c r="W2220" s="9"/>
      <c r="X2220" s="9"/>
      <c r="Y2220" s="9"/>
      <c r="Z2220" s="9"/>
      <c r="AA2220" s="9"/>
      <c r="AB2220" s="9"/>
      <c r="AC2220" s="9"/>
      <c r="AD2220" s="9"/>
      <c r="AE2220" s="9"/>
      <c r="AF2220" s="9"/>
      <c r="AG2220" s="9"/>
      <c r="AH2220" s="9"/>
      <c r="AI2220" s="9"/>
      <c r="AJ2220" s="9"/>
      <c r="AK2220" s="9"/>
      <c r="AL2220" s="9"/>
      <c r="AM2220" s="9"/>
      <c r="AN2220" s="9"/>
      <c r="AO2220" s="9"/>
      <c r="AP2220" s="9"/>
      <c r="AQ2220" s="9"/>
      <c r="AR2220" s="9"/>
      <c r="AS2220" s="9"/>
      <c r="AT2220" s="9"/>
      <c r="AU2220" s="9"/>
    </row>
    <row r="2221" spans="1:47" ht="15.75" customHeight="1">
      <c r="A2221" s="9"/>
      <c r="B2221" s="9"/>
      <c r="C2221" s="9"/>
      <c r="D2221" s="9"/>
      <c r="E2221" s="9"/>
      <c r="F2221" s="67"/>
      <c r="G2221" s="9"/>
      <c r="H2221" s="9"/>
      <c r="I2221" s="9"/>
      <c r="J2221" s="9"/>
      <c r="K2221" s="9"/>
      <c r="L2221" s="9"/>
      <c r="M2221" s="9"/>
      <c r="N2221" s="9"/>
      <c r="O2221" s="9"/>
      <c r="P2221" s="9"/>
      <c r="Q2221" s="9"/>
      <c r="R2221" s="9"/>
      <c r="S2221" s="9"/>
      <c r="T2221" s="9"/>
      <c r="U2221" s="9"/>
      <c r="V2221" s="9"/>
      <c r="W2221" s="9"/>
      <c r="X2221" s="9"/>
      <c r="Y2221" s="9"/>
      <c r="Z2221" s="9"/>
      <c r="AA2221" s="9"/>
      <c r="AB2221" s="9"/>
      <c r="AC2221" s="9"/>
      <c r="AD2221" s="9"/>
      <c r="AE2221" s="9"/>
      <c r="AF2221" s="9"/>
      <c r="AG2221" s="9"/>
      <c r="AH2221" s="9"/>
      <c r="AI2221" s="9"/>
      <c r="AJ2221" s="9"/>
      <c r="AK2221" s="9"/>
      <c r="AL2221" s="9"/>
      <c r="AM2221" s="9"/>
      <c r="AN2221" s="9"/>
      <c r="AO2221" s="9"/>
      <c r="AP2221" s="9"/>
      <c r="AQ2221" s="9"/>
      <c r="AR2221" s="9"/>
      <c r="AS2221" s="9"/>
      <c r="AT2221" s="9"/>
      <c r="AU2221" s="9"/>
    </row>
    <row r="2222" spans="1:47" ht="15.75" customHeight="1">
      <c r="A2222" s="9"/>
      <c r="B2222" s="9"/>
      <c r="C2222" s="9"/>
      <c r="D2222" s="9"/>
      <c r="E2222" s="9"/>
      <c r="F2222" s="67"/>
      <c r="G2222" s="9"/>
      <c r="H2222" s="9"/>
      <c r="I2222" s="9"/>
      <c r="J2222" s="9"/>
      <c r="K2222" s="9"/>
      <c r="L2222" s="9"/>
      <c r="M2222" s="9"/>
      <c r="N2222" s="9"/>
      <c r="O2222" s="9"/>
      <c r="P2222" s="9"/>
      <c r="Q2222" s="9"/>
      <c r="R2222" s="9"/>
      <c r="S2222" s="9"/>
      <c r="T2222" s="9"/>
      <c r="U2222" s="9"/>
      <c r="V2222" s="9"/>
      <c r="W2222" s="9"/>
      <c r="X2222" s="9"/>
      <c r="Y2222" s="9"/>
      <c r="Z2222" s="9"/>
      <c r="AA2222" s="9"/>
      <c r="AB2222" s="9"/>
      <c r="AC2222" s="9"/>
      <c r="AD2222" s="9"/>
      <c r="AE2222" s="9"/>
      <c r="AF2222" s="9"/>
      <c r="AG2222" s="9"/>
      <c r="AH2222" s="9"/>
      <c r="AI2222" s="9"/>
      <c r="AJ2222" s="9"/>
      <c r="AK2222" s="9"/>
      <c r="AL2222" s="9"/>
      <c r="AM2222" s="9"/>
      <c r="AN2222" s="9"/>
      <c r="AO2222" s="9"/>
      <c r="AP2222" s="9"/>
      <c r="AQ2222" s="9"/>
      <c r="AR2222" s="9"/>
      <c r="AS2222" s="9"/>
      <c r="AT2222" s="9"/>
      <c r="AU2222" s="9"/>
    </row>
    <row r="2223" spans="1:47" ht="15.75" customHeight="1">
      <c r="A2223" s="9"/>
      <c r="B2223" s="9"/>
      <c r="C2223" s="9"/>
      <c r="D2223" s="9"/>
      <c r="E2223" s="9"/>
      <c r="F2223" s="67"/>
      <c r="G2223" s="9"/>
      <c r="H2223" s="9"/>
      <c r="I2223" s="9"/>
      <c r="J2223" s="9"/>
      <c r="K2223" s="9"/>
      <c r="L2223" s="9"/>
      <c r="M2223" s="9"/>
      <c r="N2223" s="9"/>
      <c r="O2223" s="9"/>
      <c r="P2223" s="9"/>
      <c r="Q2223" s="9"/>
      <c r="R2223" s="9"/>
      <c r="S2223" s="9"/>
      <c r="T2223" s="9"/>
      <c r="U2223" s="9"/>
      <c r="V2223" s="9"/>
      <c r="W2223" s="9"/>
      <c r="X2223" s="9"/>
      <c r="Y2223" s="9"/>
      <c r="Z2223" s="9"/>
      <c r="AA2223" s="9"/>
      <c r="AB2223" s="9"/>
      <c r="AC2223" s="9"/>
      <c r="AD2223" s="9"/>
      <c r="AE2223" s="9"/>
      <c r="AF2223" s="9"/>
      <c r="AG2223" s="9"/>
      <c r="AH2223" s="9"/>
      <c r="AI2223" s="9"/>
      <c r="AJ2223" s="9"/>
      <c r="AK2223" s="9"/>
      <c r="AL2223" s="9"/>
      <c r="AM2223" s="9"/>
      <c r="AN2223" s="9"/>
      <c r="AO2223" s="9"/>
      <c r="AP2223" s="9"/>
      <c r="AQ2223" s="9"/>
      <c r="AR2223" s="9"/>
      <c r="AS2223" s="9"/>
      <c r="AT2223" s="9"/>
      <c r="AU2223" s="9"/>
    </row>
    <row r="2224" spans="1:47" ht="15.75" customHeight="1">
      <c r="A2224" s="9"/>
      <c r="B2224" s="9"/>
      <c r="C2224" s="9"/>
      <c r="D2224" s="9"/>
      <c r="E2224" s="9"/>
      <c r="F2224" s="67"/>
      <c r="G2224" s="9"/>
      <c r="H2224" s="9"/>
      <c r="I2224" s="9"/>
      <c r="J2224" s="9"/>
      <c r="K2224" s="9"/>
      <c r="L2224" s="9"/>
      <c r="M2224" s="9"/>
      <c r="N2224" s="9"/>
      <c r="O2224" s="9"/>
      <c r="P2224" s="9"/>
      <c r="Q2224" s="9"/>
      <c r="R2224" s="9"/>
      <c r="S2224" s="9"/>
      <c r="T2224" s="9"/>
      <c r="U2224" s="9"/>
      <c r="V2224" s="9"/>
      <c r="W2224" s="9"/>
      <c r="X2224" s="9"/>
      <c r="Y2224" s="9"/>
      <c r="Z2224" s="9"/>
      <c r="AA2224" s="9"/>
      <c r="AB2224" s="9"/>
      <c r="AC2224" s="9"/>
      <c r="AD2224" s="9"/>
      <c r="AE2224" s="9"/>
      <c r="AF2224" s="9"/>
      <c r="AG2224" s="9"/>
      <c r="AH2224" s="9"/>
      <c r="AI2224" s="9"/>
      <c r="AJ2224" s="9"/>
      <c r="AK2224" s="9"/>
      <c r="AL2224" s="9"/>
      <c r="AM2224" s="9"/>
      <c r="AN2224" s="9"/>
      <c r="AO2224" s="9"/>
      <c r="AP2224" s="9"/>
      <c r="AQ2224" s="9"/>
      <c r="AR2224" s="9"/>
      <c r="AS2224" s="9"/>
      <c r="AT2224" s="9"/>
      <c r="AU2224" s="9"/>
    </row>
    <row r="2225" spans="1:47" ht="15.75" customHeight="1">
      <c r="A2225" s="9"/>
      <c r="B2225" s="9"/>
      <c r="C2225" s="9"/>
      <c r="D2225" s="9"/>
      <c r="E2225" s="9"/>
      <c r="F2225" s="67"/>
      <c r="G2225" s="9"/>
      <c r="H2225" s="9"/>
      <c r="I2225" s="9"/>
      <c r="J2225" s="9"/>
      <c r="K2225" s="9"/>
      <c r="L2225" s="9"/>
      <c r="M2225" s="9"/>
      <c r="N2225" s="9"/>
      <c r="O2225" s="9"/>
      <c r="P2225" s="9"/>
      <c r="Q2225" s="9"/>
      <c r="R2225" s="9"/>
      <c r="S2225" s="9"/>
      <c r="T2225" s="9"/>
      <c r="U2225" s="9"/>
      <c r="V2225" s="9"/>
      <c r="W2225" s="9"/>
      <c r="X2225" s="9"/>
      <c r="Y2225" s="9"/>
      <c r="Z2225" s="9"/>
      <c r="AA2225" s="9"/>
      <c r="AB2225" s="9"/>
      <c r="AC2225" s="9"/>
      <c r="AD2225" s="9"/>
      <c r="AE2225" s="9"/>
      <c r="AF2225" s="9"/>
      <c r="AG2225" s="9"/>
      <c r="AH2225" s="9"/>
      <c r="AI2225" s="9"/>
      <c r="AJ2225" s="9"/>
      <c r="AK2225" s="9"/>
      <c r="AL2225" s="9"/>
      <c r="AM2225" s="9"/>
      <c r="AN2225" s="9"/>
      <c r="AO2225" s="9"/>
      <c r="AP2225" s="9"/>
      <c r="AQ2225" s="9"/>
      <c r="AR2225" s="9"/>
      <c r="AS2225" s="9"/>
      <c r="AT2225" s="9"/>
      <c r="AU2225" s="9"/>
    </row>
    <row r="2226" spans="1:47" ht="15.75" customHeight="1">
      <c r="A2226" s="9"/>
      <c r="B2226" s="9"/>
      <c r="C2226" s="9"/>
      <c r="D2226" s="9"/>
      <c r="E2226" s="9"/>
      <c r="F2226" s="67"/>
      <c r="G2226" s="9"/>
      <c r="H2226" s="9"/>
      <c r="I2226" s="9"/>
      <c r="J2226" s="9"/>
      <c r="K2226" s="9"/>
      <c r="L2226" s="9"/>
      <c r="M2226" s="9"/>
      <c r="N2226" s="9"/>
      <c r="O2226" s="9"/>
      <c r="P2226" s="9"/>
      <c r="Q2226" s="9"/>
      <c r="R2226" s="9"/>
      <c r="S2226" s="9"/>
      <c r="T2226" s="9"/>
      <c r="U2226" s="9"/>
      <c r="V2226" s="9"/>
      <c r="W2226" s="9"/>
      <c r="X2226" s="9"/>
      <c r="Y2226" s="9"/>
      <c r="Z2226" s="9"/>
      <c r="AA2226" s="9"/>
      <c r="AB2226" s="9"/>
      <c r="AC2226" s="9"/>
      <c r="AD2226" s="9"/>
      <c r="AE2226" s="9"/>
      <c r="AF2226" s="9"/>
      <c r="AG2226" s="9"/>
      <c r="AH2226" s="9"/>
      <c r="AI2226" s="9"/>
      <c r="AJ2226" s="9"/>
      <c r="AK2226" s="9"/>
      <c r="AL2226" s="9"/>
      <c r="AM2226" s="9"/>
      <c r="AN2226" s="9"/>
      <c r="AO2226" s="9"/>
      <c r="AP2226" s="9"/>
      <c r="AQ2226" s="9"/>
      <c r="AR2226" s="9"/>
      <c r="AS2226" s="9"/>
      <c r="AT2226" s="9"/>
      <c r="AU2226" s="9"/>
    </row>
    <row r="2227" spans="1:47" ht="15.75" customHeight="1">
      <c r="A2227" s="9"/>
      <c r="B2227" s="9"/>
      <c r="C2227" s="9"/>
      <c r="D2227" s="9"/>
      <c r="E2227" s="9"/>
      <c r="F2227" s="67"/>
      <c r="G2227" s="9"/>
      <c r="H2227" s="9"/>
      <c r="I2227" s="9"/>
      <c r="J2227" s="9"/>
      <c r="K2227" s="9"/>
      <c r="L2227" s="9"/>
      <c r="M2227" s="9"/>
      <c r="N2227" s="9"/>
      <c r="O2227" s="9"/>
      <c r="P2227" s="9"/>
      <c r="Q2227" s="9"/>
      <c r="R2227" s="9"/>
      <c r="S2227" s="9"/>
      <c r="T2227" s="9"/>
      <c r="U2227" s="9"/>
      <c r="V2227" s="9"/>
      <c r="W2227" s="9"/>
      <c r="X2227" s="9"/>
      <c r="Y2227" s="9"/>
      <c r="Z2227" s="9"/>
      <c r="AA2227" s="9"/>
      <c r="AB2227" s="9"/>
      <c r="AC2227" s="9"/>
      <c r="AD2227" s="9"/>
      <c r="AE2227" s="9"/>
      <c r="AF2227" s="9"/>
      <c r="AG2227" s="9"/>
      <c r="AH2227" s="9"/>
      <c r="AI2227" s="9"/>
      <c r="AJ2227" s="9"/>
      <c r="AK2227" s="9"/>
      <c r="AL2227" s="9"/>
      <c r="AM2227" s="9"/>
      <c r="AN2227" s="9"/>
      <c r="AO2227" s="9"/>
      <c r="AP2227" s="9"/>
      <c r="AQ2227" s="9"/>
      <c r="AR2227" s="9"/>
      <c r="AS2227" s="9"/>
      <c r="AT2227" s="9"/>
      <c r="AU2227" s="9"/>
    </row>
    <row r="2228" spans="1:47" ht="15.75" customHeight="1">
      <c r="A2228" s="9"/>
      <c r="B2228" s="9"/>
      <c r="C2228" s="9"/>
      <c r="D2228" s="9"/>
      <c r="E2228" s="9"/>
      <c r="F2228" s="67"/>
      <c r="G2228" s="9"/>
      <c r="H2228" s="9"/>
      <c r="I2228" s="9"/>
      <c r="J2228" s="9"/>
      <c r="K2228" s="9"/>
      <c r="L2228" s="9"/>
      <c r="M2228" s="9"/>
      <c r="N2228" s="9"/>
      <c r="O2228" s="9"/>
      <c r="P2228" s="9"/>
      <c r="Q2228" s="9"/>
      <c r="R2228" s="9"/>
      <c r="S2228" s="9"/>
      <c r="T2228" s="9"/>
      <c r="U2228" s="9"/>
      <c r="V2228" s="9"/>
      <c r="W2228" s="9"/>
      <c r="X2228" s="9"/>
      <c r="Y2228" s="9"/>
      <c r="Z2228" s="9"/>
      <c r="AA2228" s="9"/>
      <c r="AB2228" s="9"/>
      <c r="AC2228" s="9"/>
      <c r="AD2228" s="9"/>
      <c r="AE2228" s="9"/>
      <c r="AF2228" s="9"/>
      <c r="AG2228" s="9"/>
      <c r="AH2228" s="9"/>
      <c r="AI2228" s="9"/>
      <c r="AJ2228" s="9"/>
      <c r="AK2228" s="9"/>
      <c r="AL2228" s="9"/>
      <c r="AM2228" s="9"/>
      <c r="AN2228" s="9"/>
      <c r="AO2228" s="9"/>
      <c r="AP2228" s="9"/>
      <c r="AQ2228" s="9"/>
      <c r="AR2228" s="9"/>
      <c r="AS2228" s="9"/>
      <c r="AT2228" s="9"/>
      <c r="AU2228" s="9"/>
    </row>
    <row r="2229" spans="1:47" ht="15.75" customHeight="1">
      <c r="A2229" s="9"/>
      <c r="B2229" s="9"/>
      <c r="C2229" s="9"/>
      <c r="D2229" s="9"/>
      <c r="E2229" s="9"/>
      <c r="F2229" s="67"/>
      <c r="G2229" s="9"/>
      <c r="H2229" s="9"/>
      <c r="I2229" s="9"/>
      <c r="J2229" s="9"/>
      <c r="K2229" s="9"/>
      <c r="L2229" s="9"/>
      <c r="M2229" s="9"/>
      <c r="N2229" s="9"/>
      <c r="O2229" s="9"/>
      <c r="P2229" s="9"/>
      <c r="Q2229" s="9"/>
      <c r="R2229" s="9"/>
      <c r="S2229" s="9"/>
      <c r="T2229" s="9"/>
      <c r="U2229" s="9"/>
      <c r="V2229" s="9"/>
      <c r="W2229" s="9"/>
      <c r="X2229" s="9"/>
      <c r="Y2229" s="9"/>
      <c r="Z2229" s="9"/>
      <c r="AA2229" s="9"/>
      <c r="AB2229" s="9"/>
      <c r="AC2229" s="9"/>
      <c r="AD2229" s="9"/>
      <c r="AE2229" s="9"/>
      <c r="AF2229" s="9"/>
      <c r="AG2229" s="9"/>
      <c r="AH2229" s="9"/>
      <c r="AI2229" s="9"/>
      <c r="AJ2229" s="9"/>
      <c r="AK2229" s="9"/>
      <c r="AL2229" s="9"/>
      <c r="AM2229" s="9"/>
      <c r="AN2229" s="9"/>
      <c r="AO2229" s="9"/>
      <c r="AP2229" s="9"/>
      <c r="AQ2229" s="9"/>
      <c r="AR2229" s="9"/>
      <c r="AS2229" s="9"/>
      <c r="AT2229" s="9"/>
      <c r="AU2229" s="9"/>
    </row>
    <row r="2230" spans="1:47" ht="15.75" customHeight="1">
      <c r="A2230" s="9"/>
      <c r="B2230" s="9"/>
      <c r="C2230" s="9"/>
      <c r="D2230" s="9"/>
      <c r="E2230" s="9"/>
      <c r="F2230" s="67"/>
      <c r="G2230" s="9"/>
      <c r="H2230" s="9"/>
      <c r="I2230" s="9"/>
      <c r="J2230" s="9"/>
      <c r="K2230" s="9"/>
      <c r="L2230" s="9"/>
      <c r="M2230" s="9"/>
      <c r="N2230" s="9"/>
      <c r="O2230" s="9"/>
      <c r="P2230" s="9"/>
      <c r="Q2230" s="9"/>
      <c r="R2230" s="9"/>
      <c r="S2230" s="9"/>
      <c r="T2230" s="9"/>
      <c r="U2230" s="9"/>
      <c r="V2230" s="9"/>
      <c r="W2230" s="9"/>
      <c r="X2230" s="9"/>
      <c r="Y2230" s="9"/>
      <c r="Z2230" s="9"/>
      <c r="AA2230" s="9"/>
      <c r="AB2230" s="9"/>
      <c r="AC2230" s="9"/>
      <c r="AD2230" s="9"/>
      <c r="AE2230" s="9"/>
      <c r="AF2230" s="9"/>
      <c r="AG2230" s="9"/>
      <c r="AH2230" s="9"/>
      <c r="AI2230" s="9"/>
      <c r="AJ2230" s="9"/>
      <c r="AK2230" s="9"/>
      <c r="AL2230" s="9"/>
      <c r="AM2230" s="9"/>
      <c r="AN2230" s="9"/>
      <c r="AO2230" s="9"/>
      <c r="AP2230" s="9"/>
      <c r="AQ2230" s="9"/>
      <c r="AR2230" s="9"/>
      <c r="AS2230" s="9"/>
      <c r="AT2230" s="9"/>
      <c r="AU2230" s="9"/>
    </row>
    <row r="2231" spans="1:47" ht="15.75" customHeight="1">
      <c r="A2231" s="9"/>
      <c r="B2231" s="9"/>
      <c r="C2231" s="9"/>
      <c r="D2231" s="9"/>
      <c r="E2231" s="9"/>
      <c r="F2231" s="67"/>
      <c r="G2231" s="9"/>
      <c r="H2231" s="9"/>
      <c r="I2231" s="9"/>
      <c r="J2231" s="9"/>
      <c r="K2231" s="9"/>
      <c r="L2231" s="9"/>
      <c r="M2231" s="9"/>
      <c r="N2231" s="9"/>
      <c r="O2231" s="9"/>
      <c r="P2231" s="9"/>
      <c r="Q2231" s="9"/>
      <c r="R2231" s="9"/>
      <c r="S2231" s="9"/>
      <c r="T2231" s="9"/>
      <c r="U2231" s="9"/>
      <c r="V2231" s="9"/>
      <c r="W2231" s="9"/>
      <c r="X2231" s="9"/>
      <c r="Y2231" s="9"/>
      <c r="Z2231" s="9"/>
      <c r="AA2231" s="9"/>
      <c r="AB2231" s="9"/>
      <c r="AC2231" s="9"/>
      <c r="AD2231" s="9"/>
      <c r="AE2231" s="9"/>
      <c r="AF2231" s="9"/>
      <c r="AG2231" s="9"/>
      <c r="AH2231" s="9"/>
      <c r="AI2231" s="9"/>
      <c r="AJ2231" s="9"/>
      <c r="AK2231" s="9"/>
      <c r="AL2231" s="9"/>
      <c r="AM2231" s="9"/>
      <c r="AN2231" s="9"/>
      <c r="AO2231" s="9"/>
      <c r="AP2231" s="9"/>
      <c r="AQ2231" s="9"/>
      <c r="AR2231" s="9"/>
      <c r="AS2231" s="9"/>
      <c r="AT2231" s="9"/>
      <c r="AU2231" s="9"/>
    </row>
    <row r="2232" spans="1:47" ht="15.75" customHeight="1">
      <c r="A2232" s="9"/>
      <c r="B2232" s="9"/>
      <c r="C2232" s="9"/>
      <c r="D2232" s="9"/>
      <c r="E2232" s="9"/>
      <c r="F2232" s="67"/>
      <c r="G2232" s="9"/>
      <c r="H2232" s="9"/>
      <c r="I2232" s="9"/>
      <c r="J2232" s="9"/>
      <c r="K2232" s="9"/>
      <c r="L2232" s="9"/>
      <c r="M2232" s="9"/>
      <c r="N2232" s="9"/>
      <c r="O2232" s="9"/>
      <c r="P2232" s="9"/>
      <c r="Q2232" s="9"/>
      <c r="R2232" s="9"/>
      <c r="S2232" s="9"/>
      <c r="T2232" s="9"/>
      <c r="U2232" s="9"/>
      <c r="V2232" s="9"/>
      <c r="W2232" s="9"/>
      <c r="X2232" s="9"/>
      <c r="Y2232" s="9"/>
      <c r="Z2232" s="9"/>
      <c r="AA2232" s="9"/>
      <c r="AB2232" s="9"/>
      <c r="AC2232" s="9"/>
      <c r="AD2232" s="9"/>
      <c r="AE2232" s="9"/>
      <c r="AF2232" s="9"/>
      <c r="AG2232" s="9"/>
      <c r="AH2232" s="9"/>
      <c r="AI2232" s="9"/>
      <c r="AJ2232" s="9"/>
      <c r="AK2232" s="9"/>
      <c r="AL2232" s="9"/>
      <c r="AM2232" s="9"/>
      <c r="AN2232" s="9"/>
      <c r="AO2232" s="9"/>
      <c r="AP2232" s="9"/>
      <c r="AQ2232" s="9"/>
      <c r="AR2232" s="9"/>
      <c r="AS2232" s="9"/>
      <c r="AT2232" s="9"/>
      <c r="AU2232" s="9"/>
    </row>
    <row r="2233" spans="1:47" ht="15.75" customHeight="1">
      <c r="A2233" s="9"/>
      <c r="B2233" s="9"/>
      <c r="C2233" s="9"/>
      <c r="D2233" s="9"/>
      <c r="E2233" s="9"/>
      <c r="F2233" s="67"/>
      <c r="G2233" s="9"/>
      <c r="H2233" s="9"/>
      <c r="I2233" s="9"/>
      <c r="J2233" s="9"/>
      <c r="K2233" s="9"/>
      <c r="L2233" s="9"/>
      <c r="M2233" s="9"/>
      <c r="N2233" s="9"/>
      <c r="O2233" s="9"/>
      <c r="P2233" s="9"/>
      <c r="Q2233" s="9"/>
      <c r="R2233" s="9"/>
      <c r="S2233" s="9"/>
      <c r="T2233" s="9"/>
      <c r="U2233" s="9"/>
      <c r="V2233" s="9"/>
      <c r="W2233" s="9"/>
      <c r="X2233" s="9"/>
      <c r="Y2233" s="9"/>
      <c r="Z2233" s="9"/>
      <c r="AA2233" s="9"/>
      <c r="AB2233" s="9"/>
      <c r="AC2233" s="9"/>
      <c r="AD2233" s="9"/>
      <c r="AE2233" s="9"/>
      <c r="AF2233" s="9"/>
      <c r="AG2233" s="9"/>
      <c r="AH2233" s="9"/>
      <c r="AI2233" s="9"/>
      <c r="AJ2233" s="9"/>
      <c r="AK2233" s="9"/>
      <c r="AL2233" s="9"/>
      <c r="AM2233" s="9"/>
      <c r="AN2233" s="9"/>
      <c r="AO2233" s="9"/>
      <c r="AP2233" s="9"/>
      <c r="AQ2233" s="9"/>
      <c r="AR2233" s="9"/>
      <c r="AS2233" s="9"/>
      <c r="AT2233" s="9"/>
      <c r="AU2233" s="9"/>
    </row>
    <row r="2234" spans="1:47" ht="15.75" customHeight="1">
      <c r="A2234" s="9"/>
      <c r="B2234" s="9"/>
      <c r="C2234" s="9"/>
      <c r="D2234" s="9"/>
      <c r="E2234" s="9"/>
      <c r="F2234" s="67"/>
      <c r="G2234" s="9"/>
      <c r="H2234" s="9"/>
      <c r="I2234" s="9"/>
      <c r="J2234" s="9"/>
      <c r="K2234" s="9"/>
      <c r="L2234" s="9"/>
      <c r="M2234" s="9"/>
      <c r="N2234" s="9"/>
      <c r="O2234" s="9"/>
      <c r="P2234" s="9"/>
      <c r="Q2234" s="9"/>
      <c r="R2234" s="9"/>
      <c r="S2234" s="9"/>
      <c r="T2234" s="9"/>
      <c r="U2234" s="9"/>
      <c r="V2234" s="9"/>
      <c r="W2234" s="9"/>
      <c r="X2234" s="9"/>
      <c r="Y2234" s="9"/>
      <c r="Z2234" s="9"/>
      <c r="AA2234" s="9"/>
      <c r="AB2234" s="9"/>
      <c r="AC2234" s="9"/>
      <c r="AD2234" s="9"/>
      <c r="AE2234" s="9"/>
      <c r="AF2234" s="9"/>
      <c r="AG2234" s="9"/>
      <c r="AH2234" s="9"/>
      <c r="AI2234" s="9"/>
      <c r="AJ2234" s="9"/>
      <c r="AK2234" s="9"/>
      <c r="AL2234" s="9"/>
      <c r="AM2234" s="9"/>
      <c r="AN2234" s="9"/>
      <c r="AO2234" s="9"/>
      <c r="AP2234" s="9"/>
      <c r="AQ2234" s="9"/>
      <c r="AR2234" s="9"/>
      <c r="AS2234" s="9"/>
      <c r="AT2234" s="9"/>
      <c r="AU2234" s="9"/>
    </row>
    <row r="2235" spans="1:47" ht="15.75" customHeight="1">
      <c r="A2235" s="9"/>
      <c r="B2235" s="9"/>
      <c r="C2235" s="9"/>
      <c r="D2235" s="9"/>
      <c r="E2235" s="9"/>
      <c r="F2235" s="67"/>
      <c r="G2235" s="9"/>
      <c r="H2235" s="9"/>
      <c r="I2235" s="9"/>
      <c r="J2235" s="9"/>
      <c r="K2235" s="9"/>
      <c r="L2235" s="9"/>
      <c r="M2235" s="9"/>
      <c r="N2235" s="9"/>
      <c r="O2235" s="9"/>
      <c r="P2235" s="9"/>
      <c r="Q2235" s="9"/>
      <c r="R2235" s="9"/>
      <c r="S2235" s="9"/>
      <c r="T2235" s="9"/>
      <c r="U2235" s="9"/>
      <c r="V2235" s="9"/>
      <c r="W2235" s="9"/>
      <c r="X2235" s="9"/>
      <c r="Y2235" s="9"/>
      <c r="Z2235" s="9"/>
      <c r="AA2235" s="9"/>
      <c r="AB2235" s="9"/>
      <c r="AC2235" s="9"/>
      <c r="AD2235" s="9"/>
      <c r="AE2235" s="9"/>
      <c r="AF2235" s="9"/>
      <c r="AG2235" s="9"/>
      <c r="AH2235" s="9"/>
      <c r="AI2235" s="9"/>
      <c r="AJ2235" s="9"/>
      <c r="AK2235" s="9"/>
      <c r="AL2235" s="9"/>
      <c r="AM2235" s="9"/>
      <c r="AN2235" s="9"/>
      <c r="AO2235" s="9"/>
      <c r="AP2235" s="9"/>
      <c r="AQ2235" s="9"/>
      <c r="AR2235" s="9"/>
      <c r="AS2235" s="9"/>
      <c r="AT2235" s="9"/>
      <c r="AU2235" s="9"/>
    </row>
    <row r="2236" spans="1:47" ht="15.75" customHeight="1">
      <c r="A2236" s="9"/>
      <c r="B2236" s="9"/>
      <c r="C2236" s="9"/>
      <c r="D2236" s="9"/>
      <c r="E2236" s="9"/>
      <c r="F2236" s="67"/>
      <c r="G2236" s="9"/>
      <c r="H2236" s="9"/>
      <c r="I2236" s="9"/>
      <c r="J2236" s="9"/>
      <c r="K2236" s="9"/>
      <c r="L2236" s="9"/>
      <c r="M2236" s="9"/>
      <c r="N2236" s="9"/>
      <c r="O2236" s="9"/>
      <c r="P2236" s="9"/>
      <c r="Q2236" s="9"/>
      <c r="R2236" s="9"/>
      <c r="S2236" s="9"/>
      <c r="T2236" s="9"/>
      <c r="U2236" s="9"/>
      <c r="V2236" s="9"/>
      <c r="W2236" s="9"/>
      <c r="X2236" s="9"/>
      <c r="Y2236" s="9"/>
      <c r="Z2236" s="9"/>
      <c r="AA2236" s="9"/>
      <c r="AB2236" s="9"/>
      <c r="AC2236" s="9"/>
      <c r="AD2236" s="9"/>
      <c r="AE2236" s="9"/>
      <c r="AF2236" s="9"/>
      <c r="AG2236" s="9"/>
      <c r="AH2236" s="9"/>
      <c r="AI2236" s="9"/>
      <c r="AJ2236" s="9"/>
      <c r="AK2236" s="9"/>
      <c r="AL2236" s="9"/>
      <c r="AM2236" s="9"/>
      <c r="AN2236" s="9"/>
      <c r="AO2236" s="9"/>
      <c r="AP2236" s="9"/>
      <c r="AQ2236" s="9"/>
      <c r="AR2236" s="9"/>
      <c r="AS2236" s="9"/>
      <c r="AT2236" s="9"/>
      <c r="AU2236" s="9"/>
    </row>
    <row r="2237" spans="1:47" ht="15.75" customHeight="1">
      <c r="A2237" s="9"/>
      <c r="B2237" s="9"/>
      <c r="C2237" s="9"/>
      <c r="D2237" s="9"/>
      <c r="E2237" s="9"/>
      <c r="F2237" s="67"/>
      <c r="G2237" s="9"/>
      <c r="H2237" s="9"/>
      <c r="I2237" s="9"/>
      <c r="J2237" s="9"/>
      <c r="K2237" s="9"/>
      <c r="L2237" s="9"/>
      <c r="M2237" s="9"/>
      <c r="N2237" s="9"/>
      <c r="O2237" s="9"/>
      <c r="P2237" s="9"/>
      <c r="Q2237" s="9"/>
      <c r="R2237" s="9"/>
      <c r="S2237" s="9"/>
      <c r="T2237" s="9"/>
      <c r="U2237" s="9"/>
      <c r="V2237" s="9"/>
      <c r="W2237" s="9"/>
      <c r="X2237" s="9"/>
      <c r="Y2237" s="9"/>
      <c r="Z2237" s="9"/>
      <c r="AA2237" s="9"/>
      <c r="AB2237" s="9"/>
      <c r="AC2237" s="9"/>
      <c r="AD2237" s="9"/>
      <c r="AE2237" s="9"/>
      <c r="AF2237" s="9"/>
      <c r="AG2237" s="9"/>
      <c r="AH2237" s="9"/>
      <c r="AI2237" s="9"/>
      <c r="AJ2237" s="9"/>
      <c r="AK2237" s="9"/>
      <c r="AL2237" s="9"/>
      <c r="AM2237" s="9"/>
      <c r="AN2237" s="9"/>
      <c r="AO2237" s="9"/>
      <c r="AP2237" s="9"/>
      <c r="AQ2237" s="9"/>
      <c r="AR2237" s="9"/>
      <c r="AS2237" s="9"/>
      <c r="AT2237" s="9"/>
      <c r="AU2237" s="9"/>
    </row>
    <row r="2238" spans="1:47" ht="15.75" customHeight="1">
      <c r="A2238" s="9"/>
      <c r="B2238" s="9"/>
      <c r="C2238" s="9"/>
      <c r="D2238" s="9"/>
      <c r="E2238" s="9"/>
      <c r="F2238" s="67"/>
      <c r="G2238" s="9"/>
      <c r="H2238" s="9"/>
      <c r="I2238" s="9"/>
      <c r="J2238" s="9"/>
      <c r="K2238" s="9"/>
      <c r="L2238" s="9"/>
      <c r="M2238" s="9"/>
      <c r="N2238" s="9"/>
      <c r="O2238" s="9"/>
      <c r="P2238" s="9"/>
      <c r="Q2238" s="9"/>
      <c r="R2238" s="9"/>
      <c r="S2238" s="9"/>
      <c r="T2238" s="9"/>
      <c r="U2238" s="9"/>
      <c r="V2238" s="9"/>
      <c r="W2238" s="9"/>
      <c r="X2238" s="9"/>
      <c r="Y2238" s="9"/>
      <c r="Z2238" s="9"/>
      <c r="AA2238" s="9"/>
      <c r="AB2238" s="9"/>
      <c r="AC2238" s="9"/>
      <c r="AD2238" s="9"/>
      <c r="AE2238" s="9"/>
      <c r="AF2238" s="9"/>
      <c r="AG2238" s="9"/>
      <c r="AH2238" s="9"/>
      <c r="AI2238" s="9"/>
      <c r="AJ2238" s="9"/>
      <c r="AK2238" s="9"/>
      <c r="AL2238" s="9"/>
      <c r="AM2238" s="9"/>
      <c r="AN2238" s="9"/>
      <c r="AO2238" s="9"/>
      <c r="AP2238" s="9"/>
      <c r="AQ2238" s="9"/>
      <c r="AR2238" s="9"/>
      <c r="AS2238" s="9"/>
      <c r="AT2238" s="9"/>
      <c r="AU2238" s="9"/>
    </row>
    <row r="2239" spans="1:47" ht="15.75" customHeight="1">
      <c r="A2239" s="9"/>
      <c r="B2239" s="9"/>
      <c r="C2239" s="9"/>
      <c r="D2239" s="9"/>
      <c r="E2239" s="9"/>
      <c r="F2239" s="67"/>
      <c r="G2239" s="9"/>
      <c r="H2239" s="9"/>
      <c r="I2239" s="9"/>
      <c r="J2239" s="9"/>
      <c r="K2239" s="9"/>
      <c r="L2239" s="9"/>
      <c r="M2239" s="9"/>
      <c r="N2239" s="9"/>
      <c r="O2239" s="9"/>
      <c r="P2239" s="9"/>
      <c r="Q2239" s="9"/>
      <c r="R2239" s="9"/>
      <c r="S2239" s="9"/>
      <c r="T2239" s="9"/>
      <c r="U2239" s="9"/>
      <c r="V2239" s="9"/>
      <c r="W2239" s="9"/>
      <c r="X2239" s="9"/>
      <c r="Y2239" s="9"/>
      <c r="Z2239" s="9"/>
      <c r="AA2239" s="9"/>
      <c r="AB2239" s="9"/>
      <c r="AC2239" s="9"/>
      <c r="AD2239" s="9"/>
      <c r="AE2239" s="9"/>
      <c r="AF2239" s="9"/>
      <c r="AG2239" s="9"/>
      <c r="AH2239" s="9"/>
      <c r="AI2239" s="9"/>
      <c r="AJ2239" s="9"/>
      <c r="AK2239" s="9"/>
      <c r="AL2239" s="9"/>
      <c r="AM2239" s="9"/>
      <c r="AN2239" s="9"/>
      <c r="AO2239" s="9"/>
      <c r="AP2239" s="9"/>
      <c r="AQ2239" s="9"/>
      <c r="AR2239" s="9"/>
      <c r="AS2239" s="9"/>
      <c r="AT2239" s="9"/>
      <c r="AU2239" s="9"/>
    </row>
    <row r="2240" spans="1:47" ht="15.75" customHeight="1">
      <c r="A2240" s="9"/>
      <c r="B2240" s="9"/>
      <c r="C2240" s="9"/>
      <c r="D2240" s="9"/>
      <c r="E2240" s="9"/>
      <c r="F2240" s="67"/>
      <c r="G2240" s="9"/>
      <c r="H2240" s="9"/>
      <c r="I2240" s="9"/>
      <c r="J2240" s="9"/>
      <c r="K2240" s="9"/>
      <c r="L2240" s="9"/>
      <c r="M2240" s="9"/>
      <c r="N2240" s="9"/>
      <c r="O2240" s="9"/>
      <c r="P2240" s="9"/>
      <c r="Q2240" s="9"/>
      <c r="R2240" s="9"/>
      <c r="S2240" s="9"/>
      <c r="T2240" s="9"/>
      <c r="U2240" s="9"/>
      <c r="V2240" s="9"/>
      <c r="W2240" s="9"/>
      <c r="X2240" s="9"/>
      <c r="Y2240" s="9"/>
      <c r="Z2240" s="9"/>
      <c r="AA2240" s="9"/>
      <c r="AB2240" s="9"/>
      <c r="AC2240" s="9"/>
      <c r="AD2240" s="9"/>
      <c r="AE2240" s="9"/>
      <c r="AF2240" s="9"/>
      <c r="AG2240" s="9"/>
      <c r="AH2240" s="9"/>
      <c r="AI2240" s="9"/>
      <c r="AJ2240" s="9"/>
      <c r="AK2240" s="9"/>
      <c r="AL2240" s="9"/>
      <c r="AM2240" s="9"/>
      <c r="AN2240" s="9"/>
      <c r="AO2240" s="9"/>
      <c r="AP2240" s="9"/>
      <c r="AQ2240" s="9"/>
      <c r="AR2240" s="9"/>
      <c r="AS2240" s="9"/>
      <c r="AT2240" s="9"/>
      <c r="AU2240" s="9"/>
    </row>
    <row r="2241" spans="1:47" ht="15.75" customHeight="1">
      <c r="A2241" s="9"/>
      <c r="B2241" s="9"/>
      <c r="C2241" s="9"/>
      <c r="D2241" s="9"/>
      <c r="E2241" s="9"/>
      <c r="F2241" s="67"/>
      <c r="G2241" s="9"/>
      <c r="H2241" s="9"/>
      <c r="I2241" s="9"/>
      <c r="J2241" s="9"/>
      <c r="K2241" s="9"/>
      <c r="L2241" s="9"/>
      <c r="M2241" s="9"/>
      <c r="N2241" s="9"/>
      <c r="O2241" s="9"/>
      <c r="P2241" s="9"/>
      <c r="Q2241" s="9"/>
      <c r="R2241" s="9"/>
      <c r="S2241" s="9"/>
      <c r="T2241" s="9"/>
      <c r="U2241" s="9"/>
      <c r="V2241" s="9"/>
      <c r="W2241" s="9"/>
      <c r="X2241" s="9"/>
      <c r="Y2241" s="9"/>
      <c r="Z2241" s="9"/>
      <c r="AA2241" s="9"/>
      <c r="AB2241" s="9"/>
      <c r="AC2241" s="9"/>
      <c r="AD2241" s="9"/>
      <c r="AE2241" s="9"/>
      <c r="AF2241" s="9"/>
      <c r="AG2241" s="9"/>
      <c r="AH2241" s="9"/>
      <c r="AI2241" s="9"/>
      <c r="AJ2241" s="9"/>
      <c r="AK2241" s="9"/>
      <c r="AL2241" s="9"/>
      <c r="AM2241" s="9"/>
      <c r="AN2241" s="9"/>
      <c r="AO2241" s="9"/>
      <c r="AP2241" s="9"/>
      <c r="AQ2241" s="9"/>
      <c r="AR2241" s="9"/>
      <c r="AS2241" s="9"/>
      <c r="AT2241" s="9"/>
      <c r="AU2241" s="9"/>
    </row>
    <row r="2242" spans="1:47" ht="15.75" customHeight="1">
      <c r="A2242" s="9"/>
      <c r="B2242" s="9"/>
      <c r="C2242" s="9"/>
      <c r="D2242" s="9"/>
      <c r="E2242" s="9"/>
      <c r="F2242" s="67"/>
      <c r="G2242" s="9"/>
      <c r="H2242" s="9"/>
      <c r="I2242" s="9"/>
      <c r="J2242" s="9"/>
      <c r="K2242" s="9"/>
      <c r="L2242" s="9"/>
      <c r="M2242" s="9"/>
      <c r="N2242" s="9"/>
      <c r="O2242" s="9"/>
      <c r="P2242" s="9"/>
      <c r="Q2242" s="9"/>
      <c r="R2242" s="9"/>
      <c r="S2242" s="9"/>
      <c r="T2242" s="9"/>
      <c r="U2242" s="9"/>
      <c r="V2242" s="9"/>
      <c r="W2242" s="9"/>
      <c r="X2242" s="9"/>
      <c r="Y2242" s="9"/>
      <c r="Z2242" s="9"/>
      <c r="AA2242" s="9"/>
      <c r="AB2242" s="9"/>
      <c r="AC2242" s="9"/>
      <c r="AD2242" s="9"/>
      <c r="AE2242" s="9"/>
      <c r="AF2242" s="9"/>
      <c r="AG2242" s="9"/>
      <c r="AH2242" s="9"/>
      <c r="AI2242" s="9"/>
      <c r="AJ2242" s="9"/>
      <c r="AK2242" s="9"/>
      <c r="AL2242" s="9"/>
      <c r="AM2242" s="9"/>
      <c r="AN2242" s="9"/>
      <c r="AO2242" s="9"/>
      <c r="AP2242" s="9"/>
      <c r="AQ2242" s="9"/>
      <c r="AR2242" s="9"/>
      <c r="AS2242" s="9"/>
      <c r="AT2242" s="9"/>
      <c r="AU2242" s="9"/>
    </row>
    <row r="2243" spans="1:47" ht="15.75" customHeight="1">
      <c r="A2243" s="9"/>
      <c r="B2243" s="9"/>
      <c r="C2243" s="9"/>
      <c r="D2243" s="9"/>
      <c r="E2243" s="9"/>
      <c r="F2243" s="67"/>
      <c r="G2243" s="9"/>
      <c r="H2243" s="9"/>
      <c r="I2243" s="9"/>
      <c r="J2243" s="9"/>
      <c r="K2243" s="9"/>
      <c r="L2243" s="9"/>
      <c r="M2243" s="9"/>
      <c r="N2243" s="9"/>
      <c r="O2243" s="9"/>
      <c r="P2243" s="9"/>
      <c r="Q2243" s="9"/>
      <c r="R2243" s="9"/>
      <c r="S2243" s="9"/>
      <c r="T2243" s="9"/>
      <c r="U2243" s="9"/>
      <c r="V2243" s="9"/>
      <c r="W2243" s="9"/>
      <c r="X2243" s="9"/>
      <c r="Y2243" s="9"/>
      <c r="Z2243" s="9"/>
      <c r="AA2243" s="9"/>
      <c r="AB2243" s="9"/>
      <c r="AC2243" s="9"/>
      <c r="AD2243" s="9"/>
      <c r="AE2243" s="9"/>
      <c r="AF2243" s="9"/>
      <c r="AG2243" s="9"/>
      <c r="AH2243" s="9"/>
      <c r="AI2243" s="9"/>
      <c r="AJ2243" s="9"/>
      <c r="AK2243" s="9"/>
      <c r="AL2243" s="9"/>
      <c r="AM2243" s="9"/>
      <c r="AN2243" s="9"/>
      <c r="AO2243" s="9"/>
      <c r="AP2243" s="9"/>
      <c r="AQ2243" s="9"/>
      <c r="AR2243" s="9"/>
      <c r="AS2243" s="9"/>
      <c r="AT2243" s="9"/>
      <c r="AU2243" s="9"/>
    </row>
    <row r="2244" spans="1:47" ht="15.75" customHeight="1">
      <c r="A2244" s="9"/>
      <c r="B2244" s="9"/>
      <c r="C2244" s="9"/>
      <c r="D2244" s="9"/>
      <c r="E2244" s="9"/>
      <c r="F2244" s="67"/>
      <c r="G2244" s="9"/>
      <c r="H2244" s="9"/>
      <c r="I2244" s="9"/>
      <c r="J2244" s="9"/>
      <c r="K2244" s="9"/>
      <c r="L2244" s="9"/>
      <c r="M2244" s="9"/>
      <c r="N2244" s="9"/>
      <c r="O2244" s="9"/>
      <c r="P2244" s="9"/>
      <c r="Q2244" s="9"/>
      <c r="R2244" s="9"/>
      <c r="S2244" s="9"/>
      <c r="T2244" s="9"/>
      <c r="U2244" s="9"/>
      <c r="V2244" s="9"/>
      <c r="W2244" s="9"/>
      <c r="X2244" s="9"/>
      <c r="Y2244" s="9"/>
      <c r="Z2244" s="9"/>
      <c r="AA2244" s="9"/>
      <c r="AB2244" s="9"/>
      <c r="AC2244" s="9"/>
      <c r="AD2244" s="9"/>
      <c r="AE2244" s="9"/>
      <c r="AF2244" s="9"/>
      <c r="AG2244" s="9"/>
      <c r="AH2244" s="9"/>
      <c r="AI2244" s="9"/>
      <c r="AJ2244" s="9"/>
      <c r="AK2244" s="9"/>
      <c r="AL2244" s="9"/>
      <c r="AM2244" s="9"/>
      <c r="AN2244" s="9"/>
      <c r="AO2244" s="9"/>
      <c r="AP2244" s="9"/>
      <c r="AQ2244" s="9"/>
      <c r="AR2244" s="9"/>
      <c r="AS2244" s="9"/>
      <c r="AT2244" s="9"/>
      <c r="AU2244" s="9"/>
    </row>
    <row r="2245" spans="1:47" ht="15.75" customHeight="1">
      <c r="A2245" s="9"/>
      <c r="B2245" s="9"/>
      <c r="C2245" s="9"/>
      <c r="D2245" s="9"/>
      <c r="E2245" s="9"/>
      <c r="F2245" s="67"/>
      <c r="G2245" s="9"/>
      <c r="H2245" s="9"/>
      <c r="I2245" s="9"/>
      <c r="J2245" s="9"/>
      <c r="K2245" s="9"/>
      <c r="L2245" s="9"/>
      <c r="M2245" s="9"/>
      <c r="N2245" s="9"/>
      <c r="O2245" s="9"/>
      <c r="P2245" s="9"/>
      <c r="Q2245" s="9"/>
      <c r="R2245" s="9"/>
      <c r="S2245" s="9"/>
      <c r="T2245" s="9"/>
      <c r="U2245" s="9"/>
      <c r="V2245" s="9"/>
      <c r="W2245" s="9"/>
      <c r="X2245" s="9"/>
      <c r="Y2245" s="9"/>
      <c r="Z2245" s="9"/>
      <c r="AA2245" s="9"/>
      <c r="AB2245" s="9"/>
      <c r="AC2245" s="9"/>
      <c r="AD2245" s="9"/>
      <c r="AE2245" s="9"/>
      <c r="AF2245" s="9"/>
      <c r="AG2245" s="9"/>
      <c r="AH2245" s="9"/>
      <c r="AI2245" s="9"/>
      <c r="AJ2245" s="9"/>
      <c r="AK2245" s="9"/>
      <c r="AL2245" s="9"/>
      <c r="AM2245" s="9"/>
      <c r="AN2245" s="9"/>
      <c r="AO2245" s="9"/>
      <c r="AP2245" s="9"/>
      <c r="AQ2245" s="9"/>
      <c r="AR2245" s="9"/>
      <c r="AS2245" s="9"/>
      <c r="AT2245" s="9"/>
      <c r="AU2245" s="9"/>
    </row>
    <row r="2246" spans="1:47" ht="15.75" customHeight="1">
      <c r="A2246" s="9"/>
      <c r="B2246" s="9"/>
      <c r="C2246" s="9"/>
      <c r="D2246" s="9"/>
      <c r="E2246" s="9"/>
      <c r="F2246" s="67"/>
      <c r="G2246" s="9"/>
      <c r="H2246" s="9"/>
      <c r="I2246" s="9"/>
      <c r="J2246" s="9"/>
      <c r="K2246" s="9"/>
      <c r="L2246" s="9"/>
      <c r="M2246" s="9"/>
      <c r="N2246" s="9"/>
      <c r="O2246" s="9"/>
      <c r="P2246" s="9"/>
      <c r="Q2246" s="9"/>
      <c r="R2246" s="9"/>
      <c r="S2246" s="9"/>
      <c r="T2246" s="9"/>
      <c r="U2246" s="9"/>
      <c r="V2246" s="9"/>
      <c r="W2246" s="9"/>
      <c r="X2246" s="9"/>
      <c r="Y2246" s="9"/>
      <c r="Z2246" s="9"/>
      <c r="AA2246" s="9"/>
      <c r="AB2246" s="9"/>
      <c r="AC2246" s="9"/>
      <c r="AD2246" s="9"/>
      <c r="AE2246" s="9"/>
      <c r="AF2246" s="9"/>
      <c r="AG2246" s="9"/>
      <c r="AH2246" s="9"/>
      <c r="AI2246" s="9"/>
      <c r="AJ2246" s="9"/>
      <c r="AK2246" s="9"/>
      <c r="AL2246" s="9"/>
      <c r="AM2246" s="9"/>
      <c r="AN2246" s="9"/>
      <c r="AO2246" s="9"/>
      <c r="AP2246" s="9"/>
      <c r="AQ2246" s="9"/>
      <c r="AR2246" s="9"/>
      <c r="AS2246" s="9"/>
      <c r="AT2246" s="9"/>
      <c r="AU2246" s="9"/>
    </row>
    <row r="2247" spans="1:47" ht="15.75" customHeight="1">
      <c r="A2247" s="9"/>
      <c r="B2247" s="9"/>
      <c r="C2247" s="9"/>
      <c r="D2247" s="9"/>
      <c r="E2247" s="9"/>
      <c r="F2247" s="67"/>
      <c r="G2247" s="9"/>
      <c r="H2247" s="9"/>
      <c r="I2247" s="9"/>
      <c r="J2247" s="9"/>
      <c r="K2247" s="9"/>
      <c r="L2247" s="9"/>
      <c r="M2247" s="9"/>
      <c r="N2247" s="9"/>
      <c r="O2247" s="9"/>
      <c r="P2247" s="9"/>
      <c r="Q2247" s="9"/>
      <c r="R2247" s="9"/>
      <c r="S2247" s="9"/>
      <c r="T2247" s="9"/>
      <c r="U2247" s="9"/>
      <c r="V2247" s="9"/>
      <c r="W2247" s="9"/>
      <c r="X2247" s="9"/>
      <c r="Y2247" s="9"/>
      <c r="Z2247" s="9"/>
      <c r="AA2247" s="9"/>
      <c r="AB2247" s="9"/>
      <c r="AC2247" s="9"/>
      <c r="AD2247" s="9"/>
      <c r="AE2247" s="9"/>
      <c r="AF2247" s="9"/>
      <c r="AG2247" s="9"/>
      <c r="AH2247" s="9"/>
      <c r="AI2247" s="9"/>
      <c r="AJ2247" s="9"/>
      <c r="AK2247" s="9"/>
      <c r="AL2247" s="9"/>
      <c r="AM2247" s="9"/>
      <c r="AN2247" s="9"/>
      <c r="AO2247" s="9"/>
      <c r="AP2247" s="9"/>
      <c r="AQ2247" s="9"/>
      <c r="AR2247" s="9"/>
      <c r="AS2247" s="9"/>
      <c r="AT2247" s="9"/>
      <c r="AU2247" s="9"/>
    </row>
    <row r="2248" spans="1:47" ht="15.75" customHeight="1">
      <c r="A2248" s="9"/>
      <c r="B2248" s="9"/>
      <c r="C2248" s="9"/>
      <c r="D2248" s="9"/>
      <c r="E2248" s="9"/>
      <c r="F2248" s="67"/>
      <c r="G2248" s="9"/>
      <c r="H2248" s="9"/>
      <c r="I2248" s="9"/>
      <c r="J2248" s="9"/>
      <c r="K2248" s="9"/>
      <c r="L2248" s="9"/>
      <c r="M2248" s="9"/>
      <c r="N2248" s="9"/>
      <c r="O2248" s="9"/>
      <c r="P2248" s="9"/>
      <c r="Q2248" s="9"/>
      <c r="R2248" s="9"/>
      <c r="S2248" s="9"/>
      <c r="T2248" s="9"/>
      <c r="U2248" s="9"/>
      <c r="V2248" s="9"/>
      <c r="W2248" s="9"/>
      <c r="X2248" s="9"/>
      <c r="Y2248" s="9"/>
      <c r="Z2248" s="9"/>
      <c r="AA2248" s="9"/>
      <c r="AB2248" s="9"/>
      <c r="AC2248" s="9"/>
      <c r="AD2248" s="9"/>
      <c r="AE2248" s="9"/>
      <c r="AF2248" s="9"/>
      <c r="AG2248" s="9"/>
      <c r="AH2248" s="9"/>
      <c r="AI2248" s="9"/>
      <c r="AJ2248" s="9"/>
      <c r="AK2248" s="9"/>
      <c r="AL2248" s="9"/>
      <c r="AM2248" s="9"/>
      <c r="AN2248" s="9"/>
      <c r="AO2248" s="9"/>
      <c r="AP2248" s="9"/>
      <c r="AQ2248" s="9"/>
      <c r="AR2248" s="9"/>
      <c r="AS2248" s="9"/>
      <c r="AT2248" s="9"/>
      <c r="AU2248" s="9"/>
    </row>
    <row r="2249" spans="1:47" ht="15.75" customHeight="1">
      <c r="A2249" s="9"/>
      <c r="B2249" s="9"/>
      <c r="C2249" s="9"/>
      <c r="D2249" s="9"/>
      <c r="E2249" s="9"/>
      <c r="F2249" s="67"/>
      <c r="G2249" s="9"/>
      <c r="H2249" s="9"/>
      <c r="I2249" s="9"/>
      <c r="J2249" s="9"/>
      <c r="K2249" s="9"/>
      <c r="L2249" s="9"/>
      <c r="M2249" s="9"/>
      <c r="N2249" s="9"/>
      <c r="O2249" s="9"/>
      <c r="P2249" s="9"/>
      <c r="Q2249" s="9"/>
      <c r="R2249" s="9"/>
      <c r="S2249" s="9"/>
      <c r="T2249" s="9"/>
      <c r="U2249" s="9"/>
      <c r="V2249" s="9"/>
      <c r="W2249" s="9"/>
      <c r="X2249" s="9"/>
      <c r="Y2249" s="9"/>
      <c r="Z2249" s="9"/>
      <c r="AA2249" s="9"/>
      <c r="AB2249" s="9"/>
      <c r="AC2249" s="9"/>
      <c r="AD2249" s="9"/>
      <c r="AE2249" s="9"/>
      <c r="AF2249" s="9"/>
      <c r="AG2249" s="9"/>
      <c r="AH2249" s="9"/>
      <c r="AI2249" s="9"/>
      <c r="AJ2249" s="9"/>
      <c r="AK2249" s="9"/>
      <c r="AL2249" s="9"/>
      <c r="AM2249" s="9"/>
      <c r="AN2249" s="9"/>
      <c r="AO2249" s="9"/>
      <c r="AP2249" s="9"/>
      <c r="AQ2249" s="9"/>
      <c r="AR2249" s="9"/>
      <c r="AS2249" s="9"/>
      <c r="AT2249" s="9"/>
      <c r="AU2249" s="9"/>
    </row>
    <row r="2250" spans="1:47" ht="15.75" customHeight="1">
      <c r="A2250" s="9"/>
      <c r="B2250" s="9"/>
      <c r="C2250" s="9"/>
      <c r="D2250" s="9"/>
      <c r="E2250" s="9"/>
      <c r="F2250" s="67"/>
      <c r="G2250" s="9"/>
      <c r="H2250" s="9"/>
      <c r="I2250" s="9"/>
      <c r="J2250" s="9"/>
      <c r="K2250" s="9"/>
      <c r="L2250" s="9"/>
      <c r="M2250" s="9"/>
      <c r="N2250" s="9"/>
      <c r="O2250" s="9"/>
      <c r="P2250" s="9"/>
      <c r="Q2250" s="9"/>
      <c r="R2250" s="9"/>
      <c r="S2250" s="9"/>
      <c r="T2250" s="9"/>
      <c r="U2250" s="9"/>
      <c r="V2250" s="9"/>
      <c r="W2250" s="9"/>
      <c r="X2250" s="9"/>
      <c r="Y2250" s="9"/>
      <c r="Z2250" s="9"/>
      <c r="AA2250" s="9"/>
      <c r="AB2250" s="9"/>
      <c r="AC2250" s="9"/>
      <c r="AD2250" s="9"/>
      <c r="AE2250" s="9"/>
      <c r="AF2250" s="9"/>
      <c r="AG2250" s="9"/>
      <c r="AH2250" s="9"/>
      <c r="AI2250" s="9"/>
      <c r="AJ2250" s="9"/>
      <c r="AK2250" s="9"/>
      <c r="AL2250" s="9"/>
      <c r="AM2250" s="9"/>
      <c r="AN2250" s="9"/>
      <c r="AO2250" s="9"/>
      <c r="AP2250" s="9"/>
      <c r="AQ2250" s="9"/>
      <c r="AR2250" s="9"/>
      <c r="AS2250" s="9"/>
      <c r="AT2250" s="9"/>
      <c r="AU2250" s="9"/>
    </row>
    <row r="2251" spans="1:47" ht="15.75" customHeight="1">
      <c r="A2251" s="9"/>
      <c r="B2251" s="9"/>
      <c r="C2251" s="9"/>
      <c r="D2251" s="9"/>
      <c r="E2251" s="9"/>
      <c r="F2251" s="67"/>
      <c r="G2251" s="9"/>
      <c r="H2251" s="9"/>
      <c r="I2251" s="9"/>
      <c r="J2251" s="9"/>
      <c r="K2251" s="9"/>
      <c r="L2251" s="9"/>
      <c r="M2251" s="9"/>
      <c r="N2251" s="9"/>
      <c r="O2251" s="9"/>
      <c r="P2251" s="9"/>
      <c r="Q2251" s="9"/>
      <c r="R2251" s="9"/>
      <c r="S2251" s="9"/>
      <c r="T2251" s="9"/>
      <c r="U2251" s="9"/>
      <c r="V2251" s="9"/>
      <c r="W2251" s="9"/>
      <c r="X2251" s="9"/>
      <c r="Y2251" s="9"/>
      <c r="Z2251" s="9"/>
      <c r="AA2251" s="9"/>
      <c r="AB2251" s="9"/>
      <c r="AC2251" s="9"/>
      <c r="AD2251" s="9"/>
      <c r="AE2251" s="9"/>
      <c r="AF2251" s="9"/>
      <c r="AG2251" s="9"/>
      <c r="AH2251" s="9"/>
      <c r="AI2251" s="9"/>
      <c r="AJ2251" s="9"/>
      <c r="AK2251" s="9"/>
      <c r="AL2251" s="9"/>
      <c r="AM2251" s="9"/>
      <c r="AN2251" s="9"/>
      <c r="AO2251" s="9"/>
      <c r="AP2251" s="9"/>
      <c r="AQ2251" s="9"/>
      <c r="AR2251" s="9"/>
      <c r="AS2251" s="9"/>
      <c r="AT2251" s="9"/>
      <c r="AU2251" s="9"/>
    </row>
    <row r="2252" spans="1:47" ht="15.75" customHeight="1">
      <c r="A2252" s="9"/>
      <c r="B2252" s="9"/>
      <c r="C2252" s="9"/>
      <c r="D2252" s="9"/>
      <c r="E2252" s="9"/>
      <c r="F2252" s="67"/>
      <c r="G2252" s="9"/>
      <c r="H2252" s="9"/>
      <c r="I2252" s="9"/>
      <c r="J2252" s="9"/>
      <c r="K2252" s="9"/>
      <c r="L2252" s="9"/>
      <c r="M2252" s="9"/>
      <c r="N2252" s="9"/>
      <c r="O2252" s="9"/>
      <c r="P2252" s="9"/>
      <c r="Q2252" s="9"/>
      <c r="R2252" s="9"/>
      <c r="S2252" s="9"/>
      <c r="T2252" s="9"/>
      <c r="U2252" s="9"/>
      <c r="V2252" s="9"/>
      <c r="W2252" s="9"/>
      <c r="X2252" s="9"/>
      <c r="Y2252" s="9"/>
      <c r="Z2252" s="9"/>
      <c r="AA2252" s="9"/>
      <c r="AB2252" s="9"/>
      <c r="AC2252" s="9"/>
      <c r="AD2252" s="9"/>
      <c r="AE2252" s="9"/>
      <c r="AF2252" s="9"/>
      <c r="AG2252" s="9"/>
      <c r="AH2252" s="9"/>
      <c r="AI2252" s="9"/>
      <c r="AJ2252" s="9"/>
      <c r="AK2252" s="9"/>
      <c r="AL2252" s="9"/>
      <c r="AM2252" s="9"/>
      <c r="AN2252" s="9"/>
      <c r="AO2252" s="9"/>
      <c r="AP2252" s="9"/>
      <c r="AQ2252" s="9"/>
      <c r="AR2252" s="9"/>
      <c r="AS2252" s="9"/>
      <c r="AT2252" s="9"/>
      <c r="AU2252" s="9"/>
    </row>
    <row r="2253" spans="1:47" ht="15.75" customHeight="1">
      <c r="A2253" s="9"/>
      <c r="B2253" s="9"/>
      <c r="C2253" s="9"/>
      <c r="D2253" s="9"/>
      <c r="E2253" s="9"/>
      <c r="F2253" s="67"/>
      <c r="G2253" s="9"/>
      <c r="H2253" s="9"/>
      <c r="I2253" s="9"/>
      <c r="J2253" s="9"/>
      <c r="K2253" s="9"/>
      <c r="L2253" s="9"/>
      <c r="M2253" s="9"/>
      <c r="N2253" s="9"/>
      <c r="O2253" s="9"/>
      <c r="P2253" s="9"/>
      <c r="Q2253" s="9"/>
      <c r="R2253" s="9"/>
      <c r="S2253" s="9"/>
      <c r="T2253" s="9"/>
      <c r="U2253" s="9"/>
      <c r="V2253" s="9"/>
      <c r="W2253" s="9"/>
      <c r="X2253" s="9"/>
      <c r="Y2253" s="9"/>
      <c r="Z2253" s="9"/>
      <c r="AA2253" s="9"/>
      <c r="AB2253" s="9"/>
      <c r="AC2253" s="9"/>
      <c r="AD2253" s="9"/>
      <c r="AE2253" s="9"/>
      <c r="AF2253" s="9"/>
      <c r="AG2253" s="9"/>
      <c r="AH2253" s="9"/>
      <c r="AI2253" s="9"/>
      <c r="AJ2253" s="9"/>
      <c r="AK2253" s="9"/>
      <c r="AL2253" s="9"/>
      <c r="AM2253" s="9"/>
      <c r="AN2253" s="9"/>
      <c r="AO2253" s="9"/>
      <c r="AP2253" s="9"/>
      <c r="AQ2253" s="9"/>
      <c r="AR2253" s="9"/>
      <c r="AS2253" s="9"/>
      <c r="AT2253" s="9"/>
      <c r="AU2253" s="9"/>
    </row>
    <row r="2254" spans="1:47" ht="15.75" customHeight="1">
      <c r="A2254" s="9"/>
      <c r="B2254" s="9"/>
      <c r="C2254" s="9"/>
      <c r="D2254" s="9"/>
      <c r="E2254" s="9"/>
      <c r="F2254" s="67"/>
      <c r="G2254" s="9"/>
      <c r="H2254" s="9"/>
      <c r="I2254" s="9"/>
      <c r="J2254" s="9"/>
      <c r="K2254" s="9"/>
      <c r="L2254" s="9"/>
      <c r="M2254" s="9"/>
      <c r="N2254" s="9"/>
      <c r="O2254" s="9"/>
      <c r="P2254" s="9"/>
      <c r="Q2254" s="9"/>
      <c r="R2254" s="9"/>
      <c r="S2254" s="9"/>
      <c r="T2254" s="9"/>
      <c r="U2254" s="9"/>
      <c r="V2254" s="9"/>
      <c r="W2254" s="9"/>
      <c r="X2254" s="9"/>
      <c r="Y2254" s="9"/>
      <c r="Z2254" s="9"/>
      <c r="AA2254" s="9"/>
      <c r="AB2254" s="9"/>
      <c r="AC2254" s="9"/>
      <c r="AD2254" s="9"/>
      <c r="AE2254" s="9"/>
      <c r="AF2254" s="9"/>
      <c r="AG2254" s="9"/>
      <c r="AH2254" s="9"/>
      <c r="AI2254" s="9"/>
      <c r="AJ2254" s="9"/>
      <c r="AK2254" s="9"/>
      <c r="AL2254" s="9"/>
      <c r="AM2254" s="9"/>
      <c r="AN2254" s="9"/>
      <c r="AO2254" s="9"/>
      <c r="AP2254" s="9"/>
      <c r="AQ2254" s="9"/>
      <c r="AR2254" s="9"/>
      <c r="AS2254" s="9"/>
      <c r="AT2254" s="9"/>
      <c r="AU2254" s="9"/>
    </row>
    <row r="2255" spans="1:47" ht="15.75" customHeight="1">
      <c r="A2255" s="9"/>
      <c r="B2255" s="9"/>
      <c r="C2255" s="9"/>
      <c r="D2255" s="9"/>
      <c r="E2255" s="9"/>
      <c r="F2255" s="67"/>
      <c r="G2255" s="9"/>
      <c r="H2255" s="9"/>
      <c r="I2255" s="9"/>
      <c r="J2255" s="9"/>
      <c r="K2255" s="9"/>
      <c r="L2255" s="9"/>
      <c r="M2255" s="9"/>
      <c r="N2255" s="9"/>
      <c r="O2255" s="9"/>
      <c r="P2255" s="9"/>
      <c r="Q2255" s="9"/>
      <c r="R2255" s="9"/>
      <c r="S2255" s="9"/>
      <c r="T2255" s="9"/>
      <c r="U2255" s="9"/>
      <c r="V2255" s="9"/>
      <c r="W2255" s="9"/>
      <c r="X2255" s="9"/>
      <c r="Y2255" s="9"/>
      <c r="Z2255" s="9"/>
      <c r="AA2255" s="9"/>
      <c r="AB2255" s="9"/>
      <c r="AC2255" s="9"/>
      <c r="AD2255" s="9"/>
      <c r="AE2255" s="9"/>
      <c r="AF2255" s="9"/>
      <c r="AG2255" s="9"/>
      <c r="AH2255" s="9"/>
      <c r="AI2255" s="9"/>
      <c r="AJ2255" s="9"/>
      <c r="AK2255" s="9"/>
      <c r="AL2255" s="9"/>
      <c r="AM2255" s="9"/>
      <c r="AN2255" s="9"/>
      <c r="AO2255" s="9"/>
      <c r="AP2255" s="9"/>
      <c r="AQ2255" s="9"/>
      <c r="AR2255" s="9"/>
      <c r="AS2255" s="9"/>
      <c r="AT2255" s="9"/>
      <c r="AU2255" s="9"/>
    </row>
    <row r="2256" spans="1:47" ht="15.75" customHeight="1">
      <c r="A2256" s="9"/>
      <c r="B2256" s="9"/>
      <c r="C2256" s="9"/>
      <c r="D2256" s="9"/>
      <c r="E2256" s="9"/>
      <c r="F2256" s="67"/>
      <c r="G2256" s="9"/>
      <c r="H2256" s="9"/>
      <c r="I2256" s="9"/>
      <c r="J2256" s="9"/>
      <c r="K2256" s="9"/>
      <c r="L2256" s="9"/>
      <c r="M2256" s="9"/>
      <c r="N2256" s="9"/>
      <c r="O2256" s="9"/>
      <c r="P2256" s="9"/>
      <c r="Q2256" s="9"/>
      <c r="R2256" s="9"/>
      <c r="S2256" s="9"/>
      <c r="T2256" s="9"/>
      <c r="U2256" s="9"/>
      <c r="V2256" s="9"/>
      <c r="W2256" s="9"/>
      <c r="X2256" s="9"/>
      <c r="Y2256" s="9"/>
      <c r="Z2256" s="9"/>
      <c r="AA2256" s="9"/>
      <c r="AB2256" s="9"/>
      <c r="AC2256" s="9"/>
      <c r="AD2256" s="9"/>
      <c r="AE2256" s="9"/>
      <c r="AF2256" s="9"/>
      <c r="AG2256" s="9"/>
      <c r="AH2256" s="9"/>
      <c r="AI2256" s="9"/>
      <c r="AJ2256" s="9"/>
      <c r="AK2256" s="9"/>
      <c r="AL2256" s="9"/>
      <c r="AM2256" s="9"/>
      <c r="AN2256" s="9"/>
      <c r="AO2256" s="9"/>
      <c r="AP2256" s="9"/>
      <c r="AQ2256" s="9"/>
      <c r="AR2256" s="9"/>
      <c r="AS2256" s="9"/>
      <c r="AT2256" s="9"/>
      <c r="AU2256" s="9"/>
    </row>
    <row r="2257" spans="1:47" ht="15.75" customHeight="1">
      <c r="A2257" s="9"/>
      <c r="B2257" s="9"/>
      <c r="C2257" s="9"/>
      <c r="D2257" s="9"/>
      <c r="E2257" s="9"/>
      <c r="F2257" s="67"/>
      <c r="G2257" s="9"/>
      <c r="H2257" s="9"/>
      <c r="I2257" s="9"/>
      <c r="J2257" s="9"/>
      <c r="K2257" s="9"/>
      <c r="L2257" s="9"/>
      <c r="M2257" s="9"/>
      <c r="N2257" s="9"/>
      <c r="O2257" s="9"/>
      <c r="P2257" s="9"/>
      <c r="Q2257" s="9"/>
      <c r="R2257" s="9"/>
      <c r="S2257" s="9"/>
      <c r="T2257" s="9"/>
      <c r="U2257" s="9"/>
      <c r="V2257" s="9"/>
      <c r="W2257" s="9"/>
      <c r="X2257" s="9"/>
      <c r="Y2257" s="9"/>
      <c r="Z2257" s="9"/>
      <c r="AA2257" s="9"/>
      <c r="AB2257" s="9"/>
      <c r="AC2257" s="9"/>
      <c r="AD2257" s="9"/>
      <c r="AE2257" s="9"/>
      <c r="AF2257" s="9"/>
      <c r="AG2257" s="9"/>
      <c r="AH2257" s="9"/>
      <c r="AI2257" s="9"/>
      <c r="AJ2257" s="9"/>
      <c r="AK2257" s="9"/>
      <c r="AL2257" s="9"/>
      <c r="AM2257" s="9"/>
      <c r="AN2257" s="9"/>
      <c r="AO2257" s="9"/>
      <c r="AP2257" s="9"/>
      <c r="AQ2257" s="9"/>
      <c r="AR2257" s="9"/>
      <c r="AS2257" s="9"/>
      <c r="AT2257" s="9"/>
      <c r="AU2257" s="9"/>
    </row>
    <row r="2258" spans="1:47" ht="15.75" customHeight="1">
      <c r="A2258" s="9"/>
      <c r="B2258" s="9"/>
      <c r="C2258" s="9"/>
      <c r="D2258" s="9"/>
      <c r="E2258" s="9"/>
      <c r="F2258" s="67"/>
      <c r="G2258" s="9"/>
      <c r="H2258" s="9"/>
      <c r="I2258" s="9"/>
      <c r="J2258" s="9"/>
      <c r="K2258" s="9"/>
      <c r="L2258" s="9"/>
      <c r="M2258" s="9"/>
      <c r="N2258" s="9"/>
      <c r="O2258" s="9"/>
      <c r="P2258" s="9"/>
      <c r="Q2258" s="9"/>
      <c r="R2258" s="9"/>
      <c r="S2258" s="9"/>
      <c r="T2258" s="9"/>
      <c r="U2258" s="9"/>
      <c r="V2258" s="9"/>
      <c r="W2258" s="9"/>
      <c r="X2258" s="9"/>
      <c r="Y2258" s="9"/>
      <c r="Z2258" s="9"/>
      <c r="AA2258" s="9"/>
      <c r="AB2258" s="9"/>
      <c r="AC2258" s="9"/>
      <c r="AD2258" s="9"/>
      <c r="AE2258" s="9"/>
      <c r="AF2258" s="9"/>
      <c r="AG2258" s="9"/>
      <c r="AH2258" s="9"/>
      <c r="AI2258" s="9"/>
      <c r="AJ2258" s="9"/>
      <c r="AK2258" s="9"/>
      <c r="AL2258" s="9"/>
      <c r="AM2258" s="9"/>
      <c r="AN2258" s="9"/>
      <c r="AO2258" s="9"/>
      <c r="AP2258" s="9"/>
      <c r="AQ2258" s="9"/>
      <c r="AR2258" s="9"/>
      <c r="AS2258" s="9"/>
      <c r="AT2258" s="9"/>
      <c r="AU2258" s="9"/>
    </row>
    <row r="2259" spans="1:47" ht="15.75" customHeight="1">
      <c r="A2259" s="9"/>
      <c r="B2259" s="9"/>
      <c r="C2259" s="9"/>
      <c r="D2259" s="9"/>
      <c r="E2259" s="9"/>
      <c r="F2259" s="67"/>
      <c r="G2259" s="9"/>
      <c r="H2259" s="9"/>
      <c r="I2259" s="9"/>
      <c r="J2259" s="9"/>
      <c r="K2259" s="9"/>
      <c r="L2259" s="9"/>
      <c r="M2259" s="9"/>
      <c r="N2259" s="9"/>
      <c r="O2259" s="9"/>
      <c r="P2259" s="9"/>
      <c r="Q2259" s="9"/>
      <c r="R2259" s="9"/>
      <c r="S2259" s="9"/>
      <c r="T2259" s="9"/>
      <c r="U2259" s="9"/>
      <c r="V2259" s="9"/>
      <c r="W2259" s="9"/>
      <c r="X2259" s="9"/>
      <c r="Y2259" s="9"/>
      <c r="Z2259" s="9"/>
      <c r="AA2259" s="9"/>
      <c r="AB2259" s="9"/>
      <c r="AC2259" s="9"/>
      <c r="AD2259" s="9"/>
      <c r="AE2259" s="9"/>
      <c r="AF2259" s="9"/>
      <c r="AG2259" s="9"/>
      <c r="AH2259" s="9"/>
      <c r="AI2259" s="9"/>
      <c r="AJ2259" s="9"/>
      <c r="AK2259" s="9"/>
      <c r="AL2259" s="9"/>
      <c r="AM2259" s="9"/>
      <c r="AN2259" s="9"/>
      <c r="AO2259" s="9"/>
      <c r="AP2259" s="9"/>
      <c r="AQ2259" s="9"/>
      <c r="AR2259" s="9"/>
      <c r="AS2259" s="9"/>
      <c r="AT2259" s="9"/>
      <c r="AU2259" s="9"/>
    </row>
    <row r="2260" spans="1:47" ht="15.75" customHeight="1">
      <c r="A2260" s="9"/>
      <c r="B2260" s="9"/>
      <c r="C2260" s="9"/>
      <c r="D2260" s="9"/>
      <c r="E2260" s="9"/>
      <c r="F2260" s="67"/>
      <c r="G2260" s="9"/>
      <c r="H2260" s="9"/>
      <c r="I2260" s="9"/>
      <c r="J2260" s="9"/>
      <c r="K2260" s="9"/>
      <c r="L2260" s="9"/>
      <c r="M2260" s="9"/>
      <c r="N2260" s="9"/>
      <c r="O2260" s="9"/>
      <c r="P2260" s="9"/>
      <c r="Q2260" s="9"/>
      <c r="R2260" s="9"/>
      <c r="S2260" s="9"/>
      <c r="T2260" s="9"/>
      <c r="U2260" s="9"/>
      <c r="V2260" s="9"/>
      <c r="W2260" s="9"/>
      <c r="X2260" s="9"/>
      <c r="Y2260" s="9"/>
      <c r="Z2260" s="9"/>
      <c r="AA2260" s="9"/>
      <c r="AB2260" s="9"/>
      <c r="AC2260" s="9"/>
      <c r="AD2260" s="9"/>
      <c r="AE2260" s="9"/>
      <c r="AF2260" s="9"/>
      <c r="AG2260" s="9"/>
      <c r="AH2260" s="9"/>
      <c r="AI2260" s="9"/>
      <c r="AJ2260" s="9"/>
      <c r="AK2260" s="9"/>
      <c r="AL2260" s="9"/>
      <c r="AM2260" s="9"/>
      <c r="AN2260" s="9"/>
      <c r="AO2260" s="9"/>
      <c r="AP2260" s="9"/>
      <c r="AQ2260" s="9"/>
      <c r="AR2260" s="9"/>
      <c r="AS2260" s="9"/>
      <c r="AT2260" s="9"/>
      <c r="AU2260" s="9"/>
    </row>
    <row r="2261" spans="1:47" ht="15.75" customHeight="1">
      <c r="A2261" s="9"/>
      <c r="B2261" s="9"/>
      <c r="C2261" s="9"/>
      <c r="D2261" s="9"/>
      <c r="E2261" s="9"/>
      <c r="F2261" s="67"/>
      <c r="G2261" s="9"/>
      <c r="H2261" s="9"/>
      <c r="I2261" s="9"/>
      <c r="J2261" s="9"/>
      <c r="K2261" s="9"/>
      <c r="L2261" s="9"/>
      <c r="M2261" s="9"/>
      <c r="N2261" s="9"/>
      <c r="O2261" s="9"/>
      <c r="P2261" s="9"/>
      <c r="Q2261" s="9"/>
      <c r="R2261" s="9"/>
      <c r="S2261" s="9"/>
      <c r="T2261" s="9"/>
      <c r="U2261" s="9"/>
      <c r="V2261" s="9"/>
      <c r="W2261" s="9"/>
      <c r="X2261" s="9"/>
      <c r="Y2261" s="9"/>
      <c r="Z2261" s="9"/>
      <c r="AA2261" s="9"/>
      <c r="AB2261" s="9"/>
      <c r="AC2261" s="9"/>
      <c r="AD2261" s="9"/>
      <c r="AE2261" s="9"/>
      <c r="AF2261" s="9"/>
      <c r="AG2261" s="9"/>
      <c r="AH2261" s="9"/>
      <c r="AI2261" s="9"/>
      <c r="AJ2261" s="9"/>
      <c r="AK2261" s="9"/>
      <c r="AL2261" s="9"/>
      <c r="AM2261" s="9"/>
      <c r="AN2261" s="9"/>
      <c r="AO2261" s="9"/>
      <c r="AP2261" s="9"/>
      <c r="AQ2261" s="9"/>
      <c r="AR2261" s="9"/>
      <c r="AS2261" s="9"/>
      <c r="AT2261" s="9"/>
      <c r="AU2261" s="9"/>
    </row>
    <row r="2262" spans="1:47" ht="15.75" customHeight="1">
      <c r="A2262" s="9"/>
      <c r="B2262" s="9"/>
      <c r="C2262" s="9"/>
      <c r="D2262" s="9"/>
      <c r="E2262" s="9"/>
      <c r="F2262" s="67"/>
      <c r="G2262" s="9"/>
      <c r="H2262" s="9"/>
      <c r="I2262" s="9"/>
      <c r="J2262" s="9"/>
      <c r="K2262" s="9"/>
      <c r="L2262" s="9"/>
      <c r="M2262" s="9"/>
      <c r="N2262" s="9"/>
      <c r="O2262" s="9"/>
      <c r="P2262" s="9"/>
      <c r="Q2262" s="9"/>
      <c r="R2262" s="9"/>
      <c r="S2262" s="9"/>
      <c r="T2262" s="9"/>
      <c r="U2262" s="9"/>
      <c r="V2262" s="9"/>
      <c r="W2262" s="9"/>
      <c r="X2262" s="9"/>
      <c r="Y2262" s="9"/>
      <c r="Z2262" s="9"/>
      <c r="AA2262" s="9"/>
      <c r="AB2262" s="9"/>
      <c r="AC2262" s="9"/>
      <c r="AD2262" s="9"/>
      <c r="AE2262" s="9"/>
      <c r="AF2262" s="9"/>
      <c r="AG2262" s="9"/>
      <c r="AH2262" s="9"/>
      <c r="AI2262" s="9"/>
      <c r="AJ2262" s="9"/>
      <c r="AK2262" s="9"/>
      <c r="AL2262" s="9"/>
      <c r="AM2262" s="9"/>
      <c r="AN2262" s="9"/>
      <c r="AO2262" s="9"/>
      <c r="AP2262" s="9"/>
      <c r="AQ2262" s="9"/>
      <c r="AR2262" s="9"/>
      <c r="AS2262" s="9"/>
      <c r="AT2262" s="9"/>
      <c r="AU2262" s="9"/>
    </row>
    <row r="2263" spans="1:47" ht="15.75" customHeight="1">
      <c r="A2263" s="9"/>
      <c r="B2263" s="9"/>
      <c r="C2263" s="9"/>
      <c r="D2263" s="9"/>
      <c r="E2263" s="9"/>
      <c r="F2263" s="67"/>
      <c r="G2263" s="9"/>
      <c r="H2263" s="9"/>
      <c r="I2263" s="9"/>
      <c r="J2263" s="9"/>
      <c r="K2263" s="9"/>
      <c r="L2263" s="9"/>
      <c r="M2263" s="9"/>
      <c r="N2263" s="9"/>
      <c r="O2263" s="9"/>
      <c r="P2263" s="9"/>
      <c r="Q2263" s="9"/>
      <c r="R2263" s="9"/>
      <c r="S2263" s="9"/>
      <c r="T2263" s="9"/>
      <c r="U2263" s="9"/>
      <c r="V2263" s="9"/>
      <c r="W2263" s="9"/>
      <c r="X2263" s="9"/>
      <c r="Y2263" s="9"/>
      <c r="Z2263" s="9"/>
      <c r="AA2263" s="9"/>
      <c r="AB2263" s="9"/>
      <c r="AC2263" s="9"/>
      <c r="AD2263" s="9"/>
      <c r="AE2263" s="9"/>
      <c r="AF2263" s="9"/>
      <c r="AG2263" s="9"/>
      <c r="AH2263" s="9"/>
      <c r="AI2263" s="9"/>
      <c r="AJ2263" s="9"/>
      <c r="AK2263" s="9"/>
      <c r="AL2263" s="9"/>
      <c r="AM2263" s="9"/>
      <c r="AN2263" s="9"/>
      <c r="AO2263" s="9"/>
      <c r="AP2263" s="9"/>
      <c r="AQ2263" s="9"/>
      <c r="AR2263" s="9"/>
      <c r="AS2263" s="9"/>
      <c r="AT2263" s="9"/>
      <c r="AU2263" s="9"/>
    </row>
    <row r="2264" spans="1:47" ht="15.75" customHeight="1">
      <c r="A2264" s="9"/>
      <c r="B2264" s="9"/>
      <c r="C2264" s="9"/>
      <c r="D2264" s="9"/>
      <c r="E2264" s="9"/>
      <c r="F2264" s="67"/>
      <c r="G2264" s="9"/>
      <c r="H2264" s="9"/>
      <c r="I2264" s="9"/>
      <c r="J2264" s="9"/>
      <c r="K2264" s="9"/>
      <c r="L2264" s="9"/>
      <c r="M2264" s="9"/>
      <c r="N2264" s="9"/>
      <c r="O2264" s="9"/>
      <c r="P2264" s="9"/>
      <c r="Q2264" s="9"/>
      <c r="R2264" s="9"/>
      <c r="S2264" s="9"/>
      <c r="T2264" s="9"/>
      <c r="U2264" s="9"/>
      <c r="V2264" s="9"/>
      <c r="W2264" s="9"/>
      <c r="X2264" s="9"/>
      <c r="Y2264" s="9"/>
      <c r="Z2264" s="9"/>
      <c r="AA2264" s="9"/>
      <c r="AB2264" s="9"/>
      <c r="AC2264" s="9"/>
      <c r="AD2264" s="9"/>
      <c r="AE2264" s="9"/>
      <c r="AF2264" s="9"/>
      <c r="AG2264" s="9"/>
      <c r="AH2264" s="9"/>
      <c r="AI2264" s="9"/>
      <c r="AJ2264" s="9"/>
      <c r="AK2264" s="9"/>
      <c r="AL2264" s="9"/>
      <c r="AM2264" s="9"/>
      <c r="AN2264" s="9"/>
      <c r="AO2264" s="9"/>
      <c r="AP2264" s="9"/>
      <c r="AQ2264" s="9"/>
      <c r="AR2264" s="9"/>
      <c r="AS2264" s="9"/>
      <c r="AT2264" s="9"/>
      <c r="AU2264" s="9"/>
    </row>
    <row r="2265" spans="1:47" ht="15.75" customHeight="1">
      <c r="A2265" s="9"/>
      <c r="B2265" s="9"/>
      <c r="C2265" s="9"/>
      <c r="D2265" s="9"/>
      <c r="E2265" s="9"/>
      <c r="F2265" s="67"/>
      <c r="G2265" s="9"/>
      <c r="H2265" s="9"/>
      <c r="I2265" s="9"/>
      <c r="J2265" s="9"/>
      <c r="K2265" s="9"/>
      <c r="L2265" s="9"/>
      <c r="M2265" s="9"/>
      <c r="N2265" s="9"/>
      <c r="O2265" s="9"/>
      <c r="P2265" s="9"/>
      <c r="Q2265" s="9"/>
      <c r="R2265" s="9"/>
      <c r="S2265" s="9"/>
      <c r="T2265" s="9"/>
      <c r="U2265" s="9"/>
      <c r="V2265" s="9"/>
      <c r="W2265" s="9"/>
      <c r="X2265" s="9"/>
      <c r="Y2265" s="9"/>
      <c r="Z2265" s="9"/>
      <c r="AA2265" s="9"/>
      <c r="AB2265" s="9"/>
      <c r="AC2265" s="9"/>
      <c r="AD2265" s="9"/>
      <c r="AE2265" s="9"/>
      <c r="AF2265" s="9"/>
      <c r="AG2265" s="9"/>
      <c r="AH2265" s="9"/>
      <c r="AI2265" s="9"/>
      <c r="AJ2265" s="9"/>
      <c r="AK2265" s="9"/>
      <c r="AL2265" s="9"/>
      <c r="AM2265" s="9"/>
      <c r="AN2265" s="9"/>
      <c r="AO2265" s="9"/>
      <c r="AP2265" s="9"/>
      <c r="AQ2265" s="9"/>
      <c r="AR2265" s="9"/>
      <c r="AS2265" s="9"/>
      <c r="AT2265" s="9"/>
      <c r="AU2265" s="9"/>
    </row>
    <row r="2266" spans="1:47" ht="15.75" customHeight="1">
      <c r="A2266" s="9"/>
      <c r="B2266" s="9"/>
      <c r="C2266" s="9"/>
      <c r="D2266" s="9"/>
      <c r="E2266" s="9"/>
      <c r="F2266" s="67"/>
      <c r="G2266" s="9"/>
      <c r="H2266" s="9"/>
      <c r="I2266" s="9"/>
      <c r="J2266" s="9"/>
      <c r="K2266" s="9"/>
      <c r="L2266" s="9"/>
      <c r="M2266" s="9"/>
      <c r="N2266" s="9"/>
      <c r="O2266" s="9"/>
      <c r="P2266" s="9"/>
      <c r="Q2266" s="9"/>
      <c r="R2266" s="9"/>
      <c r="S2266" s="9"/>
      <c r="T2266" s="9"/>
      <c r="U2266" s="9"/>
      <c r="V2266" s="9"/>
      <c r="W2266" s="9"/>
      <c r="X2266" s="9"/>
      <c r="Y2266" s="9"/>
      <c r="Z2266" s="9"/>
      <c r="AA2266" s="9"/>
      <c r="AB2266" s="9"/>
      <c r="AC2266" s="9"/>
      <c r="AD2266" s="9"/>
      <c r="AE2266" s="9"/>
      <c r="AF2266" s="9"/>
      <c r="AG2266" s="9"/>
      <c r="AH2266" s="9"/>
      <c r="AI2266" s="9"/>
      <c r="AJ2266" s="9"/>
      <c r="AK2266" s="9"/>
      <c r="AL2266" s="9"/>
      <c r="AM2266" s="9"/>
      <c r="AN2266" s="9"/>
      <c r="AO2266" s="9"/>
      <c r="AP2266" s="9"/>
      <c r="AQ2266" s="9"/>
      <c r="AR2266" s="9"/>
      <c r="AS2266" s="9"/>
      <c r="AT2266" s="9"/>
      <c r="AU2266" s="9"/>
    </row>
    <row r="2267" spans="1:47" ht="15.75" customHeight="1">
      <c r="A2267" s="9"/>
      <c r="B2267" s="9"/>
      <c r="C2267" s="9"/>
      <c r="D2267" s="9"/>
      <c r="E2267" s="9"/>
      <c r="F2267" s="67"/>
      <c r="G2267" s="9"/>
      <c r="H2267" s="9"/>
      <c r="I2267" s="9"/>
      <c r="J2267" s="9"/>
      <c r="K2267" s="9"/>
      <c r="L2267" s="9"/>
      <c r="M2267" s="9"/>
      <c r="N2267" s="9"/>
      <c r="O2267" s="9"/>
      <c r="P2267" s="9"/>
      <c r="Q2267" s="9"/>
      <c r="R2267" s="9"/>
      <c r="S2267" s="9"/>
      <c r="T2267" s="9"/>
      <c r="U2267" s="9"/>
      <c r="V2267" s="9"/>
      <c r="W2267" s="9"/>
      <c r="X2267" s="9"/>
      <c r="Y2267" s="9"/>
      <c r="Z2267" s="9"/>
      <c r="AA2267" s="9"/>
      <c r="AB2267" s="9"/>
      <c r="AC2267" s="9"/>
      <c r="AD2267" s="9"/>
      <c r="AE2267" s="9"/>
      <c r="AF2267" s="9"/>
      <c r="AG2267" s="9"/>
      <c r="AH2267" s="9"/>
      <c r="AI2267" s="9"/>
      <c r="AJ2267" s="9"/>
      <c r="AK2267" s="9"/>
      <c r="AL2267" s="9"/>
      <c r="AM2267" s="9"/>
      <c r="AN2267" s="9"/>
      <c r="AO2267" s="9"/>
      <c r="AP2267" s="9"/>
      <c r="AQ2267" s="9"/>
      <c r="AR2267" s="9"/>
      <c r="AS2267" s="9"/>
      <c r="AT2267" s="9"/>
      <c r="AU2267" s="9"/>
    </row>
    <row r="2268" spans="1:47" ht="15.75" customHeight="1">
      <c r="A2268" s="9"/>
      <c r="B2268" s="9"/>
      <c r="C2268" s="9"/>
      <c r="D2268" s="9"/>
      <c r="E2268" s="9"/>
      <c r="F2268" s="67"/>
      <c r="G2268" s="9"/>
      <c r="H2268" s="9"/>
      <c r="I2268" s="9"/>
      <c r="J2268" s="9"/>
      <c r="K2268" s="9"/>
      <c r="L2268" s="9"/>
      <c r="M2268" s="9"/>
      <c r="N2268" s="9"/>
      <c r="O2268" s="9"/>
      <c r="P2268" s="9"/>
      <c r="Q2268" s="9"/>
      <c r="R2268" s="9"/>
      <c r="S2268" s="9"/>
      <c r="T2268" s="9"/>
      <c r="U2268" s="9"/>
      <c r="V2268" s="9"/>
      <c r="W2268" s="9"/>
      <c r="X2268" s="9"/>
      <c r="Y2268" s="9"/>
      <c r="Z2268" s="9"/>
      <c r="AA2268" s="9"/>
      <c r="AB2268" s="9"/>
      <c r="AC2268" s="9"/>
      <c r="AD2268" s="9"/>
      <c r="AE2268" s="9"/>
      <c r="AF2268" s="9"/>
      <c r="AG2268" s="9"/>
      <c r="AH2268" s="9"/>
      <c r="AI2268" s="9"/>
      <c r="AJ2268" s="9"/>
      <c r="AK2268" s="9"/>
      <c r="AL2268" s="9"/>
      <c r="AM2268" s="9"/>
      <c r="AN2268" s="9"/>
      <c r="AO2268" s="9"/>
      <c r="AP2268" s="9"/>
      <c r="AQ2268" s="9"/>
      <c r="AR2268" s="9"/>
      <c r="AS2268" s="9"/>
      <c r="AT2268" s="9"/>
      <c r="AU2268" s="9"/>
    </row>
    <row r="2269" spans="1:47" ht="15.75" customHeight="1">
      <c r="A2269" s="9"/>
      <c r="B2269" s="9"/>
      <c r="C2269" s="9"/>
      <c r="D2269" s="9"/>
      <c r="E2269" s="9"/>
      <c r="F2269" s="67"/>
      <c r="G2269" s="9"/>
      <c r="H2269" s="9"/>
      <c r="I2269" s="9"/>
      <c r="J2269" s="9"/>
      <c r="K2269" s="9"/>
      <c r="L2269" s="9"/>
      <c r="M2269" s="9"/>
      <c r="N2269" s="9"/>
      <c r="O2269" s="9"/>
      <c r="P2269" s="9"/>
      <c r="Q2269" s="9"/>
      <c r="R2269" s="9"/>
      <c r="S2269" s="9"/>
      <c r="T2269" s="9"/>
      <c r="U2269" s="9"/>
      <c r="V2269" s="9"/>
      <c r="W2269" s="9"/>
      <c r="X2269" s="9"/>
      <c r="Y2269" s="9"/>
      <c r="Z2269" s="9"/>
      <c r="AA2269" s="9"/>
      <c r="AB2269" s="9"/>
      <c r="AC2269" s="9"/>
      <c r="AD2269" s="9"/>
      <c r="AE2269" s="9"/>
      <c r="AF2269" s="9"/>
      <c r="AG2269" s="9"/>
      <c r="AH2269" s="9"/>
      <c r="AI2269" s="9"/>
      <c r="AJ2269" s="9"/>
      <c r="AK2269" s="9"/>
      <c r="AL2269" s="9"/>
      <c r="AM2269" s="9"/>
      <c r="AN2269" s="9"/>
      <c r="AO2269" s="9"/>
      <c r="AP2269" s="9"/>
      <c r="AQ2269" s="9"/>
      <c r="AR2269" s="9"/>
      <c r="AS2269" s="9"/>
      <c r="AT2269" s="9"/>
      <c r="AU2269" s="9"/>
    </row>
    <row r="2270" spans="1:47" ht="15.75" customHeight="1">
      <c r="A2270" s="9"/>
      <c r="B2270" s="9"/>
      <c r="C2270" s="9"/>
      <c r="D2270" s="9"/>
      <c r="E2270" s="9"/>
      <c r="F2270" s="67"/>
      <c r="G2270" s="9"/>
      <c r="H2270" s="9"/>
      <c r="I2270" s="9"/>
      <c r="J2270" s="9"/>
      <c r="K2270" s="9"/>
      <c r="L2270" s="9"/>
      <c r="M2270" s="9"/>
      <c r="N2270" s="9"/>
      <c r="O2270" s="9"/>
      <c r="P2270" s="9"/>
      <c r="Q2270" s="9"/>
      <c r="R2270" s="9"/>
      <c r="S2270" s="9"/>
      <c r="T2270" s="9"/>
      <c r="U2270" s="9"/>
      <c r="V2270" s="9"/>
      <c r="W2270" s="9"/>
      <c r="X2270" s="9"/>
      <c r="Y2270" s="9"/>
      <c r="Z2270" s="9"/>
      <c r="AA2270" s="9"/>
      <c r="AB2270" s="9"/>
      <c r="AC2270" s="9"/>
      <c r="AD2270" s="9"/>
      <c r="AE2270" s="9"/>
      <c r="AF2270" s="9"/>
      <c r="AG2270" s="9"/>
      <c r="AH2270" s="9"/>
      <c r="AI2270" s="9"/>
      <c r="AJ2270" s="9"/>
      <c r="AK2270" s="9"/>
      <c r="AL2270" s="9"/>
      <c r="AM2270" s="9"/>
      <c r="AN2270" s="9"/>
      <c r="AO2270" s="9"/>
      <c r="AP2270" s="9"/>
      <c r="AQ2270" s="9"/>
      <c r="AR2270" s="9"/>
      <c r="AS2270" s="9"/>
      <c r="AT2270" s="9"/>
      <c r="AU2270" s="9"/>
    </row>
    <row r="2271" spans="1:47" ht="15.75" customHeight="1">
      <c r="A2271" s="9"/>
      <c r="B2271" s="9"/>
      <c r="C2271" s="9"/>
      <c r="D2271" s="9"/>
      <c r="E2271" s="9"/>
      <c r="F2271" s="67"/>
      <c r="G2271" s="9"/>
      <c r="H2271" s="9"/>
      <c r="I2271" s="9"/>
      <c r="J2271" s="9"/>
      <c r="K2271" s="9"/>
      <c r="L2271" s="9"/>
      <c r="M2271" s="9"/>
      <c r="N2271" s="9"/>
      <c r="O2271" s="9"/>
      <c r="P2271" s="9"/>
      <c r="Q2271" s="9"/>
      <c r="R2271" s="9"/>
      <c r="S2271" s="9"/>
      <c r="T2271" s="9"/>
      <c r="U2271" s="9"/>
      <c r="V2271" s="9"/>
      <c r="W2271" s="9"/>
      <c r="X2271" s="9"/>
      <c r="Y2271" s="9"/>
      <c r="Z2271" s="9"/>
      <c r="AA2271" s="9"/>
      <c r="AB2271" s="9"/>
      <c r="AC2271" s="9"/>
      <c r="AD2271" s="9"/>
      <c r="AE2271" s="9"/>
      <c r="AF2271" s="9"/>
      <c r="AG2271" s="9"/>
      <c r="AH2271" s="9"/>
      <c r="AI2271" s="9"/>
      <c r="AJ2271" s="9"/>
      <c r="AK2271" s="9"/>
      <c r="AL2271" s="9"/>
      <c r="AM2271" s="9"/>
      <c r="AN2271" s="9"/>
      <c r="AO2271" s="9"/>
      <c r="AP2271" s="9"/>
      <c r="AQ2271" s="9"/>
      <c r="AR2271" s="9"/>
      <c r="AS2271" s="9"/>
      <c r="AT2271" s="9"/>
      <c r="AU2271" s="9"/>
    </row>
    <row r="2272" spans="1:47" ht="15.75" customHeight="1">
      <c r="A2272" s="9"/>
      <c r="B2272" s="9"/>
      <c r="C2272" s="9"/>
      <c r="D2272" s="9"/>
      <c r="E2272" s="9"/>
      <c r="F2272" s="67"/>
      <c r="G2272" s="9"/>
      <c r="H2272" s="9"/>
      <c r="I2272" s="9"/>
      <c r="J2272" s="9"/>
      <c r="K2272" s="9"/>
      <c r="L2272" s="9"/>
      <c r="M2272" s="9"/>
      <c r="N2272" s="9"/>
      <c r="O2272" s="9"/>
      <c r="P2272" s="9"/>
      <c r="Q2272" s="9"/>
      <c r="R2272" s="9"/>
      <c r="S2272" s="9"/>
      <c r="T2272" s="9"/>
      <c r="U2272" s="9"/>
      <c r="V2272" s="9"/>
      <c r="W2272" s="9"/>
      <c r="X2272" s="9"/>
      <c r="Y2272" s="9"/>
      <c r="Z2272" s="9"/>
      <c r="AA2272" s="9"/>
      <c r="AB2272" s="9"/>
      <c r="AC2272" s="9"/>
      <c r="AD2272" s="9"/>
      <c r="AE2272" s="9"/>
      <c r="AF2272" s="9"/>
      <c r="AG2272" s="9"/>
      <c r="AH2272" s="9"/>
      <c r="AI2272" s="9"/>
      <c r="AJ2272" s="9"/>
      <c r="AK2272" s="9"/>
      <c r="AL2272" s="9"/>
      <c r="AM2272" s="9"/>
      <c r="AN2272" s="9"/>
      <c r="AO2272" s="9"/>
      <c r="AP2272" s="9"/>
      <c r="AQ2272" s="9"/>
      <c r="AR2272" s="9"/>
      <c r="AS2272" s="9"/>
      <c r="AT2272" s="9"/>
      <c r="AU2272" s="9"/>
    </row>
    <row r="2273" spans="1:47" ht="15.75" customHeight="1">
      <c r="A2273" s="9"/>
      <c r="B2273" s="9"/>
      <c r="C2273" s="9"/>
      <c r="D2273" s="9"/>
      <c r="E2273" s="9"/>
      <c r="F2273" s="67"/>
      <c r="G2273" s="9"/>
      <c r="H2273" s="9"/>
      <c r="I2273" s="9"/>
      <c r="J2273" s="9"/>
      <c r="K2273" s="9"/>
      <c r="L2273" s="9"/>
      <c r="M2273" s="9"/>
      <c r="N2273" s="9"/>
      <c r="O2273" s="9"/>
      <c r="P2273" s="9"/>
      <c r="Q2273" s="9"/>
      <c r="R2273" s="9"/>
      <c r="S2273" s="9"/>
      <c r="T2273" s="9"/>
      <c r="U2273" s="9"/>
      <c r="V2273" s="9"/>
      <c r="W2273" s="9"/>
      <c r="X2273" s="9"/>
      <c r="Y2273" s="9"/>
      <c r="Z2273" s="9"/>
      <c r="AA2273" s="9"/>
      <c r="AB2273" s="9"/>
      <c r="AC2273" s="9"/>
      <c r="AD2273" s="9"/>
      <c r="AE2273" s="9"/>
      <c r="AF2273" s="9"/>
      <c r="AG2273" s="9"/>
      <c r="AH2273" s="9"/>
      <c r="AI2273" s="9"/>
      <c r="AJ2273" s="9"/>
      <c r="AK2273" s="9"/>
      <c r="AL2273" s="9"/>
      <c r="AM2273" s="9"/>
      <c r="AN2273" s="9"/>
      <c r="AO2273" s="9"/>
      <c r="AP2273" s="9"/>
      <c r="AQ2273" s="9"/>
      <c r="AR2273" s="9"/>
      <c r="AS2273" s="9"/>
      <c r="AT2273" s="9"/>
      <c r="AU2273" s="9"/>
    </row>
    <row r="2274" spans="1:47" ht="15.75" customHeight="1">
      <c r="A2274" s="9"/>
      <c r="B2274" s="9"/>
      <c r="C2274" s="9"/>
      <c r="D2274" s="9"/>
      <c r="E2274" s="9"/>
      <c r="F2274" s="67"/>
      <c r="G2274" s="9"/>
      <c r="H2274" s="9"/>
      <c r="I2274" s="9"/>
      <c r="J2274" s="9"/>
      <c r="K2274" s="9"/>
      <c r="L2274" s="9"/>
      <c r="M2274" s="9"/>
      <c r="N2274" s="9"/>
      <c r="O2274" s="9"/>
      <c r="P2274" s="9"/>
      <c r="Q2274" s="9"/>
      <c r="R2274" s="9"/>
      <c r="S2274" s="9"/>
      <c r="T2274" s="9"/>
      <c r="U2274" s="9"/>
      <c r="V2274" s="9"/>
      <c r="W2274" s="9"/>
      <c r="X2274" s="9"/>
      <c r="Y2274" s="9"/>
      <c r="Z2274" s="9"/>
      <c r="AA2274" s="9"/>
      <c r="AB2274" s="9"/>
      <c r="AC2274" s="9"/>
      <c r="AD2274" s="9"/>
      <c r="AE2274" s="9"/>
      <c r="AF2274" s="9"/>
      <c r="AG2274" s="9"/>
      <c r="AH2274" s="9"/>
      <c r="AI2274" s="9"/>
      <c r="AJ2274" s="9"/>
      <c r="AK2274" s="9"/>
      <c r="AL2274" s="9"/>
      <c r="AM2274" s="9"/>
      <c r="AN2274" s="9"/>
      <c r="AO2274" s="9"/>
      <c r="AP2274" s="9"/>
      <c r="AQ2274" s="9"/>
      <c r="AR2274" s="9"/>
      <c r="AS2274" s="9"/>
      <c r="AT2274" s="9"/>
      <c r="AU2274" s="9"/>
    </row>
    <row r="2275" spans="1:47" ht="15.75" customHeight="1">
      <c r="A2275" s="9"/>
      <c r="B2275" s="9"/>
      <c r="C2275" s="9"/>
      <c r="D2275" s="9"/>
      <c r="E2275" s="9"/>
      <c r="F2275" s="67"/>
      <c r="G2275" s="9"/>
      <c r="H2275" s="9"/>
      <c r="I2275" s="9"/>
      <c r="J2275" s="9"/>
      <c r="K2275" s="9"/>
      <c r="L2275" s="9"/>
      <c r="M2275" s="9"/>
      <c r="N2275" s="9"/>
      <c r="O2275" s="9"/>
      <c r="P2275" s="9"/>
      <c r="Q2275" s="9"/>
      <c r="R2275" s="9"/>
      <c r="S2275" s="9"/>
      <c r="T2275" s="9"/>
      <c r="U2275" s="9"/>
      <c r="V2275" s="9"/>
      <c r="W2275" s="9"/>
      <c r="X2275" s="9"/>
      <c r="Y2275" s="9"/>
      <c r="Z2275" s="9"/>
      <c r="AA2275" s="9"/>
      <c r="AB2275" s="9"/>
      <c r="AC2275" s="9"/>
      <c r="AD2275" s="9"/>
      <c r="AE2275" s="9"/>
      <c r="AF2275" s="9"/>
      <c r="AG2275" s="9"/>
      <c r="AH2275" s="9"/>
      <c r="AI2275" s="9"/>
      <c r="AJ2275" s="9"/>
      <c r="AK2275" s="9"/>
      <c r="AL2275" s="9"/>
      <c r="AM2275" s="9"/>
      <c r="AN2275" s="9"/>
      <c r="AO2275" s="9"/>
      <c r="AP2275" s="9"/>
      <c r="AQ2275" s="9"/>
      <c r="AR2275" s="9"/>
      <c r="AS2275" s="9"/>
      <c r="AT2275" s="9"/>
      <c r="AU2275" s="9"/>
    </row>
    <row r="2276" spans="1:47" ht="15.75" customHeight="1">
      <c r="A2276" s="9"/>
      <c r="B2276" s="9"/>
      <c r="C2276" s="9"/>
      <c r="D2276" s="9"/>
      <c r="E2276" s="9"/>
      <c r="F2276" s="67"/>
      <c r="G2276" s="9"/>
      <c r="H2276" s="9"/>
      <c r="I2276" s="9"/>
      <c r="J2276" s="9"/>
      <c r="K2276" s="9"/>
      <c r="L2276" s="9"/>
      <c r="M2276" s="9"/>
      <c r="N2276" s="9"/>
      <c r="O2276" s="9"/>
      <c r="P2276" s="9"/>
      <c r="Q2276" s="9"/>
      <c r="R2276" s="9"/>
      <c r="S2276" s="9"/>
      <c r="T2276" s="9"/>
      <c r="U2276" s="9"/>
      <c r="V2276" s="9"/>
      <c r="W2276" s="9"/>
      <c r="X2276" s="9"/>
      <c r="Y2276" s="9"/>
      <c r="Z2276" s="9"/>
      <c r="AA2276" s="9"/>
      <c r="AB2276" s="9"/>
      <c r="AC2276" s="9"/>
      <c r="AD2276" s="9"/>
      <c r="AE2276" s="9"/>
      <c r="AF2276" s="9"/>
      <c r="AG2276" s="9"/>
      <c r="AH2276" s="9"/>
      <c r="AI2276" s="9"/>
      <c r="AJ2276" s="9"/>
      <c r="AK2276" s="9"/>
      <c r="AL2276" s="9"/>
      <c r="AM2276" s="9"/>
      <c r="AN2276" s="9"/>
      <c r="AO2276" s="9"/>
      <c r="AP2276" s="9"/>
      <c r="AQ2276" s="9"/>
      <c r="AR2276" s="9"/>
      <c r="AS2276" s="9"/>
      <c r="AT2276" s="9"/>
      <c r="AU2276" s="9"/>
    </row>
    <row r="2277" spans="1:47" ht="15.75" customHeight="1">
      <c r="A2277" s="9"/>
      <c r="B2277" s="9"/>
      <c r="C2277" s="9"/>
      <c r="D2277" s="9"/>
      <c r="E2277" s="9"/>
      <c r="F2277" s="67"/>
      <c r="G2277" s="9"/>
      <c r="H2277" s="9"/>
      <c r="I2277" s="9"/>
      <c r="J2277" s="9"/>
      <c r="K2277" s="9"/>
      <c r="L2277" s="9"/>
      <c r="M2277" s="9"/>
      <c r="N2277" s="9"/>
      <c r="O2277" s="9"/>
      <c r="P2277" s="9"/>
      <c r="Q2277" s="9"/>
      <c r="R2277" s="9"/>
      <c r="S2277" s="9"/>
      <c r="T2277" s="9"/>
      <c r="U2277" s="9"/>
      <c r="V2277" s="9"/>
      <c r="W2277" s="9"/>
      <c r="X2277" s="9"/>
      <c r="Y2277" s="9"/>
      <c r="Z2277" s="9"/>
      <c r="AA2277" s="9"/>
      <c r="AB2277" s="9"/>
      <c r="AC2277" s="9"/>
      <c r="AD2277" s="9"/>
      <c r="AE2277" s="9"/>
      <c r="AF2277" s="9"/>
      <c r="AG2277" s="9"/>
      <c r="AH2277" s="9"/>
      <c r="AI2277" s="9"/>
      <c r="AJ2277" s="9"/>
      <c r="AK2277" s="9"/>
      <c r="AL2277" s="9"/>
      <c r="AM2277" s="9"/>
      <c r="AN2277" s="9"/>
      <c r="AO2277" s="9"/>
      <c r="AP2277" s="9"/>
      <c r="AQ2277" s="9"/>
      <c r="AR2277" s="9"/>
      <c r="AS2277" s="9"/>
      <c r="AT2277" s="9"/>
      <c r="AU2277" s="9"/>
    </row>
    <row r="2278" spans="1:47" ht="15.75" customHeight="1">
      <c r="A2278" s="9"/>
      <c r="B2278" s="9"/>
      <c r="C2278" s="9"/>
      <c r="D2278" s="9"/>
      <c r="E2278" s="9"/>
      <c r="F2278" s="67"/>
      <c r="G2278" s="9"/>
      <c r="H2278" s="9"/>
      <c r="I2278" s="9"/>
      <c r="J2278" s="9"/>
      <c r="K2278" s="9"/>
      <c r="L2278" s="9"/>
      <c r="M2278" s="9"/>
      <c r="N2278" s="9"/>
      <c r="O2278" s="9"/>
      <c r="P2278" s="9"/>
      <c r="Q2278" s="9"/>
      <c r="R2278" s="9"/>
      <c r="S2278" s="9"/>
      <c r="T2278" s="9"/>
      <c r="U2278" s="9"/>
      <c r="V2278" s="9"/>
      <c r="W2278" s="9"/>
      <c r="X2278" s="9"/>
      <c r="Y2278" s="9"/>
      <c r="Z2278" s="9"/>
      <c r="AA2278" s="9"/>
      <c r="AB2278" s="9"/>
      <c r="AC2278" s="9"/>
      <c r="AD2278" s="9"/>
      <c r="AE2278" s="9"/>
      <c r="AF2278" s="9"/>
      <c r="AG2278" s="9"/>
      <c r="AH2278" s="9"/>
      <c r="AI2278" s="9"/>
      <c r="AJ2278" s="9"/>
      <c r="AK2278" s="9"/>
      <c r="AL2278" s="9"/>
      <c r="AM2278" s="9"/>
      <c r="AN2278" s="9"/>
      <c r="AO2278" s="9"/>
      <c r="AP2278" s="9"/>
      <c r="AQ2278" s="9"/>
      <c r="AR2278" s="9"/>
      <c r="AS2278" s="9"/>
      <c r="AT2278" s="9"/>
      <c r="AU2278" s="9"/>
    </row>
    <row r="2279" spans="1:47" ht="15.75" customHeight="1">
      <c r="A2279" s="9"/>
      <c r="B2279" s="9"/>
      <c r="C2279" s="9"/>
      <c r="D2279" s="9"/>
      <c r="E2279" s="9"/>
      <c r="F2279" s="67"/>
      <c r="G2279" s="9"/>
      <c r="H2279" s="9"/>
      <c r="I2279" s="9"/>
      <c r="J2279" s="9"/>
      <c r="K2279" s="9"/>
      <c r="L2279" s="9"/>
      <c r="M2279" s="9"/>
      <c r="N2279" s="9"/>
      <c r="O2279" s="9"/>
      <c r="P2279" s="9"/>
      <c r="Q2279" s="9"/>
      <c r="R2279" s="9"/>
      <c r="S2279" s="9"/>
      <c r="T2279" s="9"/>
      <c r="U2279" s="9"/>
      <c r="V2279" s="9"/>
      <c r="W2279" s="9"/>
      <c r="X2279" s="9"/>
      <c r="Y2279" s="9"/>
      <c r="Z2279" s="9"/>
      <c r="AA2279" s="9"/>
      <c r="AB2279" s="9"/>
      <c r="AC2279" s="9"/>
      <c r="AD2279" s="9"/>
      <c r="AE2279" s="9"/>
      <c r="AF2279" s="9"/>
      <c r="AG2279" s="9"/>
      <c r="AH2279" s="9"/>
      <c r="AI2279" s="9"/>
      <c r="AJ2279" s="9"/>
      <c r="AK2279" s="9"/>
      <c r="AL2279" s="9"/>
      <c r="AM2279" s="9"/>
      <c r="AN2279" s="9"/>
      <c r="AO2279" s="9"/>
      <c r="AP2279" s="9"/>
      <c r="AQ2279" s="9"/>
      <c r="AR2279" s="9"/>
      <c r="AS2279" s="9"/>
      <c r="AT2279" s="9"/>
      <c r="AU2279" s="9"/>
    </row>
    <row r="2280" spans="1:47" ht="15.75" customHeight="1">
      <c r="A2280" s="9"/>
      <c r="B2280" s="9"/>
      <c r="C2280" s="9"/>
      <c r="D2280" s="9"/>
      <c r="E2280" s="9"/>
      <c r="F2280" s="67"/>
      <c r="G2280" s="9"/>
      <c r="H2280" s="9"/>
      <c r="I2280" s="9"/>
      <c r="J2280" s="9"/>
      <c r="K2280" s="9"/>
      <c r="L2280" s="9"/>
      <c r="M2280" s="9"/>
      <c r="N2280" s="9"/>
      <c r="O2280" s="9"/>
      <c r="P2280" s="9"/>
      <c r="Q2280" s="9"/>
      <c r="R2280" s="9"/>
      <c r="S2280" s="9"/>
      <c r="T2280" s="9"/>
      <c r="U2280" s="9"/>
      <c r="V2280" s="9"/>
      <c r="W2280" s="9"/>
      <c r="X2280" s="9"/>
      <c r="Y2280" s="9"/>
      <c r="Z2280" s="9"/>
      <c r="AA2280" s="9"/>
      <c r="AB2280" s="9"/>
      <c r="AC2280" s="9"/>
      <c r="AD2280" s="9"/>
      <c r="AE2280" s="9"/>
      <c r="AF2280" s="9"/>
      <c r="AG2280" s="9"/>
      <c r="AH2280" s="9"/>
      <c r="AI2280" s="9"/>
      <c r="AJ2280" s="9"/>
      <c r="AK2280" s="9"/>
      <c r="AL2280" s="9"/>
      <c r="AM2280" s="9"/>
      <c r="AN2280" s="9"/>
      <c r="AO2280" s="9"/>
      <c r="AP2280" s="9"/>
      <c r="AQ2280" s="9"/>
      <c r="AR2280" s="9"/>
      <c r="AS2280" s="9"/>
      <c r="AT2280" s="9"/>
      <c r="AU2280" s="9"/>
    </row>
    <row r="2281" spans="1:47" ht="15.75" customHeight="1">
      <c r="A2281" s="9"/>
      <c r="B2281" s="9"/>
      <c r="C2281" s="9"/>
      <c r="D2281" s="9"/>
      <c r="E2281" s="9"/>
      <c r="F2281" s="67"/>
      <c r="G2281" s="9"/>
      <c r="H2281" s="9"/>
      <c r="I2281" s="9"/>
      <c r="J2281" s="9"/>
      <c r="K2281" s="9"/>
      <c r="L2281" s="9"/>
      <c r="M2281" s="9"/>
      <c r="N2281" s="9"/>
      <c r="O2281" s="9"/>
      <c r="P2281" s="9"/>
      <c r="Q2281" s="9"/>
      <c r="R2281" s="9"/>
      <c r="S2281" s="9"/>
      <c r="T2281" s="9"/>
      <c r="U2281" s="9"/>
      <c r="V2281" s="9"/>
      <c r="W2281" s="9"/>
      <c r="X2281" s="9"/>
      <c r="Y2281" s="9"/>
      <c r="Z2281" s="9"/>
      <c r="AA2281" s="9"/>
      <c r="AB2281" s="9"/>
      <c r="AC2281" s="9"/>
      <c r="AD2281" s="9"/>
      <c r="AE2281" s="9"/>
      <c r="AF2281" s="9"/>
      <c r="AG2281" s="9"/>
      <c r="AH2281" s="9"/>
      <c r="AI2281" s="9"/>
      <c r="AJ2281" s="9"/>
      <c r="AK2281" s="9"/>
      <c r="AL2281" s="9"/>
      <c r="AM2281" s="9"/>
      <c r="AN2281" s="9"/>
      <c r="AO2281" s="9"/>
      <c r="AP2281" s="9"/>
      <c r="AQ2281" s="9"/>
      <c r="AR2281" s="9"/>
      <c r="AS2281" s="9"/>
      <c r="AT2281" s="9"/>
      <c r="AU2281" s="9"/>
    </row>
    <row r="2282" spans="1:47" ht="15.75" customHeight="1">
      <c r="A2282" s="9"/>
      <c r="B2282" s="9"/>
      <c r="C2282" s="9"/>
      <c r="D2282" s="9"/>
      <c r="E2282" s="9"/>
      <c r="F2282" s="67"/>
      <c r="G2282" s="9"/>
      <c r="H2282" s="9"/>
      <c r="I2282" s="9"/>
      <c r="J2282" s="9"/>
      <c r="K2282" s="9"/>
      <c r="L2282" s="9"/>
      <c r="M2282" s="9"/>
      <c r="N2282" s="9"/>
      <c r="O2282" s="9"/>
      <c r="P2282" s="9"/>
      <c r="Q2282" s="9"/>
      <c r="R2282" s="9"/>
      <c r="S2282" s="9"/>
      <c r="T2282" s="9"/>
      <c r="U2282" s="9"/>
      <c r="V2282" s="9"/>
      <c r="W2282" s="9"/>
      <c r="X2282" s="9"/>
      <c r="Y2282" s="9"/>
      <c r="Z2282" s="9"/>
      <c r="AA2282" s="9"/>
      <c r="AB2282" s="9"/>
      <c r="AC2282" s="9"/>
      <c r="AD2282" s="9"/>
      <c r="AE2282" s="9"/>
      <c r="AF2282" s="9"/>
      <c r="AG2282" s="9"/>
      <c r="AH2282" s="9"/>
      <c r="AI2282" s="9"/>
      <c r="AJ2282" s="9"/>
      <c r="AK2282" s="9"/>
      <c r="AL2282" s="9"/>
      <c r="AM2282" s="9"/>
      <c r="AN2282" s="9"/>
      <c r="AO2282" s="9"/>
      <c r="AP2282" s="9"/>
      <c r="AQ2282" s="9"/>
      <c r="AR2282" s="9"/>
      <c r="AS2282" s="9"/>
      <c r="AT2282" s="9"/>
      <c r="AU2282" s="9"/>
    </row>
    <row r="2283" spans="1:47" ht="15.75" customHeight="1">
      <c r="A2283" s="9"/>
      <c r="B2283" s="9"/>
      <c r="C2283" s="9"/>
      <c r="D2283" s="9"/>
      <c r="E2283" s="9"/>
      <c r="F2283" s="67"/>
      <c r="G2283" s="9"/>
      <c r="H2283" s="9"/>
      <c r="I2283" s="9"/>
      <c r="J2283" s="9"/>
      <c r="K2283" s="9"/>
      <c r="L2283" s="9"/>
      <c r="M2283" s="9"/>
      <c r="N2283" s="9"/>
      <c r="O2283" s="9"/>
      <c r="P2283" s="9"/>
      <c r="Q2283" s="9"/>
      <c r="R2283" s="9"/>
      <c r="S2283" s="9"/>
      <c r="T2283" s="9"/>
      <c r="U2283" s="9"/>
      <c r="V2283" s="9"/>
      <c r="W2283" s="9"/>
      <c r="X2283" s="9"/>
      <c r="Y2283" s="9"/>
      <c r="Z2283" s="9"/>
      <c r="AA2283" s="9"/>
      <c r="AB2283" s="9"/>
      <c r="AC2283" s="9"/>
      <c r="AD2283" s="9"/>
      <c r="AE2283" s="9"/>
      <c r="AF2283" s="9"/>
      <c r="AG2283" s="9"/>
      <c r="AH2283" s="9"/>
      <c r="AI2283" s="9"/>
      <c r="AJ2283" s="9"/>
      <c r="AK2283" s="9"/>
      <c r="AL2283" s="9"/>
      <c r="AM2283" s="9"/>
      <c r="AN2283" s="9"/>
      <c r="AO2283" s="9"/>
      <c r="AP2283" s="9"/>
      <c r="AQ2283" s="9"/>
      <c r="AR2283" s="9"/>
      <c r="AS2283" s="9"/>
      <c r="AT2283" s="9"/>
      <c r="AU2283" s="9"/>
    </row>
    <row r="2284" spans="1:47" ht="15.75" customHeight="1">
      <c r="A2284" s="9"/>
      <c r="B2284" s="9"/>
      <c r="C2284" s="9"/>
      <c r="D2284" s="9"/>
      <c r="E2284" s="9"/>
      <c r="F2284" s="67"/>
      <c r="G2284" s="9"/>
      <c r="H2284" s="9"/>
      <c r="I2284" s="9"/>
      <c r="J2284" s="9"/>
      <c r="K2284" s="9"/>
      <c r="L2284" s="9"/>
      <c r="M2284" s="9"/>
      <c r="N2284" s="9"/>
      <c r="O2284" s="9"/>
      <c r="P2284" s="9"/>
      <c r="Q2284" s="9"/>
      <c r="R2284" s="9"/>
      <c r="S2284" s="9"/>
      <c r="T2284" s="9"/>
      <c r="U2284" s="9"/>
      <c r="V2284" s="9"/>
      <c r="W2284" s="9"/>
      <c r="X2284" s="9"/>
      <c r="Y2284" s="9"/>
      <c r="Z2284" s="9"/>
      <c r="AA2284" s="9"/>
      <c r="AB2284" s="9"/>
      <c r="AC2284" s="9"/>
      <c r="AD2284" s="9"/>
      <c r="AE2284" s="9"/>
      <c r="AF2284" s="9"/>
      <c r="AG2284" s="9"/>
      <c r="AH2284" s="9"/>
      <c r="AI2284" s="9"/>
      <c r="AJ2284" s="9"/>
      <c r="AK2284" s="9"/>
      <c r="AL2284" s="9"/>
      <c r="AM2284" s="9"/>
      <c r="AN2284" s="9"/>
      <c r="AO2284" s="9"/>
      <c r="AP2284" s="9"/>
      <c r="AQ2284" s="9"/>
      <c r="AR2284" s="9"/>
      <c r="AS2284" s="9"/>
      <c r="AT2284" s="9"/>
      <c r="AU2284" s="9"/>
    </row>
    <row r="2285" spans="1:47" ht="15.75" customHeight="1">
      <c r="A2285" s="9"/>
      <c r="B2285" s="9"/>
      <c r="C2285" s="9"/>
      <c r="D2285" s="9"/>
      <c r="E2285" s="9"/>
      <c r="F2285" s="67"/>
      <c r="G2285" s="9"/>
      <c r="H2285" s="9"/>
      <c r="I2285" s="9"/>
      <c r="J2285" s="9"/>
      <c r="K2285" s="9"/>
      <c r="L2285" s="9"/>
      <c r="M2285" s="9"/>
      <c r="N2285" s="9"/>
      <c r="O2285" s="9"/>
      <c r="P2285" s="9"/>
      <c r="Q2285" s="9"/>
      <c r="R2285" s="9"/>
      <c r="S2285" s="9"/>
      <c r="T2285" s="9"/>
      <c r="U2285" s="9"/>
      <c r="V2285" s="9"/>
      <c r="W2285" s="9"/>
      <c r="X2285" s="9"/>
      <c r="Y2285" s="9"/>
      <c r="Z2285" s="9"/>
      <c r="AA2285" s="9"/>
      <c r="AB2285" s="9"/>
      <c r="AC2285" s="9"/>
      <c r="AD2285" s="9"/>
      <c r="AE2285" s="9"/>
      <c r="AF2285" s="9"/>
      <c r="AG2285" s="9"/>
      <c r="AH2285" s="9"/>
      <c r="AI2285" s="9"/>
      <c r="AJ2285" s="9"/>
      <c r="AK2285" s="9"/>
      <c r="AL2285" s="9"/>
      <c r="AM2285" s="9"/>
      <c r="AN2285" s="9"/>
      <c r="AO2285" s="9"/>
      <c r="AP2285" s="9"/>
      <c r="AQ2285" s="9"/>
      <c r="AR2285" s="9"/>
      <c r="AS2285" s="9"/>
      <c r="AT2285" s="9"/>
      <c r="AU2285" s="9"/>
    </row>
    <row r="2286" spans="1:47" ht="15.75" customHeight="1">
      <c r="A2286" s="9"/>
      <c r="B2286" s="9"/>
      <c r="C2286" s="9"/>
      <c r="D2286" s="9"/>
      <c r="E2286" s="9"/>
      <c r="F2286" s="67"/>
      <c r="G2286" s="9"/>
      <c r="H2286" s="9"/>
      <c r="I2286" s="9"/>
      <c r="J2286" s="9"/>
      <c r="K2286" s="9"/>
      <c r="L2286" s="9"/>
      <c r="M2286" s="9"/>
      <c r="N2286" s="9"/>
      <c r="O2286" s="9"/>
      <c r="P2286" s="9"/>
      <c r="Q2286" s="9"/>
      <c r="R2286" s="9"/>
      <c r="S2286" s="9"/>
      <c r="T2286" s="9"/>
      <c r="U2286" s="9"/>
      <c r="V2286" s="9"/>
      <c r="W2286" s="9"/>
      <c r="X2286" s="9"/>
      <c r="Y2286" s="9"/>
      <c r="Z2286" s="9"/>
      <c r="AA2286" s="9"/>
      <c r="AB2286" s="9"/>
      <c r="AC2286" s="9"/>
      <c r="AD2286" s="9"/>
      <c r="AE2286" s="9"/>
      <c r="AF2286" s="9"/>
      <c r="AG2286" s="9"/>
      <c r="AH2286" s="9"/>
      <c r="AI2286" s="9"/>
      <c r="AJ2286" s="9"/>
      <c r="AK2286" s="9"/>
      <c r="AL2286" s="9"/>
      <c r="AM2286" s="9"/>
      <c r="AN2286" s="9"/>
      <c r="AO2286" s="9"/>
      <c r="AP2286" s="9"/>
      <c r="AQ2286" s="9"/>
      <c r="AR2286" s="9"/>
      <c r="AS2286" s="9"/>
      <c r="AT2286" s="9"/>
      <c r="AU2286" s="9"/>
    </row>
    <row r="2287" spans="1:47" ht="15.75" customHeight="1">
      <c r="A2287" s="9"/>
      <c r="B2287" s="9"/>
      <c r="C2287" s="9"/>
      <c r="D2287" s="9"/>
      <c r="E2287" s="9"/>
      <c r="F2287" s="67"/>
      <c r="G2287" s="9"/>
      <c r="H2287" s="9"/>
      <c r="I2287" s="9"/>
      <c r="J2287" s="9"/>
      <c r="K2287" s="9"/>
      <c r="L2287" s="9"/>
      <c r="M2287" s="9"/>
      <c r="N2287" s="9"/>
      <c r="O2287" s="9"/>
      <c r="P2287" s="9"/>
      <c r="Q2287" s="9"/>
      <c r="R2287" s="9"/>
      <c r="S2287" s="9"/>
      <c r="T2287" s="9"/>
      <c r="U2287" s="9"/>
      <c r="V2287" s="9"/>
      <c r="W2287" s="9"/>
      <c r="X2287" s="9"/>
      <c r="Y2287" s="9"/>
      <c r="Z2287" s="9"/>
      <c r="AA2287" s="9"/>
      <c r="AB2287" s="9"/>
      <c r="AC2287" s="9"/>
      <c r="AD2287" s="9"/>
      <c r="AE2287" s="9"/>
      <c r="AF2287" s="9"/>
      <c r="AG2287" s="9"/>
      <c r="AH2287" s="9"/>
      <c r="AI2287" s="9"/>
      <c r="AJ2287" s="9"/>
      <c r="AK2287" s="9"/>
      <c r="AL2287" s="9"/>
      <c r="AM2287" s="9"/>
      <c r="AN2287" s="9"/>
      <c r="AO2287" s="9"/>
      <c r="AP2287" s="9"/>
      <c r="AQ2287" s="9"/>
      <c r="AR2287" s="9"/>
      <c r="AS2287" s="9"/>
      <c r="AT2287" s="9"/>
      <c r="AU2287" s="9"/>
    </row>
    <row r="2288" spans="1:47" ht="15.75" customHeight="1">
      <c r="A2288" s="9"/>
      <c r="B2288" s="9"/>
      <c r="C2288" s="9"/>
      <c r="D2288" s="9"/>
      <c r="E2288" s="9"/>
      <c r="F2288" s="67"/>
      <c r="G2288" s="9"/>
      <c r="H2288" s="9"/>
      <c r="I2288" s="9"/>
      <c r="J2288" s="9"/>
      <c r="K2288" s="9"/>
      <c r="L2288" s="9"/>
      <c r="M2288" s="9"/>
      <c r="N2288" s="9"/>
      <c r="O2288" s="9"/>
      <c r="P2288" s="9"/>
      <c r="Q2288" s="9"/>
      <c r="R2288" s="9"/>
      <c r="S2288" s="9"/>
      <c r="T2288" s="9"/>
      <c r="U2288" s="9"/>
      <c r="V2288" s="9"/>
      <c r="W2288" s="9"/>
      <c r="X2288" s="9"/>
      <c r="Y2288" s="9"/>
      <c r="Z2288" s="9"/>
      <c r="AA2288" s="9"/>
      <c r="AB2288" s="9"/>
      <c r="AC2288" s="9"/>
      <c r="AD2288" s="9"/>
      <c r="AE2288" s="9"/>
      <c r="AF2288" s="9"/>
      <c r="AG2288" s="9"/>
      <c r="AH2288" s="9"/>
      <c r="AI2288" s="9"/>
      <c r="AJ2288" s="9"/>
      <c r="AK2288" s="9"/>
      <c r="AL2288" s="9"/>
      <c r="AM2288" s="9"/>
      <c r="AN2288" s="9"/>
      <c r="AO2288" s="9"/>
      <c r="AP2288" s="9"/>
      <c r="AQ2288" s="9"/>
      <c r="AR2288" s="9"/>
      <c r="AS2288" s="9"/>
      <c r="AT2288" s="9"/>
      <c r="AU2288" s="9"/>
    </row>
    <row r="2289" spans="1:47" ht="15.75" customHeight="1">
      <c r="A2289" s="9"/>
      <c r="B2289" s="9"/>
      <c r="C2289" s="9"/>
      <c r="D2289" s="9"/>
      <c r="E2289" s="9"/>
      <c r="F2289" s="67"/>
      <c r="G2289" s="9"/>
      <c r="H2289" s="9"/>
      <c r="I2289" s="9"/>
      <c r="J2289" s="9"/>
      <c r="K2289" s="9"/>
      <c r="L2289" s="9"/>
      <c r="M2289" s="9"/>
      <c r="N2289" s="9"/>
      <c r="O2289" s="9"/>
      <c r="P2289" s="9"/>
      <c r="Q2289" s="9"/>
      <c r="R2289" s="9"/>
      <c r="S2289" s="9"/>
      <c r="T2289" s="9"/>
      <c r="U2289" s="9"/>
      <c r="V2289" s="9"/>
      <c r="W2289" s="9"/>
      <c r="X2289" s="9"/>
      <c r="Y2289" s="9"/>
      <c r="Z2289" s="9"/>
      <c r="AA2289" s="9"/>
      <c r="AB2289" s="9"/>
      <c r="AC2289" s="9"/>
      <c r="AD2289" s="9"/>
      <c r="AE2289" s="9"/>
      <c r="AF2289" s="9"/>
      <c r="AG2289" s="9"/>
      <c r="AH2289" s="9"/>
      <c r="AI2289" s="9"/>
      <c r="AJ2289" s="9"/>
      <c r="AK2289" s="9"/>
      <c r="AL2289" s="9"/>
      <c r="AM2289" s="9"/>
      <c r="AN2289" s="9"/>
      <c r="AO2289" s="9"/>
      <c r="AP2289" s="9"/>
      <c r="AQ2289" s="9"/>
      <c r="AR2289" s="9"/>
      <c r="AS2289" s="9"/>
      <c r="AT2289" s="9"/>
      <c r="AU2289" s="9"/>
    </row>
    <row r="2290" spans="1:47" ht="15.75" customHeight="1">
      <c r="A2290" s="9"/>
      <c r="B2290" s="9"/>
      <c r="C2290" s="9"/>
      <c r="D2290" s="9"/>
      <c r="E2290" s="9"/>
      <c r="F2290" s="67"/>
      <c r="G2290" s="9"/>
      <c r="H2290" s="9"/>
      <c r="I2290" s="9"/>
      <c r="J2290" s="9"/>
      <c r="K2290" s="9"/>
      <c r="L2290" s="9"/>
      <c r="M2290" s="9"/>
      <c r="N2290" s="9"/>
      <c r="O2290" s="9"/>
      <c r="P2290" s="9"/>
      <c r="Q2290" s="9"/>
      <c r="R2290" s="9"/>
      <c r="S2290" s="9"/>
      <c r="T2290" s="9"/>
      <c r="U2290" s="9"/>
      <c r="V2290" s="9"/>
      <c r="W2290" s="9"/>
      <c r="X2290" s="9"/>
      <c r="Y2290" s="9"/>
      <c r="Z2290" s="9"/>
      <c r="AA2290" s="9"/>
      <c r="AB2290" s="9"/>
      <c r="AC2290" s="9"/>
      <c r="AD2290" s="9"/>
      <c r="AE2290" s="9"/>
      <c r="AF2290" s="9"/>
      <c r="AG2290" s="9"/>
      <c r="AH2290" s="9"/>
      <c r="AI2290" s="9"/>
      <c r="AJ2290" s="9"/>
      <c r="AK2290" s="9"/>
      <c r="AL2290" s="9"/>
      <c r="AM2290" s="9"/>
      <c r="AN2290" s="9"/>
      <c r="AO2290" s="9"/>
      <c r="AP2290" s="9"/>
      <c r="AQ2290" s="9"/>
      <c r="AR2290" s="9"/>
      <c r="AS2290" s="9"/>
      <c r="AT2290" s="9"/>
      <c r="AU2290" s="9"/>
    </row>
    <row r="2291" spans="1:47" ht="15.75" customHeight="1">
      <c r="A2291" s="9"/>
      <c r="B2291" s="9"/>
      <c r="C2291" s="9"/>
      <c r="D2291" s="9"/>
      <c r="E2291" s="9"/>
      <c r="F2291" s="67"/>
      <c r="G2291" s="9"/>
      <c r="H2291" s="9"/>
      <c r="I2291" s="9"/>
      <c r="J2291" s="9"/>
      <c r="K2291" s="9"/>
      <c r="L2291" s="9"/>
      <c r="M2291" s="9"/>
      <c r="N2291" s="9"/>
      <c r="O2291" s="9"/>
      <c r="P2291" s="9"/>
      <c r="Q2291" s="9"/>
      <c r="R2291" s="9"/>
      <c r="S2291" s="9"/>
      <c r="T2291" s="9"/>
      <c r="U2291" s="9"/>
      <c r="V2291" s="9"/>
      <c r="W2291" s="9"/>
      <c r="X2291" s="9"/>
      <c r="Y2291" s="9"/>
      <c r="Z2291" s="9"/>
      <c r="AA2291" s="9"/>
      <c r="AB2291" s="9"/>
      <c r="AC2291" s="9"/>
      <c r="AD2291" s="9"/>
      <c r="AE2291" s="9"/>
      <c r="AF2291" s="9"/>
      <c r="AG2291" s="9"/>
      <c r="AH2291" s="9"/>
      <c r="AI2291" s="9"/>
      <c r="AJ2291" s="9"/>
      <c r="AK2291" s="9"/>
      <c r="AL2291" s="9"/>
      <c r="AM2291" s="9"/>
      <c r="AN2291" s="9"/>
      <c r="AO2291" s="9"/>
      <c r="AP2291" s="9"/>
      <c r="AQ2291" s="9"/>
      <c r="AR2291" s="9"/>
      <c r="AS2291" s="9"/>
      <c r="AT2291" s="9"/>
      <c r="AU2291" s="9"/>
    </row>
    <row r="2292" spans="1:47" ht="15.75" customHeight="1">
      <c r="A2292" s="9"/>
      <c r="B2292" s="9"/>
      <c r="C2292" s="9"/>
      <c r="D2292" s="9"/>
      <c r="E2292" s="9"/>
      <c r="F2292" s="67"/>
      <c r="G2292" s="9"/>
      <c r="H2292" s="9"/>
      <c r="I2292" s="9"/>
      <c r="J2292" s="9"/>
      <c r="K2292" s="9"/>
      <c r="L2292" s="9"/>
      <c r="M2292" s="9"/>
      <c r="N2292" s="9"/>
      <c r="O2292" s="9"/>
      <c r="P2292" s="9"/>
      <c r="Q2292" s="9"/>
      <c r="R2292" s="9"/>
      <c r="S2292" s="9"/>
      <c r="T2292" s="9"/>
      <c r="U2292" s="9"/>
      <c r="V2292" s="9"/>
      <c r="W2292" s="9"/>
      <c r="X2292" s="9"/>
      <c r="Y2292" s="9"/>
      <c r="Z2292" s="9"/>
      <c r="AA2292" s="9"/>
      <c r="AB2292" s="9"/>
      <c r="AC2292" s="9"/>
      <c r="AD2292" s="9"/>
      <c r="AE2292" s="9"/>
      <c r="AF2292" s="9"/>
      <c r="AG2292" s="9"/>
      <c r="AH2292" s="9"/>
      <c r="AI2292" s="9"/>
      <c r="AJ2292" s="9"/>
      <c r="AK2292" s="9"/>
      <c r="AL2292" s="9"/>
      <c r="AM2292" s="9"/>
      <c r="AN2292" s="9"/>
      <c r="AO2292" s="9"/>
      <c r="AP2292" s="9"/>
      <c r="AQ2292" s="9"/>
      <c r="AR2292" s="9"/>
      <c r="AS2292" s="9"/>
      <c r="AT2292" s="9"/>
      <c r="AU2292" s="9"/>
    </row>
    <row r="2293" spans="1:47" ht="15.75" customHeight="1">
      <c r="A2293" s="9"/>
      <c r="B2293" s="9"/>
      <c r="C2293" s="9"/>
      <c r="D2293" s="9"/>
      <c r="E2293" s="9"/>
      <c r="F2293" s="67"/>
      <c r="G2293" s="9"/>
      <c r="H2293" s="9"/>
      <c r="I2293" s="9"/>
      <c r="J2293" s="9"/>
      <c r="K2293" s="9"/>
      <c r="L2293" s="9"/>
      <c r="M2293" s="9"/>
      <c r="N2293" s="9"/>
      <c r="O2293" s="9"/>
      <c r="P2293" s="9"/>
      <c r="Q2293" s="9"/>
      <c r="R2293" s="9"/>
      <c r="S2293" s="9"/>
      <c r="T2293" s="9"/>
      <c r="U2293" s="9"/>
      <c r="V2293" s="9"/>
      <c r="W2293" s="9"/>
      <c r="X2293" s="9"/>
      <c r="Y2293" s="9"/>
      <c r="Z2293" s="9"/>
      <c r="AA2293" s="9"/>
      <c r="AB2293" s="9"/>
      <c r="AC2293" s="9"/>
      <c r="AD2293" s="9"/>
      <c r="AE2293" s="9"/>
      <c r="AF2293" s="9"/>
      <c r="AG2293" s="9"/>
      <c r="AH2293" s="9"/>
      <c r="AI2293" s="9"/>
      <c r="AJ2293" s="9"/>
      <c r="AK2293" s="9"/>
      <c r="AL2293" s="9"/>
      <c r="AM2293" s="9"/>
      <c r="AN2293" s="9"/>
      <c r="AO2293" s="9"/>
      <c r="AP2293" s="9"/>
      <c r="AQ2293" s="9"/>
      <c r="AR2293" s="9"/>
      <c r="AS2293" s="9"/>
      <c r="AT2293" s="9"/>
      <c r="AU2293" s="9"/>
    </row>
    <row r="2294" spans="1:47" ht="15.75" customHeight="1">
      <c r="A2294" s="9"/>
      <c r="B2294" s="9"/>
      <c r="C2294" s="9"/>
      <c r="D2294" s="9"/>
      <c r="E2294" s="9"/>
      <c r="F2294" s="67"/>
      <c r="G2294" s="9"/>
      <c r="H2294" s="9"/>
      <c r="I2294" s="9"/>
      <c r="J2294" s="9"/>
      <c r="K2294" s="9"/>
      <c r="L2294" s="9"/>
      <c r="M2294" s="9"/>
      <c r="N2294" s="9"/>
      <c r="O2294" s="9"/>
      <c r="P2294" s="9"/>
      <c r="Q2294" s="9"/>
      <c r="R2294" s="9"/>
      <c r="S2294" s="9"/>
      <c r="T2294" s="9"/>
      <c r="U2294" s="9"/>
      <c r="V2294" s="9"/>
      <c r="W2294" s="9"/>
      <c r="X2294" s="9"/>
      <c r="Y2294" s="9"/>
      <c r="Z2294" s="9"/>
      <c r="AA2294" s="9"/>
      <c r="AB2294" s="9"/>
      <c r="AC2294" s="9"/>
      <c r="AD2294" s="9"/>
      <c r="AE2294" s="9"/>
      <c r="AF2294" s="9"/>
      <c r="AG2294" s="9"/>
      <c r="AH2294" s="9"/>
      <c r="AI2294" s="9"/>
      <c r="AJ2294" s="9"/>
      <c r="AK2294" s="9"/>
      <c r="AL2294" s="9"/>
      <c r="AM2294" s="9"/>
      <c r="AN2294" s="9"/>
      <c r="AO2294" s="9"/>
      <c r="AP2294" s="9"/>
      <c r="AQ2294" s="9"/>
      <c r="AR2294" s="9"/>
      <c r="AS2294" s="9"/>
      <c r="AT2294" s="9"/>
      <c r="AU2294" s="9"/>
    </row>
    <row r="2295" spans="1:47" ht="15.75" customHeight="1">
      <c r="A2295" s="9"/>
      <c r="B2295" s="9"/>
      <c r="C2295" s="9"/>
      <c r="D2295" s="9"/>
      <c r="E2295" s="9"/>
      <c r="F2295" s="67"/>
      <c r="G2295" s="9"/>
      <c r="H2295" s="9"/>
      <c r="I2295" s="9"/>
      <c r="J2295" s="9"/>
      <c r="K2295" s="9"/>
      <c r="L2295" s="9"/>
      <c r="M2295" s="9"/>
      <c r="N2295" s="9"/>
      <c r="O2295" s="9"/>
      <c r="P2295" s="9"/>
      <c r="Q2295" s="9"/>
      <c r="R2295" s="9"/>
      <c r="S2295" s="9"/>
      <c r="T2295" s="9"/>
      <c r="U2295" s="9"/>
      <c r="V2295" s="9"/>
      <c r="W2295" s="9"/>
      <c r="X2295" s="9"/>
      <c r="Y2295" s="9"/>
      <c r="Z2295" s="9"/>
      <c r="AA2295" s="9"/>
      <c r="AB2295" s="9"/>
      <c r="AC2295" s="9"/>
      <c r="AD2295" s="9"/>
      <c r="AE2295" s="9"/>
      <c r="AF2295" s="9"/>
      <c r="AG2295" s="9"/>
      <c r="AH2295" s="9"/>
      <c r="AI2295" s="9"/>
      <c r="AJ2295" s="9"/>
      <c r="AK2295" s="9"/>
      <c r="AL2295" s="9"/>
      <c r="AM2295" s="9"/>
      <c r="AN2295" s="9"/>
      <c r="AO2295" s="9"/>
      <c r="AP2295" s="9"/>
      <c r="AQ2295" s="9"/>
      <c r="AR2295" s="9"/>
      <c r="AS2295" s="9"/>
      <c r="AT2295" s="9"/>
      <c r="AU2295" s="9"/>
    </row>
    <row r="2296" spans="1:47" ht="15.75" customHeight="1">
      <c r="A2296" s="9"/>
      <c r="B2296" s="9"/>
      <c r="C2296" s="9"/>
      <c r="D2296" s="9"/>
      <c r="E2296" s="9"/>
      <c r="F2296" s="67"/>
      <c r="G2296" s="9"/>
      <c r="H2296" s="9"/>
      <c r="I2296" s="9"/>
      <c r="J2296" s="9"/>
      <c r="K2296" s="9"/>
      <c r="L2296" s="9"/>
      <c r="M2296" s="9"/>
      <c r="N2296" s="9"/>
      <c r="O2296" s="9"/>
      <c r="P2296" s="9"/>
      <c r="Q2296" s="9"/>
      <c r="R2296" s="9"/>
      <c r="S2296" s="9"/>
      <c r="T2296" s="9"/>
      <c r="U2296" s="9"/>
      <c r="V2296" s="9"/>
      <c r="W2296" s="9"/>
      <c r="X2296" s="9"/>
      <c r="Y2296" s="9"/>
      <c r="Z2296" s="9"/>
      <c r="AA2296" s="9"/>
      <c r="AB2296" s="9"/>
      <c r="AC2296" s="9"/>
      <c r="AD2296" s="9"/>
      <c r="AE2296" s="9"/>
      <c r="AF2296" s="9"/>
      <c r="AG2296" s="9"/>
      <c r="AH2296" s="9"/>
      <c r="AI2296" s="9"/>
      <c r="AJ2296" s="9"/>
      <c r="AK2296" s="9"/>
      <c r="AL2296" s="9"/>
      <c r="AM2296" s="9"/>
      <c r="AN2296" s="9"/>
      <c r="AO2296" s="9"/>
      <c r="AP2296" s="9"/>
      <c r="AQ2296" s="9"/>
      <c r="AR2296" s="9"/>
      <c r="AS2296" s="9"/>
      <c r="AT2296" s="9"/>
      <c r="AU2296" s="9"/>
    </row>
    <row r="2297" spans="1:47" ht="15.75" customHeight="1">
      <c r="A2297" s="9"/>
      <c r="B2297" s="9"/>
      <c r="C2297" s="9"/>
      <c r="D2297" s="9"/>
      <c r="E2297" s="9"/>
      <c r="F2297" s="67"/>
      <c r="G2297" s="9"/>
      <c r="H2297" s="9"/>
      <c r="I2297" s="9"/>
      <c r="J2297" s="9"/>
      <c r="K2297" s="9"/>
      <c r="L2297" s="9"/>
      <c r="M2297" s="9"/>
      <c r="N2297" s="9"/>
      <c r="O2297" s="9"/>
      <c r="P2297" s="9"/>
      <c r="Q2297" s="9"/>
      <c r="R2297" s="9"/>
      <c r="S2297" s="9"/>
      <c r="T2297" s="9"/>
      <c r="U2297" s="9"/>
      <c r="V2297" s="9"/>
      <c r="W2297" s="9"/>
      <c r="X2297" s="9"/>
      <c r="Y2297" s="9"/>
      <c r="Z2297" s="9"/>
      <c r="AA2297" s="9"/>
      <c r="AB2297" s="9"/>
      <c r="AC2297" s="9"/>
      <c r="AD2297" s="9"/>
      <c r="AE2297" s="9"/>
      <c r="AF2297" s="9"/>
      <c r="AG2297" s="9"/>
      <c r="AH2297" s="9"/>
      <c r="AI2297" s="9"/>
      <c r="AJ2297" s="9"/>
      <c r="AK2297" s="9"/>
      <c r="AL2297" s="9"/>
      <c r="AM2297" s="9"/>
      <c r="AN2297" s="9"/>
      <c r="AO2297" s="9"/>
      <c r="AP2297" s="9"/>
      <c r="AQ2297" s="9"/>
      <c r="AR2297" s="9"/>
      <c r="AS2297" s="9"/>
      <c r="AT2297" s="9"/>
      <c r="AU2297" s="9"/>
    </row>
    <row r="2298" spans="1:47" ht="15.75" customHeight="1">
      <c r="A2298" s="9"/>
      <c r="B2298" s="9"/>
      <c r="C2298" s="9"/>
      <c r="D2298" s="9"/>
      <c r="E2298" s="9"/>
      <c r="F2298" s="67"/>
      <c r="G2298" s="9"/>
      <c r="H2298" s="9"/>
      <c r="I2298" s="9"/>
      <c r="J2298" s="9"/>
      <c r="K2298" s="9"/>
      <c r="L2298" s="9"/>
      <c r="M2298" s="9"/>
      <c r="N2298" s="9"/>
      <c r="O2298" s="9"/>
      <c r="P2298" s="9"/>
      <c r="Q2298" s="9"/>
      <c r="R2298" s="9"/>
      <c r="S2298" s="9"/>
      <c r="T2298" s="9"/>
      <c r="U2298" s="9"/>
      <c r="V2298" s="9"/>
      <c r="W2298" s="9"/>
      <c r="X2298" s="9"/>
      <c r="Y2298" s="9"/>
      <c r="Z2298" s="9"/>
      <c r="AA2298" s="9"/>
      <c r="AB2298" s="9"/>
      <c r="AC2298" s="9"/>
      <c r="AD2298" s="9"/>
      <c r="AE2298" s="9"/>
      <c r="AF2298" s="9"/>
      <c r="AG2298" s="9"/>
      <c r="AH2298" s="9"/>
      <c r="AI2298" s="9"/>
      <c r="AJ2298" s="9"/>
      <c r="AK2298" s="9"/>
      <c r="AL2298" s="9"/>
      <c r="AM2298" s="9"/>
      <c r="AN2298" s="9"/>
      <c r="AO2298" s="9"/>
      <c r="AP2298" s="9"/>
      <c r="AQ2298" s="9"/>
      <c r="AR2298" s="9"/>
      <c r="AS2298" s="9"/>
      <c r="AT2298" s="9"/>
      <c r="AU2298" s="9"/>
    </row>
    <row r="2299" spans="1:47" ht="15.75" customHeight="1">
      <c r="A2299" s="9"/>
      <c r="B2299" s="9"/>
      <c r="C2299" s="9"/>
      <c r="D2299" s="9"/>
      <c r="E2299" s="9"/>
      <c r="F2299" s="67"/>
      <c r="G2299" s="9"/>
      <c r="H2299" s="9"/>
      <c r="I2299" s="9"/>
      <c r="J2299" s="9"/>
      <c r="K2299" s="9"/>
      <c r="L2299" s="9"/>
      <c r="M2299" s="9"/>
      <c r="N2299" s="9"/>
      <c r="O2299" s="9"/>
      <c r="P2299" s="9"/>
      <c r="Q2299" s="9"/>
      <c r="R2299" s="9"/>
      <c r="S2299" s="9"/>
      <c r="T2299" s="9"/>
      <c r="U2299" s="9"/>
      <c r="V2299" s="9"/>
      <c r="W2299" s="9"/>
      <c r="X2299" s="9"/>
      <c r="Y2299" s="9"/>
      <c r="Z2299" s="9"/>
      <c r="AA2299" s="9"/>
      <c r="AB2299" s="9"/>
      <c r="AC2299" s="9"/>
      <c r="AD2299" s="9"/>
      <c r="AE2299" s="9"/>
      <c r="AF2299" s="9"/>
      <c r="AG2299" s="9"/>
      <c r="AH2299" s="9"/>
      <c r="AI2299" s="9"/>
      <c r="AJ2299" s="9"/>
      <c r="AK2299" s="9"/>
      <c r="AL2299" s="9"/>
      <c r="AM2299" s="9"/>
      <c r="AN2299" s="9"/>
      <c r="AO2299" s="9"/>
      <c r="AP2299" s="9"/>
      <c r="AQ2299" s="9"/>
      <c r="AR2299" s="9"/>
      <c r="AS2299" s="9"/>
      <c r="AT2299" s="9"/>
      <c r="AU2299" s="9"/>
    </row>
    <row r="2300" spans="1:47" ht="15.75" customHeight="1">
      <c r="A2300" s="9"/>
      <c r="B2300" s="9"/>
      <c r="C2300" s="9"/>
      <c r="D2300" s="9"/>
      <c r="E2300" s="9"/>
      <c r="F2300" s="67"/>
      <c r="G2300" s="9"/>
      <c r="H2300" s="9"/>
      <c r="I2300" s="9"/>
      <c r="J2300" s="9"/>
      <c r="K2300" s="9"/>
      <c r="L2300" s="9"/>
      <c r="M2300" s="9"/>
      <c r="N2300" s="9"/>
      <c r="O2300" s="9"/>
      <c r="P2300" s="9"/>
      <c r="Q2300" s="9"/>
      <c r="R2300" s="9"/>
      <c r="S2300" s="9"/>
      <c r="T2300" s="9"/>
      <c r="U2300" s="9"/>
      <c r="V2300" s="9"/>
      <c r="W2300" s="9"/>
      <c r="X2300" s="9"/>
      <c r="Y2300" s="9"/>
      <c r="Z2300" s="9"/>
      <c r="AA2300" s="9"/>
      <c r="AB2300" s="9"/>
      <c r="AC2300" s="9"/>
      <c r="AD2300" s="9"/>
      <c r="AE2300" s="9"/>
      <c r="AF2300" s="9"/>
      <c r="AG2300" s="9"/>
      <c r="AH2300" s="9"/>
      <c r="AI2300" s="9"/>
      <c r="AJ2300" s="9"/>
      <c r="AK2300" s="9"/>
      <c r="AL2300" s="9"/>
      <c r="AM2300" s="9"/>
      <c r="AN2300" s="9"/>
      <c r="AO2300" s="9"/>
      <c r="AP2300" s="9"/>
      <c r="AQ2300" s="9"/>
      <c r="AR2300" s="9"/>
      <c r="AS2300" s="9"/>
      <c r="AT2300" s="9"/>
      <c r="AU2300" s="9"/>
    </row>
    <row r="2301" spans="1:47" ht="15.75" customHeight="1">
      <c r="A2301" s="9"/>
      <c r="B2301" s="9"/>
      <c r="C2301" s="9"/>
      <c r="D2301" s="9"/>
      <c r="E2301" s="9"/>
      <c r="F2301" s="67"/>
      <c r="G2301" s="9"/>
      <c r="H2301" s="9"/>
      <c r="I2301" s="9"/>
      <c r="J2301" s="9"/>
      <c r="K2301" s="9"/>
      <c r="L2301" s="9"/>
      <c r="M2301" s="9"/>
      <c r="N2301" s="9"/>
      <c r="O2301" s="9"/>
      <c r="P2301" s="9"/>
      <c r="Q2301" s="9"/>
      <c r="R2301" s="9"/>
      <c r="S2301" s="9"/>
      <c r="T2301" s="9"/>
      <c r="U2301" s="9"/>
      <c r="V2301" s="9"/>
      <c r="W2301" s="9"/>
      <c r="X2301" s="9"/>
      <c r="Y2301" s="9"/>
      <c r="Z2301" s="9"/>
      <c r="AA2301" s="9"/>
      <c r="AB2301" s="9"/>
      <c r="AC2301" s="9"/>
      <c r="AD2301" s="9"/>
      <c r="AE2301" s="9"/>
      <c r="AF2301" s="9"/>
      <c r="AG2301" s="9"/>
      <c r="AH2301" s="9"/>
      <c r="AI2301" s="9"/>
      <c r="AJ2301" s="9"/>
      <c r="AK2301" s="9"/>
      <c r="AL2301" s="9"/>
      <c r="AM2301" s="9"/>
      <c r="AN2301" s="9"/>
      <c r="AO2301" s="9"/>
      <c r="AP2301" s="9"/>
      <c r="AQ2301" s="9"/>
      <c r="AR2301" s="9"/>
      <c r="AS2301" s="9"/>
      <c r="AT2301" s="9"/>
      <c r="AU2301" s="9"/>
    </row>
    <row r="2302" spans="1:47" ht="15.75" customHeight="1">
      <c r="A2302" s="9"/>
      <c r="B2302" s="9"/>
      <c r="C2302" s="9"/>
      <c r="D2302" s="9"/>
      <c r="E2302" s="9"/>
      <c r="F2302" s="67"/>
      <c r="G2302" s="9"/>
      <c r="H2302" s="9"/>
      <c r="I2302" s="9"/>
      <c r="J2302" s="9"/>
      <c r="K2302" s="9"/>
      <c r="L2302" s="9"/>
      <c r="M2302" s="9"/>
      <c r="N2302" s="9"/>
      <c r="O2302" s="9"/>
      <c r="P2302" s="9"/>
      <c r="Q2302" s="9"/>
      <c r="R2302" s="9"/>
      <c r="S2302" s="9"/>
      <c r="T2302" s="9"/>
      <c r="U2302" s="9"/>
      <c r="V2302" s="9"/>
      <c r="W2302" s="9"/>
      <c r="X2302" s="9"/>
      <c r="Y2302" s="9"/>
      <c r="Z2302" s="9"/>
      <c r="AA2302" s="9"/>
      <c r="AB2302" s="9"/>
      <c r="AC2302" s="9"/>
      <c r="AD2302" s="9"/>
      <c r="AE2302" s="9"/>
      <c r="AF2302" s="9"/>
      <c r="AG2302" s="9"/>
      <c r="AH2302" s="9"/>
      <c r="AI2302" s="9"/>
      <c r="AJ2302" s="9"/>
      <c r="AK2302" s="9"/>
      <c r="AL2302" s="9"/>
      <c r="AM2302" s="9"/>
      <c r="AN2302" s="9"/>
      <c r="AO2302" s="9"/>
      <c r="AP2302" s="9"/>
      <c r="AQ2302" s="9"/>
      <c r="AR2302" s="9"/>
      <c r="AS2302" s="9"/>
      <c r="AT2302" s="9"/>
      <c r="AU2302" s="9"/>
    </row>
    <row r="2303" spans="1:47" ht="15.75" customHeight="1">
      <c r="A2303" s="9"/>
      <c r="B2303" s="9"/>
      <c r="C2303" s="9"/>
      <c r="D2303" s="9"/>
      <c r="E2303" s="9"/>
      <c r="F2303" s="67"/>
      <c r="G2303" s="9"/>
      <c r="H2303" s="9"/>
      <c r="I2303" s="9"/>
      <c r="J2303" s="9"/>
      <c r="K2303" s="9"/>
      <c r="L2303" s="9"/>
      <c r="M2303" s="9"/>
      <c r="N2303" s="9"/>
      <c r="O2303" s="9"/>
      <c r="P2303" s="9"/>
      <c r="Q2303" s="9"/>
      <c r="R2303" s="9"/>
      <c r="S2303" s="9"/>
      <c r="T2303" s="9"/>
      <c r="U2303" s="9"/>
      <c r="V2303" s="9"/>
      <c r="W2303" s="9"/>
      <c r="X2303" s="9"/>
      <c r="Y2303" s="9"/>
      <c r="Z2303" s="9"/>
      <c r="AA2303" s="9"/>
      <c r="AB2303" s="9"/>
      <c r="AC2303" s="9"/>
      <c r="AD2303" s="9"/>
      <c r="AE2303" s="9"/>
      <c r="AF2303" s="9"/>
      <c r="AG2303" s="9"/>
      <c r="AH2303" s="9"/>
      <c r="AI2303" s="9"/>
      <c r="AJ2303" s="9"/>
      <c r="AK2303" s="9"/>
      <c r="AL2303" s="9"/>
      <c r="AM2303" s="9"/>
      <c r="AN2303" s="9"/>
      <c r="AO2303" s="9"/>
      <c r="AP2303" s="9"/>
      <c r="AQ2303" s="9"/>
      <c r="AR2303" s="9"/>
      <c r="AS2303" s="9"/>
      <c r="AT2303" s="9"/>
      <c r="AU2303" s="9"/>
    </row>
    <row r="2304" spans="1:47" ht="15.75" customHeight="1">
      <c r="A2304" s="9"/>
      <c r="B2304" s="9"/>
      <c r="C2304" s="9"/>
      <c r="D2304" s="9"/>
      <c r="E2304" s="9"/>
      <c r="F2304" s="67"/>
      <c r="G2304" s="9"/>
      <c r="H2304" s="9"/>
      <c r="I2304" s="9"/>
      <c r="J2304" s="9"/>
      <c r="K2304" s="9"/>
      <c r="L2304" s="9"/>
      <c r="M2304" s="9"/>
      <c r="N2304" s="9"/>
      <c r="O2304" s="9"/>
      <c r="P2304" s="9"/>
      <c r="Q2304" s="9"/>
      <c r="R2304" s="9"/>
      <c r="S2304" s="9"/>
      <c r="T2304" s="9"/>
      <c r="U2304" s="9"/>
      <c r="V2304" s="9"/>
      <c r="W2304" s="9"/>
      <c r="X2304" s="9"/>
      <c r="Y2304" s="9"/>
      <c r="Z2304" s="9"/>
      <c r="AA2304" s="9"/>
      <c r="AB2304" s="9"/>
      <c r="AC2304" s="9"/>
      <c r="AD2304" s="9"/>
      <c r="AE2304" s="9"/>
      <c r="AF2304" s="9"/>
      <c r="AG2304" s="9"/>
      <c r="AH2304" s="9"/>
      <c r="AI2304" s="9"/>
      <c r="AJ2304" s="9"/>
      <c r="AK2304" s="9"/>
      <c r="AL2304" s="9"/>
      <c r="AM2304" s="9"/>
      <c r="AN2304" s="9"/>
      <c r="AO2304" s="9"/>
      <c r="AP2304" s="9"/>
      <c r="AQ2304" s="9"/>
      <c r="AR2304" s="9"/>
      <c r="AS2304" s="9"/>
      <c r="AT2304" s="9"/>
      <c r="AU2304" s="9"/>
    </row>
    <row r="2305" spans="1:47" ht="15.75" customHeight="1">
      <c r="A2305" s="9"/>
      <c r="B2305" s="9"/>
      <c r="C2305" s="9"/>
      <c r="D2305" s="9"/>
      <c r="E2305" s="9"/>
      <c r="F2305" s="67"/>
      <c r="G2305" s="9"/>
      <c r="H2305" s="9"/>
      <c r="I2305" s="9"/>
      <c r="J2305" s="9"/>
      <c r="K2305" s="9"/>
      <c r="L2305" s="9"/>
      <c r="M2305" s="9"/>
      <c r="N2305" s="9"/>
      <c r="O2305" s="9"/>
      <c r="P2305" s="9"/>
      <c r="Q2305" s="9"/>
      <c r="R2305" s="9"/>
      <c r="S2305" s="9"/>
      <c r="T2305" s="9"/>
      <c r="U2305" s="9"/>
      <c r="V2305" s="9"/>
      <c r="W2305" s="9"/>
      <c r="X2305" s="9"/>
      <c r="Y2305" s="9"/>
      <c r="Z2305" s="9"/>
      <c r="AA2305" s="9"/>
      <c r="AB2305" s="9"/>
      <c r="AC2305" s="9"/>
      <c r="AD2305" s="9"/>
      <c r="AE2305" s="9"/>
      <c r="AF2305" s="9"/>
      <c r="AG2305" s="9"/>
      <c r="AH2305" s="9"/>
      <c r="AI2305" s="9"/>
      <c r="AJ2305" s="9"/>
      <c r="AK2305" s="9"/>
      <c r="AL2305" s="9"/>
      <c r="AM2305" s="9"/>
      <c r="AN2305" s="9"/>
      <c r="AO2305" s="9"/>
      <c r="AP2305" s="9"/>
      <c r="AQ2305" s="9"/>
      <c r="AR2305" s="9"/>
      <c r="AS2305" s="9"/>
      <c r="AT2305" s="9"/>
      <c r="AU2305" s="9"/>
    </row>
    <row r="2306" spans="1:47" ht="15.75" customHeight="1">
      <c r="A2306" s="9"/>
      <c r="B2306" s="9"/>
      <c r="C2306" s="9"/>
      <c r="D2306" s="9"/>
      <c r="E2306" s="9"/>
      <c r="F2306" s="67"/>
      <c r="G2306" s="9"/>
      <c r="H2306" s="9"/>
      <c r="I2306" s="9"/>
      <c r="J2306" s="9"/>
      <c r="K2306" s="9"/>
      <c r="L2306" s="9"/>
      <c r="M2306" s="9"/>
      <c r="N2306" s="9"/>
      <c r="O2306" s="9"/>
      <c r="P2306" s="9"/>
      <c r="Q2306" s="9"/>
      <c r="R2306" s="9"/>
      <c r="S2306" s="9"/>
      <c r="T2306" s="9"/>
      <c r="U2306" s="9"/>
      <c r="V2306" s="9"/>
      <c r="W2306" s="9"/>
      <c r="X2306" s="9"/>
      <c r="Y2306" s="9"/>
      <c r="Z2306" s="9"/>
      <c r="AA2306" s="9"/>
      <c r="AB2306" s="9"/>
      <c r="AC2306" s="9"/>
      <c r="AD2306" s="9"/>
      <c r="AE2306" s="9"/>
      <c r="AF2306" s="9"/>
      <c r="AG2306" s="9"/>
      <c r="AH2306" s="9"/>
      <c r="AI2306" s="9"/>
      <c r="AJ2306" s="9"/>
      <c r="AK2306" s="9"/>
      <c r="AL2306" s="9"/>
      <c r="AM2306" s="9"/>
      <c r="AN2306" s="9"/>
      <c r="AO2306" s="9"/>
      <c r="AP2306" s="9"/>
      <c r="AQ2306" s="9"/>
      <c r="AR2306" s="9"/>
      <c r="AS2306" s="9"/>
      <c r="AT2306" s="9"/>
      <c r="AU2306" s="9"/>
    </row>
    <row r="2307" spans="1:47" ht="15.75" customHeight="1">
      <c r="A2307" s="9"/>
      <c r="B2307" s="9"/>
      <c r="C2307" s="9"/>
      <c r="D2307" s="9"/>
      <c r="E2307" s="9"/>
      <c r="F2307" s="67"/>
      <c r="G2307" s="9"/>
      <c r="H2307" s="9"/>
      <c r="I2307" s="9"/>
      <c r="J2307" s="9"/>
      <c r="K2307" s="9"/>
      <c r="L2307" s="9"/>
      <c r="M2307" s="9"/>
      <c r="N2307" s="9"/>
      <c r="O2307" s="9"/>
      <c r="P2307" s="9"/>
      <c r="Q2307" s="9"/>
      <c r="R2307" s="9"/>
      <c r="S2307" s="9"/>
      <c r="T2307" s="9"/>
      <c r="U2307" s="9"/>
      <c r="V2307" s="9"/>
      <c r="W2307" s="9"/>
      <c r="X2307" s="9"/>
      <c r="Y2307" s="9"/>
      <c r="Z2307" s="9"/>
      <c r="AA2307" s="9"/>
      <c r="AB2307" s="9"/>
      <c r="AC2307" s="9"/>
      <c r="AD2307" s="9"/>
      <c r="AE2307" s="9"/>
      <c r="AF2307" s="9"/>
      <c r="AG2307" s="9"/>
      <c r="AH2307" s="9"/>
      <c r="AI2307" s="9"/>
      <c r="AJ2307" s="9"/>
      <c r="AK2307" s="9"/>
      <c r="AL2307" s="9"/>
      <c r="AM2307" s="9"/>
      <c r="AN2307" s="9"/>
      <c r="AO2307" s="9"/>
      <c r="AP2307" s="9"/>
      <c r="AQ2307" s="9"/>
      <c r="AR2307" s="9"/>
      <c r="AS2307" s="9"/>
      <c r="AT2307" s="9"/>
      <c r="AU2307" s="9"/>
    </row>
    <row r="2308" spans="1:47" ht="15.75" customHeight="1">
      <c r="A2308" s="9"/>
      <c r="B2308" s="9"/>
      <c r="C2308" s="9"/>
      <c r="D2308" s="9"/>
      <c r="E2308" s="9"/>
      <c r="F2308" s="67"/>
      <c r="G2308" s="9"/>
      <c r="H2308" s="9"/>
      <c r="I2308" s="9"/>
      <c r="J2308" s="9"/>
      <c r="K2308" s="9"/>
      <c r="L2308" s="9"/>
      <c r="M2308" s="9"/>
      <c r="N2308" s="9"/>
      <c r="O2308" s="9"/>
      <c r="P2308" s="9"/>
      <c r="Q2308" s="9"/>
      <c r="R2308" s="9"/>
      <c r="S2308" s="9"/>
      <c r="T2308" s="9"/>
      <c r="U2308" s="9"/>
      <c r="V2308" s="9"/>
      <c r="W2308" s="9"/>
      <c r="X2308" s="9"/>
      <c r="Y2308" s="9"/>
      <c r="Z2308" s="9"/>
      <c r="AA2308" s="9"/>
      <c r="AB2308" s="9"/>
      <c r="AC2308" s="9"/>
      <c r="AD2308" s="9"/>
      <c r="AE2308" s="9"/>
      <c r="AF2308" s="9"/>
      <c r="AG2308" s="9"/>
      <c r="AH2308" s="9"/>
      <c r="AI2308" s="9"/>
      <c r="AJ2308" s="9"/>
      <c r="AK2308" s="9"/>
      <c r="AL2308" s="9"/>
      <c r="AM2308" s="9"/>
      <c r="AN2308" s="9"/>
      <c r="AO2308" s="9"/>
      <c r="AP2308" s="9"/>
      <c r="AQ2308" s="9"/>
      <c r="AR2308" s="9"/>
      <c r="AS2308" s="9"/>
      <c r="AT2308" s="9"/>
      <c r="AU2308" s="9"/>
    </row>
    <row r="2309" spans="1:47" ht="15.75" customHeight="1">
      <c r="A2309" s="9"/>
      <c r="B2309" s="9"/>
      <c r="C2309" s="9"/>
      <c r="D2309" s="9"/>
      <c r="E2309" s="9"/>
      <c r="F2309" s="67"/>
      <c r="G2309" s="9"/>
      <c r="H2309" s="9"/>
      <c r="I2309" s="9"/>
      <c r="J2309" s="9"/>
      <c r="K2309" s="9"/>
      <c r="L2309" s="9"/>
      <c r="M2309" s="9"/>
      <c r="N2309" s="9"/>
      <c r="O2309" s="9"/>
      <c r="P2309" s="9"/>
      <c r="Q2309" s="9"/>
      <c r="R2309" s="9"/>
      <c r="S2309" s="9"/>
      <c r="T2309" s="9"/>
      <c r="U2309" s="9"/>
      <c r="V2309" s="9"/>
      <c r="W2309" s="9"/>
      <c r="X2309" s="9"/>
      <c r="Y2309" s="9"/>
      <c r="Z2309" s="9"/>
      <c r="AA2309" s="9"/>
      <c r="AB2309" s="9"/>
      <c r="AC2309" s="9"/>
      <c r="AD2309" s="9"/>
      <c r="AE2309" s="9"/>
      <c r="AF2309" s="9"/>
      <c r="AG2309" s="9"/>
      <c r="AH2309" s="9"/>
      <c r="AI2309" s="9"/>
      <c r="AJ2309" s="9"/>
      <c r="AK2309" s="9"/>
      <c r="AL2309" s="9"/>
      <c r="AM2309" s="9"/>
      <c r="AN2309" s="9"/>
      <c r="AO2309" s="9"/>
      <c r="AP2309" s="9"/>
      <c r="AQ2309" s="9"/>
      <c r="AR2309" s="9"/>
      <c r="AS2309" s="9"/>
      <c r="AT2309" s="9"/>
      <c r="AU2309" s="9"/>
    </row>
    <row r="2310" spans="1:47" ht="15.75" customHeight="1">
      <c r="A2310" s="9"/>
      <c r="B2310" s="9"/>
      <c r="C2310" s="9"/>
      <c r="D2310" s="9"/>
      <c r="E2310" s="9"/>
      <c r="F2310" s="67"/>
      <c r="G2310" s="9"/>
      <c r="H2310" s="9"/>
      <c r="I2310" s="9"/>
      <c r="J2310" s="9"/>
      <c r="K2310" s="9"/>
      <c r="L2310" s="9"/>
      <c r="M2310" s="9"/>
      <c r="N2310" s="9"/>
      <c r="O2310" s="9"/>
      <c r="P2310" s="9"/>
      <c r="Q2310" s="9"/>
      <c r="R2310" s="9"/>
      <c r="S2310" s="9"/>
      <c r="T2310" s="9"/>
      <c r="U2310" s="9"/>
      <c r="V2310" s="9"/>
      <c r="W2310" s="9"/>
      <c r="X2310" s="9"/>
      <c r="Y2310" s="9"/>
      <c r="Z2310" s="9"/>
      <c r="AA2310" s="9"/>
      <c r="AB2310" s="9"/>
      <c r="AC2310" s="9"/>
      <c r="AD2310" s="9"/>
      <c r="AE2310" s="9"/>
      <c r="AF2310" s="9"/>
      <c r="AG2310" s="9"/>
      <c r="AH2310" s="9"/>
      <c r="AI2310" s="9"/>
      <c r="AJ2310" s="9"/>
      <c r="AK2310" s="9"/>
      <c r="AL2310" s="9"/>
      <c r="AM2310" s="9"/>
      <c r="AN2310" s="9"/>
      <c r="AO2310" s="9"/>
      <c r="AP2310" s="9"/>
      <c r="AQ2310" s="9"/>
      <c r="AR2310" s="9"/>
      <c r="AS2310" s="9"/>
      <c r="AT2310" s="9"/>
      <c r="AU2310" s="9"/>
    </row>
    <row r="2311" spans="1:47" ht="15.75" customHeight="1">
      <c r="A2311" s="9"/>
      <c r="B2311" s="9"/>
      <c r="C2311" s="9"/>
      <c r="D2311" s="9"/>
      <c r="E2311" s="9"/>
      <c r="F2311" s="67"/>
      <c r="G2311" s="9"/>
      <c r="H2311" s="9"/>
      <c r="I2311" s="9"/>
      <c r="J2311" s="9"/>
      <c r="K2311" s="9"/>
      <c r="L2311" s="9"/>
      <c r="M2311" s="9"/>
      <c r="N2311" s="9"/>
      <c r="O2311" s="9"/>
      <c r="P2311" s="9"/>
      <c r="Q2311" s="9"/>
      <c r="R2311" s="9"/>
      <c r="S2311" s="9"/>
      <c r="T2311" s="9"/>
      <c r="U2311" s="9"/>
      <c r="V2311" s="9"/>
      <c r="W2311" s="9"/>
      <c r="X2311" s="9"/>
      <c r="Y2311" s="9"/>
      <c r="Z2311" s="9"/>
      <c r="AA2311" s="9"/>
      <c r="AB2311" s="9"/>
      <c r="AC2311" s="9"/>
      <c r="AD2311" s="9"/>
      <c r="AE2311" s="9"/>
      <c r="AF2311" s="9"/>
      <c r="AG2311" s="9"/>
      <c r="AH2311" s="9"/>
      <c r="AI2311" s="9"/>
      <c r="AJ2311" s="9"/>
      <c r="AK2311" s="9"/>
      <c r="AL2311" s="9"/>
      <c r="AM2311" s="9"/>
      <c r="AN2311" s="9"/>
      <c r="AO2311" s="9"/>
      <c r="AP2311" s="9"/>
      <c r="AQ2311" s="9"/>
      <c r="AR2311" s="9"/>
      <c r="AS2311" s="9"/>
      <c r="AT2311" s="9"/>
      <c r="AU2311" s="9"/>
    </row>
    <row r="2312" spans="1:47" ht="15.75" customHeight="1">
      <c r="A2312" s="9"/>
      <c r="B2312" s="9"/>
      <c r="C2312" s="9"/>
      <c r="D2312" s="9"/>
      <c r="E2312" s="9"/>
      <c r="F2312" s="67"/>
      <c r="G2312" s="9"/>
      <c r="H2312" s="9"/>
      <c r="I2312" s="9"/>
      <c r="J2312" s="9"/>
      <c r="K2312" s="9"/>
      <c r="L2312" s="9"/>
      <c r="M2312" s="9"/>
      <c r="N2312" s="9"/>
      <c r="O2312" s="9"/>
      <c r="P2312" s="9"/>
      <c r="Q2312" s="9"/>
      <c r="R2312" s="9"/>
      <c r="S2312" s="9"/>
      <c r="T2312" s="9"/>
      <c r="U2312" s="9"/>
      <c r="V2312" s="9"/>
      <c r="W2312" s="9"/>
      <c r="X2312" s="9"/>
      <c r="Y2312" s="9"/>
      <c r="Z2312" s="9"/>
      <c r="AA2312" s="9"/>
      <c r="AB2312" s="9"/>
      <c r="AC2312" s="9"/>
      <c r="AD2312" s="9"/>
      <c r="AE2312" s="9"/>
      <c r="AF2312" s="9"/>
      <c r="AG2312" s="9"/>
      <c r="AH2312" s="9"/>
      <c r="AI2312" s="9"/>
      <c r="AJ2312" s="9"/>
      <c r="AK2312" s="9"/>
      <c r="AL2312" s="9"/>
      <c r="AM2312" s="9"/>
      <c r="AN2312" s="9"/>
      <c r="AO2312" s="9"/>
      <c r="AP2312" s="9"/>
      <c r="AQ2312" s="9"/>
      <c r="AR2312" s="9"/>
      <c r="AS2312" s="9"/>
      <c r="AT2312" s="9"/>
      <c r="AU2312" s="9"/>
    </row>
    <row r="2313" spans="1:47" ht="15.75" customHeight="1">
      <c r="A2313" s="9"/>
      <c r="B2313" s="9"/>
      <c r="C2313" s="9"/>
      <c r="D2313" s="9"/>
      <c r="E2313" s="9"/>
      <c r="F2313" s="67"/>
      <c r="G2313" s="9"/>
      <c r="H2313" s="9"/>
      <c r="I2313" s="9"/>
      <c r="J2313" s="9"/>
      <c r="K2313" s="9"/>
      <c r="L2313" s="9"/>
      <c r="M2313" s="9"/>
      <c r="N2313" s="9"/>
      <c r="O2313" s="9"/>
      <c r="P2313" s="9"/>
      <c r="Q2313" s="9"/>
      <c r="R2313" s="9"/>
      <c r="S2313" s="9"/>
      <c r="T2313" s="9"/>
      <c r="U2313" s="9"/>
      <c r="V2313" s="9"/>
      <c r="W2313" s="9"/>
      <c r="X2313" s="9"/>
      <c r="Y2313" s="9"/>
      <c r="Z2313" s="9"/>
      <c r="AA2313" s="9"/>
      <c r="AB2313" s="9"/>
      <c r="AC2313" s="9"/>
      <c r="AD2313" s="9"/>
      <c r="AE2313" s="9"/>
      <c r="AF2313" s="9"/>
      <c r="AG2313" s="9"/>
      <c r="AH2313" s="9"/>
      <c r="AI2313" s="9"/>
      <c r="AJ2313" s="9"/>
      <c r="AK2313" s="9"/>
      <c r="AL2313" s="9"/>
      <c r="AM2313" s="9"/>
      <c r="AN2313" s="9"/>
      <c r="AO2313" s="9"/>
      <c r="AP2313" s="9"/>
      <c r="AQ2313" s="9"/>
      <c r="AR2313" s="9"/>
      <c r="AS2313" s="9"/>
      <c r="AT2313" s="9"/>
      <c r="AU2313" s="9"/>
    </row>
    <row r="2314" spans="1:47" ht="15.75" customHeight="1">
      <c r="A2314" s="9"/>
      <c r="B2314" s="9"/>
      <c r="C2314" s="9"/>
      <c r="D2314" s="9"/>
      <c r="E2314" s="9"/>
      <c r="F2314" s="67"/>
      <c r="G2314" s="9"/>
      <c r="H2314" s="9"/>
      <c r="I2314" s="9"/>
      <c r="J2314" s="9"/>
      <c r="K2314" s="9"/>
      <c r="L2314" s="9"/>
      <c r="M2314" s="9"/>
      <c r="N2314" s="9"/>
      <c r="O2314" s="9"/>
      <c r="P2314" s="9"/>
      <c r="Q2314" s="9"/>
      <c r="R2314" s="9"/>
      <c r="S2314" s="9"/>
      <c r="T2314" s="9"/>
      <c r="U2314" s="9"/>
      <c r="V2314" s="9"/>
      <c r="W2314" s="9"/>
      <c r="X2314" s="9"/>
      <c r="Y2314" s="9"/>
      <c r="Z2314" s="9"/>
      <c r="AA2314" s="9"/>
      <c r="AB2314" s="9"/>
      <c r="AC2314" s="9"/>
      <c r="AD2314" s="9"/>
      <c r="AE2314" s="9"/>
      <c r="AF2314" s="9"/>
      <c r="AG2314" s="9"/>
      <c r="AH2314" s="9"/>
      <c r="AI2314" s="9"/>
      <c r="AJ2314" s="9"/>
      <c r="AK2314" s="9"/>
      <c r="AL2314" s="9"/>
      <c r="AM2314" s="9"/>
      <c r="AN2314" s="9"/>
      <c r="AO2314" s="9"/>
      <c r="AP2314" s="9"/>
      <c r="AQ2314" s="9"/>
      <c r="AR2314" s="9"/>
      <c r="AS2314" s="9"/>
      <c r="AT2314" s="9"/>
      <c r="AU2314" s="9"/>
    </row>
    <row r="2315" spans="1:47" ht="15.75" customHeight="1">
      <c r="A2315" s="9"/>
      <c r="B2315" s="9"/>
      <c r="C2315" s="9"/>
      <c r="D2315" s="9"/>
      <c r="E2315" s="9"/>
      <c r="F2315" s="67"/>
      <c r="G2315" s="9"/>
      <c r="H2315" s="9"/>
      <c r="I2315" s="9"/>
      <c r="J2315" s="9"/>
      <c r="K2315" s="9"/>
      <c r="L2315" s="9"/>
      <c r="M2315" s="9"/>
      <c r="N2315" s="9"/>
      <c r="O2315" s="9"/>
      <c r="P2315" s="9"/>
      <c r="Q2315" s="9"/>
      <c r="R2315" s="9"/>
      <c r="S2315" s="9"/>
      <c r="T2315" s="9"/>
      <c r="U2315" s="9"/>
      <c r="V2315" s="9"/>
      <c r="W2315" s="9"/>
      <c r="X2315" s="9"/>
      <c r="Y2315" s="9"/>
      <c r="Z2315" s="9"/>
      <c r="AA2315" s="9"/>
      <c r="AB2315" s="9"/>
      <c r="AC2315" s="9"/>
      <c r="AD2315" s="9"/>
      <c r="AE2315" s="9"/>
      <c r="AF2315" s="9"/>
      <c r="AG2315" s="9"/>
      <c r="AH2315" s="9"/>
      <c r="AI2315" s="9"/>
      <c r="AJ2315" s="9"/>
      <c r="AK2315" s="9"/>
      <c r="AL2315" s="9"/>
      <c r="AM2315" s="9"/>
      <c r="AN2315" s="9"/>
      <c r="AO2315" s="9"/>
      <c r="AP2315" s="9"/>
      <c r="AQ2315" s="9"/>
      <c r="AR2315" s="9"/>
      <c r="AS2315" s="9"/>
      <c r="AT2315" s="9"/>
      <c r="AU2315" s="9"/>
    </row>
    <row r="2316" spans="1:47" ht="15.75" customHeight="1">
      <c r="A2316" s="9"/>
      <c r="B2316" s="9"/>
      <c r="C2316" s="9"/>
      <c r="D2316" s="9"/>
      <c r="E2316" s="9"/>
      <c r="F2316" s="67"/>
      <c r="G2316" s="9"/>
      <c r="H2316" s="9"/>
      <c r="I2316" s="9"/>
      <c r="J2316" s="9"/>
      <c r="K2316" s="9"/>
      <c r="L2316" s="9"/>
      <c r="M2316" s="9"/>
      <c r="N2316" s="9"/>
      <c r="O2316" s="9"/>
      <c r="P2316" s="9"/>
      <c r="Q2316" s="9"/>
      <c r="R2316" s="9"/>
      <c r="S2316" s="9"/>
      <c r="T2316" s="9"/>
      <c r="U2316" s="9"/>
      <c r="V2316" s="9"/>
      <c r="W2316" s="9"/>
      <c r="X2316" s="9"/>
      <c r="Y2316" s="9"/>
      <c r="Z2316" s="9"/>
      <c r="AA2316" s="9"/>
      <c r="AB2316" s="9"/>
      <c r="AC2316" s="9"/>
      <c r="AD2316" s="9"/>
      <c r="AE2316" s="9"/>
      <c r="AF2316" s="9"/>
      <c r="AG2316" s="9"/>
      <c r="AH2316" s="9"/>
      <c r="AI2316" s="9"/>
      <c r="AJ2316" s="9"/>
      <c r="AK2316" s="9"/>
      <c r="AL2316" s="9"/>
      <c r="AM2316" s="9"/>
      <c r="AN2316" s="9"/>
      <c r="AO2316" s="9"/>
      <c r="AP2316" s="9"/>
      <c r="AQ2316" s="9"/>
      <c r="AR2316" s="9"/>
      <c r="AS2316" s="9"/>
      <c r="AT2316" s="9"/>
      <c r="AU2316" s="9"/>
    </row>
    <row r="2317" spans="1:47" ht="15.75" customHeight="1">
      <c r="A2317" s="9"/>
      <c r="B2317" s="9"/>
      <c r="C2317" s="9"/>
      <c r="D2317" s="9"/>
      <c r="E2317" s="9"/>
      <c r="F2317" s="67"/>
      <c r="G2317" s="9"/>
      <c r="H2317" s="9"/>
      <c r="I2317" s="9"/>
      <c r="J2317" s="9"/>
      <c r="K2317" s="9"/>
      <c r="L2317" s="9"/>
      <c r="M2317" s="9"/>
      <c r="N2317" s="9"/>
      <c r="O2317" s="9"/>
      <c r="P2317" s="9"/>
      <c r="Q2317" s="9"/>
      <c r="R2317" s="9"/>
      <c r="S2317" s="9"/>
      <c r="T2317" s="9"/>
      <c r="U2317" s="9"/>
      <c r="V2317" s="9"/>
      <c r="W2317" s="9"/>
      <c r="X2317" s="9"/>
      <c r="Y2317" s="9"/>
      <c r="Z2317" s="9"/>
      <c r="AA2317" s="9"/>
      <c r="AB2317" s="9"/>
      <c r="AC2317" s="9"/>
      <c r="AD2317" s="9"/>
      <c r="AE2317" s="9"/>
      <c r="AF2317" s="9"/>
      <c r="AG2317" s="9"/>
      <c r="AH2317" s="9"/>
      <c r="AI2317" s="9"/>
      <c r="AJ2317" s="9"/>
      <c r="AK2317" s="9"/>
      <c r="AL2317" s="9"/>
      <c r="AM2317" s="9"/>
      <c r="AN2317" s="9"/>
      <c r="AO2317" s="9"/>
      <c r="AP2317" s="9"/>
      <c r="AQ2317" s="9"/>
      <c r="AR2317" s="9"/>
      <c r="AS2317" s="9"/>
      <c r="AT2317" s="9"/>
      <c r="AU2317" s="9"/>
    </row>
    <row r="2318" spans="1:47" ht="15.75" customHeight="1">
      <c r="A2318" s="9"/>
      <c r="B2318" s="9"/>
      <c r="C2318" s="9"/>
      <c r="D2318" s="9"/>
      <c r="E2318" s="9"/>
      <c r="F2318" s="67"/>
      <c r="G2318" s="9"/>
      <c r="H2318" s="9"/>
      <c r="I2318" s="9"/>
      <c r="J2318" s="9"/>
      <c r="K2318" s="9"/>
      <c r="L2318" s="9"/>
      <c r="M2318" s="9"/>
      <c r="N2318" s="9"/>
      <c r="O2318" s="9"/>
      <c r="P2318" s="9"/>
      <c r="Q2318" s="9"/>
      <c r="R2318" s="9"/>
      <c r="S2318" s="9"/>
      <c r="T2318" s="9"/>
      <c r="U2318" s="9"/>
      <c r="V2318" s="9"/>
      <c r="W2318" s="9"/>
      <c r="X2318" s="9"/>
      <c r="Y2318" s="9"/>
      <c r="Z2318" s="9"/>
      <c r="AA2318" s="9"/>
      <c r="AB2318" s="9"/>
      <c r="AC2318" s="9"/>
      <c r="AD2318" s="9"/>
      <c r="AE2318" s="9"/>
      <c r="AF2318" s="9"/>
      <c r="AG2318" s="9"/>
      <c r="AH2318" s="9"/>
      <c r="AI2318" s="9"/>
      <c r="AJ2318" s="9"/>
      <c r="AK2318" s="9"/>
      <c r="AL2318" s="9"/>
      <c r="AM2318" s="9"/>
      <c r="AN2318" s="9"/>
      <c r="AO2318" s="9"/>
      <c r="AP2318" s="9"/>
      <c r="AQ2318" s="9"/>
      <c r="AR2318" s="9"/>
      <c r="AS2318" s="9"/>
      <c r="AT2318" s="9"/>
      <c r="AU2318" s="9"/>
    </row>
    <row r="2319" spans="1:47" ht="15.75" customHeight="1">
      <c r="A2319" s="9"/>
      <c r="B2319" s="9"/>
      <c r="C2319" s="9"/>
      <c r="D2319" s="9"/>
      <c r="E2319" s="9"/>
      <c r="F2319" s="67"/>
      <c r="G2319" s="9"/>
      <c r="H2319" s="9"/>
      <c r="I2319" s="9"/>
      <c r="J2319" s="9"/>
      <c r="K2319" s="9"/>
      <c r="L2319" s="9"/>
      <c r="M2319" s="9"/>
      <c r="N2319" s="9"/>
      <c r="O2319" s="9"/>
      <c r="P2319" s="9"/>
      <c r="Q2319" s="9"/>
      <c r="R2319" s="9"/>
      <c r="S2319" s="9"/>
      <c r="T2319" s="9"/>
      <c r="U2319" s="9"/>
      <c r="V2319" s="9"/>
      <c r="W2319" s="9"/>
      <c r="X2319" s="9"/>
      <c r="Y2319" s="9"/>
      <c r="Z2319" s="9"/>
      <c r="AA2319" s="9"/>
      <c r="AB2319" s="9"/>
      <c r="AC2319" s="9"/>
      <c r="AD2319" s="9"/>
      <c r="AE2319" s="9"/>
      <c r="AF2319" s="9"/>
      <c r="AG2319" s="9"/>
      <c r="AH2319" s="9"/>
      <c r="AI2319" s="9"/>
      <c r="AJ2319" s="9"/>
      <c r="AK2319" s="9"/>
      <c r="AL2319" s="9"/>
      <c r="AM2319" s="9"/>
      <c r="AN2319" s="9"/>
      <c r="AO2319" s="9"/>
      <c r="AP2319" s="9"/>
      <c r="AQ2319" s="9"/>
      <c r="AR2319" s="9"/>
      <c r="AS2319" s="9"/>
      <c r="AT2319" s="9"/>
      <c r="AU2319" s="9"/>
    </row>
    <row r="2320" spans="1:47" ht="15.75" customHeight="1">
      <c r="A2320" s="9"/>
      <c r="B2320" s="9"/>
      <c r="C2320" s="9"/>
      <c r="D2320" s="9"/>
      <c r="E2320" s="9"/>
      <c r="F2320" s="67"/>
      <c r="G2320" s="9"/>
      <c r="H2320" s="9"/>
      <c r="I2320" s="9"/>
      <c r="J2320" s="9"/>
      <c r="K2320" s="9"/>
      <c r="L2320" s="9"/>
      <c r="M2320" s="9"/>
      <c r="N2320" s="9"/>
      <c r="O2320" s="9"/>
      <c r="P2320" s="9"/>
      <c r="Q2320" s="9"/>
      <c r="R2320" s="9"/>
      <c r="S2320" s="9"/>
      <c r="T2320" s="9"/>
      <c r="U2320" s="9"/>
      <c r="V2320" s="9"/>
      <c r="W2320" s="9"/>
      <c r="X2320" s="9"/>
      <c r="Y2320" s="9"/>
      <c r="Z2320" s="9"/>
      <c r="AA2320" s="9"/>
      <c r="AB2320" s="9"/>
      <c r="AC2320" s="9"/>
      <c r="AD2320" s="9"/>
      <c r="AE2320" s="9"/>
      <c r="AF2320" s="9"/>
      <c r="AG2320" s="9"/>
      <c r="AH2320" s="9"/>
      <c r="AI2320" s="9"/>
      <c r="AJ2320" s="9"/>
      <c r="AK2320" s="9"/>
      <c r="AL2320" s="9"/>
      <c r="AM2320" s="9"/>
      <c r="AN2320" s="9"/>
      <c r="AO2320" s="9"/>
      <c r="AP2320" s="9"/>
      <c r="AQ2320" s="9"/>
      <c r="AR2320" s="9"/>
      <c r="AS2320" s="9"/>
      <c r="AT2320" s="9"/>
      <c r="AU2320" s="9"/>
    </row>
    <row r="2321" spans="1:47" ht="15.75" customHeight="1">
      <c r="A2321" s="9"/>
      <c r="B2321" s="9"/>
      <c r="C2321" s="9"/>
      <c r="D2321" s="9"/>
      <c r="E2321" s="9"/>
      <c r="F2321" s="67"/>
      <c r="G2321" s="9"/>
      <c r="H2321" s="9"/>
      <c r="I2321" s="9"/>
      <c r="J2321" s="9"/>
      <c r="K2321" s="9"/>
      <c r="L2321" s="9"/>
      <c r="M2321" s="9"/>
      <c r="N2321" s="9"/>
      <c r="O2321" s="9"/>
      <c r="P2321" s="9"/>
      <c r="Q2321" s="9"/>
      <c r="R2321" s="9"/>
      <c r="S2321" s="9"/>
      <c r="T2321" s="9"/>
      <c r="U2321" s="9"/>
      <c r="V2321" s="9"/>
      <c r="W2321" s="9"/>
      <c r="X2321" s="9"/>
      <c r="Y2321" s="9"/>
      <c r="Z2321" s="9"/>
      <c r="AA2321" s="9"/>
      <c r="AB2321" s="9"/>
      <c r="AC2321" s="9"/>
      <c r="AD2321" s="9"/>
      <c r="AE2321" s="9"/>
      <c r="AF2321" s="9"/>
      <c r="AG2321" s="9"/>
      <c r="AH2321" s="9"/>
      <c r="AI2321" s="9"/>
      <c r="AJ2321" s="9"/>
      <c r="AK2321" s="9"/>
      <c r="AL2321" s="9"/>
      <c r="AM2321" s="9"/>
      <c r="AN2321" s="9"/>
      <c r="AO2321" s="9"/>
      <c r="AP2321" s="9"/>
      <c r="AQ2321" s="9"/>
      <c r="AR2321" s="9"/>
      <c r="AS2321" s="9"/>
      <c r="AT2321" s="9"/>
      <c r="AU2321" s="9"/>
    </row>
    <row r="2322" spans="1:47" ht="15.75" customHeight="1">
      <c r="A2322" s="9"/>
      <c r="B2322" s="9"/>
      <c r="C2322" s="9"/>
      <c r="D2322" s="9"/>
      <c r="E2322" s="9"/>
      <c r="F2322" s="67"/>
      <c r="G2322" s="9"/>
      <c r="H2322" s="9"/>
      <c r="I2322" s="9"/>
      <c r="J2322" s="9"/>
      <c r="K2322" s="9"/>
      <c r="L2322" s="9"/>
      <c r="M2322" s="9"/>
      <c r="N2322" s="9"/>
      <c r="O2322" s="9"/>
      <c r="P2322" s="9"/>
      <c r="Q2322" s="9"/>
      <c r="R2322" s="9"/>
      <c r="S2322" s="9"/>
      <c r="T2322" s="9"/>
      <c r="U2322" s="9"/>
      <c r="V2322" s="9"/>
      <c r="W2322" s="9"/>
      <c r="X2322" s="9"/>
      <c r="Y2322" s="9"/>
      <c r="Z2322" s="9"/>
      <c r="AA2322" s="9"/>
      <c r="AB2322" s="9"/>
      <c r="AC2322" s="9"/>
      <c r="AD2322" s="9"/>
      <c r="AE2322" s="9"/>
      <c r="AF2322" s="9"/>
      <c r="AG2322" s="9"/>
      <c r="AH2322" s="9"/>
      <c r="AI2322" s="9"/>
      <c r="AJ2322" s="9"/>
      <c r="AK2322" s="9"/>
      <c r="AL2322" s="9"/>
      <c r="AM2322" s="9"/>
      <c r="AN2322" s="9"/>
      <c r="AO2322" s="9"/>
      <c r="AP2322" s="9"/>
      <c r="AQ2322" s="9"/>
      <c r="AR2322" s="9"/>
      <c r="AS2322" s="9"/>
      <c r="AT2322" s="9"/>
      <c r="AU2322" s="9"/>
    </row>
    <row r="2323" spans="1:47" ht="15.75" customHeight="1">
      <c r="A2323" s="9"/>
      <c r="B2323" s="9"/>
      <c r="C2323" s="9"/>
      <c r="D2323" s="9"/>
      <c r="E2323" s="9"/>
      <c r="F2323" s="67"/>
      <c r="G2323" s="9"/>
      <c r="H2323" s="9"/>
      <c r="I2323" s="9"/>
      <c r="J2323" s="9"/>
      <c r="K2323" s="9"/>
      <c r="L2323" s="9"/>
      <c r="M2323" s="9"/>
      <c r="N2323" s="9"/>
      <c r="O2323" s="9"/>
      <c r="P2323" s="9"/>
      <c r="Q2323" s="9"/>
      <c r="R2323" s="9"/>
      <c r="S2323" s="9"/>
      <c r="T2323" s="9"/>
      <c r="U2323" s="9"/>
      <c r="V2323" s="9"/>
      <c r="W2323" s="9"/>
      <c r="X2323" s="9"/>
      <c r="Y2323" s="9"/>
      <c r="Z2323" s="9"/>
      <c r="AA2323" s="9"/>
      <c r="AB2323" s="9"/>
      <c r="AC2323" s="9"/>
      <c r="AD2323" s="9"/>
      <c r="AE2323" s="9"/>
      <c r="AF2323" s="9"/>
      <c r="AG2323" s="9"/>
      <c r="AH2323" s="9"/>
      <c r="AI2323" s="9"/>
      <c r="AJ2323" s="9"/>
      <c r="AK2323" s="9"/>
      <c r="AL2323" s="9"/>
      <c r="AM2323" s="9"/>
      <c r="AN2323" s="9"/>
      <c r="AO2323" s="9"/>
      <c r="AP2323" s="9"/>
      <c r="AQ2323" s="9"/>
      <c r="AR2323" s="9"/>
      <c r="AS2323" s="9"/>
      <c r="AT2323" s="9"/>
      <c r="AU2323" s="9"/>
    </row>
    <row r="2324" spans="1:47" ht="15.75" customHeight="1">
      <c r="A2324" s="9"/>
      <c r="B2324" s="9"/>
      <c r="C2324" s="9"/>
      <c r="D2324" s="9"/>
      <c r="E2324" s="9"/>
      <c r="F2324" s="67"/>
      <c r="G2324" s="9"/>
      <c r="H2324" s="9"/>
      <c r="I2324" s="9"/>
      <c r="J2324" s="9"/>
      <c r="K2324" s="9"/>
      <c r="L2324" s="9"/>
      <c r="M2324" s="9"/>
      <c r="N2324" s="9"/>
      <c r="O2324" s="9"/>
      <c r="P2324" s="9"/>
      <c r="Q2324" s="9"/>
      <c r="R2324" s="9"/>
      <c r="S2324" s="9"/>
      <c r="T2324" s="9"/>
      <c r="U2324" s="9"/>
      <c r="V2324" s="9"/>
      <c r="W2324" s="9"/>
      <c r="X2324" s="9"/>
      <c r="Y2324" s="9"/>
      <c r="Z2324" s="9"/>
      <c r="AA2324" s="9"/>
      <c r="AB2324" s="9"/>
      <c r="AC2324" s="9"/>
      <c r="AD2324" s="9"/>
      <c r="AE2324" s="9"/>
      <c r="AF2324" s="9"/>
      <c r="AG2324" s="9"/>
      <c r="AH2324" s="9"/>
      <c r="AI2324" s="9"/>
      <c r="AJ2324" s="9"/>
      <c r="AK2324" s="9"/>
      <c r="AL2324" s="9"/>
      <c r="AM2324" s="9"/>
      <c r="AN2324" s="9"/>
      <c r="AO2324" s="9"/>
      <c r="AP2324" s="9"/>
      <c r="AQ2324" s="9"/>
      <c r="AR2324" s="9"/>
      <c r="AS2324" s="9"/>
      <c r="AT2324" s="9"/>
      <c r="AU2324" s="9"/>
    </row>
    <row r="2325" spans="1:47" ht="15.75" customHeight="1">
      <c r="A2325" s="9"/>
      <c r="B2325" s="9"/>
      <c r="C2325" s="9"/>
      <c r="D2325" s="9"/>
      <c r="E2325" s="9"/>
      <c r="F2325" s="67"/>
      <c r="G2325" s="9"/>
      <c r="H2325" s="9"/>
      <c r="I2325" s="9"/>
      <c r="J2325" s="9"/>
      <c r="K2325" s="9"/>
      <c r="L2325" s="9"/>
      <c r="M2325" s="9"/>
      <c r="N2325" s="9"/>
      <c r="O2325" s="9"/>
      <c r="P2325" s="9"/>
      <c r="Q2325" s="9"/>
      <c r="R2325" s="9"/>
      <c r="S2325" s="9"/>
      <c r="T2325" s="9"/>
      <c r="U2325" s="9"/>
      <c r="V2325" s="9"/>
      <c r="W2325" s="9"/>
      <c r="X2325" s="9"/>
      <c r="Y2325" s="9"/>
      <c r="Z2325" s="9"/>
      <c r="AA2325" s="9"/>
      <c r="AB2325" s="9"/>
      <c r="AC2325" s="9"/>
      <c r="AD2325" s="9"/>
      <c r="AE2325" s="9"/>
      <c r="AF2325" s="9"/>
      <c r="AG2325" s="9"/>
      <c r="AH2325" s="9"/>
      <c r="AI2325" s="9"/>
      <c r="AJ2325" s="9"/>
      <c r="AK2325" s="9"/>
      <c r="AL2325" s="9"/>
      <c r="AM2325" s="9"/>
      <c r="AN2325" s="9"/>
      <c r="AO2325" s="9"/>
      <c r="AP2325" s="9"/>
      <c r="AQ2325" s="9"/>
      <c r="AR2325" s="9"/>
      <c r="AS2325" s="9"/>
      <c r="AT2325" s="9"/>
      <c r="AU2325" s="9"/>
    </row>
    <row r="2326" spans="1:47" ht="15.75" customHeight="1">
      <c r="A2326" s="9"/>
      <c r="B2326" s="9"/>
      <c r="C2326" s="9"/>
      <c r="D2326" s="9"/>
      <c r="E2326" s="9"/>
      <c r="F2326" s="67"/>
      <c r="G2326" s="9"/>
      <c r="H2326" s="9"/>
      <c r="I2326" s="9"/>
      <c r="J2326" s="9"/>
      <c r="K2326" s="9"/>
      <c r="L2326" s="9"/>
      <c r="M2326" s="9"/>
      <c r="N2326" s="9"/>
      <c r="O2326" s="9"/>
      <c r="P2326" s="9"/>
      <c r="Q2326" s="9"/>
      <c r="R2326" s="9"/>
      <c r="S2326" s="9"/>
      <c r="T2326" s="9"/>
      <c r="U2326" s="9"/>
      <c r="V2326" s="9"/>
      <c r="W2326" s="9"/>
      <c r="X2326" s="9"/>
      <c r="Y2326" s="9"/>
      <c r="Z2326" s="9"/>
      <c r="AA2326" s="9"/>
      <c r="AB2326" s="9"/>
      <c r="AC2326" s="9"/>
      <c r="AD2326" s="9"/>
      <c r="AE2326" s="9"/>
      <c r="AF2326" s="9"/>
      <c r="AG2326" s="9"/>
      <c r="AH2326" s="9"/>
      <c r="AI2326" s="9"/>
      <c r="AJ2326" s="9"/>
      <c r="AK2326" s="9"/>
      <c r="AL2326" s="9"/>
      <c r="AM2326" s="9"/>
      <c r="AN2326" s="9"/>
      <c r="AO2326" s="9"/>
      <c r="AP2326" s="9"/>
      <c r="AQ2326" s="9"/>
      <c r="AR2326" s="9"/>
      <c r="AS2326" s="9"/>
      <c r="AT2326" s="9"/>
      <c r="AU2326" s="9"/>
    </row>
    <row r="2327" spans="1:47" ht="15.75" customHeight="1">
      <c r="A2327" s="9"/>
      <c r="B2327" s="9"/>
      <c r="C2327" s="9"/>
      <c r="D2327" s="9"/>
      <c r="E2327" s="9"/>
      <c r="F2327" s="67"/>
      <c r="G2327" s="9"/>
      <c r="H2327" s="9"/>
      <c r="I2327" s="9"/>
      <c r="J2327" s="9"/>
      <c r="K2327" s="9"/>
      <c r="L2327" s="9"/>
      <c r="M2327" s="9"/>
      <c r="N2327" s="9"/>
      <c r="O2327" s="9"/>
      <c r="P2327" s="9"/>
      <c r="Q2327" s="9"/>
      <c r="R2327" s="9"/>
      <c r="S2327" s="9"/>
      <c r="T2327" s="9"/>
      <c r="U2327" s="9"/>
      <c r="V2327" s="9"/>
      <c r="W2327" s="9"/>
      <c r="X2327" s="9"/>
      <c r="Y2327" s="9"/>
      <c r="Z2327" s="9"/>
      <c r="AA2327" s="9"/>
      <c r="AB2327" s="9"/>
      <c r="AC2327" s="9"/>
      <c r="AD2327" s="9"/>
      <c r="AE2327" s="9"/>
      <c r="AF2327" s="9"/>
      <c r="AG2327" s="9"/>
      <c r="AH2327" s="9"/>
      <c r="AI2327" s="9"/>
      <c r="AJ2327" s="9"/>
      <c r="AK2327" s="9"/>
      <c r="AL2327" s="9"/>
      <c r="AM2327" s="9"/>
      <c r="AN2327" s="9"/>
      <c r="AO2327" s="9"/>
      <c r="AP2327" s="9"/>
      <c r="AQ2327" s="9"/>
      <c r="AR2327" s="9"/>
      <c r="AS2327" s="9"/>
      <c r="AT2327" s="9"/>
      <c r="AU2327" s="9"/>
    </row>
    <row r="2328" spans="1:47" ht="15.75" customHeight="1">
      <c r="A2328" s="9"/>
      <c r="B2328" s="9"/>
      <c r="C2328" s="9"/>
      <c r="D2328" s="9"/>
      <c r="E2328" s="9"/>
      <c r="F2328" s="67"/>
      <c r="G2328" s="9"/>
      <c r="H2328" s="9"/>
      <c r="I2328" s="9"/>
      <c r="J2328" s="9"/>
      <c r="K2328" s="9"/>
      <c r="L2328" s="9"/>
      <c r="M2328" s="9"/>
      <c r="N2328" s="9"/>
      <c r="O2328" s="9"/>
      <c r="P2328" s="9"/>
      <c r="Q2328" s="9"/>
      <c r="R2328" s="9"/>
      <c r="S2328" s="9"/>
      <c r="T2328" s="9"/>
      <c r="U2328" s="9"/>
      <c r="V2328" s="9"/>
      <c r="W2328" s="9"/>
      <c r="X2328" s="9"/>
      <c r="Y2328" s="9"/>
      <c r="Z2328" s="9"/>
      <c r="AA2328" s="9"/>
      <c r="AB2328" s="9"/>
      <c r="AC2328" s="9"/>
      <c r="AD2328" s="9"/>
      <c r="AE2328" s="9"/>
      <c r="AF2328" s="9"/>
      <c r="AG2328" s="9"/>
      <c r="AH2328" s="9"/>
      <c r="AI2328" s="9"/>
      <c r="AJ2328" s="9"/>
      <c r="AK2328" s="9"/>
      <c r="AL2328" s="9"/>
      <c r="AM2328" s="9"/>
      <c r="AN2328" s="9"/>
      <c r="AO2328" s="9"/>
      <c r="AP2328" s="9"/>
      <c r="AQ2328" s="9"/>
      <c r="AR2328" s="9"/>
      <c r="AS2328" s="9"/>
      <c r="AT2328" s="9"/>
      <c r="AU2328" s="9"/>
    </row>
    <row r="2329" spans="1:47" ht="15.75" customHeight="1">
      <c r="A2329" s="9"/>
      <c r="B2329" s="9"/>
      <c r="C2329" s="9"/>
      <c r="D2329" s="9"/>
      <c r="E2329" s="9"/>
      <c r="F2329" s="67"/>
      <c r="G2329" s="9"/>
      <c r="H2329" s="9"/>
      <c r="I2329" s="9"/>
      <c r="J2329" s="9"/>
      <c r="K2329" s="9"/>
      <c r="L2329" s="9"/>
      <c r="M2329" s="9"/>
      <c r="N2329" s="9"/>
      <c r="O2329" s="9"/>
      <c r="P2329" s="9"/>
      <c r="Q2329" s="9"/>
      <c r="R2329" s="9"/>
      <c r="S2329" s="9"/>
      <c r="T2329" s="9"/>
      <c r="U2329" s="9"/>
      <c r="V2329" s="9"/>
      <c r="W2329" s="9"/>
      <c r="X2329" s="9"/>
      <c r="Y2329" s="9"/>
      <c r="Z2329" s="9"/>
      <c r="AA2329" s="9"/>
      <c r="AB2329" s="9"/>
      <c r="AC2329" s="9"/>
      <c r="AD2329" s="9"/>
      <c r="AE2329" s="9"/>
      <c r="AF2329" s="9"/>
      <c r="AG2329" s="9"/>
      <c r="AH2329" s="9"/>
      <c r="AI2329" s="9"/>
      <c r="AJ2329" s="9"/>
      <c r="AK2329" s="9"/>
      <c r="AL2329" s="9"/>
      <c r="AM2329" s="9"/>
      <c r="AN2329" s="9"/>
      <c r="AO2329" s="9"/>
      <c r="AP2329" s="9"/>
      <c r="AQ2329" s="9"/>
      <c r="AR2329" s="9"/>
      <c r="AS2329" s="9"/>
      <c r="AT2329" s="9"/>
      <c r="AU2329" s="9"/>
    </row>
    <row r="2330" spans="1:47" ht="15.75" customHeight="1">
      <c r="A2330" s="9"/>
      <c r="B2330" s="9"/>
      <c r="C2330" s="9"/>
      <c r="D2330" s="9"/>
      <c r="E2330" s="9"/>
      <c r="F2330" s="67"/>
      <c r="G2330" s="9"/>
      <c r="H2330" s="9"/>
      <c r="I2330" s="9"/>
      <c r="J2330" s="9"/>
      <c r="K2330" s="9"/>
      <c r="L2330" s="9"/>
      <c r="M2330" s="9"/>
      <c r="N2330" s="9"/>
      <c r="O2330" s="9"/>
      <c r="P2330" s="9"/>
      <c r="Q2330" s="9"/>
      <c r="R2330" s="9"/>
      <c r="S2330" s="9"/>
      <c r="T2330" s="9"/>
      <c r="U2330" s="9"/>
      <c r="V2330" s="9"/>
      <c r="W2330" s="9"/>
      <c r="X2330" s="9"/>
      <c r="Y2330" s="9"/>
      <c r="Z2330" s="9"/>
      <c r="AA2330" s="9"/>
      <c r="AB2330" s="9"/>
      <c r="AC2330" s="9"/>
      <c r="AD2330" s="9"/>
      <c r="AE2330" s="9"/>
      <c r="AF2330" s="9"/>
      <c r="AG2330" s="9"/>
      <c r="AH2330" s="9"/>
      <c r="AI2330" s="9"/>
      <c r="AJ2330" s="9"/>
      <c r="AK2330" s="9"/>
      <c r="AL2330" s="9"/>
      <c r="AM2330" s="9"/>
      <c r="AN2330" s="9"/>
      <c r="AO2330" s="9"/>
      <c r="AP2330" s="9"/>
      <c r="AQ2330" s="9"/>
      <c r="AR2330" s="9"/>
      <c r="AS2330" s="9"/>
      <c r="AT2330" s="9"/>
      <c r="AU2330" s="9"/>
    </row>
    <row r="2331" spans="1:47" ht="15.75" customHeight="1">
      <c r="A2331" s="9"/>
      <c r="B2331" s="9"/>
      <c r="C2331" s="9"/>
      <c r="D2331" s="9"/>
      <c r="E2331" s="9"/>
      <c r="F2331" s="67"/>
      <c r="G2331" s="9"/>
      <c r="H2331" s="9"/>
      <c r="I2331" s="9"/>
      <c r="J2331" s="9"/>
      <c r="K2331" s="9"/>
      <c r="L2331" s="9"/>
      <c r="M2331" s="9"/>
      <c r="N2331" s="9"/>
      <c r="O2331" s="9"/>
      <c r="P2331" s="9"/>
      <c r="Q2331" s="9"/>
      <c r="R2331" s="9"/>
      <c r="S2331" s="9"/>
      <c r="T2331" s="9"/>
      <c r="U2331" s="9"/>
      <c r="V2331" s="9"/>
      <c r="W2331" s="9"/>
      <c r="X2331" s="9"/>
      <c r="Y2331" s="9"/>
      <c r="Z2331" s="9"/>
      <c r="AA2331" s="9"/>
      <c r="AB2331" s="9"/>
      <c r="AC2331" s="9"/>
      <c r="AD2331" s="9"/>
      <c r="AE2331" s="9"/>
      <c r="AF2331" s="9"/>
      <c r="AG2331" s="9"/>
      <c r="AH2331" s="9"/>
      <c r="AI2331" s="9"/>
      <c r="AJ2331" s="9"/>
      <c r="AK2331" s="9"/>
      <c r="AL2331" s="9"/>
      <c r="AM2331" s="9"/>
      <c r="AN2331" s="9"/>
      <c r="AO2331" s="9"/>
      <c r="AP2331" s="9"/>
      <c r="AQ2331" s="9"/>
      <c r="AR2331" s="9"/>
      <c r="AS2331" s="9"/>
      <c r="AT2331" s="9"/>
      <c r="AU2331" s="9"/>
    </row>
    <row r="2332" spans="1:47" ht="15.75" customHeight="1">
      <c r="A2332" s="9"/>
      <c r="B2332" s="9"/>
      <c r="C2332" s="9"/>
      <c r="D2332" s="9"/>
      <c r="E2332" s="9"/>
      <c r="F2332" s="67"/>
      <c r="G2332" s="9"/>
      <c r="H2332" s="9"/>
      <c r="I2332" s="9"/>
      <c r="J2332" s="9"/>
      <c r="K2332" s="9"/>
      <c r="L2332" s="9"/>
      <c r="M2332" s="9"/>
      <c r="N2332" s="9"/>
      <c r="O2332" s="9"/>
      <c r="P2332" s="9"/>
      <c r="Q2332" s="9"/>
      <c r="R2332" s="9"/>
      <c r="S2332" s="9"/>
      <c r="T2332" s="9"/>
      <c r="U2332" s="9"/>
      <c r="V2332" s="9"/>
      <c r="W2332" s="9"/>
      <c r="X2332" s="9"/>
      <c r="Y2332" s="9"/>
      <c r="Z2332" s="9"/>
      <c r="AA2332" s="9"/>
      <c r="AB2332" s="9"/>
      <c r="AC2332" s="9"/>
      <c r="AD2332" s="9"/>
      <c r="AE2332" s="9"/>
      <c r="AF2332" s="9"/>
      <c r="AG2332" s="9"/>
      <c r="AH2332" s="9"/>
      <c r="AI2332" s="9"/>
      <c r="AJ2332" s="9"/>
      <c r="AK2332" s="9"/>
      <c r="AL2332" s="9"/>
      <c r="AM2332" s="9"/>
      <c r="AN2332" s="9"/>
      <c r="AO2332" s="9"/>
      <c r="AP2332" s="9"/>
      <c r="AQ2332" s="9"/>
      <c r="AR2332" s="9"/>
      <c r="AS2332" s="9"/>
      <c r="AT2332" s="9"/>
      <c r="AU2332" s="9"/>
    </row>
    <row r="2333" spans="1:47" ht="15.75" customHeight="1">
      <c r="A2333" s="9"/>
      <c r="B2333" s="9"/>
      <c r="C2333" s="9"/>
      <c r="D2333" s="9"/>
      <c r="E2333" s="9"/>
      <c r="F2333" s="67"/>
      <c r="G2333" s="9"/>
      <c r="H2333" s="9"/>
      <c r="I2333" s="9"/>
      <c r="J2333" s="9"/>
      <c r="K2333" s="9"/>
      <c r="L2333" s="9"/>
      <c r="M2333" s="9"/>
      <c r="N2333" s="9"/>
      <c r="O2333" s="9"/>
      <c r="P2333" s="9"/>
      <c r="Q2333" s="9"/>
      <c r="R2333" s="9"/>
      <c r="S2333" s="9"/>
      <c r="T2333" s="9"/>
      <c r="U2333" s="9"/>
      <c r="V2333" s="9"/>
      <c r="W2333" s="9"/>
      <c r="X2333" s="9"/>
      <c r="Y2333" s="9"/>
      <c r="Z2333" s="9"/>
      <c r="AA2333" s="9"/>
      <c r="AB2333" s="9"/>
      <c r="AC2333" s="9"/>
      <c r="AD2333" s="9"/>
      <c r="AE2333" s="9"/>
      <c r="AF2333" s="9"/>
      <c r="AG2333" s="9"/>
      <c r="AH2333" s="9"/>
      <c r="AI2333" s="9"/>
      <c r="AJ2333" s="9"/>
      <c r="AK2333" s="9"/>
      <c r="AL2333" s="9"/>
      <c r="AM2333" s="9"/>
      <c r="AN2333" s="9"/>
      <c r="AO2333" s="9"/>
      <c r="AP2333" s="9"/>
      <c r="AQ2333" s="9"/>
      <c r="AR2333" s="9"/>
      <c r="AS2333" s="9"/>
      <c r="AT2333" s="9"/>
      <c r="AU2333" s="9"/>
    </row>
    <row r="2334" spans="1:47" ht="15.75" customHeight="1">
      <c r="A2334" s="9"/>
      <c r="B2334" s="9"/>
      <c r="C2334" s="9"/>
      <c r="D2334" s="9"/>
      <c r="E2334" s="9"/>
      <c r="F2334" s="67"/>
      <c r="G2334" s="9"/>
      <c r="H2334" s="9"/>
      <c r="I2334" s="9"/>
      <c r="J2334" s="9"/>
      <c r="K2334" s="9"/>
      <c r="L2334" s="9"/>
      <c r="M2334" s="9"/>
      <c r="N2334" s="9"/>
      <c r="O2334" s="9"/>
      <c r="P2334" s="9"/>
      <c r="Q2334" s="9"/>
      <c r="R2334" s="9"/>
      <c r="S2334" s="9"/>
      <c r="T2334" s="9"/>
      <c r="U2334" s="9"/>
      <c r="V2334" s="9"/>
      <c r="W2334" s="9"/>
      <c r="X2334" s="9"/>
      <c r="Y2334" s="9"/>
      <c r="Z2334" s="9"/>
      <c r="AA2334" s="9"/>
      <c r="AB2334" s="9"/>
      <c r="AC2334" s="9"/>
      <c r="AD2334" s="9"/>
      <c r="AE2334" s="9"/>
      <c r="AF2334" s="9"/>
      <c r="AG2334" s="9"/>
      <c r="AH2334" s="9"/>
      <c r="AI2334" s="9"/>
      <c r="AJ2334" s="9"/>
      <c r="AK2334" s="9"/>
      <c r="AL2334" s="9"/>
      <c r="AM2334" s="9"/>
      <c r="AN2334" s="9"/>
      <c r="AO2334" s="9"/>
      <c r="AP2334" s="9"/>
      <c r="AQ2334" s="9"/>
      <c r="AR2334" s="9"/>
      <c r="AS2334" s="9"/>
      <c r="AT2334" s="9"/>
      <c r="AU2334" s="9"/>
    </row>
    <row r="2335" spans="1:47" ht="15.75" customHeight="1">
      <c r="A2335" s="9"/>
      <c r="B2335" s="9"/>
      <c r="C2335" s="9"/>
      <c r="D2335" s="9"/>
      <c r="E2335" s="9"/>
      <c r="F2335" s="67"/>
      <c r="G2335" s="9"/>
      <c r="H2335" s="9"/>
      <c r="I2335" s="9"/>
      <c r="J2335" s="9"/>
      <c r="K2335" s="9"/>
      <c r="L2335" s="9"/>
      <c r="M2335" s="9"/>
      <c r="N2335" s="9"/>
      <c r="O2335" s="9"/>
      <c r="P2335" s="9"/>
      <c r="Q2335" s="9"/>
      <c r="R2335" s="9"/>
      <c r="S2335" s="9"/>
      <c r="T2335" s="9"/>
      <c r="U2335" s="9"/>
      <c r="V2335" s="9"/>
      <c r="W2335" s="9"/>
      <c r="X2335" s="9"/>
      <c r="Y2335" s="9"/>
      <c r="Z2335" s="9"/>
      <c r="AA2335" s="9"/>
      <c r="AB2335" s="9"/>
      <c r="AC2335" s="9"/>
      <c r="AD2335" s="9"/>
      <c r="AE2335" s="9"/>
      <c r="AF2335" s="9"/>
      <c r="AG2335" s="9"/>
      <c r="AH2335" s="9"/>
      <c r="AI2335" s="9"/>
      <c r="AJ2335" s="9"/>
      <c r="AK2335" s="9"/>
      <c r="AL2335" s="9"/>
      <c r="AM2335" s="9"/>
      <c r="AN2335" s="9"/>
      <c r="AO2335" s="9"/>
      <c r="AP2335" s="9"/>
      <c r="AQ2335" s="9"/>
      <c r="AR2335" s="9"/>
      <c r="AS2335" s="9"/>
      <c r="AT2335" s="9"/>
      <c r="AU2335" s="9"/>
    </row>
    <row r="2336" spans="1:47" ht="15.75" customHeight="1">
      <c r="A2336" s="9"/>
      <c r="B2336" s="9"/>
      <c r="C2336" s="9"/>
      <c r="D2336" s="9"/>
      <c r="E2336" s="9"/>
      <c r="F2336" s="67"/>
      <c r="G2336" s="9"/>
      <c r="H2336" s="9"/>
      <c r="I2336" s="9"/>
      <c r="J2336" s="9"/>
      <c r="K2336" s="9"/>
      <c r="L2336" s="9"/>
      <c r="M2336" s="9"/>
      <c r="N2336" s="9"/>
      <c r="O2336" s="9"/>
      <c r="P2336" s="9"/>
      <c r="Q2336" s="9"/>
      <c r="R2336" s="9"/>
      <c r="S2336" s="9"/>
      <c r="T2336" s="9"/>
      <c r="U2336" s="9"/>
      <c r="V2336" s="9"/>
      <c r="W2336" s="9"/>
      <c r="X2336" s="9"/>
      <c r="Y2336" s="9"/>
      <c r="Z2336" s="9"/>
      <c r="AA2336" s="9"/>
      <c r="AB2336" s="9"/>
      <c r="AC2336" s="9"/>
      <c r="AD2336" s="9"/>
      <c r="AE2336" s="9"/>
      <c r="AF2336" s="9"/>
      <c r="AG2336" s="9"/>
      <c r="AH2336" s="9"/>
      <c r="AI2336" s="9"/>
      <c r="AJ2336" s="9"/>
      <c r="AK2336" s="9"/>
      <c r="AL2336" s="9"/>
      <c r="AM2336" s="9"/>
      <c r="AN2336" s="9"/>
      <c r="AO2336" s="9"/>
      <c r="AP2336" s="9"/>
      <c r="AQ2336" s="9"/>
      <c r="AR2336" s="9"/>
      <c r="AS2336" s="9"/>
      <c r="AT2336" s="9"/>
      <c r="AU2336" s="9"/>
    </row>
    <row r="2337" spans="1:47" ht="15.75" customHeight="1">
      <c r="A2337" s="9"/>
      <c r="B2337" s="9"/>
      <c r="C2337" s="9"/>
      <c r="D2337" s="9"/>
      <c r="E2337" s="9"/>
      <c r="F2337" s="67"/>
      <c r="G2337" s="9"/>
      <c r="H2337" s="9"/>
      <c r="I2337" s="9"/>
      <c r="J2337" s="9"/>
      <c r="K2337" s="9"/>
      <c r="L2337" s="9"/>
      <c r="M2337" s="9"/>
      <c r="N2337" s="9"/>
      <c r="O2337" s="9"/>
      <c r="P2337" s="9"/>
      <c r="Q2337" s="9"/>
      <c r="R2337" s="9"/>
      <c r="S2337" s="9"/>
      <c r="T2337" s="9"/>
      <c r="U2337" s="9"/>
      <c r="V2337" s="9"/>
      <c r="W2337" s="9"/>
      <c r="X2337" s="9"/>
      <c r="Y2337" s="9"/>
      <c r="Z2337" s="9"/>
      <c r="AA2337" s="9"/>
      <c r="AB2337" s="9"/>
      <c r="AC2337" s="9"/>
      <c r="AD2337" s="9"/>
      <c r="AE2337" s="9"/>
      <c r="AF2337" s="9"/>
      <c r="AG2337" s="9"/>
      <c r="AH2337" s="9"/>
      <c r="AI2337" s="9"/>
      <c r="AJ2337" s="9"/>
      <c r="AK2337" s="9"/>
      <c r="AL2337" s="9"/>
      <c r="AM2337" s="9"/>
      <c r="AN2337" s="9"/>
      <c r="AO2337" s="9"/>
      <c r="AP2337" s="9"/>
      <c r="AQ2337" s="9"/>
      <c r="AR2337" s="9"/>
      <c r="AS2337" s="9"/>
      <c r="AT2337" s="9"/>
      <c r="AU2337" s="9"/>
    </row>
    <row r="2338" spans="1:47" ht="15.75" customHeight="1">
      <c r="A2338" s="9"/>
      <c r="B2338" s="9"/>
      <c r="C2338" s="9"/>
      <c r="D2338" s="9"/>
      <c r="E2338" s="9"/>
      <c r="F2338" s="67"/>
      <c r="G2338" s="9"/>
      <c r="H2338" s="9"/>
      <c r="I2338" s="9"/>
      <c r="J2338" s="9"/>
      <c r="K2338" s="9"/>
      <c r="L2338" s="9"/>
      <c r="M2338" s="9"/>
      <c r="N2338" s="9"/>
      <c r="O2338" s="9"/>
      <c r="P2338" s="9"/>
      <c r="Q2338" s="9"/>
      <c r="R2338" s="9"/>
      <c r="S2338" s="9"/>
      <c r="T2338" s="9"/>
      <c r="U2338" s="9"/>
      <c r="V2338" s="9"/>
      <c r="W2338" s="9"/>
      <c r="X2338" s="9"/>
      <c r="Y2338" s="9"/>
      <c r="Z2338" s="9"/>
      <c r="AA2338" s="9"/>
      <c r="AB2338" s="9"/>
      <c r="AC2338" s="9"/>
      <c r="AD2338" s="9"/>
      <c r="AE2338" s="9"/>
      <c r="AF2338" s="9"/>
      <c r="AG2338" s="9"/>
      <c r="AH2338" s="9"/>
      <c r="AI2338" s="9"/>
      <c r="AJ2338" s="9"/>
      <c r="AK2338" s="9"/>
      <c r="AL2338" s="9"/>
      <c r="AM2338" s="9"/>
      <c r="AN2338" s="9"/>
      <c r="AO2338" s="9"/>
      <c r="AP2338" s="9"/>
      <c r="AQ2338" s="9"/>
      <c r="AR2338" s="9"/>
      <c r="AS2338" s="9"/>
      <c r="AT2338" s="9"/>
      <c r="AU2338" s="9"/>
    </row>
    <row r="2339" spans="1:47" ht="15.75" customHeight="1">
      <c r="A2339" s="9"/>
      <c r="B2339" s="9"/>
      <c r="C2339" s="9"/>
      <c r="D2339" s="9"/>
      <c r="E2339" s="9"/>
      <c r="F2339" s="67"/>
      <c r="G2339" s="9"/>
      <c r="H2339" s="9"/>
      <c r="I2339" s="9"/>
      <c r="J2339" s="9"/>
      <c r="K2339" s="9"/>
      <c r="L2339" s="9"/>
      <c r="M2339" s="9"/>
      <c r="N2339" s="9"/>
      <c r="O2339" s="9"/>
      <c r="P2339" s="9"/>
      <c r="Q2339" s="9"/>
      <c r="R2339" s="9"/>
      <c r="S2339" s="9"/>
      <c r="T2339" s="9"/>
      <c r="U2339" s="9"/>
      <c r="V2339" s="9"/>
      <c r="W2339" s="9"/>
      <c r="X2339" s="9"/>
      <c r="Y2339" s="9"/>
      <c r="Z2339" s="9"/>
      <c r="AA2339" s="9"/>
      <c r="AB2339" s="9"/>
      <c r="AC2339" s="9"/>
      <c r="AD2339" s="9"/>
      <c r="AE2339" s="9"/>
      <c r="AF2339" s="9"/>
      <c r="AG2339" s="9"/>
      <c r="AH2339" s="9"/>
      <c r="AI2339" s="9"/>
      <c r="AJ2339" s="9"/>
      <c r="AK2339" s="9"/>
      <c r="AL2339" s="9"/>
      <c r="AM2339" s="9"/>
      <c r="AN2339" s="9"/>
      <c r="AO2339" s="9"/>
      <c r="AP2339" s="9"/>
      <c r="AQ2339" s="9"/>
      <c r="AR2339" s="9"/>
      <c r="AS2339" s="9"/>
      <c r="AT2339" s="9"/>
      <c r="AU2339" s="9"/>
    </row>
    <row r="2340" spans="1:47" ht="15.75" customHeight="1">
      <c r="A2340" s="9"/>
      <c r="B2340" s="9"/>
      <c r="C2340" s="9"/>
      <c r="D2340" s="9"/>
      <c r="E2340" s="9"/>
      <c r="F2340" s="67"/>
      <c r="G2340" s="9"/>
      <c r="H2340" s="9"/>
      <c r="I2340" s="9"/>
      <c r="J2340" s="9"/>
      <c r="K2340" s="9"/>
      <c r="L2340" s="9"/>
      <c r="M2340" s="9"/>
      <c r="N2340" s="9"/>
      <c r="O2340" s="9"/>
      <c r="P2340" s="9"/>
      <c r="Q2340" s="9"/>
      <c r="R2340" s="9"/>
      <c r="S2340" s="9"/>
      <c r="T2340" s="9"/>
      <c r="U2340" s="9"/>
      <c r="V2340" s="9"/>
      <c r="W2340" s="9"/>
      <c r="X2340" s="9"/>
      <c r="Y2340" s="9"/>
      <c r="Z2340" s="9"/>
      <c r="AA2340" s="9"/>
      <c r="AB2340" s="9"/>
      <c r="AC2340" s="9"/>
      <c r="AD2340" s="9"/>
      <c r="AE2340" s="9"/>
      <c r="AF2340" s="9"/>
      <c r="AG2340" s="9"/>
      <c r="AH2340" s="9"/>
      <c r="AI2340" s="9"/>
      <c r="AJ2340" s="9"/>
      <c r="AK2340" s="9"/>
      <c r="AL2340" s="9"/>
      <c r="AM2340" s="9"/>
      <c r="AN2340" s="9"/>
      <c r="AO2340" s="9"/>
      <c r="AP2340" s="9"/>
      <c r="AQ2340" s="9"/>
      <c r="AR2340" s="9"/>
      <c r="AS2340" s="9"/>
      <c r="AT2340" s="9"/>
      <c r="AU2340" s="9"/>
    </row>
    <row r="2341" spans="1:47" ht="15.75" customHeight="1">
      <c r="A2341" s="9"/>
      <c r="B2341" s="9"/>
      <c r="C2341" s="9"/>
      <c r="D2341" s="9"/>
      <c r="E2341" s="9"/>
      <c r="F2341" s="67"/>
      <c r="G2341" s="9"/>
      <c r="H2341" s="9"/>
      <c r="I2341" s="9"/>
      <c r="J2341" s="9"/>
      <c r="K2341" s="9"/>
      <c r="L2341" s="9"/>
      <c r="M2341" s="9"/>
      <c r="N2341" s="9"/>
      <c r="O2341" s="9"/>
      <c r="P2341" s="9"/>
      <c r="Q2341" s="9"/>
      <c r="R2341" s="9"/>
      <c r="S2341" s="9"/>
      <c r="T2341" s="9"/>
      <c r="U2341" s="9"/>
      <c r="V2341" s="9"/>
      <c r="W2341" s="9"/>
      <c r="X2341" s="9"/>
      <c r="Y2341" s="9"/>
      <c r="Z2341" s="9"/>
      <c r="AA2341" s="9"/>
      <c r="AB2341" s="9"/>
      <c r="AC2341" s="9"/>
      <c r="AD2341" s="9"/>
      <c r="AE2341" s="9"/>
      <c r="AF2341" s="9"/>
      <c r="AG2341" s="9"/>
      <c r="AH2341" s="9"/>
      <c r="AI2341" s="9"/>
      <c r="AJ2341" s="9"/>
      <c r="AK2341" s="9"/>
      <c r="AL2341" s="9"/>
      <c r="AM2341" s="9"/>
      <c r="AN2341" s="9"/>
      <c r="AO2341" s="9"/>
      <c r="AP2341" s="9"/>
      <c r="AQ2341" s="9"/>
      <c r="AR2341" s="9"/>
      <c r="AS2341" s="9"/>
      <c r="AT2341" s="9"/>
      <c r="AU2341" s="9"/>
    </row>
    <row r="2342" spans="1:47" ht="15.75" customHeight="1">
      <c r="A2342" s="9"/>
      <c r="B2342" s="9"/>
      <c r="C2342" s="9"/>
      <c r="D2342" s="9"/>
      <c r="E2342" s="9"/>
      <c r="F2342" s="67"/>
      <c r="G2342" s="9"/>
      <c r="H2342" s="9"/>
      <c r="I2342" s="9"/>
      <c r="J2342" s="9"/>
      <c r="K2342" s="9"/>
      <c r="L2342" s="9"/>
      <c r="M2342" s="9"/>
      <c r="N2342" s="9"/>
      <c r="O2342" s="9"/>
      <c r="P2342" s="9"/>
      <c r="Q2342" s="9"/>
      <c r="R2342" s="9"/>
      <c r="S2342" s="9"/>
      <c r="T2342" s="9"/>
      <c r="U2342" s="9"/>
      <c r="V2342" s="9"/>
      <c r="W2342" s="9"/>
      <c r="X2342" s="9"/>
      <c r="Y2342" s="9"/>
      <c r="Z2342" s="9"/>
      <c r="AA2342" s="9"/>
      <c r="AB2342" s="9"/>
      <c r="AC2342" s="9"/>
      <c r="AD2342" s="9"/>
      <c r="AE2342" s="9"/>
      <c r="AF2342" s="9"/>
      <c r="AG2342" s="9"/>
      <c r="AH2342" s="9"/>
      <c r="AI2342" s="9"/>
      <c r="AJ2342" s="9"/>
      <c r="AK2342" s="9"/>
      <c r="AL2342" s="9"/>
      <c r="AM2342" s="9"/>
      <c r="AN2342" s="9"/>
      <c r="AO2342" s="9"/>
      <c r="AP2342" s="9"/>
      <c r="AQ2342" s="9"/>
      <c r="AR2342" s="9"/>
      <c r="AS2342" s="9"/>
      <c r="AT2342" s="9"/>
      <c r="AU2342" s="9"/>
    </row>
    <row r="2343" spans="1:47" ht="15.75" customHeight="1">
      <c r="A2343" s="9"/>
      <c r="B2343" s="9"/>
      <c r="C2343" s="9"/>
      <c r="D2343" s="9"/>
      <c r="E2343" s="9"/>
      <c r="F2343" s="67"/>
      <c r="G2343" s="9"/>
      <c r="H2343" s="9"/>
      <c r="I2343" s="9"/>
      <c r="J2343" s="9"/>
      <c r="K2343" s="9"/>
      <c r="L2343" s="9"/>
      <c r="M2343" s="9"/>
      <c r="N2343" s="9"/>
      <c r="O2343" s="9"/>
      <c r="P2343" s="9"/>
      <c r="Q2343" s="9"/>
      <c r="R2343" s="9"/>
      <c r="S2343" s="9"/>
      <c r="T2343" s="9"/>
      <c r="U2343" s="9"/>
      <c r="V2343" s="9"/>
      <c r="W2343" s="9"/>
      <c r="X2343" s="9"/>
      <c r="Y2343" s="9"/>
      <c r="Z2343" s="9"/>
      <c r="AA2343" s="9"/>
      <c r="AB2343" s="9"/>
      <c r="AC2343" s="9"/>
      <c r="AD2343" s="9"/>
      <c r="AE2343" s="9"/>
      <c r="AF2343" s="9"/>
      <c r="AG2343" s="9"/>
      <c r="AH2343" s="9"/>
      <c r="AI2343" s="9"/>
      <c r="AJ2343" s="9"/>
      <c r="AK2343" s="9"/>
      <c r="AL2343" s="9"/>
      <c r="AM2343" s="9"/>
      <c r="AN2343" s="9"/>
      <c r="AO2343" s="9"/>
      <c r="AP2343" s="9"/>
      <c r="AQ2343" s="9"/>
      <c r="AR2343" s="9"/>
      <c r="AS2343" s="9"/>
      <c r="AT2343" s="9"/>
      <c r="AU2343" s="9"/>
    </row>
    <row r="2344" spans="1:47" ht="15.75" customHeight="1">
      <c r="A2344" s="9"/>
      <c r="B2344" s="9"/>
      <c r="C2344" s="9"/>
      <c r="D2344" s="9"/>
      <c r="E2344" s="9"/>
      <c r="F2344" s="67"/>
      <c r="G2344" s="9"/>
      <c r="H2344" s="9"/>
      <c r="I2344" s="9"/>
      <c r="J2344" s="9"/>
      <c r="K2344" s="9"/>
      <c r="L2344" s="9"/>
      <c r="M2344" s="9"/>
      <c r="N2344" s="9"/>
      <c r="O2344" s="9"/>
      <c r="P2344" s="9"/>
      <c r="Q2344" s="9"/>
      <c r="R2344" s="9"/>
      <c r="S2344" s="9"/>
      <c r="T2344" s="9"/>
      <c r="U2344" s="9"/>
      <c r="V2344" s="9"/>
      <c r="W2344" s="9"/>
      <c r="X2344" s="9"/>
      <c r="Y2344" s="9"/>
      <c r="Z2344" s="9"/>
      <c r="AA2344" s="9"/>
      <c r="AB2344" s="9"/>
      <c r="AC2344" s="9"/>
      <c r="AD2344" s="9"/>
      <c r="AE2344" s="9"/>
      <c r="AF2344" s="9"/>
      <c r="AG2344" s="9"/>
      <c r="AH2344" s="9"/>
      <c r="AI2344" s="9"/>
      <c r="AJ2344" s="9"/>
      <c r="AK2344" s="9"/>
      <c r="AL2344" s="9"/>
      <c r="AM2344" s="9"/>
      <c r="AN2344" s="9"/>
      <c r="AO2344" s="9"/>
      <c r="AP2344" s="9"/>
      <c r="AQ2344" s="9"/>
      <c r="AR2344" s="9"/>
      <c r="AS2344" s="9"/>
      <c r="AT2344" s="9"/>
      <c r="AU2344" s="9"/>
    </row>
    <row r="2345" spans="1:47" ht="15.75" customHeight="1">
      <c r="A2345" s="9"/>
      <c r="B2345" s="9"/>
      <c r="C2345" s="9"/>
      <c r="D2345" s="9"/>
      <c r="E2345" s="9"/>
      <c r="F2345" s="67"/>
      <c r="G2345" s="9"/>
      <c r="H2345" s="9"/>
      <c r="I2345" s="9"/>
      <c r="J2345" s="9"/>
      <c r="K2345" s="9"/>
      <c r="L2345" s="9"/>
      <c r="M2345" s="9"/>
      <c r="N2345" s="9"/>
      <c r="O2345" s="9"/>
      <c r="P2345" s="9"/>
      <c r="Q2345" s="9"/>
      <c r="R2345" s="9"/>
      <c r="S2345" s="9"/>
      <c r="T2345" s="9"/>
      <c r="U2345" s="9"/>
      <c r="V2345" s="9"/>
      <c r="W2345" s="9"/>
      <c r="X2345" s="9"/>
      <c r="Y2345" s="9"/>
      <c r="Z2345" s="9"/>
      <c r="AA2345" s="9"/>
      <c r="AB2345" s="9"/>
      <c r="AC2345" s="9"/>
      <c r="AD2345" s="9"/>
      <c r="AE2345" s="9"/>
      <c r="AF2345" s="9"/>
      <c r="AG2345" s="9"/>
      <c r="AH2345" s="9"/>
      <c r="AI2345" s="9"/>
      <c r="AJ2345" s="9"/>
      <c r="AK2345" s="9"/>
      <c r="AL2345" s="9"/>
      <c r="AM2345" s="9"/>
      <c r="AN2345" s="9"/>
      <c r="AO2345" s="9"/>
      <c r="AP2345" s="9"/>
      <c r="AQ2345" s="9"/>
      <c r="AR2345" s="9"/>
      <c r="AS2345" s="9"/>
      <c r="AT2345" s="9"/>
      <c r="AU2345" s="9"/>
    </row>
    <row r="2346" spans="1:47" ht="15.75" customHeight="1">
      <c r="A2346" s="9"/>
      <c r="B2346" s="9"/>
      <c r="C2346" s="9"/>
      <c r="D2346" s="9"/>
      <c r="E2346" s="9"/>
      <c r="F2346" s="67"/>
      <c r="G2346" s="9"/>
      <c r="H2346" s="9"/>
      <c r="I2346" s="9"/>
      <c r="J2346" s="9"/>
      <c r="K2346" s="9"/>
      <c r="L2346" s="9"/>
      <c r="M2346" s="9"/>
      <c r="N2346" s="9"/>
      <c r="O2346" s="9"/>
      <c r="P2346" s="9"/>
      <c r="Q2346" s="9"/>
      <c r="R2346" s="9"/>
      <c r="S2346" s="9"/>
      <c r="T2346" s="9"/>
      <c r="U2346" s="9"/>
      <c r="V2346" s="9"/>
      <c r="W2346" s="9"/>
      <c r="X2346" s="9"/>
      <c r="Y2346" s="9"/>
      <c r="Z2346" s="9"/>
      <c r="AA2346" s="9"/>
      <c r="AB2346" s="9"/>
      <c r="AC2346" s="9"/>
      <c r="AD2346" s="9"/>
      <c r="AE2346" s="9"/>
      <c r="AF2346" s="9"/>
      <c r="AG2346" s="9"/>
      <c r="AH2346" s="9"/>
      <c r="AI2346" s="9"/>
      <c r="AJ2346" s="9"/>
      <c r="AK2346" s="9"/>
      <c r="AL2346" s="9"/>
      <c r="AM2346" s="9"/>
      <c r="AN2346" s="9"/>
      <c r="AO2346" s="9"/>
      <c r="AP2346" s="9"/>
      <c r="AQ2346" s="9"/>
      <c r="AR2346" s="9"/>
      <c r="AS2346" s="9"/>
      <c r="AT2346" s="9"/>
      <c r="AU2346" s="9"/>
    </row>
    <row r="2347" spans="1:47" ht="15.75" customHeight="1">
      <c r="A2347" s="9"/>
      <c r="B2347" s="9"/>
      <c r="C2347" s="9"/>
      <c r="D2347" s="9"/>
      <c r="E2347" s="9"/>
      <c r="F2347" s="67"/>
      <c r="G2347" s="9"/>
      <c r="H2347" s="9"/>
      <c r="I2347" s="9"/>
      <c r="J2347" s="9"/>
      <c r="K2347" s="9"/>
      <c r="L2347" s="9"/>
      <c r="M2347" s="9"/>
      <c r="N2347" s="9"/>
      <c r="O2347" s="9"/>
      <c r="P2347" s="9"/>
      <c r="Q2347" s="9"/>
      <c r="R2347" s="9"/>
      <c r="S2347" s="9"/>
      <c r="T2347" s="9"/>
      <c r="U2347" s="9"/>
      <c r="V2347" s="9"/>
      <c r="W2347" s="9"/>
      <c r="X2347" s="9"/>
      <c r="Y2347" s="9"/>
      <c r="Z2347" s="9"/>
      <c r="AA2347" s="9"/>
      <c r="AB2347" s="9"/>
      <c r="AC2347" s="9"/>
      <c r="AD2347" s="9"/>
      <c r="AE2347" s="9"/>
      <c r="AF2347" s="9"/>
      <c r="AG2347" s="9"/>
      <c r="AH2347" s="9"/>
      <c r="AI2347" s="9"/>
      <c r="AJ2347" s="9"/>
      <c r="AK2347" s="9"/>
      <c r="AL2347" s="9"/>
      <c r="AM2347" s="9"/>
      <c r="AN2347" s="9"/>
      <c r="AO2347" s="9"/>
      <c r="AP2347" s="9"/>
      <c r="AQ2347" s="9"/>
      <c r="AR2347" s="9"/>
      <c r="AS2347" s="9"/>
      <c r="AT2347" s="9"/>
      <c r="AU2347" s="9"/>
    </row>
    <row r="2348" spans="1:47" ht="15.75" customHeight="1">
      <c r="A2348" s="9"/>
      <c r="B2348" s="9"/>
      <c r="C2348" s="9"/>
      <c r="D2348" s="9"/>
      <c r="E2348" s="9"/>
      <c r="F2348" s="67"/>
      <c r="G2348" s="9"/>
      <c r="H2348" s="9"/>
      <c r="I2348" s="9"/>
      <c r="J2348" s="9"/>
      <c r="K2348" s="9"/>
      <c r="L2348" s="9"/>
      <c r="M2348" s="9"/>
      <c r="N2348" s="9"/>
      <c r="O2348" s="9"/>
      <c r="P2348" s="9"/>
      <c r="Q2348" s="9"/>
      <c r="R2348" s="9"/>
      <c r="S2348" s="9"/>
      <c r="T2348" s="9"/>
      <c r="U2348" s="9"/>
      <c r="V2348" s="9"/>
      <c r="W2348" s="9"/>
      <c r="X2348" s="9"/>
      <c r="Y2348" s="9"/>
      <c r="Z2348" s="9"/>
      <c r="AA2348" s="9"/>
      <c r="AB2348" s="9"/>
      <c r="AC2348" s="9"/>
      <c r="AD2348" s="9"/>
      <c r="AE2348" s="9"/>
      <c r="AF2348" s="9"/>
      <c r="AG2348" s="9"/>
      <c r="AH2348" s="9"/>
      <c r="AI2348" s="9"/>
      <c r="AJ2348" s="9"/>
      <c r="AK2348" s="9"/>
      <c r="AL2348" s="9"/>
      <c r="AM2348" s="9"/>
      <c r="AN2348" s="9"/>
      <c r="AO2348" s="9"/>
      <c r="AP2348" s="9"/>
      <c r="AQ2348" s="9"/>
      <c r="AR2348" s="9"/>
      <c r="AS2348" s="9"/>
      <c r="AT2348" s="9"/>
      <c r="AU2348" s="9"/>
    </row>
    <row r="2349" spans="1:47" ht="15.75" customHeight="1">
      <c r="A2349" s="9"/>
      <c r="B2349" s="9"/>
      <c r="C2349" s="9"/>
      <c r="D2349" s="9"/>
      <c r="E2349" s="9"/>
      <c r="F2349" s="67"/>
      <c r="G2349" s="9"/>
      <c r="H2349" s="9"/>
      <c r="I2349" s="9"/>
      <c r="J2349" s="9"/>
      <c r="K2349" s="9"/>
      <c r="L2349" s="9"/>
      <c r="M2349" s="9"/>
      <c r="N2349" s="9"/>
      <c r="O2349" s="9"/>
      <c r="P2349" s="9"/>
      <c r="Q2349" s="9"/>
      <c r="R2349" s="9"/>
      <c r="S2349" s="9"/>
      <c r="T2349" s="9"/>
      <c r="U2349" s="9"/>
      <c r="V2349" s="9"/>
      <c r="W2349" s="9"/>
      <c r="X2349" s="9"/>
      <c r="Y2349" s="9"/>
      <c r="Z2349" s="9"/>
      <c r="AA2349" s="9"/>
      <c r="AB2349" s="9"/>
      <c r="AC2349" s="9"/>
      <c r="AD2349" s="9"/>
      <c r="AE2349" s="9"/>
      <c r="AF2349" s="9"/>
      <c r="AG2349" s="9"/>
      <c r="AH2349" s="9"/>
      <c r="AI2349" s="9"/>
      <c r="AJ2349" s="9"/>
      <c r="AK2349" s="9"/>
      <c r="AL2349" s="9"/>
      <c r="AM2349" s="9"/>
      <c r="AN2349" s="9"/>
      <c r="AO2349" s="9"/>
      <c r="AP2349" s="9"/>
      <c r="AQ2349" s="9"/>
      <c r="AR2349" s="9"/>
      <c r="AS2349" s="9"/>
      <c r="AT2349" s="9"/>
      <c r="AU2349" s="9"/>
    </row>
    <row r="2350" spans="1:47" ht="15.75" customHeight="1">
      <c r="A2350" s="9"/>
      <c r="B2350" s="9"/>
      <c r="C2350" s="9"/>
      <c r="D2350" s="9"/>
      <c r="E2350" s="9"/>
      <c r="F2350" s="67"/>
      <c r="G2350" s="9"/>
      <c r="H2350" s="9"/>
      <c r="I2350" s="9"/>
      <c r="J2350" s="9"/>
      <c r="K2350" s="9"/>
      <c r="L2350" s="9"/>
      <c r="M2350" s="9"/>
      <c r="N2350" s="9"/>
      <c r="O2350" s="9"/>
      <c r="P2350" s="9"/>
      <c r="Q2350" s="9"/>
      <c r="R2350" s="9"/>
      <c r="S2350" s="9"/>
      <c r="T2350" s="9"/>
      <c r="U2350" s="9"/>
      <c r="V2350" s="9"/>
      <c r="W2350" s="9"/>
      <c r="X2350" s="9"/>
      <c r="Y2350" s="9"/>
      <c r="Z2350" s="9"/>
      <c r="AA2350" s="9"/>
      <c r="AB2350" s="9"/>
      <c r="AC2350" s="9"/>
      <c r="AD2350" s="9"/>
      <c r="AE2350" s="9"/>
      <c r="AF2350" s="9"/>
      <c r="AG2350" s="9"/>
      <c r="AH2350" s="9"/>
      <c r="AI2350" s="9"/>
      <c r="AJ2350" s="9"/>
      <c r="AK2350" s="9"/>
      <c r="AL2350" s="9"/>
      <c r="AM2350" s="9"/>
      <c r="AN2350" s="9"/>
      <c r="AO2350" s="9"/>
      <c r="AP2350" s="9"/>
      <c r="AQ2350" s="9"/>
      <c r="AR2350" s="9"/>
      <c r="AS2350" s="9"/>
      <c r="AT2350" s="9"/>
      <c r="AU2350" s="9"/>
    </row>
    <row r="2351" spans="1:47" ht="15.75" customHeight="1">
      <c r="A2351" s="9"/>
      <c r="B2351" s="9"/>
      <c r="C2351" s="9"/>
      <c r="D2351" s="9"/>
      <c r="E2351" s="9"/>
      <c r="F2351" s="67"/>
      <c r="G2351" s="9"/>
      <c r="H2351" s="9"/>
      <c r="I2351" s="9"/>
      <c r="J2351" s="9"/>
      <c r="K2351" s="9"/>
      <c r="L2351" s="9"/>
      <c r="M2351" s="9"/>
      <c r="N2351" s="9"/>
      <c r="O2351" s="9"/>
      <c r="P2351" s="9"/>
      <c r="Q2351" s="9"/>
      <c r="R2351" s="9"/>
      <c r="S2351" s="9"/>
      <c r="T2351" s="9"/>
      <c r="U2351" s="9"/>
      <c r="V2351" s="9"/>
      <c r="W2351" s="9"/>
      <c r="X2351" s="9"/>
      <c r="Y2351" s="9"/>
      <c r="Z2351" s="9"/>
      <c r="AA2351" s="9"/>
      <c r="AB2351" s="9"/>
      <c r="AC2351" s="9"/>
      <c r="AD2351" s="9"/>
      <c r="AE2351" s="9"/>
      <c r="AF2351" s="9"/>
      <c r="AG2351" s="9"/>
      <c r="AH2351" s="9"/>
      <c r="AI2351" s="9"/>
      <c r="AJ2351" s="9"/>
      <c r="AK2351" s="9"/>
      <c r="AL2351" s="9"/>
      <c r="AM2351" s="9"/>
      <c r="AN2351" s="9"/>
      <c r="AO2351" s="9"/>
      <c r="AP2351" s="9"/>
      <c r="AQ2351" s="9"/>
      <c r="AR2351" s="9"/>
      <c r="AS2351" s="9"/>
      <c r="AT2351" s="9"/>
      <c r="AU2351" s="9"/>
    </row>
    <row r="2352" spans="1:47" ht="15.75" customHeight="1">
      <c r="A2352" s="9"/>
      <c r="B2352" s="9"/>
      <c r="C2352" s="9"/>
      <c r="D2352" s="9"/>
      <c r="E2352" s="9"/>
      <c r="F2352" s="67"/>
      <c r="G2352" s="9"/>
      <c r="H2352" s="9"/>
      <c r="I2352" s="9"/>
      <c r="J2352" s="9"/>
      <c r="K2352" s="9"/>
      <c r="L2352" s="9"/>
      <c r="M2352" s="9"/>
      <c r="N2352" s="9"/>
      <c r="O2352" s="9"/>
      <c r="P2352" s="9"/>
      <c r="Q2352" s="9"/>
      <c r="R2352" s="9"/>
      <c r="S2352" s="9"/>
      <c r="T2352" s="9"/>
      <c r="U2352" s="9"/>
      <c r="V2352" s="9"/>
      <c r="W2352" s="9"/>
      <c r="X2352" s="9"/>
      <c r="Y2352" s="9"/>
      <c r="Z2352" s="9"/>
      <c r="AA2352" s="9"/>
      <c r="AB2352" s="9"/>
      <c r="AC2352" s="9"/>
      <c r="AD2352" s="9"/>
      <c r="AE2352" s="9"/>
      <c r="AF2352" s="9"/>
      <c r="AG2352" s="9"/>
      <c r="AH2352" s="9"/>
      <c r="AI2352" s="9"/>
      <c r="AJ2352" s="9"/>
      <c r="AK2352" s="9"/>
      <c r="AL2352" s="9"/>
      <c r="AM2352" s="9"/>
      <c r="AN2352" s="9"/>
      <c r="AO2352" s="9"/>
      <c r="AP2352" s="9"/>
      <c r="AQ2352" s="9"/>
      <c r="AR2352" s="9"/>
      <c r="AS2352" s="9"/>
      <c r="AT2352" s="9"/>
      <c r="AU2352" s="9"/>
    </row>
    <row r="2353" spans="1:47" ht="15.75" customHeight="1">
      <c r="A2353" s="9"/>
      <c r="B2353" s="9"/>
      <c r="C2353" s="9"/>
      <c r="D2353" s="9"/>
      <c r="E2353" s="9"/>
      <c r="F2353" s="67"/>
      <c r="G2353" s="9"/>
      <c r="H2353" s="9"/>
      <c r="I2353" s="9"/>
      <c r="J2353" s="9"/>
      <c r="K2353" s="9"/>
      <c r="L2353" s="9"/>
      <c r="M2353" s="9"/>
      <c r="N2353" s="9"/>
      <c r="O2353" s="9"/>
      <c r="P2353" s="9"/>
      <c r="Q2353" s="9"/>
      <c r="R2353" s="9"/>
      <c r="S2353" s="9"/>
      <c r="T2353" s="9"/>
      <c r="U2353" s="9"/>
      <c r="V2353" s="9"/>
      <c r="W2353" s="9"/>
      <c r="X2353" s="9"/>
      <c r="Y2353" s="9"/>
      <c r="Z2353" s="9"/>
      <c r="AA2353" s="9"/>
      <c r="AB2353" s="9"/>
      <c r="AC2353" s="9"/>
      <c r="AD2353" s="9"/>
      <c r="AE2353" s="9"/>
      <c r="AF2353" s="9"/>
      <c r="AG2353" s="9"/>
      <c r="AH2353" s="9"/>
      <c r="AI2353" s="9"/>
      <c r="AJ2353" s="9"/>
      <c r="AK2353" s="9"/>
      <c r="AL2353" s="9"/>
      <c r="AM2353" s="9"/>
      <c r="AN2353" s="9"/>
      <c r="AO2353" s="9"/>
      <c r="AP2353" s="9"/>
      <c r="AQ2353" s="9"/>
      <c r="AR2353" s="9"/>
      <c r="AS2353" s="9"/>
      <c r="AT2353" s="9"/>
      <c r="AU2353" s="9"/>
    </row>
    <row r="2354" spans="1:47" ht="15.75" customHeight="1">
      <c r="A2354" s="9"/>
      <c r="B2354" s="9"/>
      <c r="C2354" s="9"/>
      <c r="D2354" s="9"/>
      <c r="E2354" s="9"/>
      <c r="F2354" s="67"/>
      <c r="G2354" s="9"/>
      <c r="H2354" s="9"/>
      <c r="I2354" s="9"/>
      <c r="J2354" s="9"/>
      <c r="K2354" s="9"/>
      <c r="L2354" s="9"/>
      <c r="M2354" s="9"/>
      <c r="N2354" s="9"/>
      <c r="O2354" s="9"/>
      <c r="P2354" s="9"/>
      <c r="Q2354" s="9"/>
      <c r="R2354" s="9"/>
      <c r="S2354" s="9"/>
      <c r="T2354" s="9"/>
      <c r="U2354" s="9"/>
      <c r="V2354" s="9"/>
      <c r="W2354" s="9"/>
      <c r="X2354" s="9"/>
      <c r="Y2354" s="9"/>
      <c r="Z2354" s="9"/>
      <c r="AA2354" s="9"/>
      <c r="AB2354" s="9"/>
      <c r="AC2354" s="9"/>
      <c r="AD2354" s="9"/>
      <c r="AE2354" s="9"/>
      <c r="AF2354" s="9"/>
      <c r="AG2354" s="9"/>
      <c r="AH2354" s="9"/>
      <c r="AI2354" s="9"/>
      <c r="AJ2354" s="9"/>
      <c r="AK2354" s="9"/>
      <c r="AL2354" s="9"/>
      <c r="AM2354" s="9"/>
      <c r="AN2354" s="9"/>
      <c r="AO2354" s="9"/>
      <c r="AP2354" s="9"/>
      <c r="AQ2354" s="9"/>
      <c r="AR2354" s="9"/>
      <c r="AS2354" s="9"/>
      <c r="AT2354" s="9"/>
      <c r="AU2354" s="9"/>
    </row>
    <row r="2355" spans="1:47" ht="15.75" customHeight="1">
      <c r="A2355" s="9"/>
      <c r="B2355" s="9"/>
      <c r="C2355" s="9"/>
      <c r="D2355" s="9"/>
      <c r="E2355" s="9"/>
      <c r="F2355" s="67"/>
      <c r="G2355" s="9"/>
      <c r="H2355" s="9"/>
      <c r="I2355" s="9"/>
      <c r="J2355" s="9"/>
      <c r="K2355" s="9"/>
      <c r="L2355" s="9"/>
      <c r="M2355" s="9"/>
      <c r="N2355" s="9"/>
      <c r="O2355" s="9"/>
      <c r="P2355" s="9"/>
      <c r="Q2355" s="9"/>
      <c r="R2355" s="9"/>
      <c r="S2355" s="9"/>
      <c r="T2355" s="9"/>
      <c r="U2355" s="9"/>
      <c r="V2355" s="9"/>
      <c r="W2355" s="9"/>
      <c r="X2355" s="9"/>
      <c r="Y2355" s="9"/>
      <c r="Z2355" s="9"/>
      <c r="AA2355" s="9"/>
      <c r="AB2355" s="9"/>
      <c r="AC2355" s="9"/>
      <c r="AD2355" s="9"/>
      <c r="AE2355" s="9"/>
      <c r="AF2355" s="9"/>
      <c r="AG2355" s="9"/>
      <c r="AH2355" s="9"/>
      <c r="AI2355" s="9"/>
      <c r="AJ2355" s="9"/>
      <c r="AK2355" s="9"/>
      <c r="AL2355" s="9"/>
      <c r="AM2355" s="9"/>
      <c r="AN2355" s="9"/>
      <c r="AO2355" s="9"/>
      <c r="AP2355" s="9"/>
      <c r="AQ2355" s="9"/>
      <c r="AR2355" s="9"/>
      <c r="AS2355" s="9"/>
      <c r="AT2355" s="9"/>
      <c r="AU2355" s="9"/>
    </row>
    <row r="2356" spans="1:47" ht="15.75" customHeight="1">
      <c r="A2356" s="9"/>
      <c r="B2356" s="9"/>
      <c r="C2356" s="9"/>
      <c r="D2356" s="9"/>
      <c r="E2356" s="9"/>
      <c r="F2356" s="67"/>
      <c r="G2356" s="9"/>
      <c r="H2356" s="9"/>
      <c r="I2356" s="9"/>
      <c r="J2356" s="9"/>
      <c r="K2356" s="9"/>
      <c r="L2356" s="9"/>
      <c r="M2356" s="9"/>
      <c r="N2356" s="9"/>
      <c r="O2356" s="9"/>
      <c r="P2356" s="9"/>
      <c r="Q2356" s="9"/>
      <c r="R2356" s="9"/>
      <c r="S2356" s="9"/>
      <c r="T2356" s="9"/>
      <c r="U2356" s="9"/>
      <c r="V2356" s="9"/>
      <c r="W2356" s="9"/>
      <c r="X2356" s="9"/>
      <c r="Y2356" s="9"/>
      <c r="Z2356" s="9"/>
      <c r="AA2356" s="9"/>
      <c r="AB2356" s="9"/>
      <c r="AC2356" s="9"/>
      <c r="AD2356" s="9"/>
      <c r="AE2356" s="9"/>
      <c r="AF2356" s="9"/>
      <c r="AG2356" s="9"/>
      <c r="AH2356" s="9"/>
      <c r="AI2356" s="9"/>
      <c r="AJ2356" s="9"/>
      <c r="AK2356" s="9"/>
      <c r="AL2356" s="9"/>
      <c r="AM2356" s="9"/>
      <c r="AN2356" s="9"/>
      <c r="AO2356" s="9"/>
      <c r="AP2356" s="9"/>
      <c r="AQ2356" s="9"/>
      <c r="AR2356" s="9"/>
      <c r="AS2356" s="9"/>
      <c r="AT2356" s="9"/>
      <c r="AU2356" s="9"/>
    </row>
    <row r="2357" spans="1:47" ht="15.75" customHeight="1">
      <c r="A2357" s="9"/>
      <c r="B2357" s="9"/>
      <c r="C2357" s="9"/>
      <c r="D2357" s="9"/>
      <c r="E2357" s="9"/>
      <c r="F2357" s="67"/>
      <c r="G2357" s="9"/>
      <c r="H2357" s="9"/>
      <c r="I2357" s="9"/>
      <c r="J2357" s="9"/>
      <c r="K2357" s="9"/>
      <c r="L2357" s="9"/>
      <c r="M2357" s="9"/>
      <c r="N2357" s="9"/>
      <c r="O2357" s="9"/>
      <c r="P2357" s="9"/>
      <c r="Q2357" s="9"/>
      <c r="R2357" s="9"/>
      <c r="S2357" s="9"/>
      <c r="T2357" s="9"/>
      <c r="U2357" s="9"/>
      <c r="V2357" s="9"/>
      <c r="W2357" s="9"/>
      <c r="X2357" s="9"/>
      <c r="Y2357" s="9"/>
      <c r="Z2357" s="9"/>
      <c r="AA2357" s="9"/>
      <c r="AB2357" s="9"/>
      <c r="AC2357" s="9"/>
      <c r="AD2357" s="9"/>
      <c r="AE2357" s="9"/>
      <c r="AF2357" s="9"/>
      <c r="AG2357" s="9"/>
      <c r="AH2357" s="9"/>
      <c r="AI2357" s="9"/>
      <c r="AJ2357" s="9"/>
      <c r="AK2357" s="9"/>
      <c r="AL2357" s="9"/>
      <c r="AM2357" s="9"/>
      <c r="AN2357" s="9"/>
      <c r="AO2357" s="9"/>
      <c r="AP2357" s="9"/>
      <c r="AQ2357" s="9"/>
      <c r="AR2357" s="9"/>
      <c r="AS2357" s="9"/>
      <c r="AT2357" s="9"/>
      <c r="AU2357" s="9"/>
    </row>
    <row r="2358" spans="1:47" ht="15.75" customHeight="1">
      <c r="A2358" s="9"/>
      <c r="B2358" s="9"/>
      <c r="C2358" s="9"/>
      <c r="D2358" s="9"/>
      <c r="E2358" s="9"/>
      <c r="F2358" s="67"/>
      <c r="G2358" s="9"/>
      <c r="H2358" s="9"/>
      <c r="I2358" s="9"/>
      <c r="J2358" s="9"/>
      <c r="K2358" s="9"/>
      <c r="L2358" s="9"/>
      <c r="M2358" s="9"/>
      <c r="N2358" s="9"/>
      <c r="O2358" s="9"/>
      <c r="P2358" s="9"/>
      <c r="Q2358" s="9"/>
      <c r="R2358" s="9"/>
      <c r="S2358" s="9"/>
      <c r="T2358" s="9"/>
      <c r="U2358" s="9"/>
      <c r="V2358" s="9"/>
      <c r="W2358" s="9"/>
      <c r="X2358" s="9"/>
      <c r="Y2358" s="9"/>
      <c r="Z2358" s="9"/>
      <c r="AA2358" s="9"/>
      <c r="AB2358" s="9"/>
      <c r="AC2358" s="9"/>
      <c r="AD2358" s="9"/>
      <c r="AE2358" s="9"/>
      <c r="AF2358" s="9"/>
      <c r="AG2358" s="9"/>
      <c r="AH2358" s="9"/>
      <c r="AI2358" s="9"/>
      <c r="AJ2358" s="9"/>
      <c r="AK2358" s="9"/>
      <c r="AL2358" s="9"/>
      <c r="AM2358" s="9"/>
      <c r="AN2358" s="9"/>
      <c r="AO2358" s="9"/>
      <c r="AP2358" s="9"/>
      <c r="AQ2358" s="9"/>
      <c r="AR2358" s="9"/>
      <c r="AS2358" s="9"/>
      <c r="AT2358" s="9"/>
      <c r="AU2358" s="9"/>
    </row>
    <row r="2359" spans="1:47" ht="15.75" customHeight="1">
      <c r="A2359" s="9"/>
      <c r="B2359" s="9"/>
      <c r="C2359" s="9"/>
      <c r="D2359" s="9"/>
      <c r="E2359" s="9"/>
      <c r="F2359" s="67"/>
      <c r="G2359" s="9"/>
      <c r="H2359" s="9"/>
      <c r="I2359" s="9"/>
      <c r="J2359" s="9"/>
      <c r="K2359" s="9"/>
      <c r="L2359" s="9"/>
      <c r="M2359" s="9"/>
      <c r="N2359" s="9"/>
      <c r="O2359" s="9"/>
      <c r="P2359" s="9"/>
      <c r="Q2359" s="9"/>
      <c r="R2359" s="9"/>
      <c r="S2359" s="9"/>
      <c r="T2359" s="9"/>
      <c r="U2359" s="9"/>
      <c r="V2359" s="9"/>
      <c r="W2359" s="9"/>
      <c r="X2359" s="9"/>
      <c r="Y2359" s="9"/>
      <c r="Z2359" s="9"/>
      <c r="AA2359" s="9"/>
      <c r="AB2359" s="9"/>
      <c r="AC2359" s="9"/>
      <c r="AD2359" s="9"/>
      <c r="AE2359" s="9"/>
      <c r="AF2359" s="9"/>
      <c r="AG2359" s="9"/>
      <c r="AH2359" s="9"/>
      <c r="AI2359" s="9"/>
      <c r="AJ2359" s="9"/>
      <c r="AK2359" s="9"/>
      <c r="AL2359" s="9"/>
      <c r="AM2359" s="9"/>
      <c r="AN2359" s="9"/>
      <c r="AO2359" s="9"/>
      <c r="AP2359" s="9"/>
      <c r="AQ2359" s="9"/>
      <c r="AR2359" s="9"/>
      <c r="AS2359" s="9"/>
      <c r="AT2359" s="9"/>
      <c r="AU2359" s="9"/>
    </row>
    <row r="2360" spans="1:47" ht="15.75" customHeight="1">
      <c r="A2360" s="9"/>
      <c r="B2360" s="9"/>
      <c r="C2360" s="9"/>
      <c r="D2360" s="9"/>
      <c r="E2360" s="9"/>
      <c r="F2360" s="67"/>
      <c r="G2360" s="9"/>
      <c r="H2360" s="9"/>
      <c r="I2360" s="9"/>
      <c r="J2360" s="9"/>
      <c r="K2360" s="9"/>
      <c r="L2360" s="9"/>
      <c r="M2360" s="9"/>
      <c r="N2360" s="9"/>
      <c r="O2360" s="9"/>
      <c r="P2360" s="9"/>
      <c r="Q2360" s="9"/>
      <c r="R2360" s="9"/>
      <c r="S2360" s="9"/>
      <c r="T2360" s="9"/>
      <c r="U2360" s="9"/>
      <c r="V2360" s="9"/>
      <c r="W2360" s="9"/>
      <c r="X2360" s="9"/>
      <c r="Y2360" s="9"/>
      <c r="Z2360" s="9"/>
      <c r="AA2360" s="9"/>
      <c r="AB2360" s="9"/>
      <c r="AC2360" s="9"/>
      <c r="AD2360" s="9"/>
      <c r="AE2360" s="9"/>
      <c r="AF2360" s="9"/>
      <c r="AG2360" s="9"/>
      <c r="AH2360" s="9"/>
      <c r="AI2360" s="9"/>
      <c r="AJ2360" s="9"/>
      <c r="AK2360" s="9"/>
      <c r="AL2360" s="9"/>
      <c r="AM2360" s="9"/>
      <c r="AN2360" s="9"/>
      <c r="AO2360" s="9"/>
      <c r="AP2360" s="9"/>
      <c r="AQ2360" s="9"/>
      <c r="AR2360" s="9"/>
      <c r="AS2360" s="9"/>
      <c r="AT2360" s="9"/>
      <c r="AU2360" s="9"/>
    </row>
    <row r="2361" spans="1:47" ht="15.75" customHeight="1">
      <c r="A2361" s="9"/>
      <c r="B2361" s="9"/>
      <c r="C2361" s="9"/>
      <c r="D2361" s="9"/>
      <c r="E2361" s="9"/>
      <c r="F2361" s="67"/>
      <c r="G2361" s="9"/>
      <c r="H2361" s="9"/>
      <c r="I2361" s="9"/>
      <c r="J2361" s="9"/>
      <c r="K2361" s="9"/>
      <c r="L2361" s="9"/>
      <c r="M2361" s="9"/>
      <c r="N2361" s="9"/>
      <c r="O2361" s="9"/>
      <c r="P2361" s="9"/>
      <c r="Q2361" s="9"/>
      <c r="R2361" s="9"/>
      <c r="S2361" s="9"/>
      <c r="T2361" s="9"/>
      <c r="U2361" s="9"/>
      <c r="V2361" s="9"/>
      <c r="W2361" s="9"/>
      <c r="X2361" s="9"/>
      <c r="Y2361" s="9"/>
      <c r="Z2361" s="9"/>
      <c r="AA2361" s="9"/>
      <c r="AB2361" s="9"/>
      <c r="AC2361" s="9"/>
      <c r="AD2361" s="9"/>
      <c r="AE2361" s="9"/>
      <c r="AF2361" s="9"/>
      <c r="AG2361" s="9"/>
      <c r="AH2361" s="9"/>
      <c r="AI2361" s="9"/>
      <c r="AJ2361" s="9"/>
      <c r="AK2361" s="9"/>
      <c r="AL2361" s="9"/>
      <c r="AM2361" s="9"/>
      <c r="AN2361" s="9"/>
      <c r="AO2361" s="9"/>
      <c r="AP2361" s="9"/>
      <c r="AQ2361" s="9"/>
      <c r="AR2361" s="9"/>
      <c r="AS2361" s="9"/>
      <c r="AT2361" s="9"/>
      <c r="AU2361" s="9"/>
    </row>
    <row r="2362" spans="1:47" ht="15.75" customHeight="1">
      <c r="A2362" s="9"/>
      <c r="B2362" s="9"/>
      <c r="C2362" s="9"/>
      <c r="D2362" s="9"/>
      <c r="E2362" s="9"/>
      <c r="F2362" s="67"/>
      <c r="G2362" s="9"/>
      <c r="H2362" s="9"/>
      <c r="I2362" s="9"/>
      <c r="J2362" s="9"/>
      <c r="K2362" s="9"/>
      <c r="L2362" s="9"/>
      <c r="M2362" s="9"/>
      <c r="N2362" s="9"/>
      <c r="O2362" s="9"/>
      <c r="P2362" s="9"/>
      <c r="Q2362" s="9"/>
      <c r="R2362" s="9"/>
      <c r="S2362" s="9"/>
      <c r="T2362" s="9"/>
      <c r="U2362" s="9"/>
      <c r="V2362" s="9"/>
      <c r="W2362" s="9"/>
      <c r="X2362" s="9"/>
      <c r="Y2362" s="9"/>
      <c r="Z2362" s="9"/>
      <c r="AA2362" s="9"/>
      <c r="AB2362" s="9"/>
      <c r="AC2362" s="9"/>
      <c r="AD2362" s="9"/>
      <c r="AE2362" s="9"/>
      <c r="AF2362" s="9"/>
      <c r="AG2362" s="9"/>
      <c r="AH2362" s="9"/>
      <c r="AI2362" s="9"/>
      <c r="AJ2362" s="9"/>
      <c r="AK2362" s="9"/>
      <c r="AL2362" s="9"/>
      <c r="AM2362" s="9"/>
      <c r="AN2362" s="9"/>
      <c r="AO2362" s="9"/>
      <c r="AP2362" s="9"/>
      <c r="AQ2362" s="9"/>
      <c r="AR2362" s="9"/>
      <c r="AS2362" s="9"/>
      <c r="AT2362" s="9"/>
      <c r="AU2362" s="9"/>
    </row>
    <row r="2363" spans="1:47" ht="15.75" customHeight="1">
      <c r="A2363" s="9"/>
      <c r="B2363" s="9"/>
      <c r="C2363" s="9"/>
      <c r="D2363" s="9"/>
      <c r="E2363" s="9"/>
      <c r="F2363" s="67"/>
      <c r="G2363" s="9"/>
      <c r="H2363" s="9"/>
      <c r="I2363" s="9"/>
      <c r="J2363" s="9"/>
      <c r="K2363" s="9"/>
      <c r="L2363" s="9"/>
      <c r="M2363" s="9"/>
      <c r="N2363" s="9"/>
      <c r="O2363" s="9"/>
      <c r="P2363" s="9"/>
      <c r="Q2363" s="9"/>
      <c r="R2363" s="9"/>
      <c r="S2363" s="9"/>
      <c r="T2363" s="9"/>
      <c r="U2363" s="9"/>
      <c r="V2363" s="9"/>
      <c r="W2363" s="9"/>
      <c r="X2363" s="9"/>
      <c r="Y2363" s="9"/>
      <c r="Z2363" s="9"/>
      <c r="AA2363" s="9"/>
      <c r="AB2363" s="9"/>
      <c r="AC2363" s="9"/>
      <c r="AD2363" s="9"/>
      <c r="AE2363" s="9"/>
      <c r="AF2363" s="9"/>
      <c r="AG2363" s="9"/>
      <c r="AH2363" s="9"/>
      <c r="AI2363" s="9"/>
      <c r="AJ2363" s="9"/>
      <c r="AK2363" s="9"/>
      <c r="AL2363" s="9"/>
      <c r="AM2363" s="9"/>
      <c r="AN2363" s="9"/>
      <c r="AO2363" s="9"/>
      <c r="AP2363" s="9"/>
      <c r="AQ2363" s="9"/>
      <c r="AR2363" s="9"/>
      <c r="AS2363" s="9"/>
      <c r="AT2363" s="9"/>
      <c r="AU2363" s="9"/>
    </row>
    <row r="2364" spans="1:47" ht="15.75" customHeight="1">
      <c r="A2364" s="9"/>
      <c r="B2364" s="9"/>
      <c r="C2364" s="9"/>
      <c r="D2364" s="9"/>
      <c r="E2364" s="9"/>
      <c r="F2364" s="67"/>
      <c r="G2364" s="9"/>
      <c r="H2364" s="9"/>
      <c r="I2364" s="9"/>
      <c r="J2364" s="9"/>
      <c r="K2364" s="9"/>
      <c r="L2364" s="9"/>
      <c r="M2364" s="9"/>
      <c r="N2364" s="9"/>
      <c r="O2364" s="9"/>
      <c r="P2364" s="9"/>
      <c r="Q2364" s="9"/>
      <c r="R2364" s="9"/>
      <c r="S2364" s="9"/>
      <c r="T2364" s="9"/>
      <c r="U2364" s="9"/>
      <c r="V2364" s="9"/>
      <c r="W2364" s="9"/>
      <c r="X2364" s="9"/>
      <c r="Y2364" s="9"/>
      <c r="Z2364" s="9"/>
      <c r="AA2364" s="9"/>
      <c r="AB2364" s="9"/>
      <c r="AC2364" s="9"/>
      <c r="AD2364" s="9"/>
      <c r="AE2364" s="9"/>
      <c r="AF2364" s="9"/>
      <c r="AG2364" s="9"/>
      <c r="AH2364" s="9"/>
      <c r="AI2364" s="9"/>
      <c r="AJ2364" s="9"/>
      <c r="AK2364" s="9"/>
      <c r="AL2364" s="9"/>
      <c r="AM2364" s="9"/>
      <c r="AN2364" s="9"/>
      <c r="AO2364" s="9"/>
      <c r="AP2364" s="9"/>
      <c r="AQ2364" s="9"/>
      <c r="AR2364" s="9"/>
      <c r="AS2364" s="9"/>
      <c r="AT2364" s="9"/>
      <c r="AU2364" s="9"/>
    </row>
    <row r="2365" spans="1:47" ht="15.75" customHeight="1">
      <c r="A2365" s="9"/>
      <c r="B2365" s="9"/>
      <c r="C2365" s="9"/>
      <c r="D2365" s="9"/>
      <c r="E2365" s="9"/>
      <c r="F2365" s="67"/>
      <c r="G2365" s="9"/>
      <c r="H2365" s="9"/>
      <c r="I2365" s="9"/>
      <c r="J2365" s="9"/>
      <c r="K2365" s="9"/>
      <c r="L2365" s="9"/>
      <c r="M2365" s="9"/>
      <c r="N2365" s="9"/>
      <c r="O2365" s="9"/>
      <c r="P2365" s="9"/>
      <c r="Q2365" s="9"/>
      <c r="R2365" s="9"/>
      <c r="S2365" s="9"/>
      <c r="T2365" s="9"/>
      <c r="U2365" s="9"/>
      <c r="V2365" s="9"/>
      <c r="W2365" s="9"/>
      <c r="X2365" s="9"/>
      <c r="Y2365" s="9"/>
      <c r="Z2365" s="9"/>
      <c r="AA2365" s="9"/>
      <c r="AB2365" s="9"/>
      <c r="AC2365" s="9"/>
      <c r="AD2365" s="9"/>
      <c r="AE2365" s="9"/>
      <c r="AF2365" s="9"/>
      <c r="AG2365" s="9"/>
      <c r="AH2365" s="9"/>
      <c r="AI2365" s="9"/>
      <c r="AJ2365" s="9"/>
      <c r="AK2365" s="9"/>
      <c r="AL2365" s="9"/>
      <c r="AM2365" s="9"/>
      <c r="AN2365" s="9"/>
      <c r="AO2365" s="9"/>
      <c r="AP2365" s="9"/>
      <c r="AQ2365" s="9"/>
      <c r="AR2365" s="9"/>
      <c r="AS2365" s="9"/>
      <c r="AT2365" s="9"/>
      <c r="AU2365" s="9"/>
    </row>
    <row r="2366" spans="1:47" ht="15.75" customHeight="1">
      <c r="A2366" s="9"/>
      <c r="B2366" s="9"/>
      <c r="C2366" s="9"/>
      <c r="D2366" s="9"/>
      <c r="E2366" s="9"/>
      <c r="F2366" s="67"/>
      <c r="G2366" s="9"/>
      <c r="H2366" s="9"/>
      <c r="I2366" s="9"/>
      <c r="J2366" s="9"/>
      <c r="K2366" s="9"/>
      <c r="L2366" s="9"/>
      <c r="M2366" s="9"/>
      <c r="N2366" s="9"/>
      <c r="O2366" s="9"/>
      <c r="P2366" s="9"/>
      <c r="Q2366" s="9"/>
      <c r="R2366" s="9"/>
      <c r="S2366" s="9"/>
      <c r="T2366" s="9"/>
      <c r="U2366" s="9"/>
      <c r="V2366" s="9"/>
      <c r="W2366" s="9"/>
      <c r="X2366" s="9"/>
      <c r="Y2366" s="9"/>
      <c r="Z2366" s="9"/>
      <c r="AA2366" s="9"/>
      <c r="AB2366" s="9"/>
      <c r="AC2366" s="9"/>
      <c r="AD2366" s="9"/>
      <c r="AE2366" s="9"/>
      <c r="AF2366" s="9"/>
      <c r="AG2366" s="9"/>
      <c r="AH2366" s="9"/>
      <c r="AI2366" s="9"/>
      <c r="AJ2366" s="9"/>
      <c r="AK2366" s="9"/>
      <c r="AL2366" s="9"/>
      <c r="AM2366" s="9"/>
      <c r="AN2366" s="9"/>
      <c r="AO2366" s="9"/>
      <c r="AP2366" s="9"/>
      <c r="AQ2366" s="9"/>
      <c r="AR2366" s="9"/>
      <c r="AS2366" s="9"/>
      <c r="AT2366" s="9"/>
      <c r="AU2366" s="9"/>
    </row>
    <row r="2367" spans="1:47" ht="15.75" customHeight="1">
      <c r="A2367" s="9"/>
      <c r="B2367" s="9"/>
      <c r="C2367" s="9"/>
      <c r="D2367" s="9"/>
      <c r="E2367" s="9"/>
      <c r="F2367" s="67"/>
      <c r="G2367" s="9"/>
      <c r="H2367" s="9"/>
      <c r="I2367" s="9"/>
      <c r="J2367" s="9"/>
      <c r="K2367" s="9"/>
      <c r="L2367" s="9"/>
      <c r="M2367" s="9"/>
      <c r="N2367" s="9"/>
      <c r="O2367" s="9"/>
      <c r="P2367" s="9"/>
      <c r="Q2367" s="9"/>
      <c r="R2367" s="9"/>
      <c r="S2367" s="9"/>
      <c r="T2367" s="9"/>
      <c r="U2367" s="9"/>
      <c r="V2367" s="9"/>
      <c r="W2367" s="9"/>
      <c r="X2367" s="9"/>
      <c r="Y2367" s="9"/>
      <c r="Z2367" s="9"/>
      <c r="AA2367" s="9"/>
      <c r="AB2367" s="9"/>
      <c r="AC2367" s="9"/>
      <c r="AD2367" s="9"/>
      <c r="AE2367" s="9"/>
      <c r="AF2367" s="9"/>
      <c r="AG2367" s="9"/>
      <c r="AH2367" s="9"/>
      <c r="AI2367" s="9"/>
      <c r="AJ2367" s="9"/>
      <c r="AK2367" s="9"/>
      <c r="AL2367" s="9"/>
      <c r="AM2367" s="9"/>
      <c r="AN2367" s="9"/>
      <c r="AO2367" s="9"/>
      <c r="AP2367" s="9"/>
      <c r="AQ2367" s="9"/>
      <c r="AR2367" s="9"/>
      <c r="AS2367" s="9"/>
      <c r="AT2367" s="9"/>
      <c r="AU2367" s="9"/>
    </row>
    <row r="2368" spans="1:47" ht="15.75" customHeight="1">
      <c r="A2368" s="9"/>
      <c r="B2368" s="9"/>
      <c r="C2368" s="9"/>
      <c r="D2368" s="9"/>
      <c r="E2368" s="9"/>
      <c r="F2368" s="67"/>
      <c r="G2368" s="9"/>
      <c r="H2368" s="9"/>
      <c r="I2368" s="9"/>
      <c r="J2368" s="9"/>
      <c r="K2368" s="9"/>
      <c r="L2368" s="9"/>
      <c r="M2368" s="9"/>
      <c r="N2368" s="9"/>
      <c r="O2368" s="9"/>
      <c r="P2368" s="9"/>
      <c r="Q2368" s="9"/>
      <c r="R2368" s="9"/>
      <c r="S2368" s="9"/>
      <c r="T2368" s="9"/>
      <c r="U2368" s="9"/>
      <c r="V2368" s="9"/>
      <c r="W2368" s="9"/>
      <c r="X2368" s="9"/>
      <c r="Y2368" s="9"/>
      <c r="Z2368" s="9"/>
      <c r="AA2368" s="9"/>
      <c r="AB2368" s="9"/>
      <c r="AC2368" s="9"/>
      <c r="AD2368" s="9"/>
      <c r="AE2368" s="9"/>
      <c r="AF2368" s="9"/>
      <c r="AG2368" s="9"/>
      <c r="AH2368" s="9"/>
      <c r="AI2368" s="9"/>
      <c r="AJ2368" s="9"/>
      <c r="AK2368" s="9"/>
      <c r="AL2368" s="9"/>
      <c r="AM2368" s="9"/>
      <c r="AN2368" s="9"/>
      <c r="AO2368" s="9"/>
      <c r="AP2368" s="9"/>
      <c r="AQ2368" s="9"/>
      <c r="AR2368" s="9"/>
      <c r="AS2368" s="9"/>
      <c r="AT2368" s="9"/>
      <c r="AU2368" s="9"/>
    </row>
    <row r="2369" spans="1:47" ht="15.75" customHeight="1">
      <c r="A2369" s="9"/>
      <c r="B2369" s="9"/>
      <c r="C2369" s="9"/>
      <c r="D2369" s="9"/>
      <c r="E2369" s="9"/>
      <c r="F2369" s="67"/>
      <c r="G2369" s="9"/>
      <c r="H2369" s="9"/>
      <c r="I2369" s="9"/>
      <c r="J2369" s="9"/>
      <c r="K2369" s="9"/>
      <c r="L2369" s="9"/>
      <c r="M2369" s="9"/>
      <c r="N2369" s="9"/>
      <c r="O2369" s="9"/>
      <c r="P2369" s="9"/>
      <c r="Q2369" s="9"/>
      <c r="R2369" s="9"/>
      <c r="S2369" s="9"/>
      <c r="T2369" s="9"/>
      <c r="U2369" s="9"/>
      <c r="V2369" s="9"/>
      <c r="W2369" s="9"/>
      <c r="X2369" s="9"/>
      <c r="Y2369" s="9"/>
      <c r="Z2369" s="9"/>
      <c r="AA2369" s="9"/>
      <c r="AB2369" s="9"/>
      <c r="AC2369" s="9"/>
      <c r="AD2369" s="9"/>
      <c r="AE2369" s="9"/>
      <c r="AF2369" s="9"/>
      <c r="AG2369" s="9"/>
      <c r="AH2369" s="9"/>
      <c r="AI2369" s="9"/>
      <c r="AJ2369" s="9"/>
      <c r="AK2369" s="9"/>
      <c r="AL2369" s="9"/>
      <c r="AM2369" s="9"/>
      <c r="AN2369" s="9"/>
      <c r="AO2369" s="9"/>
      <c r="AP2369" s="9"/>
      <c r="AQ2369" s="9"/>
      <c r="AR2369" s="9"/>
      <c r="AS2369" s="9"/>
      <c r="AT2369" s="9"/>
      <c r="AU2369" s="9"/>
    </row>
    <row r="2370" spans="1:47" ht="15.75" customHeight="1">
      <c r="A2370" s="9"/>
      <c r="B2370" s="9"/>
      <c r="C2370" s="9"/>
      <c r="D2370" s="9"/>
      <c r="E2370" s="9"/>
      <c r="F2370" s="67"/>
      <c r="G2370" s="9"/>
      <c r="H2370" s="9"/>
      <c r="I2370" s="9"/>
      <c r="J2370" s="9"/>
      <c r="K2370" s="9"/>
      <c r="L2370" s="9"/>
      <c r="M2370" s="9"/>
      <c r="N2370" s="9"/>
      <c r="O2370" s="9"/>
      <c r="P2370" s="9"/>
      <c r="Q2370" s="9"/>
      <c r="R2370" s="9"/>
      <c r="S2370" s="9"/>
      <c r="T2370" s="9"/>
      <c r="U2370" s="9"/>
      <c r="V2370" s="9"/>
      <c r="W2370" s="9"/>
      <c r="X2370" s="9"/>
      <c r="Y2370" s="9"/>
      <c r="Z2370" s="9"/>
      <c r="AA2370" s="9"/>
      <c r="AB2370" s="9"/>
      <c r="AC2370" s="9"/>
      <c r="AD2370" s="9"/>
      <c r="AE2370" s="9"/>
      <c r="AF2370" s="9"/>
      <c r="AG2370" s="9"/>
      <c r="AH2370" s="9"/>
      <c r="AI2370" s="9"/>
      <c r="AJ2370" s="9"/>
      <c r="AK2370" s="9"/>
      <c r="AL2370" s="9"/>
      <c r="AM2370" s="9"/>
      <c r="AN2370" s="9"/>
      <c r="AO2370" s="9"/>
      <c r="AP2370" s="9"/>
      <c r="AQ2370" s="9"/>
      <c r="AR2370" s="9"/>
      <c r="AS2370" s="9"/>
      <c r="AT2370" s="9"/>
      <c r="AU2370" s="9"/>
    </row>
    <row r="2371" spans="1:47" ht="15.75" customHeight="1">
      <c r="A2371" s="9"/>
      <c r="B2371" s="9"/>
      <c r="C2371" s="9"/>
      <c r="D2371" s="9"/>
      <c r="E2371" s="9"/>
      <c r="F2371" s="67"/>
      <c r="G2371" s="9"/>
      <c r="H2371" s="9"/>
      <c r="I2371" s="9"/>
      <c r="J2371" s="9"/>
      <c r="K2371" s="9"/>
      <c r="L2371" s="9"/>
      <c r="M2371" s="9"/>
      <c r="N2371" s="9"/>
      <c r="O2371" s="9"/>
      <c r="P2371" s="9"/>
      <c r="Q2371" s="9"/>
      <c r="R2371" s="9"/>
      <c r="S2371" s="9"/>
      <c r="T2371" s="9"/>
      <c r="U2371" s="9"/>
      <c r="V2371" s="9"/>
      <c r="W2371" s="9"/>
      <c r="X2371" s="9"/>
      <c r="Y2371" s="9"/>
      <c r="Z2371" s="9"/>
      <c r="AA2371" s="9"/>
      <c r="AB2371" s="9"/>
      <c r="AC2371" s="9"/>
      <c r="AD2371" s="9"/>
      <c r="AE2371" s="9"/>
      <c r="AF2371" s="9"/>
      <c r="AG2371" s="9"/>
      <c r="AH2371" s="9"/>
      <c r="AI2371" s="9"/>
      <c r="AJ2371" s="9"/>
      <c r="AK2371" s="9"/>
      <c r="AL2371" s="9"/>
      <c r="AM2371" s="9"/>
      <c r="AN2371" s="9"/>
      <c r="AO2371" s="9"/>
      <c r="AP2371" s="9"/>
      <c r="AQ2371" s="9"/>
      <c r="AR2371" s="9"/>
      <c r="AS2371" s="9"/>
      <c r="AT2371" s="9"/>
      <c r="AU2371" s="9"/>
    </row>
    <row r="2372" spans="1:47" ht="15.75" customHeight="1">
      <c r="A2372" s="9"/>
      <c r="B2372" s="9"/>
      <c r="C2372" s="9"/>
      <c r="D2372" s="9"/>
      <c r="E2372" s="9"/>
      <c r="F2372" s="67"/>
      <c r="G2372" s="9"/>
      <c r="H2372" s="9"/>
      <c r="I2372" s="9"/>
      <c r="J2372" s="9"/>
      <c r="K2372" s="9"/>
      <c r="L2372" s="9"/>
      <c r="M2372" s="9"/>
      <c r="N2372" s="9"/>
      <c r="O2372" s="9"/>
      <c r="P2372" s="9"/>
      <c r="Q2372" s="9"/>
      <c r="R2372" s="9"/>
      <c r="S2372" s="9"/>
      <c r="T2372" s="9"/>
      <c r="U2372" s="9"/>
      <c r="V2372" s="9"/>
      <c r="W2372" s="9"/>
      <c r="X2372" s="9"/>
      <c r="Y2372" s="9"/>
      <c r="Z2372" s="9"/>
      <c r="AA2372" s="9"/>
      <c r="AB2372" s="9"/>
      <c r="AC2372" s="9"/>
      <c r="AD2372" s="9"/>
      <c r="AE2372" s="9"/>
      <c r="AF2372" s="9"/>
      <c r="AG2372" s="9"/>
      <c r="AH2372" s="9"/>
      <c r="AI2372" s="9"/>
      <c r="AJ2372" s="9"/>
      <c r="AK2372" s="9"/>
      <c r="AL2372" s="9"/>
      <c r="AM2372" s="9"/>
      <c r="AN2372" s="9"/>
      <c r="AO2372" s="9"/>
      <c r="AP2372" s="9"/>
      <c r="AQ2372" s="9"/>
      <c r="AR2372" s="9"/>
      <c r="AS2372" s="9"/>
      <c r="AT2372" s="9"/>
      <c r="AU2372" s="9"/>
    </row>
    <row r="2373" spans="1:47" ht="15.75" customHeight="1">
      <c r="A2373" s="9"/>
      <c r="B2373" s="9"/>
      <c r="C2373" s="9"/>
      <c r="D2373" s="9"/>
      <c r="E2373" s="9"/>
      <c r="F2373" s="67"/>
      <c r="G2373" s="9"/>
      <c r="H2373" s="9"/>
      <c r="I2373" s="9"/>
      <c r="J2373" s="9"/>
      <c r="K2373" s="9"/>
      <c r="L2373" s="9"/>
      <c r="M2373" s="9"/>
      <c r="N2373" s="9"/>
      <c r="O2373" s="9"/>
      <c r="P2373" s="9"/>
      <c r="Q2373" s="9"/>
      <c r="R2373" s="9"/>
      <c r="S2373" s="9"/>
      <c r="T2373" s="9"/>
      <c r="U2373" s="9"/>
      <c r="V2373" s="9"/>
      <c r="W2373" s="9"/>
      <c r="X2373" s="9"/>
      <c r="Y2373" s="9"/>
      <c r="Z2373" s="9"/>
      <c r="AA2373" s="9"/>
      <c r="AB2373" s="9"/>
      <c r="AC2373" s="9"/>
      <c r="AD2373" s="9"/>
      <c r="AE2373" s="9"/>
      <c r="AF2373" s="9"/>
      <c r="AG2373" s="9"/>
      <c r="AH2373" s="9"/>
      <c r="AI2373" s="9"/>
      <c r="AJ2373" s="9"/>
      <c r="AK2373" s="9"/>
      <c r="AL2373" s="9"/>
      <c r="AM2373" s="9"/>
      <c r="AN2373" s="9"/>
      <c r="AO2373" s="9"/>
      <c r="AP2373" s="9"/>
      <c r="AQ2373" s="9"/>
      <c r="AR2373" s="9"/>
      <c r="AS2373" s="9"/>
      <c r="AT2373" s="9"/>
      <c r="AU2373" s="9"/>
    </row>
    <row r="2374" spans="1:47" ht="15.75" customHeight="1">
      <c r="A2374" s="9"/>
      <c r="B2374" s="9"/>
      <c r="C2374" s="9"/>
      <c r="D2374" s="9"/>
      <c r="E2374" s="9"/>
      <c r="F2374" s="67"/>
      <c r="G2374" s="9"/>
      <c r="H2374" s="9"/>
      <c r="I2374" s="9"/>
      <c r="J2374" s="9"/>
      <c r="K2374" s="9"/>
      <c r="L2374" s="9"/>
      <c r="M2374" s="9"/>
      <c r="N2374" s="9"/>
      <c r="O2374" s="9"/>
      <c r="P2374" s="9"/>
      <c r="Q2374" s="9"/>
      <c r="R2374" s="9"/>
      <c r="S2374" s="9"/>
      <c r="T2374" s="9"/>
      <c r="U2374" s="9"/>
      <c r="V2374" s="9"/>
      <c r="W2374" s="9"/>
      <c r="X2374" s="9"/>
      <c r="Y2374" s="9"/>
      <c r="Z2374" s="9"/>
      <c r="AA2374" s="9"/>
      <c r="AB2374" s="9"/>
      <c r="AC2374" s="9"/>
      <c r="AD2374" s="9"/>
      <c r="AE2374" s="9"/>
      <c r="AF2374" s="9"/>
      <c r="AG2374" s="9"/>
      <c r="AH2374" s="9"/>
      <c r="AI2374" s="9"/>
      <c r="AJ2374" s="9"/>
      <c r="AK2374" s="9"/>
      <c r="AL2374" s="9"/>
      <c r="AM2374" s="9"/>
      <c r="AN2374" s="9"/>
      <c r="AO2374" s="9"/>
      <c r="AP2374" s="9"/>
      <c r="AQ2374" s="9"/>
      <c r="AR2374" s="9"/>
      <c r="AS2374" s="9"/>
      <c r="AT2374" s="9"/>
      <c r="AU2374" s="9"/>
    </row>
    <row r="2375" spans="1:47" ht="15.75" customHeight="1">
      <c r="A2375" s="9"/>
      <c r="B2375" s="9"/>
      <c r="C2375" s="9"/>
      <c r="D2375" s="9"/>
      <c r="E2375" s="9"/>
      <c r="F2375" s="67"/>
      <c r="G2375" s="9"/>
      <c r="H2375" s="9"/>
      <c r="I2375" s="9"/>
      <c r="J2375" s="9"/>
      <c r="K2375" s="9"/>
      <c r="L2375" s="9"/>
      <c r="M2375" s="9"/>
      <c r="N2375" s="9"/>
      <c r="O2375" s="9"/>
      <c r="P2375" s="9"/>
      <c r="Q2375" s="9"/>
      <c r="R2375" s="9"/>
      <c r="S2375" s="9"/>
      <c r="T2375" s="9"/>
      <c r="U2375" s="9"/>
      <c r="V2375" s="9"/>
      <c r="W2375" s="9"/>
      <c r="X2375" s="9"/>
      <c r="Y2375" s="9"/>
      <c r="Z2375" s="9"/>
      <c r="AA2375" s="9"/>
      <c r="AB2375" s="9"/>
      <c r="AC2375" s="9"/>
      <c r="AD2375" s="9"/>
      <c r="AE2375" s="9"/>
      <c r="AF2375" s="9"/>
      <c r="AG2375" s="9"/>
      <c r="AH2375" s="9"/>
      <c r="AI2375" s="9"/>
      <c r="AJ2375" s="9"/>
      <c r="AK2375" s="9"/>
      <c r="AL2375" s="9"/>
      <c r="AM2375" s="9"/>
      <c r="AN2375" s="9"/>
      <c r="AO2375" s="9"/>
      <c r="AP2375" s="9"/>
      <c r="AQ2375" s="9"/>
      <c r="AR2375" s="9"/>
      <c r="AS2375" s="9"/>
      <c r="AT2375" s="9"/>
      <c r="AU2375" s="9"/>
    </row>
    <row r="2376" spans="1:47" ht="15.75" customHeight="1">
      <c r="A2376" s="9"/>
      <c r="B2376" s="9"/>
      <c r="C2376" s="9"/>
      <c r="D2376" s="9"/>
      <c r="E2376" s="9"/>
      <c r="F2376" s="67"/>
      <c r="G2376" s="9"/>
      <c r="H2376" s="9"/>
      <c r="I2376" s="9"/>
      <c r="J2376" s="9"/>
      <c r="K2376" s="9"/>
      <c r="L2376" s="9"/>
      <c r="M2376" s="9"/>
      <c r="N2376" s="9"/>
      <c r="O2376" s="9"/>
      <c r="P2376" s="9"/>
      <c r="Q2376" s="9"/>
      <c r="R2376" s="9"/>
      <c r="S2376" s="9"/>
      <c r="T2376" s="9"/>
      <c r="U2376" s="9"/>
      <c r="V2376" s="9"/>
      <c r="W2376" s="9"/>
      <c r="X2376" s="9"/>
      <c r="Y2376" s="9"/>
      <c r="Z2376" s="9"/>
      <c r="AA2376" s="9"/>
      <c r="AB2376" s="9"/>
      <c r="AC2376" s="9"/>
      <c r="AD2376" s="9"/>
      <c r="AE2376" s="9"/>
      <c r="AF2376" s="9"/>
      <c r="AG2376" s="9"/>
      <c r="AH2376" s="9"/>
      <c r="AI2376" s="9"/>
      <c r="AJ2376" s="9"/>
      <c r="AK2376" s="9"/>
      <c r="AL2376" s="9"/>
      <c r="AM2376" s="9"/>
      <c r="AN2376" s="9"/>
      <c r="AO2376" s="9"/>
      <c r="AP2376" s="9"/>
      <c r="AQ2376" s="9"/>
      <c r="AR2376" s="9"/>
      <c r="AS2376" s="9"/>
      <c r="AT2376" s="9"/>
      <c r="AU2376" s="9"/>
    </row>
    <row r="2377" spans="1:47" ht="15.75" customHeight="1">
      <c r="A2377" s="9"/>
      <c r="B2377" s="9"/>
      <c r="C2377" s="9"/>
      <c r="D2377" s="9"/>
      <c r="E2377" s="9"/>
      <c r="F2377" s="67"/>
      <c r="G2377" s="9"/>
      <c r="H2377" s="9"/>
      <c r="I2377" s="9"/>
      <c r="J2377" s="9"/>
      <c r="K2377" s="9"/>
      <c r="L2377" s="9"/>
      <c r="M2377" s="9"/>
      <c r="N2377" s="9"/>
      <c r="O2377" s="9"/>
      <c r="P2377" s="9"/>
      <c r="Q2377" s="9"/>
      <c r="R2377" s="9"/>
      <c r="S2377" s="9"/>
      <c r="T2377" s="9"/>
      <c r="U2377" s="9"/>
      <c r="V2377" s="9"/>
      <c r="W2377" s="9"/>
      <c r="X2377" s="9"/>
      <c r="Y2377" s="9"/>
      <c r="Z2377" s="9"/>
      <c r="AA2377" s="9"/>
      <c r="AB2377" s="9"/>
      <c r="AC2377" s="9"/>
      <c r="AD2377" s="9"/>
      <c r="AE2377" s="9"/>
      <c r="AF2377" s="9"/>
      <c r="AG2377" s="9"/>
      <c r="AH2377" s="9"/>
      <c r="AI2377" s="9"/>
      <c r="AJ2377" s="9"/>
      <c r="AK2377" s="9"/>
      <c r="AL2377" s="9"/>
      <c r="AM2377" s="9"/>
      <c r="AN2377" s="9"/>
      <c r="AO2377" s="9"/>
      <c r="AP2377" s="9"/>
      <c r="AQ2377" s="9"/>
      <c r="AR2377" s="9"/>
      <c r="AS2377" s="9"/>
      <c r="AT2377" s="9"/>
      <c r="AU2377" s="9"/>
    </row>
    <row r="2378" spans="1:47" ht="15.75" customHeight="1">
      <c r="A2378" s="9"/>
      <c r="B2378" s="9"/>
      <c r="C2378" s="9"/>
      <c r="D2378" s="9"/>
      <c r="E2378" s="9"/>
      <c r="F2378" s="67"/>
      <c r="G2378" s="9"/>
      <c r="H2378" s="9"/>
      <c r="I2378" s="9"/>
      <c r="J2378" s="9"/>
      <c r="K2378" s="9"/>
      <c r="L2378" s="9"/>
      <c r="M2378" s="9"/>
      <c r="N2378" s="9"/>
      <c r="O2378" s="9"/>
      <c r="P2378" s="9"/>
      <c r="Q2378" s="9"/>
      <c r="R2378" s="9"/>
      <c r="S2378" s="9"/>
      <c r="T2378" s="9"/>
      <c r="U2378" s="9"/>
      <c r="V2378" s="9"/>
      <c r="W2378" s="9"/>
      <c r="X2378" s="9"/>
      <c r="Y2378" s="9"/>
      <c r="Z2378" s="9"/>
      <c r="AA2378" s="9"/>
      <c r="AB2378" s="9"/>
      <c r="AC2378" s="9"/>
      <c r="AD2378" s="9"/>
      <c r="AE2378" s="9"/>
      <c r="AF2378" s="9"/>
      <c r="AG2378" s="9"/>
      <c r="AH2378" s="9"/>
      <c r="AI2378" s="9"/>
      <c r="AJ2378" s="9"/>
      <c r="AK2378" s="9"/>
      <c r="AL2378" s="9"/>
      <c r="AM2378" s="9"/>
      <c r="AN2378" s="9"/>
      <c r="AO2378" s="9"/>
      <c r="AP2378" s="9"/>
      <c r="AQ2378" s="9"/>
      <c r="AR2378" s="9"/>
      <c r="AS2378" s="9"/>
      <c r="AT2378" s="9"/>
      <c r="AU2378" s="9"/>
    </row>
    <row r="2379" spans="1:47" ht="15.75" customHeight="1">
      <c r="A2379" s="9"/>
      <c r="B2379" s="9"/>
      <c r="C2379" s="9"/>
      <c r="D2379" s="9"/>
      <c r="E2379" s="9"/>
      <c r="F2379" s="67"/>
      <c r="G2379" s="9"/>
      <c r="H2379" s="9"/>
      <c r="I2379" s="9"/>
      <c r="J2379" s="9"/>
      <c r="K2379" s="9"/>
      <c r="L2379" s="9"/>
      <c r="M2379" s="9"/>
      <c r="N2379" s="9"/>
      <c r="O2379" s="9"/>
      <c r="P2379" s="9"/>
      <c r="Q2379" s="9"/>
      <c r="R2379" s="9"/>
      <c r="S2379" s="9"/>
      <c r="T2379" s="9"/>
      <c r="U2379" s="9"/>
      <c r="V2379" s="9"/>
      <c r="W2379" s="9"/>
      <c r="X2379" s="9"/>
      <c r="Y2379" s="9"/>
      <c r="Z2379" s="9"/>
      <c r="AA2379" s="9"/>
      <c r="AB2379" s="9"/>
      <c r="AC2379" s="9"/>
      <c r="AD2379" s="9"/>
      <c r="AE2379" s="9"/>
      <c r="AF2379" s="9"/>
      <c r="AG2379" s="9"/>
      <c r="AH2379" s="9"/>
      <c r="AI2379" s="9"/>
      <c r="AJ2379" s="9"/>
      <c r="AK2379" s="9"/>
      <c r="AL2379" s="9"/>
      <c r="AM2379" s="9"/>
      <c r="AN2379" s="9"/>
      <c r="AO2379" s="9"/>
      <c r="AP2379" s="9"/>
      <c r="AQ2379" s="9"/>
      <c r="AR2379" s="9"/>
      <c r="AS2379" s="9"/>
      <c r="AT2379" s="9"/>
      <c r="AU2379" s="9"/>
    </row>
    <row r="2380" spans="1:47" ht="15.75" customHeight="1">
      <c r="A2380" s="9"/>
      <c r="B2380" s="9"/>
      <c r="C2380" s="9"/>
      <c r="D2380" s="9"/>
      <c r="E2380" s="9"/>
      <c r="F2380" s="67"/>
      <c r="G2380" s="9"/>
      <c r="H2380" s="9"/>
      <c r="I2380" s="9"/>
      <c r="J2380" s="9"/>
      <c r="K2380" s="9"/>
      <c r="L2380" s="9"/>
      <c r="M2380" s="9"/>
      <c r="N2380" s="9"/>
      <c r="O2380" s="9"/>
      <c r="P2380" s="9"/>
      <c r="Q2380" s="9"/>
      <c r="R2380" s="9"/>
      <c r="S2380" s="9"/>
      <c r="T2380" s="9"/>
      <c r="U2380" s="9"/>
      <c r="V2380" s="9"/>
      <c r="W2380" s="9"/>
      <c r="X2380" s="9"/>
      <c r="Y2380" s="9"/>
      <c r="Z2380" s="9"/>
      <c r="AA2380" s="9"/>
      <c r="AB2380" s="9"/>
      <c r="AC2380" s="9"/>
      <c r="AD2380" s="9"/>
      <c r="AE2380" s="9"/>
      <c r="AF2380" s="9"/>
      <c r="AG2380" s="9"/>
      <c r="AH2380" s="9"/>
      <c r="AI2380" s="9"/>
      <c r="AJ2380" s="9"/>
      <c r="AK2380" s="9"/>
      <c r="AL2380" s="9"/>
      <c r="AM2380" s="9"/>
      <c r="AN2380" s="9"/>
      <c r="AO2380" s="9"/>
      <c r="AP2380" s="9"/>
      <c r="AQ2380" s="9"/>
      <c r="AR2380" s="9"/>
      <c r="AS2380" s="9"/>
      <c r="AT2380" s="9"/>
      <c r="AU2380" s="9"/>
    </row>
    <row r="2381" spans="1:47" ht="15.75" customHeight="1">
      <c r="A2381" s="9"/>
      <c r="B2381" s="9"/>
      <c r="C2381" s="9"/>
      <c r="D2381" s="9"/>
      <c r="E2381" s="9"/>
      <c r="F2381" s="67"/>
      <c r="G2381" s="9"/>
      <c r="H2381" s="9"/>
      <c r="I2381" s="9"/>
      <c r="J2381" s="9"/>
      <c r="K2381" s="9"/>
      <c r="L2381" s="9"/>
      <c r="M2381" s="9"/>
      <c r="N2381" s="9"/>
      <c r="O2381" s="9"/>
      <c r="P2381" s="9"/>
      <c r="Q2381" s="9"/>
      <c r="R2381" s="9"/>
      <c r="S2381" s="9"/>
      <c r="T2381" s="9"/>
      <c r="U2381" s="9"/>
      <c r="V2381" s="9"/>
      <c r="W2381" s="9"/>
      <c r="X2381" s="9"/>
      <c r="Y2381" s="9"/>
      <c r="Z2381" s="9"/>
      <c r="AA2381" s="9"/>
      <c r="AB2381" s="9"/>
      <c r="AC2381" s="9"/>
      <c r="AD2381" s="9"/>
      <c r="AE2381" s="9"/>
      <c r="AF2381" s="9"/>
      <c r="AG2381" s="9"/>
      <c r="AH2381" s="9"/>
      <c r="AI2381" s="9"/>
      <c r="AJ2381" s="9"/>
      <c r="AK2381" s="9"/>
      <c r="AL2381" s="9"/>
      <c r="AM2381" s="9"/>
      <c r="AN2381" s="9"/>
      <c r="AO2381" s="9"/>
      <c r="AP2381" s="9"/>
      <c r="AQ2381" s="9"/>
      <c r="AR2381" s="9"/>
      <c r="AS2381" s="9"/>
      <c r="AT2381" s="9"/>
      <c r="AU2381" s="9"/>
    </row>
    <row r="2382" spans="1:47" ht="15.75" customHeight="1">
      <c r="A2382" s="9"/>
      <c r="B2382" s="9"/>
      <c r="C2382" s="9"/>
      <c r="D2382" s="9"/>
      <c r="E2382" s="9"/>
      <c r="F2382" s="67"/>
      <c r="G2382" s="9"/>
      <c r="H2382" s="9"/>
      <c r="I2382" s="9"/>
      <c r="J2382" s="9"/>
      <c r="K2382" s="9"/>
      <c r="L2382" s="9"/>
      <c r="M2382" s="9"/>
      <c r="N2382" s="9"/>
      <c r="O2382" s="9"/>
      <c r="P2382" s="9"/>
      <c r="Q2382" s="9"/>
      <c r="R2382" s="9"/>
      <c r="S2382" s="9"/>
      <c r="T2382" s="9"/>
      <c r="U2382" s="9"/>
      <c r="V2382" s="9"/>
      <c r="W2382" s="9"/>
      <c r="X2382" s="9"/>
      <c r="Y2382" s="9"/>
      <c r="Z2382" s="9"/>
      <c r="AA2382" s="9"/>
      <c r="AB2382" s="9"/>
      <c r="AC2382" s="9"/>
      <c r="AD2382" s="9"/>
      <c r="AE2382" s="9"/>
      <c r="AF2382" s="9"/>
      <c r="AG2382" s="9"/>
      <c r="AH2382" s="9"/>
      <c r="AI2382" s="9"/>
      <c r="AJ2382" s="9"/>
      <c r="AK2382" s="9"/>
      <c r="AL2382" s="9"/>
      <c r="AM2382" s="9"/>
      <c r="AN2382" s="9"/>
      <c r="AO2382" s="9"/>
      <c r="AP2382" s="9"/>
      <c r="AQ2382" s="9"/>
      <c r="AR2382" s="9"/>
      <c r="AS2382" s="9"/>
      <c r="AT2382" s="9"/>
      <c r="AU2382" s="9"/>
    </row>
    <row r="2383" spans="1:47" ht="15.75" customHeight="1">
      <c r="A2383" s="9"/>
      <c r="B2383" s="9"/>
      <c r="C2383" s="9"/>
      <c r="D2383" s="9"/>
      <c r="E2383" s="9"/>
      <c r="F2383" s="67"/>
      <c r="G2383" s="9"/>
      <c r="H2383" s="9"/>
      <c r="I2383" s="9"/>
      <c r="J2383" s="9"/>
      <c r="K2383" s="9"/>
      <c r="L2383" s="9"/>
      <c r="M2383" s="9"/>
      <c r="N2383" s="9"/>
      <c r="O2383" s="9"/>
      <c r="P2383" s="9"/>
      <c r="Q2383" s="9"/>
      <c r="R2383" s="9"/>
      <c r="S2383" s="9"/>
      <c r="T2383" s="9"/>
      <c r="U2383" s="9"/>
      <c r="V2383" s="9"/>
      <c r="W2383" s="9"/>
      <c r="X2383" s="9"/>
      <c r="Y2383" s="9"/>
      <c r="Z2383" s="9"/>
      <c r="AA2383" s="9"/>
      <c r="AB2383" s="9"/>
      <c r="AC2383" s="9"/>
      <c r="AD2383" s="9"/>
      <c r="AE2383" s="9"/>
      <c r="AF2383" s="9"/>
      <c r="AG2383" s="9"/>
      <c r="AH2383" s="9"/>
      <c r="AI2383" s="9"/>
      <c r="AJ2383" s="9"/>
      <c r="AK2383" s="9"/>
      <c r="AL2383" s="9"/>
      <c r="AM2383" s="9"/>
      <c r="AN2383" s="9"/>
      <c r="AO2383" s="9"/>
      <c r="AP2383" s="9"/>
      <c r="AQ2383" s="9"/>
      <c r="AR2383" s="9"/>
      <c r="AS2383" s="9"/>
      <c r="AT2383" s="9"/>
      <c r="AU2383" s="9"/>
    </row>
    <row r="2384" spans="1:47" ht="15.75" customHeight="1">
      <c r="A2384" s="9"/>
      <c r="B2384" s="9"/>
      <c r="C2384" s="9"/>
      <c r="D2384" s="9"/>
      <c r="E2384" s="9"/>
      <c r="F2384" s="67"/>
      <c r="G2384" s="9"/>
      <c r="H2384" s="9"/>
      <c r="I2384" s="9"/>
      <c r="J2384" s="9"/>
      <c r="K2384" s="9"/>
      <c r="L2384" s="9"/>
      <c r="M2384" s="9"/>
      <c r="N2384" s="9"/>
      <c r="O2384" s="9"/>
      <c r="P2384" s="9"/>
      <c r="Q2384" s="9"/>
      <c r="R2384" s="9"/>
      <c r="S2384" s="9"/>
      <c r="T2384" s="9"/>
      <c r="U2384" s="9"/>
      <c r="V2384" s="9"/>
      <c r="W2384" s="9"/>
      <c r="X2384" s="9"/>
      <c r="Y2384" s="9"/>
      <c r="Z2384" s="9"/>
      <c r="AA2384" s="9"/>
      <c r="AB2384" s="9"/>
      <c r="AC2384" s="9"/>
      <c r="AD2384" s="9"/>
      <c r="AE2384" s="9"/>
      <c r="AF2384" s="9"/>
      <c r="AG2384" s="9"/>
      <c r="AH2384" s="9"/>
      <c r="AI2384" s="9"/>
      <c r="AJ2384" s="9"/>
      <c r="AK2384" s="9"/>
      <c r="AL2384" s="9"/>
      <c r="AM2384" s="9"/>
      <c r="AN2384" s="9"/>
      <c r="AO2384" s="9"/>
      <c r="AP2384" s="9"/>
      <c r="AQ2384" s="9"/>
      <c r="AR2384" s="9"/>
      <c r="AS2384" s="9"/>
      <c r="AT2384" s="9"/>
      <c r="AU2384" s="9"/>
    </row>
    <row r="2385" spans="1:47" ht="15.75" customHeight="1">
      <c r="A2385" s="9"/>
      <c r="B2385" s="9"/>
      <c r="C2385" s="9"/>
      <c r="D2385" s="9"/>
      <c r="E2385" s="9"/>
      <c r="F2385" s="67"/>
      <c r="G2385" s="9"/>
      <c r="H2385" s="9"/>
      <c r="I2385" s="9"/>
      <c r="J2385" s="9"/>
      <c r="K2385" s="9"/>
      <c r="L2385" s="9"/>
      <c r="M2385" s="9"/>
      <c r="N2385" s="9"/>
      <c r="O2385" s="9"/>
      <c r="P2385" s="9"/>
      <c r="Q2385" s="9"/>
      <c r="R2385" s="9"/>
      <c r="S2385" s="9"/>
      <c r="T2385" s="9"/>
      <c r="U2385" s="9"/>
      <c r="V2385" s="9"/>
      <c r="W2385" s="9"/>
      <c r="X2385" s="9"/>
      <c r="Y2385" s="9"/>
      <c r="Z2385" s="9"/>
      <c r="AA2385" s="9"/>
      <c r="AB2385" s="9"/>
      <c r="AC2385" s="9"/>
      <c r="AD2385" s="9"/>
      <c r="AE2385" s="9"/>
      <c r="AF2385" s="9"/>
      <c r="AG2385" s="9"/>
      <c r="AH2385" s="9"/>
      <c r="AI2385" s="9"/>
      <c r="AJ2385" s="9"/>
      <c r="AK2385" s="9"/>
      <c r="AL2385" s="9"/>
      <c r="AM2385" s="9"/>
      <c r="AN2385" s="9"/>
      <c r="AO2385" s="9"/>
      <c r="AP2385" s="9"/>
      <c r="AQ2385" s="9"/>
      <c r="AR2385" s="9"/>
      <c r="AS2385" s="9"/>
      <c r="AT2385" s="9"/>
      <c r="AU2385" s="9"/>
    </row>
    <row r="2386" spans="1:47" ht="15.75" customHeight="1">
      <c r="A2386" s="9"/>
      <c r="B2386" s="9"/>
      <c r="C2386" s="9"/>
      <c r="D2386" s="9"/>
      <c r="E2386" s="9"/>
      <c r="F2386" s="67"/>
      <c r="G2386" s="9"/>
      <c r="H2386" s="9"/>
      <c r="I2386" s="9"/>
      <c r="J2386" s="9"/>
      <c r="K2386" s="9"/>
      <c r="L2386" s="9"/>
      <c r="M2386" s="9"/>
      <c r="N2386" s="9"/>
      <c r="O2386" s="9"/>
      <c r="P2386" s="9"/>
      <c r="Q2386" s="9"/>
      <c r="R2386" s="9"/>
      <c r="S2386" s="9"/>
      <c r="T2386" s="9"/>
      <c r="U2386" s="9"/>
      <c r="V2386" s="9"/>
      <c r="W2386" s="9"/>
      <c r="X2386" s="9"/>
      <c r="Y2386" s="9"/>
      <c r="Z2386" s="9"/>
      <c r="AA2386" s="9"/>
      <c r="AB2386" s="9"/>
      <c r="AC2386" s="9"/>
      <c r="AD2386" s="9"/>
      <c r="AE2386" s="9"/>
      <c r="AF2386" s="9"/>
      <c r="AG2386" s="9"/>
      <c r="AH2386" s="9"/>
      <c r="AI2386" s="9"/>
      <c r="AJ2386" s="9"/>
      <c r="AK2386" s="9"/>
      <c r="AL2386" s="9"/>
      <c r="AM2386" s="9"/>
      <c r="AN2386" s="9"/>
      <c r="AO2386" s="9"/>
      <c r="AP2386" s="9"/>
      <c r="AQ2386" s="9"/>
      <c r="AR2386" s="9"/>
      <c r="AS2386" s="9"/>
      <c r="AT2386" s="9"/>
      <c r="AU2386" s="9"/>
    </row>
    <row r="2387" spans="1:47" ht="15.75" customHeight="1">
      <c r="A2387" s="9"/>
      <c r="B2387" s="9"/>
      <c r="C2387" s="9"/>
      <c r="D2387" s="9"/>
      <c r="E2387" s="9"/>
      <c r="F2387" s="67"/>
      <c r="G2387" s="9"/>
      <c r="H2387" s="9"/>
      <c r="I2387" s="9"/>
      <c r="J2387" s="9"/>
      <c r="K2387" s="9"/>
      <c r="L2387" s="9"/>
      <c r="M2387" s="9"/>
      <c r="N2387" s="9"/>
      <c r="O2387" s="9"/>
      <c r="P2387" s="9"/>
      <c r="Q2387" s="9"/>
      <c r="R2387" s="9"/>
      <c r="S2387" s="9"/>
      <c r="T2387" s="9"/>
      <c r="U2387" s="9"/>
      <c r="V2387" s="9"/>
      <c r="W2387" s="9"/>
      <c r="X2387" s="9"/>
      <c r="Y2387" s="9"/>
      <c r="Z2387" s="9"/>
      <c r="AA2387" s="9"/>
      <c r="AB2387" s="9"/>
      <c r="AC2387" s="9"/>
      <c r="AD2387" s="9"/>
      <c r="AE2387" s="9"/>
      <c r="AF2387" s="9"/>
      <c r="AG2387" s="9"/>
      <c r="AH2387" s="9"/>
      <c r="AI2387" s="9"/>
      <c r="AJ2387" s="9"/>
      <c r="AK2387" s="9"/>
      <c r="AL2387" s="9"/>
      <c r="AM2387" s="9"/>
      <c r="AN2387" s="9"/>
      <c r="AO2387" s="9"/>
      <c r="AP2387" s="9"/>
      <c r="AQ2387" s="9"/>
      <c r="AR2387" s="9"/>
      <c r="AS2387" s="9"/>
      <c r="AT2387" s="9"/>
      <c r="AU2387" s="9"/>
    </row>
    <row r="2388" spans="1:47" ht="15.75" customHeight="1">
      <c r="A2388" s="9"/>
      <c r="B2388" s="9"/>
      <c r="C2388" s="9"/>
      <c r="D2388" s="9"/>
      <c r="E2388" s="9"/>
      <c r="F2388" s="67"/>
      <c r="G2388" s="9"/>
      <c r="H2388" s="9"/>
      <c r="I2388" s="9"/>
      <c r="J2388" s="9"/>
      <c r="K2388" s="9"/>
      <c r="L2388" s="9"/>
      <c r="M2388" s="9"/>
      <c r="N2388" s="9"/>
      <c r="O2388" s="9"/>
      <c r="P2388" s="9"/>
      <c r="Q2388" s="9"/>
      <c r="R2388" s="9"/>
      <c r="S2388" s="9"/>
      <c r="T2388" s="9"/>
      <c r="U2388" s="9"/>
      <c r="V2388" s="9"/>
      <c r="W2388" s="9"/>
      <c r="X2388" s="9"/>
      <c r="Y2388" s="9"/>
      <c r="Z2388" s="9"/>
      <c r="AA2388" s="9"/>
      <c r="AB2388" s="9"/>
      <c r="AC2388" s="9"/>
      <c r="AD2388" s="9"/>
      <c r="AE2388" s="9"/>
      <c r="AF2388" s="9"/>
      <c r="AG2388" s="9"/>
      <c r="AH2388" s="9"/>
      <c r="AI2388" s="9"/>
      <c r="AJ2388" s="9"/>
      <c r="AK2388" s="9"/>
      <c r="AL2388" s="9"/>
      <c r="AM2388" s="9"/>
      <c r="AN2388" s="9"/>
      <c r="AO2388" s="9"/>
      <c r="AP2388" s="9"/>
      <c r="AQ2388" s="9"/>
      <c r="AR2388" s="9"/>
      <c r="AS2388" s="9"/>
      <c r="AT2388" s="9"/>
      <c r="AU2388" s="9"/>
    </row>
    <row r="2389" spans="1:47" ht="15.75" customHeight="1">
      <c r="A2389" s="9"/>
      <c r="B2389" s="9"/>
      <c r="C2389" s="9"/>
      <c r="D2389" s="9"/>
      <c r="E2389" s="9"/>
      <c r="F2389" s="67"/>
      <c r="G2389" s="9"/>
      <c r="H2389" s="9"/>
      <c r="I2389" s="9"/>
      <c r="J2389" s="9"/>
      <c r="K2389" s="9"/>
      <c r="L2389" s="9"/>
      <c r="M2389" s="9"/>
      <c r="N2389" s="9"/>
      <c r="O2389" s="9"/>
      <c r="P2389" s="9"/>
      <c r="Q2389" s="9"/>
      <c r="R2389" s="9"/>
      <c r="S2389" s="9"/>
      <c r="T2389" s="9"/>
      <c r="U2389" s="9"/>
      <c r="V2389" s="9"/>
      <c r="W2389" s="9"/>
      <c r="X2389" s="9"/>
      <c r="Y2389" s="9"/>
      <c r="Z2389" s="9"/>
      <c r="AA2389" s="9"/>
      <c r="AB2389" s="9"/>
      <c r="AC2389" s="9"/>
      <c r="AD2389" s="9"/>
      <c r="AE2389" s="9"/>
      <c r="AF2389" s="9"/>
      <c r="AG2389" s="9"/>
      <c r="AH2389" s="9"/>
      <c r="AI2389" s="9"/>
      <c r="AJ2389" s="9"/>
      <c r="AK2389" s="9"/>
      <c r="AL2389" s="9"/>
      <c r="AM2389" s="9"/>
      <c r="AN2389" s="9"/>
      <c r="AO2389" s="9"/>
      <c r="AP2389" s="9"/>
      <c r="AQ2389" s="9"/>
      <c r="AR2389" s="9"/>
      <c r="AS2389" s="9"/>
      <c r="AT2389" s="9"/>
      <c r="AU2389" s="9"/>
    </row>
    <row r="2390" spans="1:47" ht="15.75" customHeight="1">
      <c r="A2390" s="9"/>
      <c r="B2390" s="9"/>
      <c r="C2390" s="9"/>
      <c r="D2390" s="9"/>
      <c r="E2390" s="9"/>
      <c r="F2390" s="67"/>
      <c r="G2390" s="9"/>
      <c r="H2390" s="9"/>
      <c r="I2390" s="9"/>
      <c r="J2390" s="9"/>
      <c r="K2390" s="9"/>
      <c r="L2390" s="9"/>
      <c r="M2390" s="9"/>
      <c r="N2390" s="9"/>
      <c r="O2390" s="9"/>
      <c r="P2390" s="9"/>
      <c r="Q2390" s="9"/>
      <c r="R2390" s="9"/>
      <c r="S2390" s="9"/>
      <c r="T2390" s="9"/>
      <c r="U2390" s="9"/>
      <c r="V2390" s="9"/>
      <c r="W2390" s="9"/>
      <c r="X2390" s="9"/>
      <c r="Y2390" s="9"/>
      <c r="Z2390" s="9"/>
      <c r="AA2390" s="9"/>
      <c r="AB2390" s="9"/>
      <c r="AC2390" s="9"/>
      <c r="AD2390" s="9"/>
      <c r="AE2390" s="9"/>
      <c r="AF2390" s="9"/>
      <c r="AG2390" s="9"/>
      <c r="AH2390" s="9"/>
      <c r="AI2390" s="9"/>
      <c r="AJ2390" s="9"/>
      <c r="AK2390" s="9"/>
      <c r="AL2390" s="9"/>
      <c r="AM2390" s="9"/>
      <c r="AN2390" s="9"/>
      <c r="AO2390" s="9"/>
      <c r="AP2390" s="9"/>
      <c r="AQ2390" s="9"/>
      <c r="AR2390" s="9"/>
      <c r="AS2390" s="9"/>
      <c r="AT2390" s="9"/>
      <c r="AU2390" s="9"/>
    </row>
    <row r="2391" spans="1:47" ht="15.75" customHeight="1">
      <c r="A2391" s="9"/>
      <c r="B2391" s="9"/>
      <c r="C2391" s="9"/>
      <c r="D2391" s="9"/>
      <c r="E2391" s="9"/>
      <c r="F2391" s="67"/>
      <c r="G2391" s="9"/>
      <c r="H2391" s="9"/>
      <c r="I2391" s="9"/>
      <c r="J2391" s="9"/>
      <c r="K2391" s="9"/>
      <c r="L2391" s="9"/>
      <c r="M2391" s="9"/>
      <c r="N2391" s="9"/>
      <c r="O2391" s="9"/>
      <c r="P2391" s="9"/>
      <c r="Q2391" s="9"/>
      <c r="R2391" s="9"/>
      <c r="S2391" s="9"/>
      <c r="T2391" s="9"/>
      <c r="U2391" s="9"/>
      <c r="V2391" s="9"/>
      <c r="W2391" s="9"/>
      <c r="X2391" s="9"/>
      <c r="Y2391" s="9"/>
      <c r="Z2391" s="9"/>
      <c r="AA2391" s="9"/>
      <c r="AB2391" s="9"/>
      <c r="AC2391" s="9"/>
      <c r="AD2391" s="9"/>
      <c r="AE2391" s="9"/>
      <c r="AF2391" s="9"/>
      <c r="AG2391" s="9"/>
      <c r="AH2391" s="9"/>
      <c r="AI2391" s="9"/>
      <c r="AJ2391" s="9"/>
      <c r="AK2391" s="9"/>
      <c r="AL2391" s="9"/>
      <c r="AM2391" s="9"/>
      <c r="AN2391" s="9"/>
      <c r="AO2391" s="9"/>
      <c r="AP2391" s="9"/>
      <c r="AQ2391" s="9"/>
      <c r="AR2391" s="9"/>
      <c r="AS2391" s="9"/>
      <c r="AT2391" s="9"/>
      <c r="AU2391" s="9"/>
    </row>
    <row r="2392" spans="1:47" ht="15.75" customHeight="1">
      <c r="A2392" s="9"/>
      <c r="B2392" s="9"/>
      <c r="C2392" s="9"/>
      <c r="D2392" s="9"/>
      <c r="E2392" s="9"/>
      <c r="F2392" s="67"/>
      <c r="G2392" s="9"/>
      <c r="H2392" s="9"/>
      <c r="I2392" s="9"/>
      <c r="J2392" s="9"/>
      <c r="K2392" s="9"/>
      <c r="L2392" s="9"/>
      <c r="M2392" s="9"/>
      <c r="N2392" s="9"/>
      <c r="O2392" s="9"/>
      <c r="P2392" s="9"/>
      <c r="Q2392" s="9"/>
      <c r="R2392" s="9"/>
      <c r="S2392" s="9"/>
      <c r="T2392" s="9"/>
      <c r="U2392" s="9"/>
      <c r="V2392" s="9"/>
      <c r="W2392" s="9"/>
      <c r="X2392" s="9"/>
      <c r="Y2392" s="9"/>
      <c r="Z2392" s="9"/>
      <c r="AA2392" s="9"/>
      <c r="AB2392" s="9"/>
      <c r="AC2392" s="9"/>
      <c r="AD2392" s="9"/>
      <c r="AE2392" s="9"/>
      <c r="AF2392" s="9"/>
      <c r="AG2392" s="9"/>
      <c r="AH2392" s="9"/>
      <c r="AI2392" s="9"/>
      <c r="AJ2392" s="9"/>
      <c r="AK2392" s="9"/>
      <c r="AL2392" s="9"/>
      <c r="AM2392" s="9"/>
      <c r="AN2392" s="9"/>
      <c r="AO2392" s="9"/>
      <c r="AP2392" s="9"/>
      <c r="AQ2392" s="9"/>
      <c r="AR2392" s="9"/>
      <c r="AS2392" s="9"/>
      <c r="AT2392" s="9"/>
      <c r="AU2392" s="9"/>
    </row>
    <row r="2393" spans="1:47" ht="15.75" customHeight="1">
      <c r="A2393" s="9"/>
      <c r="B2393" s="9"/>
      <c r="C2393" s="9"/>
      <c r="D2393" s="9"/>
      <c r="E2393" s="9"/>
      <c r="F2393" s="67"/>
      <c r="G2393" s="9"/>
      <c r="H2393" s="9"/>
      <c r="I2393" s="9"/>
      <c r="J2393" s="9"/>
      <c r="K2393" s="9"/>
      <c r="L2393" s="9"/>
      <c r="M2393" s="9"/>
      <c r="N2393" s="9"/>
      <c r="O2393" s="9"/>
      <c r="P2393" s="9"/>
      <c r="Q2393" s="9"/>
      <c r="R2393" s="9"/>
      <c r="S2393" s="9"/>
      <c r="T2393" s="9"/>
      <c r="U2393" s="9"/>
      <c r="V2393" s="9"/>
      <c r="W2393" s="9"/>
      <c r="X2393" s="9"/>
      <c r="Y2393" s="9"/>
      <c r="Z2393" s="9"/>
      <c r="AA2393" s="9"/>
      <c r="AB2393" s="9"/>
      <c r="AC2393" s="9"/>
      <c r="AD2393" s="9"/>
      <c r="AE2393" s="9"/>
      <c r="AF2393" s="9"/>
      <c r="AG2393" s="9"/>
      <c r="AH2393" s="9"/>
      <c r="AI2393" s="9"/>
      <c r="AJ2393" s="9"/>
      <c r="AK2393" s="9"/>
      <c r="AL2393" s="9"/>
      <c r="AM2393" s="9"/>
      <c r="AN2393" s="9"/>
      <c r="AO2393" s="9"/>
      <c r="AP2393" s="9"/>
      <c r="AQ2393" s="9"/>
      <c r="AR2393" s="9"/>
      <c r="AS2393" s="9"/>
      <c r="AT2393" s="9"/>
      <c r="AU2393" s="9"/>
    </row>
    <row r="2394" spans="1:47" ht="15.75" customHeight="1">
      <c r="A2394" s="9"/>
      <c r="B2394" s="9"/>
      <c r="C2394" s="9"/>
      <c r="D2394" s="9"/>
      <c r="E2394" s="9"/>
      <c r="F2394" s="67"/>
      <c r="G2394" s="9"/>
      <c r="H2394" s="9"/>
      <c r="I2394" s="9"/>
      <c r="J2394" s="9"/>
      <c r="K2394" s="9"/>
      <c r="L2394" s="9"/>
      <c r="M2394" s="9"/>
      <c r="N2394" s="9"/>
      <c r="O2394" s="9"/>
      <c r="P2394" s="9"/>
      <c r="Q2394" s="9"/>
      <c r="R2394" s="9"/>
      <c r="S2394" s="9"/>
      <c r="T2394" s="9"/>
      <c r="U2394" s="9"/>
      <c r="V2394" s="9"/>
      <c r="W2394" s="9"/>
      <c r="X2394" s="9"/>
      <c r="Y2394" s="9"/>
      <c r="Z2394" s="9"/>
      <c r="AA2394" s="9"/>
      <c r="AB2394" s="9"/>
      <c r="AC2394" s="9"/>
      <c r="AD2394" s="9"/>
      <c r="AE2394" s="9"/>
      <c r="AF2394" s="9"/>
      <c r="AG2394" s="9"/>
      <c r="AH2394" s="9"/>
      <c r="AI2394" s="9"/>
      <c r="AJ2394" s="9"/>
      <c r="AK2394" s="9"/>
      <c r="AL2394" s="9"/>
      <c r="AM2394" s="9"/>
      <c r="AN2394" s="9"/>
      <c r="AO2394" s="9"/>
      <c r="AP2394" s="9"/>
      <c r="AQ2394" s="9"/>
      <c r="AR2394" s="9"/>
      <c r="AS2394" s="9"/>
      <c r="AT2394" s="9"/>
      <c r="AU2394" s="9"/>
    </row>
    <row r="2395" spans="1:47" ht="15.75" customHeight="1">
      <c r="A2395" s="9"/>
      <c r="B2395" s="9"/>
      <c r="C2395" s="9"/>
      <c r="D2395" s="9"/>
      <c r="E2395" s="9"/>
      <c r="F2395" s="67"/>
      <c r="G2395" s="9"/>
      <c r="H2395" s="9"/>
      <c r="I2395" s="9"/>
      <c r="J2395" s="9"/>
      <c r="K2395" s="9"/>
      <c r="L2395" s="9"/>
      <c r="M2395" s="9"/>
      <c r="N2395" s="9"/>
      <c r="O2395" s="9"/>
      <c r="P2395" s="9"/>
      <c r="Q2395" s="9"/>
      <c r="R2395" s="9"/>
      <c r="S2395" s="9"/>
      <c r="T2395" s="9"/>
      <c r="U2395" s="9"/>
      <c r="V2395" s="9"/>
      <c r="W2395" s="9"/>
      <c r="X2395" s="9"/>
      <c r="Y2395" s="9"/>
      <c r="Z2395" s="9"/>
      <c r="AA2395" s="9"/>
      <c r="AB2395" s="9"/>
      <c r="AC2395" s="9"/>
      <c r="AD2395" s="9"/>
      <c r="AE2395" s="9"/>
      <c r="AF2395" s="9"/>
      <c r="AG2395" s="9"/>
      <c r="AH2395" s="9"/>
      <c r="AI2395" s="9"/>
      <c r="AJ2395" s="9"/>
      <c r="AK2395" s="9"/>
      <c r="AL2395" s="9"/>
      <c r="AM2395" s="9"/>
      <c r="AN2395" s="9"/>
      <c r="AO2395" s="9"/>
      <c r="AP2395" s="9"/>
      <c r="AQ2395" s="9"/>
      <c r="AR2395" s="9"/>
      <c r="AS2395" s="9"/>
      <c r="AT2395" s="9"/>
      <c r="AU2395" s="9"/>
    </row>
    <row r="2396" spans="1:47" ht="15.75" customHeight="1">
      <c r="A2396" s="9"/>
      <c r="B2396" s="9"/>
      <c r="C2396" s="9"/>
      <c r="D2396" s="9"/>
      <c r="E2396" s="9"/>
      <c r="F2396" s="67"/>
      <c r="G2396" s="9"/>
      <c r="H2396" s="9"/>
      <c r="I2396" s="9"/>
      <c r="J2396" s="9"/>
      <c r="K2396" s="9"/>
      <c r="L2396" s="9"/>
      <c r="M2396" s="9"/>
      <c r="N2396" s="9"/>
      <c r="O2396" s="9"/>
      <c r="P2396" s="9"/>
      <c r="Q2396" s="9"/>
      <c r="R2396" s="9"/>
      <c r="S2396" s="9"/>
      <c r="T2396" s="9"/>
      <c r="U2396" s="9"/>
      <c r="V2396" s="9"/>
      <c r="W2396" s="9"/>
      <c r="X2396" s="9"/>
      <c r="Y2396" s="9"/>
      <c r="Z2396" s="9"/>
      <c r="AA2396" s="9"/>
      <c r="AB2396" s="9"/>
      <c r="AC2396" s="9"/>
      <c r="AD2396" s="9"/>
      <c r="AE2396" s="9"/>
      <c r="AF2396" s="9"/>
      <c r="AG2396" s="9"/>
      <c r="AH2396" s="9"/>
      <c r="AI2396" s="9"/>
      <c r="AJ2396" s="9"/>
      <c r="AK2396" s="9"/>
      <c r="AL2396" s="9"/>
      <c r="AM2396" s="9"/>
      <c r="AN2396" s="9"/>
      <c r="AO2396" s="9"/>
      <c r="AP2396" s="9"/>
      <c r="AQ2396" s="9"/>
      <c r="AR2396" s="9"/>
      <c r="AS2396" s="9"/>
      <c r="AT2396" s="9"/>
      <c r="AU2396" s="9"/>
    </row>
    <row r="2397" spans="1:47" ht="15.75" customHeight="1">
      <c r="A2397" s="9"/>
      <c r="B2397" s="9"/>
      <c r="C2397" s="9"/>
      <c r="D2397" s="9"/>
      <c r="E2397" s="9"/>
      <c r="F2397" s="67"/>
      <c r="G2397" s="9"/>
      <c r="H2397" s="9"/>
      <c r="I2397" s="9"/>
      <c r="J2397" s="9"/>
      <c r="K2397" s="9"/>
      <c r="L2397" s="9"/>
      <c r="M2397" s="9"/>
      <c r="N2397" s="9"/>
      <c r="O2397" s="9"/>
      <c r="P2397" s="9"/>
      <c r="Q2397" s="9"/>
      <c r="R2397" s="9"/>
      <c r="S2397" s="9"/>
      <c r="T2397" s="9"/>
      <c r="U2397" s="9"/>
      <c r="V2397" s="9"/>
      <c r="W2397" s="9"/>
      <c r="X2397" s="9"/>
      <c r="Y2397" s="9"/>
      <c r="Z2397" s="9"/>
      <c r="AA2397" s="9"/>
      <c r="AB2397" s="9"/>
      <c r="AC2397" s="9"/>
      <c r="AD2397" s="9"/>
      <c r="AE2397" s="9"/>
      <c r="AF2397" s="9"/>
      <c r="AG2397" s="9"/>
      <c r="AH2397" s="9"/>
      <c r="AI2397" s="9"/>
      <c r="AJ2397" s="9"/>
      <c r="AK2397" s="9"/>
      <c r="AL2397" s="9"/>
      <c r="AM2397" s="9"/>
      <c r="AN2397" s="9"/>
      <c r="AO2397" s="9"/>
      <c r="AP2397" s="9"/>
      <c r="AQ2397" s="9"/>
      <c r="AR2397" s="9"/>
      <c r="AS2397" s="9"/>
      <c r="AT2397" s="9"/>
      <c r="AU2397" s="9"/>
    </row>
    <row r="2398" spans="1:47" ht="15.75" customHeight="1">
      <c r="A2398" s="9"/>
      <c r="B2398" s="9"/>
      <c r="C2398" s="9"/>
      <c r="D2398" s="9"/>
      <c r="E2398" s="9"/>
      <c r="F2398" s="67"/>
      <c r="G2398" s="9"/>
      <c r="H2398" s="9"/>
      <c r="I2398" s="9"/>
      <c r="J2398" s="9"/>
      <c r="K2398" s="9"/>
      <c r="L2398" s="9"/>
      <c r="M2398" s="9"/>
      <c r="N2398" s="9"/>
      <c r="O2398" s="9"/>
      <c r="P2398" s="9"/>
      <c r="Q2398" s="9"/>
      <c r="R2398" s="9"/>
      <c r="S2398" s="9"/>
      <c r="T2398" s="9"/>
      <c r="U2398" s="9"/>
      <c r="V2398" s="9"/>
      <c r="W2398" s="9"/>
      <c r="X2398" s="9"/>
      <c r="Y2398" s="9"/>
      <c r="Z2398" s="9"/>
      <c r="AA2398" s="9"/>
      <c r="AB2398" s="9"/>
      <c r="AC2398" s="9"/>
      <c r="AD2398" s="9"/>
      <c r="AE2398" s="9"/>
      <c r="AF2398" s="9"/>
      <c r="AG2398" s="9"/>
      <c r="AH2398" s="9"/>
      <c r="AI2398" s="9"/>
      <c r="AJ2398" s="9"/>
      <c r="AK2398" s="9"/>
      <c r="AL2398" s="9"/>
      <c r="AM2398" s="9"/>
      <c r="AN2398" s="9"/>
      <c r="AO2398" s="9"/>
      <c r="AP2398" s="9"/>
      <c r="AQ2398" s="9"/>
      <c r="AR2398" s="9"/>
      <c r="AS2398" s="9"/>
      <c r="AT2398" s="9"/>
      <c r="AU2398" s="9"/>
    </row>
    <row r="2399" spans="1:47" ht="15.75" customHeight="1">
      <c r="A2399" s="9"/>
      <c r="B2399" s="9"/>
      <c r="C2399" s="9"/>
      <c r="D2399" s="9"/>
      <c r="E2399" s="9"/>
      <c r="F2399" s="67"/>
      <c r="G2399" s="9"/>
      <c r="H2399" s="9"/>
      <c r="I2399" s="9"/>
      <c r="J2399" s="9"/>
      <c r="K2399" s="9"/>
      <c r="L2399" s="9"/>
      <c r="M2399" s="9"/>
      <c r="N2399" s="9"/>
      <c r="O2399" s="9"/>
      <c r="P2399" s="9"/>
      <c r="Q2399" s="9"/>
      <c r="R2399" s="9"/>
      <c r="S2399" s="9"/>
      <c r="T2399" s="9"/>
      <c r="U2399" s="9"/>
      <c r="V2399" s="9"/>
      <c r="W2399" s="9"/>
      <c r="X2399" s="9"/>
      <c r="Y2399" s="9"/>
      <c r="Z2399" s="9"/>
      <c r="AA2399" s="9"/>
      <c r="AB2399" s="9"/>
      <c r="AC2399" s="9"/>
      <c r="AD2399" s="9"/>
      <c r="AE2399" s="9"/>
      <c r="AF2399" s="9"/>
      <c r="AG2399" s="9"/>
      <c r="AH2399" s="9"/>
      <c r="AI2399" s="9"/>
      <c r="AJ2399" s="9"/>
      <c r="AK2399" s="9"/>
      <c r="AL2399" s="9"/>
      <c r="AM2399" s="9"/>
      <c r="AN2399" s="9"/>
      <c r="AO2399" s="9"/>
      <c r="AP2399" s="9"/>
      <c r="AQ2399" s="9"/>
      <c r="AR2399" s="9"/>
      <c r="AS2399" s="9"/>
      <c r="AT2399" s="9"/>
      <c r="AU2399" s="9"/>
    </row>
    <row r="2400" spans="1:47" ht="15.75" customHeight="1">
      <c r="A2400" s="9"/>
      <c r="B2400" s="9"/>
      <c r="C2400" s="9"/>
      <c r="D2400" s="9"/>
      <c r="E2400" s="9"/>
      <c r="F2400" s="67"/>
      <c r="G2400" s="9"/>
      <c r="H2400" s="9"/>
      <c r="I2400" s="9"/>
      <c r="J2400" s="9"/>
      <c r="K2400" s="9"/>
      <c r="L2400" s="9"/>
      <c r="M2400" s="9"/>
      <c r="N2400" s="9"/>
      <c r="O2400" s="9"/>
      <c r="P2400" s="9"/>
      <c r="Q2400" s="9"/>
      <c r="R2400" s="9"/>
      <c r="S2400" s="9"/>
      <c r="T2400" s="9"/>
      <c r="U2400" s="9"/>
      <c r="V2400" s="9"/>
      <c r="W2400" s="9"/>
      <c r="X2400" s="9"/>
      <c r="Y2400" s="9"/>
      <c r="Z2400" s="9"/>
      <c r="AA2400" s="9"/>
      <c r="AB2400" s="9"/>
      <c r="AC2400" s="9"/>
      <c r="AD2400" s="9"/>
      <c r="AE2400" s="9"/>
      <c r="AF2400" s="9"/>
      <c r="AG2400" s="9"/>
      <c r="AH2400" s="9"/>
      <c r="AI2400" s="9"/>
      <c r="AJ2400" s="9"/>
      <c r="AK2400" s="9"/>
      <c r="AL2400" s="9"/>
      <c r="AM2400" s="9"/>
      <c r="AN2400" s="9"/>
      <c r="AO2400" s="9"/>
      <c r="AP2400" s="9"/>
      <c r="AQ2400" s="9"/>
      <c r="AR2400" s="9"/>
      <c r="AS2400" s="9"/>
      <c r="AT2400" s="9"/>
      <c r="AU2400" s="9"/>
    </row>
    <row r="2401" spans="1:47" ht="15.75" customHeight="1">
      <c r="A2401" s="9"/>
      <c r="B2401" s="9"/>
      <c r="C2401" s="9"/>
      <c r="D2401" s="9"/>
      <c r="E2401" s="9"/>
      <c r="F2401" s="67"/>
      <c r="G2401" s="9"/>
      <c r="H2401" s="9"/>
      <c r="I2401" s="9"/>
      <c r="J2401" s="9"/>
      <c r="K2401" s="9"/>
      <c r="L2401" s="9"/>
      <c r="M2401" s="9"/>
      <c r="N2401" s="9"/>
      <c r="O2401" s="9"/>
      <c r="P2401" s="9"/>
      <c r="Q2401" s="9"/>
      <c r="R2401" s="9"/>
      <c r="S2401" s="9"/>
      <c r="T2401" s="9"/>
      <c r="U2401" s="9"/>
      <c r="V2401" s="9"/>
      <c r="W2401" s="9"/>
      <c r="X2401" s="9"/>
      <c r="Y2401" s="9"/>
      <c r="Z2401" s="9"/>
      <c r="AA2401" s="9"/>
      <c r="AB2401" s="9"/>
      <c r="AC2401" s="9"/>
      <c r="AD2401" s="9"/>
      <c r="AE2401" s="9"/>
      <c r="AF2401" s="9"/>
      <c r="AG2401" s="9"/>
      <c r="AH2401" s="9"/>
      <c r="AI2401" s="9"/>
      <c r="AJ2401" s="9"/>
      <c r="AK2401" s="9"/>
      <c r="AL2401" s="9"/>
      <c r="AM2401" s="9"/>
      <c r="AN2401" s="9"/>
      <c r="AO2401" s="9"/>
      <c r="AP2401" s="9"/>
      <c r="AQ2401" s="9"/>
      <c r="AR2401" s="9"/>
      <c r="AS2401" s="9"/>
      <c r="AT2401" s="9"/>
      <c r="AU2401" s="9"/>
    </row>
    <row r="2402" spans="1:47" ht="15.75" customHeight="1">
      <c r="A2402" s="9"/>
      <c r="B2402" s="9"/>
      <c r="C2402" s="9"/>
      <c r="D2402" s="9"/>
      <c r="E2402" s="9"/>
      <c r="F2402" s="67"/>
      <c r="G2402" s="9"/>
      <c r="H2402" s="9"/>
      <c r="I2402" s="9"/>
      <c r="J2402" s="9"/>
      <c r="K2402" s="9"/>
      <c r="L2402" s="9"/>
      <c r="M2402" s="9"/>
      <c r="N2402" s="9"/>
      <c r="O2402" s="9"/>
      <c r="P2402" s="9"/>
      <c r="Q2402" s="9"/>
      <c r="R2402" s="9"/>
      <c r="S2402" s="9"/>
      <c r="T2402" s="9"/>
      <c r="U2402" s="9"/>
      <c r="V2402" s="9"/>
      <c r="W2402" s="9"/>
      <c r="X2402" s="9"/>
      <c r="Y2402" s="9"/>
      <c r="Z2402" s="9"/>
      <c r="AA2402" s="9"/>
      <c r="AB2402" s="9"/>
      <c r="AC2402" s="9"/>
      <c r="AD2402" s="9"/>
      <c r="AE2402" s="9"/>
      <c r="AF2402" s="9"/>
      <c r="AG2402" s="9"/>
      <c r="AH2402" s="9"/>
      <c r="AI2402" s="9"/>
      <c r="AJ2402" s="9"/>
      <c r="AK2402" s="9"/>
      <c r="AL2402" s="9"/>
      <c r="AM2402" s="9"/>
      <c r="AN2402" s="9"/>
      <c r="AO2402" s="9"/>
      <c r="AP2402" s="9"/>
      <c r="AQ2402" s="9"/>
      <c r="AR2402" s="9"/>
      <c r="AS2402" s="9"/>
      <c r="AT2402" s="9"/>
      <c r="AU2402" s="9"/>
    </row>
    <row r="2403" spans="1:47" ht="15.75" customHeight="1">
      <c r="A2403" s="9"/>
      <c r="B2403" s="9"/>
      <c r="C2403" s="9"/>
      <c r="D2403" s="9"/>
      <c r="E2403" s="9"/>
      <c r="F2403" s="67"/>
      <c r="G2403" s="9"/>
      <c r="H2403" s="9"/>
      <c r="I2403" s="9"/>
      <c r="J2403" s="9"/>
      <c r="K2403" s="9"/>
      <c r="L2403" s="9"/>
      <c r="M2403" s="9"/>
      <c r="N2403" s="9"/>
      <c r="O2403" s="9"/>
      <c r="P2403" s="9"/>
      <c r="Q2403" s="9"/>
      <c r="R2403" s="9"/>
      <c r="S2403" s="9"/>
      <c r="T2403" s="9"/>
      <c r="U2403" s="9"/>
      <c r="V2403" s="9"/>
      <c r="W2403" s="9"/>
      <c r="X2403" s="9"/>
      <c r="Y2403" s="9"/>
      <c r="Z2403" s="9"/>
      <c r="AA2403" s="9"/>
      <c r="AB2403" s="9"/>
      <c r="AC2403" s="9"/>
      <c r="AD2403" s="9"/>
      <c r="AE2403" s="9"/>
      <c r="AF2403" s="9"/>
      <c r="AG2403" s="9"/>
      <c r="AH2403" s="9"/>
      <c r="AI2403" s="9"/>
      <c r="AJ2403" s="9"/>
      <c r="AK2403" s="9"/>
      <c r="AL2403" s="9"/>
      <c r="AM2403" s="9"/>
      <c r="AN2403" s="9"/>
      <c r="AO2403" s="9"/>
      <c r="AP2403" s="9"/>
      <c r="AQ2403" s="9"/>
      <c r="AR2403" s="9"/>
      <c r="AS2403" s="9"/>
      <c r="AT2403" s="9"/>
      <c r="AU2403" s="9"/>
    </row>
    <row r="2404" spans="1:47" ht="15.75" customHeight="1">
      <c r="A2404" s="9"/>
      <c r="B2404" s="9"/>
      <c r="C2404" s="9"/>
      <c r="D2404" s="9"/>
      <c r="E2404" s="9"/>
      <c r="F2404" s="67"/>
      <c r="G2404" s="9"/>
      <c r="H2404" s="9"/>
      <c r="I2404" s="9"/>
      <c r="J2404" s="9"/>
      <c r="K2404" s="9"/>
      <c r="L2404" s="9"/>
      <c r="M2404" s="9"/>
      <c r="N2404" s="9"/>
      <c r="O2404" s="9"/>
      <c r="P2404" s="9"/>
      <c r="Q2404" s="9"/>
      <c r="R2404" s="9"/>
      <c r="S2404" s="9"/>
      <c r="T2404" s="9"/>
      <c r="U2404" s="9"/>
      <c r="V2404" s="9"/>
      <c r="W2404" s="9"/>
      <c r="X2404" s="9"/>
      <c r="Y2404" s="9"/>
      <c r="Z2404" s="9"/>
      <c r="AA2404" s="9"/>
      <c r="AB2404" s="9"/>
      <c r="AC2404" s="9"/>
      <c r="AD2404" s="9"/>
      <c r="AE2404" s="9"/>
      <c r="AF2404" s="9"/>
      <c r="AG2404" s="9"/>
      <c r="AH2404" s="9"/>
      <c r="AI2404" s="9"/>
      <c r="AJ2404" s="9"/>
      <c r="AK2404" s="9"/>
      <c r="AL2404" s="9"/>
      <c r="AM2404" s="9"/>
      <c r="AN2404" s="9"/>
      <c r="AO2404" s="9"/>
      <c r="AP2404" s="9"/>
      <c r="AQ2404" s="9"/>
      <c r="AR2404" s="9"/>
      <c r="AS2404" s="9"/>
      <c r="AT2404" s="9"/>
      <c r="AU2404" s="9"/>
    </row>
    <row r="2405" spans="1:47" ht="15.75" customHeight="1">
      <c r="A2405" s="9"/>
      <c r="B2405" s="9"/>
      <c r="C2405" s="9"/>
      <c r="D2405" s="9"/>
      <c r="E2405" s="9"/>
      <c r="F2405" s="67"/>
      <c r="G2405" s="9"/>
      <c r="H2405" s="9"/>
      <c r="I2405" s="9"/>
      <c r="J2405" s="9"/>
      <c r="K2405" s="9"/>
      <c r="L2405" s="9"/>
      <c r="M2405" s="9"/>
      <c r="N2405" s="9"/>
      <c r="O2405" s="9"/>
      <c r="P2405" s="9"/>
      <c r="Q2405" s="9"/>
      <c r="R2405" s="9"/>
      <c r="S2405" s="9"/>
      <c r="T2405" s="9"/>
      <c r="U2405" s="9"/>
      <c r="V2405" s="9"/>
      <c r="W2405" s="9"/>
      <c r="X2405" s="9"/>
      <c r="Y2405" s="9"/>
      <c r="Z2405" s="9"/>
      <c r="AA2405" s="9"/>
      <c r="AB2405" s="9"/>
      <c r="AC2405" s="9"/>
      <c r="AD2405" s="9"/>
      <c r="AE2405" s="9"/>
      <c r="AF2405" s="9"/>
      <c r="AG2405" s="9"/>
      <c r="AH2405" s="9"/>
      <c r="AI2405" s="9"/>
      <c r="AJ2405" s="9"/>
      <c r="AK2405" s="9"/>
      <c r="AL2405" s="9"/>
      <c r="AM2405" s="9"/>
      <c r="AN2405" s="9"/>
      <c r="AO2405" s="9"/>
      <c r="AP2405" s="9"/>
      <c r="AQ2405" s="9"/>
      <c r="AR2405" s="9"/>
      <c r="AS2405" s="9"/>
      <c r="AT2405" s="9"/>
      <c r="AU2405" s="9"/>
    </row>
    <row r="2406" spans="1:47" ht="15.75" customHeight="1">
      <c r="A2406" s="9"/>
      <c r="B2406" s="9"/>
      <c r="C2406" s="9"/>
      <c r="D2406" s="9"/>
      <c r="E2406" s="9"/>
      <c r="F2406" s="67"/>
      <c r="G2406" s="9"/>
      <c r="H2406" s="9"/>
      <c r="I2406" s="9"/>
      <c r="J2406" s="9"/>
      <c r="K2406" s="9"/>
      <c r="L2406" s="9"/>
      <c r="M2406" s="9"/>
      <c r="N2406" s="9"/>
      <c r="O2406" s="9"/>
      <c r="P2406" s="9"/>
      <c r="Q2406" s="9"/>
      <c r="R2406" s="9"/>
      <c r="S2406" s="9"/>
      <c r="T2406" s="9"/>
      <c r="U2406" s="9"/>
      <c r="V2406" s="9"/>
      <c r="W2406" s="9"/>
      <c r="X2406" s="9"/>
      <c r="Y2406" s="9"/>
      <c r="Z2406" s="9"/>
      <c r="AA2406" s="9"/>
      <c r="AB2406" s="9"/>
      <c r="AC2406" s="9"/>
      <c r="AD2406" s="9"/>
      <c r="AE2406" s="9"/>
      <c r="AF2406" s="9"/>
      <c r="AG2406" s="9"/>
      <c r="AH2406" s="9"/>
      <c r="AI2406" s="9"/>
      <c r="AJ2406" s="9"/>
      <c r="AK2406" s="9"/>
      <c r="AL2406" s="9"/>
      <c r="AM2406" s="9"/>
      <c r="AN2406" s="9"/>
      <c r="AO2406" s="9"/>
      <c r="AP2406" s="9"/>
      <c r="AQ2406" s="9"/>
      <c r="AR2406" s="9"/>
      <c r="AS2406" s="9"/>
      <c r="AT2406" s="9"/>
      <c r="AU2406" s="9"/>
    </row>
    <row r="2407" spans="1:47" ht="15.75" customHeight="1">
      <c r="A2407" s="9"/>
      <c r="B2407" s="9"/>
      <c r="C2407" s="9"/>
      <c r="D2407" s="9"/>
      <c r="E2407" s="9"/>
      <c r="F2407" s="67"/>
      <c r="G2407" s="9"/>
      <c r="H2407" s="9"/>
      <c r="I2407" s="9"/>
      <c r="J2407" s="9"/>
      <c r="K2407" s="9"/>
      <c r="L2407" s="9"/>
      <c r="M2407" s="9"/>
      <c r="N2407" s="9"/>
      <c r="O2407" s="9"/>
      <c r="P2407" s="9"/>
      <c r="Q2407" s="9"/>
      <c r="R2407" s="9"/>
      <c r="S2407" s="9"/>
      <c r="T2407" s="9"/>
      <c r="U2407" s="9"/>
      <c r="V2407" s="9"/>
      <c r="W2407" s="9"/>
      <c r="X2407" s="9"/>
      <c r="Y2407" s="9"/>
      <c r="Z2407" s="9"/>
      <c r="AA2407" s="9"/>
      <c r="AB2407" s="9"/>
      <c r="AC2407" s="9"/>
      <c r="AD2407" s="9"/>
      <c r="AE2407" s="9"/>
      <c r="AF2407" s="9"/>
      <c r="AG2407" s="9"/>
      <c r="AH2407" s="9"/>
      <c r="AI2407" s="9"/>
      <c r="AJ2407" s="9"/>
      <c r="AK2407" s="9"/>
      <c r="AL2407" s="9"/>
      <c r="AM2407" s="9"/>
      <c r="AN2407" s="9"/>
      <c r="AO2407" s="9"/>
      <c r="AP2407" s="9"/>
      <c r="AQ2407" s="9"/>
      <c r="AR2407" s="9"/>
      <c r="AS2407" s="9"/>
      <c r="AT2407" s="9"/>
      <c r="AU2407" s="9"/>
    </row>
    <row r="2408" spans="1:47" ht="15.75" customHeight="1">
      <c r="A2408" s="9"/>
      <c r="B2408" s="9"/>
      <c r="C2408" s="9"/>
      <c r="D2408" s="9"/>
      <c r="E2408" s="9"/>
      <c r="F2408" s="67"/>
      <c r="G2408" s="9"/>
      <c r="H2408" s="9"/>
      <c r="I2408" s="9"/>
      <c r="J2408" s="9"/>
      <c r="K2408" s="9"/>
      <c r="L2408" s="9"/>
      <c r="M2408" s="9"/>
      <c r="N2408" s="9"/>
      <c r="O2408" s="9"/>
      <c r="P2408" s="9"/>
      <c r="Q2408" s="9"/>
      <c r="R2408" s="9"/>
      <c r="S2408" s="9"/>
      <c r="T2408" s="9"/>
      <c r="U2408" s="9"/>
      <c r="V2408" s="9"/>
      <c r="W2408" s="9"/>
      <c r="X2408" s="9"/>
      <c r="Y2408" s="9"/>
      <c r="Z2408" s="9"/>
      <c r="AA2408" s="9"/>
      <c r="AB2408" s="9"/>
      <c r="AC2408" s="9"/>
      <c r="AD2408" s="9"/>
      <c r="AE2408" s="9"/>
      <c r="AF2408" s="9"/>
      <c r="AG2408" s="9"/>
      <c r="AH2408" s="9"/>
      <c r="AI2408" s="9"/>
      <c r="AJ2408" s="9"/>
      <c r="AK2408" s="9"/>
      <c r="AL2408" s="9"/>
      <c r="AM2408" s="9"/>
      <c r="AN2408" s="9"/>
      <c r="AO2408" s="9"/>
      <c r="AP2408" s="9"/>
      <c r="AQ2408" s="9"/>
      <c r="AR2408" s="9"/>
      <c r="AS2408" s="9"/>
      <c r="AT2408" s="9"/>
      <c r="AU2408" s="9"/>
    </row>
    <row r="2409" spans="1:47" ht="15.75" customHeight="1">
      <c r="A2409" s="9"/>
      <c r="B2409" s="9"/>
      <c r="C2409" s="9"/>
      <c r="D2409" s="9"/>
      <c r="E2409" s="9"/>
      <c r="F2409" s="67"/>
      <c r="G2409" s="9"/>
      <c r="H2409" s="9"/>
      <c r="I2409" s="9"/>
      <c r="J2409" s="9"/>
      <c r="K2409" s="9"/>
      <c r="L2409" s="9"/>
      <c r="M2409" s="9"/>
      <c r="N2409" s="9"/>
      <c r="O2409" s="9"/>
      <c r="P2409" s="9"/>
      <c r="Q2409" s="9"/>
      <c r="R2409" s="9"/>
      <c r="S2409" s="9"/>
      <c r="T2409" s="9"/>
      <c r="U2409" s="9"/>
      <c r="V2409" s="9"/>
      <c r="W2409" s="9"/>
      <c r="X2409" s="9"/>
      <c r="Y2409" s="9"/>
      <c r="Z2409" s="9"/>
      <c r="AA2409" s="9"/>
      <c r="AB2409" s="9"/>
      <c r="AC2409" s="9"/>
      <c r="AD2409" s="9"/>
      <c r="AE2409" s="9"/>
      <c r="AF2409" s="9"/>
      <c r="AG2409" s="9"/>
      <c r="AH2409" s="9"/>
      <c r="AI2409" s="9"/>
      <c r="AJ2409" s="9"/>
      <c r="AK2409" s="9"/>
      <c r="AL2409" s="9"/>
      <c r="AM2409" s="9"/>
      <c r="AN2409" s="9"/>
      <c r="AO2409" s="9"/>
      <c r="AP2409" s="9"/>
      <c r="AQ2409" s="9"/>
      <c r="AR2409" s="9"/>
      <c r="AS2409" s="9"/>
      <c r="AT2409" s="9"/>
      <c r="AU2409" s="9"/>
    </row>
    <row r="2410" spans="1:47" ht="15.75" customHeight="1">
      <c r="A2410" s="9"/>
      <c r="B2410" s="9"/>
      <c r="C2410" s="9"/>
      <c r="D2410" s="9"/>
      <c r="E2410" s="9"/>
      <c r="F2410" s="67"/>
      <c r="G2410" s="9"/>
      <c r="H2410" s="9"/>
      <c r="I2410" s="9"/>
      <c r="J2410" s="9"/>
      <c r="K2410" s="9"/>
      <c r="L2410" s="9"/>
      <c r="M2410" s="9"/>
      <c r="N2410" s="9"/>
      <c r="O2410" s="9"/>
      <c r="P2410" s="9"/>
      <c r="Q2410" s="9"/>
      <c r="R2410" s="9"/>
      <c r="S2410" s="9"/>
      <c r="T2410" s="9"/>
      <c r="U2410" s="9"/>
      <c r="V2410" s="9"/>
      <c r="W2410" s="9"/>
      <c r="X2410" s="9"/>
      <c r="Y2410" s="9"/>
      <c r="Z2410" s="9"/>
      <c r="AA2410" s="9"/>
      <c r="AB2410" s="9"/>
      <c r="AC2410" s="9"/>
      <c r="AD2410" s="9"/>
      <c r="AE2410" s="9"/>
      <c r="AF2410" s="9"/>
      <c r="AG2410" s="9"/>
      <c r="AH2410" s="9"/>
      <c r="AI2410" s="9"/>
      <c r="AJ2410" s="9"/>
      <c r="AK2410" s="9"/>
      <c r="AL2410" s="9"/>
      <c r="AM2410" s="9"/>
      <c r="AN2410" s="9"/>
      <c r="AO2410" s="9"/>
      <c r="AP2410" s="9"/>
      <c r="AQ2410" s="9"/>
      <c r="AR2410" s="9"/>
      <c r="AS2410" s="9"/>
      <c r="AT2410" s="9"/>
      <c r="AU2410" s="9"/>
    </row>
    <row r="2411" spans="1:47" ht="15.75" customHeight="1">
      <c r="A2411" s="9"/>
      <c r="B2411" s="9"/>
      <c r="C2411" s="9"/>
      <c r="D2411" s="9"/>
      <c r="E2411" s="9"/>
      <c r="F2411" s="67"/>
      <c r="G2411" s="9"/>
      <c r="H2411" s="9"/>
      <c r="I2411" s="9"/>
      <c r="J2411" s="9"/>
      <c r="K2411" s="9"/>
      <c r="L2411" s="9"/>
      <c r="M2411" s="9"/>
      <c r="N2411" s="9"/>
      <c r="O2411" s="9"/>
      <c r="P2411" s="9"/>
      <c r="Q2411" s="9"/>
      <c r="R2411" s="9"/>
      <c r="S2411" s="9"/>
      <c r="T2411" s="9"/>
      <c r="U2411" s="9"/>
      <c r="V2411" s="9"/>
      <c r="W2411" s="9"/>
      <c r="X2411" s="9"/>
      <c r="Y2411" s="9"/>
      <c r="Z2411" s="9"/>
      <c r="AA2411" s="9"/>
      <c r="AB2411" s="9"/>
      <c r="AC2411" s="9"/>
      <c r="AD2411" s="9"/>
      <c r="AE2411" s="9"/>
      <c r="AF2411" s="9"/>
      <c r="AG2411" s="9"/>
      <c r="AH2411" s="9"/>
      <c r="AI2411" s="9"/>
      <c r="AJ2411" s="9"/>
      <c r="AK2411" s="9"/>
      <c r="AL2411" s="9"/>
      <c r="AM2411" s="9"/>
      <c r="AN2411" s="9"/>
      <c r="AO2411" s="9"/>
      <c r="AP2411" s="9"/>
      <c r="AQ2411" s="9"/>
      <c r="AR2411" s="9"/>
      <c r="AS2411" s="9"/>
      <c r="AT2411" s="9"/>
      <c r="AU2411" s="9"/>
    </row>
    <row r="2412" spans="1:47" ht="15.75" customHeight="1">
      <c r="A2412" s="9"/>
      <c r="B2412" s="9"/>
      <c r="C2412" s="9"/>
      <c r="D2412" s="9"/>
      <c r="E2412" s="9"/>
      <c r="F2412" s="67"/>
      <c r="G2412" s="9"/>
      <c r="H2412" s="9"/>
      <c r="I2412" s="9"/>
      <c r="J2412" s="9"/>
      <c r="K2412" s="9"/>
      <c r="L2412" s="9"/>
      <c r="M2412" s="9"/>
      <c r="N2412" s="9"/>
      <c r="O2412" s="9"/>
      <c r="P2412" s="9"/>
      <c r="Q2412" s="9"/>
      <c r="R2412" s="9"/>
      <c r="S2412" s="9"/>
      <c r="T2412" s="9"/>
      <c r="U2412" s="9"/>
      <c r="V2412" s="9"/>
      <c r="W2412" s="9"/>
      <c r="X2412" s="9"/>
      <c r="Y2412" s="9"/>
      <c r="Z2412" s="9"/>
      <c r="AA2412" s="9"/>
      <c r="AB2412" s="9"/>
      <c r="AC2412" s="9"/>
      <c r="AD2412" s="9"/>
      <c r="AE2412" s="9"/>
      <c r="AF2412" s="9"/>
      <c r="AG2412" s="9"/>
      <c r="AH2412" s="9"/>
      <c r="AI2412" s="9"/>
      <c r="AJ2412" s="9"/>
      <c r="AK2412" s="9"/>
      <c r="AL2412" s="9"/>
      <c r="AM2412" s="9"/>
      <c r="AN2412" s="9"/>
      <c r="AO2412" s="9"/>
      <c r="AP2412" s="9"/>
      <c r="AQ2412" s="9"/>
      <c r="AR2412" s="9"/>
      <c r="AS2412" s="9"/>
      <c r="AT2412" s="9"/>
      <c r="AU2412" s="9"/>
    </row>
    <row r="2413" spans="1:47" ht="15.75" customHeight="1">
      <c r="A2413" s="9"/>
      <c r="B2413" s="9"/>
      <c r="C2413" s="9"/>
      <c r="D2413" s="9"/>
      <c r="E2413" s="9"/>
      <c r="F2413" s="67"/>
      <c r="G2413" s="9"/>
      <c r="H2413" s="9"/>
      <c r="I2413" s="9"/>
      <c r="J2413" s="9"/>
      <c r="K2413" s="9"/>
      <c r="L2413" s="9"/>
      <c r="M2413" s="9"/>
      <c r="N2413" s="9"/>
      <c r="O2413" s="9"/>
      <c r="P2413" s="9"/>
      <c r="Q2413" s="9"/>
      <c r="R2413" s="9"/>
      <c r="S2413" s="9"/>
      <c r="T2413" s="9"/>
      <c r="U2413" s="9"/>
      <c r="V2413" s="9"/>
      <c r="W2413" s="9"/>
      <c r="X2413" s="9"/>
      <c r="Y2413" s="9"/>
      <c r="Z2413" s="9"/>
      <c r="AA2413" s="9"/>
      <c r="AB2413" s="9"/>
      <c r="AC2413" s="9"/>
      <c r="AD2413" s="9"/>
      <c r="AE2413" s="9"/>
      <c r="AF2413" s="9"/>
      <c r="AG2413" s="9"/>
      <c r="AH2413" s="9"/>
      <c r="AI2413" s="9"/>
      <c r="AJ2413" s="9"/>
      <c r="AK2413" s="9"/>
      <c r="AL2413" s="9"/>
      <c r="AM2413" s="9"/>
      <c r="AN2413" s="9"/>
      <c r="AO2413" s="9"/>
      <c r="AP2413" s="9"/>
      <c r="AQ2413" s="9"/>
      <c r="AR2413" s="9"/>
      <c r="AS2413" s="9"/>
      <c r="AT2413" s="9"/>
      <c r="AU2413" s="9"/>
    </row>
    <row r="2414" spans="1:47" ht="15.75" customHeight="1">
      <c r="A2414" s="9"/>
      <c r="B2414" s="9"/>
      <c r="C2414" s="9"/>
      <c r="D2414" s="9"/>
      <c r="E2414" s="9"/>
      <c r="F2414" s="67"/>
      <c r="G2414" s="9"/>
      <c r="H2414" s="9"/>
      <c r="I2414" s="9"/>
      <c r="J2414" s="9"/>
      <c r="K2414" s="9"/>
      <c r="L2414" s="9"/>
      <c r="M2414" s="9"/>
      <c r="N2414" s="9"/>
      <c r="O2414" s="9"/>
      <c r="P2414" s="9"/>
      <c r="Q2414" s="9"/>
      <c r="R2414" s="9"/>
      <c r="S2414" s="9"/>
      <c r="T2414" s="9"/>
      <c r="U2414" s="9"/>
      <c r="V2414" s="9"/>
      <c r="W2414" s="9"/>
      <c r="X2414" s="9"/>
      <c r="Y2414" s="9"/>
      <c r="Z2414" s="9"/>
      <c r="AA2414" s="9"/>
      <c r="AB2414" s="9"/>
      <c r="AC2414" s="9"/>
      <c r="AD2414" s="9"/>
      <c r="AE2414" s="9"/>
      <c r="AF2414" s="9"/>
      <c r="AG2414" s="9"/>
      <c r="AH2414" s="9"/>
      <c r="AI2414" s="9"/>
      <c r="AJ2414" s="9"/>
      <c r="AK2414" s="9"/>
      <c r="AL2414" s="9"/>
      <c r="AM2414" s="9"/>
      <c r="AN2414" s="9"/>
      <c r="AO2414" s="9"/>
      <c r="AP2414" s="9"/>
      <c r="AQ2414" s="9"/>
      <c r="AR2414" s="9"/>
      <c r="AS2414" s="9"/>
      <c r="AT2414" s="9"/>
      <c r="AU2414" s="9"/>
    </row>
    <row r="2415" spans="1:47" ht="15.75" customHeight="1">
      <c r="A2415" s="9"/>
      <c r="B2415" s="9"/>
      <c r="C2415" s="9"/>
      <c r="D2415" s="9"/>
      <c r="E2415" s="9"/>
      <c r="F2415" s="67"/>
      <c r="G2415" s="9"/>
      <c r="H2415" s="9"/>
      <c r="I2415" s="9"/>
      <c r="J2415" s="9"/>
      <c r="K2415" s="9"/>
      <c r="L2415" s="9"/>
      <c r="M2415" s="9"/>
      <c r="N2415" s="9"/>
      <c r="O2415" s="9"/>
      <c r="P2415" s="9"/>
      <c r="Q2415" s="9"/>
      <c r="R2415" s="9"/>
      <c r="S2415" s="9"/>
      <c r="T2415" s="9"/>
      <c r="U2415" s="9"/>
      <c r="V2415" s="9"/>
      <c r="W2415" s="9"/>
      <c r="X2415" s="9"/>
      <c r="Y2415" s="9"/>
      <c r="Z2415" s="9"/>
      <c r="AA2415" s="9"/>
      <c r="AB2415" s="9"/>
      <c r="AC2415" s="9"/>
      <c r="AD2415" s="9"/>
      <c r="AE2415" s="9"/>
      <c r="AF2415" s="9"/>
      <c r="AG2415" s="9"/>
      <c r="AH2415" s="9"/>
      <c r="AI2415" s="9"/>
      <c r="AJ2415" s="9"/>
      <c r="AK2415" s="9"/>
      <c r="AL2415" s="9"/>
      <c r="AM2415" s="9"/>
      <c r="AN2415" s="9"/>
      <c r="AO2415" s="9"/>
      <c r="AP2415" s="9"/>
      <c r="AQ2415" s="9"/>
      <c r="AR2415" s="9"/>
      <c r="AS2415" s="9"/>
      <c r="AT2415" s="9"/>
      <c r="AU2415" s="9"/>
    </row>
    <row r="2416" spans="1:47" ht="15.75" customHeight="1">
      <c r="A2416" s="9"/>
      <c r="B2416" s="9"/>
      <c r="C2416" s="9"/>
      <c r="D2416" s="9"/>
      <c r="E2416" s="9"/>
      <c r="F2416" s="67"/>
      <c r="G2416" s="9"/>
      <c r="H2416" s="9"/>
      <c r="I2416" s="9"/>
      <c r="J2416" s="9"/>
      <c r="K2416" s="9"/>
      <c r="L2416" s="9"/>
      <c r="M2416" s="9"/>
      <c r="N2416" s="9"/>
      <c r="O2416" s="9"/>
      <c r="P2416" s="9"/>
      <c r="Q2416" s="9"/>
      <c r="R2416" s="9"/>
      <c r="S2416" s="9"/>
      <c r="T2416" s="9"/>
      <c r="U2416" s="9"/>
      <c r="V2416" s="9"/>
      <c r="W2416" s="9"/>
      <c r="X2416" s="9"/>
      <c r="Y2416" s="9"/>
      <c r="Z2416" s="9"/>
      <c r="AA2416" s="9"/>
      <c r="AB2416" s="9"/>
      <c r="AC2416" s="9"/>
      <c r="AD2416" s="9"/>
      <c r="AE2416" s="9"/>
      <c r="AF2416" s="9"/>
      <c r="AG2416" s="9"/>
      <c r="AH2416" s="9"/>
      <c r="AI2416" s="9"/>
      <c r="AJ2416" s="9"/>
      <c r="AK2416" s="9"/>
      <c r="AL2416" s="9"/>
      <c r="AM2416" s="9"/>
      <c r="AN2416" s="9"/>
      <c r="AO2416" s="9"/>
      <c r="AP2416" s="9"/>
      <c r="AQ2416" s="9"/>
      <c r="AR2416" s="9"/>
      <c r="AS2416" s="9"/>
      <c r="AT2416" s="9"/>
      <c r="AU2416" s="9"/>
    </row>
    <row r="2417" spans="1:47" ht="15.75" customHeight="1">
      <c r="A2417" s="9"/>
      <c r="B2417" s="9"/>
      <c r="C2417" s="9"/>
      <c r="D2417" s="9"/>
      <c r="E2417" s="9"/>
      <c r="F2417" s="67"/>
      <c r="G2417" s="9"/>
      <c r="H2417" s="9"/>
      <c r="I2417" s="9"/>
      <c r="J2417" s="9"/>
      <c r="K2417" s="9"/>
      <c r="L2417" s="9"/>
      <c r="M2417" s="9"/>
      <c r="N2417" s="9"/>
      <c r="O2417" s="9"/>
      <c r="P2417" s="9"/>
      <c r="Q2417" s="9"/>
      <c r="R2417" s="9"/>
      <c r="S2417" s="9"/>
      <c r="T2417" s="9"/>
      <c r="U2417" s="9"/>
      <c r="V2417" s="9"/>
      <c r="W2417" s="9"/>
      <c r="X2417" s="9"/>
      <c r="Y2417" s="9"/>
      <c r="Z2417" s="9"/>
      <c r="AA2417" s="9"/>
      <c r="AB2417" s="9"/>
      <c r="AC2417" s="9"/>
      <c r="AD2417" s="9"/>
      <c r="AE2417" s="9"/>
      <c r="AF2417" s="9"/>
      <c r="AG2417" s="9"/>
      <c r="AH2417" s="9"/>
      <c r="AI2417" s="9"/>
      <c r="AJ2417" s="9"/>
      <c r="AK2417" s="9"/>
      <c r="AL2417" s="9"/>
      <c r="AM2417" s="9"/>
      <c r="AN2417" s="9"/>
      <c r="AO2417" s="9"/>
      <c r="AP2417" s="9"/>
      <c r="AQ2417" s="9"/>
      <c r="AR2417" s="9"/>
      <c r="AS2417" s="9"/>
      <c r="AT2417" s="9"/>
      <c r="AU2417" s="9"/>
    </row>
    <row r="2418" spans="1:47" ht="15.75" customHeight="1">
      <c r="A2418" s="9"/>
      <c r="B2418" s="9"/>
      <c r="C2418" s="9"/>
      <c r="D2418" s="9"/>
      <c r="E2418" s="9"/>
      <c r="F2418" s="67"/>
      <c r="G2418" s="9"/>
      <c r="H2418" s="9"/>
      <c r="I2418" s="9"/>
      <c r="J2418" s="9"/>
      <c r="K2418" s="9"/>
      <c r="L2418" s="9"/>
      <c r="M2418" s="9"/>
      <c r="N2418" s="9"/>
      <c r="O2418" s="9"/>
      <c r="P2418" s="9"/>
      <c r="Q2418" s="9"/>
      <c r="R2418" s="9"/>
      <c r="S2418" s="9"/>
      <c r="T2418" s="9"/>
      <c r="U2418" s="9"/>
      <c r="V2418" s="9"/>
      <c r="W2418" s="9"/>
      <c r="X2418" s="9"/>
      <c r="Y2418" s="9"/>
      <c r="Z2418" s="9"/>
      <c r="AA2418" s="9"/>
      <c r="AB2418" s="9"/>
      <c r="AC2418" s="9"/>
      <c r="AD2418" s="9"/>
      <c r="AE2418" s="9"/>
      <c r="AF2418" s="9"/>
      <c r="AG2418" s="9"/>
      <c r="AH2418" s="9"/>
      <c r="AI2418" s="9"/>
      <c r="AJ2418" s="9"/>
      <c r="AK2418" s="9"/>
      <c r="AL2418" s="9"/>
      <c r="AM2418" s="9"/>
      <c r="AN2418" s="9"/>
      <c r="AO2418" s="9"/>
      <c r="AP2418" s="9"/>
      <c r="AQ2418" s="9"/>
      <c r="AR2418" s="9"/>
      <c r="AS2418" s="9"/>
      <c r="AT2418" s="9"/>
      <c r="AU2418" s="9"/>
    </row>
    <row r="2419" spans="1:47" ht="15.75" customHeight="1">
      <c r="A2419" s="9"/>
      <c r="B2419" s="9"/>
      <c r="C2419" s="9"/>
      <c r="D2419" s="9"/>
      <c r="E2419" s="9"/>
      <c r="F2419" s="67"/>
      <c r="G2419" s="9"/>
      <c r="H2419" s="9"/>
      <c r="I2419" s="9"/>
      <c r="J2419" s="9"/>
      <c r="K2419" s="9"/>
      <c r="L2419" s="9"/>
      <c r="M2419" s="9"/>
      <c r="N2419" s="9"/>
      <c r="O2419" s="9"/>
      <c r="P2419" s="9"/>
      <c r="Q2419" s="9"/>
      <c r="R2419" s="9"/>
      <c r="S2419" s="9"/>
      <c r="T2419" s="9"/>
      <c r="U2419" s="9"/>
      <c r="V2419" s="9"/>
      <c r="W2419" s="9"/>
      <c r="X2419" s="9"/>
      <c r="Y2419" s="9"/>
      <c r="Z2419" s="9"/>
      <c r="AA2419" s="9"/>
      <c r="AB2419" s="9"/>
      <c r="AC2419" s="9"/>
      <c r="AD2419" s="9"/>
      <c r="AE2419" s="9"/>
      <c r="AF2419" s="9"/>
      <c r="AG2419" s="9"/>
      <c r="AH2419" s="9"/>
      <c r="AI2419" s="9"/>
      <c r="AJ2419" s="9"/>
      <c r="AK2419" s="9"/>
      <c r="AL2419" s="9"/>
      <c r="AM2419" s="9"/>
      <c r="AN2419" s="9"/>
      <c r="AO2419" s="9"/>
      <c r="AP2419" s="9"/>
      <c r="AQ2419" s="9"/>
      <c r="AR2419" s="9"/>
      <c r="AS2419" s="9"/>
      <c r="AT2419" s="9"/>
      <c r="AU2419" s="9"/>
    </row>
    <row r="2420" spans="1:47" ht="15.75" customHeight="1">
      <c r="A2420" s="9"/>
      <c r="B2420" s="9"/>
      <c r="C2420" s="9"/>
      <c r="D2420" s="9"/>
      <c r="E2420" s="9"/>
      <c r="F2420" s="67"/>
      <c r="G2420" s="9"/>
      <c r="H2420" s="9"/>
      <c r="I2420" s="9"/>
      <c r="J2420" s="9"/>
      <c r="K2420" s="9"/>
      <c r="L2420" s="9"/>
      <c r="M2420" s="9"/>
      <c r="N2420" s="9"/>
      <c r="O2420" s="9"/>
      <c r="P2420" s="9"/>
      <c r="Q2420" s="9"/>
      <c r="R2420" s="9"/>
      <c r="S2420" s="9"/>
      <c r="T2420" s="9"/>
      <c r="U2420" s="9"/>
      <c r="V2420" s="9"/>
      <c r="W2420" s="9"/>
      <c r="X2420" s="9"/>
      <c r="Y2420" s="9"/>
      <c r="Z2420" s="9"/>
      <c r="AA2420" s="9"/>
      <c r="AB2420" s="9"/>
      <c r="AC2420" s="9"/>
      <c r="AD2420" s="9"/>
      <c r="AE2420" s="9"/>
      <c r="AF2420" s="9"/>
      <c r="AG2420" s="9"/>
      <c r="AH2420" s="9"/>
      <c r="AI2420" s="9"/>
      <c r="AJ2420" s="9"/>
      <c r="AK2420" s="9"/>
      <c r="AL2420" s="9"/>
      <c r="AM2420" s="9"/>
      <c r="AN2420" s="9"/>
      <c r="AO2420" s="9"/>
      <c r="AP2420" s="9"/>
      <c r="AQ2420" s="9"/>
      <c r="AR2420" s="9"/>
      <c r="AS2420" s="9"/>
      <c r="AT2420" s="9"/>
      <c r="AU2420" s="9"/>
    </row>
    <row r="2421" spans="1:47" ht="15.75" customHeight="1">
      <c r="A2421" s="9"/>
      <c r="B2421" s="9"/>
      <c r="C2421" s="9"/>
      <c r="D2421" s="9"/>
      <c r="E2421" s="9"/>
      <c r="F2421" s="67"/>
      <c r="G2421" s="9"/>
      <c r="H2421" s="9"/>
      <c r="I2421" s="9"/>
      <c r="J2421" s="9"/>
      <c r="K2421" s="9"/>
      <c r="L2421" s="9"/>
      <c r="M2421" s="9"/>
      <c r="N2421" s="9"/>
      <c r="O2421" s="9"/>
      <c r="P2421" s="9"/>
      <c r="Q2421" s="9"/>
      <c r="R2421" s="9"/>
      <c r="S2421" s="9"/>
      <c r="T2421" s="9"/>
      <c r="U2421" s="9"/>
      <c r="V2421" s="9"/>
      <c r="W2421" s="9"/>
      <c r="X2421" s="9"/>
      <c r="Y2421" s="9"/>
      <c r="Z2421" s="9"/>
      <c r="AA2421" s="9"/>
      <c r="AB2421" s="9"/>
      <c r="AC2421" s="9"/>
      <c r="AD2421" s="9"/>
      <c r="AE2421" s="9"/>
      <c r="AF2421" s="9"/>
      <c r="AG2421" s="9"/>
      <c r="AH2421" s="9"/>
      <c r="AI2421" s="9"/>
      <c r="AJ2421" s="9"/>
      <c r="AK2421" s="9"/>
      <c r="AL2421" s="9"/>
      <c r="AM2421" s="9"/>
      <c r="AN2421" s="9"/>
      <c r="AO2421" s="9"/>
      <c r="AP2421" s="9"/>
      <c r="AQ2421" s="9"/>
      <c r="AR2421" s="9"/>
      <c r="AS2421" s="9"/>
      <c r="AT2421" s="9"/>
      <c r="AU2421" s="9"/>
    </row>
    <row r="2422" spans="1:47" ht="15.75" customHeight="1">
      <c r="A2422" s="9"/>
      <c r="B2422" s="9"/>
      <c r="C2422" s="9"/>
      <c r="D2422" s="9"/>
      <c r="E2422" s="9"/>
      <c r="F2422" s="67"/>
      <c r="G2422" s="9"/>
      <c r="H2422" s="9"/>
      <c r="I2422" s="9"/>
      <c r="J2422" s="9"/>
      <c r="K2422" s="9"/>
      <c r="L2422" s="9"/>
      <c r="M2422" s="9"/>
      <c r="N2422" s="9"/>
      <c r="O2422" s="9"/>
      <c r="P2422" s="9"/>
      <c r="Q2422" s="9"/>
      <c r="R2422" s="9"/>
      <c r="S2422" s="9"/>
      <c r="T2422" s="9"/>
      <c r="U2422" s="9"/>
      <c r="V2422" s="9"/>
      <c r="W2422" s="9"/>
      <c r="X2422" s="9"/>
      <c r="Y2422" s="9"/>
      <c r="Z2422" s="9"/>
      <c r="AA2422" s="9"/>
      <c r="AB2422" s="9"/>
      <c r="AC2422" s="9"/>
      <c r="AD2422" s="9"/>
      <c r="AE2422" s="9"/>
      <c r="AF2422" s="9"/>
      <c r="AG2422" s="9"/>
      <c r="AH2422" s="9"/>
      <c r="AI2422" s="9"/>
      <c r="AJ2422" s="9"/>
      <c r="AK2422" s="9"/>
      <c r="AL2422" s="9"/>
      <c r="AM2422" s="9"/>
      <c r="AN2422" s="9"/>
      <c r="AO2422" s="9"/>
      <c r="AP2422" s="9"/>
      <c r="AQ2422" s="9"/>
      <c r="AR2422" s="9"/>
      <c r="AS2422" s="9"/>
      <c r="AT2422" s="9"/>
      <c r="AU2422" s="9"/>
    </row>
    <row r="2423" spans="1:47" ht="15.75" customHeight="1">
      <c r="A2423" s="9"/>
      <c r="B2423" s="9"/>
      <c r="C2423" s="9"/>
      <c r="D2423" s="9"/>
      <c r="E2423" s="9"/>
      <c r="F2423" s="67"/>
      <c r="G2423" s="9"/>
      <c r="H2423" s="9"/>
      <c r="I2423" s="9"/>
      <c r="J2423" s="9"/>
      <c r="K2423" s="9"/>
      <c r="L2423" s="9"/>
      <c r="M2423" s="9"/>
      <c r="N2423" s="9"/>
      <c r="O2423" s="9"/>
      <c r="P2423" s="9"/>
      <c r="Q2423" s="9"/>
      <c r="R2423" s="9"/>
      <c r="S2423" s="9"/>
      <c r="T2423" s="9"/>
      <c r="U2423" s="9"/>
      <c r="V2423" s="9"/>
      <c r="W2423" s="9"/>
      <c r="X2423" s="9"/>
      <c r="Y2423" s="9"/>
      <c r="Z2423" s="9"/>
      <c r="AA2423" s="9"/>
      <c r="AB2423" s="9"/>
      <c r="AC2423" s="9"/>
      <c r="AD2423" s="9"/>
      <c r="AE2423" s="9"/>
      <c r="AF2423" s="9"/>
      <c r="AG2423" s="9"/>
      <c r="AH2423" s="9"/>
      <c r="AI2423" s="9"/>
      <c r="AJ2423" s="9"/>
      <c r="AK2423" s="9"/>
      <c r="AL2423" s="9"/>
      <c r="AM2423" s="9"/>
      <c r="AN2423" s="9"/>
      <c r="AO2423" s="9"/>
      <c r="AP2423" s="9"/>
      <c r="AQ2423" s="9"/>
      <c r="AR2423" s="9"/>
      <c r="AS2423" s="9"/>
      <c r="AT2423" s="9"/>
      <c r="AU2423" s="9"/>
    </row>
    <row r="2424" spans="1:47" ht="15.75" customHeight="1">
      <c r="A2424" s="9"/>
      <c r="B2424" s="9"/>
      <c r="C2424" s="9"/>
      <c r="D2424" s="9"/>
      <c r="E2424" s="9"/>
      <c r="F2424" s="67"/>
      <c r="G2424" s="9"/>
      <c r="H2424" s="9"/>
      <c r="I2424" s="9"/>
      <c r="J2424" s="9"/>
      <c r="K2424" s="9"/>
      <c r="L2424" s="9"/>
      <c r="M2424" s="9"/>
      <c r="N2424" s="9"/>
      <c r="O2424" s="9"/>
      <c r="P2424" s="9"/>
      <c r="Q2424" s="9"/>
      <c r="R2424" s="9"/>
      <c r="S2424" s="9"/>
      <c r="T2424" s="9"/>
      <c r="U2424" s="9"/>
      <c r="V2424" s="9"/>
      <c r="W2424" s="9"/>
      <c r="X2424" s="9"/>
      <c r="Y2424" s="9"/>
      <c r="Z2424" s="9"/>
      <c r="AA2424" s="9"/>
      <c r="AB2424" s="9"/>
      <c r="AC2424" s="9"/>
      <c r="AD2424" s="9"/>
      <c r="AE2424" s="9"/>
      <c r="AF2424" s="9"/>
      <c r="AG2424" s="9"/>
      <c r="AH2424" s="9"/>
      <c r="AI2424" s="9"/>
      <c r="AJ2424" s="9"/>
      <c r="AK2424" s="9"/>
      <c r="AL2424" s="9"/>
      <c r="AM2424" s="9"/>
      <c r="AN2424" s="9"/>
      <c r="AO2424" s="9"/>
      <c r="AP2424" s="9"/>
      <c r="AQ2424" s="9"/>
      <c r="AR2424" s="9"/>
      <c r="AS2424" s="9"/>
      <c r="AT2424" s="9"/>
      <c r="AU2424" s="9"/>
    </row>
    <row r="2425" spans="1:47" ht="15.75" customHeight="1">
      <c r="A2425" s="9"/>
      <c r="B2425" s="9"/>
      <c r="C2425" s="9"/>
      <c r="D2425" s="9"/>
      <c r="E2425" s="9"/>
      <c r="F2425" s="67"/>
      <c r="G2425" s="9"/>
      <c r="H2425" s="9"/>
      <c r="I2425" s="9"/>
      <c r="J2425" s="9"/>
      <c r="K2425" s="9"/>
      <c r="L2425" s="9"/>
      <c r="M2425" s="9"/>
      <c r="N2425" s="9"/>
      <c r="O2425" s="9"/>
      <c r="P2425" s="9"/>
      <c r="Q2425" s="9"/>
      <c r="R2425" s="9"/>
      <c r="S2425" s="9"/>
      <c r="T2425" s="9"/>
      <c r="U2425" s="9"/>
      <c r="V2425" s="9"/>
      <c r="W2425" s="9"/>
      <c r="X2425" s="9"/>
      <c r="Y2425" s="9"/>
      <c r="Z2425" s="9"/>
      <c r="AA2425" s="9"/>
      <c r="AB2425" s="9"/>
      <c r="AC2425" s="9"/>
      <c r="AD2425" s="9"/>
      <c r="AE2425" s="9"/>
      <c r="AF2425" s="9"/>
      <c r="AG2425" s="9"/>
      <c r="AH2425" s="9"/>
      <c r="AI2425" s="9"/>
      <c r="AJ2425" s="9"/>
      <c r="AK2425" s="9"/>
      <c r="AL2425" s="9"/>
      <c r="AM2425" s="9"/>
      <c r="AN2425" s="9"/>
      <c r="AO2425" s="9"/>
      <c r="AP2425" s="9"/>
      <c r="AQ2425" s="9"/>
      <c r="AR2425" s="9"/>
      <c r="AS2425" s="9"/>
      <c r="AT2425" s="9"/>
      <c r="AU2425" s="9"/>
    </row>
    <row r="2426" spans="1:47" ht="15.75" customHeight="1">
      <c r="A2426" s="9"/>
      <c r="B2426" s="9"/>
      <c r="C2426" s="9"/>
      <c r="D2426" s="9"/>
      <c r="E2426" s="9"/>
      <c r="F2426" s="67"/>
      <c r="G2426" s="9"/>
      <c r="H2426" s="9"/>
      <c r="I2426" s="9"/>
      <c r="J2426" s="9"/>
      <c r="K2426" s="9"/>
      <c r="L2426" s="9"/>
      <c r="M2426" s="9"/>
      <c r="N2426" s="9"/>
      <c r="O2426" s="9"/>
      <c r="P2426" s="9"/>
      <c r="Q2426" s="9"/>
      <c r="R2426" s="9"/>
      <c r="S2426" s="9"/>
      <c r="T2426" s="9"/>
      <c r="U2426" s="9"/>
      <c r="V2426" s="9"/>
      <c r="W2426" s="9"/>
      <c r="X2426" s="9"/>
      <c r="Y2426" s="9"/>
      <c r="Z2426" s="9"/>
      <c r="AA2426" s="9"/>
      <c r="AB2426" s="9"/>
      <c r="AC2426" s="9"/>
      <c r="AD2426" s="9"/>
      <c r="AE2426" s="9"/>
      <c r="AF2426" s="9"/>
      <c r="AG2426" s="9"/>
      <c r="AH2426" s="9"/>
      <c r="AI2426" s="9"/>
      <c r="AJ2426" s="9"/>
      <c r="AK2426" s="9"/>
      <c r="AL2426" s="9"/>
      <c r="AM2426" s="9"/>
      <c r="AN2426" s="9"/>
      <c r="AO2426" s="9"/>
      <c r="AP2426" s="9"/>
      <c r="AQ2426" s="9"/>
      <c r="AR2426" s="9"/>
      <c r="AS2426" s="9"/>
      <c r="AT2426" s="9"/>
      <c r="AU2426" s="9"/>
    </row>
    <row r="2427" spans="1:47" ht="15.75" customHeight="1">
      <c r="A2427" s="9"/>
      <c r="B2427" s="9"/>
      <c r="C2427" s="9"/>
      <c r="D2427" s="9"/>
      <c r="E2427" s="9"/>
      <c r="F2427" s="67"/>
      <c r="G2427" s="9"/>
      <c r="H2427" s="9"/>
      <c r="I2427" s="9"/>
      <c r="J2427" s="9"/>
      <c r="K2427" s="9"/>
      <c r="L2427" s="9"/>
      <c r="M2427" s="9"/>
      <c r="N2427" s="9"/>
      <c r="O2427" s="9"/>
      <c r="P2427" s="9"/>
      <c r="Q2427" s="9"/>
      <c r="R2427" s="9"/>
      <c r="S2427" s="9"/>
      <c r="T2427" s="9"/>
      <c r="U2427" s="9"/>
      <c r="V2427" s="9"/>
      <c r="W2427" s="9"/>
      <c r="X2427" s="9"/>
      <c r="Y2427" s="9"/>
      <c r="Z2427" s="9"/>
      <c r="AA2427" s="9"/>
      <c r="AB2427" s="9"/>
      <c r="AC2427" s="9"/>
      <c r="AD2427" s="9"/>
      <c r="AE2427" s="9"/>
      <c r="AF2427" s="9"/>
      <c r="AG2427" s="9"/>
      <c r="AH2427" s="9"/>
      <c r="AI2427" s="9"/>
      <c r="AJ2427" s="9"/>
      <c r="AK2427" s="9"/>
      <c r="AL2427" s="9"/>
      <c r="AM2427" s="9"/>
      <c r="AN2427" s="9"/>
      <c r="AO2427" s="9"/>
      <c r="AP2427" s="9"/>
      <c r="AQ2427" s="9"/>
      <c r="AR2427" s="9"/>
      <c r="AS2427" s="9"/>
      <c r="AT2427" s="9"/>
      <c r="AU2427" s="9"/>
    </row>
    <row r="2428" spans="1:47" ht="15.75" customHeight="1">
      <c r="A2428" s="9"/>
      <c r="B2428" s="9"/>
      <c r="C2428" s="9"/>
      <c r="D2428" s="9"/>
      <c r="E2428" s="9"/>
      <c r="F2428" s="67"/>
      <c r="G2428" s="9"/>
      <c r="H2428" s="9"/>
      <c r="I2428" s="9"/>
      <c r="J2428" s="9"/>
      <c r="K2428" s="9"/>
      <c r="L2428" s="9"/>
      <c r="M2428" s="9"/>
      <c r="N2428" s="9"/>
      <c r="O2428" s="9"/>
      <c r="P2428" s="9"/>
      <c r="Q2428" s="9"/>
      <c r="R2428" s="9"/>
      <c r="S2428" s="9"/>
      <c r="T2428" s="9"/>
      <c r="U2428" s="9"/>
      <c r="V2428" s="9"/>
      <c r="W2428" s="9"/>
      <c r="X2428" s="9"/>
      <c r="Y2428" s="9"/>
      <c r="Z2428" s="9"/>
      <c r="AA2428" s="9"/>
      <c r="AB2428" s="9"/>
      <c r="AC2428" s="9"/>
      <c r="AD2428" s="9"/>
      <c r="AE2428" s="9"/>
      <c r="AF2428" s="9"/>
      <c r="AG2428" s="9"/>
      <c r="AH2428" s="9"/>
      <c r="AI2428" s="9"/>
      <c r="AJ2428" s="9"/>
      <c r="AK2428" s="9"/>
      <c r="AL2428" s="9"/>
      <c r="AM2428" s="9"/>
      <c r="AN2428" s="9"/>
      <c r="AO2428" s="9"/>
      <c r="AP2428" s="9"/>
      <c r="AQ2428" s="9"/>
      <c r="AR2428" s="9"/>
      <c r="AS2428" s="9"/>
      <c r="AT2428" s="9"/>
      <c r="AU2428" s="9"/>
    </row>
    <row r="2429" spans="1:47" ht="15.75" customHeight="1">
      <c r="A2429" s="9"/>
      <c r="B2429" s="9"/>
      <c r="C2429" s="9"/>
      <c r="D2429" s="9"/>
      <c r="E2429" s="9"/>
      <c r="F2429" s="67"/>
      <c r="G2429" s="9"/>
      <c r="H2429" s="9"/>
      <c r="I2429" s="9"/>
      <c r="J2429" s="9"/>
      <c r="K2429" s="9"/>
      <c r="L2429" s="9"/>
      <c r="M2429" s="9"/>
      <c r="N2429" s="9"/>
      <c r="O2429" s="9"/>
      <c r="P2429" s="9"/>
      <c r="Q2429" s="9"/>
      <c r="R2429" s="9"/>
      <c r="S2429" s="9"/>
      <c r="T2429" s="9"/>
      <c r="U2429" s="9"/>
      <c r="V2429" s="9"/>
      <c r="W2429" s="9"/>
      <c r="X2429" s="9"/>
      <c r="Y2429" s="9"/>
      <c r="Z2429" s="9"/>
      <c r="AA2429" s="9"/>
      <c r="AB2429" s="9"/>
      <c r="AC2429" s="9"/>
      <c r="AD2429" s="9"/>
      <c r="AE2429" s="9"/>
      <c r="AF2429" s="9"/>
      <c r="AG2429" s="9"/>
      <c r="AH2429" s="9"/>
      <c r="AI2429" s="9"/>
      <c r="AJ2429" s="9"/>
      <c r="AK2429" s="9"/>
      <c r="AL2429" s="9"/>
      <c r="AM2429" s="9"/>
      <c r="AN2429" s="9"/>
      <c r="AO2429" s="9"/>
      <c r="AP2429" s="9"/>
      <c r="AQ2429" s="9"/>
      <c r="AR2429" s="9"/>
      <c r="AS2429" s="9"/>
      <c r="AT2429" s="9"/>
      <c r="AU2429" s="9"/>
    </row>
    <row r="2430" spans="1:47" ht="15.75" customHeight="1">
      <c r="A2430" s="9"/>
      <c r="B2430" s="9"/>
      <c r="C2430" s="9"/>
      <c r="D2430" s="9"/>
      <c r="E2430" s="9"/>
      <c r="F2430" s="67"/>
      <c r="G2430" s="9"/>
      <c r="H2430" s="9"/>
      <c r="I2430" s="9"/>
      <c r="J2430" s="9"/>
      <c r="K2430" s="9"/>
      <c r="L2430" s="9"/>
      <c r="M2430" s="9"/>
      <c r="N2430" s="9"/>
      <c r="O2430" s="9"/>
      <c r="P2430" s="9"/>
      <c r="Q2430" s="9"/>
      <c r="R2430" s="9"/>
      <c r="S2430" s="9"/>
      <c r="T2430" s="9"/>
      <c r="U2430" s="9"/>
      <c r="V2430" s="9"/>
      <c r="W2430" s="9"/>
      <c r="X2430" s="9"/>
      <c r="Y2430" s="9"/>
      <c r="Z2430" s="9"/>
      <c r="AA2430" s="9"/>
      <c r="AB2430" s="9"/>
      <c r="AC2430" s="9"/>
      <c r="AD2430" s="9"/>
      <c r="AE2430" s="9"/>
      <c r="AF2430" s="9"/>
      <c r="AG2430" s="9"/>
      <c r="AH2430" s="9"/>
      <c r="AI2430" s="9"/>
      <c r="AJ2430" s="9"/>
      <c r="AK2430" s="9"/>
      <c r="AL2430" s="9"/>
      <c r="AM2430" s="9"/>
      <c r="AN2430" s="9"/>
      <c r="AO2430" s="9"/>
      <c r="AP2430" s="9"/>
      <c r="AQ2430" s="9"/>
      <c r="AR2430" s="9"/>
      <c r="AS2430" s="9"/>
      <c r="AT2430" s="9"/>
      <c r="AU2430" s="9"/>
    </row>
    <row r="2431" spans="1:47" ht="15.75" customHeight="1">
      <c r="A2431" s="9"/>
      <c r="B2431" s="9"/>
      <c r="C2431" s="9"/>
      <c r="D2431" s="9"/>
      <c r="E2431" s="9"/>
      <c r="F2431" s="67"/>
      <c r="G2431" s="9"/>
      <c r="H2431" s="9"/>
      <c r="I2431" s="9"/>
      <c r="J2431" s="9"/>
      <c r="K2431" s="9"/>
      <c r="L2431" s="9"/>
      <c r="M2431" s="9"/>
      <c r="N2431" s="9"/>
      <c r="O2431" s="9"/>
      <c r="P2431" s="9"/>
      <c r="Q2431" s="9"/>
      <c r="R2431" s="9"/>
      <c r="S2431" s="9"/>
      <c r="T2431" s="9"/>
      <c r="U2431" s="9"/>
      <c r="V2431" s="9"/>
      <c r="W2431" s="9"/>
      <c r="X2431" s="9"/>
      <c r="Y2431" s="9"/>
      <c r="Z2431" s="9"/>
      <c r="AA2431" s="9"/>
      <c r="AB2431" s="9"/>
      <c r="AC2431" s="9"/>
      <c r="AD2431" s="9"/>
      <c r="AE2431" s="9"/>
      <c r="AF2431" s="9"/>
      <c r="AG2431" s="9"/>
      <c r="AH2431" s="9"/>
      <c r="AI2431" s="9"/>
      <c r="AJ2431" s="9"/>
      <c r="AK2431" s="9"/>
      <c r="AL2431" s="9"/>
      <c r="AM2431" s="9"/>
      <c r="AN2431" s="9"/>
      <c r="AO2431" s="9"/>
      <c r="AP2431" s="9"/>
      <c r="AQ2431" s="9"/>
      <c r="AR2431" s="9"/>
      <c r="AS2431" s="9"/>
      <c r="AT2431" s="9"/>
      <c r="AU2431" s="9"/>
    </row>
    <row r="2432" spans="1:47" ht="15.75" customHeight="1">
      <c r="A2432" s="9"/>
      <c r="B2432" s="9"/>
      <c r="C2432" s="9"/>
      <c r="D2432" s="9"/>
      <c r="E2432" s="9"/>
      <c r="F2432" s="67"/>
      <c r="G2432" s="9"/>
      <c r="H2432" s="9"/>
      <c r="I2432" s="9"/>
      <c r="J2432" s="9"/>
      <c r="K2432" s="9"/>
      <c r="L2432" s="9"/>
      <c r="M2432" s="9"/>
      <c r="N2432" s="9"/>
      <c r="O2432" s="9"/>
      <c r="P2432" s="9"/>
      <c r="Q2432" s="9"/>
      <c r="R2432" s="9"/>
      <c r="S2432" s="9"/>
      <c r="T2432" s="9"/>
      <c r="U2432" s="9"/>
      <c r="V2432" s="9"/>
      <c r="W2432" s="9"/>
      <c r="X2432" s="9"/>
      <c r="Y2432" s="9"/>
      <c r="Z2432" s="9"/>
      <c r="AA2432" s="9"/>
      <c r="AB2432" s="9"/>
      <c r="AC2432" s="9"/>
      <c r="AD2432" s="9"/>
      <c r="AE2432" s="9"/>
      <c r="AF2432" s="9"/>
      <c r="AG2432" s="9"/>
      <c r="AH2432" s="9"/>
      <c r="AI2432" s="9"/>
      <c r="AJ2432" s="9"/>
      <c r="AK2432" s="9"/>
      <c r="AL2432" s="9"/>
      <c r="AM2432" s="9"/>
      <c r="AN2432" s="9"/>
      <c r="AO2432" s="9"/>
      <c r="AP2432" s="9"/>
      <c r="AQ2432" s="9"/>
      <c r="AR2432" s="9"/>
      <c r="AS2432" s="9"/>
      <c r="AT2432" s="9"/>
      <c r="AU2432" s="9"/>
    </row>
    <row r="2433" spans="1:47" ht="15.75" customHeight="1">
      <c r="A2433" s="9"/>
      <c r="B2433" s="9"/>
      <c r="C2433" s="9"/>
      <c r="D2433" s="9"/>
      <c r="E2433" s="9"/>
      <c r="F2433" s="67"/>
      <c r="G2433" s="9"/>
      <c r="H2433" s="9"/>
      <c r="I2433" s="9"/>
      <c r="J2433" s="9"/>
      <c r="K2433" s="9"/>
      <c r="L2433" s="9"/>
      <c r="M2433" s="9"/>
      <c r="N2433" s="9"/>
      <c r="O2433" s="9"/>
      <c r="P2433" s="9"/>
      <c r="Q2433" s="9"/>
      <c r="R2433" s="9"/>
      <c r="S2433" s="9"/>
      <c r="T2433" s="9"/>
      <c r="U2433" s="9"/>
      <c r="V2433" s="9"/>
      <c r="W2433" s="9"/>
      <c r="X2433" s="9"/>
      <c r="Y2433" s="9"/>
      <c r="Z2433" s="9"/>
      <c r="AA2433" s="9"/>
      <c r="AB2433" s="9"/>
      <c r="AC2433" s="9"/>
      <c r="AD2433" s="9"/>
      <c r="AE2433" s="9"/>
      <c r="AF2433" s="9"/>
      <c r="AG2433" s="9"/>
      <c r="AH2433" s="9"/>
      <c r="AI2433" s="9"/>
      <c r="AJ2433" s="9"/>
      <c r="AK2433" s="9"/>
      <c r="AL2433" s="9"/>
      <c r="AM2433" s="9"/>
      <c r="AN2433" s="9"/>
      <c r="AO2433" s="9"/>
      <c r="AP2433" s="9"/>
      <c r="AQ2433" s="9"/>
      <c r="AR2433" s="9"/>
      <c r="AS2433" s="9"/>
      <c r="AT2433" s="9"/>
      <c r="AU2433" s="9"/>
    </row>
    <row r="2434" spans="1:47" ht="15.75" customHeight="1">
      <c r="A2434" s="9"/>
      <c r="B2434" s="9"/>
      <c r="C2434" s="9"/>
      <c r="D2434" s="9"/>
      <c r="E2434" s="9"/>
      <c r="F2434" s="67"/>
      <c r="G2434" s="9"/>
      <c r="H2434" s="9"/>
      <c r="I2434" s="9"/>
      <c r="J2434" s="9"/>
      <c r="K2434" s="9"/>
      <c r="L2434" s="9"/>
      <c r="M2434" s="9"/>
      <c r="N2434" s="9"/>
      <c r="O2434" s="9"/>
      <c r="P2434" s="9"/>
      <c r="Q2434" s="9"/>
      <c r="R2434" s="9"/>
      <c r="S2434" s="9"/>
      <c r="T2434" s="9"/>
      <c r="U2434" s="9"/>
      <c r="V2434" s="9"/>
      <c r="W2434" s="9"/>
      <c r="X2434" s="9"/>
      <c r="Y2434" s="9"/>
      <c r="Z2434" s="9"/>
      <c r="AA2434" s="9"/>
      <c r="AB2434" s="9"/>
      <c r="AC2434" s="9"/>
      <c r="AD2434" s="9"/>
      <c r="AE2434" s="9"/>
      <c r="AF2434" s="9"/>
      <c r="AG2434" s="9"/>
      <c r="AH2434" s="9"/>
      <c r="AI2434" s="9"/>
      <c r="AJ2434" s="9"/>
      <c r="AK2434" s="9"/>
      <c r="AL2434" s="9"/>
      <c r="AM2434" s="9"/>
      <c r="AN2434" s="9"/>
      <c r="AO2434" s="9"/>
      <c r="AP2434" s="9"/>
      <c r="AQ2434" s="9"/>
      <c r="AR2434" s="9"/>
      <c r="AS2434" s="9"/>
      <c r="AT2434" s="9"/>
      <c r="AU2434" s="9"/>
    </row>
    <row r="2435" spans="1:47" ht="15.75" customHeight="1">
      <c r="A2435" s="9"/>
      <c r="B2435" s="9"/>
      <c r="C2435" s="9"/>
      <c r="D2435" s="9"/>
      <c r="E2435" s="9"/>
      <c r="F2435" s="67"/>
      <c r="G2435" s="9"/>
      <c r="H2435" s="9"/>
      <c r="I2435" s="9"/>
      <c r="J2435" s="9"/>
      <c r="K2435" s="9"/>
      <c r="L2435" s="9"/>
      <c r="M2435" s="9"/>
      <c r="N2435" s="9"/>
      <c r="O2435" s="9"/>
      <c r="P2435" s="9"/>
      <c r="Q2435" s="9"/>
      <c r="R2435" s="9"/>
      <c r="S2435" s="9"/>
      <c r="T2435" s="9"/>
      <c r="U2435" s="9"/>
      <c r="V2435" s="9"/>
      <c r="W2435" s="9"/>
      <c r="X2435" s="9"/>
      <c r="Y2435" s="9"/>
      <c r="Z2435" s="9"/>
      <c r="AA2435" s="9"/>
      <c r="AB2435" s="9"/>
      <c r="AC2435" s="9"/>
      <c r="AD2435" s="9"/>
      <c r="AE2435" s="9"/>
      <c r="AF2435" s="9"/>
      <c r="AG2435" s="9"/>
      <c r="AH2435" s="9"/>
      <c r="AI2435" s="9"/>
      <c r="AJ2435" s="9"/>
      <c r="AK2435" s="9"/>
      <c r="AL2435" s="9"/>
      <c r="AM2435" s="9"/>
      <c r="AN2435" s="9"/>
      <c r="AO2435" s="9"/>
      <c r="AP2435" s="9"/>
      <c r="AQ2435" s="9"/>
      <c r="AR2435" s="9"/>
      <c r="AS2435" s="9"/>
      <c r="AT2435" s="9"/>
      <c r="AU2435" s="9"/>
    </row>
    <row r="2436" spans="1:47" ht="15.75" customHeight="1">
      <c r="A2436" s="9"/>
      <c r="B2436" s="9"/>
      <c r="C2436" s="9"/>
      <c r="D2436" s="9"/>
      <c r="E2436" s="9"/>
      <c r="F2436" s="67"/>
      <c r="G2436" s="9"/>
      <c r="H2436" s="9"/>
      <c r="I2436" s="9"/>
      <c r="J2436" s="9"/>
      <c r="K2436" s="9"/>
      <c r="L2436" s="9"/>
      <c r="M2436" s="9"/>
      <c r="N2436" s="9"/>
      <c r="O2436" s="9"/>
      <c r="P2436" s="9"/>
      <c r="Q2436" s="9"/>
      <c r="R2436" s="9"/>
      <c r="S2436" s="9"/>
      <c r="T2436" s="9"/>
      <c r="U2436" s="9"/>
      <c r="V2436" s="9"/>
      <c r="W2436" s="9"/>
      <c r="X2436" s="9"/>
      <c r="Y2436" s="9"/>
      <c r="Z2436" s="9"/>
      <c r="AA2436" s="9"/>
      <c r="AB2436" s="9"/>
      <c r="AC2436" s="9"/>
      <c r="AD2436" s="9"/>
      <c r="AE2436" s="9"/>
      <c r="AF2436" s="9"/>
      <c r="AG2436" s="9"/>
      <c r="AH2436" s="9"/>
      <c r="AI2436" s="9"/>
      <c r="AJ2436" s="9"/>
      <c r="AK2436" s="9"/>
      <c r="AL2436" s="9"/>
      <c r="AM2436" s="9"/>
      <c r="AN2436" s="9"/>
      <c r="AO2436" s="9"/>
      <c r="AP2436" s="9"/>
      <c r="AQ2436" s="9"/>
      <c r="AR2436" s="9"/>
      <c r="AS2436" s="9"/>
      <c r="AT2436" s="9"/>
      <c r="AU2436" s="9"/>
    </row>
    <row r="2437" spans="1:47" ht="15.75" customHeight="1">
      <c r="A2437" s="9"/>
      <c r="B2437" s="9"/>
      <c r="C2437" s="9"/>
      <c r="D2437" s="9"/>
      <c r="E2437" s="9"/>
      <c r="F2437" s="67"/>
      <c r="G2437" s="9"/>
      <c r="H2437" s="9"/>
      <c r="I2437" s="9"/>
      <c r="J2437" s="9"/>
      <c r="K2437" s="9"/>
      <c r="L2437" s="9"/>
      <c r="M2437" s="9"/>
      <c r="N2437" s="9"/>
      <c r="O2437" s="9"/>
      <c r="P2437" s="9"/>
      <c r="Q2437" s="9"/>
      <c r="R2437" s="9"/>
      <c r="S2437" s="9"/>
      <c r="T2437" s="9"/>
      <c r="U2437" s="9"/>
      <c r="V2437" s="9"/>
      <c r="W2437" s="9"/>
      <c r="X2437" s="9"/>
      <c r="Y2437" s="9"/>
      <c r="Z2437" s="9"/>
      <c r="AA2437" s="9"/>
      <c r="AB2437" s="9"/>
      <c r="AC2437" s="9"/>
      <c r="AD2437" s="9"/>
      <c r="AE2437" s="9"/>
      <c r="AF2437" s="9"/>
      <c r="AG2437" s="9"/>
      <c r="AH2437" s="9"/>
      <c r="AI2437" s="9"/>
      <c r="AJ2437" s="9"/>
      <c r="AK2437" s="9"/>
      <c r="AL2437" s="9"/>
      <c r="AM2437" s="9"/>
      <c r="AN2437" s="9"/>
      <c r="AO2437" s="9"/>
      <c r="AP2437" s="9"/>
      <c r="AQ2437" s="9"/>
      <c r="AR2437" s="9"/>
      <c r="AS2437" s="9"/>
      <c r="AT2437" s="9"/>
      <c r="AU2437" s="9"/>
    </row>
    <row r="2438" spans="1:47" ht="15.75" customHeight="1">
      <c r="A2438" s="9"/>
      <c r="B2438" s="9"/>
      <c r="C2438" s="9"/>
      <c r="D2438" s="9"/>
      <c r="E2438" s="9"/>
      <c r="F2438" s="67"/>
      <c r="G2438" s="9"/>
      <c r="H2438" s="9"/>
      <c r="I2438" s="9"/>
      <c r="J2438" s="9"/>
      <c r="K2438" s="9"/>
      <c r="L2438" s="9"/>
      <c r="M2438" s="9"/>
      <c r="N2438" s="9"/>
      <c r="O2438" s="9"/>
      <c r="P2438" s="9"/>
      <c r="Q2438" s="9"/>
      <c r="R2438" s="9"/>
      <c r="S2438" s="9"/>
      <c r="T2438" s="9"/>
      <c r="U2438" s="9"/>
      <c r="V2438" s="9"/>
      <c r="W2438" s="9"/>
      <c r="X2438" s="9"/>
      <c r="Y2438" s="9"/>
      <c r="Z2438" s="9"/>
      <c r="AA2438" s="9"/>
      <c r="AB2438" s="9"/>
      <c r="AC2438" s="9"/>
      <c r="AD2438" s="9"/>
      <c r="AE2438" s="9"/>
      <c r="AF2438" s="9"/>
      <c r="AG2438" s="9"/>
      <c r="AH2438" s="9"/>
      <c r="AI2438" s="9"/>
      <c r="AJ2438" s="9"/>
      <c r="AK2438" s="9"/>
      <c r="AL2438" s="9"/>
      <c r="AM2438" s="9"/>
      <c r="AN2438" s="9"/>
      <c r="AO2438" s="9"/>
      <c r="AP2438" s="9"/>
      <c r="AQ2438" s="9"/>
      <c r="AR2438" s="9"/>
      <c r="AS2438" s="9"/>
      <c r="AT2438" s="9"/>
      <c r="AU2438" s="9"/>
    </row>
    <row r="2439" spans="1:47" ht="15.75" customHeight="1">
      <c r="A2439" s="9"/>
      <c r="B2439" s="9"/>
      <c r="C2439" s="9"/>
      <c r="D2439" s="9"/>
      <c r="E2439" s="9"/>
      <c r="F2439" s="67"/>
      <c r="G2439" s="9"/>
      <c r="H2439" s="9"/>
      <c r="I2439" s="9"/>
      <c r="J2439" s="9"/>
      <c r="K2439" s="9"/>
      <c r="L2439" s="9"/>
      <c r="M2439" s="9"/>
      <c r="N2439" s="9"/>
      <c r="O2439" s="9"/>
      <c r="P2439" s="9"/>
      <c r="Q2439" s="9"/>
      <c r="R2439" s="9"/>
      <c r="S2439" s="9"/>
      <c r="T2439" s="9"/>
      <c r="U2439" s="9"/>
      <c r="V2439" s="9"/>
      <c r="W2439" s="9"/>
      <c r="X2439" s="9"/>
      <c r="Y2439" s="9"/>
      <c r="Z2439" s="9"/>
      <c r="AA2439" s="9"/>
      <c r="AB2439" s="9"/>
      <c r="AC2439" s="9"/>
      <c r="AD2439" s="9"/>
      <c r="AE2439" s="9"/>
      <c r="AF2439" s="9"/>
      <c r="AG2439" s="9"/>
      <c r="AH2439" s="9"/>
      <c r="AI2439" s="9"/>
      <c r="AJ2439" s="9"/>
      <c r="AK2439" s="9"/>
      <c r="AL2439" s="9"/>
      <c r="AM2439" s="9"/>
      <c r="AN2439" s="9"/>
      <c r="AO2439" s="9"/>
      <c r="AP2439" s="9"/>
      <c r="AQ2439" s="9"/>
      <c r="AR2439" s="9"/>
      <c r="AS2439" s="9"/>
      <c r="AT2439" s="9"/>
      <c r="AU2439" s="9"/>
    </row>
    <row r="2440" spans="1:47" ht="15.75" customHeight="1">
      <c r="A2440" s="9"/>
      <c r="B2440" s="9"/>
      <c r="C2440" s="9"/>
      <c r="D2440" s="9"/>
      <c r="E2440" s="9"/>
      <c r="F2440" s="67"/>
      <c r="G2440" s="9"/>
      <c r="H2440" s="9"/>
      <c r="I2440" s="9"/>
      <c r="J2440" s="9"/>
      <c r="K2440" s="9"/>
      <c r="L2440" s="9"/>
      <c r="M2440" s="9"/>
      <c r="N2440" s="9"/>
      <c r="O2440" s="9"/>
      <c r="P2440" s="9"/>
      <c r="Q2440" s="9"/>
      <c r="R2440" s="9"/>
      <c r="S2440" s="9"/>
      <c r="T2440" s="9"/>
      <c r="U2440" s="9"/>
      <c r="V2440" s="9"/>
      <c r="W2440" s="9"/>
      <c r="X2440" s="9"/>
      <c r="Y2440" s="9"/>
      <c r="Z2440" s="9"/>
      <c r="AA2440" s="9"/>
      <c r="AB2440" s="9"/>
      <c r="AC2440" s="9"/>
      <c r="AD2440" s="9"/>
      <c r="AE2440" s="9"/>
      <c r="AF2440" s="9"/>
      <c r="AG2440" s="9"/>
      <c r="AH2440" s="9"/>
      <c r="AI2440" s="9"/>
      <c r="AJ2440" s="9"/>
      <c r="AK2440" s="9"/>
      <c r="AL2440" s="9"/>
      <c r="AM2440" s="9"/>
      <c r="AN2440" s="9"/>
      <c r="AO2440" s="9"/>
      <c r="AP2440" s="9"/>
      <c r="AQ2440" s="9"/>
      <c r="AR2440" s="9"/>
      <c r="AS2440" s="9"/>
      <c r="AT2440" s="9"/>
      <c r="AU2440" s="9"/>
    </row>
    <row r="2441" spans="1:47" ht="15.75" customHeight="1">
      <c r="A2441" s="9"/>
      <c r="B2441" s="9"/>
      <c r="C2441" s="9"/>
      <c r="D2441" s="9"/>
      <c r="E2441" s="9"/>
      <c r="F2441" s="67"/>
      <c r="G2441" s="9"/>
      <c r="H2441" s="9"/>
      <c r="I2441" s="9"/>
      <c r="J2441" s="9"/>
      <c r="K2441" s="9"/>
      <c r="L2441" s="9"/>
      <c r="M2441" s="9"/>
      <c r="N2441" s="9"/>
      <c r="O2441" s="9"/>
      <c r="P2441" s="9"/>
      <c r="Q2441" s="9"/>
      <c r="R2441" s="9"/>
      <c r="S2441" s="9"/>
      <c r="T2441" s="9"/>
      <c r="U2441" s="9"/>
      <c r="V2441" s="9"/>
      <c r="W2441" s="9"/>
      <c r="X2441" s="9"/>
      <c r="Y2441" s="9"/>
      <c r="Z2441" s="9"/>
      <c r="AA2441" s="9"/>
      <c r="AB2441" s="9"/>
      <c r="AC2441" s="9"/>
      <c r="AD2441" s="9"/>
      <c r="AE2441" s="9"/>
      <c r="AF2441" s="9"/>
      <c r="AG2441" s="9"/>
      <c r="AH2441" s="9"/>
      <c r="AI2441" s="9"/>
      <c r="AJ2441" s="9"/>
      <c r="AK2441" s="9"/>
      <c r="AL2441" s="9"/>
      <c r="AM2441" s="9"/>
      <c r="AN2441" s="9"/>
      <c r="AO2441" s="9"/>
      <c r="AP2441" s="9"/>
      <c r="AQ2441" s="9"/>
      <c r="AR2441" s="9"/>
      <c r="AS2441" s="9"/>
      <c r="AT2441" s="9"/>
      <c r="AU2441" s="9"/>
    </row>
    <row r="2442" spans="1:47" ht="15.75" customHeight="1">
      <c r="A2442" s="9"/>
      <c r="B2442" s="9"/>
      <c r="C2442" s="9"/>
      <c r="D2442" s="9"/>
      <c r="E2442" s="9"/>
      <c r="F2442" s="67"/>
      <c r="G2442" s="9"/>
      <c r="H2442" s="9"/>
      <c r="I2442" s="9"/>
      <c r="J2442" s="9"/>
      <c r="K2442" s="9"/>
      <c r="L2442" s="9"/>
      <c r="M2442" s="9"/>
      <c r="N2442" s="9"/>
      <c r="O2442" s="9"/>
      <c r="P2442" s="9"/>
      <c r="Q2442" s="9"/>
      <c r="R2442" s="9"/>
      <c r="S2442" s="9"/>
      <c r="T2442" s="9"/>
      <c r="U2442" s="9"/>
      <c r="V2442" s="9"/>
      <c r="W2442" s="9"/>
      <c r="X2442" s="9"/>
      <c r="Y2442" s="9"/>
      <c r="Z2442" s="9"/>
      <c r="AA2442" s="9"/>
      <c r="AB2442" s="9"/>
      <c r="AC2442" s="9"/>
      <c r="AD2442" s="9"/>
      <c r="AE2442" s="9"/>
      <c r="AF2442" s="9"/>
      <c r="AG2442" s="9"/>
      <c r="AH2442" s="9"/>
      <c r="AI2442" s="9"/>
      <c r="AJ2442" s="9"/>
      <c r="AK2442" s="9"/>
      <c r="AL2442" s="9"/>
      <c r="AM2442" s="9"/>
      <c r="AN2442" s="9"/>
      <c r="AO2442" s="9"/>
      <c r="AP2442" s="9"/>
      <c r="AQ2442" s="9"/>
      <c r="AR2442" s="9"/>
      <c r="AS2442" s="9"/>
      <c r="AT2442" s="9"/>
      <c r="AU2442" s="9"/>
    </row>
    <row r="2443" spans="1:47" ht="15.75" customHeight="1">
      <c r="A2443" s="9"/>
      <c r="B2443" s="9"/>
      <c r="C2443" s="9"/>
      <c r="D2443" s="9"/>
      <c r="E2443" s="9"/>
      <c r="F2443" s="67"/>
      <c r="G2443" s="9"/>
      <c r="H2443" s="9"/>
      <c r="I2443" s="9"/>
      <c r="J2443" s="9"/>
      <c r="K2443" s="9"/>
      <c r="L2443" s="9"/>
      <c r="M2443" s="9"/>
      <c r="N2443" s="9"/>
      <c r="O2443" s="9"/>
      <c r="P2443" s="9"/>
      <c r="Q2443" s="9"/>
      <c r="R2443" s="9"/>
      <c r="S2443" s="9"/>
      <c r="T2443" s="9"/>
      <c r="U2443" s="9"/>
      <c r="V2443" s="9"/>
      <c r="W2443" s="9"/>
      <c r="X2443" s="9"/>
      <c r="Y2443" s="9"/>
      <c r="Z2443" s="9"/>
      <c r="AA2443" s="9"/>
      <c r="AB2443" s="9"/>
      <c r="AC2443" s="9"/>
      <c r="AD2443" s="9"/>
      <c r="AE2443" s="9"/>
      <c r="AF2443" s="9"/>
      <c r="AG2443" s="9"/>
      <c r="AH2443" s="9"/>
      <c r="AI2443" s="9"/>
      <c r="AJ2443" s="9"/>
      <c r="AK2443" s="9"/>
      <c r="AL2443" s="9"/>
      <c r="AM2443" s="9"/>
      <c r="AN2443" s="9"/>
      <c r="AO2443" s="9"/>
      <c r="AP2443" s="9"/>
      <c r="AQ2443" s="9"/>
      <c r="AR2443" s="9"/>
      <c r="AS2443" s="9"/>
      <c r="AT2443" s="9"/>
      <c r="AU2443" s="9"/>
    </row>
    <row r="2444" spans="1:47" ht="15.75" customHeight="1">
      <c r="A2444" s="9"/>
      <c r="B2444" s="9"/>
      <c r="C2444" s="9"/>
      <c r="D2444" s="9"/>
      <c r="E2444" s="9"/>
      <c r="F2444" s="67"/>
      <c r="G2444" s="9"/>
      <c r="H2444" s="9"/>
      <c r="I2444" s="9"/>
      <c r="J2444" s="9"/>
      <c r="K2444" s="9"/>
      <c r="L2444" s="9"/>
      <c r="M2444" s="9"/>
      <c r="N2444" s="9"/>
      <c r="O2444" s="9"/>
      <c r="P2444" s="9"/>
      <c r="Q2444" s="9"/>
      <c r="R2444" s="9"/>
      <c r="S2444" s="9"/>
      <c r="T2444" s="9"/>
      <c r="U2444" s="9"/>
      <c r="V2444" s="9"/>
      <c r="W2444" s="9"/>
      <c r="X2444" s="9"/>
      <c r="Y2444" s="9"/>
      <c r="Z2444" s="9"/>
      <c r="AA2444" s="9"/>
      <c r="AB2444" s="9"/>
      <c r="AC2444" s="9"/>
      <c r="AD2444" s="9"/>
      <c r="AE2444" s="9"/>
      <c r="AF2444" s="9"/>
      <c r="AG2444" s="9"/>
      <c r="AH2444" s="9"/>
      <c r="AI2444" s="9"/>
      <c r="AJ2444" s="9"/>
      <c r="AK2444" s="9"/>
      <c r="AL2444" s="9"/>
      <c r="AM2444" s="9"/>
      <c r="AN2444" s="9"/>
      <c r="AO2444" s="9"/>
      <c r="AP2444" s="9"/>
      <c r="AQ2444" s="9"/>
      <c r="AR2444" s="9"/>
      <c r="AS2444" s="9"/>
      <c r="AT2444" s="9"/>
      <c r="AU2444" s="9"/>
    </row>
    <row r="2445" spans="1:47" ht="15.75" customHeight="1">
      <c r="A2445" s="9"/>
      <c r="B2445" s="9"/>
      <c r="C2445" s="9"/>
      <c r="D2445" s="9"/>
      <c r="E2445" s="9"/>
      <c r="F2445" s="67"/>
      <c r="G2445" s="9"/>
      <c r="H2445" s="9"/>
      <c r="I2445" s="9"/>
      <c r="J2445" s="9"/>
      <c r="K2445" s="9"/>
      <c r="L2445" s="9"/>
      <c r="M2445" s="9"/>
      <c r="N2445" s="9"/>
      <c r="O2445" s="9"/>
      <c r="P2445" s="9"/>
      <c r="Q2445" s="9"/>
      <c r="R2445" s="9"/>
      <c r="S2445" s="9"/>
      <c r="T2445" s="9"/>
      <c r="U2445" s="9"/>
      <c r="V2445" s="9"/>
      <c r="W2445" s="9"/>
      <c r="X2445" s="9"/>
      <c r="Y2445" s="9"/>
      <c r="Z2445" s="9"/>
      <c r="AA2445" s="9"/>
      <c r="AB2445" s="9"/>
      <c r="AC2445" s="9"/>
      <c r="AD2445" s="9"/>
      <c r="AE2445" s="9"/>
      <c r="AF2445" s="9"/>
      <c r="AG2445" s="9"/>
      <c r="AH2445" s="9"/>
      <c r="AI2445" s="9"/>
      <c r="AJ2445" s="9"/>
      <c r="AK2445" s="9"/>
      <c r="AL2445" s="9"/>
      <c r="AM2445" s="9"/>
      <c r="AN2445" s="9"/>
      <c r="AO2445" s="9"/>
      <c r="AP2445" s="9"/>
      <c r="AQ2445" s="9"/>
      <c r="AR2445" s="9"/>
      <c r="AS2445" s="9"/>
      <c r="AT2445" s="9"/>
      <c r="AU2445" s="9"/>
    </row>
    <row r="2446" spans="1:47" ht="15.75" customHeight="1">
      <c r="A2446" s="9"/>
      <c r="B2446" s="9"/>
      <c r="C2446" s="9"/>
      <c r="D2446" s="9"/>
      <c r="E2446" s="9"/>
      <c r="F2446" s="67"/>
      <c r="G2446" s="9"/>
      <c r="H2446" s="9"/>
      <c r="I2446" s="9"/>
      <c r="J2446" s="9"/>
      <c r="K2446" s="9"/>
      <c r="L2446" s="9"/>
      <c r="M2446" s="9"/>
      <c r="N2446" s="9"/>
      <c r="O2446" s="9"/>
      <c r="P2446" s="9"/>
      <c r="Q2446" s="9"/>
      <c r="R2446" s="9"/>
      <c r="S2446" s="9"/>
      <c r="T2446" s="9"/>
      <c r="U2446" s="9"/>
      <c r="V2446" s="9"/>
      <c r="W2446" s="9"/>
      <c r="X2446" s="9"/>
      <c r="Y2446" s="9"/>
      <c r="Z2446" s="9"/>
      <c r="AA2446" s="9"/>
      <c r="AB2446" s="9"/>
      <c r="AC2446" s="9"/>
      <c r="AD2446" s="9"/>
      <c r="AE2446" s="9"/>
      <c r="AF2446" s="9"/>
      <c r="AG2446" s="9"/>
      <c r="AH2446" s="9"/>
      <c r="AI2446" s="9"/>
      <c r="AJ2446" s="9"/>
      <c r="AK2446" s="9"/>
      <c r="AL2446" s="9"/>
      <c r="AM2446" s="9"/>
      <c r="AN2446" s="9"/>
      <c r="AO2446" s="9"/>
      <c r="AP2446" s="9"/>
      <c r="AQ2446" s="9"/>
      <c r="AR2446" s="9"/>
      <c r="AS2446" s="9"/>
      <c r="AT2446" s="9"/>
      <c r="AU2446" s="9"/>
    </row>
    <row r="2447" spans="1:47" ht="15.75" customHeight="1">
      <c r="A2447" s="9"/>
      <c r="B2447" s="9"/>
      <c r="C2447" s="9"/>
      <c r="D2447" s="9"/>
      <c r="E2447" s="9"/>
      <c r="F2447" s="67"/>
      <c r="G2447" s="9"/>
      <c r="H2447" s="9"/>
      <c r="I2447" s="9"/>
      <c r="J2447" s="9"/>
      <c r="K2447" s="9"/>
      <c r="L2447" s="9"/>
      <c r="M2447" s="9"/>
      <c r="N2447" s="9"/>
      <c r="O2447" s="9"/>
      <c r="P2447" s="9"/>
      <c r="Q2447" s="9"/>
      <c r="R2447" s="9"/>
      <c r="S2447" s="9"/>
      <c r="T2447" s="9"/>
      <c r="U2447" s="9"/>
      <c r="V2447" s="9"/>
      <c r="W2447" s="9"/>
      <c r="X2447" s="9"/>
      <c r="Y2447" s="9"/>
      <c r="Z2447" s="9"/>
      <c r="AA2447" s="9"/>
      <c r="AB2447" s="9"/>
      <c r="AC2447" s="9"/>
      <c r="AD2447" s="9"/>
      <c r="AE2447" s="9"/>
      <c r="AF2447" s="9"/>
      <c r="AG2447" s="9"/>
      <c r="AH2447" s="9"/>
      <c r="AI2447" s="9"/>
      <c r="AJ2447" s="9"/>
      <c r="AK2447" s="9"/>
      <c r="AL2447" s="9"/>
      <c r="AM2447" s="9"/>
      <c r="AN2447" s="9"/>
      <c r="AO2447" s="9"/>
      <c r="AP2447" s="9"/>
      <c r="AQ2447" s="9"/>
      <c r="AR2447" s="9"/>
      <c r="AS2447" s="9"/>
      <c r="AT2447" s="9"/>
      <c r="AU2447" s="9"/>
    </row>
    <row r="2448" spans="1:47" ht="15.75" customHeight="1">
      <c r="A2448" s="9"/>
      <c r="B2448" s="9"/>
      <c r="C2448" s="9"/>
      <c r="D2448" s="9"/>
      <c r="E2448" s="9"/>
      <c r="F2448" s="67"/>
      <c r="G2448" s="9"/>
      <c r="H2448" s="9"/>
      <c r="I2448" s="9"/>
      <c r="J2448" s="9"/>
      <c r="K2448" s="9"/>
      <c r="L2448" s="9"/>
      <c r="M2448" s="9"/>
      <c r="N2448" s="9"/>
      <c r="O2448" s="9"/>
      <c r="P2448" s="9"/>
      <c r="Q2448" s="9"/>
      <c r="R2448" s="9"/>
      <c r="S2448" s="9"/>
      <c r="T2448" s="9"/>
      <c r="U2448" s="9"/>
      <c r="V2448" s="9"/>
      <c r="W2448" s="9"/>
      <c r="X2448" s="9"/>
      <c r="Y2448" s="9"/>
      <c r="Z2448" s="9"/>
      <c r="AA2448" s="9"/>
      <c r="AB2448" s="9"/>
      <c r="AC2448" s="9"/>
      <c r="AD2448" s="9"/>
      <c r="AE2448" s="9"/>
      <c r="AF2448" s="9"/>
      <c r="AG2448" s="9"/>
      <c r="AH2448" s="9"/>
      <c r="AI2448" s="9"/>
      <c r="AJ2448" s="9"/>
      <c r="AK2448" s="9"/>
      <c r="AL2448" s="9"/>
      <c r="AM2448" s="9"/>
      <c r="AN2448" s="9"/>
      <c r="AO2448" s="9"/>
      <c r="AP2448" s="9"/>
      <c r="AQ2448" s="9"/>
      <c r="AR2448" s="9"/>
      <c r="AS2448" s="9"/>
      <c r="AT2448" s="9"/>
      <c r="AU2448" s="9"/>
    </row>
    <row r="2449" spans="1:47" ht="15.75" customHeight="1">
      <c r="A2449" s="9"/>
      <c r="B2449" s="9"/>
      <c r="C2449" s="9"/>
      <c r="D2449" s="9"/>
      <c r="E2449" s="9"/>
      <c r="F2449" s="67"/>
      <c r="G2449" s="9"/>
      <c r="H2449" s="9"/>
      <c r="I2449" s="9"/>
      <c r="J2449" s="9"/>
      <c r="K2449" s="9"/>
      <c r="L2449" s="9"/>
      <c r="M2449" s="9"/>
      <c r="N2449" s="9"/>
      <c r="O2449" s="9"/>
      <c r="P2449" s="9"/>
      <c r="Q2449" s="9"/>
      <c r="R2449" s="9"/>
      <c r="S2449" s="9"/>
      <c r="T2449" s="9"/>
      <c r="U2449" s="9"/>
      <c r="V2449" s="9"/>
      <c r="W2449" s="9"/>
      <c r="X2449" s="9"/>
      <c r="Y2449" s="9"/>
      <c r="Z2449" s="9"/>
      <c r="AA2449" s="9"/>
      <c r="AB2449" s="9"/>
      <c r="AC2449" s="9"/>
      <c r="AD2449" s="9"/>
      <c r="AE2449" s="9"/>
      <c r="AF2449" s="9"/>
      <c r="AG2449" s="9"/>
      <c r="AH2449" s="9"/>
      <c r="AI2449" s="9"/>
      <c r="AJ2449" s="9"/>
      <c r="AK2449" s="9"/>
      <c r="AL2449" s="9"/>
      <c r="AM2449" s="9"/>
      <c r="AN2449" s="9"/>
      <c r="AO2449" s="9"/>
      <c r="AP2449" s="9"/>
      <c r="AQ2449" s="9"/>
      <c r="AR2449" s="9"/>
      <c r="AS2449" s="9"/>
      <c r="AT2449" s="9"/>
      <c r="AU2449" s="9"/>
    </row>
    <row r="2450" spans="1:47" ht="15.75" customHeight="1">
      <c r="A2450" s="9"/>
      <c r="B2450" s="9"/>
      <c r="C2450" s="9"/>
      <c r="D2450" s="9"/>
      <c r="E2450" s="9"/>
      <c r="F2450" s="67"/>
      <c r="G2450" s="9"/>
      <c r="H2450" s="9"/>
      <c r="I2450" s="9"/>
      <c r="J2450" s="9"/>
      <c r="K2450" s="9"/>
      <c r="L2450" s="9"/>
      <c r="M2450" s="9"/>
      <c r="N2450" s="9"/>
      <c r="O2450" s="9"/>
      <c r="P2450" s="9"/>
      <c r="Q2450" s="9"/>
      <c r="R2450" s="9"/>
      <c r="S2450" s="9"/>
      <c r="T2450" s="9"/>
      <c r="U2450" s="9"/>
      <c r="V2450" s="9"/>
      <c r="W2450" s="9"/>
      <c r="X2450" s="9"/>
      <c r="Y2450" s="9"/>
      <c r="Z2450" s="9"/>
      <c r="AA2450" s="9"/>
      <c r="AB2450" s="9"/>
      <c r="AC2450" s="9"/>
      <c r="AD2450" s="9"/>
      <c r="AE2450" s="9"/>
      <c r="AF2450" s="9"/>
      <c r="AG2450" s="9"/>
      <c r="AH2450" s="9"/>
      <c r="AI2450" s="9"/>
      <c r="AJ2450" s="9"/>
      <c r="AK2450" s="9"/>
      <c r="AL2450" s="9"/>
      <c r="AM2450" s="9"/>
      <c r="AN2450" s="9"/>
      <c r="AO2450" s="9"/>
      <c r="AP2450" s="9"/>
      <c r="AQ2450" s="9"/>
      <c r="AR2450" s="9"/>
      <c r="AS2450" s="9"/>
      <c r="AT2450" s="9"/>
      <c r="AU2450" s="9"/>
    </row>
    <row r="2451" spans="1:47" ht="15.75" customHeight="1">
      <c r="A2451" s="9"/>
      <c r="B2451" s="9"/>
      <c r="C2451" s="9"/>
      <c r="D2451" s="9"/>
      <c r="E2451" s="9"/>
      <c r="F2451" s="67"/>
      <c r="G2451" s="9"/>
      <c r="H2451" s="9"/>
      <c r="I2451" s="9"/>
      <c r="J2451" s="9"/>
      <c r="K2451" s="9"/>
      <c r="L2451" s="9"/>
      <c r="M2451" s="9"/>
      <c r="N2451" s="9"/>
      <c r="O2451" s="9"/>
      <c r="P2451" s="9"/>
      <c r="Q2451" s="9"/>
      <c r="R2451" s="9"/>
      <c r="S2451" s="9"/>
      <c r="T2451" s="9"/>
      <c r="U2451" s="9"/>
      <c r="V2451" s="9"/>
      <c r="W2451" s="9"/>
      <c r="X2451" s="9"/>
      <c r="Y2451" s="9"/>
      <c r="Z2451" s="9"/>
      <c r="AA2451" s="9"/>
      <c r="AB2451" s="9"/>
      <c r="AC2451" s="9"/>
      <c r="AD2451" s="9"/>
      <c r="AE2451" s="9"/>
      <c r="AF2451" s="9"/>
      <c r="AG2451" s="9"/>
      <c r="AH2451" s="9"/>
      <c r="AI2451" s="9"/>
      <c r="AJ2451" s="9"/>
      <c r="AK2451" s="9"/>
      <c r="AL2451" s="9"/>
      <c r="AM2451" s="9"/>
      <c r="AN2451" s="9"/>
      <c r="AO2451" s="9"/>
      <c r="AP2451" s="9"/>
      <c r="AQ2451" s="9"/>
      <c r="AR2451" s="9"/>
      <c r="AS2451" s="9"/>
      <c r="AT2451" s="9"/>
      <c r="AU2451" s="9"/>
    </row>
    <row r="2452" spans="1:47" ht="15.75" customHeight="1">
      <c r="A2452" s="9"/>
      <c r="B2452" s="9"/>
      <c r="C2452" s="9"/>
      <c r="D2452" s="9"/>
      <c r="E2452" s="9"/>
      <c r="F2452" s="67"/>
      <c r="G2452" s="9"/>
      <c r="H2452" s="9"/>
      <c r="I2452" s="9"/>
      <c r="J2452" s="9"/>
      <c r="K2452" s="9"/>
      <c r="L2452" s="9"/>
      <c r="M2452" s="9"/>
      <c r="N2452" s="9"/>
      <c r="O2452" s="9"/>
      <c r="P2452" s="9"/>
      <c r="Q2452" s="9"/>
      <c r="R2452" s="9"/>
      <c r="S2452" s="9"/>
      <c r="T2452" s="9"/>
      <c r="U2452" s="9"/>
      <c r="V2452" s="9"/>
      <c r="W2452" s="9"/>
      <c r="X2452" s="9"/>
      <c r="Y2452" s="9"/>
      <c r="Z2452" s="9"/>
      <c r="AA2452" s="9"/>
      <c r="AB2452" s="9"/>
      <c r="AC2452" s="9"/>
      <c r="AD2452" s="9"/>
      <c r="AE2452" s="9"/>
      <c r="AF2452" s="9"/>
      <c r="AG2452" s="9"/>
      <c r="AH2452" s="9"/>
      <c r="AI2452" s="9"/>
      <c r="AJ2452" s="9"/>
      <c r="AK2452" s="9"/>
      <c r="AL2452" s="9"/>
      <c r="AM2452" s="9"/>
      <c r="AN2452" s="9"/>
      <c r="AO2452" s="9"/>
      <c r="AP2452" s="9"/>
      <c r="AQ2452" s="9"/>
      <c r="AR2452" s="9"/>
      <c r="AS2452" s="9"/>
      <c r="AT2452" s="9"/>
      <c r="AU2452" s="9"/>
    </row>
    <row r="2453" spans="1:47" ht="15.75" customHeight="1">
      <c r="A2453" s="9"/>
      <c r="B2453" s="9"/>
      <c r="C2453" s="9"/>
      <c r="D2453" s="9"/>
      <c r="E2453" s="9"/>
      <c r="F2453" s="67"/>
      <c r="G2453" s="9"/>
      <c r="H2453" s="9"/>
      <c r="I2453" s="9"/>
      <c r="J2453" s="9"/>
      <c r="K2453" s="9"/>
      <c r="L2453" s="9"/>
      <c r="M2453" s="9"/>
      <c r="N2453" s="9"/>
      <c r="O2453" s="9"/>
      <c r="P2453" s="9"/>
      <c r="Q2453" s="9"/>
      <c r="R2453" s="9"/>
      <c r="S2453" s="9"/>
      <c r="T2453" s="9"/>
      <c r="U2453" s="9"/>
      <c r="V2453" s="9"/>
      <c r="W2453" s="9"/>
      <c r="X2453" s="9"/>
      <c r="Y2453" s="9"/>
      <c r="Z2453" s="9"/>
      <c r="AA2453" s="9"/>
      <c r="AB2453" s="9"/>
      <c r="AC2453" s="9"/>
      <c r="AD2453" s="9"/>
      <c r="AE2453" s="9"/>
      <c r="AF2453" s="9"/>
      <c r="AG2453" s="9"/>
      <c r="AH2453" s="9"/>
      <c r="AI2453" s="9"/>
      <c r="AJ2453" s="9"/>
      <c r="AK2453" s="9"/>
      <c r="AL2453" s="9"/>
      <c r="AM2453" s="9"/>
      <c r="AN2453" s="9"/>
      <c r="AO2453" s="9"/>
      <c r="AP2453" s="9"/>
      <c r="AQ2453" s="9"/>
      <c r="AR2453" s="9"/>
      <c r="AS2453" s="9"/>
      <c r="AT2453" s="9"/>
      <c r="AU2453" s="9"/>
    </row>
    <row r="2454" spans="1:47" ht="15.75" customHeight="1">
      <c r="A2454" s="9"/>
      <c r="B2454" s="9"/>
      <c r="C2454" s="9"/>
      <c r="D2454" s="9"/>
      <c r="E2454" s="9"/>
      <c r="F2454" s="67"/>
      <c r="G2454" s="9"/>
      <c r="H2454" s="9"/>
      <c r="I2454" s="9"/>
      <c r="J2454" s="9"/>
      <c r="K2454" s="9"/>
      <c r="L2454" s="9"/>
      <c r="M2454" s="9"/>
      <c r="N2454" s="9"/>
      <c r="O2454" s="9"/>
      <c r="P2454" s="9"/>
      <c r="Q2454" s="9"/>
      <c r="R2454" s="9"/>
      <c r="S2454" s="9"/>
      <c r="T2454" s="9"/>
      <c r="U2454" s="9"/>
      <c r="V2454" s="9"/>
      <c r="W2454" s="9"/>
      <c r="X2454" s="9"/>
      <c r="Y2454" s="9"/>
      <c r="Z2454" s="9"/>
      <c r="AA2454" s="9"/>
      <c r="AB2454" s="9"/>
      <c r="AC2454" s="9"/>
      <c r="AD2454" s="9"/>
      <c r="AE2454" s="9"/>
      <c r="AF2454" s="9"/>
      <c r="AG2454" s="9"/>
      <c r="AH2454" s="9"/>
      <c r="AI2454" s="9"/>
      <c r="AJ2454" s="9"/>
      <c r="AK2454" s="9"/>
      <c r="AL2454" s="9"/>
      <c r="AM2454" s="9"/>
      <c r="AN2454" s="9"/>
      <c r="AO2454" s="9"/>
      <c r="AP2454" s="9"/>
      <c r="AQ2454" s="9"/>
      <c r="AR2454" s="9"/>
      <c r="AS2454" s="9"/>
      <c r="AT2454" s="9"/>
      <c r="AU2454" s="9"/>
    </row>
    <row r="2455" spans="1:47" ht="15.75" customHeight="1">
      <c r="A2455" s="9"/>
      <c r="B2455" s="9"/>
      <c r="C2455" s="9"/>
      <c r="D2455" s="9"/>
      <c r="E2455" s="9"/>
      <c r="F2455" s="67"/>
      <c r="G2455" s="9"/>
      <c r="H2455" s="9"/>
      <c r="I2455" s="9"/>
      <c r="J2455" s="9"/>
      <c r="K2455" s="9"/>
      <c r="L2455" s="9"/>
      <c r="M2455" s="9"/>
      <c r="N2455" s="9"/>
      <c r="O2455" s="9"/>
      <c r="P2455" s="9"/>
      <c r="Q2455" s="9"/>
      <c r="R2455" s="9"/>
      <c r="S2455" s="9"/>
      <c r="T2455" s="9"/>
      <c r="U2455" s="9"/>
      <c r="V2455" s="9"/>
      <c r="W2455" s="9"/>
      <c r="X2455" s="9"/>
      <c r="Y2455" s="9"/>
      <c r="Z2455" s="9"/>
      <c r="AA2455" s="9"/>
      <c r="AB2455" s="9"/>
      <c r="AC2455" s="9"/>
      <c r="AD2455" s="9"/>
      <c r="AE2455" s="9"/>
      <c r="AF2455" s="9"/>
      <c r="AG2455" s="9"/>
      <c r="AH2455" s="9"/>
      <c r="AI2455" s="9"/>
      <c r="AJ2455" s="9"/>
      <c r="AK2455" s="9"/>
      <c r="AL2455" s="9"/>
      <c r="AM2455" s="9"/>
      <c r="AN2455" s="9"/>
      <c r="AO2455" s="9"/>
      <c r="AP2455" s="9"/>
      <c r="AQ2455" s="9"/>
      <c r="AR2455" s="9"/>
      <c r="AS2455" s="9"/>
      <c r="AT2455" s="9"/>
      <c r="AU2455" s="9"/>
    </row>
    <row r="2456" spans="1:47" ht="15.75" customHeight="1">
      <c r="A2456" s="9"/>
      <c r="B2456" s="9"/>
      <c r="C2456" s="9"/>
      <c r="D2456" s="9"/>
      <c r="E2456" s="9"/>
      <c r="F2456" s="67"/>
      <c r="G2456" s="9"/>
      <c r="H2456" s="9"/>
      <c r="I2456" s="9"/>
      <c r="J2456" s="9"/>
      <c r="K2456" s="9"/>
      <c r="L2456" s="9"/>
      <c r="M2456" s="9"/>
      <c r="N2456" s="9"/>
      <c r="O2456" s="9"/>
      <c r="P2456" s="9"/>
      <c r="Q2456" s="9"/>
      <c r="R2456" s="9"/>
      <c r="S2456" s="9"/>
      <c r="T2456" s="9"/>
      <c r="U2456" s="9"/>
      <c r="V2456" s="9"/>
      <c r="W2456" s="9"/>
      <c r="X2456" s="9"/>
      <c r="Y2456" s="9"/>
      <c r="Z2456" s="9"/>
      <c r="AA2456" s="9"/>
      <c r="AB2456" s="9"/>
      <c r="AC2456" s="9"/>
      <c r="AD2456" s="9"/>
      <c r="AE2456" s="9"/>
      <c r="AF2456" s="9"/>
      <c r="AG2456" s="9"/>
      <c r="AH2456" s="9"/>
      <c r="AI2456" s="9"/>
      <c r="AJ2456" s="9"/>
      <c r="AK2456" s="9"/>
      <c r="AL2456" s="9"/>
      <c r="AM2456" s="9"/>
      <c r="AN2456" s="9"/>
      <c r="AO2456" s="9"/>
      <c r="AP2456" s="9"/>
      <c r="AQ2456" s="9"/>
      <c r="AR2456" s="9"/>
      <c r="AS2456" s="9"/>
      <c r="AT2456" s="9"/>
      <c r="AU2456" s="9"/>
    </row>
    <row r="2457" spans="1:47" ht="15.75" customHeight="1">
      <c r="A2457" s="9"/>
      <c r="B2457" s="9"/>
      <c r="C2457" s="9"/>
      <c r="D2457" s="9"/>
      <c r="E2457" s="9"/>
      <c r="F2457" s="67"/>
      <c r="G2457" s="9"/>
      <c r="H2457" s="9"/>
      <c r="I2457" s="9"/>
      <c r="J2457" s="9"/>
      <c r="K2457" s="9"/>
      <c r="L2457" s="9"/>
      <c r="M2457" s="9"/>
      <c r="N2457" s="9"/>
      <c r="O2457" s="9"/>
      <c r="P2457" s="9"/>
      <c r="Q2457" s="9"/>
      <c r="R2457" s="9"/>
      <c r="S2457" s="9"/>
      <c r="T2457" s="9"/>
      <c r="U2457" s="9"/>
      <c r="V2457" s="9"/>
      <c r="W2457" s="9"/>
      <c r="X2457" s="9"/>
      <c r="Y2457" s="9"/>
      <c r="Z2457" s="9"/>
      <c r="AA2457" s="9"/>
      <c r="AB2457" s="9"/>
      <c r="AC2457" s="9"/>
      <c r="AD2457" s="9"/>
      <c r="AE2457" s="9"/>
      <c r="AF2457" s="9"/>
      <c r="AG2457" s="9"/>
      <c r="AH2457" s="9"/>
      <c r="AI2457" s="9"/>
      <c r="AJ2457" s="9"/>
      <c r="AK2457" s="9"/>
      <c r="AL2457" s="9"/>
      <c r="AM2457" s="9"/>
      <c r="AN2457" s="9"/>
      <c r="AO2457" s="9"/>
      <c r="AP2457" s="9"/>
      <c r="AQ2457" s="9"/>
      <c r="AR2457" s="9"/>
      <c r="AS2457" s="9"/>
      <c r="AT2457" s="9"/>
      <c r="AU2457" s="9"/>
    </row>
    <row r="2458" spans="1:47" ht="15.75" customHeight="1">
      <c r="A2458" s="9"/>
      <c r="B2458" s="9"/>
      <c r="C2458" s="9"/>
      <c r="D2458" s="9"/>
      <c r="E2458" s="9"/>
      <c r="F2458" s="67"/>
      <c r="G2458" s="9"/>
      <c r="H2458" s="9"/>
      <c r="I2458" s="9"/>
      <c r="J2458" s="9"/>
      <c r="K2458" s="9"/>
      <c r="L2458" s="9"/>
      <c r="M2458" s="9"/>
      <c r="N2458" s="9"/>
      <c r="O2458" s="9"/>
      <c r="P2458" s="9"/>
      <c r="Q2458" s="9"/>
      <c r="R2458" s="9"/>
      <c r="S2458" s="9"/>
      <c r="T2458" s="9"/>
      <c r="U2458" s="9"/>
      <c r="V2458" s="9"/>
      <c r="W2458" s="9"/>
      <c r="X2458" s="9"/>
      <c r="Y2458" s="9"/>
      <c r="Z2458" s="9"/>
      <c r="AA2458" s="9"/>
      <c r="AB2458" s="9"/>
      <c r="AC2458" s="9"/>
      <c r="AD2458" s="9"/>
      <c r="AE2458" s="9"/>
      <c r="AF2458" s="9"/>
      <c r="AG2458" s="9"/>
      <c r="AH2458" s="9"/>
      <c r="AI2458" s="9"/>
      <c r="AJ2458" s="9"/>
      <c r="AK2458" s="9"/>
      <c r="AL2458" s="9"/>
      <c r="AM2458" s="9"/>
      <c r="AN2458" s="9"/>
      <c r="AO2458" s="9"/>
      <c r="AP2458" s="9"/>
      <c r="AQ2458" s="9"/>
      <c r="AR2458" s="9"/>
      <c r="AS2458" s="9"/>
      <c r="AT2458" s="9"/>
      <c r="AU2458" s="9"/>
    </row>
    <row r="2459" spans="1:47" ht="15.75" customHeight="1">
      <c r="A2459" s="9"/>
      <c r="B2459" s="9"/>
      <c r="C2459" s="9"/>
      <c r="D2459" s="9"/>
      <c r="E2459" s="9"/>
      <c r="F2459" s="67"/>
      <c r="G2459" s="9"/>
      <c r="H2459" s="9"/>
      <c r="I2459" s="9"/>
      <c r="J2459" s="9"/>
      <c r="K2459" s="9"/>
      <c r="L2459" s="9"/>
      <c r="M2459" s="9"/>
      <c r="N2459" s="9"/>
      <c r="O2459" s="9"/>
      <c r="P2459" s="9"/>
      <c r="Q2459" s="9"/>
      <c r="R2459" s="9"/>
      <c r="S2459" s="9"/>
      <c r="T2459" s="9"/>
      <c r="U2459" s="9"/>
      <c r="V2459" s="9"/>
      <c r="W2459" s="9"/>
      <c r="X2459" s="9"/>
      <c r="Y2459" s="9"/>
      <c r="Z2459" s="9"/>
      <c r="AA2459" s="9"/>
      <c r="AB2459" s="9"/>
      <c r="AC2459" s="9"/>
      <c r="AD2459" s="9"/>
      <c r="AE2459" s="9"/>
      <c r="AF2459" s="9"/>
      <c r="AG2459" s="9"/>
      <c r="AH2459" s="9"/>
      <c r="AI2459" s="9"/>
      <c r="AJ2459" s="9"/>
      <c r="AK2459" s="9"/>
      <c r="AL2459" s="9"/>
      <c r="AM2459" s="9"/>
      <c r="AN2459" s="9"/>
      <c r="AO2459" s="9"/>
      <c r="AP2459" s="9"/>
      <c r="AQ2459" s="9"/>
      <c r="AR2459" s="9"/>
      <c r="AS2459" s="9"/>
      <c r="AT2459" s="9"/>
      <c r="AU2459" s="9"/>
    </row>
    <row r="2460" spans="1:47" ht="15.75" customHeight="1">
      <c r="A2460" s="9"/>
      <c r="B2460" s="9"/>
      <c r="C2460" s="9"/>
      <c r="D2460" s="9"/>
      <c r="E2460" s="9"/>
      <c r="F2460" s="67"/>
      <c r="G2460" s="9"/>
      <c r="H2460" s="9"/>
      <c r="I2460" s="9"/>
      <c r="J2460" s="9"/>
      <c r="K2460" s="9"/>
      <c r="L2460" s="9"/>
      <c r="M2460" s="9"/>
      <c r="N2460" s="9"/>
      <c r="O2460" s="9"/>
      <c r="P2460" s="9"/>
      <c r="Q2460" s="9"/>
      <c r="R2460" s="9"/>
      <c r="S2460" s="9"/>
      <c r="T2460" s="9"/>
      <c r="U2460" s="9"/>
      <c r="V2460" s="9"/>
      <c r="W2460" s="9"/>
      <c r="X2460" s="9"/>
      <c r="Y2460" s="9"/>
      <c r="Z2460" s="9"/>
      <c r="AA2460" s="9"/>
      <c r="AB2460" s="9"/>
      <c r="AC2460" s="9"/>
      <c r="AD2460" s="9"/>
      <c r="AE2460" s="9"/>
      <c r="AF2460" s="9"/>
      <c r="AG2460" s="9"/>
      <c r="AH2460" s="9"/>
      <c r="AI2460" s="9"/>
      <c r="AJ2460" s="9"/>
      <c r="AK2460" s="9"/>
      <c r="AL2460" s="9"/>
      <c r="AM2460" s="9"/>
      <c r="AN2460" s="9"/>
      <c r="AO2460" s="9"/>
      <c r="AP2460" s="9"/>
      <c r="AQ2460" s="9"/>
      <c r="AR2460" s="9"/>
      <c r="AS2460" s="9"/>
      <c r="AT2460" s="9"/>
      <c r="AU2460" s="9"/>
    </row>
    <row r="2461" spans="1:47" ht="15.75" customHeight="1">
      <c r="A2461" s="9"/>
      <c r="B2461" s="9"/>
      <c r="C2461" s="9"/>
      <c r="D2461" s="9"/>
      <c r="E2461" s="9"/>
      <c r="F2461" s="67"/>
      <c r="G2461" s="9"/>
      <c r="H2461" s="9"/>
      <c r="I2461" s="9"/>
      <c r="J2461" s="9"/>
      <c r="K2461" s="9"/>
      <c r="L2461" s="9"/>
      <c r="M2461" s="9"/>
      <c r="N2461" s="9"/>
      <c r="O2461" s="9"/>
      <c r="P2461" s="9"/>
      <c r="Q2461" s="9"/>
      <c r="R2461" s="9"/>
      <c r="S2461" s="9"/>
      <c r="T2461" s="9"/>
      <c r="U2461" s="9"/>
      <c r="V2461" s="9"/>
      <c r="W2461" s="9"/>
      <c r="X2461" s="9"/>
      <c r="Y2461" s="9"/>
      <c r="Z2461" s="9"/>
      <c r="AA2461" s="9"/>
      <c r="AB2461" s="9"/>
      <c r="AC2461" s="9"/>
      <c r="AD2461" s="9"/>
      <c r="AE2461" s="9"/>
      <c r="AF2461" s="9"/>
      <c r="AG2461" s="9"/>
      <c r="AH2461" s="9"/>
      <c r="AI2461" s="9"/>
      <c r="AJ2461" s="9"/>
      <c r="AK2461" s="9"/>
      <c r="AL2461" s="9"/>
      <c r="AM2461" s="9"/>
      <c r="AN2461" s="9"/>
      <c r="AO2461" s="9"/>
      <c r="AP2461" s="9"/>
      <c r="AQ2461" s="9"/>
      <c r="AR2461" s="9"/>
      <c r="AS2461" s="9"/>
      <c r="AT2461" s="9"/>
      <c r="AU2461" s="9"/>
    </row>
    <row r="2462" spans="1:47" ht="15.75" customHeight="1">
      <c r="A2462" s="9"/>
      <c r="B2462" s="9"/>
      <c r="C2462" s="9"/>
      <c r="D2462" s="9"/>
      <c r="E2462" s="9"/>
      <c r="F2462" s="67"/>
      <c r="G2462" s="9"/>
      <c r="H2462" s="9"/>
      <c r="I2462" s="9"/>
      <c r="J2462" s="9"/>
      <c r="K2462" s="9"/>
      <c r="L2462" s="9"/>
      <c r="M2462" s="9"/>
      <c r="N2462" s="9"/>
      <c r="O2462" s="9"/>
      <c r="P2462" s="9"/>
      <c r="Q2462" s="9"/>
      <c r="R2462" s="9"/>
      <c r="S2462" s="9"/>
      <c r="T2462" s="9"/>
      <c r="U2462" s="9"/>
      <c r="V2462" s="9"/>
      <c r="W2462" s="9"/>
      <c r="X2462" s="9"/>
      <c r="Y2462" s="9"/>
      <c r="Z2462" s="9"/>
      <c r="AA2462" s="9"/>
      <c r="AB2462" s="9"/>
      <c r="AC2462" s="9"/>
      <c r="AD2462" s="9"/>
      <c r="AE2462" s="9"/>
      <c r="AF2462" s="9"/>
      <c r="AG2462" s="9"/>
      <c r="AH2462" s="9"/>
      <c r="AI2462" s="9"/>
      <c r="AJ2462" s="9"/>
      <c r="AK2462" s="9"/>
      <c r="AL2462" s="9"/>
      <c r="AM2462" s="9"/>
      <c r="AN2462" s="9"/>
      <c r="AO2462" s="9"/>
      <c r="AP2462" s="9"/>
      <c r="AQ2462" s="9"/>
      <c r="AR2462" s="9"/>
      <c r="AS2462" s="9"/>
      <c r="AT2462" s="9"/>
      <c r="AU2462" s="9"/>
    </row>
    <row r="2463" spans="1:47" ht="15.75" customHeight="1">
      <c r="A2463" s="9"/>
      <c r="B2463" s="9"/>
      <c r="C2463" s="9"/>
      <c r="D2463" s="9"/>
      <c r="E2463" s="9"/>
      <c r="F2463" s="67"/>
      <c r="G2463" s="9"/>
      <c r="H2463" s="9"/>
      <c r="I2463" s="9"/>
      <c r="J2463" s="9"/>
      <c r="K2463" s="9"/>
      <c r="L2463" s="9"/>
      <c r="M2463" s="9"/>
      <c r="N2463" s="9"/>
      <c r="O2463" s="9"/>
      <c r="P2463" s="9"/>
      <c r="Q2463" s="9"/>
      <c r="R2463" s="9"/>
      <c r="S2463" s="9"/>
      <c r="T2463" s="9"/>
      <c r="U2463" s="9"/>
      <c r="V2463" s="9"/>
      <c r="W2463" s="9"/>
      <c r="X2463" s="9"/>
      <c r="Y2463" s="9"/>
      <c r="Z2463" s="9"/>
      <c r="AA2463" s="9"/>
      <c r="AB2463" s="9"/>
      <c r="AC2463" s="9"/>
      <c r="AD2463" s="9"/>
      <c r="AE2463" s="9"/>
      <c r="AF2463" s="9"/>
      <c r="AG2463" s="9"/>
      <c r="AH2463" s="9"/>
      <c r="AI2463" s="9"/>
      <c r="AJ2463" s="9"/>
      <c r="AK2463" s="9"/>
      <c r="AL2463" s="9"/>
      <c r="AM2463" s="9"/>
      <c r="AN2463" s="9"/>
      <c r="AO2463" s="9"/>
      <c r="AP2463" s="9"/>
      <c r="AQ2463" s="9"/>
      <c r="AR2463" s="9"/>
      <c r="AS2463" s="9"/>
      <c r="AT2463" s="9"/>
      <c r="AU2463" s="9"/>
    </row>
    <row r="2464" spans="1:47" ht="15.75" customHeight="1">
      <c r="A2464" s="9"/>
      <c r="B2464" s="9"/>
      <c r="C2464" s="9"/>
      <c r="D2464" s="9"/>
      <c r="E2464" s="9"/>
      <c r="F2464" s="67"/>
      <c r="G2464" s="9"/>
      <c r="H2464" s="9"/>
      <c r="I2464" s="9"/>
      <c r="J2464" s="9"/>
      <c r="K2464" s="9"/>
      <c r="L2464" s="9"/>
      <c r="M2464" s="9"/>
      <c r="N2464" s="9"/>
      <c r="O2464" s="9"/>
      <c r="P2464" s="9"/>
      <c r="Q2464" s="9"/>
      <c r="R2464" s="9"/>
      <c r="S2464" s="9"/>
      <c r="T2464" s="9"/>
      <c r="U2464" s="9"/>
      <c r="V2464" s="9"/>
      <c r="W2464" s="9"/>
      <c r="X2464" s="9"/>
      <c r="Y2464" s="9"/>
      <c r="Z2464" s="9"/>
      <c r="AA2464" s="9"/>
      <c r="AB2464" s="9"/>
      <c r="AC2464" s="9"/>
      <c r="AD2464" s="9"/>
      <c r="AE2464" s="9"/>
      <c r="AF2464" s="9"/>
      <c r="AG2464" s="9"/>
      <c r="AH2464" s="9"/>
      <c r="AI2464" s="9"/>
      <c r="AJ2464" s="9"/>
      <c r="AK2464" s="9"/>
      <c r="AL2464" s="9"/>
      <c r="AM2464" s="9"/>
      <c r="AN2464" s="9"/>
      <c r="AO2464" s="9"/>
      <c r="AP2464" s="9"/>
      <c r="AQ2464" s="9"/>
      <c r="AR2464" s="9"/>
      <c r="AS2464" s="9"/>
      <c r="AT2464" s="9"/>
      <c r="AU2464" s="9"/>
    </row>
    <row r="2465" spans="1:47" ht="15.75" customHeight="1">
      <c r="A2465" s="9"/>
      <c r="B2465" s="9"/>
      <c r="C2465" s="9"/>
      <c r="D2465" s="9"/>
      <c r="E2465" s="9"/>
      <c r="F2465" s="67"/>
      <c r="G2465" s="9"/>
      <c r="H2465" s="9"/>
      <c r="I2465" s="9"/>
      <c r="J2465" s="9"/>
      <c r="K2465" s="9"/>
      <c r="L2465" s="9"/>
      <c r="M2465" s="9"/>
      <c r="N2465" s="9"/>
      <c r="O2465" s="9"/>
      <c r="P2465" s="9"/>
      <c r="Q2465" s="9"/>
      <c r="R2465" s="9"/>
      <c r="S2465" s="9"/>
      <c r="T2465" s="9"/>
      <c r="U2465" s="9"/>
      <c r="V2465" s="9"/>
      <c r="W2465" s="9"/>
      <c r="X2465" s="9"/>
      <c r="Y2465" s="9"/>
      <c r="Z2465" s="9"/>
      <c r="AA2465" s="9"/>
      <c r="AB2465" s="9"/>
      <c r="AC2465" s="9"/>
      <c r="AD2465" s="9"/>
      <c r="AE2465" s="9"/>
      <c r="AF2465" s="9"/>
      <c r="AG2465" s="9"/>
      <c r="AH2465" s="9"/>
      <c r="AI2465" s="9"/>
      <c r="AJ2465" s="9"/>
      <c r="AK2465" s="9"/>
      <c r="AL2465" s="9"/>
      <c r="AM2465" s="9"/>
      <c r="AN2465" s="9"/>
      <c r="AO2465" s="9"/>
      <c r="AP2465" s="9"/>
      <c r="AQ2465" s="9"/>
      <c r="AR2465" s="9"/>
      <c r="AS2465" s="9"/>
      <c r="AT2465" s="9"/>
      <c r="AU2465" s="9"/>
    </row>
    <row r="2466" spans="1:47" ht="15.75" customHeight="1">
      <c r="A2466" s="9"/>
      <c r="B2466" s="9"/>
      <c r="C2466" s="9"/>
      <c r="D2466" s="9"/>
      <c r="E2466" s="9"/>
      <c r="F2466" s="67"/>
      <c r="G2466" s="9"/>
      <c r="H2466" s="9"/>
      <c r="I2466" s="9"/>
      <c r="J2466" s="9"/>
      <c r="K2466" s="9"/>
      <c r="L2466" s="9"/>
      <c r="M2466" s="9"/>
      <c r="N2466" s="9"/>
      <c r="O2466" s="9"/>
      <c r="P2466" s="9"/>
      <c r="Q2466" s="9"/>
      <c r="R2466" s="9"/>
      <c r="S2466" s="9"/>
      <c r="T2466" s="9"/>
      <c r="U2466" s="9"/>
      <c r="V2466" s="9"/>
      <c r="W2466" s="9"/>
      <c r="X2466" s="9"/>
      <c r="Y2466" s="9"/>
      <c r="Z2466" s="9"/>
      <c r="AA2466" s="9"/>
      <c r="AB2466" s="9"/>
      <c r="AC2466" s="9"/>
      <c r="AD2466" s="9"/>
      <c r="AE2466" s="9"/>
      <c r="AF2466" s="9"/>
      <c r="AG2466" s="9"/>
      <c r="AH2466" s="9"/>
      <c r="AI2466" s="9"/>
      <c r="AJ2466" s="9"/>
      <c r="AK2466" s="9"/>
      <c r="AL2466" s="9"/>
      <c r="AM2466" s="9"/>
      <c r="AN2466" s="9"/>
      <c r="AO2466" s="9"/>
      <c r="AP2466" s="9"/>
      <c r="AQ2466" s="9"/>
      <c r="AR2466" s="9"/>
      <c r="AS2466" s="9"/>
      <c r="AT2466" s="9"/>
      <c r="AU2466" s="9"/>
    </row>
    <row r="2467" spans="1:47" ht="15.75" customHeight="1">
      <c r="A2467" s="9"/>
      <c r="B2467" s="9"/>
      <c r="C2467" s="9"/>
      <c r="D2467" s="9"/>
      <c r="E2467" s="9"/>
      <c r="F2467" s="67"/>
      <c r="G2467" s="9"/>
      <c r="H2467" s="9"/>
      <c r="I2467" s="9"/>
      <c r="J2467" s="9"/>
      <c r="K2467" s="9"/>
      <c r="L2467" s="9"/>
      <c r="M2467" s="9"/>
      <c r="N2467" s="9"/>
      <c r="O2467" s="9"/>
      <c r="P2467" s="9"/>
      <c r="Q2467" s="9"/>
      <c r="R2467" s="9"/>
      <c r="S2467" s="9"/>
      <c r="T2467" s="9"/>
      <c r="U2467" s="9"/>
      <c r="V2467" s="9"/>
      <c r="W2467" s="9"/>
      <c r="X2467" s="9"/>
      <c r="Y2467" s="9"/>
      <c r="Z2467" s="9"/>
      <c r="AA2467" s="9"/>
      <c r="AB2467" s="9"/>
      <c r="AC2467" s="9"/>
      <c r="AD2467" s="9"/>
      <c r="AE2467" s="9"/>
      <c r="AF2467" s="9"/>
      <c r="AG2467" s="9"/>
      <c r="AH2467" s="9"/>
      <c r="AI2467" s="9"/>
      <c r="AJ2467" s="9"/>
      <c r="AK2467" s="9"/>
      <c r="AL2467" s="9"/>
      <c r="AM2467" s="9"/>
      <c r="AN2467" s="9"/>
      <c r="AO2467" s="9"/>
      <c r="AP2467" s="9"/>
      <c r="AQ2467" s="9"/>
      <c r="AR2467" s="9"/>
      <c r="AS2467" s="9"/>
      <c r="AT2467" s="9"/>
      <c r="AU2467" s="9"/>
    </row>
    <row r="2468" spans="1:47" ht="15.75" customHeight="1">
      <c r="A2468" s="9"/>
      <c r="B2468" s="9"/>
      <c r="C2468" s="9"/>
      <c r="D2468" s="9"/>
      <c r="E2468" s="9"/>
      <c r="F2468" s="67"/>
      <c r="G2468" s="9"/>
      <c r="H2468" s="9"/>
      <c r="I2468" s="9"/>
      <c r="J2468" s="9"/>
      <c r="K2468" s="9"/>
      <c r="L2468" s="9"/>
      <c r="M2468" s="9"/>
      <c r="N2468" s="9"/>
      <c r="O2468" s="9"/>
      <c r="P2468" s="9"/>
      <c r="Q2468" s="9"/>
      <c r="R2468" s="9"/>
      <c r="S2468" s="9"/>
      <c r="T2468" s="9"/>
      <c r="U2468" s="9"/>
      <c r="V2468" s="9"/>
      <c r="W2468" s="9"/>
      <c r="X2468" s="9"/>
      <c r="Y2468" s="9"/>
      <c r="Z2468" s="9"/>
      <c r="AA2468" s="9"/>
      <c r="AB2468" s="9"/>
      <c r="AC2468" s="9"/>
      <c r="AD2468" s="9"/>
      <c r="AE2468" s="9"/>
      <c r="AF2468" s="9"/>
      <c r="AG2468" s="9"/>
      <c r="AH2468" s="9"/>
      <c r="AI2468" s="9"/>
      <c r="AJ2468" s="9"/>
      <c r="AK2468" s="9"/>
      <c r="AL2468" s="9"/>
      <c r="AM2468" s="9"/>
      <c r="AN2468" s="9"/>
      <c r="AO2468" s="9"/>
      <c r="AP2468" s="9"/>
      <c r="AQ2468" s="9"/>
      <c r="AR2468" s="9"/>
      <c r="AS2468" s="9"/>
      <c r="AT2468" s="9"/>
      <c r="AU2468" s="9"/>
    </row>
    <row r="2469" spans="1:47" ht="15.75" customHeight="1">
      <c r="A2469" s="9"/>
      <c r="B2469" s="9"/>
      <c r="C2469" s="9"/>
      <c r="D2469" s="9"/>
      <c r="E2469" s="9"/>
      <c r="F2469" s="67"/>
      <c r="G2469" s="9"/>
      <c r="H2469" s="9"/>
      <c r="I2469" s="9"/>
      <c r="J2469" s="9"/>
      <c r="K2469" s="9"/>
      <c r="L2469" s="9"/>
      <c r="M2469" s="9"/>
      <c r="N2469" s="9"/>
      <c r="O2469" s="9"/>
      <c r="P2469" s="9"/>
      <c r="Q2469" s="9"/>
      <c r="R2469" s="9"/>
      <c r="S2469" s="9"/>
      <c r="T2469" s="9"/>
      <c r="U2469" s="9"/>
      <c r="V2469" s="9"/>
      <c r="W2469" s="9"/>
      <c r="X2469" s="9"/>
      <c r="Y2469" s="9"/>
      <c r="Z2469" s="9"/>
      <c r="AA2469" s="9"/>
      <c r="AB2469" s="9"/>
      <c r="AC2469" s="9"/>
      <c r="AD2469" s="9"/>
      <c r="AE2469" s="9"/>
      <c r="AF2469" s="9"/>
      <c r="AG2469" s="9"/>
      <c r="AH2469" s="9"/>
      <c r="AI2469" s="9"/>
      <c r="AJ2469" s="9"/>
      <c r="AK2469" s="9"/>
      <c r="AL2469" s="9"/>
      <c r="AM2469" s="9"/>
      <c r="AN2469" s="9"/>
      <c r="AO2469" s="9"/>
      <c r="AP2469" s="9"/>
      <c r="AQ2469" s="9"/>
      <c r="AR2469" s="9"/>
      <c r="AS2469" s="9"/>
      <c r="AT2469" s="9"/>
      <c r="AU2469" s="9"/>
    </row>
    <row r="2470" spans="1:47" ht="15.75" customHeight="1">
      <c r="A2470" s="9"/>
      <c r="B2470" s="9"/>
      <c r="C2470" s="9"/>
      <c r="D2470" s="9"/>
      <c r="E2470" s="9"/>
      <c r="F2470" s="67"/>
      <c r="G2470" s="9"/>
      <c r="H2470" s="9"/>
      <c r="I2470" s="9"/>
      <c r="J2470" s="9"/>
      <c r="K2470" s="9"/>
      <c r="L2470" s="9"/>
      <c r="M2470" s="9"/>
      <c r="N2470" s="9"/>
      <c r="O2470" s="9"/>
      <c r="P2470" s="9"/>
      <c r="Q2470" s="9"/>
      <c r="R2470" s="9"/>
      <c r="S2470" s="9"/>
      <c r="T2470" s="9"/>
      <c r="U2470" s="9"/>
      <c r="V2470" s="9"/>
      <c r="W2470" s="9"/>
      <c r="X2470" s="9"/>
      <c r="Y2470" s="9"/>
      <c r="Z2470" s="9"/>
      <c r="AA2470" s="9"/>
      <c r="AB2470" s="9"/>
      <c r="AC2470" s="9"/>
      <c r="AD2470" s="9"/>
      <c r="AE2470" s="9"/>
      <c r="AF2470" s="9"/>
      <c r="AG2470" s="9"/>
      <c r="AH2470" s="9"/>
      <c r="AI2470" s="9"/>
      <c r="AJ2470" s="9"/>
      <c r="AK2470" s="9"/>
      <c r="AL2470" s="9"/>
      <c r="AM2470" s="9"/>
      <c r="AN2470" s="9"/>
      <c r="AO2470" s="9"/>
      <c r="AP2470" s="9"/>
      <c r="AQ2470" s="9"/>
      <c r="AR2470" s="9"/>
      <c r="AS2470" s="9"/>
      <c r="AT2470" s="9"/>
      <c r="AU2470" s="9"/>
    </row>
    <row r="2471" spans="1:47" ht="15.75" customHeight="1">
      <c r="A2471" s="9"/>
      <c r="B2471" s="9"/>
      <c r="C2471" s="9"/>
      <c r="D2471" s="9"/>
      <c r="E2471" s="9"/>
      <c r="F2471" s="67"/>
      <c r="G2471" s="9"/>
      <c r="H2471" s="9"/>
      <c r="I2471" s="9"/>
      <c r="J2471" s="9"/>
      <c r="K2471" s="9"/>
      <c r="L2471" s="9"/>
      <c r="M2471" s="9"/>
      <c r="N2471" s="9"/>
      <c r="O2471" s="9"/>
      <c r="P2471" s="9"/>
      <c r="Q2471" s="9"/>
      <c r="R2471" s="9"/>
      <c r="S2471" s="9"/>
      <c r="T2471" s="9"/>
      <c r="U2471" s="9"/>
      <c r="V2471" s="9"/>
      <c r="W2471" s="9"/>
      <c r="X2471" s="9"/>
      <c r="Y2471" s="9"/>
      <c r="Z2471" s="9"/>
      <c r="AA2471" s="9"/>
      <c r="AB2471" s="9"/>
      <c r="AC2471" s="9"/>
      <c r="AD2471" s="9"/>
      <c r="AE2471" s="9"/>
      <c r="AF2471" s="9"/>
      <c r="AG2471" s="9"/>
      <c r="AH2471" s="9"/>
      <c r="AI2471" s="9"/>
      <c r="AJ2471" s="9"/>
      <c r="AK2471" s="9"/>
      <c r="AL2471" s="9"/>
      <c r="AM2471" s="9"/>
      <c r="AN2471" s="9"/>
      <c r="AO2471" s="9"/>
      <c r="AP2471" s="9"/>
      <c r="AQ2471" s="9"/>
      <c r="AR2471" s="9"/>
      <c r="AS2471" s="9"/>
      <c r="AT2471" s="9"/>
      <c r="AU2471" s="9"/>
    </row>
    <row r="2472" spans="1:47" ht="15.75" customHeight="1">
      <c r="A2472" s="9"/>
      <c r="B2472" s="9"/>
      <c r="C2472" s="9"/>
      <c r="D2472" s="9"/>
      <c r="E2472" s="9"/>
      <c r="F2472" s="67"/>
      <c r="G2472" s="9"/>
      <c r="H2472" s="9"/>
      <c r="I2472" s="9"/>
      <c r="J2472" s="9"/>
      <c r="K2472" s="9"/>
      <c r="L2472" s="9"/>
      <c r="M2472" s="9"/>
      <c r="N2472" s="9"/>
      <c r="O2472" s="9"/>
      <c r="P2472" s="9"/>
      <c r="Q2472" s="9"/>
      <c r="R2472" s="9"/>
      <c r="S2472" s="9"/>
      <c r="T2472" s="9"/>
      <c r="U2472" s="9"/>
      <c r="V2472" s="9"/>
      <c r="W2472" s="9"/>
      <c r="X2472" s="9"/>
      <c r="Y2472" s="9"/>
      <c r="Z2472" s="9"/>
      <c r="AA2472" s="9"/>
      <c r="AB2472" s="9"/>
      <c r="AC2472" s="9"/>
      <c r="AD2472" s="9"/>
      <c r="AE2472" s="9"/>
      <c r="AF2472" s="9"/>
      <c r="AG2472" s="9"/>
      <c r="AH2472" s="9"/>
      <c r="AI2472" s="9"/>
      <c r="AJ2472" s="9"/>
      <c r="AK2472" s="9"/>
      <c r="AL2472" s="9"/>
      <c r="AM2472" s="9"/>
      <c r="AN2472" s="9"/>
      <c r="AO2472" s="9"/>
      <c r="AP2472" s="9"/>
      <c r="AQ2472" s="9"/>
      <c r="AR2472" s="9"/>
      <c r="AS2472" s="9"/>
      <c r="AT2472" s="9"/>
      <c r="AU2472" s="9"/>
    </row>
    <row r="2473" spans="1:47" ht="15.75" customHeight="1">
      <c r="A2473" s="9"/>
      <c r="B2473" s="9"/>
      <c r="C2473" s="9"/>
      <c r="D2473" s="9"/>
      <c r="E2473" s="9"/>
      <c r="F2473" s="67"/>
      <c r="G2473" s="9"/>
      <c r="H2473" s="9"/>
      <c r="I2473" s="9"/>
      <c r="J2473" s="9"/>
      <c r="K2473" s="9"/>
      <c r="L2473" s="9"/>
      <c r="M2473" s="9"/>
      <c r="N2473" s="9"/>
      <c r="O2473" s="9"/>
      <c r="P2473" s="9"/>
      <c r="Q2473" s="9"/>
      <c r="R2473" s="9"/>
      <c r="S2473" s="9"/>
      <c r="T2473" s="9"/>
      <c r="U2473" s="9"/>
      <c r="V2473" s="9"/>
      <c r="W2473" s="9"/>
      <c r="X2473" s="9"/>
      <c r="Y2473" s="9"/>
      <c r="Z2473" s="9"/>
      <c r="AA2473" s="9"/>
      <c r="AB2473" s="9"/>
      <c r="AC2473" s="9"/>
      <c r="AD2473" s="9"/>
      <c r="AE2473" s="9"/>
      <c r="AF2473" s="9"/>
      <c r="AG2473" s="9"/>
      <c r="AH2473" s="9"/>
      <c r="AI2473" s="9"/>
      <c r="AJ2473" s="9"/>
      <c r="AK2473" s="9"/>
      <c r="AL2473" s="9"/>
      <c r="AM2473" s="9"/>
      <c r="AN2473" s="9"/>
      <c r="AO2473" s="9"/>
      <c r="AP2473" s="9"/>
      <c r="AQ2473" s="9"/>
      <c r="AR2473" s="9"/>
      <c r="AS2473" s="9"/>
      <c r="AT2473" s="9"/>
      <c r="AU2473" s="9"/>
    </row>
    <row r="2474" spans="1:47" ht="15.75" customHeight="1">
      <c r="A2474" s="9"/>
      <c r="B2474" s="9"/>
      <c r="C2474" s="9"/>
      <c r="D2474" s="9"/>
      <c r="E2474" s="9"/>
      <c r="F2474" s="67"/>
      <c r="G2474" s="9"/>
      <c r="H2474" s="9"/>
      <c r="I2474" s="9"/>
      <c r="J2474" s="9"/>
      <c r="K2474" s="9"/>
      <c r="L2474" s="9"/>
      <c r="M2474" s="9"/>
      <c r="N2474" s="9"/>
      <c r="O2474" s="9"/>
      <c r="P2474" s="9"/>
      <c r="Q2474" s="9"/>
      <c r="R2474" s="9"/>
      <c r="S2474" s="9"/>
      <c r="T2474" s="9"/>
      <c r="U2474" s="9"/>
      <c r="V2474" s="9"/>
      <c r="W2474" s="9"/>
      <c r="X2474" s="9"/>
      <c r="Y2474" s="9"/>
      <c r="Z2474" s="9"/>
      <c r="AA2474" s="9"/>
      <c r="AB2474" s="9"/>
      <c r="AC2474" s="9"/>
      <c r="AD2474" s="9"/>
      <c r="AE2474" s="9"/>
      <c r="AF2474" s="9"/>
      <c r="AG2474" s="9"/>
      <c r="AH2474" s="9"/>
      <c r="AI2474" s="9"/>
      <c r="AJ2474" s="9"/>
      <c r="AK2474" s="9"/>
      <c r="AL2474" s="9"/>
      <c r="AM2474" s="9"/>
      <c r="AN2474" s="9"/>
      <c r="AO2474" s="9"/>
      <c r="AP2474" s="9"/>
      <c r="AQ2474" s="9"/>
      <c r="AR2474" s="9"/>
      <c r="AS2474" s="9"/>
      <c r="AT2474" s="9"/>
      <c r="AU2474" s="9"/>
    </row>
    <row r="2475" spans="1:47" ht="15.75" customHeight="1">
      <c r="A2475" s="9"/>
      <c r="B2475" s="9"/>
      <c r="C2475" s="9"/>
      <c r="D2475" s="9"/>
      <c r="E2475" s="9"/>
      <c r="F2475" s="67"/>
      <c r="G2475" s="9"/>
      <c r="H2475" s="9"/>
      <c r="I2475" s="9"/>
      <c r="J2475" s="9"/>
      <c r="K2475" s="9"/>
      <c r="L2475" s="9"/>
      <c r="M2475" s="9"/>
      <c r="N2475" s="9"/>
      <c r="O2475" s="9"/>
      <c r="P2475" s="9"/>
      <c r="Q2475" s="9"/>
      <c r="R2475" s="9"/>
      <c r="S2475" s="9"/>
      <c r="T2475" s="9"/>
      <c r="U2475" s="9"/>
      <c r="V2475" s="9"/>
      <c r="W2475" s="9"/>
      <c r="X2475" s="9"/>
      <c r="Y2475" s="9"/>
      <c r="Z2475" s="9"/>
      <c r="AA2475" s="9"/>
      <c r="AB2475" s="9"/>
      <c r="AC2475" s="9"/>
      <c r="AD2475" s="9"/>
      <c r="AE2475" s="9"/>
      <c r="AF2475" s="9"/>
      <c r="AG2475" s="9"/>
      <c r="AH2475" s="9"/>
      <c r="AI2475" s="9"/>
      <c r="AJ2475" s="9"/>
      <c r="AK2475" s="9"/>
      <c r="AL2475" s="9"/>
      <c r="AM2475" s="9"/>
      <c r="AN2475" s="9"/>
      <c r="AO2475" s="9"/>
      <c r="AP2475" s="9"/>
      <c r="AQ2475" s="9"/>
      <c r="AR2475" s="9"/>
      <c r="AS2475" s="9"/>
      <c r="AT2475" s="9"/>
      <c r="AU2475" s="9"/>
    </row>
    <row r="2476" spans="1:47" ht="15.75" customHeight="1">
      <c r="A2476" s="9"/>
      <c r="B2476" s="9"/>
      <c r="C2476" s="9"/>
      <c r="D2476" s="9"/>
      <c r="E2476" s="9"/>
      <c r="F2476" s="67"/>
      <c r="G2476" s="9"/>
      <c r="H2476" s="9"/>
      <c r="I2476" s="9"/>
      <c r="J2476" s="9"/>
      <c r="K2476" s="9"/>
      <c r="L2476" s="9"/>
      <c r="M2476" s="9"/>
      <c r="N2476" s="9"/>
      <c r="O2476" s="9"/>
      <c r="P2476" s="9"/>
      <c r="Q2476" s="9"/>
      <c r="R2476" s="9"/>
      <c r="S2476" s="9"/>
      <c r="T2476" s="9"/>
      <c r="U2476" s="9"/>
      <c r="V2476" s="9"/>
      <c r="W2476" s="9"/>
      <c r="X2476" s="9"/>
      <c r="Y2476" s="9"/>
      <c r="Z2476" s="9"/>
      <c r="AA2476" s="9"/>
      <c r="AB2476" s="9"/>
      <c r="AC2476" s="9"/>
      <c r="AD2476" s="9"/>
      <c r="AE2476" s="9"/>
      <c r="AF2476" s="9"/>
      <c r="AG2476" s="9"/>
      <c r="AH2476" s="9"/>
      <c r="AI2476" s="9"/>
      <c r="AJ2476" s="9"/>
      <c r="AK2476" s="9"/>
      <c r="AL2476" s="9"/>
      <c r="AM2476" s="9"/>
      <c r="AN2476" s="9"/>
      <c r="AO2476" s="9"/>
      <c r="AP2476" s="9"/>
      <c r="AQ2476" s="9"/>
      <c r="AR2476" s="9"/>
      <c r="AS2476" s="9"/>
      <c r="AT2476" s="9"/>
      <c r="AU2476" s="9"/>
    </row>
    <row r="2477" spans="1:47" ht="15.75" customHeight="1">
      <c r="A2477" s="9"/>
      <c r="B2477" s="9"/>
      <c r="C2477" s="9"/>
      <c r="D2477" s="9"/>
      <c r="E2477" s="9"/>
      <c r="F2477" s="67"/>
      <c r="G2477" s="9"/>
      <c r="H2477" s="9"/>
      <c r="I2477" s="9"/>
      <c r="J2477" s="9"/>
      <c r="K2477" s="9"/>
      <c r="L2477" s="9"/>
      <c r="M2477" s="9"/>
      <c r="N2477" s="9"/>
      <c r="O2477" s="9"/>
      <c r="P2477" s="9"/>
      <c r="Q2477" s="9"/>
      <c r="R2477" s="9"/>
      <c r="S2477" s="9"/>
      <c r="T2477" s="9"/>
      <c r="U2477" s="9"/>
      <c r="V2477" s="9"/>
      <c r="W2477" s="9"/>
      <c r="X2477" s="9"/>
      <c r="Y2477" s="9"/>
      <c r="Z2477" s="9"/>
      <c r="AA2477" s="9"/>
      <c r="AB2477" s="9"/>
      <c r="AC2477" s="9"/>
      <c r="AD2477" s="9"/>
      <c r="AE2477" s="9"/>
      <c r="AF2477" s="9"/>
      <c r="AG2477" s="9"/>
      <c r="AH2477" s="9"/>
      <c r="AI2477" s="9"/>
      <c r="AJ2477" s="9"/>
      <c r="AK2477" s="9"/>
      <c r="AL2477" s="9"/>
      <c r="AM2477" s="9"/>
      <c r="AN2477" s="9"/>
      <c r="AO2477" s="9"/>
      <c r="AP2477" s="9"/>
      <c r="AQ2477" s="9"/>
      <c r="AR2477" s="9"/>
      <c r="AS2477" s="9"/>
      <c r="AT2477" s="9"/>
      <c r="AU2477" s="9"/>
    </row>
    <row r="2478" spans="1:47" ht="15.75" customHeight="1">
      <c r="A2478" s="9"/>
      <c r="B2478" s="9"/>
      <c r="C2478" s="9"/>
      <c r="D2478" s="9"/>
      <c r="E2478" s="9"/>
      <c r="F2478" s="67"/>
      <c r="G2478" s="9"/>
      <c r="H2478" s="9"/>
      <c r="I2478" s="9"/>
      <c r="J2478" s="9"/>
      <c r="K2478" s="9"/>
      <c r="L2478" s="9"/>
      <c r="M2478" s="9"/>
      <c r="N2478" s="9"/>
      <c r="O2478" s="9"/>
      <c r="P2478" s="9"/>
      <c r="Q2478" s="9"/>
      <c r="R2478" s="9"/>
      <c r="S2478" s="9"/>
      <c r="T2478" s="9"/>
      <c r="U2478" s="9"/>
      <c r="V2478" s="9"/>
      <c r="W2478" s="9"/>
      <c r="X2478" s="9"/>
      <c r="Y2478" s="9"/>
      <c r="Z2478" s="9"/>
      <c r="AA2478" s="9"/>
      <c r="AB2478" s="9"/>
      <c r="AC2478" s="9"/>
      <c r="AD2478" s="9"/>
      <c r="AE2478" s="9"/>
      <c r="AF2478" s="9"/>
      <c r="AG2478" s="9"/>
      <c r="AH2478" s="9"/>
      <c r="AI2478" s="9"/>
      <c r="AJ2478" s="9"/>
      <c r="AK2478" s="9"/>
      <c r="AL2478" s="9"/>
      <c r="AM2478" s="9"/>
      <c r="AN2478" s="9"/>
      <c r="AO2478" s="9"/>
      <c r="AP2478" s="9"/>
      <c r="AQ2478" s="9"/>
      <c r="AR2478" s="9"/>
      <c r="AS2478" s="9"/>
      <c r="AT2478" s="9"/>
      <c r="AU2478" s="9"/>
    </row>
    <row r="2479" spans="1:47" ht="15.75" customHeight="1">
      <c r="A2479" s="9"/>
      <c r="B2479" s="9"/>
      <c r="C2479" s="9"/>
      <c r="D2479" s="9"/>
      <c r="E2479" s="9"/>
      <c r="F2479" s="67"/>
      <c r="G2479" s="9"/>
      <c r="H2479" s="9"/>
      <c r="I2479" s="9"/>
      <c r="J2479" s="9"/>
      <c r="K2479" s="9"/>
      <c r="L2479" s="9"/>
      <c r="M2479" s="9"/>
      <c r="N2479" s="9"/>
      <c r="O2479" s="9"/>
      <c r="P2479" s="9"/>
      <c r="Q2479" s="9"/>
      <c r="R2479" s="9"/>
      <c r="S2479" s="9"/>
      <c r="T2479" s="9"/>
      <c r="U2479" s="9"/>
      <c r="V2479" s="9"/>
      <c r="W2479" s="9"/>
      <c r="X2479" s="9"/>
      <c r="Y2479" s="9"/>
      <c r="Z2479" s="9"/>
      <c r="AA2479" s="9"/>
      <c r="AB2479" s="9"/>
      <c r="AC2479" s="9"/>
      <c r="AD2479" s="9"/>
      <c r="AE2479" s="9"/>
      <c r="AF2479" s="9"/>
      <c r="AG2479" s="9"/>
      <c r="AH2479" s="9"/>
      <c r="AI2479" s="9"/>
      <c r="AJ2479" s="9"/>
      <c r="AK2479" s="9"/>
      <c r="AL2479" s="9"/>
      <c r="AM2479" s="9"/>
      <c r="AN2479" s="9"/>
      <c r="AO2479" s="9"/>
      <c r="AP2479" s="9"/>
      <c r="AQ2479" s="9"/>
      <c r="AR2479" s="9"/>
      <c r="AS2479" s="9"/>
      <c r="AT2479" s="9"/>
      <c r="AU2479" s="9"/>
    </row>
    <row r="2480" spans="1:47" ht="15.75" customHeight="1">
      <c r="A2480" s="9"/>
      <c r="B2480" s="9"/>
      <c r="C2480" s="9"/>
      <c r="D2480" s="9"/>
      <c r="E2480" s="9"/>
      <c r="F2480" s="67"/>
      <c r="G2480" s="9"/>
      <c r="H2480" s="9"/>
      <c r="I2480" s="9"/>
      <c r="J2480" s="9"/>
      <c r="K2480" s="9"/>
      <c r="L2480" s="9"/>
      <c r="M2480" s="9"/>
      <c r="N2480" s="9"/>
      <c r="O2480" s="9"/>
      <c r="P2480" s="9"/>
      <c r="Q2480" s="9"/>
      <c r="R2480" s="9"/>
      <c r="S2480" s="9"/>
      <c r="T2480" s="9"/>
      <c r="U2480" s="9"/>
      <c r="V2480" s="9"/>
      <c r="W2480" s="9"/>
      <c r="X2480" s="9"/>
      <c r="Y2480" s="9"/>
      <c r="Z2480" s="9"/>
      <c r="AA2480" s="9"/>
      <c r="AB2480" s="9"/>
      <c r="AC2480" s="9"/>
      <c r="AD2480" s="9"/>
      <c r="AE2480" s="9"/>
      <c r="AF2480" s="9"/>
      <c r="AG2480" s="9"/>
      <c r="AH2480" s="9"/>
      <c r="AI2480" s="9"/>
      <c r="AJ2480" s="9"/>
      <c r="AK2480" s="9"/>
      <c r="AL2480" s="9"/>
      <c r="AM2480" s="9"/>
      <c r="AN2480" s="9"/>
      <c r="AO2480" s="9"/>
      <c r="AP2480" s="9"/>
      <c r="AQ2480" s="9"/>
      <c r="AR2480" s="9"/>
      <c r="AS2480" s="9"/>
      <c r="AT2480" s="9"/>
      <c r="AU2480" s="9"/>
    </row>
    <row r="2481" spans="1:47" ht="15.75" customHeight="1">
      <c r="A2481" s="9"/>
      <c r="B2481" s="9"/>
      <c r="C2481" s="9"/>
      <c r="D2481" s="9"/>
      <c r="E2481" s="9"/>
      <c r="F2481" s="67"/>
      <c r="G2481" s="9"/>
      <c r="H2481" s="9"/>
      <c r="I2481" s="9"/>
      <c r="J2481" s="9"/>
      <c r="K2481" s="9"/>
      <c r="L2481" s="9"/>
      <c r="M2481" s="9"/>
      <c r="N2481" s="9"/>
      <c r="O2481" s="9"/>
      <c r="P2481" s="9"/>
      <c r="Q2481" s="9"/>
      <c r="R2481" s="9"/>
      <c r="S2481" s="9"/>
      <c r="T2481" s="9"/>
      <c r="U2481" s="9"/>
      <c r="V2481" s="9"/>
      <c r="W2481" s="9"/>
      <c r="X2481" s="9"/>
      <c r="Y2481" s="9"/>
      <c r="Z2481" s="9"/>
      <c r="AA2481" s="9"/>
      <c r="AB2481" s="9"/>
      <c r="AC2481" s="9"/>
      <c r="AD2481" s="9"/>
      <c r="AE2481" s="9"/>
      <c r="AF2481" s="9"/>
      <c r="AG2481" s="9"/>
      <c r="AH2481" s="9"/>
      <c r="AI2481" s="9"/>
      <c r="AJ2481" s="9"/>
      <c r="AK2481" s="9"/>
      <c r="AL2481" s="9"/>
      <c r="AM2481" s="9"/>
      <c r="AN2481" s="9"/>
      <c r="AO2481" s="9"/>
      <c r="AP2481" s="9"/>
      <c r="AQ2481" s="9"/>
      <c r="AR2481" s="9"/>
      <c r="AS2481" s="9"/>
      <c r="AT2481" s="9"/>
      <c r="AU2481" s="9"/>
    </row>
    <row r="2482" spans="1:47" ht="15.75" customHeight="1">
      <c r="A2482" s="9"/>
      <c r="B2482" s="9"/>
      <c r="C2482" s="9"/>
      <c r="D2482" s="9"/>
      <c r="E2482" s="9"/>
      <c r="F2482" s="67"/>
      <c r="G2482" s="9"/>
      <c r="H2482" s="9"/>
      <c r="I2482" s="9"/>
      <c r="J2482" s="9"/>
      <c r="K2482" s="9"/>
      <c r="L2482" s="9"/>
      <c r="M2482" s="9"/>
      <c r="N2482" s="9"/>
      <c r="O2482" s="9"/>
      <c r="P2482" s="9"/>
      <c r="Q2482" s="9"/>
      <c r="R2482" s="9"/>
      <c r="S2482" s="9"/>
      <c r="T2482" s="9"/>
      <c r="U2482" s="9"/>
      <c r="V2482" s="9"/>
      <c r="W2482" s="9"/>
      <c r="X2482" s="9"/>
      <c r="Y2482" s="9"/>
      <c r="Z2482" s="9"/>
      <c r="AA2482" s="9"/>
      <c r="AB2482" s="9"/>
      <c r="AC2482" s="9"/>
      <c r="AD2482" s="9"/>
      <c r="AE2482" s="9"/>
      <c r="AF2482" s="9"/>
      <c r="AG2482" s="9"/>
      <c r="AH2482" s="9"/>
      <c r="AI2482" s="9"/>
      <c r="AJ2482" s="9"/>
      <c r="AK2482" s="9"/>
      <c r="AL2482" s="9"/>
      <c r="AM2482" s="9"/>
      <c r="AN2482" s="9"/>
      <c r="AO2482" s="9"/>
      <c r="AP2482" s="9"/>
      <c r="AQ2482" s="9"/>
      <c r="AR2482" s="9"/>
      <c r="AS2482" s="9"/>
      <c r="AT2482" s="9"/>
      <c r="AU2482" s="9"/>
    </row>
    <row r="2483" spans="1:47" ht="15.75" customHeight="1">
      <c r="A2483" s="9"/>
      <c r="B2483" s="9"/>
      <c r="C2483" s="9"/>
      <c r="D2483" s="9"/>
      <c r="E2483" s="9"/>
      <c r="F2483" s="67"/>
      <c r="G2483" s="9"/>
      <c r="H2483" s="9"/>
      <c r="I2483" s="9"/>
      <c r="J2483" s="9"/>
      <c r="K2483" s="9"/>
      <c r="L2483" s="9"/>
      <c r="M2483" s="9"/>
      <c r="N2483" s="9"/>
      <c r="O2483" s="9"/>
      <c r="P2483" s="9"/>
      <c r="Q2483" s="9"/>
      <c r="R2483" s="9"/>
      <c r="S2483" s="9"/>
      <c r="T2483" s="9"/>
      <c r="U2483" s="9"/>
      <c r="V2483" s="9"/>
      <c r="W2483" s="9"/>
      <c r="X2483" s="9"/>
      <c r="Y2483" s="9"/>
      <c r="Z2483" s="9"/>
      <c r="AA2483" s="9"/>
      <c r="AB2483" s="9"/>
      <c r="AC2483" s="9"/>
      <c r="AD2483" s="9"/>
      <c r="AE2483" s="9"/>
      <c r="AF2483" s="9"/>
      <c r="AG2483" s="9"/>
      <c r="AH2483" s="9"/>
      <c r="AI2483" s="9"/>
      <c r="AJ2483" s="9"/>
      <c r="AK2483" s="9"/>
      <c r="AL2483" s="9"/>
      <c r="AM2483" s="9"/>
      <c r="AN2483" s="9"/>
      <c r="AO2483" s="9"/>
      <c r="AP2483" s="9"/>
      <c r="AQ2483" s="9"/>
      <c r="AR2483" s="9"/>
      <c r="AS2483" s="9"/>
      <c r="AT2483" s="9"/>
      <c r="AU2483" s="9"/>
    </row>
    <row r="2484" spans="1:47" ht="15.75" customHeight="1">
      <c r="A2484" s="9"/>
      <c r="B2484" s="9"/>
      <c r="C2484" s="9"/>
      <c r="D2484" s="9"/>
      <c r="E2484" s="9"/>
      <c r="F2484" s="67"/>
      <c r="G2484" s="9"/>
      <c r="H2484" s="9"/>
      <c r="I2484" s="9"/>
      <c r="J2484" s="9"/>
      <c r="K2484" s="9"/>
      <c r="L2484" s="9"/>
      <c r="M2484" s="9"/>
      <c r="N2484" s="9"/>
      <c r="O2484" s="9"/>
      <c r="P2484" s="9"/>
      <c r="Q2484" s="9"/>
      <c r="R2484" s="9"/>
      <c r="S2484" s="9"/>
      <c r="T2484" s="9"/>
      <c r="U2484" s="9"/>
      <c r="V2484" s="9"/>
      <c r="W2484" s="9"/>
      <c r="X2484" s="9"/>
      <c r="Y2484" s="9"/>
      <c r="Z2484" s="9"/>
      <c r="AA2484" s="9"/>
      <c r="AB2484" s="9"/>
      <c r="AC2484" s="9"/>
      <c r="AD2484" s="9"/>
      <c r="AE2484" s="9"/>
      <c r="AF2484" s="9"/>
      <c r="AG2484" s="9"/>
      <c r="AH2484" s="9"/>
      <c r="AI2484" s="9"/>
      <c r="AJ2484" s="9"/>
      <c r="AK2484" s="9"/>
      <c r="AL2484" s="9"/>
      <c r="AM2484" s="9"/>
      <c r="AN2484" s="9"/>
      <c r="AO2484" s="9"/>
      <c r="AP2484" s="9"/>
      <c r="AQ2484" s="9"/>
      <c r="AR2484" s="9"/>
      <c r="AS2484" s="9"/>
      <c r="AT2484" s="9"/>
      <c r="AU2484" s="9"/>
    </row>
    <row r="2485" spans="1:47" ht="15.75" customHeight="1">
      <c r="A2485" s="9"/>
      <c r="B2485" s="9"/>
      <c r="C2485" s="9"/>
      <c r="D2485" s="9"/>
      <c r="E2485" s="9"/>
      <c r="F2485" s="67"/>
      <c r="G2485" s="9"/>
      <c r="H2485" s="9"/>
      <c r="I2485" s="9"/>
      <c r="J2485" s="9"/>
      <c r="K2485" s="9"/>
      <c r="L2485" s="9"/>
      <c r="M2485" s="9"/>
      <c r="N2485" s="9"/>
      <c r="O2485" s="9"/>
      <c r="P2485" s="9"/>
      <c r="Q2485" s="9"/>
      <c r="R2485" s="9"/>
      <c r="S2485" s="9"/>
      <c r="T2485" s="9"/>
      <c r="U2485" s="9"/>
      <c r="V2485" s="9"/>
      <c r="W2485" s="9"/>
      <c r="X2485" s="9"/>
      <c r="Y2485" s="9"/>
      <c r="Z2485" s="9"/>
      <c r="AA2485" s="9"/>
      <c r="AB2485" s="9"/>
      <c r="AC2485" s="9"/>
      <c r="AD2485" s="9"/>
      <c r="AE2485" s="9"/>
      <c r="AF2485" s="9"/>
      <c r="AG2485" s="9"/>
      <c r="AH2485" s="9"/>
      <c r="AI2485" s="9"/>
      <c r="AJ2485" s="9"/>
      <c r="AK2485" s="9"/>
      <c r="AL2485" s="9"/>
      <c r="AM2485" s="9"/>
      <c r="AN2485" s="9"/>
      <c r="AO2485" s="9"/>
      <c r="AP2485" s="9"/>
      <c r="AQ2485" s="9"/>
      <c r="AR2485" s="9"/>
      <c r="AS2485" s="9"/>
      <c r="AT2485" s="9"/>
      <c r="AU2485" s="9"/>
    </row>
    <row r="2486" spans="1:47" ht="15.75" customHeight="1">
      <c r="A2486" s="9"/>
      <c r="B2486" s="9"/>
      <c r="C2486" s="9"/>
      <c r="D2486" s="9"/>
      <c r="E2486" s="9"/>
      <c r="F2486" s="67"/>
      <c r="G2486" s="9"/>
      <c r="H2486" s="9"/>
      <c r="I2486" s="9"/>
      <c r="J2486" s="9"/>
      <c r="K2486" s="9"/>
      <c r="L2486" s="9"/>
      <c r="M2486" s="9"/>
      <c r="N2486" s="9"/>
      <c r="O2486" s="9"/>
      <c r="P2486" s="9"/>
      <c r="Q2486" s="9"/>
      <c r="R2486" s="9"/>
      <c r="S2486" s="9"/>
      <c r="T2486" s="9"/>
      <c r="U2486" s="9"/>
      <c r="V2486" s="9"/>
      <c r="W2486" s="9"/>
      <c r="X2486" s="9"/>
      <c r="Y2486" s="9"/>
      <c r="Z2486" s="9"/>
      <c r="AA2486" s="9"/>
      <c r="AB2486" s="9"/>
      <c r="AC2486" s="9"/>
      <c r="AD2486" s="9"/>
      <c r="AE2486" s="9"/>
      <c r="AF2486" s="9"/>
      <c r="AG2486" s="9"/>
      <c r="AH2486" s="9"/>
      <c r="AI2486" s="9"/>
      <c r="AJ2486" s="9"/>
      <c r="AK2486" s="9"/>
      <c r="AL2486" s="9"/>
      <c r="AM2486" s="9"/>
      <c r="AN2486" s="9"/>
      <c r="AO2486" s="9"/>
      <c r="AP2486" s="9"/>
      <c r="AQ2486" s="9"/>
      <c r="AR2486" s="9"/>
      <c r="AS2486" s="9"/>
      <c r="AT2486" s="9"/>
      <c r="AU2486" s="9"/>
    </row>
    <row r="2487" spans="1:47" ht="15.75" customHeight="1">
      <c r="A2487" s="9"/>
      <c r="B2487" s="9"/>
      <c r="C2487" s="9"/>
      <c r="D2487" s="9"/>
      <c r="E2487" s="9"/>
      <c r="F2487" s="67"/>
      <c r="G2487" s="9"/>
      <c r="H2487" s="9"/>
      <c r="I2487" s="9"/>
      <c r="J2487" s="9"/>
      <c r="K2487" s="9"/>
      <c r="L2487" s="9"/>
      <c r="M2487" s="9"/>
      <c r="N2487" s="9"/>
      <c r="O2487" s="9"/>
      <c r="P2487" s="9"/>
      <c r="Q2487" s="9"/>
      <c r="R2487" s="9"/>
      <c r="S2487" s="9"/>
      <c r="T2487" s="9"/>
      <c r="U2487" s="9"/>
      <c r="V2487" s="9"/>
      <c r="W2487" s="9"/>
      <c r="X2487" s="9"/>
      <c r="Y2487" s="9"/>
      <c r="Z2487" s="9"/>
      <c r="AA2487" s="9"/>
      <c r="AB2487" s="9"/>
      <c r="AC2487" s="9"/>
      <c r="AD2487" s="9"/>
      <c r="AE2487" s="9"/>
      <c r="AF2487" s="9"/>
      <c r="AG2487" s="9"/>
      <c r="AH2487" s="9"/>
      <c r="AI2487" s="9"/>
      <c r="AJ2487" s="9"/>
      <c r="AK2487" s="9"/>
      <c r="AL2487" s="9"/>
      <c r="AM2487" s="9"/>
      <c r="AN2487" s="9"/>
      <c r="AO2487" s="9"/>
      <c r="AP2487" s="9"/>
      <c r="AQ2487" s="9"/>
      <c r="AR2487" s="9"/>
      <c r="AS2487" s="9"/>
      <c r="AT2487" s="9"/>
      <c r="AU2487" s="9"/>
    </row>
    <row r="2488" spans="1:47" ht="15.75" customHeight="1">
      <c r="A2488" s="9"/>
      <c r="B2488" s="9"/>
      <c r="C2488" s="9"/>
      <c r="D2488" s="9"/>
      <c r="E2488" s="9"/>
      <c r="F2488" s="67"/>
      <c r="G2488" s="9"/>
      <c r="H2488" s="9"/>
      <c r="I2488" s="9"/>
      <c r="J2488" s="9"/>
      <c r="K2488" s="9"/>
      <c r="L2488" s="9"/>
      <c r="M2488" s="9"/>
      <c r="N2488" s="9"/>
      <c r="O2488" s="9"/>
      <c r="P2488" s="9"/>
      <c r="Q2488" s="9"/>
      <c r="R2488" s="9"/>
      <c r="S2488" s="9"/>
      <c r="T2488" s="9"/>
      <c r="U2488" s="9"/>
      <c r="V2488" s="9"/>
      <c r="W2488" s="9"/>
      <c r="X2488" s="9"/>
      <c r="Y2488" s="9"/>
      <c r="Z2488" s="9"/>
      <c r="AA2488" s="9"/>
      <c r="AB2488" s="9"/>
      <c r="AC2488" s="9"/>
      <c r="AD2488" s="9"/>
      <c r="AE2488" s="9"/>
      <c r="AF2488" s="9"/>
      <c r="AG2488" s="9"/>
      <c r="AH2488" s="9"/>
      <c r="AI2488" s="9"/>
      <c r="AJ2488" s="9"/>
      <c r="AK2488" s="9"/>
      <c r="AL2488" s="9"/>
      <c r="AM2488" s="9"/>
      <c r="AN2488" s="9"/>
      <c r="AO2488" s="9"/>
      <c r="AP2488" s="9"/>
      <c r="AQ2488" s="9"/>
      <c r="AR2488" s="9"/>
      <c r="AS2488" s="9"/>
      <c r="AT2488" s="9"/>
      <c r="AU2488" s="9"/>
    </row>
    <row r="2489" spans="1:47" ht="15.75" customHeight="1">
      <c r="A2489" s="9"/>
      <c r="B2489" s="9"/>
      <c r="C2489" s="9"/>
      <c r="D2489" s="9"/>
      <c r="E2489" s="9"/>
      <c r="F2489" s="67"/>
      <c r="G2489" s="9"/>
      <c r="H2489" s="9"/>
      <c r="I2489" s="9"/>
      <c r="J2489" s="9"/>
      <c r="K2489" s="9"/>
      <c r="L2489" s="9"/>
      <c r="M2489" s="9"/>
      <c r="N2489" s="9"/>
      <c r="O2489" s="9"/>
      <c r="P2489" s="9"/>
      <c r="Q2489" s="9"/>
      <c r="R2489" s="9"/>
      <c r="S2489" s="9"/>
      <c r="T2489" s="9"/>
      <c r="U2489" s="9"/>
      <c r="V2489" s="9"/>
      <c r="W2489" s="9"/>
      <c r="X2489" s="9"/>
      <c r="Y2489" s="9"/>
      <c r="Z2489" s="9"/>
      <c r="AA2489" s="9"/>
      <c r="AB2489" s="9"/>
      <c r="AC2489" s="9"/>
      <c r="AD2489" s="9"/>
      <c r="AE2489" s="9"/>
      <c r="AF2489" s="9"/>
      <c r="AG2489" s="9"/>
      <c r="AH2489" s="9"/>
      <c r="AI2489" s="9"/>
      <c r="AJ2489" s="9"/>
      <c r="AK2489" s="9"/>
      <c r="AL2489" s="9"/>
      <c r="AM2489" s="9"/>
      <c r="AN2489" s="9"/>
      <c r="AO2489" s="9"/>
      <c r="AP2489" s="9"/>
      <c r="AQ2489" s="9"/>
      <c r="AR2489" s="9"/>
      <c r="AS2489" s="9"/>
      <c r="AT2489" s="9"/>
      <c r="AU2489" s="9"/>
    </row>
    <row r="2490" spans="1:47" ht="15.75" customHeight="1">
      <c r="A2490" s="9"/>
      <c r="B2490" s="9"/>
      <c r="C2490" s="9"/>
      <c r="D2490" s="9"/>
      <c r="E2490" s="9"/>
      <c r="F2490" s="67"/>
      <c r="G2490" s="9"/>
      <c r="H2490" s="9"/>
      <c r="I2490" s="9"/>
      <c r="J2490" s="9"/>
      <c r="K2490" s="9"/>
      <c r="L2490" s="9"/>
      <c r="M2490" s="9"/>
      <c r="N2490" s="9"/>
      <c r="O2490" s="9"/>
      <c r="P2490" s="9"/>
      <c r="Q2490" s="9"/>
      <c r="R2490" s="9"/>
      <c r="S2490" s="9"/>
      <c r="T2490" s="9"/>
      <c r="U2490" s="9"/>
      <c r="V2490" s="9"/>
      <c r="W2490" s="9"/>
      <c r="X2490" s="9"/>
      <c r="Y2490" s="9"/>
      <c r="Z2490" s="9"/>
      <c r="AA2490" s="9"/>
      <c r="AB2490" s="9"/>
      <c r="AC2490" s="9"/>
      <c r="AD2490" s="9"/>
      <c r="AE2490" s="9"/>
      <c r="AF2490" s="9"/>
      <c r="AG2490" s="9"/>
      <c r="AH2490" s="9"/>
      <c r="AI2490" s="9"/>
      <c r="AJ2490" s="9"/>
      <c r="AK2490" s="9"/>
      <c r="AL2490" s="9"/>
      <c r="AM2490" s="9"/>
      <c r="AN2490" s="9"/>
      <c r="AO2490" s="9"/>
      <c r="AP2490" s="9"/>
      <c r="AQ2490" s="9"/>
      <c r="AR2490" s="9"/>
      <c r="AS2490" s="9"/>
      <c r="AT2490" s="9"/>
      <c r="AU2490" s="9"/>
    </row>
    <row r="2491" spans="1:47" ht="15.75" customHeight="1">
      <c r="A2491" s="9"/>
      <c r="B2491" s="9"/>
      <c r="C2491" s="9"/>
      <c r="D2491" s="9"/>
      <c r="E2491" s="9"/>
      <c r="F2491" s="67"/>
      <c r="G2491" s="9"/>
      <c r="H2491" s="9"/>
      <c r="I2491" s="9"/>
      <c r="J2491" s="9"/>
      <c r="K2491" s="9"/>
      <c r="L2491" s="9"/>
      <c r="M2491" s="9"/>
      <c r="N2491" s="9"/>
      <c r="O2491" s="9"/>
      <c r="P2491" s="9"/>
      <c r="Q2491" s="9"/>
      <c r="R2491" s="9"/>
      <c r="S2491" s="9"/>
      <c r="T2491" s="9"/>
      <c r="U2491" s="9"/>
      <c r="V2491" s="9"/>
      <c r="W2491" s="9"/>
      <c r="X2491" s="9"/>
      <c r="Y2491" s="9"/>
      <c r="Z2491" s="9"/>
      <c r="AA2491" s="9"/>
      <c r="AB2491" s="9"/>
      <c r="AC2491" s="9"/>
      <c r="AD2491" s="9"/>
      <c r="AE2491" s="9"/>
      <c r="AF2491" s="9"/>
      <c r="AG2491" s="9"/>
      <c r="AH2491" s="9"/>
      <c r="AI2491" s="9"/>
      <c r="AJ2491" s="9"/>
      <c r="AK2491" s="9"/>
      <c r="AL2491" s="9"/>
      <c r="AM2491" s="9"/>
      <c r="AN2491" s="9"/>
      <c r="AO2491" s="9"/>
      <c r="AP2491" s="9"/>
      <c r="AQ2491" s="9"/>
      <c r="AR2491" s="9"/>
      <c r="AS2491" s="9"/>
      <c r="AT2491" s="9"/>
      <c r="AU2491" s="9"/>
    </row>
    <row r="2492" spans="1:47" ht="15.75" customHeight="1">
      <c r="A2492" s="9"/>
      <c r="B2492" s="9"/>
      <c r="C2492" s="9"/>
      <c r="D2492" s="9"/>
      <c r="E2492" s="9"/>
      <c r="F2492" s="67"/>
      <c r="G2492" s="9"/>
      <c r="H2492" s="9"/>
      <c r="I2492" s="9"/>
      <c r="J2492" s="9"/>
      <c r="K2492" s="9"/>
      <c r="L2492" s="9"/>
      <c r="M2492" s="9"/>
      <c r="N2492" s="9"/>
      <c r="O2492" s="9"/>
      <c r="P2492" s="9"/>
      <c r="Q2492" s="9"/>
      <c r="R2492" s="9"/>
      <c r="S2492" s="9"/>
      <c r="T2492" s="9"/>
      <c r="U2492" s="9"/>
      <c r="V2492" s="9"/>
      <c r="W2492" s="9"/>
      <c r="X2492" s="9"/>
      <c r="Y2492" s="9"/>
      <c r="Z2492" s="9"/>
      <c r="AA2492" s="9"/>
      <c r="AB2492" s="9"/>
      <c r="AC2492" s="9"/>
      <c r="AD2492" s="9"/>
      <c r="AE2492" s="9"/>
      <c r="AF2492" s="9"/>
      <c r="AG2492" s="9"/>
      <c r="AH2492" s="9"/>
      <c r="AI2492" s="9"/>
      <c r="AJ2492" s="9"/>
      <c r="AK2492" s="9"/>
      <c r="AL2492" s="9"/>
      <c r="AM2492" s="9"/>
      <c r="AN2492" s="9"/>
      <c r="AO2492" s="9"/>
      <c r="AP2492" s="9"/>
      <c r="AQ2492" s="9"/>
      <c r="AR2492" s="9"/>
      <c r="AS2492" s="9"/>
      <c r="AT2492" s="9"/>
      <c r="AU2492" s="9"/>
    </row>
    <row r="2493" spans="1:47" ht="15.75" customHeight="1">
      <c r="A2493" s="9"/>
      <c r="B2493" s="9"/>
      <c r="C2493" s="9"/>
      <c r="D2493" s="9"/>
      <c r="E2493" s="9"/>
      <c r="F2493" s="67"/>
      <c r="G2493" s="9"/>
      <c r="H2493" s="9"/>
      <c r="I2493" s="9"/>
      <c r="J2493" s="9"/>
      <c r="K2493" s="9"/>
      <c r="L2493" s="9"/>
      <c r="M2493" s="9"/>
      <c r="N2493" s="9"/>
      <c r="O2493" s="9"/>
      <c r="P2493" s="9"/>
      <c r="Q2493" s="9"/>
      <c r="R2493" s="9"/>
      <c r="S2493" s="9"/>
      <c r="T2493" s="9"/>
      <c r="U2493" s="9"/>
      <c r="V2493" s="9"/>
      <c r="W2493" s="9"/>
      <c r="X2493" s="9"/>
      <c r="Y2493" s="9"/>
      <c r="Z2493" s="9"/>
      <c r="AA2493" s="9"/>
      <c r="AB2493" s="9"/>
      <c r="AC2493" s="9"/>
      <c r="AD2493" s="9"/>
      <c r="AE2493" s="9"/>
      <c r="AF2493" s="9"/>
      <c r="AG2493" s="9"/>
      <c r="AH2493" s="9"/>
      <c r="AI2493" s="9"/>
      <c r="AJ2493" s="9"/>
      <c r="AK2493" s="9"/>
      <c r="AL2493" s="9"/>
      <c r="AM2493" s="9"/>
      <c r="AN2493" s="9"/>
      <c r="AO2493" s="9"/>
      <c r="AP2493" s="9"/>
      <c r="AQ2493" s="9"/>
      <c r="AR2493" s="9"/>
      <c r="AS2493" s="9"/>
      <c r="AT2493" s="9"/>
      <c r="AU2493" s="9"/>
    </row>
    <row r="2494" spans="1:47" ht="15.75" customHeight="1">
      <c r="A2494" s="9"/>
      <c r="B2494" s="9"/>
      <c r="C2494" s="9"/>
      <c r="D2494" s="9"/>
      <c r="E2494" s="9"/>
      <c r="F2494" s="67"/>
      <c r="G2494" s="9"/>
      <c r="H2494" s="9"/>
      <c r="I2494" s="9"/>
      <c r="J2494" s="9"/>
      <c r="K2494" s="9"/>
      <c r="L2494" s="9"/>
      <c r="M2494" s="9"/>
      <c r="N2494" s="9"/>
      <c r="O2494" s="9"/>
      <c r="P2494" s="9"/>
      <c r="Q2494" s="9"/>
      <c r="R2494" s="9"/>
      <c r="S2494" s="9"/>
      <c r="T2494" s="9"/>
      <c r="U2494" s="9"/>
      <c r="V2494" s="9"/>
      <c r="W2494" s="9"/>
      <c r="X2494" s="9"/>
      <c r="Y2494" s="9"/>
      <c r="Z2494" s="9"/>
      <c r="AA2494" s="9"/>
      <c r="AB2494" s="9"/>
      <c r="AC2494" s="9"/>
      <c r="AD2494" s="9"/>
      <c r="AE2494" s="9"/>
      <c r="AF2494" s="9"/>
      <c r="AG2494" s="9"/>
      <c r="AH2494" s="9"/>
      <c r="AI2494" s="9"/>
      <c r="AJ2494" s="9"/>
      <c r="AK2494" s="9"/>
      <c r="AL2494" s="9"/>
      <c r="AM2494" s="9"/>
      <c r="AN2494" s="9"/>
      <c r="AO2494" s="9"/>
      <c r="AP2494" s="9"/>
      <c r="AQ2494" s="9"/>
      <c r="AR2494" s="9"/>
      <c r="AS2494" s="9"/>
      <c r="AT2494" s="9"/>
      <c r="AU2494" s="9"/>
    </row>
    <row r="2495" spans="1:47" ht="15.75" customHeight="1">
      <c r="A2495" s="9"/>
      <c r="B2495" s="9"/>
      <c r="C2495" s="9"/>
      <c r="D2495" s="9"/>
      <c r="E2495" s="9"/>
      <c r="F2495" s="67"/>
      <c r="G2495" s="9"/>
      <c r="H2495" s="9"/>
      <c r="I2495" s="9"/>
      <c r="J2495" s="9"/>
      <c r="K2495" s="9"/>
      <c r="L2495" s="9"/>
      <c r="M2495" s="9"/>
      <c r="N2495" s="9"/>
      <c r="O2495" s="9"/>
      <c r="P2495" s="9"/>
      <c r="Q2495" s="9"/>
      <c r="R2495" s="9"/>
      <c r="S2495" s="9"/>
      <c r="T2495" s="9"/>
      <c r="U2495" s="9"/>
      <c r="V2495" s="9"/>
      <c r="W2495" s="9"/>
      <c r="X2495" s="9"/>
      <c r="Y2495" s="9"/>
      <c r="Z2495" s="9"/>
      <c r="AA2495" s="9"/>
      <c r="AB2495" s="9"/>
      <c r="AC2495" s="9"/>
      <c r="AD2495" s="9"/>
      <c r="AE2495" s="9"/>
      <c r="AF2495" s="9"/>
      <c r="AG2495" s="9"/>
      <c r="AH2495" s="9"/>
      <c r="AI2495" s="9"/>
      <c r="AJ2495" s="9"/>
      <c r="AK2495" s="9"/>
      <c r="AL2495" s="9"/>
      <c r="AM2495" s="9"/>
      <c r="AN2495" s="9"/>
      <c r="AO2495" s="9"/>
      <c r="AP2495" s="9"/>
      <c r="AQ2495" s="9"/>
      <c r="AR2495" s="9"/>
      <c r="AS2495" s="9"/>
      <c r="AT2495" s="9"/>
      <c r="AU2495" s="9"/>
    </row>
    <row r="2496" spans="1:47" ht="15.75" customHeight="1">
      <c r="A2496" s="9"/>
      <c r="B2496" s="9"/>
      <c r="C2496" s="9"/>
      <c r="D2496" s="9"/>
      <c r="E2496" s="9"/>
      <c r="F2496" s="67"/>
      <c r="G2496" s="9"/>
      <c r="H2496" s="9"/>
      <c r="I2496" s="9"/>
      <c r="J2496" s="9"/>
      <c r="K2496" s="9"/>
      <c r="L2496" s="9"/>
      <c r="M2496" s="9"/>
      <c r="N2496" s="9"/>
      <c r="O2496" s="9"/>
      <c r="P2496" s="9"/>
      <c r="Q2496" s="9"/>
      <c r="R2496" s="9"/>
      <c r="S2496" s="9"/>
      <c r="T2496" s="9"/>
      <c r="U2496" s="9"/>
      <c r="V2496" s="9"/>
      <c r="W2496" s="9"/>
      <c r="X2496" s="9"/>
      <c r="Y2496" s="9"/>
      <c r="Z2496" s="9"/>
      <c r="AA2496" s="9"/>
      <c r="AB2496" s="9"/>
      <c r="AC2496" s="9"/>
      <c r="AD2496" s="9"/>
      <c r="AE2496" s="9"/>
      <c r="AF2496" s="9"/>
      <c r="AG2496" s="9"/>
      <c r="AH2496" s="9"/>
      <c r="AI2496" s="9"/>
      <c r="AJ2496" s="9"/>
      <c r="AK2496" s="9"/>
      <c r="AL2496" s="9"/>
      <c r="AM2496" s="9"/>
      <c r="AN2496" s="9"/>
      <c r="AO2496" s="9"/>
      <c r="AP2496" s="9"/>
      <c r="AQ2496" s="9"/>
      <c r="AR2496" s="9"/>
      <c r="AS2496" s="9"/>
      <c r="AT2496" s="9"/>
      <c r="AU2496" s="9"/>
    </row>
    <row r="2497" spans="1:47" ht="15.75" customHeight="1">
      <c r="A2497" s="9"/>
      <c r="B2497" s="9"/>
      <c r="C2497" s="9"/>
      <c r="D2497" s="9"/>
      <c r="E2497" s="9"/>
      <c r="F2497" s="67"/>
      <c r="G2497" s="9"/>
      <c r="H2497" s="9"/>
      <c r="I2497" s="9"/>
      <c r="J2497" s="9"/>
      <c r="K2497" s="9"/>
      <c r="L2497" s="9"/>
      <c r="M2497" s="9"/>
      <c r="N2497" s="9"/>
      <c r="O2497" s="9"/>
      <c r="P2497" s="9"/>
      <c r="Q2497" s="9"/>
      <c r="R2497" s="9"/>
      <c r="S2497" s="9"/>
      <c r="T2497" s="9"/>
      <c r="U2497" s="9"/>
      <c r="V2497" s="9"/>
      <c r="W2497" s="9"/>
      <c r="X2497" s="9"/>
      <c r="Y2497" s="9"/>
      <c r="Z2497" s="9"/>
      <c r="AA2497" s="9"/>
      <c r="AB2497" s="9"/>
      <c r="AC2497" s="9"/>
      <c r="AD2497" s="9"/>
      <c r="AE2497" s="9"/>
      <c r="AF2497" s="9"/>
      <c r="AG2497" s="9"/>
      <c r="AH2497" s="9"/>
      <c r="AI2497" s="9"/>
      <c r="AJ2497" s="9"/>
      <c r="AK2497" s="9"/>
      <c r="AL2497" s="9"/>
      <c r="AM2497" s="9"/>
      <c r="AN2497" s="9"/>
      <c r="AO2497" s="9"/>
      <c r="AP2497" s="9"/>
      <c r="AQ2497" s="9"/>
      <c r="AR2497" s="9"/>
      <c r="AS2497" s="9"/>
      <c r="AT2497" s="9"/>
      <c r="AU2497" s="9"/>
    </row>
    <row r="2498" spans="1:47" ht="15.75" customHeight="1">
      <c r="A2498" s="9"/>
      <c r="B2498" s="9"/>
      <c r="C2498" s="9"/>
      <c r="D2498" s="9"/>
      <c r="E2498" s="9"/>
      <c r="F2498" s="67"/>
      <c r="G2498" s="9"/>
      <c r="H2498" s="9"/>
      <c r="I2498" s="9"/>
      <c r="J2498" s="9"/>
      <c r="K2498" s="9"/>
      <c r="L2498" s="9"/>
      <c r="M2498" s="9"/>
      <c r="N2498" s="9"/>
      <c r="O2498" s="9"/>
      <c r="P2498" s="9"/>
      <c r="Q2498" s="9"/>
      <c r="R2498" s="9"/>
      <c r="S2498" s="9"/>
      <c r="T2498" s="9"/>
      <c r="U2498" s="9"/>
      <c r="V2498" s="9"/>
      <c r="W2498" s="9"/>
      <c r="X2498" s="9"/>
      <c r="Y2498" s="9"/>
      <c r="Z2498" s="9"/>
      <c r="AA2498" s="9"/>
      <c r="AB2498" s="9"/>
      <c r="AC2498" s="9"/>
      <c r="AD2498" s="9"/>
      <c r="AE2498" s="9"/>
      <c r="AF2498" s="9"/>
      <c r="AG2498" s="9"/>
      <c r="AH2498" s="9"/>
      <c r="AI2498" s="9"/>
      <c r="AJ2498" s="9"/>
      <c r="AK2498" s="9"/>
      <c r="AL2498" s="9"/>
      <c r="AM2498" s="9"/>
      <c r="AN2498" s="9"/>
      <c r="AO2498" s="9"/>
      <c r="AP2498" s="9"/>
      <c r="AQ2498" s="9"/>
      <c r="AR2498" s="9"/>
      <c r="AS2498" s="9"/>
      <c r="AT2498" s="9"/>
      <c r="AU2498" s="9"/>
    </row>
    <row r="2499" spans="1:47" ht="15.75" customHeight="1">
      <c r="A2499" s="9"/>
      <c r="B2499" s="9"/>
      <c r="C2499" s="9"/>
      <c r="D2499" s="9"/>
      <c r="E2499" s="9"/>
      <c r="F2499" s="67"/>
      <c r="G2499" s="9"/>
      <c r="H2499" s="9"/>
      <c r="I2499" s="9"/>
      <c r="J2499" s="9"/>
      <c r="K2499" s="9"/>
      <c r="L2499" s="9"/>
      <c r="M2499" s="9"/>
      <c r="N2499" s="9"/>
      <c r="O2499" s="9"/>
      <c r="P2499" s="9"/>
      <c r="Q2499" s="9"/>
      <c r="R2499" s="9"/>
      <c r="S2499" s="9"/>
      <c r="T2499" s="9"/>
      <c r="U2499" s="9"/>
      <c r="V2499" s="9"/>
      <c r="W2499" s="9"/>
      <c r="X2499" s="9"/>
      <c r="Y2499" s="9"/>
      <c r="Z2499" s="9"/>
      <c r="AA2499" s="9"/>
      <c r="AB2499" s="9"/>
      <c r="AC2499" s="9"/>
      <c r="AD2499" s="9"/>
      <c r="AE2499" s="9"/>
      <c r="AF2499" s="9"/>
      <c r="AG2499" s="9"/>
      <c r="AH2499" s="9"/>
      <c r="AI2499" s="9"/>
      <c r="AJ2499" s="9"/>
      <c r="AK2499" s="9"/>
      <c r="AL2499" s="9"/>
      <c r="AM2499" s="9"/>
      <c r="AN2499" s="9"/>
      <c r="AO2499" s="9"/>
      <c r="AP2499" s="9"/>
      <c r="AQ2499" s="9"/>
      <c r="AR2499" s="9"/>
      <c r="AS2499" s="9"/>
      <c r="AT2499" s="9"/>
      <c r="AU2499" s="9"/>
    </row>
    <row r="2500" spans="1:47" ht="15.75" customHeight="1">
      <c r="A2500" s="9"/>
      <c r="B2500" s="9"/>
      <c r="C2500" s="9"/>
      <c r="D2500" s="9"/>
      <c r="E2500" s="9"/>
      <c r="F2500" s="67"/>
      <c r="G2500" s="9"/>
      <c r="H2500" s="9"/>
      <c r="I2500" s="9"/>
      <c r="J2500" s="9"/>
      <c r="K2500" s="9"/>
      <c r="L2500" s="9"/>
      <c r="M2500" s="9"/>
      <c r="N2500" s="9"/>
      <c r="O2500" s="9"/>
      <c r="P2500" s="9"/>
      <c r="Q2500" s="9"/>
      <c r="R2500" s="9"/>
      <c r="S2500" s="9"/>
      <c r="T2500" s="9"/>
      <c r="U2500" s="9"/>
      <c r="V2500" s="9"/>
      <c r="W2500" s="9"/>
      <c r="X2500" s="9"/>
      <c r="Y2500" s="9"/>
      <c r="Z2500" s="9"/>
      <c r="AA2500" s="9"/>
      <c r="AB2500" s="9"/>
      <c r="AC2500" s="9"/>
      <c r="AD2500" s="9"/>
      <c r="AE2500" s="9"/>
      <c r="AF2500" s="9"/>
      <c r="AG2500" s="9"/>
      <c r="AH2500" s="9"/>
      <c r="AI2500" s="9"/>
      <c r="AJ2500" s="9"/>
      <c r="AK2500" s="9"/>
      <c r="AL2500" s="9"/>
      <c r="AM2500" s="9"/>
      <c r="AN2500" s="9"/>
      <c r="AO2500" s="9"/>
      <c r="AP2500" s="9"/>
      <c r="AQ2500" s="9"/>
      <c r="AR2500" s="9"/>
      <c r="AS2500" s="9"/>
      <c r="AT2500" s="9"/>
      <c r="AU2500" s="9"/>
    </row>
    <row r="2501" spans="1:47" ht="15.75" customHeight="1">
      <c r="A2501" s="9"/>
      <c r="B2501" s="9"/>
      <c r="C2501" s="9"/>
      <c r="D2501" s="9"/>
      <c r="E2501" s="9"/>
      <c r="F2501" s="67"/>
      <c r="G2501" s="9"/>
      <c r="H2501" s="9"/>
      <c r="I2501" s="9"/>
      <c r="J2501" s="9"/>
      <c r="K2501" s="9"/>
      <c r="L2501" s="9"/>
      <c r="M2501" s="9"/>
      <c r="N2501" s="9"/>
      <c r="O2501" s="9"/>
      <c r="P2501" s="9"/>
      <c r="Q2501" s="9"/>
      <c r="R2501" s="9"/>
      <c r="S2501" s="9"/>
      <c r="T2501" s="9"/>
      <c r="U2501" s="9"/>
      <c r="V2501" s="9"/>
      <c r="W2501" s="9"/>
      <c r="X2501" s="9"/>
      <c r="Y2501" s="9"/>
      <c r="Z2501" s="9"/>
      <c r="AA2501" s="9"/>
      <c r="AB2501" s="9"/>
      <c r="AC2501" s="9"/>
      <c r="AD2501" s="9"/>
      <c r="AE2501" s="9"/>
      <c r="AF2501" s="9"/>
      <c r="AG2501" s="9"/>
      <c r="AH2501" s="9"/>
      <c r="AI2501" s="9"/>
      <c r="AJ2501" s="9"/>
      <c r="AK2501" s="9"/>
      <c r="AL2501" s="9"/>
      <c r="AM2501" s="9"/>
      <c r="AN2501" s="9"/>
      <c r="AO2501" s="9"/>
      <c r="AP2501" s="9"/>
      <c r="AQ2501" s="9"/>
      <c r="AR2501" s="9"/>
      <c r="AS2501" s="9"/>
      <c r="AT2501" s="9"/>
      <c r="AU2501" s="9"/>
    </row>
    <row r="2502" spans="1:47" ht="15.75" customHeight="1">
      <c r="A2502" s="9"/>
      <c r="B2502" s="9"/>
      <c r="C2502" s="9"/>
      <c r="D2502" s="9"/>
      <c r="E2502" s="9"/>
      <c r="F2502" s="67"/>
      <c r="G2502" s="9"/>
      <c r="H2502" s="9"/>
      <c r="I2502" s="9"/>
      <c r="J2502" s="9"/>
      <c r="K2502" s="9"/>
      <c r="L2502" s="9"/>
      <c r="M2502" s="9"/>
      <c r="N2502" s="9"/>
      <c r="O2502" s="9"/>
      <c r="P2502" s="9"/>
      <c r="Q2502" s="9"/>
      <c r="R2502" s="9"/>
      <c r="S2502" s="9"/>
      <c r="T2502" s="9"/>
      <c r="U2502" s="9"/>
      <c r="V2502" s="9"/>
      <c r="W2502" s="9"/>
      <c r="X2502" s="9"/>
      <c r="Y2502" s="9"/>
      <c r="Z2502" s="9"/>
      <c r="AA2502" s="9"/>
      <c r="AB2502" s="9"/>
      <c r="AC2502" s="9"/>
      <c r="AD2502" s="9"/>
      <c r="AE2502" s="9"/>
      <c r="AF2502" s="9"/>
      <c r="AG2502" s="9"/>
      <c r="AH2502" s="9"/>
      <c r="AI2502" s="9"/>
      <c r="AJ2502" s="9"/>
      <c r="AK2502" s="9"/>
      <c r="AL2502" s="9"/>
      <c r="AM2502" s="9"/>
      <c r="AN2502" s="9"/>
      <c r="AO2502" s="9"/>
      <c r="AP2502" s="9"/>
      <c r="AQ2502" s="9"/>
      <c r="AR2502" s="9"/>
      <c r="AS2502" s="9"/>
      <c r="AT2502" s="9"/>
      <c r="AU2502" s="9"/>
    </row>
    <row r="2503" spans="1:47" ht="15.75" customHeight="1">
      <c r="A2503" s="9"/>
      <c r="B2503" s="9"/>
      <c r="C2503" s="9"/>
      <c r="D2503" s="9"/>
      <c r="E2503" s="9"/>
      <c r="F2503" s="67"/>
      <c r="G2503" s="9"/>
      <c r="H2503" s="9"/>
      <c r="I2503" s="9"/>
      <c r="J2503" s="9"/>
      <c r="K2503" s="9"/>
      <c r="L2503" s="9"/>
      <c r="M2503" s="9"/>
      <c r="N2503" s="9"/>
      <c r="O2503" s="9"/>
      <c r="P2503" s="9"/>
      <c r="Q2503" s="9"/>
      <c r="R2503" s="9"/>
      <c r="S2503" s="9"/>
      <c r="T2503" s="9"/>
      <c r="U2503" s="9"/>
      <c r="V2503" s="9"/>
      <c r="W2503" s="9"/>
      <c r="X2503" s="9"/>
      <c r="Y2503" s="9"/>
      <c r="Z2503" s="9"/>
      <c r="AA2503" s="9"/>
      <c r="AB2503" s="9"/>
      <c r="AC2503" s="9"/>
      <c r="AD2503" s="9"/>
      <c r="AE2503" s="9"/>
      <c r="AF2503" s="9"/>
      <c r="AG2503" s="9"/>
      <c r="AH2503" s="9"/>
      <c r="AI2503" s="9"/>
      <c r="AJ2503" s="9"/>
      <c r="AK2503" s="9"/>
      <c r="AL2503" s="9"/>
      <c r="AM2503" s="9"/>
      <c r="AN2503" s="9"/>
      <c r="AO2503" s="9"/>
      <c r="AP2503" s="9"/>
      <c r="AQ2503" s="9"/>
      <c r="AR2503" s="9"/>
      <c r="AS2503" s="9"/>
      <c r="AT2503" s="9"/>
      <c r="AU2503" s="9"/>
    </row>
    <row r="2504" spans="1:47" ht="15.75" customHeight="1">
      <c r="A2504" s="9"/>
      <c r="B2504" s="9"/>
      <c r="C2504" s="9"/>
      <c r="D2504" s="9"/>
      <c r="E2504" s="9"/>
      <c r="F2504" s="67"/>
      <c r="G2504" s="9"/>
      <c r="H2504" s="9"/>
      <c r="I2504" s="9"/>
      <c r="J2504" s="9"/>
      <c r="K2504" s="9"/>
      <c r="L2504" s="9"/>
      <c r="M2504" s="9"/>
      <c r="N2504" s="9"/>
      <c r="O2504" s="9"/>
      <c r="P2504" s="9"/>
      <c r="Q2504" s="9"/>
      <c r="R2504" s="9"/>
      <c r="S2504" s="9"/>
      <c r="T2504" s="9"/>
      <c r="U2504" s="9"/>
      <c r="V2504" s="9"/>
      <c r="W2504" s="9"/>
      <c r="X2504" s="9"/>
      <c r="Y2504" s="9"/>
      <c r="Z2504" s="9"/>
      <c r="AA2504" s="9"/>
      <c r="AB2504" s="9"/>
      <c r="AC2504" s="9"/>
      <c r="AD2504" s="9"/>
      <c r="AE2504" s="9"/>
      <c r="AF2504" s="9"/>
      <c r="AG2504" s="9"/>
      <c r="AH2504" s="9"/>
      <c r="AI2504" s="9"/>
      <c r="AJ2504" s="9"/>
      <c r="AK2504" s="9"/>
      <c r="AL2504" s="9"/>
      <c r="AM2504" s="9"/>
      <c r="AN2504" s="9"/>
      <c r="AO2504" s="9"/>
      <c r="AP2504" s="9"/>
      <c r="AQ2504" s="9"/>
      <c r="AR2504" s="9"/>
      <c r="AS2504" s="9"/>
      <c r="AT2504" s="9"/>
      <c r="AU2504" s="9"/>
    </row>
    <row r="2505" spans="1:47" ht="15.75" customHeight="1">
      <c r="A2505" s="9"/>
      <c r="B2505" s="9"/>
      <c r="C2505" s="9"/>
      <c r="D2505" s="9"/>
      <c r="E2505" s="9"/>
      <c r="F2505" s="67"/>
      <c r="G2505" s="9"/>
      <c r="H2505" s="9"/>
      <c r="I2505" s="9"/>
      <c r="J2505" s="9"/>
      <c r="K2505" s="9"/>
      <c r="L2505" s="9"/>
      <c r="M2505" s="9"/>
      <c r="N2505" s="9"/>
      <c r="O2505" s="9"/>
      <c r="P2505" s="9"/>
      <c r="Q2505" s="9"/>
      <c r="R2505" s="9"/>
      <c r="S2505" s="9"/>
      <c r="T2505" s="9"/>
      <c r="U2505" s="9"/>
      <c r="V2505" s="9"/>
      <c r="W2505" s="9"/>
      <c r="X2505" s="9"/>
      <c r="Y2505" s="9"/>
      <c r="Z2505" s="9"/>
      <c r="AA2505" s="9"/>
      <c r="AB2505" s="9"/>
      <c r="AC2505" s="9"/>
      <c r="AD2505" s="9"/>
      <c r="AE2505" s="9"/>
      <c r="AF2505" s="9"/>
      <c r="AG2505" s="9"/>
      <c r="AH2505" s="9"/>
      <c r="AI2505" s="9"/>
      <c r="AJ2505" s="9"/>
      <c r="AK2505" s="9"/>
      <c r="AL2505" s="9"/>
      <c r="AM2505" s="9"/>
      <c r="AN2505" s="9"/>
      <c r="AO2505" s="9"/>
      <c r="AP2505" s="9"/>
      <c r="AQ2505" s="9"/>
      <c r="AR2505" s="9"/>
      <c r="AS2505" s="9"/>
      <c r="AT2505" s="9"/>
      <c r="AU2505" s="9"/>
    </row>
    <row r="2506" spans="1:47" ht="15.75" customHeight="1">
      <c r="A2506" s="9"/>
      <c r="B2506" s="9"/>
      <c r="C2506" s="9"/>
      <c r="D2506" s="9"/>
      <c r="E2506" s="9"/>
      <c r="F2506" s="67"/>
      <c r="G2506" s="9"/>
      <c r="H2506" s="9"/>
      <c r="I2506" s="9"/>
      <c r="J2506" s="9"/>
      <c r="K2506" s="9"/>
      <c r="L2506" s="9"/>
      <c r="M2506" s="9"/>
      <c r="N2506" s="9"/>
      <c r="O2506" s="9"/>
      <c r="P2506" s="9"/>
      <c r="Q2506" s="9"/>
      <c r="R2506" s="9"/>
      <c r="S2506" s="9"/>
      <c r="T2506" s="9"/>
      <c r="U2506" s="9"/>
      <c r="V2506" s="9"/>
      <c r="W2506" s="9"/>
      <c r="X2506" s="9"/>
      <c r="Y2506" s="9"/>
      <c r="Z2506" s="9"/>
      <c r="AA2506" s="9"/>
      <c r="AB2506" s="9"/>
      <c r="AC2506" s="9"/>
      <c r="AD2506" s="9"/>
      <c r="AE2506" s="9"/>
      <c r="AF2506" s="9"/>
      <c r="AG2506" s="9"/>
      <c r="AH2506" s="9"/>
      <c r="AI2506" s="9"/>
      <c r="AJ2506" s="9"/>
      <c r="AK2506" s="9"/>
      <c r="AL2506" s="9"/>
      <c r="AM2506" s="9"/>
      <c r="AN2506" s="9"/>
      <c r="AO2506" s="9"/>
      <c r="AP2506" s="9"/>
      <c r="AQ2506" s="9"/>
      <c r="AR2506" s="9"/>
      <c r="AS2506" s="9"/>
      <c r="AT2506" s="9"/>
      <c r="AU2506" s="9"/>
    </row>
    <row r="2507" spans="1:47" ht="15.75" customHeight="1">
      <c r="A2507" s="9"/>
      <c r="B2507" s="9"/>
      <c r="C2507" s="9"/>
      <c r="D2507" s="9"/>
      <c r="E2507" s="9"/>
      <c r="F2507" s="67"/>
      <c r="G2507" s="9"/>
      <c r="H2507" s="9"/>
      <c r="I2507" s="9"/>
      <c r="J2507" s="9"/>
      <c r="K2507" s="9"/>
      <c r="L2507" s="9"/>
      <c r="M2507" s="9"/>
      <c r="N2507" s="9"/>
      <c r="O2507" s="9"/>
      <c r="P2507" s="9"/>
      <c r="Q2507" s="9"/>
      <c r="R2507" s="9"/>
      <c r="S2507" s="9"/>
      <c r="T2507" s="9"/>
      <c r="U2507" s="9"/>
      <c r="V2507" s="9"/>
      <c r="W2507" s="9"/>
      <c r="X2507" s="9"/>
      <c r="Y2507" s="9"/>
      <c r="Z2507" s="9"/>
      <c r="AA2507" s="9"/>
      <c r="AB2507" s="9"/>
      <c r="AC2507" s="9"/>
      <c r="AD2507" s="9"/>
      <c r="AE2507" s="9"/>
      <c r="AF2507" s="9"/>
      <c r="AG2507" s="9"/>
      <c r="AH2507" s="9"/>
      <c r="AI2507" s="9"/>
      <c r="AJ2507" s="9"/>
      <c r="AK2507" s="9"/>
      <c r="AL2507" s="9"/>
      <c r="AM2507" s="9"/>
      <c r="AN2507" s="9"/>
      <c r="AO2507" s="9"/>
      <c r="AP2507" s="9"/>
      <c r="AQ2507" s="9"/>
      <c r="AR2507" s="9"/>
      <c r="AS2507" s="9"/>
      <c r="AT2507" s="9"/>
      <c r="AU2507" s="9"/>
    </row>
    <row r="2508" spans="1:47" ht="15.75" customHeight="1">
      <c r="A2508" s="9"/>
      <c r="B2508" s="9"/>
      <c r="C2508" s="9"/>
      <c r="D2508" s="9"/>
      <c r="E2508" s="9"/>
      <c r="F2508" s="67"/>
      <c r="G2508" s="9"/>
      <c r="H2508" s="9"/>
      <c r="I2508" s="9"/>
      <c r="J2508" s="9"/>
      <c r="K2508" s="9"/>
      <c r="L2508" s="9"/>
      <c r="M2508" s="9"/>
      <c r="N2508" s="9"/>
      <c r="O2508" s="9"/>
      <c r="P2508" s="9"/>
      <c r="Q2508" s="9"/>
      <c r="R2508" s="9"/>
      <c r="S2508" s="9"/>
      <c r="T2508" s="9"/>
      <c r="U2508" s="9"/>
      <c r="V2508" s="9"/>
      <c r="W2508" s="9"/>
      <c r="X2508" s="9"/>
      <c r="Y2508" s="9"/>
      <c r="Z2508" s="9"/>
      <c r="AA2508" s="9"/>
      <c r="AB2508" s="9"/>
      <c r="AC2508" s="9"/>
      <c r="AD2508" s="9"/>
      <c r="AE2508" s="9"/>
      <c r="AF2508" s="9"/>
      <c r="AG2508" s="9"/>
      <c r="AH2508" s="9"/>
      <c r="AI2508" s="9"/>
      <c r="AJ2508" s="9"/>
      <c r="AK2508" s="9"/>
      <c r="AL2508" s="9"/>
      <c r="AM2508" s="9"/>
      <c r="AN2508" s="9"/>
      <c r="AO2508" s="9"/>
      <c r="AP2508" s="9"/>
      <c r="AQ2508" s="9"/>
      <c r="AR2508" s="9"/>
      <c r="AS2508" s="9"/>
      <c r="AT2508" s="9"/>
      <c r="AU2508" s="9"/>
    </row>
    <row r="2509" spans="1:47" ht="15.75" customHeight="1">
      <c r="A2509" s="9"/>
      <c r="B2509" s="9"/>
      <c r="C2509" s="9"/>
      <c r="D2509" s="9"/>
      <c r="E2509" s="9"/>
      <c r="F2509" s="67"/>
      <c r="G2509" s="9"/>
      <c r="H2509" s="9"/>
      <c r="I2509" s="9"/>
      <c r="J2509" s="9"/>
      <c r="K2509" s="9"/>
      <c r="L2509" s="9"/>
      <c r="M2509" s="9"/>
      <c r="N2509" s="9"/>
      <c r="O2509" s="9"/>
      <c r="P2509" s="9"/>
      <c r="Q2509" s="9"/>
      <c r="R2509" s="9"/>
      <c r="S2509" s="9"/>
      <c r="T2509" s="9"/>
      <c r="U2509" s="9"/>
      <c r="V2509" s="9"/>
      <c r="W2509" s="9"/>
      <c r="X2509" s="9"/>
      <c r="Y2509" s="9"/>
      <c r="Z2509" s="9"/>
      <c r="AA2509" s="9"/>
      <c r="AB2509" s="9"/>
      <c r="AC2509" s="9"/>
      <c r="AD2509" s="9"/>
      <c r="AE2509" s="9"/>
      <c r="AF2509" s="9"/>
      <c r="AG2509" s="9"/>
      <c r="AH2509" s="9"/>
      <c r="AI2509" s="9"/>
      <c r="AJ2509" s="9"/>
      <c r="AK2509" s="9"/>
      <c r="AL2509" s="9"/>
      <c r="AM2509" s="9"/>
      <c r="AN2509" s="9"/>
      <c r="AO2509" s="9"/>
      <c r="AP2509" s="9"/>
      <c r="AQ2509" s="9"/>
      <c r="AR2509" s="9"/>
      <c r="AS2509" s="9"/>
      <c r="AT2509" s="9"/>
      <c r="AU2509" s="9"/>
    </row>
    <row r="2510" spans="1:47" ht="15.75" customHeight="1">
      <c r="A2510" s="9"/>
      <c r="B2510" s="9"/>
      <c r="C2510" s="9"/>
      <c r="D2510" s="9"/>
      <c r="E2510" s="9"/>
      <c r="F2510" s="67"/>
      <c r="G2510" s="9"/>
      <c r="H2510" s="9"/>
      <c r="I2510" s="9"/>
      <c r="J2510" s="9"/>
      <c r="K2510" s="9"/>
      <c r="L2510" s="9"/>
      <c r="M2510" s="9"/>
      <c r="N2510" s="9"/>
      <c r="O2510" s="9"/>
      <c r="P2510" s="9"/>
      <c r="Q2510" s="9"/>
      <c r="R2510" s="9"/>
      <c r="S2510" s="9"/>
      <c r="T2510" s="9"/>
      <c r="U2510" s="9"/>
      <c r="V2510" s="9"/>
      <c r="W2510" s="9"/>
      <c r="X2510" s="9"/>
      <c r="Y2510" s="9"/>
      <c r="Z2510" s="9"/>
      <c r="AA2510" s="9"/>
      <c r="AB2510" s="9"/>
      <c r="AC2510" s="9"/>
      <c r="AD2510" s="9"/>
      <c r="AE2510" s="9"/>
      <c r="AF2510" s="9"/>
      <c r="AG2510" s="9"/>
      <c r="AH2510" s="9"/>
      <c r="AI2510" s="9"/>
      <c r="AJ2510" s="9"/>
      <c r="AK2510" s="9"/>
      <c r="AL2510" s="9"/>
      <c r="AM2510" s="9"/>
      <c r="AN2510" s="9"/>
      <c r="AO2510" s="9"/>
      <c r="AP2510" s="9"/>
      <c r="AQ2510" s="9"/>
      <c r="AR2510" s="9"/>
      <c r="AS2510" s="9"/>
      <c r="AT2510" s="9"/>
      <c r="AU2510" s="9"/>
    </row>
    <row r="2511" spans="1:47" ht="15.75" customHeight="1">
      <c r="A2511" s="9"/>
      <c r="B2511" s="9"/>
      <c r="C2511" s="9"/>
      <c r="D2511" s="9"/>
      <c r="E2511" s="9"/>
      <c r="F2511" s="67"/>
      <c r="G2511" s="9"/>
      <c r="H2511" s="9"/>
      <c r="I2511" s="9"/>
      <c r="J2511" s="9"/>
      <c r="K2511" s="9"/>
      <c r="L2511" s="9"/>
      <c r="M2511" s="9"/>
      <c r="N2511" s="9"/>
      <c r="O2511" s="9"/>
      <c r="P2511" s="9"/>
      <c r="Q2511" s="9"/>
      <c r="R2511" s="9"/>
      <c r="S2511" s="9"/>
      <c r="T2511" s="9"/>
      <c r="U2511" s="9"/>
      <c r="V2511" s="9"/>
      <c r="W2511" s="9"/>
      <c r="X2511" s="9"/>
      <c r="Y2511" s="9"/>
      <c r="Z2511" s="9"/>
      <c r="AA2511" s="9"/>
      <c r="AB2511" s="9"/>
      <c r="AC2511" s="9"/>
      <c r="AD2511" s="9"/>
      <c r="AE2511" s="9"/>
      <c r="AF2511" s="9"/>
      <c r="AG2511" s="9"/>
      <c r="AH2511" s="9"/>
      <c r="AI2511" s="9"/>
      <c r="AJ2511" s="9"/>
      <c r="AK2511" s="9"/>
      <c r="AL2511" s="9"/>
      <c r="AM2511" s="9"/>
      <c r="AN2511" s="9"/>
      <c r="AO2511" s="9"/>
      <c r="AP2511" s="9"/>
      <c r="AQ2511" s="9"/>
      <c r="AR2511" s="9"/>
      <c r="AS2511" s="9"/>
      <c r="AT2511" s="9"/>
      <c r="AU2511" s="9"/>
    </row>
    <row r="2512" spans="1:47" ht="15.75" customHeight="1">
      <c r="A2512" s="9"/>
      <c r="B2512" s="9"/>
      <c r="C2512" s="9"/>
      <c r="D2512" s="9"/>
      <c r="E2512" s="9"/>
      <c r="F2512" s="67"/>
      <c r="G2512" s="9"/>
      <c r="H2512" s="9"/>
      <c r="I2512" s="9"/>
      <c r="J2512" s="9"/>
      <c r="K2512" s="9"/>
      <c r="L2512" s="9"/>
      <c r="M2512" s="9"/>
      <c r="N2512" s="9"/>
      <c r="O2512" s="9"/>
      <c r="P2512" s="9"/>
      <c r="Q2512" s="9"/>
      <c r="R2512" s="9"/>
      <c r="S2512" s="9"/>
      <c r="T2512" s="9"/>
      <c r="U2512" s="9"/>
      <c r="V2512" s="9"/>
      <c r="W2512" s="9"/>
      <c r="X2512" s="9"/>
      <c r="Y2512" s="9"/>
      <c r="Z2512" s="9"/>
      <c r="AA2512" s="9"/>
      <c r="AB2512" s="9"/>
      <c r="AC2512" s="9"/>
      <c r="AD2512" s="9"/>
      <c r="AE2512" s="9"/>
      <c r="AF2512" s="9"/>
      <c r="AG2512" s="9"/>
      <c r="AH2512" s="9"/>
      <c r="AI2512" s="9"/>
      <c r="AJ2512" s="9"/>
      <c r="AK2512" s="9"/>
      <c r="AL2512" s="9"/>
      <c r="AM2512" s="9"/>
      <c r="AN2512" s="9"/>
      <c r="AO2512" s="9"/>
      <c r="AP2512" s="9"/>
      <c r="AQ2512" s="9"/>
      <c r="AR2512" s="9"/>
      <c r="AS2512" s="9"/>
      <c r="AT2512" s="9"/>
      <c r="AU2512" s="9"/>
    </row>
    <row r="2513" spans="1:47" ht="15.75" customHeight="1">
      <c r="A2513" s="9"/>
      <c r="B2513" s="9"/>
      <c r="C2513" s="9"/>
      <c r="D2513" s="9"/>
      <c r="E2513" s="9"/>
      <c r="F2513" s="67"/>
      <c r="G2513" s="9"/>
      <c r="H2513" s="9"/>
      <c r="I2513" s="9"/>
      <c r="J2513" s="9"/>
      <c r="K2513" s="9"/>
      <c r="L2513" s="9"/>
      <c r="M2513" s="9"/>
      <c r="N2513" s="9"/>
      <c r="O2513" s="9"/>
      <c r="P2513" s="9"/>
      <c r="Q2513" s="9"/>
      <c r="R2513" s="9"/>
      <c r="S2513" s="9"/>
      <c r="T2513" s="9"/>
      <c r="U2513" s="9"/>
      <c r="V2513" s="9"/>
      <c r="W2513" s="9"/>
      <c r="X2513" s="9"/>
      <c r="Y2513" s="9"/>
      <c r="Z2513" s="9"/>
      <c r="AA2513" s="9"/>
      <c r="AB2513" s="9"/>
      <c r="AC2513" s="9"/>
      <c r="AD2513" s="9"/>
      <c r="AE2513" s="9"/>
      <c r="AF2513" s="9"/>
      <c r="AG2513" s="9"/>
      <c r="AH2513" s="9"/>
      <c r="AI2513" s="9"/>
      <c r="AJ2513" s="9"/>
      <c r="AK2513" s="9"/>
      <c r="AL2513" s="9"/>
      <c r="AM2513" s="9"/>
      <c r="AN2513" s="9"/>
      <c r="AO2513" s="9"/>
      <c r="AP2513" s="9"/>
      <c r="AQ2513" s="9"/>
      <c r="AR2513" s="9"/>
      <c r="AS2513" s="9"/>
      <c r="AT2513" s="9"/>
      <c r="AU2513" s="9"/>
    </row>
    <row r="2514" spans="1:47" ht="15.75" customHeight="1">
      <c r="A2514" s="9"/>
      <c r="B2514" s="9"/>
      <c r="C2514" s="9"/>
      <c r="D2514" s="9"/>
      <c r="E2514" s="9"/>
      <c r="F2514" s="67"/>
      <c r="G2514" s="9"/>
      <c r="H2514" s="9"/>
      <c r="I2514" s="9"/>
      <c r="J2514" s="9"/>
      <c r="K2514" s="9"/>
      <c r="L2514" s="9"/>
      <c r="M2514" s="9"/>
      <c r="N2514" s="9"/>
      <c r="O2514" s="9"/>
      <c r="P2514" s="9"/>
      <c r="Q2514" s="9"/>
      <c r="R2514" s="9"/>
      <c r="S2514" s="9"/>
      <c r="T2514" s="9"/>
      <c r="U2514" s="9"/>
      <c r="V2514" s="9"/>
      <c r="W2514" s="9"/>
      <c r="X2514" s="9"/>
      <c r="Y2514" s="9"/>
      <c r="Z2514" s="9"/>
      <c r="AA2514" s="9"/>
      <c r="AB2514" s="9"/>
      <c r="AC2514" s="9"/>
      <c r="AD2514" s="9"/>
      <c r="AE2514" s="9"/>
      <c r="AF2514" s="9"/>
      <c r="AG2514" s="9"/>
      <c r="AH2514" s="9"/>
      <c r="AI2514" s="9"/>
      <c r="AJ2514" s="9"/>
      <c r="AK2514" s="9"/>
      <c r="AL2514" s="9"/>
      <c r="AM2514" s="9"/>
      <c r="AN2514" s="9"/>
      <c r="AO2514" s="9"/>
      <c r="AP2514" s="9"/>
      <c r="AQ2514" s="9"/>
      <c r="AR2514" s="9"/>
      <c r="AS2514" s="9"/>
      <c r="AT2514" s="9"/>
      <c r="AU2514" s="9"/>
    </row>
    <row r="2515" spans="1:47" ht="15.75" customHeight="1">
      <c r="A2515" s="9"/>
      <c r="B2515" s="9"/>
      <c r="C2515" s="9"/>
      <c r="D2515" s="9"/>
      <c r="E2515" s="9"/>
      <c r="F2515" s="67"/>
      <c r="G2515" s="9"/>
      <c r="H2515" s="9"/>
      <c r="I2515" s="9"/>
      <c r="J2515" s="9"/>
      <c r="K2515" s="9"/>
      <c r="L2515" s="9"/>
      <c r="M2515" s="9"/>
      <c r="N2515" s="9"/>
      <c r="O2515" s="9"/>
      <c r="P2515" s="9"/>
      <c r="Q2515" s="9"/>
      <c r="R2515" s="9"/>
      <c r="S2515" s="9"/>
      <c r="T2515" s="9"/>
      <c r="U2515" s="9"/>
      <c r="V2515" s="9"/>
      <c r="W2515" s="9"/>
      <c r="X2515" s="9"/>
      <c r="Y2515" s="9"/>
      <c r="Z2515" s="9"/>
      <c r="AA2515" s="9"/>
      <c r="AB2515" s="9"/>
      <c r="AC2515" s="9"/>
      <c r="AD2515" s="9"/>
      <c r="AE2515" s="9"/>
      <c r="AF2515" s="9"/>
      <c r="AG2515" s="9"/>
      <c r="AH2515" s="9"/>
      <c r="AI2515" s="9"/>
      <c r="AJ2515" s="9"/>
      <c r="AK2515" s="9"/>
      <c r="AL2515" s="9"/>
      <c r="AM2515" s="9"/>
      <c r="AN2515" s="9"/>
      <c r="AO2515" s="9"/>
      <c r="AP2515" s="9"/>
      <c r="AQ2515" s="9"/>
      <c r="AR2515" s="9"/>
      <c r="AS2515" s="9"/>
      <c r="AT2515" s="9"/>
      <c r="AU2515" s="9"/>
    </row>
    <row r="2516" spans="1:47" ht="15.75" customHeight="1">
      <c r="A2516" s="9"/>
      <c r="B2516" s="9"/>
      <c r="C2516" s="9"/>
      <c r="D2516" s="9"/>
      <c r="E2516" s="9"/>
      <c r="F2516" s="67"/>
      <c r="G2516" s="9"/>
      <c r="H2516" s="9"/>
      <c r="I2516" s="9"/>
      <c r="J2516" s="9"/>
      <c r="K2516" s="9"/>
      <c r="L2516" s="9"/>
      <c r="M2516" s="9"/>
      <c r="N2516" s="9"/>
      <c r="O2516" s="9"/>
      <c r="P2516" s="9"/>
      <c r="Q2516" s="9"/>
      <c r="R2516" s="9"/>
      <c r="S2516" s="9"/>
      <c r="T2516" s="9"/>
      <c r="U2516" s="9"/>
      <c r="V2516" s="9"/>
      <c r="W2516" s="9"/>
      <c r="X2516" s="9"/>
      <c r="Y2516" s="9"/>
      <c r="Z2516" s="9"/>
      <c r="AA2516" s="9"/>
      <c r="AB2516" s="9"/>
      <c r="AC2516" s="9"/>
      <c r="AD2516" s="9"/>
      <c r="AE2516" s="9"/>
      <c r="AF2516" s="9"/>
      <c r="AG2516" s="9"/>
      <c r="AH2516" s="9"/>
      <c r="AI2516" s="9"/>
      <c r="AJ2516" s="9"/>
      <c r="AK2516" s="9"/>
      <c r="AL2516" s="9"/>
      <c r="AM2516" s="9"/>
      <c r="AN2516" s="9"/>
      <c r="AO2516" s="9"/>
      <c r="AP2516" s="9"/>
      <c r="AQ2516" s="9"/>
      <c r="AR2516" s="9"/>
      <c r="AS2516" s="9"/>
      <c r="AT2516" s="9"/>
      <c r="AU2516" s="9"/>
    </row>
    <row r="2517" spans="1:47" ht="15.75" customHeight="1">
      <c r="A2517" s="9"/>
      <c r="B2517" s="9"/>
      <c r="C2517" s="9"/>
      <c r="D2517" s="9"/>
      <c r="E2517" s="9"/>
      <c r="F2517" s="67"/>
      <c r="G2517" s="9"/>
      <c r="H2517" s="9"/>
      <c r="I2517" s="9"/>
      <c r="J2517" s="9"/>
      <c r="K2517" s="9"/>
      <c r="L2517" s="9"/>
      <c r="M2517" s="9"/>
      <c r="N2517" s="9"/>
      <c r="O2517" s="9"/>
      <c r="P2517" s="9"/>
      <c r="Q2517" s="9"/>
      <c r="R2517" s="9"/>
      <c r="S2517" s="9"/>
      <c r="T2517" s="9"/>
      <c r="U2517" s="9"/>
      <c r="V2517" s="9"/>
      <c r="W2517" s="9"/>
      <c r="X2517" s="9"/>
      <c r="Y2517" s="9"/>
      <c r="Z2517" s="9"/>
      <c r="AA2517" s="9"/>
      <c r="AB2517" s="9"/>
      <c r="AC2517" s="9"/>
      <c r="AD2517" s="9"/>
      <c r="AE2517" s="9"/>
      <c r="AF2517" s="9"/>
      <c r="AG2517" s="9"/>
      <c r="AH2517" s="9"/>
      <c r="AI2517" s="9"/>
      <c r="AJ2517" s="9"/>
      <c r="AK2517" s="9"/>
      <c r="AL2517" s="9"/>
      <c r="AM2517" s="9"/>
      <c r="AN2517" s="9"/>
      <c r="AO2517" s="9"/>
      <c r="AP2517" s="9"/>
      <c r="AQ2517" s="9"/>
      <c r="AR2517" s="9"/>
      <c r="AS2517" s="9"/>
      <c r="AT2517" s="9"/>
      <c r="AU2517" s="9"/>
    </row>
    <row r="2518" spans="1:47" ht="15.75" customHeight="1">
      <c r="A2518" s="9"/>
      <c r="B2518" s="9"/>
      <c r="C2518" s="9"/>
      <c r="D2518" s="9"/>
      <c r="E2518" s="9"/>
      <c r="F2518" s="67"/>
      <c r="G2518" s="9"/>
      <c r="H2518" s="9"/>
      <c r="I2518" s="9"/>
      <c r="J2518" s="9"/>
      <c r="K2518" s="9"/>
      <c r="L2518" s="9"/>
      <c r="M2518" s="9"/>
      <c r="N2518" s="9"/>
      <c r="O2518" s="9"/>
      <c r="P2518" s="9"/>
      <c r="Q2518" s="9"/>
      <c r="R2518" s="9"/>
      <c r="S2518" s="9"/>
      <c r="T2518" s="9"/>
      <c r="U2518" s="9"/>
      <c r="V2518" s="9"/>
      <c r="W2518" s="9"/>
      <c r="X2518" s="9"/>
      <c r="Y2518" s="9"/>
      <c r="Z2518" s="9"/>
      <c r="AA2518" s="9"/>
      <c r="AB2518" s="9"/>
      <c r="AC2518" s="9"/>
      <c r="AD2518" s="9"/>
      <c r="AE2518" s="9"/>
      <c r="AF2518" s="9"/>
      <c r="AG2518" s="9"/>
      <c r="AH2518" s="9"/>
      <c r="AI2518" s="9"/>
      <c r="AJ2518" s="9"/>
      <c r="AK2518" s="9"/>
      <c r="AL2518" s="9"/>
      <c r="AM2518" s="9"/>
      <c r="AN2518" s="9"/>
      <c r="AO2518" s="9"/>
      <c r="AP2518" s="9"/>
      <c r="AQ2518" s="9"/>
      <c r="AR2518" s="9"/>
      <c r="AS2518" s="9"/>
      <c r="AT2518" s="9"/>
      <c r="AU2518" s="9"/>
    </row>
    <row r="2519" spans="1:47" ht="15.75" customHeight="1">
      <c r="A2519" s="9"/>
      <c r="B2519" s="9"/>
      <c r="C2519" s="9"/>
      <c r="D2519" s="9"/>
      <c r="E2519" s="9"/>
      <c r="F2519" s="67"/>
      <c r="G2519" s="9"/>
      <c r="H2519" s="9"/>
      <c r="I2519" s="9"/>
      <c r="J2519" s="9"/>
      <c r="K2519" s="9"/>
      <c r="L2519" s="9"/>
      <c r="M2519" s="9"/>
      <c r="N2519" s="9"/>
      <c r="O2519" s="9"/>
      <c r="P2519" s="9"/>
      <c r="Q2519" s="9"/>
      <c r="R2519" s="9"/>
      <c r="S2519" s="9"/>
      <c r="T2519" s="9"/>
      <c r="U2519" s="9"/>
      <c r="V2519" s="9"/>
      <c r="W2519" s="9"/>
      <c r="X2519" s="9"/>
      <c r="Y2519" s="9"/>
      <c r="Z2519" s="9"/>
      <c r="AA2519" s="9"/>
      <c r="AB2519" s="9"/>
      <c r="AC2519" s="9"/>
      <c r="AD2519" s="9"/>
      <c r="AE2519" s="9"/>
      <c r="AF2519" s="9"/>
      <c r="AG2519" s="9"/>
      <c r="AH2519" s="9"/>
      <c r="AI2519" s="9"/>
      <c r="AJ2519" s="9"/>
      <c r="AK2519" s="9"/>
      <c r="AL2519" s="9"/>
      <c r="AM2519" s="9"/>
      <c r="AN2519" s="9"/>
      <c r="AO2519" s="9"/>
      <c r="AP2519" s="9"/>
      <c r="AQ2519" s="9"/>
      <c r="AR2519" s="9"/>
      <c r="AS2519" s="9"/>
      <c r="AT2519" s="9"/>
      <c r="AU2519" s="9"/>
    </row>
    <row r="2520" spans="1:47" ht="15.75" customHeight="1">
      <c r="A2520" s="9"/>
      <c r="B2520" s="9"/>
      <c r="C2520" s="9"/>
      <c r="D2520" s="9"/>
      <c r="E2520" s="9"/>
      <c r="F2520" s="67"/>
      <c r="G2520" s="9"/>
      <c r="H2520" s="9"/>
      <c r="I2520" s="9"/>
      <c r="J2520" s="9"/>
      <c r="K2520" s="9"/>
      <c r="L2520" s="9"/>
      <c r="M2520" s="9"/>
      <c r="N2520" s="9"/>
      <c r="O2520" s="9"/>
      <c r="P2520" s="9"/>
      <c r="Q2520" s="9"/>
      <c r="R2520" s="9"/>
      <c r="S2520" s="9"/>
      <c r="T2520" s="9"/>
      <c r="U2520" s="9"/>
      <c r="V2520" s="9"/>
      <c r="W2520" s="9"/>
      <c r="X2520" s="9"/>
      <c r="Y2520" s="9"/>
      <c r="Z2520" s="9"/>
      <c r="AA2520" s="9"/>
      <c r="AB2520" s="9"/>
      <c r="AC2520" s="9"/>
      <c r="AD2520" s="9"/>
      <c r="AE2520" s="9"/>
      <c r="AF2520" s="9"/>
      <c r="AG2520" s="9"/>
      <c r="AH2520" s="9"/>
      <c r="AI2520" s="9"/>
      <c r="AJ2520" s="9"/>
      <c r="AK2520" s="9"/>
      <c r="AL2520" s="9"/>
      <c r="AM2520" s="9"/>
      <c r="AN2520" s="9"/>
      <c r="AO2520" s="9"/>
      <c r="AP2520" s="9"/>
      <c r="AQ2520" s="9"/>
      <c r="AR2520" s="9"/>
      <c r="AS2520" s="9"/>
      <c r="AT2520" s="9"/>
      <c r="AU2520" s="9"/>
    </row>
    <row r="2521" spans="1:47" ht="15.75" customHeight="1">
      <c r="A2521" s="9"/>
      <c r="B2521" s="9"/>
      <c r="C2521" s="9"/>
      <c r="D2521" s="9"/>
      <c r="E2521" s="9"/>
      <c r="F2521" s="67"/>
      <c r="G2521" s="9"/>
      <c r="H2521" s="9"/>
      <c r="I2521" s="9"/>
      <c r="J2521" s="9"/>
      <c r="K2521" s="9"/>
      <c r="L2521" s="9"/>
      <c r="M2521" s="9"/>
      <c r="N2521" s="9"/>
      <c r="O2521" s="9"/>
      <c r="P2521" s="9"/>
      <c r="Q2521" s="9"/>
      <c r="R2521" s="9"/>
      <c r="S2521" s="9"/>
      <c r="T2521" s="9"/>
      <c r="U2521" s="9"/>
      <c r="V2521" s="9"/>
      <c r="W2521" s="9"/>
      <c r="X2521" s="9"/>
      <c r="Y2521" s="9"/>
      <c r="Z2521" s="9"/>
      <c r="AA2521" s="9"/>
      <c r="AB2521" s="9"/>
      <c r="AC2521" s="9"/>
      <c r="AD2521" s="9"/>
      <c r="AE2521" s="9"/>
      <c r="AF2521" s="9"/>
      <c r="AG2521" s="9"/>
      <c r="AH2521" s="9"/>
      <c r="AI2521" s="9"/>
      <c r="AJ2521" s="9"/>
      <c r="AK2521" s="9"/>
      <c r="AL2521" s="9"/>
      <c r="AM2521" s="9"/>
      <c r="AN2521" s="9"/>
      <c r="AO2521" s="9"/>
      <c r="AP2521" s="9"/>
      <c r="AQ2521" s="9"/>
      <c r="AR2521" s="9"/>
      <c r="AS2521" s="9"/>
      <c r="AT2521" s="9"/>
      <c r="AU2521" s="9"/>
    </row>
    <row r="2522" spans="1:47" ht="15.75" customHeight="1">
      <c r="A2522" s="9"/>
      <c r="B2522" s="9"/>
      <c r="C2522" s="9"/>
      <c r="D2522" s="9"/>
      <c r="E2522" s="9"/>
      <c r="F2522" s="67"/>
      <c r="G2522" s="9"/>
      <c r="H2522" s="9"/>
      <c r="I2522" s="9"/>
      <c r="J2522" s="9"/>
      <c r="K2522" s="9"/>
      <c r="L2522" s="9"/>
      <c r="M2522" s="9"/>
      <c r="N2522" s="9"/>
      <c r="O2522" s="9"/>
      <c r="P2522" s="9"/>
      <c r="Q2522" s="9"/>
      <c r="R2522" s="9"/>
      <c r="S2522" s="9"/>
      <c r="T2522" s="9"/>
      <c r="U2522" s="9"/>
      <c r="V2522" s="9"/>
      <c r="W2522" s="9"/>
      <c r="X2522" s="9"/>
      <c r="Y2522" s="9"/>
      <c r="Z2522" s="9"/>
      <c r="AA2522" s="9"/>
      <c r="AB2522" s="9"/>
      <c r="AC2522" s="9"/>
      <c r="AD2522" s="9"/>
      <c r="AE2522" s="9"/>
      <c r="AF2522" s="9"/>
      <c r="AG2522" s="9"/>
      <c r="AH2522" s="9"/>
      <c r="AI2522" s="9"/>
      <c r="AJ2522" s="9"/>
      <c r="AK2522" s="9"/>
      <c r="AL2522" s="9"/>
      <c r="AM2522" s="9"/>
      <c r="AN2522" s="9"/>
      <c r="AO2522" s="9"/>
      <c r="AP2522" s="9"/>
      <c r="AQ2522" s="9"/>
      <c r="AR2522" s="9"/>
      <c r="AS2522" s="9"/>
      <c r="AT2522" s="9"/>
      <c r="AU2522" s="9"/>
    </row>
    <row r="2523" spans="1:47" ht="15.75" customHeight="1">
      <c r="A2523" s="9"/>
      <c r="B2523" s="9"/>
      <c r="C2523" s="9"/>
      <c r="D2523" s="9"/>
      <c r="E2523" s="9"/>
      <c r="F2523" s="67"/>
      <c r="G2523" s="9"/>
      <c r="H2523" s="9"/>
      <c r="I2523" s="9"/>
      <c r="J2523" s="9"/>
      <c r="K2523" s="9"/>
      <c r="L2523" s="9"/>
      <c r="M2523" s="9"/>
      <c r="N2523" s="9"/>
      <c r="O2523" s="9"/>
      <c r="P2523" s="9"/>
      <c r="Q2523" s="9"/>
      <c r="R2523" s="9"/>
      <c r="S2523" s="9"/>
      <c r="T2523" s="9"/>
      <c r="U2523" s="9"/>
      <c r="V2523" s="9"/>
      <c r="W2523" s="9"/>
      <c r="X2523" s="9"/>
      <c r="Y2523" s="9"/>
      <c r="Z2523" s="9"/>
      <c r="AA2523" s="9"/>
      <c r="AB2523" s="9"/>
      <c r="AC2523" s="9"/>
      <c r="AD2523" s="9"/>
      <c r="AE2523" s="9"/>
      <c r="AF2523" s="9"/>
      <c r="AG2523" s="9"/>
      <c r="AH2523" s="9"/>
      <c r="AI2523" s="9"/>
      <c r="AJ2523" s="9"/>
      <c r="AK2523" s="9"/>
      <c r="AL2523" s="9"/>
      <c r="AM2523" s="9"/>
      <c r="AN2523" s="9"/>
      <c r="AO2523" s="9"/>
      <c r="AP2523" s="9"/>
      <c r="AQ2523" s="9"/>
      <c r="AR2523" s="9"/>
      <c r="AS2523" s="9"/>
      <c r="AT2523" s="9"/>
      <c r="AU2523" s="9"/>
    </row>
    <row r="2524" spans="1:47" ht="15.75" customHeight="1">
      <c r="A2524" s="9"/>
      <c r="B2524" s="9"/>
      <c r="C2524" s="9"/>
      <c r="D2524" s="9"/>
      <c r="E2524" s="9"/>
      <c r="F2524" s="67"/>
      <c r="G2524" s="9"/>
      <c r="H2524" s="9"/>
      <c r="I2524" s="9"/>
      <c r="J2524" s="9"/>
      <c r="K2524" s="9"/>
      <c r="L2524" s="9"/>
      <c r="M2524" s="9"/>
      <c r="N2524" s="9"/>
      <c r="O2524" s="9"/>
      <c r="P2524" s="9"/>
      <c r="Q2524" s="9"/>
      <c r="R2524" s="9"/>
      <c r="S2524" s="9"/>
      <c r="T2524" s="9"/>
      <c r="U2524" s="9"/>
      <c r="V2524" s="9"/>
      <c r="W2524" s="9"/>
      <c r="X2524" s="9"/>
      <c r="Y2524" s="9"/>
      <c r="Z2524" s="9"/>
      <c r="AA2524" s="9"/>
      <c r="AB2524" s="9"/>
      <c r="AC2524" s="9"/>
      <c r="AD2524" s="9"/>
      <c r="AE2524" s="9"/>
      <c r="AF2524" s="9"/>
      <c r="AG2524" s="9"/>
      <c r="AH2524" s="9"/>
      <c r="AI2524" s="9"/>
      <c r="AJ2524" s="9"/>
      <c r="AK2524" s="9"/>
      <c r="AL2524" s="9"/>
      <c r="AM2524" s="9"/>
      <c r="AN2524" s="9"/>
      <c r="AO2524" s="9"/>
      <c r="AP2524" s="9"/>
      <c r="AQ2524" s="9"/>
      <c r="AR2524" s="9"/>
      <c r="AS2524" s="9"/>
      <c r="AT2524" s="9"/>
      <c r="AU2524" s="9"/>
    </row>
    <row r="2525" spans="1:47" ht="15.75" customHeight="1">
      <c r="A2525" s="9"/>
      <c r="B2525" s="9"/>
      <c r="C2525" s="9"/>
      <c r="D2525" s="9"/>
      <c r="E2525" s="9"/>
      <c r="F2525" s="67"/>
      <c r="G2525" s="9"/>
      <c r="H2525" s="9"/>
      <c r="I2525" s="9"/>
      <c r="J2525" s="9"/>
      <c r="K2525" s="9"/>
      <c r="L2525" s="9"/>
      <c r="M2525" s="9"/>
      <c r="N2525" s="9"/>
      <c r="O2525" s="9"/>
      <c r="P2525" s="9"/>
      <c r="Q2525" s="9"/>
      <c r="R2525" s="9"/>
      <c r="S2525" s="9"/>
      <c r="T2525" s="9"/>
      <c r="U2525" s="9"/>
      <c r="V2525" s="9"/>
      <c r="W2525" s="9"/>
      <c r="X2525" s="9"/>
      <c r="Y2525" s="9"/>
      <c r="Z2525" s="9"/>
      <c r="AA2525" s="9"/>
      <c r="AB2525" s="9"/>
      <c r="AC2525" s="9"/>
      <c r="AD2525" s="9"/>
      <c r="AE2525" s="9"/>
      <c r="AF2525" s="9"/>
      <c r="AG2525" s="9"/>
      <c r="AH2525" s="9"/>
      <c r="AI2525" s="9"/>
      <c r="AJ2525" s="9"/>
      <c r="AK2525" s="9"/>
      <c r="AL2525" s="9"/>
      <c r="AM2525" s="9"/>
      <c r="AN2525" s="9"/>
      <c r="AO2525" s="9"/>
      <c r="AP2525" s="9"/>
      <c r="AQ2525" s="9"/>
      <c r="AR2525" s="9"/>
      <c r="AS2525" s="9"/>
      <c r="AT2525" s="9"/>
      <c r="AU2525" s="9"/>
    </row>
    <row r="2526" spans="1:47" ht="15.75" customHeight="1">
      <c r="A2526" s="9"/>
      <c r="B2526" s="9"/>
      <c r="C2526" s="9"/>
      <c r="D2526" s="9"/>
      <c r="E2526" s="9"/>
      <c r="F2526" s="67"/>
      <c r="G2526" s="9"/>
      <c r="H2526" s="9"/>
      <c r="I2526" s="9"/>
      <c r="J2526" s="9"/>
      <c r="K2526" s="9"/>
      <c r="L2526" s="9"/>
      <c r="M2526" s="9"/>
      <c r="N2526" s="9"/>
      <c r="O2526" s="9"/>
      <c r="P2526" s="9"/>
      <c r="Q2526" s="9"/>
      <c r="R2526" s="9"/>
      <c r="S2526" s="9"/>
      <c r="T2526" s="9"/>
      <c r="U2526" s="9"/>
      <c r="V2526" s="9"/>
      <c r="W2526" s="9"/>
      <c r="X2526" s="9"/>
      <c r="Y2526" s="9"/>
      <c r="Z2526" s="9"/>
      <c r="AA2526" s="9"/>
      <c r="AB2526" s="9"/>
      <c r="AC2526" s="9"/>
      <c r="AD2526" s="9"/>
      <c r="AE2526" s="9"/>
      <c r="AF2526" s="9"/>
      <c r="AG2526" s="9"/>
      <c r="AH2526" s="9"/>
      <c r="AI2526" s="9"/>
      <c r="AJ2526" s="9"/>
      <c r="AK2526" s="9"/>
      <c r="AL2526" s="9"/>
      <c r="AM2526" s="9"/>
      <c r="AN2526" s="9"/>
      <c r="AO2526" s="9"/>
      <c r="AP2526" s="9"/>
      <c r="AQ2526" s="9"/>
      <c r="AR2526" s="9"/>
      <c r="AS2526" s="9"/>
      <c r="AT2526" s="9"/>
      <c r="AU2526" s="9"/>
    </row>
    <row r="2527" spans="1:47" ht="15.75" customHeight="1">
      <c r="A2527" s="9"/>
      <c r="B2527" s="9"/>
      <c r="C2527" s="9"/>
      <c r="D2527" s="9"/>
      <c r="E2527" s="9"/>
      <c r="F2527" s="67"/>
      <c r="G2527" s="9"/>
      <c r="H2527" s="9"/>
      <c r="I2527" s="9"/>
      <c r="J2527" s="9"/>
      <c r="K2527" s="9"/>
      <c r="L2527" s="9"/>
      <c r="M2527" s="9"/>
      <c r="N2527" s="9"/>
      <c r="O2527" s="9"/>
      <c r="P2527" s="9"/>
      <c r="Q2527" s="9"/>
      <c r="R2527" s="9"/>
      <c r="S2527" s="9"/>
      <c r="T2527" s="9"/>
      <c r="U2527" s="9"/>
      <c r="V2527" s="9"/>
      <c r="W2527" s="9"/>
      <c r="X2527" s="9"/>
      <c r="Y2527" s="9"/>
      <c r="Z2527" s="9"/>
      <c r="AA2527" s="9"/>
      <c r="AB2527" s="9"/>
      <c r="AC2527" s="9"/>
      <c r="AD2527" s="9"/>
      <c r="AE2527" s="9"/>
      <c r="AF2527" s="9"/>
      <c r="AG2527" s="9"/>
      <c r="AH2527" s="9"/>
      <c r="AI2527" s="9"/>
      <c r="AJ2527" s="9"/>
      <c r="AK2527" s="9"/>
      <c r="AL2527" s="9"/>
      <c r="AM2527" s="9"/>
      <c r="AN2527" s="9"/>
      <c r="AO2527" s="9"/>
      <c r="AP2527" s="9"/>
      <c r="AQ2527" s="9"/>
      <c r="AR2527" s="9"/>
      <c r="AS2527" s="9"/>
      <c r="AT2527" s="9"/>
      <c r="AU2527" s="9"/>
    </row>
    <row r="2528" spans="1:47" ht="15.75" customHeight="1">
      <c r="A2528" s="9"/>
      <c r="B2528" s="9"/>
      <c r="C2528" s="9"/>
      <c r="D2528" s="9"/>
      <c r="E2528" s="9"/>
      <c r="F2528" s="67"/>
      <c r="G2528" s="9"/>
      <c r="H2528" s="9"/>
      <c r="I2528" s="9"/>
      <c r="J2528" s="9"/>
      <c r="K2528" s="9"/>
      <c r="L2528" s="9"/>
      <c r="M2528" s="9"/>
      <c r="N2528" s="9"/>
      <c r="O2528" s="9"/>
      <c r="P2528" s="9"/>
      <c r="Q2528" s="9"/>
      <c r="R2528" s="9"/>
      <c r="S2528" s="9"/>
      <c r="T2528" s="9"/>
      <c r="U2528" s="9"/>
      <c r="V2528" s="9"/>
      <c r="W2528" s="9"/>
      <c r="X2528" s="9"/>
      <c r="Y2528" s="9"/>
      <c r="Z2528" s="9"/>
      <c r="AA2528" s="9"/>
      <c r="AB2528" s="9"/>
      <c r="AC2528" s="9"/>
      <c r="AD2528" s="9"/>
      <c r="AE2528" s="9"/>
      <c r="AF2528" s="9"/>
      <c r="AG2528" s="9"/>
      <c r="AH2528" s="9"/>
      <c r="AI2528" s="9"/>
      <c r="AJ2528" s="9"/>
      <c r="AK2528" s="9"/>
      <c r="AL2528" s="9"/>
      <c r="AM2528" s="9"/>
      <c r="AN2528" s="9"/>
      <c r="AO2528" s="9"/>
      <c r="AP2528" s="9"/>
      <c r="AQ2528" s="9"/>
      <c r="AR2528" s="9"/>
      <c r="AS2528" s="9"/>
      <c r="AT2528" s="9"/>
      <c r="AU2528" s="9"/>
    </row>
    <row r="2529" spans="1:47" ht="15.75" customHeight="1">
      <c r="A2529" s="9"/>
      <c r="B2529" s="9"/>
      <c r="C2529" s="9"/>
      <c r="D2529" s="9"/>
      <c r="E2529" s="9"/>
      <c r="F2529" s="67"/>
      <c r="G2529" s="9"/>
      <c r="H2529" s="9"/>
      <c r="I2529" s="9"/>
      <c r="J2529" s="9"/>
      <c r="K2529" s="9"/>
      <c r="L2529" s="9"/>
      <c r="M2529" s="9"/>
      <c r="N2529" s="9"/>
      <c r="O2529" s="9"/>
      <c r="P2529" s="9"/>
      <c r="Q2529" s="9"/>
      <c r="R2529" s="9"/>
      <c r="S2529" s="9"/>
      <c r="T2529" s="9"/>
      <c r="U2529" s="9"/>
      <c r="V2529" s="9"/>
      <c r="W2529" s="9"/>
      <c r="X2529" s="9"/>
      <c r="Y2529" s="9"/>
      <c r="Z2529" s="9"/>
      <c r="AA2529" s="9"/>
      <c r="AB2529" s="9"/>
      <c r="AC2529" s="9"/>
      <c r="AD2529" s="9"/>
      <c r="AE2529" s="9"/>
      <c r="AF2529" s="9"/>
      <c r="AG2529" s="9"/>
      <c r="AH2529" s="9"/>
      <c r="AI2529" s="9"/>
      <c r="AJ2529" s="9"/>
      <c r="AK2529" s="9"/>
      <c r="AL2529" s="9"/>
      <c r="AM2529" s="9"/>
      <c r="AN2529" s="9"/>
      <c r="AO2529" s="9"/>
      <c r="AP2529" s="9"/>
      <c r="AQ2529" s="9"/>
      <c r="AR2529" s="9"/>
      <c r="AS2529" s="9"/>
      <c r="AT2529" s="9"/>
      <c r="AU2529" s="9"/>
    </row>
    <row r="2530" spans="1:47" ht="15.75" customHeight="1">
      <c r="A2530" s="9"/>
      <c r="B2530" s="9"/>
      <c r="C2530" s="9"/>
      <c r="D2530" s="9"/>
      <c r="E2530" s="9"/>
      <c r="F2530" s="67"/>
      <c r="G2530" s="9"/>
      <c r="H2530" s="9"/>
      <c r="I2530" s="9"/>
      <c r="J2530" s="9"/>
      <c r="K2530" s="9"/>
      <c r="L2530" s="9"/>
      <c r="M2530" s="9"/>
      <c r="N2530" s="9"/>
      <c r="O2530" s="9"/>
      <c r="P2530" s="9"/>
      <c r="Q2530" s="9"/>
      <c r="R2530" s="9"/>
      <c r="S2530" s="9"/>
      <c r="T2530" s="9"/>
      <c r="U2530" s="9"/>
      <c r="V2530" s="9"/>
      <c r="W2530" s="9"/>
      <c r="X2530" s="9"/>
      <c r="Y2530" s="9"/>
      <c r="Z2530" s="9"/>
      <c r="AA2530" s="9"/>
      <c r="AB2530" s="9"/>
      <c r="AC2530" s="9"/>
      <c r="AD2530" s="9"/>
      <c r="AE2530" s="9"/>
      <c r="AF2530" s="9"/>
      <c r="AG2530" s="9"/>
      <c r="AH2530" s="9"/>
      <c r="AI2530" s="9"/>
      <c r="AJ2530" s="9"/>
      <c r="AK2530" s="9"/>
      <c r="AL2530" s="9"/>
      <c r="AM2530" s="9"/>
      <c r="AN2530" s="9"/>
      <c r="AO2530" s="9"/>
      <c r="AP2530" s="9"/>
      <c r="AQ2530" s="9"/>
      <c r="AR2530" s="9"/>
      <c r="AS2530" s="9"/>
      <c r="AT2530" s="9"/>
      <c r="AU2530" s="9"/>
    </row>
    <row r="2531" spans="1:47" ht="15.75" customHeight="1">
      <c r="A2531" s="9"/>
      <c r="B2531" s="9"/>
      <c r="C2531" s="9"/>
      <c r="D2531" s="9"/>
      <c r="E2531" s="9"/>
      <c r="F2531" s="67"/>
      <c r="G2531" s="9"/>
      <c r="H2531" s="9"/>
      <c r="I2531" s="9"/>
      <c r="J2531" s="9"/>
      <c r="K2531" s="9"/>
      <c r="L2531" s="9"/>
      <c r="M2531" s="9"/>
      <c r="N2531" s="9"/>
      <c r="O2531" s="9"/>
      <c r="P2531" s="9"/>
      <c r="Q2531" s="9"/>
      <c r="R2531" s="9"/>
      <c r="S2531" s="9"/>
      <c r="T2531" s="9"/>
      <c r="U2531" s="9"/>
      <c r="V2531" s="9"/>
      <c r="W2531" s="9"/>
      <c r="X2531" s="9"/>
      <c r="Y2531" s="9"/>
      <c r="Z2531" s="9"/>
      <c r="AA2531" s="9"/>
      <c r="AB2531" s="9"/>
      <c r="AC2531" s="9"/>
      <c r="AD2531" s="9"/>
      <c r="AE2531" s="9"/>
      <c r="AF2531" s="9"/>
      <c r="AG2531" s="9"/>
      <c r="AH2531" s="9"/>
      <c r="AI2531" s="9"/>
      <c r="AJ2531" s="9"/>
      <c r="AK2531" s="9"/>
      <c r="AL2531" s="9"/>
      <c r="AM2531" s="9"/>
      <c r="AN2531" s="9"/>
      <c r="AO2531" s="9"/>
      <c r="AP2531" s="9"/>
      <c r="AQ2531" s="9"/>
      <c r="AR2531" s="9"/>
      <c r="AS2531" s="9"/>
      <c r="AT2531" s="9"/>
      <c r="AU2531" s="9"/>
    </row>
    <row r="2532" spans="1:47" ht="15.75" customHeight="1">
      <c r="A2532" s="9"/>
      <c r="B2532" s="9"/>
      <c r="C2532" s="9"/>
      <c r="D2532" s="9"/>
      <c r="E2532" s="9"/>
      <c r="F2532" s="67"/>
      <c r="G2532" s="9"/>
      <c r="H2532" s="9"/>
      <c r="I2532" s="9"/>
      <c r="J2532" s="9"/>
      <c r="K2532" s="9"/>
      <c r="L2532" s="9"/>
      <c r="M2532" s="9"/>
      <c r="N2532" s="9"/>
      <c r="O2532" s="9"/>
      <c r="P2532" s="9"/>
      <c r="Q2532" s="9"/>
      <c r="R2532" s="9"/>
      <c r="S2532" s="9"/>
      <c r="T2532" s="9"/>
      <c r="U2532" s="9"/>
      <c r="V2532" s="9"/>
      <c r="W2532" s="9"/>
      <c r="X2532" s="9"/>
      <c r="Y2532" s="9"/>
      <c r="Z2532" s="9"/>
      <c r="AA2532" s="9"/>
      <c r="AB2532" s="9"/>
      <c r="AC2532" s="9"/>
      <c r="AD2532" s="9"/>
      <c r="AE2532" s="9"/>
      <c r="AF2532" s="9"/>
      <c r="AG2532" s="9"/>
      <c r="AH2532" s="9"/>
      <c r="AI2532" s="9"/>
      <c r="AJ2532" s="9"/>
      <c r="AK2532" s="9"/>
      <c r="AL2532" s="9"/>
      <c r="AM2532" s="9"/>
      <c r="AN2532" s="9"/>
      <c r="AO2532" s="9"/>
      <c r="AP2532" s="9"/>
      <c r="AQ2532" s="9"/>
      <c r="AR2532" s="9"/>
      <c r="AS2532" s="9"/>
      <c r="AT2532" s="9"/>
      <c r="AU2532" s="9"/>
    </row>
    <row r="2533" spans="1:47" ht="15.75" customHeight="1">
      <c r="A2533" s="9"/>
      <c r="B2533" s="9"/>
      <c r="C2533" s="9"/>
      <c r="D2533" s="9"/>
      <c r="E2533" s="9"/>
      <c r="F2533" s="67"/>
      <c r="G2533" s="9"/>
      <c r="H2533" s="9"/>
      <c r="I2533" s="9"/>
      <c r="J2533" s="9"/>
      <c r="K2533" s="9"/>
      <c r="L2533" s="9"/>
      <c r="M2533" s="9"/>
      <c r="N2533" s="9"/>
      <c r="O2533" s="9"/>
      <c r="P2533" s="9"/>
      <c r="Q2533" s="9"/>
      <c r="R2533" s="9"/>
      <c r="S2533" s="9"/>
      <c r="T2533" s="9"/>
      <c r="U2533" s="9"/>
      <c r="V2533" s="9"/>
      <c r="W2533" s="9"/>
      <c r="X2533" s="9"/>
      <c r="Y2533" s="9"/>
      <c r="Z2533" s="9"/>
      <c r="AA2533" s="9"/>
      <c r="AB2533" s="9"/>
      <c r="AC2533" s="9"/>
      <c r="AD2533" s="9"/>
      <c r="AE2533" s="9"/>
      <c r="AF2533" s="9"/>
      <c r="AG2533" s="9"/>
      <c r="AH2533" s="9"/>
      <c r="AI2533" s="9"/>
      <c r="AJ2533" s="9"/>
      <c r="AK2533" s="9"/>
      <c r="AL2533" s="9"/>
      <c r="AM2533" s="9"/>
      <c r="AN2533" s="9"/>
      <c r="AO2533" s="9"/>
      <c r="AP2533" s="9"/>
      <c r="AQ2533" s="9"/>
      <c r="AR2533" s="9"/>
      <c r="AS2533" s="9"/>
      <c r="AT2533" s="9"/>
      <c r="AU2533" s="9"/>
    </row>
    <row r="2534" spans="1:47" ht="15.75" customHeight="1">
      <c r="A2534" s="9"/>
      <c r="B2534" s="9"/>
      <c r="C2534" s="9"/>
      <c r="D2534" s="9"/>
      <c r="E2534" s="9"/>
      <c r="F2534" s="67"/>
      <c r="G2534" s="9"/>
      <c r="H2534" s="9"/>
      <c r="I2534" s="9"/>
      <c r="J2534" s="9"/>
      <c r="K2534" s="9"/>
      <c r="L2534" s="9"/>
      <c r="M2534" s="9"/>
      <c r="N2534" s="9"/>
      <c r="O2534" s="9"/>
      <c r="P2534" s="9"/>
      <c r="Q2534" s="9"/>
      <c r="R2534" s="9"/>
      <c r="S2534" s="9"/>
      <c r="T2534" s="9"/>
      <c r="U2534" s="9"/>
      <c r="V2534" s="9"/>
      <c r="W2534" s="9"/>
      <c r="X2534" s="9"/>
      <c r="Y2534" s="9"/>
      <c r="Z2534" s="9"/>
      <c r="AA2534" s="9"/>
      <c r="AB2534" s="9"/>
      <c r="AC2534" s="9"/>
      <c r="AD2534" s="9"/>
      <c r="AE2534" s="9"/>
      <c r="AF2534" s="9"/>
      <c r="AG2534" s="9"/>
      <c r="AH2534" s="9"/>
      <c r="AI2534" s="9"/>
      <c r="AJ2534" s="9"/>
      <c r="AK2534" s="9"/>
      <c r="AL2534" s="9"/>
      <c r="AM2534" s="9"/>
      <c r="AN2534" s="9"/>
      <c r="AO2534" s="9"/>
      <c r="AP2534" s="9"/>
      <c r="AQ2534" s="9"/>
      <c r="AR2534" s="9"/>
      <c r="AS2534" s="9"/>
      <c r="AT2534" s="9"/>
      <c r="AU2534" s="9"/>
    </row>
    <row r="2535" spans="1:47" ht="15.75" customHeight="1">
      <c r="A2535" s="9"/>
      <c r="B2535" s="9"/>
      <c r="C2535" s="9"/>
      <c r="D2535" s="9"/>
      <c r="E2535" s="9"/>
      <c r="F2535" s="67"/>
      <c r="G2535" s="9"/>
      <c r="H2535" s="9"/>
      <c r="I2535" s="9"/>
      <c r="J2535" s="9"/>
      <c r="K2535" s="9"/>
      <c r="L2535" s="9"/>
      <c r="M2535" s="9"/>
      <c r="N2535" s="9"/>
      <c r="O2535" s="9"/>
      <c r="P2535" s="9"/>
      <c r="Q2535" s="9"/>
      <c r="R2535" s="9"/>
      <c r="S2535" s="9"/>
      <c r="T2535" s="9"/>
      <c r="U2535" s="9"/>
      <c r="V2535" s="9"/>
      <c r="W2535" s="9"/>
      <c r="X2535" s="9"/>
      <c r="Y2535" s="9"/>
      <c r="Z2535" s="9"/>
      <c r="AA2535" s="9"/>
      <c r="AB2535" s="9"/>
      <c r="AC2535" s="9"/>
      <c r="AD2535" s="9"/>
      <c r="AE2535" s="9"/>
      <c r="AF2535" s="9"/>
      <c r="AG2535" s="9"/>
      <c r="AH2535" s="9"/>
      <c r="AI2535" s="9"/>
      <c r="AJ2535" s="9"/>
      <c r="AK2535" s="9"/>
      <c r="AL2535" s="9"/>
      <c r="AM2535" s="9"/>
      <c r="AN2535" s="9"/>
      <c r="AO2535" s="9"/>
      <c r="AP2535" s="9"/>
      <c r="AQ2535" s="9"/>
      <c r="AR2535" s="9"/>
      <c r="AS2535" s="9"/>
      <c r="AT2535" s="9"/>
      <c r="AU2535" s="9"/>
    </row>
    <row r="2536" spans="1:47" ht="15.75" customHeight="1">
      <c r="A2536" s="9"/>
      <c r="B2536" s="9"/>
      <c r="C2536" s="9"/>
      <c r="D2536" s="9"/>
      <c r="E2536" s="9"/>
      <c r="F2536" s="67"/>
      <c r="G2536" s="9"/>
      <c r="H2536" s="9"/>
      <c r="I2536" s="9"/>
      <c r="J2536" s="9"/>
      <c r="K2536" s="9"/>
      <c r="L2536" s="9"/>
      <c r="M2536" s="9"/>
      <c r="N2536" s="9"/>
      <c r="O2536" s="9"/>
      <c r="P2536" s="9"/>
      <c r="Q2536" s="9"/>
      <c r="R2536" s="9"/>
      <c r="S2536" s="9"/>
      <c r="T2536" s="9"/>
      <c r="U2536" s="9"/>
      <c r="V2536" s="9"/>
      <c r="W2536" s="9"/>
      <c r="X2536" s="9"/>
      <c r="Y2536" s="9"/>
      <c r="Z2536" s="9"/>
      <c r="AA2536" s="9"/>
      <c r="AB2536" s="9"/>
      <c r="AC2536" s="9"/>
      <c r="AD2536" s="9"/>
      <c r="AE2536" s="9"/>
      <c r="AF2536" s="9"/>
      <c r="AG2536" s="9"/>
      <c r="AH2536" s="9"/>
      <c r="AI2536" s="9"/>
      <c r="AJ2536" s="9"/>
      <c r="AK2536" s="9"/>
      <c r="AL2536" s="9"/>
      <c r="AM2536" s="9"/>
      <c r="AN2536" s="9"/>
      <c r="AO2536" s="9"/>
      <c r="AP2536" s="9"/>
      <c r="AQ2536" s="9"/>
      <c r="AR2536" s="9"/>
      <c r="AS2536" s="9"/>
      <c r="AT2536" s="9"/>
      <c r="AU2536" s="9"/>
    </row>
    <row r="2537" spans="1:47" ht="15.75" customHeight="1">
      <c r="A2537" s="9"/>
      <c r="B2537" s="9"/>
      <c r="C2537" s="9"/>
      <c r="D2537" s="9"/>
      <c r="E2537" s="9"/>
      <c r="F2537" s="67"/>
      <c r="G2537" s="9"/>
      <c r="H2537" s="9"/>
      <c r="I2537" s="9"/>
      <c r="J2537" s="9"/>
      <c r="K2537" s="9"/>
      <c r="L2537" s="9"/>
      <c r="M2537" s="9"/>
      <c r="N2537" s="9"/>
      <c r="O2537" s="9"/>
      <c r="P2537" s="9"/>
      <c r="Q2537" s="9"/>
      <c r="R2537" s="9"/>
      <c r="S2537" s="9"/>
      <c r="T2537" s="9"/>
      <c r="U2537" s="9"/>
      <c r="V2537" s="9"/>
      <c r="W2537" s="9"/>
      <c r="X2537" s="9"/>
      <c r="Y2537" s="9"/>
      <c r="Z2537" s="9"/>
      <c r="AA2537" s="9"/>
      <c r="AB2537" s="9"/>
      <c r="AC2537" s="9"/>
      <c r="AD2537" s="9"/>
      <c r="AE2537" s="9"/>
      <c r="AF2537" s="9"/>
      <c r="AG2537" s="9"/>
      <c r="AH2537" s="9"/>
      <c r="AI2537" s="9"/>
      <c r="AJ2537" s="9"/>
      <c r="AK2537" s="9"/>
      <c r="AL2537" s="9"/>
      <c r="AM2537" s="9"/>
      <c r="AN2537" s="9"/>
      <c r="AO2537" s="9"/>
      <c r="AP2537" s="9"/>
      <c r="AQ2537" s="9"/>
      <c r="AR2537" s="9"/>
      <c r="AS2537" s="9"/>
      <c r="AT2537" s="9"/>
      <c r="AU2537" s="9"/>
    </row>
    <row r="2538" spans="1:47" ht="15.75" customHeight="1">
      <c r="A2538" s="9"/>
      <c r="B2538" s="9"/>
      <c r="C2538" s="9"/>
      <c r="D2538" s="9"/>
      <c r="E2538" s="9"/>
      <c r="F2538" s="67"/>
      <c r="G2538" s="9"/>
      <c r="H2538" s="9"/>
      <c r="I2538" s="9"/>
      <c r="J2538" s="9"/>
      <c r="K2538" s="9"/>
      <c r="L2538" s="9"/>
      <c r="M2538" s="9"/>
      <c r="N2538" s="9"/>
      <c r="O2538" s="9"/>
      <c r="P2538" s="9"/>
      <c r="Q2538" s="9"/>
      <c r="R2538" s="9"/>
      <c r="S2538" s="9"/>
      <c r="T2538" s="9"/>
      <c r="U2538" s="9"/>
      <c r="V2538" s="9"/>
      <c r="W2538" s="9"/>
      <c r="X2538" s="9"/>
      <c r="Y2538" s="9"/>
      <c r="Z2538" s="9"/>
      <c r="AA2538" s="9"/>
      <c r="AB2538" s="9"/>
      <c r="AC2538" s="9"/>
      <c r="AD2538" s="9"/>
      <c r="AE2538" s="9"/>
      <c r="AF2538" s="9"/>
      <c r="AG2538" s="9"/>
      <c r="AH2538" s="9"/>
      <c r="AI2538" s="9"/>
      <c r="AJ2538" s="9"/>
      <c r="AK2538" s="9"/>
      <c r="AL2538" s="9"/>
      <c r="AM2538" s="9"/>
      <c r="AN2538" s="9"/>
      <c r="AO2538" s="9"/>
      <c r="AP2538" s="9"/>
      <c r="AQ2538" s="9"/>
      <c r="AR2538" s="9"/>
      <c r="AS2538" s="9"/>
      <c r="AT2538" s="9"/>
      <c r="AU2538" s="9"/>
    </row>
    <row r="2539" spans="1:47" ht="15.75" customHeight="1">
      <c r="A2539" s="9"/>
      <c r="B2539" s="9"/>
      <c r="C2539" s="9"/>
      <c r="D2539" s="9"/>
      <c r="E2539" s="9"/>
      <c r="F2539" s="67"/>
      <c r="G2539" s="9"/>
      <c r="H2539" s="9"/>
      <c r="I2539" s="9"/>
      <c r="J2539" s="9"/>
      <c r="K2539" s="9"/>
      <c r="L2539" s="9"/>
      <c r="M2539" s="9"/>
      <c r="N2539" s="9"/>
      <c r="O2539" s="9"/>
      <c r="P2539" s="9"/>
      <c r="Q2539" s="9"/>
      <c r="R2539" s="9"/>
      <c r="S2539" s="9"/>
      <c r="T2539" s="9"/>
      <c r="U2539" s="9"/>
      <c r="V2539" s="9"/>
      <c r="W2539" s="9"/>
      <c r="X2539" s="9"/>
      <c r="Y2539" s="9"/>
      <c r="Z2539" s="9"/>
      <c r="AA2539" s="9"/>
      <c r="AB2539" s="9"/>
      <c r="AC2539" s="9"/>
      <c r="AD2539" s="9"/>
      <c r="AE2539" s="9"/>
      <c r="AF2539" s="9"/>
      <c r="AG2539" s="9"/>
      <c r="AH2539" s="9"/>
      <c r="AI2539" s="9"/>
      <c r="AJ2539" s="9"/>
      <c r="AK2539" s="9"/>
      <c r="AL2539" s="9"/>
      <c r="AM2539" s="9"/>
      <c r="AN2539" s="9"/>
      <c r="AO2539" s="9"/>
      <c r="AP2539" s="9"/>
      <c r="AQ2539" s="9"/>
      <c r="AR2539" s="9"/>
      <c r="AS2539" s="9"/>
      <c r="AT2539" s="9"/>
      <c r="AU2539" s="9"/>
    </row>
    <row r="2540" spans="1:47" ht="15.75" customHeight="1">
      <c r="A2540" s="9"/>
      <c r="B2540" s="9"/>
      <c r="C2540" s="9"/>
      <c r="D2540" s="9"/>
      <c r="E2540" s="9"/>
      <c r="F2540" s="67"/>
      <c r="G2540" s="9"/>
      <c r="H2540" s="9"/>
      <c r="I2540" s="9"/>
      <c r="J2540" s="9"/>
      <c r="K2540" s="9"/>
      <c r="L2540" s="9"/>
      <c r="M2540" s="9"/>
      <c r="N2540" s="9"/>
      <c r="O2540" s="9"/>
      <c r="P2540" s="9"/>
      <c r="Q2540" s="9"/>
      <c r="R2540" s="9"/>
      <c r="S2540" s="9"/>
      <c r="T2540" s="9"/>
      <c r="U2540" s="9"/>
      <c r="V2540" s="9"/>
      <c r="W2540" s="9"/>
      <c r="X2540" s="9"/>
      <c r="Y2540" s="9"/>
      <c r="Z2540" s="9"/>
      <c r="AA2540" s="9"/>
      <c r="AB2540" s="9"/>
      <c r="AC2540" s="9"/>
      <c r="AD2540" s="9"/>
      <c r="AE2540" s="9"/>
      <c r="AF2540" s="9"/>
      <c r="AG2540" s="9"/>
      <c r="AH2540" s="9"/>
      <c r="AI2540" s="9"/>
      <c r="AJ2540" s="9"/>
      <c r="AK2540" s="9"/>
      <c r="AL2540" s="9"/>
      <c r="AM2540" s="9"/>
      <c r="AN2540" s="9"/>
      <c r="AO2540" s="9"/>
      <c r="AP2540" s="9"/>
      <c r="AQ2540" s="9"/>
      <c r="AR2540" s="9"/>
      <c r="AS2540" s="9"/>
      <c r="AT2540" s="9"/>
      <c r="AU2540" s="9"/>
    </row>
    <row r="2541" spans="1:47" ht="15.75" customHeight="1">
      <c r="A2541" s="9"/>
      <c r="B2541" s="9"/>
      <c r="C2541" s="9"/>
      <c r="D2541" s="9"/>
      <c r="E2541" s="9"/>
      <c r="F2541" s="67"/>
      <c r="G2541" s="9"/>
      <c r="H2541" s="9"/>
      <c r="I2541" s="9"/>
      <c r="J2541" s="9"/>
      <c r="K2541" s="9"/>
      <c r="L2541" s="9"/>
      <c r="M2541" s="9"/>
      <c r="N2541" s="9"/>
      <c r="O2541" s="9"/>
      <c r="P2541" s="9"/>
      <c r="Q2541" s="9"/>
      <c r="R2541" s="9"/>
      <c r="S2541" s="9"/>
      <c r="T2541" s="9"/>
      <c r="U2541" s="9"/>
      <c r="V2541" s="9"/>
      <c r="W2541" s="9"/>
      <c r="X2541" s="9"/>
      <c r="Y2541" s="9"/>
      <c r="Z2541" s="9"/>
      <c r="AA2541" s="9"/>
      <c r="AB2541" s="9"/>
      <c r="AC2541" s="9"/>
      <c r="AD2541" s="9"/>
      <c r="AE2541" s="9"/>
      <c r="AF2541" s="9"/>
      <c r="AG2541" s="9"/>
      <c r="AH2541" s="9"/>
      <c r="AI2541" s="9"/>
      <c r="AJ2541" s="9"/>
      <c r="AK2541" s="9"/>
      <c r="AL2541" s="9"/>
      <c r="AM2541" s="9"/>
      <c r="AN2541" s="9"/>
      <c r="AO2541" s="9"/>
      <c r="AP2541" s="9"/>
      <c r="AQ2541" s="9"/>
      <c r="AR2541" s="9"/>
      <c r="AS2541" s="9"/>
      <c r="AT2541" s="9"/>
      <c r="AU2541" s="9"/>
    </row>
    <row r="2542" spans="1:47" ht="15.75" customHeight="1">
      <c r="A2542" s="9"/>
      <c r="B2542" s="9"/>
      <c r="C2542" s="9"/>
      <c r="D2542" s="9"/>
      <c r="E2542" s="9"/>
      <c r="F2542" s="67"/>
      <c r="G2542" s="9"/>
      <c r="H2542" s="9"/>
      <c r="I2542" s="9"/>
      <c r="J2542" s="9"/>
      <c r="K2542" s="9"/>
      <c r="L2542" s="9"/>
      <c r="M2542" s="9"/>
      <c r="N2542" s="9"/>
      <c r="O2542" s="9"/>
      <c r="P2542" s="9"/>
      <c r="Q2542" s="9"/>
      <c r="R2542" s="9"/>
      <c r="S2542" s="9"/>
      <c r="T2542" s="9"/>
      <c r="U2542" s="9"/>
      <c r="V2542" s="9"/>
      <c r="W2542" s="9"/>
      <c r="X2542" s="9"/>
      <c r="Y2542" s="9"/>
      <c r="Z2542" s="9"/>
      <c r="AA2542" s="9"/>
      <c r="AB2542" s="9"/>
      <c r="AC2542" s="9"/>
      <c r="AD2542" s="9"/>
      <c r="AE2542" s="9"/>
      <c r="AF2542" s="9"/>
      <c r="AG2542" s="9"/>
      <c r="AH2542" s="9"/>
      <c r="AI2542" s="9"/>
      <c r="AJ2542" s="9"/>
      <c r="AK2542" s="9"/>
      <c r="AL2542" s="9"/>
      <c r="AM2542" s="9"/>
      <c r="AN2542" s="9"/>
      <c r="AO2542" s="9"/>
      <c r="AP2542" s="9"/>
      <c r="AQ2542" s="9"/>
      <c r="AR2542" s="9"/>
      <c r="AS2542" s="9"/>
      <c r="AT2542" s="9"/>
      <c r="AU2542" s="9"/>
    </row>
    <row r="2543" spans="1:47" ht="15.75" customHeight="1">
      <c r="A2543" s="9"/>
      <c r="B2543" s="9"/>
      <c r="C2543" s="9"/>
      <c r="D2543" s="9"/>
      <c r="E2543" s="9"/>
      <c r="F2543" s="67"/>
      <c r="G2543" s="9"/>
      <c r="H2543" s="9"/>
      <c r="I2543" s="9"/>
      <c r="J2543" s="9"/>
      <c r="K2543" s="9"/>
      <c r="L2543" s="9"/>
      <c r="M2543" s="9"/>
      <c r="N2543" s="9"/>
      <c r="O2543" s="9"/>
      <c r="P2543" s="9"/>
      <c r="Q2543" s="9"/>
      <c r="R2543" s="9"/>
      <c r="S2543" s="9"/>
      <c r="T2543" s="9"/>
      <c r="U2543" s="9"/>
      <c r="V2543" s="9"/>
      <c r="W2543" s="9"/>
      <c r="X2543" s="9"/>
      <c r="Y2543" s="9"/>
      <c r="Z2543" s="9"/>
      <c r="AA2543" s="9"/>
      <c r="AB2543" s="9"/>
      <c r="AC2543" s="9"/>
      <c r="AD2543" s="9"/>
      <c r="AE2543" s="9"/>
      <c r="AF2543" s="9"/>
      <c r="AG2543" s="9"/>
      <c r="AH2543" s="9"/>
      <c r="AI2543" s="9"/>
      <c r="AJ2543" s="9"/>
      <c r="AK2543" s="9"/>
      <c r="AL2543" s="9"/>
      <c r="AM2543" s="9"/>
      <c r="AN2543" s="9"/>
      <c r="AO2543" s="9"/>
      <c r="AP2543" s="9"/>
      <c r="AQ2543" s="9"/>
      <c r="AR2543" s="9"/>
      <c r="AS2543" s="9"/>
      <c r="AT2543" s="9"/>
      <c r="AU2543" s="9"/>
    </row>
    <row r="2544" spans="1:47" ht="15.75" customHeight="1">
      <c r="A2544" s="9"/>
      <c r="B2544" s="9"/>
      <c r="C2544" s="9"/>
      <c r="D2544" s="9"/>
      <c r="E2544" s="9"/>
      <c r="F2544" s="67"/>
      <c r="G2544" s="9"/>
      <c r="H2544" s="9"/>
      <c r="I2544" s="9"/>
      <c r="J2544" s="9"/>
      <c r="K2544" s="9"/>
      <c r="L2544" s="9"/>
      <c r="M2544" s="9"/>
      <c r="N2544" s="9"/>
      <c r="O2544" s="9"/>
      <c r="P2544" s="9"/>
      <c r="Q2544" s="9"/>
      <c r="R2544" s="9"/>
      <c r="S2544" s="9"/>
      <c r="T2544" s="9"/>
      <c r="U2544" s="9"/>
      <c r="V2544" s="9"/>
      <c r="W2544" s="9"/>
      <c r="X2544" s="9"/>
      <c r="Y2544" s="9"/>
      <c r="Z2544" s="9"/>
      <c r="AA2544" s="9"/>
      <c r="AB2544" s="9"/>
      <c r="AC2544" s="9"/>
      <c r="AD2544" s="9"/>
      <c r="AE2544" s="9"/>
      <c r="AF2544" s="9"/>
      <c r="AG2544" s="9"/>
      <c r="AH2544" s="9"/>
      <c r="AI2544" s="9"/>
      <c r="AJ2544" s="9"/>
      <c r="AK2544" s="9"/>
      <c r="AL2544" s="9"/>
      <c r="AM2544" s="9"/>
      <c r="AN2544" s="9"/>
      <c r="AO2544" s="9"/>
      <c r="AP2544" s="9"/>
      <c r="AQ2544" s="9"/>
      <c r="AR2544" s="9"/>
      <c r="AS2544" s="9"/>
      <c r="AT2544" s="9"/>
      <c r="AU2544" s="9"/>
    </row>
    <row r="2545" spans="1:47" ht="15.75" customHeight="1">
      <c r="A2545" s="9"/>
      <c r="B2545" s="9"/>
      <c r="C2545" s="9"/>
      <c r="D2545" s="9"/>
      <c r="E2545" s="9"/>
      <c r="F2545" s="67"/>
      <c r="G2545" s="9"/>
      <c r="H2545" s="9"/>
      <c r="I2545" s="9"/>
      <c r="J2545" s="9"/>
      <c r="K2545" s="9"/>
      <c r="L2545" s="9"/>
      <c r="M2545" s="9"/>
      <c r="N2545" s="9"/>
      <c r="O2545" s="9"/>
      <c r="P2545" s="9"/>
      <c r="Q2545" s="9"/>
      <c r="R2545" s="9"/>
      <c r="S2545" s="9"/>
      <c r="T2545" s="9"/>
      <c r="U2545" s="9"/>
      <c r="V2545" s="9"/>
      <c r="W2545" s="9"/>
      <c r="X2545" s="9"/>
      <c r="Y2545" s="9"/>
      <c r="Z2545" s="9"/>
      <c r="AA2545" s="9"/>
      <c r="AB2545" s="9"/>
      <c r="AC2545" s="9"/>
      <c r="AD2545" s="9"/>
      <c r="AE2545" s="9"/>
      <c r="AF2545" s="9"/>
      <c r="AG2545" s="9"/>
      <c r="AH2545" s="9"/>
      <c r="AI2545" s="9"/>
      <c r="AJ2545" s="9"/>
      <c r="AK2545" s="9"/>
      <c r="AL2545" s="9"/>
      <c r="AM2545" s="9"/>
      <c r="AN2545" s="9"/>
      <c r="AO2545" s="9"/>
      <c r="AP2545" s="9"/>
      <c r="AQ2545" s="9"/>
      <c r="AR2545" s="9"/>
      <c r="AS2545" s="9"/>
      <c r="AT2545" s="9"/>
      <c r="AU2545" s="9"/>
    </row>
    <row r="2546" spans="1:47" ht="15.75" customHeight="1">
      <c r="A2546" s="9"/>
      <c r="B2546" s="9"/>
      <c r="C2546" s="9"/>
      <c r="D2546" s="9"/>
      <c r="E2546" s="9"/>
      <c r="F2546" s="67"/>
      <c r="G2546" s="9"/>
      <c r="H2546" s="9"/>
      <c r="I2546" s="9"/>
      <c r="J2546" s="9"/>
      <c r="K2546" s="9"/>
      <c r="L2546" s="9"/>
      <c r="M2546" s="9"/>
      <c r="N2546" s="9"/>
      <c r="O2546" s="9"/>
      <c r="P2546" s="9"/>
      <c r="Q2546" s="9"/>
      <c r="R2546" s="9"/>
      <c r="S2546" s="9"/>
      <c r="T2546" s="9"/>
      <c r="U2546" s="9"/>
      <c r="V2546" s="9"/>
      <c r="W2546" s="9"/>
      <c r="X2546" s="9"/>
      <c r="Y2546" s="9"/>
      <c r="Z2546" s="9"/>
      <c r="AA2546" s="9"/>
      <c r="AB2546" s="9"/>
      <c r="AC2546" s="9"/>
      <c r="AD2546" s="9"/>
      <c r="AE2546" s="9"/>
      <c r="AF2546" s="9"/>
      <c r="AG2546" s="9"/>
      <c r="AH2546" s="9"/>
      <c r="AI2546" s="9"/>
      <c r="AJ2546" s="9"/>
      <c r="AK2546" s="9"/>
      <c r="AL2546" s="9"/>
      <c r="AM2546" s="9"/>
      <c r="AN2546" s="9"/>
      <c r="AO2546" s="9"/>
      <c r="AP2546" s="9"/>
      <c r="AQ2546" s="9"/>
      <c r="AR2546" s="9"/>
      <c r="AS2546" s="9"/>
      <c r="AT2546" s="9"/>
      <c r="AU2546" s="9"/>
    </row>
    <row r="2547" spans="1:47" ht="15.75" customHeight="1">
      <c r="A2547" s="9"/>
      <c r="B2547" s="9"/>
      <c r="C2547" s="9"/>
      <c r="D2547" s="9"/>
      <c r="E2547" s="9"/>
      <c r="F2547" s="67"/>
      <c r="G2547" s="9"/>
      <c r="H2547" s="9"/>
      <c r="I2547" s="9"/>
      <c r="J2547" s="9"/>
      <c r="K2547" s="9"/>
      <c r="L2547" s="9"/>
      <c r="M2547" s="9"/>
      <c r="N2547" s="9"/>
      <c r="O2547" s="9"/>
      <c r="P2547" s="9"/>
      <c r="Q2547" s="9"/>
      <c r="R2547" s="9"/>
      <c r="S2547" s="9"/>
      <c r="T2547" s="9"/>
      <c r="U2547" s="9"/>
      <c r="V2547" s="9"/>
      <c r="W2547" s="9"/>
      <c r="X2547" s="9"/>
      <c r="Y2547" s="9"/>
      <c r="Z2547" s="9"/>
      <c r="AA2547" s="9"/>
      <c r="AB2547" s="9"/>
      <c r="AC2547" s="9"/>
      <c r="AD2547" s="9"/>
      <c r="AE2547" s="9"/>
      <c r="AF2547" s="9"/>
      <c r="AG2547" s="9"/>
      <c r="AH2547" s="9"/>
      <c r="AI2547" s="9"/>
      <c r="AJ2547" s="9"/>
      <c r="AK2547" s="9"/>
      <c r="AL2547" s="9"/>
      <c r="AM2547" s="9"/>
      <c r="AN2547" s="9"/>
      <c r="AO2547" s="9"/>
      <c r="AP2547" s="9"/>
      <c r="AQ2547" s="9"/>
      <c r="AR2547" s="9"/>
      <c r="AS2547" s="9"/>
      <c r="AT2547" s="9"/>
      <c r="AU2547" s="9"/>
    </row>
    <row r="2548" spans="1:47" ht="15.75" customHeight="1">
      <c r="A2548" s="9"/>
      <c r="B2548" s="9"/>
      <c r="C2548" s="9"/>
      <c r="D2548" s="9"/>
      <c r="E2548" s="9"/>
      <c r="F2548" s="67"/>
      <c r="G2548" s="9"/>
      <c r="H2548" s="9"/>
      <c r="I2548" s="9"/>
      <c r="J2548" s="9"/>
      <c r="K2548" s="9"/>
      <c r="L2548" s="9"/>
      <c r="M2548" s="9"/>
      <c r="N2548" s="9"/>
      <c r="O2548" s="9"/>
      <c r="P2548" s="9"/>
      <c r="Q2548" s="9"/>
      <c r="R2548" s="9"/>
      <c r="S2548" s="9"/>
      <c r="T2548" s="9"/>
      <c r="U2548" s="9"/>
      <c r="V2548" s="9"/>
      <c r="W2548" s="9"/>
      <c r="X2548" s="9"/>
      <c r="Y2548" s="9"/>
      <c r="Z2548" s="9"/>
      <c r="AA2548" s="9"/>
      <c r="AB2548" s="9"/>
      <c r="AC2548" s="9"/>
      <c r="AD2548" s="9"/>
      <c r="AE2548" s="9"/>
      <c r="AF2548" s="9"/>
      <c r="AG2548" s="9"/>
      <c r="AH2548" s="9"/>
      <c r="AI2548" s="9"/>
      <c r="AJ2548" s="9"/>
      <c r="AK2548" s="9"/>
      <c r="AL2548" s="9"/>
      <c r="AM2548" s="9"/>
      <c r="AN2548" s="9"/>
      <c r="AO2548" s="9"/>
      <c r="AP2548" s="9"/>
      <c r="AQ2548" s="9"/>
      <c r="AR2548" s="9"/>
      <c r="AS2548" s="9"/>
      <c r="AT2548" s="9"/>
      <c r="AU2548" s="9"/>
    </row>
    <row r="2549" spans="1:47" ht="15.75" customHeight="1">
      <c r="A2549" s="9"/>
      <c r="B2549" s="9"/>
      <c r="C2549" s="9"/>
      <c r="D2549" s="9"/>
      <c r="E2549" s="9"/>
      <c r="F2549" s="67"/>
      <c r="G2549" s="9"/>
      <c r="H2549" s="9"/>
      <c r="I2549" s="9"/>
      <c r="J2549" s="9"/>
      <c r="K2549" s="9"/>
      <c r="L2549" s="9"/>
      <c r="M2549" s="9"/>
      <c r="N2549" s="9"/>
      <c r="O2549" s="9"/>
      <c r="P2549" s="9"/>
      <c r="Q2549" s="9"/>
      <c r="R2549" s="9"/>
      <c r="S2549" s="9"/>
      <c r="T2549" s="9"/>
      <c r="U2549" s="9"/>
      <c r="V2549" s="9"/>
      <c r="W2549" s="9"/>
      <c r="X2549" s="9"/>
      <c r="Y2549" s="9"/>
      <c r="Z2549" s="9"/>
      <c r="AA2549" s="9"/>
      <c r="AB2549" s="9"/>
      <c r="AC2549" s="9"/>
      <c r="AD2549" s="9"/>
      <c r="AE2549" s="9"/>
      <c r="AF2549" s="9"/>
      <c r="AG2549" s="9"/>
      <c r="AH2549" s="9"/>
      <c r="AI2549" s="9"/>
      <c r="AJ2549" s="9"/>
      <c r="AK2549" s="9"/>
      <c r="AL2549" s="9"/>
      <c r="AM2549" s="9"/>
      <c r="AN2549" s="9"/>
      <c r="AO2549" s="9"/>
      <c r="AP2549" s="9"/>
      <c r="AQ2549" s="9"/>
      <c r="AR2549" s="9"/>
      <c r="AS2549" s="9"/>
      <c r="AT2549" s="9"/>
      <c r="AU2549" s="9"/>
    </row>
    <row r="2550" spans="1:47" ht="15.75" customHeight="1">
      <c r="A2550" s="9"/>
      <c r="B2550" s="9"/>
      <c r="C2550" s="9"/>
      <c r="D2550" s="9"/>
      <c r="E2550" s="9"/>
      <c r="F2550" s="67"/>
      <c r="G2550" s="9"/>
      <c r="H2550" s="9"/>
      <c r="I2550" s="9"/>
      <c r="J2550" s="9"/>
      <c r="K2550" s="9"/>
      <c r="L2550" s="9"/>
      <c r="M2550" s="9"/>
      <c r="N2550" s="9"/>
      <c r="O2550" s="9"/>
      <c r="P2550" s="9"/>
      <c r="Q2550" s="9"/>
      <c r="R2550" s="9"/>
      <c r="S2550" s="9"/>
      <c r="T2550" s="9"/>
      <c r="U2550" s="9"/>
      <c r="V2550" s="9"/>
      <c r="W2550" s="9"/>
      <c r="X2550" s="9"/>
      <c r="Y2550" s="9"/>
      <c r="Z2550" s="9"/>
      <c r="AA2550" s="9"/>
      <c r="AB2550" s="9"/>
      <c r="AC2550" s="9"/>
      <c r="AD2550" s="9"/>
      <c r="AE2550" s="9"/>
      <c r="AF2550" s="9"/>
      <c r="AG2550" s="9"/>
      <c r="AH2550" s="9"/>
      <c r="AI2550" s="9"/>
      <c r="AJ2550" s="9"/>
      <c r="AK2550" s="9"/>
      <c r="AL2550" s="9"/>
      <c r="AM2550" s="9"/>
      <c r="AN2550" s="9"/>
      <c r="AO2550" s="9"/>
      <c r="AP2550" s="9"/>
      <c r="AQ2550" s="9"/>
      <c r="AR2550" s="9"/>
      <c r="AS2550" s="9"/>
      <c r="AT2550" s="9"/>
      <c r="AU2550" s="9"/>
    </row>
    <row r="2551" spans="1:47" ht="15.75" customHeight="1">
      <c r="A2551" s="9"/>
      <c r="B2551" s="9"/>
      <c r="C2551" s="9"/>
      <c r="D2551" s="9"/>
      <c r="E2551" s="9"/>
      <c r="F2551" s="67"/>
      <c r="G2551" s="9"/>
      <c r="H2551" s="9"/>
      <c r="I2551" s="9"/>
      <c r="J2551" s="9"/>
      <c r="K2551" s="9"/>
      <c r="L2551" s="9"/>
      <c r="M2551" s="9"/>
      <c r="N2551" s="9"/>
      <c r="O2551" s="9"/>
      <c r="P2551" s="9"/>
      <c r="Q2551" s="9"/>
      <c r="R2551" s="9"/>
      <c r="S2551" s="9"/>
      <c r="T2551" s="9"/>
      <c r="U2551" s="9"/>
      <c r="V2551" s="9"/>
      <c r="W2551" s="9"/>
      <c r="X2551" s="9"/>
      <c r="Y2551" s="9"/>
      <c r="Z2551" s="9"/>
      <c r="AA2551" s="9"/>
      <c r="AB2551" s="9"/>
      <c r="AC2551" s="9"/>
      <c r="AD2551" s="9"/>
      <c r="AE2551" s="9"/>
      <c r="AF2551" s="9"/>
      <c r="AG2551" s="9"/>
      <c r="AH2551" s="9"/>
      <c r="AI2551" s="9"/>
      <c r="AJ2551" s="9"/>
      <c r="AK2551" s="9"/>
      <c r="AL2551" s="9"/>
      <c r="AM2551" s="9"/>
      <c r="AN2551" s="9"/>
      <c r="AO2551" s="9"/>
      <c r="AP2551" s="9"/>
      <c r="AQ2551" s="9"/>
      <c r="AR2551" s="9"/>
      <c r="AS2551" s="9"/>
      <c r="AT2551" s="9"/>
      <c r="AU2551" s="9"/>
    </row>
    <row r="2552" spans="1:47" ht="15.75" customHeight="1">
      <c r="A2552" s="9"/>
      <c r="B2552" s="9"/>
      <c r="C2552" s="9"/>
      <c r="D2552" s="9"/>
      <c r="E2552" s="9"/>
      <c r="F2552" s="67"/>
      <c r="G2552" s="9"/>
      <c r="H2552" s="9"/>
      <c r="I2552" s="9"/>
      <c r="J2552" s="9"/>
      <c r="K2552" s="9"/>
      <c r="L2552" s="9"/>
      <c r="M2552" s="9"/>
      <c r="N2552" s="9"/>
      <c r="O2552" s="9"/>
      <c r="P2552" s="9"/>
      <c r="Q2552" s="9"/>
      <c r="R2552" s="9"/>
      <c r="S2552" s="9"/>
      <c r="T2552" s="9"/>
      <c r="U2552" s="9"/>
      <c r="V2552" s="9"/>
      <c r="W2552" s="9"/>
      <c r="X2552" s="9"/>
      <c r="Y2552" s="9"/>
      <c r="Z2552" s="9"/>
      <c r="AA2552" s="9"/>
      <c r="AB2552" s="9"/>
      <c r="AC2552" s="9"/>
      <c r="AD2552" s="9"/>
      <c r="AE2552" s="9"/>
      <c r="AF2552" s="9"/>
      <c r="AG2552" s="9"/>
      <c r="AH2552" s="9"/>
      <c r="AI2552" s="9"/>
      <c r="AJ2552" s="9"/>
      <c r="AK2552" s="9"/>
      <c r="AL2552" s="9"/>
      <c r="AM2552" s="9"/>
      <c r="AN2552" s="9"/>
      <c r="AO2552" s="9"/>
      <c r="AP2552" s="9"/>
      <c r="AQ2552" s="9"/>
      <c r="AR2552" s="9"/>
      <c r="AS2552" s="9"/>
      <c r="AT2552" s="9"/>
      <c r="AU2552" s="9"/>
    </row>
    <row r="2553" spans="1:47" ht="15.75" customHeight="1">
      <c r="A2553" s="9"/>
      <c r="B2553" s="9"/>
      <c r="C2553" s="9"/>
      <c r="D2553" s="9"/>
      <c r="E2553" s="9"/>
      <c r="F2553" s="67"/>
      <c r="G2553" s="9"/>
      <c r="H2553" s="9"/>
      <c r="I2553" s="9"/>
      <c r="J2553" s="9"/>
      <c r="K2553" s="9"/>
      <c r="L2553" s="9"/>
      <c r="M2553" s="9"/>
      <c r="N2553" s="9"/>
      <c r="O2553" s="9"/>
      <c r="P2553" s="9"/>
      <c r="Q2553" s="9"/>
      <c r="R2553" s="9"/>
      <c r="S2553" s="9"/>
      <c r="T2553" s="9"/>
      <c r="U2553" s="9"/>
      <c r="V2553" s="9"/>
      <c r="W2553" s="9"/>
      <c r="X2553" s="9"/>
      <c r="Y2553" s="9"/>
      <c r="Z2553" s="9"/>
      <c r="AA2553" s="9"/>
      <c r="AB2553" s="9"/>
      <c r="AC2553" s="9"/>
      <c r="AD2553" s="9"/>
      <c r="AE2553" s="9"/>
      <c r="AF2553" s="9"/>
      <c r="AG2553" s="9"/>
      <c r="AH2553" s="9"/>
      <c r="AI2553" s="9"/>
      <c r="AJ2553" s="9"/>
      <c r="AK2553" s="9"/>
      <c r="AL2553" s="9"/>
      <c r="AM2553" s="9"/>
      <c r="AN2553" s="9"/>
      <c r="AO2553" s="9"/>
      <c r="AP2553" s="9"/>
      <c r="AQ2553" s="9"/>
      <c r="AR2553" s="9"/>
      <c r="AS2553" s="9"/>
      <c r="AT2553" s="9"/>
      <c r="AU2553" s="9"/>
    </row>
    <row r="2554" spans="1:47" ht="15.75" customHeight="1">
      <c r="A2554" s="9"/>
      <c r="B2554" s="9"/>
      <c r="C2554" s="9"/>
      <c r="D2554" s="9"/>
      <c r="E2554" s="9"/>
      <c r="F2554" s="67"/>
      <c r="G2554" s="9"/>
      <c r="H2554" s="9"/>
      <c r="I2554" s="9"/>
      <c r="J2554" s="9"/>
      <c r="K2554" s="9"/>
      <c r="L2554" s="9"/>
      <c r="M2554" s="9"/>
      <c r="N2554" s="9"/>
      <c r="O2554" s="9"/>
      <c r="P2554" s="9"/>
      <c r="Q2554" s="9"/>
      <c r="R2554" s="9"/>
      <c r="S2554" s="9"/>
      <c r="T2554" s="9"/>
      <c r="U2554" s="9"/>
      <c r="V2554" s="9"/>
      <c r="W2554" s="9"/>
      <c r="X2554" s="9"/>
      <c r="Y2554" s="9"/>
      <c r="Z2554" s="9"/>
      <c r="AA2554" s="9"/>
      <c r="AB2554" s="9"/>
      <c r="AC2554" s="9"/>
      <c r="AD2554" s="9"/>
      <c r="AE2554" s="9"/>
      <c r="AF2554" s="9"/>
      <c r="AG2554" s="9"/>
      <c r="AH2554" s="9"/>
      <c r="AI2554" s="9"/>
      <c r="AJ2554" s="9"/>
      <c r="AK2554" s="9"/>
      <c r="AL2554" s="9"/>
      <c r="AM2554" s="9"/>
      <c r="AN2554" s="9"/>
      <c r="AO2554" s="9"/>
      <c r="AP2554" s="9"/>
      <c r="AQ2554" s="9"/>
      <c r="AR2554" s="9"/>
      <c r="AS2554" s="9"/>
      <c r="AT2554" s="9"/>
      <c r="AU2554" s="9"/>
    </row>
    <row r="2555" spans="1:47" ht="15.75" customHeight="1">
      <c r="A2555" s="9"/>
      <c r="B2555" s="9"/>
      <c r="C2555" s="9"/>
      <c r="D2555" s="9"/>
      <c r="E2555" s="9"/>
      <c r="F2555" s="67"/>
      <c r="G2555" s="9"/>
      <c r="H2555" s="9"/>
      <c r="I2555" s="9"/>
      <c r="J2555" s="9"/>
      <c r="K2555" s="9"/>
      <c r="L2555" s="9"/>
      <c r="M2555" s="9"/>
      <c r="N2555" s="9"/>
      <c r="O2555" s="9"/>
      <c r="P2555" s="9"/>
      <c r="Q2555" s="9"/>
      <c r="R2555" s="9"/>
      <c r="S2555" s="9"/>
      <c r="T2555" s="9"/>
      <c r="U2555" s="9"/>
      <c r="V2555" s="9"/>
      <c r="W2555" s="9"/>
      <c r="X2555" s="9"/>
      <c r="Y2555" s="9"/>
      <c r="Z2555" s="9"/>
      <c r="AA2555" s="9"/>
      <c r="AB2555" s="9"/>
      <c r="AC2555" s="9"/>
      <c r="AD2555" s="9"/>
      <c r="AE2555" s="9"/>
      <c r="AF2555" s="9"/>
      <c r="AG2555" s="9"/>
      <c r="AH2555" s="9"/>
      <c r="AI2555" s="9"/>
      <c r="AJ2555" s="9"/>
      <c r="AK2555" s="9"/>
      <c r="AL2555" s="9"/>
      <c r="AM2555" s="9"/>
      <c r="AN2555" s="9"/>
      <c r="AO2555" s="9"/>
      <c r="AP2555" s="9"/>
      <c r="AQ2555" s="9"/>
      <c r="AR2555" s="9"/>
      <c r="AS2555" s="9"/>
      <c r="AT2555" s="9"/>
      <c r="AU2555" s="9"/>
    </row>
    <row r="2556" spans="1:47" ht="15.75" customHeight="1">
      <c r="A2556" s="9"/>
      <c r="B2556" s="9"/>
      <c r="C2556" s="9"/>
      <c r="D2556" s="9"/>
      <c r="E2556" s="9"/>
      <c r="F2556" s="67"/>
      <c r="G2556" s="9"/>
      <c r="H2556" s="9"/>
      <c r="I2556" s="9"/>
      <c r="J2556" s="9"/>
      <c r="K2556" s="9"/>
      <c r="L2556" s="9"/>
      <c r="M2556" s="9"/>
      <c r="N2556" s="9"/>
      <c r="O2556" s="9"/>
      <c r="P2556" s="9"/>
      <c r="Q2556" s="9"/>
      <c r="R2556" s="9"/>
      <c r="S2556" s="9"/>
      <c r="T2556" s="9"/>
      <c r="U2556" s="9"/>
      <c r="V2556" s="9"/>
      <c r="W2556" s="9"/>
      <c r="X2556" s="9"/>
      <c r="Y2556" s="9"/>
      <c r="Z2556" s="9"/>
      <c r="AA2556" s="9"/>
      <c r="AB2556" s="9"/>
      <c r="AC2556" s="9"/>
      <c r="AD2556" s="9"/>
      <c r="AE2556" s="9"/>
      <c r="AF2556" s="9"/>
      <c r="AG2556" s="9"/>
      <c r="AH2556" s="9"/>
      <c r="AI2556" s="9"/>
      <c r="AJ2556" s="9"/>
      <c r="AK2556" s="9"/>
      <c r="AL2556" s="9"/>
      <c r="AM2556" s="9"/>
      <c r="AN2556" s="9"/>
      <c r="AO2556" s="9"/>
      <c r="AP2556" s="9"/>
      <c r="AQ2556" s="9"/>
      <c r="AR2556" s="9"/>
      <c r="AS2556" s="9"/>
      <c r="AT2556" s="9"/>
      <c r="AU2556" s="9"/>
    </row>
    <row r="2557" spans="1:47" ht="15.75" customHeight="1">
      <c r="A2557" s="9"/>
      <c r="B2557" s="9"/>
      <c r="C2557" s="9"/>
      <c r="D2557" s="9"/>
      <c r="E2557" s="9"/>
      <c r="F2557" s="67"/>
      <c r="G2557" s="9"/>
      <c r="H2557" s="9"/>
      <c r="I2557" s="9"/>
      <c r="J2557" s="9"/>
      <c r="K2557" s="9"/>
      <c r="L2557" s="9"/>
      <c r="M2557" s="9"/>
      <c r="N2557" s="9"/>
      <c r="O2557" s="9"/>
      <c r="P2557" s="9"/>
      <c r="Q2557" s="9"/>
      <c r="R2557" s="9"/>
      <c r="S2557" s="9"/>
      <c r="T2557" s="9"/>
      <c r="U2557" s="9"/>
      <c r="V2557" s="9"/>
      <c r="W2557" s="9"/>
      <c r="X2557" s="9"/>
      <c r="Y2557" s="9"/>
      <c r="Z2557" s="9"/>
      <c r="AA2557" s="9"/>
      <c r="AB2557" s="9"/>
      <c r="AC2557" s="9"/>
      <c r="AD2557" s="9"/>
      <c r="AE2557" s="9"/>
      <c r="AF2557" s="9"/>
      <c r="AG2557" s="9"/>
      <c r="AH2557" s="9"/>
      <c r="AI2557" s="9"/>
      <c r="AJ2557" s="9"/>
      <c r="AK2557" s="9"/>
      <c r="AL2557" s="9"/>
      <c r="AM2557" s="9"/>
      <c r="AN2557" s="9"/>
      <c r="AO2557" s="9"/>
      <c r="AP2557" s="9"/>
      <c r="AQ2557" s="9"/>
      <c r="AR2557" s="9"/>
      <c r="AS2557" s="9"/>
      <c r="AT2557" s="9"/>
      <c r="AU2557" s="9"/>
    </row>
    <row r="2558" spans="1:47" ht="15.75" customHeight="1">
      <c r="A2558" s="9"/>
      <c r="B2558" s="9"/>
      <c r="C2558" s="9"/>
      <c r="D2558" s="9"/>
      <c r="E2558" s="9"/>
      <c r="F2558" s="67"/>
      <c r="G2558" s="9"/>
      <c r="H2558" s="9"/>
      <c r="I2558" s="9"/>
      <c r="J2558" s="9"/>
      <c r="K2558" s="9"/>
      <c r="L2558" s="9"/>
      <c r="M2558" s="9"/>
      <c r="N2558" s="9"/>
      <c r="O2558" s="9"/>
      <c r="P2558" s="9"/>
      <c r="Q2558" s="9"/>
      <c r="R2558" s="9"/>
      <c r="S2558" s="9"/>
      <c r="T2558" s="9"/>
      <c r="U2558" s="9"/>
      <c r="V2558" s="9"/>
      <c r="W2558" s="9"/>
      <c r="X2558" s="9"/>
      <c r="Y2558" s="9"/>
      <c r="Z2558" s="9"/>
      <c r="AA2558" s="9"/>
      <c r="AB2558" s="9"/>
      <c r="AC2558" s="9"/>
      <c r="AD2558" s="9"/>
      <c r="AE2558" s="9"/>
      <c r="AF2558" s="9"/>
      <c r="AG2558" s="9"/>
      <c r="AH2558" s="9"/>
      <c r="AI2558" s="9"/>
      <c r="AJ2558" s="9"/>
      <c r="AK2558" s="9"/>
      <c r="AL2558" s="9"/>
      <c r="AM2558" s="9"/>
      <c r="AN2558" s="9"/>
      <c r="AO2558" s="9"/>
      <c r="AP2558" s="9"/>
      <c r="AQ2558" s="9"/>
      <c r="AR2558" s="9"/>
      <c r="AS2558" s="9"/>
      <c r="AT2558" s="9"/>
      <c r="AU2558" s="9"/>
    </row>
    <row r="2559" spans="1:47" ht="15.75" customHeight="1">
      <c r="A2559" s="9"/>
      <c r="B2559" s="9"/>
      <c r="C2559" s="9"/>
      <c r="D2559" s="9"/>
      <c r="E2559" s="9"/>
      <c r="F2559" s="67"/>
      <c r="G2559" s="9"/>
      <c r="H2559" s="9"/>
      <c r="I2559" s="9"/>
      <c r="J2559" s="9"/>
      <c r="K2559" s="9"/>
      <c r="L2559" s="9"/>
      <c r="M2559" s="9"/>
      <c r="N2559" s="9"/>
      <c r="O2559" s="9"/>
      <c r="P2559" s="9"/>
      <c r="Q2559" s="9"/>
      <c r="R2559" s="9"/>
      <c r="S2559" s="9"/>
      <c r="T2559" s="9"/>
      <c r="U2559" s="9"/>
      <c r="V2559" s="9"/>
      <c r="W2559" s="9"/>
      <c r="X2559" s="9"/>
      <c r="Y2559" s="9"/>
      <c r="Z2559" s="9"/>
      <c r="AA2559" s="9"/>
      <c r="AB2559" s="9"/>
      <c r="AC2559" s="9"/>
      <c r="AD2559" s="9"/>
      <c r="AE2559" s="9"/>
      <c r="AF2559" s="9"/>
      <c r="AG2559" s="9"/>
      <c r="AH2559" s="9"/>
      <c r="AI2559" s="9"/>
      <c r="AJ2559" s="9"/>
      <c r="AK2559" s="9"/>
      <c r="AL2559" s="9"/>
      <c r="AM2559" s="9"/>
      <c r="AN2559" s="9"/>
      <c r="AO2559" s="9"/>
      <c r="AP2559" s="9"/>
      <c r="AQ2559" s="9"/>
      <c r="AR2559" s="9"/>
      <c r="AS2559" s="9"/>
      <c r="AT2559" s="9"/>
      <c r="AU2559" s="9"/>
    </row>
    <row r="2560" spans="1:47" ht="15.75" customHeight="1">
      <c r="A2560" s="9"/>
      <c r="B2560" s="9"/>
      <c r="C2560" s="9"/>
      <c r="D2560" s="9"/>
      <c r="E2560" s="9"/>
      <c r="F2560" s="67"/>
      <c r="G2560" s="9"/>
      <c r="H2560" s="9"/>
      <c r="I2560" s="9"/>
      <c r="J2560" s="9"/>
      <c r="K2560" s="9"/>
      <c r="L2560" s="9"/>
      <c r="M2560" s="9"/>
      <c r="N2560" s="9"/>
      <c r="O2560" s="9"/>
      <c r="P2560" s="9"/>
      <c r="Q2560" s="9"/>
      <c r="R2560" s="9"/>
      <c r="S2560" s="9"/>
      <c r="T2560" s="9"/>
      <c r="U2560" s="9"/>
      <c r="V2560" s="9"/>
      <c r="W2560" s="9"/>
      <c r="X2560" s="9"/>
      <c r="Y2560" s="9"/>
      <c r="Z2560" s="9"/>
      <c r="AA2560" s="9"/>
      <c r="AB2560" s="9"/>
      <c r="AC2560" s="9"/>
      <c r="AD2560" s="9"/>
      <c r="AE2560" s="9"/>
      <c r="AF2560" s="9"/>
      <c r="AG2560" s="9"/>
      <c r="AH2560" s="9"/>
      <c r="AI2560" s="9"/>
      <c r="AJ2560" s="9"/>
      <c r="AK2560" s="9"/>
      <c r="AL2560" s="9"/>
      <c r="AM2560" s="9"/>
      <c r="AN2560" s="9"/>
      <c r="AO2560" s="9"/>
      <c r="AP2560" s="9"/>
      <c r="AQ2560" s="9"/>
      <c r="AR2560" s="9"/>
      <c r="AS2560" s="9"/>
      <c r="AT2560" s="9"/>
      <c r="AU2560" s="9"/>
    </row>
    <row r="2561" spans="1:47" ht="15.75" customHeight="1">
      <c r="A2561" s="9"/>
      <c r="B2561" s="9"/>
      <c r="C2561" s="9"/>
      <c r="D2561" s="9"/>
      <c r="E2561" s="9"/>
      <c r="F2561" s="67"/>
      <c r="G2561" s="9"/>
      <c r="H2561" s="9"/>
      <c r="I2561" s="9"/>
      <c r="J2561" s="9"/>
      <c r="K2561" s="9"/>
      <c r="L2561" s="9"/>
      <c r="M2561" s="9"/>
      <c r="N2561" s="9"/>
      <c r="O2561" s="9"/>
      <c r="P2561" s="9"/>
      <c r="Q2561" s="9"/>
      <c r="R2561" s="9"/>
      <c r="S2561" s="9"/>
      <c r="T2561" s="9"/>
      <c r="U2561" s="9"/>
      <c r="V2561" s="9"/>
      <c r="W2561" s="9"/>
      <c r="X2561" s="9"/>
      <c r="Y2561" s="9"/>
      <c r="Z2561" s="9"/>
      <c r="AA2561" s="9"/>
      <c r="AB2561" s="9"/>
      <c r="AC2561" s="9"/>
      <c r="AD2561" s="9"/>
      <c r="AE2561" s="9"/>
      <c r="AF2561" s="9"/>
      <c r="AG2561" s="9"/>
      <c r="AH2561" s="9"/>
      <c r="AI2561" s="9"/>
      <c r="AJ2561" s="9"/>
      <c r="AK2561" s="9"/>
      <c r="AL2561" s="9"/>
      <c r="AM2561" s="9"/>
      <c r="AN2561" s="9"/>
      <c r="AO2561" s="9"/>
      <c r="AP2561" s="9"/>
      <c r="AQ2561" s="9"/>
      <c r="AR2561" s="9"/>
      <c r="AS2561" s="9"/>
      <c r="AT2561" s="9"/>
      <c r="AU2561" s="9"/>
    </row>
    <row r="2562" spans="1:47" ht="15.75" customHeight="1">
      <c r="A2562" s="9"/>
      <c r="B2562" s="9"/>
      <c r="C2562" s="9"/>
      <c r="D2562" s="9"/>
      <c r="E2562" s="9"/>
      <c r="F2562" s="67"/>
      <c r="G2562" s="9"/>
      <c r="H2562" s="9"/>
      <c r="I2562" s="9"/>
      <c r="J2562" s="9"/>
      <c r="K2562" s="9"/>
      <c r="L2562" s="9"/>
      <c r="M2562" s="9"/>
      <c r="N2562" s="9"/>
      <c r="O2562" s="9"/>
      <c r="P2562" s="9"/>
      <c r="Q2562" s="9"/>
      <c r="R2562" s="9"/>
      <c r="S2562" s="9"/>
      <c r="T2562" s="9"/>
      <c r="U2562" s="9"/>
      <c r="V2562" s="9"/>
      <c r="W2562" s="9"/>
      <c r="X2562" s="9"/>
      <c r="Y2562" s="9"/>
      <c r="Z2562" s="9"/>
      <c r="AA2562" s="9"/>
      <c r="AB2562" s="9"/>
      <c r="AC2562" s="9"/>
      <c r="AD2562" s="9"/>
      <c r="AE2562" s="9"/>
      <c r="AF2562" s="9"/>
      <c r="AG2562" s="9"/>
      <c r="AH2562" s="9"/>
      <c r="AI2562" s="9"/>
      <c r="AJ2562" s="9"/>
      <c r="AK2562" s="9"/>
      <c r="AL2562" s="9"/>
      <c r="AM2562" s="9"/>
      <c r="AN2562" s="9"/>
      <c r="AO2562" s="9"/>
      <c r="AP2562" s="9"/>
      <c r="AQ2562" s="9"/>
      <c r="AR2562" s="9"/>
      <c r="AS2562" s="9"/>
      <c r="AT2562" s="9"/>
      <c r="AU2562" s="9"/>
    </row>
    <row r="2563" spans="1:47" ht="15.75" customHeight="1">
      <c r="A2563" s="9"/>
      <c r="B2563" s="9"/>
      <c r="C2563" s="9"/>
      <c r="D2563" s="9"/>
      <c r="E2563" s="9"/>
      <c r="F2563" s="67"/>
      <c r="G2563" s="9"/>
      <c r="H2563" s="9"/>
      <c r="I2563" s="9"/>
      <c r="J2563" s="9"/>
      <c r="K2563" s="9"/>
      <c r="L2563" s="9"/>
      <c r="M2563" s="9"/>
      <c r="N2563" s="9"/>
      <c r="O2563" s="9"/>
      <c r="P2563" s="9"/>
      <c r="Q2563" s="9"/>
      <c r="R2563" s="9"/>
      <c r="S2563" s="9"/>
      <c r="T2563" s="9"/>
      <c r="U2563" s="9"/>
      <c r="V2563" s="9"/>
      <c r="W2563" s="9"/>
      <c r="X2563" s="9"/>
      <c r="Y2563" s="9"/>
      <c r="Z2563" s="9"/>
      <c r="AA2563" s="9"/>
      <c r="AB2563" s="9"/>
      <c r="AC2563" s="9"/>
      <c r="AD2563" s="9"/>
      <c r="AE2563" s="9"/>
      <c r="AF2563" s="9"/>
      <c r="AG2563" s="9"/>
      <c r="AH2563" s="9"/>
      <c r="AI2563" s="9"/>
      <c r="AJ2563" s="9"/>
      <c r="AK2563" s="9"/>
      <c r="AL2563" s="9"/>
      <c r="AM2563" s="9"/>
      <c r="AN2563" s="9"/>
      <c r="AO2563" s="9"/>
      <c r="AP2563" s="9"/>
      <c r="AQ2563" s="9"/>
      <c r="AR2563" s="9"/>
      <c r="AS2563" s="9"/>
      <c r="AT2563" s="9"/>
      <c r="AU2563" s="9"/>
    </row>
    <row r="2564" spans="1:47" ht="15.75" customHeight="1">
      <c r="A2564" s="9"/>
      <c r="B2564" s="9"/>
      <c r="C2564" s="9"/>
      <c r="D2564" s="9"/>
      <c r="E2564" s="9"/>
      <c r="F2564" s="67"/>
      <c r="G2564" s="9"/>
      <c r="H2564" s="9"/>
      <c r="I2564" s="9"/>
      <c r="J2564" s="9"/>
      <c r="K2564" s="9"/>
      <c r="L2564" s="9"/>
      <c r="M2564" s="9"/>
      <c r="N2564" s="9"/>
      <c r="O2564" s="9"/>
      <c r="P2564" s="9"/>
      <c r="Q2564" s="9"/>
      <c r="R2564" s="9"/>
      <c r="S2564" s="9"/>
      <c r="T2564" s="9"/>
      <c r="U2564" s="9"/>
      <c r="V2564" s="9"/>
      <c r="W2564" s="9"/>
      <c r="X2564" s="9"/>
      <c r="Y2564" s="9"/>
      <c r="Z2564" s="9"/>
      <c r="AA2564" s="9"/>
      <c r="AB2564" s="9"/>
      <c r="AC2564" s="9"/>
      <c r="AD2564" s="9"/>
      <c r="AE2564" s="9"/>
      <c r="AF2564" s="9"/>
      <c r="AG2564" s="9"/>
      <c r="AH2564" s="9"/>
      <c r="AI2564" s="9"/>
      <c r="AJ2564" s="9"/>
      <c r="AK2564" s="9"/>
      <c r="AL2564" s="9"/>
      <c r="AM2564" s="9"/>
      <c r="AN2564" s="9"/>
      <c r="AO2564" s="9"/>
      <c r="AP2564" s="9"/>
      <c r="AQ2564" s="9"/>
      <c r="AR2564" s="9"/>
      <c r="AS2564" s="9"/>
      <c r="AT2564" s="9"/>
      <c r="AU2564" s="9"/>
    </row>
    <row r="2565" spans="1:47" ht="15.75" customHeight="1">
      <c r="A2565" s="9"/>
      <c r="B2565" s="9"/>
      <c r="C2565" s="9"/>
      <c r="D2565" s="9"/>
      <c r="E2565" s="9"/>
      <c r="F2565" s="67"/>
      <c r="G2565" s="9"/>
      <c r="H2565" s="9"/>
      <c r="I2565" s="9"/>
      <c r="J2565" s="9"/>
      <c r="K2565" s="9"/>
      <c r="L2565" s="9"/>
      <c r="M2565" s="9"/>
      <c r="N2565" s="9"/>
      <c r="O2565" s="9"/>
      <c r="P2565" s="9"/>
      <c r="Q2565" s="9"/>
      <c r="R2565" s="9"/>
      <c r="S2565" s="9"/>
      <c r="T2565" s="9"/>
      <c r="U2565" s="9"/>
      <c r="V2565" s="9"/>
      <c r="W2565" s="9"/>
      <c r="X2565" s="9"/>
      <c r="Y2565" s="9"/>
      <c r="Z2565" s="9"/>
      <c r="AA2565" s="9"/>
      <c r="AB2565" s="9"/>
      <c r="AC2565" s="9"/>
      <c r="AD2565" s="9"/>
      <c r="AE2565" s="9"/>
      <c r="AF2565" s="9"/>
      <c r="AG2565" s="9"/>
      <c r="AH2565" s="9"/>
      <c r="AI2565" s="9"/>
      <c r="AJ2565" s="9"/>
      <c r="AK2565" s="9"/>
      <c r="AL2565" s="9"/>
      <c r="AM2565" s="9"/>
      <c r="AN2565" s="9"/>
      <c r="AO2565" s="9"/>
      <c r="AP2565" s="9"/>
      <c r="AQ2565" s="9"/>
      <c r="AR2565" s="9"/>
      <c r="AS2565" s="9"/>
      <c r="AT2565" s="9"/>
      <c r="AU2565" s="9"/>
    </row>
    <row r="2566" spans="1:47" ht="15.75" customHeight="1">
      <c r="A2566" s="9"/>
      <c r="B2566" s="9"/>
      <c r="C2566" s="9"/>
      <c r="D2566" s="9"/>
      <c r="E2566" s="9"/>
      <c r="F2566" s="67"/>
      <c r="G2566" s="9"/>
      <c r="H2566" s="9"/>
      <c r="I2566" s="9"/>
      <c r="J2566" s="9"/>
      <c r="K2566" s="9"/>
      <c r="L2566" s="9"/>
      <c r="M2566" s="9"/>
      <c r="N2566" s="9"/>
      <c r="O2566" s="9"/>
      <c r="P2566" s="9"/>
      <c r="Q2566" s="9"/>
      <c r="R2566" s="9"/>
      <c r="S2566" s="9"/>
      <c r="T2566" s="9"/>
      <c r="U2566" s="9"/>
      <c r="V2566" s="9"/>
      <c r="W2566" s="9"/>
      <c r="X2566" s="9"/>
      <c r="Y2566" s="9"/>
      <c r="Z2566" s="9"/>
      <c r="AA2566" s="9"/>
      <c r="AB2566" s="9"/>
      <c r="AC2566" s="9"/>
      <c r="AD2566" s="9"/>
      <c r="AE2566" s="9"/>
      <c r="AF2566" s="9"/>
      <c r="AG2566" s="9"/>
      <c r="AH2566" s="9"/>
      <c r="AI2566" s="9"/>
      <c r="AJ2566" s="9"/>
      <c r="AK2566" s="9"/>
      <c r="AL2566" s="9"/>
      <c r="AM2566" s="9"/>
      <c r="AN2566" s="9"/>
      <c r="AO2566" s="9"/>
      <c r="AP2566" s="9"/>
      <c r="AQ2566" s="9"/>
      <c r="AR2566" s="9"/>
      <c r="AS2566" s="9"/>
      <c r="AT2566" s="9"/>
      <c r="AU2566" s="9"/>
    </row>
    <row r="2567" spans="1:47" ht="15.75" customHeight="1">
      <c r="A2567" s="9"/>
      <c r="B2567" s="9"/>
      <c r="C2567" s="9"/>
      <c r="D2567" s="9"/>
      <c r="E2567" s="9"/>
      <c r="F2567" s="67"/>
      <c r="G2567" s="9"/>
      <c r="H2567" s="9"/>
      <c r="I2567" s="9"/>
      <c r="J2567" s="9"/>
      <c r="K2567" s="9"/>
      <c r="L2567" s="9"/>
      <c r="M2567" s="9"/>
      <c r="N2567" s="9"/>
      <c r="O2567" s="9"/>
      <c r="P2567" s="9"/>
      <c r="Q2567" s="9"/>
      <c r="R2567" s="9"/>
      <c r="S2567" s="9"/>
      <c r="T2567" s="9"/>
      <c r="U2567" s="9"/>
      <c r="V2567" s="9"/>
      <c r="W2567" s="9"/>
      <c r="X2567" s="9"/>
      <c r="Y2567" s="9"/>
      <c r="Z2567" s="9"/>
      <c r="AA2567" s="9"/>
      <c r="AB2567" s="9"/>
      <c r="AC2567" s="9"/>
      <c r="AD2567" s="9"/>
      <c r="AE2567" s="9"/>
      <c r="AF2567" s="9"/>
      <c r="AG2567" s="9"/>
      <c r="AH2567" s="9"/>
      <c r="AI2567" s="9"/>
      <c r="AJ2567" s="9"/>
      <c r="AK2567" s="9"/>
      <c r="AL2567" s="9"/>
      <c r="AM2567" s="9"/>
      <c r="AN2567" s="9"/>
      <c r="AO2567" s="9"/>
      <c r="AP2567" s="9"/>
      <c r="AQ2567" s="9"/>
      <c r="AR2567" s="9"/>
      <c r="AS2567" s="9"/>
      <c r="AT2567" s="9"/>
      <c r="AU2567" s="9"/>
    </row>
    <row r="2568" spans="1:47" ht="15.75" customHeight="1">
      <c r="A2568" s="9"/>
      <c r="B2568" s="9"/>
      <c r="C2568" s="9"/>
      <c r="D2568" s="9"/>
      <c r="E2568" s="9"/>
      <c r="F2568" s="67"/>
      <c r="G2568" s="9"/>
      <c r="H2568" s="9"/>
      <c r="I2568" s="9"/>
      <c r="J2568" s="9"/>
      <c r="K2568" s="9"/>
      <c r="L2568" s="9"/>
      <c r="M2568" s="9"/>
      <c r="N2568" s="9"/>
      <c r="O2568" s="9"/>
      <c r="P2568" s="9"/>
      <c r="Q2568" s="9"/>
      <c r="R2568" s="9"/>
      <c r="S2568" s="9"/>
      <c r="T2568" s="9"/>
      <c r="U2568" s="9"/>
      <c r="V2568" s="9"/>
      <c r="W2568" s="9"/>
      <c r="X2568" s="9"/>
      <c r="Y2568" s="9"/>
      <c r="Z2568" s="9"/>
      <c r="AA2568" s="9"/>
      <c r="AB2568" s="9"/>
      <c r="AC2568" s="9"/>
      <c r="AD2568" s="9"/>
      <c r="AE2568" s="9"/>
      <c r="AF2568" s="9"/>
      <c r="AG2568" s="9"/>
      <c r="AH2568" s="9"/>
      <c r="AI2568" s="9"/>
      <c r="AJ2568" s="9"/>
      <c r="AK2568" s="9"/>
      <c r="AL2568" s="9"/>
      <c r="AM2568" s="9"/>
      <c r="AN2568" s="9"/>
      <c r="AO2568" s="9"/>
      <c r="AP2568" s="9"/>
      <c r="AQ2568" s="9"/>
      <c r="AR2568" s="9"/>
      <c r="AS2568" s="9"/>
      <c r="AT2568" s="9"/>
      <c r="AU2568" s="9"/>
    </row>
    <row r="2569" spans="1:47" ht="15.75" customHeight="1">
      <c r="A2569" s="9"/>
      <c r="B2569" s="9"/>
      <c r="C2569" s="9"/>
      <c r="D2569" s="9"/>
      <c r="E2569" s="9"/>
      <c r="F2569" s="67"/>
      <c r="G2569" s="9"/>
      <c r="H2569" s="9"/>
      <c r="I2569" s="9"/>
      <c r="J2569" s="9"/>
      <c r="K2569" s="9"/>
      <c r="L2569" s="9"/>
      <c r="M2569" s="9"/>
      <c r="N2569" s="9"/>
      <c r="O2569" s="9"/>
      <c r="P2569" s="9"/>
      <c r="Q2569" s="9"/>
      <c r="R2569" s="9"/>
      <c r="S2569" s="9"/>
      <c r="T2569" s="9"/>
      <c r="U2569" s="9"/>
      <c r="V2569" s="9"/>
      <c r="W2569" s="9"/>
      <c r="X2569" s="9"/>
      <c r="Y2569" s="9"/>
      <c r="Z2569" s="9"/>
      <c r="AA2569" s="9"/>
      <c r="AB2569" s="9"/>
      <c r="AC2569" s="9"/>
      <c r="AD2569" s="9"/>
      <c r="AE2569" s="9"/>
      <c r="AF2569" s="9"/>
      <c r="AG2569" s="9"/>
      <c r="AH2569" s="9"/>
      <c r="AI2569" s="9"/>
      <c r="AJ2569" s="9"/>
      <c r="AK2569" s="9"/>
      <c r="AL2569" s="9"/>
      <c r="AM2569" s="9"/>
      <c r="AN2569" s="9"/>
      <c r="AO2569" s="9"/>
      <c r="AP2569" s="9"/>
      <c r="AQ2569" s="9"/>
      <c r="AR2569" s="9"/>
      <c r="AS2569" s="9"/>
      <c r="AT2569" s="9"/>
      <c r="AU2569" s="9"/>
    </row>
    <row r="2570" spans="1:47" ht="15.75" customHeight="1">
      <c r="A2570" s="9"/>
      <c r="B2570" s="9"/>
      <c r="C2570" s="9"/>
      <c r="D2570" s="9"/>
      <c r="E2570" s="9"/>
      <c r="F2570" s="67"/>
      <c r="G2570" s="9"/>
      <c r="H2570" s="9"/>
      <c r="I2570" s="9"/>
      <c r="J2570" s="9"/>
      <c r="K2570" s="9"/>
      <c r="L2570" s="9"/>
      <c r="M2570" s="9"/>
      <c r="N2570" s="9"/>
      <c r="O2570" s="9"/>
      <c r="P2570" s="9"/>
      <c r="Q2570" s="9"/>
      <c r="R2570" s="9"/>
      <c r="S2570" s="9"/>
      <c r="T2570" s="9"/>
      <c r="U2570" s="9"/>
      <c r="V2570" s="9"/>
      <c r="W2570" s="9"/>
      <c r="X2570" s="9"/>
      <c r="Y2570" s="9"/>
      <c r="Z2570" s="9"/>
      <c r="AA2570" s="9"/>
      <c r="AB2570" s="9"/>
      <c r="AC2570" s="9"/>
      <c r="AD2570" s="9"/>
      <c r="AE2570" s="9"/>
      <c r="AF2570" s="9"/>
      <c r="AG2570" s="9"/>
      <c r="AH2570" s="9"/>
      <c r="AI2570" s="9"/>
      <c r="AJ2570" s="9"/>
      <c r="AK2570" s="9"/>
      <c r="AL2570" s="9"/>
      <c r="AM2570" s="9"/>
      <c r="AN2570" s="9"/>
      <c r="AO2570" s="9"/>
      <c r="AP2570" s="9"/>
      <c r="AQ2570" s="9"/>
      <c r="AR2570" s="9"/>
      <c r="AS2570" s="9"/>
      <c r="AT2570" s="9"/>
      <c r="AU2570" s="9"/>
    </row>
    <row r="2571" spans="1:47" ht="15.75" customHeight="1">
      <c r="A2571" s="9"/>
      <c r="B2571" s="9"/>
      <c r="C2571" s="9"/>
      <c r="D2571" s="9"/>
      <c r="E2571" s="9"/>
      <c r="F2571" s="67"/>
      <c r="G2571" s="9"/>
      <c r="H2571" s="9"/>
      <c r="I2571" s="9"/>
      <c r="J2571" s="9"/>
      <c r="K2571" s="9"/>
      <c r="L2571" s="9"/>
      <c r="M2571" s="9"/>
      <c r="N2571" s="9"/>
      <c r="O2571" s="9"/>
      <c r="P2571" s="9"/>
      <c r="Q2571" s="9"/>
      <c r="R2571" s="9"/>
      <c r="S2571" s="9"/>
      <c r="T2571" s="9"/>
      <c r="U2571" s="9"/>
      <c r="V2571" s="9"/>
      <c r="W2571" s="9"/>
      <c r="X2571" s="9"/>
      <c r="Y2571" s="9"/>
      <c r="Z2571" s="9"/>
      <c r="AA2571" s="9"/>
      <c r="AB2571" s="9"/>
      <c r="AC2571" s="9"/>
      <c r="AD2571" s="9"/>
      <c r="AE2571" s="9"/>
      <c r="AF2571" s="9"/>
      <c r="AG2571" s="9"/>
      <c r="AH2571" s="9"/>
      <c r="AI2571" s="9"/>
      <c r="AJ2571" s="9"/>
      <c r="AK2571" s="9"/>
      <c r="AL2571" s="9"/>
      <c r="AM2571" s="9"/>
      <c r="AN2571" s="9"/>
      <c r="AO2571" s="9"/>
      <c r="AP2571" s="9"/>
      <c r="AQ2571" s="9"/>
      <c r="AR2571" s="9"/>
      <c r="AS2571" s="9"/>
      <c r="AT2571" s="9"/>
      <c r="AU2571" s="9"/>
    </row>
    <row r="2572" spans="1:47" ht="15.75" customHeight="1">
      <c r="A2572" s="9"/>
      <c r="B2572" s="9"/>
      <c r="C2572" s="9"/>
      <c r="D2572" s="9"/>
      <c r="E2572" s="9"/>
      <c r="F2572" s="67"/>
      <c r="G2572" s="9"/>
      <c r="H2572" s="9"/>
      <c r="I2572" s="9"/>
      <c r="J2572" s="9"/>
      <c r="K2572" s="9"/>
      <c r="L2572" s="9"/>
      <c r="M2572" s="9"/>
      <c r="N2572" s="9"/>
      <c r="O2572" s="9"/>
      <c r="P2572" s="9"/>
      <c r="Q2572" s="9"/>
      <c r="R2572" s="9"/>
      <c r="S2572" s="9"/>
      <c r="T2572" s="9"/>
      <c r="U2572" s="9"/>
      <c r="V2572" s="9"/>
      <c r="W2572" s="9"/>
      <c r="X2572" s="9"/>
      <c r="Y2572" s="9"/>
      <c r="Z2572" s="9"/>
      <c r="AA2572" s="9"/>
      <c r="AB2572" s="9"/>
      <c r="AC2572" s="9"/>
      <c r="AD2572" s="9"/>
      <c r="AE2572" s="9"/>
      <c r="AF2572" s="9"/>
      <c r="AG2572" s="9"/>
      <c r="AH2572" s="9"/>
      <c r="AI2572" s="9"/>
      <c r="AJ2572" s="9"/>
      <c r="AK2572" s="9"/>
      <c r="AL2572" s="9"/>
      <c r="AM2572" s="9"/>
      <c r="AN2572" s="9"/>
      <c r="AO2572" s="9"/>
      <c r="AP2572" s="9"/>
      <c r="AQ2572" s="9"/>
      <c r="AR2572" s="9"/>
      <c r="AS2572" s="9"/>
      <c r="AT2572" s="9"/>
      <c r="AU2572" s="9"/>
    </row>
    <row r="2573" spans="1:47" ht="15.75" customHeight="1">
      <c r="A2573" s="9"/>
      <c r="B2573" s="9"/>
      <c r="C2573" s="9"/>
      <c r="D2573" s="9"/>
      <c r="E2573" s="9"/>
      <c r="F2573" s="67"/>
      <c r="G2573" s="9"/>
      <c r="H2573" s="9"/>
      <c r="I2573" s="9"/>
      <c r="J2573" s="9"/>
      <c r="K2573" s="9"/>
      <c r="L2573" s="9"/>
      <c r="M2573" s="9"/>
      <c r="N2573" s="9"/>
      <c r="O2573" s="9"/>
      <c r="P2573" s="9"/>
      <c r="Q2573" s="9"/>
      <c r="R2573" s="9"/>
      <c r="S2573" s="9"/>
      <c r="T2573" s="9"/>
      <c r="U2573" s="9"/>
      <c r="V2573" s="9"/>
      <c r="W2573" s="9"/>
      <c r="X2573" s="9"/>
      <c r="Y2573" s="9"/>
      <c r="Z2573" s="9"/>
      <c r="AA2573" s="9"/>
      <c r="AB2573" s="9"/>
      <c r="AC2573" s="9"/>
      <c r="AD2573" s="9"/>
      <c r="AE2573" s="9"/>
      <c r="AF2573" s="9"/>
      <c r="AG2573" s="9"/>
      <c r="AH2573" s="9"/>
      <c r="AI2573" s="9"/>
      <c r="AJ2573" s="9"/>
      <c r="AK2573" s="9"/>
      <c r="AL2573" s="9"/>
      <c r="AM2573" s="9"/>
      <c r="AN2573" s="9"/>
      <c r="AO2573" s="9"/>
      <c r="AP2573" s="9"/>
      <c r="AQ2573" s="9"/>
      <c r="AR2573" s="9"/>
      <c r="AS2573" s="9"/>
      <c r="AT2573" s="9"/>
      <c r="AU2573" s="9"/>
    </row>
    <row r="2574" spans="1:47" ht="15.75" customHeight="1">
      <c r="A2574" s="9"/>
      <c r="B2574" s="9"/>
      <c r="C2574" s="9"/>
      <c r="D2574" s="9"/>
      <c r="E2574" s="9"/>
      <c r="F2574" s="67"/>
      <c r="G2574" s="9"/>
      <c r="H2574" s="9"/>
      <c r="I2574" s="9"/>
      <c r="J2574" s="9"/>
      <c r="K2574" s="9"/>
      <c r="L2574" s="9"/>
      <c r="M2574" s="9"/>
      <c r="N2574" s="9"/>
      <c r="O2574" s="9"/>
      <c r="P2574" s="9"/>
      <c r="Q2574" s="9"/>
      <c r="R2574" s="9"/>
      <c r="S2574" s="9"/>
      <c r="T2574" s="9"/>
      <c r="U2574" s="9"/>
      <c r="V2574" s="9"/>
      <c r="W2574" s="9"/>
      <c r="X2574" s="9"/>
      <c r="Y2574" s="9"/>
      <c r="Z2574" s="9"/>
      <c r="AA2574" s="9"/>
      <c r="AB2574" s="9"/>
      <c r="AC2574" s="9"/>
      <c r="AD2574" s="9"/>
      <c r="AE2574" s="9"/>
      <c r="AF2574" s="9"/>
      <c r="AG2574" s="9"/>
      <c r="AH2574" s="9"/>
      <c r="AI2574" s="9"/>
      <c r="AJ2574" s="9"/>
      <c r="AK2574" s="9"/>
      <c r="AL2574" s="9"/>
      <c r="AM2574" s="9"/>
      <c r="AN2574" s="9"/>
      <c r="AO2574" s="9"/>
      <c r="AP2574" s="9"/>
      <c r="AQ2574" s="9"/>
      <c r="AR2574" s="9"/>
      <c r="AS2574" s="9"/>
      <c r="AT2574" s="9"/>
      <c r="AU2574" s="9"/>
    </row>
    <row r="2575" spans="1:47" ht="15.75" customHeight="1">
      <c r="A2575" s="9"/>
      <c r="B2575" s="9"/>
      <c r="C2575" s="9"/>
      <c r="D2575" s="9"/>
      <c r="E2575" s="9"/>
      <c r="F2575" s="67"/>
      <c r="G2575" s="9"/>
      <c r="H2575" s="9"/>
      <c r="I2575" s="9"/>
      <c r="J2575" s="9"/>
      <c r="K2575" s="9"/>
      <c r="L2575" s="9"/>
      <c r="M2575" s="9"/>
      <c r="N2575" s="9"/>
      <c r="O2575" s="9"/>
      <c r="P2575" s="9"/>
      <c r="Q2575" s="9"/>
      <c r="R2575" s="9"/>
      <c r="S2575" s="9"/>
      <c r="T2575" s="9"/>
      <c r="U2575" s="9"/>
      <c r="V2575" s="9"/>
      <c r="W2575" s="9"/>
      <c r="X2575" s="9"/>
      <c r="Y2575" s="9"/>
      <c r="Z2575" s="9"/>
      <c r="AA2575" s="9"/>
      <c r="AB2575" s="9"/>
      <c r="AC2575" s="9"/>
      <c r="AD2575" s="9"/>
      <c r="AE2575" s="9"/>
      <c r="AF2575" s="9"/>
      <c r="AG2575" s="9"/>
      <c r="AH2575" s="9"/>
      <c r="AI2575" s="9"/>
      <c r="AJ2575" s="9"/>
      <c r="AK2575" s="9"/>
      <c r="AL2575" s="9"/>
      <c r="AM2575" s="9"/>
      <c r="AN2575" s="9"/>
      <c r="AO2575" s="9"/>
      <c r="AP2575" s="9"/>
      <c r="AQ2575" s="9"/>
      <c r="AR2575" s="9"/>
      <c r="AS2575" s="9"/>
      <c r="AT2575" s="9"/>
      <c r="AU2575" s="9"/>
    </row>
    <row r="2576" spans="1:47" ht="15.75" customHeight="1">
      <c r="A2576" s="9"/>
      <c r="B2576" s="9"/>
      <c r="C2576" s="9"/>
      <c r="D2576" s="9"/>
      <c r="E2576" s="9"/>
      <c r="F2576" s="67"/>
      <c r="G2576" s="9"/>
      <c r="H2576" s="9"/>
      <c r="I2576" s="9"/>
      <c r="J2576" s="9"/>
      <c r="K2576" s="9"/>
      <c r="L2576" s="9"/>
      <c r="M2576" s="9"/>
      <c r="N2576" s="9"/>
      <c r="O2576" s="9"/>
      <c r="P2576" s="9"/>
      <c r="Q2576" s="9"/>
      <c r="R2576" s="9"/>
      <c r="S2576" s="9"/>
      <c r="T2576" s="9"/>
      <c r="U2576" s="9"/>
      <c r="V2576" s="9"/>
      <c r="W2576" s="9"/>
      <c r="X2576" s="9"/>
      <c r="Y2576" s="9"/>
      <c r="Z2576" s="9"/>
      <c r="AA2576" s="9"/>
      <c r="AB2576" s="9"/>
      <c r="AC2576" s="9"/>
      <c r="AD2576" s="9"/>
      <c r="AE2576" s="9"/>
      <c r="AF2576" s="9"/>
      <c r="AG2576" s="9"/>
      <c r="AH2576" s="9"/>
      <c r="AI2576" s="9"/>
      <c r="AJ2576" s="9"/>
      <c r="AK2576" s="9"/>
      <c r="AL2576" s="9"/>
      <c r="AM2576" s="9"/>
      <c r="AN2576" s="9"/>
      <c r="AO2576" s="9"/>
      <c r="AP2576" s="9"/>
      <c r="AQ2576" s="9"/>
      <c r="AR2576" s="9"/>
      <c r="AS2576" s="9"/>
      <c r="AT2576" s="9"/>
      <c r="AU2576" s="9"/>
    </row>
    <row r="2577" spans="1:47" ht="15.75" customHeight="1">
      <c r="A2577" s="9"/>
      <c r="B2577" s="9"/>
      <c r="C2577" s="9"/>
      <c r="D2577" s="9"/>
      <c r="E2577" s="9"/>
      <c r="F2577" s="67"/>
      <c r="G2577" s="9"/>
      <c r="H2577" s="9"/>
      <c r="I2577" s="9"/>
      <c r="J2577" s="9"/>
      <c r="K2577" s="9"/>
      <c r="L2577" s="9"/>
      <c r="M2577" s="9"/>
      <c r="N2577" s="9"/>
      <c r="O2577" s="9"/>
      <c r="P2577" s="9"/>
      <c r="Q2577" s="9"/>
      <c r="R2577" s="9"/>
      <c r="S2577" s="9"/>
      <c r="T2577" s="9"/>
      <c r="U2577" s="9"/>
      <c r="V2577" s="9"/>
      <c r="W2577" s="9"/>
      <c r="X2577" s="9"/>
      <c r="Y2577" s="9"/>
      <c r="Z2577" s="9"/>
      <c r="AA2577" s="9"/>
      <c r="AB2577" s="9"/>
      <c r="AC2577" s="9"/>
      <c r="AD2577" s="9"/>
      <c r="AE2577" s="9"/>
      <c r="AF2577" s="9"/>
      <c r="AG2577" s="9"/>
      <c r="AH2577" s="9"/>
      <c r="AI2577" s="9"/>
      <c r="AJ2577" s="9"/>
      <c r="AK2577" s="9"/>
      <c r="AL2577" s="9"/>
      <c r="AM2577" s="9"/>
      <c r="AN2577" s="9"/>
      <c r="AO2577" s="9"/>
      <c r="AP2577" s="9"/>
      <c r="AQ2577" s="9"/>
      <c r="AR2577" s="9"/>
      <c r="AS2577" s="9"/>
      <c r="AT2577" s="9"/>
      <c r="AU2577" s="9"/>
    </row>
    <row r="2578" spans="1:47" ht="15.75" customHeight="1">
      <c r="A2578" s="9"/>
      <c r="B2578" s="9"/>
      <c r="C2578" s="9"/>
      <c r="D2578" s="9"/>
      <c r="E2578" s="9"/>
      <c r="F2578" s="67"/>
      <c r="G2578" s="9"/>
      <c r="H2578" s="9"/>
      <c r="I2578" s="9"/>
      <c r="J2578" s="9"/>
      <c r="K2578" s="9"/>
      <c r="L2578" s="9"/>
      <c r="M2578" s="9"/>
      <c r="N2578" s="9"/>
      <c r="O2578" s="9"/>
      <c r="P2578" s="9"/>
      <c r="Q2578" s="9"/>
      <c r="R2578" s="9"/>
      <c r="S2578" s="9"/>
      <c r="T2578" s="9"/>
      <c r="U2578" s="9"/>
      <c r="V2578" s="9"/>
      <c r="W2578" s="9"/>
      <c r="X2578" s="9"/>
      <c r="Y2578" s="9"/>
      <c r="Z2578" s="9"/>
      <c r="AA2578" s="9"/>
      <c r="AB2578" s="9"/>
      <c r="AC2578" s="9"/>
      <c r="AD2578" s="9"/>
      <c r="AE2578" s="9"/>
      <c r="AF2578" s="9"/>
      <c r="AG2578" s="9"/>
      <c r="AH2578" s="9"/>
      <c r="AI2578" s="9"/>
      <c r="AJ2578" s="9"/>
      <c r="AK2578" s="9"/>
      <c r="AL2578" s="9"/>
      <c r="AM2578" s="9"/>
      <c r="AN2578" s="9"/>
      <c r="AO2578" s="9"/>
      <c r="AP2578" s="9"/>
      <c r="AQ2578" s="9"/>
      <c r="AR2578" s="9"/>
      <c r="AS2578" s="9"/>
      <c r="AT2578" s="9"/>
      <c r="AU2578" s="9"/>
    </row>
    <row r="2579" spans="1:47" ht="15.75" customHeight="1">
      <c r="A2579" s="9"/>
      <c r="B2579" s="9"/>
      <c r="C2579" s="9"/>
      <c r="D2579" s="9"/>
      <c r="E2579" s="9"/>
      <c r="F2579" s="67"/>
      <c r="G2579" s="9"/>
      <c r="H2579" s="9"/>
      <c r="I2579" s="9"/>
      <c r="J2579" s="9"/>
      <c r="K2579" s="9"/>
      <c r="L2579" s="9"/>
      <c r="M2579" s="9"/>
      <c r="N2579" s="9"/>
      <c r="O2579" s="9"/>
      <c r="P2579" s="9"/>
      <c r="Q2579" s="9"/>
      <c r="R2579" s="9"/>
      <c r="S2579" s="9"/>
      <c r="T2579" s="9"/>
      <c r="U2579" s="9"/>
      <c r="V2579" s="9"/>
      <c r="W2579" s="9"/>
      <c r="X2579" s="9"/>
      <c r="Y2579" s="9"/>
      <c r="Z2579" s="9"/>
      <c r="AA2579" s="9"/>
      <c r="AB2579" s="9"/>
      <c r="AC2579" s="9"/>
      <c r="AD2579" s="9"/>
      <c r="AE2579" s="9"/>
      <c r="AF2579" s="9"/>
      <c r="AG2579" s="9"/>
      <c r="AH2579" s="9"/>
      <c r="AI2579" s="9"/>
      <c r="AJ2579" s="9"/>
      <c r="AK2579" s="9"/>
      <c r="AL2579" s="9"/>
      <c r="AM2579" s="9"/>
      <c r="AN2579" s="9"/>
      <c r="AO2579" s="9"/>
      <c r="AP2579" s="9"/>
      <c r="AQ2579" s="9"/>
      <c r="AR2579" s="9"/>
      <c r="AS2579" s="9"/>
      <c r="AT2579" s="9"/>
      <c r="AU2579" s="9"/>
    </row>
    <row r="2580" spans="1:47" ht="15.75" customHeight="1">
      <c r="A2580" s="9"/>
      <c r="B2580" s="9"/>
      <c r="C2580" s="9"/>
      <c r="D2580" s="9"/>
      <c r="E2580" s="9"/>
      <c r="F2580" s="67"/>
      <c r="G2580" s="9"/>
      <c r="H2580" s="9"/>
      <c r="I2580" s="9"/>
      <c r="J2580" s="9"/>
      <c r="K2580" s="9"/>
      <c r="L2580" s="9"/>
      <c r="M2580" s="9"/>
      <c r="N2580" s="9"/>
      <c r="O2580" s="9"/>
      <c r="P2580" s="9"/>
      <c r="Q2580" s="9"/>
      <c r="R2580" s="9"/>
      <c r="S2580" s="9"/>
      <c r="T2580" s="9"/>
      <c r="U2580" s="9"/>
      <c r="V2580" s="9"/>
      <c r="W2580" s="9"/>
      <c r="X2580" s="9"/>
      <c r="Y2580" s="9"/>
      <c r="Z2580" s="9"/>
      <c r="AA2580" s="9"/>
      <c r="AB2580" s="9"/>
      <c r="AC2580" s="9"/>
      <c r="AD2580" s="9"/>
      <c r="AE2580" s="9"/>
      <c r="AF2580" s="9"/>
      <c r="AG2580" s="9"/>
      <c r="AH2580" s="9"/>
      <c r="AI2580" s="9"/>
      <c r="AJ2580" s="9"/>
      <c r="AK2580" s="9"/>
      <c r="AL2580" s="9"/>
      <c r="AM2580" s="9"/>
      <c r="AN2580" s="9"/>
      <c r="AO2580" s="9"/>
      <c r="AP2580" s="9"/>
      <c r="AQ2580" s="9"/>
      <c r="AR2580" s="9"/>
      <c r="AS2580" s="9"/>
      <c r="AT2580" s="9"/>
      <c r="AU2580" s="9"/>
    </row>
    <row r="2581" spans="1:47" ht="15.75" customHeight="1">
      <c r="A2581" s="9"/>
      <c r="B2581" s="9"/>
      <c r="C2581" s="9"/>
      <c r="D2581" s="9"/>
      <c r="E2581" s="9"/>
      <c r="F2581" s="67"/>
      <c r="G2581" s="9"/>
      <c r="H2581" s="9"/>
      <c r="I2581" s="9"/>
      <c r="J2581" s="9"/>
      <c r="K2581" s="9"/>
      <c r="L2581" s="9"/>
      <c r="M2581" s="9"/>
      <c r="N2581" s="9"/>
      <c r="O2581" s="9"/>
      <c r="P2581" s="9"/>
      <c r="Q2581" s="9"/>
      <c r="R2581" s="9"/>
      <c r="S2581" s="9"/>
      <c r="T2581" s="9"/>
      <c r="U2581" s="9"/>
      <c r="V2581" s="9"/>
      <c r="W2581" s="9"/>
      <c r="X2581" s="9"/>
      <c r="Y2581" s="9"/>
      <c r="Z2581" s="9"/>
      <c r="AA2581" s="9"/>
      <c r="AB2581" s="9"/>
      <c r="AC2581" s="9"/>
      <c r="AD2581" s="9"/>
      <c r="AE2581" s="9"/>
      <c r="AF2581" s="9"/>
      <c r="AG2581" s="9"/>
      <c r="AH2581" s="9"/>
      <c r="AI2581" s="9"/>
      <c r="AJ2581" s="9"/>
      <c r="AK2581" s="9"/>
      <c r="AL2581" s="9"/>
      <c r="AM2581" s="9"/>
      <c r="AN2581" s="9"/>
      <c r="AO2581" s="9"/>
      <c r="AP2581" s="9"/>
      <c r="AQ2581" s="9"/>
      <c r="AR2581" s="9"/>
      <c r="AS2581" s="9"/>
      <c r="AT2581" s="9"/>
      <c r="AU2581" s="9"/>
    </row>
    <row r="2582" spans="1:47" ht="15.75" customHeight="1">
      <c r="A2582" s="9"/>
      <c r="B2582" s="9"/>
      <c r="C2582" s="9"/>
      <c r="D2582" s="9"/>
      <c r="E2582" s="9"/>
      <c r="F2582" s="67"/>
      <c r="G2582" s="9"/>
      <c r="H2582" s="9"/>
      <c r="I2582" s="9"/>
      <c r="J2582" s="9"/>
      <c r="K2582" s="9"/>
      <c r="L2582" s="9"/>
      <c r="M2582" s="9"/>
      <c r="N2582" s="9"/>
      <c r="O2582" s="9"/>
      <c r="P2582" s="9"/>
      <c r="Q2582" s="9"/>
      <c r="R2582" s="9"/>
      <c r="S2582" s="9"/>
      <c r="T2582" s="9"/>
      <c r="U2582" s="9"/>
      <c r="V2582" s="9"/>
      <c r="W2582" s="9"/>
      <c r="X2582" s="9"/>
      <c r="Y2582" s="9"/>
      <c r="Z2582" s="9"/>
      <c r="AA2582" s="9"/>
      <c r="AB2582" s="9"/>
      <c r="AC2582" s="9"/>
      <c r="AD2582" s="9"/>
      <c r="AE2582" s="9"/>
      <c r="AF2582" s="9"/>
      <c r="AG2582" s="9"/>
      <c r="AH2582" s="9"/>
      <c r="AI2582" s="9"/>
      <c r="AJ2582" s="9"/>
      <c r="AK2582" s="9"/>
      <c r="AL2582" s="9"/>
      <c r="AM2582" s="9"/>
      <c r="AN2582" s="9"/>
      <c r="AO2582" s="9"/>
      <c r="AP2582" s="9"/>
      <c r="AQ2582" s="9"/>
      <c r="AR2582" s="9"/>
      <c r="AS2582" s="9"/>
      <c r="AT2582" s="9"/>
      <c r="AU2582" s="9"/>
    </row>
    <row r="2583" spans="1:47" ht="15.75" customHeight="1">
      <c r="A2583" s="9"/>
      <c r="B2583" s="9"/>
      <c r="C2583" s="9"/>
      <c r="D2583" s="9"/>
      <c r="E2583" s="9"/>
      <c r="F2583" s="67"/>
      <c r="G2583" s="9"/>
      <c r="H2583" s="9"/>
      <c r="I2583" s="9"/>
      <c r="J2583" s="9"/>
      <c r="K2583" s="9"/>
      <c r="L2583" s="9"/>
      <c r="M2583" s="9"/>
      <c r="N2583" s="9"/>
      <c r="O2583" s="9"/>
      <c r="P2583" s="9"/>
      <c r="Q2583" s="9"/>
      <c r="R2583" s="9"/>
      <c r="S2583" s="9"/>
      <c r="T2583" s="9"/>
      <c r="U2583" s="9"/>
      <c r="V2583" s="9"/>
      <c r="W2583" s="9"/>
      <c r="X2583" s="9"/>
      <c r="Y2583" s="9"/>
      <c r="Z2583" s="9"/>
      <c r="AA2583" s="9"/>
      <c r="AB2583" s="9"/>
      <c r="AC2583" s="9"/>
      <c r="AD2583" s="9"/>
      <c r="AE2583" s="9"/>
      <c r="AF2583" s="9"/>
      <c r="AG2583" s="9"/>
      <c r="AH2583" s="9"/>
      <c r="AI2583" s="9"/>
      <c r="AJ2583" s="9"/>
      <c r="AK2583" s="9"/>
      <c r="AL2583" s="9"/>
      <c r="AM2583" s="9"/>
      <c r="AN2583" s="9"/>
      <c r="AO2583" s="9"/>
      <c r="AP2583" s="9"/>
      <c r="AQ2583" s="9"/>
      <c r="AR2583" s="9"/>
      <c r="AS2583" s="9"/>
      <c r="AT2583" s="9"/>
      <c r="AU2583" s="9"/>
    </row>
    <row r="2584" spans="1:47" ht="15.75" customHeight="1">
      <c r="A2584" s="9"/>
      <c r="B2584" s="9"/>
      <c r="C2584" s="9"/>
      <c r="D2584" s="9"/>
      <c r="E2584" s="9"/>
      <c r="F2584" s="67"/>
      <c r="G2584" s="9"/>
      <c r="H2584" s="9"/>
      <c r="I2584" s="9"/>
      <c r="J2584" s="9"/>
      <c r="K2584" s="9"/>
      <c r="L2584" s="9"/>
      <c r="M2584" s="9"/>
      <c r="N2584" s="9"/>
      <c r="O2584" s="9"/>
      <c r="P2584" s="9"/>
      <c r="Q2584" s="9"/>
      <c r="R2584" s="9"/>
      <c r="S2584" s="9"/>
      <c r="T2584" s="9"/>
      <c r="U2584" s="9"/>
      <c r="V2584" s="9"/>
      <c r="W2584" s="9"/>
      <c r="X2584" s="9"/>
      <c r="Y2584" s="9"/>
      <c r="Z2584" s="9"/>
      <c r="AA2584" s="9"/>
      <c r="AB2584" s="9"/>
      <c r="AC2584" s="9"/>
      <c r="AD2584" s="9"/>
      <c r="AE2584" s="9"/>
      <c r="AF2584" s="9"/>
      <c r="AG2584" s="9"/>
      <c r="AH2584" s="9"/>
      <c r="AI2584" s="9"/>
      <c r="AJ2584" s="9"/>
      <c r="AK2584" s="9"/>
      <c r="AL2584" s="9"/>
      <c r="AM2584" s="9"/>
      <c r="AN2584" s="9"/>
      <c r="AO2584" s="9"/>
      <c r="AP2584" s="9"/>
      <c r="AQ2584" s="9"/>
      <c r="AR2584" s="9"/>
      <c r="AS2584" s="9"/>
      <c r="AT2584" s="9"/>
      <c r="AU2584" s="9"/>
    </row>
    <row r="2585" spans="1:47" ht="15.75" customHeight="1">
      <c r="A2585" s="9"/>
      <c r="B2585" s="9"/>
      <c r="C2585" s="9"/>
      <c r="D2585" s="9"/>
      <c r="E2585" s="9"/>
      <c r="F2585" s="67"/>
      <c r="G2585" s="9"/>
      <c r="H2585" s="9"/>
      <c r="I2585" s="9"/>
      <c r="J2585" s="9"/>
      <c r="K2585" s="9"/>
      <c r="L2585" s="9"/>
      <c r="M2585" s="9"/>
      <c r="N2585" s="9"/>
      <c r="O2585" s="9"/>
      <c r="P2585" s="9"/>
      <c r="Q2585" s="9"/>
      <c r="R2585" s="9"/>
      <c r="S2585" s="9"/>
      <c r="T2585" s="9"/>
      <c r="U2585" s="9"/>
      <c r="V2585" s="9"/>
      <c r="W2585" s="9"/>
      <c r="X2585" s="9"/>
      <c r="Y2585" s="9"/>
      <c r="Z2585" s="9"/>
      <c r="AA2585" s="9"/>
      <c r="AB2585" s="9"/>
      <c r="AC2585" s="9"/>
      <c r="AD2585" s="9"/>
      <c r="AE2585" s="9"/>
      <c r="AF2585" s="9"/>
      <c r="AG2585" s="9"/>
      <c r="AH2585" s="9"/>
      <c r="AI2585" s="9"/>
      <c r="AJ2585" s="9"/>
      <c r="AK2585" s="9"/>
      <c r="AL2585" s="9"/>
      <c r="AM2585" s="9"/>
      <c r="AN2585" s="9"/>
      <c r="AO2585" s="9"/>
      <c r="AP2585" s="9"/>
      <c r="AQ2585" s="9"/>
      <c r="AR2585" s="9"/>
      <c r="AS2585" s="9"/>
      <c r="AT2585" s="9"/>
      <c r="AU2585" s="9"/>
    </row>
    <row r="2586" spans="1:47" ht="15.75" customHeight="1">
      <c r="A2586" s="9"/>
      <c r="B2586" s="9"/>
      <c r="C2586" s="9"/>
      <c r="D2586" s="9"/>
      <c r="E2586" s="9"/>
      <c r="F2586" s="67"/>
      <c r="G2586" s="9"/>
      <c r="H2586" s="9"/>
      <c r="I2586" s="9"/>
      <c r="J2586" s="9"/>
      <c r="K2586" s="9"/>
      <c r="L2586" s="9"/>
      <c r="M2586" s="9"/>
      <c r="N2586" s="9"/>
      <c r="O2586" s="9"/>
      <c r="P2586" s="9"/>
      <c r="Q2586" s="9"/>
      <c r="R2586" s="9"/>
      <c r="S2586" s="9"/>
      <c r="T2586" s="9"/>
      <c r="U2586" s="9"/>
      <c r="V2586" s="9"/>
      <c r="W2586" s="9"/>
      <c r="X2586" s="9"/>
      <c r="Y2586" s="9"/>
      <c r="Z2586" s="9"/>
      <c r="AA2586" s="9"/>
      <c r="AB2586" s="9"/>
      <c r="AC2586" s="9"/>
      <c r="AD2586" s="9"/>
      <c r="AE2586" s="9"/>
      <c r="AF2586" s="9"/>
      <c r="AG2586" s="9"/>
      <c r="AH2586" s="9"/>
      <c r="AI2586" s="9"/>
      <c r="AJ2586" s="9"/>
      <c r="AK2586" s="9"/>
      <c r="AL2586" s="9"/>
      <c r="AM2586" s="9"/>
      <c r="AN2586" s="9"/>
      <c r="AO2586" s="9"/>
      <c r="AP2586" s="9"/>
      <c r="AQ2586" s="9"/>
      <c r="AR2586" s="9"/>
      <c r="AS2586" s="9"/>
      <c r="AT2586" s="9"/>
      <c r="AU2586" s="9"/>
    </row>
    <row r="2587" spans="1:47" ht="15.75" customHeight="1">
      <c r="A2587" s="9"/>
      <c r="B2587" s="9"/>
      <c r="C2587" s="9"/>
      <c r="D2587" s="9"/>
      <c r="E2587" s="9"/>
      <c r="F2587" s="67"/>
      <c r="G2587" s="9"/>
      <c r="H2587" s="9"/>
      <c r="I2587" s="9"/>
      <c r="J2587" s="9"/>
      <c r="K2587" s="9"/>
      <c r="L2587" s="9"/>
      <c r="M2587" s="9"/>
      <c r="N2587" s="9"/>
      <c r="O2587" s="9"/>
      <c r="P2587" s="9"/>
      <c r="Q2587" s="9"/>
      <c r="R2587" s="9"/>
      <c r="S2587" s="9"/>
      <c r="T2587" s="9"/>
      <c r="U2587" s="9"/>
      <c r="V2587" s="9"/>
      <c r="W2587" s="9"/>
      <c r="X2587" s="9"/>
      <c r="Y2587" s="9"/>
      <c r="Z2587" s="9"/>
      <c r="AA2587" s="9"/>
      <c r="AB2587" s="9"/>
      <c r="AC2587" s="9"/>
      <c r="AD2587" s="9"/>
      <c r="AE2587" s="9"/>
      <c r="AF2587" s="9"/>
      <c r="AG2587" s="9"/>
      <c r="AH2587" s="9"/>
      <c r="AI2587" s="9"/>
      <c r="AJ2587" s="9"/>
      <c r="AK2587" s="9"/>
      <c r="AL2587" s="9"/>
      <c r="AM2587" s="9"/>
      <c r="AN2587" s="9"/>
      <c r="AO2587" s="9"/>
      <c r="AP2587" s="9"/>
      <c r="AQ2587" s="9"/>
      <c r="AR2587" s="9"/>
      <c r="AS2587" s="9"/>
      <c r="AT2587" s="9"/>
      <c r="AU2587" s="9"/>
    </row>
    <row r="2588" spans="1:47" ht="15.75" customHeight="1">
      <c r="A2588" s="9"/>
      <c r="B2588" s="9"/>
      <c r="C2588" s="9"/>
      <c r="D2588" s="9"/>
      <c r="E2588" s="9"/>
      <c r="F2588" s="67"/>
      <c r="G2588" s="9"/>
      <c r="H2588" s="9"/>
      <c r="I2588" s="9"/>
      <c r="J2588" s="9"/>
      <c r="K2588" s="9"/>
      <c r="L2588" s="9"/>
      <c r="M2588" s="9"/>
      <c r="N2588" s="9"/>
      <c r="O2588" s="9"/>
      <c r="P2588" s="9"/>
      <c r="Q2588" s="9"/>
      <c r="R2588" s="9"/>
      <c r="S2588" s="9"/>
      <c r="T2588" s="9"/>
      <c r="U2588" s="9"/>
      <c r="V2588" s="9"/>
      <c r="W2588" s="9"/>
      <c r="X2588" s="9"/>
      <c r="Y2588" s="9"/>
      <c r="Z2588" s="9"/>
      <c r="AA2588" s="9"/>
      <c r="AB2588" s="9"/>
      <c r="AC2588" s="9"/>
      <c r="AD2588" s="9"/>
      <c r="AE2588" s="9"/>
      <c r="AF2588" s="9"/>
      <c r="AG2588" s="9"/>
      <c r="AH2588" s="9"/>
      <c r="AI2588" s="9"/>
      <c r="AJ2588" s="9"/>
      <c r="AK2588" s="9"/>
      <c r="AL2588" s="9"/>
      <c r="AM2588" s="9"/>
      <c r="AN2588" s="9"/>
      <c r="AO2588" s="9"/>
      <c r="AP2588" s="9"/>
      <c r="AQ2588" s="9"/>
      <c r="AR2588" s="9"/>
      <c r="AS2588" s="9"/>
      <c r="AT2588" s="9"/>
      <c r="AU2588" s="9"/>
    </row>
    <row r="2589" spans="1:47" ht="15.75" customHeight="1">
      <c r="A2589" s="9"/>
      <c r="B2589" s="9"/>
      <c r="C2589" s="9"/>
      <c r="D2589" s="9"/>
      <c r="E2589" s="9"/>
      <c r="F2589" s="67"/>
      <c r="G2589" s="9"/>
      <c r="H2589" s="9"/>
      <c r="I2589" s="9"/>
      <c r="J2589" s="9"/>
      <c r="K2589" s="9"/>
      <c r="L2589" s="9"/>
      <c r="M2589" s="9"/>
      <c r="N2589" s="9"/>
      <c r="O2589" s="9"/>
      <c r="P2589" s="9"/>
      <c r="Q2589" s="9"/>
      <c r="R2589" s="9"/>
      <c r="S2589" s="9"/>
      <c r="T2589" s="9"/>
      <c r="U2589" s="9"/>
      <c r="V2589" s="9"/>
      <c r="W2589" s="9"/>
      <c r="X2589" s="9"/>
      <c r="Y2589" s="9"/>
      <c r="Z2589" s="9"/>
      <c r="AA2589" s="9"/>
      <c r="AB2589" s="9"/>
      <c r="AC2589" s="9"/>
      <c r="AD2589" s="9"/>
      <c r="AE2589" s="9"/>
      <c r="AF2589" s="9"/>
      <c r="AG2589" s="9"/>
      <c r="AH2589" s="9"/>
      <c r="AI2589" s="9"/>
      <c r="AJ2589" s="9"/>
      <c r="AK2589" s="9"/>
      <c r="AL2589" s="9"/>
      <c r="AM2589" s="9"/>
      <c r="AN2589" s="9"/>
      <c r="AO2589" s="9"/>
      <c r="AP2589" s="9"/>
      <c r="AQ2589" s="9"/>
      <c r="AR2589" s="9"/>
      <c r="AS2589" s="9"/>
      <c r="AT2589" s="9"/>
      <c r="AU2589" s="9"/>
    </row>
    <row r="2590" spans="1:47" ht="15.75" customHeight="1">
      <c r="A2590" s="9"/>
      <c r="B2590" s="9"/>
      <c r="C2590" s="9"/>
      <c r="D2590" s="9"/>
      <c r="E2590" s="9"/>
      <c r="F2590" s="67"/>
      <c r="G2590" s="9"/>
      <c r="H2590" s="9"/>
      <c r="I2590" s="9"/>
      <c r="J2590" s="9"/>
      <c r="K2590" s="9"/>
      <c r="L2590" s="9"/>
      <c r="M2590" s="9"/>
      <c r="N2590" s="9"/>
      <c r="O2590" s="9"/>
      <c r="P2590" s="9"/>
      <c r="Q2590" s="9"/>
      <c r="R2590" s="9"/>
      <c r="S2590" s="9"/>
      <c r="T2590" s="9"/>
      <c r="U2590" s="9"/>
      <c r="V2590" s="9"/>
      <c r="W2590" s="9"/>
      <c r="X2590" s="9"/>
      <c r="Y2590" s="9"/>
      <c r="Z2590" s="9"/>
      <c r="AA2590" s="9"/>
      <c r="AB2590" s="9"/>
      <c r="AC2590" s="9"/>
      <c r="AD2590" s="9"/>
      <c r="AE2590" s="9"/>
      <c r="AF2590" s="9"/>
      <c r="AG2590" s="9"/>
      <c r="AH2590" s="9"/>
      <c r="AI2590" s="9"/>
      <c r="AJ2590" s="9"/>
      <c r="AK2590" s="9"/>
      <c r="AL2590" s="9"/>
      <c r="AM2590" s="9"/>
      <c r="AN2590" s="9"/>
      <c r="AO2590" s="9"/>
      <c r="AP2590" s="9"/>
      <c r="AQ2590" s="9"/>
      <c r="AR2590" s="9"/>
      <c r="AS2590" s="9"/>
      <c r="AT2590" s="9"/>
      <c r="AU2590" s="9"/>
    </row>
    <row r="2591" spans="1:47" ht="15.75" customHeight="1">
      <c r="A2591" s="9"/>
      <c r="B2591" s="9"/>
      <c r="C2591" s="9"/>
      <c r="D2591" s="9"/>
      <c r="E2591" s="9"/>
      <c r="F2591" s="67"/>
      <c r="G2591" s="9"/>
      <c r="H2591" s="9"/>
      <c r="I2591" s="9"/>
      <c r="J2591" s="9"/>
      <c r="K2591" s="9"/>
      <c r="L2591" s="9"/>
      <c r="M2591" s="9"/>
      <c r="N2591" s="9"/>
      <c r="O2591" s="9"/>
      <c r="P2591" s="9"/>
      <c r="Q2591" s="9"/>
      <c r="R2591" s="9"/>
      <c r="S2591" s="9"/>
      <c r="T2591" s="9"/>
      <c r="U2591" s="9"/>
      <c r="V2591" s="9"/>
      <c r="W2591" s="9"/>
      <c r="X2591" s="9"/>
      <c r="Y2591" s="9"/>
      <c r="Z2591" s="9"/>
      <c r="AA2591" s="9"/>
      <c r="AB2591" s="9"/>
      <c r="AC2591" s="9"/>
      <c r="AD2591" s="9"/>
      <c r="AE2591" s="9"/>
      <c r="AF2591" s="9"/>
      <c r="AG2591" s="9"/>
      <c r="AH2591" s="9"/>
      <c r="AI2591" s="9"/>
      <c r="AJ2591" s="9"/>
      <c r="AK2591" s="9"/>
      <c r="AL2591" s="9"/>
      <c r="AM2591" s="9"/>
      <c r="AN2591" s="9"/>
      <c r="AO2591" s="9"/>
      <c r="AP2591" s="9"/>
      <c r="AQ2591" s="9"/>
      <c r="AR2591" s="9"/>
      <c r="AS2591" s="9"/>
      <c r="AT2591" s="9"/>
      <c r="AU2591" s="9"/>
    </row>
    <row r="2592" spans="1:47" ht="15.75" customHeight="1">
      <c r="A2592" s="9"/>
      <c r="B2592" s="9"/>
      <c r="C2592" s="9"/>
      <c r="D2592" s="9"/>
      <c r="E2592" s="9"/>
      <c r="F2592" s="67"/>
      <c r="G2592" s="9"/>
      <c r="H2592" s="9"/>
      <c r="I2592" s="9"/>
      <c r="J2592" s="9"/>
      <c r="K2592" s="9"/>
      <c r="L2592" s="9"/>
      <c r="M2592" s="9"/>
      <c r="N2592" s="9"/>
      <c r="O2592" s="9"/>
      <c r="P2592" s="9"/>
      <c r="Q2592" s="9"/>
      <c r="R2592" s="9"/>
      <c r="S2592" s="9"/>
      <c r="T2592" s="9"/>
      <c r="U2592" s="9"/>
      <c r="V2592" s="9"/>
      <c r="W2592" s="9"/>
      <c r="X2592" s="9"/>
      <c r="Y2592" s="9"/>
      <c r="Z2592" s="9"/>
      <c r="AA2592" s="9"/>
      <c r="AB2592" s="9"/>
      <c r="AC2592" s="9"/>
      <c r="AD2592" s="9"/>
      <c r="AE2592" s="9"/>
      <c r="AF2592" s="9"/>
      <c r="AG2592" s="9"/>
      <c r="AH2592" s="9"/>
      <c r="AI2592" s="9"/>
      <c r="AJ2592" s="9"/>
      <c r="AK2592" s="9"/>
      <c r="AL2592" s="9"/>
      <c r="AM2592" s="9"/>
      <c r="AN2592" s="9"/>
      <c r="AO2592" s="9"/>
      <c r="AP2592" s="9"/>
      <c r="AQ2592" s="9"/>
      <c r="AR2592" s="9"/>
      <c r="AS2592" s="9"/>
      <c r="AT2592" s="9"/>
      <c r="AU2592" s="9"/>
    </row>
    <row r="2593" spans="1:47" ht="15.75" customHeight="1">
      <c r="A2593" s="9"/>
      <c r="B2593" s="9"/>
      <c r="C2593" s="9"/>
      <c r="D2593" s="9"/>
      <c r="E2593" s="9"/>
      <c r="F2593" s="67"/>
      <c r="G2593" s="9"/>
      <c r="H2593" s="9"/>
      <c r="I2593" s="9"/>
      <c r="J2593" s="9"/>
      <c r="K2593" s="9"/>
      <c r="L2593" s="9"/>
      <c r="M2593" s="9"/>
      <c r="N2593" s="9"/>
      <c r="O2593" s="9"/>
      <c r="P2593" s="9"/>
      <c r="Q2593" s="9"/>
      <c r="R2593" s="9"/>
      <c r="S2593" s="9"/>
      <c r="T2593" s="9"/>
      <c r="U2593" s="9"/>
      <c r="V2593" s="9"/>
      <c r="W2593" s="9"/>
      <c r="X2593" s="9"/>
      <c r="Y2593" s="9"/>
      <c r="Z2593" s="9"/>
      <c r="AA2593" s="9"/>
      <c r="AB2593" s="9"/>
      <c r="AC2593" s="9"/>
      <c r="AD2593" s="9"/>
      <c r="AE2593" s="9"/>
      <c r="AF2593" s="9"/>
      <c r="AG2593" s="9"/>
      <c r="AH2593" s="9"/>
      <c r="AI2593" s="9"/>
      <c r="AJ2593" s="9"/>
      <c r="AK2593" s="9"/>
      <c r="AL2593" s="9"/>
      <c r="AM2593" s="9"/>
      <c r="AN2593" s="9"/>
      <c r="AO2593" s="9"/>
      <c r="AP2593" s="9"/>
      <c r="AQ2593" s="9"/>
      <c r="AR2593" s="9"/>
      <c r="AS2593" s="9"/>
      <c r="AT2593" s="9"/>
      <c r="AU2593" s="9"/>
    </row>
    <row r="2594" spans="1:47" ht="15.75" customHeight="1">
      <c r="A2594" s="9"/>
      <c r="B2594" s="9"/>
      <c r="C2594" s="9"/>
      <c r="D2594" s="9"/>
      <c r="E2594" s="9"/>
      <c r="F2594" s="67"/>
      <c r="G2594" s="9"/>
      <c r="H2594" s="9"/>
      <c r="I2594" s="9"/>
      <c r="J2594" s="9"/>
      <c r="K2594" s="9"/>
      <c r="L2594" s="9"/>
      <c r="M2594" s="9"/>
      <c r="N2594" s="9"/>
      <c r="O2594" s="9"/>
      <c r="P2594" s="9"/>
      <c r="Q2594" s="9"/>
      <c r="R2594" s="9"/>
      <c r="S2594" s="9"/>
      <c r="T2594" s="9"/>
      <c r="U2594" s="9"/>
      <c r="V2594" s="9"/>
      <c r="W2594" s="9"/>
      <c r="X2594" s="9"/>
      <c r="Y2594" s="9"/>
      <c r="Z2594" s="9"/>
      <c r="AA2594" s="9"/>
      <c r="AB2594" s="9"/>
      <c r="AC2594" s="9"/>
      <c r="AD2594" s="9"/>
      <c r="AE2594" s="9"/>
      <c r="AF2594" s="9"/>
      <c r="AG2594" s="9"/>
      <c r="AH2594" s="9"/>
      <c r="AI2594" s="9"/>
      <c r="AJ2594" s="9"/>
      <c r="AK2594" s="9"/>
      <c r="AL2594" s="9"/>
      <c r="AM2594" s="9"/>
      <c r="AN2594" s="9"/>
      <c r="AO2594" s="9"/>
      <c r="AP2594" s="9"/>
      <c r="AQ2594" s="9"/>
      <c r="AR2594" s="9"/>
      <c r="AS2594" s="9"/>
      <c r="AT2594" s="9"/>
      <c r="AU2594" s="9"/>
    </row>
    <row r="2595" spans="1:47" ht="15.75" customHeight="1">
      <c r="A2595" s="9"/>
      <c r="B2595" s="9"/>
      <c r="C2595" s="9"/>
      <c r="D2595" s="9"/>
      <c r="E2595" s="9"/>
      <c r="F2595" s="67"/>
      <c r="G2595" s="9"/>
      <c r="H2595" s="9"/>
      <c r="I2595" s="9"/>
      <c r="J2595" s="9"/>
      <c r="K2595" s="9"/>
      <c r="L2595" s="9"/>
      <c r="M2595" s="9"/>
      <c r="N2595" s="9"/>
      <c r="O2595" s="9"/>
      <c r="P2595" s="9"/>
      <c r="Q2595" s="9"/>
      <c r="R2595" s="9"/>
      <c r="S2595" s="9"/>
      <c r="T2595" s="9"/>
      <c r="U2595" s="9"/>
      <c r="V2595" s="9"/>
      <c r="W2595" s="9"/>
      <c r="X2595" s="9"/>
      <c r="Y2595" s="9"/>
      <c r="Z2595" s="9"/>
      <c r="AA2595" s="9"/>
      <c r="AB2595" s="9"/>
      <c r="AC2595" s="9"/>
      <c r="AD2595" s="9"/>
      <c r="AE2595" s="9"/>
      <c r="AF2595" s="9"/>
      <c r="AG2595" s="9"/>
      <c r="AH2595" s="9"/>
      <c r="AI2595" s="9"/>
      <c r="AJ2595" s="9"/>
      <c r="AK2595" s="9"/>
      <c r="AL2595" s="9"/>
      <c r="AM2595" s="9"/>
      <c r="AN2595" s="9"/>
      <c r="AO2595" s="9"/>
      <c r="AP2595" s="9"/>
      <c r="AQ2595" s="9"/>
      <c r="AR2595" s="9"/>
      <c r="AS2595" s="9"/>
      <c r="AT2595" s="9"/>
      <c r="AU2595" s="9"/>
    </row>
    <row r="2596" spans="1:47" ht="15.75" customHeight="1">
      <c r="A2596" s="9"/>
      <c r="B2596" s="9"/>
      <c r="C2596" s="9"/>
      <c r="D2596" s="9"/>
      <c r="E2596" s="9"/>
      <c r="F2596" s="67"/>
      <c r="G2596" s="9"/>
      <c r="H2596" s="9"/>
      <c r="I2596" s="9"/>
      <c r="J2596" s="9"/>
      <c r="K2596" s="9"/>
      <c r="L2596" s="9"/>
      <c r="M2596" s="9"/>
      <c r="N2596" s="9"/>
      <c r="O2596" s="9"/>
      <c r="P2596" s="9"/>
      <c r="Q2596" s="9"/>
      <c r="R2596" s="9"/>
      <c r="S2596" s="9"/>
      <c r="T2596" s="9"/>
      <c r="U2596" s="9"/>
      <c r="V2596" s="9"/>
      <c r="W2596" s="9"/>
      <c r="X2596" s="9"/>
      <c r="Y2596" s="9"/>
      <c r="Z2596" s="9"/>
      <c r="AA2596" s="9"/>
      <c r="AB2596" s="9"/>
      <c r="AC2596" s="9"/>
      <c r="AD2596" s="9"/>
      <c r="AE2596" s="9"/>
      <c r="AF2596" s="9"/>
      <c r="AG2596" s="9"/>
      <c r="AH2596" s="9"/>
      <c r="AI2596" s="9"/>
      <c r="AJ2596" s="9"/>
      <c r="AK2596" s="9"/>
      <c r="AL2596" s="9"/>
      <c r="AM2596" s="9"/>
      <c r="AN2596" s="9"/>
      <c r="AO2596" s="9"/>
      <c r="AP2596" s="9"/>
      <c r="AQ2596" s="9"/>
      <c r="AR2596" s="9"/>
      <c r="AS2596" s="9"/>
      <c r="AT2596" s="9"/>
      <c r="AU2596" s="9"/>
    </row>
    <row r="2597" spans="1:47" ht="15.75" customHeight="1">
      <c r="A2597" s="9"/>
      <c r="B2597" s="9"/>
      <c r="C2597" s="9"/>
      <c r="D2597" s="9"/>
      <c r="E2597" s="9"/>
      <c r="F2597" s="67"/>
      <c r="G2597" s="9"/>
      <c r="H2597" s="9"/>
      <c r="I2597" s="9"/>
      <c r="J2597" s="9"/>
      <c r="K2597" s="9"/>
      <c r="L2597" s="9"/>
      <c r="M2597" s="9"/>
      <c r="N2597" s="9"/>
      <c r="O2597" s="9"/>
      <c r="P2597" s="9"/>
      <c r="Q2597" s="9"/>
      <c r="R2597" s="9"/>
      <c r="S2597" s="9"/>
      <c r="T2597" s="9"/>
      <c r="U2597" s="9"/>
      <c r="V2597" s="9"/>
      <c r="W2597" s="9"/>
      <c r="X2597" s="9"/>
      <c r="Y2597" s="9"/>
      <c r="Z2597" s="9"/>
      <c r="AA2597" s="9"/>
      <c r="AB2597" s="9"/>
      <c r="AC2597" s="9"/>
      <c r="AD2597" s="9"/>
      <c r="AE2597" s="9"/>
      <c r="AF2597" s="9"/>
      <c r="AG2597" s="9"/>
      <c r="AH2597" s="9"/>
      <c r="AI2597" s="9"/>
      <c r="AJ2597" s="9"/>
      <c r="AK2597" s="9"/>
      <c r="AL2597" s="9"/>
      <c r="AM2597" s="9"/>
      <c r="AN2597" s="9"/>
      <c r="AO2597" s="9"/>
      <c r="AP2597" s="9"/>
      <c r="AQ2597" s="9"/>
      <c r="AR2597" s="9"/>
      <c r="AS2597" s="9"/>
      <c r="AT2597" s="9"/>
      <c r="AU2597" s="9"/>
    </row>
    <row r="2598" spans="1:47" ht="15.75" customHeight="1">
      <c r="A2598" s="9"/>
      <c r="B2598" s="9"/>
      <c r="C2598" s="9"/>
      <c r="D2598" s="9"/>
      <c r="E2598" s="9"/>
      <c r="F2598" s="67"/>
      <c r="G2598" s="9"/>
      <c r="H2598" s="9"/>
      <c r="I2598" s="9"/>
      <c r="J2598" s="9"/>
      <c r="K2598" s="9"/>
      <c r="L2598" s="9"/>
      <c r="M2598" s="9"/>
      <c r="N2598" s="9"/>
      <c r="O2598" s="9"/>
      <c r="P2598" s="9"/>
      <c r="Q2598" s="9"/>
      <c r="R2598" s="9"/>
      <c r="S2598" s="9"/>
      <c r="T2598" s="9"/>
      <c r="U2598" s="9"/>
      <c r="V2598" s="9"/>
      <c r="W2598" s="9"/>
      <c r="X2598" s="9"/>
      <c r="Y2598" s="9"/>
      <c r="Z2598" s="9"/>
      <c r="AA2598" s="9"/>
      <c r="AB2598" s="9"/>
      <c r="AC2598" s="9"/>
      <c r="AD2598" s="9"/>
      <c r="AE2598" s="9"/>
      <c r="AF2598" s="9"/>
      <c r="AG2598" s="9"/>
      <c r="AH2598" s="9"/>
      <c r="AI2598" s="9"/>
      <c r="AJ2598" s="9"/>
      <c r="AK2598" s="9"/>
      <c r="AL2598" s="9"/>
      <c r="AM2598" s="9"/>
      <c r="AN2598" s="9"/>
      <c r="AO2598" s="9"/>
      <c r="AP2598" s="9"/>
      <c r="AQ2598" s="9"/>
      <c r="AR2598" s="9"/>
      <c r="AS2598" s="9"/>
      <c r="AT2598" s="9"/>
      <c r="AU2598" s="9"/>
    </row>
    <row r="2599" spans="1:47" ht="15.75" customHeight="1">
      <c r="A2599" s="9"/>
      <c r="B2599" s="9"/>
      <c r="C2599" s="9"/>
      <c r="D2599" s="9"/>
      <c r="E2599" s="9"/>
      <c r="F2599" s="67"/>
      <c r="G2599" s="9"/>
      <c r="H2599" s="9"/>
      <c r="I2599" s="9"/>
      <c r="J2599" s="9"/>
      <c r="K2599" s="9"/>
      <c r="L2599" s="9"/>
      <c r="M2599" s="9"/>
      <c r="N2599" s="9"/>
      <c r="O2599" s="9"/>
      <c r="P2599" s="9"/>
      <c r="Q2599" s="9"/>
      <c r="R2599" s="9"/>
      <c r="S2599" s="9"/>
      <c r="T2599" s="9"/>
      <c r="U2599" s="9"/>
      <c r="V2599" s="9"/>
      <c r="W2599" s="9"/>
      <c r="X2599" s="9"/>
      <c r="Y2599" s="9"/>
      <c r="Z2599" s="9"/>
      <c r="AA2599" s="9"/>
      <c r="AB2599" s="9"/>
      <c r="AC2599" s="9"/>
      <c r="AD2599" s="9"/>
      <c r="AE2599" s="9"/>
      <c r="AF2599" s="9"/>
      <c r="AG2599" s="9"/>
      <c r="AH2599" s="9"/>
      <c r="AI2599" s="9"/>
      <c r="AJ2599" s="9"/>
      <c r="AK2599" s="9"/>
      <c r="AL2599" s="9"/>
      <c r="AM2599" s="9"/>
      <c r="AN2599" s="9"/>
      <c r="AO2599" s="9"/>
      <c r="AP2599" s="9"/>
      <c r="AQ2599" s="9"/>
      <c r="AR2599" s="9"/>
      <c r="AS2599" s="9"/>
      <c r="AT2599" s="9"/>
      <c r="AU2599" s="9"/>
    </row>
    <row r="2600" spans="1:47" ht="15.75" customHeight="1">
      <c r="A2600" s="9"/>
      <c r="B2600" s="9"/>
      <c r="C2600" s="9"/>
      <c r="D2600" s="9"/>
      <c r="E2600" s="9"/>
      <c r="F2600" s="67"/>
      <c r="G2600" s="9"/>
      <c r="H2600" s="9"/>
      <c r="I2600" s="9"/>
      <c r="J2600" s="9"/>
      <c r="K2600" s="9"/>
      <c r="L2600" s="9"/>
      <c r="M2600" s="9"/>
      <c r="N2600" s="9"/>
      <c r="O2600" s="9"/>
      <c r="P2600" s="9"/>
      <c r="Q2600" s="9"/>
      <c r="R2600" s="9"/>
      <c r="S2600" s="9"/>
      <c r="T2600" s="9"/>
      <c r="U2600" s="9"/>
      <c r="V2600" s="9"/>
      <c r="W2600" s="9"/>
      <c r="X2600" s="9"/>
      <c r="Y2600" s="9"/>
      <c r="Z2600" s="9"/>
      <c r="AA2600" s="9"/>
      <c r="AB2600" s="9"/>
      <c r="AC2600" s="9"/>
      <c r="AD2600" s="9"/>
      <c r="AE2600" s="9"/>
      <c r="AF2600" s="9"/>
      <c r="AG2600" s="9"/>
      <c r="AH2600" s="9"/>
      <c r="AI2600" s="9"/>
      <c r="AJ2600" s="9"/>
      <c r="AK2600" s="9"/>
      <c r="AL2600" s="9"/>
      <c r="AM2600" s="9"/>
      <c r="AN2600" s="9"/>
      <c r="AO2600" s="9"/>
      <c r="AP2600" s="9"/>
      <c r="AQ2600" s="9"/>
      <c r="AR2600" s="9"/>
      <c r="AS2600" s="9"/>
      <c r="AT2600" s="9"/>
      <c r="AU2600" s="9"/>
    </row>
    <row r="2601" spans="1:47" ht="15.75" customHeight="1">
      <c r="A2601" s="9"/>
      <c r="B2601" s="9"/>
      <c r="C2601" s="9"/>
      <c r="D2601" s="9"/>
      <c r="E2601" s="9"/>
      <c r="F2601" s="67"/>
      <c r="G2601" s="9"/>
      <c r="H2601" s="9"/>
      <c r="I2601" s="9"/>
      <c r="J2601" s="9"/>
      <c r="K2601" s="9"/>
      <c r="L2601" s="9"/>
      <c r="M2601" s="9"/>
      <c r="N2601" s="9"/>
      <c r="O2601" s="9"/>
      <c r="P2601" s="9"/>
      <c r="Q2601" s="9"/>
      <c r="R2601" s="9"/>
      <c r="S2601" s="9"/>
      <c r="T2601" s="9"/>
      <c r="U2601" s="9"/>
      <c r="V2601" s="9"/>
      <c r="W2601" s="9"/>
      <c r="X2601" s="9"/>
      <c r="Y2601" s="9"/>
      <c r="Z2601" s="9"/>
      <c r="AA2601" s="9"/>
      <c r="AB2601" s="9"/>
      <c r="AC2601" s="9"/>
      <c r="AD2601" s="9"/>
      <c r="AE2601" s="9"/>
      <c r="AF2601" s="9"/>
      <c r="AG2601" s="9"/>
      <c r="AH2601" s="9"/>
      <c r="AI2601" s="9"/>
      <c r="AJ2601" s="9"/>
      <c r="AK2601" s="9"/>
      <c r="AL2601" s="9"/>
      <c r="AM2601" s="9"/>
      <c r="AN2601" s="9"/>
      <c r="AO2601" s="9"/>
      <c r="AP2601" s="9"/>
      <c r="AQ2601" s="9"/>
      <c r="AR2601" s="9"/>
      <c r="AS2601" s="9"/>
      <c r="AT2601" s="9"/>
      <c r="AU2601" s="9"/>
    </row>
    <row r="2602" spans="1:47" ht="15.75" customHeight="1">
      <c r="A2602" s="9"/>
      <c r="B2602" s="9"/>
      <c r="C2602" s="9"/>
      <c r="D2602" s="9"/>
      <c r="E2602" s="9"/>
      <c r="F2602" s="67"/>
      <c r="G2602" s="9"/>
      <c r="H2602" s="9"/>
      <c r="I2602" s="9"/>
      <c r="J2602" s="9"/>
      <c r="K2602" s="9"/>
      <c r="L2602" s="9"/>
      <c r="M2602" s="9"/>
      <c r="N2602" s="9"/>
      <c r="O2602" s="9"/>
      <c r="P2602" s="9"/>
      <c r="Q2602" s="9"/>
      <c r="R2602" s="9"/>
      <c r="S2602" s="9"/>
      <c r="T2602" s="9"/>
      <c r="U2602" s="9"/>
      <c r="V2602" s="9"/>
      <c r="W2602" s="9"/>
      <c r="X2602" s="9"/>
      <c r="Y2602" s="9"/>
      <c r="Z2602" s="9"/>
      <c r="AA2602" s="9"/>
      <c r="AB2602" s="9"/>
      <c r="AC2602" s="9"/>
      <c r="AD2602" s="9"/>
      <c r="AE2602" s="9"/>
      <c r="AF2602" s="9"/>
      <c r="AG2602" s="9"/>
      <c r="AH2602" s="9"/>
      <c r="AI2602" s="9"/>
      <c r="AJ2602" s="9"/>
      <c r="AK2602" s="9"/>
      <c r="AL2602" s="9"/>
      <c r="AM2602" s="9"/>
      <c r="AN2602" s="9"/>
      <c r="AO2602" s="9"/>
      <c r="AP2602" s="9"/>
      <c r="AQ2602" s="9"/>
      <c r="AR2602" s="9"/>
      <c r="AS2602" s="9"/>
      <c r="AT2602" s="9"/>
      <c r="AU2602" s="9"/>
    </row>
    <row r="2603" spans="1:47" ht="15.75" customHeight="1">
      <c r="A2603" s="9"/>
      <c r="B2603" s="9"/>
      <c r="C2603" s="9"/>
      <c r="D2603" s="9"/>
      <c r="E2603" s="9"/>
      <c r="F2603" s="67"/>
      <c r="G2603" s="9"/>
      <c r="H2603" s="9"/>
      <c r="I2603" s="9"/>
      <c r="J2603" s="9"/>
      <c r="K2603" s="9"/>
      <c r="L2603" s="9"/>
      <c r="M2603" s="9"/>
      <c r="N2603" s="9"/>
      <c r="O2603" s="9"/>
      <c r="P2603" s="9"/>
      <c r="Q2603" s="9"/>
      <c r="R2603" s="9"/>
      <c r="S2603" s="9"/>
      <c r="T2603" s="9"/>
      <c r="U2603" s="9"/>
      <c r="V2603" s="9"/>
      <c r="W2603" s="9"/>
      <c r="X2603" s="9"/>
      <c r="Y2603" s="9"/>
      <c r="Z2603" s="9"/>
      <c r="AA2603" s="9"/>
      <c r="AB2603" s="9"/>
      <c r="AC2603" s="9"/>
      <c r="AD2603" s="9"/>
      <c r="AE2603" s="9"/>
      <c r="AF2603" s="9"/>
      <c r="AG2603" s="9"/>
      <c r="AH2603" s="9"/>
      <c r="AI2603" s="9"/>
      <c r="AJ2603" s="9"/>
      <c r="AK2603" s="9"/>
      <c r="AL2603" s="9"/>
      <c r="AM2603" s="9"/>
      <c r="AN2603" s="9"/>
      <c r="AO2603" s="9"/>
      <c r="AP2603" s="9"/>
      <c r="AQ2603" s="9"/>
      <c r="AR2603" s="9"/>
      <c r="AS2603" s="9"/>
      <c r="AT2603" s="9"/>
      <c r="AU2603" s="9"/>
    </row>
    <row r="2604" spans="1:47" ht="15.75" customHeight="1">
      <c r="A2604" s="9"/>
      <c r="B2604" s="9"/>
      <c r="C2604" s="9"/>
      <c r="D2604" s="9"/>
      <c r="E2604" s="9"/>
      <c r="F2604" s="67"/>
      <c r="G2604" s="9"/>
      <c r="H2604" s="9"/>
      <c r="I2604" s="9"/>
      <c r="J2604" s="9"/>
      <c r="K2604" s="9"/>
      <c r="L2604" s="9"/>
      <c r="M2604" s="9"/>
      <c r="N2604" s="9"/>
      <c r="O2604" s="9"/>
      <c r="P2604" s="9"/>
      <c r="Q2604" s="9"/>
      <c r="R2604" s="9"/>
      <c r="S2604" s="9"/>
      <c r="T2604" s="9"/>
      <c r="U2604" s="9"/>
      <c r="V2604" s="9"/>
      <c r="W2604" s="9"/>
      <c r="X2604" s="9"/>
      <c r="Y2604" s="9"/>
      <c r="Z2604" s="9"/>
      <c r="AA2604" s="9"/>
      <c r="AB2604" s="9"/>
      <c r="AC2604" s="9"/>
      <c r="AD2604" s="9"/>
      <c r="AE2604" s="9"/>
      <c r="AF2604" s="9"/>
      <c r="AG2604" s="9"/>
      <c r="AH2604" s="9"/>
      <c r="AI2604" s="9"/>
      <c r="AJ2604" s="9"/>
      <c r="AK2604" s="9"/>
      <c r="AL2604" s="9"/>
      <c r="AM2604" s="9"/>
      <c r="AN2604" s="9"/>
      <c r="AO2604" s="9"/>
      <c r="AP2604" s="9"/>
      <c r="AQ2604" s="9"/>
      <c r="AR2604" s="9"/>
      <c r="AS2604" s="9"/>
      <c r="AT2604" s="9"/>
      <c r="AU2604" s="9"/>
    </row>
    <row r="2605" spans="1:47" ht="15.75" customHeight="1">
      <c r="A2605" s="9"/>
      <c r="B2605" s="9"/>
      <c r="C2605" s="9"/>
      <c r="D2605" s="9"/>
      <c r="E2605" s="9"/>
      <c r="F2605" s="67"/>
      <c r="G2605" s="9"/>
      <c r="H2605" s="9"/>
      <c r="I2605" s="9"/>
      <c r="J2605" s="9"/>
      <c r="K2605" s="9"/>
      <c r="L2605" s="9"/>
      <c r="M2605" s="9"/>
      <c r="N2605" s="9"/>
      <c r="O2605" s="9"/>
      <c r="P2605" s="9"/>
      <c r="Q2605" s="9"/>
      <c r="R2605" s="9"/>
      <c r="S2605" s="9"/>
      <c r="T2605" s="9"/>
      <c r="U2605" s="9"/>
      <c r="V2605" s="9"/>
      <c r="W2605" s="9"/>
      <c r="X2605" s="9"/>
      <c r="Y2605" s="9"/>
      <c r="Z2605" s="9"/>
      <c r="AA2605" s="9"/>
      <c r="AB2605" s="9"/>
      <c r="AC2605" s="9"/>
      <c r="AD2605" s="9"/>
      <c r="AE2605" s="9"/>
      <c r="AF2605" s="9"/>
      <c r="AG2605" s="9"/>
      <c r="AH2605" s="9"/>
      <c r="AI2605" s="9"/>
      <c r="AJ2605" s="9"/>
      <c r="AK2605" s="9"/>
      <c r="AL2605" s="9"/>
      <c r="AM2605" s="9"/>
      <c r="AN2605" s="9"/>
      <c r="AO2605" s="9"/>
      <c r="AP2605" s="9"/>
      <c r="AQ2605" s="9"/>
      <c r="AR2605" s="9"/>
      <c r="AS2605" s="9"/>
      <c r="AT2605" s="9"/>
      <c r="AU2605" s="9"/>
    </row>
    <row r="2606" spans="1:47" ht="15.75" customHeight="1">
      <c r="A2606" s="9"/>
      <c r="B2606" s="9"/>
      <c r="C2606" s="9"/>
      <c r="D2606" s="9"/>
      <c r="E2606" s="9"/>
      <c r="F2606" s="67"/>
      <c r="G2606" s="9"/>
      <c r="H2606" s="9"/>
      <c r="I2606" s="9"/>
      <c r="J2606" s="9"/>
      <c r="K2606" s="9"/>
      <c r="L2606" s="9"/>
      <c r="M2606" s="9"/>
      <c r="N2606" s="9"/>
      <c r="O2606" s="9"/>
      <c r="P2606" s="9"/>
      <c r="Q2606" s="9"/>
      <c r="R2606" s="9"/>
      <c r="S2606" s="9"/>
      <c r="T2606" s="9"/>
      <c r="U2606" s="9"/>
      <c r="V2606" s="9"/>
      <c r="W2606" s="9"/>
      <c r="X2606" s="9"/>
      <c r="Y2606" s="9"/>
      <c r="Z2606" s="9"/>
      <c r="AA2606" s="9"/>
      <c r="AB2606" s="9"/>
      <c r="AC2606" s="9"/>
      <c r="AD2606" s="9"/>
      <c r="AE2606" s="9"/>
      <c r="AF2606" s="9"/>
      <c r="AG2606" s="9"/>
      <c r="AH2606" s="9"/>
      <c r="AI2606" s="9"/>
      <c r="AJ2606" s="9"/>
      <c r="AK2606" s="9"/>
      <c r="AL2606" s="9"/>
      <c r="AM2606" s="9"/>
      <c r="AN2606" s="9"/>
      <c r="AO2606" s="9"/>
      <c r="AP2606" s="9"/>
      <c r="AQ2606" s="9"/>
      <c r="AR2606" s="9"/>
      <c r="AS2606" s="9"/>
      <c r="AT2606" s="9"/>
      <c r="AU2606" s="9"/>
    </row>
    <row r="2607" spans="1:47" ht="15.75" customHeight="1">
      <c r="A2607" s="9"/>
      <c r="B2607" s="9"/>
      <c r="C2607" s="9"/>
      <c r="D2607" s="9"/>
      <c r="E2607" s="9"/>
      <c r="F2607" s="67"/>
      <c r="G2607" s="9"/>
      <c r="H2607" s="9"/>
      <c r="I2607" s="9"/>
      <c r="J2607" s="9"/>
      <c r="K2607" s="9"/>
      <c r="L2607" s="9"/>
      <c r="M2607" s="9"/>
      <c r="N2607" s="9"/>
      <c r="O2607" s="9"/>
      <c r="P2607" s="9"/>
      <c r="Q2607" s="9"/>
      <c r="R2607" s="9"/>
      <c r="S2607" s="9"/>
      <c r="T2607" s="9"/>
      <c r="U2607" s="9"/>
      <c r="V2607" s="9"/>
      <c r="W2607" s="9"/>
      <c r="X2607" s="9"/>
      <c r="Y2607" s="9"/>
      <c r="Z2607" s="9"/>
      <c r="AA2607" s="9"/>
      <c r="AB2607" s="9"/>
      <c r="AC2607" s="9"/>
      <c r="AD2607" s="9"/>
      <c r="AE2607" s="9"/>
      <c r="AF2607" s="9"/>
      <c r="AG2607" s="9"/>
      <c r="AH2607" s="9"/>
      <c r="AI2607" s="9"/>
      <c r="AJ2607" s="9"/>
      <c r="AK2607" s="9"/>
      <c r="AL2607" s="9"/>
      <c r="AM2607" s="9"/>
      <c r="AN2607" s="9"/>
      <c r="AO2607" s="9"/>
      <c r="AP2607" s="9"/>
      <c r="AQ2607" s="9"/>
      <c r="AR2607" s="9"/>
      <c r="AS2607" s="9"/>
      <c r="AT2607" s="9"/>
      <c r="AU2607" s="9"/>
    </row>
    <row r="2608" spans="1:47" ht="15.75" customHeight="1">
      <c r="A2608" s="9"/>
      <c r="B2608" s="9"/>
      <c r="C2608" s="9"/>
      <c r="D2608" s="9"/>
      <c r="E2608" s="9"/>
      <c r="F2608" s="67"/>
      <c r="G2608" s="9"/>
      <c r="H2608" s="9"/>
      <c r="I2608" s="9"/>
      <c r="J2608" s="9"/>
      <c r="K2608" s="9"/>
      <c r="L2608" s="9"/>
      <c r="M2608" s="9"/>
      <c r="N2608" s="9"/>
      <c r="O2608" s="9"/>
      <c r="P2608" s="9"/>
      <c r="Q2608" s="9"/>
      <c r="R2608" s="9"/>
      <c r="S2608" s="9"/>
      <c r="T2608" s="9"/>
      <c r="U2608" s="9"/>
      <c r="V2608" s="9"/>
      <c r="W2608" s="9"/>
      <c r="X2608" s="9"/>
      <c r="Y2608" s="9"/>
      <c r="Z2608" s="9"/>
      <c r="AA2608" s="9"/>
      <c r="AB2608" s="9"/>
      <c r="AC2608" s="9"/>
      <c r="AD2608" s="9"/>
      <c r="AE2608" s="9"/>
      <c r="AF2608" s="9"/>
      <c r="AG2608" s="9"/>
      <c r="AH2608" s="9"/>
      <c r="AI2608" s="9"/>
      <c r="AJ2608" s="9"/>
      <c r="AK2608" s="9"/>
      <c r="AL2608" s="9"/>
      <c r="AM2608" s="9"/>
      <c r="AN2608" s="9"/>
      <c r="AO2608" s="9"/>
      <c r="AP2608" s="9"/>
      <c r="AQ2608" s="9"/>
      <c r="AR2608" s="9"/>
      <c r="AS2608" s="9"/>
      <c r="AT2608" s="9"/>
      <c r="AU2608" s="9"/>
    </row>
    <row r="2609" spans="1:47" ht="15.75" customHeight="1">
      <c r="A2609" s="9"/>
      <c r="B2609" s="9"/>
      <c r="C2609" s="9"/>
      <c r="D2609" s="9"/>
      <c r="E2609" s="9"/>
      <c r="F2609" s="67"/>
      <c r="G2609" s="9"/>
      <c r="H2609" s="9"/>
      <c r="I2609" s="9"/>
      <c r="J2609" s="9"/>
      <c r="K2609" s="9"/>
      <c r="L2609" s="9"/>
      <c r="M2609" s="9"/>
      <c r="N2609" s="9"/>
      <c r="O2609" s="9"/>
      <c r="P2609" s="9"/>
      <c r="Q2609" s="9"/>
      <c r="R2609" s="9"/>
      <c r="S2609" s="9"/>
      <c r="T2609" s="9"/>
      <c r="U2609" s="9"/>
      <c r="V2609" s="9"/>
      <c r="W2609" s="9"/>
      <c r="X2609" s="9"/>
      <c r="Y2609" s="9"/>
      <c r="Z2609" s="9"/>
      <c r="AA2609" s="9"/>
      <c r="AB2609" s="9"/>
      <c r="AC2609" s="9"/>
      <c r="AD2609" s="9"/>
      <c r="AE2609" s="9"/>
      <c r="AF2609" s="9"/>
      <c r="AG2609" s="9"/>
      <c r="AH2609" s="9"/>
      <c r="AI2609" s="9"/>
      <c r="AJ2609" s="9"/>
      <c r="AK2609" s="9"/>
      <c r="AL2609" s="9"/>
      <c r="AM2609" s="9"/>
      <c r="AN2609" s="9"/>
      <c r="AO2609" s="9"/>
      <c r="AP2609" s="9"/>
      <c r="AQ2609" s="9"/>
      <c r="AR2609" s="9"/>
      <c r="AS2609" s="9"/>
      <c r="AT2609" s="9"/>
      <c r="AU2609" s="9"/>
    </row>
    <row r="2610" spans="1:47" ht="15.75" customHeight="1">
      <c r="A2610" s="9"/>
      <c r="B2610" s="9"/>
      <c r="C2610" s="9"/>
      <c r="D2610" s="9"/>
      <c r="E2610" s="9"/>
      <c r="F2610" s="67"/>
      <c r="G2610" s="9"/>
      <c r="H2610" s="9"/>
      <c r="I2610" s="9"/>
      <c r="J2610" s="9"/>
      <c r="K2610" s="9"/>
      <c r="L2610" s="9"/>
      <c r="M2610" s="9"/>
      <c r="N2610" s="9"/>
      <c r="O2610" s="9"/>
      <c r="P2610" s="9"/>
      <c r="Q2610" s="9"/>
      <c r="R2610" s="9"/>
      <c r="S2610" s="9"/>
      <c r="T2610" s="9"/>
      <c r="U2610" s="9"/>
      <c r="V2610" s="9"/>
      <c r="W2610" s="9"/>
      <c r="X2610" s="9"/>
      <c r="Y2610" s="9"/>
      <c r="Z2610" s="9"/>
      <c r="AA2610" s="9"/>
      <c r="AB2610" s="9"/>
      <c r="AC2610" s="9"/>
      <c r="AD2610" s="9"/>
      <c r="AE2610" s="9"/>
      <c r="AF2610" s="9"/>
      <c r="AG2610" s="9"/>
      <c r="AH2610" s="9"/>
      <c r="AI2610" s="9"/>
      <c r="AJ2610" s="9"/>
      <c r="AK2610" s="9"/>
      <c r="AL2610" s="9"/>
      <c r="AM2610" s="9"/>
      <c r="AN2610" s="9"/>
      <c r="AO2610" s="9"/>
      <c r="AP2610" s="9"/>
      <c r="AQ2610" s="9"/>
      <c r="AR2610" s="9"/>
      <c r="AS2610" s="9"/>
      <c r="AT2610" s="9"/>
      <c r="AU2610" s="9"/>
    </row>
    <row r="2611" spans="1:47" ht="15.75" customHeight="1">
      <c r="A2611" s="9"/>
      <c r="B2611" s="9"/>
      <c r="C2611" s="9"/>
      <c r="D2611" s="9"/>
      <c r="E2611" s="9"/>
      <c r="F2611" s="67"/>
      <c r="G2611" s="9"/>
      <c r="H2611" s="9"/>
      <c r="I2611" s="9"/>
      <c r="J2611" s="9"/>
      <c r="K2611" s="9"/>
      <c r="L2611" s="9"/>
      <c r="M2611" s="9"/>
      <c r="N2611" s="9"/>
      <c r="O2611" s="9"/>
      <c r="P2611" s="9"/>
      <c r="Q2611" s="9"/>
      <c r="R2611" s="9"/>
      <c r="S2611" s="9"/>
      <c r="T2611" s="9"/>
      <c r="U2611" s="9"/>
      <c r="V2611" s="9"/>
      <c r="W2611" s="9"/>
      <c r="X2611" s="9"/>
      <c r="Y2611" s="9"/>
      <c r="Z2611" s="9"/>
      <c r="AA2611" s="9"/>
      <c r="AB2611" s="9"/>
      <c r="AC2611" s="9"/>
      <c r="AD2611" s="9"/>
      <c r="AE2611" s="9"/>
      <c r="AF2611" s="9"/>
      <c r="AG2611" s="9"/>
      <c r="AH2611" s="9"/>
      <c r="AI2611" s="9"/>
      <c r="AJ2611" s="9"/>
      <c r="AK2611" s="9"/>
      <c r="AL2611" s="9"/>
      <c r="AM2611" s="9"/>
      <c r="AN2611" s="9"/>
      <c r="AO2611" s="9"/>
      <c r="AP2611" s="9"/>
      <c r="AQ2611" s="9"/>
      <c r="AR2611" s="9"/>
      <c r="AS2611" s="9"/>
      <c r="AT2611" s="9"/>
      <c r="AU2611" s="9"/>
    </row>
    <row r="2612" spans="1:47" ht="15.75" customHeight="1">
      <c r="A2612" s="9"/>
      <c r="B2612" s="9"/>
      <c r="C2612" s="9"/>
      <c r="D2612" s="9"/>
      <c r="E2612" s="9"/>
      <c r="F2612" s="67"/>
      <c r="G2612" s="9"/>
      <c r="H2612" s="9"/>
      <c r="I2612" s="9"/>
      <c r="J2612" s="9"/>
      <c r="K2612" s="9"/>
      <c r="L2612" s="9"/>
      <c r="M2612" s="9"/>
      <c r="N2612" s="9"/>
      <c r="O2612" s="9"/>
      <c r="P2612" s="9"/>
      <c r="Q2612" s="9"/>
      <c r="R2612" s="9"/>
      <c r="S2612" s="9"/>
      <c r="T2612" s="9"/>
      <c r="U2612" s="9"/>
      <c r="V2612" s="9"/>
      <c r="W2612" s="9"/>
      <c r="X2612" s="9"/>
      <c r="Y2612" s="9"/>
      <c r="Z2612" s="9"/>
      <c r="AA2612" s="9"/>
      <c r="AB2612" s="9"/>
      <c r="AC2612" s="9"/>
      <c r="AD2612" s="9"/>
      <c r="AE2612" s="9"/>
      <c r="AF2612" s="9"/>
      <c r="AG2612" s="9"/>
      <c r="AH2612" s="9"/>
      <c r="AI2612" s="9"/>
      <c r="AJ2612" s="9"/>
      <c r="AK2612" s="9"/>
      <c r="AL2612" s="9"/>
      <c r="AM2612" s="9"/>
      <c r="AN2612" s="9"/>
      <c r="AO2612" s="9"/>
      <c r="AP2612" s="9"/>
      <c r="AQ2612" s="9"/>
      <c r="AR2612" s="9"/>
      <c r="AS2612" s="9"/>
      <c r="AT2612" s="9"/>
      <c r="AU2612" s="9"/>
    </row>
    <row r="2613" spans="1:47" ht="15.75" customHeight="1">
      <c r="A2613" s="9"/>
      <c r="B2613" s="9"/>
      <c r="C2613" s="9"/>
      <c r="D2613" s="9"/>
      <c r="E2613" s="9"/>
      <c r="F2613" s="67"/>
      <c r="G2613" s="9"/>
      <c r="H2613" s="9"/>
      <c r="I2613" s="9"/>
      <c r="J2613" s="9"/>
      <c r="K2613" s="9"/>
      <c r="L2613" s="9"/>
      <c r="M2613" s="9"/>
      <c r="N2613" s="9"/>
      <c r="O2613" s="9"/>
      <c r="P2613" s="9"/>
      <c r="Q2613" s="9"/>
      <c r="R2613" s="9"/>
      <c r="S2613" s="9"/>
      <c r="T2613" s="9"/>
      <c r="U2613" s="9"/>
      <c r="V2613" s="9"/>
      <c r="W2613" s="9"/>
      <c r="X2613" s="9"/>
      <c r="Y2613" s="9"/>
      <c r="Z2613" s="9"/>
      <c r="AA2613" s="9"/>
      <c r="AB2613" s="9"/>
      <c r="AC2613" s="9"/>
      <c r="AD2613" s="9"/>
      <c r="AE2613" s="9"/>
      <c r="AF2613" s="9"/>
      <c r="AG2613" s="9"/>
      <c r="AH2613" s="9"/>
      <c r="AI2613" s="9"/>
      <c r="AJ2613" s="9"/>
      <c r="AK2613" s="9"/>
      <c r="AL2613" s="9"/>
      <c r="AM2613" s="9"/>
      <c r="AN2613" s="9"/>
      <c r="AO2613" s="9"/>
      <c r="AP2613" s="9"/>
      <c r="AQ2613" s="9"/>
      <c r="AR2613" s="9"/>
      <c r="AS2613" s="9"/>
      <c r="AT2613" s="9"/>
      <c r="AU2613" s="9"/>
    </row>
    <row r="2614" spans="1:47" ht="15.75" customHeight="1">
      <c r="A2614" s="9"/>
      <c r="B2614" s="9"/>
      <c r="C2614" s="9"/>
      <c r="D2614" s="9"/>
      <c r="E2614" s="9"/>
      <c r="F2614" s="67"/>
      <c r="G2614" s="9"/>
      <c r="H2614" s="9"/>
      <c r="I2614" s="9"/>
      <c r="J2614" s="9"/>
      <c r="K2614" s="9"/>
      <c r="L2614" s="9"/>
      <c r="M2614" s="9"/>
      <c r="N2614" s="9"/>
      <c r="O2614" s="9"/>
      <c r="P2614" s="9"/>
      <c r="Q2614" s="9"/>
      <c r="R2614" s="9"/>
      <c r="S2614" s="9"/>
      <c r="T2614" s="9"/>
      <c r="U2614" s="9"/>
      <c r="V2614" s="9"/>
      <c r="W2614" s="9"/>
      <c r="X2614" s="9"/>
      <c r="Y2614" s="9"/>
      <c r="Z2614" s="9"/>
      <c r="AA2614" s="9"/>
      <c r="AB2614" s="9"/>
      <c r="AC2614" s="9"/>
      <c r="AD2614" s="9"/>
      <c r="AE2614" s="9"/>
      <c r="AF2614" s="9"/>
      <c r="AG2614" s="9"/>
      <c r="AH2614" s="9"/>
      <c r="AI2614" s="9"/>
      <c r="AJ2614" s="9"/>
      <c r="AK2614" s="9"/>
      <c r="AL2614" s="9"/>
      <c r="AM2614" s="9"/>
      <c r="AN2614" s="9"/>
      <c r="AO2614" s="9"/>
      <c r="AP2614" s="9"/>
      <c r="AQ2614" s="9"/>
      <c r="AR2614" s="9"/>
      <c r="AS2614" s="9"/>
      <c r="AT2614" s="9"/>
      <c r="AU2614" s="9"/>
    </row>
    <row r="2615" spans="1:47" ht="15.75" customHeight="1">
      <c r="A2615" s="9"/>
      <c r="B2615" s="9"/>
      <c r="C2615" s="9"/>
      <c r="D2615" s="9"/>
      <c r="E2615" s="9"/>
      <c r="F2615" s="67"/>
      <c r="G2615" s="9"/>
      <c r="H2615" s="9"/>
      <c r="I2615" s="9"/>
      <c r="J2615" s="9"/>
      <c r="K2615" s="9"/>
      <c r="L2615" s="9"/>
      <c r="M2615" s="9"/>
      <c r="N2615" s="9"/>
      <c r="O2615" s="9"/>
      <c r="P2615" s="9"/>
      <c r="Q2615" s="9"/>
      <c r="R2615" s="9"/>
      <c r="S2615" s="9"/>
      <c r="T2615" s="9"/>
      <c r="U2615" s="9"/>
      <c r="V2615" s="9"/>
      <c r="W2615" s="9"/>
      <c r="X2615" s="9"/>
      <c r="Y2615" s="9"/>
      <c r="Z2615" s="9"/>
      <c r="AA2615" s="9"/>
      <c r="AB2615" s="9"/>
      <c r="AC2615" s="9"/>
      <c r="AD2615" s="9"/>
      <c r="AE2615" s="9"/>
      <c r="AF2615" s="9"/>
      <c r="AG2615" s="9"/>
      <c r="AH2615" s="9"/>
      <c r="AI2615" s="9"/>
      <c r="AJ2615" s="9"/>
      <c r="AK2615" s="9"/>
      <c r="AL2615" s="9"/>
      <c r="AM2615" s="9"/>
      <c r="AN2615" s="9"/>
      <c r="AO2615" s="9"/>
      <c r="AP2615" s="9"/>
      <c r="AQ2615" s="9"/>
      <c r="AR2615" s="9"/>
      <c r="AS2615" s="9"/>
      <c r="AT2615" s="9"/>
      <c r="AU2615" s="9"/>
    </row>
    <row r="2616" spans="1:47" ht="15.75" customHeight="1">
      <c r="A2616" s="9"/>
      <c r="B2616" s="9"/>
      <c r="C2616" s="9"/>
      <c r="D2616" s="9"/>
      <c r="E2616" s="9"/>
      <c r="F2616" s="67"/>
      <c r="G2616" s="9"/>
      <c r="H2616" s="9"/>
      <c r="I2616" s="9"/>
      <c r="J2616" s="9"/>
      <c r="K2616" s="9"/>
      <c r="L2616" s="9"/>
      <c r="M2616" s="9"/>
      <c r="N2616" s="9"/>
      <c r="O2616" s="9"/>
      <c r="P2616" s="9"/>
      <c r="Q2616" s="9"/>
      <c r="R2616" s="9"/>
      <c r="S2616" s="9"/>
      <c r="T2616" s="9"/>
      <c r="U2616" s="9"/>
      <c r="V2616" s="9"/>
      <c r="W2616" s="9"/>
      <c r="X2616" s="9"/>
      <c r="Y2616" s="9"/>
      <c r="Z2616" s="9"/>
      <c r="AA2616" s="9"/>
      <c r="AB2616" s="9"/>
      <c r="AC2616" s="9"/>
      <c r="AD2616" s="9"/>
      <c r="AE2616" s="9"/>
      <c r="AF2616" s="9"/>
      <c r="AG2616" s="9"/>
      <c r="AH2616" s="9"/>
      <c r="AI2616" s="9"/>
      <c r="AJ2616" s="9"/>
      <c r="AK2616" s="9"/>
      <c r="AL2616" s="9"/>
      <c r="AM2616" s="9"/>
      <c r="AN2616" s="9"/>
      <c r="AO2616" s="9"/>
      <c r="AP2616" s="9"/>
      <c r="AQ2616" s="9"/>
      <c r="AR2616" s="9"/>
      <c r="AS2616" s="9"/>
      <c r="AT2616" s="9"/>
      <c r="AU2616" s="9"/>
    </row>
    <row r="2617" spans="1:47" ht="15.75" customHeight="1">
      <c r="A2617" s="9"/>
      <c r="B2617" s="9"/>
      <c r="C2617" s="9"/>
      <c r="D2617" s="9"/>
      <c r="E2617" s="9"/>
      <c r="F2617" s="67"/>
      <c r="G2617" s="9"/>
      <c r="H2617" s="9"/>
      <c r="I2617" s="9"/>
      <c r="J2617" s="9"/>
      <c r="K2617" s="9"/>
      <c r="L2617" s="9"/>
      <c r="M2617" s="9"/>
      <c r="N2617" s="9"/>
      <c r="O2617" s="9"/>
      <c r="P2617" s="9"/>
      <c r="Q2617" s="9"/>
      <c r="R2617" s="9"/>
      <c r="S2617" s="9"/>
      <c r="T2617" s="9"/>
      <c r="U2617" s="9"/>
      <c r="V2617" s="9"/>
      <c r="W2617" s="9"/>
      <c r="X2617" s="9"/>
      <c r="Y2617" s="9"/>
      <c r="Z2617" s="9"/>
      <c r="AA2617" s="9"/>
      <c r="AB2617" s="9"/>
      <c r="AC2617" s="9"/>
      <c r="AD2617" s="9"/>
      <c r="AE2617" s="9"/>
      <c r="AF2617" s="9"/>
      <c r="AG2617" s="9"/>
      <c r="AH2617" s="9"/>
      <c r="AI2617" s="9"/>
      <c r="AJ2617" s="9"/>
      <c r="AK2617" s="9"/>
      <c r="AL2617" s="9"/>
      <c r="AM2617" s="9"/>
      <c r="AN2617" s="9"/>
      <c r="AO2617" s="9"/>
      <c r="AP2617" s="9"/>
      <c r="AQ2617" s="9"/>
      <c r="AR2617" s="9"/>
      <c r="AS2617" s="9"/>
      <c r="AT2617" s="9"/>
      <c r="AU2617" s="9"/>
    </row>
    <row r="2618" spans="1:47" ht="15.75" customHeight="1">
      <c r="A2618" s="9"/>
      <c r="B2618" s="9"/>
      <c r="C2618" s="9"/>
      <c r="D2618" s="9"/>
      <c r="E2618" s="9"/>
      <c r="F2618" s="67"/>
      <c r="G2618" s="9"/>
      <c r="H2618" s="9"/>
      <c r="I2618" s="9"/>
      <c r="J2618" s="9"/>
      <c r="K2618" s="9"/>
      <c r="L2618" s="9"/>
      <c r="M2618" s="9"/>
      <c r="N2618" s="9"/>
      <c r="O2618" s="9"/>
      <c r="P2618" s="9"/>
      <c r="Q2618" s="9"/>
      <c r="R2618" s="9"/>
      <c r="S2618" s="9"/>
      <c r="T2618" s="9"/>
      <c r="U2618" s="9"/>
      <c r="V2618" s="9"/>
      <c r="W2618" s="9"/>
      <c r="X2618" s="9"/>
      <c r="Y2618" s="9"/>
      <c r="Z2618" s="9"/>
      <c r="AA2618" s="9"/>
      <c r="AB2618" s="9"/>
      <c r="AC2618" s="9"/>
      <c r="AD2618" s="9"/>
      <c r="AE2618" s="9"/>
      <c r="AF2618" s="9"/>
      <c r="AG2618" s="9"/>
      <c r="AH2618" s="9"/>
      <c r="AI2618" s="9"/>
      <c r="AJ2618" s="9"/>
      <c r="AK2618" s="9"/>
      <c r="AL2618" s="9"/>
      <c r="AM2618" s="9"/>
      <c r="AN2618" s="9"/>
      <c r="AO2618" s="9"/>
      <c r="AP2618" s="9"/>
      <c r="AQ2618" s="9"/>
      <c r="AR2618" s="9"/>
      <c r="AS2618" s="9"/>
      <c r="AT2618" s="9"/>
      <c r="AU2618" s="9"/>
    </row>
    <row r="2619" spans="1:47" ht="15.75" customHeight="1">
      <c r="A2619" s="9"/>
      <c r="B2619" s="9"/>
      <c r="C2619" s="9"/>
      <c r="D2619" s="9"/>
      <c r="E2619" s="9"/>
      <c r="F2619" s="67"/>
      <c r="G2619" s="9"/>
      <c r="H2619" s="9"/>
      <c r="I2619" s="9"/>
      <c r="J2619" s="9"/>
      <c r="K2619" s="9"/>
      <c r="L2619" s="9"/>
      <c r="M2619" s="9"/>
      <c r="N2619" s="9"/>
      <c r="O2619" s="9"/>
      <c r="P2619" s="9"/>
      <c r="Q2619" s="9"/>
      <c r="R2619" s="9"/>
      <c r="S2619" s="9"/>
      <c r="T2619" s="9"/>
      <c r="U2619" s="9"/>
      <c r="V2619" s="9"/>
      <c r="W2619" s="9"/>
      <c r="X2619" s="9"/>
      <c r="Y2619" s="9"/>
      <c r="Z2619" s="9"/>
      <c r="AA2619" s="9"/>
      <c r="AB2619" s="9"/>
      <c r="AC2619" s="9"/>
      <c r="AD2619" s="9"/>
      <c r="AE2619" s="9"/>
      <c r="AF2619" s="9"/>
      <c r="AG2619" s="9"/>
      <c r="AH2619" s="9"/>
      <c r="AI2619" s="9"/>
      <c r="AJ2619" s="9"/>
      <c r="AK2619" s="9"/>
      <c r="AL2619" s="9"/>
      <c r="AM2619" s="9"/>
      <c r="AN2619" s="9"/>
      <c r="AO2619" s="9"/>
      <c r="AP2619" s="9"/>
      <c r="AQ2619" s="9"/>
      <c r="AR2619" s="9"/>
      <c r="AS2619" s="9"/>
      <c r="AT2619" s="9"/>
      <c r="AU2619" s="9"/>
    </row>
    <row r="2620" spans="1:47" ht="15.75" customHeight="1">
      <c r="A2620" s="9"/>
      <c r="B2620" s="9"/>
      <c r="C2620" s="9"/>
      <c r="D2620" s="9"/>
      <c r="E2620" s="9"/>
      <c r="F2620" s="67"/>
      <c r="G2620" s="9"/>
      <c r="H2620" s="9"/>
      <c r="I2620" s="9"/>
      <c r="J2620" s="9"/>
      <c r="K2620" s="9"/>
      <c r="L2620" s="9"/>
      <c r="M2620" s="9"/>
      <c r="N2620" s="9"/>
      <c r="O2620" s="9"/>
      <c r="P2620" s="9"/>
      <c r="Q2620" s="9"/>
      <c r="R2620" s="9"/>
      <c r="S2620" s="9"/>
      <c r="T2620" s="9"/>
      <c r="U2620" s="9"/>
      <c r="V2620" s="9"/>
      <c r="W2620" s="9"/>
      <c r="X2620" s="9"/>
      <c r="Y2620" s="9"/>
      <c r="Z2620" s="9"/>
      <c r="AA2620" s="9"/>
      <c r="AB2620" s="9"/>
      <c r="AC2620" s="9"/>
      <c r="AD2620" s="9"/>
      <c r="AE2620" s="9"/>
      <c r="AF2620" s="9"/>
      <c r="AG2620" s="9"/>
      <c r="AH2620" s="9"/>
      <c r="AI2620" s="9"/>
      <c r="AJ2620" s="9"/>
      <c r="AK2620" s="9"/>
      <c r="AL2620" s="9"/>
      <c r="AM2620" s="9"/>
      <c r="AN2620" s="9"/>
      <c r="AO2620" s="9"/>
      <c r="AP2620" s="9"/>
      <c r="AQ2620" s="9"/>
      <c r="AR2620" s="9"/>
      <c r="AS2620" s="9"/>
      <c r="AT2620" s="9"/>
      <c r="AU2620" s="9"/>
    </row>
    <row r="2621" spans="1:47" ht="15.75" customHeight="1">
      <c r="A2621" s="9"/>
      <c r="B2621" s="9"/>
      <c r="C2621" s="9"/>
      <c r="D2621" s="9"/>
      <c r="E2621" s="9"/>
      <c r="F2621" s="67"/>
      <c r="G2621" s="9"/>
      <c r="H2621" s="9"/>
      <c r="I2621" s="9"/>
      <c r="J2621" s="9"/>
      <c r="K2621" s="9"/>
      <c r="L2621" s="9"/>
      <c r="M2621" s="9"/>
      <c r="N2621" s="9"/>
      <c r="O2621" s="9"/>
      <c r="P2621" s="9"/>
      <c r="Q2621" s="9"/>
      <c r="R2621" s="9"/>
      <c r="S2621" s="9"/>
      <c r="T2621" s="9"/>
      <c r="U2621" s="9"/>
      <c r="V2621" s="9"/>
      <c r="W2621" s="9"/>
      <c r="X2621" s="9"/>
      <c r="Y2621" s="9"/>
      <c r="Z2621" s="9"/>
      <c r="AA2621" s="9"/>
      <c r="AB2621" s="9"/>
      <c r="AC2621" s="9"/>
      <c r="AD2621" s="9"/>
      <c r="AE2621" s="9"/>
      <c r="AF2621" s="9"/>
      <c r="AG2621" s="9"/>
      <c r="AH2621" s="9"/>
      <c r="AI2621" s="9"/>
      <c r="AJ2621" s="9"/>
      <c r="AK2621" s="9"/>
      <c r="AL2621" s="9"/>
      <c r="AM2621" s="9"/>
      <c r="AN2621" s="9"/>
      <c r="AO2621" s="9"/>
      <c r="AP2621" s="9"/>
      <c r="AQ2621" s="9"/>
      <c r="AR2621" s="9"/>
      <c r="AS2621" s="9"/>
      <c r="AT2621" s="9"/>
      <c r="AU2621" s="9"/>
    </row>
    <row r="2622" spans="1:47" ht="15.75" customHeight="1">
      <c r="A2622" s="9"/>
      <c r="B2622" s="9"/>
      <c r="C2622" s="9"/>
      <c r="D2622" s="9"/>
      <c r="E2622" s="9"/>
      <c r="F2622" s="67"/>
      <c r="G2622" s="9"/>
      <c r="H2622" s="9"/>
      <c r="I2622" s="9"/>
      <c r="J2622" s="9"/>
      <c r="K2622" s="9"/>
      <c r="L2622" s="9"/>
      <c r="M2622" s="9"/>
      <c r="N2622" s="9"/>
      <c r="O2622" s="9"/>
      <c r="P2622" s="9"/>
      <c r="Q2622" s="9"/>
      <c r="R2622" s="9"/>
      <c r="S2622" s="9"/>
      <c r="T2622" s="9"/>
      <c r="U2622" s="9"/>
      <c r="V2622" s="9"/>
      <c r="W2622" s="9"/>
      <c r="X2622" s="9"/>
      <c r="Y2622" s="9"/>
      <c r="Z2622" s="9"/>
      <c r="AA2622" s="9"/>
      <c r="AB2622" s="9"/>
      <c r="AC2622" s="9"/>
      <c r="AD2622" s="9"/>
      <c r="AE2622" s="9"/>
      <c r="AF2622" s="9"/>
      <c r="AG2622" s="9"/>
      <c r="AH2622" s="9"/>
      <c r="AI2622" s="9"/>
      <c r="AJ2622" s="9"/>
      <c r="AK2622" s="9"/>
      <c r="AL2622" s="9"/>
      <c r="AM2622" s="9"/>
      <c r="AN2622" s="9"/>
      <c r="AO2622" s="9"/>
      <c r="AP2622" s="9"/>
      <c r="AQ2622" s="9"/>
      <c r="AR2622" s="9"/>
      <c r="AS2622" s="9"/>
      <c r="AT2622" s="9"/>
      <c r="AU2622" s="9"/>
    </row>
    <row r="2623" spans="1:47" ht="15.75" customHeight="1">
      <c r="A2623" s="9"/>
      <c r="B2623" s="9"/>
      <c r="C2623" s="9"/>
      <c r="D2623" s="9"/>
      <c r="E2623" s="9"/>
      <c r="F2623" s="67"/>
      <c r="G2623" s="9"/>
      <c r="H2623" s="9"/>
      <c r="I2623" s="9"/>
      <c r="J2623" s="9"/>
      <c r="K2623" s="9"/>
      <c r="L2623" s="9"/>
      <c r="M2623" s="9"/>
      <c r="N2623" s="9"/>
      <c r="O2623" s="9"/>
      <c r="P2623" s="9"/>
      <c r="Q2623" s="9"/>
      <c r="R2623" s="9"/>
      <c r="S2623" s="9"/>
      <c r="T2623" s="9"/>
      <c r="U2623" s="9"/>
      <c r="V2623" s="9"/>
      <c r="W2623" s="9"/>
      <c r="X2623" s="9"/>
      <c r="Y2623" s="9"/>
      <c r="Z2623" s="9"/>
      <c r="AA2623" s="9"/>
      <c r="AB2623" s="9"/>
      <c r="AC2623" s="9"/>
      <c r="AD2623" s="9"/>
      <c r="AE2623" s="9"/>
      <c r="AF2623" s="9"/>
      <c r="AG2623" s="9"/>
      <c r="AH2623" s="9"/>
      <c r="AI2623" s="9"/>
      <c r="AJ2623" s="9"/>
      <c r="AK2623" s="9"/>
      <c r="AL2623" s="9"/>
      <c r="AM2623" s="9"/>
      <c r="AN2623" s="9"/>
      <c r="AO2623" s="9"/>
      <c r="AP2623" s="9"/>
      <c r="AQ2623" s="9"/>
      <c r="AR2623" s="9"/>
      <c r="AS2623" s="9"/>
      <c r="AT2623" s="9"/>
      <c r="AU2623" s="9"/>
    </row>
    <row r="2624" spans="1:47" ht="15.75" customHeight="1">
      <c r="A2624" s="9"/>
      <c r="B2624" s="9"/>
      <c r="C2624" s="9"/>
      <c r="D2624" s="9"/>
      <c r="E2624" s="9"/>
      <c r="F2624" s="67"/>
      <c r="G2624" s="9"/>
      <c r="H2624" s="9"/>
      <c r="I2624" s="9"/>
      <c r="J2624" s="9"/>
      <c r="K2624" s="9"/>
      <c r="L2624" s="9"/>
      <c r="M2624" s="9"/>
      <c r="N2624" s="9"/>
      <c r="O2624" s="9"/>
      <c r="P2624" s="9"/>
      <c r="Q2624" s="9"/>
      <c r="R2624" s="9"/>
      <c r="S2624" s="9"/>
      <c r="T2624" s="9"/>
      <c r="U2624" s="9"/>
      <c r="V2624" s="9"/>
      <c r="W2624" s="9"/>
      <c r="X2624" s="9"/>
      <c r="Y2624" s="9"/>
      <c r="Z2624" s="9"/>
      <c r="AA2624" s="9"/>
      <c r="AB2624" s="9"/>
      <c r="AC2624" s="9"/>
      <c r="AD2624" s="9"/>
      <c r="AE2624" s="9"/>
      <c r="AF2624" s="9"/>
      <c r="AG2624" s="9"/>
      <c r="AH2624" s="9"/>
      <c r="AI2624" s="9"/>
      <c r="AJ2624" s="9"/>
      <c r="AK2624" s="9"/>
      <c r="AL2624" s="9"/>
      <c r="AM2624" s="9"/>
      <c r="AN2624" s="9"/>
      <c r="AO2624" s="9"/>
      <c r="AP2624" s="9"/>
      <c r="AQ2624" s="9"/>
      <c r="AR2624" s="9"/>
      <c r="AS2624" s="9"/>
      <c r="AT2624" s="9"/>
      <c r="AU2624" s="9"/>
    </row>
    <row r="2625" spans="1:47" ht="15.75" customHeight="1">
      <c r="A2625" s="9"/>
      <c r="B2625" s="9"/>
      <c r="C2625" s="9"/>
      <c r="D2625" s="9"/>
      <c r="E2625" s="9"/>
      <c r="F2625" s="67"/>
      <c r="G2625" s="9"/>
      <c r="H2625" s="9"/>
      <c r="I2625" s="9"/>
      <c r="J2625" s="9"/>
      <c r="K2625" s="9"/>
      <c r="L2625" s="9"/>
      <c r="M2625" s="9"/>
      <c r="N2625" s="9"/>
      <c r="O2625" s="9"/>
      <c r="P2625" s="9"/>
      <c r="Q2625" s="9"/>
      <c r="R2625" s="9"/>
      <c r="S2625" s="9"/>
      <c r="T2625" s="9"/>
      <c r="U2625" s="9"/>
      <c r="V2625" s="9"/>
      <c r="W2625" s="9"/>
      <c r="X2625" s="9"/>
      <c r="Y2625" s="9"/>
      <c r="Z2625" s="9"/>
      <c r="AA2625" s="9"/>
      <c r="AB2625" s="9"/>
      <c r="AC2625" s="9"/>
      <c r="AD2625" s="9"/>
      <c r="AE2625" s="9"/>
      <c r="AF2625" s="9"/>
      <c r="AG2625" s="9"/>
      <c r="AH2625" s="9"/>
      <c r="AI2625" s="9"/>
      <c r="AJ2625" s="9"/>
      <c r="AK2625" s="9"/>
      <c r="AL2625" s="9"/>
      <c r="AM2625" s="9"/>
      <c r="AN2625" s="9"/>
      <c r="AO2625" s="9"/>
      <c r="AP2625" s="9"/>
      <c r="AQ2625" s="9"/>
      <c r="AR2625" s="9"/>
      <c r="AS2625" s="9"/>
      <c r="AT2625" s="9"/>
      <c r="AU2625" s="9"/>
    </row>
    <row r="2626" spans="1:47" ht="15.75" customHeight="1">
      <c r="A2626" s="9"/>
      <c r="B2626" s="9"/>
      <c r="C2626" s="9"/>
      <c r="D2626" s="9"/>
      <c r="E2626" s="9"/>
      <c r="F2626" s="67"/>
      <c r="G2626" s="9"/>
      <c r="H2626" s="9"/>
      <c r="I2626" s="9"/>
      <c r="J2626" s="9"/>
      <c r="K2626" s="9"/>
      <c r="L2626" s="9"/>
      <c r="M2626" s="9"/>
      <c r="N2626" s="9"/>
      <c r="O2626" s="9"/>
      <c r="P2626" s="9"/>
      <c r="Q2626" s="9"/>
      <c r="R2626" s="9"/>
      <c r="S2626" s="9"/>
      <c r="T2626" s="9"/>
      <c r="U2626" s="9"/>
      <c r="V2626" s="9"/>
      <c r="W2626" s="9"/>
      <c r="X2626" s="9"/>
      <c r="Y2626" s="9"/>
      <c r="Z2626" s="9"/>
      <c r="AA2626" s="9"/>
      <c r="AB2626" s="9"/>
      <c r="AC2626" s="9"/>
      <c r="AD2626" s="9"/>
      <c r="AE2626" s="9"/>
      <c r="AF2626" s="9"/>
      <c r="AG2626" s="9"/>
      <c r="AH2626" s="9"/>
      <c r="AI2626" s="9"/>
      <c r="AJ2626" s="9"/>
      <c r="AK2626" s="9"/>
      <c r="AL2626" s="9"/>
      <c r="AM2626" s="9"/>
      <c r="AN2626" s="9"/>
      <c r="AO2626" s="9"/>
      <c r="AP2626" s="9"/>
      <c r="AQ2626" s="9"/>
      <c r="AR2626" s="9"/>
      <c r="AS2626" s="9"/>
      <c r="AT2626" s="9"/>
      <c r="AU2626" s="9"/>
    </row>
    <row r="2627" spans="1:47" ht="15.75" customHeight="1">
      <c r="A2627" s="9"/>
      <c r="B2627" s="9"/>
      <c r="C2627" s="9"/>
      <c r="D2627" s="9"/>
      <c r="E2627" s="9"/>
      <c r="F2627" s="67"/>
      <c r="G2627" s="9"/>
      <c r="H2627" s="9"/>
      <c r="I2627" s="9"/>
      <c r="J2627" s="9"/>
      <c r="K2627" s="9"/>
      <c r="L2627" s="9"/>
      <c r="M2627" s="9"/>
      <c r="N2627" s="9"/>
      <c r="O2627" s="9"/>
      <c r="P2627" s="9"/>
      <c r="Q2627" s="9"/>
      <c r="R2627" s="9"/>
      <c r="S2627" s="9"/>
      <c r="T2627" s="9"/>
      <c r="U2627" s="9"/>
      <c r="V2627" s="9"/>
      <c r="W2627" s="9"/>
      <c r="X2627" s="9"/>
      <c r="Y2627" s="9"/>
      <c r="Z2627" s="9"/>
      <c r="AA2627" s="9"/>
      <c r="AB2627" s="9"/>
      <c r="AC2627" s="9"/>
      <c r="AD2627" s="9"/>
      <c r="AE2627" s="9"/>
      <c r="AF2627" s="9"/>
      <c r="AG2627" s="9"/>
      <c r="AH2627" s="9"/>
      <c r="AI2627" s="9"/>
      <c r="AJ2627" s="9"/>
      <c r="AK2627" s="9"/>
      <c r="AL2627" s="9"/>
      <c r="AM2627" s="9"/>
      <c r="AN2627" s="9"/>
      <c r="AO2627" s="9"/>
      <c r="AP2627" s="9"/>
      <c r="AQ2627" s="9"/>
      <c r="AR2627" s="9"/>
      <c r="AS2627" s="9"/>
      <c r="AT2627" s="9"/>
      <c r="AU2627" s="9"/>
    </row>
    <row r="2628" spans="1:47" ht="15.75" customHeight="1">
      <c r="A2628" s="9"/>
      <c r="B2628" s="9"/>
      <c r="C2628" s="9"/>
      <c r="D2628" s="9"/>
      <c r="E2628" s="9"/>
      <c r="F2628" s="67"/>
      <c r="G2628" s="9"/>
      <c r="H2628" s="9"/>
      <c r="I2628" s="9"/>
      <c r="J2628" s="9"/>
      <c r="K2628" s="9"/>
      <c r="L2628" s="9"/>
      <c r="M2628" s="9"/>
      <c r="N2628" s="9"/>
      <c r="O2628" s="9"/>
      <c r="P2628" s="9"/>
      <c r="Q2628" s="9"/>
      <c r="R2628" s="9"/>
      <c r="S2628" s="9"/>
      <c r="T2628" s="9"/>
      <c r="U2628" s="9"/>
      <c r="V2628" s="9"/>
      <c r="W2628" s="9"/>
      <c r="X2628" s="9"/>
      <c r="Y2628" s="9"/>
      <c r="Z2628" s="9"/>
      <c r="AA2628" s="9"/>
      <c r="AB2628" s="9"/>
      <c r="AC2628" s="9"/>
      <c r="AD2628" s="9"/>
      <c r="AE2628" s="9"/>
      <c r="AF2628" s="9"/>
      <c r="AG2628" s="9"/>
      <c r="AH2628" s="9"/>
      <c r="AI2628" s="9"/>
      <c r="AJ2628" s="9"/>
      <c r="AK2628" s="9"/>
      <c r="AL2628" s="9"/>
      <c r="AM2628" s="9"/>
      <c r="AN2628" s="9"/>
      <c r="AO2628" s="9"/>
      <c r="AP2628" s="9"/>
      <c r="AQ2628" s="9"/>
      <c r="AR2628" s="9"/>
      <c r="AS2628" s="9"/>
      <c r="AT2628" s="9"/>
      <c r="AU2628" s="9"/>
    </row>
    <row r="2629" spans="1:47" ht="15.75" customHeight="1">
      <c r="A2629" s="9"/>
      <c r="B2629" s="9"/>
      <c r="C2629" s="9"/>
      <c r="D2629" s="9"/>
      <c r="E2629" s="9"/>
      <c r="F2629" s="67"/>
      <c r="G2629" s="9"/>
      <c r="H2629" s="9"/>
      <c r="I2629" s="9"/>
      <c r="J2629" s="9"/>
      <c r="K2629" s="9"/>
      <c r="L2629" s="9"/>
      <c r="M2629" s="9"/>
      <c r="N2629" s="9"/>
      <c r="O2629" s="9"/>
      <c r="P2629" s="9"/>
      <c r="Q2629" s="9"/>
      <c r="R2629" s="9"/>
      <c r="S2629" s="9"/>
      <c r="T2629" s="9"/>
      <c r="U2629" s="9"/>
      <c r="V2629" s="9"/>
      <c r="W2629" s="9"/>
      <c r="X2629" s="9"/>
      <c r="Y2629" s="9"/>
      <c r="Z2629" s="9"/>
      <c r="AA2629" s="9"/>
      <c r="AB2629" s="9"/>
      <c r="AC2629" s="9"/>
      <c r="AD2629" s="9"/>
      <c r="AE2629" s="9"/>
      <c r="AF2629" s="9"/>
      <c r="AG2629" s="9"/>
      <c r="AH2629" s="9"/>
      <c r="AI2629" s="9"/>
      <c r="AJ2629" s="9"/>
      <c r="AK2629" s="9"/>
      <c r="AL2629" s="9"/>
      <c r="AM2629" s="9"/>
      <c r="AN2629" s="9"/>
      <c r="AO2629" s="9"/>
      <c r="AP2629" s="9"/>
      <c r="AQ2629" s="9"/>
      <c r="AR2629" s="9"/>
      <c r="AS2629" s="9"/>
      <c r="AT2629" s="9"/>
      <c r="AU2629" s="9"/>
    </row>
    <row r="2630" spans="1:47" ht="15.75" customHeight="1">
      <c r="A2630" s="9"/>
      <c r="B2630" s="9"/>
      <c r="C2630" s="9"/>
      <c r="D2630" s="9"/>
      <c r="E2630" s="9"/>
      <c r="F2630" s="67"/>
      <c r="G2630" s="9"/>
      <c r="H2630" s="9"/>
      <c r="I2630" s="9"/>
      <c r="J2630" s="9"/>
      <c r="K2630" s="9"/>
      <c r="L2630" s="9"/>
      <c r="M2630" s="9"/>
      <c r="N2630" s="9"/>
      <c r="O2630" s="9"/>
      <c r="P2630" s="9"/>
      <c r="Q2630" s="9"/>
      <c r="R2630" s="9"/>
      <c r="S2630" s="9"/>
      <c r="T2630" s="9"/>
      <c r="U2630" s="9"/>
      <c r="V2630" s="9"/>
      <c r="W2630" s="9"/>
      <c r="X2630" s="9"/>
      <c r="Y2630" s="9"/>
      <c r="Z2630" s="9"/>
      <c r="AA2630" s="9"/>
      <c r="AB2630" s="9"/>
      <c r="AC2630" s="9"/>
      <c r="AD2630" s="9"/>
      <c r="AE2630" s="9"/>
      <c r="AF2630" s="9"/>
      <c r="AG2630" s="9"/>
      <c r="AH2630" s="9"/>
      <c r="AI2630" s="9"/>
      <c r="AJ2630" s="9"/>
      <c r="AK2630" s="9"/>
      <c r="AL2630" s="9"/>
      <c r="AM2630" s="9"/>
      <c r="AN2630" s="9"/>
      <c r="AO2630" s="9"/>
      <c r="AP2630" s="9"/>
      <c r="AQ2630" s="9"/>
      <c r="AR2630" s="9"/>
      <c r="AS2630" s="9"/>
      <c r="AT2630" s="9"/>
      <c r="AU2630" s="9"/>
    </row>
    <row r="2631" spans="1:47" ht="15.75" customHeight="1">
      <c r="A2631" s="9"/>
      <c r="B2631" s="9"/>
      <c r="C2631" s="9"/>
      <c r="D2631" s="9"/>
      <c r="E2631" s="9"/>
      <c r="F2631" s="67"/>
      <c r="G2631" s="9"/>
      <c r="H2631" s="9"/>
      <c r="I2631" s="9"/>
      <c r="J2631" s="9"/>
      <c r="K2631" s="9"/>
      <c r="L2631" s="9"/>
      <c r="M2631" s="9"/>
      <c r="N2631" s="9"/>
      <c r="O2631" s="9"/>
      <c r="P2631" s="9"/>
      <c r="Q2631" s="9"/>
      <c r="R2631" s="9"/>
      <c r="S2631" s="9"/>
      <c r="T2631" s="9"/>
      <c r="U2631" s="9"/>
      <c r="V2631" s="9"/>
      <c r="W2631" s="9"/>
      <c r="X2631" s="9"/>
      <c r="Y2631" s="9"/>
      <c r="Z2631" s="9"/>
      <c r="AA2631" s="9"/>
      <c r="AB2631" s="9"/>
      <c r="AC2631" s="9"/>
      <c r="AD2631" s="9"/>
      <c r="AE2631" s="9"/>
      <c r="AF2631" s="9"/>
      <c r="AG2631" s="9"/>
      <c r="AH2631" s="9"/>
      <c r="AI2631" s="9"/>
      <c r="AJ2631" s="9"/>
      <c r="AK2631" s="9"/>
      <c r="AL2631" s="9"/>
      <c r="AM2631" s="9"/>
      <c r="AN2631" s="9"/>
      <c r="AO2631" s="9"/>
      <c r="AP2631" s="9"/>
      <c r="AQ2631" s="9"/>
      <c r="AR2631" s="9"/>
      <c r="AS2631" s="9"/>
      <c r="AT2631" s="9"/>
      <c r="AU2631" s="9"/>
    </row>
    <row r="2632" spans="1:47" ht="15.75" customHeight="1">
      <c r="A2632" s="9"/>
      <c r="B2632" s="9"/>
      <c r="C2632" s="9"/>
      <c r="D2632" s="9"/>
      <c r="E2632" s="9"/>
      <c r="F2632" s="67"/>
      <c r="G2632" s="9"/>
      <c r="H2632" s="9"/>
      <c r="I2632" s="9"/>
      <c r="J2632" s="9"/>
      <c r="K2632" s="9"/>
      <c r="L2632" s="9"/>
      <c r="M2632" s="9"/>
      <c r="N2632" s="9"/>
      <c r="O2632" s="9"/>
      <c r="P2632" s="9"/>
      <c r="Q2632" s="9"/>
      <c r="R2632" s="9"/>
      <c r="S2632" s="9"/>
      <c r="T2632" s="9"/>
      <c r="U2632" s="9"/>
      <c r="V2632" s="9"/>
      <c r="W2632" s="9"/>
      <c r="X2632" s="9"/>
      <c r="Y2632" s="9"/>
      <c r="Z2632" s="9"/>
      <c r="AA2632" s="9"/>
      <c r="AB2632" s="9"/>
      <c r="AC2632" s="9"/>
      <c r="AD2632" s="9"/>
      <c r="AE2632" s="9"/>
      <c r="AF2632" s="9"/>
      <c r="AG2632" s="9"/>
      <c r="AH2632" s="9"/>
      <c r="AI2632" s="9"/>
      <c r="AJ2632" s="9"/>
      <c r="AK2632" s="9"/>
      <c r="AL2632" s="9"/>
      <c r="AM2632" s="9"/>
      <c r="AN2632" s="9"/>
      <c r="AO2632" s="9"/>
      <c r="AP2632" s="9"/>
      <c r="AQ2632" s="9"/>
      <c r="AR2632" s="9"/>
      <c r="AS2632" s="9"/>
      <c r="AT2632" s="9"/>
      <c r="AU2632" s="9"/>
    </row>
    <row r="2633" spans="1:47" ht="15.75" customHeight="1">
      <c r="A2633" s="9"/>
      <c r="B2633" s="9"/>
      <c r="C2633" s="9"/>
      <c r="D2633" s="9"/>
      <c r="E2633" s="9"/>
      <c r="F2633" s="67"/>
      <c r="G2633" s="9"/>
      <c r="H2633" s="9"/>
      <c r="I2633" s="9"/>
      <c r="J2633" s="9"/>
      <c r="K2633" s="9"/>
      <c r="L2633" s="9"/>
      <c r="M2633" s="9"/>
      <c r="N2633" s="9"/>
      <c r="O2633" s="9"/>
      <c r="P2633" s="9"/>
      <c r="Q2633" s="9"/>
      <c r="R2633" s="9"/>
      <c r="S2633" s="9"/>
      <c r="T2633" s="9"/>
      <c r="U2633" s="9"/>
      <c r="V2633" s="9"/>
      <c r="W2633" s="9"/>
      <c r="X2633" s="9"/>
      <c r="Y2633" s="9"/>
      <c r="Z2633" s="9"/>
      <c r="AA2633" s="9"/>
      <c r="AB2633" s="9"/>
      <c r="AC2633" s="9"/>
      <c r="AD2633" s="9"/>
      <c r="AE2633" s="9"/>
      <c r="AF2633" s="9"/>
      <c r="AG2633" s="9"/>
      <c r="AH2633" s="9"/>
      <c r="AI2633" s="9"/>
      <c r="AJ2633" s="9"/>
      <c r="AK2633" s="9"/>
      <c r="AL2633" s="9"/>
      <c r="AM2633" s="9"/>
      <c r="AN2633" s="9"/>
      <c r="AO2633" s="9"/>
      <c r="AP2633" s="9"/>
      <c r="AQ2633" s="9"/>
      <c r="AR2633" s="9"/>
      <c r="AS2633" s="9"/>
      <c r="AT2633" s="9"/>
      <c r="AU2633" s="9"/>
    </row>
    <row r="2634" spans="1:47" ht="15.75" customHeight="1">
      <c r="A2634" s="9"/>
      <c r="B2634" s="9"/>
      <c r="C2634" s="9"/>
      <c r="D2634" s="9"/>
      <c r="E2634" s="9"/>
      <c r="F2634" s="67"/>
      <c r="G2634" s="9"/>
      <c r="H2634" s="9"/>
      <c r="I2634" s="9"/>
      <c r="J2634" s="9"/>
      <c r="K2634" s="9"/>
      <c r="L2634" s="9"/>
      <c r="M2634" s="9"/>
      <c r="N2634" s="9"/>
      <c r="O2634" s="9"/>
      <c r="P2634" s="9"/>
      <c r="Q2634" s="9"/>
      <c r="R2634" s="9"/>
      <c r="S2634" s="9"/>
      <c r="T2634" s="9"/>
      <c r="U2634" s="9"/>
      <c r="V2634" s="9"/>
      <c r="W2634" s="9"/>
      <c r="X2634" s="9"/>
      <c r="Y2634" s="9"/>
      <c r="Z2634" s="9"/>
      <c r="AA2634" s="9"/>
      <c r="AB2634" s="9"/>
      <c r="AC2634" s="9"/>
      <c r="AD2634" s="9"/>
      <c r="AE2634" s="9"/>
      <c r="AF2634" s="9"/>
      <c r="AG2634" s="9"/>
      <c r="AH2634" s="9"/>
      <c r="AI2634" s="9"/>
      <c r="AJ2634" s="9"/>
      <c r="AK2634" s="9"/>
      <c r="AL2634" s="9"/>
      <c r="AM2634" s="9"/>
      <c r="AN2634" s="9"/>
      <c r="AO2634" s="9"/>
      <c r="AP2634" s="9"/>
      <c r="AQ2634" s="9"/>
      <c r="AR2634" s="9"/>
      <c r="AS2634" s="9"/>
      <c r="AT2634" s="9"/>
      <c r="AU2634" s="9"/>
    </row>
    <row r="2635" spans="1:47" ht="15.75" customHeight="1">
      <c r="A2635" s="9"/>
      <c r="B2635" s="9"/>
      <c r="C2635" s="9"/>
      <c r="D2635" s="9"/>
      <c r="E2635" s="9"/>
      <c r="F2635" s="67"/>
      <c r="G2635" s="9"/>
      <c r="H2635" s="9"/>
      <c r="I2635" s="9"/>
      <c r="J2635" s="9"/>
      <c r="K2635" s="9"/>
      <c r="L2635" s="9"/>
      <c r="M2635" s="9"/>
      <c r="N2635" s="9"/>
      <c r="O2635" s="9"/>
      <c r="P2635" s="9"/>
      <c r="Q2635" s="9"/>
      <c r="R2635" s="9"/>
      <c r="S2635" s="9"/>
      <c r="T2635" s="9"/>
      <c r="U2635" s="9"/>
      <c r="V2635" s="9"/>
      <c r="W2635" s="9"/>
      <c r="X2635" s="9"/>
      <c r="Y2635" s="9"/>
      <c r="Z2635" s="9"/>
      <c r="AA2635" s="9"/>
      <c r="AB2635" s="9"/>
      <c r="AC2635" s="9"/>
      <c r="AD2635" s="9"/>
      <c r="AE2635" s="9"/>
      <c r="AF2635" s="9"/>
      <c r="AG2635" s="9"/>
      <c r="AH2635" s="9"/>
      <c r="AI2635" s="9"/>
      <c r="AJ2635" s="9"/>
      <c r="AK2635" s="9"/>
      <c r="AL2635" s="9"/>
      <c r="AM2635" s="9"/>
      <c r="AN2635" s="9"/>
      <c r="AO2635" s="9"/>
      <c r="AP2635" s="9"/>
      <c r="AQ2635" s="9"/>
      <c r="AR2635" s="9"/>
      <c r="AS2635" s="9"/>
      <c r="AT2635" s="9"/>
      <c r="AU2635" s="9"/>
    </row>
    <row r="2636" spans="1:47" ht="15.75" customHeight="1">
      <c r="A2636" s="9"/>
      <c r="B2636" s="9"/>
      <c r="C2636" s="9"/>
      <c r="D2636" s="9"/>
      <c r="E2636" s="9"/>
      <c r="F2636" s="67"/>
      <c r="G2636" s="9"/>
      <c r="H2636" s="9"/>
      <c r="I2636" s="9"/>
      <c r="J2636" s="9"/>
      <c r="K2636" s="9"/>
      <c r="L2636" s="9"/>
      <c r="M2636" s="9"/>
      <c r="N2636" s="9"/>
      <c r="O2636" s="9"/>
      <c r="P2636" s="9"/>
      <c r="Q2636" s="9"/>
      <c r="R2636" s="9"/>
      <c r="S2636" s="9"/>
      <c r="T2636" s="9"/>
      <c r="U2636" s="9"/>
      <c r="V2636" s="9"/>
      <c r="W2636" s="9"/>
      <c r="X2636" s="9"/>
      <c r="Y2636" s="9"/>
      <c r="Z2636" s="9"/>
      <c r="AA2636" s="9"/>
      <c r="AB2636" s="9"/>
      <c r="AC2636" s="9"/>
      <c r="AD2636" s="9"/>
      <c r="AE2636" s="9"/>
      <c r="AF2636" s="9"/>
      <c r="AG2636" s="9"/>
      <c r="AH2636" s="9"/>
      <c r="AI2636" s="9"/>
      <c r="AJ2636" s="9"/>
      <c r="AK2636" s="9"/>
      <c r="AL2636" s="9"/>
      <c r="AM2636" s="9"/>
      <c r="AN2636" s="9"/>
      <c r="AO2636" s="9"/>
      <c r="AP2636" s="9"/>
      <c r="AQ2636" s="9"/>
      <c r="AR2636" s="9"/>
      <c r="AS2636" s="9"/>
      <c r="AT2636" s="9"/>
      <c r="AU2636" s="9"/>
    </row>
    <row r="2637" spans="1:47" ht="15.75" customHeight="1">
      <c r="A2637" s="9"/>
      <c r="B2637" s="9"/>
      <c r="C2637" s="9"/>
      <c r="D2637" s="9"/>
      <c r="E2637" s="9"/>
      <c r="F2637" s="67"/>
      <c r="G2637" s="9"/>
      <c r="H2637" s="9"/>
      <c r="I2637" s="9"/>
      <c r="J2637" s="9"/>
      <c r="K2637" s="9"/>
      <c r="L2637" s="9"/>
      <c r="M2637" s="9"/>
      <c r="N2637" s="9"/>
      <c r="O2637" s="9"/>
      <c r="P2637" s="9"/>
      <c r="Q2637" s="9"/>
      <c r="R2637" s="9"/>
      <c r="S2637" s="9"/>
      <c r="T2637" s="9"/>
      <c r="U2637" s="9"/>
      <c r="V2637" s="9"/>
      <c r="W2637" s="9"/>
      <c r="X2637" s="9"/>
      <c r="Y2637" s="9"/>
      <c r="Z2637" s="9"/>
      <c r="AA2637" s="9"/>
      <c r="AB2637" s="9"/>
      <c r="AC2637" s="9"/>
      <c r="AD2637" s="9"/>
      <c r="AE2637" s="9"/>
      <c r="AF2637" s="9"/>
      <c r="AG2637" s="9"/>
      <c r="AH2637" s="9"/>
      <c r="AI2637" s="9"/>
      <c r="AJ2637" s="9"/>
      <c r="AK2637" s="9"/>
      <c r="AL2637" s="9"/>
      <c r="AM2637" s="9"/>
      <c r="AN2637" s="9"/>
      <c r="AO2637" s="9"/>
      <c r="AP2637" s="9"/>
      <c r="AQ2637" s="9"/>
      <c r="AR2637" s="9"/>
      <c r="AS2637" s="9"/>
      <c r="AT2637" s="9"/>
      <c r="AU2637" s="9"/>
    </row>
    <row r="2638" spans="1:47" ht="15.75" customHeight="1">
      <c r="A2638" s="9"/>
      <c r="B2638" s="9"/>
      <c r="C2638" s="9"/>
      <c r="D2638" s="9"/>
      <c r="E2638" s="9"/>
      <c r="F2638" s="67"/>
      <c r="G2638" s="9"/>
      <c r="H2638" s="9"/>
      <c r="I2638" s="9"/>
      <c r="J2638" s="9"/>
      <c r="K2638" s="9"/>
      <c r="L2638" s="9"/>
      <c r="M2638" s="9"/>
      <c r="N2638" s="9"/>
      <c r="O2638" s="9"/>
      <c r="P2638" s="9"/>
      <c r="Q2638" s="9"/>
      <c r="R2638" s="9"/>
      <c r="S2638" s="9"/>
      <c r="T2638" s="9"/>
      <c r="U2638" s="9"/>
      <c r="V2638" s="9"/>
      <c r="W2638" s="9"/>
      <c r="X2638" s="9"/>
      <c r="Y2638" s="9"/>
      <c r="Z2638" s="9"/>
      <c r="AA2638" s="9"/>
      <c r="AB2638" s="9"/>
      <c r="AC2638" s="9"/>
      <c r="AD2638" s="9"/>
      <c r="AE2638" s="9"/>
      <c r="AF2638" s="9"/>
      <c r="AG2638" s="9"/>
      <c r="AH2638" s="9"/>
      <c r="AI2638" s="9"/>
      <c r="AJ2638" s="9"/>
      <c r="AK2638" s="9"/>
      <c r="AL2638" s="9"/>
      <c r="AM2638" s="9"/>
      <c r="AN2638" s="9"/>
      <c r="AO2638" s="9"/>
      <c r="AP2638" s="9"/>
      <c r="AQ2638" s="9"/>
      <c r="AR2638" s="9"/>
      <c r="AS2638" s="9"/>
      <c r="AT2638" s="9"/>
      <c r="AU2638" s="9"/>
    </row>
    <row r="2639" spans="1:47" ht="15.75" customHeight="1">
      <c r="A2639" s="9"/>
      <c r="B2639" s="9"/>
      <c r="C2639" s="9"/>
      <c r="D2639" s="9"/>
      <c r="E2639" s="9"/>
      <c r="F2639" s="67"/>
      <c r="G2639" s="9"/>
      <c r="H2639" s="9"/>
      <c r="I2639" s="9"/>
      <c r="J2639" s="9"/>
      <c r="K2639" s="9"/>
      <c r="L2639" s="9"/>
      <c r="M2639" s="9"/>
      <c r="N2639" s="9"/>
      <c r="O2639" s="9"/>
      <c r="P2639" s="9"/>
      <c r="Q2639" s="9"/>
      <c r="R2639" s="9"/>
      <c r="S2639" s="9"/>
      <c r="T2639" s="9"/>
      <c r="U2639" s="9"/>
      <c r="V2639" s="9"/>
      <c r="W2639" s="9"/>
      <c r="X2639" s="9"/>
      <c r="Y2639" s="9"/>
      <c r="Z2639" s="9"/>
      <c r="AA2639" s="9"/>
      <c r="AB2639" s="9"/>
      <c r="AC2639" s="9"/>
      <c r="AD2639" s="9"/>
      <c r="AE2639" s="9"/>
      <c r="AF2639" s="9"/>
      <c r="AG2639" s="9"/>
      <c r="AH2639" s="9"/>
      <c r="AI2639" s="9"/>
      <c r="AJ2639" s="9"/>
      <c r="AK2639" s="9"/>
      <c r="AL2639" s="9"/>
      <c r="AM2639" s="9"/>
      <c r="AN2639" s="9"/>
      <c r="AO2639" s="9"/>
      <c r="AP2639" s="9"/>
      <c r="AQ2639" s="9"/>
      <c r="AR2639" s="9"/>
      <c r="AS2639" s="9"/>
      <c r="AT2639" s="9"/>
      <c r="AU2639" s="9"/>
    </row>
    <row r="2640" spans="1:47" ht="15.75" customHeight="1">
      <c r="A2640" s="9"/>
      <c r="B2640" s="9"/>
      <c r="C2640" s="9"/>
      <c r="D2640" s="9"/>
      <c r="E2640" s="9"/>
      <c r="F2640" s="67"/>
      <c r="G2640" s="9"/>
      <c r="H2640" s="9"/>
      <c r="I2640" s="9"/>
      <c r="J2640" s="9"/>
      <c r="K2640" s="9"/>
      <c r="L2640" s="9"/>
      <c r="M2640" s="9"/>
      <c r="N2640" s="9"/>
      <c r="O2640" s="9"/>
      <c r="P2640" s="9"/>
      <c r="Q2640" s="9"/>
      <c r="R2640" s="9"/>
      <c r="S2640" s="9"/>
      <c r="T2640" s="9"/>
      <c r="U2640" s="9"/>
      <c r="V2640" s="9"/>
      <c r="W2640" s="9"/>
      <c r="X2640" s="9"/>
      <c r="Y2640" s="9"/>
      <c r="Z2640" s="9"/>
      <c r="AA2640" s="9"/>
      <c r="AB2640" s="9"/>
      <c r="AC2640" s="9"/>
      <c r="AD2640" s="9"/>
      <c r="AE2640" s="9"/>
      <c r="AF2640" s="9"/>
      <c r="AG2640" s="9"/>
      <c r="AH2640" s="9"/>
      <c r="AI2640" s="9"/>
      <c r="AJ2640" s="9"/>
      <c r="AK2640" s="9"/>
      <c r="AL2640" s="9"/>
      <c r="AM2640" s="9"/>
      <c r="AN2640" s="9"/>
      <c r="AO2640" s="9"/>
      <c r="AP2640" s="9"/>
      <c r="AQ2640" s="9"/>
      <c r="AR2640" s="9"/>
      <c r="AS2640" s="9"/>
      <c r="AT2640" s="9"/>
      <c r="AU2640" s="9"/>
    </row>
    <row r="2641" spans="1:47" ht="15.75" customHeight="1">
      <c r="A2641" s="9"/>
      <c r="B2641" s="9"/>
      <c r="C2641" s="9"/>
      <c r="D2641" s="9"/>
      <c r="E2641" s="9"/>
      <c r="F2641" s="67"/>
      <c r="G2641" s="9"/>
      <c r="H2641" s="9"/>
      <c r="I2641" s="9"/>
      <c r="J2641" s="9"/>
      <c r="K2641" s="9"/>
      <c r="L2641" s="9"/>
      <c r="M2641" s="9"/>
      <c r="N2641" s="9"/>
      <c r="O2641" s="9"/>
      <c r="P2641" s="9"/>
      <c r="Q2641" s="9"/>
      <c r="R2641" s="9"/>
      <c r="S2641" s="9"/>
      <c r="T2641" s="9"/>
      <c r="U2641" s="9"/>
      <c r="V2641" s="9"/>
      <c r="W2641" s="9"/>
      <c r="X2641" s="9"/>
      <c r="Y2641" s="9"/>
      <c r="Z2641" s="9"/>
      <c r="AA2641" s="9"/>
      <c r="AB2641" s="9"/>
      <c r="AC2641" s="9"/>
      <c r="AD2641" s="9"/>
      <c r="AE2641" s="9"/>
      <c r="AF2641" s="9"/>
      <c r="AG2641" s="9"/>
      <c r="AH2641" s="9"/>
      <c r="AI2641" s="9"/>
      <c r="AJ2641" s="9"/>
      <c r="AK2641" s="9"/>
      <c r="AL2641" s="9"/>
      <c r="AM2641" s="9"/>
      <c r="AN2641" s="9"/>
      <c r="AO2641" s="9"/>
      <c r="AP2641" s="9"/>
      <c r="AQ2641" s="9"/>
      <c r="AR2641" s="9"/>
      <c r="AS2641" s="9"/>
      <c r="AT2641" s="9"/>
      <c r="AU2641" s="9"/>
    </row>
    <row r="2642" spans="1:47" ht="15.75" customHeight="1">
      <c r="A2642" s="9"/>
      <c r="B2642" s="9"/>
      <c r="C2642" s="9"/>
      <c r="D2642" s="9"/>
      <c r="E2642" s="9"/>
      <c r="F2642" s="67"/>
      <c r="G2642" s="9"/>
      <c r="H2642" s="9"/>
      <c r="I2642" s="9"/>
      <c r="J2642" s="9"/>
      <c r="K2642" s="9"/>
      <c r="L2642" s="9"/>
      <c r="M2642" s="9"/>
      <c r="N2642" s="9"/>
      <c r="O2642" s="9"/>
      <c r="P2642" s="9"/>
      <c r="Q2642" s="9"/>
      <c r="R2642" s="9"/>
      <c r="S2642" s="9"/>
      <c r="T2642" s="9"/>
      <c r="U2642" s="9"/>
      <c r="V2642" s="9"/>
      <c r="W2642" s="9"/>
      <c r="X2642" s="9"/>
      <c r="Y2642" s="9"/>
      <c r="Z2642" s="9"/>
      <c r="AA2642" s="9"/>
      <c r="AB2642" s="9"/>
      <c r="AC2642" s="9"/>
      <c r="AD2642" s="9"/>
      <c r="AE2642" s="9"/>
      <c r="AF2642" s="9"/>
      <c r="AG2642" s="9"/>
      <c r="AH2642" s="9"/>
      <c r="AI2642" s="9"/>
      <c r="AJ2642" s="9"/>
      <c r="AK2642" s="9"/>
      <c r="AL2642" s="9"/>
      <c r="AM2642" s="9"/>
      <c r="AN2642" s="9"/>
      <c r="AO2642" s="9"/>
      <c r="AP2642" s="9"/>
      <c r="AQ2642" s="9"/>
      <c r="AR2642" s="9"/>
      <c r="AS2642" s="9"/>
      <c r="AT2642" s="9"/>
      <c r="AU2642" s="9"/>
    </row>
    <row r="2643" spans="1:47" ht="15.75" customHeight="1">
      <c r="A2643" s="9"/>
      <c r="B2643" s="9"/>
      <c r="C2643" s="9"/>
      <c r="D2643" s="9"/>
      <c r="E2643" s="9"/>
      <c r="F2643" s="67"/>
      <c r="G2643" s="9"/>
      <c r="H2643" s="9"/>
      <c r="I2643" s="9"/>
      <c r="J2643" s="9"/>
      <c r="K2643" s="9"/>
      <c r="L2643" s="9"/>
      <c r="M2643" s="9"/>
      <c r="N2643" s="9"/>
      <c r="O2643" s="9"/>
      <c r="P2643" s="9"/>
      <c r="Q2643" s="9"/>
      <c r="R2643" s="9"/>
      <c r="S2643" s="9"/>
      <c r="T2643" s="9"/>
      <c r="U2643" s="9"/>
      <c r="V2643" s="9"/>
      <c r="W2643" s="9"/>
      <c r="X2643" s="9"/>
      <c r="Y2643" s="9"/>
      <c r="Z2643" s="9"/>
      <c r="AA2643" s="9"/>
      <c r="AB2643" s="9"/>
      <c r="AC2643" s="9"/>
      <c r="AD2643" s="9"/>
      <c r="AE2643" s="9"/>
      <c r="AF2643" s="9"/>
      <c r="AG2643" s="9"/>
      <c r="AH2643" s="9"/>
      <c r="AI2643" s="9"/>
      <c r="AJ2643" s="9"/>
      <c r="AK2643" s="9"/>
      <c r="AL2643" s="9"/>
      <c r="AM2643" s="9"/>
      <c r="AN2643" s="9"/>
      <c r="AO2643" s="9"/>
      <c r="AP2643" s="9"/>
      <c r="AQ2643" s="9"/>
      <c r="AR2643" s="9"/>
      <c r="AS2643" s="9"/>
      <c r="AT2643" s="9"/>
      <c r="AU2643" s="9"/>
    </row>
    <row r="2644" spans="1:47" ht="15.75" customHeight="1">
      <c r="A2644" s="9"/>
      <c r="B2644" s="9"/>
      <c r="C2644" s="9"/>
      <c r="D2644" s="9"/>
      <c r="E2644" s="9"/>
      <c r="F2644" s="67"/>
      <c r="G2644" s="9"/>
      <c r="H2644" s="9"/>
      <c r="I2644" s="9"/>
      <c r="J2644" s="9"/>
      <c r="K2644" s="9"/>
      <c r="L2644" s="9"/>
      <c r="M2644" s="9"/>
      <c r="N2644" s="9"/>
      <c r="O2644" s="9"/>
      <c r="P2644" s="9"/>
      <c r="Q2644" s="9"/>
      <c r="R2644" s="9"/>
      <c r="S2644" s="9"/>
      <c r="T2644" s="9"/>
      <c r="U2644" s="9"/>
      <c r="V2644" s="9"/>
      <c r="W2644" s="9"/>
      <c r="X2644" s="9"/>
      <c r="Y2644" s="9"/>
      <c r="Z2644" s="9"/>
      <c r="AA2644" s="9"/>
      <c r="AB2644" s="9"/>
      <c r="AC2644" s="9"/>
      <c r="AD2644" s="9"/>
      <c r="AE2644" s="9"/>
      <c r="AF2644" s="9"/>
      <c r="AG2644" s="9"/>
      <c r="AH2644" s="9"/>
      <c r="AI2644" s="9"/>
      <c r="AJ2644" s="9"/>
      <c r="AK2644" s="9"/>
      <c r="AL2644" s="9"/>
      <c r="AM2644" s="9"/>
      <c r="AN2644" s="9"/>
      <c r="AO2644" s="9"/>
      <c r="AP2644" s="9"/>
      <c r="AQ2644" s="9"/>
      <c r="AR2644" s="9"/>
      <c r="AS2644" s="9"/>
      <c r="AT2644" s="9"/>
      <c r="AU2644" s="9"/>
    </row>
    <row r="2645" spans="1:47" ht="15.75" customHeight="1">
      <c r="A2645" s="9"/>
      <c r="B2645" s="9"/>
      <c r="C2645" s="9"/>
      <c r="D2645" s="9"/>
      <c r="E2645" s="9"/>
      <c r="F2645" s="67"/>
      <c r="G2645" s="9"/>
      <c r="H2645" s="9"/>
      <c r="I2645" s="9"/>
      <c r="J2645" s="9"/>
      <c r="K2645" s="9"/>
      <c r="L2645" s="9"/>
      <c r="M2645" s="9"/>
      <c r="N2645" s="9"/>
      <c r="O2645" s="9"/>
      <c r="P2645" s="9"/>
      <c r="Q2645" s="9"/>
      <c r="R2645" s="9"/>
      <c r="S2645" s="9"/>
      <c r="T2645" s="9"/>
      <c r="U2645" s="9"/>
      <c r="V2645" s="9"/>
      <c r="W2645" s="9"/>
      <c r="X2645" s="9"/>
      <c r="Y2645" s="9"/>
      <c r="Z2645" s="9"/>
      <c r="AA2645" s="9"/>
      <c r="AB2645" s="9"/>
      <c r="AC2645" s="9"/>
      <c r="AD2645" s="9"/>
      <c r="AE2645" s="9"/>
      <c r="AF2645" s="9"/>
      <c r="AG2645" s="9"/>
      <c r="AH2645" s="9"/>
      <c r="AI2645" s="9"/>
      <c r="AJ2645" s="9"/>
      <c r="AK2645" s="9"/>
      <c r="AL2645" s="9"/>
      <c r="AM2645" s="9"/>
      <c r="AN2645" s="9"/>
      <c r="AO2645" s="9"/>
      <c r="AP2645" s="9"/>
      <c r="AQ2645" s="9"/>
      <c r="AR2645" s="9"/>
      <c r="AS2645" s="9"/>
      <c r="AT2645" s="9"/>
      <c r="AU2645" s="9"/>
    </row>
    <row r="2646" spans="1:47" ht="15.75" customHeight="1">
      <c r="A2646" s="9"/>
      <c r="B2646" s="9"/>
      <c r="C2646" s="9"/>
      <c r="D2646" s="9"/>
      <c r="E2646" s="9"/>
      <c r="F2646" s="67"/>
      <c r="G2646" s="9"/>
      <c r="H2646" s="9"/>
      <c r="I2646" s="9"/>
      <c r="J2646" s="9"/>
      <c r="K2646" s="9"/>
      <c r="L2646" s="9"/>
      <c r="M2646" s="9"/>
      <c r="N2646" s="9"/>
      <c r="O2646" s="9"/>
      <c r="P2646" s="9"/>
      <c r="Q2646" s="9"/>
      <c r="R2646" s="9"/>
      <c r="S2646" s="9"/>
      <c r="T2646" s="9"/>
      <c r="U2646" s="9"/>
      <c r="V2646" s="9"/>
      <c r="W2646" s="9"/>
      <c r="X2646" s="9"/>
      <c r="Y2646" s="9"/>
      <c r="Z2646" s="9"/>
      <c r="AA2646" s="9"/>
      <c r="AB2646" s="9"/>
      <c r="AC2646" s="9"/>
      <c r="AD2646" s="9"/>
      <c r="AE2646" s="9"/>
      <c r="AF2646" s="9"/>
      <c r="AG2646" s="9"/>
      <c r="AH2646" s="9"/>
      <c r="AI2646" s="9"/>
      <c r="AJ2646" s="9"/>
      <c r="AK2646" s="9"/>
      <c r="AL2646" s="9"/>
      <c r="AM2646" s="9"/>
      <c r="AN2646" s="9"/>
      <c r="AO2646" s="9"/>
      <c r="AP2646" s="9"/>
      <c r="AQ2646" s="9"/>
      <c r="AR2646" s="9"/>
      <c r="AS2646" s="9"/>
      <c r="AT2646" s="9"/>
      <c r="AU2646" s="9"/>
    </row>
    <row r="2647" spans="1:47" ht="15.75" customHeight="1">
      <c r="A2647" s="9"/>
      <c r="B2647" s="9"/>
      <c r="C2647" s="9"/>
      <c r="D2647" s="9"/>
      <c r="E2647" s="9"/>
      <c r="F2647" s="67"/>
      <c r="G2647" s="9"/>
      <c r="H2647" s="9"/>
      <c r="I2647" s="9"/>
      <c r="J2647" s="9"/>
      <c r="K2647" s="9"/>
      <c r="L2647" s="9"/>
      <c r="M2647" s="9"/>
      <c r="N2647" s="9"/>
      <c r="O2647" s="9"/>
      <c r="P2647" s="9"/>
      <c r="Q2647" s="9"/>
      <c r="R2647" s="9"/>
      <c r="S2647" s="9"/>
      <c r="T2647" s="9"/>
      <c r="U2647" s="9"/>
      <c r="V2647" s="9"/>
      <c r="W2647" s="9"/>
      <c r="X2647" s="9"/>
      <c r="Y2647" s="9"/>
      <c r="Z2647" s="9"/>
      <c r="AA2647" s="9"/>
      <c r="AB2647" s="9"/>
      <c r="AC2647" s="9"/>
      <c r="AD2647" s="9"/>
      <c r="AE2647" s="9"/>
      <c r="AF2647" s="9"/>
      <c r="AG2647" s="9"/>
      <c r="AH2647" s="9"/>
      <c r="AI2647" s="9"/>
      <c r="AJ2647" s="9"/>
      <c r="AK2647" s="9"/>
      <c r="AL2647" s="9"/>
      <c r="AM2647" s="9"/>
      <c r="AN2647" s="9"/>
      <c r="AO2647" s="9"/>
      <c r="AP2647" s="9"/>
      <c r="AQ2647" s="9"/>
      <c r="AR2647" s="9"/>
      <c r="AS2647" s="9"/>
      <c r="AT2647" s="9"/>
      <c r="AU2647" s="9"/>
    </row>
    <row r="2648" spans="1:47" ht="15.75" customHeight="1">
      <c r="A2648" s="9"/>
      <c r="B2648" s="9"/>
      <c r="C2648" s="9"/>
      <c r="D2648" s="9"/>
      <c r="E2648" s="9"/>
      <c r="F2648" s="67"/>
      <c r="G2648" s="9"/>
      <c r="H2648" s="9"/>
      <c r="I2648" s="9"/>
      <c r="J2648" s="9"/>
      <c r="K2648" s="9"/>
      <c r="L2648" s="9"/>
      <c r="M2648" s="9"/>
      <c r="N2648" s="9"/>
      <c r="O2648" s="9"/>
      <c r="P2648" s="9"/>
      <c r="Q2648" s="9"/>
      <c r="R2648" s="9"/>
      <c r="S2648" s="9"/>
      <c r="T2648" s="9"/>
      <c r="U2648" s="9"/>
      <c r="V2648" s="9"/>
      <c r="W2648" s="9"/>
      <c r="X2648" s="9"/>
      <c r="Y2648" s="9"/>
      <c r="Z2648" s="9"/>
      <c r="AA2648" s="9"/>
      <c r="AB2648" s="9"/>
      <c r="AC2648" s="9"/>
      <c r="AD2648" s="9"/>
      <c r="AE2648" s="9"/>
      <c r="AF2648" s="9"/>
      <c r="AG2648" s="9"/>
      <c r="AH2648" s="9"/>
      <c r="AI2648" s="9"/>
      <c r="AJ2648" s="9"/>
      <c r="AK2648" s="9"/>
      <c r="AL2648" s="9"/>
      <c r="AM2648" s="9"/>
      <c r="AN2648" s="9"/>
      <c r="AO2648" s="9"/>
      <c r="AP2648" s="9"/>
      <c r="AQ2648" s="9"/>
      <c r="AR2648" s="9"/>
      <c r="AS2648" s="9"/>
      <c r="AT2648" s="9"/>
      <c r="AU2648" s="9"/>
    </row>
    <row r="2649" spans="1:47" ht="15.75" customHeight="1">
      <c r="A2649" s="9"/>
      <c r="B2649" s="9"/>
      <c r="C2649" s="9"/>
      <c r="D2649" s="9"/>
      <c r="E2649" s="9"/>
      <c r="F2649" s="67"/>
      <c r="G2649" s="9"/>
      <c r="H2649" s="9"/>
      <c r="I2649" s="9"/>
      <c r="J2649" s="9"/>
      <c r="K2649" s="9"/>
      <c r="L2649" s="9"/>
      <c r="M2649" s="9"/>
      <c r="N2649" s="9"/>
      <c r="O2649" s="9"/>
      <c r="P2649" s="9"/>
      <c r="Q2649" s="9"/>
      <c r="R2649" s="9"/>
      <c r="S2649" s="9"/>
      <c r="T2649" s="9"/>
      <c r="U2649" s="9"/>
      <c r="V2649" s="9"/>
      <c r="W2649" s="9"/>
      <c r="X2649" s="9"/>
      <c r="Y2649" s="9"/>
      <c r="Z2649" s="9"/>
      <c r="AA2649" s="9"/>
      <c r="AB2649" s="9"/>
      <c r="AC2649" s="9"/>
      <c r="AD2649" s="9"/>
      <c r="AE2649" s="9"/>
      <c r="AF2649" s="9"/>
      <c r="AG2649" s="9"/>
      <c r="AH2649" s="9"/>
      <c r="AI2649" s="9"/>
      <c r="AJ2649" s="9"/>
      <c r="AK2649" s="9"/>
      <c r="AL2649" s="9"/>
      <c r="AM2649" s="9"/>
      <c r="AN2649" s="9"/>
      <c r="AO2649" s="9"/>
      <c r="AP2649" s="9"/>
      <c r="AQ2649" s="9"/>
      <c r="AR2649" s="9"/>
      <c r="AS2649" s="9"/>
      <c r="AT2649" s="9"/>
      <c r="AU2649" s="9"/>
    </row>
    <row r="2650" spans="1:47" ht="15.75" customHeight="1">
      <c r="A2650" s="9"/>
      <c r="B2650" s="9"/>
      <c r="C2650" s="9"/>
      <c r="D2650" s="9"/>
      <c r="E2650" s="9"/>
      <c r="F2650" s="67"/>
      <c r="G2650" s="9"/>
      <c r="H2650" s="9"/>
      <c r="I2650" s="9"/>
      <c r="J2650" s="9"/>
      <c r="K2650" s="9"/>
      <c r="L2650" s="9"/>
      <c r="M2650" s="9"/>
      <c r="N2650" s="9"/>
      <c r="O2650" s="9"/>
      <c r="P2650" s="9"/>
      <c r="Q2650" s="9"/>
      <c r="R2650" s="9"/>
      <c r="S2650" s="9"/>
      <c r="T2650" s="9"/>
      <c r="U2650" s="9"/>
      <c r="V2650" s="9"/>
      <c r="W2650" s="9"/>
      <c r="X2650" s="9"/>
      <c r="Y2650" s="9"/>
      <c r="Z2650" s="9"/>
      <c r="AA2650" s="9"/>
      <c r="AB2650" s="9"/>
      <c r="AC2650" s="9"/>
      <c r="AD2650" s="9"/>
      <c r="AE2650" s="9"/>
      <c r="AF2650" s="9"/>
      <c r="AG2650" s="9"/>
      <c r="AH2650" s="9"/>
      <c r="AI2650" s="9"/>
      <c r="AJ2650" s="9"/>
      <c r="AK2650" s="9"/>
      <c r="AL2650" s="9"/>
      <c r="AM2650" s="9"/>
      <c r="AN2650" s="9"/>
      <c r="AO2650" s="9"/>
      <c r="AP2650" s="9"/>
      <c r="AQ2650" s="9"/>
      <c r="AR2650" s="9"/>
      <c r="AS2650" s="9"/>
      <c r="AT2650" s="9"/>
      <c r="AU2650" s="9"/>
    </row>
    <row r="2651" spans="1:47" ht="15.75" customHeight="1">
      <c r="A2651" s="9"/>
      <c r="B2651" s="9"/>
      <c r="C2651" s="9"/>
      <c r="D2651" s="9"/>
      <c r="E2651" s="9"/>
      <c r="F2651" s="67"/>
      <c r="G2651" s="9"/>
      <c r="H2651" s="9"/>
      <c r="I2651" s="9"/>
      <c r="J2651" s="9"/>
      <c r="K2651" s="9"/>
      <c r="L2651" s="9"/>
      <c r="M2651" s="9"/>
      <c r="N2651" s="9"/>
      <c r="O2651" s="9"/>
      <c r="P2651" s="9"/>
      <c r="Q2651" s="9"/>
      <c r="R2651" s="9"/>
      <c r="S2651" s="9"/>
      <c r="T2651" s="9"/>
      <c r="U2651" s="9"/>
      <c r="V2651" s="9"/>
      <c r="W2651" s="9"/>
      <c r="X2651" s="9"/>
      <c r="Y2651" s="9"/>
      <c r="Z2651" s="9"/>
      <c r="AA2651" s="9"/>
      <c r="AB2651" s="9"/>
      <c r="AC2651" s="9"/>
      <c r="AD2651" s="9"/>
      <c r="AE2651" s="9"/>
      <c r="AF2651" s="9"/>
      <c r="AG2651" s="9"/>
      <c r="AH2651" s="9"/>
      <c r="AI2651" s="9"/>
      <c r="AJ2651" s="9"/>
      <c r="AK2651" s="9"/>
      <c r="AL2651" s="9"/>
      <c r="AM2651" s="9"/>
      <c r="AN2651" s="9"/>
      <c r="AO2651" s="9"/>
      <c r="AP2651" s="9"/>
      <c r="AQ2651" s="9"/>
      <c r="AR2651" s="9"/>
      <c r="AS2651" s="9"/>
      <c r="AT2651" s="9"/>
      <c r="AU2651" s="9"/>
    </row>
    <row r="2652" spans="1:47" ht="15.75" customHeight="1">
      <c r="A2652" s="9"/>
      <c r="B2652" s="9"/>
      <c r="C2652" s="9"/>
      <c r="D2652" s="9"/>
      <c r="E2652" s="9"/>
      <c r="F2652" s="67"/>
      <c r="G2652" s="9"/>
      <c r="H2652" s="9"/>
      <c r="I2652" s="9"/>
      <c r="J2652" s="9"/>
      <c r="K2652" s="9"/>
      <c r="L2652" s="9"/>
      <c r="M2652" s="9"/>
      <c r="N2652" s="9"/>
      <c r="O2652" s="9"/>
      <c r="P2652" s="9"/>
      <c r="Q2652" s="9"/>
      <c r="R2652" s="9"/>
      <c r="S2652" s="9"/>
      <c r="T2652" s="9"/>
      <c r="U2652" s="9"/>
      <c r="V2652" s="9"/>
      <c r="W2652" s="9"/>
      <c r="X2652" s="9"/>
      <c r="Y2652" s="9"/>
      <c r="Z2652" s="9"/>
      <c r="AA2652" s="9"/>
      <c r="AB2652" s="9"/>
      <c r="AC2652" s="9"/>
      <c r="AD2652" s="9"/>
      <c r="AE2652" s="9"/>
      <c r="AF2652" s="9"/>
      <c r="AG2652" s="9"/>
      <c r="AH2652" s="9"/>
      <c r="AI2652" s="9"/>
      <c r="AJ2652" s="9"/>
      <c r="AK2652" s="9"/>
      <c r="AL2652" s="9"/>
      <c r="AM2652" s="9"/>
      <c r="AN2652" s="9"/>
      <c r="AO2652" s="9"/>
      <c r="AP2652" s="9"/>
      <c r="AQ2652" s="9"/>
      <c r="AR2652" s="9"/>
      <c r="AS2652" s="9"/>
      <c r="AT2652" s="9"/>
      <c r="AU2652" s="9"/>
    </row>
    <row r="2653" spans="1:47" ht="15.75" customHeight="1">
      <c r="A2653" s="9"/>
      <c r="B2653" s="9"/>
      <c r="C2653" s="9"/>
      <c r="D2653" s="9"/>
      <c r="E2653" s="9"/>
      <c r="F2653" s="67"/>
      <c r="G2653" s="9"/>
      <c r="H2653" s="9"/>
      <c r="I2653" s="9"/>
      <c r="J2653" s="9"/>
      <c r="K2653" s="9"/>
      <c r="L2653" s="9"/>
      <c r="M2653" s="9"/>
      <c r="N2653" s="9"/>
      <c r="O2653" s="9"/>
      <c r="P2653" s="9"/>
      <c r="Q2653" s="9"/>
      <c r="R2653" s="9"/>
      <c r="S2653" s="9"/>
      <c r="T2653" s="9"/>
      <c r="U2653" s="9"/>
      <c r="V2653" s="9"/>
      <c r="W2653" s="9"/>
      <c r="X2653" s="9"/>
      <c r="Y2653" s="9"/>
      <c r="Z2653" s="9"/>
      <c r="AA2653" s="9"/>
      <c r="AB2653" s="9"/>
      <c r="AC2653" s="9"/>
      <c r="AD2653" s="9"/>
      <c r="AE2653" s="9"/>
      <c r="AF2653" s="9"/>
      <c r="AG2653" s="9"/>
      <c r="AH2653" s="9"/>
      <c r="AI2653" s="9"/>
      <c r="AJ2653" s="9"/>
      <c r="AK2653" s="9"/>
      <c r="AL2653" s="9"/>
      <c r="AM2653" s="9"/>
      <c r="AN2653" s="9"/>
      <c r="AO2653" s="9"/>
      <c r="AP2653" s="9"/>
      <c r="AQ2653" s="9"/>
      <c r="AR2653" s="9"/>
      <c r="AS2653" s="9"/>
      <c r="AT2653" s="9"/>
      <c r="AU2653" s="9"/>
    </row>
    <row r="2654" spans="1:47" ht="15.75" customHeight="1">
      <c r="A2654" s="9"/>
      <c r="B2654" s="9"/>
      <c r="C2654" s="9"/>
      <c r="D2654" s="9"/>
      <c r="E2654" s="9"/>
      <c r="F2654" s="67"/>
      <c r="G2654" s="9"/>
      <c r="H2654" s="9"/>
      <c r="I2654" s="9"/>
      <c r="J2654" s="9"/>
      <c r="K2654" s="9"/>
      <c r="L2654" s="9"/>
      <c r="M2654" s="9"/>
      <c r="N2654" s="9"/>
      <c r="O2654" s="9"/>
      <c r="P2654" s="9"/>
      <c r="Q2654" s="9"/>
      <c r="R2654" s="9"/>
      <c r="S2654" s="9"/>
      <c r="T2654" s="9"/>
      <c r="U2654" s="9"/>
      <c r="V2654" s="9"/>
      <c r="W2654" s="9"/>
      <c r="X2654" s="9"/>
      <c r="Y2654" s="9"/>
      <c r="Z2654" s="9"/>
      <c r="AA2654" s="9"/>
      <c r="AB2654" s="9"/>
      <c r="AC2654" s="9"/>
      <c r="AD2654" s="9"/>
      <c r="AE2654" s="9"/>
      <c r="AF2654" s="9"/>
      <c r="AG2654" s="9"/>
      <c r="AH2654" s="9"/>
      <c r="AI2654" s="9"/>
      <c r="AJ2654" s="9"/>
      <c r="AK2654" s="9"/>
      <c r="AL2654" s="9"/>
      <c r="AM2654" s="9"/>
      <c r="AN2654" s="9"/>
      <c r="AO2654" s="9"/>
      <c r="AP2654" s="9"/>
      <c r="AQ2654" s="9"/>
      <c r="AR2654" s="9"/>
      <c r="AS2654" s="9"/>
      <c r="AT2654" s="9"/>
      <c r="AU2654" s="9"/>
    </row>
    <row r="2655" spans="1:47" ht="15.75" customHeight="1">
      <c r="A2655" s="9"/>
      <c r="B2655" s="9"/>
      <c r="C2655" s="9"/>
      <c r="D2655" s="9"/>
      <c r="E2655" s="9"/>
      <c r="F2655" s="67"/>
      <c r="G2655" s="9"/>
      <c r="H2655" s="9"/>
      <c r="I2655" s="9"/>
      <c r="J2655" s="9"/>
      <c r="K2655" s="9"/>
      <c r="L2655" s="9"/>
      <c r="M2655" s="9"/>
      <c r="N2655" s="9"/>
      <c r="O2655" s="9"/>
      <c r="P2655" s="9"/>
      <c r="Q2655" s="9"/>
      <c r="R2655" s="9"/>
      <c r="S2655" s="9"/>
      <c r="T2655" s="9"/>
      <c r="U2655" s="9"/>
      <c r="V2655" s="9"/>
      <c r="W2655" s="9"/>
      <c r="X2655" s="9"/>
      <c r="Y2655" s="9"/>
      <c r="Z2655" s="9"/>
      <c r="AA2655" s="9"/>
      <c r="AB2655" s="9"/>
      <c r="AC2655" s="9"/>
      <c r="AD2655" s="9"/>
      <c r="AE2655" s="9"/>
      <c r="AF2655" s="9"/>
      <c r="AG2655" s="9"/>
      <c r="AH2655" s="9"/>
      <c r="AI2655" s="9"/>
      <c r="AJ2655" s="9"/>
      <c r="AK2655" s="9"/>
      <c r="AL2655" s="9"/>
      <c r="AM2655" s="9"/>
      <c r="AN2655" s="9"/>
      <c r="AO2655" s="9"/>
      <c r="AP2655" s="9"/>
      <c r="AQ2655" s="9"/>
      <c r="AR2655" s="9"/>
      <c r="AS2655" s="9"/>
      <c r="AT2655" s="9"/>
      <c r="AU2655" s="9"/>
    </row>
    <row r="2656" spans="1:47" ht="15.75" customHeight="1">
      <c r="A2656" s="9"/>
      <c r="B2656" s="9"/>
      <c r="C2656" s="9"/>
      <c r="D2656" s="9"/>
      <c r="E2656" s="9"/>
      <c r="F2656" s="67"/>
      <c r="G2656" s="9"/>
      <c r="H2656" s="9"/>
      <c r="I2656" s="9"/>
      <c r="J2656" s="9"/>
      <c r="K2656" s="9"/>
      <c r="L2656" s="9"/>
      <c r="M2656" s="9"/>
      <c r="N2656" s="9"/>
      <c r="O2656" s="9"/>
      <c r="P2656" s="9"/>
      <c r="Q2656" s="9"/>
      <c r="R2656" s="9"/>
      <c r="S2656" s="9"/>
      <c r="T2656" s="9"/>
      <c r="U2656" s="9"/>
      <c r="V2656" s="9"/>
      <c r="W2656" s="9"/>
      <c r="X2656" s="9"/>
      <c r="Y2656" s="9"/>
      <c r="Z2656" s="9"/>
      <c r="AA2656" s="9"/>
      <c r="AB2656" s="9"/>
      <c r="AC2656" s="9"/>
      <c r="AD2656" s="9"/>
      <c r="AE2656" s="9"/>
      <c r="AF2656" s="9"/>
      <c r="AG2656" s="9"/>
      <c r="AH2656" s="9"/>
      <c r="AI2656" s="9"/>
      <c r="AJ2656" s="9"/>
      <c r="AK2656" s="9"/>
      <c r="AL2656" s="9"/>
      <c r="AM2656" s="9"/>
      <c r="AN2656" s="9"/>
      <c r="AO2656" s="9"/>
      <c r="AP2656" s="9"/>
      <c r="AQ2656" s="9"/>
      <c r="AR2656" s="9"/>
      <c r="AS2656" s="9"/>
      <c r="AT2656" s="9"/>
      <c r="AU2656" s="9"/>
    </row>
    <row r="2657" spans="1:47" ht="15.75" customHeight="1">
      <c r="A2657" s="9"/>
      <c r="B2657" s="9"/>
      <c r="C2657" s="9"/>
      <c r="D2657" s="9"/>
      <c r="E2657" s="9"/>
      <c r="F2657" s="67"/>
      <c r="G2657" s="9"/>
      <c r="H2657" s="9"/>
      <c r="I2657" s="9"/>
      <c r="J2657" s="9"/>
      <c r="K2657" s="9"/>
      <c r="L2657" s="9"/>
      <c r="M2657" s="9"/>
      <c r="N2657" s="9"/>
      <c r="O2657" s="9"/>
      <c r="P2657" s="9"/>
      <c r="Q2657" s="9"/>
      <c r="R2657" s="9"/>
      <c r="S2657" s="9"/>
      <c r="T2657" s="9"/>
      <c r="U2657" s="9"/>
      <c r="V2657" s="9"/>
      <c r="W2657" s="9"/>
      <c r="X2657" s="9"/>
      <c r="Y2657" s="9"/>
      <c r="Z2657" s="9"/>
      <c r="AA2657" s="9"/>
      <c r="AB2657" s="9"/>
      <c r="AC2657" s="9"/>
      <c r="AD2657" s="9"/>
      <c r="AE2657" s="9"/>
      <c r="AF2657" s="9"/>
      <c r="AG2657" s="9"/>
      <c r="AH2657" s="9"/>
      <c r="AI2657" s="9"/>
      <c r="AJ2657" s="9"/>
      <c r="AK2657" s="9"/>
      <c r="AL2657" s="9"/>
      <c r="AM2657" s="9"/>
      <c r="AN2657" s="9"/>
      <c r="AO2657" s="9"/>
      <c r="AP2657" s="9"/>
      <c r="AQ2657" s="9"/>
      <c r="AR2657" s="9"/>
      <c r="AS2657" s="9"/>
      <c r="AT2657" s="9"/>
      <c r="AU2657" s="9"/>
    </row>
    <row r="2658" spans="1:47" ht="15.75" customHeight="1">
      <c r="A2658" s="9"/>
      <c r="B2658" s="9"/>
      <c r="C2658" s="9"/>
      <c r="D2658" s="9"/>
      <c r="E2658" s="9"/>
      <c r="F2658" s="67"/>
      <c r="G2658" s="9"/>
      <c r="H2658" s="9"/>
      <c r="I2658" s="9"/>
      <c r="J2658" s="9"/>
      <c r="K2658" s="9"/>
      <c r="L2658" s="9"/>
      <c r="M2658" s="9"/>
      <c r="N2658" s="9"/>
      <c r="O2658" s="9"/>
      <c r="P2658" s="9"/>
      <c r="Q2658" s="9"/>
      <c r="R2658" s="9"/>
      <c r="S2658" s="9"/>
      <c r="T2658" s="9"/>
      <c r="U2658" s="9"/>
      <c r="V2658" s="9"/>
      <c r="W2658" s="9"/>
      <c r="X2658" s="9"/>
      <c r="Y2658" s="9"/>
      <c r="Z2658" s="9"/>
      <c r="AA2658" s="9"/>
      <c r="AB2658" s="9"/>
      <c r="AC2658" s="9"/>
      <c r="AD2658" s="9"/>
      <c r="AE2658" s="9"/>
      <c r="AF2658" s="9"/>
      <c r="AG2658" s="9"/>
      <c r="AH2658" s="9"/>
      <c r="AI2658" s="9"/>
      <c r="AJ2658" s="9"/>
      <c r="AK2658" s="9"/>
      <c r="AL2658" s="9"/>
      <c r="AM2658" s="9"/>
      <c r="AN2658" s="9"/>
      <c r="AO2658" s="9"/>
      <c r="AP2658" s="9"/>
      <c r="AQ2658" s="9"/>
      <c r="AR2658" s="9"/>
      <c r="AS2658" s="9"/>
      <c r="AT2658" s="9"/>
      <c r="AU2658" s="9"/>
    </row>
    <row r="2659" spans="1:47" ht="15.75" customHeight="1">
      <c r="A2659" s="9"/>
      <c r="B2659" s="9"/>
      <c r="C2659" s="9"/>
      <c r="D2659" s="9"/>
      <c r="E2659" s="9"/>
      <c r="F2659" s="67"/>
      <c r="G2659" s="9"/>
      <c r="H2659" s="9"/>
      <c r="I2659" s="9"/>
      <c r="J2659" s="9"/>
      <c r="K2659" s="9"/>
      <c r="L2659" s="9"/>
      <c r="M2659" s="9"/>
      <c r="N2659" s="9"/>
      <c r="O2659" s="9"/>
      <c r="P2659" s="9"/>
      <c r="Q2659" s="9"/>
      <c r="R2659" s="9"/>
      <c r="S2659" s="9"/>
      <c r="T2659" s="9"/>
      <c r="U2659" s="9"/>
      <c r="V2659" s="9"/>
      <c r="W2659" s="9"/>
      <c r="X2659" s="9"/>
      <c r="Y2659" s="9"/>
      <c r="Z2659" s="9"/>
      <c r="AA2659" s="9"/>
      <c r="AB2659" s="9"/>
      <c r="AC2659" s="9"/>
      <c r="AD2659" s="9"/>
      <c r="AE2659" s="9"/>
      <c r="AF2659" s="9"/>
      <c r="AG2659" s="9"/>
      <c r="AH2659" s="9"/>
      <c r="AI2659" s="9"/>
      <c r="AJ2659" s="9"/>
      <c r="AK2659" s="9"/>
      <c r="AL2659" s="9"/>
      <c r="AM2659" s="9"/>
      <c r="AN2659" s="9"/>
      <c r="AO2659" s="9"/>
      <c r="AP2659" s="9"/>
      <c r="AQ2659" s="9"/>
      <c r="AR2659" s="9"/>
      <c r="AS2659" s="9"/>
      <c r="AT2659" s="9"/>
      <c r="AU2659" s="9"/>
    </row>
    <row r="2660" spans="1:47" ht="15.75" customHeight="1">
      <c r="A2660" s="9"/>
      <c r="B2660" s="9"/>
      <c r="C2660" s="9"/>
      <c r="D2660" s="9"/>
      <c r="E2660" s="9"/>
      <c r="F2660" s="67"/>
      <c r="G2660" s="9"/>
      <c r="H2660" s="9"/>
      <c r="I2660" s="9"/>
      <c r="J2660" s="9"/>
      <c r="K2660" s="9"/>
      <c r="L2660" s="9"/>
      <c r="M2660" s="9"/>
      <c r="N2660" s="9"/>
      <c r="O2660" s="9"/>
      <c r="P2660" s="9"/>
      <c r="Q2660" s="9"/>
      <c r="R2660" s="9"/>
      <c r="S2660" s="9"/>
      <c r="T2660" s="9"/>
      <c r="U2660" s="9"/>
      <c r="V2660" s="9"/>
      <c r="W2660" s="9"/>
      <c r="X2660" s="9"/>
      <c r="Y2660" s="9"/>
      <c r="Z2660" s="9"/>
      <c r="AA2660" s="9"/>
      <c r="AB2660" s="9"/>
      <c r="AC2660" s="9"/>
      <c r="AD2660" s="9"/>
      <c r="AE2660" s="9"/>
      <c r="AF2660" s="9"/>
      <c r="AG2660" s="9"/>
      <c r="AH2660" s="9"/>
      <c r="AI2660" s="9"/>
      <c r="AJ2660" s="9"/>
      <c r="AK2660" s="9"/>
      <c r="AL2660" s="9"/>
      <c r="AM2660" s="9"/>
      <c r="AN2660" s="9"/>
      <c r="AO2660" s="9"/>
      <c r="AP2660" s="9"/>
      <c r="AQ2660" s="9"/>
      <c r="AR2660" s="9"/>
      <c r="AS2660" s="9"/>
      <c r="AT2660" s="9"/>
      <c r="AU2660" s="9"/>
    </row>
    <row r="2661" spans="1:47" ht="15.75" customHeight="1">
      <c r="A2661" s="9"/>
      <c r="B2661" s="9"/>
      <c r="C2661" s="9"/>
      <c r="D2661" s="9"/>
      <c r="E2661" s="9"/>
      <c r="F2661" s="67"/>
      <c r="G2661" s="9"/>
      <c r="H2661" s="9"/>
      <c r="I2661" s="9"/>
      <c r="J2661" s="9"/>
      <c r="K2661" s="9"/>
      <c r="L2661" s="9"/>
      <c r="M2661" s="9"/>
      <c r="N2661" s="9"/>
      <c r="O2661" s="9"/>
      <c r="P2661" s="9"/>
      <c r="Q2661" s="9"/>
      <c r="R2661" s="9"/>
      <c r="S2661" s="9"/>
      <c r="T2661" s="9"/>
      <c r="U2661" s="9"/>
      <c r="V2661" s="9"/>
      <c r="W2661" s="9"/>
      <c r="X2661" s="9"/>
      <c r="Y2661" s="9"/>
      <c r="Z2661" s="9"/>
      <c r="AA2661" s="9"/>
      <c r="AB2661" s="9"/>
      <c r="AC2661" s="9"/>
      <c r="AD2661" s="9"/>
      <c r="AE2661" s="9"/>
      <c r="AF2661" s="9"/>
      <c r="AG2661" s="9"/>
      <c r="AH2661" s="9"/>
      <c r="AI2661" s="9"/>
      <c r="AJ2661" s="9"/>
      <c r="AK2661" s="9"/>
      <c r="AL2661" s="9"/>
      <c r="AM2661" s="9"/>
      <c r="AN2661" s="9"/>
      <c r="AO2661" s="9"/>
      <c r="AP2661" s="9"/>
      <c r="AQ2661" s="9"/>
      <c r="AR2661" s="9"/>
      <c r="AS2661" s="9"/>
      <c r="AT2661" s="9"/>
      <c r="AU2661" s="9"/>
    </row>
    <row r="2662" spans="1:47" ht="15.75" customHeight="1">
      <c r="A2662" s="9"/>
      <c r="B2662" s="9"/>
      <c r="C2662" s="9"/>
      <c r="D2662" s="9"/>
      <c r="E2662" s="9"/>
      <c r="F2662" s="67"/>
      <c r="G2662" s="9"/>
      <c r="H2662" s="9"/>
      <c r="I2662" s="9"/>
      <c r="J2662" s="9"/>
      <c r="K2662" s="9"/>
      <c r="L2662" s="9"/>
      <c r="M2662" s="9"/>
      <c r="N2662" s="9"/>
      <c r="O2662" s="9"/>
      <c r="P2662" s="9"/>
      <c r="Q2662" s="9"/>
      <c r="R2662" s="9"/>
      <c r="S2662" s="9"/>
      <c r="T2662" s="9"/>
      <c r="U2662" s="9"/>
      <c r="V2662" s="9"/>
      <c r="W2662" s="9"/>
      <c r="X2662" s="9"/>
      <c r="Y2662" s="9"/>
      <c r="Z2662" s="9"/>
      <c r="AA2662" s="9"/>
      <c r="AB2662" s="9"/>
      <c r="AC2662" s="9"/>
      <c r="AD2662" s="9"/>
      <c r="AE2662" s="9"/>
      <c r="AF2662" s="9"/>
      <c r="AG2662" s="9"/>
      <c r="AH2662" s="9"/>
      <c r="AI2662" s="9"/>
      <c r="AJ2662" s="9"/>
      <c r="AK2662" s="9"/>
      <c r="AL2662" s="9"/>
      <c r="AM2662" s="9"/>
      <c r="AN2662" s="9"/>
      <c r="AO2662" s="9"/>
      <c r="AP2662" s="9"/>
      <c r="AQ2662" s="9"/>
      <c r="AR2662" s="9"/>
      <c r="AS2662" s="9"/>
      <c r="AT2662" s="9"/>
      <c r="AU2662" s="9"/>
    </row>
    <row r="2663" spans="1:47" ht="15.75" customHeight="1">
      <c r="A2663" s="9"/>
      <c r="B2663" s="9"/>
      <c r="C2663" s="9"/>
      <c r="D2663" s="9"/>
      <c r="E2663" s="9"/>
      <c r="F2663" s="67"/>
      <c r="G2663" s="9"/>
      <c r="H2663" s="9"/>
      <c r="I2663" s="9"/>
      <c r="J2663" s="9"/>
      <c r="K2663" s="9"/>
      <c r="L2663" s="9"/>
      <c r="M2663" s="9"/>
      <c r="N2663" s="9"/>
      <c r="O2663" s="9"/>
      <c r="P2663" s="9"/>
      <c r="Q2663" s="9"/>
      <c r="R2663" s="9"/>
      <c r="S2663" s="9"/>
      <c r="T2663" s="9"/>
      <c r="U2663" s="9"/>
      <c r="V2663" s="9"/>
      <c r="W2663" s="9"/>
      <c r="X2663" s="9"/>
      <c r="Y2663" s="9"/>
      <c r="Z2663" s="9"/>
      <c r="AA2663" s="9"/>
      <c r="AB2663" s="9"/>
      <c r="AC2663" s="9"/>
      <c r="AD2663" s="9"/>
      <c r="AE2663" s="9"/>
      <c r="AF2663" s="9"/>
      <c r="AG2663" s="9"/>
      <c r="AH2663" s="9"/>
      <c r="AI2663" s="9"/>
      <c r="AJ2663" s="9"/>
      <c r="AK2663" s="9"/>
      <c r="AL2663" s="9"/>
      <c r="AM2663" s="9"/>
      <c r="AN2663" s="9"/>
      <c r="AO2663" s="9"/>
      <c r="AP2663" s="9"/>
      <c r="AQ2663" s="9"/>
      <c r="AR2663" s="9"/>
      <c r="AS2663" s="9"/>
      <c r="AT2663" s="9"/>
      <c r="AU2663" s="9"/>
    </row>
    <row r="2664" spans="1:47" ht="15.75" customHeight="1">
      <c r="A2664" s="9"/>
      <c r="B2664" s="9"/>
      <c r="C2664" s="9"/>
      <c r="D2664" s="9"/>
      <c r="E2664" s="9"/>
      <c r="F2664" s="67"/>
      <c r="G2664" s="9"/>
      <c r="H2664" s="9"/>
      <c r="I2664" s="9"/>
      <c r="J2664" s="9"/>
      <c r="K2664" s="9"/>
      <c r="L2664" s="9"/>
      <c r="M2664" s="9"/>
      <c r="N2664" s="9"/>
      <c r="O2664" s="9"/>
      <c r="P2664" s="9"/>
      <c r="Q2664" s="9"/>
      <c r="R2664" s="9"/>
      <c r="S2664" s="9"/>
      <c r="T2664" s="9"/>
      <c r="U2664" s="9"/>
      <c r="V2664" s="9"/>
      <c r="W2664" s="9"/>
      <c r="X2664" s="9"/>
      <c r="Y2664" s="9"/>
      <c r="Z2664" s="9"/>
      <c r="AA2664" s="9"/>
      <c r="AB2664" s="9"/>
      <c r="AC2664" s="9"/>
      <c r="AD2664" s="9"/>
      <c r="AE2664" s="9"/>
      <c r="AF2664" s="9"/>
      <c r="AG2664" s="9"/>
      <c r="AH2664" s="9"/>
      <c r="AI2664" s="9"/>
      <c r="AJ2664" s="9"/>
      <c r="AK2664" s="9"/>
      <c r="AL2664" s="9"/>
      <c r="AM2664" s="9"/>
      <c r="AN2664" s="9"/>
      <c r="AO2664" s="9"/>
      <c r="AP2664" s="9"/>
      <c r="AQ2664" s="9"/>
      <c r="AR2664" s="9"/>
      <c r="AS2664" s="9"/>
      <c r="AT2664" s="9"/>
      <c r="AU2664" s="9"/>
    </row>
    <row r="2665" spans="1:47" ht="15.75" customHeight="1">
      <c r="A2665" s="9"/>
      <c r="B2665" s="9"/>
      <c r="C2665" s="9"/>
      <c r="D2665" s="9"/>
      <c r="E2665" s="9"/>
      <c r="F2665" s="67"/>
      <c r="G2665" s="9"/>
      <c r="H2665" s="9"/>
      <c r="I2665" s="9"/>
      <c r="J2665" s="9"/>
      <c r="K2665" s="9"/>
      <c r="L2665" s="9"/>
      <c r="M2665" s="9"/>
      <c r="N2665" s="9"/>
      <c r="O2665" s="9"/>
      <c r="P2665" s="9"/>
      <c r="Q2665" s="9"/>
      <c r="R2665" s="9"/>
      <c r="S2665" s="9"/>
      <c r="T2665" s="9"/>
      <c r="U2665" s="9"/>
      <c r="V2665" s="9"/>
      <c r="W2665" s="9"/>
      <c r="X2665" s="9"/>
      <c r="Y2665" s="9"/>
      <c r="Z2665" s="9"/>
      <c r="AA2665" s="9"/>
      <c r="AB2665" s="9"/>
      <c r="AC2665" s="9"/>
      <c r="AD2665" s="9"/>
      <c r="AE2665" s="9"/>
      <c r="AF2665" s="9"/>
      <c r="AG2665" s="9"/>
      <c r="AH2665" s="9"/>
      <c r="AI2665" s="9"/>
      <c r="AJ2665" s="9"/>
      <c r="AK2665" s="9"/>
      <c r="AL2665" s="9"/>
      <c r="AM2665" s="9"/>
      <c r="AN2665" s="9"/>
      <c r="AO2665" s="9"/>
      <c r="AP2665" s="9"/>
      <c r="AQ2665" s="9"/>
      <c r="AR2665" s="9"/>
      <c r="AS2665" s="9"/>
      <c r="AT2665" s="9"/>
      <c r="AU2665" s="9"/>
    </row>
    <row r="2666" spans="1:47" ht="15.75" customHeight="1">
      <c r="A2666" s="9"/>
      <c r="B2666" s="9"/>
      <c r="C2666" s="9"/>
      <c r="D2666" s="9"/>
      <c r="E2666" s="9"/>
      <c r="F2666" s="67"/>
      <c r="G2666" s="9"/>
      <c r="H2666" s="9"/>
      <c r="I2666" s="9"/>
      <c r="J2666" s="9"/>
      <c r="K2666" s="9"/>
      <c r="L2666" s="9"/>
      <c r="M2666" s="9"/>
      <c r="N2666" s="9"/>
      <c r="O2666" s="9"/>
      <c r="P2666" s="9"/>
      <c r="Q2666" s="9"/>
      <c r="R2666" s="9"/>
      <c r="S2666" s="9"/>
      <c r="T2666" s="9"/>
      <c r="U2666" s="9"/>
      <c r="V2666" s="9"/>
      <c r="W2666" s="9"/>
      <c r="X2666" s="9"/>
      <c r="Y2666" s="9"/>
      <c r="Z2666" s="9"/>
      <c r="AA2666" s="9"/>
      <c r="AB2666" s="9"/>
      <c r="AC2666" s="9"/>
      <c r="AD2666" s="9"/>
      <c r="AE2666" s="9"/>
      <c r="AF2666" s="9"/>
      <c r="AG2666" s="9"/>
      <c r="AH2666" s="9"/>
      <c r="AI2666" s="9"/>
      <c r="AJ2666" s="9"/>
      <c r="AK2666" s="9"/>
      <c r="AL2666" s="9"/>
      <c r="AM2666" s="9"/>
      <c r="AN2666" s="9"/>
      <c r="AO2666" s="9"/>
      <c r="AP2666" s="9"/>
      <c r="AQ2666" s="9"/>
      <c r="AR2666" s="9"/>
      <c r="AS2666" s="9"/>
      <c r="AT2666" s="9"/>
      <c r="AU2666" s="9"/>
    </row>
    <row r="2667" spans="1:47" ht="15.75" customHeight="1">
      <c r="A2667" s="9"/>
      <c r="B2667" s="9"/>
      <c r="C2667" s="9"/>
      <c r="D2667" s="9"/>
      <c r="E2667" s="9"/>
      <c r="F2667" s="67"/>
      <c r="G2667" s="9"/>
      <c r="H2667" s="9"/>
      <c r="I2667" s="9"/>
      <c r="J2667" s="9"/>
      <c r="K2667" s="9"/>
      <c r="L2667" s="9"/>
      <c r="M2667" s="9"/>
      <c r="N2667" s="9"/>
      <c r="O2667" s="9"/>
      <c r="P2667" s="9"/>
      <c r="Q2667" s="9"/>
      <c r="R2667" s="9"/>
      <c r="S2667" s="9"/>
      <c r="T2667" s="9"/>
      <c r="U2667" s="9"/>
      <c r="V2667" s="9"/>
      <c r="W2667" s="9"/>
      <c r="X2667" s="9"/>
      <c r="Y2667" s="9"/>
      <c r="Z2667" s="9"/>
      <c r="AA2667" s="9"/>
      <c r="AB2667" s="9"/>
      <c r="AC2667" s="9"/>
      <c r="AD2667" s="9"/>
      <c r="AE2667" s="9"/>
      <c r="AF2667" s="9"/>
      <c r="AG2667" s="9"/>
      <c r="AH2667" s="9"/>
      <c r="AI2667" s="9"/>
      <c r="AJ2667" s="9"/>
      <c r="AK2667" s="9"/>
      <c r="AL2667" s="9"/>
      <c r="AM2667" s="9"/>
      <c r="AN2667" s="9"/>
      <c r="AO2667" s="9"/>
      <c r="AP2667" s="9"/>
      <c r="AQ2667" s="9"/>
      <c r="AR2667" s="9"/>
      <c r="AS2667" s="9"/>
      <c r="AT2667" s="9"/>
      <c r="AU2667" s="9"/>
    </row>
    <row r="2668" spans="1:47" ht="15.75" customHeight="1">
      <c r="A2668" s="9"/>
      <c r="B2668" s="9"/>
      <c r="C2668" s="9"/>
      <c r="D2668" s="9"/>
      <c r="E2668" s="9"/>
      <c r="F2668" s="67"/>
      <c r="G2668" s="9"/>
      <c r="H2668" s="9"/>
      <c r="I2668" s="9"/>
      <c r="J2668" s="9"/>
      <c r="K2668" s="9"/>
      <c r="L2668" s="9"/>
      <c r="M2668" s="9"/>
      <c r="N2668" s="9"/>
      <c r="O2668" s="9"/>
      <c r="P2668" s="9"/>
      <c r="Q2668" s="9"/>
      <c r="R2668" s="9"/>
      <c r="S2668" s="9"/>
      <c r="T2668" s="9"/>
      <c r="U2668" s="9"/>
      <c r="V2668" s="9"/>
      <c r="W2668" s="9"/>
      <c r="X2668" s="9"/>
      <c r="Y2668" s="9"/>
      <c r="Z2668" s="9"/>
      <c r="AA2668" s="9"/>
      <c r="AB2668" s="9"/>
      <c r="AC2668" s="9"/>
      <c r="AD2668" s="9"/>
      <c r="AE2668" s="9"/>
      <c r="AF2668" s="9"/>
      <c r="AG2668" s="9"/>
      <c r="AH2668" s="9"/>
      <c r="AI2668" s="9"/>
      <c r="AJ2668" s="9"/>
      <c r="AK2668" s="9"/>
      <c r="AL2668" s="9"/>
      <c r="AM2668" s="9"/>
      <c r="AN2668" s="9"/>
      <c r="AO2668" s="9"/>
      <c r="AP2668" s="9"/>
      <c r="AQ2668" s="9"/>
      <c r="AR2668" s="9"/>
      <c r="AS2668" s="9"/>
      <c r="AT2668" s="9"/>
      <c r="AU2668" s="9"/>
    </row>
    <row r="2669" spans="1:47" ht="15.75" customHeight="1">
      <c r="A2669" s="9"/>
      <c r="B2669" s="9"/>
      <c r="C2669" s="9"/>
      <c r="D2669" s="9"/>
      <c r="E2669" s="9"/>
      <c r="F2669" s="67"/>
      <c r="G2669" s="9"/>
      <c r="H2669" s="9"/>
      <c r="I2669" s="9"/>
      <c r="J2669" s="9"/>
      <c r="K2669" s="9"/>
      <c r="L2669" s="9"/>
      <c r="M2669" s="9"/>
      <c r="N2669" s="9"/>
      <c r="O2669" s="9"/>
      <c r="P2669" s="9"/>
      <c r="Q2669" s="9"/>
      <c r="R2669" s="9"/>
      <c r="S2669" s="9"/>
      <c r="T2669" s="9"/>
      <c r="U2669" s="9"/>
      <c r="V2669" s="9"/>
      <c r="W2669" s="9"/>
      <c r="X2669" s="9"/>
      <c r="Y2669" s="9"/>
      <c r="Z2669" s="9"/>
      <c r="AA2669" s="9"/>
      <c r="AB2669" s="9"/>
      <c r="AC2669" s="9"/>
      <c r="AD2669" s="9"/>
      <c r="AE2669" s="9"/>
      <c r="AF2669" s="9"/>
      <c r="AG2669" s="9"/>
      <c r="AH2669" s="9"/>
      <c r="AI2669" s="9"/>
      <c r="AJ2669" s="9"/>
      <c r="AK2669" s="9"/>
      <c r="AL2669" s="9"/>
      <c r="AM2669" s="9"/>
      <c r="AN2669" s="9"/>
      <c r="AO2669" s="9"/>
      <c r="AP2669" s="9"/>
      <c r="AQ2669" s="9"/>
      <c r="AR2669" s="9"/>
      <c r="AS2669" s="9"/>
      <c r="AT2669" s="9"/>
      <c r="AU2669" s="9"/>
    </row>
    <row r="2670" spans="1:47" ht="15.75" customHeight="1">
      <c r="A2670" s="9"/>
      <c r="B2670" s="9"/>
      <c r="C2670" s="9"/>
      <c r="D2670" s="9"/>
      <c r="E2670" s="9"/>
      <c r="F2670" s="67"/>
      <c r="G2670" s="9"/>
      <c r="H2670" s="9"/>
      <c r="I2670" s="9"/>
      <c r="J2670" s="9"/>
      <c r="K2670" s="9"/>
      <c r="L2670" s="9"/>
      <c r="M2670" s="9"/>
      <c r="N2670" s="9"/>
      <c r="O2670" s="9"/>
      <c r="P2670" s="9"/>
      <c r="Q2670" s="9"/>
      <c r="R2670" s="9"/>
      <c r="S2670" s="9"/>
      <c r="T2670" s="9"/>
      <c r="U2670" s="9"/>
      <c r="V2670" s="9"/>
      <c r="W2670" s="9"/>
      <c r="X2670" s="9"/>
      <c r="Y2670" s="9"/>
      <c r="Z2670" s="9"/>
      <c r="AA2670" s="9"/>
      <c r="AB2670" s="9"/>
      <c r="AC2670" s="9"/>
      <c r="AD2670" s="9"/>
      <c r="AE2670" s="9"/>
      <c r="AF2670" s="9"/>
      <c r="AG2670" s="9"/>
      <c r="AH2670" s="9"/>
      <c r="AI2670" s="9"/>
      <c r="AJ2670" s="9"/>
      <c r="AK2670" s="9"/>
      <c r="AL2670" s="9"/>
      <c r="AM2670" s="9"/>
      <c r="AN2670" s="9"/>
      <c r="AO2670" s="9"/>
      <c r="AP2670" s="9"/>
      <c r="AQ2670" s="9"/>
      <c r="AR2670" s="9"/>
      <c r="AS2670" s="9"/>
      <c r="AT2670" s="9"/>
      <c r="AU2670" s="9"/>
    </row>
    <row r="2671" spans="1:47" ht="15.75" customHeight="1">
      <c r="A2671" s="9"/>
      <c r="B2671" s="9"/>
      <c r="C2671" s="9"/>
      <c r="D2671" s="9"/>
      <c r="E2671" s="9"/>
      <c r="F2671" s="67"/>
      <c r="G2671" s="9"/>
      <c r="H2671" s="9"/>
      <c r="I2671" s="9"/>
      <c r="J2671" s="9"/>
      <c r="K2671" s="9"/>
      <c r="L2671" s="9"/>
      <c r="M2671" s="9"/>
      <c r="N2671" s="9"/>
      <c r="O2671" s="9"/>
      <c r="P2671" s="9"/>
      <c r="Q2671" s="9"/>
      <c r="R2671" s="9"/>
      <c r="S2671" s="9"/>
      <c r="T2671" s="9"/>
      <c r="U2671" s="9"/>
      <c r="V2671" s="9"/>
      <c r="W2671" s="9"/>
      <c r="X2671" s="9"/>
      <c r="Y2671" s="9"/>
      <c r="Z2671" s="9"/>
      <c r="AA2671" s="9"/>
      <c r="AB2671" s="9"/>
      <c r="AC2671" s="9"/>
      <c r="AD2671" s="9"/>
      <c r="AE2671" s="9"/>
      <c r="AF2671" s="9"/>
      <c r="AG2671" s="9"/>
      <c r="AH2671" s="9"/>
      <c r="AI2671" s="9"/>
      <c r="AJ2671" s="9"/>
      <c r="AK2671" s="9"/>
      <c r="AL2671" s="9"/>
      <c r="AM2671" s="9"/>
      <c r="AN2671" s="9"/>
      <c r="AO2671" s="9"/>
      <c r="AP2671" s="9"/>
      <c r="AQ2671" s="9"/>
      <c r="AR2671" s="9"/>
      <c r="AS2671" s="9"/>
      <c r="AT2671" s="9"/>
      <c r="AU2671" s="9"/>
    </row>
    <row r="2672" spans="1:47" ht="15.75" customHeight="1">
      <c r="A2672" s="9"/>
      <c r="B2672" s="9"/>
      <c r="C2672" s="9"/>
      <c r="D2672" s="9"/>
      <c r="E2672" s="9"/>
      <c r="F2672" s="67"/>
      <c r="G2672" s="9"/>
      <c r="H2672" s="9"/>
      <c r="I2672" s="9"/>
      <c r="J2672" s="9"/>
      <c r="K2672" s="9"/>
      <c r="L2672" s="9"/>
      <c r="M2672" s="9"/>
      <c r="N2672" s="9"/>
      <c r="O2672" s="9"/>
      <c r="P2672" s="9"/>
      <c r="Q2672" s="9"/>
      <c r="R2672" s="9"/>
      <c r="S2672" s="9"/>
      <c r="T2672" s="9"/>
      <c r="U2672" s="9"/>
      <c r="V2672" s="9"/>
      <c r="W2672" s="9"/>
      <c r="X2672" s="9"/>
      <c r="Y2672" s="9"/>
      <c r="Z2672" s="9"/>
      <c r="AA2672" s="9"/>
      <c r="AB2672" s="9"/>
      <c r="AC2672" s="9"/>
      <c r="AD2672" s="9"/>
      <c r="AE2672" s="9"/>
      <c r="AF2672" s="9"/>
      <c r="AG2672" s="9"/>
      <c r="AH2672" s="9"/>
      <c r="AI2672" s="9"/>
      <c r="AJ2672" s="9"/>
      <c r="AK2672" s="9"/>
      <c r="AL2672" s="9"/>
      <c r="AM2672" s="9"/>
      <c r="AN2672" s="9"/>
      <c r="AO2672" s="9"/>
      <c r="AP2672" s="9"/>
      <c r="AQ2672" s="9"/>
      <c r="AR2672" s="9"/>
      <c r="AS2672" s="9"/>
      <c r="AT2672" s="9"/>
      <c r="AU2672" s="9"/>
    </row>
    <row r="2673" spans="1:47" ht="15.75" customHeight="1">
      <c r="A2673" s="9"/>
      <c r="B2673" s="9"/>
      <c r="C2673" s="9"/>
      <c r="D2673" s="9"/>
      <c r="E2673" s="9"/>
      <c r="F2673" s="67"/>
      <c r="G2673" s="9"/>
      <c r="H2673" s="9"/>
      <c r="I2673" s="9"/>
      <c r="J2673" s="9"/>
      <c r="K2673" s="9"/>
      <c r="L2673" s="9"/>
      <c r="M2673" s="9"/>
      <c r="N2673" s="9"/>
      <c r="O2673" s="9"/>
      <c r="P2673" s="9"/>
      <c r="Q2673" s="9"/>
      <c r="R2673" s="9"/>
      <c r="S2673" s="9"/>
      <c r="T2673" s="9"/>
      <c r="U2673" s="9"/>
      <c r="V2673" s="9"/>
      <c r="W2673" s="9"/>
      <c r="X2673" s="9"/>
      <c r="Y2673" s="9"/>
      <c r="Z2673" s="9"/>
      <c r="AA2673" s="9"/>
      <c r="AB2673" s="9"/>
      <c r="AC2673" s="9"/>
      <c r="AD2673" s="9"/>
      <c r="AE2673" s="9"/>
      <c r="AF2673" s="9"/>
      <c r="AG2673" s="9"/>
      <c r="AH2673" s="9"/>
      <c r="AI2673" s="9"/>
      <c r="AJ2673" s="9"/>
      <c r="AK2673" s="9"/>
      <c r="AL2673" s="9"/>
      <c r="AM2673" s="9"/>
      <c r="AN2673" s="9"/>
      <c r="AO2673" s="9"/>
      <c r="AP2673" s="9"/>
      <c r="AQ2673" s="9"/>
      <c r="AR2673" s="9"/>
      <c r="AS2673" s="9"/>
      <c r="AT2673" s="9"/>
      <c r="AU2673" s="9"/>
    </row>
    <row r="2674" spans="1:47" ht="15.75" customHeight="1">
      <c r="A2674" s="9"/>
      <c r="B2674" s="9"/>
      <c r="C2674" s="9"/>
      <c r="D2674" s="9"/>
      <c r="E2674" s="9"/>
      <c r="F2674" s="67"/>
      <c r="G2674" s="9"/>
      <c r="H2674" s="9"/>
      <c r="I2674" s="9"/>
      <c r="J2674" s="9"/>
      <c r="K2674" s="9"/>
      <c r="L2674" s="9"/>
      <c r="M2674" s="9"/>
      <c r="N2674" s="9"/>
      <c r="O2674" s="9"/>
      <c r="P2674" s="9"/>
      <c r="Q2674" s="9"/>
      <c r="R2674" s="9"/>
      <c r="S2674" s="9"/>
      <c r="T2674" s="9"/>
      <c r="U2674" s="9"/>
      <c r="V2674" s="9"/>
      <c r="W2674" s="9"/>
      <c r="X2674" s="9"/>
      <c r="Y2674" s="9"/>
      <c r="Z2674" s="9"/>
      <c r="AA2674" s="9"/>
      <c r="AB2674" s="9"/>
      <c r="AC2674" s="9"/>
      <c r="AD2674" s="9"/>
      <c r="AE2674" s="9"/>
      <c r="AF2674" s="9"/>
      <c r="AG2674" s="9"/>
      <c r="AH2674" s="9"/>
      <c r="AI2674" s="9"/>
      <c r="AJ2674" s="9"/>
      <c r="AK2674" s="9"/>
      <c r="AL2674" s="9"/>
      <c r="AM2674" s="9"/>
      <c r="AN2674" s="9"/>
      <c r="AO2674" s="9"/>
      <c r="AP2674" s="9"/>
      <c r="AQ2674" s="9"/>
      <c r="AR2674" s="9"/>
      <c r="AS2674" s="9"/>
      <c r="AT2674" s="9"/>
      <c r="AU2674" s="9"/>
    </row>
    <row r="2675" spans="1:47" ht="15.75" customHeight="1">
      <c r="A2675" s="9"/>
      <c r="B2675" s="9"/>
      <c r="C2675" s="9"/>
      <c r="D2675" s="9"/>
      <c r="E2675" s="9"/>
      <c r="F2675" s="67"/>
      <c r="G2675" s="9"/>
      <c r="H2675" s="9"/>
      <c r="I2675" s="9"/>
      <c r="J2675" s="9"/>
      <c r="K2675" s="9"/>
      <c r="L2675" s="9"/>
      <c r="M2675" s="9"/>
      <c r="N2675" s="9"/>
      <c r="O2675" s="9"/>
      <c r="P2675" s="9"/>
      <c r="Q2675" s="9"/>
      <c r="R2675" s="9"/>
      <c r="S2675" s="9"/>
      <c r="T2675" s="9"/>
      <c r="U2675" s="9"/>
      <c r="V2675" s="9"/>
      <c r="W2675" s="9"/>
      <c r="X2675" s="9"/>
      <c r="Y2675" s="9"/>
      <c r="Z2675" s="9"/>
      <c r="AA2675" s="9"/>
      <c r="AB2675" s="9"/>
      <c r="AC2675" s="9"/>
      <c r="AD2675" s="9"/>
      <c r="AE2675" s="9"/>
      <c r="AF2675" s="9"/>
      <c r="AG2675" s="9"/>
      <c r="AH2675" s="9"/>
      <c r="AI2675" s="9"/>
      <c r="AJ2675" s="9"/>
      <c r="AK2675" s="9"/>
      <c r="AL2675" s="9"/>
      <c r="AM2675" s="9"/>
      <c r="AN2675" s="9"/>
      <c r="AO2675" s="9"/>
      <c r="AP2675" s="9"/>
      <c r="AQ2675" s="9"/>
      <c r="AR2675" s="9"/>
      <c r="AS2675" s="9"/>
      <c r="AT2675" s="9"/>
      <c r="AU2675" s="9"/>
    </row>
    <row r="2676" spans="1:47" ht="15.75" customHeight="1">
      <c r="A2676" s="9"/>
      <c r="B2676" s="9"/>
      <c r="C2676" s="9"/>
      <c r="D2676" s="9"/>
      <c r="E2676" s="9"/>
      <c r="F2676" s="67"/>
      <c r="G2676" s="9"/>
      <c r="H2676" s="9"/>
      <c r="I2676" s="9"/>
      <c r="J2676" s="9"/>
      <c r="K2676" s="9"/>
      <c r="L2676" s="9"/>
      <c r="M2676" s="9"/>
      <c r="N2676" s="9"/>
      <c r="O2676" s="9"/>
      <c r="P2676" s="9"/>
      <c r="Q2676" s="9"/>
      <c r="R2676" s="9"/>
      <c r="S2676" s="9"/>
      <c r="T2676" s="9"/>
      <c r="U2676" s="9"/>
      <c r="V2676" s="9"/>
      <c r="W2676" s="9"/>
      <c r="X2676" s="9"/>
      <c r="Y2676" s="9"/>
      <c r="Z2676" s="9"/>
      <c r="AA2676" s="9"/>
      <c r="AB2676" s="9"/>
      <c r="AC2676" s="9"/>
      <c r="AD2676" s="9"/>
      <c r="AE2676" s="9"/>
      <c r="AF2676" s="9"/>
      <c r="AG2676" s="9"/>
      <c r="AH2676" s="9"/>
      <c r="AI2676" s="9"/>
      <c r="AJ2676" s="9"/>
      <c r="AK2676" s="9"/>
      <c r="AL2676" s="9"/>
      <c r="AM2676" s="9"/>
      <c r="AN2676" s="9"/>
      <c r="AO2676" s="9"/>
      <c r="AP2676" s="9"/>
      <c r="AQ2676" s="9"/>
      <c r="AR2676" s="9"/>
      <c r="AS2676" s="9"/>
      <c r="AT2676" s="9"/>
      <c r="AU2676" s="9"/>
    </row>
    <row r="2677" spans="1:47" ht="15.75" customHeight="1">
      <c r="A2677" s="9"/>
      <c r="B2677" s="9"/>
      <c r="C2677" s="9"/>
      <c r="D2677" s="9"/>
      <c r="E2677" s="9"/>
      <c r="F2677" s="67"/>
      <c r="G2677" s="9"/>
      <c r="H2677" s="9"/>
      <c r="I2677" s="9"/>
      <c r="J2677" s="9"/>
      <c r="K2677" s="9"/>
      <c r="L2677" s="9"/>
      <c r="M2677" s="9"/>
      <c r="N2677" s="9"/>
      <c r="O2677" s="9"/>
      <c r="P2677" s="9"/>
      <c r="Q2677" s="9"/>
      <c r="R2677" s="9"/>
      <c r="S2677" s="9"/>
      <c r="T2677" s="9"/>
      <c r="U2677" s="9"/>
      <c r="V2677" s="9"/>
      <c r="W2677" s="9"/>
      <c r="X2677" s="9"/>
      <c r="Y2677" s="9"/>
      <c r="Z2677" s="9"/>
      <c r="AA2677" s="9"/>
      <c r="AB2677" s="9"/>
      <c r="AC2677" s="9"/>
      <c r="AD2677" s="9"/>
      <c r="AE2677" s="9"/>
      <c r="AF2677" s="9"/>
      <c r="AG2677" s="9"/>
      <c r="AH2677" s="9"/>
      <c r="AI2677" s="9"/>
      <c r="AJ2677" s="9"/>
      <c r="AK2677" s="9"/>
      <c r="AL2677" s="9"/>
      <c r="AM2677" s="9"/>
      <c r="AN2677" s="9"/>
      <c r="AO2677" s="9"/>
      <c r="AP2677" s="9"/>
      <c r="AQ2677" s="9"/>
      <c r="AR2677" s="9"/>
      <c r="AS2677" s="9"/>
      <c r="AT2677" s="9"/>
      <c r="AU2677" s="9"/>
    </row>
    <row r="2678" spans="1:47" ht="15.75" customHeight="1">
      <c r="A2678" s="9"/>
      <c r="B2678" s="9"/>
      <c r="C2678" s="9"/>
      <c r="D2678" s="9"/>
      <c r="E2678" s="9"/>
      <c r="F2678" s="67"/>
      <c r="G2678" s="9"/>
      <c r="H2678" s="9"/>
      <c r="I2678" s="9"/>
      <c r="J2678" s="9"/>
      <c r="K2678" s="9"/>
      <c r="L2678" s="9"/>
      <c r="M2678" s="9"/>
      <c r="N2678" s="9"/>
      <c r="O2678" s="9"/>
      <c r="P2678" s="9"/>
      <c r="Q2678" s="9"/>
      <c r="R2678" s="9"/>
      <c r="S2678" s="9"/>
      <c r="T2678" s="9"/>
      <c r="U2678" s="9"/>
      <c r="V2678" s="9"/>
      <c r="W2678" s="9"/>
      <c r="X2678" s="9"/>
      <c r="Y2678" s="9"/>
      <c r="Z2678" s="9"/>
      <c r="AA2678" s="9"/>
      <c r="AB2678" s="9"/>
      <c r="AC2678" s="9"/>
      <c r="AD2678" s="9"/>
      <c r="AE2678" s="9"/>
      <c r="AF2678" s="9"/>
      <c r="AG2678" s="9"/>
      <c r="AH2678" s="9"/>
      <c r="AI2678" s="9"/>
      <c r="AJ2678" s="9"/>
      <c r="AK2678" s="9"/>
      <c r="AL2678" s="9"/>
      <c r="AM2678" s="9"/>
      <c r="AN2678" s="9"/>
      <c r="AO2678" s="9"/>
      <c r="AP2678" s="9"/>
      <c r="AQ2678" s="9"/>
      <c r="AR2678" s="9"/>
      <c r="AS2678" s="9"/>
      <c r="AT2678" s="9"/>
      <c r="AU2678" s="9"/>
    </row>
    <row r="2679" spans="1:47" ht="15.75" customHeight="1">
      <c r="A2679" s="9"/>
      <c r="B2679" s="9"/>
      <c r="C2679" s="9"/>
      <c r="D2679" s="9"/>
      <c r="E2679" s="9"/>
      <c r="F2679" s="67"/>
      <c r="G2679" s="9"/>
      <c r="H2679" s="9"/>
      <c r="I2679" s="9"/>
      <c r="J2679" s="9"/>
      <c r="K2679" s="9"/>
      <c r="L2679" s="9"/>
      <c r="M2679" s="9"/>
      <c r="N2679" s="9"/>
      <c r="O2679" s="9"/>
      <c r="P2679" s="9"/>
      <c r="Q2679" s="9"/>
      <c r="R2679" s="9"/>
      <c r="S2679" s="9"/>
      <c r="T2679" s="9"/>
      <c r="U2679" s="9"/>
      <c r="V2679" s="9"/>
      <c r="W2679" s="9"/>
      <c r="X2679" s="9"/>
      <c r="Y2679" s="9"/>
      <c r="Z2679" s="9"/>
      <c r="AA2679" s="9"/>
      <c r="AB2679" s="9"/>
      <c r="AC2679" s="9"/>
      <c r="AD2679" s="9"/>
      <c r="AE2679" s="9"/>
      <c r="AF2679" s="9"/>
      <c r="AG2679" s="9"/>
      <c r="AH2679" s="9"/>
      <c r="AI2679" s="9"/>
      <c r="AJ2679" s="9"/>
      <c r="AK2679" s="9"/>
      <c r="AL2679" s="9"/>
      <c r="AM2679" s="9"/>
      <c r="AN2679" s="9"/>
      <c r="AO2679" s="9"/>
      <c r="AP2679" s="9"/>
      <c r="AQ2679" s="9"/>
      <c r="AR2679" s="9"/>
      <c r="AS2679" s="9"/>
      <c r="AT2679" s="9"/>
      <c r="AU2679" s="9"/>
    </row>
    <row r="2680" spans="1:47" ht="15.75" customHeight="1">
      <c r="A2680" s="9"/>
      <c r="B2680" s="9"/>
      <c r="C2680" s="9"/>
      <c r="D2680" s="9"/>
      <c r="E2680" s="9"/>
      <c r="F2680" s="67"/>
      <c r="G2680" s="9"/>
      <c r="H2680" s="9"/>
      <c r="I2680" s="9"/>
      <c r="J2680" s="9"/>
      <c r="K2680" s="9"/>
      <c r="L2680" s="9"/>
      <c r="M2680" s="9"/>
      <c r="N2680" s="9"/>
      <c r="O2680" s="9"/>
      <c r="P2680" s="9"/>
      <c r="Q2680" s="9"/>
      <c r="R2680" s="9"/>
      <c r="S2680" s="9"/>
      <c r="T2680" s="9"/>
      <c r="U2680" s="9"/>
      <c r="V2680" s="9"/>
      <c r="W2680" s="9"/>
      <c r="X2680" s="9"/>
      <c r="Y2680" s="9"/>
      <c r="Z2680" s="9"/>
      <c r="AA2680" s="9"/>
      <c r="AB2680" s="9"/>
      <c r="AC2680" s="9"/>
      <c r="AD2680" s="9"/>
      <c r="AE2680" s="9"/>
      <c r="AF2680" s="9"/>
      <c r="AG2680" s="9"/>
      <c r="AH2680" s="9"/>
      <c r="AI2680" s="9"/>
      <c r="AJ2680" s="9"/>
      <c r="AK2680" s="9"/>
      <c r="AL2680" s="9"/>
      <c r="AM2680" s="9"/>
      <c r="AN2680" s="9"/>
      <c r="AO2680" s="9"/>
      <c r="AP2680" s="9"/>
      <c r="AQ2680" s="9"/>
      <c r="AR2680" s="9"/>
      <c r="AS2680" s="9"/>
      <c r="AT2680" s="9"/>
      <c r="AU2680" s="9"/>
    </row>
    <row r="2681" spans="1:47" ht="15.75" customHeight="1">
      <c r="A2681" s="9"/>
      <c r="B2681" s="9"/>
      <c r="C2681" s="9"/>
      <c r="D2681" s="9"/>
      <c r="E2681" s="9"/>
      <c r="F2681" s="67"/>
      <c r="G2681" s="9"/>
      <c r="H2681" s="9"/>
      <c r="I2681" s="9"/>
      <c r="J2681" s="9"/>
      <c r="K2681" s="9"/>
      <c r="L2681" s="9"/>
      <c r="M2681" s="9"/>
      <c r="N2681" s="9"/>
      <c r="O2681" s="9"/>
      <c r="P2681" s="9"/>
      <c r="Q2681" s="9"/>
      <c r="R2681" s="9"/>
      <c r="S2681" s="9"/>
      <c r="T2681" s="9"/>
      <c r="U2681" s="9"/>
      <c r="V2681" s="9"/>
      <c r="W2681" s="9"/>
      <c r="X2681" s="9"/>
      <c r="Y2681" s="9"/>
      <c r="Z2681" s="9"/>
      <c r="AA2681" s="9"/>
      <c r="AB2681" s="9"/>
      <c r="AC2681" s="9"/>
      <c r="AD2681" s="9"/>
      <c r="AE2681" s="9"/>
      <c r="AF2681" s="9"/>
      <c r="AG2681" s="9"/>
      <c r="AH2681" s="9"/>
      <c r="AI2681" s="9"/>
      <c r="AJ2681" s="9"/>
      <c r="AK2681" s="9"/>
      <c r="AL2681" s="9"/>
      <c r="AM2681" s="9"/>
      <c r="AN2681" s="9"/>
      <c r="AO2681" s="9"/>
      <c r="AP2681" s="9"/>
      <c r="AQ2681" s="9"/>
      <c r="AR2681" s="9"/>
      <c r="AS2681" s="9"/>
      <c r="AT2681" s="9"/>
      <c r="AU2681" s="9"/>
    </row>
    <row r="2682" spans="1:47" ht="15.75" customHeight="1">
      <c r="A2682" s="9"/>
      <c r="B2682" s="9"/>
      <c r="C2682" s="9"/>
      <c r="D2682" s="9"/>
      <c r="E2682" s="9"/>
      <c r="F2682" s="67"/>
      <c r="G2682" s="9"/>
      <c r="H2682" s="9"/>
      <c r="I2682" s="9"/>
      <c r="J2682" s="9"/>
      <c r="K2682" s="9"/>
      <c r="L2682" s="9"/>
      <c r="M2682" s="9"/>
      <c r="N2682" s="9"/>
      <c r="O2682" s="9"/>
      <c r="P2682" s="9"/>
      <c r="Q2682" s="9"/>
      <c r="R2682" s="9"/>
      <c r="S2682" s="9"/>
      <c r="T2682" s="9"/>
      <c r="U2682" s="9"/>
      <c r="V2682" s="9"/>
      <c r="W2682" s="9"/>
      <c r="X2682" s="9"/>
      <c r="Y2682" s="9"/>
      <c r="Z2682" s="9"/>
      <c r="AA2682" s="9"/>
      <c r="AB2682" s="9"/>
      <c r="AC2682" s="9"/>
      <c r="AD2682" s="9"/>
      <c r="AE2682" s="9"/>
      <c r="AF2682" s="9"/>
      <c r="AG2682" s="9"/>
      <c r="AH2682" s="9"/>
      <c r="AI2682" s="9"/>
      <c r="AJ2682" s="9"/>
      <c r="AK2682" s="9"/>
      <c r="AL2682" s="9"/>
      <c r="AM2682" s="9"/>
      <c r="AN2682" s="9"/>
      <c r="AO2682" s="9"/>
      <c r="AP2682" s="9"/>
      <c r="AQ2682" s="9"/>
      <c r="AR2682" s="9"/>
      <c r="AS2682" s="9"/>
      <c r="AT2682" s="9"/>
      <c r="AU2682" s="9"/>
    </row>
    <row r="2683" spans="1:47" ht="15.75" customHeight="1">
      <c r="A2683" s="9"/>
      <c r="B2683" s="9"/>
      <c r="C2683" s="9"/>
      <c r="D2683" s="9"/>
      <c r="E2683" s="9"/>
      <c r="F2683" s="67"/>
      <c r="G2683" s="9"/>
      <c r="H2683" s="9"/>
      <c r="I2683" s="9"/>
      <c r="J2683" s="9"/>
      <c r="K2683" s="9"/>
      <c r="L2683" s="9"/>
      <c r="M2683" s="9"/>
      <c r="N2683" s="9"/>
      <c r="O2683" s="9"/>
      <c r="P2683" s="9"/>
      <c r="Q2683" s="9"/>
      <c r="R2683" s="9"/>
      <c r="S2683" s="9"/>
      <c r="T2683" s="9"/>
      <c r="U2683" s="9"/>
      <c r="V2683" s="9"/>
      <c r="W2683" s="9"/>
      <c r="X2683" s="9"/>
      <c r="Y2683" s="9"/>
      <c r="Z2683" s="9"/>
      <c r="AA2683" s="9"/>
      <c r="AB2683" s="9"/>
      <c r="AC2683" s="9"/>
      <c r="AD2683" s="9"/>
      <c r="AE2683" s="9"/>
      <c r="AF2683" s="9"/>
      <c r="AG2683" s="9"/>
      <c r="AH2683" s="9"/>
      <c r="AI2683" s="9"/>
      <c r="AJ2683" s="9"/>
      <c r="AK2683" s="9"/>
      <c r="AL2683" s="9"/>
      <c r="AM2683" s="9"/>
      <c r="AN2683" s="9"/>
      <c r="AO2683" s="9"/>
      <c r="AP2683" s="9"/>
      <c r="AQ2683" s="9"/>
      <c r="AR2683" s="9"/>
      <c r="AS2683" s="9"/>
      <c r="AT2683" s="9"/>
      <c r="AU2683" s="9"/>
    </row>
    <row r="2684" spans="1:47" ht="15.75" customHeight="1">
      <c r="A2684" s="9"/>
      <c r="B2684" s="9"/>
      <c r="C2684" s="9"/>
      <c r="D2684" s="9"/>
      <c r="E2684" s="9"/>
      <c r="F2684" s="67"/>
      <c r="G2684" s="9"/>
      <c r="H2684" s="9"/>
      <c r="I2684" s="9"/>
      <c r="J2684" s="9"/>
      <c r="K2684" s="9"/>
      <c r="L2684" s="9"/>
      <c r="M2684" s="9"/>
      <c r="N2684" s="9"/>
      <c r="O2684" s="9"/>
      <c r="P2684" s="9"/>
      <c r="Q2684" s="9"/>
      <c r="R2684" s="9"/>
      <c r="S2684" s="9"/>
      <c r="T2684" s="9"/>
      <c r="U2684" s="9"/>
      <c r="V2684" s="9"/>
      <c r="W2684" s="9"/>
      <c r="X2684" s="9"/>
      <c r="Y2684" s="9"/>
      <c r="Z2684" s="9"/>
      <c r="AA2684" s="9"/>
      <c r="AB2684" s="9"/>
      <c r="AC2684" s="9"/>
      <c r="AD2684" s="9"/>
      <c r="AE2684" s="9"/>
      <c r="AF2684" s="9"/>
      <c r="AG2684" s="9"/>
      <c r="AH2684" s="9"/>
      <c r="AI2684" s="9"/>
      <c r="AJ2684" s="9"/>
      <c r="AK2684" s="9"/>
      <c r="AL2684" s="9"/>
      <c r="AM2684" s="9"/>
      <c r="AN2684" s="9"/>
      <c r="AO2684" s="9"/>
      <c r="AP2684" s="9"/>
      <c r="AQ2684" s="9"/>
      <c r="AR2684" s="9"/>
      <c r="AS2684" s="9"/>
      <c r="AT2684" s="9"/>
      <c r="AU2684" s="9"/>
    </row>
    <row r="2685" spans="1:47" ht="15.75" customHeight="1">
      <c r="A2685" s="9"/>
      <c r="B2685" s="9"/>
      <c r="C2685" s="9"/>
      <c r="D2685" s="9"/>
      <c r="E2685" s="9"/>
      <c r="F2685" s="67"/>
      <c r="G2685" s="9"/>
      <c r="H2685" s="9"/>
      <c r="I2685" s="9"/>
      <c r="J2685" s="9"/>
      <c r="K2685" s="9"/>
      <c r="L2685" s="9"/>
      <c r="M2685" s="9"/>
      <c r="N2685" s="9"/>
      <c r="O2685" s="9"/>
      <c r="P2685" s="9"/>
      <c r="Q2685" s="9"/>
      <c r="R2685" s="9"/>
      <c r="S2685" s="9"/>
      <c r="T2685" s="9"/>
      <c r="U2685" s="9"/>
      <c r="V2685" s="9"/>
      <c r="W2685" s="9"/>
      <c r="X2685" s="9"/>
      <c r="Y2685" s="9"/>
      <c r="Z2685" s="9"/>
      <c r="AA2685" s="9"/>
      <c r="AB2685" s="9"/>
      <c r="AC2685" s="9"/>
      <c r="AD2685" s="9"/>
      <c r="AE2685" s="9"/>
      <c r="AF2685" s="9"/>
      <c r="AG2685" s="9"/>
      <c r="AH2685" s="9"/>
      <c r="AI2685" s="9"/>
      <c r="AJ2685" s="9"/>
      <c r="AK2685" s="9"/>
      <c r="AL2685" s="9"/>
      <c r="AM2685" s="9"/>
      <c r="AN2685" s="9"/>
      <c r="AO2685" s="9"/>
      <c r="AP2685" s="9"/>
      <c r="AQ2685" s="9"/>
      <c r="AR2685" s="9"/>
      <c r="AS2685" s="9"/>
      <c r="AT2685" s="9"/>
      <c r="AU2685" s="9"/>
    </row>
    <row r="2686" spans="1:47" ht="15.75" customHeight="1">
      <c r="A2686" s="9"/>
      <c r="B2686" s="9"/>
      <c r="C2686" s="9"/>
      <c r="D2686" s="9"/>
      <c r="E2686" s="9"/>
      <c r="F2686" s="67"/>
      <c r="G2686" s="9"/>
      <c r="H2686" s="9"/>
      <c r="I2686" s="9"/>
      <c r="J2686" s="9"/>
      <c r="K2686" s="9"/>
      <c r="L2686" s="9"/>
      <c r="M2686" s="9"/>
      <c r="N2686" s="9"/>
      <c r="O2686" s="9"/>
      <c r="P2686" s="9"/>
      <c r="Q2686" s="9"/>
      <c r="R2686" s="9"/>
      <c r="S2686" s="9"/>
      <c r="T2686" s="9"/>
      <c r="U2686" s="9"/>
      <c r="V2686" s="9"/>
      <c r="W2686" s="9"/>
      <c r="X2686" s="9"/>
      <c r="Y2686" s="9"/>
      <c r="Z2686" s="9"/>
      <c r="AA2686" s="9"/>
      <c r="AB2686" s="9"/>
      <c r="AC2686" s="9"/>
      <c r="AD2686" s="9"/>
      <c r="AE2686" s="9"/>
      <c r="AF2686" s="9"/>
      <c r="AG2686" s="9"/>
      <c r="AH2686" s="9"/>
      <c r="AI2686" s="9"/>
      <c r="AJ2686" s="9"/>
      <c r="AK2686" s="9"/>
      <c r="AL2686" s="9"/>
      <c r="AM2686" s="9"/>
      <c r="AN2686" s="9"/>
      <c r="AO2686" s="9"/>
      <c r="AP2686" s="9"/>
      <c r="AQ2686" s="9"/>
      <c r="AR2686" s="9"/>
      <c r="AS2686" s="9"/>
      <c r="AT2686" s="9"/>
      <c r="AU2686" s="9"/>
    </row>
    <row r="2687" spans="1:47" ht="15.75" customHeight="1">
      <c r="A2687" s="9"/>
      <c r="B2687" s="9"/>
      <c r="C2687" s="9"/>
      <c r="D2687" s="9"/>
      <c r="E2687" s="9"/>
      <c r="F2687" s="67"/>
      <c r="G2687" s="9"/>
      <c r="H2687" s="9"/>
      <c r="I2687" s="9"/>
      <c r="J2687" s="9"/>
      <c r="K2687" s="9"/>
      <c r="L2687" s="9"/>
      <c r="M2687" s="9"/>
      <c r="N2687" s="9"/>
      <c r="O2687" s="9"/>
      <c r="P2687" s="9"/>
      <c r="Q2687" s="9"/>
      <c r="R2687" s="9"/>
      <c r="S2687" s="9"/>
      <c r="T2687" s="9"/>
      <c r="U2687" s="9"/>
      <c r="V2687" s="9"/>
      <c r="W2687" s="9"/>
      <c r="X2687" s="9"/>
      <c r="Y2687" s="9"/>
      <c r="Z2687" s="9"/>
      <c r="AA2687" s="9"/>
      <c r="AB2687" s="9"/>
      <c r="AC2687" s="9"/>
      <c r="AD2687" s="9"/>
      <c r="AE2687" s="9"/>
      <c r="AF2687" s="9"/>
      <c r="AG2687" s="9"/>
      <c r="AH2687" s="9"/>
      <c r="AI2687" s="9"/>
      <c r="AJ2687" s="9"/>
      <c r="AK2687" s="9"/>
      <c r="AL2687" s="9"/>
      <c r="AM2687" s="9"/>
      <c r="AN2687" s="9"/>
      <c r="AO2687" s="9"/>
      <c r="AP2687" s="9"/>
      <c r="AQ2687" s="9"/>
      <c r="AR2687" s="9"/>
      <c r="AS2687" s="9"/>
      <c r="AT2687" s="9"/>
      <c r="AU2687" s="9"/>
    </row>
    <row r="2688" spans="1:47" ht="15.75" customHeight="1">
      <c r="A2688" s="9"/>
      <c r="B2688" s="9"/>
      <c r="C2688" s="9"/>
      <c r="D2688" s="9"/>
      <c r="E2688" s="9"/>
      <c r="F2688" s="67"/>
      <c r="G2688" s="9"/>
      <c r="H2688" s="9"/>
      <c r="I2688" s="9"/>
      <c r="J2688" s="9"/>
      <c r="K2688" s="9"/>
      <c r="L2688" s="9"/>
      <c r="M2688" s="9"/>
      <c r="N2688" s="9"/>
      <c r="O2688" s="9"/>
      <c r="P2688" s="9"/>
      <c r="Q2688" s="9"/>
      <c r="R2688" s="9"/>
      <c r="S2688" s="9"/>
      <c r="T2688" s="9"/>
      <c r="U2688" s="9"/>
      <c r="V2688" s="9"/>
      <c r="W2688" s="9"/>
      <c r="X2688" s="9"/>
      <c r="Y2688" s="9"/>
      <c r="Z2688" s="9"/>
      <c r="AA2688" s="9"/>
      <c r="AB2688" s="9"/>
      <c r="AC2688" s="9"/>
      <c r="AD2688" s="9"/>
      <c r="AE2688" s="9"/>
      <c r="AF2688" s="9"/>
      <c r="AG2688" s="9"/>
      <c r="AH2688" s="9"/>
      <c r="AI2688" s="9"/>
      <c r="AJ2688" s="9"/>
      <c r="AK2688" s="9"/>
      <c r="AL2688" s="9"/>
      <c r="AM2688" s="9"/>
      <c r="AN2688" s="9"/>
      <c r="AO2688" s="9"/>
      <c r="AP2688" s="9"/>
      <c r="AQ2688" s="9"/>
      <c r="AR2688" s="9"/>
      <c r="AS2688" s="9"/>
      <c r="AT2688" s="9"/>
      <c r="AU2688" s="9"/>
    </row>
    <row r="2689" spans="1:47" ht="15.75" customHeight="1">
      <c r="A2689" s="9"/>
      <c r="B2689" s="9"/>
      <c r="C2689" s="9"/>
      <c r="D2689" s="9"/>
      <c r="E2689" s="9"/>
      <c r="F2689" s="67"/>
      <c r="G2689" s="9"/>
      <c r="H2689" s="9"/>
      <c r="I2689" s="9"/>
      <c r="J2689" s="9"/>
      <c r="K2689" s="9"/>
      <c r="L2689" s="9"/>
      <c r="M2689" s="9"/>
      <c r="N2689" s="9"/>
      <c r="O2689" s="9"/>
      <c r="P2689" s="9"/>
      <c r="Q2689" s="9"/>
      <c r="R2689" s="9"/>
      <c r="S2689" s="9"/>
      <c r="T2689" s="9"/>
      <c r="U2689" s="9"/>
      <c r="V2689" s="9"/>
      <c r="W2689" s="9"/>
      <c r="X2689" s="9"/>
      <c r="Y2689" s="9"/>
      <c r="Z2689" s="9"/>
      <c r="AA2689" s="9"/>
      <c r="AB2689" s="9"/>
      <c r="AC2689" s="9"/>
      <c r="AD2689" s="9"/>
      <c r="AE2689" s="9"/>
      <c r="AF2689" s="9"/>
      <c r="AG2689" s="9"/>
      <c r="AH2689" s="9"/>
      <c r="AI2689" s="9"/>
      <c r="AJ2689" s="9"/>
      <c r="AK2689" s="9"/>
      <c r="AL2689" s="9"/>
      <c r="AM2689" s="9"/>
      <c r="AN2689" s="9"/>
      <c r="AO2689" s="9"/>
      <c r="AP2689" s="9"/>
      <c r="AQ2689" s="9"/>
      <c r="AR2689" s="9"/>
      <c r="AS2689" s="9"/>
      <c r="AT2689" s="9"/>
      <c r="AU2689" s="9"/>
    </row>
    <row r="2690" spans="1:47" ht="15.75" customHeight="1">
      <c r="A2690" s="9"/>
      <c r="B2690" s="9"/>
      <c r="C2690" s="9"/>
      <c r="D2690" s="9"/>
      <c r="E2690" s="9"/>
      <c r="F2690" s="67"/>
      <c r="G2690" s="9"/>
      <c r="H2690" s="9"/>
      <c r="I2690" s="9"/>
      <c r="J2690" s="9"/>
      <c r="K2690" s="9"/>
      <c r="L2690" s="9"/>
      <c r="M2690" s="9"/>
      <c r="N2690" s="9"/>
      <c r="O2690" s="9"/>
      <c r="P2690" s="9"/>
      <c r="Q2690" s="9"/>
      <c r="R2690" s="9"/>
      <c r="S2690" s="9"/>
      <c r="T2690" s="9"/>
      <c r="U2690" s="9"/>
      <c r="V2690" s="9"/>
      <c r="W2690" s="9"/>
      <c r="X2690" s="9"/>
      <c r="Y2690" s="9"/>
      <c r="Z2690" s="9"/>
      <c r="AA2690" s="9"/>
      <c r="AB2690" s="9"/>
      <c r="AC2690" s="9"/>
      <c r="AD2690" s="9"/>
      <c r="AE2690" s="9"/>
      <c r="AF2690" s="9"/>
      <c r="AG2690" s="9"/>
      <c r="AH2690" s="9"/>
      <c r="AI2690" s="9"/>
      <c r="AJ2690" s="9"/>
      <c r="AK2690" s="9"/>
      <c r="AL2690" s="9"/>
      <c r="AM2690" s="9"/>
      <c r="AN2690" s="9"/>
      <c r="AO2690" s="9"/>
      <c r="AP2690" s="9"/>
      <c r="AQ2690" s="9"/>
      <c r="AR2690" s="9"/>
      <c r="AS2690" s="9"/>
      <c r="AT2690" s="9"/>
      <c r="AU2690" s="9"/>
    </row>
    <row r="2691" spans="1:47" ht="15.75" customHeight="1">
      <c r="A2691" s="9"/>
      <c r="B2691" s="9"/>
      <c r="C2691" s="9"/>
      <c r="D2691" s="9"/>
      <c r="E2691" s="9"/>
      <c r="F2691" s="67"/>
      <c r="G2691" s="9"/>
      <c r="H2691" s="9"/>
      <c r="I2691" s="9"/>
      <c r="J2691" s="9"/>
      <c r="K2691" s="9"/>
      <c r="L2691" s="9"/>
      <c r="M2691" s="9"/>
      <c r="N2691" s="9"/>
      <c r="O2691" s="9"/>
      <c r="P2691" s="9"/>
      <c r="Q2691" s="9"/>
      <c r="R2691" s="9"/>
      <c r="S2691" s="9"/>
      <c r="T2691" s="9"/>
      <c r="U2691" s="9"/>
      <c r="V2691" s="9"/>
      <c r="W2691" s="9"/>
      <c r="X2691" s="9"/>
      <c r="Y2691" s="9"/>
      <c r="Z2691" s="9"/>
      <c r="AA2691" s="9"/>
      <c r="AB2691" s="9"/>
      <c r="AC2691" s="9"/>
      <c r="AD2691" s="9"/>
      <c r="AE2691" s="9"/>
      <c r="AF2691" s="9"/>
      <c r="AG2691" s="9"/>
      <c r="AH2691" s="9"/>
      <c r="AI2691" s="9"/>
      <c r="AJ2691" s="9"/>
      <c r="AK2691" s="9"/>
      <c r="AL2691" s="9"/>
      <c r="AM2691" s="9"/>
      <c r="AN2691" s="9"/>
      <c r="AO2691" s="9"/>
      <c r="AP2691" s="9"/>
      <c r="AQ2691" s="9"/>
      <c r="AR2691" s="9"/>
      <c r="AS2691" s="9"/>
      <c r="AT2691" s="9"/>
      <c r="AU2691" s="9"/>
    </row>
    <row r="2692" spans="1:47" ht="15.75" customHeight="1">
      <c r="A2692" s="9"/>
      <c r="B2692" s="9"/>
      <c r="C2692" s="9"/>
      <c r="D2692" s="9"/>
      <c r="E2692" s="9"/>
      <c r="F2692" s="67"/>
      <c r="G2692" s="9"/>
      <c r="H2692" s="9"/>
      <c r="I2692" s="9"/>
      <c r="J2692" s="9"/>
      <c r="K2692" s="9"/>
      <c r="L2692" s="9"/>
      <c r="M2692" s="9"/>
      <c r="N2692" s="9"/>
      <c r="O2692" s="9"/>
      <c r="P2692" s="9"/>
      <c r="Q2692" s="9"/>
      <c r="R2692" s="9"/>
      <c r="S2692" s="9"/>
      <c r="T2692" s="9"/>
      <c r="U2692" s="9"/>
      <c r="V2692" s="9"/>
      <c r="W2692" s="9"/>
      <c r="X2692" s="9"/>
      <c r="Y2692" s="9"/>
      <c r="Z2692" s="9"/>
      <c r="AA2692" s="9"/>
      <c r="AB2692" s="9"/>
      <c r="AC2692" s="9"/>
      <c r="AD2692" s="9"/>
      <c r="AE2692" s="9"/>
      <c r="AF2692" s="9"/>
      <c r="AG2692" s="9"/>
      <c r="AH2692" s="9"/>
      <c r="AI2692" s="9"/>
      <c r="AJ2692" s="9"/>
      <c r="AK2692" s="9"/>
      <c r="AL2692" s="9"/>
      <c r="AM2692" s="9"/>
      <c r="AN2692" s="9"/>
      <c r="AO2692" s="9"/>
      <c r="AP2692" s="9"/>
      <c r="AQ2692" s="9"/>
      <c r="AR2692" s="9"/>
      <c r="AS2692" s="9"/>
      <c r="AT2692" s="9"/>
      <c r="AU2692" s="9"/>
    </row>
    <row r="2693" spans="1:47" ht="15.75" customHeight="1">
      <c r="A2693" s="9"/>
      <c r="B2693" s="9"/>
      <c r="C2693" s="9"/>
      <c r="D2693" s="9"/>
      <c r="E2693" s="9"/>
      <c r="F2693" s="67"/>
      <c r="G2693" s="9"/>
      <c r="H2693" s="9"/>
      <c r="I2693" s="9"/>
      <c r="J2693" s="9"/>
      <c r="K2693" s="9"/>
      <c r="L2693" s="9"/>
      <c r="M2693" s="9"/>
      <c r="N2693" s="9"/>
      <c r="O2693" s="9"/>
      <c r="P2693" s="9"/>
      <c r="Q2693" s="9"/>
      <c r="R2693" s="9"/>
      <c r="S2693" s="9"/>
      <c r="T2693" s="9"/>
      <c r="U2693" s="9"/>
      <c r="V2693" s="9"/>
      <c r="W2693" s="9"/>
      <c r="X2693" s="9"/>
      <c r="Y2693" s="9"/>
      <c r="Z2693" s="9"/>
      <c r="AA2693" s="9"/>
      <c r="AB2693" s="9"/>
      <c r="AC2693" s="9"/>
      <c r="AD2693" s="9"/>
      <c r="AE2693" s="9"/>
      <c r="AF2693" s="9"/>
      <c r="AG2693" s="9"/>
      <c r="AH2693" s="9"/>
      <c r="AI2693" s="9"/>
      <c r="AJ2693" s="9"/>
      <c r="AK2693" s="9"/>
      <c r="AL2693" s="9"/>
      <c r="AM2693" s="9"/>
      <c r="AN2693" s="9"/>
      <c r="AO2693" s="9"/>
      <c r="AP2693" s="9"/>
      <c r="AQ2693" s="9"/>
      <c r="AR2693" s="9"/>
      <c r="AS2693" s="9"/>
      <c r="AT2693" s="9"/>
      <c r="AU2693" s="9"/>
    </row>
    <row r="2694" spans="1:47" ht="15.75" customHeight="1">
      <c r="A2694" s="9"/>
      <c r="B2694" s="9"/>
      <c r="C2694" s="9"/>
      <c r="D2694" s="9"/>
      <c r="E2694" s="9"/>
      <c r="F2694" s="67"/>
      <c r="G2694" s="9"/>
      <c r="H2694" s="9"/>
      <c r="I2694" s="9"/>
      <c r="J2694" s="9"/>
      <c r="K2694" s="9"/>
      <c r="L2694" s="9"/>
      <c r="M2694" s="9"/>
      <c r="N2694" s="9"/>
      <c r="O2694" s="9"/>
      <c r="P2694" s="9"/>
      <c r="Q2694" s="9"/>
      <c r="R2694" s="9"/>
      <c r="S2694" s="9"/>
      <c r="T2694" s="9"/>
      <c r="U2694" s="9"/>
      <c r="V2694" s="9"/>
      <c r="W2694" s="9"/>
      <c r="X2694" s="9"/>
      <c r="Y2694" s="9"/>
      <c r="Z2694" s="9"/>
      <c r="AA2694" s="9"/>
      <c r="AB2694" s="9"/>
      <c r="AC2694" s="9"/>
      <c r="AD2694" s="9"/>
      <c r="AE2694" s="9"/>
      <c r="AF2694" s="9"/>
      <c r="AG2694" s="9"/>
      <c r="AH2694" s="9"/>
      <c r="AI2694" s="9"/>
      <c r="AJ2694" s="9"/>
      <c r="AK2694" s="9"/>
      <c r="AL2694" s="9"/>
      <c r="AM2694" s="9"/>
      <c r="AN2694" s="9"/>
      <c r="AO2694" s="9"/>
      <c r="AP2694" s="9"/>
      <c r="AQ2694" s="9"/>
      <c r="AR2694" s="9"/>
      <c r="AS2694" s="9"/>
      <c r="AT2694" s="9"/>
      <c r="AU2694" s="9"/>
    </row>
    <row r="2695" spans="1:47" ht="15.75" customHeight="1">
      <c r="A2695" s="9"/>
      <c r="B2695" s="9"/>
      <c r="C2695" s="9"/>
      <c r="D2695" s="9"/>
      <c r="E2695" s="9"/>
      <c r="F2695" s="67"/>
      <c r="G2695" s="9"/>
      <c r="H2695" s="9"/>
      <c r="I2695" s="9"/>
      <c r="J2695" s="9"/>
      <c r="K2695" s="9"/>
      <c r="L2695" s="9"/>
      <c r="M2695" s="9"/>
      <c r="N2695" s="9"/>
      <c r="O2695" s="9"/>
      <c r="P2695" s="9"/>
      <c r="Q2695" s="9"/>
      <c r="R2695" s="9"/>
      <c r="S2695" s="9"/>
      <c r="T2695" s="9"/>
      <c r="U2695" s="9"/>
      <c r="V2695" s="9"/>
      <c r="W2695" s="9"/>
      <c r="X2695" s="9"/>
      <c r="Y2695" s="9"/>
      <c r="Z2695" s="9"/>
      <c r="AA2695" s="9"/>
      <c r="AB2695" s="9"/>
      <c r="AC2695" s="9"/>
      <c r="AD2695" s="9"/>
      <c r="AE2695" s="9"/>
      <c r="AF2695" s="9"/>
      <c r="AG2695" s="9"/>
      <c r="AH2695" s="9"/>
      <c r="AI2695" s="9"/>
      <c r="AJ2695" s="9"/>
      <c r="AK2695" s="9"/>
      <c r="AL2695" s="9"/>
      <c r="AM2695" s="9"/>
      <c r="AN2695" s="9"/>
      <c r="AO2695" s="9"/>
      <c r="AP2695" s="9"/>
      <c r="AQ2695" s="9"/>
      <c r="AR2695" s="9"/>
      <c r="AS2695" s="9"/>
      <c r="AT2695" s="9"/>
      <c r="AU2695" s="9"/>
    </row>
    <row r="2696" spans="1:47" ht="15.75" customHeight="1">
      <c r="A2696" s="9"/>
      <c r="B2696" s="9"/>
      <c r="C2696" s="9"/>
      <c r="D2696" s="9"/>
      <c r="E2696" s="9"/>
      <c r="F2696" s="67"/>
      <c r="G2696" s="9"/>
      <c r="H2696" s="9"/>
      <c r="I2696" s="9"/>
      <c r="J2696" s="9"/>
      <c r="K2696" s="9"/>
      <c r="L2696" s="9"/>
      <c r="M2696" s="9"/>
      <c r="N2696" s="9"/>
      <c r="O2696" s="9"/>
      <c r="P2696" s="9"/>
      <c r="Q2696" s="9"/>
      <c r="R2696" s="9"/>
      <c r="S2696" s="9"/>
      <c r="T2696" s="9"/>
      <c r="U2696" s="9"/>
      <c r="V2696" s="9"/>
      <c r="W2696" s="9"/>
      <c r="X2696" s="9"/>
      <c r="Y2696" s="9"/>
      <c r="Z2696" s="9"/>
      <c r="AA2696" s="9"/>
      <c r="AB2696" s="9"/>
      <c r="AC2696" s="9"/>
      <c r="AD2696" s="9"/>
      <c r="AE2696" s="9"/>
      <c r="AF2696" s="9"/>
      <c r="AG2696" s="9"/>
      <c r="AH2696" s="9"/>
      <c r="AI2696" s="9"/>
      <c r="AJ2696" s="9"/>
      <c r="AK2696" s="9"/>
      <c r="AL2696" s="9"/>
      <c r="AM2696" s="9"/>
      <c r="AN2696" s="9"/>
      <c r="AO2696" s="9"/>
      <c r="AP2696" s="9"/>
      <c r="AQ2696" s="9"/>
      <c r="AR2696" s="9"/>
      <c r="AS2696" s="9"/>
      <c r="AT2696" s="9"/>
      <c r="AU2696" s="9"/>
    </row>
    <row r="2697" spans="1:47" ht="15.75" customHeight="1">
      <c r="A2697" s="9"/>
      <c r="B2697" s="9"/>
      <c r="C2697" s="9"/>
      <c r="D2697" s="9"/>
      <c r="E2697" s="9"/>
      <c r="F2697" s="67"/>
      <c r="G2697" s="9"/>
      <c r="H2697" s="9"/>
      <c r="I2697" s="9"/>
      <c r="J2697" s="9"/>
      <c r="K2697" s="9"/>
      <c r="L2697" s="9"/>
      <c r="M2697" s="9"/>
      <c r="N2697" s="9"/>
      <c r="O2697" s="9"/>
      <c r="P2697" s="9"/>
      <c r="Q2697" s="9"/>
      <c r="R2697" s="9"/>
      <c r="S2697" s="9"/>
      <c r="T2697" s="9"/>
      <c r="U2697" s="9"/>
      <c r="V2697" s="9"/>
      <c r="W2697" s="9"/>
      <c r="X2697" s="9"/>
      <c r="Y2697" s="9"/>
      <c r="Z2697" s="9"/>
      <c r="AA2697" s="9"/>
      <c r="AB2697" s="9"/>
      <c r="AC2697" s="9"/>
      <c r="AD2697" s="9"/>
      <c r="AE2697" s="9"/>
      <c r="AF2697" s="9"/>
      <c r="AG2697" s="9"/>
      <c r="AH2697" s="9"/>
      <c r="AI2697" s="9"/>
      <c r="AJ2697" s="9"/>
      <c r="AK2697" s="9"/>
      <c r="AL2697" s="9"/>
      <c r="AM2697" s="9"/>
      <c r="AN2697" s="9"/>
      <c r="AO2697" s="9"/>
      <c r="AP2697" s="9"/>
      <c r="AQ2697" s="9"/>
      <c r="AR2697" s="9"/>
      <c r="AS2697" s="9"/>
      <c r="AT2697" s="9"/>
      <c r="AU2697" s="9"/>
    </row>
    <row r="2698" spans="1:47" ht="15.75" customHeight="1">
      <c r="A2698" s="9"/>
      <c r="B2698" s="9"/>
      <c r="C2698" s="9"/>
      <c r="D2698" s="9"/>
      <c r="E2698" s="9"/>
      <c r="F2698" s="67"/>
      <c r="G2698" s="9"/>
      <c r="H2698" s="9"/>
      <c r="I2698" s="9"/>
      <c r="J2698" s="9"/>
      <c r="K2698" s="9"/>
      <c r="L2698" s="9"/>
      <c r="M2698" s="9"/>
      <c r="N2698" s="9"/>
      <c r="O2698" s="9"/>
      <c r="P2698" s="9"/>
      <c r="Q2698" s="9"/>
      <c r="R2698" s="9"/>
      <c r="S2698" s="9"/>
      <c r="T2698" s="9"/>
      <c r="U2698" s="9"/>
      <c r="V2698" s="9"/>
      <c r="W2698" s="9"/>
      <c r="X2698" s="9"/>
      <c r="Y2698" s="9"/>
      <c r="Z2698" s="9"/>
      <c r="AA2698" s="9"/>
      <c r="AB2698" s="9"/>
      <c r="AC2698" s="9"/>
      <c r="AD2698" s="9"/>
      <c r="AE2698" s="9"/>
      <c r="AF2698" s="9"/>
      <c r="AG2698" s="9"/>
      <c r="AH2698" s="9"/>
      <c r="AI2698" s="9"/>
      <c r="AJ2698" s="9"/>
      <c r="AK2698" s="9"/>
      <c r="AL2698" s="9"/>
      <c r="AM2698" s="9"/>
      <c r="AN2698" s="9"/>
      <c r="AO2698" s="9"/>
      <c r="AP2698" s="9"/>
      <c r="AQ2698" s="9"/>
      <c r="AR2698" s="9"/>
      <c r="AS2698" s="9"/>
      <c r="AT2698" s="9"/>
      <c r="AU2698" s="9"/>
    </row>
    <row r="2699" spans="1:47" ht="15.75" customHeight="1">
      <c r="A2699" s="9"/>
      <c r="B2699" s="9"/>
      <c r="C2699" s="9"/>
      <c r="D2699" s="9"/>
      <c r="E2699" s="9"/>
      <c r="F2699" s="67"/>
      <c r="G2699" s="9"/>
      <c r="H2699" s="9"/>
      <c r="I2699" s="9"/>
      <c r="J2699" s="9"/>
      <c r="K2699" s="9"/>
      <c r="L2699" s="9"/>
      <c r="M2699" s="9"/>
      <c r="N2699" s="9"/>
      <c r="O2699" s="9"/>
      <c r="P2699" s="9"/>
      <c r="Q2699" s="9"/>
      <c r="R2699" s="9"/>
      <c r="S2699" s="9"/>
      <c r="T2699" s="9"/>
      <c r="U2699" s="9"/>
      <c r="V2699" s="9"/>
      <c r="W2699" s="9"/>
      <c r="X2699" s="9"/>
      <c r="Y2699" s="9"/>
      <c r="Z2699" s="9"/>
      <c r="AA2699" s="9"/>
      <c r="AB2699" s="9"/>
      <c r="AC2699" s="9"/>
      <c r="AD2699" s="9"/>
      <c r="AE2699" s="9"/>
      <c r="AF2699" s="9"/>
      <c r="AG2699" s="9"/>
      <c r="AH2699" s="9"/>
      <c r="AI2699" s="9"/>
      <c r="AJ2699" s="9"/>
      <c r="AK2699" s="9"/>
      <c r="AL2699" s="9"/>
      <c r="AM2699" s="9"/>
      <c r="AN2699" s="9"/>
      <c r="AO2699" s="9"/>
      <c r="AP2699" s="9"/>
      <c r="AQ2699" s="9"/>
      <c r="AR2699" s="9"/>
      <c r="AS2699" s="9"/>
      <c r="AT2699" s="9"/>
      <c r="AU2699" s="9"/>
    </row>
    <row r="2700" spans="1:47" ht="15.75" customHeight="1">
      <c r="A2700" s="9"/>
      <c r="B2700" s="9"/>
      <c r="C2700" s="9"/>
      <c r="D2700" s="9"/>
      <c r="E2700" s="9"/>
      <c r="F2700" s="67"/>
      <c r="G2700" s="9"/>
      <c r="H2700" s="9"/>
      <c r="I2700" s="9"/>
      <c r="J2700" s="9"/>
      <c r="K2700" s="9"/>
      <c r="L2700" s="9"/>
      <c r="M2700" s="9"/>
      <c r="N2700" s="9"/>
      <c r="O2700" s="9"/>
      <c r="P2700" s="9"/>
      <c r="Q2700" s="9"/>
      <c r="R2700" s="9"/>
      <c r="S2700" s="9"/>
      <c r="T2700" s="9"/>
      <c r="U2700" s="9"/>
      <c r="V2700" s="9"/>
      <c r="W2700" s="9"/>
      <c r="X2700" s="9"/>
      <c r="Y2700" s="9"/>
      <c r="Z2700" s="9"/>
      <c r="AA2700" s="9"/>
      <c r="AB2700" s="9"/>
      <c r="AC2700" s="9"/>
      <c r="AD2700" s="9"/>
      <c r="AE2700" s="9"/>
      <c r="AF2700" s="9"/>
      <c r="AG2700" s="9"/>
      <c r="AH2700" s="9"/>
      <c r="AI2700" s="9"/>
      <c r="AJ2700" s="9"/>
      <c r="AK2700" s="9"/>
      <c r="AL2700" s="9"/>
      <c r="AM2700" s="9"/>
      <c r="AN2700" s="9"/>
      <c r="AO2700" s="9"/>
      <c r="AP2700" s="9"/>
      <c r="AQ2700" s="9"/>
      <c r="AR2700" s="9"/>
      <c r="AS2700" s="9"/>
      <c r="AT2700" s="9"/>
      <c r="AU2700" s="9"/>
    </row>
    <row r="2701" spans="1:47" ht="15.75" customHeight="1">
      <c r="A2701" s="9"/>
      <c r="B2701" s="9"/>
      <c r="C2701" s="9"/>
      <c r="D2701" s="9"/>
      <c r="E2701" s="9"/>
      <c r="F2701" s="67"/>
      <c r="G2701" s="9"/>
      <c r="H2701" s="9"/>
      <c r="I2701" s="9"/>
      <c r="J2701" s="9"/>
      <c r="K2701" s="9"/>
      <c r="L2701" s="9"/>
      <c r="M2701" s="9"/>
      <c r="N2701" s="9"/>
      <c r="O2701" s="9"/>
      <c r="P2701" s="9"/>
      <c r="Q2701" s="9"/>
      <c r="R2701" s="9"/>
      <c r="S2701" s="9"/>
      <c r="T2701" s="9"/>
      <c r="U2701" s="9"/>
      <c r="V2701" s="9"/>
      <c r="W2701" s="9"/>
      <c r="X2701" s="9"/>
      <c r="Y2701" s="9"/>
      <c r="Z2701" s="9"/>
      <c r="AA2701" s="9"/>
      <c r="AB2701" s="9"/>
      <c r="AC2701" s="9"/>
      <c r="AD2701" s="9"/>
      <c r="AE2701" s="9"/>
      <c r="AF2701" s="9"/>
      <c r="AG2701" s="9"/>
      <c r="AH2701" s="9"/>
      <c r="AI2701" s="9"/>
      <c r="AJ2701" s="9"/>
      <c r="AK2701" s="9"/>
      <c r="AL2701" s="9"/>
      <c r="AM2701" s="9"/>
      <c r="AN2701" s="9"/>
      <c r="AO2701" s="9"/>
      <c r="AP2701" s="9"/>
      <c r="AQ2701" s="9"/>
      <c r="AR2701" s="9"/>
      <c r="AS2701" s="9"/>
      <c r="AT2701" s="9"/>
      <c r="AU2701" s="9"/>
    </row>
    <row r="2702" spans="1:47" ht="15.75" customHeight="1">
      <c r="A2702" s="9"/>
      <c r="B2702" s="9"/>
      <c r="C2702" s="9"/>
      <c r="D2702" s="9"/>
      <c r="E2702" s="9"/>
      <c r="F2702" s="67"/>
      <c r="G2702" s="9"/>
      <c r="H2702" s="9"/>
      <c r="I2702" s="9"/>
      <c r="J2702" s="9"/>
      <c r="K2702" s="9"/>
      <c r="L2702" s="9"/>
      <c r="M2702" s="9"/>
      <c r="N2702" s="9"/>
      <c r="O2702" s="9"/>
      <c r="P2702" s="9"/>
      <c r="Q2702" s="9"/>
      <c r="R2702" s="9"/>
      <c r="S2702" s="9"/>
      <c r="T2702" s="9"/>
      <c r="U2702" s="9"/>
      <c r="V2702" s="9"/>
      <c r="W2702" s="9"/>
      <c r="X2702" s="9"/>
      <c r="Y2702" s="9"/>
      <c r="Z2702" s="9"/>
      <c r="AA2702" s="9"/>
      <c r="AB2702" s="9"/>
      <c r="AC2702" s="9"/>
      <c r="AD2702" s="9"/>
      <c r="AE2702" s="9"/>
      <c r="AF2702" s="9"/>
      <c r="AG2702" s="9"/>
      <c r="AH2702" s="9"/>
      <c r="AI2702" s="9"/>
      <c r="AJ2702" s="9"/>
      <c r="AK2702" s="9"/>
      <c r="AL2702" s="9"/>
      <c r="AM2702" s="9"/>
      <c r="AN2702" s="9"/>
      <c r="AO2702" s="9"/>
      <c r="AP2702" s="9"/>
      <c r="AQ2702" s="9"/>
      <c r="AR2702" s="9"/>
      <c r="AS2702" s="9"/>
      <c r="AT2702" s="9"/>
      <c r="AU2702" s="9"/>
    </row>
    <row r="2703" spans="1:47" ht="15.75" customHeight="1">
      <c r="A2703" s="9"/>
      <c r="B2703" s="9"/>
      <c r="C2703" s="9"/>
      <c r="D2703" s="9"/>
      <c r="E2703" s="9"/>
      <c r="F2703" s="67"/>
      <c r="G2703" s="9"/>
      <c r="H2703" s="9"/>
      <c r="I2703" s="9"/>
      <c r="J2703" s="9"/>
      <c r="K2703" s="9"/>
      <c r="L2703" s="9"/>
      <c r="M2703" s="9"/>
      <c r="N2703" s="9"/>
      <c r="O2703" s="9"/>
      <c r="P2703" s="9"/>
      <c r="Q2703" s="9"/>
      <c r="R2703" s="9"/>
      <c r="S2703" s="9"/>
      <c r="T2703" s="9"/>
      <c r="U2703" s="9"/>
      <c r="V2703" s="9"/>
      <c r="W2703" s="9"/>
      <c r="X2703" s="9"/>
      <c r="Y2703" s="9"/>
      <c r="Z2703" s="9"/>
      <c r="AA2703" s="9"/>
      <c r="AB2703" s="9"/>
      <c r="AC2703" s="9"/>
      <c r="AD2703" s="9"/>
      <c r="AE2703" s="9"/>
      <c r="AF2703" s="9"/>
      <c r="AG2703" s="9"/>
      <c r="AH2703" s="9"/>
      <c r="AI2703" s="9"/>
      <c r="AJ2703" s="9"/>
      <c r="AK2703" s="9"/>
      <c r="AL2703" s="9"/>
      <c r="AM2703" s="9"/>
      <c r="AN2703" s="9"/>
      <c r="AO2703" s="9"/>
      <c r="AP2703" s="9"/>
      <c r="AQ2703" s="9"/>
      <c r="AR2703" s="9"/>
      <c r="AS2703" s="9"/>
      <c r="AT2703" s="9"/>
      <c r="AU2703" s="9"/>
    </row>
    <row r="2704" spans="1:47" ht="15.75" customHeight="1">
      <c r="A2704" s="9"/>
      <c r="B2704" s="9"/>
      <c r="C2704" s="9"/>
      <c r="D2704" s="9"/>
      <c r="E2704" s="9"/>
      <c r="F2704" s="67"/>
      <c r="G2704" s="9"/>
      <c r="H2704" s="9"/>
      <c r="I2704" s="9"/>
      <c r="J2704" s="9"/>
      <c r="K2704" s="9"/>
      <c r="L2704" s="9"/>
      <c r="M2704" s="9"/>
      <c r="N2704" s="9"/>
      <c r="O2704" s="9"/>
      <c r="P2704" s="9"/>
      <c r="Q2704" s="9"/>
      <c r="R2704" s="9"/>
      <c r="S2704" s="9"/>
      <c r="T2704" s="9"/>
      <c r="U2704" s="9"/>
      <c r="V2704" s="9"/>
      <c r="W2704" s="9"/>
      <c r="X2704" s="9"/>
      <c r="Y2704" s="9"/>
      <c r="Z2704" s="9"/>
      <c r="AA2704" s="9"/>
      <c r="AB2704" s="9"/>
      <c r="AC2704" s="9"/>
      <c r="AD2704" s="9"/>
      <c r="AE2704" s="9"/>
      <c r="AF2704" s="9"/>
      <c r="AG2704" s="9"/>
      <c r="AH2704" s="9"/>
      <c r="AI2704" s="9"/>
      <c r="AJ2704" s="9"/>
      <c r="AK2704" s="9"/>
      <c r="AL2704" s="9"/>
      <c r="AM2704" s="9"/>
      <c r="AN2704" s="9"/>
      <c r="AO2704" s="9"/>
      <c r="AP2704" s="9"/>
      <c r="AQ2704" s="9"/>
      <c r="AR2704" s="9"/>
      <c r="AS2704" s="9"/>
      <c r="AT2704" s="9"/>
      <c r="AU2704" s="9"/>
    </row>
    <row r="2705" spans="1:47" ht="15.75" customHeight="1">
      <c r="A2705" s="9"/>
      <c r="B2705" s="9"/>
      <c r="C2705" s="9"/>
      <c r="D2705" s="9"/>
      <c r="E2705" s="9"/>
      <c r="F2705" s="67"/>
      <c r="G2705" s="9"/>
      <c r="H2705" s="9"/>
      <c r="I2705" s="9"/>
      <c r="J2705" s="9"/>
      <c r="K2705" s="9"/>
      <c r="L2705" s="9"/>
      <c r="M2705" s="9"/>
      <c r="N2705" s="9"/>
      <c r="O2705" s="9"/>
      <c r="P2705" s="9"/>
      <c r="Q2705" s="9"/>
      <c r="R2705" s="9"/>
      <c r="S2705" s="9"/>
      <c r="T2705" s="9"/>
      <c r="U2705" s="9"/>
      <c r="V2705" s="9"/>
      <c r="W2705" s="9"/>
      <c r="X2705" s="9"/>
      <c r="Y2705" s="9"/>
      <c r="Z2705" s="9"/>
      <c r="AA2705" s="9"/>
      <c r="AB2705" s="9"/>
      <c r="AC2705" s="9"/>
      <c r="AD2705" s="9"/>
      <c r="AE2705" s="9"/>
      <c r="AF2705" s="9"/>
      <c r="AG2705" s="9"/>
      <c r="AH2705" s="9"/>
      <c r="AI2705" s="9"/>
      <c r="AJ2705" s="9"/>
      <c r="AK2705" s="9"/>
      <c r="AL2705" s="9"/>
      <c r="AM2705" s="9"/>
      <c r="AN2705" s="9"/>
      <c r="AO2705" s="9"/>
      <c r="AP2705" s="9"/>
      <c r="AQ2705" s="9"/>
      <c r="AR2705" s="9"/>
      <c r="AS2705" s="9"/>
      <c r="AT2705" s="9"/>
      <c r="AU2705" s="9"/>
    </row>
    <row r="2706" spans="1:47" ht="15.75" customHeight="1">
      <c r="A2706" s="9"/>
      <c r="B2706" s="9"/>
      <c r="C2706" s="9"/>
      <c r="D2706" s="9"/>
      <c r="E2706" s="9"/>
      <c r="F2706" s="67"/>
      <c r="G2706" s="9"/>
      <c r="H2706" s="9"/>
      <c r="I2706" s="9"/>
      <c r="J2706" s="9"/>
      <c r="K2706" s="9"/>
      <c r="L2706" s="9"/>
      <c r="M2706" s="9"/>
      <c r="N2706" s="9"/>
      <c r="O2706" s="9"/>
      <c r="P2706" s="9"/>
      <c r="Q2706" s="9"/>
      <c r="R2706" s="9"/>
      <c r="S2706" s="9"/>
      <c r="T2706" s="9"/>
      <c r="U2706" s="9"/>
      <c r="V2706" s="9"/>
      <c r="W2706" s="9"/>
      <c r="X2706" s="9"/>
      <c r="Y2706" s="9"/>
      <c r="Z2706" s="9"/>
      <c r="AA2706" s="9"/>
      <c r="AB2706" s="9"/>
      <c r="AC2706" s="9"/>
      <c r="AD2706" s="9"/>
      <c r="AE2706" s="9"/>
      <c r="AF2706" s="9"/>
      <c r="AG2706" s="9"/>
      <c r="AH2706" s="9"/>
      <c r="AI2706" s="9"/>
      <c r="AJ2706" s="9"/>
      <c r="AK2706" s="9"/>
      <c r="AL2706" s="9"/>
      <c r="AM2706" s="9"/>
      <c r="AN2706" s="9"/>
      <c r="AO2706" s="9"/>
      <c r="AP2706" s="9"/>
      <c r="AQ2706" s="9"/>
      <c r="AR2706" s="9"/>
      <c r="AS2706" s="9"/>
      <c r="AT2706" s="9"/>
      <c r="AU2706" s="9"/>
    </row>
    <row r="2707" spans="1:47" ht="15.75" customHeight="1">
      <c r="A2707" s="9"/>
      <c r="B2707" s="9"/>
      <c r="C2707" s="9"/>
      <c r="D2707" s="9"/>
      <c r="E2707" s="9"/>
      <c r="F2707" s="67"/>
      <c r="G2707" s="9"/>
      <c r="H2707" s="9"/>
      <c r="I2707" s="9"/>
      <c r="J2707" s="9"/>
      <c r="K2707" s="9"/>
      <c r="L2707" s="9"/>
      <c r="M2707" s="9"/>
      <c r="N2707" s="9"/>
      <c r="O2707" s="9"/>
      <c r="P2707" s="9"/>
      <c r="Q2707" s="9"/>
      <c r="R2707" s="9"/>
      <c r="S2707" s="9"/>
      <c r="T2707" s="9"/>
      <c r="U2707" s="9"/>
      <c r="V2707" s="9"/>
      <c r="W2707" s="9"/>
      <c r="X2707" s="9"/>
      <c r="Y2707" s="9"/>
      <c r="Z2707" s="9"/>
      <c r="AA2707" s="9"/>
      <c r="AB2707" s="9"/>
      <c r="AC2707" s="9"/>
      <c r="AD2707" s="9"/>
      <c r="AE2707" s="9"/>
      <c r="AF2707" s="9"/>
      <c r="AG2707" s="9"/>
      <c r="AH2707" s="9"/>
      <c r="AI2707" s="9"/>
      <c r="AJ2707" s="9"/>
      <c r="AK2707" s="9"/>
      <c r="AL2707" s="9"/>
      <c r="AM2707" s="9"/>
      <c r="AN2707" s="9"/>
      <c r="AO2707" s="9"/>
      <c r="AP2707" s="9"/>
      <c r="AQ2707" s="9"/>
      <c r="AR2707" s="9"/>
      <c r="AS2707" s="9"/>
      <c r="AT2707" s="9"/>
      <c r="AU2707" s="9"/>
    </row>
    <row r="2708" spans="1:47" ht="15.75" customHeight="1">
      <c r="A2708" s="9"/>
      <c r="B2708" s="9"/>
      <c r="C2708" s="9"/>
      <c r="D2708" s="9"/>
      <c r="E2708" s="9"/>
      <c r="F2708" s="67"/>
      <c r="G2708" s="9"/>
      <c r="H2708" s="9"/>
      <c r="I2708" s="9"/>
      <c r="J2708" s="9"/>
      <c r="K2708" s="9"/>
      <c r="L2708" s="9"/>
      <c r="M2708" s="9"/>
      <c r="N2708" s="9"/>
      <c r="O2708" s="9"/>
      <c r="P2708" s="9"/>
      <c r="Q2708" s="9"/>
      <c r="R2708" s="9"/>
      <c r="S2708" s="9"/>
      <c r="T2708" s="9"/>
      <c r="U2708" s="9"/>
      <c r="V2708" s="9"/>
      <c r="W2708" s="9"/>
      <c r="X2708" s="9"/>
      <c r="Y2708" s="9"/>
      <c r="Z2708" s="9"/>
      <c r="AA2708" s="9"/>
      <c r="AB2708" s="9"/>
      <c r="AC2708" s="9"/>
      <c r="AD2708" s="9"/>
      <c r="AE2708" s="9"/>
      <c r="AF2708" s="9"/>
      <c r="AG2708" s="9"/>
      <c r="AH2708" s="9"/>
      <c r="AI2708" s="9"/>
      <c r="AJ2708" s="9"/>
      <c r="AK2708" s="9"/>
      <c r="AL2708" s="9"/>
      <c r="AM2708" s="9"/>
      <c r="AN2708" s="9"/>
      <c r="AO2708" s="9"/>
      <c r="AP2708" s="9"/>
      <c r="AQ2708" s="9"/>
      <c r="AR2708" s="9"/>
      <c r="AS2708" s="9"/>
      <c r="AT2708" s="9"/>
      <c r="AU2708" s="9"/>
    </row>
    <row r="2709" spans="1:47" ht="15.75" customHeight="1">
      <c r="A2709" s="9"/>
      <c r="B2709" s="9"/>
      <c r="C2709" s="9"/>
      <c r="D2709" s="9"/>
      <c r="E2709" s="9"/>
      <c r="F2709" s="67"/>
      <c r="G2709" s="9"/>
      <c r="H2709" s="9"/>
      <c r="I2709" s="9"/>
      <c r="J2709" s="9"/>
      <c r="K2709" s="9"/>
      <c r="L2709" s="9"/>
      <c r="M2709" s="9"/>
      <c r="N2709" s="9"/>
      <c r="O2709" s="9"/>
      <c r="P2709" s="9"/>
      <c r="Q2709" s="9"/>
      <c r="R2709" s="9"/>
      <c r="S2709" s="9"/>
      <c r="T2709" s="9"/>
      <c r="U2709" s="9"/>
      <c r="V2709" s="9"/>
      <c r="W2709" s="9"/>
      <c r="X2709" s="9"/>
      <c r="Y2709" s="9"/>
      <c r="Z2709" s="9"/>
      <c r="AA2709" s="9"/>
      <c r="AB2709" s="9"/>
      <c r="AC2709" s="9"/>
      <c r="AD2709" s="9"/>
      <c r="AE2709" s="9"/>
      <c r="AF2709" s="9"/>
      <c r="AG2709" s="9"/>
      <c r="AH2709" s="9"/>
      <c r="AI2709" s="9"/>
      <c r="AJ2709" s="9"/>
      <c r="AK2709" s="9"/>
      <c r="AL2709" s="9"/>
      <c r="AM2709" s="9"/>
      <c r="AN2709" s="9"/>
      <c r="AO2709" s="9"/>
      <c r="AP2709" s="9"/>
      <c r="AQ2709" s="9"/>
      <c r="AR2709" s="9"/>
      <c r="AS2709" s="9"/>
      <c r="AT2709" s="9"/>
      <c r="AU2709" s="9"/>
    </row>
    <row r="2710" spans="1:47" ht="15.75" customHeight="1">
      <c r="A2710" s="9"/>
      <c r="B2710" s="9"/>
      <c r="C2710" s="9"/>
      <c r="D2710" s="9"/>
      <c r="E2710" s="9"/>
      <c r="F2710" s="67"/>
      <c r="G2710" s="9"/>
      <c r="H2710" s="9"/>
      <c r="I2710" s="9"/>
      <c r="J2710" s="9"/>
      <c r="K2710" s="9"/>
      <c r="L2710" s="9"/>
      <c r="M2710" s="9"/>
      <c r="N2710" s="9"/>
      <c r="O2710" s="9"/>
      <c r="P2710" s="9"/>
      <c r="Q2710" s="9"/>
      <c r="R2710" s="9"/>
      <c r="S2710" s="9"/>
      <c r="T2710" s="9"/>
      <c r="U2710" s="9"/>
      <c r="V2710" s="9"/>
      <c r="W2710" s="9"/>
      <c r="X2710" s="9"/>
      <c r="Y2710" s="9"/>
      <c r="Z2710" s="9"/>
      <c r="AA2710" s="9"/>
      <c r="AB2710" s="9"/>
      <c r="AC2710" s="9"/>
      <c r="AD2710" s="9"/>
      <c r="AE2710" s="9"/>
      <c r="AF2710" s="9"/>
      <c r="AG2710" s="9"/>
      <c r="AH2710" s="9"/>
      <c r="AI2710" s="9"/>
      <c r="AJ2710" s="9"/>
      <c r="AK2710" s="9"/>
      <c r="AL2710" s="9"/>
      <c r="AM2710" s="9"/>
      <c r="AN2710" s="9"/>
      <c r="AO2710" s="9"/>
      <c r="AP2710" s="9"/>
      <c r="AQ2710" s="9"/>
      <c r="AR2710" s="9"/>
      <c r="AS2710" s="9"/>
      <c r="AT2710" s="9"/>
      <c r="AU2710" s="9"/>
    </row>
    <row r="2711" spans="1:47" ht="15.75" customHeight="1">
      <c r="A2711" s="9"/>
      <c r="B2711" s="9"/>
      <c r="C2711" s="9"/>
      <c r="D2711" s="9"/>
      <c r="E2711" s="9"/>
      <c r="F2711" s="67"/>
      <c r="G2711" s="9"/>
      <c r="H2711" s="9"/>
      <c r="I2711" s="9"/>
      <c r="J2711" s="9"/>
      <c r="K2711" s="9"/>
      <c r="L2711" s="9"/>
      <c r="M2711" s="9"/>
      <c r="N2711" s="9"/>
      <c r="O2711" s="9"/>
      <c r="P2711" s="9"/>
      <c r="Q2711" s="9"/>
      <c r="R2711" s="9"/>
      <c r="S2711" s="9"/>
      <c r="T2711" s="9"/>
      <c r="U2711" s="9"/>
      <c r="V2711" s="9"/>
      <c r="W2711" s="9"/>
      <c r="X2711" s="9"/>
      <c r="Y2711" s="9"/>
      <c r="Z2711" s="9"/>
      <c r="AA2711" s="9"/>
      <c r="AB2711" s="9"/>
      <c r="AC2711" s="9"/>
      <c r="AD2711" s="9"/>
      <c r="AE2711" s="9"/>
      <c r="AF2711" s="9"/>
      <c r="AG2711" s="9"/>
      <c r="AH2711" s="9"/>
      <c r="AI2711" s="9"/>
      <c r="AJ2711" s="9"/>
      <c r="AK2711" s="9"/>
      <c r="AL2711" s="9"/>
      <c r="AM2711" s="9"/>
      <c r="AN2711" s="9"/>
      <c r="AO2711" s="9"/>
      <c r="AP2711" s="9"/>
      <c r="AQ2711" s="9"/>
      <c r="AR2711" s="9"/>
      <c r="AS2711" s="9"/>
      <c r="AT2711" s="9"/>
      <c r="AU2711" s="9"/>
    </row>
    <row r="2712" spans="1:47" ht="15.75" customHeight="1">
      <c r="A2712" s="9"/>
      <c r="B2712" s="9"/>
      <c r="C2712" s="9"/>
      <c r="D2712" s="9"/>
      <c r="E2712" s="9"/>
      <c r="F2712" s="67"/>
      <c r="G2712" s="9"/>
      <c r="H2712" s="9"/>
      <c r="I2712" s="9"/>
      <c r="J2712" s="9"/>
      <c r="K2712" s="9"/>
      <c r="L2712" s="9"/>
      <c r="M2712" s="9"/>
      <c r="N2712" s="9"/>
      <c r="O2712" s="9"/>
      <c r="P2712" s="9"/>
      <c r="Q2712" s="9"/>
      <c r="R2712" s="9"/>
      <c r="S2712" s="9"/>
      <c r="T2712" s="9"/>
      <c r="U2712" s="9"/>
      <c r="V2712" s="9"/>
      <c r="W2712" s="9"/>
      <c r="X2712" s="9"/>
      <c r="Y2712" s="9"/>
      <c r="Z2712" s="9"/>
      <c r="AA2712" s="9"/>
      <c r="AB2712" s="9"/>
      <c r="AC2712" s="9"/>
      <c r="AD2712" s="9"/>
      <c r="AE2712" s="9"/>
      <c r="AF2712" s="9"/>
      <c r="AG2712" s="9"/>
      <c r="AH2712" s="9"/>
      <c r="AI2712" s="9"/>
      <c r="AJ2712" s="9"/>
      <c r="AK2712" s="9"/>
      <c r="AL2712" s="9"/>
      <c r="AM2712" s="9"/>
      <c r="AN2712" s="9"/>
      <c r="AO2712" s="9"/>
      <c r="AP2712" s="9"/>
      <c r="AQ2712" s="9"/>
      <c r="AR2712" s="9"/>
      <c r="AS2712" s="9"/>
      <c r="AT2712" s="9"/>
      <c r="AU2712" s="9"/>
    </row>
    <row r="2713" spans="1:47" ht="15.75" customHeight="1">
      <c r="A2713" s="9"/>
      <c r="B2713" s="9"/>
      <c r="C2713" s="9"/>
      <c r="D2713" s="9"/>
      <c r="E2713" s="9"/>
      <c r="F2713" s="67"/>
      <c r="G2713" s="9"/>
      <c r="H2713" s="9"/>
      <c r="I2713" s="9"/>
      <c r="J2713" s="9"/>
      <c r="K2713" s="9"/>
      <c r="L2713" s="9"/>
      <c r="M2713" s="9"/>
      <c r="N2713" s="9"/>
      <c r="O2713" s="9"/>
      <c r="P2713" s="9"/>
      <c r="Q2713" s="9"/>
      <c r="R2713" s="9"/>
      <c r="S2713" s="9"/>
      <c r="T2713" s="9"/>
      <c r="U2713" s="9"/>
      <c r="V2713" s="9"/>
      <c r="W2713" s="9"/>
      <c r="X2713" s="9"/>
      <c r="Y2713" s="9"/>
      <c r="Z2713" s="9"/>
      <c r="AA2713" s="9"/>
      <c r="AB2713" s="9"/>
      <c r="AC2713" s="9"/>
      <c r="AD2713" s="9"/>
      <c r="AE2713" s="9"/>
      <c r="AF2713" s="9"/>
      <c r="AG2713" s="9"/>
      <c r="AH2713" s="9"/>
      <c r="AI2713" s="9"/>
      <c r="AJ2713" s="9"/>
      <c r="AK2713" s="9"/>
      <c r="AL2713" s="9"/>
      <c r="AM2713" s="9"/>
      <c r="AN2713" s="9"/>
      <c r="AO2713" s="9"/>
      <c r="AP2713" s="9"/>
      <c r="AQ2713" s="9"/>
      <c r="AR2713" s="9"/>
      <c r="AS2713" s="9"/>
      <c r="AT2713" s="9"/>
      <c r="AU2713" s="9"/>
    </row>
    <row r="2714" spans="1:47" ht="15.75" customHeight="1">
      <c r="A2714" s="9"/>
      <c r="B2714" s="9"/>
      <c r="C2714" s="9"/>
      <c r="D2714" s="9"/>
      <c r="E2714" s="9"/>
      <c r="F2714" s="67"/>
      <c r="G2714" s="9"/>
      <c r="H2714" s="9"/>
      <c r="I2714" s="9"/>
      <c r="J2714" s="9"/>
      <c r="K2714" s="9"/>
      <c r="L2714" s="9"/>
      <c r="M2714" s="9"/>
      <c r="N2714" s="9"/>
      <c r="O2714" s="9"/>
      <c r="P2714" s="9"/>
      <c r="Q2714" s="9"/>
      <c r="R2714" s="9"/>
      <c r="S2714" s="9"/>
      <c r="T2714" s="9"/>
      <c r="U2714" s="9"/>
      <c r="V2714" s="9"/>
      <c r="W2714" s="9"/>
      <c r="X2714" s="9"/>
      <c r="Y2714" s="9"/>
      <c r="Z2714" s="9"/>
      <c r="AA2714" s="9"/>
      <c r="AB2714" s="9"/>
      <c r="AC2714" s="9"/>
      <c r="AD2714" s="9"/>
      <c r="AE2714" s="9"/>
      <c r="AF2714" s="9"/>
      <c r="AG2714" s="9"/>
      <c r="AH2714" s="9"/>
      <c r="AI2714" s="9"/>
      <c r="AJ2714" s="9"/>
      <c r="AK2714" s="9"/>
      <c r="AL2714" s="9"/>
      <c r="AM2714" s="9"/>
      <c r="AN2714" s="9"/>
      <c r="AO2714" s="9"/>
      <c r="AP2714" s="9"/>
      <c r="AQ2714" s="9"/>
      <c r="AR2714" s="9"/>
      <c r="AS2714" s="9"/>
      <c r="AT2714" s="9"/>
      <c r="AU2714" s="9"/>
    </row>
    <row r="2715" spans="1:47" ht="15.75" customHeight="1">
      <c r="A2715" s="9"/>
      <c r="B2715" s="9"/>
      <c r="C2715" s="9"/>
      <c r="D2715" s="9"/>
      <c r="E2715" s="9"/>
      <c r="F2715" s="67"/>
      <c r="G2715" s="9"/>
      <c r="H2715" s="9"/>
      <c r="I2715" s="9"/>
      <c r="J2715" s="9"/>
      <c r="K2715" s="9"/>
      <c r="L2715" s="9"/>
      <c r="M2715" s="9"/>
      <c r="N2715" s="9"/>
      <c r="O2715" s="9"/>
      <c r="P2715" s="9"/>
      <c r="Q2715" s="9"/>
      <c r="R2715" s="9"/>
      <c r="S2715" s="9"/>
      <c r="T2715" s="9"/>
      <c r="U2715" s="9"/>
      <c r="V2715" s="9"/>
      <c r="W2715" s="9"/>
      <c r="X2715" s="9"/>
      <c r="Y2715" s="9"/>
      <c r="Z2715" s="9"/>
      <c r="AA2715" s="9"/>
      <c r="AB2715" s="9"/>
      <c r="AC2715" s="9"/>
      <c r="AD2715" s="9"/>
      <c r="AE2715" s="9"/>
      <c r="AF2715" s="9"/>
      <c r="AG2715" s="9"/>
      <c r="AH2715" s="9"/>
      <c r="AI2715" s="9"/>
      <c r="AJ2715" s="9"/>
      <c r="AK2715" s="9"/>
      <c r="AL2715" s="9"/>
      <c r="AM2715" s="9"/>
      <c r="AN2715" s="9"/>
      <c r="AO2715" s="9"/>
      <c r="AP2715" s="9"/>
      <c r="AQ2715" s="9"/>
      <c r="AR2715" s="9"/>
      <c r="AS2715" s="9"/>
      <c r="AT2715" s="9"/>
      <c r="AU2715" s="9"/>
    </row>
    <row r="2716" spans="1:47" ht="15.75" customHeight="1">
      <c r="A2716" s="9"/>
      <c r="B2716" s="9"/>
      <c r="C2716" s="9"/>
      <c r="D2716" s="9"/>
      <c r="E2716" s="9"/>
      <c r="F2716" s="67"/>
      <c r="G2716" s="9"/>
      <c r="H2716" s="9"/>
      <c r="I2716" s="9"/>
      <c r="J2716" s="9"/>
      <c r="K2716" s="9"/>
      <c r="L2716" s="9"/>
      <c r="M2716" s="9"/>
      <c r="N2716" s="9"/>
      <c r="O2716" s="9"/>
      <c r="P2716" s="9"/>
      <c r="Q2716" s="9"/>
      <c r="R2716" s="9"/>
      <c r="S2716" s="9"/>
      <c r="T2716" s="9"/>
      <c r="U2716" s="9"/>
      <c r="V2716" s="9"/>
      <c r="W2716" s="9"/>
      <c r="X2716" s="9"/>
      <c r="Y2716" s="9"/>
      <c r="Z2716" s="9"/>
      <c r="AA2716" s="9"/>
      <c r="AB2716" s="9"/>
      <c r="AC2716" s="9"/>
      <c r="AD2716" s="9"/>
      <c r="AE2716" s="9"/>
      <c r="AF2716" s="9"/>
      <c r="AG2716" s="9"/>
      <c r="AH2716" s="9"/>
      <c r="AI2716" s="9"/>
      <c r="AJ2716" s="9"/>
      <c r="AK2716" s="9"/>
      <c r="AL2716" s="9"/>
      <c r="AM2716" s="9"/>
      <c r="AN2716" s="9"/>
      <c r="AO2716" s="9"/>
      <c r="AP2716" s="9"/>
      <c r="AQ2716" s="9"/>
      <c r="AR2716" s="9"/>
      <c r="AS2716" s="9"/>
      <c r="AT2716" s="9"/>
      <c r="AU2716" s="9"/>
    </row>
    <row r="2717" spans="1:47" ht="15.75" customHeight="1">
      <c r="A2717" s="9"/>
      <c r="B2717" s="9"/>
      <c r="C2717" s="9"/>
      <c r="D2717" s="9"/>
      <c r="E2717" s="9"/>
      <c r="F2717" s="67"/>
      <c r="G2717" s="9"/>
      <c r="H2717" s="9"/>
      <c r="I2717" s="9"/>
      <c r="J2717" s="9"/>
      <c r="K2717" s="9"/>
      <c r="L2717" s="9"/>
      <c r="M2717" s="9"/>
      <c r="N2717" s="9"/>
      <c r="O2717" s="9"/>
      <c r="P2717" s="9"/>
      <c r="Q2717" s="9"/>
      <c r="R2717" s="9"/>
      <c r="S2717" s="9"/>
      <c r="T2717" s="9"/>
      <c r="U2717" s="9"/>
      <c r="V2717" s="9"/>
      <c r="W2717" s="9"/>
      <c r="X2717" s="9"/>
      <c r="Y2717" s="9"/>
      <c r="Z2717" s="9"/>
      <c r="AA2717" s="9"/>
      <c r="AB2717" s="9"/>
      <c r="AC2717" s="9"/>
      <c r="AD2717" s="9"/>
      <c r="AE2717" s="9"/>
      <c r="AF2717" s="9"/>
      <c r="AG2717" s="9"/>
      <c r="AH2717" s="9"/>
      <c r="AI2717" s="9"/>
      <c r="AJ2717" s="9"/>
      <c r="AK2717" s="9"/>
      <c r="AL2717" s="9"/>
      <c r="AM2717" s="9"/>
      <c r="AN2717" s="9"/>
      <c r="AO2717" s="9"/>
      <c r="AP2717" s="9"/>
      <c r="AQ2717" s="9"/>
      <c r="AR2717" s="9"/>
      <c r="AS2717" s="9"/>
      <c r="AT2717" s="9"/>
      <c r="AU2717" s="9"/>
    </row>
    <row r="2718" spans="1:47" ht="15.75" customHeight="1">
      <c r="A2718" s="9"/>
      <c r="B2718" s="9"/>
      <c r="C2718" s="9"/>
      <c r="D2718" s="9"/>
      <c r="E2718" s="9"/>
      <c r="F2718" s="67"/>
      <c r="G2718" s="9"/>
      <c r="H2718" s="9"/>
      <c r="I2718" s="9"/>
      <c r="J2718" s="9"/>
      <c r="K2718" s="9"/>
      <c r="L2718" s="9"/>
      <c r="M2718" s="9"/>
      <c r="N2718" s="9"/>
      <c r="O2718" s="9"/>
      <c r="P2718" s="9"/>
      <c r="Q2718" s="9"/>
      <c r="R2718" s="9"/>
      <c r="S2718" s="9"/>
      <c r="T2718" s="9"/>
      <c r="U2718" s="9"/>
      <c r="V2718" s="9"/>
      <c r="W2718" s="9"/>
      <c r="X2718" s="9"/>
      <c r="Y2718" s="9"/>
      <c r="Z2718" s="9"/>
      <c r="AA2718" s="9"/>
      <c r="AB2718" s="9"/>
      <c r="AC2718" s="9"/>
      <c r="AD2718" s="9"/>
      <c r="AE2718" s="9"/>
      <c r="AF2718" s="9"/>
      <c r="AG2718" s="9"/>
      <c r="AH2718" s="9"/>
      <c r="AI2718" s="9"/>
      <c r="AJ2718" s="9"/>
      <c r="AK2718" s="9"/>
      <c r="AL2718" s="9"/>
      <c r="AM2718" s="9"/>
      <c r="AN2718" s="9"/>
      <c r="AO2718" s="9"/>
      <c r="AP2718" s="9"/>
      <c r="AQ2718" s="9"/>
      <c r="AR2718" s="9"/>
      <c r="AS2718" s="9"/>
      <c r="AT2718" s="9"/>
      <c r="AU2718" s="9"/>
    </row>
    <row r="2719" spans="1:47" ht="15.75" customHeight="1">
      <c r="A2719" s="9"/>
      <c r="B2719" s="9"/>
      <c r="C2719" s="9"/>
      <c r="D2719" s="9"/>
      <c r="E2719" s="9"/>
      <c r="F2719" s="67"/>
      <c r="G2719" s="9"/>
      <c r="H2719" s="9"/>
      <c r="I2719" s="9"/>
      <c r="J2719" s="9"/>
      <c r="K2719" s="9"/>
      <c r="L2719" s="9"/>
      <c r="M2719" s="9"/>
      <c r="N2719" s="9"/>
      <c r="O2719" s="9"/>
      <c r="P2719" s="9"/>
      <c r="Q2719" s="9"/>
      <c r="R2719" s="9"/>
      <c r="S2719" s="9"/>
      <c r="T2719" s="9"/>
      <c r="U2719" s="9"/>
      <c r="V2719" s="9"/>
      <c r="W2719" s="9"/>
      <c r="X2719" s="9"/>
      <c r="Y2719" s="9"/>
      <c r="Z2719" s="9"/>
      <c r="AA2719" s="9"/>
      <c r="AB2719" s="9"/>
      <c r="AC2719" s="9"/>
      <c r="AD2719" s="9"/>
      <c r="AE2719" s="9"/>
      <c r="AF2719" s="9"/>
      <c r="AG2719" s="9"/>
      <c r="AH2719" s="9"/>
      <c r="AI2719" s="9"/>
      <c r="AJ2719" s="9"/>
      <c r="AK2719" s="9"/>
      <c r="AL2719" s="9"/>
      <c r="AM2719" s="9"/>
      <c r="AN2719" s="9"/>
      <c r="AO2719" s="9"/>
      <c r="AP2719" s="9"/>
      <c r="AQ2719" s="9"/>
      <c r="AR2719" s="9"/>
      <c r="AS2719" s="9"/>
      <c r="AT2719" s="9"/>
      <c r="AU2719" s="9"/>
    </row>
    <row r="2720" spans="1:47" ht="15.75" customHeight="1">
      <c r="A2720" s="9"/>
      <c r="B2720" s="9"/>
      <c r="C2720" s="9"/>
      <c r="D2720" s="9"/>
      <c r="E2720" s="9"/>
      <c r="F2720" s="67"/>
      <c r="G2720" s="9"/>
      <c r="H2720" s="9"/>
      <c r="I2720" s="9"/>
      <c r="J2720" s="9"/>
      <c r="K2720" s="9"/>
      <c r="L2720" s="9"/>
      <c r="M2720" s="9"/>
      <c r="N2720" s="9"/>
      <c r="O2720" s="9"/>
      <c r="P2720" s="9"/>
      <c r="Q2720" s="9"/>
      <c r="R2720" s="9"/>
      <c r="S2720" s="9"/>
      <c r="T2720" s="9"/>
      <c r="U2720" s="9"/>
      <c r="V2720" s="9"/>
      <c r="W2720" s="9"/>
      <c r="X2720" s="9"/>
      <c r="Y2720" s="9"/>
      <c r="Z2720" s="9"/>
      <c r="AA2720" s="9"/>
      <c r="AB2720" s="9"/>
      <c r="AC2720" s="9"/>
      <c r="AD2720" s="9"/>
      <c r="AE2720" s="9"/>
      <c r="AF2720" s="9"/>
      <c r="AG2720" s="9"/>
      <c r="AH2720" s="9"/>
      <c r="AI2720" s="9"/>
      <c r="AJ2720" s="9"/>
      <c r="AK2720" s="9"/>
      <c r="AL2720" s="9"/>
      <c r="AM2720" s="9"/>
      <c r="AN2720" s="9"/>
      <c r="AO2720" s="9"/>
      <c r="AP2720" s="9"/>
      <c r="AQ2720" s="9"/>
      <c r="AR2720" s="9"/>
      <c r="AS2720" s="9"/>
      <c r="AT2720" s="9"/>
      <c r="AU2720" s="9"/>
    </row>
    <row r="2721" spans="1:47" ht="15.75" customHeight="1">
      <c r="A2721" s="9"/>
      <c r="B2721" s="9"/>
      <c r="C2721" s="9"/>
      <c r="D2721" s="9"/>
      <c r="E2721" s="9"/>
      <c r="F2721" s="67"/>
      <c r="G2721" s="9"/>
      <c r="H2721" s="9"/>
      <c r="I2721" s="9"/>
      <c r="J2721" s="9"/>
      <c r="K2721" s="9"/>
      <c r="L2721" s="9"/>
      <c r="M2721" s="9"/>
      <c r="N2721" s="9"/>
      <c r="O2721" s="9"/>
      <c r="P2721" s="9"/>
      <c r="Q2721" s="9"/>
      <c r="R2721" s="9"/>
      <c r="S2721" s="9"/>
      <c r="T2721" s="9"/>
      <c r="U2721" s="9"/>
      <c r="V2721" s="9"/>
      <c r="W2721" s="9"/>
      <c r="X2721" s="9"/>
      <c r="Y2721" s="9"/>
      <c r="Z2721" s="9"/>
      <c r="AA2721" s="9"/>
      <c r="AB2721" s="9"/>
      <c r="AC2721" s="9"/>
      <c r="AD2721" s="9"/>
      <c r="AE2721" s="9"/>
      <c r="AF2721" s="9"/>
      <c r="AG2721" s="9"/>
      <c r="AH2721" s="9"/>
      <c r="AI2721" s="9"/>
      <c r="AJ2721" s="9"/>
      <c r="AK2721" s="9"/>
      <c r="AL2721" s="9"/>
      <c r="AM2721" s="9"/>
      <c r="AN2721" s="9"/>
      <c r="AO2721" s="9"/>
      <c r="AP2721" s="9"/>
      <c r="AQ2721" s="9"/>
      <c r="AR2721" s="9"/>
      <c r="AS2721" s="9"/>
      <c r="AT2721" s="9"/>
      <c r="AU2721" s="9"/>
    </row>
    <row r="2722" spans="1:47" ht="15.75" customHeight="1">
      <c r="A2722" s="9"/>
      <c r="B2722" s="9"/>
      <c r="C2722" s="9"/>
      <c r="D2722" s="9"/>
      <c r="E2722" s="9"/>
      <c r="F2722" s="67"/>
      <c r="G2722" s="9"/>
      <c r="H2722" s="9"/>
      <c r="I2722" s="9"/>
      <c r="J2722" s="9"/>
      <c r="K2722" s="9"/>
      <c r="L2722" s="9"/>
      <c r="M2722" s="9"/>
      <c r="N2722" s="9"/>
      <c r="O2722" s="9"/>
      <c r="P2722" s="9"/>
      <c r="Q2722" s="9"/>
      <c r="R2722" s="9"/>
      <c r="S2722" s="9"/>
      <c r="T2722" s="9"/>
      <c r="U2722" s="9"/>
      <c r="V2722" s="9"/>
      <c r="W2722" s="9"/>
      <c r="X2722" s="9"/>
      <c r="Y2722" s="9"/>
      <c r="Z2722" s="9"/>
      <c r="AA2722" s="9"/>
      <c r="AB2722" s="9"/>
      <c r="AC2722" s="9"/>
      <c r="AD2722" s="9"/>
      <c r="AE2722" s="9"/>
      <c r="AF2722" s="9"/>
      <c r="AG2722" s="9"/>
      <c r="AH2722" s="9"/>
      <c r="AI2722" s="9"/>
      <c r="AJ2722" s="9"/>
      <c r="AK2722" s="9"/>
      <c r="AL2722" s="9"/>
      <c r="AM2722" s="9"/>
      <c r="AN2722" s="9"/>
      <c r="AO2722" s="9"/>
      <c r="AP2722" s="9"/>
      <c r="AQ2722" s="9"/>
      <c r="AR2722" s="9"/>
      <c r="AS2722" s="9"/>
      <c r="AT2722" s="9"/>
      <c r="AU2722" s="9"/>
    </row>
    <row r="2723" spans="1:47" ht="15.75" customHeight="1">
      <c r="A2723" s="9"/>
      <c r="B2723" s="9"/>
      <c r="C2723" s="9"/>
      <c r="D2723" s="9"/>
      <c r="E2723" s="9"/>
      <c r="F2723" s="67"/>
      <c r="G2723" s="9"/>
      <c r="H2723" s="9"/>
      <c r="I2723" s="9"/>
      <c r="J2723" s="9"/>
      <c r="K2723" s="9"/>
      <c r="L2723" s="9"/>
      <c r="M2723" s="9"/>
      <c r="N2723" s="9"/>
      <c r="O2723" s="9"/>
      <c r="P2723" s="9"/>
      <c r="Q2723" s="9"/>
      <c r="R2723" s="9"/>
      <c r="S2723" s="9"/>
      <c r="T2723" s="9"/>
      <c r="U2723" s="9"/>
      <c r="V2723" s="9"/>
      <c r="W2723" s="9"/>
      <c r="X2723" s="9"/>
      <c r="Y2723" s="9"/>
      <c r="Z2723" s="9"/>
      <c r="AA2723" s="9"/>
      <c r="AB2723" s="9"/>
      <c r="AC2723" s="9"/>
      <c r="AD2723" s="9"/>
      <c r="AE2723" s="9"/>
      <c r="AF2723" s="9"/>
      <c r="AG2723" s="9"/>
      <c r="AH2723" s="9"/>
      <c r="AI2723" s="9"/>
      <c r="AJ2723" s="9"/>
      <c r="AK2723" s="9"/>
      <c r="AL2723" s="9"/>
      <c r="AM2723" s="9"/>
      <c r="AN2723" s="9"/>
      <c r="AO2723" s="9"/>
      <c r="AP2723" s="9"/>
      <c r="AQ2723" s="9"/>
      <c r="AR2723" s="9"/>
      <c r="AS2723" s="9"/>
      <c r="AT2723" s="9"/>
      <c r="AU2723" s="9"/>
    </row>
    <row r="2724" spans="1:47" ht="15.75" customHeight="1">
      <c r="A2724" s="9"/>
      <c r="B2724" s="9"/>
      <c r="C2724" s="9"/>
      <c r="D2724" s="9"/>
      <c r="E2724" s="9"/>
      <c r="F2724" s="67"/>
      <c r="G2724" s="9"/>
      <c r="H2724" s="9"/>
      <c r="I2724" s="9"/>
      <c r="J2724" s="9"/>
      <c r="K2724" s="9"/>
      <c r="L2724" s="9"/>
      <c r="M2724" s="9"/>
      <c r="N2724" s="9"/>
      <c r="O2724" s="9"/>
      <c r="P2724" s="9"/>
      <c r="Q2724" s="9"/>
      <c r="R2724" s="9"/>
      <c r="S2724" s="9"/>
      <c r="T2724" s="9"/>
      <c r="U2724" s="9"/>
      <c r="V2724" s="9"/>
      <c r="W2724" s="9"/>
      <c r="X2724" s="9"/>
      <c r="Y2724" s="9"/>
      <c r="Z2724" s="9"/>
      <c r="AA2724" s="9"/>
      <c r="AB2724" s="9"/>
      <c r="AC2724" s="9"/>
      <c r="AD2724" s="9"/>
      <c r="AE2724" s="9"/>
      <c r="AF2724" s="9"/>
      <c r="AG2724" s="9"/>
      <c r="AH2724" s="9"/>
      <c r="AI2724" s="9"/>
      <c r="AJ2724" s="9"/>
      <c r="AK2724" s="9"/>
      <c r="AL2724" s="9"/>
      <c r="AM2724" s="9"/>
      <c r="AN2724" s="9"/>
      <c r="AO2724" s="9"/>
      <c r="AP2724" s="9"/>
      <c r="AQ2724" s="9"/>
      <c r="AR2724" s="9"/>
      <c r="AS2724" s="9"/>
      <c r="AT2724" s="9"/>
      <c r="AU2724" s="9"/>
    </row>
    <row r="2725" spans="1:47" ht="15.75" customHeight="1">
      <c r="A2725" s="9"/>
      <c r="B2725" s="9"/>
      <c r="C2725" s="9"/>
      <c r="D2725" s="9"/>
      <c r="E2725" s="9"/>
      <c r="F2725" s="67"/>
      <c r="G2725" s="9"/>
      <c r="H2725" s="9"/>
      <c r="I2725" s="9"/>
      <c r="J2725" s="9"/>
      <c r="K2725" s="9"/>
      <c r="L2725" s="9"/>
      <c r="M2725" s="9"/>
      <c r="N2725" s="9"/>
      <c r="O2725" s="9"/>
      <c r="P2725" s="9"/>
      <c r="Q2725" s="9"/>
      <c r="R2725" s="9"/>
      <c r="S2725" s="9"/>
      <c r="T2725" s="9"/>
      <c r="U2725" s="9"/>
      <c r="V2725" s="9"/>
      <c r="W2725" s="9"/>
      <c r="X2725" s="9"/>
      <c r="Y2725" s="9"/>
      <c r="Z2725" s="9"/>
      <c r="AA2725" s="9"/>
      <c r="AB2725" s="9"/>
      <c r="AC2725" s="9"/>
      <c r="AD2725" s="9"/>
      <c r="AE2725" s="9"/>
      <c r="AF2725" s="9"/>
      <c r="AG2725" s="9"/>
      <c r="AH2725" s="9"/>
      <c r="AI2725" s="9"/>
      <c r="AJ2725" s="9"/>
      <c r="AK2725" s="9"/>
      <c r="AL2725" s="9"/>
      <c r="AM2725" s="9"/>
      <c r="AN2725" s="9"/>
      <c r="AO2725" s="9"/>
      <c r="AP2725" s="9"/>
      <c r="AQ2725" s="9"/>
      <c r="AR2725" s="9"/>
      <c r="AS2725" s="9"/>
      <c r="AT2725" s="9"/>
      <c r="AU2725" s="9"/>
    </row>
    <row r="2726" spans="1:47" ht="15.75" customHeight="1">
      <c r="A2726" s="9"/>
      <c r="B2726" s="9"/>
      <c r="C2726" s="9"/>
      <c r="D2726" s="9"/>
      <c r="E2726" s="9"/>
      <c r="F2726" s="67"/>
      <c r="G2726" s="9"/>
      <c r="H2726" s="9"/>
      <c r="I2726" s="9"/>
      <c r="J2726" s="9"/>
      <c r="K2726" s="9"/>
      <c r="L2726" s="9"/>
      <c r="M2726" s="9"/>
      <c r="N2726" s="9"/>
      <c r="O2726" s="9"/>
      <c r="P2726" s="9"/>
      <c r="Q2726" s="9"/>
      <c r="R2726" s="9"/>
      <c r="S2726" s="9"/>
      <c r="T2726" s="9"/>
      <c r="U2726" s="9"/>
      <c r="V2726" s="9"/>
      <c r="W2726" s="9"/>
      <c r="X2726" s="9"/>
      <c r="Y2726" s="9"/>
      <c r="Z2726" s="9"/>
      <c r="AA2726" s="9"/>
      <c r="AB2726" s="9"/>
      <c r="AC2726" s="9"/>
      <c r="AD2726" s="9"/>
      <c r="AE2726" s="9"/>
      <c r="AF2726" s="9"/>
      <c r="AG2726" s="9"/>
      <c r="AH2726" s="9"/>
      <c r="AI2726" s="9"/>
      <c r="AJ2726" s="9"/>
      <c r="AK2726" s="9"/>
      <c r="AL2726" s="9"/>
      <c r="AM2726" s="9"/>
      <c r="AN2726" s="9"/>
      <c r="AO2726" s="9"/>
      <c r="AP2726" s="9"/>
      <c r="AQ2726" s="9"/>
      <c r="AR2726" s="9"/>
      <c r="AS2726" s="9"/>
      <c r="AT2726" s="9"/>
      <c r="AU2726" s="9"/>
    </row>
    <row r="2727" spans="1:47" ht="15.75" customHeight="1">
      <c r="A2727" s="9"/>
      <c r="B2727" s="9"/>
      <c r="C2727" s="9"/>
      <c r="D2727" s="9"/>
      <c r="E2727" s="9"/>
      <c r="F2727" s="67"/>
      <c r="G2727" s="9"/>
      <c r="H2727" s="9"/>
      <c r="I2727" s="9"/>
      <c r="J2727" s="9"/>
      <c r="K2727" s="9"/>
      <c r="L2727" s="9"/>
      <c r="M2727" s="9"/>
      <c r="N2727" s="9"/>
      <c r="O2727" s="9"/>
      <c r="P2727" s="9"/>
      <c r="Q2727" s="9"/>
      <c r="R2727" s="9"/>
      <c r="S2727" s="9"/>
      <c r="T2727" s="9"/>
      <c r="U2727" s="9"/>
      <c r="V2727" s="9"/>
      <c r="W2727" s="9"/>
      <c r="X2727" s="9"/>
      <c r="Y2727" s="9"/>
      <c r="Z2727" s="9"/>
      <c r="AA2727" s="9"/>
      <c r="AB2727" s="9"/>
      <c r="AC2727" s="9"/>
      <c r="AD2727" s="9"/>
      <c r="AE2727" s="9"/>
      <c r="AF2727" s="9"/>
      <c r="AG2727" s="9"/>
      <c r="AH2727" s="9"/>
      <c r="AI2727" s="9"/>
      <c r="AJ2727" s="9"/>
      <c r="AK2727" s="9"/>
      <c r="AL2727" s="9"/>
      <c r="AM2727" s="9"/>
      <c r="AN2727" s="9"/>
      <c r="AO2727" s="9"/>
      <c r="AP2727" s="9"/>
      <c r="AQ2727" s="9"/>
      <c r="AR2727" s="9"/>
      <c r="AS2727" s="9"/>
      <c r="AT2727" s="9"/>
      <c r="AU2727" s="9"/>
    </row>
    <row r="2728" spans="1:47" ht="15.75" customHeight="1">
      <c r="A2728" s="9"/>
      <c r="B2728" s="9"/>
      <c r="C2728" s="9"/>
      <c r="D2728" s="9"/>
      <c r="E2728" s="9"/>
      <c r="F2728" s="67"/>
      <c r="G2728" s="9"/>
      <c r="H2728" s="9"/>
      <c r="I2728" s="9"/>
      <c r="J2728" s="9"/>
      <c r="K2728" s="9"/>
      <c r="L2728" s="9"/>
      <c r="M2728" s="9"/>
      <c r="N2728" s="9"/>
      <c r="O2728" s="9"/>
      <c r="P2728" s="9"/>
      <c r="Q2728" s="9"/>
      <c r="R2728" s="9"/>
      <c r="S2728" s="9"/>
      <c r="T2728" s="9"/>
      <c r="U2728" s="9"/>
      <c r="V2728" s="9"/>
      <c r="W2728" s="9"/>
      <c r="X2728" s="9"/>
      <c r="Y2728" s="9"/>
      <c r="Z2728" s="9"/>
      <c r="AA2728" s="9"/>
      <c r="AB2728" s="9"/>
      <c r="AC2728" s="9"/>
      <c r="AD2728" s="9"/>
      <c r="AE2728" s="9"/>
      <c r="AF2728" s="9"/>
      <c r="AG2728" s="9"/>
      <c r="AH2728" s="9"/>
      <c r="AI2728" s="9"/>
      <c r="AJ2728" s="9"/>
      <c r="AK2728" s="9"/>
      <c r="AL2728" s="9"/>
      <c r="AM2728" s="9"/>
      <c r="AN2728" s="9"/>
      <c r="AO2728" s="9"/>
      <c r="AP2728" s="9"/>
      <c r="AQ2728" s="9"/>
      <c r="AR2728" s="9"/>
      <c r="AS2728" s="9"/>
      <c r="AT2728" s="9"/>
      <c r="AU2728" s="9"/>
    </row>
    <row r="2729" spans="1:47" ht="15.75" customHeight="1">
      <c r="A2729" s="9"/>
      <c r="B2729" s="9"/>
      <c r="C2729" s="9"/>
      <c r="D2729" s="9"/>
      <c r="E2729" s="9"/>
      <c r="F2729" s="67"/>
      <c r="G2729" s="9"/>
      <c r="H2729" s="9"/>
      <c r="I2729" s="9"/>
      <c r="J2729" s="9"/>
      <c r="K2729" s="9"/>
      <c r="L2729" s="9"/>
      <c r="M2729" s="9"/>
      <c r="N2729" s="9"/>
      <c r="O2729" s="9"/>
      <c r="P2729" s="9"/>
      <c r="Q2729" s="9"/>
      <c r="R2729" s="9"/>
      <c r="S2729" s="9"/>
      <c r="T2729" s="9"/>
      <c r="U2729" s="9"/>
      <c r="V2729" s="9"/>
      <c r="W2729" s="9"/>
      <c r="X2729" s="9"/>
      <c r="Y2729" s="9"/>
      <c r="Z2729" s="9"/>
      <c r="AA2729" s="9"/>
      <c r="AB2729" s="9"/>
      <c r="AC2729" s="9"/>
      <c r="AD2729" s="9"/>
      <c r="AE2729" s="9"/>
      <c r="AF2729" s="9"/>
      <c r="AG2729" s="9"/>
      <c r="AH2729" s="9"/>
      <c r="AI2729" s="9"/>
      <c r="AJ2729" s="9"/>
      <c r="AK2729" s="9"/>
      <c r="AL2729" s="9"/>
      <c r="AM2729" s="9"/>
      <c r="AN2729" s="9"/>
      <c r="AO2729" s="9"/>
      <c r="AP2729" s="9"/>
      <c r="AQ2729" s="9"/>
      <c r="AR2729" s="9"/>
      <c r="AS2729" s="9"/>
      <c r="AT2729" s="9"/>
      <c r="AU2729" s="9"/>
    </row>
    <row r="2730" spans="1:47" ht="15.75" customHeight="1">
      <c r="A2730" s="9"/>
      <c r="B2730" s="9"/>
      <c r="C2730" s="9"/>
      <c r="D2730" s="9"/>
      <c r="E2730" s="9"/>
      <c r="F2730" s="67"/>
      <c r="G2730" s="9"/>
      <c r="H2730" s="9"/>
      <c r="I2730" s="9"/>
      <c r="J2730" s="9"/>
      <c r="K2730" s="9"/>
      <c r="L2730" s="9"/>
      <c r="M2730" s="9"/>
      <c r="N2730" s="9"/>
      <c r="O2730" s="9"/>
      <c r="P2730" s="9"/>
      <c r="Q2730" s="9"/>
      <c r="R2730" s="9"/>
      <c r="S2730" s="9"/>
      <c r="T2730" s="9"/>
      <c r="U2730" s="9"/>
      <c r="V2730" s="9"/>
      <c r="W2730" s="9"/>
      <c r="X2730" s="9"/>
      <c r="Y2730" s="9"/>
      <c r="Z2730" s="9"/>
      <c r="AA2730" s="9"/>
      <c r="AB2730" s="9"/>
      <c r="AC2730" s="9"/>
      <c r="AD2730" s="9"/>
      <c r="AE2730" s="9"/>
      <c r="AF2730" s="9"/>
      <c r="AG2730" s="9"/>
      <c r="AH2730" s="9"/>
      <c r="AI2730" s="9"/>
      <c r="AJ2730" s="9"/>
      <c r="AK2730" s="9"/>
      <c r="AL2730" s="9"/>
      <c r="AM2730" s="9"/>
      <c r="AN2730" s="9"/>
      <c r="AO2730" s="9"/>
      <c r="AP2730" s="9"/>
      <c r="AQ2730" s="9"/>
      <c r="AR2730" s="9"/>
      <c r="AS2730" s="9"/>
      <c r="AT2730" s="9"/>
      <c r="AU2730" s="9"/>
    </row>
    <row r="2731" spans="1:47" ht="15.75" customHeight="1">
      <c r="A2731" s="9"/>
      <c r="B2731" s="9"/>
      <c r="C2731" s="9"/>
      <c r="D2731" s="9"/>
      <c r="E2731" s="9"/>
      <c r="F2731" s="67"/>
      <c r="G2731" s="9"/>
      <c r="H2731" s="9"/>
      <c r="I2731" s="9"/>
      <c r="J2731" s="9"/>
      <c r="K2731" s="9"/>
      <c r="L2731" s="9"/>
      <c r="M2731" s="9"/>
      <c r="N2731" s="9"/>
      <c r="O2731" s="9"/>
      <c r="P2731" s="9"/>
      <c r="Q2731" s="9"/>
      <c r="R2731" s="9"/>
      <c r="S2731" s="9"/>
      <c r="T2731" s="9"/>
      <c r="U2731" s="9"/>
      <c r="V2731" s="9"/>
      <c r="W2731" s="9"/>
      <c r="X2731" s="9"/>
      <c r="Y2731" s="9"/>
      <c r="Z2731" s="9"/>
      <c r="AA2731" s="9"/>
      <c r="AB2731" s="9"/>
      <c r="AC2731" s="9"/>
      <c r="AD2731" s="9"/>
      <c r="AE2731" s="9"/>
      <c r="AF2731" s="9"/>
      <c r="AG2731" s="9"/>
      <c r="AH2731" s="9"/>
      <c r="AI2731" s="9"/>
      <c r="AJ2731" s="9"/>
      <c r="AK2731" s="9"/>
      <c r="AL2731" s="9"/>
      <c r="AM2731" s="9"/>
      <c r="AN2731" s="9"/>
      <c r="AO2731" s="9"/>
      <c r="AP2731" s="9"/>
      <c r="AQ2731" s="9"/>
      <c r="AR2731" s="9"/>
      <c r="AS2731" s="9"/>
      <c r="AT2731" s="9"/>
      <c r="AU2731" s="9"/>
    </row>
    <row r="2732" spans="1:47" ht="15.75" customHeight="1">
      <c r="A2732" s="9"/>
      <c r="B2732" s="9"/>
      <c r="C2732" s="9"/>
      <c r="D2732" s="9"/>
      <c r="E2732" s="9"/>
      <c r="F2732" s="67"/>
      <c r="G2732" s="9"/>
      <c r="H2732" s="9"/>
      <c r="I2732" s="9"/>
      <c r="J2732" s="9"/>
      <c r="K2732" s="9"/>
      <c r="L2732" s="9"/>
      <c r="M2732" s="9"/>
      <c r="N2732" s="9"/>
      <c r="O2732" s="9"/>
      <c r="P2732" s="9"/>
      <c r="Q2732" s="9"/>
      <c r="R2732" s="9"/>
      <c r="S2732" s="9"/>
      <c r="T2732" s="9"/>
      <c r="U2732" s="9"/>
      <c r="V2732" s="9"/>
      <c r="W2732" s="9"/>
      <c r="X2732" s="9"/>
      <c r="Y2732" s="9"/>
      <c r="Z2732" s="9"/>
      <c r="AA2732" s="9"/>
      <c r="AB2732" s="9"/>
      <c r="AC2732" s="9"/>
      <c r="AD2732" s="9"/>
      <c r="AE2732" s="9"/>
      <c r="AF2732" s="9"/>
      <c r="AG2732" s="9"/>
      <c r="AH2732" s="9"/>
      <c r="AI2732" s="9"/>
      <c r="AJ2732" s="9"/>
      <c r="AK2732" s="9"/>
      <c r="AL2732" s="9"/>
      <c r="AM2732" s="9"/>
      <c r="AN2732" s="9"/>
      <c r="AO2732" s="9"/>
      <c r="AP2732" s="9"/>
      <c r="AQ2732" s="9"/>
      <c r="AR2732" s="9"/>
      <c r="AS2732" s="9"/>
      <c r="AT2732" s="9"/>
      <c r="AU2732" s="9"/>
    </row>
    <row r="2733" spans="1:47" ht="15.75" customHeight="1">
      <c r="A2733" s="9"/>
      <c r="B2733" s="9"/>
      <c r="C2733" s="9"/>
      <c r="D2733" s="9"/>
      <c r="E2733" s="9"/>
      <c r="F2733" s="67"/>
      <c r="G2733" s="9"/>
      <c r="H2733" s="9"/>
      <c r="I2733" s="9"/>
      <c r="J2733" s="9"/>
      <c r="K2733" s="9"/>
      <c r="L2733" s="9"/>
      <c r="M2733" s="9"/>
      <c r="N2733" s="9"/>
      <c r="O2733" s="9"/>
      <c r="P2733" s="9"/>
      <c r="Q2733" s="9"/>
      <c r="R2733" s="9"/>
      <c r="S2733" s="9"/>
      <c r="T2733" s="9"/>
      <c r="U2733" s="9"/>
      <c r="V2733" s="9"/>
      <c r="W2733" s="9"/>
      <c r="X2733" s="9"/>
      <c r="Y2733" s="9"/>
      <c r="Z2733" s="9"/>
      <c r="AA2733" s="9"/>
      <c r="AB2733" s="9"/>
      <c r="AC2733" s="9"/>
      <c r="AD2733" s="9"/>
      <c r="AE2733" s="9"/>
      <c r="AF2733" s="9"/>
      <c r="AG2733" s="9"/>
      <c r="AH2733" s="9"/>
      <c r="AI2733" s="9"/>
      <c r="AJ2733" s="9"/>
      <c r="AK2733" s="9"/>
      <c r="AL2733" s="9"/>
      <c r="AM2733" s="9"/>
      <c r="AN2733" s="9"/>
      <c r="AO2733" s="9"/>
      <c r="AP2733" s="9"/>
      <c r="AQ2733" s="9"/>
      <c r="AR2733" s="9"/>
      <c r="AS2733" s="9"/>
      <c r="AT2733" s="9"/>
      <c r="AU2733" s="9"/>
    </row>
    <row r="2734" spans="1:47" ht="15.75" customHeight="1">
      <c r="A2734" s="9"/>
      <c r="B2734" s="9"/>
      <c r="C2734" s="9"/>
      <c r="D2734" s="9"/>
      <c r="E2734" s="9"/>
      <c r="F2734" s="67"/>
      <c r="G2734" s="9"/>
      <c r="H2734" s="9"/>
      <c r="I2734" s="9"/>
      <c r="J2734" s="9"/>
      <c r="K2734" s="9"/>
      <c r="L2734" s="9"/>
      <c r="M2734" s="9"/>
      <c r="N2734" s="9"/>
      <c r="O2734" s="9"/>
      <c r="P2734" s="9"/>
      <c r="Q2734" s="9"/>
      <c r="R2734" s="9"/>
      <c r="S2734" s="9"/>
      <c r="T2734" s="9"/>
      <c r="U2734" s="9"/>
      <c r="V2734" s="9"/>
      <c r="W2734" s="9"/>
      <c r="X2734" s="9"/>
      <c r="Y2734" s="9"/>
      <c r="Z2734" s="9"/>
      <c r="AA2734" s="9"/>
      <c r="AB2734" s="9"/>
      <c r="AC2734" s="9"/>
      <c r="AD2734" s="9"/>
      <c r="AE2734" s="9"/>
      <c r="AF2734" s="9"/>
      <c r="AG2734" s="9"/>
      <c r="AH2734" s="9"/>
      <c r="AI2734" s="9"/>
      <c r="AJ2734" s="9"/>
      <c r="AK2734" s="9"/>
      <c r="AL2734" s="9"/>
      <c r="AM2734" s="9"/>
      <c r="AN2734" s="9"/>
      <c r="AO2734" s="9"/>
      <c r="AP2734" s="9"/>
      <c r="AQ2734" s="9"/>
      <c r="AR2734" s="9"/>
      <c r="AS2734" s="9"/>
      <c r="AT2734" s="9"/>
      <c r="AU2734" s="9"/>
    </row>
    <row r="2735" spans="1:47" ht="15.75" customHeight="1">
      <c r="A2735" s="9"/>
      <c r="B2735" s="9"/>
      <c r="C2735" s="9"/>
      <c r="D2735" s="9"/>
      <c r="E2735" s="9"/>
      <c r="F2735" s="67"/>
      <c r="G2735" s="9"/>
      <c r="H2735" s="9"/>
      <c r="I2735" s="9"/>
      <c r="J2735" s="9"/>
      <c r="K2735" s="9"/>
      <c r="L2735" s="9"/>
      <c r="M2735" s="9"/>
      <c r="N2735" s="9"/>
      <c r="O2735" s="9"/>
      <c r="P2735" s="9"/>
      <c r="Q2735" s="9"/>
      <c r="R2735" s="9"/>
      <c r="S2735" s="9"/>
      <c r="T2735" s="9"/>
      <c r="U2735" s="9"/>
      <c r="V2735" s="9"/>
      <c r="W2735" s="9"/>
      <c r="X2735" s="9"/>
      <c r="Y2735" s="9"/>
      <c r="Z2735" s="9"/>
      <c r="AA2735" s="9"/>
      <c r="AB2735" s="9"/>
      <c r="AC2735" s="9"/>
      <c r="AD2735" s="9"/>
      <c r="AE2735" s="9"/>
      <c r="AF2735" s="9"/>
      <c r="AG2735" s="9"/>
      <c r="AH2735" s="9"/>
      <c r="AI2735" s="9"/>
      <c r="AJ2735" s="9"/>
      <c r="AK2735" s="9"/>
      <c r="AL2735" s="9"/>
      <c r="AM2735" s="9"/>
      <c r="AN2735" s="9"/>
      <c r="AO2735" s="9"/>
      <c r="AP2735" s="9"/>
      <c r="AQ2735" s="9"/>
      <c r="AR2735" s="9"/>
      <c r="AS2735" s="9"/>
      <c r="AT2735" s="9"/>
      <c r="AU2735" s="9"/>
    </row>
    <row r="2736" spans="1:47" ht="15.75" customHeight="1">
      <c r="A2736" s="9"/>
      <c r="B2736" s="9"/>
      <c r="C2736" s="9"/>
      <c r="D2736" s="9"/>
      <c r="E2736" s="9"/>
      <c r="F2736" s="67"/>
      <c r="G2736" s="9"/>
      <c r="H2736" s="9"/>
      <c r="I2736" s="9"/>
      <c r="J2736" s="9"/>
      <c r="K2736" s="9"/>
      <c r="L2736" s="9"/>
      <c r="M2736" s="9"/>
      <c r="N2736" s="9"/>
      <c r="O2736" s="9"/>
      <c r="P2736" s="9"/>
      <c r="Q2736" s="9"/>
      <c r="R2736" s="9"/>
      <c r="S2736" s="9"/>
      <c r="T2736" s="9"/>
      <c r="U2736" s="9"/>
      <c r="V2736" s="9"/>
      <c r="W2736" s="9"/>
      <c r="X2736" s="9"/>
      <c r="Y2736" s="9"/>
      <c r="Z2736" s="9"/>
      <c r="AA2736" s="9"/>
      <c r="AB2736" s="9"/>
      <c r="AC2736" s="9"/>
      <c r="AD2736" s="9"/>
      <c r="AE2736" s="9"/>
      <c r="AF2736" s="9"/>
      <c r="AG2736" s="9"/>
      <c r="AH2736" s="9"/>
      <c r="AI2736" s="9"/>
      <c r="AJ2736" s="9"/>
      <c r="AK2736" s="9"/>
      <c r="AL2736" s="9"/>
      <c r="AM2736" s="9"/>
      <c r="AN2736" s="9"/>
      <c r="AO2736" s="9"/>
      <c r="AP2736" s="9"/>
      <c r="AQ2736" s="9"/>
      <c r="AR2736" s="9"/>
      <c r="AS2736" s="9"/>
      <c r="AT2736" s="9"/>
      <c r="AU2736" s="9"/>
    </row>
    <row r="2737" spans="1:47" ht="15.75" customHeight="1">
      <c r="A2737" s="9"/>
      <c r="B2737" s="9"/>
      <c r="C2737" s="9"/>
      <c r="D2737" s="9"/>
      <c r="E2737" s="9"/>
      <c r="F2737" s="67"/>
      <c r="G2737" s="9"/>
      <c r="H2737" s="9"/>
      <c r="I2737" s="9"/>
      <c r="J2737" s="9"/>
      <c r="K2737" s="9"/>
      <c r="L2737" s="9"/>
      <c r="M2737" s="9"/>
      <c r="N2737" s="9"/>
      <c r="O2737" s="9"/>
      <c r="P2737" s="9"/>
      <c r="Q2737" s="9"/>
      <c r="R2737" s="9"/>
      <c r="S2737" s="9"/>
      <c r="T2737" s="9"/>
      <c r="U2737" s="9"/>
      <c r="V2737" s="9"/>
      <c r="W2737" s="9"/>
      <c r="X2737" s="9"/>
      <c r="Y2737" s="9"/>
      <c r="Z2737" s="9"/>
      <c r="AA2737" s="9"/>
      <c r="AB2737" s="9"/>
      <c r="AC2737" s="9"/>
      <c r="AD2737" s="9"/>
      <c r="AE2737" s="9"/>
      <c r="AF2737" s="9"/>
      <c r="AG2737" s="9"/>
      <c r="AH2737" s="9"/>
      <c r="AI2737" s="9"/>
      <c r="AJ2737" s="9"/>
      <c r="AK2737" s="9"/>
      <c r="AL2737" s="9"/>
      <c r="AM2737" s="9"/>
      <c r="AN2737" s="9"/>
      <c r="AO2737" s="9"/>
      <c r="AP2737" s="9"/>
      <c r="AQ2737" s="9"/>
      <c r="AR2737" s="9"/>
      <c r="AS2737" s="9"/>
      <c r="AT2737" s="9"/>
      <c r="AU2737" s="9"/>
    </row>
    <row r="2738" spans="1:47" ht="15.75" customHeight="1">
      <c r="A2738" s="9"/>
      <c r="B2738" s="9"/>
      <c r="C2738" s="9"/>
      <c r="D2738" s="9"/>
      <c r="E2738" s="9"/>
      <c r="F2738" s="67"/>
      <c r="G2738" s="9"/>
      <c r="H2738" s="9"/>
      <c r="I2738" s="9"/>
      <c r="J2738" s="9"/>
      <c r="K2738" s="9"/>
      <c r="L2738" s="9"/>
      <c r="M2738" s="9"/>
      <c r="N2738" s="9"/>
      <c r="O2738" s="9"/>
      <c r="P2738" s="9"/>
      <c r="Q2738" s="9"/>
      <c r="R2738" s="9"/>
      <c r="S2738" s="9"/>
      <c r="T2738" s="9"/>
      <c r="U2738" s="9"/>
      <c r="V2738" s="9"/>
      <c r="W2738" s="9"/>
      <c r="X2738" s="9"/>
      <c r="Y2738" s="9"/>
      <c r="Z2738" s="9"/>
      <c r="AA2738" s="9"/>
      <c r="AB2738" s="9"/>
      <c r="AC2738" s="9"/>
      <c r="AD2738" s="9"/>
      <c r="AE2738" s="9"/>
      <c r="AF2738" s="9"/>
      <c r="AG2738" s="9"/>
      <c r="AH2738" s="9"/>
      <c r="AI2738" s="9"/>
      <c r="AJ2738" s="9"/>
      <c r="AK2738" s="9"/>
      <c r="AL2738" s="9"/>
      <c r="AM2738" s="9"/>
      <c r="AN2738" s="9"/>
      <c r="AO2738" s="9"/>
      <c r="AP2738" s="9"/>
      <c r="AQ2738" s="9"/>
      <c r="AR2738" s="9"/>
      <c r="AS2738" s="9"/>
      <c r="AT2738" s="9"/>
      <c r="AU2738" s="9"/>
    </row>
    <row r="2739" spans="1:47" ht="15.75" customHeight="1">
      <c r="A2739" s="9"/>
      <c r="B2739" s="9"/>
      <c r="C2739" s="9"/>
      <c r="D2739" s="9"/>
      <c r="E2739" s="9"/>
      <c r="F2739" s="67"/>
      <c r="G2739" s="9"/>
      <c r="H2739" s="9"/>
      <c r="I2739" s="9"/>
      <c r="J2739" s="9"/>
      <c r="K2739" s="9"/>
      <c r="L2739" s="9"/>
      <c r="M2739" s="9"/>
      <c r="N2739" s="9"/>
      <c r="O2739" s="9"/>
      <c r="P2739" s="9"/>
      <c r="Q2739" s="9"/>
      <c r="R2739" s="9"/>
      <c r="S2739" s="9"/>
      <c r="T2739" s="9"/>
      <c r="U2739" s="9"/>
      <c r="V2739" s="9"/>
      <c r="W2739" s="9"/>
      <c r="X2739" s="9"/>
      <c r="Y2739" s="9"/>
      <c r="Z2739" s="9"/>
      <c r="AA2739" s="9"/>
      <c r="AB2739" s="9"/>
      <c r="AC2739" s="9"/>
      <c r="AD2739" s="9"/>
      <c r="AE2739" s="9"/>
      <c r="AF2739" s="9"/>
      <c r="AG2739" s="9"/>
      <c r="AH2739" s="9"/>
      <c r="AI2739" s="9"/>
      <c r="AJ2739" s="9"/>
      <c r="AK2739" s="9"/>
      <c r="AL2739" s="9"/>
      <c r="AM2739" s="9"/>
      <c r="AN2739" s="9"/>
      <c r="AO2739" s="9"/>
      <c r="AP2739" s="9"/>
      <c r="AQ2739" s="9"/>
      <c r="AR2739" s="9"/>
      <c r="AS2739" s="9"/>
      <c r="AT2739" s="9"/>
      <c r="AU2739" s="9"/>
    </row>
    <row r="2740" spans="1:47" ht="15.75" customHeight="1">
      <c r="A2740" s="9"/>
      <c r="B2740" s="9"/>
      <c r="C2740" s="9"/>
      <c r="D2740" s="9"/>
      <c r="E2740" s="9"/>
      <c r="F2740" s="67"/>
      <c r="G2740" s="9"/>
      <c r="H2740" s="9"/>
      <c r="I2740" s="9"/>
      <c r="J2740" s="9"/>
      <c r="K2740" s="9"/>
      <c r="L2740" s="9"/>
      <c r="M2740" s="9"/>
      <c r="N2740" s="9"/>
      <c r="O2740" s="9"/>
      <c r="P2740" s="9"/>
      <c r="Q2740" s="9"/>
      <c r="R2740" s="9"/>
      <c r="S2740" s="9"/>
      <c r="T2740" s="9"/>
      <c r="U2740" s="9"/>
      <c r="V2740" s="9"/>
      <c r="W2740" s="9"/>
      <c r="X2740" s="9"/>
      <c r="Y2740" s="9"/>
      <c r="Z2740" s="9"/>
      <c r="AA2740" s="9"/>
      <c r="AB2740" s="9"/>
      <c r="AC2740" s="9"/>
      <c r="AD2740" s="9"/>
      <c r="AE2740" s="9"/>
      <c r="AF2740" s="9"/>
      <c r="AG2740" s="9"/>
      <c r="AH2740" s="9"/>
      <c r="AI2740" s="9"/>
      <c r="AJ2740" s="9"/>
      <c r="AK2740" s="9"/>
      <c r="AL2740" s="9"/>
      <c r="AM2740" s="9"/>
      <c r="AN2740" s="9"/>
      <c r="AO2740" s="9"/>
      <c r="AP2740" s="9"/>
      <c r="AQ2740" s="9"/>
      <c r="AR2740" s="9"/>
      <c r="AS2740" s="9"/>
      <c r="AT2740" s="9"/>
      <c r="AU2740" s="9"/>
    </row>
    <row r="2741" spans="1:47" ht="15.75" customHeight="1">
      <c r="A2741" s="9"/>
      <c r="B2741" s="9"/>
      <c r="C2741" s="9"/>
      <c r="D2741" s="9"/>
      <c r="E2741" s="9"/>
      <c r="F2741" s="67"/>
      <c r="G2741" s="9"/>
      <c r="H2741" s="9"/>
      <c r="I2741" s="9"/>
      <c r="J2741" s="9"/>
      <c r="K2741" s="9"/>
      <c r="L2741" s="9"/>
      <c r="M2741" s="9"/>
      <c r="N2741" s="9"/>
      <c r="O2741" s="9"/>
      <c r="P2741" s="9"/>
      <c r="Q2741" s="9"/>
      <c r="R2741" s="9"/>
      <c r="S2741" s="9"/>
      <c r="T2741" s="9"/>
      <c r="U2741" s="9"/>
      <c r="V2741" s="9"/>
      <c r="W2741" s="9"/>
      <c r="X2741" s="9"/>
      <c r="Y2741" s="9"/>
      <c r="Z2741" s="9"/>
      <c r="AA2741" s="9"/>
      <c r="AB2741" s="9"/>
      <c r="AC2741" s="9"/>
      <c r="AD2741" s="9"/>
      <c r="AE2741" s="9"/>
      <c r="AF2741" s="9"/>
      <c r="AG2741" s="9"/>
      <c r="AH2741" s="9"/>
      <c r="AI2741" s="9"/>
      <c r="AJ2741" s="9"/>
      <c r="AK2741" s="9"/>
      <c r="AL2741" s="9"/>
      <c r="AM2741" s="9"/>
      <c r="AN2741" s="9"/>
      <c r="AO2741" s="9"/>
      <c r="AP2741" s="9"/>
      <c r="AQ2741" s="9"/>
      <c r="AR2741" s="9"/>
      <c r="AS2741" s="9"/>
      <c r="AT2741" s="9"/>
      <c r="AU2741" s="9"/>
    </row>
    <row r="2742" spans="1:47" ht="15.75" customHeight="1">
      <c r="A2742" s="9"/>
      <c r="B2742" s="9"/>
      <c r="C2742" s="9"/>
      <c r="D2742" s="9"/>
      <c r="E2742" s="9"/>
      <c r="F2742" s="67"/>
      <c r="G2742" s="9"/>
      <c r="H2742" s="9"/>
      <c r="I2742" s="9"/>
      <c r="J2742" s="9"/>
      <c r="K2742" s="9"/>
      <c r="L2742" s="9"/>
      <c r="M2742" s="9"/>
      <c r="N2742" s="9"/>
      <c r="O2742" s="9"/>
      <c r="P2742" s="9"/>
      <c r="Q2742" s="9"/>
      <c r="R2742" s="9"/>
      <c r="S2742" s="9"/>
      <c r="T2742" s="9"/>
      <c r="U2742" s="9"/>
      <c r="V2742" s="9"/>
      <c r="W2742" s="9"/>
      <c r="X2742" s="9"/>
      <c r="Y2742" s="9"/>
      <c r="Z2742" s="9"/>
      <c r="AA2742" s="9"/>
      <c r="AB2742" s="9"/>
      <c r="AC2742" s="9"/>
      <c r="AD2742" s="9"/>
      <c r="AE2742" s="9"/>
      <c r="AF2742" s="9"/>
      <c r="AG2742" s="9"/>
      <c r="AH2742" s="9"/>
      <c r="AI2742" s="9"/>
      <c r="AJ2742" s="9"/>
      <c r="AK2742" s="9"/>
      <c r="AL2742" s="9"/>
      <c r="AM2742" s="9"/>
      <c r="AN2742" s="9"/>
      <c r="AO2742" s="9"/>
      <c r="AP2742" s="9"/>
      <c r="AQ2742" s="9"/>
      <c r="AR2742" s="9"/>
      <c r="AS2742" s="9"/>
      <c r="AT2742" s="9"/>
      <c r="AU2742" s="9"/>
    </row>
    <row r="2743" spans="1:47" ht="15.75" customHeight="1">
      <c r="A2743" s="9"/>
      <c r="B2743" s="9"/>
      <c r="C2743" s="9"/>
      <c r="D2743" s="9"/>
      <c r="E2743" s="9"/>
      <c r="F2743" s="67"/>
      <c r="G2743" s="9"/>
      <c r="H2743" s="9"/>
      <c r="I2743" s="9"/>
      <c r="J2743" s="9"/>
      <c r="K2743" s="9"/>
      <c r="L2743" s="9"/>
      <c r="M2743" s="9"/>
      <c r="N2743" s="9"/>
      <c r="O2743" s="9"/>
      <c r="P2743" s="9"/>
      <c r="Q2743" s="9"/>
      <c r="R2743" s="9"/>
      <c r="S2743" s="9"/>
      <c r="T2743" s="9"/>
      <c r="U2743" s="9"/>
      <c r="V2743" s="9"/>
      <c r="W2743" s="9"/>
      <c r="X2743" s="9"/>
      <c r="Y2743" s="9"/>
      <c r="Z2743" s="9"/>
      <c r="AA2743" s="9"/>
      <c r="AB2743" s="9"/>
      <c r="AC2743" s="9"/>
      <c r="AD2743" s="9"/>
      <c r="AE2743" s="9"/>
      <c r="AF2743" s="9"/>
      <c r="AG2743" s="9"/>
      <c r="AH2743" s="9"/>
      <c r="AI2743" s="9"/>
      <c r="AJ2743" s="9"/>
      <c r="AK2743" s="9"/>
      <c r="AL2743" s="9"/>
      <c r="AM2743" s="9"/>
      <c r="AN2743" s="9"/>
      <c r="AO2743" s="9"/>
      <c r="AP2743" s="9"/>
      <c r="AQ2743" s="9"/>
      <c r="AR2743" s="9"/>
      <c r="AS2743" s="9"/>
      <c r="AT2743" s="9"/>
      <c r="AU2743" s="9"/>
    </row>
    <row r="2744" spans="1:47" ht="15.75" customHeight="1">
      <c r="A2744" s="9"/>
      <c r="B2744" s="9"/>
      <c r="C2744" s="9"/>
      <c r="D2744" s="9"/>
      <c r="E2744" s="9"/>
      <c r="F2744" s="67"/>
      <c r="G2744" s="9"/>
      <c r="H2744" s="9"/>
      <c r="I2744" s="9"/>
      <c r="J2744" s="9"/>
      <c r="K2744" s="9"/>
      <c r="L2744" s="9"/>
      <c r="M2744" s="9"/>
      <c r="N2744" s="9"/>
      <c r="O2744" s="9"/>
      <c r="P2744" s="9"/>
      <c r="Q2744" s="9"/>
      <c r="R2744" s="9"/>
      <c r="S2744" s="9"/>
      <c r="T2744" s="9"/>
      <c r="U2744" s="9"/>
      <c r="V2744" s="9"/>
      <c r="W2744" s="9"/>
      <c r="X2744" s="9"/>
      <c r="Y2744" s="9"/>
      <c r="Z2744" s="9"/>
      <c r="AA2744" s="9"/>
      <c r="AB2744" s="9"/>
      <c r="AC2744" s="9"/>
      <c r="AD2744" s="9"/>
      <c r="AE2744" s="9"/>
      <c r="AF2744" s="9"/>
      <c r="AG2744" s="9"/>
      <c r="AH2744" s="9"/>
      <c r="AI2744" s="9"/>
      <c r="AJ2744" s="9"/>
      <c r="AK2744" s="9"/>
      <c r="AL2744" s="9"/>
      <c r="AM2744" s="9"/>
      <c r="AN2744" s="9"/>
      <c r="AO2744" s="9"/>
      <c r="AP2744" s="9"/>
      <c r="AQ2744" s="9"/>
      <c r="AR2744" s="9"/>
      <c r="AS2744" s="9"/>
      <c r="AT2744" s="9"/>
      <c r="AU2744" s="9"/>
    </row>
    <row r="2745" spans="1:47" ht="15.75" customHeight="1">
      <c r="A2745" s="9"/>
      <c r="B2745" s="9"/>
      <c r="C2745" s="9"/>
      <c r="D2745" s="9"/>
      <c r="E2745" s="9"/>
      <c r="F2745" s="67"/>
      <c r="G2745" s="9"/>
      <c r="H2745" s="9"/>
      <c r="I2745" s="9"/>
      <c r="J2745" s="9"/>
      <c r="K2745" s="9"/>
      <c r="L2745" s="9"/>
      <c r="M2745" s="9"/>
      <c r="N2745" s="9"/>
      <c r="O2745" s="9"/>
      <c r="P2745" s="9"/>
      <c r="Q2745" s="9"/>
      <c r="R2745" s="9"/>
      <c r="S2745" s="9"/>
      <c r="T2745" s="9"/>
      <c r="U2745" s="9"/>
      <c r="V2745" s="9"/>
      <c r="W2745" s="9"/>
      <c r="X2745" s="9"/>
      <c r="Y2745" s="9"/>
      <c r="Z2745" s="9"/>
      <c r="AA2745" s="9"/>
      <c r="AB2745" s="9"/>
      <c r="AC2745" s="9"/>
      <c r="AD2745" s="9"/>
      <c r="AE2745" s="9"/>
      <c r="AF2745" s="9"/>
      <c r="AG2745" s="9"/>
      <c r="AH2745" s="9"/>
      <c r="AI2745" s="9"/>
      <c r="AJ2745" s="9"/>
      <c r="AK2745" s="9"/>
      <c r="AL2745" s="9"/>
      <c r="AM2745" s="9"/>
      <c r="AN2745" s="9"/>
      <c r="AO2745" s="9"/>
      <c r="AP2745" s="9"/>
      <c r="AQ2745" s="9"/>
      <c r="AR2745" s="9"/>
      <c r="AS2745" s="9"/>
      <c r="AT2745" s="9"/>
      <c r="AU2745" s="9"/>
    </row>
    <row r="2746" spans="1:47" ht="15.75" customHeight="1">
      <c r="A2746" s="9"/>
      <c r="B2746" s="9"/>
      <c r="C2746" s="9"/>
      <c r="D2746" s="9"/>
      <c r="E2746" s="9"/>
      <c r="F2746" s="67"/>
      <c r="G2746" s="9"/>
      <c r="H2746" s="9"/>
      <c r="I2746" s="9"/>
      <c r="J2746" s="9"/>
      <c r="K2746" s="9"/>
      <c r="L2746" s="9"/>
      <c r="M2746" s="9"/>
      <c r="N2746" s="9"/>
      <c r="O2746" s="9"/>
      <c r="P2746" s="9"/>
      <c r="Q2746" s="9"/>
      <c r="R2746" s="9"/>
      <c r="S2746" s="9"/>
      <c r="T2746" s="9"/>
      <c r="U2746" s="9"/>
      <c r="V2746" s="9"/>
      <c r="W2746" s="9"/>
      <c r="X2746" s="9"/>
      <c r="Y2746" s="9"/>
      <c r="Z2746" s="9"/>
      <c r="AA2746" s="9"/>
      <c r="AB2746" s="9"/>
      <c r="AC2746" s="9"/>
      <c r="AD2746" s="9"/>
      <c r="AE2746" s="9"/>
      <c r="AF2746" s="9"/>
      <c r="AG2746" s="9"/>
      <c r="AH2746" s="9"/>
      <c r="AI2746" s="9"/>
      <c r="AJ2746" s="9"/>
      <c r="AK2746" s="9"/>
      <c r="AL2746" s="9"/>
      <c r="AM2746" s="9"/>
      <c r="AN2746" s="9"/>
      <c r="AO2746" s="9"/>
      <c r="AP2746" s="9"/>
      <c r="AQ2746" s="9"/>
      <c r="AR2746" s="9"/>
      <c r="AS2746" s="9"/>
      <c r="AT2746" s="9"/>
      <c r="AU2746" s="9"/>
    </row>
    <row r="2747" spans="1:47" ht="15.75" customHeight="1">
      <c r="A2747" s="9"/>
      <c r="B2747" s="9"/>
      <c r="C2747" s="9"/>
      <c r="D2747" s="9"/>
      <c r="E2747" s="9"/>
      <c r="F2747" s="67"/>
      <c r="G2747" s="9"/>
      <c r="H2747" s="9"/>
      <c r="I2747" s="9"/>
      <c r="J2747" s="9"/>
      <c r="K2747" s="9"/>
      <c r="L2747" s="9"/>
      <c r="M2747" s="9"/>
      <c r="N2747" s="9"/>
      <c r="O2747" s="9"/>
      <c r="P2747" s="9"/>
      <c r="Q2747" s="9"/>
      <c r="R2747" s="9"/>
      <c r="S2747" s="9"/>
      <c r="T2747" s="9"/>
      <c r="U2747" s="9"/>
      <c r="V2747" s="9"/>
      <c r="W2747" s="9"/>
      <c r="X2747" s="9"/>
      <c r="Y2747" s="9"/>
      <c r="Z2747" s="9"/>
      <c r="AA2747" s="9"/>
      <c r="AB2747" s="9"/>
      <c r="AC2747" s="9"/>
      <c r="AD2747" s="9"/>
      <c r="AE2747" s="9"/>
      <c r="AF2747" s="9"/>
      <c r="AG2747" s="9"/>
      <c r="AH2747" s="9"/>
      <c r="AI2747" s="9"/>
      <c r="AJ2747" s="9"/>
      <c r="AK2747" s="9"/>
      <c r="AL2747" s="9"/>
      <c r="AM2747" s="9"/>
      <c r="AN2747" s="9"/>
      <c r="AO2747" s="9"/>
      <c r="AP2747" s="9"/>
      <c r="AQ2747" s="9"/>
      <c r="AR2747" s="9"/>
      <c r="AS2747" s="9"/>
      <c r="AT2747" s="9"/>
      <c r="AU2747" s="9"/>
    </row>
    <row r="2748" spans="1:47" ht="15.75" customHeight="1">
      <c r="A2748" s="9"/>
      <c r="B2748" s="9"/>
      <c r="C2748" s="9"/>
      <c r="D2748" s="9"/>
      <c r="E2748" s="9"/>
      <c r="F2748" s="67"/>
      <c r="G2748" s="9"/>
      <c r="H2748" s="9"/>
      <c r="I2748" s="9"/>
      <c r="J2748" s="9"/>
      <c r="K2748" s="9"/>
      <c r="L2748" s="9"/>
      <c r="M2748" s="9"/>
      <c r="N2748" s="9"/>
      <c r="O2748" s="9"/>
      <c r="P2748" s="9"/>
      <c r="Q2748" s="9"/>
      <c r="R2748" s="9"/>
      <c r="S2748" s="9"/>
      <c r="T2748" s="9"/>
      <c r="U2748" s="9"/>
      <c r="V2748" s="9"/>
      <c r="W2748" s="9"/>
      <c r="X2748" s="9"/>
      <c r="Y2748" s="9"/>
      <c r="Z2748" s="9"/>
      <c r="AA2748" s="9"/>
      <c r="AB2748" s="9"/>
      <c r="AC2748" s="9"/>
      <c r="AD2748" s="9"/>
      <c r="AE2748" s="9"/>
      <c r="AF2748" s="9"/>
      <c r="AG2748" s="9"/>
      <c r="AH2748" s="9"/>
      <c r="AI2748" s="9"/>
      <c r="AJ2748" s="9"/>
      <c r="AK2748" s="9"/>
      <c r="AL2748" s="9"/>
      <c r="AM2748" s="9"/>
      <c r="AN2748" s="9"/>
      <c r="AO2748" s="9"/>
      <c r="AP2748" s="9"/>
      <c r="AQ2748" s="9"/>
      <c r="AR2748" s="9"/>
      <c r="AS2748" s="9"/>
      <c r="AT2748" s="9"/>
      <c r="AU2748" s="9"/>
    </row>
    <row r="2749" spans="1:47" ht="15.75" customHeight="1">
      <c r="A2749" s="9"/>
      <c r="B2749" s="9"/>
      <c r="C2749" s="9"/>
      <c r="D2749" s="9"/>
      <c r="E2749" s="9"/>
      <c r="F2749" s="67"/>
      <c r="G2749" s="9"/>
      <c r="H2749" s="9"/>
      <c r="I2749" s="9"/>
      <c r="J2749" s="9"/>
      <c r="K2749" s="9"/>
      <c r="L2749" s="9"/>
      <c r="M2749" s="9"/>
      <c r="N2749" s="9"/>
      <c r="O2749" s="9"/>
      <c r="P2749" s="9"/>
      <c r="Q2749" s="9"/>
      <c r="R2749" s="9"/>
      <c r="S2749" s="9"/>
      <c r="T2749" s="9"/>
      <c r="U2749" s="9"/>
      <c r="V2749" s="9"/>
      <c r="W2749" s="9"/>
      <c r="X2749" s="9"/>
      <c r="Y2749" s="9"/>
      <c r="Z2749" s="9"/>
      <c r="AA2749" s="9"/>
      <c r="AB2749" s="9"/>
      <c r="AC2749" s="9"/>
      <c r="AD2749" s="9"/>
      <c r="AE2749" s="9"/>
      <c r="AF2749" s="9"/>
      <c r="AG2749" s="9"/>
      <c r="AH2749" s="9"/>
      <c r="AI2749" s="9"/>
      <c r="AJ2749" s="9"/>
      <c r="AK2749" s="9"/>
      <c r="AL2749" s="9"/>
      <c r="AM2749" s="9"/>
      <c r="AN2749" s="9"/>
      <c r="AO2749" s="9"/>
      <c r="AP2749" s="9"/>
      <c r="AQ2749" s="9"/>
      <c r="AR2749" s="9"/>
      <c r="AS2749" s="9"/>
      <c r="AT2749" s="9"/>
      <c r="AU2749" s="9"/>
    </row>
    <row r="2750" spans="1:47" ht="15.75" customHeight="1">
      <c r="A2750" s="9"/>
      <c r="B2750" s="9"/>
      <c r="C2750" s="9"/>
      <c r="D2750" s="9"/>
      <c r="E2750" s="9"/>
      <c r="F2750" s="67"/>
      <c r="G2750" s="9"/>
      <c r="H2750" s="9"/>
      <c r="I2750" s="9"/>
      <c r="J2750" s="9"/>
      <c r="K2750" s="9"/>
      <c r="L2750" s="9"/>
      <c r="M2750" s="9"/>
      <c r="N2750" s="9"/>
      <c r="O2750" s="9"/>
      <c r="P2750" s="9"/>
      <c r="Q2750" s="9"/>
      <c r="R2750" s="9"/>
      <c r="S2750" s="9"/>
      <c r="T2750" s="9"/>
      <c r="U2750" s="9"/>
      <c r="V2750" s="9"/>
      <c r="W2750" s="9"/>
      <c r="X2750" s="9"/>
      <c r="Y2750" s="9"/>
      <c r="Z2750" s="9"/>
      <c r="AA2750" s="9"/>
      <c r="AB2750" s="9"/>
      <c r="AC2750" s="9"/>
      <c r="AD2750" s="9"/>
      <c r="AE2750" s="9"/>
      <c r="AF2750" s="9"/>
      <c r="AG2750" s="9"/>
      <c r="AH2750" s="9"/>
      <c r="AI2750" s="9"/>
      <c r="AJ2750" s="9"/>
      <c r="AK2750" s="9"/>
      <c r="AL2750" s="9"/>
      <c r="AM2750" s="9"/>
      <c r="AN2750" s="9"/>
      <c r="AO2750" s="9"/>
      <c r="AP2750" s="9"/>
      <c r="AQ2750" s="9"/>
      <c r="AR2750" s="9"/>
      <c r="AS2750" s="9"/>
      <c r="AT2750" s="9"/>
      <c r="AU2750" s="9"/>
    </row>
    <row r="2751" spans="1:47" ht="15.75" customHeight="1">
      <c r="A2751" s="9"/>
      <c r="B2751" s="9"/>
      <c r="C2751" s="9"/>
      <c r="D2751" s="9"/>
      <c r="E2751" s="9"/>
      <c r="F2751" s="67"/>
      <c r="G2751" s="9"/>
      <c r="H2751" s="9"/>
      <c r="I2751" s="9"/>
      <c r="J2751" s="9"/>
      <c r="K2751" s="9"/>
      <c r="L2751" s="9"/>
      <c r="M2751" s="9"/>
      <c r="N2751" s="9"/>
      <c r="O2751" s="9"/>
      <c r="P2751" s="9"/>
      <c r="Q2751" s="9"/>
      <c r="R2751" s="9"/>
      <c r="S2751" s="9"/>
      <c r="T2751" s="9"/>
      <c r="U2751" s="9"/>
      <c r="V2751" s="9"/>
      <c r="W2751" s="9"/>
      <c r="X2751" s="9"/>
      <c r="Y2751" s="9"/>
      <c r="Z2751" s="9"/>
      <c r="AA2751" s="9"/>
      <c r="AB2751" s="9"/>
      <c r="AC2751" s="9"/>
      <c r="AD2751" s="9"/>
      <c r="AE2751" s="9"/>
      <c r="AF2751" s="9"/>
      <c r="AG2751" s="9"/>
      <c r="AH2751" s="9"/>
      <c r="AI2751" s="9"/>
      <c r="AJ2751" s="9"/>
      <c r="AK2751" s="9"/>
      <c r="AL2751" s="9"/>
      <c r="AM2751" s="9"/>
      <c r="AN2751" s="9"/>
      <c r="AO2751" s="9"/>
      <c r="AP2751" s="9"/>
      <c r="AQ2751" s="9"/>
      <c r="AR2751" s="9"/>
      <c r="AS2751" s="9"/>
      <c r="AT2751" s="9"/>
      <c r="AU2751" s="9"/>
    </row>
    <row r="2752" spans="1:47" ht="15.75" customHeight="1">
      <c r="A2752" s="9"/>
      <c r="B2752" s="9"/>
      <c r="C2752" s="9"/>
      <c r="D2752" s="9"/>
      <c r="E2752" s="9"/>
      <c r="F2752" s="67"/>
      <c r="G2752" s="9"/>
      <c r="H2752" s="9"/>
      <c r="I2752" s="9"/>
      <c r="J2752" s="9"/>
      <c r="K2752" s="9"/>
      <c r="L2752" s="9"/>
      <c r="M2752" s="9"/>
      <c r="N2752" s="9"/>
      <c r="O2752" s="9"/>
      <c r="P2752" s="9"/>
      <c r="Q2752" s="9"/>
      <c r="R2752" s="9"/>
      <c r="S2752" s="9"/>
      <c r="T2752" s="9"/>
      <c r="U2752" s="9"/>
      <c r="V2752" s="9"/>
      <c r="W2752" s="9"/>
      <c r="X2752" s="9"/>
      <c r="Y2752" s="9"/>
      <c r="Z2752" s="9"/>
      <c r="AA2752" s="9"/>
      <c r="AB2752" s="9"/>
      <c r="AC2752" s="9"/>
      <c r="AD2752" s="9"/>
      <c r="AE2752" s="9"/>
      <c r="AF2752" s="9"/>
      <c r="AG2752" s="9"/>
      <c r="AH2752" s="9"/>
      <c r="AI2752" s="9"/>
      <c r="AJ2752" s="9"/>
      <c r="AK2752" s="9"/>
      <c r="AL2752" s="9"/>
      <c r="AM2752" s="9"/>
      <c r="AN2752" s="9"/>
      <c r="AO2752" s="9"/>
      <c r="AP2752" s="9"/>
      <c r="AQ2752" s="9"/>
      <c r="AR2752" s="9"/>
      <c r="AS2752" s="9"/>
      <c r="AT2752" s="9"/>
      <c r="AU2752" s="9"/>
    </row>
    <row r="2753" spans="1:47" ht="15.75" customHeight="1">
      <c r="A2753" s="9"/>
      <c r="B2753" s="9"/>
      <c r="C2753" s="9"/>
      <c r="D2753" s="9"/>
      <c r="E2753" s="9"/>
      <c r="F2753" s="67"/>
      <c r="G2753" s="9"/>
      <c r="H2753" s="9"/>
      <c r="I2753" s="9"/>
      <c r="J2753" s="9"/>
      <c r="K2753" s="9"/>
      <c r="L2753" s="9"/>
      <c r="M2753" s="9"/>
      <c r="N2753" s="9"/>
      <c r="O2753" s="9"/>
      <c r="P2753" s="9"/>
      <c r="Q2753" s="9"/>
      <c r="R2753" s="9"/>
      <c r="S2753" s="9"/>
      <c r="T2753" s="9"/>
      <c r="U2753" s="9"/>
      <c r="V2753" s="9"/>
      <c r="W2753" s="9"/>
      <c r="X2753" s="9"/>
      <c r="Y2753" s="9"/>
      <c r="Z2753" s="9"/>
      <c r="AA2753" s="9"/>
      <c r="AB2753" s="9"/>
      <c r="AC2753" s="9"/>
      <c r="AD2753" s="9"/>
      <c r="AE2753" s="9"/>
      <c r="AF2753" s="9"/>
      <c r="AG2753" s="9"/>
      <c r="AH2753" s="9"/>
      <c r="AI2753" s="9"/>
      <c r="AJ2753" s="9"/>
      <c r="AK2753" s="9"/>
      <c r="AL2753" s="9"/>
      <c r="AM2753" s="9"/>
      <c r="AN2753" s="9"/>
      <c r="AO2753" s="9"/>
      <c r="AP2753" s="9"/>
      <c r="AQ2753" s="9"/>
      <c r="AR2753" s="9"/>
      <c r="AS2753" s="9"/>
      <c r="AT2753" s="9"/>
      <c r="AU2753" s="9"/>
    </row>
    <row r="2754" spans="1:47" ht="15.75" customHeight="1">
      <c r="A2754" s="9"/>
      <c r="B2754" s="9"/>
      <c r="C2754" s="9"/>
      <c r="D2754" s="9"/>
      <c r="E2754" s="9"/>
      <c r="F2754" s="67"/>
      <c r="G2754" s="9"/>
      <c r="H2754" s="9"/>
      <c r="I2754" s="9"/>
      <c r="J2754" s="9"/>
      <c r="K2754" s="9"/>
      <c r="L2754" s="9"/>
      <c r="M2754" s="9"/>
      <c r="N2754" s="9"/>
      <c r="O2754" s="9"/>
      <c r="P2754" s="9"/>
      <c r="Q2754" s="9"/>
      <c r="R2754" s="9"/>
      <c r="S2754" s="9"/>
      <c r="T2754" s="9"/>
      <c r="U2754" s="9"/>
      <c r="V2754" s="9"/>
      <c r="W2754" s="9"/>
      <c r="X2754" s="9"/>
      <c r="Y2754" s="9"/>
      <c r="Z2754" s="9"/>
      <c r="AA2754" s="9"/>
      <c r="AB2754" s="9"/>
      <c r="AC2754" s="9"/>
      <c r="AD2754" s="9"/>
      <c r="AE2754" s="9"/>
      <c r="AF2754" s="9"/>
      <c r="AG2754" s="9"/>
      <c r="AH2754" s="9"/>
      <c r="AI2754" s="9"/>
      <c r="AJ2754" s="9"/>
      <c r="AK2754" s="9"/>
      <c r="AL2754" s="9"/>
      <c r="AM2754" s="9"/>
      <c r="AN2754" s="9"/>
      <c r="AO2754" s="9"/>
      <c r="AP2754" s="9"/>
      <c r="AQ2754" s="9"/>
      <c r="AR2754" s="9"/>
      <c r="AS2754" s="9"/>
      <c r="AT2754" s="9"/>
      <c r="AU2754" s="9"/>
    </row>
    <row r="2755" spans="1:47" ht="15.75" customHeight="1">
      <c r="A2755" s="9"/>
      <c r="B2755" s="9"/>
      <c r="C2755" s="9"/>
      <c r="D2755" s="9"/>
      <c r="E2755" s="9"/>
      <c r="F2755" s="67"/>
      <c r="G2755" s="9"/>
      <c r="H2755" s="9"/>
      <c r="I2755" s="9"/>
      <c r="J2755" s="9"/>
      <c r="K2755" s="9"/>
      <c r="L2755" s="9"/>
      <c r="M2755" s="9"/>
      <c r="N2755" s="9"/>
      <c r="O2755" s="9"/>
      <c r="P2755" s="9"/>
      <c r="Q2755" s="9"/>
      <c r="R2755" s="9"/>
      <c r="S2755" s="9"/>
      <c r="T2755" s="9"/>
      <c r="U2755" s="9"/>
      <c r="V2755" s="9"/>
      <c r="W2755" s="9"/>
      <c r="X2755" s="9"/>
      <c r="Y2755" s="9"/>
      <c r="Z2755" s="9"/>
      <c r="AA2755" s="9"/>
      <c r="AB2755" s="9"/>
      <c r="AC2755" s="9"/>
      <c r="AD2755" s="9"/>
      <c r="AE2755" s="9"/>
      <c r="AF2755" s="9"/>
      <c r="AG2755" s="9"/>
      <c r="AH2755" s="9"/>
      <c r="AI2755" s="9"/>
      <c r="AJ2755" s="9"/>
      <c r="AK2755" s="9"/>
      <c r="AL2755" s="9"/>
      <c r="AM2755" s="9"/>
      <c r="AN2755" s="9"/>
      <c r="AO2755" s="9"/>
      <c r="AP2755" s="9"/>
      <c r="AQ2755" s="9"/>
      <c r="AR2755" s="9"/>
      <c r="AS2755" s="9"/>
      <c r="AT2755" s="9"/>
      <c r="AU2755" s="9"/>
    </row>
    <row r="2756" spans="1:47" ht="15.75" customHeight="1">
      <c r="A2756" s="9"/>
      <c r="B2756" s="9"/>
      <c r="C2756" s="9"/>
      <c r="D2756" s="9"/>
      <c r="E2756" s="9"/>
      <c r="F2756" s="67"/>
      <c r="G2756" s="9"/>
      <c r="H2756" s="9"/>
      <c r="I2756" s="9"/>
      <c r="J2756" s="9"/>
      <c r="K2756" s="9"/>
      <c r="L2756" s="9"/>
      <c r="M2756" s="9"/>
      <c r="N2756" s="9"/>
      <c r="O2756" s="9"/>
      <c r="P2756" s="9"/>
      <c r="Q2756" s="9"/>
      <c r="R2756" s="9"/>
      <c r="S2756" s="9"/>
      <c r="T2756" s="9"/>
      <c r="U2756" s="9"/>
      <c r="V2756" s="9"/>
      <c r="W2756" s="9"/>
      <c r="X2756" s="9"/>
      <c r="Y2756" s="9"/>
      <c r="Z2756" s="9"/>
      <c r="AA2756" s="9"/>
      <c r="AB2756" s="9"/>
      <c r="AC2756" s="9"/>
      <c r="AD2756" s="9"/>
      <c r="AE2756" s="9"/>
      <c r="AF2756" s="9"/>
      <c r="AG2756" s="9"/>
      <c r="AH2756" s="9"/>
      <c r="AI2756" s="9"/>
      <c r="AJ2756" s="9"/>
      <c r="AK2756" s="9"/>
      <c r="AL2756" s="9"/>
      <c r="AM2756" s="9"/>
      <c r="AN2756" s="9"/>
      <c r="AO2756" s="9"/>
      <c r="AP2756" s="9"/>
      <c r="AQ2756" s="9"/>
      <c r="AR2756" s="9"/>
      <c r="AS2756" s="9"/>
      <c r="AT2756" s="9"/>
      <c r="AU2756" s="9"/>
    </row>
    <row r="2757" spans="1:47" ht="15.75" customHeight="1">
      <c r="A2757" s="9"/>
      <c r="B2757" s="9"/>
      <c r="C2757" s="9"/>
      <c r="D2757" s="9"/>
      <c r="E2757" s="9"/>
      <c r="F2757" s="67"/>
      <c r="G2757" s="9"/>
      <c r="H2757" s="9"/>
      <c r="I2757" s="9"/>
      <c r="J2757" s="9"/>
      <c r="K2757" s="9"/>
      <c r="L2757" s="9"/>
      <c r="M2757" s="9"/>
      <c r="N2757" s="9"/>
      <c r="O2757" s="9"/>
      <c r="P2757" s="9"/>
      <c r="Q2757" s="9"/>
      <c r="R2757" s="9"/>
      <c r="S2757" s="9"/>
      <c r="T2757" s="9"/>
      <c r="U2757" s="9"/>
      <c r="V2757" s="9"/>
      <c r="W2757" s="9"/>
      <c r="X2757" s="9"/>
      <c r="Y2757" s="9"/>
      <c r="Z2757" s="9"/>
      <c r="AA2757" s="9"/>
      <c r="AB2757" s="9"/>
      <c r="AC2757" s="9"/>
      <c r="AD2757" s="9"/>
      <c r="AE2757" s="9"/>
      <c r="AF2757" s="9"/>
      <c r="AG2757" s="9"/>
      <c r="AH2757" s="9"/>
      <c r="AI2757" s="9"/>
      <c r="AJ2757" s="9"/>
      <c r="AK2757" s="9"/>
      <c r="AL2757" s="9"/>
      <c r="AM2757" s="9"/>
      <c r="AN2757" s="9"/>
      <c r="AO2757" s="9"/>
      <c r="AP2757" s="9"/>
      <c r="AQ2757" s="9"/>
      <c r="AR2757" s="9"/>
      <c r="AS2757" s="9"/>
      <c r="AT2757" s="9"/>
      <c r="AU2757" s="9"/>
    </row>
    <row r="2758" spans="1:47" ht="15.75" customHeight="1">
      <c r="A2758" s="9"/>
      <c r="B2758" s="9"/>
      <c r="C2758" s="9"/>
      <c r="D2758" s="9"/>
      <c r="E2758" s="9"/>
      <c r="F2758" s="67"/>
      <c r="G2758" s="9"/>
      <c r="H2758" s="9"/>
      <c r="I2758" s="9"/>
      <c r="J2758" s="9"/>
      <c r="K2758" s="9"/>
      <c r="L2758" s="9"/>
      <c r="M2758" s="9"/>
      <c r="N2758" s="9"/>
      <c r="O2758" s="9"/>
      <c r="P2758" s="9"/>
      <c r="Q2758" s="9"/>
      <c r="R2758" s="9"/>
      <c r="S2758" s="9"/>
      <c r="T2758" s="9"/>
      <c r="U2758" s="9"/>
      <c r="V2758" s="9"/>
      <c r="W2758" s="9"/>
      <c r="X2758" s="9"/>
      <c r="Y2758" s="9"/>
      <c r="Z2758" s="9"/>
      <c r="AA2758" s="9"/>
      <c r="AB2758" s="9"/>
      <c r="AC2758" s="9"/>
      <c r="AD2758" s="9"/>
      <c r="AE2758" s="9"/>
      <c r="AF2758" s="9"/>
      <c r="AG2758" s="9"/>
      <c r="AH2758" s="9"/>
      <c r="AI2758" s="9"/>
      <c r="AJ2758" s="9"/>
      <c r="AK2758" s="9"/>
      <c r="AL2758" s="9"/>
      <c r="AM2758" s="9"/>
      <c r="AN2758" s="9"/>
      <c r="AO2758" s="9"/>
      <c r="AP2758" s="9"/>
      <c r="AQ2758" s="9"/>
      <c r="AR2758" s="9"/>
      <c r="AS2758" s="9"/>
      <c r="AT2758" s="9"/>
      <c r="AU2758" s="9"/>
    </row>
    <row r="2759" spans="1:47" ht="15.75" customHeight="1">
      <c r="A2759" s="9"/>
      <c r="B2759" s="9"/>
      <c r="C2759" s="9"/>
      <c r="D2759" s="9"/>
      <c r="E2759" s="9"/>
      <c r="F2759" s="67"/>
      <c r="G2759" s="9"/>
      <c r="H2759" s="9"/>
      <c r="I2759" s="9"/>
      <c r="J2759" s="9"/>
      <c r="K2759" s="9"/>
      <c r="L2759" s="9"/>
      <c r="M2759" s="9"/>
      <c r="N2759" s="9"/>
      <c r="O2759" s="9"/>
      <c r="P2759" s="9"/>
      <c r="Q2759" s="9"/>
      <c r="R2759" s="9"/>
      <c r="S2759" s="9"/>
      <c r="T2759" s="9"/>
      <c r="U2759" s="9"/>
      <c r="V2759" s="9"/>
      <c r="W2759" s="9"/>
      <c r="X2759" s="9"/>
      <c r="Y2759" s="9"/>
      <c r="Z2759" s="9"/>
      <c r="AA2759" s="9"/>
      <c r="AB2759" s="9"/>
      <c r="AC2759" s="9"/>
      <c r="AD2759" s="9"/>
      <c r="AE2759" s="9"/>
      <c r="AF2759" s="9"/>
      <c r="AG2759" s="9"/>
      <c r="AH2759" s="9"/>
      <c r="AI2759" s="9"/>
      <c r="AJ2759" s="9"/>
      <c r="AK2759" s="9"/>
      <c r="AL2759" s="9"/>
      <c r="AM2759" s="9"/>
      <c r="AN2759" s="9"/>
      <c r="AO2759" s="9"/>
      <c r="AP2759" s="9"/>
      <c r="AQ2759" s="9"/>
      <c r="AR2759" s="9"/>
      <c r="AS2759" s="9"/>
      <c r="AT2759" s="9"/>
      <c r="AU2759" s="9"/>
    </row>
    <row r="2760" spans="1:47" ht="15.75" customHeight="1">
      <c r="A2760" s="9"/>
      <c r="B2760" s="9"/>
      <c r="C2760" s="9"/>
      <c r="D2760" s="9"/>
      <c r="E2760" s="9"/>
      <c r="F2760" s="67"/>
      <c r="G2760" s="9"/>
      <c r="H2760" s="9"/>
      <c r="I2760" s="9"/>
      <c r="J2760" s="9"/>
      <c r="K2760" s="9"/>
      <c r="L2760" s="9"/>
      <c r="M2760" s="9"/>
      <c r="N2760" s="9"/>
      <c r="O2760" s="9"/>
      <c r="P2760" s="9"/>
      <c r="Q2760" s="9"/>
      <c r="R2760" s="9"/>
      <c r="S2760" s="9"/>
      <c r="T2760" s="9"/>
      <c r="U2760" s="9"/>
      <c r="V2760" s="9"/>
      <c r="W2760" s="9"/>
      <c r="X2760" s="9"/>
      <c r="Y2760" s="9"/>
      <c r="Z2760" s="9"/>
      <c r="AA2760" s="9"/>
      <c r="AB2760" s="9"/>
      <c r="AC2760" s="9"/>
      <c r="AD2760" s="9"/>
      <c r="AE2760" s="9"/>
      <c r="AF2760" s="9"/>
      <c r="AG2760" s="9"/>
      <c r="AH2760" s="9"/>
      <c r="AI2760" s="9"/>
      <c r="AJ2760" s="9"/>
      <c r="AK2760" s="9"/>
      <c r="AL2760" s="9"/>
      <c r="AM2760" s="9"/>
      <c r="AN2760" s="9"/>
      <c r="AO2760" s="9"/>
      <c r="AP2760" s="9"/>
      <c r="AQ2760" s="9"/>
      <c r="AR2760" s="9"/>
      <c r="AS2760" s="9"/>
      <c r="AT2760" s="9"/>
      <c r="AU2760" s="9"/>
    </row>
    <row r="2761" spans="1:47" ht="15.75" customHeight="1">
      <c r="A2761" s="9"/>
      <c r="B2761" s="9"/>
      <c r="C2761" s="9"/>
      <c r="D2761" s="9"/>
      <c r="E2761" s="9"/>
      <c r="F2761" s="67"/>
      <c r="G2761" s="9"/>
      <c r="H2761" s="9"/>
      <c r="I2761" s="9"/>
      <c r="J2761" s="9"/>
      <c r="K2761" s="9"/>
      <c r="L2761" s="9"/>
      <c r="M2761" s="9"/>
      <c r="N2761" s="9"/>
      <c r="O2761" s="9"/>
      <c r="P2761" s="9"/>
      <c r="Q2761" s="9"/>
      <c r="R2761" s="9"/>
      <c r="S2761" s="9"/>
      <c r="T2761" s="9"/>
      <c r="U2761" s="9"/>
      <c r="V2761" s="9"/>
      <c r="W2761" s="9"/>
      <c r="X2761" s="9"/>
      <c r="Y2761" s="9"/>
      <c r="Z2761" s="9"/>
      <c r="AA2761" s="9"/>
      <c r="AB2761" s="9"/>
      <c r="AC2761" s="9"/>
      <c r="AD2761" s="9"/>
      <c r="AE2761" s="9"/>
      <c r="AF2761" s="9"/>
      <c r="AG2761" s="9"/>
      <c r="AH2761" s="9"/>
      <c r="AI2761" s="9"/>
      <c r="AJ2761" s="9"/>
      <c r="AK2761" s="9"/>
      <c r="AL2761" s="9"/>
      <c r="AM2761" s="9"/>
      <c r="AN2761" s="9"/>
      <c r="AO2761" s="9"/>
      <c r="AP2761" s="9"/>
      <c r="AQ2761" s="9"/>
      <c r="AR2761" s="9"/>
      <c r="AS2761" s="9"/>
      <c r="AT2761" s="9"/>
      <c r="AU2761" s="9"/>
    </row>
    <row r="2762" spans="1:47" ht="15.75" customHeight="1">
      <c r="A2762" s="9"/>
      <c r="B2762" s="9"/>
      <c r="C2762" s="9"/>
      <c r="D2762" s="9"/>
      <c r="E2762" s="9"/>
      <c r="F2762" s="67"/>
      <c r="G2762" s="9"/>
      <c r="H2762" s="9"/>
      <c r="I2762" s="9"/>
      <c r="J2762" s="9"/>
      <c r="K2762" s="9"/>
      <c r="L2762" s="9"/>
      <c r="M2762" s="9"/>
      <c r="N2762" s="9"/>
      <c r="O2762" s="9"/>
      <c r="P2762" s="9"/>
      <c r="Q2762" s="9"/>
      <c r="R2762" s="9"/>
      <c r="S2762" s="9"/>
      <c r="T2762" s="9"/>
      <c r="U2762" s="9"/>
      <c r="V2762" s="9"/>
      <c r="W2762" s="9"/>
      <c r="X2762" s="9"/>
      <c r="Y2762" s="9"/>
      <c r="Z2762" s="9"/>
      <c r="AA2762" s="9"/>
      <c r="AB2762" s="9"/>
      <c r="AC2762" s="9"/>
      <c r="AD2762" s="9"/>
      <c r="AE2762" s="9"/>
      <c r="AF2762" s="9"/>
      <c r="AG2762" s="9"/>
      <c r="AH2762" s="9"/>
      <c r="AI2762" s="9"/>
      <c r="AJ2762" s="9"/>
      <c r="AK2762" s="9"/>
      <c r="AL2762" s="9"/>
      <c r="AM2762" s="9"/>
      <c r="AN2762" s="9"/>
      <c r="AO2762" s="9"/>
      <c r="AP2762" s="9"/>
      <c r="AQ2762" s="9"/>
      <c r="AR2762" s="9"/>
      <c r="AS2762" s="9"/>
      <c r="AT2762" s="9"/>
      <c r="AU2762" s="9"/>
    </row>
    <row r="2763" spans="1:47" ht="15.75" customHeight="1">
      <c r="A2763" s="9"/>
      <c r="B2763" s="9"/>
      <c r="C2763" s="9"/>
      <c r="D2763" s="9"/>
      <c r="E2763" s="9"/>
      <c r="F2763" s="67"/>
      <c r="G2763" s="9"/>
      <c r="H2763" s="9"/>
      <c r="I2763" s="9"/>
      <c r="J2763" s="9"/>
      <c r="K2763" s="9"/>
      <c r="L2763" s="9"/>
      <c r="M2763" s="9"/>
      <c r="N2763" s="9"/>
      <c r="O2763" s="9"/>
      <c r="P2763" s="9"/>
      <c r="Q2763" s="9"/>
      <c r="R2763" s="9"/>
      <c r="S2763" s="9"/>
      <c r="T2763" s="9"/>
      <c r="U2763" s="9"/>
      <c r="V2763" s="9"/>
      <c r="W2763" s="9"/>
      <c r="X2763" s="9"/>
      <c r="Y2763" s="9"/>
      <c r="Z2763" s="9"/>
      <c r="AA2763" s="9"/>
      <c r="AB2763" s="9"/>
      <c r="AC2763" s="9"/>
      <c r="AD2763" s="9"/>
      <c r="AE2763" s="9"/>
      <c r="AF2763" s="9"/>
      <c r="AG2763" s="9"/>
      <c r="AH2763" s="9"/>
      <c r="AI2763" s="9"/>
      <c r="AJ2763" s="9"/>
      <c r="AK2763" s="9"/>
      <c r="AL2763" s="9"/>
      <c r="AM2763" s="9"/>
      <c r="AN2763" s="9"/>
      <c r="AO2763" s="9"/>
      <c r="AP2763" s="9"/>
      <c r="AQ2763" s="9"/>
      <c r="AR2763" s="9"/>
      <c r="AS2763" s="9"/>
      <c r="AT2763" s="9"/>
      <c r="AU2763" s="9"/>
    </row>
    <row r="2764" spans="1:47" ht="15.75" customHeight="1">
      <c r="A2764" s="9"/>
      <c r="B2764" s="9"/>
      <c r="C2764" s="9"/>
      <c r="D2764" s="9"/>
      <c r="E2764" s="9"/>
      <c r="F2764" s="67"/>
      <c r="G2764" s="9"/>
      <c r="H2764" s="9"/>
      <c r="I2764" s="9"/>
      <c r="J2764" s="9"/>
      <c r="K2764" s="9"/>
      <c r="L2764" s="9"/>
      <c r="M2764" s="9"/>
      <c r="N2764" s="9"/>
      <c r="O2764" s="9"/>
      <c r="P2764" s="9"/>
      <c r="Q2764" s="9"/>
      <c r="R2764" s="9"/>
      <c r="S2764" s="9"/>
      <c r="T2764" s="9"/>
      <c r="U2764" s="9"/>
      <c r="V2764" s="9"/>
      <c r="W2764" s="9"/>
      <c r="X2764" s="9"/>
      <c r="Y2764" s="9"/>
      <c r="Z2764" s="9"/>
      <c r="AA2764" s="9"/>
      <c r="AB2764" s="9"/>
      <c r="AC2764" s="9"/>
      <c r="AD2764" s="9"/>
      <c r="AE2764" s="9"/>
      <c r="AF2764" s="9"/>
      <c r="AG2764" s="9"/>
      <c r="AH2764" s="9"/>
      <c r="AI2764" s="9"/>
      <c r="AJ2764" s="9"/>
      <c r="AK2764" s="9"/>
      <c r="AL2764" s="9"/>
      <c r="AM2764" s="9"/>
      <c r="AN2764" s="9"/>
      <c r="AO2764" s="9"/>
      <c r="AP2764" s="9"/>
      <c r="AQ2764" s="9"/>
      <c r="AR2764" s="9"/>
      <c r="AS2764" s="9"/>
      <c r="AT2764" s="9"/>
      <c r="AU2764" s="9"/>
    </row>
    <row r="2765" spans="1:47" ht="15.75" customHeight="1">
      <c r="A2765" s="9"/>
      <c r="B2765" s="9"/>
      <c r="C2765" s="9"/>
      <c r="D2765" s="9"/>
      <c r="E2765" s="9"/>
      <c r="F2765" s="67"/>
      <c r="G2765" s="9"/>
      <c r="H2765" s="9"/>
      <c r="I2765" s="9"/>
      <c r="J2765" s="9"/>
      <c r="K2765" s="9"/>
      <c r="L2765" s="9"/>
      <c r="M2765" s="9"/>
      <c r="N2765" s="9"/>
      <c r="O2765" s="9"/>
      <c r="P2765" s="9"/>
      <c r="Q2765" s="9"/>
      <c r="R2765" s="9"/>
      <c r="S2765" s="9"/>
      <c r="T2765" s="9"/>
      <c r="U2765" s="9"/>
      <c r="V2765" s="9"/>
      <c r="W2765" s="9"/>
      <c r="X2765" s="9"/>
      <c r="Y2765" s="9"/>
      <c r="Z2765" s="9"/>
      <c r="AA2765" s="9"/>
      <c r="AB2765" s="9"/>
      <c r="AC2765" s="9"/>
      <c r="AD2765" s="9"/>
      <c r="AE2765" s="9"/>
      <c r="AF2765" s="9"/>
      <c r="AG2765" s="9"/>
      <c r="AH2765" s="9"/>
      <c r="AI2765" s="9"/>
      <c r="AJ2765" s="9"/>
      <c r="AK2765" s="9"/>
      <c r="AL2765" s="9"/>
      <c r="AM2765" s="9"/>
      <c r="AN2765" s="9"/>
      <c r="AO2765" s="9"/>
      <c r="AP2765" s="9"/>
      <c r="AQ2765" s="9"/>
      <c r="AR2765" s="9"/>
      <c r="AS2765" s="9"/>
      <c r="AT2765" s="9"/>
      <c r="AU2765" s="9"/>
    </row>
    <row r="2766" spans="1:47" ht="15.75" customHeight="1">
      <c r="A2766" s="9"/>
      <c r="B2766" s="9"/>
      <c r="C2766" s="9"/>
      <c r="D2766" s="9"/>
      <c r="E2766" s="9"/>
      <c r="F2766" s="67"/>
      <c r="G2766" s="9"/>
      <c r="H2766" s="9"/>
      <c r="I2766" s="9"/>
      <c r="J2766" s="9"/>
      <c r="K2766" s="9"/>
      <c r="L2766" s="9"/>
      <c r="M2766" s="9"/>
      <c r="N2766" s="9"/>
      <c r="O2766" s="9"/>
      <c r="P2766" s="9"/>
      <c r="Q2766" s="9"/>
      <c r="R2766" s="9"/>
      <c r="S2766" s="9"/>
      <c r="T2766" s="9"/>
      <c r="U2766" s="9"/>
      <c r="V2766" s="9"/>
      <c r="W2766" s="9"/>
      <c r="X2766" s="9"/>
      <c r="Y2766" s="9"/>
      <c r="Z2766" s="9"/>
      <c r="AA2766" s="9"/>
      <c r="AB2766" s="9"/>
      <c r="AC2766" s="9"/>
      <c r="AD2766" s="9"/>
      <c r="AE2766" s="9"/>
      <c r="AF2766" s="9"/>
      <c r="AG2766" s="9"/>
      <c r="AH2766" s="9"/>
      <c r="AI2766" s="9"/>
      <c r="AJ2766" s="9"/>
      <c r="AK2766" s="9"/>
      <c r="AL2766" s="9"/>
      <c r="AM2766" s="9"/>
      <c r="AN2766" s="9"/>
      <c r="AO2766" s="9"/>
      <c r="AP2766" s="9"/>
      <c r="AQ2766" s="9"/>
      <c r="AR2766" s="9"/>
      <c r="AS2766" s="9"/>
      <c r="AT2766" s="9"/>
      <c r="AU2766" s="9"/>
    </row>
    <row r="2767" spans="1:47" ht="15.75" customHeight="1">
      <c r="A2767" s="9"/>
      <c r="B2767" s="9"/>
      <c r="C2767" s="9"/>
      <c r="D2767" s="9"/>
      <c r="E2767" s="9"/>
      <c r="F2767" s="67"/>
      <c r="G2767" s="9"/>
      <c r="H2767" s="9"/>
      <c r="I2767" s="9"/>
      <c r="J2767" s="9"/>
      <c r="K2767" s="9"/>
      <c r="L2767" s="9"/>
      <c r="M2767" s="9"/>
      <c r="N2767" s="9"/>
      <c r="O2767" s="9"/>
      <c r="P2767" s="9"/>
      <c r="Q2767" s="9"/>
      <c r="R2767" s="9"/>
      <c r="S2767" s="9"/>
      <c r="T2767" s="9"/>
      <c r="U2767" s="9"/>
      <c r="V2767" s="9"/>
      <c r="W2767" s="9"/>
      <c r="X2767" s="9"/>
      <c r="Y2767" s="9"/>
      <c r="Z2767" s="9"/>
      <c r="AA2767" s="9"/>
      <c r="AB2767" s="9"/>
      <c r="AC2767" s="9"/>
      <c r="AD2767" s="9"/>
      <c r="AE2767" s="9"/>
      <c r="AF2767" s="9"/>
      <c r="AG2767" s="9"/>
      <c r="AH2767" s="9"/>
      <c r="AI2767" s="9"/>
      <c r="AJ2767" s="9"/>
      <c r="AK2767" s="9"/>
      <c r="AL2767" s="9"/>
      <c r="AM2767" s="9"/>
      <c r="AN2767" s="9"/>
      <c r="AO2767" s="9"/>
      <c r="AP2767" s="9"/>
      <c r="AQ2767" s="9"/>
      <c r="AR2767" s="9"/>
      <c r="AS2767" s="9"/>
      <c r="AT2767" s="9"/>
      <c r="AU2767" s="9"/>
    </row>
    <row r="2768" spans="1:47" ht="15.75" customHeight="1">
      <c r="A2768" s="9"/>
      <c r="B2768" s="9"/>
      <c r="C2768" s="9"/>
      <c r="D2768" s="9"/>
      <c r="E2768" s="9"/>
      <c r="F2768" s="67"/>
      <c r="G2768" s="9"/>
      <c r="H2768" s="9"/>
      <c r="I2768" s="9"/>
      <c r="J2768" s="9"/>
      <c r="K2768" s="9"/>
      <c r="L2768" s="9"/>
      <c r="M2768" s="9"/>
      <c r="N2768" s="9"/>
      <c r="O2768" s="9"/>
      <c r="P2768" s="9"/>
      <c r="Q2768" s="9"/>
      <c r="R2768" s="9"/>
      <c r="S2768" s="9"/>
      <c r="T2768" s="9"/>
      <c r="U2768" s="9"/>
      <c r="V2768" s="9"/>
      <c r="W2768" s="9"/>
      <c r="X2768" s="9"/>
      <c r="Y2768" s="9"/>
      <c r="Z2768" s="9"/>
      <c r="AA2768" s="9"/>
      <c r="AB2768" s="9"/>
      <c r="AC2768" s="9"/>
      <c r="AD2768" s="9"/>
      <c r="AE2768" s="9"/>
      <c r="AF2768" s="9"/>
      <c r="AG2768" s="9"/>
      <c r="AH2768" s="9"/>
      <c r="AI2768" s="9"/>
      <c r="AJ2768" s="9"/>
      <c r="AK2768" s="9"/>
      <c r="AL2768" s="9"/>
      <c r="AM2768" s="9"/>
      <c r="AN2768" s="9"/>
      <c r="AO2768" s="9"/>
      <c r="AP2768" s="9"/>
      <c r="AQ2768" s="9"/>
      <c r="AR2768" s="9"/>
      <c r="AS2768" s="9"/>
      <c r="AT2768" s="9"/>
      <c r="AU2768" s="9"/>
    </row>
    <row r="2769" spans="1:47" ht="15.75" customHeight="1">
      <c r="A2769" s="9"/>
      <c r="B2769" s="9"/>
      <c r="C2769" s="9"/>
      <c r="D2769" s="9"/>
      <c r="E2769" s="9"/>
      <c r="F2769" s="67"/>
      <c r="G2769" s="9"/>
      <c r="H2769" s="9"/>
      <c r="I2769" s="9"/>
      <c r="J2769" s="9"/>
      <c r="K2769" s="9"/>
      <c r="L2769" s="9"/>
      <c r="M2769" s="9"/>
      <c r="N2769" s="9"/>
      <c r="O2769" s="9"/>
      <c r="P2769" s="9"/>
      <c r="Q2769" s="9"/>
      <c r="R2769" s="9"/>
      <c r="S2769" s="9"/>
      <c r="T2769" s="9"/>
      <c r="U2769" s="9"/>
      <c r="V2769" s="9"/>
      <c r="W2769" s="9"/>
      <c r="X2769" s="9"/>
      <c r="Y2769" s="9"/>
      <c r="Z2769" s="9"/>
      <c r="AA2769" s="9"/>
      <c r="AB2769" s="9"/>
      <c r="AC2769" s="9"/>
      <c r="AD2769" s="9"/>
      <c r="AE2769" s="9"/>
      <c r="AF2769" s="9"/>
      <c r="AG2769" s="9"/>
      <c r="AH2769" s="9"/>
      <c r="AI2769" s="9"/>
      <c r="AJ2769" s="9"/>
      <c r="AK2769" s="9"/>
      <c r="AL2769" s="9"/>
      <c r="AM2769" s="9"/>
      <c r="AN2769" s="9"/>
      <c r="AO2769" s="9"/>
      <c r="AP2769" s="9"/>
      <c r="AQ2769" s="9"/>
      <c r="AR2769" s="9"/>
      <c r="AS2769" s="9"/>
      <c r="AT2769" s="9"/>
      <c r="AU2769" s="9"/>
    </row>
    <row r="2770" spans="1:47" ht="15.75" customHeight="1">
      <c r="A2770" s="9"/>
      <c r="B2770" s="9"/>
      <c r="C2770" s="9"/>
      <c r="D2770" s="9"/>
      <c r="E2770" s="9"/>
      <c r="F2770" s="67"/>
      <c r="G2770" s="9"/>
      <c r="H2770" s="9"/>
      <c r="I2770" s="9"/>
      <c r="J2770" s="9"/>
      <c r="K2770" s="9"/>
      <c r="L2770" s="9"/>
      <c r="M2770" s="9"/>
      <c r="N2770" s="9"/>
      <c r="O2770" s="9"/>
      <c r="P2770" s="9"/>
      <c r="Q2770" s="9"/>
      <c r="R2770" s="9"/>
      <c r="S2770" s="9"/>
      <c r="T2770" s="9"/>
      <c r="U2770" s="9"/>
      <c r="V2770" s="9"/>
      <c r="W2770" s="9"/>
      <c r="X2770" s="9"/>
      <c r="Y2770" s="9"/>
      <c r="Z2770" s="9"/>
      <c r="AA2770" s="9"/>
      <c r="AB2770" s="9"/>
      <c r="AC2770" s="9"/>
      <c r="AD2770" s="9"/>
      <c r="AE2770" s="9"/>
      <c r="AF2770" s="9"/>
      <c r="AG2770" s="9"/>
      <c r="AH2770" s="9"/>
      <c r="AI2770" s="9"/>
      <c r="AJ2770" s="9"/>
      <c r="AK2770" s="9"/>
      <c r="AL2770" s="9"/>
      <c r="AM2770" s="9"/>
      <c r="AN2770" s="9"/>
      <c r="AO2770" s="9"/>
      <c r="AP2770" s="9"/>
      <c r="AQ2770" s="9"/>
      <c r="AR2770" s="9"/>
      <c r="AS2770" s="9"/>
      <c r="AT2770" s="9"/>
      <c r="AU2770" s="9"/>
    </row>
    <row r="2771" spans="1:47" ht="15.75" customHeight="1">
      <c r="A2771" s="9"/>
      <c r="B2771" s="9"/>
      <c r="C2771" s="9"/>
      <c r="D2771" s="9"/>
      <c r="E2771" s="9"/>
      <c r="F2771" s="67"/>
      <c r="G2771" s="9"/>
      <c r="H2771" s="9"/>
      <c r="I2771" s="9"/>
      <c r="J2771" s="9"/>
      <c r="K2771" s="9"/>
      <c r="L2771" s="9"/>
      <c r="M2771" s="9"/>
      <c r="N2771" s="9"/>
      <c r="O2771" s="9"/>
      <c r="P2771" s="9"/>
      <c r="Q2771" s="9"/>
      <c r="R2771" s="9"/>
      <c r="S2771" s="9"/>
      <c r="T2771" s="9"/>
      <c r="U2771" s="9"/>
      <c r="V2771" s="9"/>
      <c r="W2771" s="9"/>
      <c r="X2771" s="9"/>
      <c r="Y2771" s="9"/>
      <c r="Z2771" s="9"/>
      <c r="AA2771" s="9"/>
      <c r="AB2771" s="9"/>
      <c r="AC2771" s="9"/>
      <c r="AD2771" s="9"/>
      <c r="AE2771" s="9"/>
      <c r="AF2771" s="9"/>
      <c r="AG2771" s="9"/>
      <c r="AH2771" s="9"/>
      <c r="AI2771" s="9"/>
      <c r="AJ2771" s="9"/>
      <c r="AK2771" s="9"/>
      <c r="AL2771" s="9"/>
      <c r="AM2771" s="9"/>
      <c r="AN2771" s="9"/>
      <c r="AO2771" s="9"/>
      <c r="AP2771" s="9"/>
      <c r="AQ2771" s="9"/>
      <c r="AR2771" s="9"/>
      <c r="AS2771" s="9"/>
      <c r="AT2771" s="9"/>
      <c r="AU2771" s="9"/>
    </row>
    <row r="2772" spans="1:47" ht="15.75" customHeight="1">
      <c r="A2772" s="9"/>
      <c r="B2772" s="9"/>
      <c r="C2772" s="9"/>
      <c r="D2772" s="9"/>
      <c r="E2772" s="9"/>
      <c r="F2772" s="67"/>
      <c r="G2772" s="9"/>
      <c r="H2772" s="9"/>
      <c r="I2772" s="9"/>
      <c r="J2772" s="9"/>
      <c r="K2772" s="9"/>
      <c r="L2772" s="9"/>
      <c r="M2772" s="9"/>
      <c r="N2772" s="9"/>
      <c r="O2772" s="9"/>
      <c r="P2772" s="9"/>
      <c r="Q2772" s="9"/>
      <c r="R2772" s="9"/>
      <c r="S2772" s="9"/>
      <c r="T2772" s="9"/>
      <c r="U2772" s="9"/>
      <c r="V2772" s="9"/>
      <c r="W2772" s="9"/>
      <c r="X2772" s="9"/>
      <c r="Y2772" s="9"/>
      <c r="Z2772" s="9"/>
      <c r="AA2772" s="9"/>
      <c r="AB2772" s="9"/>
      <c r="AC2772" s="9"/>
      <c r="AD2772" s="9"/>
      <c r="AE2772" s="9"/>
      <c r="AF2772" s="9"/>
      <c r="AG2772" s="9"/>
      <c r="AH2772" s="9"/>
      <c r="AI2772" s="9"/>
      <c r="AJ2772" s="9"/>
      <c r="AK2772" s="9"/>
      <c r="AL2772" s="9"/>
      <c r="AM2772" s="9"/>
      <c r="AN2772" s="9"/>
      <c r="AO2772" s="9"/>
      <c r="AP2772" s="9"/>
      <c r="AQ2772" s="9"/>
      <c r="AR2772" s="9"/>
      <c r="AS2772" s="9"/>
      <c r="AT2772" s="9"/>
      <c r="AU2772" s="9"/>
    </row>
    <row r="2773" spans="1:47" ht="15.75" customHeight="1">
      <c r="A2773" s="9"/>
      <c r="B2773" s="9"/>
      <c r="C2773" s="9"/>
      <c r="D2773" s="9"/>
      <c r="E2773" s="9"/>
      <c r="F2773" s="67"/>
      <c r="G2773" s="9"/>
      <c r="H2773" s="9"/>
      <c r="I2773" s="9"/>
      <c r="J2773" s="9"/>
      <c r="K2773" s="9"/>
      <c r="L2773" s="9"/>
      <c r="M2773" s="9"/>
      <c r="N2773" s="9"/>
      <c r="O2773" s="9"/>
      <c r="P2773" s="9"/>
      <c r="Q2773" s="9"/>
      <c r="R2773" s="9"/>
      <c r="S2773" s="9"/>
      <c r="T2773" s="9"/>
      <c r="U2773" s="9"/>
      <c r="V2773" s="9"/>
      <c r="W2773" s="9"/>
      <c r="X2773" s="9"/>
      <c r="Y2773" s="9"/>
      <c r="Z2773" s="9"/>
      <c r="AA2773" s="9"/>
      <c r="AB2773" s="9"/>
      <c r="AC2773" s="9"/>
      <c r="AD2773" s="9"/>
      <c r="AE2773" s="9"/>
      <c r="AF2773" s="9"/>
      <c r="AG2773" s="9"/>
      <c r="AH2773" s="9"/>
      <c r="AI2773" s="9"/>
      <c r="AJ2773" s="9"/>
      <c r="AK2773" s="9"/>
      <c r="AL2773" s="9"/>
      <c r="AM2773" s="9"/>
      <c r="AN2773" s="9"/>
      <c r="AO2773" s="9"/>
      <c r="AP2773" s="9"/>
      <c r="AQ2773" s="9"/>
      <c r="AR2773" s="9"/>
      <c r="AS2773" s="9"/>
      <c r="AT2773" s="9"/>
      <c r="AU2773" s="9"/>
    </row>
    <row r="2774" spans="1:47" ht="15.75" customHeight="1">
      <c r="A2774" s="9"/>
      <c r="B2774" s="9"/>
      <c r="C2774" s="9"/>
      <c r="D2774" s="9"/>
      <c r="E2774" s="9"/>
      <c r="F2774" s="67"/>
      <c r="G2774" s="9"/>
      <c r="H2774" s="9"/>
      <c r="I2774" s="9"/>
      <c r="J2774" s="9"/>
      <c r="K2774" s="9"/>
      <c r="L2774" s="9"/>
      <c r="M2774" s="9"/>
      <c r="N2774" s="9"/>
      <c r="O2774" s="9"/>
      <c r="P2774" s="9"/>
      <c r="Q2774" s="9"/>
      <c r="R2774" s="9"/>
      <c r="S2774" s="9"/>
      <c r="T2774" s="9"/>
      <c r="U2774" s="9"/>
      <c r="V2774" s="9"/>
      <c r="W2774" s="9"/>
      <c r="X2774" s="9"/>
      <c r="Y2774" s="9"/>
      <c r="Z2774" s="9"/>
      <c r="AA2774" s="9"/>
      <c r="AB2774" s="9"/>
      <c r="AC2774" s="9"/>
      <c r="AD2774" s="9"/>
      <c r="AE2774" s="9"/>
      <c r="AF2774" s="9"/>
      <c r="AG2774" s="9"/>
      <c r="AH2774" s="9"/>
      <c r="AI2774" s="9"/>
      <c r="AJ2774" s="9"/>
      <c r="AK2774" s="9"/>
      <c r="AL2774" s="9"/>
      <c r="AM2774" s="9"/>
      <c r="AN2774" s="9"/>
      <c r="AO2774" s="9"/>
      <c r="AP2774" s="9"/>
      <c r="AQ2774" s="9"/>
      <c r="AR2774" s="9"/>
      <c r="AS2774" s="9"/>
      <c r="AT2774" s="9"/>
      <c r="AU2774" s="9"/>
    </row>
    <row r="2775" spans="1:47" ht="15.75" customHeight="1">
      <c r="A2775" s="9"/>
      <c r="B2775" s="9"/>
      <c r="C2775" s="9"/>
      <c r="D2775" s="9"/>
      <c r="E2775" s="9"/>
      <c r="F2775" s="67"/>
      <c r="G2775" s="9"/>
      <c r="H2775" s="9"/>
      <c r="I2775" s="9"/>
      <c r="J2775" s="9"/>
      <c r="K2775" s="9"/>
      <c r="L2775" s="9"/>
      <c r="M2775" s="9"/>
      <c r="N2775" s="9"/>
      <c r="O2775" s="9"/>
      <c r="P2775" s="9"/>
      <c r="Q2775" s="9"/>
      <c r="R2775" s="9"/>
      <c r="S2775" s="9"/>
      <c r="T2775" s="9"/>
      <c r="U2775" s="9"/>
      <c r="V2775" s="9"/>
      <c r="W2775" s="9"/>
      <c r="X2775" s="9"/>
      <c r="Y2775" s="9"/>
      <c r="Z2775" s="9"/>
      <c r="AA2775" s="9"/>
      <c r="AB2775" s="9"/>
      <c r="AC2775" s="9"/>
      <c r="AD2775" s="9"/>
      <c r="AE2775" s="9"/>
      <c r="AF2775" s="9"/>
      <c r="AG2775" s="9"/>
      <c r="AH2775" s="9"/>
      <c r="AI2775" s="9"/>
      <c r="AJ2775" s="9"/>
      <c r="AK2775" s="9"/>
      <c r="AL2775" s="9"/>
      <c r="AM2775" s="9"/>
      <c r="AN2775" s="9"/>
      <c r="AO2775" s="9"/>
      <c r="AP2775" s="9"/>
      <c r="AQ2775" s="9"/>
      <c r="AR2775" s="9"/>
      <c r="AS2775" s="9"/>
      <c r="AT2775" s="9"/>
      <c r="AU2775" s="9"/>
    </row>
    <row r="2776" spans="1:47" ht="15.75" customHeight="1">
      <c r="A2776" s="9"/>
      <c r="B2776" s="9"/>
      <c r="C2776" s="9"/>
      <c r="D2776" s="9"/>
      <c r="E2776" s="9"/>
      <c r="F2776" s="67"/>
      <c r="G2776" s="9"/>
      <c r="H2776" s="9"/>
      <c r="I2776" s="9"/>
      <c r="J2776" s="9"/>
      <c r="K2776" s="9"/>
      <c r="L2776" s="9"/>
      <c r="M2776" s="9"/>
      <c r="N2776" s="9"/>
      <c r="O2776" s="9"/>
      <c r="P2776" s="9"/>
      <c r="Q2776" s="9"/>
      <c r="R2776" s="9"/>
      <c r="S2776" s="9"/>
      <c r="T2776" s="9"/>
      <c r="U2776" s="9"/>
      <c r="V2776" s="9"/>
      <c r="W2776" s="9"/>
      <c r="X2776" s="9"/>
      <c r="Y2776" s="9"/>
      <c r="Z2776" s="9"/>
      <c r="AA2776" s="9"/>
      <c r="AB2776" s="9"/>
      <c r="AC2776" s="9"/>
      <c r="AD2776" s="9"/>
      <c r="AE2776" s="9"/>
      <c r="AF2776" s="9"/>
      <c r="AG2776" s="9"/>
      <c r="AH2776" s="9"/>
      <c r="AI2776" s="9"/>
      <c r="AJ2776" s="9"/>
      <c r="AK2776" s="9"/>
      <c r="AL2776" s="9"/>
      <c r="AM2776" s="9"/>
      <c r="AN2776" s="9"/>
      <c r="AO2776" s="9"/>
      <c r="AP2776" s="9"/>
      <c r="AQ2776" s="9"/>
      <c r="AR2776" s="9"/>
      <c r="AS2776" s="9"/>
      <c r="AT2776" s="9"/>
      <c r="AU2776" s="9"/>
    </row>
    <row r="2777" spans="1:47" ht="15.75" customHeight="1">
      <c r="A2777" s="9"/>
      <c r="B2777" s="9"/>
      <c r="C2777" s="9"/>
      <c r="D2777" s="9"/>
      <c r="E2777" s="9"/>
      <c r="F2777" s="67"/>
      <c r="G2777" s="9"/>
      <c r="H2777" s="9"/>
      <c r="I2777" s="9"/>
      <c r="J2777" s="9"/>
      <c r="K2777" s="9"/>
      <c r="L2777" s="9"/>
      <c r="M2777" s="9"/>
      <c r="N2777" s="9"/>
      <c r="O2777" s="9"/>
      <c r="P2777" s="9"/>
      <c r="Q2777" s="9"/>
      <c r="R2777" s="9"/>
      <c r="S2777" s="9"/>
      <c r="T2777" s="9"/>
      <c r="U2777" s="9"/>
      <c r="V2777" s="9"/>
      <c r="W2777" s="9"/>
      <c r="X2777" s="9"/>
      <c r="Y2777" s="9"/>
      <c r="Z2777" s="9"/>
      <c r="AA2777" s="9"/>
      <c r="AB2777" s="9"/>
      <c r="AC2777" s="9"/>
      <c r="AD2777" s="9"/>
      <c r="AE2777" s="9"/>
      <c r="AF2777" s="9"/>
      <c r="AG2777" s="9"/>
      <c r="AH2777" s="9"/>
      <c r="AI2777" s="9"/>
      <c r="AJ2777" s="9"/>
      <c r="AK2777" s="9"/>
      <c r="AL2777" s="9"/>
      <c r="AM2777" s="9"/>
      <c r="AN2777" s="9"/>
      <c r="AO2777" s="9"/>
      <c r="AP2777" s="9"/>
      <c r="AQ2777" s="9"/>
      <c r="AR2777" s="9"/>
      <c r="AS2777" s="9"/>
      <c r="AT2777" s="9"/>
      <c r="AU2777" s="9"/>
    </row>
    <row r="2778" spans="1:47" ht="15.75" customHeight="1">
      <c r="A2778" s="9"/>
      <c r="B2778" s="9"/>
      <c r="C2778" s="9"/>
      <c r="D2778" s="9"/>
      <c r="E2778" s="9"/>
      <c r="F2778" s="67"/>
      <c r="G2778" s="9"/>
      <c r="H2778" s="9"/>
      <c r="I2778" s="9"/>
      <c r="J2778" s="9"/>
      <c r="K2778" s="9"/>
      <c r="L2778" s="9"/>
      <c r="M2778" s="9"/>
      <c r="N2778" s="9"/>
      <c r="O2778" s="9"/>
      <c r="P2778" s="9"/>
      <c r="Q2778" s="9"/>
      <c r="R2778" s="9"/>
      <c r="S2778" s="9"/>
      <c r="T2778" s="9"/>
      <c r="U2778" s="9"/>
      <c r="V2778" s="9"/>
      <c r="W2778" s="9"/>
      <c r="X2778" s="9"/>
      <c r="Y2778" s="9"/>
      <c r="Z2778" s="9"/>
      <c r="AA2778" s="9"/>
      <c r="AB2778" s="9"/>
      <c r="AC2778" s="9"/>
      <c r="AD2778" s="9"/>
      <c r="AE2778" s="9"/>
      <c r="AF2778" s="9"/>
      <c r="AG2778" s="9"/>
      <c r="AH2778" s="9"/>
      <c r="AI2778" s="9"/>
      <c r="AJ2778" s="9"/>
      <c r="AK2778" s="9"/>
      <c r="AL2778" s="9"/>
      <c r="AM2778" s="9"/>
      <c r="AN2778" s="9"/>
      <c r="AO2778" s="9"/>
      <c r="AP2778" s="9"/>
      <c r="AQ2778" s="9"/>
      <c r="AR2778" s="9"/>
      <c r="AS2778" s="9"/>
      <c r="AT2778" s="9"/>
      <c r="AU2778" s="9"/>
    </row>
    <row r="2779" spans="1:47" ht="15.75" customHeight="1">
      <c r="A2779" s="9"/>
      <c r="B2779" s="9"/>
      <c r="C2779" s="9"/>
      <c r="D2779" s="9"/>
      <c r="E2779" s="9"/>
      <c r="F2779" s="67"/>
      <c r="G2779" s="9"/>
      <c r="H2779" s="9"/>
      <c r="I2779" s="9"/>
      <c r="J2779" s="9"/>
      <c r="K2779" s="9"/>
      <c r="L2779" s="9"/>
      <c r="M2779" s="9"/>
      <c r="N2779" s="9"/>
      <c r="O2779" s="9"/>
      <c r="P2779" s="9"/>
      <c r="Q2779" s="9"/>
      <c r="R2779" s="9"/>
      <c r="S2779" s="9"/>
      <c r="T2779" s="9"/>
      <c r="U2779" s="9"/>
      <c r="V2779" s="9"/>
      <c r="W2779" s="9"/>
      <c r="X2779" s="9"/>
      <c r="Y2779" s="9"/>
      <c r="Z2779" s="9"/>
      <c r="AA2779" s="9"/>
      <c r="AB2779" s="9"/>
      <c r="AC2779" s="9"/>
      <c r="AD2779" s="9"/>
      <c r="AE2779" s="9"/>
      <c r="AF2779" s="9"/>
      <c r="AG2779" s="9"/>
      <c r="AH2779" s="9"/>
      <c r="AI2779" s="9"/>
      <c r="AJ2779" s="9"/>
      <c r="AK2779" s="9"/>
      <c r="AL2779" s="9"/>
      <c r="AM2779" s="9"/>
      <c r="AN2779" s="9"/>
      <c r="AO2779" s="9"/>
      <c r="AP2779" s="9"/>
      <c r="AQ2779" s="9"/>
      <c r="AR2779" s="9"/>
      <c r="AS2779" s="9"/>
      <c r="AT2779" s="9"/>
      <c r="AU2779" s="9"/>
    </row>
    <row r="2780" spans="1:47" ht="15.75" customHeight="1">
      <c r="A2780" s="9"/>
      <c r="B2780" s="9"/>
      <c r="C2780" s="9"/>
      <c r="D2780" s="9"/>
      <c r="E2780" s="9"/>
      <c r="F2780" s="67"/>
      <c r="G2780" s="9"/>
      <c r="H2780" s="9"/>
      <c r="I2780" s="9"/>
      <c r="J2780" s="9"/>
      <c r="K2780" s="9"/>
      <c r="L2780" s="9"/>
      <c r="M2780" s="9"/>
      <c r="N2780" s="9"/>
      <c r="O2780" s="9"/>
      <c r="P2780" s="9"/>
      <c r="Q2780" s="9"/>
      <c r="R2780" s="9"/>
      <c r="S2780" s="9"/>
      <c r="T2780" s="9"/>
      <c r="U2780" s="9"/>
      <c r="V2780" s="9"/>
      <c r="W2780" s="9"/>
      <c r="X2780" s="9"/>
      <c r="Y2780" s="9"/>
      <c r="Z2780" s="9"/>
      <c r="AA2780" s="9"/>
      <c r="AB2780" s="9"/>
      <c r="AC2780" s="9"/>
      <c r="AD2780" s="9"/>
      <c r="AE2780" s="9"/>
      <c r="AF2780" s="9"/>
      <c r="AG2780" s="9"/>
      <c r="AH2780" s="9"/>
      <c r="AI2780" s="9"/>
      <c r="AJ2780" s="9"/>
      <c r="AK2780" s="9"/>
      <c r="AL2780" s="9"/>
      <c r="AM2780" s="9"/>
      <c r="AN2780" s="9"/>
      <c r="AO2780" s="9"/>
      <c r="AP2780" s="9"/>
      <c r="AQ2780" s="9"/>
      <c r="AR2780" s="9"/>
      <c r="AS2780" s="9"/>
      <c r="AT2780" s="9"/>
      <c r="AU2780" s="9"/>
    </row>
    <row r="2781" spans="1:47" ht="15.75" customHeight="1">
      <c r="A2781" s="9"/>
      <c r="B2781" s="9"/>
      <c r="C2781" s="9"/>
      <c r="D2781" s="9"/>
      <c r="E2781" s="9"/>
      <c r="F2781" s="67"/>
      <c r="G2781" s="9"/>
      <c r="H2781" s="9"/>
      <c r="I2781" s="9"/>
      <c r="J2781" s="9"/>
      <c r="K2781" s="9"/>
      <c r="L2781" s="9"/>
      <c r="M2781" s="9"/>
      <c r="N2781" s="9"/>
      <c r="O2781" s="9"/>
      <c r="P2781" s="9"/>
      <c r="Q2781" s="9"/>
      <c r="R2781" s="9"/>
      <c r="S2781" s="9"/>
      <c r="T2781" s="9"/>
      <c r="U2781" s="9"/>
      <c r="V2781" s="9"/>
      <c r="W2781" s="9"/>
      <c r="X2781" s="9"/>
      <c r="Y2781" s="9"/>
      <c r="Z2781" s="9"/>
      <c r="AA2781" s="9"/>
      <c r="AB2781" s="9"/>
      <c r="AC2781" s="9"/>
      <c r="AD2781" s="9"/>
      <c r="AE2781" s="9"/>
      <c r="AF2781" s="9"/>
      <c r="AG2781" s="9"/>
      <c r="AH2781" s="9"/>
      <c r="AI2781" s="9"/>
      <c r="AJ2781" s="9"/>
      <c r="AK2781" s="9"/>
      <c r="AL2781" s="9"/>
      <c r="AM2781" s="9"/>
      <c r="AN2781" s="9"/>
      <c r="AO2781" s="9"/>
      <c r="AP2781" s="9"/>
      <c r="AQ2781" s="9"/>
      <c r="AR2781" s="9"/>
      <c r="AS2781" s="9"/>
      <c r="AT2781" s="9"/>
      <c r="AU2781" s="9"/>
    </row>
    <row r="2782" spans="1:47" ht="15.75" customHeight="1">
      <c r="A2782" s="9"/>
      <c r="B2782" s="9"/>
      <c r="C2782" s="9"/>
      <c r="D2782" s="9"/>
      <c r="E2782" s="9"/>
      <c r="F2782" s="67"/>
      <c r="G2782" s="9"/>
      <c r="H2782" s="9"/>
      <c r="I2782" s="9"/>
      <c r="J2782" s="9"/>
      <c r="K2782" s="9"/>
      <c r="L2782" s="9"/>
      <c r="M2782" s="9"/>
      <c r="N2782" s="9"/>
      <c r="O2782" s="9"/>
      <c r="P2782" s="9"/>
      <c r="Q2782" s="9"/>
      <c r="R2782" s="9"/>
      <c r="S2782" s="9"/>
      <c r="T2782" s="9"/>
      <c r="U2782" s="9"/>
      <c r="V2782" s="9"/>
      <c r="W2782" s="9"/>
      <c r="X2782" s="9"/>
      <c r="Y2782" s="9"/>
      <c r="Z2782" s="9"/>
      <c r="AA2782" s="9"/>
      <c r="AB2782" s="9"/>
      <c r="AC2782" s="9"/>
      <c r="AD2782" s="9"/>
      <c r="AE2782" s="9"/>
      <c r="AF2782" s="9"/>
      <c r="AG2782" s="9"/>
      <c r="AH2782" s="9"/>
      <c r="AI2782" s="9"/>
      <c r="AJ2782" s="9"/>
      <c r="AK2782" s="9"/>
      <c r="AL2782" s="9"/>
      <c r="AM2782" s="9"/>
      <c r="AN2782" s="9"/>
      <c r="AO2782" s="9"/>
      <c r="AP2782" s="9"/>
      <c r="AQ2782" s="9"/>
      <c r="AR2782" s="9"/>
      <c r="AS2782" s="9"/>
      <c r="AT2782" s="9"/>
      <c r="AU2782" s="9"/>
    </row>
    <row r="2783" spans="1:47" ht="15.75" customHeight="1">
      <c r="A2783" s="9"/>
      <c r="B2783" s="9"/>
      <c r="C2783" s="9"/>
      <c r="D2783" s="9"/>
      <c r="E2783" s="9"/>
      <c r="F2783" s="67"/>
      <c r="G2783" s="9"/>
      <c r="H2783" s="9"/>
      <c r="I2783" s="9"/>
      <c r="J2783" s="9"/>
      <c r="K2783" s="9"/>
      <c r="L2783" s="9"/>
      <c r="M2783" s="9"/>
      <c r="N2783" s="9"/>
      <c r="O2783" s="9"/>
      <c r="P2783" s="9"/>
      <c r="Q2783" s="9"/>
      <c r="R2783" s="9"/>
      <c r="S2783" s="9"/>
      <c r="T2783" s="9"/>
      <c r="U2783" s="9"/>
      <c r="V2783" s="9"/>
      <c r="W2783" s="9"/>
      <c r="X2783" s="9"/>
      <c r="Y2783" s="9"/>
      <c r="Z2783" s="9"/>
      <c r="AA2783" s="9"/>
      <c r="AB2783" s="9"/>
      <c r="AC2783" s="9"/>
      <c r="AD2783" s="9"/>
      <c r="AE2783" s="9"/>
      <c r="AF2783" s="9"/>
      <c r="AG2783" s="9"/>
      <c r="AH2783" s="9"/>
      <c r="AI2783" s="9"/>
      <c r="AJ2783" s="9"/>
      <c r="AK2783" s="9"/>
      <c r="AL2783" s="9"/>
      <c r="AM2783" s="9"/>
      <c r="AN2783" s="9"/>
      <c r="AO2783" s="9"/>
      <c r="AP2783" s="9"/>
      <c r="AQ2783" s="9"/>
      <c r="AR2783" s="9"/>
      <c r="AS2783" s="9"/>
      <c r="AT2783" s="9"/>
      <c r="AU2783" s="9"/>
    </row>
    <row r="2784" spans="1:47" ht="15.75" customHeight="1">
      <c r="A2784" s="9"/>
      <c r="B2784" s="9"/>
      <c r="C2784" s="9"/>
      <c r="D2784" s="9"/>
      <c r="E2784" s="9"/>
      <c r="F2784" s="67"/>
      <c r="G2784" s="9"/>
      <c r="H2784" s="9"/>
      <c r="I2784" s="9"/>
      <c r="J2784" s="9"/>
      <c r="K2784" s="9"/>
      <c r="L2784" s="9"/>
      <c r="M2784" s="9"/>
      <c r="N2784" s="9"/>
      <c r="O2784" s="9"/>
      <c r="P2784" s="9"/>
      <c r="Q2784" s="9"/>
      <c r="R2784" s="9"/>
      <c r="S2784" s="9"/>
      <c r="T2784" s="9"/>
      <c r="U2784" s="9"/>
      <c r="V2784" s="9"/>
      <c r="W2784" s="9"/>
      <c r="X2784" s="9"/>
      <c r="Y2784" s="9"/>
      <c r="Z2784" s="9"/>
      <c r="AA2784" s="9"/>
      <c r="AB2784" s="9"/>
      <c r="AC2784" s="9"/>
      <c r="AD2784" s="9"/>
      <c r="AE2784" s="9"/>
      <c r="AF2784" s="9"/>
      <c r="AG2784" s="9"/>
      <c r="AH2784" s="9"/>
      <c r="AI2784" s="9"/>
      <c r="AJ2784" s="9"/>
      <c r="AK2784" s="9"/>
      <c r="AL2784" s="9"/>
      <c r="AM2784" s="9"/>
      <c r="AN2784" s="9"/>
      <c r="AO2784" s="9"/>
      <c r="AP2784" s="9"/>
      <c r="AQ2784" s="9"/>
      <c r="AR2784" s="9"/>
      <c r="AS2784" s="9"/>
      <c r="AT2784" s="9"/>
      <c r="AU2784" s="9"/>
    </row>
    <row r="2785" spans="1:47" ht="15.75" customHeight="1">
      <c r="A2785" s="9"/>
      <c r="B2785" s="9"/>
      <c r="C2785" s="9"/>
      <c r="D2785" s="9"/>
      <c r="E2785" s="9"/>
      <c r="F2785" s="67"/>
      <c r="G2785" s="9"/>
      <c r="H2785" s="9"/>
      <c r="I2785" s="9"/>
      <c r="J2785" s="9"/>
      <c r="K2785" s="9"/>
      <c r="L2785" s="9"/>
      <c r="M2785" s="9"/>
      <c r="N2785" s="9"/>
      <c r="O2785" s="9"/>
      <c r="P2785" s="9"/>
      <c r="Q2785" s="9"/>
      <c r="R2785" s="9"/>
      <c r="S2785" s="9"/>
      <c r="T2785" s="9"/>
      <c r="U2785" s="9"/>
      <c r="V2785" s="9"/>
      <c r="W2785" s="9"/>
      <c r="X2785" s="9"/>
      <c r="Y2785" s="9"/>
      <c r="Z2785" s="9"/>
      <c r="AA2785" s="9"/>
      <c r="AB2785" s="9"/>
      <c r="AC2785" s="9"/>
      <c r="AD2785" s="9"/>
      <c r="AE2785" s="9"/>
      <c r="AF2785" s="9"/>
      <c r="AG2785" s="9"/>
      <c r="AH2785" s="9"/>
      <c r="AI2785" s="9"/>
      <c r="AJ2785" s="9"/>
      <c r="AK2785" s="9"/>
      <c r="AL2785" s="9"/>
      <c r="AM2785" s="9"/>
      <c r="AN2785" s="9"/>
      <c r="AO2785" s="9"/>
      <c r="AP2785" s="9"/>
      <c r="AQ2785" s="9"/>
      <c r="AR2785" s="9"/>
      <c r="AS2785" s="9"/>
      <c r="AT2785" s="9"/>
      <c r="AU2785" s="9"/>
    </row>
    <row r="2786" spans="1:47" ht="15.75" customHeight="1">
      <c r="A2786" s="9"/>
      <c r="B2786" s="9"/>
      <c r="C2786" s="9"/>
      <c r="D2786" s="9"/>
      <c r="E2786" s="9"/>
      <c r="F2786" s="67"/>
      <c r="G2786" s="9"/>
      <c r="H2786" s="9"/>
      <c r="I2786" s="9"/>
      <c r="J2786" s="9"/>
      <c r="K2786" s="9"/>
      <c r="L2786" s="9"/>
      <c r="M2786" s="9"/>
      <c r="N2786" s="9"/>
      <c r="O2786" s="9"/>
      <c r="P2786" s="9"/>
      <c r="Q2786" s="9"/>
      <c r="R2786" s="9"/>
      <c r="S2786" s="9"/>
      <c r="T2786" s="9"/>
      <c r="U2786" s="9"/>
      <c r="V2786" s="9"/>
      <c r="W2786" s="9"/>
      <c r="X2786" s="9"/>
      <c r="Y2786" s="9"/>
      <c r="Z2786" s="9"/>
      <c r="AA2786" s="9"/>
      <c r="AB2786" s="9"/>
      <c r="AC2786" s="9"/>
      <c r="AD2786" s="9"/>
      <c r="AE2786" s="9"/>
      <c r="AF2786" s="9"/>
      <c r="AG2786" s="9"/>
      <c r="AH2786" s="9"/>
      <c r="AI2786" s="9"/>
      <c r="AJ2786" s="9"/>
      <c r="AK2786" s="9"/>
      <c r="AL2786" s="9"/>
      <c r="AM2786" s="9"/>
      <c r="AN2786" s="9"/>
      <c r="AO2786" s="9"/>
      <c r="AP2786" s="9"/>
      <c r="AQ2786" s="9"/>
      <c r="AR2786" s="9"/>
      <c r="AS2786" s="9"/>
      <c r="AT2786" s="9"/>
      <c r="AU2786" s="9"/>
    </row>
    <row r="2787" spans="1:47" ht="15.75" customHeight="1">
      <c r="A2787" s="9"/>
      <c r="B2787" s="9"/>
      <c r="C2787" s="9"/>
      <c r="D2787" s="9"/>
      <c r="E2787" s="9"/>
      <c r="F2787" s="67"/>
      <c r="G2787" s="9"/>
      <c r="H2787" s="9"/>
      <c r="I2787" s="9"/>
      <c r="J2787" s="9"/>
      <c r="K2787" s="9"/>
      <c r="L2787" s="9"/>
      <c r="M2787" s="9"/>
      <c r="N2787" s="9"/>
      <c r="O2787" s="9"/>
      <c r="P2787" s="9"/>
      <c r="Q2787" s="9"/>
      <c r="R2787" s="9"/>
      <c r="S2787" s="9"/>
      <c r="T2787" s="9"/>
      <c r="U2787" s="9"/>
      <c r="V2787" s="9"/>
      <c r="W2787" s="9"/>
      <c r="X2787" s="9"/>
      <c r="Y2787" s="9"/>
      <c r="Z2787" s="9"/>
      <c r="AA2787" s="9"/>
      <c r="AB2787" s="9"/>
      <c r="AC2787" s="9"/>
      <c r="AD2787" s="9"/>
      <c r="AE2787" s="9"/>
      <c r="AF2787" s="9"/>
      <c r="AG2787" s="9"/>
      <c r="AH2787" s="9"/>
      <c r="AI2787" s="9"/>
      <c r="AJ2787" s="9"/>
      <c r="AK2787" s="9"/>
      <c r="AL2787" s="9"/>
      <c r="AM2787" s="9"/>
      <c r="AN2787" s="9"/>
      <c r="AO2787" s="9"/>
      <c r="AP2787" s="9"/>
      <c r="AQ2787" s="9"/>
      <c r="AR2787" s="9"/>
      <c r="AS2787" s="9"/>
      <c r="AT2787" s="9"/>
      <c r="AU2787" s="9"/>
    </row>
    <row r="2788" spans="1:47" ht="15.75" customHeight="1">
      <c r="A2788" s="9"/>
      <c r="B2788" s="9"/>
      <c r="C2788" s="9"/>
      <c r="D2788" s="9"/>
      <c r="E2788" s="9"/>
      <c r="F2788" s="67"/>
      <c r="G2788" s="9"/>
      <c r="H2788" s="9"/>
      <c r="I2788" s="9"/>
      <c r="J2788" s="9"/>
      <c r="K2788" s="9"/>
      <c r="L2788" s="9"/>
      <c r="M2788" s="9"/>
      <c r="N2788" s="9"/>
      <c r="O2788" s="9"/>
      <c r="P2788" s="9"/>
      <c r="Q2788" s="9"/>
      <c r="R2788" s="9"/>
      <c r="S2788" s="9"/>
      <c r="T2788" s="9"/>
      <c r="U2788" s="9"/>
      <c r="V2788" s="9"/>
      <c r="W2788" s="9"/>
      <c r="X2788" s="9"/>
      <c r="Y2788" s="9"/>
      <c r="Z2788" s="9"/>
      <c r="AA2788" s="9"/>
      <c r="AB2788" s="9"/>
      <c r="AC2788" s="9"/>
      <c r="AD2788" s="9"/>
      <c r="AE2788" s="9"/>
      <c r="AF2788" s="9"/>
      <c r="AG2788" s="9"/>
      <c r="AH2788" s="9"/>
      <c r="AI2788" s="9"/>
      <c r="AJ2788" s="9"/>
      <c r="AK2788" s="9"/>
      <c r="AL2788" s="9"/>
      <c r="AM2788" s="9"/>
      <c r="AN2788" s="9"/>
      <c r="AO2788" s="9"/>
      <c r="AP2788" s="9"/>
      <c r="AQ2788" s="9"/>
      <c r="AR2788" s="9"/>
      <c r="AS2788" s="9"/>
      <c r="AT2788" s="9"/>
      <c r="AU2788" s="9"/>
    </row>
    <row r="2789" spans="1:47" ht="15.75" customHeight="1">
      <c r="A2789" s="9"/>
      <c r="B2789" s="9"/>
      <c r="C2789" s="9"/>
      <c r="D2789" s="9"/>
      <c r="E2789" s="9"/>
      <c r="F2789" s="67"/>
      <c r="G2789" s="9"/>
      <c r="H2789" s="9"/>
      <c r="I2789" s="9"/>
      <c r="J2789" s="9"/>
      <c r="K2789" s="9"/>
      <c r="L2789" s="9"/>
      <c r="M2789" s="9"/>
      <c r="N2789" s="9"/>
      <c r="O2789" s="9"/>
      <c r="P2789" s="9"/>
      <c r="Q2789" s="9"/>
      <c r="R2789" s="9"/>
      <c r="S2789" s="9"/>
      <c r="T2789" s="9"/>
      <c r="U2789" s="9"/>
      <c r="V2789" s="9"/>
      <c r="W2789" s="9"/>
      <c r="X2789" s="9"/>
      <c r="Y2789" s="9"/>
      <c r="Z2789" s="9"/>
      <c r="AA2789" s="9"/>
      <c r="AB2789" s="9"/>
      <c r="AC2789" s="9"/>
      <c r="AD2789" s="9"/>
      <c r="AE2789" s="9"/>
      <c r="AF2789" s="9"/>
      <c r="AG2789" s="9"/>
      <c r="AH2789" s="9"/>
      <c r="AI2789" s="9"/>
      <c r="AJ2789" s="9"/>
      <c r="AK2789" s="9"/>
      <c r="AL2789" s="9"/>
      <c r="AM2789" s="9"/>
      <c r="AN2789" s="9"/>
      <c r="AO2789" s="9"/>
      <c r="AP2789" s="9"/>
      <c r="AQ2789" s="9"/>
      <c r="AR2789" s="9"/>
      <c r="AS2789" s="9"/>
      <c r="AT2789" s="9"/>
      <c r="AU2789" s="9"/>
    </row>
    <row r="2790" spans="1:47" ht="15.75" customHeight="1">
      <c r="A2790" s="9"/>
      <c r="B2790" s="9"/>
      <c r="C2790" s="9"/>
      <c r="D2790" s="9"/>
      <c r="E2790" s="9"/>
      <c r="F2790" s="67"/>
      <c r="G2790" s="9"/>
      <c r="H2790" s="9"/>
      <c r="I2790" s="9"/>
      <c r="J2790" s="9"/>
      <c r="K2790" s="9"/>
      <c r="L2790" s="9"/>
      <c r="M2790" s="9"/>
      <c r="N2790" s="9"/>
      <c r="O2790" s="9"/>
      <c r="P2790" s="9"/>
      <c r="Q2790" s="9"/>
      <c r="R2790" s="9"/>
      <c r="S2790" s="9"/>
      <c r="T2790" s="9"/>
      <c r="U2790" s="9"/>
      <c r="V2790" s="9"/>
      <c r="W2790" s="9"/>
      <c r="X2790" s="9"/>
      <c r="Y2790" s="9"/>
      <c r="Z2790" s="9"/>
      <c r="AA2790" s="9"/>
      <c r="AB2790" s="9"/>
      <c r="AC2790" s="9"/>
      <c r="AD2790" s="9"/>
      <c r="AE2790" s="9"/>
      <c r="AF2790" s="9"/>
      <c r="AG2790" s="9"/>
      <c r="AH2790" s="9"/>
      <c r="AI2790" s="9"/>
      <c r="AJ2790" s="9"/>
      <c r="AK2790" s="9"/>
      <c r="AL2790" s="9"/>
      <c r="AM2790" s="9"/>
      <c r="AN2790" s="9"/>
      <c r="AO2790" s="9"/>
      <c r="AP2790" s="9"/>
      <c r="AQ2790" s="9"/>
      <c r="AR2790" s="9"/>
      <c r="AS2790" s="9"/>
      <c r="AT2790" s="9"/>
      <c r="AU2790" s="9"/>
    </row>
    <row r="2791" spans="1:47" ht="15.75" customHeight="1">
      <c r="A2791" s="9"/>
      <c r="B2791" s="9"/>
      <c r="C2791" s="9"/>
      <c r="D2791" s="9"/>
      <c r="E2791" s="9"/>
      <c r="F2791" s="67"/>
      <c r="G2791" s="9"/>
      <c r="H2791" s="9"/>
      <c r="I2791" s="9"/>
      <c r="J2791" s="9"/>
      <c r="K2791" s="9"/>
      <c r="L2791" s="9"/>
      <c r="M2791" s="9"/>
      <c r="N2791" s="9"/>
      <c r="O2791" s="9"/>
      <c r="P2791" s="9"/>
      <c r="Q2791" s="9"/>
      <c r="R2791" s="9"/>
      <c r="S2791" s="9"/>
      <c r="T2791" s="9"/>
      <c r="U2791" s="9"/>
      <c r="V2791" s="9"/>
      <c r="W2791" s="9"/>
      <c r="X2791" s="9"/>
      <c r="Y2791" s="9"/>
      <c r="Z2791" s="9"/>
      <c r="AA2791" s="9"/>
      <c r="AB2791" s="9"/>
      <c r="AC2791" s="9"/>
      <c r="AD2791" s="9"/>
      <c r="AE2791" s="9"/>
      <c r="AF2791" s="9"/>
      <c r="AG2791" s="9"/>
      <c r="AH2791" s="9"/>
      <c r="AI2791" s="9"/>
      <c r="AJ2791" s="9"/>
      <c r="AK2791" s="9"/>
      <c r="AL2791" s="9"/>
      <c r="AM2791" s="9"/>
      <c r="AN2791" s="9"/>
      <c r="AO2791" s="9"/>
      <c r="AP2791" s="9"/>
      <c r="AQ2791" s="9"/>
      <c r="AR2791" s="9"/>
      <c r="AS2791" s="9"/>
      <c r="AT2791" s="9"/>
      <c r="AU2791" s="9"/>
    </row>
    <row r="2792" spans="1:47" ht="15.75" customHeight="1">
      <c r="A2792" s="9"/>
      <c r="B2792" s="9"/>
      <c r="C2792" s="9"/>
      <c r="D2792" s="9"/>
      <c r="E2792" s="9"/>
      <c r="F2792" s="67"/>
      <c r="G2792" s="9"/>
      <c r="H2792" s="9"/>
      <c r="I2792" s="9"/>
      <c r="J2792" s="9"/>
      <c r="K2792" s="9"/>
      <c r="L2792" s="9"/>
      <c r="M2792" s="9"/>
      <c r="N2792" s="9"/>
      <c r="O2792" s="9"/>
      <c r="P2792" s="9"/>
      <c r="Q2792" s="9"/>
      <c r="R2792" s="9"/>
      <c r="S2792" s="9"/>
      <c r="T2792" s="9"/>
      <c r="U2792" s="9"/>
      <c r="V2792" s="9"/>
      <c r="W2792" s="9"/>
      <c r="X2792" s="9"/>
      <c r="Y2792" s="9"/>
      <c r="Z2792" s="9"/>
      <c r="AA2792" s="9"/>
      <c r="AB2792" s="9"/>
      <c r="AC2792" s="9"/>
      <c r="AD2792" s="9"/>
      <c r="AE2792" s="9"/>
      <c r="AF2792" s="9"/>
      <c r="AG2792" s="9"/>
      <c r="AH2792" s="9"/>
      <c r="AI2792" s="9"/>
      <c r="AJ2792" s="9"/>
      <c r="AK2792" s="9"/>
      <c r="AL2792" s="9"/>
      <c r="AM2792" s="9"/>
      <c r="AN2792" s="9"/>
      <c r="AO2792" s="9"/>
      <c r="AP2792" s="9"/>
      <c r="AQ2792" s="9"/>
      <c r="AR2792" s="9"/>
      <c r="AS2792" s="9"/>
      <c r="AT2792" s="9"/>
      <c r="AU2792" s="9"/>
    </row>
    <row r="2793" spans="1:47" ht="15.75" customHeight="1">
      <c r="A2793" s="9"/>
      <c r="B2793" s="9"/>
      <c r="C2793" s="9"/>
      <c r="D2793" s="9"/>
      <c r="E2793" s="9"/>
      <c r="F2793" s="67"/>
      <c r="G2793" s="9"/>
      <c r="H2793" s="9"/>
      <c r="I2793" s="9"/>
      <c r="J2793" s="9"/>
      <c r="K2793" s="9"/>
      <c r="L2793" s="9"/>
      <c r="M2793" s="9"/>
      <c r="N2793" s="9"/>
      <c r="O2793" s="9"/>
      <c r="P2793" s="9"/>
      <c r="Q2793" s="9"/>
      <c r="R2793" s="9"/>
      <c r="S2793" s="9"/>
      <c r="T2793" s="9"/>
      <c r="U2793" s="9"/>
      <c r="V2793" s="9"/>
      <c r="W2793" s="9"/>
      <c r="X2793" s="9"/>
      <c r="Y2793" s="9"/>
      <c r="Z2793" s="9"/>
      <c r="AA2793" s="9"/>
      <c r="AB2793" s="9"/>
      <c r="AC2793" s="9"/>
      <c r="AD2793" s="9"/>
      <c r="AE2793" s="9"/>
      <c r="AF2793" s="9"/>
      <c r="AG2793" s="9"/>
      <c r="AH2793" s="9"/>
      <c r="AI2793" s="9"/>
      <c r="AJ2793" s="9"/>
      <c r="AK2793" s="9"/>
      <c r="AL2793" s="9"/>
      <c r="AM2793" s="9"/>
      <c r="AN2793" s="9"/>
      <c r="AO2793" s="9"/>
      <c r="AP2793" s="9"/>
      <c r="AQ2793" s="9"/>
      <c r="AR2793" s="9"/>
      <c r="AS2793" s="9"/>
      <c r="AT2793" s="9"/>
      <c r="AU2793" s="9"/>
    </row>
    <row r="2794" spans="1:47" ht="15.75" customHeight="1">
      <c r="A2794" s="9"/>
      <c r="B2794" s="9"/>
      <c r="C2794" s="9"/>
      <c r="D2794" s="9"/>
      <c r="E2794" s="9"/>
      <c r="F2794" s="67"/>
      <c r="G2794" s="9"/>
      <c r="H2794" s="9"/>
      <c r="I2794" s="9"/>
      <c r="J2794" s="9"/>
      <c r="K2794" s="9"/>
      <c r="L2794" s="9"/>
      <c r="M2794" s="9"/>
      <c r="N2794" s="9"/>
      <c r="O2794" s="9"/>
      <c r="P2794" s="9"/>
      <c r="Q2794" s="9"/>
      <c r="R2794" s="9"/>
      <c r="S2794" s="9"/>
      <c r="T2794" s="9"/>
      <c r="U2794" s="9"/>
      <c r="V2794" s="9"/>
      <c r="W2794" s="9"/>
      <c r="X2794" s="9"/>
      <c r="Y2794" s="9"/>
      <c r="Z2794" s="9"/>
      <c r="AA2794" s="9"/>
      <c r="AB2794" s="9"/>
      <c r="AC2794" s="9"/>
      <c r="AD2794" s="9"/>
      <c r="AE2794" s="9"/>
      <c r="AF2794" s="9"/>
      <c r="AG2794" s="9"/>
      <c r="AH2794" s="9"/>
      <c r="AI2794" s="9"/>
      <c r="AJ2794" s="9"/>
      <c r="AK2794" s="9"/>
      <c r="AL2794" s="9"/>
      <c r="AM2794" s="9"/>
      <c r="AN2794" s="9"/>
      <c r="AO2794" s="9"/>
      <c r="AP2794" s="9"/>
      <c r="AQ2794" s="9"/>
      <c r="AR2794" s="9"/>
      <c r="AS2794" s="9"/>
      <c r="AT2794" s="9"/>
      <c r="AU2794" s="9"/>
    </row>
    <row r="2795" spans="1:47" ht="15.75" customHeight="1">
      <c r="A2795" s="9"/>
      <c r="B2795" s="9"/>
      <c r="C2795" s="9"/>
      <c r="D2795" s="9"/>
      <c r="E2795" s="9"/>
      <c r="F2795" s="67"/>
      <c r="G2795" s="9"/>
      <c r="H2795" s="9"/>
      <c r="I2795" s="9"/>
      <c r="J2795" s="9"/>
      <c r="K2795" s="9"/>
      <c r="L2795" s="9"/>
      <c r="M2795" s="9"/>
      <c r="N2795" s="9"/>
      <c r="O2795" s="9"/>
      <c r="P2795" s="9"/>
      <c r="Q2795" s="9"/>
      <c r="R2795" s="9"/>
      <c r="S2795" s="9"/>
      <c r="T2795" s="9"/>
      <c r="U2795" s="9"/>
      <c r="V2795" s="9"/>
      <c r="W2795" s="9"/>
      <c r="X2795" s="9"/>
      <c r="Y2795" s="9"/>
      <c r="Z2795" s="9"/>
      <c r="AA2795" s="9"/>
      <c r="AB2795" s="9"/>
      <c r="AC2795" s="9"/>
      <c r="AD2795" s="9"/>
      <c r="AE2795" s="9"/>
      <c r="AF2795" s="9"/>
      <c r="AG2795" s="9"/>
      <c r="AH2795" s="9"/>
      <c r="AI2795" s="9"/>
      <c r="AJ2795" s="9"/>
      <c r="AK2795" s="9"/>
      <c r="AL2795" s="9"/>
      <c r="AM2795" s="9"/>
      <c r="AN2795" s="9"/>
      <c r="AO2795" s="9"/>
      <c r="AP2795" s="9"/>
      <c r="AQ2795" s="9"/>
      <c r="AR2795" s="9"/>
      <c r="AS2795" s="9"/>
      <c r="AT2795" s="9"/>
      <c r="AU2795" s="9"/>
    </row>
    <row r="2796" spans="1:47" ht="15.75" customHeight="1">
      <c r="A2796" s="9"/>
      <c r="B2796" s="9"/>
      <c r="C2796" s="9"/>
      <c r="D2796" s="9"/>
      <c r="E2796" s="9"/>
      <c r="F2796" s="67"/>
      <c r="G2796" s="9"/>
      <c r="H2796" s="9"/>
      <c r="I2796" s="9"/>
      <c r="J2796" s="9"/>
      <c r="K2796" s="9"/>
      <c r="L2796" s="9"/>
      <c r="M2796" s="9"/>
      <c r="N2796" s="9"/>
      <c r="O2796" s="9"/>
      <c r="P2796" s="9"/>
      <c r="Q2796" s="9"/>
      <c r="R2796" s="9"/>
      <c r="S2796" s="9"/>
      <c r="T2796" s="9"/>
      <c r="U2796" s="9"/>
      <c r="V2796" s="9"/>
      <c r="W2796" s="9"/>
      <c r="X2796" s="9"/>
      <c r="Y2796" s="9"/>
      <c r="Z2796" s="9"/>
      <c r="AA2796" s="9"/>
      <c r="AB2796" s="9"/>
      <c r="AC2796" s="9"/>
      <c r="AD2796" s="9"/>
      <c r="AE2796" s="9"/>
      <c r="AF2796" s="9"/>
      <c r="AG2796" s="9"/>
      <c r="AH2796" s="9"/>
      <c r="AI2796" s="9"/>
      <c r="AJ2796" s="9"/>
      <c r="AK2796" s="9"/>
      <c r="AL2796" s="9"/>
      <c r="AM2796" s="9"/>
      <c r="AN2796" s="9"/>
      <c r="AO2796" s="9"/>
      <c r="AP2796" s="9"/>
      <c r="AQ2796" s="9"/>
      <c r="AR2796" s="9"/>
      <c r="AS2796" s="9"/>
      <c r="AT2796" s="9"/>
      <c r="AU2796" s="9"/>
    </row>
    <row r="2797" spans="1:47" ht="15.75" customHeight="1">
      <c r="A2797" s="9"/>
      <c r="B2797" s="9"/>
      <c r="C2797" s="9"/>
      <c r="D2797" s="9"/>
      <c r="E2797" s="9"/>
      <c r="F2797" s="67"/>
      <c r="G2797" s="9"/>
      <c r="H2797" s="9"/>
      <c r="I2797" s="9"/>
      <c r="J2797" s="9"/>
      <c r="K2797" s="9"/>
      <c r="L2797" s="9"/>
      <c r="M2797" s="9"/>
      <c r="N2797" s="9"/>
      <c r="O2797" s="9"/>
      <c r="P2797" s="9"/>
      <c r="Q2797" s="9"/>
      <c r="R2797" s="9"/>
      <c r="S2797" s="9"/>
      <c r="T2797" s="9"/>
      <c r="U2797" s="9"/>
      <c r="V2797" s="9"/>
      <c r="W2797" s="9"/>
      <c r="X2797" s="9"/>
      <c r="Y2797" s="9"/>
      <c r="Z2797" s="9"/>
      <c r="AA2797" s="9"/>
      <c r="AB2797" s="9"/>
      <c r="AC2797" s="9"/>
      <c r="AD2797" s="9"/>
      <c r="AE2797" s="9"/>
      <c r="AF2797" s="9"/>
      <c r="AG2797" s="9"/>
      <c r="AH2797" s="9"/>
      <c r="AI2797" s="9"/>
      <c r="AJ2797" s="9"/>
      <c r="AK2797" s="9"/>
      <c r="AL2797" s="9"/>
      <c r="AM2797" s="9"/>
      <c r="AN2797" s="9"/>
      <c r="AO2797" s="9"/>
      <c r="AP2797" s="9"/>
      <c r="AQ2797" s="9"/>
      <c r="AR2797" s="9"/>
      <c r="AS2797" s="9"/>
      <c r="AT2797" s="9"/>
      <c r="AU2797" s="9"/>
    </row>
    <row r="2798" spans="1:47" ht="15.75" customHeight="1">
      <c r="A2798" s="9"/>
      <c r="B2798" s="9"/>
      <c r="C2798" s="9"/>
      <c r="D2798" s="9"/>
      <c r="E2798" s="9"/>
      <c r="F2798" s="67"/>
      <c r="G2798" s="9"/>
      <c r="H2798" s="9"/>
      <c r="I2798" s="9"/>
      <c r="J2798" s="9"/>
      <c r="K2798" s="9"/>
      <c r="L2798" s="9"/>
      <c r="M2798" s="9"/>
      <c r="N2798" s="9"/>
      <c r="O2798" s="9"/>
      <c r="P2798" s="9"/>
      <c r="Q2798" s="9"/>
      <c r="R2798" s="9"/>
      <c r="S2798" s="9"/>
      <c r="T2798" s="9"/>
      <c r="U2798" s="9"/>
      <c r="V2798" s="9"/>
      <c r="W2798" s="9"/>
      <c r="X2798" s="9"/>
      <c r="Y2798" s="9"/>
      <c r="Z2798" s="9"/>
      <c r="AA2798" s="9"/>
      <c r="AB2798" s="9"/>
      <c r="AC2798" s="9"/>
      <c r="AD2798" s="9"/>
      <c r="AE2798" s="9"/>
      <c r="AF2798" s="9"/>
      <c r="AG2798" s="9"/>
      <c r="AH2798" s="9"/>
      <c r="AI2798" s="9"/>
      <c r="AJ2798" s="9"/>
      <c r="AK2798" s="9"/>
      <c r="AL2798" s="9"/>
      <c r="AM2798" s="9"/>
      <c r="AN2798" s="9"/>
      <c r="AO2798" s="9"/>
      <c r="AP2798" s="9"/>
      <c r="AQ2798" s="9"/>
      <c r="AR2798" s="9"/>
      <c r="AS2798" s="9"/>
      <c r="AT2798" s="9"/>
      <c r="AU2798" s="9"/>
    </row>
    <row r="2799" spans="1:47" ht="15.75" customHeight="1">
      <c r="A2799" s="9"/>
      <c r="B2799" s="9"/>
      <c r="C2799" s="9"/>
      <c r="D2799" s="9"/>
      <c r="E2799" s="9"/>
      <c r="F2799" s="67"/>
      <c r="G2799" s="9"/>
      <c r="H2799" s="9"/>
      <c r="I2799" s="9"/>
      <c r="J2799" s="9"/>
      <c r="K2799" s="9"/>
      <c r="L2799" s="9"/>
      <c r="M2799" s="9"/>
      <c r="N2799" s="9"/>
      <c r="O2799" s="9"/>
      <c r="P2799" s="9"/>
      <c r="Q2799" s="9"/>
      <c r="R2799" s="9"/>
      <c r="S2799" s="9"/>
      <c r="T2799" s="9"/>
      <c r="U2799" s="9"/>
      <c r="V2799" s="9"/>
      <c r="W2799" s="9"/>
      <c r="X2799" s="9"/>
      <c r="Y2799" s="9"/>
      <c r="Z2799" s="9"/>
      <c r="AA2799" s="9"/>
      <c r="AB2799" s="9"/>
      <c r="AC2799" s="9"/>
      <c r="AD2799" s="9"/>
      <c r="AE2799" s="9"/>
      <c r="AF2799" s="9"/>
      <c r="AG2799" s="9"/>
      <c r="AH2799" s="9"/>
      <c r="AI2799" s="9"/>
      <c r="AJ2799" s="9"/>
      <c r="AK2799" s="9"/>
      <c r="AL2799" s="9"/>
      <c r="AM2799" s="9"/>
      <c r="AN2799" s="9"/>
      <c r="AO2799" s="9"/>
      <c r="AP2799" s="9"/>
      <c r="AQ2799" s="9"/>
      <c r="AR2799" s="9"/>
      <c r="AS2799" s="9"/>
      <c r="AT2799" s="9"/>
      <c r="AU2799" s="9"/>
    </row>
    <row r="2800" spans="1:47" ht="15.75" customHeight="1">
      <c r="A2800" s="9"/>
      <c r="B2800" s="9"/>
      <c r="C2800" s="9"/>
      <c r="D2800" s="9"/>
      <c r="E2800" s="9"/>
      <c r="F2800" s="67"/>
      <c r="G2800" s="9"/>
      <c r="H2800" s="9"/>
      <c r="I2800" s="9"/>
      <c r="J2800" s="9"/>
      <c r="K2800" s="9"/>
      <c r="L2800" s="9"/>
      <c r="M2800" s="9"/>
      <c r="N2800" s="9"/>
      <c r="O2800" s="9"/>
      <c r="P2800" s="9"/>
      <c r="Q2800" s="9"/>
      <c r="R2800" s="9"/>
      <c r="S2800" s="9"/>
      <c r="T2800" s="9"/>
      <c r="U2800" s="9"/>
      <c r="V2800" s="9"/>
      <c r="W2800" s="9"/>
      <c r="X2800" s="9"/>
      <c r="Y2800" s="9"/>
      <c r="Z2800" s="9"/>
      <c r="AA2800" s="9"/>
      <c r="AB2800" s="9"/>
      <c r="AC2800" s="9"/>
      <c r="AD2800" s="9"/>
      <c r="AE2800" s="9"/>
      <c r="AF2800" s="9"/>
      <c r="AG2800" s="9"/>
      <c r="AH2800" s="9"/>
      <c r="AI2800" s="9"/>
      <c r="AJ2800" s="9"/>
      <c r="AK2800" s="9"/>
      <c r="AL2800" s="9"/>
      <c r="AM2800" s="9"/>
      <c r="AN2800" s="9"/>
      <c r="AO2800" s="9"/>
      <c r="AP2800" s="9"/>
      <c r="AQ2800" s="9"/>
      <c r="AR2800" s="9"/>
      <c r="AS2800" s="9"/>
      <c r="AT2800" s="9"/>
      <c r="AU2800" s="9"/>
    </row>
    <row r="2801" spans="1:47" ht="15.75" customHeight="1">
      <c r="A2801" s="9"/>
      <c r="B2801" s="9"/>
      <c r="C2801" s="9"/>
      <c r="D2801" s="9"/>
      <c r="E2801" s="9"/>
      <c r="F2801" s="67"/>
      <c r="G2801" s="9"/>
      <c r="H2801" s="9"/>
      <c r="I2801" s="9"/>
      <c r="J2801" s="9"/>
      <c r="K2801" s="9"/>
      <c r="L2801" s="9"/>
      <c r="M2801" s="9"/>
      <c r="N2801" s="9"/>
      <c r="O2801" s="9"/>
      <c r="P2801" s="9"/>
      <c r="Q2801" s="9"/>
      <c r="R2801" s="9"/>
      <c r="S2801" s="9"/>
      <c r="T2801" s="9"/>
      <c r="U2801" s="9"/>
      <c r="V2801" s="9"/>
      <c r="W2801" s="9"/>
      <c r="X2801" s="9"/>
      <c r="Y2801" s="9"/>
      <c r="Z2801" s="9"/>
      <c r="AA2801" s="9"/>
      <c r="AB2801" s="9"/>
      <c r="AC2801" s="9"/>
      <c r="AD2801" s="9"/>
      <c r="AE2801" s="9"/>
      <c r="AF2801" s="9"/>
      <c r="AG2801" s="9"/>
      <c r="AH2801" s="9"/>
      <c r="AI2801" s="9"/>
      <c r="AJ2801" s="9"/>
      <c r="AK2801" s="9"/>
      <c r="AL2801" s="9"/>
      <c r="AM2801" s="9"/>
      <c r="AN2801" s="9"/>
      <c r="AO2801" s="9"/>
      <c r="AP2801" s="9"/>
      <c r="AQ2801" s="9"/>
      <c r="AR2801" s="9"/>
      <c r="AS2801" s="9"/>
      <c r="AT2801" s="9"/>
      <c r="AU2801" s="9"/>
    </row>
    <row r="2802" spans="1:47" ht="15.75" customHeight="1">
      <c r="A2802" s="9"/>
      <c r="B2802" s="9"/>
      <c r="C2802" s="9"/>
      <c r="D2802" s="9"/>
      <c r="E2802" s="9"/>
      <c r="F2802" s="67"/>
      <c r="G2802" s="9"/>
      <c r="H2802" s="9"/>
      <c r="I2802" s="9"/>
      <c r="J2802" s="9"/>
      <c r="K2802" s="9"/>
      <c r="L2802" s="9"/>
      <c r="M2802" s="9"/>
      <c r="N2802" s="9"/>
      <c r="O2802" s="9"/>
      <c r="P2802" s="9"/>
      <c r="Q2802" s="9"/>
      <c r="R2802" s="9"/>
      <c r="S2802" s="9"/>
      <c r="T2802" s="9"/>
      <c r="U2802" s="9"/>
      <c r="V2802" s="9"/>
      <c r="W2802" s="9"/>
      <c r="X2802" s="9"/>
      <c r="Y2802" s="9"/>
      <c r="Z2802" s="9"/>
      <c r="AA2802" s="9"/>
      <c r="AB2802" s="9"/>
      <c r="AC2802" s="9"/>
      <c r="AD2802" s="9"/>
      <c r="AE2802" s="9"/>
      <c r="AF2802" s="9"/>
      <c r="AG2802" s="9"/>
      <c r="AH2802" s="9"/>
      <c r="AI2802" s="9"/>
      <c r="AJ2802" s="9"/>
      <c r="AK2802" s="9"/>
      <c r="AL2802" s="9"/>
      <c r="AM2802" s="9"/>
      <c r="AN2802" s="9"/>
      <c r="AO2802" s="9"/>
      <c r="AP2802" s="9"/>
      <c r="AQ2802" s="9"/>
      <c r="AR2802" s="9"/>
      <c r="AS2802" s="9"/>
      <c r="AT2802" s="9"/>
      <c r="AU2802" s="9"/>
    </row>
    <row r="2803" spans="1:47" ht="15.75" customHeight="1">
      <c r="A2803" s="9"/>
      <c r="B2803" s="9"/>
      <c r="C2803" s="9"/>
      <c r="D2803" s="9"/>
      <c r="E2803" s="9"/>
      <c r="F2803" s="67"/>
      <c r="G2803" s="9"/>
      <c r="H2803" s="9"/>
      <c r="I2803" s="9"/>
      <c r="J2803" s="9"/>
      <c r="K2803" s="9"/>
      <c r="L2803" s="9"/>
      <c r="M2803" s="9"/>
      <c r="N2803" s="9"/>
      <c r="O2803" s="9"/>
      <c r="P2803" s="9"/>
      <c r="Q2803" s="9"/>
      <c r="R2803" s="9"/>
      <c r="S2803" s="9"/>
      <c r="T2803" s="9"/>
      <c r="U2803" s="9"/>
      <c r="V2803" s="9"/>
      <c r="W2803" s="9"/>
      <c r="X2803" s="9"/>
      <c r="Y2803" s="9"/>
      <c r="Z2803" s="9"/>
      <c r="AA2803" s="9"/>
      <c r="AB2803" s="9"/>
      <c r="AC2803" s="9"/>
      <c r="AD2803" s="9"/>
      <c r="AE2803" s="9"/>
      <c r="AF2803" s="9"/>
      <c r="AG2803" s="9"/>
      <c r="AH2803" s="9"/>
      <c r="AI2803" s="9"/>
      <c r="AJ2803" s="9"/>
      <c r="AK2803" s="9"/>
      <c r="AL2803" s="9"/>
      <c r="AM2803" s="9"/>
      <c r="AN2803" s="9"/>
      <c r="AO2803" s="9"/>
      <c r="AP2803" s="9"/>
      <c r="AQ2803" s="9"/>
      <c r="AR2803" s="9"/>
      <c r="AS2803" s="9"/>
      <c r="AT2803" s="9"/>
      <c r="AU2803" s="9"/>
    </row>
    <row r="2804" spans="1:47" ht="15.75" customHeight="1">
      <c r="A2804" s="9"/>
      <c r="B2804" s="9"/>
      <c r="C2804" s="9"/>
      <c r="D2804" s="9"/>
      <c r="E2804" s="9"/>
      <c r="F2804" s="67"/>
      <c r="G2804" s="9"/>
      <c r="H2804" s="9"/>
      <c r="I2804" s="9"/>
      <c r="J2804" s="9"/>
      <c r="K2804" s="9"/>
      <c r="L2804" s="9"/>
      <c r="M2804" s="9"/>
      <c r="N2804" s="9"/>
      <c r="O2804" s="9"/>
      <c r="P2804" s="9"/>
      <c r="Q2804" s="9"/>
      <c r="R2804" s="9"/>
      <c r="S2804" s="9"/>
      <c r="T2804" s="9"/>
      <c r="U2804" s="9"/>
      <c r="V2804" s="9"/>
      <c r="W2804" s="9"/>
      <c r="X2804" s="9"/>
      <c r="Y2804" s="9"/>
      <c r="Z2804" s="9"/>
      <c r="AA2804" s="9"/>
      <c r="AB2804" s="9"/>
      <c r="AC2804" s="9"/>
      <c r="AD2804" s="9"/>
      <c r="AE2804" s="9"/>
      <c r="AF2804" s="9"/>
      <c r="AG2804" s="9"/>
      <c r="AH2804" s="9"/>
      <c r="AI2804" s="9"/>
      <c r="AJ2804" s="9"/>
      <c r="AK2804" s="9"/>
      <c r="AL2804" s="9"/>
      <c r="AM2804" s="9"/>
      <c r="AN2804" s="9"/>
      <c r="AO2804" s="9"/>
      <c r="AP2804" s="9"/>
      <c r="AQ2804" s="9"/>
      <c r="AR2804" s="9"/>
      <c r="AS2804" s="9"/>
      <c r="AT2804" s="9"/>
      <c r="AU2804" s="9"/>
    </row>
    <row r="2805" spans="1:47" ht="15.75" customHeight="1">
      <c r="A2805" s="9"/>
      <c r="B2805" s="9"/>
      <c r="C2805" s="9"/>
      <c r="D2805" s="9"/>
      <c r="E2805" s="9"/>
      <c r="F2805" s="67"/>
      <c r="G2805" s="9"/>
      <c r="H2805" s="9"/>
      <c r="I2805" s="9"/>
      <c r="J2805" s="9"/>
      <c r="K2805" s="9"/>
      <c r="L2805" s="9"/>
      <c r="M2805" s="9"/>
      <c r="N2805" s="9"/>
      <c r="O2805" s="9"/>
      <c r="P2805" s="9"/>
      <c r="Q2805" s="9"/>
      <c r="R2805" s="9"/>
      <c r="S2805" s="9"/>
      <c r="T2805" s="9"/>
      <c r="U2805" s="9"/>
      <c r="V2805" s="9"/>
      <c r="W2805" s="9"/>
      <c r="X2805" s="9"/>
      <c r="Y2805" s="9"/>
      <c r="Z2805" s="9"/>
      <c r="AA2805" s="9"/>
      <c r="AB2805" s="9"/>
      <c r="AC2805" s="9"/>
      <c r="AD2805" s="9"/>
      <c r="AE2805" s="9"/>
      <c r="AF2805" s="9"/>
      <c r="AG2805" s="9"/>
      <c r="AH2805" s="9"/>
      <c r="AI2805" s="9"/>
      <c r="AJ2805" s="9"/>
      <c r="AK2805" s="9"/>
      <c r="AL2805" s="9"/>
      <c r="AM2805" s="9"/>
      <c r="AN2805" s="9"/>
      <c r="AO2805" s="9"/>
      <c r="AP2805" s="9"/>
      <c r="AQ2805" s="9"/>
      <c r="AR2805" s="9"/>
      <c r="AS2805" s="9"/>
      <c r="AT2805" s="9"/>
      <c r="AU2805" s="9"/>
    </row>
    <row r="2806" spans="1:47" ht="15.75" customHeight="1">
      <c r="A2806" s="9"/>
      <c r="B2806" s="9"/>
      <c r="C2806" s="9"/>
      <c r="D2806" s="9"/>
      <c r="E2806" s="9"/>
      <c r="F2806" s="67"/>
      <c r="G2806" s="9"/>
      <c r="H2806" s="9"/>
      <c r="I2806" s="9"/>
      <c r="J2806" s="9"/>
      <c r="K2806" s="9"/>
      <c r="L2806" s="9"/>
      <c r="M2806" s="9"/>
      <c r="N2806" s="9"/>
      <c r="O2806" s="9"/>
      <c r="P2806" s="9"/>
      <c r="Q2806" s="9"/>
      <c r="R2806" s="9"/>
      <c r="S2806" s="9"/>
      <c r="T2806" s="9"/>
      <c r="U2806" s="9"/>
      <c r="V2806" s="9"/>
      <c r="W2806" s="9"/>
      <c r="X2806" s="9"/>
      <c r="Y2806" s="9"/>
      <c r="Z2806" s="9"/>
      <c r="AA2806" s="9"/>
      <c r="AB2806" s="9"/>
      <c r="AC2806" s="9"/>
      <c r="AD2806" s="9"/>
      <c r="AE2806" s="9"/>
      <c r="AF2806" s="9"/>
      <c r="AG2806" s="9"/>
      <c r="AH2806" s="9"/>
      <c r="AI2806" s="9"/>
      <c r="AJ2806" s="9"/>
      <c r="AK2806" s="9"/>
      <c r="AL2806" s="9"/>
      <c r="AM2806" s="9"/>
      <c r="AN2806" s="9"/>
      <c r="AO2806" s="9"/>
      <c r="AP2806" s="9"/>
      <c r="AQ2806" s="9"/>
      <c r="AR2806" s="9"/>
      <c r="AS2806" s="9"/>
      <c r="AT2806" s="9"/>
      <c r="AU2806" s="9"/>
    </row>
    <row r="2807" spans="1:47" ht="15.75" customHeight="1">
      <c r="A2807" s="9"/>
      <c r="B2807" s="9"/>
      <c r="C2807" s="9"/>
      <c r="D2807" s="9"/>
      <c r="E2807" s="9"/>
      <c r="F2807" s="67"/>
      <c r="G2807" s="9"/>
      <c r="H2807" s="9"/>
      <c r="I2807" s="9"/>
      <c r="J2807" s="9"/>
      <c r="K2807" s="9"/>
      <c r="L2807" s="9"/>
      <c r="M2807" s="9"/>
      <c r="N2807" s="9"/>
      <c r="O2807" s="9"/>
      <c r="P2807" s="9"/>
      <c r="Q2807" s="9"/>
      <c r="R2807" s="9"/>
      <c r="S2807" s="9"/>
      <c r="T2807" s="9"/>
      <c r="U2807" s="9"/>
      <c r="V2807" s="9"/>
      <c r="W2807" s="9"/>
      <c r="X2807" s="9"/>
      <c r="Y2807" s="9"/>
      <c r="Z2807" s="9"/>
      <c r="AA2807" s="9"/>
      <c r="AB2807" s="9"/>
      <c r="AC2807" s="9"/>
      <c r="AD2807" s="9"/>
      <c r="AE2807" s="9"/>
      <c r="AF2807" s="9"/>
      <c r="AG2807" s="9"/>
      <c r="AH2807" s="9"/>
      <c r="AI2807" s="9"/>
      <c r="AJ2807" s="9"/>
      <c r="AK2807" s="9"/>
      <c r="AL2807" s="9"/>
      <c r="AM2807" s="9"/>
      <c r="AN2807" s="9"/>
      <c r="AO2807" s="9"/>
      <c r="AP2807" s="9"/>
      <c r="AQ2807" s="9"/>
      <c r="AR2807" s="9"/>
      <c r="AS2807" s="9"/>
      <c r="AT2807" s="9"/>
      <c r="AU2807" s="9"/>
    </row>
    <row r="2808" spans="1:47" ht="15.75" customHeight="1">
      <c r="A2808" s="9"/>
      <c r="B2808" s="9"/>
      <c r="C2808" s="9"/>
      <c r="D2808" s="9"/>
      <c r="E2808" s="9"/>
      <c r="F2808" s="67"/>
      <c r="G2808" s="9"/>
      <c r="H2808" s="9"/>
      <c r="I2808" s="9"/>
      <c r="J2808" s="9"/>
      <c r="K2808" s="9"/>
      <c r="L2808" s="9"/>
      <c r="M2808" s="9"/>
      <c r="N2808" s="9"/>
      <c r="O2808" s="9"/>
      <c r="P2808" s="9"/>
      <c r="Q2808" s="9"/>
      <c r="R2808" s="9"/>
      <c r="S2808" s="9"/>
      <c r="T2808" s="9"/>
      <c r="U2808" s="9"/>
      <c r="V2808" s="9"/>
      <c r="W2808" s="9"/>
      <c r="X2808" s="9"/>
      <c r="Y2808" s="9"/>
      <c r="Z2808" s="9"/>
      <c r="AA2808" s="9"/>
      <c r="AB2808" s="9"/>
      <c r="AC2808" s="9"/>
      <c r="AD2808" s="9"/>
      <c r="AE2808" s="9"/>
      <c r="AF2808" s="9"/>
      <c r="AG2808" s="9"/>
      <c r="AH2808" s="9"/>
      <c r="AI2808" s="9"/>
      <c r="AJ2808" s="9"/>
      <c r="AK2808" s="9"/>
      <c r="AL2808" s="9"/>
      <c r="AM2808" s="9"/>
      <c r="AN2808" s="9"/>
      <c r="AO2808" s="9"/>
      <c r="AP2808" s="9"/>
      <c r="AQ2808" s="9"/>
      <c r="AR2808" s="9"/>
      <c r="AS2808" s="9"/>
      <c r="AT2808" s="9"/>
      <c r="AU2808" s="9"/>
    </row>
    <row r="2809" spans="1:47" ht="15.75" customHeight="1">
      <c r="A2809" s="9"/>
      <c r="B2809" s="9"/>
      <c r="C2809" s="9"/>
      <c r="D2809" s="9"/>
      <c r="E2809" s="9"/>
      <c r="F2809" s="67"/>
      <c r="G2809" s="9"/>
      <c r="H2809" s="9"/>
      <c r="I2809" s="9"/>
      <c r="J2809" s="9"/>
      <c r="K2809" s="9"/>
      <c r="L2809" s="9"/>
      <c r="M2809" s="9"/>
      <c r="N2809" s="9"/>
      <c r="O2809" s="9"/>
      <c r="P2809" s="9"/>
      <c r="Q2809" s="9"/>
      <c r="R2809" s="9"/>
      <c r="S2809" s="9"/>
      <c r="T2809" s="9"/>
      <c r="U2809" s="9"/>
      <c r="V2809" s="9"/>
      <c r="W2809" s="9"/>
      <c r="X2809" s="9"/>
      <c r="Y2809" s="9"/>
      <c r="Z2809" s="9"/>
      <c r="AA2809" s="9"/>
      <c r="AB2809" s="9"/>
      <c r="AC2809" s="9"/>
      <c r="AD2809" s="9"/>
      <c r="AE2809" s="9"/>
      <c r="AF2809" s="9"/>
      <c r="AG2809" s="9"/>
      <c r="AH2809" s="9"/>
      <c r="AI2809" s="9"/>
      <c r="AJ2809" s="9"/>
      <c r="AK2809" s="9"/>
      <c r="AL2809" s="9"/>
      <c r="AM2809" s="9"/>
      <c r="AN2809" s="9"/>
      <c r="AO2809" s="9"/>
      <c r="AP2809" s="9"/>
      <c r="AQ2809" s="9"/>
      <c r="AR2809" s="9"/>
      <c r="AS2809" s="9"/>
      <c r="AT2809" s="9"/>
      <c r="AU2809" s="9"/>
    </row>
    <row r="2810" spans="1:47" ht="15.75" customHeight="1">
      <c r="A2810" s="9"/>
      <c r="B2810" s="9"/>
      <c r="C2810" s="9"/>
      <c r="D2810" s="9"/>
      <c r="E2810" s="9"/>
      <c r="F2810" s="67"/>
      <c r="G2810" s="9"/>
      <c r="H2810" s="9"/>
      <c r="I2810" s="9"/>
      <c r="J2810" s="9"/>
      <c r="K2810" s="9"/>
      <c r="L2810" s="9"/>
      <c r="M2810" s="9"/>
      <c r="N2810" s="9"/>
      <c r="O2810" s="9"/>
      <c r="P2810" s="9"/>
      <c r="Q2810" s="9"/>
      <c r="R2810" s="9"/>
      <c r="S2810" s="9"/>
      <c r="T2810" s="9"/>
      <c r="U2810" s="9"/>
      <c r="V2810" s="9"/>
      <c r="W2810" s="9"/>
      <c r="X2810" s="9"/>
      <c r="Y2810" s="9"/>
      <c r="Z2810" s="9"/>
      <c r="AA2810" s="9"/>
      <c r="AB2810" s="9"/>
      <c r="AC2810" s="9"/>
      <c r="AD2810" s="9"/>
      <c r="AE2810" s="9"/>
      <c r="AF2810" s="9"/>
      <c r="AG2810" s="9"/>
      <c r="AH2810" s="9"/>
      <c r="AI2810" s="9"/>
      <c r="AJ2810" s="9"/>
      <c r="AK2810" s="9"/>
      <c r="AL2810" s="9"/>
      <c r="AM2810" s="9"/>
      <c r="AN2810" s="9"/>
      <c r="AO2810" s="9"/>
      <c r="AP2810" s="9"/>
      <c r="AQ2810" s="9"/>
      <c r="AR2810" s="9"/>
      <c r="AS2810" s="9"/>
      <c r="AT2810" s="9"/>
      <c r="AU2810" s="9"/>
    </row>
    <row r="2811" spans="1:47" ht="15.75" customHeight="1">
      <c r="A2811" s="9"/>
      <c r="B2811" s="9"/>
      <c r="C2811" s="9"/>
      <c r="D2811" s="9"/>
      <c r="E2811" s="9"/>
      <c r="F2811" s="67"/>
      <c r="G2811" s="9"/>
      <c r="H2811" s="9"/>
      <c r="I2811" s="9"/>
      <c r="J2811" s="9"/>
      <c r="K2811" s="9"/>
      <c r="L2811" s="9"/>
      <c r="M2811" s="9"/>
      <c r="N2811" s="9"/>
      <c r="O2811" s="9"/>
      <c r="P2811" s="9"/>
      <c r="Q2811" s="9"/>
      <c r="R2811" s="9"/>
      <c r="S2811" s="9"/>
      <c r="T2811" s="9"/>
      <c r="U2811" s="9"/>
      <c r="V2811" s="9"/>
      <c r="W2811" s="9"/>
      <c r="X2811" s="9"/>
      <c r="Y2811" s="9"/>
      <c r="Z2811" s="9"/>
      <c r="AA2811" s="9"/>
      <c r="AB2811" s="9"/>
      <c r="AC2811" s="9"/>
      <c r="AD2811" s="9"/>
      <c r="AE2811" s="9"/>
      <c r="AF2811" s="9"/>
      <c r="AG2811" s="9"/>
      <c r="AH2811" s="9"/>
      <c r="AI2811" s="9"/>
      <c r="AJ2811" s="9"/>
      <c r="AK2811" s="9"/>
      <c r="AL2811" s="9"/>
      <c r="AM2811" s="9"/>
      <c r="AN2811" s="9"/>
      <c r="AO2811" s="9"/>
      <c r="AP2811" s="9"/>
      <c r="AQ2811" s="9"/>
      <c r="AR2811" s="9"/>
      <c r="AS2811" s="9"/>
      <c r="AT2811" s="9"/>
      <c r="AU2811" s="9"/>
    </row>
    <row r="2812" spans="1:47" ht="15.75" customHeight="1">
      <c r="A2812" s="9"/>
      <c r="B2812" s="9"/>
      <c r="C2812" s="9"/>
      <c r="D2812" s="9"/>
      <c r="E2812" s="9"/>
      <c r="F2812" s="67"/>
      <c r="G2812" s="9"/>
      <c r="H2812" s="9"/>
      <c r="I2812" s="9"/>
      <c r="J2812" s="9"/>
      <c r="K2812" s="9"/>
      <c r="L2812" s="9"/>
      <c r="M2812" s="9"/>
      <c r="N2812" s="9"/>
      <c r="O2812" s="9"/>
      <c r="P2812" s="9"/>
      <c r="Q2812" s="9"/>
      <c r="R2812" s="9"/>
      <c r="S2812" s="9"/>
      <c r="T2812" s="9"/>
      <c r="U2812" s="9"/>
      <c r="V2812" s="9"/>
      <c r="W2812" s="9"/>
      <c r="X2812" s="9"/>
      <c r="Y2812" s="9"/>
      <c r="Z2812" s="9"/>
      <c r="AA2812" s="9"/>
      <c r="AB2812" s="9"/>
      <c r="AC2812" s="9"/>
      <c r="AD2812" s="9"/>
      <c r="AE2812" s="9"/>
      <c r="AF2812" s="9"/>
      <c r="AG2812" s="9"/>
      <c r="AH2812" s="9"/>
      <c r="AI2812" s="9"/>
      <c r="AJ2812" s="9"/>
      <c r="AK2812" s="9"/>
      <c r="AL2812" s="9"/>
      <c r="AM2812" s="9"/>
      <c r="AN2812" s="9"/>
      <c r="AO2812" s="9"/>
      <c r="AP2812" s="9"/>
      <c r="AQ2812" s="9"/>
      <c r="AR2812" s="9"/>
      <c r="AS2812" s="9"/>
      <c r="AT2812" s="9"/>
      <c r="AU2812" s="9"/>
    </row>
    <row r="2813" spans="1:47" ht="15.75" customHeight="1">
      <c r="A2813" s="9"/>
      <c r="B2813" s="9"/>
      <c r="C2813" s="9"/>
      <c r="D2813" s="9"/>
      <c r="E2813" s="9"/>
      <c r="F2813" s="67"/>
      <c r="G2813" s="9"/>
      <c r="H2813" s="9"/>
      <c r="I2813" s="9"/>
      <c r="J2813" s="9"/>
      <c r="K2813" s="9"/>
      <c r="L2813" s="9"/>
      <c r="M2813" s="9"/>
      <c r="N2813" s="9"/>
      <c r="O2813" s="9"/>
      <c r="P2813" s="9"/>
      <c r="Q2813" s="9"/>
      <c r="R2813" s="9"/>
      <c r="S2813" s="9"/>
      <c r="T2813" s="9"/>
      <c r="U2813" s="9"/>
      <c r="V2813" s="9"/>
      <c r="W2813" s="9"/>
      <c r="X2813" s="9"/>
      <c r="Y2813" s="9"/>
      <c r="Z2813" s="9"/>
      <c r="AA2813" s="9"/>
      <c r="AB2813" s="9"/>
      <c r="AC2813" s="9"/>
      <c r="AD2813" s="9"/>
      <c r="AE2813" s="9"/>
      <c r="AF2813" s="9"/>
      <c r="AG2813" s="9"/>
      <c r="AH2813" s="9"/>
      <c r="AI2813" s="9"/>
      <c r="AJ2813" s="9"/>
      <c r="AK2813" s="9"/>
      <c r="AL2813" s="9"/>
      <c r="AM2813" s="9"/>
      <c r="AN2813" s="9"/>
      <c r="AO2813" s="9"/>
      <c r="AP2813" s="9"/>
      <c r="AQ2813" s="9"/>
      <c r="AR2813" s="9"/>
      <c r="AS2813" s="9"/>
      <c r="AT2813" s="9"/>
      <c r="AU2813" s="9"/>
    </row>
    <row r="2814" spans="1:47" ht="15.75" customHeight="1">
      <c r="A2814" s="9"/>
      <c r="B2814" s="9"/>
      <c r="C2814" s="9"/>
      <c r="D2814" s="9"/>
      <c r="E2814" s="9"/>
      <c r="F2814" s="67"/>
      <c r="G2814" s="9"/>
      <c r="H2814" s="9"/>
      <c r="I2814" s="9"/>
      <c r="J2814" s="9"/>
      <c r="K2814" s="9"/>
      <c r="L2814" s="9"/>
      <c r="M2814" s="9"/>
      <c r="N2814" s="9"/>
      <c r="O2814" s="9"/>
      <c r="P2814" s="9"/>
      <c r="Q2814" s="9"/>
      <c r="R2814" s="9"/>
      <c r="S2814" s="9"/>
      <c r="T2814" s="9"/>
      <c r="U2814" s="9"/>
      <c r="V2814" s="9"/>
      <c r="W2814" s="9"/>
      <c r="X2814" s="9"/>
      <c r="Y2814" s="9"/>
      <c r="Z2814" s="9"/>
      <c r="AA2814" s="9"/>
      <c r="AB2814" s="9"/>
      <c r="AC2814" s="9"/>
      <c r="AD2814" s="9"/>
      <c r="AE2814" s="9"/>
      <c r="AF2814" s="9"/>
      <c r="AG2814" s="9"/>
      <c r="AH2814" s="9"/>
      <c r="AI2814" s="9"/>
      <c r="AJ2814" s="9"/>
      <c r="AK2814" s="9"/>
      <c r="AL2814" s="9"/>
      <c r="AM2814" s="9"/>
      <c r="AN2814" s="9"/>
      <c r="AO2814" s="9"/>
      <c r="AP2814" s="9"/>
      <c r="AQ2814" s="9"/>
      <c r="AR2814" s="9"/>
      <c r="AS2814" s="9"/>
      <c r="AT2814" s="9"/>
      <c r="AU2814" s="9"/>
    </row>
    <row r="2815" spans="1:47" ht="15.75" customHeight="1">
      <c r="A2815" s="9"/>
      <c r="B2815" s="9"/>
      <c r="C2815" s="9"/>
      <c r="D2815" s="9"/>
      <c r="E2815" s="9"/>
      <c r="F2815" s="67"/>
      <c r="G2815" s="9"/>
      <c r="H2815" s="9"/>
      <c r="I2815" s="9"/>
      <c r="J2815" s="9"/>
      <c r="K2815" s="9"/>
      <c r="L2815" s="9"/>
      <c r="M2815" s="9"/>
      <c r="N2815" s="9"/>
      <c r="O2815" s="9"/>
      <c r="P2815" s="9"/>
      <c r="Q2815" s="9"/>
      <c r="R2815" s="9"/>
      <c r="S2815" s="9"/>
      <c r="T2815" s="9"/>
      <c r="U2815" s="9"/>
      <c r="V2815" s="9"/>
      <c r="W2815" s="9"/>
      <c r="X2815" s="9"/>
      <c r="Y2815" s="9"/>
      <c r="Z2815" s="9"/>
      <c r="AA2815" s="9"/>
      <c r="AB2815" s="9"/>
      <c r="AC2815" s="9"/>
      <c r="AD2815" s="9"/>
      <c r="AE2815" s="9"/>
      <c r="AF2815" s="9"/>
      <c r="AG2815" s="9"/>
      <c r="AH2815" s="9"/>
      <c r="AI2815" s="9"/>
      <c r="AJ2815" s="9"/>
      <c r="AK2815" s="9"/>
      <c r="AL2815" s="9"/>
      <c r="AM2815" s="9"/>
      <c r="AN2815" s="9"/>
      <c r="AO2815" s="9"/>
      <c r="AP2815" s="9"/>
      <c r="AQ2815" s="9"/>
      <c r="AR2815" s="9"/>
      <c r="AS2815" s="9"/>
      <c r="AT2815" s="9"/>
      <c r="AU2815" s="9"/>
    </row>
    <row r="2816" spans="1:47" ht="15.75" customHeight="1">
      <c r="A2816" s="9"/>
      <c r="B2816" s="9"/>
      <c r="C2816" s="9"/>
      <c r="D2816" s="9"/>
      <c r="E2816" s="9"/>
      <c r="F2816" s="67"/>
      <c r="G2816" s="9"/>
      <c r="H2816" s="9"/>
      <c r="I2816" s="9"/>
      <c r="J2816" s="9"/>
      <c r="K2816" s="9"/>
      <c r="L2816" s="9"/>
      <c r="M2816" s="9"/>
      <c r="N2816" s="9"/>
      <c r="O2816" s="9"/>
      <c r="P2816" s="9"/>
      <c r="Q2816" s="9"/>
      <c r="R2816" s="9"/>
      <c r="S2816" s="9"/>
      <c r="T2816" s="9"/>
      <c r="U2816" s="9"/>
      <c r="V2816" s="9"/>
      <c r="W2816" s="9"/>
      <c r="X2816" s="9"/>
      <c r="Y2816" s="9"/>
      <c r="Z2816" s="9"/>
      <c r="AA2816" s="9"/>
      <c r="AB2816" s="9"/>
      <c r="AC2816" s="9"/>
      <c r="AD2816" s="9"/>
      <c r="AE2816" s="9"/>
      <c r="AF2816" s="9"/>
      <c r="AG2816" s="9"/>
      <c r="AH2816" s="9"/>
      <c r="AI2816" s="9"/>
      <c r="AJ2816" s="9"/>
      <c r="AK2816" s="9"/>
      <c r="AL2816" s="9"/>
      <c r="AM2816" s="9"/>
      <c r="AN2816" s="9"/>
      <c r="AO2816" s="9"/>
      <c r="AP2816" s="9"/>
      <c r="AQ2816" s="9"/>
      <c r="AR2816" s="9"/>
      <c r="AS2816" s="9"/>
      <c r="AT2816" s="9"/>
      <c r="AU2816" s="9"/>
    </row>
    <row r="2817" spans="1:47" ht="15.75" customHeight="1">
      <c r="A2817" s="9"/>
      <c r="B2817" s="9"/>
      <c r="C2817" s="9"/>
      <c r="D2817" s="9"/>
      <c r="E2817" s="9"/>
      <c r="F2817" s="67"/>
      <c r="G2817" s="9"/>
      <c r="H2817" s="9"/>
      <c r="I2817" s="9"/>
      <c r="J2817" s="9"/>
      <c r="K2817" s="9"/>
      <c r="L2817" s="9"/>
      <c r="M2817" s="9"/>
      <c r="N2817" s="9"/>
      <c r="O2817" s="9"/>
      <c r="P2817" s="9"/>
      <c r="Q2817" s="9"/>
      <c r="R2817" s="9"/>
      <c r="S2817" s="9"/>
      <c r="T2817" s="9"/>
      <c r="U2817" s="9"/>
      <c r="V2817" s="9"/>
      <c r="W2817" s="9"/>
      <c r="X2817" s="9"/>
      <c r="Y2817" s="9"/>
      <c r="Z2817" s="9"/>
      <c r="AA2817" s="9"/>
      <c r="AB2817" s="9"/>
      <c r="AC2817" s="9"/>
      <c r="AD2817" s="9"/>
      <c r="AE2817" s="9"/>
      <c r="AF2817" s="9"/>
      <c r="AG2817" s="9"/>
      <c r="AH2817" s="9"/>
      <c r="AI2817" s="9"/>
      <c r="AJ2817" s="9"/>
      <c r="AK2817" s="9"/>
      <c r="AL2817" s="9"/>
      <c r="AM2817" s="9"/>
      <c r="AN2817" s="9"/>
      <c r="AO2817" s="9"/>
      <c r="AP2817" s="9"/>
      <c r="AQ2817" s="9"/>
      <c r="AR2817" s="9"/>
      <c r="AS2817" s="9"/>
      <c r="AT2817" s="9"/>
      <c r="AU2817" s="9"/>
    </row>
    <row r="2818" spans="1:47" ht="15.75" customHeight="1">
      <c r="A2818" s="9"/>
      <c r="B2818" s="9"/>
      <c r="C2818" s="9"/>
      <c r="D2818" s="9"/>
      <c r="E2818" s="9"/>
      <c r="F2818" s="67"/>
      <c r="G2818" s="9"/>
      <c r="H2818" s="9"/>
      <c r="I2818" s="9"/>
      <c r="J2818" s="9"/>
      <c r="K2818" s="9"/>
      <c r="L2818" s="9"/>
      <c r="M2818" s="9"/>
      <c r="N2818" s="9"/>
      <c r="O2818" s="9"/>
      <c r="P2818" s="9"/>
      <c r="Q2818" s="9"/>
      <c r="R2818" s="9"/>
      <c r="S2818" s="9"/>
      <c r="T2818" s="9"/>
      <c r="U2818" s="9"/>
      <c r="V2818" s="9"/>
      <c r="W2818" s="9"/>
      <c r="X2818" s="9"/>
      <c r="Y2818" s="9"/>
      <c r="Z2818" s="9"/>
      <c r="AA2818" s="9"/>
      <c r="AB2818" s="9"/>
      <c r="AC2818" s="9"/>
      <c r="AD2818" s="9"/>
      <c r="AE2818" s="9"/>
      <c r="AF2818" s="9"/>
      <c r="AG2818" s="9"/>
      <c r="AH2818" s="9"/>
      <c r="AI2818" s="9"/>
      <c r="AJ2818" s="9"/>
      <c r="AK2818" s="9"/>
      <c r="AL2818" s="9"/>
      <c r="AM2818" s="9"/>
      <c r="AN2818" s="9"/>
      <c r="AO2818" s="9"/>
      <c r="AP2818" s="9"/>
      <c r="AQ2818" s="9"/>
      <c r="AR2818" s="9"/>
      <c r="AS2818" s="9"/>
      <c r="AT2818" s="9"/>
      <c r="AU2818" s="9"/>
    </row>
    <row r="2819" spans="1:47" ht="15.75" customHeight="1">
      <c r="A2819" s="9"/>
      <c r="B2819" s="9"/>
      <c r="C2819" s="9"/>
      <c r="D2819" s="9"/>
      <c r="E2819" s="9"/>
      <c r="F2819" s="67"/>
      <c r="G2819" s="9"/>
      <c r="H2819" s="9"/>
      <c r="I2819" s="9"/>
      <c r="J2819" s="9"/>
      <c r="K2819" s="9"/>
      <c r="L2819" s="9"/>
      <c r="M2819" s="9"/>
      <c r="N2819" s="9"/>
      <c r="O2819" s="9"/>
      <c r="P2819" s="9"/>
      <c r="Q2819" s="9"/>
      <c r="R2819" s="9"/>
      <c r="S2819" s="9"/>
      <c r="T2819" s="9"/>
      <c r="U2819" s="9"/>
      <c r="V2819" s="9"/>
      <c r="W2819" s="9"/>
      <c r="X2819" s="9"/>
      <c r="Y2819" s="9"/>
      <c r="Z2819" s="9"/>
      <c r="AA2819" s="9"/>
      <c r="AB2819" s="9"/>
      <c r="AC2819" s="9"/>
      <c r="AD2819" s="9"/>
      <c r="AE2819" s="9"/>
      <c r="AF2819" s="9"/>
      <c r="AG2819" s="9"/>
      <c r="AH2819" s="9"/>
      <c r="AI2819" s="9"/>
      <c r="AJ2819" s="9"/>
      <c r="AK2819" s="9"/>
      <c r="AL2819" s="9"/>
      <c r="AM2819" s="9"/>
      <c r="AN2819" s="9"/>
      <c r="AO2819" s="9"/>
      <c r="AP2819" s="9"/>
      <c r="AQ2819" s="9"/>
      <c r="AR2819" s="9"/>
      <c r="AS2819" s="9"/>
      <c r="AT2819" s="9"/>
      <c r="AU2819" s="9"/>
    </row>
    <row r="2820" spans="1:47" ht="15.75" customHeight="1">
      <c r="A2820" s="9"/>
      <c r="B2820" s="9"/>
      <c r="C2820" s="9"/>
      <c r="D2820" s="9"/>
      <c r="E2820" s="9"/>
      <c r="F2820" s="67"/>
      <c r="G2820" s="9"/>
      <c r="H2820" s="9"/>
      <c r="I2820" s="9"/>
      <c r="J2820" s="9"/>
      <c r="K2820" s="9"/>
      <c r="L2820" s="9"/>
      <c r="M2820" s="9"/>
      <c r="N2820" s="9"/>
      <c r="O2820" s="9"/>
      <c r="P2820" s="9"/>
      <c r="Q2820" s="9"/>
      <c r="R2820" s="9"/>
      <c r="S2820" s="9"/>
      <c r="T2820" s="9"/>
      <c r="U2820" s="9"/>
      <c r="V2820" s="9"/>
      <c r="W2820" s="9"/>
      <c r="X2820" s="9"/>
      <c r="Y2820" s="9"/>
      <c r="Z2820" s="9"/>
      <c r="AA2820" s="9"/>
      <c r="AB2820" s="9"/>
      <c r="AC2820" s="9"/>
      <c r="AD2820" s="9"/>
      <c r="AE2820" s="9"/>
      <c r="AF2820" s="9"/>
      <c r="AG2820" s="9"/>
      <c r="AH2820" s="9"/>
      <c r="AI2820" s="9"/>
      <c r="AJ2820" s="9"/>
      <c r="AK2820" s="9"/>
      <c r="AL2820" s="9"/>
      <c r="AM2820" s="9"/>
      <c r="AN2820" s="9"/>
      <c r="AO2820" s="9"/>
      <c r="AP2820" s="9"/>
      <c r="AQ2820" s="9"/>
      <c r="AR2820" s="9"/>
      <c r="AS2820" s="9"/>
      <c r="AT2820" s="9"/>
      <c r="AU2820" s="9"/>
    </row>
    <row r="2821" spans="1:47" ht="15.75" customHeight="1">
      <c r="A2821" s="9"/>
      <c r="B2821" s="9"/>
      <c r="C2821" s="9"/>
      <c r="D2821" s="9"/>
      <c r="E2821" s="9"/>
      <c r="F2821" s="67"/>
      <c r="G2821" s="9"/>
      <c r="H2821" s="9"/>
      <c r="I2821" s="9"/>
      <c r="J2821" s="9"/>
      <c r="K2821" s="9"/>
      <c r="L2821" s="9"/>
      <c r="M2821" s="9"/>
      <c r="N2821" s="9"/>
      <c r="O2821" s="9"/>
      <c r="P2821" s="9"/>
      <c r="Q2821" s="9"/>
      <c r="R2821" s="9"/>
      <c r="S2821" s="9"/>
      <c r="T2821" s="9"/>
      <c r="U2821" s="9"/>
      <c r="V2821" s="9"/>
      <c r="W2821" s="9"/>
      <c r="X2821" s="9"/>
      <c r="Y2821" s="9"/>
      <c r="Z2821" s="9"/>
      <c r="AA2821" s="9"/>
      <c r="AB2821" s="9"/>
      <c r="AC2821" s="9"/>
      <c r="AD2821" s="9"/>
      <c r="AE2821" s="9"/>
      <c r="AF2821" s="9"/>
      <c r="AG2821" s="9"/>
      <c r="AH2821" s="9"/>
      <c r="AI2821" s="9"/>
      <c r="AJ2821" s="9"/>
      <c r="AK2821" s="9"/>
      <c r="AL2821" s="9"/>
      <c r="AM2821" s="9"/>
      <c r="AN2821" s="9"/>
      <c r="AO2821" s="9"/>
      <c r="AP2821" s="9"/>
      <c r="AQ2821" s="9"/>
      <c r="AR2821" s="9"/>
      <c r="AS2821" s="9"/>
      <c r="AT2821" s="9"/>
      <c r="AU2821" s="9"/>
    </row>
    <row r="2822" spans="1:47" ht="15.75" customHeight="1">
      <c r="A2822" s="9"/>
      <c r="B2822" s="9"/>
      <c r="C2822" s="9"/>
      <c r="D2822" s="9"/>
      <c r="E2822" s="9"/>
      <c r="F2822" s="67"/>
      <c r="G2822" s="9"/>
      <c r="H2822" s="9"/>
      <c r="I2822" s="9"/>
      <c r="J2822" s="9"/>
      <c r="K2822" s="9"/>
      <c r="L2822" s="9"/>
      <c r="M2822" s="9"/>
      <c r="N2822" s="9"/>
      <c r="O2822" s="9"/>
      <c r="P2822" s="9"/>
      <c r="Q2822" s="9"/>
      <c r="R2822" s="9"/>
      <c r="S2822" s="9"/>
      <c r="T2822" s="9"/>
      <c r="U2822" s="9"/>
      <c r="V2822" s="9"/>
      <c r="W2822" s="9"/>
      <c r="X2822" s="9"/>
      <c r="Y2822" s="9"/>
      <c r="Z2822" s="9"/>
      <c r="AA2822" s="9"/>
      <c r="AB2822" s="9"/>
      <c r="AC2822" s="9"/>
      <c r="AD2822" s="9"/>
      <c r="AE2822" s="9"/>
      <c r="AF2822" s="9"/>
      <c r="AG2822" s="9"/>
      <c r="AH2822" s="9"/>
      <c r="AI2822" s="9"/>
      <c r="AJ2822" s="9"/>
      <c r="AK2822" s="9"/>
      <c r="AL2822" s="9"/>
      <c r="AM2822" s="9"/>
      <c r="AN2822" s="9"/>
      <c r="AO2822" s="9"/>
      <c r="AP2822" s="9"/>
      <c r="AQ2822" s="9"/>
      <c r="AR2822" s="9"/>
      <c r="AS2822" s="9"/>
      <c r="AT2822" s="9"/>
      <c r="AU2822" s="9"/>
    </row>
    <row r="2823" spans="1:47" ht="15.75" customHeight="1">
      <c r="A2823" s="9"/>
      <c r="B2823" s="9"/>
      <c r="C2823" s="9"/>
      <c r="D2823" s="9"/>
      <c r="E2823" s="9"/>
      <c r="F2823" s="67"/>
      <c r="G2823" s="9"/>
      <c r="H2823" s="9"/>
      <c r="I2823" s="9"/>
      <c r="J2823" s="9"/>
      <c r="K2823" s="9"/>
      <c r="L2823" s="9"/>
      <c r="M2823" s="9"/>
      <c r="N2823" s="9"/>
      <c r="O2823" s="9"/>
      <c r="P2823" s="9"/>
      <c r="Q2823" s="9"/>
      <c r="R2823" s="9"/>
      <c r="S2823" s="9"/>
      <c r="T2823" s="9"/>
      <c r="U2823" s="9"/>
      <c r="V2823" s="9"/>
      <c r="W2823" s="9"/>
      <c r="X2823" s="9"/>
      <c r="Y2823" s="9"/>
      <c r="Z2823" s="9"/>
      <c r="AA2823" s="9"/>
      <c r="AB2823" s="9"/>
      <c r="AC2823" s="9"/>
      <c r="AD2823" s="9"/>
      <c r="AE2823" s="9"/>
      <c r="AF2823" s="9"/>
      <c r="AG2823" s="9"/>
      <c r="AH2823" s="9"/>
      <c r="AI2823" s="9"/>
      <c r="AJ2823" s="9"/>
      <c r="AK2823" s="9"/>
      <c r="AL2823" s="9"/>
      <c r="AM2823" s="9"/>
      <c r="AN2823" s="9"/>
      <c r="AO2823" s="9"/>
      <c r="AP2823" s="9"/>
      <c r="AQ2823" s="9"/>
      <c r="AR2823" s="9"/>
      <c r="AS2823" s="9"/>
      <c r="AT2823" s="9"/>
      <c r="AU2823" s="9"/>
    </row>
    <row r="2824" spans="1:47" ht="15.75" customHeight="1">
      <c r="A2824" s="9"/>
      <c r="B2824" s="9"/>
      <c r="C2824" s="9"/>
      <c r="D2824" s="9"/>
      <c r="E2824" s="9"/>
      <c r="F2824" s="67"/>
      <c r="G2824" s="9"/>
      <c r="H2824" s="9"/>
      <c r="I2824" s="9"/>
      <c r="J2824" s="9"/>
      <c r="K2824" s="9"/>
      <c r="L2824" s="9"/>
      <c r="M2824" s="9"/>
      <c r="N2824" s="9"/>
      <c r="O2824" s="9"/>
      <c r="P2824" s="9"/>
      <c r="Q2824" s="9"/>
      <c r="R2824" s="9"/>
      <c r="S2824" s="9"/>
      <c r="T2824" s="9"/>
      <c r="U2824" s="9"/>
      <c r="V2824" s="9"/>
      <c r="W2824" s="9"/>
      <c r="X2824" s="9"/>
      <c r="Y2824" s="9"/>
      <c r="Z2824" s="9"/>
      <c r="AA2824" s="9"/>
      <c r="AB2824" s="9"/>
      <c r="AC2824" s="9"/>
      <c r="AD2824" s="9"/>
      <c r="AE2824" s="9"/>
      <c r="AF2824" s="9"/>
      <c r="AG2824" s="9"/>
      <c r="AH2824" s="9"/>
      <c r="AI2824" s="9"/>
      <c r="AJ2824" s="9"/>
      <c r="AK2824" s="9"/>
      <c r="AL2824" s="9"/>
      <c r="AM2824" s="9"/>
      <c r="AN2824" s="9"/>
      <c r="AO2824" s="9"/>
      <c r="AP2824" s="9"/>
      <c r="AQ2824" s="9"/>
      <c r="AR2824" s="9"/>
      <c r="AS2824" s="9"/>
      <c r="AT2824" s="9"/>
      <c r="AU2824" s="9"/>
    </row>
    <row r="2825" spans="1:47" ht="15.75" customHeight="1">
      <c r="A2825" s="9"/>
      <c r="B2825" s="9"/>
      <c r="C2825" s="9"/>
      <c r="D2825" s="9"/>
      <c r="E2825" s="9"/>
      <c r="F2825" s="67"/>
      <c r="G2825" s="9"/>
      <c r="H2825" s="9"/>
      <c r="I2825" s="9"/>
      <c r="J2825" s="9"/>
      <c r="K2825" s="9"/>
      <c r="L2825" s="9"/>
      <c r="M2825" s="9"/>
      <c r="N2825" s="9"/>
      <c r="O2825" s="9"/>
      <c r="P2825" s="9"/>
      <c r="Q2825" s="9"/>
      <c r="R2825" s="9"/>
      <c r="S2825" s="9"/>
      <c r="T2825" s="9"/>
      <c r="U2825" s="9"/>
      <c r="V2825" s="9"/>
      <c r="W2825" s="9"/>
      <c r="X2825" s="9"/>
      <c r="Y2825" s="9"/>
      <c r="Z2825" s="9"/>
      <c r="AA2825" s="9"/>
      <c r="AB2825" s="9"/>
      <c r="AC2825" s="9"/>
      <c r="AD2825" s="9"/>
      <c r="AE2825" s="9"/>
      <c r="AF2825" s="9"/>
      <c r="AG2825" s="9"/>
      <c r="AH2825" s="9"/>
      <c r="AI2825" s="9"/>
      <c r="AJ2825" s="9"/>
      <c r="AK2825" s="9"/>
      <c r="AL2825" s="9"/>
      <c r="AM2825" s="9"/>
      <c r="AN2825" s="9"/>
      <c r="AO2825" s="9"/>
      <c r="AP2825" s="9"/>
      <c r="AQ2825" s="9"/>
      <c r="AR2825" s="9"/>
      <c r="AS2825" s="9"/>
      <c r="AT2825" s="9"/>
      <c r="AU2825" s="9"/>
    </row>
    <row r="2826" spans="1:47" ht="15.75" customHeight="1">
      <c r="A2826" s="9"/>
      <c r="B2826" s="9"/>
      <c r="C2826" s="9"/>
      <c r="D2826" s="9"/>
      <c r="E2826" s="9"/>
      <c r="F2826" s="67"/>
      <c r="G2826" s="9"/>
      <c r="H2826" s="9"/>
      <c r="I2826" s="9"/>
      <c r="J2826" s="9"/>
      <c r="K2826" s="9"/>
      <c r="L2826" s="9"/>
      <c r="M2826" s="9"/>
      <c r="N2826" s="9"/>
      <c r="O2826" s="9"/>
      <c r="P2826" s="9"/>
      <c r="Q2826" s="9"/>
      <c r="R2826" s="9"/>
      <c r="S2826" s="9"/>
      <c r="T2826" s="9"/>
      <c r="U2826" s="9"/>
      <c r="V2826" s="9"/>
      <c r="W2826" s="9"/>
      <c r="X2826" s="9"/>
      <c r="Y2826" s="9"/>
      <c r="Z2826" s="9"/>
      <c r="AA2826" s="9"/>
      <c r="AB2826" s="9"/>
      <c r="AC2826" s="9"/>
      <c r="AD2826" s="9"/>
      <c r="AE2826" s="9"/>
      <c r="AF2826" s="9"/>
      <c r="AG2826" s="9"/>
      <c r="AH2826" s="9"/>
      <c r="AI2826" s="9"/>
      <c r="AJ2826" s="9"/>
      <c r="AK2826" s="9"/>
      <c r="AL2826" s="9"/>
      <c r="AM2826" s="9"/>
      <c r="AN2826" s="9"/>
      <c r="AO2826" s="9"/>
      <c r="AP2826" s="9"/>
      <c r="AQ2826" s="9"/>
      <c r="AR2826" s="9"/>
      <c r="AS2826" s="9"/>
      <c r="AT2826" s="9"/>
      <c r="AU2826" s="9"/>
    </row>
    <row r="2827" spans="1:47" ht="15.75" customHeight="1">
      <c r="A2827" s="9"/>
      <c r="B2827" s="9"/>
      <c r="C2827" s="9"/>
      <c r="D2827" s="9"/>
      <c r="E2827" s="9"/>
      <c r="F2827" s="67"/>
      <c r="G2827" s="9"/>
      <c r="H2827" s="9"/>
      <c r="I2827" s="9"/>
      <c r="J2827" s="9"/>
      <c r="K2827" s="9"/>
      <c r="L2827" s="9"/>
      <c r="M2827" s="9"/>
      <c r="N2827" s="9"/>
      <c r="O2827" s="9"/>
      <c r="P2827" s="9"/>
      <c r="Q2827" s="9"/>
      <c r="R2827" s="9"/>
      <c r="S2827" s="9"/>
      <c r="T2827" s="9"/>
      <c r="U2827" s="9"/>
      <c r="V2827" s="9"/>
      <c r="W2827" s="9"/>
      <c r="X2827" s="9"/>
      <c r="Y2827" s="9"/>
      <c r="Z2827" s="9"/>
      <c r="AA2827" s="9"/>
      <c r="AB2827" s="9"/>
      <c r="AC2827" s="9"/>
      <c r="AD2827" s="9"/>
      <c r="AE2827" s="9"/>
      <c r="AF2827" s="9"/>
      <c r="AG2827" s="9"/>
      <c r="AH2827" s="9"/>
      <c r="AI2827" s="9"/>
      <c r="AJ2827" s="9"/>
      <c r="AK2827" s="9"/>
      <c r="AL2827" s="9"/>
      <c r="AM2827" s="9"/>
      <c r="AN2827" s="9"/>
      <c r="AO2827" s="9"/>
      <c r="AP2827" s="9"/>
      <c r="AQ2827" s="9"/>
      <c r="AR2827" s="9"/>
      <c r="AS2827" s="9"/>
      <c r="AT2827" s="9"/>
      <c r="AU2827" s="9"/>
    </row>
    <row r="2828" spans="1:47" ht="15.75" customHeight="1">
      <c r="A2828" s="9"/>
      <c r="B2828" s="9"/>
      <c r="C2828" s="9"/>
      <c r="D2828" s="9"/>
      <c r="E2828" s="9"/>
      <c r="F2828" s="67"/>
      <c r="G2828" s="9"/>
      <c r="H2828" s="9"/>
      <c r="I2828" s="9"/>
      <c r="J2828" s="9"/>
      <c r="K2828" s="9"/>
      <c r="L2828" s="9"/>
      <c r="M2828" s="9"/>
      <c r="N2828" s="9"/>
      <c r="O2828" s="9"/>
      <c r="P2828" s="9"/>
      <c r="Q2828" s="9"/>
      <c r="R2828" s="9"/>
      <c r="S2828" s="9"/>
      <c r="T2828" s="9"/>
      <c r="U2828" s="9"/>
      <c r="V2828" s="9"/>
      <c r="W2828" s="9"/>
      <c r="X2828" s="9"/>
      <c r="Y2828" s="9"/>
      <c r="Z2828" s="9"/>
      <c r="AA2828" s="9"/>
      <c r="AB2828" s="9"/>
      <c r="AC2828" s="9"/>
      <c r="AD2828" s="9"/>
      <c r="AE2828" s="9"/>
      <c r="AF2828" s="9"/>
      <c r="AG2828" s="9"/>
      <c r="AH2828" s="9"/>
      <c r="AI2828" s="9"/>
      <c r="AJ2828" s="9"/>
      <c r="AK2828" s="9"/>
      <c r="AL2828" s="9"/>
      <c r="AM2828" s="9"/>
      <c r="AN2828" s="9"/>
      <c r="AO2828" s="9"/>
      <c r="AP2828" s="9"/>
      <c r="AQ2828" s="9"/>
      <c r="AR2828" s="9"/>
      <c r="AS2828" s="9"/>
      <c r="AT2828" s="9"/>
      <c r="AU2828" s="9"/>
    </row>
    <row r="2829" spans="1:47" ht="15.75" customHeight="1">
      <c r="A2829" s="9"/>
      <c r="B2829" s="9"/>
      <c r="C2829" s="9"/>
      <c r="D2829" s="9"/>
      <c r="E2829" s="9"/>
      <c r="F2829" s="67"/>
      <c r="G2829" s="9"/>
      <c r="H2829" s="9"/>
      <c r="I2829" s="9"/>
      <c r="J2829" s="9"/>
      <c r="K2829" s="9"/>
      <c r="L2829" s="9"/>
      <c r="M2829" s="9"/>
      <c r="N2829" s="9"/>
      <c r="O2829" s="9"/>
      <c r="P2829" s="9"/>
      <c r="Q2829" s="9"/>
      <c r="R2829" s="9"/>
      <c r="S2829" s="9"/>
      <c r="T2829" s="9"/>
      <c r="U2829" s="9"/>
      <c r="V2829" s="9"/>
      <c r="W2829" s="9"/>
      <c r="X2829" s="9"/>
      <c r="Y2829" s="9"/>
      <c r="Z2829" s="9"/>
      <c r="AA2829" s="9"/>
      <c r="AB2829" s="9"/>
      <c r="AC2829" s="9"/>
      <c r="AD2829" s="9"/>
      <c r="AE2829" s="9"/>
      <c r="AF2829" s="9"/>
      <c r="AG2829" s="9"/>
      <c r="AH2829" s="9"/>
      <c r="AI2829" s="9"/>
      <c r="AJ2829" s="9"/>
      <c r="AK2829" s="9"/>
      <c r="AL2829" s="9"/>
      <c r="AM2829" s="9"/>
      <c r="AN2829" s="9"/>
      <c r="AO2829" s="9"/>
      <c r="AP2829" s="9"/>
      <c r="AQ2829" s="9"/>
      <c r="AR2829" s="9"/>
      <c r="AS2829" s="9"/>
      <c r="AT2829" s="9"/>
      <c r="AU2829" s="9"/>
    </row>
    <row r="2830" spans="1:47" ht="15.75" customHeight="1">
      <c r="A2830" s="9"/>
      <c r="B2830" s="9"/>
      <c r="C2830" s="9"/>
      <c r="D2830" s="9"/>
      <c r="E2830" s="9"/>
      <c r="F2830" s="67"/>
      <c r="G2830" s="9"/>
      <c r="H2830" s="9"/>
      <c r="I2830" s="9"/>
      <c r="J2830" s="9"/>
      <c r="K2830" s="9"/>
      <c r="L2830" s="9"/>
      <c r="M2830" s="9"/>
      <c r="N2830" s="9"/>
      <c r="O2830" s="9"/>
      <c r="P2830" s="9"/>
      <c r="Q2830" s="9"/>
      <c r="R2830" s="9"/>
      <c r="S2830" s="9"/>
      <c r="T2830" s="9"/>
      <c r="U2830" s="9"/>
      <c r="V2830" s="9"/>
      <c r="W2830" s="9"/>
      <c r="X2830" s="9"/>
      <c r="Y2830" s="9"/>
      <c r="Z2830" s="9"/>
      <c r="AA2830" s="9"/>
      <c r="AB2830" s="9"/>
      <c r="AC2830" s="9"/>
      <c r="AD2830" s="9"/>
      <c r="AE2830" s="9"/>
      <c r="AF2830" s="9"/>
      <c r="AG2830" s="9"/>
      <c r="AH2830" s="9"/>
      <c r="AI2830" s="9"/>
      <c r="AJ2830" s="9"/>
      <c r="AK2830" s="9"/>
      <c r="AL2830" s="9"/>
      <c r="AM2830" s="9"/>
      <c r="AN2830" s="9"/>
      <c r="AO2830" s="9"/>
      <c r="AP2830" s="9"/>
      <c r="AQ2830" s="9"/>
      <c r="AR2830" s="9"/>
      <c r="AS2830" s="9"/>
      <c r="AT2830" s="9"/>
      <c r="AU2830" s="9"/>
    </row>
    <row r="2831" spans="1:47" ht="15.75" customHeight="1">
      <c r="A2831" s="9"/>
      <c r="B2831" s="9"/>
      <c r="C2831" s="9"/>
      <c r="D2831" s="9"/>
      <c r="E2831" s="9"/>
      <c r="F2831" s="67"/>
      <c r="G2831" s="9"/>
      <c r="H2831" s="9"/>
      <c r="I2831" s="9"/>
      <c r="J2831" s="9"/>
      <c r="K2831" s="9"/>
      <c r="L2831" s="9"/>
      <c r="M2831" s="9"/>
      <c r="N2831" s="9"/>
      <c r="O2831" s="9"/>
      <c r="P2831" s="9"/>
      <c r="Q2831" s="9"/>
      <c r="R2831" s="9"/>
      <c r="S2831" s="9"/>
      <c r="T2831" s="9"/>
      <c r="U2831" s="9"/>
      <c r="V2831" s="9"/>
      <c r="W2831" s="9"/>
      <c r="X2831" s="9"/>
      <c r="Y2831" s="9"/>
      <c r="Z2831" s="9"/>
      <c r="AA2831" s="9"/>
      <c r="AB2831" s="9"/>
      <c r="AC2831" s="9"/>
      <c r="AD2831" s="9"/>
      <c r="AE2831" s="9"/>
      <c r="AF2831" s="9"/>
      <c r="AG2831" s="9"/>
      <c r="AH2831" s="9"/>
      <c r="AI2831" s="9"/>
      <c r="AJ2831" s="9"/>
      <c r="AK2831" s="9"/>
      <c r="AL2831" s="9"/>
      <c r="AM2831" s="9"/>
      <c r="AN2831" s="9"/>
      <c r="AO2831" s="9"/>
      <c r="AP2831" s="9"/>
      <c r="AQ2831" s="9"/>
      <c r="AR2831" s="9"/>
      <c r="AS2831" s="9"/>
      <c r="AT2831" s="9"/>
      <c r="AU2831" s="9"/>
    </row>
    <row r="2832" spans="1:47" ht="15.75" customHeight="1">
      <c r="A2832" s="9"/>
      <c r="B2832" s="9"/>
      <c r="C2832" s="9"/>
      <c r="D2832" s="9"/>
      <c r="E2832" s="9"/>
      <c r="F2832" s="67"/>
      <c r="G2832" s="9"/>
      <c r="H2832" s="9"/>
      <c r="I2832" s="9"/>
      <c r="J2832" s="9"/>
      <c r="K2832" s="9"/>
      <c r="L2832" s="9"/>
      <c r="M2832" s="9"/>
      <c r="N2832" s="9"/>
      <c r="O2832" s="9"/>
      <c r="P2832" s="9"/>
      <c r="Q2832" s="9"/>
      <c r="R2832" s="9"/>
      <c r="S2832" s="9"/>
      <c r="T2832" s="9"/>
      <c r="U2832" s="9"/>
      <c r="V2832" s="9"/>
      <c r="W2832" s="9"/>
      <c r="X2832" s="9"/>
      <c r="Y2832" s="9"/>
      <c r="Z2832" s="9"/>
      <c r="AA2832" s="9"/>
      <c r="AB2832" s="9"/>
      <c r="AC2832" s="9"/>
      <c r="AD2832" s="9"/>
      <c r="AE2832" s="9"/>
      <c r="AF2832" s="9"/>
      <c r="AG2832" s="9"/>
      <c r="AH2832" s="9"/>
      <c r="AI2832" s="9"/>
      <c r="AJ2832" s="9"/>
      <c r="AK2832" s="9"/>
      <c r="AL2832" s="9"/>
      <c r="AM2832" s="9"/>
      <c r="AN2832" s="9"/>
      <c r="AO2832" s="9"/>
      <c r="AP2832" s="9"/>
      <c r="AQ2832" s="9"/>
      <c r="AR2832" s="9"/>
      <c r="AS2832" s="9"/>
      <c r="AT2832" s="9"/>
      <c r="AU2832" s="9"/>
    </row>
    <row r="2833" spans="1:47" ht="15.75" customHeight="1">
      <c r="A2833" s="9"/>
      <c r="B2833" s="9"/>
      <c r="C2833" s="9"/>
      <c r="D2833" s="9"/>
      <c r="E2833" s="9"/>
      <c r="F2833" s="67"/>
      <c r="G2833" s="9"/>
      <c r="H2833" s="9"/>
      <c r="I2833" s="9"/>
      <c r="J2833" s="9"/>
      <c r="K2833" s="9"/>
      <c r="L2833" s="9"/>
      <c r="M2833" s="9"/>
      <c r="N2833" s="9"/>
      <c r="O2833" s="9"/>
      <c r="P2833" s="9"/>
      <c r="Q2833" s="9"/>
      <c r="R2833" s="9"/>
      <c r="S2833" s="9"/>
      <c r="T2833" s="9"/>
      <c r="U2833" s="9"/>
      <c r="V2833" s="9"/>
      <c r="W2833" s="9"/>
      <c r="X2833" s="9"/>
      <c r="Y2833" s="9"/>
      <c r="Z2833" s="9"/>
      <c r="AA2833" s="9"/>
      <c r="AB2833" s="9"/>
      <c r="AC2833" s="9"/>
      <c r="AD2833" s="9"/>
      <c r="AE2833" s="9"/>
      <c r="AF2833" s="9"/>
      <c r="AG2833" s="9"/>
      <c r="AH2833" s="9"/>
      <c r="AI2833" s="9"/>
      <c r="AJ2833" s="9"/>
      <c r="AK2833" s="9"/>
      <c r="AL2833" s="9"/>
      <c r="AM2833" s="9"/>
      <c r="AN2833" s="9"/>
      <c r="AO2833" s="9"/>
      <c r="AP2833" s="9"/>
      <c r="AQ2833" s="9"/>
      <c r="AR2833" s="9"/>
      <c r="AS2833" s="9"/>
      <c r="AT2833" s="9"/>
      <c r="AU2833" s="9"/>
    </row>
    <row r="2834" spans="1:47" ht="15.75" customHeight="1">
      <c r="A2834" s="9"/>
      <c r="B2834" s="9"/>
      <c r="C2834" s="9"/>
      <c r="D2834" s="9"/>
      <c r="E2834" s="9"/>
      <c r="F2834" s="67"/>
      <c r="G2834" s="9"/>
      <c r="H2834" s="9"/>
      <c r="I2834" s="9"/>
      <c r="J2834" s="9"/>
      <c r="K2834" s="9"/>
      <c r="L2834" s="9"/>
      <c r="M2834" s="9"/>
      <c r="N2834" s="9"/>
      <c r="O2834" s="9"/>
      <c r="P2834" s="9"/>
      <c r="Q2834" s="9"/>
      <c r="R2834" s="9"/>
      <c r="S2834" s="9"/>
      <c r="T2834" s="9"/>
      <c r="U2834" s="9"/>
      <c r="V2834" s="9"/>
      <c r="W2834" s="9"/>
      <c r="X2834" s="9"/>
      <c r="Y2834" s="9"/>
      <c r="Z2834" s="9"/>
      <c r="AA2834" s="9"/>
      <c r="AB2834" s="9"/>
      <c r="AC2834" s="9"/>
      <c r="AD2834" s="9"/>
      <c r="AE2834" s="9"/>
      <c r="AF2834" s="9"/>
      <c r="AG2834" s="9"/>
      <c r="AH2834" s="9"/>
      <c r="AI2834" s="9"/>
      <c r="AJ2834" s="9"/>
      <c r="AK2834" s="9"/>
      <c r="AL2834" s="9"/>
      <c r="AM2834" s="9"/>
      <c r="AN2834" s="9"/>
      <c r="AO2834" s="9"/>
      <c r="AP2834" s="9"/>
      <c r="AQ2834" s="9"/>
      <c r="AR2834" s="9"/>
      <c r="AS2834" s="9"/>
      <c r="AT2834" s="9"/>
      <c r="AU2834" s="9"/>
    </row>
    <row r="2835" spans="1:47" ht="15.75" customHeight="1">
      <c r="A2835" s="9"/>
      <c r="B2835" s="9"/>
      <c r="C2835" s="9"/>
      <c r="D2835" s="9"/>
      <c r="E2835" s="9"/>
      <c r="F2835" s="67"/>
      <c r="G2835" s="9"/>
      <c r="H2835" s="9"/>
      <c r="I2835" s="9"/>
      <c r="J2835" s="9"/>
      <c r="K2835" s="9"/>
      <c r="L2835" s="9"/>
      <c r="M2835" s="9"/>
      <c r="N2835" s="9"/>
      <c r="O2835" s="9"/>
      <c r="P2835" s="9"/>
      <c r="Q2835" s="9"/>
      <c r="R2835" s="9"/>
      <c r="S2835" s="9"/>
      <c r="T2835" s="9"/>
      <c r="U2835" s="9"/>
      <c r="V2835" s="9"/>
      <c r="W2835" s="9"/>
      <c r="X2835" s="9"/>
      <c r="Y2835" s="9"/>
      <c r="Z2835" s="9"/>
      <c r="AA2835" s="9"/>
      <c r="AB2835" s="9"/>
      <c r="AC2835" s="9"/>
      <c r="AD2835" s="9"/>
      <c r="AE2835" s="9"/>
      <c r="AF2835" s="9"/>
      <c r="AG2835" s="9"/>
      <c r="AH2835" s="9"/>
      <c r="AI2835" s="9"/>
      <c r="AJ2835" s="9"/>
      <c r="AK2835" s="9"/>
      <c r="AL2835" s="9"/>
      <c r="AM2835" s="9"/>
      <c r="AN2835" s="9"/>
      <c r="AO2835" s="9"/>
      <c r="AP2835" s="9"/>
      <c r="AQ2835" s="9"/>
      <c r="AR2835" s="9"/>
      <c r="AS2835" s="9"/>
      <c r="AT2835" s="9"/>
      <c r="AU2835" s="9"/>
    </row>
    <row r="2836" spans="1:47" ht="15.75" customHeight="1">
      <c r="A2836" s="9"/>
      <c r="B2836" s="9"/>
      <c r="C2836" s="9"/>
      <c r="D2836" s="9"/>
      <c r="E2836" s="9"/>
      <c r="F2836" s="67"/>
      <c r="G2836" s="9"/>
      <c r="H2836" s="9"/>
      <c r="I2836" s="9"/>
      <c r="J2836" s="9"/>
      <c r="K2836" s="9"/>
      <c r="L2836" s="9"/>
      <c r="M2836" s="9"/>
      <c r="N2836" s="9"/>
      <c r="O2836" s="9"/>
      <c r="P2836" s="9"/>
      <c r="Q2836" s="9"/>
      <c r="R2836" s="9"/>
      <c r="S2836" s="9"/>
      <c r="T2836" s="9"/>
      <c r="U2836" s="9"/>
      <c r="V2836" s="9"/>
      <c r="W2836" s="9"/>
      <c r="X2836" s="9"/>
      <c r="Y2836" s="9"/>
      <c r="Z2836" s="9"/>
      <c r="AA2836" s="9"/>
      <c r="AB2836" s="9"/>
      <c r="AC2836" s="9"/>
      <c r="AD2836" s="9"/>
      <c r="AE2836" s="9"/>
      <c r="AF2836" s="9"/>
      <c r="AG2836" s="9"/>
      <c r="AH2836" s="9"/>
      <c r="AI2836" s="9"/>
      <c r="AJ2836" s="9"/>
      <c r="AK2836" s="9"/>
      <c r="AL2836" s="9"/>
      <c r="AM2836" s="9"/>
      <c r="AN2836" s="9"/>
      <c r="AO2836" s="9"/>
      <c r="AP2836" s="9"/>
      <c r="AQ2836" s="9"/>
      <c r="AR2836" s="9"/>
      <c r="AS2836" s="9"/>
      <c r="AT2836" s="9"/>
      <c r="AU2836" s="9"/>
    </row>
    <row r="2837" spans="1:47" ht="15.75" customHeight="1">
      <c r="A2837" s="9"/>
      <c r="B2837" s="9"/>
      <c r="C2837" s="9"/>
      <c r="D2837" s="9"/>
      <c r="E2837" s="9"/>
      <c r="F2837" s="67"/>
      <c r="G2837" s="9"/>
      <c r="H2837" s="9"/>
      <c r="I2837" s="9"/>
      <c r="J2837" s="9"/>
      <c r="K2837" s="9"/>
      <c r="L2837" s="9"/>
      <c r="M2837" s="9"/>
      <c r="N2837" s="9"/>
      <c r="O2837" s="9"/>
      <c r="P2837" s="9"/>
      <c r="Q2837" s="9"/>
      <c r="R2837" s="9"/>
      <c r="S2837" s="9"/>
      <c r="T2837" s="9"/>
      <c r="U2837" s="9"/>
      <c r="V2837" s="9"/>
      <c r="W2837" s="9"/>
      <c r="X2837" s="9"/>
      <c r="Y2837" s="9"/>
      <c r="Z2837" s="9"/>
      <c r="AA2837" s="9"/>
      <c r="AB2837" s="9"/>
      <c r="AC2837" s="9"/>
      <c r="AD2837" s="9"/>
      <c r="AE2837" s="9"/>
      <c r="AF2837" s="9"/>
      <c r="AG2837" s="9"/>
      <c r="AH2837" s="9"/>
      <c r="AI2837" s="9"/>
      <c r="AJ2837" s="9"/>
      <c r="AK2837" s="9"/>
      <c r="AL2837" s="9"/>
      <c r="AM2837" s="9"/>
      <c r="AN2837" s="9"/>
      <c r="AO2837" s="9"/>
      <c r="AP2837" s="9"/>
      <c r="AQ2837" s="9"/>
      <c r="AR2837" s="9"/>
      <c r="AS2837" s="9"/>
      <c r="AT2837" s="9"/>
      <c r="AU2837" s="9"/>
    </row>
    <row r="2838" spans="1:47" ht="15.75" customHeight="1">
      <c r="A2838" s="9"/>
      <c r="B2838" s="9"/>
      <c r="C2838" s="9"/>
      <c r="D2838" s="9"/>
      <c r="E2838" s="9"/>
      <c r="F2838" s="67"/>
      <c r="G2838" s="9"/>
      <c r="H2838" s="9"/>
      <c r="I2838" s="9"/>
      <c r="J2838" s="9"/>
      <c r="K2838" s="9"/>
      <c r="L2838" s="9"/>
      <c r="M2838" s="9"/>
      <c r="N2838" s="9"/>
      <c r="O2838" s="9"/>
      <c r="P2838" s="9"/>
      <c r="Q2838" s="9"/>
      <c r="R2838" s="9"/>
      <c r="S2838" s="9"/>
      <c r="T2838" s="9"/>
      <c r="U2838" s="9"/>
      <c r="V2838" s="9"/>
      <c r="W2838" s="9"/>
      <c r="X2838" s="9"/>
      <c r="Y2838" s="9"/>
      <c r="Z2838" s="9"/>
      <c r="AA2838" s="9"/>
      <c r="AB2838" s="9"/>
      <c r="AC2838" s="9"/>
      <c r="AD2838" s="9"/>
      <c r="AE2838" s="9"/>
      <c r="AF2838" s="9"/>
      <c r="AG2838" s="9"/>
      <c r="AH2838" s="9"/>
      <c r="AI2838" s="9"/>
      <c r="AJ2838" s="9"/>
      <c r="AK2838" s="9"/>
      <c r="AL2838" s="9"/>
      <c r="AM2838" s="9"/>
      <c r="AN2838" s="9"/>
      <c r="AO2838" s="9"/>
      <c r="AP2838" s="9"/>
      <c r="AQ2838" s="9"/>
      <c r="AR2838" s="9"/>
      <c r="AS2838" s="9"/>
      <c r="AT2838" s="9"/>
      <c r="AU2838" s="9"/>
    </row>
    <row r="2839" spans="1:47" ht="15.75" customHeight="1">
      <c r="A2839" s="9"/>
      <c r="B2839" s="9"/>
      <c r="C2839" s="9"/>
      <c r="D2839" s="9"/>
      <c r="E2839" s="9"/>
      <c r="F2839" s="67"/>
      <c r="G2839" s="9"/>
      <c r="H2839" s="9"/>
      <c r="I2839" s="9"/>
      <c r="J2839" s="9"/>
      <c r="K2839" s="9"/>
      <c r="L2839" s="9"/>
      <c r="M2839" s="9"/>
      <c r="N2839" s="9"/>
      <c r="O2839" s="9"/>
      <c r="P2839" s="9"/>
      <c r="Q2839" s="9"/>
      <c r="R2839" s="9"/>
      <c r="S2839" s="9"/>
      <c r="T2839" s="9"/>
      <c r="U2839" s="9"/>
      <c r="V2839" s="9"/>
      <c r="W2839" s="9"/>
      <c r="X2839" s="9"/>
      <c r="Y2839" s="9"/>
      <c r="Z2839" s="9"/>
      <c r="AA2839" s="9"/>
      <c r="AB2839" s="9"/>
      <c r="AC2839" s="9"/>
      <c r="AD2839" s="9"/>
      <c r="AE2839" s="9"/>
      <c r="AF2839" s="9"/>
      <c r="AG2839" s="9"/>
      <c r="AH2839" s="9"/>
      <c r="AI2839" s="9"/>
      <c r="AJ2839" s="9"/>
      <c r="AK2839" s="9"/>
      <c r="AL2839" s="9"/>
      <c r="AM2839" s="9"/>
      <c r="AN2839" s="9"/>
      <c r="AO2839" s="9"/>
      <c r="AP2839" s="9"/>
      <c r="AQ2839" s="9"/>
      <c r="AR2839" s="9"/>
      <c r="AS2839" s="9"/>
      <c r="AT2839" s="9"/>
      <c r="AU2839" s="9"/>
    </row>
    <row r="2840" spans="1:47" ht="15.75" customHeight="1">
      <c r="A2840" s="9"/>
      <c r="B2840" s="9"/>
      <c r="C2840" s="9"/>
      <c r="D2840" s="9"/>
      <c r="E2840" s="9"/>
      <c r="F2840" s="67"/>
      <c r="G2840" s="9"/>
      <c r="H2840" s="9"/>
      <c r="I2840" s="9"/>
      <c r="J2840" s="9"/>
      <c r="K2840" s="9"/>
      <c r="L2840" s="9"/>
      <c r="M2840" s="9"/>
      <c r="N2840" s="9"/>
      <c r="O2840" s="9"/>
      <c r="P2840" s="9"/>
      <c r="Q2840" s="9"/>
      <c r="R2840" s="9"/>
      <c r="S2840" s="9"/>
      <c r="T2840" s="9"/>
      <c r="U2840" s="9"/>
      <c r="V2840" s="9"/>
      <c r="W2840" s="9"/>
      <c r="X2840" s="9"/>
      <c r="Y2840" s="9"/>
      <c r="Z2840" s="9"/>
      <c r="AA2840" s="9"/>
      <c r="AB2840" s="9"/>
      <c r="AC2840" s="9"/>
      <c r="AD2840" s="9"/>
      <c r="AE2840" s="9"/>
      <c r="AF2840" s="9"/>
      <c r="AG2840" s="9"/>
      <c r="AH2840" s="9"/>
      <c r="AI2840" s="9"/>
      <c r="AJ2840" s="9"/>
      <c r="AK2840" s="9"/>
      <c r="AL2840" s="9"/>
      <c r="AM2840" s="9"/>
      <c r="AN2840" s="9"/>
      <c r="AO2840" s="9"/>
      <c r="AP2840" s="9"/>
      <c r="AQ2840" s="9"/>
      <c r="AR2840" s="9"/>
      <c r="AS2840" s="9"/>
      <c r="AT2840" s="9"/>
      <c r="AU2840" s="9"/>
    </row>
    <row r="2841" spans="1:47" ht="15.75" customHeight="1">
      <c r="A2841" s="9"/>
      <c r="B2841" s="9"/>
      <c r="C2841" s="9"/>
      <c r="D2841" s="9"/>
      <c r="E2841" s="9"/>
      <c r="F2841" s="67"/>
      <c r="G2841" s="9"/>
      <c r="H2841" s="9"/>
      <c r="I2841" s="9"/>
      <c r="J2841" s="9"/>
      <c r="K2841" s="9"/>
      <c r="L2841" s="9"/>
      <c r="M2841" s="9"/>
      <c r="N2841" s="9"/>
      <c r="O2841" s="9"/>
      <c r="P2841" s="9"/>
      <c r="Q2841" s="9"/>
      <c r="R2841" s="9"/>
      <c r="S2841" s="9"/>
      <c r="T2841" s="9"/>
      <c r="U2841" s="9"/>
      <c r="V2841" s="9"/>
      <c r="W2841" s="9"/>
      <c r="X2841" s="9"/>
      <c r="Y2841" s="9"/>
      <c r="Z2841" s="9"/>
      <c r="AA2841" s="9"/>
      <c r="AB2841" s="9"/>
      <c r="AC2841" s="9"/>
      <c r="AD2841" s="9"/>
      <c r="AE2841" s="9"/>
      <c r="AF2841" s="9"/>
      <c r="AG2841" s="9"/>
      <c r="AH2841" s="9"/>
      <c r="AI2841" s="9"/>
      <c r="AJ2841" s="9"/>
      <c r="AK2841" s="9"/>
      <c r="AL2841" s="9"/>
      <c r="AM2841" s="9"/>
      <c r="AN2841" s="9"/>
      <c r="AO2841" s="9"/>
      <c r="AP2841" s="9"/>
      <c r="AQ2841" s="9"/>
      <c r="AR2841" s="9"/>
      <c r="AS2841" s="9"/>
      <c r="AT2841" s="9"/>
      <c r="AU2841" s="9"/>
    </row>
    <row r="2842" spans="1:47" ht="15.75" customHeight="1">
      <c r="A2842" s="9"/>
      <c r="B2842" s="9"/>
      <c r="C2842" s="9"/>
      <c r="D2842" s="9"/>
      <c r="E2842" s="9"/>
      <c r="F2842" s="67"/>
      <c r="G2842" s="9"/>
      <c r="H2842" s="9"/>
      <c r="I2842" s="9"/>
      <c r="J2842" s="9"/>
      <c r="K2842" s="9"/>
      <c r="L2842" s="9"/>
      <c r="M2842" s="9"/>
      <c r="N2842" s="9"/>
      <c r="O2842" s="9"/>
      <c r="P2842" s="9"/>
      <c r="Q2842" s="9"/>
      <c r="R2842" s="9"/>
      <c r="S2842" s="9"/>
      <c r="T2842" s="9"/>
      <c r="U2842" s="9"/>
      <c r="V2842" s="9"/>
      <c r="W2842" s="9"/>
      <c r="X2842" s="9"/>
      <c r="Y2842" s="9"/>
      <c r="Z2842" s="9"/>
      <c r="AA2842" s="9"/>
      <c r="AB2842" s="9"/>
      <c r="AC2842" s="9"/>
      <c r="AD2842" s="9"/>
      <c r="AE2842" s="9"/>
      <c r="AF2842" s="9"/>
      <c r="AG2842" s="9"/>
      <c r="AH2842" s="9"/>
      <c r="AI2842" s="9"/>
      <c r="AJ2842" s="9"/>
      <c r="AK2842" s="9"/>
      <c r="AL2842" s="9"/>
      <c r="AM2842" s="9"/>
      <c r="AN2842" s="9"/>
      <c r="AO2842" s="9"/>
      <c r="AP2842" s="9"/>
      <c r="AQ2842" s="9"/>
      <c r="AR2842" s="9"/>
      <c r="AS2842" s="9"/>
      <c r="AT2842" s="9"/>
      <c r="AU2842" s="9"/>
    </row>
    <row r="2843" spans="1:47" ht="15.75" customHeight="1">
      <c r="A2843" s="9"/>
      <c r="B2843" s="9"/>
      <c r="C2843" s="9"/>
      <c r="D2843" s="9"/>
      <c r="E2843" s="9"/>
      <c r="F2843" s="67"/>
      <c r="G2843" s="9"/>
      <c r="H2843" s="9"/>
      <c r="I2843" s="9"/>
      <c r="J2843" s="9"/>
      <c r="K2843" s="9"/>
      <c r="L2843" s="9"/>
      <c r="M2843" s="9"/>
      <c r="N2843" s="9"/>
      <c r="O2843" s="9"/>
      <c r="P2843" s="9"/>
      <c r="Q2843" s="9"/>
      <c r="R2843" s="9"/>
      <c r="S2843" s="9"/>
      <c r="T2843" s="9"/>
      <c r="U2843" s="9"/>
      <c r="V2843" s="9"/>
      <c r="W2843" s="9"/>
      <c r="X2843" s="9"/>
      <c r="Y2843" s="9"/>
      <c r="Z2843" s="9"/>
      <c r="AA2843" s="9"/>
      <c r="AB2843" s="9"/>
      <c r="AC2843" s="9"/>
      <c r="AD2843" s="9"/>
      <c r="AE2843" s="9"/>
      <c r="AF2843" s="9"/>
      <c r="AG2843" s="9"/>
      <c r="AH2843" s="9"/>
      <c r="AI2843" s="9"/>
      <c r="AJ2843" s="9"/>
      <c r="AK2843" s="9"/>
      <c r="AL2843" s="9"/>
      <c r="AM2843" s="9"/>
      <c r="AN2843" s="9"/>
      <c r="AO2843" s="9"/>
      <c r="AP2843" s="9"/>
      <c r="AQ2843" s="9"/>
      <c r="AR2843" s="9"/>
      <c r="AS2843" s="9"/>
      <c r="AT2843" s="9"/>
      <c r="AU2843" s="9"/>
    </row>
    <row r="2844" spans="1:47" ht="15.75" customHeight="1">
      <c r="A2844" s="9"/>
      <c r="B2844" s="9"/>
      <c r="C2844" s="9"/>
      <c r="D2844" s="9"/>
      <c r="E2844" s="9"/>
      <c r="F2844" s="67"/>
      <c r="G2844" s="9"/>
      <c r="H2844" s="9"/>
      <c r="I2844" s="9"/>
      <c r="J2844" s="9"/>
      <c r="K2844" s="9"/>
      <c r="L2844" s="9"/>
      <c r="M2844" s="9"/>
      <c r="N2844" s="9"/>
      <c r="O2844" s="9"/>
      <c r="P2844" s="9"/>
      <c r="Q2844" s="9"/>
      <c r="R2844" s="9"/>
      <c r="S2844" s="9"/>
      <c r="T2844" s="9"/>
      <c r="U2844" s="9"/>
      <c r="V2844" s="9"/>
      <c r="W2844" s="9"/>
      <c r="X2844" s="9"/>
      <c r="Y2844" s="9"/>
      <c r="Z2844" s="9"/>
      <c r="AA2844" s="9"/>
      <c r="AB2844" s="9"/>
      <c r="AC2844" s="9"/>
      <c r="AD2844" s="9"/>
      <c r="AE2844" s="9"/>
      <c r="AF2844" s="9"/>
      <c r="AG2844" s="9"/>
      <c r="AH2844" s="9"/>
      <c r="AI2844" s="9"/>
      <c r="AJ2844" s="9"/>
      <c r="AK2844" s="9"/>
      <c r="AL2844" s="9"/>
      <c r="AM2844" s="9"/>
      <c r="AN2844" s="9"/>
      <c r="AO2844" s="9"/>
      <c r="AP2844" s="9"/>
      <c r="AQ2844" s="9"/>
      <c r="AR2844" s="9"/>
      <c r="AS2844" s="9"/>
      <c r="AT2844" s="9"/>
      <c r="AU2844" s="9"/>
    </row>
    <row r="2845" spans="1:47" ht="15.75" customHeight="1">
      <c r="A2845" s="9"/>
      <c r="B2845" s="9"/>
      <c r="C2845" s="9"/>
      <c r="D2845" s="9"/>
      <c r="E2845" s="9"/>
      <c r="F2845" s="67"/>
      <c r="G2845" s="9"/>
      <c r="H2845" s="9"/>
      <c r="I2845" s="9"/>
      <c r="J2845" s="9"/>
      <c r="K2845" s="9"/>
      <c r="L2845" s="9"/>
      <c r="M2845" s="9"/>
      <c r="N2845" s="9"/>
      <c r="O2845" s="9"/>
      <c r="P2845" s="9"/>
      <c r="Q2845" s="9"/>
      <c r="R2845" s="9"/>
      <c r="S2845" s="9"/>
      <c r="T2845" s="9"/>
      <c r="U2845" s="9"/>
      <c r="V2845" s="9"/>
      <c r="W2845" s="9"/>
      <c r="X2845" s="9"/>
      <c r="Y2845" s="9"/>
      <c r="Z2845" s="9"/>
      <c r="AA2845" s="9"/>
      <c r="AB2845" s="9"/>
      <c r="AC2845" s="9"/>
      <c r="AD2845" s="9"/>
      <c r="AE2845" s="9"/>
      <c r="AF2845" s="9"/>
      <c r="AG2845" s="9"/>
      <c r="AH2845" s="9"/>
      <c r="AI2845" s="9"/>
      <c r="AJ2845" s="9"/>
      <c r="AK2845" s="9"/>
      <c r="AL2845" s="9"/>
      <c r="AM2845" s="9"/>
      <c r="AN2845" s="9"/>
      <c r="AO2845" s="9"/>
      <c r="AP2845" s="9"/>
      <c r="AQ2845" s="9"/>
      <c r="AR2845" s="9"/>
      <c r="AS2845" s="9"/>
      <c r="AT2845" s="9"/>
      <c r="AU2845" s="9"/>
    </row>
    <row r="2846" spans="1:47" ht="15.75" customHeight="1">
      <c r="A2846" s="9"/>
      <c r="B2846" s="9"/>
      <c r="C2846" s="9"/>
      <c r="D2846" s="9"/>
      <c r="E2846" s="9"/>
      <c r="F2846" s="67"/>
      <c r="G2846" s="9"/>
      <c r="H2846" s="9"/>
      <c r="I2846" s="9"/>
      <c r="J2846" s="9"/>
      <c r="K2846" s="9"/>
      <c r="L2846" s="9"/>
      <c r="M2846" s="9"/>
      <c r="N2846" s="9"/>
      <c r="O2846" s="9"/>
      <c r="P2846" s="9"/>
      <c r="Q2846" s="9"/>
      <c r="R2846" s="9"/>
      <c r="S2846" s="9"/>
      <c r="T2846" s="9"/>
      <c r="U2846" s="9"/>
      <c r="V2846" s="9"/>
      <c r="W2846" s="9"/>
      <c r="X2846" s="9"/>
      <c r="Y2846" s="9"/>
      <c r="Z2846" s="9"/>
      <c r="AA2846" s="9"/>
      <c r="AB2846" s="9"/>
      <c r="AC2846" s="9"/>
      <c r="AD2846" s="9"/>
      <c r="AE2846" s="9"/>
      <c r="AF2846" s="9"/>
      <c r="AG2846" s="9"/>
      <c r="AH2846" s="9"/>
      <c r="AI2846" s="9"/>
      <c r="AJ2846" s="9"/>
      <c r="AK2846" s="9"/>
      <c r="AL2846" s="9"/>
      <c r="AM2846" s="9"/>
      <c r="AN2846" s="9"/>
      <c r="AO2846" s="9"/>
      <c r="AP2846" s="9"/>
      <c r="AQ2846" s="9"/>
      <c r="AR2846" s="9"/>
      <c r="AS2846" s="9"/>
      <c r="AT2846" s="9"/>
      <c r="AU2846" s="9"/>
    </row>
    <row r="2847" spans="1:47" ht="15.75" customHeight="1">
      <c r="A2847" s="9"/>
      <c r="B2847" s="9"/>
      <c r="C2847" s="9"/>
      <c r="D2847" s="9"/>
      <c r="E2847" s="9"/>
      <c r="F2847" s="67"/>
      <c r="G2847" s="9"/>
      <c r="H2847" s="9"/>
      <c r="I2847" s="9"/>
      <c r="J2847" s="9"/>
      <c r="K2847" s="9"/>
      <c r="L2847" s="9"/>
      <c r="M2847" s="9"/>
      <c r="N2847" s="9"/>
      <c r="O2847" s="9"/>
      <c r="P2847" s="9"/>
      <c r="Q2847" s="9"/>
      <c r="R2847" s="9"/>
      <c r="S2847" s="9"/>
      <c r="T2847" s="9"/>
      <c r="U2847" s="9"/>
      <c r="V2847" s="9"/>
      <c r="W2847" s="9"/>
      <c r="X2847" s="9"/>
      <c r="Y2847" s="9"/>
      <c r="Z2847" s="9"/>
      <c r="AA2847" s="9"/>
      <c r="AB2847" s="9"/>
      <c r="AC2847" s="9"/>
      <c r="AD2847" s="9"/>
      <c r="AE2847" s="9"/>
      <c r="AF2847" s="9"/>
      <c r="AG2847" s="9"/>
      <c r="AH2847" s="9"/>
      <c r="AI2847" s="9"/>
      <c r="AJ2847" s="9"/>
      <c r="AK2847" s="9"/>
      <c r="AL2847" s="9"/>
      <c r="AM2847" s="9"/>
      <c r="AN2847" s="9"/>
      <c r="AO2847" s="9"/>
      <c r="AP2847" s="9"/>
      <c r="AQ2847" s="9"/>
      <c r="AR2847" s="9"/>
      <c r="AS2847" s="9"/>
      <c r="AT2847" s="9"/>
      <c r="AU2847" s="9"/>
    </row>
    <row r="2848" spans="1:47" ht="15.75" customHeight="1">
      <c r="A2848" s="9"/>
      <c r="B2848" s="9"/>
      <c r="C2848" s="9"/>
      <c r="D2848" s="9"/>
      <c r="E2848" s="9"/>
      <c r="F2848" s="67"/>
      <c r="G2848" s="9"/>
      <c r="H2848" s="9"/>
      <c r="I2848" s="9"/>
      <c r="J2848" s="9"/>
      <c r="K2848" s="9"/>
      <c r="L2848" s="9"/>
      <c r="M2848" s="9"/>
      <c r="N2848" s="9"/>
      <c r="O2848" s="9"/>
      <c r="P2848" s="9"/>
      <c r="Q2848" s="9"/>
      <c r="R2848" s="9"/>
      <c r="S2848" s="9"/>
      <c r="T2848" s="9"/>
      <c r="U2848" s="9"/>
      <c r="V2848" s="9"/>
      <c r="W2848" s="9"/>
      <c r="X2848" s="9"/>
      <c r="Y2848" s="9"/>
      <c r="Z2848" s="9"/>
      <c r="AA2848" s="9"/>
      <c r="AB2848" s="9"/>
      <c r="AC2848" s="9"/>
      <c r="AD2848" s="9"/>
      <c r="AE2848" s="9"/>
      <c r="AF2848" s="9"/>
      <c r="AG2848" s="9"/>
      <c r="AH2848" s="9"/>
      <c r="AI2848" s="9"/>
      <c r="AJ2848" s="9"/>
      <c r="AK2848" s="9"/>
      <c r="AL2848" s="9"/>
      <c r="AM2848" s="9"/>
      <c r="AN2848" s="9"/>
      <c r="AO2848" s="9"/>
      <c r="AP2848" s="9"/>
      <c r="AQ2848" s="9"/>
      <c r="AR2848" s="9"/>
      <c r="AS2848" s="9"/>
      <c r="AT2848" s="9"/>
      <c r="AU2848" s="9"/>
    </row>
    <row r="2849" spans="1:47" ht="15.75" customHeight="1">
      <c r="A2849" s="9"/>
      <c r="B2849" s="9"/>
      <c r="C2849" s="9"/>
      <c r="D2849" s="9"/>
      <c r="E2849" s="9"/>
      <c r="F2849" s="67"/>
      <c r="G2849" s="9"/>
      <c r="H2849" s="9"/>
      <c r="I2849" s="9"/>
      <c r="J2849" s="9"/>
      <c r="K2849" s="9"/>
      <c r="L2849" s="9"/>
      <c r="M2849" s="9"/>
      <c r="N2849" s="9"/>
      <c r="O2849" s="9"/>
      <c r="P2849" s="9"/>
      <c r="Q2849" s="9"/>
      <c r="R2849" s="9"/>
      <c r="S2849" s="9"/>
      <c r="T2849" s="9"/>
      <c r="U2849" s="9"/>
      <c r="V2849" s="9"/>
      <c r="W2849" s="9"/>
      <c r="X2849" s="9"/>
      <c r="Y2849" s="9"/>
      <c r="Z2849" s="9"/>
      <c r="AA2849" s="9"/>
      <c r="AB2849" s="9"/>
      <c r="AC2849" s="9"/>
      <c r="AD2849" s="9"/>
      <c r="AE2849" s="9"/>
      <c r="AF2849" s="9"/>
      <c r="AG2849" s="9"/>
      <c r="AH2849" s="9"/>
      <c r="AI2849" s="9"/>
      <c r="AJ2849" s="9"/>
      <c r="AK2849" s="9"/>
      <c r="AL2849" s="9"/>
      <c r="AM2849" s="9"/>
      <c r="AN2849" s="9"/>
      <c r="AO2849" s="9"/>
      <c r="AP2849" s="9"/>
      <c r="AQ2849" s="9"/>
      <c r="AR2849" s="9"/>
      <c r="AS2849" s="9"/>
      <c r="AT2849" s="9"/>
      <c r="AU2849" s="9"/>
    </row>
    <row r="2850" spans="1:47" ht="15.75" customHeight="1">
      <c r="A2850" s="9"/>
      <c r="B2850" s="9"/>
      <c r="C2850" s="9"/>
      <c r="D2850" s="9"/>
      <c r="E2850" s="9"/>
      <c r="F2850" s="67"/>
      <c r="G2850" s="9"/>
      <c r="H2850" s="9"/>
      <c r="I2850" s="9"/>
      <c r="J2850" s="9"/>
      <c r="K2850" s="9"/>
      <c r="L2850" s="9"/>
      <c r="M2850" s="9"/>
      <c r="N2850" s="9"/>
      <c r="O2850" s="9"/>
      <c r="P2850" s="9"/>
      <c r="Q2850" s="9"/>
      <c r="R2850" s="9"/>
      <c r="S2850" s="9"/>
      <c r="T2850" s="9"/>
      <c r="U2850" s="9"/>
      <c r="V2850" s="9"/>
      <c r="W2850" s="9"/>
      <c r="X2850" s="9"/>
      <c r="Y2850" s="9"/>
      <c r="Z2850" s="9"/>
      <c r="AA2850" s="9"/>
      <c r="AB2850" s="9"/>
      <c r="AC2850" s="9"/>
      <c r="AD2850" s="9"/>
      <c r="AE2850" s="9"/>
      <c r="AF2850" s="9"/>
      <c r="AG2850" s="9"/>
      <c r="AH2850" s="9"/>
      <c r="AI2850" s="9"/>
      <c r="AJ2850" s="9"/>
      <c r="AK2850" s="9"/>
      <c r="AL2850" s="9"/>
      <c r="AM2850" s="9"/>
      <c r="AN2850" s="9"/>
      <c r="AO2850" s="9"/>
      <c r="AP2850" s="9"/>
      <c r="AQ2850" s="9"/>
      <c r="AR2850" s="9"/>
      <c r="AS2850" s="9"/>
      <c r="AT2850" s="9"/>
      <c r="AU2850" s="9"/>
    </row>
    <row r="2851" spans="1:47" ht="15.75" customHeight="1">
      <c r="A2851" s="9"/>
      <c r="B2851" s="9"/>
      <c r="C2851" s="9"/>
      <c r="D2851" s="9"/>
      <c r="E2851" s="9"/>
      <c r="F2851" s="67"/>
      <c r="G2851" s="9"/>
      <c r="H2851" s="9"/>
      <c r="I2851" s="9"/>
      <c r="J2851" s="9"/>
      <c r="K2851" s="9"/>
      <c r="L2851" s="9"/>
      <c r="M2851" s="9"/>
      <c r="N2851" s="9"/>
      <c r="O2851" s="9"/>
      <c r="P2851" s="9"/>
      <c r="Q2851" s="9"/>
      <c r="R2851" s="9"/>
      <c r="S2851" s="9"/>
      <c r="T2851" s="9"/>
      <c r="U2851" s="9"/>
      <c r="V2851" s="9"/>
      <c r="W2851" s="9"/>
      <c r="X2851" s="9"/>
      <c r="Y2851" s="9"/>
      <c r="Z2851" s="9"/>
      <c r="AA2851" s="9"/>
      <c r="AB2851" s="9"/>
      <c r="AC2851" s="9"/>
      <c r="AD2851" s="9"/>
      <c r="AE2851" s="9"/>
      <c r="AF2851" s="9"/>
      <c r="AG2851" s="9"/>
      <c r="AH2851" s="9"/>
      <c r="AI2851" s="9"/>
      <c r="AJ2851" s="9"/>
      <c r="AK2851" s="9"/>
      <c r="AL2851" s="9"/>
      <c r="AM2851" s="9"/>
      <c r="AN2851" s="9"/>
      <c r="AO2851" s="9"/>
      <c r="AP2851" s="9"/>
      <c r="AQ2851" s="9"/>
      <c r="AR2851" s="9"/>
      <c r="AS2851" s="9"/>
      <c r="AT2851" s="9"/>
      <c r="AU2851" s="9"/>
    </row>
    <row r="2852" spans="1:47" ht="15.75" customHeight="1">
      <c r="A2852" s="9"/>
      <c r="B2852" s="9"/>
      <c r="C2852" s="9"/>
      <c r="D2852" s="9"/>
      <c r="E2852" s="9"/>
      <c r="F2852" s="67"/>
      <c r="G2852" s="9"/>
      <c r="H2852" s="9"/>
      <c r="I2852" s="9"/>
      <c r="J2852" s="9"/>
      <c r="K2852" s="9"/>
      <c r="L2852" s="9"/>
      <c r="M2852" s="9"/>
      <c r="N2852" s="9"/>
      <c r="O2852" s="9"/>
      <c r="P2852" s="9"/>
      <c r="Q2852" s="9"/>
      <c r="R2852" s="9"/>
      <c r="S2852" s="9"/>
      <c r="T2852" s="9"/>
      <c r="U2852" s="9"/>
      <c r="V2852" s="9"/>
      <c r="W2852" s="9"/>
      <c r="X2852" s="9"/>
      <c r="Y2852" s="9"/>
      <c r="Z2852" s="9"/>
      <c r="AA2852" s="9"/>
      <c r="AB2852" s="9"/>
      <c r="AC2852" s="9"/>
      <c r="AD2852" s="9"/>
      <c r="AE2852" s="9"/>
      <c r="AF2852" s="9"/>
      <c r="AG2852" s="9"/>
      <c r="AH2852" s="9"/>
      <c r="AI2852" s="9"/>
      <c r="AJ2852" s="9"/>
      <c r="AK2852" s="9"/>
      <c r="AL2852" s="9"/>
      <c r="AM2852" s="9"/>
      <c r="AN2852" s="9"/>
      <c r="AO2852" s="9"/>
      <c r="AP2852" s="9"/>
      <c r="AQ2852" s="9"/>
      <c r="AR2852" s="9"/>
      <c r="AS2852" s="9"/>
      <c r="AT2852" s="9"/>
      <c r="AU2852" s="9"/>
    </row>
    <row r="2853" spans="1:47" ht="15.75" customHeight="1">
      <c r="A2853" s="9"/>
      <c r="B2853" s="9"/>
      <c r="C2853" s="9"/>
      <c r="D2853" s="9"/>
      <c r="E2853" s="9"/>
      <c r="F2853" s="67"/>
      <c r="G2853" s="9"/>
      <c r="H2853" s="9"/>
      <c r="I2853" s="9"/>
      <c r="J2853" s="9"/>
      <c r="K2853" s="9"/>
      <c r="L2853" s="9"/>
      <c r="M2853" s="9"/>
      <c r="N2853" s="9"/>
      <c r="O2853" s="9"/>
      <c r="P2853" s="9"/>
      <c r="Q2853" s="9"/>
      <c r="R2853" s="9"/>
      <c r="S2853" s="9"/>
      <c r="T2853" s="9"/>
      <c r="U2853" s="9"/>
      <c r="V2853" s="9"/>
      <c r="W2853" s="9"/>
      <c r="X2853" s="9"/>
      <c r="Y2853" s="9"/>
      <c r="Z2853" s="9"/>
      <c r="AA2853" s="9"/>
      <c r="AB2853" s="9"/>
      <c r="AC2853" s="9"/>
      <c r="AD2853" s="9"/>
      <c r="AE2853" s="9"/>
      <c r="AF2853" s="9"/>
      <c r="AG2853" s="9"/>
      <c r="AH2853" s="9"/>
      <c r="AI2853" s="9"/>
      <c r="AJ2853" s="9"/>
      <c r="AK2853" s="9"/>
      <c r="AL2853" s="9"/>
      <c r="AM2853" s="9"/>
      <c r="AN2853" s="9"/>
      <c r="AO2853" s="9"/>
      <c r="AP2853" s="9"/>
      <c r="AQ2853" s="9"/>
      <c r="AR2853" s="9"/>
      <c r="AS2853" s="9"/>
      <c r="AT2853" s="9"/>
      <c r="AU2853" s="9"/>
    </row>
    <row r="2854" spans="1:47" ht="15.75" customHeight="1">
      <c r="A2854" s="9"/>
      <c r="B2854" s="9"/>
      <c r="C2854" s="9"/>
      <c r="D2854" s="9"/>
      <c r="E2854" s="9"/>
      <c r="F2854" s="67"/>
      <c r="G2854" s="9"/>
      <c r="H2854" s="9"/>
      <c r="I2854" s="9"/>
      <c r="J2854" s="9"/>
      <c r="K2854" s="9"/>
      <c r="L2854" s="9"/>
      <c r="M2854" s="9"/>
      <c r="N2854" s="9"/>
      <c r="O2854" s="9"/>
      <c r="P2854" s="9"/>
      <c r="Q2854" s="9"/>
      <c r="R2854" s="9"/>
      <c r="S2854" s="9"/>
      <c r="T2854" s="9"/>
      <c r="U2854" s="9"/>
      <c r="V2854" s="9"/>
      <c r="W2854" s="9"/>
      <c r="X2854" s="9"/>
      <c r="Y2854" s="9"/>
      <c r="Z2854" s="9"/>
      <c r="AA2854" s="9"/>
      <c r="AB2854" s="9"/>
      <c r="AC2854" s="9"/>
      <c r="AD2854" s="9"/>
      <c r="AE2854" s="9"/>
      <c r="AF2854" s="9"/>
      <c r="AG2854" s="9"/>
      <c r="AH2854" s="9"/>
      <c r="AI2854" s="9"/>
      <c r="AJ2854" s="9"/>
      <c r="AK2854" s="9"/>
      <c r="AL2854" s="9"/>
      <c r="AM2854" s="9"/>
      <c r="AN2854" s="9"/>
      <c r="AO2854" s="9"/>
      <c r="AP2854" s="9"/>
      <c r="AQ2854" s="9"/>
      <c r="AR2854" s="9"/>
      <c r="AS2854" s="9"/>
      <c r="AT2854" s="9"/>
      <c r="AU2854" s="9"/>
    </row>
    <row r="2855" spans="1:47" ht="15.75" customHeight="1">
      <c r="A2855" s="9"/>
      <c r="B2855" s="9"/>
      <c r="C2855" s="9"/>
      <c r="D2855" s="9"/>
      <c r="E2855" s="9"/>
      <c r="F2855" s="67"/>
      <c r="G2855" s="9"/>
      <c r="H2855" s="9"/>
      <c r="I2855" s="9"/>
      <c r="J2855" s="9"/>
      <c r="K2855" s="9"/>
      <c r="L2855" s="9"/>
      <c r="M2855" s="9"/>
      <c r="N2855" s="9"/>
      <c r="O2855" s="9"/>
      <c r="P2855" s="9"/>
      <c r="Q2855" s="9"/>
      <c r="R2855" s="9"/>
      <c r="S2855" s="9"/>
      <c r="T2855" s="9"/>
      <c r="U2855" s="9"/>
      <c r="V2855" s="9"/>
      <c r="W2855" s="9"/>
      <c r="X2855" s="9"/>
      <c r="Y2855" s="9"/>
      <c r="Z2855" s="9"/>
      <c r="AA2855" s="9"/>
      <c r="AB2855" s="9"/>
      <c r="AC2855" s="9"/>
      <c r="AD2855" s="9"/>
      <c r="AE2855" s="9"/>
      <c r="AF2855" s="9"/>
      <c r="AG2855" s="9"/>
      <c r="AH2855" s="9"/>
      <c r="AI2855" s="9"/>
      <c r="AJ2855" s="9"/>
      <c r="AK2855" s="9"/>
      <c r="AL2855" s="9"/>
      <c r="AM2855" s="9"/>
      <c r="AN2855" s="9"/>
      <c r="AO2855" s="9"/>
      <c r="AP2855" s="9"/>
      <c r="AQ2855" s="9"/>
      <c r="AR2855" s="9"/>
      <c r="AS2855" s="9"/>
      <c r="AT2855" s="9"/>
      <c r="AU2855" s="9"/>
    </row>
    <row r="2856" spans="1:47" ht="15.75" customHeight="1">
      <c r="A2856" s="9"/>
      <c r="B2856" s="9"/>
      <c r="C2856" s="9"/>
      <c r="D2856" s="9"/>
      <c r="E2856" s="9"/>
      <c r="F2856" s="67"/>
      <c r="G2856" s="9"/>
      <c r="H2856" s="9"/>
      <c r="I2856" s="9"/>
      <c r="J2856" s="9"/>
      <c r="K2856" s="9"/>
      <c r="L2856" s="9"/>
      <c r="M2856" s="9"/>
      <c r="N2856" s="9"/>
      <c r="O2856" s="9"/>
      <c r="P2856" s="9"/>
      <c r="Q2856" s="9"/>
      <c r="R2856" s="9"/>
      <c r="S2856" s="9"/>
      <c r="T2856" s="9"/>
      <c r="U2856" s="9"/>
      <c r="V2856" s="9"/>
      <c r="W2856" s="9"/>
      <c r="X2856" s="9"/>
      <c r="Y2856" s="9"/>
      <c r="Z2856" s="9"/>
      <c r="AA2856" s="9"/>
      <c r="AB2856" s="9"/>
      <c r="AC2856" s="9"/>
      <c r="AD2856" s="9"/>
      <c r="AE2856" s="9"/>
      <c r="AF2856" s="9"/>
      <c r="AG2856" s="9"/>
      <c r="AH2856" s="9"/>
      <c r="AI2856" s="9"/>
      <c r="AJ2856" s="9"/>
      <c r="AK2856" s="9"/>
      <c r="AL2856" s="9"/>
      <c r="AM2856" s="9"/>
      <c r="AN2856" s="9"/>
      <c r="AO2856" s="9"/>
      <c r="AP2856" s="9"/>
      <c r="AQ2856" s="9"/>
      <c r="AR2856" s="9"/>
      <c r="AS2856" s="9"/>
      <c r="AT2856" s="9"/>
      <c r="AU2856" s="9"/>
    </row>
    <row r="2857" spans="1:47" ht="15.75" customHeight="1">
      <c r="A2857" s="9"/>
      <c r="B2857" s="9"/>
      <c r="C2857" s="9"/>
      <c r="D2857" s="9"/>
      <c r="E2857" s="9"/>
      <c r="F2857" s="67"/>
      <c r="G2857" s="9"/>
      <c r="H2857" s="9"/>
      <c r="I2857" s="9"/>
      <c r="J2857" s="9"/>
      <c r="K2857" s="9"/>
      <c r="L2857" s="9"/>
      <c r="M2857" s="9"/>
      <c r="N2857" s="9"/>
      <c r="O2857" s="9"/>
      <c r="P2857" s="9"/>
      <c r="Q2857" s="9"/>
      <c r="R2857" s="9"/>
      <c r="S2857" s="9"/>
      <c r="T2857" s="9"/>
      <c r="U2857" s="9"/>
      <c r="V2857" s="9"/>
      <c r="W2857" s="9"/>
      <c r="X2857" s="9"/>
      <c r="Y2857" s="9"/>
      <c r="Z2857" s="9"/>
      <c r="AA2857" s="9"/>
      <c r="AB2857" s="9"/>
      <c r="AC2857" s="9"/>
      <c r="AD2857" s="9"/>
      <c r="AE2857" s="9"/>
      <c r="AF2857" s="9"/>
      <c r="AG2857" s="9"/>
      <c r="AH2857" s="9"/>
      <c r="AI2857" s="9"/>
      <c r="AJ2857" s="9"/>
      <c r="AK2857" s="9"/>
      <c r="AL2857" s="9"/>
      <c r="AM2857" s="9"/>
      <c r="AN2857" s="9"/>
      <c r="AO2857" s="9"/>
      <c r="AP2857" s="9"/>
      <c r="AQ2857" s="9"/>
      <c r="AR2857" s="9"/>
      <c r="AS2857" s="9"/>
      <c r="AT2857" s="9"/>
      <c r="AU2857" s="9"/>
    </row>
    <row r="2858" spans="1:47" ht="15.75" customHeight="1">
      <c r="A2858" s="9"/>
      <c r="B2858" s="9"/>
      <c r="C2858" s="9"/>
      <c r="D2858" s="9"/>
      <c r="E2858" s="9"/>
      <c r="F2858" s="67"/>
      <c r="G2858" s="9"/>
      <c r="H2858" s="9"/>
      <c r="I2858" s="9"/>
      <c r="J2858" s="9"/>
      <c r="K2858" s="9"/>
      <c r="L2858" s="9"/>
      <c r="M2858" s="9"/>
      <c r="N2858" s="9"/>
      <c r="O2858" s="9"/>
      <c r="P2858" s="9"/>
      <c r="Q2858" s="9"/>
      <c r="R2858" s="9"/>
      <c r="S2858" s="9"/>
      <c r="T2858" s="9"/>
      <c r="U2858" s="9"/>
      <c r="V2858" s="9"/>
      <c r="W2858" s="9"/>
      <c r="X2858" s="9"/>
      <c r="Y2858" s="9"/>
      <c r="Z2858" s="9"/>
      <c r="AA2858" s="9"/>
      <c r="AB2858" s="9"/>
      <c r="AC2858" s="9"/>
      <c r="AD2858" s="9"/>
      <c r="AE2858" s="9"/>
      <c r="AF2858" s="9"/>
      <c r="AG2858" s="9"/>
      <c r="AH2858" s="9"/>
      <c r="AI2858" s="9"/>
      <c r="AJ2858" s="9"/>
      <c r="AK2858" s="9"/>
      <c r="AL2858" s="9"/>
      <c r="AM2858" s="9"/>
      <c r="AN2858" s="9"/>
      <c r="AO2858" s="9"/>
      <c r="AP2858" s="9"/>
      <c r="AQ2858" s="9"/>
      <c r="AR2858" s="9"/>
      <c r="AS2858" s="9"/>
      <c r="AT2858" s="9"/>
      <c r="AU2858" s="9"/>
    </row>
    <row r="2859" spans="1:47" ht="15.75" customHeight="1">
      <c r="A2859" s="9"/>
      <c r="B2859" s="9"/>
      <c r="C2859" s="9"/>
      <c r="D2859" s="9"/>
      <c r="E2859" s="9"/>
      <c r="F2859" s="67"/>
      <c r="G2859" s="9"/>
      <c r="H2859" s="9"/>
      <c r="I2859" s="9"/>
      <c r="J2859" s="9"/>
      <c r="K2859" s="9"/>
      <c r="L2859" s="9"/>
      <c r="M2859" s="9"/>
      <c r="N2859" s="9"/>
      <c r="O2859" s="9"/>
      <c r="P2859" s="9"/>
      <c r="Q2859" s="9"/>
      <c r="R2859" s="9"/>
      <c r="S2859" s="9"/>
      <c r="T2859" s="9"/>
      <c r="U2859" s="9"/>
      <c r="V2859" s="9"/>
      <c r="W2859" s="9"/>
      <c r="X2859" s="9"/>
      <c r="Y2859" s="9"/>
      <c r="Z2859" s="9"/>
      <c r="AA2859" s="9"/>
      <c r="AB2859" s="9"/>
      <c r="AC2859" s="9"/>
      <c r="AD2859" s="9"/>
      <c r="AE2859" s="9"/>
      <c r="AF2859" s="9"/>
      <c r="AG2859" s="9"/>
      <c r="AH2859" s="9"/>
      <c r="AI2859" s="9"/>
      <c r="AJ2859" s="9"/>
      <c r="AK2859" s="9"/>
      <c r="AL2859" s="9"/>
      <c r="AM2859" s="9"/>
      <c r="AN2859" s="9"/>
      <c r="AO2859" s="9"/>
      <c r="AP2859" s="9"/>
      <c r="AQ2859" s="9"/>
      <c r="AR2859" s="9"/>
      <c r="AS2859" s="9"/>
      <c r="AT2859" s="9"/>
      <c r="AU2859" s="9"/>
    </row>
    <row r="2860" spans="1:47" ht="15.75" customHeight="1">
      <c r="A2860" s="9"/>
      <c r="B2860" s="9"/>
      <c r="C2860" s="9"/>
      <c r="D2860" s="9"/>
      <c r="E2860" s="9"/>
      <c r="F2860" s="67"/>
      <c r="G2860" s="9"/>
      <c r="H2860" s="9"/>
      <c r="I2860" s="9"/>
      <c r="J2860" s="9"/>
      <c r="K2860" s="9"/>
      <c r="L2860" s="9"/>
      <c r="M2860" s="9"/>
      <c r="N2860" s="9"/>
      <c r="O2860" s="9"/>
      <c r="P2860" s="9"/>
      <c r="Q2860" s="9"/>
      <c r="R2860" s="9"/>
      <c r="S2860" s="9"/>
      <c r="T2860" s="9"/>
      <c r="U2860" s="9"/>
      <c r="V2860" s="9"/>
      <c r="W2860" s="9"/>
      <c r="X2860" s="9"/>
      <c r="Y2860" s="9"/>
      <c r="Z2860" s="9"/>
      <c r="AA2860" s="9"/>
      <c r="AB2860" s="9"/>
      <c r="AC2860" s="9"/>
      <c r="AD2860" s="9"/>
      <c r="AE2860" s="9"/>
      <c r="AF2860" s="9"/>
      <c r="AG2860" s="9"/>
      <c r="AH2860" s="9"/>
      <c r="AI2860" s="9"/>
      <c r="AJ2860" s="9"/>
      <c r="AK2860" s="9"/>
      <c r="AL2860" s="9"/>
      <c r="AM2860" s="9"/>
      <c r="AN2860" s="9"/>
      <c r="AO2860" s="9"/>
      <c r="AP2860" s="9"/>
      <c r="AQ2860" s="9"/>
      <c r="AR2860" s="9"/>
      <c r="AS2860" s="9"/>
      <c r="AT2860" s="9"/>
      <c r="AU2860" s="9"/>
    </row>
    <row r="2861" spans="1:47" ht="15.75" customHeight="1">
      <c r="A2861" s="9"/>
      <c r="B2861" s="9"/>
      <c r="C2861" s="9"/>
      <c r="D2861" s="9"/>
      <c r="E2861" s="9"/>
      <c r="F2861" s="67"/>
      <c r="G2861" s="9"/>
      <c r="H2861" s="9"/>
      <c r="I2861" s="9"/>
      <c r="J2861" s="9"/>
      <c r="K2861" s="9"/>
      <c r="L2861" s="9"/>
      <c r="M2861" s="9"/>
      <c r="N2861" s="9"/>
      <c r="O2861" s="9"/>
      <c r="P2861" s="9"/>
      <c r="Q2861" s="9"/>
      <c r="R2861" s="9"/>
      <c r="S2861" s="9"/>
      <c r="T2861" s="9"/>
      <c r="U2861" s="9"/>
      <c r="V2861" s="9"/>
      <c r="W2861" s="9"/>
      <c r="X2861" s="9"/>
      <c r="Y2861" s="9"/>
      <c r="Z2861" s="9"/>
      <c r="AA2861" s="9"/>
      <c r="AB2861" s="9"/>
      <c r="AC2861" s="9"/>
      <c r="AD2861" s="9"/>
      <c r="AE2861" s="9"/>
      <c r="AF2861" s="9"/>
      <c r="AG2861" s="9"/>
      <c r="AH2861" s="9"/>
      <c r="AI2861" s="9"/>
      <c r="AJ2861" s="9"/>
      <c r="AK2861" s="9"/>
      <c r="AL2861" s="9"/>
      <c r="AM2861" s="9"/>
      <c r="AN2861" s="9"/>
      <c r="AO2861" s="9"/>
      <c r="AP2861" s="9"/>
      <c r="AQ2861" s="9"/>
      <c r="AR2861" s="9"/>
      <c r="AS2861" s="9"/>
      <c r="AT2861" s="9"/>
      <c r="AU2861" s="9"/>
    </row>
    <row r="2862" spans="1:47" ht="15.75" customHeight="1">
      <c r="A2862" s="9"/>
      <c r="B2862" s="9"/>
      <c r="C2862" s="9"/>
      <c r="D2862" s="9"/>
      <c r="E2862" s="9"/>
      <c r="F2862" s="67"/>
      <c r="G2862" s="9"/>
      <c r="H2862" s="9"/>
      <c r="I2862" s="9"/>
      <c r="J2862" s="9"/>
      <c r="K2862" s="9"/>
      <c r="L2862" s="9"/>
      <c r="M2862" s="9"/>
      <c r="N2862" s="9"/>
      <c r="O2862" s="9"/>
      <c r="P2862" s="9"/>
      <c r="Q2862" s="9"/>
      <c r="R2862" s="9"/>
      <c r="S2862" s="9"/>
      <c r="T2862" s="9"/>
      <c r="U2862" s="9"/>
      <c r="V2862" s="9"/>
      <c r="W2862" s="9"/>
      <c r="X2862" s="9"/>
      <c r="Y2862" s="9"/>
      <c r="Z2862" s="9"/>
      <c r="AA2862" s="9"/>
      <c r="AB2862" s="9"/>
      <c r="AC2862" s="9"/>
      <c r="AD2862" s="9"/>
      <c r="AE2862" s="9"/>
      <c r="AF2862" s="9"/>
      <c r="AG2862" s="9"/>
      <c r="AH2862" s="9"/>
      <c r="AI2862" s="9"/>
      <c r="AJ2862" s="9"/>
      <c r="AK2862" s="9"/>
      <c r="AL2862" s="9"/>
      <c r="AM2862" s="9"/>
      <c r="AN2862" s="9"/>
      <c r="AO2862" s="9"/>
      <c r="AP2862" s="9"/>
      <c r="AQ2862" s="9"/>
      <c r="AR2862" s="9"/>
      <c r="AS2862" s="9"/>
      <c r="AT2862" s="9"/>
      <c r="AU2862" s="9"/>
    </row>
    <row r="2863" spans="1:47" ht="15.75" customHeight="1">
      <c r="A2863" s="9"/>
      <c r="B2863" s="9"/>
      <c r="C2863" s="9"/>
      <c r="D2863" s="9"/>
      <c r="E2863" s="9"/>
      <c r="F2863" s="67"/>
      <c r="G2863" s="9"/>
      <c r="H2863" s="9"/>
      <c r="I2863" s="9"/>
      <c r="J2863" s="9"/>
      <c r="K2863" s="9"/>
      <c r="L2863" s="9"/>
      <c r="M2863" s="9"/>
      <c r="N2863" s="9"/>
      <c r="O2863" s="9"/>
      <c r="P2863" s="9"/>
      <c r="Q2863" s="9"/>
      <c r="R2863" s="9"/>
      <c r="S2863" s="9"/>
      <c r="T2863" s="9"/>
      <c r="U2863" s="9"/>
      <c r="V2863" s="9"/>
      <c r="W2863" s="9"/>
      <c r="X2863" s="9"/>
      <c r="Y2863" s="9"/>
      <c r="Z2863" s="9"/>
      <c r="AA2863" s="9"/>
      <c r="AB2863" s="9"/>
      <c r="AC2863" s="9"/>
      <c r="AD2863" s="9"/>
      <c r="AE2863" s="9"/>
      <c r="AF2863" s="9"/>
      <c r="AG2863" s="9"/>
      <c r="AH2863" s="9"/>
      <c r="AI2863" s="9"/>
      <c r="AJ2863" s="9"/>
      <c r="AK2863" s="9"/>
      <c r="AL2863" s="9"/>
      <c r="AM2863" s="9"/>
      <c r="AN2863" s="9"/>
      <c r="AO2863" s="9"/>
      <c r="AP2863" s="9"/>
      <c r="AQ2863" s="9"/>
      <c r="AR2863" s="9"/>
      <c r="AS2863" s="9"/>
      <c r="AT2863" s="9"/>
      <c r="AU2863" s="9"/>
    </row>
    <row r="2864" spans="1:47" ht="15.75" customHeight="1">
      <c r="A2864" s="9"/>
      <c r="B2864" s="9"/>
      <c r="C2864" s="9"/>
      <c r="D2864" s="9"/>
      <c r="E2864" s="9"/>
      <c r="F2864" s="67"/>
      <c r="G2864" s="9"/>
      <c r="H2864" s="9"/>
      <c r="I2864" s="9"/>
      <c r="J2864" s="9"/>
      <c r="K2864" s="9"/>
      <c r="L2864" s="9"/>
      <c r="M2864" s="9"/>
      <c r="N2864" s="9"/>
      <c r="O2864" s="9"/>
      <c r="P2864" s="9"/>
      <c r="Q2864" s="9"/>
      <c r="R2864" s="9"/>
      <c r="S2864" s="9"/>
      <c r="T2864" s="9"/>
      <c r="U2864" s="9"/>
      <c r="V2864" s="9"/>
      <c r="W2864" s="9"/>
      <c r="X2864" s="9"/>
      <c r="Y2864" s="9"/>
      <c r="Z2864" s="9"/>
      <c r="AA2864" s="9"/>
      <c r="AB2864" s="9"/>
      <c r="AC2864" s="9"/>
      <c r="AD2864" s="9"/>
      <c r="AE2864" s="9"/>
      <c r="AF2864" s="9"/>
      <c r="AG2864" s="9"/>
      <c r="AH2864" s="9"/>
      <c r="AI2864" s="9"/>
      <c r="AJ2864" s="9"/>
      <c r="AK2864" s="9"/>
      <c r="AL2864" s="9"/>
      <c r="AM2864" s="9"/>
      <c r="AN2864" s="9"/>
      <c r="AO2864" s="9"/>
      <c r="AP2864" s="9"/>
      <c r="AQ2864" s="9"/>
      <c r="AR2864" s="9"/>
      <c r="AS2864" s="9"/>
      <c r="AT2864" s="9"/>
      <c r="AU2864" s="9"/>
    </row>
    <row r="2865" spans="1:47" ht="15.75" customHeight="1">
      <c r="A2865" s="9"/>
      <c r="B2865" s="9"/>
      <c r="C2865" s="9"/>
      <c r="D2865" s="9"/>
      <c r="E2865" s="9"/>
      <c r="F2865" s="67"/>
      <c r="G2865" s="9"/>
      <c r="H2865" s="9"/>
      <c r="I2865" s="9"/>
      <c r="J2865" s="9"/>
      <c r="K2865" s="9"/>
      <c r="L2865" s="9"/>
      <c r="M2865" s="9"/>
      <c r="N2865" s="9"/>
      <c r="O2865" s="9"/>
      <c r="P2865" s="9"/>
      <c r="Q2865" s="9"/>
      <c r="R2865" s="9"/>
      <c r="S2865" s="9"/>
      <c r="T2865" s="9"/>
      <c r="U2865" s="9"/>
      <c r="V2865" s="9"/>
      <c r="W2865" s="9"/>
      <c r="X2865" s="9"/>
      <c r="Y2865" s="9"/>
      <c r="Z2865" s="9"/>
      <c r="AA2865" s="9"/>
      <c r="AB2865" s="9"/>
      <c r="AC2865" s="9"/>
      <c r="AD2865" s="9"/>
      <c r="AE2865" s="9"/>
      <c r="AF2865" s="9"/>
      <c r="AG2865" s="9"/>
      <c r="AH2865" s="9"/>
      <c r="AI2865" s="9"/>
      <c r="AJ2865" s="9"/>
      <c r="AK2865" s="9"/>
      <c r="AL2865" s="9"/>
      <c r="AM2865" s="9"/>
      <c r="AN2865" s="9"/>
      <c r="AO2865" s="9"/>
      <c r="AP2865" s="9"/>
      <c r="AQ2865" s="9"/>
      <c r="AR2865" s="9"/>
      <c r="AS2865" s="9"/>
      <c r="AT2865" s="9"/>
      <c r="AU2865" s="9"/>
    </row>
    <row r="2866" spans="1:47" ht="15.75" customHeight="1">
      <c r="A2866" s="9"/>
      <c r="B2866" s="9"/>
      <c r="C2866" s="9"/>
      <c r="D2866" s="9"/>
      <c r="E2866" s="9"/>
      <c r="F2866" s="67"/>
      <c r="G2866" s="9"/>
      <c r="H2866" s="9"/>
      <c r="I2866" s="9"/>
      <c r="J2866" s="9"/>
      <c r="K2866" s="9"/>
      <c r="L2866" s="9"/>
      <c r="M2866" s="9"/>
      <c r="N2866" s="9"/>
      <c r="O2866" s="9"/>
      <c r="P2866" s="9"/>
      <c r="Q2866" s="9"/>
      <c r="R2866" s="9"/>
      <c r="S2866" s="9"/>
      <c r="T2866" s="9"/>
      <c r="U2866" s="9"/>
      <c r="V2866" s="9"/>
      <c r="W2866" s="9"/>
      <c r="X2866" s="9"/>
      <c r="Y2866" s="9"/>
      <c r="Z2866" s="9"/>
      <c r="AA2866" s="9"/>
      <c r="AB2866" s="9"/>
      <c r="AC2866" s="9"/>
      <c r="AD2866" s="9"/>
      <c r="AE2866" s="9"/>
      <c r="AF2866" s="9"/>
      <c r="AG2866" s="9"/>
      <c r="AH2866" s="9"/>
      <c r="AI2866" s="9"/>
      <c r="AJ2866" s="9"/>
      <c r="AK2866" s="9"/>
      <c r="AL2866" s="9"/>
      <c r="AM2866" s="9"/>
      <c r="AN2866" s="9"/>
      <c r="AO2866" s="9"/>
      <c r="AP2866" s="9"/>
      <c r="AQ2866" s="9"/>
      <c r="AR2866" s="9"/>
      <c r="AS2866" s="9"/>
      <c r="AT2866" s="9"/>
      <c r="AU2866" s="9"/>
    </row>
    <row r="2867" spans="1:47" ht="15.75" customHeight="1">
      <c r="A2867" s="9"/>
      <c r="B2867" s="9"/>
      <c r="C2867" s="9"/>
      <c r="D2867" s="9"/>
      <c r="E2867" s="9"/>
      <c r="F2867" s="67"/>
      <c r="G2867" s="9"/>
      <c r="H2867" s="9"/>
      <c r="I2867" s="9"/>
      <c r="J2867" s="9"/>
      <c r="K2867" s="9"/>
      <c r="L2867" s="9"/>
      <c r="M2867" s="9"/>
      <c r="N2867" s="9"/>
      <c r="O2867" s="9"/>
      <c r="P2867" s="9"/>
      <c r="Q2867" s="9"/>
      <c r="R2867" s="9"/>
      <c r="S2867" s="9"/>
      <c r="T2867" s="9"/>
      <c r="U2867" s="9"/>
      <c r="V2867" s="9"/>
      <c r="W2867" s="9"/>
      <c r="X2867" s="9"/>
      <c r="Y2867" s="9"/>
      <c r="Z2867" s="9"/>
      <c r="AA2867" s="9"/>
      <c r="AB2867" s="9"/>
      <c r="AC2867" s="9"/>
      <c r="AD2867" s="9"/>
      <c r="AE2867" s="9"/>
      <c r="AF2867" s="9"/>
      <c r="AG2867" s="9"/>
      <c r="AH2867" s="9"/>
      <c r="AI2867" s="9"/>
      <c r="AJ2867" s="9"/>
      <c r="AK2867" s="9"/>
      <c r="AL2867" s="9"/>
      <c r="AM2867" s="9"/>
      <c r="AN2867" s="9"/>
      <c r="AO2867" s="9"/>
      <c r="AP2867" s="9"/>
      <c r="AQ2867" s="9"/>
      <c r="AR2867" s="9"/>
      <c r="AS2867" s="9"/>
      <c r="AT2867" s="9"/>
      <c r="AU2867" s="9"/>
    </row>
    <row r="2868" spans="1:47" ht="15.75" customHeight="1">
      <c r="A2868" s="9"/>
      <c r="B2868" s="9"/>
      <c r="C2868" s="9"/>
      <c r="D2868" s="9"/>
      <c r="E2868" s="9"/>
      <c r="F2868" s="67"/>
      <c r="G2868" s="9"/>
      <c r="H2868" s="9"/>
      <c r="I2868" s="9"/>
      <c r="J2868" s="9"/>
      <c r="K2868" s="9"/>
      <c r="L2868" s="9"/>
      <c r="M2868" s="9"/>
      <c r="N2868" s="9"/>
      <c r="O2868" s="9"/>
      <c r="P2868" s="9"/>
      <c r="Q2868" s="9"/>
      <c r="R2868" s="9"/>
      <c r="S2868" s="9"/>
      <c r="T2868" s="9"/>
      <c r="U2868" s="9"/>
      <c r="V2868" s="9"/>
      <c r="W2868" s="9"/>
      <c r="X2868" s="9"/>
      <c r="Y2868" s="9"/>
      <c r="Z2868" s="9"/>
      <c r="AA2868" s="9"/>
      <c r="AB2868" s="9"/>
      <c r="AC2868" s="9"/>
      <c r="AD2868" s="9"/>
      <c r="AE2868" s="9"/>
      <c r="AF2868" s="9"/>
      <c r="AG2868" s="9"/>
      <c r="AH2868" s="9"/>
      <c r="AI2868" s="9"/>
      <c r="AJ2868" s="9"/>
      <c r="AK2868" s="9"/>
      <c r="AL2868" s="9"/>
      <c r="AM2868" s="9"/>
      <c r="AN2868" s="9"/>
      <c r="AO2868" s="9"/>
      <c r="AP2868" s="9"/>
      <c r="AQ2868" s="9"/>
      <c r="AR2868" s="9"/>
      <c r="AS2868" s="9"/>
      <c r="AT2868" s="9"/>
      <c r="AU2868" s="9"/>
    </row>
    <row r="2869" spans="1:47" ht="15.75" customHeight="1">
      <c r="A2869" s="9"/>
      <c r="B2869" s="9"/>
      <c r="C2869" s="9"/>
      <c r="D2869" s="9"/>
      <c r="E2869" s="9"/>
      <c r="F2869" s="67"/>
      <c r="G2869" s="9"/>
      <c r="H2869" s="9"/>
      <c r="I2869" s="9"/>
      <c r="J2869" s="9"/>
      <c r="K2869" s="9"/>
      <c r="L2869" s="9"/>
      <c r="M2869" s="9"/>
      <c r="N2869" s="9"/>
      <c r="O2869" s="9"/>
      <c r="P2869" s="9"/>
      <c r="Q2869" s="9"/>
      <c r="R2869" s="9"/>
      <c r="S2869" s="9"/>
      <c r="T2869" s="9"/>
      <c r="U2869" s="9"/>
      <c r="V2869" s="9"/>
      <c r="W2869" s="9"/>
      <c r="X2869" s="9"/>
      <c r="Y2869" s="9"/>
      <c r="Z2869" s="9"/>
      <c r="AA2869" s="9"/>
      <c r="AB2869" s="9"/>
      <c r="AC2869" s="9"/>
      <c r="AD2869" s="9"/>
      <c r="AE2869" s="9"/>
      <c r="AF2869" s="9"/>
      <c r="AG2869" s="9"/>
      <c r="AH2869" s="9"/>
      <c r="AI2869" s="9"/>
      <c r="AJ2869" s="9"/>
      <c r="AK2869" s="9"/>
      <c r="AL2869" s="9"/>
      <c r="AM2869" s="9"/>
      <c r="AN2869" s="9"/>
      <c r="AO2869" s="9"/>
      <c r="AP2869" s="9"/>
      <c r="AQ2869" s="9"/>
      <c r="AR2869" s="9"/>
      <c r="AS2869" s="9"/>
      <c r="AT2869" s="9"/>
      <c r="AU2869" s="9"/>
    </row>
    <row r="2870" spans="1:47" ht="15.75" customHeight="1">
      <c r="A2870" s="9"/>
      <c r="B2870" s="9"/>
      <c r="C2870" s="9"/>
      <c r="D2870" s="9"/>
      <c r="E2870" s="9"/>
      <c r="F2870" s="67"/>
      <c r="G2870" s="9"/>
      <c r="H2870" s="9"/>
      <c r="I2870" s="9"/>
      <c r="J2870" s="9"/>
      <c r="K2870" s="9"/>
      <c r="L2870" s="9"/>
      <c r="M2870" s="9"/>
      <c r="N2870" s="9"/>
      <c r="O2870" s="9"/>
      <c r="P2870" s="9"/>
      <c r="Q2870" s="9"/>
      <c r="R2870" s="9"/>
      <c r="S2870" s="9"/>
      <c r="T2870" s="9"/>
      <c r="U2870" s="9"/>
      <c r="V2870" s="9"/>
      <c r="W2870" s="9"/>
      <c r="X2870" s="9"/>
      <c r="Y2870" s="9"/>
      <c r="Z2870" s="9"/>
      <c r="AA2870" s="9"/>
      <c r="AB2870" s="9"/>
      <c r="AC2870" s="9"/>
      <c r="AD2870" s="9"/>
      <c r="AE2870" s="9"/>
      <c r="AF2870" s="9"/>
      <c r="AG2870" s="9"/>
      <c r="AH2870" s="9"/>
      <c r="AI2870" s="9"/>
      <c r="AJ2870" s="9"/>
      <c r="AK2870" s="9"/>
      <c r="AL2870" s="9"/>
      <c r="AM2870" s="9"/>
      <c r="AN2870" s="9"/>
      <c r="AO2870" s="9"/>
      <c r="AP2870" s="9"/>
      <c r="AQ2870" s="9"/>
      <c r="AR2870" s="9"/>
      <c r="AS2870" s="9"/>
      <c r="AT2870" s="9"/>
      <c r="AU2870" s="9"/>
    </row>
    <row r="2871" spans="1:47" ht="15.75" customHeight="1">
      <c r="A2871" s="9"/>
      <c r="B2871" s="9"/>
      <c r="C2871" s="9"/>
      <c r="D2871" s="9"/>
      <c r="E2871" s="9"/>
      <c r="F2871" s="67"/>
      <c r="G2871" s="9"/>
      <c r="H2871" s="9"/>
      <c r="I2871" s="9"/>
      <c r="J2871" s="9"/>
      <c r="K2871" s="9"/>
      <c r="L2871" s="9"/>
      <c r="M2871" s="9"/>
      <c r="N2871" s="9"/>
      <c r="O2871" s="9"/>
      <c r="P2871" s="9"/>
      <c r="Q2871" s="9"/>
      <c r="R2871" s="9"/>
      <c r="S2871" s="9"/>
      <c r="T2871" s="9"/>
      <c r="U2871" s="9"/>
      <c r="V2871" s="9"/>
      <c r="W2871" s="9"/>
      <c r="X2871" s="9"/>
      <c r="Y2871" s="9"/>
      <c r="Z2871" s="9"/>
      <c r="AA2871" s="9"/>
      <c r="AB2871" s="9"/>
      <c r="AC2871" s="9"/>
      <c r="AD2871" s="9"/>
      <c r="AE2871" s="9"/>
      <c r="AF2871" s="9"/>
      <c r="AG2871" s="9"/>
      <c r="AH2871" s="9"/>
      <c r="AI2871" s="9"/>
      <c r="AJ2871" s="9"/>
      <c r="AK2871" s="9"/>
      <c r="AL2871" s="9"/>
      <c r="AM2871" s="9"/>
      <c r="AN2871" s="9"/>
      <c r="AO2871" s="9"/>
      <c r="AP2871" s="9"/>
      <c r="AQ2871" s="9"/>
      <c r="AR2871" s="9"/>
      <c r="AS2871" s="9"/>
      <c r="AT2871" s="9"/>
      <c r="AU2871" s="9"/>
    </row>
    <row r="2872" spans="1:47" ht="15.75" customHeight="1">
      <c r="A2872" s="9"/>
      <c r="B2872" s="9"/>
      <c r="C2872" s="9"/>
      <c r="D2872" s="9"/>
      <c r="E2872" s="9"/>
      <c r="F2872" s="67"/>
      <c r="G2872" s="9"/>
      <c r="H2872" s="9"/>
      <c r="I2872" s="9"/>
      <c r="J2872" s="9"/>
      <c r="K2872" s="9"/>
      <c r="L2872" s="9"/>
      <c r="M2872" s="9"/>
      <c r="N2872" s="9"/>
      <c r="O2872" s="9"/>
      <c r="P2872" s="9"/>
      <c r="Q2872" s="9"/>
      <c r="R2872" s="9"/>
      <c r="S2872" s="9"/>
      <c r="T2872" s="9"/>
      <c r="U2872" s="9"/>
      <c r="V2872" s="9"/>
      <c r="W2872" s="9"/>
      <c r="X2872" s="9"/>
      <c r="Y2872" s="9"/>
      <c r="Z2872" s="9"/>
      <c r="AA2872" s="9"/>
      <c r="AB2872" s="9"/>
      <c r="AC2872" s="9"/>
      <c r="AD2872" s="9"/>
      <c r="AE2872" s="9"/>
      <c r="AF2872" s="9"/>
      <c r="AG2872" s="9"/>
      <c r="AH2872" s="9"/>
      <c r="AI2872" s="9"/>
      <c r="AJ2872" s="9"/>
      <c r="AK2872" s="9"/>
      <c r="AL2872" s="9"/>
      <c r="AM2872" s="9"/>
      <c r="AN2872" s="9"/>
      <c r="AO2872" s="9"/>
      <c r="AP2872" s="9"/>
      <c r="AQ2872" s="9"/>
      <c r="AR2872" s="9"/>
      <c r="AS2872" s="9"/>
      <c r="AT2872" s="9"/>
      <c r="AU2872" s="9"/>
    </row>
    <row r="2873" spans="1:47" ht="15.75" customHeight="1">
      <c r="A2873" s="9"/>
      <c r="B2873" s="9"/>
      <c r="C2873" s="9"/>
      <c r="D2873" s="9"/>
      <c r="E2873" s="9"/>
      <c r="F2873" s="67"/>
      <c r="G2873" s="9"/>
      <c r="H2873" s="9"/>
      <c r="I2873" s="9"/>
      <c r="J2873" s="9"/>
      <c r="K2873" s="9"/>
      <c r="L2873" s="9"/>
      <c r="M2873" s="9"/>
      <c r="N2873" s="9"/>
      <c r="O2873" s="9"/>
      <c r="P2873" s="9"/>
      <c r="Q2873" s="9"/>
      <c r="R2873" s="9"/>
      <c r="S2873" s="9"/>
      <c r="T2873" s="9"/>
      <c r="U2873" s="9"/>
      <c r="V2873" s="9"/>
      <c r="W2873" s="9"/>
      <c r="X2873" s="9"/>
      <c r="Y2873" s="9"/>
      <c r="Z2873" s="9"/>
      <c r="AA2873" s="9"/>
      <c r="AB2873" s="9"/>
      <c r="AC2873" s="9"/>
      <c r="AD2873" s="9"/>
      <c r="AE2873" s="9"/>
      <c r="AF2873" s="9"/>
      <c r="AG2873" s="9"/>
      <c r="AH2873" s="9"/>
      <c r="AI2873" s="9"/>
      <c r="AJ2873" s="9"/>
      <c r="AK2873" s="9"/>
      <c r="AL2873" s="9"/>
      <c r="AM2873" s="9"/>
      <c r="AN2873" s="9"/>
      <c r="AO2873" s="9"/>
      <c r="AP2873" s="9"/>
      <c r="AQ2873" s="9"/>
      <c r="AR2873" s="9"/>
      <c r="AS2873" s="9"/>
      <c r="AT2873" s="9"/>
      <c r="AU2873" s="9"/>
    </row>
    <row r="2874" spans="1:47" ht="15.75" customHeight="1">
      <c r="A2874" s="9"/>
      <c r="B2874" s="9"/>
      <c r="C2874" s="9"/>
      <c r="D2874" s="9"/>
      <c r="E2874" s="9"/>
      <c r="F2874" s="67"/>
      <c r="G2874" s="9"/>
      <c r="H2874" s="9"/>
      <c r="I2874" s="9"/>
      <c r="J2874" s="9"/>
      <c r="K2874" s="9"/>
      <c r="L2874" s="9"/>
      <c r="M2874" s="9"/>
      <c r="N2874" s="9"/>
      <c r="O2874" s="9"/>
      <c r="P2874" s="9"/>
      <c r="Q2874" s="9"/>
      <c r="R2874" s="9"/>
      <c r="S2874" s="9"/>
      <c r="T2874" s="9"/>
      <c r="U2874" s="9"/>
      <c r="V2874" s="9"/>
      <c r="W2874" s="9"/>
      <c r="X2874" s="9"/>
      <c r="Y2874" s="9"/>
      <c r="Z2874" s="9"/>
      <c r="AA2874" s="9"/>
      <c r="AB2874" s="9"/>
      <c r="AC2874" s="9"/>
      <c r="AD2874" s="9"/>
      <c r="AE2874" s="9"/>
      <c r="AF2874" s="9"/>
      <c r="AG2874" s="9"/>
      <c r="AH2874" s="9"/>
      <c r="AI2874" s="9"/>
      <c r="AJ2874" s="9"/>
      <c r="AK2874" s="9"/>
      <c r="AL2874" s="9"/>
      <c r="AM2874" s="9"/>
      <c r="AN2874" s="9"/>
      <c r="AO2874" s="9"/>
      <c r="AP2874" s="9"/>
      <c r="AQ2874" s="9"/>
      <c r="AR2874" s="9"/>
      <c r="AS2874" s="9"/>
      <c r="AT2874" s="9"/>
      <c r="AU2874" s="9"/>
    </row>
    <row r="2875" spans="1:47" ht="15.75" customHeight="1">
      <c r="A2875" s="9"/>
      <c r="B2875" s="9"/>
      <c r="C2875" s="9"/>
      <c r="D2875" s="9"/>
      <c r="E2875" s="9"/>
      <c r="F2875" s="67"/>
      <c r="G2875" s="9"/>
      <c r="H2875" s="9"/>
      <c r="I2875" s="9"/>
      <c r="J2875" s="9"/>
      <c r="K2875" s="9"/>
      <c r="L2875" s="9"/>
      <c r="M2875" s="9"/>
      <c r="N2875" s="9"/>
      <c r="O2875" s="9"/>
      <c r="P2875" s="9"/>
      <c r="Q2875" s="9"/>
      <c r="R2875" s="9"/>
      <c r="S2875" s="9"/>
      <c r="T2875" s="9"/>
      <c r="U2875" s="9"/>
      <c r="V2875" s="9"/>
      <c r="W2875" s="9"/>
      <c r="X2875" s="9"/>
      <c r="Y2875" s="9"/>
      <c r="Z2875" s="9"/>
      <c r="AA2875" s="9"/>
      <c r="AB2875" s="9"/>
      <c r="AC2875" s="9"/>
      <c r="AD2875" s="9"/>
      <c r="AE2875" s="9"/>
      <c r="AF2875" s="9"/>
      <c r="AG2875" s="9"/>
      <c r="AH2875" s="9"/>
      <c r="AI2875" s="9"/>
      <c r="AJ2875" s="9"/>
      <c r="AK2875" s="9"/>
      <c r="AL2875" s="9"/>
      <c r="AM2875" s="9"/>
      <c r="AN2875" s="9"/>
      <c r="AO2875" s="9"/>
      <c r="AP2875" s="9"/>
      <c r="AQ2875" s="9"/>
      <c r="AR2875" s="9"/>
      <c r="AS2875" s="9"/>
      <c r="AT2875" s="9"/>
      <c r="AU2875" s="9"/>
    </row>
    <row r="2876" spans="1:47" ht="15.75" customHeight="1">
      <c r="A2876" s="9"/>
      <c r="B2876" s="9"/>
      <c r="C2876" s="9"/>
      <c r="D2876" s="9"/>
      <c r="E2876" s="9"/>
      <c r="F2876" s="67"/>
      <c r="G2876" s="9"/>
      <c r="H2876" s="9"/>
      <c r="I2876" s="9"/>
      <c r="J2876" s="9"/>
      <c r="K2876" s="9"/>
      <c r="L2876" s="9"/>
      <c r="M2876" s="9"/>
      <c r="N2876" s="9"/>
      <c r="O2876" s="9"/>
      <c r="P2876" s="9"/>
      <c r="Q2876" s="9"/>
      <c r="R2876" s="9"/>
      <c r="S2876" s="9"/>
      <c r="T2876" s="9"/>
      <c r="U2876" s="9"/>
      <c r="V2876" s="9"/>
      <c r="W2876" s="9"/>
      <c r="X2876" s="9"/>
      <c r="Y2876" s="9"/>
      <c r="Z2876" s="9"/>
      <c r="AA2876" s="9"/>
      <c r="AB2876" s="9"/>
      <c r="AC2876" s="9"/>
      <c r="AD2876" s="9"/>
      <c r="AE2876" s="9"/>
      <c r="AF2876" s="9"/>
      <c r="AG2876" s="9"/>
      <c r="AH2876" s="9"/>
      <c r="AI2876" s="9"/>
      <c r="AJ2876" s="9"/>
      <c r="AK2876" s="9"/>
      <c r="AL2876" s="9"/>
      <c r="AM2876" s="9"/>
      <c r="AN2876" s="9"/>
      <c r="AO2876" s="9"/>
      <c r="AP2876" s="9"/>
      <c r="AQ2876" s="9"/>
      <c r="AR2876" s="9"/>
      <c r="AS2876" s="9"/>
      <c r="AT2876" s="9"/>
      <c r="AU2876" s="9"/>
    </row>
    <row r="2877" spans="1:47" ht="15.75" customHeight="1">
      <c r="A2877" s="9"/>
      <c r="B2877" s="9"/>
      <c r="C2877" s="9"/>
      <c r="D2877" s="9"/>
      <c r="E2877" s="9"/>
      <c r="F2877" s="67"/>
      <c r="G2877" s="9"/>
      <c r="H2877" s="9"/>
      <c r="I2877" s="9"/>
      <c r="J2877" s="9"/>
      <c r="K2877" s="9"/>
      <c r="L2877" s="9"/>
      <c r="M2877" s="9"/>
      <c r="N2877" s="9"/>
      <c r="O2877" s="9"/>
      <c r="P2877" s="9"/>
      <c r="Q2877" s="9"/>
      <c r="R2877" s="9"/>
      <c r="S2877" s="9"/>
      <c r="T2877" s="9"/>
      <c r="U2877" s="9"/>
      <c r="V2877" s="9"/>
      <c r="W2877" s="9"/>
      <c r="X2877" s="9"/>
      <c r="Y2877" s="9"/>
      <c r="Z2877" s="9"/>
      <c r="AA2877" s="9"/>
      <c r="AB2877" s="9"/>
      <c r="AC2877" s="9"/>
      <c r="AD2877" s="9"/>
      <c r="AE2877" s="9"/>
      <c r="AF2877" s="9"/>
      <c r="AG2877" s="9"/>
      <c r="AH2877" s="9"/>
      <c r="AI2877" s="9"/>
      <c r="AJ2877" s="9"/>
      <c r="AK2877" s="9"/>
      <c r="AL2877" s="9"/>
      <c r="AM2877" s="9"/>
      <c r="AN2877" s="9"/>
      <c r="AO2877" s="9"/>
      <c r="AP2877" s="9"/>
      <c r="AQ2877" s="9"/>
      <c r="AR2877" s="9"/>
      <c r="AS2877" s="9"/>
      <c r="AT2877" s="9"/>
      <c r="AU2877" s="9"/>
    </row>
    <row r="2878" spans="1:47" ht="15.75" customHeight="1">
      <c r="A2878" s="9"/>
      <c r="B2878" s="9"/>
      <c r="C2878" s="9"/>
      <c r="D2878" s="9"/>
      <c r="E2878" s="9"/>
      <c r="F2878" s="67"/>
      <c r="G2878" s="9"/>
      <c r="H2878" s="9"/>
      <c r="I2878" s="9"/>
      <c r="J2878" s="9"/>
      <c r="K2878" s="9"/>
      <c r="L2878" s="9"/>
      <c r="M2878" s="9"/>
      <c r="N2878" s="9"/>
      <c r="O2878" s="9"/>
      <c r="P2878" s="9"/>
      <c r="Q2878" s="9"/>
      <c r="R2878" s="9"/>
      <c r="S2878" s="9"/>
      <c r="T2878" s="9"/>
      <c r="U2878" s="9"/>
      <c r="V2878" s="9"/>
      <c r="W2878" s="9"/>
      <c r="X2878" s="9"/>
      <c r="Y2878" s="9"/>
      <c r="Z2878" s="9"/>
      <c r="AA2878" s="9"/>
      <c r="AB2878" s="9"/>
      <c r="AC2878" s="9"/>
      <c r="AD2878" s="9"/>
      <c r="AE2878" s="9"/>
      <c r="AF2878" s="9"/>
      <c r="AG2878" s="9"/>
      <c r="AH2878" s="9"/>
      <c r="AI2878" s="9"/>
      <c r="AJ2878" s="9"/>
      <c r="AK2878" s="9"/>
      <c r="AL2878" s="9"/>
      <c r="AM2878" s="9"/>
      <c r="AN2878" s="9"/>
      <c r="AO2878" s="9"/>
      <c r="AP2878" s="9"/>
      <c r="AQ2878" s="9"/>
      <c r="AR2878" s="9"/>
      <c r="AS2878" s="9"/>
      <c r="AT2878" s="9"/>
      <c r="AU2878" s="9"/>
    </row>
    <row r="2879" spans="1:47" ht="15.75" customHeight="1">
      <c r="A2879" s="9"/>
      <c r="B2879" s="9"/>
      <c r="C2879" s="9"/>
      <c r="D2879" s="9"/>
      <c r="E2879" s="9"/>
      <c r="F2879" s="67"/>
      <c r="G2879" s="9"/>
      <c r="H2879" s="9"/>
      <c r="I2879" s="9"/>
      <c r="J2879" s="9"/>
      <c r="K2879" s="9"/>
      <c r="L2879" s="9"/>
      <c r="M2879" s="9"/>
      <c r="N2879" s="9"/>
      <c r="O2879" s="9"/>
      <c r="P2879" s="9"/>
      <c r="Q2879" s="9"/>
      <c r="R2879" s="9"/>
      <c r="S2879" s="9"/>
      <c r="T2879" s="9"/>
      <c r="U2879" s="9"/>
      <c r="V2879" s="9"/>
      <c r="W2879" s="9"/>
      <c r="X2879" s="9"/>
      <c r="Y2879" s="9"/>
      <c r="Z2879" s="9"/>
      <c r="AA2879" s="9"/>
      <c r="AB2879" s="9"/>
      <c r="AC2879" s="9"/>
      <c r="AD2879" s="9"/>
      <c r="AE2879" s="9"/>
      <c r="AF2879" s="9"/>
      <c r="AG2879" s="9"/>
      <c r="AH2879" s="9"/>
      <c r="AI2879" s="9"/>
      <c r="AJ2879" s="9"/>
      <c r="AK2879" s="9"/>
      <c r="AL2879" s="9"/>
      <c r="AM2879" s="9"/>
      <c r="AN2879" s="9"/>
      <c r="AO2879" s="9"/>
      <c r="AP2879" s="9"/>
      <c r="AQ2879" s="9"/>
      <c r="AR2879" s="9"/>
      <c r="AS2879" s="9"/>
      <c r="AT2879" s="9"/>
      <c r="AU2879" s="9"/>
    </row>
    <row r="2880" spans="1:47" ht="15.75" customHeight="1">
      <c r="A2880" s="9"/>
      <c r="B2880" s="9"/>
      <c r="C2880" s="9"/>
      <c r="D2880" s="9"/>
      <c r="E2880" s="9"/>
      <c r="F2880" s="67"/>
      <c r="G2880" s="9"/>
      <c r="H2880" s="9"/>
      <c r="I2880" s="9"/>
      <c r="J2880" s="9"/>
      <c r="K2880" s="9"/>
      <c r="L2880" s="9"/>
      <c r="M2880" s="9"/>
      <c r="N2880" s="9"/>
      <c r="O2880" s="9"/>
      <c r="P2880" s="9"/>
      <c r="Q2880" s="9"/>
      <c r="R2880" s="9"/>
      <c r="S2880" s="9"/>
      <c r="T2880" s="9"/>
      <c r="U2880" s="9"/>
      <c r="V2880" s="9"/>
      <c r="W2880" s="9"/>
      <c r="X2880" s="9"/>
      <c r="Y2880" s="9"/>
      <c r="Z2880" s="9"/>
      <c r="AA2880" s="9"/>
      <c r="AB2880" s="9"/>
      <c r="AC2880" s="9"/>
      <c r="AD2880" s="9"/>
      <c r="AE2880" s="9"/>
      <c r="AF2880" s="9"/>
      <c r="AG2880" s="9"/>
      <c r="AH2880" s="9"/>
      <c r="AI2880" s="9"/>
      <c r="AJ2880" s="9"/>
      <c r="AK2880" s="9"/>
      <c r="AL2880" s="9"/>
      <c r="AM2880" s="9"/>
      <c r="AN2880" s="9"/>
      <c r="AO2880" s="9"/>
      <c r="AP2880" s="9"/>
      <c r="AQ2880" s="9"/>
      <c r="AR2880" s="9"/>
      <c r="AS2880" s="9"/>
      <c r="AT2880" s="9"/>
      <c r="AU2880" s="9"/>
    </row>
    <row r="2881" spans="1:47" ht="15.75" customHeight="1">
      <c r="A2881" s="9"/>
      <c r="B2881" s="9"/>
      <c r="C2881" s="9"/>
      <c r="D2881" s="9"/>
      <c r="E2881" s="9"/>
      <c r="F2881" s="67"/>
      <c r="G2881" s="9"/>
      <c r="H2881" s="9"/>
      <c r="I2881" s="9"/>
      <c r="J2881" s="9"/>
      <c r="K2881" s="9"/>
      <c r="L2881" s="9"/>
      <c r="M2881" s="9"/>
      <c r="N2881" s="9"/>
      <c r="O2881" s="9"/>
      <c r="P2881" s="9"/>
      <c r="Q2881" s="9"/>
      <c r="R2881" s="9"/>
      <c r="S2881" s="9"/>
      <c r="T2881" s="9"/>
      <c r="U2881" s="9"/>
      <c r="V2881" s="9"/>
      <c r="W2881" s="9"/>
      <c r="X2881" s="9"/>
      <c r="Y2881" s="9"/>
      <c r="Z2881" s="9"/>
      <c r="AA2881" s="9"/>
      <c r="AB2881" s="9"/>
      <c r="AC2881" s="9"/>
      <c r="AD2881" s="9"/>
      <c r="AE2881" s="9"/>
      <c r="AF2881" s="9"/>
      <c r="AG2881" s="9"/>
      <c r="AH2881" s="9"/>
      <c r="AI2881" s="9"/>
      <c r="AJ2881" s="9"/>
      <c r="AK2881" s="9"/>
      <c r="AL2881" s="9"/>
      <c r="AM2881" s="9"/>
      <c r="AN2881" s="9"/>
      <c r="AO2881" s="9"/>
      <c r="AP2881" s="9"/>
      <c r="AQ2881" s="9"/>
      <c r="AR2881" s="9"/>
      <c r="AS2881" s="9"/>
      <c r="AT2881" s="9"/>
      <c r="AU2881" s="9"/>
    </row>
    <row r="2882" spans="1:47" ht="15.75" customHeight="1">
      <c r="A2882" s="9"/>
      <c r="B2882" s="9"/>
      <c r="C2882" s="9"/>
      <c r="D2882" s="9"/>
      <c r="E2882" s="9"/>
      <c r="F2882" s="67"/>
      <c r="G2882" s="9"/>
      <c r="H2882" s="9"/>
      <c r="I2882" s="9"/>
      <c r="J2882" s="9"/>
      <c r="K2882" s="9"/>
      <c r="L2882" s="9"/>
      <c r="M2882" s="9"/>
      <c r="N2882" s="9"/>
      <c r="O2882" s="9"/>
      <c r="P2882" s="9"/>
      <c r="Q2882" s="9"/>
      <c r="R2882" s="9"/>
      <c r="S2882" s="9"/>
      <c r="T2882" s="9"/>
      <c r="U2882" s="9"/>
      <c r="V2882" s="9"/>
      <c r="W2882" s="9"/>
      <c r="X2882" s="9"/>
      <c r="Y2882" s="9"/>
      <c r="Z2882" s="9"/>
      <c r="AA2882" s="9"/>
      <c r="AB2882" s="9"/>
      <c r="AC2882" s="9"/>
      <c r="AD2882" s="9"/>
      <c r="AE2882" s="9"/>
      <c r="AF2882" s="9"/>
      <c r="AG2882" s="9"/>
      <c r="AH2882" s="9"/>
      <c r="AI2882" s="9"/>
      <c r="AJ2882" s="9"/>
      <c r="AK2882" s="9"/>
      <c r="AL2882" s="9"/>
      <c r="AM2882" s="9"/>
      <c r="AN2882" s="9"/>
      <c r="AO2882" s="9"/>
      <c r="AP2882" s="9"/>
      <c r="AQ2882" s="9"/>
      <c r="AR2882" s="9"/>
      <c r="AS2882" s="9"/>
      <c r="AT2882" s="9"/>
      <c r="AU2882" s="9"/>
    </row>
    <row r="2883" spans="1:47" ht="15.75" customHeight="1">
      <c r="A2883" s="9"/>
      <c r="B2883" s="9"/>
      <c r="C2883" s="9"/>
      <c r="D2883" s="9"/>
      <c r="E2883" s="9"/>
      <c r="F2883" s="67"/>
      <c r="G2883" s="9"/>
      <c r="H2883" s="9"/>
      <c r="I2883" s="9"/>
      <c r="J2883" s="9"/>
      <c r="K2883" s="9"/>
      <c r="L2883" s="9"/>
      <c r="M2883" s="9"/>
      <c r="N2883" s="9"/>
      <c r="O2883" s="9"/>
      <c r="P2883" s="9"/>
      <c r="Q2883" s="9"/>
      <c r="R2883" s="9"/>
      <c r="S2883" s="9"/>
      <c r="T2883" s="9"/>
      <c r="U2883" s="9"/>
      <c r="V2883" s="9"/>
      <c r="W2883" s="9"/>
      <c r="X2883" s="9"/>
      <c r="Y2883" s="9"/>
      <c r="Z2883" s="9"/>
      <c r="AA2883" s="9"/>
      <c r="AB2883" s="9"/>
      <c r="AC2883" s="9"/>
      <c r="AD2883" s="9"/>
      <c r="AE2883" s="9"/>
      <c r="AF2883" s="9"/>
      <c r="AG2883" s="9"/>
      <c r="AH2883" s="9"/>
      <c r="AI2883" s="9"/>
      <c r="AJ2883" s="9"/>
      <c r="AK2883" s="9"/>
      <c r="AL2883" s="9"/>
      <c r="AM2883" s="9"/>
      <c r="AN2883" s="9"/>
      <c r="AO2883" s="9"/>
      <c r="AP2883" s="9"/>
      <c r="AQ2883" s="9"/>
      <c r="AR2883" s="9"/>
      <c r="AS2883" s="9"/>
      <c r="AT2883" s="9"/>
      <c r="AU2883" s="9"/>
    </row>
    <row r="2884" spans="1:47" ht="15.75" customHeight="1">
      <c r="A2884" s="9"/>
      <c r="B2884" s="9"/>
      <c r="C2884" s="9"/>
      <c r="D2884" s="9"/>
      <c r="E2884" s="9"/>
      <c r="F2884" s="67"/>
      <c r="G2884" s="9"/>
      <c r="H2884" s="9"/>
      <c r="I2884" s="9"/>
      <c r="J2884" s="9"/>
      <c r="K2884" s="9"/>
      <c r="L2884" s="9"/>
      <c r="M2884" s="9"/>
      <c r="N2884" s="9"/>
      <c r="O2884" s="9"/>
      <c r="P2884" s="9"/>
      <c r="Q2884" s="9"/>
      <c r="R2884" s="9"/>
      <c r="S2884" s="9"/>
      <c r="T2884" s="9"/>
      <c r="U2884" s="9"/>
      <c r="V2884" s="9"/>
      <c r="W2884" s="9"/>
      <c r="X2884" s="9"/>
      <c r="Y2884" s="9"/>
      <c r="Z2884" s="9"/>
      <c r="AA2884" s="9"/>
      <c r="AB2884" s="9"/>
      <c r="AC2884" s="9"/>
      <c r="AD2884" s="9"/>
      <c r="AE2884" s="9"/>
      <c r="AF2884" s="9"/>
      <c r="AG2884" s="9"/>
      <c r="AH2884" s="9"/>
      <c r="AI2884" s="9"/>
      <c r="AJ2884" s="9"/>
      <c r="AK2884" s="9"/>
      <c r="AL2884" s="9"/>
      <c r="AM2884" s="9"/>
      <c r="AN2884" s="9"/>
      <c r="AO2884" s="9"/>
      <c r="AP2884" s="9"/>
      <c r="AQ2884" s="9"/>
      <c r="AR2884" s="9"/>
      <c r="AS2884" s="9"/>
      <c r="AT2884" s="9"/>
      <c r="AU2884" s="9"/>
    </row>
    <row r="2885" spans="1:47" ht="15.75" customHeight="1">
      <c r="A2885" s="9"/>
      <c r="B2885" s="9"/>
      <c r="C2885" s="9"/>
      <c r="D2885" s="9"/>
      <c r="E2885" s="9"/>
      <c r="F2885" s="67"/>
      <c r="G2885" s="9"/>
      <c r="H2885" s="9"/>
      <c r="I2885" s="9"/>
      <c r="J2885" s="9"/>
      <c r="K2885" s="9"/>
      <c r="L2885" s="9"/>
      <c r="M2885" s="9"/>
      <c r="N2885" s="9"/>
      <c r="O2885" s="9"/>
      <c r="P2885" s="9"/>
      <c r="Q2885" s="9"/>
      <c r="R2885" s="9"/>
      <c r="S2885" s="9"/>
      <c r="T2885" s="9"/>
      <c r="U2885" s="9"/>
      <c r="V2885" s="9"/>
      <c r="W2885" s="9"/>
      <c r="X2885" s="9"/>
      <c r="Y2885" s="9"/>
      <c r="Z2885" s="9"/>
      <c r="AA2885" s="9"/>
      <c r="AB2885" s="9"/>
      <c r="AC2885" s="9"/>
      <c r="AD2885" s="9"/>
      <c r="AE2885" s="9"/>
      <c r="AF2885" s="9"/>
      <c r="AG2885" s="9"/>
      <c r="AH2885" s="9"/>
      <c r="AI2885" s="9"/>
      <c r="AJ2885" s="9"/>
      <c r="AK2885" s="9"/>
      <c r="AL2885" s="9"/>
      <c r="AM2885" s="9"/>
      <c r="AN2885" s="9"/>
      <c r="AO2885" s="9"/>
      <c r="AP2885" s="9"/>
      <c r="AQ2885" s="9"/>
      <c r="AR2885" s="9"/>
      <c r="AS2885" s="9"/>
      <c r="AT2885" s="9"/>
      <c r="AU2885" s="9"/>
    </row>
    <row r="2886" spans="1:47" ht="15.75" customHeight="1">
      <c r="A2886" s="9"/>
      <c r="B2886" s="9"/>
      <c r="C2886" s="9"/>
      <c r="D2886" s="9"/>
      <c r="E2886" s="9"/>
      <c r="F2886" s="67"/>
      <c r="G2886" s="9"/>
      <c r="H2886" s="9"/>
      <c r="I2886" s="9"/>
      <c r="J2886" s="9"/>
      <c r="K2886" s="9"/>
      <c r="L2886" s="9"/>
      <c r="M2886" s="9"/>
      <c r="N2886" s="9"/>
      <c r="O2886" s="9"/>
      <c r="P2886" s="9"/>
      <c r="Q2886" s="9"/>
      <c r="R2886" s="9"/>
      <c r="S2886" s="9"/>
      <c r="T2886" s="9"/>
      <c r="U2886" s="9"/>
      <c r="V2886" s="9"/>
      <c r="W2886" s="9"/>
      <c r="X2886" s="9"/>
      <c r="Y2886" s="9"/>
      <c r="Z2886" s="9"/>
      <c r="AA2886" s="9"/>
      <c r="AB2886" s="9"/>
      <c r="AC2886" s="9"/>
      <c r="AD2886" s="9"/>
      <c r="AE2886" s="9"/>
      <c r="AF2886" s="9"/>
      <c r="AG2886" s="9"/>
      <c r="AH2886" s="9"/>
      <c r="AI2886" s="9"/>
      <c r="AJ2886" s="9"/>
      <c r="AK2886" s="9"/>
      <c r="AL2886" s="9"/>
      <c r="AM2886" s="9"/>
      <c r="AN2886" s="9"/>
      <c r="AO2886" s="9"/>
      <c r="AP2886" s="9"/>
      <c r="AQ2886" s="9"/>
      <c r="AR2886" s="9"/>
      <c r="AS2886" s="9"/>
      <c r="AT2886" s="9"/>
      <c r="AU2886" s="9"/>
    </row>
    <row r="2887" spans="1:47" ht="15.75" customHeight="1">
      <c r="A2887" s="9"/>
      <c r="B2887" s="9"/>
      <c r="C2887" s="9"/>
      <c r="D2887" s="9"/>
      <c r="E2887" s="9"/>
      <c r="F2887" s="67"/>
      <c r="G2887" s="9"/>
      <c r="H2887" s="9"/>
      <c r="I2887" s="9"/>
      <c r="J2887" s="9"/>
      <c r="K2887" s="9"/>
      <c r="L2887" s="9"/>
      <c r="M2887" s="9"/>
      <c r="N2887" s="9"/>
      <c r="O2887" s="9"/>
      <c r="P2887" s="9"/>
      <c r="Q2887" s="9"/>
      <c r="R2887" s="9"/>
      <c r="S2887" s="9"/>
      <c r="T2887" s="9"/>
      <c r="U2887" s="9"/>
      <c r="V2887" s="9"/>
      <c r="W2887" s="9"/>
      <c r="X2887" s="9"/>
      <c r="Y2887" s="9"/>
      <c r="Z2887" s="9"/>
      <c r="AA2887" s="9"/>
      <c r="AB2887" s="9"/>
      <c r="AC2887" s="9"/>
      <c r="AD2887" s="9"/>
      <c r="AE2887" s="9"/>
      <c r="AF2887" s="9"/>
      <c r="AG2887" s="9"/>
      <c r="AH2887" s="9"/>
      <c r="AI2887" s="9"/>
      <c r="AJ2887" s="9"/>
      <c r="AK2887" s="9"/>
      <c r="AL2887" s="9"/>
      <c r="AM2887" s="9"/>
      <c r="AN2887" s="9"/>
      <c r="AO2887" s="9"/>
      <c r="AP2887" s="9"/>
      <c r="AQ2887" s="9"/>
      <c r="AR2887" s="9"/>
      <c r="AS2887" s="9"/>
      <c r="AT2887" s="9"/>
      <c r="AU2887" s="9"/>
    </row>
    <row r="2888" spans="1:47" ht="15.75" customHeight="1">
      <c r="A2888" s="9"/>
      <c r="B2888" s="9"/>
      <c r="C2888" s="9"/>
      <c r="D2888" s="9"/>
      <c r="E2888" s="9"/>
      <c r="F2888" s="67"/>
      <c r="G2888" s="9"/>
      <c r="H2888" s="9"/>
      <c r="I2888" s="9"/>
      <c r="J2888" s="9"/>
      <c r="K2888" s="9"/>
      <c r="L2888" s="9"/>
      <c r="M2888" s="9"/>
      <c r="N2888" s="9"/>
      <c r="O2888" s="9"/>
      <c r="P2888" s="9"/>
      <c r="Q2888" s="9"/>
      <c r="R2888" s="9"/>
      <c r="S2888" s="9"/>
      <c r="T2888" s="9"/>
      <c r="U2888" s="9"/>
      <c r="V2888" s="9"/>
      <c r="W2888" s="9"/>
      <c r="X2888" s="9"/>
      <c r="Y2888" s="9"/>
      <c r="Z2888" s="9"/>
      <c r="AA2888" s="9"/>
      <c r="AB2888" s="9"/>
      <c r="AC2888" s="9"/>
      <c r="AD2888" s="9"/>
      <c r="AE2888" s="9"/>
      <c r="AF2888" s="9"/>
      <c r="AG2888" s="9"/>
      <c r="AH2888" s="9"/>
      <c r="AI2888" s="9"/>
      <c r="AJ2888" s="9"/>
      <c r="AK2888" s="9"/>
      <c r="AL2888" s="9"/>
      <c r="AM2888" s="9"/>
      <c r="AN2888" s="9"/>
      <c r="AO2888" s="9"/>
      <c r="AP2888" s="9"/>
      <c r="AQ2888" s="9"/>
      <c r="AR2888" s="9"/>
      <c r="AS2888" s="9"/>
      <c r="AT2888" s="9"/>
      <c r="AU2888" s="9"/>
    </row>
    <row r="2889" spans="1:47" ht="15.75" customHeight="1">
      <c r="A2889" s="9"/>
      <c r="B2889" s="9"/>
      <c r="C2889" s="9"/>
      <c r="D2889" s="9"/>
      <c r="E2889" s="9"/>
      <c r="F2889" s="67"/>
      <c r="G2889" s="9"/>
      <c r="H2889" s="9"/>
      <c r="I2889" s="9"/>
      <c r="J2889" s="9"/>
      <c r="K2889" s="9"/>
      <c r="L2889" s="9"/>
      <c r="M2889" s="9"/>
      <c r="N2889" s="9"/>
      <c r="O2889" s="9"/>
      <c r="P2889" s="9"/>
      <c r="Q2889" s="9"/>
      <c r="R2889" s="9"/>
      <c r="S2889" s="9"/>
      <c r="T2889" s="9"/>
      <c r="U2889" s="9"/>
      <c r="V2889" s="9"/>
      <c r="W2889" s="9"/>
      <c r="X2889" s="9"/>
      <c r="Y2889" s="9"/>
      <c r="Z2889" s="9"/>
      <c r="AA2889" s="9"/>
      <c r="AB2889" s="9"/>
      <c r="AC2889" s="9"/>
      <c r="AD2889" s="9"/>
      <c r="AE2889" s="9"/>
      <c r="AF2889" s="9"/>
      <c r="AG2889" s="9"/>
      <c r="AH2889" s="9"/>
      <c r="AI2889" s="9"/>
      <c r="AJ2889" s="9"/>
      <c r="AK2889" s="9"/>
      <c r="AL2889" s="9"/>
      <c r="AM2889" s="9"/>
      <c r="AN2889" s="9"/>
      <c r="AO2889" s="9"/>
      <c r="AP2889" s="9"/>
      <c r="AQ2889" s="9"/>
      <c r="AR2889" s="9"/>
      <c r="AS2889" s="9"/>
      <c r="AT2889" s="9"/>
      <c r="AU2889" s="9"/>
    </row>
    <row r="2890" spans="1:47" ht="15.75" customHeight="1">
      <c r="A2890" s="9"/>
      <c r="B2890" s="9"/>
      <c r="C2890" s="9"/>
      <c r="D2890" s="9"/>
      <c r="E2890" s="9"/>
      <c r="F2890" s="67"/>
      <c r="G2890" s="9"/>
      <c r="H2890" s="9"/>
      <c r="I2890" s="9"/>
      <c r="J2890" s="9"/>
      <c r="K2890" s="9"/>
      <c r="L2890" s="9"/>
      <c r="M2890" s="9"/>
      <c r="N2890" s="9"/>
      <c r="O2890" s="9"/>
      <c r="P2890" s="9"/>
      <c r="Q2890" s="9"/>
      <c r="R2890" s="9"/>
      <c r="S2890" s="9"/>
      <c r="T2890" s="9"/>
      <c r="U2890" s="9"/>
      <c r="V2890" s="9"/>
      <c r="W2890" s="9"/>
      <c r="X2890" s="9"/>
      <c r="Y2890" s="9"/>
      <c r="Z2890" s="9"/>
      <c r="AA2890" s="9"/>
      <c r="AB2890" s="9"/>
      <c r="AC2890" s="9"/>
      <c r="AD2890" s="9"/>
      <c r="AE2890" s="9"/>
      <c r="AF2890" s="9"/>
      <c r="AG2890" s="9"/>
      <c r="AH2890" s="9"/>
      <c r="AI2890" s="9"/>
      <c r="AJ2890" s="9"/>
      <c r="AK2890" s="9"/>
      <c r="AL2890" s="9"/>
      <c r="AM2890" s="9"/>
      <c r="AN2890" s="9"/>
      <c r="AO2890" s="9"/>
      <c r="AP2890" s="9"/>
      <c r="AQ2890" s="9"/>
      <c r="AR2890" s="9"/>
      <c r="AS2890" s="9"/>
      <c r="AT2890" s="9"/>
      <c r="AU2890" s="9"/>
    </row>
    <row r="2891" spans="1:47" ht="15.75" customHeight="1">
      <c r="A2891" s="9"/>
      <c r="B2891" s="9"/>
      <c r="C2891" s="9"/>
      <c r="D2891" s="9"/>
      <c r="E2891" s="9"/>
      <c r="F2891" s="67"/>
      <c r="G2891" s="9"/>
      <c r="H2891" s="9"/>
      <c r="I2891" s="9"/>
      <c r="J2891" s="9"/>
      <c r="K2891" s="9"/>
      <c r="L2891" s="9"/>
      <c r="M2891" s="9"/>
      <c r="N2891" s="9"/>
      <c r="O2891" s="9"/>
      <c r="P2891" s="9"/>
      <c r="Q2891" s="9"/>
      <c r="R2891" s="9"/>
      <c r="S2891" s="9"/>
      <c r="T2891" s="9"/>
      <c r="U2891" s="9"/>
      <c r="V2891" s="9"/>
      <c r="W2891" s="9"/>
      <c r="X2891" s="9"/>
      <c r="Y2891" s="9"/>
      <c r="Z2891" s="9"/>
      <c r="AA2891" s="9"/>
      <c r="AB2891" s="9"/>
      <c r="AC2891" s="9"/>
      <c r="AD2891" s="9"/>
      <c r="AE2891" s="9"/>
      <c r="AF2891" s="9"/>
      <c r="AG2891" s="9"/>
      <c r="AH2891" s="9"/>
      <c r="AI2891" s="9"/>
      <c r="AJ2891" s="9"/>
      <c r="AK2891" s="9"/>
      <c r="AL2891" s="9"/>
      <c r="AM2891" s="9"/>
      <c r="AN2891" s="9"/>
      <c r="AO2891" s="9"/>
      <c r="AP2891" s="9"/>
      <c r="AQ2891" s="9"/>
      <c r="AR2891" s="9"/>
      <c r="AS2891" s="9"/>
      <c r="AT2891" s="9"/>
      <c r="AU2891" s="9"/>
    </row>
    <row r="2892" spans="1:47" ht="15.75" customHeight="1">
      <c r="A2892" s="9"/>
      <c r="B2892" s="9"/>
      <c r="C2892" s="9"/>
      <c r="D2892" s="9"/>
      <c r="E2892" s="9"/>
      <c r="F2892" s="67"/>
      <c r="G2892" s="9"/>
      <c r="H2892" s="9"/>
      <c r="I2892" s="9"/>
      <c r="J2892" s="9"/>
      <c r="K2892" s="9"/>
      <c r="L2892" s="9"/>
      <c r="M2892" s="9"/>
      <c r="N2892" s="9"/>
      <c r="O2892" s="9"/>
      <c r="P2892" s="9"/>
      <c r="Q2892" s="9"/>
      <c r="R2892" s="9"/>
      <c r="S2892" s="9"/>
      <c r="T2892" s="9"/>
      <c r="U2892" s="9"/>
      <c r="V2892" s="9"/>
      <c r="W2892" s="9"/>
      <c r="X2892" s="9"/>
      <c r="Y2892" s="9"/>
      <c r="Z2892" s="9"/>
      <c r="AA2892" s="9"/>
      <c r="AB2892" s="9"/>
      <c r="AC2892" s="9"/>
      <c r="AD2892" s="9"/>
      <c r="AE2892" s="9"/>
      <c r="AF2892" s="9"/>
      <c r="AG2892" s="9"/>
      <c r="AH2892" s="9"/>
      <c r="AI2892" s="9"/>
      <c r="AJ2892" s="9"/>
      <c r="AK2892" s="9"/>
      <c r="AL2892" s="9"/>
      <c r="AM2892" s="9"/>
      <c r="AN2892" s="9"/>
      <c r="AO2892" s="9"/>
      <c r="AP2892" s="9"/>
      <c r="AQ2892" s="9"/>
      <c r="AR2892" s="9"/>
      <c r="AS2892" s="9"/>
      <c r="AT2892" s="9"/>
      <c r="AU2892" s="9"/>
    </row>
    <row r="2893" spans="1:47" ht="15.75" customHeight="1">
      <c r="A2893" s="9"/>
      <c r="B2893" s="9"/>
      <c r="C2893" s="9"/>
      <c r="D2893" s="9"/>
      <c r="E2893" s="9"/>
      <c r="F2893" s="67"/>
      <c r="G2893" s="9"/>
      <c r="H2893" s="9"/>
      <c r="I2893" s="9"/>
      <c r="J2893" s="9"/>
      <c r="K2893" s="9"/>
      <c r="L2893" s="9"/>
      <c r="M2893" s="9"/>
      <c r="N2893" s="9"/>
      <c r="O2893" s="9"/>
      <c r="P2893" s="9"/>
      <c r="Q2893" s="9"/>
      <c r="R2893" s="9"/>
      <c r="S2893" s="9"/>
      <c r="T2893" s="9"/>
      <c r="U2893" s="9"/>
      <c r="V2893" s="9"/>
      <c r="W2893" s="9"/>
      <c r="X2893" s="9"/>
      <c r="Y2893" s="9"/>
      <c r="Z2893" s="9"/>
      <c r="AA2893" s="9"/>
      <c r="AB2893" s="9"/>
      <c r="AC2893" s="9"/>
      <c r="AD2893" s="9"/>
      <c r="AE2893" s="9"/>
      <c r="AF2893" s="9"/>
      <c r="AG2893" s="9"/>
      <c r="AH2893" s="9"/>
      <c r="AI2893" s="9"/>
      <c r="AJ2893" s="9"/>
      <c r="AK2893" s="9"/>
      <c r="AL2893" s="9"/>
      <c r="AM2893" s="9"/>
      <c r="AN2893" s="9"/>
      <c r="AO2893" s="9"/>
      <c r="AP2893" s="9"/>
      <c r="AQ2893" s="9"/>
      <c r="AR2893" s="9"/>
      <c r="AS2893" s="9"/>
      <c r="AT2893" s="9"/>
      <c r="AU2893" s="9"/>
    </row>
    <row r="2894" spans="1:47" ht="15.75" customHeight="1">
      <c r="A2894" s="9"/>
      <c r="B2894" s="9"/>
      <c r="C2894" s="9"/>
      <c r="D2894" s="9"/>
      <c r="E2894" s="9"/>
      <c r="F2894" s="67"/>
      <c r="G2894" s="9"/>
      <c r="H2894" s="9"/>
      <c r="I2894" s="9"/>
      <c r="J2894" s="9"/>
      <c r="K2894" s="9"/>
      <c r="L2894" s="9"/>
      <c r="M2894" s="9"/>
      <c r="N2894" s="9"/>
      <c r="O2894" s="9"/>
      <c r="P2894" s="9"/>
      <c r="Q2894" s="9"/>
      <c r="R2894" s="9"/>
      <c r="S2894" s="9"/>
      <c r="T2894" s="9"/>
      <c r="U2894" s="9"/>
      <c r="V2894" s="9"/>
      <c r="W2894" s="9"/>
      <c r="X2894" s="9"/>
      <c r="Y2894" s="9"/>
      <c r="Z2894" s="9"/>
      <c r="AA2894" s="9"/>
      <c r="AB2894" s="9"/>
      <c r="AC2894" s="9"/>
      <c r="AD2894" s="9"/>
      <c r="AE2894" s="9"/>
      <c r="AF2894" s="9"/>
      <c r="AG2894" s="9"/>
      <c r="AH2894" s="9"/>
      <c r="AI2894" s="9"/>
      <c r="AJ2894" s="9"/>
      <c r="AK2894" s="9"/>
      <c r="AL2894" s="9"/>
      <c r="AM2894" s="9"/>
      <c r="AN2894" s="9"/>
      <c r="AO2894" s="9"/>
      <c r="AP2894" s="9"/>
      <c r="AQ2894" s="9"/>
      <c r="AR2894" s="9"/>
      <c r="AS2894" s="9"/>
      <c r="AT2894" s="9"/>
      <c r="AU2894" s="9"/>
    </row>
    <row r="2895" spans="1:47" ht="15.75" customHeight="1">
      <c r="A2895" s="9"/>
      <c r="B2895" s="9"/>
      <c r="C2895" s="9"/>
      <c r="D2895" s="9"/>
      <c r="E2895" s="9"/>
      <c r="F2895" s="67"/>
      <c r="G2895" s="9"/>
      <c r="H2895" s="9"/>
      <c r="I2895" s="9"/>
      <c r="J2895" s="9"/>
      <c r="K2895" s="9"/>
      <c r="L2895" s="9"/>
      <c r="M2895" s="9"/>
      <c r="N2895" s="9"/>
      <c r="O2895" s="9"/>
      <c r="P2895" s="9"/>
      <c r="Q2895" s="9"/>
      <c r="R2895" s="9"/>
      <c r="S2895" s="9"/>
      <c r="T2895" s="9"/>
      <c r="U2895" s="9"/>
      <c r="V2895" s="9"/>
      <c r="W2895" s="9"/>
      <c r="X2895" s="9"/>
      <c r="Y2895" s="9"/>
      <c r="Z2895" s="9"/>
      <c r="AA2895" s="9"/>
      <c r="AB2895" s="9"/>
      <c r="AC2895" s="9"/>
      <c r="AD2895" s="9"/>
      <c r="AE2895" s="9"/>
      <c r="AF2895" s="9"/>
      <c r="AG2895" s="9"/>
      <c r="AH2895" s="9"/>
      <c r="AI2895" s="9"/>
      <c r="AJ2895" s="9"/>
      <c r="AK2895" s="9"/>
      <c r="AL2895" s="9"/>
      <c r="AM2895" s="9"/>
      <c r="AN2895" s="9"/>
      <c r="AO2895" s="9"/>
      <c r="AP2895" s="9"/>
      <c r="AQ2895" s="9"/>
      <c r="AR2895" s="9"/>
      <c r="AS2895" s="9"/>
      <c r="AT2895" s="9"/>
      <c r="AU2895" s="9"/>
    </row>
    <row r="2896" spans="1:47" ht="15.75" customHeight="1">
      <c r="A2896" s="9"/>
      <c r="B2896" s="9"/>
      <c r="C2896" s="9"/>
      <c r="D2896" s="9"/>
      <c r="E2896" s="9"/>
      <c r="F2896" s="67"/>
      <c r="G2896" s="9"/>
      <c r="H2896" s="9"/>
      <c r="I2896" s="9"/>
      <c r="J2896" s="9"/>
      <c r="K2896" s="9"/>
      <c r="L2896" s="9"/>
      <c r="M2896" s="9"/>
      <c r="N2896" s="9"/>
      <c r="O2896" s="9"/>
      <c r="P2896" s="9"/>
      <c r="Q2896" s="9"/>
      <c r="R2896" s="9"/>
      <c r="S2896" s="9"/>
      <c r="T2896" s="9"/>
      <c r="U2896" s="9"/>
      <c r="V2896" s="9"/>
      <c r="W2896" s="9"/>
      <c r="X2896" s="9"/>
      <c r="Y2896" s="9"/>
      <c r="Z2896" s="9"/>
      <c r="AA2896" s="9"/>
      <c r="AB2896" s="9"/>
      <c r="AC2896" s="9"/>
      <c r="AD2896" s="9"/>
      <c r="AE2896" s="9"/>
      <c r="AF2896" s="9"/>
      <c r="AG2896" s="9"/>
      <c r="AH2896" s="9"/>
      <c r="AI2896" s="9"/>
      <c r="AJ2896" s="9"/>
      <c r="AK2896" s="9"/>
      <c r="AL2896" s="9"/>
      <c r="AM2896" s="9"/>
      <c r="AN2896" s="9"/>
      <c r="AO2896" s="9"/>
      <c r="AP2896" s="9"/>
      <c r="AQ2896" s="9"/>
      <c r="AR2896" s="9"/>
      <c r="AS2896" s="9"/>
      <c r="AT2896" s="9"/>
      <c r="AU2896" s="9"/>
    </row>
    <row r="2897" spans="1:47" ht="15.75" customHeight="1">
      <c r="A2897" s="9"/>
      <c r="B2897" s="9"/>
      <c r="C2897" s="9"/>
      <c r="D2897" s="9"/>
      <c r="E2897" s="9"/>
      <c r="F2897" s="67"/>
      <c r="G2897" s="9"/>
      <c r="H2897" s="9"/>
      <c r="I2897" s="9"/>
      <c r="J2897" s="9"/>
      <c r="K2897" s="9"/>
      <c r="L2897" s="9"/>
      <c r="M2897" s="9"/>
      <c r="N2897" s="9"/>
      <c r="O2897" s="9"/>
      <c r="P2897" s="9"/>
      <c r="Q2897" s="9"/>
      <c r="R2897" s="9"/>
      <c r="S2897" s="9"/>
      <c r="T2897" s="9"/>
      <c r="U2897" s="9"/>
      <c r="V2897" s="9"/>
      <c r="W2897" s="9"/>
      <c r="X2897" s="9"/>
      <c r="Y2897" s="9"/>
      <c r="Z2897" s="9"/>
      <c r="AA2897" s="9"/>
      <c r="AB2897" s="9"/>
      <c r="AC2897" s="9"/>
      <c r="AD2897" s="9"/>
      <c r="AE2897" s="9"/>
      <c r="AF2897" s="9"/>
      <c r="AG2897" s="9"/>
      <c r="AH2897" s="9"/>
      <c r="AI2897" s="9"/>
      <c r="AJ2897" s="9"/>
      <c r="AK2897" s="9"/>
      <c r="AL2897" s="9"/>
      <c r="AM2897" s="9"/>
      <c r="AN2897" s="9"/>
      <c r="AO2897" s="9"/>
      <c r="AP2897" s="9"/>
      <c r="AQ2897" s="9"/>
      <c r="AR2897" s="9"/>
      <c r="AS2897" s="9"/>
      <c r="AT2897" s="9"/>
      <c r="AU2897" s="9"/>
    </row>
    <row r="2898" spans="1:47" ht="15.75" customHeight="1">
      <c r="A2898" s="9"/>
      <c r="B2898" s="9"/>
      <c r="C2898" s="9"/>
      <c r="D2898" s="9"/>
      <c r="E2898" s="9"/>
      <c r="F2898" s="67"/>
      <c r="G2898" s="9"/>
      <c r="H2898" s="9"/>
      <c r="I2898" s="9"/>
      <c r="J2898" s="9"/>
      <c r="K2898" s="9"/>
      <c r="L2898" s="9"/>
      <c r="M2898" s="9"/>
      <c r="N2898" s="9"/>
      <c r="O2898" s="9"/>
      <c r="P2898" s="9"/>
      <c r="Q2898" s="9"/>
      <c r="R2898" s="9"/>
      <c r="S2898" s="9"/>
      <c r="T2898" s="9"/>
      <c r="U2898" s="9"/>
      <c r="V2898" s="9"/>
      <c r="W2898" s="9"/>
      <c r="X2898" s="9"/>
      <c r="Y2898" s="9"/>
      <c r="Z2898" s="9"/>
      <c r="AA2898" s="9"/>
      <c r="AB2898" s="9"/>
      <c r="AC2898" s="9"/>
      <c r="AD2898" s="9"/>
      <c r="AE2898" s="9"/>
      <c r="AF2898" s="9"/>
      <c r="AG2898" s="9"/>
      <c r="AH2898" s="9"/>
      <c r="AI2898" s="9"/>
      <c r="AJ2898" s="9"/>
      <c r="AK2898" s="9"/>
      <c r="AL2898" s="9"/>
      <c r="AM2898" s="9"/>
      <c r="AN2898" s="9"/>
      <c r="AO2898" s="9"/>
      <c r="AP2898" s="9"/>
      <c r="AQ2898" s="9"/>
      <c r="AR2898" s="9"/>
      <c r="AS2898" s="9"/>
      <c r="AT2898" s="9"/>
      <c r="AU2898" s="9"/>
    </row>
    <row r="2899" spans="1:47" ht="15.75" customHeight="1">
      <c r="A2899" s="9"/>
      <c r="B2899" s="9"/>
      <c r="C2899" s="9"/>
      <c r="D2899" s="9"/>
      <c r="E2899" s="9"/>
      <c r="F2899" s="67"/>
      <c r="G2899" s="9"/>
      <c r="H2899" s="9"/>
      <c r="I2899" s="9"/>
      <c r="J2899" s="9"/>
      <c r="K2899" s="9"/>
      <c r="L2899" s="9"/>
      <c r="M2899" s="9"/>
      <c r="N2899" s="9"/>
      <c r="O2899" s="9"/>
      <c r="P2899" s="9"/>
      <c r="Q2899" s="9"/>
      <c r="R2899" s="9"/>
      <c r="S2899" s="9"/>
      <c r="T2899" s="9"/>
      <c r="U2899" s="9"/>
      <c r="V2899" s="9"/>
      <c r="W2899" s="9"/>
      <c r="X2899" s="9"/>
      <c r="Y2899" s="9"/>
      <c r="Z2899" s="9"/>
      <c r="AA2899" s="9"/>
      <c r="AB2899" s="9"/>
      <c r="AC2899" s="9"/>
      <c r="AD2899" s="9"/>
      <c r="AE2899" s="9"/>
      <c r="AF2899" s="9"/>
      <c r="AG2899" s="9"/>
      <c r="AH2899" s="9"/>
      <c r="AI2899" s="9"/>
      <c r="AJ2899" s="9"/>
      <c r="AK2899" s="9"/>
      <c r="AL2899" s="9"/>
      <c r="AM2899" s="9"/>
      <c r="AN2899" s="9"/>
      <c r="AO2899" s="9"/>
      <c r="AP2899" s="9"/>
      <c r="AQ2899" s="9"/>
      <c r="AR2899" s="9"/>
      <c r="AS2899" s="9"/>
      <c r="AT2899" s="9"/>
      <c r="AU2899" s="9"/>
    </row>
    <row r="2900" spans="1:47" ht="15.75" customHeight="1">
      <c r="A2900" s="9"/>
      <c r="B2900" s="9"/>
      <c r="C2900" s="9"/>
      <c r="D2900" s="9"/>
      <c r="E2900" s="9"/>
      <c r="F2900" s="67"/>
      <c r="G2900" s="9"/>
      <c r="H2900" s="9"/>
      <c r="I2900" s="9"/>
      <c r="J2900" s="9"/>
      <c r="K2900" s="9"/>
      <c r="L2900" s="9"/>
      <c r="M2900" s="9"/>
      <c r="N2900" s="9"/>
      <c r="O2900" s="9"/>
      <c r="P2900" s="9"/>
      <c r="Q2900" s="9"/>
      <c r="R2900" s="9"/>
      <c r="S2900" s="9"/>
      <c r="T2900" s="9"/>
      <c r="U2900" s="9"/>
      <c r="V2900" s="9"/>
      <c r="W2900" s="9"/>
      <c r="X2900" s="9"/>
      <c r="Y2900" s="9"/>
      <c r="Z2900" s="9"/>
      <c r="AA2900" s="9"/>
      <c r="AB2900" s="9"/>
      <c r="AC2900" s="9"/>
      <c r="AD2900" s="9"/>
      <c r="AE2900" s="9"/>
      <c r="AF2900" s="9"/>
      <c r="AG2900" s="9"/>
      <c r="AH2900" s="9"/>
      <c r="AI2900" s="9"/>
      <c r="AJ2900" s="9"/>
      <c r="AK2900" s="9"/>
      <c r="AL2900" s="9"/>
      <c r="AM2900" s="9"/>
      <c r="AN2900" s="9"/>
      <c r="AO2900" s="9"/>
      <c r="AP2900" s="9"/>
      <c r="AQ2900" s="9"/>
      <c r="AR2900" s="9"/>
      <c r="AS2900" s="9"/>
      <c r="AT2900" s="9"/>
      <c r="AU2900" s="9"/>
    </row>
    <row r="2901" spans="1:47" ht="15.75" customHeight="1">
      <c r="A2901" s="9"/>
      <c r="B2901" s="9"/>
      <c r="C2901" s="9"/>
      <c r="D2901" s="9"/>
      <c r="E2901" s="9"/>
      <c r="F2901" s="67"/>
      <c r="G2901" s="9"/>
      <c r="H2901" s="9"/>
      <c r="I2901" s="9"/>
      <c r="J2901" s="9"/>
      <c r="K2901" s="9"/>
      <c r="L2901" s="9"/>
      <c r="M2901" s="9"/>
      <c r="N2901" s="9"/>
      <c r="O2901" s="9"/>
      <c r="P2901" s="9"/>
      <c r="Q2901" s="9"/>
      <c r="R2901" s="9"/>
      <c r="S2901" s="9"/>
      <c r="T2901" s="9"/>
      <c r="U2901" s="9"/>
      <c r="V2901" s="9"/>
      <c r="W2901" s="9"/>
      <c r="X2901" s="9"/>
      <c r="Y2901" s="9"/>
      <c r="Z2901" s="9"/>
      <c r="AA2901" s="9"/>
      <c r="AB2901" s="9"/>
      <c r="AC2901" s="9"/>
      <c r="AD2901" s="9"/>
      <c r="AE2901" s="9"/>
      <c r="AF2901" s="9"/>
      <c r="AG2901" s="9"/>
      <c r="AH2901" s="9"/>
      <c r="AI2901" s="9"/>
      <c r="AJ2901" s="9"/>
      <c r="AK2901" s="9"/>
      <c r="AL2901" s="9"/>
      <c r="AM2901" s="9"/>
      <c r="AN2901" s="9"/>
      <c r="AO2901" s="9"/>
      <c r="AP2901" s="9"/>
      <c r="AQ2901" s="9"/>
      <c r="AR2901" s="9"/>
      <c r="AS2901" s="9"/>
      <c r="AT2901" s="9"/>
      <c r="AU2901" s="9"/>
    </row>
    <row r="2902" spans="1:47" ht="15.75" customHeight="1">
      <c r="A2902" s="9"/>
      <c r="B2902" s="9"/>
      <c r="C2902" s="9"/>
      <c r="D2902" s="9"/>
      <c r="E2902" s="9"/>
      <c r="F2902" s="67"/>
      <c r="G2902" s="9"/>
      <c r="H2902" s="9"/>
      <c r="I2902" s="9"/>
      <c r="J2902" s="9"/>
      <c r="K2902" s="9"/>
      <c r="L2902" s="9"/>
      <c r="M2902" s="9"/>
      <c r="N2902" s="9"/>
      <c r="O2902" s="9"/>
      <c r="P2902" s="9"/>
      <c r="Q2902" s="9"/>
      <c r="R2902" s="9"/>
      <c r="S2902" s="9"/>
      <c r="T2902" s="9"/>
      <c r="U2902" s="9"/>
      <c r="V2902" s="9"/>
      <c r="W2902" s="9"/>
      <c r="X2902" s="9"/>
      <c r="Y2902" s="9"/>
      <c r="Z2902" s="9"/>
      <c r="AA2902" s="9"/>
      <c r="AB2902" s="9"/>
      <c r="AC2902" s="9"/>
      <c r="AD2902" s="9"/>
      <c r="AE2902" s="9"/>
      <c r="AF2902" s="9"/>
      <c r="AG2902" s="9"/>
      <c r="AH2902" s="9"/>
      <c r="AI2902" s="9"/>
      <c r="AJ2902" s="9"/>
      <c r="AK2902" s="9"/>
      <c r="AL2902" s="9"/>
      <c r="AM2902" s="9"/>
      <c r="AN2902" s="9"/>
      <c r="AO2902" s="9"/>
      <c r="AP2902" s="9"/>
      <c r="AQ2902" s="9"/>
      <c r="AR2902" s="9"/>
      <c r="AS2902" s="9"/>
      <c r="AT2902" s="9"/>
      <c r="AU2902" s="9"/>
    </row>
    <row r="2903" spans="1:47" ht="15.75" customHeight="1">
      <c r="A2903" s="9"/>
      <c r="B2903" s="9"/>
      <c r="C2903" s="9"/>
      <c r="D2903" s="9"/>
      <c r="E2903" s="9"/>
      <c r="F2903" s="67"/>
      <c r="G2903" s="9"/>
      <c r="H2903" s="9"/>
      <c r="I2903" s="9"/>
      <c r="J2903" s="9"/>
      <c r="K2903" s="9"/>
      <c r="L2903" s="9"/>
      <c r="M2903" s="9"/>
      <c r="N2903" s="9"/>
      <c r="O2903" s="9"/>
      <c r="P2903" s="9"/>
      <c r="Q2903" s="9"/>
      <c r="R2903" s="9"/>
      <c r="S2903" s="9"/>
      <c r="T2903" s="9"/>
      <c r="U2903" s="9"/>
      <c r="V2903" s="9"/>
      <c r="W2903" s="9"/>
      <c r="X2903" s="9"/>
      <c r="Y2903" s="9"/>
      <c r="Z2903" s="9"/>
      <c r="AA2903" s="9"/>
      <c r="AB2903" s="9"/>
      <c r="AC2903" s="9"/>
      <c r="AD2903" s="9"/>
      <c r="AE2903" s="9"/>
      <c r="AF2903" s="9"/>
      <c r="AG2903" s="9"/>
      <c r="AH2903" s="9"/>
      <c r="AI2903" s="9"/>
      <c r="AJ2903" s="9"/>
      <c r="AK2903" s="9"/>
      <c r="AL2903" s="9"/>
      <c r="AM2903" s="9"/>
      <c r="AN2903" s="9"/>
      <c r="AO2903" s="9"/>
      <c r="AP2903" s="9"/>
      <c r="AQ2903" s="9"/>
      <c r="AR2903" s="9"/>
      <c r="AS2903" s="9"/>
      <c r="AT2903" s="9"/>
      <c r="AU2903" s="9"/>
    </row>
    <row r="2904" spans="1:47" ht="15.75" customHeight="1">
      <c r="A2904" s="9"/>
      <c r="B2904" s="9"/>
      <c r="C2904" s="9"/>
      <c r="D2904" s="9"/>
      <c r="E2904" s="9"/>
      <c r="F2904" s="67"/>
      <c r="G2904" s="9"/>
      <c r="H2904" s="9"/>
      <c r="I2904" s="9"/>
      <c r="J2904" s="9"/>
      <c r="K2904" s="9"/>
      <c r="L2904" s="9"/>
      <c r="M2904" s="9"/>
      <c r="N2904" s="9"/>
      <c r="O2904" s="9"/>
      <c r="P2904" s="9"/>
      <c r="Q2904" s="9"/>
      <c r="R2904" s="9"/>
      <c r="S2904" s="9"/>
      <c r="T2904" s="9"/>
      <c r="U2904" s="9"/>
      <c r="V2904" s="9"/>
      <c r="W2904" s="9"/>
      <c r="X2904" s="9"/>
      <c r="Y2904" s="9"/>
      <c r="Z2904" s="9"/>
      <c r="AA2904" s="9"/>
      <c r="AB2904" s="9"/>
      <c r="AC2904" s="9"/>
      <c r="AD2904" s="9"/>
      <c r="AE2904" s="9"/>
      <c r="AF2904" s="9"/>
      <c r="AG2904" s="9"/>
      <c r="AH2904" s="9"/>
      <c r="AI2904" s="9"/>
      <c r="AJ2904" s="9"/>
      <c r="AK2904" s="9"/>
      <c r="AL2904" s="9"/>
      <c r="AM2904" s="9"/>
      <c r="AN2904" s="9"/>
      <c r="AO2904" s="9"/>
      <c r="AP2904" s="9"/>
      <c r="AQ2904" s="9"/>
      <c r="AR2904" s="9"/>
      <c r="AS2904" s="9"/>
      <c r="AT2904" s="9"/>
      <c r="AU2904" s="9"/>
    </row>
    <row r="2905" spans="1:47" ht="15.75" customHeight="1">
      <c r="A2905" s="9"/>
      <c r="B2905" s="9"/>
      <c r="C2905" s="9"/>
      <c r="D2905" s="9"/>
      <c r="E2905" s="9"/>
      <c r="F2905" s="67"/>
      <c r="G2905" s="9"/>
      <c r="H2905" s="9"/>
      <c r="I2905" s="9"/>
      <c r="J2905" s="9"/>
      <c r="K2905" s="9"/>
      <c r="L2905" s="9"/>
      <c r="M2905" s="9"/>
      <c r="N2905" s="9"/>
      <c r="O2905" s="9"/>
      <c r="P2905" s="9"/>
      <c r="Q2905" s="9"/>
      <c r="R2905" s="9"/>
      <c r="S2905" s="9"/>
      <c r="T2905" s="9"/>
      <c r="U2905" s="9"/>
      <c r="V2905" s="9"/>
      <c r="W2905" s="9"/>
      <c r="X2905" s="9"/>
      <c r="Y2905" s="9"/>
      <c r="Z2905" s="9"/>
      <c r="AA2905" s="9"/>
      <c r="AB2905" s="9"/>
      <c r="AC2905" s="9"/>
      <c r="AD2905" s="9"/>
      <c r="AE2905" s="9"/>
      <c r="AF2905" s="9"/>
      <c r="AG2905" s="9"/>
      <c r="AH2905" s="9"/>
      <c r="AI2905" s="9"/>
      <c r="AJ2905" s="9"/>
      <c r="AK2905" s="9"/>
      <c r="AL2905" s="9"/>
      <c r="AM2905" s="9"/>
      <c r="AN2905" s="9"/>
      <c r="AO2905" s="9"/>
      <c r="AP2905" s="9"/>
      <c r="AQ2905" s="9"/>
      <c r="AR2905" s="9"/>
      <c r="AS2905" s="9"/>
      <c r="AT2905" s="9"/>
      <c r="AU2905" s="9"/>
    </row>
    <row r="2906" spans="1:47" ht="15.75" customHeight="1">
      <c r="A2906" s="9"/>
      <c r="B2906" s="9"/>
      <c r="C2906" s="9"/>
      <c r="D2906" s="9"/>
      <c r="E2906" s="9"/>
      <c r="F2906" s="67"/>
      <c r="G2906" s="9"/>
      <c r="H2906" s="9"/>
      <c r="I2906" s="9"/>
      <c r="J2906" s="9"/>
      <c r="K2906" s="9"/>
      <c r="L2906" s="9"/>
      <c r="M2906" s="9"/>
      <c r="N2906" s="9"/>
      <c r="O2906" s="9"/>
      <c r="P2906" s="9"/>
      <c r="Q2906" s="9"/>
      <c r="R2906" s="9"/>
      <c r="S2906" s="9"/>
      <c r="T2906" s="9"/>
      <c r="U2906" s="9"/>
      <c r="V2906" s="9"/>
      <c r="W2906" s="9"/>
      <c r="X2906" s="9"/>
      <c r="Y2906" s="9"/>
      <c r="Z2906" s="9"/>
      <c r="AA2906" s="9"/>
      <c r="AB2906" s="9"/>
      <c r="AC2906" s="9"/>
      <c r="AD2906" s="9"/>
      <c r="AE2906" s="9"/>
      <c r="AF2906" s="9"/>
      <c r="AG2906" s="9"/>
      <c r="AH2906" s="9"/>
      <c r="AI2906" s="9"/>
      <c r="AJ2906" s="9"/>
      <c r="AK2906" s="9"/>
      <c r="AL2906" s="9"/>
      <c r="AM2906" s="9"/>
      <c r="AN2906" s="9"/>
      <c r="AO2906" s="9"/>
      <c r="AP2906" s="9"/>
      <c r="AQ2906" s="9"/>
      <c r="AR2906" s="9"/>
      <c r="AS2906" s="9"/>
      <c r="AT2906" s="9"/>
      <c r="AU2906" s="9"/>
    </row>
    <row r="2907" spans="1:47" ht="15.75" customHeight="1">
      <c r="A2907" s="9"/>
      <c r="B2907" s="9"/>
      <c r="C2907" s="9"/>
      <c r="D2907" s="9"/>
      <c r="E2907" s="9"/>
      <c r="F2907" s="67"/>
      <c r="G2907" s="9"/>
      <c r="H2907" s="9"/>
      <c r="I2907" s="9"/>
      <c r="J2907" s="9"/>
      <c r="K2907" s="9"/>
      <c r="L2907" s="9"/>
      <c r="M2907" s="9"/>
      <c r="N2907" s="9"/>
      <c r="O2907" s="9"/>
      <c r="P2907" s="9"/>
      <c r="Q2907" s="9"/>
      <c r="R2907" s="9"/>
      <c r="S2907" s="9"/>
      <c r="T2907" s="9"/>
      <c r="U2907" s="9"/>
      <c r="V2907" s="9"/>
      <c r="W2907" s="9"/>
      <c r="X2907" s="9"/>
      <c r="Y2907" s="9"/>
      <c r="Z2907" s="9"/>
      <c r="AA2907" s="9"/>
      <c r="AB2907" s="9"/>
      <c r="AC2907" s="9"/>
      <c r="AD2907" s="9"/>
      <c r="AE2907" s="9"/>
      <c r="AF2907" s="9"/>
      <c r="AG2907" s="9"/>
      <c r="AH2907" s="9"/>
      <c r="AI2907" s="9"/>
      <c r="AJ2907" s="9"/>
      <c r="AK2907" s="9"/>
      <c r="AL2907" s="9"/>
      <c r="AM2907" s="9"/>
      <c r="AN2907" s="9"/>
      <c r="AO2907" s="9"/>
      <c r="AP2907" s="9"/>
      <c r="AQ2907" s="9"/>
      <c r="AR2907" s="9"/>
      <c r="AS2907" s="9"/>
      <c r="AT2907" s="9"/>
      <c r="AU2907" s="9"/>
    </row>
    <row r="2908" spans="1:47" ht="15.75" customHeight="1">
      <c r="A2908" s="9"/>
      <c r="B2908" s="9"/>
      <c r="C2908" s="9"/>
      <c r="D2908" s="9"/>
      <c r="E2908" s="9"/>
      <c r="F2908" s="67"/>
      <c r="G2908" s="9"/>
      <c r="H2908" s="9"/>
      <c r="I2908" s="9"/>
      <c r="J2908" s="9"/>
      <c r="K2908" s="9"/>
      <c r="L2908" s="9"/>
      <c r="M2908" s="9"/>
      <c r="N2908" s="9"/>
      <c r="O2908" s="9"/>
      <c r="P2908" s="9"/>
      <c r="Q2908" s="9"/>
      <c r="R2908" s="9"/>
      <c r="S2908" s="9"/>
      <c r="T2908" s="9"/>
      <c r="U2908" s="9"/>
      <c r="V2908" s="9"/>
      <c r="W2908" s="9"/>
      <c r="X2908" s="9"/>
      <c r="Y2908" s="9"/>
      <c r="Z2908" s="9"/>
      <c r="AA2908" s="9"/>
      <c r="AB2908" s="9"/>
      <c r="AC2908" s="9"/>
      <c r="AD2908" s="9"/>
      <c r="AE2908" s="9"/>
      <c r="AF2908" s="9"/>
      <c r="AG2908" s="9"/>
      <c r="AH2908" s="9"/>
      <c r="AI2908" s="9"/>
      <c r="AJ2908" s="9"/>
      <c r="AK2908" s="9"/>
      <c r="AL2908" s="9"/>
      <c r="AM2908" s="9"/>
      <c r="AN2908" s="9"/>
      <c r="AO2908" s="9"/>
      <c r="AP2908" s="9"/>
      <c r="AQ2908" s="9"/>
      <c r="AR2908" s="9"/>
      <c r="AS2908" s="9"/>
      <c r="AT2908" s="9"/>
      <c r="AU2908" s="9"/>
    </row>
    <row r="2909" spans="1:47" ht="15.75" customHeight="1">
      <c r="A2909" s="9"/>
      <c r="B2909" s="9"/>
      <c r="C2909" s="9"/>
      <c r="D2909" s="9"/>
      <c r="E2909" s="9"/>
      <c r="F2909" s="67"/>
      <c r="G2909" s="9"/>
      <c r="H2909" s="9"/>
      <c r="I2909" s="9"/>
      <c r="J2909" s="9"/>
      <c r="K2909" s="9"/>
      <c r="L2909" s="9"/>
      <c r="M2909" s="9"/>
      <c r="N2909" s="9"/>
      <c r="O2909" s="9"/>
      <c r="P2909" s="9"/>
      <c r="Q2909" s="9"/>
      <c r="R2909" s="9"/>
      <c r="S2909" s="9"/>
      <c r="T2909" s="9"/>
      <c r="U2909" s="9"/>
      <c r="V2909" s="9"/>
      <c r="W2909" s="9"/>
      <c r="X2909" s="9"/>
      <c r="Y2909" s="9"/>
      <c r="Z2909" s="9"/>
      <c r="AA2909" s="9"/>
      <c r="AB2909" s="9"/>
      <c r="AC2909" s="9"/>
      <c r="AD2909" s="9"/>
      <c r="AE2909" s="9"/>
      <c r="AF2909" s="9"/>
      <c r="AG2909" s="9"/>
      <c r="AH2909" s="9"/>
      <c r="AI2909" s="9"/>
      <c r="AJ2909" s="9"/>
      <c r="AK2909" s="9"/>
      <c r="AL2909" s="9"/>
      <c r="AM2909" s="9"/>
      <c r="AN2909" s="9"/>
      <c r="AO2909" s="9"/>
      <c r="AP2909" s="9"/>
      <c r="AQ2909" s="9"/>
      <c r="AR2909" s="9"/>
      <c r="AS2909" s="9"/>
      <c r="AT2909" s="9"/>
      <c r="AU2909" s="9"/>
    </row>
    <row r="2910" spans="1:47" ht="15.75" customHeight="1">
      <c r="A2910" s="9"/>
      <c r="B2910" s="9"/>
      <c r="C2910" s="9"/>
      <c r="D2910" s="9"/>
      <c r="E2910" s="9"/>
      <c r="F2910" s="67"/>
      <c r="G2910" s="9"/>
      <c r="H2910" s="9"/>
      <c r="I2910" s="9"/>
      <c r="J2910" s="9"/>
      <c r="K2910" s="9"/>
      <c r="L2910" s="9"/>
      <c r="M2910" s="9"/>
      <c r="N2910" s="9"/>
      <c r="O2910" s="9"/>
      <c r="P2910" s="9"/>
      <c r="Q2910" s="9"/>
      <c r="R2910" s="9"/>
      <c r="S2910" s="9"/>
      <c r="T2910" s="9"/>
      <c r="U2910" s="9"/>
      <c r="V2910" s="9"/>
      <c r="W2910" s="9"/>
      <c r="X2910" s="9"/>
      <c r="Y2910" s="9"/>
      <c r="Z2910" s="9"/>
      <c r="AA2910" s="9"/>
      <c r="AB2910" s="9"/>
      <c r="AC2910" s="9"/>
      <c r="AD2910" s="9"/>
      <c r="AE2910" s="9"/>
      <c r="AF2910" s="9"/>
      <c r="AG2910" s="9"/>
      <c r="AH2910" s="9"/>
      <c r="AI2910" s="9"/>
      <c r="AJ2910" s="9"/>
      <c r="AK2910" s="9"/>
      <c r="AL2910" s="9"/>
      <c r="AM2910" s="9"/>
      <c r="AN2910" s="9"/>
      <c r="AO2910" s="9"/>
      <c r="AP2910" s="9"/>
      <c r="AQ2910" s="9"/>
      <c r="AR2910" s="9"/>
      <c r="AS2910" s="9"/>
      <c r="AT2910" s="9"/>
      <c r="AU2910" s="9"/>
    </row>
    <row r="2911" spans="1:47" ht="15.75" customHeight="1">
      <c r="A2911" s="9"/>
      <c r="B2911" s="9"/>
      <c r="C2911" s="9"/>
      <c r="D2911" s="9"/>
      <c r="E2911" s="9"/>
      <c r="F2911" s="67"/>
      <c r="G2911" s="9"/>
      <c r="H2911" s="9"/>
      <c r="I2911" s="9"/>
      <c r="J2911" s="9"/>
      <c r="K2911" s="9"/>
      <c r="L2911" s="9"/>
      <c r="M2911" s="9"/>
      <c r="N2911" s="9"/>
      <c r="O2911" s="9"/>
      <c r="P2911" s="9"/>
      <c r="Q2911" s="9"/>
      <c r="R2911" s="9"/>
      <c r="S2911" s="9"/>
      <c r="T2911" s="9"/>
      <c r="U2911" s="9"/>
      <c r="V2911" s="9"/>
      <c r="W2911" s="9"/>
      <c r="X2911" s="9"/>
      <c r="Y2911" s="9"/>
      <c r="Z2911" s="9"/>
      <c r="AA2911" s="9"/>
      <c r="AB2911" s="9"/>
      <c r="AC2911" s="9"/>
      <c r="AD2911" s="9"/>
      <c r="AE2911" s="9"/>
      <c r="AF2911" s="9"/>
      <c r="AG2911" s="9"/>
      <c r="AH2911" s="9"/>
      <c r="AI2911" s="9"/>
      <c r="AJ2911" s="9"/>
      <c r="AK2911" s="9"/>
      <c r="AL2911" s="9"/>
      <c r="AM2911" s="9"/>
      <c r="AN2911" s="9"/>
      <c r="AO2911" s="9"/>
      <c r="AP2911" s="9"/>
      <c r="AQ2911" s="9"/>
      <c r="AR2911" s="9"/>
      <c r="AS2911" s="9"/>
      <c r="AT2911" s="9"/>
      <c r="AU2911" s="9"/>
    </row>
    <row r="2912" spans="1:47" ht="15.75" customHeight="1">
      <c r="A2912" s="9"/>
      <c r="B2912" s="9"/>
      <c r="C2912" s="9"/>
      <c r="D2912" s="9"/>
      <c r="E2912" s="9"/>
      <c r="F2912" s="67"/>
      <c r="G2912" s="9"/>
      <c r="H2912" s="9"/>
      <c r="I2912" s="9"/>
      <c r="J2912" s="9"/>
      <c r="K2912" s="9"/>
      <c r="L2912" s="9"/>
      <c r="M2912" s="9"/>
      <c r="N2912" s="9"/>
      <c r="O2912" s="9"/>
      <c r="P2912" s="9"/>
      <c r="Q2912" s="9"/>
      <c r="R2912" s="9"/>
      <c r="S2912" s="9"/>
      <c r="T2912" s="9"/>
      <c r="U2912" s="9"/>
      <c r="V2912" s="9"/>
      <c r="W2912" s="9"/>
      <c r="X2912" s="9"/>
      <c r="Y2912" s="9"/>
      <c r="Z2912" s="9"/>
      <c r="AA2912" s="9"/>
      <c r="AB2912" s="9"/>
      <c r="AC2912" s="9"/>
      <c r="AD2912" s="9"/>
      <c r="AE2912" s="9"/>
      <c r="AF2912" s="9"/>
      <c r="AG2912" s="9"/>
      <c r="AH2912" s="9"/>
      <c r="AI2912" s="9"/>
      <c r="AJ2912" s="9"/>
      <c r="AK2912" s="9"/>
      <c r="AL2912" s="9"/>
      <c r="AM2912" s="9"/>
      <c r="AN2912" s="9"/>
      <c r="AO2912" s="9"/>
      <c r="AP2912" s="9"/>
      <c r="AQ2912" s="9"/>
      <c r="AR2912" s="9"/>
      <c r="AS2912" s="9"/>
      <c r="AT2912" s="9"/>
      <c r="AU2912" s="9"/>
    </row>
    <row r="2913" spans="1:47" ht="15.75" customHeight="1">
      <c r="A2913" s="9"/>
      <c r="B2913" s="9"/>
      <c r="C2913" s="9"/>
      <c r="D2913" s="9"/>
      <c r="E2913" s="9"/>
      <c r="F2913" s="67"/>
      <c r="G2913" s="9"/>
      <c r="H2913" s="9"/>
      <c r="I2913" s="9"/>
      <c r="J2913" s="9"/>
      <c r="K2913" s="9"/>
      <c r="L2913" s="9"/>
      <c r="M2913" s="9"/>
      <c r="N2913" s="9"/>
      <c r="O2913" s="9"/>
      <c r="P2913" s="9"/>
      <c r="Q2913" s="9"/>
      <c r="R2913" s="9"/>
      <c r="S2913" s="9"/>
      <c r="T2913" s="9"/>
      <c r="U2913" s="9"/>
      <c r="V2913" s="9"/>
      <c r="W2913" s="9"/>
      <c r="X2913" s="9"/>
      <c r="Y2913" s="9"/>
      <c r="Z2913" s="9"/>
      <c r="AA2913" s="9"/>
      <c r="AB2913" s="9"/>
      <c r="AC2913" s="9"/>
      <c r="AD2913" s="9"/>
      <c r="AE2913" s="9"/>
      <c r="AF2913" s="9"/>
      <c r="AG2913" s="9"/>
      <c r="AH2913" s="9"/>
      <c r="AI2913" s="9"/>
      <c r="AJ2913" s="9"/>
      <c r="AK2913" s="9"/>
      <c r="AL2913" s="9"/>
      <c r="AM2913" s="9"/>
      <c r="AN2913" s="9"/>
      <c r="AO2913" s="9"/>
      <c r="AP2913" s="9"/>
      <c r="AQ2913" s="9"/>
      <c r="AR2913" s="9"/>
      <c r="AS2913" s="9"/>
      <c r="AT2913" s="9"/>
      <c r="AU2913" s="9"/>
    </row>
    <row r="2914" spans="1:47" ht="15.75" customHeight="1">
      <c r="A2914" s="9"/>
      <c r="B2914" s="9"/>
      <c r="C2914" s="9"/>
      <c r="D2914" s="9"/>
      <c r="E2914" s="9"/>
      <c r="F2914" s="67"/>
      <c r="G2914" s="9"/>
      <c r="H2914" s="9"/>
      <c r="I2914" s="9"/>
      <c r="J2914" s="9"/>
      <c r="K2914" s="9"/>
      <c r="L2914" s="9"/>
      <c r="M2914" s="9"/>
      <c r="N2914" s="9"/>
      <c r="O2914" s="9"/>
      <c r="P2914" s="9"/>
      <c r="Q2914" s="9"/>
      <c r="R2914" s="9"/>
      <c r="S2914" s="9"/>
      <c r="T2914" s="9"/>
      <c r="U2914" s="9"/>
      <c r="V2914" s="9"/>
      <c r="W2914" s="9"/>
      <c r="X2914" s="9"/>
      <c r="Y2914" s="9"/>
      <c r="Z2914" s="9"/>
      <c r="AA2914" s="9"/>
      <c r="AB2914" s="9"/>
      <c r="AC2914" s="9"/>
      <c r="AD2914" s="9"/>
      <c r="AE2914" s="9"/>
      <c r="AF2914" s="9"/>
      <c r="AG2914" s="9"/>
      <c r="AH2914" s="9"/>
      <c r="AI2914" s="9"/>
      <c r="AJ2914" s="9"/>
      <c r="AK2914" s="9"/>
      <c r="AL2914" s="9"/>
      <c r="AM2914" s="9"/>
      <c r="AN2914" s="9"/>
      <c r="AO2914" s="9"/>
      <c r="AP2914" s="9"/>
      <c r="AQ2914" s="9"/>
      <c r="AR2914" s="9"/>
      <c r="AS2914" s="9"/>
      <c r="AT2914" s="9"/>
      <c r="AU2914" s="9"/>
    </row>
    <row r="2915" spans="1:47" ht="15.75" customHeight="1">
      <c r="A2915" s="9"/>
      <c r="B2915" s="9"/>
      <c r="C2915" s="9"/>
      <c r="D2915" s="9"/>
      <c r="E2915" s="9"/>
      <c r="F2915" s="67"/>
      <c r="G2915" s="9"/>
      <c r="H2915" s="9"/>
      <c r="I2915" s="9"/>
      <c r="J2915" s="9"/>
      <c r="K2915" s="9"/>
      <c r="L2915" s="9"/>
      <c r="M2915" s="9"/>
      <c r="N2915" s="9"/>
      <c r="O2915" s="9"/>
      <c r="P2915" s="9"/>
      <c r="Q2915" s="9"/>
      <c r="R2915" s="9"/>
      <c r="S2915" s="9"/>
      <c r="T2915" s="9"/>
      <c r="U2915" s="9"/>
      <c r="V2915" s="9"/>
      <c r="W2915" s="9"/>
      <c r="X2915" s="9"/>
      <c r="Y2915" s="9"/>
      <c r="Z2915" s="9"/>
      <c r="AA2915" s="9"/>
      <c r="AB2915" s="9"/>
      <c r="AC2915" s="9"/>
      <c r="AD2915" s="9"/>
      <c r="AE2915" s="9"/>
      <c r="AF2915" s="9"/>
      <c r="AG2915" s="9"/>
      <c r="AH2915" s="9"/>
      <c r="AI2915" s="9"/>
      <c r="AJ2915" s="9"/>
      <c r="AK2915" s="9"/>
      <c r="AL2915" s="9"/>
      <c r="AM2915" s="9"/>
      <c r="AN2915" s="9"/>
      <c r="AO2915" s="9"/>
      <c r="AP2915" s="9"/>
      <c r="AQ2915" s="9"/>
      <c r="AR2915" s="9"/>
      <c r="AS2915" s="9"/>
      <c r="AT2915" s="9"/>
      <c r="AU2915" s="9"/>
    </row>
    <row r="2916" spans="1:47" ht="15.75" customHeight="1">
      <c r="A2916" s="9"/>
      <c r="B2916" s="9"/>
      <c r="C2916" s="9"/>
      <c r="D2916" s="9"/>
      <c r="E2916" s="9"/>
      <c r="F2916" s="67"/>
      <c r="G2916" s="9"/>
      <c r="H2916" s="9"/>
      <c r="I2916" s="9"/>
      <c r="J2916" s="9"/>
      <c r="K2916" s="9"/>
      <c r="L2916" s="9"/>
      <c r="M2916" s="9"/>
      <c r="N2916" s="9"/>
      <c r="O2916" s="9"/>
      <c r="P2916" s="9"/>
      <c r="Q2916" s="9"/>
      <c r="R2916" s="9"/>
      <c r="S2916" s="9"/>
      <c r="T2916" s="9"/>
      <c r="U2916" s="9"/>
      <c r="V2916" s="9"/>
      <c r="W2916" s="9"/>
      <c r="X2916" s="9"/>
      <c r="Y2916" s="9"/>
      <c r="Z2916" s="9"/>
      <c r="AA2916" s="9"/>
      <c r="AB2916" s="9"/>
      <c r="AC2916" s="9"/>
      <c r="AD2916" s="9"/>
      <c r="AE2916" s="9"/>
      <c r="AF2916" s="9"/>
      <c r="AG2916" s="9"/>
      <c r="AH2916" s="9"/>
      <c r="AI2916" s="9"/>
      <c r="AJ2916" s="9"/>
      <c r="AK2916" s="9"/>
      <c r="AL2916" s="9"/>
      <c r="AM2916" s="9"/>
      <c r="AN2916" s="9"/>
      <c r="AO2916" s="9"/>
      <c r="AP2916" s="9"/>
      <c r="AQ2916" s="9"/>
      <c r="AR2916" s="9"/>
      <c r="AS2916" s="9"/>
      <c r="AT2916" s="9"/>
      <c r="AU2916" s="9"/>
    </row>
    <row r="2917" spans="1:47" ht="15.75" customHeight="1">
      <c r="A2917" s="9"/>
      <c r="B2917" s="9"/>
      <c r="C2917" s="9"/>
      <c r="D2917" s="9"/>
      <c r="E2917" s="9"/>
      <c r="F2917" s="67"/>
      <c r="G2917" s="9"/>
      <c r="H2917" s="9"/>
      <c r="I2917" s="9"/>
      <c r="J2917" s="9"/>
      <c r="K2917" s="9"/>
      <c r="L2917" s="9"/>
      <c r="M2917" s="9"/>
      <c r="N2917" s="9"/>
      <c r="O2917" s="9"/>
      <c r="P2917" s="9"/>
      <c r="Q2917" s="9"/>
      <c r="R2917" s="9"/>
      <c r="S2917" s="9"/>
      <c r="T2917" s="9"/>
      <c r="U2917" s="9"/>
      <c r="V2917" s="9"/>
      <c r="W2917" s="9"/>
      <c r="X2917" s="9"/>
      <c r="Y2917" s="9"/>
      <c r="Z2917" s="9"/>
      <c r="AA2917" s="9"/>
      <c r="AB2917" s="9"/>
      <c r="AC2917" s="9"/>
      <c r="AD2917" s="9"/>
      <c r="AE2917" s="9"/>
      <c r="AF2917" s="9"/>
      <c r="AG2917" s="9"/>
      <c r="AH2917" s="9"/>
      <c r="AI2917" s="9"/>
      <c r="AJ2917" s="9"/>
      <c r="AK2917" s="9"/>
      <c r="AL2917" s="9"/>
      <c r="AM2917" s="9"/>
      <c r="AN2917" s="9"/>
      <c r="AO2917" s="9"/>
      <c r="AP2917" s="9"/>
      <c r="AQ2917" s="9"/>
      <c r="AR2917" s="9"/>
      <c r="AS2917" s="9"/>
      <c r="AT2917" s="9"/>
      <c r="AU2917" s="9"/>
    </row>
    <row r="2918" spans="1:47" ht="15.75" customHeight="1">
      <c r="A2918" s="9"/>
      <c r="B2918" s="9"/>
      <c r="C2918" s="9"/>
      <c r="D2918" s="9"/>
      <c r="E2918" s="9"/>
      <c r="F2918" s="67"/>
      <c r="G2918" s="9"/>
      <c r="H2918" s="9"/>
      <c r="I2918" s="9"/>
      <c r="J2918" s="9"/>
      <c r="K2918" s="9"/>
      <c r="L2918" s="9"/>
      <c r="M2918" s="9"/>
      <c r="N2918" s="9"/>
      <c r="O2918" s="9"/>
      <c r="P2918" s="9"/>
      <c r="Q2918" s="9"/>
      <c r="R2918" s="9"/>
      <c r="S2918" s="9"/>
      <c r="T2918" s="9"/>
      <c r="U2918" s="9"/>
      <c r="V2918" s="9"/>
      <c r="W2918" s="9"/>
      <c r="X2918" s="9"/>
      <c r="Y2918" s="9"/>
      <c r="Z2918" s="9"/>
      <c r="AA2918" s="9"/>
      <c r="AB2918" s="9"/>
      <c r="AC2918" s="9"/>
      <c r="AD2918" s="9"/>
      <c r="AE2918" s="9"/>
      <c r="AF2918" s="9"/>
      <c r="AG2918" s="9"/>
      <c r="AH2918" s="9"/>
      <c r="AI2918" s="9"/>
      <c r="AJ2918" s="9"/>
      <c r="AK2918" s="9"/>
      <c r="AL2918" s="9"/>
      <c r="AM2918" s="9"/>
      <c r="AN2918" s="9"/>
      <c r="AO2918" s="9"/>
      <c r="AP2918" s="9"/>
      <c r="AQ2918" s="9"/>
      <c r="AR2918" s="9"/>
      <c r="AS2918" s="9"/>
      <c r="AT2918" s="9"/>
      <c r="AU2918" s="9"/>
    </row>
    <row r="2919" spans="1:47" ht="15.75" customHeight="1">
      <c r="A2919" s="9"/>
      <c r="B2919" s="9"/>
      <c r="C2919" s="9"/>
      <c r="D2919" s="9"/>
      <c r="E2919" s="9"/>
      <c r="F2919" s="67"/>
      <c r="G2919" s="9"/>
      <c r="H2919" s="9"/>
      <c r="I2919" s="9"/>
      <c r="J2919" s="9"/>
      <c r="K2919" s="9"/>
      <c r="L2919" s="9"/>
      <c r="M2919" s="9"/>
      <c r="N2919" s="9"/>
      <c r="O2919" s="9"/>
      <c r="P2919" s="9"/>
      <c r="Q2919" s="9"/>
      <c r="R2919" s="9"/>
      <c r="S2919" s="9"/>
      <c r="T2919" s="9"/>
      <c r="U2919" s="9"/>
      <c r="V2919" s="9"/>
      <c r="W2919" s="9"/>
      <c r="X2919" s="9"/>
      <c r="Y2919" s="9"/>
      <c r="Z2919" s="9"/>
      <c r="AA2919" s="9"/>
      <c r="AB2919" s="9"/>
      <c r="AC2919" s="9"/>
      <c r="AD2919" s="9"/>
      <c r="AE2919" s="9"/>
      <c r="AF2919" s="9"/>
      <c r="AG2919" s="9"/>
      <c r="AH2919" s="9"/>
      <c r="AI2919" s="9"/>
      <c r="AJ2919" s="9"/>
      <c r="AK2919" s="9"/>
      <c r="AL2919" s="9"/>
      <c r="AM2919" s="9"/>
      <c r="AN2919" s="9"/>
      <c r="AO2919" s="9"/>
      <c r="AP2919" s="9"/>
      <c r="AQ2919" s="9"/>
      <c r="AR2919" s="9"/>
      <c r="AS2919" s="9"/>
      <c r="AT2919" s="9"/>
      <c r="AU2919" s="9"/>
    </row>
    <row r="2920" spans="1:47" ht="15.75" customHeight="1">
      <c r="A2920" s="9"/>
      <c r="B2920" s="9"/>
      <c r="C2920" s="9"/>
      <c r="D2920" s="9"/>
      <c r="E2920" s="9"/>
      <c r="F2920" s="67"/>
      <c r="G2920" s="9"/>
      <c r="H2920" s="9"/>
      <c r="I2920" s="9"/>
      <c r="J2920" s="9"/>
      <c r="K2920" s="9"/>
      <c r="L2920" s="9"/>
      <c r="M2920" s="9"/>
      <c r="N2920" s="9"/>
      <c r="O2920" s="9"/>
      <c r="P2920" s="9"/>
      <c r="Q2920" s="9"/>
      <c r="R2920" s="9"/>
      <c r="S2920" s="9"/>
      <c r="T2920" s="9"/>
      <c r="U2920" s="9"/>
      <c r="V2920" s="9"/>
      <c r="W2920" s="9"/>
      <c r="X2920" s="9"/>
      <c r="Y2920" s="9"/>
      <c r="Z2920" s="9"/>
      <c r="AA2920" s="9"/>
      <c r="AB2920" s="9"/>
      <c r="AC2920" s="9"/>
      <c r="AD2920" s="9"/>
      <c r="AE2920" s="9"/>
      <c r="AF2920" s="9"/>
      <c r="AG2920" s="9"/>
      <c r="AH2920" s="9"/>
      <c r="AI2920" s="9"/>
      <c r="AJ2920" s="9"/>
      <c r="AK2920" s="9"/>
      <c r="AL2920" s="9"/>
      <c r="AM2920" s="9"/>
      <c r="AN2920" s="9"/>
      <c r="AO2920" s="9"/>
      <c r="AP2920" s="9"/>
      <c r="AQ2920" s="9"/>
      <c r="AR2920" s="9"/>
      <c r="AS2920" s="9"/>
      <c r="AT2920" s="9"/>
      <c r="AU2920" s="9"/>
    </row>
    <row r="2921" spans="1:47" ht="15.75" customHeight="1">
      <c r="A2921" s="9"/>
      <c r="B2921" s="9"/>
      <c r="C2921" s="9"/>
      <c r="D2921" s="9"/>
      <c r="E2921" s="9"/>
      <c r="F2921" s="67"/>
      <c r="G2921" s="9"/>
      <c r="H2921" s="9"/>
      <c r="I2921" s="9"/>
      <c r="J2921" s="9"/>
      <c r="K2921" s="9"/>
      <c r="L2921" s="9"/>
      <c r="M2921" s="9"/>
      <c r="N2921" s="9"/>
      <c r="O2921" s="9"/>
      <c r="P2921" s="9"/>
      <c r="Q2921" s="9"/>
      <c r="R2921" s="9"/>
      <c r="S2921" s="9"/>
      <c r="T2921" s="9"/>
      <c r="U2921" s="9"/>
      <c r="V2921" s="9"/>
      <c r="W2921" s="9"/>
      <c r="X2921" s="9"/>
      <c r="Y2921" s="9"/>
      <c r="Z2921" s="9"/>
      <c r="AA2921" s="9"/>
      <c r="AB2921" s="9"/>
      <c r="AC2921" s="9"/>
      <c r="AD2921" s="9"/>
      <c r="AE2921" s="9"/>
      <c r="AF2921" s="9"/>
      <c r="AG2921" s="9"/>
      <c r="AH2921" s="9"/>
      <c r="AI2921" s="9"/>
      <c r="AJ2921" s="9"/>
      <c r="AK2921" s="9"/>
      <c r="AL2921" s="9"/>
      <c r="AM2921" s="9"/>
      <c r="AN2921" s="9"/>
      <c r="AO2921" s="9"/>
      <c r="AP2921" s="9"/>
      <c r="AQ2921" s="9"/>
      <c r="AR2921" s="9"/>
      <c r="AS2921" s="9"/>
      <c r="AT2921" s="9"/>
      <c r="AU2921" s="9"/>
    </row>
    <row r="2922" spans="1:47" ht="15.75" customHeight="1">
      <c r="A2922" s="9"/>
      <c r="B2922" s="9"/>
      <c r="C2922" s="9"/>
      <c r="D2922" s="9"/>
      <c r="E2922" s="9"/>
      <c r="F2922" s="67"/>
      <c r="G2922" s="9"/>
      <c r="H2922" s="9"/>
      <c r="I2922" s="9"/>
      <c r="J2922" s="9"/>
      <c r="K2922" s="9"/>
      <c r="L2922" s="9"/>
      <c r="M2922" s="9"/>
      <c r="N2922" s="9"/>
      <c r="O2922" s="9"/>
      <c r="P2922" s="9"/>
      <c r="Q2922" s="9"/>
      <c r="R2922" s="9"/>
      <c r="S2922" s="9"/>
      <c r="T2922" s="9"/>
      <c r="U2922" s="9"/>
      <c r="V2922" s="9"/>
      <c r="W2922" s="9"/>
      <c r="X2922" s="9"/>
      <c r="Y2922" s="9"/>
      <c r="Z2922" s="9"/>
      <c r="AA2922" s="9"/>
      <c r="AB2922" s="9"/>
      <c r="AC2922" s="9"/>
      <c r="AD2922" s="9"/>
      <c r="AE2922" s="9"/>
      <c r="AF2922" s="9"/>
      <c r="AG2922" s="9"/>
      <c r="AH2922" s="9"/>
      <c r="AI2922" s="9"/>
      <c r="AJ2922" s="9"/>
      <c r="AK2922" s="9"/>
      <c r="AL2922" s="9"/>
      <c r="AM2922" s="9"/>
      <c r="AN2922" s="9"/>
      <c r="AO2922" s="9"/>
      <c r="AP2922" s="9"/>
      <c r="AQ2922" s="9"/>
      <c r="AR2922" s="9"/>
      <c r="AS2922" s="9"/>
      <c r="AT2922" s="9"/>
      <c r="AU2922" s="9"/>
    </row>
    <row r="2923" spans="1:47" ht="15.75" customHeight="1">
      <c r="A2923" s="9"/>
      <c r="B2923" s="9"/>
      <c r="C2923" s="9"/>
      <c r="D2923" s="9"/>
      <c r="E2923" s="9"/>
      <c r="F2923" s="67"/>
      <c r="G2923" s="9"/>
      <c r="H2923" s="9"/>
      <c r="I2923" s="9"/>
      <c r="J2923" s="9"/>
      <c r="K2923" s="9"/>
      <c r="L2923" s="9"/>
      <c r="M2923" s="9"/>
      <c r="N2923" s="9"/>
      <c r="O2923" s="9"/>
      <c r="P2923" s="9"/>
      <c r="Q2923" s="9"/>
      <c r="R2923" s="9"/>
      <c r="S2923" s="9"/>
      <c r="T2923" s="9"/>
      <c r="U2923" s="9"/>
      <c r="V2923" s="9"/>
      <c r="W2923" s="9"/>
      <c r="X2923" s="9"/>
      <c r="Y2923" s="9"/>
      <c r="Z2923" s="9"/>
      <c r="AA2923" s="9"/>
      <c r="AB2923" s="9"/>
      <c r="AC2923" s="9"/>
      <c r="AD2923" s="9"/>
      <c r="AE2923" s="9"/>
      <c r="AF2923" s="9"/>
      <c r="AG2923" s="9"/>
      <c r="AH2923" s="9"/>
      <c r="AI2923" s="9"/>
      <c r="AJ2923" s="9"/>
      <c r="AK2923" s="9"/>
      <c r="AL2923" s="9"/>
      <c r="AM2923" s="9"/>
      <c r="AN2923" s="9"/>
      <c r="AO2923" s="9"/>
      <c r="AP2923" s="9"/>
      <c r="AQ2923" s="9"/>
      <c r="AR2923" s="9"/>
      <c r="AS2923" s="9"/>
      <c r="AT2923" s="9"/>
      <c r="AU2923" s="9"/>
    </row>
    <row r="2924" spans="1:47" ht="15.75" customHeight="1">
      <c r="A2924" s="9"/>
      <c r="B2924" s="9"/>
      <c r="C2924" s="9"/>
      <c r="D2924" s="9"/>
      <c r="E2924" s="9"/>
      <c r="F2924" s="67"/>
      <c r="G2924" s="9"/>
      <c r="H2924" s="9"/>
      <c r="I2924" s="9"/>
      <c r="J2924" s="9"/>
      <c r="K2924" s="9"/>
      <c r="L2924" s="9"/>
      <c r="M2924" s="9"/>
      <c r="N2924" s="9"/>
      <c r="O2924" s="9"/>
      <c r="P2924" s="9"/>
      <c r="Q2924" s="9"/>
      <c r="R2924" s="9"/>
      <c r="S2924" s="9"/>
      <c r="T2924" s="9"/>
      <c r="U2924" s="9"/>
      <c r="V2924" s="9"/>
      <c r="W2924" s="9"/>
      <c r="X2924" s="9"/>
      <c r="Y2924" s="9"/>
      <c r="Z2924" s="9"/>
      <c r="AA2924" s="9"/>
      <c r="AB2924" s="9"/>
      <c r="AC2924" s="9"/>
      <c r="AD2924" s="9"/>
      <c r="AE2924" s="9"/>
      <c r="AF2924" s="9"/>
      <c r="AG2924" s="9"/>
      <c r="AH2924" s="9"/>
      <c r="AI2924" s="9"/>
      <c r="AJ2924" s="9"/>
      <c r="AK2924" s="9"/>
      <c r="AL2924" s="9"/>
      <c r="AM2924" s="9"/>
      <c r="AN2924" s="9"/>
      <c r="AO2924" s="9"/>
      <c r="AP2924" s="9"/>
      <c r="AQ2924" s="9"/>
      <c r="AR2924" s="9"/>
      <c r="AS2924" s="9"/>
      <c r="AT2924" s="9"/>
      <c r="AU2924" s="9"/>
    </row>
    <row r="2925" spans="1:47" ht="15.75" customHeight="1">
      <c r="A2925" s="9"/>
      <c r="B2925" s="9"/>
      <c r="C2925" s="9"/>
      <c r="D2925" s="9"/>
      <c r="E2925" s="9"/>
      <c r="F2925" s="67"/>
      <c r="G2925" s="9"/>
      <c r="H2925" s="9"/>
      <c r="I2925" s="9"/>
      <c r="J2925" s="9"/>
      <c r="K2925" s="9"/>
      <c r="L2925" s="9"/>
      <c r="M2925" s="9"/>
      <c r="N2925" s="9"/>
      <c r="O2925" s="9"/>
      <c r="P2925" s="9"/>
      <c r="Q2925" s="9"/>
      <c r="R2925" s="9"/>
      <c r="S2925" s="9"/>
      <c r="T2925" s="9"/>
      <c r="U2925" s="9"/>
      <c r="V2925" s="9"/>
      <c r="W2925" s="9"/>
      <c r="X2925" s="9"/>
      <c r="Y2925" s="9"/>
      <c r="Z2925" s="9"/>
      <c r="AA2925" s="9"/>
      <c r="AB2925" s="9"/>
      <c r="AC2925" s="9"/>
      <c r="AD2925" s="9"/>
      <c r="AE2925" s="9"/>
      <c r="AF2925" s="9"/>
      <c r="AG2925" s="9"/>
      <c r="AH2925" s="9"/>
      <c r="AI2925" s="9"/>
      <c r="AJ2925" s="9"/>
      <c r="AK2925" s="9"/>
      <c r="AL2925" s="9"/>
      <c r="AM2925" s="9"/>
      <c r="AN2925" s="9"/>
      <c r="AO2925" s="9"/>
      <c r="AP2925" s="9"/>
      <c r="AQ2925" s="9"/>
      <c r="AR2925" s="9"/>
      <c r="AS2925" s="9"/>
      <c r="AT2925" s="9"/>
      <c r="AU2925" s="9"/>
    </row>
    <row r="2926" spans="1:47" ht="15.75" customHeight="1">
      <c r="A2926" s="9"/>
      <c r="B2926" s="9"/>
      <c r="C2926" s="9"/>
      <c r="D2926" s="9"/>
      <c r="E2926" s="9"/>
      <c r="F2926" s="67"/>
      <c r="G2926" s="9"/>
      <c r="H2926" s="9"/>
      <c r="I2926" s="9"/>
      <c r="J2926" s="9"/>
      <c r="K2926" s="9"/>
      <c r="L2926" s="9"/>
      <c r="M2926" s="9"/>
      <c r="N2926" s="9"/>
      <c r="O2926" s="9"/>
      <c r="P2926" s="9"/>
      <c r="Q2926" s="9"/>
      <c r="R2926" s="9"/>
      <c r="S2926" s="9"/>
      <c r="T2926" s="9"/>
      <c r="U2926" s="9"/>
      <c r="V2926" s="9"/>
      <c r="W2926" s="9"/>
      <c r="X2926" s="9"/>
      <c r="Y2926" s="9"/>
      <c r="Z2926" s="9"/>
      <c r="AA2926" s="9"/>
      <c r="AB2926" s="9"/>
      <c r="AC2926" s="9"/>
      <c r="AD2926" s="9"/>
      <c r="AE2926" s="9"/>
      <c r="AF2926" s="9"/>
      <c r="AG2926" s="9"/>
      <c r="AH2926" s="9"/>
      <c r="AI2926" s="9"/>
      <c r="AJ2926" s="9"/>
      <c r="AK2926" s="9"/>
      <c r="AL2926" s="9"/>
      <c r="AM2926" s="9"/>
      <c r="AN2926" s="9"/>
      <c r="AO2926" s="9"/>
      <c r="AP2926" s="9"/>
      <c r="AQ2926" s="9"/>
      <c r="AR2926" s="9"/>
      <c r="AS2926" s="9"/>
      <c r="AT2926" s="9"/>
      <c r="AU2926" s="9"/>
    </row>
    <row r="2927" spans="1:47" ht="15.75" customHeight="1">
      <c r="A2927" s="9"/>
      <c r="B2927" s="9"/>
      <c r="C2927" s="9"/>
      <c r="D2927" s="9"/>
      <c r="E2927" s="9"/>
      <c r="F2927" s="67"/>
      <c r="G2927" s="9"/>
      <c r="H2927" s="9"/>
      <c r="I2927" s="9"/>
      <c r="J2927" s="9"/>
      <c r="K2927" s="9"/>
      <c r="L2927" s="9"/>
      <c r="M2927" s="9"/>
      <c r="N2927" s="9"/>
      <c r="O2927" s="9"/>
      <c r="P2927" s="9"/>
      <c r="Q2927" s="9"/>
      <c r="R2927" s="9"/>
      <c r="S2927" s="9"/>
      <c r="T2927" s="9"/>
      <c r="U2927" s="9"/>
      <c r="V2927" s="9"/>
      <c r="W2927" s="9"/>
      <c r="X2927" s="9"/>
      <c r="Y2927" s="9"/>
      <c r="Z2927" s="9"/>
      <c r="AA2927" s="9"/>
      <c r="AB2927" s="9"/>
      <c r="AC2927" s="9"/>
      <c r="AD2927" s="9"/>
      <c r="AE2927" s="9"/>
      <c r="AF2927" s="9"/>
      <c r="AG2927" s="9"/>
      <c r="AH2927" s="9"/>
      <c r="AI2927" s="9"/>
      <c r="AJ2927" s="9"/>
      <c r="AK2927" s="9"/>
      <c r="AL2927" s="9"/>
      <c r="AM2927" s="9"/>
      <c r="AN2927" s="9"/>
      <c r="AO2927" s="9"/>
      <c r="AP2927" s="9"/>
      <c r="AQ2927" s="9"/>
      <c r="AR2927" s="9"/>
      <c r="AS2927" s="9"/>
      <c r="AT2927" s="9"/>
      <c r="AU2927" s="9"/>
    </row>
    <row r="2928" spans="1:47" ht="15.75" customHeight="1">
      <c r="A2928" s="9"/>
      <c r="B2928" s="9"/>
      <c r="C2928" s="9"/>
      <c r="D2928" s="9"/>
      <c r="E2928" s="9"/>
      <c r="F2928" s="67"/>
      <c r="G2928" s="9"/>
      <c r="H2928" s="9"/>
      <c r="I2928" s="9"/>
      <c r="J2928" s="9"/>
      <c r="K2928" s="9"/>
      <c r="L2928" s="9"/>
      <c r="M2928" s="9"/>
      <c r="N2928" s="9"/>
      <c r="O2928" s="9"/>
      <c r="P2928" s="9"/>
      <c r="Q2928" s="9"/>
      <c r="R2928" s="9"/>
      <c r="S2928" s="9"/>
      <c r="T2928" s="9"/>
      <c r="U2928" s="9"/>
      <c r="V2928" s="9"/>
      <c r="W2928" s="9"/>
      <c r="X2928" s="9"/>
      <c r="Y2928" s="9"/>
      <c r="Z2928" s="9"/>
      <c r="AA2928" s="9"/>
      <c r="AB2928" s="9"/>
      <c r="AC2928" s="9"/>
      <c r="AD2928" s="9"/>
      <c r="AE2928" s="9"/>
      <c r="AF2928" s="9"/>
      <c r="AG2928" s="9"/>
      <c r="AH2928" s="9"/>
      <c r="AI2928" s="9"/>
      <c r="AJ2928" s="9"/>
      <c r="AK2928" s="9"/>
      <c r="AL2928" s="9"/>
      <c r="AM2928" s="9"/>
      <c r="AN2928" s="9"/>
      <c r="AO2928" s="9"/>
      <c r="AP2928" s="9"/>
      <c r="AQ2928" s="9"/>
      <c r="AR2928" s="9"/>
      <c r="AS2928" s="9"/>
      <c r="AT2928" s="9"/>
      <c r="AU2928" s="9"/>
    </row>
    <row r="2929" spans="1:47" ht="15.75" customHeight="1">
      <c r="A2929" s="9"/>
      <c r="B2929" s="9"/>
      <c r="C2929" s="9"/>
      <c r="D2929" s="9"/>
      <c r="E2929" s="9"/>
      <c r="F2929" s="67"/>
      <c r="G2929" s="9"/>
      <c r="H2929" s="9"/>
      <c r="I2929" s="9"/>
      <c r="J2929" s="9"/>
      <c r="K2929" s="9"/>
      <c r="L2929" s="9"/>
      <c r="M2929" s="9"/>
      <c r="N2929" s="9"/>
      <c r="O2929" s="9"/>
      <c r="P2929" s="9"/>
      <c r="Q2929" s="9"/>
      <c r="R2929" s="9"/>
      <c r="S2929" s="9"/>
      <c r="T2929" s="9"/>
      <c r="U2929" s="9"/>
      <c r="V2929" s="9"/>
      <c r="W2929" s="9"/>
      <c r="X2929" s="9"/>
      <c r="Y2929" s="9"/>
      <c r="Z2929" s="9"/>
      <c r="AA2929" s="9"/>
      <c r="AB2929" s="9"/>
      <c r="AC2929" s="9"/>
      <c r="AD2929" s="9"/>
      <c r="AE2929" s="9"/>
      <c r="AF2929" s="9"/>
      <c r="AG2929" s="9"/>
      <c r="AH2929" s="9"/>
      <c r="AI2929" s="9"/>
      <c r="AJ2929" s="9"/>
      <c r="AK2929" s="9"/>
      <c r="AL2929" s="9"/>
      <c r="AM2929" s="9"/>
      <c r="AN2929" s="9"/>
      <c r="AO2929" s="9"/>
      <c r="AP2929" s="9"/>
      <c r="AQ2929" s="9"/>
      <c r="AR2929" s="9"/>
      <c r="AS2929" s="9"/>
      <c r="AT2929" s="9"/>
      <c r="AU2929" s="9"/>
    </row>
    <row r="2930" spans="1:47" ht="15.75" customHeight="1">
      <c r="A2930" s="9"/>
      <c r="B2930" s="9"/>
      <c r="C2930" s="9"/>
      <c r="D2930" s="9"/>
      <c r="E2930" s="9"/>
      <c r="F2930" s="67"/>
      <c r="G2930" s="9"/>
      <c r="H2930" s="9"/>
      <c r="I2930" s="9"/>
      <c r="J2930" s="9"/>
      <c r="K2930" s="9"/>
      <c r="L2930" s="9"/>
      <c r="M2930" s="9"/>
      <c r="N2930" s="9"/>
      <c r="O2930" s="9"/>
      <c r="P2930" s="9"/>
      <c r="Q2930" s="9"/>
      <c r="R2930" s="9"/>
      <c r="S2930" s="9"/>
      <c r="T2930" s="9"/>
      <c r="U2930" s="9"/>
      <c r="V2930" s="9"/>
      <c r="W2930" s="9"/>
      <c r="X2930" s="9"/>
      <c r="Y2930" s="9"/>
      <c r="Z2930" s="9"/>
      <c r="AA2930" s="9"/>
      <c r="AB2930" s="9"/>
      <c r="AC2930" s="9"/>
      <c r="AD2930" s="9"/>
      <c r="AE2930" s="9"/>
      <c r="AF2930" s="9"/>
      <c r="AG2930" s="9"/>
      <c r="AH2930" s="9"/>
      <c r="AI2930" s="9"/>
      <c r="AJ2930" s="9"/>
      <c r="AK2930" s="9"/>
      <c r="AL2930" s="9"/>
      <c r="AM2930" s="9"/>
      <c r="AN2930" s="9"/>
      <c r="AO2930" s="9"/>
      <c r="AP2930" s="9"/>
      <c r="AQ2930" s="9"/>
      <c r="AR2930" s="9"/>
      <c r="AS2930" s="9"/>
      <c r="AT2930" s="9"/>
      <c r="AU2930" s="9"/>
    </row>
    <row r="2931" spans="1:47" ht="15.75" customHeight="1">
      <c r="A2931" s="9"/>
      <c r="B2931" s="9"/>
      <c r="C2931" s="9"/>
      <c r="D2931" s="9"/>
      <c r="E2931" s="9"/>
      <c r="F2931" s="67"/>
      <c r="G2931" s="9"/>
      <c r="H2931" s="9"/>
      <c r="I2931" s="9"/>
      <c r="J2931" s="9"/>
      <c r="K2931" s="9"/>
      <c r="L2931" s="9"/>
      <c r="M2931" s="9"/>
      <c r="N2931" s="9"/>
      <c r="O2931" s="9"/>
      <c r="P2931" s="9"/>
      <c r="Q2931" s="9"/>
      <c r="R2931" s="9"/>
      <c r="S2931" s="9"/>
      <c r="T2931" s="9"/>
      <c r="U2931" s="9"/>
      <c r="V2931" s="9"/>
      <c r="W2931" s="9"/>
      <c r="X2931" s="9"/>
      <c r="Y2931" s="9"/>
      <c r="Z2931" s="9"/>
      <c r="AA2931" s="9"/>
      <c r="AB2931" s="9"/>
      <c r="AC2931" s="9"/>
      <c r="AD2931" s="9"/>
      <c r="AE2931" s="9"/>
      <c r="AF2931" s="9"/>
      <c r="AG2931" s="9"/>
      <c r="AH2931" s="9"/>
      <c r="AI2931" s="9"/>
      <c r="AJ2931" s="9"/>
      <c r="AK2931" s="9"/>
      <c r="AL2931" s="9"/>
      <c r="AM2931" s="9"/>
      <c r="AN2931" s="9"/>
      <c r="AO2931" s="9"/>
      <c r="AP2931" s="9"/>
      <c r="AQ2931" s="9"/>
      <c r="AR2931" s="9"/>
      <c r="AS2931" s="9"/>
      <c r="AT2931" s="9"/>
      <c r="AU2931" s="9"/>
    </row>
    <row r="2932" spans="1:47" ht="15.75" customHeight="1">
      <c r="A2932" s="9"/>
      <c r="B2932" s="9"/>
      <c r="C2932" s="9"/>
      <c r="D2932" s="9"/>
      <c r="E2932" s="9"/>
      <c r="F2932" s="67"/>
      <c r="G2932" s="9"/>
      <c r="H2932" s="9"/>
      <c r="I2932" s="9"/>
      <c r="J2932" s="9"/>
      <c r="K2932" s="9"/>
      <c r="L2932" s="9"/>
      <c r="M2932" s="9"/>
      <c r="N2932" s="9"/>
      <c r="O2932" s="9"/>
      <c r="P2932" s="9"/>
      <c r="Q2932" s="9"/>
      <c r="R2932" s="9"/>
      <c r="S2932" s="9"/>
      <c r="T2932" s="9"/>
      <c r="U2932" s="9"/>
      <c r="V2932" s="9"/>
      <c r="W2932" s="9"/>
      <c r="X2932" s="9"/>
      <c r="Y2932" s="9"/>
      <c r="Z2932" s="9"/>
      <c r="AA2932" s="9"/>
      <c r="AB2932" s="9"/>
      <c r="AC2932" s="9"/>
      <c r="AD2932" s="9"/>
      <c r="AE2932" s="9"/>
      <c r="AF2932" s="9"/>
      <c r="AG2932" s="9"/>
      <c r="AH2932" s="9"/>
      <c r="AI2932" s="9"/>
      <c r="AJ2932" s="9"/>
      <c r="AK2932" s="9"/>
      <c r="AL2932" s="9"/>
      <c r="AM2932" s="9"/>
      <c r="AN2932" s="9"/>
      <c r="AO2932" s="9"/>
      <c r="AP2932" s="9"/>
      <c r="AQ2932" s="9"/>
      <c r="AR2932" s="9"/>
      <c r="AS2932" s="9"/>
      <c r="AT2932" s="9"/>
      <c r="AU2932" s="9"/>
    </row>
    <row r="2933" spans="1:47" ht="15.75" customHeight="1">
      <c r="A2933" s="9"/>
      <c r="B2933" s="9"/>
      <c r="C2933" s="9"/>
      <c r="D2933" s="9"/>
      <c r="E2933" s="9"/>
      <c r="F2933" s="67"/>
      <c r="G2933" s="9"/>
      <c r="H2933" s="9"/>
      <c r="I2933" s="9"/>
      <c r="J2933" s="9"/>
      <c r="K2933" s="9"/>
      <c r="L2933" s="9"/>
      <c r="M2933" s="9"/>
      <c r="N2933" s="9"/>
      <c r="O2933" s="9"/>
      <c r="P2933" s="9"/>
      <c r="Q2933" s="9"/>
      <c r="R2933" s="9"/>
      <c r="S2933" s="9"/>
      <c r="T2933" s="9"/>
      <c r="U2933" s="9"/>
      <c r="V2933" s="9"/>
      <c r="W2933" s="9"/>
      <c r="X2933" s="9"/>
      <c r="Y2933" s="9"/>
      <c r="Z2933" s="9"/>
      <c r="AA2933" s="9"/>
      <c r="AB2933" s="9"/>
      <c r="AC2933" s="9"/>
      <c r="AD2933" s="9"/>
      <c r="AE2933" s="9"/>
      <c r="AF2933" s="9"/>
      <c r="AG2933" s="9"/>
      <c r="AH2933" s="9"/>
      <c r="AI2933" s="9"/>
      <c r="AJ2933" s="9"/>
      <c r="AK2933" s="9"/>
      <c r="AL2933" s="9"/>
      <c r="AM2933" s="9"/>
      <c r="AN2933" s="9"/>
      <c r="AO2933" s="9"/>
      <c r="AP2933" s="9"/>
      <c r="AQ2933" s="9"/>
      <c r="AR2933" s="9"/>
      <c r="AS2933" s="9"/>
      <c r="AT2933" s="9"/>
      <c r="AU2933" s="9"/>
    </row>
    <row r="2934" spans="1:47" ht="15.75" customHeight="1">
      <c r="A2934" s="9"/>
      <c r="B2934" s="9"/>
      <c r="C2934" s="9"/>
      <c r="D2934" s="9"/>
      <c r="E2934" s="9"/>
      <c r="F2934" s="67"/>
      <c r="G2934" s="9"/>
      <c r="H2934" s="9"/>
      <c r="I2934" s="9"/>
      <c r="J2934" s="9"/>
      <c r="K2934" s="9"/>
      <c r="L2934" s="9"/>
      <c r="M2934" s="9"/>
      <c r="N2934" s="9"/>
      <c r="O2934" s="9"/>
      <c r="P2934" s="9"/>
      <c r="Q2934" s="9"/>
      <c r="R2934" s="9"/>
      <c r="S2934" s="9"/>
      <c r="T2934" s="9"/>
      <c r="U2934" s="9"/>
      <c r="V2934" s="9"/>
      <c r="W2934" s="9"/>
      <c r="X2934" s="9"/>
      <c r="Y2934" s="9"/>
      <c r="Z2934" s="9"/>
      <c r="AA2934" s="9"/>
      <c r="AB2934" s="9"/>
      <c r="AC2934" s="9"/>
      <c r="AD2934" s="9"/>
      <c r="AE2934" s="9"/>
      <c r="AF2934" s="9"/>
      <c r="AG2934" s="9"/>
      <c r="AH2934" s="9"/>
      <c r="AI2934" s="9"/>
      <c r="AJ2934" s="9"/>
      <c r="AK2934" s="9"/>
      <c r="AL2934" s="9"/>
      <c r="AM2934" s="9"/>
      <c r="AN2934" s="9"/>
      <c r="AO2934" s="9"/>
      <c r="AP2934" s="9"/>
      <c r="AQ2934" s="9"/>
      <c r="AR2934" s="9"/>
      <c r="AS2934" s="9"/>
      <c r="AT2934" s="9"/>
      <c r="AU2934" s="9"/>
    </row>
    <row r="2935" spans="1:47" ht="15.75" customHeight="1">
      <c r="A2935" s="9"/>
      <c r="B2935" s="9"/>
      <c r="C2935" s="9"/>
      <c r="D2935" s="9"/>
      <c r="E2935" s="9"/>
      <c r="F2935" s="67"/>
      <c r="G2935" s="9"/>
      <c r="H2935" s="9"/>
      <c r="I2935" s="9"/>
      <c r="J2935" s="9"/>
      <c r="K2935" s="9"/>
      <c r="L2935" s="9"/>
      <c r="M2935" s="9"/>
      <c r="N2935" s="9"/>
      <c r="O2935" s="9"/>
      <c r="P2935" s="9"/>
      <c r="Q2935" s="9"/>
      <c r="R2935" s="9"/>
      <c r="S2935" s="9"/>
      <c r="T2935" s="9"/>
      <c r="U2935" s="9"/>
      <c r="V2935" s="9"/>
      <c r="W2935" s="9"/>
      <c r="X2935" s="9"/>
      <c r="Y2935" s="9"/>
      <c r="Z2935" s="9"/>
      <c r="AA2935" s="9"/>
      <c r="AB2935" s="9"/>
      <c r="AC2935" s="9"/>
      <c r="AD2935" s="9"/>
      <c r="AE2935" s="9"/>
      <c r="AF2935" s="9"/>
      <c r="AG2935" s="9"/>
      <c r="AH2935" s="9"/>
      <c r="AI2935" s="9"/>
      <c r="AJ2935" s="9"/>
      <c r="AK2935" s="9"/>
      <c r="AL2935" s="9"/>
      <c r="AM2935" s="9"/>
      <c r="AN2935" s="9"/>
      <c r="AO2935" s="9"/>
      <c r="AP2935" s="9"/>
      <c r="AQ2935" s="9"/>
      <c r="AR2935" s="9"/>
      <c r="AS2935" s="9"/>
      <c r="AT2935" s="9"/>
      <c r="AU2935" s="9"/>
    </row>
    <row r="2936" spans="1:47" ht="15.75" customHeight="1">
      <c r="A2936" s="9"/>
      <c r="B2936" s="9"/>
      <c r="C2936" s="9"/>
      <c r="D2936" s="9"/>
      <c r="E2936" s="9"/>
      <c r="F2936" s="67"/>
      <c r="G2936" s="9"/>
      <c r="H2936" s="9"/>
      <c r="I2936" s="9"/>
      <c r="J2936" s="9"/>
      <c r="K2936" s="9"/>
      <c r="L2936" s="9"/>
      <c r="M2936" s="9"/>
      <c r="N2936" s="9"/>
      <c r="O2936" s="9"/>
      <c r="P2936" s="9"/>
      <c r="Q2936" s="9"/>
      <c r="R2936" s="9"/>
      <c r="S2936" s="9"/>
      <c r="T2936" s="9"/>
      <c r="U2936" s="9"/>
      <c r="V2936" s="9"/>
      <c r="W2936" s="9"/>
      <c r="X2936" s="9"/>
      <c r="Y2936" s="9"/>
      <c r="Z2936" s="9"/>
      <c r="AA2936" s="9"/>
      <c r="AB2936" s="9"/>
      <c r="AC2936" s="9"/>
      <c r="AD2936" s="9"/>
      <c r="AE2936" s="9"/>
      <c r="AF2936" s="9"/>
      <c r="AG2936" s="9"/>
      <c r="AH2936" s="9"/>
      <c r="AI2936" s="9"/>
      <c r="AJ2936" s="9"/>
      <c r="AK2936" s="9"/>
      <c r="AL2936" s="9"/>
      <c r="AM2936" s="9"/>
      <c r="AN2936" s="9"/>
      <c r="AO2936" s="9"/>
      <c r="AP2936" s="9"/>
      <c r="AQ2936" s="9"/>
      <c r="AR2936" s="9"/>
      <c r="AS2936" s="9"/>
      <c r="AT2936" s="9"/>
      <c r="AU2936" s="9"/>
    </row>
    <row r="2937" spans="1:47" ht="15.75" customHeight="1">
      <c r="A2937" s="9"/>
      <c r="B2937" s="9"/>
      <c r="C2937" s="9"/>
      <c r="D2937" s="9"/>
      <c r="E2937" s="9"/>
      <c r="F2937" s="67"/>
      <c r="G2937" s="9"/>
      <c r="H2937" s="9"/>
      <c r="I2937" s="9"/>
      <c r="J2937" s="9"/>
      <c r="K2937" s="9"/>
      <c r="L2937" s="9"/>
      <c r="M2937" s="9"/>
      <c r="N2937" s="9"/>
      <c r="O2937" s="9"/>
      <c r="P2937" s="9"/>
      <c r="Q2937" s="9"/>
      <c r="R2937" s="9"/>
      <c r="S2937" s="9"/>
      <c r="T2937" s="9"/>
      <c r="U2937" s="9"/>
      <c r="V2937" s="9"/>
      <c r="W2937" s="9"/>
      <c r="X2937" s="9"/>
      <c r="Y2937" s="9"/>
      <c r="Z2937" s="9"/>
      <c r="AA2937" s="9"/>
      <c r="AB2937" s="9"/>
      <c r="AC2937" s="9"/>
      <c r="AD2937" s="9"/>
      <c r="AE2937" s="9"/>
      <c r="AF2937" s="9"/>
      <c r="AG2937" s="9"/>
      <c r="AH2937" s="9"/>
      <c r="AI2937" s="9"/>
      <c r="AJ2937" s="9"/>
      <c r="AK2937" s="9"/>
      <c r="AL2937" s="9"/>
      <c r="AM2937" s="9"/>
      <c r="AN2937" s="9"/>
      <c r="AO2937" s="9"/>
      <c r="AP2937" s="9"/>
      <c r="AQ2937" s="9"/>
      <c r="AR2937" s="9"/>
      <c r="AS2937" s="9"/>
      <c r="AT2937" s="9"/>
      <c r="AU2937" s="9"/>
    </row>
    <row r="2938" spans="1:47" ht="15.75" customHeight="1">
      <c r="A2938" s="9"/>
      <c r="B2938" s="9"/>
      <c r="C2938" s="9"/>
      <c r="D2938" s="9"/>
      <c r="E2938" s="9"/>
      <c r="F2938" s="67"/>
      <c r="G2938" s="9"/>
      <c r="H2938" s="9"/>
      <c r="I2938" s="9"/>
      <c r="J2938" s="9"/>
      <c r="K2938" s="9"/>
      <c r="L2938" s="9"/>
      <c r="M2938" s="9"/>
      <c r="N2938" s="9"/>
      <c r="O2938" s="9"/>
      <c r="P2938" s="9"/>
      <c r="Q2938" s="9"/>
      <c r="R2938" s="9"/>
      <c r="S2938" s="9"/>
      <c r="T2938" s="9"/>
      <c r="U2938" s="9"/>
      <c r="V2938" s="9"/>
      <c r="W2938" s="9"/>
      <c r="X2938" s="9"/>
      <c r="Y2938" s="9"/>
      <c r="Z2938" s="9"/>
      <c r="AA2938" s="9"/>
      <c r="AB2938" s="9"/>
      <c r="AC2938" s="9"/>
      <c r="AD2938" s="9"/>
      <c r="AE2938" s="9"/>
      <c r="AF2938" s="9"/>
      <c r="AG2938" s="9"/>
      <c r="AH2938" s="9"/>
      <c r="AI2938" s="9"/>
      <c r="AJ2938" s="9"/>
      <c r="AK2938" s="9"/>
      <c r="AL2938" s="9"/>
      <c r="AM2938" s="9"/>
      <c r="AN2938" s="9"/>
      <c r="AO2938" s="9"/>
      <c r="AP2938" s="9"/>
      <c r="AQ2938" s="9"/>
      <c r="AR2938" s="9"/>
      <c r="AS2938" s="9"/>
      <c r="AT2938" s="9"/>
      <c r="AU2938" s="9"/>
    </row>
    <row r="2939" spans="1:47" ht="15.75" customHeight="1">
      <c r="A2939" s="9"/>
      <c r="B2939" s="9"/>
      <c r="C2939" s="9"/>
      <c r="D2939" s="9"/>
      <c r="E2939" s="9"/>
      <c r="F2939" s="67"/>
      <c r="G2939" s="9"/>
      <c r="H2939" s="9"/>
      <c r="I2939" s="9"/>
      <c r="J2939" s="9"/>
      <c r="K2939" s="9"/>
      <c r="L2939" s="9"/>
      <c r="M2939" s="9"/>
      <c r="N2939" s="9"/>
      <c r="O2939" s="9"/>
      <c r="P2939" s="9"/>
      <c r="Q2939" s="9"/>
      <c r="R2939" s="9"/>
      <c r="S2939" s="9"/>
      <c r="T2939" s="9"/>
      <c r="U2939" s="9"/>
      <c r="V2939" s="9"/>
      <c r="W2939" s="9"/>
      <c r="X2939" s="9"/>
      <c r="Y2939" s="9"/>
      <c r="Z2939" s="9"/>
      <c r="AA2939" s="9"/>
      <c r="AB2939" s="9"/>
      <c r="AC2939" s="9"/>
      <c r="AD2939" s="9"/>
      <c r="AE2939" s="9"/>
      <c r="AF2939" s="9"/>
      <c r="AG2939" s="9"/>
      <c r="AH2939" s="9"/>
      <c r="AI2939" s="9"/>
      <c r="AJ2939" s="9"/>
      <c r="AK2939" s="9"/>
      <c r="AL2939" s="9"/>
      <c r="AM2939" s="9"/>
      <c r="AN2939" s="9"/>
      <c r="AO2939" s="9"/>
      <c r="AP2939" s="9"/>
      <c r="AQ2939" s="9"/>
      <c r="AR2939" s="9"/>
      <c r="AS2939" s="9"/>
      <c r="AT2939" s="9"/>
      <c r="AU2939" s="9"/>
    </row>
    <row r="2940" spans="1:47" ht="15.75" customHeight="1">
      <c r="A2940" s="9"/>
      <c r="B2940" s="9"/>
      <c r="C2940" s="9"/>
      <c r="D2940" s="9"/>
      <c r="E2940" s="9"/>
      <c r="F2940" s="67"/>
      <c r="G2940" s="9"/>
      <c r="H2940" s="9"/>
      <c r="I2940" s="9"/>
      <c r="J2940" s="9"/>
      <c r="K2940" s="9"/>
      <c r="L2940" s="9"/>
      <c r="M2940" s="9"/>
      <c r="N2940" s="9"/>
      <c r="O2940" s="9"/>
      <c r="P2940" s="9"/>
      <c r="Q2940" s="9"/>
      <c r="R2940" s="9"/>
      <c r="S2940" s="9"/>
      <c r="T2940" s="9"/>
      <c r="U2940" s="9"/>
      <c r="V2940" s="9"/>
      <c r="W2940" s="9"/>
      <c r="X2940" s="9"/>
      <c r="Y2940" s="9"/>
      <c r="Z2940" s="9"/>
      <c r="AA2940" s="9"/>
      <c r="AB2940" s="9"/>
      <c r="AC2940" s="9"/>
      <c r="AD2940" s="9"/>
      <c r="AE2940" s="9"/>
      <c r="AF2940" s="9"/>
      <c r="AG2940" s="9"/>
      <c r="AH2940" s="9"/>
      <c r="AI2940" s="9"/>
      <c r="AJ2940" s="9"/>
      <c r="AK2940" s="9"/>
      <c r="AL2940" s="9"/>
      <c r="AM2940" s="9"/>
      <c r="AN2940" s="9"/>
      <c r="AO2940" s="9"/>
      <c r="AP2940" s="9"/>
      <c r="AQ2940" s="9"/>
      <c r="AR2940" s="9"/>
      <c r="AS2940" s="9"/>
      <c r="AT2940" s="9"/>
      <c r="AU2940" s="9"/>
    </row>
    <row r="2941" spans="1:47" ht="15.75" customHeight="1">
      <c r="A2941" s="9"/>
      <c r="B2941" s="9"/>
      <c r="C2941" s="9"/>
      <c r="D2941" s="9"/>
      <c r="E2941" s="9"/>
      <c r="F2941" s="67"/>
      <c r="G2941" s="9"/>
      <c r="H2941" s="9"/>
      <c r="I2941" s="9"/>
      <c r="J2941" s="9"/>
      <c r="K2941" s="9"/>
      <c r="L2941" s="9"/>
      <c r="M2941" s="9"/>
      <c r="N2941" s="9"/>
      <c r="O2941" s="9"/>
      <c r="P2941" s="9"/>
      <c r="Q2941" s="9"/>
      <c r="R2941" s="9"/>
      <c r="S2941" s="9"/>
      <c r="T2941" s="9"/>
      <c r="U2941" s="9"/>
      <c r="V2941" s="9"/>
      <c r="W2941" s="9"/>
      <c r="X2941" s="9"/>
      <c r="Y2941" s="9"/>
      <c r="Z2941" s="9"/>
      <c r="AA2941" s="9"/>
      <c r="AB2941" s="9"/>
      <c r="AC2941" s="9"/>
      <c r="AD2941" s="9"/>
      <c r="AE2941" s="9"/>
      <c r="AF2941" s="9"/>
      <c r="AG2941" s="9"/>
      <c r="AH2941" s="9"/>
      <c r="AI2941" s="9"/>
      <c r="AJ2941" s="9"/>
      <c r="AK2941" s="9"/>
      <c r="AL2941" s="9"/>
      <c r="AM2941" s="9"/>
      <c r="AN2941" s="9"/>
      <c r="AO2941" s="9"/>
      <c r="AP2941" s="9"/>
      <c r="AQ2941" s="9"/>
      <c r="AR2941" s="9"/>
      <c r="AS2941" s="9"/>
      <c r="AT2941" s="9"/>
      <c r="AU2941" s="9"/>
    </row>
    <row r="2942" spans="1:47" ht="15.75" customHeight="1">
      <c r="A2942" s="9"/>
      <c r="B2942" s="9"/>
      <c r="C2942" s="9"/>
      <c r="D2942" s="9"/>
      <c r="E2942" s="9"/>
      <c r="F2942" s="67"/>
      <c r="G2942" s="9"/>
      <c r="H2942" s="9"/>
      <c r="I2942" s="9"/>
      <c r="J2942" s="9"/>
      <c r="K2942" s="9"/>
      <c r="L2942" s="9"/>
      <c r="M2942" s="9"/>
      <c r="N2942" s="9"/>
      <c r="O2942" s="9"/>
      <c r="P2942" s="9"/>
      <c r="Q2942" s="9"/>
      <c r="R2942" s="9"/>
      <c r="S2942" s="9"/>
      <c r="T2942" s="9"/>
      <c r="U2942" s="9"/>
      <c r="V2942" s="9"/>
      <c r="W2942" s="9"/>
      <c r="X2942" s="9"/>
      <c r="Y2942" s="9"/>
      <c r="Z2942" s="9"/>
      <c r="AA2942" s="9"/>
      <c r="AB2942" s="9"/>
      <c r="AC2942" s="9"/>
      <c r="AD2942" s="9"/>
      <c r="AE2942" s="9"/>
      <c r="AF2942" s="9"/>
      <c r="AG2942" s="9"/>
      <c r="AH2942" s="9"/>
      <c r="AI2942" s="9"/>
      <c r="AJ2942" s="9"/>
      <c r="AK2942" s="9"/>
      <c r="AL2942" s="9"/>
      <c r="AM2942" s="9"/>
      <c r="AN2942" s="9"/>
      <c r="AO2942" s="9"/>
      <c r="AP2942" s="9"/>
      <c r="AQ2942" s="9"/>
      <c r="AR2942" s="9"/>
      <c r="AS2942" s="9"/>
      <c r="AT2942" s="9"/>
      <c r="AU2942" s="9"/>
    </row>
    <row r="2943" spans="1:47" ht="15.75" customHeight="1">
      <c r="A2943" s="9"/>
      <c r="B2943" s="9"/>
      <c r="C2943" s="9"/>
      <c r="D2943" s="9"/>
      <c r="E2943" s="9"/>
      <c r="F2943" s="67"/>
      <c r="G2943" s="9"/>
      <c r="H2943" s="9"/>
      <c r="I2943" s="9"/>
      <c r="J2943" s="9"/>
      <c r="K2943" s="9"/>
      <c r="L2943" s="9"/>
      <c r="M2943" s="9"/>
      <c r="N2943" s="9"/>
      <c r="O2943" s="9"/>
      <c r="P2943" s="9"/>
      <c r="Q2943" s="9"/>
      <c r="R2943" s="9"/>
      <c r="S2943" s="9"/>
      <c r="T2943" s="9"/>
      <c r="U2943" s="9"/>
      <c r="V2943" s="9"/>
      <c r="W2943" s="9"/>
      <c r="X2943" s="9"/>
      <c r="Y2943" s="9"/>
      <c r="Z2943" s="9"/>
      <c r="AA2943" s="9"/>
      <c r="AB2943" s="9"/>
      <c r="AC2943" s="9"/>
      <c r="AD2943" s="9"/>
      <c r="AE2943" s="9"/>
      <c r="AF2943" s="9"/>
      <c r="AG2943" s="9"/>
      <c r="AH2943" s="9"/>
      <c r="AI2943" s="9"/>
      <c r="AJ2943" s="9"/>
      <c r="AK2943" s="9"/>
      <c r="AL2943" s="9"/>
      <c r="AM2943" s="9"/>
      <c r="AN2943" s="9"/>
      <c r="AO2943" s="9"/>
      <c r="AP2943" s="9"/>
      <c r="AQ2943" s="9"/>
      <c r="AR2943" s="9"/>
      <c r="AS2943" s="9"/>
      <c r="AT2943" s="9"/>
      <c r="AU2943" s="9"/>
    </row>
    <row r="2944" spans="1:47" ht="15.75" customHeight="1">
      <c r="A2944" s="9"/>
      <c r="B2944" s="9"/>
      <c r="C2944" s="9"/>
      <c r="D2944" s="9"/>
      <c r="E2944" s="9"/>
      <c r="F2944" s="67"/>
      <c r="G2944" s="9"/>
      <c r="H2944" s="9"/>
      <c r="I2944" s="9"/>
      <c r="J2944" s="9"/>
      <c r="K2944" s="9"/>
      <c r="L2944" s="9"/>
      <c r="M2944" s="9"/>
      <c r="N2944" s="9"/>
      <c r="O2944" s="9"/>
      <c r="P2944" s="9"/>
      <c r="Q2944" s="9"/>
      <c r="R2944" s="9"/>
      <c r="S2944" s="9"/>
      <c r="T2944" s="9"/>
      <c r="U2944" s="9"/>
      <c r="V2944" s="9"/>
      <c r="W2944" s="9"/>
      <c r="X2944" s="9"/>
      <c r="Y2944" s="9"/>
      <c r="Z2944" s="9"/>
      <c r="AA2944" s="9"/>
      <c r="AB2944" s="9"/>
      <c r="AC2944" s="9"/>
      <c r="AD2944" s="9"/>
      <c r="AE2944" s="9"/>
      <c r="AF2944" s="9"/>
      <c r="AG2944" s="9"/>
      <c r="AH2944" s="9"/>
      <c r="AI2944" s="9"/>
      <c r="AJ2944" s="9"/>
      <c r="AK2944" s="9"/>
      <c r="AL2944" s="9"/>
      <c r="AM2944" s="9"/>
      <c r="AN2944" s="9"/>
      <c r="AO2944" s="9"/>
      <c r="AP2944" s="9"/>
      <c r="AQ2944" s="9"/>
      <c r="AR2944" s="9"/>
      <c r="AS2944" s="9"/>
      <c r="AT2944" s="9"/>
      <c r="AU2944" s="9"/>
    </row>
    <row r="2945" spans="1:47" ht="15.75" customHeight="1">
      <c r="A2945" s="9"/>
      <c r="B2945" s="9"/>
      <c r="C2945" s="9"/>
      <c r="D2945" s="9"/>
      <c r="E2945" s="9"/>
      <c r="F2945" s="67"/>
      <c r="G2945" s="9"/>
      <c r="H2945" s="9"/>
      <c r="I2945" s="9"/>
      <c r="J2945" s="9"/>
      <c r="K2945" s="9"/>
      <c r="L2945" s="9"/>
      <c r="M2945" s="9"/>
      <c r="N2945" s="9"/>
      <c r="O2945" s="9"/>
      <c r="P2945" s="9"/>
      <c r="Q2945" s="9"/>
      <c r="R2945" s="9"/>
      <c r="S2945" s="9"/>
      <c r="T2945" s="9"/>
      <c r="U2945" s="9"/>
      <c r="V2945" s="9"/>
      <c r="W2945" s="9"/>
      <c r="X2945" s="9"/>
      <c r="Y2945" s="9"/>
      <c r="Z2945" s="9"/>
      <c r="AA2945" s="9"/>
      <c r="AB2945" s="9"/>
      <c r="AC2945" s="9"/>
      <c r="AD2945" s="9"/>
      <c r="AE2945" s="9"/>
      <c r="AF2945" s="9"/>
      <c r="AG2945" s="9"/>
      <c r="AH2945" s="9"/>
      <c r="AI2945" s="9"/>
      <c r="AJ2945" s="9"/>
      <c r="AK2945" s="9"/>
      <c r="AL2945" s="9"/>
      <c r="AM2945" s="9"/>
      <c r="AN2945" s="9"/>
      <c r="AO2945" s="9"/>
      <c r="AP2945" s="9"/>
      <c r="AQ2945" s="9"/>
      <c r="AR2945" s="9"/>
      <c r="AS2945" s="9"/>
      <c r="AT2945" s="9"/>
      <c r="AU2945" s="9"/>
    </row>
    <row r="2946" spans="1:47" ht="15.75" customHeight="1">
      <c r="A2946" s="9"/>
      <c r="B2946" s="9"/>
      <c r="C2946" s="9"/>
      <c r="D2946" s="9"/>
      <c r="E2946" s="9"/>
      <c r="F2946" s="67"/>
      <c r="G2946" s="9"/>
      <c r="H2946" s="9"/>
      <c r="I2946" s="9"/>
      <c r="J2946" s="9"/>
      <c r="K2946" s="9"/>
      <c r="L2946" s="9"/>
      <c r="M2946" s="9"/>
      <c r="N2946" s="9"/>
      <c r="O2946" s="9"/>
      <c r="P2946" s="9"/>
      <c r="Q2946" s="9"/>
      <c r="R2946" s="9"/>
      <c r="S2946" s="9"/>
      <c r="T2946" s="9"/>
      <c r="U2946" s="9"/>
      <c r="V2946" s="9"/>
      <c r="W2946" s="9"/>
      <c r="X2946" s="9"/>
      <c r="Y2946" s="9"/>
      <c r="Z2946" s="9"/>
      <c r="AA2946" s="9"/>
      <c r="AB2946" s="9"/>
      <c r="AC2946" s="9"/>
      <c r="AD2946" s="9"/>
      <c r="AE2946" s="9"/>
      <c r="AF2946" s="9"/>
      <c r="AG2946" s="9"/>
      <c r="AH2946" s="9"/>
      <c r="AI2946" s="9"/>
      <c r="AJ2946" s="9"/>
      <c r="AK2946" s="9"/>
      <c r="AL2946" s="9"/>
      <c r="AM2946" s="9"/>
      <c r="AN2946" s="9"/>
      <c r="AO2946" s="9"/>
      <c r="AP2946" s="9"/>
      <c r="AQ2946" s="9"/>
      <c r="AR2946" s="9"/>
      <c r="AS2946" s="9"/>
      <c r="AT2946" s="9"/>
      <c r="AU2946" s="9"/>
    </row>
    <row r="2947" spans="1:47" ht="15.75" customHeight="1">
      <c r="A2947" s="9"/>
      <c r="B2947" s="9"/>
      <c r="C2947" s="9"/>
      <c r="D2947" s="9"/>
      <c r="E2947" s="9"/>
      <c r="F2947" s="67"/>
      <c r="G2947" s="9"/>
      <c r="H2947" s="9"/>
      <c r="I2947" s="9"/>
      <c r="J2947" s="9"/>
      <c r="K2947" s="9"/>
      <c r="L2947" s="9"/>
      <c r="M2947" s="9"/>
      <c r="N2947" s="9"/>
      <c r="O2947" s="9"/>
      <c r="P2947" s="9"/>
      <c r="Q2947" s="9"/>
      <c r="R2947" s="9"/>
      <c r="S2947" s="9"/>
      <c r="T2947" s="9"/>
      <c r="U2947" s="9"/>
      <c r="V2947" s="9"/>
      <c r="W2947" s="9"/>
      <c r="X2947" s="9"/>
      <c r="Y2947" s="9"/>
      <c r="Z2947" s="9"/>
      <c r="AA2947" s="9"/>
      <c r="AB2947" s="9"/>
      <c r="AC2947" s="9"/>
      <c r="AD2947" s="9"/>
      <c r="AE2947" s="9"/>
      <c r="AF2947" s="9"/>
      <c r="AG2947" s="9"/>
      <c r="AH2947" s="9"/>
      <c r="AI2947" s="9"/>
      <c r="AJ2947" s="9"/>
      <c r="AK2947" s="9"/>
      <c r="AL2947" s="9"/>
      <c r="AM2947" s="9"/>
      <c r="AN2947" s="9"/>
      <c r="AO2947" s="9"/>
      <c r="AP2947" s="9"/>
      <c r="AQ2947" s="9"/>
      <c r="AR2947" s="9"/>
      <c r="AS2947" s="9"/>
      <c r="AT2947" s="9"/>
      <c r="AU2947" s="9"/>
    </row>
    <row r="2948" spans="1:47" ht="15.75" customHeight="1">
      <c r="A2948" s="9"/>
      <c r="B2948" s="9"/>
      <c r="C2948" s="9"/>
      <c r="D2948" s="9"/>
      <c r="E2948" s="9"/>
      <c r="F2948" s="67"/>
      <c r="G2948" s="9"/>
      <c r="H2948" s="9"/>
      <c r="I2948" s="9"/>
      <c r="J2948" s="9"/>
      <c r="K2948" s="9"/>
      <c r="L2948" s="9"/>
      <c r="M2948" s="9"/>
      <c r="N2948" s="9"/>
      <c r="O2948" s="9"/>
      <c r="P2948" s="9"/>
      <c r="Q2948" s="9"/>
      <c r="R2948" s="9"/>
      <c r="S2948" s="9"/>
      <c r="T2948" s="9"/>
      <c r="U2948" s="9"/>
      <c r="V2948" s="9"/>
      <c r="W2948" s="9"/>
      <c r="X2948" s="9"/>
      <c r="Y2948" s="9"/>
      <c r="Z2948" s="9"/>
      <c r="AA2948" s="9"/>
      <c r="AB2948" s="9"/>
      <c r="AC2948" s="9"/>
      <c r="AD2948" s="9"/>
      <c r="AE2948" s="9"/>
      <c r="AF2948" s="9"/>
      <c r="AG2948" s="9"/>
      <c r="AH2948" s="9"/>
      <c r="AI2948" s="9"/>
      <c r="AJ2948" s="9"/>
      <c r="AK2948" s="9"/>
      <c r="AL2948" s="9"/>
      <c r="AM2948" s="9"/>
      <c r="AN2948" s="9"/>
      <c r="AO2948" s="9"/>
      <c r="AP2948" s="9"/>
      <c r="AQ2948" s="9"/>
      <c r="AR2948" s="9"/>
      <c r="AS2948" s="9"/>
      <c r="AT2948" s="9"/>
      <c r="AU2948" s="9"/>
    </row>
    <row r="2949" spans="1:47" ht="15.75" customHeight="1">
      <c r="A2949" s="9"/>
      <c r="B2949" s="9"/>
      <c r="C2949" s="9"/>
      <c r="D2949" s="9"/>
      <c r="E2949" s="9"/>
      <c r="F2949" s="67"/>
      <c r="G2949" s="9"/>
      <c r="H2949" s="9"/>
      <c r="I2949" s="9"/>
      <c r="J2949" s="9"/>
      <c r="K2949" s="9"/>
      <c r="L2949" s="9"/>
      <c r="M2949" s="9"/>
      <c r="N2949" s="9"/>
      <c r="O2949" s="9"/>
      <c r="P2949" s="9"/>
      <c r="Q2949" s="9"/>
      <c r="R2949" s="9"/>
      <c r="S2949" s="9"/>
      <c r="T2949" s="9"/>
      <c r="U2949" s="9"/>
      <c r="V2949" s="9"/>
      <c r="W2949" s="9"/>
      <c r="X2949" s="9"/>
      <c r="Y2949" s="9"/>
      <c r="Z2949" s="9"/>
      <c r="AA2949" s="9"/>
      <c r="AB2949" s="9"/>
      <c r="AC2949" s="9"/>
      <c r="AD2949" s="9"/>
      <c r="AE2949" s="9"/>
      <c r="AF2949" s="9"/>
      <c r="AG2949" s="9"/>
      <c r="AH2949" s="9"/>
      <c r="AI2949" s="9"/>
      <c r="AJ2949" s="9"/>
      <c r="AK2949" s="9"/>
      <c r="AL2949" s="9"/>
      <c r="AM2949" s="9"/>
      <c r="AN2949" s="9"/>
      <c r="AO2949" s="9"/>
      <c r="AP2949" s="9"/>
      <c r="AQ2949" s="9"/>
      <c r="AR2949" s="9"/>
      <c r="AS2949" s="9"/>
      <c r="AT2949" s="9"/>
      <c r="AU2949" s="9"/>
    </row>
    <row r="2950" spans="1:47" ht="15.75" customHeight="1">
      <c r="A2950" s="9"/>
      <c r="B2950" s="9"/>
      <c r="C2950" s="9"/>
      <c r="D2950" s="9"/>
      <c r="E2950" s="9"/>
      <c r="F2950" s="67"/>
      <c r="G2950" s="9"/>
      <c r="H2950" s="9"/>
      <c r="I2950" s="9"/>
      <c r="J2950" s="9"/>
      <c r="K2950" s="9"/>
      <c r="L2950" s="9"/>
      <c r="M2950" s="9"/>
      <c r="N2950" s="9"/>
      <c r="O2950" s="9"/>
      <c r="P2950" s="9"/>
      <c r="Q2950" s="9"/>
      <c r="R2950" s="9"/>
      <c r="S2950" s="9"/>
      <c r="T2950" s="9"/>
      <c r="U2950" s="9"/>
      <c r="V2950" s="9"/>
      <c r="W2950" s="9"/>
      <c r="X2950" s="9"/>
      <c r="Y2950" s="9"/>
      <c r="Z2950" s="9"/>
      <c r="AA2950" s="9"/>
      <c r="AB2950" s="9"/>
      <c r="AC2950" s="9"/>
      <c r="AD2950" s="9"/>
      <c r="AE2950" s="9"/>
      <c r="AF2950" s="9"/>
      <c r="AG2950" s="9"/>
      <c r="AH2950" s="9"/>
      <c r="AI2950" s="9"/>
      <c r="AJ2950" s="9"/>
      <c r="AK2950" s="9"/>
      <c r="AL2950" s="9"/>
      <c r="AM2950" s="9"/>
      <c r="AN2950" s="9"/>
      <c r="AO2950" s="9"/>
      <c r="AP2950" s="9"/>
      <c r="AQ2950" s="9"/>
      <c r="AR2950" s="9"/>
      <c r="AS2950" s="9"/>
      <c r="AT2950" s="9"/>
      <c r="AU2950" s="9"/>
    </row>
    <row r="2951" spans="1:47" ht="15.75" customHeight="1">
      <c r="A2951" s="9"/>
      <c r="B2951" s="9"/>
      <c r="C2951" s="9"/>
      <c r="D2951" s="9"/>
      <c r="E2951" s="9"/>
      <c r="F2951" s="67"/>
      <c r="G2951" s="9"/>
      <c r="H2951" s="9"/>
      <c r="I2951" s="9"/>
      <c r="J2951" s="9"/>
      <c r="K2951" s="9"/>
      <c r="L2951" s="9"/>
      <c r="M2951" s="9"/>
      <c r="N2951" s="9"/>
      <c r="O2951" s="9"/>
      <c r="P2951" s="9"/>
      <c r="Q2951" s="9"/>
      <c r="R2951" s="9"/>
      <c r="S2951" s="9"/>
      <c r="T2951" s="9"/>
      <c r="U2951" s="9"/>
      <c r="V2951" s="9"/>
      <c r="W2951" s="9"/>
      <c r="X2951" s="9"/>
      <c r="Y2951" s="9"/>
      <c r="Z2951" s="9"/>
      <c r="AA2951" s="9"/>
      <c r="AB2951" s="9"/>
      <c r="AC2951" s="9"/>
      <c r="AD2951" s="9"/>
      <c r="AE2951" s="9"/>
      <c r="AF2951" s="9"/>
      <c r="AG2951" s="9"/>
      <c r="AH2951" s="9"/>
      <c r="AI2951" s="9"/>
      <c r="AJ2951" s="9"/>
      <c r="AK2951" s="9"/>
      <c r="AL2951" s="9"/>
      <c r="AM2951" s="9"/>
      <c r="AN2951" s="9"/>
      <c r="AO2951" s="9"/>
      <c r="AP2951" s="9"/>
      <c r="AQ2951" s="9"/>
      <c r="AR2951" s="9"/>
      <c r="AS2951" s="9"/>
      <c r="AT2951" s="9"/>
      <c r="AU2951" s="9"/>
    </row>
    <row r="2952" spans="1:47" ht="15.75" customHeight="1">
      <c r="A2952" s="9"/>
      <c r="B2952" s="9"/>
      <c r="C2952" s="9"/>
      <c r="D2952" s="9"/>
      <c r="E2952" s="9"/>
      <c r="F2952" s="67"/>
      <c r="G2952" s="9"/>
      <c r="H2952" s="9"/>
      <c r="I2952" s="9"/>
      <c r="J2952" s="9"/>
      <c r="K2952" s="9"/>
      <c r="L2952" s="9"/>
      <c r="M2952" s="9"/>
      <c r="N2952" s="9"/>
      <c r="O2952" s="9"/>
      <c r="P2952" s="9"/>
      <c r="Q2952" s="9"/>
      <c r="R2952" s="9"/>
      <c r="S2952" s="9"/>
      <c r="T2952" s="9"/>
      <c r="U2952" s="9"/>
      <c r="V2952" s="9"/>
      <c r="W2952" s="9"/>
      <c r="X2952" s="9"/>
      <c r="Y2952" s="9"/>
      <c r="Z2952" s="9"/>
      <c r="AA2952" s="9"/>
      <c r="AB2952" s="9"/>
      <c r="AC2952" s="9"/>
      <c r="AD2952" s="9"/>
      <c r="AE2952" s="9"/>
      <c r="AF2952" s="9"/>
      <c r="AG2952" s="9"/>
      <c r="AH2952" s="9"/>
      <c r="AI2952" s="9"/>
      <c r="AJ2952" s="9"/>
      <c r="AK2952" s="9"/>
      <c r="AL2952" s="9"/>
      <c r="AM2952" s="9"/>
      <c r="AN2952" s="9"/>
      <c r="AO2952" s="9"/>
      <c r="AP2952" s="9"/>
      <c r="AQ2952" s="9"/>
      <c r="AR2952" s="9"/>
      <c r="AS2952" s="9"/>
      <c r="AT2952" s="9"/>
      <c r="AU2952" s="9"/>
    </row>
    <row r="2953" spans="1:47" ht="15.75" customHeight="1">
      <c r="A2953" s="9"/>
      <c r="B2953" s="9"/>
      <c r="C2953" s="9"/>
      <c r="D2953" s="9"/>
      <c r="E2953" s="9"/>
      <c r="F2953" s="67"/>
      <c r="G2953" s="9"/>
      <c r="H2953" s="9"/>
      <c r="I2953" s="9"/>
      <c r="J2953" s="9"/>
      <c r="K2953" s="9"/>
      <c r="L2953" s="9"/>
      <c r="M2953" s="9"/>
      <c r="N2953" s="9"/>
      <c r="O2953" s="9"/>
      <c r="P2953" s="9"/>
      <c r="Q2953" s="9"/>
      <c r="R2953" s="9"/>
      <c r="S2953" s="9"/>
      <c r="T2953" s="9"/>
      <c r="U2953" s="9"/>
      <c r="V2953" s="9"/>
      <c r="W2953" s="9"/>
      <c r="X2953" s="9"/>
      <c r="Y2953" s="9"/>
      <c r="Z2953" s="9"/>
      <c r="AA2953" s="9"/>
      <c r="AB2953" s="9"/>
      <c r="AC2953" s="9"/>
      <c r="AD2953" s="9"/>
      <c r="AE2953" s="9"/>
      <c r="AF2953" s="9"/>
      <c r="AG2953" s="9"/>
      <c r="AH2953" s="9"/>
      <c r="AI2953" s="9"/>
      <c r="AJ2953" s="9"/>
      <c r="AK2953" s="9"/>
      <c r="AL2953" s="9"/>
      <c r="AM2953" s="9"/>
      <c r="AN2953" s="9"/>
      <c r="AO2953" s="9"/>
      <c r="AP2953" s="9"/>
      <c r="AQ2953" s="9"/>
      <c r="AR2953" s="9"/>
      <c r="AS2953" s="9"/>
      <c r="AT2953" s="9"/>
      <c r="AU2953" s="9"/>
    </row>
    <row r="2954" spans="1:47" ht="15.75" customHeight="1">
      <c r="A2954" s="9"/>
      <c r="B2954" s="9"/>
      <c r="C2954" s="9"/>
      <c r="D2954" s="9"/>
      <c r="E2954" s="9"/>
      <c r="F2954" s="67"/>
      <c r="G2954" s="9"/>
      <c r="H2954" s="9"/>
      <c r="I2954" s="9"/>
      <c r="J2954" s="9"/>
      <c r="K2954" s="9"/>
      <c r="L2954" s="9"/>
      <c r="M2954" s="9"/>
      <c r="N2954" s="9"/>
      <c r="O2954" s="9"/>
      <c r="P2954" s="9"/>
      <c r="Q2954" s="9"/>
      <c r="R2954" s="9"/>
      <c r="S2954" s="9"/>
      <c r="T2954" s="9"/>
      <c r="U2954" s="9"/>
      <c r="V2954" s="9"/>
      <c r="W2954" s="9"/>
      <c r="X2954" s="9"/>
      <c r="Y2954" s="9"/>
      <c r="Z2954" s="9"/>
      <c r="AA2954" s="9"/>
      <c r="AB2954" s="9"/>
      <c r="AC2954" s="9"/>
      <c r="AD2954" s="9"/>
      <c r="AE2954" s="9"/>
      <c r="AF2954" s="9"/>
      <c r="AG2954" s="9"/>
      <c r="AH2954" s="9"/>
      <c r="AI2954" s="9"/>
      <c r="AJ2954" s="9"/>
      <c r="AK2954" s="9"/>
      <c r="AL2954" s="9"/>
      <c r="AM2954" s="9"/>
      <c r="AN2954" s="9"/>
      <c r="AO2954" s="9"/>
      <c r="AP2954" s="9"/>
      <c r="AQ2954" s="9"/>
      <c r="AR2954" s="9"/>
      <c r="AS2954" s="9"/>
      <c r="AT2954" s="9"/>
      <c r="AU2954" s="9"/>
    </row>
    <row r="2955" spans="1:47" ht="15.75" customHeight="1">
      <c r="A2955" s="9"/>
      <c r="B2955" s="9"/>
      <c r="C2955" s="9"/>
      <c r="D2955" s="9"/>
      <c r="E2955" s="9"/>
      <c r="F2955" s="67"/>
      <c r="G2955" s="9"/>
      <c r="H2955" s="9"/>
      <c r="I2955" s="9"/>
      <c r="J2955" s="9"/>
      <c r="K2955" s="9"/>
      <c r="L2955" s="9"/>
      <c r="M2955" s="9"/>
      <c r="N2955" s="9"/>
      <c r="O2955" s="9"/>
      <c r="P2955" s="9"/>
      <c r="Q2955" s="9"/>
      <c r="R2955" s="9"/>
      <c r="S2955" s="9"/>
      <c r="T2955" s="9"/>
      <c r="U2955" s="9"/>
      <c r="V2955" s="9"/>
      <c r="W2955" s="9"/>
      <c r="X2955" s="9"/>
      <c r="Y2955" s="9"/>
      <c r="Z2955" s="9"/>
      <c r="AA2955" s="9"/>
      <c r="AB2955" s="9"/>
      <c r="AC2955" s="9"/>
      <c r="AD2955" s="9"/>
      <c r="AE2955" s="9"/>
      <c r="AF2955" s="9"/>
      <c r="AG2955" s="9"/>
      <c r="AH2955" s="9"/>
      <c r="AI2955" s="9"/>
      <c r="AJ2955" s="9"/>
      <c r="AK2955" s="9"/>
      <c r="AL2955" s="9"/>
      <c r="AM2955" s="9"/>
      <c r="AN2955" s="9"/>
      <c r="AO2955" s="9"/>
      <c r="AP2955" s="9"/>
      <c r="AQ2955" s="9"/>
      <c r="AR2955" s="9"/>
      <c r="AS2955" s="9"/>
      <c r="AT2955" s="9"/>
      <c r="AU2955" s="9"/>
    </row>
    <row r="2956" spans="1:47" ht="15.75" customHeight="1">
      <c r="A2956" s="9"/>
      <c r="B2956" s="9"/>
      <c r="C2956" s="9"/>
      <c r="D2956" s="9"/>
      <c r="E2956" s="9"/>
      <c r="F2956" s="67"/>
      <c r="G2956" s="9"/>
      <c r="H2956" s="9"/>
      <c r="I2956" s="9"/>
      <c r="J2956" s="9"/>
      <c r="K2956" s="9"/>
      <c r="L2956" s="9"/>
      <c r="M2956" s="9"/>
      <c r="N2956" s="9"/>
      <c r="O2956" s="9"/>
      <c r="P2956" s="9"/>
      <c r="Q2956" s="9"/>
      <c r="R2956" s="9"/>
      <c r="S2956" s="9"/>
      <c r="T2956" s="9"/>
      <c r="U2956" s="9"/>
      <c r="V2956" s="9"/>
      <c r="W2956" s="9"/>
      <c r="X2956" s="9"/>
      <c r="Y2956" s="9"/>
      <c r="Z2956" s="9"/>
      <c r="AA2956" s="9"/>
      <c r="AB2956" s="9"/>
      <c r="AC2956" s="9"/>
      <c r="AD2956" s="9"/>
      <c r="AE2956" s="9"/>
      <c r="AF2956" s="9"/>
      <c r="AG2956" s="9"/>
      <c r="AH2956" s="9"/>
      <c r="AI2956" s="9"/>
      <c r="AJ2956" s="9"/>
      <c r="AK2956" s="9"/>
      <c r="AL2956" s="9"/>
      <c r="AM2956" s="9"/>
      <c r="AN2956" s="9"/>
      <c r="AO2956" s="9"/>
      <c r="AP2956" s="9"/>
      <c r="AQ2956" s="9"/>
      <c r="AR2956" s="9"/>
      <c r="AS2956" s="9"/>
      <c r="AT2956" s="9"/>
      <c r="AU2956" s="9"/>
    </row>
    <row r="2957" spans="1:47" ht="15.75" customHeight="1">
      <c r="A2957" s="9"/>
      <c r="B2957" s="9"/>
      <c r="C2957" s="9"/>
      <c r="D2957" s="9"/>
      <c r="E2957" s="9"/>
      <c r="F2957" s="67"/>
      <c r="G2957" s="9"/>
      <c r="H2957" s="9"/>
      <c r="I2957" s="9"/>
      <c r="J2957" s="9"/>
      <c r="K2957" s="9"/>
      <c r="L2957" s="9"/>
      <c r="M2957" s="9"/>
      <c r="N2957" s="9"/>
      <c r="O2957" s="9"/>
      <c r="P2957" s="9"/>
      <c r="Q2957" s="9"/>
      <c r="R2957" s="9"/>
      <c r="S2957" s="9"/>
      <c r="T2957" s="9"/>
      <c r="U2957" s="9"/>
      <c r="V2957" s="9"/>
      <c r="W2957" s="9"/>
      <c r="X2957" s="9"/>
      <c r="Y2957" s="9"/>
      <c r="Z2957" s="9"/>
      <c r="AA2957" s="9"/>
      <c r="AB2957" s="9"/>
      <c r="AC2957" s="9"/>
      <c r="AD2957" s="9"/>
      <c r="AE2957" s="9"/>
      <c r="AF2957" s="9"/>
      <c r="AG2957" s="9"/>
      <c r="AH2957" s="9"/>
      <c r="AI2957" s="9"/>
      <c r="AJ2957" s="9"/>
      <c r="AK2957" s="9"/>
      <c r="AL2957" s="9"/>
      <c r="AM2957" s="9"/>
      <c r="AN2957" s="9"/>
      <c r="AO2957" s="9"/>
      <c r="AP2957" s="9"/>
      <c r="AQ2957" s="9"/>
      <c r="AR2957" s="9"/>
      <c r="AS2957" s="9"/>
      <c r="AT2957" s="9"/>
      <c r="AU2957" s="9"/>
    </row>
    <row r="2958" spans="1:47" ht="15.75" customHeight="1">
      <c r="A2958" s="9"/>
      <c r="B2958" s="9"/>
      <c r="C2958" s="9"/>
      <c r="D2958" s="9"/>
      <c r="E2958" s="9"/>
      <c r="F2958" s="67"/>
      <c r="G2958" s="9"/>
      <c r="H2958" s="9"/>
      <c r="I2958" s="9"/>
      <c r="J2958" s="9"/>
      <c r="K2958" s="9"/>
      <c r="L2958" s="9"/>
      <c r="M2958" s="9"/>
      <c r="N2958" s="9"/>
      <c r="O2958" s="9"/>
      <c r="P2958" s="9"/>
      <c r="Q2958" s="9"/>
      <c r="R2958" s="9"/>
      <c r="S2958" s="9"/>
      <c r="T2958" s="9"/>
      <c r="U2958" s="9"/>
      <c r="V2958" s="9"/>
      <c r="W2958" s="9"/>
      <c r="X2958" s="9"/>
      <c r="Y2958" s="9"/>
      <c r="Z2958" s="9"/>
      <c r="AA2958" s="9"/>
      <c r="AB2958" s="9"/>
      <c r="AC2958" s="9"/>
      <c r="AD2958" s="9"/>
      <c r="AE2958" s="9"/>
      <c r="AF2958" s="9"/>
      <c r="AG2958" s="9"/>
      <c r="AH2958" s="9"/>
      <c r="AI2958" s="9"/>
      <c r="AJ2958" s="9"/>
      <c r="AK2958" s="9"/>
      <c r="AL2958" s="9"/>
      <c r="AM2958" s="9"/>
      <c r="AN2958" s="9"/>
      <c r="AO2958" s="9"/>
      <c r="AP2958" s="9"/>
      <c r="AQ2958" s="9"/>
      <c r="AR2958" s="9"/>
      <c r="AS2958" s="9"/>
      <c r="AT2958" s="9"/>
      <c r="AU2958" s="9"/>
    </row>
    <row r="2959" spans="1:47" ht="15.75" customHeight="1">
      <c r="A2959" s="9"/>
      <c r="B2959" s="9"/>
      <c r="C2959" s="9"/>
      <c r="D2959" s="9"/>
      <c r="E2959" s="9"/>
      <c r="F2959" s="67"/>
      <c r="G2959" s="9"/>
      <c r="H2959" s="9"/>
      <c r="I2959" s="9"/>
      <c r="J2959" s="9"/>
      <c r="K2959" s="9"/>
      <c r="L2959" s="9"/>
      <c r="M2959" s="9"/>
      <c r="N2959" s="9"/>
      <c r="O2959" s="9"/>
      <c r="P2959" s="9"/>
      <c r="Q2959" s="9"/>
      <c r="R2959" s="9"/>
      <c r="S2959" s="9"/>
      <c r="T2959" s="9"/>
      <c r="U2959" s="9"/>
      <c r="V2959" s="9"/>
      <c r="W2959" s="9"/>
      <c r="X2959" s="9"/>
      <c r="Y2959" s="9"/>
      <c r="Z2959" s="9"/>
      <c r="AA2959" s="9"/>
      <c r="AB2959" s="9"/>
      <c r="AC2959" s="9"/>
      <c r="AD2959" s="9"/>
      <c r="AE2959" s="9"/>
      <c r="AF2959" s="9"/>
      <c r="AG2959" s="9"/>
      <c r="AH2959" s="9"/>
      <c r="AI2959" s="9"/>
      <c r="AJ2959" s="9"/>
      <c r="AK2959" s="9"/>
      <c r="AL2959" s="9"/>
      <c r="AM2959" s="9"/>
      <c r="AN2959" s="9"/>
      <c r="AO2959" s="9"/>
      <c r="AP2959" s="9"/>
      <c r="AQ2959" s="9"/>
      <c r="AR2959" s="9"/>
      <c r="AS2959" s="9"/>
      <c r="AT2959" s="9"/>
      <c r="AU2959" s="9"/>
    </row>
    <row r="2960" spans="1:47" ht="15.75" customHeight="1">
      <c r="A2960" s="9"/>
      <c r="B2960" s="9"/>
      <c r="C2960" s="9"/>
      <c r="D2960" s="9"/>
      <c r="E2960" s="9"/>
      <c r="F2960" s="67"/>
      <c r="G2960" s="9"/>
      <c r="H2960" s="9"/>
      <c r="I2960" s="9"/>
      <c r="J2960" s="9"/>
      <c r="K2960" s="9"/>
      <c r="L2960" s="9"/>
      <c r="M2960" s="9"/>
      <c r="N2960" s="9"/>
      <c r="O2960" s="9"/>
      <c r="P2960" s="9"/>
      <c r="Q2960" s="9"/>
      <c r="R2960" s="9"/>
      <c r="S2960" s="9"/>
      <c r="T2960" s="9"/>
      <c r="U2960" s="9"/>
      <c r="V2960" s="9"/>
      <c r="W2960" s="9"/>
      <c r="X2960" s="9"/>
      <c r="Y2960" s="9"/>
      <c r="Z2960" s="9"/>
      <c r="AA2960" s="9"/>
      <c r="AB2960" s="9"/>
      <c r="AC2960" s="9"/>
      <c r="AD2960" s="9"/>
      <c r="AE2960" s="9"/>
      <c r="AF2960" s="9"/>
      <c r="AG2960" s="9"/>
      <c r="AH2960" s="9"/>
      <c r="AI2960" s="9"/>
      <c r="AJ2960" s="9"/>
      <c r="AK2960" s="9"/>
      <c r="AL2960" s="9"/>
      <c r="AM2960" s="9"/>
      <c r="AN2960" s="9"/>
      <c r="AO2960" s="9"/>
      <c r="AP2960" s="9"/>
      <c r="AQ2960" s="9"/>
      <c r="AR2960" s="9"/>
      <c r="AS2960" s="9"/>
      <c r="AT2960" s="9"/>
      <c r="AU2960" s="9"/>
    </row>
    <row r="2961" spans="1:47" ht="15.75" customHeight="1">
      <c r="A2961" s="9"/>
      <c r="B2961" s="9"/>
      <c r="C2961" s="9"/>
      <c r="D2961" s="9"/>
      <c r="E2961" s="9"/>
      <c r="F2961" s="67"/>
      <c r="G2961" s="9"/>
      <c r="H2961" s="9"/>
      <c r="I2961" s="9"/>
      <c r="J2961" s="9"/>
      <c r="K2961" s="9"/>
      <c r="L2961" s="9"/>
      <c r="M2961" s="9"/>
      <c r="N2961" s="9"/>
      <c r="O2961" s="9"/>
      <c r="P2961" s="9"/>
      <c r="Q2961" s="9"/>
      <c r="R2961" s="9"/>
      <c r="S2961" s="9"/>
      <c r="T2961" s="9"/>
      <c r="U2961" s="9"/>
      <c r="V2961" s="9"/>
      <c r="W2961" s="9"/>
      <c r="X2961" s="9"/>
      <c r="Y2961" s="9"/>
      <c r="Z2961" s="9"/>
      <c r="AA2961" s="9"/>
      <c r="AB2961" s="9"/>
      <c r="AC2961" s="9"/>
      <c r="AD2961" s="9"/>
      <c r="AE2961" s="9"/>
      <c r="AF2961" s="9"/>
      <c r="AG2961" s="9"/>
      <c r="AH2961" s="9"/>
      <c r="AI2961" s="9"/>
      <c r="AJ2961" s="9"/>
      <c r="AK2961" s="9"/>
      <c r="AL2961" s="9"/>
      <c r="AM2961" s="9"/>
      <c r="AN2961" s="9"/>
      <c r="AO2961" s="9"/>
      <c r="AP2961" s="9"/>
      <c r="AQ2961" s="9"/>
      <c r="AR2961" s="9"/>
      <c r="AS2961" s="9"/>
      <c r="AT2961" s="9"/>
      <c r="AU2961" s="9"/>
    </row>
    <row r="2962" spans="1:47" ht="15.75" customHeight="1">
      <c r="A2962" s="9"/>
      <c r="B2962" s="9"/>
      <c r="C2962" s="9"/>
      <c r="D2962" s="9"/>
      <c r="E2962" s="9"/>
      <c r="F2962" s="67"/>
      <c r="G2962" s="9"/>
      <c r="H2962" s="9"/>
      <c r="I2962" s="9"/>
      <c r="J2962" s="9"/>
      <c r="K2962" s="9"/>
      <c r="L2962" s="9"/>
      <c r="M2962" s="9"/>
      <c r="N2962" s="9"/>
      <c r="O2962" s="9"/>
      <c r="P2962" s="9"/>
      <c r="Q2962" s="9"/>
      <c r="R2962" s="9"/>
      <c r="S2962" s="9"/>
      <c r="T2962" s="9"/>
      <c r="U2962" s="9"/>
      <c r="V2962" s="9"/>
      <c r="W2962" s="9"/>
      <c r="X2962" s="9"/>
      <c r="Y2962" s="9"/>
      <c r="Z2962" s="9"/>
      <c r="AA2962" s="9"/>
      <c r="AB2962" s="9"/>
      <c r="AC2962" s="9"/>
      <c r="AD2962" s="9"/>
      <c r="AE2962" s="9"/>
      <c r="AF2962" s="9"/>
      <c r="AG2962" s="9"/>
      <c r="AH2962" s="9"/>
      <c r="AI2962" s="9"/>
      <c r="AJ2962" s="9"/>
      <c r="AK2962" s="9"/>
      <c r="AL2962" s="9"/>
      <c r="AM2962" s="9"/>
      <c r="AN2962" s="9"/>
      <c r="AO2962" s="9"/>
      <c r="AP2962" s="9"/>
      <c r="AQ2962" s="9"/>
      <c r="AR2962" s="9"/>
      <c r="AS2962" s="9"/>
      <c r="AT2962" s="9"/>
      <c r="AU2962" s="9"/>
    </row>
    <row r="2963" spans="1:47" ht="15.75" customHeight="1">
      <c r="A2963" s="9"/>
      <c r="B2963" s="9"/>
      <c r="C2963" s="9"/>
      <c r="D2963" s="9"/>
      <c r="E2963" s="9"/>
      <c r="F2963" s="67"/>
      <c r="G2963" s="9"/>
      <c r="H2963" s="9"/>
      <c r="I2963" s="9"/>
      <c r="J2963" s="9"/>
      <c r="K2963" s="9"/>
      <c r="L2963" s="9"/>
      <c r="M2963" s="9"/>
      <c r="N2963" s="9"/>
      <c r="O2963" s="9"/>
      <c r="P2963" s="9"/>
      <c r="Q2963" s="9"/>
      <c r="R2963" s="9"/>
      <c r="S2963" s="9"/>
      <c r="T2963" s="9"/>
      <c r="U2963" s="9"/>
      <c r="V2963" s="9"/>
      <c r="W2963" s="9"/>
      <c r="X2963" s="9"/>
      <c r="Y2963" s="9"/>
      <c r="Z2963" s="9"/>
      <c r="AA2963" s="9"/>
      <c r="AB2963" s="9"/>
      <c r="AC2963" s="9"/>
      <c r="AD2963" s="9"/>
      <c r="AE2963" s="9"/>
      <c r="AF2963" s="9"/>
      <c r="AG2963" s="9"/>
      <c r="AH2963" s="9"/>
      <c r="AI2963" s="9"/>
      <c r="AJ2963" s="9"/>
      <c r="AK2963" s="9"/>
      <c r="AL2963" s="9"/>
      <c r="AM2963" s="9"/>
      <c r="AN2963" s="9"/>
      <c r="AO2963" s="9"/>
      <c r="AP2963" s="9"/>
      <c r="AQ2963" s="9"/>
      <c r="AR2963" s="9"/>
      <c r="AS2963" s="9"/>
      <c r="AT2963" s="9"/>
      <c r="AU2963" s="9"/>
    </row>
    <row r="2964" spans="1:47" ht="15.75" customHeight="1">
      <c r="A2964" s="9"/>
      <c r="B2964" s="9"/>
      <c r="C2964" s="9"/>
      <c r="D2964" s="9"/>
      <c r="E2964" s="9"/>
      <c r="F2964" s="67"/>
      <c r="G2964" s="9"/>
      <c r="H2964" s="9"/>
      <c r="I2964" s="9"/>
      <c r="J2964" s="9"/>
      <c r="K2964" s="9"/>
      <c r="L2964" s="9"/>
      <c r="M2964" s="9"/>
      <c r="N2964" s="9"/>
      <c r="O2964" s="9"/>
      <c r="P2964" s="9"/>
      <c r="Q2964" s="9"/>
      <c r="R2964" s="9"/>
      <c r="S2964" s="9"/>
      <c r="T2964" s="9"/>
      <c r="U2964" s="9"/>
      <c r="V2964" s="9"/>
      <c r="W2964" s="9"/>
      <c r="X2964" s="9"/>
      <c r="Y2964" s="9"/>
      <c r="Z2964" s="9"/>
      <c r="AA2964" s="9"/>
      <c r="AB2964" s="9"/>
      <c r="AC2964" s="9"/>
      <c r="AD2964" s="9"/>
      <c r="AE2964" s="9"/>
      <c r="AF2964" s="9"/>
      <c r="AG2964" s="9"/>
      <c r="AH2964" s="9"/>
      <c r="AI2964" s="9"/>
      <c r="AJ2964" s="9"/>
      <c r="AK2964" s="9"/>
      <c r="AL2964" s="9"/>
      <c r="AM2964" s="9"/>
      <c r="AN2964" s="9"/>
      <c r="AO2964" s="9"/>
      <c r="AP2964" s="9"/>
      <c r="AQ2964" s="9"/>
      <c r="AR2964" s="9"/>
      <c r="AS2964" s="9"/>
      <c r="AT2964" s="9"/>
      <c r="AU2964" s="9"/>
    </row>
    <row r="2965" spans="1:47" ht="15.75" customHeight="1">
      <c r="A2965" s="9"/>
      <c r="B2965" s="9"/>
      <c r="C2965" s="9"/>
      <c r="D2965" s="9"/>
      <c r="E2965" s="9"/>
      <c r="F2965" s="67"/>
      <c r="G2965" s="9"/>
      <c r="H2965" s="9"/>
      <c r="I2965" s="9"/>
      <c r="J2965" s="9"/>
      <c r="K2965" s="9"/>
      <c r="L2965" s="9"/>
      <c r="M2965" s="9"/>
      <c r="N2965" s="9"/>
      <c r="O2965" s="9"/>
      <c r="P2965" s="9"/>
      <c r="Q2965" s="9"/>
      <c r="R2965" s="9"/>
      <c r="S2965" s="9"/>
      <c r="T2965" s="9"/>
      <c r="U2965" s="9"/>
      <c r="V2965" s="9"/>
      <c r="W2965" s="9"/>
      <c r="X2965" s="9"/>
      <c r="Y2965" s="9"/>
      <c r="Z2965" s="9"/>
      <c r="AA2965" s="9"/>
      <c r="AB2965" s="9"/>
      <c r="AC2965" s="9"/>
      <c r="AD2965" s="9"/>
      <c r="AE2965" s="9"/>
      <c r="AF2965" s="9"/>
      <c r="AG2965" s="9"/>
      <c r="AH2965" s="9"/>
      <c r="AI2965" s="9"/>
      <c r="AJ2965" s="9"/>
      <c r="AK2965" s="9"/>
      <c r="AL2965" s="9"/>
      <c r="AM2965" s="9"/>
      <c r="AN2965" s="9"/>
      <c r="AO2965" s="9"/>
      <c r="AP2965" s="9"/>
      <c r="AQ2965" s="9"/>
      <c r="AR2965" s="9"/>
      <c r="AS2965" s="9"/>
      <c r="AT2965" s="9"/>
      <c r="AU2965" s="9"/>
    </row>
    <row r="2966" spans="1:47" ht="15.75" customHeight="1">
      <c r="A2966" s="9"/>
      <c r="B2966" s="9"/>
      <c r="C2966" s="9"/>
      <c r="D2966" s="9"/>
      <c r="E2966" s="9"/>
      <c r="F2966" s="67"/>
      <c r="G2966" s="9"/>
      <c r="H2966" s="9"/>
      <c r="I2966" s="9"/>
      <c r="J2966" s="9"/>
      <c r="K2966" s="9"/>
      <c r="L2966" s="9"/>
      <c r="M2966" s="9"/>
      <c r="N2966" s="9"/>
      <c r="O2966" s="9"/>
      <c r="P2966" s="9"/>
      <c r="Q2966" s="9"/>
      <c r="R2966" s="9"/>
      <c r="S2966" s="9"/>
      <c r="T2966" s="9"/>
      <c r="U2966" s="9"/>
      <c r="V2966" s="9"/>
      <c r="W2966" s="9"/>
      <c r="X2966" s="9"/>
      <c r="Y2966" s="9"/>
      <c r="Z2966" s="9"/>
      <c r="AA2966" s="9"/>
      <c r="AB2966" s="9"/>
      <c r="AC2966" s="9"/>
      <c r="AD2966" s="9"/>
      <c r="AE2966" s="9"/>
      <c r="AF2966" s="9"/>
      <c r="AG2966" s="9"/>
      <c r="AH2966" s="9"/>
      <c r="AI2966" s="9"/>
      <c r="AJ2966" s="9"/>
      <c r="AK2966" s="9"/>
      <c r="AL2966" s="9"/>
      <c r="AM2966" s="9"/>
      <c r="AN2966" s="9"/>
      <c r="AO2966" s="9"/>
      <c r="AP2966" s="9"/>
      <c r="AQ2966" s="9"/>
      <c r="AR2966" s="9"/>
      <c r="AS2966" s="9"/>
      <c r="AT2966" s="9"/>
      <c r="AU2966" s="9"/>
    </row>
    <row r="2967" spans="1:47" ht="15.75" customHeight="1">
      <c r="A2967" s="9"/>
      <c r="B2967" s="9"/>
      <c r="C2967" s="9"/>
      <c r="D2967" s="9"/>
      <c r="E2967" s="9"/>
      <c r="F2967" s="67"/>
      <c r="G2967" s="9"/>
      <c r="H2967" s="9"/>
      <c r="I2967" s="9"/>
      <c r="J2967" s="9"/>
      <c r="K2967" s="9"/>
      <c r="L2967" s="9"/>
      <c r="M2967" s="9"/>
      <c r="N2967" s="9"/>
      <c r="O2967" s="9"/>
      <c r="P2967" s="9"/>
      <c r="Q2967" s="9"/>
      <c r="R2967" s="9"/>
      <c r="S2967" s="9"/>
      <c r="T2967" s="9"/>
      <c r="U2967" s="9"/>
      <c r="V2967" s="9"/>
      <c r="W2967" s="9"/>
      <c r="X2967" s="9"/>
      <c r="Y2967" s="9"/>
      <c r="Z2967" s="9"/>
      <c r="AA2967" s="9"/>
      <c r="AB2967" s="9"/>
      <c r="AC2967" s="9"/>
      <c r="AD2967" s="9"/>
      <c r="AE2967" s="9"/>
      <c r="AF2967" s="9"/>
      <c r="AG2967" s="9"/>
      <c r="AH2967" s="9"/>
      <c r="AI2967" s="9"/>
      <c r="AJ2967" s="9"/>
      <c r="AK2967" s="9"/>
      <c r="AL2967" s="9"/>
      <c r="AM2967" s="9"/>
      <c r="AN2967" s="9"/>
      <c r="AO2967" s="9"/>
      <c r="AP2967" s="9"/>
      <c r="AQ2967" s="9"/>
      <c r="AR2967" s="9"/>
      <c r="AS2967" s="9"/>
      <c r="AT2967" s="9"/>
      <c r="AU2967" s="9"/>
    </row>
    <row r="2968" spans="1:47" ht="15.75" customHeight="1">
      <c r="A2968" s="9"/>
      <c r="B2968" s="9"/>
      <c r="C2968" s="9"/>
      <c r="D2968" s="9"/>
      <c r="E2968" s="9"/>
      <c r="F2968" s="67"/>
      <c r="G2968" s="9"/>
      <c r="H2968" s="9"/>
      <c r="I2968" s="9"/>
      <c r="J2968" s="9"/>
      <c r="K2968" s="9"/>
      <c r="L2968" s="9"/>
      <c r="M2968" s="9"/>
      <c r="N2968" s="9"/>
      <c r="O2968" s="9"/>
      <c r="P2968" s="9"/>
      <c r="Q2968" s="9"/>
      <c r="R2968" s="9"/>
      <c r="S2968" s="9"/>
      <c r="T2968" s="9"/>
      <c r="U2968" s="9"/>
      <c r="V2968" s="9"/>
      <c r="W2968" s="9"/>
      <c r="X2968" s="9"/>
      <c r="Y2968" s="9"/>
      <c r="Z2968" s="9"/>
      <c r="AA2968" s="9"/>
      <c r="AB2968" s="9"/>
      <c r="AC2968" s="9"/>
      <c r="AD2968" s="9"/>
      <c r="AE2968" s="9"/>
      <c r="AF2968" s="9"/>
      <c r="AG2968" s="9"/>
      <c r="AH2968" s="9"/>
      <c r="AI2968" s="9"/>
      <c r="AJ2968" s="9"/>
      <c r="AK2968" s="9"/>
      <c r="AL2968" s="9"/>
      <c r="AM2968" s="9"/>
      <c r="AN2968" s="9"/>
      <c r="AO2968" s="9"/>
      <c r="AP2968" s="9"/>
      <c r="AQ2968" s="9"/>
      <c r="AR2968" s="9"/>
      <c r="AS2968" s="9"/>
      <c r="AT2968" s="9"/>
      <c r="AU2968" s="9"/>
    </row>
    <row r="2969" spans="1:47" ht="15.75" customHeight="1">
      <c r="A2969" s="9"/>
      <c r="B2969" s="9"/>
      <c r="C2969" s="9"/>
      <c r="D2969" s="9"/>
      <c r="E2969" s="9"/>
      <c r="F2969" s="67"/>
      <c r="G2969" s="9"/>
      <c r="H2969" s="9"/>
      <c r="I2969" s="9"/>
      <c r="J2969" s="9"/>
      <c r="K2969" s="9"/>
      <c r="L2969" s="9"/>
      <c r="M2969" s="9"/>
      <c r="N2969" s="9"/>
      <c r="O2969" s="9"/>
      <c r="P2969" s="9"/>
      <c r="Q2969" s="9"/>
      <c r="R2969" s="9"/>
      <c r="S2969" s="9"/>
      <c r="T2969" s="9"/>
      <c r="U2969" s="9"/>
      <c r="V2969" s="9"/>
      <c r="W2969" s="9"/>
      <c r="X2969" s="9"/>
      <c r="Y2969" s="9"/>
      <c r="Z2969" s="9"/>
      <c r="AA2969" s="9"/>
      <c r="AB2969" s="9"/>
      <c r="AC2969" s="9"/>
      <c r="AD2969" s="9"/>
      <c r="AE2969" s="9"/>
      <c r="AF2969" s="9"/>
      <c r="AG2969" s="9"/>
      <c r="AH2969" s="9"/>
      <c r="AI2969" s="9"/>
      <c r="AJ2969" s="9"/>
      <c r="AK2969" s="9"/>
      <c r="AL2969" s="9"/>
      <c r="AM2969" s="9"/>
      <c r="AN2969" s="9"/>
      <c r="AO2969" s="9"/>
      <c r="AP2969" s="9"/>
      <c r="AQ2969" s="9"/>
      <c r="AR2969" s="9"/>
      <c r="AS2969" s="9"/>
      <c r="AT2969" s="9"/>
      <c r="AU2969" s="9"/>
    </row>
    <row r="2970" spans="1:47" ht="15.75" customHeight="1">
      <c r="A2970" s="9"/>
      <c r="B2970" s="9"/>
      <c r="C2970" s="9"/>
      <c r="D2970" s="9"/>
      <c r="E2970" s="9"/>
      <c r="F2970" s="67"/>
      <c r="G2970" s="9"/>
      <c r="H2970" s="9"/>
      <c r="I2970" s="9"/>
      <c r="J2970" s="9"/>
      <c r="K2970" s="9"/>
      <c r="L2970" s="9"/>
      <c r="M2970" s="9"/>
      <c r="N2970" s="9"/>
      <c r="O2970" s="9"/>
      <c r="P2970" s="9"/>
      <c r="Q2970" s="9"/>
      <c r="R2970" s="9"/>
      <c r="S2970" s="9"/>
      <c r="T2970" s="9"/>
      <c r="U2970" s="9"/>
      <c r="V2970" s="9"/>
      <c r="W2970" s="9"/>
      <c r="X2970" s="9"/>
      <c r="Y2970" s="9"/>
      <c r="Z2970" s="9"/>
      <c r="AA2970" s="9"/>
      <c r="AB2970" s="9"/>
      <c r="AC2970" s="9"/>
      <c r="AD2970" s="9"/>
      <c r="AE2970" s="9"/>
      <c r="AF2970" s="9"/>
      <c r="AG2970" s="9"/>
      <c r="AH2970" s="9"/>
      <c r="AI2970" s="9"/>
      <c r="AJ2970" s="9"/>
      <c r="AK2970" s="9"/>
      <c r="AL2970" s="9"/>
      <c r="AM2970" s="9"/>
      <c r="AN2970" s="9"/>
      <c r="AO2970" s="9"/>
      <c r="AP2970" s="9"/>
      <c r="AQ2970" s="9"/>
      <c r="AR2970" s="9"/>
      <c r="AS2970" s="9"/>
      <c r="AT2970" s="9"/>
      <c r="AU2970" s="9"/>
    </row>
    <row r="2971" spans="1:47" ht="15.75" customHeight="1">
      <c r="A2971" s="9"/>
      <c r="B2971" s="9"/>
      <c r="C2971" s="9"/>
      <c r="D2971" s="9"/>
      <c r="E2971" s="9"/>
      <c r="F2971" s="67"/>
      <c r="G2971" s="9"/>
      <c r="H2971" s="9"/>
      <c r="I2971" s="9"/>
      <c r="J2971" s="9"/>
      <c r="K2971" s="9"/>
      <c r="L2971" s="9"/>
      <c r="M2971" s="9"/>
      <c r="N2971" s="9"/>
      <c r="O2971" s="9"/>
      <c r="P2971" s="9"/>
      <c r="Q2971" s="9"/>
      <c r="R2971" s="9"/>
      <c r="S2971" s="9"/>
      <c r="T2971" s="9"/>
      <c r="U2971" s="9"/>
      <c r="V2971" s="9"/>
      <c r="W2971" s="9"/>
      <c r="X2971" s="9"/>
      <c r="Y2971" s="9"/>
      <c r="Z2971" s="9"/>
      <c r="AA2971" s="9"/>
      <c r="AB2971" s="9"/>
      <c r="AC2971" s="9"/>
      <c r="AD2971" s="9"/>
      <c r="AE2971" s="9"/>
      <c r="AF2971" s="9"/>
      <c r="AG2971" s="9"/>
      <c r="AH2971" s="9"/>
      <c r="AI2971" s="9"/>
      <c r="AJ2971" s="9"/>
      <c r="AK2971" s="9"/>
      <c r="AL2971" s="9"/>
      <c r="AM2971" s="9"/>
      <c r="AN2971" s="9"/>
      <c r="AO2971" s="9"/>
      <c r="AP2971" s="9"/>
      <c r="AQ2971" s="9"/>
      <c r="AR2971" s="9"/>
      <c r="AS2971" s="9"/>
      <c r="AT2971" s="9"/>
      <c r="AU2971" s="9"/>
    </row>
    <row r="2972" spans="1:47" ht="15.75" customHeight="1">
      <c r="A2972" s="9"/>
      <c r="B2972" s="9"/>
      <c r="C2972" s="9"/>
      <c r="D2972" s="9"/>
      <c r="E2972" s="9"/>
      <c r="F2972" s="67"/>
      <c r="G2972" s="9"/>
      <c r="H2972" s="9"/>
      <c r="I2972" s="9"/>
      <c r="J2972" s="9"/>
      <c r="K2972" s="9"/>
      <c r="L2972" s="9"/>
      <c r="M2972" s="9"/>
      <c r="N2972" s="9"/>
      <c r="O2972" s="9"/>
      <c r="P2972" s="9"/>
      <c r="Q2972" s="9"/>
      <c r="R2972" s="9"/>
      <c r="S2972" s="9"/>
      <c r="T2972" s="9"/>
      <c r="U2972" s="9"/>
      <c r="V2972" s="9"/>
      <c r="W2972" s="9"/>
      <c r="X2972" s="9"/>
      <c r="Y2972" s="9"/>
      <c r="Z2972" s="9"/>
      <c r="AA2972" s="9"/>
      <c r="AB2972" s="9"/>
      <c r="AC2972" s="9"/>
      <c r="AD2972" s="9"/>
      <c r="AE2972" s="9"/>
      <c r="AF2972" s="9"/>
      <c r="AG2972" s="9"/>
      <c r="AH2972" s="9"/>
      <c r="AI2972" s="9"/>
      <c r="AJ2972" s="9"/>
      <c r="AK2972" s="9"/>
      <c r="AL2972" s="9"/>
      <c r="AM2972" s="9"/>
      <c r="AN2972" s="9"/>
      <c r="AO2972" s="9"/>
      <c r="AP2972" s="9"/>
      <c r="AQ2972" s="9"/>
      <c r="AR2972" s="9"/>
      <c r="AS2972" s="9"/>
      <c r="AT2972" s="9"/>
      <c r="AU2972" s="9"/>
    </row>
    <row r="2973" spans="1:47" ht="15.75" customHeight="1">
      <c r="A2973" s="9"/>
      <c r="B2973" s="9"/>
      <c r="C2973" s="9"/>
      <c r="D2973" s="9"/>
      <c r="E2973" s="9"/>
      <c r="F2973" s="67"/>
      <c r="G2973" s="9"/>
      <c r="H2973" s="9"/>
      <c r="I2973" s="9"/>
      <c r="J2973" s="9"/>
      <c r="K2973" s="9"/>
      <c r="L2973" s="9"/>
      <c r="M2973" s="9"/>
      <c r="N2973" s="9"/>
      <c r="O2973" s="9"/>
      <c r="P2973" s="9"/>
      <c r="Q2973" s="9"/>
      <c r="R2973" s="9"/>
      <c r="S2973" s="9"/>
      <c r="T2973" s="9"/>
      <c r="U2973" s="9"/>
      <c r="V2973" s="9"/>
      <c r="W2973" s="9"/>
      <c r="X2973" s="9"/>
      <c r="Y2973" s="9"/>
      <c r="Z2973" s="9"/>
      <c r="AA2973" s="9"/>
      <c r="AB2973" s="9"/>
      <c r="AC2973" s="9"/>
      <c r="AD2973" s="9"/>
      <c r="AE2973" s="9"/>
      <c r="AF2973" s="9"/>
      <c r="AG2973" s="9"/>
      <c r="AH2973" s="9"/>
      <c r="AI2973" s="9"/>
      <c r="AJ2973" s="9"/>
      <c r="AK2973" s="9"/>
      <c r="AL2973" s="9"/>
      <c r="AM2973" s="9"/>
      <c r="AN2973" s="9"/>
      <c r="AO2973" s="9"/>
      <c r="AP2973" s="9"/>
      <c r="AQ2973" s="9"/>
      <c r="AR2973" s="9"/>
      <c r="AS2973" s="9"/>
      <c r="AT2973" s="9"/>
      <c r="AU2973" s="9"/>
    </row>
    <row r="2974" spans="1:47" ht="15.75" customHeight="1">
      <c r="A2974" s="9"/>
      <c r="B2974" s="9"/>
      <c r="C2974" s="9"/>
      <c r="D2974" s="9"/>
      <c r="E2974" s="9"/>
      <c r="F2974" s="67"/>
      <c r="G2974" s="9"/>
      <c r="H2974" s="9"/>
      <c r="I2974" s="9"/>
      <c r="J2974" s="9"/>
      <c r="K2974" s="9"/>
      <c r="L2974" s="9"/>
      <c r="M2974" s="9"/>
      <c r="N2974" s="9"/>
      <c r="O2974" s="9"/>
      <c r="P2974" s="9"/>
      <c r="Q2974" s="9"/>
      <c r="R2974" s="9"/>
      <c r="S2974" s="9"/>
      <c r="T2974" s="9"/>
      <c r="U2974" s="9"/>
      <c r="V2974" s="9"/>
      <c r="W2974" s="9"/>
      <c r="X2974" s="9"/>
      <c r="Y2974" s="9"/>
      <c r="Z2974" s="9"/>
      <c r="AA2974" s="9"/>
      <c r="AB2974" s="9"/>
      <c r="AC2974" s="9"/>
      <c r="AD2974" s="9"/>
      <c r="AE2974" s="9"/>
      <c r="AF2974" s="9"/>
      <c r="AG2974" s="9"/>
      <c r="AH2974" s="9"/>
      <c r="AI2974" s="9"/>
      <c r="AJ2974" s="9"/>
      <c r="AK2974" s="9"/>
      <c r="AL2974" s="9"/>
      <c r="AM2974" s="9"/>
      <c r="AN2974" s="9"/>
      <c r="AO2974" s="9"/>
      <c r="AP2974" s="9"/>
      <c r="AQ2974" s="9"/>
      <c r="AR2974" s="9"/>
      <c r="AS2974" s="9"/>
      <c r="AT2974" s="9"/>
      <c r="AU2974" s="9"/>
    </row>
    <row r="2975" spans="1:47" ht="15.75" customHeight="1">
      <c r="A2975" s="9"/>
      <c r="B2975" s="9"/>
      <c r="C2975" s="9"/>
      <c r="D2975" s="9"/>
      <c r="E2975" s="9"/>
      <c r="F2975" s="67"/>
      <c r="G2975" s="9"/>
      <c r="H2975" s="9"/>
      <c r="I2975" s="9"/>
      <c r="J2975" s="9"/>
      <c r="K2975" s="9"/>
      <c r="L2975" s="9"/>
      <c r="M2975" s="9"/>
      <c r="N2975" s="9"/>
      <c r="O2975" s="9"/>
      <c r="P2975" s="9"/>
      <c r="Q2975" s="9"/>
      <c r="R2975" s="9"/>
      <c r="S2975" s="9"/>
      <c r="T2975" s="9"/>
      <c r="U2975" s="9"/>
      <c r="V2975" s="9"/>
      <c r="W2975" s="9"/>
      <c r="X2975" s="9"/>
      <c r="Y2975" s="9"/>
      <c r="Z2975" s="9"/>
      <c r="AA2975" s="9"/>
      <c r="AB2975" s="9"/>
      <c r="AC2975" s="9"/>
      <c r="AD2975" s="9"/>
      <c r="AE2975" s="9"/>
      <c r="AF2975" s="9"/>
      <c r="AG2975" s="9"/>
      <c r="AH2975" s="9"/>
      <c r="AI2975" s="9"/>
      <c r="AJ2975" s="9"/>
      <c r="AK2975" s="9"/>
      <c r="AL2975" s="9"/>
      <c r="AM2975" s="9"/>
      <c r="AN2975" s="9"/>
      <c r="AO2975" s="9"/>
      <c r="AP2975" s="9"/>
      <c r="AQ2975" s="9"/>
      <c r="AR2975" s="9"/>
      <c r="AS2975" s="9"/>
      <c r="AT2975" s="9"/>
      <c r="AU2975" s="9"/>
    </row>
    <row r="2976" spans="1:47" ht="15.75" customHeight="1">
      <c r="A2976" s="9"/>
      <c r="B2976" s="9"/>
      <c r="C2976" s="9"/>
      <c r="D2976" s="9"/>
      <c r="E2976" s="9"/>
      <c r="F2976" s="67"/>
      <c r="G2976" s="9"/>
      <c r="H2976" s="9"/>
      <c r="I2976" s="9"/>
      <c r="J2976" s="9"/>
      <c r="K2976" s="9"/>
      <c r="L2976" s="9"/>
      <c r="M2976" s="9"/>
      <c r="N2976" s="9"/>
      <c r="O2976" s="9"/>
      <c r="P2976" s="9"/>
      <c r="Q2976" s="9"/>
      <c r="R2976" s="9"/>
      <c r="S2976" s="9"/>
      <c r="T2976" s="9"/>
      <c r="U2976" s="9"/>
      <c r="V2976" s="9"/>
      <c r="W2976" s="9"/>
      <c r="X2976" s="9"/>
      <c r="Y2976" s="9"/>
      <c r="Z2976" s="9"/>
      <c r="AA2976" s="9"/>
      <c r="AB2976" s="9"/>
      <c r="AC2976" s="9"/>
      <c r="AD2976" s="9"/>
      <c r="AE2976" s="9"/>
      <c r="AF2976" s="9"/>
      <c r="AG2976" s="9"/>
      <c r="AH2976" s="9"/>
      <c r="AI2976" s="9"/>
      <c r="AJ2976" s="9"/>
      <c r="AK2976" s="9"/>
      <c r="AL2976" s="9"/>
      <c r="AM2976" s="9"/>
      <c r="AN2976" s="9"/>
      <c r="AO2976" s="9"/>
      <c r="AP2976" s="9"/>
      <c r="AQ2976" s="9"/>
      <c r="AR2976" s="9"/>
      <c r="AS2976" s="9"/>
      <c r="AT2976" s="9"/>
      <c r="AU2976" s="9"/>
    </row>
    <row r="2977" spans="1:47" ht="15.75" customHeight="1">
      <c r="A2977" s="9"/>
      <c r="B2977" s="9"/>
      <c r="C2977" s="9"/>
      <c r="D2977" s="9"/>
      <c r="E2977" s="9"/>
      <c r="F2977" s="67"/>
      <c r="G2977" s="9"/>
      <c r="H2977" s="9"/>
      <c r="I2977" s="9"/>
      <c r="J2977" s="9"/>
      <c r="K2977" s="9"/>
      <c r="L2977" s="9"/>
      <c r="M2977" s="9"/>
      <c r="N2977" s="9"/>
      <c r="O2977" s="9"/>
      <c r="P2977" s="9"/>
      <c r="Q2977" s="9"/>
      <c r="R2977" s="9"/>
      <c r="S2977" s="9"/>
      <c r="T2977" s="9"/>
      <c r="U2977" s="9"/>
      <c r="V2977" s="9"/>
      <c r="W2977" s="9"/>
      <c r="X2977" s="9"/>
      <c r="Y2977" s="9"/>
      <c r="Z2977" s="9"/>
      <c r="AA2977" s="9"/>
      <c r="AB2977" s="9"/>
      <c r="AC2977" s="9"/>
      <c r="AD2977" s="9"/>
      <c r="AE2977" s="9"/>
      <c r="AF2977" s="9"/>
      <c r="AG2977" s="9"/>
      <c r="AH2977" s="9"/>
      <c r="AI2977" s="9"/>
      <c r="AJ2977" s="9"/>
      <c r="AK2977" s="9"/>
      <c r="AL2977" s="9"/>
      <c r="AM2977" s="9"/>
      <c r="AN2977" s="9"/>
      <c r="AO2977" s="9"/>
      <c r="AP2977" s="9"/>
      <c r="AQ2977" s="9"/>
      <c r="AR2977" s="9"/>
      <c r="AS2977" s="9"/>
      <c r="AT2977" s="9"/>
      <c r="AU2977" s="9"/>
    </row>
    <row r="2978" spans="1:47" ht="15.75" customHeight="1">
      <c r="A2978" s="9"/>
      <c r="B2978" s="9"/>
      <c r="C2978" s="9"/>
      <c r="D2978" s="9"/>
      <c r="E2978" s="9"/>
      <c r="F2978" s="67"/>
      <c r="G2978" s="9"/>
      <c r="H2978" s="9"/>
      <c r="I2978" s="9"/>
      <c r="J2978" s="9"/>
      <c r="K2978" s="9"/>
      <c r="L2978" s="9"/>
      <c r="M2978" s="9"/>
      <c r="N2978" s="9"/>
      <c r="O2978" s="9"/>
      <c r="P2978" s="9"/>
      <c r="Q2978" s="9"/>
      <c r="R2978" s="9"/>
      <c r="S2978" s="9"/>
      <c r="T2978" s="9"/>
      <c r="U2978" s="9"/>
      <c r="V2978" s="9"/>
      <c r="W2978" s="9"/>
      <c r="X2978" s="9"/>
      <c r="Y2978" s="9"/>
      <c r="Z2978" s="9"/>
      <c r="AA2978" s="9"/>
      <c r="AB2978" s="9"/>
      <c r="AC2978" s="9"/>
      <c r="AD2978" s="9"/>
      <c r="AE2978" s="9"/>
      <c r="AF2978" s="9"/>
      <c r="AG2978" s="9"/>
      <c r="AH2978" s="9"/>
      <c r="AI2978" s="9"/>
      <c r="AJ2978" s="9"/>
      <c r="AK2978" s="9"/>
      <c r="AL2978" s="9"/>
      <c r="AM2978" s="9"/>
      <c r="AN2978" s="9"/>
      <c r="AO2978" s="9"/>
      <c r="AP2978" s="9"/>
      <c r="AQ2978" s="9"/>
      <c r="AR2978" s="9"/>
      <c r="AS2978" s="9"/>
      <c r="AT2978" s="9"/>
      <c r="AU2978" s="9"/>
    </row>
    <row r="2979" spans="1:47" ht="15.75" customHeight="1">
      <c r="A2979" s="9"/>
      <c r="B2979" s="9"/>
      <c r="C2979" s="9"/>
      <c r="D2979" s="9"/>
      <c r="E2979" s="9"/>
      <c r="F2979" s="67"/>
      <c r="G2979" s="9"/>
      <c r="H2979" s="9"/>
      <c r="I2979" s="9"/>
      <c r="J2979" s="9"/>
      <c r="K2979" s="9"/>
      <c r="L2979" s="9"/>
      <c r="M2979" s="9"/>
      <c r="N2979" s="9"/>
      <c r="O2979" s="9"/>
      <c r="P2979" s="9"/>
      <c r="Q2979" s="9"/>
      <c r="R2979" s="9"/>
      <c r="S2979" s="9"/>
      <c r="T2979" s="9"/>
      <c r="U2979" s="9"/>
      <c r="V2979" s="9"/>
      <c r="W2979" s="9"/>
      <c r="X2979" s="9"/>
      <c r="Y2979" s="9"/>
      <c r="Z2979" s="9"/>
      <c r="AA2979" s="9"/>
      <c r="AB2979" s="9"/>
      <c r="AC2979" s="9"/>
      <c r="AD2979" s="9"/>
      <c r="AE2979" s="9"/>
      <c r="AF2979" s="9"/>
      <c r="AG2979" s="9"/>
      <c r="AH2979" s="9"/>
      <c r="AI2979" s="9"/>
      <c r="AJ2979" s="9"/>
      <c r="AK2979" s="9"/>
      <c r="AL2979" s="9"/>
      <c r="AM2979" s="9"/>
      <c r="AN2979" s="9"/>
      <c r="AO2979" s="9"/>
      <c r="AP2979" s="9"/>
      <c r="AQ2979" s="9"/>
      <c r="AR2979" s="9"/>
      <c r="AS2979" s="9"/>
      <c r="AT2979" s="9"/>
      <c r="AU2979" s="9"/>
    </row>
    <row r="2980" spans="1:47" ht="15.75" customHeight="1">
      <c r="A2980" s="9"/>
      <c r="B2980" s="9"/>
      <c r="C2980" s="9"/>
      <c r="D2980" s="9"/>
      <c r="E2980" s="9"/>
      <c r="F2980" s="67"/>
      <c r="G2980" s="9"/>
      <c r="H2980" s="9"/>
      <c r="I2980" s="9"/>
      <c r="J2980" s="9"/>
      <c r="K2980" s="9"/>
      <c r="L2980" s="9"/>
      <c r="M2980" s="9"/>
      <c r="N2980" s="9"/>
      <c r="O2980" s="9"/>
      <c r="P2980" s="9"/>
      <c r="Q2980" s="9"/>
      <c r="R2980" s="9"/>
      <c r="S2980" s="9"/>
      <c r="T2980" s="9"/>
      <c r="U2980" s="9"/>
      <c r="V2980" s="9"/>
      <c r="W2980" s="9"/>
      <c r="X2980" s="9"/>
      <c r="Y2980" s="9"/>
      <c r="Z2980" s="9"/>
      <c r="AA2980" s="9"/>
      <c r="AB2980" s="9"/>
      <c r="AC2980" s="9"/>
      <c r="AD2980" s="9"/>
      <c r="AE2980" s="9"/>
      <c r="AF2980" s="9"/>
      <c r="AG2980" s="9"/>
      <c r="AH2980" s="9"/>
      <c r="AI2980" s="9"/>
      <c r="AJ2980" s="9"/>
      <c r="AK2980" s="9"/>
      <c r="AL2980" s="9"/>
      <c r="AM2980" s="9"/>
      <c r="AN2980" s="9"/>
      <c r="AO2980" s="9"/>
      <c r="AP2980" s="9"/>
      <c r="AQ2980" s="9"/>
      <c r="AR2980" s="9"/>
      <c r="AS2980" s="9"/>
      <c r="AT2980" s="9"/>
      <c r="AU2980" s="9"/>
    </row>
    <row r="2981" spans="1:47" ht="15.75" customHeight="1">
      <c r="A2981" s="9"/>
      <c r="B2981" s="9"/>
      <c r="C2981" s="9"/>
      <c r="D2981" s="9"/>
      <c r="E2981" s="9"/>
      <c r="F2981" s="67"/>
      <c r="G2981" s="9"/>
      <c r="H2981" s="9"/>
      <c r="I2981" s="9"/>
      <c r="J2981" s="9"/>
      <c r="K2981" s="9"/>
      <c r="L2981" s="9"/>
      <c r="M2981" s="9"/>
      <c r="N2981" s="9"/>
      <c r="O2981" s="9"/>
      <c r="P2981" s="9"/>
      <c r="Q2981" s="9"/>
      <c r="R2981" s="9"/>
      <c r="S2981" s="9"/>
      <c r="T2981" s="9"/>
      <c r="U2981" s="9"/>
      <c r="V2981" s="9"/>
      <c r="W2981" s="9"/>
      <c r="X2981" s="9"/>
      <c r="Y2981" s="9"/>
      <c r="Z2981" s="9"/>
      <c r="AA2981" s="9"/>
      <c r="AB2981" s="9"/>
      <c r="AC2981" s="9"/>
      <c r="AD2981" s="9"/>
      <c r="AE2981" s="9"/>
      <c r="AF2981" s="9"/>
      <c r="AG2981" s="9"/>
      <c r="AH2981" s="9"/>
      <c r="AI2981" s="9"/>
      <c r="AJ2981" s="9"/>
      <c r="AK2981" s="9"/>
      <c r="AL2981" s="9"/>
      <c r="AM2981" s="9"/>
      <c r="AN2981" s="9"/>
      <c r="AO2981" s="9"/>
      <c r="AP2981" s="9"/>
      <c r="AQ2981" s="9"/>
      <c r="AR2981" s="9"/>
      <c r="AS2981" s="9"/>
      <c r="AT2981" s="9"/>
      <c r="AU2981" s="9"/>
    </row>
    <row r="2982" spans="1:47" ht="15.75" customHeight="1">
      <c r="A2982" s="9"/>
      <c r="B2982" s="9"/>
      <c r="C2982" s="9"/>
      <c r="D2982" s="9"/>
      <c r="E2982" s="9"/>
      <c r="F2982" s="67"/>
      <c r="G2982" s="9"/>
      <c r="H2982" s="9"/>
      <c r="I2982" s="9"/>
      <c r="J2982" s="9"/>
      <c r="K2982" s="9"/>
      <c r="L2982" s="9"/>
      <c r="M2982" s="9"/>
      <c r="N2982" s="9"/>
      <c r="O2982" s="9"/>
      <c r="P2982" s="9"/>
      <c r="Q2982" s="9"/>
      <c r="R2982" s="9"/>
      <c r="S2982" s="9"/>
      <c r="T2982" s="9"/>
      <c r="U2982" s="9"/>
      <c r="V2982" s="9"/>
      <c r="W2982" s="9"/>
      <c r="X2982" s="9"/>
      <c r="Y2982" s="9"/>
      <c r="Z2982" s="9"/>
      <c r="AA2982" s="9"/>
      <c r="AB2982" s="9"/>
      <c r="AC2982" s="9"/>
      <c r="AD2982" s="9"/>
      <c r="AE2982" s="9"/>
      <c r="AF2982" s="9"/>
      <c r="AG2982" s="9"/>
      <c r="AH2982" s="9"/>
      <c r="AI2982" s="9"/>
      <c r="AJ2982" s="9"/>
      <c r="AK2982" s="9"/>
      <c r="AL2982" s="9"/>
      <c r="AM2982" s="9"/>
      <c r="AN2982" s="9"/>
      <c r="AO2982" s="9"/>
      <c r="AP2982" s="9"/>
      <c r="AQ2982" s="9"/>
      <c r="AR2982" s="9"/>
      <c r="AS2982" s="9"/>
      <c r="AT2982" s="9"/>
      <c r="AU2982" s="9"/>
    </row>
    <row r="2983" spans="1:47" ht="15.75" customHeight="1">
      <c r="A2983" s="9"/>
      <c r="B2983" s="9"/>
      <c r="C2983" s="9"/>
      <c r="D2983" s="9"/>
      <c r="E2983" s="9"/>
      <c r="F2983" s="67"/>
      <c r="G2983" s="9"/>
      <c r="H2983" s="9"/>
      <c r="I2983" s="9"/>
      <c r="J2983" s="9"/>
      <c r="K2983" s="9"/>
      <c r="L2983" s="9"/>
      <c r="M2983" s="9"/>
      <c r="N2983" s="9"/>
      <c r="O2983" s="9"/>
      <c r="P2983" s="9"/>
      <c r="Q2983" s="9"/>
      <c r="R2983" s="9"/>
      <c r="S2983" s="9"/>
      <c r="T2983" s="9"/>
      <c r="U2983" s="9"/>
      <c r="V2983" s="9"/>
      <c r="W2983" s="9"/>
      <c r="X2983" s="9"/>
      <c r="Y2983" s="9"/>
      <c r="Z2983" s="9"/>
      <c r="AA2983" s="9"/>
      <c r="AB2983" s="9"/>
      <c r="AC2983" s="9"/>
      <c r="AD2983" s="9"/>
      <c r="AE2983" s="9"/>
      <c r="AF2983" s="9"/>
      <c r="AG2983" s="9"/>
      <c r="AH2983" s="9"/>
      <c r="AI2983" s="9"/>
      <c r="AJ2983" s="9"/>
      <c r="AK2983" s="9"/>
      <c r="AL2983" s="9"/>
      <c r="AM2983" s="9"/>
      <c r="AN2983" s="9"/>
      <c r="AO2983" s="9"/>
      <c r="AP2983" s="9"/>
      <c r="AQ2983" s="9"/>
      <c r="AR2983" s="9"/>
      <c r="AS2983" s="9"/>
      <c r="AT2983" s="9"/>
      <c r="AU2983" s="9"/>
    </row>
    <row r="2984" spans="1:47" ht="15.75" customHeight="1">
      <c r="A2984" s="9"/>
      <c r="B2984" s="9"/>
      <c r="C2984" s="9"/>
      <c r="D2984" s="9"/>
      <c r="E2984" s="9"/>
      <c r="F2984" s="67"/>
      <c r="G2984" s="9"/>
      <c r="H2984" s="9"/>
      <c r="I2984" s="9"/>
      <c r="J2984" s="9"/>
      <c r="K2984" s="9"/>
      <c r="L2984" s="9"/>
      <c r="M2984" s="9"/>
      <c r="N2984" s="9"/>
      <c r="O2984" s="9"/>
      <c r="P2984" s="9"/>
      <c r="Q2984" s="9"/>
      <c r="R2984" s="9"/>
      <c r="S2984" s="9"/>
      <c r="T2984" s="9"/>
      <c r="U2984" s="9"/>
      <c r="V2984" s="9"/>
      <c r="W2984" s="9"/>
      <c r="X2984" s="9"/>
      <c r="Y2984" s="9"/>
      <c r="Z2984" s="9"/>
      <c r="AA2984" s="9"/>
      <c r="AB2984" s="9"/>
      <c r="AC2984" s="9"/>
      <c r="AD2984" s="9"/>
      <c r="AE2984" s="9"/>
      <c r="AF2984" s="9"/>
      <c r="AG2984" s="9"/>
      <c r="AH2984" s="9"/>
      <c r="AI2984" s="9"/>
      <c r="AJ2984" s="9"/>
      <c r="AK2984" s="9"/>
      <c r="AL2984" s="9"/>
      <c r="AM2984" s="9"/>
      <c r="AN2984" s="9"/>
      <c r="AO2984" s="9"/>
      <c r="AP2984" s="9"/>
      <c r="AQ2984" s="9"/>
      <c r="AR2984" s="9"/>
      <c r="AS2984" s="9"/>
      <c r="AT2984" s="9"/>
      <c r="AU2984" s="9"/>
    </row>
    <row r="2985" spans="1:47" ht="15.75" customHeight="1">
      <c r="A2985" s="9"/>
      <c r="B2985" s="9"/>
      <c r="C2985" s="9"/>
      <c r="D2985" s="9"/>
      <c r="E2985" s="9"/>
      <c r="F2985" s="67"/>
      <c r="G2985" s="9"/>
      <c r="H2985" s="9"/>
      <c r="I2985" s="9"/>
      <c r="J2985" s="9"/>
      <c r="K2985" s="9"/>
      <c r="L2985" s="9"/>
      <c r="M2985" s="9"/>
      <c r="N2985" s="9"/>
      <c r="O2985" s="9"/>
      <c r="P2985" s="9"/>
      <c r="Q2985" s="9"/>
      <c r="R2985" s="9"/>
      <c r="S2985" s="9"/>
      <c r="T2985" s="9"/>
      <c r="U2985" s="9"/>
      <c r="V2985" s="9"/>
      <c r="W2985" s="9"/>
      <c r="X2985" s="9"/>
      <c r="Y2985" s="9"/>
      <c r="Z2985" s="9"/>
      <c r="AA2985" s="9"/>
      <c r="AB2985" s="9"/>
      <c r="AC2985" s="9"/>
      <c r="AD2985" s="9"/>
      <c r="AE2985" s="9"/>
      <c r="AF2985" s="9"/>
      <c r="AG2985" s="9"/>
      <c r="AH2985" s="9"/>
      <c r="AI2985" s="9"/>
      <c r="AJ2985" s="9"/>
      <c r="AK2985" s="9"/>
      <c r="AL2985" s="9"/>
      <c r="AM2985" s="9"/>
      <c r="AN2985" s="9"/>
      <c r="AO2985" s="9"/>
      <c r="AP2985" s="9"/>
      <c r="AQ2985" s="9"/>
      <c r="AR2985" s="9"/>
      <c r="AS2985" s="9"/>
      <c r="AT2985" s="9"/>
      <c r="AU2985" s="9"/>
    </row>
    <row r="2986" spans="1:47" ht="15.75" customHeight="1">
      <c r="A2986" s="9"/>
      <c r="B2986" s="9"/>
      <c r="C2986" s="9"/>
      <c r="D2986" s="9"/>
      <c r="E2986" s="9"/>
      <c r="F2986" s="67"/>
      <c r="G2986" s="9"/>
      <c r="H2986" s="9"/>
      <c r="I2986" s="9"/>
      <c r="J2986" s="9"/>
      <c r="K2986" s="9"/>
      <c r="L2986" s="9"/>
      <c r="M2986" s="9"/>
      <c r="N2986" s="9"/>
      <c r="O2986" s="9"/>
      <c r="P2986" s="9"/>
      <c r="Q2986" s="9"/>
      <c r="R2986" s="9"/>
      <c r="S2986" s="9"/>
      <c r="T2986" s="9"/>
      <c r="U2986" s="9"/>
      <c r="V2986" s="9"/>
      <c r="W2986" s="9"/>
      <c r="X2986" s="9"/>
      <c r="Y2986" s="9"/>
      <c r="Z2986" s="9"/>
      <c r="AA2986" s="9"/>
      <c r="AB2986" s="9"/>
      <c r="AC2986" s="9"/>
      <c r="AD2986" s="9"/>
      <c r="AE2986" s="9"/>
      <c r="AF2986" s="9"/>
      <c r="AG2986" s="9"/>
      <c r="AH2986" s="9"/>
      <c r="AI2986" s="9"/>
      <c r="AJ2986" s="9"/>
      <c r="AK2986" s="9"/>
      <c r="AL2986" s="9"/>
      <c r="AM2986" s="9"/>
      <c r="AN2986" s="9"/>
      <c r="AO2986" s="9"/>
      <c r="AP2986" s="9"/>
      <c r="AQ2986" s="9"/>
      <c r="AR2986" s="9"/>
      <c r="AS2986" s="9"/>
      <c r="AT2986" s="9"/>
      <c r="AU2986" s="9"/>
    </row>
    <row r="2987" spans="1:47" ht="15.75" customHeight="1">
      <c r="A2987" s="9"/>
      <c r="B2987" s="9"/>
      <c r="C2987" s="9"/>
      <c r="D2987" s="9"/>
      <c r="E2987" s="9"/>
      <c r="F2987" s="67"/>
      <c r="G2987" s="9"/>
      <c r="H2987" s="9"/>
      <c r="I2987" s="9"/>
      <c r="J2987" s="9"/>
      <c r="K2987" s="9"/>
      <c r="L2987" s="9"/>
      <c r="M2987" s="9"/>
      <c r="N2987" s="9"/>
      <c r="O2987" s="9"/>
      <c r="P2987" s="9"/>
      <c r="Q2987" s="9"/>
      <c r="R2987" s="9"/>
      <c r="S2987" s="9"/>
      <c r="T2987" s="9"/>
      <c r="U2987" s="9"/>
      <c r="V2987" s="9"/>
      <c r="W2987" s="9"/>
      <c r="X2987" s="9"/>
      <c r="Y2987" s="9"/>
      <c r="Z2987" s="9"/>
      <c r="AA2987" s="9"/>
      <c r="AB2987" s="9"/>
      <c r="AC2987" s="9"/>
      <c r="AD2987" s="9"/>
      <c r="AE2987" s="9"/>
      <c r="AF2987" s="9"/>
      <c r="AG2987" s="9"/>
      <c r="AH2987" s="9"/>
      <c r="AI2987" s="9"/>
      <c r="AJ2987" s="9"/>
      <c r="AK2987" s="9"/>
      <c r="AL2987" s="9"/>
      <c r="AM2987" s="9"/>
      <c r="AN2987" s="9"/>
      <c r="AO2987" s="9"/>
      <c r="AP2987" s="9"/>
      <c r="AQ2987" s="9"/>
      <c r="AR2987" s="9"/>
      <c r="AS2987" s="9"/>
      <c r="AT2987" s="9"/>
      <c r="AU2987" s="9"/>
    </row>
    <row r="2988" spans="1:47" ht="15.75" customHeight="1">
      <c r="A2988" s="9"/>
      <c r="B2988" s="9"/>
      <c r="C2988" s="9"/>
      <c r="D2988" s="9"/>
      <c r="E2988" s="9"/>
      <c r="F2988" s="67"/>
      <c r="G2988" s="9"/>
      <c r="H2988" s="9"/>
      <c r="I2988" s="9"/>
      <c r="J2988" s="9"/>
      <c r="K2988" s="9"/>
      <c r="L2988" s="9"/>
      <c r="M2988" s="9"/>
      <c r="N2988" s="9"/>
      <c r="O2988" s="9"/>
      <c r="P2988" s="9"/>
      <c r="Q2988" s="9"/>
      <c r="R2988" s="9"/>
      <c r="S2988" s="9"/>
      <c r="T2988" s="9"/>
      <c r="U2988" s="9"/>
      <c r="V2988" s="9"/>
      <c r="W2988" s="9"/>
      <c r="X2988" s="9"/>
      <c r="Y2988" s="9"/>
      <c r="Z2988" s="9"/>
      <c r="AA2988" s="9"/>
      <c r="AB2988" s="9"/>
      <c r="AC2988" s="9"/>
      <c r="AD2988" s="9"/>
      <c r="AE2988" s="9"/>
      <c r="AF2988" s="9"/>
      <c r="AG2988" s="9"/>
      <c r="AH2988" s="9"/>
      <c r="AI2988" s="9"/>
      <c r="AJ2988" s="9"/>
      <c r="AK2988" s="9"/>
      <c r="AL2988" s="9"/>
      <c r="AM2988" s="9"/>
      <c r="AN2988" s="9"/>
      <c r="AO2988" s="9"/>
      <c r="AP2988" s="9"/>
      <c r="AQ2988" s="9"/>
      <c r="AR2988" s="9"/>
      <c r="AS2988" s="9"/>
      <c r="AT2988" s="9"/>
      <c r="AU2988" s="9"/>
    </row>
    <row r="2989" spans="1:47" ht="15.75" customHeight="1">
      <c r="A2989" s="9"/>
      <c r="B2989" s="9"/>
      <c r="C2989" s="9"/>
      <c r="D2989" s="9"/>
      <c r="E2989" s="9"/>
      <c r="F2989" s="67"/>
      <c r="G2989" s="9"/>
      <c r="H2989" s="9"/>
      <c r="I2989" s="9"/>
      <c r="J2989" s="9"/>
      <c r="K2989" s="9"/>
      <c r="L2989" s="9"/>
      <c r="M2989" s="9"/>
      <c r="N2989" s="9"/>
      <c r="O2989" s="9"/>
      <c r="P2989" s="9"/>
      <c r="Q2989" s="9"/>
      <c r="R2989" s="9"/>
      <c r="S2989" s="9"/>
      <c r="T2989" s="9"/>
      <c r="U2989" s="9"/>
      <c r="V2989" s="9"/>
      <c r="W2989" s="9"/>
      <c r="X2989" s="9"/>
      <c r="Y2989" s="9"/>
      <c r="Z2989" s="9"/>
      <c r="AA2989" s="9"/>
      <c r="AB2989" s="9"/>
      <c r="AC2989" s="9"/>
      <c r="AD2989" s="9"/>
      <c r="AE2989" s="9"/>
      <c r="AF2989" s="9"/>
      <c r="AG2989" s="9"/>
      <c r="AH2989" s="9"/>
      <c r="AI2989" s="9"/>
      <c r="AJ2989" s="9"/>
      <c r="AK2989" s="9"/>
      <c r="AL2989" s="9"/>
      <c r="AM2989" s="9"/>
      <c r="AN2989" s="9"/>
      <c r="AO2989" s="9"/>
      <c r="AP2989" s="9"/>
      <c r="AQ2989" s="9"/>
      <c r="AR2989" s="9"/>
      <c r="AS2989" s="9"/>
      <c r="AT2989" s="9"/>
      <c r="AU2989" s="9"/>
    </row>
    <row r="2990" spans="1:47" ht="15.75" customHeight="1">
      <c r="A2990" s="9"/>
      <c r="B2990" s="9"/>
      <c r="C2990" s="9"/>
      <c r="D2990" s="9"/>
      <c r="E2990" s="9"/>
      <c r="F2990" s="67"/>
      <c r="G2990" s="9"/>
      <c r="H2990" s="9"/>
      <c r="I2990" s="9"/>
      <c r="J2990" s="9"/>
      <c r="K2990" s="9"/>
      <c r="L2990" s="9"/>
      <c r="M2990" s="9"/>
      <c r="N2990" s="9"/>
      <c r="O2990" s="9"/>
      <c r="P2990" s="9"/>
      <c r="Q2990" s="9"/>
      <c r="R2990" s="9"/>
      <c r="S2990" s="9"/>
      <c r="T2990" s="9"/>
      <c r="U2990" s="9"/>
      <c r="V2990" s="9"/>
      <c r="W2990" s="9"/>
      <c r="X2990" s="9"/>
      <c r="Y2990" s="9"/>
      <c r="Z2990" s="9"/>
      <c r="AA2990" s="9"/>
      <c r="AB2990" s="9"/>
      <c r="AC2990" s="9"/>
      <c r="AD2990" s="9"/>
      <c r="AE2990" s="9"/>
      <c r="AF2990" s="9"/>
      <c r="AG2990" s="9"/>
      <c r="AH2990" s="9"/>
      <c r="AI2990" s="9"/>
      <c r="AJ2990" s="9"/>
      <c r="AK2990" s="9"/>
      <c r="AL2990" s="9"/>
      <c r="AM2990" s="9"/>
      <c r="AN2990" s="9"/>
      <c r="AO2990" s="9"/>
      <c r="AP2990" s="9"/>
      <c r="AQ2990" s="9"/>
      <c r="AR2990" s="9"/>
      <c r="AS2990" s="9"/>
      <c r="AT2990" s="9"/>
      <c r="AU2990" s="9"/>
    </row>
    <row r="2991" spans="1:47" ht="15.75" customHeight="1">
      <c r="A2991" s="9"/>
      <c r="B2991" s="9"/>
      <c r="C2991" s="9"/>
      <c r="D2991" s="9"/>
      <c r="E2991" s="9"/>
      <c r="F2991" s="67"/>
      <c r="G2991" s="9"/>
      <c r="H2991" s="9"/>
      <c r="I2991" s="9"/>
      <c r="J2991" s="9"/>
      <c r="K2991" s="9"/>
      <c r="L2991" s="9"/>
      <c r="M2991" s="9"/>
      <c r="N2991" s="9"/>
      <c r="O2991" s="9"/>
      <c r="P2991" s="9"/>
      <c r="Q2991" s="9"/>
      <c r="R2991" s="9"/>
      <c r="S2991" s="9"/>
      <c r="T2991" s="9"/>
      <c r="U2991" s="9"/>
      <c r="V2991" s="9"/>
      <c r="W2991" s="9"/>
      <c r="X2991" s="9"/>
      <c r="Y2991" s="9"/>
      <c r="Z2991" s="9"/>
      <c r="AA2991" s="9"/>
      <c r="AB2991" s="9"/>
      <c r="AC2991" s="9"/>
      <c r="AD2991" s="9"/>
      <c r="AE2991" s="9"/>
      <c r="AF2991" s="9"/>
      <c r="AG2991" s="9"/>
      <c r="AH2991" s="9"/>
      <c r="AI2991" s="9"/>
      <c r="AJ2991" s="9"/>
      <c r="AK2991" s="9"/>
      <c r="AL2991" s="9"/>
      <c r="AM2991" s="9"/>
      <c r="AN2991" s="9"/>
      <c r="AO2991" s="9"/>
      <c r="AP2991" s="9"/>
      <c r="AQ2991" s="9"/>
      <c r="AR2991" s="9"/>
      <c r="AS2991" s="9"/>
      <c r="AT2991" s="9"/>
      <c r="AU2991" s="9"/>
    </row>
    <row r="2992" spans="1:47" ht="15.75" customHeight="1">
      <c r="A2992" s="9"/>
      <c r="B2992" s="9"/>
      <c r="C2992" s="9"/>
      <c r="D2992" s="9"/>
      <c r="E2992" s="9"/>
      <c r="F2992" s="67"/>
      <c r="G2992" s="9"/>
      <c r="H2992" s="9"/>
      <c r="I2992" s="9"/>
      <c r="J2992" s="9"/>
      <c r="K2992" s="9"/>
      <c r="L2992" s="9"/>
      <c r="M2992" s="9"/>
      <c r="N2992" s="9"/>
      <c r="O2992" s="9"/>
      <c r="P2992" s="9"/>
      <c r="Q2992" s="9"/>
      <c r="R2992" s="9"/>
      <c r="S2992" s="9"/>
      <c r="T2992" s="9"/>
      <c r="U2992" s="9"/>
      <c r="V2992" s="9"/>
      <c r="W2992" s="9"/>
      <c r="X2992" s="9"/>
      <c r="Y2992" s="9"/>
      <c r="Z2992" s="9"/>
      <c r="AA2992" s="9"/>
      <c r="AB2992" s="9"/>
      <c r="AC2992" s="9"/>
      <c r="AD2992" s="9"/>
      <c r="AE2992" s="9"/>
      <c r="AF2992" s="9"/>
      <c r="AG2992" s="9"/>
      <c r="AH2992" s="9"/>
      <c r="AI2992" s="9"/>
      <c r="AJ2992" s="9"/>
      <c r="AK2992" s="9"/>
      <c r="AL2992" s="9"/>
      <c r="AM2992" s="9"/>
      <c r="AN2992" s="9"/>
      <c r="AO2992" s="9"/>
      <c r="AP2992" s="9"/>
      <c r="AQ2992" s="9"/>
      <c r="AR2992" s="9"/>
      <c r="AS2992" s="9"/>
      <c r="AT2992" s="9"/>
      <c r="AU2992" s="9"/>
    </row>
    <row r="2993" spans="1:47" ht="15.75" customHeight="1">
      <c r="A2993" s="9"/>
      <c r="B2993" s="9"/>
      <c r="C2993" s="9"/>
      <c r="D2993" s="9"/>
      <c r="E2993" s="9"/>
      <c r="F2993" s="67"/>
      <c r="G2993" s="9"/>
      <c r="H2993" s="9"/>
      <c r="I2993" s="9"/>
      <c r="J2993" s="9"/>
      <c r="K2993" s="9"/>
      <c r="L2993" s="9"/>
      <c r="M2993" s="9"/>
      <c r="N2993" s="9"/>
      <c r="O2993" s="9"/>
      <c r="P2993" s="9"/>
      <c r="Q2993" s="9"/>
      <c r="R2993" s="9"/>
      <c r="S2993" s="9"/>
      <c r="T2993" s="9"/>
      <c r="U2993" s="9"/>
      <c r="V2993" s="9"/>
      <c r="W2993" s="9"/>
      <c r="X2993" s="9"/>
      <c r="Y2993" s="9"/>
      <c r="Z2993" s="9"/>
      <c r="AA2993" s="9"/>
      <c r="AB2993" s="9"/>
      <c r="AC2993" s="9"/>
      <c r="AD2993" s="9"/>
      <c r="AE2993" s="9"/>
      <c r="AF2993" s="9"/>
      <c r="AG2993" s="9"/>
      <c r="AH2993" s="9"/>
      <c r="AI2993" s="9"/>
      <c r="AJ2993" s="9"/>
      <c r="AK2993" s="9"/>
      <c r="AL2993" s="9"/>
      <c r="AM2993" s="9"/>
      <c r="AN2993" s="9"/>
      <c r="AO2993" s="9"/>
      <c r="AP2993" s="9"/>
      <c r="AQ2993" s="9"/>
      <c r="AR2993" s="9"/>
      <c r="AS2993" s="9"/>
      <c r="AT2993" s="9"/>
      <c r="AU2993" s="9"/>
    </row>
    <row r="2994" spans="1:47" ht="15.75" customHeight="1">
      <c r="A2994" s="9"/>
      <c r="B2994" s="9"/>
      <c r="C2994" s="9"/>
      <c r="D2994" s="9"/>
      <c r="E2994" s="9"/>
      <c r="F2994" s="67"/>
      <c r="G2994" s="9"/>
      <c r="H2994" s="9"/>
      <c r="I2994" s="9"/>
      <c r="J2994" s="9"/>
      <c r="K2994" s="9"/>
      <c r="L2994" s="9"/>
      <c r="M2994" s="9"/>
      <c r="N2994" s="9"/>
      <c r="O2994" s="9"/>
      <c r="P2994" s="9"/>
      <c r="Q2994" s="9"/>
      <c r="R2994" s="9"/>
      <c r="S2994" s="9"/>
      <c r="T2994" s="9"/>
      <c r="U2994" s="9"/>
      <c r="V2994" s="9"/>
      <c r="W2994" s="9"/>
      <c r="X2994" s="9"/>
      <c r="Y2994" s="9"/>
      <c r="Z2994" s="9"/>
      <c r="AA2994" s="9"/>
      <c r="AB2994" s="9"/>
      <c r="AC2994" s="9"/>
      <c r="AD2994" s="9"/>
      <c r="AE2994" s="9"/>
      <c r="AF2994" s="9"/>
      <c r="AG2994" s="9"/>
      <c r="AH2994" s="9"/>
      <c r="AI2994" s="9"/>
      <c r="AJ2994" s="9"/>
      <c r="AK2994" s="9"/>
      <c r="AL2994" s="9"/>
      <c r="AM2994" s="9"/>
      <c r="AN2994" s="9"/>
      <c r="AO2994" s="9"/>
      <c r="AP2994" s="9"/>
      <c r="AQ2994" s="9"/>
      <c r="AR2994" s="9"/>
      <c r="AS2994" s="9"/>
      <c r="AT2994" s="9"/>
      <c r="AU2994" s="9"/>
    </row>
    <row r="2995" spans="1:47" ht="15.75" customHeight="1">
      <c r="A2995" s="9"/>
      <c r="B2995" s="9"/>
      <c r="C2995" s="9"/>
      <c r="D2995" s="9"/>
      <c r="E2995" s="9"/>
      <c r="F2995" s="67"/>
      <c r="G2995" s="9"/>
      <c r="H2995" s="9"/>
      <c r="I2995" s="9"/>
      <c r="J2995" s="9"/>
      <c r="K2995" s="9"/>
      <c r="L2995" s="9"/>
      <c r="M2995" s="9"/>
      <c r="N2995" s="9"/>
      <c r="O2995" s="9"/>
      <c r="P2995" s="9"/>
      <c r="Q2995" s="9"/>
      <c r="R2995" s="9"/>
      <c r="S2995" s="9"/>
      <c r="T2995" s="9"/>
      <c r="U2995" s="9"/>
      <c r="V2995" s="9"/>
      <c r="W2995" s="9"/>
      <c r="X2995" s="9"/>
      <c r="Y2995" s="9"/>
      <c r="Z2995" s="9"/>
      <c r="AA2995" s="9"/>
      <c r="AB2995" s="9"/>
      <c r="AC2995" s="9"/>
      <c r="AD2995" s="9"/>
      <c r="AE2995" s="9"/>
      <c r="AF2995" s="9"/>
      <c r="AG2995" s="9"/>
      <c r="AH2995" s="9"/>
      <c r="AI2995" s="9"/>
      <c r="AJ2995" s="9"/>
      <c r="AK2995" s="9"/>
      <c r="AL2995" s="9"/>
      <c r="AM2995" s="9"/>
      <c r="AN2995" s="9"/>
      <c r="AO2995" s="9"/>
      <c r="AP2995" s="9"/>
      <c r="AQ2995" s="9"/>
      <c r="AR2995" s="9"/>
      <c r="AS2995" s="9"/>
      <c r="AT2995" s="9"/>
      <c r="AU2995" s="9"/>
    </row>
    <row r="2996" spans="1:47" ht="15.75" customHeight="1">
      <c r="A2996" s="9"/>
      <c r="B2996" s="9"/>
      <c r="C2996" s="9"/>
      <c r="D2996" s="9"/>
      <c r="E2996" s="9"/>
      <c r="F2996" s="67"/>
      <c r="G2996" s="9"/>
      <c r="H2996" s="9"/>
      <c r="I2996" s="9"/>
      <c r="J2996" s="9"/>
      <c r="K2996" s="9"/>
      <c r="L2996" s="9"/>
      <c r="M2996" s="9"/>
      <c r="N2996" s="9"/>
      <c r="O2996" s="9"/>
      <c r="P2996" s="9"/>
      <c r="Q2996" s="9"/>
      <c r="R2996" s="9"/>
      <c r="S2996" s="9"/>
      <c r="T2996" s="9"/>
      <c r="U2996" s="9"/>
      <c r="V2996" s="9"/>
      <c r="W2996" s="9"/>
      <c r="X2996" s="9"/>
      <c r="Y2996" s="9"/>
      <c r="Z2996" s="9"/>
      <c r="AA2996" s="9"/>
      <c r="AB2996" s="9"/>
      <c r="AC2996" s="9"/>
      <c r="AD2996" s="9"/>
      <c r="AE2996" s="9"/>
      <c r="AF2996" s="9"/>
      <c r="AG2996" s="9"/>
      <c r="AH2996" s="9"/>
      <c r="AI2996" s="9"/>
      <c r="AJ2996" s="9"/>
      <c r="AK2996" s="9"/>
      <c r="AL2996" s="9"/>
      <c r="AM2996" s="9"/>
      <c r="AN2996" s="9"/>
      <c r="AO2996" s="9"/>
      <c r="AP2996" s="9"/>
      <c r="AQ2996" s="9"/>
      <c r="AR2996" s="9"/>
      <c r="AS2996" s="9"/>
      <c r="AT2996" s="9"/>
      <c r="AU2996" s="9"/>
    </row>
    <row r="2997" spans="1:47" ht="15.75" customHeight="1">
      <c r="A2997" s="9"/>
      <c r="B2997" s="9"/>
      <c r="C2997" s="9"/>
      <c r="D2997" s="9"/>
      <c r="E2997" s="9"/>
      <c r="F2997" s="67"/>
      <c r="G2997" s="9"/>
      <c r="H2997" s="9"/>
      <c r="I2997" s="9"/>
      <c r="J2997" s="9"/>
      <c r="K2997" s="9"/>
      <c r="L2997" s="9"/>
      <c r="M2997" s="9"/>
      <c r="N2997" s="9"/>
      <c r="O2997" s="9"/>
      <c r="P2997" s="9"/>
      <c r="Q2997" s="9"/>
      <c r="R2997" s="9"/>
      <c r="S2997" s="9"/>
      <c r="T2997" s="9"/>
      <c r="U2997" s="9"/>
      <c r="V2997" s="9"/>
      <c r="W2997" s="9"/>
      <c r="X2997" s="9"/>
      <c r="Y2997" s="9"/>
      <c r="Z2997" s="9"/>
      <c r="AA2997" s="9"/>
      <c r="AB2997" s="9"/>
      <c r="AC2997" s="9"/>
      <c r="AD2997" s="9"/>
      <c r="AE2997" s="9"/>
      <c r="AF2997" s="9"/>
      <c r="AG2997" s="9"/>
      <c r="AH2997" s="9"/>
      <c r="AI2997" s="9"/>
      <c r="AJ2997" s="9"/>
      <c r="AK2997" s="9"/>
      <c r="AL2997" s="9"/>
      <c r="AM2997" s="9"/>
      <c r="AN2997" s="9"/>
      <c r="AO2997" s="9"/>
      <c r="AP2997" s="9"/>
      <c r="AQ2997" s="9"/>
      <c r="AR2997" s="9"/>
      <c r="AS2997" s="9"/>
      <c r="AT2997" s="9"/>
      <c r="AU2997" s="9"/>
    </row>
    <row r="2998" spans="1:47" ht="15.75" customHeight="1">
      <c r="A2998" s="9"/>
      <c r="B2998" s="9"/>
      <c r="C2998" s="9"/>
      <c r="D2998" s="9"/>
      <c r="E2998" s="9"/>
      <c r="F2998" s="67"/>
      <c r="G2998" s="9"/>
      <c r="H2998" s="9"/>
      <c r="I2998" s="9"/>
      <c r="J2998" s="9"/>
      <c r="K2998" s="9"/>
      <c r="L2998" s="9"/>
      <c r="M2998" s="9"/>
      <c r="N2998" s="9"/>
      <c r="O2998" s="9"/>
      <c r="P2998" s="9"/>
      <c r="Q2998" s="9"/>
      <c r="R2998" s="9"/>
      <c r="S2998" s="9"/>
      <c r="T2998" s="9"/>
      <c r="U2998" s="9"/>
      <c r="V2998" s="9"/>
      <c r="W2998" s="9"/>
      <c r="X2998" s="9"/>
      <c r="Y2998" s="9"/>
      <c r="Z2998" s="9"/>
      <c r="AA2998" s="9"/>
      <c r="AB2998" s="9"/>
      <c r="AC2998" s="9"/>
      <c r="AD2998" s="9"/>
      <c r="AE2998" s="9"/>
      <c r="AF2998" s="9"/>
      <c r="AG2998" s="9"/>
      <c r="AH2998" s="9"/>
      <c r="AI2998" s="9"/>
      <c r="AJ2998" s="9"/>
      <c r="AK2998" s="9"/>
      <c r="AL2998" s="9"/>
      <c r="AM2998" s="9"/>
      <c r="AN2998" s="9"/>
      <c r="AO2998" s="9"/>
      <c r="AP2998" s="9"/>
      <c r="AQ2998" s="9"/>
      <c r="AR2998" s="9"/>
      <c r="AS2998" s="9"/>
      <c r="AT2998" s="9"/>
      <c r="AU2998" s="9"/>
    </row>
    <row r="2999" spans="1:47" ht="15.75" customHeight="1">
      <c r="A2999" s="9"/>
      <c r="B2999" s="9"/>
      <c r="C2999" s="9"/>
      <c r="D2999" s="9"/>
      <c r="E2999" s="9"/>
      <c r="F2999" s="67"/>
      <c r="G2999" s="9"/>
      <c r="H2999" s="9"/>
      <c r="I2999" s="9"/>
      <c r="J2999" s="9"/>
      <c r="K2999" s="9"/>
      <c r="L2999" s="9"/>
      <c r="M2999" s="9"/>
      <c r="N2999" s="9"/>
      <c r="O2999" s="9"/>
      <c r="P2999" s="9"/>
      <c r="Q2999" s="9"/>
      <c r="R2999" s="9"/>
      <c r="S2999" s="9"/>
      <c r="T2999" s="9"/>
      <c r="U2999" s="9"/>
      <c r="V2999" s="9"/>
      <c r="W2999" s="9"/>
      <c r="X2999" s="9"/>
      <c r="Y2999" s="9"/>
      <c r="Z2999" s="9"/>
      <c r="AA2999" s="9"/>
      <c r="AB2999" s="9"/>
      <c r="AC2999" s="9"/>
      <c r="AD2999" s="9"/>
      <c r="AE2999" s="9"/>
      <c r="AF2999" s="9"/>
      <c r="AG2999" s="9"/>
      <c r="AH2999" s="9"/>
      <c r="AI2999" s="9"/>
      <c r="AJ2999" s="9"/>
      <c r="AK2999" s="9"/>
      <c r="AL2999" s="9"/>
      <c r="AM2999" s="9"/>
      <c r="AN2999" s="9"/>
      <c r="AO2999" s="9"/>
      <c r="AP2999" s="9"/>
      <c r="AQ2999" s="9"/>
      <c r="AR2999" s="9"/>
      <c r="AS2999" s="9"/>
      <c r="AT2999" s="9"/>
      <c r="AU2999" s="9"/>
    </row>
    <row r="3000" spans="1:47" ht="15.75" customHeight="1">
      <c r="A3000" s="9"/>
      <c r="B3000" s="9"/>
      <c r="C3000" s="9"/>
      <c r="D3000" s="9"/>
      <c r="E3000" s="9"/>
      <c r="F3000" s="67"/>
      <c r="G3000" s="9"/>
      <c r="H3000" s="9"/>
      <c r="I3000" s="9"/>
      <c r="J3000" s="9"/>
      <c r="K3000" s="9"/>
      <c r="L3000" s="9"/>
      <c r="M3000" s="9"/>
      <c r="N3000" s="9"/>
      <c r="O3000" s="9"/>
      <c r="P3000" s="9"/>
      <c r="Q3000" s="9"/>
      <c r="R3000" s="9"/>
      <c r="S3000" s="9"/>
      <c r="T3000" s="9"/>
      <c r="U3000" s="9"/>
      <c r="V3000" s="9"/>
      <c r="W3000" s="9"/>
      <c r="X3000" s="9"/>
      <c r="Y3000" s="9"/>
      <c r="Z3000" s="9"/>
      <c r="AA3000" s="9"/>
      <c r="AB3000" s="9"/>
      <c r="AC3000" s="9"/>
      <c r="AD3000" s="9"/>
      <c r="AE3000" s="9"/>
      <c r="AF3000" s="9"/>
      <c r="AG3000" s="9"/>
      <c r="AH3000" s="9"/>
      <c r="AI3000" s="9"/>
      <c r="AJ3000" s="9"/>
      <c r="AK3000" s="9"/>
      <c r="AL3000" s="9"/>
      <c r="AM3000" s="9"/>
      <c r="AN3000" s="9"/>
      <c r="AO3000" s="9"/>
      <c r="AP3000" s="9"/>
      <c r="AQ3000" s="9"/>
      <c r="AR3000" s="9"/>
      <c r="AS3000" s="9"/>
      <c r="AT3000" s="9"/>
      <c r="AU3000" s="9"/>
    </row>
    <row r="3001" spans="1:47" ht="15.75" customHeight="1">
      <c r="A3001" s="9"/>
      <c r="B3001" s="9"/>
      <c r="C3001" s="9"/>
      <c r="D3001" s="9"/>
      <c r="E3001" s="9"/>
      <c r="F3001" s="67"/>
      <c r="G3001" s="9"/>
      <c r="H3001" s="9"/>
      <c r="I3001" s="9"/>
      <c r="J3001" s="9"/>
      <c r="K3001" s="9"/>
      <c r="L3001" s="9"/>
      <c r="M3001" s="9"/>
      <c r="N3001" s="9"/>
      <c r="O3001" s="9"/>
      <c r="P3001" s="9"/>
      <c r="Q3001" s="9"/>
      <c r="R3001" s="9"/>
      <c r="S3001" s="9"/>
      <c r="T3001" s="9"/>
      <c r="U3001" s="9"/>
      <c r="V3001" s="9"/>
      <c r="W3001" s="9"/>
      <c r="X3001" s="9"/>
      <c r="Y3001" s="9"/>
      <c r="Z3001" s="9"/>
      <c r="AA3001" s="9"/>
      <c r="AB3001" s="9"/>
      <c r="AC3001" s="9"/>
      <c r="AD3001" s="9"/>
      <c r="AE3001" s="9"/>
      <c r="AF3001" s="9"/>
      <c r="AG3001" s="9"/>
      <c r="AH3001" s="9"/>
      <c r="AI3001" s="9"/>
      <c r="AJ3001" s="9"/>
      <c r="AK3001" s="9"/>
      <c r="AL3001" s="9"/>
      <c r="AM3001" s="9"/>
      <c r="AN3001" s="9"/>
      <c r="AO3001" s="9"/>
      <c r="AP3001" s="9"/>
      <c r="AQ3001" s="9"/>
      <c r="AR3001" s="9"/>
      <c r="AS3001" s="9"/>
      <c r="AT3001" s="9"/>
      <c r="AU3001" s="9"/>
    </row>
    <row r="3002" spans="1:47" ht="15.75" customHeight="1">
      <c r="A3002" s="9"/>
      <c r="B3002" s="9"/>
      <c r="C3002" s="9"/>
      <c r="D3002" s="9"/>
      <c r="E3002" s="9"/>
      <c r="F3002" s="67"/>
      <c r="G3002" s="9"/>
      <c r="H3002" s="9"/>
      <c r="I3002" s="9"/>
      <c r="J3002" s="9"/>
      <c r="K3002" s="9"/>
      <c r="L3002" s="9"/>
      <c r="M3002" s="9"/>
      <c r="N3002" s="9"/>
      <c r="O3002" s="9"/>
      <c r="P3002" s="9"/>
      <c r="Q3002" s="9"/>
      <c r="R3002" s="9"/>
      <c r="S3002" s="9"/>
      <c r="T3002" s="9"/>
      <c r="U3002" s="9"/>
      <c r="V3002" s="9"/>
      <c r="W3002" s="9"/>
      <c r="X3002" s="9"/>
      <c r="Y3002" s="9"/>
      <c r="Z3002" s="9"/>
      <c r="AA3002" s="9"/>
      <c r="AB3002" s="9"/>
      <c r="AC3002" s="9"/>
      <c r="AD3002" s="9"/>
      <c r="AE3002" s="9"/>
      <c r="AF3002" s="9"/>
      <c r="AG3002" s="9"/>
      <c r="AH3002" s="9"/>
      <c r="AI3002" s="9"/>
      <c r="AJ3002" s="9"/>
      <c r="AK3002" s="9"/>
      <c r="AL3002" s="9"/>
      <c r="AM3002" s="9"/>
      <c r="AN3002" s="9"/>
      <c r="AO3002" s="9"/>
      <c r="AP3002" s="9"/>
      <c r="AQ3002" s="9"/>
      <c r="AR3002" s="9"/>
      <c r="AS3002" s="9"/>
      <c r="AT3002" s="9"/>
      <c r="AU3002" s="9"/>
    </row>
    <row r="3003" spans="1:47" ht="15.75" customHeight="1">
      <c r="A3003" s="9"/>
      <c r="B3003" s="9"/>
      <c r="C3003" s="9"/>
      <c r="D3003" s="9"/>
      <c r="E3003" s="9"/>
      <c r="F3003" s="67"/>
      <c r="G3003" s="9"/>
      <c r="H3003" s="9"/>
      <c r="I3003" s="9"/>
      <c r="J3003" s="9"/>
      <c r="K3003" s="9"/>
      <c r="L3003" s="9"/>
      <c r="M3003" s="9"/>
      <c r="N3003" s="9"/>
      <c r="O3003" s="9"/>
      <c r="P3003" s="9"/>
      <c r="Q3003" s="9"/>
      <c r="R3003" s="9"/>
      <c r="S3003" s="9"/>
      <c r="T3003" s="9"/>
      <c r="U3003" s="9"/>
      <c r="V3003" s="9"/>
      <c r="W3003" s="9"/>
      <c r="X3003" s="9"/>
      <c r="Y3003" s="9"/>
      <c r="Z3003" s="9"/>
      <c r="AA3003" s="9"/>
      <c r="AB3003" s="9"/>
      <c r="AC3003" s="9"/>
      <c r="AD3003" s="9"/>
      <c r="AE3003" s="9"/>
      <c r="AF3003" s="9"/>
      <c r="AG3003" s="9"/>
      <c r="AH3003" s="9"/>
      <c r="AI3003" s="9"/>
      <c r="AJ3003" s="9"/>
      <c r="AK3003" s="9"/>
      <c r="AL3003" s="9"/>
      <c r="AM3003" s="9"/>
      <c r="AN3003" s="9"/>
      <c r="AO3003" s="9"/>
      <c r="AP3003" s="9"/>
      <c r="AQ3003" s="9"/>
      <c r="AR3003" s="9"/>
      <c r="AS3003" s="9"/>
      <c r="AT3003" s="9"/>
      <c r="AU3003" s="9"/>
    </row>
    <row r="3004" spans="1:47" ht="15.75" customHeight="1">
      <c r="A3004" s="9"/>
      <c r="B3004" s="9"/>
      <c r="C3004" s="9"/>
      <c r="D3004" s="9"/>
      <c r="E3004" s="9"/>
      <c r="F3004" s="67"/>
      <c r="G3004" s="9"/>
      <c r="H3004" s="9"/>
      <c r="I3004" s="9"/>
      <c r="J3004" s="9"/>
      <c r="K3004" s="9"/>
      <c r="L3004" s="9"/>
      <c r="M3004" s="9"/>
      <c r="N3004" s="9"/>
      <c r="O3004" s="9"/>
      <c r="P3004" s="9"/>
      <c r="Q3004" s="9"/>
      <c r="R3004" s="9"/>
      <c r="S3004" s="9"/>
      <c r="T3004" s="9"/>
      <c r="U3004" s="9"/>
      <c r="V3004" s="9"/>
      <c r="W3004" s="9"/>
      <c r="X3004" s="9"/>
      <c r="Y3004" s="9"/>
      <c r="Z3004" s="9"/>
      <c r="AA3004" s="9"/>
      <c r="AB3004" s="9"/>
      <c r="AC3004" s="9"/>
      <c r="AD3004" s="9"/>
      <c r="AE3004" s="9"/>
      <c r="AF3004" s="9"/>
      <c r="AG3004" s="9"/>
      <c r="AH3004" s="9"/>
      <c r="AI3004" s="9"/>
      <c r="AJ3004" s="9"/>
      <c r="AK3004" s="9"/>
      <c r="AL3004" s="9"/>
      <c r="AM3004" s="9"/>
      <c r="AN3004" s="9"/>
      <c r="AO3004" s="9"/>
      <c r="AP3004" s="9"/>
      <c r="AQ3004" s="9"/>
      <c r="AR3004" s="9"/>
      <c r="AS3004" s="9"/>
      <c r="AT3004" s="9"/>
      <c r="AU3004" s="9"/>
    </row>
    <row r="3005" spans="1:47" ht="15.75" customHeight="1">
      <c r="A3005" s="9"/>
      <c r="B3005" s="9"/>
      <c r="C3005" s="9"/>
      <c r="D3005" s="9"/>
      <c r="E3005" s="9"/>
      <c r="F3005" s="67"/>
      <c r="G3005" s="9"/>
      <c r="H3005" s="9"/>
      <c r="I3005" s="9"/>
      <c r="J3005" s="9"/>
      <c r="K3005" s="9"/>
      <c r="L3005" s="9"/>
      <c r="M3005" s="9"/>
      <c r="N3005" s="9"/>
      <c r="O3005" s="9"/>
      <c r="P3005" s="9"/>
      <c r="Q3005" s="9"/>
      <c r="R3005" s="9"/>
      <c r="S3005" s="9"/>
      <c r="T3005" s="9"/>
      <c r="U3005" s="9"/>
      <c r="V3005" s="9"/>
      <c r="W3005" s="9"/>
      <c r="X3005" s="9"/>
      <c r="Y3005" s="9"/>
      <c r="Z3005" s="9"/>
      <c r="AA3005" s="9"/>
      <c r="AB3005" s="9"/>
      <c r="AC3005" s="9"/>
      <c r="AD3005" s="9"/>
      <c r="AE3005" s="9"/>
      <c r="AF3005" s="9"/>
      <c r="AG3005" s="9"/>
      <c r="AH3005" s="9"/>
      <c r="AI3005" s="9"/>
      <c r="AJ3005" s="9"/>
      <c r="AK3005" s="9"/>
      <c r="AL3005" s="9"/>
      <c r="AM3005" s="9"/>
      <c r="AN3005" s="9"/>
      <c r="AO3005" s="9"/>
      <c r="AP3005" s="9"/>
      <c r="AQ3005" s="9"/>
      <c r="AR3005" s="9"/>
      <c r="AS3005" s="9"/>
      <c r="AT3005" s="9"/>
      <c r="AU3005" s="9"/>
    </row>
    <row r="3006" spans="1:47" ht="15.75" customHeight="1">
      <c r="A3006" s="9"/>
      <c r="B3006" s="9"/>
      <c r="C3006" s="9"/>
      <c r="D3006" s="9"/>
      <c r="E3006" s="9"/>
      <c r="F3006" s="67"/>
      <c r="G3006" s="9"/>
      <c r="H3006" s="9"/>
      <c r="I3006" s="9"/>
      <c r="J3006" s="9"/>
      <c r="K3006" s="9"/>
      <c r="L3006" s="9"/>
      <c r="M3006" s="9"/>
      <c r="N3006" s="9"/>
      <c r="O3006" s="9"/>
      <c r="P3006" s="9"/>
      <c r="Q3006" s="9"/>
      <c r="R3006" s="9"/>
      <c r="S3006" s="9"/>
      <c r="T3006" s="9"/>
      <c r="U3006" s="9"/>
      <c r="V3006" s="9"/>
      <c r="W3006" s="9"/>
      <c r="X3006" s="9"/>
      <c r="Y3006" s="9"/>
      <c r="Z3006" s="9"/>
      <c r="AA3006" s="9"/>
      <c r="AB3006" s="9"/>
      <c r="AC3006" s="9"/>
      <c r="AD3006" s="9"/>
      <c r="AE3006" s="9"/>
      <c r="AF3006" s="9"/>
      <c r="AG3006" s="9"/>
      <c r="AH3006" s="9"/>
      <c r="AI3006" s="9"/>
      <c r="AJ3006" s="9"/>
      <c r="AK3006" s="9"/>
      <c r="AL3006" s="9"/>
      <c r="AM3006" s="9"/>
      <c r="AN3006" s="9"/>
      <c r="AO3006" s="9"/>
      <c r="AP3006" s="9"/>
      <c r="AQ3006" s="9"/>
      <c r="AR3006" s="9"/>
      <c r="AS3006" s="9"/>
      <c r="AT3006" s="9"/>
      <c r="AU3006" s="9"/>
    </row>
    <row r="3007" spans="1:47" ht="15.75" customHeight="1">
      <c r="A3007" s="9"/>
      <c r="B3007" s="9"/>
      <c r="C3007" s="9"/>
      <c r="D3007" s="9"/>
      <c r="E3007" s="9"/>
      <c r="F3007" s="67"/>
      <c r="G3007" s="9"/>
      <c r="H3007" s="9"/>
      <c r="I3007" s="9"/>
      <c r="J3007" s="9"/>
      <c r="K3007" s="9"/>
      <c r="L3007" s="9"/>
      <c r="M3007" s="9"/>
      <c r="N3007" s="9"/>
      <c r="O3007" s="9"/>
      <c r="P3007" s="9"/>
      <c r="Q3007" s="9"/>
      <c r="R3007" s="9"/>
      <c r="S3007" s="9"/>
      <c r="T3007" s="9"/>
      <c r="U3007" s="9"/>
      <c r="V3007" s="9"/>
      <c r="W3007" s="9"/>
      <c r="X3007" s="9"/>
      <c r="Y3007" s="9"/>
      <c r="Z3007" s="9"/>
      <c r="AA3007" s="9"/>
      <c r="AB3007" s="9"/>
      <c r="AC3007" s="9"/>
      <c r="AD3007" s="9"/>
      <c r="AE3007" s="9"/>
      <c r="AF3007" s="9"/>
      <c r="AG3007" s="9"/>
      <c r="AH3007" s="9"/>
      <c r="AI3007" s="9"/>
      <c r="AJ3007" s="9"/>
      <c r="AK3007" s="9"/>
      <c r="AL3007" s="9"/>
      <c r="AM3007" s="9"/>
      <c r="AN3007" s="9"/>
      <c r="AO3007" s="9"/>
      <c r="AP3007" s="9"/>
      <c r="AQ3007" s="9"/>
      <c r="AR3007" s="9"/>
      <c r="AS3007" s="9"/>
      <c r="AT3007" s="9"/>
      <c r="AU3007" s="9"/>
    </row>
    <row r="3008" spans="1:47" ht="15.75" customHeight="1">
      <c r="A3008" s="9"/>
      <c r="B3008" s="9"/>
      <c r="C3008" s="9"/>
      <c r="D3008" s="9"/>
      <c r="E3008" s="9"/>
      <c r="F3008" s="67"/>
      <c r="G3008" s="9"/>
      <c r="H3008" s="9"/>
      <c r="I3008" s="9"/>
      <c r="J3008" s="9"/>
      <c r="K3008" s="9"/>
      <c r="L3008" s="9"/>
      <c r="M3008" s="9"/>
      <c r="N3008" s="9"/>
      <c r="O3008" s="9"/>
      <c r="P3008" s="9"/>
      <c r="Q3008" s="9"/>
      <c r="R3008" s="9"/>
      <c r="S3008" s="9"/>
      <c r="T3008" s="9"/>
      <c r="U3008" s="9"/>
      <c r="V3008" s="9"/>
      <c r="W3008" s="9"/>
      <c r="X3008" s="9"/>
      <c r="Y3008" s="9"/>
      <c r="Z3008" s="9"/>
      <c r="AA3008" s="9"/>
      <c r="AB3008" s="9"/>
      <c r="AC3008" s="9"/>
      <c r="AD3008" s="9"/>
      <c r="AE3008" s="9"/>
      <c r="AF3008" s="9"/>
      <c r="AG3008" s="9"/>
      <c r="AH3008" s="9"/>
      <c r="AI3008" s="9"/>
      <c r="AJ3008" s="9"/>
      <c r="AK3008" s="9"/>
      <c r="AL3008" s="9"/>
      <c r="AM3008" s="9"/>
      <c r="AN3008" s="9"/>
      <c r="AO3008" s="9"/>
      <c r="AP3008" s="9"/>
      <c r="AQ3008" s="9"/>
      <c r="AR3008" s="9"/>
      <c r="AS3008" s="9"/>
      <c r="AT3008" s="9"/>
      <c r="AU3008" s="9"/>
    </row>
    <row r="3009" spans="1:47" ht="15.75" customHeight="1">
      <c r="A3009" s="9"/>
      <c r="B3009" s="9"/>
      <c r="C3009" s="9"/>
      <c r="D3009" s="9"/>
      <c r="E3009" s="9"/>
      <c r="F3009" s="67"/>
      <c r="G3009" s="9"/>
      <c r="H3009" s="9"/>
      <c r="I3009" s="9"/>
      <c r="J3009" s="9"/>
      <c r="K3009" s="9"/>
      <c r="L3009" s="9"/>
      <c r="M3009" s="9"/>
      <c r="N3009" s="9"/>
      <c r="O3009" s="9"/>
      <c r="P3009" s="9"/>
      <c r="Q3009" s="9"/>
      <c r="R3009" s="9"/>
      <c r="S3009" s="9"/>
      <c r="T3009" s="9"/>
      <c r="U3009" s="9"/>
      <c r="V3009" s="9"/>
      <c r="W3009" s="9"/>
      <c r="X3009" s="9"/>
      <c r="Y3009" s="9"/>
      <c r="Z3009" s="9"/>
      <c r="AA3009" s="9"/>
      <c r="AB3009" s="9"/>
      <c r="AC3009" s="9"/>
      <c r="AD3009" s="9"/>
      <c r="AE3009" s="9"/>
      <c r="AF3009" s="9"/>
      <c r="AG3009" s="9"/>
      <c r="AH3009" s="9"/>
      <c r="AI3009" s="9"/>
      <c r="AJ3009" s="9"/>
      <c r="AK3009" s="9"/>
      <c r="AL3009" s="9"/>
      <c r="AM3009" s="9"/>
      <c r="AN3009" s="9"/>
      <c r="AO3009" s="9"/>
      <c r="AP3009" s="9"/>
      <c r="AQ3009" s="9"/>
      <c r="AR3009" s="9"/>
      <c r="AS3009" s="9"/>
      <c r="AT3009" s="9"/>
      <c r="AU3009" s="9"/>
    </row>
    <row r="3010" spans="1:47" ht="15.75" customHeight="1">
      <c r="A3010" s="9"/>
      <c r="B3010" s="9"/>
      <c r="C3010" s="9"/>
      <c r="D3010" s="9"/>
      <c r="E3010" s="9"/>
      <c r="F3010" s="67"/>
      <c r="G3010" s="9"/>
      <c r="H3010" s="9"/>
      <c r="I3010" s="9"/>
      <c r="J3010" s="9"/>
      <c r="K3010" s="9"/>
      <c r="L3010" s="9"/>
      <c r="M3010" s="9"/>
      <c r="N3010" s="9"/>
      <c r="O3010" s="9"/>
      <c r="P3010" s="9"/>
      <c r="Q3010" s="9"/>
      <c r="R3010" s="9"/>
      <c r="S3010" s="9"/>
      <c r="T3010" s="9"/>
      <c r="U3010" s="9"/>
      <c r="V3010" s="9"/>
      <c r="W3010" s="9"/>
      <c r="X3010" s="9"/>
      <c r="Y3010" s="9"/>
      <c r="Z3010" s="9"/>
      <c r="AA3010" s="9"/>
      <c r="AB3010" s="9"/>
      <c r="AC3010" s="9"/>
      <c r="AD3010" s="9"/>
      <c r="AE3010" s="9"/>
      <c r="AF3010" s="9"/>
      <c r="AG3010" s="9"/>
      <c r="AH3010" s="9"/>
      <c r="AI3010" s="9"/>
      <c r="AJ3010" s="9"/>
      <c r="AK3010" s="9"/>
      <c r="AL3010" s="9"/>
      <c r="AM3010" s="9"/>
      <c r="AN3010" s="9"/>
      <c r="AO3010" s="9"/>
      <c r="AP3010" s="9"/>
      <c r="AQ3010" s="9"/>
      <c r="AR3010" s="9"/>
      <c r="AS3010" s="9"/>
      <c r="AT3010" s="9"/>
      <c r="AU3010" s="9"/>
    </row>
    <row r="3011" spans="1:47" ht="15.75" customHeight="1">
      <c r="A3011" s="9"/>
      <c r="B3011" s="9"/>
      <c r="C3011" s="9"/>
      <c r="D3011" s="9"/>
      <c r="E3011" s="9"/>
      <c r="F3011" s="67"/>
      <c r="G3011" s="9"/>
      <c r="H3011" s="9"/>
      <c r="I3011" s="9"/>
      <c r="J3011" s="9"/>
      <c r="K3011" s="9"/>
      <c r="L3011" s="9"/>
      <c r="M3011" s="9"/>
      <c r="N3011" s="9"/>
      <c r="O3011" s="9"/>
      <c r="P3011" s="9"/>
      <c r="Q3011" s="9"/>
      <c r="R3011" s="9"/>
      <c r="S3011" s="9"/>
      <c r="T3011" s="9"/>
      <c r="U3011" s="9"/>
      <c r="V3011" s="9"/>
      <c r="W3011" s="9"/>
      <c r="X3011" s="9"/>
      <c r="Y3011" s="9"/>
      <c r="Z3011" s="9"/>
      <c r="AA3011" s="9"/>
      <c r="AB3011" s="9"/>
      <c r="AC3011" s="9"/>
      <c r="AD3011" s="9"/>
      <c r="AE3011" s="9"/>
      <c r="AF3011" s="9"/>
      <c r="AG3011" s="9"/>
      <c r="AH3011" s="9"/>
      <c r="AI3011" s="9"/>
      <c r="AJ3011" s="9"/>
      <c r="AK3011" s="9"/>
      <c r="AL3011" s="9"/>
      <c r="AM3011" s="9"/>
      <c r="AN3011" s="9"/>
      <c r="AO3011" s="9"/>
      <c r="AP3011" s="9"/>
      <c r="AQ3011" s="9"/>
      <c r="AR3011" s="9"/>
      <c r="AS3011" s="9"/>
      <c r="AT3011" s="9"/>
      <c r="AU3011" s="9"/>
    </row>
    <row r="3012" spans="1:47" ht="15.75" customHeight="1">
      <c r="A3012" s="9"/>
      <c r="B3012" s="9"/>
      <c r="C3012" s="9"/>
      <c r="D3012" s="9"/>
      <c r="E3012" s="9"/>
      <c r="F3012" s="67"/>
      <c r="G3012" s="9"/>
      <c r="H3012" s="9"/>
      <c r="I3012" s="9"/>
      <c r="J3012" s="9"/>
      <c r="K3012" s="9"/>
      <c r="L3012" s="9"/>
      <c r="M3012" s="9"/>
      <c r="N3012" s="9"/>
      <c r="O3012" s="9"/>
      <c r="P3012" s="9"/>
      <c r="Q3012" s="9"/>
      <c r="R3012" s="9"/>
      <c r="S3012" s="9"/>
      <c r="T3012" s="9"/>
      <c r="U3012" s="9"/>
      <c r="V3012" s="9"/>
      <c r="W3012" s="9"/>
      <c r="X3012" s="9"/>
      <c r="Y3012" s="9"/>
      <c r="Z3012" s="9"/>
      <c r="AA3012" s="9"/>
      <c r="AB3012" s="9"/>
      <c r="AC3012" s="9"/>
      <c r="AD3012" s="9"/>
      <c r="AE3012" s="9"/>
      <c r="AF3012" s="9"/>
      <c r="AG3012" s="9"/>
      <c r="AH3012" s="9"/>
      <c r="AI3012" s="9"/>
      <c r="AJ3012" s="9"/>
      <c r="AK3012" s="9"/>
      <c r="AL3012" s="9"/>
      <c r="AM3012" s="9"/>
      <c r="AN3012" s="9"/>
      <c r="AO3012" s="9"/>
      <c r="AP3012" s="9"/>
      <c r="AQ3012" s="9"/>
      <c r="AR3012" s="9"/>
      <c r="AS3012" s="9"/>
      <c r="AT3012" s="9"/>
      <c r="AU3012" s="9"/>
    </row>
    <row r="3013" spans="1:47" ht="15.75" customHeight="1">
      <c r="A3013" s="9"/>
      <c r="B3013" s="9"/>
      <c r="C3013" s="9"/>
      <c r="D3013" s="9"/>
      <c r="E3013" s="9"/>
      <c r="F3013" s="67"/>
      <c r="G3013" s="9"/>
      <c r="H3013" s="9"/>
      <c r="I3013" s="9"/>
      <c r="J3013" s="9"/>
      <c r="K3013" s="9"/>
      <c r="L3013" s="9"/>
      <c r="M3013" s="9"/>
      <c r="N3013" s="9"/>
      <c r="O3013" s="9"/>
      <c r="P3013" s="9"/>
      <c r="Q3013" s="9"/>
      <c r="R3013" s="9"/>
      <c r="S3013" s="9"/>
      <c r="T3013" s="9"/>
      <c r="U3013" s="9"/>
      <c r="V3013" s="9"/>
      <c r="W3013" s="9"/>
      <c r="X3013" s="9"/>
      <c r="Y3013" s="9"/>
      <c r="Z3013" s="9"/>
      <c r="AA3013" s="9"/>
      <c r="AB3013" s="9"/>
      <c r="AC3013" s="9"/>
      <c r="AD3013" s="9"/>
      <c r="AE3013" s="9"/>
      <c r="AF3013" s="9"/>
      <c r="AG3013" s="9"/>
      <c r="AH3013" s="9"/>
      <c r="AI3013" s="9"/>
      <c r="AJ3013" s="9"/>
      <c r="AK3013" s="9"/>
      <c r="AL3013" s="9"/>
      <c r="AM3013" s="9"/>
      <c r="AN3013" s="9"/>
      <c r="AO3013" s="9"/>
      <c r="AP3013" s="9"/>
      <c r="AQ3013" s="9"/>
      <c r="AR3013" s="9"/>
      <c r="AS3013" s="9"/>
      <c r="AT3013" s="9"/>
      <c r="AU3013" s="9"/>
    </row>
    <row r="3014" spans="1:47" ht="15.75" customHeight="1">
      <c r="A3014" s="9"/>
      <c r="B3014" s="9"/>
      <c r="C3014" s="9"/>
      <c r="D3014" s="9"/>
      <c r="E3014" s="9"/>
      <c r="F3014" s="67"/>
      <c r="G3014" s="9"/>
      <c r="H3014" s="9"/>
      <c r="I3014" s="9"/>
      <c r="J3014" s="9"/>
      <c r="K3014" s="9"/>
      <c r="L3014" s="9"/>
      <c r="M3014" s="9"/>
      <c r="N3014" s="9"/>
      <c r="O3014" s="9"/>
      <c r="P3014" s="9"/>
      <c r="Q3014" s="9"/>
      <c r="R3014" s="9"/>
      <c r="S3014" s="9"/>
      <c r="T3014" s="9"/>
      <c r="U3014" s="9"/>
      <c r="V3014" s="9"/>
      <c r="W3014" s="9"/>
      <c r="X3014" s="9"/>
      <c r="Y3014" s="9"/>
      <c r="Z3014" s="9"/>
      <c r="AA3014" s="9"/>
      <c r="AB3014" s="9"/>
      <c r="AC3014" s="9"/>
      <c r="AD3014" s="9"/>
      <c r="AE3014" s="9"/>
      <c r="AF3014" s="9"/>
      <c r="AG3014" s="9"/>
      <c r="AH3014" s="9"/>
      <c r="AI3014" s="9"/>
      <c r="AJ3014" s="9"/>
      <c r="AK3014" s="9"/>
      <c r="AL3014" s="9"/>
      <c r="AM3014" s="9"/>
      <c r="AN3014" s="9"/>
      <c r="AO3014" s="9"/>
      <c r="AP3014" s="9"/>
      <c r="AQ3014" s="9"/>
      <c r="AR3014" s="9"/>
      <c r="AS3014" s="9"/>
      <c r="AT3014" s="9"/>
      <c r="AU3014" s="9"/>
    </row>
    <row r="3015" spans="1:47" ht="15.75" customHeight="1">
      <c r="A3015" s="9"/>
      <c r="B3015" s="9"/>
      <c r="C3015" s="9"/>
      <c r="D3015" s="9"/>
      <c r="E3015" s="9"/>
      <c r="F3015" s="67"/>
      <c r="G3015" s="9"/>
      <c r="H3015" s="9"/>
      <c r="I3015" s="9"/>
      <c r="J3015" s="9"/>
      <c r="K3015" s="9"/>
      <c r="L3015" s="9"/>
      <c r="M3015" s="9"/>
      <c r="N3015" s="9"/>
      <c r="O3015" s="9"/>
      <c r="P3015" s="9"/>
      <c r="Q3015" s="9"/>
      <c r="R3015" s="9"/>
      <c r="S3015" s="9"/>
      <c r="T3015" s="9"/>
      <c r="U3015" s="9"/>
      <c r="V3015" s="9"/>
      <c r="W3015" s="9"/>
      <c r="X3015" s="9"/>
      <c r="Y3015" s="9"/>
      <c r="Z3015" s="9"/>
      <c r="AA3015" s="9"/>
      <c r="AB3015" s="9"/>
      <c r="AC3015" s="9"/>
      <c r="AD3015" s="9"/>
      <c r="AE3015" s="9"/>
      <c r="AF3015" s="9"/>
      <c r="AG3015" s="9"/>
      <c r="AH3015" s="9"/>
      <c r="AI3015" s="9"/>
      <c r="AJ3015" s="9"/>
      <c r="AK3015" s="9"/>
      <c r="AL3015" s="9"/>
      <c r="AM3015" s="9"/>
      <c r="AN3015" s="9"/>
      <c r="AO3015" s="9"/>
      <c r="AP3015" s="9"/>
      <c r="AQ3015" s="9"/>
      <c r="AR3015" s="9"/>
      <c r="AS3015" s="9"/>
      <c r="AT3015" s="9"/>
      <c r="AU3015" s="9"/>
    </row>
    <row r="3016" spans="1:47" ht="15.75" customHeight="1">
      <c r="A3016" s="9"/>
      <c r="B3016" s="9"/>
      <c r="C3016" s="9"/>
      <c r="D3016" s="9"/>
      <c r="E3016" s="9"/>
      <c r="F3016" s="67"/>
      <c r="G3016" s="9"/>
      <c r="H3016" s="9"/>
      <c r="I3016" s="9"/>
      <c r="J3016" s="9"/>
      <c r="K3016" s="9"/>
      <c r="L3016" s="9"/>
      <c r="M3016" s="9"/>
      <c r="N3016" s="9"/>
      <c r="O3016" s="9"/>
      <c r="P3016" s="9"/>
      <c r="Q3016" s="9"/>
      <c r="R3016" s="9"/>
      <c r="S3016" s="9"/>
      <c r="T3016" s="9"/>
      <c r="U3016" s="9"/>
      <c r="V3016" s="9"/>
      <c r="W3016" s="9"/>
      <c r="X3016" s="9"/>
      <c r="Y3016" s="9"/>
      <c r="Z3016" s="9"/>
      <c r="AA3016" s="9"/>
      <c r="AB3016" s="9"/>
      <c r="AC3016" s="9"/>
      <c r="AD3016" s="9"/>
      <c r="AE3016" s="9"/>
      <c r="AF3016" s="9"/>
      <c r="AG3016" s="9"/>
      <c r="AH3016" s="9"/>
      <c r="AI3016" s="9"/>
      <c r="AJ3016" s="9"/>
      <c r="AK3016" s="9"/>
      <c r="AL3016" s="9"/>
      <c r="AM3016" s="9"/>
      <c r="AN3016" s="9"/>
      <c r="AO3016" s="9"/>
      <c r="AP3016" s="9"/>
      <c r="AQ3016" s="9"/>
      <c r="AR3016" s="9"/>
      <c r="AS3016" s="9"/>
      <c r="AT3016" s="9"/>
      <c r="AU3016" s="9"/>
    </row>
    <row r="3017" spans="1:47" ht="15.75" customHeight="1">
      <c r="A3017" s="9"/>
      <c r="B3017" s="9"/>
      <c r="C3017" s="9"/>
      <c r="D3017" s="9"/>
      <c r="E3017" s="9"/>
      <c r="F3017" s="67"/>
      <c r="G3017" s="9"/>
      <c r="H3017" s="9"/>
      <c r="I3017" s="9"/>
      <c r="J3017" s="9"/>
      <c r="K3017" s="9"/>
      <c r="L3017" s="9"/>
      <c r="M3017" s="9"/>
      <c r="N3017" s="9"/>
      <c r="O3017" s="9"/>
      <c r="P3017" s="9"/>
      <c r="Q3017" s="9"/>
      <c r="R3017" s="9"/>
      <c r="S3017" s="9"/>
      <c r="T3017" s="9"/>
      <c r="U3017" s="9"/>
      <c r="V3017" s="9"/>
      <c r="W3017" s="9"/>
      <c r="X3017" s="9"/>
      <c r="Y3017" s="9"/>
      <c r="Z3017" s="9"/>
      <c r="AA3017" s="9"/>
      <c r="AB3017" s="9"/>
      <c r="AC3017" s="9"/>
      <c r="AD3017" s="9"/>
      <c r="AE3017" s="9"/>
      <c r="AF3017" s="9"/>
      <c r="AG3017" s="9"/>
      <c r="AH3017" s="9"/>
      <c r="AI3017" s="9"/>
      <c r="AJ3017" s="9"/>
      <c r="AK3017" s="9"/>
      <c r="AL3017" s="9"/>
      <c r="AM3017" s="9"/>
      <c r="AN3017" s="9"/>
      <c r="AO3017" s="9"/>
      <c r="AP3017" s="9"/>
      <c r="AQ3017" s="9"/>
      <c r="AR3017" s="9"/>
      <c r="AS3017" s="9"/>
      <c r="AT3017" s="9"/>
      <c r="AU3017" s="9"/>
    </row>
    <row r="3018" spans="1:47" ht="15.75" customHeight="1">
      <c r="A3018" s="9"/>
      <c r="B3018" s="9"/>
      <c r="C3018" s="9"/>
      <c r="D3018" s="9"/>
      <c r="E3018" s="9"/>
      <c r="F3018" s="67"/>
      <c r="G3018" s="9"/>
      <c r="H3018" s="9"/>
      <c r="I3018" s="9"/>
      <c r="J3018" s="9"/>
      <c r="K3018" s="9"/>
      <c r="L3018" s="9"/>
      <c r="M3018" s="9"/>
      <c r="N3018" s="9"/>
      <c r="O3018" s="9"/>
      <c r="P3018" s="9"/>
      <c r="Q3018" s="9"/>
      <c r="R3018" s="9"/>
      <c r="S3018" s="9"/>
      <c r="T3018" s="9"/>
      <c r="U3018" s="9"/>
      <c r="V3018" s="9"/>
      <c r="W3018" s="9"/>
      <c r="X3018" s="9"/>
      <c r="Y3018" s="9"/>
      <c r="Z3018" s="9"/>
      <c r="AA3018" s="9"/>
      <c r="AB3018" s="9"/>
      <c r="AC3018" s="9"/>
      <c r="AD3018" s="9"/>
      <c r="AE3018" s="9"/>
      <c r="AF3018" s="9"/>
      <c r="AG3018" s="9"/>
      <c r="AH3018" s="9"/>
      <c r="AI3018" s="9"/>
      <c r="AJ3018" s="9"/>
      <c r="AK3018" s="9"/>
      <c r="AL3018" s="9"/>
      <c r="AM3018" s="9"/>
      <c r="AN3018" s="9"/>
      <c r="AO3018" s="9"/>
      <c r="AP3018" s="9"/>
      <c r="AQ3018" s="9"/>
      <c r="AR3018" s="9"/>
      <c r="AS3018" s="9"/>
      <c r="AT3018" s="9"/>
      <c r="AU3018" s="9"/>
    </row>
    <row r="3019" spans="1:47" ht="15.75" customHeight="1">
      <c r="A3019" s="9"/>
      <c r="B3019" s="9"/>
      <c r="C3019" s="9"/>
      <c r="D3019" s="9"/>
      <c r="E3019" s="9"/>
      <c r="F3019" s="67"/>
      <c r="G3019" s="9"/>
      <c r="H3019" s="9"/>
      <c r="I3019" s="9"/>
      <c r="J3019" s="9"/>
      <c r="K3019" s="9"/>
      <c r="L3019" s="9"/>
      <c r="M3019" s="9"/>
      <c r="N3019" s="9"/>
      <c r="O3019" s="9"/>
      <c r="P3019" s="9"/>
      <c r="Q3019" s="9"/>
      <c r="R3019" s="9"/>
      <c r="S3019" s="9"/>
      <c r="T3019" s="9"/>
      <c r="U3019" s="9"/>
      <c r="V3019" s="9"/>
      <c r="W3019" s="9"/>
      <c r="X3019" s="9"/>
      <c r="Y3019" s="9"/>
      <c r="Z3019" s="9"/>
      <c r="AA3019" s="9"/>
      <c r="AB3019" s="9"/>
      <c r="AC3019" s="9"/>
      <c r="AD3019" s="9"/>
      <c r="AE3019" s="9"/>
      <c r="AF3019" s="9"/>
      <c r="AG3019" s="9"/>
      <c r="AH3019" s="9"/>
      <c r="AI3019" s="9"/>
      <c r="AJ3019" s="9"/>
      <c r="AK3019" s="9"/>
      <c r="AL3019" s="9"/>
      <c r="AM3019" s="9"/>
      <c r="AN3019" s="9"/>
      <c r="AO3019" s="9"/>
      <c r="AP3019" s="9"/>
      <c r="AQ3019" s="9"/>
      <c r="AR3019" s="9"/>
      <c r="AS3019" s="9"/>
      <c r="AT3019" s="9"/>
      <c r="AU3019" s="9"/>
    </row>
    <row r="3020" spans="1:47" ht="15.75" customHeight="1">
      <c r="A3020" s="9"/>
      <c r="B3020" s="9"/>
      <c r="C3020" s="9"/>
      <c r="D3020" s="9"/>
      <c r="E3020" s="9"/>
      <c r="F3020" s="67"/>
      <c r="G3020" s="9"/>
      <c r="H3020" s="9"/>
      <c r="I3020" s="9"/>
      <c r="J3020" s="9"/>
      <c r="K3020" s="9"/>
      <c r="L3020" s="9"/>
      <c r="M3020" s="9"/>
      <c r="N3020" s="9"/>
      <c r="O3020" s="9"/>
      <c r="P3020" s="9"/>
      <c r="Q3020" s="9"/>
      <c r="R3020" s="9"/>
      <c r="S3020" s="9"/>
      <c r="T3020" s="9"/>
      <c r="U3020" s="9"/>
      <c r="V3020" s="9"/>
      <c r="W3020" s="9"/>
      <c r="X3020" s="9"/>
      <c r="Y3020" s="9"/>
      <c r="Z3020" s="9"/>
      <c r="AA3020" s="9"/>
      <c r="AB3020" s="9"/>
      <c r="AC3020" s="9"/>
      <c r="AD3020" s="9"/>
      <c r="AE3020" s="9"/>
      <c r="AF3020" s="9"/>
      <c r="AG3020" s="9"/>
      <c r="AH3020" s="9"/>
      <c r="AI3020" s="9"/>
      <c r="AJ3020" s="9"/>
      <c r="AK3020" s="9"/>
      <c r="AL3020" s="9"/>
      <c r="AM3020" s="9"/>
      <c r="AN3020" s="9"/>
      <c r="AO3020" s="9"/>
      <c r="AP3020" s="9"/>
      <c r="AQ3020" s="9"/>
      <c r="AR3020" s="9"/>
      <c r="AS3020" s="9"/>
      <c r="AT3020" s="9"/>
      <c r="AU3020" s="9"/>
    </row>
    <row r="3021" spans="1:47" ht="15.75" customHeight="1">
      <c r="A3021" s="9"/>
      <c r="B3021" s="9"/>
      <c r="C3021" s="9"/>
      <c r="D3021" s="9"/>
      <c r="E3021" s="9"/>
      <c r="F3021" s="67"/>
      <c r="G3021" s="9"/>
      <c r="H3021" s="9"/>
      <c r="I3021" s="9"/>
      <c r="J3021" s="9"/>
      <c r="K3021" s="9"/>
      <c r="L3021" s="9"/>
      <c r="M3021" s="9"/>
      <c r="N3021" s="9"/>
      <c r="O3021" s="9"/>
      <c r="P3021" s="9"/>
      <c r="Q3021" s="9"/>
      <c r="R3021" s="9"/>
      <c r="S3021" s="9"/>
      <c r="T3021" s="9"/>
      <c r="U3021" s="9"/>
      <c r="V3021" s="9"/>
      <c r="W3021" s="9"/>
      <c r="X3021" s="9"/>
      <c r="Y3021" s="9"/>
      <c r="Z3021" s="9"/>
      <c r="AA3021" s="9"/>
      <c r="AB3021" s="9"/>
      <c r="AC3021" s="9"/>
      <c r="AD3021" s="9"/>
      <c r="AE3021" s="9"/>
      <c r="AF3021" s="9"/>
      <c r="AG3021" s="9"/>
      <c r="AH3021" s="9"/>
      <c r="AI3021" s="9"/>
      <c r="AJ3021" s="9"/>
      <c r="AK3021" s="9"/>
      <c r="AL3021" s="9"/>
      <c r="AM3021" s="9"/>
      <c r="AN3021" s="9"/>
      <c r="AO3021" s="9"/>
      <c r="AP3021" s="9"/>
      <c r="AQ3021" s="9"/>
      <c r="AR3021" s="9"/>
      <c r="AS3021" s="9"/>
      <c r="AT3021" s="9"/>
      <c r="AU3021" s="9"/>
    </row>
    <row r="3022" spans="1:47" ht="15.75" customHeight="1">
      <c r="A3022" s="9"/>
      <c r="B3022" s="9"/>
      <c r="C3022" s="9"/>
      <c r="D3022" s="9"/>
      <c r="E3022" s="9"/>
      <c r="F3022" s="67"/>
      <c r="G3022" s="9"/>
      <c r="H3022" s="9"/>
      <c r="I3022" s="9"/>
      <c r="J3022" s="9"/>
      <c r="K3022" s="9"/>
      <c r="L3022" s="9"/>
      <c r="M3022" s="9"/>
      <c r="N3022" s="9"/>
      <c r="O3022" s="9"/>
      <c r="P3022" s="9"/>
      <c r="Q3022" s="9"/>
      <c r="R3022" s="9"/>
      <c r="S3022" s="9"/>
      <c r="T3022" s="9"/>
      <c r="U3022" s="9"/>
      <c r="V3022" s="9"/>
      <c r="W3022" s="9"/>
      <c r="X3022" s="9"/>
      <c r="Y3022" s="9"/>
      <c r="Z3022" s="9"/>
      <c r="AA3022" s="9"/>
      <c r="AB3022" s="9"/>
      <c r="AC3022" s="9"/>
      <c r="AD3022" s="9"/>
      <c r="AE3022" s="9"/>
      <c r="AF3022" s="9"/>
      <c r="AG3022" s="9"/>
      <c r="AH3022" s="9"/>
      <c r="AI3022" s="9"/>
      <c r="AJ3022" s="9"/>
      <c r="AK3022" s="9"/>
      <c r="AL3022" s="9"/>
      <c r="AM3022" s="9"/>
      <c r="AN3022" s="9"/>
      <c r="AO3022" s="9"/>
      <c r="AP3022" s="9"/>
      <c r="AQ3022" s="9"/>
      <c r="AR3022" s="9"/>
      <c r="AS3022" s="9"/>
      <c r="AT3022" s="9"/>
      <c r="AU3022" s="9"/>
    </row>
    <row r="3023" spans="1:47" ht="15.75" customHeight="1">
      <c r="A3023" s="9"/>
      <c r="B3023" s="9"/>
      <c r="C3023" s="9"/>
      <c r="D3023" s="9"/>
      <c r="E3023" s="9"/>
      <c r="F3023" s="67"/>
      <c r="G3023" s="9"/>
      <c r="H3023" s="9"/>
      <c r="I3023" s="9"/>
      <c r="J3023" s="9"/>
      <c r="K3023" s="9"/>
      <c r="L3023" s="9"/>
      <c r="M3023" s="9"/>
      <c r="N3023" s="9"/>
      <c r="O3023" s="9"/>
      <c r="P3023" s="9"/>
      <c r="Q3023" s="9"/>
      <c r="R3023" s="9"/>
      <c r="S3023" s="9"/>
      <c r="T3023" s="9"/>
      <c r="U3023" s="9"/>
      <c r="V3023" s="9"/>
      <c r="W3023" s="9"/>
      <c r="X3023" s="9"/>
      <c r="Y3023" s="9"/>
      <c r="Z3023" s="9"/>
      <c r="AA3023" s="9"/>
      <c r="AB3023" s="9"/>
      <c r="AC3023" s="9"/>
      <c r="AD3023" s="9"/>
      <c r="AE3023" s="9"/>
      <c r="AF3023" s="9"/>
      <c r="AG3023" s="9"/>
      <c r="AH3023" s="9"/>
      <c r="AI3023" s="9"/>
      <c r="AJ3023" s="9"/>
      <c r="AK3023" s="9"/>
      <c r="AL3023" s="9"/>
      <c r="AM3023" s="9"/>
      <c r="AN3023" s="9"/>
      <c r="AO3023" s="9"/>
      <c r="AP3023" s="9"/>
      <c r="AQ3023" s="9"/>
      <c r="AR3023" s="9"/>
      <c r="AS3023" s="9"/>
      <c r="AT3023" s="9"/>
      <c r="AU3023" s="9"/>
    </row>
    <row r="3024" spans="1:47" ht="15.75" customHeight="1">
      <c r="A3024" s="9"/>
      <c r="B3024" s="9"/>
      <c r="C3024" s="9"/>
      <c r="D3024" s="9"/>
      <c r="E3024" s="9"/>
      <c r="F3024" s="67"/>
      <c r="G3024" s="9"/>
      <c r="H3024" s="9"/>
      <c r="I3024" s="9"/>
      <c r="J3024" s="9"/>
      <c r="K3024" s="9"/>
      <c r="L3024" s="9"/>
      <c r="M3024" s="9"/>
      <c r="N3024" s="9"/>
      <c r="O3024" s="9"/>
      <c r="P3024" s="9"/>
      <c r="Q3024" s="9"/>
      <c r="R3024" s="9"/>
      <c r="S3024" s="9"/>
      <c r="T3024" s="9"/>
      <c r="U3024" s="9"/>
      <c r="V3024" s="9"/>
      <c r="W3024" s="9"/>
      <c r="X3024" s="9"/>
      <c r="Y3024" s="9"/>
      <c r="Z3024" s="9"/>
      <c r="AA3024" s="9"/>
      <c r="AB3024" s="9"/>
      <c r="AC3024" s="9"/>
      <c r="AD3024" s="9"/>
      <c r="AE3024" s="9"/>
      <c r="AF3024" s="9"/>
      <c r="AG3024" s="9"/>
      <c r="AH3024" s="9"/>
      <c r="AI3024" s="9"/>
      <c r="AJ3024" s="9"/>
      <c r="AK3024" s="9"/>
      <c r="AL3024" s="9"/>
      <c r="AM3024" s="9"/>
      <c r="AN3024" s="9"/>
      <c r="AO3024" s="9"/>
      <c r="AP3024" s="9"/>
      <c r="AQ3024" s="9"/>
      <c r="AR3024" s="9"/>
      <c r="AS3024" s="9"/>
      <c r="AT3024" s="9"/>
      <c r="AU3024" s="9"/>
    </row>
    <row r="3025" spans="1:47" ht="15.75" customHeight="1">
      <c r="A3025" s="9"/>
      <c r="B3025" s="9"/>
      <c r="C3025" s="9"/>
      <c r="D3025" s="9"/>
      <c r="E3025" s="9"/>
      <c r="F3025" s="67"/>
      <c r="G3025" s="9"/>
      <c r="H3025" s="9"/>
      <c r="I3025" s="9"/>
      <c r="J3025" s="9"/>
      <c r="K3025" s="9"/>
      <c r="L3025" s="9"/>
      <c r="M3025" s="9"/>
      <c r="N3025" s="9"/>
      <c r="O3025" s="9"/>
      <c r="P3025" s="9"/>
      <c r="Q3025" s="9"/>
      <c r="R3025" s="9"/>
      <c r="S3025" s="9"/>
      <c r="T3025" s="9"/>
      <c r="U3025" s="9"/>
      <c r="V3025" s="9"/>
      <c r="W3025" s="9"/>
      <c r="X3025" s="9"/>
      <c r="Y3025" s="9"/>
      <c r="Z3025" s="9"/>
      <c r="AA3025" s="9"/>
      <c r="AB3025" s="9"/>
      <c r="AC3025" s="9"/>
      <c r="AD3025" s="9"/>
      <c r="AE3025" s="9"/>
      <c r="AF3025" s="9"/>
      <c r="AG3025" s="9"/>
      <c r="AH3025" s="9"/>
      <c r="AI3025" s="9"/>
      <c r="AJ3025" s="9"/>
      <c r="AK3025" s="9"/>
      <c r="AL3025" s="9"/>
      <c r="AM3025" s="9"/>
      <c r="AN3025" s="9"/>
      <c r="AO3025" s="9"/>
      <c r="AP3025" s="9"/>
      <c r="AQ3025" s="9"/>
      <c r="AR3025" s="9"/>
      <c r="AS3025" s="9"/>
      <c r="AT3025" s="9"/>
      <c r="AU3025" s="9"/>
    </row>
    <row r="3026" spans="1:47" ht="15.75" customHeight="1">
      <c r="A3026" s="9"/>
      <c r="B3026" s="9"/>
      <c r="C3026" s="9"/>
      <c r="D3026" s="9"/>
      <c r="E3026" s="9"/>
      <c r="F3026" s="67"/>
      <c r="G3026" s="9"/>
      <c r="H3026" s="9"/>
      <c r="I3026" s="9"/>
      <c r="J3026" s="9"/>
      <c r="K3026" s="9"/>
      <c r="L3026" s="9"/>
      <c r="M3026" s="9"/>
      <c r="N3026" s="9"/>
      <c r="O3026" s="9"/>
      <c r="P3026" s="9"/>
      <c r="Q3026" s="9"/>
      <c r="R3026" s="9"/>
      <c r="S3026" s="9"/>
      <c r="T3026" s="9"/>
      <c r="U3026" s="9"/>
      <c r="V3026" s="9"/>
      <c r="W3026" s="9"/>
      <c r="X3026" s="9"/>
      <c r="Y3026" s="9"/>
      <c r="Z3026" s="9"/>
      <c r="AA3026" s="9"/>
      <c r="AB3026" s="9"/>
      <c r="AC3026" s="9"/>
      <c r="AD3026" s="9"/>
      <c r="AE3026" s="9"/>
      <c r="AF3026" s="9"/>
      <c r="AG3026" s="9"/>
      <c r="AH3026" s="9"/>
      <c r="AI3026" s="9"/>
      <c r="AJ3026" s="9"/>
      <c r="AK3026" s="9"/>
      <c r="AL3026" s="9"/>
      <c r="AM3026" s="9"/>
      <c r="AN3026" s="9"/>
      <c r="AO3026" s="9"/>
      <c r="AP3026" s="9"/>
      <c r="AQ3026" s="9"/>
      <c r="AR3026" s="9"/>
      <c r="AS3026" s="9"/>
      <c r="AT3026" s="9"/>
      <c r="AU3026" s="9"/>
    </row>
    <row r="3027" spans="1:47" ht="15.75" customHeight="1">
      <c r="A3027" s="9"/>
      <c r="B3027" s="9"/>
      <c r="C3027" s="9"/>
      <c r="D3027" s="9"/>
      <c r="E3027" s="9"/>
      <c r="F3027" s="67"/>
      <c r="G3027" s="9"/>
      <c r="H3027" s="9"/>
      <c r="I3027" s="9"/>
      <c r="J3027" s="9"/>
      <c r="K3027" s="9"/>
      <c r="L3027" s="9"/>
      <c r="M3027" s="9"/>
      <c r="N3027" s="9"/>
      <c r="O3027" s="9"/>
      <c r="P3027" s="9"/>
      <c r="Q3027" s="9"/>
      <c r="R3027" s="9"/>
      <c r="S3027" s="9"/>
      <c r="T3027" s="9"/>
      <c r="U3027" s="9"/>
      <c r="V3027" s="9"/>
      <c r="W3027" s="9"/>
      <c r="X3027" s="9"/>
      <c r="Y3027" s="9"/>
      <c r="Z3027" s="9"/>
      <c r="AA3027" s="9"/>
      <c r="AB3027" s="9"/>
      <c r="AC3027" s="9"/>
      <c r="AD3027" s="9"/>
      <c r="AE3027" s="9"/>
      <c r="AF3027" s="9"/>
      <c r="AG3027" s="9"/>
      <c r="AH3027" s="9"/>
      <c r="AI3027" s="9"/>
      <c r="AJ3027" s="9"/>
      <c r="AK3027" s="9"/>
      <c r="AL3027" s="9"/>
      <c r="AM3027" s="9"/>
      <c r="AN3027" s="9"/>
      <c r="AO3027" s="9"/>
      <c r="AP3027" s="9"/>
      <c r="AQ3027" s="9"/>
      <c r="AR3027" s="9"/>
      <c r="AS3027" s="9"/>
      <c r="AT3027" s="9"/>
      <c r="AU3027" s="9"/>
    </row>
    <row r="3028" spans="1:47" ht="15.75" customHeight="1">
      <c r="A3028" s="9"/>
      <c r="B3028" s="9"/>
      <c r="C3028" s="9"/>
      <c r="D3028" s="9"/>
      <c r="E3028" s="9"/>
      <c r="F3028" s="67"/>
      <c r="G3028" s="9"/>
      <c r="H3028" s="9"/>
      <c r="I3028" s="9"/>
      <c r="J3028" s="9"/>
      <c r="K3028" s="9"/>
      <c r="L3028" s="9"/>
      <c r="M3028" s="9"/>
      <c r="N3028" s="9"/>
      <c r="O3028" s="9"/>
      <c r="P3028" s="9"/>
      <c r="Q3028" s="9"/>
      <c r="R3028" s="9"/>
      <c r="S3028" s="9"/>
      <c r="T3028" s="9"/>
      <c r="U3028" s="9"/>
      <c r="V3028" s="9"/>
      <c r="W3028" s="9"/>
      <c r="X3028" s="9"/>
      <c r="Y3028" s="9"/>
      <c r="Z3028" s="9"/>
      <c r="AA3028" s="9"/>
      <c r="AB3028" s="9"/>
      <c r="AC3028" s="9"/>
      <c r="AD3028" s="9"/>
      <c r="AE3028" s="9"/>
      <c r="AF3028" s="9"/>
      <c r="AG3028" s="9"/>
      <c r="AH3028" s="9"/>
      <c r="AI3028" s="9"/>
      <c r="AJ3028" s="9"/>
      <c r="AK3028" s="9"/>
      <c r="AL3028" s="9"/>
      <c r="AM3028" s="9"/>
      <c r="AN3028" s="9"/>
      <c r="AO3028" s="9"/>
      <c r="AP3028" s="9"/>
      <c r="AQ3028" s="9"/>
      <c r="AR3028" s="9"/>
      <c r="AS3028" s="9"/>
      <c r="AT3028" s="9"/>
      <c r="AU3028" s="9"/>
    </row>
    <row r="3029" spans="1:47" ht="15.75" customHeight="1">
      <c r="A3029" s="9"/>
      <c r="B3029" s="9"/>
      <c r="C3029" s="9"/>
      <c r="D3029" s="9"/>
      <c r="E3029" s="9"/>
      <c r="F3029" s="67"/>
      <c r="G3029" s="9"/>
      <c r="H3029" s="9"/>
      <c r="I3029" s="9"/>
      <c r="J3029" s="9"/>
      <c r="K3029" s="9"/>
      <c r="L3029" s="9"/>
      <c r="M3029" s="9"/>
      <c r="N3029" s="9"/>
      <c r="O3029" s="9"/>
      <c r="P3029" s="9"/>
      <c r="Q3029" s="9"/>
      <c r="R3029" s="9"/>
      <c r="S3029" s="9"/>
      <c r="T3029" s="9"/>
      <c r="U3029" s="9"/>
      <c r="V3029" s="9"/>
      <c r="W3029" s="9"/>
      <c r="X3029" s="9"/>
      <c r="Y3029" s="9"/>
      <c r="Z3029" s="9"/>
      <c r="AA3029" s="9"/>
      <c r="AB3029" s="9"/>
      <c r="AC3029" s="9"/>
      <c r="AD3029" s="9"/>
      <c r="AE3029" s="9"/>
      <c r="AF3029" s="9"/>
      <c r="AG3029" s="9"/>
      <c r="AH3029" s="9"/>
      <c r="AI3029" s="9"/>
      <c r="AJ3029" s="9"/>
      <c r="AK3029" s="9"/>
      <c r="AL3029" s="9"/>
      <c r="AM3029" s="9"/>
      <c r="AN3029" s="9"/>
      <c r="AO3029" s="9"/>
      <c r="AP3029" s="9"/>
      <c r="AQ3029" s="9"/>
      <c r="AR3029" s="9"/>
      <c r="AS3029" s="9"/>
      <c r="AT3029" s="9"/>
      <c r="AU3029" s="9"/>
    </row>
    <row r="3030" spans="1:47" ht="15.75" customHeight="1">
      <c r="A3030" s="9"/>
      <c r="B3030" s="9"/>
      <c r="C3030" s="9"/>
      <c r="D3030" s="9"/>
      <c r="E3030" s="9"/>
      <c r="F3030" s="67"/>
      <c r="G3030" s="9"/>
      <c r="H3030" s="9"/>
      <c r="I3030" s="9"/>
      <c r="J3030" s="9"/>
      <c r="K3030" s="9"/>
      <c r="L3030" s="9"/>
      <c r="M3030" s="9"/>
      <c r="N3030" s="9"/>
      <c r="O3030" s="9"/>
      <c r="P3030" s="9"/>
      <c r="Q3030" s="9"/>
      <c r="R3030" s="9"/>
      <c r="S3030" s="9"/>
      <c r="T3030" s="9"/>
      <c r="U3030" s="9"/>
      <c r="V3030" s="9"/>
      <c r="W3030" s="9"/>
      <c r="X3030" s="9"/>
      <c r="Y3030" s="9"/>
      <c r="Z3030" s="9"/>
      <c r="AA3030" s="9"/>
      <c r="AB3030" s="9"/>
      <c r="AC3030" s="9"/>
      <c r="AD3030" s="9"/>
      <c r="AE3030" s="9"/>
      <c r="AF3030" s="9"/>
      <c r="AG3030" s="9"/>
      <c r="AH3030" s="9"/>
      <c r="AI3030" s="9"/>
      <c r="AJ3030" s="9"/>
      <c r="AK3030" s="9"/>
      <c r="AL3030" s="9"/>
      <c r="AM3030" s="9"/>
      <c r="AN3030" s="9"/>
      <c r="AO3030" s="9"/>
      <c r="AP3030" s="9"/>
      <c r="AQ3030" s="9"/>
      <c r="AR3030" s="9"/>
      <c r="AS3030" s="9"/>
      <c r="AT3030" s="9"/>
      <c r="AU3030" s="9"/>
    </row>
    <row r="3031" spans="1:47" ht="15.75" customHeight="1">
      <c r="A3031" s="9"/>
      <c r="B3031" s="9"/>
      <c r="C3031" s="9"/>
      <c r="D3031" s="9"/>
      <c r="E3031" s="9"/>
      <c r="F3031" s="67"/>
      <c r="G3031" s="9"/>
      <c r="H3031" s="9"/>
      <c r="I3031" s="9"/>
      <c r="J3031" s="9"/>
      <c r="K3031" s="9"/>
      <c r="L3031" s="9"/>
      <c r="M3031" s="9"/>
      <c r="N3031" s="9"/>
      <c r="O3031" s="9"/>
      <c r="P3031" s="9"/>
      <c r="Q3031" s="9"/>
      <c r="R3031" s="9"/>
      <c r="S3031" s="9"/>
      <c r="T3031" s="9"/>
      <c r="U3031" s="9"/>
      <c r="V3031" s="9"/>
      <c r="W3031" s="9"/>
      <c r="X3031" s="9"/>
      <c r="Y3031" s="9"/>
      <c r="Z3031" s="9"/>
      <c r="AA3031" s="9"/>
      <c r="AB3031" s="9"/>
      <c r="AC3031" s="9"/>
      <c r="AD3031" s="9"/>
      <c r="AE3031" s="9"/>
      <c r="AF3031" s="9"/>
      <c r="AG3031" s="9"/>
      <c r="AH3031" s="9"/>
      <c r="AI3031" s="9"/>
      <c r="AJ3031" s="9"/>
      <c r="AK3031" s="9"/>
      <c r="AL3031" s="9"/>
      <c r="AM3031" s="9"/>
      <c r="AN3031" s="9"/>
      <c r="AO3031" s="9"/>
      <c r="AP3031" s="9"/>
      <c r="AQ3031" s="9"/>
      <c r="AR3031" s="9"/>
      <c r="AS3031" s="9"/>
      <c r="AT3031" s="9"/>
      <c r="AU3031" s="9"/>
    </row>
    <row r="3032" spans="1:47" ht="15.75" customHeight="1">
      <c r="A3032" s="9"/>
      <c r="B3032" s="9"/>
      <c r="C3032" s="9"/>
      <c r="D3032" s="9"/>
      <c r="E3032" s="9"/>
      <c r="F3032" s="67"/>
      <c r="G3032" s="9"/>
      <c r="H3032" s="9"/>
      <c r="I3032" s="9"/>
      <c r="J3032" s="9"/>
      <c r="K3032" s="9"/>
      <c r="L3032" s="9"/>
      <c r="M3032" s="9"/>
      <c r="N3032" s="9"/>
      <c r="O3032" s="9"/>
      <c r="P3032" s="9"/>
      <c r="Q3032" s="9"/>
      <c r="R3032" s="9"/>
      <c r="S3032" s="9"/>
      <c r="T3032" s="9"/>
      <c r="U3032" s="9"/>
      <c r="V3032" s="9"/>
      <c r="W3032" s="9"/>
      <c r="X3032" s="9"/>
      <c r="Y3032" s="9"/>
      <c r="Z3032" s="9"/>
      <c r="AA3032" s="9"/>
      <c r="AB3032" s="9"/>
      <c r="AC3032" s="9"/>
      <c r="AD3032" s="9"/>
      <c r="AE3032" s="9"/>
      <c r="AF3032" s="9"/>
      <c r="AG3032" s="9"/>
      <c r="AH3032" s="9"/>
      <c r="AI3032" s="9"/>
      <c r="AJ3032" s="9"/>
      <c r="AK3032" s="9"/>
      <c r="AL3032" s="9"/>
      <c r="AM3032" s="9"/>
      <c r="AN3032" s="9"/>
      <c r="AO3032" s="9"/>
      <c r="AP3032" s="9"/>
      <c r="AQ3032" s="9"/>
      <c r="AR3032" s="9"/>
      <c r="AS3032" s="9"/>
      <c r="AT3032" s="9"/>
      <c r="AU3032" s="9"/>
    </row>
    <row r="3033" spans="1:47" ht="15.75" customHeight="1">
      <c r="A3033" s="9"/>
      <c r="B3033" s="9"/>
      <c r="C3033" s="9"/>
      <c r="D3033" s="9"/>
      <c r="E3033" s="9"/>
      <c r="F3033" s="67"/>
      <c r="G3033" s="9"/>
      <c r="H3033" s="9"/>
      <c r="I3033" s="9"/>
      <c r="J3033" s="9"/>
      <c r="K3033" s="9"/>
      <c r="L3033" s="9"/>
      <c r="M3033" s="9"/>
      <c r="N3033" s="9"/>
      <c r="O3033" s="9"/>
      <c r="P3033" s="9"/>
      <c r="Q3033" s="9"/>
      <c r="R3033" s="9"/>
      <c r="S3033" s="9"/>
      <c r="T3033" s="9"/>
      <c r="U3033" s="9"/>
      <c r="V3033" s="9"/>
      <c r="W3033" s="9"/>
      <c r="X3033" s="9"/>
      <c r="Y3033" s="9"/>
      <c r="Z3033" s="9"/>
      <c r="AA3033" s="9"/>
      <c r="AB3033" s="9"/>
      <c r="AC3033" s="9"/>
      <c r="AD3033" s="9"/>
      <c r="AE3033" s="9"/>
      <c r="AF3033" s="9"/>
      <c r="AG3033" s="9"/>
      <c r="AH3033" s="9"/>
      <c r="AI3033" s="9"/>
      <c r="AJ3033" s="9"/>
      <c r="AK3033" s="9"/>
      <c r="AL3033" s="9"/>
      <c r="AM3033" s="9"/>
      <c r="AN3033" s="9"/>
      <c r="AO3033" s="9"/>
      <c r="AP3033" s="9"/>
      <c r="AQ3033" s="9"/>
      <c r="AR3033" s="9"/>
      <c r="AS3033" s="9"/>
      <c r="AT3033" s="9"/>
      <c r="AU3033" s="9"/>
    </row>
    <row r="3034" spans="1:47" ht="15.75" customHeight="1">
      <c r="A3034" s="9"/>
      <c r="B3034" s="9"/>
      <c r="C3034" s="9"/>
      <c r="D3034" s="9"/>
      <c r="E3034" s="9"/>
      <c r="F3034" s="67"/>
      <c r="G3034" s="9"/>
      <c r="H3034" s="9"/>
      <c r="I3034" s="9"/>
      <c r="J3034" s="9"/>
      <c r="K3034" s="9"/>
      <c r="L3034" s="9"/>
      <c r="M3034" s="9"/>
      <c r="N3034" s="9"/>
      <c r="O3034" s="9"/>
      <c r="P3034" s="9"/>
      <c r="Q3034" s="9"/>
      <c r="R3034" s="9"/>
      <c r="S3034" s="9"/>
      <c r="T3034" s="9"/>
      <c r="U3034" s="9"/>
      <c r="V3034" s="9"/>
      <c r="W3034" s="9"/>
      <c r="X3034" s="9"/>
      <c r="Y3034" s="9"/>
      <c r="Z3034" s="9"/>
      <c r="AA3034" s="9"/>
      <c r="AB3034" s="9"/>
      <c r="AC3034" s="9"/>
      <c r="AD3034" s="9"/>
      <c r="AE3034" s="9"/>
      <c r="AF3034" s="9"/>
      <c r="AG3034" s="9"/>
      <c r="AH3034" s="9"/>
      <c r="AI3034" s="9"/>
      <c r="AJ3034" s="9"/>
      <c r="AK3034" s="9"/>
      <c r="AL3034" s="9"/>
      <c r="AM3034" s="9"/>
      <c r="AN3034" s="9"/>
      <c r="AO3034" s="9"/>
      <c r="AP3034" s="9"/>
      <c r="AQ3034" s="9"/>
      <c r="AR3034" s="9"/>
      <c r="AS3034" s="9"/>
      <c r="AT3034" s="9"/>
      <c r="AU3034" s="9"/>
    </row>
    <row r="3035" spans="1:47" ht="15.75" customHeight="1">
      <c r="A3035" s="9"/>
      <c r="B3035" s="9"/>
      <c r="C3035" s="9"/>
      <c r="D3035" s="9"/>
      <c r="E3035" s="9"/>
      <c r="F3035" s="67"/>
      <c r="G3035" s="9"/>
      <c r="H3035" s="9"/>
      <c r="I3035" s="9"/>
      <c r="J3035" s="9"/>
      <c r="K3035" s="9"/>
      <c r="L3035" s="9"/>
      <c r="M3035" s="9"/>
      <c r="N3035" s="9"/>
      <c r="O3035" s="9"/>
      <c r="P3035" s="9"/>
      <c r="Q3035" s="9"/>
      <c r="R3035" s="9"/>
      <c r="S3035" s="9"/>
      <c r="T3035" s="9"/>
      <c r="U3035" s="9"/>
      <c r="V3035" s="9"/>
      <c r="W3035" s="9"/>
      <c r="X3035" s="9"/>
      <c r="Y3035" s="9"/>
      <c r="Z3035" s="9"/>
      <c r="AA3035" s="9"/>
      <c r="AB3035" s="9"/>
      <c r="AC3035" s="9"/>
      <c r="AD3035" s="9"/>
      <c r="AE3035" s="9"/>
      <c r="AF3035" s="9"/>
      <c r="AG3035" s="9"/>
      <c r="AH3035" s="9"/>
      <c r="AI3035" s="9"/>
      <c r="AJ3035" s="9"/>
      <c r="AK3035" s="9"/>
      <c r="AL3035" s="9"/>
      <c r="AM3035" s="9"/>
      <c r="AN3035" s="9"/>
      <c r="AO3035" s="9"/>
      <c r="AP3035" s="9"/>
      <c r="AQ3035" s="9"/>
      <c r="AR3035" s="9"/>
      <c r="AS3035" s="9"/>
      <c r="AT3035" s="9"/>
      <c r="AU3035" s="9"/>
    </row>
    <row r="3036" spans="1:47" ht="15.75" customHeight="1">
      <c r="A3036" s="9"/>
      <c r="B3036" s="9"/>
      <c r="C3036" s="9"/>
      <c r="D3036" s="9"/>
      <c r="E3036" s="9"/>
      <c r="F3036" s="67"/>
      <c r="G3036" s="9"/>
      <c r="H3036" s="9"/>
      <c r="I3036" s="9"/>
      <c r="J3036" s="9"/>
      <c r="K3036" s="9"/>
      <c r="L3036" s="9"/>
      <c r="M3036" s="9"/>
      <c r="N3036" s="9"/>
      <c r="O3036" s="9"/>
      <c r="P3036" s="9"/>
      <c r="Q3036" s="9"/>
      <c r="R3036" s="9"/>
      <c r="S3036" s="9"/>
      <c r="T3036" s="9"/>
      <c r="U3036" s="9"/>
      <c r="V3036" s="9"/>
      <c r="W3036" s="9"/>
      <c r="X3036" s="9"/>
      <c r="Y3036" s="9"/>
      <c r="Z3036" s="9"/>
      <c r="AA3036" s="9"/>
      <c r="AB3036" s="9"/>
      <c r="AC3036" s="9"/>
      <c r="AD3036" s="9"/>
      <c r="AE3036" s="9"/>
      <c r="AF3036" s="9"/>
      <c r="AG3036" s="9"/>
      <c r="AH3036" s="9"/>
      <c r="AI3036" s="9"/>
      <c r="AJ3036" s="9"/>
      <c r="AK3036" s="9"/>
      <c r="AL3036" s="9"/>
      <c r="AM3036" s="9"/>
      <c r="AN3036" s="9"/>
      <c r="AO3036" s="9"/>
      <c r="AP3036" s="9"/>
      <c r="AQ3036" s="9"/>
      <c r="AR3036" s="9"/>
      <c r="AS3036" s="9"/>
      <c r="AT3036" s="9"/>
      <c r="AU3036" s="9"/>
    </row>
    <row r="3037" spans="1:47" ht="15.75" customHeight="1">
      <c r="A3037" s="9"/>
      <c r="B3037" s="9"/>
      <c r="C3037" s="9"/>
      <c r="D3037" s="9"/>
      <c r="E3037" s="9"/>
      <c r="F3037" s="67"/>
      <c r="G3037" s="9"/>
      <c r="H3037" s="9"/>
      <c r="I3037" s="9"/>
      <c r="J3037" s="9"/>
      <c r="K3037" s="9"/>
      <c r="L3037" s="9"/>
      <c r="M3037" s="9"/>
      <c r="N3037" s="9"/>
      <c r="O3037" s="9"/>
      <c r="P3037" s="9"/>
      <c r="Q3037" s="9"/>
      <c r="R3037" s="9"/>
      <c r="S3037" s="9"/>
      <c r="T3037" s="9"/>
      <c r="U3037" s="9"/>
      <c r="V3037" s="9"/>
      <c r="W3037" s="9"/>
      <c r="X3037" s="9"/>
      <c r="Y3037" s="9"/>
      <c r="Z3037" s="9"/>
      <c r="AA3037" s="9"/>
      <c r="AB3037" s="9"/>
      <c r="AC3037" s="9"/>
      <c r="AD3037" s="9"/>
      <c r="AE3037" s="9"/>
      <c r="AF3037" s="9"/>
      <c r="AG3037" s="9"/>
      <c r="AH3037" s="9"/>
      <c r="AI3037" s="9"/>
      <c r="AJ3037" s="9"/>
      <c r="AK3037" s="9"/>
      <c r="AL3037" s="9"/>
      <c r="AM3037" s="9"/>
      <c r="AN3037" s="9"/>
      <c r="AO3037" s="9"/>
      <c r="AP3037" s="9"/>
      <c r="AQ3037" s="9"/>
      <c r="AR3037" s="9"/>
      <c r="AS3037" s="9"/>
      <c r="AT3037" s="9"/>
      <c r="AU3037" s="9"/>
    </row>
    <row r="3038" spans="1:47" ht="15.75" customHeight="1">
      <c r="A3038" s="9"/>
      <c r="B3038" s="9"/>
      <c r="C3038" s="9"/>
      <c r="D3038" s="9"/>
      <c r="E3038" s="9"/>
      <c r="F3038" s="67"/>
      <c r="G3038" s="9"/>
      <c r="H3038" s="9"/>
      <c r="I3038" s="9"/>
      <c r="J3038" s="9"/>
      <c r="K3038" s="9"/>
      <c r="L3038" s="9"/>
      <c r="M3038" s="9"/>
      <c r="N3038" s="9"/>
      <c r="O3038" s="9"/>
      <c r="P3038" s="9"/>
      <c r="Q3038" s="9"/>
      <c r="R3038" s="9"/>
      <c r="S3038" s="9"/>
      <c r="T3038" s="9"/>
      <c r="U3038" s="9"/>
      <c r="V3038" s="9"/>
      <c r="W3038" s="9"/>
      <c r="X3038" s="9"/>
      <c r="Y3038" s="9"/>
      <c r="Z3038" s="9"/>
      <c r="AA3038" s="9"/>
      <c r="AB3038" s="9"/>
      <c r="AC3038" s="9"/>
      <c r="AD3038" s="9"/>
      <c r="AE3038" s="9"/>
      <c r="AF3038" s="9"/>
      <c r="AG3038" s="9"/>
      <c r="AH3038" s="9"/>
      <c r="AI3038" s="9"/>
      <c r="AJ3038" s="9"/>
      <c r="AK3038" s="9"/>
      <c r="AL3038" s="9"/>
      <c r="AM3038" s="9"/>
      <c r="AN3038" s="9"/>
      <c r="AO3038" s="9"/>
      <c r="AP3038" s="9"/>
      <c r="AQ3038" s="9"/>
      <c r="AR3038" s="9"/>
      <c r="AS3038" s="9"/>
      <c r="AT3038" s="9"/>
      <c r="AU3038" s="9"/>
    </row>
    <row r="3039" spans="1:47" ht="15.75" customHeight="1">
      <c r="A3039" s="9"/>
      <c r="B3039" s="9"/>
      <c r="C3039" s="9"/>
      <c r="D3039" s="9"/>
      <c r="E3039" s="9"/>
      <c r="F3039" s="67"/>
      <c r="G3039" s="9"/>
      <c r="H3039" s="9"/>
      <c r="I3039" s="9"/>
      <c r="J3039" s="9"/>
      <c r="K3039" s="9"/>
      <c r="L3039" s="9"/>
      <c r="M3039" s="9"/>
      <c r="N3039" s="9"/>
      <c r="O3039" s="9"/>
      <c r="P3039" s="9"/>
      <c r="Q3039" s="9"/>
      <c r="R3039" s="9"/>
      <c r="S3039" s="9"/>
      <c r="T3039" s="9"/>
      <c r="U3039" s="9"/>
      <c r="V3039" s="9"/>
      <c r="W3039" s="9"/>
      <c r="X3039" s="9"/>
      <c r="Y3039" s="9"/>
      <c r="Z3039" s="9"/>
      <c r="AA3039" s="9"/>
      <c r="AB3039" s="9"/>
      <c r="AC3039" s="9"/>
      <c r="AD3039" s="9"/>
      <c r="AE3039" s="9"/>
      <c r="AF3039" s="9"/>
      <c r="AG3039" s="9"/>
      <c r="AH3039" s="9"/>
      <c r="AI3039" s="9"/>
      <c r="AJ3039" s="9"/>
      <c r="AK3039" s="9"/>
      <c r="AL3039" s="9"/>
      <c r="AM3039" s="9"/>
      <c r="AN3039" s="9"/>
      <c r="AO3039" s="9"/>
      <c r="AP3039" s="9"/>
      <c r="AQ3039" s="9"/>
      <c r="AR3039" s="9"/>
      <c r="AS3039" s="9"/>
      <c r="AT3039" s="9"/>
      <c r="AU3039" s="9"/>
    </row>
    <row r="3040" spans="1:47" ht="15.75" customHeight="1">
      <c r="A3040" s="9"/>
      <c r="B3040" s="9"/>
      <c r="C3040" s="9"/>
      <c r="D3040" s="9"/>
      <c r="E3040" s="9"/>
      <c r="F3040" s="67"/>
      <c r="G3040" s="9"/>
      <c r="H3040" s="9"/>
      <c r="I3040" s="9"/>
      <c r="J3040" s="9"/>
      <c r="K3040" s="9"/>
      <c r="L3040" s="9"/>
      <c r="M3040" s="9"/>
      <c r="N3040" s="9"/>
      <c r="O3040" s="9"/>
      <c r="P3040" s="9"/>
      <c r="Q3040" s="9"/>
      <c r="R3040" s="9"/>
      <c r="S3040" s="9"/>
      <c r="T3040" s="9"/>
      <c r="U3040" s="9"/>
      <c r="V3040" s="9"/>
      <c r="W3040" s="9"/>
      <c r="X3040" s="9"/>
      <c r="Y3040" s="9"/>
      <c r="Z3040" s="9"/>
      <c r="AA3040" s="9"/>
      <c r="AB3040" s="9"/>
      <c r="AC3040" s="9"/>
      <c r="AD3040" s="9"/>
      <c r="AE3040" s="9"/>
      <c r="AF3040" s="9"/>
      <c r="AG3040" s="9"/>
      <c r="AH3040" s="9"/>
      <c r="AI3040" s="9"/>
      <c r="AJ3040" s="9"/>
      <c r="AK3040" s="9"/>
      <c r="AL3040" s="9"/>
      <c r="AM3040" s="9"/>
      <c r="AN3040" s="9"/>
      <c r="AO3040" s="9"/>
      <c r="AP3040" s="9"/>
      <c r="AQ3040" s="9"/>
      <c r="AR3040" s="9"/>
      <c r="AS3040" s="9"/>
      <c r="AT3040" s="9"/>
      <c r="AU3040" s="9"/>
    </row>
    <row r="3041" spans="1:47" ht="15.75" customHeight="1">
      <c r="A3041" s="9"/>
      <c r="B3041" s="9"/>
      <c r="C3041" s="9"/>
      <c r="D3041" s="9"/>
      <c r="E3041" s="9"/>
      <c r="F3041" s="67"/>
      <c r="G3041" s="9"/>
      <c r="H3041" s="9"/>
      <c r="I3041" s="9"/>
      <c r="J3041" s="9"/>
      <c r="K3041" s="9"/>
      <c r="L3041" s="9"/>
      <c r="M3041" s="9"/>
      <c r="N3041" s="9"/>
      <c r="O3041" s="9"/>
      <c r="P3041" s="9"/>
      <c r="Q3041" s="9"/>
      <c r="R3041" s="9"/>
      <c r="S3041" s="9"/>
      <c r="T3041" s="9"/>
      <c r="U3041" s="9"/>
      <c r="V3041" s="9"/>
      <c r="W3041" s="9"/>
      <c r="X3041" s="9"/>
      <c r="Y3041" s="9"/>
      <c r="Z3041" s="9"/>
      <c r="AA3041" s="9"/>
      <c r="AB3041" s="9"/>
      <c r="AC3041" s="9"/>
      <c r="AD3041" s="9"/>
      <c r="AE3041" s="9"/>
      <c r="AF3041" s="9"/>
      <c r="AG3041" s="9"/>
      <c r="AH3041" s="9"/>
      <c r="AI3041" s="9"/>
      <c r="AJ3041" s="9"/>
      <c r="AK3041" s="9"/>
      <c r="AL3041" s="9"/>
      <c r="AM3041" s="9"/>
      <c r="AN3041" s="9"/>
      <c r="AO3041" s="9"/>
      <c r="AP3041" s="9"/>
      <c r="AQ3041" s="9"/>
      <c r="AR3041" s="9"/>
      <c r="AS3041" s="9"/>
      <c r="AT3041" s="9"/>
      <c r="AU3041" s="9"/>
    </row>
    <row r="3042" spans="1:47" ht="15.75" customHeight="1">
      <c r="A3042" s="9"/>
      <c r="B3042" s="9"/>
      <c r="C3042" s="9"/>
      <c r="D3042" s="9"/>
      <c r="E3042" s="9"/>
      <c r="F3042" s="67"/>
      <c r="G3042" s="9"/>
      <c r="H3042" s="9"/>
      <c r="I3042" s="9"/>
      <c r="J3042" s="9"/>
      <c r="K3042" s="9"/>
      <c r="L3042" s="9"/>
      <c r="M3042" s="9"/>
      <c r="N3042" s="9"/>
      <c r="O3042" s="9"/>
      <c r="P3042" s="9"/>
      <c r="Q3042" s="9"/>
      <c r="R3042" s="9"/>
      <c r="S3042" s="9"/>
      <c r="T3042" s="9"/>
      <c r="U3042" s="9"/>
      <c r="V3042" s="9"/>
      <c r="W3042" s="9"/>
      <c r="X3042" s="9"/>
      <c r="Y3042" s="9"/>
      <c r="Z3042" s="9"/>
      <c r="AA3042" s="9"/>
      <c r="AB3042" s="9"/>
      <c r="AC3042" s="9"/>
      <c r="AD3042" s="9"/>
      <c r="AE3042" s="9"/>
      <c r="AF3042" s="9"/>
      <c r="AG3042" s="9"/>
      <c r="AH3042" s="9"/>
      <c r="AI3042" s="9"/>
      <c r="AJ3042" s="9"/>
      <c r="AK3042" s="9"/>
      <c r="AL3042" s="9"/>
      <c r="AM3042" s="9"/>
      <c r="AN3042" s="9"/>
      <c r="AO3042" s="9"/>
      <c r="AP3042" s="9"/>
      <c r="AQ3042" s="9"/>
      <c r="AR3042" s="9"/>
      <c r="AS3042" s="9"/>
      <c r="AT3042" s="9"/>
      <c r="AU3042" s="9"/>
    </row>
    <row r="3043" spans="1:47" ht="15.75" customHeight="1">
      <c r="A3043" s="9"/>
      <c r="B3043" s="9"/>
      <c r="C3043" s="9"/>
      <c r="D3043" s="9"/>
      <c r="E3043" s="9"/>
      <c r="F3043" s="67"/>
      <c r="G3043" s="9"/>
      <c r="H3043" s="9"/>
      <c r="I3043" s="9"/>
      <c r="J3043" s="9"/>
      <c r="K3043" s="9"/>
      <c r="L3043" s="9"/>
      <c r="M3043" s="9"/>
      <c r="N3043" s="9"/>
      <c r="O3043" s="9"/>
      <c r="P3043" s="9"/>
      <c r="Q3043" s="9"/>
      <c r="R3043" s="9"/>
      <c r="S3043" s="9"/>
      <c r="T3043" s="9"/>
      <c r="U3043" s="9"/>
      <c r="V3043" s="9"/>
      <c r="W3043" s="9"/>
      <c r="X3043" s="9"/>
      <c r="Y3043" s="9"/>
      <c r="Z3043" s="9"/>
      <c r="AA3043" s="9"/>
      <c r="AB3043" s="9"/>
      <c r="AC3043" s="9"/>
      <c r="AD3043" s="9"/>
      <c r="AE3043" s="9"/>
      <c r="AF3043" s="9"/>
      <c r="AG3043" s="9"/>
      <c r="AH3043" s="9"/>
      <c r="AI3043" s="9"/>
      <c r="AJ3043" s="9"/>
      <c r="AK3043" s="9"/>
      <c r="AL3043" s="9"/>
      <c r="AM3043" s="9"/>
      <c r="AN3043" s="9"/>
      <c r="AO3043" s="9"/>
      <c r="AP3043" s="9"/>
      <c r="AQ3043" s="9"/>
      <c r="AR3043" s="9"/>
      <c r="AS3043" s="9"/>
      <c r="AT3043" s="9"/>
      <c r="AU3043" s="9"/>
    </row>
    <row r="3044" spans="1:47" ht="15.75" customHeight="1">
      <c r="A3044" s="9"/>
      <c r="B3044" s="9"/>
      <c r="C3044" s="9"/>
      <c r="D3044" s="9"/>
      <c r="E3044" s="9"/>
      <c r="F3044" s="67"/>
      <c r="G3044" s="9"/>
      <c r="H3044" s="9"/>
      <c r="I3044" s="9"/>
      <c r="J3044" s="9"/>
      <c r="K3044" s="9"/>
      <c r="L3044" s="9"/>
      <c r="M3044" s="9"/>
      <c r="N3044" s="9"/>
      <c r="O3044" s="9"/>
      <c r="P3044" s="9"/>
      <c r="Q3044" s="9"/>
      <c r="R3044" s="9"/>
      <c r="S3044" s="9"/>
      <c r="T3044" s="9"/>
      <c r="U3044" s="9"/>
      <c r="V3044" s="9"/>
      <c r="W3044" s="9"/>
      <c r="X3044" s="9"/>
      <c r="Y3044" s="9"/>
      <c r="Z3044" s="9"/>
      <c r="AA3044" s="9"/>
      <c r="AB3044" s="9"/>
      <c r="AC3044" s="9"/>
      <c r="AD3044" s="9"/>
      <c r="AE3044" s="9"/>
      <c r="AF3044" s="9"/>
      <c r="AG3044" s="9"/>
      <c r="AH3044" s="9"/>
      <c r="AI3044" s="9"/>
      <c r="AJ3044" s="9"/>
      <c r="AK3044" s="9"/>
      <c r="AL3044" s="9"/>
      <c r="AM3044" s="9"/>
      <c r="AN3044" s="9"/>
      <c r="AO3044" s="9"/>
      <c r="AP3044" s="9"/>
      <c r="AQ3044" s="9"/>
      <c r="AR3044" s="9"/>
      <c r="AS3044" s="9"/>
      <c r="AT3044" s="9"/>
      <c r="AU3044" s="9"/>
    </row>
    <row r="3045" spans="1:47" ht="15.75" customHeight="1">
      <c r="A3045" s="9"/>
      <c r="B3045" s="9"/>
      <c r="C3045" s="9"/>
      <c r="D3045" s="9"/>
      <c r="E3045" s="9"/>
      <c r="F3045" s="67"/>
      <c r="G3045" s="9"/>
      <c r="H3045" s="9"/>
      <c r="I3045" s="9"/>
      <c r="J3045" s="9"/>
      <c r="K3045" s="9"/>
      <c r="L3045" s="9"/>
      <c r="M3045" s="9"/>
      <c r="N3045" s="9"/>
      <c r="O3045" s="9"/>
      <c r="P3045" s="9"/>
      <c r="Q3045" s="9"/>
      <c r="R3045" s="9"/>
      <c r="S3045" s="9"/>
      <c r="T3045" s="9"/>
      <c r="U3045" s="9"/>
      <c r="V3045" s="9"/>
      <c r="W3045" s="9"/>
      <c r="X3045" s="9"/>
      <c r="Y3045" s="9"/>
      <c r="Z3045" s="9"/>
      <c r="AA3045" s="9"/>
      <c r="AB3045" s="9"/>
      <c r="AC3045" s="9"/>
      <c r="AD3045" s="9"/>
      <c r="AE3045" s="9"/>
      <c r="AF3045" s="9"/>
      <c r="AG3045" s="9"/>
      <c r="AH3045" s="9"/>
      <c r="AI3045" s="9"/>
      <c r="AJ3045" s="9"/>
      <c r="AK3045" s="9"/>
      <c r="AL3045" s="9"/>
      <c r="AM3045" s="9"/>
      <c r="AN3045" s="9"/>
      <c r="AO3045" s="9"/>
      <c r="AP3045" s="9"/>
      <c r="AQ3045" s="9"/>
      <c r="AR3045" s="9"/>
      <c r="AS3045" s="9"/>
      <c r="AT3045" s="9"/>
      <c r="AU3045" s="9"/>
    </row>
    <row r="3046" spans="1:47" ht="15.75" customHeight="1">
      <c r="A3046" s="9"/>
      <c r="B3046" s="9"/>
      <c r="C3046" s="9"/>
      <c r="D3046" s="9"/>
      <c r="E3046" s="9"/>
      <c r="F3046" s="67"/>
      <c r="G3046" s="9"/>
      <c r="H3046" s="9"/>
      <c r="I3046" s="9"/>
      <c r="J3046" s="9"/>
      <c r="K3046" s="9"/>
      <c r="L3046" s="9"/>
      <c r="M3046" s="9"/>
      <c r="N3046" s="9"/>
      <c r="O3046" s="9"/>
      <c r="P3046" s="9"/>
      <c r="Q3046" s="9"/>
      <c r="R3046" s="9"/>
      <c r="S3046" s="9"/>
      <c r="T3046" s="9"/>
      <c r="U3046" s="9"/>
      <c r="V3046" s="9"/>
      <c r="W3046" s="9"/>
      <c r="X3046" s="9"/>
      <c r="Y3046" s="9"/>
      <c r="Z3046" s="9"/>
      <c r="AA3046" s="9"/>
      <c r="AB3046" s="9"/>
      <c r="AC3046" s="9"/>
      <c r="AD3046" s="9"/>
      <c r="AE3046" s="9"/>
      <c r="AF3046" s="9"/>
      <c r="AG3046" s="9"/>
      <c r="AH3046" s="9"/>
      <c r="AI3046" s="9"/>
      <c r="AJ3046" s="9"/>
      <c r="AK3046" s="9"/>
      <c r="AL3046" s="9"/>
      <c r="AM3046" s="9"/>
      <c r="AN3046" s="9"/>
      <c r="AO3046" s="9"/>
      <c r="AP3046" s="9"/>
      <c r="AQ3046" s="9"/>
      <c r="AR3046" s="9"/>
      <c r="AS3046" s="9"/>
      <c r="AT3046" s="9"/>
      <c r="AU3046" s="9"/>
    </row>
    <row r="3047" spans="1:47" ht="15.75" customHeight="1">
      <c r="A3047" s="9"/>
      <c r="B3047" s="9"/>
      <c r="C3047" s="9"/>
      <c r="D3047" s="9"/>
      <c r="E3047" s="9"/>
      <c r="F3047" s="67"/>
      <c r="G3047" s="9"/>
      <c r="H3047" s="9"/>
      <c r="I3047" s="9"/>
      <c r="J3047" s="9"/>
      <c r="K3047" s="9"/>
      <c r="L3047" s="9"/>
      <c r="M3047" s="9"/>
      <c r="N3047" s="9"/>
      <c r="O3047" s="9"/>
      <c r="P3047" s="9"/>
      <c r="Q3047" s="9"/>
      <c r="R3047" s="9"/>
      <c r="S3047" s="9"/>
      <c r="T3047" s="9"/>
      <c r="U3047" s="9"/>
      <c r="V3047" s="9"/>
      <c r="W3047" s="9"/>
      <c r="X3047" s="9"/>
      <c r="Y3047" s="9"/>
      <c r="Z3047" s="9"/>
      <c r="AA3047" s="9"/>
      <c r="AB3047" s="9"/>
      <c r="AC3047" s="9"/>
      <c r="AD3047" s="9"/>
      <c r="AE3047" s="9"/>
      <c r="AF3047" s="9"/>
      <c r="AG3047" s="9"/>
      <c r="AH3047" s="9"/>
      <c r="AI3047" s="9"/>
      <c r="AJ3047" s="9"/>
      <c r="AK3047" s="9"/>
      <c r="AL3047" s="9"/>
      <c r="AM3047" s="9"/>
      <c r="AN3047" s="9"/>
      <c r="AO3047" s="9"/>
      <c r="AP3047" s="9"/>
      <c r="AQ3047" s="9"/>
      <c r="AR3047" s="9"/>
      <c r="AS3047" s="9"/>
      <c r="AT3047" s="9"/>
      <c r="AU3047" s="9"/>
    </row>
    <row r="3048" spans="1:47" ht="15.75" customHeight="1">
      <c r="A3048" s="9"/>
      <c r="B3048" s="9"/>
      <c r="C3048" s="9"/>
      <c r="D3048" s="9"/>
      <c r="E3048" s="9"/>
      <c r="F3048" s="67"/>
      <c r="G3048" s="9"/>
      <c r="H3048" s="9"/>
      <c r="I3048" s="9"/>
      <c r="J3048" s="9"/>
      <c r="K3048" s="9"/>
      <c r="L3048" s="9"/>
      <c r="M3048" s="9"/>
      <c r="N3048" s="9"/>
      <c r="O3048" s="9"/>
      <c r="P3048" s="9"/>
      <c r="Q3048" s="9"/>
      <c r="R3048" s="9"/>
      <c r="S3048" s="9"/>
      <c r="T3048" s="9"/>
      <c r="U3048" s="9"/>
      <c r="V3048" s="9"/>
      <c r="W3048" s="9"/>
      <c r="X3048" s="9"/>
      <c r="Y3048" s="9"/>
      <c r="Z3048" s="9"/>
      <c r="AA3048" s="9"/>
      <c r="AB3048" s="9"/>
      <c r="AC3048" s="9"/>
      <c r="AD3048" s="9"/>
      <c r="AE3048" s="9"/>
      <c r="AF3048" s="9"/>
      <c r="AG3048" s="9"/>
      <c r="AH3048" s="9"/>
      <c r="AI3048" s="9"/>
      <c r="AJ3048" s="9"/>
      <c r="AK3048" s="9"/>
      <c r="AL3048" s="9"/>
      <c r="AM3048" s="9"/>
      <c r="AN3048" s="9"/>
      <c r="AO3048" s="9"/>
      <c r="AP3048" s="9"/>
      <c r="AQ3048" s="9"/>
      <c r="AR3048" s="9"/>
      <c r="AS3048" s="9"/>
      <c r="AT3048" s="9"/>
      <c r="AU3048" s="9"/>
    </row>
    <row r="3049" spans="1:47" ht="15.75" customHeight="1">
      <c r="A3049" s="9"/>
      <c r="B3049" s="9"/>
      <c r="C3049" s="9"/>
      <c r="D3049" s="9"/>
      <c r="E3049" s="9"/>
      <c r="F3049" s="67"/>
      <c r="G3049" s="9"/>
      <c r="H3049" s="9"/>
      <c r="I3049" s="9"/>
      <c r="J3049" s="9"/>
      <c r="K3049" s="9"/>
      <c r="L3049" s="9"/>
      <c r="M3049" s="9"/>
      <c r="N3049" s="9"/>
      <c r="O3049" s="9"/>
      <c r="P3049" s="9"/>
      <c r="Q3049" s="9"/>
      <c r="R3049" s="9"/>
      <c r="S3049" s="9"/>
      <c r="T3049" s="9"/>
      <c r="U3049" s="9"/>
      <c r="V3049" s="9"/>
      <c r="W3049" s="9"/>
      <c r="X3049" s="9"/>
      <c r="Y3049" s="9"/>
      <c r="Z3049" s="9"/>
      <c r="AA3049" s="9"/>
      <c r="AB3049" s="9"/>
      <c r="AC3049" s="9"/>
      <c r="AD3049" s="9"/>
      <c r="AE3049" s="9"/>
      <c r="AF3049" s="9"/>
      <c r="AG3049" s="9"/>
      <c r="AH3049" s="9"/>
      <c r="AI3049" s="9"/>
      <c r="AJ3049" s="9"/>
      <c r="AK3049" s="9"/>
      <c r="AL3049" s="9"/>
      <c r="AM3049" s="9"/>
      <c r="AN3049" s="9"/>
      <c r="AO3049" s="9"/>
      <c r="AP3049" s="9"/>
      <c r="AQ3049" s="9"/>
      <c r="AR3049" s="9"/>
      <c r="AS3049" s="9"/>
      <c r="AT3049" s="9"/>
      <c r="AU3049" s="9"/>
    </row>
    <row r="3050" spans="1:47" ht="15.75" customHeight="1">
      <c r="A3050" s="9"/>
      <c r="B3050" s="9"/>
      <c r="C3050" s="9"/>
      <c r="D3050" s="9"/>
      <c r="E3050" s="9"/>
      <c r="F3050" s="67"/>
      <c r="G3050" s="9"/>
      <c r="H3050" s="9"/>
      <c r="I3050" s="9"/>
      <c r="J3050" s="9"/>
      <c r="K3050" s="9"/>
      <c r="L3050" s="9"/>
      <c r="M3050" s="9"/>
      <c r="N3050" s="9"/>
      <c r="O3050" s="9"/>
      <c r="P3050" s="9"/>
      <c r="Q3050" s="9"/>
      <c r="R3050" s="9"/>
      <c r="S3050" s="9"/>
      <c r="T3050" s="9"/>
      <c r="U3050" s="9"/>
      <c r="V3050" s="9"/>
      <c r="W3050" s="9"/>
      <c r="X3050" s="9"/>
      <c r="Y3050" s="9"/>
      <c r="Z3050" s="9"/>
      <c r="AA3050" s="9"/>
      <c r="AB3050" s="9"/>
      <c r="AC3050" s="9"/>
      <c r="AD3050" s="9"/>
      <c r="AE3050" s="9"/>
      <c r="AF3050" s="9"/>
      <c r="AG3050" s="9"/>
      <c r="AH3050" s="9"/>
      <c r="AI3050" s="9"/>
      <c r="AJ3050" s="9"/>
      <c r="AK3050" s="9"/>
      <c r="AL3050" s="9"/>
      <c r="AM3050" s="9"/>
      <c r="AN3050" s="9"/>
      <c r="AO3050" s="9"/>
      <c r="AP3050" s="9"/>
      <c r="AQ3050" s="9"/>
      <c r="AR3050" s="9"/>
      <c r="AS3050" s="9"/>
      <c r="AT3050" s="9"/>
      <c r="AU3050" s="9"/>
    </row>
    <row r="3051" spans="1:47" ht="15.75" customHeight="1">
      <c r="A3051" s="9"/>
      <c r="B3051" s="9"/>
      <c r="C3051" s="9"/>
      <c r="D3051" s="9"/>
      <c r="E3051" s="9"/>
      <c r="F3051" s="67"/>
      <c r="G3051" s="9"/>
      <c r="H3051" s="9"/>
      <c r="I3051" s="9"/>
      <c r="J3051" s="9"/>
      <c r="K3051" s="9"/>
      <c r="L3051" s="9"/>
      <c r="M3051" s="9"/>
      <c r="N3051" s="9"/>
      <c r="O3051" s="9"/>
      <c r="P3051" s="9"/>
      <c r="Q3051" s="9"/>
      <c r="R3051" s="9"/>
      <c r="S3051" s="9"/>
      <c r="T3051" s="9"/>
      <c r="U3051" s="9"/>
      <c r="V3051" s="9"/>
      <c r="W3051" s="9"/>
      <c r="X3051" s="9"/>
      <c r="Y3051" s="9"/>
      <c r="Z3051" s="9"/>
      <c r="AA3051" s="9"/>
      <c r="AB3051" s="9"/>
      <c r="AC3051" s="9"/>
      <c r="AD3051" s="9"/>
      <c r="AE3051" s="9"/>
      <c r="AF3051" s="9"/>
      <c r="AG3051" s="9"/>
      <c r="AH3051" s="9"/>
      <c r="AI3051" s="9"/>
      <c r="AJ3051" s="9"/>
      <c r="AK3051" s="9"/>
      <c r="AL3051" s="9"/>
      <c r="AM3051" s="9"/>
      <c r="AN3051" s="9"/>
      <c r="AO3051" s="9"/>
      <c r="AP3051" s="9"/>
      <c r="AQ3051" s="9"/>
      <c r="AR3051" s="9"/>
      <c r="AS3051" s="9"/>
      <c r="AT3051" s="9"/>
      <c r="AU3051" s="9"/>
    </row>
    <row r="3052" spans="1:47" ht="15.75" customHeight="1">
      <c r="A3052" s="9"/>
      <c r="B3052" s="9"/>
      <c r="C3052" s="9"/>
      <c r="D3052" s="9"/>
      <c r="E3052" s="9"/>
      <c r="F3052" s="67"/>
      <c r="G3052" s="9"/>
      <c r="H3052" s="9"/>
      <c r="I3052" s="9"/>
      <c r="J3052" s="9"/>
      <c r="K3052" s="9"/>
      <c r="L3052" s="9"/>
      <c r="M3052" s="9"/>
      <c r="N3052" s="9"/>
      <c r="O3052" s="9"/>
      <c r="P3052" s="9"/>
      <c r="Q3052" s="9"/>
      <c r="R3052" s="9"/>
      <c r="S3052" s="9"/>
      <c r="T3052" s="9"/>
      <c r="U3052" s="9"/>
      <c r="V3052" s="9"/>
      <c r="W3052" s="9"/>
      <c r="X3052" s="9"/>
      <c r="Y3052" s="9"/>
      <c r="Z3052" s="9"/>
      <c r="AA3052" s="9"/>
      <c r="AB3052" s="9"/>
      <c r="AC3052" s="9"/>
      <c r="AD3052" s="9"/>
      <c r="AE3052" s="9"/>
      <c r="AF3052" s="9"/>
      <c r="AG3052" s="9"/>
      <c r="AH3052" s="9"/>
      <c r="AI3052" s="9"/>
      <c r="AJ3052" s="9"/>
      <c r="AK3052" s="9"/>
      <c r="AL3052" s="9"/>
      <c r="AM3052" s="9"/>
      <c r="AN3052" s="9"/>
      <c r="AO3052" s="9"/>
      <c r="AP3052" s="9"/>
      <c r="AQ3052" s="9"/>
      <c r="AR3052" s="9"/>
      <c r="AS3052" s="9"/>
      <c r="AT3052" s="9"/>
      <c r="AU3052" s="9"/>
    </row>
    <row r="3053" spans="1:47" ht="15.75" customHeight="1">
      <c r="A3053" s="9"/>
      <c r="B3053" s="9"/>
      <c r="C3053" s="9"/>
      <c r="D3053" s="9"/>
      <c r="E3053" s="9"/>
      <c r="F3053" s="67"/>
      <c r="G3053" s="9"/>
      <c r="H3053" s="9"/>
      <c r="I3053" s="9"/>
      <c r="J3053" s="9"/>
      <c r="K3053" s="9"/>
      <c r="L3053" s="9"/>
      <c r="M3053" s="9"/>
      <c r="N3053" s="9"/>
      <c r="O3053" s="9"/>
      <c r="P3053" s="9"/>
      <c r="Q3053" s="9"/>
      <c r="R3053" s="9"/>
      <c r="S3053" s="9"/>
      <c r="T3053" s="9"/>
      <c r="U3053" s="9"/>
      <c r="V3053" s="9"/>
      <c r="W3053" s="9"/>
      <c r="X3053" s="9"/>
      <c r="Y3053" s="9"/>
      <c r="Z3053" s="9"/>
      <c r="AA3053" s="9"/>
      <c r="AB3053" s="9"/>
      <c r="AC3053" s="9"/>
      <c r="AD3053" s="9"/>
      <c r="AE3053" s="9"/>
      <c r="AF3053" s="9"/>
      <c r="AG3053" s="9"/>
      <c r="AH3053" s="9"/>
      <c r="AI3053" s="9"/>
      <c r="AJ3053" s="9"/>
      <c r="AK3053" s="9"/>
      <c r="AL3053" s="9"/>
      <c r="AM3053" s="9"/>
      <c r="AN3053" s="9"/>
      <c r="AO3053" s="9"/>
      <c r="AP3053" s="9"/>
      <c r="AQ3053" s="9"/>
      <c r="AR3053" s="9"/>
      <c r="AS3053" s="9"/>
      <c r="AT3053" s="9"/>
      <c r="AU3053" s="9"/>
    </row>
    <row r="3054" spans="1:47" ht="15.75" customHeight="1">
      <c r="A3054" s="9"/>
      <c r="B3054" s="9"/>
      <c r="C3054" s="9"/>
      <c r="D3054" s="9"/>
      <c r="E3054" s="9"/>
      <c r="F3054" s="67"/>
      <c r="G3054" s="9"/>
      <c r="H3054" s="9"/>
      <c r="I3054" s="9"/>
      <c r="J3054" s="9"/>
      <c r="K3054" s="9"/>
      <c r="L3054" s="9"/>
      <c r="M3054" s="9"/>
      <c r="N3054" s="9"/>
      <c r="O3054" s="9"/>
      <c r="P3054" s="9"/>
      <c r="Q3054" s="9"/>
      <c r="R3054" s="9"/>
      <c r="S3054" s="9"/>
      <c r="T3054" s="9"/>
      <c r="U3054" s="9"/>
      <c r="V3054" s="9"/>
      <c r="W3054" s="9"/>
      <c r="X3054" s="9"/>
      <c r="Y3054" s="9"/>
      <c r="Z3054" s="9"/>
      <c r="AA3054" s="9"/>
      <c r="AB3054" s="9"/>
      <c r="AC3054" s="9"/>
      <c r="AD3054" s="9"/>
      <c r="AE3054" s="9"/>
      <c r="AF3054" s="9"/>
      <c r="AG3054" s="9"/>
      <c r="AH3054" s="9"/>
      <c r="AI3054" s="9"/>
      <c r="AJ3054" s="9"/>
      <c r="AK3054" s="9"/>
      <c r="AL3054" s="9"/>
      <c r="AM3054" s="9"/>
      <c r="AN3054" s="9"/>
      <c r="AO3054" s="9"/>
      <c r="AP3054" s="9"/>
      <c r="AQ3054" s="9"/>
      <c r="AR3054" s="9"/>
      <c r="AS3054" s="9"/>
      <c r="AT3054" s="9"/>
      <c r="AU3054" s="9"/>
    </row>
    <row r="3055" spans="1:47" ht="15.75" customHeight="1">
      <c r="A3055" s="9"/>
      <c r="B3055" s="9"/>
      <c r="C3055" s="9"/>
      <c r="D3055" s="9"/>
      <c r="E3055" s="9"/>
      <c r="F3055" s="67"/>
      <c r="G3055" s="9"/>
      <c r="H3055" s="9"/>
      <c r="I3055" s="9"/>
      <c r="J3055" s="9"/>
      <c r="K3055" s="9"/>
      <c r="L3055" s="9"/>
      <c r="M3055" s="9"/>
      <c r="N3055" s="9"/>
      <c r="O3055" s="9"/>
      <c r="P3055" s="9"/>
      <c r="Q3055" s="9"/>
      <c r="R3055" s="9"/>
      <c r="S3055" s="9"/>
      <c r="T3055" s="9"/>
      <c r="U3055" s="9"/>
      <c r="V3055" s="9"/>
      <c r="W3055" s="9"/>
      <c r="X3055" s="9"/>
      <c r="Y3055" s="9"/>
      <c r="Z3055" s="9"/>
      <c r="AA3055" s="9"/>
      <c r="AB3055" s="9"/>
      <c r="AC3055" s="9"/>
      <c r="AD3055" s="9"/>
      <c r="AE3055" s="9"/>
      <c r="AF3055" s="9"/>
      <c r="AG3055" s="9"/>
      <c r="AH3055" s="9"/>
      <c r="AI3055" s="9"/>
      <c r="AJ3055" s="9"/>
      <c r="AK3055" s="9"/>
      <c r="AL3055" s="9"/>
      <c r="AM3055" s="9"/>
      <c r="AN3055" s="9"/>
      <c r="AO3055" s="9"/>
      <c r="AP3055" s="9"/>
      <c r="AQ3055" s="9"/>
      <c r="AR3055" s="9"/>
      <c r="AS3055" s="9"/>
      <c r="AT3055" s="9"/>
      <c r="AU3055" s="9"/>
    </row>
    <row r="3056" spans="1:47" ht="15.75" customHeight="1">
      <c r="A3056" s="9"/>
      <c r="B3056" s="9"/>
      <c r="C3056" s="9"/>
      <c r="D3056" s="9"/>
      <c r="E3056" s="9"/>
      <c r="F3056" s="67"/>
      <c r="G3056" s="9"/>
      <c r="H3056" s="9"/>
      <c r="I3056" s="9"/>
      <c r="J3056" s="9"/>
      <c r="K3056" s="9"/>
      <c r="L3056" s="9"/>
      <c r="M3056" s="9"/>
      <c r="N3056" s="9"/>
      <c r="O3056" s="9"/>
      <c r="P3056" s="9"/>
      <c r="Q3056" s="9"/>
      <c r="R3056" s="9"/>
      <c r="S3056" s="9"/>
      <c r="T3056" s="9"/>
      <c r="U3056" s="9"/>
      <c r="V3056" s="9"/>
      <c r="W3056" s="9"/>
      <c r="X3056" s="9"/>
      <c r="Y3056" s="9"/>
      <c r="Z3056" s="9"/>
      <c r="AA3056" s="9"/>
      <c r="AB3056" s="9"/>
      <c r="AC3056" s="9"/>
      <c r="AD3056" s="9"/>
      <c r="AE3056" s="9"/>
      <c r="AF3056" s="9"/>
      <c r="AG3056" s="9"/>
      <c r="AH3056" s="9"/>
      <c r="AI3056" s="9"/>
      <c r="AJ3056" s="9"/>
      <c r="AK3056" s="9"/>
      <c r="AL3056" s="9"/>
      <c r="AM3056" s="9"/>
      <c r="AN3056" s="9"/>
      <c r="AO3056" s="9"/>
      <c r="AP3056" s="9"/>
      <c r="AQ3056" s="9"/>
      <c r="AR3056" s="9"/>
      <c r="AS3056" s="9"/>
      <c r="AT3056" s="9"/>
      <c r="AU3056" s="9"/>
    </row>
    <row r="3057" spans="1:47" ht="15.75" customHeight="1">
      <c r="A3057" s="9"/>
      <c r="B3057" s="9"/>
      <c r="C3057" s="9"/>
      <c r="D3057" s="9"/>
      <c r="E3057" s="9"/>
      <c r="F3057" s="67"/>
      <c r="G3057" s="9"/>
      <c r="H3057" s="9"/>
      <c r="I3057" s="9"/>
      <c r="J3057" s="9"/>
      <c r="K3057" s="9"/>
      <c r="L3057" s="9"/>
      <c r="M3057" s="9"/>
      <c r="N3057" s="9"/>
      <c r="O3057" s="9"/>
      <c r="P3057" s="9"/>
      <c r="Q3057" s="9"/>
      <c r="R3057" s="9"/>
      <c r="S3057" s="9"/>
      <c r="T3057" s="9"/>
      <c r="U3057" s="9"/>
      <c r="V3057" s="9"/>
      <c r="W3057" s="9"/>
      <c r="X3057" s="9"/>
      <c r="Y3057" s="9"/>
      <c r="Z3057" s="9"/>
      <c r="AA3057" s="9"/>
      <c r="AB3057" s="9"/>
      <c r="AC3057" s="9"/>
      <c r="AD3057" s="9"/>
      <c r="AE3057" s="9"/>
      <c r="AF3057" s="9"/>
      <c r="AG3057" s="9"/>
      <c r="AH3057" s="9"/>
      <c r="AI3057" s="9"/>
      <c r="AJ3057" s="9"/>
      <c r="AK3057" s="9"/>
      <c r="AL3057" s="9"/>
      <c r="AM3057" s="9"/>
      <c r="AN3057" s="9"/>
      <c r="AO3057" s="9"/>
      <c r="AP3057" s="9"/>
      <c r="AQ3057" s="9"/>
      <c r="AR3057" s="9"/>
      <c r="AS3057" s="9"/>
      <c r="AT3057" s="9"/>
      <c r="AU3057" s="9"/>
    </row>
    <row r="3058" spans="1:47" ht="15.75" customHeight="1">
      <c r="A3058" s="9"/>
      <c r="B3058" s="9"/>
      <c r="C3058" s="9"/>
      <c r="D3058" s="9"/>
      <c r="E3058" s="9"/>
      <c r="F3058" s="67"/>
      <c r="G3058" s="9"/>
      <c r="H3058" s="9"/>
      <c r="I3058" s="9"/>
      <c r="J3058" s="9"/>
      <c r="K3058" s="9"/>
      <c r="L3058" s="9"/>
      <c r="M3058" s="9"/>
      <c r="N3058" s="9"/>
      <c r="O3058" s="9"/>
      <c r="P3058" s="9"/>
      <c r="Q3058" s="9"/>
      <c r="R3058" s="9"/>
      <c r="S3058" s="9"/>
      <c r="T3058" s="9"/>
      <c r="U3058" s="9"/>
      <c r="V3058" s="9"/>
      <c r="W3058" s="9"/>
      <c r="X3058" s="9"/>
      <c r="Y3058" s="9"/>
      <c r="Z3058" s="9"/>
      <c r="AA3058" s="9"/>
      <c r="AB3058" s="9"/>
      <c r="AC3058" s="9"/>
      <c r="AD3058" s="9"/>
      <c r="AE3058" s="9"/>
      <c r="AF3058" s="9"/>
      <c r="AG3058" s="9"/>
      <c r="AH3058" s="9"/>
      <c r="AI3058" s="9"/>
      <c r="AJ3058" s="9"/>
      <c r="AK3058" s="9"/>
      <c r="AL3058" s="9"/>
      <c r="AM3058" s="9"/>
      <c r="AN3058" s="9"/>
      <c r="AO3058" s="9"/>
      <c r="AP3058" s="9"/>
      <c r="AQ3058" s="9"/>
      <c r="AR3058" s="9"/>
      <c r="AS3058" s="9"/>
      <c r="AT3058" s="9"/>
      <c r="AU3058" s="9"/>
    </row>
    <row r="3059" spans="1:47" ht="15.75" customHeight="1">
      <c r="A3059" s="9"/>
      <c r="B3059" s="9"/>
      <c r="C3059" s="9"/>
      <c r="D3059" s="9"/>
      <c r="E3059" s="9"/>
      <c r="F3059" s="67"/>
      <c r="G3059" s="9"/>
      <c r="H3059" s="9"/>
      <c r="I3059" s="9"/>
      <c r="J3059" s="9"/>
      <c r="K3059" s="9"/>
      <c r="L3059" s="9"/>
      <c r="M3059" s="9"/>
      <c r="N3059" s="9"/>
      <c r="O3059" s="9"/>
      <c r="P3059" s="9"/>
      <c r="Q3059" s="9"/>
      <c r="R3059" s="9"/>
      <c r="S3059" s="9"/>
      <c r="T3059" s="9"/>
      <c r="U3059" s="9"/>
      <c r="V3059" s="9"/>
      <c r="W3059" s="9"/>
      <c r="X3059" s="9"/>
      <c r="Y3059" s="9"/>
      <c r="Z3059" s="9"/>
      <c r="AA3059" s="9"/>
      <c r="AB3059" s="9"/>
      <c r="AC3059" s="9"/>
      <c r="AD3059" s="9"/>
      <c r="AE3059" s="9"/>
      <c r="AF3059" s="9"/>
      <c r="AG3059" s="9"/>
      <c r="AH3059" s="9"/>
      <c r="AI3059" s="9"/>
      <c r="AJ3059" s="9"/>
      <c r="AK3059" s="9"/>
      <c r="AL3059" s="9"/>
      <c r="AM3059" s="9"/>
      <c r="AN3059" s="9"/>
      <c r="AO3059" s="9"/>
      <c r="AP3059" s="9"/>
      <c r="AQ3059" s="9"/>
      <c r="AR3059" s="9"/>
      <c r="AS3059" s="9"/>
      <c r="AT3059" s="9"/>
      <c r="AU3059" s="9"/>
    </row>
    <row r="3060" spans="1:47" ht="15.75" customHeight="1">
      <c r="A3060" s="9"/>
      <c r="B3060" s="9"/>
      <c r="C3060" s="9"/>
      <c r="D3060" s="9"/>
      <c r="E3060" s="9"/>
      <c r="F3060" s="67"/>
      <c r="G3060" s="9"/>
      <c r="H3060" s="9"/>
      <c r="I3060" s="9"/>
      <c r="J3060" s="9"/>
      <c r="K3060" s="9"/>
      <c r="L3060" s="9"/>
      <c r="M3060" s="9"/>
      <c r="N3060" s="9"/>
      <c r="O3060" s="9"/>
      <c r="P3060" s="9"/>
      <c r="Q3060" s="9"/>
      <c r="R3060" s="9"/>
      <c r="S3060" s="9"/>
      <c r="T3060" s="9"/>
      <c r="U3060" s="9"/>
      <c r="V3060" s="9"/>
      <c r="W3060" s="9"/>
      <c r="X3060" s="9"/>
      <c r="Y3060" s="9"/>
      <c r="Z3060" s="9"/>
      <c r="AA3060" s="9"/>
      <c r="AB3060" s="9"/>
      <c r="AC3060" s="9"/>
      <c r="AD3060" s="9"/>
      <c r="AE3060" s="9"/>
      <c r="AF3060" s="9"/>
      <c r="AG3060" s="9"/>
      <c r="AH3060" s="9"/>
      <c r="AI3060" s="9"/>
      <c r="AJ3060" s="9"/>
      <c r="AK3060" s="9"/>
      <c r="AL3060" s="9"/>
      <c r="AM3060" s="9"/>
      <c r="AN3060" s="9"/>
      <c r="AO3060" s="9"/>
      <c r="AP3060" s="9"/>
      <c r="AQ3060" s="9"/>
      <c r="AR3060" s="9"/>
      <c r="AS3060" s="9"/>
      <c r="AT3060" s="9"/>
      <c r="AU3060" s="9"/>
    </row>
    <row r="3061" spans="1:47" ht="15.75" customHeight="1">
      <c r="A3061" s="9"/>
      <c r="B3061" s="9"/>
      <c r="C3061" s="9"/>
      <c r="D3061" s="9"/>
      <c r="E3061" s="9"/>
      <c r="F3061" s="67"/>
      <c r="G3061" s="9"/>
      <c r="H3061" s="9"/>
      <c r="I3061" s="9"/>
      <c r="J3061" s="9"/>
      <c r="K3061" s="9"/>
      <c r="L3061" s="9"/>
      <c r="M3061" s="9"/>
      <c r="N3061" s="9"/>
      <c r="O3061" s="9"/>
      <c r="P3061" s="9"/>
      <c r="Q3061" s="9"/>
      <c r="R3061" s="9"/>
      <c r="S3061" s="9"/>
      <c r="T3061" s="9"/>
      <c r="U3061" s="9"/>
      <c r="V3061" s="9"/>
      <c r="W3061" s="9"/>
      <c r="X3061" s="9"/>
      <c r="Y3061" s="9"/>
      <c r="Z3061" s="9"/>
      <c r="AA3061" s="9"/>
      <c r="AB3061" s="9"/>
      <c r="AC3061" s="9"/>
      <c r="AD3061" s="9"/>
      <c r="AE3061" s="9"/>
      <c r="AF3061" s="9"/>
      <c r="AG3061" s="9"/>
      <c r="AH3061" s="9"/>
      <c r="AI3061" s="9"/>
      <c r="AJ3061" s="9"/>
      <c r="AK3061" s="9"/>
      <c r="AL3061" s="9"/>
      <c r="AM3061" s="9"/>
      <c r="AN3061" s="9"/>
      <c r="AO3061" s="9"/>
      <c r="AP3061" s="9"/>
      <c r="AQ3061" s="9"/>
      <c r="AR3061" s="9"/>
      <c r="AS3061" s="9"/>
      <c r="AT3061" s="9"/>
      <c r="AU3061" s="9"/>
    </row>
    <row r="3062" spans="1:47" ht="15.75" customHeight="1">
      <c r="A3062" s="9"/>
      <c r="B3062" s="9"/>
      <c r="C3062" s="9"/>
      <c r="D3062" s="9"/>
      <c r="E3062" s="9"/>
      <c r="F3062" s="67"/>
      <c r="G3062" s="9"/>
      <c r="H3062" s="9"/>
      <c r="I3062" s="9"/>
      <c r="J3062" s="9"/>
      <c r="K3062" s="9"/>
      <c r="L3062" s="9"/>
      <c r="M3062" s="9"/>
      <c r="N3062" s="9"/>
      <c r="O3062" s="9"/>
      <c r="P3062" s="9"/>
      <c r="Q3062" s="9"/>
      <c r="R3062" s="9"/>
      <c r="S3062" s="9"/>
      <c r="T3062" s="9"/>
      <c r="U3062" s="9"/>
      <c r="V3062" s="9"/>
      <c r="W3062" s="9"/>
      <c r="X3062" s="9"/>
      <c r="Y3062" s="9"/>
      <c r="Z3062" s="9"/>
      <c r="AA3062" s="9"/>
      <c r="AB3062" s="9"/>
      <c r="AC3062" s="9"/>
      <c r="AD3062" s="9"/>
      <c r="AE3062" s="9"/>
      <c r="AF3062" s="9"/>
      <c r="AG3062" s="9"/>
      <c r="AH3062" s="9"/>
      <c r="AI3062" s="9"/>
      <c r="AJ3062" s="9"/>
      <c r="AK3062" s="9"/>
      <c r="AL3062" s="9"/>
      <c r="AM3062" s="9"/>
      <c r="AN3062" s="9"/>
      <c r="AO3062" s="9"/>
      <c r="AP3062" s="9"/>
      <c r="AQ3062" s="9"/>
      <c r="AR3062" s="9"/>
      <c r="AS3062" s="9"/>
      <c r="AT3062" s="9"/>
      <c r="AU3062" s="9"/>
    </row>
    <row r="3063" spans="1:47" ht="15.75" customHeight="1">
      <c r="A3063" s="9"/>
      <c r="B3063" s="9"/>
      <c r="C3063" s="9"/>
      <c r="D3063" s="9"/>
      <c r="E3063" s="9"/>
      <c r="F3063" s="67"/>
      <c r="G3063" s="9"/>
      <c r="H3063" s="9"/>
      <c r="I3063" s="9"/>
      <c r="J3063" s="9"/>
      <c r="K3063" s="9"/>
      <c r="L3063" s="9"/>
      <c r="M3063" s="9"/>
      <c r="N3063" s="9"/>
      <c r="O3063" s="9"/>
      <c r="P3063" s="9"/>
      <c r="Q3063" s="9"/>
      <c r="R3063" s="9"/>
      <c r="S3063" s="9"/>
      <c r="T3063" s="9"/>
      <c r="U3063" s="9"/>
      <c r="V3063" s="9"/>
      <c r="W3063" s="9"/>
      <c r="X3063" s="9"/>
      <c r="Y3063" s="9"/>
      <c r="Z3063" s="9"/>
      <c r="AA3063" s="9"/>
      <c r="AB3063" s="9"/>
      <c r="AC3063" s="9"/>
      <c r="AD3063" s="9"/>
      <c r="AE3063" s="9"/>
      <c r="AF3063" s="9"/>
      <c r="AG3063" s="9"/>
      <c r="AH3063" s="9"/>
      <c r="AI3063" s="9"/>
      <c r="AJ3063" s="9"/>
      <c r="AK3063" s="9"/>
      <c r="AL3063" s="9"/>
      <c r="AM3063" s="9"/>
      <c r="AN3063" s="9"/>
      <c r="AO3063" s="9"/>
      <c r="AP3063" s="9"/>
      <c r="AQ3063" s="9"/>
      <c r="AR3063" s="9"/>
      <c r="AS3063" s="9"/>
      <c r="AT3063" s="9"/>
      <c r="AU3063" s="9"/>
    </row>
    <row r="3064" spans="1:47" ht="15.75" customHeight="1">
      <c r="A3064" s="9"/>
      <c r="B3064" s="9"/>
      <c r="C3064" s="9"/>
      <c r="D3064" s="9"/>
      <c r="E3064" s="9"/>
      <c r="F3064" s="67"/>
      <c r="G3064" s="9"/>
      <c r="H3064" s="9"/>
      <c r="I3064" s="9"/>
      <c r="J3064" s="9"/>
      <c r="K3064" s="9"/>
      <c r="L3064" s="9"/>
      <c r="M3064" s="9"/>
      <c r="N3064" s="9"/>
      <c r="O3064" s="9"/>
      <c r="P3064" s="9"/>
      <c r="Q3064" s="9"/>
      <c r="R3064" s="9"/>
      <c r="S3064" s="9"/>
      <c r="T3064" s="9"/>
      <c r="U3064" s="9"/>
      <c r="V3064" s="9"/>
      <c r="W3064" s="9"/>
      <c r="X3064" s="9"/>
      <c r="Y3064" s="9"/>
      <c r="Z3064" s="9"/>
      <c r="AA3064" s="9"/>
      <c r="AB3064" s="9"/>
      <c r="AC3064" s="9"/>
      <c r="AD3064" s="9"/>
      <c r="AE3064" s="9"/>
      <c r="AF3064" s="9"/>
      <c r="AG3064" s="9"/>
      <c r="AH3064" s="9"/>
      <c r="AI3064" s="9"/>
      <c r="AJ3064" s="9"/>
      <c r="AK3064" s="9"/>
      <c r="AL3064" s="9"/>
      <c r="AM3064" s="9"/>
      <c r="AN3064" s="9"/>
      <c r="AO3064" s="9"/>
      <c r="AP3064" s="9"/>
      <c r="AQ3064" s="9"/>
      <c r="AR3064" s="9"/>
      <c r="AS3064" s="9"/>
      <c r="AT3064" s="9"/>
      <c r="AU3064" s="9"/>
    </row>
    <row r="3065" spans="1:47" ht="15.75" customHeight="1">
      <c r="A3065" s="9"/>
      <c r="B3065" s="9"/>
      <c r="C3065" s="9"/>
      <c r="D3065" s="9"/>
      <c r="E3065" s="9"/>
      <c r="F3065" s="67"/>
      <c r="G3065" s="9"/>
      <c r="H3065" s="9"/>
      <c r="I3065" s="9"/>
      <c r="J3065" s="9"/>
      <c r="K3065" s="9"/>
      <c r="L3065" s="9"/>
      <c r="M3065" s="9"/>
      <c r="N3065" s="9"/>
      <c r="O3065" s="9"/>
      <c r="P3065" s="9"/>
      <c r="Q3065" s="9"/>
      <c r="R3065" s="9"/>
      <c r="S3065" s="9"/>
      <c r="T3065" s="9"/>
      <c r="U3065" s="9"/>
      <c r="V3065" s="9"/>
      <c r="W3065" s="9"/>
      <c r="X3065" s="9"/>
      <c r="Y3065" s="9"/>
      <c r="Z3065" s="9"/>
      <c r="AA3065" s="9"/>
      <c r="AB3065" s="9"/>
      <c r="AC3065" s="9"/>
      <c r="AD3065" s="9"/>
      <c r="AE3065" s="9"/>
      <c r="AF3065" s="9"/>
      <c r="AG3065" s="9"/>
      <c r="AH3065" s="9"/>
      <c r="AI3065" s="9"/>
      <c r="AJ3065" s="9"/>
      <c r="AK3065" s="9"/>
      <c r="AL3065" s="9"/>
      <c r="AM3065" s="9"/>
      <c r="AN3065" s="9"/>
      <c r="AO3065" s="9"/>
      <c r="AP3065" s="9"/>
      <c r="AQ3065" s="9"/>
      <c r="AR3065" s="9"/>
      <c r="AS3065" s="9"/>
      <c r="AT3065" s="9"/>
      <c r="AU3065" s="9"/>
    </row>
    <row r="3066" spans="1:47" ht="15.75" customHeight="1">
      <c r="A3066" s="9"/>
      <c r="B3066" s="9"/>
      <c r="C3066" s="9"/>
      <c r="D3066" s="9"/>
      <c r="E3066" s="9"/>
      <c r="F3066" s="67"/>
      <c r="G3066" s="9"/>
      <c r="H3066" s="9"/>
      <c r="I3066" s="9"/>
      <c r="J3066" s="9"/>
      <c r="K3066" s="9"/>
      <c r="L3066" s="9"/>
      <c r="M3066" s="9"/>
      <c r="N3066" s="9"/>
      <c r="O3066" s="9"/>
      <c r="P3066" s="9"/>
      <c r="Q3066" s="9"/>
      <c r="R3066" s="9"/>
      <c r="S3066" s="9"/>
      <c r="T3066" s="9"/>
      <c r="U3066" s="9"/>
      <c r="V3066" s="9"/>
      <c r="W3066" s="9"/>
      <c r="X3066" s="9"/>
      <c r="Y3066" s="9"/>
      <c r="Z3066" s="9"/>
      <c r="AA3066" s="9"/>
      <c r="AB3066" s="9"/>
      <c r="AC3066" s="9"/>
      <c r="AD3066" s="9"/>
      <c r="AE3066" s="9"/>
      <c r="AF3066" s="9"/>
      <c r="AG3066" s="9"/>
      <c r="AH3066" s="9"/>
      <c r="AI3066" s="9"/>
      <c r="AJ3066" s="9"/>
      <c r="AK3066" s="9"/>
      <c r="AL3066" s="9"/>
      <c r="AM3066" s="9"/>
      <c r="AN3066" s="9"/>
      <c r="AO3066" s="9"/>
      <c r="AP3066" s="9"/>
      <c r="AQ3066" s="9"/>
      <c r="AR3066" s="9"/>
      <c r="AS3066" s="9"/>
      <c r="AT3066" s="9"/>
      <c r="AU3066" s="9"/>
    </row>
    <row r="3067" spans="1:47" ht="15.75" customHeight="1">
      <c r="A3067" s="9"/>
      <c r="B3067" s="9"/>
      <c r="C3067" s="9"/>
      <c r="D3067" s="9"/>
      <c r="E3067" s="9"/>
      <c r="F3067" s="67"/>
      <c r="G3067" s="9"/>
      <c r="H3067" s="9"/>
      <c r="I3067" s="9"/>
      <c r="J3067" s="9"/>
      <c r="K3067" s="9"/>
      <c r="L3067" s="9"/>
      <c r="M3067" s="9"/>
      <c r="N3067" s="9"/>
      <c r="O3067" s="9"/>
      <c r="P3067" s="9"/>
      <c r="Q3067" s="9"/>
      <c r="R3067" s="9"/>
      <c r="S3067" s="9"/>
      <c r="T3067" s="9"/>
      <c r="U3067" s="9"/>
      <c r="V3067" s="9"/>
      <c r="W3067" s="9"/>
      <c r="X3067" s="9"/>
      <c r="Y3067" s="9"/>
      <c r="Z3067" s="9"/>
      <c r="AA3067" s="9"/>
      <c r="AB3067" s="9"/>
      <c r="AC3067" s="9"/>
      <c r="AD3067" s="9"/>
      <c r="AE3067" s="9"/>
      <c r="AF3067" s="9"/>
      <c r="AG3067" s="9"/>
      <c r="AH3067" s="9"/>
      <c r="AI3067" s="9"/>
      <c r="AJ3067" s="9"/>
      <c r="AK3067" s="9"/>
      <c r="AL3067" s="9"/>
      <c r="AM3067" s="9"/>
      <c r="AN3067" s="9"/>
      <c r="AO3067" s="9"/>
      <c r="AP3067" s="9"/>
      <c r="AQ3067" s="9"/>
      <c r="AR3067" s="9"/>
      <c r="AS3067" s="9"/>
      <c r="AT3067" s="9"/>
      <c r="AU3067" s="9"/>
    </row>
    <row r="3068" spans="1:47" ht="15.75" customHeight="1">
      <c r="A3068" s="9"/>
      <c r="B3068" s="9"/>
      <c r="C3068" s="9"/>
      <c r="D3068" s="9"/>
      <c r="E3068" s="9"/>
      <c r="F3068" s="67"/>
      <c r="G3068" s="9"/>
      <c r="H3068" s="9"/>
      <c r="I3068" s="9"/>
      <c r="J3068" s="9"/>
      <c r="K3068" s="9"/>
      <c r="L3068" s="9"/>
      <c r="M3068" s="9"/>
      <c r="N3068" s="9"/>
      <c r="O3068" s="9"/>
      <c r="P3068" s="9"/>
      <c r="Q3068" s="9"/>
      <c r="R3068" s="9"/>
      <c r="S3068" s="9"/>
      <c r="T3068" s="9"/>
      <c r="U3068" s="9"/>
      <c r="V3068" s="9"/>
      <c r="W3068" s="9"/>
      <c r="X3068" s="9"/>
      <c r="Y3068" s="9"/>
      <c r="Z3068" s="9"/>
      <c r="AA3068" s="9"/>
      <c r="AB3068" s="9"/>
      <c r="AC3068" s="9"/>
      <c r="AD3068" s="9"/>
      <c r="AE3068" s="9"/>
      <c r="AF3068" s="9"/>
      <c r="AG3068" s="9"/>
      <c r="AH3068" s="9"/>
      <c r="AI3068" s="9"/>
      <c r="AJ3068" s="9"/>
      <c r="AK3068" s="9"/>
      <c r="AL3068" s="9"/>
      <c r="AM3068" s="9"/>
      <c r="AN3068" s="9"/>
      <c r="AO3068" s="9"/>
      <c r="AP3068" s="9"/>
      <c r="AQ3068" s="9"/>
      <c r="AR3068" s="9"/>
      <c r="AS3068" s="9"/>
      <c r="AT3068" s="9"/>
      <c r="AU3068" s="9"/>
    </row>
    <row r="3069" spans="1:47" ht="15.75" customHeight="1">
      <c r="A3069" s="9"/>
      <c r="B3069" s="9"/>
      <c r="C3069" s="9"/>
      <c r="D3069" s="9"/>
      <c r="E3069" s="9"/>
      <c r="F3069" s="67"/>
      <c r="G3069" s="9"/>
      <c r="H3069" s="9"/>
      <c r="I3069" s="9"/>
      <c r="J3069" s="9"/>
      <c r="K3069" s="9"/>
      <c r="L3069" s="9"/>
      <c r="M3069" s="9"/>
      <c r="N3069" s="9"/>
      <c r="O3069" s="9"/>
      <c r="P3069" s="9"/>
      <c r="Q3069" s="9"/>
      <c r="R3069" s="9"/>
      <c r="S3069" s="9"/>
      <c r="T3069" s="9"/>
      <c r="U3069" s="9"/>
      <c r="V3069" s="9"/>
      <c r="W3069" s="9"/>
      <c r="X3069" s="9"/>
      <c r="Y3069" s="9"/>
      <c r="Z3069" s="9"/>
      <c r="AA3069" s="9"/>
      <c r="AB3069" s="9"/>
      <c r="AC3069" s="9"/>
      <c r="AD3069" s="9"/>
      <c r="AE3069" s="9"/>
      <c r="AF3069" s="9"/>
      <c r="AG3069" s="9"/>
      <c r="AH3069" s="9"/>
      <c r="AI3069" s="9"/>
      <c r="AJ3069" s="9"/>
      <c r="AK3069" s="9"/>
      <c r="AL3069" s="9"/>
      <c r="AM3069" s="9"/>
      <c r="AN3069" s="9"/>
      <c r="AO3069" s="9"/>
      <c r="AP3069" s="9"/>
      <c r="AQ3069" s="9"/>
      <c r="AR3069" s="9"/>
      <c r="AS3069" s="9"/>
      <c r="AT3069" s="9"/>
      <c r="AU3069" s="9"/>
    </row>
    <row r="3070" spans="1:47" ht="15.75" customHeight="1">
      <c r="A3070" s="9"/>
      <c r="B3070" s="9"/>
      <c r="C3070" s="9"/>
      <c r="D3070" s="9"/>
      <c r="E3070" s="9"/>
      <c r="F3070" s="67"/>
      <c r="G3070" s="9"/>
      <c r="H3070" s="9"/>
      <c r="I3070" s="9"/>
      <c r="J3070" s="9"/>
      <c r="K3070" s="9"/>
      <c r="L3070" s="9"/>
      <c r="M3070" s="9"/>
      <c r="N3070" s="9"/>
      <c r="O3070" s="9"/>
      <c r="P3070" s="9"/>
      <c r="Q3070" s="9"/>
      <c r="R3070" s="9"/>
      <c r="S3070" s="9"/>
      <c r="T3070" s="9"/>
      <c r="U3070" s="9"/>
      <c r="V3070" s="9"/>
      <c r="W3070" s="9"/>
      <c r="X3070" s="9"/>
      <c r="Y3070" s="9"/>
      <c r="Z3070" s="9"/>
      <c r="AA3070" s="9"/>
      <c r="AB3070" s="9"/>
      <c r="AC3070" s="9"/>
      <c r="AD3070" s="9"/>
      <c r="AE3070" s="9"/>
      <c r="AF3070" s="9"/>
      <c r="AG3070" s="9"/>
      <c r="AH3070" s="9"/>
      <c r="AI3070" s="9"/>
      <c r="AJ3070" s="9"/>
      <c r="AK3070" s="9"/>
      <c r="AL3070" s="9"/>
      <c r="AM3070" s="9"/>
      <c r="AN3070" s="9"/>
      <c r="AO3070" s="9"/>
      <c r="AP3070" s="9"/>
      <c r="AQ3070" s="9"/>
      <c r="AR3070" s="9"/>
      <c r="AS3070" s="9"/>
      <c r="AT3070" s="9"/>
      <c r="AU3070" s="9"/>
    </row>
    <row r="3071" spans="1:47" ht="15.75" customHeight="1">
      <c r="A3071" s="9"/>
      <c r="B3071" s="9"/>
      <c r="C3071" s="9"/>
      <c r="D3071" s="9"/>
      <c r="E3071" s="9"/>
      <c r="F3071" s="67"/>
      <c r="G3071" s="9"/>
      <c r="H3071" s="9"/>
      <c r="I3071" s="9"/>
      <c r="J3071" s="9"/>
      <c r="K3071" s="9"/>
      <c r="L3071" s="9"/>
      <c r="M3071" s="9"/>
      <c r="N3071" s="9"/>
      <c r="O3071" s="9"/>
      <c r="P3071" s="9"/>
      <c r="Q3071" s="9"/>
      <c r="R3071" s="9"/>
      <c r="S3071" s="9"/>
      <c r="T3071" s="9"/>
      <c r="U3071" s="9"/>
      <c r="V3071" s="9"/>
      <c r="W3071" s="9"/>
      <c r="X3071" s="9"/>
      <c r="Y3071" s="9"/>
      <c r="Z3071" s="9"/>
      <c r="AA3071" s="9"/>
      <c r="AB3071" s="9"/>
      <c r="AC3071" s="9"/>
      <c r="AD3071" s="9"/>
      <c r="AE3071" s="9"/>
      <c r="AF3071" s="9"/>
      <c r="AG3071" s="9"/>
      <c r="AH3071" s="9"/>
      <c r="AI3071" s="9"/>
      <c r="AJ3071" s="9"/>
      <c r="AK3071" s="9"/>
      <c r="AL3071" s="9"/>
      <c r="AM3071" s="9"/>
      <c r="AN3071" s="9"/>
      <c r="AO3071" s="9"/>
      <c r="AP3071" s="9"/>
      <c r="AQ3071" s="9"/>
      <c r="AR3071" s="9"/>
      <c r="AS3071" s="9"/>
      <c r="AT3071" s="9"/>
      <c r="AU3071" s="9"/>
    </row>
    <row r="3072" spans="1:47" ht="15.75" customHeight="1">
      <c r="A3072" s="9"/>
      <c r="B3072" s="9"/>
      <c r="C3072" s="9"/>
      <c r="D3072" s="9"/>
      <c r="E3072" s="9"/>
      <c r="F3072" s="67"/>
      <c r="G3072" s="9"/>
      <c r="H3072" s="9"/>
      <c r="I3072" s="9"/>
      <c r="J3072" s="9"/>
      <c r="K3072" s="9"/>
      <c r="L3072" s="9"/>
      <c r="M3072" s="9"/>
      <c r="N3072" s="9"/>
      <c r="O3072" s="9"/>
      <c r="P3072" s="9"/>
      <c r="Q3072" s="9"/>
      <c r="R3072" s="9"/>
      <c r="S3072" s="9"/>
      <c r="T3072" s="9"/>
      <c r="U3072" s="9"/>
      <c r="V3072" s="9"/>
      <c r="W3072" s="9"/>
      <c r="X3072" s="9"/>
      <c r="Y3072" s="9"/>
      <c r="Z3072" s="9"/>
      <c r="AA3072" s="9"/>
      <c r="AB3072" s="9"/>
      <c r="AC3072" s="9"/>
      <c r="AD3072" s="9"/>
      <c r="AE3072" s="9"/>
      <c r="AF3072" s="9"/>
      <c r="AG3072" s="9"/>
      <c r="AH3072" s="9"/>
      <c r="AI3072" s="9"/>
      <c r="AJ3072" s="9"/>
      <c r="AK3072" s="9"/>
      <c r="AL3072" s="9"/>
      <c r="AM3072" s="9"/>
      <c r="AN3072" s="9"/>
      <c r="AO3072" s="9"/>
      <c r="AP3072" s="9"/>
      <c r="AQ3072" s="9"/>
      <c r="AR3072" s="9"/>
      <c r="AS3072" s="9"/>
      <c r="AT3072" s="9"/>
      <c r="AU3072" s="9"/>
    </row>
    <row r="3073" spans="1:47" ht="15.75" customHeight="1">
      <c r="A3073" s="9"/>
      <c r="B3073" s="9"/>
      <c r="C3073" s="9"/>
      <c r="D3073" s="9"/>
      <c r="E3073" s="9"/>
      <c r="F3073" s="67"/>
      <c r="G3073" s="9"/>
      <c r="H3073" s="9"/>
      <c r="I3073" s="9"/>
      <c r="J3073" s="9"/>
      <c r="K3073" s="9"/>
      <c r="L3073" s="9"/>
      <c r="M3073" s="9"/>
      <c r="N3073" s="9"/>
      <c r="O3073" s="9"/>
      <c r="P3073" s="9"/>
      <c r="Q3073" s="9"/>
      <c r="R3073" s="9"/>
      <c r="S3073" s="9"/>
      <c r="T3073" s="9"/>
      <c r="U3073" s="9"/>
      <c r="V3073" s="9"/>
      <c r="W3073" s="9"/>
      <c r="X3073" s="9"/>
      <c r="Y3073" s="9"/>
      <c r="Z3073" s="9"/>
      <c r="AA3073" s="9"/>
      <c r="AB3073" s="9"/>
      <c r="AC3073" s="9"/>
      <c r="AD3073" s="9"/>
      <c r="AE3073" s="9"/>
      <c r="AF3073" s="9"/>
      <c r="AG3073" s="9"/>
      <c r="AH3073" s="9"/>
      <c r="AI3073" s="9"/>
      <c r="AJ3073" s="9"/>
      <c r="AK3073" s="9"/>
      <c r="AL3073" s="9"/>
      <c r="AM3073" s="9"/>
      <c r="AN3073" s="9"/>
      <c r="AO3073" s="9"/>
      <c r="AP3073" s="9"/>
      <c r="AQ3073" s="9"/>
      <c r="AR3073" s="9"/>
      <c r="AS3073" s="9"/>
      <c r="AT3073" s="9"/>
      <c r="AU3073" s="9"/>
    </row>
    <row r="3074" spans="1:47" ht="15.75" customHeight="1">
      <c r="A3074" s="9"/>
      <c r="B3074" s="9"/>
      <c r="C3074" s="9"/>
      <c r="D3074" s="9"/>
      <c r="E3074" s="9"/>
      <c r="F3074" s="67"/>
      <c r="G3074" s="9"/>
      <c r="H3074" s="9"/>
      <c r="I3074" s="9"/>
      <c r="J3074" s="9"/>
      <c r="K3074" s="9"/>
      <c r="L3074" s="9"/>
      <c r="M3074" s="9"/>
      <c r="N3074" s="9"/>
      <c r="O3074" s="9"/>
      <c r="P3074" s="9"/>
      <c r="Q3074" s="9"/>
      <c r="R3074" s="9"/>
      <c r="S3074" s="9"/>
      <c r="T3074" s="9"/>
      <c r="U3074" s="9"/>
      <c r="V3074" s="9"/>
      <c r="W3074" s="9"/>
      <c r="X3074" s="9"/>
      <c r="Y3074" s="9"/>
      <c r="Z3074" s="9"/>
      <c r="AA3074" s="9"/>
      <c r="AB3074" s="9"/>
      <c r="AC3074" s="9"/>
      <c r="AD3074" s="9"/>
      <c r="AE3074" s="9"/>
      <c r="AF3074" s="9"/>
      <c r="AG3074" s="9"/>
      <c r="AH3074" s="9"/>
      <c r="AI3074" s="9"/>
      <c r="AJ3074" s="9"/>
      <c r="AK3074" s="9"/>
      <c r="AL3074" s="9"/>
      <c r="AM3074" s="9"/>
      <c r="AN3074" s="9"/>
      <c r="AO3074" s="9"/>
      <c r="AP3074" s="9"/>
      <c r="AQ3074" s="9"/>
      <c r="AR3074" s="9"/>
      <c r="AS3074" s="9"/>
      <c r="AT3074" s="9"/>
      <c r="AU3074" s="9"/>
    </row>
    <row r="3075" spans="1:47" ht="15.75" customHeight="1">
      <c r="A3075" s="9"/>
      <c r="B3075" s="9"/>
      <c r="C3075" s="9"/>
      <c r="D3075" s="9"/>
      <c r="E3075" s="9"/>
      <c r="F3075" s="67"/>
      <c r="G3075" s="9"/>
      <c r="H3075" s="9"/>
      <c r="I3075" s="9"/>
      <c r="J3075" s="9"/>
      <c r="K3075" s="9"/>
      <c r="L3075" s="9"/>
      <c r="M3075" s="9"/>
      <c r="N3075" s="9"/>
      <c r="O3075" s="9"/>
      <c r="P3075" s="9"/>
      <c r="Q3075" s="9"/>
      <c r="R3075" s="9"/>
      <c r="S3075" s="9"/>
      <c r="T3075" s="9"/>
      <c r="U3075" s="9"/>
      <c r="V3075" s="9"/>
      <c r="W3075" s="9"/>
      <c r="X3075" s="9"/>
      <c r="Y3075" s="9"/>
      <c r="Z3075" s="9"/>
      <c r="AA3075" s="9"/>
      <c r="AB3075" s="9"/>
      <c r="AC3075" s="9"/>
      <c r="AD3075" s="9"/>
      <c r="AE3075" s="9"/>
      <c r="AF3075" s="9"/>
      <c r="AG3075" s="9"/>
      <c r="AH3075" s="9"/>
      <c r="AI3075" s="9"/>
      <c r="AJ3075" s="9"/>
      <c r="AK3075" s="9"/>
      <c r="AL3075" s="9"/>
      <c r="AM3075" s="9"/>
      <c r="AN3075" s="9"/>
      <c r="AO3075" s="9"/>
      <c r="AP3075" s="9"/>
      <c r="AQ3075" s="9"/>
      <c r="AR3075" s="9"/>
      <c r="AS3075" s="9"/>
      <c r="AT3075" s="9"/>
      <c r="AU3075" s="9"/>
    </row>
    <row r="3076" spans="1:47" ht="15.75" customHeight="1">
      <c r="A3076" s="9"/>
      <c r="B3076" s="9"/>
      <c r="C3076" s="9"/>
      <c r="D3076" s="9"/>
      <c r="E3076" s="9"/>
      <c r="F3076" s="67"/>
      <c r="G3076" s="9"/>
      <c r="H3076" s="9"/>
      <c r="I3076" s="9"/>
      <c r="J3076" s="9"/>
      <c r="K3076" s="9"/>
      <c r="L3076" s="9"/>
      <c r="M3076" s="9"/>
      <c r="N3076" s="9"/>
      <c r="O3076" s="9"/>
      <c r="P3076" s="9"/>
      <c r="Q3076" s="9"/>
      <c r="R3076" s="9"/>
      <c r="S3076" s="9"/>
      <c r="T3076" s="9"/>
      <c r="U3076" s="9"/>
      <c r="V3076" s="9"/>
      <c r="W3076" s="9"/>
      <c r="X3076" s="9"/>
      <c r="Y3076" s="9"/>
      <c r="Z3076" s="9"/>
      <c r="AA3076" s="9"/>
      <c r="AB3076" s="9"/>
      <c r="AC3076" s="9"/>
      <c r="AD3076" s="9"/>
      <c r="AE3076" s="9"/>
      <c r="AF3076" s="9"/>
      <c r="AG3076" s="9"/>
      <c r="AH3076" s="9"/>
      <c r="AI3076" s="9"/>
      <c r="AJ3076" s="9"/>
      <c r="AK3076" s="9"/>
      <c r="AL3076" s="9"/>
      <c r="AM3076" s="9"/>
      <c r="AN3076" s="9"/>
      <c r="AO3076" s="9"/>
      <c r="AP3076" s="9"/>
      <c r="AQ3076" s="9"/>
      <c r="AR3076" s="9"/>
      <c r="AS3076" s="9"/>
      <c r="AT3076" s="9"/>
      <c r="AU3076" s="9"/>
    </row>
    <row r="3077" spans="1:47" ht="15.75" customHeight="1">
      <c r="A3077" s="9"/>
      <c r="B3077" s="9"/>
      <c r="C3077" s="9"/>
      <c r="D3077" s="9"/>
      <c r="E3077" s="9"/>
      <c r="F3077" s="67"/>
      <c r="G3077" s="9"/>
      <c r="H3077" s="9"/>
      <c r="I3077" s="9"/>
      <c r="J3077" s="9"/>
      <c r="K3077" s="9"/>
      <c r="L3077" s="9"/>
      <c r="M3077" s="9"/>
      <c r="N3077" s="9"/>
      <c r="O3077" s="9"/>
      <c r="P3077" s="9"/>
      <c r="Q3077" s="9"/>
      <c r="R3077" s="9"/>
      <c r="S3077" s="9"/>
      <c r="T3077" s="9"/>
      <c r="U3077" s="9"/>
      <c r="V3077" s="9"/>
      <c r="W3077" s="9"/>
      <c r="X3077" s="9"/>
      <c r="Y3077" s="9"/>
      <c r="Z3077" s="9"/>
      <c r="AA3077" s="9"/>
      <c r="AB3077" s="9"/>
      <c r="AC3077" s="9"/>
      <c r="AD3077" s="9"/>
      <c r="AE3077" s="9"/>
      <c r="AF3077" s="9"/>
      <c r="AG3077" s="9"/>
      <c r="AH3077" s="9"/>
      <c r="AI3077" s="9"/>
      <c r="AJ3077" s="9"/>
      <c r="AK3077" s="9"/>
      <c r="AL3077" s="9"/>
      <c r="AM3077" s="9"/>
      <c r="AN3077" s="9"/>
      <c r="AO3077" s="9"/>
      <c r="AP3077" s="9"/>
      <c r="AQ3077" s="9"/>
      <c r="AR3077" s="9"/>
      <c r="AS3077" s="9"/>
      <c r="AT3077" s="9"/>
      <c r="AU3077" s="9"/>
    </row>
    <row r="3078" spans="1:47" ht="15.75" customHeight="1">
      <c r="A3078" s="9"/>
      <c r="B3078" s="9"/>
      <c r="C3078" s="9"/>
      <c r="D3078" s="9"/>
      <c r="E3078" s="9"/>
      <c r="F3078" s="67"/>
      <c r="G3078" s="9"/>
      <c r="H3078" s="9"/>
      <c r="I3078" s="9"/>
      <c r="J3078" s="9"/>
      <c r="K3078" s="9"/>
      <c r="L3078" s="9"/>
      <c r="M3078" s="9"/>
      <c r="N3078" s="9"/>
      <c r="O3078" s="9"/>
      <c r="P3078" s="9"/>
      <c r="Q3078" s="9"/>
      <c r="R3078" s="9"/>
      <c r="S3078" s="9"/>
      <c r="T3078" s="9"/>
      <c r="U3078" s="9"/>
      <c r="V3078" s="9"/>
      <c r="W3078" s="9"/>
      <c r="X3078" s="9"/>
      <c r="Y3078" s="9"/>
      <c r="Z3078" s="9"/>
      <c r="AA3078" s="9"/>
      <c r="AB3078" s="9"/>
      <c r="AC3078" s="9"/>
      <c r="AD3078" s="9"/>
      <c r="AE3078" s="9"/>
      <c r="AF3078" s="9"/>
      <c r="AG3078" s="9"/>
      <c r="AH3078" s="9"/>
      <c r="AI3078" s="9"/>
      <c r="AJ3078" s="9"/>
      <c r="AK3078" s="9"/>
      <c r="AL3078" s="9"/>
      <c r="AM3078" s="9"/>
      <c r="AN3078" s="9"/>
      <c r="AO3078" s="9"/>
      <c r="AP3078" s="9"/>
      <c r="AQ3078" s="9"/>
      <c r="AR3078" s="9"/>
      <c r="AS3078" s="9"/>
      <c r="AT3078" s="9"/>
      <c r="AU3078" s="9"/>
    </row>
    <row r="3079" spans="1:47" ht="15.75" customHeight="1">
      <c r="A3079" s="9"/>
      <c r="B3079" s="9"/>
      <c r="C3079" s="9"/>
      <c r="D3079" s="9"/>
      <c r="E3079" s="9"/>
      <c r="F3079" s="67"/>
      <c r="G3079" s="9"/>
      <c r="H3079" s="9"/>
      <c r="I3079" s="9"/>
      <c r="J3079" s="9"/>
      <c r="K3079" s="9"/>
      <c r="L3079" s="9"/>
      <c r="M3079" s="9"/>
      <c r="N3079" s="9"/>
      <c r="O3079" s="9"/>
      <c r="P3079" s="9"/>
      <c r="Q3079" s="9"/>
      <c r="R3079" s="9"/>
      <c r="S3079" s="9"/>
      <c r="T3079" s="9"/>
      <c r="U3079" s="9"/>
      <c r="V3079" s="9"/>
      <c r="W3079" s="9"/>
      <c r="X3079" s="9"/>
      <c r="Y3079" s="9"/>
      <c r="Z3079" s="9"/>
      <c r="AA3079" s="9"/>
      <c r="AB3079" s="9"/>
      <c r="AC3079" s="9"/>
      <c r="AD3079" s="9"/>
      <c r="AE3079" s="9"/>
      <c r="AF3079" s="9"/>
      <c r="AG3079" s="9"/>
      <c r="AH3079" s="9"/>
      <c r="AI3079" s="9"/>
      <c r="AJ3079" s="9"/>
      <c r="AK3079" s="9"/>
      <c r="AL3079" s="9"/>
      <c r="AM3079" s="9"/>
      <c r="AN3079" s="9"/>
      <c r="AO3079" s="9"/>
      <c r="AP3079" s="9"/>
      <c r="AQ3079" s="9"/>
      <c r="AR3079" s="9"/>
      <c r="AS3079" s="9"/>
      <c r="AT3079" s="9"/>
      <c r="AU3079" s="9"/>
    </row>
    <row r="3080" spans="1:47" ht="15.75" customHeight="1">
      <c r="A3080" s="9"/>
      <c r="B3080" s="9"/>
      <c r="C3080" s="9"/>
      <c r="D3080" s="9"/>
      <c r="E3080" s="9"/>
      <c r="F3080" s="67"/>
      <c r="G3080" s="9"/>
      <c r="H3080" s="9"/>
      <c r="I3080" s="9"/>
      <c r="J3080" s="9"/>
      <c r="K3080" s="9"/>
      <c r="L3080" s="9"/>
      <c r="M3080" s="9"/>
      <c r="N3080" s="9"/>
      <c r="O3080" s="9"/>
      <c r="P3080" s="9"/>
      <c r="Q3080" s="9"/>
      <c r="R3080" s="9"/>
      <c r="S3080" s="9"/>
      <c r="T3080" s="9"/>
      <c r="U3080" s="9"/>
      <c r="V3080" s="9"/>
      <c r="W3080" s="9"/>
      <c r="X3080" s="9"/>
      <c r="Y3080" s="9"/>
      <c r="Z3080" s="9"/>
      <c r="AA3080" s="9"/>
      <c r="AB3080" s="9"/>
      <c r="AC3080" s="9"/>
      <c r="AD3080" s="9"/>
      <c r="AE3080" s="9"/>
      <c r="AF3080" s="9"/>
      <c r="AG3080" s="9"/>
      <c r="AH3080" s="9"/>
      <c r="AI3080" s="9"/>
      <c r="AJ3080" s="9"/>
      <c r="AK3080" s="9"/>
      <c r="AL3080" s="9"/>
      <c r="AM3080" s="9"/>
      <c r="AN3080" s="9"/>
      <c r="AO3080" s="9"/>
      <c r="AP3080" s="9"/>
      <c r="AQ3080" s="9"/>
      <c r="AR3080" s="9"/>
      <c r="AS3080" s="9"/>
      <c r="AT3080" s="9"/>
      <c r="AU3080" s="9"/>
    </row>
    <row r="3081" spans="1:47" ht="15.75" customHeight="1">
      <c r="A3081" s="9"/>
      <c r="B3081" s="9"/>
      <c r="C3081" s="9"/>
      <c r="D3081" s="9"/>
      <c r="E3081" s="9"/>
      <c r="F3081" s="67"/>
      <c r="G3081" s="9"/>
      <c r="H3081" s="9"/>
      <c r="I3081" s="9"/>
      <c r="J3081" s="9"/>
      <c r="K3081" s="9"/>
      <c r="L3081" s="9"/>
      <c r="M3081" s="9"/>
      <c r="N3081" s="9"/>
      <c r="O3081" s="9"/>
      <c r="P3081" s="9"/>
      <c r="Q3081" s="9"/>
      <c r="R3081" s="9"/>
      <c r="S3081" s="9"/>
      <c r="T3081" s="9"/>
      <c r="U3081" s="9"/>
      <c r="V3081" s="9"/>
      <c r="W3081" s="9"/>
      <c r="X3081" s="9"/>
      <c r="Y3081" s="9"/>
      <c r="Z3081" s="9"/>
      <c r="AA3081" s="9"/>
      <c r="AB3081" s="9"/>
      <c r="AC3081" s="9"/>
      <c r="AD3081" s="9"/>
      <c r="AE3081" s="9"/>
      <c r="AF3081" s="9"/>
      <c r="AG3081" s="9"/>
      <c r="AH3081" s="9"/>
      <c r="AI3081" s="9"/>
      <c r="AJ3081" s="9"/>
      <c r="AK3081" s="9"/>
      <c r="AL3081" s="9"/>
      <c r="AM3081" s="9"/>
      <c r="AN3081" s="9"/>
      <c r="AO3081" s="9"/>
      <c r="AP3081" s="9"/>
      <c r="AQ3081" s="9"/>
      <c r="AR3081" s="9"/>
      <c r="AS3081" s="9"/>
      <c r="AT3081" s="9"/>
      <c r="AU3081" s="9"/>
    </row>
    <row r="3082" spans="1:47" ht="15.75" customHeight="1">
      <c r="A3082" s="9"/>
      <c r="B3082" s="9"/>
      <c r="C3082" s="9"/>
      <c r="D3082" s="9"/>
      <c r="E3082" s="9"/>
      <c r="F3082" s="67"/>
      <c r="G3082" s="9"/>
      <c r="H3082" s="9"/>
      <c r="I3082" s="9"/>
      <c r="J3082" s="9"/>
      <c r="K3082" s="9"/>
      <c r="L3082" s="9"/>
      <c r="M3082" s="9"/>
      <c r="N3082" s="9"/>
      <c r="O3082" s="9"/>
      <c r="P3082" s="9"/>
      <c r="Q3082" s="9"/>
      <c r="R3082" s="9"/>
      <c r="S3082" s="9"/>
      <c r="T3082" s="9"/>
      <c r="U3082" s="9"/>
      <c r="V3082" s="9"/>
      <c r="W3082" s="9"/>
      <c r="X3082" s="9"/>
      <c r="Y3082" s="9"/>
      <c r="Z3082" s="9"/>
      <c r="AA3082" s="9"/>
      <c r="AB3082" s="9"/>
      <c r="AC3082" s="9"/>
      <c r="AD3082" s="9"/>
      <c r="AE3082" s="9"/>
      <c r="AF3082" s="9"/>
      <c r="AG3082" s="9"/>
      <c r="AH3082" s="9"/>
      <c r="AI3082" s="9"/>
      <c r="AJ3082" s="9"/>
      <c r="AK3082" s="9"/>
      <c r="AL3082" s="9"/>
      <c r="AM3082" s="9"/>
      <c r="AN3082" s="9"/>
      <c r="AO3082" s="9"/>
      <c r="AP3082" s="9"/>
      <c r="AQ3082" s="9"/>
      <c r="AR3082" s="9"/>
      <c r="AS3082" s="9"/>
      <c r="AT3082" s="9"/>
      <c r="AU3082" s="9"/>
    </row>
    <row r="3083" spans="1:47" ht="15.75" customHeight="1">
      <c r="A3083" s="9"/>
      <c r="B3083" s="9"/>
      <c r="C3083" s="9"/>
      <c r="D3083" s="9"/>
      <c r="E3083" s="9"/>
      <c r="F3083" s="67"/>
      <c r="G3083" s="9"/>
      <c r="H3083" s="9"/>
      <c r="I3083" s="9"/>
      <c r="J3083" s="9"/>
      <c r="K3083" s="9"/>
      <c r="L3083" s="9"/>
      <c r="M3083" s="9"/>
      <c r="N3083" s="9"/>
      <c r="O3083" s="9"/>
      <c r="P3083" s="9"/>
      <c r="Q3083" s="9"/>
      <c r="R3083" s="9"/>
      <c r="S3083" s="9"/>
      <c r="T3083" s="9"/>
      <c r="U3083" s="9"/>
      <c r="V3083" s="9"/>
      <c r="W3083" s="9"/>
      <c r="X3083" s="9"/>
      <c r="Y3083" s="9"/>
      <c r="Z3083" s="9"/>
      <c r="AA3083" s="9"/>
      <c r="AB3083" s="9"/>
      <c r="AC3083" s="9"/>
      <c r="AD3083" s="9"/>
      <c r="AE3083" s="9"/>
      <c r="AF3083" s="9"/>
      <c r="AG3083" s="9"/>
      <c r="AH3083" s="9"/>
      <c r="AI3083" s="9"/>
      <c r="AJ3083" s="9"/>
      <c r="AK3083" s="9"/>
      <c r="AL3083" s="9"/>
      <c r="AM3083" s="9"/>
      <c r="AN3083" s="9"/>
      <c r="AO3083" s="9"/>
      <c r="AP3083" s="9"/>
      <c r="AQ3083" s="9"/>
      <c r="AR3083" s="9"/>
      <c r="AS3083" s="9"/>
      <c r="AT3083" s="9"/>
      <c r="AU3083" s="9"/>
    </row>
    <row r="3084" spans="1:47" ht="15.75" customHeight="1">
      <c r="A3084" s="9"/>
      <c r="B3084" s="9"/>
      <c r="C3084" s="9"/>
      <c r="D3084" s="9"/>
      <c r="E3084" s="9"/>
      <c r="F3084" s="67"/>
      <c r="G3084" s="9"/>
      <c r="H3084" s="9"/>
      <c r="I3084" s="9"/>
      <c r="J3084" s="9"/>
      <c r="K3084" s="9"/>
      <c r="L3084" s="9"/>
      <c r="M3084" s="9"/>
      <c r="N3084" s="9"/>
      <c r="O3084" s="9"/>
      <c r="P3084" s="9"/>
      <c r="Q3084" s="9"/>
      <c r="R3084" s="9"/>
      <c r="S3084" s="9"/>
      <c r="T3084" s="9"/>
      <c r="U3084" s="9"/>
      <c r="V3084" s="9"/>
      <c r="W3084" s="9"/>
      <c r="X3084" s="9"/>
      <c r="Y3084" s="9"/>
      <c r="Z3084" s="9"/>
      <c r="AA3084" s="9"/>
      <c r="AB3084" s="9"/>
      <c r="AC3084" s="9"/>
      <c r="AD3084" s="9"/>
      <c r="AE3084" s="9"/>
      <c r="AF3084" s="9"/>
      <c r="AG3084" s="9"/>
      <c r="AH3084" s="9"/>
      <c r="AI3084" s="9"/>
      <c r="AJ3084" s="9"/>
      <c r="AK3084" s="9"/>
      <c r="AL3084" s="9"/>
      <c r="AM3084" s="9"/>
      <c r="AN3084" s="9"/>
      <c r="AO3084" s="9"/>
      <c r="AP3084" s="9"/>
      <c r="AQ3084" s="9"/>
      <c r="AR3084" s="9"/>
      <c r="AS3084" s="9"/>
      <c r="AT3084" s="9"/>
      <c r="AU3084" s="9"/>
    </row>
    <row r="3085" spans="1:47" ht="15.75" customHeight="1">
      <c r="A3085" s="9"/>
      <c r="B3085" s="9"/>
      <c r="C3085" s="9"/>
      <c r="D3085" s="9"/>
      <c r="E3085" s="9"/>
      <c r="F3085" s="67"/>
      <c r="G3085" s="9"/>
      <c r="H3085" s="9"/>
      <c r="I3085" s="9"/>
      <c r="J3085" s="9"/>
      <c r="K3085" s="9"/>
      <c r="L3085" s="9"/>
      <c r="M3085" s="9"/>
      <c r="N3085" s="9"/>
      <c r="O3085" s="9"/>
      <c r="P3085" s="9"/>
      <c r="Q3085" s="9"/>
      <c r="R3085" s="9"/>
      <c r="S3085" s="9"/>
      <c r="T3085" s="9"/>
      <c r="U3085" s="9"/>
      <c r="V3085" s="9"/>
      <c r="W3085" s="9"/>
      <c r="X3085" s="9"/>
      <c r="Y3085" s="9"/>
      <c r="Z3085" s="9"/>
      <c r="AA3085" s="9"/>
      <c r="AB3085" s="9"/>
      <c r="AC3085" s="9"/>
      <c r="AD3085" s="9"/>
      <c r="AE3085" s="9"/>
      <c r="AF3085" s="9"/>
      <c r="AG3085" s="9"/>
      <c r="AH3085" s="9"/>
      <c r="AI3085" s="9"/>
      <c r="AJ3085" s="9"/>
      <c r="AK3085" s="9"/>
      <c r="AL3085" s="9"/>
      <c r="AM3085" s="9"/>
      <c r="AN3085" s="9"/>
      <c r="AO3085" s="9"/>
      <c r="AP3085" s="9"/>
      <c r="AQ3085" s="9"/>
      <c r="AR3085" s="9"/>
      <c r="AS3085" s="9"/>
      <c r="AT3085" s="9"/>
      <c r="AU3085" s="9"/>
    </row>
    <row r="3086" spans="1:47" ht="15.75" customHeight="1">
      <c r="A3086" s="9"/>
      <c r="B3086" s="9"/>
      <c r="C3086" s="9"/>
      <c r="D3086" s="9"/>
      <c r="E3086" s="9"/>
      <c r="F3086" s="67"/>
      <c r="G3086" s="9"/>
      <c r="H3086" s="9"/>
      <c r="I3086" s="9"/>
      <c r="J3086" s="9"/>
      <c r="K3086" s="9"/>
      <c r="L3086" s="9"/>
      <c r="M3086" s="9"/>
      <c r="N3086" s="9"/>
      <c r="O3086" s="9"/>
      <c r="P3086" s="9"/>
      <c r="Q3086" s="9"/>
      <c r="R3086" s="9"/>
      <c r="S3086" s="9"/>
      <c r="T3086" s="9"/>
      <c r="U3086" s="9"/>
      <c r="V3086" s="9"/>
      <c r="W3086" s="9"/>
      <c r="X3086" s="9"/>
      <c r="Y3086" s="9"/>
      <c r="Z3086" s="9"/>
      <c r="AA3086" s="9"/>
      <c r="AB3086" s="9"/>
      <c r="AC3086" s="9"/>
      <c r="AD3086" s="9"/>
      <c r="AE3086" s="9"/>
      <c r="AF3086" s="9"/>
      <c r="AG3086" s="9"/>
      <c r="AH3086" s="9"/>
      <c r="AI3086" s="9"/>
      <c r="AJ3086" s="9"/>
      <c r="AK3086" s="9"/>
      <c r="AL3086" s="9"/>
      <c r="AM3086" s="9"/>
      <c r="AN3086" s="9"/>
      <c r="AO3086" s="9"/>
      <c r="AP3086" s="9"/>
      <c r="AQ3086" s="9"/>
      <c r="AR3086" s="9"/>
      <c r="AS3086" s="9"/>
      <c r="AT3086" s="9"/>
      <c r="AU3086" s="9"/>
    </row>
    <row r="3087" spans="1:47" ht="15.75" customHeight="1">
      <c r="A3087" s="9"/>
      <c r="B3087" s="9"/>
      <c r="C3087" s="9"/>
      <c r="D3087" s="9"/>
      <c r="E3087" s="9"/>
      <c r="F3087" s="67"/>
      <c r="G3087" s="9"/>
      <c r="H3087" s="9"/>
      <c r="I3087" s="9"/>
      <c r="J3087" s="9"/>
      <c r="K3087" s="9"/>
      <c r="L3087" s="9"/>
      <c r="M3087" s="9"/>
      <c r="N3087" s="9"/>
      <c r="O3087" s="9"/>
      <c r="P3087" s="9"/>
      <c r="Q3087" s="9"/>
      <c r="R3087" s="9"/>
      <c r="S3087" s="9"/>
      <c r="T3087" s="9"/>
      <c r="U3087" s="9"/>
      <c r="V3087" s="9"/>
      <c r="W3087" s="9"/>
      <c r="X3087" s="9"/>
      <c r="Y3087" s="9"/>
      <c r="Z3087" s="9"/>
      <c r="AA3087" s="9"/>
      <c r="AB3087" s="9"/>
      <c r="AC3087" s="9"/>
      <c r="AD3087" s="9"/>
      <c r="AE3087" s="9"/>
      <c r="AF3087" s="9"/>
      <c r="AG3087" s="9"/>
      <c r="AH3087" s="9"/>
      <c r="AI3087" s="9"/>
      <c r="AJ3087" s="9"/>
      <c r="AK3087" s="9"/>
      <c r="AL3087" s="9"/>
      <c r="AM3087" s="9"/>
      <c r="AN3087" s="9"/>
      <c r="AO3087" s="9"/>
      <c r="AP3087" s="9"/>
      <c r="AQ3087" s="9"/>
      <c r="AR3087" s="9"/>
      <c r="AS3087" s="9"/>
      <c r="AT3087" s="9"/>
      <c r="AU3087" s="9"/>
    </row>
    <row r="3088" spans="1:47" ht="15.75" customHeight="1">
      <c r="A3088" s="9"/>
      <c r="B3088" s="9"/>
      <c r="C3088" s="9"/>
      <c r="D3088" s="9"/>
      <c r="E3088" s="9"/>
      <c r="F3088" s="67"/>
      <c r="G3088" s="9"/>
      <c r="H3088" s="9"/>
      <c r="I3088" s="9"/>
      <c r="J3088" s="9"/>
      <c r="K3088" s="9"/>
      <c r="L3088" s="9"/>
      <c r="M3088" s="9"/>
      <c r="N3088" s="9"/>
      <c r="O3088" s="9"/>
      <c r="P3088" s="9"/>
      <c r="Q3088" s="9"/>
      <c r="R3088" s="9"/>
      <c r="S3088" s="9"/>
      <c r="T3088" s="9"/>
      <c r="U3088" s="9"/>
      <c r="V3088" s="9"/>
      <c r="W3088" s="9"/>
      <c r="X3088" s="9"/>
      <c r="Y3088" s="9"/>
      <c r="Z3088" s="9"/>
      <c r="AA3088" s="9"/>
      <c r="AB3088" s="9"/>
      <c r="AC3088" s="9"/>
      <c r="AD3088" s="9"/>
      <c r="AE3088" s="9"/>
      <c r="AF3088" s="9"/>
      <c r="AG3088" s="9"/>
      <c r="AH3088" s="9"/>
      <c r="AI3088" s="9"/>
      <c r="AJ3088" s="9"/>
      <c r="AK3088" s="9"/>
      <c r="AL3088" s="9"/>
      <c r="AM3088" s="9"/>
      <c r="AN3088" s="9"/>
      <c r="AO3088" s="9"/>
      <c r="AP3088" s="9"/>
      <c r="AQ3088" s="9"/>
      <c r="AR3088" s="9"/>
      <c r="AS3088" s="9"/>
      <c r="AT3088" s="9"/>
      <c r="AU3088" s="9"/>
    </row>
    <row r="3089" spans="1:47" ht="15.75" customHeight="1">
      <c r="A3089" s="9"/>
      <c r="B3089" s="9"/>
      <c r="C3089" s="9"/>
      <c r="D3089" s="9"/>
      <c r="E3089" s="9"/>
      <c r="F3089" s="67"/>
      <c r="G3089" s="9"/>
      <c r="H3089" s="9"/>
      <c r="I3089" s="9"/>
      <c r="J3089" s="9"/>
      <c r="K3089" s="9"/>
      <c r="L3089" s="9"/>
      <c r="M3089" s="9"/>
      <c r="N3089" s="9"/>
      <c r="O3089" s="9"/>
      <c r="P3089" s="9"/>
      <c r="Q3089" s="9"/>
      <c r="R3089" s="9"/>
      <c r="S3089" s="9"/>
      <c r="T3089" s="9"/>
      <c r="U3089" s="9"/>
      <c r="V3089" s="9"/>
      <c r="W3089" s="9"/>
      <c r="X3089" s="9"/>
      <c r="Y3089" s="9"/>
      <c r="Z3089" s="9"/>
      <c r="AA3089" s="9"/>
      <c r="AB3089" s="9"/>
      <c r="AC3089" s="9"/>
      <c r="AD3089" s="9"/>
      <c r="AE3089" s="9"/>
      <c r="AF3089" s="9"/>
      <c r="AG3089" s="9"/>
      <c r="AH3089" s="9"/>
      <c r="AI3089" s="9"/>
      <c r="AJ3089" s="9"/>
      <c r="AK3089" s="9"/>
      <c r="AL3089" s="9"/>
      <c r="AM3089" s="9"/>
      <c r="AN3089" s="9"/>
      <c r="AO3089" s="9"/>
      <c r="AP3089" s="9"/>
      <c r="AQ3089" s="9"/>
      <c r="AR3089" s="9"/>
      <c r="AS3089" s="9"/>
      <c r="AT3089" s="9"/>
      <c r="AU3089" s="9"/>
    </row>
    <row r="3090" spans="1:47" ht="15.75" customHeight="1">
      <c r="A3090" s="9"/>
      <c r="B3090" s="9"/>
      <c r="C3090" s="9"/>
      <c r="D3090" s="9"/>
      <c r="E3090" s="9"/>
      <c r="F3090" s="67"/>
      <c r="G3090" s="9"/>
      <c r="H3090" s="9"/>
      <c r="I3090" s="9"/>
      <c r="J3090" s="9"/>
      <c r="K3090" s="9"/>
      <c r="L3090" s="9"/>
      <c r="M3090" s="9"/>
      <c r="N3090" s="9"/>
      <c r="O3090" s="9"/>
      <c r="P3090" s="9"/>
      <c r="Q3090" s="9"/>
      <c r="R3090" s="9"/>
      <c r="S3090" s="9"/>
      <c r="T3090" s="9"/>
      <c r="U3090" s="9"/>
      <c r="V3090" s="9"/>
      <c r="W3090" s="9"/>
      <c r="X3090" s="9"/>
      <c r="Y3090" s="9"/>
      <c r="Z3090" s="9"/>
      <c r="AA3090" s="9"/>
      <c r="AB3090" s="9"/>
      <c r="AC3090" s="9"/>
      <c r="AD3090" s="9"/>
      <c r="AE3090" s="9"/>
      <c r="AF3090" s="9"/>
      <c r="AG3090" s="9"/>
      <c r="AH3090" s="9"/>
      <c r="AI3090" s="9"/>
      <c r="AJ3090" s="9"/>
      <c r="AK3090" s="9"/>
      <c r="AL3090" s="9"/>
      <c r="AM3090" s="9"/>
      <c r="AN3090" s="9"/>
      <c r="AO3090" s="9"/>
      <c r="AP3090" s="9"/>
      <c r="AQ3090" s="9"/>
      <c r="AR3090" s="9"/>
      <c r="AS3090" s="9"/>
      <c r="AT3090" s="9"/>
      <c r="AU3090" s="9"/>
    </row>
    <row r="3091" spans="1:47" ht="15.75" customHeight="1">
      <c r="A3091" s="9"/>
      <c r="B3091" s="9"/>
      <c r="C3091" s="9"/>
      <c r="D3091" s="9"/>
      <c r="E3091" s="9"/>
      <c r="F3091" s="67"/>
      <c r="G3091" s="9"/>
      <c r="H3091" s="9"/>
      <c r="I3091" s="9"/>
      <c r="J3091" s="9"/>
      <c r="K3091" s="9"/>
      <c r="L3091" s="9"/>
      <c r="M3091" s="9"/>
      <c r="N3091" s="9"/>
      <c r="O3091" s="9"/>
      <c r="P3091" s="9"/>
      <c r="Q3091" s="9"/>
      <c r="R3091" s="9"/>
      <c r="S3091" s="9"/>
      <c r="T3091" s="9"/>
      <c r="U3091" s="9"/>
      <c r="V3091" s="9"/>
      <c r="W3091" s="9"/>
      <c r="X3091" s="9"/>
      <c r="Y3091" s="9"/>
      <c r="Z3091" s="9"/>
      <c r="AA3091" s="9"/>
      <c r="AB3091" s="9"/>
      <c r="AC3091" s="9"/>
      <c r="AD3091" s="9"/>
      <c r="AE3091" s="9"/>
      <c r="AF3091" s="9"/>
      <c r="AG3091" s="9"/>
      <c r="AH3091" s="9"/>
      <c r="AI3091" s="9"/>
      <c r="AJ3091" s="9"/>
      <c r="AK3091" s="9"/>
      <c r="AL3091" s="9"/>
      <c r="AM3091" s="9"/>
      <c r="AN3091" s="9"/>
      <c r="AO3091" s="9"/>
      <c r="AP3091" s="9"/>
      <c r="AQ3091" s="9"/>
      <c r="AR3091" s="9"/>
      <c r="AS3091" s="9"/>
      <c r="AT3091" s="9"/>
      <c r="AU3091" s="9"/>
    </row>
    <row r="3092" spans="1:47" ht="15.75" customHeight="1">
      <c r="A3092" s="9"/>
      <c r="B3092" s="9"/>
      <c r="C3092" s="9"/>
      <c r="D3092" s="9"/>
      <c r="E3092" s="9"/>
      <c r="F3092" s="67"/>
      <c r="G3092" s="9"/>
      <c r="H3092" s="9"/>
      <c r="I3092" s="9"/>
      <c r="J3092" s="9"/>
      <c r="K3092" s="9"/>
      <c r="L3092" s="9"/>
      <c r="M3092" s="9"/>
      <c r="N3092" s="9"/>
      <c r="O3092" s="9"/>
      <c r="P3092" s="9"/>
      <c r="Q3092" s="9"/>
      <c r="R3092" s="9"/>
      <c r="S3092" s="9"/>
      <c r="T3092" s="9"/>
      <c r="U3092" s="9"/>
      <c r="V3092" s="9"/>
      <c r="W3092" s="9"/>
      <c r="X3092" s="9"/>
      <c r="Y3092" s="9"/>
      <c r="Z3092" s="9"/>
      <c r="AA3092" s="9"/>
      <c r="AB3092" s="9"/>
      <c r="AC3092" s="9"/>
      <c r="AD3092" s="9"/>
      <c r="AE3092" s="9"/>
      <c r="AF3092" s="9"/>
      <c r="AG3092" s="9"/>
      <c r="AH3092" s="9"/>
      <c r="AI3092" s="9"/>
      <c r="AJ3092" s="9"/>
      <c r="AK3092" s="9"/>
      <c r="AL3092" s="9"/>
      <c r="AM3092" s="9"/>
      <c r="AN3092" s="9"/>
      <c r="AO3092" s="9"/>
      <c r="AP3092" s="9"/>
      <c r="AQ3092" s="9"/>
      <c r="AR3092" s="9"/>
      <c r="AS3092" s="9"/>
      <c r="AT3092" s="9"/>
      <c r="AU3092" s="9"/>
    </row>
    <row r="3093" spans="1:47" ht="15.75" customHeight="1">
      <c r="A3093" s="9"/>
      <c r="B3093" s="9"/>
      <c r="C3093" s="9"/>
      <c r="D3093" s="9"/>
      <c r="E3093" s="9"/>
      <c r="F3093" s="67"/>
      <c r="G3093" s="9"/>
      <c r="H3093" s="9"/>
      <c r="I3093" s="9"/>
      <c r="J3093" s="9"/>
      <c r="K3093" s="9"/>
      <c r="L3093" s="9"/>
      <c r="M3093" s="9"/>
      <c r="N3093" s="9"/>
      <c r="O3093" s="9"/>
      <c r="P3093" s="9"/>
      <c r="Q3093" s="9"/>
      <c r="R3093" s="9"/>
      <c r="S3093" s="9"/>
      <c r="T3093" s="9"/>
      <c r="U3093" s="9"/>
      <c r="V3093" s="9"/>
      <c r="W3093" s="9"/>
      <c r="X3093" s="9"/>
      <c r="Y3093" s="9"/>
      <c r="Z3093" s="9"/>
      <c r="AA3093" s="9"/>
      <c r="AB3093" s="9"/>
      <c r="AC3093" s="9"/>
      <c r="AD3093" s="9"/>
      <c r="AE3093" s="9"/>
      <c r="AF3093" s="9"/>
      <c r="AG3093" s="9"/>
      <c r="AH3093" s="9"/>
      <c r="AI3093" s="9"/>
      <c r="AJ3093" s="9"/>
      <c r="AK3093" s="9"/>
      <c r="AL3093" s="9"/>
      <c r="AM3093" s="9"/>
      <c r="AN3093" s="9"/>
      <c r="AO3093" s="9"/>
      <c r="AP3093" s="9"/>
      <c r="AQ3093" s="9"/>
      <c r="AR3093" s="9"/>
      <c r="AS3093" s="9"/>
      <c r="AT3093" s="9"/>
      <c r="AU3093" s="9"/>
    </row>
    <row r="3094" spans="1:47" ht="15.75" customHeight="1">
      <c r="A3094" s="9"/>
      <c r="B3094" s="9"/>
      <c r="C3094" s="9"/>
      <c r="D3094" s="9"/>
      <c r="E3094" s="9"/>
      <c r="F3094" s="67"/>
      <c r="G3094" s="9"/>
      <c r="H3094" s="9"/>
      <c r="I3094" s="9"/>
      <c r="J3094" s="9"/>
      <c r="K3094" s="9"/>
      <c r="L3094" s="9"/>
      <c r="M3094" s="9"/>
      <c r="N3094" s="9"/>
      <c r="O3094" s="9"/>
      <c r="P3094" s="9"/>
      <c r="Q3094" s="9"/>
      <c r="R3094" s="9"/>
      <c r="S3094" s="9"/>
      <c r="T3094" s="9"/>
      <c r="U3094" s="9"/>
      <c r="V3094" s="9"/>
      <c r="W3094" s="9"/>
      <c r="X3094" s="9"/>
      <c r="Y3094" s="9"/>
      <c r="Z3094" s="9"/>
      <c r="AA3094" s="9"/>
      <c r="AB3094" s="9"/>
      <c r="AC3094" s="9"/>
      <c r="AD3094" s="9"/>
      <c r="AE3094" s="9"/>
      <c r="AF3094" s="9"/>
      <c r="AG3094" s="9"/>
      <c r="AH3094" s="9"/>
      <c r="AI3094" s="9"/>
      <c r="AJ3094" s="9"/>
      <c r="AK3094" s="9"/>
      <c r="AL3094" s="9"/>
      <c r="AM3094" s="9"/>
      <c r="AN3094" s="9"/>
      <c r="AO3094" s="9"/>
      <c r="AP3094" s="9"/>
      <c r="AQ3094" s="9"/>
      <c r="AR3094" s="9"/>
      <c r="AS3094" s="9"/>
      <c r="AT3094" s="9"/>
      <c r="AU3094" s="9"/>
    </row>
    <row r="3095" spans="1:47" ht="15.75" customHeight="1">
      <c r="A3095" s="9"/>
      <c r="B3095" s="9"/>
      <c r="C3095" s="9"/>
      <c r="D3095" s="9"/>
      <c r="E3095" s="9"/>
      <c r="F3095" s="67"/>
      <c r="G3095" s="9"/>
      <c r="H3095" s="9"/>
      <c r="I3095" s="9"/>
      <c r="J3095" s="9"/>
      <c r="K3095" s="9"/>
      <c r="L3095" s="9"/>
      <c r="M3095" s="9"/>
      <c r="N3095" s="9"/>
      <c r="O3095" s="9"/>
      <c r="P3095" s="9"/>
      <c r="Q3095" s="9"/>
      <c r="R3095" s="9"/>
      <c r="S3095" s="9"/>
      <c r="T3095" s="9"/>
      <c r="U3095" s="9"/>
      <c r="V3095" s="9"/>
      <c r="W3095" s="9"/>
      <c r="X3095" s="9"/>
      <c r="Y3095" s="9"/>
      <c r="Z3095" s="9"/>
      <c r="AA3095" s="9"/>
      <c r="AB3095" s="9"/>
      <c r="AC3095" s="9"/>
      <c r="AD3095" s="9"/>
      <c r="AE3095" s="9"/>
      <c r="AF3095" s="9"/>
      <c r="AG3095" s="9"/>
      <c r="AH3095" s="9"/>
      <c r="AI3095" s="9"/>
      <c r="AJ3095" s="9"/>
      <c r="AK3095" s="9"/>
      <c r="AL3095" s="9"/>
      <c r="AM3095" s="9"/>
      <c r="AN3095" s="9"/>
      <c r="AO3095" s="9"/>
      <c r="AP3095" s="9"/>
      <c r="AQ3095" s="9"/>
      <c r="AR3095" s="9"/>
      <c r="AS3095" s="9"/>
      <c r="AT3095" s="9"/>
      <c r="AU3095" s="9"/>
    </row>
    <row r="3096" spans="1:47" ht="15.75" customHeight="1">
      <c r="A3096" s="9"/>
      <c r="B3096" s="9"/>
      <c r="C3096" s="9"/>
      <c r="D3096" s="9"/>
      <c r="E3096" s="9"/>
      <c r="F3096" s="67"/>
      <c r="G3096" s="9"/>
      <c r="H3096" s="9"/>
      <c r="I3096" s="9"/>
      <c r="J3096" s="9"/>
      <c r="K3096" s="9"/>
      <c r="L3096" s="9"/>
      <c r="M3096" s="9"/>
      <c r="N3096" s="9"/>
      <c r="O3096" s="9"/>
      <c r="P3096" s="9"/>
      <c r="Q3096" s="9"/>
      <c r="R3096" s="9"/>
      <c r="S3096" s="9"/>
      <c r="T3096" s="9"/>
      <c r="U3096" s="9"/>
      <c r="V3096" s="9"/>
      <c r="W3096" s="9"/>
      <c r="X3096" s="9"/>
      <c r="Y3096" s="9"/>
      <c r="Z3096" s="9"/>
      <c r="AA3096" s="9"/>
      <c r="AB3096" s="9"/>
      <c r="AC3096" s="9"/>
      <c r="AD3096" s="9"/>
      <c r="AE3096" s="9"/>
      <c r="AF3096" s="9"/>
      <c r="AG3096" s="9"/>
      <c r="AH3096" s="9"/>
      <c r="AI3096" s="9"/>
      <c r="AJ3096" s="9"/>
      <c r="AK3096" s="9"/>
      <c r="AL3096" s="9"/>
      <c r="AM3096" s="9"/>
      <c r="AN3096" s="9"/>
      <c r="AO3096" s="9"/>
      <c r="AP3096" s="9"/>
      <c r="AQ3096" s="9"/>
      <c r="AR3096" s="9"/>
      <c r="AS3096" s="9"/>
      <c r="AT3096" s="9"/>
      <c r="AU3096" s="9"/>
    </row>
    <row r="3097" spans="1:47" ht="15.75" customHeight="1">
      <c r="A3097" s="9"/>
      <c r="B3097" s="9"/>
      <c r="C3097" s="9"/>
      <c r="D3097" s="9"/>
      <c r="E3097" s="9"/>
      <c r="F3097" s="67"/>
      <c r="G3097" s="9"/>
      <c r="H3097" s="9"/>
      <c r="I3097" s="9"/>
      <c r="J3097" s="9"/>
      <c r="K3097" s="9"/>
      <c r="L3097" s="9"/>
      <c r="M3097" s="9"/>
      <c r="N3097" s="9"/>
      <c r="O3097" s="9"/>
      <c r="P3097" s="9"/>
      <c r="Q3097" s="9"/>
      <c r="R3097" s="9"/>
      <c r="S3097" s="9"/>
      <c r="T3097" s="9"/>
      <c r="U3097" s="9"/>
      <c r="V3097" s="9"/>
      <c r="W3097" s="9"/>
      <c r="X3097" s="9"/>
      <c r="Y3097" s="9"/>
      <c r="Z3097" s="9"/>
      <c r="AA3097" s="9"/>
      <c r="AB3097" s="9"/>
      <c r="AC3097" s="9"/>
      <c r="AD3097" s="9"/>
      <c r="AE3097" s="9"/>
      <c r="AF3097" s="9"/>
      <c r="AG3097" s="9"/>
      <c r="AH3097" s="9"/>
      <c r="AI3097" s="9"/>
      <c r="AJ3097" s="9"/>
      <c r="AK3097" s="9"/>
      <c r="AL3097" s="9"/>
      <c r="AM3097" s="9"/>
      <c r="AN3097" s="9"/>
      <c r="AO3097" s="9"/>
      <c r="AP3097" s="9"/>
      <c r="AQ3097" s="9"/>
      <c r="AR3097" s="9"/>
      <c r="AS3097" s="9"/>
      <c r="AT3097" s="9"/>
      <c r="AU3097" s="9"/>
    </row>
    <row r="3098" spans="1:47" ht="15.75" customHeight="1">
      <c r="A3098" s="9"/>
      <c r="B3098" s="9"/>
      <c r="C3098" s="9"/>
      <c r="D3098" s="9"/>
      <c r="E3098" s="9"/>
      <c r="F3098" s="67"/>
      <c r="G3098" s="9"/>
      <c r="H3098" s="9"/>
      <c r="I3098" s="9"/>
      <c r="J3098" s="9"/>
      <c r="K3098" s="9"/>
      <c r="L3098" s="9"/>
      <c r="M3098" s="9"/>
      <c r="N3098" s="9"/>
      <c r="O3098" s="9"/>
      <c r="P3098" s="9"/>
      <c r="Q3098" s="9"/>
      <c r="R3098" s="9"/>
      <c r="S3098" s="9"/>
      <c r="T3098" s="9"/>
      <c r="U3098" s="9"/>
      <c r="V3098" s="9"/>
      <c r="W3098" s="9"/>
      <c r="X3098" s="9"/>
      <c r="Y3098" s="9"/>
      <c r="Z3098" s="9"/>
      <c r="AA3098" s="9"/>
      <c r="AB3098" s="9"/>
      <c r="AC3098" s="9"/>
      <c r="AD3098" s="9"/>
      <c r="AE3098" s="9"/>
      <c r="AF3098" s="9"/>
      <c r="AG3098" s="9"/>
      <c r="AH3098" s="9"/>
      <c r="AI3098" s="9"/>
      <c r="AJ3098" s="9"/>
      <c r="AK3098" s="9"/>
      <c r="AL3098" s="9"/>
      <c r="AM3098" s="9"/>
      <c r="AN3098" s="9"/>
      <c r="AO3098" s="9"/>
      <c r="AP3098" s="9"/>
      <c r="AQ3098" s="9"/>
      <c r="AR3098" s="9"/>
      <c r="AS3098" s="9"/>
      <c r="AT3098" s="9"/>
      <c r="AU3098" s="9"/>
    </row>
    <row r="3099" spans="1:47" ht="15.75" customHeight="1">
      <c r="A3099" s="9"/>
      <c r="B3099" s="9"/>
      <c r="C3099" s="9"/>
      <c r="D3099" s="9"/>
      <c r="E3099" s="9"/>
      <c r="F3099" s="67"/>
      <c r="G3099" s="9"/>
      <c r="H3099" s="9"/>
      <c r="I3099" s="9"/>
      <c r="J3099" s="9"/>
      <c r="K3099" s="9"/>
      <c r="L3099" s="9"/>
      <c r="M3099" s="9"/>
      <c r="N3099" s="9"/>
      <c r="O3099" s="9"/>
      <c r="P3099" s="9"/>
      <c r="Q3099" s="9"/>
      <c r="R3099" s="9"/>
      <c r="S3099" s="9"/>
      <c r="T3099" s="9"/>
      <c r="U3099" s="9"/>
      <c r="V3099" s="9"/>
      <c r="W3099" s="9"/>
      <c r="X3099" s="9"/>
      <c r="Y3099" s="9"/>
      <c r="Z3099" s="9"/>
      <c r="AA3099" s="9"/>
      <c r="AB3099" s="9"/>
      <c r="AC3099" s="9"/>
      <c r="AD3099" s="9"/>
      <c r="AE3099" s="9"/>
      <c r="AF3099" s="9"/>
      <c r="AG3099" s="9"/>
      <c r="AH3099" s="9"/>
      <c r="AI3099" s="9"/>
      <c r="AJ3099" s="9"/>
      <c r="AK3099" s="9"/>
      <c r="AL3099" s="9"/>
      <c r="AM3099" s="9"/>
      <c r="AN3099" s="9"/>
      <c r="AO3099" s="9"/>
      <c r="AP3099" s="9"/>
      <c r="AQ3099" s="9"/>
      <c r="AR3099" s="9"/>
      <c r="AS3099" s="9"/>
      <c r="AT3099" s="9"/>
      <c r="AU3099" s="9"/>
    </row>
    <row r="3100" spans="1:47" ht="15.75" customHeight="1">
      <c r="A3100" s="9"/>
      <c r="B3100" s="9"/>
      <c r="C3100" s="9"/>
      <c r="D3100" s="9"/>
      <c r="E3100" s="9"/>
      <c r="F3100" s="67"/>
      <c r="G3100" s="9"/>
      <c r="H3100" s="9"/>
      <c r="I3100" s="9"/>
      <c r="J3100" s="9"/>
      <c r="K3100" s="9"/>
      <c r="L3100" s="9"/>
      <c r="M3100" s="9"/>
      <c r="N3100" s="9"/>
      <c r="O3100" s="9"/>
      <c r="P3100" s="9"/>
      <c r="Q3100" s="9"/>
      <c r="R3100" s="9"/>
      <c r="S3100" s="9"/>
      <c r="T3100" s="9"/>
      <c r="U3100" s="9"/>
      <c r="V3100" s="9"/>
      <c r="W3100" s="9"/>
      <c r="X3100" s="9"/>
      <c r="Y3100" s="9"/>
      <c r="Z3100" s="9"/>
      <c r="AA3100" s="9"/>
      <c r="AB3100" s="9"/>
      <c r="AC3100" s="9"/>
      <c r="AD3100" s="9"/>
      <c r="AE3100" s="9"/>
      <c r="AF3100" s="9"/>
      <c r="AG3100" s="9"/>
      <c r="AH3100" s="9"/>
      <c r="AI3100" s="9"/>
      <c r="AJ3100" s="9"/>
      <c r="AK3100" s="9"/>
      <c r="AL3100" s="9"/>
      <c r="AM3100" s="9"/>
      <c r="AN3100" s="9"/>
      <c r="AO3100" s="9"/>
      <c r="AP3100" s="9"/>
      <c r="AQ3100" s="9"/>
      <c r="AR3100" s="9"/>
      <c r="AS3100" s="9"/>
      <c r="AT3100" s="9"/>
      <c r="AU3100" s="9"/>
    </row>
    <row r="3101" spans="1:47" ht="15.75" customHeight="1">
      <c r="A3101" s="9"/>
      <c r="B3101" s="9"/>
      <c r="C3101" s="9"/>
      <c r="D3101" s="9"/>
      <c r="E3101" s="9"/>
      <c r="F3101" s="67"/>
      <c r="G3101" s="9"/>
      <c r="H3101" s="9"/>
      <c r="I3101" s="9"/>
      <c r="J3101" s="9"/>
      <c r="K3101" s="9"/>
      <c r="L3101" s="9"/>
      <c r="M3101" s="9"/>
      <c r="N3101" s="9"/>
      <c r="O3101" s="9"/>
      <c r="P3101" s="9"/>
      <c r="Q3101" s="9"/>
      <c r="R3101" s="9"/>
      <c r="S3101" s="9"/>
      <c r="T3101" s="9"/>
      <c r="U3101" s="9"/>
      <c r="V3101" s="9"/>
      <c r="W3101" s="9"/>
      <c r="X3101" s="9"/>
      <c r="Y3101" s="9"/>
      <c r="Z3101" s="9"/>
      <c r="AA3101" s="9"/>
      <c r="AB3101" s="9"/>
      <c r="AC3101" s="9"/>
      <c r="AD3101" s="9"/>
      <c r="AE3101" s="9"/>
      <c r="AF3101" s="9"/>
      <c r="AG3101" s="9"/>
      <c r="AH3101" s="9"/>
      <c r="AI3101" s="9"/>
      <c r="AJ3101" s="9"/>
      <c r="AK3101" s="9"/>
      <c r="AL3101" s="9"/>
      <c r="AM3101" s="9"/>
      <c r="AN3101" s="9"/>
      <c r="AO3101" s="9"/>
      <c r="AP3101" s="9"/>
      <c r="AQ3101" s="9"/>
      <c r="AR3101" s="9"/>
      <c r="AS3101" s="9"/>
      <c r="AT3101" s="9"/>
      <c r="AU3101" s="9"/>
    </row>
    <row r="3102" spans="1:47" ht="15.75" customHeight="1">
      <c r="A3102" s="9"/>
      <c r="B3102" s="9"/>
      <c r="C3102" s="9"/>
      <c r="D3102" s="9"/>
      <c r="E3102" s="9"/>
      <c r="F3102" s="67"/>
      <c r="G3102" s="9"/>
      <c r="H3102" s="9"/>
      <c r="I3102" s="9"/>
      <c r="J3102" s="9"/>
      <c r="K3102" s="9"/>
      <c r="L3102" s="9"/>
      <c r="M3102" s="9"/>
      <c r="N3102" s="9"/>
      <c r="O3102" s="9"/>
      <c r="P3102" s="9"/>
      <c r="Q3102" s="9"/>
      <c r="R3102" s="9"/>
      <c r="S3102" s="9"/>
      <c r="T3102" s="9"/>
      <c r="U3102" s="9"/>
      <c r="V3102" s="9"/>
      <c r="W3102" s="9"/>
      <c r="X3102" s="9"/>
      <c r="Y3102" s="9"/>
      <c r="Z3102" s="9"/>
      <c r="AA3102" s="9"/>
      <c r="AB3102" s="9"/>
      <c r="AC3102" s="9"/>
      <c r="AD3102" s="9"/>
      <c r="AE3102" s="9"/>
      <c r="AF3102" s="9"/>
      <c r="AG3102" s="9"/>
      <c r="AH3102" s="9"/>
      <c r="AI3102" s="9"/>
      <c r="AJ3102" s="9"/>
      <c r="AK3102" s="9"/>
      <c r="AL3102" s="9"/>
      <c r="AM3102" s="9"/>
      <c r="AN3102" s="9"/>
      <c r="AO3102" s="9"/>
      <c r="AP3102" s="9"/>
      <c r="AQ3102" s="9"/>
      <c r="AR3102" s="9"/>
      <c r="AS3102" s="9"/>
      <c r="AT3102" s="9"/>
      <c r="AU3102" s="9"/>
    </row>
    <row r="3103" spans="1:47" ht="15.75" customHeight="1">
      <c r="A3103" s="9"/>
      <c r="B3103" s="9"/>
      <c r="C3103" s="9"/>
      <c r="D3103" s="9"/>
      <c r="E3103" s="9"/>
      <c r="F3103" s="67"/>
      <c r="G3103" s="9"/>
      <c r="H3103" s="9"/>
      <c r="I3103" s="9"/>
      <c r="J3103" s="9"/>
      <c r="K3103" s="9"/>
      <c r="L3103" s="9"/>
      <c r="M3103" s="9"/>
      <c r="N3103" s="9"/>
      <c r="O3103" s="9"/>
      <c r="P3103" s="9"/>
      <c r="Q3103" s="9"/>
      <c r="R3103" s="9"/>
      <c r="S3103" s="9"/>
      <c r="T3103" s="9"/>
      <c r="U3103" s="9"/>
      <c r="V3103" s="9"/>
      <c r="W3103" s="9"/>
      <c r="X3103" s="9"/>
      <c r="Y3103" s="9"/>
      <c r="Z3103" s="9"/>
      <c r="AA3103" s="9"/>
      <c r="AB3103" s="9"/>
      <c r="AC3103" s="9"/>
      <c r="AD3103" s="9"/>
      <c r="AE3103" s="9"/>
      <c r="AF3103" s="9"/>
      <c r="AG3103" s="9"/>
      <c r="AH3103" s="9"/>
      <c r="AI3103" s="9"/>
      <c r="AJ3103" s="9"/>
      <c r="AK3103" s="9"/>
      <c r="AL3103" s="9"/>
      <c r="AM3103" s="9"/>
      <c r="AN3103" s="9"/>
      <c r="AO3103" s="9"/>
      <c r="AP3103" s="9"/>
      <c r="AQ3103" s="9"/>
      <c r="AR3103" s="9"/>
      <c r="AS3103" s="9"/>
      <c r="AT3103" s="9"/>
      <c r="AU3103" s="9"/>
    </row>
    <row r="3104" spans="1:47" ht="15.75" customHeight="1">
      <c r="A3104" s="9"/>
      <c r="B3104" s="9"/>
      <c r="C3104" s="9"/>
      <c r="D3104" s="9"/>
      <c r="E3104" s="9"/>
      <c r="F3104" s="67"/>
      <c r="G3104" s="9"/>
      <c r="H3104" s="9"/>
      <c r="I3104" s="9"/>
      <c r="J3104" s="9"/>
      <c r="K3104" s="9"/>
      <c r="L3104" s="9"/>
      <c r="M3104" s="9"/>
      <c r="N3104" s="9"/>
      <c r="O3104" s="9"/>
      <c r="P3104" s="9"/>
      <c r="Q3104" s="9"/>
      <c r="R3104" s="9"/>
      <c r="S3104" s="9"/>
      <c r="T3104" s="9"/>
      <c r="U3104" s="9"/>
      <c r="V3104" s="9"/>
      <c r="W3104" s="9"/>
      <c r="X3104" s="9"/>
      <c r="Y3104" s="9"/>
      <c r="Z3104" s="9"/>
      <c r="AA3104" s="9"/>
      <c r="AB3104" s="9"/>
      <c r="AC3104" s="9"/>
      <c r="AD3104" s="9"/>
      <c r="AE3104" s="9"/>
      <c r="AF3104" s="9"/>
      <c r="AG3104" s="9"/>
      <c r="AH3104" s="9"/>
      <c r="AI3104" s="9"/>
      <c r="AJ3104" s="9"/>
      <c r="AK3104" s="9"/>
      <c r="AL3104" s="9"/>
      <c r="AM3104" s="9"/>
      <c r="AN3104" s="9"/>
      <c r="AO3104" s="9"/>
      <c r="AP3104" s="9"/>
      <c r="AQ3104" s="9"/>
      <c r="AR3104" s="9"/>
      <c r="AS3104" s="9"/>
      <c r="AT3104" s="9"/>
      <c r="AU3104" s="9"/>
    </row>
    <row r="3105" spans="1:47" ht="15.75" customHeight="1">
      <c r="A3105" s="9"/>
      <c r="B3105" s="9"/>
      <c r="C3105" s="9"/>
      <c r="D3105" s="9"/>
      <c r="E3105" s="9"/>
      <c r="F3105" s="67"/>
      <c r="G3105" s="9"/>
      <c r="H3105" s="9"/>
      <c r="I3105" s="9"/>
      <c r="J3105" s="9"/>
      <c r="K3105" s="9"/>
      <c r="L3105" s="9"/>
      <c r="M3105" s="9"/>
      <c r="N3105" s="9"/>
      <c r="O3105" s="9"/>
      <c r="P3105" s="9"/>
      <c r="Q3105" s="9"/>
      <c r="R3105" s="9"/>
      <c r="S3105" s="9"/>
      <c r="T3105" s="9"/>
      <c r="U3105" s="9"/>
      <c r="V3105" s="9"/>
      <c r="W3105" s="9"/>
      <c r="X3105" s="9"/>
      <c r="Y3105" s="9"/>
      <c r="Z3105" s="9"/>
      <c r="AA3105" s="9"/>
      <c r="AB3105" s="9"/>
      <c r="AC3105" s="9"/>
      <c r="AD3105" s="9"/>
      <c r="AE3105" s="9"/>
      <c r="AF3105" s="9"/>
      <c r="AG3105" s="9"/>
      <c r="AH3105" s="9"/>
      <c r="AI3105" s="9"/>
      <c r="AJ3105" s="9"/>
      <c r="AK3105" s="9"/>
      <c r="AL3105" s="9"/>
      <c r="AM3105" s="9"/>
      <c r="AN3105" s="9"/>
      <c r="AO3105" s="9"/>
      <c r="AP3105" s="9"/>
      <c r="AQ3105" s="9"/>
      <c r="AR3105" s="9"/>
      <c r="AS3105" s="9"/>
      <c r="AT3105" s="9"/>
      <c r="AU3105" s="9"/>
    </row>
    <row r="3106" spans="1:47" ht="15.75" customHeight="1">
      <c r="A3106" s="9"/>
      <c r="B3106" s="9"/>
      <c r="C3106" s="9"/>
      <c r="D3106" s="9"/>
      <c r="E3106" s="9"/>
      <c r="F3106" s="67"/>
      <c r="G3106" s="9"/>
      <c r="H3106" s="9"/>
      <c r="I3106" s="9"/>
      <c r="J3106" s="9"/>
      <c r="K3106" s="9"/>
      <c r="L3106" s="9"/>
      <c r="M3106" s="9"/>
      <c r="N3106" s="9"/>
      <c r="O3106" s="9"/>
      <c r="P3106" s="9"/>
      <c r="Q3106" s="9"/>
      <c r="R3106" s="9"/>
      <c r="S3106" s="9"/>
      <c r="T3106" s="9"/>
      <c r="U3106" s="9"/>
      <c r="V3106" s="9"/>
      <c r="W3106" s="9"/>
      <c r="X3106" s="9"/>
      <c r="Y3106" s="9"/>
      <c r="Z3106" s="9"/>
      <c r="AA3106" s="9"/>
      <c r="AB3106" s="9"/>
      <c r="AC3106" s="9"/>
      <c r="AD3106" s="9"/>
      <c r="AE3106" s="9"/>
      <c r="AF3106" s="9"/>
      <c r="AG3106" s="9"/>
      <c r="AH3106" s="9"/>
      <c r="AI3106" s="9"/>
      <c r="AJ3106" s="9"/>
      <c r="AK3106" s="9"/>
      <c r="AL3106" s="9"/>
      <c r="AM3106" s="9"/>
      <c r="AN3106" s="9"/>
      <c r="AO3106" s="9"/>
      <c r="AP3106" s="9"/>
      <c r="AQ3106" s="9"/>
      <c r="AR3106" s="9"/>
      <c r="AS3106" s="9"/>
      <c r="AT3106" s="9"/>
      <c r="AU3106" s="9"/>
    </row>
    <row r="3107" spans="1:47" ht="15.75" customHeight="1">
      <c r="A3107" s="9"/>
      <c r="B3107" s="9"/>
      <c r="C3107" s="9"/>
      <c r="D3107" s="9"/>
      <c r="E3107" s="9"/>
      <c r="F3107" s="67"/>
      <c r="G3107" s="9"/>
      <c r="H3107" s="9"/>
      <c r="I3107" s="9"/>
      <c r="J3107" s="9"/>
      <c r="K3107" s="9"/>
      <c r="L3107" s="9"/>
      <c r="M3107" s="9"/>
      <c r="N3107" s="9"/>
      <c r="O3107" s="9"/>
      <c r="P3107" s="9"/>
      <c r="Q3107" s="9"/>
      <c r="R3107" s="9"/>
      <c r="S3107" s="9"/>
      <c r="T3107" s="9"/>
      <c r="U3107" s="9"/>
      <c r="V3107" s="9"/>
      <c r="W3107" s="9"/>
      <c r="X3107" s="9"/>
      <c r="Y3107" s="9"/>
      <c r="Z3107" s="9"/>
      <c r="AA3107" s="9"/>
      <c r="AB3107" s="9"/>
      <c r="AC3107" s="9"/>
      <c r="AD3107" s="9"/>
      <c r="AE3107" s="9"/>
      <c r="AF3107" s="9"/>
      <c r="AG3107" s="9"/>
      <c r="AH3107" s="9"/>
      <c r="AI3107" s="9"/>
      <c r="AJ3107" s="9"/>
      <c r="AK3107" s="9"/>
      <c r="AL3107" s="9"/>
      <c r="AM3107" s="9"/>
      <c r="AN3107" s="9"/>
      <c r="AO3107" s="9"/>
      <c r="AP3107" s="9"/>
      <c r="AQ3107" s="9"/>
      <c r="AR3107" s="9"/>
      <c r="AS3107" s="9"/>
      <c r="AT3107" s="9"/>
      <c r="AU3107" s="9"/>
    </row>
    <row r="3108" spans="1:47" ht="15.75" customHeight="1">
      <c r="A3108" s="9"/>
      <c r="B3108" s="9"/>
      <c r="C3108" s="9"/>
      <c r="D3108" s="9"/>
      <c r="E3108" s="9"/>
      <c r="F3108" s="67"/>
      <c r="G3108" s="9"/>
      <c r="H3108" s="9"/>
      <c r="I3108" s="9"/>
      <c r="J3108" s="9"/>
      <c r="K3108" s="9"/>
      <c r="L3108" s="9"/>
      <c r="M3108" s="9"/>
      <c r="N3108" s="9"/>
      <c r="O3108" s="9"/>
      <c r="P3108" s="9"/>
      <c r="Q3108" s="9"/>
      <c r="R3108" s="9"/>
      <c r="S3108" s="9"/>
      <c r="T3108" s="9"/>
      <c r="U3108" s="9"/>
      <c r="V3108" s="9"/>
      <c r="W3108" s="9"/>
      <c r="X3108" s="9"/>
      <c r="Y3108" s="9"/>
      <c r="Z3108" s="9"/>
      <c r="AA3108" s="9"/>
      <c r="AB3108" s="9"/>
      <c r="AC3108" s="9"/>
      <c r="AD3108" s="9"/>
      <c r="AE3108" s="9"/>
      <c r="AF3108" s="9"/>
      <c r="AG3108" s="9"/>
      <c r="AH3108" s="9"/>
      <c r="AI3108" s="9"/>
      <c r="AJ3108" s="9"/>
      <c r="AK3108" s="9"/>
      <c r="AL3108" s="9"/>
      <c r="AM3108" s="9"/>
      <c r="AN3108" s="9"/>
      <c r="AO3108" s="9"/>
      <c r="AP3108" s="9"/>
      <c r="AQ3108" s="9"/>
      <c r="AR3108" s="9"/>
      <c r="AS3108" s="9"/>
      <c r="AT3108" s="9"/>
      <c r="AU3108" s="9"/>
    </row>
    <row r="3109" spans="1:47" ht="15.75" customHeight="1">
      <c r="A3109" s="9"/>
      <c r="B3109" s="9"/>
      <c r="C3109" s="9"/>
      <c r="D3109" s="9"/>
      <c r="E3109" s="9"/>
      <c r="F3109" s="67"/>
      <c r="G3109" s="9"/>
      <c r="H3109" s="9"/>
      <c r="I3109" s="9"/>
      <c r="J3109" s="9"/>
      <c r="K3109" s="9"/>
      <c r="L3109" s="9"/>
      <c r="M3109" s="9"/>
      <c r="N3109" s="9"/>
      <c r="O3109" s="9"/>
      <c r="P3109" s="9"/>
      <c r="Q3109" s="9"/>
      <c r="R3109" s="9"/>
      <c r="S3109" s="9"/>
      <c r="T3109" s="9"/>
      <c r="U3109" s="9"/>
      <c r="V3109" s="9"/>
      <c r="W3109" s="9"/>
      <c r="X3109" s="9"/>
      <c r="Y3109" s="9"/>
      <c r="Z3109" s="9"/>
      <c r="AA3109" s="9"/>
      <c r="AB3109" s="9"/>
      <c r="AC3109" s="9"/>
      <c r="AD3109" s="9"/>
      <c r="AE3109" s="9"/>
      <c r="AF3109" s="9"/>
      <c r="AG3109" s="9"/>
      <c r="AH3109" s="9"/>
      <c r="AI3109" s="9"/>
      <c r="AJ3109" s="9"/>
      <c r="AK3109" s="9"/>
      <c r="AL3109" s="9"/>
      <c r="AM3109" s="9"/>
      <c r="AN3109" s="9"/>
      <c r="AO3109" s="9"/>
      <c r="AP3109" s="9"/>
      <c r="AQ3109" s="9"/>
      <c r="AR3109" s="9"/>
      <c r="AS3109" s="9"/>
      <c r="AT3109" s="9"/>
      <c r="AU3109" s="9"/>
    </row>
    <row r="3110" spans="1:47" ht="15.75" customHeight="1">
      <c r="A3110" s="9"/>
      <c r="B3110" s="9"/>
      <c r="C3110" s="9"/>
      <c r="D3110" s="9"/>
      <c r="E3110" s="9"/>
      <c r="F3110" s="67"/>
      <c r="G3110" s="9"/>
      <c r="H3110" s="9"/>
      <c r="I3110" s="9"/>
      <c r="J3110" s="9"/>
      <c r="K3110" s="9"/>
      <c r="L3110" s="9"/>
      <c r="M3110" s="9"/>
      <c r="N3110" s="9"/>
      <c r="O3110" s="9"/>
      <c r="P3110" s="9"/>
      <c r="Q3110" s="9"/>
      <c r="R3110" s="9"/>
      <c r="S3110" s="9"/>
      <c r="T3110" s="9"/>
      <c r="U3110" s="9"/>
      <c r="V3110" s="9"/>
      <c r="W3110" s="9"/>
      <c r="X3110" s="9"/>
      <c r="Y3110" s="9"/>
      <c r="Z3110" s="9"/>
      <c r="AA3110" s="9"/>
      <c r="AB3110" s="9"/>
      <c r="AC3110" s="9"/>
      <c r="AD3110" s="9"/>
      <c r="AE3110" s="9"/>
      <c r="AF3110" s="9"/>
      <c r="AG3110" s="9"/>
      <c r="AH3110" s="9"/>
      <c r="AI3110" s="9"/>
      <c r="AJ3110" s="9"/>
      <c r="AK3110" s="9"/>
      <c r="AL3110" s="9"/>
      <c r="AM3110" s="9"/>
      <c r="AN3110" s="9"/>
      <c r="AO3110" s="9"/>
      <c r="AP3110" s="9"/>
      <c r="AQ3110" s="9"/>
      <c r="AR3110" s="9"/>
      <c r="AS3110" s="9"/>
      <c r="AT3110" s="9"/>
      <c r="AU3110" s="9"/>
    </row>
    <row r="3111" spans="1:47" ht="15.75" customHeight="1">
      <c r="A3111" s="9"/>
      <c r="B3111" s="9"/>
      <c r="C3111" s="9"/>
      <c r="D3111" s="9"/>
      <c r="E3111" s="9"/>
      <c r="F3111" s="67"/>
      <c r="G3111" s="9"/>
      <c r="H3111" s="9"/>
      <c r="I3111" s="9"/>
      <c r="J3111" s="9"/>
      <c r="K3111" s="9"/>
      <c r="L3111" s="9"/>
      <c r="M3111" s="9"/>
      <c r="N3111" s="9"/>
      <c r="O3111" s="9"/>
      <c r="P3111" s="9"/>
      <c r="Q3111" s="9"/>
      <c r="R3111" s="9"/>
      <c r="S3111" s="9"/>
      <c r="T3111" s="9"/>
      <c r="U3111" s="9"/>
      <c r="V3111" s="9"/>
      <c r="W3111" s="9"/>
      <c r="X3111" s="9"/>
      <c r="Y3111" s="9"/>
      <c r="Z3111" s="9"/>
      <c r="AA3111" s="9"/>
      <c r="AB3111" s="9"/>
      <c r="AC3111" s="9"/>
      <c r="AD3111" s="9"/>
      <c r="AE3111" s="9"/>
      <c r="AF3111" s="9"/>
      <c r="AG3111" s="9"/>
      <c r="AH3111" s="9"/>
      <c r="AI3111" s="9"/>
      <c r="AJ3111" s="9"/>
      <c r="AK3111" s="9"/>
      <c r="AL3111" s="9"/>
      <c r="AM3111" s="9"/>
      <c r="AN3111" s="9"/>
      <c r="AO3111" s="9"/>
      <c r="AP3111" s="9"/>
      <c r="AQ3111" s="9"/>
      <c r="AR3111" s="9"/>
      <c r="AS3111" s="9"/>
      <c r="AT3111" s="9"/>
      <c r="AU3111" s="9"/>
    </row>
    <row r="3112" spans="1:47" ht="15.75" customHeight="1">
      <c r="A3112" s="9"/>
      <c r="B3112" s="9"/>
      <c r="C3112" s="9"/>
      <c r="D3112" s="9"/>
      <c r="E3112" s="9"/>
      <c r="F3112" s="67"/>
      <c r="G3112" s="9"/>
      <c r="H3112" s="9"/>
      <c r="I3112" s="9"/>
      <c r="J3112" s="9"/>
      <c r="K3112" s="9"/>
      <c r="L3112" s="9"/>
      <c r="M3112" s="9"/>
      <c r="N3112" s="9"/>
      <c r="O3112" s="9"/>
      <c r="P3112" s="9"/>
      <c r="Q3112" s="9"/>
      <c r="R3112" s="9"/>
      <c r="S3112" s="9"/>
      <c r="T3112" s="9"/>
      <c r="U3112" s="9"/>
      <c r="V3112" s="9"/>
      <c r="W3112" s="9"/>
      <c r="X3112" s="9"/>
      <c r="Y3112" s="9"/>
      <c r="Z3112" s="9"/>
      <c r="AA3112" s="9"/>
      <c r="AB3112" s="9"/>
      <c r="AC3112" s="9"/>
      <c r="AD3112" s="9"/>
      <c r="AE3112" s="9"/>
      <c r="AF3112" s="9"/>
      <c r="AG3112" s="9"/>
      <c r="AH3112" s="9"/>
      <c r="AI3112" s="9"/>
      <c r="AJ3112" s="9"/>
      <c r="AK3112" s="9"/>
      <c r="AL3112" s="9"/>
      <c r="AM3112" s="9"/>
      <c r="AN3112" s="9"/>
      <c r="AO3112" s="9"/>
      <c r="AP3112" s="9"/>
      <c r="AQ3112" s="9"/>
      <c r="AR3112" s="9"/>
      <c r="AS3112" s="9"/>
      <c r="AT3112" s="9"/>
      <c r="AU3112" s="9"/>
    </row>
    <row r="3113" spans="1:47" ht="15.75" customHeight="1">
      <c r="A3113" s="9"/>
      <c r="B3113" s="9"/>
      <c r="C3113" s="9"/>
      <c r="D3113" s="9"/>
      <c r="E3113" s="9"/>
      <c r="F3113" s="67"/>
      <c r="G3113" s="9"/>
      <c r="H3113" s="9"/>
      <c r="I3113" s="9"/>
      <c r="J3113" s="9"/>
      <c r="K3113" s="9"/>
      <c r="L3113" s="9"/>
      <c r="M3113" s="9"/>
      <c r="N3113" s="9"/>
      <c r="O3113" s="9"/>
      <c r="P3113" s="9"/>
      <c r="Q3113" s="9"/>
      <c r="R3113" s="9"/>
      <c r="S3113" s="9"/>
      <c r="T3113" s="9"/>
      <c r="U3113" s="9"/>
      <c r="V3113" s="9"/>
      <c r="W3113" s="9"/>
      <c r="X3113" s="9"/>
      <c r="Y3113" s="9"/>
      <c r="Z3113" s="9"/>
      <c r="AA3113" s="9"/>
      <c r="AB3113" s="9"/>
      <c r="AC3113" s="9"/>
      <c r="AD3113" s="9"/>
      <c r="AE3113" s="9"/>
      <c r="AF3113" s="9"/>
      <c r="AG3113" s="9"/>
      <c r="AH3113" s="9"/>
      <c r="AI3113" s="9"/>
      <c r="AJ3113" s="9"/>
      <c r="AK3113" s="9"/>
      <c r="AL3113" s="9"/>
      <c r="AM3113" s="9"/>
      <c r="AN3113" s="9"/>
      <c r="AO3113" s="9"/>
      <c r="AP3113" s="9"/>
      <c r="AQ3113" s="9"/>
      <c r="AR3113" s="9"/>
      <c r="AS3113" s="9"/>
      <c r="AT3113" s="9"/>
      <c r="AU3113" s="9"/>
    </row>
    <row r="3114" spans="1:47" ht="15.75" customHeight="1">
      <c r="A3114" s="9"/>
      <c r="B3114" s="9"/>
      <c r="C3114" s="9"/>
      <c r="D3114" s="9"/>
      <c r="E3114" s="9"/>
      <c r="F3114" s="67"/>
      <c r="G3114" s="9"/>
      <c r="H3114" s="9"/>
      <c r="I3114" s="9"/>
      <c r="J3114" s="9"/>
      <c r="K3114" s="9"/>
      <c r="L3114" s="9"/>
      <c r="M3114" s="9"/>
      <c r="N3114" s="9"/>
      <c r="O3114" s="9"/>
      <c r="P3114" s="9"/>
      <c r="Q3114" s="9"/>
      <c r="R3114" s="9"/>
      <c r="S3114" s="9"/>
      <c r="T3114" s="9"/>
      <c r="U3114" s="9"/>
      <c r="V3114" s="9"/>
      <c r="W3114" s="9"/>
      <c r="X3114" s="9"/>
      <c r="Y3114" s="9"/>
      <c r="Z3114" s="9"/>
      <c r="AA3114" s="9"/>
      <c r="AB3114" s="9"/>
      <c r="AC3114" s="9"/>
      <c r="AD3114" s="9"/>
      <c r="AE3114" s="9"/>
      <c r="AF3114" s="9"/>
      <c r="AG3114" s="9"/>
      <c r="AH3114" s="9"/>
      <c r="AI3114" s="9"/>
      <c r="AJ3114" s="9"/>
      <c r="AK3114" s="9"/>
      <c r="AL3114" s="9"/>
      <c r="AM3114" s="9"/>
      <c r="AN3114" s="9"/>
      <c r="AO3114" s="9"/>
      <c r="AP3114" s="9"/>
      <c r="AQ3114" s="9"/>
      <c r="AR3114" s="9"/>
      <c r="AS3114" s="9"/>
      <c r="AT3114" s="9"/>
      <c r="AU3114" s="9"/>
    </row>
    <row r="3115" spans="1:47" ht="15.75" customHeight="1">
      <c r="A3115" s="9"/>
      <c r="B3115" s="9"/>
      <c r="C3115" s="9"/>
      <c r="D3115" s="9"/>
      <c r="E3115" s="9"/>
      <c r="F3115" s="67"/>
      <c r="G3115" s="9"/>
      <c r="H3115" s="9"/>
      <c r="I3115" s="9"/>
      <c r="J3115" s="9"/>
      <c r="K3115" s="9"/>
      <c r="L3115" s="9"/>
      <c r="M3115" s="9"/>
      <c r="N3115" s="9"/>
      <c r="O3115" s="9"/>
      <c r="P3115" s="9"/>
      <c r="Q3115" s="9"/>
      <c r="R3115" s="9"/>
      <c r="S3115" s="9"/>
      <c r="T3115" s="9"/>
      <c r="U3115" s="9"/>
      <c r="V3115" s="9"/>
      <c r="W3115" s="9"/>
      <c r="X3115" s="9"/>
      <c r="Y3115" s="9"/>
      <c r="Z3115" s="9"/>
      <c r="AA3115" s="9"/>
      <c r="AB3115" s="9"/>
      <c r="AC3115" s="9"/>
      <c r="AD3115" s="9"/>
      <c r="AE3115" s="9"/>
      <c r="AF3115" s="9"/>
      <c r="AG3115" s="9"/>
      <c r="AH3115" s="9"/>
      <c r="AI3115" s="9"/>
      <c r="AJ3115" s="9"/>
      <c r="AK3115" s="9"/>
      <c r="AL3115" s="9"/>
      <c r="AM3115" s="9"/>
      <c r="AN3115" s="9"/>
      <c r="AO3115" s="9"/>
      <c r="AP3115" s="9"/>
      <c r="AQ3115" s="9"/>
      <c r="AR3115" s="9"/>
      <c r="AS3115" s="9"/>
      <c r="AT3115" s="9"/>
      <c r="AU3115" s="9"/>
    </row>
    <row r="3116" spans="1:47" ht="15.75" customHeight="1">
      <c r="A3116" s="9"/>
      <c r="B3116" s="9"/>
      <c r="C3116" s="9"/>
      <c r="D3116" s="9"/>
      <c r="E3116" s="9"/>
      <c r="F3116" s="67"/>
      <c r="G3116" s="9"/>
      <c r="H3116" s="9"/>
      <c r="I3116" s="9"/>
      <c r="J3116" s="9"/>
      <c r="K3116" s="9"/>
      <c r="L3116" s="9"/>
      <c r="M3116" s="9"/>
      <c r="N3116" s="9"/>
      <c r="O3116" s="9"/>
      <c r="P3116" s="9"/>
      <c r="Q3116" s="9"/>
      <c r="R3116" s="9"/>
      <c r="S3116" s="9"/>
      <c r="T3116" s="9"/>
      <c r="U3116" s="9"/>
      <c r="V3116" s="9"/>
      <c r="W3116" s="9"/>
      <c r="X3116" s="9"/>
      <c r="Y3116" s="9"/>
      <c r="Z3116" s="9"/>
      <c r="AA3116" s="9"/>
      <c r="AB3116" s="9"/>
      <c r="AC3116" s="9"/>
      <c r="AD3116" s="9"/>
      <c r="AE3116" s="9"/>
      <c r="AF3116" s="9"/>
      <c r="AG3116" s="9"/>
      <c r="AH3116" s="9"/>
      <c r="AI3116" s="9"/>
      <c r="AJ3116" s="9"/>
      <c r="AK3116" s="9"/>
      <c r="AL3116" s="9"/>
      <c r="AM3116" s="9"/>
      <c r="AN3116" s="9"/>
      <c r="AO3116" s="9"/>
      <c r="AP3116" s="9"/>
      <c r="AQ3116" s="9"/>
      <c r="AR3116" s="9"/>
      <c r="AS3116" s="9"/>
      <c r="AT3116" s="9"/>
      <c r="AU3116" s="9"/>
    </row>
    <row r="3117" spans="1:47" ht="15.75" customHeight="1">
      <c r="A3117" s="9"/>
      <c r="B3117" s="9"/>
      <c r="C3117" s="9"/>
      <c r="D3117" s="9"/>
      <c r="E3117" s="9"/>
      <c r="F3117" s="67"/>
      <c r="G3117" s="9"/>
      <c r="H3117" s="9"/>
      <c r="I3117" s="9"/>
      <c r="J3117" s="9"/>
      <c r="K3117" s="9"/>
      <c r="L3117" s="9"/>
      <c r="M3117" s="9"/>
      <c r="N3117" s="9"/>
      <c r="O3117" s="9"/>
      <c r="P3117" s="9"/>
      <c r="Q3117" s="9"/>
      <c r="R3117" s="9"/>
      <c r="S3117" s="9"/>
      <c r="T3117" s="9"/>
      <c r="U3117" s="9"/>
      <c r="V3117" s="9"/>
      <c r="W3117" s="9"/>
      <c r="X3117" s="9"/>
      <c r="Y3117" s="9"/>
      <c r="Z3117" s="9"/>
      <c r="AA3117" s="9"/>
      <c r="AB3117" s="9"/>
      <c r="AC3117" s="9"/>
      <c r="AD3117" s="9"/>
      <c r="AE3117" s="9"/>
      <c r="AF3117" s="9"/>
      <c r="AG3117" s="9"/>
      <c r="AH3117" s="9"/>
      <c r="AI3117" s="9"/>
      <c r="AJ3117" s="9"/>
      <c r="AK3117" s="9"/>
      <c r="AL3117" s="9"/>
      <c r="AM3117" s="9"/>
      <c r="AN3117" s="9"/>
      <c r="AO3117" s="9"/>
      <c r="AP3117" s="9"/>
      <c r="AQ3117" s="9"/>
      <c r="AR3117" s="9"/>
      <c r="AS3117" s="9"/>
      <c r="AT3117" s="9"/>
      <c r="AU3117" s="9"/>
    </row>
    <row r="3118" spans="1:47" ht="15.75" customHeight="1">
      <c r="A3118" s="9"/>
      <c r="B3118" s="9"/>
      <c r="C3118" s="9"/>
      <c r="D3118" s="9"/>
      <c r="E3118" s="9"/>
      <c r="F3118" s="67"/>
      <c r="G3118" s="9"/>
      <c r="H3118" s="9"/>
      <c r="I3118" s="9"/>
      <c r="J3118" s="9"/>
      <c r="K3118" s="9"/>
      <c r="L3118" s="9"/>
      <c r="M3118" s="9"/>
      <c r="N3118" s="9"/>
      <c r="O3118" s="9"/>
      <c r="P3118" s="9"/>
      <c r="Q3118" s="9"/>
      <c r="R3118" s="9"/>
      <c r="S3118" s="9"/>
      <c r="T3118" s="9"/>
      <c r="U3118" s="9"/>
      <c r="V3118" s="9"/>
      <c r="W3118" s="9"/>
      <c r="X3118" s="9"/>
      <c r="Y3118" s="9"/>
      <c r="Z3118" s="9"/>
      <c r="AA3118" s="9"/>
      <c r="AB3118" s="9"/>
      <c r="AC3118" s="9"/>
      <c r="AD3118" s="9"/>
      <c r="AE3118" s="9"/>
      <c r="AF3118" s="9"/>
      <c r="AG3118" s="9"/>
      <c r="AH3118" s="9"/>
      <c r="AI3118" s="9"/>
      <c r="AJ3118" s="9"/>
      <c r="AK3118" s="9"/>
      <c r="AL3118" s="9"/>
      <c r="AM3118" s="9"/>
      <c r="AN3118" s="9"/>
      <c r="AO3118" s="9"/>
      <c r="AP3118" s="9"/>
      <c r="AQ3118" s="9"/>
      <c r="AR3118" s="9"/>
      <c r="AS3118" s="9"/>
      <c r="AT3118" s="9"/>
      <c r="AU3118" s="9"/>
    </row>
    <row r="3119" spans="1:47" ht="15.75" customHeight="1">
      <c r="A3119" s="9"/>
      <c r="B3119" s="9"/>
      <c r="C3119" s="9"/>
      <c r="D3119" s="9"/>
      <c r="E3119" s="9"/>
      <c r="F3119" s="67"/>
      <c r="G3119" s="9"/>
      <c r="H3119" s="9"/>
      <c r="I3119" s="9"/>
      <c r="J3119" s="9"/>
      <c r="K3119" s="9"/>
      <c r="L3119" s="9"/>
      <c r="M3119" s="9"/>
      <c r="N3119" s="9"/>
      <c r="O3119" s="9"/>
      <c r="P3119" s="9"/>
      <c r="Q3119" s="9"/>
      <c r="R3119" s="9"/>
      <c r="S3119" s="9"/>
      <c r="T3119" s="9"/>
      <c r="U3119" s="9"/>
      <c r="V3119" s="9"/>
      <c r="W3119" s="9"/>
      <c r="X3119" s="9"/>
      <c r="Y3119" s="9"/>
      <c r="Z3119" s="9"/>
      <c r="AA3119" s="9"/>
      <c r="AB3119" s="9"/>
      <c r="AC3119" s="9"/>
      <c r="AD3119" s="9"/>
      <c r="AE3119" s="9"/>
      <c r="AF3119" s="9"/>
      <c r="AG3119" s="9"/>
      <c r="AH3119" s="9"/>
      <c r="AI3119" s="9"/>
      <c r="AJ3119" s="9"/>
      <c r="AK3119" s="9"/>
      <c r="AL3119" s="9"/>
      <c r="AM3119" s="9"/>
      <c r="AN3119" s="9"/>
      <c r="AO3119" s="9"/>
      <c r="AP3119" s="9"/>
      <c r="AQ3119" s="9"/>
      <c r="AR3119" s="9"/>
      <c r="AS3119" s="9"/>
      <c r="AT3119" s="9"/>
      <c r="AU3119" s="9"/>
    </row>
    <row r="3120" spans="1:47" ht="15.75" customHeight="1">
      <c r="A3120" s="9"/>
      <c r="B3120" s="9"/>
      <c r="C3120" s="9"/>
      <c r="D3120" s="9"/>
      <c r="E3120" s="9"/>
      <c r="F3120" s="67"/>
      <c r="G3120" s="9"/>
      <c r="H3120" s="9"/>
      <c r="I3120" s="9"/>
      <c r="J3120" s="9"/>
      <c r="K3120" s="9"/>
      <c r="L3120" s="9"/>
      <c r="M3120" s="9"/>
      <c r="N3120" s="9"/>
      <c r="O3120" s="9"/>
      <c r="P3120" s="9"/>
      <c r="Q3120" s="9"/>
      <c r="R3120" s="9"/>
      <c r="S3120" s="9"/>
      <c r="T3120" s="9"/>
      <c r="U3120" s="9"/>
      <c r="V3120" s="9"/>
      <c r="W3120" s="9"/>
      <c r="X3120" s="9"/>
      <c r="Y3120" s="9"/>
      <c r="Z3120" s="9"/>
      <c r="AA3120" s="9"/>
      <c r="AB3120" s="9"/>
      <c r="AC3120" s="9"/>
      <c r="AD3120" s="9"/>
      <c r="AE3120" s="9"/>
      <c r="AF3120" s="9"/>
      <c r="AG3120" s="9"/>
      <c r="AH3120" s="9"/>
      <c r="AI3120" s="9"/>
      <c r="AJ3120" s="9"/>
      <c r="AK3120" s="9"/>
      <c r="AL3120" s="9"/>
      <c r="AM3120" s="9"/>
      <c r="AN3120" s="9"/>
      <c r="AO3120" s="9"/>
      <c r="AP3120" s="9"/>
      <c r="AQ3120" s="9"/>
      <c r="AR3120" s="9"/>
      <c r="AS3120" s="9"/>
      <c r="AT3120" s="9"/>
      <c r="AU3120" s="9"/>
    </row>
    <row r="3121" spans="1:47" ht="15.75" customHeight="1">
      <c r="A3121" s="9"/>
      <c r="B3121" s="9"/>
      <c r="C3121" s="9"/>
      <c r="D3121" s="9"/>
      <c r="E3121" s="9"/>
      <c r="F3121" s="67"/>
      <c r="G3121" s="9"/>
      <c r="H3121" s="9"/>
      <c r="I3121" s="9"/>
      <c r="J3121" s="9"/>
      <c r="K3121" s="9"/>
      <c r="L3121" s="9"/>
      <c r="M3121" s="9"/>
      <c r="N3121" s="9"/>
      <c r="O3121" s="9"/>
      <c r="P3121" s="9"/>
      <c r="Q3121" s="9"/>
      <c r="R3121" s="9"/>
      <c r="S3121" s="9"/>
      <c r="T3121" s="9"/>
      <c r="U3121" s="9"/>
      <c r="V3121" s="9"/>
      <c r="W3121" s="9"/>
      <c r="X3121" s="9"/>
      <c r="Y3121" s="9"/>
      <c r="Z3121" s="9"/>
      <c r="AA3121" s="9"/>
      <c r="AB3121" s="9"/>
      <c r="AC3121" s="9"/>
      <c r="AD3121" s="9"/>
      <c r="AE3121" s="9"/>
      <c r="AF3121" s="9"/>
      <c r="AG3121" s="9"/>
      <c r="AH3121" s="9"/>
      <c r="AI3121" s="9"/>
      <c r="AJ3121" s="9"/>
      <c r="AK3121" s="9"/>
      <c r="AL3121" s="9"/>
      <c r="AM3121" s="9"/>
      <c r="AN3121" s="9"/>
      <c r="AO3121" s="9"/>
      <c r="AP3121" s="9"/>
      <c r="AQ3121" s="9"/>
      <c r="AR3121" s="9"/>
      <c r="AS3121" s="9"/>
      <c r="AT3121" s="9"/>
      <c r="AU3121" s="9"/>
    </row>
    <row r="3122" spans="1:47" ht="15.75" customHeight="1">
      <c r="A3122" s="9"/>
      <c r="B3122" s="9"/>
      <c r="C3122" s="9"/>
      <c r="D3122" s="9"/>
      <c r="E3122" s="9"/>
      <c r="F3122" s="67"/>
      <c r="G3122" s="9"/>
      <c r="H3122" s="9"/>
      <c r="I3122" s="9"/>
      <c r="J3122" s="9"/>
      <c r="K3122" s="9"/>
      <c r="L3122" s="9"/>
      <c r="M3122" s="9"/>
      <c r="N3122" s="9"/>
      <c r="O3122" s="9"/>
      <c r="P3122" s="9"/>
      <c r="Q3122" s="9"/>
      <c r="R3122" s="9"/>
      <c r="S3122" s="9"/>
      <c r="T3122" s="9"/>
      <c r="U3122" s="9"/>
      <c r="V3122" s="9"/>
      <c r="W3122" s="9"/>
      <c r="X3122" s="9"/>
      <c r="Y3122" s="9"/>
      <c r="Z3122" s="9"/>
      <c r="AA3122" s="9"/>
      <c r="AB3122" s="9"/>
      <c r="AC3122" s="9"/>
      <c r="AD3122" s="9"/>
      <c r="AE3122" s="9"/>
      <c r="AF3122" s="9"/>
      <c r="AG3122" s="9"/>
      <c r="AH3122" s="9"/>
      <c r="AI3122" s="9"/>
      <c r="AJ3122" s="9"/>
      <c r="AK3122" s="9"/>
      <c r="AL3122" s="9"/>
      <c r="AM3122" s="9"/>
      <c r="AN3122" s="9"/>
      <c r="AO3122" s="9"/>
      <c r="AP3122" s="9"/>
      <c r="AQ3122" s="9"/>
      <c r="AR3122" s="9"/>
      <c r="AS3122" s="9"/>
      <c r="AT3122" s="9"/>
      <c r="AU3122" s="9"/>
    </row>
    <row r="3123" spans="1:47" ht="15.75" customHeight="1">
      <c r="A3123" s="9"/>
      <c r="B3123" s="9"/>
      <c r="C3123" s="9"/>
      <c r="D3123" s="9"/>
      <c r="E3123" s="9"/>
      <c r="F3123" s="67"/>
      <c r="G3123" s="9"/>
      <c r="H3123" s="9"/>
      <c r="I3123" s="9"/>
      <c r="J3123" s="9"/>
      <c r="K3123" s="9"/>
      <c r="L3123" s="9"/>
      <c r="M3123" s="9"/>
      <c r="N3123" s="9"/>
      <c r="O3123" s="9"/>
      <c r="P3123" s="9"/>
      <c r="Q3123" s="9"/>
      <c r="R3123" s="9"/>
      <c r="S3123" s="9"/>
      <c r="T3123" s="9"/>
      <c r="U3123" s="9"/>
      <c r="V3123" s="9"/>
      <c r="W3123" s="9"/>
      <c r="X3123" s="9"/>
      <c r="Y3123" s="9"/>
      <c r="Z3123" s="9"/>
      <c r="AA3123" s="9"/>
      <c r="AB3123" s="9"/>
      <c r="AC3123" s="9"/>
      <c r="AD3123" s="9"/>
      <c r="AE3123" s="9"/>
      <c r="AF3123" s="9"/>
      <c r="AG3123" s="9"/>
      <c r="AH3123" s="9"/>
      <c r="AI3123" s="9"/>
      <c r="AJ3123" s="9"/>
      <c r="AK3123" s="9"/>
      <c r="AL3123" s="9"/>
      <c r="AM3123" s="9"/>
      <c r="AN3123" s="9"/>
      <c r="AO3123" s="9"/>
      <c r="AP3123" s="9"/>
      <c r="AQ3123" s="9"/>
      <c r="AR3123" s="9"/>
      <c r="AS3123" s="9"/>
      <c r="AT3123" s="9"/>
      <c r="AU3123" s="9"/>
    </row>
    <row r="3124" spans="1:47" ht="15.75" customHeight="1">
      <c r="A3124" s="9"/>
      <c r="B3124" s="9"/>
      <c r="C3124" s="9"/>
      <c r="D3124" s="9"/>
      <c r="E3124" s="9"/>
      <c r="F3124" s="67"/>
      <c r="G3124" s="9"/>
      <c r="H3124" s="9"/>
      <c r="I3124" s="9"/>
      <c r="J3124" s="9"/>
      <c r="K3124" s="9"/>
      <c r="L3124" s="9"/>
      <c r="M3124" s="9"/>
      <c r="N3124" s="9"/>
      <c r="O3124" s="9"/>
      <c r="P3124" s="9"/>
      <c r="Q3124" s="9"/>
      <c r="R3124" s="9"/>
      <c r="S3124" s="9"/>
      <c r="T3124" s="9"/>
      <c r="U3124" s="9"/>
      <c r="V3124" s="9"/>
      <c r="W3124" s="9"/>
      <c r="X3124" s="9"/>
      <c r="Y3124" s="9"/>
      <c r="Z3124" s="9"/>
      <c r="AA3124" s="9"/>
      <c r="AB3124" s="9"/>
      <c r="AC3124" s="9"/>
      <c r="AD3124" s="9"/>
      <c r="AE3124" s="9"/>
      <c r="AF3124" s="9"/>
      <c r="AG3124" s="9"/>
      <c r="AH3124" s="9"/>
      <c r="AI3124" s="9"/>
      <c r="AJ3124" s="9"/>
      <c r="AK3124" s="9"/>
      <c r="AL3124" s="9"/>
      <c r="AM3124" s="9"/>
      <c r="AN3124" s="9"/>
      <c r="AO3124" s="9"/>
      <c r="AP3124" s="9"/>
      <c r="AQ3124" s="9"/>
      <c r="AR3124" s="9"/>
      <c r="AS3124" s="9"/>
      <c r="AT3124" s="9"/>
      <c r="AU3124" s="9"/>
    </row>
    <row r="3125" spans="1:47" ht="15.75" customHeight="1">
      <c r="A3125" s="9"/>
      <c r="B3125" s="9"/>
      <c r="C3125" s="9"/>
      <c r="D3125" s="9"/>
      <c r="E3125" s="9"/>
      <c r="F3125" s="67"/>
      <c r="G3125" s="9"/>
      <c r="H3125" s="9"/>
      <c r="I3125" s="9"/>
      <c r="J3125" s="9"/>
      <c r="K3125" s="9"/>
      <c r="L3125" s="9"/>
      <c r="M3125" s="9"/>
      <c r="N3125" s="9"/>
      <c r="O3125" s="9"/>
      <c r="P3125" s="9"/>
      <c r="Q3125" s="9"/>
      <c r="R3125" s="9"/>
      <c r="S3125" s="9"/>
      <c r="T3125" s="9"/>
      <c r="U3125" s="9"/>
      <c r="V3125" s="9"/>
      <c r="W3125" s="9"/>
      <c r="X3125" s="9"/>
      <c r="Y3125" s="9"/>
      <c r="Z3125" s="9"/>
      <c r="AA3125" s="9"/>
      <c r="AB3125" s="9"/>
      <c r="AC3125" s="9"/>
      <c r="AD3125" s="9"/>
      <c r="AE3125" s="9"/>
      <c r="AF3125" s="9"/>
      <c r="AG3125" s="9"/>
      <c r="AH3125" s="9"/>
      <c r="AI3125" s="9"/>
      <c r="AJ3125" s="9"/>
      <c r="AK3125" s="9"/>
      <c r="AL3125" s="9"/>
      <c r="AM3125" s="9"/>
      <c r="AN3125" s="9"/>
      <c r="AO3125" s="9"/>
      <c r="AP3125" s="9"/>
      <c r="AQ3125" s="9"/>
      <c r="AR3125" s="9"/>
      <c r="AS3125" s="9"/>
      <c r="AT3125" s="9"/>
      <c r="AU3125" s="9"/>
    </row>
    <row r="3126" spans="1:47" ht="15.75" customHeight="1">
      <c r="A3126" s="9"/>
      <c r="B3126" s="9"/>
      <c r="C3126" s="9"/>
      <c r="D3126" s="9"/>
      <c r="E3126" s="9"/>
      <c r="F3126" s="67"/>
      <c r="G3126" s="9"/>
      <c r="H3126" s="9"/>
      <c r="I3126" s="9"/>
      <c r="J3126" s="9"/>
      <c r="K3126" s="9"/>
      <c r="L3126" s="9"/>
      <c r="M3126" s="9"/>
      <c r="N3126" s="9"/>
      <c r="O3126" s="9"/>
      <c r="P3126" s="9"/>
      <c r="Q3126" s="9"/>
      <c r="R3126" s="9"/>
      <c r="S3126" s="9"/>
      <c r="T3126" s="9"/>
      <c r="U3126" s="9"/>
      <c r="V3126" s="9"/>
      <c r="W3126" s="9"/>
      <c r="X3126" s="9"/>
      <c r="Y3126" s="9"/>
      <c r="Z3126" s="9"/>
      <c r="AA3126" s="9"/>
      <c r="AB3126" s="9"/>
      <c r="AC3126" s="9"/>
      <c r="AD3126" s="9"/>
      <c r="AE3126" s="9"/>
      <c r="AF3126" s="9"/>
      <c r="AG3126" s="9"/>
      <c r="AH3126" s="9"/>
      <c r="AI3126" s="9"/>
      <c r="AJ3126" s="9"/>
      <c r="AK3126" s="9"/>
      <c r="AL3126" s="9"/>
      <c r="AM3126" s="9"/>
      <c r="AN3126" s="9"/>
      <c r="AO3126" s="9"/>
      <c r="AP3126" s="9"/>
      <c r="AQ3126" s="9"/>
      <c r="AR3126" s="9"/>
      <c r="AS3126" s="9"/>
      <c r="AT3126" s="9"/>
      <c r="AU3126" s="9"/>
    </row>
    <row r="3127" spans="1:47" ht="15.75" customHeight="1">
      <c r="A3127" s="9"/>
      <c r="B3127" s="9"/>
      <c r="C3127" s="9"/>
      <c r="D3127" s="9"/>
      <c r="E3127" s="9"/>
      <c r="F3127" s="67"/>
      <c r="G3127" s="9"/>
      <c r="H3127" s="9"/>
      <c r="I3127" s="9"/>
      <c r="J3127" s="9"/>
      <c r="K3127" s="9"/>
      <c r="L3127" s="9"/>
      <c r="M3127" s="9"/>
      <c r="N3127" s="9"/>
      <c r="O3127" s="9"/>
      <c r="P3127" s="9"/>
      <c r="Q3127" s="9"/>
      <c r="R3127" s="9"/>
      <c r="S3127" s="9"/>
      <c r="T3127" s="9"/>
      <c r="U3127" s="9"/>
      <c r="V3127" s="9"/>
      <c r="W3127" s="9"/>
      <c r="X3127" s="9"/>
      <c r="Y3127" s="9"/>
      <c r="Z3127" s="9"/>
      <c r="AA3127" s="9"/>
      <c r="AB3127" s="9"/>
      <c r="AC3127" s="9"/>
      <c r="AD3127" s="9"/>
      <c r="AE3127" s="9"/>
      <c r="AF3127" s="9"/>
      <c r="AG3127" s="9"/>
      <c r="AH3127" s="9"/>
      <c r="AI3127" s="9"/>
      <c r="AJ3127" s="9"/>
      <c r="AK3127" s="9"/>
      <c r="AL3127" s="9"/>
      <c r="AM3127" s="9"/>
      <c r="AN3127" s="9"/>
      <c r="AO3127" s="9"/>
      <c r="AP3127" s="9"/>
      <c r="AQ3127" s="9"/>
      <c r="AR3127" s="9"/>
      <c r="AS3127" s="9"/>
      <c r="AT3127" s="9"/>
      <c r="AU3127" s="9"/>
    </row>
    <row r="3128" spans="1:47" ht="15.75" customHeight="1">
      <c r="A3128" s="9"/>
      <c r="B3128" s="9"/>
      <c r="C3128" s="9"/>
      <c r="D3128" s="9"/>
      <c r="E3128" s="9"/>
      <c r="F3128" s="67"/>
      <c r="G3128" s="9"/>
      <c r="H3128" s="9"/>
      <c r="I3128" s="9"/>
      <c r="J3128" s="9"/>
      <c r="K3128" s="9"/>
      <c r="L3128" s="9"/>
      <c r="M3128" s="9"/>
      <c r="N3128" s="9"/>
      <c r="O3128" s="9"/>
      <c r="P3128" s="9"/>
      <c r="Q3128" s="9"/>
      <c r="R3128" s="9"/>
      <c r="S3128" s="9"/>
      <c r="T3128" s="9"/>
      <c r="U3128" s="9"/>
      <c r="V3128" s="9"/>
      <c r="W3128" s="9"/>
      <c r="X3128" s="9"/>
      <c r="Y3128" s="9"/>
      <c r="Z3128" s="9"/>
      <c r="AA3128" s="9"/>
      <c r="AB3128" s="9"/>
      <c r="AC3128" s="9"/>
      <c r="AD3128" s="9"/>
      <c r="AE3128" s="9"/>
      <c r="AF3128" s="9"/>
      <c r="AG3128" s="9"/>
      <c r="AH3128" s="9"/>
      <c r="AI3128" s="9"/>
      <c r="AJ3128" s="9"/>
      <c r="AK3128" s="9"/>
      <c r="AL3128" s="9"/>
      <c r="AM3128" s="9"/>
      <c r="AN3128" s="9"/>
      <c r="AO3128" s="9"/>
      <c r="AP3128" s="9"/>
      <c r="AQ3128" s="9"/>
      <c r="AR3128" s="9"/>
      <c r="AS3128" s="9"/>
      <c r="AT3128" s="9"/>
      <c r="AU3128" s="9"/>
    </row>
    <row r="3129" spans="1:47" ht="15.75" customHeight="1">
      <c r="A3129" s="9"/>
      <c r="B3129" s="9"/>
      <c r="C3129" s="9"/>
      <c r="D3129" s="9"/>
      <c r="E3129" s="9"/>
      <c r="F3129" s="67"/>
      <c r="G3129" s="9"/>
      <c r="H3129" s="9"/>
      <c r="I3129" s="9"/>
      <c r="J3129" s="9"/>
      <c r="K3129" s="9"/>
      <c r="L3129" s="9"/>
      <c r="M3129" s="9"/>
      <c r="N3129" s="9"/>
      <c r="O3129" s="9"/>
      <c r="P3129" s="9"/>
      <c r="Q3129" s="9"/>
      <c r="R3129" s="9"/>
      <c r="S3129" s="9"/>
      <c r="T3129" s="9"/>
      <c r="U3129" s="9"/>
      <c r="V3129" s="9"/>
      <c r="W3129" s="9"/>
      <c r="X3129" s="9"/>
      <c r="Y3129" s="9"/>
      <c r="Z3129" s="9"/>
      <c r="AA3129" s="9"/>
      <c r="AB3129" s="9"/>
      <c r="AC3129" s="9"/>
      <c r="AD3129" s="9"/>
      <c r="AE3129" s="9"/>
      <c r="AF3129" s="9"/>
      <c r="AG3129" s="9"/>
      <c r="AH3129" s="9"/>
      <c r="AI3129" s="9"/>
      <c r="AJ3129" s="9"/>
      <c r="AK3129" s="9"/>
      <c r="AL3129" s="9"/>
      <c r="AM3129" s="9"/>
      <c r="AN3129" s="9"/>
      <c r="AO3129" s="9"/>
      <c r="AP3129" s="9"/>
      <c r="AQ3129" s="9"/>
      <c r="AR3129" s="9"/>
      <c r="AS3129" s="9"/>
      <c r="AT3129" s="9"/>
      <c r="AU3129" s="9"/>
    </row>
    <row r="3130" spans="1:47" ht="15.75" customHeight="1">
      <c r="A3130" s="9"/>
      <c r="B3130" s="9"/>
      <c r="C3130" s="9"/>
      <c r="D3130" s="9"/>
      <c r="E3130" s="9"/>
      <c r="F3130" s="67"/>
      <c r="G3130" s="9"/>
      <c r="H3130" s="9"/>
      <c r="I3130" s="9"/>
      <c r="J3130" s="9"/>
      <c r="K3130" s="9"/>
      <c r="L3130" s="9"/>
      <c r="M3130" s="9"/>
      <c r="N3130" s="9"/>
      <c r="O3130" s="9"/>
      <c r="P3130" s="9"/>
      <c r="Q3130" s="9"/>
      <c r="R3130" s="9"/>
      <c r="S3130" s="9"/>
      <c r="T3130" s="9"/>
      <c r="U3130" s="9"/>
      <c r="V3130" s="9"/>
      <c r="W3130" s="9"/>
      <c r="X3130" s="9"/>
      <c r="Y3130" s="9"/>
      <c r="Z3130" s="9"/>
      <c r="AA3130" s="9"/>
      <c r="AB3130" s="9"/>
      <c r="AC3130" s="9"/>
      <c r="AD3130" s="9"/>
      <c r="AE3130" s="9"/>
      <c r="AF3130" s="9"/>
      <c r="AG3130" s="9"/>
      <c r="AH3130" s="9"/>
      <c r="AI3130" s="9"/>
      <c r="AJ3130" s="9"/>
      <c r="AK3130" s="9"/>
      <c r="AL3130" s="9"/>
      <c r="AM3130" s="9"/>
      <c r="AN3130" s="9"/>
      <c r="AO3130" s="9"/>
      <c r="AP3130" s="9"/>
      <c r="AQ3130" s="9"/>
      <c r="AR3130" s="9"/>
      <c r="AS3130" s="9"/>
      <c r="AT3130" s="9"/>
      <c r="AU3130" s="9"/>
    </row>
    <row r="3131" spans="1:47" ht="15.75" customHeight="1">
      <c r="A3131" s="9"/>
      <c r="B3131" s="9"/>
      <c r="C3131" s="9"/>
      <c r="D3131" s="9"/>
      <c r="E3131" s="9"/>
      <c r="F3131" s="67"/>
      <c r="G3131" s="9"/>
      <c r="H3131" s="9"/>
      <c r="I3131" s="9"/>
      <c r="J3131" s="9"/>
      <c r="K3131" s="9"/>
      <c r="L3131" s="9"/>
      <c r="M3131" s="9"/>
      <c r="N3131" s="9"/>
      <c r="O3131" s="9"/>
      <c r="P3131" s="9"/>
      <c r="Q3131" s="9"/>
      <c r="R3131" s="9"/>
      <c r="S3131" s="9"/>
      <c r="T3131" s="9"/>
      <c r="U3131" s="9"/>
      <c r="V3131" s="9"/>
      <c r="W3131" s="9"/>
      <c r="X3131" s="9"/>
      <c r="Y3131" s="9"/>
      <c r="Z3131" s="9"/>
      <c r="AA3131" s="9"/>
      <c r="AB3131" s="9"/>
      <c r="AC3131" s="9"/>
      <c r="AD3131" s="9"/>
      <c r="AE3131" s="9"/>
      <c r="AF3131" s="9"/>
      <c r="AG3131" s="9"/>
      <c r="AH3131" s="9"/>
      <c r="AI3131" s="9"/>
      <c r="AJ3131" s="9"/>
      <c r="AK3131" s="9"/>
      <c r="AL3131" s="9"/>
      <c r="AM3131" s="9"/>
      <c r="AN3131" s="9"/>
      <c r="AO3131" s="9"/>
      <c r="AP3131" s="9"/>
      <c r="AQ3131" s="9"/>
      <c r="AR3131" s="9"/>
      <c r="AS3131" s="9"/>
      <c r="AT3131" s="9"/>
      <c r="AU3131" s="9"/>
    </row>
    <row r="3132" spans="1:47" ht="15.75" customHeight="1">
      <c r="A3132" s="9"/>
      <c r="B3132" s="9"/>
      <c r="C3132" s="9"/>
      <c r="D3132" s="9"/>
      <c r="E3132" s="9"/>
      <c r="F3132" s="67"/>
      <c r="G3132" s="9"/>
      <c r="H3132" s="9"/>
      <c r="I3132" s="9"/>
      <c r="J3132" s="9"/>
      <c r="K3132" s="9"/>
      <c r="L3132" s="9"/>
      <c r="M3132" s="9"/>
      <c r="N3132" s="9"/>
      <c r="O3132" s="9"/>
      <c r="P3132" s="9"/>
      <c r="Q3132" s="9"/>
      <c r="R3132" s="9"/>
      <c r="S3132" s="9"/>
      <c r="T3132" s="9"/>
      <c r="U3132" s="9"/>
      <c r="V3132" s="9"/>
      <c r="W3132" s="9"/>
      <c r="X3132" s="9"/>
      <c r="Y3132" s="9"/>
      <c r="Z3132" s="9"/>
      <c r="AA3132" s="9"/>
      <c r="AB3132" s="9"/>
      <c r="AC3132" s="9"/>
      <c r="AD3132" s="9"/>
      <c r="AE3132" s="9"/>
      <c r="AF3132" s="9"/>
      <c r="AG3132" s="9"/>
      <c r="AH3132" s="9"/>
      <c r="AI3132" s="9"/>
      <c r="AJ3132" s="9"/>
      <c r="AK3132" s="9"/>
      <c r="AL3132" s="9"/>
      <c r="AM3132" s="9"/>
      <c r="AN3132" s="9"/>
      <c r="AO3132" s="9"/>
      <c r="AP3132" s="9"/>
      <c r="AQ3132" s="9"/>
      <c r="AR3132" s="9"/>
      <c r="AS3132" s="9"/>
      <c r="AT3132" s="9"/>
      <c r="AU3132" s="9"/>
    </row>
    <row r="3133" spans="1:47" ht="15.75" customHeight="1">
      <c r="A3133" s="9"/>
      <c r="B3133" s="9"/>
      <c r="C3133" s="9"/>
      <c r="D3133" s="9"/>
      <c r="E3133" s="9"/>
      <c r="F3133" s="67"/>
      <c r="G3133" s="9"/>
      <c r="H3133" s="9"/>
      <c r="I3133" s="9"/>
      <c r="J3133" s="9"/>
      <c r="K3133" s="9"/>
      <c r="L3133" s="9"/>
      <c r="M3133" s="9"/>
      <c r="N3133" s="9"/>
      <c r="O3133" s="9"/>
      <c r="P3133" s="9"/>
      <c r="Q3133" s="9"/>
      <c r="R3133" s="9"/>
      <c r="S3133" s="9"/>
      <c r="T3133" s="9"/>
      <c r="U3133" s="9"/>
      <c r="V3133" s="9"/>
      <c r="W3133" s="9"/>
      <c r="X3133" s="9"/>
      <c r="Y3133" s="9"/>
      <c r="Z3133" s="9"/>
      <c r="AA3133" s="9"/>
      <c r="AB3133" s="9"/>
      <c r="AC3133" s="9"/>
      <c r="AD3133" s="9"/>
      <c r="AE3133" s="9"/>
      <c r="AF3133" s="9"/>
      <c r="AG3133" s="9"/>
      <c r="AH3133" s="9"/>
      <c r="AI3133" s="9"/>
      <c r="AJ3133" s="9"/>
      <c r="AK3133" s="9"/>
      <c r="AL3133" s="9"/>
      <c r="AM3133" s="9"/>
      <c r="AN3133" s="9"/>
      <c r="AO3133" s="9"/>
      <c r="AP3133" s="9"/>
      <c r="AQ3133" s="9"/>
      <c r="AR3133" s="9"/>
      <c r="AS3133" s="9"/>
      <c r="AT3133" s="9"/>
      <c r="AU3133" s="9"/>
    </row>
    <row r="3134" spans="1:47" ht="15.75" customHeight="1">
      <c r="A3134" s="9"/>
      <c r="B3134" s="9"/>
      <c r="C3134" s="9"/>
      <c r="D3134" s="9"/>
      <c r="E3134" s="9"/>
      <c r="F3134" s="67"/>
      <c r="G3134" s="9"/>
      <c r="H3134" s="9"/>
      <c r="I3134" s="9"/>
      <c r="J3134" s="9"/>
      <c r="K3134" s="9"/>
      <c r="L3134" s="9"/>
      <c r="M3134" s="9"/>
      <c r="N3134" s="9"/>
      <c r="O3134" s="9"/>
      <c r="P3134" s="9"/>
      <c r="Q3134" s="9"/>
      <c r="R3134" s="9"/>
      <c r="S3134" s="9"/>
      <c r="T3134" s="9"/>
      <c r="U3134" s="9"/>
      <c r="V3134" s="9"/>
      <c r="W3134" s="9"/>
      <c r="X3134" s="9"/>
      <c r="Y3134" s="9"/>
      <c r="Z3134" s="9"/>
      <c r="AA3134" s="9"/>
      <c r="AB3134" s="9"/>
      <c r="AC3134" s="9"/>
      <c r="AD3134" s="9"/>
      <c r="AE3134" s="9"/>
      <c r="AF3134" s="9"/>
      <c r="AG3134" s="9"/>
      <c r="AH3134" s="9"/>
      <c r="AI3134" s="9"/>
      <c r="AJ3134" s="9"/>
      <c r="AK3134" s="9"/>
      <c r="AL3134" s="9"/>
      <c r="AM3134" s="9"/>
      <c r="AN3134" s="9"/>
      <c r="AO3134" s="9"/>
      <c r="AP3134" s="9"/>
      <c r="AQ3134" s="9"/>
      <c r="AR3134" s="9"/>
      <c r="AS3134" s="9"/>
      <c r="AT3134" s="9"/>
      <c r="AU3134" s="9"/>
    </row>
    <row r="3135" spans="1:47" ht="15.75" customHeight="1">
      <c r="A3135" s="9"/>
      <c r="B3135" s="9"/>
      <c r="C3135" s="9"/>
      <c r="D3135" s="9"/>
      <c r="E3135" s="9"/>
      <c r="F3135" s="67"/>
      <c r="G3135" s="9"/>
      <c r="H3135" s="9"/>
      <c r="I3135" s="9"/>
      <c r="J3135" s="9"/>
      <c r="K3135" s="9"/>
      <c r="L3135" s="9"/>
      <c r="M3135" s="9"/>
      <c r="N3135" s="9"/>
      <c r="O3135" s="9"/>
      <c r="P3135" s="9"/>
      <c r="Q3135" s="9"/>
      <c r="R3135" s="9"/>
      <c r="S3135" s="9"/>
      <c r="T3135" s="9"/>
      <c r="U3135" s="9"/>
      <c r="V3135" s="9"/>
      <c r="W3135" s="9"/>
      <c r="X3135" s="9"/>
      <c r="Y3135" s="9"/>
      <c r="Z3135" s="9"/>
      <c r="AA3135" s="9"/>
      <c r="AB3135" s="9"/>
      <c r="AC3135" s="9"/>
      <c r="AD3135" s="9"/>
      <c r="AE3135" s="9"/>
      <c r="AF3135" s="9"/>
      <c r="AG3135" s="9"/>
      <c r="AH3135" s="9"/>
      <c r="AI3135" s="9"/>
      <c r="AJ3135" s="9"/>
      <c r="AK3135" s="9"/>
      <c r="AL3135" s="9"/>
      <c r="AM3135" s="9"/>
      <c r="AN3135" s="9"/>
      <c r="AO3135" s="9"/>
      <c r="AP3135" s="9"/>
      <c r="AQ3135" s="9"/>
      <c r="AR3135" s="9"/>
      <c r="AS3135" s="9"/>
      <c r="AT3135" s="9"/>
      <c r="AU3135" s="9"/>
    </row>
    <row r="3136" spans="1:47" ht="15.75" customHeight="1">
      <c r="A3136" s="9"/>
      <c r="B3136" s="9"/>
      <c r="C3136" s="9"/>
      <c r="D3136" s="9"/>
      <c r="E3136" s="9"/>
      <c r="F3136" s="67"/>
      <c r="G3136" s="9"/>
      <c r="H3136" s="9"/>
      <c r="I3136" s="9"/>
      <c r="J3136" s="9"/>
      <c r="K3136" s="9"/>
      <c r="L3136" s="9"/>
      <c r="M3136" s="9"/>
      <c r="N3136" s="9"/>
      <c r="O3136" s="9"/>
      <c r="P3136" s="9"/>
      <c r="Q3136" s="9"/>
      <c r="R3136" s="9"/>
      <c r="S3136" s="9"/>
      <c r="T3136" s="9"/>
      <c r="U3136" s="9"/>
      <c r="V3136" s="9"/>
      <c r="W3136" s="9"/>
      <c r="X3136" s="9"/>
      <c r="Y3136" s="9"/>
      <c r="Z3136" s="9"/>
      <c r="AA3136" s="9"/>
      <c r="AB3136" s="9"/>
      <c r="AC3136" s="9"/>
      <c r="AD3136" s="9"/>
      <c r="AE3136" s="9"/>
      <c r="AF3136" s="9"/>
      <c r="AG3136" s="9"/>
      <c r="AH3136" s="9"/>
      <c r="AI3136" s="9"/>
      <c r="AJ3136" s="9"/>
      <c r="AK3136" s="9"/>
      <c r="AL3136" s="9"/>
      <c r="AM3136" s="9"/>
      <c r="AN3136" s="9"/>
      <c r="AO3136" s="9"/>
      <c r="AP3136" s="9"/>
      <c r="AQ3136" s="9"/>
      <c r="AR3136" s="9"/>
      <c r="AS3136" s="9"/>
      <c r="AT3136" s="9"/>
      <c r="AU3136" s="9"/>
    </row>
    <row r="3137" spans="1:47" ht="15.75" customHeight="1">
      <c r="A3137" s="9"/>
      <c r="B3137" s="9"/>
      <c r="C3137" s="9"/>
      <c r="D3137" s="9"/>
      <c r="E3137" s="9"/>
      <c r="F3137" s="67"/>
      <c r="G3137" s="9"/>
      <c r="H3137" s="9"/>
      <c r="I3137" s="9"/>
      <c r="J3137" s="9"/>
      <c r="K3137" s="9"/>
      <c r="L3137" s="9"/>
      <c r="M3137" s="9"/>
      <c r="N3137" s="9"/>
      <c r="O3137" s="9"/>
      <c r="P3137" s="9"/>
      <c r="Q3137" s="9"/>
      <c r="R3137" s="9"/>
      <c r="S3137" s="9"/>
      <c r="T3137" s="9"/>
      <c r="U3137" s="9"/>
      <c r="V3137" s="9"/>
      <c r="W3137" s="9"/>
      <c r="X3137" s="9"/>
      <c r="Y3137" s="9"/>
      <c r="Z3137" s="9"/>
      <c r="AA3137" s="9"/>
      <c r="AB3137" s="9"/>
      <c r="AC3137" s="9"/>
      <c r="AD3137" s="9"/>
      <c r="AE3137" s="9"/>
      <c r="AF3137" s="9"/>
      <c r="AG3137" s="9"/>
      <c r="AH3137" s="9"/>
      <c r="AI3137" s="9"/>
      <c r="AJ3137" s="9"/>
      <c r="AK3137" s="9"/>
      <c r="AL3137" s="9"/>
      <c r="AM3137" s="9"/>
      <c r="AN3137" s="9"/>
      <c r="AO3137" s="9"/>
      <c r="AP3137" s="9"/>
      <c r="AQ3137" s="9"/>
      <c r="AR3137" s="9"/>
      <c r="AS3137" s="9"/>
      <c r="AT3137" s="9"/>
      <c r="AU3137" s="9"/>
    </row>
    <row r="3138" spans="1:47" ht="15.75" customHeight="1">
      <c r="A3138" s="9"/>
      <c r="B3138" s="9"/>
      <c r="C3138" s="9"/>
      <c r="D3138" s="9"/>
      <c r="E3138" s="9"/>
      <c r="F3138" s="67"/>
      <c r="G3138" s="9"/>
      <c r="H3138" s="9"/>
      <c r="I3138" s="9"/>
      <c r="J3138" s="9"/>
      <c r="K3138" s="9"/>
      <c r="L3138" s="9"/>
      <c r="M3138" s="9"/>
      <c r="N3138" s="9"/>
      <c r="O3138" s="9"/>
      <c r="P3138" s="9"/>
      <c r="Q3138" s="9"/>
      <c r="R3138" s="9"/>
      <c r="S3138" s="9"/>
      <c r="T3138" s="9"/>
      <c r="U3138" s="9"/>
      <c r="V3138" s="9"/>
      <c r="W3138" s="9"/>
      <c r="X3138" s="9"/>
      <c r="Y3138" s="9"/>
      <c r="Z3138" s="9"/>
      <c r="AA3138" s="9"/>
      <c r="AB3138" s="9"/>
      <c r="AC3138" s="9"/>
      <c r="AD3138" s="9"/>
      <c r="AE3138" s="9"/>
      <c r="AF3138" s="9"/>
      <c r="AG3138" s="9"/>
      <c r="AH3138" s="9"/>
      <c r="AI3138" s="9"/>
      <c r="AJ3138" s="9"/>
      <c r="AK3138" s="9"/>
      <c r="AL3138" s="9"/>
      <c r="AM3138" s="9"/>
      <c r="AN3138" s="9"/>
      <c r="AO3138" s="9"/>
      <c r="AP3138" s="9"/>
      <c r="AQ3138" s="9"/>
      <c r="AR3138" s="9"/>
      <c r="AS3138" s="9"/>
      <c r="AT3138" s="9"/>
      <c r="AU3138" s="9"/>
    </row>
    <row r="3139" spans="1:47" ht="15.75" customHeight="1">
      <c r="A3139" s="9"/>
      <c r="B3139" s="9"/>
      <c r="C3139" s="9"/>
      <c r="D3139" s="9"/>
      <c r="E3139" s="9"/>
      <c r="F3139" s="67"/>
      <c r="G3139" s="9"/>
      <c r="H3139" s="9"/>
      <c r="I3139" s="9"/>
      <c r="J3139" s="9"/>
      <c r="K3139" s="9"/>
      <c r="L3139" s="9"/>
      <c r="M3139" s="9"/>
      <c r="N3139" s="9"/>
      <c r="O3139" s="9"/>
      <c r="P3139" s="9"/>
      <c r="Q3139" s="9"/>
      <c r="R3139" s="9"/>
      <c r="S3139" s="9"/>
      <c r="T3139" s="9"/>
      <c r="U3139" s="9"/>
      <c r="V3139" s="9"/>
      <c r="W3139" s="9"/>
      <c r="X3139" s="9"/>
      <c r="Y3139" s="9"/>
      <c r="Z3139" s="9"/>
      <c r="AA3139" s="9"/>
      <c r="AB3139" s="9"/>
      <c r="AC3139" s="9"/>
      <c r="AD3139" s="9"/>
      <c r="AE3139" s="9"/>
      <c r="AF3139" s="9"/>
      <c r="AG3139" s="9"/>
      <c r="AH3139" s="9"/>
      <c r="AI3139" s="9"/>
      <c r="AJ3139" s="9"/>
      <c r="AK3139" s="9"/>
      <c r="AL3139" s="9"/>
      <c r="AM3139" s="9"/>
      <c r="AN3139" s="9"/>
      <c r="AO3139" s="9"/>
      <c r="AP3139" s="9"/>
      <c r="AQ3139" s="9"/>
      <c r="AR3139" s="9"/>
      <c r="AS3139" s="9"/>
      <c r="AT3139" s="9"/>
      <c r="AU3139" s="9"/>
    </row>
    <row r="3140" spans="1:47" ht="15.75" customHeight="1">
      <c r="A3140" s="9"/>
      <c r="B3140" s="9"/>
      <c r="C3140" s="9"/>
      <c r="D3140" s="9"/>
      <c r="E3140" s="9"/>
      <c r="F3140" s="67"/>
      <c r="G3140" s="9"/>
      <c r="H3140" s="9"/>
      <c r="I3140" s="9"/>
      <c r="J3140" s="9"/>
      <c r="K3140" s="9"/>
      <c r="L3140" s="9"/>
      <c r="M3140" s="9"/>
      <c r="N3140" s="9"/>
      <c r="O3140" s="9"/>
      <c r="P3140" s="9"/>
      <c r="Q3140" s="9"/>
      <c r="R3140" s="9"/>
      <c r="S3140" s="9"/>
      <c r="T3140" s="9"/>
      <c r="U3140" s="9"/>
      <c r="V3140" s="9"/>
      <c r="W3140" s="9"/>
      <c r="X3140" s="9"/>
      <c r="Y3140" s="9"/>
      <c r="Z3140" s="9"/>
      <c r="AA3140" s="9"/>
      <c r="AB3140" s="9"/>
      <c r="AC3140" s="9"/>
      <c r="AD3140" s="9"/>
      <c r="AE3140" s="9"/>
      <c r="AF3140" s="9"/>
      <c r="AG3140" s="9"/>
      <c r="AH3140" s="9"/>
      <c r="AI3140" s="9"/>
      <c r="AJ3140" s="9"/>
      <c r="AK3140" s="9"/>
      <c r="AL3140" s="9"/>
      <c r="AM3140" s="9"/>
      <c r="AN3140" s="9"/>
      <c r="AO3140" s="9"/>
      <c r="AP3140" s="9"/>
      <c r="AQ3140" s="9"/>
      <c r="AR3140" s="9"/>
      <c r="AS3140" s="9"/>
      <c r="AT3140" s="9"/>
      <c r="AU3140" s="9"/>
    </row>
    <row r="3141" spans="1:47" ht="15.75" customHeight="1">
      <c r="A3141" s="9"/>
      <c r="B3141" s="9"/>
      <c r="C3141" s="9"/>
      <c r="D3141" s="9"/>
      <c r="E3141" s="9"/>
      <c r="F3141" s="67"/>
      <c r="G3141" s="9"/>
      <c r="H3141" s="9"/>
      <c r="I3141" s="9"/>
      <c r="J3141" s="9"/>
      <c r="K3141" s="9"/>
      <c r="L3141" s="9"/>
      <c r="M3141" s="9"/>
      <c r="N3141" s="9"/>
      <c r="O3141" s="9"/>
      <c r="P3141" s="9"/>
      <c r="Q3141" s="9"/>
      <c r="R3141" s="9"/>
      <c r="S3141" s="9"/>
      <c r="T3141" s="9"/>
      <c r="U3141" s="9"/>
      <c r="V3141" s="9"/>
      <c r="W3141" s="9"/>
      <c r="X3141" s="9"/>
      <c r="Y3141" s="9"/>
      <c r="Z3141" s="9"/>
      <c r="AA3141" s="9"/>
      <c r="AB3141" s="9"/>
      <c r="AC3141" s="9"/>
      <c r="AD3141" s="9"/>
      <c r="AE3141" s="9"/>
      <c r="AF3141" s="9"/>
      <c r="AG3141" s="9"/>
      <c r="AH3141" s="9"/>
      <c r="AI3141" s="9"/>
      <c r="AJ3141" s="9"/>
      <c r="AK3141" s="9"/>
      <c r="AL3141" s="9"/>
      <c r="AM3141" s="9"/>
      <c r="AN3141" s="9"/>
      <c r="AO3141" s="9"/>
      <c r="AP3141" s="9"/>
      <c r="AQ3141" s="9"/>
      <c r="AR3141" s="9"/>
      <c r="AS3141" s="9"/>
      <c r="AT3141" s="9"/>
      <c r="AU3141" s="9"/>
    </row>
    <row r="3142" spans="1:47" ht="15.75" customHeight="1">
      <c r="A3142" s="9"/>
      <c r="B3142" s="9"/>
      <c r="C3142" s="9"/>
      <c r="D3142" s="9"/>
      <c r="E3142" s="9"/>
      <c r="F3142" s="67"/>
      <c r="G3142" s="9"/>
      <c r="H3142" s="9"/>
      <c r="I3142" s="9"/>
      <c r="J3142" s="9"/>
      <c r="K3142" s="9"/>
      <c r="L3142" s="9"/>
      <c r="M3142" s="9"/>
      <c r="N3142" s="9"/>
      <c r="O3142" s="9"/>
      <c r="P3142" s="9"/>
      <c r="Q3142" s="9"/>
      <c r="R3142" s="9"/>
      <c r="S3142" s="9"/>
      <c r="T3142" s="9"/>
      <c r="U3142" s="9"/>
      <c r="V3142" s="9"/>
      <c r="W3142" s="9"/>
      <c r="X3142" s="9"/>
      <c r="Y3142" s="9"/>
      <c r="Z3142" s="9"/>
      <c r="AA3142" s="9"/>
      <c r="AB3142" s="9"/>
      <c r="AC3142" s="9"/>
      <c r="AD3142" s="9"/>
      <c r="AE3142" s="9"/>
      <c r="AF3142" s="9"/>
      <c r="AG3142" s="9"/>
      <c r="AH3142" s="9"/>
      <c r="AI3142" s="9"/>
      <c r="AJ3142" s="9"/>
      <c r="AK3142" s="9"/>
      <c r="AL3142" s="9"/>
      <c r="AM3142" s="9"/>
      <c r="AN3142" s="9"/>
      <c r="AO3142" s="9"/>
      <c r="AP3142" s="9"/>
      <c r="AQ3142" s="9"/>
      <c r="AR3142" s="9"/>
      <c r="AS3142" s="9"/>
      <c r="AT3142" s="9"/>
      <c r="AU3142" s="9"/>
    </row>
    <row r="3143" spans="1:47" ht="15.75" customHeight="1">
      <c r="A3143" s="9"/>
      <c r="B3143" s="9"/>
      <c r="C3143" s="9"/>
      <c r="D3143" s="9"/>
      <c r="E3143" s="9"/>
      <c r="F3143" s="67"/>
      <c r="G3143" s="9"/>
      <c r="H3143" s="9"/>
      <c r="I3143" s="9"/>
      <c r="J3143" s="9"/>
      <c r="K3143" s="9"/>
      <c r="L3143" s="9"/>
      <c r="M3143" s="9"/>
      <c r="N3143" s="9"/>
      <c r="O3143" s="9"/>
      <c r="P3143" s="9"/>
      <c r="Q3143" s="9"/>
      <c r="R3143" s="9"/>
      <c r="S3143" s="9"/>
      <c r="T3143" s="9"/>
      <c r="U3143" s="9"/>
      <c r="V3143" s="9"/>
      <c r="W3143" s="9"/>
      <c r="X3143" s="9"/>
      <c r="Y3143" s="9"/>
      <c r="Z3143" s="9"/>
      <c r="AA3143" s="9"/>
      <c r="AB3143" s="9"/>
      <c r="AC3143" s="9"/>
      <c r="AD3143" s="9"/>
      <c r="AE3143" s="9"/>
      <c r="AF3143" s="9"/>
      <c r="AG3143" s="9"/>
      <c r="AH3143" s="9"/>
      <c r="AI3143" s="9"/>
      <c r="AJ3143" s="9"/>
      <c r="AK3143" s="9"/>
      <c r="AL3143" s="9"/>
      <c r="AM3143" s="9"/>
      <c r="AN3143" s="9"/>
      <c r="AO3143" s="9"/>
      <c r="AP3143" s="9"/>
      <c r="AQ3143" s="9"/>
      <c r="AR3143" s="9"/>
      <c r="AS3143" s="9"/>
      <c r="AT3143" s="9"/>
      <c r="AU3143" s="9"/>
    </row>
    <row r="3144" spans="1:47" ht="15.75" customHeight="1">
      <c r="A3144" s="9"/>
      <c r="B3144" s="9"/>
      <c r="C3144" s="9"/>
      <c r="D3144" s="9"/>
      <c r="E3144" s="9"/>
      <c r="F3144" s="67"/>
      <c r="G3144" s="9"/>
      <c r="H3144" s="9"/>
      <c r="I3144" s="9"/>
      <c r="J3144" s="9"/>
      <c r="K3144" s="9"/>
      <c r="L3144" s="9"/>
      <c r="M3144" s="9"/>
      <c r="N3144" s="9"/>
      <c r="O3144" s="9"/>
      <c r="P3144" s="9"/>
      <c r="Q3144" s="9"/>
      <c r="R3144" s="9"/>
      <c r="S3144" s="9"/>
      <c r="T3144" s="9"/>
      <c r="U3144" s="9"/>
      <c r="V3144" s="9"/>
      <c r="W3144" s="9"/>
      <c r="X3144" s="9"/>
      <c r="Y3144" s="9"/>
      <c r="Z3144" s="9"/>
      <c r="AA3144" s="9"/>
      <c r="AB3144" s="9"/>
      <c r="AC3144" s="9"/>
      <c r="AD3144" s="9"/>
      <c r="AE3144" s="9"/>
      <c r="AF3144" s="9"/>
      <c r="AG3144" s="9"/>
      <c r="AH3144" s="9"/>
      <c r="AI3144" s="9"/>
      <c r="AJ3144" s="9"/>
      <c r="AK3144" s="9"/>
      <c r="AL3144" s="9"/>
      <c r="AM3144" s="9"/>
      <c r="AN3144" s="9"/>
      <c r="AO3144" s="9"/>
      <c r="AP3144" s="9"/>
      <c r="AQ3144" s="9"/>
      <c r="AR3144" s="9"/>
      <c r="AS3144" s="9"/>
      <c r="AT3144" s="9"/>
      <c r="AU3144" s="9"/>
    </row>
    <row r="3145" spans="1:47" ht="15.75" customHeight="1">
      <c r="A3145" s="9"/>
      <c r="B3145" s="9"/>
      <c r="C3145" s="9"/>
      <c r="D3145" s="9"/>
      <c r="E3145" s="9"/>
      <c r="F3145" s="67"/>
      <c r="G3145" s="9"/>
      <c r="H3145" s="9"/>
      <c r="I3145" s="9"/>
      <c r="J3145" s="9"/>
      <c r="K3145" s="9"/>
      <c r="L3145" s="9"/>
      <c r="M3145" s="9"/>
      <c r="N3145" s="9"/>
      <c r="O3145" s="9"/>
      <c r="P3145" s="9"/>
      <c r="Q3145" s="9"/>
      <c r="R3145" s="9"/>
      <c r="S3145" s="9"/>
      <c r="T3145" s="9"/>
      <c r="U3145" s="9"/>
      <c r="V3145" s="9"/>
      <c r="W3145" s="9"/>
      <c r="X3145" s="9"/>
      <c r="Y3145" s="9"/>
      <c r="Z3145" s="9"/>
      <c r="AA3145" s="9"/>
      <c r="AB3145" s="9"/>
      <c r="AC3145" s="9"/>
      <c r="AD3145" s="9"/>
      <c r="AE3145" s="9"/>
      <c r="AF3145" s="9"/>
      <c r="AG3145" s="9"/>
      <c r="AH3145" s="9"/>
      <c r="AI3145" s="9"/>
      <c r="AJ3145" s="9"/>
      <c r="AK3145" s="9"/>
      <c r="AL3145" s="9"/>
      <c r="AM3145" s="9"/>
      <c r="AN3145" s="9"/>
      <c r="AO3145" s="9"/>
      <c r="AP3145" s="9"/>
      <c r="AQ3145" s="9"/>
      <c r="AR3145" s="9"/>
      <c r="AS3145" s="9"/>
      <c r="AT3145" s="9"/>
      <c r="AU3145" s="9"/>
    </row>
    <row r="3146" spans="1:47" ht="15.75" customHeight="1">
      <c r="A3146" s="9"/>
      <c r="B3146" s="9"/>
      <c r="C3146" s="9"/>
      <c r="D3146" s="9"/>
      <c r="E3146" s="9"/>
      <c r="F3146" s="67"/>
      <c r="G3146" s="9"/>
      <c r="H3146" s="9"/>
      <c r="I3146" s="9"/>
      <c r="J3146" s="9"/>
      <c r="K3146" s="9"/>
      <c r="L3146" s="9"/>
      <c r="M3146" s="9"/>
      <c r="N3146" s="9"/>
      <c r="O3146" s="9"/>
      <c r="P3146" s="9"/>
      <c r="Q3146" s="9"/>
      <c r="R3146" s="9"/>
      <c r="S3146" s="9"/>
      <c r="T3146" s="9"/>
      <c r="U3146" s="9"/>
      <c r="V3146" s="9"/>
      <c r="W3146" s="9"/>
      <c r="X3146" s="9"/>
      <c r="Y3146" s="9"/>
      <c r="Z3146" s="9"/>
      <c r="AA3146" s="9"/>
      <c r="AB3146" s="9"/>
      <c r="AC3146" s="9"/>
      <c r="AD3146" s="9"/>
      <c r="AE3146" s="9"/>
      <c r="AF3146" s="9"/>
      <c r="AG3146" s="9"/>
      <c r="AH3146" s="9"/>
      <c r="AI3146" s="9"/>
      <c r="AJ3146" s="9"/>
      <c r="AK3146" s="9"/>
      <c r="AL3146" s="9"/>
      <c r="AM3146" s="9"/>
      <c r="AN3146" s="9"/>
      <c r="AO3146" s="9"/>
      <c r="AP3146" s="9"/>
      <c r="AQ3146" s="9"/>
      <c r="AR3146" s="9"/>
      <c r="AS3146" s="9"/>
      <c r="AT3146" s="9"/>
      <c r="AU3146" s="9"/>
    </row>
    <row r="3147" spans="1:47" ht="15.75" customHeight="1">
      <c r="A3147" s="9"/>
      <c r="B3147" s="9"/>
      <c r="C3147" s="9"/>
      <c r="D3147" s="9"/>
      <c r="E3147" s="9"/>
      <c r="F3147" s="67"/>
      <c r="G3147" s="9"/>
      <c r="H3147" s="9"/>
      <c r="I3147" s="9"/>
      <c r="J3147" s="9"/>
      <c r="K3147" s="9"/>
      <c r="L3147" s="9"/>
      <c r="M3147" s="9"/>
      <c r="N3147" s="9"/>
      <c r="O3147" s="9"/>
      <c r="P3147" s="9"/>
      <c r="Q3147" s="9"/>
      <c r="R3147" s="9"/>
      <c r="S3147" s="9"/>
      <c r="T3147" s="9"/>
      <c r="U3147" s="9"/>
      <c r="V3147" s="9"/>
      <c r="W3147" s="9"/>
      <c r="X3147" s="9"/>
      <c r="Y3147" s="9"/>
      <c r="Z3147" s="9"/>
      <c r="AA3147" s="9"/>
      <c r="AB3147" s="9"/>
      <c r="AC3147" s="9"/>
      <c r="AD3147" s="9"/>
      <c r="AE3147" s="9"/>
      <c r="AF3147" s="9"/>
      <c r="AG3147" s="9"/>
      <c r="AH3147" s="9"/>
      <c r="AI3147" s="9"/>
      <c r="AJ3147" s="9"/>
      <c r="AK3147" s="9"/>
      <c r="AL3147" s="9"/>
      <c r="AM3147" s="9"/>
      <c r="AN3147" s="9"/>
      <c r="AO3147" s="9"/>
      <c r="AP3147" s="9"/>
      <c r="AQ3147" s="9"/>
      <c r="AR3147" s="9"/>
      <c r="AS3147" s="9"/>
      <c r="AT3147" s="9"/>
      <c r="AU3147" s="9"/>
    </row>
    <row r="3148" spans="1:47" ht="15.75" customHeight="1">
      <c r="A3148" s="9"/>
      <c r="B3148" s="9"/>
      <c r="C3148" s="9"/>
      <c r="D3148" s="9"/>
      <c r="E3148" s="9"/>
      <c r="F3148" s="67"/>
      <c r="G3148" s="9"/>
      <c r="H3148" s="9"/>
      <c r="I3148" s="9"/>
      <c r="J3148" s="9"/>
      <c r="K3148" s="9"/>
      <c r="L3148" s="9"/>
      <c r="M3148" s="9"/>
      <c r="N3148" s="9"/>
      <c r="O3148" s="9"/>
      <c r="P3148" s="9"/>
      <c r="Q3148" s="9"/>
      <c r="R3148" s="9"/>
      <c r="S3148" s="9"/>
      <c r="T3148" s="9"/>
      <c r="U3148" s="9"/>
      <c r="V3148" s="9"/>
      <c r="W3148" s="9"/>
      <c r="X3148" s="9"/>
      <c r="Y3148" s="9"/>
      <c r="Z3148" s="9"/>
      <c r="AA3148" s="9"/>
      <c r="AB3148" s="9"/>
      <c r="AC3148" s="9"/>
      <c r="AD3148" s="9"/>
      <c r="AE3148" s="9"/>
      <c r="AF3148" s="9"/>
      <c r="AG3148" s="9"/>
      <c r="AH3148" s="9"/>
      <c r="AI3148" s="9"/>
      <c r="AJ3148" s="9"/>
      <c r="AK3148" s="9"/>
      <c r="AL3148" s="9"/>
      <c r="AM3148" s="9"/>
      <c r="AN3148" s="9"/>
      <c r="AO3148" s="9"/>
      <c r="AP3148" s="9"/>
      <c r="AQ3148" s="9"/>
      <c r="AR3148" s="9"/>
      <c r="AS3148" s="9"/>
      <c r="AT3148" s="9"/>
      <c r="AU3148" s="9"/>
    </row>
    <row r="3149" spans="1:47" ht="15.75" customHeight="1">
      <c r="A3149" s="9"/>
      <c r="B3149" s="9"/>
      <c r="C3149" s="9"/>
      <c r="D3149" s="9"/>
      <c r="E3149" s="9"/>
      <c r="F3149" s="67"/>
      <c r="G3149" s="9"/>
      <c r="H3149" s="9"/>
      <c r="I3149" s="9"/>
      <c r="J3149" s="9"/>
      <c r="K3149" s="9"/>
      <c r="L3149" s="9"/>
      <c r="M3149" s="9"/>
      <c r="N3149" s="9"/>
      <c r="O3149" s="9"/>
      <c r="P3149" s="9"/>
      <c r="Q3149" s="9"/>
      <c r="R3149" s="9"/>
      <c r="S3149" s="9"/>
      <c r="T3149" s="9"/>
      <c r="U3149" s="9"/>
      <c r="V3149" s="9"/>
      <c r="W3149" s="9"/>
      <c r="X3149" s="9"/>
      <c r="Y3149" s="9"/>
      <c r="Z3149" s="9"/>
      <c r="AA3149" s="9"/>
      <c r="AB3149" s="9"/>
      <c r="AC3149" s="9"/>
      <c r="AD3149" s="9"/>
      <c r="AE3149" s="9"/>
      <c r="AF3149" s="9"/>
      <c r="AG3149" s="9"/>
      <c r="AH3149" s="9"/>
      <c r="AI3149" s="9"/>
      <c r="AJ3149" s="9"/>
      <c r="AK3149" s="9"/>
      <c r="AL3149" s="9"/>
      <c r="AM3149" s="9"/>
      <c r="AN3149" s="9"/>
      <c r="AO3149" s="9"/>
      <c r="AP3149" s="9"/>
      <c r="AQ3149" s="9"/>
      <c r="AR3149" s="9"/>
      <c r="AS3149" s="9"/>
      <c r="AT3149" s="9"/>
      <c r="AU3149" s="9"/>
    </row>
    <row r="3150" spans="1:47" ht="15.75" customHeight="1">
      <c r="A3150" s="9"/>
      <c r="B3150" s="9"/>
      <c r="C3150" s="9"/>
      <c r="D3150" s="9"/>
      <c r="E3150" s="9"/>
      <c r="F3150" s="67"/>
      <c r="G3150" s="9"/>
      <c r="H3150" s="9"/>
      <c r="I3150" s="9"/>
      <c r="J3150" s="9"/>
      <c r="K3150" s="9"/>
      <c r="L3150" s="9"/>
      <c r="M3150" s="9"/>
      <c r="N3150" s="9"/>
      <c r="O3150" s="9"/>
      <c r="P3150" s="9"/>
      <c r="Q3150" s="9"/>
      <c r="R3150" s="9"/>
      <c r="S3150" s="9"/>
      <c r="T3150" s="9"/>
      <c r="U3150" s="9"/>
      <c r="V3150" s="9"/>
      <c r="W3150" s="9"/>
      <c r="X3150" s="9"/>
      <c r="Y3150" s="9"/>
      <c r="Z3150" s="9"/>
      <c r="AA3150" s="9"/>
      <c r="AB3150" s="9"/>
      <c r="AC3150" s="9"/>
      <c r="AD3150" s="9"/>
      <c r="AE3150" s="9"/>
      <c r="AF3150" s="9"/>
      <c r="AG3150" s="9"/>
      <c r="AH3150" s="9"/>
      <c r="AI3150" s="9"/>
      <c r="AJ3150" s="9"/>
      <c r="AK3150" s="9"/>
      <c r="AL3150" s="9"/>
      <c r="AM3150" s="9"/>
      <c r="AN3150" s="9"/>
      <c r="AO3150" s="9"/>
      <c r="AP3150" s="9"/>
      <c r="AQ3150" s="9"/>
      <c r="AR3150" s="9"/>
      <c r="AS3150" s="9"/>
      <c r="AT3150" s="9"/>
      <c r="AU3150" s="9"/>
    </row>
    <row r="3151" spans="1:47" ht="15.75" customHeight="1">
      <c r="A3151" s="9"/>
      <c r="B3151" s="9"/>
      <c r="C3151" s="9"/>
      <c r="D3151" s="9"/>
      <c r="E3151" s="9"/>
      <c r="F3151" s="67"/>
      <c r="G3151" s="9"/>
      <c r="H3151" s="9"/>
      <c r="I3151" s="9"/>
      <c r="J3151" s="9"/>
      <c r="K3151" s="9"/>
      <c r="L3151" s="9"/>
      <c r="M3151" s="9"/>
      <c r="N3151" s="9"/>
      <c r="O3151" s="9"/>
      <c r="P3151" s="9"/>
      <c r="Q3151" s="9"/>
      <c r="R3151" s="9"/>
      <c r="S3151" s="9"/>
      <c r="T3151" s="9"/>
      <c r="U3151" s="9"/>
      <c r="V3151" s="9"/>
      <c r="W3151" s="9"/>
      <c r="X3151" s="9"/>
      <c r="Y3151" s="9"/>
      <c r="Z3151" s="9"/>
      <c r="AA3151" s="9"/>
      <c r="AB3151" s="9"/>
      <c r="AC3151" s="9"/>
      <c r="AD3151" s="9"/>
      <c r="AE3151" s="9"/>
      <c r="AF3151" s="9"/>
      <c r="AG3151" s="9"/>
      <c r="AH3151" s="9"/>
      <c r="AI3151" s="9"/>
      <c r="AJ3151" s="9"/>
      <c r="AK3151" s="9"/>
      <c r="AL3151" s="9"/>
      <c r="AM3151" s="9"/>
      <c r="AN3151" s="9"/>
      <c r="AO3151" s="9"/>
      <c r="AP3151" s="9"/>
      <c r="AQ3151" s="9"/>
      <c r="AR3151" s="9"/>
      <c r="AS3151" s="9"/>
      <c r="AT3151" s="9"/>
      <c r="AU3151" s="9"/>
    </row>
    <row r="3152" spans="1:47" ht="15.75" customHeight="1">
      <c r="A3152" s="9"/>
      <c r="B3152" s="9"/>
      <c r="C3152" s="9"/>
      <c r="D3152" s="9"/>
      <c r="E3152" s="9"/>
      <c r="F3152" s="67"/>
      <c r="G3152" s="9"/>
      <c r="H3152" s="9"/>
      <c r="I3152" s="9"/>
      <c r="J3152" s="9"/>
      <c r="K3152" s="9"/>
      <c r="L3152" s="9"/>
      <c r="M3152" s="9"/>
      <c r="N3152" s="9"/>
      <c r="O3152" s="9"/>
      <c r="P3152" s="9"/>
      <c r="Q3152" s="9"/>
      <c r="R3152" s="9"/>
      <c r="S3152" s="9"/>
      <c r="T3152" s="9"/>
      <c r="U3152" s="9"/>
      <c r="V3152" s="9"/>
      <c r="W3152" s="9"/>
      <c r="X3152" s="9"/>
      <c r="Y3152" s="9"/>
      <c r="Z3152" s="9"/>
      <c r="AA3152" s="9"/>
      <c r="AB3152" s="9"/>
      <c r="AC3152" s="9"/>
      <c r="AD3152" s="9"/>
      <c r="AE3152" s="9"/>
      <c r="AF3152" s="9"/>
      <c r="AG3152" s="9"/>
      <c r="AH3152" s="9"/>
      <c r="AI3152" s="9"/>
      <c r="AJ3152" s="9"/>
      <c r="AK3152" s="9"/>
      <c r="AL3152" s="9"/>
      <c r="AM3152" s="9"/>
      <c r="AN3152" s="9"/>
      <c r="AO3152" s="9"/>
      <c r="AP3152" s="9"/>
      <c r="AQ3152" s="9"/>
      <c r="AR3152" s="9"/>
      <c r="AS3152" s="9"/>
      <c r="AT3152" s="9"/>
      <c r="AU3152" s="9"/>
    </row>
    <row r="3153" spans="1:47" ht="15.75" customHeight="1">
      <c r="A3153" s="9"/>
      <c r="B3153" s="9"/>
      <c r="C3153" s="9"/>
      <c r="D3153" s="9"/>
      <c r="E3153" s="9"/>
      <c r="F3153" s="67"/>
      <c r="G3153" s="9"/>
      <c r="H3153" s="9"/>
      <c r="I3153" s="9"/>
      <c r="J3153" s="9"/>
      <c r="K3153" s="9"/>
      <c r="L3153" s="9"/>
      <c r="M3153" s="9"/>
      <c r="N3153" s="9"/>
      <c r="O3153" s="9"/>
      <c r="P3153" s="9"/>
      <c r="Q3153" s="9"/>
      <c r="R3153" s="9"/>
      <c r="S3153" s="9"/>
      <c r="T3153" s="9"/>
      <c r="U3153" s="9"/>
      <c r="V3153" s="9"/>
      <c r="W3153" s="9"/>
      <c r="X3153" s="9"/>
      <c r="Y3153" s="9"/>
      <c r="Z3153" s="9"/>
      <c r="AA3153" s="9"/>
      <c r="AB3153" s="9"/>
      <c r="AC3153" s="9"/>
      <c r="AD3153" s="9"/>
      <c r="AE3153" s="9"/>
      <c r="AF3153" s="9"/>
      <c r="AG3153" s="9"/>
      <c r="AH3153" s="9"/>
      <c r="AI3153" s="9"/>
      <c r="AJ3153" s="9"/>
      <c r="AK3153" s="9"/>
      <c r="AL3153" s="9"/>
      <c r="AM3153" s="9"/>
      <c r="AN3153" s="9"/>
      <c r="AO3153" s="9"/>
      <c r="AP3153" s="9"/>
      <c r="AQ3153" s="9"/>
      <c r="AR3153" s="9"/>
      <c r="AS3153" s="9"/>
      <c r="AT3153" s="9"/>
      <c r="AU3153" s="9"/>
    </row>
    <row r="3154" spans="1:47" ht="15.75" customHeight="1">
      <c r="A3154" s="9"/>
      <c r="B3154" s="9"/>
      <c r="C3154" s="9"/>
      <c r="D3154" s="9"/>
      <c r="E3154" s="9"/>
      <c r="F3154" s="67"/>
      <c r="G3154" s="9"/>
      <c r="H3154" s="9"/>
      <c r="I3154" s="9"/>
      <c r="J3154" s="9"/>
      <c r="K3154" s="9"/>
      <c r="L3154" s="9"/>
      <c r="M3154" s="9"/>
      <c r="N3154" s="9"/>
      <c r="O3154" s="9"/>
      <c r="P3154" s="9"/>
      <c r="Q3154" s="9"/>
      <c r="R3154" s="9"/>
      <c r="S3154" s="9"/>
      <c r="T3154" s="9"/>
      <c r="U3154" s="9"/>
      <c r="V3154" s="9"/>
      <c r="W3154" s="9"/>
      <c r="X3154" s="9"/>
      <c r="Y3154" s="9"/>
      <c r="Z3154" s="9"/>
      <c r="AA3154" s="9"/>
      <c r="AB3154" s="9"/>
      <c r="AC3154" s="9"/>
      <c r="AD3154" s="9"/>
      <c r="AE3154" s="9"/>
      <c r="AF3154" s="9"/>
      <c r="AG3154" s="9"/>
      <c r="AH3154" s="9"/>
      <c r="AI3154" s="9"/>
      <c r="AJ3154" s="9"/>
      <c r="AK3154" s="9"/>
      <c r="AL3154" s="9"/>
      <c r="AM3154" s="9"/>
      <c r="AN3154" s="9"/>
      <c r="AO3154" s="9"/>
      <c r="AP3154" s="9"/>
      <c r="AQ3154" s="9"/>
      <c r="AR3154" s="9"/>
      <c r="AS3154" s="9"/>
      <c r="AT3154" s="9"/>
      <c r="AU3154" s="9"/>
    </row>
    <row r="3155" spans="1:47" ht="15.75" customHeight="1">
      <c r="A3155" s="9"/>
      <c r="B3155" s="9"/>
      <c r="C3155" s="9"/>
      <c r="D3155" s="9"/>
      <c r="E3155" s="9"/>
      <c r="F3155" s="67"/>
      <c r="G3155" s="9"/>
      <c r="H3155" s="9"/>
      <c r="I3155" s="9"/>
      <c r="J3155" s="9"/>
      <c r="K3155" s="9"/>
      <c r="L3155" s="9"/>
      <c r="M3155" s="9"/>
      <c r="N3155" s="9"/>
      <c r="O3155" s="9"/>
      <c r="P3155" s="9"/>
      <c r="Q3155" s="9"/>
      <c r="R3155" s="9"/>
      <c r="S3155" s="9"/>
      <c r="T3155" s="9"/>
      <c r="U3155" s="9"/>
      <c r="V3155" s="9"/>
      <c r="W3155" s="9"/>
      <c r="X3155" s="9"/>
      <c r="Y3155" s="9"/>
      <c r="Z3155" s="9"/>
      <c r="AA3155" s="9"/>
      <c r="AB3155" s="9"/>
      <c r="AC3155" s="9"/>
      <c r="AD3155" s="9"/>
      <c r="AE3155" s="9"/>
      <c r="AF3155" s="9"/>
      <c r="AG3155" s="9"/>
      <c r="AH3155" s="9"/>
      <c r="AI3155" s="9"/>
      <c r="AJ3155" s="9"/>
      <c r="AK3155" s="9"/>
      <c r="AL3155" s="9"/>
      <c r="AM3155" s="9"/>
      <c r="AN3155" s="9"/>
      <c r="AO3155" s="9"/>
      <c r="AP3155" s="9"/>
      <c r="AQ3155" s="9"/>
      <c r="AR3155" s="9"/>
      <c r="AS3155" s="9"/>
      <c r="AT3155" s="9"/>
      <c r="AU3155" s="9"/>
    </row>
    <row r="3156" spans="1:47" ht="15.75" customHeight="1">
      <c r="A3156" s="9"/>
      <c r="B3156" s="9"/>
      <c r="C3156" s="9"/>
      <c r="D3156" s="9"/>
      <c r="E3156" s="9"/>
      <c r="F3156" s="67"/>
      <c r="G3156" s="9"/>
      <c r="H3156" s="9"/>
      <c r="I3156" s="9"/>
      <c r="J3156" s="9"/>
      <c r="K3156" s="9"/>
      <c r="L3156" s="9"/>
      <c r="M3156" s="9"/>
      <c r="N3156" s="9"/>
      <c r="O3156" s="9"/>
      <c r="P3156" s="9"/>
      <c r="Q3156" s="9"/>
      <c r="R3156" s="9"/>
      <c r="S3156" s="9"/>
      <c r="T3156" s="9"/>
      <c r="U3156" s="9"/>
      <c r="V3156" s="9"/>
      <c r="W3156" s="9"/>
      <c r="X3156" s="9"/>
      <c r="Y3156" s="9"/>
      <c r="Z3156" s="9"/>
      <c r="AA3156" s="9"/>
      <c r="AB3156" s="9"/>
      <c r="AC3156" s="9"/>
      <c r="AD3156" s="9"/>
      <c r="AE3156" s="9"/>
      <c r="AF3156" s="9"/>
      <c r="AG3156" s="9"/>
      <c r="AH3156" s="9"/>
      <c r="AI3156" s="9"/>
      <c r="AJ3156" s="9"/>
      <c r="AK3156" s="9"/>
      <c r="AL3156" s="9"/>
      <c r="AM3156" s="9"/>
      <c r="AN3156" s="9"/>
      <c r="AO3156" s="9"/>
      <c r="AP3156" s="9"/>
      <c r="AQ3156" s="9"/>
      <c r="AR3156" s="9"/>
      <c r="AS3156" s="9"/>
      <c r="AT3156" s="9"/>
      <c r="AU3156" s="9"/>
    </row>
    <row r="3157" spans="1:47" ht="15.75" customHeight="1">
      <c r="A3157" s="9"/>
      <c r="B3157" s="9"/>
      <c r="C3157" s="9"/>
      <c r="D3157" s="9"/>
      <c r="E3157" s="9"/>
      <c r="F3157" s="67"/>
      <c r="G3157" s="9"/>
      <c r="H3157" s="9"/>
      <c r="I3157" s="9"/>
      <c r="J3157" s="9"/>
      <c r="K3157" s="9"/>
      <c r="L3157" s="9"/>
      <c r="M3157" s="9"/>
      <c r="N3157" s="9"/>
      <c r="O3157" s="9"/>
      <c r="P3157" s="9"/>
      <c r="Q3157" s="9"/>
      <c r="R3157" s="9"/>
      <c r="S3157" s="9"/>
      <c r="T3157" s="9"/>
      <c r="U3157" s="9"/>
      <c r="V3157" s="9"/>
      <c r="W3157" s="9"/>
      <c r="X3157" s="9"/>
      <c r="Y3157" s="9"/>
      <c r="Z3157" s="9"/>
      <c r="AA3157" s="9"/>
      <c r="AB3157" s="9"/>
      <c r="AC3157" s="9"/>
      <c r="AD3157" s="9"/>
      <c r="AE3157" s="9"/>
      <c r="AF3157" s="9"/>
      <c r="AG3157" s="9"/>
      <c r="AH3157" s="9"/>
      <c r="AI3157" s="9"/>
      <c r="AJ3157" s="9"/>
      <c r="AK3157" s="9"/>
      <c r="AL3157" s="9"/>
      <c r="AM3157" s="9"/>
      <c r="AN3157" s="9"/>
      <c r="AO3157" s="9"/>
      <c r="AP3157" s="9"/>
      <c r="AQ3157" s="9"/>
      <c r="AR3157" s="9"/>
      <c r="AS3157" s="9"/>
      <c r="AT3157" s="9"/>
      <c r="AU3157" s="9"/>
    </row>
    <row r="3158" spans="1:47" ht="15.75" customHeight="1">
      <c r="A3158" s="9"/>
      <c r="B3158" s="9"/>
      <c r="C3158" s="9"/>
      <c r="D3158" s="9"/>
      <c r="E3158" s="9"/>
      <c r="F3158" s="67"/>
      <c r="G3158" s="9"/>
      <c r="H3158" s="9"/>
      <c r="I3158" s="9"/>
      <c r="J3158" s="9"/>
      <c r="K3158" s="9"/>
      <c r="L3158" s="9"/>
      <c r="M3158" s="9"/>
      <c r="N3158" s="9"/>
      <c r="O3158" s="9"/>
      <c r="P3158" s="9"/>
      <c r="Q3158" s="9"/>
      <c r="R3158" s="9"/>
      <c r="S3158" s="9"/>
      <c r="T3158" s="9"/>
      <c r="U3158" s="9"/>
      <c r="V3158" s="9"/>
      <c r="W3158" s="9"/>
      <c r="X3158" s="9"/>
      <c r="Y3158" s="9"/>
      <c r="Z3158" s="9"/>
      <c r="AA3158" s="9"/>
      <c r="AB3158" s="9"/>
      <c r="AC3158" s="9"/>
      <c r="AD3158" s="9"/>
      <c r="AE3158" s="9"/>
      <c r="AF3158" s="9"/>
      <c r="AG3158" s="9"/>
      <c r="AH3158" s="9"/>
      <c r="AI3158" s="9"/>
      <c r="AJ3158" s="9"/>
      <c r="AK3158" s="9"/>
      <c r="AL3158" s="9"/>
      <c r="AM3158" s="9"/>
      <c r="AN3158" s="9"/>
      <c r="AO3158" s="9"/>
      <c r="AP3158" s="9"/>
      <c r="AQ3158" s="9"/>
      <c r="AR3158" s="9"/>
      <c r="AS3158" s="9"/>
      <c r="AT3158" s="9"/>
      <c r="AU3158" s="9"/>
    </row>
    <row r="3159" spans="1:47" ht="15.75" customHeight="1">
      <c r="A3159" s="9"/>
      <c r="B3159" s="9"/>
      <c r="C3159" s="9"/>
      <c r="D3159" s="9"/>
      <c r="E3159" s="9"/>
      <c r="F3159" s="67"/>
      <c r="G3159" s="9"/>
      <c r="H3159" s="9"/>
      <c r="I3159" s="9"/>
      <c r="J3159" s="9"/>
      <c r="K3159" s="9"/>
      <c r="L3159" s="9"/>
      <c r="M3159" s="9"/>
      <c r="N3159" s="9"/>
      <c r="O3159" s="9"/>
      <c r="P3159" s="9"/>
      <c r="Q3159" s="9"/>
      <c r="R3159" s="9"/>
      <c r="S3159" s="9"/>
      <c r="T3159" s="9"/>
      <c r="U3159" s="9"/>
      <c r="V3159" s="9"/>
      <c r="W3159" s="9"/>
      <c r="X3159" s="9"/>
      <c r="Y3159" s="9"/>
      <c r="Z3159" s="9"/>
      <c r="AA3159" s="9"/>
      <c r="AB3159" s="9"/>
      <c r="AC3159" s="9"/>
      <c r="AD3159" s="9"/>
      <c r="AE3159" s="9"/>
      <c r="AF3159" s="9"/>
      <c r="AG3159" s="9"/>
      <c r="AH3159" s="9"/>
      <c r="AI3159" s="9"/>
      <c r="AJ3159" s="9"/>
      <c r="AK3159" s="9"/>
      <c r="AL3159" s="9"/>
      <c r="AM3159" s="9"/>
      <c r="AN3159" s="9"/>
      <c r="AO3159" s="9"/>
      <c r="AP3159" s="9"/>
      <c r="AQ3159" s="9"/>
      <c r="AR3159" s="9"/>
      <c r="AS3159" s="9"/>
      <c r="AT3159" s="9"/>
      <c r="AU3159" s="9"/>
    </row>
    <row r="3160" spans="1:47" ht="15.75" customHeight="1">
      <c r="A3160" s="9"/>
      <c r="B3160" s="9"/>
      <c r="C3160" s="9"/>
      <c r="D3160" s="9"/>
      <c r="E3160" s="9"/>
      <c r="F3160" s="67"/>
      <c r="G3160" s="9"/>
      <c r="H3160" s="9"/>
      <c r="I3160" s="9"/>
      <c r="J3160" s="9"/>
      <c r="K3160" s="9"/>
      <c r="L3160" s="9"/>
      <c r="M3160" s="9"/>
      <c r="N3160" s="9"/>
      <c r="O3160" s="9"/>
      <c r="P3160" s="9"/>
      <c r="Q3160" s="9"/>
      <c r="R3160" s="9"/>
      <c r="S3160" s="9"/>
      <c r="T3160" s="9"/>
      <c r="U3160" s="9"/>
      <c r="V3160" s="9"/>
      <c r="W3160" s="9"/>
      <c r="X3160" s="9"/>
      <c r="Y3160" s="9"/>
      <c r="Z3160" s="9"/>
      <c r="AA3160" s="9"/>
      <c r="AB3160" s="9"/>
      <c r="AC3160" s="9"/>
      <c r="AD3160" s="9"/>
      <c r="AE3160" s="9"/>
      <c r="AF3160" s="9"/>
      <c r="AG3160" s="9"/>
      <c r="AH3160" s="9"/>
      <c r="AI3160" s="9"/>
      <c r="AJ3160" s="9"/>
      <c r="AK3160" s="9"/>
      <c r="AL3160" s="9"/>
      <c r="AM3160" s="9"/>
      <c r="AN3160" s="9"/>
      <c r="AO3160" s="9"/>
      <c r="AP3160" s="9"/>
      <c r="AQ3160" s="9"/>
      <c r="AR3160" s="9"/>
      <c r="AS3160" s="9"/>
      <c r="AT3160" s="9"/>
      <c r="AU3160" s="9"/>
    </row>
    <row r="3161" spans="1:47" ht="15.75" customHeight="1">
      <c r="A3161" s="9"/>
      <c r="B3161" s="9"/>
      <c r="C3161" s="9"/>
      <c r="D3161" s="9"/>
      <c r="E3161" s="9"/>
      <c r="F3161" s="67"/>
      <c r="G3161" s="9"/>
      <c r="H3161" s="9"/>
      <c r="I3161" s="9"/>
      <c r="J3161" s="9"/>
      <c r="K3161" s="9"/>
      <c r="L3161" s="9"/>
      <c r="M3161" s="9"/>
      <c r="N3161" s="9"/>
      <c r="O3161" s="9"/>
      <c r="P3161" s="9"/>
      <c r="Q3161" s="9"/>
      <c r="R3161" s="9"/>
      <c r="S3161" s="9"/>
      <c r="T3161" s="9"/>
      <c r="U3161" s="9"/>
      <c r="V3161" s="9"/>
      <c r="W3161" s="9"/>
      <c r="X3161" s="9"/>
      <c r="Y3161" s="9"/>
      <c r="Z3161" s="9"/>
      <c r="AA3161" s="9"/>
      <c r="AB3161" s="9"/>
      <c r="AC3161" s="9"/>
      <c r="AD3161" s="9"/>
      <c r="AE3161" s="9"/>
      <c r="AF3161" s="9"/>
      <c r="AG3161" s="9"/>
      <c r="AH3161" s="9"/>
      <c r="AI3161" s="9"/>
      <c r="AJ3161" s="9"/>
      <c r="AK3161" s="9"/>
      <c r="AL3161" s="9"/>
      <c r="AM3161" s="9"/>
      <c r="AN3161" s="9"/>
      <c r="AO3161" s="9"/>
      <c r="AP3161" s="9"/>
      <c r="AQ3161" s="9"/>
      <c r="AR3161" s="9"/>
      <c r="AS3161" s="9"/>
      <c r="AT3161" s="9"/>
      <c r="AU3161" s="9"/>
    </row>
    <row r="3162" spans="1:47" ht="15.75" customHeight="1">
      <c r="A3162" s="9"/>
      <c r="B3162" s="9"/>
      <c r="C3162" s="9"/>
      <c r="D3162" s="9"/>
      <c r="E3162" s="9"/>
      <c r="F3162" s="67"/>
      <c r="G3162" s="9"/>
      <c r="H3162" s="9"/>
      <c r="I3162" s="9"/>
      <c r="J3162" s="9"/>
      <c r="K3162" s="9"/>
      <c r="L3162" s="9"/>
      <c r="M3162" s="9"/>
      <c r="N3162" s="9"/>
      <c r="O3162" s="9"/>
      <c r="P3162" s="9"/>
      <c r="Q3162" s="9"/>
      <c r="R3162" s="9"/>
      <c r="S3162" s="9"/>
      <c r="T3162" s="9"/>
      <c r="U3162" s="9"/>
      <c r="V3162" s="9"/>
      <c r="W3162" s="9"/>
      <c r="X3162" s="9"/>
      <c r="Y3162" s="9"/>
      <c r="Z3162" s="9"/>
      <c r="AA3162" s="9"/>
      <c r="AB3162" s="9"/>
      <c r="AC3162" s="9"/>
      <c r="AD3162" s="9"/>
      <c r="AE3162" s="9"/>
      <c r="AF3162" s="9"/>
      <c r="AG3162" s="9"/>
      <c r="AH3162" s="9"/>
      <c r="AI3162" s="9"/>
      <c r="AJ3162" s="9"/>
      <c r="AK3162" s="9"/>
      <c r="AL3162" s="9"/>
      <c r="AM3162" s="9"/>
      <c r="AN3162" s="9"/>
      <c r="AO3162" s="9"/>
      <c r="AP3162" s="9"/>
      <c r="AQ3162" s="9"/>
      <c r="AR3162" s="9"/>
      <c r="AS3162" s="9"/>
      <c r="AT3162" s="9"/>
      <c r="AU3162" s="9"/>
    </row>
    <row r="3163" spans="1:47" ht="15.75" customHeight="1">
      <c r="A3163" s="9"/>
      <c r="B3163" s="9"/>
      <c r="C3163" s="9"/>
      <c r="D3163" s="9"/>
      <c r="E3163" s="9"/>
      <c r="F3163" s="67"/>
      <c r="G3163" s="9"/>
      <c r="H3163" s="9"/>
      <c r="I3163" s="9"/>
      <c r="J3163" s="9"/>
      <c r="K3163" s="9"/>
      <c r="L3163" s="9"/>
      <c r="M3163" s="9"/>
      <c r="N3163" s="9"/>
      <c r="O3163" s="9"/>
      <c r="P3163" s="9"/>
      <c r="Q3163" s="9"/>
      <c r="R3163" s="9"/>
      <c r="S3163" s="9"/>
      <c r="T3163" s="9"/>
      <c r="U3163" s="9"/>
      <c r="V3163" s="9"/>
      <c r="W3163" s="9"/>
      <c r="X3163" s="9"/>
      <c r="Y3163" s="9"/>
      <c r="Z3163" s="9"/>
      <c r="AA3163" s="9"/>
      <c r="AB3163" s="9"/>
      <c r="AC3163" s="9"/>
      <c r="AD3163" s="9"/>
      <c r="AE3163" s="9"/>
      <c r="AF3163" s="9"/>
      <c r="AG3163" s="9"/>
      <c r="AH3163" s="9"/>
      <c r="AI3163" s="9"/>
      <c r="AJ3163" s="9"/>
      <c r="AK3163" s="9"/>
      <c r="AL3163" s="9"/>
      <c r="AM3163" s="9"/>
      <c r="AN3163" s="9"/>
      <c r="AO3163" s="9"/>
      <c r="AP3163" s="9"/>
      <c r="AQ3163" s="9"/>
      <c r="AR3163" s="9"/>
      <c r="AS3163" s="9"/>
      <c r="AT3163" s="9"/>
      <c r="AU3163" s="9"/>
    </row>
    <row r="3164" spans="1:47" ht="15.75" customHeight="1">
      <c r="A3164" s="9"/>
      <c r="B3164" s="9"/>
      <c r="C3164" s="9"/>
      <c r="D3164" s="9"/>
      <c r="E3164" s="9"/>
      <c r="F3164" s="67"/>
      <c r="G3164" s="9"/>
      <c r="H3164" s="9"/>
      <c r="I3164" s="9"/>
      <c r="J3164" s="9"/>
      <c r="K3164" s="9"/>
      <c r="L3164" s="9"/>
      <c r="M3164" s="9"/>
      <c r="N3164" s="9"/>
      <c r="O3164" s="9"/>
      <c r="P3164" s="9"/>
      <c r="Q3164" s="9"/>
      <c r="R3164" s="9"/>
      <c r="S3164" s="9"/>
      <c r="T3164" s="9"/>
      <c r="U3164" s="9"/>
      <c r="V3164" s="9"/>
      <c r="W3164" s="9"/>
      <c r="X3164" s="9"/>
      <c r="Y3164" s="9"/>
      <c r="Z3164" s="9"/>
      <c r="AA3164" s="9"/>
      <c r="AB3164" s="9"/>
      <c r="AC3164" s="9"/>
      <c r="AD3164" s="9"/>
      <c r="AE3164" s="9"/>
      <c r="AF3164" s="9"/>
      <c r="AG3164" s="9"/>
      <c r="AH3164" s="9"/>
      <c r="AI3164" s="9"/>
      <c r="AJ3164" s="9"/>
      <c r="AK3164" s="9"/>
      <c r="AL3164" s="9"/>
      <c r="AM3164" s="9"/>
      <c r="AN3164" s="9"/>
      <c r="AO3164" s="9"/>
      <c r="AP3164" s="9"/>
      <c r="AQ3164" s="9"/>
      <c r="AR3164" s="9"/>
      <c r="AS3164" s="9"/>
      <c r="AT3164" s="9"/>
      <c r="AU3164" s="9"/>
    </row>
    <row r="3165" spans="1:47" ht="15.75" customHeight="1">
      <c r="A3165" s="9"/>
      <c r="B3165" s="9"/>
      <c r="C3165" s="9"/>
      <c r="D3165" s="9"/>
      <c r="E3165" s="9"/>
      <c r="F3165" s="67"/>
      <c r="G3165" s="9"/>
      <c r="H3165" s="9"/>
      <c r="I3165" s="9"/>
      <c r="J3165" s="9"/>
      <c r="K3165" s="9"/>
      <c r="L3165" s="9"/>
      <c r="M3165" s="9"/>
      <c r="N3165" s="9"/>
      <c r="O3165" s="9"/>
      <c r="P3165" s="9"/>
      <c r="Q3165" s="9"/>
      <c r="R3165" s="9"/>
      <c r="S3165" s="9"/>
      <c r="T3165" s="9"/>
      <c r="U3165" s="9"/>
      <c r="V3165" s="9"/>
      <c r="W3165" s="9"/>
      <c r="X3165" s="9"/>
      <c r="Y3165" s="9"/>
      <c r="Z3165" s="9"/>
      <c r="AA3165" s="9"/>
      <c r="AB3165" s="9"/>
      <c r="AC3165" s="9"/>
      <c r="AD3165" s="9"/>
      <c r="AE3165" s="9"/>
      <c r="AF3165" s="9"/>
      <c r="AG3165" s="9"/>
      <c r="AH3165" s="9"/>
      <c r="AI3165" s="9"/>
      <c r="AJ3165" s="9"/>
      <c r="AK3165" s="9"/>
      <c r="AL3165" s="9"/>
      <c r="AM3165" s="9"/>
      <c r="AN3165" s="9"/>
      <c r="AO3165" s="9"/>
      <c r="AP3165" s="9"/>
      <c r="AQ3165" s="9"/>
      <c r="AR3165" s="9"/>
      <c r="AS3165" s="9"/>
      <c r="AT3165" s="9"/>
      <c r="AU3165" s="9"/>
    </row>
    <row r="3166" spans="1:47" ht="15.75" customHeight="1">
      <c r="A3166" s="9"/>
      <c r="B3166" s="9"/>
      <c r="C3166" s="9"/>
      <c r="D3166" s="9"/>
      <c r="E3166" s="9"/>
      <c r="F3166" s="67"/>
      <c r="G3166" s="9"/>
      <c r="H3166" s="9"/>
      <c r="I3166" s="9"/>
      <c r="J3166" s="9"/>
      <c r="K3166" s="9"/>
      <c r="L3166" s="9"/>
      <c r="M3166" s="9"/>
      <c r="N3166" s="9"/>
      <c r="O3166" s="9"/>
      <c r="P3166" s="9"/>
      <c r="Q3166" s="9"/>
      <c r="R3166" s="9"/>
      <c r="S3166" s="9"/>
      <c r="T3166" s="9"/>
      <c r="U3166" s="9"/>
      <c r="V3166" s="9"/>
      <c r="W3166" s="9"/>
      <c r="X3166" s="9"/>
      <c r="Y3166" s="9"/>
      <c r="Z3166" s="9"/>
      <c r="AA3166" s="9"/>
      <c r="AB3166" s="9"/>
      <c r="AC3166" s="9"/>
      <c r="AD3166" s="9"/>
      <c r="AE3166" s="9"/>
      <c r="AF3166" s="9"/>
      <c r="AG3166" s="9"/>
      <c r="AH3166" s="9"/>
      <c r="AI3166" s="9"/>
      <c r="AJ3166" s="9"/>
      <c r="AK3166" s="9"/>
      <c r="AL3166" s="9"/>
      <c r="AM3166" s="9"/>
      <c r="AN3166" s="9"/>
      <c r="AO3166" s="9"/>
      <c r="AP3166" s="9"/>
      <c r="AQ3166" s="9"/>
      <c r="AR3166" s="9"/>
      <c r="AS3166" s="9"/>
      <c r="AT3166" s="9"/>
      <c r="AU3166" s="9"/>
    </row>
    <row r="3167" spans="1:47" ht="15.75" customHeight="1">
      <c r="A3167" s="9"/>
      <c r="B3167" s="9"/>
      <c r="C3167" s="9"/>
      <c r="D3167" s="9"/>
      <c r="E3167" s="9"/>
      <c r="F3167" s="67"/>
      <c r="G3167" s="9"/>
      <c r="H3167" s="9"/>
      <c r="I3167" s="9"/>
      <c r="J3167" s="9"/>
      <c r="K3167" s="9"/>
      <c r="L3167" s="9"/>
      <c r="M3167" s="9"/>
      <c r="N3167" s="9"/>
      <c r="O3167" s="9"/>
      <c r="P3167" s="9"/>
      <c r="Q3167" s="9"/>
      <c r="R3167" s="9"/>
      <c r="S3167" s="9"/>
      <c r="T3167" s="9"/>
      <c r="U3167" s="9"/>
      <c r="V3167" s="9"/>
      <c r="W3167" s="9"/>
      <c r="X3167" s="9"/>
      <c r="Y3167" s="9"/>
      <c r="Z3167" s="9"/>
      <c r="AA3167" s="9"/>
      <c r="AB3167" s="9"/>
      <c r="AC3167" s="9"/>
      <c r="AD3167" s="9"/>
      <c r="AE3167" s="9"/>
      <c r="AF3167" s="9"/>
      <c r="AG3167" s="9"/>
      <c r="AH3167" s="9"/>
      <c r="AI3167" s="9"/>
      <c r="AJ3167" s="9"/>
      <c r="AK3167" s="9"/>
      <c r="AL3167" s="9"/>
      <c r="AM3167" s="9"/>
      <c r="AN3167" s="9"/>
      <c r="AO3167" s="9"/>
      <c r="AP3167" s="9"/>
      <c r="AQ3167" s="9"/>
      <c r="AR3167" s="9"/>
      <c r="AS3167" s="9"/>
      <c r="AT3167" s="9"/>
      <c r="AU3167" s="9"/>
    </row>
    <row r="3168" spans="1:47" ht="15.75" customHeight="1">
      <c r="A3168" s="9"/>
      <c r="B3168" s="9"/>
      <c r="C3168" s="9"/>
      <c r="D3168" s="9"/>
      <c r="E3168" s="9"/>
      <c r="F3168" s="67"/>
      <c r="G3168" s="9"/>
      <c r="H3168" s="9"/>
      <c r="I3168" s="9"/>
      <c r="J3168" s="9"/>
      <c r="K3168" s="9"/>
      <c r="L3168" s="9"/>
      <c r="M3168" s="9"/>
      <c r="N3168" s="9"/>
      <c r="O3168" s="9"/>
      <c r="P3168" s="9"/>
      <c r="Q3168" s="9"/>
      <c r="R3168" s="9"/>
      <c r="S3168" s="9"/>
      <c r="T3168" s="9"/>
      <c r="U3168" s="9"/>
      <c r="V3168" s="9"/>
      <c r="W3168" s="9"/>
      <c r="X3168" s="9"/>
      <c r="Y3168" s="9"/>
      <c r="Z3168" s="9"/>
      <c r="AA3168" s="9"/>
      <c r="AB3168" s="9"/>
      <c r="AC3168" s="9"/>
      <c r="AD3168" s="9"/>
      <c r="AE3168" s="9"/>
      <c r="AF3168" s="9"/>
      <c r="AG3168" s="9"/>
      <c r="AH3168" s="9"/>
      <c r="AI3168" s="9"/>
      <c r="AJ3168" s="9"/>
      <c r="AK3168" s="9"/>
      <c r="AL3168" s="9"/>
      <c r="AM3168" s="9"/>
      <c r="AN3168" s="9"/>
      <c r="AO3168" s="9"/>
      <c r="AP3168" s="9"/>
      <c r="AQ3168" s="9"/>
      <c r="AR3168" s="9"/>
      <c r="AS3168" s="9"/>
      <c r="AT3168" s="9"/>
      <c r="AU3168" s="9"/>
    </row>
    <row r="3169" spans="1:47" ht="15.75" customHeight="1">
      <c r="A3169" s="9"/>
      <c r="B3169" s="9"/>
      <c r="C3169" s="9"/>
      <c r="D3169" s="9"/>
      <c r="E3169" s="9"/>
      <c r="F3169" s="67"/>
      <c r="G3169" s="9"/>
      <c r="H3169" s="9"/>
      <c r="I3169" s="9"/>
      <c r="J3169" s="9"/>
      <c r="K3169" s="9"/>
      <c r="L3169" s="9"/>
      <c r="M3169" s="9"/>
      <c r="N3169" s="9"/>
      <c r="O3169" s="9"/>
      <c r="P3169" s="9"/>
      <c r="Q3169" s="9"/>
      <c r="R3169" s="9"/>
      <c r="S3169" s="9"/>
      <c r="T3169" s="9"/>
      <c r="U3169" s="9"/>
      <c r="V3169" s="9"/>
      <c r="W3169" s="9"/>
      <c r="X3169" s="9"/>
      <c r="Y3169" s="9"/>
      <c r="Z3169" s="9"/>
      <c r="AA3169" s="9"/>
      <c r="AB3169" s="9"/>
      <c r="AC3169" s="9"/>
      <c r="AD3169" s="9"/>
      <c r="AE3169" s="9"/>
      <c r="AF3169" s="9"/>
      <c r="AG3169" s="9"/>
      <c r="AH3169" s="9"/>
      <c r="AI3169" s="9"/>
      <c r="AJ3169" s="9"/>
      <c r="AK3169" s="9"/>
      <c r="AL3169" s="9"/>
      <c r="AM3169" s="9"/>
      <c r="AN3169" s="9"/>
      <c r="AO3169" s="9"/>
      <c r="AP3169" s="9"/>
      <c r="AQ3169" s="9"/>
      <c r="AR3169" s="9"/>
      <c r="AS3169" s="9"/>
      <c r="AT3169" s="9"/>
      <c r="AU3169" s="9"/>
    </row>
    <row r="3170" spans="1:47" ht="15.75" customHeight="1">
      <c r="A3170" s="9"/>
      <c r="B3170" s="9"/>
      <c r="C3170" s="9"/>
      <c r="D3170" s="9"/>
      <c r="E3170" s="9"/>
      <c r="F3170" s="67"/>
      <c r="G3170" s="9"/>
      <c r="H3170" s="9"/>
      <c r="I3170" s="9"/>
      <c r="J3170" s="9"/>
      <c r="K3170" s="9"/>
      <c r="L3170" s="9"/>
      <c r="M3170" s="9"/>
      <c r="N3170" s="9"/>
      <c r="O3170" s="9"/>
      <c r="P3170" s="9"/>
      <c r="Q3170" s="9"/>
      <c r="R3170" s="9"/>
      <c r="S3170" s="9"/>
      <c r="T3170" s="9"/>
      <c r="U3170" s="9"/>
      <c r="V3170" s="9"/>
      <c r="W3170" s="9"/>
      <c r="X3170" s="9"/>
      <c r="Y3170" s="9"/>
      <c r="Z3170" s="9"/>
      <c r="AA3170" s="9"/>
      <c r="AB3170" s="9"/>
      <c r="AC3170" s="9"/>
      <c r="AD3170" s="9"/>
      <c r="AE3170" s="9"/>
      <c r="AF3170" s="9"/>
      <c r="AG3170" s="9"/>
      <c r="AH3170" s="9"/>
      <c r="AI3170" s="9"/>
      <c r="AJ3170" s="9"/>
      <c r="AK3170" s="9"/>
      <c r="AL3170" s="9"/>
      <c r="AM3170" s="9"/>
      <c r="AN3170" s="9"/>
      <c r="AO3170" s="9"/>
      <c r="AP3170" s="9"/>
      <c r="AQ3170" s="9"/>
      <c r="AR3170" s="9"/>
      <c r="AS3170" s="9"/>
      <c r="AT3170" s="9"/>
      <c r="AU3170" s="9"/>
    </row>
    <row r="3171" spans="1:47" ht="15.75" customHeight="1">
      <c r="A3171" s="9"/>
      <c r="B3171" s="9"/>
      <c r="C3171" s="9"/>
      <c r="D3171" s="9"/>
      <c r="E3171" s="9"/>
      <c r="F3171" s="67"/>
      <c r="G3171" s="9"/>
      <c r="H3171" s="9"/>
      <c r="I3171" s="9"/>
      <c r="J3171" s="9"/>
      <c r="K3171" s="9"/>
      <c r="L3171" s="9"/>
      <c r="M3171" s="9"/>
      <c r="N3171" s="9"/>
      <c r="O3171" s="9"/>
      <c r="P3171" s="9"/>
      <c r="Q3171" s="9"/>
      <c r="R3171" s="9"/>
      <c r="S3171" s="9"/>
      <c r="T3171" s="9"/>
      <c r="U3171" s="9"/>
      <c r="V3171" s="9"/>
      <c r="W3171" s="9"/>
      <c r="X3171" s="9"/>
      <c r="Y3171" s="9"/>
      <c r="Z3171" s="9"/>
      <c r="AA3171" s="9"/>
      <c r="AB3171" s="9"/>
      <c r="AC3171" s="9"/>
      <c r="AD3171" s="9"/>
      <c r="AE3171" s="9"/>
      <c r="AF3171" s="9"/>
      <c r="AG3171" s="9"/>
      <c r="AH3171" s="9"/>
      <c r="AI3171" s="9"/>
      <c r="AJ3171" s="9"/>
      <c r="AK3171" s="9"/>
      <c r="AL3171" s="9"/>
      <c r="AM3171" s="9"/>
      <c r="AN3171" s="9"/>
      <c r="AO3171" s="9"/>
      <c r="AP3171" s="9"/>
      <c r="AQ3171" s="9"/>
      <c r="AR3171" s="9"/>
      <c r="AS3171" s="9"/>
      <c r="AT3171" s="9"/>
      <c r="AU3171" s="9"/>
    </row>
    <row r="3172" spans="1:47" ht="15.75" customHeight="1">
      <c r="A3172" s="9"/>
      <c r="B3172" s="9"/>
      <c r="C3172" s="9"/>
      <c r="D3172" s="9"/>
      <c r="E3172" s="9"/>
      <c r="F3172" s="67"/>
      <c r="G3172" s="9"/>
      <c r="H3172" s="9"/>
      <c r="I3172" s="9"/>
      <c r="J3172" s="9"/>
      <c r="K3172" s="9"/>
      <c r="L3172" s="9"/>
      <c r="M3172" s="9"/>
      <c r="N3172" s="9"/>
      <c r="O3172" s="9"/>
      <c r="P3172" s="9"/>
      <c r="Q3172" s="9"/>
      <c r="R3172" s="9"/>
      <c r="S3172" s="9"/>
      <c r="T3172" s="9"/>
      <c r="U3172" s="9"/>
      <c r="V3172" s="9"/>
      <c r="W3172" s="9"/>
      <c r="X3172" s="9"/>
      <c r="Y3172" s="9"/>
      <c r="Z3172" s="9"/>
      <c r="AA3172" s="9"/>
      <c r="AB3172" s="9"/>
      <c r="AC3172" s="9"/>
      <c r="AD3172" s="9"/>
      <c r="AE3172" s="9"/>
      <c r="AF3172" s="9"/>
      <c r="AG3172" s="9"/>
      <c r="AH3172" s="9"/>
      <c r="AI3172" s="9"/>
      <c r="AJ3172" s="9"/>
      <c r="AK3172" s="9"/>
      <c r="AL3172" s="9"/>
      <c r="AM3172" s="9"/>
      <c r="AN3172" s="9"/>
      <c r="AO3172" s="9"/>
      <c r="AP3172" s="9"/>
      <c r="AQ3172" s="9"/>
      <c r="AR3172" s="9"/>
      <c r="AS3172" s="9"/>
      <c r="AT3172" s="9"/>
      <c r="AU3172" s="9"/>
    </row>
    <row r="3173" spans="1:47" ht="15.75" customHeight="1">
      <c r="A3173" s="9"/>
      <c r="B3173" s="9"/>
      <c r="C3173" s="9"/>
      <c r="D3173" s="9"/>
      <c r="E3173" s="9"/>
      <c r="F3173" s="67"/>
      <c r="G3173" s="9"/>
      <c r="H3173" s="9"/>
      <c r="I3173" s="9"/>
      <c r="J3173" s="9"/>
      <c r="K3173" s="9"/>
      <c r="L3173" s="9"/>
      <c r="M3173" s="9"/>
      <c r="N3173" s="9"/>
      <c r="O3173" s="9"/>
      <c r="P3173" s="9"/>
      <c r="Q3173" s="9"/>
      <c r="R3173" s="9"/>
      <c r="S3173" s="9"/>
      <c r="T3173" s="9"/>
      <c r="U3173" s="9"/>
      <c r="V3173" s="9"/>
      <c r="W3173" s="9"/>
      <c r="X3173" s="9"/>
      <c r="Y3173" s="9"/>
      <c r="Z3173" s="9"/>
      <c r="AA3173" s="9"/>
      <c r="AB3173" s="9"/>
      <c r="AC3173" s="9"/>
      <c r="AD3173" s="9"/>
      <c r="AE3173" s="9"/>
      <c r="AF3173" s="9"/>
      <c r="AG3173" s="9"/>
      <c r="AH3173" s="9"/>
      <c r="AI3173" s="9"/>
      <c r="AJ3173" s="9"/>
      <c r="AK3173" s="9"/>
      <c r="AL3173" s="9"/>
      <c r="AM3173" s="9"/>
      <c r="AN3173" s="9"/>
      <c r="AO3173" s="9"/>
      <c r="AP3173" s="9"/>
      <c r="AQ3173" s="9"/>
      <c r="AR3173" s="9"/>
      <c r="AS3173" s="9"/>
      <c r="AT3173" s="9"/>
      <c r="AU3173" s="9"/>
    </row>
    <row r="3174" spans="1:47" ht="15.75" customHeight="1">
      <c r="A3174" s="9"/>
      <c r="B3174" s="9"/>
      <c r="C3174" s="9"/>
      <c r="D3174" s="9"/>
      <c r="E3174" s="9"/>
      <c r="F3174" s="67"/>
      <c r="G3174" s="9"/>
      <c r="H3174" s="9"/>
      <c r="I3174" s="9"/>
      <c r="J3174" s="9"/>
      <c r="K3174" s="9"/>
      <c r="L3174" s="9"/>
      <c r="M3174" s="9"/>
      <c r="N3174" s="9"/>
      <c r="O3174" s="9"/>
      <c r="P3174" s="9"/>
      <c r="Q3174" s="9"/>
      <c r="R3174" s="9"/>
      <c r="S3174" s="9"/>
      <c r="T3174" s="9"/>
      <c r="U3174" s="9"/>
      <c r="V3174" s="9"/>
      <c r="W3174" s="9"/>
      <c r="X3174" s="9"/>
      <c r="Y3174" s="9"/>
      <c r="Z3174" s="9"/>
      <c r="AA3174" s="9"/>
      <c r="AB3174" s="9"/>
      <c r="AC3174" s="9"/>
      <c r="AD3174" s="9"/>
      <c r="AE3174" s="9"/>
      <c r="AF3174" s="9"/>
      <c r="AG3174" s="9"/>
      <c r="AH3174" s="9"/>
      <c r="AI3174" s="9"/>
      <c r="AJ3174" s="9"/>
      <c r="AK3174" s="9"/>
      <c r="AL3174" s="9"/>
      <c r="AM3174" s="9"/>
      <c r="AN3174" s="9"/>
      <c r="AO3174" s="9"/>
      <c r="AP3174" s="9"/>
      <c r="AQ3174" s="9"/>
      <c r="AR3174" s="9"/>
      <c r="AS3174" s="9"/>
      <c r="AT3174" s="9"/>
      <c r="AU3174" s="9"/>
    </row>
    <row r="3175" spans="1:47" ht="15.75" customHeight="1">
      <c r="A3175" s="9"/>
      <c r="B3175" s="9"/>
      <c r="C3175" s="9"/>
      <c r="D3175" s="9"/>
      <c r="E3175" s="9"/>
      <c r="F3175" s="67"/>
      <c r="G3175" s="9"/>
      <c r="H3175" s="9"/>
      <c r="I3175" s="9"/>
      <c r="J3175" s="9"/>
      <c r="K3175" s="9"/>
      <c r="L3175" s="9"/>
      <c r="M3175" s="9"/>
      <c r="N3175" s="9"/>
      <c r="O3175" s="9"/>
      <c r="P3175" s="9"/>
      <c r="Q3175" s="9"/>
      <c r="R3175" s="9"/>
      <c r="S3175" s="9"/>
      <c r="T3175" s="9"/>
      <c r="U3175" s="9"/>
      <c r="V3175" s="9"/>
      <c r="W3175" s="9"/>
      <c r="X3175" s="9"/>
      <c r="Y3175" s="9"/>
      <c r="Z3175" s="9"/>
      <c r="AA3175" s="9"/>
      <c r="AB3175" s="9"/>
      <c r="AC3175" s="9"/>
      <c r="AD3175" s="9"/>
      <c r="AE3175" s="9"/>
      <c r="AF3175" s="9"/>
      <c r="AG3175" s="9"/>
      <c r="AH3175" s="9"/>
      <c r="AI3175" s="9"/>
      <c r="AJ3175" s="9"/>
      <c r="AK3175" s="9"/>
      <c r="AL3175" s="9"/>
      <c r="AM3175" s="9"/>
      <c r="AN3175" s="9"/>
      <c r="AO3175" s="9"/>
      <c r="AP3175" s="9"/>
      <c r="AQ3175" s="9"/>
      <c r="AR3175" s="9"/>
      <c r="AS3175" s="9"/>
      <c r="AT3175" s="9"/>
      <c r="AU3175" s="9"/>
    </row>
    <row r="3176" spans="1:47" ht="15.75" customHeight="1">
      <c r="A3176" s="9"/>
      <c r="B3176" s="9"/>
      <c r="C3176" s="9"/>
      <c r="D3176" s="9"/>
      <c r="E3176" s="9"/>
      <c r="F3176" s="67"/>
      <c r="G3176" s="9"/>
      <c r="H3176" s="9"/>
      <c r="I3176" s="9"/>
      <c r="J3176" s="9"/>
      <c r="K3176" s="9"/>
      <c r="L3176" s="9"/>
      <c r="M3176" s="9"/>
      <c r="N3176" s="9"/>
      <c r="O3176" s="9"/>
      <c r="P3176" s="9"/>
      <c r="Q3176" s="9"/>
      <c r="R3176" s="9"/>
      <c r="S3176" s="9"/>
      <c r="T3176" s="9"/>
      <c r="U3176" s="9"/>
      <c r="V3176" s="9"/>
      <c r="W3176" s="9"/>
      <c r="X3176" s="9"/>
      <c r="Y3176" s="9"/>
      <c r="Z3176" s="9"/>
      <c r="AA3176" s="9"/>
      <c r="AB3176" s="9"/>
      <c r="AC3176" s="9"/>
      <c r="AD3176" s="9"/>
      <c r="AE3176" s="9"/>
      <c r="AF3176" s="9"/>
      <c r="AG3176" s="9"/>
      <c r="AH3176" s="9"/>
      <c r="AI3176" s="9"/>
      <c r="AJ3176" s="9"/>
      <c r="AK3176" s="9"/>
      <c r="AL3176" s="9"/>
      <c r="AM3176" s="9"/>
      <c r="AN3176" s="9"/>
      <c r="AO3176" s="9"/>
      <c r="AP3176" s="9"/>
      <c r="AQ3176" s="9"/>
      <c r="AR3176" s="9"/>
      <c r="AS3176" s="9"/>
      <c r="AT3176" s="9"/>
      <c r="AU3176" s="9"/>
    </row>
    <row r="3177" spans="1:47" ht="15.75" customHeight="1">
      <c r="A3177" s="9"/>
      <c r="B3177" s="9"/>
      <c r="C3177" s="9"/>
      <c r="D3177" s="9"/>
      <c r="E3177" s="9"/>
      <c r="F3177" s="67"/>
      <c r="G3177" s="9"/>
      <c r="H3177" s="9"/>
      <c r="I3177" s="9"/>
      <c r="J3177" s="9"/>
      <c r="K3177" s="9"/>
      <c r="L3177" s="9"/>
      <c r="M3177" s="9"/>
      <c r="N3177" s="9"/>
      <c r="O3177" s="9"/>
      <c r="P3177" s="9"/>
      <c r="Q3177" s="9"/>
      <c r="R3177" s="9"/>
      <c r="S3177" s="9"/>
      <c r="T3177" s="9"/>
      <c r="U3177" s="9"/>
      <c r="V3177" s="9"/>
      <c r="W3177" s="9"/>
      <c r="X3177" s="9"/>
      <c r="Y3177" s="9"/>
      <c r="Z3177" s="9"/>
      <c r="AA3177" s="9"/>
      <c r="AB3177" s="9"/>
      <c r="AC3177" s="9"/>
      <c r="AD3177" s="9"/>
      <c r="AE3177" s="9"/>
      <c r="AF3177" s="9"/>
      <c r="AG3177" s="9"/>
      <c r="AH3177" s="9"/>
      <c r="AI3177" s="9"/>
      <c r="AJ3177" s="9"/>
      <c r="AK3177" s="9"/>
      <c r="AL3177" s="9"/>
      <c r="AM3177" s="9"/>
      <c r="AN3177" s="9"/>
      <c r="AO3177" s="9"/>
      <c r="AP3177" s="9"/>
      <c r="AQ3177" s="9"/>
      <c r="AR3177" s="9"/>
      <c r="AS3177" s="9"/>
      <c r="AT3177" s="9"/>
      <c r="AU3177" s="9"/>
    </row>
    <row r="3178" spans="1:47" ht="15.75" customHeight="1">
      <c r="A3178" s="9"/>
      <c r="B3178" s="9"/>
      <c r="C3178" s="9"/>
      <c r="D3178" s="9"/>
      <c r="E3178" s="9"/>
      <c r="F3178" s="67"/>
      <c r="G3178" s="9"/>
      <c r="H3178" s="9"/>
      <c r="I3178" s="9"/>
      <c r="J3178" s="9"/>
      <c r="K3178" s="9"/>
      <c r="L3178" s="9"/>
      <c r="M3178" s="9"/>
      <c r="N3178" s="9"/>
      <c r="O3178" s="9"/>
      <c r="P3178" s="9"/>
      <c r="Q3178" s="9"/>
      <c r="R3178" s="9"/>
      <c r="S3178" s="9"/>
      <c r="T3178" s="9"/>
      <c r="U3178" s="9"/>
      <c r="V3178" s="9"/>
      <c r="W3178" s="9"/>
      <c r="X3178" s="9"/>
      <c r="Y3178" s="9"/>
      <c r="Z3178" s="9"/>
      <c r="AA3178" s="9"/>
      <c r="AB3178" s="9"/>
      <c r="AC3178" s="9"/>
      <c r="AD3178" s="9"/>
      <c r="AE3178" s="9"/>
      <c r="AF3178" s="9"/>
      <c r="AG3178" s="9"/>
      <c r="AH3178" s="9"/>
      <c r="AI3178" s="9"/>
      <c r="AJ3178" s="9"/>
      <c r="AK3178" s="9"/>
      <c r="AL3178" s="9"/>
      <c r="AM3178" s="9"/>
      <c r="AN3178" s="9"/>
      <c r="AO3178" s="9"/>
      <c r="AP3178" s="9"/>
      <c r="AQ3178" s="9"/>
      <c r="AR3178" s="9"/>
      <c r="AS3178" s="9"/>
      <c r="AT3178" s="9"/>
      <c r="AU3178" s="9"/>
    </row>
    <row r="3179" spans="1:47" ht="15.75" customHeight="1">
      <c r="A3179" s="9"/>
      <c r="B3179" s="9"/>
      <c r="C3179" s="9"/>
      <c r="D3179" s="9"/>
      <c r="E3179" s="9"/>
      <c r="F3179" s="67"/>
      <c r="G3179" s="9"/>
      <c r="H3179" s="9"/>
      <c r="I3179" s="9"/>
      <c r="J3179" s="9"/>
      <c r="K3179" s="9"/>
      <c r="L3179" s="9"/>
      <c r="M3179" s="9"/>
      <c r="N3179" s="9"/>
      <c r="O3179" s="9"/>
      <c r="P3179" s="9"/>
      <c r="Q3179" s="9"/>
      <c r="R3179" s="9"/>
      <c r="S3179" s="9"/>
      <c r="T3179" s="9"/>
      <c r="U3179" s="9"/>
      <c r="V3179" s="9"/>
      <c r="W3179" s="9"/>
      <c r="X3179" s="9"/>
      <c r="Y3179" s="9"/>
      <c r="Z3179" s="9"/>
      <c r="AA3179" s="9"/>
      <c r="AB3179" s="9"/>
      <c r="AC3179" s="9"/>
      <c r="AD3179" s="9"/>
      <c r="AE3179" s="9"/>
      <c r="AF3179" s="9"/>
      <c r="AG3179" s="9"/>
      <c r="AH3179" s="9"/>
      <c r="AI3179" s="9"/>
      <c r="AJ3179" s="9"/>
      <c r="AK3179" s="9"/>
      <c r="AL3179" s="9"/>
      <c r="AM3179" s="9"/>
      <c r="AN3179" s="9"/>
      <c r="AO3179" s="9"/>
      <c r="AP3179" s="9"/>
      <c r="AQ3179" s="9"/>
      <c r="AR3179" s="9"/>
      <c r="AS3179" s="9"/>
      <c r="AT3179" s="9"/>
      <c r="AU3179" s="9"/>
    </row>
    <row r="3180" spans="1:47" ht="15.75" customHeight="1">
      <c r="A3180" s="9"/>
      <c r="B3180" s="9"/>
      <c r="C3180" s="9"/>
      <c r="D3180" s="9"/>
      <c r="E3180" s="9"/>
      <c r="F3180" s="67"/>
      <c r="G3180" s="9"/>
      <c r="H3180" s="9"/>
      <c r="I3180" s="9"/>
      <c r="J3180" s="9"/>
      <c r="K3180" s="9"/>
      <c r="L3180" s="9"/>
      <c r="M3180" s="9"/>
      <c r="N3180" s="9"/>
      <c r="O3180" s="9"/>
      <c r="P3180" s="9"/>
      <c r="Q3180" s="9"/>
      <c r="R3180" s="9"/>
      <c r="S3180" s="9"/>
      <c r="T3180" s="9"/>
      <c r="U3180" s="9"/>
      <c r="V3180" s="9"/>
      <c r="W3180" s="9"/>
      <c r="X3180" s="9"/>
      <c r="Y3180" s="9"/>
      <c r="Z3180" s="9"/>
      <c r="AA3180" s="9"/>
      <c r="AB3180" s="9"/>
      <c r="AC3180" s="9"/>
      <c r="AD3180" s="9"/>
      <c r="AE3180" s="9"/>
      <c r="AF3180" s="9"/>
      <c r="AG3180" s="9"/>
      <c r="AH3180" s="9"/>
      <c r="AI3180" s="9"/>
      <c r="AJ3180" s="9"/>
      <c r="AK3180" s="9"/>
      <c r="AL3180" s="9"/>
      <c r="AM3180" s="9"/>
      <c r="AN3180" s="9"/>
      <c r="AO3180" s="9"/>
      <c r="AP3180" s="9"/>
      <c r="AQ3180" s="9"/>
      <c r="AR3180" s="9"/>
      <c r="AS3180" s="9"/>
      <c r="AT3180" s="9"/>
      <c r="AU3180" s="9"/>
    </row>
    <row r="3181" spans="1:47" ht="15.75" customHeight="1">
      <c r="A3181" s="9"/>
      <c r="B3181" s="9"/>
      <c r="C3181" s="9"/>
      <c r="D3181" s="9"/>
      <c r="E3181" s="9"/>
      <c r="F3181" s="67"/>
      <c r="G3181" s="9"/>
      <c r="H3181" s="9"/>
      <c r="I3181" s="9"/>
      <c r="J3181" s="9"/>
      <c r="K3181" s="9"/>
      <c r="L3181" s="9"/>
      <c r="M3181" s="9"/>
      <c r="N3181" s="9"/>
      <c r="O3181" s="9"/>
      <c r="P3181" s="9"/>
      <c r="Q3181" s="9"/>
      <c r="R3181" s="9"/>
      <c r="S3181" s="9"/>
      <c r="T3181" s="9"/>
      <c r="U3181" s="9"/>
      <c r="V3181" s="9"/>
      <c r="W3181" s="9"/>
      <c r="X3181" s="9"/>
      <c r="Y3181" s="9"/>
      <c r="Z3181" s="9"/>
      <c r="AA3181" s="9"/>
      <c r="AB3181" s="9"/>
      <c r="AC3181" s="9"/>
      <c r="AD3181" s="9"/>
      <c r="AE3181" s="9"/>
      <c r="AF3181" s="9"/>
      <c r="AG3181" s="9"/>
      <c r="AH3181" s="9"/>
      <c r="AI3181" s="9"/>
      <c r="AJ3181" s="9"/>
      <c r="AK3181" s="9"/>
      <c r="AL3181" s="9"/>
      <c r="AM3181" s="9"/>
      <c r="AN3181" s="9"/>
      <c r="AO3181" s="9"/>
      <c r="AP3181" s="9"/>
      <c r="AQ3181" s="9"/>
      <c r="AR3181" s="9"/>
      <c r="AS3181" s="9"/>
      <c r="AT3181" s="9"/>
      <c r="AU3181" s="9"/>
    </row>
    <row r="3182" spans="1:47" ht="15.75" customHeight="1">
      <c r="A3182" s="9"/>
      <c r="B3182" s="9"/>
      <c r="C3182" s="9"/>
      <c r="D3182" s="9"/>
      <c r="E3182" s="9"/>
      <c r="F3182" s="67"/>
      <c r="G3182" s="9"/>
      <c r="H3182" s="9"/>
      <c r="I3182" s="9"/>
      <c r="J3182" s="9"/>
      <c r="K3182" s="9"/>
      <c r="L3182" s="9"/>
      <c r="M3182" s="9"/>
      <c r="N3182" s="9"/>
      <c r="O3182" s="9"/>
      <c r="P3182" s="9"/>
      <c r="Q3182" s="9"/>
      <c r="R3182" s="9"/>
      <c r="S3182" s="9"/>
      <c r="T3182" s="9"/>
      <c r="U3182" s="9"/>
      <c r="V3182" s="9"/>
      <c r="W3182" s="9"/>
      <c r="X3182" s="9"/>
      <c r="Y3182" s="9"/>
      <c r="Z3182" s="9"/>
      <c r="AA3182" s="9"/>
      <c r="AB3182" s="9"/>
      <c r="AC3182" s="9"/>
      <c r="AD3182" s="9"/>
      <c r="AE3182" s="9"/>
      <c r="AF3182" s="9"/>
      <c r="AG3182" s="9"/>
      <c r="AH3182" s="9"/>
      <c r="AI3182" s="9"/>
      <c r="AJ3182" s="9"/>
      <c r="AK3182" s="9"/>
      <c r="AL3182" s="9"/>
      <c r="AM3182" s="9"/>
      <c r="AN3182" s="9"/>
      <c r="AO3182" s="9"/>
      <c r="AP3182" s="9"/>
      <c r="AQ3182" s="9"/>
      <c r="AR3182" s="9"/>
      <c r="AS3182" s="9"/>
      <c r="AT3182" s="9"/>
      <c r="AU3182" s="9"/>
    </row>
    <row r="3183" spans="1:47" ht="15.75" customHeight="1">
      <c r="A3183" s="9"/>
      <c r="B3183" s="9"/>
      <c r="C3183" s="9"/>
      <c r="D3183" s="9"/>
      <c r="E3183" s="9"/>
      <c r="F3183" s="67"/>
      <c r="G3183" s="9"/>
      <c r="H3183" s="9"/>
      <c r="I3183" s="9"/>
      <c r="J3183" s="9"/>
      <c r="K3183" s="9"/>
      <c r="L3183" s="9"/>
      <c r="M3183" s="9"/>
      <c r="N3183" s="9"/>
      <c r="O3183" s="9"/>
      <c r="P3183" s="9"/>
      <c r="Q3183" s="9"/>
      <c r="R3183" s="9"/>
      <c r="S3183" s="9"/>
      <c r="T3183" s="9"/>
      <c r="U3183" s="9"/>
      <c r="V3183" s="9"/>
      <c r="W3183" s="9"/>
      <c r="X3183" s="9"/>
      <c r="Y3183" s="9"/>
      <c r="Z3183" s="9"/>
      <c r="AA3183" s="9"/>
      <c r="AB3183" s="9"/>
      <c r="AC3183" s="9"/>
      <c r="AD3183" s="9"/>
      <c r="AE3183" s="9"/>
      <c r="AF3183" s="9"/>
      <c r="AG3183" s="9"/>
      <c r="AH3183" s="9"/>
      <c r="AI3183" s="9"/>
      <c r="AJ3183" s="9"/>
      <c r="AK3183" s="9"/>
      <c r="AL3183" s="9"/>
      <c r="AM3183" s="9"/>
      <c r="AN3183" s="9"/>
      <c r="AO3183" s="9"/>
      <c r="AP3183" s="9"/>
      <c r="AQ3183" s="9"/>
      <c r="AR3183" s="9"/>
      <c r="AS3183" s="9"/>
      <c r="AT3183" s="9"/>
      <c r="AU3183" s="9"/>
    </row>
    <row r="3184" spans="1:47" ht="15.75" customHeight="1">
      <c r="A3184" s="9"/>
      <c r="B3184" s="9"/>
      <c r="C3184" s="9"/>
      <c r="D3184" s="9"/>
      <c r="E3184" s="9"/>
      <c r="F3184" s="67"/>
      <c r="G3184" s="9"/>
      <c r="H3184" s="9"/>
      <c r="I3184" s="9"/>
      <c r="J3184" s="9"/>
      <c r="K3184" s="9"/>
      <c r="L3184" s="9"/>
      <c r="M3184" s="9"/>
      <c r="N3184" s="9"/>
      <c r="O3184" s="9"/>
      <c r="P3184" s="9"/>
      <c r="Q3184" s="9"/>
      <c r="R3184" s="9"/>
      <c r="S3184" s="9"/>
      <c r="T3184" s="9"/>
      <c r="U3184" s="9"/>
      <c r="V3184" s="9"/>
      <c r="W3184" s="9"/>
      <c r="X3184" s="9"/>
      <c r="Y3184" s="9"/>
      <c r="Z3184" s="9"/>
      <c r="AA3184" s="9"/>
      <c r="AB3184" s="9"/>
      <c r="AC3184" s="9"/>
      <c r="AD3184" s="9"/>
      <c r="AE3184" s="9"/>
      <c r="AF3184" s="9"/>
      <c r="AG3184" s="9"/>
      <c r="AH3184" s="9"/>
      <c r="AI3184" s="9"/>
      <c r="AJ3184" s="9"/>
      <c r="AK3184" s="9"/>
      <c r="AL3184" s="9"/>
      <c r="AM3184" s="9"/>
      <c r="AN3184" s="9"/>
      <c r="AO3184" s="9"/>
      <c r="AP3184" s="9"/>
      <c r="AQ3184" s="9"/>
      <c r="AR3184" s="9"/>
      <c r="AS3184" s="9"/>
      <c r="AT3184" s="9"/>
      <c r="AU3184" s="9"/>
    </row>
    <row r="3185" spans="1:47" ht="15.75" customHeight="1">
      <c r="A3185" s="9"/>
      <c r="B3185" s="9"/>
      <c r="C3185" s="9"/>
      <c r="D3185" s="9"/>
      <c r="E3185" s="9"/>
      <c r="F3185" s="67"/>
      <c r="G3185" s="9"/>
      <c r="H3185" s="9"/>
      <c r="I3185" s="9"/>
      <c r="J3185" s="9"/>
      <c r="K3185" s="9"/>
      <c r="L3185" s="9"/>
      <c r="M3185" s="9"/>
      <c r="N3185" s="9"/>
      <c r="O3185" s="9"/>
      <c r="P3185" s="9"/>
      <c r="Q3185" s="9"/>
      <c r="R3185" s="9"/>
      <c r="S3185" s="9"/>
      <c r="T3185" s="9"/>
      <c r="U3185" s="9"/>
      <c r="V3185" s="9"/>
      <c r="W3185" s="9"/>
      <c r="X3185" s="9"/>
      <c r="Y3185" s="9"/>
      <c r="Z3185" s="9"/>
      <c r="AA3185" s="9"/>
      <c r="AB3185" s="9"/>
      <c r="AC3185" s="9"/>
      <c r="AD3185" s="9"/>
      <c r="AE3185" s="9"/>
      <c r="AF3185" s="9"/>
      <c r="AG3185" s="9"/>
      <c r="AH3185" s="9"/>
      <c r="AI3185" s="9"/>
      <c r="AJ3185" s="9"/>
      <c r="AK3185" s="9"/>
      <c r="AL3185" s="9"/>
      <c r="AM3185" s="9"/>
      <c r="AN3185" s="9"/>
      <c r="AO3185" s="9"/>
      <c r="AP3185" s="9"/>
      <c r="AQ3185" s="9"/>
      <c r="AR3185" s="9"/>
      <c r="AS3185" s="9"/>
      <c r="AT3185" s="9"/>
      <c r="AU3185" s="9"/>
    </row>
    <row r="3186" spans="1:47" ht="15.75" customHeight="1">
      <c r="A3186" s="9"/>
      <c r="B3186" s="9"/>
      <c r="C3186" s="9"/>
      <c r="D3186" s="9"/>
      <c r="E3186" s="9"/>
      <c r="F3186" s="67"/>
      <c r="G3186" s="9"/>
      <c r="H3186" s="9"/>
      <c r="I3186" s="9"/>
      <c r="J3186" s="9"/>
      <c r="K3186" s="9"/>
      <c r="L3186" s="9"/>
      <c r="M3186" s="9"/>
      <c r="N3186" s="9"/>
      <c r="O3186" s="9"/>
      <c r="P3186" s="9"/>
      <c r="Q3186" s="9"/>
      <c r="R3186" s="9"/>
      <c r="S3186" s="9"/>
      <c r="T3186" s="9"/>
      <c r="U3186" s="9"/>
      <c r="V3186" s="9"/>
      <c r="W3186" s="9"/>
      <c r="X3186" s="9"/>
      <c r="Y3186" s="9"/>
      <c r="Z3186" s="9"/>
      <c r="AA3186" s="9"/>
      <c r="AB3186" s="9"/>
      <c r="AC3186" s="9"/>
      <c r="AD3186" s="9"/>
      <c r="AE3186" s="9"/>
      <c r="AF3186" s="9"/>
      <c r="AG3186" s="9"/>
      <c r="AH3186" s="9"/>
      <c r="AI3186" s="9"/>
      <c r="AJ3186" s="9"/>
      <c r="AK3186" s="9"/>
      <c r="AL3186" s="9"/>
      <c r="AM3186" s="9"/>
      <c r="AN3186" s="9"/>
      <c r="AO3186" s="9"/>
      <c r="AP3186" s="9"/>
      <c r="AQ3186" s="9"/>
      <c r="AR3186" s="9"/>
      <c r="AS3186" s="9"/>
      <c r="AT3186" s="9"/>
      <c r="AU3186" s="9"/>
    </row>
    <row r="3187" spans="1:47" ht="15.75" customHeight="1">
      <c r="A3187" s="9"/>
      <c r="B3187" s="9"/>
      <c r="C3187" s="9"/>
      <c r="D3187" s="9"/>
      <c r="E3187" s="9"/>
      <c r="F3187" s="67"/>
      <c r="G3187" s="9"/>
      <c r="H3187" s="9"/>
      <c r="I3187" s="9"/>
      <c r="J3187" s="9"/>
      <c r="K3187" s="9"/>
      <c r="L3187" s="9"/>
      <c r="M3187" s="9"/>
      <c r="N3187" s="9"/>
      <c r="O3187" s="9"/>
      <c r="P3187" s="9"/>
      <c r="Q3187" s="9"/>
      <c r="R3187" s="9"/>
      <c r="S3187" s="9"/>
      <c r="T3187" s="9"/>
      <c r="U3187" s="9"/>
      <c r="V3187" s="9"/>
      <c r="W3187" s="9"/>
      <c r="X3187" s="9"/>
      <c r="Y3187" s="9"/>
      <c r="Z3187" s="9"/>
      <c r="AA3187" s="9"/>
      <c r="AB3187" s="9"/>
      <c r="AC3187" s="9"/>
      <c r="AD3187" s="9"/>
      <c r="AE3187" s="9"/>
      <c r="AF3187" s="9"/>
      <c r="AG3187" s="9"/>
      <c r="AH3187" s="9"/>
      <c r="AI3187" s="9"/>
      <c r="AJ3187" s="9"/>
      <c r="AK3187" s="9"/>
      <c r="AL3187" s="9"/>
      <c r="AM3187" s="9"/>
      <c r="AN3187" s="9"/>
      <c r="AO3187" s="9"/>
      <c r="AP3187" s="9"/>
      <c r="AQ3187" s="9"/>
      <c r="AR3187" s="9"/>
      <c r="AS3187" s="9"/>
      <c r="AT3187" s="9"/>
      <c r="AU3187" s="9"/>
    </row>
    <row r="3188" spans="1:47" ht="15.75" customHeight="1">
      <c r="A3188" s="9"/>
      <c r="B3188" s="9"/>
      <c r="C3188" s="9"/>
      <c r="D3188" s="9"/>
      <c r="E3188" s="9"/>
      <c r="F3188" s="67"/>
      <c r="G3188" s="9"/>
      <c r="H3188" s="9"/>
      <c r="I3188" s="9"/>
      <c r="J3188" s="9"/>
      <c r="K3188" s="9"/>
      <c r="L3188" s="9"/>
      <c r="M3188" s="9"/>
      <c r="N3188" s="9"/>
      <c r="O3188" s="9"/>
      <c r="P3188" s="9"/>
      <c r="Q3188" s="9"/>
      <c r="R3188" s="9"/>
      <c r="S3188" s="9"/>
      <c r="T3188" s="9"/>
      <c r="U3188" s="9"/>
      <c r="V3188" s="9"/>
      <c r="W3188" s="9"/>
      <c r="X3188" s="9"/>
      <c r="Y3188" s="9"/>
      <c r="Z3188" s="9"/>
      <c r="AA3188" s="9"/>
      <c r="AB3188" s="9"/>
      <c r="AC3188" s="9"/>
      <c r="AD3188" s="9"/>
      <c r="AE3188" s="9"/>
      <c r="AF3188" s="9"/>
      <c r="AG3188" s="9"/>
      <c r="AH3188" s="9"/>
      <c r="AI3188" s="9"/>
      <c r="AJ3188" s="9"/>
      <c r="AK3188" s="9"/>
      <c r="AL3188" s="9"/>
      <c r="AM3188" s="9"/>
      <c r="AN3188" s="9"/>
      <c r="AO3188" s="9"/>
      <c r="AP3188" s="9"/>
      <c r="AQ3188" s="9"/>
      <c r="AR3188" s="9"/>
      <c r="AS3188" s="9"/>
      <c r="AT3188" s="9"/>
      <c r="AU3188" s="9"/>
    </row>
    <row r="3189" spans="1:47" ht="15.75" customHeight="1">
      <c r="A3189" s="9"/>
      <c r="B3189" s="9"/>
      <c r="C3189" s="9"/>
      <c r="D3189" s="9"/>
      <c r="E3189" s="9"/>
      <c r="F3189" s="67"/>
      <c r="G3189" s="9"/>
      <c r="H3189" s="9"/>
      <c r="I3189" s="9"/>
      <c r="J3189" s="9"/>
      <c r="K3189" s="9"/>
      <c r="L3189" s="9"/>
      <c r="M3189" s="9"/>
      <c r="N3189" s="9"/>
      <c r="O3189" s="9"/>
      <c r="P3189" s="9"/>
      <c r="Q3189" s="9"/>
      <c r="R3189" s="9"/>
      <c r="S3189" s="9"/>
      <c r="T3189" s="9"/>
      <c r="U3189" s="9"/>
      <c r="V3189" s="9"/>
      <c r="W3189" s="9"/>
      <c r="X3189" s="9"/>
      <c r="Y3189" s="9"/>
      <c r="Z3189" s="9"/>
      <c r="AA3189" s="9"/>
      <c r="AB3189" s="9"/>
      <c r="AC3189" s="9"/>
      <c r="AD3189" s="9"/>
      <c r="AE3189" s="9"/>
      <c r="AF3189" s="9"/>
      <c r="AG3189" s="9"/>
      <c r="AH3189" s="9"/>
      <c r="AI3189" s="9"/>
      <c r="AJ3189" s="9"/>
      <c r="AK3189" s="9"/>
      <c r="AL3189" s="9"/>
      <c r="AM3189" s="9"/>
      <c r="AN3189" s="9"/>
      <c r="AO3189" s="9"/>
      <c r="AP3189" s="9"/>
      <c r="AQ3189" s="9"/>
      <c r="AR3189" s="9"/>
      <c r="AS3189" s="9"/>
      <c r="AT3189" s="9"/>
      <c r="AU3189" s="9"/>
    </row>
    <row r="3190" spans="1:47" ht="15.75" customHeight="1">
      <c r="A3190" s="9"/>
      <c r="B3190" s="9"/>
      <c r="C3190" s="9"/>
      <c r="D3190" s="9"/>
      <c r="E3190" s="9"/>
      <c r="F3190" s="67"/>
      <c r="G3190" s="9"/>
      <c r="H3190" s="9"/>
      <c r="I3190" s="9"/>
      <c r="J3190" s="9"/>
      <c r="K3190" s="9"/>
      <c r="L3190" s="9"/>
      <c r="M3190" s="9"/>
      <c r="N3190" s="9"/>
      <c r="O3190" s="9"/>
      <c r="P3190" s="9"/>
      <c r="Q3190" s="9"/>
      <c r="R3190" s="9"/>
      <c r="S3190" s="9"/>
      <c r="T3190" s="9"/>
      <c r="U3190" s="9"/>
      <c r="V3190" s="9"/>
      <c r="W3190" s="9"/>
      <c r="X3190" s="9"/>
      <c r="Y3190" s="9"/>
      <c r="Z3190" s="9"/>
      <c r="AA3190" s="9"/>
      <c r="AB3190" s="9"/>
      <c r="AC3190" s="9"/>
      <c r="AD3190" s="9"/>
      <c r="AE3190" s="9"/>
      <c r="AF3190" s="9"/>
      <c r="AG3190" s="9"/>
      <c r="AH3190" s="9"/>
      <c r="AI3190" s="9"/>
      <c r="AJ3190" s="9"/>
      <c r="AK3190" s="9"/>
      <c r="AL3190" s="9"/>
      <c r="AM3190" s="9"/>
      <c r="AN3190" s="9"/>
      <c r="AO3190" s="9"/>
      <c r="AP3190" s="9"/>
      <c r="AQ3190" s="9"/>
      <c r="AR3190" s="9"/>
      <c r="AS3190" s="9"/>
      <c r="AT3190" s="9"/>
      <c r="AU3190" s="9"/>
    </row>
    <row r="3191" spans="1:47" ht="15.75" customHeight="1">
      <c r="A3191" s="9"/>
      <c r="B3191" s="9"/>
      <c r="C3191" s="9"/>
      <c r="D3191" s="9"/>
      <c r="E3191" s="9"/>
      <c r="F3191" s="67"/>
      <c r="G3191" s="9"/>
      <c r="H3191" s="9"/>
      <c r="I3191" s="9"/>
      <c r="J3191" s="9"/>
      <c r="K3191" s="9"/>
      <c r="L3191" s="9"/>
      <c r="M3191" s="9"/>
      <c r="N3191" s="9"/>
      <c r="O3191" s="9"/>
      <c r="P3191" s="9"/>
      <c r="Q3191" s="9"/>
      <c r="R3191" s="9"/>
      <c r="S3191" s="9"/>
      <c r="T3191" s="9"/>
      <c r="U3191" s="9"/>
      <c r="V3191" s="9"/>
      <c r="W3191" s="9"/>
      <c r="X3191" s="9"/>
      <c r="Y3191" s="9"/>
      <c r="Z3191" s="9"/>
      <c r="AA3191" s="9"/>
      <c r="AB3191" s="9"/>
      <c r="AC3191" s="9"/>
      <c r="AD3191" s="9"/>
      <c r="AE3191" s="9"/>
      <c r="AF3191" s="9"/>
      <c r="AG3191" s="9"/>
      <c r="AH3191" s="9"/>
      <c r="AI3191" s="9"/>
      <c r="AJ3191" s="9"/>
      <c r="AK3191" s="9"/>
      <c r="AL3191" s="9"/>
      <c r="AM3191" s="9"/>
      <c r="AN3191" s="9"/>
      <c r="AO3191" s="9"/>
      <c r="AP3191" s="9"/>
      <c r="AQ3191" s="9"/>
      <c r="AR3191" s="9"/>
      <c r="AS3191" s="9"/>
      <c r="AT3191" s="9"/>
      <c r="AU3191" s="9"/>
    </row>
    <row r="3192" spans="1:47" ht="15.75" customHeight="1">
      <c r="A3192" s="9"/>
      <c r="B3192" s="9"/>
      <c r="C3192" s="9"/>
      <c r="D3192" s="9"/>
      <c r="E3192" s="9"/>
      <c r="F3192" s="67"/>
      <c r="G3192" s="9"/>
      <c r="H3192" s="9"/>
      <c r="I3192" s="9"/>
      <c r="J3192" s="9"/>
      <c r="K3192" s="9"/>
      <c r="L3192" s="9"/>
      <c r="M3192" s="9"/>
      <c r="N3192" s="9"/>
      <c r="O3192" s="9"/>
      <c r="P3192" s="9"/>
      <c r="Q3192" s="9"/>
      <c r="R3192" s="9"/>
      <c r="S3192" s="9"/>
      <c r="T3192" s="9"/>
      <c r="U3192" s="9"/>
      <c r="V3192" s="9"/>
      <c r="W3192" s="9"/>
      <c r="X3192" s="9"/>
      <c r="Y3192" s="9"/>
      <c r="Z3192" s="9"/>
      <c r="AA3192" s="9"/>
      <c r="AB3192" s="9"/>
      <c r="AC3192" s="9"/>
      <c r="AD3192" s="9"/>
      <c r="AE3192" s="9"/>
      <c r="AF3192" s="9"/>
      <c r="AG3192" s="9"/>
      <c r="AH3192" s="9"/>
      <c r="AI3192" s="9"/>
      <c r="AJ3192" s="9"/>
      <c r="AK3192" s="9"/>
      <c r="AL3192" s="9"/>
      <c r="AM3192" s="9"/>
      <c r="AN3192" s="9"/>
      <c r="AO3192" s="9"/>
      <c r="AP3192" s="9"/>
      <c r="AQ3192" s="9"/>
      <c r="AR3192" s="9"/>
      <c r="AS3192" s="9"/>
      <c r="AT3192" s="9"/>
      <c r="AU3192" s="9"/>
    </row>
    <row r="3193" spans="1:47" ht="15.75" customHeight="1">
      <c r="A3193" s="9"/>
      <c r="B3193" s="9"/>
      <c r="C3193" s="9"/>
      <c r="D3193" s="9"/>
      <c r="E3193" s="9"/>
      <c r="F3193" s="67"/>
      <c r="G3193" s="9"/>
      <c r="H3193" s="9"/>
      <c r="I3193" s="9"/>
      <c r="J3193" s="9"/>
      <c r="K3193" s="9"/>
      <c r="L3193" s="9"/>
      <c r="M3193" s="9"/>
      <c r="N3193" s="9"/>
      <c r="O3193" s="9"/>
      <c r="P3193" s="9"/>
      <c r="Q3193" s="9"/>
      <c r="R3193" s="9"/>
      <c r="S3193" s="9"/>
      <c r="T3193" s="9"/>
      <c r="U3193" s="9"/>
      <c r="V3193" s="9"/>
      <c r="W3193" s="9"/>
      <c r="X3193" s="9"/>
      <c r="Y3193" s="9"/>
      <c r="Z3193" s="9"/>
      <c r="AA3193" s="9"/>
      <c r="AB3193" s="9"/>
      <c r="AC3193" s="9"/>
      <c r="AD3193" s="9"/>
      <c r="AE3193" s="9"/>
      <c r="AF3193" s="9"/>
      <c r="AG3193" s="9"/>
      <c r="AH3193" s="9"/>
      <c r="AI3193" s="9"/>
      <c r="AJ3193" s="9"/>
      <c r="AK3193" s="9"/>
      <c r="AL3193" s="9"/>
      <c r="AM3193" s="9"/>
      <c r="AN3193" s="9"/>
      <c r="AO3193" s="9"/>
      <c r="AP3193" s="9"/>
      <c r="AQ3193" s="9"/>
      <c r="AR3193" s="9"/>
      <c r="AS3193" s="9"/>
      <c r="AT3193" s="9"/>
      <c r="AU3193" s="9"/>
    </row>
    <row r="3194" spans="1:47" ht="15.75" customHeight="1">
      <c r="A3194" s="9"/>
      <c r="B3194" s="9"/>
      <c r="C3194" s="9"/>
      <c r="D3194" s="9"/>
      <c r="E3194" s="9"/>
      <c r="F3194" s="67"/>
      <c r="G3194" s="9"/>
      <c r="H3194" s="9"/>
      <c r="I3194" s="9"/>
      <c r="J3194" s="9"/>
      <c r="K3194" s="9"/>
      <c r="L3194" s="9"/>
      <c r="M3194" s="9"/>
      <c r="N3194" s="9"/>
      <c r="O3194" s="9"/>
      <c r="P3194" s="9"/>
      <c r="Q3194" s="9"/>
      <c r="R3194" s="9"/>
      <c r="S3194" s="9"/>
      <c r="T3194" s="9"/>
      <c r="U3194" s="9"/>
      <c r="V3194" s="9"/>
      <c r="W3194" s="9"/>
      <c r="X3194" s="9"/>
      <c r="Y3194" s="9"/>
      <c r="Z3194" s="9"/>
      <c r="AA3194" s="9"/>
      <c r="AB3194" s="9"/>
      <c r="AC3194" s="9"/>
      <c r="AD3194" s="9"/>
      <c r="AE3194" s="9"/>
      <c r="AF3194" s="9"/>
      <c r="AG3194" s="9"/>
      <c r="AH3194" s="9"/>
      <c r="AI3194" s="9"/>
      <c r="AJ3194" s="9"/>
      <c r="AK3194" s="9"/>
      <c r="AL3194" s="9"/>
      <c r="AM3194" s="9"/>
      <c r="AN3194" s="9"/>
      <c r="AO3194" s="9"/>
      <c r="AP3194" s="9"/>
      <c r="AQ3194" s="9"/>
      <c r="AR3194" s="9"/>
      <c r="AS3194" s="9"/>
      <c r="AT3194" s="9"/>
      <c r="AU3194" s="9"/>
    </row>
    <row r="3195" spans="1:47" ht="15.75" customHeight="1">
      <c r="A3195" s="9"/>
      <c r="B3195" s="9"/>
      <c r="C3195" s="9"/>
      <c r="D3195" s="9"/>
      <c r="E3195" s="9"/>
      <c r="F3195" s="67"/>
      <c r="G3195" s="9"/>
      <c r="H3195" s="9"/>
      <c r="I3195" s="9"/>
      <c r="J3195" s="9"/>
      <c r="K3195" s="9"/>
      <c r="L3195" s="9"/>
      <c r="M3195" s="9"/>
      <c r="N3195" s="9"/>
      <c r="O3195" s="9"/>
      <c r="P3195" s="9"/>
      <c r="Q3195" s="9"/>
      <c r="R3195" s="9"/>
      <c r="S3195" s="9"/>
      <c r="T3195" s="9"/>
      <c r="U3195" s="9"/>
      <c r="V3195" s="9"/>
      <c r="W3195" s="9"/>
      <c r="X3195" s="9"/>
      <c r="Y3195" s="9"/>
      <c r="Z3195" s="9"/>
      <c r="AA3195" s="9"/>
      <c r="AB3195" s="9"/>
      <c r="AC3195" s="9"/>
      <c r="AD3195" s="9"/>
      <c r="AE3195" s="9"/>
      <c r="AF3195" s="9"/>
      <c r="AG3195" s="9"/>
      <c r="AH3195" s="9"/>
      <c r="AI3195" s="9"/>
      <c r="AJ3195" s="9"/>
      <c r="AK3195" s="9"/>
      <c r="AL3195" s="9"/>
      <c r="AM3195" s="9"/>
      <c r="AN3195" s="9"/>
      <c r="AO3195" s="9"/>
      <c r="AP3195" s="9"/>
      <c r="AQ3195" s="9"/>
      <c r="AR3195" s="9"/>
      <c r="AS3195" s="9"/>
      <c r="AT3195" s="9"/>
      <c r="AU3195" s="9"/>
    </row>
    <row r="3196" spans="1:47" ht="15.75" customHeight="1">
      <c r="A3196" s="9"/>
      <c r="B3196" s="9"/>
      <c r="C3196" s="9"/>
      <c r="D3196" s="9"/>
      <c r="E3196" s="9"/>
      <c r="F3196" s="67"/>
      <c r="G3196" s="9"/>
      <c r="H3196" s="9"/>
      <c r="I3196" s="9"/>
      <c r="J3196" s="9"/>
      <c r="K3196" s="9"/>
      <c r="L3196" s="9"/>
      <c r="M3196" s="9"/>
      <c r="N3196" s="9"/>
      <c r="O3196" s="9"/>
      <c r="P3196" s="9"/>
      <c r="Q3196" s="9"/>
      <c r="R3196" s="9"/>
      <c r="S3196" s="9"/>
      <c r="T3196" s="9"/>
      <c r="U3196" s="9"/>
      <c r="V3196" s="9"/>
      <c r="W3196" s="9"/>
      <c r="X3196" s="9"/>
      <c r="Y3196" s="9"/>
      <c r="Z3196" s="9"/>
      <c r="AA3196" s="9"/>
      <c r="AB3196" s="9"/>
      <c r="AC3196" s="9"/>
      <c r="AD3196" s="9"/>
      <c r="AE3196" s="9"/>
      <c r="AF3196" s="9"/>
      <c r="AG3196" s="9"/>
      <c r="AH3196" s="9"/>
      <c r="AI3196" s="9"/>
      <c r="AJ3196" s="9"/>
      <c r="AK3196" s="9"/>
      <c r="AL3196" s="9"/>
      <c r="AM3196" s="9"/>
      <c r="AN3196" s="9"/>
      <c r="AO3196" s="9"/>
      <c r="AP3196" s="9"/>
      <c r="AQ3196" s="9"/>
      <c r="AR3196" s="9"/>
      <c r="AS3196" s="9"/>
      <c r="AT3196" s="9"/>
      <c r="AU3196" s="9"/>
    </row>
    <row r="3197" spans="1:47" ht="15.75" customHeight="1">
      <c r="A3197" s="9"/>
      <c r="B3197" s="9"/>
      <c r="C3197" s="9"/>
      <c r="D3197" s="9"/>
      <c r="E3197" s="9"/>
      <c r="F3197" s="67"/>
      <c r="G3197" s="9"/>
      <c r="H3197" s="9"/>
      <c r="I3197" s="9"/>
      <c r="J3197" s="9"/>
      <c r="K3197" s="9"/>
      <c r="L3197" s="9"/>
      <c r="M3197" s="9"/>
      <c r="N3197" s="9"/>
      <c r="O3197" s="9"/>
      <c r="P3197" s="9"/>
      <c r="Q3197" s="9"/>
      <c r="R3197" s="9"/>
      <c r="S3197" s="9"/>
      <c r="T3197" s="9"/>
      <c r="U3197" s="9"/>
      <c r="V3197" s="9"/>
      <c r="W3197" s="9"/>
      <c r="X3197" s="9"/>
      <c r="Y3197" s="9"/>
      <c r="Z3197" s="9"/>
      <c r="AA3197" s="9"/>
      <c r="AB3197" s="9"/>
      <c r="AC3197" s="9"/>
      <c r="AD3197" s="9"/>
      <c r="AE3197" s="9"/>
      <c r="AF3197" s="9"/>
      <c r="AG3197" s="9"/>
      <c r="AH3197" s="9"/>
      <c r="AI3197" s="9"/>
      <c r="AJ3197" s="9"/>
      <c r="AK3197" s="9"/>
      <c r="AL3197" s="9"/>
      <c r="AM3197" s="9"/>
      <c r="AN3197" s="9"/>
      <c r="AO3197" s="9"/>
      <c r="AP3197" s="9"/>
      <c r="AQ3197" s="9"/>
      <c r="AR3197" s="9"/>
      <c r="AS3197" s="9"/>
      <c r="AT3197" s="9"/>
      <c r="AU3197" s="9"/>
    </row>
    <row r="3198" spans="1:47" ht="15.75" customHeight="1">
      <c r="A3198" s="9"/>
      <c r="B3198" s="9"/>
      <c r="C3198" s="9"/>
      <c r="D3198" s="9"/>
      <c r="E3198" s="9"/>
      <c r="F3198" s="67"/>
      <c r="G3198" s="9"/>
      <c r="H3198" s="9"/>
      <c r="I3198" s="9"/>
      <c r="J3198" s="9"/>
      <c r="K3198" s="9"/>
      <c r="L3198" s="9"/>
      <c r="M3198" s="9"/>
      <c r="N3198" s="9"/>
      <c r="O3198" s="9"/>
      <c r="P3198" s="9"/>
      <c r="Q3198" s="9"/>
      <c r="R3198" s="9"/>
      <c r="S3198" s="9"/>
      <c r="T3198" s="9"/>
      <c r="U3198" s="9"/>
      <c r="V3198" s="9"/>
      <c r="W3198" s="9"/>
      <c r="X3198" s="9"/>
      <c r="Y3198" s="9"/>
      <c r="Z3198" s="9"/>
      <c r="AA3198" s="9"/>
      <c r="AB3198" s="9"/>
      <c r="AC3198" s="9"/>
      <c r="AD3198" s="9"/>
      <c r="AE3198" s="9"/>
      <c r="AF3198" s="9"/>
      <c r="AG3198" s="9"/>
      <c r="AH3198" s="9"/>
      <c r="AI3198" s="9"/>
      <c r="AJ3198" s="9"/>
      <c r="AK3198" s="9"/>
      <c r="AL3198" s="9"/>
      <c r="AM3198" s="9"/>
      <c r="AN3198" s="9"/>
      <c r="AO3198" s="9"/>
      <c r="AP3198" s="9"/>
      <c r="AQ3198" s="9"/>
      <c r="AR3198" s="9"/>
      <c r="AS3198" s="9"/>
      <c r="AT3198" s="9"/>
      <c r="AU3198" s="9"/>
    </row>
    <row r="3199" spans="1:47" ht="15.75" customHeight="1">
      <c r="A3199" s="9"/>
      <c r="B3199" s="9"/>
      <c r="C3199" s="9"/>
      <c r="D3199" s="9"/>
      <c r="E3199" s="9"/>
      <c r="F3199" s="67"/>
      <c r="G3199" s="9"/>
      <c r="H3199" s="9"/>
      <c r="I3199" s="9"/>
      <c r="J3199" s="9"/>
      <c r="K3199" s="9"/>
      <c r="L3199" s="9"/>
      <c r="M3199" s="9"/>
      <c r="N3199" s="9"/>
      <c r="O3199" s="9"/>
      <c r="P3199" s="9"/>
      <c r="Q3199" s="9"/>
      <c r="R3199" s="9"/>
      <c r="S3199" s="9"/>
      <c r="T3199" s="9"/>
      <c r="U3199" s="9"/>
      <c r="V3199" s="9"/>
      <c r="W3199" s="9"/>
      <c r="X3199" s="9"/>
      <c r="Y3199" s="9"/>
      <c r="Z3199" s="9"/>
      <c r="AA3199" s="9"/>
      <c r="AB3199" s="9"/>
      <c r="AC3199" s="9"/>
      <c r="AD3199" s="9"/>
      <c r="AE3199" s="9"/>
      <c r="AF3199" s="9"/>
      <c r="AG3199" s="9"/>
      <c r="AH3199" s="9"/>
      <c r="AI3199" s="9"/>
      <c r="AJ3199" s="9"/>
      <c r="AK3199" s="9"/>
      <c r="AL3199" s="9"/>
      <c r="AM3199" s="9"/>
      <c r="AN3199" s="9"/>
      <c r="AO3199" s="9"/>
      <c r="AP3199" s="9"/>
      <c r="AQ3199" s="9"/>
      <c r="AR3199" s="9"/>
      <c r="AS3199" s="9"/>
      <c r="AT3199" s="9"/>
      <c r="AU3199" s="9"/>
    </row>
    <row r="3200" spans="1:47" ht="15.75" customHeight="1">
      <c r="A3200" s="9"/>
      <c r="B3200" s="9"/>
      <c r="C3200" s="9"/>
      <c r="D3200" s="9"/>
      <c r="E3200" s="9"/>
      <c r="F3200" s="67"/>
      <c r="G3200" s="9"/>
      <c r="H3200" s="9"/>
      <c r="I3200" s="9"/>
      <c r="J3200" s="9"/>
      <c r="K3200" s="9"/>
      <c r="L3200" s="9"/>
      <c r="M3200" s="9"/>
      <c r="N3200" s="9"/>
      <c r="O3200" s="9"/>
      <c r="P3200" s="9"/>
      <c r="Q3200" s="9"/>
      <c r="R3200" s="9"/>
      <c r="S3200" s="9"/>
      <c r="T3200" s="9"/>
      <c r="U3200" s="9"/>
      <c r="V3200" s="9"/>
      <c r="W3200" s="9"/>
      <c r="X3200" s="9"/>
      <c r="Y3200" s="9"/>
      <c r="Z3200" s="9"/>
      <c r="AA3200" s="9"/>
      <c r="AB3200" s="9"/>
      <c r="AC3200" s="9"/>
      <c r="AD3200" s="9"/>
      <c r="AE3200" s="9"/>
      <c r="AF3200" s="9"/>
      <c r="AG3200" s="9"/>
      <c r="AH3200" s="9"/>
      <c r="AI3200" s="9"/>
      <c r="AJ3200" s="9"/>
      <c r="AK3200" s="9"/>
      <c r="AL3200" s="9"/>
      <c r="AM3200" s="9"/>
      <c r="AN3200" s="9"/>
      <c r="AO3200" s="9"/>
      <c r="AP3200" s="9"/>
      <c r="AQ3200" s="9"/>
      <c r="AR3200" s="9"/>
      <c r="AS3200" s="9"/>
      <c r="AT3200" s="9"/>
      <c r="AU3200" s="9"/>
    </row>
    <row r="3201" spans="1:47" ht="15.75" customHeight="1">
      <c r="A3201" s="9"/>
      <c r="B3201" s="9"/>
      <c r="C3201" s="9"/>
      <c r="D3201" s="9"/>
      <c r="E3201" s="9"/>
      <c r="F3201" s="67"/>
      <c r="G3201" s="9"/>
      <c r="H3201" s="9"/>
      <c r="I3201" s="9"/>
      <c r="J3201" s="9"/>
      <c r="K3201" s="9"/>
      <c r="L3201" s="9"/>
      <c r="M3201" s="9"/>
      <c r="N3201" s="9"/>
      <c r="O3201" s="9"/>
      <c r="P3201" s="9"/>
      <c r="Q3201" s="9"/>
      <c r="R3201" s="9"/>
      <c r="S3201" s="9"/>
      <c r="T3201" s="9"/>
      <c r="U3201" s="9"/>
      <c r="V3201" s="9"/>
      <c r="W3201" s="9"/>
      <c r="X3201" s="9"/>
      <c r="Y3201" s="9"/>
      <c r="Z3201" s="9"/>
      <c r="AA3201" s="9"/>
      <c r="AB3201" s="9"/>
      <c r="AC3201" s="9"/>
      <c r="AD3201" s="9"/>
      <c r="AE3201" s="9"/>
      <c r="AF3201" s="9"/>
      <c r="AG3201" s="9"/>
      <c r="AH3201" s="9"/>
      <c r="AI3201" s="9"/>
      <c r="AJ3201" s="9"/>
      <c r="AK3201" s="9"/>
      <c r="AL3201" s="9"/>
      <c r="AM3201" s="9"/>
      <c r="AN3201" s="9"/>
      <c r="AO3201" s="9"/>
      <c r="AP3201" s="9"/>
      <c r="AQ3201" s="9"/>
      <c r="AR3201" s="9"/>
      <c r="AS3201" s="9"/>
      <c r="AT3201" s="9"/>
      <c r="AU3201" s="9"/>
    </row>
    <row r="3202" spans="1:47" ht="15.75" customHeight="1">
      <c r="A3202" s="9"/>
      <c r="B3202" s="9"/>
      <c r="C3202" s="9"/>
      <c r="D3202" s="9"/>
      <c r="E3202" s="9"/>
      <c r="F3202" s="67"/>
      <c r="G3202" s="9"/>
      <c r="H3202" s="9"/>
      <c r="I3202" s="9"/>
      <c r="J3202" s="9"/>
      <c r="K3202" s="9"/>
      <c r="L3202" s="9"/>
      <c r="M3202" s="9"/>
      <c r="N3202" s="9"/>
      <c r="O3202" s="9"/>
      <c r="P3202" s="9"/>
      <c r="Q3202" s="9"/>
      <c r="R3202" s="9"/>
      <c r="S3202" s="9"/>
      <c r="T3202" s="9"/>
      <c r="U3202" s="9"/>
      <c r="V3202" s="9"/>
      <c r="W3202" s="9"/>
      <c r="X3202" s="9"/>
      <c r="Y3202" s="9"/>
      <c r="Z3202" s="9"/>
      <c r="AA3202" s="9"/>
      <c r="AB3202" s="9"/>
      <c r="AC3202" s="9"/>
      <c r="AD3202" s="9"/>
      <c r="AE3202" s="9"/>
      <c r="AF3202" s="9"/>
      <c r="AG3202" s="9"/>
      <c r="AH3202" s="9"/>
      <c r="AI3202" s="9"/>
      <c r="AJ3202" s="9"/>
      <c r="AK3202" s="9"/>
      <c r="AL3202" s="9"/>
      <c r="AM3202" s="9"/>
      <c r="AN3202" s="9"/>
      <c r="AO3202" s="9"/>
      <c r="AP3202" s="9"/>
      <c r="AQ3202" s="9"/>
      <c r="AR3202" s="9"/>
      <c r="AS3202" s="9"/>
      <c r="AT3202" s="9"/>
      <c r="AU3202" s="9"/>
    </row>
    <row r="3203" spans="1:47" ht="15.75" customHeight="1">
      <c r="A3203" s="9"/>
      <c r="B3203" s="9"/>
      <c r="C3203" s="9"/>
      <c r="D3203" s="9"/>
      <c r="E3203" s="9"/>
      <c r="F3203" s="67"/>
      <c r="G3203" s="9"/>
      <c r="H3203" s="9"/>
      <c r="I3203" s="9"/>
      <c r="J3203" s="9"/>
      <c r="K3203" s="9"/>
      <c r="L3203" s="9"/>
      <c r="M3203" s="9"/>
      <c r="N3203" s="9"/>
      <c r="O3203" s="9"/>
      <c r="P3203" s="9"/>
      <c r="Q3203" s="9"/>
      <c r="R3203" s="9"/>
      <c r="S3203" s="9"/>
      <c r="T3203" s="9"/>
      <c r="U3203" s="9"/>
      <c r="V3203" s="9"/>
      <c r="W3203" s="9"/>
      <c r="X3203" s="9"/>
      <c r="Y3203" s="9"/>
      <c r="Z3203" s="9"/>
      <c r="AA3203" s="9"/>
      <c r="AB3203" s="9"/>
      <c r="AC3203" s="9"/>
      <c r="AD3203" s="9"/>
      <c r="AE3203" s="9"/>
      <c r="AF3203" s="9"/>
      <c r="AG3203" s="9"/>
      <c r="AH3203" s="9"/>
      <c r="AI3203" s="9"/>
      <c r="AJ3203" s="9"/>
      <c r="AK3203" s="9"/>
      <c r="AL3203" s="9"/>
      <c r="AM3203" s="9"/>
      <c r="AN3203" s="9"/>
      <c r="AO3203" s="9"/>
      <c r="AP3203" s="9"/>
      <c r="AQ3203" s="9"/>
      <c r="AR3203" s="9"/>
      <c r="AS3203" s="9"/>
      <c r="AT3203" s="9"/>
      <c r="AU3203" s="9"/>
    </row>
    <row r="3204" spans="1:47" ht="15.75" customHeight="1">
      <c r="A3204" s="9"/>
      <c r="B3204" s="9"/>
      <c r="C3204" s="9"/>
      <c r="D3204" s="9"/>
      <c r="E3204" s="9"/>
      <c r="F3204" s="67"/>
      <c r="G3204" s="9"/>
      <c r="H3204" s="9"/>
      <c r="I3204" s="9"/>
      <c r="J3204" s="9"/>
      <c r="K3204" s="9"/>
      <c r="L3204" s="9"/>
      <c r="M3204" s="9"/>
      <c r="N3204" s="9"/>
      <c r="O3204" s="9"/>
      <c r="P3204" s="9"/>
      <c r="Q3204" s="9"/>
      <c r="R3204" s="9"/>
      <c r="S3204" s="9"/>
      <c r="T3204" s="9"/>
      <c r="U3204" s="9"/>
      <c r="V3204" s="9"/>
      <c r="W3204" s="9"/>
      <c r="X3204" s="9"/>
      <c r="Y3204" s="9"/>
      <c r="Z3204" s="9"/>
      <c r="AA3204" s="9"/>
      <c r="AB3204" s="9"/>
      <c r="AC3204" s="9"/>
      <c r="AD3204" s="9"/>
      <c r="AE3204" s="9"/>
      <c r="AF3204" s="9"/>
      <c r="AG3204" s="9"/>
      <c r="AH3204" s="9"/>
      <c r="AI3204" s="9"/>
      <c r="AJ3204" s="9"/>
      <c r="AK3204" s="9"/>
      <c r="AL3204" s="9"/>
      <c r="AM3204" s="9"/>
      <c r="AN3204" s="9"/>
      <c r="AO3204" s="9"/>
      <c r="AP3204" s="9"/>
      <c r="AQ3204" s="9"/>
      <c r="AR3204" s="9"/>
      <c r="AS3204" s="9"/>
      <c r="AT3204" s="9"/>
      <c r="AU3204" s="9"/>
    </row>
    <row r="3205" spans="1:47" ht="15.75" customHeight="1">
      <c r="A3205" s="9"/>
      <c r="B3205" s="9"/>
      <c r="C3205" s="9"/>
      <c r="D3205" s="9"/>
      <c r="E3205" s="9"/>
      <c r="F3205" s="67"/>
      <c r="G3205" s="9"/>
      <c r="H3205" s="9"/>
      <c r="I3205" s="9"/>
      <c r="J3205" s="9"/>
      <c r="K3205" s="9"/>
      <c r="L3205" s="9"/>
      <c r="M3205" s="9"/>
      <c r="N3205" s="9"/>
      <c r="O3205" s="9"/>
      <c r="P3205" s="9"/>
      <c r="Q3205" s="9"/>
      <c r="R3205" s="9"/>
      <c r="S3205" s="9"/>
      <c r="T3205" s="9"/>
      <c r="U3205" s="9"/>
      <c r="V3205" s="9"/>
      <c r="W3205" s="9"/>
      <c r="X3205" s="9"/>
      <c r="Y3205" s="9"/>
      <c r="Z3205" s="9"/>
      <c r="AA3205" s="9"/>
      <c r="AB3205" s="9"/>
      <c r="AC3205" s="9"/>
      <c r="AD3205" s="9"/>
      <c r="AE3205" s="9"/>
      <c r="AF3205" s="9"/>
      <c r="AG3205" s="9"/>
      <c r="AH3205" s="9"/>
      <c r="AI3205" s="9"/>
      <c r="AJ3205" s="9"/>
      <c r="AK3205" s="9"/>
      <c r="AL3205" s="9"/>
      <c r="AM3205" s="9"/>
      <c r="AN3205" s="9"/>
      <c r="AO3205" s="9"/>
      <c r="AP3205" s="9"/>
      <c r="AQ3205" s="9"/>
      <c r="AR3205" s="9"/>
      <c r="AS3205" s="9"/>
      <c r="AT3205" s="9"/>
      <c r="AU3205" s="9"/>
    </row>
    <row r="3206" spans="1:47" ht="15.75" customHeight="1">
      <c r="A3206" s="9"/>
      <c r="B3206" s="9"/>
      <c r="C3206" s="9"/>
      <c r="D3206" s="9"/>
      <c r="E3206" s="9"/>
      <c r="F3206" s="67"/>
      <c r="G3206" s="9"/>
      <c r="H3206" s="9"/>
      <c r="I3206" s="9"/>
      <c r="J3206" s="9"/>
      <c r="K3206" s="9"/>
      <c r="L3206" s="9"/>
      <c r="M3206" s="9"/>
      <c r="N3206" s="9"/>
      <c r="O3206" s="9"/>
      <c r="P3206" s="9"/>
      <c r="Q3206" s="9"/>
      <c r="R3206" s="9"/>
      <c r="S3206" s="9"/>
      <c r="T3206" s="9"/>
      <c r="U3206" s="9"/>
      <c r="V3206" s="9"/>
      <c r="W3206" s="9"/>
      <c r="X3206" s="9"/>
      <c r="Y3206" s="9"/>
      <c r="Z3206" s="9"/>
      <c r="AA3206" s="9"/>
      <c r="AB3206" s="9"/>
      <c r="AC3206" s="9"/>
      <c r="AD3206" s="9"/>
      <c r="AE3206" s="9"/>
      <c r="AF3206" s="9"/>
      <c r="AG3206" s="9"/>
      <c r="AH3206" s="9"/>
      <c r="AI3206" s="9"/>
      <c r="AJ3206" s="9"/>
      <c r="AK3206" s="9"/>
      <c r="AL3206" s="9"/>
      <c r="AM3206" s="9"/>
      <c r="AN3206" s="9"/>
      <c r="AO3206" s="9"/>
      <c r="AP3206" s="9"/>
      <c r="AQ3206" s="9"/>
      <c r="AR3206" s="9"/>
      <c r="AS3206" s="9"/>
      <c r="AT3206" s="9"/>
      <c r="AU3206" s="9"/>
    </row>
    <row r="3207" spans="1:47" ht="15.75" customHeight="1">
      <c r="A3207" s="9"/>
      <c r="B3207" s="9"/>
      <c r="C3207" s="9"/>
      <c r="D3207" s="9"/>
      <c r="E3207" s="9"/>
      <c r="F3207" s="67"/>
      <c r="G3207" s="9"/>
      <c r="H3207" s="9"/>
      <c r="I3207" s="9"/>
      <c r="J3207" s="9"/>
      <c r="K3207" s="9"/>
      <c r="L3207" s="9"/>
      <c r="M3207" s="9"/>
      <c r="N3207" s="9"/>
      <c r="O3207" s="9"/>
      <c r="P3207" s="9"/>
      <c r="Q3207" s="9"/>
      <c r="R3207" s="9"/>
      <c r="S3207" s="9"/>
      <c r="T3207" s="9"/>
      <c r="U3207" s="9"/>
      <c r="V3207" s="9"/>
      <c r="W3207" s="9"/>
      <c r="X3207" s="9"/>
      <c r="Y3207" s="9"/>
      <c r="Z3207" s="9"/>
      <c r="AA3207" s="9"/>
      <c r="AB3207" s="9"/>
      <c r="AC3207" s="9"/>
      <c r="AD3207" s="9"/>
      <c r="AE3207" s="9"/>
      <c r="AF3207" s="9"/>
      <c r="AG3207" s="9"/>
      <c r="AH3207" s="9"/>
      <c r="AI3207" s="9"/>
      <c r="AJ3207" s="9"/>
      <c r="AK3207" s="9"/>
      <c r="AL3207" s="9"/>
      <c r="AM3207" s="9"/>
      <c r="AN3207" s="9"/>
      <c r="AO3207" s="9"/>
      <c r="AP3207" s="9"/>
      <c r="AQ3207" s="9"/>
      <c r="AR3207" s="9"/>
      <c r="AS3207" s="9"/>
      <c r="AT3207" s="9"/>
      <c r="AU3207" s="9"/>
    </row>
    <row r="3208" spans="1:47" ht="15.75" customHeight="1">
      <c r="A3208" s="9"/>
      <c r="B3208" s="9"/>
      <c r="C3208" s="9"/>
      <c r="D3208" s="9"/>
      <c r="E3208" s="9"/>
      <c r="F3208" s="67"/>
      <c r="G3208" s="9"/>
      <c r="H3208" s="9"/>
      <c r="I3208" s="9"/>
      <c r="J3208" s="9"/>
      <c r="K3208" s="9"/>
      <c r="L3208" s="9"/>
      <c r="M3208" s="9"/>
      <c r="N3208" s="9"/>
      <c r="O3208" s="9"/>
      <c r="P3208" s="9"/>
      <c r="Q3208" s="9"/>
      <c r="R3208" s="9"/>
      <c r="S3208" s="9"/>
      <c r="T3208" s="9"/>
      <c r="U3208" s="9"/>
      <c r="V3208" s="9"/>
      <c r="W3208" s="9"/>
      <c r="X3208" s="9"/>
      <c r="Y3208" s="9"/>
      <c r="Z3208" s="9"/>
      <c r="AA3208" s="9"/>
      <c r="AB3208" s="9"/>
      <c r="AC3208" s="9"/>
      <c r="AD3208" s="9"/>
      <c r="AE3208" s="9"/>
      <c r="AF3208" s="9"/>
      <c r="AG3208" s="9"/>
      <c r="AH3208" s="9"/>
      <c r="AI3208" s="9"/>
      <c r="AJ3208" s="9"/>
      <c r="AK3208" s="9"/>
      <c r="AL3208" s="9"/>
      <c r="AM3208" s="9"/>
      <c r="AN3208" s="9"/>
      <c r="AO3208" s="9"/>
      <c r="AP3208" s="9"/>
      <c r="AQ3208" s="9"/>
      <c r="AR3208" s="9"/>
      <c r="AS3208" s="9"/>
      <c r="AT3208" s="9"/>
      <c r="AU3208" s="9"/>
    </row>
    <row r="3209" spans="1:47" ht="15.75" customHeight="1">
      <c r="A3209" s="9"/>
      <c r="B3209" s="9"/>
      <c r="C3209" s="9"/>
      <c r="D3209" s="9"/>
      <c r="E3209" s="9"/>
      <c r="F3209" s="67"/>
      <c r="G3209" s="9"/>
      <c r="H3209" s="9"/>
      <c r="I3209" s="9"/>
      <c r="J3209" s="9"/>
      <c r="K3209" s="9"/>
      <c r="L3209" s="9"/>
      <c r="M3209" s="9"/>
      <c r="N3209" s="9"/>
      <c r="O3209" s="9"/>
      <c r="P3209" s="9"/>
      <c r="Q3209" s="9"/>
      <c r="R3209" s="9"/>
      <c r="S3209" s="9"/>
      <c r="T3209" s="9"/>
      <c r="U3209" s="9"/>
      <c r="V3209" s="9"/>
      <c r="W3209" s="9"/>
      <c r="X3209" s="9"/>
      <c r="Y3209" s="9"/>
      <c r="Z3209" s="9"/>
      <c r="AA3209" s="9"/>
      <c r="AB3209" s="9"/>
      <c r="AC3209" s="9"/>
      <c r="AD3209" s="9"/>
      <c r="AE3209" s="9"/>
      <c r="AF3209" s="9"/>
      <c r="AG3209" s="9"/>
      <c r="AH3209" s="9"/>
      <c r="AI3209" s="9"/>
      <c r="AJ3209" s="9"/>
      <c r="AK3209" s="9"/>
      <c r="AL3209" s="9"/>
      <c r="AM3209" s="9"/>
      <c r="AN3209" s="9"/>
      <c r="AO3209" s="9"/>
      <c r="AP3209" s="9"/>
      <c r="AQ3209" s="9"/>
      <c r="AR3209" s="9"/>
      <c r="AS3209" s="9"/>
      <c r="AT3209" s="9"/>
      <c r="AU3209" s="9"/>
    </row>
    <row r="3210" spans="1:47" ht="15.75" customHeight="1">
      <c r="A3210" s="9"/>
      <c r="B3210" s="9"/>
      <c r="C3210" s="9"/>
      <c r="D3210" s="9"/>
      <c r="E3210" s="9"/>
      <c r="F3210" s="67"/>
      <c r="G3210" s="9"/>
      <c r="H3210" s="9"/>
      <c r="I3210" s="9"/>
      <c r="J3210" s="9"/>
      <c r="K3210" s="9"/>
      <c r="L3210" s="9"/>
      <c r="M3210" s="9"/>
      <c r="N3210" s="9"/>
      <c r="O3210" s="9"/>
      <c r="P3210" s="9"/>
      <c r="Q3210" s="9"/>
      <c r="R3210" s="9"/>
      <c r="S3210" s="9"/>
      <c r="T3210" s="9"/>
      <c r="U3210" s="9"/>
      <c r="V3210" s="9"/>
      <c r="W3210" s="9"/>
      <c r="X3210" s="9"/>
      <c r="Y3210" s="9"/>
      <c r="Z3210" s="9"/>
      <c r="AA3210" s="9"/>
      <c r="AB3210" s="9"/>
      <c r="AC3210" s="9"/>
      <c r="AD3210" s="9"/>
      <c r="AE3210" s="9"/>
      <c r="AF3210" s="9"/>
      <c r="AG3210" s="9"/>
      <c r="AH3210" s="9"/>
      <c r="AI3210" s="9"/>
      <c r="AJ3210" s="9"/>
      <c r="AK3210" s="9"/>
      <c r="AL3210" s="9"/>
      <c r="AM3210" s="9"/>
      <c r="AN3210" s="9"/>
      <c r="AO3210" s="9"/>
      <c r="AP3210" s="9"/>
      <c r="AQ3210" s="9"/>
      <c r="AR3210" s="9"/>
      <c r="AS3210" s="9"/>
      <c r="AT3210" s="9"/>
      <c r="AU3210" s="9"/>
    </row>
    <row r="3211" spans="1:47" ht="15.75" customHeight="1">
      <c r="A3211" s="9"/>
      <c r="B3211" s="9"/>
      <c r="C3211" s="9"/>
      <c r="D3211" s="9"/>
      <c r="E3211" s="9"/>
      <c r="F3211" s="67"/>
      <c r="G3211" s="9"/>
      <c r="H3211" s="9"/>
      <c r="I3211" s="9"/>
      <c r="J3211" s="9"/>
      <c r="K3211" s="9"/>
      <c r="L3211" s="9"/>
      <c r="M3211" s="9"/>
      <c r="N3211" s="9"/>
      <c r="O3211" s="9"/>
      <c r="P3211" s="9"/>
      <c r="Q3211" s="9"/>
      <c r="R3211" s="9"/>
      <c r="S3211" s="9"/>
      <c r="T3211" s="9"/>
      <c r="U3211" s="9"/>
      <c r="V3211" s="9"/>
      <c r="W3211" s="9"/>
      <c r="X3211" s="9"/>
      <c r="Y3211" s="9"/>
      <c r="Z3211" s="9"/>
      <c r="AA3211" s="9"/>
      <c r="AB3211" s="9"/>
      <c r="AC3211" s="9"/>
      <c r="AD3211" s="9"/>
      <c r="AE3211" s="9"/>
      <c r="AF3211" s="9"/>
      <c r="AG3211" s="9"/>
      <c r="AH3211" s="9"/>
      <c r="AI3211" s="9"/>
      <c r="AJ3211" s="9"/>
      <c r="AK3211" s="9"/>
      <c r="AL3211" s="9"/>
      <c r="AM3211" s="9"/>
      <c r="AN3211" s="9"/>
      <c r="AO3211" s="9"/>
      <c r="AP3211" s="9"/>
      <c r="AQ3211" s="9"/>
      <c r="AR3211" s="9"/>
      <c r="AS3211" s="9"/>
      <c r="AT3211" s="9"/>
      <c r="AU3211" s="9"/>
    </row>
    <row r="3212" spans="1:47" ht="15.75" customHeight="1">
      <c r="A3212" s="9"/>
      <c r="B3212" s="9"/>
      <c r="C3212" s="9"/>
      <c r="D3212" s="9"/>
      <c r="E3212" s="9"/>
      <c r="F3212" s="67"/>
      <c r="G3212" s="9"/>
      <c r="H3212" s="9"/>
      <c r="I3212" s="9"/>
      <c r="J3212" s="9"/>
      <c r="K3212" s="9"/>
      <c r="L3212" s="9"/>
      <c r="M3212" s="9"/>
      <c r="N3212" s="9"/>
      <c r="O3212" s="9"/>
      <c r="P3212" s="9"/>
      <c r="Q3212" s="9"/>
      <c r="R3212" s="9"/>
      <c r="S3212" s="9"/>
      <c r="T3212" s="9"/>
      <c r="U3212" s="9"/>
      <c r="V3212" s="9"/>
      <c r="W3212" s="9"/>
      <c r="X3212" s="9"/>
      <c r="Y3212" s="9"/>
      <c r="Z3212" s="9"/>
      <c r="AA3212" s="9"/>
      <c r="AB3212" s="9"/>
      <c r="AC3212" s="9"/>
      <c r="AD3212" s="9"/>
      <c r="AE3212" s="9"/>
      <c r="AF3212" s="9"/>
      <c r="AG3212" s="9"/>
      <c r="AH3212" s="9"/>
      <c r="AI3212" s="9"/>
      <c r="AJ3212" s="9"/>
      <c r="AK3212" s="9"/>
      <c r="AL3212" s="9"/>
      <c r="AM3212" s="9"/>
      <c r="AN3212" s="9"/>
      <c r="AO3212" s="9"/>
      <c r="AP3212" s="9"/>
      <c r="AQ3212" s="9"/>
      <c r="AR3212" s="9"/>
      <c r="AS3212" s="9"/>
      <c r="AT3212" s="9"/>
      <c r="AU3212" s="9"/>
    </row>
    <row r="3213" spans="1:47" ht="15.75" customHeight="1">
      <c r="A3213" s="9"/>
      <c r="B3213" s="9"/>
      <c r="C3213" s="9"/>
      <c r="D3213" s="9"/>
      <c r="E3213" s="9"/>
      <c r="F3213" s="67"/>
      <c r="G3213" s="9"/>
      <c r="H3213" s="9"/>
      <c r="I3213" s="9"/>
      <c r="J3213" s="9"/>
      <c r="K3213" s="9"/>
      <c r="L3213" s="9"/>
      <c r="M3213" s="9"/>
      <c r="N3213" s="9"/>
      <c r="O3213" s="9"/>
      <c r="P3213" s="9"/>
      <c r="Q3213" s="9"/>
      <c r="R3213" s="9"/>
      <c r="S3213" s="9"/>
      <c r="T3213" s="9"/>
      <c r="U3213" s="9"/>
      <c r="V3213" s="9"/>
      <c r="W3213" s="9"/>
      <c r="X3213" s="9"/>
      <c r="Y3213" s="9"/>
      <c r="Z3213" s="9"/>
      <c r="AA3213" s="9"/>
      <c r="AB3213" s="9"/>
      <c r="AC3213" s="9"/>
      <c r="AD3213" s="9"/>
      <c r="AE3213" s="9"/>
      <c r="AF3213" s="9"/>
      <c r="AG3213" s="9"/>
      <c r="AH3213" s="9"/>
      <c r="AI3213" s="9"/>
      <c r="AJ3213" s="9"/>
      <c r="AK3213" s="9"/>
      <c r="AL3213" s="9"/>
      <c r="AM3213" s="9"/>
      <c r="AN3213" s="9"/>
      <c r="AO3213" s="9"/>
      <c r="AP3213" s="9"/>
      <c r="AQ3213" s="9"/>
      <c r="AR3213" s="9"/>
      <c r="AS3213" s="9"/>
      <c r="AT3213" s="9"/>
      <c r="AU3213" s="9"/>
    </row>
    <row r="3214" spans="1:47" ht="15.75" customHeight="1">
      <c r="A3214" s="9"/>
      <c r="B3214" s="9"/>
      <c r="C3214" s="9"/>
      <c r="D3214" s="9"/>
      <c r="E3214" s="9"/>
      <c r="F3214" s="67"/>
      <c r="G3214" s="9"/>
      <c r="H3214" s="9"/>
      <c r="I3214" s="9"/>
      <c r="J3214" s="9"/>
      <c r="K3214" s="9"/>
      <c r="L3214" s="9"/>
      <c r="M3214" s="9"/>
      <c r="N3214" s="9"/>
      <c r="O3214" s="9"/>
      <c r="P3214" s="9"/>
      <c r="Q3214" s="9"/>
      <c r="R3214" s="9"/>
      <c r="S3214" s="9"/>
      <c r="T3214" s="9"/>
      <c r="U3214" s="9"/>
      <c r="V3214" s="9"/>
      <c r="W3214" s="9"/>
      <c r="X3214" s="9"/>
      <c r="Y3214" s="9"/>
      <c r="Z3214" s="9"/>
      <c r="AA3214" s="9"/>
      <c r="AB3214" s="9"/>
      <c r="AC3214" s="9"/>
      <c r="AD3214" s="9"/>
      <c r="AE3214" s="9"/>
      <c r="AF3214" s="9"/>
      <c r="AG3214" s="9"/>
      <c r="AH3214" s="9"/>
      <c r="AI3214" s="9"/>
      <c r="AJ3214" s="9"/>
      <c r="AK3214" s="9"/>
      <c r="AL3214" s="9"/>
      <c r="AM3214" s="9"/>
      <c r="AN3214" s="9"/>
      <c r="AO3214" s="9"/>
      <c r="AP3214" s="9"/>
      <c r="AQ3214" s="9"/>
      <c r="AR3214" s="9"/>
      <c r="AS3214" s="9"/>
      <c r="AT3214" s="9"/>
      <c r="AU3214" s="9"/>
    </row>
    <row r="3215" spans="1:47" ht="15.75" customHeight="1">
      <c r="A3215" s="9"/>
      <c r="B3215" s="9"/>
      <c r="C3215" s="9"/>
      <c r="D3215" s="9"/>
      <c r="E3215" s="9"/>
      <c r="F3215" s="67"/>
      <c r="G3215" s="9"/>
      <c r="H3215" s="9"/>
      <c r="I3215" s="9"/>
      <c r="J3215" s="9"/>
      <c r="K3215" s="9"/>
      <c r="L3215" s="9"/>
      <c r="M3215" s="9"/>
      <c r="N3215" s="9"/>
      <c r="O3215" s="9"/>
      <c r="P3215" s="9"/>
      <c r="Q3215" s="9"/>
      <c r="R3215" s="9"/>
      <c r="S3215" s="9"/>
      <c r="T3215" s="9"/>
      <c r="U3215" s="9"/>
      <c r="V3215" s="9"/>
      <c r="W3215" s="9"/>
      <c r="X3215" s="9"/>
      <c r="Y3215" s="9"/>
      <c r="Z3215" s="9"/>
      <c r="AA3215" s="9"/>
      <c r="AB3215" s="9"/>
      <c r="AC3215" s="9"/>
      <c r="AD3215" s="9"/>
      <c r="AE3215" s="9"/>
      <c r="AF3215" s="9"/>
      <c r="AG3215" s="9"/>
      <c r="AH3215" s="9"/>
      <c r="AI3215" s="9"/>
      <c r="AJ3215" s="9"/>
      <c r="AK3215" s="9"/>
      <c r="AL3215" s="9"/>
      <c r="AM3215" s="9"/>
      <c r="AN3215" s="9"/>
      <c r="AO3215" s="9"/>
      <c r="AP3215" s="9"/>
      <c r="AQ3215" s="9"/>
      <c r="AR3215" s="9"/>
      <c r="AS3215" s="9"/>
      <c r="AT3215" s="9"/>
      <c r="AU3215" s="9"/>
    </row>
    <row r="3216" spans="1:47" ht="15.75" customHeight="1">
      <c r="A3216" s="9"/>
      <c r="B3216" s="9"/>
      <c r="C3216" s="9"/>
      <c r="D3216" s="9"/>
      <c r="E3216" s="9"/>
      <c r="F3216" s="67"/>
      <c r="G3216" s="9"/>
      <c r="H3216" s="9"/>
      <c r="I3216" s="9"/>
      <c r="J3216" s="9"/>
      <c r="K3216" s="9"/>
      <c r="L3216" s="9"/>
      <c r="M3216" s="9"/>
      <c r="N3216" s="9"/>
      <c r="O3216" s="9"/>
      <c r="P3216" s="9"/>
      <c r="Q3216" s="9"/>
      <c r="R3216" s="9"/>
      <c r="S3216" s="9"/>
      <c r="T3216" s="9"/>
      <c r="U3216" s="9"/>
      <c r="V3216" s="9"/>
      <c r="W3216" s="9"/>
      <c r="X3216" s="9"/>
      <c r="Y3216" s="9"/>
      <c r="Z3216" s="9"/>
      <c r="AA3216" s="9"/>
      <c r="AB3216" s="9"/>
      <c r="AC3216" s="9"/>
      <c r="AD3216" s="9"/>
      <c r="AE3216" s="9"/>
      <c r="AF3216" s="9"/>
      <c r="AG3216" s="9"/>
      <c r="AH3216" s="9"/>
      <c r="AI3216" s="9"/>
      <c r="AJ3216" s="9"/>
      <c r="AK3216" s="9"/>
      <c r="AL3216" s="9"/>
      <c r="AM3216" s="9"/>
      <c r="AN3216" s="9"/>
      <c r="AO3216" s="9"/>
      <c r="AP3216" s="9"/>
      <c r="AQ3216" s="9"/>
      <c r="AR3216" s="9"/>
      <c r="AS3216" s="9"/>
      <c r="AT3216" s="9"/>
      <c r="AU3216" s="9"/>
    </row>
    <row r="3217" spans="1:47" ht="15.75" customHeight="1">
      <c r="A3217" s="9"/>
      <c r="B3217" s="9"/>
      <c r="C3217" s="9"/>
      <c r="D3217" s="9"/>
      <c r="E3217" s="9"/>
      <c r="F3217" s="67"/>
      <c r="G3217" s="9"/>
      <c r="H3217" s="9"/>
      <c r="I3217" s="9"/>
      <c r="J3217" s="9"/>
      <c r="K3217" s="9"/>
      <c r="L3217" s="9"/>
      <c r="M3217" s="9"/>
      <c r="N3217" s="9"/>
      <c r="O3217" s="9"/>
      <c r="P3217" s="9"/>
      <c r="Q3217" s="9"/>
      <c r="R3217" s="9"/>
      <c r="S3217" s="9"/>
      <c r="T3217" s="9"/>
      <c r="U3217" s="9"/>
      <c r="V3217" s="9"/>
      <c r="W3217" s="9"/>
      <c r="X3217" s="9"/>
      <c r="Y3217" s="9"/>
      <c r="Z3217" s="9"/>
      <c r="AA3217" s="9"/>
      <c r="AB3217" s="9"/>
      <c r="AC3217" s="9"/>
      <c r="AD3217" s="9"/>
      <c r="AE3217" s="9"/>
      <c r="AF3217" s="9"/>
      <c r="AG3217" s="9"/>
      <c r="AH3217" s="9"/>
      <c r="AI3217" s="9"/>
      <c r="AJ3217" s="9"/>
      <c r="AK3217" s="9"/>
      <c r="AL3217" s="9"/>
      <c r="AM3217" s="9"/>
      <c r="AN3217" s="9"/>
      <c r="AO3217" s="9"/>
      <c r="AP3217" s="9"/>
      <c r="AQ3217" s="9"/>
      <c r="AR3217" s="9"/>
      <c r="AS3217" s="9"/>
      <c r="AT3217" s="9"/>
      <c r="AU3217" s="9"/>
    </row>
    <row r="3218" spans="1:47" ht="15.75" customHeight="1">
      <c r="A3218" s="9"/>
      <c r="B3218" s="9"/>
      <c r="C3218" s="9"/>
      <c r="D3218" s="9"/>
      <c r="E3218" s="9"/>
      <c r="F3218" s="67"/>
      <c r="G3218" s="9"/>
      <c r="H3218" s="9"/>
      <c r="I3218" s="9"/>
      <c r="J3218" s="9"/>
      <c r="K3218" s="9"/>
      <c r="L3218" s="9"/>
      <c r="M3218" s="9"/>
      <c r="N3218" s="9"/>
      <c r="O3218" s="9"/>
      <c r="P3218" s="9"/>
      <c r="Q3218" s="9"/>
      <c r="R3218" s="9"/>
      <c r="S3218" s="9"/>
      <c r="T3218" s="9"/>
      <c r="U3218" s="9"/>
      <c r="V3218" s="9"/>
      <c r="W3218" s="9"/>
      <c r="X3218" s="9"/>
      <c r="Y3218" s="9"/>
      <c r="Z3218" s="9"/>
      <c r="AA3218" s="9"/>
      <c r="AB3218" s="9"/>
      <c r="AC3218" s="9"/>
      <c r="AD3218" s="9"/>
      <c r="AE3218" s="9"/>
      <c r="AF3218" s="9"/>
      <c r="AG3218" s="9"/>
      <c r="AH3218" s="9"/>
      <c r="AI3218" s="9"/>
      <c r="AJ3218" s="9"/>
      <c r="AK3218" s="9"/>
      <c r="AL3218" s="9"/>
      <c r="AM3218" s="9"/>
      <c r="AN3218" s="9"/>
      <c r="AO3218" s="9"/>
      <c r="AP3218" s="9"/>
      <c r="AQ3218" s="9"/>
      <c r="AR3218" s="9"/>
      <c r="AS3218" s="9"/>
      <c r="AT3218" s="9"/>
      <c r="AU3218" s="9"/>
    </row>
    <row r="3219" spans="1:47" ht="15.75" customHeight="1">
      <c r="A3219" s="9"/>
      <c r="B3219" s="9"/>
      <c r="C3219" s="9"/>
      <c r="D3219" s="9"/>
      <c r="E3219" s="9"/>
      <c r="F3219" s="67"/>
      <c r="G3219" s="9"/>
      <c r="H3219" s="9"/>
      <c r="I3219" s="9"/>
      <c r="J3219" s="9"/>
      <c r="K3219" s="9"/>
      <c r="L3219" s="9"/>
      <c r="M3219" s="9"/>
      <c r="N3219" s="9"/>
      <c r="O3219" s="9"/>
      <c r="P3219" s="9"/>
      <c r="Q3219" s="9"/>
      <c r="R3219" s="9"/>
      <c r="S3219" s="9"/>
      <c r="T3219" s="9"/>
      <c r="U3219" s="9"/>
      <c r="V3219" s="9"/>
      <c r="W3219" s="9"/>
      <c r="X3219" s="9"/>
      <c r="Y3219" s="9"/>
      <c r="Z3219" s="9"/>
      <c r="AA3219" s="9"/>
      <c r="AB3219" s="9"/>
      <c r="AC3219" s="9"/>
      <c r="AD3219" s="9"/>
      <c r="AE3219" s="9"/>
      <c r="AF3219" s="9"/>
      <c r="AG3219" s="9"/>
      <c r="AH3219" s="9"/>
      <c r="AI3219" s="9"/>
      <c r="AJ3219" s="9"/>
      <c r="AK3219" s="9"/>
      <c r="AL3219" s="9"/>
      <c r="AM3219" s="9"/>
      <c r="AN3219" s="9"/>
      <c r="AO3219" s="9"/>
      <c r="AP3219" s="9"/>
      <c r="AQ3219" s="9"/>
      <c r="AR3219" s="9"/>
      <c r="AS3219" s="9"/>
      <c r="AT3219" s="9"/>
      <c r="AU3219" s="9"/>
    </row>
    <row r="3220" spans="1:47" ht="15.75" customHeight="1">
      <c r="A3220" s="9"/>
      <c r="B3220" s="9"/>
      <c r="C3220" s="9"/>
      <c r="D3220" s="9"/>
      <c r="E3220" s="9"/>
      <c r="F3220" s="67"/>
      <c r="G3220" s="9"/>
      <c r="H3220" s="9"/>
      <c r="I3220" s="9"/>
      <c r="J3220" s="9"/>
      <c r="K3220" s="9"/>
      <c r="L3220" s="9"/>
      <c r="M3220" s="9"/>
      <c r="N3220" s="9"/>
      <c r="O3220" s="9"/>
      <c r="P3220" s="9"/>
      <c r="Q3220" s="9"/>
      <c r="R3220" s="9"/>
      <c r="S3220" s="9"/>
      <c r="T3220" s="9"/>
      <c r="U3220" s="9"/>
      <c r="V3220" s="9"/>
      <c r="W3220" s="9"/>
      <c r="X3220" s="9"/>
      <c r="Y3220" s="9"/>
      <c r="Z3220" s="9"/>
      <c r="AA3220" s="9"/>
      <c r="AB3220" s="9"/>
      <c r="AC3220" s="9"/>
      <c r="AD3220" s="9"/>
      <c r="AE3220" s="9"/>
      <c r="AF3220" s="9"/>
      <c r="AG3220" s="9"/>
      <c r="AH3220" s="9"/>
      <c r="AI3220" s="9"/>
      <c r="AJ3220" s="9"/>
      <c r="AK3220" s="9"/>
      <c r="AL3220" s="9"/>
      <c r="AM3220" s="9"/>
      <c r="AN3220" s="9"/>
      <c r="AO3220" s="9"/>
      <c r="AP3220" s="9"/>
      <c r="AQ3220" s="9"/>
      <c r="AR3220" s="9"/>
      <c r="AS3220" s="9"/>
      <c r="AT3220" s="9"/>
      <c r="AU3220" s="9"/>
    </row>
    <row r="3221" spans="1:47" ht="15.75" customHeight="1">
      <c r="A3221" s="9"/>
      <c r="B3221" s="9"/>
      <c r="C3221" s="9"/>
      <c r="D3221" s="9"/>
      <c r="E3221" s="9"/>
      <c r="F3221" s="67"/>
      <c r="G3221" s="9"/>
      <c r="H3221" s="9"/>
      <c r="I3221" s="9"/>
      <c r="J3221" s="9"/>
      <c r="K3221" s="9"/>
      <c r="L3221" s="9"/>
      <c r="M3221" s="9"/>
      <c r="N3221" s="9"/>
      <c r="O3221" s="9"/>
      <c r="P3221" s="9"/>
      <c r="Q3221" s="9"/>
      <c r="R3221" s="9"/>
      <c r="S3221" s="9"/>
      <c r="T3221" s="9"/>
      <c r="U3221" s="9"/>
      <c r="V3221" s="9"/>
      <c r="W3221" s="9"/>
      <c r="X3221" s="9"/>
      <c r="Y3221" s="9"/>
      <c r="Z3221" s="9"/>
      <c r="AA3221" s="9"/>
      <c r="AB3221" s="9"/>
      <c r="AC3221" s="9"/>
      <c r="AD3221" s="9"/>
      <c r="AE3221" s="9"/>
      <c r="AF3221" s="9"/>
      <c r="AG3221" s="9"/>
      <c r="AH3221" s="9"/>
      <c r="AI3221" s="9"/>
      <c r="AJ3221" s="9"/>
      <c r="AK3221" s="9"/>
      <c r="AL3221" s="9"/>
      <c r="AM3221" s="9"/>
      <c r="AN3221" s="9"/>
      <c r="AO3221" s="9"/>
      <c r="AP3221" s="9"/>
      <c r="AQ3221" s="9"/>
      <c r="AR3221" s="9"/>
      <c r="AS3221" s="9"/>
      <c r="AT3221" s="9"/>
      <c r="AU3221" s="9"/>
    </row>
    <row r="3222" spans="1:47" ht="15.75" customHeight="1">
      <c r="A3222" s="9"/>
      <c r="B3222" s="9"/>
      <c r="C3222" s="9"/>
      <c r="D3222" s="9"/>
      <c r="E3222" s="9"/>
      <c r="F3222" s="67"/>
      <c r="G3222" s="9"/>
      <c r="H3222" s="9"/>
      <c r="I3222" s="9"/>
      <c r="J3222" s="9"/>
      <c r="K3222" s="9"/>
      <c r="L3222" s="9"/>
      <c r="M3222" s="9"/>
      <c r="N3222" s="9"/>
      <c r="O3222" s="9"/>
      <c r="P3222" s="9"/>
      <c r="Q3222" s="9"/>
      <c r="R3222" s="9"/>
      <c r="S3222" s="9"/>
      <c r="T3222" s="9"/>
      <c r="U3222" s="9"/>
      <c r="V3222" s="9"/>
      <c r="W3222" s="9"/>
      <c r="X3222" s="9"/>
      <c r="Y3222" s="9"/>
      <c r="Z3222" s="9"/>
      <c r="AA3222" s="9"/>
      <c r="AB3222" s="9"/>
      <c r="AC3222" s="9"/>
      <c r="AD3222" s="9"/>
      <c r="AE3222" s="9"/>
      <c r="AF3222" s="9"/>
      <c r="AG3222" s="9"/>
      <c r="AH3222" s="9"/>
      <c r="AI3222" s="9"/>
      <c r="AJ3222" s="9"/>
      <c r="AK3222" s="9"/>
      <c r="AL3222" s="9"/>
      <c r="AM3222" s="9"/>
      <c r="AN3222" s="9"/>
      <c r="AO3222" s="9"/>
      <c r="AP3222" s="9"/>
      <c r="AQ3222" s="9"/>
      <c r="AR3222" s="9"/>
      <c r="AS3222" s="9"/>
      <c r="AT3222" s="9"/>
      <c r="AU3222" s="9"/>
    </row>
    <row r="3223" spans="1:47" ht="15.75" customHeight="1">
      <c r="A3223" s="9"/>
      <c r="B3223" s="9"/>
      <c r="C3223" s="9"/>
      <c r="D3223" s="9"/>
      <c r="E3223" s="9"/>
      <c r="F3223" s="67"/>
      <c r="G3223" s="9"/>
      <c r="H3223" s="9"/>
      <c r="I3223" s="9"/>
      <c r="J3223" s="9"/>
      <c r="K3223" s="9"/>
      <c r="L3223" s="9"/>
      <c r="M3223" s="9"/>
      <c r="N3223" s="9"/>
      <c r="O3223" s="9"/>
      <c r="P3223" s="9"/>
      <c r="Q3223" s="9"/>
      <c r="R3223" s="9"/>
      <c r="S3223" s="9"/>
      <c r="T3223" s="9"/>
      <c r="U3223" s="9"/>
      <c r="V3223" s="9"/>
      <c r="W3223" s="9"/>
      <c r="X3223" s="9"/>
      <c r="Y3223" s="9"/>
      <c r="Z3223" s="9"/>
      <c r="AA3223" s="9"/>
      <c r="AB3223" s="9"/>
      <c r="AC3223" s="9"/>
      <c r="AD3223" s="9"/>
      <c r="AE3223" s="9"/>
      <c r="AF3223" s="9"/>
      <c r="AG3223" s="9"/>
      <c r="AH3223" s="9"/>
      <c r="AI3223" s="9"/>
      <c r="AJ3223" s="9"/>
      <c r="AK3223" s="9"/>
      <c r="AL3223" s="9"/>
      <c r="AM3223" s="9"/>
      <c r="AN3223" s="9"/>
      <c r="AO3223" s="9"/>
      <c r="AP3223" s="9"/>
      <c r="AQ3223" s="9"/>
      <c r="AR3223" s="9"/>
      <c r="AS3223" s="9"/>
      <c r="AT3223" s="9"/>
      <c r="AU3223" s="9"/>
    </row>
    <row r="3224" spans="1:47" ht="15.75" customHeight="1">
      <c r="A3224" s="9"/>
      <c r="B3224" s="9"/>
      <c r="C3224" s="9"/>
      <c r="D3224" s="9"/>
      <c r="E3224" s="9"/>
      <c r="F3224" s="67"/>
      <c r="G3224" s="9"/>
      <c r="H3224" s="9"/>
      <c r="I3224" s="9"/>
      <c r="J3224" s="9"/>
      <c r="K3224" s="9"/>
      <c r="L3224" s="9"/>
      <c r="M3224" s="9"/>
      <c r="N3224" s="9"/>
      <c r="O3224" s="9"/>
      <c r="P3224" s="9"/>
      <c r="Q3224" s="9"/>
      <c r="R3224" s="9"/>
      <c r="S3224" s="9"/>
      <c r="T3224" s="9"/>
      <c r="U3224" s="9"/>
      <c r="V3224" s="9"/>
      <c r="W3224" s="9"/>
      <c r="X3224" s="9"/>
      <c r="Y3224" s="9"/>
      <c r="Z3224" s="9"/>
      <c r="AA3224" s="9"/>
      <c r="AB3224" s="9"/>
      <c r="AC3224" s="9"/>
      <c r="AD3224" s="9"/>
      <c r="AE3224" s="9"/>
      <c r="AF3224" s="9"/>
      <c r="AG3224" s="9"/>
      <c r="AH3224" s="9"/>
      <c r="AI3224" s="9"/>
      <c r="AJ3224" s="9"/>
      <c r="AK3224" s="9"/>
      <c r="AL3224" s="9"/>
      <c r="AM3224" s="9"/>
      <c r="AN3224" s="9"/>
      <c r="AO3224" s="9"/>
      <c r="AP3224" s="9"/>
      <c r="AQ3224" s="9"/>
      <c r="AR3224" s="9"/>
      <c r="AS3224" s="9"/>
      <c r="AT3224" s="9"/>
      <c r="AU3224" s="9"/>
    </row>
    <row r="3225" spans="1:47" ht="15.75" customHeight="1">
      <c r="A3225" s="9"/>
      <c r="B3225" s="9"/>
      <c r="C3225" s="9"/>
      <c r="D3225" s="9"/>
      <c r="E3225" s="9"/>
      <c r="F3225" s="67"/>
      <c r="G3225" s="9"/>
      <c r="H3225" s="9"/>
      <c r="I3225" s="9"/>
      <c r="J3225" s="9"/>
      <c r="K3225" s="9"/>
      <c r="L3225" s="9"/>
      <c r="M3225" s="9"/>
      <c r="N3225" s="9"/>
      <c r="O3225" s="9"/>
      <c r="P3225" s="9"/>
      <c r="Q3225" s="9"/>
      <c r="R3225" s="9"/>
      <c r="S3225" s="9"/>
      <c r="T3225" s="9"/>
      <c r="U3225" s="9"/>
      <c r="V3225" s="9"/>
      <c r="W3225" s="9"/>
      <c r="X3225" s="9"/>
      <c r="Y3225" s="9"/>
      <c r="Z3225" s="9"/>
      <c r="AA3225" s="9"/>
      <c r="AB3225" s="9"/>
      <c r="AC3225" s="9"/>
      <c r="AD3225" s="9"/>
      <c r="AE3225" s="9"/>
      <c r="AF3225" s="9"/>
      <c r="AG3225" s="9"/>
      <c r="AH3225" s="9"/>
      <c r="AI3225" s="9"/>
      <c r="AJ3225" s="9"/>
      <c r="AK3225" s="9"/>
      <c r="AL3225" s="9"/>
      <c r="AM3225" s="9"/>
      <c r="AN3225" s="9"/>
      <c r="AO3225" s="9"/>
      <c r="AP3225" s="9"/>
      <c r="AQ3225" s="9"/>
      <c r="AR3225" s="9"/>
      <c r="AS3225" s="9"/>
      <c r="AT3225" s="9"/>
      <c r="AU3225" s="9"/>
    </row>
    <row r="3226" spans="1:47" ht="15.75" customHeight="1">
      <c r="A3226" s="9"/>
      <c r="B3226" s="9"/>
      <c r="C3226" s="9"/>
      <c r="D3226" s="9"/>
      <c r="E3226" s="9"/>
      <c r="F3226" s="67"/>
      <c r="G3226" s="9"/>
      <c r="H3226" s="9"/>
      <c r="I3226" s="9"/>
      <c r="J3226" s="9"/>
      <c r="K3226" s="9"/>
      <c r="L3226" s="9"/>
      <c r="M3226" s="9"/>
      <c r="N3226" s="9"/>
      <c r="O3226" s="9"/>
      <c r="P3226" s="9"/>
      <c r="Q3226" s="9"/>
      <c r="R3226" s="9"/>
      <c r="S3226" s="9"/>
      <c r="T3226" s="9"/>
      <c r="U3226" s="9"/>
      <c r="V3226" s="9"/>
      <c r="W3226" s="9"/>
      <c r="X3226" s="9"/>
      <c r="Y3226" s="9"/>
      <c r="Z3226" s="9"/>
      <c r="AA3226" s="9"/>
      <c r="AB3226" s="9"/>
      <c r="AC3226" s="9"/>
      <c r="AD3226" s="9"/>
      <c r="AE3226" s="9"/>
      <c r="AF3226" s="9"/>
      <c r="AG3226" s="9"/>
      <c r="AH3226" s="9"/>
      <c r="AI3226" s="9"/>
      <c r="AJ3226" s="9"/>
      <c r="AK3226" s="9"/>
      <c r="AL3226" s="9"/>
      <c r="AM3226" s="9"/>
      <c r="AN3226" s="9"/>
      <c r="AO3226" s="9"/>
      <c r="AP3226" s="9"/>
      <c r="AQ3226" s="9"/>
      <c r="AR3226" s="9"/>
      <c r="AS3226" s="9"/>
      <c r="AT3226" s="9"/>
      <c r="AU3226" s="9"/>
    </row>
    <row r="3227" spans="1:47" ht="15.75" customHeight="1">
      <c r="A3227" s="9"/>
      <c r="B3227" s="9"/>
      <c r="C3227" s="9"/>
      <c r="D3227" s="9"/>
      <c r="E3227" s="9"/>
      <c r="F3227" s="67"/>
      <c r="G3227" s="9"/>
      <c r="H3227" s="9"/>
      <c r="I3227" s="9"/>
      <c r="J3227" s="9"/>
      <c r="K3227" s="9"/>
      <c r="L3227" s="9"/>
      <c r="M3227" s="9"/>
      <c r="N3227" s="9"/>
      <c r="O3227" s="9"/>
      <c r="P3227" s="9"/>
      <c r="Q3227" s="9"/>
      <c r="R3227" s="9"/>
      <c r="S3227" s="9"/>
      <c r="T3227" s="9"/>
      <c r="U3227" s="9"/>
      <c r="V3227" s="9"/>
      <c r="W3227" s="9"/>
      <c r="X3227" s="9"/>
      <c r="Y3227" s="9"/>
      <c r="Z3227" s="9"/>
      <c r="AA3227" s="9"/>
      <c r="AB3227" s="9"/>
      <c r="AC3227" s="9"/>
      <c r="AD3227" s="9"/>
      <c r="AE3227" s="9"/>
      <c r="AF3227" s="9"/>
      <c r="AG3227" s="9"/>
      <c r="AH3227" s="9"/>
      <c r="AI3227" s="9"/>
      <c r="AJ3227" s="9"/>
      <c r="AK3227" s="9"/>
      <c r="AL3227" s="9"/>
      <c r="AM3227" s="9"/>
      <c r="AN3227" s="9"/>
      <c r="AO3227" s="9"/>
      <c r="AP3227" s="9"/>
      <c r="AQ3227" s="9"/>
      <c r="AR3227" s="9"/>
      <c r="AS3227" s="9"/>
      <c r="AT3227" s="9"/>
      <c r="AU3227" s="9"/>
    </row>
    <row r="3228" spans="1:47" ht="15.75" customHeight="1">
      <c r="A3228" s="9"/>
      <c r="B3228" s="9"/>
      <c r="C3228" s="9"/>
      <c r="D3228" s="9"/>
      <c r="E3228" s="9"/>
      <c r="F3228" s="67"/>
      <c r="G3228" s="9"/>
      <c r="H3228" s="9"/>
      <c r="I3228" s="9"/>
      <c r="J3228" s="9"/>
      <c r="K3228" s="9"/>
      <c r="L3228" s="9"/>
      <c r="M3228" s="9"/>
      <c r="N3228" s="9"/>
      <c r="O3228" s="9"/>
      <c r="P3228" s="9"/>
      <c r="Q3228" s="9"/>
      <c r="R3228" s="9"/>
      <c r="S3228" s="9"/>
      <c r="T3228" s="9"/>
      <c r="U3228" s="9"/>
      <c r="V3228" s="9"/>
      <c r="W3228" s="9"/>
      <c r="X3228" s="9"/>
      <c r="Y3228" s="9"/>
      <c r="Z3228" s="9"/>
      <c r="AA3228" s="9"/>
      <c r="AB3228" s="9"/>
      <c r="AC3228" s="9"/>
      <c r="AD3228" s="9"/>
      <c r="AE3228" s="9"/>
      <c r="AF3228" s="9"/>
      <c r="AG3228" s="9"/>
      <c r="AH3228" s="9"/>
      <c r="AI3228" s="9"/>
      <c r="AJ3228" s="9"/>
      <c r="AK3228" s="9"/>
      <c r="AL3228" s="9"/>
      <c r="AM3228" s="9"/>
      <c r="AN3228" s="9"/>
      <c r="AO3228" s="9"/>
      <c r="AP3228" s="9"/>
      <c r="AQ3228" s="9"/>
      <c r="AR3228" s="9"/>
      <c r="AS3228" s="9"/>
      <c r="AT3228" s="9"/>
      <c r="AU3228" s="9"/>
    </row>
    <row r="3229" spans="1:47" ht="15.75" customHeight="1">
      <c r="A3229" s="9"/>
      <c r="B3229" s="9"/>
      <c r="C3229" s="9"/>
      <c r="D3229" s="9"/>
      <c r="E3229" s="9"/>
      <c r="F3229" s="67"/>
      <c r="G3229" s="9"/>
      <c r="H3229" s="9"/>
      <c r="I3229" s="9"/>
      <c r="J3229" s="9"/>
      <c r="K3229" s="9"/>
      <c r="L3229" s="9"/>
      <c r="M3229" s="9"/>
      <c r="N3229" s="9"/>
      <c r="O3229" s="9"/>
      <c r="P3229" s="9"/>
      <c r="Q3229" s="9"/>
      <c r="R3229" s="9"/>
      <c r="S3229" s="9"/>
      <c r="T3229" s="9"/>
      <c r="U3229" s="9"/>
      <c r="V3229" s="9"/>
      <c r="W3229" s="9"/>
      <c r="X3229" s="9"/>
      <c r="Y3229" s="9"/>
      <c r="Z3229" s="9"/>
      <c r="AA3229" s="9"/>
      <c r="AB3229" s="9"/>
      <c r="AC3229" s="9"/>
      <c r="AD3229" s="9"/>
      <c r="AE3229" s="9"/>
      <c r="AF3229" s="9"/>
      <c r="AG3229" s="9"/>
      <c r="AH3229" s="9"/>
      <c r="AI3229" s="9"/>
      <c r="AJ3229" s="9"/>
      <c r="AK3229" s="9"/>
      <c r="AL3229" s="9"/>
      <c r="AM3229" s="9"/>
      <c r="AN3229" s="9"/>
      <c r="AO3229" s="9"/>
      <c r="AP3229" s="9"/>
      <c r="AQ3229" s="9"/>
      <c r="AR3229" s="9"/>
      <c r="AS3229" s="9"/>
      <c r="AT3229" s="9"/>
      <c r="AU3229" s="9"/>
    </row>
    <row r="3230" spans="1:47" ht="15.75" customHeight="1">
      <c r="A3230" s="9"/>
      <c r="B3230" s="9"/>
      <c r="C3230" s="9"/>
      <c r="D3230" s="9"/>
      <c r="E3230" s="9"/>
      <c r="F3230" s="67"/>
      <c r="G3230" s="9"/>
      <c r="H3230" s="9"/>
      <c r="I3230" s="9"/>
      <c r="J3230" s="9"/>
      <c r="K3230" s="9"/>
      <c r="L3230" s="9"/>
      <c r="M3230" s="9"/>
      <c r="N3230" s="9"/>
      <c r="O3230" s="9"/>
      <c r="P3230" s="9"/>
      <c r="Q3230" s="9"/>
      <c r="R3230" s="9"/>
      <c r="S3230" s="9"/>
      <c r="T3230" s="9"/>
      <c r="U3230" s="9"/>
      <c r="V3230" s="9"/>
      <c r="W3230" s="9"/>
      <c r="X3230" s="9"/>
      <c r="Y3230" s="9"/>
      <c r="Z3230" s="9"/>
      <c r="AA3230" s="9"/>
      <c r="AB3230" s="9"/>
      <c r="AC3230" s="9"/>
      <c r="AD3230" s="9"/>
      <c r="AE3230" s="9"/>
      <c r="AF3230" s="9"/>
      <c r="AG3230" s="9"/>
      <c r="AH3230" s="9"/>
      <c r="AI3230" s="9"/>
      <c r="AJ3230" s="9"/>
      <c r="AK3230" s="9"/>
      <c r="AL3230" s="9"/>
      <c r="AM3230" s="9"/>
      <c r="AN3230" s="9"/>
      <c r="AO3230" s="9"/>
      <c r="AP3230" s="9"/>
      <c r="AQ3230" s="9"/>
      <c r="AR3230" s="9"/>
      <c r="AS3230" s="9"/>
      <c r="AT3230" s="9"/>
      <c r="AU3230" s="9"/>
    </row>
    <row r="3231" spans="1:47" ht="15.75" customHeight="1">
      <c r="A3231" s="9"/>
      <c r="B3231" s="9"/>
      <c r="C3231" s="9"/>
      <c r="D3231" s="9"/>
      <c r="E3231" s="9"/>
      <c r="F3231" s="67"/>
      <c r="G3231" s="9"/>
      <c r="H3231" s="9"/>
      <c r="I3231" s="9"/>
      <c r="J3231" s="9"/>
      <c r="K3231" s="9"/>
      <c r="L3231" s="9"/>
      <c r="M3231" s="9"/>
      <c r="N3231" s="9"/>
      <c r="O3231" s="9"/>
      <c r="P3231" s="9"/>
      <c r="Q3231" s="9"/>
      <c r="R3231" s="9"/>
      <c r="S3231" s="9"/>
      <c r="T3231" s="9"/>
      <c r="U3231" s="9"/>
      <c r="V3231" s="9"/>
      <c r="W3231" s="9"/>
      <c r="X3231" s="9"/>
      <c r="Y3231" s="9"/>
      <c r="Z3231" s="9"/>
      <c r="AA3231" s="9"/>
      <c r="AB3231" s="9"/>
      <c r="AC3231" s="9"/>
      <c r="AD3231" s="9"/>
      <c r="AE3231" s="9"/>
      <c r="AF3231" s="9"/>
      <c r="AG3231" s="9"/>
      <c r="AH3231" s="9"/>
      <c r="AI3231" s="9"/>
      <c r="AJ3231" s="9"/>
      <c r="AK3231" s="9"/>
      <c r="AL3231" s="9"/>
      <c r="AM3231" s="9"/>
      <c r="AN3231" s="9"/>
      <c r="AO3231" s="9"/>
      <c r="AP3231" s="9"/>
      <c r="AQ3231" s="9"/>
      <c r="AR3231" s="9"/>
      <c r="AS3231" s="9"/>
      <c r="AT3231" s="9"/>
      <c r="AU3231" s="9"/>
    </row>
    <row r="3232" spans="1:47" ht="15.75" customHeight="1">
      <c r="A3232" s="9"/>
      <c r="B3232" s="9"/>
      <c r="C3232" s="9"/>
      <c r="D3232" s="9"/>
      <c r="E3232" s="9"/>
      <c r="F3232" s="67"/>
      <c r="G3232" s="9"/>
      <c r="H3232" s="9"/>
      <c r="I3232" s="9"/>
      <c r="J3232" s="9"/>
      <c r="K3232" s="9"/>
      <c r="L3232" s="9"/>
      <c r="M3232" s="9"/>
      <c r="N3232" s="9"/>
      <c r="O3232" s="9"/>
      <c r="P3232" s="9"/>
      <c r="Q3232" s="9"/>
      <c r="R3232" s="9"/>
      <c r="S3232" s="9"/>
      <c r="T3232" s="9"/>
      <c r="U3232" s="9"/>
      <c r="V3232" s="9"/>
      <c r="W3232" s="9"/>
      <c r="X3232" s="9"/>
      <c r="Y3232" s="9"/>
      <c r="Z3232" s="9"/>
      <c r="AA3232" s="9"/>
      <c r="AB3232" s="9"/>
      <c r="AC3232" s="9"/>
      <c r="AD3232" s="9"/>
      <c r="AE3232" s="9"/>
      <c r="AF3232" s="9"/>
      <c r="AG3232" s="9"/>
      <c r="AH3232" s="9"/>
      <c r="AI3232" s="9"/>
      <c r="AJ3232" s="9"/>
      <c r="AK3232" s="9"/>
      <c r="AL3232" s="9"/>
      <c r="AM3232" s="9"/>
      <c r="AN3232" s="9"/>
      <c r="AO3232" s="9"/>
      <c r="AP3232" s="9"/>
      <c r="AQ3232" s="9"/>
      <c r="AR3232" s="9"/>
      <c r="AS3232" s="9"/>
      <c r="AT3232" s="9"/>
      <c r="AU3232" s="9"/>
    </row>
    <row r="3233" spans="1:47" ht="15.75" customHeight="1">
      <c r="A3233" s="9"/>
      <c r="B3233" s="9"/>
      <c r="C3233" s="9"/>
      <c r="D3233" s="9"/>
      <c r="E3233" s="9"/>
      <c r="F3233" s="67"/>
      <c r="G3233" s="9"/>
      <c r="H3233" s="9"/>
      <c r="I3233" s="9"/>
      <c r="J3233" s="9"/>
      <c r="K3233" s="9"/>
      <c r="L3233" s="9"/>
      <c r="M3233" s="9"/>
      <c r="N3233" s="9"/>
      <c r="O3233" s="9"/>
      <c r="P3233" s="9"/>
      <c r="Q3233" s="9"/>
      <c r="R3233" s="9"/>
      <c r="S3233" s="9"/>
      <c r="T3233" s="9"/>
      <c r="U3233" s="9"/>
      <c r="V3233" s="9"/>
      <c r="W3233" s="9"/>
      <c r="X3233" s="9"/>
      <c r="Y3233" s="9"/>
      <c r="Z3233" s="9"/>
      <c r="AA3233" s="9"/>
      <c r="AB3233" s="9"/>
      <c r="AC3233" s="9"/>
      <c r="AD3233" s="9"/>
      <c r="AE3233" s="9"/>
      <c r="AF3233" s="9"/>
      <c r="AG3233" s="9"/>
      <c r="AH3233" s="9"/>
      <c r="AI3233" s="9"/>
      <c r="AJ3233" s="9"/>
      <c r="AK3233" s="9"/>
      <c r="AL3233" s="9"/>
      <c r="AM3233" s="9"/>
      <c r="AN3233" s="9"/>
      <c r="AO3233" s="9"/>
      <c r="AP3233" s="9"/>
      <c r="AQ3233" s="9"/>
      <c r="AR3233" s="9"/>
      <c r="AS3233" s="9"/>
      <c r="AT3233" s="9"/>
      <c r="AU3233" s="9"/>
    </row>
    <row r="3234" spans="1:47" ht="15.75" customHeight="1">
      <c r="A3234" s="9"/>
      <c r="B3234" s="9"/>
      <c r="C3234" s="9"/>
      <c r="D3234" s="9"/>
      <c r="E3234" s="9"/>
      <c r="F3234" s="67"/>
      <c r="G3234" s="9"/>
      <c r="H3234" s="9"/>
      <c r="I3234" s="9"/>
      <c r="J3234" s="9"/>
      <c r="K3234" s="9"/>
      <c r="L3234" s="9"/>
      <c r="M3234" s="9"/>
      <c r="N3234" s="9"/>
      <c r="O3234" s="9"/>
      <c r="P3234" s="9"/>
      <c r="Q3234" s="9"/>
      <c r="R3234" s="9"/>
      <c r="S3234" s="9"/>
      <c r="T3234" s="9"/>
      <c r="U3234" s="9"/>
      <c r="V3234" s="9"/>
      <c r="W3234" s="9"/>
      <c r="X3234" s="9"/>
      <c r="Y3234" s="9"/>
      <c r="Z3234" s="9"/>
      <c r="AA3234" s="9"/>
      <c r="AB3234" s="9"/>
      <c r="AC3234" s="9"/>
      <c r="AD3234" s="9"/>
      <c r="AE3234" s="9"/>
      <c r="AF3234" s="9"/>
      <c r="AG3234" s="9"/>
      <c r="AH3234" s="9"/>
      <c r="AI3234" s="9"/>
      <c r="AJ3234" s="9"/>
      <c r="AK3234" s="9"/>
      <c r="AL3234" s="9"/>
      <c r="AM3234" s="9"/>
      <c r="AN3234" s="9"/>
      <c r="AO3234" s="9"/>
      <c r="AP3234" s="9"/>
      <c r="AQ3234" s="9"/>
      <c r="AR3234" s="9"/>
      <c r="AS3234" s="9"/>
      <c r="AT3234" s="9"/>
      <c r="AU3234" s="9"/>
    </row>
    <row r="3235" spans="1:47" ht="15.75" customHeight="1">
      <c r="A3235" s="9"/>
      <c r="B3235" s="9"/>
      <c r="C3235" s="9"/>
      <c r="D3235" s="9"/>
      <c r="E3235" s="9"/>
      <c r="F3235" s="67"/>
      <c r="G3235" s="9"/>
      <c r="H3235" s="9"/>
      <c r="I3235" s="9"/>
      <c r="J3235" s="9"/>
      <c r="K3235" s="9"/>
      <c r="L3235" s="9"/>
      <c r="M3235" s="9"/>
      <c r="N3235" s="9"/>
      <c r="O3235" s="9"/>
      <c r="P3235" s="9"/>
      <c r="Q3235" s="9"/>
      <c r="R3235" s="9"/>
      <c r="S3235" s="9"/>
      <c r="T3235" s="9"/>
      <c r="U3235" s="9"/>
      <c r="V3235" s="9"/>
      <c r="W3235" s="9"/>
      <c r="X3235" s="9"/>
      <c r="Y3235" s="9"/>
      <c r="Z3235" s="9"/>
      <c r="AA3235" s="9"/>
      <c r="AB3235" s="9"/>
      <c r="AC3235" s="9"/>
      <c r="AD3235" s="9"/>
      <c r="AE3235" s="9"/>
      <c r="AF3235" s="9"/>
      <c r="AG3235" s="9"/>
      <c r="AH3235" s="9"/>
      <c r="AI3235" s="9"/>
      <c r="AJ3235" s="9"/>
      <c r="AK3235" s="9"/>
      <c r="AL3235" s="9"/>
      <c r="AM3235" s="9"/>
      <c r="AN3235" s="9"/>
      <c r="AO3235" s="9"/>
      <c r="AP3235" s="9"/>
      <c r="AQ3235" s="9"/>
      <c r="AR3235" s="9"/>
      <c r="AS3235" s="9"/>
      <c r="AT3235" s="9"/>
      <c r="AU3235" s="9"/>
    </row>
    <row r="3236" spans="1:47" ht="15.75" customHeight="1">
      <c r="A3236" s="9"/>
      <c r="B3236" s="9"/>
      <c r="C3236" s="9"/>
      <c r="D3236" s="9"/>
      <c r="E3236" s="9"/>
      <c r="F3236" s="67"/>
      <c r="G3236" s="9"/>
      <c r="H3236" s="9"/>
      <c r="I3236" s="9"/>
      <c r="J3236" s="9"/>
      <c r="K3236" s="9"/>
      <c r="L3236" s="9"/>
      <c r="M3236" s="9"/>
      <c r="N3236" s="9"/>
      <c r="O3236" s="9"/>
      <c r="P3236" s="9"/>
      <c r="Q3236" s="9"/>
      <c r="R3236" s="9"/>
      <c r="S3236" s="9"/>
      <c r="T3236" s="9"/>
      <c r="U3236" s="9"/>
      <c r="V3236" s="9"/>
      <c r="W3236" s="9"/>
      <c r="X3236" s="9"/>
      <c r="Y3236" s="9"/>
      <c r="Z3236" s="9"/>
      <c r="AA3236" s="9"/>
      <c r="AB3236" s="9"/>
      <c r="AC3236" s="9"/>
      <c r="AD3236" s="9"/>
      <c r="AE3236" s="9"/>
      <c r="AF3236" s="9"/>
      <c r="AG3236" s="9"/>
      <c r="AH3236" s="9"/>
      <c r="AI3236" s="9"/>
      <c r="AJ3236" s="9"/>
      <c r="AK3236" s="9"/>
      <c r="AL3236" s="9"/>
      <c r="AM3236" s="9"/>
      <c r="AN3236" s="9"/>
      <c r="AO3236" s="9"/>
      <c r="AP3236" s="9"/>
      <c r="AQ3236" s="9"/>
      <c r="AR3236" s="9"/>
      <c r="AS3236" s="9"/>
      <c r="AT3236" s="9"/>
      <c r="AU3236" s="9"/>
    </row>
    <row r="3237" spans="1:47" ht="15.75" customHeight="1">
      <c r="A3237" s="9"/>
      <c r="B3237" s="9"/>
      <c r="C3237" s="9"/>
      <c r="D3237" s="9"/>
      <c r="E3237" s="9"/>
      <c r="F3237" s="67"/>
      <c r="G3237" s="9"/>
      <c r="H3237" s="9"/>
      <c r="I3237" s="9"/>
      <c r="J3237" s="9"/>
      <c r="K3237" s="9"/>
      <c r="L3237" s="9"/>
      <c r="M3237" s="9"/>
      <c r="N3237" s="9"/>
      <c r="O3237" s="9"/>
      <c r="P3237" s="9"/>
      <c r="Q3237" s="9"/>
      <c r="R3237" s="9"/>
      <c r="S3237" s="9"/>
      <c r="T3237" s="9"/>
      <c r="U3237" s="9"/>
      <c r="V3237" s="9"/>
      <c r="W3237" s="9"/>
      <c r="X3237" s="9"/>
      <c r="Y3237" s="9"/>
      <c r="Z3237" s="9"/>
      <c r="AA3237" s="9"/>
      <c r="AB3237" s="9"/>
      <c r="AC3237" s="9"/>
      <c r="AD3237" s="9"/>
      <c r="AE3237" s="9"/>
      <c r="AF3237" s="9"/>
      <c r="AG3237" s="9"/>
      <c r="AH3237" s="9"/>
      <c r="AI3237" s="9"/>
      <c r="AJ3237" s="9"/>
      <c r="AK3237" s="9"/>
      <c r="AL3237" s="9"/>
      <c r="AM3237" s="9"/>
      <c r="AN3237" s="9"/>
      <c r="AO3237" s="9"/>
      <c r="AP3237" s="9"/>
      <c r="AQ3237" s="9"/>
      <c r="AR3237" s="9"/>
      <c r="AS3237" s="9"/>
      <c r="AT3237" s="9"/>
      <c r="AU3237" s="9"/>
    </row>
    <row r="3238" spans="1:47" ht="15.75" customHeight="1">
      <c r="A3238" s="9"/>
      <c r="B3238" s="9"/>
      <c r="C3238" s="9"/>
      <c r="D3238" s="9"/>
      <c r="E3238" s="9"/>
      <c r="F3238" s="67"/>
      <c r="G3238" s="9"/>
      <c r="H3238" s="9"/>
      <c r="I3238" s="9"/>
      <c r="J3238" s="9"/>
      <c r="K3238" s="9"/>
      <c r="L3238" s="9"/>
      <c r="M3238" s="9"/>
      <c r="N3238" s="9"/>
      <c r="O3238" s="9"/>
      <c r="P3238" s="9"/>
      <c r="Q3238" s="9"/>
      <c r="R3238" s="9"/>
      <c r="S3238" s="9"/>
      <c r="T3238" s="9"/>
      <c r="U3238" s="9"/>
      <c r="V3238" s="9"/>
      <c r="W3238" s="9"/>
      <c r="X3238" s="9"/>
      <c r="Y3238" s="9"/>
      <c r="Z3238" s="9"/>
      <c r="AA3238" s="9"/>
      <c r="AB3238" s="9"/>
      <c r="AC3238" s="9"/>
      <c r="AD3238" s="9"/>
      <c r="AE3238" s="9"/>
      <c r="AF3238" s="9"/>
      <c r="AG3238" s="9"/>
      <c r="AH3238" s="9"/>
      <c r="AI3238" s="9"/>
      <c r="AJ3238" s="9"/>
      <c r="AK3238" s="9"/>
      <c r="AL3238" s="9"/>
      <c r="AM3238" s="9"/>
      <c r="AN3238" s="9"/>
      <c r="AO3238" s="9"/>
      <c r="AP3238" s="9"/>
      <c r="AQ3238" s="9"/>
      <c r="AR3238" s="9"/>
      <c r="AS3238" s="9"/>
      <c r="AT3238" s="9"/>
      <c r="AU3238" s="9"/>
    </row>
    <row r="3239" spans="1:47" ht="15.75" customHeight="1">
      <c r="A3239" s="9"/>
      <c r="B3239" s="9"/>
      <c r="C3239" s="9"/>
      <c r="D3239" s="9"/>
      <c r="E3239" s="9"/>
      <c r="F3239" s="67"/>
      <c r="G3239" s="9"/>
      <c r="H3239" s="9"/>
      <c r="I3239" s="9"/>
      <c r="J3239" s="9"/>
      <c r="K3239" s="9"/>
      <c r="L3239" s="9"/>
      <c r="M3239" s="9"/>
      <c r="N3239" s="9"/>
      <c r="O3239" s="9"/>
      <c r="P3239" s="9"/>
      <c r="Q3239" s="9"/>
      <c r="R3239" s="9"/>
      <c r="S3239" s="9"/>
      <c r="T3239" s="9"/>
      <c r="U3239" s="9"/>
      <c r="V3239" s="9"/>
      <c r="W3239" s="9"/>
      <c r="X3239" s="9"/>
      <c r="Y3239" s="9"/>
      <c r="Z3239" s="9"/>
      <c r="AA3239" s="9"/>
      <c r="AB3239" s="9"/>
      <c r="AC3239" s="9"/>
      <c r="AD3239" s="9"/>
      <c r="AE3239" s="9"/>
      <c r="AF3239" s="9"/>
      <c r="AG3239" s="9"/>
      <c r="AH3239" s="9"/>
      <c r="AI3239" s="9"/>
      <c r="AJ3239" s="9"/>
      <c r="AK3239" s="9"/>
      <c r="AL3239" s="9"/>
      <c r="AM3239" s="9"/>
      <c r="AN3239" s="9"/>
      <c r="AO3239" s="9"/>
      <c r="AP3239" s="9"/>
      <c r="AQ3239" s="9"/>
      <c r="AR3239" s="9"/>
      <c r="AS3239" s="9"/>
      <c r="AT3239" s="9"/>
      <c r="AU3239" s="9"/>
    </row>
    <row r="3240" spans="1:47" ht="15.75" customHeight="1">
      <c r="A3240" s="9"/>
      <c r="B3240" s="9"/>
      <c r="C3240" s="9"/>
      <c r="D3240" s="9"/>
      <c r="E3240" s="9"/>
      <c r="F3240" s="67"/>
      <c r="G3240" s="9"/>
      <c r="H3240" s="9"/>
      <c r="I3240" s="9"/>
      <c r="J3240" s="9"/>
      <c r="K3240" s="9"/>
      <c r="L3240" s="9"/>
      <c r="M3240" s="9"/>
      <c r="N3240" s="9"/>
      <c r="O3240" s="9"/>
      <c r="P3240" s="9"/>
      <c r="Q3240" s="9"/>
      <c r="R3240" s="9"/>
      <c r="S3240" s="9"/>
      <c r="T3240" s="9"/>
      <c r="U3240" s="9"/>
      <c r="V3240" s="9"/>
      <c r="W3240" s="9"/>
      <c r="X3240" s="9"/>
      <c r="Y3240" s="9"/>
      <c r="Z3240" s="9"/>
      <c r="AA3240" s="9"/>
      <c r="AB3240" s="9"/>
      <c r="AC3240" s="9"/>
      <c r="AD3240" s="9"/>
      <c r="AE3240" s="9"/>
      <c r="AF3240" s="9"/>
      <c r="AG3240" s="9"/>
      <c r="AH3240" s="9"/>
      <c r="AI3240" s="9"/>
      <c r="AJ3240" s="9"/>
      <c r="AK3240" s="9"/>
      <c r="AL3240" s="9"/>
      <c r="AM3240" s="9"/>
      <c r="AN3240" s="9"/>
      <c r="AO3240" s="9"/>
      <c r="AP3240" s="9"/>
      <c r="AQ3240" s="9"/>
      <c r="AR3240" s="9"/>
      <c r="AS3240" s="9"/>
      <c r="AT3240" s="9"/>
      <c r="AU3240" s="9"/>
    </row>
    <row r="3241" spans="1:47" ht="15.75" customHeight="1">
      <c r="A3241" s="9"/>
      <c r="B3241" s="9"/>
      <c r="C3241" s="9"/>
      <c r="D3241" s="9"/>
      <c r="E3241" s="9"/>
      <c r="F3241" s="67"/>
      <c r="G3241" s="9"/>
      <c r="H3241" s="9"/>
      <c r="I3241" s="9"/>
      <c r="J3241" s="9"/>
      <c r="K3241" s="9"/>
      <c r="L3241" s="9"/>
      <c r="M3241" s="9"/>
      <c r="N3241" s="9"/>
      <c r="O3241" s="9"/>
      <c r="P3241" s="9"/>
      <c r="Q3241" s="9"/>
      <c r="R3241" s="9"/>
      <c r="S3241" s="9"/>
      <c r="T3241" s="9"/>
      <c r="U3241" s="9"/>
      <c r="V3241" s="9"/>
      <c r="W3241" s="9"/>
      <c r="X3241" s="9"/>
      <c r="Y3241" s="9"/>
      <c r="Z3241" s="9"/>
      <c r="AA3241" s="9"/>
      <c r="AB3241" s="9"/>
      <c r="AC3241" s="9"/>
      <c r="AD3241" s="9"/>
      <c r="AE3241" s="9"/>
      <c r="AF3241" s="9"/>
      <c r="AG3241" s="9"/>
      <c r="AH3241" s="9"/>
      <c r="AI3241" s="9"/>
      <c r="AJ3241" s="9"/>
      <c r="AK3241" s="9"/>
      <c r="AL3241" s="9"/>
      <c r="AM3241" s="9"/>
      <c r="AN3241" s="9"/>
      <c r="AO3241" s="9"/>
      <c r="AP3241" s="9"/>
      <c r="AQ3241" s="9"/>
      <c r="AR3241" s="9"/>
      <c r="AS3241" s="9"/>
      <c r="AT3241" s="9"/>
      <c r="AU3241" s="9"/>
    </row>
    <row r="3242" spans="1:47" ht="15.75" customHeight="1">
      <c r="A3242" s="9"/>
      <c r="B3242" s="9"/>
      <c r="C3242" s="9"/>
      <c r="D3242" s="9"/>
      <c r="E3242" s="9"/>
      <c r="F3242" s="67"/>
      <c r="G3242" s="9"/>
      <c r="H3242" s="9"/>
      <c r="I3242" s="9"/>
      <c r="J3242" s="9"/>
      <c r="K3242" s="9"/>
      <c r="L3242" s="9"/>
      <c r="M3242" s="9"/>
      <c r="N3242" s="9"/>
      <c r="O3242" s="9"/>
      <c r="P3242" s="9"/>
      <c r="Q3242" s="9"/>
      <c r="R3242" s="9"/>
      <c r="S3242" s="9"/>
      <c r="T3242" s="9"/>
      <c r="U3242" s="9"/>
      <c r="V3242" s="9"/>
      <c r="W3242" s="9"/>
      <c r="X3242" s="9"/>
      <c r="Y3242" s="9"/>
      <c r="Z3242" s="9"/>
      <c r="AA3242" s="9"/>
      <c r="AB3242" s="9"/>
      <c r="AC3242" s="9"/>
      <c r="AD3242" s="9"/>
      <c r="AE3242" s="9"/>
      <c r="AF3242" s="9"/>
      <c r="AG3242" s="9"/>
      <c r="AH3242" s="9"/>
      <c r="AI3242" s="9"/>
      <c r="AJ3242" s="9"/>
      <c r="AK3242" s="9"/>
      <c r="AL3242" s="9"/>
      <c r="AM3242" s="9"/>
      <c r="AN3242" s="9"/>
      <c r="AO3242" s="9"/>
      <c r="AP3242" s="9"/>
      <c r="AQ3242" s="9"/>
      <c r="AR3242" s="9"/>
      <c r="AS3242" s="9"/>
      <c r="AT3242" s="9"/>
      <c r="AU3242" s="9"/>
    </row>
    <row r="3243" spans="1:47" ht="15.75" customHeight="1">
      <c r="A3243" s="9"/>
      <c r="B3243" s="9"/>
      <c r="C3243" s="9"/>
      <c r="D3243" s="9"/>
      <c r="E3243" s="9"/>
      <c r="F3243" s="67"/>
      <c r="G3243" s="9"/>
      <c r="H3243" s="9"/>
      <c r="I3243" s="9"/>
      <c r="J3243" s="9"/>
      <c r="K3243" s="9"/>
      <c r="L3243" s="9"/>
      <c r="M3243" s="9"/>
      <c r="N3243" s="9"/>
      <c r="O3243" s="9"/>
      <c r="P3243" s="9"/>
      <c r="Q3243" s="9"/>
      <c r="R3243" s="9"/>
      <c r="S3243" s="9"/>
      <c r="T3243" s="9"/>
      <c r="U3243" s="9"/>
      <c r="V3243" s="9"/>
      <c r="W3243" s="9"/>
      <c r="X3243" s="9"/>
      <c r="Y3243" s="9"/>
      <c r="Z3243" s="9"/>
      <c r="AA3243" s="9"/>
      <c r="AB3243" s="9"/>
      <c r="AC3243" s="9"/>
      <c r="AD3243" s="9"/>
      <c r="AE3243" s="9"/>
      <c r="AF3243" s="9"/>
      <c r="AG3243" s="9"/>
      <c r="AH3243" s="9"/>
      <c r="AI3243" s="9"/>
      <c r="AJ3243" s="9"/>
      <c r="AK3243" s="9"/>
      <c r="AL3243" s="9"/>
      <c r="AM3243" s="9"/>
      <c r="AN3243" s="9"/>
      <c r="AO3243" s="9"/>
      <c r="AP3243" s="9"/>
      <c r="AQ3243" s="9"/>
      <c r="AR3243" s="9"/>
      <c r="AS3243" s="9"/>
      <c r="AT3243" s="9"/>
      <c r="AU3243" s="9"/>
    </row>
    <row r="3244" spans="1:47" ht="15.75" customHeight="1">
      <c r="A3244" s="9"/>
      <c r="B3244" s="9"/>
      <c r="C3244" s="9"/>
      <c r="D3244" s="9"/>
      <c r="E3244" s="9"/>
      <c r="F3244" s="67"/>
      <c r="G3244" s="9"/>
      <c r="H3244" s="9"/>
      <c r="I3244" s="9"/>
      <c r="J3244" s="9"/>
      <c r="K3244" s="9"/>
      <c r="L3244" s="9"/>
      <c r="M3244" s="9"/>
      <c r="N3244" s="9"/>
      <c r="O3244" s="9"/>
      <c r="P3244" s="9"/>
      <c r="Q3244" s="9"/>
      <c r="R3244" s="9"/>
      <c r="S3244" s="9"/>
      <c r="T3244" s="9"/>
      <c r="U3244" s="9"/>
      <c r="V3244" s="9"/>
      <c r="W3244" s="9"/>
      <c r="X3244" s="9"/>
      <c r="Y3244" s="9"/>
      <c r="Z3244" s="9"/>
      <c r="AA3244" s="9"/>
      <c r="AB3244" s="9"/>
      <c r="AC3244" s="9"/>
      <c r="AD3244" s="9"/>
      <c r="AE3244" s="9"/>
      <c r="AF3244" s="9"/>
      <c r="AG3244" s="9"/>
      <c r="AH3244" s="9"/>
      <c r="AI3244" s="9"/>
      <c r="AJ3244" s="9"/>
      <c r="AK3244" s="9"/>
      <c r="AL3244" s="9"/>
      <c r="AM3244" s="9"/>
      <c r="AN3244" s="9"/>
      <c r="AO3244" s="9"/>
      <c r="AP3244" s="9"/>
      <c r="AQ3244" s="9"/>
      <c r="AR3244" s="9"/>
      <c r="AS3244" s="9"/>
      <c r="AT3244" s="9"/>
      <c r="AU3244" s="9"/>
    </row>
    <row r="3245" spans="1:47" ht="15.75" customHeight="1">
      <c r="A3245" s="9"/>
      <c r="B3245" s="9"/>
      <c r="C3245" s="9"/>
      <c r="D3245" s="9"/>
      <c r="E3245" s="9"/>
      <c r="F3245" s="67"/>
      <c r="G3245" s="9"/>
      <c r="H3245" s="9"/>
      <c r="I3245" s="9"/>
      <c r="J3245" s="9"/>
      <c r="K3245" s="9"/>
      <c r="L3245" s="9"/>
      <c r="M3245" s="9"/>
      <c r="N3245" s="9"/>
      <c r="O3245" s="9"/>
      <c r="P3245" s="9"/>
      <c r="Q3245" s="9"/>
      <c r="R3245" s="9"/>
      <c r="S3245" s="9"/>
      <c r="T3245" s="9"/>
      <c r="U3245" s="9"/>
      <c r="V3245" s="9"/>
      <c r="W3245" s="9"/>
      <c r="X3245" s="9"/>
      <c r="Y3245" s="9"/>
      <c r="Z3245" s="9"/>
      <c r="AA3245" s="9"/>
      <c r="AB3245" s="9"/>
      <c r="AC3245" s="9"/>
      <c r="AD3245" s="9"/>
      <c r="AE3245" s="9"/>
      <c r="AF3245" s="9"/>
      <c r="AG3245" s="9"/>
      <c r="AH3245" s="9"/>
      <c r="AI3245" s="9"/>
      <c r="AJ3245" s="9"/>
      <c r="AK3245" s="9"/>
      <c r="AL3245" s="9"/>
      <c r="AM3245" s="9"/>
      <c r="AN3245" s="9"/>
      <c r="AO3245" s="9"/>
      <c r="AP3245" s="9"/>
      <c r="AQ3245" s="9"/>
      <c r="AR3245" s="9"/>
      <c r="AS3245" s="9"/>
      <c r="AT3245" s="9"/>
      <c r="AU3245" s="9"/>
    </row>
    <row r="3246" spans="1:47" ht="15.75" customHeight="1">
      <c r="A3246" s="9"/>
      <c r="B3246" s="9"/>
      <c r="C3246" s="9"/>
      <c r="D3246" s="9"/>
      <c r="E3246" s="9"/>
      <c r="F3246" s="67"/>
      <c r="G3246" s="9"/>
      <c r="H3246" s="9"/>
      <c r="I3246" s="9"/>
      <c r="J3246" s="9"/>
      <c r="K3246" s="9"/>
      <c r="L3246" s="9"/>
      <c r="M3246" s="9"/>
      <c r="N3246" s="9"/>
      <c r="O3246" s="9"/>
      <c r="P3246" s="9"/>
      <c r="Q3246" s="9"/>
      <c r="R3246" s="9"/>
      <c r="S3246" s="9"/>
      <c r="T3246" s="9"/>
      <c r="U3246" s="9"/>
      <c r="V3246" s="9"/>
      <c r="W3246" s="9"/>
      <c r="X3246" s="9"/>
      <c r="Y3246" s="9"/>
      <c r="Z3246" s="9"/>
      <c r="AA3246" s="9"/>
      <c r="AB3246" s="9"/>
      <c r="AC3246" s="9"/>
      <c r="AD3246" s="9"/>
      <c r="AE3246" s="9"/>
      <c r="AF3246" s="9"/>
      <c r="AG3246" s="9"/>
      <c r="AH3246" s="9"/>
      <c r="AI3246" s="9"/>
      <c r="AJ3246" s="9"/>
      <c r="AK3246" s="9"/>
      <c r="AL3246" s="9"/>
      <c r="AM3246" s="9"/>
      <c r="AN3246" s="9"/>
      <c r="AO3246" s="9"/>
      <c r="AP3246" s="9"/>
      <c r="AQ3246" s="9"/>
      <c r="AR3246" s="9"/>
      <c r="AS3246" s="9"/>
      <c r="AT3246" s="9"/>
      <c r="AU3246" s="9"/>
    </row>
    <row r="3247" spans="1:47" ht="15.75" customHeight="1">
      <c r="A3247" s="9"/>
      <c r="B3247" s="9"/>
      <c r="C3247" s="9"/>
      <c r="D3247" s="9"/>
      <c r="E3247" s="9"/>
      <c r="F3247" s="67"/>
      <c r="G3247" s="9"/>
      <c r="H3247" s="9"/>
      <c r="I3247" s="9"/>
      <c r="J3247" s="9"/>
      <c r="K3247" s="9"/>
      <c r="L3247" s="9"/>
      <c r="M3247" s="9"/>
      <c r="N3247" s="9"/>
      <c r="O3247" s="9"/>
      <c r="P3247" s="9"/>
      <c r="Q3247" s="9"/>
      <c r="R3247" s="9"/>
      <c r="S3247" s="9"/>
      <c r="T3247" s="9"/>
      <c r="U3247" s="9"/>
      <c r="V3247" s="9"/>
      <c r="W3247" s="9"/>
      <c r="X3247" s="9"/>
      <c r="Y3247" s="9"/>
      <c r="Z3247" s="9"/>
      <c r="AA3247" s="9"/>
      <c r="AB3247" s="9"/>
      <c r="AC3247" s="9"/>
      <c r="AD3247" s="9"/>
      <c r="AE3247" s="9"/>
      <c r="AF3247" s="9"/>
      <c r="AG3247" s="9"/>
      <c r="AH3247" s="9"/>
      <c r="AI3247" s="9"/>
      <c r="AJ3247" s="9"/>
      <c r="AK3247" s="9"/>
      <c r="AL3247" s="9"/>
      <c r="AM3247" s="9"/>
      <c r="AN3247" s="9"/>
      <c r="AO3247" s="9"/>
      <c r="AP3247" s="9"/>
      <c r="AQ3247" s="9"/>
      <c r="AR3247" s="9"/>
      <c r="AS3247" s="9"/>
      <c r="AT3247" s="9"/>
      <c r="AU3247" s="9"/>
    </row>
    <row r="3248" spans="1:47" ht="15.75" customHeight="1">
      <c r="A3248" s="9"/>
      <c r="B3248" s="9"/>
      <c r="C3248" s="9"/>
      <c r="D3248" s="9"/>
      <c r="E3248" s="9"/>
      <c r="F3248" s="67"/>
      <c r="G3248" s="9"/>
      <c r="H3248" s="9"/>
      <c r="I3248" s="9"/>
      <c r="J3248" s="9"/>
      <c r="K3248" s="9"/>
      <c r="L3248" s="9"/>
      <c r="M3248" s="9"/>
      <c r="N3248" s="9"/>
      <c r="O3248" s="9"/>
      <c r="P3248" s="9"/>
      <c r="Q3248" s="9"/>
      <c r="R3248" s="9"/>
      <c r="S3248" s="9"/>
      <c r="T3248" s="9"/>
      <c r="U3248" s="9"/>
      <c r="V3248" s="9"/>
      <c r="W3248" s="9"/>
      <c r="X3248" s="9"/>
      <c r="Y3248" s="9"/>
      <c r="Z3248" s="9"/>
      <c r="AA3248" s="9"/>
      <c r="AB3248" s="9"/>
      <c r="AC3248" s="9"/>
      <c r="AD3248" s="9"/>
      <c r="AE3248" s="9"/>
      <c r="AF3248" s="9"/>
      <c r="AG3248" s="9"/>
      <c r="AH3248" s="9"/>
      <c r="AI3248" s="9"/>
      <c r="AJ3248" s="9"/>
      <c r="AK3248" s="9"/>
      <c r="AL3248" s="9"/>
      <c r="AM3248" s="9"/>
      <c r="AN3248" s="9"/>
      <c r="AO3248" s="9"/>
      <c r="AP3248" s="9"/>
      <c r="AQ3248" s="9"/>
      <c r="AR3248" s="9"/>
      <c r="AS3248" s="9"/>
      <c r="AT3248" s="9"/>
      <c r="AU3248" s="9"/>
    </row>
    <row r="3249" spans="1:47" ht="15.75" customHeight="1">
      <c r="A3249" s="9"/>
      <c r="B3249" s="9"/>
      <c r="C3249" s="9"/>
      <c r="D3249" s="9"/>
      <c r="E3249" s="9"/>
      <c r="F3249" s="67"/>
      <c r="G3249" s="9"/>
      <c r="H3249" s="9"/>
      <c r="I3249" s="9"/>
      <c r="J3249" s="9"/>
      <c r="K3249" s="9"/>
      <c r="L3249" s="9"/>
      <c r="M3249" s="9"/>
      <c r="N3249" s="9"/>
      <c r="O3249" s="9"/>
      <c r="P3249" s="9"/>
      <c r="Q3249" s="9"/>
      <c r="R3249" s="9"/>
      <c r="S3249" s="9"/>
      <c r="T3249" s="9"/>
      <c r="U3249" s="9"/>
      <c r="V3249" s="9"/>
      <c r="W3249" s="9"/>
      <c r="X3249" s="9"/>
      <c r="Y3249" s="9"/>
      <c r="Z3249" s="9"/>
      <c r="AA3249" s="9"/>
      <c r="AB3249" s="9"/>
      <c r="AC3249" s="9"/>
      <c r="AD3249" s="9"/>
      <c r="AE3249" s="9"/>
      <c r="AF3249" s="9"/>
      <c r="AG3249" s="9"/>
      <c r="AH3249" s="9"/>
      <c r="AI3249" s="9"/>
      <c r="AJ3249" s="9"/>
      <c r="AK3249" s="9"/>
      <c r="AL3249" s="9"/>
      <c r="AM3249" s="9"/>
      <c r="AN3249" s="9"/>
      <c r="AO3249" s="9"/>
      <c r="AP3249" s="9"/>
      <c r="AQ3249" s="9"/>
      <c r="AR3249" s="9"/>
      <c r="AS3249" s="9"/>
      <c r="AT3249" s="9"/>
      <c r="AU3249" s="9"/>
    </row>
    <row r="3250" spans="1:47" ht="15.75" customHeight="1">
      <c r="A3250" s="9"/>
      <c r="B3250" s="9"/>
      <c r="C3250" s="9"/>
      <c r="D3250" s="9"/>
      <c r="E3250" s="9"/>
      <c r="F3250" s="67"/>
      <c r="G3250" s="9"/>
      <c r="H3250" s="9"/>
      <c r="I3250" s="9"/>
      <c r="J3250" s="9"/>
      <c r="K3250" s="9"/>
      <c r="L3250" s="9"/>
      <c r="M3250" s="9"/>
      <c r="N3250" s="9"/>
      <c r="O3250" s="9"/>
      <c r="P3250" s="9"/>
      <c r="Q3250" s="9"/>
      <c r="R3250" s="9"/>
      <c r="S3250" s="9"/>
      <c r="T3250" s="9"/>
      <c r="U3250" s="9"/>
      <c r="V3250" s="9"/>
      <c r="W3250" s="9"/>
      <c r="X3250" s="9"/>
      <c r="Y3250" s="9"/>
      <c r="Z3250" s="9"/>
      <c r="AA3250" s="9"/>
      <c r="AB3250" s="9"/>
      <c r="AC3250" s="9"/>
      <c r="AD3250" s="9"/>
      <c r="AE3250" s="9"/>
      <c r="AF3250" s="9"/>
      <c r="AG3250" s="9"/>
      <c r="AH3250" s="9"/>
      <c r="AI3250" s="9"/>
      <c r="AJ3250" s="9"/>
      <c r="AK3250" s="9"/>
      <c r="AL3250" s="9"/>
      <c r="AM3250" s="9"/>
      <c r="AN3250" s="9"/>
      <c r="AO3250" s="9"/>
      <c r="AP3250" s="9"/>
      <c r="AQ3250" s="9"/>
      <c r="AR3250" s="9"/>
      <c r="AS3250" s="9"/>
      <c r="AT3250" s="9"/>
      <c r="AU3250" s="9"/>
    </row>
    <row r="3251" spans="1:47" ht="15.75" customHeight="1">
      <c r="A3251" s="9"/>
      <c r="B3251" s="9"/>
      <c r="C3251" s="9"/>
      <c r="D3251" s="9"/>
      <c r="E3251" s="9"/>
      <c r="F3251" s="67"/>
      <c r="G3251" s="9"/>
      <c r="H3251" s="9"/>
      <c r="I3251" s="9"/>
      <c r="J3251" s="9"/>
      <c r="K3251" s="9"/>
      <c r="L3251" s="9"/>
      <c r="M3251" s="9"/>
      <c r="N3251" s="9"/>
      <c r="O3251" s="9"/>
      <c r="P3251" s="9"/>
      <c r="Q3251" s="9"/>
      <c r="R3251" s="9"/>
      <c r="S3251" s="9"/>
      <c r="T3251" s="9"/>
      <c r="U3251" s="9"/>
      <c r="V3251" s="9"/>
      <c r="W3251" s="9"/>
      <c r="X3251" s="9"/>
      <c r="Y3251" s="9"/>
      <c r="Z3251" s="9"/>
      <c r="AA3251" s="9"/>
      <c r="AB3251" s="9"/>
      <c r="AC3251" s="9"/>
      <c r="AD3251" s="9"/>
      <c r="AE3251" s="9"/>
      <c r="AF3251" s="9"/>
      <c r="AG3251" s="9"/>
      <c r="AH3251" s="9"/>
      <c r="AI3251" s="9"/>
      <c r="AJ3251" s="9"/>
      <c r="AK3251" s="9"/>
      <c r="AL3251" s="9"/>
      <c r="AM3251" s="9"/>
      <c r="AN3251" s="9"/>
      <c r="AO3251" s="9"/>
      <c r="AP3251" s="9"/>
      <c r="AQ3251" s="9"/>
      <c r="AR3251" s="9"/>
      <c r="AS3251" s="9"/>
      <c r="AT3251" s="9"/>
      <c r="AU3251" s="9"/>
    </row>
    <row r="3252" spans="1:47" ht="15.75" customHeight="1">
      <c r="A3252" s="9"/>
      <c r="B3252" s="9"/>
      <c r="C3252" s="9"/>
      <c r="D3252" s="9"/>
      <c r="E3252" s="9"/>
      <c r="F3252" s="67"/>
      <c r="G3252" s="9"/>
      <c r="H3252" s="9"/>
      <c r="I3252" s="9"/>
      <c r="J3252" s="9"/>
      <c r="K3252" s="9"/>
      <c r="L3252" s="9"/>
      <c r="M3252" s="9"/>
      <c r="N3252" s="9"/>
      <c r="O3252" s="9"/>
      <c r="P3252" s="9"/>
      <c r="Q3252" s="9"/>
      <c r="R3252" s="9"/>
      <c r="S3252" s="9"/>
      <c r="T3252" s="9"/>
      <c r="U3252" s="9"/>
      <c r="V3252" s="9"/>
      <c r="W3252" s="9"/>
      <c r="X3252" s="9"/>
      <c r="Y3252" s="9"/>
      <c r="Z3252" s="9"/>
      <c r="AA3252" s="9"/>
      <c r="AB3252" s="9"/>
      <c r="AC3252" s="9"/>
      <c r="AD3252" s="9"/>
      <c r="AE3252" s="9"/>
      <c r="AF3252" s="9"/>
      <c r="AG3252" s="9"/>
      <c r="AH3252" s="9"/>
      <c r="AI3252" s="9"/>
      <c r="AJ3252" s="9"/>
      <c r="AK3252" s="9"/>
      <c r="AL3252" s="9"/>
      <c r="AM3252" s="9"/>
      <c r="AN3252" s="9"/>
      <c r="AO3252" s="9"/>
      <c r="AP3252" s="9"/>
      <c r="AQ3252" s="9"/>
      <c r="AR3252" s="9"/>
      <c r="AS3252" s="9"/>
      <c r="AT3252" s="9"/>
      <c r="AU3252" s="9"/>
    </row>
    <row r="3253" spans="1:47" ht="15.75" customHeight="1">
      <c r="A3253" s="9"/>
      <c r="B3253" s="9"/>
      <c r="C3253" s="9"/>
      <c r="D3253" s="9"/>
      <c r="E3253" s="9"/>
      <c r="F3253" s="67"/>
      <c r="G3253" s="9"/>
      <c r="H3253" s="9"/>
      <c r="I3253" s="9"/>
      <c r="J3253" s="9"/>
      <c r="K3253" s="9"/>
      <c r="L3253" s="9"/>
      <c r="M3253" s="9"/>
      <c r="N3253" s="9"/>
      <c r="O3253" s="9"/>
      <c r="P3253" s="9"/>
      <c r="Q3253" s="9"/>
      <c r="R3253" s="9"/>
      <c r="S3253" s="9"/>
      <c r="T3253" s="9"/>
      <c r="U3253" s="9"/>
      <c r="V3253" s="9"/>
      <c r="W3253" s="9"/>
      <c r="X3253" s="9"/>
      <c r="Y3253" s="9"/>
      <c r="Z3253" s="9"/>
      <c r="AA3253" s="9"/>
      <c r="AB3253" s="9"/>
      <c r="AC3253" s="9"/>
      <c r="AD3253" s="9"/>
      <c r="AE3253" s="9"/>
      <c r="AF3253" s="9"/>
      <c r="AG3253" s="9"/>
      <c r="AH3253" s="9"/>
      <c r="AI3253" s="9"/>
      <c r="AJ3253" s="9"/>
      <c r="AK3253" s="9"/>
      <c r="AL3253" s="9"/>
      <c r="AM3253" s="9"/>
      <c r="AN3253" s="9"/>
      <c r="AO3253" s="9"/>
      <c r="AP3253" s="9"/>
      <c r="AQ3253" s="9"/>
      <c r="AR3253" s="9"/>
      <c r="AS3253" s="9"/>
      <c r="AT3253" s="9"/>
      <c r="AU3253" s="9"/>
    </row>
    <row r="3254" spans="1:47" ht="15.75" customHeight="1">
      <c r="A3254" s="9"/>
      <c r="B3254" s="9"/>
      <c r="C3254" s="9"/>
      <c r="D3254" s="9"/>
      <c r="E3254" s="9"/>
      <c r="F3254" s="67"/>
      <c r="G3254" s="9"/>
      <c r="H3254" s="9"/>
      <c r="I3254" s="9"/>
      <c r="J3254" s="9"/>
      <c r="K3254" s="9"/>
      <c r="L3254" s="9"/>
      <c r="M3254" s="9"/>
      <c r="N3254" s="9"/>
      <c r="O3254" s="9"/>
      <c r="P3254" s="9"/>
      <c r="Q3254" s="9"/>
      <c r="R3254" s="9"/>
      <c r="S3254" s="9"/>
      <c r="T3254" s="9"/>
      <c r="U3254" s="9"/>
      <c r="V3254" s="9"/>
      <c r="W3254" s="9"/>
      <c r="X3254" s="9"/>
      <c r="Y3254" s="9"/>
      <c r="Z3254" s="9"/>
      <c r="AA3254" s="9"/>
      <c r="AB3254" s="9"/>
      <c r="AC3254" s="9"/>
      <c r="AD3254" s="9"/>
      <c r="AE3254" s="9"/>
      <c r="AF3254" s="9"/>
      <c r="AG3254" s="9"/>
      <c r="AH3254" s="9"/>
      <c r="AI3254" s="9"/>
      <c r="AJ3254" s="9"/>
      <c r="AK3254" s="9"/>
      <c r="AL3254" s="9"/>
      <c r="AM3254" s="9"/>
      <c r="AN3254" s="9"/>
      <c r="AO3254" s="9"/>
      <c r="AP3254" s="9"/>
      <c r="AQ3254" s="9"/>
      <c r="AR3254" s="9"/>
      <c r="AS3254" s="9"/>
      <c r="AT3254" s="9"/>
      <c r="AU3254" s="9"/>
    </row>
    <row r="3255" spans="1:47" ht="15.75" customHeight="1">
      <c r="A3255" s="9"/>
      <c r="B3255" s="9"/>
      <c r="C3255" s="9"/>
      <c r="D3255" s="9"/>
      <c r="E3255" s="9"/>
      <c r="F3255" s="67"/>
      <c r="G3255" s="9"/>
      <c r="H3255" s="9"/>
      <c r="I3255" s="9"/>
      <c r="J3255" s="9"/>
      <c r="K3255" s="9"/>
      <c r="L3255" s="9"/>
      <c r="M3255" s="9"/>
      <c r="N3255" s="9"/>
      <c r="O3255" s="9"/>
      <c r="P3255" s="9"/>
      <c r="Q3255" s="9"/>
      <c r="R3255" s="9"/>
      <c r="S3255" s="9"/>
      <c r="T3255" s="9"/>
      <c r="U3255" s="9"/>
      <c r="V3255" s="9"/>
      <c r="W3255" s="9"/>
      <c r="X3255" s="9"/>
      <c r="Y3255" s="9"/>
      <c r="Z3255" s="9"/>
      <c r="AA3255" s="9"/>
      <c r="AB3255" s="9"/>
      <c r="AC3255" s="9"/>
      <c r="AD3255" s="9"/>
      <c r="AE3255" s="9"/>
      <c r="AF3255" s="9"/>
      <c r="AG3255" s="9"/>
      <c r="AH3255" s="9"/>
      <c r="AI3255" s="9"/>
      <c r="AJ3255" s="9"/>
      <c r="AK3255" s="9"/>
      <c r="AL3255" s="9"/>
      <c r="AM3255" s="9"/>
      <c r="AN3255" s="9"/>
      <c r="AO3255" s="9"/>
      <c r="AP3255" s="9"/>
      <c r="AQ3255" s="9"/>
      <c r="AR3255" s="9"/>
      <c r="AS3255" s="9"/>
      <c r="AT3255" s="9"/>
      <c r="AU3255" s="9"/>
    </row>
    <row r="3256" spans="1:47" ht="15.75" customHeight="1">
      <c r="A3256" s="9"/>
      <c r="B3256" s="9"/>
      <c r="C3256" s="9"/>
      <c r="D3256" s="9"/>
      <c r="E3256" s="9"/>
      <c r="F3256" s="67"/>
      <c r="G3256" s="9"/>
      <c r="H3256" s="9"/>
      <c r="I3256" s="9"/>
      <c r="J3256" s="9"/>
      <c r="K3256" s="9"/>
      <c r="L3256" s="9"/>
      <c r="M3256" s="9"/>
      <c r="N3256" s="9"/>
      <c r="O3256" s="9"/>
      <c r="P3256" s="9"/>
      <c r="Q3256" s="9"/>
      <c r="R3256" s="9"/>
      <c r="S3256" s="9"/>
      <c r="T3256" s="9"/>
      <c r="U3256" s="9"/>
      <c r="V3256" s="9"/>
      <c r="W3256" s="9"/>
      <c r="X3256" s="9"/>
      <c r="Y3256" s="9"/>
      <c r="Z3256" s="9"/>
      <c r="AA3256" s="9"/>
      <c r="AB3256" s="9"/>
      <c r="AC3256" s="9"/>
      <c r="AD3256" s="9"/>
      <c r="AE3256" s="9"/>
      <c r="AF3256" s="9"/>
      <c r="AG3256" s="9"/>
      <c r="AH3256" s="9"/>
      <c r="AI3256" s="9"/>
      <c r="AJ3256" s="9"/>
      <c r="AK3256" s="9"/>
      <c r="AL3256" s="9"/>
      <c r="AM3256" s="9"/>
      <c r="AN3256" s="9"/>
      <c r="AO3256" s="9"/>
      <c r="AP3256" s="9"/>
      <c r="AQ3256" s="9"/>
      <c r="AR3256" s="9"/>
      <c r="AS3256" s="9"/>
      <c r="AT3256" s="9"/>
      <c r="AU3256" s="9"/>
    </row>
    <row r="3257" spans="1:47" ht="15.75" customHeight="1">
      <c r="A3257" s="9"/>
      <c r="B3257" s="9"/>
      <c r="C3257" s="9"/>
      <c r="D3257" s="9"/>
      <c r="E3257" s="9"/>
      <c r="F3257" s="67"/>
      <c r="G3257" s="9"/>
      <c r="H3257" s="9"/>
      <c r="I3257" s="9"/>
      <c r="J3257" s="9"/>
      <c r="K3257" s="9"/>
      <c r="L3257" s="9"/>
      <c r="M3257" s="9"/>
      <c r="N3257" s="9"/>
      <c r="O3257" s="9"/>
      <c r="P3257" s="9"/>
      <c r="Q3257" s="9"/>
      <c r="R3257" s="9"/>
      <c r="S3257" s="9"/>
      <c r="T3257" s="9"/>
      <c r="U3257" s="9"/>
      <c r="V3257" s="9"/>
      <c r="W3257" s="9"/>
      <c r="X3257" s="9"/>
      <c r="Y3257" s="9"/>
      <c r="Z3257" s="9"/>
      <c r="AA3257" s="9"/>
      <c r="AB3257" s="9"/>
      <c r="AC3257" s="9"/>
      <c r="AD3257" s="9"/>
      <c r="AE3257" s="9"/>
      <c r="AF3257" s="9"/>
      <c r="AG3257" s="9"/>
      <c r="AH3257" s="9"/>
      <c r="AI3257" s="9"/>
      <c r="AJ3257" s="9"/>
      <c r="AK3257" s="9"/>
      <c r="AL3257" s="9"/>
      <c r="AM3257" s="9"/>
      <c r="AN3257" s="9"/>
      <c r="AO3257" s="9"/>
      <c r="AP3257" s="9"/>
      <c r="AQ3257" s="9"/>
      <c r="AR3257" s="9"/>
      <c r="AS3257" s="9"/>
      <c r="AT3257" s="9"/>
      <c r="AU3257" s="9"/>
    </row>
    <row r="3258" spans="1:47" ht="15.75" customHeight="1">
      <c r="A3258" s="9"/>
      <c r="B3258" s="9"/>
      <c r="C3258" s="9"/>
      <c r="D3258" s="9"/>
      <c r="E3258" s="9"/>
      <c r="F3258" s="67"/>
      <c r="G3258" s="9"/>
      <c r="H3258" s="9"/>
      <c r="I3258" s="9"/>
      <c r="J3258" s="9"/>
      <c r="K3258" s="9"/>
      <c r="L3258" s="9"/>
      <c r="M3258" s="9"/>
      <c r="N3258" s="9"/>
      <c r="O3258" s="9"/>
      <c r="P3258" s="9"/>
      <c r="Q3258" s="9"/>
      <c r="R3258" s="9"/>
      <c r="S3258" s="9"/>
      <c r="T3258" s="9"/>
      <c r="U3258" s="9"/>
      <c r="V3258" s="9"/>
      <c r="W3258" s="9"/>
      <c r="X3258" s="9"/>
      <c r="Y3258" s="9"/>
      <c r="Z3258" s="9"/>
      <c r="AA3258" s="9"/>
      <c r="AB3258" s="9"/>
      <c r="AC3258" s="9"/>
      <c r="AD3258" s="9"/>
      <c r="AE3258" s="9"/>
      <c r="AF3258" s="9"/>
      <c r="AG3258" s="9"/>
      <c r="AH3258" s="9"/>
      <c r="AI3258" s="9"/>
      <c r="AJ3258" s="9"/>
      <c r="AK3258" s="9"/>
      <c r="AL3258" s="9"/>
      <c r="AM3258" s="9"/>
      <c r="AN3258" s="9"/>
      <c r="AO3258" s="9"/>
      <c r="AP3258" s="9"/>
      <c r="AQ3258" s="9"/>
      <c r="AR3258" s="9"/>
      <c r="AS3258" s="9"/>
      <c r="AT3258" s="9"/>
      <c r="AU3258" s="9"/>
    </row>
    <row r="3259" spans="1:47" ht="15.75" customHeight="1">
      <c r="A3259" s="9"/>
      <c r="B3259" s="9"/>
      <c r="C3259" s="9"/>
      <c r="D3259" s="9"/>
      <c r="E3259" s="9"/>
      <c r="F3259" s="67"/>
      <c r="G3259" s="9"/>
      <c r="H3259" s="9"/>
      <c r="I3259" s="9"/>
      <c r="J3259" s="9"/>
      <c r="K3259" s="9"/>
      <c r="L3259" s="9"/>
      <c r="M3259" s="9"/>
      <c r="N3259" s="9"/>
      <c r="O3259" s="9"/>
      <c r="P3259" s="9"/>
      <c r="Q3259" s="9"/>
      <c r="R3259" s="9"/>
      <c r="S3259" s="9"/>
      <c r="T3259" s="9"/>
      <c r="U3259" s="9"/>
      <c r="V3259" s="9"/>
      <c r="W3259" s="9"/>
      <c r="X3259" s="9"/>
      <c r="Y3259" s="9"/>
      <c r="Z3259" s="9"/>
      <c r="AA3259" s="9"/>
      <c r="AB3259" s="9"/>
      <c r="AC3259" s="9"/>
      <c r="AD3259" s="9"/>
      <c r="AE3259" s="9"/>
      <c r="AF3259" s="9"/>
      <c r="AG3259" s="9"/>
      <c r="AH3259" s="9"/>
      <c r="AI3259" s="9"/>
      <c r="AJ3259" s="9"/>
      <c r="AK3259" s="9"/>
      <c r="AL3259" s="9"/>
      <c r="AM3259" s="9"/>
      <c r="AN3259" s="9"/>
      <c r="AO3259" s="9"/>
      <c r="AP3259" s="9"/>
      <c r="AQ3259" s="9"/>
      <c r="AR3259" s="9"/>
      <c r="AS3259" s="9"/>
      <c r="AT3259" s="9"/>
      <c r="AU3259" s="9"/>
    </row>
    <row r="3260" spans="1:47" ht="15.75" customHeight="1">
      <c r="A3260" s="9"/>
      <c r="B3260" s="9"/>
      <c r="C3260" s="9"/>
      <c r="D3260" s="9"/>
      <c r="E3260" s="9"/>
      <c r="F3260" s="67"/>
      <c r="G3260" s="9"/>
      <c r="H3260" s="9"/>
      <c r="I3260" s="9"/>
      <c r="J3260" s="9"/>
      <c r="K3260" s="9"/>
      <c r="L3260" s="9"/>
      <c r="M3260" s="9"/>
      <c r="N3260" s="9"/>
      <c r="O3260" s="9"/>
      <c r="P3260" s="9"/>
      <c r="Q3260" s="9"/>
      <c r="R3260" s="9"/>
      <c r="S3260" s="9"/>
      <c r="T3260" s="9"/>
      <c r="U3260" s="9"/>
      <c r="V3260" s="9"/>
      <c r="W3260" s="9"/>
      <c r="X3260" s="9"/>
      <c r="Y3260" s="9"/>
      <c r="Z3260" s="9"/>
      <c r="AA3260" s="9"/>
      <c r="AB3260" s="9"/>
      <c r="AC3260" s="9"/>
      <c r="AD3260" s="9"/>
      <c r="AE3260" s="9"/>
      <c r="AF3260" s="9"/>
      <c r="AG3260" s="9"/>
      <c r="AH3260" s="9"/>
      <c r="AI3260" s="9"/>
      <c r="AJ3260" s="9"/>
      <c r="AK3260" s="9"/>
      <c r="AL3260" s="9"/>
      <c r="AM3260" s="9"/>
      <c r="AN3260" s="9"/>
      <c r="AO3260" s="9"/>
      <c r="AP3260" s="9"/>
      <c r="AQ3260" s="9"/>
      <c r="AR3260" s="9"/>
      <c r="AS3260" s="9"/>
      <c r="AT3260" s="9"/>
      <c r="AU3260" s="9"/>
    </row>
    <row r="3261" spans="1:47" ht="15.75" customHeight="1">
      <c r="A3261" s="9"/>
      <c r="B3261" s="9"/>
      <c r="C3261" s="9"/>
      <c r="D3261" s="9"/>
      <c r="E3261" s="9"/>
      <c r="F3261" s="67"/>
      <c r="G3261" s="9"/>
      <c r="H3261" s="9"/>
      <c r="I3261" s="9"/>
      <c r="J3261" s="9"/>
      <c r="K3261" s="9"/>
      <c r="L3261" s="9"/>
      <c r="M3261" s="9"/>
      <c r="N3261" s="9"/>
      <c r="O3261" s="9"/>
      <c r="P3261" s="9"/>
      <c r="Q3261" s="9"/>
      <c r="R3261" s="9"/>
      <c r="S3261" s="9"/>
      <c r="T3261" s="9"/>
      <c r="U3261" s="9"/>
      <c r="V3261" s="9"/>
      <c r="W3261" s="9"/>
      <c r="X3261" s="9"/>
      <c r="Y3261" s="9"/>
      <c r="Z3261" s="9"/>
      <c r="AA3261" s="9"/>
      <c r="AB3261" s="9"/>
      <c r="AC3261" s="9"/>
      <c r="AD3261" s="9"/>
      <c r="AE3261" s="9"/>
      <c r="AF3261" s="9"/>
      <c r="AG3261" s="9"/>
      <c r="AH3261" s="9"/>
      <c r="AI3261" s="9"/>
      <c r="AJ3261" s="9"/>
      <c r="AK3261" s="9"/>
      <c r="AL3261" s="9"/>
      <c r="AM3261" s="9"/>
      <c r="AN3261" s="9"/>
      <c r="AO3261" s="9"/>
      <c r="AP3261" s="9"/>
      <c r="AQ3261" s="9"/>
      <c r="AR3261" s="9"/>
      <c r="AS3261" s="9"/>
      <c r="AT3261" s="9"/>
      <c r="AU3261" s="9"/>
    </row>
    <row r="3262" spans="1:47" ht="15.75" customHeight="1">
      <c r="A3262" s="9"/>
      <c r="B3262" s="9"/>
      <c r="C3262" s="9"/>
      <c r="D3262" s="9"/>
      <c r="E3262" s="9"/>
      <c r="F3262" s="67"/>
      <c r="G3262" s="9"/>
      <c r="H3262" s="9"/>
      <c r="I3262" s="9"/>
      <c r="J3262" s="9"/>
      <c r="K3262" s="9"/>
      <c r="L3262" s="9"/>
      <c r="M3262" s="9"/>
      <c r="N3262" s="9"/>
      <c r="O3262" s="9"/>
      <c r="P3262" s="9"/>
      <c r="Q3262" s="9"/>
      <c r="R3262" s="9"/>
      <c r="S3262" s="9"/>
      <c r="T3262" s="9"/>
      <c r="U3262" s="9"/>
      <c r="V3262" s="9"/>
      <c r="W3262" s="9"/>
      <c r="X3262" s="9"/>
      <c r="Y3262" s="9"/>
      <c r="Z3262" s="9"/>
      <c r="AA3262" s="9"/>
      <c r="AB3262" s="9"/>
      <c r="AC3262" s="9"/>
      <c r="AD3262" s="9"/>
      <c r="AE3262" s="9"/>
      <c r="AF3262" s="9"/>
      <c r="AG3262" s="9"/>
      <c r="AH3262" s="9"/>
      <c r="AI3262" s="9"/>
      <c r="AJ3262" s="9"/>
      <c r="AK3262" s="9"/>
      <c r="AL3262" s="9"/>
      <c r="AM3262" s="9"/>
      <c r="AN3262" s="9"/>
      <c r="AO3262" s="9"/>
      <c r="AP3262" s="9"/>
      <c r="AQ3262" s="9"/>
      <c r="AR3262" s="9"/>
      <c r="AS3262" s="9"/>
      <c r="AT3262" s="9"/>
      <c r="AU3262" s="9"/>
    </row>
    <row r="3263" spans="1:47" ht="15.75" customHeight="1">
      <c r="A3263" s="9"/>
      <c r="B3263" s="9"/>
      <c r="C3263" s="9"/>
      <c r="D3263" s="9"/>
      <c r="E3263" s="9"/>
      <c r="F3263" s="67"/>
      <c r="G3263" s="9"/>
      <c r="H3263" s="9"/>
      <c r="I3263" s="9"/>
      <c r="J3263" s="9"/>
      <c r="K3263" s="9"/>
      <c r="L3263" s="9"/>
      <c r="M3263" s="9"/>
      <c r="N3263" s="9"/>
      <c r="O3263" s="9"/>
      <c r="P3263" s="9"/>
      <c r="Q3263" s="9"/>
      <c r="R3263" s="9"/>
      <c r="S3263" s="9"/>
      <c r="T3263" s="9"/>
      <c r="U3263" s="9"/>
      <c r="V3263" s="9"/>
      <c r="W3263" s="9"/>
      <c r="X3263" s="9"/>
      <c r="Y3263" s="9"/>
      <c r="Z3263" s="9"/>
      <c r="AA3263" s="9"/>
      <c r="AB3263" s="9"/>
      <c r="AC3263" s="9"/>
      <c r="AD3263" s="9"/>
      <c r="AE3263" s="9"/>
      <c r="AF3263" s="9"/>
      <c r="AG3263" s="9"/>
      <c r="AH3263" s="9"/>
      <c r="AI3263" s="9"/>
      <c r="AJ3263" s="9"/>
      <c r="AK3263" s="9"/>
      <c r="AL3263" s="9"/>
      <c r="AM3263" s="9"/>
      <c r="AN3263" s="9"/>
      <c r="AO3263" s="9"/>
      <c r="AP3263" s="9"/>
      <c r="AQ3263" s="9"/>
      <c r="AR3263" s="9"/>
      <c r="AS3263" s="9"/>
      <c r="AT3263" s="9"/>
      <c r="AU3263" s="9"/>
    </row>
    <row r="3264" spans="1:47" ht="15.75" customHeight="1">
      <c r="A3264" s="9"/>
      <c r="B3264" s="9"/>
      <c r="C3264" s="9"/>
      <c r="D3264" s="9"/>
      <c r="E3264" s="9"/>
      <c r="F3264" s="67"/>
      <c r="G3264" s="9"/>
      <c r="H3264" s="9"/>
      <c r="I3264" s="9"/>
      <c r="J3264" s="9"/>
      <c r="K3264" s="9"/>
      <c r="L3264" s="9"/>
      <c r="M3264" s="9"/>
      <c r="N3264" s="9"/>
      <c r="O3264" s="9"/>
      <c r="P3264" s="9"/>
      <c r="Q3264" s="9"/>
      <c r="R3264" s="9"/>
      <c r="S3264" s="9"/>
      <c r="T3264" s="9"/>
      <c r="U3264" s="9"/>
      <c r="V3264" s="9"/>
      <c r="W3264" s="9"/>
      <c r="X3264" s="9"/>
      <c r="Y3264" s="9"/>
      <c r="Z3264" s="9"/>
      <c r="AA3264" s="9"/>
      <c r="AB3264" s="9"/>
      <c r="AC3264" s="9"/>
      <c r="AD3264" s="9"/>
      <c r="AE3264" s="9"/>
      <c r="AF3264" s="9"/>
      <c r="AG3264" s="9"/>
      <c r="AH3264" s="9"/>
      <c r="AI3264" s="9"/>
      <c r="AJ3264" s="9"/>
      <c r="AK3264" s="9"/>
      <c r="AL3264" s="9"/>
      <c r="AM3264" s="9"/>
      <c r="AN3264" s="9"/>
      <c r="AO3264" s="9"/>
      <c r="AP3264" s="9"/>
      <c r="AQ3264" s="9"/>
      <c r="AR3264" s="9"/>
      <c r="AS3264" s="9"/>
      <c r="AT3264" s="9"/>
      <c r="AU3264" s="9"/>
    </row>
    <row r="3265" spans="1:47" ht="15.75" customHeight="1">
      <c r="A3265" s="9"/>
      <c r="B3265" s="9"/>
      <c r="C3265" s="9"/>
      <c r="D3265" s="9"/>
      <c r="E3265" s="9"/>
      <c r="F3265" s="67"/>
      <c r="G3265" s="9"/>
      <c r="H3265" s="9"/>
      <c r="I3265" s="9"/>
      <c r="J3265" s="9"/>
      <c r="K3265" s="9"/>
      <c r="L3265" s="9"/>
      <c r="M3265" s="9"/>
      <c r="N3265" s="9"/>
      <c r="O3265" s="9"/>
      <c r="P3265" s="9"/>
      <c r="Q3265" s="9"/>
      <c r="R3265" s="9"/>
      <c r="S3265" s="9"/>
      <c r="T3265" s="9"/>
      <c r="U3265" s="9"/>
      <c r="V3265" s="9"/>
      <c r="W3265" s="9"/>
      <c r="X3265" s="9"/>
      <c r="Y3265" s="9"/>
      <c r="Z3265" s="9"/>
      <c r="AA3265" s="9"/>
      <c r="AB3265" s="9"/>
      <c r="AC3265" s="9"/>
      <c r="AD3265" s="9"/>
      <c r="AE3265" s="9"/>
      <c r="AF3265" s="9"/>
      <c r="AG3265" s="9"/>
      <c r="AH3265" s="9"/>
      <c r="AI3265" s="9"/>
      <c r="AJ3265" s="9"/>
      <c r="AK3265" s="9"/>
      <c r="AL3265" s="9"/>
      <c r="AM3265" s="9"/>
      <c r="AN3265" s="9"/>
      <c r="AO3265" s="9"/>
      <c r="AP3265" s="9"/>
      <c r="AQ3265" s="9"/>
      <c r="AR3265" s="9"/>
      <c r="AS3265" s="9"/>
      <c r="AT3265" s="9"/>
      <c r="AU3265" s="9"/>
    </row>
    <row r="3266" spans="1:47" ht="15.75" customHeight="1">
      <c r="A3266" s="9"/>
      <c r="B3266" s="9"/>
      <c r="C3266" s="9"/>
      <c r="D3266" s="9"/>
      <c r="E3266" s="9"/>
      <c r="F3266" s="67"/>
      <c r="G3266" s="9"/>
      <c r="H3266" s="9"/>
      <c r="I3266" s="9"/>
      <c r="J3266" s="9"/>
      <c r="K3266" s="9"/>
      <c r="L3266" s="9"/>
      <c r="M3266" s="9"/>
      <c r="N3266" s="9"/>
      <c r="O3266" s="9"/>
      <c r="P3266" s="9"/>
      <c r="Q3266" s="9"/>
      <c r="R3266" s="9"/>
      <c r="S3266" s="9"/>
      <c r="T3266" s="9"/>
      <c r="U3266" s="9"/>
      <c r="V3266" s="9"/>
      <c r="W3266" s="9"/>
      <c r="X3266" s="9"/>
      <c r="Y3266" s="9"/>
      <c r="Z3266" s="9"/>
      <c r="AA3266" s="9"/>
      <c r="AB3266" s="9"/>
      <c r="AC3266" s="9"/>
      <c r="AD3266" s="9"/>
      <c r="AE3266" s="9"/>
      <c r="AF3266" s="9"/>
      <c r="AG3266" s="9"/>
      <c r="AH3266" s="9"/>
      <c r="AI3266" s="9"/>
      <c r="AJ3266" s="9"/>
      <c r="AK3266" s="9"/>
      <c r="AL3266" s="9"/>
      <c r="AM3266" s="9"/>
      <c r="AN3266" s="9"/>
      <c r="AO3266" s="9"/>
      <c r="AP3266" s="9"/>
      <c r="AQ3266" s="9"/>
      <c r="AR3266" s="9"/>
      <c r="AS3266" s="9"/>
      <c r="AT3266" s="9"/>
      <c r="AU3266" s="9"/>
    </row>
    <row r="3267" spans="1:47" ht="15.75" customHeight="1">
      <c r="A3267" s="9"/>
      <c r="B3267" s="9"/>
      <c r="C3267" s="9"/>
      <c r="D3267" s="9"/>
      <c r="E3267" s="9"/>
      <c r="F3267" s="67"/>
      <c r="G3267" s="9"/>
      <c r="H3267" s="9"/>
      <c r="I3267" s="9"/>
      <c r="J3267" s="9"/>
      <c r="K3267" s="9"/>
      <c r="L3267" s="9"/>
      <c r="M3267" s="9"/>
      <c r="N3267" s="9"/>
      <c r="O3267" s="9"/>
      <c r="P3267" s="9"/>
      <c r="Q3267" s="9"/>
      <c r="R3267" s="9"/>
      <c r="S3267" s="9"/>
      <c r="T3267" s="9"/>
      <c r="U3267" s="9"/>
      <c r="V3267" s="9"/>
      <c r="W3267" s="9"/>
      <c r="X3267" s="9"/>
      <c r="Y3267" s="9"/>
      <c r="Z3267" s="9"/>
      <c r="AA3267" s="9"/>
      <c r="AB3267" s="9"/>
      <c r="AC3267" s="9"/>
      <c r="AD3267" s="9"/>
      <c r="AE3267" s="9"/>
      <c r="AF3267" s="9"/>
      <c r="AG3267" s="9"/>
      <c r="AH3267" s="9"/>
      <c r="AI3267" s="9"/>
      <c r="AJ3267" s="9"/>
      <c r="AK3267" s="9"/>
      <c r="AL3267" s="9"/>
      <c r="AM3267" s="9"/>
      <c r="AN3267" s="9"/>
      <c r="AO3267" s="9"/>
      <c r="AP3267" s="9"/>
      <c r="AQ3267" s="9"/>
      <c r="AR3267" s="9"/>
      <c r="AS3267" s="9"/>
      <c r="AT3267" s="9"/>
      <c r="AU3267" s="9"/>
    </row>
    <row r="3268" spans="1:47" ht="15.75" customHeight="1">
      <c r="A3268" s="9"/>
      <c r="B3268" s="9"/>
      <c r="C3268" s="9"/>
      <c r="D3268" s="9"/>
      <c r="E3268" s="9"/>
      <c r="F3268" s="67"/>
      <c r="G3268" s="9"/>
      <c r="H3268" s="9"/>
      <c r="I3268" s="9"/>
      <c r="J3268" s="9"/>
      <c r="K3268" s="9"/>
      <c r="L3268" s="9"/>
      <c r="M3268" s="9"/>
      <c r="N3268" s="9"/>
      <c r="O3268" s="9"/>
      <c r="P3268" s="9"/>
      <c r="Q3268" s="9"/>
      <c r="R3268" s="9"/>
      <c r="S3268" s="9"/>
      <c r="T3268" s="9"/>
      <c r="U3268" s="9"/>
      <c r="V3268" s="9"/>
      <c r="W3268" s="9"/>
      <c r="X3268" s="9"/>
      <c r="Y3268" s="9"/>
      <c r="Z3268" s="9"/>
      <c r="AA3268" s="9"/>
      <c r="AB3268" s="9"/>
      <c r="AC3268" s="9"/>
      <c r="AD3268" s="9"/>
      <c r="AE3268" s="9"/>
      <c r="AF3268" s="9"/>
      <c r="AG3268" s="9"/>
      <c r="AH3268" s="9"/>
      <c r="AI3268" s="9"/>
      <c r="AJ3268" s="9"/>
      <c r="AK3268" s="9"/>
      <c r="AL3268" s="9"/>
      <c r="AM3268" s="9"/>
      <c r="AN3268" s="9"/>
      <c r="AO3268" s="9"/>
      <c r="AP3268" s="9"/>
      <c r="AQ3268" s="9"/>
      <c r="AR3268" s="9"/>
      <c r="AS3268" s="9"/>
      <c r="AT3268" s="9"/>
      <c r="AU3268" s="9"/>
    </row>
    <row r="3269" spans="1:47" ht="15.75" customHeight="1">
      <c r="A3269" s="9"/>
      <c r="B3269" s="9"/>
      <c r="C3269" s="9"/>
      <c r="D3269" s="9"/>
      <c r="E3269" s="9"/>
      <c r="F3269" s="67"/>
      <c r="G3269" s="9"/>
      <c r="H3269" s="9"/>
      <c r="I3269" s="9"/>
      <c r="J3269" s="9"/>
      <c r="K3269" s="9"/>
      <c r="L3269" s="9"/>
      <c r="M3269" s="9"/>
      <c r="N3269" s="9"/>
      <c r="O3269" s="9"/>
      <c r="P3269" s="9"/>
      <c r="Q3269" s="9"/>
      <c r="R3269" s="9"/>
      <c r="S3269" s="9"/>
      <c r="T3269" s="9"/>
      <c r="U3269" s="9"/>
      <c r="V3269" s="9"/>
      <c r="W3269" s="9"/>
      <c r="X3269" s="9"/>
      <c r="Y3269" s="9"/>
      <c r="Z3269" s="9"/>
      <c r="AA3269" s="9"/>
      <c r="AB3269" s="9"/>
      <c r="AC3269" s="9"/>
      <c r="AD3269" s="9"/>
      <c r="AE3269" s="9"/>
      <c r="AF3269" s="9"/>
      <c r="AG3269" s="9"/>
      <c r="AH3269" s="9"/>
      <c r="AI3269" s="9"/>
      <c r="AJ3269" s="9"/>
      <c r="AK3269" s="9"/>
      <c r="AL3269" s="9"/>
      <c r="AM3269" s="9"/>
      <c r="AN3269" s="9"/>
      <c r="AO3269" s="9"/>
      <c r="AP3269" s="9"/>
      <c r="AQ3269" s="9"/>
      <c r="AR3269" s="9"/>
      <c r="AS3269" s="9"/>
      <c r="AT3269" s="9"/>
      <c r="AU3269" s="9"/>
    </row>
    <row r="3270" spans="1:47" ht="15.75" customHeight="1">
      <c r="A3270" s="9"/>
      <c r="B3270" s="9"/>
      <c r="C3270" s="9"/>
      <c r="D3270" s="9"/>
      <c r="E3270" s="9"/>
      <c r="F3270" s="67"/>
      <c r="G3270" s="9"/>
      <c r="H3270" s="9"/>
      <c r="I3270" s="9"/>
      <c r="J3270" s="9"/>
      <c r="K3270" s="9"/>
      <c r="L3270" s="9"/>
      <c r="M3270" s="9"/>
      <c r="N3270" s="9"/>
      <c r="O3270" s="9"/>
      <c r="P3270" s="9"/>
      <c r="Q3270" s="9"/>
      <c r="R3270" s="9"/>
      <c r="S3270" s="9"/>
      <c r="T3270" s="9"/>
      <c r="U3270" s="9"/>
      <c r="V3270" s="9"/>
      <c r="W3270" s="9"/>
      <c r="X3270" s="9"/>
      <c r="Y3270" s="9"/>
      <c r="Z3270" s="9"/>
      <c r="AA3270" s="9"/>
      <c r="AB3270" s="9"/>
      <c r="AC3270" s="9"/>
      <c r="AD3270" s="9"/>
      <c r="AE3270" s="9"/>
      <c r="AF3270" s="9"/>
      <c r="AG3270" s="9"/>
      <c r="AH3270" s="9"/>
      <c r="AI3270" s="9"/>
      <c r="AJ3270" s="9"/>
      <c r="AK3270" s="9"/>
      <c r="AL3270" s="9"/>
      <c r="AM3270" s="9"/>
      <c r="AN3270" s="9"/>
      <c r="AO3270" s="9"/>
      <c r="AP3270" s="9"/>
      <c r="AQ3270" s="9"/>
      <c r="AR3270" s="9"/>
      <c r="AS3270" s="9"/>
      <c r="AT3270" s="9"/>
      <c r="AU3270" s="9"/>
    </row>
    <row r="3271" spans="1:47" ht="15.75" customHeight="1">
      <c r="A3271" s="9"/>
      <c r="B3271" s="9"/>
      <c r="C3271" s="9"/>
      <c r="D3271" s="9"/>
      <c r="E3271" s="9"/>
      <c r="F3271" s="67"/>
      <c r="G3271" s="9"/>
      <c r="H3271" s="9"/>
      <c r="I3271" s="9"/>
      <c r="J3271" s="9"/>
      <c r="K3271" s="9"/>
      <c r="L3271" s="9"/>
      <c r="M3271" s="9"/>
      <c r="N3271" s="9"/>
      <c r="O3271" s="9"/>
      <c r="P3271" s="9"/>
      <c r="Q3271" s="9"/>
      <c r="R3271" s="9"/>
      <c r="S3271" s="9"/>
      <c r="T3271" s="9"/>
      <c r="U3271" s="9"/>
      <c r="V3271" s="9"/>
      <c r="W3271" s="9"/>
      <c r="X3271" s="9"/>
      <c r="Y3271" s="9"/>
      <c r="Z3271" s="9"/>
      <c r="AA3271" s="9"/>
      <c r="AB3271" s="9"/>
      <c r="AC3271" s="9"/>
      <c r="AD3271" s="9"/>
      <c r="AE3271" s="9"/>
      <c r="AF3271" s="9"/>
      <c r="AG3271" s="9"/>
      <c r="AH3271" s="9"/>
      <c r="AI3271" s="9"/>
      <c r="AJ3271" s="9"/>
      <c r="AK3271" s="9"/>
      <c r="AL3271" s="9"/>
      <c r="AM3271" s="9"/>
      <c r="AN3271" s="9"/>
      <c r="AO3271" s="9"/>
      <c r="AP3271" s="9"/>
      <c r="AQ3271" s="9"/>
      <c r="AR3271" s="9"/>
      <c r="AS3271" s="9"/>
      <c r="AT3271" s="9"/>
      <c r="AU3271" s="9"/>
    </row>
    <row r="3272" spans="1:47" ht="15.75" customHeight="1">
      <c r="A3272" s="9"/>
      <c r="B3272" s="9"/>
      <c r="C3272" s="9"/>
      <c r="D3272" s="9"/>
      <c r="E3272" s="9"/>
      <c r="F3272" s="67"/>
      <c r="G3272" s="9"/>
      <c r="H3272" s="9"/>
      <c r="I3272" s="9"/>
      <c r="J3272" s="9"/>
      <c r="K3272" s="9"/>
      <c r="L3272" s="9"/>
      <c r="M3272" s="9"/>
      <c r="N3272" s="9"/>
      <c r="O3272" s="9"/>
      <c r="P3272" s="9"/>
      <c r="Q3272" s="9"/>
      <c r="R3272" s="9"/>
      <c r="S3272" s="9"/>
      <c r="T3272" s="9"/>
      <c r="U3272" s="9"/>
      <c r="V3272" s="9"/>
      <c r="W3272" s="9"/>
      <c r="X3272" s="9"/>
      <c r="Y3272" s="9"/>
      <c r="Z3272" s="9"/>
      <c r="AA3272" s="9"/>
      <c r="AB3272" s="9"/>
      <c r="AC3272" s="9"/>
      <c r="AD3272" s="9"/>
      <c r="AE3272" s="9"/>
      <c r="AF3272" s="9"/>
      <c r="AG3272" s="9"/>
      <c r="AH3272" s="9"/>
      <c r="AI3272" s="9"/>
      <c r="AJ3272" s="9"/>
      <c r="AK3272" s="9"/>
      <c r="AL3272" s="9"/>
      <c r="AM3272" s="9"/>
      <c r="AN3272" s="9"/>
      <c r="AO3272" s="9"/>
      <c r="AP3272" s="9"/>
      <c r="AQ3272" s="9"/>
      <c r="AR3272" s="9"/>
      <c r="AS3272" s="9"/>
      <c r="AT3272" s="9"/>
      <c r="AU3272" s="9"/>
    </row>
    <row r="3273" spans="1:47" ht="15.75" customHeight="1">
      <c r="A3273" s="9"/>
      <c r="B3273" s="9"/>
      <c r="C3273" s="9"/>
      <c r="D3273" s="9"/>
      <c r="E3273" s="9"/>
      <c r="F3273" s="67"/>
      <c r="G3273" s="9"/>
      <c r="H3273" s="9"/>
      <c r="I3273" s="9"/>
      <c r="J3273" s="9"/>
      <c r="K3273" s="9"/>
      <c r="L3273" s="9"/>
      <c r="M3273" s="9"/>
      <c r="N3273" s="9"/>
      <c r="O3273" s="9"/>
      <c r="P3273" s="9"/>
      <c r="Q3273" s="9"/>
      <c r="R3273" s="9"/>
      <c r="S3273" s="9"/>
      <c r="T3273" s="9"/>
      <c r="U3273" s="9"/>
      <c r="V3273" s="9"/>
      <c r="W3273" s="9"/>
      <c r="X3273" s="9"/>
      <c r="Y3273" s="9"/>
      <c r="Z3273" s="9"/>
      <c r="AA3273" s="9"/>
      <c r="AB3273" s="9"/>
      <c r="AC3273" s="9"/>
      <c r="AD3273" s="9"/>
      <c r="AE3273" s="9"/>
      <c r="AF3273" s="9"/>
      <c r="AG3273" s="9"/>
      <c r="AH3273" s="9"/>
      <c r="AI3273" s="9"/>
      <c r="AJ3273" s="9"/>
      <c r="AK3273" s="9"/>
      <c r="AL3273" s="9"/>
      <c r="AM3273" s="9"/>
      <c r="AN3273" s="9"/>
      <c r="AO3273" s="9"/>
      <c r="AP3273" s="9"/>
      <c r="AQ3273" s="9"/>
      <c r="AR3273" s="9"/>
      <c r="AS3273" s="9"/>
      <c r="AT3273" s="9"/>
      <c r="AU3273" s="9"/>
    </row>
    <row r="3274" spans="1:47" ht="15.75" customHeight="1">
      <c r="A3274" s="9"/>
      <c r="B3274" s="9"/>
      <c r="C3274" s="9"/>
      <c r="D3274" s="9"/>
      <c r="E3274" s="9"/>
      <c r="F3274" s="67"/>
      <c r="G3274" s="9"/>
      <c r="H3274" s="9"/>
      <c r="I3274" s="9"/>
      <c r="J3274" s="9"/>
      <c r="K3274" s="9"/>
      <c r="L3274" s="9"/>
      <c r="M3274" s="9"/>
      <c r="N3274" s="9"/>
      <c r="O3274" s="9"/>
      <c r="P3274" s="9"/>
      <c r="Q3274" s="9"/>
      <c r="R3274" s="9"/>
      <c r="S3274" s="9"/>
      <c r="T3274" s="9"/>
      <c r="U3274" s="9"/>
      <c r="V3274" s="9"/>
      <c r="W3274" s="9"/>
      <c r="X3274" s="9"/>
      <c r="Y3274" s="9"/>
      <c r="Z3274" s="9"/>
      <c r="AA3274" s="9"/>
      <c r="AB3274" s="9"/>
      <c r="AC3274" s="9"/>
      <c r="AD3274" s="9"/>
      <c r="AE3274" s="9"/>
      <c r="AF3274" s="9"/>
      <c r="AG3274" s="9"/>
      <c r="AH3274" s="9"/>
      <c r="AI3274" s="9"/>
      <c r="AJ3274" s="9"/>
      <c r="AK3274" s="9"/>
      <c r="AL3274" s="9"/>
      <c r="AM3274" s="9"/>
      <c r="AN3274" s="9"/>
      <c r="AO3274" s="9"/>
      <c r="AP3274" s="9"/>
      <c r="AQ3274" s="9"/>
      <c r="AR3274" s="9"/>
      <c r="AS3274" s="9"/>
      <c r="AT3274" s="9"/>
      <c r="AU3274" s="9"/>
    </row>
    <row r="3275" spans="1:47" ht="15.75" customHeight="1">
      <c r="A3275" s="9"/>
      <c r="B3275" s="9"/>
      <c r="C3275" s="9"/>
      <c r="D3275" s="9"/>
      <c r="E3275" s="9"/>
      <c r="F3275" s="67"/>
      <c r="G3275" s="9"/>
      <c r="H3275" s="9"/>
      <c r="I3275" s="9"/>
      <c r="J3275" s="9"/>
      <c r="K3275" s="9"/>
      <c r="L3275" s="9"/>
      <c r="M3275" s="9"/>
      <c r="N3275" s="9"/>
      <c r="O3275" s="9"/>
      <c r="P3275" s="9"/>
      <c r="Q3275" s="9"/>
      <c r="R3275" s="9"/>
      <c r="S3275" s="9"/>
      <c r="T3275" s="9"/>
      <c r="U3275" s="9"/>
      <c r="V3275" s="9"/>
      <c r="W3275" s="9"/>
      <c r="X3275" s="9"/>
      <c r="Y3275" s="9"/>
      <c r="Z3275" s="9"/>
      <c r="AA3275" s="9"/>
      <c r="AB3275" s="9"/>
      <c r="AC3275" s="9"/>
      <c r="AD3275" s="9"/>
      <c r="AE3275" s="9"/>
      <c r="AF3275" s="9"/>
      <c r="AG3275" s="9"/>
      <c r="AH3275" s="9"/>
      <c r="AI3275" s="9"/>
      <c r="AJ3275" s="9"/>
      <c r="AK3275" s="9"/>
      <c r="AL3275" s="9"/>
      <c r="AM3275" s="9"/>
      <c r="AN3275" s="9"/>
      <c r="AO3275" s="9"/>
      <c r="AP3275" s="9"/>
      <c r="AQ3275" s="9"/>
      <c r="AR3275" s="9"/>
      <c r="AS3275" s="9"/>
      <c r="AT3275" s="9"/>
      <c r="AU3275" s="9"/>
    </row>
    <row r="3276" spans="1:47" ht="15.75" customHeight="1">
      <c r="A3276" s="9"/>
      <c r="B3276" s="9"/>
      <c r="C3276" s="9"/>
      <c r="D3276" s="9"/>
      <c r="E3276" s="9"/>
      <c r="F3276" s="67"/>
      <c r="G3276" s="9"/>
      <c r="H3276" s="9"/>
      <c r="I3276" s="9"/>
      <c r="J3276" s="9"/>
      <c r="K3276" s="9"/>
      <c r="L3276" s="9"/>
      <c r="M3276" s="9"/>
      <c r="N3276" s="9"/>
      <c r="O3276" s="9"/>
      <c r="P3276" s="9"/>
      <c r="Q3276" s="9"/>
      <c r="R3276" s="9"/>
      <c r="S3276" s="9"/>
      <c r="T3276" s="9"/>
      <c r="U3276" s="9"/>
      <c r="V3276" s="9"/>
      <c r="W3276" s="9"/>
      <c r="X3276" s="9"/>
      <c r="Y3276" s="9"/>
      <c r="Z3276" s="9"/>
      <c r="AA3276" s="9"/>
      <c r="AB3276" s="9"/>
      <c r="AC3276" s="9"/>
      <c r="AD3276" s="9"/>
      <c r="AE3276" s="9"/>
      <c r="AF3276" s="9"/>
      <c r="AG3276" s="9"/>
      <c r="AH3276" s="9"/>
      <c r="AI3276" s="9"/>
      <c r="AJ3276" s="9"/>
      <c r="AK3276" s="9"/>
      <c r="AL3276" s="9"/>
      <c r="AM3276" s="9"/>
      <c r="AN3276" s="9"/>
      <c r="AO3276" s="9"/>
      <c r="AP3276" s="9"/>
      <c r="AQ3276" s="9"/>
      <c r="AR3276" s="9"/>
      <c r="AS3276" s="9"/>
      <c r="AT3276" s="9"/>
      <c r="AU3276" s="9"/>
    </row>
    <row r="3277" spans="1:47" ht="15.75" customHeight="1">
      <c r="A3277" s="9"/>
      <c r="B3277" s="9"/>
      <c r="C3277" s="9"/>
      <c r="D3277" s="9"/>
      <c r="E3277" s="9"/>
      <c r="F3277" s="67"/>
      <c r="G3277" s="9"/>
      <c r="H3277" s="9"/>
      <c r="I3277" s="9"/>
      <c r="J3277" s="9"/>
      <c r="K3277" s="9"/>
      <c r="L3277" s="9"/>
      <c r="M3277" s="9"/>
      <c r="N3277" s="9"/>
      <c r="O3277" s="9"/>
      <c r="P3277" s="9"/>
      <c r="Q3277" s="9"/>
      <c r="R3277" s="9"/>
      <c r="S3277" s="9"/>
      <c r="T3277" s="9"/>
      <c r="U3277" s="9"/>
      <c r="V3277" s="9"/>
      <c r="W3277" s="9"/>
      <c r="X3277" s="9"/>
      <c r="Y3277" s="9"/>
      <c r="Z3277" s="9"/>
      <c r="AA3277" s="9"/>
      <c r="AB3277" s="9"/>
      <c r="AC3277" s="9"/>
      <c r="AD3277" s="9"/>
      <c r="AE3277" s="9"/>
      <c r="AF3277" s="9"/>
      <c r="AG3277" s="9"/>
      <c r="AH3277" s="9"/>
      <c r="AI3277" s="9"/>
      <c r="AJ3277" s="9"/>
      <c r="AK3277" s="9"/>
      <c r="AL3277" s="9"/>
      <c r="AM3277" s="9"/>
      <c r="AN3277" s="9"/>
      <c r="AO3277" s="9"/>
      <c r="AP3277" s="9"/>
      <c r="AQ3277" s="9"/>
      <c r="AR3277" s="9"/>
      <c r="AS3277" s="9"/>
      <c r="AT3277" s="9"/>
      <c r="AU3277" s="9"/>
    </row>
    <row r="3278" spans="1:47" ht="15.75" customHeight="1">
      <c r="A3278" s="9"/>
      <c r="B3278" s="9"/>
      <c r="C3278" s="9"/>
      <c r="D3278" s="9"/>
      <c r="E3278" s="9"/>
      <c r="F3278" s="67"/>
      <c r="G3278" s="9"/>
      <c r="H3278" s="9"/>
      <c r="I3278" s="9"/>
      <c r="J3278" s="9"/>
      <c r="K3278" s="9"/>
      <c r="L3278" s="9"/>
      <c r="M3278" s="9"/>
      <c r="N3278" s="9"/>
      <c r="O3278" s="9"/>
      <c r="P3278" s="9"/>
      <c r="Q3278" s="9"/>
      <c r="R3278" s="9"/>
      <c r="S3278" s="9"/>
      <c r="T3278" s="9"/>
      <c r="U3278" s="9"/>
      <c r="V3278" s="9"/>
      <c r="W3278" s="9"/>
      <c r="X3278" s="9"/>
      <c r="Y3278" s="9"/>
      <c r="Z3278" s="9"/>
      <c r="AA3278" s="9"/>
      <c r="AB3278" s="9"/>
      <c r="AC3278" s="9"/>
      <c r="AD3278" s="9"/>
      <c r="AE3278" s="9"/>
      <c r="AF3278" s="9"/>
      <c r="AG3278" s="9"/>
      <c r="AH3278" s="9"/>
      <c r="AI3278" s="9"/>
      <c r="AJ3278" s="9"/>
      <c r="AK3278" s="9"/>
      <c r="AL3278" s="9"/>
      <c r="AM3278" s="9"/>
      <c r="AN3278" s="9"/>
      <c r="AO3278" s="9"/>
      <c r="AP3278" s="9"/>
      <c r="AQ3278" s="9"/>
      <c r="AR3278" s="9"/>
      <c r="AS3278" s="9"/>
      <c r="AT3278" s="9"/>
      <c r="AU3278" s="9"/>
    </row>
    <row r="3279" spans="1:47" ht="15.75" customHeight="1">
      <c r="A3279" s="9"/>
      <c r="B3279" s="9"/>
      <c r="C3279" s="9"/>
      <c r="D3279" s="9"/>
      <c r="E3279" s="9"/>
      <c r="F3279" s="67"/>
      <c r="G3279" s="9"/>
      <c r="H3279" s="9"/>
      <c r="I3279" s="9"/>
      <c r="J3279" s="9"/>
      <c r="K3279" s="9"/>
      <c r="L3279" s="9"/>
      <c r="M3279" s="9"/>
      <c r="N3279" s="9"/>
      <c r="O3279" s="9"/>
      <c r="P3279" s="9"/>
      <c r="Q3279" s="9"/>
      <c r="R3279" s="9"/>
      <c r="S3279" s="9"/>
      <c r="T3279" s="9"/>
      <c r="U3279" s="9"/>
      <c r="V3279" s="9"/>
      <c r="W3279" s="9"/>
      <c r="X3279" s="9"/>
      <c r="Y3279" s="9"/>
      <c r="Z3279" s="9"/>
      <c r="AA3279" s="9"/>
      <c r="AB3279" s="9"/>
      <c r="AC3279" s="9"/>
      <c r="AD3279" s="9"/>
      <c r="AE3279" s="9"/>
      <c r="AF3279" s="9"/>
      <c r="AG3279" s="9"/>
      <c r="AH3279" s="9"/>
      <c r="AI3279" s="9"/>
      <c r="AJ3279" s="9"/>
      <c r="AK3279" s="9"/>
      <c r="AL3279" s="9"/>
      <c r="AM3279" s="9"/>
      <c r="AN3279" s="9"/>
      <c r="AO3279" s="9"/>
      <c r="AP3279" s="9"/>
      <c r="AQ3279" s="9"/>
      <c r="AR3279" s="9"/>
      <c r="AS3279" s="9"/>
      <c r="AT3279" s="9"/>
      <c r="AU3279" s="9"/>
    </row>
    <row r="3280" spans="1:47" ht="15.75" customHeight="1">
      <c r="A3280" s="9"/>
      <c r="B3280" s="9"/>
      <c r="C3280" s="9"/>
      <c r="D3280" s="9"/>
      <c r="E3280" s="9"/>
      <c r="F3280" s="67"/>
      <c r="G3280" s="9"/>
      <c r="H3280" s="9"/>
      <c r="I3280" s="9"/>
      <c r="J3280" s="9"/>
      <c r="K3280" s="9"/>
      <c r="L3280" s="9"/>
      <c r="M3280" s="9"/>
      <c r="N3280" s="9"/>
      <c r="O3280" s="9"/>
      <c r="P3280" s="9"/>
      <c r="Q3280" s="9"/>
      <c r="R3280" s="9"/>
      <c r="S3280" s="9"/>
      <c r="T3280" s="9"/>
      <c r="U3280" s="9"/>
      <c r="V3280" s="9"/>
      <c r="W3280" s="9"/>
      <c r="X3280" s="9"/>
      <c r="Y3280" s="9"/>
      <c r="Z3280" s="9"/>
      <c r="AA3280" s="9"/>
      <c r="AB3280" s="9"/>
      <c r="AC3280" s="9"/>
      <c r="AD3280" s="9"/>
      <c r="AE3280" s="9"/>
      <c r="AF3280" s="9"/>
      <c r="AG3280" s="9"/>
      <c r="AH3280" s="9"/>
      <c r="AI3280" s="9"/>
      <c r="AJ3280" s="9"/>
      <c r="AK3280" s="9"/>
      <c r="AL3280" s="9"/>
      <c r="AM3280" s="9"/>
      <c r="AN3280" s="9"/>
      <c r="AO3280" s="9"/>
      <c r="AP3280" s="9"/>
      <c r="AQ3280" s="9"/>
      <c r="AR3280" s="9"/>
      <c r="AS3280" s="9"/>
      <c r="AT3280" s="9"/>
      <c r="AU3280" s="9"/>
    </row>
    <row r="3281" spans="1:47" ht="15.75" customHeight="1">
      <c r="A3281" s="9"/>
      <c r="B3281" s="9"/>
      <c r="C3281" s="9"/>
      <c r="D3281" s="9"/>
      <c r="E3281" s="9"/>
      <c r="F3281" s="67"/>
      <c r="G3281" s="9"/>
      <c r="H3281" s="9"/>
      <c r="I3281" s="9"/>
      <c r="J3281" s="9"/>
      <c r="K3281" s="9"/>
      <c r="L3281" s="9"/>
      <c r="M3281" s="9"/>
      <c r="N3281" s="9"/>
      <c r="O3281" s="9"/>
      <c r="P3281" s="9"/>
      <c r="Q3281" s="9"/>
      <c r="R3281" s="9"/>
      <c r="S3281" s="9"/>
      <c r="T3281" s="9"/>
      <c r="U3281" s="9"/>
      <c r="V3281" s="9"/>
      <c r="W3281" s="9"/>
      <c r="X3281" s="9"/>
      <c r="Y3281" s="9"/>
      <c r="Z3281" s="9"/>
      <c r="AA3281" s="9"/>
      <c r="AB3281" s="9"/>
      <c r="AC3281" s="9"/>
      <c r="AD3281" s="9"/>
      <c r="AE3281" s="9"/>
      <c r="AF3281" s="9"/>
      <c r="AG3281" s="9"/>
      <c r="AH3281" s="9"/>
      <c r="AI3281" s="9"/>
      <c r="AJ3281" s="9"/>
      <c r="AK3281" s="9"/>
      <c r="AL3281" s="9"/>
      <c r="AM3281" s="9"/>
      <c r="AN3281" s="9"/>
      <c r="AO3281" s="9"/>
      <c r="AP3281" s="9"/>
      <c r="AQ3281" s="9"/>
      <c r="AR3281" s="9"/>
      <c r="AS3281" s="9"/>
      <c r="AT3281" s="9"/>
      <c r="AU3281" s="9"/>
    </row>
    <row r="3282" spans="1:47" ht="15.75" customHeight="1">
      <c r="A3282" s="9"/>
      <c r="B3282" s="9"/>
      <c r="C3282" s="9"/>
      <c r="D3282" s="9"/>
      <c r="E3282" s="9"/>
      <c r="F3282" s="67"/>
      <c r="G3282" s="9"/>
      <c r="H3282" s="9"/>
      <c r="I3282" s="9"/>
      <c r="J3282" s="9"/>
      <c r="K3282" s="9"/>
      <c r="L3282" s="9"/>
      <c r="M3282" s="9"/>
      <c r="N3282" s="9"/>
      <c r="O3282" s="9"/>
      <c r="P3282" s="9"/>
      <c r="Q3282" s="9"/>
      <c r="R3282" s="9"/>
      <c r="S3282" s="9"/>
      <c r="T3282" s="9"/>
      <c r="U3282" s="9"/>
      <c r="V3282" s="9"/>
      <c r="W3282" s="9"/>
      <c r="X3282" s="9"/>
      <c r="Y3282" s="9"/>
      <c r="Z3282" s="9"/>
      <c r="AA3282" s="9"/>
      <c r="AB3282" s="9"/>
      <c r="AC3282" s="9"/>
      <c r="AD3282" s="9"/>
      <c r="AE3282" s="9"/>
      <c r="AF3282" s="9"/>
      <c r="AG3282" s="9"/>
      <c r="AH3282" s="9"/>
      <c r="AI3282" s="9"/>
      <c r="AJ3282" s="9"/>
      <c r="AK3282" s="9"/>
      <c r="AL3282" s="9"/>
      <c r="AM3282" s="9"/>
      <c r="AN3282" s="9"/>
      <c r="AO3282" s="9"/>
      <c r="AP3282" s="9"/>
      <c r="AQ3282" s="9"/>
      <c r="AR3282" s="9"/>
      <c r="AS3282" s="9"/>
      <c r="AT3282" s="9"/>
      <c r="AU3282" s="9"/>
    </row>
    <row r="3283" spans="1:47" ht="15.75" customHeight="1">
      <c r="A3283" s="9"/>
      <c r="B3283" s="9"/>
      <c r="C3283" s="9"/>
      <c r="D3283" s="9"/>
      <c r="E3283" s="9"/>
      <c r="F3283" s="67"/>
      <c r="G3283" s="9"/>
      <c r="H3283" s="9"/>
      <c r="I3283" s="9"/>
      <c r="J3283" s="9"/>
      <c r="K3283" s="9"/>
      <c r="L3283" s="9"/>
      <c r="M3283" s="9"/>
      <c r="N3283" s="9"/>
      <c r="O3283" s="9"/>
      <c r="P3283" s="9"/>
      <c r="Q3283" s="9"/>
      <c r="R3283" s="9"/>
      <c r="S3283" s="9"/>
      <c r="T3283" s="9"/>
      <c r="U3283" s="9"/>
      <c r="V3283" s="9"/>
      <c r="W3283" s="9"/>
      <c r="X3283" s="9"/>
      <c r="Y3283" s="9"/>
      <c r="Z3283" s="9"/>
      <c r="AA3283" s="9"/>
      <c r="AB3283" s="9"/>
      <c r="AC3283" s="9"/>
      <c r="AD3283" s="9"/>
      <c r="AE3283" s="9"/>
      <c r="AF3283" s="9"/>
      <c r="AG3283" s="9"/>
      <c r="AH3283" s="9"/>
      <c r="AI3283" s="9"/>
      <c r="AJ3283" s="9"/>
      <c r="AK3283" s="9"/>
      <c r="AL3283" s="9"/>
      <c r="AM3283" s="9"/>
      <c r="AN3283" s="9"/>
      <c r="AO3283" s="9"/>
      <c r="AP3283" s="9"/>
      <c r="AQ3283" s="9"/>
      <c r="AR3283" s="9"/>
      <c r="AS3283" s="9"/>
      <c r="AT3283" s="9"/>
      <c r="AU3283" s="9"/>
    </row>
    <row r="3284" spans="1:47" ht="15.75" customHeight="1">
      <c r="A3284" s="9"/>
      <c r="B3284" s="9"/>
      <c r="C3284" s="9"/>
      <c r="D3284" s="9"/>
      <c r="E3284" s="9"/>
      <c r="F3284" s="67"/>
      <c r="G3284" s="9"/>
      <c r="H3284" s="9"/>
      <c r="I3284" s="9"/>
      <c r="J3284" s="9"/>
      <c r="K3284" s="9"/>
      <c r="L3284" s="9"/>
      <c r="M3284" s="9"/>
      <c r="N3284" s="9"/>
      <c r="O3284" s="9"/>
      <c r="P3284" s="9"/>
      <c r="Q3284" s="9"/>
      <c r="R3284" s="9"/>
      <c r="S3284" s="9"/>
      <c r="T3284" s="9"/>
      <c r="U3284" s="9"/>
      <c r="V3284" s="9"/>
      <c r="W3284" s="9"/>
      <c r="X3284" s="9"/>
      <c r="Y3284" s="9"/>
      <c r="Z3284" s="9"/>
      <c r="AA3284" s="9"/>
      <c r="AB3284" s="9"/>
      <c r="AC3284" s="9"/>
      <c r="AD3284" s="9"/>
      <c r="AE3284" s="9"/>
      <c r="AF3284" s="9"/>
      <c r="AG3284" s="9"/>
      <c r="AH3284" s="9"/>
      <c r="AI3284" s="9"/>
      <c r="AJ3284" s="9"/>
      <c r="AK3284" s="9"/>
      <c r="AL3284" s="9"/>
      <c r="AM3284" s="9"/>
      <c r="AN3284" s="9"/>
      <c r="AO3284" s="9"/>
      <c r="AP3284" s="9"/>
      <c r="AQ3284" s="9"/>
      <c r="AR3284" s="9"/>
      <c r="AS3284" s="9"/>
      <c r="AT3284" s="9"/>
      <c r="AU3284" s="9"/>
    </row>
    <row r="3285" spans="1:47" ht="15.75" customHeight="1">
      <c r="A3285" s="9"/>
      <c r="B3285" s="9"/>
      <c r="C3285" s="9"/>
      <c r="D3285" s="9"/>
      <c r="E3285" s="9"/>
      <c r="F3285" s="67"/>
      <c r="G3285" s="9"/>
      <c r="H3285" s="9"/>
      <c r="I3285" s="9"/>
      <c r="J3285" s="9"/>
      <c r="K3285" s="9"/>
      <c r="L3285" s="9"/>
      <c r="M3285" s="9"/>
      <c r="N3285" s="9"/>
      <c r="O3285" s="9"/>
      <c r="P3285" s="9"/>
      <c r="Q3285" s="9"/>
      <c r="R3285" s="9"/>
      <c r="S3285" s="9"/>
      <c r="T3285" s="9"/>
      <c r="U3285" s="9"/>
      <c r="V3285" s="9"/>
      <c r="W3285" s="9"/>
      <c r="X3285" s="9"/>
      <c r="Y3285" s="9"/>
      <c r="Z3285" s="9"/>
      <c r="AA3285" s="9"/>
      <c r="AB3285" s="9"/>
      <c r="AC3285" s="9"/>
      <c r="AD3285" s="9"/>
      <c r="AE3285" s="9"/>
      <c r="AF3285" s="9"/>
      <c r="AG3285" s="9"/>
      <c r="AH3285" s="9"/>
      <c r="AI3285" s="9"/>
      <c r="AJ3285" s="9"/>
      <c r="AK3285" s="9"/>
      <c r="AL3285" s="9"/>
      <c r="AM3285" s="9"/>
      <c r="AN3285" s="9"/>
      <c r="AO3285" s="9"/>
      <c r="AP3285" s="9"/>
      <c r="AQ3285" s="9"/>
      <c r="AR3285" s="9"/>
      <c r="AS3285" s="9"/>
      <c r="AT3285" s="9"/>
      <c r="AU3285" s="9"/>
    </row>
    <row r="3286" spans="1:47" ht="15.75" customHeight="1">
      <c r="A3286" s="9"/>
      <c r="B3286" s="9"/>
      <c r="C3286" s="9"/>
      <c r="D3286" s="9"/>
      <c r="E3286" s="9"/>
      <c r="F3286" s="67"/>
      <c r="G3286" s="9"/>
      <c r="H3286" s="9"/>
      <c r="I3286" s="9"/>
      <c r="J3286" s="9"/>
      <c r="K3286" s="9"/>
      <c r="L3286" s="9"/>
      <c r="M3286" s="9"/>
      <c r="N3286" s="9"/>
      <c r="O3286" s="9"/>
      <c r="P3286" s="9"/>
      <c r="Q3286" s="9"/>
      <c r="R3286" s="9"/>
      <c r="S3286" s="9"/>
      <c r="T3286" s="9"/>
      <c r="U3286" s="9"/>
      <c r="V3286" s="9"/>
      <c r="W3286" s="9"/>
      <c r="X3286" s="9"/>
      <c r="Y3286" s="9"/>
      <c r="Z3286" s="9"/>
      <c r="AA3286" s="9"/>
      <c r="AB3286" s="9"/>
      <c r="AC3286" s="9"/>
      <c r="AD3286" s="9"/>
      <c r="AE3286" s="9"/>
      <c r="AF3286" s="9"/>
      <c r="AG3286" s="9"/>
      <c r="AH3286" s="9"/>
      <c r="AI3286" s="9"/>
      <c r="AJ3286" s="9"/>
      <c r="AK3286" s="9"/>
      <c r="AL3286" s="9"/>
      <c r="AM3286" s="9"/>
      <c r="AN3286" s="9"/>
      <c r="AO3286" s="9"/>
      <c r="AP3286" s="9"/>
      <c r="AQ3286" s="9"/>
      <c r="AR3286" s="9"/>
      <c r="AS3286" s="9"/>
      <c r="AT3286" s="9"/>
      <c r="AU3286" s="9"/>
    </row>
    <row r="3287" spans="1:47" ht="15.75" customHeight="1">
      <c r="A3287" s="9"/>
      <c r="B3287" s="9"/>
      <c r="C3287" s="9"/>
      <c r="D3287" s="9"/>
      <c r="E3287" s="9"/>
      <c r="F3287" s="67"/>
      <c r="G3287" s="9"/>
      <c r="H3287" s="9"/>
      <c r="I3287" s="9"/>
      <c r="J3287" s="9"/>
      <c r="K3287" s="9"/>
      <c r="L3287" s="9"/>
      <c r="M3287" s="9"/>
      <c r="N3287" s="9"/>
      <c r="O3287" s="9"/>
      <c r="P3287" s="9"/>
      <c r="Q3287" s="9"/>
      <c r="R3287" s="9"/>
      <c r="S3287" s="9"/>
      <c r="T3287" s="9"/>
      <c r="U3287" s="9"/>
      <c r="V3287" s="9"/>
      <c r="W3287" s="9"/>
      <c r="X3287" s="9"/>
      <c r="Y3287" s="9"/>
      <c r="Z3287" s="9"/>
      <c r="AA3287" s="9"/>
      <c r="AB3287" s="9"/>
      <c r="AC3287" s="9"/>
      <c r="AD3287" s="9"/>
      <c r="AE3287" s="9"/>
      <c r="AF3287" s="9"/>
      <c r="AG3287" s="9"/>
      <c r="AH3287" s="9"/>
      <c r="AI3287" s="9"/>
      <c r="AJ3287" s="9"/>
      <c r="AK3287" s="9"/>
      <c r="AL3287" s="9"/>
      <c r="AM3287" s="9"/>
      <c r="AN3287" s="9"/>
      <c r="AO3287" s="9"/>
      <c r="AP3287" s="9"/>
      <c r="AQ3287" s="9"/>
      <c r="AR3287" s="9"/>
      <c r="AS3287" s="9"/>
      <c r="AT3287" s="9"/>
      <c r="AU3287" s="9"/>
    </row>
    <row r="3288" spans="1:47" ht="15.75" customHeight="1">
      <c r="A3288" s="9"/>
      <c r="B3288" s="9"/>
      <c r="C3288" s="9"/>
      <c r="D3288" s="9"/>
      <c r="E3288" s="9"/>
      <c r="F3288" s="67"/>
      <c r="G3288" s="9"/>
      <c r="H3288" s="9"/>
      <c r="I3288" s="9"/>
      <c r="J3288" s="9"/>
      <c r="K3288" s="9"/>
      <c r="L3288" s="9"/>
      <c r="M3288" s="9"/>
      <c r="N3288" s="9"/>
      <c r="O3288" s="9"/>
      <c r="P3288" s="9"/>
      <c r="Q3288" s="9"/>
      <c r="R3288" s="9"/>
      <c r="S3288" s="9"/>
      <c r="T3288" s="9"/>
      <c r="U3288" s="9"/>
      <c r="V3288" s="9"/>
      <c r="W3288" s="9"/>
      <c r="X3288" s="9"/>
      <c r="Y3288" s="9"/>
      <c r="Z3288" s="9"/>
      <c r="AA3288" s="9"/>
      <c r="AB3288" s="9"/>
      <c r="AC3288" s="9"/>
      <c r="AD3288" s="9"/>
      <c r="AE3288" s="9"/>
      <c r="AF3288" s="9"/>
      <c r="AG3288" s="9"/>
      <c r="AH3288" s="9"/>
      <c r="AI3288" s="9"/>
      <c r="AJ3288" s="9"/>
      <c r="AK3288" s="9"/>
      <c r="AL3288" s="9"/>
      <c r="AM3288" s="9"/>
      <c r="AN3288" s="9"/>
      <c r="AO3288" s="9"/>
      <c r="AP3288" s="9"/>
      <c r="AQ3288" s="9"/>
      <c r="AR3288" s="9"/>
      <c r="AS3288" s="9"/>
      <c r="AT3288" s="9"/>
      <c r="AU3288" s="9"/>
    </row>
    <row r="3289" spans="1:47" ht="15.75" customHeight="1">
      <c r="A3289" s="9"/>
      <c r="B3289" s="9"/>
      <c r="C3289" s="9"/>
      <c r="D3289" s="9"/>
      <c r="E3289" s="9"/>
      <c r="F3289" s="67"/>
      <c r="G3289" s="9"/>
      <c r="H3289" s="9"/>
      <c r="I3289" s="9"/>
      <c r="J3289" s="9"/>
      <c r="K3289" s="9"/>
      <c r="L3289" s="9"/>
      <c r="M3289" s="9"/>
      <c r="N3289" s="9"/>
      <c r="O3289" s="9"/>
      <c r="P3289" s="9"/>
      <c r="Q3289" s="9"/>
      <c r="R3289" s="9"/>
      <c r="S3289" s="9"/>
      <c r="T3289" s="9"/>
      <c r="U3289" s="9"/>
      <c r="V3289" s="9"/>
      <c r="W3289" s="9"/>
      <c r="X3289" s="9"/>
      <c r="Y3289" s="9"/>
      <c r="Z3289" s="9"/>
      <c r="AA3289" s="9"/>
      <c r="AB3289" s="9"/>
      <c r="AC3289" s="9"/>
      <c r="AD3289" s="9"/>
      <c r="AE3289" s="9"/>
      <c r="AF3289" s="9"/>
      <c r="AG3289" s="9"/>
      <c r="AH3289" s="9"/>
      <c r="AI3289" s="9"/>
      <c r="AJ3289" s="9"/>
      <c r="AK3289" s="9"/>
      <c r="AL3289" s="9"/>
      <c r="AM3289" s="9"/>
      <c r="AN3289" s="9"/>
      <c r="AO3289" s="9"/>
      <c r="AP3289" s="9"/>
      <c r="AQ3289" s="9"/>
      <c r="AR3289" s="9"/>
      <c r="AS3289" s="9"/>
      <c r="AT3289" s="9"/>
      <c r="AU3289" s="9"/>
    </row>
    <row r="3290" spans="1:47" ht="15.75" customHeight="1">
      <c r="A3290" s="9"/>
      <c r="B3290" s="9"/>
      <c r="C3290" s="9"/>
      <c r="D3290" s="9"/>
      <c r="E3290" s="9"/>
      <c r="F3290" s="67"/>
      <c r="G3290" s="9"/>
      <c r="H3290" s="9"/>
      <c r="I3290" s="9"/>
      <c r="J3290" s="9"/>
      <c r="K3290" s="9"/>
      <c r="L3290" s="9"/>
      <c r="M3290" s="9"/>
      <c r="N3290" s="9"/>
      <c r="O3290" s="9"/>
      <c r="P3290" s="9"/>
      <c r="Q3290" s="9"/>
      <c r="R3290" s="9"/>
      <c r="S3290" s="9"/>
      <c r="T3290" s="9"/>
      <c r="U3290" s="9"/>
      <c r="V3290" s="9"/>
      <c r="W3290" s="9"/>
      <c r="X3290" s="9"/>
      <c r="Y3290" s="9"/>
      <c r="Z3290" s="9"/>
      <c r="AA3290" s="9"/>
      <c r="AB3290" s="9"/>
      <c r="AC3290" s="9"/>
      <c r="AD3290" s="9"/>
      <c r="AE3290" s="9"/>
      <c r="AF3290" s="9"/>
      <c r="AG3290" s="9"/>
      <c r="AH3290" s="9"/>
      <c r="AI3290" s="9"/>
      <c r="AJ3290" s="9"/>
      <c r="AK3290" s="9"/>
      <c r="AL3290" s="9"/>
      <c r="AM3290" s="9"/>
      <c r="AN3290" s="9"/>
      <c r="AO3290" s="9"/>
      <c r="AP3290" s="9"/>
      <c r="AQ3290" s="9"/>
      <c r="AR3290" s="9"/>
      <c r="AS3290" s="9"/>
      <c r="AT3290" s="9"/>
      <c r="AU3290" s="9"/>
    </row>
    <row r="3291" spans="1:47" ht="15.75" customHeight="1">
      <c r="A3291" s="9"/>
      <c r="B3291" s="9"/>
      <c r="C3291" s="9"/>
      <c r="D3291" s="9"/>
      <c r="E3291" s="9"/>
      <c r="F3291" s="67"/>
      <c r="G3291" s="9"/>
      <c r="H3291" s="9"/>
      <c r="I3291" s="9"/>
      <c r="J3291" s="9"/>
      <c r="K3291" s="9"/>
      <c r="L3291" s="9"/>
      <c r="M3291" s="9"/>
      <c r="N3291" s="9"/>
      <c r="O3291" s="9"/>
      <c r="P3291" s="9"/>
      <c r="Q3291" s="9"/>
      <c r="R3291" s="9"/>
      <c r="S3291" s="9"/>
      <c r="T3291" s="9"/>
      <c r="U3291" s="9"/>
      <c r="V3291" s="9"/>
      <c r="W3291" s="9"/>
      <c r="X3291" s="9"/>
      <c r="Y3291" s="9"/>
      <c r="Z3291" s="9"/>
      <c r="AA3291" s="9"/>
      <c r="AB3291" s="9"/>
      <c r="AC3291" s="9"/>
      <c r="AD3291" s="9"/>
      <c r="AE3291" s="9"/>
      <c r="AF3291" s="9"/>
      <c r="AG3291" s="9"/>
      <c r="AH3291" s="9"/>
      <c r="AI3291" s="9"/>
      <c r="AJ3291" s="9"/>
      <c r="AK3291" s="9"/>
      <c r="AL3291" s="9"/>
      <c r="AM3291" s="9"/>
      <c r="AN3291" s="9"/>
      <c r="AO3291" s="9"/>
      <c r="AP3291" s="9"/>
      <c r="AQ3291" s="9"/>
      <c r="AR3291" s="9"/>
      <c r="AS3291" s="9"/>
      <c r="AT3291" s="9"/>
      <c r="AU3291" s="9"/>
    </row>
    <row r="3292" spans="1:47" ht="15.75" customHeight="1">
      <c r="A3292" s="9"/>
      <c r="B3292" s="9"/>
      <c r="C3292" s="9"/>
      <c r="D3292" s="9"/>
      <c r="E3292" s="9"/>
      <c r="F3292" s="67"/>
      <c r="G3292" s="9"/>
      <c r="H3292" s="9"/>
      <c r="I3292" s="9"/>
      <c r="J3292" s="9"/>
      <c r="K3292" s="9"/>
      <c r="L3292" s="9"/>
      <c r="M3292" s="9"/>
      <c r="N3292" s="9"/>
      <c r="O3292" s="9"/>
      <c r="P3292" s="9"/>
      <c r="Q3292" s="9"/>
      <c r="R3292" s="9"/>
      <c r="S3292" s="9"/>
      <c r="T3292" s="9"/>
      <c r="U3292" s="9"/>
      <c r="V3292" s="9"/>
      <c r="W3292" s="9"/>
      <c r="X3292" s="9"/>
      <c r="Y3292" s="9"/>
      <c r="Z3292" s="9"/>
      <c r="AA3292" s="9"/>
      <c r="AB3292" s="9"/>
      <c r="AC3292" s="9"/>
      <c r="AD3292" s="9"/>
      <c r="AE3292" s="9"/>
      <c r="AF3292" s="9"/>
      <c r="AG3292" s="9"/>
      <c r="AH3292" s="9"/>
      <c r="AI3292" s="9"/>
      <c r="AJ3292" s="9"/>
      <c r="AK3292" s="9"/>
      <c r="AL3292" s="9"/>
      <c r="AM3292" s="9"/>
      <c r="AN3292" s="9"/>
      <c r="AO3292" s="9"/>
      <c r="AP3292" s="9"/>
      <c r="AQ3292" s="9"/>
      <c r="AR3292" s="9"/>
      <c r="AS3292" s="9"/>
      <c r="AT3292" s="9"/>
      <c r="AU3292" s="9"/>
    </row>
    <row r="3293" spans="1:47" ht="15.75" customHeight="1">
      <c r="A3293" s="9"/>
      <c r="B3293" s="9"/>
      <c r="C3293" s="9"/>
      <c r="D3293" s="9"/>
      <c r="E3293" s="9"/>
      <c r="F3293" s="67"/>
      <c r="G3293" s="9"/>
      <c r="H3293" s="9"/>
      <c r="I3293" s="9"/>
      <c r="J3293" s="9"/>
      <c r="K3293" s="9"/>
      <c r="L3293" s="9"/>
      <c r="M3293" s="9"/>
      <c r="N3293" s="9"/>
      <c r="O3293" s="9"/>
      <c r="P3293" s="9"/>
      <c r="Q3293" s="9"/>
      <c r="R3293" s="9"/>
      <c r="S3293" s="9"/>
      <c r="T3293" s="9"/>
      <c r="U3293" s="9"/>
      <c r="V3293" s="9"/>
      <c r="W3293" s="9"/>
      <c r="X3293" s="9"/>
      <c r="Y3293" s="9"/>
      <c r="Z3293" s="9"/>
      <c r="AA3293" s="9"/>
      <c r="AB3293" s="9"/>
      <c r="AC3293" s="9"/>
      <c r="AD3293" s="9"/>
      <c r="AE3293" s="9"/>
      <c r="AF3293" s="9"/>
      <c r="AG3293" s="9"/>
      <c r="AH3293" s="9"/>
      <c r="AI3293" s="9"/>
      <c r="AJ3293" s="9"/>
      <c r="AK3293" s="9"/>
      <c r="AL3293" s="9"/>
      <c r="AM3293" s="9"/>
      <c r="AN3293" s="9"/>
      <c r="AO3293" s="9"/>
      <c r="AP3293" s="9"/>
      <c r="AQ3293" s="9"/>
      <c r="AR3293" s="9"/>
      <c r="AS3293" s="9"/>
      <c r="AT3293" s="9"/>
      <c r="AU3293" s="9"/>
    </row>
    <row r="3294" spans="1:47" ht="15.75" customHeight="1">
      <c r="A3294" s="9"/>
      <c r="B3294" s="9"/>
      <c r="C3294" s="9"/>
      <c r="D3294" s="9"/>
      <c r="E3294" s="9"/>
      <c r="F3294" s="67"/>
      <c r="G3294" s="9"/>
      <c r="H3294" s="9"/>
      <c r="I3294" s="9"/>
      <c r="J3294" s="9"/>
      <c r="K3294" s="9"/>
      <c r="L3294" s="9"/>
      <c r="M3294" s="9"/>
      <c r="N3294" s="9"/>
      <c r="O3294" s="9"/>
      <c r="P3294" s="9"/>
      <c r="Q3294" s="9"/>
      <c r="R3294" s="9"/>
      <c r="S3294" s="9"/>
      <c r="T3294" s="9"/>
      <c r="U3294" s="9"/>
      <c r="V3294" s="9"/>
      <c r="W3294" s="9"/>
      <c r="X3294" s="9"/>
      <c r="Y3294" s="9"/>
      <c r="Z3294" s="9"/>
      <c r="AA3294" s="9"/>
      <c r="AB3294" s="9"/>
      <c r="AC3294" s="9"/>
      <c r="AD3294" s="9"/>
      <c r="AE3294" s="9"/>
      <c r="AF3294" s="9"/>
      <c r="AG3294" s="9"/>
      <c r="AH3294" s="9"/>
      <c r="AI3294" s="9"/>
      <c r="AJ3294" s="9"/>
      <c r="AK3294" s="9"/>
      <c r="AL3294" s="9"/>
      <c r="AM3294" s="9"/>
      <c r="AN3294" s="9"/>
      <c r="AO3294" s="9"/>
      <c r="AP3294" s="9"/>
      <c r="AQ3294" s="9"/>
      <c r="AR3294" s="9"/>
      <c r="AS3294" s="9"/>
      <c r="AT3294" s="9"/>
      <c r="AU3294" s="9"/>
    </row>
    <row r="3295" spans="1:47" ht="15.75" customHeight="1">
      <c r="A3295" s="9"/>
      <c r="B3295" s="9"/>
      <c r="C3295" s="9"/>
      <c r="D3295" s="9"/>
      <c r="E3295" s="9"/>
      <c r="F3295" s="67"/>
      <c r="G3295" s="9"/>
      <c r="H3295" s="9"/>
      <c r="I3295" s="9"/>
      <c r="J3295" s="9"/>
      <c r="K3295" s="9"/>
      <c r="L3295" s="9"/>
      <c r="M3295" s="9"/>
      <c r="N3295" s="9"/>
      <c r="O3295" s="9"/>
      <c r="P3295" s="9"/>
      <c r="Q3295" s="9"/>
      <c r="R3295" s="9"/>
      <c r="S3295" s="9"/>
      <c r="T3295" s="9"/>
      <c r="U3295" s="9"/>
      <c r="V3295" s="9"/>
      <c r="W3295" s="9"/>
      <c r="X3295" s="9"/>
      <c r="Y3295" s="9"/>
      <c r="Z3295" s="9"/>
      <c r="AA3295" s="9"/>
      <c r="AB3295" s="9"/>
      <c r="AC3295" s="9"/>
      <c r="AD3295" s="9"/>
      <c r="AE3295" s="9"/>
      <c r="AF3295" s="9"/>
      <c r="AG3295" s="9"/>
      <c r="AH3295" s="9"/>
      <c r="AI3295" s="9"/>
      <c r="AJ3295" s="9"/>
      <c r="AK3295" s="9"/>
      <c r="AL3295" s="9"/>
      <c r="AM3295" s="9"/>
      <c r="AN3295" s="9"/>
      <c r="AO3295" s="9"/>
      <c r="AP3295" s="9"/>
      <c r="AQ3295" s="9"/>
      <c r="AR3295" s="9"/>
      <c r="AS3295" s="9"/>
      <c r="AT3295" s="9"/>
      <c r="AU3295" s="9"/>
    </row>
    <row r="3296" spans="1:47" ht="15.75" customHeight="1">
      <c r="A3296" s="9"/>
      <c r="B3296" s="9"/>
      <c r="C3296" s="9"/>
      <c r="D3296" s="9"/>
      <c r="E3296" s="9"/>
      <c r="F3296" s="67"/>
      <c r="G3296" s="9"/>
      <c r="H3296" s="9"/>
      <c r="I3296" s="9"/>
      <c r="J3296" s="9"/>
      <c r="K3296" s="9"/>
      <c r="L3296" s="9"/>
      <c r="M3296" s="9"/>
      <c r="N3296" s="9"/>
      <c r="O3296" s="9"/>
      <c r="P3296" s="9"/>
      <c r="Q3296" s="9"/>
      <c r="R3296" s="9"/>
      <c r="S3296" s="9"/>
      <c r="T3296" s="9"/>
      <c r="U3296" s="9"/>
      <c r="V3296" s="9"/>
      <c r="W3296" s="9"/>
      <c r="X3296" s="9"/>
      <c r="Y3296" s="9"/>
      <c r="Z3296" s="9"/>
      <c r="AA3296" s="9"/>
      <c r="AB3296" s="9"/>
      <c r="AC3296" s="9"/>
      <c r="AD3296" s="9"/>
      <c r="AE3296" s="9"/>
      <c r="AF3296" s="9"/>
      <c r="AG3296" s="9"/>
      <c r="AH3296" s="9"/>
      <c r="AI3296" s="9"/>
      <c r="AJ3296" s="9"/>
      <c r="AK3296" s="9"/>
      <c r="AL3296" s="9"/>
      <c r="AM3296" s="9"/>
      <c r="AN3296" s="9"/>
      <c r="AO3296" s="9"/>
      <c r="AP3296" s="9"/>
      <c r="AQ3296" s="9"/>
      <c r="AR3296" s="9"/>
      <c r="AS3296" s="9"/>
      <c r="AT3296" s="9"/>
      <c r="AU3296" s="9"/>
    </row>
    <row r="3297" spans="1:47" ht="15.75" customHeight="1">
      <c r="A3297" s="9"/>
      <c r="B3297" s="9"/>
      <c r="C3297" s="9"/>
      <c r="D3297" s="9"/>
      <c r="E3297" s="9"/>
      <c r="F3297" s="67"/>
      <c r="G3297" s="9"/>
      <c r="H3297" s="9"/>
      <c r="I3297" s="9"/>
      <c r="J3297" s="9"/>
      <c r="K3297" s="9"/>
      <c r="L3297" s="9"/>
      <c r="M3297" s="9"/>
      <c r="N3297" s="9"/>
      <c r="O3297" s="9"/>
      <c r="P3297" s="9"/>
      <c r="Q3297" s="9"/>
      <c r="R3297" s="9"/>
      <c r="S3297" s="9"/>
      <c r="T3297" s="9"/>
      <c r="U3297" s="9"/>
      <c r="V3297" s="9"/>
      <c r="W3297" s="9"/>
      <c r="X3297" s="9"/>
      <c r="Y3297" s="9"/>
      <c r="Z3297" s="9"/>
      <c r="AA3297" s="9"/>
      <c r="AB3297" s="9"/>
      <c r="AC3297" s="9"/>
      <c r="AD3297" s="9"/>
      <c r="AE3297" s="9"/>
      <c r="AF3297" s="9"/>
      <c r="AG3297" s="9"/>
      <c r="AH3297" s="9"/>
      <c r="AI3297" s="9"/>
      <c r="AJ3297" s="9"/>
      <c r="AK3297" s="9"/>
      <c r="AL3297" s="9"/>
      <c r="AM3297" s="9"/>
      <c r="AN3297" s="9"/>
      <c r="AO3297" s="9"/>
      <c r="AP3297" s="9"/>
      <c r="AQ3297" s="9"/>
      <c r="AR3297" s="9"/>
      <c r="AS3297" s="9"/>
      <c r="AT3297" s="9"/>
      <c r="AU3297" s="9"/>
    </row>
    <row r="3298" spans="1:47" ht="15.75" customHeight="1">
      <c r="A3298" s="9"/>
      <c r="B3298" s="9"/>
      <c r="C3298" s="9"/>
      <c r="D3298" s="9"/>
      <c r="E3298" s="9"/>
      <c r="F3298" s="67"/>
      <c r="G3298" s="9"/>
      <c r="H3298" s="9"/>
      <c r="I3298" s="9"/>
      <c r="J3298" s="9"/>
      <c r="K3298" s="9"/>
      <c r="L3298" s="9"/>
      <c r="M3298" s="9"/>
      <c r="N3298" s="9"/>
      <c r="O3298" s="9"/>
      <c r="P3298" s="9"/>
      <c r="Q3298" s="9"/>
      <c r="R3298" s="9"/>
      <c r="S3298" s="9"/>
      <c r="T3298" s="9"/>
      <c r="U3298" s="9"/>
      <c r="V3298" s="9"/>
      <c r="W3298" s="9"/>
      <c r="X3298" s="9"/>
      <c r="Y3298" s="9"/>
      <c r="Z3298" s="9"/>
      <c r="AA3298" s="9"/>
      <c r="AB3298" s="9"/>
      <c r="AC3298" s="9"/>
      <c r="AD3298" s="9"/>
      <c r="AE3298" s="9"/>
      <c r="AF3298" s="9"/>
      <c r="AG3298" s="9"/>
      <c r="AH3298" s="9"/>
      <c r="AI3298" s="9"/>
      <c r="AJ3298" s="9"/>
      <c r="AK3298" s="9"/>
      <c r="AL3298" s="9"/>
      <c r="AM3298" s="9"/>
      <c r="AN3298" s="9"/>
      <c r="AO3298" s="9"/>
      <c r="AP3298" s="9"/>
      <c r="AQ3298" s="9"/>
      <c r="AR3298" s="9"/>
      <c r="AS3298" s="9"/>
      <c r="AT3298" s="9"/>
      <c r="AU3298" s="9"/>
    </row>
    <row r="3299" spans="1:47" ht="15.75" customHeight="1">
      <c r="A3299" s="9"/>
      <c r="B3299" s="9"/>
      <c r="C3299" s="9"/>
      <c r="D3299" s="9"/>
      <c r="E3299" s="9"/>
      <c r="F3299" s="67"/>
      <c r="G3299" s="9"/>
      <c r="H3299" s="9"/>
      <c r="I3299" s="9"/>
      <c r="J3299" s="9"/>
      <c r="K3299" s="9"/>
      <c r="L3299" s="9"/>
      <c r="M3299" s="9"/>
      <c r="N3299" s="9"/>
      <c r="O3299" s="9"/>
      <c r="P3299" s="9"/>
      <c r="Q3299" s="9"/>
      <c r="R3299" s="9"/>
      <c r="S3299" s="9"/>
      <c r="T3299" s="9"/>
      <c r="U3299" s="9"/>
      <c r="V3299" s="9"/>
      <c r="W3299" s="9"/>
      <c r="X3299" s="9"/>
      <c r="Y3299" s="9"/>
      <c r="Z3299" s="9"/>
      <c r="AA3299" s="9"/>
      <c r="AB3299" s="9"/>
      <c r="AC3299" s="9"/>
      <c r="AD3299" s="9"/>
      <c r="AE3299" s="9"/>
      <c r="AF3299" s="9"/>
      <c r="AG3299" s="9"/>
      <c r="AH3299" s="9"/>
      <c r="AI3299" s="9"/>
      <c r="AJ3299" s="9"/>
      <c r="AK3299" s="9"/>
      <c r="AL3299" s="9"/>
      <c r="AM3299" s="9"/>
      <c r="AN3299" s="9"/>
      <c r="AO3299" s="9"/>
      <c r="AP3299" s="9"/>
      <c r="AQ3299" s="9"/>
      <c r="AR3299" s="9"/>
      <c r="AS3299" s="9"/>
      <c r="AT3299" s="9"/>
      <c r="AU3299" s="9"/>
    </row>
    <row r="3300" spans="1:47" ht="15.75" customHeight="1">
      <c r="A3300" s="9"/>
      <c r="B3300" s="9"/>
      <c r="C3300" s="9"/>
      <c r="D3300" s="9"/>
      <c r="E3300" s="9"/>
      <c r="F3300" s="67"/>
      <c r="G3300" s="9"/>
      <c r="H3300" s="9"/>
      <c r="I3300" s="9"/>
      <c r="J3300" s="9"/>
      <c r="K3300" s="9"/>
      <c r="L3300" s="9"/>
      <c r="M3300" s="9"/>
      <c r="N3300" s="9"/>
      <c r="O3300" s="9"/>
      <c r="P3300" s="9"/>
      <c r="Q3300" s="9"/>
      <c r="R3300" s="9"/>
      <c r="S3300" s="9"/>
      <c r="T3300" s="9"/>
      <c r="U3300" s="9"/>
      <c r="V3300" s="9"/>
      <c r="W3300" s="9"/>
      <c r="X3300" s="9"/>
      <c r="Y3300" s="9"/>
      <c r="Z3300" s="9"/>
      <c r="AA3300" s="9"/>
      <c r="AB3300" s="9"/>
      <c r="AC3300" s="9"/>
      <c r="AD3300" s="9"/>
      <c r="AE3300" s="9"/>
      <c r="AF3300" s="9"/>
      <c r="AG3300" s="9"/>
      <c r="AH3300" s="9"/>
      <c r="AI3300" s="9"/>
      <c r="AJ3300" s="9"/>
      <c r="AK3300" s="9"/>
      <c r="AL3300" s="9"/>
      <c r="AM3300" s="9"/>
      <c r="AN3300" s="9"/>
      <c r="AO3300" s="9"/>
      <c r="AP3300" s="9"/>
      <c r="AQ3300" s="9"/>
      <c r="AR3300" s="9"/>
      <c r="AS3300" s="9"/>
      <c r="AT3300" s="9"/>
      <c r="AU3300" s="9"/>
    </row>
    <row r="3301" spans="1:47" ht="15.75" customHeight="1">
      <c r="A3301" s="9"/>
      <c r="B3301" s="9"/>
      <c r="C3301" s="9"/>
      <c r="D3301" s="9"/>
      <c r="E3301" s="9"/>
      <c r="F3301" s="67"/>
      <c r="G3301" s="9"/>
      <c r="H3301" s="9"/>
      <c r="I3301" s="9"/>
      <c r="J3301" s="9"/>
      <c r="K3301" s="9"/>
      <c r="L3301" s="9"/>
      <c r="M3301" s="9"/>
      <c r="N3301" s="9"/>
      <c r="O3301" s="9"/>
      <c r="P3301" s="9"/>
      <c r="Q3301" s="9"/>
      <c r="R3301" s="9"/>
      <c r="S3301" s="9"/>
      <c r="T3301" s="9"/>
      <c r="U3301" s="9"/>
      <c r="V3301" s="9"/>
      <c r="W3301" s="9"/>
      <c r="X3301" s="9"/>
      <c r="Y3301" s="9"/>
      <c r="Z3301" s="9"/>
      <c r="AA3301" s="9"/>
      <c r="AB3301" s="9"/>
      <c r="AC3301" s="9"/>
      <c r="AD3301" s="9"/>
      <c r="AE3301" s="9"/>
      <c r="AF3301" s="9"/>
      <c r="AG3301" s="9"/>
      <c r="AH3301" s="9"/>
      <c r="AI3301" s="9"/>
      <c r="AJ3301" s="9"/>
      <c r="AK3301" s="9"/>
      <c r="AL3301" s="9"/>
      <c r="AM3301" s="9"/>
      <c r="AN3301" s="9"/>
      <c r="AO3301" s="9"/>
      <c r="AP3301" s="9"/>
      <c r="AQ3301" s="9"/>
      <c r="AR3301" s="9"/>
      <c r="AS3301" s="9"/>
      <c r="AT3301" s="9"/>
      <c r="AU3301" s="9"/>
    </row>
    <row r="3302" spans="1:47" ht="15.75" customHeight="1">
      <c r="A3302" s="9"/>
      <c r="B3302" s="9"/>
      <c r="C3302" s="9"/>
      <c r="D3302" s="9"/>
      <c r="E3302" s="9"/>
      <c r="F3302" s="67"/>
      <c r="G3302" s="9"/>
      <c r="H3302" s="9"/>
      <c r="I3302" s="9"/>
      <c r="J3302" s="9"/>
      <c r="K3302" s="9"/>
      <c r="L3302" s="9"/>
      <c r="M3302" s="9"/>
      <c r="N3302" s="9"/>
      <c r="O3302" s="9"/>
      <c r="P3302" s="9"/>
      <c r="Q3302" s="9"/>
      <c r="R3302" s="9"/>
      <c r="S3302" s="9"/>
      <c r="T3302" s="9"/>
      <c r="U3302" s="9"/>
      <c r="V3302" s="9"/>
      <c r="W3302" s="9"/>
      <c r="X3302" s="9"/>
      <c r="Y3302" s="9"/>
      <c r="Z3302" s="9"/>
      <c r="AA3302" s="9"/>
      <c r="AB3302" s="9"/>
      <c r="AC3302" s="9"/>
      <c r="AD3302" s="9"/>
      <c r="AE3302" s="9"/>
      <c r="AF3302" s="9"/>
      <c r="AG3302" s="9"/>
      <c r="AH3302" s="9"/>
      <c r="AI3302" s="9"/>
      <c r="AJ3302" s="9"/>
      <c r="AK3302" s="9"/>
      <c r="AL3302" s="9"/>
      <c r="AM3302" s="9"/>
      <c r="AN3302" s="9"/>
      <c r="AO3302" s="9"/>
      <c r="AP3302" s="9"/>
      <c r="AQ3302" s="9"/>
      <c r="AR3302" s="9"/>
      <c r="AS3302" s="9"/>
      <c r="AT3302" s="9"/>
      <c r="AU3302" s="9"/>
    </row>
    <row r="3303" spans="1:47" ht="15.75" customHeight="1">
      <c r="A3303" s="9"/>
      <c r="B3303" s="9"/>
      <c r="C3303" s="9"/>
      <c r="D3303" s="9"/>
      <c r="E3303" s="9"/>
      <c r="F3303" s="67"/>
      <c r="G3303" s="9"/>
      <c r="H3303" s="9"/>
      <c r="I3303" s="9"/>
      <c r="J3303" s="9"/>
      <c r="K3303" s="9"/>
      <c r="L3303" s="9"/>
      <c r="M3303" s="9"/>
      <c r="N3303" s="9"/>
      <c r="O3303" s="9"/>
      <c r="P3303" s="9"/>
      <c r="Q3303" s="9"/>
      <c r="R3303" s="9"/>
      <c r="S3303" s="9"/>
      <c r="T3303" s="9"/>
      <c r="U3303" s="9"/>
      <c r="V3303" s="9"/>
      <c r="W3303" s="9"/>
      <c r="X3303" s="9"/>
      <c r="Y3303" s="9"/>
      <c r="Z3303" s="9"/>
      <c r="AA3303" s="9"/>
      <c r="AB3303" s="9"/>
      <c r="AC3303" s="9"/>
      <c r="AD3303" s="9"/>
      <c r="AE3303" s="9"/>
      <c r="AF3303" s="9"/>
      <c r="AG3303" s="9"/>
      <c r="AH3303" s="9"/>
      <c r="AI3303" s="9"/>
      <c r="AJ3303" s="9"/>
      <c r="AK3303" s="9"/>
      <c r="AL3303" s="9"/>
      <c r="AM3303" s="9"/>
      <c r="AN3303" s="9"/>
      <c r="AO3303" s="9"/>
      <c r="AP3303" s="9"/>
      <c r="AQ3303" s="9"/>
      <c r="AR3303" s="9"/>
      <c r="AS3303" s="9"/>
      <c r="AT3303" s="9"/>
      <c r="AU3303" s="9"/>
    </row>
    <row r="3304" spans="1:47" ht="15.75" customHeight="1">
      <c r="A3304" s="9"/>
      <c r="B3304" s="9"/>
      <c r="C3304" s="9"/>
      <c r="D3304" s="9"/>
      <c r="E3304" s="9"/>
      <c r="F3304" s="67"/>
      <c r="G3304" s="9"/>
      <c r="H3304" s="9"/>
      <c r="I3304" s="9"/>
      <c r="J3304" s="9"/>
      <c r="K3304" s="9"/>
      <c r="L3304" s="9"/>
      <c r="M3304" s="9"/>
      <c r="N3304" s="9"/>
      <c r="O3304" s="9"/>
      <c r="P3304" s="9"/>
      <c r="Q3304" s="9"/>
      <c r="R3304" s="9"/>
      <c r="S3304" s="9"/>
      <c r="T3304" s="9"/>
      <c r="U3304" s="9"/>
      <c r="V3304" s="9"/>
      <c r="W3304" s="9"/>
      <c r="X3304" s="9"/>
      <c r="Y3304" s="9"/>
      <c r="Z3304" s="9"/>
      <c r="AA3304" s="9"/>
      <c r="AB3304" s="9"/>
      <c r="AC3304" s="9"/>
      <c r="AD3304" s="9"/>
      <c r="AE3304" s="9"/>
      <c r="AF3304" s="9"/>
      <c r="AG3304" s="9"/>
      <c r="AH3304" s="9"/>
      <c r="AI3304" s="9"/>
      <c r="AJ3304" s="9"/>
      <c r="AK3304" s="9"/>
      <c r="AL3304" s="9"/>
      <c r="AM3304" s="9"/>
      <c r="AN3304" s="9"/>
      <c r="AO3304" s="9"/>
      <c r="AP3304" s="9"/>
      <c r="AQ3304" s="9"/>
      <c r="AR3304" s="9"/>
      <c r="AS3304" s="9"/>
      <c r="AT3304" s="9"/>
      <c r="AU3304" s="9"/>
    </row>
    <row r="3305" spans="1:47" ht="15.75" customHeight="1">
      <c r="A3305" s="9"/>
      <c r="B3305" s="9"/>
      <c r="C3305" s="9"/>
      <c r="D3305" s="9"/>
      <c r="E3305" s="9"/>
      <c r="F3305" s="67"/>
      <c r="G3305" s="9"/>
      <c r="H3305" s="9"/>
      <c r="I3305" s="9"/>
      <c r="J3305" s="9"/>
      <c r="K3305" s="9"/>
      <c r="L3305" s="9"/>
      <c r="M3305" s="9"/>
      <c r="N3305" s="9"/>
      <c r="O3305" s="9"/>
      <c r="P3305" s="9"/>
      <c r="Q3305" s="9"/>
      <c r="R3305" s="9"/>
      <c r="S3305" s="9"/>
      <c r="T3305" s="9"/>
      <c r="U3305" s="9"/>
      <c r="V3305" s="9"/>
      <c r="W3305" s="9"/>
      <c r="X3305" s="9"/>
      <c r="Y3305" s="9"/>
      <c r="Z3305" s="9"/>
      <c r="AA3305" s="9"/>
      <c r="AB3305" s="9"/>
      <c r="AC3305" s="9"/>
      <c r="AD3305" s="9"/>
      <c r="AE3305" s="9"/>
      <c r="AF3305" s="9"/>
      <c r="AG3305" s="9"/>
      <c r="AH3305" s="9"/>
      <c r="AI3305" s="9"/>
      <c r="AJ3305" s="9"/>
      <c r="AK3305" s="9"/>
      <c r="AL3305" s="9"/>
      <c r="AM3305" s="9"/>
      <c r="AN3305" s="9"/>
      <c r="AO3305" s="9"/>
      <c r="AP3305" s="9"/>
      <c r="AQ3305" s="9"/>
      <c r="AR3305" s="9"/>
      <c r="AS3305" s="9"/>
      <c r="AT3305" s="9"/>
      <c r="AU3305" s="9"/>
    </row>
    <row r="3306" spans="1:47" ht="15.75" customHeight="1">
      <c r="A3306" s="9"/>
      <c r="B3306" s="9"/>
      <c r="C3306" s="9"/>
      <c r="D3306" s="9"/>
      <c r="E3306" s="9"/>
      <c r="F3306" s="67"/>
      <c r="G3306" s="9"/>
      <c r="H3306" s="9"/>
      <c r="I3306" s="9"/>
      <c r="J3306" s="9"/>
      <c r="K3306" s="9"/>
      <c r="L3306" s="9"/>
      <c r="M3306" s="9"/>
      <c r="N3306" s="9"/>
      <c r="O3306" s="9"/>
      <c r="P3306" s="9"/>
      <c r="Q3306" s="9"/>
      <c r="R3306" s="9"/>
      <c r="S3306" s="9"/>
      <c r="T3306" s="9"/>
      <c r="U3306" s="9"/>
      <c r="V3306" s="9"/>
      <c r="W3306" s="9"/>
      <c r="X3306" s="9"/>
      <c r="Y3306" s="9"/>
      <c r="Z3306" s="9"/>
      <c r="AA3306" s="9"/>
      <c r="AB3306" s="9"/>
      <c r="AC3306" s="9"/>
      <c r="AD3306" s="9"/>
      <c r="AE3306" s="9"/>
      <c r="AF3306" s="9"/>
      <c r="AG3306" s="9"/>
      <c r="AH3306" s="9"/>
      <c r="AI3306" s="9"/>
      <c r="AJ3306" s="9"/>
      <c r="AK3306" s="9"/>
      <c r="AL3306" s="9"/>
      <c r="AM3306" s="9"/>
      <c r="AN3306" s="9"/>
      <c r="AO3306" s="9"/>
      <c r="AP3306" s="9"/>
      <c r="AQ3306" s="9"/>
      <c r="AR3306" s="9"/>
      <c r="AS3306" s="9"/>
      <c r="AT3306" s="9"/>
      <c r="AU3306" s="9"/>
    </row>
    <row r="3307" spans="1:47" ht="15.75" customHeight="1">
      <c r="A3307" s="9"/>
      <c r="B3307" s="9"/>
      <c r="C3307" s="9"/>
      <c r="D3307" s="9"/>
      <c r="E3307" s="9"/>
      <c r="F3307" s="67"/>
      <c r="G3307" s="9"/>
      <c r="H3307" s="9"/>
      <c r="I3307" s="9"/>
      <c r="J3307" s="9"/>
      <c r="K3307" s="9"/>
      <c r="L3307" s="9"/>
      <c r="M3307" s="9"/>
      <c r="N3307" s="9"/>
      <c r="O3307" s="9"/>
      <c r="P3307" s="9"/>
      <c r="Q3307" s="9"/>
      <c r="R3307" s="9"/>
      <c r="S3307" s="9"/>
      <c r="T3307" s="9"/>
      <c r="U3307" s="9"/>
      <c r="V3307" s="9"/>
      <c r="W3307" s="9"/>
      <c r="X3307" s="9"/>
      <c r="Y3307" s="9"/>
      <c r="Z3307" s="9"/>
      <c r="AA3307" s="9"/>
      <c r="AB3307" s="9"/>
      <c r="AC3307" s="9"/>
      <c r="AD3307" s="9"/>
      <c r="AE3307" s="9"/>
      <c r="AF3307" s="9"/>
      <c r="AG3307" s="9"/>
      <c r="AH3307" s="9"/>
      <c r="AI3307" s="9"/>
      <c r="AJ3307" s="9"/>
      <c r="AK3307" s="9"/>
      <c r="AL3307" s="9"/>
      <c r="AM3307" s="9"/>
      <c r="AN3307" s="9"/>
      <c r="AO3307" s="9"/>
      <c r="AP3307" s="9"/>
      <c r="AQ3307" s="9"/>
      <c r="AR3307" s="9"/>
      <c r="AS3307" s="9"/>
      <c r="AT3307" s="9"/>
      <c r="AU3307" s="9"/>
    </row>
    <row r="3308" spans="1:47" ht="15.75" customHeight="1">
      <c r="A3308" s="9"/>
      <c r="B3308" s="9"/>
      <c r="C3308" s="9"/>
      <c r="D3308" s="9"/>
      <c r="E3308" s="9"/>
      <c r="F3308" s="67"/>
      <c r="G3308" s="9"/>
      <c r="H3308" s="9"/>
      <c r="I3308" s="9"/>
      <c r="J3308" s="9"/>
      <c r="K3308" s="9"/>
      <c r="L3308" s="9"/>
      <c r="M3308" s="9"/>
      <c r="N3308" s="9"/>
      <c r="O3308" s="9"/>
      <c r="P3308" s="9"/>
      <c r="Q3308" s="9"/>
      <c r="R3308" s="9"/>
      <c r="S3308" s="9"/>
      <c r="T3308" s="9"/>
      <c r="U3308" s="9"/>
      <c r="V3308" s="9"/>
      <c r="W3308" s="9"/>
      <c r="X3308" s="9"/>
      <c r="Y3308" s="9"/>
      <c r="Z3308" s="9"/>
      <c r="AA3308" s="9"/>
      <c r="AB3308" s="9"/>
      <c r="AC3308" s="9"/>
      <c r="AD3308" s="9"/>
      <c r="AE3308" s="9"/>
      <c r="AF3308" s="9"/>
      <c r="AG3308" s="9"/>
      <c r="AH3308" s="9"/>
      <c r="AI3308" s="9"/>
      <c r="AJ3308" s="9"/>
      <c r="AK3308" s="9"/>
      <c r="AL3308" s="9"/>
      <c r="AM3308" s="9"/>
      <c r="AN3308" s="9"/>
      <c r="AO3308" s="9"/>
      <c r="AP3308" s="9"/>
      <c r="AQ3308" s="9"/>
      <c r="AR3308" s="9"/>
      <c r="AS3308" s="9"/>
      <c r="AT3308" s="9"/>
      <c r="AU3308" s="9"/>
    </row>
    <row r="3309" spans="1:47" ht="15.75" customHeight="1">
      <c r="A3309" s="9"/>
      <c r="B3309" s="9"/>
      <c r="C3309" s="9"/>
      <c r="D3309" s="9"/>
      <c r="E3309" s="9"/>
      <c r="F3309" s="67"/>
      <c r="G3309" s="9"/>
      <c r="H3309" s="9"/>
      <c r="I3309" s="9"/>
      <c r="J3309" s="9"/>
      <c r="K3309" s="9"/>
      <c r="L3309" s="9"/>
      <c r="M3309" s="9"/>
      <c r="N3309" s="9"/>
      <c r="O3309" s="9"/>
      <c r="P3309" s="9"/>
      <c r="Q3309" s="9"/>
      <c r="R3309" s="9"/>
      <c r="S3309" s="9"/>
      <c r="T3309" s="9"/>
      <c r="U3309" s="9"/>
      <c r="V3309" s="9"/>
      <c r="W3309" s="9"/>
      <c r="X3309" s="9"/>
      <c r="Y3309" s="9"/>
      <c r="Z3309" s="9"/>
      <c r="AA3309" s="9"/>
      <c r="AB3309" s="9"/>
      <c r="AC3309" s="9"/>
      <c r="AD3309" s="9"/>
      <c r="AE3309" s="9"/>
      <c r="AF3309" s="9"/>
      <c r="AG3309" s="9"/>
      <c r="AH3309" s="9"/>
      <c r="AI3309" s="9"/>
      <c r="AJ3309" s="9"/>
      <c r="AK3309" s="9"/>
      <c r="AL3309" s="9"/>
      <c r="AM3309" s="9"/>
      <c r="AN3309" s="9"/>
      <c r="AO3309" s="9"/>
      <c r="AP3309" s="9"/>
      <c r="AQ3309" s="9"/>
      <c r="AR3309" s="9"/>
      <c r="AS3309" s="9"/>
      <c r="AT3309" s="9"/>
      <c r="AU3309" s="9"/>
    </row>
    <row r="3310" spans="1:47" ht="15.75" customHeight="1">
      <c r="A3310" s="9"/>
      <c r="B3310" s="9"/>
      <c r="C3310" s="9"/>
      <c r="D3310" s="9"/>
      <c r="E3310" s="9"/>
      <c r="F3310" s="67"/>
      <c r="G3310" s="9"/>
      <c r="H3310" s="9"/>
      <c r="I3310" s="9"/>
      <c r="J3310" s="9"/>
      <c r="K3310" s="9"/>
      <c r="L3310" s="9"/>
      <c r="M3310" s="9"/>
      <c r="N3310" s="9"/>
      <c r="O3310" s="9"/>
      <c r="P3310" s="9"/>
      <c r="Q3310" s="9"/>
      <c r="R3310" s="9"/>
      <c r="S3310" s="9"/>
      <c r="T3310" s="9"/>
      <c r="U3310" s="9"/>
      <c r="V3310" s="9"/>
      <c r="W3310" s="9"/>
      <c r="X3310" s="9"/>
      <c r="Y3310" s="9"/>
      <c r="Z3310" s="9"/>
      <c r="AA3310" s="9"/>
      <c r="AB3310" s="9"/>
      <c r="AC3310" s="9"/>
      <c r="AD3310" s="9"/>
      <c r="AE3310" s="9"/>
      <c r="AF3310" s="9"/>
      <c r="AG3310" s="9"/>
      <c r="AH3310" s="9"/>
      <c r="AI3310" s="9"/>
      <c r="AJ3310" s="9"/>
      <c r="AK3310" s="9"/>
      <c r="AL3310" s="9"/>
      <c r="AM3310" s="9"/>
      <c r="AN3310" s="9"/>
      <c r="AO3310" s="9"/>
      <c r="AP3310" s="9"/>
      <c r="AQ3310" s="9"/>
      <c r="AR3310" s="9"/>
      <c r="AS3310" s="9"/>
      <c r="AT3310" s="9"/>
      <c r="AU3310" s="9"/>
    </row>
    <row r="3311" spans="1:47" ht="15.75" customHeight="1">
      <c r="A3311" s="9"/>
      <c r="B3311" s="9"/>
      <c r="C3311" s="9"/>
      <c r="D3311" s="9"/>
      <c r="E3311" s="9"/>
      <c r="F3311" s="67"/>
      <c r="G3311" s="9"/>
      <c r="H3311" s="9"/>
      <c r="I3311" s="9"/>
      <c r="J3311" s="9"/>
      <c r="K3311" s="9"/>
      <c r="L3311" s="9"/>
      <c r="M3311" s="9"/>
      <c r="N3311" s="9"/>
      <c r="O3311" s="9"/>
      <c r="P3311" s="9"/>
      <c r="Q3311" s="9"/>
      <c r="R3311" s="9"/>
      <c r="S3311" s="9"/>
      <c r="T3311" s="9"/>
      <c r="U3311" s="9"/>
      <c r="V3311" s="9"/>
      <c r="W3311" s="9"/>
      <c r="X3311" s="9"/>
      <c r="Y3311" s="9"/>
      <c r="Z3311" s="9"/>
      <c r="AA3311" s="9"/>
      <c r="AB3311" s="9"/>
      <c r="AC3311" s="9"/>
      <c r="AD3311" s="9"/>
      <c r="AE3311" s="9"/>
      <c r="AF3311" s="9"/>
      <c r="AG3311" s="9"/>
      <c r="AH3311" s="9"/>
      <c r="AI3311" s="9"/>
      <c r="AJ3311" s="9"/>
      <c r="AK3311" s="9"/>
      <c r="AL3311" s="9"/>
      <c r="AM3311" s="9"/>
      <c r="AN3311" s="9"/>
      <c r="AO3311" s="9"/>
      <c r="AP3311" s="9"/>
      <c r="AQ3311" s="9"/>
      <c r="AR3311" s="9"/>
      <c r="AS3311" s="9"/>
      <c r="AT3311" s="9"/>
      <c r="AU3311" s="9"/>
    </row>
    <row r="3312" spans="1:47" ht="15.75" customHeight="1">
      <c r="A3312" s="9"/>
      <c r="B3312" s="9"/>
      <c r="C3312" s="9"/>
      <c r="D3312" s="9"/>
      <c r="E3312" s="9"/>
      <c r="F3312" s="67"/>
      <c r="G3312" s="9"/>
      <c r="H3312" s="9"/>
      <c r="I3312" s="9"/>
      <c r="J3312" s="9"/>
      <c r="K3312" s="9"/>
      <c r="L3312" s="9"/>
      <c r="M3312" s="9"/>
      <c r="N3312" s="9"/>
      <c r="O3312" s="9"/>
      <c r="P3312" s="9"/>
      <c r="Q3312" s="9"/>
      <c r="R3312" s="9"/>
      <c r="S3312" s="9"/>
      <c r="T3312" s="9"/>
      <c r="U3312" s="9"/>
      <c r="V3312" s="9"/>
      <c r="W3312" s="9"/>
      <c r="X3312" s="9"/>
      <c r="Y3312" s="9"/>
      <c r="Z3312" s="9"/>
      <c r="AA3312" s="9"/>
      <c r="AB3312" s="9"/>
      <c r="AC3312" s="9"/>
      <c r="AD3312" s="9"/>
      <c r="AE3312" s="9"/>
      <c r="AF3312" s="9"/>
      <c r="AG3312" s="9"/>
      <c r="AH3312" s="9"/>
      <c r="AI3312" s="9"/>
      <c r="AJ3312" s="9"/>
      <c r="AK3312" s="9"/>
      <c r="AL3312" s="9"/>
      <c r="AM3312" s="9"/>
      <c r="AN3312" s="9"/>
      <c r="AO3312" s="9"/>
      <c r="AP3312" s="9"/>
      <c r="AQ3312" s="9"/>
      <c r="AR3312" s="9"/>
      <c r="AS3312" s="9"/>
      <c r="AT3312" s="9"/>
      <c r="AU3312" s="9"/>
    </row>
    <row r="3313" spans="1:47" ht="15.75" customHeight="1">
      <c r="A3313" s="9"/>
      <c r="B3313" s="9"/>
      <c r="C3313" s="9"/>
      <c r="D3313" s="9"/>
      <c r="E3313" s="9"/>
      <c r="F3313" s="67"/>
      <c r="G3313" s="9"/>
      <c r="H3313" s="9"/>
      <c r="I3313" s="9"/>
      <c r="J3313" s="9"/>
      <c r="K3313" s="9"/>
      <c r="L3313" s="9"/>
      <c r="M3313" s="9"/>
      <c r="N3313" s="9"/>
      <c r="O3313" s="9"/>
      <c r="P3313" s="9"/>
      <c r="Q3313" s="9"/>
      <c r="R3313" s="9"/>
      <c r="S3313" s="9"/>
      <c r="T3313" s="9"/>
      <c r="U3313" s="9"/>
      <c r="V3313" s="9"/>
      <c r="W3313" s="9"/>
      <c r="X3313" s="9"/>
      <c r="Y3313" s="9"/>
      <c r="Z3313" s="9"/>
      <c r="AA3313" s="9"/>
      <c r="AB3313" s="9"/>
      <c r="AC3313" s="9"/>
      <c r="AD3313" s="9"/>
      <c r="AE3313" s="9"/>
      <c r="AF3313" s="9"/>
      <c r="AG3313" s="9"/>
      <c r="AH3313" s="9"/>
      <c r="AI3313" s="9"/>
      <c r="AJ3313" s="9"/>
      <c r="AK3313" s="9"/>
      <c r="AL3313" s="9"/>
      <c r="AM3313" s="9"/>
      <c r="AN3313" s="9"/>
      <c r="AO3313" s="9"/>
      <c r="AP3313" s="9"/>
      <c r="AQ3313" s="9"/>
      <c r="AR3313" s="9"/>
      <c r="AS3313" s="9"/>
      <c r="AT3313" s="9"/>
      <c r="AU3313" s="9"/>
    </row>
    <row r="3314" spans="1:47" ht="15.75" customHeight="1">
      <c r="A3314" s="9"/>
      <c r="B3314" s="9"/>
      <c r="C3314" s="9"/>
      <c r="D3314" s="9"/>
      <c r="E3314" s="9"/>
      <c r="F3314" s="67"/>
      <c r="G3314" s="9"/>
      <c r="H3314" s="9"/>
      <c r="I3314" s="9"/>
      <c r="J3314" s="9"/>
      <c r="K3314" s="9"/>
      <c r="L3314" s="9"/>
      <c r="M3314" s="9"/>
      <c r="N3314" s="9"/>
      <c r="O3314" s="9"/>
      <c r="P3314" s="9"/>
      <c r="Q3314" s="9"/>
      <c r="R3314" s="9"/>
      <c r="S3314" s="9"/>
      <c r="T3314" s="9"/>
      <c r="U3314" s="9"/>
      <c r="V3314" s="9"/>
      <c r="W3314" s="9"/>
      <c r="X3314" s="9"/>
      <c r="Y3314" s="9"/>
      <c r="Z3314" s="9"/>
      <c r="AA3314" s="9"/>
      <c r="AB3314" s="9"/>
      <c r="AC3314" s="9"/>
      <c r="AD3314" s="9"/>
      <c r="AE3314" s="9"/>
      <c r="AF3314" s="9"/>
      <c r="AG3314" s="9"/>
      <c r="AH3314" s="9"/>
      <c r="AI3314" s="9"/>
      <c r="AJ3314" s="9"/>
      <c r="AK3314" s="9"/>
      <c r="AL3314" s="9"/>
      <c r="AM3314" s="9"/>
      <c r="AN3314" s="9"/>
      <c r="AO3314" s="9"/>
      <c r="AP3314" s="9"/>
      <c r="AQ3314" s="9"/>
      <c r="AR3314" s="9"/>
      <c r="AS3314" s="9"/>
      <c r="AT3314" s="9"/>
      <c r="AU3314" s="9"/>
    </row>
    <row r="3315" spans="1:47" ht="15.75" customHeight="1">
      <c r="A3315" s="9"/>
      <c r="B3315" s="9"/>
      <c r="C3315" s="9"/>
      <c r="D3315" s="9"/>
      <c r="E3315" s="9"/>
      <c r="F3315" s="67"/>
      <c r="G3315" s="9"/>
      <c r="H3315" s="9"/>
      <c r="I3315" s="9"/>
      <c r="J3315" s="9"/>
      <c r="K3315" s="9"/>
      <c r="L3315" s="9"/>
      <c r="M3315" s="9"/>
      <c r="N3315" s="9"/>
      <c r="O3315" s="9"/>
      <c r="P3315" s="9"/>
      <c r="Q3315" s="9"/>
      <c r="R3315" s="9"/>
      <c r="S3315" s="9"/>
      <c r="T3315" s="9"/>
      <c r="U3315" s="9"/>
      <c r="V3315" s="9"/>
      <c r="W3315" s="9"/>
      <c r="X3315" s="9"/>
      <c r="Y3315" s="9"/>
      <c r="Z3315" s="9"/>
      <c r="AA3315" s="9"/>
      <c r="AB3315" s="9"/>
      <c r="AC3315" s="9"/>
      <c r="AD3315" s="9"/>
      <c r="AE3315" s="9"/>
      <c r="AF3315" s="9"/>
      <c r="AG3315" s="9"/>
      <c r="AH3315" s="9"/>
      <c r="AI3315" s="9"/>
      <c r="AJ3315" s="9"/>
      <c r="AK3315" s="9"/>
      <c r="AL3315" s="9"/>
      <c r="AM3315" s="9"/>
      <c r="AN3315" s="9"/>
      <c r="AO3315" s="9"/>
      <c r="AP3315" s="9"/>
      <c r="AQ3315" s="9"/>
      <c r="AR3315" s="9"/>
      <c r="AS3315" s="9"/>
      <c r="AT3315" s="9"/>
      <c r="AU3315" s="9"/>
    </row>
    <row r="3316" spans="1:47" ht="15.75" customHeight="1">
      <c r="A3316" s="9"/>
      <c r="B3316" s="9"/>
      <c r="C3316" s="9"/>
      <c r="D3316" s="9"/>
      <c r="E3316" s="9"/>
      <c r="F3316" s="67"/>
      <c r="G3316" s="9"/>
      <c r="H3316" s="9"/>
      <c r="I3316" s="9"/>
      <c r="J3316" s="9"/>
      <c r="K3316" s="9"/>
      <c r="L3316" s="9"/>
      <c r="M3316" s="9"/>
      <c r="N3316" s="9"/>
      <c r="O3316" s="9"/>
      <c r="P3316" s="9"/>
      <c r="Q3316" s="9"/>
      <c r="R3316" s="9"/>
      <c r="S3316" s="9"/>
      <c r="T3316" s="9"/>
      <c r="U3316" s="9"/>
      <c r="V3316" s="9"/>
      <c r="W3316" s="9"/>
      <c r="X3316" s="9"/>
      <c r="Y3316" s="9"/>
      <c r="Z3316" s="9"/>
      <c r="AA3316" s="9"/>
      <c r="AB3316" s="9"/>
      <c r="AC3316" s="9"/>
      <c r="AD3316" s="9"/>
      <c r="AE3316" s="9"/>
      <c r="AF3316" s="9"/>
      <c r="AG3316" s="9"/>
      <c r="AH3316" s="9"/>
      <c r="AI3316" s="9"/>
      <c r="AJ3316" s="9"/>
      <c r="AK3316" s="9"/>
      <c r="AL3316" s="9"/>
      <c r="AM3316" s="9"/>
      <c r="AN3316" s="9"/>
      <c r="AO3316" s="9"/>
      <c r="AP3316" s="9"/>
      <c r="AQ3316" s="9"/>
      <c r="AR3316" s="9"/>
      <c r="AS3316" s="9"/>
      <c r="AT3316" s="9"/>
      <c r="AU3316" s="9"/>
    </row>
    <row r="3317" spans="1:47" ht="15.75" customHeight="1">
      <c r="A3317" s="9"/>
      <c r="B3317" s="9"/>
      <c r="C3317" s="9"/>
      <c r="D3317" s="9"/>
      <c r="E3317" s="9"/>
      <c r="F3317" s="67"/>
      <c r="G3317" s="9"/>
      <c r="H3317" s="9"/>
      <c r="I3317" s="9"/>
      <c r="J3317" s="9"/>
      <c r="K3317" s="9"/>
      <c r="L3317" s="9"/>
      <c r="M3317" s="9"/>
      <c r="N3317" s="9"/>
      <c r="O3317" s="9"/>
      <c r="P3317" s="9"/>
      <c r="Q3317" s="9"/>
      <c r="R3317" s="9"/>
      <c r="S3317" s="9"/>
      <c r="T3317" s="9"/>
      <c r="U3317" s="9"/>
      <c r="V3317" s="9"/>
      <c r="W3317" s="9"/>
      <c r="X3317" s="9"/>
      <c r="Y3317" s="9"/>
      <c r="Z3317" s="9"/>
      <c r="AA3317" s="9"/>
      <c r="AB3317" s="9"/>
      <c r="AC3317" s="9"/>
      <c r="AD3317" s="9"/>
      <c r="AE3317" s="9"/>
      <c r="AF3317" s="9"/>
      <c r="AG3317" s="9"/>
      <c r="AH3317" s="9"/>
      <c r="AI3317" s="9"/>
      <c r="AJ3317" s="9"/>
      <c r="AK3317" s="9"/>
      <c r="AL3317" s="9"/>
      <c r="AM3317" s="9"/>
      <c r="AN3317" s="9"/>
      <c r="AO3317" s="9"/>
      <c r="AP3317" s="9"/>
      <c r="AQ3317" s="9"/>
      <c r="AR3317" s="9"/>
      <c r="AS3317" s="9"/>
      <c r="AT3317" s="9"/>
      <c r="AU3317" s="9"/>
    </row>
    <row r="3318" spans="1:47" ht="15.75" customHeight="1">
      <c r="A3318" s="9"/>
      <c r="B3318" s="9"/>
      <c r="C3318" s="9"/>
      <c r="D3318" s="9"/>
      <c r="E3318" s="9"/>
      <c r="F3318" s="67"/>
      <c r="G3318" s="9"/>
      <c r="H3318" s="9"/>
      <c r="I3318" s="9"/>
      <c r="J3318" s="9"/>
      <c r="K3318" s="9"/>
      <c r="L3318" s="9"/>
      <c r="M3318" s="9"/>
      <c r="N3318" s="9"/>
      <c r="O3318" s="9"/>
      <c r="P3318" s="9"/>
      <c r="Q3318" s="9"/>
      <c r="R3318" s="9"/>
      <c r="S3318" s="9"/>
      <c r="T3318" s="9"/>
      <c r="U3318" s="9"/>
      <c r="V3318" s="9"/>
      <c r="W3318" s="9"/>
      <c r="X3318" s="9"/>
      <c r="Y3318" s="9"/>
      <c r="Z3318" s="9"/>
      <c r="AA3318" s="9"/>
      <c r="AB3318" s="9"/>
      <c r="AC3318" s="9"/>
      <c r="AD3318" s="9"/>
      <c r="AE3318" s="9"/>
      <c r="AF3318" s="9"/>
      <c r="AG3318" s="9"/>
      <c r="AH3318" s="9"/>
      <c r="AI3318" s="9"/>
      <c r="AJ3318" s="9"/>
      <c r="AK3318" s="9"/>
      <c r="AL3318" s="9"/>
      <c r="AM3318" s="9"/>
      <c r="AN3318" s="9"/>
      <c r="AO3318" s="9"/>
      <c r="AP3318" s="9"/>
      <c r="AQ3318" s="9"/>
      <c r="AR3318" s="9"/>
      <c r="AS3318" s="9"/>
      <c r="AT3318" s="9"/>
      <c r="AU3318" s="9"/>
    </row>
    <row r="3319" spans="1:47" ht="15.75" customHeight="1">
      <c r="A3319" s="9"/>
      <c r="B3319" s="9"/>
      <c r="C3319" s="9"/>
      <c r="D3319" s="9"/>
      <c r="E3319" s="9"/>
      <c r="F3319" s="67"/>
      <c r="G3319" s="9"/>
      <c r="H3319" s="9"/>
      <c r="I3319" s="9"/>
      <c r="J3319" s="9"/>
      <c r="K3319" s="9"/>
      <c r="L3319" s="9"/>
      <c r="M3319" s="9"/>
      <c r="N3319" s="9"/>
      <c r="O3319" s="9"/>
      <c r="P3319" s="9"/>
      <c r="Q3319" s="9"/>
      <c r="R3319" s="9"/>
      <c r="S3319" s="9"/>
      <c r="T3319" s="9"/>
      <c r="U3319" s="9"/>
      <c r="V3319" s="9"/>
      <c r="W3319" s="9"/>
      <c r="X3319" s="9"/>
      <c r="Y3319" s="9"/>
      <c r="Z3319" s="9"/>
      <c r="AA3319" s="9"/>
      <c r="AB3319" s="9"/>
      <c r="AC3319" s="9"/>
      <c r="AD3319" s="9"/>
      <c r="AE3319" s="9"/>
      <c r="AF3319" s="9"/>
      <c r="AG3319" s="9"/>
      <c r="AH3319" s="9"/>
      <c r="AI3319" s="9"/>
      <c r="AJ3319" s="9"/>
      <c r="AK3319" s="9"/>
      <c r="AL3319" s="9"/>
      <c r="AM3319" s="9"/>
      <c r="AN3319" s="9"/>
      <c r="AO3319" s="9"/>
      <c r="AP3319" s="9"/>
      <c r="AQ3319" s="9"/>
      <c r="AR3319" s="9"/>
      <c r="AS3319" s="9"/>
      <c r="AT3319" s="9"/>
      <c r="AU3319" s="9"/>
    </row>
    <row r="3320" spans="1:47" ht="15.75" customHeight="1">
      <c r="A3320" s="9"/>
      <c r="B3320" s="9"/>
      <c r="C3320" s="9"/>
      <c r="D3320" s="9"/>
      <c r="E3320" s="9"/>
      <c r="F3320" s="67"/>
      <c r="G3320" s="9"/>
      <c r="H3320" s="9"/>
      <c r="I3320" s="9"/>
      <c r="J3320" s="9"/>
      <c r="K3320" s="9"/>
      <c r="L3320" s="9"/>
      <c r="M3320" s="9"/>
      <c r="N3320" s="9"/>
      <c r="O3320" s="9"/>
      <c r="P3320" s="9"/>
      <c r="Q3320" s="9"/>
      <c r="R3320" s="9"/>
      <c r="S3320" s="9"/>
      <c r="T3320" s="9"/>
      <c r="U3320" s="9"/>
      <c r="V3320" s="9"/>
      <c r="W3320" s="9"/>
      <c r="X3320" s="9"/>
      <c r="Y3320" s="9"/>
      <c r="Z3320" s="9"/>
      <c r="AA3320" s="9"/>
      <c r="AB3320" s="9"/>
      <c r="AC3320" s="9"/>
      <c r="AD3320" s="9"/>
      <c r="AE3320" s="9"/>
      <c r="AF3320" s="9"/>
      <c r="AG3320" s="9"/>
      <c r="AH3320" s="9"/>
      <c r="AI3320" s="9"/>
      <c r="AJ3320" s="9"/>
      <c r="AK3320" s="9"/>
      <c r="AL3320" s="9"/>
      <c r="AM3320" s="9"/>
      <c r="AN3320" s="9"/>
      <c r="AO3320" s="9"/>
      <c r="AP3320" s="9"/>
      <c r="AQ3320" s="9"/>
      <c r="AR3320" s="9"/>
      <c r="AS3320" s="9"/>
      <c r="AT3320" s="9"/>
      <c r="AU3320" s="9"/>
    </row>
    <row r="3321" spans="1:47" ht="15.75" customHeight="1">
      <c r="A3321" s="9"/>
      <c r="B3321" s="9"/>
      <c r="C3321" s="9"/>
      <c r="D3321" s="9"/>
      <c r="E3321" s="9"/>
      <c r="F3321" s="67"/>
      <c r="G3321" s="9"/>
      <c r="H3321" s="9"/>
      <c r="I3321" s="9"/>
      <c r="J3321" s="9"/>
      <c r="K3321" s="9"/>
      <c r="L3321" s="9"/>
      <c r="M3321" s="9"/>
      <c r="N3321" s="9"/>
      <c r="O3321" s="9"/>
      <c r="P3321" s="9"/>
      <c r="Q3321" s="9"/>
      <c r="R3321" s="9"/>
      <c r="S3321" s="9"/>
      <c r="T3321" s="9"/>
      <c r="U3321" s="9"/>
      <c r="V3321" s="9"/>
      <c r="W3321" s="9"/>
      <c r="X3321" s="9"/>
      <c r="Y3321" s="9"/>
      <c r="Z3321" s="9"/>
      <c r="AA3321" s="9"/>
      <c r="AB3321" s="9"/>
      <c r="AC3321" s="9"/>
      <c r="AD3321" s="9"/>
      <c r="AE3321" s="9"/>
      <c r="AF3321" s="9"/>
      <c r="AG3321" s="9"/>
      <c r="AH3321" s="9"/>
      <c r="AI3321" s="9"/>
      <c r="AJ3321" s="9"/>
      <c r="AK3321" s="9"/>
      <c r="AL3321" s="9"/>
      <c r="AM3321" s="9"/>
      <c r="AN3321" s="9"/>
      <c r="AO3321" s="9"/>
      <c r="AP3321" s="9"/>
      <c r="AQ3321" s="9"/>
      <c r="AR3321" s="9"/>
      <c r="AS3321" s="9"/>
      <c r="AT3321" s="9"/>
      <c r="AU3321" s="9"/>
    </row>
    <row r="3322" spans="1:47" ht="15.75" customHeight="1">
      <c r="A3322" s="9"/>
      <c r="B3322" s="9"/>
      <c r="C3322" s="9"/>
      <c r="D3322" s="9"/>
      <c r="E3322" s="9"/>
      <c r="F3322" s="67"/>
      <c r="G3322" s="9"/>
      <c r="H3322" s="9"/>
      <c r="I3322" s="9"/>
      <c r="J3322" s="9"/>
      <c r="K3322" s="9"/>
      <c r="L3322" s="9"/>
      <c r="M3322" s="9"/>
      <c r="N3322" s="9"/>
      <c r="O3322" s="9"/>
      <c r="P3322" s="9"/>
      <c r="Q3322" s="9"/>
      <c r="R3322" s="9"/>
      <c r="S3322" s="9"/>
      <c r="T3322" s="9"/>
      <c r="U3322" s="9"/>
      <c r="V3322" s="9"/>
      <c r="W3322" s="9"/>
      <c r="X3322" s="9"/>
      <c r="Y3322" s="9"/>
      <c r="Z3322" s="9"/>
      <c r="AA3322" s="9"/>
      <c r="AB3322" s="9"/>
      <c r="AC3322" s="9"/>
      <c r="AD3322" s="9"/>
      <c r="AE3322" s="9"/>
      <c r="AF3322" s="9"/>
      <c r="AG3322" s="9"/>
      <c r="AH3322" s="9"/>
      <c r="AI3322" s="9"/>
      <c r="AJ3322" s="9"/>
      <c r="AK3322" s="9"/>
      <c r="AL3322" s="9"/>
      <c r="AM3322" s="9"/>
      <c r="AN3322" s="9"/>
      <c r="AO3322" s="9"/>
      <c r="AP3322" s="9"/>
      <c r="AQ3322" s="9"/>
      <c r="AR3322" s="9"/>
      <c r="AS3322" s="9"/>
      <c r="AT3322" s="9"/>
      <c r="AU3322" s="9"/>
    </row>
    <row r="3323" spans="1:47" ht="15.75" customHeight="1">
      <c r="A3323" s="9"/>
      <c r="B3323" s="9"/>
      <c r="C3323" s="9"/>
      <c r="D3323" s="9"/>
      <c r="E3323" s="9"/>
      <c r="F3323" s="67"/>
      <c r="G3323" s="9"/>
      <c r="H3323" s="9"/>
      <c r="I3323" s="9"/>
      <c r="J3323" s="9"/>
      <c r="K3323" s="9"/>
      <c r="L3323" s="9"/>
      <c r="M3323" s="9"/>
      <c r="N3323" s="9"/>
      <c r="O3323" s="9"/>
      <c r="P3323" s="9"/>
      <c r="Q3323" s="9"/>
      <c r="R3323" s="9"/>
      <c r="S3323" s="9"/>
      <c r="T3323" s="9"/>
      <c r="U3323" s="9"/>
      <c r="V3323" s="9"/>
      <c r="W3323" s="9"/>
      <c r="X3323" s="9"/>
      <c r="Y3323" s="9"/>
      <c r="Z3323" s="9"/>
      <c r="AA3323" s="9"/>
      <c r="AB3323" s="9"/>
      <c r="AC3323" s="9"/>
      <c r="AD3323" s="9"/>
      <c r="AE3323" s="9"/>
      <c r="AF3323" s="9"/>
      <c r="AG3323" s="9"/>
      <c r="AH3323" s="9"/>
      <c r="AI3323" s="9"/>
      <c r="AJ3323" s="9"/>
      <c r="AK3323" s="9"/>
      <c r="AL3323" s="9"/>
      <c r="AM3323" s="9"/>
      <c r="AN3323" s="9"/>
      <c r="AO3323" s="9"/>
      <c r="AP3323" s="9"/>
      <c r="AQ3323" s="9"/>
      <c r="AR3323" s="9"/>
      <c r="AS3323" s="9"/>
      <c r="AT3323" s="9"/>
      <c r="AU3323" s="9"/>
    </row>
    <row r="3324" spans="1:47" ht="15.75" customHeight="1">
      <c r="A3324" s="9"/>
      <c r="B3324" s="9"/>
      <c r="C3324" s="9"/>
      <c r="D3324" s="9"/>
      <c r="E3324" s="9"/>
      <c r="F3324" s="67"/>
      <c r="G3324" s="9"/>
      <c r="H3324" s="9"/>
      <c r="I3324" s="9"/>
      <c r="J3324" s="9"/>
      <c r="K3324" s="9"/>
      <c r="L3324" s="9"/>
      <c r="M3324" s="9"/>
      <c r="N3324" s="9"/>
      <c r="O3324" s="9"/>
      <c r="P3324" s="9"/>
      <c r="Q3324" s="9"/>
      <c r="R3324" s="9"/>
      <c r="S3324" s="9"/>
      <c r="T3324" s="9"/>
      <c r="U3324" s="9"/>
      <c r="V3324" s="9"/>
      <c r="W3324" s="9"/>
      <c r="X3324" s="9"/>
      <c r="Y3324" s="9"/>
      <c r="Z3324" s="9"/>
      <c r="AA3324" s="9"/>
      <c r="AB3324" s="9"/>
      <c r="AC3324" s="9"/>
      <c r="AD3324" s="9"/>
      <c r="AE3324" s="9"/>
      <c r="AF3324" s="9"/>
      <c r="AG3324" s="9"/>
      <c r="AH3324" s="9"/>
      <c r="AI3324" s="9"/>
      <c r="AJ3324" s="9"/>
      <c r="AK3324" s="9"/>
      <c r="AL3324" s="9"/>
      <c r="AM3324" s="9"/>
      <c r="AN3324" s="9"/>
      <c r="AO3324" s="9"/>
      <c r="AP3324" s="9"/>
      <c r="AQ3324" s="9"/>
      <c r="AR3324" s="9"/>
      <c r="AS3324" s="9"/>
      <c r="AT3324" s="9"/>
      <c r="AU3324" s="9"/>
    </row>
    <row r="3325" spans="1:47" ht="15.75" customHeight="1">
      <c r="A3325" s="9"/>
      <c r="B3325" s="9"/>
      <c r="C3325" s="9"/>
      <c r="D3325" s="9"/>
      <c r="E3325" s="9"/>
      <c r="F3325" s="67"/>
      <c r="G3325" s="9"/>
      <c r="H3325" s="9"/>
      <c r="I3325" s="9"/>
      <c r="J3325" s="9"/>
      <c r="K3325" s="9"/>
      <c r="L3325" s="9"/>
      <c r="M3325" s="9"/>
      <c r="N3325" s="9"/>
      <c r="O3325" s="9"/>
      <c r="P3325" s="9"/>
      <c r="Q3325" s="9"/>
      <c r="R3325" s="9"/>
      <c r="S3325" s="9"/>
      <c r="T3325" s="9"/>
      <c r="U3325" s="9"/>
      <c r="V3325" s="9"/>
      <c r="W3325" s="9"/>
      <c r="X3325" s="9"/>
      <c r="Y3325" s="9"/>
      <c r="Z3325" s="9"/>
      <c r="AA3325" s="9"/>
      <c r="AB3325" s="9"/>
      <c r="AC3325" s="9"/>
      <c r="AD3325" s="9"/>
      <c r="AE3325" s="9"/>
      <c r="AF3325" s="9"/>
      <c r="AG3325" s="9"/>
      <c r="AH3325" s="9"/>
      <c r="AI3325" s="9"/>
      <c r="AJ3325" s="9"/>
      <c r="AK3325" s="9"/>
      <c r="AL3325" s="9"/>
      <c r="AM3325" s="9"/>
      <c r="AN3325" s="9"/>
      <c r="AO3325" s="9"/>
      <c r="AP3325" s="9"/>
      <c r="AQ3325" s="9"/>
      <c r="AR3325" s="9"/>
      <c r="AS3325" s="9"/>
      <c r="AT3325" s="9"/>
      <c r="AU3325" s="9"/>
    </row>
    <row r="3326" spans="1:47" ht="15.75" customHeight="1">
      <c r="A3326" s="9"/>
      <c r="B3326" s="9"/>
      <c r="C3326" s="9"/>
      <c r="D3326" s="9"/>
      <c r="E3326" s="9"/>
      <c r="F3326" s="67"/>
      <c r="G3326" s="9"/>
      <c r="H3326" s="9"/>
      <c r="I3326" s="9"/>
      <c r="J3326" s="9"/>
      <c r="K3326" s="9"/>
      <c r="L3326" s="9"/>
      <c r="M3326" s="9"/>
      <c r="N3326" s="9"/>
      <c r="O3326" s="9"/>
      <c r="P3326" s="9"/>
      <c r="Q3326" s="9"/>
      <c r="R3326" s="9"/>
      <c r="S3326" s="9"/>
      <c r="T3326" s="9"/>
      <c r="U3326" s="9"/>
      <c r="V3326" s="9"/>
      <c r="W3326" s="9"/>
      <c r="X3326" s="9"/>
      <c r="Y3326" s="9"/>
      <c r="Z3326" s="9"/>
      <c r="AA3326" s="9"/>
      <c r="AB3326" s="9"/>
      <c r="AC3326" s="9"/>
      <c r="AD3326" s="9"/>
      <c r="AE3326" s="9"/>
      <c r="AF3326" s="9"/>
      <c r="AG3326" s="9"/>
      <c r="AH3326" s="9"/>
      <c r="AI3326" s="9"/>
      <c r="AJ3326" s="9"/>
      <c r="AK3326" s="9"/>
      <c r="AL3326" s="9"/>
      <c r="AM3326" s="9"/>
      <c r="AN3326" s="9"/>
      <c r="AO3326" s="9"/>
      <c r="AP3326" s="9"/>
      <c r="AQ3326" s="9"/>
      <c r="AR3326" s="9"/>
      <c r="AS3326" s="9"/>
      <c r="AT3326" s="9"/>
      <c r="AU3326" s="9"/>
    </row>
    <row r="3327" spans="1:47" ht="15.75" customHeight="1">
      <c r="A3327" s="9"/>
      <c r="B3327" s="9"/>
      <c r="C3327" s="9"/>
      <c r="D3327" s="9"/>
      <c r="E3327" s="9"/>
      <c r="F3327" s="67"/>
      <c r="G3327" s="9"/>
      <c r="H3327" s="9"/>
      <c r="I3327" s="9"/>
      <c r="J3327" s="9"/>
      <c r="K3327" s="9"/>
      <c r="L3327" s="9"/>
      <c r="M3327" s="9"/>
      <c r="N3327" s="9"/>
      <c r="O3327" s="9"/>
      <c r="P3327" s="9"/>
      <c r="Q3327" s="9"/>
      <c r="R3327" s="9"/>
      <c r="S3327" s="9"/>
      <c r="T3327" s="9"/>
      <c r="U3327" s="9"/>
      <c r="V3327" s="9"/>
      <c r="W3327" s="9"/>
      <c r="X3327" s="9"/>
      <c r="Y3327" s="9"/>
      <c r="Z3327" s="9"/>
      <c r="AA3327" s="9"/>
      <c r="AB3327" s="9"/>
      <c r="AC3327" s="9"/>
      <c r="AD3327" s="9"/>
      <c r="AE3327" s="9"/>
      <c r="AF3327" s="9"/>
      <c r="AG3327" s="9"/>
      <c r="AH3327" s="9"/>
      <c r="AI3327" s="9"/>
      <c r="AJ3327" s="9"/>
      <c r="AK3327" s="9"/>
      <c r="AL3327" s="9"/>
      <c r="AM3327" s="9"/>
      <c r="AN3327" s="9"/>
      <c r="AO3327" s="9"/>
      <c r="AP3327" s="9"/>
      <c r="AQ3327" s="9"/>
      <c r="AR3327" s="9"/>
      <c r="AS3327" s="9"/>
      <c r="AT3327" s="9"/>
      <c r="AU3327" s="9"/>
    </row>
    <row r="3328" spans="1:47" ht="15.75" customHeight="1">
      <c r="A3328" s="9"/>
      <c r="B3328" s="9"/>
      <c r="C3328" s="9"/>
      <c r="D3328" s="9"/>
      <c r="E3328" s="9"/>
      <c r="F3328" s="67"/>
      <c r="G3328" s="9"/>
      <c r="H3328" s="9"/>
      <c r="I3328" s="9"/>
      <c r="J3328" s="9"/>
      <c r="K3328" s="9"/>
      <c r="L3328" s="9"/>
      <c r="M3328" s="9"/>
      <c r="N3328" s="9"/>
      <c r="O3328" s="9"/>
      <c r="P3328" s="9"/>
      <c r="Q3328" s="9"/>
      <c r="R3328" s="9"/>
      <c r="S3328" s="9"/>
      <c r="T3328" s="9"/>
      <c r="U3328" s="9"/>
      <c r="V3328" s="9"/>
      <c r="W3328" s="9"/>
      <c r="X3328" s="9"/>
      <c r="Y3328" s="9"/>
      <c r="Z3328" s="9"/>
      <c r="AA3328" s="9"/>
      <c r="AB3328" s="9"/>
      <c r="AC3328" s="9"/>
      <c r="AD3328" s="9"/>
      <c r="AE3328" s="9"/>
      <c r="AF3328" s="9"/>
      <c r="AG3328" s="9"/>
      <c r="AH3328" s="9"/>
      <c r="AI3328" s="9"/>
      <c r="AJ3328" s="9"/>
      <c r="AK3328" s="9"/>
      <c r="AL3328" s="9"/>
      <c r="AM3328" s="9"/>
      <c r="AN3328" s="9"/>
      <c r="AO3328" s="9"/>
      <c r="AP3328" s="9"/>
      <c r="AQ3328" s="9"/>
      <c r="AR3328" s="9"/>
      <c r="AS3328" s="9"/>
      <c r="AT3328" s="9"/>
      <c r="AU3328" s="9"/>
    </row>
    <row r="3329" spans="1:47" ht="15.75" customHeight="1">
      <c r="A3329" s="9"/>
      <c r="B3329" s="9"/>
      <c r="C3329" s="9"/>
      <c r="D3329" s="9"/>
      <c r="E3329" s="9"/>
      <c r="F3329" s="67"/>
      <c r="G3329" s="9"/>
      <c r="H3329" s="9"/>
      <c r="I3329" s="9"/>
      <c r="J3329" s="9"/>
      <c r="K3329" s="9"/>
      <c r="L3329" s="9"/>
      <c r="M3329" s="9"/>
      <c r="N3329" s="9"/>
      <c r="O3329" s="9"/>
      <c r="P3329" s="9"/>
      <c r="Q3329" s="9"/>
      <c r="R3329" s="9"/>
      <c r="S3329" s="9"/>
      <c r="T3329" s="9"/>
      <c r="U3329" s="9"/>
      <c r="V3329" s="9"/>
      <c r="W3329" s="9"/>
      <c r="X3329" s="9"/>
      <c r="Y3329" s="9"/>
      <c r="Z3329" s="9"/>
      <c r="AA3329" s="9"/>
      <c r="AB3329" s="9"/>
      <c r="AC3329" s="9"/>
      <c r="AD3329" s="9"/>
      <c r="AE3329" s="9"/>
      <c r="AF3329" s="9"/>
      <c r="AG3329" s="9"/>
      <c r="AH3329" s="9"/>
      <c r="AI3329" s="9"/>
      <c r="AJ3329" s="9"/>
      <c r="AK3329" s="9"/>
      <c r="AL3329" s="9"/>
      <c r="AM3329" s="9"/>
      <c r="AN3329" s="9"/>
      <c r="AO3329" s="9"/>
      <c r="AP3329" s="9"/>
      <c r="AQ3329" s="9"/>
      <c r="AR3329" s="9"/>
      <c r="AS3329" s="9"/>
      <c r="AT3329" s="9"/>
      <c r="AU3329" s="9"/>
    </row>
    <row r="3330" spans="1:47" ht="15.75" customHeight="1">
      <c r="A3330" s="9"/>
      <c r="B3330" s="9"/>
      <c r="C3330" s="9"/>
      <c r="D3330" s="9"/>
      <c r="E3330" s="9"/>
      <c r="F3330" s="67"/>
      <c r="G3330" s="9"/>
      <c r="H3330" s="9"/>
      <c r="I3330" s="9"/>
      <c r="J3330" s="9"/>
      <c r="K3330" s="9"/>
      <c r="L3330" s="9"/>
      <c r="M3330" s="9"/>
      <c r="N3330" s="9"/>
      <c r="O3330" s="9"/>
      <c r="P3330" s="9"/>
      <c r="Q3330" s="9"/>
      <c r="R3330" s="9"/>
      <c r="S3330" s="9"/>
      <c r="T3330" s="9"/>
      <c r="U3330" s="9"/>
      <c r="V3330" s="9"/>
      <c r="W3330" s="9"/>
      <c r="X3330" s="9"/>
      <c r="Y3330" s="9"/>
      <c r="Z3330" s="9"/>
      <c r="AA3330" s="9"/>
      <c r="AB3330" s="9"/>
      <c r="AC3330" s="9"/>
      <c r="AD3330" s="9"/>
      <c r="AE3330" s="9"/>
      <c r="AF3330" s="9"/>
      <c r="AG3330" s="9"/>
      <c r="AH3330" s="9"/>
      <c r="AI3330" s="9"/>
      <c r="AJ3330" s="9"/>
      <c r="AK3330" s="9"/>
      <c r="AL3330" s="9"/>
      <c r="AM3330" s="9"/>
      <c r="AN3330" s="9"/>
      <c r="AO3330" s="9"/>
      <c r="AP3330" s="9"/>
      <c r="AQ3330" s="9"/>
      <c r="AR3330" s="9"/>
      <c r="AS3330" s="9"/>
      <c r="AT3330" s="9"/>
      <c r="AU3330" s="9"/>
    </row>
    <row r="3331" spans="1:47" ht="15.75" customHeight="1">
      <c r="A3331" s="9"/>
      <c r="B3331" s="9"/>
      <c r="C3331" s="9"/>
      <c r="D3331" s="9"/>
      <c r="E3331" s="9"/>
      <c r="F3331" s="67"/>
      <c r="G3331" s="9"/>
      <c r="H3331" s="9"/>
      <c r="I3331" s="9"/>
      <c r="J3331" s="9"/>
      <c r="K3331" s="9"/>
      <c r="L3331" s="9"/>
      <c r="M3331" s="9"/>
      <c r="N3331" s="9"/>
      <c r="O3331" s="9"/>
      <c r="P3331" s="9"/>
      <c r="Q3331" s="9"/>
      <c r="R3331" s="9"/>
      <c r="S3331" s="9"/>
      <c r="T3331" s="9"/>
      <c r="U3331" s="9"/>
      <c r="V3331" s="9"/>
      <c r="W3331" s="9"/>
      <c r="X3331" s="9"/>
      <c r="Y3331" s="9"/>
      <c r="Z3331" s="9"/>
      <c r="AA3331" s="9"/>
      <c r="AB3331" s="9"/>
      <c r="AC3331" s="9"/>
      <c r="AD3331" s="9"/>
      <c r="AE3331" s="9"/>
      <c r="AF3331" s="9"/>
      <c r="AG3331" s="9"/>
      <c r="AH3331" s="9"/>
      <c r="AI3331" s="9"/>
      <c r="AJ3331" s="9"/>
      <c r="AK3331" s="9"/>
      <c r="AL3331" s="9"/>
      <c r="AM3331" s="9"/>
      <c r="AN3331" s="9"/>
      <c r="AO3331" s="9"/>
      <c r="AP3331" s="9"/>
      <c r="AQ3331" s="9"/>
      <c r="AR3331" s="9"/>
      <c r="AS3331" s="9"/>
      <c r="AT3331" s="9"/>
      <c r="AU3331" s="9"/>
    </row>
    <row r="3332" spans="1:47" ht="15.75" customHeight="1">
      <c r="A3332" s="9"/>
      <c r="B3332" s="9"/>
      <c r="C3332" s="9"/>
      <c r="D3332" s="9"/>
      <c r="E3332" s="9"/>
      <c r="F3332" s="67"/>
      <c r="G3332" s="9"/>
      <c r="H3332" s="9"/>
      <c r="I3332" s="9"/>
      <c r="J3332" s="9"/>
      <c r="K3332" s="9"/>
      <c r="L3332" s="9"/>
      <c r="M3332" s="9"/>
      <c r="N3332" s="9"/>
      <c r="O3332" s="9"/>
      <c r="P3332" s="9"/>
      <c r="Q3332" s="9"/>
      <c r="R3332" s="9"/>
      <c r="S3332" s="9"/>
      <c r="T3332" s="9"/>
      <c r="U3332" s="9"/>
      <c r="V3332" s="9"/>
      <c r="W3332" s="9"/>
      <c r="X3332" s="9"/>
      <c r="Y3332" s="9"/>
      <c r="Z3332" s="9"/>
      <c r="AA3332" s="9"/>
      <c r="AB3332" s="9"/>
      <c r="AC3332" s="9"/>
      <c r="AD3332" s="9"/>
      <c r="AE3332" s="9"/>
      <c r="AF3332" s="9"/>
      <c r="AG3332" s="9"/>
      <c r="AH3332" s="9"/>
      <c r="AI3332" s="9"/>
      <c r="AJ3332" s="9"/>
      <c r="AK3332" s="9"/>
      <c r="AL3332" s="9"/>
      <c r="AM3332" s="9"/>
      <c r="AN3332" s="9"/>
      <c r="AO3332" s="9"/>
      <c r="AP3332" s="9"/>
      <c r="AQ3332" s="9"/>
      <c r="AR3332" s="9"/>
      <c r="AS3332" s="9"/>
      <c r="AT3332" s="9"/>
      <c r="AU3332" s="9"/>
    </row>
    <row r="3333" spans="1:47" ht="15.75" customHeight="1">
      <c r="A3333" s="9"/>
      <c r="B3333" s="9"/>
      <c r="C3333" s="9"/>
      <c r="D3333" s="9"/>
      <c r="E3333" s="9"/>
      <c r="F3333" s="67"/>
      <c r="G3333" s="9"/>
      <c r="H3333" s="9"/>
      <c r="I3333" s="9"/>
      <c r="J3333" s="9"/>
      <c r="K3333" s="9"/>
      <c r="L3333" s="9"/>
      <c r="M3333" s="9"/>
      <c r="N3333" s="9"/>
      <c r="O3333" s="9"/>
      <c r="P3333" s="9"/>
      <c r="Q3333" s="9"/>
      <c r="R3333" s="9"/>
      <c r="S3333" s="9"/>
      <c r="T3333" s="9"/>
      <c r="U3333" s="9"/>
      <c r="V3333" s="9"/>
      <c r="W3333" s="9"/>
      <c r="X3333" s="9"/>
      <c r="Y3333" s="9"/>
      <c r="Z3333" s="9"/>
      <c r="AA3333" s="9"/>
      <c r="AB3333" s="9"/>
      <c r="AC3333" s="9"/>
      <c r="AD3333" s="9"/>
      <c r="AE3333" s="9"/>
      <c r="AF3333" s="9"/>
      <c r="AG3333" s="9"/>
      <c r="AH3333" s="9"/>
      <c r="AI3333" s="9"/>
      <c r="AJ3333" s="9"/>
      <c r="AK3333" s="9"/>
      <c r="AL3333" s="9"/>
      <c r="AM3333" s="9"/>
      <c r="AN3333" s="9"/>
      <c r="AO3333" s="9"/>
      <c r="AP3333" s="9"/>
      <c r="AQ3333" s="9"/>
      <c r="AR3333" s="9"/>
      <c r="AS3333" s="9"/>
      <c r="AT3333" s="9"/>
      <c r="AU3333" s="9"/>
    </row>
    <row r="3334" spans="1:47" ht="15.75" customHeight="1">
      <c r="A3334" s="9"/>
      <c r="B3334" s="9"/>
      <c r="C3334" s="9"/>
      <c r="D3334" s="9"/>
      <c r="E3334" s="9"/>
      <c r="F3334" s="67"/>
      <c r="G3334" s="9"/>
      <c r="H3334" s="9"/>
      <c r="I3334" s="9"/>
      <c r="J3334" s="9"/>
      <c r="K3334" s="9"/>
      <c r="L3334" s="9"/>
      <c r="M3334" s="9"/>
      <c r="N3334" s="9"/>
      <c r="O3334" s="9"/>
      <c r="P3334" s="9"/>
      <c r="Q3334" s="9"/>
      <c r="R3334" s="9"/>
      <c r="S3334" s="9"/>
      <c r="T3334" s="9"/>
      <c r="U3334" s="9"/>
      <c r="V3334" s="9"/>
      <c r="W3334" s="9"/>
      <c r="X3334" s="9"/>
      <c r="Y3334" s="9"/>
      <c r="Z3334" s="9"/>
      <c r="AA3334" s="9"/>
      <c r="AB3334" s="9"/>
      <c r="AC3334" s="9"/>
      <c r="AD3334" s="9"/>
      <c r="AE3334" s="9"/>
      <c r="AF3334" s="9"/>
      <c r="AG3334" s="9"/>
      <c r="AH3334" s="9"/>
      <c r="AI3334" s="9"/>
      <c r="AJ3334" s="9"/>
      <c r="AK3334" s="9"/>
      <c r="AL3334" s="9"/>
      <c r="AM3334" s="9"/>
      <c r="AN3334" s="9"/>
      <c r="AO3334" s="9"/>
      <c r="AP3334" s="9"/>
      <c r="AQ3334" s="9"/>
      <c r="AR3334" s="9"/>
      <c r="AS3334" s="9"/>
      <c r="AT3334" s="9"/>
      <c r="AU3334" s="9"/>
    </row>
    <row r="3335" spans="1:47" ht="15.75" customHeight="1">
      <c r="A3335" s="9"/>
      <c r="B3335" s="9"/>
      <c r="C3335" s="9"/>
      <c r="D3335" s="9"/>
      <c r="E3335" s="9"/>
      <c r="F3335" s="67"/>
      <c r="G3335" s="9"/>
      <c r="H3335" s="9"/>
      <c r="I3335" s="9"/>
      <c r="J3335" s="9"/>
      <c r="K3335" s="9"/>
      <c r="L3335" s="9"/>
      <c r="M3335" s="9"/>
      <c r="N3335" s="9"/>
      <c r="O3335" s="9"/>
      <c r="P3335" s="9"/>
      <c r="Q3335" s="9"/>
      <c r="R3335" s="9"/>
      <c r="S3335" s="9"/>
      <c r="T3335" s="9"/>
      <c r="U3335" s="9"/>
      <c r="V3335" s="9"/>
      <c r="W3335" s="9"/>
      <c r="X3335" s="9"/>
      <c r="Y3335" s="9"/>
      <c r="Z3335" s="9"/>
      <c r="AA3335" s="9"/>
      <c r="AB3335" s="9"/>
      <c r="AC3335" s="9"/>
      <c r="AD3335" s="9"/>
      <c r="AE3335" s="9"/>
      <c r="AF3335" s="9"/>
      <c r="AG3335" s="9"/>
      <c r="AH3335" s="9"/>
      <c r="AI3335" s="9"/>
      <c r="AJ3335" s="9"/>
      <c r="AK3335" s="9"/>
      <c r="AL3335" s="9"/>
      <c r="AM3335" s="9"/>
      <c r="AN3335" s="9"/>
      <c r="AO3335" s="9"/>
      <c r="AP3335" s="9"/>
      <c r="AQ3335" s="9"/>
      <c r="AR3335" s="9"/>
      <c r="AS3335" s="9"/>
      <c r="AT3335" s="9"/>
      <c r="AU3335" s="9"/>
    </row>
    <row r="3336" spans="1:47" ht="15.75" customHeight="1">
      <c r="A3336" s="9"/>
      <c r="B3336" s="9"/>
      <c r="C3336" s="9"/>
      <c r="D3336" s="9"/>
      <c r="E3336" s="9"/>
      <c r="F3336" s="67"/>
      <c r="G3336" s="9"/>
      <c r="H3336" s="9"/>
      <c r="I3336" s="9"/>
      <c r="J3336" s="9"/>
      <c r="K3336" s="9"/>
      <c r="L3336" s="9"/>
      <c r="M3336" s="9"/>
      <c r="N3336" s="9"/>
      <c r="O3336" s="9"/>
      <c r="P3336" s="9"/>
      <c r="Q3336" s="9"/>
      <c r="R3336" s="9"/>
      <c r="S3336" s="9"/>
      <c r="T3336" s="9"/>
      <c r="U3336" s="9"/>
      <c r="V3336" s="9"/>
      <c r="W3336" s="9"/>
      <c r="X3336" s="9"/>
      <c r="Y3336" s="9"/>
      <c r="Z3336" s="9"/>
      <c r="AA3336" s="9"/>
      <c r="AB3336" s="9"/>
      <c r="AC3336" s="9"/>
      <c r="AD3336" s="9"/>
      <c r="AE3336" s="9"/>
      <c r="AF3336" s="9"/>
      <c r="AG3336" s="9"/>
      <c r="AH3336" s="9"/>
      <c r="AI3336" s="9"/>
      <c r="AJ3336" s="9"/>
      <c r="AK3336" s="9"/>
      <c r="AL3336" s="9"/>
      <c r="AM3336" s="9"/>
      <c r="AN3336" s="9"/>
      <c r="AO3336" s="9"/>
      <c r="AP3336" s="9"/>
      <c r="AQ3336" s="9"/>
      <c r="AR3336" s="9"/>
      <c r="AS3336" s="9"/>
      <c r="AT3336" s="9"/>
      <c r="AU3336" s="9"/>
    </row>
    <row r="3337" spans="1:47" ht="15.75" customHeight="1">
      <c r="A3337" s="9"/>
      <c r="B3337" s="9"/>
      <c r="C3337" s="9"/>
      <c r="D3337" s="9"/>
      <c r="E3337" s="9"/>
      <c r="F3337" s="67"/>
      <c r="G3337" s="9"/>
      <c r="H3337" s="9"/>
      <c r="I3337" s="9"/>
      <c r="J3337" s="9"/>
      <c r="K3337" s="9"/>
      <c r="L3337" s="9"/>
      <c r="M3337" s="9"/>
      <c r="N3337" s="9"/>
      <c r="O3337" s="9"/>
      <c r="P3337" s="9"/>
      <c r="Q3337" s="9"/>
      <c r="R3337" s="9"/>
      <c r="S3337" s="9"/>
      <c r="T3337" s="9"/>
      <c r="U3337" s="9"/>
      <c r="V3337" s="9"/>
      <c r="W3337" s="9"/>
      <c r="X3337" s="9"/>
      <c r="Y3337" s="9"/>
      <c r="Z3337" s="9"/>
      <c r="AA3337" s="9"/>
      <c r="AB3337" s="9"/>
      <c r="AC3337" s="9"/>
      <c r="AD3337" s="9"/>
      <c r="AE3337" s="9"/>
      <c r="AF3337" s="9"/>
      <c r="AG3337" s="9"/>
      <c r="AH3337" s="9"/>
      <c r="AI3337" s="9"/>
      <c r="AJ3337" s="9"/>
      <c r="AK3337" s="9"/>
      <c r="AL3337" s="9"/>
      <c r="AM3337" s="9"/>
      <c r="AN3337" s="9"/>
      <c r="AO3337" s="9"/>
      <c r="AP3337" s="9"/>
      <c r="AQ3337" s="9"/>
      <c r="AR3337" s="9"/>
      <c r="AS3337" s="9"/>
      <c r="AT3337" s="9"/>
      <c r="AU3337" s="9"/>
    </row>
    <row r="3338" spans="1:47" ht="15.75" customHeight="1">
      <c r="A3338" s="9"/>
      <c r="B3338" s="9"/>
      <c r="C3338" s="9"/>
      <c r="D3338" s="9"/>
      <c r="E3338" s="9"/>
      <c r="F3338" s="67"/>
      <c r="G3338" s="9"/>
      <c r="H3338" s="9"/>
      <c r="I3338" s="9"/>
      <c r="J3338" s="9"/>
      <c r="K3338" s="9"/>
      <c r="L3338" s="9"/>
      <c r="M3338" s="9"/>
      <c r="N3338" s="9"/>
      <c r="O3338" s="9"/>
      <c r="P3338" s="9"/>
      <c r="Q3338" s="9"/>
      <c r="R3338" s="9"/>
      <c r="S3338" s="9"/>
      <c r="T3338" s="9"/>
      <c r="U3338" s="9"/>
      <c r="V3338" s="9"/>
      <c r="W3338" s="9"/>
      <c r="X3338" s="9"/>
      <c r="Y3338" s="9"/>
      <c r="Z3338" s="9"/>
      <c r="AA3338" s="9"/>
      <c r="AB3338" s="9"/>
      <c r="AC3338" s="9"/>
      <c r="AD3338" s="9"/>
      <c r="AE3338" s="9"/>
      <c r="AF3338" s="9"/>
      <c r="AG3338" s="9"/>
      <c r="AH3338" s="9"/>
      <c r="AI3338" s="9"/>
      <c r="AJ3338" s="9"/>
      <c r="AK3338" s="9"/>
      <c r="AL3338" s="9"/>
      <c r="AM3338" s="9"/>
      <c r="AN3338" s="9"/>
      <c r="AO3338" s="9"/>
      <c r="AP3338" s="9"/>
      <c r="AQ3338" s="9"/>
      <c r="AR3338" s="9"/>
      <c r="AS3338" s="9"/>
      <c r="AT3338" s="9"/>
      <c r="AU3338" s="9"/>
    </row>
    <row r="3339" spans="1:47" ht="15.75" customHeight="1">
      <c r="A3339" s="9"/>
      <c r="B3339" s="9"/>
      <c r="C3339" s="9"/>
      <c r="D3339" s="9"/>
      <c r="E3339" s="9"/>
      <c r="F3339" s="67"/>
      <c r="G3339" s="9"/>
      <c r="H3339" s="9"/>
      <c r="I3339" s="9"/>
      <c r="J3339" s="9"/>
      <c r="K3339" s="9"/>
      <c r="L3339" s="9"/>
      <c r="M3339" s="9"/>
      <c r="N3339" s="9"/>
      <c r="O3339" s="9"/>
      <c r="P3339" s="9"/>
      <c r="Q3339" s="9"/>
      <c r="R3339" s="9"/>
      <c r="S3339" s="9"/>
      <c r="T3339" s="9"/>
      <c r="U3339" s="9"/>
      <c r="V3339" s="9"/>
      <c r="W3339" s="9"/>
      <c r="X3339" s="9"/>
      <c r="Y3339" s="9"/>
      <c r="Z3339" s="9"/>
      <c r="AA3339" s="9"/>
      <c r="AB3339" s="9"/>
      <c r="AC3339" s="9"/>
      <c r="AD3339" s="9"/>
      <c r="AE3339" s="9"/>
      <c r="AF3339" s="9"/>
      <c r="AG3339" s="9"/>
      <c r="AH3339" s="9"/>
      <c r="AI3339" s="9"/>
      <c r="AJ3339" s="9"/>
      <c r="AK3339" s="9"/>
      <c r="AL3339" s="9"/>
      <c r="AM3339" s="9"/>
      <c r="AN3339" s="9"/>
      <c r="AO3339" s="9"/>
      <c r="AP3339" s="9"/>
      <c r="AQ3339" s="9"/>
      <c r="AR3339" s="9"/>
      <c r="AS3339" s="9"/>
      <c r="AT3339" s="9"/>
      <c r="AU3339" s="9"/>
    </row>
    <row r="3340" spans="1:47" ht="15.75" customHeight="1">
      <c r="A3340" s="9"/>
      <c r="B3340" s="9"/>
      <c r="C3340" s="9"/>
      <c r="D3340" s="9"/>
      <c r="E3340" s="9"/>
      <c r="F3340" s="67"/>
      <c r="G3340" s="9"/>
      <c r="H3340" s="9"/>
      <c r="I3340" s="9"/>
      <c r="J3340" s="9"/>
      <c r="K3340" s="9"/>
      <c r="L3340" s="9"/>
      <c r="M3340" s="9"/>
      <c r="N3340" s="9"/>
      <c r="O3340" s="9"/>
      <c r="P3340" s="9"/>
      <c r="Q3340" s="9"/>
      <c r="R3340" s="9"/>
      <c r="S3340" s="9"/>
      <c r="T3340" s="9"/>
      <c r="U3340" s="9"/>
      <c r="V3340" s="9"/>
      <c r="W3340" s="9"/>
      <c r="X3340" s="9"/>
      <c r="Y3340" s="9"/>
      <c r="Z3340" s="9"/>
      <c r="AA3340" s="9"/>
      <c r="AB3340" s="9"/>
      <c r="AC3340" s="9"/>
      <c r="AD3340" s="9"/>
      <c r="AE3340" s="9"/>
      <c r="AF3340" s="9"/>
      <c r="AG3340" s="9"/>
      <c r="AH3340" s="9"/>
      <c r="AI3340" s="9"/>
      <c r="AJ3340" s="9"/>
      <c r="AK3340" s="9"/>
      <c r="AL3340" s="9"/>
      <c r="AM3340" s="9"/>
      <c r="AN3340" s="9"/>
      <c r="AO3340" s="9"/>
      <c r="AP3340" s="9"/>
      <c r="AQ3340" s="9"/>
      <c r="AR3340" s="9"/>
      <c r="AS3340" s="9"/>
      <c r="AT3340" s="9"/>
      <c r="AU3340" s="9"/>
    </row>
    <row r="3341" spans="1:47" ht="15.75" customHeight="1">
      <c r="A3341" s="9"/>
      <c r="B3341" s="9"/>
      <c r="C3341" s="9"/>
      <c r="D3341" s="9"/>
      <c r="E3341" s="9"/>
      <c r="F3341" s="67"/>
      <c r="G3341" s="9"/>
      <c r="H3341" s="9"/>
      <c r="I3341" s="9"/>
      <c r="J3341" s="9"/>
      <c r="K3341" s="9"/>
      <c r="L3341" s="9"/>
      <c r="M3341" s="9"/>
      <c r="N3341" s="9"/>
      <c r="O3341" s="9"/>
      <c r="P3341" s="9"/>
      <c r="Q3341" s="9"/>
      <c r="R3341" s="9"/>
      <c r="S3341" s="9"/>
      <c r="T3341" s="9"/>
      <c r="U3341" s="9"/>
      <c r="V3341" s="9"/>
      <c r="W3341" s="9"/>
      <c r="X3341" s="9"/>
      <c r="Y3341" s="9"/>
      <c r="Z3341" s="9"/>
      <c r="AA3341" s="9"/>
      <c r="AB3341" s="9"/>
      <c r="AC3341" s="9"/>
      <c r="AD3341" s="9"/>
      <c r="AE3341" s="9"/>
      <c r="AF3341" s="9"/>
      <c r="AG3341" s="9"/>
      <c r="AH3341" s="9"/>
      <c r="AI3341" s="9"/>
      <c r="AJ3341" s="9"/>
      <c r="AK3341" s="9"/>
      <c r="AL3341" s="9"/>
      <c r="AM3341" s="9"/>
      <c r="AN3341" s="9"/>
      <c r="AO3341" s="9"/>
      <c r="AP3341" s="9"/>
      <c r="AQ3341" s="9"/>
      <c r="AR3341" s="9"/>
      <c r="AS3341" s="9"/>
      <c r="AT3341" s="9"/>
      <c r="AU3341" s="9"/>
    </row>
    <row r="3342" spans="1:47" ht="15.75" customHeight="1">
      <c r="A3342" s="9"/>
      <c r="B3342" s="9"/>
      <c r="C3342" s="9"/>
      <c r="D3342" s="9"/>
      <c r="E3342" s="9"/>
      <c r="F3342" s="67"/>
      <c r="G3342" s="9"/>
      <c r="H3342" s="9"/>
      <c r="I3342" s="9"/>
      <c r="J3342" s="9"/>
      <c r="K3342" s="9"/>
      <c r="L3342" s="9"/>
      <c r="M3342" s="9"/>
      <c r="N3342" s="9"/>
      <c r="O3342" s="9"/>
      <c r="P3342" s="9"/>
      <c r="Q3342" s="9"/>
      <c r="R3342" s="9"/>
      <c r="S3342" s="9"/>
      <c r="T3342" s="9"/>
      <c r="U3342" s="9"/>
      <c r="V3342" s="9"/>
      <c r="W3342" s="9"/>
      <c r="X3342" s="9"/>
      <c r="Y3342" s="9"/>
      <c r="Z3342" s="9"/>
      <c r="AA3342" s="9"/>
      <c r="AB3342" s="9"/>
      <c r="AC3342" s="9"/>
      <c r="AD3342" s="9"/>
      <c r="AE3342" s="9"/>
      <c r="AF3342" s="9"/>
      <c r="AG3342" s="9"/>
      <c r="AH3342" s="9"/>
      <c r="AI3342" s="9"/>
      <c r="AJ3342" s="9"/>
      <c r="AK3342" s="9"/>
      <c r="AL3342" s="9"/>
      <c r="AM3342" s="9"/>
      <c r="AN3342" s="9"/>
      <c r="AO3342" s="9"/>
      <c r="AP3342" s="9"/>
      <c r="AQ3342" s="9"/>
      <c r="AR3342" s="9"/>
      <c r="AS3342" s="9"/>
      <c r="AT3342" s="9"/>
      <c r="AU3342" s="9"/>
    </row>
    <row r="3343" spans="1:47" ht="15.75" customHeight="1">
      <c r="A3343" s="9"/>
      <c r="B3343" s="9"/>
      <c r="C3343" s="9"/>
      <c r="D3343" s="9"/>
      <c r="E3343" s="9"/>
      <c r="F3343" s="67"/>
      <c r="G3343" s="9"/>
      <c r="H3343" s="9"/>
      <c r="I3343" s="9"/>
      <c r="J3343" s="9"/>
      <c r="K3343" s="9"/>
      <c r="L3343" s="9"/>
      <c r="M3343" s="9"/>
      <c r="N3343" s="9"/>
      <c r="O3343" s="9"/>
      <c r="P3343" s="9"/>
      <c r="Q3343" s="9"/>
      <c r="R3343" s="9"/>
      <c r="S3343" s="9"/>
      <c r="T3343" s="9"/>
      <c r="U3343" s="9"/>
      <c r="V3343" s="9"/>
      <c r="W3343" s="9"/>
      <c r="X3343" s="9"/>
      <c r="Y3343" s="9"/>
      <c r="Z3343" s="9"/>
      <c r="AA3343" s="9"/>
      <c r="AB3343" s="9"/>
      <c r="AC3343" s="9"/>
      <c r="AD3343" s="9"/>
      <c r="AE3343" s="9"/>
      <c r="AF3343" s="9"/>
      <c r="AG3343" s="9"/>
      <c r="AH3343" s="9"/>
      <c r="AI3343" s="9"/>
      <c r="AJ3343" s="9"/>
      <c r="AK3343" s="9"/>
      <c r="AL3343" s="9"/>
      <c r="AM3343" s="9"/>
      <c r="AN3343" s="9"/>
      <c r="AO3343" s="9"/>
      <c r="AP3343" s="9"/>
      <c r="AQ3343" s="9"/>
      <c r="AR3343" s="9"/>
      <c r="AS3343" s="9"/>
      <c r="AT3343" s="9"/>
      <c r="AU3343" s="9"/>
    </row>
    <row r="3344" spans="1:47" ht="15.75" customHeight="1">
      <c r="A3344" s="9"/>
      <c r="B3344" s="9"/>
      <c r="C3344" s="9"/>
      <c r="D3344" s="9"/>
      <c r="E3344" s="9"/>
      <c r="F3344" s="67"/>
      <c r="G3344" s="9"/>
      <c r="H3344" s="9"/>
      <c r="I3344" s="9"/>
      <c r="J3344" s="9"/>
      <c r="K3344" s="9"/>
      <c r="L3344" s="9"/>
      <c r="M3344" s="9"/>
      <c r="N3344" s="9"/>
      <c r="O3344" s="9"/>
      <c r="P3344" s="9"/>
      <c r="Q3344" s="9"/>
      <c r="R3344" s="9"/>
      <c r="S3344" s="9"/>
      <c r="T3344" s="9"/>
      <c r="U3344" s="9"/>
      <c r="V3344" s="9"/>
      <c r="W3344" s="9"/>
      <c r="X3344" s="9"/>
      <c r="Y3344" s="9"/>
      <c r="Z3344" s="9"/>
      <c r="AA3344" s="9"/>
      <c r="AB3344" s="9"/>
      <c r="AC3344" s="9"/>
      <c r="AD3344" s="9"/>
      <c r="AE3344" s="9"/>
      <c r="AF3344" s="9"/>
      <c r="AG3344" s="9"/>
      <c r="AH3344" s="9"/>
      <c r="AI3344" s="9"/>
      <c r="AJ3344" s="9"/>
      <c r="AK3344" s="9"/>
      <c r="AL3344" s="9"/>
      <c r="AM3344" s="9"/>
      <c r="AN3344" s="9"/>
      <c r="AO3344" s="9"/>
      <c r="AP3344" s="9"/>
      <c r="AQ3344" s="9"/>
      <c r="AR3344" s="9"/>
      <c r="AS3344" s="9"/>
      <c r="AT3344" s="9"/>
      <c r="AU3344" s="9"/>
    </row>
    <row r="3345" spans="1:47" ht="15.75" customHeight="1">
      <c r="A3345" s="9"/>
      <c r="B3345" s="9"/>
      <c r="C3345" s="9"/>
      <c r="D3345" s="9"/>
      <c r="E3345" s="9"/>
      <c r="F3345" s="67"/>
      <c r="G3345" s="9"/>
      <c r="H3345" s="9"/>
      <c r="I3345" s="9"/>
      <c r="J3345" s="9"/>
      <c r="K3345" s="9"/>
      <c r="L3345" s="9"/>
      <c r="M3345" s="9"/>
      <c r="N3345" s="9"/>
      <c r="O3345" s="9"/>
      <c r="P3345" s="9"/>
      <c r="Q3345" s="9"/>
      <c r="R3345" s="9"/>
      <c r="S3345" s="9"/>
      <c r="T3345" s="9"/>
      <c r="U3345" s="9"/>
      <c r="V3345" s="9"/>
      <c r="W3345" s="9"/>
      <c r="X3345" s="9"/>
      <c r="Y3345" s="9"/>
      <c r="Z3345" s="9"/>
      <c r="AA3345" s="9"/>
      <c r="AB3345" s="9"/>
      <c r="AC3345" s="9"/>
      <c r="AD3345" s="9"/>
      <c r="AE3345" s="9"/>
      <c r="AF3345" s="9"/>
      <c r="AG3345" s="9"/>
      <c r="AH3345" s="9"/>
      <c r="AI3345" s="9"/>
      <c r="AJ3345" s="9"/>
      <c r="AK3345" s="9"/>
      <c r="AL3345" s="9"/>
      <c r="AM3345" s="9"/>
      <c r="AN3345" s="9"/>
      <c r="AO3345" s="9"/>
      <c r="AP3345" s="9"/>
      <c r="AQ3345" s="9"/>
      <c r="AR3345" s="9"/>
      <c r="AS3345" s="9"/>
      <c r="AT3345" s="9"/>
      <c r="AU3345" s="9"/>
    </row>
    <row r="3346" spans="1:47" ht="15.75" customHeight="1">
      <c r="A3346" s="9"/>
      <c r="B3346" s="9"/>
      <c r="C3346" s="9"/>
      <c r="D3346" s="9"/>
      <c r="E3346" s="9"/>
      <c r="F3346" s="67"/>
      <c r="G3346" s="9"/>
      <c r="H3346" s="9"/>
      <c r="I3346" s="9"/>
      <c r="J3346" s="9"/>
      <c r="K3346" s="9"/>
      <c r="L3346" s="9"/>
      <c r="M3346" s="9"/>
      <c r="N3346" s="9"/>
      <c r="O3346" s="9"/>
      <c r="P3346" s="9"/>
      <c r="Q3346" s="9"/>
      <c r="R3346" s="9"/>
      <c r="S3346" s="9"/>
      <c r="T3346" s="9"/>
      <c r="U3346" s="9"/>
      <c r="V3346" s="9"/>
      <c r="W3346" s="9"/>
      <c r="X3346" s="9"/>
      <c r="Y3346" s="9"/>
      <c r="Z3346" s="9"/>
      <c r="AA3346" s="9"/>
      <c r="AB3346" s="9"/>
      <c r="AC3346" s="9"/>
      <c r="AD3346" s="9"/>
      <c r="AE3346" s="9"/>
      <c r="AF3346" s="9"/>
      <c r="AG3346" s="9"/>
      <c r="AH3346" s="9"/>
      <c r="AI3346" s="9"/>
      <c r="AJ3346" s="9"/>
      <c r="AK3346" s="9"/>
      <c r="AL3346" s="9"/>
      <c r="AM3346" s="9"/>
      <c r="AN3346" s="9"/>
      <c r="AO3346" s="9"/>
      <c r="AP3346" s="9"/>
      <c r="AQ3346" s="9"/>
      <c r="AR3346" s="9"/>
      <c r="AS3346" s="9"/>
      <c r="AT3346" s="9"/>
      <c r="AU3346" s="9"/>
    </row>
    <row r="3347" spans="1:47" ht="15.75" customHeight="1">
      <c r="A3347" s="9"/>
      <c r="B3347" s="9"/>
      <c r="C3347" s="9"/>
      <c r="D3347" s="9"/>
      <c r="E3347" s="9"/>
      <c r="F3347" s="67"/>
      <c r="G3347" s="9"/>
      <c r="H3347" s="9"/>
      <c r="I3347" s="9"/>
      <c r="J3347" s="9"/>
      <c r="K3347" s="9"/>
      <c r="L3347" s="9"/>
      <c r="M3347" s="9"/>
      <c r="N3347" s="9"/>
      <c r="O3347" s="9"/>
      <c r="P3347" s="9"/>
      <c r="Q3347" s="9"/>
      <c r="R3347" s="9"/>
      <c r="S3347" s="9"/>
      <c r="T3347" s="9"/>
      <c r="U3347" s="9"/>
      <c r="V3347" s="9"/>
      <c r="W3347" s="9"/>
      <c r="X3347" s="9"/>
      <c r="Y3347" s="9"/>
      <c r="Z3347" s="9"/>
      <c r="AA3347" s="9"/>
      <c r="AB3347" s="9"/>
      <c r="AC3347" s="9"/>
      <c r="AD3347" s="9"/>
      <c r="AE3347" s="9"/>
      <c r="AF3347" s="9"/>
      <c r="AG3347" s="9"/>
      <c r="AH3347" s="9"/>
      <c r="AI3347" s="9"/>
      <c r="AJ3347" s="9"/>
      <c r="AK3347" s="9"/>
      <c r="AL3347" s="9"/>
      <c r="AM3347" s="9"/>
      <c r="AN3347" s="9"/>
      <c r="AO3347" s="9"/>
      <c r="AP3347" s="9"/>
      <c r="AQ3347" s="9"/>
      <c r="AR3347" s="9"/>
      <c r="AS3347" s="9"/>
      <c r="AT3347" s="9"/>
      <c r="AU3347" s="9"/>
    </row>
    <row r="3348" spans="1:47" ht="15.75" customHeight="1">
      <c r="A3348" s="9"/>
      <c r="B3348" s="9"/>
      <c r="C3348" s="9"/>
      <c r="D3348" s="9"/>
      <c r="E3348" s="9"/>
      <c r="F3348" s="67"/>
      <c r="G3348" s="9"/>
      <c r="H3348" s="9"/>
      <c r="I3348" s="9"/>
      <c r="J3348" s="9"/>
      <c r="K3348" s="9"/>
      <c r="L3348" s="9"/>
      <c r="M3348" s="9"/>
      <c r="N3348" s="9"/>
      <c r="O3348" s="9"/>
      <c r="P3348" s="9"/>
      <c r="Q3348" s="9"/>
      <c r="R3348" s="9"/>
      <c r="S3348" s="9"/>
      <c r="T3348" s="9"/>
      <c r="U3348" s="9"/>
      <c r="V3348" s="9"/>
      <c r="W3348" s="9"/>
      <c r="X3348" s="9"/>
      <c r="Y3348" s="9"/>
      <c r="Z3348" s="9"/>
      <c r="AA3348" s="9"/>
      <c r="AB3348" s="9"/>
      <c r="AC3348" s="9"/>
      <c r="AD3348" s="9"/>
      <c r="AE3348" s="9"/>
      <c r="AF3348" s="9"/>
      <c r="AG3348" s="9"/>
      <c r="AH3348" s="9"/>
      <c r="AI3348" s="9"/>
      <c r="AJ3348" s="9"/>
      <c r="AK3348" s="9"/>
      <c r="AL3348" s="9"/>
      <c r="AM3348" s="9"/>
      <c r="AN3348" s="9"/>
      <c r="AO3348" s="9"/>
      <c r="AP3348" s="9"/>
      <c r="AQ3348" s="9"/>
      <c r="AR3348" s="9"/>
      <c r="AS3348" s="9"/>
      <c r="AT3348" s="9"/>
      <c r="AU3348" s="9"/>
    </row>
    <row r="3349" spans="1:47" ht="15.75" customHeight="1">
      <c r="A3349" s="9"/>
      <c r="B3349" s="9"/>
      <c r="C3349" s="9"/>
      <c r="D3349" s="9"/>
      <c r="E3349" s="9"/>
      <c r="F3349" s="67"/>
      <c r="G3349" s="9"/>
      <c r="H3349" s="9"/>
      <c r="I3349" s="9"/>
      <c r="J3349" s="9"/>
      <c r="K3349" s="9"/>
      <c r="L3349" s="9"/>
      <c r="M3349" s="9"/>
      <c r="N3349" s="9"/>
      <c r="O3349" s="9"/>
      <c r="P3349" s="9"/>
      <c r="Q3349" s="9"/>
      <c r="R3349" s="9"/>
      <c r="S3349" s="9"/>
      <c r="T3349" s="9"/>
      <c r="U3349" s="9"/>
      <c r="V3349" s="9"/>
      <c r="W3349" s="9"/>
      <c r="X3349" s="9"/>
      <c r="Y3349" s="9"/>
      <c r="Z3349" s="9"/>
      <c r="AA3349" s="9"/>
      <c r="AB3349" s="9"/>
      <c r="AC3349" s="9"/>
      <c r="AD3349" s="9"/>
      <c r="AE3349" s="9"/>
      <c r="AF3349" s="9"/>
      <c r="AG3349" s="9"/>
      <c r="AH3349" s="9"/>
      <c r="AI3349" s="9"/>
      <c r="AJ3349" s="9"/>
      <c r="AK3349" s="9"/>
      <c r="AL3349" s="9"/>
      <c r="AM3349" s="9"/>
      <c r="AN3349" s="9"/>
      <c r="AO3349" s="9"/>
      <c r="AP3349" s="9"/>
      <c r="AQ3349" s="9"/>
      <c r="AR3349" s="9"/>
      <c r="AS3349" s="9"/>
      <c r="AT3349" s="9"/>
      <c r="AU3349" s="9"/>
    </row>
    <row r="3350" spans="1:47" ht="15.75" customHeight="1">
      <c r="A3350" s="9"/>
      <c r="B3350" s="9"/>
      <c r="C3350" s="9"/>
      <c r="D3350" s="9"/>
      <c r="E3350" s="9"/>
      <c r="F3350" s="67"/>
      <c r="G3350" s="9"/>
      <c r="H3350" s="9"/>
      <c r="I3350" s="9"/>
      <c r="J3350" s="9"/>
      <c r="K3350" s="9"/>
      <c r="L3350" s="9"/>
      <c r="M3350" s="9"/>
      <c r="N3350" s="9"/>
      <c r="O3350" s="9"/>
      <c r="P3350" s="9"/>
      <c r="Q3350" s="9"/>
      <c r="R3350" s="9"/>
      <c r="S3350" s="9"/>
      <c r="T3350" s="9"/>
      <c r="U3350" s="9"/>
      <c r="V3350" s="9"/>
      <c r="W3350" s="9"/>
      <c r="X3350" s="9"/>
      <c r="Y3350" s="9"/>
      <c r="Z3350" s="9"/>
      <c r="AA3350" s="9"/>
      <c r="AB3350" s="9"/>
      <c r="AC3350" s="9"/>
      <c r="AD3350" s="9"/>
      <c r="AE3350" s="9"/>
      <c r="AF3350" s="9"/>
      <c r="AG3350" s="9"/>
      <c r="AH3350" s="9"/>
      <c r="AI3350" s="9"/>
      <c r="AJ3350" s="9"/>
      <c r="AK3350" s="9"/>
      <c r="AL3350" s="9"/>
      <c r="AM3350" s="9"/>
      <c r="AN3350" s="9"/>
      <c r="AO3350" s="9"/>
      <c r="AP3350" s="9"/>
      <c r="AQ3350" s="9"/>
      <c r="AR3350" s="9"/>
      <c r="AS3350" s="9"/>
      <c r="AT3350" s="9"/>
      <c r="AU3350" s="9"/>
    </row>
    <row r="3351" spans="1:47" ht="15.75" customHeight="1">
      <c r="A3351" s="9"/>
      <c r="B3351" s="9"/>
      <c r="C3351" s="9"/>
      <c r="D3351" s="9"/>
      <c r="E3351" s="9"/>
      <c r="F3351" s="67"/>
      <c r="G3351" s="9"/>
      <c r="H3351" s="9"/>
      <c r="I3351" s="9"/>
      <c r="J3351" s="9"/>
      <c r="K3351" s="9"/>
      <c r="L3351" s="9"/>
      <c r="M3351" s="9"/>
      <c r="N3351" s="9"/>
      <c r="O3351" s="9"/>
      <c r="P3351" s="9"/>
      <c r="Q3351" s="9"/>
      <c r="R3351" s="9"/>
      <c r="S3351" s="9"/>
      <c r="T3351" s="9"/>
      <c r="U3351" s="9"/>
      <c r="V3351" s="9"/>
      <c r="W3351" s="9"/>
      <c r="X3351" s="9"/>
      <c r="Y3351" s="9"/>
      <c r="Z3351" s="9"/>
      <c r="AA3351" s="9"/>
      <c r="AB3351" s="9"/>
      <c r="AC3351" s="9"/>
      <c r="AD3351" s="9"/>
      <c r="AE3351" s="9"/>
      <c r="AF3351" s="9"/>
      <c r="AG3351" s="9"/>
      <c r="AH3351" s="9"/>
      <c r="AI3351" s="9"/>
      <c r="AJ3351" s="9"/>
      <c r="AK3351" s="9"/>
      <c r="AL3351" s="9"/>
      <c r="AM3351" s="9"/>
      <c r="AN3351" s="9"/>
      <c r="AO3351" s="9"/>
      <c r="AP3351" s="9"/>
      <c r="AQ3351" s="9"/>
      <c r="AR3351" s="9"/>
      <c r="AS3351" s="9"/>
      <c r="AT3351" s="9"/>
      <c r="AU3351" s="9"/>
    </row>
    <row r="3352" spans="1:47" ht="15.75" customHeight="1">
      <c r="A3352" s="9"/>
      <c r="B3352" s="9"/>
      <c r="C3352" s="9"/>
      <c r="D3352" s="9"/>
      <c r="E3352" s="9"/>
      <c r="F3352" s="67"/>
      <c r="G3352" s="9"/>
      <c r="H3352" s="9"/>
      <c r="I3352" s="9"/>
      <c r="J3352" s="9"/>
      <c r="K3352" s="9"/>
      <c r="L3352" s="9"/>
      <c r="M3352" s="9"/>
      <c r="N3352" s="9"/>
      <c r="O3352" s="9"/>
      <c r="P3352" s="9"/>
      <c r="Q3352" s="9"/>
      <c r="R3352" s="9"/>
      <c r="S3352" s="9"/>
      <c r="T3352" s="9"/>
      <c r="U3352" s="9"/>
      <c r="V3352" s="9"/>
      <c r="W3352" s="9"/>
      <c r="X3352" s="9"/>
      <c r="Y3352" s="9"/>
      <c r="Z3352" s="9"/>
      <c r="AA3352" s="9"/>
      <c r="AB3352" s="9"/>
      <c r="AC3352" s="9"/>
      <c r="AD3352" s="9"/>
      <c r="AE3352" s="9"/>
      <c r="AF3352" s="9"/>
      <c r="AG3352" s="9"/>
      <c r="AH3352" s="9"/>
      <c r="AI3352" s="9"/>
      <c r="AJ3352" s="9"/>
      <c r="AK3352" s="9"/>
      <c r="AL3352" s="9"/>
      <c r="AM3352" s="9"/>
      <c r="AN3352" s="9"/>
      <c r="AO3352" s="9"/>
      <c r="AP3352" s="9"/>
      <c r="AQ3352" s="9"/>
      <c r="AR3352" s="9"/>
      <c r="AS3352" s="9"/>
      <c r="AT3352" s="9"/>
      <c r="AU3352" s="9"/>
    </row>
    <row r="3353" spans="1:47" ht="15.75" customHeight="1">
      <c r="A3353" s="9"/>
      <c r="B3353" s="9"/>
      <c r="C3353" s="9"/>
      <c r="D3353" s="9"/>
      <c r="E3353" s="9"/>
      <c r="F3353" s="67"/>
      <c r="G3353" s="9"/>
      <c r="H3353" s="9"/>
      <c r="I3353" s="9"/>
      <c r="J3353" s="9"/>
      <c r="K3353" s="9"/>
      <c r="L3353" s="9"/>
      <c r="M3353" s="9"/>
      <c r="N3353" s="9"/>
      <c r="O3353" s="9"/>
      <c r="P3353" s="9"/>
      <c r="Q3353" s="9"/>
      <c r="R3353" s="9"/>
      <c r="S3353" s="9"/>
      <c r="T3353" s="9"/>
      <c r="U3353" s="9"/>
      <c r="V3353" s="9"/>
      <c r="W3353" s="9"/>
      <c r="X3353" s="9"/>
      <c r="Y3353" s="9"/>
      <c r="Z3353" s="9"/>
      <c r="AA3353" s="9"/>
      <c r="AB3353" s="9"/>
      <c r="AC3353" s="9"/>
      <c r="AD3353" s="9"/>
      <c r="AE3353" s="9"/>
      <c r="AF3353" s="9"/>
      <c r="AG3353" s="9"/>
      <c r="AH3353" s="9"/>
      <c r="AI3353" s="9"/>
      <c r="AJ3353" s="9"/>
      <c r="AK3353" s="9"/>
      <c r="AL3353" s="9"/>
      <c r="AM3353" s="9"/>
      <c r="AN3353" s="9"/>
      <c r="AO3353" s="9"/>
      <c r="AP3353" s="9"/>
      <c r="AQ3353" s="9"/>
      <c r="AR3353" s="9"/>
      <c r="AS3353" s="9"/>
      <c r="AT3353" s="9"/>
      <c r="AU3353" s="9"/>
    </row>
    <row r="3354" spans="1:47" ht="15.75" customHeight="1">
      <c r="A3354" s="9"/>
      <c r="B3354" s="9"/>
      <c r="C3354" s="9"/>
      <c r="D3354" s="9"/>
      <c r="E3354" s="9"/>
      <c r="F3354" s="67"/>
      <c r="G3354" s="9"/>
      <c r="H3354" s="9"/>
      <c r="I3354" s="9"/>
      <c r="J3354" s="9"/>
      <c r="K3354" s="9"/>
      <c r="L3354" s="9"/>
      <c r="M3354" s="9"/>
      <c r="N3354" s="9"/>
      <c r="O3354" s="9"/>
      <c r="P3354" s="9"/>
      <c r="Q3354" s="9"/>
      <c r="R3354" s="9"/>
      <c r="S3354" s="9"/>
      <c r="T3354" s="9"/>
      <c r="U3354" s="9"/>
      <c r="V3354" s="9"/>
      <c r="W3354" s="9"/>
      <c r="X3354" s="9"/>
      <c r="Y3354" s="9"/>
      <c r="Z3354" s="9"/>
      <c r="AA3354" s="9"/>
      <c r="AB3354" s="9"/>
      <c r="AC3354" s="9"/>
      <c r="AD3354" s="9"/>
      <c r="AE3354" s="9"/>
      <c r="AF3354" s="9"/>
      <c r="AG3354" s="9"/>
      <c r="AH3354" s="9"/>
      <c r="AI3354" s="9"/>
      <c r="AJ3354" s="9"/>
      <c r="AK3354" s="9"/>
      <c r="AL3354" s="9"/>
      <c r="AM3354" s="9"/>
      <c r="AN3354" s="9"/>
      <c r="AO3354" s="9"/>
      <c r="AP3354" s="9"/>
      <c r="AQ3354" s="9"/>
      <c r="AR3354" s="9"/>
      <c r="AS3354" s="9"/>
      <c r="AT3354" s="9"/>
      <c r="AU3354" s="9"/>
    </row>
    <row r="3355" spans="1:47" ht="15.75" customHeight="1">
      <c r="A3355" s="9"/>
      <c r="B3355" s="9"/>
      <c r="C3355" s="9"/>
      <c r="D3355" s="9"/>
      <c r="E3355" s="9"/>
      <c r="F3355" s="67"/>
      <c r="G3355" s="9"/>
      <c r="H3355" s="9"/>
      <c r="I3355" s="9"/>
      <c r="J3355" s="9"/>
      <c r="K3355" s="9"/>
      <c r="L3355" s="9"/>
      <c r="M3355" s="9"/>
      <c r="N3355" s="9"/>
      <c r="O3355" s="9"/>
      <c r="P3355" s="9"/>
      <c r="Q3355" s="9"/>
      <c r="R3355" s="9"/>
      <c r="S3355" s="9"/>
      <c r="T3355" s="9"/>
      <c r="U3355" s="9"/>
      <c r="V3355" s="9"/>
      <c r="W3355" s="9"/>
      <c r="X3355" s="9"/>
      <c r="Y3355" s="9"/>
      <c r="Z3355" s="9"/>
      <c r="AA3355" s="9"/>
      <c r="AB3355" s="9"/>
      <c r="AC3355" s="9"/>
      <c r="AD3355" s="9"/>
      <c r="AE3355" s="9"/>
      <c r="AF3355" s="9"/>
      <c r="AG3355" s="9"/>
      <c r="AH3355" s="9"/>
      <c r="AI3355" s="9"/>
      <c r="AJ3355" s="9"/>
      <c r="AK3355" s="9"/>
      <c r="AL3355" s="9"/>
      <c r="AM3355" s="9"/>
      <c r="AN3355" s="9"/>
      <c r="AO3355" s="9"/>
      <c r="AP3355" s="9"/>
      <c r="AQ3355" s="9"/>
      <c r="AR3355" s="9"/>
      <c r="AS3355" s="9"/>
      <c r="AT3355" s="9"/>
      <c r="AU3355" s="9"/>
    </row>
    <row r="3356" spans="1:47" ht="15.75" customHeight="1">
      <c r="A3356" s="9"/>
      <c r="B3356" s="9"/>
      <c r="C3356" s="9"/>
      <c r="D3356" s="9"/>
      <c r="E3356" s="9"/>
      <c r="F3356" s="67"/>
      <c r="G3356" s="9"/>
      <c r="H3356" s="9"/>
      <c r="I3356" s="9"/>
      <c r="J3356" s="9"/>
      <c r="K3356" s="9"/>
      <c r="L3356" s="9"/>
      <c r="M3356" s="9"/>
      <c r="N3356" s="9"/>
      <c r="O3356" s="9"/>
      <c r="P3356" s="9"/>
      <c r="Q3356" s="9"/>
      <c r="R3356" s="9"/>
      <c r="S3356" s="9"/>
      <c r="T3356" s="9"/>
      <c r="U3356" s="9"/>
      <c r="V3356" s="9"/>
      <c r="W3356" s="9"/>
      <c r="X3356" s="9"/>
      <c r="Y3356" s="9"/>
      <c r="Z3356" s="9"/>
      <c r="AA3356" s="9"/>
      <c r="AB3356" s="9"/>
      <c r="AC3356" s="9"/>
      <c r="AD3356" s="9"/>
      <c r="AE3356" s="9"/>
      <c r="AF3356" s="9"/>
      <c r="AG3356" s="9"/>
      <c r="AH3356" s="9"/>
      <c r="AI3356" s="9"/>
      <c r="AJ3356" s="9"/>
      <c r="AK3356" s="9"/>
      <c r="AL3356" s="9"/>
      <c r="AM3356" s="9"/>
      <c r="AN3356" s="9"/>
      <c r="AO3356" s="9"/>
      <c r="AP3356" s="9"/>
      <c r="AQ3356" s="9"/>
      <c r="AR3356" s="9"/>
      <c r="AS3356" s="9"/>
      <c r="AT3356" s="9"/>
      <c r="AU3356" s="9"/>
    </row>
    <row r="3357" spans="1:47" ht="15.75" customHeight="1">
      <c r="A3357" s="9"/>
      <c r="B3357" s="9"/>
      <c r="C3357" s="9"/>
      <c r="D3357" s="9"/>
      <c r="E3357" s="9"/>
      <c r="F3357" s="67"/>
      <c r="G3357" s="9"/>
      <c r="H3357" s="9"/>
      <c r="I3357" s="9"/>
      <c r="J3357" s="9"/>
      <c r="K3357" s="9"/>
      <c r="L3357" s="9"/>
      <c r="M3357" s="9"/>
      <c r="N3357" s="9"/>
      <c r="O3357" s="9"/>
      <c r="P3357" s="9"/>
      <c r="Q3357" s="9"/>
      <c r="R3357" s="9"/>
      <c r="S3357" s="9"/>
      <c r="T3357" s="9"/>
      <c r="U3357" s="9"/>
      <c r="V3357" s="9"/>
      <c r="W3357" s="9"/>
      <c r="X3357" s="9"/>
      <c r="Y3357" s="9"/>
      <c r="Z3357" s="9"/>
      <c r="AA3357" s="9"/>
      <c r="AB3357" s="9"/>
      <c r="AC3357" s="9"/>
      <c r="AD3357" s="9"/>
      <c r="AE3357" s="9"/>
      <c r="AF3357" s="9"/>
      <c r="AG3357" s="9"/>
      <c r="AH3357" s="9"/>
      <c r="AI3357" s="9"/>
      <c r="AJ3357" s="9"/>
      <c r="AK3357" s="9"/>
      <c r="AL3357" s="9"/>
      <c r="AM3357" s="9"/>
      <c r="AN3357" s="9"/>
      <c r="AO3357" s="9"/>
      <c r="AP3357" s="9"/>
      <c r="AQ3357" s="9"/>
      <c r="AR3357" s="9"/>
      <c r="AS3357" s="9"/>
      <c r="AT3357" s="9"/>
      <c r="AU3357" s="9"/>
    </row>
    <row r="3358" spans="1:47" ht="15.75" customHeight="1">
      <c r="A3358" s="9"/>
      <c r="B3358" s="9"/>
      <c r="C3358" s="9"/>
      <c r="D3358" s="9"/>
      <c r="E3358" s="9"/>
      <c r="F3358" s="67"/>
      <c r="G3358" s="9"/>
      <c r="H3358" s="9"/>
      <c r="I3358" s="9"/>
      <c r="J3358" s="9"/>
      <c r="K3358" s="9"/>
      <c r="L3358" s="9"/>
      <c r="M3358" s="9"/>
      <c r="N3358" s="9"/>
      <c r="O3358" s="9"/>
      <c r="P3358" s="9"/>
      <c r="Q3358" s="9"/>
      <c r="R3358" s="9"/>
      <c r="S3358" s="9"/>
      <c r="T3358" s="9"/>
      <c r="U3358" s="9"/>
      <c r="V3358" s="9"/>
      <c r="W3358" s="9"/>
      <c r="X3358" s="9"/>
      <c r="Y3358" s="9"/>
      <c r="Z3358" s="9"/>
      <c r="AA3358" s="9"/>
      <c r="AB3358" s="9"/>
      <c r="AC3358" s="9"/>
      <c r="AD3358" s="9"/>
      <c r="AE3358" s="9"/>
      <c r="AF3358" s="9"/>
      <c r="AG3358" s="9"/>
      <c r="AH3358" s="9"/>
      <c r="AI3358" s="9"/>
      <c r="AJ3358" s="9"/>
      <c r="AK3358" s="9"/>
      <c r="AL3358" s="9"/>
      <c r="AM3358" s="9"/>
      <c r="AN3358" s="9"/>
      <c r="AO3358" s="9"/>
      <c r="AP3358" s="9"/>
      <c r="AQ3358" s="9"/>
      <c r="AR3358" s="9"/>
      <c r="AS3358" s="9"/>
      <c r="AT3358" s="9"/>
      <c r="AU3358" s="9"/>
    </row>
    <row r="3359" spans="1:47" ht="15.75" customHeight="1">
      <c r="A3359" s="9"/>
      <c r="B3359" s="9"/>
      <c r="C3359" s="9"/>
      <c r="D3359" s="9"/>
      <c r="E3359" s="9"/>
      <c r="F3359" s="67"/>
      <c r="G3359" s="9"/>
      <c r="H3359" s="9"/>
      <c r="I3359" s="9"/>
      <c r="J3359" s="9"/>
      <c r="K3359" s="9"/>
      <c r="L3359" s="9"/>
      <c r="M3359" s="9"/>
      <c r="N3359" s="9"/>
      <c r="O3359" s="9"/>
      <c r="P3359" s="9"/>
      <c r="Q3359" s="9"/>
      <c r="R3359" s="9"/>
      <c r="S3359" s="9"/>
      <c r="T3359" s="9"/>
      <c r="U3359" s="9"/>
      <c r="V3359" s="9"/>
      <c r="W3359" s="9"/>
      <c r="X3359" s="9"/>
      <c r="Y3359" s="9"/>
      <c r="Z3359" s="9"/>
      <c r="AA3359" s="9"/>
      <c r="AB3359" s="9"/>
      <c r="AC3359" s="9"/>
      <c r="AD3359" s="9"/>
      <c r="AE3359" s="9"/>
      <c r="AF3359" s="9"/>
      <c r="AG3359" s="9"/>
      <c r="AH3359" s="9"/>
      <c r="AI3359" s="9"/>
      <c r="AJ3359" s="9"/>
      <c r="AK3359" s="9"/>
      <c r="AL3359" s="9"/>
      <c r="AM3359" s="9"/>
      <c r="AN3359" s="9"/>
      <c r="AO3359" s="9"/>
      <c r="AP3359" s="9"/>
      <c r="AQ3359" s="9"/>
      <c r="AR3359" s="9"/>
      <c r="AS3359" s="9"/>
      <c r="AT3359" s="9"/>
      <c r="AU3359" s="9"/>
    </row>
    <row r="3360" spans="1:47" ht="15.75" customHeight="1">
      <c r="A3360" s="9"/>
      <c r="B3360" s="9"/>
      <c r="C3360" s="9"/>
      <c r="D3360" s="9"/>
      <c r="E3360" s="9"/>
      <c r="F3360" s="67"/>
      <c r="G3360" s="9"/>
      <c r="H3360" s="9"/>
      <c r="I3360" s="9"/>
      <c r="J3360" s="9"/>
      <c r="K3360" s="9"/>
      <c r="L3360" s="9"/>
      <c r="M3360" s="9"/>
      <c r="N3360" s="9"/>
      <c r="O3360" s="9"/>
      <c r="P3360" s="9"/>
      <c r="Q3360" s="9"/>
      <c r="R3360" s="9"/>
      <c r="S3360" s="9"/>
      <c r="T3360" s="9"/>
      <c r="U3360" s="9"/>
      <c r="V3360" s="9"/>
      <c r="W3360" s="9"/>
      <c r="X3360" s="9"/>
      <c r="Y3360" s="9"/>
      <c r="Z3360" s="9"/>
      <c r="AA3360" s="9"/>
      <c r="AB3360" s="9"/>
      <c r="AC3360" s="9"/>
      <c r="AD3360" s="9"/>
      <c r="AE3360" s="9"/>
      <c r="AF3360" s="9"/>
      <c r="AG3360" s="9"/>
      <c r="AH3360" s="9"/>
      <c r="AI3360" s="9"/>
      <c r="AJ3360" s="9"/>
      <c r="AK3360" s="9"/>
      <c r="AL3360" s="9"/>
      <c r="AM3360" s="9"/>
      <c r="AN3360" s="9"/>
      <c r="AO3360" s="9"/>
      <c r="AP3360" s="9"/>
      <c r="AQ3360" s="9"/>
      <c r="AR3360" s="9"/>
      <c r="AS3360" s="9"/>
      <c r="AT3360" s="9"/>
      <c r="AU3360" s="9"/>
    </row>
    <row r="3361" spans="1:47" ht="15.75" customHeight="1">
      <c r="A3361" s="9"/>
      <c r="B3361" s="9"/>
      <c r="C3361" s="9"/>
      <c r="D3361" s="9"/>
      <c r="E3361" s="9"/>
      <c r="F3361" s="67"/>
      <c r="G3361" s="9"/>
      <c r="H3361" s="9"/>
      <c r="I3361" s="9"/>
      <c r="J3361" s="9"/>
      <c r="K3361" s="9"/>
      <c r="L3361" s="9"/>
      <c r="M3361" s="9"/>
      <c r="N3361" s="9"/>
      <c r="O3361" s="9"/>
      <c r="P3361" s="9"/>
      <c r="Q3361" s="9"/>
      <c r="R3361" s="9"/>
      <c r="S3361" s="9"/>
      <c r="T3361" s="9"/>
      <c r="U3361" s="9"/>
      <c r="V3361" s="9"/>
      <c r="W3361" s="9"/>
      <c r="X3361" s="9"/>
      <c r="Y3361" s="9"/>
      <c r="Z3361" s="9"/>
      <c r="AA3361" s="9"/>
      <c r="AB3361" s="9"/>
      <c r="AC3361" s="9"/>
      <c r="AD3361" s="9"/>
      <c r="AE3361" s="9"/>
      <c r="AF3361" s="9"/>
      <c r="AG3361" s="9"/>
      <c r="AH3361" s="9"/>
      <c r="AI3361" s="9"/>
      <c r="AJ3361" s="9"/>
      <c r="AK3361" s="9"/>
      <c r="AL3361" s="9"/>
      <c r="AM3361" s="9"/>
      <c r="AN3361" s="9"/>
      <c r="AO3361" s="9"/>
      <c r="AP3361" s="9"/>
      <c r="AQ3361" s="9"/>
      <c r="AR3361" s="9"/>
      <c r="AS3361" s="9"/>
      <c r="AT3361" s="9"/>
      <c r="AU3361" s="9"/>
    </row>
    <row r="3362" spans="1:47" ht="15.75" customHeight="1">
      <c r="A3362" s="9"/>
      <c r="B3362" s="9"/>
      <c r="C3362" s="9"/>
      <c r="D3362" s="9"/>
      <c r="E3362" s="9"/>
      <c r="F3362" s="67"/>
      <c r="G3362" s="9"/>
      <c r="H3362" s="9"/>
      <c r="I3362" s="9"/>
      <c r="J3362" s="9"/>
      <c r="K3362" s="9"/>
      <c r="L3362" s="9"/>
      <c r="M3362" s="9"/>
      <c r="N3362" s="9"/>
      <c r="O3362" s="9"/>
      <c r="P3362" s="9"/>
      <c r="Q3362" s="9"/>
      <c r="R3362" s="9"/>
      <c r="S3362" s="9"/>
      <c r="T3362" s="9"/>
      <c r="U3362" s="9"/>
      <c r="V3362" s="9"/>
      <c r="W3362" s="9"/>
      <c r="X3362" s="9"/>
      <c r="Y3362" s="9"/>
      <c r="Z3362" s="9"/>
      <c r="AA3362" s="9"/>
      <c r="AB3362" s="9"/>
      <c r="AC3362" s="9"/>
      <c r="AD3362" s="9"/>
      <c r="AE3362" s="9"/>
      <c r="AF3362" s="9"/>
      <c r="AG3362" s="9"/>
      <c r="AH3362" s="9"/>
      <c r="AI3362" s="9"/>
      <c r="AJ3362" s="9"/>
      <c r="AK3362" s="9"/>
      <c r="AL3362" s="9"/>
      <c r="AM3362" s="9"/>
      <c r="AN3362" s="9"/>
      <c r="AO3362" s="9"/>
      <c r="AP3362" s="9"/>
      <c r="AQ3362" s="9"/>
      <c r="AR3362" s="9"/>
      <c r="AS3362" s="9"/>
      <c r="AT3362" s="9"/>
      <c r="AU3362" s="9"/>
    </row>
    <row r="3363" spans="1:47" ht="15.75" customHeight="1">
      <c r="A3363" s="9"/>
      <c r="B3363" s="9"/>
      <c r="C3363" s="9"/>
      <c r="D3363" s="9"/>
      <c r="E3363" s="9"/>
      <c r="F3363" s="67"/>
      <c r="G3363" s="9"/>
      <c r="H3363" s="9"/>
      <c r="I3363" s="9"/>
      <c r="J3363" s="9"/>
      <c r="K3363" s="9"/>
      <c r="L3363" s="9"/>
      <c r="M3363" s="9"/>
      <c r="N3363" s="9"/>
      <c r="O3363" s="9"/>
      <c r="P3363" s="9"/>
      <c r="Q3363" s="9"/>
      <c r="R3363" s="9"/>
      <c r="S3363" s="9"/>
      <c r="T3363" s="9"/>
      <c r="U3363" s="9"/>
      <c r="V3363" s="9"/>
      <c r="W3363" s="9"/>
      <c r="X3363" s="9"/>
      <c r="Y3363" s="9"/>
      <c r="Z3363" s="9"/>
      <c r="AA3363" s="9"/>
      <c r="AB3363" s="9"/>
      <c r="AC3363" s="9"/>
      <c r="AD3363" s="9"/>
      <c r="AE3363" s="9"/>
      <c r="AF3363" s="9"/>
      <c r="AG3363" s="9"/>
      <c r="AH3363" s="9"/>
      <c r="AI3363" s="9"/>
      <c r="AJ3363" s="9"/>
      <c r="AK3363" s="9"/>
      <c r="AL3363" s="9"/>
      <c r="AM3363" s="9"/>
      <c r="AN3363" s="9"/>
      <c r="AO3363" s="9"/>
      <c r="AP3363" s="9"/>
      <c r="AQ3363" s="9"/>
      <c r="AR3363" s="9"/>
      <c r="AS3363" s="9"/>
      <c r="AT3363" s="9"/>
      <c r="AU3363" s="9"/>
    </row>
    <row r="3364" spans="1:47" ht="15.75" customHeight="1">
      <c r="A3364" s="9"/>
      <c r="B3364" s="9"/>
      <c r="C3364" s="9"/>
      <c r="D3364" s="9"/>
      <c r="E3364" s="9"/>
      <c r="F3364" s="67"/>
      <c r="G3364" s="9"/>
      <c r="H3364" s="9"/>
      <c r="I3364" s="9"/>
      <c r="J3364" s="9"/>
      <c r="K3364" s="9"/>
      <c r="L3364" s="9"/>
      <c r="M3364" s="9"/>
      <c r="N3364" s="9"/>
      <c r="O3364" s="9"/>
      <c r="P3364" s="9"/>
      <c r="Q3364" s="9"/>
      <c r="R3364" s="9"/>
      <c r="S3364" s="9"/>
      <c r="T3364" s="9"/>
      <c r="U3364" s="9"/>
      <c r="V3364" s="9"/>
      <c r="W3364" s="9"/>
      <c r="X3364" s="9"/>
      <c r="Y3364" s="9"/>
      <c r="Z3364" s="9"/>
      <c r="AA3364" s="9"/>
      <c r="AB3364" s="9"/>
      <c r="AC3364" s="9"/>
      <c r="AD3364" s="9"/>
      <c r="AE3364" s="9"/>
      <c r="AF3364" s="9"/>
      <c r="AG3364" s="9"/>
      <c r="AH3364" s="9"/>
      <c r="AI3364" s="9"/>
      <c r="AJ3364" s="9"/>
      <c r="AK3364" s="9"/>
      <c r="AL3364" s="9"/>
      <c r="AM3364" s="9"/>
      <c r="AN3364" s="9"/>
      <c r="AO3364" s="9"/>
      <c r="AP3364" s="9"/>
      <c r="AQ3364" s="9"/>
      <c r="AR3364" s="9"/>
      <c r="AS3364" s="9"/>
      <c r="AT3364" s="9"/>
      <c r="AU3364" s="9"/>
    </row>
    <row r="3365" spans="1:47" ht="15.75" customHeight="1">
      <c r="A3365" s="9"/>
      <c r="B3365" s="9"/>
      <c r="C3365" s="9"/>
      <c r="D3365" s="9"/>
      <c r="E3365" s="9"/>
      <c r="F3365" s="67"/>
      <c r="G3365" s="9"/>
      <c r="H3365" s="9"/>
      <c r="I3365" s="9"/>
      <c r="J3365" s="9"/>
      <c r="K3365" s="9"/>
      <c r="L3365" s="9"/>
      <c r="M3365" s="9"/>
      <c r="N3365" s="9"/>
      <c r="O3365" s="9"/>
      <c r="P3365" s="9"/>
      <c r="Q3365" s="9"/>
      <c r="R3365" s="9"/>
      <c r="S3365" s="9"/>
      <c r="T3365" s="9"/>
      <c r="U3365" s="9"/>
      <c r="V3365" s="9"/>
      <c r="W3365" s="9"/>
      <c r="X3365" s="9"/>
      <c r="Y3365" s="9"/>
      <c r="Z3365" s="9"/>
      <c r="AA3365" s="9"/>
      <c r="AB3365" s="9"/>
      <c r="AC3365" s="9"/>
      <c r="AD3365" s="9"/>
      <c r="AE3365" s="9"/>
      <c r="AF3365" s="9"/>
      <c r="AG3365" s="9"/>
      <c r="AH3365" s="9"/>
      <c r="AI3365" s="9"/>
      <c r="AJ3365" s="9"/>
      <c r="AK3365" s="9"/>
      <c r="AL3365" s="9"/>
      <c r="AM3365" s="9"/>
      <c r="AN3365" s="9"/>
      <c r="AO3365" s="9"/>
      <c r="AP3365" s="9"/>
      <c r="AQ3365" s="9"/>
      <c r="AR3365" s="9"/>
      <c r="AS3365" s="9"/>
      <c r="AT3365" s="9"/>
      <c r="AU3365" s="9"/>
    </row>
    <row r="3366" spans="1:47" ht="15.75" customHeight="1">
      <c r="A3366" s="9"/>
      <c r="B3366" s="9"/>
      <c r="C3366" s="9"/>
      <c r="D3366" s="9"/>
      <c r="E3366" s="9"/>
      <c r="F3366" s="67"/>
      <c r="G3366" s="9"/>
      <c r="H3366" s="9"/>
      <c r="I3366" s="9"/>
      <c r="J3366" s="9"/>
      <c r="K3366" s="9"/>
      <c r="L3366" s="9"/>
      <c r="M3366" s="9"/>
      <c r="N3366" s="9"/>
      <c r="O3366" s="9"/>
      <c r="P3366" s="9"/>
      <c r="Q3366" s="9"/>
      <c r="R3366" s="9"/>
      <c r="S3366" s="9"/>
      <c r="T3366" s="9"/>
      <c r="U3366" s="9"/>
      <c r="V3366" s="9"/>
      <c r="W3366" s="9"/>
      <c r="X3366" s="9"/>
      <c r="Y3366" s="9"/>
      <c r="Z3366" s="9"/>
      <c r="AA3366" s="9"/>
      <c r="AB3366" s="9"/>
      <c r="AC3366" s="9"/>
      <c r="AD3366" s="9"/>
      <c r="AE3366" s="9"/>
      <c r="AF3366" s="9"/>
      <c r="AG3366" s="9"/>
      <c r="AH3366" s="9"/>
      <c r="AI3366" s="9"/>
      <c r="AJ3366" s="9"/>
      <c r="AK3366" s="9"/>
      <c r="AL3366" s="9"/>
      <c r="AM3366" s="9"/>
      <c r="AN3366" s="9"/>
      <c r="AO3366" s="9"/>
      <c r="AP3366" s="9"/>
      <c r="AQ3366" s="9"/>
      <c r="AR3366" s="9"/>
      <c r="AS3366" s="9"/>
      <c r="AT3366" s="9"/>
      <c r="AU3366" s="9"/>
    </row>
    <row r="3367" spans="1:47" ht="15.75" customHeight="1">
      <c r="A3367" s="9"/>
      <c r="B3367" s="9"/>
      <c r="C3367" s="9"/>
      <c r="D3367" s="9"/>
      <c r="E3367" s="9"/>
      <c r="F3367" s="67"/>
      <c r="G3367" s="9"/>
      <c r="H3367" s="9"/>
      <c r="I3367" s="9"/>
      <c r="J3367" s="9"/>
      <c r="K3367" s="9"/>
      <c r="L3367" s="9"/>
      <c r="M3367" s="9"/>
      <c r="N3367" s="9"/>
      <c r="O3367" s="9"/>
      <c r="P3367" s="9"/>
      <c r="Q3367" s="9"/>
      <c r="R3367" s="9"/>
      <c r="S3367" s="9"/>
      <c r="T3367" s="9"/>
      <c r="U3367" s="9"/>
      <c r="V3367" s="9"/>
      <c r="W3367" s="9"/>
      <c r="X3367" s="9"/>
      <c r="Y3367" s="9"/>
      <c r="Z3367" s="9"/>
      <c r="AA3367" s="9"/>
      <c r="AB3367" s="9"/>
      <c r="AC3367" s="9"/>
      <c r="AD3367" s="9"/>
      <c r="AE3367" s="9"/>
      <c r="AF3367" s="9"/>
      <c r="AG3367" s="9"/>
      <c r="AH3367" s="9"/>
      <c r="AI3367" s="9"/>
      <c r="AJ3367" s="9"/>
      <c r="AK3367" s="9"/>
      <c r="AL3367" s="9"/>
      <c r="AM3367" s="9"/>
      <c r="AN3367" s="9"/>
      <c r="AO3367" s="9"/>
      <c r="AP3367" s="9"/>
      <c r="AQ3367" s="9"/>
      <c r="AR3367" s="9"/>
      <c r="AS3367" s="9"/>
      <c r="AT3367" s="9"/>
      <c r="AU3367" s="9"/>
    </row>
    <row r="3368" spans="1:47" ht="15.75" customHeight="1">
      <c r="A3368" s="9"/>
      <c r="B3368" s="9"/>
      <c r="C3368" s="9"/>
      <c r="D3368" s="9"/>
      <c r="E3368" s="9"/>
      <c r="F3368" s="67"/>
      <c r="G3368" s="9"/>
      <c r="H3368" s="9"/>
      <c r="I3368" s="9"/>
      <c r="J3368" s="9"/>
      <c r="K3368" s="9"/>
      <c r="L3368" s="9"/>
      <c r="M3368" s="9"/>
      <c r="N3368" s="9"/>
      <c r="O3368" s="9"/>
      <c r="P3368" s="9"/>
      <c r="Q3368" s="9"/>
      <c r="R3368" s="9"/>
      <c r="S3368" s="9"/>
      <c r="T3368" s="9"/>
      <c r="U3368" s="9"/>
      <c r="V3368" s="9"/>
      <c r="W3368" s="9"/>
      <c r="X3368" s="9"/>
      <c r="Y3368" s="9"/>
      <c r="Z3368" s="9"/>
      <c r="AA3368" s="9"/>
      <c r="AB3368" s="9"/>
      <c r="AC3368" s="9"/>
      <c r="AD3368" s="9"/>
      <c r="AE3368" s="9"/>
      <c r="AF3368" s="9"/>
      <c r="AG3368" s="9"/>
      <c r="AH3368" s="9"/>
      <c r="AI3368" s="9"/>
      <c r="AJ3368" s="9"/>
      <c r="AK3368" s="9"/>
      <c r="AL3368" s="9"/>
      <c r="AM3368" s="9"/>
      <c r="AN3368" s="9"/>
      <c r="AO3368" s="9"/>
      <c r="AP3368" s="9"/>
      <c r="AQ3368" s="9"/>
      <c r="AR3368" s="9"/>
      <c r="AS3368" s="9"/>
      <c r="AT3368" s="9"/>
      <c r="AU3368" s="9"/>
    </row>
    <row r="3369" spans="1:47" ht="15.75" customHeight="1">
      <c r="A3369" s="9"/>
      <c r="B3369" s="9"/>
      <c r="C3369" s="9"/>
      <c r="D3369" s="9"/>
      <c r="E3369" s="9"/>
      <c r="F3369" s="67"/>
      <c r="G3369" s="9"/>
      <c r="H3369" s="9"/>
      <c r="I3369" s="9"/>
      <c r="J3369" s="9"/>
      <c r="K3369" s="9"/>
      <c r="L3369" s="9"/>
      <c r="M3369" s="9"/>
      <c r="N3369" s="9"/>
      <c r="O3369" s="9"/>
      <c r="P3369" s="9"/>
      <c r="Q3369" s="9"/>
      <c r="R3369" s="9"/>
      <c r="S3369" s="9"/>
      <c r="T3369" s="9"/>
      <c r="U3369" s="9"/>
      <c r="V3369" s="9"/>
      <c r="W3369" s="9"/>
      <c r="X3369" s="9"/>
      <c r="Y3369" s="9"/>
      <c r="Z3369" s="9"/>
      <c r="AA3369" s="9"/>
      <c r="AB3369" s="9"/>
      <c r="AC3369" s="9"/>
      <c r="AD3369" s="9"/>
      <c r="AE3369" s="9"/>
      <c r="AF3369" s="9"/>
      <c r="AG3369" s="9"/>
      <c r="AH3369" s="9"/>
      <c r="AI3369" s="9"/>
      <c r="AJ3369" s="9"/>
      <c r="AK3369" s="9"/>
      <c r="AL3369" s="9"/>
      <c r="AM3369" s="9"/>
      <c r="AN3369" s="9"/>
      <c r="AO3369" s="9"/>
      <c r="AP3369" s="9"/>
      <c r="AQ3369" s="9"/>
      <c r="AR3369" s="9"/>
      <c r="AS3369" s="9"/>
      <c r="AT3369" s="9"/>
      <c r="AU3369" s="9"/>
    </row>
    <row r="3370" spans="1:47" ht="15.75" customHeight="1">
      <c r="A3370" s="9"/>
      <c r="B3370" s="9"/>
      <c r="C3370" s="9"/>
      <c r="D3370" s="9"/>
      <c r="E3370" s="9"/>
      <c r="F3370" s="67"/>
      <c r="G3370" s="9"/>
      <c r="H3370" s="9"/>
      <c r="I3370" s="9"/>
      <c r="J3370" s="9"/>
      <c r="K3370" s="9"/>
      <c r="L3370" s="9"/>
      <c r="M3370" s="9"/>
      <c r="N3370" s="9"/>
      <c r="O3370" s="9"/>
      <c r="P3370" s="9"/>
      <c r="Q3370" s="9"/>
      <c r="R3370" s="9"/>
      <c r="S3370" s="9"/>
      <c r="T3370" s="9"/>
      <c r="U3370" s="9"/>
      <c r="V3370" s="9"/>
      <c r="W3370" s="9"/>
      <c r="X3370" s="9"/>
      <c r="Y3370" s="9"/>
      <c r="Z3370" s="9"/>
      <c r="AA3370" s="9"/>
      <c r="AB3370" s="9"/>
      <c r="AC3370" s="9"/>
      <c r="AD3370" s="9"/>
      <c r="AE3370" s="9"/>
      <c r="AF3370" s="9"/>
      <c r="AG3370" s="9"/>
      <c r="AH3370" s="9"/>
      <c r="AI3370" s="9"/>
      <c r="AJ3370" s="9"/>
      <c r="AK3370" s="9"/>
      <c r="AL3370" s="9"/>
      <c r="AM3370" s="9"/>
      <c r="AN3370" s="9"/>
      <c r="AO3370" s="9"/>
      <c r="AP3370" s="9"/>
      <c r="AQ3370" s="9"/>
      <c r="AR3370" s="9"/>
      <c r="AS3370" s="9"/>
      <c r="AT3370" s="9"/>
      <c r="AU3370" s="9"/>
    </row>
    <row r="3371" spans="1:47" ht="15.75" customHeight="1">
      <c r="A3371" s="9"/>
      <c r="B3371" s="9"/>
      <c r="C3371" s="9"/>
      <c r="D3371" s="9"/>
      <c r="E3371" s="9"/>
      <c r="F3371" s="67"/>
      <c r="G3371" s="9"/>
      <c r="H3371" s="9"/>
      <c r="I3371" s="9"/>
      <c r="J3371" s="9"/>
      <c r="K3371" s="9"/>
      <c r="L3371" s="9"/>
      <c r="M3371" s="9"/>
      <c r="N3371" s="9"/>
      <c r="O3371" s="9"/>
      <c r="P3371" s="9"/>
      <c r="Q3371" s="9"/>
      <c r="R3371" s="9"/>
      <c r="S3371" s="9"/>
      <c r="T3371" s="9"/>
      <c r="U3371" s="9"/>
      <c r="V3371" s="9"/>
      <c r="W3371" s="9"/>
      <c r="X3371" s="9"/>
      <c r="Y3371" s="9"/>
      <c r="Z3371" s="9"/>
      <c r="AA3371" s="9"/>
      <c r="AB3371" s="9"/>
      <c r="AC3371" s="9"/>
      <c r="AD3371" s="9"/>
      <c r="AE3371" s="9"/>
      <c r="AF3371" s="9"/>
      <c r="AG3371" s="9"/>
      <c r="AH3371" s="9"/>
      <c r="AI3371" s="9"/>
      <c r="AJ3371" s="9"/>
      <c r="AK3371" s="9"/>
      <c r="AL3371" s="9"/>
      <c r="AM3371" s="9"/>
      <c r="AN3371" s="9"/>
      <c r="AO3371" s="9"/>
      <c r="AP3371" s="9"/>
      <c r="AQ3371" s="9"/>
      <c r="AR3371" s="9"/>
      <c r="AS3371" s="9"/>
      <c r="AT3371" s="9"/>
      <c r="AU3371" s="9"/>
    </row>
    <row r="3372" spans="1:47" ht="15.75" customHeight="1">
      <c r="A3372" s="9"/>
      <c r="B3372" s="9"/>
      <c r="C3372" s="9"/>
      <c r="D3372" s="9"/>
      <c r="E3372" s="9"/>
      <c r="F3372" s="67"/>
      <c r="G3372" s="9"/>
      <c r="H3372" s="9"/>
      <c r="I3372" s="9"/>
      <c r="J3372" s="9"/>
      <c r="K3372" s="9"/>
      <c r="L3372" s="9"/>
      <c r="M3372" s="9"/>
      <c r="N3372" s="9"/>
      <c r="O3372" s="9"/>
      <c r="P3372" s="9"/>
      <c r="Q3372" s="9"/>
      <c r="R3372" s="9"/>
      <c r="S3372" s="9"/>
      <c r="T3372" s="9"/>
      <c r="U3372" s="9"/>
      <c r="V3372" s="9"/>
      <c r="W3372" s="9"/>
      <c r="X3372" s="9"/>
      <c r="Y3372" s="9"/>
      <c r="Z3372" s="9"/>
      <c r="AA3372" s="9"/>
      <c r="AB3372" s="9"/>
      <c r="AC3372" s="9"/>
      <c r="AD3372" s="9"/>
      <c r="AE3372" s="9"/>
      <c r="AF3372" s="9"/>
      <c r="AG3372" s="9"/>
      <c r="AH3372" s="9"/>
      <c r="AI3372" s="9"/>
      <c r="AJ3372" s="9"/>
      <c r="AK3372" s="9"/>
      <c r="AL3372" s="9"/>
      <c r="AM3372" s="9"/>
      <c r="AN3372" s="9"/>
      <c r="AO3372" s="9"/>
      <c r="AP3372" s="9"/>
      <c r="AQ3372" s="9"/>
      <c r="AR3372" s="9"/>
      <c r="AS3372" s="9"/>
      <c r="AT3372" s="9"/>
      <c r="AU3372" s="9"/>
    </row>
    <row r="3373" spans="1:47" ht="15.75" customHeight="1">
      <c r="A3373" s="9"/>
      <c r="B3373" s="9"/>
      <c r="C3373" s="9"/>
      <c r="D3373" s="9"/>
      <c r="E3373" s="9"/>
      <c r="F3373" s="67"/>
      <c r="G3373" s="9"/>
      <c r="H3373" s="9"/>
      <c r="I3373" s="9"/>
      <c r="J3373" s="9"/>
      <c r="K3373" s="9"/>
      <c r="L3373" s="9"/>
      <c r="M3373" s="9"/>
      <c r="N3373" s="9"/>
      <c r="O3373" s="9"/>
      <c r="P3373" s="9"/>
      <c r="Q3373" s="9"/>
      <c r="R3373" s="9"/>
      <c r="S3373" s="9"/>
      <c r="T3373" s="9"/>
      <c r="U3373" s="9"/>
      <c r="V3373" s="9"/>
      <c r="W3373" s="9"/>
      <c r="X3373" s="9"/>
      <c r="Y3373" s="9"/>
      <c r="Z3373" s="9"/>
      <c r="AA3373" s="9"/>
      <c r="AB3373" s="9"/>
      <c r="AC3373" s="9"/>
      <c r="AD3373" s="9"/>
      <c r="AE3373" s="9"/>
      <c r="AF3373" s="9"/>
      <c r="AG3373" s="9"/>
      <c r="AH3373" s="9"/>
      <c r="AI3373" s="9"/>
      <c r="AJ3373" s="9"/>
      <c r="AK3373" s="9"/>
      <c r="AL3373" s="9"/>
      <c r="AM3373" s="9"/>
      <c r="AN3373" s="9"/>
      <c r="AO3373" s="9"/>
      <c r="AP3373" s="9"/>
      <c r="AQ3373" s="9"/>
      <c r="AR3373" s="9"/>
      <c r="AS3373" s="9"/>
      <c r="AT3373" s="9"/>
      <c r="AU3373" s="9"/>
    </row>
    <row r="3374" spans="1:47" ht="15.75" customHeight="1">
      <c r="A3374" s="9"/>
      <c r="B3374" s="9"/>
      <c r="C3374" s="9"/>
      <c r="D3374" s="9"/>
      <c r="E3374" s="9"/>
      <c r="F3374" s="67"/>
      <c r="G3374" s="9"/>
      <c r="H3374" s="9"/>
      <c r="I3374" s="9"/>
      <c r="J3374" s="9"/>
      <c r="K3374" s="9"/>
      <c r="L3374" s="9"/>
      <c r="M3374" s="9"/>
      <c r="N3374" s="9"/>
      <c r="O3374" s="9"/>
      <c r="P3374" s="9"/>
      <c r="Q3374" s="9"/>
      <c r="R3374" s="9"/>
      <c r="S3374" s="9"/>
      <c r="T3374" s="9"/>
      <c r="U3374" s="9"/>
      <c r="V3374" s="9"/>
      <c r="W3374" s="9"/>
      <c r="X3374" s="9"/>
      <c r="Y3374" s="9"/>
      <c r="Z3374" s="9"/>
      <c r="AA3374" s="9"/>
      <c r="AB3374" s="9"/>
      <c r="AC3374" s="9"/>
      <c r="AD3374" s="9"/>
      <c r="AE3374" s="9"/>
      <c r="AF3374" s="9"/>
      <c r="AG3374" s="9"/>
      <c r="AH3374" s="9"/>
      <c r="AI3374" s="9"/>
      <c r="AJ3374" s="9"/>
      <c r="AK3374" s="9"/>
      <c r="AL3374" s="9"/>
      <c r="AM3374" s="9"/>
      <c r="AN3374" s="9"/>
      <c r="AO3374" s="9"/>
      <c r="AP3374" s="9"/>
      <c r="AQ3374" s="9"/>
      <c r="AR3374" s="9"/>
      <c r="AS3374" s="9"/>
      <c r="AT3374" s="9"/>
      <c r="AU3374" s="9"/>
    </row>
    <row r="3375" spans="1:47" ht="15.75" customHeight="1">
      <c r="A3375" s="9"/>
      <c r="B3375" s="9"/>
      <c r="C3375" s="9"/>
      <c r="D3375" s="9"/>
      <c r="E3375" s="9"/>
      <c r="F3375" s="67"/>
      <c r="G3375" s="9"/>
      <c r="H3375" s="9"/>
      <c r="I3375" s="9"/>
      <c r="J3375" s="9"/>
      <c r="K3375" s="9"/>
      <c r="L3375" s="9"/>
      <c r="M3375" s="9"/>
      <c r="N3375" s="9"/>
      <c r="O3375" s="9"/>
      <c r="P3375" s="9"/>
      <c r="Q3375" s="9"/>
      <c r="R3375" s="9"/>
      <c r="S3375" s="9"/>
      <c r="T3375" s="9"/>
      <c r="U3375" s="9"/>
      <c r="V3375" s="9"/>
      <c r="W3375" s="9"/>
      <c r="X3375" s="9"/>
      <c r="Y3375" s="9"/>
      <c r="Z3375" s="9"/>
      <c r="AA3375" s="9"/>
      <c r="AB3375" s="9"/>
      <c r="AC3375" s="9"/>
      <c r="AD3375" s="9"/>
      <c r="AE3375" s="9"/>
      <c r="AF3375" s="9"/>
      <c r="AG3375" s="9"/>
      <c r="AH3375" s="9"/>
      <c r="AI3375" s="9"/>
      <c r="AJ3375" s="9"/>
      <c r="AK3375" s="9"/>
      <c r="AL3375" s="9"/>
      <c r="AM3375" s="9"/>
      <c r="AN3375" s="9"/>
      <c r="AO3375" s="9"/>
      <c r="AP3375" s="9"/>
      <c r="AQ3375" s="9"/>
      <c r="AR3375" s="9"/>
      <c r="AS3375" s="9"/>
      <c r="AT3375" s="9"/>
      <c r="AU3375" s="9"/>
    </row>
    <row r="3376" spans="1:47" ht="15.75" customHeight="1">
      <c r="A3376" s="9"/>
      <c r="B3376" s="9"/>
      <c r="C3376" s="9"/>
      <c r="D3376" s="9"/>
      <c r="E3376" s="9"/>
      <c r="F3376" s="67"/>
      <c r="G3376" s="9"/>
      <c r="H3376" s="9"/>
      <c r="I3376" s="9"/>
      <c r="J3376" s="9"/>
      <c r="K3376" s="9"/>
      <c r="L3376" s="9"/>
      <c r="M3376" s="9"/>
      <c r="N3376" s="9"/>
      <c r="O3376" s="9"/>
      <c r="P3376" s="9"/>
      <c r="Q3376" s="9"/>
      <c r="R3376" s="9"/>
      <c r="S3376" s="9"/>
      <c r="T3376" s="9"/>
      <c r="U3376" s="9"/>
      <c r="V3376" s="9"/>
      <c r="W3376" s="9"/>
      <c r="X3376" s="9"/>
      <c r="Y3376" s="9"/>
      <c r="Z3376" s="9"/>
      <c r="AA3376" s="9"/>
      <c r="AB3376" s="9"/>
      <c r="AC3376" s="9"/>
      <c r="AD3376" s="9"/>
      <c r="AE3376" s="9"/>
      <c r="AF3376" s="9"/>
      <c r="AG3376" s="9"/>
      <c r="AH3376" s="9"/>
      <c r="AI3376" s="9"/>
      <c r="AJ3376" s="9"/>
      <c r="AK3376" s="9"/>
      <c r="AL3376" s="9"/>
      <c r="AM3376" s="9"/>
      <c r="AN3376" s="9"/>
      <c r="AO3376" s="9"/>
      <c r="AP3376" s="9"/>
      <c r="AQ3376" s="9"/>
      <c r="AR3376" s="9"/>
      <c r="AS3376" s="9"/>
      <c r="AT3376" s="9"/>
      <c r="AU3376" s="9"/>
    </row>
    <row r="3377" spans="1:47" ht="15.75" customHeight="1">
      <c r="A3377" s="9"/>
      <c r="B3377" s="9"/>
      <c r="C3377" s="9"/>
      <c r="D3377" s="9"/>
      <c r="E3377" s="9"/>
      <c r="F3377" s="67"/>
      <c r="G3377" s="9"/>
      <c r="H3377" s="9"/>
      <c r="I3377" s="9"/>
      <c r="J3377" s="9"/>
      <c r="K3377" s="9"/>
      <c r="L3377" s="9"/>
      <c r="M3377" s="9"/>
      <c r="N3377" s="9"/>
      <c r="O3377" s="9"/>
      <c r="P3377" s="9"/>
      <c r="Q3377" s="9"/>
      <c r="R3377" s="9"/>
      <c r="S3377" s="9"/>
      <c r="T3377" s="9"/>
      <c r="U3377" s="9"/>
      <c r="V3377" s="9"/>
      <c r="W3377" s="9"/>
      <c r="X3377" s="9"/>
      <c r="Y3377" s="9"/>
      <c r="Z3377" s="9"/>
      <c r="AA3377" s="9"/>
      <c r="AB3377" s="9"/>
      <c r="AC3377" s="9"/>
      <c r="AD3377" s="9"/>
      <c r="AE3377" s="9"/>
      <c r="AF3377" s="9"/>
      <c r="AG3377" s="9"/>
      <c r="AH3377" s="9"/>
      <c r="AI3377" s="9"/>
      <c r="AJ3377" s="9"/>
      <c r="AK3377" s="9"/>
      <c r="AL3377" s="9"/>
      <c r="AM3377" s="9"/>
      <c r="AN3377" s="9"/>
      <c r="AO3377" s="9"/>
      <c r="AP3377" s="9"/>
      <c r="AQ3377" s="9"/>
      <c r="AR3377" s="9"/>
      <c r="AS3377" s="9"/>
      <c r="AT3377" s="9"/>
      <c r="AU3377" s="9"/>
    </row>
    <row r="3378" spans="1:47" ht="15.75" customHeight="1">
      <c r="A3378" s="9"/>
      <c r="B3378" s="9"/>
      <c r="C3378" s="9"/>
      <c r="D3378" s="9"/>
      <c r="E3378" s="9"/>
      <c r="F3378" s="67"/>
      <c r="G3378" s="9"/>
      <c r="H3378" s="9"/>
      <c r="I3378" s="9"/>
      <c r="J3378" s="9"/>
      <c r="K3378" s="9"/>
      <c r="L3378" s="9"/>
      <c r="M3378" s="9"/>
      <c r="N3378" s="9"/>
      <c r="O3378" s="9"/>
      <c r="P3378" s="9"/>
      <c r="Q3378" s="9"/>
      <c r="R3378" s="9"/>
      <c r="S3378" s="9"/>
      <c r="T3378" s="9"/>
      <c r="U3378" s="9"/>
      <c r="V3378" s="9"/>
      <c r="W3378" s="9"/>
      <c r="X3378" s="9"/>
      <c r="Y3378" s="9"/>
      <c r="Z3378" s="9"/>
      <c r="AA3378" s="9"/>
      <c r="AB3378" s="9"/>
      <c r="AC3378" s="9"/>
      <c r="AD3378" s="9"/>
      <c r="AE3378" s="9"/>
      <c r="AF3378" s="9"/>
      <c r="AG3378" s="9"/>
      <c r="AH3378" s="9"/>
      <c r="AI3378" s="9"/>
      <c r="AJ3378" s="9"/>
      <c r="AK3378" s="9"/>
      <c r="AL3378" s="9"/>
      <c r="AM3378" s="9"/>
      <c r="AN3378" s="9"/>
      <c r="AO3378" s="9"/>
      <c r="AP3378" s="9"/>
      <c r="AQ3378" s="9"/>
      <c r="AR3378" s="9"/>
      <c r="AS3378" s="9"/>
      <c r="AT3378" s="9"/>
      <c r="AU3378" s="9"/>
    </row>
    <row r="3379" spans="1:47" ht="15.75" customHeight="1">
      <c r="A3379" s="9"/>
      <c r="B3379" s="9"/>
      <c r="C3379" s="9"/>
      <c r="D3379" s="9"/>
      <c r="E3379" s="9"/>
      <c r="F3379" s="67"/>
      <c r="G3379" s="9"/>
      <c r="H3379" s="9"/>
      <c r="I3379" s="9"/>
      <c r="J3379" s="9"/>
      <c r="K3379" s="9"/>
      <c r="L3379" s="9"/>
      <c r="M3379" s="9"/>
      <c r="N3379" s="9"/>
      <c r="O3379" s="9"/>
      <c r="P3379" s="9"/>
      <c r="Q3379" s="9"/>
      <c r="R3379" s="9"/>
      <c r="S3379" s="9"/>
      <c r="T3379" s="9"/>
      <c r="U3379" s="9"/>
      <c r="V3379" s="9"/>
      <c r="W3379" s="9"/>
      <c r="X3379" s="9"/>
      <c r="Y3379" s="9"/>
      <c r="Z3379" s="9"/>
      <c r="AA3379" s="9"/>
      <c r="AB3379" s="9"/>
      <c r="AC3379" s="9"/>
      <c r="AD3379" s="9"/>
      <c r="AE3379" s="9"/>
      <c r="AF3379" s="9"/>
      <c r="AG3379" s="9"/>
      <c r="AH3379" s="9"/>
      <c r="AI3379" s="9"/>
      <c r="AJ3379" s="9"/>
      <c r="AK3379" s="9"/>
      <c r="AL3379" s="9"/>
      <c r="AM3379" s="9"/>
      <c r="AN3379" s="9"/>
      <c r="AO3379" s="9"/>
      <c r="AP3379" s="9"/>
      <c r="AQ3379" s="9"/>
      <c r="AR3379" s="9"/>
      <c r="AS3379" s="9"/>
      <c r="AT3379" s="9"/>
      <c r="AU3379" s="9"/>
    </row>
    <row r="3380" spans="1:47" ht="15.75" customHeight="1">
      <c r="A3380" s="9"/>
      <c r="B3380" s="9"/>
      <c r="C3380" s="9"/>
      <c r="D3380" s="9"/>
      <c r="E3380" s="9"/>
      <c r="F3380" s="67"/>
      <c r="G3380" s="9"/>
      <c r="H3380" s="9"/>
      <c r="I3380" s="9"/>
      <c r="J3380" s="9"/>
      <c r="K3380" s="9"/>
      <c r="L3380" s="9"/>
      <c r="M3380" s="9"/>
      <c r="N3380" s="9"/>
      <c r="O3380" s="9"/>
      <c r="P3380" s="9"/>
      <c r="Q3380" s="9"/>
      <c r="R3380" s="9"/>
      <c r="S3380" s="9"/>
      <c r="T3380" s="9"/>
      <c r="U3380" s="9"/>
      <c r="V3380" s="9"/>
      <c r="W3380" s="9"/>
      <c r="X3380" s="9"/>
      <c r="Y3380" s="9"/>
      <c r="Z3380" s="9"/>
      <c r="AA3380" s="9"/>
      <c r="AB3380" s="9"/>
      <c r="AC3380" s="9"/>
      <c r="AD3380" s="9"/>
      <c r="AE3380" s="9"/>
      <c r="AF3380" s="9"/>
      <c r="AG3380" s="9"/>
      <c r="AH3380" s="9"/>
      <c r="AI3380" s="9"/>
      <c r="AJ3380" s="9"/>
      <c r="AK3380" s="9"/>
      <c r="AL3380" s="9"/>
      <c r="AM3380" s="9"/>
      <c r="AN3380" s="9"/>
      <c r="AO3380" s="9"/>
      <c r="AP3380" s="9"/>
      <c r="AQ3380" s="9"/>
      <c r="AR3380" s="9"/>
      <c r="AS3380" s="9"/>
      <c r="AT3380" s="9"/>
      <c r="AU3380" s="9"/>
    </row>
    <row r="3381" spans="1:47" ht="15.75" customHeight="1">
      <c r="A3381" s="9"/>
      <c r="B3381" s="9"/>
      <c r="C3381" s="9"/>
      <c r="D3381" s="9"/>
      <c r="E3381" s="9"/>
      <c r="F3381" s="67"/>
      <c r="G3381" s="9"/>
      <c r="H3381" s="9"/>
      <c r="I3381" s="9"/>
      <c r="J3381" s="9"/>
      <c r="K3381" s="9"/>
      <c r="L3381" s="9"/>
      <c r="M3381" s="9"/>
      <c r="N3381" s="9"/>
      <c r="O3381" s="9"/>
      <c r="P3381" s="9"/>
      <c r="Q3381" s="9"/>
      <c r="R3381" s="9"/>
      <c r="S3381" s="9"/>
      <c r="T3381" s="9"/>
      <c r="U3381" s="9"/>
      <c r="V3381" s="9"/>
      <c r="W3381" s="9"/>
      <c r="X3381" s="9"/>
      <c r="Y3381" s="9"/>
      <c r="Z3381" s="9"/>
      <c r="AA3381" s="9"/>
      <c r="AB3381" s="9"/>
      <c r="AC3381" s="9"/>
      <c r="AD3381" s="9"/>
      <c r="AE3381" s="9"/>
      <c r="AF3381" s="9"/>
      <c r="AG3381" s="9"/>
      <c r="AH3381" s="9"/>
      <c r="AI3381" s="9"/>
      <c r="AJ3381" s="9"/>
      <c r="AK3381" s="9"/>
      <c r="AL3381" s="9"/>
      <c r="AM3381" s="9"/>
      <c r="AN3381" s="9"/>
      <c r="AO3381" s="9"/>
      <c r="AP3381" s="9"/>
      <c r="AQ3381" s="9"/>
      <c r="AR3381" s="9"/>
      <c r="AS3381" s="9"/>
      <c r="AT3381" s="9"/>
      <c r="AU3381" s="9"/>
    </row>
    <row r="3382" spans="1:47" ht="15.75" customHeight="1">
      <c r="A3382" s="9"/>
      <c r="B3382" s="9"/>
      <c r="C3382" s="9"/>
      <c r="D3382" s="9"/>
      <c r="E3382" s="9"/>
      <c r="F3382" s="67"/>
      <c r="G3382" s="9"/>
      <c r="H3382" s="9"/>
      <c r="I3382" s="9"/>
      <c r="J3382" s="9"/>
      <c r="K3382" s="9"/>
      <c r="L3382" s="9"/>
      <c r="M3382" s="9"/>
      <c r="N3382" s="9"/>
      <c r="O3382" s="9"/>
      <c r="P3382" s="9"/>
      <c r="Q3382" s="9"/>
      <c r="R3382" s="9"/>
      <c r="S3382" s="9"/>
      <c r="T3382" s="9"/>
      <c r="U3382" s="9"/>
      <c r="V3382" s="9"/>
      <c r="W3382" s="9"/>
      <c r="X3382" s="9"/>
      <c r="Y3382" s="9"/>
      <c r="Z3382" s="9"/>
      <c r="AA3382" s="9"/>
      <c r="AB3382" s="9"/>
      <c r="AC3382" s="9"/>
      <c r="AD3382" s="9"/>
      <c r="AE3382" s="9"/>
      <c r="AF3382" s="9"/>
      <c r="AG3382" s="9"/>
      <c r="AH3382" s="9"/>
      <c r="AI3382" s="9"/>
      <c r="AJ3382" s="9"/>
      <c r="AK3382" s="9"/>
      <c r="AL3382" s="9"/>
      <c r="AM3382" s="9"/>
      <c r="AN3382" s="9"/>
      <c r="AO3382" s="9"/>
      <c r="AP3382" s="9"/>
      <c r="AQ3382" s="9"/>
      <c r="AR3382" s="9"/>
      <c r="AS3382" s="9"/>
      <c r="AT3382" s="9"/>
      <c r="AU3382" s="9"/>
    </row>
    <row r="3383" spans="1:47" ht="15.75" customHeight="1">
      <c r="A3383" s="9"/>
      <c r="B3383" s="9"/>
      <c r="C3383" s="9"/>
      <c r="D3383" s="9"/>
      <c r="E3383" s="9"/>
      <c r="F3383" s="67"/>
      <c r="G3383" s="9"/>
      <c r="H3383" s="9"/>
      <c r="I3383" s="9"/>
      <c r="J3383" s="9"/>
      <c r="K3383" s="9"/>
      <c r="L3383" s="9"/>
      <c r="M3383" s="9"/>
      <c r="N3383" s="9"/>
      <c r="O3383" s="9"/>
      <c r="P3383" s="9"/>
      <c r="Q3383" s="9"/>
      <c r="R3383" s="9"/>
      <c r="S3383" s="9"/>
      <c r="T3383" s="9"/>
      <c r="U3383" s="9"/>
      <c r="V3383" s="9"/>
      <c r="W3383" s="9"/>
      <c r="X3383" s="9"/>
      <c r="Y3383" s="9"/>
      <c r="Z3383" s="9"/>
      <c r="AA3383" s="9"/>
      <c r="AB3383" s="9"/>
      <c r="AC3383" s="9"/>
      <c r="AD3383" s="9"/>
      <c r="AE3383" s="9"/>
      <c r="AF3383" s="9"/>
      <c r="AG3383" s="9"/>
      <c r="AH3383" s="9"/>
      <c r="AI3383" s="9"/>
      <c r="AJ3383" s="9"/>
      <c r="AK3383" s="9"/>
      <c r="AL3383" s="9"/>
      <c r="AM3383" s="9"/>
      <c r="AN3383" s="9"/>
      <c r="AO3383" s="9"/>
      <c r="AP3383" s="9"/>
      <c r="AQ3383" s="9"/>
      <c r="AR3383" s="9"/>
      <c r="AS3383" s="9"/>
      <c r="AT3383" s="9"/>
      <c r="AU3383" s="9"/>
    </row>
    <row r="3384" spans="1:47" ht="15.75" customHeight="1">
      <c r="A3384" s="9"/>
      <c r="B3384" s="9"/>
      <c r="C3384" s="9"/>
      <c r="D3384" s="9"/>
      <c r="E3384" s="9"/>
      <c r="F3384" s="67"/>
      <c r="G3384" s="9"/>
      <c r="H3384" s="9"/>
      <c r="I3384" s="9"/>
      <c r="J3384" s="9"/>
      <c r="K3384" s="9"/>
      <c r="L3384" s="9"/>
      <c r="M3384" s="9"/>
      <c r="N3384" s="9"/>
      <c r="O3384" s="9"/>
      <c r="P3384" s="9"/>
      <c r="Q3384" s="9"/>
      <c r="R3384" s="9"/>
      <c r="S3384" s="9"/>
      <c r="T3384" s="9"/>
      <c r="U3384" s="9"/>
      <c r="V3384" s="9"/>
      <c r="W3384" s="9"/>
      <c r="X3384" s="9"/>
      <c r="Y3384" s="9"/>
      <c r="Z3384" s="9"/>
      <c r="AA3384" s="9"/>
      <c r="AB3384" s="9"/>
      <c r="AC3384" s="9"/>
      <c r="AD3384" s="9"/>
      <c r="AE3384" s="9"/>
      <c r="AF3384" s="9"/>
      <c r="AG3384" s="9"/>
      <c r="AH3384" s="9"/>
      <c r="AI3384" s="9"/>
      <c r="AJ3384" s="9"/>
      <c r="AK3384" s="9"/>
      <c r="AL3384" s="9"/>
      <c r="AM3384" s="9"/>
      <c r="AN3384" s="9"/>
      <c r="AO3384" s="9"/>
      <c r="AP3384" s="9"/>
      <c r="AQ3384" s="9"/>
      <c r="AR3384" s="9"/>
      <c r="AS3384" s="9"/>
      <c r="AT3384" s="9"/>
      <c r="AU3384" s="9"/>
    </row>
    <row r="3385" spans="1:47" ht="15.75" customHeight="1">
      <c r="A3385" s="9"/>
      <c r="B3385" s="9"/>
      <c r="C3385" s="9"/>
      <c r="D3385" s="9"/>
      <c r="E3385" s="9"/>
      <c r="F3385" s="67"/>
      <c r="G3385" s="9"/>
      <c r="H3385" s="9"/>
      <c r="I3385" s="9"/>
      <c r="J3385" s="9"/>
      <c r="K3385" s="9"/>
      <c r="L3385" s="9"/>
      <c r="M3385" s="9"/>
      <c r="N3385" s="9"/>
      <c r="O3385" s="9"/>
      <c r="P3385" s="9"/>
      <c r="Q3385" s="9"/>
      <c r="R3385" s="9"/>
      <c r="S3385" s="9"/>
      <c r="T3385" s="9"/>
      <c r="U3385" s="9"/>
      <c r="V3385" s="9"/>
      <c r="W3385" s="9"/>
      <c r="X3385" s="9"/>
      <c r="Y3385" s="9"/>
      <c r="Z3385" s="9"/>
      <c r="AA3385" s="9"/>
      <c r="AB3385" s="9"/>
      <c r="AC3385" s="9"/>
      <c r="AD3385" s="9"/>
      <c r="AE3385" s="9"/>
      <c r="AF3385" s="9"/>
      <c r="AG3385" s="9"/>
      <c r="AH3385" s="9"/>
      <c r="AI3385" s="9"/>
      <c r="AJ3385" s="9"/>
      <c r="AK3385" s="9"/>
      <c r="AL3385" s="9"/>
      <c r="AM3385" s="9"/>
      <c r="AN3385" s="9"/>
      <c r="AO3385" s="9"/>
      <c r="AP3385" s="9"/>
      <c r="AQ3385" s="9"/>
      <c r="AR3385" s="9"/>
      <c r="AS3385" s="9"/>
      <c r="AT3385" s="9"/>
      <c r="AU3385" s="9"/>
    </row>
    <row r="3386" spans="1:47" ht="15.75" customHeight="1">
      <c r="A3386" s="9"/>
      <c r="B3386" s="9"/>
      <c r="C3386" s="9"/>
      <c r="D3386" s="9"/>
      <c r="E3386" s="9"/>
      <c r="F3386" s="67"/>
      <c r="G3386" s="9"/>
      <c r="H3386" s="9"/>
      <c r="I3386" s="9"/>
      <c r="J3386" s="9"/>
      <c r="K3386" s="9"/>
      <c r="L3386" s="9"/>
      <c r="M3386" s="9"/>
      <c r="N3386" s="9"/>
      <c r="O3386" s="9"/>
      <c r="P3386" s="9"/>
      <c r="Q3386" s="9"/>
      <c r="R3386" s="9"/>
      <c r="S3386" s="9"/>
      <c r="T3386" s="9"/>
      <c r="U3386" s="9"/>
      <c r="V3386" s="9"/>
      <c r="W3386" s="9"/>
      <c r="X3386" s="9"/>
      <c r="Y3386" s="9"/>
      <c r="Z3386" s="9"/>
      <c r="AA3386" s="9"/>
      <c r="AB3386" s="9"/>
      <c r="AC3386" s="9"/>
      <c r="AD3386" s="9"/>
      <c r="AE3386" s="9"/>
      <c r="AF3386" s="9"/>
      <c r="AG3386" s="9"/>
      <c r="AH3386" s="9"/>
      <c r="AI3386" s="9"/>
      <c r="AJ3386" s="9"/>
      <c r="AK3386" s="9"/>
      <c r="AL3386" s="9"/>
      <c r="AM3386" s="9"/>
      <c r="AN3386" s="9"/>
      <c r="AO3386" s="9"/>
      <c r="AP3386" s="9"/>
      <c r="AQ3386" s="9"/>
      <c r="AR3386" s="9"/>
      <c r="AS3386" s="9"/>
      <c r="AT3386" s="9"/>
      <c r="AU3386" s="9"/>
    </row>
    <row r="3387" spans="1:47" ht="15.75" customHeight="1">
      <c r="A3387" s="9"/>
      <c r="B3387" s="9"/>
      <c r="C3387" s="9"/>
      <c r="D3387" s="9"/>
      <c r="E3387" s="9"/>
      <c r="F3387" s="67"/>
      <c r="G3387" s="9"/>
      <c r="H3387" s="9"/>
      <c r="I3387" s="9"/>
      <c r="J3387" s="9"/>
      <c r="K3387" s="9"/>
      <c r="L3387" s="9"/>
      <c r="M3387" s="9"/>
      <c r="N3387" s="9"/>
      <c r="O3387" s="9"/>
      <c r="P3387" s="9"/>
      <c r="Q3387" s="9"/>
      <c r="R3387" s="9"/>
      <c r="S3387" s="9"/>
      <c r="T3387" s="9"/>
      <c r="U3387" s="9"/>
      <c r="V3387" s="9"/>
      <c r="W3387" s="9"/>
      <c r="X3387" s="9"/>
      <c r="Y3387" s="9"/>
      <c r="Z3387" s="9"/>
      <c r="AA3387" s="9"/>
      <c r="AB3387" s="9"/>
      <c r="AC3387" s="9"/>
      <c r="AD3387" s="9"/>
      <c r="AE3387" s="9"/>
      <c r="AF3387" s="9"/>
      <c r="AG3387" s="9"/>
      <c r="AH3387" s="9"/>
      <c r="AI3387" s="9"/>
      <c r="AJ3387" s="9"/>
      <c r="AK3387" s="9"/>
      <c r="AL3387" s="9"/>
      <c r="AM3387" s="9"/>
      <c r="AN3387" s="9"/>
      <c r="AO3387" s="9"/>
      <c r="AP3387" s="9"/>
      <c r="AQ3387" s="9"/>
      <c r="AR3387" s="9"/>
      <c r="AS3387" s="9"/>
      <c r="AT3387" s="9"/>
      <c r="AU3387" s="9"/>
    </row>
    <row r="3388" spans="1:47" ht="15.75" customHeight="1">
      <c r="A3388" s="9"/>
      <c r="B3388" s="9"/>
      <c r="C3388" s="9"/>
      <c r="D3388" s="9"/>
      <c r="E3388" s="9"/>
      <c r="F3388" s="67"/>
      <c r="G3388" s="9"/>
      <c r="H3388" s="9"/>
      <c r="I3388" s="9"/>
      <c r="J3388" s="9"/>
      <c r="K3388" s="9"/>
      <c r="L3388" s="9"/>
      <c r="M3388" s="9"/>
      <c r="N3388" s="9"/>
      <c r="O3388" s="9"/>
      <c r="P3388" s="9"/>
      <c r="Q3388" s="9"/>
      <c r="R3388" s="9"/>
      <c r="S3388" s="9"/>
      <c r="T3388" s="9"/>
      <c r="U3388" s="9"/>
      <c r="V3388" s="9"/>
      <c r="W3388" s="9"/>
      <c r="X3388" s="9"/>
      <c r="Y3388" s="9"/>
      <c r="Z3388" s="9"/>
      <c r="AA3388" s="9"/>
      <c r="AB3388" s="9"/>
      <c r="AC3388" s="9"/>
      <c r="AD3388" s="9"/>
      <c r="AE3388" s="9"/>
      <c r="AF3388" s="9"/>
      <c r="AG3388" s="9"/>
      <c r="AH3388" s="9"/>
      <c r="AI3388" s="9"/>
      <c r="AJ3388" s="9"/>
      <c r="AK3388" s="9"/>
      <c r="AL3388" s="9"/>
      <c r="AM3388" s="9"/>
      <c r="AN3388" s="9"/>
      <c r="AO3388" s="9"/>
      <c r="AP3388" s="9"/>
      <c r="AQ3388" s="9"/>
      <c r="AR3388" s="9"/>
      <c r="AS3388" s="9"/>
      <c r="AT3388" s="9"/>
      <c r="AU3388" s="9"/>
    </row>
    <row r="3389" spans="1:47" ht="15.75" customHeight="1">
      <c r="A3389" s="9"/>
      <c r="B3389" s="9"/>
      <c r="C3389" s="9"/>
      <c r="D3389" s="9"/>
      <c r="E3389" s="9"/>
      <c r="F3389" s="67"/>
      <c r="G3389" s="9"/>
      <c r="H3389" s="9"/>
      <c r="I3389" s="9"/>
      <c r="J3389" s="9"/>
      <c r="K3389" s="9"/>
      <c r="L3389" s="9"/>
      <c r="M3389" s="9"/>
      <c r="N3389" s="9"/>
      <c r="O3389" s="9"/>
      <c r="P3389" s="9"/>
      <c r="Q3389" s="9"/>
      <c r="R3389" s="9"/>
      <c r="S3389" s="9"/>
      <c r="T3389" s="9"/>
      <c r="U3389" s="9"/>
      <c r="V3389" s="9"/>
      <c r="W3389" s="9"/>
      <c r="X3389" s="9"/>
      <c r="Y3389" s="9"/>
      <c r="Z3389" s="9"/>
      <c r="AA3389" s="9"/>
      <c r="AB3389" s="9"/>
      <c r="AC3389" s="9"/>
      <c r="AD3389" s="9"/>
      <c r="AE3389" s="9"/>
      <c r="AF3389" s="9"/>
      <c r="AG3389" s="9"/>
      <c r="AH3389" s="9"/>
      <c r="AI3389" s="9"/>
      <c r="AJ3389" s="9"/>
      <c r="AK3389" s="9"/>
      <c r="AL3389" s="9"/>
      <c r="AM3389" s="9"/>
      <c r="AN3389" s="9"/>
      <c r="AO3389" s="9"/>
      <c r="AP3389" s="9"/>
      <c r="AQ3389" s="9"/>
      <c r="AR3389" s="9"/>
      <c r="AS3389" s="9"/>
      <c r="AT3389" s="9"/>
      <c r="AU3389" s="9"/>
    </row>
    <row r="3390" spans="1:47" ht="15.75" customHeight="1">
      <c r="A3390" s="9"/>
      <c r="B3390" s="9"/>
      <c r="C3390" s="9"/>
      <c r="D3390" s="9"/>
      <c r="E3390" s="9"/>
      <c r="F3390" s="67"/>
      <c r="G3390" s="9"/>
      <c r="H3390" s="9"/>
      <c r="I3390" s="9"/>
      <c r="J3390" s="9"/>
      <c r="K3390" s="9"/>
      <c r="L3390" s="9"/>
      <c r="M3390" s="9"/>
      <c r="N3390" s="9"/>
      <c r="O3390" s="9"/>
      <c r="P3390" s="9"/>
      <c r="Q3390" s="9"/>
      <c r="R3390" s="9"/>
      <c r="S3390" s="9"/>
      <c r="T3390" s="9"/>
      <c r="U3390" s="9"/>
      <c r="V3390" s="9"/>
      <c r="W3390" s="9"/>
      <c r="X3390" s="9"/>
      <c r="Y3390" s="9"/>
      <c r="Z3390" s="9"/>
      <c r="AA3390" s="9"/>
      <c r="AB3390" s="9"/>
      <c r="AC3390" s="9"/>
      <c r="AD3390" s="9"/>
      <c r="AE3390" s="9"/>
      <c r="AF3390" s="9"/>
      <c r="AG3390" s="9"/>
      <c r="AH3390" s="9"/>
      <c r="AI3390" s="9"/>
      <c r="AJ3390" s="9"/>
      <c r="AK3390" s="9"/>
      <c r="AL3390" s="9"/>
      <c r="AM3390" s="9"/>
      <c r="AN3390" s="9"/>
      <c r="AO3390" s="9"/>
      <c r="AP3390" s="9"/>
      <c r="AQ3390" s="9"/>
      <c r="AR3390" s="9"/>
      <c r="AS3390" s="9"/>
      <c r="AT3390" s="9"/>
      <c r="AU3390" s="9"/>
    </row>
    <row r="3391" spans="1:47" ht="15.75" customHeight="1">
      <c r="A3391" s="9"/>
      <c r="B3391" s="9"/>
      <c r="C3391" s="9"/>
      <c r="D3391" s="9"/>
      <c r="E3391" s="9"/>
      <c r="F3391" s="67"/>
      <c r="G3391" s="9"/>
      <c r="H3391" s="9"/>
      <c r="I3391" s="9"/>
      <c r="J3391" s="9"/>
      <c r="K3391" s="9"/>
      <c r="L3391" s="9"/>
      <c r="M3391" s="9"/>
      <c r="N3391" s="9"/>
      <c r="O3391" s="9"/>
      <c r="P3391" s="9"/>
      <c r="Q3391" s="9"/>
      <c r="R3391" s="9"/>
      <c r="S3391" s="9"/>
      <c r="T3391" s="9"/>
      <c r="U3391" s="9"/>
      <c r="V3391" s="9"/>
      <c r="W3391" s="9"/>
      <c r="X3391" s="9"/>
      <c r="Y3391" s="9"/>
      <c r="Z3391" s="9"/>
      <c r="AA3391" s="9"/>
      <c r="AB3391" s="9"/>
      <c r="AC3391" s="9"/>
      <c r="AD3391" s="9"/>
      <c r="AE3391" s="9"/>
      <c r="AF3391" s="9"/>
      <c r="AG3391" s="9"/>
      <c r="AH3391" s="9"/>
      <c r="AI3391" s="9"/>
      <c r="AJ3391" s="9"/>
      <c r="AK3391" s="9"/>
      <c r="AL3391" s="9"/>
      <c r="AM3391" s="9"/>
      <c r="AN3391" s="9"/>
      <c r="AO3391" s="9"/>
      <c r="AP3391" s="9"/>
      <c r="AQ3391" s="9"/>
      <c r="AR3391" s="9"/>
      <c r="AS3391" s="9"/>
      <c r="AT3391" s="9"/>
      <c r="AU3391" s="9"/>
    </row>
    <row r="3392" spans="1:47" ht="15.75" customHeight="1">
      <c r="A3392" s="9"/>
      <c r="B3392" s="9"/>
      <c r="C3392" s="9"/>
      <c r="D3392" s="9"/>
      <c r="E3392" s="9"/>
      <c r="F3392" s="67"/>
      <c r="G3392" s="9"/>
      <c r="H3392" s="9"/>
      <c r="I3392" s="9"/>
      <c r="J3392" s="9"/>
      <c r="K3392" s="9"/>
      <c r="L3392" s="9"/>
      <c r="M3392" s="9"/>
      <c r="N3392" s="9"/>
      <c r="O3392" s="9"/>
      <c r="P3392" s="9"/>
      <c r="Q3392" s="9"/>
      <c r="R3392" s="9"/>
      <c r="S3392" s="9"/>
      <c r="T3392" s="9"/>
      <c r="U3392" s="9"/>
      <c r="V3392" s="9"/>
      <c r="W3392" s="9"/>
      <c r="X3392" s="9"/>
      <c r="Y3392" s="9"/>
      <c r="Z3392" s="9"/>
      <c r="AA3392" s="9"/>
      <c r="AB3392" s="9"/>
      <c r="AC3392" s="9"/>
      <c r="AD3392" s="9"/>
      <c r="AE3392" s="9"/>
      <c r="AF3392" s="9"/>
      <c r="AG3392" s="9"/>
      <c r="AH3392" s="9"/>
      <c r="AI3392" s="9"/>
      <c r="AJ3392" s="9"/>
      <c r="AK3392" s="9"/>
      <c r="AL3392" s="9"/>
      <c r="AM3392" s="9"/>
      <c r="AN3392" s="9"/>
      <c r="AO3392" s="9"/>
      <c r="AP3392" s="9"/>
      <c r="AQ3392" s="9"/>
      <c r="AR3392" s="9"/>
      <c r="AS3392" s="9"/>
      <c r="AT3392" s="9"/>
      <c r="AU3392" s="9"/>
    </row>
    <row r="3393" spans="1:47" ht="15.75" customHeight="1">
      <c r="A3393" s="9"/>
      <c r="B3393" s="9"/>
      <c r="C3393" s="9"/>
      <c r="D3393" s="9"/>
      <c r="E3393" s="9"/>
      <c r="F3393" s="67"/>
      <c r="G3393" s="9"/>
      <c r="H3393" s="9"/>
      <c r="I3393" s="9"/>
      <c r="J3393" s="9"/>
      <c r="K3393" s="9"/>
      <c r="L3393" s="9"/>
      <c r="M3393" s="9"/>
      <c r="N3393" s="9"/>
      <c r="O3393" s="9"/>
      <c r="P3393" s="9"/>
      <c r="Q3393" s="9"/>
      <c r="R3393" s="9"/>
      <c r="S3393" s="9"/>
      <c r="T3393" s="9"/>
      <c r="U3393" s="9"/>
      <c r="V3393" s="9"/>
      <c r="W3393" s="9"/>
      <c r="X3393" s="9"/>
      <c r="Y3393" s="9"/>
      <c r="Z3393" s="9"/>
      <c r="AA3393" s="9"/>
      <c r="AB3393" s="9"/>
      <c r="AC3393" s="9"/>
      <c r="AD3393" s="9"/>
      <c r="AE3393" s="9"/>
      <c r="AF3393" s="9"/>
      <c r="AG3393" s="9"/>
      <c r="AH3393" s="9"/>
      <c r="AI3393" s="9"/>
      <c r="AJ3393" s="9"/>
      <c r="AK3393" s="9"/>
      <c r="AL3393" s="9"/>
      <c r="AM3393" s="9"/>
      <c r="AN3393" s="9"/>
      <c r="AO3393" s="9"/>
      <c r="AP3393" s="9"/>
      <c r="AQ3393" s="9"/>
      <c r="AR3393" s="9"/>
      <c r="AS3393" s="9"/>
      <c r="AT3393" s="9"/>
      <c r="AU3393" s="9"/>
    </row>
    <row r="3394" spans="1:47" ht="15.75" customHeight="1">
      <c r="A3394" s="9"/>
      <c r="B3394" s="9"/>
      <c r="C3394" s="9"/>
      <c r="D3394" s="9"/>
      <c r="E3394" s="9"/>
      <c r="F3394" s="67"/>
      <c r="G3394" s="9"/>
      <c r="H3394" s="9"/>
      <c r="I3394" s="9"/>
      <c r="J3394" s="9"/>
      <c r="K3394" s="9"/>
      <c r="L3394" s="9"/>
      <c r="M3394" s="9"/>
      <c r="N3394" s="9"/>
      <c r="O3394" s="9"/>
      <c r="P3394" s="9"/>
      <c r="Q3394" s="9"/>
      <c r="R3394" s="9"/>
      <c r="S3394" s="9"/>
      <c r="T3394" s="9"/>
      <c r="U3394" s="9"/>
      <c r="V3394" s="9"/>
      <c r="W3394" s="9"/>
      <c r="X3394" s="9"/>
      <c r="Y3394" s="9"/>
      <c r="Z3394" s="9"/>
      <c r="AA3394" s="9"/>
      <c r="AB3394" s="9"/>
      <c r="AC3394" s="9"/>
      <c r="AD3394" s="9"/>
      <c r="AE3394" s="9"/>
      <c r="AF3394" s="9"/>
      <c r="AG3394" s="9"/>
      <c r="AH3394" s="9"/>
      <c r="AI3394" s="9"/>
      <c r="AJ3394" s="9"/>
      <c r="AK3394" s="9"/>
      <c r="AL3394" s="9"/>
      <c r="AM3394" s="9"/>
      <c r="AN3394" s="9"/>
      <c r="AO3394" s="9"/>
      <c r="AP3394" s="9"/>
      <c r="AQ3394" s="9"/>
      <c r="AR3394" s="9"/>
      <c r="AS3394" s="9"/>
      <c r="AT3394" s="9"/>
      <c r="AU3394" s="9"/>
    </row>
    <row r="3395" spans="1:47" ht="15.75" customHeight="1">
      <c r="A3395" s="9"/>
      <c r="B3395" s="9"/>
      <c r="C3395" s="9"/>
      <c r="D3395" s="9"/>
      <c r="E3395" s="9"/>
      <c r="F3395" s="67"/>
      <c r="G3395" s="9"/>
      <c r="H3395" s="9"/>
      <c r="I3395" s="9"/>
      <c r="J3395" s="9"/>
      <c r="K3395" s="9"/>
      <c r="L3395" s="9"/>
      <c r="M3395" s="9"/>
      <c r="N3395" s="9"/>
      <c r="O3395" s="9"/>
      <c r="P3395" s="9"/>
      <c r="Q3395" s="9"/>
      <c r="R3395" s="9"/>
      <c r="S3395" s="9"/>
      <c r="T3395" s="9"/>
      <c r="U3395" s="9"/>
      <c r="V3395" s="9"/>
      <c r="W3395" s="9"/>
      <c r="X3395" s="9"/>
      <c r="Y3395" s="9"/>
      <c r="Z3395" s="9"/>
      <c r="AA3395" s="9"/>
      <c r="AB3395" s="9"/>
      <c r="AC3395" s="9"/>
      <c r="AD3395" s="9"/>
      <c r="AE3395" s="9"/>
      <c r="AF3395" s="9"/>
      <c r="AG3395" s="9"/>
      <c r="AH3395" s="9"/>
      <c r="AI3395" s="9"/>
      <c r="AJ3395" s="9"/>
      <c r="AK3395" s="9"/>
      <c r="AL3395" s="9"/>
      <c r="AM3395" s="9"/>
      <c r="AN3395" s="9"/>
      <c r="AO3395" s="9"/>
      <c r="AP3395" s="9"/>
      <c r="AQ3395" s="9"/>
      <c r="AR3395" s="9"/>
      <c r="AS3395" s="9"/>
      <c r="AT3395" s="9"/>
      <c r="AU3395" s="9"/>
    </row>
    <row r="3396" spans="1:47" ht="15.75" customHeight="1">
      <c r="A3396" s="9"/>
      <c r="B3396" s="9"/>
      <c r="C3396" s="9"/>
      <c r="D3396" s="9"/>
      <c r="E3396" s="9"/>
      <c r="F3396" s="67"/>
      <c r="G3396" s="9"/>
      <c r="H3396" s="9"/>
      <c r="I3396" s="9"/>
      <c r="J3396" s="9"/>
      <c r="K3396" s="9"/>
      <c r="L3396" s="9"/>
      <c r="M3396" s="9"/>
      <c r="N3396" s="9"/>
      <c r="O3396" s="9"/>
      <c r="P3396" s="9"/>
      <c r="Q3396" s="9"/>
      <c r="R3396" s="9"/>
      <c r="S3396" s="9"/>
      <c r="T3396" s="9"/>
      <c r="U3396" s="9"/>
      <c r="V3396" s="9"/>
      <c r="W3396" s="9"/>
      <c r="X3396" s="9"/>
      <c r="Y3396" s="9"/>
      <c r="Z3396" s="9"/>
      <c r="AA3396" s="9"/>
      <c r="AB3396" s="9"/>
      <c r="AC3396" s="9"/>
      <c r="AD3396" s="9"/>
      <c r="AE3396" s="9"/>
      <c r="AF3396" s="9"/>
      <c r="AG3396" s="9"/>
      <c r="AH3396" s="9"/>
      <c r="AI3396" s="9"/>
      <c r="AJ3396" s="9"/>
      <c r="AK3396" s="9"/>
      <c r="AL3396" s="9"/>
      <c r="AM3396" s="9"/>
      <c r="AN3396" s="9"/>
      <c r="AO3396" s="9"/>
      <c r="AP3396" s="9"/>
      <c r="AQ3396" s="9"/>
      <c r="AR3396" s="9"/>
      <c r="AS3396" s="9"/>
      <c r="AT3396" s="9"/>
      <c r="AU3396" s="9"/>
    </row>
    <row r="3397" spans="1:47" ht="15.75" customHeight="1">
      <c r="A3397" s="9"/>
      <c r="B3397" s="9"/>
      <c r="C3397" s="9"/>
      <c r="D3397" s="9"/>
      <c r="E3397" s="9"/>
      <c r="F3397" s="67"/>
      <c r="G3397" s="9"/>
      <c r="H3397" s="9"/>
      <c r="I3397" s="9"/>
      <c r="J3397" s="9"/>
      <c r="K3397" s="9"/>
      <c r="L3397" s="9"/>
      <c r="M3397" s="9"/>
      <c r="N3397" s="9"/>
      <c r="O3397" s="9"/>
      <c r="P3397" s="9"/>
      <c r="Q3397" s="9"/>
      <c r="R3397" s="9"/>
      <c r="S3397" s="9"/>
      <c r="T3397" s="9"/>
      <c r="U3397" s="9"/>
      <c r="V3397" s="9"/>
      <c r="W3397" s="9"/>
      <c r="X3397" s="9"/>
      <c r="Y3397" s="9"/>
      <c r="Z3397" s="9"/>
      <c r="AA3397" s="9"/>
      <c r="AB3397" s="9"/>
      <c r="AC3397" s="9"/>
      <c r="AD3397" s="9"/>
      <c r="AE3397" s="9"/>
      <c r="AF3397" s="9"/>
      <c r="AG3397" s="9"/>
      <c r="AH3397" s="9"/>
      <c r="AI3397" s="9"/>
      <c r="AJ3397" s="9"/>
      <c r="AK3397" s="9"/>
      <c r="AL3397" s="9"/>
      <c r="AM3397" s="9"/>
      <c r="AN3397" s="9"/>
      <c r="AO3397" s="9"/>
      <c r="AP3397" s="9"/>
      <c r="AQ3397" s="9"/>
      <c r="AR3397" s="9"/>
      <c r="AS3397" s="9"/>
      <c r="AT3397" s="9"/>
      <c r="AU3397" s="9"/>
    </row>
    <row r="3398" spans="1:47" ht="15.75" customHeight="1">
      <c r="A3398" s="9"/>
      <c r="B3398" s="9"/>
      <c r="C3398" s="9"/>
      <c r="D3398" s="9"/>
      <c r="E3398" s="9"/>
      <c r="F3398" s="67"/>
      <c r="G3398" s="9"/>
      <c r="H3398" s="9"/>
      <c r="I3398" s="9"/>
      <c r="J3398" s="9"/>
      <c r="K3398" s="9"/>
      <c r="L3398" s="9"/>
      <c r="M3398" s="9"/>
      <c r="N3398" s="9"/>
      <c r="O3398" s="9"/>
      <c r="P3398" s="9"/>
      <c r="Q3398" s="9"/>
      <c r="R3398" s="9"/>
      <c r="S3398" s="9"/>
      <c r="T3398" s="9"/>
      <c r="U3398" s="9"/>
      <c r="V3398" s="9"/>
      <c r="W3398" s="9"/>
      <c r="X3398" s="9"/>
      <c r="Y3398" s="9"/>
      <c r="Z3398" s="9"/>
      <c r="AA3398" s="9"/>
      <c r="AB3398" s="9"/>
      <c r="AC3398" s="9"/>
      <c r="AD3398" s="9"/>
      <c r="AE3398" s="9"/>
      <c r="AF3398" s="9"/>
      <c r="AG3398" s="9"/>
      <c r="AH3398" s="9"/>
      <c r="AI3398" s="9"/>
      <c r="AJ3398" s="9"/>
      <c r="AK3398" s="9"/>
      <c r="AL3398" s="9"/>
      <c r="AM3398" s="9"/>
      <c r="AN3398" s="9"/>
      <c r="AO3398" s="9"/>
      <c r="AP3398" s="9"/>
      <c r="AQ3398" s="9"/>
      <c r="AR3398" s="9"/>
      <c r="AS3398" s="9"/>
      <c r="AT3398" s="9"/>
      <c r="AU3398" s="9"/>
    </row>
    <row r="3399" spans="1:47" ht="15.75" customHeight="1">
      <c r="A3399" s="9"/>
      <c r="B3399" s="9"/>
      <c r="C3399" s="9"/>
      <c r="D3399" s="9"/>
      <c r="E3399" s="9"/>
      <c r="F3399" s="67"/>
      <c r="G3399" s="9"/>
      <c r="H3399" s="9"/>
      <c r="I3399" s="9"/>
      <c r="J3399" s="9"/>
      <c r="K3399" s="9"/>
      <c r="L3399" s="9"/>
      <c r="M3399" s="9"/>
      <c r="N3399" s="9"/>
      <c r="O3399" s="9"/>
      <c r="P3399" s="9"/>
      <c r="Q3399" s="9"/>
      <c r="R3399" s="9"/>
      <c r="S3399" s="9"/>
      <c r="T3399" s="9"/>
      <c r="U3399" s="9"/>
      <c r="V3399" s="9"/>
      <c r="W3399" s="9"/>
      <c r="X3399" s="9"/>
      <c r="Y3399" s="9"/>
      <c r="Z3399" s="9"/>
      <c r="AA3399" s="9"/>
      <c r="AB3399" s="9"/>
      <c r="AC3399" s="9"/>
      <c r="AD3399" s="9"/>
      <c r="AE3399" s="9"/>
      <c r="AF3399" s="9"/>
      <c r="AG3399" s="9"/>
      <c r="AH3399" s="9"/>
      <c r="AI3399" s="9"/>
      <c r="AJ3399" s="9"/>
      <c r="AK3399" s="9"/>
      <c r="AL3399" s="9"/>
      <c r="AM3399" s="9"/>
      <c r="AN3399" s="9"/>
      <c r="AO3399" s="9"/>
      <c r="AP3399" s="9"/>
      <c r="AQ3399" s="9"/>
      <c r="AR3399" s="9"/>
      <c r="AS3399" s="9"/>
      <c r="AT3399" s="9"/>
      <c r="AU3399" s="9"/>
    </row>
    <row r="3400" spans="1:47" ht="15.75" customHeight="1">
      <c r="A3400" s="9"/>
      <c r="B3400" s="9"/>
      <c r="C3400" s="9"/>
      <c r="D3400" s="9"/>
      <c r="E3400" s="9"/>
      <c r="F3400" s="67"/>
      <c r="G3400" s="9"/>
      <c r="H3400" s="9"/>
      <c r="I3400" s="9"/>
      <c r="J3400" s="9"/>
      <c r="K3400" s="9"/>
      <c r="L3400" s="9"/>
      <c r="M3400" s="9"/>
      <c r="N3400" s="9"/>
      <c r="O3400" s="9"/>
      <c r="P3400" s="9"/>
      <c r="Q3400" s="9"/>
      <c r="R3400" s="9"/>
      <c r="S3400" s="9"/>
      <c r="T3400" s="9"/>
      <c r="U3400" s="9"/>
      <c r="V3400" s="9"/>
      <c r="W3400" s="9"/>
      <c r="X3400" s="9"/>
      <c r="Y3400" s="9"/>
      <c r="Z3400" s="9"/>
      <c r="AA3400" s="9"/>
      <c r="AB3400" s="9"/>
      <c r="AC3400" s="9"/>
      <c r="AD3400" s="9"/>
      <c r="AE3400" s="9"/>
      <c r="AF3400" s="9"/>
      <c r="AG3400" s="9"/>
      <c r="AH3400" s="9"/>
      <c r="AI3400" s="9"/>
      <c r="AJ3400" s="9"/>
      <c r="AK3400" s="9"/>
      <c r="AL3400" s="9"/>
      <c r="AM3400" s="9"/>
      <c r="AN3400" s="9"/>
      <c r="AO3400" s="9"/>
      <c r="AP3400" s="9"/>
      <c r="AQ3400" s="9"/>
      <c r="AR3400" s="9"/>
      <c r="AS3400" s="9"/>
      <c r="AT3400" s="9"/>
      <c r="AU3400" s="9"/>
    </row>
    <row r="3401" spans="1:47" ht="15.75" customHeight="1">
      <c r="A3401" s="9"/>
      <c r="B3401" s="9"/>
      <c r="C3401" s="9"/>
      <c r="D3401" s="9"/>
      <c r="E3401" s="9"/>
      <c r="F3401" s="67"/>
      <c r="G3401" s="9"/>
      <c r="H3401" s="9"/>
      <c r="I3401" s="9"/>
      <c r="J3401" s="9"/>
      <c r="K3401" s="9"/>
      <c r="L3401" s="9"/>
      <c r="M3401" s="9"/>
      <c r="N3401" s="9"/>
      <c r="O3401" s="9"/>
      <c r="P3401" s="9"/>
      <c r="Q3401" s="9"/>
      <c r="R3401" s="9"/>
      <c r="S3401" s="9"/>
      <c r="T3401" s="9"/>
      <c r="U3401" s="9"/>
      <c r="V3401" s="9"/>
      <c r="W3401" s="9"/>
      <c r="X3401" s="9"/>
      <c r="Y3401" s="9"/>
      <c r="Z3401" s="9"/>
      <c r="AA3401" s="9"/>
      <c r="AB3401" s="9"/>
      <c r="AC3401" s="9"/>
      <c r="AD3401" s="9"/>
      <c r="AE3401" s="9"/>
      <c r="AF3401" s="9"/>
      <c r="AG3401" s="9"/>
      <c r="AH3401" s="9"/>
      <c r="AI3401" s="9"/>
      <c r="AJ3401" s="9"/>
      <c r="AK3401" s="9"/>
      <c r="AL3401" s="9"/>
      <c r="AM3401" s="9"/>
      <c r="AN3401" s="9"/>
      <c r="AO3401" s="9"/>
      <c r="AP3401" s="9"/>
      <c r="AQ3401" s="9"/>
      <c r="AR3401" s="9"/>
      <c r="AS3401" s="9"/>
      <c r="AT3401" s="9"/>
      <c r="AU3401" s="9"/>
    </row>
    <row r="3402" spans="1:47" ht="15.75" customHeight="1">
      <c r="A3402" s="9"/>
      <c r="B3402" s="9"/>
      <c r="C3402" s="9"/>
      <c r="D3402" s="9"/>
      <c r="E3402" s="9"/>
      <c r="F3402" s="67"/>
      <c r="G3402" s="9"/>
      <c r="H3402" s="9"/>
      <c r="I3402" s="9"/>
      <c r="J3402" s="9"/>
      <c r="K3402" s="9"/>
      <c r="L3402" s="9"/>
      <c r="M3402" s="9"/>
      <c r="N3402" s="9"/>
      <c r="O3402" s="9"/>
      <c r="P3402" s="9"/>
      <c r="Q3402" s="9"/>
      <c r="R3402" s="9"/>
      <c r="S3402" s="9"/>
      <c r="T3402" s="9"/>
      <c r="U3402" s="9"/>
      <c r="V3402" s="9"/>
      <c r="W3402" s="9"/>
      <c r="X3402" s="9"/>
      <c r="Y3402" s="9"/>
      <c r="Z3402" s="9"/>
      <c r="AA3402" s="9"/>
      <c r="AB3402" s="9"/>
      <c r="AC3402" s="9"/>
      <c r="AD3402" s="9"/>
      <c r="AE3402" s="9"/>
      <c r="AF3402" s="9"/>
      <c r="AG3402" s="9"/>
      <c r="AH3402" s="9"/>
      <c r="AI3402" s="9"/>
      <c r="AJ3402" s="9"/>
      <c r="AK3402" s="9"/>
      <c r="AL3402" s="9"/>
      <c r="AM3402" s="9"/>
      <c r="AN3402" s="9"/>
      <c r="AO3402" s="9"/>
      <c r="AP3402" s="9"/>
      <c r="AQ3402" s="9"/>
      <c r="AR3402" s="9"/>
      <c r="AS3402" s="9"/>
      <c r="AT3402" s="9"/>
      <c r="AU3402" s="9"/>
    </row>
    <row r="3403" spans="1:47" ht="15.75" customHeight="1">
      <c r="A3403" s="9"/>
      <c r="B3403" s="9"/>
      <c r="C3403" s="9"/>
      <c r="D3403" s="9"/>
      <c r="E3403" s="9"/>
      <c r="F3403" s="67"/>
      <c r="G3403" s="9"/>
      <c r="H3403" s="9"/>
      <c r="I3403" s="9"/>
      <c r="J3403" s="9"/>
      <c r="K3403" s="9"/>
      <c r="L3403" s="9"/>
      <c r="M3403" s="9"/>
      <c r="N3403" s="9"/>
      <c r="O3403" s="9"/>
      <c r="P3403" s="9"/>
      <c r="Q3403" s="9"/>
      <c r="R3403" s="9"/>
      <c r="S3403" s="9"/>
      <c r="T3403" s="9"/>
      <c r="U3403" s="9"/>
      <c r="V3403" s="9"/>
      <c r="W3403" s="9"/>
      <c r="X3403" s="9"/>
      <c r="Y3403" s="9"/>
      <c r="Z3403" s="9"/>
      <c r="AA3403" s="9"/>
      <c r="AB3403" s="9"/>
      <c r="AC3403" s="9"/>
      <c r="AD3403" s="9"/>
      <c r="AE3403" s="9"/>
      <c r="AF3403" s="9"/>
      <c r="AG3403" s="9"/>
      <c r="AH3403" s="9"/>
      <c r="AI3403" s="9"/>
      <c r="AJ3403" s="9"/>
      <c r="AK3403" s="9"/>
      <c r="AL3403" s="9"/>
      <c r="AM3403" s="9"/>
      <c r="AN3403" s="9"/>
      <c r="AO3403" s="9"/>
      <c r="AP3403" s="9"/>
      <c r="AQ3403" s="9"/>
      <c r="AR3403" s="9"/>
      <c r="AS3403" s="9"/>
      <c r="AT3403" s="9"/>
      <c r="AU3403" s="9"/>
    </row>
    <row r="3404" spans="1:47" ht="15.75" customHeight="1">
      <c r="A3404" s="9"/>
      <c r="B3404" s="9"/>
      <c r="C3404" s="9"/>
      <c r="D3404" s="9"/>
      <c r="E3404" s="9"/>
      <c r="F3404" s="67"/>
      <c r="G3404" s="9"/>
      <c r="H3404" s="9"/>
      <c r="I3404" s="9"/>
      <c r="J3404" s="9"/>
      <c r="K3404" s="9"/>
      <c r="L3404" s="9"/>
      <c r="M3404" s="9"/>
      <c r="N3404" s="9"/>
      <c r="O3404" s="9"/>
      <c r="P3404" s="9"/>
      <c r="Q3404" s="9"/>
      <c r="R3404" s="9"/>
      <c r="S3404" s="9"/>
      <c r="T3404" s="9"/>
      <c r="U3404" s="9"/>
      <c r="V3404" s="9"/>
      <c r="W3404" s="9"/>
      <c r="X3404" s="9"/>
      <c r="Y3404" s="9"/>
      <c r="Z3404" s="9"/>
      <c r="AA3404" s="9"/>
      <c r="AB3404" s="9"/>
      <c r="AC3404" s="9"/>
      <c r="AD3404" s="9"/>
      <c r="AE3404" s="9"/>
      <c r="AF3404" s="9"/>
      <c r="AG3404" s="9"/>
      <c r="AH3404" s="9"/>
      <c r="AI3404" s="9"/>
      <c r="AJ3404" s="9"/>
      <c r="AK3404" s="9"/>
      <c r="AL3404" s="9"/>
      <c r="AM3404" s="9"/>
      <c r="AN3404" s="9"/>
      <c r="AO3404" s="9"/>
      <c r="AP3404" s="9"/>
      <c r="AQ3404" s="9"/>
      <c r="AR3404" s="9"/>
      <c r="AS3404" s="9"/>
      <c r="AT3404" s="9"/>
      <c r="AU3404" s="9"/>
    </row>
    <row r="3405" spans="1:47" ht="15.75" customHeight="1">
      <c r="A3405" s="9"/>
      <c r="B3405" s="9"/>
      <c r="C3405" s="9"/>
      <c r="D3405" s="9"/>
      <c r="E3405" s="9"/>
      <c r="F3405" s="67"/>
      <c r="G3405" s="9"/>
      <c r="H3405" s="9"/>
      <c r="I3405" s="9"/>
      <c r="J3405" s="9"/>
      <c r="K3405" s="9"/>
      <c r="L3405" s="9"/>
      <c r="M3405" s="9"/>
      <c r="N3405" s="9"/>
      <c r="O3405" s="9"/>
      <c r="P3405" s="9"/>
      <c r="Q3405" s="9"/>
      <c r="R3405" s="9"/>
      <c r="S3405" s="9"/>
      <c r="T3405" s="9"/>
      <c r="U3405" s="9"/>
      <c r="V3405" s="9"/>
      <c r="W3405" s="9"/>
      <c r="X3405" s="9"/>
      <c r="Y3405" s="9"/>
      <c r="Z3405" s="9"/>
      <c r="AA3405" s="9"/>
      <c r="AB3405" s="9"/>
      <c r="AC3405" s="9"/>
      <c r="AD3405" s="9"/>
      <c r="AE3405" s="9"/>
      <c r="AF3405" s="9"/>
      <c r="AG3405" s="9"/>
      <c r="AH3405" s="9"/>
      <c r="AI3405" s="9"/>
      <c r="AJ3405" s="9"/>
      <c r="AK3405" s="9"/>
      <c r="AL3405" s="9"/>
      <c r="AM3405" s="9"/>
      <c r="AN3405" s="9"/>
      <c r="AO3405" s="9"/>
      <c r="AP3405" s="9"/>
      <c r="AQ3405" s="9"/>
      <c r="AR3405" s="9"/>
      <c r="AS3405" s="9"/>
      <c r="AT3405" s="9"/>
      <c r="AU3405" s="9"/>
    </row>
    <row r="3406" spans="1:47" ht="15.75" customHeight="1">
      <c r="A3406" s="9"/>
      <c r="B3406" s="9"/>
      <c r="C3406" s="9"/>
      <c r="D3406" s="9"/>
      <c r="E3406" s="9"/>
      <c r="F3406" s="67"/>
      <c r="G3406" s="9"/>
      <c r="H3406" s="9"/>
      <c r="I3406" s="9"/>
      <c r="J3406" s="9"/>
      <c r="K3406" s="9"/>
      <c r="L3406" s="9"/>
      <c r="M3406" s="9"/>
      <c r="N3406" s="9"/>
      <c r="O3406" s="9"/>
      <c r="P3406" s="9"/>
      <c r="Q3406" s="9"/>
      <c r="R3406" s="9"/>
      <c r="S3406" s="9"/>
      <c r="T3406" s="9"/>
      <c r="U3406" s="9"/>
      <c r="V3406" s="9"/>
      <c r="W3406" s="9"/>
      <c r="X3406" s="9"/>
      <c r="Y3406" s="9"/>
      <c r="Z3406" s="9"/>
      <c r="AA3406" s="9"/>
      <c r="AB3406" s="9"/>
      <c r="AC3406" s="9"/>
      <c r="AD3406" s="9"/>
      <c r="AE3406" s="9"/>
      <c r="AF3406" s="9"/>
      <c r="AG3406" s="9"/>
      <c r="AH3406" s="9"/>
      <c r="AI3406" s="9"/>
      <c r="AJ3406" s="9"/>
      <c r="AK3406" s="9"/>
      <c r="AL3406" s="9"/>
      <c r="AM3406" s="9"/>
      <c r="AN3406" s="9"/>
      <c r="AO3406" s="9"/>
      <c r="AP3406" s="9"/>
      <c r="AQ3406" s="9"/>
      <c r="AR3406" s="9"/>
      <c r="AS3406" s="9"/>
      <c r="AT3406" s="9"/>
      <c r="AU3406" s="9"/>
    </row>
    <row r="3407" spans="1:47" ht="15.75" customHeight="1">
      <c r="A3407" s="9"/>
      <c r="B3407" s="9"/>
      <c r="C3407" s="9"/>
      <c r="D3407" s="9"/>
      <c r="E3407" s="9"/>
      <c r="F3407" s="67"/>
      <c r="G3407" s="9"/>
      <c r="H3407" s="9"/>
      <c r="I3407" s="9"/>
      <c r="J3407" s="9"/>
      <c r="K3407" s="9"/>
      <c r="L3407" s="9"/>
      <c r="M3407" s="9"/>
      <c r="N3407" s="9"/>
      <c r="O3407" s="9"/>
      <c r="P3407" s="9"/>
      <c r="Q3407" s="9"/>
      <c r="R3407" s="9"/>
      <c r="S3407" s="9"/>
      <c r="T3407" s="9"/>
      <c r="U3407" s="9"/>
      <c r="V3407" s="9"/>
      <c r="W3407" s="9"/>
      <c r="X3407" s="9"/>
      <c r="Y3407" s="9"/>
      <c r="Z3407" s="9"/>
      <c r="AA3407" s="9"/>
      <c r="AB3407" s="9"/>
      <c r="AC3407" s="9"/>
      <c r="AD3407" s="9"/>
      <c r="AE3407" s="9"/>
      <c r="AF3407" s="9"/>
      <c r="AG3407" s="9"/>
      <c r="AH3407" s="9"/>
      <c r="AI3407" s="9"/>
      <c r="AJ3407" s="9"/>
      <c r="AK3407" s="9"/>
      <c r="AL3407" s="9"/>
      <c r="AM3407" s="9"/>
      <c r="AN3407" s="9"/>
      <c r="AO3407" s="9"/>
      <c r="AP3407" s="9"/>
      <c r="AQ3407" s="9"/>
      <c r="AR3407" s="9"/>
      <c r="AS3407" s="9"/>
      <c r="AT3407" s="9"/>
      <c r="AU3407" s="9"/>
    </row>
    <row r="3408" spans="1:47" ht="15.75" customHeight="1">
      <c r="A3408" s="9"/>
      <c r="B3408" s="9"/>
      <c r="C3408" s="9"/>
      <c r="D3408" s="9"/>
      <c r="E3408" s="9"/>
      <c r="F3408" s="67"/>
      <c r="G3408" s="9"/>
      <c r="H3408" s="9"/>
      <c r="I3408" s="9"/>
      <c r="J3408" s="9"/>
      <c r="K3408" s="9"/>
      <c r="L3408" s="9"/>
      <c r="M3408" s="9"/>
      <c r="N3408" s="9"/>
      <c r="O3408" s="9"/>
      <c r="P3408" s="9"/>
      <c r="Q3408" s="9"/>
      <c r="R3408" s="9"/>
      <c r="S3408" s="9"/>
      <c r="T3408" s="9"/>
      <c r="U3408" s="9"/>
      <c r="V3408" s="9"/>
      <c r="W3408" s="9"/>
      <c r="X3408" s="9"/>
      <c r="Y3408" s="9"/>
      <c r="Z3408" s="9"/>
      <c r="AA3408" s="9"/>
      <c r="AB3408" s="9"/>
      <c r="AC3408" s="9"/>
      <c r="AD3408" s="9"/>
      <c r="AE3408" s="9"/>
      <c r="AF3408" s="9"/>
      <c r="AG3408" s="9"/>
      <c r="AH3408" s="9"/>
      <c r="AI3408" s="9"/>
      <c r="AJ3408" s="9"/>
      <c r="AK3408" s="9"/>
      <c r="AL3408" s="9"/>
      <c r="AM3408" s="9"/>
      <c r="AN3408" s="9"/>
      <c r="AO3408" s="9"/>
      <c r="AP3408" s="9"/>
      <c r="AQ3408" s="9"/>
      <c r="AR3408" s="9"/>
      <c r="AS3408" s="9"/>
      <c r="AT3408" s="9"/>
      <c r="AU3408" s="9"/>
    </row>
    <row r="3409" spans="1:47" ht="15.75" customHeight="1">
      <c r="A3409" s="9"/>
      <c r="B3409" s="9"/>
      <c r="C3409" s="9"/>
      <c r="D3409" s="9"/>
      <c r="E3409" s="9"/>
      <c r="F3409" s="67"/>
      <c r="G3409" s="9"/>
      <c r="H3409" s="9"/>
      <c r="I3409" s="9"/>
      <c r="J3409" s="9"/>
      <c r="K3409" s="9"/>
      <c r="L3409" s="9"/>
      <c r="M3409" s="9"/>
      <c r="N3409" s="9"/>
      <c r="O3409" s="9"/>
      <c r="P3409" s="9"/>
      <c r="Q3409" s="9"/>
      <c r="R3409" s="9"/>
      <c r="S3409" s="9"/>
      <c r="T3409" s="9"/>
      <c r="U3409" s="9"/>
      <c r="V3409" s="9"/>
      <c r="W3409" s="9"/>
      <c r="X3409" s="9"/>
      <c r="Y3409" s="9"/>
      <c r="Z3409" s="9"/>
      <c r="AA3409" s="9"/>
      <c r="AB3409" s="9"/>
      <c r="AC3409" s="9"/>
      <c r="AD3409" s="9"/>
      <c r="AE3409" s="9"/>
      <c r="AF3409" s="9"/>
      <c r="AG3409" s="9"/>
      <c r="AH3409" s="9"/>
      <c r="AI3409" s="9"/>
      <c r="AJ3409" s="9"/>
      <c r="AK3409" s="9"/>
      <c r="AL3409" s="9"/>
      <c r="AM3409" s="9"/>
      <c r="AN3409" s="9"/>
      <c r="AO3409" s="9"/>
      <c r="AP3409" s="9"/>
      <c r="AQ3409" s="9"/>
      <c r="AR3409" s="9"/>
      <c r="AS3409" s="9"/>
      <c r="AT3409" s="9"/>
      <c r="AU3409" s="9"/>
    </row>
    <row r="3410" spans="1:47" ht="15.75" customHeight="1">
      <c r="A3410" s="9"/>
      <c r="B3410" s="9"/>
      <c r="C3410" s="9"/>
      <c r="D3410" s="9"/>
      <c r="E3410" s="9"/>
      <c r="F3410" s="67"/>
      <c r="G3410" s="9"/>
      <c r="H3410" s="9"/>
      <c r="I3410" s="9"/>
      <c r="J3410" s="9"/>
      <c r="K3410" s="9"/>
      <c r="L3410" s="9"/>
      <c r="M3410" s="9"/>
      <c r="N3410" s="9"/>
      <c r="O3410" s="9"/>
      <c r="P3410" s="9"/>
      <c r="Q3410" s="9"/>
      <c r="R3410" s="9"/>
      <c r="S3410" s="9"/>
      <c r="T3410" s="9"/>
      <c r="U3410" s="9"/>
      <c r="V3410" s="9"/>
      <c r="W3410" s="9"/>
      <c r="X3410" s="9"/>
      <c r="Y3410" s="9"/>
      <c r="Z3410" s="9"/>
      <c r="AA3410" s="9"/>
      <c r="AB3410" s="9"/>
      <c r="AC3410" s="9"/>
      <c r="AD3410" s="9"/>
      <c r="AE3410" s="9"/>
      <c r="AF3410" s="9"/>
      <c r="AG3410" s="9"/>
      <c r="AH3410" s="9"/>
      <c r="AI3410" s="9"/>
      <c r="AJ3410" s="9"/>
      <c r="AK3410" s="9"/>
      <c r="AL3410" s="9"/>
      <c r="AM3410" s="9"/>
      <c r="AN3410" s="9"/>
      <c r="AO3410" s="9"/>
      <c r="AP3410" s="9"/>
      <c r="AQ3410" s="9"/>
      <c r="AR3410" s="9"/>
      <c r="AS3410" s="9"/>
      <c r="AT3410" s="9"/>
      <c r="AU3410" s="9"/>
    </row>
    <row r="3411" spans="1:47" ht="15.75" customHeight="1">
      <c r="A3411" s="9"/>
      <c r="B3411" s="9"/>
      <c r="C3411" s="9"/>
      <c r="D3411" s="9"/>
      <c r="E3411" s="9"/>
      <c r="F3411" s="67"/>
      <c r="G3411" s="9"/>
      <c r="H3411" s="9"/>
      <c r="I3411" s="9"/>
      <c r="J3411" s="9"/>
      <c r="K3411" s="9"/>
      <c r="L3411" s="9"/>
      <c r="M3411" s="9"/>
      <c r="N3411" s="9"/>
      <c r="O3411" s="9"/>
      <c r="P3411" s="9"/>
      <c r="Q3411" s="9"/>
      <c r="R3411" s="9"/>
      <c r="S3411" s="9"/>
      <c r="T3411" s="9"/>
      <c r="U3411" s="9"/>
      <c r="V3411" s="9"/>
      <c r="W3411" s="9"/>
      <c r="X3411" s="9"/>
      <c r="Y3411" s="9"/>
      <c r="Z3411" s="9"/>
      <c r="AA3411" s="9"/>
      <c r="AB3411" s="9"/>
      <c r="AC3411" s="9"/>
      <c r="AD3411" s="9"/>
      <c r="AE3411" s="9"/>
      <c r="AF3411" s="9"/>
      <c r="AG3411" s="9"/>
      <c r="AH3411" s="9"/>
      <c r="AI3411" s="9"/>
      <c r="AJ3411" s="9"/>
      <c r="AK3411" s="9"/>
      <c r="AL3411" s="9"/>
      <c r="AM3411" s="9"/>
      <c r="AN3411" s="9"/>
      <c r="AO3411" s="9"/>
      <c r="AP3411" s="9"/>
      <c r="AQ3411" s="9"/>
      <c r="AR3411" s="9"/>
      <c r="AS3411" s="9"/>
      <c r="AT3411" s="9"/>
      <c r="AU3411" s="9"/>
    </row>
    <row r="3412" spans="1:47" ht="15.75" customHeight="1">
      <c r="A3412" s="9"/>
      <c r="B3412" s="9"/>
      <c r="C3412" s="9"/>
      <c r="D3412" s="9"/>
      <c r="E3412" s="9"/>
      <c r="F3412" s="67"/>
      <c r="G3412" s="9"/>
      <c r="H3412" s="9"/>
      <c r="I3412" s="9"/>
      <c r="J3412" s="9"/>
      <c r="K3412" s="9"/>
      <c r="L3412" s="9"/>
      <c r="M3412" s="9"/>
      <c r="N3412" s="9"/>
      <c r="O3412" s="9"/>
      <c r="P3412" s="9"/>
      <c r="Q3412" s="9"/>
      <c r="R3412" s="9"/>
      <c r="S3412" s="9"/>
      <c r="T3412" s="9"/>
      <c r="U3412" s="9"/>
      <c r="V3412" s="9"/>
      <c r="W3412" s="9"/>
      <c r="X3412" s="9"/>
      <c r="Y3412" s="9"/>
      <c r="Z3412" s="9"/>
      <c r="AA3412" s="9"/>
      <c r="AB3412" s="9"/>
      <c r="AC3412" s="9"/>
      <c r="AD3412" s="9"/>
      <c r="AE3412" s="9"/>
      <c r="AF3412" s="9"/>
      <c r="AG3412" s="9"/>
      <c r="AH3412" s="9"/>
      <c r="AI3412" s="9"/>
      <c r="AJ3412" s="9"/>
      <c r="AK3412" s="9"/>
      <c r="AL3412" s="9"/>
      <c r="AM3412" s="9"/>
      <c r="AN3412" s="9"/>
      <c r="AO3412" s="9"/>
      <c r="AP3412" s="9"/>
      <c r="AQ3412" s="9"/>
      <c r="AR3412" s="9"/>
      <c r="AS3412" s="9"/>
      <c r="AT3412" s="9"/>
      <c r="AU3412" s="9"/>
    </row>
    <row r="3413" spans="1:47" ht="15.75" customHeight="1">
      <c r="A3413" s="9"/>
      <c r="B3413" s="9"/>
      <c r="C3413" s="9"/>
      <c r="D3413" s="9"/>
      <c r="E3413" s="9"/>
      <c r="F3413" s="67"/>
      <c r="G3413" s="9"/>
      <c r="H3413" s="9"/>
      <c r="I3413" s="9"/>
      <c r="J3413" s="9"/>
      <c r="K3413" s="9"/>
      <c r="L3413" s="9"/>
      <c r="M3413" s="9"/>
      <c r="N3413" s="9"/>
      <c r="O3413" s="9"/>
      <c r="P3413" s="9"/>
      <c r="Q3413" s="9"/>
      <c r="R3413" s="9"/>
      <c r="S3413" s="9"/>
      <c r="T3413" s="9"/>
      <c r="U3413" s="9"/>
      <c r="V3413" s="9"/>
      <c r="W3413" s="9"/>
      <c r="X3413" s="9"/>
      <c r="Y3413" s="9"/>
      <c r="Z3413" s="9"/>
      <c r="AA3413" s="9"/>
      <c r="AB3413" s="9"/>
      <c r="AC3413" s="9"/>
      <c r="AD3413" s="9"/>
      <c r="AE3413" s="9"/>
      <c r="AF3413" s="9"/>
      <c r="AG3413" s="9"/>
      <c r="AH3413" s="9"/>
      <c r="AI3413" s="9"/>
      <c r="AJ3413" s="9"/>
      <c r="AK3413" s="9"/>
      <c r="AL3413" s="9"/>
      <c r="AM3413" s="9"/>
      <c r="AN3413" s="9"/>
      <c r="AO3413" s="9"/>
      <c r="AP3413" s="9"/>
      <c r="AQ3413" s="9"/>
      <c r="AR3413" s="9"/>
      <c r="AS3413" s="9"/>
      <c r="AT3413" s="9"/>
      <c r="AU3413" s="9"/>
    </row>
    <row r="3414" spans="1:47" ht="15.75" customHeight="1">
      <c r="A3414" s="9"/>
      <c r="B3414" s="9"/>
      <c r="C3414" s="9"/>
      <c r="D3414" s="9"/>
      <c r="E3414" s="9"/>
      <c r="F3414" s="67"/>
      <c r="G3414" s="9"/>
      <c r="H3414" s="9"/>
      <c r="I3414" s="9"/>
      <c r="J3414" s="9"/>
      <c r="K3414" s="9"/>
      <c r="L3414" s="9"/>
      <c r="M3414" s="9"/>
      <c r="N3414" s="9"/>
      <c r="O3414" s="9"/>
      <c r="P3414" s="9"/>
      <c r="Q3414" s="9"/>
      <c r="R3414" s="9"/>
      <c r="S3414" s="9"/>
      <c r="T3414" s="9"/>
      <c r="U3414" s="9"/>
      <c r="V3414" s="9"/>
      <c r="W3414" s="9"/>
      <c r="X3414" s="9"/>
      <c r="Y3414" s="9"/>
      <c r="Z3414" s="9"/>
      <c r="AA3414" s="9"/>
      <c r="AB3414" s="9"/>
      <c r="AC3414" s="9"/>
      <c r="AD3414" s="9"/>
      <c r="AE3414" s="9"/>
      <c r="AF3414" s="9"/>
      <c r="AG3414" s="9"/>
      <c r="AH3414" s="9"/>
      <c r="AI3414" s="9"/>
      <c r="AJ3414" s="9"/>
      <c r="AK3414" s="9"/>
      <c r="AL3414" s="9"/>
      <c r="AM3414" s="9"/>
      <c r="AN3414" s="9"/>
      <c r="AO3414" s="9"/>
      <c r="AP3414" s="9"/>
      <c r="AQ3414" s="9"/>
      <c r="AR3414" s="9"/>
      <c r="AS3414" s="9"/>
      <c r="AT3414" s="9"/>
      <c r="AU3414" s="9"/>
    </row>
    <row r="3415" spans="1:47" ht="15.75" customHeight="1">
      <c r="A3415" s="9"/>
      <c r="B3415" s="9"/>
      <c r="C3415" s="9"/>
      <c r="D3415" s="9"/>
      <c r="E3415" s="9"/>
      <c r="F3415" s="67"/>
      <c r="G3415" s="9"/>
      <c r="H3415" s="9"/>
      <c r="I3415" s="9"/>
      <c r="J3415" s="9"/>
      <c r="K3415" s="9"/>
      <c r="L3415" s="9"/>
      <c r="M3415" s="9"/>
      <c r="N3415" s="9"/>
      <c r="O3415" s="9"/>
      <c r="P3415" s="9"/>
      <c r="Q3415" s="9"/>
      <c r="R3415" s="9"/>
      <c r="S3415" s="9"/>
      <c r="T3415" s="9"/>
      <c r="U3415" s="9"/>
      <c r="V3415" s="9"/>
      <c r="W3415" s="9"/>
      <c r="X3415" s="9"/>
      <c r="Y3415" s="9"/>
      <c r="Z3415" s="9"/>
      <c r="AA3415" s="9"/>
      <c r="AB3415" s="9"/>
      <c r="AC3415" s="9"/>
      <c r="AD3415" s="9"/>
      <c r="AE3415" s="9"/>
      <c r="AF3415" s="9"/>
      <c r="AG3415" s="9"/>
      <c r="AH3415" s="9"/>
      <c r="AI3415" s="9"/>
      <c r="AJ3415" s="9"/>
      <c r="AK3415" s="9"/>
      <c r="AL3415" s="9"/>
      <c r="AM3415" s="9"/>
      <c r="AN3415" s="9"/>
      <c r="AO3415" s="9"/>
      <c r="AP3415" s="9"/>
      <c r="AQ3415" s="9"/>
      <c r="AR3415" s="9"/>
      <c r="AS3415" s="9"/>
      <c r="AT3415" s="9"/>
      <c r="AU3415" s="9"/>
    </row>
    <row r="3416" spans="1:47" ht="15.75" customHeight="1">
      <c r="A3416" s="9"/>
      <c r="B3416" s="9"/>
      <c r="C3416" s="9"/>
      <c r="D3416" s="9"/>
      <c r="E3416" s="9"/>
      <c r="F3416" s="67"/>
      <c r="G3416" s="9"/>
      <c r="H3416" s="9"/>
      <c r="I3416" s="9"/>
      <c r="J3416" s="9"/>
      <c r="K3416" s="9"/>
      <c r="L3416" s="9"/>
      <c r="M3416" s="9"/>
      <c r="N3416" s="9"/>
      <c r="O3416" s="9"/>
      <c r="P3416" s="9"/>
      <c r="Q3416" s="9"/>
      <c r="R3416" s="9"/>
      <c r="S3416" s="9"/>
      <c r="T3416" s="9"/>
      <c r="U3416" s="9"/>
      <c r="V3416" s="9"/>
      <c r="W3416" s="9"/>
      <c r="X3416" s="9"/>
      <c r="Y3416" s="9"/>
      <c r="Z3416" s="9"/>
      <c r="AA3416" s="9"/>
      <c r="AB3416" s="9"/>
      <c r="AC3416" s="9"/>
      <c r="AD3416" s="9"/>
      <c r="AE3416" s="9"/>
      <c r="AF3416" s="9"/>
      <c r="AG3416" s="9"/>
      <c r="AH3416" s="9"/>
      <c r="AI3416" s="9"/>
      <c r="AJ3416" s="9"/>
      <c r="AK3416" s="9"/>
      <c r="AL3416" s="9"/>
      <c r="AM3416" s="9"/>
      <c r="AN3416" s="9"/>
      <c r="AO3416" s="9"/>
      <c r="AP3416" s="9"/>
      <c r="AQ3416" s="9"/>
      <c r="AR3416" s="9"/>
      <c r="AS3416" s="9"/>
      <c r="AT3416" s="9"/>
      <c r="AU3416" s="9"/>
    </row>
    <row r="3417" spans="1:47" ht="15.75" customHeight="1">
      <c r="A3417" s="9"/>
      <c r="B3417" s="9"/>
      <c r="C3417" s="9"/>
      <c r="D3417" s="9"/>
      <c r="E3417" s="9"/>
      <c r="F3417" s="67"/>
      <c r="G3417" s="9"/>
      <c r="H3417" s="9"/>
      <c r="I3417" s="9"/>
      <c r="J3417" s="9"/>
      <c r="K3417" s="9"/>
      <c r="L3417" s="9"/>
      <c r="M3417" s="9"/>
      <c r="N3417" s="9"/>
      <c r="O3417" s="9"/>
      <c r="P3417" s="9"/>
      <c r="Q3417" s="9"/>
      <c r="R3417" s="9"/>
      <c r="S3417" s="9"/>
      <c r="T3417" s="9"/>
      <c r="U3417" s="9"/>
      <c r="V3417" s="9"/>
      <c r="W3417" s="9"/>
      <c r="X3417" s="9"/>
      <c r="Y3417" s="9"/>
      <c r="Z3417" s="9"/>
      <c r="AA3417" s="9"/>
      <c r="AB3417" s="9"/>
      <c r="AC3417" s="9"/>
      <c r="AD3417" s="9"/>
      <c r="AE3417" s="9"/>
      <c r="AF3417" s="9"/>
      <c r="AG3417" s="9"/>
      <c r="AH3417" s="9"/>
      <c r="AI3417" s="9"/>
      <c r="AJ3417" s="9"/>
      <c r="AK3417" s="9"/>
      <c r="AL3417" s="9"/>
      <c r="AM3417" s="9"/>
      <c r="AN3417" s="9"/>
      <c r="AO3417" s="9"/>
      <c r="AP3417" s="9"/>
      <c r="AQ3417" s="9"/>
      <c r="AR3417" s="9"/>
      <c r="AS3417" s="9"/>
      <c r="AT3417" s="9"/>
      <c r="AU3417" s="9"/>
    </row>
    <row r="3418" spans="1:47" ht="15.75" customHeight="1">
      <c r="A3418" s="9"/>
      <c r="B3418" s="9"/>
      <c r="C3418" s="9"/>
      <c r="D3418" s="9"/>
      <c r="E3418" s="9"/>
      <c r="F3418" s="67"/>
      <c r="G3418" s="9"/>
      <c r="H3418" s="9"/>
      <c r="I3418" s="9"/>
      <c r="J3418" s="9"/>
      <c r="K3418" s="9"/>
      <c r="L3418" s="9"/>
      <c r="M3418" s="9"/>
      <c r="N3418" s="9"/>
      <c r="O3418" s="9"/>
      <c r="P3418" s="9"/>
      <c r="Q3418" s="9"/>
      <c r="R3418" s="9"/>
      <c r="S3418" s="9"/>
      <c r="T3418" s="9"/>
      <c r="U3418" s="9"/>
      <c r="V3418" s="9"/>
      <c r="W3418" s="9"/>
      <c r="X3418" s="9"/>
      <c r="Y3418" s="9"/>
      <c r="Z3418" s="9"/>
      <c r="AA3418" s="9"/>
      <c r="AB3418" s="9"/>
      <c r="AC3418" s="9"/>
      <c r="AD3418" s="9"/>
      <c r="AE3418" s="9"/>
      <c r="AF3418" s="9"/>
      <c r="AG3418" s="9"/>
      <c r="AH3418" s="9"/>
      <c r="AI3418" s="9"/>
      <c r="AJ3418" s="9"/>
      <c r="AK3418" s="9"/>
      <c r="AL3418" s="9"/>
      <c r="AM3418" s="9"/>
      <c r="AN3418" s="9"/>
      <c r="AO3418" s="9"/>
      <c r="AP3418" s="9"/>
      <c r="AQ3418" s="9"/>
      <c r="AR3418" s="9"/>
      <c r="AS3418" s="9"/>
      <c r="AT3418" s="9"/>
      <c r="AU3418" s="9"/>
    </row>
    <row r="3419" spans="1:47" ht="15.75" customHeight="1">
      <c r="A3419" s="9"/>
      <c r="B3419" s="9"/>
      <c r="C3419" s="9"/>
      <c r="D3419" s="9"/>
      <c r="E3419" s="9"/>
      <c r="F3419" s="67"/>
      <c r="G3419" s="9"/>
      <c r="H3419" s="9"/>
      <c r="I3419" s="9"/>
      <c r="J3419" s="9"/>
      <c r="K3419" s="9"/>
      <c r="L3419" s="9"/>
      <c r="M3419" s="9"/>
      <c r="N3419" s="9"/>
      <c r="O3419" s="9"/>
      <c r="P3419" s="9"/>
      <c r="Q3419" s="9"/>
      <c r="R3419" s="9"/>
      <c r="S3419" s="9"/>
      <c r="T3419" s="9"/>
      <c r="U3419" s="9"/>
      <c r="V3419" s="9"/>
      <c r="W3419" s="9"/>
      <c r="X3419" s="9"/>
      <c r="Y3419" s="9"/>
      <c r="Z3419" s="9"/>
      <c r="AA3419" s="9"/>
      <c r="AB3419" s="9"/>
      <c r="AC3419" s="9"/>
      <c r="AD3419" s="9"/>
      <c r="AE3419" s="9"/>
      <c r="AF3419" s="9"/>
      <c r="AG3419" s="9"/>
      <c r="AH3419" s="9"/>
      <c r="AI3419" s="9"/>
      <c r="AJ3419" s="9"/>
      <c r="AK3419" s="9"/>
      <c r="AL3419" s="9"/>
      <c r="AM3419" s="9"/>
      <c r="AN3419" s="9"/>
      <c r="AO3419" s="9"/>
      <c r="AP3419" s="9"/>
      <c r="AQ3419" s="9"/>
      <c r="AR3419" s="9"/>
      <c r="AS3419" s="9"/>
      <c r="AT3419" s="9"/>
      <c r="AU3419" s="9"/>
    </row>
    <row r="3420" spans="1:47" ht="15.75" customHeight="1">
      <c r="A3420" s="9"/>
      <c r="B3420" s="9"/>
      <c r="C3420" s="9"/>
      <c r="D3420" s="9"/>
      <c r="E3420" s="9"/>
      <c r="F3420" s="67"/>
      <c r="G3420" s="9"/>
      <c r="H3420" s="9"/>
      <c r="I3420" s="9"/>
      <c r="J3420" s="9"/>
      <c r="K3420" s="9"/>
      <c r="L3420" s="9"/>
      <c r="M3420" s="9"/>
      <c r="N3420" s="9"/>
      <c r="O3420" s="9"/>
      <c r="P3420" s="9"/>
      <c r="Q3420" s="9"/>
      <c r="R3420" s="9"/>
      <c r="S3420" s="9"/>
      <c r="T3420" s="9"/>
      <c r="U3420" s="9"/>
      <c r="V3420" s="9"/>
      <c r="W3420" s="9"/>
      <c r="X3420" s="9"/>
      <c r="Y3420" s="9"/>
      <c r="Z3420" s="9"/>
      <c r="AA3420" s="9"/>
      <c r="AB3420" s="9"/>
      <c r="AC3420" s="9"/>
      <c r="AD3420" s="9"/>
      <c r="AE3420" s="9"/>
      <c r="AF3420" s="9"/>
      <c r="AG3420" s="9"/>
      <c r="AH3420" s="9"/>
      <c r="AI3420" s="9"/>
      <c r="AJ3420" s="9"/>
      <c r="AK3420" s="9"/>
      <c r="AL3420" s="9"/>
      <c r="AM3420" s="9"/>
      <c r="AN3420" s="9"/>
      <c r="AO3420" s="9"/>
      <c r="AP3420" s="9"/>
      <c r="AQ3420" s="9"/>
      <c r="AR3420" s="9"/>
      <c r="AS3420" s="9"/>
      <c r="AT3420" s="9"/>
      <c r="AU3420" s="9"/>
    </row>
    <row r="3421" spans="1:47" ht="15.75" customHeight="1">
      <c r="A3421" s="9"/>
      <c r="B3421" s="9"/>
      <c r="C3421" s="9"/>
      <c r="D3421" s="9"/>
      <c r="E3421" s="9"/>
      <c r="F3421" s="67"/>
      <c r="G3421" s="9"/>
      <c r="H3421" s="9"/>
      <c r="I3421" s="9"/>
      <c r="J3421" s="9"/>
      <c r="K3421" s="9"/>
      <c r="L3421" s="9"/>
      <c r="M3421" s="9"/>
      <c r="N3421" s="9"/>
      <c r="O3421" s="9"/>
      <c r="P3421" s="9"/>
      <c r="Q3421" s="9"/>
      <c r="R3421" s="9"/>
      <c r="S3421" s="9"/>
      <c r="T3421" s="9"/>
      <c r="U3421" s="9"/>
      <c r="V3421" s="9"/>
      <c r="W3421" s="9"/>
      <c r="X3421" s="9"/>
      <c r="Y3421" s="9"/>
      <c r="Z3421" s="9"/>
      <c r="AA3421" s="9"/>
      <c r="AB3421" s="9"/>
      <c r="AC3421" s="9"/>
      <c r="AD3421" s="9"/>
      <c r="AE3421" s="9"/>
      <c r="AF3421" s="9"/>
      <c r="AG3421" s="9"/>
      <c r="AH3421" s="9"/>
      <c r="AI3421" s="9"/>
      <c r="AJ3421" s="9"/>
      <c r="AK3421" s="9"/>
      <c r="AL3421" s="9"/>
      <c r="AM3421" s="9"/>
      <c r="AN3421" s="9"/>
      <c r="AO3421" s="9"/>
      <c r="AP3421" s="9"/>
      <c r="AQ3421" s="9"/>
      <c r="AR3421" s="9"/>
      <c r="AS3421" s="9"/>
      <c r="AT3421" s="9"/>
      <c r="AU3421" s="9"/>
    </row>
    <row r="3422" spans="1:47" ht="15.75" customHeight="1">
      <c r="A3422" s="9"/>
      <c r="B3422" s="9"/>
      <c r="C3422" s="9"/>
      <c r="D3422" s="9"/>
      <c r="E3422" s="9"/>
      <c r="F3422" s="67"/>
      <c r="G3422" s="9"/>
      <c r="H3422" s="9"/>
      <c r="I3422" s="9"/>
      <c r="J3422" s="9"/>
      <c r="K3422" s="9"/>
      <c r="L3422" s="9"/>
      <c r="M3422" s="9"/>
      <c r="N3422" s="9"/>
      <c r="O3422" s="9"/>
      <c r="P3422" s="9"/>
      <c r="Q3422" s="9"/>
      <c r="R3422" s="9"/>
      <c r="S3422" s="9"/>
      <c r="T3422" s="9"/>
      <c r="U3422" s="9"/>
      <c r="V3422" s="9"/>
      <c r="W3422" s="9"/>
      <c r="X3422" s="9"/>
      <c r="Y3422" s="9"/>
      <c r="Z3422" s="9"/>
      <c r="AA3422" s="9"/>
      <c r="AB3422" s="9"/>
      <c r="AC3422" s="9"/>
      <c r="AD3422" s="9"/>
      <c r="AE3422" s="9"/>
      <c r="AF3422" s="9"/>
      <c r="AG3422" s="9"/>
      <c r="AH3422" s="9"/>
      <c r="AI3422" s="9"/>
      <c r="AJ3422" s="9"/>
      <c r="AK3422" s="9"/>
      <c r="AL3422" s="9"/>
      <c r="AM3422" s="9"/>
      <c r="AN3422" s="9"/>
      <c r="AO3422" s="9"/>
      <c r="AP3422" s="9"/>
      <c r="AQ3422" s="9"/>
      <c r="AR3422" s="9"/>
      <c r="AS3422" s="9"/>
      <c r="AT3422" s="9"/>
      <c r="AU3422" s="9"/>
    </row>
    <row r="3423" spans="1:47" ht="15.75" customHeight="1">
      <c r="A3423" s="9"/>
      <c r="B3423" s="9"/>
      <c r="C3423" s="9"/>
      <c r="D3423" s="9"/>
      <c r="E3423" s="9"/>
      <c r="F3423" s="67"/>
      <c r="G3423" s="9"/>
      <c r="H3423" s="9"/>
      <c r="I3423" s="9"/>
      <c r="J3423" s="9"/>
      <c r="K3423" s="9"/>
      <c r="L3423" s="9"/>
      <c r="M3423" s="9"/>
      <c r="N3423" s="9"/>
      <c r="O3423" s="9"/>
      <c r="P3423" s="9"/>
      <c r="Q3423" s="9"/>
      <c r="R3423" s="9"/>
      <c r="S3423" s="9"/>
      <c r="T3423" s="9"/>
      <c r="U3423" s="9"/>
      <c r="V3423" s="9"/>
      <c r="W3423" s="9"/>
      <c r="X3423" s="9"/>
      <c r="Y3423" s="9"/>
      <c r="Z3423" s="9"/>
      <c r="AA3423" s="9"/>
      <c r="AB3423" s="9"/>
      <c r="AC3423" s="9"/>
      <c r="AD3423" s="9"/>
      <c r="AE3423" s="9"/>
      <c r="AF3423" s="9"/>
      <c r="AG3423" s="9"/>
      <c r="AH3423" s="9"/>
      <c r="AI3423" s="9"/>
      <c r="AJ3423" s="9"/>
      <c r="AK3423" s="9"/>
      <c r="AL3423" s="9"/>
      <c r="AM3423" s="9"/>
      <c r="AN3423" s="9"/>
      <c r="AO3423" s="9"/>
      <c r="AP3423" s="9"/>
      <c r="AQ3423" s="9"/>
      <c r="AR3423" s="9"/>
      <c r="AS3423" s="9"/>
      <c r="AT3423" s="9"/>
      <c r="AU3423" s="9"/>
    </row>
    <row r="3424" spans="1:47" ht="15.75" customHeight="1">
      <c r="A3424" s="9"/>
      <c r="B3424" s="9"/>
      <c r="C3424" s="9"/>
      <c r="D3424" s="9"/>
      <c r="E3424" s="9"/>
      <c r="F3424" s="67"/>
      <c r="G3424" s="9"/>
      <c r="H3424" s="9"/>
      <c r="I3424" s="9"/>
      <c r="J3424" s="9"/>
      <c r="K3424" s="9"/>
      <c r="L3424" s="9"/>
      <c r="M3424" s="9"/>
      <c r="N3424" s="9"/>
      <c r="O3424" s="9"/>
      <c r="P3424" s="9"/>
      <c r="Q3424" s="9"/>
      <c r="R3424" s="9"/>
      <c r="S3424" s="9"/>
      <c r="T3424" s="9"/>
      <c r="U3424" s="9"/>
      <c r="V3424" s="9"/>
      <c r="W3424" s="9"/>
      <c r="X3424" s="9"/>
      <c r="Y3424" s="9"/>
      <c r="Z3424" s="9"/>
      <c r="AA3424" s="9"/>
      <c r="AB3424" s="9"/>
      <c r="AC3424" s="9"/>
      <c r="AD3424" s="9"/>
      <c r="AE3424" s="9"/>
      <c r="AF3424" s="9"/>
      <c r="AG3424" s="9"/>
      <c r="AH3424" s="9"/>
      <c r="AI3424" s="9"/>
      <c r="AJ3424" s="9"/>
      <c r="AK3424" s="9"/>
      <c r="AL3424" s="9"/>
      <c r="AM3424" s="9"/>
      <c r="AN3424" s="9"/>
      <c r="AO3424" s="9"/>
      <c r="AP3424" s="9"/>
      <c r="AQ3424" s="9"/>
      <c r="AR3424" s="9"/>
      <c r="AS3424" s="9"/>
      <c r="AT3424" s="9"/>
      <c r="AU3424" s="9"/>
    </row>
    <row r="3425" spans="1:47" ht="15.75" customHeight="1">
      <c r="A3425" s="9"/>
      <c r="B3425" s="9"/>
      <c r="C3425" s="9"/>
      <c r="D3425" s="9"/>
      <c r="E3425" s="9"/>
      <c r="F3425" s="67"/>
      <c r="G3425" s="9"/>
      <c r="H3425" s="9"/>
      <c r="I3425" s="9"/>
      <c r="J3425" s="9"/>
      <c r="K3425" s="9"/>
      <c r="L3425" s="9"/>
      <c r="M3425" s="9"/>
      <c r="N3425" s="9"/>
      <c r="O3425" s="9"/>
      <c r="P3425" s="9"/>
      <c r="Q3425" s="9"/>
      <c r="R3425" s="9"/>
      <c r="S3425" s="9"/>
      <c r="T3425" s="9"/>
      <c r="U3425" s="9"/>
      <c r="V3425" s="9"/>
      <c r="W3425" s="9"/>
      <c r="X3425" s="9"/>
      <c r="Y3425" s="9"/>
      <c r="Z3425" s="9"/>
      <c r="AA3425" s="9"/>
      <c r="AB3425" s="9"/>
      <c r="AC3425" s="9"/>
      <c r="AD3425" s="9"/>
      <c r="AE3425" s="9"/>
      <c r="AF3425" s="9"/>
      <c r="AG3425" s="9"/>
      <c r="AH3425" s="9"/>
      <c r="AI3425" s="9"/>
      <c r="AJ3425" s="9"/>
      <c r="AK3425" s="9"/>
      <c r="AL3425" s="9"/>
      <c r="AM3425" s="9"/>
      <c r="AN3425" s="9"/>
      <c r="AO3425" s="9"/>
      <c r="AP3425" s="9"/>
      <c r="AQ3425" s="9"/>
      <c r="AR3425" s="9"/>
      <c r="AS3425" s="9"/>
      <c r="AT3425" s="9"/>
      <c r="AU3425" s="9"/>
    </row>
    <row r="3426" spans="1:47" ht="15.75" customHeight="1">
      <c r="A3426" s="9"/>
      <c r="B3426" s="9"/>
      <c r="C3426" s="9"/>
      <c r="D3426" s="9"/>
      <c r="E3426" s="9"/>
      <c r="F3426" s="67"/>
      <c r="G3426" s="9"/>
      <c r="H3426" s="9"/>
      <c r="I3426" s="9"/>
      <c r="J3426" s="9"/>
      <c r="K3426" s="9"/>
      <c r="L3426" s="9"/>
      <c r="M3426" s="9"/>
      <c r="N3426" s="9"/>
      <c r="O3426" s="9"/>
      <c r="P3426" s="9"/>
      <c r="Q3426" s="9"/>
      <c r="R3426" s="9"/>
      <c r="S3426" s="9"/>
      <c r="T3426" s="9"/>
      <c r="U3426" s="9"/>
      <c r="V3426" s="9"/>
      <c r="W3426" s="9"/>
      <c r="X3426" s="9"/>
      <c r="Y3426" s="9"/>
      <c r="Z3426" s="9"/>
      <c r="AA3426" s="9"/>
      <c r="AB3426" s="9"/>
      <c r="AC3426" s="9"/>
      <c r="AD3426" s="9"/>
      <c r="AE3426" s="9"/>
      <c r="AF3426" s="9"/>
      <c r="AG3426" s="9"/>
      <c r="AH3426" s="9"/>
      <c r="AI3426" s="9"/>
      <c r="AJ3426" s="9"/>
      <c r="AK3426" s="9"/>
      <c r="AL3426" s="9"/>
      <c r="AM3426" s="9"/>
      <c r="AN3426" s="9"/>
      <c r="AO3426" s="9"/>
      <c r="AP3426" s="9"/>
      <c r="AQ3426" s="9"/>
      <c r="AR3426" s="9"/>
      <c r="AS3426" s="9"/>
      <c r="AT3426" s="9"/>
      <c r="AU3426" s="9"/>
    </row>
    <row r="3427" spans="1:47" ht="15.75" customHeight="1">
      <c r="A3427" s="9"/>
      <c r="B3427" s="9"/>
      <c r="C3427" s="9"/>
      <c r="D3427" s="9"/>
      <c r="E3427" s="9"/>
      <c r="F3427" s="67"/>
      <c r="G3427" s="9"/>
      <c r="H3427" s="9"/>
      <c r="I3427" s="9"/>
      <c r="J3427" s="9"/>
      <c r="K3427" s="9"/>
      <c r="L3427" s="9"/>
      <c r="M3427" s="9"/>
      <c r="N3427" s="9"/>
      <c r="O3427" s="9"/>
      <c r="P3427" s="9"/>
      <c r="Q3427" s="9"/>
      <c r="R3427" s="9"/>
      <c r="S3427" s="9"/>
      <c r="T3427" s="9"/>
      <c r="U3427" s="9"/>
      <c r="V3427" s="9"/>
      <c r="W3427" s="9"/>
      <c r="X3427" s="9"/>
      <c r="Y3427" s="9"/>
      <c r="Z3427" s="9"/>
      <c r="AA3427" s="9"/>
      <c r="AB3427" s="9"/>
      <c r="AC3427" s="9"/>
      <c r="AD3427" s="9"/>
      <c r="AE3427" s="9"/>
      <c r="AF3427" s="9"/>
      <c r="AG3427" s="9"/>
      <c r="AH3427" s="9"/>
      <c r="AI3427" s="9"/>
      <c r="AJ3427" s="9"/>
      <c r="AK3427" s="9"/>
      <c r="AL3427" s="9"/>
      <c r="AM3427" s="9"/>
      <c r="AN3427" s="9"/>
      <c r="AO3427" s="9"/>
      <c r="AP3427" s="9"/>
      <c r="AQ3427" s="9"/>
      <c r="AR3427" s="9"/>
      <c r="AS3427" s="9"/>
      <c r="AT3427" s="9"/>
      <c r="AU3427" s="9"/>
    </row>
    <row r="3428" spans="1:47" ht="15.75" customHeight="1">
      <c r="A3428" s="9"/>
      <c r="B3428" s="9"/>
      <c r="C3428" s="9"/>
      <c r="D3428" s="9"/>
      <c r="E3428" s="9"/>
      <c r="F3428" s="67"/>
      <c r="G3428" s="9"/>
      <c r="H3428" s="9"/>
      <c r="I3428" s="9"/>
      <c r="J3428" s="9"/>
      <c r="K3428" s="9"/>
      <c r="L3428" s="9"/>
      <c r="M3428" s="9"/>
      <c r="N3428" s="9"/>
      <c r="O3428" s="9"/>
      <c r="P3428" s="9"/>
      <c r="Q3428" s="9"/>
      <c r="R3428" s="9"/>
      <c r="S3428" s="9"/>
      <c r="T3428" s="9"/>
      <c r="U3428" s="9"/>
      <c r="V3428" s="9"/>
      <c r="W3428" s="9"/>
      <c r="X3428" s="9"/>
      <c r="Y3428" s="9"/>
      <c r="Z3428" s="9"/>
      <c r="AA3428" s="9"/>
      <c r="AB3428" s="9"/>
      <c r="AC3428" s="9"/>
      <c r="AD3428" s="9"/>
      <c r="AE3428" s="9"/>
      <c r="AF3428" s="9"/>
      <c r="AG3428" s="9"/>
      <c r="AH3428" s="9"/>
      <c r="AI3428" s="9"/>
      <c r="AJ3428" s="9"/>
      <c r="AK3428" s="9"/>
      <c r="AL3428" s="9"/>
      <c r="AM3428" s="9"/>
      <c r="AN3428" s="9"/>
      <c r="AO3428" s="9"/>
      <c r="AP3428" s="9"/>
      <c r="AQ3428" s="9"/>
      <c r="AR3428" s="9"/>
      <c r="AS3428" s="9"/>
      <c r="AT3428" s="9"/>
      <c r="AU3428" s="9"/>
    </row>
    <row r="3429" spans="1:47" ht="15.75" customHeight="1">
      <c r="A3429" s="9"/>
      <c r="B3429" s="9"/>
      <c r="C3429" s="9"/>
      <c r="D3429" s="9"/>
      <c r="E3429" s="9"/>
      <c r="F3429" s="67"/>
      <c r="G3429" s="9"/>
      <c r="H3429" s="9"/>
      <c r="I3429" s="9"/>
      <c r="J3429" s="9"/>
      <c r="K3429" s="9"/>
      <c r="L3429" s="9"/>
      <c r="M3429" s="9"/>
      <c r="N3429" s="9"/>
      <c r="O3429" s="9"/>
      <c r="P3429" s="9"/>
      <c r="Q3429" s="9"/>
      <c r="R3429" s="9"/>
      <c r="S3429" s="9"/>
      <c r="T3429" s="9"/>
      <c r="U3429" s="9"/>
      <c r="V3429" s="9"/>
      <c r="W3429" s="9"/>
      <c r="X3429" s="9"/>
      <c r="Y3429" s="9"/>
      <c r="Z3429" s="9"/>
      <c r="AA3429" s="9"/>
      <c r="AB3429" s="9"/>
      <c r="AC3429" s="9"/>
      <c r="AD3429" s="9"/>
      <c r="AE3429" s="9"/>
      <c r="AF3429" s="9"/>
      <c r="AG3429" s="9"/>
      <c r="AH3429" s="9"/>
      <c r="AI3429" s="9"/>
      <c r="AJ3429" s="9"/>
      <c r="AK3429" s="9"/>
      <c r="AL3429" s="9"/>
      <c r="AM3429" s="9"/>
      <c r="AN3429" s="9"/>
      <c r="AO3429" s="9"/>
      <c r="AP3429" s="9"/>
      <c r="AQ3429" s="9"/>
      <c r="AR3429" s="9"/>
      <c r="AS3429" s="9"/>
      <c r="AT3429" s="9"/>
      <c r="AU3429" s="9"/>
    </row>
    <row r="3430" spans="1:47" ht="15.75" customHeight="1">
      <c r="A3430" s="9"/>
      <c r="B3430" s="9"/>
      <c r="C3430" s="9"/>
      <c r="D3430" s="9"/>
      <c r="E3430" s="9"/>
      <c r="F3430" s="67"/>
      <c r="G3430" s="9"/>
      <c r="H3430" s="9"/>
      <c r="I3430" s="9"/>
      <c r="J3430" s="9"/>
      <c r="K3430" s="9"/>
      <c r="L3430" s="9"/>
      <c r="M3430" s="9"/>
      <c r="N3430" s="9"/>
      <c r="O3430" s="9"/>
      <c r="P3430" s="9"/>
      <c r="Q3430" s="9"/>
      <c r="R3430" s="9"/>
      <c r="S3430" s="9"/>
      <c r="T3430" s="9"/>
      <c r="U3430" s="9"/>
      <c r="V3430" s="9"/>
      <c r="W3430" s="9"/>
      <c r="X3430" s="9"/>
      <c r="Y3430" s="9"/>
      <c r="Z3430" s="9"/>
      <c r="AA3430" s="9"/>
      <c r="AB3430" s="9"/>
      <c r="AC3430" s="9"/>
      <c r="AD3430" s="9"/>
      <c r="AE3430" s="9"/>
      <c r="AF3430" s="9"/>
      <c r="AG3430" s="9"/>
      <c r="AH3430" s="9"/>
      <c r="AI3430" s="9"/>
      <c r="AJ3430" s="9"/>
      <c r="AK3430" s="9"/>
      <c r="AL3430" s="9"/>
      <c r="AM3430" s="9"/>
      <c r="AN3430" s="9"/>
      <c r="AO3430" s="9"/>
      <c r="AP3430" s="9"/>
      <c r="AQ3430" s="9"/>
      <c r="AR3430" s="9"/>
      <c r="AS3430" s="9"/>
      <c r="AT3430" s="9"/>
      <c r="AU3430" s="9"/>
    </row>
    <row r="3431" spans="1:47" ht="15.75" customHeight="1">
      <c r="A3431" s="9"/>
      <c r="B3431" s="9"/>
      <c r="C3431" s="9"/>
      <c r="D3431" s="9"/>
      <c r="E3431" s="9"/>
      <c r="F3431" s="67"/>
      <c r="G3431" s="9"/>
      <c r="H3431" s="9"/>
      <c r="I3431" s="9"/>
      <c r="J3431" s="9"/>
      <c r="K3431" s="9"/>
      <c r="L3431" s="9"/>
      <c r="M3431" s="9"/>
      <c r="N3431" s="9"/>
      <c r="O3431" s="9"/>
      <c r="P3431" s="9"/>
      <c r="Q3431" s="9"/>
      <c r="R3431" s="9"/>
      <c r="S3431" s="9"/>
      <c r="T3431" s="9"/>
      <c r="U3431" s="9"/>
      <c r="V3431" s="9"/>
      <c r="W3431" s="9"/>
      <c r="X3431" s="9"/>
      <c r="Y3431" s="9"/>
      <c r="Z3431" s="9"/>
      <c r="AA3431" s="9"/>
      <c r="AB3431" s="9"/>
      <c r="AC3431" s="9"/>
      <c r="AD3431" s="9"/>
      <c r="AE3431" s="9"/>
      <c r="AF3431" s="9"/>
      <c r="AG3431" s="9"/>
      <c r="AH3431" s="9"/>
      <c r="AI3431" s="9"/>
      <c r="AJ3431" s="9"/>
      <c r="AK3431" s="9"/>
      <c r="AL3431" s="9"/>
      <c r="AM3431" s="9"/>
      <c r="AN3431" s="9"/>
      <c r="AO3431" s="9"/>
      <c r="AP3431" s="9"/>
      <c r="AQ3431" s="9"/>
      <c r="AR3431" s="9"/>
      <c r="AS3431" s="9"/>
      <c r="AT3431" s="9"/>
      <c r="AU3431" s="9"/>
    </row>
    <row r="3432" spans="1:47" ht="15.75" customHeight="1">
      <c r="A3432" s="9"/>
      <c r="B3432" s="9"/>
      <c r="C3432" s="9"/>
      <c r="D3432" s="9"/>
      <c r="E3432" s="9"/>
      <c r="F3432" s="67"/>
      <c r="G3432" s="9"/>
      <c r="H3432" s="9"/>
      <c r="I3432" s="9"/>
      <c r="J3432" s="9"/>
      <c r="K3432" s="9"/>
      <c r="L3432" s="9"/>
      <c r="M3432" s="9"/>
      <c r="N3432" s="9"/>
      <c r="O3432" s="9"/>
      <c r="P3432" s="9"/>
      <c r="Q3432" s="9"/>
      <c r="R3432" s="9"/>
      <c r="S3432" s="9"/>
      <c r="T3432" s="9"/>
      <c r="U3432" s="9"/>
      <c r="V3432" s="9"/>
      <c r="W3432" s="9"/>
      <c r="X3432" s="9"/>
      <c r="Y3432" s="9"/>
      <c r="Z3432" s="9"/>
      <c r="AA3432" s="9"/>
      <c r="AB3432" s="9"/>
      <c r="AC3432" s="9"/>
      <c r="AD3432" s="9"/>
      <c r="AE3432" s="9"/>
      <c r="AF3432" s="9"/>
      <c r="AG3432" s="9"/>
      <c r="AH3432" s="9"/>
      <c r="AI3432" s="9"/>
      <c r="AJ3432" s="9"/>
      <c r="AK3432" s="9"/>
      <c r="AL3432" s="9"/>
      <c r="AM3432" s="9"/>
      <c r="AN3432" s="9"/>
      <c r="AO3432" s="9"/>
      <c r="AP3432" s="9"/>
      <c r="AQ3432" s="9"/>
      <c r="AR3432" s="9"/>
      <c r="AS3432" s="9"/>
      <c r="AT3432" s="9"/>
      <c r="AU3432" s="9"/>
    </row>
    <row r="3433" spans="1:47" ht="15.75" customHeight="1">
      <c r="A3433" s="9"/>
      <c r="B3433" s="9"/>
      <c r="C3433" s="9"/>
      <c r="D3433" s="9"/>
      <c r="E3433" s="9"/>
      <c r="F3433" s="67"/>
      <c r="G3433" s="9"/>
      <c r="H3433" s="9"/>
      <c r="I3433" s="9"/>
      <c r="J3433" s="9"/>
      <c r="K3433" s="9"/>
      <c r="L3433" s="9"/>
      <c r="M3433" s="9"/>
      <c r="N3433" s="9"/>
      <c r="O3433" s="9"/>
      <c r="P3433" s="9"/>
      <c r="Q3433" s="9"/>
      <c r="R3433" s="9"/>
      <c r="S3433" s="9"/>
      <c r="T3433" s="9"/>
      <c r="U3433" s="9"/>
      <c r="V3433" s="9"/>
      <c r="W3433" s="9"/>
      <c r="X3433" s="9"/>
      <c r="Y3433" s="9"/>
      <c r="Z3433" s="9"/>
      <c r="AA3433" s="9"/>
      <c r="AB3433" s="9"/>
      <c r="AC3433" s="9"/>
      <c r="AD3433" s="9"/>
      <c r="AE3433" s="9"/>
      <c r="AF3433" s="9"/>
      <c r="AG3433" s="9"/>
      <c r="AH3433" s="9"/>
      <c r="AI3433" s="9"/>
      <c r="AJ3433" s="9"/>
      <c r="AK3433" s="9"/>
      <c r="AL3433" s="9"/>
      <c r="AM3433" s="9"/>
      <c r="AN3433" s="9"/>
      <c r="AO3433" s="9"/>
      <c r="AP3433" s="9"/>
      <c r="AQ3433" s="9"/>
      <c r="AR3433" s="9"/>
      <c r="AS3433" s="9"/>
      <c r="AT3433" s="9"/>
      <c r="AU3433" s="9"/>
    </row>
    <row r="3434" spans="1:47" ht="15.75" customHeight="1">
      <c r="A3434" s="9"/>
      <c r="B3434" s="9"/>
      <c r="C3434" s="9"/>
      <c r="D3434" s="9"/>
      <c r="E3434" s="9"/>
      <c r="F3434" s="67"/>
      <c r="G3434" s="9"/>
      <c r="H3434" s="9"/>
      <c r="I3434" s="9"/>
      <c r="J3434" s="9"/>
      <c r="K3434" s="9"/>
      <c r="L3434" s="9"/>
      <c r="M3434" s="9"/>
      <c r="N3434" s="9"/>
      <c r="O3434" s="9"/>
      <c r="P3434" s="9"/>
      <c r="Q3434" s="9"/>
      <c r="R3434" s="9"/>
      <c r="S3434" s="9"/>
      <c r="T3434" s="9"/>
      <c r="U3434" s="9"/>
      <c r="V3434" s="9"/>
      <c r="W3434" s="9"/>
      <c r="X3434" s="9"/>
      <c r="Y3434" s="9"/>
      <c r="Z3434" s="9"/>
      <c r="AA3434" s="9"/>
      <c r="AB3434" s="9"/>
      <c r="AC3434" s="9"/>
      <c r="AD3434" s="9"/>
      <c r="AE3434" s="9"/>
      <c r="AF3434" s="9"/>
      <c r="AG3434" s="9"/>
      <c r="AH3434" s="9"/>
      <c r="AI3434" s="9"/>
      <c r="AJ3434" s="9"/>
      <c r="AK3434" s="9"/>
      <c r="AL3434" s="9"/>
      <c r="AM3434" s="9"/>
      <c r="AN3434" s="9"/>
      <c r="AO3434" s="9"/>
      <c r="AP3434" s="9"/>
      <c r="AQ3434" s="9"/>
      <c r="AR3434" s="9"/>
      <c r="AS3434" s="9"/>
      <c r="AT3434" s="9"/>
      <c r="AU3434" s="9"/>
    </row>
    <row r="3435" spans="1:47" ht="15.75" customHeight="1">
      <c r="A3435" s="9"/>
      <c r="B3435" s="9"/>
      <c r="C3435" s="9"/>
      <c r="D3435" s="9"/>
      <c r="E3435" s="9"/>
      <c r="F3435" s="67"/>
      <c r="G3435" s="9"/>
      <c r="H3435" s="9"/>
      <c r="I3435" s="9"/>
      <c r="J3435" s="9"/>
      <c r="K3435" s="9"/>
      <c r="L3435" s="9"/>
      <c r="M3435" s="9"/>
      <c r="N3435" s="9"/>
      <c r="O3435" s="9"/>
      <c r="P3435" s="9"/>
      <c r="Q3435" s="9"/>
      <c r="R3435" s="9"/>
      <c r="S3435" s="9"/>
      <c r="T3435" s="9"/>
      <c r="U3435" s="9"/>
      <c r="V3435" s="9"/>
      <c r="W3435" s="9"/>
      <c r="X3435" s="9"/>
      <c r="Y3435" s="9"/>
      <c r="Z3435" s="9"/>
      <c r="AA3435" s="9"/>
      <c r="AB3435" s="9"/>
      <c r="AC3435" s="9"/>
      <c r="AD3435" s="9"/>
      <c r="AE3435" s="9"/>
      <c r="AF3435" s="9"/>
      <c r="AG3435" s="9"/>
      <c r="AH3435" s="9"/>
      <c r="AI3435" s="9"/>
      <c r="AJ3435" s="9"/>
      <c r="AK3435" s="9"/>
      <c r="AL3435" s="9"/>
      <c r="AM3435" s="9"/>
      <c r="AN3435" s="9"/>
      <c r="AO3435" s="9"/>
      <c r="AP3435" s="9"/>
      <c r="AQ3435" s="9"/>
      <c r="AR3435" s="9"/>
      <c r="AS3435" s="9"/>
      <c r="AT3435" s="9"/>
      <c r="AU3435" s="9"/>
    </row>
    <row r="3436" spans="1:47" ht="15.75" customHeight="1">
      <c r="A3436" s="9"/>
      <c r="B3436" s="9"/>
      <c r="C3436" s="9"/>
      <c r="D3436" s="9"/>
      <c r="E3436" s="9"/>
      <c r="F3436" s="67"/>
      <c r="G3436" s="9"/>
      <c r="H3436" s="9"/>
      <c r="I3436" s="9"/>
      <c r="J3436" s="9"/>
      <c r="K3436" s="9"/>
      <c r="L3436" s="9"/>
      <c r="M3436" s="9"/>
      <c r="N3436" s="9"/>
      <c r="O3436" s="9"/>
      <c r="P3436" s="9"/>
      <c r="Q3436" s="9"/>
      <c r="R3436" s="9"/>
      <c r="S3436" s="9"/>
      <c r="T3436" s="9"/>
      <c r="U3436" s="9"/>
      <c r="V3436" s="9"/>
      <c r="W3436" s="9"/>
      <c r="X3436" s="9"/>
      <c r="Y3436" s="9"/>
      <c r="Z3436" s="9"/>
      <c r="AA3436" s="9"/>
      <c r="AB3436" s="9"/>
      <c r="AC3436" s="9"/>
      <c r="AD3436" s="9"/>
      <c r="AE3436" s="9"/>
      <c r="AF3436" s="9"/>
      <c r="AG3436" s="9"/>
      <c r="AH3436" s="9"/>
      <c r="AI3436" s="9"/>
      <c r="AJ3436" s="9"/>
      <c r="AK3436" s="9"/>
      <c r="AL3436" s="9"/>
      <c r="AM3436" s="9"/>
      <c r="AN3436" s="9"/>
      <c r="AO3436" s="9"/>
      <c r="AP3436" s="9"/>
      <c r="AQ3436" s="9"/>
      <c r="AR3436" s="9"/>
      <c r="AS3436" s="9"/>
      <c r="AT3436" s="9"/>
      <c r="AU3436" s="9"/>
    </row>
    <row r="3437" spans="1:47" ht="15.75" customHeight="1">
      <c r="A3437" s="9"/>
      <c r="B3437" s="9"/>
      <c r="C3437" s="9"/>
      <c r="D3437" s="9"/>
      <c r="E3437" s="9"/>
      <c r="F3437" s="67"/>
      <c r="G3437" s="9"/>
      <c r="H3437" s="9"/>
      <c r="I3437" s="9"/>
      <c r="J3437" s="9"/>
      <c r="K3437" s="9"/>
      <c r="L3437" s="9"/>
      <c r="M3437" s="9"/>
      <c r="N3437" s="9"/>
      <c r="O3437" s="9"/>
      <c r="P3437" s="9"/>
      <c r="Q3437" s="9"/>
      <c r="R3437" s="9"/>
      <c r="S3437" s="9"/>
      <c r="T3437" s="9"/>
      <c r="U3437" s="9"/>
      <c r="V3437" s="9"/>
      <c r="W3437" s="9"/>
      <c r="X3437" s="9"/>
      <c r="Y3437" s="9"/>
      <c r="Z3437" s="9"/>
      <c r="AA3437" s="9"/>
      <c r="AB3437" s="9"/>
      <c r="AC3437" s="9"/>
      <c r="AD3437" s="9"/>
      <c r="AE3437" s="9"/>
      <c r="AF3437" s="9"/>
      <c r="AG3437" s="9"/>
      <c r="AH3437" s="9"/>
      <c r="AI3437" s="9"/>
      <c r="AJ3437" s="9"/>
      <c r="AK3437" s="9"/>
      <c r="AL3437" s="9"/>
      <c r="AM3437" s="9"/>
      <c r="AN3437" s="9"/>
      <c r="AO3437" s="9"/>
      <c r="AP3437" s="9"/>
      <c r="AQ3437" s="9"/>
      <c r="AR3437" s="9"/>
      <c r="AS3437" s="9"/>
      <c r="AT3437" s="9"/>
      <c r="AU3437" s="9"/>
    </row>
    <row r="3438" spans="1:47" ht="15.75" customHeight="1">
      <c r="A3438" s="9"/>
      <c r="B3438" s="9"/>
      <c r="C3438" s="9"/>
      <c r="D3438" s="9"/>
      <c r="E3438" s="9"/>
      <c r="F3438" s="67"/>
      <c r="G3438" s="9"/>
      <c r="H3438" s="9"/>
      <c r="I3438" s="9"/>
      <c r="J3438" s="9"/>
      <c r="K3438" s="9"/>
      <c r="L3438" s="9"/>
      <c r="M3438" s="9"/>
      <c r="N3438" s="9"/>
      <c r="O3438" s="9"/>
      <c r="P3438" s="9"/>
      <c r="Q3438" s="9"/>
      <c r="R3438" s="9"/>
      <c r="S3438" s="9"/>
      <c r="T3438" s="9"/>
      <c r="U3438" s="9"/>
      <c r="V3438" s="9"/>
      <c r="W3438" s="9"/>
      <c r="X3438" s="9"/>
      <c r="Y3438" s="9"/>
      <c r="Z3438" s="9"/>
      <c r="AA3438" s="9"/>
      <c r="AB3438" s="9"/>
      <c r="AC3438" s="9"/>
      <c r="AD3438" s="9"/>
      <c r="AE3438" s="9"/>
      <c r="AF3438" s="9"/>
      <c r="AG3438" s="9"/>
      <c r="AH3438" s="9"/>
      <c r="AI3438" s="9"/>
      <c r="AJ3438" s="9"/>
      <c r="AK3438" s="9"/>
      <c r="AL3438" s="9"/>
      <c r="AM3438" s="9"/>
      <c r="AN3438" s="9"/>
      <c r="AO3438" s="9"/>
      <c r="AP3438" s="9"/>
      <c r="AQ3438" s="9"/>
      <c r="AR3438" s="9"/>
      <c r="AS3438" s="9"/>
      <c r="AT3438" s="9"/>
      <c r="AU3438" s="9"/>
    </row>
    <row r="3439" spans="1:47" ht="15.75" customHeight="1">
      <c r="A3439" s="9"/>
      <c r="B3439" s="9"/>
      <c r="C3439" s="9"/>
      <c r="D3439" s="9"/>
      <c r="E3439" s="9"/>
      <c r="F3439" s="67"/>
      <c r="G3439" s="9"/>
      <c r="H3439" s="9"/>
      <c r="I3439" s="9"/>
      <c r="J3439" s="9"/>
      <c r="K3439" s="9"/>
      <c r="L3439" s="9"/>
      <c r="M3439" s="9"/>
      <c r="N3439" s="9"/>
      <c r="O3439" s="9"/>
      <c r="P3439" s="9"/>
      <c r="Q3439" s="9"/>
      <c r="R3439" s="9"/>
      <c r="S3439" s="9"/>
      <c r="T3439" s="9"/>
      <c r="U3439" s="9"/>
      <c r="V3439" s="9"/>
      <c r="W3439" s="9"/>
      <c r="X3439" s="9"/>
      <c r="Y3439" s="9"/>
      <c r="Z3439" s="9"/>
      <c r="AA3439" s="9"/>
      <c r="AB3439" s="9"/>
      <c r="AC3439" s="9"/>
      <c r="AD3439" s="9"/>
      <c r="AE3439" s="9"/>
      <c r="AF3439" s="9"/>
      <c r="AG3439" s="9"/>
      <c r="AH3439" s="9"/>
      <c r="AI3439" s="9"/>
      <c r="AJ3439" s="9"/>
      <c r="AK3439" s="9"/>
      <c r="AL3439" s="9"/>
      <c r="AM3439" s="9"/>
      <c r="AN3439" s="9"/>
      <c r="AO3439" s="9"/>
      <c r="AP3439" s="9"/>
      <c r="AQ3439" s="9"/>
      <c r="AR3439" s="9"/>
      <c r="AS3439" s="9"/>
      <c r="AT3439" s="9"/>
      <c r="AU3439" s="9"/>
    </row>
    <row r="3440" spans="1:47" ht="15.75" customHeight="1">
      <c r="A3440" s="9"/>
      <c r="B3440" s="9"/>
      <c r="C3440" s="9"/>
      <c r="D3440" s="9"/>
      <c r="E3440" s="9"/>
      <c r="F3440" s="67"/>
      <c r="G3440" s="9"/>
      <c r="H3440" s="9"/>
      <c r="I3440" s="9"/>
      <c r="J3440" s="9"/>
      <c r="K3440" s="9"/>
      <c r="L3440" s="9"/>
      <c r="M3440" s="9"/>
      <c r="N3440" s="9"/>
      <c r="O3440" s="9"/>
      <c r="P3440" s="9"/>
      <c r="Q3440" s="9"/>
      <c r="R3440" s="9"/>
      <c r="S3440" s="9"/>
      <c r="T3440" s="9"/>
      <c r="U3440" s="9"/>
      <c r="V3440" s="9"/>
      <c r="W3440" s="9"/>
      <c r="X3440" s="9"/>
      <c r="Y3440" s="9"/>
      <c r="Z3440" s="9"/>
      <c r="AA3440" s="9"/>
      <c r="AB3440" s="9"/>
      <c r="AC3440" s="9"/>
      <c r="AD3440" s="9"/>
      <c r="AE3440" s="9"/>
      <c r="AF3440" s="9"/>
      <c r="AG3440" s="9"/>
      <c r="AH3440" s="9"/>
      <c r="AI3440" s="9"/>
      <c r="AJ3440" s="9"/>
      <c r="AK3440" s="9"/>
      <c r="AL3440" s="9"/>
      <c r="AM3440" s="9"/>
      <c r="AN3440" s="9"/>
      <c r="AO3440" s="9"/>
      <c r="AP3440" s="9"/>
      <c r="AQ3440" s="9"/>
      <c r="AR3440" s="9"/>
      <c r="AS3440" s="9"/>
      <c r="AT3440" s="9"/>
      <c r="AU3440" s="9"/>
    </row>
    <row r="3441" spans="1:47" ht="15.75" customHeight="1">
      <c r="A3441" s="9"/>
      <c r="B3441" s="9"/>
      <c r="C3441" s="9"/>
      <c r="D3441" s="9"/>
      <c r="E3441" s="9"/>
      <c r="F3441" s="67"/>
      <c r="G3441" s="9"/>
      <c r="H3441" s="9"/>
      <c r="I3441" s="9"/>
      <c r="J3441" s="9"/>
      <c r="K3441" s="9"/>
      <c r="L3441" s="9"/>
      <c r="M3441" s="9"/>
      <c r="N3441" s="9"/>
      <c r="O3441" s="9"/>
      <c r="P3441" s="9"/>
      <c r="Q3441" s="9"/>
      <c r="R3441" s="9"/>
      <c r="S3441" s="9"/>
      <c r="T3441" s="9"/>
      <c r="U3441" s="9"/>
      <c r="V3441" s="9"/>
      <c r="W3441" s="9"/>
      <c r="X3441" s="9"/>
      <c r="Y3441" s="9"/>
      <c r="Z3441" s="9"/>
      <c r="AA3441" s="9"/>
      <c r="AB3441" s="9"/>
      <c r="AC3441" s="9"/>
      <c r="AD3441" s="9"/>
      <c r="AE3441" s="9"/>
      <c r="AF3441" s="9"/>
      <c r="AG3441" s="9"/>
      <c r="AH3441" s="9"/>
      <c r="AI3441" s="9"/>
      <c r="AJ3441" s="9"/>
      <c r="AK3441" s="9"/>
      <c r="AL3441" s="9"/>
      <c r="AM3441" s="9"/>
      <c r="AN3441" s="9"/>
      <c r="AO3441" s="9"/>
      <c r="AP3441" s="9"/>
      <c r="AQ3441" s="9"/>
      <c r="AR3441" s="9"/>
      <c r="AS3441" s="9"/>
      <c r="AT3441" s="9"/>
      <c r="AU3441" s="9"/>
    </row>
    <row r="3442" spans="1:47" ht="15.75" customHeight="1">
      <c r="A3442" s="9"/>
      <c r="B3442" s="9"/>
      <c r="C3442" s="9"/>
      <c r="D3442" s="9"/>
      <c r="E3442" s="9"/>
      <c r="F3442" s="67"/>
      <c r="G3442" s="9"/>
      <c r="H3442" s="9"/>
      <c r="I3442" s="9"/>
      <c r="J3442" s="9"/>
      <c r="K3442" s="9"/>
      <c r="L3442" s="9"/>
      <c r="M3442" s="9"/>
      <c r="N3442" s="9"/>
      <c r="O3442" s="9"/>
      <c r="P3442" s="9"/>
      <c r="Q3442" s="9"/>
      <c r="R3442" s="9"/>
      <c r="S3442" s="9"/>
      <c r="T3442" s="9"/>
      <c r="U3442" s="9"/>
      <c r="V3442" s="9"/>
      <c r="W3442" s="9"/>
      <c r="X3442" s="9"/>
      <c r="Y3442" s="9"/>
      <c r="Z3442" s="9"/>
      <c r="AA3442" s="9"/>
      <c r="AB3442" s="9"/>
      <c r="AC3442" s="9"/>
      <c r="AD3442" s="9"/>
      <c r="AE3442" s="9"/>
      <c r="AF3442" s="9"/>
      <c r="AG3442" s="9"/>
      <c r="AH3442" s="9"/>
      <c r="AI3442" s="9"/>
      <c r="AJ3442" s="9"/>
      <c r="AK3442" s="9"/>
      <c r="AL3442" s="9"/>
      <c r="AM3442" s="9"/>
      <c r="AN3442" s="9"/>
      <c r="AO3442" s="9"/>
      <c r="AP3442" s="9"/>
      <c r="AQ3442" s="9"/>
      <c r="AR3442" s="9"/>
      <c r="AS3442" s="9"/>
      <c r="AT3442" s="9"/>
      <c r="AU3442" s="9"/>
    </row>
    <row r="3443" spans="1:47" ht="15.75" customHeight="1">
      <c r="A3443" s="9"/>
      <c r="B3443" s="9"/>
      <c r="C3443" s="9"/>
      <c r="D3443" s="9"/>
      <c r="E3443" s="9"/>
      <c r="F3443" s="67"/>
      <c r="G3443" s="9"/>
      <c r="H3443" s="9"/>
      <c r="I3443" s="9"/>
      <c r="J3443" s="9"/>
      <c r="K3443" s="9"/>
      <c r="L3443" s="9"/>
      <c r="M3443" s="9"/>
      <c r="N3443" s="9"/>
      <c r="O3443" s="9"/>
      <c r="P3443" s="9"/>
      <c r="Q3443" s="9"/>
      <c r="R3443" s="9"/>
      <c r="S3443" s="9"/>
      <c r="T3443" s="9"/>
      <c r="U3443" s="9"/>
      <c r="V3443" s="9"/>
      <c r="W3443" s="9"/>
      <c r="X3443" s="9"/>
      <c r="Y3443" s="9"/>
      <c r="Z3443" s="9"/>
      <c r="AA3443" s="9"/>
      <c r="AB3443" s="9"/>
      <c r="AC3443" s="9"/>
      <c r="AD3443" s="9"/>
      <c r="AE3443" s="9"/>
      <c r="AF3443" s="9"/>
      <c r="AG3443" s="9"/>
      <c r="AH3443" s="9"/>
      <c r="AI3443" s="9"/>
      <c r="AJ3443" s="9"/>
      <c r="AK3443" s="9"/>
      <c r="AL3443" s="9"/>
      <c r="AM3443" s="9"/>
      <c r="AN3443" s="9"/>
      <c r="AO3443" s="9"/>
      <c r="AP3443" s="9"/>
      <c r="AQ3443" s="9"/>
      <c r="AR3443" s="9"/>
      <c r="AS3443" s="9"/>
      <c r="AT3443" s="9"/>
      <c r="AU3443" s="9"/>
    </row>
    <row r="3444" spans="1:47" ht="15.75" customHeight="1">
      <c r="A3444" s="9"/>
      <c r="B3444" s="9"/>
      <c r="C3444" s="9"/>
      <c r="D3444" s="9"/>
      <c r="E3444" s="9"/>
      <c r="F3444" s="67"/>
      <c r="G3444" s="9"/>
      <c r="H3444" s="9"/>
      <c r="I3444" s="9"/>
      <c r="J3444" s="9"/>
      <c r="K3444" s="9"/>
      <c r="L3444" s="9"/>
      <c r="M3444" s="9"/>
      <c r="N3444" s="9"/>
      <c r="O3444" s="9"/>
      <c r="P3444" s="9"/>
      <c r="Q3444" s="9"/>
      <c r="R3444" s="9"/>
      <c r="S3444" s="9"/>
      <c r="T3444" s="9"/>
      <c r="U3444" s="9"/>
      <c r="V3444" s="9"/>
      <c r="W3444" s="9"/>
      <c r="X3444" s="9"/>
      <c r="Y3444" s="9"/>
      <c r="Z3444" s="9"/>
      <c r="AA3444" s="9"/>
      <c r="AB3444" s="9"/>
      <c r="AC3444" s="9"/>
      <c r="AD3444" s="9"/>
      <c r="AE3444" s="9"/>
      <c r="AF3444" s="9"/>
      <c r="AG3444" s="9"/>
      <c r="AH3444" s="9"/>
      <c r="AI3444" s="9"/>
      <c r="AJ3444" s="9"/>
      <c r="AK3444" s="9"/>
      <c r="AL3444" s="9"/>
      <c r="AM3444" s="9"/>
      <c r="AN3444" s="9"/>
      <c r="AO3444" s="9"/>
      <c r="AP3444" s="9"/>
      <c r="AQ3444" s="9"/>
      <c r="AR3444" s="9"/>
      <c r="AS3444" s="9"/>
      <c r="AT3444" s="9"/>
      <c r="AU3444" s="9"/>
    </row>
    <row r="3445" spans="1:47" ht="15.75" customHeight="1">
      <c r="A3445" s="9"/>
      <c r="B3445" s="9"/>
      <c r="C3445" s="9"/>
      <c r="D3445" s="9"/>
      <c r="E3445" s="9"/>
      <c r="F3445" s="67"/>
      <c r="G3445" s="9"/>
      <c r="H3445" s="9"/>
      <c r="I3445" s="9"/>
      <c r="J3445" s="9"/>
      <c r="K3445" s="9"/>
      <c r="L3445" s="9"/>
      <c r="M3445" s="9"/>
      <c r="N3445" s="9"/>
      <c r="O3445" s="9"/>
      <c r="P3445" s="9"/>
      <c r="Q3445" s="9"/>
      <c r="R3445" s="9"/>
      <c r="S3445" s="9"/>
      <c r="T3445" s="9"/>
      <c r="U3445" s="9"/>
      <c r="V3445" s="9"/>
      <c r="W3445" s="9"/>
      <c r="X3445" s="9"/>
      <c r="Y3445" s="9"/>
      <c r="Z3445" s="9"/>
      <c r="AA3445" s="9"/>
      <c r="AB3445" s="9"/>
      <c r="AC3445" s="9"/>
      <c r="AD3445" s="9"/>
      <c r="AE3445" s="9"/>
      <c r="AF3445" s="9"/>
      <c r="AG3445" s="9"/>
      <c r="AH3445" s="9"/>
      <c r="AI3445" s="9"/>
      <c r="AJ3445" s="9"/>
      <c r="AK3445" s="9"/>
      <c r="AL3445" s="9"/>
      <c r="AM3445" s="9"/>
      <c r="AN3445" s="9"/>
      <c r="AO3445" s="9"/>
      <c r="AP3445" s="9"/>
      <c r="AQ3445" s="9"/>
      <c r="AR3445" s="9"/>
      <c r="AS3445" s="9"/>
      <c r="AT3445" s="9"/>
      <c r="AU3445" s="9"/>
    </row>
    <row r="3446" spans="1:47" ht="15.75" customHeight="1">
      <c r="A3446" s="9"/>
      <c r="B3446" s="9"/>
      <c r="C3446" s="9"/>
      <c r="D3446" s="9"/>
      <c r="E3446" s="9"/>
      <c r="F3446" s="67"/>
      <c r="G3446" s="9"/>
      <c r="H3446" s="9"/>
      <c r="I3446" s="9"/>
      <c r="J3446" s="9"/>
      <c r="K3446" s="9"/>
      <c r="L3446" s="9"/>
      <c r="M3446" s="9"/>
      <c r="N3446" s="9"/>
      <c r="O3446" s="9"/>
      <c r="P3446" s="9"/>
      <c r="Q3446" s="9"/>
      <c r="R3446" s="9"/>
      <c r="S3446" s="9"/>
      <c r="T3446" s="9"/>
      <c r="U3446" s="9"/>
      <c r="V3446" s="9"/>
      <c r="W3446" s="9"/>
      <c r="X3446" s="9"/>
      <c r="Y3446" s="9"/>
      <c r="Z3446" s="9"/>
      <c r="AA3446" s="9"/>
      <c r="AB3446" s="9"/>
      <c r="AC3446" s="9"/>
      <c r="AD3446" s="9"/>
      <c r="AE3446" s="9"/>
      <c r="AF3446" s="9"/>
      <c r="AG3446" s="9"/>
      <c r="AH3446" s="9"/>
      <c r="AI3446" s="9"/>
      <c r="AJ3446" s="9"/>
      <c r="AK3446" s="9"/>
      <c r="AL3446" s="9"/>
      <c r="AM3446" s="9"/>
      <c r="AN3446" s="9"/>
      <c r="AO3446" s="9"/>
      <c r="AP3446" s="9"/>
      <c r="AQ3446" s="9"/>
      <c r="AR3446" s="9"/>
      <c r="AS3446" s="9"/>
      <c r="AT3446" s="9"/>
      <c r="AU3446" s="9"/>
    </row>
    <row r="3447" spans="1:47" ht="15.75" customHeight="1">
      <c r="A3447" s="9"/>
      <c r="B3447" s="9"/>
      <c r="C3447" s="9"/>
      <c r="D3447" s="9"/>
      <c r="E3447" s="9"/>
      <c r="F3447" s="67"/>
      <c r="G3447" s="9"/>
      <c r="H3447" s="9"/>
      <c r="I3447" s="9"/>
      <c r="J3447" s="9"/>
      <c r="K3447" s="9"/>
      <c r="L3447" s="9"/>
      <c r="M3447" s="9"/>
      <c r="N3447" s="9"/>
      <c r="O3447" s="9"/>
      <c r="P3447" s="9"/>
      <c r="Q3447" s="9"/>
      <c r="R3447" s="9"/>
      <c r="S3447" s="9"/>
      <c r="T3447" s="9"/>
      <c r="U3447" s="9"/>
      <c r="V3447" s="9"/>
      <c r="W3447" s="9"/>
      <c r="X3447" s="9"/>
      <c r="Y3447" s="9"/>
      <c r="Z3447" s="9"/>
      <c r="AA3447" s="9"/>
      <c r="AB3447" s="9"/>
      <c r="AC3447" s="9"/>
      <c r="AD3447" s="9"/>
      <c r="AE3447" s="9"/>
      <c r="AF3447" s="9"/>
      <c r="AG3447" s="9"/>
      <c r="AH3447" s="9"/>
      <c r="AI3447" s="9"/>
      <c r="AJ3447" s="9"/>
      <c r="AK3447" s="9"/>
      <c r="AL3447" s="9"/>
      <c r="AM3447" s="9"/>
      <c r="AN3447" s="9"/>
      <c r="AO3447" s="9"/>
      <c r="AP3447" s="9"/>
      <c r="AQ3447" s="9"/>
      <c r="AR3447" s="9"/>
      <c r="AS3447" s="9"/>
      <c r="AT3447" s="9"/>
      <c r="AU3447" s="9"/>
    </row>
    <row r="3448" spans="1:47" ht="15.75" customHeight="1">
      <c r="A3448" s="9"/>
      <c r="B3448" s="9"/>
      <c r="C3448" s="9"/>
      <c r="D3448" s="9"/>
      <c r="E3448" s="9"/>
      <c r="F3448" s="67"/>
      <c r="G3448" s="9"/>
      <c r="H3448" s="9"/>
      <c r="I3448" s="9"/>
      <c r="J3448" s="9"/>
      <c r="K3448" s="9"/>
      <c r="L3448" s="9"/>
      <c r="M3448" s="9"/>
      <c r="N3448" s="9"/>
      <c r="O3448" s="9"/>
      <c r="P3448" s="9"/>
      <c r="Q3448" s="9"/>
      <c r="R3448" s="9"/>
      <c r="S3448" s="9"/>
      <c r="T3448" s="9"/>
      <c r="U3448" s="9"/>
      <c r="V3448" s="9"/>
      <c r="W3448" s="9"/>
      <c r="X3448" s="9"/>
      <c r="Y3448" s="9"/>
      <c r="Z3448" s="9"/>
      <c r="AA3448" s="9"/>
      <c r="AB3448" s="9"/>
      <c r="AC3448" s="9"/>
      <c r="AD3448" s="9"/>
      <c r="AE3448" s="9"/>
      <c r="AF3448" s="9"/>
      <c r="AG3448" s="9"/>
      <c r="AH3448" s="9"/>
      <c r="AI3448" s="9"/>
      <c r="AJ3448" s="9"/>
      <c r="AK3448" s="9"/>
      <c r="AL3448" s="9"/>
      <c r="AM3448" s="9"/>
      <c r="AN3448" s="9"/>
      <c r="AO3448" s="9"/>
      <c r="AP3448" s="9"/>
      <c r="AQ3448" s="9"/>
      <c r="AR3448" s="9"/>
      <c r="AS3448" s="9"/>
      <c r="AT3448" s="9"/>
      <c r="AU3448" s="9"/>
    </row>
    <row r="3449" spans="1:47" ht="15.75" customHeight="1">
      <c r="A3449" s="9"/>
      <c r="B3449" s="9"/>
      <c r="C3449" s="9"/>
      <c r="D3449" s="9"/>
      <c r="E3449" s="9"/>
      <c r="F3449" s="67"/>
      <c r="G3449" s="9"/>
      <c r="H3449" s="9"/>
      <c r="I3449" s="9"/>
      <c r="J3449" s="9"/>
      <c r="K3449" s="9"/>
      <c r="L3449" s="9"/>
      <c r="M3449" s="9"/>
      <c r="N3449" s="9"/>
      <c r="O3449" s="9"/>
      <c r="P3449" s="9"/>
      <c r="Q3449" s="9"/>
      <c r="R3449" s="9"/>
      <c r="S3449" s="9"/>
      <c r="T3449" s="9"/>
      <c r="U3449" s="9"/>
      <c r="V3449" s="9"/>
      <c r="W3449" s="9"/>
      <c r="X3449" s="9"/>
      <c r="Y3449" s="9"/>
      <c r="Z3449" s="9"/>
      <c r="AA3449" s="9"/>
      <c r="AB3449" s="9"/>
      <c r="AC3449" s="9"/>
      <c r="AD3449" s="9"/>
      <c r="AE3449" s="9"/>
      <c r="AF3449" s="9"/>
      <c r="AG3449" s="9"/>
      <c r="AH3449" s="9"/>
      <c r="AI3449" s="9"/>
      <c r="AJ3449" s="9"/>
      <c r="AK3449" s="9"/>
      <c r="AL3449" s="9"/>
      <c r="AM3449" s="9"/>
      <c r="AN3449" s="9"/>
      <c r="AO3449" s="9"/>
      <c r="AP3449" s="9"/>
      <c r="AQ3449" s="9"/>
      <c r="AR3449" s="9"/>
      <c r="AS3449" s="9"/>
      <c r="AT3449" s="9"/>
      <c r="AU3449" s="9"/>
    </row>
    <row r="3450" spans="1:47" ht="15.75" customHeight="1">
      <c r="A3450" s="9"/>
      <c r="B3450" s="9"/>
      <c r="C3450" s="9"/>
      <c r="D3450" s="9"/>
      <c r="E3450" s="9"/>
      <c r="F3450" s="67"/>
      <c r="G3450" s="9"/>
      <c r="H3450" s="9"/>
      <c r="I3450" s="9"/>
      <c r="J3450" s="9"/>
      <c r="K3450" s="9"/>
      <c r="L3450" s="9"/>
      <c r="M3450" s="9"/>
      <c r="N3450" s="9"/>
      <c r="O3450" s="9"/>
      <c r="P3450" s="9"/>
      <c r="Q3450" s="9"/>
      <c r="R3450" s="9"/>
      <c r="S3450" s="9"/>
      <c r="T3450" s="9"/>
      <c r="U3450" s="9"/>
      <c r="V3450" s="9"/>
      <c r="W3450" s="9"/>
      <c r="X3450" s="9"/>
      <c r="Y3450" s="9"/>
      <c r="Z3450" s="9"/>
      <c r="AA3450" s="9"/>
      <c r="AB3450" s="9"/>
      <c r="AC3450" s="9"/>
      <c r="AD3450" s="9"/>
      <c r="AE3450" s="9"/>
      <c r="AF3450" s="9"/>
      <c r="AG3450" s="9"/>
      <c r="AH3450" s="9"/>
      <c r="AI3450" s="9"/>
      <c r="AJ3450" s="9"/>
      <c r="AK3450" s="9"/>
      <c r="AL3450" s="9"/>
      <c r="AM3450" s="9"/>
      <c r="AN3450" s="9"/>
      <c r="AO3450" s="9"/>
      <c r="AP3450" s="9"/>
      <c r="AQ3450" s="9"/>
      <c r="AR3450" s="9"/>
      <c r="AS3450" s="9"/>
      <c r="AT3450" s="9"/>
      <c r="AU3450" s="9"/>
    </row>
    <row r="3451" spans="1:47" ht="15.75" customHeight="1">
      <c r="A3451" s="9"/>
      <c r="B3451" s="9"/>
      <c r="C3451" s="9"/>
      <c r="D3451" s="9"/>
      <c r="E3451" s="9"/>
      <c r="F3451" s="67"/>
      <c r="G3451" s="9"/>
      <c r="H3451" s="9"/>
      <c r="I3451" s="9"/>
      <c r="J3451" s="9"/>
      <c r="K3451" s="9"/>
      <c r="L3451" s="9"/>
      <c r="M3451" s="9"/>
      <c r="N3451" s="9"/>
      <c r="O3451" s="9"/>
      <c r="P3451" s="9"/>
      <c r="Q3451" s="9"/>
      <c r="R3451" s="9"/>
      <c r="S3451" s="9"/>
      <c r="T3451" s="9"/>
      <c r="U3451" s="9"/>
      <c r="V3451" s="9"/>
      <c r="W3451" s="9"/>
      <c r="X3451" s="9"/>
      <c r="Y3451" s="9"/>
      <c r="Z3451" s="9"/>
      <c r="AA3451" s="9"/>
      <c r="AB3451" s="9"/>
      <c r="AC3451" s="9"/>
      <c r="AD3451" s="9"/>
      <c r="AE3451" s="9"/>
      <c r="AF3451" s="9"/>
      <c r="AG3451" s="9"/>
      <c r="AH3451" s="9"/>
      <c r="AI3451" s="9"/>
      <c r="AJ3451" s="9"/>
      <c r="AK3451" s="9"/>
      <c r="AL3451" s="9"/>
      <c r="AM3451" s="9"/>
      <c r="AN3451" s="9"/>
      <c r="AO3451" s="9"/>
      <c r="AP3451" s="9"/>
      <c r="AQ3451" s="9"/>
      <c r="AR3451" s="9"/>
      <c r="AS3451" s="9"/>
      <c r="AT3451" s="9"/>
      <c r="AU3451" s="9"/>
    </row>
    <row r="3452" spans="1:47" ht="15.75" customHeight="1">
      <c r="A3452" s="9"/>
      <c r="B3452" s="9"/>
      <c r="C3452" s="9"/>
      <c r="D3452" s="9"/>
      <c r="E3452" s="9"/>
      <c r="F3452" s="67"/>
      <c r="G3452" s="9"/>
      <c r="H3452" s="9"/>
      <c r="I3452" s="9"/>
      <c r="J3452" s="9"/>
      <c r="K3452" s="9"/>
      <c r="L3452" s="9"/>
      <c r="M3452" s="9"/>
      <c r="N3452" s="9"/>
      <c r="O3452" s="9"/>
      <c r="P3452" s="9"/>
      <c r="Q3452" s="9"/>
      <c r="R3452" s="9"/>
      <c r="S3452" s="9"/>
      <c r="T3452" s="9"/>
      <c r="U3452" s="9"/>
      <c r="V3452" s="9"/>
      <c r="W3452" s="9"/>
      <c r="X3452" s="9"/>
      <c r="Y3452" s="9"/>
      <c r="Z3452" s="9"/>
      <c r="AA3452" s="9"/>
      <c r="AB3452" s="9"/>
      <c r="AC3452" s="9"/>
      <c r="AD3452" s="9"/>
      <c r="AE3452" s="9"/>
      <c r="AF3452" s="9"/>
      <c r="AG3452" s="9"/>
      <c r="AH3452" s="9"/>
      <c r="AI3452" s="9"/>
      <c r="AJ3452" s="9"/>
      <c r="AK3452" s="9"/>
      <c r="AL3452" s="9"/>
      <c r="AM3452" s="9"/>
      <c r="AN3452" s="9"/>
      <c r="AO3452" s="9"/>
      <c r="AP3452" s="9"/>
      <c r="AQ3452" s="9"/>
      <c r="AR3452" s="9"/>
      <c r="AS3452" s="9"/>
      <c r="AT3452" s="9"/>
      <c r="AU3452" s="9"/>
    </row>
    <row r="3453" spans="1:47" ht="15.75" customHeight="1">
      <c r="A3453" s="9"/>
      <c r="B3453" s="9"/>
      <c r="C3453" s="9"/>
      <c r="D3453" s="9"/>
      <c r="E3453" s="9"/>
      <c r="F3453" s="67"/>
      <c r="G3453" s="9"/>
      <c r="H3453" s="9"/>
      <c r="I3453" s="9"/>
      <c r="J3453" s="9"/>
      <c r="K3453" s="9"/>
      <c r="L3453" s="9"/>
      <c r="M3453" s="9"/>
      <c r="N3453" s="9"/>
      <c r="O3453" s="9"/>
      <c r="P3453" s="9"/>
      <c r="Q3453" s="9"/>
      <c r="R3453" s="9"/>
      <c r="S3453" s="9"/>
      <c r="T3453" s="9"/>
      <c r="U3453" s="9"/>
      <c r="V3453" s="9"/>
      <c r="W3453" s="9"/>
      <c r="X3453" s="9"/>
      <c r="Y3453" s="9"/>
      <c r="Z3453" s="9"/>
      <c r="AA3453" s="9"/>
      <c r="AB3453" s="9"/>
      <c r="AC3453" s="9"/>
      <c r="AD3453" s="9"/>
      <c r="AE3453" s="9"/>
      <c r="AF3453" s="9"/>
      <c r="AG3453" s="9"/>
      <c r="AH3453" s="9"/>
      <c r="AI3453" s="9"/>
      <c r="AJ3453" s="9"/>
      <c r="AK3453" s="9"/>
      <c r="AL3453" s="9"/>
      <c r="AM3453" s="9"/>
      <c r="AN3453" s="9"/>
      <c r="AO3453" s="9"/>
      <c r="AP3453" s="9"/>
      <c r="AQ3453" s="9"/>
      <c r="AR3453" s="9"/>
      <c r="AS3453" s="9"/>
      <c r="AT3453" s="9"/>
      <c r="AU3453" s="9"/>
    </row>
    <row r="3454" spans="1:47" ht="15.75" customHeight="1">
      <c r="A3454" s="9"/>
      <c r="B3454" s="9"/>
      <c r="C3454" s="9"/>
      <c r="D3454" s="9"/>
      <c r="E3454" s="9"/>
      <c r="F3454" s="67"/>
      <c r="G3454" s="9"/>
      <c r="H3454" s="9"/>
      <c r="I3454" s="9"/>
      <c r="J3454" s="9"/>
      <c r="K3454" s="9"/>
      <c r="L3454" s="9"/>
      <c r="M3454" s="9"/>
      <c r="N3454" s="9"/>
      <c r="O3454" s="9"/>
      <c r="P3454" s="9"/>
      <c r="Q3454" s="9"/>
      <c r="R3454" s="9"/>
      <c r="S3454" s="9"/>
      <c r="T3454" s="9"/>
      <c r="U3454" s="9"/>
      <c r="V3454" s="9"/>
      <c r="W3454" s="9"/>
      <c r="X3454" s="9"/>
      <c r="Y3454" s="9"/>
      <c r="Z3454" s="9"/>
      <c r="AA3454" s="9"/>
      <c r="AB3454" s="9"/>
      <c r="AC3454" s="9"/>
      <c r="AD3454" s="9"/>
      <c r="AE3454" s="9"/>
      <c r="AF3454" s="9"/>
      <c r="AG3454" s="9"/>
      <c r="AH3454" s="9"/>
      <c r="AI3454" s="9"/>
      <c r="AJ3454" s="9"/>
      <c r="AK3454" s="9"/>
      <c r="AL3454" s="9"/>
      <c r="AM3454" s="9"/>
      <c r="AN3454" s="9"/>
      <c r="AO3454" s="9"/>
      <c r="AP3454" s="9"/>
      <c r="AQ3454" s="9"/>
      <c r="AR3454" s="9"/>
      <c r="AS3454" s="9"/>
      <c r="AT3454" s="9"/>
      <c r="AU3454" s="9"/>
    </row>
    <row r="3455" spans="1:47" ht="15.75" customHeight="1">
      <c r="A3455" s="9"/>
      <c r="B3455" s="9"/>
      <c r="C3455" s="9"/>
      <c r="D3455" s="9"/>
      <c r="E3455" s="9"/>
      <c r="F3455" s="67"/>
      <c r="G3455" s="9"/>
      <c r="H3455" s="9"/>
      <c r="I3455" s="9"/>
      <c r="J3455" s="9"/>
      <c r="K3455" s="9"/>
      <c r="L3455" s="9"/>
      <c r="M3455" s="9"/>
      <c r="N3455" s="9"/>
      <c r="O3455" s="9"/>
      <c r="P3455" s="9"/>
      <c r="Q3455" s="9"/>
      <c r="R3455" s="9"/>
      <c r="S3455" s="9"/>
      <c r="T3455" s="9"/>
      <c r="U3455" s="9"/>
      <c r="V3455" s="9"/>
      <c r="W3455" s="9"/>
      <c r="X3455" s="9"/>
      <c r="Y3455" s="9"/>
      <c r="Z3455" s="9"/>
      <c r="AA3455" s="9"/>
      <c r="AB3455" s="9"/>
      <c r="AC3455" s="9"/>
      <c r="AD3455" s="9"/>
      <c r="AE3455" s="9"/>
      <c r="AF3455" s="9"/>
      <c r="AG3455" s="9"/>
      <c r="AH3455" s="9"/>
      <c r="AI3455" s="9"/>
      <c r="AJ3455" s="9"/>
      <c r="AK3455" s="9"/>
      <c r="AL3455" s="9"/>
      <c r="AM3455" s="9"/>
      <c r="AN3455" s="9"/>
      <c r="AO3455" s="9"/>
      <c r="AP3455" s="9"/>
      <c r="AQ3455" s="9"/>
      <c r="AR3455" s="9"/>
      <c r="AS3455" s="9"/>
      <c r="AT3455" s="9"/>
      <c r="AU3455" s="9"/>
    </row>
    <row r="3456" spans="1:47" ht="15.75" customHeight="1">
      <c r="A3456" s="9"/>
      <c r="B3456" s="9"/>
      <c r="C3456" s="9"/>
      <c r="D3456" s="9"/>
      <c r="E3456" s="9"/>
      <c r="F3456" s="67"/>
      <c r="G3456" s="9"/>
      <c r="H3456" s="9"/>
      <c r="I3456" s="9"/>
      <c r="J3456" s="9"/>
      <c r="K3456" s="9"/>
      <c r="L3456" s="9"/>
      <c r="M3456" s="9"/>
      <c r="N3456" s="9"/>
      <c r="O3456" s="9"/>
      <c r="P3456" s="9"/>
      <c r="Q3456" s="9"/>
      <c r="R3456" s="9"/>
      <c r="S3456" s="9"/>
      <c r="T3456" s="9"/>
      <c r="U3456" s="9"/>
      <c r="V3456" s="9"/>
      <c r="W3456" s="9"/>
      <c r="X3456" s="9"/>
      <c r="Y3456" s="9"/>
      <c r="Z3456" s="9"/>
      <c r="AA3456" s="9"/>
      <c r="AB3456" s="9"/>
      <c r="AC3456" s="9"/>
      <c r="AD3456" s="9"/>
      <c r="AE3456" s="9"/>
      <c r="AF3456" s="9"/>
      <c r="AG3456" s="9"/>
      <c r="AH3456" s="9"/>
      <c r="AI3456" s="9"/>
      <c r="AJ3456" s="9"/>
      <c r="AK3456" s="9"/>
      <c r="AL3456" s="9"/>
      <c r="AM3456" s="9"/>
      <c r="AN3456" s="9"/>
      <c r="AO3456" s="9"/>
      <c r="AP3456" s="9"/>
      <c r="AQ3456" s="9"/>
      <c r="AR3456" s="9"/>
      <c r="AS3456" s="9"/>
      <c r="AT3456" s="9"/>
      <c r="AU3456" s="9"/>
    </row>
    <row r="3457" spans="1:47" ht="15.75" customHeight="1">
      <c r="A3457" s="9"/>
      <c r="B3457" s="9"/>
      <c r="C3457" s="9"/>
      <c r="D3457" s="9"/>
      <c r="E3457" s="9"/>
      <c r="F3457" s="67"/>
      <c r="G3457" s="9"/>
      <c r="H3457" s="9"/>
      <c r="I3457" s="9"/>
      <c r="J3457" s="9"/>
      <c r="K3457" s="9"/>
      <c r="L3457" s="9"/>
      <c r="M3457" s="9"/>
      <c r="N3457" s="9"/>
      <c r="O3457" s="9"/>
      <c r="P3457" s="9"/>
      <c r="Q3457" s="9"/>
      <c r="R3457" s="9"/>
      <c r="S3457" s="9"/>
      <c r="T3457" s="9"/>
      <c r="U3457" s="9"/>
      <c r="V3457" s="9"/>
      <c r="W3457" s="9"/>
      <c r="X3457" s="9"/>
      <c r="Y3457" s="9"/>
      <c r="Z3457" s="9"/>
      <c r="AA3457" s="9"/>
      <c r="AB3457" s="9"/>
      <c r="AC3457" s="9"/>
      <c r="AD3457" s="9"/>
      <c r="AE3457" s="9"/>
      <c r="AF3457" s="9"/>
      <c r="AG3457" s="9"/>
      <c r="AH3457" s="9"/>
      <c r="AI3457" s="9"/>
      <c r="AJ3457" s="9"/>
      <c r="AK3457" s="9"/>
      <c r="AL3457" s="9"/>
      <c r="AM3457" s="9"/>
      <c r="AN3457" s="9"/>
      <c r="AO3457" s="9"/>
      <c r="AP3457" s="9"/>
      <c r="AQ3457" s="9"/>
      <c r="AR3457" s="9"/>
      <c r="AS3457" s="9"/>
      <c r="AT3457" s="9"/>
      <c r="AU3457" s="9"/>
    </row>
    <row r="3458" spans="1:47" ht="15.75" customHeight="1">
      <c r="A3458" s="9"/>
      <c r="B3458" s="9"/>
      <c r="C3458" s="9"/>
      <c r="D3458" s="9"/>
      <c r="E3458" s="9"/>
      <c r="F3458" s="67"/>
      <c r="G3458" s="9"/>
      <c r="H3458" s="9"/>
      <c r="I3458" s="9"/>
      <c r="J3458" s="9"/>
      <c r="K3458" s="9"/>
      <c r="L3458" s="9"/>
      <c r="M3458" s="9"/>
      <c r="N3458" s="9"/>
      <c r="O3458" s="9"/>
      <c r="P3458" s="9"/>
      <c r="Q3458" s="9"/>
      <c r="R3458" s="9"/>
      <c r="S3458" s="9"/>
      <c r="T3458" s="9"/>
      <c r="U3458" s="9"/>
      <c r="V3458" s="9"/>
      <c r="W3458" s="9"/>
      <c r="X3458" s="9"/>
      <c r="Y3458" s="9"/>
      <c r="Z3458" s="9"/>
      <c r="AA3458" s="9"/>
      <c r="AB3458" s="9"/>
      <c r="AC3458" s="9"/>
      <c r="AD3458" s="9"/>
      <c r="AE3458" s="9"/>
      <c r="AF3458" s="9"/>
      <c r="AG3458" s="9"/>
      <c r="AH3458" s="9"/>
      <c r="AI3458" s="9"/>
      <c r="AJ3458" s="9"/>
      <c r="AK3458" s="9"/>
      <c r="AL3458" s="9"/>
      <c r="AM3458" s="9"/>
      <c r="AN3458" s="9"/>
      <c r="AO3458" s="9"/>
      <c r="AP3458" s="9"/>
      <c r="AQ3458" s="9"/>
      <c r="AR3458" s="9"/>
      <c r="AS3458" s="9"/>
      <c r="AT3458" s="9"/>
      <c r="AU3458" s="9"/>
    </row>
    <row r="3459" spans="1:47" ht="15.75" customHeight="1">
      <c r="A3459" s="9"/>
      <c r="B3459" s="9"/>
      <c r="C3459" s="9"/>
      <c r="D3459" s="9"/>
      <c r="E3459" s="9"/>
      <c r="F3459" s="67"/>
      <c r="G3459" s="9"/>
      <c r="H3459" s="9"/>
      <c r="I3459" s="9"/>
      <c r="J3459" s="9"/>
      <c r="K3459" s="9"/>
      <c r="L3459" s="9"/>
      <c r="M3459" s="9"/>
      <c r="N3459" s="9"/>
      <c r="O3459" s="9"/>
      <c r="P3459" s="9"/>
      <c r="Q3459" s="9"/>
      <c r="R3459" s="9"/>
      <c r="S3459" s="9"/>
      <c r="T3459" s="9"/>
      <c r="U3459" s="9"/>
      <c r="V3459" s="9"/>
      <c r="W3459" s="9"/>
      <c r="X3459" s="9"/>
      <c r="Y3459" s="9"/>
      <c r="Z3459" s="9"/>
      <c r="AA3459" s="9"/>
      <c r="AB3459" s="9"/>
      <c r="AC3459" s="9"/>
      <c r="AD3459" s="9"/>
      <c r="AE3459" s="9"/>
      <c r="AF3459" s="9"/>
      <c r="AG3459" s="9"/>
      <c r="AH3459" s="9"/>
      <c r="AI3459" s="9"/>
      <c r="AJ3459" s="9"/>
      <c r="AK3459" s="9"/>
      <c r="AL3459" s="9"/>
      <c r="AM3459" s="9"/>
      <c r="AN3459" s="9"/>
      <c r="AO3459" s="9"/>
      <c r="AP3459" s="9"/>
      <c r="AQ3459" s="9"/>
      <c r="AR3459" s="9"/>
      <c r="AS3459" s="9"/>
      <c r="AT3459" s="9"/>
      <c r="AU3459" s="9"/>
    </row>
    <row r="3460" spans="1:47" ht="15.75" customHeight="1">
      <c r="A3460" s="9"/>
      <c r="B3460" s="9"/>
      <c r="C3460" s="9"/>
      <c r="D3460" s="9"/>
      <c r="E3460" s="9"/>
      <c r="F3460" s="67"/>
      <c r="G3460" s="9"/>
      <c r="H3460" s="9"/>
      <c r="I3460" s="9"/>
      <c r="J3460" s="9"/>
      <c r="K3460" s="9"/>
      <c r="L3460" s="9"/>
      <c r="M3460" s="9"/>
      <c r="N3460" s="9"/>
      <c r="O3460" s="9"/>
      <c r="P3460" s="9"/>
      <c r="Q3460" s="9"/>
      <c r="R3460" s="9"/>
      <c r="S3460" s="9"/>
      <c r="T3460" s="9"/>
      <c r="U3460" s="9"/>
      <c r="V3460" s="9"/>
      <c r="W3460" s="9"/>
      <c r="X3460" s="9"/>
      <c r="Y3460" s="9"/>
      <c r="Z3460" s="9"/>
      <c r="AA3460" s="9"/>
      <c r="AB3460" s="9"/>
      <c r="AC3460" s="9"/>
      <c r="AD3460" s="9"/>
      <c r="AE3460" s="9"/>
      <c r="AF3460" s="9"/>
      <c r="AG3460" s="9"/>
      <c r="AH3460" s="9"/>
      <c r="AI3460" s="9"/>
      <c r="AJ3460" s="9"/>
      <c r="AK3460" s="9"/>
      <c r="AL3460" s="9"/>
      <c r="AM3460" s="9"/>
      <c r="AN3460" s="9"/>
      <c r="AO3460" s="9"/>
      <c r="AP3460" s="9"/>
      <c r="AQ3460" s="9"/>
      <c r="AR3460" s="9"/>
      <c r="AS3460" s="9"/>
      <c r="AT3460" s="9"/>
      <c r="AU3460" s="9"/>
    </row>
    <row r="3461" spans="1:47" ht="15.75" customHeight="1">
      <c r="A3461" s="9"/>
      <c r="B3461" s="9"/>
      <c r="C3461" s="9"/>
      <c r="D3461" s="9"/>
      <c r="E3461" s="9"/>
      <c r="F3461" s="67"/>
      <c r="G3461" s="9"/>
      <c r="H3461" s="9"/>
      <c r="I3461" s="9"/>
      <c r="J3461" s="9"/>
      <c r="K3461" s="9"/>
      <c r="L3461" s="9"/>
      <c r="M3461" s="9"/>
      <c r="N3461" s="9"/>
      <c r="O3461" s="9"/>
      <c r="P3461" s="9"/>
      <c r="Q3461" s="9"/>
      <c r="R3461" s="9"/>
      <c r="S3461" s="9"/>
      <c r="T3461" s="9"/>
      <c r="U3461" s="9"/>
      <c r="V3461" s="9"/>
      <c r="W3461" s="9"/>
      <c r="X3461" s="9"/>
      <c r="Y3461" s="9"/>
      <c r="Z3461" s="9"/>
      <c r="AA3461" s="9"/>
      <c r="AB3461" s="9"/>
      <c r="AC3461" s="9"/>
      <c r="AD3461" s="9"/>
      <c r="AE3461" s="9"/>
      <c r="AF3461" s="9"/>
      <c r="AG3461" s="9"/>
      <c r="AH3461" s="9"/>
      <c r="AI3461" s="9"/>
      <c r="AJ3461" s="9"/>
      <c r="AK3461" s="9"/>
      <c r="AL3461" s="9"/>
      <c r="AM3461" s="9"/>
      <c r="AN3461" s="9"/>
      <c r="AO3461" s="9"/>
      <c r="AP3461" s="9"/>
      <c r="AQ3461" s="9"/>
      <c r="AR3461" s="9"/>
      <c r="AS3461" s="9"/>
      <c r="AT3461" s="9"/>
      <c r="AU3461" s="9"/>
    </row>
    <row r="3462" spans="1:47" ht="15.75" customHeight="1">
      <c r="A3462" s="9"/>
      <c r="B3462" s="9"/>
      <c r="C3462" s="9"/>
      <c r="D3462" s="9"/>
      <c r="E3462" s="9"/>
      <c r="F3462" s="67"/>
      <c r="G3462" s="9"/>
      <c r="H3462" s="9"/>
      <c r="I3462" s="9"/>
      <c r="J3462" s="9"/>
      <c r="K3462" s="9"/>
      <c r="L3462" s="9"/>
      <c r="M3462" s="9"/>
      <c r="N3462" s="9"/>
      <c r="O3462" s="9"/>
      <c r="P3462" s="9"/>
      <c r="Q3462" s="9"/>
      <c r="R3462" s="9"/>
      <c r="S3462" s="9"/>
      <c r="T3462" s="9"/>
      <c r="U3462" s="9"/>
      <c r="V3462" s="9"/>
      <c r="W3462" s="9"/>
      <c r="X3462" s="9"/>
      <c r="Y3462" s="9"/>
      <c r="Z3462" s="9"/>
      <c r="AA3462" s="9"/>
      <c r="AB3462" s="9"/>
      <c r="AC3462" s="9"/>
      <c r="AD3462" s="9"/>
      <c r="AE3462" s="9"/>
      <c r="AF3462" s="9"/>
      <c r="AG3462" s="9"/>
      <c r="AH3462" s="9"/>
      <c r="AI3462" s="9"/>
      <c r="AJ3462" s="9"/>
      <c r="AK3462" s="9"/>
      <c r="AL3462" s="9"/>
      <c r="AM3462" s="9"/>
      <c r="AN3462" s="9"/>
      <c r="AO3462" s="9"/>
      <c r="AP3462" s="9"/>
      <c r="AQ3462" s="9"/>
      <c r="AR3462" s="9"/>
      <c r="AS3462" s="9"/>
      <c r="AT3462" s="9"/>
      <c r="AU3462" s="9"/>
    </row>
    <row r="3463" spans="1:47" ht="15.75" customHeight="1">
      <c r="A3463" s="9"/>
      <c r="B3463" s="9"/>
      <c r="C3463" s="9"/>
      <c r="D3463" s="9"/>
      <c r="E3463" s="9"/>
      <c r="F3463" s="67"/>
      <c r="G3463" s="9"/>
      <c r="H3463" s="9"/>
      <c r="I3463" s="9"/>
      <c r="J3463" s="9"/>
      <c r="K3463" s="9"/>
      <c r="L3463" s="9"/>
      <c r="M3463" s="9"/>
      <c r="N3463" s="9"/>
      <c r="O3463" s="9"/>
      <c r="P3463" s="9"/>
      <c r="Q3463" s="9"/>
      <c r="R3463" s="9"/>
      <c r="S3463" s="9"/>
      <c r="T3463" s="9"/>
      <c r="U3463" s="9"/>
      <c r="V3463" s="9"/>
      <c r="W3463" s="9"/>
      <c r="X3463" s="9"/>
      <c r="Y3463" s="9"/>
      <c r="Z3463" s="9"/>
      <c r="AA3463" s="9"/>
      <c r="AB3463" s="9"/>
      <c r="AC3463" s="9"/>
      <c r="AD3463" s="9"/>
      <c r="AE3463" s="9"/>
      <c r="AF3463" s="9"/>
      <c r="AG3463" s="9"/>
      <c r="AH3463" s="9"/>
      <c r="AI3463" s="9"/>
      <c r="AJ3463" s="9"/>
      <c r="AK3463" s="9"/>
      <c r="AL3463" s="9"/>
      <c r="AM3463" s="9"/>
      <c r="AN3463" s="9"/>
      <c r="AO3463" s="9"/>
      <c r="AP3463" s="9"/>
      <c r="AQ3463" s="9"/>
      <c r="AR3463" s="9"/>
      <c r="AS3463" s="9"/>
      <c r="AT3463" s="9"/>
      <c r="AU3463" s="9"/>
    </row>
    <row r="3464" spans="1:47" ht="15.75" customHeight="1">
      <c r="A3464" s="9"/>
      <c r="B3464" s="9"/>
      <c r="C3464" s="9"/>
      <c r="D3464" s="9"/>
      <c r="E3464" s="9"/>
      <c r="F3464" s="67"/>
      <c r="G3464" s="9"/>
      <c r="H3464" s="9"/>
      <c r="I3464" s="9"/>
      <c r="J3464" s="9"/>
      <c r="K3464" s="9"/>
      <c r="L3464" s="9"/>
      <c r="M3464" s="9"/>
      <c r="N3464" s="9"/>
      <c r="O3464" s="9"/>
      <c r="P3464" s="9"/>
      <c r="Q3464" s="9"/>
      <c r="R3464" s="9"/>
      <c r="S3464" s="9"/>
      <c r="T3464" s="9"/>
      <c r="U3464" s="9"/>
      <c r="V3464" s="9"/>
      <c r="W3464" s="9"/>
      <c r="X3464" s="9"/>
      <c r="Y3464" s="9"/>
      <c r="Z3464" s="9"/>
      <c r="AA3464" s="9"/>
      <c r="AB3464" s="9"/>
      <c r="AC3464" s="9"/>
      <c r="AD3464" s="9"/>
      <c r="AE3464" s="9"/>
      <c r="AF3464" s="9"/>
      <c r="AG3464" s="9"/>
      <c r="AH3464" s="9"/>
      <c r="AI3464" s="9"/>
      <c r="AJ3464" s="9"/>
      <c r="AK3464" s="9"/>
      <c r="AL3464" s="9"/>
      <c r="AM3464" s="9"/>
      <c r="AN3464" s="9"/>
      <c r="AO3464" s="9"/>
      <c r="AP3464" s="9"/>
      <c r="AQ3464" s="9"/>
      <c r="AR3464" s="9"/>
      <c r="AS3464" s="9"/>
      <c r="AT3464" s="9"/>
      <c r="AU3464" s="9"/>
    </row>
    <row r="3465" spans="1:47" ht="15.75" customHeight="1">
      <c r="A3465" s="9"/>
      <c r="B3465" s="9"/>
      <c r="C3465" s="9"/>
      <c r="D3465" s="9"/>
      <c r="E3465" s="9"/>
      <c r="F3465" s="67"/>
      <c r="G3465" s="9"/>
      <c r="H3465" s="9"/>
      <c r="I3465" s="9"/>
      <c r="J3465" s="9"/>
      <c r="K3465" s="9"/>
      <c r="L3465" s="9"/>
      <c r="M3465" s="9"/>
      <c r="N3465" s="9"/>
      <c r="O3465" s="9"/>
      <c r="P3465" s="9"/>
      <c r="Q3465" s="9"/>
      <c r="R3465" s="9"/>
      <c r="S3465" s="9"/>
      <c r="T3465" s="9"/>
      <c r="U3465" s="9"/>
      <c r="V3465" s="9"/>
      <c r="W3465" s="9"/>
      <c r="X3465" s="9"/>
      <c r="Y3465" s="9"/>
      <c r="Z3465" s="9"/>
      <c r="AA3465" s="9"/>
      <c r="AB3465" s="9"/>
      <c r="AC3465" s="9"/>
      <c r="AD3465" s="9"/>
      <c r="AE3465" s="9"/>
      <c r="AF3465" s="9"/>
      <c r="AG3465" s="9"/>
      <c r="AH3465" s="9"/>
      <c r="AI3465" s="9"/>
      <c r="AJ3465" s="9"/>
      <c r="AK3465" s="9"/>
      <c r="AL3465" s="9"/>
      <c r="AM3465" s="9"/>
      <c r="AN3465" s="9"/>
      <c r="AO3465" s="9"/>
      <c r="AP3465" s="9"/>
      <c r="AQ3465" s="9"/>
      <c r="AR3465" s="9"/>
      <c r="AS3465" s="9"/>
      <c r="AT3465" s="9"/>
      <c r="AU3465" s="9"/>
    </row>
    <row r="3466" spans="1:47" ht="15.75" customHeight="1">
      <c r="A3466" s="9"/>
      <c r="B3466" s="9"/>
      <c r="C3466" s="9"/>
      <c r="D3466" s="9"/>
      <c r="E3466" s="9"/>
      <c r="F3466" s="67"/>
      <c r="G3466" s="9"/>
      <c r="H3466" s="9"/>
      <c r="I3466" s="9"/>
      <c r="J3466" s="9"/>
      <c r="K3466" s="9"/>
      <c r="L3466" s="9"/>
      <c r="M3466" s="9"/>
      <c r="N3466" s="9"/>
      <c r="O3466" s="9"/>
      <c r="P3466" s="9"/>
      <c r="Q3466" s="9"/>
      <c r="R3466" s="9"/>
      <c r="S3466" s="9"/>
      <c r="T3466" s="9"/>
      <c r="U3466" s="9"/>
      <c r="V3466" s="9"/>
      <c r="W3466" s="9"/>
      <c r="X3466" s="9"/>
      <c r="Y3466" s="9"/>
      <c r="Z3466" s="9"/>
      <c r="AA3466" s="9"/>
      <c r="AB3466" s="9"/>
      <c r="AC3466" s="9"/>
      <c r="AD3466" s="9"/>
      <c r="AE3466" s="9"/>
      <c r="AF3466" s="9"/>
      <c r="AG3466" s="9"/>
      <c r="AH3466" s="9"/>
      <c r="AI3466" s="9"/>
      <c r="AJ3466" s="9"/>
      <c r="AK3466" s="9"/>
      <c r="AL3466" s="9"/>
      <c r="AM3466" s="9"/>
      <c r="AN3466" s="9"/>
      <c r="AO3466" s="9"/>
      <c r="AP3466" s="9"/>
      <c r="AQ3466" s="9"/>
      <c r="AR3466" s="9"/>
      <c r="AS3466" s="9"/>
      <c r="AT3466" s="9"/>
      <c r="AU3466" s="9"/>
    </row>
    <row r="3467" spans="1:47" ht="15.75" customHeight="1">
      <c r="A3467" s="9"/>
      <c r="B3467" s="9"/>
      <c r="C3467" s="9"/>
      <c r="D3467" s="9"/>
      <c r="E3467" s="9"/>
      <c r="F3467" s="67"/>
      <c r="G3467" s="9"/>
      <c r="H3467" s="9"/>
      <c r="I3467" s="9"/>
      <c r="J3467" s="9"/>
      <c r="K3467" s="9"/>
      <c r="L3467" s="9"/>
      <c r="M3467" s="9"/>
      <c r="N3467" s="9"/>
      <c r="O3467" s="9"/>
      <c r="P3467" s="9"/>
      <c r="Q3467" s="9"/>
      <c r="R3467" s="9"/>
      <c r="S3467" s="9"/>
      <c r="T3467" s="9"/>
      <c r="U3467" s="9"/>
      <c r="V3467" s="9"/>
      <c r="W3467" s="9"/>
      <c r="X3467" s="9"/>
      <c r="Y3467" s="9"/>
      <c r="Z3467" s="9"/>
      <c r="AA3467" s="9"/>
      <c r="AB3467" s="9"/>
      <c r="AC3467" s="9"/>
      <c r="AD3467" s="9"/>
      <c r="AE3467" s="9"/>
      <c r="AF3467" s="9"/>
      <c r="AG3467" s="9"/>
      <c r="AH3467" s="9"/>
      <c r="AI3467" s="9"/>
      <c r="AJ3467" s="9"/>
      <c r="AK3467" s="9"/>
      <c r="AL3467" s="9"/>
      <c r="AM3467" s="9"/>
      <c r="AN3467" s="9"/>
      <c r="AO3467" s="9"/>
      <c r="AP3467" s="9"/>
      <c r="AQ3467" s="9"/>
      <c r="AR3467" s="9"/>
      <c r="AS3467" s="9"/>
      <c r="AT3467" s="9"/>
      <c r="AU3467" s="9"/>
    </row>
    <row r="3468" spans="1:47" ht="15.75" customHeight="1">
      <c r="A3468" s="9"/>
      <c r="B3468" s="9"/>
      <c r="C3468" s="9"/>
      <c r="D3468" s="9"/>
      <c r="E3468" s="9"/>
      <c r="F3468" s="67"/>
      <c r="G3468" s="9"/>
      <c r="H3468" s="9"/>
      <c r="I3468" s="9"/>
      <c r="J3468" s="9"/>
      <c r="K3468" s="9"/>
      <c r="L3468" s="9"/>
      <c r="M3468" s="9"/>
      <c r="N3468" s="9"/>
      <c r="O3468" s="9"/>
      <c r="P3468" s="9"/>
      <c r="Q3468" s="9"/>
      <c r="R3468" s="9"/>
      <c r="S3468" s="9"/>
      <c r="T3468" s="9"/>
      <c r="U3468" s="9"/>
      <c r="V3468" s="9"/>
      <c r="W3468" s="9"/>
      <c r="X3468" s="9"/>
      <c r="Y3468" s="9"/>
      <c r="Z3468" s="9"/>
      <c r="AA3468" s="9"/>
      <c r="AB3468" s="9"/>
      <c r="AC3468" s="9"/>
      <c r="AD3468" s="9"/>
      <c r="AE3468" s="9"/>
      <c r="AF3468" s="9"/>
      <c r="AG3468" s="9"/>
      <c r="AH3468" s="9"/>
      <c r="AI3468" s="9"/>
      <c r="AJ3468" s="9"/>
      <c r="AK3468" s="9"/>
      <c r="AL3468" s="9"/>
      <c r="AM3468" s="9"/>
      <c r="AN3468" s="9"/>
      <c r="AO3468" s="9"/>
      <c r="AP3468" s="9"/>
      <c r="AQ3468" s="9"/>
      <c r="AR3468" s="9"/>
      <c r="AS3468" s="9"/>
      <c r="AT3468" s="9"/>
      <c r="AU3468" s="9"/>
    </row>
    <row r="3469" spans="1:47" ht="15.75" customHeight="1">
      <c r="A3469" s="9"/>
      <c r="B3469" s="9"/>
      <c r="C3469" s="9"/>
      <c r="D3469" s="9"/>
      <c r="E3469" s="9"/>
      <c r="F3469" s="67"/>
      <c r="G3469" s="9"/>
      <c r="H3469" s="9"/>
      <c r="I3469" s="9"/>
      <c r="J3469" s="9"/>
      <c r="K3469" s="9"/>
      <c r="L3469" s="9"/>
      <c r="M3469" s="9"/>
      <c r="N3469" s="9"/>
      <c r="O3469" s="9"/>
      <c r="P3469" s="9"/>
      <c r="Q3469" s="9"/>
      <c r="R3469" s="9"/>
      <c r="S3469" s="9"/>
      <c r="T3469" s="9"/>
      <c r="U3469" s="9"/>
      <c r="V3469" s="9"/>
      <c r="W3469" s="9"/>
      <c r="X3469" s="9"/>
      <c r="Y3469" s="9"/>
      <c r="Z3469" s="9"/>
      <c r="AA3469" s="9"/>
      <c r="AB3469" s="9"/>
      <c r="AC3469" s="9"/>
      <c r="AD3469" s="9"/>
      <c r="AE3469" s="9"/>
      <c r="AF3469" s="9"/>
      <c r="AG3469" s="9"/>
      <c r="AH3469" s="9"/>
      <c r="AI3469" s="9"/>
      <c r="AJ3469" s="9"/>
      <c r="AK3469" s="9"/>
      <c r="AL3469" s="9"/>
      <c r="AM3469" s="9"/>
      <c r="AN3469" s="9"/>
      <c r="AO3469" s="9"/>
      <c r="AP3469" s="9"/>
      <c r="AQ3469" s="9"/>
      <c r="AR3469" s="9"/>
      <c r="AS3469" s="9"/>
      <c r="AT3469" s="9"/>
      <c r="AU3469" s="9"/>
    </row>
    <row r="3470" spans="1:47" ht="15.75" customHeight="1">
      <c r="A3470" s="9"/>
      <c r="B3470" s="9"/>
      <c r="C3470" s="9"/>
      <c r="D3470" s="9"/>
      <c r="E3470" s="9"/>
      <c r="F3470" s="67"/>
      <c r="G3470" s="9"/>
      <c r="H3470" s="9"/>
      <c r="I3470" s="9"/>
      <c r="J3470" s="9"/>
      <c r="K3470" s="9"/>
      <c r="L3470" s="9"/>
      <c r="M3470" s="9"/>
      <c r="N3470" s="9"/>
      <c r="O3470" s="9"/>
      <c r="P3470" s="9"/>
      <c r="Q3470" s="9"/>
      <c r="R3470" s="9"/>
      <c r="S3470" s="9"/>
      <c r="T3470" s="9"/>
      <c r="U3470" s="9"/>
      <c r="V3470" s="9"/>
      <c r="W3470" s="9"/>
      <c r="X3470" s="9"/>
      <c r="Y3470" s="9"/>
      <c r="Z3470" s="9"/>
      <c r="AA3470" s="9"/>
      <c r="AB3470" s="9"/>
      <c r="AC3470" s="9"/>
      <c r="AD3470" s="9"/>
      <c r="AE3470" s="9"/>
      <c r="AF3470" s="9"/>
      <c r="AG3470" s="9"/>
      <c r="AH3470" s="9"/>
      <c r="AI3470" s="9"/>
      <c r="AJ3470" s="9"/>
      <c r="AK3470" s="9"/>
      <c r="AL3470" s="9"/>
      <c r="AM3470" s="9"/>
      <c r="AN3470" s="9"/>
      <c r="AO3470" s="9"/>
      <c r="AP3470" s="9"/>
      <c r="AQ3470" s="9"/>
      <c r="AR3470" s="9"/>
      <c r="AS3470" s="9"/>
      <c r="AT3470" s="9"/>
      <c r="AU3470" s="9"/>
    </row>
    <row r="3471" spans="1:47" ht="15.75" customHeight="1">
      <c r="A3471" s="9"/>
      <c r="B3471" s="9"/>
      <c r="C3471" s="9"/>
      <c r="D3471" s="9"/>
      <c r="E3471" s="9"/>
      <c r="F3471" s="67"/>
      <c r="G3471" s="9"/>
      <c r="H3471" s="9"/>
      <c r="I3471" s="9"/>
      <c r="J3471" s="9"/>
      <c r="K3471" s="9"/>
      <c r="L3471" s="9"/>
      <c r="M3471" s="9"/>
      <c r="N3471" s="9"/>
      <c r="O3471" s="9"/>
      <c r="P3471" s="9"/>
      <c r="Q3471" s="9"/>
      <c r="R3471" s="9"/>
      <c r="S3471" s="9"/>
      <c r="T3471" s="9"/>
      <c r="U3471" s="9"/>
      <c r="V3471" s="9"/>
      <c r="W3471" s="9"/>
      <c r="X3471" s="9"/>
      <c r="Y3471" s="9"/>
      <c r="Z3471" s="9"/>
      <c r="AA3471" s="9"/>
      <c r="AB3471" s="9"/>
      <c r="AC3471" s="9"/>
      <c r="AD3471" s="9"/>
      <c r="AE3471" s="9"/>
      <c r="AF3471" s="9"/>
      <c r="AG3471" s="9"/>
      <c r="AH3471" s="9"/>
      <c r="AI3471" s="9"/>
      <c r="AJ3471" s="9"/>
      <c r="AK3471" s="9"/>
      <c r="AL3471" s="9"/>
      <c r="AM3471" s="9"/>
      <c r="AN3471" s="9"/>
      <c r="AO3471" s="9"/>
      <c r="AP3471" s="9"/>
      <c r="AQ3471" s="9"/>
      <c r="AR3471" s="9"/>
      <c r="AS3471" s="9"/>
      <c r="AT3471" s="9"/>
      <c r="AU3471" s="9"/>
    </row>
    <row r="3472" spans="1:47" ht="15.75" customHeight="1">
      <c r="A3472" s="9"/>
      <c r="B3472" s="9"/>
      <c r="C3472" s="9"/>
      <c r="D3472" s="9"/>
      <c r="E3472" s="9"/>
      <c r="F3472" s="67"/>
      <c r="G3472" s="9"/>
      <c r="H3472" s="9"/>
      <c r="I3472" s="9"/>
      <c r="J3472" s="9"/>
      <c r="K3472" s="9"/>
      <c r="L3472" s="9"/>
      <c r="M3472" s="9"/>
      <c r="N3472" s="9"/>
      <c r="O3472" s="9"/>
      <c r="P3472" s="9"/>
      <c r="Q3472" s="9"/>
      <c r="R3472" s="9"/>
      <c r="S3472" s="9"/>
      <c r="T3472" s="9"/>
      <c r="U3472" s="9"/>
      <c r="V3472" s="9"/>
      <c r="W3472" s="9"/>
      <c r="X3472" s="9"/>
      <c r="Y3472" s="9"/>
      <c r="Z3472" s="9"/>
      <c r="AA3472" s="9"/>
      <c r="AB3472" s="9"/>
      <c r="AC3472" s="9"/>
      <c r="AD3472" s="9"/>
      <c r="AE3472" s="9"/>
      <c r="AF3472" s="9"/>
      <c r="AG3472" s="9"/>
      <c r="AH3472" s="9"/>
      <c r="AI3472" s="9"/>
      <c r="AJ3472" s="9"/>
      <c r="AK3472" s="9"/>
      <c r="AL3472" s="9"/>
      <c r="AM3472" s="9"/>
      <c r="AN3472" s="9"/>
      <c r="AO3472" s="9"/>
      <c r="AP3472" s="9"/>
      <c r="AQ3472" s="9"/>
      <c r="AR3472" s="9"/>
      <c r="AS3472" s="9"/>
      <c r="AT3472" s="9"/>
      <c r="AU3472" s="9"/>
    </row>
    <row r="3473" spans="1:47" ht="15.75" customHeight="1">
      <c r="A3473" s="9"/>
      <c r="B3473" s="9"/>
      <c r="C3473" s="9"/>
      <c r="D3473" s="9"/>
      <c r="E3473" s="9"/>
      <c r="F3473" s="67"/>
      <c r="G3473" s="9"/>
      <c r="H3473" s="9"/>
      <c r="I3473" s="9"/>
      <c r="J3473" s="9"/>
      <c r="K3473" s="9"/>
      <c r="L3473" s="9"/>
      <c r="M3473" s="9"/>
      <c r="N3473" s="9"/>
      <c r="O3473" s="9"/>
      <c r="P3473" s="9"/>
      <c r="Q3473" s="9"/>
      <c r="R3473" s="9"/>
      <c r="S3473" s="9"/>
      <c r="T3473" s="9"/>
      <c r="U3473" s="9"/>
      <c r="V3473" s="9"/>
      <c r="W3473" s="9"/>
      <c r="X3473" s="9"/>
      <c r="Y3473" s="9"/>
      <c r="Z3473" s="9"/>
      <c r="AA3473" s="9"/>
      <c r="AB3473" s="9"/>
      <c r="AC3473" s="9"/>
      <c r="AD3473" s="9"/>
      <c r="AE3473" s="9"/>
      <c r="AF3473" s="9"/>
      <c r="AG3473" s="9"/>
      <c r="AH3473" s="9"/>
      <c r="AI3473" s="9"/>
      <c r="AJ3473" s="9"/>
      <c r="AK3473" s="9"/>
      <c r="AL3473" s="9"/>
      <c r="AM3473" s="9"/>
      <c r="AN3473" s="9"/>
      <c r="AO3473" s="9"/>
      <c r="AP3473" s="9"/>
      <c r="AQ3473" s="9"/>
      <c r="AR3473" s="9"/>
      <c r="AS3473" s="9"/>
      <c r="AT3473" s="9"/>
      <c r="AU3473" s="9"/>
    </row>
    <row r="3474" spans="1:47" ht="15.75" customHeight="1">
      <c r="A3474" s="9"/>
      <c r="B3474" s="9"/>
      <c r="C3474" s="9"/>
      <c r="D3474" s="9"/>
      <c r="E3474" s="9"/>
      <c r="F3474" s="67"/>
      <c r="G3474" s="9"/>
      <c r="H3474" s="9"/>
      <c r="I3474" s="9"/>
      <c r="J3474" s="9"/>
      <c r="K3474" s="9"/>
      <c r="L3474" s="9"/>
      <c r="M3474" s="9"/>
      <c r="N3474" s="9"/>
      <c r="O3474" s="9"/>
      <c r="P3474" s="9"/>
      <c r="Q3474" s="9"/>
      <c r="R3474" s="9"/>
      <c r="S3474" s="9"/>
      <c r="T3474" s="9"/>
      <c r="U3474" s="9"/>
      <c r="V3474" s="9"/>
      <c r="W3474" s="9"/>
      <c r="X3474" s="9"/>
      <c r="Y3474" s="9"/>
      <c r="Z3474" s="9"/>
      <c r="AA3474" s="9"/>
      <c r="AB3474" s="9"/>
      <c r="AC3474" s="9"/>
      <c r="AD3474" s="9"/>
      <c r="AE3474" s="9"/>
      <c r="AF3474" s="9"/>
      <c r="AG3474" s="9"/>
      <c r="AH3474" s="9"/>
      <c r="AI3474" s="9"/>
      <c r="AJ3474" s="9"/>
      <c r="AK3474" s="9"/>
      <c r="AL3474" s="9"/>
      <c r="AM3474" s="9"/>
      <c r="AN3474" s="9"/>
      <c r="AO3474" s="9"/>
      <c r="AP3474" s="9"/>
      <c r="AQ3474" s="9"/>
      <c r="AR3474" s="9"/>
      <c r="AS3474" s="9"/>
      <c r="AT3474" s="9"/>
      <c r="AU3474" s="9"/>
    </row>
    <row r="3475" spans="1:47" ht="15.75" customHeight="1">
      <c r="A3475" s="9"/>
      <c r="B3475" s="9"/>
      <c r="C3475" s="9"/>
      <c r="D3475" s="9"/>
      <c r="E3475" s="9"/>
      <c r="F3475" s="67"/>
      <c r="G3475" s="9"/>
      <c r="H3475" s="9"/>
      <c r="I3475" s="9"/>
      <c r="J3475" s="9"/>
      <c r="K3475" s="9"/>
      <c r="L3475" s="9"/>
      <c r="M3475" s="9"/>
      <c r="N3475" s="9"/>
      <c r="O3475" s="9"/>
      <c r="P3475" s="9"/>
      <c r="Q3475" s="9"/>
      <c r="R3475" s="9"/>
      <c r="S3475" s="9"/>
      <c r="T3475" s="9"/>
      <c r="U3475" s="9"/>
      <c r="V3475" s="9"/>
      <c r="W3475" s="9"/>
      <c r="X3475" s="9"/>
      <c r="Y3475" s="9"/>
      <c r="Z3475" s="9"/>
      <c r="AA3475" s="9"/>
      <c r="AB3475" s="9"/>
      <c r="AC3475" s="9"/>
      <c r="AD3475" s="9"/>
      <c r="AE3475" s="9"/>
      <c r="AF3475" s="9"/>
      <c r="AG3475" s="9"/>
      <c r="AH3475" s="9"/>
      <c r="AI3475" s="9"/>
      <c r="AJ3475" s="9"/>
      <c r="AK3475" s="9"/>
      <c r="AL3475" s="9"/>
      <c r="AM3475" s="9"/>
      <c r="AN3475" s="9"/>
      <c r="AO3475" s="9"/>
      <c r="AP3475" s="9"/>
      <c r="AQ3475" s="9"/>
      <c r="AR3475" s="9"/>
      <c r="AS3475" s="9"/>
      <c r="AT3475" s="9"/>
      <c r="AU3475" s="9"/>
    </row>
    <row r="3476" spans="1:47" ht="15.75" customHeight="1">
      <c r="A3476" s="9"/>
      <c r="B3476" s="9"/>
      <c r="C3476" s="9"/>
      <c r="D3476" s="9"/>
      <c r="E3476" s="9"/>
      <c r="F3476" s="67"/>
      <c r="G3476" s="9"/>
      <c r="H3476" s="9"/>
      <c r="I3476" s="9"/>
      <c r="J3476" s="9"/>
      <c r="K3476" s="9"/>
      <c r="L3476" s="9"/>
      <c r="M3476" s="9"/>
      <c r="N3476" s="9"/>
      <c r="O3476" s="9"/>
      <c r="P3476" s="9"/>
      <c r="Q3476" s="9"/>
      <c r="R3476" s="9"/>
      <c r="S3476" s="9"/>
      <c r="T3476" s="9"/>
      <c r="U3476" s="9"/>
      <c r="V3476" s="9"/>
      <c r="W3476" s="9"/>
      <c r="X3476" s="9"/>
      <c r="Y3476" s="9"/>
      <c r="Z3476" s="9"/>
      <c r="AA3476" s="9"/>
      <c r="AB3476" s="9"/>
      <c r="AC3476" s="9"/>
      <c r="AD3476" s="9"/>
      <c r="AE3476" s="9"/>
      <c r="AF3476" s="9"/>
      <c r="AG3476" s="9"/>
      <c r="AH3476" s="9"/>
      <c r="AI3476" s="9"/>
      <c r="AJ3476" s="9"/>
      <c r="AK3476" s="9"/>
      <c r="AL3476" s="9"/>
      <c r="AM3476" s="9"/>
      <c r="AN3476" s="9"/>
      <c r="AO3476" s="9"/>
      <c r="AP3476" s="9"/>
      <c r="AQ3476" s="9"/>
      <c r="AR3476" s="9"/>
      <c r="AS3476" s="9"/>
      <c r="AT3476" s="9"/>
      <c r="AU3476" s="9"/>
    </row>
    <row r="3477" spans="1:47" ht="15.75" customHeight="1">
      <c r="A3477" s="9"/>
      <c r="B3477" s="9"/>
      <c r="C3477" s="9"/>
      <c r="D3477" s="9"/>
      <c r="E3477" s="9"/>
      <c r="F3477" s="67"/>
      <c r="G3477" s="9"/>
      <c r="H3477" s="9"/>
      <c r="I3477" s="9"/>
      <c r="J3477" s="9"/>
      <c r="K3477" s="9"/>
      <c r="L3477" s="9"/>
      <c r="M3477" s="9"/>
      <c r="N3477" s="9"/>
      <c r="O3477" s="9"/>
      <c r="P3477" s="9"/>
      <c r="Q3477" s="9"/>
      <c r="R3477" s="9"/>
      <c r="S3477" s="9"/>
      <c r="T3477" s="9"/>
      <c r="U3477" s="9"/>
      <c r="V3477" s="9"/>
      <c r="W3477" s="9"/>
      <c r="X3477" s="9"/>
      <c r="Y3477" s="9"/>
      <c r="Z3477" s="9"/>
      <c r="AA3477" s="9"/>
      <c r="AB3477" s="9"/>
      <c r="AC3477" s="9"/>
      <c r="AD3477" s="9"/>
      <c r="AE3477" s="9"/>
      <c r="AF3477" s="9"/>
      <c r="AG3477" s="9"/>
      <c r="AH3477" s="9"/>
      <c r="AI3477" s="9"/>
      <c r="AJ3477" s="9"/>
      <c r="AK3477" s="9"/>
      <c r="AL3477" s="9"/>
      <c r="AM3477" s="9"/>
      <c r="AN3477" s="9"/>
      <c r="AO3477" s="9"/>
      <c r="AP3477" s="9"/>
      <c r="AQ3477" s="9"/>
      <c r="AR3477" s="9"/>
      <c r="AS3477" s="9"/>
      <c r="AT3477" s="9"/>
      <c r="AU3477" s="9"/>
    </row>
    <row r="3478" spans="1:47" ht="15.75" customHeight="1">
      <c r="A3478" s="9"/>
      <c r="B3478" s="9"/>
      <c r="C3478" s="9"/>
      <c r="D3478" s="9"/>
      <c r="E3478" s="9"/>
      <c r="F3478" s="67"/>
      <c r="G3478" s="9"/>
      <c r="H3478" s="9"/>
      <c r="I3478" s="9"/>
      <c r="J3478" s="9"/>
      <c r="K3478" s="9"/>
      <c r="L3478" s="9"/>
      <c r="M3478" s="9"/>
      <c r="N3478" s="9"/>
      <c r="O3478" s="9"/>
      <c r="P3478" s="9"/>
      <c r="Q3478" s="9"/>
      <c r="R3478" s="9"/>
      <c r="S3478" s="9"/>
      <c r="T3478" s="9"/>
      <c r="U3478" s="9"/>
      <c r="V3478" s="9"/>
      <c r="W3478" s="9"/>
      <c r="X3478" s="9"/>
      <c r="Y3478" s="9"/>
      <c r="Z3478" s="9"/>
      <c r="AA3478" s="9"/>
      <c r="AB3478" s="9"/>
      <c r="AC3478" s="9"/>
      <c r="AD3478" s="9"/>
      <c r="AE3478" s="9"/>
      <c r="AF3478" s="9"/>
      <c r="AG3478" s="9"/>
      <c r="AH3478" s="9"/>
      <c r="AI3478" s="9"/>
      <c r="AJ3478" s="9"/>
      <c r="AK3478" s="9"/>
      <c r="AL3478" s="9"/>
      <c r="AM3478" s="9"/>
      <c r="AN3478" s="9"/>
      <c r="AO3478" s="9"/>
      <c r="AP3478" s="9"/>
      <c r="AQ3478" s="9"/>
      <c r="AR3478" s="9"/>
      <c r="AS3478" s="9"/>
      <c r="AT3478" s="9"/>
      <c r="AU3478" s="9"/>
    </row>
    <row r="3479" spans="1:47" ht="15.75" customHeight="1">
      <c r="A3479" s="9"/>
      <c r="B3479" s="9"/>
      <c r="C3479" s="9"/>
      <c r="D3479" s="9"/>
      <c r="E3479" s="9"/>
      <c r="F3479" s="67"/>
      <c r="G3479" s="9"/>
      <c r="H3479" s="9"/>
      <c r="I3479" s="9"/>
      <c r="J3479" s="9"/>
      <c r="K3479" s="9"/>
      <c r="L3479" s="9"/>
      <c r="M3479" s="9"/>
      <c r="N3479" s="9"/>
      <c r="O3479" s="9"/>
      <c r="P3479" s="9"/>
      <c r="Q3479" s="9"/>
      <c r="R3479" s="9"/>
      <c r="S3479" s="9"/>
      <c r="T3479" s="9"/>
      <c r="U3479" s="9"/>
      <c r="V3479" s="9"/>
      <c r="W3479" s="9"/>
      <c r="X3479" s="9"/>
      <c r="Y3479" s="9"/>
      <c r="Z3479" s="9"/>
      <c r="AA3479" s="9"/>
      <c r="AB3479" s="9"/>
      <c r="AC3479" s="9"/>
      <c r="AD3479" s="9"/>
      <c r="AE3479" s="9"/>
      <c r="AF3479" s="9"/>
      <c r="AG3479" s="9"/>
      <c r="AH3479" s="9"/>
      <c r="AI3479" s="9"/>
      <c r="AJ3479" s="9"/>
      <c r="AK3479" s="9"/>
      <c r="AL3479" s="9"/>
      <c r="AM3479" s="9"/>
      <c r="AN3479" s="9"/>
      <c r="AO3479" s="9"/>
      <c r="AP3479" s="9"/>
      <c r="AQ3479" s="9"/>
      <c r="AR3479" s="9"/>
      <c r="AS3479" s="9"/>
      <c r="AT3479" s="9"/>
      <c r="AU3479" s="9"/>
    </row>
    <row r="3480" spans="1:47" ht="15.75" customHeight="1">
      <c r="A3480" s="9"/>
      <c r="B3480" s="9"/>
      <c r="C3480" s="9"/>
      <c r="D3480" s="9"/>
      <c r="E3480" s="9"/>
      <c r="F3480" s="67"/>
      <c r="G3480" s="9"/>
      <c r="H3480" s="9"/>
      <c r="I3480" s="9"/>
      <c r="J3480" s="9"/>
      <c r="K3480" s="9"/>
      <c r="L3480" s="9"/>
      <c r="M3480" s="9"/>
      <c r="N3480" s="9"/>
      <c r="O3480" s="9"/>
      <c r="P3480" s="9"/>
      <c r="Q3480" s="9"/>
      <c r="R3480" s="9"/>
      <c r="S3480" s="9"/>
      <c r="T3480" s="9"/>
      <c r="U3480" s="9"/>
      <c r="V3480" s="9"/>
      <c r="W3480" s="9"/>
      <c r="X3480" s="9"/>
      <c r="Y3480" s="9"/>
      <c r="Z3480" s="9"/>
      <c r="AA3480" s="9"/>
      <c r="AB3480" s="9"/>
      <c r="AC3480" s="9"/>
      <c r="AD3480" s="9"/>
      <c r="AE3480" s="9"/>
      <c r="AF3480" s="9"/>
      <c r="AG3480" s="9"/>
      <c r="AH3480" s="9"/>
      <c r="AI3480" s="9"/>
      <c r="AJ3480" s="9"/>
      <c r="AK3480" s="9"/>
      <c r="AL3480" s="9"/>
      <c r="AM3480" s="9"/>
      <c r="AN3480" s="9"/>
      <c r="AO3480" s="9"/>
      <c r="AP3480" s="9"/>
      <c r="AQ3480" s="9"/>
      <c r="AR3480" s="9"/>
      <c r="AS3480" s="9"/>
      <c r="AT3480" s="9"/>
      <c r="AU3480" s="9"/>
    </row>
    <row r="3481" spans="1:47" ht="15.75" customHeight="1">
      <c r="A3481" s="9"/>
      <c r="B3481" s="9"/>
      <c r="C3481" s="9"/>
      <c r="D3481" s="9"/>
      <c r="E3481" s="9"/>
      <c r="F3481" s="67"/>
      <c r="G3481" s="9"/>
      <c r="H3481" s="9"/>
      <c r="I3481" s="9"/>
      <c r="J3481" s="9"/>
      <c r="K3481" s="9"/>
      <c r="L3481" s="9"/>
      <c r="M3481" s="9"/>
      <c r="N3481" s="9"/>
      <c r="O3481" s="9"/>
      <c r="P3481" s="9"/>
      <c r="Q3481" s="9"/>
      <c r="R3481" s="9"/>
      <c r="S3481" s="9"/>
      <c r="T3481" s="9"/>
      <c r="U3481" s="9"/>
      <c r="V3481" s="9"/>
      <c r="W3481" s="9"/>
      <c r="X3481" s="9"/>
      <c r="Y3481" s="9"/>
      <c r="Z3481" s="9"/>
      <c r="AA3481" s="9"/>
      <c r="AB3481" s="9"/>
      <c r="AC3481" s="9"/>
      <c r="AD3481" s="9"/>
      <c r="AE3481" s="9"/>
      <c r="AF3481" s="9"/>
      <c r="AG3481" s="9"/>
      <c r="AH3481" s="9"/>
      <c r="AI3481" s="9"/>
      <c r="AJ3481" s="9"/>
      <c r="AK3481" s="9"/>
      <c r="AL3481" s="9"/>
      <c r="AM3481" s="9"/>
      <c r="AN3481" s="9"/>
      <c r="AO3481" s="9"/>
      <c r="AP3481" s="9"/>
      <c r="AQ3481" s="9"/>
      <c r="AR3481" s="9"/>
      <c r="AS3481" s="9"/>
      <c r="AT3481" s="9"/>
      <c r="AU3481" s="9"/>
    </row>
    <row r="3482" spans="1:47" ht="15.75" customHeight="1">
      <c r="A3482" s="9"/>
      <c r="B3482" s="9"/>
      <c r="C3482" s="9"/>
      <c r="D3482" s="9"/>
      <c r="E3482" s="9"/>
      <c r="F3482" s="67"/>
      <c r="G3482" s="9"/>
      <c r="H3482" s="9"/>
      <c r="I3482" s="9"/>
      <c r="J3482" s="9"/>
      <c r="K3482" s="9"/>
      <c r="L3482" s="9"/>
      <c r="M3482" s="9"/>
      <c r="N3482" s="9"/>
      <c r="O3482" s="9"/>
      <c r="P3482" s="9"/>
      <c r="Q3482" s="9"/>
      <c r="R3482" s="9"/>
      <c r="S3482" s="9"/>
      <c r="T3482" s="9"/>
      <c r="U3482" s="9"/>
      <c r="V3482" s="9"/>
      <c r="W3482" s="9"/>
      <c r="X3482" s="9"/>
      <c r="Y3482" s="9"/>
      <c r="Z3482" s="9"/>
      <c r="AA3482" s="9"/>
      <c r="AB3482" s="9"/>
      <c r="AC3482" s="9"/>
      <c r="AD3482" s="9"/>
      <c r="AE3482" s="9"/>
      <c r="AF3482" s="9"/>
      <c r="AG3482" s="9"/>
      <c r="AH3482" s="9"/>
      <c r="AI3482" s="9"/>
      <c r="AJ3482" s="9"/>
      <c r="AK3482" s="9"/>
      <c r="AL3482" s="9"/>
      <c r="AM3482" s="9"/>
      <c r="AN3482" s="9"/>
      <c r="AO3482" s="9"/>
      <c r="AP3482" s="9"/>
      <c r="AQ3482" s="9"/>
      <c r="AR3482" s="9"/>
      <c r="AS3482" s="9"/>
      <c r="AT3482" s="9"/>
      <c r="AU3482" s="9"/>
    </row>
    <row r="3483" spans="1:47" ht="15.75" customHeight="1">
      <c r="A3483" s="9"/>
      <c r="B3483" s="9"/>
      <c r="C3483" s="9"/>
      <c r="D3483" s="9"/>
      <c r="E3483" s="9"/>
      <c r="F3483" s="67"/>
      <c r="G3483" s="9"/>
      <c r="H3483" s="9"/>
      <c r="I3483" s="9"/>
      <c r="J3483" s="9"/>
      <c r="K3483" s="9"/>
      <c r="L3483" s="9"/>
      <c r="M3483" s="9"/>
      <c r="N3483" s="9"/>
      <c r="O3483" s="9"/>
      <c r="P3483" s="9"/>
      <c r="Q3483" s="9"/>
      <c r="R3483" s="9"/>
      <c r="S3483" s="9"/>
      <c r="T3483" s="9"/>
      <c r="U3483" s="9"/>
      <c r="V3483" s="9"/>
      <c r="W3483" s="9"/>
      <c r="X3483" s="9"/>
      <c r="Y3483" s="9"/>
      <c r="Z3483" s="9"/>
      <c r="AA3483" s="9"/>
      <c r="AB3483" s="9"/>
      <c r="AC3483" s="9"/>
      <c r="AD3483" s="9"/>
      <c r="AE3483" s="9"/>
      <c r="AF3483" s="9"/>
      <c r="AG3483" s="9"/>
      <c r="AH3483" s="9"/>
      <c r="AI3483" s="9"/>
      <c r="AJ3483" s="9"/>
      <c r="AK3483" s="9"/>
      <c r="AL3483" s="9"/>
      <c r="AM3483" s="9"/>
      <c r="AN3483" s="9"/>
      <c r="AO3483" s="9"/>
      <c r="AP3483" s="9"/>
      <c r="AQ3483" s="9"/>
      <c r="AR3483" s="9"/>
      <c r="AS3483" s="9"/>
      <c r="AT3483" s="9"/>
      <c r="AU3483" s="9"/>
    </row>
    <row r="3484" spans="1:47" ht="15.75" customHeight="1">
      <c r="A3484" s="9"/>
      <c r="B3484" s="9"/>
      <c r="C3484" s="9"/>
      <c r="D3484" s="9"/>
      <c r="E3484" s="9"/>
      <c r="F3484" s="67"/>
      <c r="G3484" s="9"/>
      <c r="H3484" s="9"/>
      <c r="I3484" s="9"/>
      <c r="J3484" s="9"/>
      <c r="K3484" s="9"/>
      <c r="L3484" s="9"/>
      <c r="M3484" s="9"/>
      <c r="N3484" s="9"/>
      <c r="O3484" s="9"/>
      <c r="P3484" s="9"/>
      <c r="Q3484" s="9"/>
      <c r="R3484" s="9"/>
      <c r="S3484" s="9"/>
      <c r="T3484" s="9"/>
      <c r="U3484" s="9"/>
      <c r="V3484" s="9"/>
      <c r="W3484" s="9"/>
      <c r="X3484" s="9"/>
      <c r="Y3484" s="9"/>
      <c r="Z3484" s="9"/>
      <c r="AA3484" s="9"/>
      <c r="AB3484" s="9"/>
      <c r="AC3484" s="9"/>
      <c r="AD3484" s="9"/>
      <c r="AE3484" s="9"/>
      <c r="AF3484" s="9"/>
      <c r="AG3484" s="9"/>
      <c r="AH3484" s="9"/>
      <c r="AI3484" s="9"/>
      <c r="AJ3484" s="9"/>
      <c r="AK3484" s="9"/>
      <c r="AL3484" s="9"/>
      <c r="AM3484" s="9"/>
      <c r="AN3484" s="9"/>
      <c r="AO3484" s="9"/>
      <c r="AP3484" s="9"/>
      <c r="AQ3484" s="9"/>
      <c r="AR3484" s="9"/>
      <c r="AS3484" s="9"/>
      <c r="AT3484" s="9"/>
      <c r="AU3484" s="9"/>
    </row>
    <row r="3485" spans="1:47" ht="15.75" customHeight="1">
      <c r="A3485" s="9"/>
      <c r="B3485" s="9"/>
      <c r="C3485" s="9"/>
      <c r="D3485" s="9"/>
      <c r="E3485" s="9"/>
      <c r="F3485" s="67"/>
      <c r="G3485" s="9"/>
      <c r="H3485" s="9"/>
      <c r="I3485" s="9"/>
      <c r="J3485" s="9"/>
      <c r="K3485" s="9"/>
      <c r="L3485" s="9"/>
      <c r="M3485" s="9"/>
      <c r="N3485" s="9"/>
      <c r="O3485" s="9"/>
      <c r="P3485" s="9"/>
      <c r="Q3485" s="9"/>
      <c r="R3485" s="9"/>
      <c r="S3485" s="9"/>
      <c r="T3485" s="9"/>
      <c r="U3485" s="9"/>
      <c r="V3485" s="9"/>
      <c r="W3485" s="9"/>
      <c r="X3485" s="9"/>
      <c r="Y3485" s="9"/>
      <c r="Z3485" s="9"/>
      <c r="AA3485" s="9"/>
      <c r="AB3485" s="9"/>
      <c r="AC3485" s="9"/>
      <c r="AD3485" s="9"/>
      <c r="AE3485" s="9"/>
      <c r="AF3485" s="9"/>
      <c r="AG3485" s="9"/>
      <c r="AH3485" s="9"/>
      <c r="AI3485" s="9"/>
      <c r="AJ3485" s="9"/>
      <c r="AK3485" s="9"/>
      <c r="AL3485" s="9"/>
      <c r="AM3485" s="9"/>
      <c r="AN3485" s="9"/>
      <c r="AO3485" s="9"/>
      <c r="AP3485" s="9"/>
      <c r="AQ3485" s="9"/>
      <c r="AR3485" s="9"/>
      <c r="AS3485" s="9"/>
      <c r="AT3485" s="9"/>
      <c r="AU3485" s="9"/>
    </row>
    <row r="3486" spans="1:47" ht="15.75" customHeight="1">
      <c r="A3486" s="9"/>
      <c r="B3486" s="9"/>
      <c r="C3486" s="9"/>
      <c r="D3486" s="9"/>
      <c r="E3486" s="9"/>
      <c r="F3486" s="67"/>
      <c r="G3486" s="9"/>
      <c r="H3486" s="9"/>
      <c r="I3486" s="9"/>
      <c r="J3486" s="9"/>
      <c r="K3486" s="9"/>
      <c r="L3486" s="9"/>
      <c r="M3486" s="9"/>
      <c r="N3486" s="9"/>
      <c r="O3486" s="9"/>
      <c r="P3486" s="9"/>
      <c r="Q3486" s="9"/>
      <c r="R3486" s="9"/>
      <c r="S3486" s="9"/>
      <c r="T3486" s="9"/>
      <c r="U3486" s="9"/>
      <c r="V3486" s="9"/>
      <c r="W3486" s="9"/>
      <c r="X3486" s="9"/>
      <c r="Y3486" s="9"/>
      <c r="Z3486" s="9"/>
      <c r="AA3486" s="9"/>
      <c r="AB3486" s="9"/>
      <c r="AC3486" s="9"/>
      <c r="AD3486" s="9"/>
      <c r="AE3486" s="9"/>
      <c r="AF3486" s="9"/>
      <c r="AG3486" s="9"/>
      <c r="AH3486" s="9"/>
      <c r="AI3486" s="9"/>
      <c r="AJ3486" s="9"/>
      <c r="AK3486" s="9"/>
      <c r="AL3486" s="9"/>
      <c r="AM3486" s="9"/>
      <c r="AN3486" s="9"/>
      <c r="AO3486" s="9"/>
      <c r="AP3486" s="9"/>
      <c r="AQ3486" s="9"/>
      <c r="AR3486" s="9"/>
      <c r="AS3486" s="9"/>
      <c r="AT3486" s="9"/>
      <c r="AU3486" s="9"/>
    </row>
    <row r="3487" spans="1:47" ht="15.75" customHeight="1">
      <c r="A3487" s="9"/>
      <c r="B3487" s="9"/>
      <c r="C3487" s="9"/>
      <c r="D3487" s="9"/>
      <c r="E3487" s="9"/>
      <c r="F3487" s="67"/>
      <c r="G3487" s="9"/>
      <c r="H3487" s="9"/>
      <c r="I3487" s="9"/>
      <c r="J3487" s="9"/>
      <c r="K3487" s="9"/>
      <c r="L3487" s="9"/>
      <c r="M3487" s="9"/>
      <c r="N3487" s="9"/>
      <c r="O3487" s="9"/>
      <c r="P3487" s="9"/>
      <c r="Q3487" s="9"/>
      <c r="R3487" s="9"/>
      <c r="S3487" s="9"/>
      <c r="T3487" s="9"/>
      <c r="U3487" s="9"/>
      <c r="V3487" s="9"/>
      <c r="W3487" s="9"/>
      <c r="X3487" s="9"/>
      <c r="Y3487" s="9"/>
      <c r="Z3487" s="9"/>
      <c r="AA3487" s="9"/>
      <c r="AB3487" s="9"/>
      <c r="AC3487" s="9"/>
      <c r="AD3487" s="9"/>
      <c r="AE3487" s="9"/>
      <c r="AF3487" s="9"/>
      <c r="AG3487" s="9"/>
      <c r="AH3487" s="9"/>
      <c r="AI3487" s="9"/>
      <c r="AJ3487" s="9"/>
      <c r="AK3487" s="9"/>
      <c r="AL3487" s="9"/>
      <c r="AM3487" s="9"/>
      <c r="AN3487" s="9"/>
      <c r="AO3487" s="9"/>
      <c r="AP3487" s="9"/>
      <c r="AQ3487" s="9"/>
      <c r="AR3487" s="9"/>
      <c r="AS3487" s="9"/>
      <c r="AT3487" s="9"/>
      <c r="AU3487" s="9"/>
    </row>
    <row r="3488" spans="1:47" ht="15.75" customHeight="1">
      <c r="A3488" s="9"/>
      <c r="B3488" s="9"/>
      <c r="C3488" s="9"/>
      <c r="D3488" s="9"/>
      <c r="E3488" s="9"/>
      <c r="F3488" s="67"/>
      <c r="G3488" s="9"/>
      <c r="H3488" s="9"/>
      <c r="I3488" s="9"/>
      <c r="J3488" s="9"/>
      <c r="K3488" s="9"/>
      <c r="L3488" s="9"/>
      <c r="M3488" s="9"/>
      <c r="N3488" s="9"/>
      <c r="O3488" s="9"/>
      <c r="P3488" s="9"/>
      <c r="Q3488" s="9"/>
      <c r="R3488" s="9"/>
      <c r="S3488" s="9"/>
      <c r="T3488" s="9"/>
      <c r="U3488" s="9"/>
      <c r="V3488" s="9"/>
      <c r="W3488" s="9"/>
      <c r="X3488" s="9"/>
      <c r="Y3488" s="9"/>
      <c r="Z3488" s="9"/>
      <c r="AA3488" s="9"/>
      <c r="AB3488" s="9"/>
      <c r="AC3488" s="9"/>
      <c r="AD3488" s="9"/>
      <c r="AE3488" s="9"/>
      <c r="AF3488" s="9"/>
      <c r="AG3488" s="9"/>
      <c r="AH3488" s="9"/>
      <c r="AI3488" s="9"/>
      <c r="AJ3488" s="9"/>
      <c r="AK3488" s="9"/>
      <c r="AL3488" s="9"/>
      <c r="AM3488" s="9"/>
      <c r="AN3488" s="9"/>
      <c r="AO3488" s="9"/>
      <c r="AP3488" s="9"/>
      <c r="AQ3488" s="9"/>
      <c r="AR3488" s="9"/>
      <c r="AS3488" s="9"/>
      <c r="AT3488" s="9"/>
      <c r="AU3488" s="9"/>
    </row>
    <row r="3489" spans="1:47" ht="15.75" customHeight="1">
      <c r="A3489" s="9"/>
      <c r="B3489" s="9"/>
      <c r="C3489" s="9"/>
      <c r="D3489" s="9"/>
      <c r="E3489" s="9"/>
      <c r="F3489" s="67"/>
      <c r="G3489" s="9"/>
      <c r="H3489" s="9"/>
      <c r="I3489" s="9"/>
      <c r="J3489" s="9"/>
      <c r="K3489" s="9"/>
      <c r="L3489" s="9"/>
      <c r="M3489" s="9"/>
      <c r="N3489" s="9"/>
      <c r="O3489" s="9"/>
      <c r="P3489" s="9"/>
      <c r="Q3489" s="9"/>
      <c r="R3489" s="9"/>
      <c r="S3489" s="9"/>
      <c r="T3489" s="9"/>
      <c r="U3489" s="9"/>
      <c r="V3489" s="9"/>
      <c r="W3489" s="9"/>
      <c r="X3489" s="9"/>
      <c r="Y3489" s="9"/>
      <c r="Z3489" s="9"/>
      <c r="AA3489" s="9"/>
      <c r="AB3489" s="9"/>
      <c r="AC3489" s="9"/>
      <c r="AD3489" s="9"/>
      <c r="AE3489" s="9"/>
      <c r="AF3489" s="9"/>
      <c r="AG3489" s="9"/>
      <c r="AH3489" s="9"/>
      <c r="AI3489" s="9"/>
      <c r="AJ3489" s="9"/>
      <c r="AK3489" s="9"/>
      <c r="AL3489" s="9"/>
      <c r="AM3489" s="9"/>
      <c r="AN3489" s="9"/>
      <c r="AO3489" s="9"/>
      <c r="AP3489" s="9"/>
      <c r="AQ3489" s="9"/>
      <c r="AR3489" s="9"/>
      <c r="AS3489" s="9"/>
      <c r="AT3489" s="9"/>
      <c r="AU3489" s="9"/>
    </row>
    <row r="3490" spans="1:47" ht="15.75" customHeight="1">
      <c r="A3490" s="9"/>
      <c r="B3490" s="9"/>
      <c r="C3490" s="9"/>
      <c r="D3490" s="9"/>
      <c r="E3490" s="9"/>
      <c r="F3490" s="67"/>
      <c r="G3490" s="9"/>
      <c r="H3490" s="9"/>
      <c r="I3490" s="9"/>
      <c r="J3490" s="9"/>
      <c r="K3490" s="9"/>
      <c r="L3490" s="9"/>
      <c r="M3490" s="9"/>
      <c r="N3490" s="9"/>
      <c r="O3490" s="9"/>
      <c r="P3490" s="9"/>
      <c r="Q3490" s="9"/>
      <c r="R3490" s="9"/>
      <c r="S3490" s="9"/>
      <c r="T3490" s="9"/>
      <c r="U3490" s="9"/>
      <c r="V3490" s="9"/>
      <c r="W3490" s="9"/>
      <c r="X3490" s="9"/>
      <c r="Y3490" s="9"/>
      <c r="Z3490" s="9"/>
      <c r="AA3490" s="9"/>
      <c r="AB3490" s="9"/>
      <c r="AC3490" s="9"/>
      <c r="AD3490" s="9"/>
      <c r="AE3490" s="9"/>
      <c r="AF3490" s="9"/>
      <c r="AG3490" s="9"/>
      <c r="AH3490" s="9"/>
      <c r="AI3490" s="9"/>
      <c r="AJ3490" s="9"/>
      <c r="AK3490" s="9"/>
      <c r="AL3490" s="9"/>
      <c r="AM3490" s="9"/>
      <c r="AN3490" s="9"/>
      <c r="AO3490" s="9"/>
      <c r="AP3490" s="9"/>
      <c r="AQ3490" s="9"/>
      <c r="AR3490" s="9"/>
      <c r="AS3490" s="9"/>
      <c r="AT3490" s="9"/>
      <c r="AU3490" s="9"/>
    </row>
    <row r="3491" spans="1:47" ht="15.75" customHeight="1">
      <c r="A3491" s="9"/>
      <c r="B3491" s="9"/>
      <c r="C3491" s="9"/>
      <c r="D3491" s="9"/>
      <c r="E3491" s="9"/>
      <c r="F3491" s="67"/>
      <c r="G3491" s="9"/>
      <c r="H3491" s="9"/>
      <c r="I3491" s="9"/>
      <c r="J3491" s="9"/>
      <c r="K3491" s="9"/>
      <c r="L3491" s="9"/>
      <c r="M3491" s="9"/>
      <c r="N3491" s="9"/>
      <c r="O3491" s="9"/>
      <c r="P3491" s="9"/>
      <c r="Q3491" s="9"/>
      <c r="R3491" s="9"/>
      <c r="S3491" s="9"/>
      <c r="T3491" s="9"/>
      <c r="U3491" s="9"/>
      <c r="V3491" s="9"/>
      <c r="W3491" s="9"/>
      <c r="X3491" s="9"/>
      <c r="Y3491" s="9"/>
      <c r="Z3491" s="9"/>
      <c r="AA3491" s="9"/>
      <c r="AB3491" s="9"/>
      <c r="AC3491" s="9"/>
      <c r="AD3491" s="9"/>
      <c r="AE3491" s="9"/>
      <c r="AF3491" s="9"/>
      <c r="AG3491" s="9"/>
      <c r="AH3491" s="9"/>
      <c r="AI3491" s="9"/>
      <c r="AJ3491" s="9"/>
      <c r="AK3491" s="9"/>
      <c r="AL3491" s="9"/>
      <c r="AM3491" s="9"/>
      <c r="AN3491" s="9"/>
      <c r="AO3491" s="9"/>
      <c r="AP3491" s="9"/>
      <c r="AQ3491" s="9"/>
      <c r="AR3491" s="9"/>
      <c r="AS3491" s="9"/>
      <c r="AT3491" s="9"/>
      <c r="AU3491" s="9"/>
    </row>
    <row r="3492" spans="1:47" ht="15.75" customHeight="1">
      <c r="A3492" s="9"/>
      <c r="B3492" s="9"/>
      <c r="C3492" s="9"/>
      <c r="D3492" s="9"/>
      <c r="E3492" s="9"/>
      <c r="F3492" s="67"/>
      <c r="G3492" s="9"/>
      <c r="H3492" s="9"/>
      <c r="I3492" s="9"/>
      <c r="J3492" s="9"/>
      <c r="K3492" s="9"/>
      <c r="L3492" s="9"/>
      <c r="M3492" s="9"/>
      <c r="N3492" s="9"/>
      <c r="O3492" s="9"/>
      <c r="P3492" s="9"/>
      <c r="Q3492" s="9"/>
      <c r="R3492" s="9"/>
      <c r="S3492" s="9"/>
      <c r="T3492" s="9"/>
      <c r="U3492" s="9"/>
      <c r="V3492" s="9"/>
      <c r="W3492" s="9"/>
      <c r="X3492" s="9"/>
      <c r="Y3492" s="9"/>
      <c r="Z3492" s="9"/>
      <c r="AA3492" s="9"/>
      <c r="AB3492" s="9"/>
      <c r="AC3492" s="9"/>
      <c r="AD3492" s="9"/>
      <c r="AE3492" s="9"/>
      <c r="AF3492" s="9"/>
      <c r="AG3492" s="9"/>
      <c r="AH3492" s="9"/>
      <c r="AI3492" s="9"/>
      <c r="AJ3492" s="9"/>
      <c r="AK3492" s="9"/>
      <c r="AL3492" s="9"/>
      <c r="AM3492" s="9"/>
      <c r="AN3492" s="9"/>
      <c r="AO3492" s="9"/>
      <c r="AP3492" s="9"/>
      <c r="AQ3492" s="9"/>
      <c r="AR3492" s="9"/>
      <c r="AS3492" s="9"/>
      <c r="AT3492" s="9"/>
      <c r="AU3492" s="9"/>
    </row>
    <row r="3493" spans="1:47" ht="15.75" customHeight="1">
      <c r="A3493" s="9"/>
      <c r="B3493" s="9"/>
      <c r="C3493" s="9"/>
      <c r="D3493" s="9"/>
      <c r="E3493" s="9"/>
      <c r="F3493" s="67"/>
      <c r="G3493" s="9"/>
      <c r="H3493" s="9"/>
      <c r="I3493" s="9"/>
      <c r="J3493" s="9"/>
      <c r="K3493" s="9"/>
      <c r="L3493" s="9"/>
      <c r="M3493" s="9"/>
      <c r="N3493" s="9"/>
      <c r="O3493" s="9"/>
      <c r="P3493" s="9"/>
      <c r="Q3493" s="9"/>
      <c r="R3493" s="9"/>
      <c r="S3493" s="9"/>
      <c r="T3493" s="9"/>
      <c r="U3493" s="9"/>
      <c r="V3493" s="9"/>
      <c r="W3493" s="9"/>
      <c r="X3493" s="9"/>
      <c r="Y3493" s="9"/>
      <c r="Z3493" s="9"/>
      <c r="AA3493" s="9"/>
      <c r="AB3493" s="9"/>
      <c r="AC3493" s="9"/>
      <c r="AD3493" s="9"/>
      <c r="AE3493" s="9"/>
      <c r="AF3493" s="9"/>
      <c r="AG3493" s="9"/>
      <c r="AH3493" s="9"/>
      <c r="AI3493" s="9"/>
      <c r="AJ3493" s="9"/>
      <c r="AK3493" s="9"/>
      <c r="AL3493" s="9"/>
      <c r="AM3493" s="9"/>
      <c r="AN3493" s="9"/>
      <c r="AO3493" s="9"/>
      <c r="AP3493" s="9"/>
      <c r="AQ3493" s="9"/>
      <c r="AR3493" s="9"/>
      <c r="AS3493" s="9"/>
      <c r="AT3493" s="9"/>
      <c r="AU3493" s="9"/>
    </row>
    <row r="3494" spans="1:47" ht="15.75" customHeight="1">
      <c r="A3494" s="9"/>
      <c r="B3494" s="9"/>
      <c r="C3494" s="9"/>
      <c r="D3494" s="9"/>
      <c r="E3494" s="9"/>
      <c r="F3494" s="67"/>
      <c r="G3494" s="9"/>
      <c r="H3494" s="9"/>
      <c r="I3494" s="9"/>
      <c r="J3494" s="9"/>
      <c r="K3494" s="9"/>
      <c r="L3494" s="9"/>
      <c r="M3494" s="9"/>
      <c r="N3494" s="9"/>
      <c r="O3494" s="9"/>
      <c r="P3494" s="9"/>
      <c r="Q3494" s="9"/>
      <c r="R3494" s="9"/>
      <c r="S3494" s="9"/>
      <c r="T3494" s="9"/>
      <c r="U3494" s="9"/>
      <c r="V3494" s="9"/>
      <c r="W3494" s="9"/>
      <c r="X3494" s="9"/>
      <c r="Y3494" s="9"/>
      <c r="Z3494" s="9"/>
      <c r="AA3494" s="9"/>
      <c r="AB3494" s="9"/>
      <c r="AC3494" s="9"/>
      <c r="AD3494" s="9"/>
      <c r="AE3494" s="9"/>
      <c r="AF3494" s="9"/>
      <c r="AG3494" s="9"/>
      <c r="AH3494" s="9"/>
      <c r="AI3494" s="9"/>
      <c r="AJ3494" s="9"/>
      <c r="AK3494" s="9"/>
      <c r="AL3494" s="9"/>
      <c r="AM3494" s="9"/>
      <c r="AN3494" s="9"/>
      <c r="AO3494" s="9"/>
      <c r="AP3494" s="9"/>
      <c r="AQ3494" s="9"/>
      <c r="AR3494" s="9"/>
      <c r="AS3494" s="9"/>
      <c r="AT3494" s="9"/>
      <c r="AU3494" s="9"/>
    </row>
    <row r="3495" spans="1:47" ht="15.75" customHeight="1">
      <c r="A3495" s="9"/>
      <c r="B3495" s="9"/>
      <c r="C3495" s="9"/>
      <c r="D3495" s="9"/>
      <c r="E3495" s="9"/>
      <c r="F3495" s="67"/>
      <c r="G3495" s="9"/>
      <c r="H3495" s="9"/>
      <c r="I3495" s="9"/>
      <c r="J3495" s="9"/>
      <c r="K3495" s="9"/>
      <c r="L3495" s="9"/>
      <c r="M3495" s="9"/>
      <c r="N3495" s="9"/>
      <c r="O3495" s="9"/>
      <c r="P3495" s="9"/>
      <c r="Q3495" s="9"/>
      <c r="R3495" s="9"/>
      <c r="S3495" s="9"/>
      <c r="T3495" s="9"/>
      <c r="U3495" s="9"/>
      <c r="V3495" s="9"/>
      <c r="W3495" s="9"/>
      <c r="X3495" s="9"/>
      <c r="Y3495" s="9"/>
      <c r="Z3495" s="9"/>
      <c r="AA3495" s="9"/>
      <c r="AB3495" s="9"/>
      <c r="AC3495" s="9"/>
      <c r="AD3495" s="9"/>
      <c r="AE3495" s="9"/>
      <c r="AF3495" s="9"/>
      <c r="AG3495" s="9"/>
      <c r="AH3495" s="9"/>
      <c r="AI3495" s="9"/>
      <c r="AJ3495" s="9"/>
      <c r="AK3495" s="9"/>
      <c r="AL3495" s="9"/>
      <c r="AM3495" s="9"/>
      <c r="AN3495" s="9"/>
      <c r="AO3495" s="9"/>
      <c r="AP3495" s="9"/>
      <c r="AQ3495" s="9"/>
      <c r="AR3495" s="9"/>
      <c r="AS3495" s="9"/>
      <c r="AT3495" s="9"/>
      <c r="AU3495" s="9"/>
    </row>
    <row r="3496" spans="1:47" ht="15.75" customHeight="1">
      <c r="A3496" s="9"/>
      <c r="B3496" s="9"/>
      <c r="C3496" s="9"/>
      <c r="D3496" s="9"/>
      <c r="E3496" s="9"/>
      <c r="F3496" s="67"/>
      <c r="G3496" s="9"/>
      <c r="H3496" s="9"/>
      <c r="I3496" s="9"/>
      <c r="J3496" s="9"/>
      <c r="K3496" s="9"/>
      <c r="L3496" s="9"/>
      <c r="M3496" s="9"/>
      <c r="N3496" s="9"/>
      <c r="O3496" s="9"/>
      <c r="P3496" s="9"/>
      <c r="Q3496" s="9"/>
      <c r="R3496" s="9"/>
      <c r="S3496" s="9"/>
      <c r="T3496" s="9"/>
      <c r="U3496" s="9"/>
      <c r="V3496" s="9"/>
      <c r="W3496" s="9"/>
      <c r="X3496" s="9"/>
      <c r="Y3496" s="9"/>
      <c r="Z3496" s="9"/>
      <c r="AA3496" s="9"/>
      <c r="AB3496" s="9"/>
      <c r="AC3496" s="9"/>
      <c r="AD3496" s="9"/>
      <c r="AE3496" s="9"/>
      <c r="AF3496" s="9"/>
      <c r="AG3496" s="9"/>
      <c r="AH3496" s="9"/>
      <c r="AI3496" s="9"/>
      <c r="AJ3496" s="9"/>
      <c r="AK3496" s="9"/>
      <c r="AL3496" s="9"/>
      <c r="AM3496" s="9"/>
      <c r="AN3496" s="9"/>
      <c r="AO3496" s="9"/>
      <c r="AP3496" s="9"/>
      <c r="AQ3496" s="9"/>
      <c r="AR3496" s="9"/>
      <c r="AS3496" s="9"/>
      <c r="AT3496" s="9"/>
      <c r="AU3496" s="9"/>
    </row>
    <row r="3497" spans="1:47" ht="15.75" customHeight="1">
      <c r="A3497" s="9"/>
      <c r="B3497" s="9"/>
      <c r="C3497" s="9"/>
      <c r="D3497" s="9"/>
      <c r="E3497" s="9"/>
      <c r="F3497" s="67"/>
      <c r="G3497" s="9"/>
      <c r="H3497" s="9"/>
      <c r="I3497" s="9"/>
      <c r="J3497" s="9"/>
      <c r="K3497" s="9"/>
      <c r="L3497" s="9"/>
      <c r="M3497" s="9"/>
      <c r="N3497" s="9"/>
      <c r="O3497" s="9"/>
      <c r="P3497" s="9"/>
      <c r="Q3497" s="9"/>
      <c r="R3497" s="9"/>
      <c r="S3497" s="9"/>
      <c r="T3497" s="9"/>
      <c r="U3497" s="9"/>
      <c r="V3497" s="9"/>
      <c r="W3497" s="9"/>
      <c r="X3497" s="9"/>
      <c r="Y3497" s="9"/>
      <c r="Z3497" s="9"/>
      <c r="AA3497" s="9"/>
      <c r="AB3497" s="9"/>
      <c r="AC3497" s="9"/>
      <c r="AD3497" s="9"/>
      <c r="AE3497" s="9"/>
      <c r="AF3497" s="9"/>
      <c r="AG3497" s="9"/>
      <c r="AH3497" s="9"/>
      <c r="AI3497" s="9"/>
      <c r="AJ3497" s="9"/>
      <c r="AK3497" s="9"/>
      <c r="AL3497" s="9"/>
      <c r="AM3497" s="9"/>
      <c r="AN3497" s="9"/>
      <c r="AO3497" s="9"/>
      <c r="AP3497" s="9"/>
      <c r="AQ3497" s="9"/>
      <c r="AR3497" s="9"/>
      <c r="AS3497" s="9"/>
      <c r="AT3497" s="9"/>
      <c r="AU3497" s="9"/>
    </row>
    <row r="3498" spans="1:47" ht="15.75" customHeight="1">
      <c r="A3498" s="9"/>
      <c r="B3498" s="9"/>
      <c r="C3498" s="9"/>
      <c r="D3498" s="9"/>
      <c r="E3498" s="9"/>
      <c r="F3498" s="67"/>
      <c r="G3498" s="9"/>
      <c r="H3498" s="9"/>
      <c r="I3498" s="9"/>
      <c r="J3498" s="9"/>
      <c r="K3498" s="9"/>
      <c r="L3498" s="9"/>
      <c r="M3498" s="9"/>
      <c r="N3498" s="9"/>
      <c r="O3498" s="9"/>
      <c r="P3498" s="9"/>
      <c r="Q3498" s="9"/>
      <c r="R3498" s="9"/>
      <c r="S3498" s="9"/>
      <c r="T3498" s="9"/>
      <c r="U3498" s="9"/>
      <c r="V3498" s="9"/>
      <c r="W3498" s="9"/>
      <c r="X3498" s="9"/>
      <c r="Y3498" s="9"/>
      <c r="Z3498" s="9"/>
      <c r="AA3498" s="9"/>
      <c r="AB3498" s="9"/>
      <c r="AC3498" s="9"/>
      <c r="AD3498" s="9"/>
      <c r="AE3498" s="9"/>
      <c r="AF3498" s="9"/>
      <c r="AG3498" s="9"/>
      <c r="AH3498" s="9"/>
      <c r="AI3498" s="9"/>
      <c r="AJ3498" s="9"/>
      <c r="AK3498" s="9"/>
      <c r="AL3498" s="9"/>
      <c r="AM3498" s="9"/>
      <c r="AN3498" s="9"/>
      <c r="AO3498" s="9"/>
      <c r="AP3498" s="9"/>
      <c r="AQ3498" s="9"/>
      <c r="AR3498" s="9"/>
      <c r="AS3498" s="9"/>
      <c r="AT3498" s="9"/>
      <c r="AU3498" s="9"/>
    </row>
    <row r="3499" spans="1:47" ht="15.75" customHeight="1">
      <c r="A3499" s="9"/>
      <c r="B3499" s="9"/>
      <c r="C3499" s="9"/>
      <c r="D3499" s="9"/>
      <c r="E3499" s="9"/>
      <c r="F3499" s="67"/>
      <c r="G3499" s="9"/>
      <c r="H3499" s="9"/>
      <c r="I3499" s="9"/>
      <c r="J3499" s="9"/>
      <c r="K3499" s="9"/>
      <c r="L3499" s="9"/>
      <c r="M3499" s="9"/>
      <c r="N3499" s="9"/>
      <c r="O3499" s="9"/>
      <c r="P3499" s="9"/>
      <c r="Q3499" s="9"/>
      <c r="R3499" s="9"/>
      <c r="S3499" s="9"/>
      <c r="T3499" s="9"/>
      <c r="U3499" s="9"/>
      <c r="V3499" s="9"/>
      <c r="W3499" s="9"/>
      <c r="X3499" s="9"/>
      <c r="Y3499" s="9"/>
      <c r="Z3499" s="9"/>
      <c r="AA3499" s="9"/>
      <c r="AB3499" s="9"/>
      <c r="AC3499" s="9"/>
      <c r="AD3499" s="9"/>
      <c r="AE3499" s="9"/>
      <c r="AF3499" s="9"/>
      <c r="AG3499" s="9"/>
      <c r="AH3499" s="9"/>
      <c r="AI3499" s="9"/>
      <c r="AJ3499" s="9"/>
      <c r="AK3499" s="9"/>
      <c r="AL3499" s="9"/>
      <c r="AM3499" s="9"/>
      <c r="AN3499" s="9"/>
      <c r="AO3499" s="9"/>
      <c r="AP3499" s="9"/>
      <c r="AQ3499" s="9"/>
      <c r="AR3499" s="9"/>
      <c r="AS3499" s="9"/>
      <c r="AT3499" s="9"/>
      <c r="AU3499" s="9"/>
    </row>
    <row r="3500" spans="1:47" ht="15.75" customHeight="1">
      <c r="A3500" s="9"/>
      <c r="B3500" s="9"/>
      <c r="C3500" s="9"/>
      <c r="D3500" s="9"/>
      <c r="E3500" s="9"/>
      <c r="F3500" s="67"/>
      <c r="G3500" s="9"/>
      <c r="H3500" s="9"/>
      <c r="I3500" s="9"/>
      <c r="J3500" s="9"/>
      <c r="K3500" s="9"/>
      <c r="L3500" s="9"/>
      <c r="M3500" s="9"/>
      <c r="N3500" s="9"/>
      <c r="O3500" s="9"/>
      <c r="P3500" s="9"/>
      <c r="Q3500" s="9"/>
      <c r="R3500" s="9"/>
      <c r="S3500" s="9"/>
      <c r="T3500" s="9"/>
      <c r="U3500" s="9"/>
      <c r="V3500" s="9"/>
      <c r="W3500" s="9"/>
      <c r="X3500" s="9"/>
      <c r="Y3500" s="9"/>
      <c r="Z3500" s="9"/>
      <c r="AA3500" s="9"/>
      <c r="AB3500" s="9"/>
      <c r="AC3500" s="9"/>
      <c r="AD3500" s="9"/>
      <c r="AE3500" s="9"/>
      <c r="AF3500" s="9"/>
      <c r="AG3500" s="9"/>
      <c r="AH3500" s="9"/>
      <c r="AI3500" s="9"/>
      <c r="AJ3500" s="9"/>
      <c r="AK3500" s="9"/>
      <c r="AL3500" s="9"/>
      <c r="AM3500" s="9"/>
      <c r="AN3500" s="9"/>
      <c r="AO3500" s="9"/>
      <c r="AP3500" s="9"/>
      <c r="AQ3500" s="9"/>
      <c r="AR3500" s="9"/>
      <c r="AS3500" s="9"/>
      <c r="AT3500" s="9"/>
      <c r="AU3500" s="9"/>
    </row>
    <row r="3501" spans="1:47" ht="15.75" customHeight="1">
      <c r="A3501" s="9"/>
      <c r="B3501" s="9"/>
      <c r="C3501" s="9"/>
      <c r="D3501" s="9"/>
      <c r="E3501" s="9"/>
      <c r="F3501" s="67"/>
      <c r="G3501" s="9"/>
      <c r="H3501" s="9"/>
      <c r="I3501" s="9"/>
      <c r="J3501" s="9"/>
      <c r="K3501" s="9"/>
      <c r="L3501" s="9"/>
      <c r="M3501" s="9"/>
      <c r="N3501" s="9"/>
      <c r="O3501" s="9"/>
      <c r="P3501" s="9"/>
      <c r="Q3501" s="9"/>
      <c r="R3501" s="9"/>
      <c r="S3501" s="9"/>
      <c r="T3501" s="9"/>
      <c r="U3501" s="9"/>
      <c r="V3501" s="9"/>
      <c r="W3501" s="9"/>
      <c r="X3501" s="9"/>
      <c r="Y3501" s="9"/>
      <c r="Z3501" s="9"/>
      <c r="AA3501" s="9"/>
      <c r="AB3501" s="9"/>
      <c r="AC3501" s="9"/>
      <c r="AD3501" s="9"/>
      <c r="AE3501" s="9"/>
      <c r="AF3501" s="9"/>
      <c r="AG3501" s="9"/>
      <c r="AH3501" s="9"/>
      <c r="AI3501" s="9"/>
      <c r="AJ3501" s="9"/>
      <c r="AK3501" s="9"/>
      <c r="AL3501" s="9"/>
      <c r="AM3501" s="9"/>
      <c r="AN3501" s="9"/>
      <c r="AO3501" s="9"/>
      <c r="AP3501" s="9"/>
      <c r="AQ3501" s="9"/>
      <c r="AR3501" s="9"/>
      <c r="AS3501" s="9"/>
      <c r="AT3501" s="9"/>
      <c r="AU3501" s="9"/>
    </row>
    <row r="3502" spans="1:47" ht="15.75" customHeight="1">
      <c r="A3502" s="9"/>
      <c r="B3502" s="9"/>
      <c r="C3502" s="9"/>
      <c r="D3502" s="9"/>
      <c r="E3502" s="9"/>
      <c r="F3502" s="67"/>
      <c r="G3502" s="9"/>
      <c r="H3502" s="9"/>
      <c r="I3502" s="9"/>
      <c r="J3502" s="9"/>
      <c r="K3502" s="9"/>
      <c r="L3502" s="9"/>
      <c r="M3502" s="9"/>
      <c r="N3502" s="9"/>
      <c r="O3502" s="9"/>
      <c r="P3502" s="9"/>
      <c r="Q3502" s="9"/>
      <c r="R3502" s="9"/>
      <c r="S3502" s="9"/>
      <c r="T3502" s="9"/>
      <c r="U3502" s="9"/>
      <c r="V3502" s="9"/>
      <c r="W3502" s="9"/>
      <c r="X3502" s="9"/>
      <c r="Y3502" s="9"/>
      <c r="Z3502" s="9"/>
      <c r="AA3502" s="9"/>
      <c r="AB3502" s="9"/>
      <c r="AC3502" s="9"/>
      <c r="AD3502" s="9"/>
      <c r="AE3502" s="9"/>
      <c r="AF3502" s="9"/>
      <c r="AG3502" s="9"/>
      <c r="AH3502" s="9"/>
      <c r="AI3502" s="9"/>
      <c r="AJ3502" s="9"/>
      <c r="AK3502" s="9"/>
      <c r="AL3502" s="9"/>
      <c r="AM3502" s="9"/>
      <c r="AN3502" s="9"/>
      <c r="AO3502" s="9"/>
      <c r="AP3502" s="9"/>
      <c r="AQ3502" s="9"/>
      <c r="AR3502" s="9"/>
      <c r="AS3502" s="9"/>
      <c r="AT3502" s="9"/>
      <c r="AU3502" s="9"/>
    </row>
    <row r="3503" spans="1:47" ht="15.75" customHeight="1">
      <c r="A3503" s="9"/>
      <c r="B3503" s="9"/>
      <c r="C3503" s="9"/>
      <c r="D3503" s="9"/>
      <c r="E3503" s="9"/>
      <c r="F3503" s="67"/>
      <c r="G3503" s="9"/>
      <c r="H3503" s="9"/>
      <c r="I3503" s="9"/>
      <c r="J3503" s="9"/>
      <c r="K3503" s="9"/>
      <c r="L3503" s="9"/>
      <c r="M3503" s="9"/>
      <c r="N3503" s="9"/>
      <c r="O3503" s="9"/>
      <c r="P3503" s="9"/>
      <c r="Q3503" s="9"/>
      <c r="R3503" s="9"/>
      <c r="S3503" s="9"/>
      <c r="T3503" s="9"/>
      <c r="U3503" s="9"/>
      <c r="V3503" s="9"/>
      <c r="W3503" s="9"/>
      <c r="X3503" s="9"/>
      <c r="Y3503" s="9"/>
      <c r="Z3503" s="9"/>
      <c r="AA3503" s="9"/>
      <c r="AB3503" s="9"/>
      <c r="AC3503" s="9"/>
      <c r="AD3503" s="9"/>
      <c r="AE3503" s="9"/>
      <c r="AF3503" s="9"/>
      <c r="AG3503" s="9"/>
      <c r="AH3503" s="9"/>
      <c r="AI3503" s="9"/>
      <c r="AJ3503" s="9"/>
      <c r="AK3503" s="9"/>
      <c r="AL3503" s="9"/>
      <c r="AM3503" s="9"/>
      <c r="AN3503" s="9"/>
      <c r="AO3503" s="9"/>
      <c r="AP3503" s="9"/>
      <c r="AQ3503" s="9"/>
      <c r="AR3503" s="9"/>
      <c r="AS3503" s="9"/>
      <c r="AT3503" s="9"/>
      <c r="AU3503" s="9"/>
    </row>
    <row r="3504" spans="1:47" ht="15.75" customHeight="1">
      <c r="A3504" s="9"/>
      <c r="B3504" s="9"/>
      <c r="C3504" s="9"/>
      <c r="D3504" s="9"/>
      <c r="E3504" s="9"/>
      <c r="F3504" s="67"/>
      <c r="G3504" s="9"/>
      <c r="H3504" s="9"/>
      <c r="I3504" s="9"/>
      <c r="J3504" s="9"/>
      <c r="K3504" s="9"/>
      <c r="L3504" s="9"/>
      <c r="M3504" s="9"/>
      <c r="N3504" s="9"/>
      <c r="O3504" s="9"/>
      <c r="P3504" s="9"/>
      <c r="Q3504" s="9"/>
      <c r="R3504" s="9"/>
      <c r="S3504" s="9"/>
      <c r="T3504" s="9"/>
      <c r="U3504" s="9"/>
      <c r="V3504" s="9"/>
      <c r="W3504" s="9"/>
      <c r="X3504" s="9"/>
      <c r="Y3504" s="9"/>
      <c r="Z3504" s="9"/>
      <c r="AA3504" s="9"/>
      <c r="AB3504" s="9"/>
      <c r="AC3504" s="9"/>
      <c r="AD3504" s="9"/>
      <c r="AE3504" s="9"/>
      <c r="AF3504" s="9"/>
      <c r="AG3504" s="9"/>
      <c r="AH3504" s="9"/>
      <c r="AI3504" s="9"/>
      <c r="AJ3504" s="9"/>
      <c r="AK3504" s="9"/>
      <c r="AL3504" s="9"/>
      <c r="AM3504" s="9"/>
      <c r="AN3504" s="9"/>
      <c r="AO3504" s="9"/>
      <c r="AP3504" s="9"/>
      <c r="AQ3504" s="9"/>
      <c r="AR3504" s="9"/>
      <c r="AS3504" s="9"/>
      <c r="AT3504" s="9"/>
      <c r="AU3504" s="9"/>
    </row>
    <row r="3505" spans="1:47" ht="15.75" customHeight="1">
      <c r="A3505" s="9"/>
      <c r="B3505" s="9"/>
      <c r="C3505" s="9"/>
      <c r="D3505" s="9"/>
      <c r="E3505" s="9"/>
      <c r="F3505" s="67"/>
      <c r="G3505" s="9"/>
      <c r="H3505" s="9"/>
      <c r="I3505" s="9"/>
      <c r="J3505" s="9"/>
      <c r="K3505" s="9"/>
      <c r="L3505" s="9"/>
      <c r="M3505" s="9"/>
      <c r="N3505" s="9"/>
      <c r="O3505" s="9"/>
      <c r="P3505" s="9"/>
      <c r="Q3505" s="9"/>
      <c r="R3505" s="9"/>
      <c r="S3505" s="9"/>
      <c r="T3505" s="9"/>
      <c r="U3505" s="9"/>
      <c r="V3505" s="9"/>
      <c r="W3505" s="9"/>
      <c r="X3505" s="9"/>
      <c r="Y3505" s="9"/>
      <c r="Z3505" s="9"/>
      <c r="AA3505" s="9"/>
      <c r="AB3505" s="9"/>
      <c r="AC3505" s="9"/>
      <c r="AD3505" s="9"/>
      <c r="AE3505" s="9"/>
      <c r="AF3505" s="9"/>
      <c r="AG3505" s="9"/>
      <c r="AH3505" s="9"/>
      <c r="AI3505" s="9"/>
      <c r="AJ3505" s="9"/>
      <c r="AK3505" s="9"/>
      <c r="AL3505" s="9"/>
      <c r="AM3505" s="9"/>
      <c r="AN3505" s="9"/>
      <c r="AO3505" s="9"/>
      <c r="AP3505" s="9"/>
      <c r="AQ3505" s="9"/>
      <c r="AR3505" s="9"/>
      <c r="AS3505" s="9"/>
      <c r="AT3505" s="9"/>
      <c r="AU3505" s="9"/>
    </row>
    <row r="3506" spans="1:47" ht="15.75" customHeight="1">
      <c r="A3506" s="9"/>
      <c r="B3506" s="9"/>
      <c r="C3506" s="9"/>
      <c r="D3506" s="9"/>
      <c r="E3506" s="9"/>
      <c r="F3506" s="67"/>
      <c r="G3506" s="9"/>
      <c r="H3506" s="9"/>
      <c r="I3506" s="9"/>
      <c r="J3506" s="9"/>
      <c r="K3506" s="9"/>
      <c r="L3506" s="9"/>
      <c r="M3506" s="9"/>
      <c r="N3506" s="9"/>
      <c r="O3506" s="9"/>
      <c r="P3506" s="9"/>
      <c r="Q3506" s="9"/>
      <c r="R3506" s="9"/>
      <c r="S3506" s="9"/>
      <c r="T3506" s="9"/>
      <c r="U3506" s="9"/>
      <c r="V3506" s="9"/>
      <c r="W3506" s="9"/>
      <c r="X3506" s="9"/>
      <c r="Y3506" s="9"/>
      <c r="Z3506" s="9"/>
      <c r="AA3506" s="9"/>
      <c r="AB3506" s="9"/>
      <c r="AC3506" s="9"/>
      <c r="AD3506" s="9"/>
      <c r="AE3506" s="9"/>
      <c r="AF3506" s="9"/>
      <c r="AG3506" s="9"/>
      <c r="AH3506" s="9"/>
      <c r="AI3506" s="9"/>
      <c r="AJ3506" s="9"/>
      <c r="AK3506" s="9"/>
      <c r="AL3506" s="9"/>
      <c r="AM3506" s="9"/>
      <c r="AN3506" s="9"/>
      <c r="AO3506" s="9"/>
      <c r="AP3506" s="9"/>
      <c r="AQ3506" s="9"/>
      <c r="AR3506" s="9"/>
      <c r="AS3506" s="9"/>
      <c r="AT3506" s="9"/>
      <c r="AU3506" s="9"/>
    </row>
    <row r="3507" spans="1:47" ht="15.75" customHeight="1">
      <c r="A3507" s="9"/>
      <c r="B3507" s="9"/>
      <c r="C3507" s="9"/>
      <c r="D3507" s="9"/>
      <c r="E3507" s="9"/>
      <c r="F3507" s="67"/>
      <c r="G3507" s="9"/>
      <c r="H3507" s="9"/>
      <c r="I3507" s="9"/>
      <c r="J3507" s="9"/>
      <c r="K3507" s="9"/>
      <c r="L3507" s="9"/>
      <c r="M3507" s="9"/>
      <c r="N3507" s="9"/>
      <c r="O3507" s="9"/>
      <c r="P3507" s="9"/>
      <c r="Q3507" s="9"/>
      <c r="R3507" s="9"/>
      <c r="S3507" s="9"/>
      <c r="T3507" s="9"/>
      <c r="U3507" s="9"/>
      <c r="V3507" s="9"/>
      <c r="W3507" s="9"/>
      <c r="X3507" s="9"/>
      <c r="Y3507" s="9"/>
      <c r="Z3507" s="9"/>
      <c r="AA3507" s="9"/>
      <c r="AB3507" s="9"/>
      <c r="AC3507" s="9"/>
      <c r="AD3507" s="9"/>
      <c r="AE3507" s="9"/>
      <c r="AF3507" s="9"/>
      <c r="AG3507" s="9"/>
      <c r="AH3507" s="9"/>
      <c r="AI3507" s="9"/>
      <c r="AJ3507" s="9"/>
      <c r="AK3507" s="9"/>
      <c r="AL3507" s="9"/>
      <c r="AM3507" s="9"/>
      <c r="AN3507" s="9"/>
      <c r="AO3507" s="9"/>
      <c r="AP3507" s="9"/>
      <c r="AQ3507" s="9"/>
      <c r="AR3507" s="9"/>
      <c r="AS3507" s="9"/>
      <c r="AT3507" s="9"/>
      <c r="AU3507" s="9"/>
    </row>
    <row r="3508" spans="1:47" ht="15.75" customHeight="1">
      <c r="A3508" s="9"/>
      <c r="B3508" s="9"/>
      <c r="C3508" s="9"/>
      <c r="D3508" s="9"/>
      <c r="E3508" s="9"/>
      <c r="F3508" s="67"/>
      <c r="G3508" s="9"/>
      <c r="H3508" s="9"/>
      <c r="I3508" s="9"/>
      <c r="J3508" s="9"/>
      <c r="K3508" s="9"/>
      <c r="L3508" s="9"/>
      <c r="M3508" s="9"/>
      <c r="N3508" s="9"/>
      <c r="O3508" s="9"/>
      <c r="P3508" s="9"/>
      <c r="Q3508" s="9"/>
      <c r="R3508" s="9"/>
      <c r="S3508" s="9"/>
      <c r="T3508" s="9"/>
      <c r="U3508" s="9"/>
      <c r="V3508" s="9"/>
      <c r="W3508" s="9"/>
      <c r="X3508" s="9"/>
      <c r="Y3508" s="9"/>
      <c r="Z3508" s="9"/>
      <c r="AA3508" s="9"/>
      <c r="AB3508" s="9"/>
      <c r="AC3508" s="9"/>
      <c r="AD3508" s="9"/>
      <c r="AE3508" s="9"/>
      <c r="AF3508" s="9"/>
      <c r="AG3508" s="9"/>
      <c r="AH3508" s="9"/>
      <c r="AI3508" s="9"/>
      <c r="AJ3508" s="9"/>
      <c r="AK3508" s="9"/>
      <c r="AL3508" s="9"/>
      <c r="AM3508" s="9"/>
      <c r="AN3508" s="9"/>
      <c r="AO3508" s="9"/>
      <c r="AP3508" s="9"/>
      <c r="AQ3508" s="9"/>
      <c r="AR3508" s="9"/>
      <c r="AS3508" s="9"/>
      <c r="AT3508" s="9"/>
      <c r="AU3508" s="9"/>
    </row>
    <row r="3509" spans="1:47" ht="15.75" customHeight="1">
      <c r="A3509" s="9"/>
      <c r="B3509" s="9"/>
      <c r="C3509" s="9"/>
      <c r="D3509" s="9"/>
      <c r="E3509" s="9"/>
      <c r="F3509" s="67"/>
      <c r="G3509" s="9"/>
      <c r="H3509" s="9"/>
      <c r="I3509" s="9"/>
      <c r="J3509" s="9"/>
      <c r="K3509" s="9"/>
      <c r="L3509" s="9"/>
      <c r="M3509" s="9"/>
      <c r="N3509" s="9"/>
      <c r="O3509" s="9"/>
      <c r="P3509" s="9"/>
      <c r="Q3509" s="9"/>
      <c r="R3509" s="9"/>
      <c r="S3509" s="9"/>
      <c r="T3509" s="9"/>
      <c r="U3509" s="9"/>
      <c r="V3509" s="9"/>
      <c r="W3509" s="9"/>
      <c r="X3509" s="9"/>
      <c r="Y3509" s="9"/>
      <c r="Z3509" s="9"/>
      <c r="AA3509" s="9"/>
      <c r="AB3509" s="9"/>
      <c r="AC3509" s="9"/>
      <c r="AD3509" s="9"/>
      <c r="AE3509" s="9"/>
      <c r="AF3509" s="9"/>
      <c r="AG3509" s="9"/>
      <c r="AH3509" s="9"/>
      <c r="AI3509" s="9"/>
      <c r="AJ3509" s="9"/>
      <c r="AK3509" s="9"/>
      <c r="AL3509" s="9"/>
      <c r="AM3509" s="9"/>
      <c r="AN3509" s="9"/>
      <c r="AO3509" s="9"/>
      <c r="AP3509" s="9"/>
      <c r="AQ3509" s="9"/>
      <c r="AR3509" s="9"/>
      <c r="AS3509" s="9"/>
      <c r="AT3509" s="9"/>
      <c r="AU3509" s="9"/>
    </row>
    <row r="3510" spans="1:47" ht="15.75" customHeight="1">
      <c r="A3510" s="9"/>
      <c r="B3510" s="9"/>
      <c r="C3510" s="9"/>
      <c r="D3510" s="9"/>
      <c r="E3510" s="9"/>
      <c r="F3510" s="67"/>
      <c r="G3510" s="9"/>
      <c r="H3510" s="9"/>
      <c r="I3510" s="9"/>
      <c r="J3510" s="9"/>
      <c r="K3510" s="9"/>
      <c r="L3510" s="9"/>
      <c r="M3510" s="9"/>
      <c r="N3510" s="9"/>
      <c r="O3510" s="9"/>
      <c r="P3510" s="9"/>
      <c r="Q3510" s="9"/>
      <c r="R3510" s="9"/>
      <c r="S3510" s="9"/>
      <c r="T3510" s="9"/>
      <c r="U3510" s="9"/>
      <c r="V3510" s="9"/>
      <c r="W3510" s="9"/>
      <c r="X3510" s="9"/>
      <c r="Y3510" s="9"/>
      <c r="Z3510" s="9"/>
      <c r="AA3510" s="9"/>
      <c r="AB3510" s="9"/>
      <c r="AC3510" s="9"/>
      <c r="AD3510" s="9"/>
      <c r="AE3510" s="9"/>
      <c r="AF3510" s="9"/>
      <c r="AG3510" s="9"/>
      <c r="AH3510" s="9"/>
      <c r="AI3510" s="9"/>
      <c r="AJ3510" s="9"/>
      <c r="AK3510" s="9"/>
      <c r="AL3510" s="9"/>
      <c r="AM3510" s="9"/>
      <c r="AN3510" s="9"/>
      <c r="AO3510" s="9"/>
      <c r="AP3510" s="9"/>
      <c r="AQ3510" s="9"/>
      <c r="AR3510" s="9"/>
      <c r="AS3510" s="9"/>
      <c r="AT3510" s="9"/>
      <c r="AU3510" s="9"/>
    </row>
    <row r="3511" spans="1:47" ht="15.75" customHeight="1">
      <c r="A3511" s="9"/>
      <c r="B3511" s="9"/>
      <c r="C3511" s="9"/>
      <c r="D3511" s="9"/>
      <c r="E3511" s="9"/>
      <c r="F3511" s="67"/>
      <c r="G3511" s="9"/>
      <c r="H3511" s="9"/>
      <c r="I3511" s="9"/>
      <c r="J3511" s="9"/>
      <c r="K3511" s="9"/>
      <c r="L3511" s="9"/>
      <c r="M3511" s="9"/>
      <c r="N3511" s="9"/>
      <c r="O3511" s="9"/>
      <c r="P3511" s="9"/>
      <c r="Q3511" s="9"/>
      <c r="R3511" s="9"/>
      <c r="S3511" s="9"/>
      <c r="T3511" s="9"/>
      <c r="U3511" s="9"/>
      <c r="V3511" s="9"/>
      <c r="W3511" s="9"/>
      <c r="X3511" s="9"/>
      <c r="Y3511" s="9"/>
      <c r="Z3511" s="9"/>
      <c r="AA3511" s="9"/>
      <c r="AB3511" s="9"/>
      <c r="AC3511" s="9"/>
      <c r="AD3511" s="9"/>
      <c r="AE3511" s="9"/>
      <c r="AF3511" s="9"/>
      <c r="AG3511" s="9"/>
      <c r="AH3511" s="9"/>
      <c r="AI3511" s="9"/>
      <c r="AJ3511" s="9"/>
      <c r="AK3511" s="9"/>
      <c r="AL3511" s="9"/>
      <c r="AM3511" s="9"/>
      <c r="AN3511" s="9"/>
      <c r="AO3511" s="9"/>
      <c r="AP3511" s="9"/>
      <c r="AQ3511" s="9"/>
      <c r="AR3511" s="9"/>
      <c r="AS3511" s="9"/>
      <c r="AT3511" s="9"/>
      <c r="AU3511" s="9"/>
    </row>
    <row r="3512" spans="1:47" ht="15.75" customHeight="1">
      <c r="A3512" s="9"/>
      <c r="B3512" s="9"/>
      <c r="C3512" s="9"/>
      <c r="D3512" s="9"/>
      <c r="E3512" s="9"/>
      <c r="F3512" s="67"/>
      <c r="G3512" s="9"/>
      <c r="H3512" s="9"/>
      <c r="I3512" s="9"/>
      <c r="J3512" s="9"/>
      <c r="K3512" s="9"/>
      <c r="L3512" s="9"/>
      <c r="M3512" s="9"/>
      <c r="N3512" s="9"/>
      <c r="O3512" s="9"/>
      <c r="P3512" s="9"/>
      <c r="Q3512" s="9"/>
      <c r="R3512" s="9"/>
      <c r="S3512" s="9"/>
      <c r="T3512" s="9"/>
      <c r="U3512" s="9"/>
      <c r="V3512" s="9"/>
      <c r="W3512" s="9"/>
      <c r="X3512" s="9"/>
      <c r="Y3512" s="9"/>
      <c r="Z3512" s="9"/>
      <c r="AA3512" s="9"/>
      <c r="AB3512" s="9"/>
      <c r="AC3512" s="9"/>
      <c r="AD3512" s="9"/>
      <c r="AE3512" s="9"/>
      <c r="AF3512" s="9"/>
      <c r="AG3512" s="9"/>
      <c r="AH3512" s="9"/>
      <c r="AI3512" s="9"/>
      <c r="AJ3512" s="9"/>
      <c r="AK3512" s="9"/>
      <c r="AL3512" s="9"/>
      <c r="AM3512" s="9"/>
      <c r="AN3512" s="9"/>
      <c r="AO3512" s="9"/>
      <c r="AP3512" s="9"/>
      <c r="AQ3512" s="9"/>
      <c r="AR3512" s="9"/>
      <c r="AS3512" s="9"/>
      <c r="AT3512" s="9"/>
      <c r="AU3512" s="9"/>
    </row>
    <row r="3513" spans="1:47" ht="15.75" customHeight="1">
      <c r="A3513" s="9"/>
      <c r="B3513" s="9"/>
      <c r="C3513" s="9"/>
      <c r="D3513" s="9"/>
      <c r="E3513" s="9"/>
      <c r="F3513" s="67"/>
      <c r="G3513" s="9"/>
      <c r="H3513" s="9"/>
      <c r="I3513" s="9"/>
      <c r="J3513" s="9"/>
      <c r="K3513" s="9"/>
      <c r="L3513" s="9"/>
      <c r="M3513" s="9"/>
      <c r="N3513" s="9"/>
      <c r="O3513" s="9"/>
      <c r="P3513" s="9"/>
      <c r="Q3513" s="9"/>
      <c r="R3513" s="9"/>
      <c r="S3513" s="9"/>
      <c r="T3513" s="9"/>
      <c r="U3513" s="9"/>
      <c r="V3513" s="9"/>
      <c r="W3513" s="9"/>
      <c r="X3513" s="9"/>
      <c r="Y3513" s="9"/>
      <c r="Z3513" s="9"/>
      <c r="AA3513" s="9"/>
      <c r="AB3513" s="9"/>
      <c r="AC3513" s="9"/>
      <c r="AD3513" s="9"/>
      <c r="AE3513" s="9"/>
      <c r="AF3513" s="9"/>
      <c r="AG3513" s="9"/>
      <c r="AH3513" s="9"/>
      <c r="AI3513" s="9"/>
      <c r="AJ3513" s="9"/>
      <c r="AK3513" s="9"/>
      <c r="AL3513" s="9"/>
      <c r="AM3513" s="9"/>
      <c r="AN3513" s="9"/>
      <c r="AO3513" s="9"/>
      <c r="AP3513" s="9"/>
      <c r="AQ3513" s="9"/>
      <c r="AR3513" s="9"/>
      <c r="AS3513" s="9"/>
      <c r="AT3513" s="9"/>
      <c r="AU3513" s="9"/>
    </row>
    <row r="3514" spans="1:47" ht="15.75" customHeight="1">
      <c r="A3514" s="9"/>
      <c r="B3514" s="9"/>
      <c r="C3514" s="9"/>
      <c r="D3514" s="9"/>
      <c r="E3514" s="9"/>
      <c r="F3514" s="67"/>
      <c r="G3514" s="9"/>
      <c r="H3514" s="9"/>
      <c r="I3514" s="9"/>
      <c r="J3514" s="9"/>
      <c r="K3514" s="9"/>
      <c r="L3514" s="9"/>
      <c r="M3514" s="9"/>
      <c r="N3514" s="9"/>
      <c r="O3514" s="9"/>
      <c r="P3514" s="9"/>
      <c r="Q3514" s="9"/>
      <c r="R3514" s="9"/>
      <c r="S3514" s="9"/>
      <c r="T3514" s="9"/>
      <c r="U3514" s="9"/>
      <c r="V3514" s="9"/>
      <c r="W3514" s="9"/>
      <c r="X3514" s="9"/>
      <c r="Y3514" s="9"/>
      <c r="Z3514" s="9"/>
      <c r="AA3514" s="9"/>
      <c r="AB3514" s="9"/>
      <c r="AC3514" s="9"/>
      <c r="AD3514" s="9"/>
      <c r="AE3514" s="9"/>
      <c r="AF3514" s="9"/>
      <c r="AG3514" s="9"/>
      <c r="AH3514" s="9"/>
      <c r="AI3514" s="9"/>
      <c r="AJ3514" s="9"/>
      <c r="AK3514" s="9"/>
      <c r="AL3514" s="9"/>
      <c r="AM3514" s="9"/>
      <c r="AN3514" s="9"/>
      <c r="AO3514" s="9"/>
      <c r="AP3514" s="9"/>
      <c r="AQ3514" s="9"/>
      <c r="AR3514" s="9"/>
      <c r="AS3514" s="9"/>
      <c r="AT3514" s="9"/>
      <c r="AU3514" s="9"/>
    </row>
    <row r="3515" spans="1:47" ht="15.75" customHeight="1">
      <c r="A3515" s="9"/>
      <c r="B3515" s="9"/>
      <c r="C3515" s="9"/>
      <c r="D3515" s="9"/>
      <c r="E3515" s="9"/>
      <c r="F3515" s="67"/>
      <c r="G3515" s="9"/>
      <c r="H3515" s="9"/>
      <c r="I3515" s="9"/>
      <c r="J3515" s="9"/>
      <c r="K3515" s="9"/>
      <c r="L3515" s="9"/>
      <c r="M3515" s="9"/>
      <c r="N3515" s="9"/>
      <c r="O3515" s="9"/>
      <c r="P3515" s="9"/>
      <c r="Q3515" s="9"/>
      <c r="R3515" s="9"/>
      <c r="S3515" s="9"/>
      <c r="T3515" s="9"/>
      <c r="U3515" s="9"/>
      <c r="V3515" s="9"/>
      <c r="W3515" s="9"/>
      <c r="X3515" s="9"/>
      <c r="Y3515" s="9"/>
      <c r="Z3515" s="9"/>
      <c r="AA3515" s="9"/>
      <c r="AB3515" s="9"/>
      <c r="AC3515" s="9"/>
      <c r="AD3515" s="9"/>
      <c r="AE3515" s="9"/>
      <c r="AF3515" s="9"/>
      <c r="AG3515" s="9"/>
      <c r="AH3515" s="9"/>
      <c r="AI3515" s="9"/>
      <c r="AJ3515" s="9"/>
      <c r="AK3515" s="9"/>
      <c r="AL3515" s="9"/>
      <c r="AM3515" s="9"/>
      <c r="AN3515" s="9"/>
      <c r="AO3515" s="9"/>
      <c r="AP3515" s="9"/>
      <c r="AQ3515" s="9"/>
      <c r="AR3515" s="9"/>
      <c r="AS3515" s="9"/>
      <c r="AT3515" s="9"/>
      <c r="AU3515" s="9"/>
    </row>
    <row r="3516" spans="1:47" ht="15.75" customHeight="1">
      <c r="A3516" s="9"/>
      <c r="B3516" s="9"/>
      <c r="C3516" s="9"/>
      <c r="D3516" s="9"/>
      <c r="E3516" s="9"/>
      <c r="F3516" s="67"/>
      <c r="G3516" s="9"/>
      <c r="H3516" s="9"/>
      <c r="I3516" s="9"/>
      <c r="J3516" s="9"/>
      <c r="K3516" s="9"/>
      <c r="L3516" s="9"/>
      <c r="M3516" s="9"/>
      <c r="N3516" s="9"/>
      <c r="O3516" s="9"/>
      <c r="P3516" s="9"/>
      <c r="Q3516" s="9"/>
      <c r="R3516" s="9"/>
      <c r="S3516" s="9"/>
      <c r="T3516" s="9"/>
      <c r="U3516" s="9"/>
      <c r="V3516" s="9"/>
      <c r="W3516" s="9"/>
      <c r="X3516" s="9"/>
      <c r="Y3516" s="9"/>
      <c r="Z3516" s="9"/>
      <c r="AA3516" s="9"/>
      <c r="AB3516" s="9"/>
      <c r="AC3516" s="9"/>
      <c r="AD3516" s="9"/>
      <c r="AE3516" s="9"/>
      <c r="AF3516" s="9"/>
      <c r="AG3516" s="9"/>
      <c r="AH3516" s="9"/>
      <c r="AI3516" s="9"/>
      <c r="AJ3516" s="9"/>
      <c r="AK3516" s="9"/>
      <c r="AL3516" s="9"/>
      <c r="AM3516" s="9"/>
      <c r="AN3516" s="9"/>
      <c r="AO3516" s="9"/>
      <c r="AP3516" s="9"/>
      <c r="AQ3516" s="9"/>
      <c r="AR3516" s="9"/>
      <c r="AS3516" s="9"/>
      <c r="AT3516" s="9"/>
      <c r="AU3516" s="9"/>
    </row>
    <row r="3517" spans="1:47" ht="15.75" customHeight="1">
      <c r="A3517" s="9"/>
      <c r="B3517" s="9"/>
      <c r="C3517" s="9"/>
      <c r="D3517" s="9"/>
      <c r="E3517" s="9"/>
      <c r="F3517" s="67"/>
      <c r="G3517" s="9"/>
      <c r="H3517" s="9"/>
      <c r="I3517" s="9"/>
      <c r="J3517" s="9"/>
      <c r="K3517" s="9"/>
      <c r="L3517" s="9"/>
      <c r="M3517" s="9"/>
      <c r="N3517" s="9"/>
      <c r="O3517" s="9"/>
      <c r="P3517" s="9"/>
      <c r="Q3517" s="9"/>
      <c r="R3517" s="9"/>
      <c r="S3517" s="9"/>
      <c r="T3517" s="9"/>
      <c r="U3517" s="9"/>
      <c r="V3517" s="9"/>
      <c r="W3517" s="9"/>
      <c r="X3517" s="9"/>
      <c r="Y3517" s="9"/>
      <c r="Z3517" s="9"/>
      <c r="AA3517" s="9"/>
      <c r="AB3517" s="9"/>
      <c r="AC3517" s="9"/>
      <c r="AD3517" s="9"/>
      <c r="AE3517" s="9"/>
      <c r="AF3517" s="9"/>
      <c r="AG3517" s="9"/>
      <c r="AH3517" s="9"/>
      <c r="AI3517" s="9"/>
      <c r="AJ3517" s="9"/>
      <c r="AK3517" s="9"/>
      <c r="AL3517" s="9"/>
      <c r="AM3517" s="9"/>
      <c r="AN3517" s="9"/>
      <c r="AO3517" s="9"/>
      <c r="AP3517" s="9"/>
      <c r="AQ3517" s="9"/>
      <c r="AR3517" s="9"/>
      <c r="AS3517" s="9"/>
      <c r="AT3517" s="9"/>
      <c r="AU3517" s="9"/>
    </row>
    <row r="3518" spans="1:47" ht="15.75" customHeight="1">
      <c r="A3518" s="9"/>
      <c r="B3518" s="9"/>
      <c r="C3518" s="9"/>
      <c r="D3518" s="9"/>
      <c r="E3518" s="9"/>
      <c r="F3518" s="67"/>
      <c r="G3518" s="9"/>
      <c r="H3518" s="9"/>
      <c r="I3518" s="9"/>
      <c r="J3518" s="9"/>
      <c r="K3518" s="9"/>
      <c r="L3518" s="9"/>
      <c r="M3518" s="9"/>
      <c r="N3518" s="9"/>
      <c r="O3518" s="9"/>
      <c r="P3518" s="9"/>
      <c r="Q3518" s="9"/>
      <c r="R3518" s="9"/>
      <c r="S3518" s="9"/>
      <c r="T3518" s="9"/>
      <c r="U3518" s="9"/>
      <c r="V3518" s="9"/>
      <c r="W3518" s="9"/>
      <c r="X3518" s="9"/>
      <c r="Y3518" s="9"/>
      <c r="Z3518" s="9"/>
      <c r="AA3518" s="9"/>
      <c r="AB3518" s="9"/>
      <c r="AC3518" s="9"/>
      <c r="AD3518" s="9"/>
      <c r="AE3518" s="9"/>
      <c r="AF3518" s="9"/>
      <c r="AG3518" s="9"/>
      <c r="AH3518" s="9"/>
      <c r="AI3518" s="9"/>
      <c r="AJ3518" s="9"/>
      <c r="AK3518" s="9"/>
      <c r="AL3518" s="9"/>
      <c r="AM3518" s="9"/>
      <c r="AN3518" s="9"/>
      <c r="AO3518" s="9"/>
      <c r="AP3518" s="9"/>
      <c r="AQ3518" s="9"/>
      <c r="AR3518" s="9"/>
      <c r="AS3518" s="9"/>
      <c r="AT3518" s="9"/>
      <c r="AU3518" s="9"/>
    </row>
    <row r="3519" spans="1:47" ht="15.75" customHeight="1">
      <c r="A3519" s="9"/>
      <c r="B3519" s="9"/>
      <c r="C3519" s="9"/>
      <c r="D3519" s="9"/>
      <c r="E3519" s="9"/>
      <c r="F3519" s="67"/>
      <c r="G3519" s="9"/>
      <c r="H3519" s="9"/>
      <c r="I3519" s="9"/>
      <c r="J3519" s="9"/>
      <c r="K3519" s="9"/>
      <c r="L3519" s="9"/>
      <c r="M3519" s="9"/>
      <c r="N3519" s="9"/>
      <c r="O3519" s="9"/>
      <c r="P3519" s="9"/>
      <c r="Q3519" s="9"/>
      <c r="R3519" s="9"/>
      <c r="S3519" s="9"/>
      <c r="T3519" s="9"/>
      <c r="U3519" s="9"/>
      <c r="V3519" s="9"/>
      <c r="W3519" s="9"/>
      <c r="X3519" s="9"/>
      <c r="Y3519" s="9"/>
      <c r="Z3519" s="9"/>
      <c r="AA3519" s="9"/>
      <c r="AB3519" s="9"/>
      <c r="AC3519" s="9"/>
      <c r="AD3519" s="9"/>
      <c r="AE3519" s="9"/>
      <c r="AF3519" s="9"/>
      <c r="AG3519" s="9"/>
      <c r="AH3519" s="9"/>
      <c r="AI3519" s="9"/>
      <c r="AJ3519" s="9"/>
      <c r="AK3519" s="9"/>
      <c r="AL3519" s="9"/>
      <c r="AM3519" s="9"/>
      <c r="AN3519" s="9"/>
      <c r="AO3519" s="9"/>
      <c r="AP3519" s="9"/>
      <c r="AQ3519" s="9"/>
      <c r="AR3519" s="9"/>
      <c r="AS3519" s="9"/>
      <c r="AT3519" s="9"/>
      <c r="AU3519" s="9"/>
    </row>
    <row r="3520" spans="1:47" ht="15.75" customHeight="1">
      <c r="A3520" s="9"/>
      <c r="B3520" s="9"/>
      <c r="C3520" s="9"/>
      <c r="D3520" s="9"/>
      <c r="E3520" s="9"/>
      <c r="F3520" s="67"/>
      <c r="G3520" s="9"/>
      <c r="H3520" s="9"/>
      <c r="I3520" s="9"/>
      <c r="J3520" s="9"/>
      <c r="K3520" s="9"/>
      <c r="L3520" s="9"/>
      <c r="M3520" s="9"/>
      <c r="N3520" s="9"/>
      <c r="O3520" s="9"/>
      <c r="P3520" s="9"/>
      <c r="Q3520" s="9"/>
      <c r="R3520" s="9"/>
      <c r="S3520" s="9"/>
      <c r="T3520" s="9"/>
      <c r="U3520" s="9"/>
      <c r="V3520" s="9"/>
      <c r="W3520" s="9"/>
      <c r="X3520" s="9"/>
      <c r="Y3520" s="9"/>
      <c r="Z3520" s="9"/>
      <c r="AA3520" s="9"/>
      <c r="AB3520" s="9"/>
      <c r="AC3520" s="9"/>
      <c r="AD3520" s="9"/>
      <c r="AE3520" s="9"/>
      <c r="AF3520" s="9"/>
      <c r="AG3520" s="9"/>
      <c r="AH3520" s="9"/>
      <c r="AI3520" s="9"/>
      <c r="AJ3520" s="9"/>
      <c r="AK3520" s="9"/>
      <c r="AL3520" s="9"/>
      <c r="AM3520" s="9"/>
      <c r="AN3520" s="9"/>
      <c r="AO3520" s="9"/>
      <c r="AP3520" s="9"/>
      <c r="AQ3520" s="9"/>
      <c r="AR3520" s="9"/>
      <c r="AS3520" s="9"/>
      <c r="AT3520" s="9"/>
      <c r="AU3520" s="9"/>
    </row>
    <row r="3521" spans="1:47" ht="15.75" customHeight="1">
      <c r="A3521" s="9"/>
      <c r="B3521" s="9"/>
      <c r="C3521" s="9"/>
      <c r="D3521" s="9"/>
      <c r="E3521" s="9"/>
      <c r="F3521" s="67"/>
      <c r="G3521" s="9"/>
      <c r="H3521" s="9"/>
      <c r="I3521" s="9"/>
      <c r="J3521" s="9"/>
      <c r="K3521" s="9"/>
      <c r="L3521" s="9"/>
      <c r="M3521" s="9"/>
      <c r="N3521" s="9"/>
      <c r="O3521" s="9"/>
      <c r="P3521" s="9"/>
      <c r="Q3521" s="9"/>
      <c r="R3521" s="9"/>
      <c r="S3521" s="9"/>
      <c r="T3521" s="9"/>
      <c r="U3521" s="9"/>
      <c r="V3521" s="9"/>
      <c r="W3521" s="9"/>
      <c r="X3521" s="9"/>
      <c r="Y3521" s="9"/>
      <c r="Z3521" s="9"/>
      <c r="AA3521" s="9"/>
      <c r="AB3521" s="9"/>
      <c r="AC3521" s="9"/>
      <c r="AD3521" s="9"/>
      <c r="AE3521" s="9"/>
      <c r="AF3521" s="9"/>
      <c r="AG3521" s="9"/>
      <c r="AH3521" s="9"/>
      <c r="AI3521" s="9"/>
      <c r="AJ3521" s="9"/>
      <c r="AK3521" s="9"/>
      <c r="AL3521" s="9"/>
      <c r="AM3521" s="9"/>
      <c r="AN3521" s="9"/>
      <c r="AO3521" s="9"/>
      <c r="AP3521" s="9"/>
      <c r="AQ3521" s="9"/>
      <c r="AR3521" s="9"/>
      <c r="AS3521" s="9"/>
      <c r="AT3521" s="9"/>
      <c r="AU3521" s="9"/>
    </row>
    <row r="3522" spans="1:47" ht="15.75" customHeight="1">
      <c r="A3522" s="9"/>
      <c r="B3522" s="9"/>
      <c r="C3522" s="9"/>
      <c r="D3522" s="9"/>
      <c r="E3522" s="9"/>
      <c r="F3522" s="67"/>
      <c r="G3522" s="9"/>
      <c r="H3522" s="9"/>
      <c r="I3522" s="9"/>
      <c r="J3522" s="9"/>
      <c r="K3522" s="9"/>
      <c r="L3522" s="9"/>
      <c r="M3522" s="9"/>
      <c r="N3522" s="9"/>
      <c r="O3522" s="9"/>
      <c r="P3522" s="9"/>
      <c r="Q3522" s="9"/>
      <c r="R3522" s="9"/>
      <c r="S3522" s="9"/>
      <c r="T3522" s="9"/>
      <c r="U3522" s="9"/>
      <c r="V3522" s="9"/>
      <c r="W3522" s="9"/>
      <c r="X3522" s="9"/>
      <c r="Y3522" s="9"/>
      <c r="Z3522" s="9"/>
      <c r="AA3522" s="9"/>
      <c r="AB3522" s="9"/>
      <c r="AC3522" s="9"/>
      <c r="AD3522" s="9"/>
      <c r="AE3522" s="9"/>
      <c r="AF3522" s="9"/>
      <c r="AG3522" s="9"/>
      <c r="AH3522" s="9"/>
      <c r="AI3522" s="9"/>
      <c r="AJ3522" s="9"/>
      <c r="AK3522" s="9"/>
      <c r="AL3522" s="9"/>
      <c r="AM3522" s="9"/>
      <c r="AN3522" s="9"/>
      <c r="AO3522" s="9"/>
      <c r="AP3522" s="9"/>
      <c r="AQ3522" s="9"/>
      <c r="AR3522" s="9"/>
      <c r="AS3522" s="9"/>
      <c r="AT3522" s="9"/>
      <c r="AU3522" s="9"/>
    </row>
    <row r="3523" spans="1:47" ht="15.75" customHeight="1">
      <c r="A3523" s="9"/>
      <c r="B3523" s="9"/>
      <c r="C3523" s="9"/>
      <c r="D3523" s="9"/>
      <c r="E3523" s="9"/>
      <c r="F3523" s="67"/>
      <c r="G3523" s="9"/>
      <c r="H3523" s="9"/>
      <c r="I3523" s="9"/>
      <c r="J3523" s="9"/>
      <c r="K3523" s="9"/>
      <c r="L3523" s="9"/>
      <c r="M3523" s="9"/>
      <c r="N3523" s="9"/>
      <c r="O3523" s="9"/>
      <c r="P3523" s="9"/>
      <c r="Q3523" s="9"/>
      <c r="R3523" s="9"/>
      <c r="S3523" s="9"/>
      <c r="T3523" s="9"/>
      <c r="U3523" s="9"/>
      <c r="V3523" s="9"/>
      <c r="W3523" s="9"/>
      <c r="X3523" s="9"/>
      <c r="Y3523" s="9"/>
      <c r="Z3523" s="9"/>
      <c r="AA3523" s="9"/>
      <c r="AB3523" s="9"/>
      <c r="AC3523" s="9"/>
      <c r="AD3523" s="9"/>
      <c r="AE3523" s="9"/>
      <c r="AF3523" s="9"/>
      <c r="AG3523" s="9"/>
      <c r="AH3523" s="9"/>
      <c r="AI3523" s="9"/>
      <c r="AJ3523" s="9"/>
      <c r="AK3523" s="9"/>
      <c r="AL3523" s="9"/>
      <c r="AM3523" s="9"/>
      <c r="AN3523" s="9"/>
      <c r="AO3523" s="9"/>
      <c r="AP3523" s="9"/>
      <c r="AQ3523" s="9"/>
      <c r="AR3523" s="9"/>
      <c r="AS3523" s="9"/>
      <c r="AT3523" s="9"/>
      <c r="AU3523" s="9"/>
    </row>
    <row r="3524" spans="1:47" ht="15.75" customHeight="1">
      <c r="A3524" s="9"/>
      <c r="B3524" s="9"/>
      <c r="C3524" s="9"/>
      <c r="D3524" s="9"/>
      <c r="E3524" s="9"/>
      <c r="F3524" s="67"/>
      <c r="G3524" s="9"/>
      <c r="H3524" s="9"/>
      <c r="I3524" s="9"/>
      <c r="J3524" s="9"/>
      <c r="K3524" s="9"/>
      <c r="L3524" s="9"/>
      <c r="M3524" s="9"/>
      <c r="N3524" s="9"/>
      <c r="O3524" s="9"/>
      <c r="P3524" s="9"/>
      <c r="Q3524" s="9"/>
      <c r="R3524" s="9"/>
      <c r="S3524" s="9"/>
      <c r="T3524" s="9"/>
      <c r="U3524" s="9"/>
      <c r="V3524" s="9"/>
      <c r="W3524" s="9"/>
      <c r="X3524" s="9"/>
      <c r="Y3524" s="9"/>
      <c r="Z3524" s="9"/>
      <c r="AA3524" s="9"/>
      <c r="AB3524" s="9"/>
      <c r="AC3524" s="9"/>
      <c r="AD3524" s="9"/>
      <c r="AE3524" s="9"/>
      <c r="AF3524" s="9"/>
      <c r="AG3524" s="9"/>
      <c r="AH3524" s="9"/>
      <c r="AI3524" s="9"/>
      <c r="AJ3524" s="9"/>
      <c r="AK3524" s="9"/>
      <c r="AL3524" s="9"/>
      <c r="AM3524" s="9"/>
      <c r="AN3524" s="9"/>
      <c r="AO3524" s="9"/>
      <c r="AP3524" s="9"/>
      <c r="AQ3524" s="9"/>
      <c r="AR3524" s="9"/>
      <c r="AS3524" s="9"/>
      <c r="AT3524" s="9"/>
      <c r="AU3524" s="9"/>
    </row>
    <row r="3525" spans="1:47" ht="15.75" customHeight="1">
      <c r="A3525" s="9"/>
      <c r="B3525" s="9"/>
      <c r="C3525" s="9"/>
      <c r="D3525" s="9"/>
      <c r="E3525" s="9"/>
      <c r="F3525" s="67"/>
      <c r="G3525" s="9"/>
      <c r="H3525" s="9"/>
      <c r="I3525" s="9"/>
      <c r="J3525" s="9"/>
      <c r="K3525" s="9"/>
      <c r="L3525" s="9"/>
      <c r="M3525" s="9"/>
      <c r="N3525" s="9"/>
      <c r="O3525" s="9"/>
      <c r="P3525" s="9"/>
      <c r="Q3525" s="9"/>
      <c r="R3525" s="9"/>
      <c r="S3525" s="9"/>
      <c r="T3525" s="9"/>
      <c r="U3525" s="9"/>
      <c r="V3525" s="9"/>
      <c r="W3525" s="9"/>
      <c r="X3525" s="9"/>
      <c r="Y3525" s="9"/>
      <c r="Z3525" s="9"/>
      <c r="AA3525" s="9"/>
      <c r="AB3525" s="9"/>
      <c r="AC3525" s="9"/>
      <c r="AD3525" s="9"/>
      <c r="AE3525" s="9"/>
      <c r="AF3525" s="9"/>
      <c r="AG3525" s="9"/>
      <c r="AH3525" s="9"/>
      <c r="AI3525" s="9"/>
      <c r="AJ3525" s="9"/>
      <c r="AK3525" s="9"/>
      <c r="AL3525" s="9"/>
      <c r="AM3525" s="9"/>
      <c r="AN3525" s="9"/>
      <c r="AO3525" s="9"/>
      <c r="AP3525" s="9"/>
      <c r="AQ3525" s="9"/>
      <c r="AR3525" s="9"/>
      <c r="AS3525" s="9"/>
      <c r="AT3525" s="9"/>
      <c r="AU3525" s="9"/>
    </row>
    <row r="3526" spans="1:47" ht="15.75" customHeight="1">
      <c r="A3526" s="9"/>
      <c r="B3526" s="9"/>
      <c r="C3526" s="9"/>
      <c r="D3526" s="9"/>
      <c r="E3526" s="9"/>
      <c r="F3526" s="67"/>
      <c r="G3526" s="9"/>
      <c r="H3526" s="9"/>
      <c r="I3526" s="9"/>
      <c r="J3526" s="9"/>
      <c r="K3526" s="9"/>
      <c r="L3526" s="9"/>
      <c r="M3526" s="9"/>
      <c r="N3526" s="9"/>
      <c r="O3526" s="9"/>
      <c r="P3526" s="9"/>
      <c r="Q3526" s="9"/>
      <c r="R3526" s="9"/>
      <c r="S3526" s="9"/>
      <c r="T3526" s="9"/>
      <c r="U3526" s="9"/>
      <c r="V3526" s="9"/>
      <c r="W3526" s="9"/>
      <c r="X3526" s="9"/>
      <c r="Y3526" s="9"/>
      <c r="Z3526" s="9"/>
      <c r="AA3526" s="9"/>
      <c r="AB3526" s="9"/>
      <c r="AC3526" s="9"/>
      <c r="AD3526" s="9"/>
      <c r="AE3526" s="9"/>
      <c r="AF3526" s="9"/>
      <c r="AG3526" s="9"/>
      <c r="AH3526" s="9"/>
      <c r="AI3526" s="9"/>
      <c r="AJ3526" s="9"/>
      <c r="AK3526" s="9"/>
      <c r="AL3526" s="9"/>
      <c r="AM3526" s="9"/>
      <c r="AN3526" s="9"/>
      <c r="AO3526" s="9"/>
      <c r="AP3526" s="9"/>
      <c r="AQ3526" s="9"/>
      <c r="AR3526" s="9"/>
      <c r="AS3526" s="9"/>
      <c r="AT3526" s="9"/>
      <c r="AU3526" s="9"/>
    </row>
    <row r="3527" spans="1:47" ht="15.75" customHeight="1">
      <c r="A3527" s="9"/>
      <c r="B3527" s="9"/>
      <c r="C3527" s="9"/>
      <c r="D3527" s="9"/>
      <c r="E3527" s="9"/>
      <c r="F3527" s="67"/>
      <c r="G3527" s="9"/>
      <c r="H3527" s="9"/>
      <c r="I3527" s="9"/>
      <c r="J3527" s="9"/>
      <c r="K3527" s="9"/>
      <c r="L3527" s="9"/>
      <c r="M3527" s="9"/>
      <c r="N3527" s="9"/>
      <c r="O3527" s="9"/>
      <c r="P3527" s="9"/>
      <c r="Q3527" s="9"/>
      <c r="R3527" s="9"/>
      <c r="S3527" s="9"/>
      <c r="T3527" s="9"/>
      <c r="U3527" s="9"/>
      <c r="V3527" s="9"/>
      <c r="W3527" s="9"/>
      <c r="X3527" s="9"/>
      <c r="Y3527" s="9"/>
      <c r="Z3527" s="9"/>
      <c r="AA3527" s="9"/>
      <c r="AB3527" s="9"/>
      <c r="AC3527" s="9"/>
      <c r="AD3527" s="9"/>
      <c r="AE3527" s="9"/>
      <c r="AF3527" s="9"/>
      <c r="AG3527" s="9"/>
      <c r="AH3527" s="9"/>
      <c r="AI3527" s="9"/>
      <c r="AJ3527" s="9"/>
      <c r="AK3527" s="9"/>
      <c r="AL3527" s="9"/>
      <c r="AM3527" s="9"/>
      <c r="AN3527" s="9"/>
      <c r="AO3527" s="9"/>
      <c r="AP3527" s="9"/>
      <c r="AQ3527" s="9"/>
      <c r="AR3527" s="9"/>
      <c r="AS3527" s="9"/>
      <c r="AT3527" s="9"/>
      <c r="AU3527" s="9"/>
    </row>
    <row r="3528" spans="1:47" ht="15.75" customHeight="1">
      <c r="A3528" s="9"/>
      <c r="B3528" s="9"/>
      <c r="C3528" s="9"/>
      <c r="D3528" s="9"/>
      <c r="E3528" s="9"/>
      <c r="F3528" s="67"/>
      <c r="G3528" s="9"/>
      <c r="H3528" s="9"/>
      <c r="I3528" s="9"/>
      <c r="J3528" s="9"/>
      <c r="K3528" s="9"/>
      <c r="L3528" s="9"/>
      <c r="M3528" s="9"/>
      <c r="N3528" s="9"/>
      <c r="O3528" s="9"/>
      <c r="P3528" s="9"/>
      <c r="Q3528" s="9"/>
      <c r="R3528" s="9"/>
      <c r="S3528" s="9"/>
      <c r="T3528" s="9"/>
      <c r="U3528" s="9"/>
      <c r="V3528" s="9"/>
      <c r="W3528" s="9"/>
      <c r="X3528" s="9"/>
      <c r="Y3528" s="9"/>
      <c r="Z3528" s="9"/>
      <c r="AA3528" s="9"/>
      <c r="AB3528" s="9"/>
      <c r="AC3528" s="9"/>
      <c r="AD3528" s="9"/>
      <c r="AE3528" s="9"/>
      <c r="AF3528" s="9"/>
      <c r="AG3528" s="9"/>
      <c r="AH3528" s="9"/>
      <c r="AI3528" s="9"/>
      <c r="AJ3528" s="9"/>
      <c r="AK3528" s="9"/>
      <c r="AL3528" s="9"/>
      <c r="AM3528" s="9"/>
      <c r="AN3528" s="9"/>
      <c r="AO3528" s="9"/>
      <c r="AP3528" s="9"/>
      <c r="AQ3528" s="9"/>
      <c r="AR3528" s="9"/>
      <c r="AS3528" s="9"/>
      <c r="AT3528" s="9"/>
      <c r="AU3528" s="9"/>
    </row>
    <row r="3529" spans="1:47" ht="15.75" customHeight="1">
      <c r="A3529" s="9"/>
      <c r="B3529" s="9"/>
      <c r="C3529" s="9"/>
      <c r="D3529" s="9"/>
      <c r="E3529" s="9"/>
      <c r="F3529" s="67"/>
      <c r="G3529" s="9"/>
      <c r="H3529" s="9"/>
      <c r="I3529" s="9"/>
      <c r="J3529" s="9"/>
      <c r="K3529" s="9"/>
      <c r="L3529" s="9"/>
      <c r="M3529" s="9"/>
      <c r="N3529" s="9"/>
      <c r="O3529" s="9"/>
      <c r="P3529" s="9"/>
      <c r="Q3529" s="9"/>
      <c r="R3529" s="9"/>
      <c r="S3529" s="9"/>
      <c r="T3529" s="9"/>
      <c r="U3529" s="9"/>
      <c r="V3529" s="9"/>
      <c r="W3529" s="9"/>
      <c r="X3529" s="9"/>
      <c r="Y3529" s="9"/>
      <c r="Z3529" s="9"/>
      <c r="AA3529" s="9"/>
      <c r="AB3529" s="9"/>
      <c r="AC3529" s="9"/>
      <c r="AD3529" s="9"/>
      <c r="AE3529" s="9"/>
      <c r="AF3529" s="9"/>
      <c r="AG3529" s="9"/>
      <c r="AH3529" s="9"/>
      <c r="AI3529" s="9"/>
      <c r="AJ3529" s="9"/>
      <c r="AK3529" s="9"/>
      <c r="AL3529" s="9"/>
      <c r="AM3529" s="9"/>
      <c r="AN3529" s="9"/>
      <c r="AO3529" s="9"/>
      <c r="AP3529" s="9"/>
      <c r="AQ3529" s="9"/>
      <c r="AR3529" s="9"/>
      <c r="AS3529" s="9"/>
      <c r="AT3529" s="9"/>
      <c r="AU3529" s="9"/>
    </row>
    <row r="3530" spans="1:47" ht="15.75" customHeight="1">
      <c r="A3530" s="9"/>
      <c r="B3530" s="9"/>
      <c r="C3530" s="9"/>
      <c r="D3530" s="9"/>
      <c r="E3530" s="9"/>
      <c r="F3530" s="67"/>
      <c r="G3530" s="9"/>
      <c r="H3530" s="9"/>
      <c r="I3530" s="9"/>
      <c r="J3530" s="9"/>
      <c r="K3530" s="9"/>
      <c r="L3530" s="9"/>
      <c r="M3530" s="9"/>
      <c r="N3530" s="9"/>
      <c r="O3530" s="9"/>
      <c r="P3530" s="9"/>
      <c r="Q3530" s="9"/>
      <c r="R3530" s="9"/>
      <c r="S3530" s="9"/>
      <c r="T3530" s="9"/>
      <c r="U3530" s="9"/>
      <c r="V3530" s="9"/>
      <c r="W3530" s="9"/>
      <c r="X3530" s="9"/>
      <c r="Y3530" s="9"/>
      <c r="Z3530" s="9"/>
      <c r="AA3530" s="9"/>
      <c r="AB3530" s="9"/>
      <c r="AC3530" s="9"/>
      <c r="AD3530" s="9"/>
      <c r="AE3530" s="9"/>
      <c r="AF3530" s="9"/>
      <c r="AG3530" s="9"/>
      <c r="AH3530" s="9"/>
      <c r="AI3530" s="9"/>
      <c r="AJ3530" s="9"/>
      <c r="AK3530" s="9"/>
      <c r="AL3530" s="9"/>
      <c r="AM3530" s="9"/>
      <c r="AN3530" s="9"/>
      <c r="AO3530" s="9"/>
      <c r="AP3530" s="9"/>
      <c r="AQ3530" s="9"/>
      <c r="AR3530" s="9"/>
      <c r="AS3530" s="9"/>
      <c r="AT3530" s="9"/>
      <c r="AU3530" s="9"/>
    </row>
    <row r="3531" spans="1:47" ht="15.75" customHeight="1">
      <c r="A3531" s="9"/>
      <c r="B3531" s="9"/>
      <c r="C3531" s="9"/>
      <c r="D3531" s="9"/>
      <c r="E3531" s="9"/>
      <c r="F3531" s="67"/>
      <c r="G3531" s="9"/>
      <c r="H3531" s="9"/>
      <c r="I3531" s="9"/>
      <c r="J3531" s="9"/>
      <c r="K3531" s="9"/>
      <c r="L3531" s="9"/>
      <c r="M3531" s="9"/>
      <c r="N3531" s="9"/>
      <c r="O3531" s="9"/>
      <c r="P3531" s="9"/>
      <c r="Q3531" s="9"/>
      <c r="R3531" s="9"/>
      <c r="S3531" s="9"/>
      <c r="T3531" s="9"/>
      <c r="U3531" s="9"/>
      <c r="V3531" s="9"/>
      <c r="W3531" s="9"/>
      <c r="X3531" s="9"/>
      <c r="Y3531" s="9"/>
      <c r="Z3531" s="9"/>
      <c r="AA3531" s="9"/>
      <c r="AB3531" s="9"/>
      <c r="AC3531" s="9"/>
      <c r="AD3531" s="9"/>
      <c r="AE3531" s="9"/>
      <c r="AF3531" s="9"/>
      <c r="AG3531" s="9"/>
      <c r="AH3531" s="9"/>
      <c r="AI3531" s="9"/>
      <c r="AJ3531" s="9"/>
      <c r="AK3531" s="9"/>
      <c r="AL3531" s="9"/>
      <c r="AM3531" s="9"/>
      <c r="AN3531" s="9"/>
      <c r="AO3531" s="9"/>
      <c r="AP3531" s="9"/>
      <c r="AQ3531" s="9"/>
      <c r="AR3531" s="9"/>
      <c r="AS3531" s="9"/>
      <c r="AT3531" s="9"/>
      <c r="AU3531" s="9"/>
    </row>
    <row r="3532" spans="1:47" ht="15.75" customHeight="1">
      <c r="A3532" s="9"/>
      <c r="B3532" s="9"/>
      <c r="C3532" s="9"/>
      <c r="D3532" s="9"/>
      <c r="E3532" s="9"/>
      <c r="F3532" s="67"/>
      <c r="G3532" s="9"/>
      <c r="H3532" s="9"/>
      <c r="I3532" s="9"/>
      <c r="J3532" s="9"/>
      <c r="K3532" s="9"/>
      <c r="L3532" s="9"/>
      <c r="M3532" s="9"/>
      <c r="N3532" s="9"/>
      <c r="O3532" s="9"/>
      <c r="P3532" s="9"/>
      <c r="Q3532" s="9"/>
      <c r="R3532" s="9"/>
      <c r="S3532" s="9"/>
      <c r="T3532" s="9"/>
      <c r="U3532" s="9"/>
      <c r="V3532" s="9"/>
      <c r="W3532" s="9"/>
      <c r="X3532" s="9"/>
      <c r="Y3532" s="9"/>
      <c r="Z3532" s="9"/>
      <c r="AA3532" s="9"/>
      <c r="AB3532" s="9"/>
      <c r="AC3532" s="9"/>
      <c r="AD3532" s="9"/>
      <c r="AE3532" s="9"/>
      <c r="AF3532" s="9"/>
      <c r="AG3532" s="9"/>
      <c r="AH3532" s="9"/>
      <c r="AI3532" s="9"/>
      <c r="AJ3532" s="9"/>
      <c r="AK3532" s="9"/>
      <c r="AL3532" s="9"/>
      <c r="AM3532" s="9"/>
      <c r="AN3532" s="9"/>
      <c r="AO3532" s="9"/>
      <c r="AP3532" s="9"/>
      <c r="AQ3532" s="9"/>
      <c r="AR3532" s="9"/>
      <c r="AS3532" s="9"/>
      <c r="AT3532" s="9"/>
      <c r="AU3532" s="9"/>
    </row>
    <row r="3533" spans="1:47" ht="15.75" customHeight="1">
      <c r="A3533" s="9"/>
      <c r="B3533" s="9"/>
      <c r="C3533" s="9"/>
      <c r="D3533" s="9"/>
      <c r="E3533" s="9"/>
      <c r="F3533" s="67"/>
      <c r="G3533" s="9"/>
      <c r="H3533" s="9"/>
      <c r="I3533" s="9"/>
      <c r="J3533" s="9"/>
      <c r="K3533" s="9"/>
      <c r="L3533" s="9"/>
      <c r="M3533" s="9"/>
      <c r="N3533" s="9"/>
      <c r="O3533" s="9"/>
      <c r="P3533" s="9"/>
      <c r="Q3533" s="9"/>
      <c r="R3533" s="9"/>
      <c r="S3533" s="9"/>
      <c r="T3533" s="9"/>
      <c r="U3533" s="9"/>
      <c r="V3533" s="9"/>
      <c r="W3533" s="9"/>
      <c r="X3533" s="9"/>
      <c r="Y3533" s="9"/>
      <c r="Z3533" s="9"/>
      <c r="AA3533" s="9"/>
      <c r="AB3533" s="9"/>
      <c r="AC3533" s="9"/>
      <c r="AD3533" s="9"/>
      <c r="AE3533" s="9"/>
      <c r="AF3533" s="9"/>
      <c r="AG3533" s="9"/>
      <c r="AH3533" s="9"/>
      <c r="AI3533" s="9"/>
      <c r="AJ3533" s="9"/>
      <c r="AK3533" s="9"/>
      <c r="AL3533" s="9"/>
      <c r="AM3533" s="9"/>
      <c r="AN3533" s="9"/>
      <c r="AO3533" s="9"/>
      <c r="AP3533" s="9"/>
      <c r="AQ3533" s="9"/>
      <c r="AR3533" s="9"/>
      <c r="AS3533" s="9"/>
      <c r="AT3533" s="9"/>
      <c r="AU3533" s="9"/>
    </row>
    <row r="3534" spans="1:47" ht="15.75" customHeight="1">
      <c r="A3534" s="9"/>
      <c r="B3534" s="9"/>
      <c r="C3534" s="9"/>
      <c r="D3534" s="9"/>
      <c r="E3534" s="9"/>
      <c r="F3534" s="67"/>
      <c r="G3534" s="9"/>
      <c r="H3534" s="9"/>
      <c r="I3534" s="9"/>
      <c r="J3534" s="9"/>
      <c r="K3534" s="9"/>
      <c r="L3534" s="9"/>
      <c r="M3534" s="9"/>
      <c r="N3534" s="9"/>
      <c r="O3534" s="9"/>
      <c r="P3534" s="9"/>
      <c r="Q3534" s="9"/>
      <c r="R3534" s="9"/>
      <c r="S3534" s="9"/>
      <c r="T3534" s="9"/>
      <c r="U3534" s="9"/>
      <c r="V3534" s="9"/>
      <c r="W3534" s="9"/>
      <c r="X3534" s="9"/>
      <c r="Y3534" s="9"/>
      <c r="Z3534" s="9"/>
      <c r="AA3534" s="9"/>
      <c r="AB3534" s="9"/>
      <c r="AC3534" s="9"/>
      <c r="AD3534" s="9"/>
      <c r="AE3534" s="9"/>
      <c r="AF3534" s="9"/>
      <c r="AG3534" s="9"/>
      <c r="AH3534" s="9"/>
      <c r="AI3534" s="9"/>
      <c r="AJ3534" s="9"/>
      <c r="AK3534" s="9"/>
      <c r="AL3534" s="9"/>
      <c r="AM3534" s="9"/>
      <c r="AN3534" s="9"/>
      <c r="AO3534" s="9"/>
      <c r="AP3534" s="9"/>
      <c r="AQ3534" s="9"/>
      <c r="AR3534" s="9"/>
      <c r="AS3534" s="9"/>
      <c r="AT3534" s="9"/>
      <c r="AU3534" s="9"/>
    </row>
    <row r="3535" spans="1:47" ht="15.75" customHeight="1">
      <c r="A3535" s="9"/>
      <c r="B3535" s="9"/>
      <c r="C3535" s="9"/>
      <c r="D3535" s="9"/>
      <c r="E3535" s="9"/>
      <c r="F3535" s="67"/>
      <c r="G3535" s="9"/>
      <c r="H3535" s="9"/>
      <c r="I3535" s="9"/>
      <c r="J3535" s="9"/>
      <c r="K3535" s="9"/>
      <c r="L3535" s="9"/>
      <c r="M3535" s="9"/>
      <c r="N3535" s="9"/>
      <c r="O3535" s="9"/>
      <c r="P3535" s="9"/>
      <c r="Q3535" s="9"/>
      <c r="R3535" s="9"/>
      <c r="S3535" s="9"/>
      <c r="T3535" s="9"/>
      <c r="U3535" s="9"/>
      <c r="V3535" s="9"/>
      <c r="W3535" s="9"/>
      <c r="X3535" s="9"/>
      <c r="Y3535" s="9"/>
      <c r="Z3535" s="9"/>
      <c r="AA3535" s="9"/>
      <c r="AB3535" s="9"/>
      <c r="AC3535" s="9"/>
      <c r="AD3535" s="9"/>
      <c r="AE3535" s="9"/>
      <c r="AF3535" s="9"/>
      <c r="AG3535" s="9"/>
      <c r="AH3535" s="9"/>
      <c r="AI3535" s="9"/>
      <c r="AJ3535" s="9"/>
      <c r="AK3535" s="9"/>
      <c r="AL3535" s="9"/>
      <c r="AM3535" s="9"/>
      <c r="AN3535" s="9"/>
      <c r="AO3535" s="9"/>
      <c r="AP3535" s="9"/>
      <c r="AQ3535" s="9"/>
      <c r="AR3535" s="9"/>
      <c r="AS3535" s="9"/>
      <c r="AT3535" s="9"/>
      <c r="AU3535" s="9"/>
    </row>
    <row r="3536" spans="1:47" ht="15.75" customHeight="1">
      <c r="A3536" s="9"/>
      <c r="B3536" s="9"/>
      <c r="C3536" s="9"/>
      <c r="D3536" s="9"/>
      <c r="E3536" s="9"/>
      <c r="F3536" s="67"/>
      <c r="G3536" s="9"/>
      <c r="H3536" s="9"/>
      <c r="I3536" s="9"/>
      <c r="J3536" s="9"/>
      <c r="K3536" s="9"/>
      <c r="L3536" s="9"/>
      <c r="M3536" s="9"/>
      <c r="N3536" s="9"/>
      <c r="O3536" s="9"/>
      <c r="P3536" s="9"/>
      <c r="Q3536" s="9"/>
      <c r="R3536" s="9"/>
      <c r="S3536" s="9"/>
      <c r="T3536" s="9"/>
      <c r="U3536" s="9"/>
      <c r="V3536" s="9"/>
      <c r="W3536" s="9"/>
      <c r="X3536" s="9"/>
      <c r="Y3536" s="9"/>
      <c r="Z3536" s="9"/>
      <c r="AA3536" s="9"/>
      <c r="AB3536" s="9"/>
      <c r="AC3536" s="9"/>
      <c r="AD3536" s="9"/>
      <c r="AE3536" s="9"/>
      <c r="AF3536" s="9"/>
      <c r="AG3536" s="9"/>
      <c r="AH3536" s="9"/>
      <c r="AI3536" s="9"/>
      <c r="AJ3536" s="9"/>
      <c r="AK3536" s="9"/>
      <c r="AL3536" s="9"/>
      <c r="AM3536" s="9"/>
      <c r="AN3536" s="9"/>
      <c r="AO3536" s="9"/>
      <c r="AP3536" s="9"/>
      <c r="AQ3536" s="9"/>
      <c r="AR3536" s="9"/>
      <c r="AS3536" s="9"/>
      <c r="AT3536" s="9"/>
      <c r="AU3536" s="9"/>
    </row>
    <row r="3537" spans="1:47" ht="15.75" customHeight="1">
      <c r="A3537" s="9"/>
      <c r="B3537" s="9"/>
      <c r="C3537" s="9"/>
      <c r="D3537" s="9"/>
      <c r="E3537" s="9"/>
      <c r="F3537" s="67"/>
      <c r="G3537" s="9"/>
      <c r="H3537" s="9"/>
      <c r="I3537" s="9"/>
      <c r="J3537" s="9"/>
      <c r="K3537" s="9"/>
      <c r="L3537" s="9"/>
      <c r="M3537" s="9"/>
      <c r="N3537" s="9"/>
      <c r="O3537" s="9"/>
      <c r="P3537" s="9"/>
      <c r="Q3537" s="9"/>
      <c r="R3537" s="9"/>
      <c r="S3537" s="9"/>
      <c r="T3537" s="9"/>
      <c r="U3537" s="9"/>
      <c r="V3537" s="9"/>
      <c r="W3537" s="9"/>
      <c r="X3537" s="9"/>
      <c r="Y3537" s="9"/>
      <c r="Z3537" s="9"/>
      <c r="AA3537" s="9"/>
      <c r="AB3537" s="9"/>
      <c r="AC3537" s="9"/>
      <c r="AD3537" s="9"/>
      <c r="AE3537" s="9"/>
      <c r="AF3537" s="9"/>
      <c r="AG3537" s="9"/>
      <c r="AH3537" s="9"/>
      <c r="AI3537" s="9"/>
      <c r="AJ3537" s="9"/>
      <c r="AK3537" s="9"/>
      <c r="AL3537" s="9"/>
      <c r="AM3537" s="9"/>
      <c r="AN3537" s="9"/>
      <c r="AO3537" s="9"/>
      <c r="AP3537" s="9"/>
      <c r="AQ3537" s="9"/>
      <c r="AR3537" s="9"/>
      <c r="AS3537" s="9"/>
      <c r="AT3537" s="9"/>
      <c r="AU3537" s="9"/>
    </row>
    <row r="3538" spans="1:47" ht="15.75" customHeight="1">
      <c r="A3538" s="9"/>
      <c r="B3538" s="9"/>
      <c r="C3538" s="9"/>
      <c r="D3538" s="9"/>
      <c r="E3538" s="9"/>
      <c r="F3538" s="67"/>
      <c r="G3538" s="9"/>
      <c r="H3538" s="9"/>
      <c r="I3538" s="9"/>
      <c r="J3538" s="9"/>
      <c r="K3538" s="9"/>
      <c r="L3538" s="9"/>
      <c r="M3538" s="9"/>
      <c r="N3538" s="9"/>
      <c r="O3538" s="9"/>
      <c r="P3538" s="9"/>
      <c r="Q3538" s="9"/>
      <c r="R3538" s="9"/>
      <c r="S3538" s="9"/>
      <c r="T3538" s="9"/>
      <c r="U3538" s="9"/>
      <c r="V3538" s="9"/>
      <c r="W3538" s="9"/>
      <c r="X3538" s="9"/>
      <c r="Y3538" s="9"/>
      <c r="Z3538" s="9"/>
      <c r="AA3538" s="9"/>
      <c r="AB3538" s="9"/>
      <c r="AC3538" s="9"/>
      <c r="AD3538" s="9"/>
      <c r="AE3538" s="9"/>
      <c r="AF3538" s="9"/>
      <c r="AG3538" s="9"/>
      <c r="AH3538" s="9"/>
      <c r="AI3538" s="9"/>
      <c r="AJ3538" s="9"/>
      <c r="AK3538" s="9"/>
      <c r="AL3538" s="9"/>
      <c r="AM3538" s="9"/>
      <c r="AN3538" s="9"/>
      <c r="AO3538" s="9"/>
      <c r="AP3538" s="9"/>
      <c r="AQ3538" s="9"/>
      <c r="AR3538" s="9"/>
      <c r="AS3538" s="9"/>
      <c r="AT3538" s="9"/>
      <c r="AU3538" s="9"/>
    </row>
    <row r="3539" spans="1:47" ht="15.75" customHeight="1">
      <c r="A3539" s="9"/>
      <c r="B3539" s="9"/>
      <c r="C3539" s="9"/>
      <c r="D3539" s="9"/>
      <c r="E3539" s="9"/>
      <c r="F3539" s="67"/>
      <c r="G3539" s="9"/>
      <c r="H3539" s="9"/>
      <c r="I3539" s="9"/>
      <c r="J3539" s="9"/>
      <c r="K3539" s="9"/>
      <c r="L3539" s="9"/>
      <c r="M3539" s="9"/>
      <c r="N3539" s="9"/>
      <c r="O3539" s="9"/>
      <c r="P3539" s="9"/>
      <c r="Q3539" s="9"/>
      <c r="R3539" s="9"/>
      <c r="S3539" s="9"/>
      <c r="T3539" s="9"/>
      <c r="U3539" s="9"/>
      <c r="V3539" s="9"/>
      <c r="W3539" s="9"/>
      <c r="X3539" s="9"/>
      <c r="Y3539" s="9"/>
      <c r="Z3539" s="9"/>
      <c r="AA3539" s="9"/>
      <c r="AB3539" s="9"/>
      <c r="AC3539" s="9"/>
      <c r="AD3539" s="9"/>
      <c r="AE3539" s="9"/>
      <c r="AF3539" s="9"/>
      <c r="AG3539" s="9"/>
      <c r="AH3539" s="9"/>
      <c r="AI3539" s="9"/>
      <c r="AJ3539" s="9"/>
      <c r="AK3539" s="9"/>
      <c r="AL3539" s="9"/>
      <c r="AM3539" s="9"/>
      <c r="AN3539" s="9"/>
      <c r="AO3539" s="9"/>
      <c r="AP3539" s="9"/>
      <c r="AQ3539" s="9"/>
      <c r="AR3539" s="9"/>
      <c r="AS3539" s="9"/>
      <c r="AT3539" s="9"/>
      <c r="AU3539" s="9"/>
    </row>
    <row r="3540" spans="1:47" ht="15.75" customHeight="1">
      <c r="A3540" s="9"/>
      <c r="B3540" s="9"/>
      <c r="C3540" s="9"/>
      <c r="D3540" s="9"/>
      <c r="E3540" s="9"/>
      <c r="F3540" s="67"/>
      <c r="G3540" s="9"/>
      <c r="H3540" s="9"/>
      <c r="I3540" s="9"/>
      <c r="J3540" s="9"/>
      <c r="K3540" s="9"/>
      <c r="L3540" s="9"/>
      <c r="M3540" s="9"/>
      <c r="N3540" s="9"/>
      <c r="O3540" s="9"/>
      <c r="P3540" s="9"/>
      <c r="Q3540" s="9"/>
      <c r="R3540" s="9"/>
      <c r="S3540" s="9"/>
      <c r="T3540" s="9"/>
      <c r="U3540" s="9"/>
      <c r="V3540" s="9"/>
      <c r="W3540" s="9"/>
      <c r="X3540" s="9"/>
      <c r="Y3540" s="9"/>
      <c r="Z3540" s="9"/>
      <c r="AA3540" s="9"/>
      <c r="AB3540" s="9"/>
      <c r="AC3540" s="9"/>
      <c r="AD3540" s="9"/>
      <c r="AE3540" s="9"/>
      <c r="AF3540" s="9"/>
      <c r="AG3540" s="9"/>
      <c r="AH3540" s="9"/>
      <c r="AI3540" s="9"/>
      <c r="AJ3540" s="9"/>
      <c r="AK3540" s="9"/>
      <c r="AL3540" s="9"/>
      <c r="AM3540" s="9"/>
      <c r="AN3540" s="9"/>
      <c r="AO3540" s="9"/>
      <c r="AP3540" s="9"/>
      <c r="AQ3540" s="9"/>
      <c r="AR3540" s="9"/>
      <c r="AS3540" s="9"/>
      <c r="AT3540" s="9"/>
      <c r="AU3540" s="9"/>
    </row>
    <row r="3541" spans="1:47" ht="15.75" customHeight="1">
      <c r="A3541" s="9"/>
      <c r="B3541" s="9"/>
      <c r="C3541" s="9"/>
      <c r="D3541" s="9"/>
      <c r="E3541" s="9"/>
      <c r="F3541" s="67"/>
      <c r="G3541" s="9"/>
      <c r="H3541" s="9"/>
      <c r="I3541" s="9"/>
      <c r="J3541" s="9"/>
      <c r="K3541" s="9"/>
      <c r="L3541" s="9"/>
      <c r="M3541" s="9"/>
      <c r="N3541" s="9"/>
      <c r="O3541" s="9"/>
      <c r="P3541" s="9"/>
      <c r="Q3541" s="9"/>
      <c r="R3541" s="9"/>
      <c r="S3541" s="9"/>
      <c r="T3541" s="9"/>
      <c r="U3541" s="9"/>
      <c r="V3541" s="9"/>
      <c r="W3541" s="9"/>
      <c r="X3541" s="9"/>
      <c r="Y3541" s="9"/>
      <c r="Z3541" s="9"/>
      <c r="AA3541" s="9"/>
      <c r="AB3541" s="9"/>
      <c r="AC3541" s="9"/>
      <c r="AD3541" s="9"/>
      <c r="AE3541" s="9"/>
      <c r="AF3541" s="9"/>
      <c r="AG3541" s="9"/>
      <c r="AH3541" s="9"/>
      <c r="AI3541" s="9"/>
      <c r="AJ3541" s="9"/>
      <c r="AK3541" s="9"/>
      <c r="AL3541" s="9"/>
      <c r="AM3541" s="9"/>
      <c r="AN3541" s="9"/>
      <c r="AO3541" s="9"/>
      <c r="AP3541" s="9"/>
      <c r="AQ3541" s="9"/>
      <c r="AR3541" s="9"/>
      <c r="AS3541" s="9"/>
      <c r="AT3541" s="9"/>
      <c r="AU3541" s="9"/>
    </row>
    <row r="3542" spans="1:47" ht="15.75" customHeight="1">
      <c r="A3542" s="9"/>
      <c r="B3542" s="9"/>
      <c r="C3542" s="9"/>
      <c r="D3542" s="9"/>
      <c r="E3542" s="9"/>
      <c r="F3542" s="67"/>
      <c r="G3542" s="9"/>
      <c r="H3542" s="9"/>
      <c r="I3542" s="9"/>
      <c r="J3542" s="9"/>
      <c r="K3542" s="9"/>
      <c r="L3542" s="9"/>
      <c r="M3542" s="9"/>
      <c r="N3542" s="9"/>
      <c r="O3542" s="9"/>
      <c r="P3542" s="9"/>
      <c r="Q3542" s="9"/>
      <c r="R3542" s="9"/>
      <c r="S3542" s="9"/>
      <c r="T3542" s="9"/>
      <c r="U3542" s="9"/>
      <c r="V3542" s="9"/>
      <c r="W3542" s="9"/>
      <c r="X3542" s="9"/>
      <c r="Y3542" s="9"/>
      <c r="Z3542" s="9"/>
      <c r="AA3542" s="9"/>
      <c r="AB3542" s="9"/>
      <c r="AC3542" s="9"/>
      <c r="AD3542" s="9"/>
      <c r="AE3542" s="9"/>
      <c r="AF3542" s="9"/>
      <c r="AG3542" s="9"/>
      <c r="AH3542" s="9"/>
      <c r="AI3542" s="9"/>
      <c r="AJ3542" s="9"/>
      <c r="AK3542" s="9"/>
      <c r="AL3542" s="9"/>
      <c r="AM3542" s="9"/>
      <c r="AN3542" s="9"/>
      <c r="AO3542" s="9"/>
      <c r="AP3542" s="9"/>
      <c r="AQ3542" s="9"/>
      <c r="AR3542" s="9"/>
      <c r="AS3542" s="9"/>
      <c r="AT3542" s="9"/>
      <c r="AU3542" s="9"/>
    </row>
    <row r="3543" spans="1:47" ht="15.75" customHeight="1">
      <c r="A3543" s="9"/>
      <c r="B3543" s="9"/>
      <c r="C3543" s="9"/>
      <c r="D3543" s="9"/>
      <c r="E3543" s="9"/>
      <c r="F3543" s="67"/>
      <c r="G3543" s="9"/>
      <c r="H3543" s="9"/>
      <c r="I3543" s="9"/>
      <c r="J3543" s="9"/>
      <c r="K3543" s="9"/>
      <c r="L3543" s="9"/>
      <c r="M3543" s="9"/>
      <c r="N3543" s="9"/>
      <c r="O3543" s="9"/>
      <c r="P3543" s="9"/>
      <c r="Q3543" s="9"/>
      <c r="R3543" s="9"/>
      <c r="S3543" s="9"/>
      <c r="T3543" s="9"/>
      <c r="U3543" s="9"/>
      <c r="V3543" s="9"/>
      <c r="W3543" s="9"/>
      <c r="X3543" s="9"/>
      <c r="Y3543" s="9"/>
      <c r="Z3543" s="9"/>
      <c r="AA3543" s="9"/>
      <c r="AB3543" s="9"/>
      <c r="AC3543" s="9"/>
      <c r="AD3543" s="9"/>
      <c r="AE3543" s="9"/>
      <c r="AF3543" s="9"/>
      <c r="AG3543" s="9"/>
      <c r="AH3543" s="9"/>
      <c r="AI3543" s="9"/>
      <c r="AJ3543" s="9"/>
      <c r="AK3543" s="9"/>
      <c r="AL3543" s="9"/>
      <c r="AM3543" s="9"/>
      <c r="AN3543" s="9"/>
      <c r="AO3543" s="9"/>
      <c r="AP3543" s="9"/>
      <c r="AQ3543" s="9"/>
      <c r="AR3543" s="9"/>
      <c r="AS3543" s="9"/>
      <c r="AT3543" s="9"/>
      <c r="AU3543" s="9"/>
    </row>
    <row r="3544" spans="1:47" ht="15.75" customHeight="1">
      <c r="A3544" s="9"/>
      <c r="B3544" s="9"/>
      <c r="C3544" s="9"/>
      <c r="D3544" s="9"/>
      <c r="E3544" s="9"/>
      <c r="F3544" s="67"/>
      <c r="G3544" s="9"/>
      <c r="H3544" s="9"/>
      <c r="I3544" s="9"/>
      <c r="J3544" s="9"/>
      <c r="K3544" s="9"/>
      <c r="L3544" s="9"/>
      <c r="M3544" s="9"/>
      <c r="N3544" s="9"/>
      <c r="O3544" s="9"/>
      <c r="P3544" s="9"/>
      <c r="Q3544" s="9"/>
      <c r="R3544" s="9"/>
      <c r="S3544" s="9"/>
      <c r="T3544" s="9"/>
      <c r="U3544" s="9"/>
      <c r="V3544" s="9"/>
      <c r="W3544" s="9"/>
      <c r="X3544" s="9"/>
      <c r="Y3544" s="9"/>
      <c r="Z3544" s="9"/>
      <c r="AA3544" s="9"/>
      <c r="AB3544" s="9"/>
      <c r="AC3544" s="9"/>
      <c r="AD3544" s="9"/>
      <c r="AE3544" s="9"/>
      <c r="AF3544" s="9"/>
      <c r="AG3544" s="9"/>
      <c r="AH3544" s="9"/>
      <c r="AI3544" s="9"/>
      <c r="AJ3544" s="9"/>
      <c r="AK3544" s="9"/>
      <c r="AL3544" s="9"/>
      <c r="AM3544" s="9"/>
      <c r="AN3544" s="9"/>
      <c r="AO3544" s="9"/>
      <c r="AP3544" s="9"/>
      <c r="AQ3544" s="9"/>
      <c r="AR3544" s="9"/>
      <c r="AS3544" s="9"/>
      <c r="AT3544" s="9"/>
      <c r="AU3544" s="9"/>
    </row>
    <row r="3545" spans="1:47" ht="15.75" customHeight="1">
      <c r="A3545" s="9"/>
      <c r="B3545" s="9"/>
      <c r="C3545" s="9"/>
      <c r="D3545" s="9"/>
      <c r="E3545" s="9"/>
      <c r="F3545" s="67"/>
      <c r="G3545" s="9"/>
      <c r="H3545" s="9"/>
      <c r="I3545" s="9"/>
      <c r="J3545" s="9"/>
      <c r="K3545" s="9"/>
      <c r="L3545" s="9"/>
      <c r="M3545" s="9"/>
      <c r="N3545" s="9"/>
      <c r="O3545" s="9"/>
      <c r="P3545" s="9"/>
      <c r="Q3545" s="9"/>
      <c r="R3545" s="9"/>
      <c r="S3545" s="9"/>
      <c r="T3545" s="9"/>
      <c r="U3545" s="9"/>
      <c r="V3545" s="9"/>
      <c r="W3545" s="9"/>
      <c r="X3545" s="9"/>
      <c r="Y3545" s="9"/>
      <c r="Z3545" s="9"/>
      <c r="AA3545" s="9"/>
      <c r="AB3545" s="9"/>
      <c r="AC3545" s="9"/>
      <c r="AD3545" s="9"/>
      <c r="AE3545" s="9"/>
      <c r="AF3545" s="9"/>
      <c r="AG3545" s="9"/>
      <c r="AH3545" s="9"/>
      <c r="AI3545" s="9"/>
      <c r="AJ3545" s="9"/>
      <c r="AK3545" s="9"/>
      <c r="AL3545" s="9"/>
      <c r="AM3545" s="9"/>
      <c r="AN3545" s="9"/>
      <c r="AO3545" s="9"/>
      <c r="AP3545" s="9"/>
      <c r="AQ3545" s="9"/>
      <c r="AR3545" s="9"/>
      <c r="AS3545" s="9"/>
      <c r="AT3545" s="9"/>
      <c r="AU3545" s="9"/>
    </row>
    <row r="3546" spans="1:47" ht="15.75" customHeight="1">
      <c r="A3546" s="9"/>
      <c r="B3546" s="9"/>
      <c r="C3546" s="9"/>
      <c r="D3546" s="9"/>
      <c r="E3546" s="9"/>
      <c r="F3546" s="67"/>
      <c r="G3546" s="9"/>
      <c r="H3546" s="9"/>
      <c r="I3546" s="9"/>
      <c r="J3546" s="9"/>
      <c r="K3546" s="9"/>
      <c r="L3546" s="9"/>
      <c r="M3546" s="9"/>
      <c r="N3546" s="9"/>
      <c r="O3546" s="9"/>
      <c r="P3546" s="9"/>
      <c r="Q3546" s="9"/>
      <c r="R3546" s="9"/>
      <c r="S3546" s="9"/>
      <c r="T3546" s="9"/>
      <c r="U3546" s="9"/>
      <c r="V3546" s="9"/>
      <c r="W3546" s="9"/>
      <c r="X3546" s="9"/>
      <c r="Y3546" s="9"/>
      <c r="Z3546" s="9"/>
      <c r="AA3546" s="9"/>
      <c r="AB3546" s="9"/>
      <c r="AC3546" s="9"/>
      <c r="AD3546" s="9"/>
      <c r="AE3546" s="9"/>
      <c r="AF3546" s="9"/>
      <c r="AG3546" s="9"/>
      <c r="AH3546" s="9"/>
      <c r="AI3546" s="9"/>
      <c r="AJ3546" s="9"/>
      <c r="AK3546" s="9"/>
      <c r="AL3546" s="9"/>
      <c r="AM3546" s="9"/>
      <c r="AN3546" s="9"/>
      <c r="AO3546" s="9"/>
      <c r="AP3546" s="9"/>
      <c r="AQ3546" s="9"/>
      <c r="AR3546" s="9"/>
      <c r="AS3546" s="9"/>
      <c r="AT3546" s="9"/>
      <c r="AU3546" s="9"/>
    </row>
    <row r="3547" spans="1:47" ht="15.75" customHeight="1">
      <c r="A3547" s="9"/>
      <c r="B3547" s="9"/>
      <c r="C3547" s="9"/>
      <c r="D3547" s="9"/>
      <c r="E3547" s="9"/>
      <c r="F3547" s="67"/>
      <c r="G3547" s="9"/>
      <c r="H3547" s="9"/>
      <c r="I3547" s="9"/>
      <c r="J3547" s="9"/>
      <c r="K3547" s="9"/>
      <c r="L3547" s="9"/>
      <c r="M3547" s="9"/>
      <c r="N3547" s="9"/>
      <c r="O3547" s="9"/>
      <c r="P3547" s="9"/>
      <c r="Q3547" s="9"/>
      <c r="R3547" s="9"/>
      <c r="S3547" s="9"/>
      <c r="T3547" s="9"/>
      <c r="U3547" s="9"/>
      <c r="V3547" s="9"/>
      <c r="W3547" s="9"/>
      <c r="X3547" s="9"/>
      <c r="Y3547" s="9"/>
      <c r="Z3547" s="9"/>
      <c r="AA3547" s="9"/>
      <c r="AB3547" s="9"/>
      <c r="AC3547" s="9"/>
      <c r="AD3547" s="9"/>
      <c r="AE3547" s="9"/>
      <c r="AF3547" s="9"/>
      <c r="AG3547" s="9"/>
      <c r="AH3547" s="9"/>
      <c r="AI3547" s="9"/>
      <c r="AJ3547" s="9"/>
      <c r="AK3547" s="9"/>
      <c r="AL3547" s="9"/>
      <c r="AM3547" s="9"/>
      <c r="AN3547" s="9"/>
      <c r="AO3547" s="9"/>
      <c r="AP3547" s="9"/>
      <c r="AQ3547" s="9"/>
      <c r="AR3547" s="9"/>
      <c r="AS3547" s="9"/>
      <c r="AT3547" s="9"/>
      <c r="AU3547" s="9"/>
    </row>
    <row r="3548" spans="1:47" ht="15.75" customHeight="1">
      <c r="A3548" s="9"/>
      <c r="B3548" s="9"/>
      <c r="C3548" s="9"/>
      <c r="D3548" s="9"/>
      <c r="E3548" s="9"/>
      <c r="F3548" s="67"/>
      <c r="G3548" s="9"/>
      <c r="H3548" s="9"/>
      <c r="I3548" s="9"/>
      <c r="J3548" s="9"/>
      <c r="K3548" s="9"/>
      <c r="L3548" s="9"/>
      <c r="M3548" s="9"/>
      <c r="N3548" s="9"/>
      <c r="O3548" s="9"/>
      <c r="P3548" s="9"/>
      <c r="Q3548" s="9"/>
      <c r="R3548" s="9"/>
      <c r="S3548" s="9"/>
      <c r="T3548" s="9"/>
      <c r="U3548" s="9"/>
      <c r="V3548" s="9"/>
      <c r="W3548" s="9"/>
      <c r="X3548" s="9"/>
      <c r="Y3548" s="9"/>
      <c r="Z3548" s="9"/>
      <c r="AA3548" s="9"/>
      <c r="AB3548" s="9"/>
      <c r="AC3548" s="9"/>
      <c r="AD3548" s="9"/>
      <c r="AE3548" s="9"/>
      <c r="AF3548" s="9"/>
      <c r="AG3548" s="9"/>
      <c r="AH3548" s="9"/>
      <c r="AI3548" s="9"/>
      <c r="AJ3548" s="9"/>
      <c r="AK3548" s="9"/>
      <c r="AL3548" s="9"/>
      <c r="AM3548" s="9"/>
      <c r="AN3548" s="9"/>
      <c r="AO3548" s="9"/>
      <c r="AP3548" s="9"/>
      <c r="AQ3548" s="9"/>
      <c r="AR3548" s="9"/>
      <c r="AS3548" s="9"/>
      <c r="AT3548" s="9"/>
      <c r="AU3548" s="9"/>
    </row>
    <row r="3549" spans="1:47" ht="15.75" customHeight="1">
      <c r="A3549" s="9"/>
      <c r="B3549" s="9"/>
      <c r="C3549" s="9"/>
      <c r="D3549" s="9"/>
      <c r="E3549" s="9"/>
      <c r="F3549" s="67"/>
      <c r="G3549" s="9"/>
      <c r="H3549" s="9"/>
      <c r="I3549" s="9"/>
      <c r="J3549" s="9"/>
      <c r="K3549" s="9"/>
      <c r="L3549" s="9"/>
      <c r="M3549" s="9"/>
      <c r="N3549" s="9"/>
      <c r="O3549" s="9"/>
      <c r="P3549" s="9"/>
      <c r="Q3549" s="9"/>
      <c r="R3549" s="9"/>
      <c r="S3549" s="9"/>
      <c r="T3549" s="9"/>
      <c r="U3549" s="9"/>
      <c r="V3549" s="9"/>
      <c r="W3549" s="9"/>
      <c r="X3549" s="9"/>
      <c r="Y3549" s="9"/>
      <c r="Z3549" s="9"/>
      <c r="AA3549" s="9"/>
      <c r="AB3549" s="9"/>
      <c r="AC3549" s="9"/>
      <c r="AD3549" s="9"/>
      <c r="AE3549" s="9"/>
      <c r="AF3549" s="9"/>
      <c r="AG3549" s="9"/>
      <c r="AH3549" s="9"/>
      <c r="AI3549" s="9"/>
      <c r="AJ3549" s="9"/>
      <c r="AK3549" s="9"/>
      <c r="AL3549" s="9"/>
      <c r="AM3549" s="9"/>
      <c r="AN3549" s="9"/>
      <c r="AO3549" s="9"/>
      <c r="AP3549" s="9"/>
      <c r="AQ3549" s="9"/>
      <c r="AR3549" s="9"/>
      <c r="AS3549" s="9"/>
      <c r="AT3549" s="9"/>
      <c r="AU3549" s="9"/>
    </row>
    <row r="3550" spans="1:47" ht="15.75" customHeight="1">
      <c r="A3550" s="9"/>
      <c r="B3550" s="9"/>
      <c r="C3550" s="9"/>
      <c r="D3550" s="9"/>
      <c r="E3550" s="9"/>
      <c r="F3550" s="67"/>
      <c r="G3550" s="9"/>
      <c r="H3550" s="9"/>
      <c r="I3550" s="9"/>
      <c r="J3550" s="9"/>
      <c r="K3550" s="9"/>
      <c r="L3550" s="9"/>
      <c r="M3550" s="9"/>
      <c r="N3550" s="9"/>
      <c r="O3550" s="9"/>
      <c r="P3550" s="9"/>
      <c r="Q3550" s="9"/>
      <c r="R3550" s="9"/>
      <c r="S3550" s="9"/>
      <c r="T3550" s="9"/>
      <c r="U3550" s="9"/>
      <c r="V3550" s="9"/>
      <c r="W3550" s="9"/>
      <c r="X3550" s="9"/>
      <c r="Y3550" s="9"/>
      <c r="Z3550" s="9"/>
      <c r="AA3550" s="9"/>
      <c r="AB3550" s="9"/>
      <c r="AC3550" s="9"/>
      <c r="AD3550" s="9"/>
      <c r="AE3550" s="9"/>
      <c r="AF3550" s="9"/>
      <c r="AG3550" s="9"/>
      <c r="AH3550" s="9"/>
      <c r="AI3550" s="9"/>
      <c r="AJ3550" s="9"/>
      <c r="AK3550" s="9"/>
      <c r="AL3550" s="9"/>
      <c r="AM3550" s="9"/>
      <c r="AN3550" s="9"/>
      <c r="AO3550" s="9"/>
      <c r="AP3550" s="9"/>
      <c r="AQ3550" s="9"/>
      <c r="AR3550" s="9"/>
      <c r="AS3550" s="9"/>
      <c r="AT3550" s="9"/>
      <c r="AU3550" s="9"/>
    </row>
    <row r="3551" spans="1:47" ht="15.75" customHeight="1">
      <c r="A3551" s="9"/>
      <c r="B3551" s="9"/>
      <c r="C3551" s="9"/>
      <c r="D3551" s="9"/>
      <c r="E3551" s="9"/>
      <c r="F3551" s="67"/>
      <c r="G3551" s="9"/>
      <c r="H3551" s="9"/>
      <c r="I3551" s="9"/>
      <c r="J3551" s="9"/>
      <c r="K3551" s="9"/>
      <c r="L3551" s="9"/>
      <c r="M3551" s="9"/>
      <c r="N3551" s="9"/>
      <c r="O3551" s="9"/>
      <c r="P3551" s="9"/>
      <c r="Q3551" s="9"/>
      <c r="R3551" s="9"/>
      <c r="S3551" s="9"/>
      <c r="T3551" s="9"/>
      <c r="U3551" s="9"/>
      <c r="V3551" s="9"/>
      <c r="W3551" s="9"/>
      <c r="X3551" s="9"/>
      <c r="Y3551" s="9"/>
      <c r="Z3551" s="9"/>
      <c r="AA3551" s="9"/>
      <c r="AB3551" s="9"/>
      <c r="AC3551" s="9"/>
      <c r="AD3551" s="9"/>
      <c r="AE3551" s="9"/>
      <c r="AF3551" s="9"/>
      <c r="AG3551" s="9"/>
      <c r="AH3551" s="9"/>
      <c r="AI3551" s="9"/>
      <c r="AJ3551" s="9"/>
      <c r="AK3551" s="9"/>
      <c r="AL3551" s="9"/>
      <c r="AM3551" s="9"/>
      <c r="AN3551" s="9"/>
      <c r="AO3551" s="9"/>
      <c r="AP3551" s="9"/>
      <c r="AQ3551" s="9"/>
      <c r="AR3551" s="9"/>
      <c r="AS3551" s="9"/>
      <c r="AT3551" s="9"/>
      <c r="AU3551" s="9"/>
    </row>
    <row r="3552" spans="1:47" ht="15.75" customHeight="1">
      <c r="A3552" s="9"/>
      <c r="B3552" s="9"/>
      <c r="C3552" s="9"/>
      <c r="D3552" s="9"/>
      <c r="E3552" s="9"/>
      <c r="F3552" s="67"/>
      <c r="G3552" s="9"/>
      <c r="H3552" s="9"/>
      <c r="I3552" s="9"/>
      <c r="J3552" s="9"/>
      <c r="K3552" s="9"/>
      <c r="L3552" s="9"/>
      <c r="M3552" s="9"/>
      <c r="N3552" s="9"/>
      <c r="O3552" s="9"/>
      <c r="P3552" s="9"/>
      <c r="Q3552" s="9"/>
      <c r="R3552" s="9"/>
      <c r="S3552" s="9"/>
      <c r="T3552" s="9"/>
      <c r="U3552" s="9"/>
      <c r="V3552" s="9"/>
      <c r="W3552" s="9"/>
      <c r="X3552" s="9"/>
      <c r="Y3552" s="9"/>
      <c r="Z3552" s="9"/>
      <c r="AA3552" s="9"/>
      <c r="AB3552" s="9"/>
      <c r="AC3552" s="9"/>
      <c r="AD3552" s="9"/>
      <c r="AE3552" s="9"/>
      <c r="AF3552" s="9"/>
      <c r="AG3552" s="9"/>
      <c r="AH3552" s="9"/>
      <c r="AI3552" s="9"/>
      <c r="AJ3552" s="9"/>
      <c r="AK3552" s="9"/>
      <c r="AL3552" s="9"/>
      <c r="AM3552" s="9"/>
      <c r="AN3552" s="9"/>
      <c r="AO3552" s="9"/>
      <c r="AP3552" s="9"/>
      <c r="AQ3552" s="9"/>
      <c r="AR3552" s="9"/>
      <c r="AS3552" s="9"/>
      <c r="AT3552" s="9"/>
      <c r="AU3552" s="9"/>
    </row>
    <row r="3553" spans="1:47" ht="15.75" customHeight="1">
      <c r="A3553" s="9"/>
      <c r="B3553" s="9"/>
      <c r="C3553" s="9"/>
      <c r="D3553" s="9"/>
      <c r="E3553" s="9"/>
      <c r="F3553" s="67"/>
      <c r="G3553" s="9"/>
      <c r="H3553" s="9"/>
      <c r="I3553" s="9"/>
      <c r="J3553" s="9"/>
      <c r="K3553" s="9"/>
      <c r="L3553" s="9"/>
      <c r="M3553" s="9"/>
      <c r="N3553" s="9"/>
      <c r="O3553" s="9"/>
      <c r="P3553" s="9"/>
      <c r="Q3553" s="9"/>
      <c r="R3553" s="9"/>
      <c r="S3553" s="9"/>
      <c r="T3553" s="9"/>
      <c r="U3553" s="9"/>
      <c r="V3553" s="9"/>
      <c r="W3553" s="9"/>
      <c r="X3553" s="9"/>
      <c r="Y3553" s="9"/>
      <c r="Z3553" s="9"/>
      <c r="AA3553" s="9"/>
      <c r="AB3553" s="9"/>
      <c r="AC3553" s="9"/>
      <c r="AD3553" s="9"/>
      <c r="AE3553" s="9"/>
      <c r="AF3553" s="9"/>
      <c r="AG3553" s="9"/>
      <c r="AH3553" s="9"/>
      <c r="AI3553" s="9"/>
      <c r="AJ3553" s="9"/>
      <c r="AK3553" s="9"/>
      <c r="AL3553" s="9"/>
      <c r="AM3553" s="9"/>
      <c r="AN3553" s="9"/>
      <c r="AO3553" s="9"/>
      <c r="AP3553" s="9"/>
      <c r="AQ3553" s="9"/>
      <c r="AR3553" s="9"/>
      <c r="AS3553" s="9"/>
      <c r="AT3553" s="9"/>
      <c r="AU3553" s="9"/>
    </row>
    <row r="3554" spans="1:47" ht="15.75" customHeight="1">
      <c r="A3554" s="9"/>
      <c r="B3554" s="9"/>
      <c r="C3554" s="9"/>
      <c r="D3554" s="9"/>
      <c r="E3554" s="9"/>
      <c r="F3554" s="67"/>
      <c r="G3554" s="9"/>
      <c r="H3554" s="9"/>
      <c r="I3554" s="9"/>
      <c r="J3554" s="9"/>
      <c r="K3554" s="9"/>
      <c r="L3554" s="9"/>
      <c r="M3554" s="9"/>
      <c r="N3554" s="9"/>
      <c r="O3554" s="9"/>
      <c r="P3554" s="9"/>
      <c r="Q3554" s="9"/>
      <c r="R3554" s="9"/>
      <c r="S3554" s="9"/>
      <c r="T3554" s="9"/>
      <c r="U3554" s="9"/>
      <c r="V3554" s="9"/>
      <c r="W3554" s="9"/>
      <c r="X3554" s="9"/>
      <c r="Y3554" s="9"/>
      <c r="Z3554" s="9"/>
      <c r="AA3554" s="9"/>
      <c r="AB3554" s="9"/>
      <c r="AC3554" s="9"/>
      <c r="AD3554" s="9"/>
      <c r="AE3554" s="9"/>
      <c r="AF3554" s="9"/>
      <c r="AG3554" s="9"/>
      <c r="AH3554" s="9"/>
      <c r="AI3554" s="9"/>
      <c r="AJ3554" s="9"/>
      <c r="AK3554" s="9"/>
      <c r="AL3554" s="9"/>
      <c r="AM3554" s="9"/>
      <c r="AN3554" s="9"/>
      <c r="AO3554" s="9"/>
      <c r="AP3554" s="9"/>
      <c r="AQ3554" s="9"/>
      <c r="AR3554" s="9"/>
      <c r="AS3554" s="9"/>
      <c r="AT3554" s="9"/>
      <c r="AU3554" s="9"/>
    </row>
    <row r="3555" spans="1:47" ht="15.75" customHeight="1">
      <c r="A3555" s="9"/>
      <c r="B3555" s="9"/>
      <c r="C3555" s="9"/>
      <c r="D3555" s="9"/>
      <c r="E3555" s="9"/>
      <c r="F3555" s="67"/>
      <c r="G3555" s="9"/>
      <c r="H3555" s="9"/>
      <c r="I3555" s="9"/>
      <c r="J3555" s="9"/>
      <c r="K3555" s="9"/>
      <c r="L3555" s="9"/>
      <c r="M3555" s="9"/>
      <c r="N3555" s="9"/>
      <c r="O3555" s="9"/>
      <c r="P3555" s="9"/>
      <c r="Q3555" s="9"/>
      <c r="R3555" s="9"/>
      <c r="S3555" s="9"/>
      <c r="T3555" s="9"/>
      <c r="U3555" s="9"/>
      <c r="V3555" s="9"/>
      <c r="W3555" s="9"/>
      <c r="X3555" s="9"/>
      <c r="Y3555" s="9"/>
      <c r="Z3555" s="9"/>
      <c r="AA3555" s="9"/>
      <c r="AB3555" s="9"/>
      <c r="AC3555" s="9"/>
      <c r="AD3555" s="9"/>
      <c r="AE3555" s="9"/>
      <c r="AF3555" s="9"/>
      <c r="AG3555" s="9"/>
      <c r="AH3555" s="9"/>
      <c r="AI3555" s="9"/>
      <c r="AJ3555" s="9"/>
      <c r="AK3555" s="9"/>
      <c r="AL3555" s="9"/>
      <c r="AM3555" s="9"/>
      <c r="AN3555" s="9"/>
      <c r="AO3555" s="9"/>
      <c r="AP3555" s="9"/>
      <c r="AQ3555" s="9"/>
      <c r="AR3555" s="9"/>
      <c r="AS3555" s="9"/>
      <c r="AT3555" s="9"/>
      <c r="AU3555" s="9"/>
    </row>
    <row r="3556" spans="1:47" ht="15.75" customHeight="1">
      <c r="A3556" s="9"/>
      <c r="B3556" s="9"/>
      <c r="C3556" s="9"/>
      <c r="D3556" s="9"/>
      <c r="E3556" s="9"/>
      <c r="F3556" s="67"/>
      <c r="G3556" s="9"/>
      <c r="H3556" s="9"/>
      <c r="I3556" s="9"/>
      <c r="J3556" s="9"/>
      <c r="K3556" s="9"/>
      <c r="L3556" s="9"/>
      <c r="M3556" s="9"/>
      <c r="N3556" s="9"/>
      <c r="O3556" s="9"/>
      <c r="P3556" s="9"/>
      <c r="Q3556" s="9"/>
      <c r="R3556" s="9"/>
      <c r="S3556" s="9"/>
      <c r="T3556" s="9"/>
      <c r="U3556" s="9"/>
      <c r="V3556" s="9"/>
      <c r="W3556" s="9"/>
      <c r="X3556" s="9"/>
      <c r="Y3556" s="9"/>
      <c r="Z3556" s="9"/>
      <c r="AA3556" s="9"/>
      <c r="AB3556" s="9"/>
      <c r="AC3556" s="9"/>
      <c r="AD3556" s="9"/>
      <c r="AE3556" s="9"/>
      <c r="AF3556" s="9"/>
      <c r="AG3556" s="9"/>
      <c r="AH3556" s="9"/>
      <c r="AI3556" s="9"/>
      <c r="AJ3556" s="9"/>
      <c r="AK3556" s="9"/>
      <c r="AL3556" s="9"/>
      <c r="AM3556" s="9"/>
      <c r="AN3556" s="9"/>
      <c r="AO3556" s="9"/>
      <c r="AP3556" s="9"/>
      <c r="AQ3556" s="9"/>
      <c r="AR3556" s="9"/>
      <c r="AS3556" s="9"/>
      <c r="AT3556" s="9"/>
      <c r="AU3556" s="9"/>
    </row>
    <row r="3557" spans="1:47" ht="15.75" customHeight="1">
      <c r="A3557" s="9"/>
      <c r="B3557" s="9"/>
      <c r="C3557" s="9"/>
      <c r="D3557" s="9"/>
      <c r="E3557" s="9"/>
      <c r="F3557" s="67"/>
      <c r="G3557" s="9"/>
      <c r="H3557" s="9"/>
      <c r="I3557" s="9"/>
      <c r="J3557" s="9"/>
      <c r="K3557" s="9"/>
      <c r="L3557" s="9"/>
      <c r="M3557" s="9"/>
      <c r="N3557" s="9"/>
      <c r="O3557" s="9"/>
      <c r="P3557" s="9"/>
      <c r="Q3557" s="9"/>
      <c r="R3557" s="9"/>
      <c r="S3557" s="9"/>
      <c r="T3557" s="9"/>
      <c r="U3557" s="9"/>
      <c r="V3557" s="9"/>
      <c r="W3557" s="9"/>
      <c r="X3557" s="9"/>
      <c r="Y3557" s="9"/>
      <c r="Z3557" s="9"/>
      <c r="AA3557" s="9"/>
      <c r="AB3557" s="9"/>
      <c r="AC3557" s="9"/>
      <c r="AD3557" s="9"/>
      <c r="AE3557" s="9"/>
      <c r="AF3557" s="9"/>
      <c r="AG3557" s="9"/>
      <c r="AH3557" s="9"/>
      <c r="AI3557" s="9"/>
      <c r="AJ3557" s="9"/>
      <c r="AK3557" s="9"/>
      <c r="AL3557" s="9"/>
      <c r="AM3557" s="9"/>
      <c r="AN3557" s="9"/>
      <c r="AO3557" s="9"/>
      <c r="AP3557" s="9"/>
      <c r="AQ3557" s="9"/>
      <c r="AR3557" s="9"/>
      <c r="AS3557" s="9"/>
      <c r="AT3557" s="9"/>
      <c r="AU3557" s="9"/>
    </row>
    <row r="3558" spans="1:47" ht="15.75" customHeight="1">
      <c r="A3558" s="9"/>
      <c r="B3558" s="9"/>
      <c r="C3558" s="9"/>
      <c r="D3558" s="9"/>
      <c r="E3558" s="9"/>
      <c r="F3558" s="67"/>
      <c r="G3558" s="9"/>
      <c r="H3558" s="9"/>
      <c r="I3558" s="9"/>
      <c r="J3558" s="9"/>
      <c r="K3558" s="9"/>
      <c r="L3558" s="9"/>
      <c r="M3558" s="9"/>
      <c r="N3558" s="9"/>
      <c r="O3558" s="9"/>
      <c r="P3558" s="9"/>
      <c r="Q3558" s="9"/>
      <c r="R3558" s="9"/>
      <c r="S3558" s="9"/>
      <c r="T3558" s="9"/>
      <c r="U3558" s="9"/>
      <c r="V3558" s="9"/>
      <c r="W3558" s="9"/>
      <c r="X3558" s="9"/>
      <c r="Y3558" s="9"/>
      <c r="Z3558" s="9"/>
      <c r="AA3558" s="9"/>
      <c r="AB3558" s="9"/>
      <c r="AC3558" s="9"/>
      <c r="AD3558" s="9"/>
      <c r="AE3558" s="9"/>
      <c r="AF3558" s="9"/>
      <c r="AG3558" s="9"/>
      <c r="AH3558" s="9"/>
      <c r="AI3558" s="9"/>
      <c r="AJ3558" s="9"/>
      <c r="AK3558" s="9"/>
      <c r="AL3558" s="9"/>
      <c r="AM3558" s="9"/>
      <c r="AN3558" s="9"/>
      <c r="AO3558" s="9"/>
      <c r="AP3558" s="9"/>
      <c r="AQ3558" s="9"/>
      <c r="AR3558" s="9"/>
      <c r="AS3558" s="9"/>
      <c r="AT3558" s="9"/>
      <c r="AU3558" s="9"/>
    </row>
    <row r="3559" spans="1:47" ht="15.75" customHeight="1">
      <c r="A3559" s="9"/>
      <c r="B3559" s="9"/>
      <c r="C3559" s="9"/>
      <c r="D3559" s="9"/>
      <c r="E3559" s="9"/>
      <c r="F3559" s="67"/>
      <c r="G3559" s="9"/>
      <c r="H3559" s="9"/>
      <c r="I3559" s="9"/>
      <c r="J3559" s="9"/>
      <c r="K3559" s="9"/>
      <c r="L3559" s="9"/>
      <c r="M3559" s="9"/>
      <c r="N3559" s="9"/>
      <c r="O3559" s="9"/>
      <c r="P3559" s="9"/>
      <c r="Q3559" s="9"/>
      <c r="R3559" s="9"/>
      <c r="S3559" s="9"/>
      <c r="T3559" s="9"/>
      <c r="U3559" s="9"/>
      <c r="V3559" s="9"/>
      <c r="W3559" s="9"/>
      <c r="X3559" s="9"/>
      <c r="Y3559" s="9"/>
      <c r="Z3559" s="9"/>
      <c r="AA3559" s="9"/>
      <c r="AB3559" s="9"/>
      <c r="AC3559" s="9"/>
      <c r="AD3559" s="9"/>
      <c r="AE3559" s="9"/>
      <c r="AF3559" s="9"/>
      <c r="AG3559" s="9"/>
      <c r="AH3559" s="9"/>
      <c r="AI3559" s="9"/>
      <c r="AJ3559" s="9"/>
      <c r="AK3559" s="9"/>
      <c r="AL3559" s="9"/>
      <c r="AM3559" s="9"/>
      <c r="AN3559" s="9"/>
      <c r="AO3559" s="9"/>
      <c r="AP3559" s="9"/>
      <c r="AQ3559" s="9"/>
      <c r="AR3559" s="9"/>
      <c r="AS3559" s="9"/>
      <c r="AT3559" s="9"/>
      <c r="AU3559" s="9"/>
    </row>
    <row r="3560" spans="1:47" ht="15.75" customHeight="1">
      <c r="A3560" s="9"/>
      <c r="B3560" s="9"/>
      <c r="C3560" s="9"/>
      <c r="D3560" s="9"/>
      <c r="E3560" s="9"/>
      <c r="F3560" s="67"/>
      <c r="G3560" s="9"/>
      <c r="H3560" s="9"/>
      <c r="I3560" s="9"/>
      <c r="J3560" s="9"/>
      <c r="K3560" s="9"/>
      <c r="L3560" s="9"/>
      <c r="M3560" s="9"/>
      <c r="N3560" s="9"/>
      <c r="O3560" s="9"/>
      <c r="P3560" s="9"/>
      <c r="Q3560" s="9"/>
      <c r="R3560" s="9"/>
      <c r="S3560" s="9"/>
      <c r="T3560" s="9"/>
      <c r="U3560" s="9"/>
      <c r="V3560" s="9"/>
      <c r="W3560" s="9"/>
      <c r="X3560" s="9"/>
      <c r="Y3560" s="9"/>
      <c r="Z3560" s="9"/>
      <c r="AA3560" s="9"/>
      <c r="AB3560" s="9"/>
      <c r="AC3560" s="9"/>
      <c r="AD3560" s="9"/>
      <c r="AE3560" s="9"/>
      <c r="AF3560" s="9"/>
      <c r="AG3560" s="9"/>
      <c r="AH3560" s="9"/>
      <c r="AI3560" s="9"/>
      <c r="AJ3560" s="9"/>
      <c r="AK3560" s="9"/>
      <c r="AL3560" s="9"/>
      <c r="AM3560" s="9"/>
      <c r="AN3560" s="9"/>
      <c r="AO3560" s="9"/>
      <c r="AP3560" s="9"/>
      <c r="AQ3560" s="9"/>
      <c r="AR3560" s="9"/>
      <c r="AS3560" s="9"/>
      <c r="AT3560" s="9"/>
      <c r="AU3560" s="9"/>
    </row>
    <row r="3561" spans="1:47" ht="15.75" customHeight="1">
      <c r="A3561" s="9"/>
      <c r="B3561" s="9"/>
      <c r="C3561" s="9"/>
      <c r="D3561" s="9"/>
      <c r="E3561" s="9"/>
      <c r="F3561" s="67"/>
      <c r="G3561" s="9"/>
      <c r="H3561" s="9"/>
      <c r="I3561" s="9"/>
      <c r="J3561" s="9"/>
      <c r="K3561" s="9"/>
      <c r="L3561" s="9"/>
      <c r="M3561" s="9"/>
      <c r="N3561" s="9"/>
      <c r="O3561" s="9"/>
      <c r="P3561" s="9"/>
      <c r="Q3561" s="9"/>
      <c r="R3561" s="9"/>
      <c r="S3561" s="9"/>
      <c r="T3561" s="9"/>
      <c r="U3561" s="9"/>
      <c r="V3561" s="9"/>
      <c r="W3561" s="9"/>
      <c r="X3561" s="9"/>
      <c r="Y3561" s="9"/>
      <c r="Z3561" s="9"/>
      <c r="AA3561" s="9"/>
      <c r="AB3561" s="9"/>
      <c r="AC3561" s="9"/>
      <c r="AD3561" s="9"/>
      <c r="AE3561" s="9"/>
      <c r="AF3561" s="9"/>
      <c r="AG3561" s="9"/>
      <c r="AH3561" s="9"/>
      <c r="AI3561" s="9"/>
      <c r="AJ3561" s="9"/>
      <c r="AK3561" s="9"/>
      <c r="AL3561" s="9"/>
      <c r="AM3561" s="9"/>
      <c r="AN3561" s="9"/>
      <c r="AO3561" s="9"/>
      <c r="AP3561" s="9"/>
      <c r="AQ3561" s="9"/>
      <c r="AR3561" s="9"/>
      <c r="AS3561" s="9"/>
      <c r="AT3561" s="9"/>
      <c r="AU3561" s="9"/>
    </row>
    <row r="3562" spans="1:47" ht="15.75" customHeight="1">
      <c r="A3562" s="9"/>
      <c r="B3562" s="9"/>
      <c r="C3562" s="9"/>
      <c r="D3562" s="9"/>
      <c r="E3562" s="9"/>
      <c r="F3562" s="67"/>
      <c r="G3562" s="9"/>
      <c r="H3562" s="9"/>
      <c r="I3562" s="9"/>
      <c r="J3562" s="9"/>
      <c r="K3562" s="9"/>
      <c r="L3562" s="9"/>
      <c r="M3562" s="9"/>
      <c r="N3562" s="9"/>
      <c r="O3562" s="9"/>
      <c r="P3562" s="9"/>
      <c r="Q3562" s="9"/>
      <c r="R3562" s="9"/>
      <c r="S3562" s="9"/>
      <c r="T3562" s="9"/>
      <c r="U3562" s="9"/>
      <c r="V3562" s="9"/>
      <c r="W3562" s="9"/>
      <c r="X3562" s="9"/>
      <c r="Y3562" s="9"/>
      <c r="Z3562" s="9"/>
      <c r="AA3562" s="9"/>
      <c r="AB3562" s="9"/>
      <c r="AC3562" s="9"/>
      <c r="AD3562" s="9"/>
      <c r="AE3562" s="9"/>
      <c r="AF3562" s="9"/>
      <c r="AG3562" s="9"/>
      <c r="AH3562" s="9"/>
      <c r="AI3562" s="9"/>
      <c r="AJ3562" s="9"/>
      <c r="AK3562" s="9"/>
      <c r="AL3562" s="9"/>
      <c r="AM3562" s="9"/>
      <c r="AN3562" s="9"/>
      <c r="AO3562" s="9"/>
      <c r="AP3562" s="9"/>
      <c r="AQ3562" s="9"/>
      <c r="AR3562" s="9"/>
      <c r="AS3562" s="9"/>
      <c r="AT3562" s="9"/>
      <c r="AU3562" s="9"/>
    </row>
    <row r="3563" spans="1:47" ht="15.75" customHeight="1">
      <c r="A3563" s="9"/>
      <c r="B3563" s="9"/>
      <c r="C3563" s="9"/>
      <c r="D3563" s="9"/>
      <c r="E3563" s="9"/>
      <c r="F3563" s="67"/>
      <c r="G3563" s="9"/>
      <c r="H3563" s="9"/>
      <c r="I3563" s="9"/>
      <c r="J3563" s="9"/>
      <c r="K3563" s="9"/>
      <c r="L3563" s="9"/>
      <c r="M3563" s="9"/>
      <c r="N3563" s="9"/>
      <c r="O3563" s="9"/>
      <c r="P3563" s="9"/>
      <c r="Q3563" s="9"/>
      <c r="R3563" s="9"/>
      <c r="S3563" s="9"/>
      <c r="T3563" s="9"/>
      <c r="U3563" s="9"/>
      <c r="V3563" s="9"/>
      <c r="W3563" s="9"/>
      <c r="X3563" s="9"/>
      <c r="Y3563" s="9"/>
      <c r="Z3563" s="9"/>
      <c r="AA3563" s="9"/>
      <c r="AB3563" s="9"/>
      <c r="AC3563" s="9"/>
      <c r="AD3563" s="9"/>
      <c r="AE3563" s="9"/>
      <c r="AF3563" s="9"/>
      <c r="AG3563" s="9"/>
      <c r="AH3563" s="9"/>
      <c r="AI3563" s="9"/>
      <c r="AJ3563" s="9"/>
      <c r="AK3563" s="9"/>
      <c r="AL3563" s="9"/>
      <c r="AM3563" s="9"/>
      <c r="AN3563" s="9"/>
      <c r="AO3563" s="9"/>
      <c r="AP3563" s="9"/>
      <c r="AQ3563" s="9"/>
      <c r="AR3563" s="9"/>
      <c r="AS3563" s="9"/>
      <c r="AT3563" s="9"/>
      <c r="AU3563" s="9"/>
    </row>
    <row r="3564" spans="1:47" ht="15.75" customHeight="1">
      <c r="A3564" s="9"/>
      <c r="B3564" s="9"/>
      <c r="C3564" s="9"/>
      <c r="D3564" s="9"/>
      <c r="E3564" s="9"/>
      <c r="F3564" s="67"/>
      <c r="G3564" s="9"/>
      <c r="H3564" s="9"/>
      <c r="I3564" s="9"/>
      <c r="J3564" s="9"/>
      <c r="K3564" s="9"/>
      <c r="L3564" s="9"/>
      <c r="M3564" s="9"/>
      <c r="N3564" s="9"/>
      <c r="O3564" s="9"/>
      <c r="P3564" s="9"/>
      <c r="Q3564" s="9"/>
      <c r="R3564" s="9"/>
      <c r="S3564" s="9"/>
      <c r="T3564" s="9"/>
      <c r="U3564" s="9"/>
      <c r="V3564" s="9"/>
      <c r="W3564" s="9"/>
      <c r="X3564" s="9"/>
      <c r="Y3564" s="9"/>
      <c r="Z3564" s="9"/>
      <c r="AA3564" s="9"/>
      <c r="AB3564" s="9"/>
      <c r="AC3564" s="9"/>
      <c r="AD3564" s="9"/>
      <c r="AE3564" s="9"/>
      <c r="AF3564" s="9"/>
      <c r="AG3564" s="9"/>
      <c r="AH3564" s="9"/>
      <c r="AI3564" s="9"/>
      <c r="AJ3564" s="9"/>
      <c r="AK3564" s="9"/>
      <c r="AL3564" s="9"/>
      <c r="AM3564" s="9"/>
      <c r="AN3564" s="9"/>
      <c r="AO3564" s="9"/>
      <c r="AP3564" s="9"/>
      <c r="AQ3564" s="9"/>
      <c r="AR3564" s="9"/>
      <c r="AS3564" s="9"/>
      <c r="AT3564" s="9"/>
      <c r="AU3564" s="9"/>
    </row>
    <row r="3565" spans="1:47" ht="15.75" customHeight="1">
      <c r="A3565" s="9"/>
      <c r="B3565" s="9"/>
      <c r="C3565" s="9"/>
      <c r="D3565" s="9"/>
      <c r="E3565" s="9"/>
      <c r="F3565" s="67"/>
      <c r="G3565" s="9"/>
      <c r="H3565" s="9"/>
      <c r="I3565" s="9"/>
      <c r="J3565" s="9"/>
      <c r="K3565" s="9"/>
      <c r="L3565" s="9"/>
      <c r="M3565" s="9"/>
      <c r="N3565" s="9"/>
      <c r="O3565" s="9"/>
      <c r="P3565" s="9"/>
      <c r="Q3565" s="9"/>
      <c r="R3565" s="9"/>
      <c r="S3565" s="9"/>
      <c r="T3565" s="9"/>
      <c r="U3565" s="9"/>
      <c r="V3565" s="9"/>
      <c r="W3565" s="9"/>
      <c r="X3565" s="9"/>
      <c r="Y3565" s="9"/>
      <c r="Z3565" s="9"/>
      <c r="AA3565" s="9"/>
      <c r="AB3565" s="9"/>
      <c r="AC3565" s="9"/>
      <c r="AD3565" s="9"/>
      <c r="AE3565" s="9"/>
      <c r="AF3565" s="9"/>
      <c r="AG3565" s="9"/>
      <c r="AH3565" s="9"/>
      <c r="AI3565" s="9"/>
      <c r="AJ3565" s="9"/>
      <c r="AK3565" s="9"/>
      <c r="AL3565" s="9"/>
      <c r="AM3565" s="9"/>
      <c r="AN3565" s="9"/>
      <c r="AO3565" s="9"/>
      <c r="AP3565" s="9"/>
      <c r="AQ3565" s="9"/>
      <c r="AR3565" s="9"/>
      <c r="AS3565" s="9"/>
      <c r="AT3565" s="9"/>
      <c r="AU3565" s="9"/>
    </row>
    <row r="3566" spans="1:47" ht="15.75" customHeight="1">
      <c r="A3566" s="9"/>
      <c r="B3566" s="9"/>
      <c r="C3566" s="9"/>
      <c r="D3566" s="9"/>
      <c r="E3566" s="9"/>
      <c r="F3566" s="67"/>
      <c r="G3566" s="9"/>
      <c r="H3566" s="9"/>
      <c r="I3566" s="9"/>
      <c r="J3566" s="9"/>
      <c r="K3566" s="9"/>
      <c r="L3566" s="9"/>
      <c r="M3566" s="9"/>
      <c r="N3566" s="9"/>
      <c r="O3566" s="9"/>
      <c r="P3566" s="9"/>
      <c r="Q3566" s="9"/>
      <c r="R3566" s="9"/>
      <c r="S3566" s="9"/>
      <c r="T3566" s="9"/>
      <c r="U3566" s="9"/>
      <c r="V3566" s="9"/>
      <c r="W3566" s="9"/>
      <c r="X3566" s="9"/>
      <c r="Y3566" s="9"/>
      <c r="Z3566" s="9"/>
      <c r="AA3566" s="9"/>
      <c r="AB3566" s="9"/>
      <c r="AC3566" s="9"/>
      <c r="AD3566" s="9"/>
      <c r="AE3566" s="9"/>
      <c r="AF3566" s="9"/>
      <c r="AG3566" s="9"/>
      <c r="AH3566" s="9"/>
      <c r="AI3566" s="9"/>
      <c r="AJ3566" s="9"/>
      <c r="AK3566" s="9"/>
      <c r="AL3566" s="9"/>
      <c r="AM3566" s="9"/>
      <c r="AN3566" s="9"/>
      <c r="AO3566" s="9"/>
      <c r="AP3566" s="9"/>
      <c r="AQ3566" s="9"/>
      <c r="AR3566" s="9"/>
      <c r="AS3566" s="9"/>
      <c r="AT3566" s="9"/>
      <c r="AU3566" s="9"/>
    </row>
    <row r="3567" spans="1:47" ht="15.75" customHeight="1">
      <c r="A3567" s="9"/>
      <c r="B3567" s="9"/>
      <c r="C3567" s="9"/>
      <c r="D3567" s="9"/>
      <c r="E3567" s="9"/>
      <c r="F3567" s="67"/>
      <c r="G3567" s="9"/>
      <c r="H3567" s="9"/>
      <c r="I3567" s="9"/>
      <c r="J3567" s="9"/>
      <c r="K3567" s="9"/>
      <c r="L3567" s="9"/>
      <c r="M3567" s="9"/>
      <c r="N3567" s="9"/>
      <c r="O3567" s="9"/>
      <c r="P3567" s="9"/>
      <c r="Q3567" s="9"/>
      <c r="R3567" s="9"/>
      <c r="S3567" s="9"/>
      <c r="T3567" s="9"/>
      <c r="U3567" s="9"/>
      <c r="V3567" s="9"/>
      <c r="W3567" s="9"/>
      <c r="X3567" s="9"/>
      <c r="Y3567" s="9"/>
      <c r="Z3567" s="9"/>
      <c r="AA3567" s="9"/>
      <c r="AB3567" s="9"/>
      <c r="AC3567" s="9"/>
      <c r="AD3567" s="9"/>
      <c r="AE3567" s="9"/>
      <c r="AF3567" s="9"/>
      <c r="AG3567" s="9"/>
      <c r="AH3567" s="9"/>
      <c r="AI3567" s="9"/>
      <c r="AJ3567" s="9"/>
      <c r="AK3567" s="9"/>
      <c r="AL3567" s="9"/>
      <c r="AM3567" s="9"/>
      <c r="AN3567" s="9"/>
      <c r="AO3567" s="9"/>
      <c r="AP3567" s="9"/>
      <c r="AQ3567" s="9"/>
      <c r="AR3567" s="9"/>
      <c r="AS3567" s="9"/>
      <c r="AT3567" s="9"/>
      <c r="AU3567" s="9"/>
    </row>
    <row r="3568" spans="1:47" ht="15.75" customHeight="1">
      <c r="A3568" s="9"/>
      <c r="B3568" s="9"/>
      <c r="C3568" s="9"/>
      <c r="D3568" s="9"/>
      <c r="E3568" s="9"/>
      <c r="F3568" s="67"/>
      <c r="G3568" s="9"/>
      <c r="H3568" s="9"/>
      <c r="I3568" s="9"/>
      <c r="J3568" s="9"/>
      <c r="K3568" s="9"/>
      <c r="L3568" s="9"/>
      <c r="M3568" s="9"/>
      <c r="N3568" s="9"/>
      <c r="O3568" s="9"/>
      <c r="P3568" s="9"/>
      <c r="Q3568" s="9"/>
      <c r="R3568" s="9"/>
      <c r="S3568" s="9"/>
      <c r="T3568" s="9"/>
      <c r="U3568" s="9"/>
      <c r="V3568" s="9"/>
      <c r="W3568" s="9"/>
      <c r="X3568" s="9"/>
      <c r="Y3568" s="9"/>
      <c r="Z3568" s="9"/>
      <c r="AA3568" s="9"/>
      <c r="AB3568" s="9"/>
      <c r="AC3568" s="9"/>
      <c r="AD3568" s="9"/>
      <c r="AE3568" s="9"/>
      <c r="AF3568" s="9"/>
      <c r="AG3568" s="9"/>
      <c r="AH3568" s="9"/>
      <c r="AI3568" s="9"/>
      <c r="AJ3568" s="9"/>
      <c r="AK3568" s="9"/>
      <c r="AL3568" s="9"/>
      <c r="AM3568" s="9"/>
      <c r="AN3568" s="9"/>
      <c r="AO3568" s="9"/>
      <c r="AP3568" s="9"/>
      <c r="AQ3568" s="9"/>
      <c r="AR3568" s="9"/>
      <c r="AS3568" s="9"/>
      <c r="AT3568" s="9"/>
      <c r="AU3568" s="9"/>
    </row>
    <row r="3569" spans="1:47" ht="15.75" customHeight="1">
      <c r="A3569" s="9"/>
      <c r="B3569" s="9"/>
      <c r="C3569" s="9"/>
      <c r="D3569" s="9"/>
      <c r="E3569" s="9"/>
      <c r="F3569" s="67"/>
      <c r="G3569" s="9"/>
      <c r="H3569" s="9"/>
      <c r="I3569" s="9"/>
      <c r="J3569" s="9"/>
      <c r="K3569" s="9"/>
      <c r="L3569" s="9"/>
      <c r="M3569" s="9"/>
      <c r="N3569" s="9"/>
      <c r="O3569" s="9"/>
      <c r="P3569" s="9"/>
      <c r="Q3569" s="9"/>
      <c r="R3569" s="9"/>
      <c r="S3569" s="9"/>
      <c r="T3569" s="9"/>
      <c r="U3569" s="9"/>
      <c r="V3569" s="9"/>
      <c r="W3569" s="9"/>
      <c r="X3569" s="9"/>
      <c r="Y3569" s="9"/>
      <c r="Z3569" s="9"/>
      <c r="AA3569" s="9"/>
      <c r="AB3569" s="9"/>
      <c r="AC3569" s="9"/>
      <c r="AD3569" s="9"/>
      <c r="AE3569" s="9"/>
      <c r="AF3569" s="9"/>
      <c r="AG3569" s="9"/>
      <c r="AH3569" s="9"/>
      <c r="AI3569" s="9"/>
      <c r="AJ3569" s="9"/>
      <c r="AK3569" s="9"/>
      <c r="AL3569" s="9"/>
      <c r="AM3569" s="9"/>
      <c r="AN3569" s="9"/>
      <c r="AO3569" s="9"/>
      <c r="AP3569" s="9"/>
      <c r="AQ3569" s="9"/>
      <c r="AR3569" s="9"/>
      <c r="AS3569" s="9"/>
      <c r="AT3569" s="9"/>
      <c r="AU3569" s="9"/>
    </row>
    <row r="3570" spans="1:47" ht="15.75" customHeight="1">
      <c r="A3570" s="9"/>
      <c r="B3570" s="9"/>
      <c r="C3570" s="9"/>
      <c r="D3570" s="9"/>
      <c r="E3570" s="9"/>
      <c r="F3570" s="67"/>
      <c r="G3570" s="9"/>
      <c r="H3570" s="9"/>
      <c r="I3570" s="9"/>
      <c r="J3570" s="9"/>
      <c r="K3570" s="9"/>
      <c r="L3570" s="9"/>
      <c r="M3570" s="9"/>
      <c r="N3570" s="9"/>
      <c r="O3570" s="9"/>
      <c r="P3570" s="9"/>
      <c r="Q3570" s="9"/>
      <c r="R3570" s="9"/>
      <c r="S3570" s="9"/>
      <c r="T3570" s="9"/>
      <c r="U3570" s="9"/>
      <c r="V3570" s="9"/>
      <c r="W3570" s="9"/>
      <c r="X3570" s="9"/>
      <c r="Y3570" s="9"/>
      <c r="Z3570" s="9"/>
      <c r="AA3570" s="9"/>
      <c r="AB3570" s="9"/>
      <c r="AC3570" s="9"/>
      <c r="AD3570" s="9"/>
      <c r="AE3570" s="9"/>
      <c r="AF3570" s="9"/>
      <c r="AG3570" s="9"/>
      <c r="AH3570" s="9"/>
      <c r="AI3570" s="9"/>
      <c r="AJ3570" s="9"/>
      <c r="AK3570" s="9"/>
      <c r="AL3570" s="9"/>
      <c r="AM3570" s="9"/>
      <c r="AN3570" s="9"/>
      <c r="AO3570" s="9"/>
      <c r="AP3570" s="9"/>
      <c r="AQ3570" s="9"/>
      <c r="AR3570" s="9"/>
      <c r="AS3570" s="9"/>
      <c r="AT3570" s="9"/>
      <c r="AU3570" s="9"/>
    </row>
    <row r="3571" spans="1:47" ht="15.75" customHeight="1">
      <c r="A3571" s="9"/>
      <c r="B3571" s="9"/>
      <c r="C3571" s="9"/>
      <c r="D3571" s="9"/>
      <c r="E3571" s="9"/>
      <c r="F3571" s="67"/>
      <c r="G3571" s="9"/>
      <c r="H3571" s="9"/>
      <c r="I3571" s="9"/>
      <c r="J3571" s="9"/>
      <c r="K3571" s="9"/>
      <c r="L3571" s="9"/>
      <c r="M3571" s="9"/>
      <c r="N3571" s="9"/>
      <c r="O3571" s="9"/>
      <c r="P3571" s="9"/>
      <c r="Q3571" s="9"/>
      <c r="R3571" s="9"/>
      <c r="S3571" s="9"/>
      <c r="T3571" s="9"/>
      <c r="U3571" s="9"/>
      <c r="V3571" s="9"/>
      <c r="W3571" s="9"/>
      <c r="X3571" s="9"/>
      <c r="Y3571" s="9"/>
      <c r="Z3571" s="9"/>
      <c r="AA3571" s="9"/>
      <c r="AB3571" s="9"/>
      <c r="AC3571" s="9"/>
      <c r="AD3571" s="9"/>
      <c r="AE3571" s="9"/>
      <c r="AF3571" s="9"/>
      <c r="AG3571" s="9"/>
      <c r="AH3571" s="9"/>
      <c r="AI3571" s="9"/>
      <c r="AJ3571" s="9"/>
      <c r="AK3571" s="9"/>
      <c r="AL3571" s="9"/>
      <c r="AM3571" s="9"/>
      <c r="AN3571" s="9"/>
      <c r="AO3571" s="9"/>
      <c r="AP3571" s="9"/>
      <c r="AQ3571" s="9"/>
      <c r="AR3571" s="9"/>
      <c r="AS3571" s="9"/>
      <c r="AT3571" s="9"/>
      <c r="AU3571" s="9"/>
    </row>
    <row r="3572" spans="1:47" ht="15.75" customHeight="1">
      <c r="A3572" s="9"/>
      <c r="B3572" s="9"/>
      <c r="C3572" s="9"/>
      <c r="D3572" s="9"/>
      <c r="E3572" s="9"/>
      <c r="F3572" s="67"/>
      <c r="G3572" s="9"/>
      <c r="H3572" s="9"/>
      <c r="I3572" s="9"/>
      <c r="J3572" s="9"/>
      <c r="K3572" s="9"/>
      <c r="L3572" s="9"/>
      <c r="M3572" s="9"/>
      <c r="N3572" s="9"/>
      <c r="O3572" s="9"/>
      <c r="P3572" s="9"/>
      <c r="Q3572" s="9"/>
      <c r="R3572" s="9"/>
      <c r="S3572" s="9"/>
      <c r="T3572" s="9"/>
      <c r="U3572" s="9"/>
      <c r="V3572" s="9"/>
      <c r="W3572" s="9"/>
      <c r="X3572" s="9"/>
      <c r="Y3572" s="9"/>
      <c r="Z3572" s="9"/>
      <c r="AA3572" s="9"/>
      <c r="AB3572" s="9"/>
      <c r="AC3572" s="9"/>
      <c r="AD3572" s="9"/>
      <c r="AE3572" s="9"/>
      <c r="AF3572" s="9"/>
      <c r="AG3572" s="9"/>
      <c r="AH3572" s="9"/>
      <c r="AI3572" s="9"/>
      <c r="AJ3572" s="9"/>
      <c r="AK3572" s="9"/>
      <c r="AL3572" s="9"/>
      <c r="AM3572" s="9"/>
      <c r="AN3572" s="9"/>
      <c r="AO3572" s="9"/>
      <c r="AP3572" s="9"/>
      <c r="AQ3572" s="9"/>
      <c r="AR3572" s="9"/>
      <c r="AS3572" s="9"/>
      <c r="AT3572" s="9"/>
      <c r="AU3572" s="9"/>
    </row>
    <row r="3573" spans="1:47" ht="15.75" customHeight="1">
      <c r="A3573" s="9"/>
      <c r="B3573" s="9"/>
      <c r="C3573" s="9"/>
      <c r="D3573" s="9"/>
      <c r="E3573" s="9"/>
      <c r="F3573" s="67"/>
      <c r="G3573" s="9"/>
      <c r="H3573" s="9"/>
      <c r="I3573" s="9"/>
      <c r="J3573" s="9"/>
      <c r="K3573" s="9"/>
      <c r="L3573" s="9"/>
      <c r="M3573" s="9"/>
      <c r="N3573" s="9"/>
      <c r="O3573" s="9"/>
      <c r="P3573" s="9"/>
      <c r="Q3573" s="9"/>
      <c r="R3573" s="9"/>
      <c r="S3573" s="9"/>
      <c r="T3573" s="9"/>
      <c r="U3573" s="9"/>
      <c r="V3573" s="9"/>
      <c r="W3573" s="9"/>
      <c r="X3573" s="9"/>
      <c r="Y3573" s="9"/>
      <c r="Z3573" s="9"/>
      <c r="AA3573" s="9"/>
      <c r="AB3573" s="9"/>
      <c r="AC3573" s="9"/>
      <c r="AD3573" s="9"/>
      <c r="AE3573" s="9"/>
      <c r="AF3573" s="9"/>
      <c r="AG3573" s="9"/>
      <c r="AH3573" s="9"/>
      <c r="AI3573" s="9"/>
      <c r="AJ3573" s="9"/>
      <c r="AK3573" s="9"/>
      <c r="AL3573" s="9"/>
      <c r="AM3573" s="9"/>
      <c r="AN3573" s="9"/>
      <c r="AO3573" s="9"/>
      <c r="AP3573" s="9"/>
      <c r="AQ3573" s="9"/>
      <c r="AR3573" s="9"/>
      <c r="AS3573" s="9"/>
      <c r="AT3573" s="9"/>
      <c r="AU3573" s="9"/>
    </row>
    <row r="3574" spans="1:47" ht="15.75" customHeight="1">
      <c r="A3574" s="9"/>
      <c r="B3574" s="9"/>
      <c r="C3574" s="9"/>
      <c r="D3574" s="9"/>
      <c r="E3574" s="9"/>
      <c r="F3574" s="67"/>
      <c r="G3574" s="9"/>
      <c r="H3574" s="9"/>
      <c r="I3574" s="9"/>
      <c r="J3574" s="9"/>
      <c r="K3574" s="9"/>
      <c r="L3574" s="9"/>
      <c r="M3574" s="9"/>
      <c r="N3574" s="9"/>
      <c r="O3574" s="9"/>
      <c r="P3574" s="9"/>
      <c r="Q3574" s="9"/>
      <c r="R3574" s="9"/>
      <c r="S3574" s="9"/>
      <c r="T3574" s="9"/>
      <c r="U3574" s="9"/>
      <c r="V3574" s="9"/>
      <c r="W3574" s="9"/>
      <c r="X3574" s="9"/>
      <c r="Y3574" s="9"/>
      <c r="Z3574" s="9"/>
      <c r="AA3574" s="9"/>
      <c r="AB3574" s="9"/>
      <c r="AC3574" s="9"/>
      <c r="AD3574" s="9"/>
      <c r="AE3574" s="9"/>
      <c r="AF3574" s="9"/>
      <c r="AG3574" s="9"/>
      <c r="AH3574" s="9"/>
      <c r="AI3574" s="9"/>
      <c r="AJ3574" s="9"/>
      <c r="AK3574" s="9"/>
      <c r="AL3574" s="9"/>
      <c r="AM3574" s="9"/>
      <c r="AN3574" s="9"/>
      <c r="AO3574" s="9"/>
      <c r="AP3574" s="9"/>
      <c r="AQ3574" s="9"/>
      <c r="AR3574" s="9"/>
      <c r="AS3574" s="9"/>
      <c r="AT3574" s="9"/>
      <c r="AU3574" s="9"/>
    </row>
    <row r="3575" spans="1:47" ht="15.75" customHeight="1">
      <c r="A3575" s="9"/>
      <c r="B3575" s="9"/>
      <c r="C3575" s="9"/>
      <c r="D3575" s="9"/>
      <c r="E3575" s="9"/>
      <c r="F3575" s="67"/>
      <c r="G3575" s="9"/>
      <c r="H3575" s="9"/>
      <c r="I3575" s="9"/>
      <c r="J3575" s="9"/>
      <c r="K3575" s="9"/>
      <c r="L3575" s="9"/>
      <c r="M3575" s="9"/>
      <c r="N3575" s="9"/>
      <c r="O3575" s="9"/>
      <c r="P3575" s="9"/>
      <c r="Q3575" s="9"/>
      <c r="R3575" s="9"/>
      <c r="S3575" s="9"/>
      <c r="T3575" s="9"/>
      <c r="U3575" s="9"/>
      <c r="V3575" s="9"/>
      <c r="W3575" s="9"/>
      <c r="X3575" s="9"/>
      <c r="Y3575" s="9"/>
      <c r="Z3575" s="9"/>
      <c r="AA3575" s="9"/>
      <c r="AB3575" s="9"/>
      <c r="AC3575" s="9"/>
      <c r="AD3575" s="9"/>
      <c r="AE3575" s="9"/>
      <c r="AF3575" s="9"/>
      <c r="AG3575" s="9"/>
      <c r="AH3575" s="9"/>
      <c r="AI3575" s="9"/>
      <c r="AJ3575" s="9"/>
      <c r="AK3575" s="9"/>
      <c r="AL3575" s="9"/>
      <c r="AM3575" s="9"/>
      <c r="AN3575" s="9"/>
      <c r="AO3575" s="9"/>
      <c r="AP3575" s="9"/>
      <c r="AQ3575" s="9"/>
      <c r="AR3575" s="9"/>
      <c r="AS3575" s="9"/>
      <c r="AT3575" s="9"/>
      <c r="AU3575" s="9"/>
    </row>
    <row r="3576" spans="1:47" ht="15.75" customHeight="1">
      <c r="A3576" s="9"/>
      <c r="B3576" s="9"/>
      <c r="C3576" s="9"/>
      <c r="D3576" s="9"/>
      <c r="E3576" s="9"/>
      <c r="F3576" s="67"/>
      <c r="G3576" s="9"/>
      <c r="H3576" s="9"/>
      <c r="I3576" s="9"/>
      <c r="J3576" s="9"/>
      <c r="K3576" s="9"/>
      <c r="L3576" s="9"/>
      <c r="M3576" s="9"/>
      <c r="N3576" s="9"/>
      <c r="O3576" s="9"/>
      <c r="P3576" s="9"/>
      <c r="Q3576" s="9"/>
      <c r="R3576" s="9"/>
      <c r="S3576" s="9"/>
      <c r="T3576" s="9"/>
      <c r="U3576" s="9"/>
      <c r="V3576" s="9"/>
      <c r="W3576" s="9"/>
      <c r="X3576" s="9"/>
      <c r="Y3576" s="9"/>
      <c r="Z3576" s="9"/>
      <c r="AA3576" s="9"/>
      <c r="AB3576" s="9"/>
      <c r="AC3576" s="9"/>
      <c r="AD3576" s="9"/>
      <c r="AE3576" s="9"/>
      <c r="AF3576" s="9"/>
      <c r="AG3576" s="9"/>
      <c r="AH3576" s="9"/>
      <c r="AI3576" s="9"/>
      <c r="AJ3576" s="9"/>
      <c r="AK3576" s="9"/>
      <c r="AL3576" s="9"/>
      <c r="AM3576" s="9"/>
      <c r="AN3576" s="9"/>
      <c r="AO3576" s="9"/>
      <c r="AP3576" s="9"/>
      <c r="AQ3576" s="9"/>
      <c r="AR3576" s="9"/>
      <c r="AS3576" s="9"/>
      <c r="AT3576" s="9"/>
      <c r="AU3576" s="9"/>
    </row>
    <row r="3577" spans="1:47" ht="15.75" customHeight="1">
      <c r="A3577" s="9"/>
      <c r="B3577" s="9"/>
      <c r="C3577" s="9"/>
      <c r="D3577" s="9"/>
      <c r="E3577" s="9"/>
      <c r="F3577" s="67"/>
      <c r="G3577" s="9"/>
      <c r="H3577" s="9"/>
      <c r="I3577" s="9"/>
      <c r="J3577" s="9"/>
      <c r="K3577" s="9"/>
      <c r="L3577" s="9"/>
      <c r="M3577" s="9"/>
      <c r="N3577" s="9"/>
      <c r="O3577" s="9"/>
      <c r="P3577" s="9"/>
      <c r="Q3577" s="9"/>
      <c r="R3577" s="9"/>
      <c r="S3577" s="9"/>
      <c r="T3577" s="9"/>
      <c r="U3577" s="9"/>
      <c r="V3577" s="9"/>
      <c r="W3577" s="9"/>
      <c r="X3577" s="9"/>
      <c r="Y3577" s="9"/>
      <c r="Z3577" s="9"/>
      <c r="AA3577" s="9"/>
      <c r="AB3577" s="9"/>
      <c r="AC3577" s="9"/>
      <c r="AD3577" s="9"/>
      <c r="AE3577" s="9"/>
      <c r="AF3577" s="9"/>
      <c r="AG3577" s="9"/>
      <c r="AH3577" s="9"/>
      <c r="AI3577" s="9"/>
      <c r="AJ3577" s="9"/>
      <c r="AK3577" s="9"/>
      <c r="AL3577" s="9"/>
      <c r="AM3577" s="9"/>
      <c r="AN3577" s="9"/>
      <c r="AO3577" s="9"/>
      <c r="AP3577" s="9"/>
      <c r="AQ3577" s="9"/>
      <c r="AR3577" s="9"/>
      <c r="AS3577" s="9"/>
      <c r="AT3577" s="9"/>
      <c r="AU3577" s="9"/>
    </row>
    <row r="3578" spans="1:47" ht="15.75" customHeight="1">
      <c r="A3578" s="9"/>
      <c r="B3578" s="9"/>
      <c r="C3578" s="9"/>
      <c r="D3578" s="9"/>
      <c r="E3578" s="9"/>
      <c r="F3578" s="67"/>
      <c r="G3578" s="9"/>
      <c r="H3578" s="9"/>
      <c r="I3578" s="9"/>
      <c r="J3578" s="9"/>
      <c r="K3578" s="9"/>
      <c r="L3578" s="9"/>
      <c r="M3578" s="9"/>
      <c r="N3578" s="9"/>
      <c r="O3578" s="9"/>
      <c r="P3578" s="9"/>
      <c r="Q3578" s="9"/>
      <c r="R3578" s="9"/>
      <c r="S3578" s="9"/>
      <c r="T3578" s="9"/>
      <c r="U3578" s="9"/>
      <c r="V3578" s="9"/>
      <c r="W3578" s="9"/>
      <c r="X3578" s="9"/>
      <c r="Y3578" s="9"/>
      <c r="Z3578" s="9"/>
      <c r="AA3578" s="9"/>
      <c r="AB3578" s="9"/>
      <c r="AC3578" s="9"/>
      <c r="AD3578" s="9"/>
      <c r="AE3578" s="9"/>
      <c r="AF3578" s="9"/>
      <c r="AG3578" s="9"/>
      <c r="AH3578" s="9"/>
      <c r="AI3578" s="9"/>
      <c r="AJ3578" s="9"/>
      <c r="AK3578" s="9"/>
      <c r="AL3578" s="9"/>
      <c r="AM3578" s="9"/>
      <c r="AN3578" s="9"/>
      <c r="AO3578" s="9"/>
      <c r="AP3578" s="9"/>
      <c r="AQ3578" s="9"/>
      <c r="AR3578" s="9"/>
      <c r="AS3578" s="9"/>
      <c r="AT3578" s="9"/>
      <c r="AU3578" s="9"/>
    </row>
    <row r="3579" spans="1:47" ht="15.75" customHeight="1">
      <c r="A3579" s="9"/>
      <c r="B3579" s="9"/>
      <c r="C3579" s="9"/>
      <c r="D3579" s="9"/>
      <c r="E3579" s="9"/>
      <c r="F3579" s="67"/>
      <c r="G3579" s="9"/>
      <c r="H3579" s="9"/>
      <c r="I3579" s="9"/>
      <c r="J3579" s="9"/>
      <c r="K3579" s="9"/>
      <c r="L3579" s="9"/>
      <c r="M3579" s="9"/>
      <c r="N3579" s="9"/>
      <c r="O3579" s="9"/>
      <c r="P3579" s="9"/>
      <c r="Q3579" s="9"/>
      <c r="R3579" s="9"/>
      <c r="S3579" s="9"/>
      <c r="T3579" s="9"/>
      <c r="U3579" s="9"/>
      <c r="V3579" s="9"/>
      <c r="W3579" s="9"/>
      <c r="X3579" s="9"/>
      <c r="Y3579" s="9"/>
      <c r="Z3579" s="9"/>
      <c r="AA3579" s="9"/>
      <c r="AB3579" s="9"/>
      <c r="AC3579" s="9"/>
      <c r="AD3579" s="9"/>
      <c r="AE3579" s="9"/>
      <c r="AF3579" s="9"/>
      <c r="AG3579" s="9"/>
      <c r="AH3579" s="9"/>
      <c r="AI3579" s="9"/>
      <c r="AJ3579" s="9"/>
      <c r="AK3579" s="9"/>
      <c r="AL3579" s="9"/>
      <c r="AM3579" s="9"/>
      <c r="AN3579" s="9"/>
      <c r="AO3579" s="9"/>
      <c r="AP3579" s="9"/>
      <c r="AQ3579" s="9"/>
      <c r="AR3579" s="9"/>
      <c r="AS3579" s="9"/>
      <c r="AT3579" s="9"/>
      <c r="AU3579" s="9"/>
    </row>
    <row r="3580" spans="1:47" ht="15.75" customHeight="1">
      <c r="A3580" s="9"/>
      <c r="B3580" s="9"/>
      <c r="C3580" s="9"/>
      <c r="D3580" s="9"/>
      <c r="E3580" s="9"/>
      <c r="F3580" s="67"/>
      <c r="G3580" s="9"/>
      <c r="H3580" s="9"/>
      <c r="I3580" s="9"/>
      <c r="J3580" s="9"/>
      <c r="K3580" s="9"/>
      <c r="L3580" s="9"/>
      <c r="M3580" s="9"/>
      <c r="N3580" s="9"/>
      <c r="O3580" s="9"/>
      <c r="P3580" s="9"/>
      <c r="Q3580" s="9"/>
      <c r="R3580" s="9"/>
      <c r="S3580" s="9"/>
      <c r="T3580" s="9"/>
      <c r="U3580" s="9"/>
      <c r="V3580" s="9"/>
      <c r="W3580" s="9"/>
      <c r="X3580" s="9"/>
      <c r="Y3580" s="9"/>
      <c r="Z3580" s="9"/>
      <c r="AA3580" s="9"/>
      <c r="AB3580" s="9"/>
      <c r="AC3580" s="9"/>
      <c r="AD3580" s="9"/>
      <c r="AE3580" s="9"/>
      <c r="AF3580" s="9"/>
      <c r="AG3580" s="9"/>
      <c r="AH3580" s="9"/>
      <c r="AI3580" s="9"/>
      <c r="AJ3580" s="9"/>
      <c r="AK3580" s="9"/>
      <c r="AL3580" s="9"/>
      <c r="AM3580" s="9"/>
      <c r="AN3580" s="9"/>
      <c r="AO3580" s="9"/>
      <c r="AP3580" s="9"/>
      <c r="AQ3580" s="9"/>
      <c r="AR3580" s="9"/>
      <c r="AS3580" s="9"/>
      <c r="AT3580" s="9"/>
      <c r="AU3580" s="9"/>
    </row>
    <row r="3581" spans="1:47" ht="15.75" customHeight="1">
      <c r="A3581" s="9"/>
      <c r="B3581" s="9"/>
      <c r="C3581" s="9"/>
      <c r="D3581" s="9"/>
      <c r="E3581" s="9"/>
      <c r="F3581" s="67"/>
      <c r="G3581" s="9"/>
      <c r="H3581" s="9"/>
      <c r="I3581" s="9"/>
      <c r="J3581" s="9"/>
      <c r="K3581" s="9"/>
      <c r="L3581" s="9"/>
      <c r="M3581" s="9"/>
      <c r="N3581" s="9"/>
      <c r="O3581" s="9"/>
      <c r="P3581" s="9"/>
      <c r="Q3581" s="9"/>
      <c r="R3581" s="9"/>
      <c r="S3581" s="9"/>
      <c r="T3581" s="9"/>
      <c r="U3581" s="9"/>
      <c r="V3581" s="9"/>
      <c r="W3581" s="9"/>
      <c r="X3581" s="9"/>
      <c r="Y3581" s="9"/>
      <c r="Z3581" s="9"/>
      <c r="AA3581" s="9"/>
      <c r="AB3581" s="9"/>
      <c r="AC3581" s="9"/>
      <c r="AD3581" s="9"/>
      <c r="AE3581" s="9"/>
      <c r="AF3581" s="9"/>
      <c r="AG3581" s="9"/>
      <c r="AH3581" s="9"/>
      <c r="AI3581" s="9"/>
      <c r="AJ3581" s="9"/>
      <c r="AK3581" s="9"/>
      <c r="AL3581" s="9"/>
      <c r="AM3581" s="9"/>
      <c r="AN3581" s="9"/>
      <c r="AO3581" s="9"/>
      <c r="AP3581" s="9"/>
      <c r="AQ3581" s="9"/>
      <c r="AR3581" s="9"/>
      <c r="AS3581" s="9"/>
      <c r="AT3581" s="9"/>
      <c r="AU3581" s="9"/>
    </row>
    <row r="3582" spans="1:47" ht="15.75" customHeight="1">
      <c r="A3582" s="9"/>
      <c r="B3582" s="9"/>
      <c r="C3582" s="9"/>
      <c r="D3582" s="9"/>
      <c r="E3582" s="9"/>
      <c r="F3582" s="67"/>
      <c r="G3582" s="9"/>
      <c r="H3582" s="9"/>
      <c r="I3582" s="9"/>
      <c r="J3582" s="9"/>
      <c r="K3582" s="9"/>
      <c r="L3582" s="9"/>
      <c r="M3582" s="9"/>
      <c r="N3582" s="9"/>
      <c r="O3582" s="9"/>
      <c r="P3582" s="9"/>
      <c r="Q3582" s="9"/>
      <c r="R3582" s="9"/>
      <c r="S3582" s="9"/>
      <c r="T3582" s="9"/>
      <c r="U3582" s="9"/>
      <c r="V3582" s="9"/>
      <c r="W3582" s="9"/>
      <c r="X3582" s="9"/>
      <c r="Y3582" s="9"/>
      <c r="Z3582" s="9"/>
      <c r="AA3582" s="9"/>
      <c r="AB3582" s="9"/>
      <c r="AC3582" s="9"/>
      <c r="AD3582" s="9"/>
      <c r="AE3582" s="9"/>
      <c r="AF3582" s="9"/>
      <c r="AG3582" s="9"/>
      <c r="AH3582" s="9"/>
      <c r="AI3582" s="9"/>
      <c r="AJ3582" s="9"/>
      <c r="AK3582" s="9"/>
      <c r="AL3582" s="9"/>
      <c r="AM3582" s="9"/>
      <c r="AN3582" s="9"/>
      <c r="AO3582" s="9"/>
      <c r="AP3582" s="9"/>
      <c r="AQ3582" s="9"/>
      <c r="AR3582" s="9"/>
      <c r="AS3582" s="9"/>
      <c r="AT3582" s="9"/>
      <c r="AU3582" s="9"/>
    </row>
    <row r="3583" spans="1:47" ht="15.75" customHeight="1">
      <c r="A3583" s="9"/>
      <c r="B3583" s="9"/>
      <c r="C3583" s="9"/>
      <c r="D3583" s="9"/>
      <c r="E3583" s="9"/>
      <c r="F3583" s="67"/>
      <c r="G3583" s="9"/>
      <c r="H3583" s="9"/>
      <c r="I3583" s="9"/>
      <c r="J3583" s="9"/>
      <c r="K3583" s="9"/>
      <c r="L3583" s="9"/>
      <c r="M3583" s="9"/>
      <c r="N3583" s="9"/>
      <c r="O3583" s="9"/>
      <c r="P3583" s="9"/>
      <c r="Q3583" s="9"/>
      <c r="R3583" s="9"/>
      <c r="S3583" s="9"/>
      <c r="T3583" s="9"/>
      <c r="U3583" s="9"/>
      <c r="V3583" s="9"/>
      <c r="W3583" s="9"/>
      <c r="X3583" s="9"/>
      <c r="Y3583" s="9"/>
      <c r="Z3583" s="9"/>
      <c r="AA3583" s="9"/>
      <c r="AB3583" s="9"/>
      <c r="AC3583" s="9"/>
      <c r="AD3583" s="9"/>
      <c r="AE3583" s="9"/>
      <c r="AF3583" s="9"/>
      <c r="AG3583" s="9"/>
      <c r="AH3583" s="9"/>
      <c r="AI3583" s="9"/>
      <c r="AJ3583" s="9"/>
      <c r="AK3583" s="9"/>
      <c r="AL3583" s="9"/>
      <c r="AM3583" s="9"/>
      <c r="AN3583" s="9"/>
      <c r="AO3583" s="9"/>
      <c r="AP3583" s="9"/>
      <c r="AQ3583" s="9"/>
      <c r="AR3583" s="9"/>
      <c r="AS3583" s="9"/>
      <c r="AT3583" s="9"/>
      <c r="AU3583" s="9"/>
    </row>
    <row r="3584" spans="1:47" ht="15.75" customHeight="1">
      <c r="A3584" s="9"/>
      <c r="B3584" s="9"/>
      <c r="C3584" s="9"/>
      <c r="D3584" s="9"/>
      <c r="E3584" s="9"/>
      <c r="F3584" s="67"/>
      <c r="G3584" s="9"/>
      <c r="H3584" s="9"/>
      <c r="I3584" s="9"/>
      <c r="J3584" s="9"/>
      <c r="K3584" s="9"/>
      <c r="L3584" s="9"/>
      <c r="M3584" s="9"/>
      <c r="N3584" s="9"/>
      <c r="O3584" s="9"/>
      <c r="P3584" s="9"/>
      <c r="Q3584" s="9"/>
      <c r="R3584" s="9"/>
      <c r="S3584" s="9"/>
      <c r="T3584" s="9"/>
      <c r="U3584" s="9"/>
      <c r="V3584" s="9"/>
      <c r="W3584" s="9"/>
      <c r="X3584" s="9"/>
      <c r="Y3584" s="9"/>
      <c r="Z3584" s="9"/>
      <c r="AA3584" s="9"/>
      <c r="AB3584" s="9"/>
      <c r="AC3584" s="9"/>
      <c r="AD3584" s="9"/>
      <c r="AE3584" s="9"/>
      <c r="AF3584" s="9"/>
      <c r="AG3584" s="9"/>
      <c r="AH3584" s="9"/>
      <c r="AI3584" s="9"/>
      <c r="AJ3584" s="9"/>
      <c r="AK3584" s="9"/>
      <c r="AL3584" s="9"/>
      <c r="AM3584" s="9"/>
      <c r="AN3584" s="9"/>
      <c r="AO3584" s="9"/>
      <c r="AP3584" s="9"/>
      <c r="AQ3584" s="9"/>
      <c r="AR3584" s="9"/>
      <c r="AS3584" s="9"/>
      <c r="AT3584" s="9"/>
      <c r="AU3584" s="9"/>
    </row>
    <row r="3585" spans="1:47" ht="15.75" customHeight="1">
      <c r="A3585" s="9"/>
      <c r="B3585" s="9"/>
      <c r="C3585" s="9"/>
      <c r="D3585" s="9"/>
      <c r="E3585" s="9"/>
      <c r="F3585" s="67"/>
      <c r="G3585" s="9"/>
      <c r="H3585" s="9"/>
      <c r="I3585" s="9"/>
      <c r="J3585" s="9"/>
      <c r="K3585" s="9"/>
      <c r="L3585" s="9"/>
      <c r="M3585" s="9"/>
      <c r="N3585" s="9"/>
      <c r="O3585" s="9"/>
      <c r="P3585" s="9"/>
      <c r="Q3585" s="9"/>
      <c r="R3585" s="9"/>
      <c r="S3585" s="9"/>
      <c r="T3585" s="9"/>
      <c r="U3585" s="9"/>
      <c r="V3585" s="9"/>
      <c r="W3585" s="9"/>
      <c r="X3585" s="9"/>
      <c r="Y3585" s="9"/>
      <c r="Z3585" s="9"/>
      <c r="AA3585" s="9"/>
      <c r="AB3585" s="9"/>
      <c r="AC3585" s="9"/>
      <c r="AD3585" s="9"/>
      <c r="AE3585" s="9"/>
      <c r="AF3585" s="9"/>
      <c r="AG3585" s="9"/>
      <c r="AH3585" s="9"/>
      <c r="AI3585" s="9"/>
      <c r="AJ3585" s="9"/>
      <c r="AK3585" s="9"/>
      <c r="AL3585" s="9"/>
      <c r="AM3585" s="9"/>
      <c r="AN3585" s="9"/>
      <c r="AO3585" s="9"/>
      <c r="AP3585" s="9"/>
      <c r="AQ3585" s="9"/>
      <c r="AR3585" s="9"/>
      <c r="AS3585" s="9"/>
      <c r="AT3585" s="9"/>
      <c r="AU3585" s="9"/>
    </row>
    <row r="3586" spans="1:47" ht="15.75" customHeight="1">
      <c r="A3586" s="9"/>
      <c r="B3586" s="9"/>
      <c r="C3586" s="9"/>
      <c r="D3586" s="9"/>
      <c r="E3586" s="9"/>
      <c r="F3586" s="67"/>
      <c r="G3586" s="9"/>
      <c r="H3586" s="9"/>
      <c r="I3586" s="9"/>
      <c r="J3586" s="9"/>
      <c r="K3586" s="9"/>
      <c r="L3586" s="9"/>
      <c r="M3586" s="9"/>
      <c r="N3586" s="9"/>
      <c r="O3586" s="9"/>
      <c r="P3586" s="9"/>
      <c r="Q3586" s="9"/>
      <c r="R3586" s="9"/>
      <c r="S3586" s="9"/>
      <c r="T3586" s="9"/>
      <c r="U3586" s="9"/>
      <c r="V3586" s="9"/>
      <c r="W3586" s="9"/>
      <c r="X3586" s="9"/>
      <c r="Y3586" s="9"/>
      <c r="Z3586" s="9"/>
      <c r="AA3586" s="9"/>
      <c r="AB3586" s="9"/>
      <c r="AC3586" s="9"/>
      <c r="AD3586" s="9"/>
      <c r="AE3586" s="9"/>
      <c r="AF3586" s="9"/>
      <c r="AG3586" s="9"/>
      <c r="AH3586" s="9"/>
      <c r="AI3586" s="9"/>
      <c r="AJ3586" s="9"/>
      <c r="AK3586" s="9"/>
      <c r="AL3586" s="9"/>
      <c r="AM3586" s="9"/>
      <c r="AN3586" s="9"/>
      <c r="AO3586" s="9"/>
      <c r="AP3586" s="9"/>
      <c r="AQ3586" s="9"/>
      <c r="AR3586" s="9"/>
      <c r="AS3586" s="9"/>
      <c r="AT3586" s="9"/>
      <c r="AU3586" s="9"/>
    </row>
    <row r="3587" spans="1:47" ht="15.75" customHeight="1">
      <c r="A3587" s="9"/>
      <c r="B3587" s="9"/>
      <c r="C3587" s="9"/>
      <c r="D3587" s="9"/>
      <c r="E3587" s="9"/>
      <c r="F3587" s="67"/>
      <c r="G3587" s="9"/>
      <c r="H3587" s="9"/>
      <c r="I3587" s="9"/>
      <c r="J3587" s="9"/>
      <c r="K3587" s="9"/>
      <c r="L3587" s="9"/>
      <c r="M3587" s="9"/>
      <c r="N3587" s="9"/>
      <c r="O3587" s="9"/>
      <c r="P3587" s="9"/>
      <c r="Q3587" s="9"/>
      <c r="R3587" s="9"/>
      <c r="S3587" s="9"/>
      <c r="T3587" s="9"/>
      <c r="U3587" s="9"/>
      <c r="V3587" s="9"/>
      <c r="W3587" s="9"/>
      <c r="X3587" s="9"/>
      <c r="Y3587" s="9"/>
      <c r="Z3587" s="9"/>
      <c r="AA3587" s="9"/>
      <c r="AB3587" s="9"/>
      <c r="AC3587" s="9"/>
      <c r="AD3587" s="9"/>
      <c r="AE3587" s="9"/>
      <c r="AF3587" s="9"/>
      <c r="AG3587" s="9"/>
      <c r="AH3587" s="9"/>
      <c r="AI3587" s="9"/>
      <c r="AJ3587" s="9"/>
      <c r="AK3587" s="9"/>
      <c r="AL3587" s="9"/>
      <c r="AM3587" s="9"/>
      <c r="AN3587" s="9"/>
      <c r="AO3587" s="9"/>
      <c r="AP3587" s="9"/>
      <c r="AQ3587" s="9"/>
      <c r="AR3587" s="9"/>
      <c r="AS3587" s="9"/>
      <c r="AT3587" s="9"/>
      <c r="AU3587" s="9"/>
    </row>
    <row r="3588" spans="1:47" ht="15.75" customHeight="1">
      <c r="A3588" s="9"/>
      <c r="B3588" s="9"/>
      <c r="C3588" s="9"/>
      <c r="D3588" s="9"/>
      <c r="E3588" s="9"/>
      <c r="F3588" s="67"/>
      <c r="G3588" s="9"/>
      <c r="H3588" s="9"/>
      <c r="I3588" s="9"/>
      <c r="J3588" s="9"/>
      <c r="K3588" s="9"/>
      <c r="L3588" s="9"/>
      <c r="M3588" s="9"/>
      <c r="N3588" s="9"/>
      <c r="O3588" s="9"/>
      <c r="P3588" s="9"/>
      <c r="Q3588" s="9"/>
      <c r="R3588" s="9"/>
      <c r="S3588" s="9"/>
      <c r="T3588" s="9"/>
      <c r="U3588" s="9"/>
      <c r="V3588" s="9"/>
      <c r="W3588" s="9"/>
      <c r="X3588" s="9"/>
      <c r="Y3588" s="9"/>
      <c r="Z3588" s="9"/>
      <c r="AA3588" s="9"/>
      <c r="AB3588" s="9"/>
      <c r="AC3588" s="9"/>
      <c r="AD3588" s="9"/>
      <c r="AE3588" s="9"/>
      <c r="AF3588" s="9"/>
      <c r="AG3588" s="9"/>
      <c r="AH3588" s="9"/>
      <c r="AI3588" s="9"/>
      <c r="AJ3588" s="9"/>
      <c r="AK3588" s="9"/>
      <c r="AL3588" s="9"/>
      <c r="AM3588" s="9"/>
      <c r="AN3588" s="9"/>
      <c r="AO3588" s="9"/>
      <c r="AP3588" s="9"/>
      <c r="AQ3588" s="9"/>
      <c r="AR3588" s="9"/>
      <c r="AS3588" s="9"/>
      <c r="AT3588" s="9"/>
      <c r="AU3588" s="9"/>
    </row>
    <row r="3589" spans="1:47" ht="15.75" customHeight="1">
      <c r="A3589" s="9"/>
      <c r="B3589" s="9"/>
      <c r="C3589" s="9"/>
      <c r="D3589" s="9"/>
      <c r="E3589" s="9"/>
      <c r="F3589" s="67"/>
      <c r="G3589" s="9"/>
      <c r="H3589" s="9"/>
      <c r="I3589" s="9"/>
      <c r="J3589" s="9"/>
      <c r="K3589" s="9"/>
      <c r="L3589" s="9"/>
      <c r="M3589" s="9"/>
      <c r="N3589" s="9"/>
      <c r="O3589" s="9"/>
      <c r="P3589" s="9"/>
      <c r="Q3589" s="9"/>
      <c r="R3589" s="9"/>
      <c r="S3589" s="9"/>
      <c r="T3589" s="9"/>
      <c r="U3589" s="9"/>
      <c r="V3589" s="9"/>
      <c r="W3589" s="9"/>
      <c r="X3589" s="9"/>
      <c r="Y3589" s="9"/>
      <c r="Z3589" s="9"/>
      <c r="AA3589" s="9"/>
      <c r="AB3589" s="9"/>
      <c r="AC3589" s="9"/>
      <c r="AD3589" s="9"/>
      <c r="AE3589" s="9"/>
      <c r="AF3589" s="9"/>
      <c r="AG3589" s="9"/>
      <c r="AH3589" s="9"/>
      <c r="AI3589" s="9"/>
      <c r="AJ3589" s="9"/>
      <c r="AK3589" s="9"/>
      <c r="AL3589" s="9"/>
      <c r="AM3589" s="9"/>
      <c r="AN3589" s="9"/>
      <c r="AO3589" s="9"/>
      <c r="AP3589" s="9"/>
      <c r="AQ3589" s="9"/>
      <c r="AR3589" s="9"/>
      <c r="AS3589" s="9"/>
      <c r="AT3589" s="9"/>
      <c r="AU3589" s="9"/>
    </row>
    <row r="3590" spans="1:47" ht="15.75" customHeight="1">
      <c r="A3590" s="9"/>
      <c r="B3590" s="9"/>
      <c r="C3590" s="9"/>
      <c r="D3590" s="9"/>
      <c r="E3590" s="9"/>
      <c r="F3590" s="67"/>
      <c r="G3590" s="9"/>
      <c r="H3590" s="9"/>
      <c r="I3590" s="9"/>
      <c r="J3590" s="9"/>
      <c r="K3590" s="9"/>
      <c r="L3590" s="9"/>
      <c r="M3590" s="9"/>
      <c r="N3590" s="9"/>
      <c r="O3590" s="9"/>
      <c r="P3590" s="9"/>
      <c r="Q3590" s="9"/>
      <c r="R3590" s="9"/>
      <c r="S3590" s="9"/>
      <c r="T3590" s="9"/>
      <c r="U3590" s="9"/>
      <c r="V3590" s="9"/>
      <c r="W3590" s="9"/>
      <c r="X3590" s="9"/>
      <c r="Y3590" s="9"/>
      <c r="Z3590" s="9"/>
      <c r="AA3590" s="9"/>
      <c r="AB3590" s="9"/>
      <c r="AC3590" s="9"/>
      <c r="AD3590" s="9"/>
      <c r="AE3590" s="9"/>
      <c r="AF3590" s="9"/>
      <c r="AG3590" s="9"/>
      <c r="AH3590" s="9"/>
      <c r="AI3590" s="9"/>
      <c r="AJ3590" s="9"/>
      <c r="AK3590" s="9"/>
      <c r="AL3590" s="9"/>
      <c r="AM3590" s="9"/>
      <c r="AN3590" s="9"/>
      <c r="AO3590" s="9"/>
      <c r="AP3590" s="9"/>
      <c r="AQ3590" s="9"/>
      <c r="AR3590" s="9"/>
      <c r="AS3590" s="9"/>
      <c r="AT3590" s="9"/>
      <c r="AU3590" s="9"/>
    </row>
    <row r="3591" spans="1:47" ht="15.75" customHeight="1">
      <c r="A3591" s="9"/>
      <c r="B3591" s="9"/>
      <c r="C3591" s="9"/>
      <c r="D3591" s="9"/>
      <c r="E3591" s="9"/>
      <c r="F3591" s="67"/>
      <c r="G3591" s="9"/>
      <c r="H3591" s="9"/>
      <c r="I3591" s="9"/>
      <c r="J3591" s="9"/>
      <c r="K3591" s="9"/>
      <c r="L3591" s="9"/>
      <c r="M3591" s="9"/>
      <c r="N3591" s="9"/>
      <c r="O3591" s="9"/>
      <c r="P3591" s="9"/>
      <c r="Q3591" s="9"/>
      <c r="R3591" s="9"/>
      <c r="S3591" s="9"/>
      <c r="T3591" s="9"/>
      <c r="U3591" s="9"/>
      <c r="V3591" s="9"/>
      <c r="W3591" s="9"/>
      <c r="X3591" s="9"/>
      <c r="Y3591" s="9"/>
      <c r="Z3591" s="9"/>
      <c r="AA3591" s="9"/>
      <c r="AB3591" s="9"/>
      <c r="AC3591" s="9"/>
      <c r="AD3591" s="9"/>
      <c r="AE3591" s="9"/>
      <c r="AF3591" s="9"/>
      <c r="AG3591" s="9"/>
      <c r="AH3591" s="9"/>
      <c r="AI3591" s="9"/>
      <c r="AJ3591" s="9"/>
      <c r="AK3591" s="9"/>
      <c r="AL3591" s="9"/>
      <c r="AM3591" s="9"/>
      <c r="AN3591" s="9"/>
      <c r="AO3591" s="9"/>
      <c r="AP3591" s="9"/>
      <c r="AQ3591" s="9"/>
      <c r="AR3591" s="9"/>
      <c r="AS3591" s="9"/>
      <c r="AT3591" s="9"/>
      <c r="AU3591" s="9"/>
    </row>
    <row r="3592" spans="1:47" ht="15.75" customHeight="1">
      <c r="A3592" s="9"/>
      <c r="B3592" s="9"/>
      <c r="C3592" s="9"/>
      <c r="D3592" s="9"/>
      <c r="E3592" s="9"/>
      <c r="F3592" s="67"/>
      <c r="G3592" s="9"/>
      <c r="H3592" s="9"/>
      <c r="I3592" s="9"/>
      <c r="J3592" s="9"/>
      <c r="K3592" s="9"/>
      <c r="L3592" s="9"/>
      <c r="M3592" s="9"/>
      <c r="N3592" s="9"/>
      <c r="O3592" s="9"/>
      <c r="P3592" s="9"/>
      <c r="Q3592" s="9"/>
      <c r="R3592" s="9"/>
      <c r="S3592" s="9"/>
      <c r="T3592" s="9"/>
      <c r="U3592" s="9"/>
      <c r="V3592" s="9"/>
      <c r="W3592" s="9"/>
      <c r="X3592" s="9"/>
      <c r="Y3592" s="9"/>
      <c r="Z3592" s="9"/>
      <c r="AA3592" s="9"/>
      <c r="AB3592" s="9"/>
      <c r="AC3592" s="9"/>
      <c r="AD3592" s="9"/>
      <c r="AE3592" s="9"/>
      <c r="AF3592" s="9"/>
      <c r="AG3592" s="9"/>
      <c r="AH3592" s="9"/>
      <c r="AI3592" s="9"/>
      <c r="AJ3592" s="9"/>
      <c r="AK3592" s="9"/>
      <c r="AL3592" s="9"/>
      <c r="AM3592" s="9"/>
      <c r="AN3592" s="9"/>
      <c r="AO3592" s="9"/>
      <c r="AP3592" s="9"/>
      <c r="AQ3592" s="9"/>
      <c r="AR3592" s="9"/>
      <c r="AS3592" s="9"/>
      <c r="AT3592" s="9"/>
      <c r="AU3592" s="9"/>
    </row>
    <row r="3593" spans="1:47" ht="15.75" customHeight="1">
      <c r="A3593" s="9"/>
      <c r="B3593" s="9"/>
      <c r="C3593" s="9"/>
      <c r="D3593" s="9"/>
      <c r="E3593" s="9"/>
      <c r="F3593" s="67"/>
      <c r="G3593" s="9"/>
      <c r="H3593" s="9"/>
      <c r="I3593" s="9"/>
      <c r="J3593" s="9"/>
      <c r="K3593" s="9"/>
      <c r="L3593" s="9"/>
      <c r="M3593" s="9"/>
      <c r="N3593" s="9"/>
      <c r="O3593" s="9"/>
      <c r="P3593" s="9"/>
      <c r="Q3593" s="9"/>
      <c r="R3593" s="9"/>
      <c r="S3593" s="9"/>
      <c r="T3593" s="9"/>
      <c r="U3593" s="9"/>
      <c r="V3593" s="9"/>
      <c r="W3593" s="9"/>
      <c r="X3593" s="9"/>
      <c r="Y3593" s="9"/>
      <c r="Z3593" s="9"/>
      <c r="AA3593" s="9"/>
      <c r="AB3593" s="9"/>
      <c r="AC3593" s="9"/>
      <c r="AD3593" s="9"/>
      <c r="AE3593" s="9"/>
      <c r="AF3593" s="9"/>
      <c r="AG3593" s="9"/>
      <c r="AH3593" s="9"/>
      <c r="AI3593" s="9"/>
      <c r="AJ3593" s="9"/>
      <c r="AK3593" s="9"/>
      <c r="AL3593" s="9"/>
      <c r="AM3593" s="9"/>
      <c r="AN3593" s="9"/>
      <c r="AO3593" s="9"/>
      <c r="AP3593" s="9"/>
      <c r="AQ3593" s="9"/>
      <c r="AR3593" s="9"/>
      <c r="AS3593" s="9"/>
      <c r="AT3593" s="9"/>
      <c r="AU3593" s="9"/>
    </row>
    <row r="3594" spans="1:47" ht="15.75" customHeight="1">
      <c r="A3594" s="9"/>
      <c r="B3594" s="9"/>
      <c r="C3594" s="9"/>
      <c r="D3594" s="9"/>
      <c r="E3594" s="9"/>
      <c r="F3594" s="67"/>
      <c r="G3594" s="9"/>
      <c r="H3594" s="9"/>
      <c r="I3594" s="9"/>
      <c r="J3594" s="9"/>
      <c r="K3594" s="9"/>
      <c r="L3594" s="9"/>
      <c r="M3594" s="9"/>
      <c r="N3594" s="9"/>
      <c r="O3594" s="9"/>
      <c r="P3594" s="9"/>
      <c r="Q3594" s="9"/>
      <c r="R3594" s="9"/>
      <c r="S3594" s="9"/>
      <c r="T3594" s="9"/>
      <c r="U3594" s="9"/>
      <c r="V3594" s="9"/>
      <c r="W3594" s="9"/>
      <c r="X3594" s="9"/>
      <c r="Y3594" s="9"/>
      <c r="Z3594" s="9"/>
      <c r="AA3594" s="9"/>
      <c r="AB3594" s="9"/>
      <c r="AC3594" s="9"/>
      <c r="AD3594" s="9"/>
      <c r="AE3594" s="9"/>
      <c r="AF3594" s="9"/>
      <c r="AG3594" s="9"/>
      <c r="AH3594" s="9"/>
      <c r="AI3594" s="9"/>
      <c r="AJ3594" s="9"/>
      <c r="AK3594" s="9"/>
      <c r="AL3594" s="9"/>
      <c r="AM3594" s="9"/>
      <c r="AN3594" s="9"/>
      <c r="AO3594" s="9"/>
      <c r="AP3594" s="9"/>
      <c r="AQ3594" s="9"/>
      <c r="AR3594" s="9"/>
      <c r="AS3594" s="9"/>
      <c r="AT3594" s="9"/>
      <c r="AU3594" s="9"/>
    </row>
    <row r="3595" spans="1:47" ht="15.75" customHeight="1">
      <c r="A3595" s="9"/>
      <c r="B3595" s="9"/>
      <c r="C3595" s="9"/>
      <c r="D3595" s="9"/>
      <c r="E3595" s="9"/>
      <c r="F3595" s="67"/>
      <c r="G3595" s="9"/>
      <c r="H3595" s="9"/>
      <c r="I3595" s="9"/>
      <c r="J3595" s="9"/>
      <c r="K3595" s="9"/>
      <c r="L3595" s="9"/>
      <c r="M3595" s="9"/>
      <c r="N3595" s="9"/>
      <c r="O3595" s="9"/>
      <c r="P3595" s="9"/>
      <c r="Q3595" s="9"/>
      <c r="R3595" s="9"/>
      <c r="S3595" s="9"/>
      <c r="T3595" s="9"/>
      <c r="U3595" s="9"/>
      <c r="V3595" s="9"/>
      <c r="W3595" s="9"/>
      <c r="X3595" s="9"/>
      <c r="Y3595" s="9"/>
      <c r="Z3595" s="9"/>
      <c r="AA3595" s="9"/>
      <c r="AB3595" s="9"/>
      <c r="AC3595" s="9"/>
      <c r="AD3595" s="9"/>
      <c r="AE3595" s="9"/>
      <c r="AF3595" s="9"/>
      <c r="AG3595" s="9"/>
      <c r="AH3595" s="9"/>
      <c r="AI3595" s="9"/>
      <c r="AJ3595" s="9"/>
      <c r="AK3595" s="9"/>
      <c r="AL3595" s="9"/>
      <c r="AM3595" s="9"/>
      <c r="AN3595" s="9"/>
      <c r="AO3595" s="9"/>
      <c r="AP3595" s="9"/>
      <c r="AQ3595" s="9"/>
      <c r="AR3595" s="9"/>
      <c r="AS3595" s="9"/>
      <c r="AT3595" s="9"/>
      <c r="AU3595" s="9"/>
    </row>
    <row r="3596" spans="1:47" ht="15.75" customHeight="1">
      <c r="A3596" s="9"/>
      <c r="B3596" s="9"/>
      <c r="C3596" s="9"/>
      <c r="D3596" s="9"/>
      <c r="E3596" s="9"/>
      <c r="F3596" s="67"/>
      <c r="G3596" s="9"/>
      <c r="H3596" s="9"/>
      <c r="I3596" s="9"/>
      <c r="J3596" s="9"/>
      <c r="K3596" s="9"/>
      <c r="L3596" s="9"/>
      <c r="M3596" s="9"/>
      <c r="N3596" s="9"/>
      <c r="O3596" s="9"/>
      <c r="P3596" s="9"/>
      <c r="Q3596" s="9"/>
      <c r="R3596" s="9"/>
      <c r="S3596" s="9"/>
      <c r="T3596" s="9"/>
      <c r="U3596" s="9"/>
      <c r="V3596" s="9"/>
      <c r="W3596" s="9"/>
      <c r="X3596" s="9"/>
      <c r="Y3596" s="9"/>
      <c r="Z3596" s="9"/>
      <c r="AA3596" s="9"/>
      <c r="AB3596" s="9"/>
      <c r="AC3596" s="9"/>
      <c r="AD3596" s="9"/>
      <c r="AE3596" s="9"/>
      <c r="AF3596" s="9"/>
      <c r="AG3596" s="9"/>
      <c r="AH3596" s="9"/>
      <c r="AI3596" s="9"/>
      <c r="AJ3596" s="9"/>
      <c r="AK3596" s="9"/>
      <c r="AL3596" s="9"/>
      <c r="AM3596" s="9"/>
      <c r="AN3596" s="9"/>
      <c r="AO3596" s="9"/>
      <c r="AP3596" s="9"/>
      <c r="AQ3596" s="9"/>
      <c r="AR3596" s="9"/>
      <c r="AS3596" s="9"/>
      <c r="AT3596" s="9"/>
      <c r="AU3596" s="9"/>
    </row>
    <row r="3597" spans="1:47" ht="15.75" customHeight="1">
      <c r="A3597" s="9"/>
      <c r="B3597" s="9"/>
      <c r="C3597" s="9"/>
      <c r="D3597" s="9"/>
      <c r="E3597" s="9"/>
      <c r="F3597" s="67"/>
      <c r="G3597" s="9"/>
      <c r="H3597" s="9"/>
      <c r="I3597" s="9"/>
      <c r="J3597" s="9"/>
      <c r="K3597" s="9"/>
      <c r="L3597" s="9"/>
      <c r="M3597" s="9"/>
      <c r="N3597" s="9"/>
      <c r="O3597" s="9"/>
      <c r="P3597" s="9"/>
      <c r="Q3597" s="9"/>
      <c r="R3597" s="9"/>
      <c r="S3597" s="9"/>
      <c r="T3597" s="9"/>
      <c r="U3597" s="9"/>
      <c r="V3597" s="9"/>
      <c r="W3597" s="9"/>
      <c r="X3597" s="9"/>
      <c r="Y3597" s="9"/>
      <c r="Z3597" s="9"/>
      <c r="AA3597" s="9"/>
      <c r="AB3597" s="9"/>
      <c r="AC3597" s="9"/>
      <c r="AD3597" s="9"/>
      <c r="AE3597" s="9"/>
      <c r="AF3597" s="9"/>
      <c r="AG3597" s="9"/>
      <c r="AH3597" s="9"/>
      <c r="AI3597" s="9"/>
      <c r="AJ3597" s="9"/>
      <c r="AK3597" s="9"/>
      <c r="AL3597" s="9"/>
      <c r="AM3597" s="9"/>
      <c r="AN3597" s="9"/>
      <c r="AO3597" s="9"/>
      <c r="AP3597" s="9"/>
      <c r="AQ3597" s="9"/>
      <c r="AR3597" s="9"/>
      <c r="AS3597" s="9"/>
      <c r="AT3597" s="9"/>
      <c r="AU3597" s="9"/>
    </row>
    <row r="3598" spans="1:47" ht="15.75" customHeight="1">
      <c r="A3598" s="9"/>
      <c r="B3598" s="9"/>
      <c r="C3598" s="9"/>
      <c r="D3598" s="9"/>
      <c r="E3598" s="9"/>
      <c r="F3598" s="67"/>
      <c r="G3598" s="9"/>
      <c r="H3598" s="9"/>
      <c r="I3598" s="9"/>
      <c r="J3598" s="9"/>
      <c r="K3598" s="9"/>
      <c r="L3598" s="9"/>
      <c r="M3598" s="9"/>
      <c r="N3598" s="9"/>
      <c r="O3598" s="9"/>
      <c r="P3598" s="9"/>
      <c r="Q3598" s="9"/>
      <c r="R3598" s="9"/>
      <c r="S3598" s="9"/>
      <c r="T3598" s="9"/>
      <c r="U3598" s="9"/>
      <c r="V3598" s="9"/>
      <c r="W3598" s="9"/>
      <c r="X3598" s="9"/>
      <c r="Y3598" s="9"/>
      <c r="Z3598" s="9"/>
      <c r="AA3598" s="9"/>
      <c r="AB3598" s="9"/>
      <c r="AC3598" s="9"/>
      <c r="AD3598" s="9"/>
      <c r="AE3598" s="9"/>
      <c r="AF3598" s="9"/>
      <c r="AG3598" s="9"/>
      <c r="AH3598" s="9"/>
      <c r="AI3598" s="9"/>
      <c r="AJ3598" s="9"/>
      <c r="AK3598" s="9"/>
      <c r="AL3598" s="9"/>
      <c r="AM3598" s="9"/>
      <c r="AN3598" s="9"/>
      <c r="AO3598" s="9"/>
      <c r="AP3598" s="9"/>
      <c r="AQ3598" s="9"/>
      <c r="AR3598" s="9"/>
      <c r="AS3598" s="9"/>
      <c r="AT3598" s="9"/>
      <c r="AU3598" s="9"/>
    </row>
    <row r="3599" spans="1:47" ht="15.75" customHeight="1">
      <c r="A3599" s="9"/>
      <c r="B3599" s="9"/>
      <c r="C3599" s="9"/>
      <c r="D3599" s="9"/>
      <c r="E3599" s="9"/>
      <c r="F3599" s="67"/>
      <c r="G3599" s="9"/>
      <c r="H3599" s="9"/>
      <c r="I3599" s="9"/>
      <c r="J3599" s="9"/>
      <c r="K3599" s="9"/>
      <c r="L3599" s="9"/>
      <c r="M3599" s="9"/>
      <c r="N3599" s="9"/>
      <c r="O3599" s="9"/>
      <c r="P3599" s="9"/>
      <c r="Q3599" s="9"/>
      <c r="R3599" s="9"/>
      <c r="S3599" s="9"/>
      <c r="T3599" s="9"/>
      <c r="U3599" s="9"/>
      <c r="V3599" s="9"/>
      <c r="W3599" s="9"/>
      <c r="X3599" s="9"/>
      <c r="Y3599" s="9"/>
      <c r="Z3599" s="9"/>
      <c r="AA3599" s="9"/>
      <c r="AB3599" s="9"/>
      <c r="AC3599" s="9"/>
      <c r="AD3599" s="9"/>
      <c r="AE3599" s="9"/>
      <c r="AF3599" s="9"/>
      <c r="AG3599" s="9"/>
      <c r="AH3599" s="9"/>
      <c r="AI3599" s="9"/>
      <c r="AJ3599" s="9"/>
      <c r="AK3599" s="9"/>
      <c r="AL3599" s="9"/>
      <c r="AM3599" s="9"/>
      <c r="AN3599" s="9"/>
      <c r="AO3599" s="9"/>
      <c r="AP3599" s="9"/>
      <c r="AQ3599" s="9"/>
      <c r="AR3599" s="9"/>
      <c r="AS3599" s="9"/>
      <c r="AT3599" s="9"/>
      <c r="AU3599" s="9"/>
    </row>
    <row r="3600" spans="1:47" ht="15.75" customHeight="1">
      <c r="A3600" s="9"/>
      <c r="B3600" s="9"/>
      <c r="C3600" s="9"/>
      <c r="D3600" s="9"/>
      <c r="E3600" s="9"/>
      <c r="F3600" s="67"/>
      <c r="G3600" s="9"/>
      <c r="H3600" s="9"/>
      <c r="I3600" s="9"/>
      <c r="J3600" s="9"/>
      <c r="K3600" s="9"/>
      <c r="L3600" s="9"/>
      <c r="M3600" s="9"/>
      <c r="N3600" s="9"/>
      <c r="O3600" s="9"/>
      <c r="P3600" s="9"/>
      <c r="Q3600" s="9"/>
      <c r="R3600" s="9"/>
      <c r="S3600" s="9"/>
      <c r="T3600" s="9"/>
      <c r="U3600" s="9"/>
      <c r="V3600" s="9"/>
      <c r="W3600" s="9"/>
      <c r="X3600" s="9"/>
      <c r="Y3600" s="9"/>
      <c r="Z3600" s="9"/>
      <c r="AA3600" s="9"/>
      <c r="AB3600" s="9"/>
      <c r="AC3600" s="9"/>
      <c r="AD3600" s="9"/>
      <c r="AE3600" s="9"/>
      <c r="AF3600" s="9"/>
      <c r="AG3600" s="9"/>
      <c r="AH3600" s="9"/>
      <c r="AI3600" s="9"/>
      <c r="AJ3600" s="9"/>
      <c r="AK3600" s="9"/>
      <c r="AL3600" s="9"/>
      <c r="AM3600" s="9"/>
      <c r="AN3600" s="9"/>
      <c r="AO3600" s="9"/>
      <c r="AP3600" s="9"/>
      <c r="AQ3600" s="9"/>
      <c r="AR3600" s="9"/>
      <c r="AS3600" s="9"/>
      <c r="AT3600" s="9"/>
      <c r="AU3600" s="9"/>
    </row>
    <row r="3601" spans="1:47" ht="15.75" customHeight="1">
      <c r="A3601" s="9"/>
      <c r="B3601" s="9"/>
      <c r="C3601" s="9"/>
      <c r="D3601" s="9"/>
      <c r="E3601" s="9"/>
      <c r="F3601" s="67"/>
      <c r="G3601" s="9"/>
      <c r="H3601" s="9"/>
      <c r="I3601" s="9"/>
      <c r="J3601" s="9"/>
      <c r="K3601" s="9"/>
      <c r="L3601" s="9"/>
      <c r="M3601" s="9"/>
      <c r="N3601" s="9"/>
      <c r="O3601" s="9"/>
      <c r="P3601" s="9"/>
      <c r="Q3601" s="9"/>
      <c r="R3601" s="9"/>
      <c r="S3601" s="9"/>
      <c r="T3601" s="9"/>
      <c r="U3601" s="9"/>
      <c r="V3601" s="9"/>
      <c r="W3601" s="9"/>
      <c r="X3601" s="9"/>
      <c r="Y3601" s="9"/>
      <c r="Z3601" s="9"/>
      <c r="AA3601" s="9"/>
      <c r="AB3601" s="9"/>
      <c r="AC3601" s="9"/>
      <c r="AD3601" s="9"/>
      <c r="AE3601" s="9"/>
      <c r="AF3601" s="9"/>
      <c r="AG3601" s="9"/>
      <c r="AH3601" s="9"/>
      <c r="AI3601" s="9"/>
      <c r="AJ3601" s="9"/>
      <c r="AK3601" s="9"/>
      <c r="AL3601" s="9"/>
      <c r="AM3601" s="9"/>
      <c r="AN3601" s="9"/>
      <c r="AO3601" s="9"/>
      <c r="AP3601" s="9"/>
      <c r="AQ3601" s="9"/>
      <c r="AR3601" s="9"/>
      <c r="AS3601" s="9"/>
      <c r="AT3601" s="9"/>
      <c r="AU3601" s="9"/>
    </row>
    <row r="3602" spans="1:47" ht="15.75" customHeight="1">
      <c r="A3602" s="9"/>
      <c r="B3602" s="9"/>
      <c r="C3602" s="9"/>
      <c r="D3602" s="9"/>
      <c r="E3602" s="9"/>
      <c r="F3602" s="67"/>
      <c r="G3602" s="9"/>
      <c r="H3602" s="9"/>
      <c r="I3602" s="9"/>
      <c r="J3602" s="9"/>
      <c r="K3602" s="9"/>
      <c r="L3602" s="9"/>
      <c r="M3602" s="9"/>
      <c r="N3602" s="9"/>
      <c r="O3602" s="9"/>
      <c r="P3602" s="9"/>
      <c r="Q3602" s="9"/>
      <c r="R3602" s="9"/>
      <c r="S3602" s="9"/>
      <c r="T3602" s="9"/>
      <c r="U3602" s="9"/>
      <c r="V3602" s="9"/>
      <c r="W3602" s="9"/>
      <c r="X3602" s="9"/>
      <c r="Y3602" s="9"/>
      <c r="Z3602" s="9"/>
      <c r="AA3602" s="9"/>
      <c r="AB3602" s="9"/>
      <c r="AC3602" s="9"/>
      <c r="AD3602" s="9"/>
      <c r="AE3602" s="9"/>
      <c r="AF3602" s="9"/>
      <c r="AG3602" s="9"/>
      <c r="AH3602" s="9"/>
      <c r="AI3602" s="9"/>
      <c r="AJ3602" s="9"/>
      <c r="AK3602" s="9"/>
      <c r="AL3602" s="9"/>
      <c r="AM3602" s="9"/>
      <c r="AN3602" s="9"/>
      <c r="AO3602" s="9"/>
      <c r="AP3602" s="9"/>
      <c r="AQ3602" s="9"/>
      <c r="AR3602" s="9"/>
      <c r="AS3602" s="9"/>
      <c r="AT3602" s="9"/>
      <c r="AU3602" s="9"/>
    </row>
    <row r="3603" spans="1:47" ht="15.75" customHeight="1">
      <c r="A3603" s="9"/>
      <c r="B3603" s="9"/>
      <c r="C3603" s="9"/>
      <c r="D3603" s="9"/>
      <c r="E3603" s="9"/>
      <c r="F3603" s="67"/>
      <c r="G3603" s="9"/>
      <c r="H3603" s="9"/>
      <c r="I3603" s="9"/>
      <c r="J3603" s="9"/>
      <c r="K3603" s="9"/>
      <c r="L3603" s="9"/>
      <c r="M3603" s="9"/>
      <c r="N3603" s="9"/>
      <c r="O3603" s="9"/>
      <c r="P3603" s="9"/>
      <c r="Q3603" s="9"/>
      <c r="R3603" s="9"/>
      <c r="S3603" s="9"/>
      <c r="T3603" s="9"/>
      <c r="U3603" s="9"/>
      <c r="V3603" s="9"/>
      <c r="W3603" s="9"/>
      <c r="X3603" s="9"/>
      <c r="Y3603" s="9"/>
      <c r="Z3603" s="9"/>
      <c r="AA3603" s="9"/>
      <c r="AB3603" s="9"/>
      <c r="AC3603" s="9"/>
      <c r="AD3603" s="9"/>
      <c r="AE3603" s="9"/>
      <c r="AF3603" s="9"/>
      <c r="AG3603" s="9"/>
      <c r="AH3603" s="9"/>
      <c r="AI3603" s="9"/>
      <c r="AJ3603" s="9"/>
      <c r="AK3603" s="9"/>
      <c r="AL3603" s="9"/>
      <c r="AM3603" s="9"/>
      <c r="AN3603" s="9"/>
      <c r="AO3603" s="9"/>
      <c r="AP3603" s="9"/>
      <c r="AQ3603" s="9"/>
      <c r="AR3603" s="9"/>
      <c r="AS3603" s="9"/>
      <c r="AT3603" s="9"/>
      <c r="AU3603" s="9"/>
    </row>
    <row r="3604" spans="1:47" ht="15.75" customHeight="1">
      <c r="A3604" s="9"/>
      <c r="B3604" s="9"/>
      <c r="C3604" s="9"/>
      <c r="D3604" s="9"/>
      <c r="E3604" s="9"/>
      <c r="F3604" s="67"/>
      <c r="G3604" s="9"/>
      <c r="H3604" s="9"/>
      <c r="I3604" s="9"/>
      <c r="J3604" s="9"/>
      <c r="K3604" s="9"/>
      <c r="L3604" s="9"/>
      <c r="M3604" s="9"/>
      <c r="N3604" s="9"/>
      <c r="O3604" s="9"/>
      <c r="P3604" s="9"/>
      <c r="Q3604" s="9"/>
      <c r="R3604" s="9"/>
      <c r="S3604" s="9"/>
      <c r="T3604" s="9"/>
      <c r="U3604" s="9"/>
      <c r="V3604" s="9"/>
      <c r="W3604" s="9"/>
      <c r="X3604" s="9"/>
      <c r="Y3604" s="9"/>
      <c r="Z3604" s="9"/>
      <c r="AA3604" s="9"/>
      <c r="AB3604" s="9"/>
      <c r="AC3604" s="9"/>
      <c r="AD3604" s="9"/>
      <c r="AE3604" s="9"/>
      <c r="AF3604" s="9"/>
      <c r="AG3604" s="9"/>
      <c r="AH3604" s="9"/>
      <c r="AI3604" s="9"/>
      <c r="AJ3604" s="9"/>
      <c r="AK3604" s="9"/>
      <c r="AL3604" s="9"/>
      <c r="AM3604" s="9"/>
      <c r="AN3604" s="9"/>
      <c r="AO3604" s="9"/>
      <c r="AP3604" s="9"/>
      <c r="AQ3604" s="9"/>
      <c r="AR3604" s="9"/>
      <c r="AS3604" s="9"/>
      <c r="AT3604" s="9"/>
      <c r="AU3604" s="9"/>
    </row>
    <row r="3605" spans="1:47" ht="15.75" customHeight="1">
      <c r="A3605" s="9"/>
      <c r="B3605" s="9"/>
      <c r="C3605" s="9"/>
      <c r="D3605" s="9"/>
      <c r="E3605" s="9"/>
      <c r="F3605" s="67"/>
      <c r="G3605" s="9"/>
      <c r="H3605" s="9"/>
      <c r="I3605" s="9"/>
      <c r="J3605" s="9"/>
      <c r="K3605" s="9"/>
      <c r="L3605" s="9"/>
      <c r="M3605" s="9"/>
      <c r="N3605" s="9"/>
      <c r="O3605" s="9"/>
      <c r="P3605" s="9"/>
      <c r="Q3605" s="9"/>
      <c r="R3605" s="9"/>
      <c r="S3605" s="9"/>
      <c r="T3605" s="9"/>
      <c r="U3605" s="9"/>
      <c r="V3605" s="9"/>
      <c r="W3605" s="9"/>
      <c r="X3605" s="9"/>
      <c r="Y3605" s="9"/>
      <c r="Z3605" s="9"/>
      <c r="AA3605" s="9"/>
      <c r="AB3605" s="9"/>
      <c r="AC3605" s="9"/>
      <c r="AD3605" s="9"/>
      <c r="AE3605" s="9"/>
      <c r="AF3605" s="9"/>
      <c r="AG3605" s="9"/>
      <c r="AH3605" s="9"/>
      <c r="AI3605" s="9"/>
      <c r="AJ3605" s="9"/>
      <c r="AK3605" s="9"/>
      <c r="AL3605" s="9"/>
      <c r="AM3605" s="9"/>
      <c r="AN3605" s="9"/>
      <c r="AO3605" s="9"/>
      <c r="AP3605" s="9"/>
      <c r="AQ3605" s="9"/>
      <c r="AR3605" s="9"/>
      <c r="AS3605" s="9"/>
      <c r="AT3605" s="9"/>
      <c r="AU3605" s="9"/>
    </row>
    <row r="3606" spans="1:47" ht="15.75" customHeight="1">
      <c r="A3606" s="9"/>
      <c r="B3606" s="9"/>
      <c r="C3606" s="9"/>
      <c r="D3606" s="9"/>
      <c r="E3606" s="9"/>
      <c r="F3606" s="67"/>
      <c r="G3606" s="9"/>
      <c r="H3606" s="9"/>
      <c r="I3606" s="9"/>
      <c r="J3606" s="9"/>
      <c r="K3606" s="9"/>
      <c r="L3606" s="9"/>
      <c r="M3606" s="9"/>
      <c r="N3606" s="9"/>
      <c r="O3606" s="9"/>
      <c r="P3606" s="9"/>
      <c r="Q3606" s="9"/>
      <c r="R3606" s="9"/>
      <c r="S3606" s="9"/>
      <c r="T3606" s="9"/>
      <c r="U3606" s="9"/>
      <c r="V3606" s="9"/>
      <c r="W3606" s="9"/>
      <c r="X3606" s="9"/>
      <c r="Y3606" s="9"/>
      <c r="Z3606" s="9"/>
      <c r="AA3606" s="9"/>
      <c r="AB3606" s="9"/>
      <c r="AC3606" s="9"/>
      <c r="AD3606" s="9"/>
      <c r="AE3606" s="9"/>
      <c r="AF3606" s="9"/>
      <c r="AG3606" s="9"/>
      <c r="AH3606" s="9"/>
      <c r="AI3606" s="9"/>
      <c r="AJ3606" s="9"/>
      <c r="AK3606" s="9"/>
      <c r="AL3606" s="9"/>
      <c r="AM3606" s="9"/>
      <c r="AN3606" s="9"/>
      <c r="AO3606" s="9"/>
      <c r="AP3606" s="9"/>
      <c r="AQ3606" s="9"/>
      <c r="AR3606" s="9"/>
      <c r="AS3606" s="9"/>
      <c r="AT3606" s="9"/>
      <c r="AU3606" s="9"/>
    </row>
    <row r="3607" spans="1:47" ht="15.75" customHeight="1">
      <c r="A3607" s="9"/>
      <c r="B3607" s="9"/>
      <c r="C3607" s="9"/>
      <c r="D3607" s="9"/>
      <c r="E3607" s="9"/>
      <c r="F3607" s="67"/>
      <c r="G3607" s="9"/>
      <c r="H3607" s="9"/>
      <c r="I3607" s="9"/>
      <c r="J3607" s="9"/>
      <c r="K3607" s="9"/>
      <c r="L3607" s="9"/>
      <c r="M3607" s="9"/>
      <c r="N3607" s="9"/>
      <c r="O3607" s="9"/>
      <c r="P3607" s="9"/>
      <c r="Q3607" s="9"/>
      <c r="R3607" s="9"/>
      <c r="S3607" s="9"/>
      <c r="T3607" s="9"/>
      <c r="U3607" s="9"/>
      <c r="V3607" s="9"/>
      <c r="W3607" s="9"/>
      <c r="X3607" s="9"/>
      <c r="Y3607" s="9"/>
      <c r="Z3607" s="9"/>
      <c r="AA3607" s="9"/>
      <c r="AB3607" s="9"/>
      <c r="AC3607" s="9"/>
      <c r="AD3607" s="9"/>
      <c r="AE3607" s="9"/>
      <c r="AF3607" s="9"/>
      <c r="AG3607" s="9"/>
      <c r="AH3607" s="9"/>
      <c r="AI3607" s="9"/>
      <c r="AJ3607" s="9"/>
      <c r="AK3607" s="9"/>
      <c r="AL3607" s="9"/>
      <c r="AM3607" s="9"/>
      <c r="AN3607" s="9"/>
      <c r="AO3607" s="9"/>
      <c r="AP3607" s="9"/>
      <c r="AQ3607" s="9"/>
      <c r="AR3607" s="9"/>
      <c r="AS3607" s="9"/>
      <c r="AT3607" s="9"/>
      <c r="AU3607" s="9"/>
    </row>
    <row r="3608" spans="1:47" ht="15.75" customHeight="1">
      <c r="A3608" s="9"/>
      <c r="B3608" s="9"/>
      <c r="C3608" s="9"/>
      <c r="D3608" s="9"/>
      <c r="E3608" s="9"/>
      <c r="F3608" s="67"/>
      <c r="G3608" s="9"/>
      <c r="H3608" s="9"/>
      <c r="I3608" s="9"/>
      <c r="J3608" s="9"/>
      <c r="K3608" s="9"/>
      <c r="L3608" s="9"/>
      <c r="M3608" s="9"/>
      <c r="N3608" s="9"/>
      <c r="O3608" s="9"/>
      <c r="P3608" s="9"/>
      <c r="Q3608" s="9"/>
      <c r="R3608" s="9"/>
      <c r="S3608" s="9"/>
      <c r="T3608" s="9"/>
      <c r="U3608" s="9"/>
      <c r="V3608" s="9"/>
      <c r="W3608" s="9"/>
      <c r="X3608" s="9"/>
      <c r="Y3608" s="9"/>
      <c r="Z3608" s="9"/>
      <c r="AA3608" s="9"/>
      <c r="AB3608" s="9"/>
      <c r="AC3608" s="9"/>
      <c r="AD3608" s="9"/>
      <c r="AE3608" s="9"/>
      <c r="AF3608" s="9"/>
      <c r="AG3608" s="9"/>
      <c r="AH3608" s="9"/>
      <c r="AI3608" s="9"/>
      <c r="AJ3608" s="9"/>
      <c r="AK3608" s="9"/>
      <c r="AL3608" s="9"/>
      <c r="AM3608" s="9"/>
      <c r="AN3608" s="9"/>
      <c r="AO3608" s="9"/>
      <c r="AP3608" s="9"/>
      <c r="AQ3608" s="9"/>
      <c r="AR3608" s="9"/>
      <c r="AS3608" s="9"/>
      <c r="AT3608" s="9"/>
      <c r="AU3608" s="9"/>
    </row>
    <row r="3609" spans="1:47" ht="15.75" customHeight="1">
      <c r="A3609" s="9"/>
      <c r="B3609" s="9"/>
      <c r="C3609" s="9"/>
      <c r="D3609" s="9"/>
      <c r="E3609" s="9"/>
      <c r="F3609" s="67"/>
      <c r="G3609" s="9"/>
      <c r="H3609" s="9"/>
      <c r="I3609" s="9"/>
      <c r="J3609" s="9"/>
      <c r="K3609" s="9"/>
      <c r="L3609" s="9"/>
      <c r="M3609" s="9"/>
      <c r="N3609" s="9"/>
      <c r="O3609" s="9"/>
      <c r="P3609" s="9"/>
      <c r="Q3609" s="9"/>
      <c r="R3609" s="9"/>
      <c r="S3609" s="9"/>
      <c r="T3609" s="9"/>
      <c r="U3609" s="9"/>
      <c r="V3609" s="9"/>
      <c r="W3609" s="9"/>
      <c r="X3609" s="9"/>
      <c r="Y3609" s="9"/>
      <c r="Z3609" s="9"/>
      <c r="AA3609" s="9"/>
      <c r="AB3609" s="9"/>
      <c r="AC3609" s="9"/>
      <c r="AD3609" s="9"/>
      <c r="AE3609" s="9"/>
      <c r="AF3609" s="9"/>
      <c r="AG3609" s="9"/>
      <c r="AH3609" s="9"/>
      <c r="AI3609" s="9"/>
      <c r="AJ3609" s="9"/>
      <c r="AK3609" s="9"/>
      <c r="AL3609" s="9"/>
      <c r="AM3609" s="9"/>
      <c r="AN3609" s="9"/>
      <c r="AO3609" s="9"/>
      <c r="AP3609" s="9"/>
      <c r="AQ3609" s="9"/>
      <c r="AR3609" s="9"/>
      <c r="AS3609" s="9"/>
      <c r="AT3609" s="9"/>
      <c r="AU3609" s="9"/>
    </row>
    <row r="3610" spans="1:47" ht="15.75" customHeight="1">
      <c r="A3610" s="9"/>
      <c r="B3610" s="9"/>
      <c r="C3610" s="9"/>
      <c r="D3610" s="9"/>
      <c r="E3610" s="9"/>
      <c r="F3610" s="67"/>
      <c r="G3610" s="9"/>
      <c r="H3610" s="9"/>
      <c r="I3610" s="9"/>
      <c r="J3610" s="9"/>
      <c r="K3610" s="9"/>
      <c r="L3610" s="9"/>
      <c r="M3610" s="9"/>
      <c r="N3610" s="9"/>
      <c r="O3610" s="9"/>
      <c r="P3610" s="9"/>
      <c r="Q3610" s="9"/>
      <c r="R3610" s="9"/>
      <c r="S3610" s="9"/>
      <c r="T3610" s="9"/>
      <c r="U3610" s="9"/>
      <c r="V3610" s="9"/>
      <c r="W3610" s="9"/>
      <c r="X3610" s="9"/>
      <c r="Y3610" s="9"/>
      <c r="Z3610" s="9"/>
      <c r="AA3610" s="9"/>
      <c r="AB3610" s="9"/>
      <c r="AC3610" s="9"/>
      <c r="AD3610" s="9"/>
      <c r="AE3610" s="9"/>
      <c r="AF3610" s="9"/>
      <c r="AG3610" s="9"/>
      <c r="AH3610" s="9"/>
      <c r="AI3610" s="9"/>
      <c r="AJ3610" s="9"/>
      <c r="AK3610" s="9"/>
      <c r="AL3610" s="9"/>
      <c r="AM3610" s="9"/>
      <c r="AN3610" s="9"/>
      <c r="AO3610" s="9"/>
      <c r="AP3610" s="9"/>
      <c r="AQ3610" s="9"/>
      <c r="AR3610" s="9"/>
      <c r="AS3610" s="9"/>
      <c r="AT3610" s="9"/>
      <c r="AU3610" s="9"/>
    </row>
    <row r="3611" spans="1:47" ht="15.75" customHeight="1">
      <c r="A3611" s="9"/>
      <c r="B3611" s="9"/>
      <c r="C3611" s="9"/>
      <c r="D3611" s="9"/>
      <c r="E3611" s="9"/>
      <c r="F3611" s="67"/>
      <c r="G3611" s="9"/>
      <c r="H3611" s="9"/>
      <c r="I3611" s="9"/>
      <c r="J3611" s="9"/>
      <c r="K3611" s="9"/>
      <c r="L3611" s="9"/>
      <c r="M3611" s="9"/>
      <c r="N3611" s="9"/>
      <c r="O3611" s="9"/>
      <c r="P3611" s="9"/>
      <c r="Q3611" s="9"/>
      <c r="R3611" s="9"/>
      <c r="S3611" s="9"/>
      <c r="T3611" s="9"/>
      <c r="U3611" s="9"/>
      <c r="V3611" s="9"/>
      <c r="W3611" s="9"/>
      <c r="X3611" s="9"/>
      <c r="Y3611" s="9"/>
      <c r="Z3611" s="9"/>
      <c r="AA3611" s="9"/>
      <c r="AB3611" s="9"/>
      <c r="AC3611" s="9"/>
      <c r="AD3611" s="9"/>
      <c r="AE3611" s="9"/>
      <c r="AF3611" s="9"/>
      <c r="AG3611" s="9"/>
      <c r="AH3611" s="9"/>
      <c r="AI3611" s="9"/>
      <c r="AJ3611" s="9"/>
      <c r="AK3611" s="9"/>
      <c r="AL3611" s="9"/>
      <c r="AM3611" s="9"/>
      <c r="AN3611" s="9"/>
      <c r="AO3611" s="9"/>
      <c r="AP3611" s="9"/>
      <c r="AQ3611" s="9"/>
      <c r="AR3611" s="9"/>
      <c r="AS3611" s="9"/>
      <c r="AT3611" s="9"/>
      <c r="AU3611" s="9"/>
    </row>
    <row r="3612" spans="1:47" ht="15.75" customHeight="1">
      <c r="A3612" s="9"/>
      <c r="B3612" s="9"/>
      <c r="C3612" s="9"/>
      <c r="D3612" s="9"/>
      <c r="E3612" s="9"/>
      <c r="F3612" s="67"/>
      <c r="G3612" s="9"/>
      <c r="H3612" s="9"/>
      <c r="I3612" s="9"/>
      <c r="J3612" s="9"/>
      <c r="K3612" s="9"/>
      <c r="L3612" s="9"/>
      <c r="M3612" s="9"/>
      <c r="N3612" s="9"/>
      <c r="O3612" s="9"/>
      <c r="P3612" s="9"/>
      <c r="Q3612" s="9"/>
      <c r="R3612" s="9"/>
      <c r="S3612" s="9"/>
      <c r="T3612" s="9"/>
      <c r="U3612" s="9"/>
      <c r="V3612" s="9"/>
      <c r="W3612" s="9"/>
      <c r="X3612" s="9"/>
      <c r="Y3612" s="9"/>
      <c r="Z3612" s="9"/>
      <c r="AA3612" s="9"/>
      <c r="AB3612" s="9"/>
      <c r="AC3612" s="9"/>
      <c r="AD3612" s="9"/>
      <c r="AE3612" s="9"/>
      <c r="AF3612" s="9"/>
      <c r="AG3612" s="9"/>
      <c r="AH3612" s="9"/>
      <c r="AI3612" s="9"/>
      <c r="AJ3612" s="9"/>
      <c r="AK3612" s="9"/>
      <c r="AL3612" s="9"/>
      <c r="AM3612" s="9"/>
      <c r="AN3612" s="9"/>
      <c r="AO3612" s="9"/>
      <c r="AP3612" s="9"/>
      <c r="AQ3612" s="9"/>
      <c r="AR3612" s="9"/>
      <c r="AS3612" s="9"/>
      <c r="AT3612" s="9"/>
      <c r="AU3612" s="9"/>
    </row>
    <row r="3613" spans="1:47" ht="15.75" customHeight="1">
      <c r="A3613" s="9"/>
      <c r="B3613" s="9"/>
      <c r="C3613" s="9"/>
      <c r="D3613" s="9"/>
      <c r="E3613" s="9"/>
      <c r="F3613" s="67"/>
      <c r="G3613" s="9"/>
      <c r="H3613" s="9"/>
      <c r="I3613" s="9"/>
      <c r="J3613" s="9"/>
      <c r="K3613" s="9"/>
      <c r="L3613" s="9"/>
      <c r="M3613" s="9"/>
      <c r="N3613" s="9"/>
      <c r="O3613" s="9"/>
      <c r="P3613" s="9"/>
      <c r="Q3613" s="9"/>
      <c r="R3613" s="9"/>
      <c r="S3613" s="9"/>
      <c r="T3613" s="9"/>
      <c r="U3613" s="9"/>
      <c r="V3613" s="9"/>
      <c r="W3613" s="9"/>
      <c r="X3613" s="9"/>
      <c r="Y3613" s="9"/>
      <c r="Z3613" s="9"/>
      <c r="AA3613" s="9"/>
      <c r="AB3613" s="9"/>
      <c r="AC3613" s="9"/>
      <c r="AD3613" s="9"/>
      <c r="AE3613" s="9"/>
      <c r="AF3613" s="9"/>
      <c r="AG3613" s="9"/>
      <c r="AH3613" s="9"/>
      <c r="AI3613" s="9"/>
      <c r="AJ3613" s="9"/>
      <c r="AK3613" s="9"/>
      <c r="AL3613" s="9"/>
      <c r="AM3613" s="9"/>
      <c r="AN3613" s="9"/>
      <c r="AO3613" s="9"/>
      <c r="AP3613" s="9"/>
      <c r="AQ3613" s="9"/>
      <c r="AR3613" s="9"/>
      <c r="AS3613" s="9"/>
      <c r="AT3613" s="9"/>
      <c r="AU3613" s="9"/>
    </row>
    <row r="3614" spans="1:47" ht="15.75" customHeight="1">
      <c r="A3614" s="9"/>
      <c r="B3614" s="9"/>
      <c r="C3614" s="9"/>
      <c r="D3614" s="9"/>
      <c r="E3614" s="9"/>
      <c r="F3614" s="67"/>
      <c r="G3614" s="9"/>
      <c r="H3614" s="9"/>
      <c r="I3614" s="9"/>
      <c r="J3614" s="9"/>
      <c r="K3614" s="9"/>
      <c r="L3614" s="9"/>
      <c r="M3614" s="9"/>
      <c r="N3614" s="9"/>
      <c r="O3614" s="9"/>
      <c r="P3614" s="9"/>
      <c r="Q3614" s="9"/>
      <c r="R3614" s="9"/>
      <c r="S3614" s="9"/>
      <c r="T3614" s="9"/>
      <c r="U3614" s="9"/>
      <c r="V3614" s="9"/>
      <c r="W3614" s="9"/>
      <c r="X3614" s="9"/>
      <c r="Y3614" s="9"/>
      <c r="Z3614" s="9"/>
      <c r="AA3614" s="9"/>
      <c r="AB3614" s="9"/>
      <c r="AC3614" s="9"/>
      <c r="AD3614" s="9"/>
      <c r="AE3614" s="9"/>
      <c r="AF3614" s="9"/>
      <c r="AG3614" s="9"/>
      <c r="AH3614" s="9"/>
      <c r="AI3614" s="9"/>
      <c r="AJ3614" s="9"/>
      <c r="AK3614" s="9"/>
      <c r="AL3614" s="9"/>
      <c r="AM3614" s="9"/>
      <c r="AN3614" s="9"/>
      <c r="AO3614" s="9"/>
      <c r="AP3614" s="9"/>
      <c r="AQ3614" s="9"/>
      <c r="AR3614" s="9"/>
      <c r="AS3614" s="9"/>
      <c r="AT3614" s="9"/>
      <c r="AU3614" s="9"/>
    </row>
    <row r="3615" spans="1:47" ht="15.75" customHeight="1">
      <c r="A3615" s="9"/>
      <c r="B3615" s="9"/>
      <c r="C3615" s="9"/>
      <c r="D3615" s="9"/>
      <c r="E3615" s="9"/>
      <c r="F3615" s="67"/>
      <c r="G3615" s="9"/>
      <c r="H3615" s="9"/>
      <c r="I3615" s="9"/>
      <c r="J3615" s="9"/>
      <c r="K3615" s="9"/>
      <c r="L3615" s="9"/>
      <c r="M3615" s="9"/>
      <c r="N3615" s="9"/>
      <c r="O3615" s="9"/>
      <c r="P3615" s="9"/>
      <c r="Q3615" s="9"/>
      <c r="R3615" s="9"/>
      <c r="S3615" s="9"/>
      <c r="T3615" s="9"/>
      <c r="U3615" s="9"/>
      <c r="V3615" s="9"/>
      <c r="W3615" s="9"/>
      <c r="X3615" s="9"/>
      <c r="Y3615" s="9"/>
      <c r="Z3615" s="9"/>
      <c r="AA3615" s="9"/>
      <c r="AB3615" s="9"/>
      <c r="AC3615" s="9"/>
      <c r="AD3615" s="9"/>
      <c r="AE3615" s="9"/>
      <c r="AF3615" s="9"/>
      <c r="AG3615" s="9"/>
      <c r="AH3615" s="9"/>
      <c r="AI3615" s="9"/>
      <c r="AJ3615" s="9"/>
      <c r="AK3615" s="9"/>
      <c r="AL3615" s="9"/>
      <c r="AM3615" s="9"/>
      <c r="AN3615" s="9"/>
      <c r="AO3615" s="9"/>
      <c r="AP3615" s="9"/>
      <c r="AQ3615" s="9"/>
      <c r="AR3615" s="9"/>
      <c r="AS3615" s="9"/>
      <c r="AT3615" s="9"/>
      <c r="AU3615" s="9"/>
    </row>
    <row r="3616" spans="1:47" ht="15.75" customHeight="1">
      <c r="A3616" s="9"/>
      <c r="B3616" s="9"/>
      <c r="C3616" s="9"/>
      <c r="D3616" s="9"/>
      <c r="E3616" s="9"/>
      <c r="F3616" s="67"/>
      <c r="G3616" s="9"/>
      <c r="H3616" s="9"/>
      <c r="I3616" s="9"/>
      <c r="J3616" s="9"/>
      <c r="K3616" s="9"/>
      <c r="L3616" s="9"/>
      <c r="M3616" s="9"/>
      <c r="N3616" s="9"/>
      <c r="O3616" s="9"/>
      <c r="P3616" s="9"/>
      <c r="Q3616" s="9"/>
      <c r="R3616" s="9"/>
      <c r="S3616" s="9"/>
      <c r="T3616" s="9"/>
      <c r="U3616" s="9"/>
      <c r="V3616" s="9"/>
      <c r="W3616" s="9"/>
      <c r="X3616" s="9"/>
      <c r="Y3616" s="9"/>
      <c r="Z3616" s="9"/>
      <c r="AA3616" s="9"/>
      <c r="AB3616" s="9"/>
      <c r="AC3616" s="9"/>
      <c r="AD3616" s="9"/>
      <c r="AE3616" s="9"/>
      <c r="AF3616" s="9"/>
      <c r="AG3616" s="9"/>
      <c r="AH3616" s="9"/>
      <c r="AI3616" s="9"/>
      <c r="AJ3616" s="9"/>
      <c r="AK3616" s="9"/>
      <c r="AL3616" s="9"/>
      <c r="AM3616" s="9"/>
      <c r="AN3616" s="9"/>
      <c r="AO3616" s="9"/>
      <c r="AP3616" s="9"/>
      <c r="AQ3616" s="9"/>
      <c r="AR3616" s="9"/>
      <c r="AS3616" s="9"/>
      <c r="AT3616" s="9"/>
      <c r="AU3616" s="9"/>
    </row>
    <row r="3617" spans="1:47" ht="15.75" customHeight="1">
      <c r="A3617" s="9"/>
      <c r="B3617" s="9"/>
      <c r="C3617" s="9"/>
      <c r="D3617" s="9"/>
      <c r="E3617" s="9"/>
      <c r="F3617" s="67"/>
      <c r="G3617" s="9"/>
      <c r="H3617" s="9"/>
      <c r="I3617" s="9"/>
      <c r="J3617" s="9"/>
      <c r="K3617" s="9"/>
      <c r="L3617" s="9"/>
      <c r="M3617" s="9"/>
      <c r="N3617" s="9"/>
      <c r="O3617" s="9"/>
      <c r="P3617" s="9"/>
      <c r="Q3617" s="9"/>
      <c r="R3617" s="9"/>
      <c r="S3617" s="9"/>
      <c r="T3617" s="9"/>
      <c r="U3617" s="9"/>
      <c r="V3617" s="9"/>
      <c r="W3617" s="9"/>
      <c r="X3617" s="9"/>
      <c r="Y3617" s="9"/>
      <c r="Z3617" s="9"/>
      <c r="AA3617" s="9"/>
      <c r="AB3617" s="9"/>
      <c r="AC3617" s="9"/>
      <c r="AD3617" s="9"/>
      <c r="AE3617" s="9"/>
      <c r="AF3617" s="9"/>
      <c r="AG3617" s="9"/>
      <c r="AH3617" s="9"/>
      <c r="AI3617" s="9"/>
      <c r="AJ3617" s="9"/>
      <c r="AK3617" s="9"/>
      <c r="AL3617" s="9"/>
      <c r="AM3617" s="9"/>
      <c r="AN3617" s="9"/>
      <c r="AO3617" s="9"/>
      <c r="AP3617" s="9"/>
      <c r="AQ3617" s="9"/>
      <c r="AR3617" s="9"/>
      <c r="AS3617" s="9"/>
      <c r="AT3617" s="9"/>
      <c r="AU3617" s="9"/>
    </row>
    <row r="3618" spans="1:47" ht="15.75" customHeight="1">
      <c r="A3618" s="9"/>
      <c r="B3618" s="9"/>
      <c r="C3618" s="9"/>
      <c r="D3618" s="9"/>
      <c r="E3618" s="9"/>
      <c r="F3618" s="67"/>
      <c r="G3618" s="9"/>
      <c r="H3618" s="9"/>
      <c r="I3618" s="9"/>
      <c r="J3618" s="9"/>
      <c r="K3618" s="9"/>
      <c r="L3618" s="9"/>
      <c r="M3618" s="9"/>
      <c r="N3618" s="9"/>
      <c r="O3618" s="9"/>
      <c r="P3618" s="9"/>
      <c r="Q3618" s="9"/>
      <c r="R3618" s="9"/>
      <c r="S3618" s="9"/>
      <c r="T3618" s="9"/>
      <c r="U3618" s="9"/>
      <c r="V3618" s="9"/>
      <c r="W3618" s="9"/>
      <c r="X3618" s="9"/>
      <c r="Y3618" s="9"/>
      <c r="Z3618" s="9"/>
      <c r="AA3618" s="9"/>
      <c r="AB3618" s="9"/>
      <c r="AC3618" s="9"/>
      <c r="AD3618" s="9"/>
      <c r="AE3618" s="9"/>
      <c r="AF3618" s="9"/>
      <c r="AG3618" s="9"/>
      <c r="AH3618" s="9"/>
      <c r="AI3618" s="9"/>
      <c r="AJ3618" s="9"/>
      <c r="AK3618" s="9"/>
      <c r="AL3618" s="9"/>
      <c r="AM3618" s="9"/>
      <c r="AN3618" s="9"/>
      <c r="AO3618" s="9"/>
      <c r="AP3618" s="9"/>
      <c r="AQ3618" s="9"/>
      <c r="AR3618" s="9"/>
      <c r="AS3618" s="9"/>
      <c r="AT3618" s="9"/>
      <c r="AU3618" s="9"/>
    </row>
    <row r="3619" spans="1:47" ht="15.75" customHeight="1">
      <c r="A3619" s="9"/>
      <c r="B3619" s="9"/>
      <c r="C3619" s="9"/>
      <c r="D3619" s="9"/>
      <c r="E3619" s="9"/>
      <c r="F3619" s="67"/>
      <c r="G3619" s="9"/>
      <c r="H3619" s="9"/>
      <c r="I3619" s="9"/>
      <c r="J3619" s="9"/>
      <c r="K3619" s="9"/>
      <c r="L3619" s="9"/>
      <c r="M3619" s="9"/>
      <c r="N3619" s="9"/>
      <c r="O3619" s="9"/>
      <c r="P3619" s="9"/>
      <c r="Q3619" s="9"/>
      <c r="R3619" s="9"/>
      <c r="S3619" s="9"/>
      <c r="T3619" s="9"/>
      <c r="U3619" s="9"/>
      <c r="V3619" s="9"/>
      <c r="W3619" s="9"/>
      <c r="X3619" s="9"/>
      <c r="Y3619" s="9"/>
      <c r="Z3619" s="9"/>
      <c r="AA3619" s="9"/>
      <c r="AB3619" s="9"/>
      <c r="AC3619" s="9"/>
      <c r="AD3619" s="9"/>
      <c r="AE3619" s="9"/>
      <c r="AF3619" s="9"/>
      <c r="AG3619" s="9"/>
      <c r="AH3619" s="9"/>
      <c r="AI3619" s="9"/>
      <c r="AJ3619" s="9"/>
      <c r="AK3619" s="9"/>
      <c r="AL3619" s="9"/>
      <c r="AM3619" s="9"/>
      <c r="AN3619" s="9"/>
      <c r="AO3619" s="9"/>
      <c r="AP3619" s="9"/>
      <c r="AQ3619" s="9"/>
      <c r="AR3619" s="9"/>
      <c r="AS3619" s="9"/>
      <c r="AT3619" s="9"/>
      <c r="AU3619" s="9"/>
    </row>
    <row r="3620" spans="1:47" ht="15.75" customHeight="1">
      <c r="A3620" s="9"/>
      <c r="B3620" s="9"/>
      <c r="C3620" s="9"/>
      <c r="D3620" s="9"/>
      <c r="E3620" s="9"/>
      <c r="F3620" s="67"/>
      <c r="G3620" s="9"/>
      <c r="H3620" s="9"/>
      <c r="I3620" s="9"/>
      <c r="J3620" s="9"/>
      <c r="K3620" s="9"/>
      <c r="L3620" s="9"/>
      <c r="M3620" s="9"/>
      <c r="N3620" s="9"/>
      <c r="O3620" s="9"/>
      <c r="P3620" s="9"/>
      <c r="Q3620" s="9"/>
      <c r="R3620" s="9"/>
      <c r="S3620" s="9"/>
      <c r="T3620" s="9"/>
      <c r="U3620" s="9"/>
      <c r="V3620" s="9"/>
      <c r="W3620" s="9"/>
      <c r="X3620" s="9"/>
      <c r="Y3620" s="9"/>
      <c r="Z3620" s="9"/>
      <c r="AA3620" s="9"/>
      <c r="AB3620" s="9"/>
      <c r="AC3620" s="9"/>
      <c r="AD3620" s="9"/>
      <c r="AE3620" s="9"/>
      <c r="AF3620" s="9"/>
      <c r="AG3620" s="9"/>
      <c r="AH3620" s="9"/>
      <c r="AI3620" s="9"/>
      <c r="AJ3620" s="9"/>
      <c r="AK3620" s="9"/>
      <c r="AL3620" s="9"/>
      <c r="AM3620" s="9"/>
      <c r="AN3620" s="9"/>
      <c r="AO3620" s="9"/>
      <c r="AP3620" s="9"/>
      <c r="AQ3620" s="9"/>
      <c r="AR3620" s="9"/>
      <c r="AS3620" s="9"/>
      <c r="AT3620" s="9"/>
      <c r="AU3620" s="9"/>
    </row>
    <row r="3621" spans="1:47" ht="15.75" customHeight="1">
      <c r="A3621" s="9"/>
      <c r="B3621" s="9"/>
      <c r="C3621" s="9"/>
      <c r="D3621" s="9"/>
      <c r="E3621" s="9"/>
      <c r="F3621" s="67"/>
      <c r="G3621" s="9"/>
      <c r="H3621" s="9"/>
      <c r="I3621" s="9"/>
      <c r="J3621" s="9"/>
      <c r="K3621" s="9"/>
      <c r="L3621" s="9"/>
      <c r="M3621" s="9"/>
      <c r="N3621" s="9"/>
      <c r="O3621" s="9"/>
      <c r="P3621" s="9"/>
      <c r="Q3621" s="9"/>
      <c r="R3621" s="9"/>
      <c r="S3621" s="9"/>
      <c r="T3621" s="9"/>
      <c r="U3621" s="9"/>
      <c r="V3621" s="9"/>
      <c r="W3621" s="9"/>
      <c r="X3621" s="9"/>
      <c r="Y3621" s="9"/>
      <c r="Z3621" s="9"/>
      <c r="AA3621" s="9"/>
      <c r="AB3621" s="9"/>
      <c r="AC3621" s="9"/>
      <c r="AD3621" s="9"/>
      <c r="AE3621" s="9"/>
      <c r="AF3621" s="9"/>
      <c r="AG3621" s="9"/>
      <c r="AH3621" s="9"/>
      <c r="AI3621" s="9"/>
      <c r="AJ3621" s="9"/>
      <c r="AK3621" s="9"/>
      <c r="AL3621" s="9"/>
      <c r="AM3621" s="9"/>
      <c r="AN3621" s="9"/>
      <c r="AO3621" s="9"/>
      <c r="AP3621" s="9"/>
      <c r="AQ3621" s="9"/>
      <c r="AR3621" s="9"/>
      <c r="AS3621" s="9"/>
      <c r="AT3621" s="9"/>
      <c r="AU3621" s="9"/>
    </row>
    <row r="3622" spans="1:47" ht="15.75" customHeight="1">
      <c r="A3622" s="9"/>
      <c r="B3622" s="9"/>
      <c r="C3622" s="9"/>
      <c r="D3622" s="9"/>
      <c r="E3622" s="9"/>
      <c r="F3622" s="67"/>
      <c r="G3622" s="9"/>
      <c r="H3622" s="9"/>
      <c r="I3622" s="9"/>
      <c r="J3622" s="9"/>
      <c r="K3622" s="9"/>
      <c r="L3622" s="9"/>
      <c r="M3622" s="9"/>
      <c r="N3622" s="9"/>
      <c r="O3622" s="9"/>
      <c r="P3622" s="9"/>
      <c r="Q3622" s="9"/>
      <c r="R3622" s="9"/>
      <c r="S3622" s="9"/>
      <c r="T3622" s="9"/>
      <c r="U3622" s="9"/>
      <c r="V3622" s="9"/>
      <c r="W3622" s="9"/>
      <c r="X3622" s="9"/>
      <c r="Y3622" s="9"/>
      <c r="Z3622" s="9"/>
      <c r="AA3622" s="9"/>
      <c r="AB3622" s="9"/>
      <c r="AC3622" s="9"/>
      <c r="AD3622" s="9"/>
      <c r="AE3622" s="9"/>
      <c r="AF3622" s="9"/>
      <c r="AG3622" s="9"/>
      <c r="AH3622" s="9"/>
      <c r="AI3622" s="9"/>
      <c r="AJ3622" s="9"/>
      <c r="AK3622" s="9"/>
      <c r="AL3622" s="9"/>
      <c r="AM3622" s="9"/>
      <c r="AN3622" s="9"/>
      <c r="AO3622" s="9"/>
      <c r="AP3622" s="9"/>
      <c r="AQ3622" s="9"/>
      <c r="AR3622" s="9"/>
      <c r="AS3622" s="9"/>
      <c r="AT3622" s="9"/>
      <c r="AU3622" s="9"/>
    </row>
    <row r="3623" spans="1:47" ht="15.75" customHeight="1">
      <c r="A3623" s="9"/>
      <c r="B3623" s="9"/>
      <c r="C3623" s="9"/>
      <c r="D3623" s="9"/>
      <c r="E3623" s="9"/>
      <c r="F3623" s="67"/>
      <c r="G3623" s="9"/>
      <c r="H3623" s="9"/>
      <c r="I3623" s="9"/>
      <c r="J3623" s="9"/>
      <c r="K3623" s="9"/>
      <c r="L3623" s="9"/>
      <c r="M3623" s="9"/>
      <c r="N3623" s="9"/>
      <c r="O3623" s="9"/>
      <c r="P3623" s="9"/>
      <c r="Q3623" s="9"/>
      <c r="R3623" s="9"/>
      <c r="S3623" s="9"/>
      <c r="T3623" s="9"/>
      <c r="U3623" s="9"/>
      <c r="V3623" s="9"/>
      <c r="W3623" s="9"/>
      <c r="X3623" s="9"/>
      <c r="Y3623" s="9"/>
      <c r="Z3623" s="9"/>
      <c r="AA3623" s="9"/>
      <c r="AB3623" s="9"/>
      <c r="AC3623" s="9"/>
      <c r="AD3623" s="9"/>
      <c r="AE3623" s="9"/>
      <c r="AF3623" s="9"/>
      <c r="AG3623" s="9"/>
      <c r="AH3623" s="9"/>
      <c r="AI3623" s="9"/>
      <c r="AJ3623" s="9"/>
      <c r="AK3623" s="9"/>
      <c r="AL3623" s="9"/>
      <c r="AM3623" s="9"/>
      <c r="AN3623" s="9"/>
      <c r="AO3623" s="9"/>
      <c r="AP3623" s="9"/>
      <c r="AQ3623" s="9"/>
      <c r="AR3623" s="9"/>
      <c r="AS3623" s="9"/>
      <c r="AT3623" s="9"/>
      <c r="AU3623" s="9"/>
    </row>
    <row r="3624" spans="1:47" ht="15.75" customHeight="1">
      <c r="A3624" s="9"/>
      <c r="B3624" s="9"/>
      <c r="C3624" s="9"/>
      <c r="D3624" s="9"/>
      <c r="E3624" s="9"/>
      <c r="F3624" s="67"/>
      <c r="G3624" s="9"/>
      <c r="H3624" s="9"/>
      <c r="I3624" s="9"/>
      <c r="J3624" s="9"/>
      <c r="K3624" s="9"/>
      <c r="L3624" s="9"/>
      <c r="M3624" s="9"/>
      <c r="N3624" s="9"/>
      <c r="O3624" s="9"/>
      <c r="P3624" s="9"/>
      <c r="Q3624" s="9"/>
      <c r="R3624" s="9"/>
      <c r="S3624" s="9"/>
      <c r="T3624" s="9"/>
      <c r="U3624" s="9"/>
      <c r="V3624" s="9"/>
      <c r="W3624" s="9"/>
      <c r="X3624" s="9"/>
      <c r="Y3624" s="9"/>
      <c r="Z3624" s="9"/>
      <c r="AA3624" s="9"/>
      <c r="AB3624" s="9"/>
      <c r="AC3624" s="9"/>
      <c r="AD3624" s="9"/>
      <c r="AE3624" s="9"/>
      <c r="AF3624" s="9"/>
      <c r="AG3624" s="9"/>
      <c r="AH3624" s="9"/>
      <c r="AI3624" s="9"/>
      <c r="AJ3624" s="9"/>
      <c r="AK3624" s="9"/>
      <c r="AL3624" s="9"/>
      <c r="AM3624" s="9"/>
      <c r="AN3624" s="9"/>
      <c r="AO3624" s="9"/>
      <c r="AP3624" s="9"/>
      <c r="AQ3624" s="9"/>
      <c r="AR3624" s="9"/>
      <c r="AS3624" s="9"/>
      <c r="AT3624" s="9"/>
      <c r="AU3624" s="9"/>
    </row>
    <row r="3625" spans="1:47" ht="15.75" customHeight="1">
      <c r="A3625" s="9"/>
      <c r="B3625" s="9"/>
      <c r="C3625" s="9"/>
      <c r="D3625" s="9"/>
      <c r="E3625" s="9"/>
      <c r="F3625" s="67"/>
      <c r="G3625" s="9"/>
      <c r="H3625" s="9"/>
      <c r="I3625" s="9"/>
      <c r="J3625" s="9"/>
      <c r="K3625" s="9"/>
      <c r="L3625" s="9"/>
      <c r="M3625" s="9"/>
      <c r="N3625" s="9"/>
      <c r="O3625" s="9"/>
      <c r="P3625" s="9"/>
      <c r="Q3625" s="9"/>
      <c r="R3625" s="9"/>
      <c r="S3625" s="9"/>
      <c r="T3625" s="9"/>
      <c r="U3625" s="9"/>
      <c r="V3625" s="9"/>
      <c r="W3625" s="9"/>
      <c r="X3625" s="9"/>
      <c r="Y3625" s="9"/>
      <c r="Z3625" s="9"/>
      <c r="AA3625" s="9"/>
      <c r="AB3625" s="9"/>
      <c r="AC3625" s="9"/>
      <c r="AD3625" s="9"/>
      <c r="AE3625" s="9"/>
      <c r="AF3625" s="9"/>
      <c r="AG3625" s="9"/>
      <c r="AH3625" s="9"/>
      <c r="AI3625" s="9"/>
      <c r="AJ3625" s="9"/>
      <c r="AK3625" s="9"/>
      <c r="AL3625" s="9"/>
      <c r="AM3625" s="9"/>
      <c r="AN3625" s="9"/>
      <c r="AO3625" s="9"/>
      <c r="AP3625" s="9"/>
      <c r="AQ3625" s="9"/>
      <c r="AR3625" s="9"/>
      <c r="AS3625" s="9"/>
      <c r="AT3625" s="9"/>
      <c r="AU3625" s="9"/>
    </row>
    <row r="3626" spans="1:47" ht="15.75" customHeight="1">
      <c r="A3626" s="9"/>
      <c r="B3626" s="9"/>
      <c r="C3626" s="9"/>
      <c r="D3626" s="9"/>
      <c r="E3626" s="9"/>
      <c r="F3626" s="67"/>
      <c r="G3626" s="9"/>
      <c r="H3626" s="9"/>
      <c r="I3626" s="9"/>
      <c r="J3626" s="9"/>
      <c r="K3626" s="9"/>
      <c r="L3626" s="9"/>
      <c r="M3626" s="9"/>
      <c r="N3626" s="9"/>
      <c r="O3626" s="9"/>
      <c r="P3626" s="9"/>
      <c r="Q3626" s="9"/>
      <c r="R3626" s="9"/>
      <c r="S3626" s="9"/>
      <c r="T3626" s="9"/>
      <c r="U3626" s="9"/>
      <c r="V3626" s="9"/>
      <c r="W3626" s="9"/>
      <c r="X3626" s="9"/>
      <c r="Y3626" s="9"/>
      <c r="Z3626" s="9"/>
      <c r="AA3626" s="9"/>
      <c r="AB3626" s="9"/>
      <c r="AC3626" s="9"/>
      <c r="AD3626" s="9"/>
      <c r="AE3626" s="9"/>
      <c r="AF3626" s="9"/>
      <c r="AG3626" s="9"/>
      <c r="AH3626" s="9"/>
      <c r="AI3626" s="9"/>
      <c r="AJ3626" s="9"/>
      <c r="AK3626" s="9"/>
      <c r="AL3626" s="9"/>
      <c r="AM3626" s="9"/>
      <c r="AN3626" s="9"/>
      <c r="AO3626" s="9"/>
      <c r="AP3626" s="9"/>
      <c r="AQ3626" s="9"/>
      <c r="AR3626" s="9"/>
      <c r="AS3626" s="9"/>
      <c r="AT3626" s="9"/>
      <c r="AU3626" s="9"/>
    </row>
    <row r="3627" spans="1:47" ht="15.75" customHeight="1">
      <c r="A3627" s="9"/>
      <c r="B3627" s="9"/>
      <c r="C3627" s="9"/>
      <c r="D3627" s="9"/>
      <c r="E3627" s="9"/>
      <c r="F3627" s="67"/>
      <c r="G3627" s="9"/>
      <c r="H3627" s="9"/>
      <c r="I3627" s="9"/>
      <c r="J3627" s="9"/>
      <c r="K3627" s="9"/>
      <c r="L3627" s="9"/>
      <c r="M3627" s="9"/>
      <c r="N3627" s="9"/>
      <c r="O3627" s="9"/>
      <c r="P3627" s="9"/>
      <c r="Q3627" s="9"/>
      <c r="R3627" s="9"/>
      <c r="S3627" s="9"/>
      <c r="T3627" s="9"/>
      <c r="U3627" s="9"/>
      <c r="V3627" s="9"/>
      <c r="W3627" s="9"/>
      <c r="X3627" s="9"/>
      <c r="Y3627" s="9"/>
      <c r="Z3627" s="9"/>
      <c r="AA3627" s="9"/>
      <c r="AB3627" s="9"/>
      <c r="AC3627" s="9"/>
      <c r="AD3627" s="9"/>
      <c r="AE3627" s="9"/>
      <c r="AF3627" s="9"/>
      <c r="AG3627" s="9"/>
      <c r="AH3627" s="9"/>
      <c r="AI3627" s="9"/>
      <c r="AJ3627" s="9"/>
      <c r="AK3627" s="9"/>
      <c r="AL3627" s="9"/>
      <c r="AM3627" s="9"/>
      <c r="AN3627" s="9"/>
      <c r="AO3627" s="9"/>
      <c r="AP3627" s="9"/>
      <c r="AQ3627" s="9"/>
      <c r="AR3627" s="9"/>
      <c r="AS3627" s="9"/>
      <c r="AT3627" s="9"/>
      <c r="AU3627" s="9"/>
    </row>
    <row r="3628" spans="1:47" ht="15.75" customHeight="1">
      <c r="A3628" s="9"/>
      <c r="B3628" s="9"/>
      <c r="C3628" s="9"/>
      <c r="D3628" s="9"/>
      <c r="E3628" s="9"/>
      <c r="F3628" s="67"/>
      <c r="G3628" s="9"/>
      <c r="H3628" s="9"/>
      <c r="I3628" s="9"/>
      <c r="J3628" s="9"/>
      <c r="K3628" s="9"/>
      <c r="L3628" s="9"/>
      <c r="M3628" s="9"/>
      <c r="N3628" s="9"/>
      <c r="O3628" s="9"/>
      <c r="P3628" s="9"/>
      <c r="Q3628" s="9"/>
      <c r="R3628" s="9"/>
      <c r="S3628" s="9"/>
      <c r="T3628" s="9"/>
      <c r="U3628" s="9"/>
      <c r="V3628" s="9"/>
      <c r="W3628" s="9"/>
      <c r="X3628" s="9"/>
      <c r="Y3628" s="9"/>
      <c r="Z3628" s="9"/>
      <c r="AA3628" s="9"/>
      <c r="AB3628" s="9"/>
      <c r="AC3628" s="9"/>
      <c r="AD3628" s="9"/>
      <c r="AE3628" s="9"/>
      <c r="AF3628" s="9"/>
      <c r="AG3628" s="9"/>
      <c r="AH3628" s="9"/>
      <c r="AI3628" s="9"/>
      <c r="AJ3628" s="9"/>
      <c r="AK3628" s="9"/>
      <c r="AL3628" s="9"/>
      <c r="AM3628" s="9"/>
      <c r="AN3628" s="9"/>
      <c r="AO3628" s="9"/>
      <c r="AP3628" s="9"/>
      <c r="AQ3628" s="9"/>
      <c r="AR3628" s="9"/>
      <c r="AS3628" s="9"/>
      <c r="AT3628" s="9"/>
      <c r="AU3628" s="9"/>
    </row>
    <row r="3629" spans="1:47" ht="15.75" customHeight="1">
      <c r="A3629" s="9"/>
      <c r="B3629" s="9"/>
      <c r="C3629" s="9"/>
      <c r="D3629" s="9"/>
      <c r="E3629" s="9"/>
      <c r="F3629" s="67"/>
      <c r="G3629" s="9"/>
      <c r="H3629" s="9"/>
      <c r="I3629" s="9"/>
      <c r="J3629" s="9"/>
      <c r="K3629" s="9"/>
      <c r="L3629" s="9"/>
      <c r="M3629" s="9"/>
      <c r="N3629" s="9"/>
      <c r="O3629" s="9"/>
      <c r="P3629" s="9"/>
      <c r="Q3629" s="9"/>
      <c r="R3629" s="9"/>
      <c r="S3629" s="9"/>
      <c r="T3629" s="9"/>
      <c r="U3629" s="9"/>
      <c r="V3629" s="9"/>
      <c r="W3629" s="9"/>
      <c r="X3629" s="9"/>
      <c r="Y3629" s="9"/>
      <c r="Z3629" s="9"/>
      <c r="AA3629" s="9"/>
      <c r="AB3629" s="9"/>
      <c r="AC3629" s="9"/>
      <c r="AD3629" s="9"/>
      <c r="AE3629" s="9"/>
      <c r="AF3629" s="9"/>
      <c r="AG3629" s="9"/>
      <c r="AH3629" s="9"/>
      <c r="AI3629" s="9"/>
      <c r="AJ3629" s="9"/>
      <c r="AK3629" s="9"/>
      <c r="AL3629" s="9"/>
      <c r="AM3629" s="9"/>
      <c r="AN3629" s="9"/>
      <c r="AO3629" s="9"/>
      <c r="AP3629" s="9"/>
      <c r="AQ3629" s="9"/>
      <c r="AR3629" s="9"/>
      <c r="AS3629" s="9"/>
      <c r="AT3629" s="9"/>
      <c r="AU3629" s="9"/>
    </row>
    <row r="3630" spans="1:47" ht="15.75" customHeight="1">
      <c r="A3630" s="9"/>
      <c r="B3630" s="9"/>
      <c r="C3630" s="9"/>
      <c r="D3630" s="9"/>
      <c r="E3630" s="9"/>
      <c r="F3630" s="67"/>
      <c r="G3630" s="9"/>
      <c r="H3630" s="9"/>
      <c r="I3630" s="9"/>
      <c r="J3630" s="9"/>
      <c r="K3630" s="9"/>
      <c r="L3630" s="9"/>
      <c r="M3630" s="9"/>
      <c r="N3630" s="9"/>
      <c r="O3630" s="9"/>
      <c r="P3630" s="9"/>
      <c r="Q3630" s="9"/>
      <c r="R3630" s="9"/>
      <c r="S3630" s="9"/>
      <c r="T3630" s="9"/>
      <c r="U3630" s="9"/>
      <c r="V3630" s="9"/>
      <c r="W3630" s="9"/>
      <c r="X3630" s="9"/>
      <c r="Y3630" s="9"/>
      <c r="Z3630" s="9"/>
      <c r="AA3630" s="9"/>
      <c r="AB3630" s="9"/>
      <c r="AC3630" s="9"/>
      <c r="AD3630" s="9"/>
      <c r="AE3630" s="9"/>
      <c r="AF3630" s="9"/>
      <c r="AG3630" s="9"/>
      <c r="AH3630" s="9"/>
      <c r="AI3630" s="9"/>
      <c r="AJ3630" s="9"/>
      <c r="AK3630" s="9"/>
      <c r="AL3630" s="9"/>
      <c r="AM3630" s="9"/>
      <c r="AN3630" s="9"/>
      <c r="AO3630" s="9"/>
      <c r="AP3630" s="9"/>
      <c r="AQ3630" s="9"/>
      <c r="AR3630" s="9"/>
      <c r="AS3630" s="9"/>
      <c r="AT3630" s="9"/>
      <c r="AU3630" s="9"/>
    </row>
    <row r="3631" spans="1:47" ht="15.75" customHeight="1">
      <c r="A3631" s="9"/>
      <c r="B3631" s="9"/>
      <c r="C3631" s="9"/>
      <c r="D3631" s="9"/>
      <c r="E3631" s="9"/>
      <c r="F3631" s="67"/>
      <c r="G3631" s="9"/>
      <c r="H3631" s="9"/>
      <c r="I3631" s="9"/>
      <c r="J3631" s="9"/>
      <c r="K3631" s="9"/>
      <c r="L3631" s="9"/>
      <c r="M3631" s="9"/>
      <c r="N3631" s="9"/>
      <c r="O3631" s="9"/>
      <c r="P3631" s="9"/>
      <c r="Q3631" s="9"/>
      <c r="R3631" s="9"/>
      <c r="S3631" s="9"/>
      <c r="T3631" s="9"/>
      <c r="U3631" s="9"/>
      <c r="V3631" s="9"/>
      <c r="W3631" s="9"/>
      <c r="X3631" s="9"/>
      <c r="Y3631" s="9"/>
      <c r="Z3631" s="9"/>
      <c r="AA3631" s="9"/>
      <c r="AB3631" s="9"/>
      <c r="AC3631" s="9"/>
      <c r="AD3631" s="9"/>
      <c r="AE3631" s="9"/>
      <c r="AF3631" s="9"/>
      <c r="AG3631" s="9"/>
      <c r="AH3631" s="9"/>
      <c r="AI3631" s="9"/>
      <c r="AJ3631" s="9"/>
      <c r="AK3631" s="9"/>
      <c r="AL3631" s="9"/>
      <c r="AM3631" s="9"/>
      <c r="AN3631" s="9"/>
      <c r="AO3631" s="9"/>
      <c r="AP3631" s="9"/>
      <c r="AQ3631" s="9"/>
      <c r="AR3631" s="9"/>
      <c r="AS3631" s="9"/>
      <c r="AT3631" s="9"/>
      <c r="AU3631" s="9"/>
    </row>
    <row r="3632" spans="1:47" ht="15.75" customHeight="1">
      <c r="A3632" s="9"/>
      <c r="B3632" s="9"/>
      <c r="C3632" s="9"/>
      <c r="D3632" s="9"/>
      <c r="E3632" s="9"/>
      <c r="F3632" s="67"/>
      <c r="G3632" s="9"/>
      <c r="H3632" s="9"/>
      <c r="I3632" s="9"/>
      <c r="J3632" s="9"/>
      <c r="K3632" s="9"/>
      <c r="L3632" s="9"/>
      <c r="M3632" s="9"/>
      <c r="N3632" s="9"/>
      <c r="O3632" s="9"/>
      <c r="P3632" s="9"/>
      <c r="Q3632" s="9"/>
      <c r="R3632" s="9"/>
      <c r="S3632" s="9"/>
      <c r="T3632" s="9"/>
      <c r="U3632" s="9"/>
      <c r="V3632" s="9"/>
      <c r="W3632" s="9"/>
      <c r="X3632" s="9"/>
      <c r="Y3632" s="9"/>
      <c r="Z3632" s="9"/>
      <c r="AA3632" s="9"/>
      <c r="AB3632" s="9"/>
      <c r="AC3632" s="9"/>
      <c r="AD3632" s="9"/>
      <c r="AE3632" s="9"/>
      <c r="AF3632" s="9"/>
      <c r="AG3632" s="9"/>
      <c r="AH3632" s="9"/>
      <c r="AI3632" s="9"/>
      <c r="AJ3632" s="9"/>
      <c r="AK3632" s="9"/>
      <c r="AL3632" s="9"/>
      <c r="AM3632" s="9"/>
      <c r="AN3632" s="9"/>
      <c r="AO3632" s="9"/>
      <c r="AP3632" s="9"/>
      <c r="AQ3632" s="9"/>
      <c r="AR3632" s="9"/>
      <c r="AS3632" s="9"/>
      <c r="AT3632" s="9"/>
      <c r="AU3632" s="9"/>
    </row>
    <row r="3633" spans="1:47" ht="15.75" customHeight="1">
      <c r="A3633" s="9"/>
      <c r="B3633" s="9"/>
      <c r="C3633" s="9"/>
      <c r="D3633" s="9"/>
      <c r="E3633" s="9"/>
      <c r="F3633" s="67"/>
      <c r="G3633" s="9"/>
      <c r="H3633" s="9"/>
      <c r="I3633" s="9"/>
      <c r="J3633" s="9"/>
      <c r="K3633" s="9"/>
      <c r="L3633" s="9"/>
      <c r="M3633" s="9"/>
      <c r="N3633" s="9"/>
      <c r="O3633" s="9"/>
      <c r="P3633" s="9"/>
      <c r="Q3633" s="9"/>
      <c r="R3633" s="9"/>
      <c r="S3633" s="9"/>
      <c r="T3633" s="9"/>
      <c r="U3633" s="9"/>
      <c r="V3633" s="9"/>
      <c r="W3633" s="9"/>
      <c r="X3633" s="9"/>
      <c r="Y3633" s="9"/>
      <c r="Z3633" s="9"/>
      <c r="AA3633" s="9"/>
      <c r="AB3633" s="9"/>
      <c r="AC3633" s="9"/>
      <c r="AD3633" s="9"/>
      <c r="AE3633" s="9"/>
      <c r="AF3633" s="9"/>
      <c r="AG3633" s="9"/>
      <c r="AH3633" s="9"/>
      <c r="AI3633" s="9"/>
      <c r="AJ3633" s="9"/>
      <c r="AK3633" s="9"/>
      <c r="AL3633" s="9"/>
      <c r="AM3633" s="9"/>
      <c r="AN3633" s="9"/>
      <c r="AO3633" s="9"/>
      <c r="AP3633" s="9"/>
      <c r="AQ3633" s="9"/>
      <c r="AR3633" s="9"/>
      <c r="AS3633" s="9"/>
      <c r="AT3633" s="9"/>
      <c r="AU3633" s="9"/>
    </row>
    <row r="3634" spans="1:47" ht="15.75" customHeight="1">
      <c r="A3634" s="9"/>
      <c r="B3634" s="9"/>
      <c r="C3634" s="9"/>
      <c r="D3634" s="9"/>
      <c r="E3634" s="9"/>
      <c r="F3634" s="67"/>
      <c r="G3634" s="9"/>
      <c r="H3634" s="9"/>
      <c r="I3634" s="9"/>
      <c r="J3634" s="9"/>
      <c r="K3634" s="9"/>
      <c r="L3634" s="9"/>
      <c r="M3634" s="9"/>
      <c r="N3634" s="9"/>
      <c r="O3634" s="9"/>
      <c r="P3634" s="9"/>
      <c r="Q3634" s="9"/>
      <c r="R3634" s="9"/>
      <c r="S3634" s="9"/>
      <c r="T3634" s="9"/>
      <c r="U3634" s="9"/>
      <c r="V3634" s="9"/>
      <c r="W3634" s="9"/>
      <c r="X3634" s="9"/>
      <c r="Y3634" s="9"/>
      <c r="Z3634" s="9"/>
      <c r="AA3634" s="9"/>
      <c r="AB3634" s="9"/>
      <c r="AC3634" s="9"/>
      <c r="AD3634" s="9"/>
      <c r="AE3634" s="9"/>
      <c r="AF3634" s="9"/>
      <c r="AG3634" s="9"/>
      <c r="AH3634" s="9"/>
      <c r="AI3634" s="9"/>
      <c r="AJ3634" s="9"/>
      <c r="AK3634" s="9"/>
      <c r="AL3634" s="9"/>
      <c r="AM3634" s="9"/>
      <c r="AN3634" s="9"/>
      <c r="AO3634" s="9"/>
      <c r="AP3634" s="9"/>
      <c r="AQ3634" s="9"/>
      <c r="AR3634" s="9"/>
      <c r="AS3634" s="9"/>
      <c r="AT3634" s="9"/>
      <c r="AU3634" s="9"/>
    </row>
    <row r="3635" spans="1:47" ht="15.75" customHeight="1">
      <c r="A3635" s="9"/>
      <c r="B3635" s="9"/>
      <c r="C3635" s="9"/>
      <c r="D3635" s="9"/>
      <c r="E3635" s="9"/>
      <c r="F3635" s="67"/>
      <c r="G3635" s="9"/>
      <c r="H3635" s="9"/>
      <c r="I3635" s="9"/>
      <c r="J3635" s="9"/>
      <c r="K3635" s="9"/>
      <c r="L3635" s="9"/>
      <c r="M3635" s="9"/>
      <c r="N3635" s="9"/>
      <c r="O3635" s="9"/>
      <c r="P3635" s="9"/>
      <c r="Q3635" s="9"/>
      <c r="R3635" s="9"/>
      <c r="S3635" s="9"/>
      <c r="T3635" s="9"/>
      <c r="U3635" s="9"/>
      <c r="V3635" s="9"/>
      <c r="W3635" s="9"/>
      <c r="X3635" s="9"/>
      <c r="Y3635" s="9"/>
      <c r="Z3635" s="9"/>
      <c r="AA3635" s="9"/>
      <c r="AB3635" s="9"/>
      <c r="AC3635" s="9"/>
      <c r="AD3635" s="9"/>
      <c r="AE3635" s="9"/>
      <c r="AF3635" s="9"/>
      <c r="AG3635" s="9"/>
      <c r="AH3635" s="9"/>
      <c r="AI3635" s="9"/>
      <c r="AJ3635" s="9"/>
      <c r="AK3635" s="9"/>
      <c r="AL3635" s="9"/>
      <c r="AM3635" s="9"/>
      <c r="AN3635" s="9"/>
      <c r="AO3635" s="9"/>
      <c r="AP3635" s="9"/>
      <c r="AQ3635" s="9"/>
      <c r="AR3635" s="9"/>
      <c r="AS3635" s="9"/>
      <c r="AT3635" s="9"/>
      <c r="AU3635" s="9"/>
    </row>
    <row r="3636" spans="1:47" ht="15.75" customHeight="1">
      <c r="A3636" s="9"/>
      <c r="B3636" s="9"/>
      <c r="C3636" s="9"/>
      <c r="D3636" s="9"/>
      <c r="E3636" s="9"/>
      <c r="F3636" s="67"/>
      <c r="G3636" s="9"/>
      <c r="H3636" s="9"/>
      <c r="I3636" s="9"/>
      <c r="J3636" s="9"/>
      <c r="K3636" s="9"/>
      <c r="L3636" s="9"/>
      <c r="M3636" s="9"/>
      <c r="N3636" s="9"/>
      <c r="O3636" s="9"/>
      <c r="P3636" s="9"/>
      <c r="Q3636" s="9"/>
      <c r="R3636" s="9"/>
      <c r="S3636" s="9"/>
      <c r="T3636" s="9"/>
      <c r="U3636" s="9"/>
      <c r="V3636" s="9"/>
      <c r="W3636" s="9"/>
      <c r="X3636" s="9"/>
      <c r="Y3636" s="9"/>
      <c r="Z3636" s="9"/>
      <c r="AA3636" s="9"/>
      <c r="AB3636" s="9"/>
      <c r="AC3636" s="9"/>
      <c r="AD3636" s="9"/>
      <c r="AE3636" s="9"/>
      <c r="AF3636" s="9"/>
      <c r="AG3636" s="9"/>
      <c r="AH3636" s="9"/>
      <c r="AI3636" s="9"/>
      <c r="AJ3636" s="9"/>
      <c r="AK3636" s="9"/>
      <c r="AL3636" s="9"/>
      <c r="AM3636" s="9"/>
      <c r="AN3636" s="9"/>
      <c r="AO3636" s="9"/>
      <c r="AP3636" s="9"/>
      <c r="AQ3636" s="9"/>
      <c r="AR3636" s="9"/>
      <c r="AS3636" s="9"/>
      <c r="AT3636" s="9"/>
      <c r="AU3636" s="9"/>
    </row>
    <row r="3637" spans="1:47" ht="15.75" customHeight="1">
      <c r="A3637" s="9"/>
      <c r="B3637" s="9"/>
      <c r="C3637" s="9"/>
      <c r="D3637" s="9"/>
      <c r="E3637" s="9"/>
      <c r="F3637" s="67"/>
      <c r="G3637" s="9"/>
      <c r="H3637" s="9"/>
      <c r="I3637" s="9"/>
      <c r="J3637" s="9"/>
      <c r="K3637" s="9"/>
      <c r="L3637" s="9"/>
      <c r="M3637" s="9"/>
      <c r="N3637" s="9"/>
      <c r="O3637" s="9"/>
      <c r="P3637" s="9"/>
      <c r="Q3637" s="9"/>
      <c r="R3637" s="9"/>
      <c r="S3637" s="9"/>
      <c r="T3637" s="9"/>
      <c r="U3637" s="9"/>
      <c r="V3637" s="9"/>
      <c r="W3637" s="9"/>
      <c r="X3637" s="9"/>
      <c r="Y3637" s="9"/>
      <c r="Z3637" s="9"/>
      <c r="AA3637" s="9"/>
      <c r="AB3637" s="9"/>
      <c r="AC3637" s="9"/>
      <c r="AD3637" s="9"/>
      <c r="AE3637" s="9"/>
      <c r="AF3637" s="9"/>
      <c r="AG3637" s="9"/>
      <c r="AH3637" s="9"/>
      <c r="AI3637" s="9"/>
      <c r="AJ3637" s="9"/>
      <c r="AK3637" s="9"/>
      <c r="AL3637" s="9"/>
      <c r="AM3637" s="9"/>
      <c r="AN3637" s="9"/>
      <c r="AO3637" s="9"/>
      <c r="AP3637" s="9"/>
      <c r="AQ3637" s="9"/>
      <c r="AR3637" s="9"/>
      <c r="AS3637" s="9"/>
      <c r="AT3637" s="9"/>
      <c r="AU3637" s="9"/>
    </row>
    <row r="3638" spans="1:47" ht="15.75" customHeight="1">
      <c r="A3638" s="9"/>
      <c r="B3638" s="9"/>
      <c r="C3638" s="9"/>
      <c r="D3638" s="9"/>
      <c r="E3638" s="9"/>
      <c r="F3638" s="67"/>
      <c r="G3638" s="9"/>
      <c r="H3638" s="9"/>
      <c r="I3638" s="9"/>
      <c r="J3638" s="9"/>
      <c r="K3638" s="9"/>
      <c r="L3638" s="9"/>
      <c r="M3638" s="9"/>
      <c r="N3638" s="9"/>
      <c r="O3638" s="9"/>
      <c r="P3638" s="9"/>
      <c r="Q3638" s="9"/>
      <c r="R3638" s="9"/>
      <c r="S3638" s="9"/>
      <c r="T3638" s="9"/>
      <c r="U3638" s="9"/>
      <c r="V3638" s="9"/>
      <c r="W3638" s="9"/>
      <c r="X3638" s="9"/>
      <c r="Y3638" s="9"/>
      <c r="Z3638" s="9"/>
      <c r="AA3638" s="9"/>
      <c r="AB3638" s="9"/>
      <c r="AC3638" s="9"/>
      <c r="AD3638" s="9"/>
      <c r="AE3638" s="9"/>
      <c r="AF3638" s="9"/>
      <c r="AG3638" s="9"/>
      <c r="AH3638" s="9"/>
      <c r="AI3638" s="9"/>
      <c r="AJ3638" s="9"/>
      <c r="AK3638" s="9"/>
      <c r="AL3638" s="9"/>
      <c r="AM3638" s="9"/>
      <c r="AN3638" s="9"/>
      <c r="AO3638" s="9"/>
      <c r="AP3638" s="9"/>
      <c r="AQ3638" s="9"/>
      <c r="AR3638" s="9"/>
      <c r="AS3638" s="9"/>
      <c r="AT3638" s="9"/>
      <c r="AU3638" s="9"/>
    </row>
    <row r="3639" spans="1:47" ht="15.75" customHeight="1">
      <c r="A3639" s="9"/>
      <c r="B3639" s="9"/>
      <c r="C3639" s="9"/>
      <c r="D3639" s="9"/>
      <c r="E3639" s="9"/>
      <c r="F3639" s="67"/>
      <c r="G3639" s="9"/>
      <c r="H3639" s="9"/>
      <c r="I3639" s="9"/>
      <c r="J3639" s="9"/>
      <c r="K3639" s="9"/>
      <c r="L3639" s="9"/>
      <c r="M3639" s="9"/>
      <c r="N3639" s="9"/>
      <c r="O3639" s="9"/>
      <c r="P3639" s="9"/>
      <c r="Q3639" s="9"/>
      <c r="R3639" s="9"/>
      <c r="S3639" s="9"/>
      <c r="T3639" s="9"/>
      <c r="U3639" s="9"/>
      <c r="V3639" s="9"/>
      <c r="W3639" s="9"/>
      <c r="X3639" s="9"/>
      <c r="Y3639" s="9"/>
      <c r="Z3639" s="9"/>
      <c r="AA3639" s="9"/>
      <c r="AB3639" s="9"/>
      <c r="AC3639" s="9"/>
      <c r="AD3639" s="9"/>
      <c r="AE3639" s="9"/>
      <c r="AF3639" s="9"/>
      <c r="AG3639" s="9"/>
      <c r="AH3639" s="9"/>
      <c r="AI3639" s="9"/>
      <c r="AJ3639" s="9"/>
      <c r="AK3639" s="9"/>
      <c r="AL3639" s="9"/>
      <c r="AM3639" s="9"/>
      <c r="AN3639" s="9"/>
      <c r="AO3639" s="9"/>
      <c r="AP3639" s="9"/>
      <c r="AQ3639" s="9"/>
      <c r="AR3639" s="9"/>
      <c r="AS3639" s="9"/>
      <c r="AT3639" s="9"/>
      <c r="AU3639" s="9"/>
    </row>
    <row r="3640" spans="1:47" ht="15.75" customHeight="1">
      <c r="A3640" s="9"/>
      <c r="B3640" s="9"/>
      <c r="C3640" s="9"/>
      <c r="D3640" s="9"/>
      <c r="E3640" s="9"/>
      <c r="F3640" s="67"/>
      <c r="G3640" s="9"/>
      <c r="H3640" s="9"/>
      <c r="I3640" s="9"/>
      <c r="J3640" s="9"/>
      <c r="K3640" s="9"/>
      <c r="L3640" s="9"/>
      <c r="M3640" s="9"/>
      <c r="N3640" s="9"/>
      <c r="O3640" s="9"/>
      <c r="P3640" s="9"/>
      <c r="Q3640" s="9"/>
      <c r="R3640" s="9"/>
      <c r="S3640" s="9"/>
      <c r="T3640" s="9"/>
      <c r="U3640" s="9"/>
      <c r="V3640" s="9"/>
      <c r="W3640" s="9"/>
      <c r="X3640" s="9"/>
      <c r="Y3640" s="9"/>
      <c r="Z3640" s="9"/>
      <c r="AA3640" s="9"/>
      <c r="AB3640" s="9"/>
      <c r="AC3640" s="9"/>
      <c r="AD3640" s="9"/>
      <c r="AE3640" s="9"/>
      <c r="AF3640" s="9"/>
      <c r="AG3640" s="9"/>
      <c r="AH3640" s="9"/>
      <c r="AI3640" s="9"/>
      <c r="AJ3640" s="9"/>
      <c r="AK3640" s="9"/>
      <c r="AL3640" s="9"/>
      <c r="AM3640" s="9"/>
      <c r="AN3640" s="9"/>
      <c r="AO3640" s="9"/>
      <c r="AP3640" s="9"/>
      <c r="AQ3640" s="9"/>
      <c r="AR3640" s="9"/>
      <c r="AS3640" s="9"/>
      <c r="AT3640" s="9"/>
      <c r="AU3640" s="9"/>
    </row>
    <row r="3641" spans="1:47" ht="15.75" customHeight="1">
      <c r="A3641" s="9"/>
      <c r="B3641" s="9"/>
      <c r="C3641" s="9"/>
      <c r="D3641" s="9"/>
      <c r="E3641" s="9"/>
      <c r="F3641" s="67"/>
      <c r="G3641" s="9"/>
      <c r="H3641" s="9"/>
      <c r="I3641" s="9"/>
      <c r="J3641" s="9"/>
      <c r="K3641" s="9"/>
      <c r="L3641" s="9"/>
      <c r="M3641" s="9"/>
      <c r="N3641" s="9"/>
      <c r="O3641" s="9"/>
      <c r="P3641" s="9"/>
      <c r="Q3641" s="9"/>
      <c r="R3641" s="9"/>
      <c r="S3641" s="9"/>
      <c r="T3641" s="9"/>
      <c r="U3641" s="9"/>
      <c r="V3641" s="9"/>
      <c r="W3641" s="9"/>
      <c r="X3641" s="9"/>
      <c r="Y3641" s="9"/>
      <c r="Z3641" s="9"/>
      <c r="AA3641" s="9"/>
      <c r="AB3641" s="9"/>
      <c r="AC3641" s="9"/>
      <c r="AD3641" s="9"/>
      <c r="AE3641" s="9"/>
      <c r="AF3641" s="9"/>
      <c r="AG3641" s="9"/>
      <c r="AH3641" s="9"/>
      <c r="AI3641" s="9"/>
      <c r="AJ3641" s="9"/>
      <c r="AK3641" s="9"/>
      <c r="AL3641" s="9"/>
      <c r="AM3641" s="9"/>
      <c r="AN3641" s="9"/>
      <c r="AO3641" s="9"/>
      <c r="AP3641" s="9"/>
      <c r="AQ3641" s="9"/>
      <c r="AR3641" s="9"/>
      <c r="AS3641" s="9"/>
      <c r="AT3641" s="9"/>
      <c r="AU3641" s="9"/>
    </row>
    <row r="3642" spans="1:47" ht="15.75" customHeight="1">
      <c r="A3642" s="9"/>
      <c r="B3642" s="9"/>
      <c r="C3642" s="9"/>
      <c r="D3642" s="9"/>
      <c r="E3642" s="9"/>
      <c r="F3642" s="67"/>
      <c r="G3642" s="9"/>
      <c r="H3642" s="9"/>
      <c r="I3642" s="9"/>
      <c r="J3642" s="9"/>
      <c r="K3642" s="9"/>
      <c r="L3642" s="9"/>
      <c r="M3642" s="9"/>
      <c r="N3642" s="9"/>
      <c r="O3642" s="9"/>
      <c r="P3642" s="9"/>
      <c r="Q3642" s="9"/>
      <c r="R3642" s="9"/>
      <c r="S3642" s="9"/>
      <c r="T3642" s="9"/>
      <c r="U3642" s="9"/>
      <c r="V3642" s="9"/>
      <c r="W3642" s="9"/>
      <c r="X3642" s="9"/>
      <c r="Y3642" s="9"/>
      <c r="Z3642" s="9"/>
      <c r="AA3642" s="9"/>
      <c r="AB3642" s="9"/>
      <c r="AC3642" s="9"/>
      <c r="AD3642" s="9"/>
      <c r="AE3642" s="9"/>
      <c r="AF3642" s="9"/>
      <c r="AG3642" s="9"/>
      <c r="AH3642" s="9"/>
      <c r="AI3642" s="9"/>
      <c r="AJ3642" s="9"/>
      <c r="AK3642" s="9"/>
      <c r="AL3642" s="9"/>
      <c r="AM3642" s="9"/>
      <c r="AN3642" s="9"/>
      <c r="AO3642" s="9"/>
      <c r="AP3642" s="9"/>
      <c r="AQ3642" s="9"/>
      <c r="AR3642" s="9"/>
      <c r="AS3642" s="9"/>
      <c r="AT3642" s="9"/>
      <c r="AU3642" s="9"/>
    </row>
    <row r="3643" spans="1:47" ht="15.75" customHeight="1">
      <c r="A3643" s="9"/>
      <c r="B3643" s="9"/>
      <c r="C3643" s="9"/>
      <c r="D3643" s="9"/>
      <c r="E3643" s="9"/>
      <c r="F3643" s="67"/>
      <c r="G3643" s="9"/>
      <c r="H3643" s="9"/>
      <c r="I3643" s="9"/>
      <c r="J3643" s="9"/>
      <c r="K3643" s="9"/>
      <c r="L3643" s="9"/>
      <c r="M3643" s="9"/>
      <c r="N3643" s="9"/>
      <c r="O3643" s="9"/>
      <c r="P3643" s="9"/>
      <c r="Q3643" s="9"/>
      <c r="R3643" s="9"/>
      <c r="S3643" s="9"/>
      <c r="T3643" s="9"/>
      <c r="U3643" s="9"/>
      <c r="V3643" s="9"/>
      <c r="W3643" s="9"/>
      <c r="X3643" s="9"/>
      <c r="Y3643" s="9"/>
      <c r="Z3643" s="9"/>
      <c r="AA3643" s="9"/>
      <c r="AB3643" s="9"/>
      <c r="AC3643" s="9"/>
      <c r="AD3643" s="9"/>
      <c r="AE3643" s="9"/>
      <c r="AF3643" s="9"/>
      <c r="AG3643" s="9"/>
      <c r="AH3643" s="9"/>
      <c r="AI3643" s="9"/>
      <c r="AJ3643" s="9"/>
      <c r="AK3643" s="9"/>
      <c r="AL3643" s="9"/>
      <c r="AM3643" s="9"/>
      <c r="AN3643" s="9"/>
      <c r="AO3643" s="9"/>
      <c r="AP3643" s="9"/>
      <c r="AQ3643" s="9"/>
      <c r="AR3643" s="9"/>
      <c r="AS3643" s="9"/>
      <c r="AT3643" s="9"/>
      <c r="AU3643" s="9"/>
    </row>
    <row r="3644" spans="1:47" ht="15.75" customHeight="1">
      <c r="A3644" s="9"/>
      <c r="B3644" s="9"/>
      <c r="C3644" s="9"/>
      <c r="D3644" s="9"/>
      <c r="E3644" s="9"/>
      <c r="F3644" s="67"/>
      <c r="G3644" s="9"/>
      <c r="H3644" s="9"/>
      <c r="I3644" s="9"/>
      <c r="J3644" s="9"/>
      <c r="K3644" s="9"/>
      <c r="L3644" s="9"/>
      <c r="M3644" s="9"/>
      <c r="N3644" s="9"/>
      <c r="O3644" s="9"/>
      <c r="P3644" s="9"/>
      <c r="Q3644" s="9"/>
      <c r="R3644" s="9"/>
      <c r="S3644" s="9"/>
      <c r="T3644" s="9"/>
      <c r="U3644" s="9"/>
      <c r="V3644" s="9"/>
      <c r="W3644" s="9"/>
      <c r="X3644" s="9"/>
      <c r="Y3644" s="9"/>
      <c r="Z3644" s="9"/>
      <c r="AA3644" s="9"/>
      <c r="AB3644" s="9"/>
      <c r="AC3644" s="9"/>
      <c r="AD3644" s="9"/>
      <c r="AE3644" s="9"/>
      <c r="AF3644" s="9"/>
      <c r="AG3644" s="9"/>
      <c r="AH3644" s="9"/>
      <c r="AI3644" s="9"/>
      <c r="AJ3644" s="9"/>
      <c r="AK3644" s="9"/>
      <c r="AL3644" s="9"/>
      <c r="AM3644" s="9"/>
      <c r="AN3644" s="9"/>
      <c r="AO3644" s="9"/>
      <c r="AP3644" s="9"/>
      <c r="AQ3644" s="9"/>
      <c r="AR3644" s="9"/>
      <c r="AS3644" s="9"/>
      <c r="AT3644" s="9"/>
      <c r="AU3644" s="9"/>
    </row>
    <row r="3645" spans="1:47" ht="15.75" customHeight="1">
      <c r="A3645" s="9"/>
      <c r="B3645" s="9"/>
      <c r="C3645" s="9"/>
      <c r="D3645" s="9"/>
      <c r="E3645" s="9"/>
      <c r="F3645" s="67"/>
      <c r="G3645" s="9"/>
      <c r="H3645" s="9"/>
      <c r="I3645" s="9"/>
      <c r="J3645" s="9"/>
      <c r="K3645" s="9"/>
      <c r="L3645" s="9"/>
      <c r="M3645" s="9"/>
      <c r="N3645" s="9"/>
      <c r="O3645" s="9"/>
      <c r="P3645" s="9"/>
      <c r="Q3645" s="9"/>
      <c r="R3645" s="9"/>
      <c r="S3645" s="9"/>
      <c r="T3645" s="9"/>
      <c r="U3645" s="9"/>
      <c r="V3645" s="9"/>
      <c r="W3645" s="9"/>
      <c r="X3645" s="9"/>
      <c r="Y3645" s="9"/>
      <c r="Z3645" s="9"/>
      <c r="AA3645" s="9"/>
      <c r="AB3645" s="9"/>
      <c r="AC3645" s="9"/>
      <c r="AD3645" s="9"/>
      <c r="AE3645" s="9"/>
      <c r="AF3645" s="9"/>
      <c r="AG3645" s="9"/>
      <c r="AH3645" s="9"/>
      <c r="AI3645" s="9"/>
      <c r="AJ3645" s="9"/>
      <c r="AK3645" s="9"/>
      <c r="AL3645" s="9"/>
      <c r="AM3645" s="9"/>
      <c r="AN3645" s="9"/>
      <c r="AO3645" s="9"/>
      <c r="AP3645" s="9"/>
      <c r="AQ3645" s="9"/>
      <c r="AR3645" s="9"/>
      <c r="AS3645" s="9"/>
      <c r="AT3645" s="9"/>
      <c r="AU3645" s="9"/>
    </row>
    <row r="3646" spans="1:47" ht="15.75" customHeight="1">
      <c r="A3646" s="9"/>
      <c r="B3646" s="9"/>
      <c r="C3646" s="9"/>
      <c r="D3646" s="9"/>
      <c r="E3646" s="9"/>
      <c r="F3646" s="67"/>
      <c r="G3646" s="9"/>
      <c r="H3646" s="9"/>
      <c r="I3646" s="9"/>
      <c r="J3646" s="9"/>
      <c r="K3646" s="9"/>
      <c r="L3646" s="9"/>
      <c r="M3646" s="9"/>
      <c r="N3646" s="9"/>
      <c r="O3646" s="9"/>
      <c r="P3646" s="9"/>
      <c r="Q3646" s="9"/>
      <c r="R3646" s="9"/>
      <c r="S3646" s="9"/>
      <c r="T3646" s="9"/>
      <c r="U3646" s="9"/>
      <c r="V3646" s="9"/>
      <c r="W3646" s="9"/>
      <c r="X3646" s="9"/>
      <c r="Y3646" s="9"/>
      <c r="Z3646" s="9"/>
      <c r="AA3646" s="9"/>
      <c r="AB3646" s="9"/>
      <c r="AC3646" s="9"/>
      <c r="AD3646" s="9"/>
      <c r="AE3646" s="9"/>
      <c r="AF3646" s="9"/>
      <c r="AG3646" s="9"/>
      <c r="AH3646" s="9"/>
      <c r="AI3646" s="9"/>
      <c r="AJ3646" s="9"/>
      <c r="AK3646" s="9"/>
      <c r="AL3646" s="9"/>
      <c r="AM3646" s="9"/>
      <c r="AN3646" s="9"/>
      <c r="AO3646" s="9"/>
      <c r="AP3646" s="9"/>
      <c r="AQ3646" s="9"/>
      <c r="AR3646" s="9"/>
      <c r="AS3646" s="9"/>
      <c r="AT3646" s="9"/>
      <c r="AU3646" s="9"/>
    </row>
    <row r="3647" spans="1:47" ht="15.75" customHeight="1">
      <c r="A3647" s="9"/>
      <c r="B3647" s="9"/>
      <c r="C3647" s="9"/>
      <c r="D3647" s="9"/>
      <c r="E3647" s="9"/>
      <c r="F3647" s="67"/>
      <c r="G3647" s="9"/>
      <c r="H3647" s="9"/>
      <c r="I3647" s="9"/>
      <c r="J3647" s="9"/>
      <c r="K3647" s="9"/>
      <c r="L3647" s="9"/>
      <c r="M3647" s="9"/>
      <c r="N3647" s="9"/>
      <c r="O3647" s="9"/>
      <c r="P3647" s="9"/>
      <c r="Q3647" s="9"/>
      <c r="R3647" s="9"/>
      <c r="S3647" s="9"/>
      <c r="T3647" s="9"/>
      <c r="U3647" s="9"/>
      <c r="V3647" s="9"/>
      <c r="W3647" s="9"/>
      <c r="X3647" s="9"/>
      <c r="Y3647" s="9"/>
      <c r="Z3647" s="9"/>
      <c r="AA3647" s="9"/>
      <c r="AB3647" s="9"/>
      <c r="AC3647" s="9"/>
      <c r="AD3647" s="9"/>
      <c r="AE3647" s="9"/>
      <c r="AF3647" s="9"/>
      <c r="AG3647" s="9"/>
      <c r="AH3647" s="9"/>
      <c r="AI3647" s="9"/>
      <c r="AJ3647" s="9"/>
      <c r="AK3647" s="9"/>
      <c r="AL3647" s="9"/>
      <c r="AM3647" s="9"/>
      <c r="AN3647" s="9"/>
      <c r="AO3647" s="9"/>
      <c r="AP3647" s="9"/>
      <c r="AQ3647" s="9"/>
      <c r="AR3647" s="9"/>
      <c r="AS3647" s="9"/>
      <c r="AT3647" s="9"/>
      <c r="AU3647" s="9"/>
    </row>
    <row r="3648" spans="1:47" ht="15.75" customHeight="1">
      <c r="A3648" s="9"/>
      <c r="B3648" s="9"/>
      <c r="C3648" s="9"/>
      <c r="D3648" s="9"/>
      <c r="E3648" s="9"/>
      <c r="F3648" s="67"/>
      <c r="G3648" s="9"/>
      <c r="H3648" s="9"/>
      <c r="I3648" s="9"/>
      <c r="J3648" s="9"/>
      <c r="K3648" s="9"/>
      <c r="L3648" s="9"/>
      <c r="M3648" s="9"/>
      <c r="N3648" s="9"/>
      <c r="O3648" s="9"/>
      <c r="P3648" s="9"/>
      <c r="Q3648" s="9"/>
      <c r="R3648" s="9"/>
      <c r="S3648" s="9"/>
      <c r="T3648" s="9"/>
      <c r="U3648" s="9"/>
      <c r="V3648" s="9"/>
      <c r="W3648" s="9"/>
      <c r="X3648" s="9"/>
      <c r="Y3648" s="9"/>
      <c r="Z3648" s="9"/>
      <c r="AA3648" s="9"/>
      <c r="AB3648" s="9"/>
      <c r="AC3648" s="9"/>
      <c r="AD3648" s="9"/>
      <c r="AE3648" s="9"/>
      <c r="AF3648" s="9"/>
      <c r="AG3648" s="9"/>
      <c r="AH3648" s="9"/>
      <c r="AI3648" s="9"/>
      <c r="AJ3648" s="9"/>
      <c r="AK3648" s="9"/>
      <c r="AL3648" s="9"/>
      <c r="AM3648" s="9"/>
      <c r="AN3648" s="9"/>
      <c r="AO3648" s="9"/>
      <c r="AP3648" s="9"/>
      <c r="AQ3648" s="9"/>
      <c r="AR3648" s="9"/>
      <c r="AS3648" s="9"/>
      <c r="AT3648" s="9"/>
      <c r="AU3648" s="9"/>
    </row>
    <row r="3649" spans="1:47" ht="15.75" customHeight="1">
      <c r="A3649" s="9"/>
      <c r="B3649" s="9"/>
      <c r="C3649" s="9"/>
      <c r="D3649" s="9"/>
      <c r="E3649" s="9"/>
      <c r="F3649" s="67"/>
      <c r="G3649" s="9"/>
      <c r="H3649" s="9"/>
      <c r="I3649" s="9"/>
      <c r="J3649" s="9"/>
      <c r="K3649" s="9"/>
      <c r="L3649" s="9"/>
      <c r="M3649" s="9"/>
      <c r="N3649" s="9"/>
      <c r="O3649" s="9"/>
      <c r="P3649" s="9"/>
      <c r="Q3649" s="9"/>
      <c r="R3649" s="9"/>
      <c r="S3649" s="9"/>
      <c r="T3649" s="9"/>
      <c r="U3649" s="9"/>
      <c r="V3649" s="9"/>
      <c r="W3649" s="9"/>
      <c r="X3649" s="9"/>
      <c r="Y3649" s="9"/>
      <c r="Z3649" s="9"/>
      <c r="AA3649" s="9"/>
      <c r="AB3649" s="9"/>
      <c r="AC3649" s="9"/>
      <c r="AD3649" s="9"/>
      <c r="AE3649" s="9"/>
      <c r="AF3649" s="9"/>
      <c r="AG3649" s="9"/>
      <c r="AH3649" s="9"/>
      <c r="AI3649" s="9"/>
      <c r="AJ3649" s="9"/>
      <c r="AK3649" s="9"/>
      <c r="AL3649" s="9"/>
      <c r="AM3649" s="9"/>
      <c r="AN3649" s="9"/>
      <c r="AO3649" s="9"/>
      <c r="AP3649" s="9"/>
      <c r="AQ3649" s="9"/>
      <c r="AR3649" s="9"/>
      <c r="AS3649" s="9"/>
      <c r="AT3649" s="9"/>
      <c r="AU3649" s="9"/>
    </row>
    <row r="3650" spans="1:47" ht="15.75" customHeight="1">
      <c r="A3650" s="9"/>
      <c r="B3650" s="9"/>
      <c r="C3650" s="9"/>
      <c r="D3650" s="9"/>
      <c r="E3650" s="9"/>
      <c r="F3650" s="67"/>
      <c r="G3650" s="9"/>
      <c r="H3650" s="9"/>
      <c r="I3650" s="9"/>
      <c r="J3650" s="9"/>
      <c r="K3650" s="9"/>
      <c r="L3650" s="9"/>
      <c r="M3650" s="9"/>
      <c r="N3650" s="9"/>
      <c r="O3650" s="9"/>
      <c r="P3650" s="9"/>
      <c r="Q3650" s="9"/>
      <c r="R3650" s="9"/>
      <c r="S3650" s="9"/>
      <c r="T3650" s="9"/>
      <c r="U3650" s="9"/>
      <c r="V3650" s="9"/>
      <c r="W3650" s="9"/>
      <c r="X3650" s="9"/>
      <c r="Y3650" s="9"/>
      <c r="Z3650" s="9"/>
      <c r="AA3650" s="9"/>
      <c r="AB3650" s="9"/>
      <c r="AC3650" s="9"/>
      <c r="AD3650" s="9"/>
      <c r="AE3650" s="9"/>
      <c r="AF3650" s="9"/>
      <c r="AG3650" s="9"/>
      <c r="AH3650" s="9"/>
      <c r="AI3650" s="9"/>
      <c r="AJ3650" s="9"/>
      <c r="AK3650" s="9"/>
      <c r="AL3650" s="9"/>
      <c r="AM3650" s="9"/>
      <c r="AN3650" s="9"/>
      <c r="AO3650" s="9"/>
      <c r="AP3650" s="9"/>
      <c r="AQ3650" s="9"/>
      <c r="AR3650" s="9"/>
      <c r="AS3650" s="9"/>
      <c r="AT3650" s="9"/>
      <c r="AU3650" s="9"/>
    </row>
    <row r="3651" spans="1:47" ht="15.75" customHeight="1">
      <c r="A3651" s="9"/>
      <c r="B3651" s="9"/>
      <c r="C3651" s="9"/>
      <c r="D3651" s="9"/>
      <c r="E3651" s="9"/>
      <c r="F3651" s="67"/>
      <c r="G3651" s="9"/>
      <c r="H3651" s="9"/>
      <c r="I3651" s="9"/>
      <c r="J3651" s="9"/>
      <c r="K3651" s="9"/>
      <c r="L3651" s="9"/>
      <c r="M3651" s="9"/>
      <c r="N3651" s="9"/>
      <c r="O3651" s="9"/>
      <c r="P3651" s="9"/>
      <c r="Q3651" s="9"/>
      <c r="R3651" s="9"/>
      <c r="S3651" s="9"/>
      <c r="T3651" s="9"/>
      <c r="U3651" s="9"/>
      <c r="V3651" s="9"/>
      <c r="W3651" s="9"/>
      <c r="X3651" s="9"/>
      <c r="Y3651" s="9"/>
      <c r="Z3651" s="9"/>
      <c r="AA3651" s="9"/>
      <c r="AB3651" s="9"/>
      <c r="AC3651" s="9"/>
      <c r="AD3651" s="9"/>
      <c r="AE3651" s="9"/>
      <c r="AF3651" s="9"/>
      <c r="AG3651" s="9"/>
      <c r="AH3651" s="9"/>
      <c r="AI3651" s="9"/>
      <c r="AJ3651" s="9"/>
      <c r="AK3651" s="9"/>
      <c r="AL3651" s="9"/>
      <c r="AM3651" s="9"/>
      <c r="AN3651" s="9"/>
      <c r="AO3651" s="9"/>
      <c r="AP3651" s="9"/>
      <c r="AQ3651" s="9"/>
      <c r="AR3651" s="9"/>
      <c r="AS3651" s="9"/>
      <c r="AT3651" s="9"/>
      <c r="AU3651" s="9"/>
    </row>
    <row r="3652" spans="1:47" ht="15.75" customHeight="1">
      <c r="A3652" s="9"/>
      <c r="B3652" s="9"/>
      <c r="C3652" s="9"/>
      <c r="D3652" s="9"/>
      <c r="E3652" s="9"/>
      <c r="F3652" s="67"/>
      <c r="G3652" s="9"/>
      <c r="H3652" s="9"/>
      <c r="I3652" s="9"/>
      <c r="J3652" s="9"/>
      <c r="K3652" s="9"/>
      <c r="L3652" s="9"/>
      <c r="M3652" s="9"/>
      <c r="N3652" s="9"/>
      <c r="O3652" s="9"/>
      <c r="P3652" s="9"/>
      <c r="Q3652" s="9"/>
      <c r="R3652" s="9"/>
      <c r="S3652" s="9"/>
      <c r="T3652" s="9"/>
      <c r="U3652" s="9"/>
      <c r="V3652" s="9"/>
      <c r="W3652" s="9"/>
      <c r="X3652" s="9"/>
      <c r="Y3652" s="9"/>
      <c r="Z3652" s="9"/>
      <c r="AA3652" s="9"/>
      <c r="AB3652" s="9"/>
      <c r="AC3652" s="9"/>
      <c r="AD3652" s="9"/>
      <c r="AE3652" s="9"/>
      <c r="AF3652" s="9"/>
      <c r="AG3652" s="9"/>
      <c r="AH3652" s="9"/>
      <c r="AI3652" s="9"/>
      <c r="AJ3652" s="9"/>
      <c r="AK3652" s="9"/>
      <c r="AL3652" s="9"/>
      <c r="AM3652" s="9"/>
      <c r="AN3652" s="9"/>
      <c r="AO3652" s="9"/>
      <c r="AP3652" s="9"/>
      <c r="AQ3652" s="9"/>
      <c r="AR3652" s="9"/>
      <c r="AS3652" s="9"/>
      <c r="AT3652" s="9"/>
      <c r="AU3652" s="9"/>
    </row>
    <row r="3653" spans="1:47" ht="15.75" customHeight="1">
      <c r="A3653" s="9"/>
      <c r="B3653" s="9"/>
      <c r="C3653" s="9"/>
      <c r="D3653" s="9"/>
      <c r="E3653" s="9"/>
      <c r="F3653" s="67"/>
      <c r="G3653" s="9"/>
      <c r="H3653" s="9"/>
      <c r="I3653" s="9"/>
      <c r="J3653" s="9"/>
      <c r="K3653" s="9"/>
      <c r="L3653" s="9"/>
      <c r="M3653" s="9"/>
      <c r="N3653" s="9"/>
      <c r="O3653" s="9"/>
      <c r="P3653" s="9"/>
      <c r="Q3653" s="9"/>
      <c r="R3653" s="9"/>
      <c r="S3653" s="9"/>
      <c r="T3653" s="9"/>
      <c r="U3653" s="9"/>
      <c r="V3653" s="9"/>
      <c r="W3653" s="9"/>
      <c r="X3653" s="9"/>
      <c r="Y3653" s="9"/>
      <c r="Z3653" s="9"/>
      <c r="AA3653" s="9"/>
      <c r="AB3653" s="9"/>
      <c r="AC3653" s="9"/>
      <c r="AD3653" s="9"/>
      <c r="AE3653" s="9"/>
      <c r="AF3653" s="9"/>
      <c r="AG3653" s="9"/>
      <c r="AH3653" s="9"/>
      <c r="AI3653" s="9"/>
      <c r="AJ3653" s="9"/>
      <c r="AK3653" s="9"/>
      <c r="AL3653" s="9"/>
      <c r="AM3653" s="9"/>
      <c r="AN3653" s="9"/>
      <c r="AO3653" s="9"/>
      <c r="AP3653" s="9"/>
      <c r="AQ3653" s="9"/>
      <c r="AR3653" s="9"/>
      <c r="AS3653" s="9"/>
      <c r="AT3653" s="9"/>
      <c r="AU3653" s="9"/>
    </row>
    <row r="3654" spans="1:47" ht="15.75" customHeight="1">
      <c r="A3654" s="9"/>
      <c r="B3654" s="9"/>
      <c r="C3654" s="9"/>
      <c r="D3654" s="9"/>
      <c r="E3654" s="9"/>
      <c r="F3654" s="67"/>
      <c r="G3654" s="9"/>
      <c r="H3654" s="9"/>
      <c r="I3654" s="9"/>
      <c r="J3654" s="9"/>
      <c r="K3654" s="9"/>
      <c r="L3654" s="9"/>
      <c r="M3654" s="9"/>
      <c r="N3654" s="9"/>
      <c r="O3654" s="9"/>
      <c r="P3654" s="9"/>
      <c r="Q3654" s="9"/>
      <c r="R3654" s="9"/>
      <c r="S3654" s="9"/>
      <c r="T3654" s="9"/>
      <c r="U3654" s="9"/>
      <c r="V3654" s="9"/>
      <c r="W3654" s="9"/>
      <c r="X3654" s="9"/>
      <c r="Y3654" s="9"/>
      <c r="Z3654" s="9"/>
      <c r="AA3654" s="9"/>
      <c r="AB3654" s="9"/>
      <c r="AC3654" s="9"/>
      <c r="AD3654" s="9"/>
      <c r="AE3654" s="9"/>
      <c r="AF3654" s="9"/>
      <c r="AG3654" s="9"/>
      <c r="AH3654" s="9"/>
      <c r="AI3654" s="9"/>
      <c r="AJ3654" s="9"/>
      <c r="AK3654" s="9"/>
      <c r="AL3654" s="9"/>
      <c r="AM3654" s="9"/>
      <c r="AN3654" s="9"/>
      <c r="AO3654" s="9"/>
      <c r="AP3654" s="9"/>
      <c r="AQ3654" s="9"/>
      <c r="AR3654" s="9"/>
      <c r="AS3654" s="9"/>
      <c r="AT3654" s="9"/>
      <c r="AU3654" s="9"/>
    </row>
    <row r="3655" spans="1:47" ht="15.75" customHeight="1">
      <c r="A3655" s="9"/>
      <c r="B3655" s="9"/>
      <c r="C3655" s="9"/>
      <c r="D3655" s="9"/>
      <c r="E3655" s="9"/>
      <c r="F3655" s="67"/>
      <c r="G3655" s="9"/>
      <c r="H3655" s="9"/>
      <c r="I3655" s="9"/>
      <c r="J3655" s="9"/>
      <c r="K3655" s="9"/>
      <c r="L3655" s="9"/>
      <c r="M3655" s="9"/>
      <c r="N3655" s="9"/>
      <c r="O3655" s="9"/>
      <c r="P3655" s="9"/>
      <c r="Q3655" s="9"/>
      <c r="R3655" s="9"/>
      <c r="S3655" s="9"/>
      <c r="T3655" s="9"/>
      <c r="U3655" s="9"/>
      <c r="V3655" s="9"/>
      <c r="W3655" s="9"/>
      <c r="X3655" s="9"/>
      <c r="Y3655" s="9"/>
      <c r="Z3655" s="9"/>
      <c r="AA3655" s="9"/>
      <c r="AB3655" s="9"/>
      <c r="AC3655" s="9"/>
      <c r="AD3655" s="9"/>
      <c r="AE3655" s="9"/>
      <c r="AF3655" s="9"/>
      <c r="AG3655" s="9"/>
      <c r="AH3655" s="9"/>
      <c r="AI3655" s="9"/>
      <c r="AJ3655" s="9"/>
      <c r="AK3655" s="9"/>
      <c r="AL3655" s="9"/>
      <c r="AM3655" s="9"/>
      <c r="AN3655" s="9"/>
      <c r="AO3655" s="9"/>
      <c r="AP3655" s="9"/>
      <c r="AQ3655" s="9"/>
      <c r="AR3655" s="9"/>
      <c r="AS3655" s="9"/>
      <c r="AT3655" s="9"/>
      <c r="AU3655" s="9"/>
    </row>
    <row r="3656" spans="1:47" ht="15.75" customHeight="1">
      <c r="A3656" s="9"/>
      <c r="B3656" s="9"/>
      <c r="C3656" s="9"/>
      <c r="D3656" s="9"/>
      <c r="E3656" s="9"/>
      <c r="F3656" s="67"/>
      <c r="G3656" s="9"/>
      <c r="H3656" s="9"/>
      <c r="I3656" s="9"/>
      <c r="J3656" s="9"/>
      <c r="K3656" s="9"/>
      <c r="L3656" s="9"/>
      <c r="M3656" s="9"/>
      <c r="N3656" s="9"/>
      <c r="O3656" s="9"/>
      <c r="P3656" s="9"/>
      <c r="Q3656" s="9"/>
      <c r="R3656" s="9"/>
      <c r="S3656" s="9"/>
      <c r="T3656" s="9"/>
      <c r="U3656" s="9"/>
      <c r="V3656" s="9"/>
      <c r="W3656" s="9"/>
      <c r="X3656" s="9"/>
      <c r="Y3656" s="9"/>
      <c r="Z3656" s="9"/>
      <c r="AA3656" s="9"/>
      <c r="AB3656" s="9"/>
      <c r="AC3656" s="9"/>
      <c r="AD3656" s="9"/>
      <c r="AE3656" s="9"/>
      <c r="AF3656" s="9"/>
      <c r="AG3656" s="9"/>
      <c r="AH3656" s="9"/>
      <c r="AI3656" s="9"/>
      <c r="AJ3656" s="9"/>
      <c r="AK3656" s="9"/>
      <c r="AL3656" s="9"/>
      <c r="AM3656" s="9"/>
      <c r="AN3656" s="9"/>
      <c r="AO3656" s="9"/>
      <c r="AP3656" s="9"/>
      <c r="AQ3656" s="9"/>
      <c r="AR3656" s="9"/>
      <c r="AS3656" s="9"/>
      <c r="AT3656" s="9"/>
      <c r="AU3656" s="9"/>
    </row>
    <row r="3657" spans="1:47" ht="15.75" customHeight="1">
      <c r="A3657" s="9"/>
      <c r="B3657" s="9"/>
      <c r="C3657" s="9"/>
      <c r="D3657" s="9"/>
      <c r="E3657" s="9"/>
      <c r="F3657" s="67"/>
      <c r="G3657" s="9"/>
      <c r="H3657" s="9"/>
      <c r="I3657" s="9"/>
      <c r="J3657" s="9"/>
      <c r="K3657" s="9"/>
      <c r="L3657" s="9"/>
      <c r="M3657" s="9"/>
      <c r="N3657" s="9"/>
      <c r="O3657" s="9"/>
      <c r="P3657" s="9"/>
      <c r="Q3657" s="9"/>
      <c r="R3657" s="9"/>
      <c r="S3657" s="9"/>
      <c r="T3657" s="9"/>
      <c r="U3657" s="9"/>
      <c r="V3657" s="9"/>
      <c r="W3657" s="9"/>
      <c r="X3657" s="9"/>
      <c r="Y3657" s="9"/>
      <c r="Z3657" s="9"/>
      <c r="AA3657" s="9"/>
      <c r="AB3657" s="9"/>
      <c r="AC3657" s="9"/>
      <c r="AD3657" s="9"/>
      <c r="AE3657" s="9"/>
      <c r="AF3657" s="9"/>
      <c r="AG3657" s="9"/>
      <c r="AH3657" s="9"/>
      <c r="AI3657" s="9"/>
      <c r="AJ3657" s="9"/>
      <c r="AK3657" s="9"/>
      <c r="AL3657" s="9"/>
      <c r="AM3657" s="9"/>
      <c r="AN3657" s="9"/>
      <c r="AO3657" s="9"/>
      <c r="AP3657" s="9"/>
      <c r="AQ3657" s="9"/>
      <c r="AR3657" s="9"/>
      <c r="AS3657" s="9"/>
      <c r="AT3657" s="9"/>
      <c r="AU3657" s="9"/>
    </row>
    <row r="3658" spans="1:47" ht="15.75" customHeight="1">
      <c r="A3658" s="9"/>
      <c r="B3658" s="9"/>
      <c r="C3658" s="9"/>
      <c r="D3658" s="9"/>
      <c r="E3658" s="9"/>
      <c r="F3658" s="67"/>
      <c r="G3658" s="9"/>
      <c r="H3658" s="9"/>
      <c r="I3658" s="9"/>
      <c r="J3658" s="9"/>
      <c r="K3658" s="9"/>
      <c r="L3658" s="9"/>
      <c r="M3658" s="9"/>
      <c r="N3658" s="9"/>
      <c r="O3658" s="9"/>
      <c r="P3658" s="9"/>
      <c r="Q3658" s="9"/>
      <c r="R3658" s="9"/>
      <c r="S3658" s="9"/>
      <c r="T3658" s="9"/>
      <c r="U3658" s="9"/>
      <c r="V3658" s="9"/>
      <c r="W3658" s="9"/>
      <c r="X3658" s="9"/>
      <c r="Y3658" s="9"/>
      <c r="Z3658" s="9"/>
      <c r="AA3658" s="9"/>
      <c r="AB3658" s="9"/>
      <c r="AC3658" s="9"/>
      <c r="AD3658" s="9"/>
      <c r="AE3658" s="9"/>
      <c r="AF3658" s="9"/>
      <c r="AG3658" s="9"/>
      <c r="AH3658" s="9"/>
      <c r="AI3658" s="9"/>
      <c r="AJ3658" s="9"/>
      <c r="AK3658" s="9"/>
      <c r="AL3658" s="9"/>
      <c r="AM3658" s="9"/>
      <c r="AN3658" s="9"/>
      <c r="AO3658" s="9"/>
      <c r="AP3658" s="9"/>
      <c r="AQ3658" s="9"/>
      <c r="AR3658" s="9"/>
      <c r="AS3658" s="9"/>
      <c r="AT3658" s="9"/>
      <c r="AU3658" s="9"/>
    </row>
    <row r="3659" spans="1:47" ht="15.75" customHeight="1">
      <c r="A3659" s="9"/>
      <c r="B3659" s="9"/>
      <c r="C3659" s="9"/>
      <c r="D3659" s="9"/>
      <c r="E3659" s="9"/>
      <c r="F3659" s="67"/>
      <c r="G3659" s="9"/>
      <c r="H3659" s="9"/>
      <c r="I3659" s="9"/>
      <c r="J3659" s="9"/>
      <c r="K3659" s="9"/>
      <c r="L3659" s="9"/>
      <c r="M3659" s="9"/>
      <c r="N3659" s="9"/>
      <c r="O3659" s="9"/>
      <c r="P3659" s="9"/>
      <c r="Q3659" s="9"/>
      <c r="R3659" s="9"/>
      <c r="S3659" s="9"/>
      <c r="T3659" s="9"/>
      <c r="U3659" s="9"/>
      <c r="V3659" s="9"/>
      <c r="W3659" s="9"/>
      <c r="X3659" s="9"/>
      <c r="Y3659" s="9"/>
      <c r="Z3659" s="9"/>
      <c r="AA3659" s="9"/>
      <c r="AB3659" s="9"/>
      <c r="AC3659" s="9"/>
      <c r="AD3659" s="9"/>
      <c r="AE3659" s="9"/>
      <c r="AF3659" s="9"/>
      <c r="AG3659" s="9"/>
      <c r="AH3659" s="9"/>
      <c r="AI3659" s="9"/>
      <c r="AJ3659" s="9"/>
      <c r="AK3659" s="9"/>
      <c r="AL3659" s="9"/>
      <c r="AM3659" s="9"/>
      <c r="AN3659" s="9"/>
      <c r="AO3659" s="9"/>
      <c r="AP3659" s="9"/>
      <c r="AQ3659" s="9"/>
      <c r="AR3659" s="9"/>
      <c r="AS3659" s="9"/>
      <c r="AT3659" s="9"/>
      <c r="AU3659" s="9"/>
    </row>
    <row r="3660" spans="1:47" ht="15.75" customHeight="1">
      <c r="A3660" s="9"/>
      <c r="B3660" s="9"/>
      <c r="C3660" s="9"/>
      <c r="D3660" s="9"/>
      <c r="E3660" s="9"/>
      <c r="F3660" s="67"/>
      <c r="G3660" s="9"/>
      <c r="H3660" s="9"/>
      <c r="I3660" s="9"/>
      <c r="J3660" s="9"/>
      <c r="K3660" s="9"/>
      <c r="L3660" s="9"/>
      <c r="M3660" s="9"/>
      <c r="N3660" s="9"/>
      <c r="O3660" s="9"/>
      <c r="P3660" s="9"/>
      <c r="Q3660" s="9"/>
      <c r="R3660" s="9"/>
      <c r="S3660" s="9"/>
      <c r="T3660" s="9"/>
      <c r="U3660" s="9"/>
      <c r="V3660" s="9"/>
      <c r="W3660" s="9"/>
      <c r="X3660" s="9"/>
      <c r="Y3660" s="9"/>
      <c r="Z3660" s="9"/>
      <c r="AA3660" s="9"/>
      <c r="AB3660" s="9"/>
      <c r="AC3660" s="9"/>
      <c r="AD3660" s="9"/>
      <c r="AE3660" s="9"/>
      <c r="AF3660" s="9"/>
      <c r="AG3660" s="9"/>
      <c r="AH3660" s="9"/>
      <c r="AI3660" s="9"/>
      <c r="AJ3660" s="9"/>
      <c r="AK3660" s="9"/>
      <c r="AL3660" s="9"/>
      <c r="AM3660" s="9"/>
      <c r="AN3660" s="9"/>
      <c r="AO3660" s="9"/>
      <c r="AP3660" s="9"/>
      <c r="AQ3660" s="9"/>
      <c r="AR3660" s="9"/>
      <c r="AS3660" s="9"/>
      <c r="AT3660" s="9"/>
      <c r="AU3660" s="9"/>
    </row>
    <row r="3661" spans="1:47" ht="15.75" customHeight="1">
      <c r="A3661" s="9"/>
      <c r="B3661" s="9"/>
      <c r="C3661" s="9"/>
      <c r="D3661" s="9"/>
      <c r="E3661" s="9"/>
      <c r="F3661" s="67"/>
      <c r="G3661" s="9"/>
      <c r="H3661" s="9"/>
      <c r="I3661" s="9"/>
      <c r="J3661" s="9"/>
      <c r="K3661" s="9"/>
      <c r="L3661" s="9"/>
      <c r="M3661" s="9"/>
      <c r="N3661" s="9"/>
      <c r="O3661" s="9"/>
      <c r="P3661" s="9"/>
      <c r="Q3661" s="9"/>
      <c r="R3661" s="9"/>
      <c r="S3661" s="9"/>
      <c r="T3661" s="9"/>
      <c r="U3661" s="9"/>
      <c r="V3661" s="9"/>
      <c r="W3661" s="9"/>
      <c r="X3661" s="9"/>
      <c r="Y3661" s="9"/>
      <c r="Z3661" s="9"/>
      <c r="AA3661" s="9"/>
      <c r="AB3661" s="9"/>
      <c r="AC3661" s="9"/>
      <c r="AD3661" s="9"/>
      <c r="AE3661" s="9"/>
      <c r="AF3661" s="9"/>
      <c r="AG3661" s="9"/>
      <c r="AH3661" s="9"/>
      <c r="AI3661" s="9"/>
      <c r="AJ3661" s="9"/>
      <c r="AK3661" s="9"/>
      <c r="AL3661" s="9"/>
      <c r="AM3661" s="9"/>
      <c r="AN3661" s="9"/>
      <c r="AO3661" s="9"/>
      <c r="AP3661" s="9"/>
      <c r="AQ3661" s="9"/>
      <c r="AR3661" s="9"/>
      <c r="AS3661" s="9"/>
      <c r="AT3661" s="9"/>
      <c r="AU3661" s="9"/>
    </row>
    <row r="3662" spans="1:47" ht="15.75" customHeight="1">
      <c r="A3662" s="9"/>
      <c r="B3662" s="9"/>
      <c r="C3662" s="9"/>
      <c r="D3662" s="9"/>
      <c r="E3662" s="9"/>
      <c r="F3662" s="67"/>
      <c r="G3662" s="9"/>
      <c r="H3662" s="9"/>
      <c r="I3662" s="9"/>
      <c r="J3662" s="9"/>
      <c r="K3662" s="9"/>
      <c r="L3662" s="9"/>
      <c r="M3662" s="9"/>
      <c r="N3662" s="9"/>
      <c r="O3662" s="9"/>
      <c r="P3662" s="9"/>
      <c r="Q3662" s="9"/>
      <c r="R3662" s="9"/>
      <c r="S3662" s="9"/>
      <c r="T3662" s="9"/>
      <c r="U3662" s="9"/>
      <c r="V3662" s="9"/>
      <c r="W3662" s="9"/>
      <c r="X3662" s="9"/>
      <c r="Y3662" s="9"/>
      <c r="Z3662" s="9"/>
      <c r="AA3662" s="9"/>
      <c r="AB3662" s="9"/>
      <c r="AC3662" s="9"/>
      <c r="AD3662" s="9"/>
      <c r="AE3662" s="9"/>
      <c r="AF3662" s="9"/>
      <c r="AG3662" s="9"/>
      <c r="AH3662" s="9"/>
      <c r="AI3662" s="9"/>
      <c r="AJ3662" s="9"/>
      <c r="AK3662" s="9"/>
      <c r="AL3662" s="9"/>
      <c r="AM3662" s="9"/>
      <c r="AN3662" s="9"/>
      <c r="AO3662" s="9"/>
      <c r="AP3662" s="9"/>
      <c r="AQ3662" s="9"/>
      <c r="AR3662" s="9"/>
      <c r="AS3662" s="9"/>
      <c r="AT3662" s="9"/>
      <c r="AU3662" s="9"/>
    </row>
    <row r="3663" spans="1:47" ht="15.75" customHeight="1">
      <c r="A3663" s="9"/>
      <c r="B3663" s="9"/>
      <c r="C3663" s="9"/>
      <c r="D3663" s="9"/>
      <c r="E3663" s="9"/>
      <c r="F3663" s="67"/>
      <c r="G3663" s="9"/>
      <c r="H3663" s="9"/>
      <c r="I3663" s="9"/>
      <c r="J3663" s="9"/>
      <c r="K3663" s="9"/>
      <c r="L3663" s="9"/>
      <c r="M3663" s="9"/>
      <c r="N3663" s="9"/>
      <c r="O3663" s="9"/>
      <c r="P3663" s="9"/>
      <c r="Q3663" s="9"/>
      <c r="R3663" s="9"/>
      <c r="S3663" s="9"/>
      <c r="T3663" s="9"/>
      <c r="U3663" s="9"/>
      <c r="V3663" s="9"/>
      <c r="W3663" s="9"/>
      <c r="X3663" s="9"/>
      <c r="Y3663" s="9"/>
      <c r="Z3663" s="9"/>
      <c r="AA3663" s="9"/>
      <c r="AB3663" s="9"/>
      <c r="AC3663" s="9"/>
      <c r="AD3663" s="9"/>
      <c r="AE3663" s="9"/>
      <c r="AF3663" s="9"/>
      <c r="AG3663" s="9"/>
      <c r="AH3663" s="9"/>
      <c r="AI3663" s="9"/>
      <c r="AJ3663" s="9"/>
      <c r="AK3663" s="9"/>
      <c r="AL3663" s="9"/>
      <c r="AM3663" s="9"/>
      <c r="AN3663" s="9"/>
      <c r="AO3663" s="9"/>
      <c r="AP3663" s="9"/>
      <c r="AQ3663" s="9"/>
      <c r="AR3663" s="9"/>
      <c r="AS3663" s="9"/>
      <c r="AT3663" s="9"/>
      <c r="AU3663" s="9"/>
    </row>
    <row r="3664" spans="1:47" ht="15.75" customHeight="1">
      <c r="A3664" s="9"/>
      <c r="B3664" s="9"/>
      <c r="C3664" s="9"/>
      <c r="D3664" s="9"/>
      <c r="E3664" s="9"/>
      <c r="F3664" s="67"/>
      <c r="G3664" s="9"/>
      <c r="H3664" s="9"/>
      <c r="I3664" s="9"/>
      <c r="J3664" s="9"/>
      <c r="K3664" s="9"/>
      <c r="L3664" s="9"/>
      <c r="M3664" s="9"/>
      <c r="N3664" s="9"/>
      <c r="O3664" s="9"/>
      <c r="P3664" s="9"/>
      <c r="Q3664" s="9"/>
      <c r="R3664" s="9"/>
      <c r="S3664" s="9"/>
      <c r="T3664" s="9"/>
      <c r="U3664" s="9"/>
      <c r="V3664" s="9"/>
      <c r="W3664" s="9"/>
      <c r="X3664" s="9"/>
      <c r="Y3664" s="9"/>
      <c r="Z3664" s="9"/>
      <c r="AA3664" s="9"/>
      <c r="AB3664" s="9"/>
      <c r="AC3664" s="9"/>
      <c r="AD3664" s="9"/>
      <c r="AE3664" s="9"/>
      <c r="AF3664" s="9"/>
      <c r="AG3664" s="9"/>
      <c r="AH3664" s="9"/>
      <c r="AI3664" s="9"/>
      <c r="AJ3664" s="9"/>
      <c r="AK3664" s="9"/>
      <c r="AL3664" s="9"/>
      <c r="AM3664" s="9"/>
      <c r="AN3664" s="9"/>
      <c r="AO3664" s="9"/>
      <c r="AP3664" s="9"/>
      <c r="AQ3664" s="9"/>
      <c r="AR3664" s="9"/>
      <c r="AS3664" s="9"/>
      <c r="AT3664" s="9"/>
      <c r="AU3664" s="9"/>
    </row>
    <row r="3665" spans="1:47" ht="15.75" customHeight="1">
      <c r="A3665" s="9"/>
      <c r="B3665" s="9"/>
      <c r="C3665" s="9"/>
      <c r="D3665" s="9"/>
      <c r="E3665" s="9"/>
      <c r="F3665" s="67"/>
      <c r="G3665" s="9"/>
      <c r="H3665" s="9"/>
      <c r="I3665" s="9"/>
      <c r="J3665" s="9"/>
      <c r="K3665" s="9"/>
      <c r="L3665" s="9"/>
      <c r="M3665" s="9"/>
      <c r="N3665" s="9"/>
      <c r="O3665" s="9"/>
      <c r="P3665" s="9"/>
      <c r="Q3665" s="9"/>
      <c r="R3665" s="9"/>
      <c r="S3665" s="9"/>
      <c r="T3665" s="9"/>
      <c r="U3665" s="9"/>
      <c r="V3665" s="9"/>
      <c r="W3665" s="9"/>
      <c r="X3665" s="9"/>
      <c r="Y3665" s="9"/>
      <c r="Z3665" s="9"/>
      <c r="AA3665" s="9"/>
      <c r="AB3665" s="9"/>
      <c r="AC3665" s="9"/>
      <c r="AD3665" s="9"/>
      <c r="AE3665" s="9"/>
      <c r="AF3665" s="9"/>
      <c r="AG3665" s="9"/>
      <c r="AH3665" s="9"/>
      <c r="AI3665" s="9"/>
      <c r="AJ3665" s="9"/>
      <c r="AK3665" s="9"/>
      <c r="AL3665" s="9"/>
      <c r="AM3665" s="9"/>
      <c r="AN3665" s="9"/>
      <c r="AO3665" s="9"/>
      <c r="AP3665" s="9"/>
      <c r="AQ3665" s="9"/>
      <c r="AR3665" s="9"/>
      <c r="AS3665" s="9"/>
      <c r="AT3665" s="9"/>
      <c r="AU3665" s="9"/>
    </row>
    <row r="3666" spans="1:47" ht="15.75" customHeight="1">
      <c r="A3666" s="9"/>
      <c r="B3666" s="9"/>
      <c r="C3666" s="9"/>
      <c r="D3666" s="9"/>
      <c r="E3666" s="9"/>
      <c r="F3666" s="67"/>
      <c r="G3666" s="9"/>
      <c r="H3666" s="9"/>
      <c r="I3666" s="9"/>
      <c r="J3666" s="9"/>
      <c r="K3666" s="9"/>
      <c r="L3666" s="9"/>
      <c r="M3666" s="9"/>
      <c r="N3666" s="9"/>
      <c r="O3666" s="9"/>
      <c r="P3666" s="9"/>
      <c r="Q3666" s="9"/>
      <c r="R3666" s="9"/>
      <c r="S3666" s="9"/>
      <c r="T3666" s="9"/>
      <c r="U3666" s="9"/>
      <c r="V3666" s="9"/>
      <c r="W3666" s="9"/>
      <c r="X3666" s="9"/>
      <c r="Y3666" s="9"/>
      <c r="Z3666" s="9"/>
      <c r="AA3666" s="9"/>
      <c r="AB3666" s="9"/>
      <c r="AC3666" s="9"/>
      <c r="AD3666" s="9"/>
      <c r="AE3666" s="9"/>
      <c r="AF3666" s="9"/>
      <c r="AG3666" s="9"/>
      <c r="AH3666" s="9"/>
      <c r="AI3666" s="9"/>
      <c r="AJ3666" s="9"/>
      <c r="AK3666" s="9"/>
      <c r="AL3666" s="9"/>
      <c r="AM3666" s="9"/>
      <c r="AN3666" s="9"/>
      <c r="AO3666" s="9"/>
      <c r="AP3666" s="9"/>
      <c r="AQ3666" s="9"/>
      <c r="AR3666" s="9"/>
      <c r="AS3666" s="9"/>
      <c r="AT3666" s="9"/>
      <c r="AU3666" s="9"/>
    </row>
    <row r="3667" spans="1:47" ht="15.75" customHeight="1">
      <c r="A3667" s="9"/>
      <c r="B3667" s="9"/>
      <c r="C3667" s="9"/>
      <c r="D3667" s="9"/>
      <c r="E3667" s="9"/>
      <c r="F3667" s="67"/>
      <c r="G3667" s="9"/>
      <c r="H3667" s="9"/>
      <c r="I3667" s="9"/>
      <c r="J3667" s="9"/>
      <c r="K3667" s="9"/>
      <c r="L3667" s="9"/>
      <c r="M3667" s="9"/>
      <c r="N3667" s="9"/>
      <c r="O3667" s="9"/>
      <c r="P3667" s="9"/>
      <c r="Q3667" s="9"/>
      <c r="R3667" s="9"/>
      <c r="S3667" s="9"/>
      <c r="T3667" s="9"/>
      <c r="U3667" s="9"/>
      <c r="V3667" s="9"/>
      <c r="W3667" s="9"/>
      <c r="X3667" s="9"/>
      <c r="Y3667" s="9"/>
      <c r="Z3667" s="9"/>
      <c r="AA3667" s="9"/>
      <c r="AB3667" s="9"/>
      <c r="AC3667" s="9"/>
      <c r="AD3667" s="9"/>
      <c r="AE3667" s="9"/>
      <c r="AF3667" s="9"/>
      <c r="AG3667" s="9"/>
      <c r="AH3667" s="9"/>
      <c r="AI3667" s="9"/>
      <c r="AJ3667" s="9"/>
      <c r="AK3667" s="9"/>
      <c r="AL3667" s="9"/>
      <c r="AM3667" s="9"/>
      <c r="AN3667" s="9"/>
      <c r="AO3667" s="9"/>
      <c r="AP3667" s="9"/>
      <c r="AQ3667" s="9"/>
      <c r="AR3667" s="9"/>
      <c r="AS3667" s="9"/>
      <c r="AT3667" s="9"/>
      <c r="AU3667" s="9"/>
    </row>
    <row r="3668" spans="1:47" ht="15.75" customHeight="1">
      <c r="A3668" s="9"/>
      <c r="B3668" s="9"/>
      <c r="C3668" s="9"/>
      <c r="D3668" s="9"/>
      <c r="E3668" s="9"/>
      <c r="F3668" s="67"/>
      <c r="G3668" s="9"/>
      <c r="H3668" s="9"/>
      <c r="I3668" s="9"/>
      <c r="J3668" s="9"/>
      <c r="K3668" s="9"/>
      <c r="L3668" s="9"/>
      <c r="M3668" s="9"/>
      <c r="N3668" s="9"/>
      <c r="O3668" s="9"/>
      <c r="P3668" s="9"/>
      <c r="Q3668" s="9"/>
      <c r="R3668" s="9"/>
      <c r="S3668" s="9"/>
      <c r="T3668" s="9"/>
      <c r="U3668" s="9"/>
      <c r="V3668" s="9"/>
      <c r="W3668" s="9"/>
      <c r="X3668" s="9"/>
      <c r="Y3668" s="9"/>
      <c r="Z3668" s="9"/>
      <c r="AA3668" s="9"/>
      <c r="AB3668" s="9"/>
      <c r="AC3668" s="9"/>
      <c r="AD3668" s="9"/>
      <c r="AE3668" s="9"/>
      <c r="AF3668" s="9"/>
      <c r="AG3668" s="9"/>
      <c r="AH3668" s="9"/>
      <c r="AI3668" s="9"/>
      <c r="AJ3668" s="9"/>
      <c r="AK3668" s="9"/>
      <c r="AL3668" s="9"/>
      <c r="AM3668" s="9"/>
      <c r="AN3668" s="9"/>
      <c r="AO3668" s="9"/>
      <c r="AP3668" s="9"/>
      <c r="AQ3668" s="9"/>
      <c r="AR3668" s="9"/>
      <c r="AS3668" s="9"/>
      <c r="AT3668" s="9"/>
      <c r="AU3668" s="9"/>
    </row>
    <row r="3669" spans="1:47" ht="15.75" customHeight="1">
      <c r="A3669" s="9"/>
      <c r="B3669" s="9"/>
      <c r="C3669" s="9"/>
      <c r="D3669" s="9"/>
      <c r="E3669" s="9"/>
      <c r="F3669" s="67"/>
      <c r="G3669" s="9"/>
      <c r="H3669" s="9"/>
      <c r="I3669" s="9"/>
      <c r="J3669" s="9"/>
      <c r="K3669" s="9"/>
      <c r="L3669" s="9"/>
      <c r="M3669" s="9"/>
      <c r="N3669" s="9"/>
      <c r="O3669" s="9"/>
      <c r="P3669" s="9"/>
      <c r="Q3669" s="9"/>
      <c r="R3669" s="9"/>
      <c r="S3669" s="9"/>
      <c r="T3669" s="9"/>
      <c r="U3669" s="9"/>
      <c r="V3669" s="9"/>
      <c r="W3669" s="9"/>
      <c r="X3669" s="9"/>
      <c r="Y3669" s="9"/>
      <c r="Z3669" s="9"/>
      <c r="AA3669" s="9"/>
      <c r="AB3669" s="9"/>
      <c r="AC3669" s="9"/>
      <c r="AD3669" s="9"/>
      <c r="AE3669" s="9"/>
      <c r="AF3669" s="9"/>
      <c r="AG3669" s="9"/>
      <c r="AH3669" s="9"/>
      <c r="AI3669" s="9"/>
      <c r="AJ3669" s="9"/>
      <c r="AK3669" s="9"/>
      <c r="AL3669" s="9"/>
      <c r="AM3669" s="9"/>
      <c r="AN3669" s="9"/>
      <c r="AO3669" s="9"/>
      <c r="AP3669" s="9"/>
      <c r="AQ3669" s="9"/>
      <c r="AR3669" s="9"/>
      <c r="AS3669" s="9"/>
      <c r="AT3669" s="9"/>
      <c r="AU3669" s="9"/>
    </row>
    <row r="3670" spans="1:47" ht="15.75" customHeight="1">
      <c r="A3670" s="9"/>
      <c r="B3670" s="9"/>
      <c r="C3670" s="9"/>
      <c r="D3670" s="9"/>
      <c r="E3670" s="9"/>
      <c r="F3670" s="67"/>
      <c r="G3670" s="9"/>
      <c r="H3670" s="9"/>
      <c r="I3670" s="9"/>
      <c r="J3670" s="9"/>
      <c r="K3670" s="9"/>
      <c r="L3670" s="9"/>
      <c r="M3670" s="9"/>
      <c r="N3670" s="9"/>
      <c r="O3670" s="9"/>
      <c r="P3670" s="9"/>
      <c r="Q3670" s="9"/>
      <c r="R3670" s="9"/>
      <c r="S3670" s="9"/>
      <c r="T3670" s="9"/>
      <c r="U3670" s="9"/>
      <c r="V3670" s="9"/>
      <c r="W3670" s="9"/>
      <c r="X3670" s="9"/>
      <c r="Y3670" s="9"/>
      <c r="Z3670" s="9"/>
      <c r="AA3670" s="9"/>
      <c r="AB3670" s="9"/>
      <c r="AC3670" s="9"/>
      <c r="AD3670" s="9"/>
      <c r="AE3670" s="9"/>
      <c r="AF3670" s="9"/>
      <c r="AG3670" s="9"/>
      <c r="AH3670" s="9"/>
      <c r="AI3670" s="9"/>
      <c r="AJ3670" s="9"/>
      <c r="AK3670" s="9"/>
      <c r="AL3670" s="9"/>
      <c r="AM3670" s="9"/>
      <c r="AN3670" s="9"/>
      <c r="AO3670" s="9"/>
      <c r="AP3670" s="9"/>
      <c r="AQ3670" s="9"/>
      <c r="AR3670" s="9"/>
      <c r="AS3670" s="9"/>
      <c r="AT3670" s="9"/>
      <c r="AU3670" s="9"/>
    </row>
    <row r="3671" spans="1:47" ht="15.75" customHeight="1">
      <c r="A3671" s="9"/>
      <c r="B3671" s="9"/>
      <c r="C3671" s="9"/>
      <c r="D3671" s="9"/>
      <c r="E3671" s="9"/>
      <c r="F3671" s="67"/>
      <c r="G3671" s="9"/>
      <c r="H3671" s="9"/>
      <c r="I3671" s="9"/>
      <c r="J3671" s="9"/>
      <c r="K3671" s="9"/>
      <c r="L3671" s="9"/>
      <c r="M3671" s="9"/>
      <c r="N3671" s="9"/>
      <c r="O3671" s="9"/>
      <c r="P3671" s="9"/>
      <c r="Q3671" s="9"/>
      <c r="R3671" s="9"/>
      <c r="S3671" s="9"/>
      <c r="T3671" s="9"/>
      <c r="U3671" s="9"/>
      <c r="V3671" s="9"/>
      <c r="W3671" s="9"/>
      <c r="X3671" s="9"/>
      <c r="Y3671" s="9"/>
      <c r="Z3671" s="9"/>
      <c r="AA3671" s="9"/>
      <c r="AB3671" s="9"/>
      <c r="AC3671" s="9"/>
      <c r="AD3671" s="9"/>
      <c r="AE3671" s="9"/>
      <c r="AF3671" s="9"/>
      <c r="AG3671" s="9"/>
      <c r="AH3671" s="9"/>
      <c r="AI3671" s="9"/>
      <c r="AJ3671" s="9"/>
      <c r="AK3671" s="9"/>
      <c r="AL3671" s="9"/>
      <c r="AM3671" s="9"/>
      <c r="AN3671" s="9"/>
      <c r="AO3671" s="9"/>
      <c r="AP3671" s="9"/>
      <c r="AQ3671" s="9"/>
      <c r="AR3671" s="9"/>
      <c r="AS3671" s="9"/>
      <c r="AT3671" s="9"/>
      <c r="AU3671" s="9"/>
    </row>
    <row r="3672" spans="1:47" ht="15.75" customHeight="1">
      <c r="A3672" s="9"/>
      <c r="B3672" s="9"/>
      <c r="C3672" s="9"/>
      <c r="D3672" s="9"/>
      <c r="E3672" s="9"/>
      <c r="F3672" s="67"/>
      <c r="G3672" s="9"/>
      <c r="H3672" s="9"/>
      <c r="I3672" s="9"/>
      <c r="J3672" s="9"/>
      <c r="K3672" s="9"/>
      <c r="L3672" s="9"/>
      <c r="M3672" s="9"/>
      <c r="N3672" s="9"/>
      <c r="O3672" s="9"/>
      <c r="P3672" s="9"/>
      <c r="Q3672" s="9"/>
      <c r="R3672" s="9"/>
      <c r="S3672" s="9"/>
      <c r="T3672" s="9"/>
      <c r="U3672" s="9"/>
      <c r="V3672" s="9"/>
      <c r="W3672" s="9"/>
      <c r="X3672" s="9"/>
      <c r="Y3672" s="9"/>
      <c r="Z3672" s="9"/>
      <c r="AA3672" s="9"/>
      <c r="AB3672" s="9"/>
      <c r="AC3672" s="9"/>
      <c r="AD3672" s="9"/>
      <c r="AE3672" s="9"/>
      <c r="AF3672" s="9"/>
      <c r="AG3672" s="9"/>
      <c r="AH3672" s="9"/>
      <c r="AI3672" s="9"/>
      <c r="AJ3672" s="9"/>
      <c r="AK3672" s="9"/>
      <c r="AL3672" s="9"/>
      <c r="AM3672" s="9"/>
      <c r="AN3672" s="9"/>
      <c r="AO3672" s="9"/>
      <c r="AP3672" s="9"/>
      <c r="AQ3672" s="9"/>
      <c r="AR3672" s="9"/>
      <c r="AS3672" s="9"/>
      <c r="AT3672" s="9"/>
      <c r="AU3672" s="9"/>
    </row>
    <row r="3673" spans="1:47" ht="15.75" customHeight="1">
      <c r="A3673" s="9"/>
      <c r="B3673" s="9"/>
      <c r="C3673" s="9"/>
      <c r="D3673" s="9"/>
      <c r="E3673" s="9"/>
      <c r="F3673" s="67"/>
      <c r="G3673" s="9"/>
      <c r="H3673" s="9"/>
      <c r="I3673" s="9"/>
      <c r="J3673" s="9"/>
      <c r="K3673" s="9"/>
      <c r="L3673" s="9"/>
      <c r="M3673" s="9"/>
      <c r="N3673" s="9"/>
      <c r="O3673" s="9"/>
      <c r="P3673" s="9"/>
      <c r="Q3673" s="9"/>
      <c r="R3673" s="9"/>
      <c r="S3673" s="9"/>
      <c r="T3673" s="9"/>
      <c r="U3673" s="9"/>
      <c r="V3673" s="9"/>
      <c r="W3673" s="9"/>
      <c r="X3673" s="9"/>
      <c r="Y3673" s="9"/>
      <c r="Z3673" s="9"/>
      <c r="AA3673" s="9"/>
      <c r="AB3673" s="9"/>
      <c r="AC3673" s="9"/>
      <c r="AD3673" s="9"/>
      <c r="AE3673" s="9"/>
      <c r="AF3673" s="9"/>
      <c r="AG3673" s="9"/>
      <c r="AH3673" s="9"/>
      <c r="AI3673" s="9"/>
      <c r="AJ3673" s="9"/>
      <c r="AK3673" s="9"/>
      <c r="AL3673" s="9"/>
      <c r="AM3673" s="9"/>
      <c r="AN3673" s="9"/>
      <c r="AO3673" s="9"/>
      <c r="AP3673" s="9"/>
      <c r="AQ3673" s="9"/>
      <c r="AR3673" s="9"/>
      <c r="AS3673" s="9"/>
      <c r="AT3673" s="9"/>
      <c r="AU3673" s="9"/>
    </row>
    <row r="3674" spans="1:47" ht="15.75" customHeight="1">
      <c r="A3674" s="9"/>
      <c r="B3674" s="9"/>
      <c r="C3674" s="9"/>
      <c r="D3674" s="9"/>
      <c r="E3674" s="9"/>
      <c r="F3674" s="67"/>
      <c r="G3674" s="9"/>
      <c r="H3674" s="9"/>
      <c r="I3674" s="9"/>
      <c r="J3674" s="9"/>
      <c r="K3674" s="9"/>
      <c r="L3674" s="9"/>
      <c r="M3674" s="9"/>
      <c r="N3674" s="9"/>
      <c r="O3674" s="9"/>
      <c r="P3674" s="9"/>
      <c r="Q3674" s="9"/>
      <c r="R3674" s="9"/>
      <c r="S3674" s="9"/>
      <c r="T3674" s="9"/>
      <c r="U3674" s="9"/>
      <c r="V3674" s="9"/>
      <c r="W3674" s="9"/>
      <c r="X3674" s="9"/>
      <c r="Y3674" s="9"/>
      <c r="Z3674" s="9"/>
      <c r="AA3674" s="9"/>
      <c r="AB3674" s="9"/>
      <c r="AC3674" s="9"/>
      <c r="AD3674" s="9"/>
      <c r="AE3674" s="9"/>
      <c r="AF3674" s="9"/>
      <c r="AG3674" s="9"/>
      <c r="AH3674" s="9"/>
      <c r="AI3674" s="9"/>
      <c r="AJ3674" s="9"/>
      <c r="AK3674" s="9"/>
      <c r="AL3674" s="9"/>
      <c r="AM3674" s="9"/>
      <c r="AN3674" s="9"/>
      <c r="AO3674" s="9"/>
      <c r="AP3674" s="9"/>
      <c r="AQ3674" s="9"/>
      <c r="AR3674" s="9"/>
      <c r="AS3674" s="9"/>
      <c r="AT3674" s="9"/>
      <c r="AU3674" s="9"/>
    </row>
    <row r="3675" spans="1:47" ht="15.75" customHeight="1">
      <c r="A3675" s="9"/>
      <c r="B3675" s="9"/>
      <c r="C3675" s="9"/>
      <c r="D3675" s="9"/>
      <c r="E3675" s="9"/>
      <c r="F3675" s="67"/>
      <c r="G3675" s="9"/>
      <c r="H3675" s="9"/>
      <c r="I3675" s="9"/>
      <c r="J3675" s="9"/>
      <c r="K3675" s="9"/>
      <c r="L3675" s="9"/>
      <c r="M3675" s="9"/>
      <c r="N3675" s="9"/>
      <c r="O3675" s="9"/>
      <c r="P3675" s="9"/>
      <c r="Q3675" s="9"/>
      <c r="R3675" s="9"/>
      <c r="S3675" s="9"/>
      <c r="T3675" s="9"/>
      <c r="U3675" s="9"/>
      <c r="V3675" s="9"/>
      <c r="W3675" s="9"/>
      <c r="X3675" s="9"/>
      <c r="Y3675" s="9"/>
      <c r="Z3675" s="9"/>
      <c r="AA3675" s="9"/>
      <c r="AB3675" s="9"/>
      <c r="AC3675" s="9"/>
      <c r="AD3675" s="9"/>
      <c r="AE3675" s="9"/>
      <c r="AF3675" s="9"/>
      <c r="AG3675" s="9"/>
      <c r="AH3675" s="9"/>
      <c r="AI3675" s="9"/>
      <c r="AJ3675" s="9"/>
      <c r="AK3675" s="9"/>
      <c r="AL3675" s="9"/>
      <c r="AM3675" s="9"/>
      <c r="AN3675" s="9"/>
      <c r="AO3675" s="9"/>
      <c r="AP3675" s="9"/>
      <c r="AQ3675" s="9"/>
      <c r="AR3675" s="9"/>
      <c r="AS3675" s="9"/>
      <c r="AT3675" s="9"/>
      <c r="AU3675" s="9"/>
    </row>
    <row r="3676" spans="1:47" ht="15.75" customHeight="1">
      <c r="A3676" s="9"/>
      <c r="B3676" s="9"/>
      <c r="C3676" s="9"/>
      <c r="D3676" s="9"/>
      <c r="E3676" s="9"/>
      <c r="F3676" s="67"/>
      <c r="G3676" s="9"/>
      <c r="H3676" s="9"/>
      <c r="I3676" s="9"/>
      <c r="J3676" s="9"/>
      <c r="K3676" s="9"/>
      <c r="L3676" s="9"/>
      <c r="M3676" s="9"/>
      <c r="N3676" s="9"/>
      <c r="O3676" s="9"/>
      <c r="P3676" s="9"/>
      <c r="Q3676" s="9"/>
      <c r="R3676" s="9"/>
      <c r="S3676" s="9"/>
      <c r="T3676" s="9"/>
      <c r="U3676" s="9"/>
      <c r="V3676" s="9"/>
      <c r="W3676" s="9"/>
      <c r="X3676" s="9"/>
      <c r="Y3676" s="9"/>
      <c r="Z3676" s="9"/>
      <c r="AA3676" s="9"/>
      <c r="AB3676" s="9"/>
      <c r="AC3676" s="9"/>
      <c r="AD3676" s="9"/>
      <c r="AE3676" s="9"/>
      <c r="AF3676" s="9"/>
      <c r="AG3676" s="9"/>
      <c r="AH3676" s="9"/>
      <c r="AI3676" s="9"/>
      <c r="AJ3676" s="9"/>
      <c r="AK3676" s="9"/>
      <c r="AL3676" s="9"/>
      <c r="AM3676" s="9"/>
      <c r="AN3676" s="9"/>
      <c r="AO3676" s="9"/>
      <c r="AP3676" s="9"/>
      <c r="AQ3676" s="9"/>
      <c r="AR3676" s="9"/>
      <c r="AS3676" s="9"/>
      <c r="AT3676" s="9"/>
      <c r="AU3676" s="9"/>
    </row>
    <row r="3677" spans="1:47" ht="15.75" customHeight="1">
      <c r="A3677" s="9"/>
      <c r="B3677" s="9"/>
      <c r="C3677" s="9"/>
      <c r="D3677" s="9"/>
      <c r="E3677" s="9"/>
      <c r="F3677" s="67"/>
      <c r="G3677" s="9"/>
      <c r="H3677" s="9"/>
      <c r="I3677" s="9"/>
      <c r="J3677" s="9"/>
      <c r="K3677" s="9"/>
      <c r="L3677" s="9"/>
      <c r="M3677" s="9"/>
      <c r="N3677" s="9"/>
      <c r="O3677" s="9"/>
      <c r="P3677" s="9"/>
      <c r="Q3677" s="9"/>
      <c r="R3677" s="9"/>
      <c r="S3677" s="9"/>
      <c r="T3677" s="9"/>
      <c r="U3677" s="9"/>
      <c r="V3677" s="9"/>
      <c r="W3677" s="9"/>
      <c r="X3677" s="9"/>
      <c r="Y3677" s="9"/>
      <c r="Z3677" s="9"/>
      <c r="AA3677" s="9"/>
      <c r="AB3677" s="9"/>
      <c r="AC3677" s="9"/>
      <c r="AD3677" s="9"/>
      <c r="AE3677" s="9"/>
      <c r="AF3677" s="9"/>
      <c r="AG3677" s="9"/>
      <c r="AH3677" s="9"/>
      <c r="AI3677" s="9"/>
      <c r="AJ3677" s="9"/>
      <c r="AK3677" s="9"/>
      <c r="AL3677" s="9"/>
      <c r="AM3677" s="9"/>
      <c r="AN3677" s="9"/>
      <c r="AO3677" s="9"/>
      <c r="AP3677" s="9"/>
      <c r="AQ3677" s="9"/>
      <c r="AR3677" s="9"/>
      <c r="AS3677" s="9"/>
      <c r="AT3677" s="9"/>
      <c r="AU3677" s="9"/>
    </row>
    <row r="3678" spans="1:47" ht="15.75" customHeight="1">
      <c r="A3678" s="9"/>
      <c r="B3678" s="9"/>
      <c r="C3678" s="9"/>
      <c r="D3678" s="9"/>
      <c r="E3678" s="9"/>
      <c r="F3678" s="67"/>
      <c r="G3678" s="9"/>
      <c r="H3678" s="9"/>
      <c r="I3678" s="9"/>
      <c r="J3678" s="9"/>
      <c r="K3678" s="9"/>
      <c r="L3678" s="9"/>
      <c r="M3678" s="9"/>
      <c r="N3678" s="9"/>
      <c r="O3678" s="9"/>
      <c r="P3678" s="9"/>
      <c r="Q3678" s="9"/>
      <c r="R3678" s="9"/>
      <c r="S3678" s="9"/>
      <c r="T3678" s="9"/>
      <c r="U3678" s="9"/>
      <c r="V3678" s="9"/>
      <c r="W3678" s="9"/>
      <c r="X3678" s="9"/>
      <c r="Y3678" s="9"/>
      <c r="Z3678" s="9"/>
      <c r="AA3678" s="9"/>
      <c r="AB3678" s="9"/>
      <c r="AC3678" s="9"/>
      <c r="AD3678" s="9"/>
      <c r="AE3678" s="9"/>
      <c r="AF3678" s="9"/>
      <c r="AG3678" s="9"/>
      <c r="AH3678" s="9"/>
      <c r="AI3678" s="9"/>
      <c r="AJ3678" s="9"/>
      <c r="AK3678" s="9"/>
      <c r="AL3678" s="9"/>
      <c r="AM3678" s="9"/>
      <c r="AN3678" s="9"/>
      <c r="AO3678" s="9"/>
      <c r="AP3678" s="9"/>
      <c r="AQ3678" s="9"/>
      <c r="AR3678" s="9"/>
      <c r="AS3678" s="9"/>
      <c r="AT3678" s="9"/>
      <c r="AU3678" s="9"/>
    </row>
    <row r="3679" spans="1:47" ht="15.75" customHeight="1">
      <c r="A3679" s="9"/>
      <c r="B3679" s="9"/>
      <c r="C3679" s="9"/>
      <c r="D3679" s="9"/>
      <c r="E3679" s="9"/>
      <c r="F3679" s="67"/>
      <c r="G3679" s="9"/>
      <c r="H3679" s="9"/>
      <c r="I3679" s="9"/>
      <c r="J3679" s="9"/>
      <c r="K3679" s="9"/>
      <c r="L3679" s="9"/>
      <c r="M3679" s="9"/>
      <c r="N3679" s="9"/>
      <c r="O3679" s="9"/>
      <c r="P3679" s="9"/>
      <c r="Q3679" s="9"/>
      <c r="R3679" s="9"/>
      <c r="S3679" s="9"/>
      <c r="T3679" s="9"/>
      <c r="U3679" s="9"/>
      <c r="V3679" s="9"/>
      <c r="W3679" s="9"/>
      <c r="X3679" s="9"/>
      <c r="Y3679" s="9"/>
      <c r="Z3679" s="9"/>
      <c r="AA3679" s="9"/>
      <c r="AB3679" s="9"/>
      <c r="AC3679" s="9"/>
      <c r="AD3679" s="9"/>
      <c r="AE3679" s="9"/>
      <c r="AF3679" s="9"/>
      <c r="AG3679" s="9"/>
      <c r="AH3679" s="9"/>
      <c r="AI3679" s="9"/>
      <c r="AJ3679" s="9"/>
      <c r="AK3679" s="9"/>
      <c r="AL3679" s="9"/>
      <c r="AM3679" s="9"/>
      <c r="AN3679" s="9"/>
      <c r="AO3679" s="9"/>
      <c r="AP3679" s="9"/>
      <c r="AQ3679" s="9"/>
      <c r="AR3679" s="9"/>
      <c r="AS3679" s="9"/>
      <c r="AT3679" s="9"/>
      <c r="AU3679" s="9"/>
    </row>
    <row r="3680" spans="1:47" ht="15.75" customHeight="1">
      <c r="A3680" s="9"/>
      <c r="B3680" s="9"/>
      <c r="C3680" s="9"/>
      <c r="D3680" s="9"/>
      <c r="E3680" s="9"/>
      <c r="F3680" s="67"/>
      <c r="G3680" s="9"/>
      <c r="H3680" s="9"/>
      <c r="I3680" s="9"/>
      <c r="J3680" s="9"/>
      <c r="K3680" s="9"/>
      <c r="L3680" s="9"/>
      <c r="M3680" s="9"/>
      <c r="N3680" s="9"/>
      <c r="O3680" s="9"/>
      <c r="P3680" s="9"/>
      <c r="Q3680" s="9"/>
      <c r="R3680" s="9"/>
      <c r="S3680" s="9"/>
      <c r="T3680" s="9"/>
      <c r="U3680" s="9"/>
      <c r="V3680" s="9"/>
      <c r="W3680" s="9"/>
      <c r="X3680" s="9"/>
      <c r="Y3680" s="9"/>
      <c r="Z3680" s="9"/>
      <c r="AA3680" s="9"/>
      <c r="AB3680" s="9"/>
      <c r="AC3680" s="9"/>
      <c r="AD3680" s="9"/>
      <c r="AE3680" s="9"/>
      <c r="AF3680" s="9"/>
      <c r="AG3680" s="9"/>
      <c r="AH3680" s="9"/>
      <c r="AI3680" s="9"/>
      <c r="AJ3680" s="9"/>
      <c r="AK3680" s="9"/>
      <c r="AL3680" s="9"/>
      <c r="AM3680" s="9"/>
      <c r="AN3680" s="9"/>
      <c r="AO3680" s="9"/>
      <c r="AP3680" s="9"/>
      <c r="AQ3680" s="9"/>
      <c r="AR3680" s="9"/>
      <c r="AS3680" s="9"/>
      <c r="AT3680" s="9"/>
      <c r="AU3680" s="9"/>
    </row>
    <row r="3681" spans="1:47" ht="15.75" customHeight="1">
      <c r="A3681" s="9"/>
      <c r="B3681" s="9"/>
      <c r="C3681" s="9"/>
      <c r="D3681" s="9"/>
      <c r="E3681" s="9"/>
      <c r="F3681" s="67"/>
      <c r="G3681" s="9"/>
      <c r="H3681" s="9"/>
      <c r="I3681" s="9"/>
      <c r="J3681" s="9"/>
      <c r="K3681" s="9"/>
      <c r="L3681" s="9"/>
      <c r="M3681" s="9"/>
      <c r="N3681" s="9"/>
      <c r="O3681" s="9"/>
      <c r="P3681" s="9"/>
      <c r="Q3681" s="9"/>
      <c r="R3681" s="9"/>
      <c r="S3681" s="9"/>
      <c r="T3681" s="9"/>
      <c r="U3681" s="9"/>
      <c r="V3681" s="9"/>
      <c r="W3681" s="9"/>
      <c r="X3681" s="9"/>
      <c r="Y3681" s="9"/>
      <c r="Z3681" s="9"/>
      <c r="AA3681" s="9"/>
      <c r="AB3681" s="9"/>
      <c r="AC3681" s="9"/>
      <c r="AD3681" s="9"/>
      <c r="AE3681" s="9"/>
      <c r="AF3681" s="9"/>
      <c r="AG3681" s="9"/>
      <c r="AH3681" s="9"/>
      <c r="AI3681" s="9"/>
      <c r="AJ3681" s="9"/>
      <c r="AK3681" s="9"/>
      <c r="AL3681" s="9"/>
      <c r="AM3681" s="9"/>
      <c r="AN3681" s="9"/>
      <c r="AO3681" s="9"/>
      <c r="AP3681" s="9"/>
      <c r="AQ3681" s="9"/>
      <c r="AR3681" s="9"/>
      <c r="AS3681" s="9"/>
      <c r="AT3681" s="9"/>
      <c r="AU3681" s="9"/>
    </row>
    <row r="3682" spans="1:47" ht="15.75" customHeight="1">
      <c r="A3682" s="9"/>
      <c r="B3682" s="9"/>
      <c r="C3682" s="9"/>
      <c r="D3682" s="9"/>
      <c r="E3682" s="9"/>
      <c r="F3682" s="67"/>
      <c r="G3682" s="9"/>
      <c r="H3682" s="9"/>
      <c r="I3682" s="9"/>
      <c r="J3682" s="9"/>
      <c r="K3682" s="9"/>
      <c r="L3682" s="9"/>
      <c r="M3682" s="9"/>
      <c r="N3682" s="9"/>
      <c r="O3682" s="9"/>
      <c r="P3682" s="9"/>
      <c r="Q3682" s="9"/>
      <c r="R3682" s="9"/>
      <c r="S3682" s="9"/>
      <c r="T3682" s="9"/>
      <c r="U3682" s="9"/>
      <c r="V3682" s="9"/>
      <c r="W3682" s="9"/>
      <c r="X3682" s="9"/>
      <c r="Y3682" s="9"/>
      <c r="Z3682" s="9"/>
      <c r="AA3682" s="9"/>
      <c r="AB3682" s="9"/>
      <c r="AC3682" s="9"/>
      <c r="AD3682" s="9"/>
      <c r="AE3682" s="9"/>
      <c r="AF3682" s="9"/>
      <c r="AG3682" s="9"/>
      <c r="AH3682" s="9"/>
      <c r="AI3682" s="9"/>
      <c r="AJ3682" s="9"/>
      <c r="AK3682" s="9"/>
      <c r="AL3682" s="9"/>
      <c r="AM3682" s="9"/>
      <c r="AN3682" s="9"/>
      <c r="AO3682" s="9"/>
      <c r="AP3682" s="9"/>
      <c r="AQ3682" s="9"/>
      <c r="AR3682" s="9"/>
      <c r="AS3682" s="9"/>
      <c r="AT3682" s="9"/>
      <c r="AU3682" s="9"/>
    </row>
    <row r="3683" spans="1:47" ht="15.75" customHeight="1">
      <c r="A3683" s="9"/>
      <c r="B3683" s="9"/>
      <c r="C3683" s="9"/>
      <c r="D3683" s="9"/>
      <c r="E3683" s="9"/>
      <c r="F3683" s="67"/>
      <c r="G3683" s="9"/>
      <c r="H3683" s="9"/>
      <c r="I3683" s="9"/>
      <c r="J3683" s="9"/>
      <c r="K3683" s="9"/>
      <c r="L3683" s="9"/>
      <c r="M3683" s="9"/>
      <c r="N3683" s="9"/>
      <c r="O3683" s="9"/>
      <c r="P3683" s="9"/>
      <c r="Q3683" s="9"/>
      <c r="R3683" s="9"/>
      <c r="S3683" s="9"/>
      <c r="T3683" s="9"/>
      <c r="U3683" s="9"/>
      <c r="V3683" s="9"/>
      <c r="W3683" s="9"/>
      <c r="X3683" s="9"/>
      <c r="Y3683" s="9"/>
      <c r="Z3683" s="9"/>
      <c r="AA3683" s="9"/>
      <c r="AB3683" s="9"/>
      <c r="AC3683" s="9"/>
      <c r="AD3683" s="9"/>
      <c r="AE3683" s="9"/>
      <c r="AF3683" s="9"/>
      <c r="AG3683" s="9"/>
      <c r="AH3683" s="9"/>
      <c r="AI3683" s="9"/>
      <c r="AJ3683" s="9"/>
      <c r="AK3683" s="9"/>
      <c r="AL3683" s="9"/>
      <c r="AM3683" s="9"/>
      <c r="AN3683" s="9"/>
      <c r="AO3683" s="9"/>
      <c r="AP3683" s="9"/>
      <c r="AQ3683" s="9"/>
      <c r="AR3683" s="9"/>
      <c r="AS3683" s="9"/>
      <c r="AT3683" s="9"/>
      <c r="AU3683" s="9"/>
    </row>
    <row r="3684" spans="1:47" ht="15.75" customHeight="1">
      <c r="A3684" s="9"/>
      <c r="B3684" s="9"/>
      <c r="C3684" s="9"/>
      <c r="D3684" s="9"/>
      <c r="E3684" s="9"/>
      <c r="F3684" s="67"/>
      <c r="G3684" s="9"/>
      <c r="H3684" s="9"/>
      <c r="I3684" s="9"/>
      <c r="J3684" s="9"/>
      <c r="K3684" s="9"/>
      <c r="L3684" s="9"/>
      <c r="M3684" s="9"/>
      <c r="N3684" s="9"/>
      <c r="O3684" s="9"/>
      <c r="P3684" s="9"/>
      <c r="Q3684" s="9"/>
      <c r="R3684" s="9"/>
      <c r="S3684" s="9"/>
      <c r="T3684" s="9"/>
      <c r="U3684" s="9"/>
      <c r="V3684" s="9"/>
      <c r="W3684" s="9"/>
      <c r="X3684" s="9"/>
      <c r="Y3684" s="9"/>
      <c r="Z3684" s="9"/>
      <c r="AA3684" s="9"/>
      <c r="AB3684" s="9"/>
      <c r="AC3684" s="9"/>
      <c r="AD3684" s="9"/>
      <c r="AE3684" s="9"/>
      <c r="AF3684" s="9"/>
      <c r="AG3684" s="9"/>
      <c r="AH3684" s="9"/>
      <c r="AI3684" s="9"/>
      <c r="AJ3684" s="9"/>
      <c r="AK3684" s="9"/>
      <c r="AL3684" s="9"/>
      <c r="AM3684" s="9"/>
      <c r="AN3684" s="9"/>
      <c r="AO3684" s="9"/>
      <c r="AP3684" s="9"/>
      <c r="AQ3684" s="9"/>
      <c r="AR3684" s="9"/>
      <c r="AS3684" s="9"/>
      <c r="AT3684" s="9"/>
      <c r="AU3684" s="9"/>
    </row>
    <row r="3685" spans="1:47" ht="15.75" customHeight="1">
      <c r="A3685" s="9"/>
      <c r="B3685" s="9"/>
      <c r="C3685" s="9"/>
      <c r="D3685" s="9"/>
      <c r="E3685" s="9"/>
      <c r="F3685" s="67"/>
      <c r="G3685" s="9"/>
      <c r="H3685" s="9"/>
      <c r="I3685" s="9"/>
      <c r="J3685" s="9"/>
      <c r="K3685" s="9"/>
      <c r="L3685" s="9"/>
      <c r="M3685" s="9"/>
      <c r="N3685" s="9"/>
      <c r="O3685" s="9"/>
      <c r="P3685" s="9"/>
      <c r="Q3685" s="9"/>
      <c r="R3685" s="9"/>
      <c r="S3685" s="9"/>
      <c r="T3685" s="9"/>
      <c r="U3685" s="9"/>
      <c r="V3685" s="9"/>
      <c r="W3685" s="9"/>
      <c r="X3685" s="9"/>
      <c r="Y3685" s="9"/>
      <c r="Z3685" s="9"/>
      <c r="AA3685" s="9"/>
      <c r="AB3685" s="9"/>
      <c r="AC3685" s="9"/>
      <c r="AD3685" s="9"/>
      <c r="AE3685" s="9"/>
      <c r="AF3685" s="9"/>
      <c r="AG3685" s="9"/>
      <c r="AH3685" s="9"/>
      <c r="AI3685" s="9"/>
      <c r="AJ3685" s="9"/>
      <c r="AK3685" s="9"/>
      <c r="AL3685" s="9"/>
      <c r="AM3685" s="9"/>
      <c r="AN3685" s="9"/>
      <c r="AO3685" s="9"/>
      <c r="AP3685" s="9"/>
      <c r="AQ3685" s="9"/>
      <c r="AR3685" s="9"/>
      <c r="AS3685" s="9"/>
      <c r="AT3685" s="9"/>
      <c r="AU3685" s="9"/>
    </row>
    <row r="3686" spans="1:47" ht="15.75" customHeight="1">
      <c r="A3686" s="9"/>
      <c r="B3686" s="9"/>
      <c r="C3686" s="9"/>
      <c r="D3686" s="9"/>
      <c r="E3686" s="9"/>
      <c r="F3686" s="67"/>
      <c r="G3686" s="9"/>
      <c r="H3686" s="9"/>
      <c r="I3686" s="9"/>
      <c r="J3686" s="9"/>
      <c r="K3686" s="9"/>
      <c r="L3686" s="9"/>
      <c r="M3686" s="9"/>
      <c r="N3686" s="9"/>
      <c r="O3686" s="9"/>
      <c r="P3686" s="9"/>
      <c r="Q3686" s="9"/>
      <c r="R3686" s="9"/>
      <c r="S3686" s="9"/>
      <c r="T3686" s="9"/>
      <c r="U3686" s="9"/>
      <c r="V3686" s="9"/>
      <c r="W3686" s="9"/>
      <c r="X3686" s="9"/>
      <c r="Y3686" s="9"/>
      <c r="Z3686" s="9"/>
      <c r="AA3686" s="9"/>
      <c r="AB3686" s="9"/>
      <c r="AC3686" s="9"/>
      <c r="AD3686" s="9"/>
      <c r="AE3686" s="9"/>
      <c r="AF3686" s="9"/>
      <c r="AG3686" s="9"/>
      <c r="AH3686" s="9"/>
      <c r="AI3686" s="9"/>
      <c r="AJ3686" s="9"/>
      <c r="AK3686" s="9"/>
      <c r="AL3686" s="9"/>
      <c r="AM3686" s="9"/>
      <c r="AN3686" s="9"/>
      <c r="AO3686" s="9"/>
      <c r="AP3686" s="9"/>
      <c r="AQ3686" s="9"/>
      <c r="AR3686" s="9"/>
      <c r="AS3686" s="9"/>
      <c r="AT3686" s="9"/>
      <c r="AU3686" s="9"/>
    </row>
    <row r="3687" spans="1:47" ht="15.75" customHeight="1">
      <c r="A3687" s="9"/>
      <c r="B3687" s="9"/>
      <c r="C3687" s="9"/>
      <c r="D3687" s="9"/>
      <c r="E3687" s="9"/>
      <c r="F3687" s="67"/>
      <c r="G3687" s="9"/>
      <c r="H3687" s="9"/>
      <c r="I3687" s="9"/>
      <c r="J3687" s="9"/>
      <c r="K3687" s="9"/>
      <c r="L3687" s="9"/>
      <c r="M3687" s="9"/>
      <c r="N3687" s="9"/>
      <c r="O3687" s="9"/>
      <c r="P3687" s="9"/>
      <c r="Q3687" s="9"/>
      <c r="R3687" s="9"/>
      <c r="S3687" s="9"/>
      <c r="T3687" s="9"/>
      <c r="U3687" s="9"/>
      <c r="V3687" s="9"/>
      <c r="W3687" s="9"/>
      <c r="X3687" s="9"/>
      <c r="Y3687" s="9"/>
      <c r="Z3687" s="9"/>
      <c r="AA3687" s="9"/>
      <c r="AB3687" s="9"/>
      <c r="AC3687" s="9"/>
      <c r="AD3687" s="9"/>
      <c r="AE3687" s="9"/>
      <c r="AF3687" s="9"/>
      <c r="AG3687" s="9"/>
      <c r="AH3687" s="9"/>
      <c r="AI3687" s="9"/>
      <c r="AJ3687" s="9"/>
      <c r="AK3687" s="9"/>
      <c r="AL3687" s="9"/>
      <c r="AM3687" s="9"/>
      <c r="AN3687" s="9"/>
      <c r="AO3687" s="9"/>
      <c r="AP3687" s="9"/>
      <c r="AQ3687" s="9"/>
      <c r="AR3687" s="9"/>
      <c r="AS3687" s="9"/>
      <c r="AT3687" s="9"/>
      <c r="AU3687" s="9"/>
    </row>
    <row r="3688" spans="1:47" ht="15.75" customHeight="1">
      <c r="A3688" s="9"/>
      <c r="B3688" s="9"/>
      <c r="C3688" s="9"/>
      <c r="D3688" s="9"/>
      <c r="E3688" s="9"/>
      <c r="F3688" s="67"/>
      <c r="G3688" s="9"/>
      <c r="H3688" s="9"/>
      <c r="I3688" s="9"/>
      <c r="J3688" s="9"/>
      <c r="K3688" s="9"/>
      <c r="L3688" s="9"/>
      <c r="M3688" s="9"/>
      <c r="N3688" s="9"/>
      <c r="O3688" s="9"/>
      <c r="P3688" s="9"/>
      <c r="Q3688" s="9"/>
      <c r="R3688" s="9"/>
      <c r="S3688" s="9"/>
      <c r="T3688" s="9"/>
      <c r="U3688" s="9"/>
      <c r="V3688" s="9"/>
      <c r="W3688" s="9"/>
      <c r="X3688" s="9"/>
      <c r="Y3688" s="9"/>
      <c r="Z3688" s="9"/>
      <c r="AA3688" s="9"/>
      <c r="AB3688" s="9"/>
      <c r="AC3688" s="9"/>
      <c r="AD3688" s="9"/>
      <c r="AE3688" s="9"/>
      <c r="AF3688" s="9"/>
      <c r="AG3688" s="9"/>
      <c r="AH3688" s="9"/>
      <c r="AI3688" s="9"/>
      <c r="AJ3688" s="9"/>
      <c r="AK3688" s="9"/>
      <c r="AL3688" s="9"/>
      <c r="AM3688" s="9"/>
      <c r="AN3688" s="9"/>
      <c r="AO3688" s="9"/>
      <c r="AP3688" s="9"/>
      <c r="AQ3688" s="9"/>
      <c r="AR3688" s="9"/>
      <c r="AS3688" s="9"/>
      <c r="AT3688" s="9"/>
      <c r="AU3688" s="9"/>
    </row>
    <row r="3689" spans="1:47" ht="15.75" customHeight="1">
      <c r="A3689" s="9"/>
      <c r="B3689" s="9"/>
      <c r="C3689" s="9"/>
      <c r="D3689" s="9"/>
      <c r="E3689" s="9"/>
      <c r="F3689" s="67"/>
      <c r="G3689" s="9"/>
      <c r="H3689" s="9"/>
      <c r="I3689" s="9"/>
      <c r="J3689" s="9"/>
      <c r="K3689" s="9"/>
      <c r="L3689" s="9"/>
      <c r="M3689" s="9"/>
      <c r="N3689" s="9"/>
      <c r="O3689" s="9"/>
      <c r="P3689" s="9"/>
      <c r="Q3689" s="9"/>
      <c r="R3689" s="9"/>
      <c r="S3689" s="9"/>
      <c r="T3689" s="9"/>
      <c r="U3689" s="9"/>
      <c r="V3689" s="9"/>
      <c r="W3689" s="9"/>
      <c r="X3689" s="9"/>
      <c r="Y3689" s="9"/>
      <c r="Z3689" s="9"/>
      <c r="AA3689" s="9"/>
      <c r="AB3689" s="9"/>
      <c r="AC3689" s="9"/>
      <c r="AD3689" s="9"/>
      <c r="AE3689" s="9"/>
      <c r="AF3689" s="9"/>
      <c r="AG3689" s="9"/>
      <c r="AH3689" s="9"/>
      <c r="AI3689" s="9"/>
      <c r="AJ3689" s="9"/>
      <c r="AK3689" s="9"/>
      <c r="AL3689" s="9"/>
      <c r="AM3689" s="9"/>
      <c r="AN3689" s="9"/>
      <c r="AO3689" s="9"/>
      <c r="AP3689" s="9"/>
      <c r="AQ3689" s="9"/>
      <c r="AR3689" s="9"/>
      <c r="AS3689" s="9"/>
      <c r="AT3689" s="9"/>
      <c r="AU3689" s="9"/>
    </row>
    <row r="3690" spans="1:47" ht="15.75" customHeight="1">
      <c r="A3690" s="9"/>
      <c r="B3690" s="9"/>
      <c r="C3690" s="9"/>
      <c r="D3690" s="9"/>
      <c r="E3690" s="9"/>
      <c r="F3690" s="67"/>
      <c r="G3690" s="9"/>
      <c r="H3690" s="9"/>
      <c r="I3690" s="9"/>
      <c r="J3690" s="9"/>
      <c r="K3690" s="9"/>
      <c r="L3690" s="9"/>
      <c r="M3690" s="9"/>
      <c r="N3690" s="9"/>
      <c r="O3690" s="9"/>
      <c r="P3690" s="9"/>
      <c r="Q3690" s="9"/>
      <c r="R3690" s="9"/>
      <c r="S3690" s="9"/>
      <c r="T3690" s="9"/>
      <c r="U3690" s="9"/>
      <c r="V3690" s="9"/>
      <c r="W3690" s="9"/>
      <c r="X3690" s="9"/>
      <c r="Y3690" s="9"/>
      <c r="Z3690" s="9"/>
      <c r="AA3690" s="9"/>
      <c r="AB3690" s="9"/>
      <c r="AC3690" s="9"/>
      <c r="AD3690" s="9"/>
      <c r="AE3690" s="9"/>
      <c r="AF3690" s="9"/>
      <c r="AG3690" s="9"/>
      <c r="AH3690" s="9"/>
      <c r="AI3690" s="9"/>
      <c r="AJ3690" s="9"/>
      <c r="AK3690" s="9"/>
      <c r="AL3690" s="9"/>
      <c r="AM3690" s="9"/>
      <c r="AN3690" s="9"/>
      <c r="AO3690" s="9"/>
      <c r="AP3690" s="9"/>
      <c r="AQ3690" s="9"/>
      <c r="AR3690" s="9"/>
      <c r="AS3690" s="9"/>
      <c r="AT3690" s="9"/>
      <c r="AU3690" s="9"/>
    </row>
    <row r="3691" spans="1:47" ht="15.75" customHeight="1">
      <c r="A3691" s="9"/>
      <c r="B3691" s="9"/>
      <c r="C3691" s="9"/>
      <c r="D3691" s="9"/>
      <c r="E3691" s="9"/>
      <c r="F3691" s="67"/>
      <c r="G3691" s="9"/>
      <c r="H3691" s="9"/>
      <c r="I3691" s="9"/>
      <c r="J3691" s="9"/>
      <c r="K3691" s="9"/>
      <c r="L3691" s="9"/>
      <c r="M3691" s="9"/>
      <c r="N3691" s="9"/>
      <c r="O3691" s="9"/>
      <c r="P3691" s="9"/>
      <c r="Q3691" s="9"/>
      <c r="R3691" s="9"/>
      <c r="S3691" s="9"/>
      <c r="T3691" s="9"/>
      <c r="U3691" s="9"/>
      <c r="V3691" s="9"/>
      <c r="W3691" s="9"/>
      <c r="X3691" s="9"/>
      <c r="Y3691" s="9"/>
      <c r="Z3691" s="9"/>
      <c r="AA3691" s="9"/>
      <c r="AB3691" s="9"/>
      <c r="AC3691" s="9"/>
      <c r="AD3691" s="9"/>
      <c r="AE3691" s="9"/>
      <c r="AF3691" s="9"/>
      <c r="AG3691" s="9"/>
      <c r="AH3691" s="9"/>
      <c r="AI3691" s="9"/>
      <c r="AJ3691" s="9"/>
      <c r="AK3691" s="9"/>
      <c r="AL3691" s="9"/>
      <c r="AM3691" s="9"/>
      <c r="AN3691" s="9"/>
      <c r="AO3691" s="9"/>
      <c r="AP3691" s="9"/>
      <c r="AQ3691" s="9"/>
      <c r="AR3691" s="9"/>
      <c r="AS3691" s="9"/>
      <c r="AT3691" s="9"/>
      <c r="AU3691" s="9"/>
    </row>
    <row r="3692" spans="1:47" ht="15.75" customHeight="1">
      <c r="A3692" s="9"/>
      <c r="B3692" s="9"/>
      <c r="C3692" s="9"/>
      <c r="D3692" s="9"/>
      <c r="E3692" s="9"/>
      <c r="F3692" s="67"/>
      <c r="G3692" s="9"/>
      <c r="H3692" s="9"/>
      <c r="I3692" s="9"/>
      <c r="J3692" s="9"/>
      <c r="K3692" s="9"/>
      <c r="L3692" s="9"/>
      <c r="M3692" s="9"/>
      <c r="N3692" s="9"/>
      <c r="O3692" s="9"/>
      <c r="P3692" s="9"/>
      <c r="Q3692" s="9"/>
      <c r="R3692" s="9"/>
      <c r="S3692" s="9"/>
      <c r="T3692" s="9"/>
      <c r="U3692" s="9"/>
      <c r="V3692" s="9"/>
      <c r="W3692" s="9"/>
      <c r="X3692" s="9"/>
      <c r="Y3692" s="9"/>
      <c r="Z3692" s="9"/>
      <c r="AA3692" s="9"/>
      <c r="AB3692" s="9"/>
      <c r="AC3692" s="9"/>
      <c r="AD3692" s="9"/>
      <c r="AE3692" s="9"/>
      <c r="AF3692" s="9"/>
      <c r="AG3692" s="9"/>
      <c r="AH3692" s="9"/>
      <c r="AI3692" s="9"/>
      <c r="AJ3692" s="9"/>
      <c r="AK3692" s="9"/>
      <c r="AL3692" s="9"/>
      <c r="AM3692" s="9"/>
      <c r="AN3692" s="9"/>
      <c r="AO3692" s="9"/>
      <c r="AP3692" s="9"/>
      <c r="AQ3692" s="9"/>
      <c r="AR3692" s="9"/>
      <c r="AS3692" s="9"/>
      <c r="AT3692" s="9"/>
      <c r="AU3692" s="9"/>
    </row>
    <row r="3693" spans="1:47" ht="15.75" customHeight="1">
      <c r="A3693" s="9"/>
      <c r="B3693" s="9"/>
      <c r="C3693" s="9"/>
      <c r="D3693" s="9"/>
      <c r="E3693" s="9"/>
      <c r="F3693" s="67"/>
      <c r="G3693" s="9"/>
      <c r="H3693" s="9"/>
      <c r="I3693" s="9"/>
      <c r="J3693" s="9"/>
      <c r="K3693" s="9"/>
      <c r="L3693" s="9"/>
      <c r="M3693" s="9"/>
      <c r="N3693" s="9"/>
      <c r="O3693" s="9"/>
      <c r="P3693" s="9"/>
      <c r="Q3693" s="9"/>
      <c r="R3693" s="9"/>
      <c r="S3693" s="9"/>
      <c r="T3693" s="9"/>
      <c r="U3693" s="9"/>
      <c r="V3693" s="9"/>
      <c r="W3693" s="9"/>
      <c r="X3693" s="9"/>
      <c r="Y3693" s="9"/>
      <c r="Z3693" s="9"/>
      <c r="AA3693" s="9"/>
      <c r="AB3693" s="9"/>
      <c r="AC3693" s="9"/>
      <c r="AD3693" s="9"/>
      <c r="AE3693" s="9"/>
      <c r="AF3693" s="9"/>
      <c r="AG3693" s="9"/>
      <c r="AH3693" s="9"/>
      <c r="AI3693" s="9"/>
      <c r="AJ3693" s="9"/>
      <c r="AK3693" s="9"/>
      <c r="AL3693" s="9"/>
      <c r="AM3693" s="9"/>
      <c r="AN3693" s="9"/>
      <c r="AO3693" s="9"/>
      <c r="AP3693" s="9"/>
      <c r="AQ3693" s="9"/>
      <c r="AR3693" s="9"/>
      <c r="AS3693" s="9"/>
      <c r="AT3693" s="9"/>
      <c r="AU3693" s="9"/>
    </row>
    <row r="3694" spans="1:47" ht="15.75" customHeight="1">
      <c r="A3694" s="9"/>
      <c r="B3694" s="9"/>
      <c r="C3694" s="9"/>
      <c r="D3694" s="9"/>
      <c r="E3694" s="9"/>
      <c r="F3694" s="67"/>
      <c r="G3694" s="9"/>
      <c r="H3694" s="9"/>
      <c r="I3694" s="9"/>
      <c r="J3694" s="9"/>
      <c r="K3694" s="9"/>
      <c r="L3694" s="9"/>
      <c r="M3694" s="9"/>
      <c r="N3694" s="9"/>
      <c r="O3694" s="9"/>
      <c r="P3694" s="9"/>
      <c r="Q3694" s="9"/>
      <c r="R3694" s="9"/>
      <c r="S3694" s="9"/>
      <c r="T3694" s="9"/>
      <c r="U3694" s="9"/>
      <c r="V3694" s="9"/>
      <c r="W3694" s="9"/>
      <c r="X3694" s="9"/>
      <c r="Y3694" s="9"/>
      <c r="Z3694" s="9"/>
      <c r="AA3694" s="9"/>
      <c r="AB3694" s="9"/>
      <c r="AC3694" s="9"/>
      <c r="AD3694" s="9"/>
      <c r="AE3694" s="9"/>
      <c r="AF3694" s="9"/>
      <c r="AG3694" s="9"/>
      <c r="AH3694" s="9"/>
      <c r="AI3694" s="9"/>
      <c r="AJ3694" s="9"/>
      <c r="AK3694" s="9"/>
      <c r="AL3694" s="9"/>
      <c r="AM3694" s="9"/>
      <c r="AN3694" s="9"/>
      <c r="AO3694" s="9"/>
      <c r="AP3694" s="9"/>
      <c r="AQ3694" s="9"/>
      <c r="AR3694" s="9"/>
      <c r="AS3694" s="9"/>
      <c r="AT3694" s="9"/>
      <c r="AU3694" s="9"/>
    </row>
    <row r="3695" spans="1:47" ht="15.75" customHeight="1">
      <c r="A3695" s="9"/>
      <c r="B3695" s="9"/>
      <c r="C3695" s="9"/>
      <c r="D3695" s="9"/>
      <c r="E3695" s="9"/>
      <c r="F3695" s="67"/>
      <c r="G3695" s="9"/>
      <c r="H3695" s="9"/>
      <c r="I3695" s="9"/>
      <c r="J3695" s="9"/>
      <c r="K3695" s="9"/>
      <c r="L3695" s="9"/>
      <c r="M3695" s="9"/>
      <c r="N3695" s="9"/>
      <c r="O3695" s="9"/>
      <c r="P3695" s="9"/>
      <c r="Q3695" s="9"/>
      <c r="R3695" s="9"/>
      <c r="S3695" s="9"/>
      <c r="T3695" s="9"/>
      <c r="U3695" s="9"/>
      <c r="V3695" s="9"/>
      <c r="W3695" s="9"/>
      <c r="X3695" s="9"/>
      <c r="Y3695" s="9"/>
      <c r="Z3695" s="9"/>
      <c r="AA3695" s="9"/>
      <c r="AB3695" s="9"/>
      <c r="AC3695" s="9"/>
      <c r="AD3695" s="9"/>
      <c r="AE3695" s="9"/>
      <c r="AF3695" s="9"/>
      <c r="AG3695" s="9"/>
      <c r="AH3695" s="9"/>
      <c r="AI3695" s="9"/>
      <c r="AJ3695" s="9"/>
      <c r="AK3695" s="9"/>
      <c r="AL3695" s="9"/>
      <c r="AM3695" s="9"/>
      <c r="AN3695" s="9"/>
      <c r="AO3695" s="9"/>
      <c r="AP3695" s="9"/>
      <c r="AQ3695" s="9"/>
      <c r="AR3695" s="9"/>
      <c r="AS3695" s="9"/>
      <c r="AT3695" s="9"/>
      <c r="AU3695" s="9"/>
    </row>
    <row r="3696" spans="1:47" ht="15.75" customHeight="1">
      <c r="A3696" s="9"/>
      <c r="B3696" s="9"/>
      <c r="C3696" s="9"/>
      <c r="D3696" s="9"/>
      <c r="E3696" s="9"/>
      <c r="F3696" s="67"/>
      <c r="G3696" s="9"/>
      <c r="H3696" s="9"/>
      <c r="I3696" s="9"/>
      <c r="J3696" s="9"/>
      <c r="K3696" s="9"/>
      <c r="L3696" s="9"/>
      <c r="M3696" s="9"/>
      <c r="N3696" s="9"/>
      <c r="O3696" s="9"/>
      <c r="P3696" s="9"/>
      <c r="Q3696" s="9"/>
      <c r="R3696" s="9"/>
      <c r="S3696" s="9"/>
      <c r="T3696" s="9"/>
      <c r="U3696" s="9"/>
      <c r="V3696" s="9"/>
      <c r="W3696" s="9"/>
      <c r="X3696" s="9"/>
      <c r="Y3696" s="9"/>
      <c r="Z3696" s="9"/>
      <c r="AA3696" s="9"/>
      <c r="AB3696" s="9"/>
      <c r="AC3696" s="9"/>
      <c r="AD3696" s="9"/>
      <c r="AE3696" s="9"/>
      <c r="AF3696" s="9"/>
      <c r="AG3696" s="9"/>
      <c r="AH3696" s="9"/>
      <c r="AI3696" s="9"/>
      <c r="AJ3696" s="9"/>
      <c r="AK3696" s="9"/>
      <c r="AL3696" s="9"/>
      <c r="AM3696" s="9"/>
      <c r="AN3696" s="9"/>
      <c r="AO3696" s="9"/>
      <c r="AP3696" s="9"/>
      <c r="AQ3696" s="9"/>
      <c r="AR3696" s="9"/>
      <c r="AS3696" s="9"/>
      <c r="AT3696" s="9"/>
      <c r="AU3696" s="9"/>
    </row>
    <row r="3697" spans="1:47" ht="15.75" customHeight="1">
      <c r="A3697" s="9"/>
      <c r="B3697" s="9"/>
      <c r="C3697" s="9"/>
      <c r="D3697" s="9"/>
      <c r="E3697" s="9"/>
      <c r="F3697" s="67"/>
      <c r="G3697" s="9"/>
      <c r="H3697" s="9"/>
      <c r="I3697" s="9"/>
      <c r="J3697" s="9"/>
      <c r="K3697" s="9"/>
      <c r="L3697" s="9"/>
      <c r="M3697" s="9"/>
      <c r="N3697" s="9"/>
      <c r="O3697" s="9"/>
      <c r="P3697" s="9"/>
      <c r="Q3697" s="9"/>
      <c r="R3697" s="9"/>
      <c r="S3697" s="9"/>
      <c r="T3697" s="9"/>
      <c r="U3697" s="9"/>
      <c r="V3697" s="9"/>
      <c r="W3697" s="9"/>
      <c r="X3697" s="9"/>
      <c r="Y3697" s="9"/>
      <c r="Z3697" s="9"/>
      <c r="AA3697" s="9"/>
      <c r="AB3697" s="9"/>
      <c r="AC3697" s="9"/>
      <c r="AD3697" s="9"/>
      <c r="AE3697" s="9"/>
      <c r="AF3697" s="9"/>
      <c r="AG3697" s="9"/>
      <c r="AH3697" s="9"/>
      <c r="AI3697" s="9"/>
      <c r="AJ3697" s="9"/>
      <c r="AK3697" s="9"/>
      <c r="AL3697" s="9"/>
      <c r="AM3697" s="9"/>
      <c r="AN3697" s="9"/>
      <c r="AO3697" s="9"/>
      <c r="AP3697" s="9"/>
      <c r="AQ3697" s="9"/>
      <c r="AR3697" s="9"/>
      <c r="AS3697" s="9"/>
      <c r="AT3697" s="9"/>
      <c r="AU3697" s="9"/>
    </row>
    <row r="3698" spans="1:47" ht="15.75" customHeight="1">
      <c r="A3698" s="9"/>
      <c r="B3698" s="9"/>
      <c r="C3698" s="9"/>
      <c r="D3698" s="9"/>
      <c r="E3698" s="9"/>
      <c r="F3698" s="67"/>
      <c r="G3698" s="9"/>
      <c r="H3698" s="9"/>
      <c r="I3698" s="9"/>
      <c r="J3698" s="9"/>
      <c r="K3698" s="9"/>
      <c r="L3698" s="9"/>
      <c r="M3698" s="9"/>
      <c r="N3698" s="9"/>
      <c r="O3698" s="9"/>
      <c r="P3698" s="9"/>
      <c r="Q3698" s="9"/>
      <c r="R3698" s="9"/>
      <c r="S3698" s="9"/>
      <c r="T3698" s="9"/>
      <c r="U3698" s="9"/>
      <c r="V3698" s="9"/>
      <c r="W3698" s="9"/>
      <c r="X3698" s="9"/>
      <c r="Y3698" s="9"/>
      <c r="Z3698" s="9"/>
      <c r="AA3698" s="9"/>
      <c r="AB3698" s="9"/>
      <c r="AC3698" s="9"/>
      <c r="AD3698" s="9"/>
      <c r="AE3698" s="9"/>
      <c r="AF3698" s="9"/>
      <c r="AG3698" s="9"/>
      <c r="AH3698" s="9"/>
      <c r="AI3698" s="9"/>
      <c r="AJ3698" s="9"/>
      <c r="AK3698" s="9"/>
      <c r="AL3698" s="9"/>
      <c r="AM3698" s="9"/>
      <c r="AN3698" s="9"/>
      <c r="AO3698" s="9"/>
      <c r="AP3698" s="9"/>
      <c r="AQ3698" s="9"/>
      <c r="AR3698" s="9"/>
      <c r="AS3698" s="9"/>
      <c r="AT3698" s="9"/>
      <c r="AU3698" s="9"/>
    </row>
    <row r="3699" spans="1:47" ht="15.75" customHeight="1">
      <c r="A3699" s="9"/>
      <c r="B3699" s="9"/>
      <c r="C3699" s="9"/>
      <c r="D3699" s="9"/>
      <c r="E3699" s="9"/>
      <c r="F3699" s="67"/>
      <c r="G3699" s="9"/>
      <c r="H3699" s="9"/>
      <c r="I3699" s="9"/>
      <c r="J3699" s="9"/>
      <c r="K3699" s="9"/>
      <c r="L3699" s="9"/>
      <c r="M3699" s="9"/>
      <c r="N3699" s="9"/>
      <c r="O3699" s="9"/>
      <c r="P3699" s="9"/>
      <c r="Q3699" s="9"/>
      <c r="R3699" s="9"/>
      <c r="S3699" s="9"/>
      <c r="T3699" s="9"/>
      <c r="U3699" s="9"/>
      <c r="V3699" s="9"/>
      <c r="W3699" s="9"/>
      <c r="X3699" s="9"/>
      <c r="Y3699" s="9"/>
      <c r="Z3699" s="9"/>
      <c r="AA3699" s="9"/>
      <c r="AB3699" s="9"/>
      <c r="AC3699" s="9"/>
      <c r="AD3699" s="9"/>
      <c r="AE3699" s="9"/>
      <c r="AF3699" s="9"/>
      <c r="AG3699" s="9"/>
      <c r="AH3699" s="9"/>
      <c r="AI3699" s="9"/>
      <c r="AJ3699" s="9"/>
      <c r="AK3699" s="9"/>
      <c r="AL3699" s="9"/>
      <c r="AM3699" s="9"/>
      <c r="AN3699" s="9"/>
      <c r="AO3699" s="9"/>
      <c r="AP3699" s="9"/>
      <c r="AQ3699" s="9"/>
      <c r="AR3699" s="9"/>
      <c r="AS3699" s="9"/>
      <c r="AT3699" s="9"/>
      <c r="AU3699" s="9"/>
    </row>
    <row r="3700" spans="1:47" ht="15.75" customHeight="1">
      <c r="A3700" s="9"/>
      <c r="B3700" s="9"/>
      <c r="C3700" s="9"/>
      <c r="D3700" s="9"/>
      <c r="E3700" s="9"/>
      <c r="F3700" s="67"/>
      <c r="G3700" s="9"/>
      <c r="H3700" s="9"/>
      <c r="I3700" s="9"/>
      <c r="J3700" s="9"/>
      <c r="K3700" s="9"/>
      <c r="L3700" s="9"/>
      <c r="M3700" s="9"/>
      <c r="N3700" s="9"/>
      <c r="O3700" s="9"/>
      <c r="P3700" s="9"/>
      <c r="Q3700" s="9"/>
      <c r="R3700" s="9"/>
      <c r="S3700" s="9"/>
      <c r="T3700" s="9"/>
      <c r="U3700" s="9"/>
      <c r="V3700" s="9"/>
      <c r="W3700" s="9"/>
      <c r="X3700" s="9"/>
      <c r="Y3700" s="9"/>
      <c r="Z3700" s="9"/>
      <c r="AA3700" s="9"/>
      <c r="AB3700" s="9"/>
      <c r="AC3700" s="9"/>
      <c r="AD3700" s="9"/>
      <c r="AE3700" s="9"/>
      <c r="AF3700" s="9"/>
      <c r="AG3700" s="9"/>
      <c r="AH3700" s="9"/>
      <c r="AI3700" s="9"/>
      <c r="AJ3700" s="9"/>
      <c r="AK3700" s="9"/>
      <c r="AL3700" s="9"/>
      <c r="AM3700" s="9"/>
      <c r="AN3700" s="9"/>
      <c r="AO3700" s="9"/>
      <c r="AP3700" s="9"/>
      <c r="AQ3700" s="9"/>
      <c r="AR3700" s="9"/>
      <c r="AS3700" s="9"/>
      <c r="AT3700" s="9"/>
      <c r="AU3700" s="9"/>
    </row>
    <row r="3701" spans="1:47" ht="15.75" customHeight="1">
      <c r="A3701" s="9"/>
      <c r="B3701" s="9"/>
      <c r="C3701" s="9"/>
      <c r="D3701" s="9"/>
      <c r="E3701" s="9"/>
      <c r="F3701" s="67"/>
      <c r="G3701" s="9"/>
      <c r="H3701" s="9"/>
      <c r="I3701" s="9"/>
      <c r="J3701" s="9"/>
      <c r="K3701" s="9"/>
      <c r="L3701" s="9"/>
      <c r="M3701" s="9"/>
      <c r="N3701" s="9"/>
      <c r="O3701" s="9"/>
      <c r="P3701" s="9"/>
      <c r="Q3701" s="9"/>
      <c r="R3701" s="9"/>
      <c r="S3701" s="9"/>
      <c r="T3701" s="9"/>
      <c r="U3701" s="9"/>
      <c r="V3701" s="9"/>
      <c r="W3701" s="9"/>
      <c r="X3701" s="9"/>
      <c r="Y3701" s="9"/>
      <c r="Z3701" s="9"/>
      <c r="AA3701" s="9"/>
      <c r="AB3701" s="9"/>
      <c r="AC3701" s="9"/>
      <c r="AD3701" s="9"/>
      <c r="AE3701" s="9"/>
      <c r="AF3701" s="9"/>
      <c r="AG3701" s="9"/>
      <c r="AH3701" s="9"/>
      <c r="AI3701" s="9"/>
      <c r="AJ3701" s="9"/>
      <c r="AK3701" s="9"/>
      <c r="AL3701" s="9"/>
      <c r="AM3701" s="9"/>
      <c r="AN3701" s="9"/>
      <c r="AO3701" s="9"/>
      <c r="AP3701" s="9"/>
      <c r="AQ3701" s="9"/>
      <c r="AR3701" s="9"/>
      <c r="AS3701" s="9"/>
      <c r="AT3701" s="9"/>
      <c r="AU3701" s="9"/>
    </row>
    <row r="3702" spans="1:47" ht="15.75" customHeight="1">
      <c r="A3702" s="9"/>
      <c r="B3702" s="9"/>
      <c r="C3702" s="9"/>
      <c r="D3702" s="9"/>
      <c r="E3702" s="9"/>
      <c r="F3702" s="67"/>
      <c r="G3702" s="9"/>
      <c r="H3702" s="9"/>
      <c r="I3702" s="9"/>
      <c r="J3702" s="9"/>
      <c r="K3702" s="9"/>
      <c r="L3702" s="9"/>
      <c r="M3702" s="9"/>
      <c r="N3702" s="9"/>
      <c r="O3702" s="9"/>
      <c r="P3702" s="9"/>
      <c r="Q3702" s="9"/>
      <c r="R3702" s="9"/>
      <c r="S3702" s="9"/>
      <c r="T3702" s="9"/>
      <c r="U3702" s="9"/>
      <c r="V3702" s="9"/>
      <c r="W3702" s="9"/>
      <c r="X3702" s="9"/>
      <c r="Y3702" s="9"/>
      <c r="Z3702" s="9"/>
      <c r="AA3702" s="9"/>
      <c r="AB3702" s="9"/>
      <c r="AC3702" s="9"/>
      <c r="AD3702" s="9"/>
      <c r="AE3702" s="9"/>
      <c r="AF3702" s="9"/>
      <c r="AG3702" s="9"/>
      <c r="AH3702" s="9"/>
      <c r="AI3702" s="9"/>
      <c r="AJ3702" s="9"/>
      <c r="AK3702" s="9"/>
      <c r="AL3702" s="9"/>
      <c r="AM3702" s="9"/>
      <c r="AN3702" s="9"/>
      <c r="AO3702" s="9"/>
      <c r="AP3702" s="9"/>
      <c r="AQ3702" s="9"/>
      <c r="AR3702" s="9"/>
      <c r="AS3702" s="9"/>
      <c r="AT3702" s="9"/>
      <c r="AU3702" s="9"/>
    </row>
    <row r="3703" spans="1:47" ht="15.75" customHeight="1">
      <c r="A3703" s="9"/>
      <c r="B3703" s="9"/>
      <c r="C3703" s="9"/>
      <c r="D3703" s="9"/>
      <c r="E3703" s="9"/>
      <c r="F3703" s="67"/>
      <c r="G3703" s="9"/>
      <c r="H3703" s="9"/>
      <c r="I3703" s="9"/>
      <c r="J3703" s="9"/>
      <c r="K3703" s="9"/>
      <c r="L3703" s="9"/>
      <c r="M3703" s="9"/>
      <c r="N3703" s="9"/>
      <c r="O3703" s="9"/>
      <c r="P3703" s="9"/>
      <c r="Q3703" s="9"/>
      <c r="R3703" s="9"/>
      <c r="S3703" s="9"/>
      <c r="T3703" s="9"/>
      <c r="U3703" s="9"/>
      <c r="V3703" s="9"/>
      <c r="W3703" s="9"/>
      <c r="X3703" s="9"/>
      <c r="Y3703" s="9"/>
      <c r="Z3703" s="9"/>
      <c r="AA3703" s="9"/>
      <c r="AB3703" s="9"/>
      <c r="AC3703" s="9"/>
      <c r="AD3703" s="9"/>
      <c r="AE3703" s="9"/>
      <c r="AF3703" s="9"/>
      <c r="AG3703" s="9"/>
      <c r="AH3703" s="9"/>
      <c r="AI3703" s="9"/>
      <c r="AJ3703" s="9"/>
      <c r="AK3703" s="9"/>
      <c r="AL3703" s="9"/>
      <c r="AM3703" s="9"/>
      <c r="AN3703" s="9"/>
      <c r="AO3703" s="9"/>
      <c r="AP3703" s="9"/>
      <c r="AQ3703" s="9"/>
      <c r="AR3703" s="9"/>
      <c r="AS3703" s="9"/>
      <c r="AT3703" s="9"/>
      <c r="AU3703" s="9"/>
    </row>
    <row r="3704" spans="1:47" ht="15.75" customHeight="1">
      <c r="A3704" s="9"/>
      <c r="B3704" s="9"/>
      <c r="C3704" s="9"/>
      <c r="D3704" s="9"/>
      <c r="E3704" s="9"/>
      <c r="F3704" s="67"/>
      <c r="G3704" s="9"/>
      <c r="H3704" s="9"/>
      <c r="I3704" s="9"/>
      <c r="J3704" s="9"/>
      <c r="K3704" s="9"/>
      <c r="L3704" s="9"/>
      <c r="M3704" s="9"/>
      <c r="N3704" s="9"/>
      <c r="O3704" s="9"/>
      <c r="P3704" s="9"/>
      <c r="Q3704" s="9"/>
      <c r="R3704" s="9"/>
      <c r="S3704" s="9"/>
      <c r="T3704" s="9"/>
      <c r="U3704" s="9"/>
      <c r="V3704" s="9"/>
      <c r="W3704" s="9"/>
      <c r="X3704" s="9"/>
      <c r="Y3704" s="9"/>
      <c r="Z3704" s="9"/>
      <c r="AA3704" s="9"/>
      <c r="AB3704" s="9"/>
      <c r="AC3704" s="9"/>
      <c r="AD3704" s="9"/>
      <c r="AE3704" s="9"/>
      <c r="AF3704" s="9"/>
      <c r="AG3704" s="9"/>
      <c r="AH3704" s="9"/>
      <c r="AI3704" s="9"/>
      <c r="AJ3704" s="9"/>
      <c r="AK3704" s="9"/>
      <c r="AL3704" s="9"/>
      <c r="AM3704" s="9"/>
      <c r="AN3704" s="9"/>
      <c r="AO3704" s="9"/>
      <c r="AP3704" s="9"/>
      <c r="AQ3704" s="9"/>
      <c r="AR3704" s="9"/>
      <c r="AS3704" s="9"/>
      <c r="AT3704" s="9"/>
      <c r="AU3704" s="9"/>
    </row>
    <row r="3705" spans="1:47" ht="15.75" customHeight="1">
      <c r="A3705" s="9"/>
      <c r="B3705" s="9"/>
      <c r="C3705" s="9"/>
      <c r="D3705" s="9"/>
      <c r="E3705" s="9"/>
      <c r="F3705" s="67"/>
      <c r="G3705" s="9"/>
      <c r="H3705" s="9"/>
      <c r="I3705" s="9"/>
      <c r="J3705" s="9"/>
      <c r="K3705" s="9"/>
      <c r="L3705" s="9"/>
      <c r="M3705" s="9"/>
      <c r="N3705" s="9"/>
      <c r="O3705" s="9"/>
      <c r="P3705" s="9"/>
      <c r="Q3705" s="9"/>
      <c r="R3705" s="9"/>
      <c r="S3705" s="9"/>
      <c r="T3705" s="9"/>
      <c r="U3705" s="9"/>
      <c r="V3705" s="9"/>
      <c r="W3705" s="9"/>
      <c r="X3705" s="9"/>
      <c r="Y3705" s="9"/>
      <c r="Z3705" s="9"/>
      <c r="AA3705" s="9"/>
      <c r="AB3705" s="9"/>
      <c r="AC3705" s="9"/>
      <c r="AD3705" s="9"/>
      <c r="AE3705" s="9"/>
      <c r="AF3705" s="9"/>
      <c r="AG3705" s="9"/>
      <c r="AH3705" s="9"/>
      <c r="AI3705" s="9"/>
      <c r="AJ3705" s="9"/>
      <c r="AK3705" s="9"/>
      <c r="AL3705" s="9"/>
      <c r="AM3705" s="9"/>
      <c r="AN3705" s="9"/>
      <c r="AO3705" s="9"/>
      <c r="AP3705" s="9"/>
      <c r="AQ3705" s="9"/>
      <c r="AR3705" s="9"/>
      <c r="AS3705" s="9"/>
      <c r="AT3705" s="9"/>
      <c r="AU3705" s="9"/>
    </row>
    <row r="3706" spans="1:47" ht="15.75" customHeight="1">
      <c r="A3706" s="9"/>
      <c r="B3706" s="9"/>
      <c r="C3706" s="9"/>
      <c r="D3706" s="9"/>
      <c r="E3706" s="9"/>
      <c r="F3706" s="67"/>
      <c r="G3706" s="9"/>
      <c r="H3706" s="9"/>
      <c r="I3706" s="9"/>
      <c r="J3706" s="9"/>
      <c r="K3706" s="9"/>
      <c r="L3706" s="9"/>
      <c r="M3706" s="9"/>
      <c r="N3706" s="9"/>
      <c r="O3706" s="9"/>
      <c r="P3706" s="9"/>
      <c r="Q3706" s="9"/>
      <c r="R3706" s="9"/>
      <c r="S3706" s="9"/>
      <c r="T3706" s="9"/>
      <c r="U3706" s="9"/>
      <c r="V3706" s="9"/>
      <c r="W3706" s="9"/>
      <c r="X3706" s="9"/>
      <c r="Y3706" s="9"/>
      <c r="Z3706" s="9"/>
      <c r="AA3706" s="9"/>
      <c r="AB3706" s="9"/>
      <c r="AC3706" s="9"/>
      <c r="AD3706" s="9"/>
      <c r="AE3706" s="9"/>
      <c r="AF3706" s="9"/>
      <c r="AG3706" s="9"/>
      <c r="AH3706" s="9"/>
      <c r="AI3706" s="9"/>
      <c r="AJ3706" s="9"/>
      <c r="AK3706" s="9"/>
      <c r="AL3706" s="9"/>
      <c r="AM3706" s="9"/>
      <c r="AN3706" s="9"/>
      <c r="AO3706" s="9"/>
      <c r="AP3706" s="9"/>
      <c r="AQ3706" s="9"/>
      <c r="AR3706" s="9"/>
      <c r="AS3706" s="9"/>
      <c r="AT3706" s="9"/>
      <c r="AU3706" s="9"/>
    </row>
    <row r="3707" spans="1:47" ht="15.75" customHeight="1">
      <c r="A3707" s="9"/>
      <c r="B3707" s="9"/>
      <c r="C3707" s="9"/>
      <c r="D3707" s="9"/>
      <c r="E3707" s="9"/>
      <c r="F3707" s="67"/>
      <c r="G3707" s="9"/>
      <c r="H3707" s="9"/>
      <c r="I3707" s="9"/>
      <c r="J3707" s="9"/>
      <c r="K3707" s="9"/>
      <c r="L3707" s="9"/>
      <c r="M3707" s="9"/>
      <c r="N3707" s="9"/>
      <c r="O3707" s="9"/>
      <c r="P3707" s="9"/>
      <c r="Q3707" s="9"/>
      <c r="R3707" s="9"/>
      <c r="S3707" s="9"/>
      <c r="T3707" s="9"/>
      <c r="U3707" s="9"/>
      <c r="V3707" s="9"/>
      <c r="W3707" s="9"/>
      <c r="X3707" s="9"/>
      <c r="Y3707" s="9"/>
      <c r="Z3707" s="9"/>
      <c r="AA3707" s="9"/>
      <c r="AB3707" s="9"/>
      <c r="AC3707" s="9"/>
      <c r="AD3707" s="9"/>
      <c r="AE3707" s="9"/>
      <c r="AF3707" s="9"/>
      <c r="AG3707" s="9"/>
      <c r="AH3707" s="9"/>
      <c r="AI3707" s="9"/>
      <c r="AJ3707" s="9"/>
      <c r="AK3707" s="9"/>
      <c r="AL3707" s="9"/>
      <c r="AM3707" s="9"/>
      <c r="AN3707" s="9"/>
      <c r="AO3707" s="9"/>
      <c r="AP3707" s="9"/>
      <c r="AQ3707" s="9"/>
      <c r="AR3707" s="9"/>
      <c r="AS3707" s="9"/>
      <c r="AT3707" s="9"/>
      <c r="AU3707" s="9"/>
    </row>
    <row r="3708" spans="1:47" ht="15.75" customHeight="1">
      <c r="A3708" s="9"/>
      <c r="B3708" s="9"/>
      <c r="C3708" s="9"/>
      <c r="D3708" s="9"/>
      <c r="E3708" s="9"/>
      <c r="F3708" s="67"/>
      <c r="G3708" s="9"/>
      <c r="H3708" s="9"/>
      <c r="I3708" s="9"/>
      <c r="J3708" s="9"/>
      <c r="K3708" s="9"/>
      <c r="L3708" s="9"/>
      <c r="M3708" s="9"/>
      <c r="N3708" s="9"/>
      <c r="O3708" s="9"/>
      <c r="P3708" s="9"/>
      <c r="Q3708" s="9"/>
      <c r="R3708" s="9"/>
      <c r="S3708" s="9"/>
      <c r="T3708" s="9"/>
      <c r="U3708" s="9"/>
      <c r="V3708" s="9"/>
      <c r="W3708" s="9"/>
      <c r="X3708" s="9"/>
      <c r="Y3708" s="9"/>
      <c r="Z3708" s="9"/>
      <c r="AA3708" s="9"/>
      <c r="AB3708" s="9"/>
      <c r="AC3708" s="9"/>
      <c r="AD3708" s="9"/>
      <c r="AE3708" s="9"/>
      <c r="AF3708" s="9"/>
      <c r="AG3708" s="9"/>
      <c r="AH3708" s="9"/>
      <c r="AI3708" s="9"/>
      <c r="AJ3708" s="9"/>
      <c r="AK3708" s="9"/>
      <c r="AL3708" s="9"/>
      <c r="AM3708" s="9"/>
      <c r="AN3708" s="9"/>
      <c r="AO3708" s="9"/>
      <c r="AP3708" s="9"/>
      <c r="AQ3708" s="9"/>
      <c r="AR3708" s="9"/>
      <c r="AS3708" s="9"/>
      <c r="AT3708" s="9"/>
      <c r="AU3708" s="9"/>
    </row>
    <row r="3709" spans="1:47" ht="15.75" customHeight="1">
      <c r="A3709" s="9"/>
      <c r="B3709" s="9"/>
      <c r="C3709" s="9"/>
      <c r="D3709" s="9"/>
      <c r="E3709" s="9"/>
      <c r="F3709" s="67"/>
      <c r="G3709" s="9"/>
      <c r="H3709" s="9"/>
      <c r="I3709" s="9"/>
      <c r="J3709" s="9"/>
      <c r="K3709" s="9"/>
      <c r="L3709" s="9"/>
      <c r="M3709" s="9"/>
      <c r="N3709" s="9"/>
      <c r="O3709" s="9"/>
      <c r="P3709" s="9"/>
      <c r="Q3709" s="9"/>
      <c r="R3709" s="9"/>
      <c r="S3709" s="9"/>
      <c r="T3709" s="9"/>
      <c r="U3709" s="9"/>
      <c r="V3709" s="9"/>
      <c r="W3709" s="9"/>
      <c r="X3709" s="9"/>
      <c r="Y3709" s="9"/>
      <c r="Z3709" s="9"/>
      <c r="AA3709" s="9"/>
      <c r="AB3709" s="9"/>
      <c r="AC3709" s="9"/>
      <c r="AD3709" s="9"/>
      <c r="AE3709" s="9"/>
      <c r="AF3709" s="9"/>
      <c r="AG3709" s="9"/>
      <c r="AH3709" s="9"/>
      <c r="AI3709" s="9"/>
      <c r="AJ3709" s="9"/>
      <c r="AK3709" s="9"/>
      <c r="AL3709" s="9"/>
      <c r="AM3709" s="9"/>
      <c r="AN3709" s="9"/>
      <c r="AO3709" s="9"/>
      <c r="AP3709" s="9"/>
      <c r="AQ3709" s="9"/>
      <c r="AR3709" s="9"/>
      <c r="AS3709" s="9"/>
      <c r="AT3709" s="9"/>
      <c r="AU3709" s="9"/>
    </row>
    <row r="3710" spans="1:47" ht="15.75" customHeight="1">
      <c r="A3710" s="9"/>
      <c r="B3710" s="9"/>
      <c r="C3710" s="9"/>
      <c r="D3710" s="9"/>
      <c r="E3710" s="9"/>
      <c r="F3710" s="67"/>
      <c r="G3710" s="9"/>
      <c r="H3710" s="9"/>
      <c r="I3710" s="9"/>
      <c r="J3710" s="9"/>
      <c r="K3710" s="9"/>
      <c r="L3710" s="9"/>
      <c r="M3710" s="9"/>
      <c r="N3710" s="9"/>
      <c r="O3710" s="9"/>
      <c r="P3710" s="9"/>
      <c r="Q3710" s="9"/>
      <c r="R3710" s="9"/>
      <c r="S3710" s="9"/>
      <c r="T3710" s="9"/>
      <c r="U3710" s="9"/>
      <c r="V3710" s="9"/>
      <c r="W3710" s="9"/>
      <c r="X3710" s="9"/>
      <c r="Y3710" s="9"/>
      <c r="Z3710" s="9"/>
      <c r="AA3710" s="9"/>
      <c r="AB3710" s="9"/>
      <c r="AC3710" s="9"/>
      <c r="AD3710" s="9"/>
      <c r="AE3710" s="9"/>
      <c r="AF3710" s="9"/>
      <c r="AG3710" s="9"/>
      <c r="AH3710" s="9"/>
      <c r="AI3710" s="9"/>
      <c r="AJ3710" s="9"/>
      <c r="AK3710" s="9"/>
      <c r="AL3710" s="9"/>
      <c r="AM3710" s="9"/>
      <c r="AN3710" s="9"/>
      <c r="AO3710" s="9"/>
      <c r="AP3710" s="9"/>
      <c r="AQ3710" s="9"/>
      <c r="AR3710" s="9"/>
      <c r="AS3710" s="9"/>
      <c r="AT3710" s="9"/>
      <c r="AU3710" s="9"/>
    </row>
    <row r="3711" spans="1:47" ht="15.75" customHeight="1">
      <c r="A3711" s="9"/>
      <c r="B3711" s="9"/>
      <c r="C3711" s="9"/>
      <c r="D3711" s="9"/>
      <c r="E3711" s="9"/>
      <c r="F3711" s="67"/>
      <c r="G3711" s="9"/>
      <c r="H3711" s="9"/>
      <c r="I3711" s="9"/>
      <c r="J3711" s="9"/>
      <c r="K3711" s="9"/>
      <c r="L3711" s="9"/>
      <c r="M3711" s="9"/>
      <c r="N3711" s="9"/>
      <c r="O3711" s="9"/>
      <c r="P3711" s="9"/>
      <c r="Q3711" s="9"/>
      <c r="R3711" s="9"/>
      <c r="S3711" s="9"/>
      <c r="T3711" s="9"/>
      <c r="U3711" s="9"/>
      <c r="V3711" s="9"/>
      <c r="W3711" s="9"/>
      <c r="X3711" s="9"/>
      <c r="Y3711" s="9"/>
      <c r="Z3711" s="9"/>
      <c r="AA3711" s="9"/>
      <c r="AB3711" s="9"/>
      <c r="AC3711" s="9"/>
      <c r="AD3711" s="9"/>
      <c r="AE3711" s="9"/>
      <c r="AF3711" s="9"/>
      <c r="AG3711" s="9"/>
      <c r="AH3711" s="9"/>
      <c r="AI3711" s="9"/>
      <c r="AJ3711" s="9"/>
      <c r="AK3711" s="9"/>
      <c r="AL3711" s="9"/>
      <c r="AM3711" s="9"/>
      <c r="AN3711" s="9"/>
      <c r="AO3711" s="9"/>
      <c r="AP3711" s="9"/>
      <c r="AQ3711" s="9"/>
      <c r="AR3711" s="9"/>
      <c r="AS3711" s="9"/>
      <c r="AT3711" s="9"/>
      <c r="AU3711" s="9"/>
    </row>
    <row r="3712" spans="1:47" ht="15.75" customHeight="1">
      <c r="A3712" s="9"/>
      <c r="B3712" s="9"/>
      <c r="C3712" s="9"/>
      <c r="D3712" s="9"/>
      <c r="E3712" s="9"/>
      <c r="F3712" s="67"/>
      <c r="G3712" s="9"/>
      <c r="H3712" s="9"/>
      <c r="I3712" s="9"/>
      <c r="J3712" s="9"/>
      <c r="K3712" s="9"/>
      <c r="L3712" s="9"/>
      <c r="M3712" s="9"/>
      <c r="N3712" s="9"/>
      <c r="O3712" s="9"/>
      <c r="P3712" s="9"/>
      <c r="Q3712" s="9"/>
      <c r="R3712" s="9"/>
      <c r="S3712" s="9"/>
      <c r="T3712" s="9"/>
      <c r="U3712" s="9"/>
      <c r="V3712" s="9"/>
      <c r="W3712" s="9"/>
      <c r="X3712" s="9"/>
      <c r="Y3712" s="9"/>
      <c r="Z3712" s="9"/>
      <c r="AA3712" s="9"/>
      <c r="AB3712" s="9"/>
      <c r="AC3712" s="9"/>
      <c r="AD3712" s="9"/>
      <c r="AE3712" s="9"/>
      <c r="AF3712" s="9"/>
      <c r="AG3712" s="9"/>
      <c r="AH3712" s="9"/>
      <c r="AI3712" s="9"/>
      <c r="AJ3712" s="9"/>
      <c r="AK3712" s="9"/>
      <c r="AL3712" s="9"/>
      <c r="AM3712" s="9"/>
      <c r="AN3712" s="9"/>
      <c r="AO3712" s="9"/>
      <c r="AP3712" s="9"/>
      <c r="AQ3712" s="9"/>
      <c r="AR3712" s="9"/>
      <c r="AS3712" s="9"/>
      <c r="AT3712" s="9"/>
      <c r="AU3712" s="9"/>
    </row>
    <row r="3713" spans="1:47" ht="15.75" customHeight="1">
      <c r="A3713" s="9"/>
      <c r="B3713" s="9"/>
      <c r="C3713" s="9"/>
      <c r="D3713" s="9"/>
      <c r="E3713" s="9"/>
      <c r="F3713" s="67"/>
      <c r="G3713" s="9"/>
      <c r="H3713" s="9"/>
      <c r="I3713" s="9"/>
      <c r="J3713" s="9"/>
      <c r="K3713" s="9"/>
      <c r="L3713" s="9"/>
      <c r="M3713" s="9"/>
      <c r="N3713" s="9"/>
      <c r="O3713" s="9"/>
      <c r="P3713" s="9"/>
      <c r="Q3713" s="9"/>
      <c r="R3713" s="9"/>
      <c r="S3713" s="9"/>
      <c r="T3713" s="9"/>
      <c r="U3713" s="9"/>
      <c r="V3713" s="9"/>
      <c r="W3713" s="9"/>
      <c r="X3713" s="9"/>
      <c r="Y3713" s="9"/>
      <c r="Z3713" s="9"/>
      <c r="AA3713" s="9"/>
      <c r="AB3713" s="9"/>
      <c r="AC3713" s="9"/>
      <c r="AD3713" s="9"/>
      <c r="AE3713" s="9"/>
      <c r="AF3713" s="9"/>
      <c r="AG3713" s="9"/>
      <c r="AH3713" s="9"/>
      <c r="AI3713" s="9"/>
      <c r="AJ3713" s="9"/>
      <c r="AK3713" s="9"/>
      <c r="AL3713" s="9"/>
      <c r="AM3713" s="9"/>
      <c r="AN3713" s="9"/>
      <c r="AO3713" s="9"/>
      <c r="AP3713" s="9"/>
      <c r="AQ3713" s="9"/>
      <c r="AR3713" s="9"/>
      <c r="AS3713" s="9"/>
      <c r="AT3713" s="9"/>
      <c r="AU3713" s="9"/>
    </row>
    <row r="3714" spans="1:47" ht="15.75" customHeight="1">
      <c r="A3714" s="9"/>
      <c r="B3714" s="9"/>
      <c r="C3714" s="9"/>
      <c r="D3714" s="9"/>
      <c r="E3714" s="9"/>
      <c r="F3714" s="67"/>
      <c r="G3714" s="9"/>
      <c r="H3714" s="9"/>
      <c r="I3714" s="9"/>
      <c r="J3714" s="9"/>
      <c r="K3714" s="9"/>
      <c r="L3714" s="9"/>
      <c r="M3714" s="9"/>
      <c r="N3714" s="9"/>
      <c r="O3714" s="9"/>
      <c r="P3714" s="9"/>
      <c r="Q3714" s="9"/>
      <c r="R3714" s="9"/>
      <c r="S3714" s="9"/>
      <c r="T3714" s="9"/>
      <c r="U3714" s="9"/>
      <c r="V3714" s="9"/>
      <c r="W3714" s="9"/>
      <c r="X3714" s="9"/>
      <c r="Y3714" s="9"/>
      <c r="Z3714" s="9"/>
      <c r="AA3714" s="9"/>
      <c r="AB3714" s="9"/>
      <c r="AC3714" s="9"/>
      <c r="AD3714" s="9"/>
      <c r="AE3714" s="9"/>
      <c r="AF3714" s="9"/>
      <c r="AG3714" s="9"/>
      <c r="AH3714" s="9"/>
      <c r="AI3714" s="9"/>
      <c r="AJ3714" s="9"/>
      <c r="AK3714" s="9"/>
      <c r="AL3714" s="9"/>
      <c r="AM3714" s="9"/>
      <c r="AN3714" s="9"/>
      <c r="AO3714" s="9"/>
      <c r="AP3714" s="9"/>
      <c r="AQ3714" s="9"/>
      <c r="AR3714" s="9"/>
      <c r="AS3714" s="9"/>
      <c r="AT3714" s="9"/>
      <c r="AU3714" s="9"/>
    </row>
    <row r="3715" spans="1:47" ht="15.75" customHeight="1">
      <c r="A3715" s="9"/>
      <c r="B3715" s="9"/>
      <c r="C3715" s="9"/>
      <c r="D3715" s="9"/>
      <c r="E3715" s="9"/>
      <c r="F3715" s="67"/>
      <c r="G3715" s="9"/>
      <c r="H3715" s="9"/>
      <c r="I3715" s="9"/>
      <c r="J3715" s="9"/>
      <c r="K3715" s="9"/>
      <c r="L3715" s="9"/>
      <c r="M3715" s="9"/>
      <c r="N3715" s="9"/>
      <c r="O3715" s="9"/>
      <c r="P3715" s="9"/>
      <c r="Q3715" s="9"/>
      <c r="R3715" s="9"/>
      <c r="S3715" s="9"/>
      <c r="T3715" s="9"/>
      <c r="U3715" s="9"/>
      <c r="V3715" s="9"/>
      <c r="W3715" s="9"/>
      <c r="X3715" s="9"/>
      <c r="Y3715" s="9"/>
      <c r="Z3715" s="9"/>
      <c r="AA3715" s="9"/>
      <c r="AB3715" s="9"/>
      <c r="AC3715" s="9"/>
      <c r="AD3715" s="9"/>
      <c r="AE3715" s="9"/>
      <c r="AF3715" s="9"/>
      <c r="AG3715" s="9"/>
      <c r="AH3715" s="9"/>
      <c r="AI3715" s="9"/>
      <c r="AJ3715" s="9"/>
      <c r="AK3715" s="9"/>
      <c r="AL3715" s="9"/>
      <c r="AM3715" s="9"/>
      <c r="AN3715" s="9"/>
      <c r="AO3715" s="9"/>
      <c r="AP3715" s="9"/>
      <c r="AQ3715" s="9"/>
      <c r="AR3715" s="9"/>
      <c r="AS3715" s="9"/>
      <c r="AT3715" s="9"/>
      <c r="AU3715" s="9"/>
    </row>
    <row r="3716" spans="1:47" ht="15.75" customHeight="1">
      <c r="A3716" s="9"/>
      <c r="B3716" s="9"/>
      <c r="C3716" s="9"/>
      <c r="D3716" s="9"/>
      <c r="E3716" s="9"/>
      <c r="F3716" s="67"/>
      <c r="G3716" s="9"/>
      <c r="H3716" s="9"/>
      <c r="I3716" s="9"/>
      <c r="J3716" s="9"/>
      <c r="K3716" s="9"/>
      <c r="L3716" s="9"/>
      <c r="M3716" s="9"/>
      <c r="N3716" s="9"/>
      <c r="O3716" s="9"/>
      <c r="P3716" s="9"/>
      <c r="Q3716" s="9"/>
      <c r="R3716" s="9"/>
      <c r="S3716" s="9"/>
      <c r="T3716" s="9"/>
      <c r="U3716" s="9"/>
      <c r="V3716" s="9"/>
      <c r="W3716" s="9"/>
      <c r="X3716" s="9"/>
      <c r="Y3716" s="9"/>
      <c r="Z3716" s="9"/>
      <c r="AA3716" s="9"/>
      <c r="AB3716" s="9"/>
      <c r="AC3716" s="9"/>
      <c r="AD3716" s="9"/>
      <c r="AE3716" s="9"/>
      <c r="AF3716" s="9"/>
      <c r="AG3716" s="9"/>
      <c r="AH3716" s="9"/>
      <c r="AI3716" s="9"/>
      <c r="AJ3716" s="9"/>
      <c r="AK3716" s="9"/>
      <c r="AL3716" s="9"/>
      <c r="AM3716" s="9"/>
      <c r="AN3716" s="9"/>
      <c r="AO3716" s="9"/>
      <c r="AP3716" s="9"/>
      <c r="AQ3716" s="9"/>
      <c r="AR3716" s="9"/>
      <c r="AS3716" s="9"/>
      <c r="AT3716" s="9"/>
      <c r="AU3716" s="9"/>
    </row>
    <row r="3717" spans="1:47" ht="15.75" customHeight="1">
      <c r="A3717" s="9"/>
      <c r="B3717" s="9"/>
      <c r="C3717" s="9"/>
      <c r="D3717" s="9"/>
      <c r="E3717" s="9"/>
      <c r="F3717" s="67"/>
      <c r="G3717" s="9"/>
      <c r="H3717" s="9"/>
      <c r="I3717" s="9"/>
      <c r="J3717" s="9"/>
      <c r="K3717" s="9"/>
      <c r="L3717" s="9"/>
      <c r="M3717" s="9"/>
      <c r="N3717" s="9"/>
      <c r="O3717" s="9"/>
      <c r="P3717" s="9"/>
      <c r="Q3717" s="9"/>
      <c r="R3717" s="9"/>
      <c r="S3717" s="9"/>
      <c r="T3717" s="9"/>
      <c r="U3717" s="9"/>
      <c r="V3717" s="9"/>
      <c r="W3717" s="9"/>
      <c r="X3717" s="9"/>
      <c r="Y3717" s="9"/>
      <c r="Z3717" s="9"/>
      <c r="AA3717" s="9"/>
      <c r="AB3717" s="9"/>
      <c r="AC3717" s="9"/>
      <c r="AD3717" s="9"/>
      <c r="AE3717" s="9"/>
      <c r="AF3717" s="9"/>
      <c r="AG3717" s="9"/>
      <c r="AH3717" s="9"/>
      <c r="AI3717" s="9"/>
      <c r="AJ3717" s="9"/>
      <c r="AK3717" s="9"/>
      <c r="AL3717" s="9"/>
      <c r="AM3717" s="9"/>
      <c r="AN3717" s="9"/>
      <c r="AO3717" s="9"/>
      <c r="AP3717" s="9"/>
      <c r="AQ3717" s="9"/>
      <c r="AR3717" s="9"/>
      <c r="AS3717" s="9"/>
      <c r="AT3717" s="9"/>
      <c r="AU3717" s="9"/>
    </row>
    <row r="3718" spans="1:47" ht="15.75" customHeight="1">
      <c r="A3718" s="9"/>
      <c r="B3718" s="9"/>
      <c r="C3718" s="9"/>
      <c r="D3718" s="9"/>
      <c r="E3718" s="9"/>
      <c r="F3718" s="67"/>
      <c r="G3718" s="9"/>
      <c r="H3718" s="9"/>
      <c r="I3718" s="9"/>
      <c r="J3718" s="9"/>
      <c r="K3718" s="9"/>
      <c r="L3718" s="9"/>
      <c r="M3718" s="9"/>
      <c r="N3718" s="9"/>
      <c r="O3718" s="9"/>
      <c r="P3718" s="9"/>
      <c r="Q3718" s="9"/>
      <c r="R3718" s="9"/>
      <c r="S3718" s="9"/>
      <c r="T3718" s="9"/>
      <c r="U3718" s="9"/>
      <c r="V3718" s="9"/>
      <c r="W3718" s="9"/>
      <c r="X3718" s="9"/>
      <c r="Y3718" s="9"/>
      <c r="Z3718" s="9"/>
      <c r="AA3718" s="9"/>
      <c r="AB3718" s="9"/>
      <c r="AC3718" s="9"/>
      <c r="AD3718" s="9"/>
      <c r="AE3718" s="9"/>
      <c r="AF3718" s="9"/>
      <c r="AG3718" s="9"/>
      <c r="AH3718" s="9"/>
      <c r="AI3718" s="9"/>
      <c r="AJ3718" s="9"/>
      <c r="AK3718" s="9"/>
      <c r="AL3718" s="9"/>
      <c r="AM3718" s="9"/>
      <c r="AN3718" s="9"/>
      <c r="AO3718" s="9"/>
      <c r="AP3718" s="9"/>
      <c r="AQ3718" s="9"/>
      <c r="AR3718" s="9"/>
      <c r="AS3718" s="9"/>
      <c r="AT3718" s="9"/>
      <c r="AU3718" s="9"/>
    </row>
    <row r="3719" spans="1:47" ht="15.75" customHeight="1">
      <c r="A3719" s="9"/>
      <c r="B3719" s="9"/>
      <c r="C3719" s="9"/>
      <c r="D3719" s="9"/>
      <c r="E3719" s="9"/>
      <c r="F3719" s="67"/>
      <c r="G3719" s="9"/>
      <c r="H3719" s="9"/>
      <c r="I3719" s="9"/>
      <c r="J3719" s="9"/>
      <c r="K3719" s="9"/>
      <c r="L3719" s="9"/>
      <c r="M3719" s="9"/>
      <c r="N3719" s="9"/>
      <c r="O3719" s="9"/>
      <c r="P3719" s="9"/>
      <c r="Q3719" s="9"/>
      <c r="R3719" s="9"/>
      <c r="S3719" s="9"/>
      <c r="T3719" s="9"/>
      <c r="U3719" s="9"/>
      <c r="V3719" s="9"/>
      <c r="W3719" s="9"/>
      <c r="X3719" s="9"/>
      <c r="Y3719" s="9"/>
      <c r="Z3719" s="9"/>
      <c r="AA3719" s="9"/>
      <c r="AB3719" s="9"/>
      <c r="AC3719" s="9"/>
      <c r="AD3719" s="9"/>
      <c r="AE3719" s="9"/>
      <c r="AF3719" s="9"/>
      <c r="AG3719" s="9"/>
      <c r="AH3719" s="9"/>
      <c r="AI3719" s="9"/>
      <c r="AJ3719" s="9"/>
      <c r="AK3719" s="9"/>
      <c r="AL3719" s="9"/>
      <c r="AM3719" s="9"/>
      <c r="AN3719" s="9"/>
      <c r="AO3719" s="9"/>
      <c r="AP3719" s="9"/>
      <c r="AQ3719" s="9"/>
      <c r="AR3719" s="9"/>
      <c r="AS3719" s="9"/>
      <c r="AT3719" s="9"/>
      <c r="AU3719" s="9"/>
    </row>
    <row r="3720" spans="1:47" ht="15.75" customHeight="1">
      <c r="A3720" s="9"/>
      <c r="B3720" s="9"/>
      <c r="C3720" s="9"/>
      <c r="D3720" s="9"/>
      <c r="E3720" s="9"/>
      <c r="F3720" s="67"/>
      <c r="G3720" s="9"/>
      <c r="H3720" s="9"/>
      <c r="I3720" s="9"/>
      <c r="J3720" s="9"/>
      <c r="K3720" s="9"/>
      <c r="L3720" s="9"/>
      <c r="M3720" s="9"/>
      <c r="N3720" s="9"/>
      <c r="O3720" s="9"/>
      <c r="P3720" s="9"/>
      <c r="Q3720" s="9"/>
      <c r="R3720" s="9"/>
      <c r="S3720" s="9"/>
      <c r="T3720" s="9"/>
      <c r="U3720" s="9"/>
      <c r="V3720" s="9"/>
      <c r="W3720" s="9"/>
      <c r="X3720" s="9"/>
      <c r="Y3720" s="9"/>
      <c r="Z3720" s="9"/>
      <c r="AA3720" s="9"/>
      <c r="AB3720" s="9"/>
      <c r="AC3720" s="9"/>
      <c r="AD3720" s="9"/>
      <c r="AE3720" s="9"/>
      <c r="AF3720" s="9"/>
      <c r="AG3720" s="9"/>
      <c r="AH3720" s="9"/>
      <c r="AI3720" s="9"/>
      <c r="AJ3720" s="9"/>
      <c r="AK3720" s="9"/>
      <c r="AL3720" s="9"/>
      <c r="AM3720" s="9"/>
      <c r="AN3720" s="9"/>
      <c r="AO3720" s="9"/>
      <c r="AP3720" s="9"/>
      <c r="AQ3720" s="9"/>
      <c r="AR3720" s="9"/>
      <c r="AS3720" s="9"/>
      <c r="AT3720" s="9"/>
      <c r="AU3720" s="9"/>
    </row>
    <row r="3721" spans="1:47" ht="15.75" customHeight="1">
      <c r="A3721" s="9"/>
      <c r="B3721" s="9"/>
      <c r="C3721" s="9"/>
      <c r="D3721" s="9"/>
      <c r="E3721" s="9"/>
      <c r="F3721" s="67"/>
      <c r="G3721" s="9"/>
      <c r="H3721" s="9"/>
      <c r="I3721" s="9"/>
      <c r="J3721" s="9"/>
      <c r="K3721" s="9"/>
      <c r="L3721" s="9"/>
      <c r="M3721" s="9"/>
      <c r="N3721" s="9"/>
      <c r="O3721" s="9"/>
      <c r="P3721" s="9"/>
      <c r="Q3721" s="9"/>
      <c r="R3721" s="9"/>
      <c r="S3721" s="9"/>
      <c r="T3721" s="9"/>
      <c r="U3721" s="9"/>
      <c r="V3721" s="9"/>
      <c r="W3721" s="9"/>
      <c r="X3721" s="9"/>
      <c r="Y3721" s="9"/>
      <c r="Z3721" s="9"/>
      <c r="AA3721" s="9"/>
      <c r="AB3721" s="9"/>
      <c r="AC3721" s="9"/>
      <c r="AD3721" s="9"/>
      <c r="AE3721" s="9"/>
      <c r="AF3721" s="9"/>
      <c r="AG3721" s="9"/>
      <c r="AH3721" s="9"/>
      <c r="AI3721" s="9"/>
      <c r="AJ3721" s="9"/>
      <c r="AK3721" s="9"/>
      <c r="AL3721" s="9"/>
      <c r="AM3721" s="9"/>
      <c r="AN3721" s="9"/>
      <c r="AO3721" s="9"/>
      <c r="AP3721" s="9"/>
      <c r="AQ3721" s="9"/>
      <c r="AR3721" s="9"/>
      <c r="AS3721" s="9"/>
      <c r="AT3721" s="9"/>
      <c r="AU3721" s="9"/>
    </row>
    <row r="3722" spans="1:47" ht="15.75" customHeight="1">
      <c r="A3722" s="9"/>
      <c r="B3722" s="9"/>
      <c r="C3722" s="9"/>
      <c r="D3722" s="9"/>
      <c r="E3722" s="9"/>
      <c r="F3722" s="67"/>
      <c r="G3722" s="9"/>
      <c r="H3722" s="9"/>
      <c r="I3722" s="9"/>
      <c r="J3722" s="9"/>
      <c r="K3722" s="9"/>
      <c r="L3722" s="9"/>
      <c r="M3722" s="9"/>
      <c r="N3722" s="9"/>
      <c r="O3722" s="9"/>
      <c r="P3722" s="9"/>
      <c r="Q3722" s="9"/>
      <c r="R3722" s="9"/>
      <c r="S3722" s="9"/>
      <c r="T3722" s="9"/>
      <c r="U3722" s="9"/>
      <c r="V3722" s="9"/>
      <c r="W3722" s="9"/>
      <c r="X3722" s="9"/>
      <c r="Y3722" s="9"/>
      <c r="Z3722" s="9"/>
      <c r="AA3722" s="9"/>
      <c r="AB3722" s="9"/>
      <c r="AC3722" s="9"/>
      <c r="AD3722" s="9"/>
      <c r="AE3722" s="9"/>
      <c r="AF3722" s="9"/>
      <c r="AG3722" s="9"/>
      <c r="AH3722" s="9"/>
      <c r="AI3722" s="9"/>
      <c r="AJ3722" s="9"/>
      <c r="AK3722" s="9"/>
      <c r="AL3722" s="9"/>
      <c r="AM3722" s="9"/>
      <c r="AN3722" s="9"/>
      <c r="AO3722" s="9"/>
      <c r="AP3722" s="9"/>
      <c r="AQ3722" s="9"/>
      <c r="AR3722" s="9"/>
      <c r="AS3722" s="9"/>
      <c r="AT3722" s="9"/>
      <c r="AU3722" s="9"/>
    </row>
    <row r="3723" spans="1:47" ht="15.75" customHeight="1">
      <c r="A3723" s="9"/>
      <c r="B3723" s="9"/>
      <c r="C3723" s="9"/>
      <c r="D3723" s="9"/>
      <c r="E3723" s="9"/>
      <c r="F3723" s="67"/>
      <c r="G3723" s="9"/>
      <c r="H3723" s="9"/>
      <c r="I3723" s="9"/>
      <c r="J3723" s="9"/>
      <c r="K3723" s="9"/>
      <c r="L3723" s="9"/>
      <c r="M3723" s="9"/>
      <c r="N3723" s="9"/>
      <c r="O3723" s="9"/>
      <c r="P3723" s="9"/>
      <c r="Q3723" s="9"/>
      <c r="R3723" s="9"/>
      <c r="S3723" s="9"/>
      <c r="T3723" s="9"/>
      <c r="U3723" s="9"/>
      <c r="V3723" s="9"/>
      <c r="W3723" s="9"/>
      <c r="X3723" s="9"/>
      <c r="Y3723" s="9"/>
      <c r="Z3723" s="9"/>
      <c r="AA3723" s="9"/>
      <c r="AB3723" s="9"/>
      <c r="AC3723" s="9"/>
      <c r="AD3723" s="9"/>
      <c r="AE3723" s="9"/>
      <c r="AF3723" s="9"/>
      <c r="AG3723" s="9"/>
      <c r="AH3723" s="9"/>
      <c r="AI3723" s="9"/>
      <c r="AJ3723" s="9"/>
      <c r="AK3723" s="9"/>
      <c r="AL3723" s="9"/>
      <c r="AM3723" s="9"/>
      <c r="AN3723" s="9"/>
      <c r="AO3723" s="9"/>
      <c r="AP3723" s="9"/>
      <c r="AQ3723" s="9"/>
      <c r="AR3723" s="9"/>
      <c r="AS3723" s="9"/>
      <c r="AT3723" s="9"/>
      <c r="AU3723" s="9"/>
    </row>
    <row r="3724" spans="1:47" ht="15.75" customHeight="1">
      <c r="A3724" s="9"/>
      <c r="B3724" s="9"/>
      <c r="C3724" s="9"/>
      <c r="D3724" s="9"/>
      <c r="E3724" s="9"/>
      <c r="F3724" s="67"/>
      <c r="G3724" s="9"/>
      <c r="H3724" s="9"/>
      <c r="I3724" s="9"/>
      <c r="J3724" s="9"/>
      <c r="K3724" s="9"/>
      <c r="L3724" s="9"/>
      <c r="M3724" s="9"/>
      <c r="N3724" s="9"/>
      <c r="O3724" s="9"/>
      <c r="P3724" s="9"/>
      <c r="Q3724" s="9"/>
      <c r="R3724" s="9"/>
      <c r="S3724" s="9"/>
      <c r="T3724" s="9"/>
      <c r="U3724" s="9"/>
      <c r="V3724" s="9"/>
      <c r="W3724" s="9"/>
      <c r="X3724" s="9"/>
      <c r="Y3724" s="9"/>
      <c r="Z3724" s="9"/>
      <c r="AA3724" s="9"/>
      <c r="AB3724" s="9"/>
      <c r="AC3724" s="9"/>
      <c r="AD3724" s="9"/>
      <c r="AE3724" s="9"/>
      <c r="AF3724" s="9"/>
      <c r="AG3724" s="9"/>
      <c r="AH3724" s="9"/>
      <c r="AI3724" s="9"/>
      <c r="AJ3724" s="9"/>
      <c r="AK3724" s="9"/>
      <c r="AL3724" s="9"/>
      <c r="AM3724" s="9"/>
      <c r="AN3724" s="9"/>
      <c r="AO3724" s="9"/>
      <c r="AP3724" s="9"/>
      <c r="AQ3724" s="9"/>
      <c r="AR3724" s="9"/>
      <c r="AS3724" s="9"/>
      <c r="AT3724" s="9"/>
      <c r="AU3724" s="9"/>
    </row>
    <row r="3725" spans="1:47" ht="15.75" customHeight="1">
      <c r="A3725" s="9"/>
      <c r="B3725" s="9"/>
      <c r="C3725" s="9"/>
      <c r="D3725" s="9"/>
      <c r="E3725" s="9"/>
      <c r="F3725" s="67"/>
      <c r="G3725" s="9"/>
      <c r="H3725" s="9"/>
      <c r="I3725" s="9"/>
      <c r="J3725" s="9"/>
      <c r="K3725" s="9"/>
      <c r="L3725" s="9"/>
      <c r="M3725" s="9"/>
      <c r="N3725" s="9"/>
      <c r="O3725" s="9"/>
      <c r="P3725" s="9"/>
      <c r="Q3725" s="9"/>
      <c r="R3725" s="9"/>
      <c r="S3725" s="9"/>
      <c r="T3725" s="9"/>
      <c r="U3725" s="9"/>
      <c r="V3725" s="9"/>
      <c r="W3725" s="9"/>
      <c r="X3725" s="9"/>
      <c r="Y3725" s="9"/>
      <c r="Z3725" s="9"/>
      <c r="AA3725" s="9"/>
      <c r="AB3725" s="9"/>
      <c r="AC3725" s="9"/>
      <c r="AD3725" s="9"/>
      <c r="AE3725" s="9"/>
      <c r="AF3725" s="9"/>
      <c r="AG3725" s="9"/>
      <c r="AH3725" s="9"/>
      <c r="AI3725" s="9"/>
      <c r="AJ3725" s="9"/>
      <c r="AK3725" s="9"/>
      <c r="AL3725" s="9"/>
      <c r="AM3725" s="9"/>
      <c r="AN3725" s="9"/>
      <c r="AO3725" s="9"/>
      <c r="AP3725" s="9"/>
      <c r="AQ3725" s="9"/>
      <c r="AR3725" s="9"/>
      <c r="AS3725" s="9"/>
      <c r="AT3725" s="9"/>
      <c r="AU3725" s="9"/>
    </row>
    <row r="3726" spans="1:47" ht="15.75" customHeight="1">
      <c r="A3726" s="9"/>
      <c r="B3726" s="9"/>
      <c r="C3726" s="9"/>
      <c r="D3726" s="9"/>
      <c r="E3726" s="9"/>
      <c r="F3726" s="67"/>
      <c r="G3726" s="9"/>
      <c r="H3726" s="9"/>
      <c r="I3726" s="9"/>
      <c r="J3726" s="9"/>
      <c r="K3726" s="9"/>
      <c r="L3726" s="9"/>
      <c r="M3726" s="9"/>
      <c r="N3726" s="9"/>
      <c r="O3726" s="9"/>
      <c r="P3726" s="9"/>
      <c r="Q3726" s="9"/>
      <c r="R3726" s="9"/>
      <c r="S3726" s="9"/>
      <c r="T3726" s="9"/>
      <c r="U3726" s="9"/>
      <c r="V3726" s="9"/>
      <c r="W3726" s="9"/>
      <c r="X3726" s="9"/>
      <c r="Y3726" s="9"/>
      <c r="Z3726" s="9"/>
      <c r="AA3726" s="9"/>
      <c r="AB3726" s="9"/>
      <c r="AC3726" s="9"/>
      <c r="AD3726" s="9"/>
      <c r="AE3726" s="9"/>
      <c r="AF3726" s="9"/>
      <c r="AG3726" s="9"/>
      <c r="AH3726" s="9"/>
      <c r="AI3726" s="9"/>
      <c r="AJ3726" s="9"/>
      <c r="AK3726" s="9"/>
      <c r="AL3726" s="9"/>
      <c r="AM3726" s="9"/>
      <c r="AN3726" s="9"/>
      <c r="AO3726" s="9"/>
      <c r="AP3726" s="9"/>
      <c r="AQ3726" s="9"/>
      <c r="AR3726" s="9"/>
      <c r="AS3726" s="9"/>
      <c r="AT3726" s="9"/>
      <c r="AU3726" s="9"/>
    </row>
    <row r="3727" spans="1:47" ht="15.75" customHeight="1">
      <c r="A3727" s="9"/>
      <c r="B3727" s="9"/>
      <c r="C3727" s="9"/>
      <c r="D3727" s="9"/>
      <c r="E3727" s="9"/>
      <c r="F3727" s="67"/>
      <c r="G3727" s="9"/>
      <c r="H3727" s="9"/>
      <c r="I3727" s="9"/>
      <c r="J3727" s="9"/>
      <c r="K3727" s="9"/>
      <c r="L3727" s="9"/>
      <c r="M3727" s="9"/>
      <c r="N3727" s="9"/>
      <c r="O3727" s="9"/>
      <c r="P3727" s="9"/>
      <c r="Q3727" s="9"/>
      <c r="R3727" s="9"/>
      <c r="S3727" s="9"/>
      <c r="T3727" s="9"/>
      <c r="U3727" s="9"/>
      <c r="V3727" s="9"/>
      <c r="W3727" s="9"/>
      <c r="X3727" s="9"/>
      <c r="Y3727" s="9"/>
      <c r="Z3727" s="9"/>
      <c r="AA3727" s="9"/>
      <c r="AB3727" s="9"/>
      <c r="AC3727" s="9"/>
      <c r="AD3727" s="9"/>
      <c r="AE3727" s="9"/>
      <c r="AF3727" s="9"/>
      <c r="AG3727" s="9"/>
      <c r="AH3727" s="9"/>
      <c r="AI3727" s="9"/>
      <c r="AJ3727" s="9"/>
      <c r="AK3727" s="9"/>
      <c r="AL3727" s="9"/>
      <c r="AM3727" s="9"/>
      <c r="AN3727" s="9"/>
      <c r="AO3727" s="9"/>
      <c r="AP3727" s="9"/>
      <c r="AQ3727" s="9"/>
      <c r="AR3727" s="9"/>
      <c r="AS3727" s="9"/>
      <c r="AT3727" s="9"/>
      <c r="AU3727" s="9"/>
    </row>
    <row r="3728" spans="1:47" ht="15.75" customHeight="1">
      <c r="A3728" s="9"/>
      <c r="B3728" s="9"/>
      <c r="C3728" s="9"/>
      <c r="D3728" s="9"/>
      <c r="E3728" s="9"/>
      <c r="F3728" s="67"/>
      <c r="G3728" s="9"/>
      <c r="H3728" s="9"/>
      <c r="I3728" s="9"/>
      <c r="J3728" s="9"/>
      <c r="K3728" s="9"/>
      <c r="L3728" s="9"/>
      <c r="M3728" s="9"/>
      <c r="N3728" s="9"/>
      <c r="O3728" s="9"/>
      <c r="P3728" s="9"/>
      <c r="Q3728" s="9"/>
      <c r="R3728" s="9"/>
      <c r="S3728" s="9"/>
      <c r="T3728" s="9"/>
      <c r="U3728" s="9"/>
      <c r="V3728" s="9"/>
      <c r="W3728" s="9"/>
      <c r="X3728" s="9"/>
      <c r="Y3728" s="9"/>
      <c r="Z3728" s="9"/>
      <c r="AA3728" s="9"/>
      <c r="AB3728" s="9"/>
      <c r="AC3728" s="9"/>
      <c r="AD3728" s="9"/>
      <c r="AE3728" s="9"/>
      <c r="AF3728" s="9"/>
      <c r="AG3728" s="9"/>
      <c r="AH3728" s="9"/>
      <c r="AI3728" s="9"/>
      <c r="AJ3728" s="9"/>
      <c r="AK3728" s="9"/>
      <c r="AL3728" s="9"/>
      <c r="AM3728" s="9"/>
      <c r="AN3728" s="9"/>
      <c r="AO3728" s="9"/>
      <c r="AP3728" s="9"/>
      <c r="AQ3728" s="9"/>
      <c r="AR3728" s="9"/>
      <c r="AS3728" s="9"/>
      <c r="AT3728" s="9"/>
      <c r="AU3728" s="9"/>
    </row>
    <row r="3729" spans="1:47" ht="15.75" customHeight="1">
      <c r="A3729" s="9"/>
      <c r="B3729" s="9"/>
      <c r="C3729" s="9"/>
      <c r="D3729" s="9"/>
      <c r="E3729" s="9"/>
      <c r="F3729" s="67"/>
      <c r="G3729" s="9"/>
      <c r="H3729" s="9"/>
      <c r="I3729" s="9"/>
      <c r="J3729" s="9"/>
      <c r="K3729" s="9"/>
      <c r="L3729" s="9"/>
      <c r="M3729" s="9"/>
      <c r="N3729" s="9"/>
      <c r="O3729" s="9"/>
      <c r="P3729" s="9"/>
      <c r="Q3729" s="9"/>
      <c r="R3729" s="9"/>
      <c r="S3729" s="9"/>
      <c r="T3729" s="9"/>
      <c r="U3729" s="9"/>
      <c r="V3729" s="9"/>
      <c r="W3729" s="9"/>
      <c r="X3729" s="9"/>
      <c r="Y3729" s="9"/>
      <c r="Z3729" s="9"/>
      <c r="AA3729" s="9"/>
      <c r="AB3729" s="9"/>
      <c r="AC3729" s="9"/>
      <c r="AD3729" s="9"/>
      <c r="AE3729" s="9"/>
      <c r="AF3729" s="9"/>
      <c r="AG3729" s="9"/>
      <c r="AH3729" s="9"/>
      <c r="AI3729" s="9"/>
      <c r="AJ3729" s="9"/>
      <c r="AK3729" s="9"/>
      <c r="AL3729" s="9"/>
      <c r="AM3729" s="9"/>
      <c r="AN3729" s="9"/>
      <c r="AO3729" s="9"/>
      <c r="AP3729" s="9"/>
      <c r="AQ3729" s="9"/>
      <c r="AR3729" s="9"/>
      <c r="AS3729" s="9"/>
      <c r="AT3729" s="9"/>
      <c r="AU3729" s="9"/>
    </row>
    <row r="3730" spans="1:47" ht="15.75" customHeight="1">
      <c r="A3730" s="9"/>
      <c r="B3730" s="9"/>
      <c r="C3730" s="9"/>
      <c r="D3730" s="9"/>
      <c r="E3730" s="9"/>
      <c r="F3730" s="67"/>
      <c r="G3730" s="9"/>
      <c r="H3730" s="9"/>
      <c r="I3730" s="9"/>
      <c r="J3730" s="9"/>
      <c r="K3730" s="9"/>
      <c r="L3730" s="9"/>
      <c r="M3730" s="9"/>
      <c r="N3730" s="9"/>
      <c r="O3730" s="9"/>
      <c r="P3730" s="9"/>
      <c r="Q3730" s="9"/>
      <c r="R3730" s="9"/>
      <c r="S3730" s="9"/>
      <c r="T3730" s="9"/>
      <c r="U3730" s="9"/>
      <c r="V3730" s="9"/>
      <c r="W3730" s="9"/>
      <c r="X3730" s="9"/>
      <c r="Y3730" s="9"/>
      <c r="Z3730" s="9"/>
      <c r="AA3730" s="9"/>
      <c r="AB3730" s="9"/>
      <c r="AC3730" s="9"/>
      <c r="AD3730" s="9"/>
      <c r="AE3730" s="9"/>
      <c r="AF3730" s="9"/>
      <c r="AG3730" s="9"/>
      <c r="AH3730" s="9"/>
      <c r="AI3730" s="9"/>
      <c r="AJ3730" s="9"/>
      <c r="AK3730" s="9"/>
      <c r="AL3730" s="9"/>
      <c r="AM3730" s="9"/>
      <c r="AN3730" s="9"/>
      <c r="AO3730" s="9"/>
      <c r="AP3730" s="9"/>
      <c r="AQ3730" s="9"/>
      <c r="AR3730" s="9"/>
      <c r="AS3730" s="9"/>
      <c r="AT3730" s="9"/>
      <c r="AU3730" s="9"/>
    </row>
    <row r="3731" spans="1:47" ht="15.75" customHeight="1">
      <c r="A3731" s="9"/>
      <c r="B3731" s="9"/>
      <c r="C3731" s="9"/>
      <c r="D3731" s="9"/>
      <c r="E3731" s="9"/>
      <c r="F3731" s="67"/>
      <c r="G3731" s="9"/>
      <c r="H3731" s="9"/>
      <c r="I3731" s="9"/>
      <c r="J3731" s="9"/>
      <c r="K3731" s="9"/>
      <c r="L3731" s="9"/>
      <c r="M3731" s="9"/>
      <c r="N3731" s="9"/>
      <c r="O3731" s="9"/>
      <c r="P3731" s="9"/>
      <c r="Q3731" s="9"/>
      <c r="R3731" s="9"/>
      <c r="S3731" s="9"/>
      <c r="T3731" s="9"/>
      <c r="U3731" s="9"/>
      <c r="V3731" s="9"/>
      <c r="W3731" s="9"/>
      <c r="X3731" s="9"/>
      <c r="Y3731" s="9"/>
      <c r="Z3731" s="9"/>
      <c r="AA3731" s="9"/>
      <c r="AB3731" s="9"/>
      <c r="AC3731" s="9"/>
      <c r="AD3731" s="9"/>
      <c r="AE3731" s="9"/>
      <c r="AF3731" s="9"/>
      <c r="AG3731" s="9"/>
      <c r="AH3731" s="9"/>
      <c r="AI3731" s="9"/>
      <c r="AJ3731" s="9"/>
      <c r="AK3731" s="9"/>
      <c r="AL3731" s="9"/>
      <c r="AM3731" s="9"/>
      <c r="AN3731" s="9"/>
      <c r="AO3731" s="9"/>
      <c r="AP3731" s="9"/>
      <c r="AQ3731" s="9"/>
      <c r="AR3731" s="9"/>
      <c r="AS3731" s="9"/>
      <c r="AT3731" s="9"/>
      <c r="AU3731" s="9"/>
    </row>
    <row r="3732" spans="1:47" ht="15.75" customHeight="1">
      <c r="A3732" s="9"/>
      <c r="B3732" s="9"/>
      <c r="C3732" s="9"/>
      <c r="D3732" s="9"/>
      <c r="E3732" s="9"/>
      <c r="F3732" s="67"/>
      <c r="G3732" s="9"/>
      <c r="H3732" s="9"/>
      <c r="I3732" s="9"/>
      <c r="J3732" s="9"/>
      <c r="K3732" s="9"/>
      <c r="L3732" s="9"/>
      <c r="M3732" s="9"/>
      <c r="N3732" s="9"/>
      <c r="O3732" s="9"/>
      <c r="P3732" s="9"/>
      <c r="Q3732" s="9"/>
      <c r="R3732" s="9"/>
      <c r="S3732" s="9"/>
      <c r="T3732" s="9"/>
      <c r="U3732" s="9"/>
      <c r="V3732" s="9"/>
      <c r="W3732" s="9"/>
      <c r="X3732" s="9"/>
      <c r="Y3732" s="9"/>
      <c r="Z3732" s="9"/>
      <c r="AA3732" s="9"/>
      <c r="AB3732" s="9"/>
      <c r="AC3732" s="9"/>
      <c r="AD3732" s="9"/>
      <c r="AE3732" s="9"/>
      <c r="AF3732" s="9"/>
      <c r="AG3732" s="9"/>
      <c r="AH3732" s="9"/>
      <c r="AI3732" s="9"/>
      <c r="AJ3732" s="9"/>
      <c r="AK3732" s="9"/>
      <c r="AL3732" s="9"/>
      <c r="AM3732" s="9"/>
      <c r="AN3732" s="9"/>
      <c r="AO3732" s="9"/>
      <c r="AP3732" s="9"/>
      <c r="AQ3732" s="9"/>
      <c r="AR3732" s="9"/>
      <c r="AS3732" s="9"/>
      <c r="AT3732" s="9"/>
      <c r="AU3732" s="9"/>
    </row>
    <row r="3733" spans="1:47" ht="15.75" customHeight="1">
      <c r="A3733" s="9"/>
      <c r="B3733" s="9"/>
      <c r="C3733" s="9"/>
      <c r="D3733" s="9"/>
      <c r="E3733" s="9"/>
      <c r="F3733" s="67"/>
      <c r="G3733" s="9"/>
      <c r="H3733" s="9"/>
      <c r="I3733" s="9"/>
      <c r="J3733" s="9"/>
      <c r="K3733" s="9"/>
      <c r="L3733" s="9"/>
      <c r="M3733" s="9"/>
      <c r="N3733" s="9"/>
      <c r="O3733" s="9"/>
      <c r="P3733" s="9"/>
      <c r="Q3733" s="9"/>
      <c r="R3733" s="9"/>
      <c r="S3733" s="9"/>
      <c r="T3733" s="9"/>
      <c r="U3733" s="9"/>
      <c r="V3733" s="9"/>
      <c r="W3733" s="9"/>
      <c r="X3733" s="9"/>
      <c r="Y3733" s="9"/>
      <c r="Z3733" s="9"/>
      <c r="AA3733" s="9"/>
      <c r="AB3733" s="9"/>
      <c r="AC3733" s="9"/>
      <c r="AD3733" s="9"/>
      <c r="AE3733" s="9"/>
      <c r="AF3733" s="9"/>
      <c r="AG3733" s="9"/>
      <c r="AH3733" s="9"/>
      <c r="AI3733" s="9"/>
      <c r="AJ3733" s="9"/>
      <c r="AK3733" s="9"/>
      <c r="AL3733" s="9"/>
      <c r="AM3733" s="9"/>
      <c r="AN3733" s="9"/>
      <c r="AO3733" s="9"/>
      <c r="AP3733" s="9"/>
      <c r="AQ3733" s="9"/>
      <c r="AR3733" s="9"/>
      <c r="AS3733" s="9"/>
      <c r="AT3733" s="9"/>
      <c r="AU3733" s="9"/>
    </row>
    <row r="3734" spans="1:47" ht="15.75" customHeight="1">
      <c r="A3734" s="9"/>
      <c r="B3734" s="9"/>
      <c r="C3734" s="9"/>
      <c r="D3734" s="9"/>
      <c r="E3734" s="9"/>
      <c r="F3734" s="67"/>
      <c r="G3734" s="9"/>
      <c r="H3734" s="9"/>
      <c r="I3734" s="9"/>
      <c r="J3734" s="9"/>
      <c r="K3734" s="9"/>
      <c r="L3734" s="9"/>
      <c r="M3734" s="9"/>
      <c r="N3734" s="9"/>
      <c r="O3734" s="9"/>
      <c r="P3734" s="9"/>
      <c r="Q3734" s="9"/>
      <c r="R3734" s="9"/>
      <c r="S3734" s="9"/>
      <c r="T3734" s="9"/>
      <c r="U3734" s="9"/>
      <c r="V3734" s="9"/>
      <c r="W3734" s="9"/>
      <c r="X3734" s="9"/>
      <c r="Y3734" s="9"/>
      <c r="Z3734" s="9"/>
      <c r="AA3734" s="9"/>
      <c r="AB3734" s="9"/>
      <c r="AC3734" s="9"/>
      <c r="AD3734" s="9"/>
      <c r="AE3734" s="9"/>
      <c r="AF3734" s="9"/>
      <c r="AG3734" s="9"/>
      <c r="AH3734" s="9"/>
      <c r="AI3734" s="9"/>
      <c r="AJ3734" s="9"/>
      <c r="AK3734" s="9"/>
      <c r="AL3734" s="9"/>
      <c r="AM3734" s="9"/>
      <c r="AN3734" s="9"/>
      <c r="AO3734" s="9"/>
      <c r="AP3734" s="9"/>
      <c r="AQ3734" s="9"/>
      <c r="AR3734" s="9"/>
      <c r="AS3734" s="9"/>
      <c r="AT3734" s="9"/>
      <c r="AU3734" s="9"/>
    </row>
    <row r="3735" spans="1:47" ht="15.75" customHeight="1">
      <c r="A3735" s="9"/>
      <c r="B3735" s="9"/>
      <c r="C3735" s="9"/>
      <c r="D3735" s="9"/>
      <c r="E3735" s="9"/>
      <c r="F3735" s="67"/>
      <c r="G3735" s="9"/>
      <c r="H3735" s="9"/>
      <c r="I3735" s="9"/>
      <c r="J3735" s="9"/>
      <c r="K3735" s="9"/>
      <c r="L3735" s="9"/>
      <c r="M3735" s="9"/>
      <c r="N3735" s="9"/>
      <c r="O3735" s="9"/>
      <c r="P3735" s="9"/>
      <c r="Q3735" s="9"/>
      <c r="R3735" s="9"/>
      <c r="S3735" s="9"/>
      <c r="T3735" s="9"/>
      <c r="U3735" s="9"/>
      <c r="V3735" s="9"/>
      <c r="W3735" s="9"/>
      <c r="X3735" s="9"/>
      <c r="Y3735" s="9"/>
      <c r="Z3735" s="9"/>
      <c r="AA3735" s="9"/>
      <c r="AB3735" s="9"/>
      <c r="AC3735" s="9"/>
      <c r="AD3735" s="9"/>
      <c r="AE3735" s="9"/>
      <c r="AF3735" s="9"/>
      <c r="AG3735" s="9"/>
      <c r="AH3735" s="9"/>
      <c r="AI3735" s="9"/>
      <c r="AJ3735" s="9"/>
      <c r="AK3735" s="9"/>
      <c r="AL3735" s="9"/>
      <c r="AM3735" s="9"/>
      <c r="AN3735" s="9"/>
      <c r="AO3735" s="9"/>
      <c r="AP3735" s="9"/>
      <c r="AQ3735" s="9"/>
      <c r="AR3735" s="9"/>
      <c r="AS3735" s="9"/>
      <c r="AT3735" s="9"/>
      <c r="AU3735" s="9"/>
    </row>
    <row r="3736" spans="1:47" ht="15.75" customHeight="1">
      <c r="A3736" s="9"/>
      <c r="B3736" s="9"/>
      <c r="C3736" s="9"/>
      <c r="D3736" s="9"/>
      <c r="E3736" s="9"/>
      <c r="F3736" s="67"/>
      <c r="G3736" s="9"/>
      <c r="H3736" s="9"/>
      <c r="I3736" s="9"/>
      <c r="J3736" s="9"/>
      <c r="K3736" s="9"/>
      <c r="L3736" s="9"/>
      <c r="M3736" s="9"/>
      <c r="N3736" s="9"/>
      <c r="O3736" s="9"/>
      <c r="P3736" s="9"/>
      <c r="Q3736" s="9"/>
      <c r="R3736" s="9"/>
      <c r="S3736" s="9"/>
      <c r="T3736" s="9"/>
      <c r="U3736" s="9"/>
      <c r="V3736" s="9"/>
      <c r="W3736" s="9"/>
      <c r="X3736" s="9"/>
      <c r="Y3736" s="9"/>
      <c r="Z3736" s="9"/>
      <c r="AA3736" s="9"/>
      <c r="AB3736" s="9"/>
      <c r="AC3736" s="9"/>
      <c r="AD3736" s="9"/>
      <c r="AE3736" s="9"/>
      <c r="AF3736" s="9"/>
      <c r="AG3736" s="9"/>
      <c r="AH3736" s="9"/>
      <c r="AI3736" s="9"/>
      <c r="AJ3736" s="9"/>
      <c r="AK3736" s="9"/>
      <c r="AL3736" s="9"/>
      <c r="AM3736" s="9"/>
      <c r="AN3736" s="9"/>
      <c r="AO3736" s="9"/>
      <c r="AP3736" s="9"/>
      <c r="AQ3736" s="9"/>
      <c r="AR3736" s="9"/>
      <c r="AS3736" s="9"/>
      <c r="AT3736" s="9"/>
      <c r="AU3736" s="9"/>
    </row>
    <row r="3737" spans="1:47" ht="15.75" customHeight="1">
      <c r="A3737" s="9"/>
      <c r="B3737" s="9"/>
      <c r="C3737" s="9"/>
      <c r="D3737" s="9"/>
      <c r="E3737" s="9"/>
      <c r="F3737" s="67"/>
      <c r="G3737" s="9"/>
      <c r="H3737" s="9"/>
      <c r="I3737" s="9"/>
      <c r="J3737" s="9"/>
      <c r="K3737" s="9"/>
      <c r="L3737" s="9"/>
      <c r="M3737" s="9"/>
      <c r="N3737" s="9"/>
      <c r="O3737" s="9"/>
      <c r="P3737" s="9"/>
      <c r="Q3737" s="9"/>
      <c r="R3737" s="9"/>
      <c r="S3737" s="9"/>
      <c r="T3737" s="9"/>
      <c r="U3737" s="9"/>
      <c r="V3737" s="9"/>
      <c r="W3737" s="9"/>
      <c r="X3737" s="9"/>
      <c r="Y3737" s="9"/>
      <c r="Z3737" s="9"/>
      <c r="AA3737" s="9"/>
      <c r="AB3737" s="9"/>
      <c r="AC3737" s="9"/>
      <c r="AD3737" s="9"/>
      <c r="AE3737" s="9"/>
      <c r="AF3737" s="9"/>
      <c r="AG3737" s="9"/>
      <c r="AH3737" s="9"/>
      <c r="AI3737" s="9"/>
      <c r="AJ3737" s="9"/>
      <c r="AK3737" s="9"/>
      <c r="AL3737" s="9"/>
      <c r="AM3737" s="9"/>
      <c r="AN3737" s="9"/>
      <c r="AO3737" s="9"/>
      <c r="AP3737" s="9"/>
      <c r="AQ3737" s="9"/>
      <c r="AR3737" s="9"/>
      <c r="AS3737" s="9"/>
      <c r="AT3737" s="9"/>
      <c r="AU3737" s="9"/>
    </row>
    <row r="3738" spans="1:47" ht="15.75" customHeight="1">
      <c r="A3738" s="9"/>
      <c r="B3738" s="9"/>
      <c r="C3738" s="9"/>
      <c r="D3738" s="9"/>
      <c r="E3738" s="9"/>
      <c r="F3738" s="67"/>
      <c r="G3738" s="9"/>
      <c r="H3738" s="9"/>
      <c r="I3738" s="9"/>
      <c r="J3738" s="9"/>
      <c r="K3738" s="9"/>
      <c r="L3738" s="9"/>
      <c r="M3738" s="9"/>
      <c r="N3738" s="9"/>
      <c r="O3738" s="9"/>
      <c r="P3738" s="9"/>
      <c r="Q3738" s="9"/>
      <c r="R3738" s="9"/>
      <c r="S3738" s="9"/>
      <c r="T3738" s="9"/>
      <c r="U3738" s="9"/>
      <c r="V3738" s="9"/>
      <c r="W3738" s="9"/>
      <c r="X3738" s="9"/>
      <c r="Y3738" s="9"/>
      <c r="Z3738" s="9"/>
      <c r="AA3738" s="9"/>
      <c r="AB3738" s="9"/>
      <c r="AC3738" s="9"/>
      <c r="AD3738" s="9"/>
      <c r="AE3738" s="9"/>
      <c r="AF3738" s="9"/>
      <c r="AG3738" s="9"/>
      <c r="AH3738" s="9"/>
      <c r="AI3738" s="9"/>
      <c r="AJ3738" s="9"/>
      <c r="AK3738" s="9"/>
      <c r="AL3738" s="9"/>
      <c r="AM3738" s="9"/>
      <c r="AN3738" s="9"/>
      <c r="AO3738" s="9"/>
      <c r="AP3738" s="9"/>
      <c r="AQ3738" s="9"/>
      <c r="AR3738" s="9"/>
      <c r="AS3738" s="9"/>
      <c r="AT3738" s="9"/>
      <c r="AU3738" s="9"/>
    </row>
    <row r="3739" spans="1:47" ht="15.75" customHeight="1">
      <c r="A3739" s="9"/>
      <c r="B3739" s="9"/>
      <c r="C3739" s="9"/>
      <c r="D3739" s="9"/>
      <c r="E3739" s="9"/>
      <c r="F3739" s="67"/>
      <c r="G3739" s="9"/>
      <c r="H3739" s="9"/>
      <c r="I3739" s="9"/>
      <c r="J3739" s="9"/>
      <c r="K3739" s="9"/>
      <c r="L3739" s="9"/>
      <c r="M3739" s="9"/>
      <c r="N3739" s="9"/>
      <c r="O3739" s="9"/>
      <c r="P3739" s="9"/>
      <c r="Q3739" s="9"/>
      <c r="R3739" s="9"/>
      <c r="S3739" s="9"/>
      <c r="T3739" s="9"/>
      <c r="U3739" s="9"/>
      <c r="V3739" s="9"/>
      <c r="W3739" s="9"/>
      <c r="X3739" s="9"/>
      <c r="Y3739" s="9"/>
      <c r="Z3739" s="9"/>
      <c r="AA3739" s="9"/>
      <c r="AB3739" s="9"/>
      <c r="AC3739" s="9"/>
      <c r="AD3739" s="9"/>
      <c r="AE3739" s="9"/>
      <c r="AF3739" s="9"/>
      <c r="AG3739" s="9"/>
      <c r="AH3739" s="9"/>
      <c r="AI3739" s="9"/>
      <c r="AJ3739" s="9"/>
      <c r="AK3739" s="9"/>
      <c r="AL3739" s="9"/>
      <c r="AM3739" s="9"/>
      <c r="AN3739" s="9"/>
      <c r="AO3739" s="9"/>
      <c r="AP3739" s="9"/>
      <c r="AQ3739" s="9"/>
      <c r="AR3739" s="9"/>
      <c r="AS3739" s="9"/>
      <c r="AT3739" s="9"/>
      <c r="AU3739" s="9"/>
    </row>
    <row r="3740" spans="1:47" ht="15.75" customHeight="1">
      <c r="A3740" s="9"/>
      <c r="B3740" s="9"/>
      <c r="C3740" s="9"/>
      <c r="D3740" s="9"/>
      <c r="E3740" s="9"/>
      <c r="F3740" s="67"/>
      <c r="G3740" s="9"/>
      <c r="H3740" s="9"/>
      <c r="I3740" s="9"/>
      <c r="J3740" s="9"/>
      <c r="K3740" s="9"/>
      <c r="L3740" s="9"/>
      <c r="M3740" s="9"/>
      <c r="N3740" s="9"/>
      <c r="O3740" s="9"/>
      <c r="P3740" s="9"/>
      <c r="Q3740" s="9"/>
      <c r="R3740" s="9"/>
      <c r="S3740" s="9"/>
      <c r="T3740" s="9"/>
      <c r="U3740" s="9"/>
      <c r="V3740" s="9"/>
      <c r="W3740" s="9"/>
      <c r="X3740" s="9"/>
      <c r="Y3740" s="9"/>
      <c r="Z3740" s="9"/>
      <c r="AA3740" s="9"/>
      <c r="AB3740" s="9"/>
      <c r="AC3740" s="9"/>
      <c r="AD3740" s="9"/>
      <c r="AE3740" s="9"/>
      <c r="AF3740" s="9"/>
      <c r="AG3740" s="9"/>
      <c r="AH3740" s="9"/>
      <c r="AI3740" s="9"/>
      <c r="AJ3740" s="9"/>
      <c r="AK3740" s="9"/>
      <c r="AL3740" s="9"/>
      <c r="AM3740" s="9"/>
      <c r="AN3740" s="9"/>
      <c r="AO3740" s="9"/>
      <c r="AP3740" s="9"/>
      <c r="AQ3740" s="9"/>
      <c r="AR3740" s="9"/>
      <c r="AS3740" s="9"/>
      <c r="AT3740" s="9"/>
      <c r="AU3740" s="9"/>
    </row>
    <row r="3741" spans="1:47" ht="15.75" customHeight="1">
      <c r="A3741" s="9"/>
      <c r="B3741" s="9"/>
      <c r="C3741" s="9"/>
      <c r="D3741" s="9"/>
      <c r="E3741" s="9"/>
      <c r="F3741" s="67"/>
      <c r="G3741" s="9"/>
      <c r="H3741" s="9"/>
      <c r="I3741" s="9"/>
      <c r="J3741" s="9"/>
      <c r="K3741" s="9"/>
      <c r="L3741" s="9"/>
      <c r="M3741" s="9"/>
      <c r="N3741" s="9"/>
      <c r="O3741" s="9"/>
      <c r="P3741" s="9"/>
      <c r="Q3741" s="9"/>
      <c r="R3741" s="9"/>
      <c r="S3741" s="9"/>
      <c r="T3741" s="9"/>
      <c r="U3741" s="9"/>
      <c r="V3741" s="9"/>
      <c r="W3741" s="9"/>
      <c r="X3741" s="9"/>
      <c r="Y3741" s="9"/>
      <c r="Z3741" s="9"/>
      <c r="AA3741" s="9"/>
      <c r="AB3741" s="9"/>
      <c r="AC3741" s="9"/>
      <c r="AD3741" s="9"/>
      <c r="AE3741" s="9"/>
      <c r="AF3741" s="9"/>
      <c r="AG3741" s="9"/>
      <c r="AH3741" s="9"/>
      <c r="AI3741" s="9"/>
      <c r="AJ3741" s="9"/>
      <c r="AK3741" s="9"/>
      <c r="AL3741" s="9"/>
      <c r="AM3741" s="9"/>
      <c r="AN3741" s="9"/>
      <c r="AO3741" s="9"/>
      <c r="AP3741" s="9"/>
      <c r="AQ3741" s="9"/>
      <c r="AR3741" s="9"/>
      <c r="AS3741" s="9"/>
      <c r="AT3741" s="9"/>
      <c r="AU3741" s="9"/>
    </row>
    <row r="3742" spans="1:47" ht="15.75" customHeight="1">
      <c r="A3742" s="9"/>
      <c r="B3742" s="9"/>
      <c r="C3742" s="9"/>
      <c r="D3742" s="9"/>
      <c r="E3742" s="9"/>
      <c r="F3742" s="67"/>
      <c r="G3742" s="9"/>
      <c r="H3742" s="9"/>
      <c r="I3742" s="9"/>
      <c r="J3742" s="9"/>
      <c r="K3742" s="9"/>
      <c r="L3742" s="9"/>
      <c r="M3742" s="9"/>
      <c r="N3742" s="9"/>
      <c r="O3742" s="9"/>
      <c r="P3742" s="9"/>
      <c r="Q3742" s="9"/>
      <c r="R3742" s="9"/>
      <c r="S3742" s="9"/>
      <c r="T3742" s="9"/>
      <c r="U3742" s="9"/>
      <c r="V3742" s="9"/>
      <c r="W3742" s="9"/>
      <c r="X3742" s="9"/>
      <c r="Y3742" s="9"/>
      <c r="Z3742" s="9"/>
      <c r="AA3742" s="9"/>
      <c r="AB3742" s="9"/>
      <c r="AC3742" s="9"/>
      <c r="AD3742" s="9"/>
      <c r="AE3742" s="9"/>
      <c r="AF3742" s="9"/>
      <c r="AG3742" s="9"/>
      <c r="AH3742" s="9"/>
      <c r="AI3742" s="9"/>
      <c r="AJ3742" s="9"/>
      <c r="AK3742" s="9"/>
      <c r="AL3742" s="9"/>
      <c r="AM3742" s="9"/>
      <c r="AN3742" s="9"/>
      <c r="AO3742" s="9"/>
      <c r="AP3742" s="9"/>
      <c r="AQ3742" s="9"/>
      <c r="AR3742" s="9"/>
      <c r="AS3742" s="9"/>
      <c r="AT3742" s="9"/>
      <c r="AU3742" s="9"/>
    </row>
    <row r="3743" spans="1:47" ht="15.75" customHeight="1">
      <c r="A3743" s="9"/>
      <c r="B3743" s="9"/>
      <c r="C3743" s="9"/>
      <c r="D3743" s="9"/>
      <c r="E3743" s="9"/>
      <c r="F3743" s="67"/>
      <c r="G3743" s="9"/>
      <c r="H3743" s="9"/>
      <c r="I3743" s="9"/>
      <c r="J3743" s="9"/>
      <c r="K3743" s="9"/>
      <c r="L3743" s="9"/>
      <c r="M3743" s="9"/>
      <c r="N3743" s="9"/>
      <c r="O3743" s="9"/>
      <c r="P3743" s="9"/>
      <c r="Q3743" s="9"/>
      <c r="R3743" s="9"/>
      <c r="S3743" s="9"/>
      <c r="T3743" s="9"/>
      <c r="U3743" s="9"/>
      <c r="V3743" s="9"/>
      <c r="W3743" s="9"/>
      <c r="X3743" s="9"/>
      <c r="Y3743" s="9"/>
      <c r="Z3743" s="9"/>
      <c r="AA3743" s="9"/>
      <c r="AB3743" s="9"/>
      <c r="AC3743" s="9"/>
      <c r="AD3743" s="9"/>
      <c r="AE3743" s="9"/>
      <c r="AF3743" s="9"/>
      <c r="AG3743" s="9"/>
      <c r="AH3743" s="9"/>
      <c r="AI3743" s="9"/>
      <c r="AJ3743" s="9"/>
      <c r="AK3743" s="9"/>
      <c r="AL3743" s="9"/>
      <c r="AM3743" s="9"/>
      <c r="AN3743" s="9"/>
      <c r="AO3743" s="9"/>
      <c r="AP3743" s="9"/>
      <c r="AQ3743" s="9"/>
      <c r="AR3743" s="9"/>
      <c r="AS3743" s="9"/>
      <c r="AT3743" s="9"/>
      <c r="AU3743" s="9"/>
    </row>
    <row r="3744" spans="1:47" ht="15.75" customHeight="1">
      <c r="A3744" s="9"/>
      <c r="B3744" s="9"/>
      <c r="C3744" s="9"/>
      <c r="D3744" s="9"/>
      <c r="E3744" s="9"/>
      <c r="F3744" s="67"/>
      <c r="G3744" s="9"/>
      <c r="H3744" s="9"/>
      <c r="I3744" s="9"/>
      <c r="J3744" s="9"/>
      <c r="K3744" s="9"/>
      <c r="L3744" s="9"/>
      <c r="M3744" s="9"/>
      <c r="N3744" s="9"/>
      <c r="O3744" s="9"/>
      <c r="P3744" s="9"/>
      <c r="Q3744" s="9"/>
      <c r="R3744" s="9"/>
      <c r="S3744" s="9"/>
      <c r="T3744" s="9"/>
      <c r="U3744" s="9"/>
      <c r="V3744" s="9"/>
      <c r="W3744" s="9"/>
      <c r="X3744" s="9"/>
      <c r="Y3744" s="9"/>
      <c r="Z3744" s="9"/>
      <c r="AA3744" s="9"/>
      <c r="AB3744" s="9"/>
      <c r="AC3744" s="9"/>
      <c r="AD3744" s="9"/>
      <c r="AE3744" s="9"/>
      <c r="AF3744" s="9"/>
      <c r="AG3744" s="9"/>
      <c r="AH3744" s="9"/>
      <c r="AI3744" s="9"/>
      <c r="AJ3744" s="9"/>
      <c r="AK3744" s="9"/>
      <c r="AL3744" s="9"/>
      <c r="AM3744" s="9"/>
      <c r="AN3744" s="9"/>
      <c r="AO3744" s="9"/>
      <c r="AP3744" s="9"/>
      <c r="AQ3744" s="9"/>
      <c r="AR3744" s="9"/>
      <c r="AS3744" s="9"/>
      <c r="AT3744" s="9"/>
      <c r="AU3744" s="9"/>
    </row>
    <row r="3745" spans="1:47" ht="15.75" customHeight="1">
      <c r="A3745" s="9"/>
      <c r="B3745" s="9"/>
      <c r="C3745" s="9"/>
      <c r="D3745" s="9"/>
      <c r="E3745" s="9"/>
      <c r="F3745" s="67"/>
      <c r="G3745" s="9"/>
      <c r="H3745" s="9"/>
      <c r="I3745" s="9"/>
      <c r="J3745" s="9"/>
      <c r="K3745" s="9"/>
      <c r="L3745" s="9"/>
      <c r="M3745" s="9"/>
      <c r="N3745" s="9"/>
      <c r="O3745" s="9"/>
      <c r="P3745" s="9"/>
      <c r="Q3745" s="9"/>
      <c r="R3745" s="9"/>
      <c r="S3745" s="9"/>
      <c r="T3745" s="9"/>
      <c r="U3745" s="9"/>
      <c r="V3745" s="9"/>
      <c r="W3745" s="9"/>
      <c r="X3745" s="9"/>
      <c r="Y3745" s="9"/>
      <c r="Z3745" s="9"/>
      <c r="AA3745" s="9"/>
      <c r="AB3745" s="9"/>
      <c r="AC3745" s="9"/>
      <c r="AD3745" s="9"/>
      <c r="AE3745" s="9"/>
      <c r="AF3745" s="9"/>
      <c r="AG3745" s="9"/>
      <c r="AH3745" s="9"/>
      <c r="AI3745" s="9"/>
      <c r="AJ3745" s="9"/>
      <c r="AK3745" s="9"/>
      <c r="AL3745" s="9"/>
      <c r="AM3745" s="9"/>
      <c r="AN3745" s="9"/>
      <c r="AO3745" s="9"/>
      <c r="AP3745" s="9"/>
      <c r="AQ3745" s="9"/>
      <c r="AR3745" s="9"/>
      <c r="AS3745" s="9"/>
      <c r="AT3745" s="9"/>
      <c r="AU3745" s="9"/>
    </row>
    <row r="3746" spans="1:47" ht="15.75" customHeight="1">
      <c r="A3746" s="9"/>
      <c r="B3746" s="9"/>
      <c r="C3746" s="9"/>
      <c r="D3746" s="9"/>
      <c r="E3746" s="9"/>
      <c r="F3746" s="67"/>
      <c r="G3746" s="9"/>
      <c r="H3746" s="9"/>
      <c r="I3746" s="9"/>
      <c r="J3746" s="9"/>
      <c r="K3746" s="9"/>
      <c r="L3746" s="9"/>
      <c r="M3746" s="9"/>
      <c r="N3746" s="9"/>
      <c r="O3746" s="9"/>
      <c r="P3746" s="9"/>
      <c r="Q3746" s="9"/>
      <c r="R3746" s="9"/>
      <c r="S3746" s="9"/>
      <c r="T3746" s="9"/>
      <c r="U3746" s="9"/>
      <c r="V3746" s="9"/>
      <c r="W3746" s="9"/>
      <c r="X3746" s="9"/>
      <c r="Y3746" s="9"/>
      <c r="Z3746" s="9"/>
      <c r="AA3746" s="9"/>
      <c r="AB3746" s="9"/>
      <c r="AC3746" s="9"/>
      <c r="AD3746" s="9"/>
      <c r="AE3746" s="9"/>
      <c r="AF3746" s="9"/>
      <c r="AG3746" s="9"/>
      <c r="AH3746" s="9"/>
      <c r="AI3746" s="9"/>
      <c r="AJ3746" s="9"/>
      <c r="AK3746" s="9"/>
      <c r="AL3746" s="9"/>
      <c r="AM3746" s="9"/>
      <c r="AN3746" s="9"/>
      <c r="AO3746" s="9"/>
      <c r="AP3746" s="9"/>
      <c r="AQ3746" s="9"/>
      <c r="AR3746" s="9"/>
      <c r="AS3746" s="9"/>
      <c r="AT3746" s="9"/>
      <c r="AU3746" s="9"/>
    </row>
    <row r="3747" spans="1:47" ht="15.75" customHeight="1">
      <c r="A3747" s="9"/>
      <c r="B3747" s="9"/>
      <c r="C3747" s="9"/>
      <c r="D3747" s="9"/>
      <c r="E3747" s="9"/>
      <c r="F3747" s="67"/>
      <c r="G3747" s="9"/>
      <c r="H3747" s="9"/>
      <c r="I3747" s="9"/>
      <c r="J3747" s="9"/>
      <c r="K3747" s="9"/>
      <c r="L3747" s="9"/>
      <c r="M3747" s="9"/>
      <c r="N3747" s="9"/>
      <c r="O3747" s="9"/>
      <c r="P3747" s="9"/>
      <c r="Q3747" s="9"/>
      <c r="R3747" s="9"/>
      <c r="S3747" s="9"/>
      <c r="T3747" s="9"/>
      <c r="U3747" s="9"/>
      <c r="V3747" s="9"/>
      <c r="W3747" s="9"/>
      <c r="X3747" s="9"/>
      <c r="Y3747" s="9"/>
      <c r="Z3747" s="9"/>
      <c r="AA3747" s="9"/>
      <c r="AB3747" s="9"/>
      <c r="AC3747" s="9"/>
      <c r="AD3747" s="9"/>
      <c r="AE3747" s="9"/>
      <c r="AF3747" s="9"/>
      <c r="AG3747" s="9"/>
      <c r="AH3747" s="9"/>
      <c r="AI3747" s="9"/>
      <c r="AJ3747" s="9"/>
      <c r="AK3747" s="9"/>
      <c r="AL3747" s="9"/>
      <c r="AM3747" s="9"/>
      <c r="AN3747" s="9"/>
      <c r="AO3747" s="9"/>
      <c r="AP3747" s="9"/>
      <c r="AQ3747" s="9"/>
      <c r="AR3747" s="9"/>
      <c r="AS3747" s="9"/>
      <c r="AT3747" s="9"/>
      <c r="AU3747" s="9"/>
    </row>
    <row r="3748" spans="1:47" ht="15.75" customHeight="1">
      <c r="A3748" s="9"/>
      <c r="B3748" s="9"/>
      <c r="C3748" s="9"/>
      <c r="D3748" s="9"/>
      <c r="E3748" s="9"/>
      <c r="F3748" s="67"/>
      <c r="G3748" s="9"/>
      <c r="H3748" s="9"/>
      <c r="I3748" s="9"/>
      <c r="J3748" s="9"/>
      <c r="K3748" s="9"/>
      <c r="L3748" s="9"/>
      <c r="M3748" s="9"/>
      <c r="N3748" s="9"/>
      <c r="O3748" s="9"/>
      <c r="P3748" s="9"/>
      <c r="Q3748" s="9"/>
      <c r="R3748" s="9"/>
      <c r="S3748" s="9"/>
      <c r="T3748" s="9"/>
      <c r="U3748" s="9"/>
      <c r="V3748" s="9"/>
      <c r="W3748" s="9"/>
      <c r="X3748" s="9"/>
      <c r="Y3748" s="9"/>
      <c r="Z3748" s="9"/>
      <c r="AA3748" s="9"/>
      <c r="AB3748" s="9"/>
      <c r="AC3748" s="9"/>
      <c r="AD3748" s="9"/>
      <c r="AE3748" s="9"/>
      <c r="AF3748" s="9"/>
      <c r="AG3748" s="9"/>
      <c r="AH3748" s="9"/>
      <c r="AI3748" s="9"/>
      <c r="AJ3748" s="9"/>
      <c r="AK3748" s="9"/>
      <c r="AL3748" s="9"/>
      <c r="AM3748" s="9"/>
      <c r="AN3748" s="9"/>
      <c r="AO3748" s="9"/>
      <c r="AP3748" s="9"/>
      <c r="AQ3748" s="9"/>
      <c r="AR3748" s="9"/>
      <c r="AS3748" s="9"/>
      <c r="AT3748" s="9"/>
      <c r="AU3748" s="9"/>
    </row>
    <row r="3749" spans="1:47" ht="15.75" customHeight="1">
      <c r="A3749" s="9"/>
      <c r="B3749" s="9"/>
      <c r="C3749" s="9"/>
      <c r="D3749" s="9"/>
      <c r="E3749" s="9"/>
      <c r="F3749" s="67"/>
      <c r="G3749" s="9"/>
      <c r="H3749" s="9"/>
      <c r="I3749" s="9"/>
      <c r="J3749" s="9"/>
      <c r="K3749" s="9"/>
      <c r="L3749" s="9"/>
      <c r="M3749" s="9"/>
      <c r="N3749" s="9"/>
      <c r="O3749" s="9"/>
      <c r="P3749" s="9"/>
      <c r="Q3749" s="9"/>
      <c r="R3749" s="9"/>
      <c r="S3749" s="9"/>
      <c r="T3749" s="9"/>
      <c r="U3749" s="9"/>
      <c r="V3749" s="9"/>
      <c r="W3749" s="9"/>
      <c r="X3749" s="9"/>
      <c r="Y3749" s="9"/>
      <c r="Z3749" s="9"/>
      <c r="AA3749" s="9"/>
      <c r="AB3749" s="9"/>
      <c r="AC3749" s="9"/>
      <c r="AD3749" s="9"/>
      <c r="AE3749" s="9"/>
      <c r="AF3749" s="9"/>
      <c r="AG3749" s="9"/>
      <c r="AH3749" s="9"/>
      <c r="AI3749" s="9"/>
      <c r="AJ3749" s="9"/>
      <c r="AK3749" s="9"/>
      <c r="AL3749" s="9"/>
      <c r="AM3749" s="9"/>
      <c r="AN3749" s="9"/>
      <c r="AO3749" s="9"/>
      <c r="AP3749" s="9"/>
      <c r="AQ3749" s="9"/>
      <c r="AR3749" s="9"/>
      <c r="AS3749" s="9"/>
      <c r="AT3749" s="9"/>
      <c r="AU3749" s="9"/>
    </row>
    <row r="3750" spans="1:47" ht="15.75" customHeight="1">
      <c r="A3750" s="9"/>
      <c r="B3750" s="9"/>
      <c r="C3750" s="9"/>
      <c r="D3750" s="9"/>
      <c r="E3750" s="9"/>
      <c r="F3750" s="67"/>
      <c r="G3750" s="9"/>
      <c r="H3750" s="9"/>
      <c r="I3750" s="9"/>
      <c r="J3750" s="9"/>
      <c r="K3750" s="9"/>
      <c r="L3750" s="9"/>
      <c r="M3750" s="9"/>
      <c r="N3750" s="9"/>
      <c r="O3750" s="9"/>
      <c r="P3750" s="9"/>
      <c r="Q3750" s="9"/>
      <c r="R3750" s="9"/>
      <c r="S3750" s="9"/>
      <c r="T3750" s="9"/>
      <c r="U3750" s="9"/>
      <c r="V3750" s="9"/>
      <c r="W3750" s="9"/>
      <c r="X3750" s="9"/>
      <c r="Y3750" s="9"/>
      <c r="Z3750" s="9"/>
      <c r="AA3750" s="9"/>
      <c r="AB3750" s="9"/>
      <c r="AC3750" s="9"/>
      <c r="AD3750" s="9"/>
      <c r="AE3750" s="9"/>
      <c r="AF3750" s="9"/>
      <c r="AG3750" s="9"/>
      <c r="AH3750" s="9"/>
      <c r="AI3750" s="9"/>
      <c r="AJ3750" s="9"/>
      <c r="AK3750" s="9"/>
      <c r="AL3750" s="9"/>
      <c r="AM3750" s="9"/>
      <c r="AN3750" s="9"/>
      <c r="AO3750" s="9"/>
      <c r="AP3750" s="9"/>
      <c r="AQ3750" s="9"/>
      <c r="AR3750" s="9"/>
      <c r="AS3750" s="9"/>
      <c r="AT3750" s="9"/>
      <c r="AU3750" s="9"/>
    </row>
    <row r="3751" spans="1:47" ht="15.75" customHeight="1">
      <c r="A3751" s="9"/>
      <c r="B3751" s="9"/>
      <c r="C3751" s="9"/>
      <c r="D3751" s="9"/>
      <c r="E3751" s="9"/>
      <c r="F3751" s="67"/>
      <c r="G3751" s="9"/>
      <c r="H3751" s="9"/>
      <c r="I3751" s="9"/>
      <c r="J3751" s="9"/>
      <c r="K3751" s="9"/>
      <c r="L3751" s="9"/>
      <c r="M3751" s="9"/>
      <c r="N3751" s="9"/>
      <c r="O3751" s="9"/>
      <c r="P3751" s="9"/>
      <c r="Q3751" s="9"/>
      <c r="R3751" s="9"/>
      <c r="S3751" s="9"/>
      <c r="T3751" s="9"/>
      <c r="U3751" s="9"/>
      <c r="V3751" s="9"/>
      <c r="W3751" s="9"/>
      <c r="X3751" s="9"/>
      <c r="Y3751" s="9"/>
      <c r="Z3751" s="9"/>
      <c r="AA3751" s="9"/>
      <c r="AB3751" s="9"/>
      <c r="AC3751" s="9"/>
      <c r="AD3751" s="9"/>
      <c r="AE3751" s="9"/>
      <c r="AF3751" s="9"/>
      <c r="AG3751" s="9"/>
      <c r="AH3751" s="9"/>
      <c r="AI3751" s="9"/>
      <c r="AJ3751" s="9"/>
      <c r="AK3751" s="9"/>
      <c r="AL3751" s="9"/>
      <c r="AM3751" s="9"/>
      <c r="AN3751" s="9"/>
      <c r="AO3751" s="9"/>
      <c r="AP3751" s="9"/>
      <c r="AQ3751" s="9"/>
      <c r="AR3751" s="9"/>
      <c r="AS3751" s="9"/>
      <c r="AT3751" s="9"/>
      <c r="AU3751" s="9"/>
    </row>
    <row r="3752" spans="1:47" ht="15.75" customHeight="1">
      <c r="A3752" s="9"/>
      <c r="B3752" s="9"/>
      <c r="C3752" s="9"/>
      <c r="D3752" s="9"/>
      <c r="E3752" s="9"/>
      <c r="F3752" s="67"/>
      <c r="G3752" s="9"/>
      <c r="H3752" s="9"/>
      <c r="I3752" s="9"/>
      <c r="J3752" s="9"/>
      <c r="K3752" s="9"/>
      <c r="L3752" s="9"/>
      <c r="M3752" s="9"/>
      <c r="N3752" s="9"/>
      <c r="O3752" s="9"/>
      <c r="P3752" s="9"/>
      <c r="Q3752" s="9"/>
      <c r="R3752" s="9"/>
      <c r="S3752" s="9"/>
      <c r="T3752" s="9"/>
      <c r="U3752" s="9"/>
      <c r="V3752" s="9"/>
      <c r="W3752" s="9"/>
      <c r="X3752" s="9"/>
      <c r="Y3752" s="9"/>
      <c r="Z3752" s="9"/>
      <c r="AA3752" s="9"/>
      <c r="AB3752" s="9"/>
      <c r="AC3752" s="9"/>
      <c r="AD3752" s="9"/>
      <c r="AE3752" s="9"/>
      <c r="AF3752" s="9"/>
      <c r="AG3752" s="9"/>
      <c r="AH3752" s="9"/>
      <c r="AI3752" s="9"/>
      <c r="AJ3752" s="9"/>
      <c r="AK3752" s="9"/>
      <c r="AL3752" s="9"/>
      <c r="AM3752" s="9"/>
      <c r="AN3752" s="9"/>
      <c r="AO3752" s="9"/>
      <c r="AP3752" s="9"/>
      <c r="AQ3752" s="9"/>
      <c r="AR3752" s="9"/>
      <c r="AS3752" s="9"/>
      <c r="AT3752" s="9"/>
      <c r="AU3752" s="9"/>
    </row>
    <row r="3753" spans="1:47" ht="15.75" customHeight="1">
      <c r="A3753" s="9"/>
      <c r="B3753" s="9"/>
      <c r="C3753" s="9"/>
      <c r="D3753" s="9"/>
      <c r="E3753" s="9"/>
      <c r="F3753" s="67"/>
      <c r="G3753" s="9"/>
      <c r="H3753" s="9"/>
      <c r="I3753" s="9"/>
      <c r="J3753" s="9"/>
      <c r="K3753" s="9"/>
      <c r="L3753" s="9"/>
      <c r="M3753" s="9"/>
      <c r="N3753" s="9"/>
      <c r="O3753" s="9"/>
      <c r="P3753" s="9"/>
      <c r="Q3753" s="9"/>
      <c r="R3753" s="9"/>
      <c r="S3753" s="9"/>
      <c r="T3753" s="9"/>
      <c r="U3753" s="9"/>
      <c r="V3753" s="9"/>
      <c r="W3753" s="9"/>
      <c r="X3753" s="9"/>
      <c r="Y3753" s="9"/>
      <c r="Z3753" s="9"/>
      <c r="AA3753" s="9"/>
      <c r="AB3753" s="9"/>
      <c r="AC3753" s="9"/>
      <c r="AD3753" s="9"/>
      <c r="AE3753" s="9"/>
      <c r="AF3753" s="9"/>
      <c r="AG3753" s="9"/>
      <c r="AH3753" s="9"/>
      <c r="AI3753" s="9"/>
      <c r="AJ3753" s="9"/>
      <c r="AK3753" s="9"/>
      <c r="AL3753" s="9"/>
      <c r="AM3753" s="9"/>
      <c r="AN3753" s="9"/>
      <c r="AO3753" s="9"/>
      <c r="AP3753" s="9"/>
      <c r="AQ3753" s="9"/>
      <c r="AR3753" s="9"/>
      <c r="AS3753" s="9"/>
      <c r="AT3753" s="9"/>
      <c r="AU3753" s="9"/>
    </row>
    <row r="3754" spans="1:47" ht="15.75" customHeight="1">
      <c r="A3754" s="9"/>
      <c r="B3754" s="9"/>
      <c r="C3754" s="9"/>
      <c r="D3754" s="9"/>
      <c r="E3754" s="9"/>
      <c r="F3754" s="67"/>
      <c r="G3754" s="9"/>
      <c r="H3754" s="9"/>
      <c r="I3754" s="9"/>
      <c r="J3754" s="9"/>
      <c r="K3754" s="9"/>
      <c r="L3754" s="9"/>
      <c r="M3754" s="9"/>
      <c r="N3754" s="9"/>
      <c r="O3754" s="9"/>
      <c r="P3754" s="9"/>
      <c r="Q3754" s="9"/>
      <c r="R3754" s="9"/>
      <c r="S3754" s="9"/>
      <c r="T3754" s="9"/>
      <c r="U3754" s="9"/>
      <c r="V3754" s="9"/>
      <c r="W3754" s="9"/>
      <c r="X3754" s="9"/>
      <c r="Y3754" s="9"/>
      <c r="Z3754" s="9"/>
      <c r="AA3754" s="9"/>
      <c r="AB3754" s="9"/>
      <c r="AC3754" s="9"/>
      <c r="AD3754" s="9"/>
      <c r="AE3754" s="9"/>
      <c r="AF3754" s="9"/>
      <c r="AG3754" s="9"/>
      <c r="AH3754" s="9"/>
      <c r="AI3754" s="9"/>
      <c r="AJ3754" s="9"/>
      <c r="AK3754" s="9"/>
      <c r="AL3754" s="9"/>
      <c r="AM3754" s="9"/>
      <c r="AN3754" s="9"/>
      <c r="AO3754" s="9"/>
      <c r="AP3754" s="9"/>
      <c r="AQ3754" s="9"/>
      <c r="AR3754" s="9"/>
      <c r="AS3754" s="9"/>
      <c r="AT3754" s="9"/>
      <c r="AU3754" s="9"/>
    </row>
    <row r="3755" spans="1:47" ht="15.75" customHeight="1">
      <c r="A3755" s="9"/>
      <c r="B3755" s="9"/>
      <c r="C3755" s="9"/>
      <c r="D3755" s="9"/>
      <c r="E3755" s="9"/>
      <c r="F3755" s="67"/>
      <c r="G3755" s="9"/>
      <c r="H3755" s="9"/>
      <c r="I3755" s="9"/>
      <c r="J3755" s="9"/>
      <c r="K3755" s="9"/>
      <c r="L3755" s="9"/>
      <c r="M3755" s="9"/>
      <c r="N3755" s="9"/>
      <c r="O3755" s="9"/>
      <c r="P3755" s="9"/>
      <c r="Q3755" s="9"/>
      <c r="R3755" s="9"/>
      <c r="S3755" s="9"/>
      <c r="T3755" s="9"/>
      <c r="U3755" s="9"/>
      <c r="V3755" s="9"/>
      <c r="W3755" s="9"/>
      <c r="X3755" s="9"/>
      <c r="Y3755" s="9"/>
      <c r="Z3755" s="9"/>
      <c r="AA3755" s="9"/>
      <c r="AB3755" s="9"/>
      <c r="AC3755" s="9"/>
      <c r="AD3755" s="9"/>
      <c r="AE3755" s="9"/>
      <c r="AF3755" s="9"/>
      <c r="AG3755" s="9"/>
      <c r="AH3755" s="9"/>
      <c r="AI3755" s="9"/>
      <c r="AJ3755" s="9"/>
      <c r="AK3755" s="9"/>
      <c r="AL3755" s="9"/>
      <c r="AM3755" s="9"/>
      <c r="AN3755" s="9"/>
      <c r="AO3755" s="9"/>
      <c r="AP3755" s="9"/>
      <c r="AQ3755" s="9"/>
      <c r="AR3755" s="9"/>
      <c r="AS3755" s="9"/>
      <c r="AT3755" s="9"/>
      <c r="AU3755" s="9"/>
    </row>
    <row r="3756" spans="1:47" ht="15.75" customHeight="1">
      <c r="A3756" s="9"/>
      <c r="B3756" s="9"/>
      <c r="C3756" s="9"/>
      <c r="D3756" s="9"/>
      <c r="E3756" s="9"/>
      <c r="F3756" s="67"/>
      <c r="G3756" s="9"/>
      <c r="H3756" s="9"/>
      <c r="I3756" s="9"/>
      <c r="J3756" s="9"/>
      <c r="K3756" s="9"/>
      <c r="L3756" s="9"/>
      <c r="M3756" s="9"/>
      <c r="N3756" s="9"/>
      <c r="O3756" s="9"/>
      <c r="P3756" s="9"/>
      <c r="Q3756" s="9"/>
      <c r="R3756" s="9"/>
      <c r="S3756" s="9"/>
      <c r="T3756" s="9"/>
      <c r="U3756" s="9"/>
      <c r="V3756" s="9"/>
      <c r="W3756" s="9"/>
      <c r="X3756" s="9"/>
      <c r="Y3756" s="9"/>
      <c r="Z3756" s="9"/>
      <c r="AA3756" s="9"/>
      <c r="AB3756" s="9"/>
      <c r="AC3756" s="9"/>
      <c r="AD3756" s="9"/>
      <c r="AE3756" s="9"/>
      <c r="AF3756" s="9"/>
      <c r="AG3756" s="9"/>
      <c r="AH3756" s="9"/>
      <c r="AI3756" s="9"/>
      <c r="AJ3756" s="9"/>
      <c r="AK3756" s="9"/>
      <c r="AL3756" s="9"/>
      <c r="AM3756" s="9"/>
      <c r="AN3756" s="9"/>
      <c r="AO3756" s="9"/>
      <c r="AP3756" s="9"/>
      <c r="AQ3756" s="9"/>
      <c r="AR3756" s="9"/>
      <c r="AS3756" s="9"/>
      <c r="AT3756" s="9"/>
      <c r="AU3756" s="9"/>
    </row>
    <row r="3757" spans="1:47" ht="15.75" customHeight="1">
      <c r="A3757" s="9"/>
      <c r="B3757" s="9"/>
      <c r="C3757" s="9"/>
      <c r="D3757" s="9"/>
      <c r="E3757" s="9"/>
      <c r="F3757" s="67"/>
      <c r="G3757" s="9"/>
      <c r="H3757" s="9"/>
      <c r="I3757" s="9"/>
      <c r="J3757" s="9"/>
      <c r="K3757" s="9"/>
      <c r="L3757" s="9"/>
      <c r="M3757" s="9"/>
      <c r="N3757" s="9"/>
      <c r="O3757" s="9"/>
      <c r="P3757" s="9"/>
      <c r="Q3757" s="9"/>
      <c r="R3757" s="9"/>
      <c r="S3757" s="9"/>
      <c r="T3757" s="9"/>
      <c r="U3757" s="9"/>
      <c r="V3757" s="9"/>
      <c r="W3757" s="9"/>
      <c r="X3757" s="9"/>
      <c r="Y3757" s="9"/>
      <c r="Z3757" s="9"/>
      <c r="AA3757" s="9"/>
      <c r="AB3757" s="9"/>
      <c r="AC3757" s="9"/>
      <c r="AD3757" s="9"/>
      <c r="AE3757" s="9"/>
      <c r="AF3757" s="9"/>
      <c r="AG3757" s="9"/>
      <c r="AH3757" s="9"/>
      <c r="AI3757" s="9"/>
      <c r="AJ3757" s="9"/>
      <c r="AK3757" s="9"/>
      <c r="AL3757" s="9"/>
      <c r="AM3757" s="9"/>
      <c r="AN3757" s="9"/>
      <c r="AO3757" s="9"/>
      <c r="AP3757" s="9"/>
      <c r="AQ3757" s="9"/>
      <c r="AR3757" s="9"/>
      <c r="AS3757" s="9"/>
      <c r="AT3757" s="9"/>
      <c r="AU3757" s="9"/>
    </row>
    <row r="3758" spans="1:47" ht="15.75" customHeight="1">
      <c r="A3758" s="9"/>
      <c r="B3758" s="9"/>
      <c r="C3758" s="9"/>
      <c r="D3758" s="9"/>
      <c r="E3758" s="9"/>
      <c r="F3758" s="67"/>
      <c r="G3758" s="9"/>
      <c r="H3758" s="9"/>
      <c r="I3758" s="9"/>
      <c r="J3758" s="9"/>
      <c r="K3758" s="9"/>
      <c r="L3758" s="9"/>
      <c r="M3758" s="9"/>
      <c r="N3758" s="9"/>
      <c r="O3758" s="9"/>
      <c r="P3758" s="9"/>
      <c r="Q3758" s="9"/>
      <c r="R3758" s="9"/>
      <c r="S3758" s="9"/>
      <c r="T3758" s="9"/>
      <c r="U3758" s="9"/>
      <c r="V3758" s="9"/>
      <c r="W3758" s="9"/>
      <c r="X3758" s="9"/>
      <c r="Y3758" s="9"/>
      <c r="Z3758" s="9"/>
      <c r="AA3758" s="9"/>
      <c r="AB3758" s="9"/>
      <c r="AC3758" s="9"/>
      <c r="AD3758" s="9"/>
      <c r="AE3758" s="9"/>
      <c r="AF3758" s="9"/>
      <c r="AG3758" s="9"/>
      <c r="AH3758" s="9"/>
      <c r="AI3758" s="9"/>
      <c r="AJ3758" s="9"/>
      <c r="AK3758" s="9"/>
      <c r="AL3758" s="9"/>
      <c r="AM3758" s="9"/>
      <c r="AN3758" s="9"/>
      <c r="AO3758" s="9"/>
      <c r="AP3758" s="9"/>
      <c r="AQ3758" s="9"/>
      <c r="AR3758" s="9"/>
      <c r="AS3758" s="9"/>
      <c r="AT3758" s="9"/>
      <c r="AU3758" s="9"/>
    </row>
    <row r="3759" spans="1:47" ht="15.75" customHeight="1">
      <c r="A3759" s="9"/>
      <c r="B3759" s="9"/>
      <c r="C3759" s="9"/>
      <c r="D3759" s="9"/>
      <c r="E3759" s="9"/>
      <c r="F3759" s="67"/>
      <c r="G3759" s="9"/>
      <c r="H3759" s="9"/>
      <c r="I3759" s="9"/>
      <c r="J3759" s="9"/>
      <c r="K3759" s="9"/>
      <c r="L3759" s="9"/>
      <c r="M3759" s="9"/>
      <c r="N3759" s="9"/>
      <c r="O3759" s="9"/>
      <c r="P3759" s="9"/>
      <c r="Q3759" s="9"/>
      <c r="R3759" s="9"/>
      <c r="S3759" s="9"/>
      <c r="T3759" s="9"/>
      <c r="U3759" s="9"/>
      <c r="V3759" s="9"/>
      <c r="W3759" s="9"/>
      <c r="X3759" s="9"/>
      <c r="Y3759" s="9"/>
      <c r="Z3759" s="9"/>
      <c r="AA3759" s="9"/>
      <c r="AB3759" s="9"/>
      <c r="AC3759" s="9"/>
      <c r="AD3759" s="9"/>
      <c r="AE3759" s="9"/>
      <c r="AF3759" s="9"/>
      <c r="AG3759" s="9"/>
      <c r="AH3759" s="9"/>
      <c r="AI3759" s="9"/>
      <c r="AJ3759" s="9"/>
      <c r="AK3759" s="9"/>
      <c r="AL3759" s="9"/>
      <c r="AM3759" s="9"/>
      <c r="AN3759" s="9"/>
      <c r="AO3759" s="9"/>
      <c r="AP3759" s="9"/>
      <c r="AQ3759" s="9"/>
      <c r="AR3759" s="9"/>
      <c r="AS3759" s="9"/>
      <c r="AT3759" s="9"/>
      <c r="AU3759" s="9"/>
    </row>
    <row r="3760" spans="1:47" ht="15.75" customHeight="1">
      <c r="A3760" s="9"/>
      <c r="B3760" s="9"/>
      <c r="C3760" s="9"/>
      <c r="D3760" s="9"/>
      <c r="E3760" s="9"/>
      <c r="F3760" s="67"/>
      <c r="G3760" s="9"/>
      <c r="H3760" s="9"/>
      <c r="I3760" s="9"/>
      <c r="J3760" s="9"/>
      <c r="K3760" s="9"/>
      <c r="L3760" s="9"/>
      <c r="M3760" s="9"/>
      <c r="N3760" s="9"/>
      <c r="O3760" s="9"/>
      <c r="P3760" s="9"/>
      <c r="Q3760" s="9"/>
      <c r="R3760" s="9"/>
      <c r="S3760" s="9"/>
      <c r="T3760" s="9"/>
      <c r="U3760" s="9"/>
      <c r="V3760" s="9"/>
      <c r="W3760" s="9"/>
      <c r="X3760" s="9"/>
      <c r="Y3760" s="9"/>
      <c r="Z3760" s="9"/>
      <c r="AA3760" s="9"/>
      <c r="AB3760" s="9"/>
      <c r="AC3760" s="9"/>
      <c r="AD3760" s="9"/>
      <c r="AE3760" s="9"/>
      <c r="AF3760" s="9"/>
      <c r="AG3760" s="9"/>
      <c r="AH3760" s="9"/>
      <c r="AI3760" s="9"/>
      <c r="AJ3760" s="9"/>
      <c r="AK3760" s="9"/>
      <c r="AL3760" s="9"/>
      <c r="AM3760" s="9"/>
      <c r="AN3760" s="9"/>
      <c r="AO3760" s="9"/>
      <c r="AP3760" s="9"/>
      <c r="AQ3760" s="9"/>
      <c r="AR3760" s="9"/>
      <c r="AS3760" s="9"/>
      <c r="AT3760" s="9"/>
      <c r="AU3760" s="9"/>
    </row>
    <row r="3761" spans="1:47" ht="15.75" customHeight="1">
      <c r="A3761" s="9"/>
      <c r="B3761" s="9"/>
      <c r="C3761" s="9"/>
      <c r="D3761" s="9"/>
      <c r="E3761" s="9"/>
      <c r="F3761" s="67"/>
      <c r="G3761" s="9"/>
      <c r="H3761" s="9"/>
      <c r="I3761" s="9"/>
      <c r="J3761" s="9"/>
      <c r="K3761" s="9"/>
      <c r="L3761" s="9"/>
      <c r="M3761" s="9"/>
      <c r="N3761" s="9"/>
      <c r="O3761" s="9"/>
      <c r="P3761" s="9"/>
      <c r="Q3761" s="9"/>
      <c r="R3761" s="9"/>
      <c r="S3761" s="9"/>
      <c r="T3761" s="9"/>
      <c r="U3761" s="9"/>
      <c r="V3761" s="9"/>
      <c r="W3761" s="9"/>
      <c r="X3761" s="9"/>
      <c r="Y3761" s="9"/>
      <c r="Z3761" s="9"/>
      <c r="AA3761" s="9"/>
      <c r="AB3761" s="9"/>
      <c r="AC3761" s="9"/>
      <c r="AD3761" s="9"/>
      <c r="AE3761" s="9"/>
      <c r="AF3761" s="9"/>
      <c r="AG3761" s="9"/>
      <c r="AH3761" s="9"/>
      <c r="AI3761" s="9"/>
      <c r="AJ3761" s="9"/>
      <c r="AK3761" s="9"/>
      <c r="AL3761" s="9"/>
      <c r="AM3761" s="9"/>
      <c r="AN3761" s="9"/>
      <c r="AO3761" s="9"/>
      <c r="AP3761" s="9"/>
      <c r="AQ3761" s="9"/>
      <c r="AR3761" s="9"/>
      <c r="AS3761" s="9"/>
      <c r="AT3761" s="9"/>
      <c r="AU3761" s="9"/>
    </row>
    <row r="3762" spans="1:47" ht="15.75" customHeight="1">
      <c r="A3762" s="9"/>
      <c r="B3762" s="9"/>
      <c r="C3762" s="9"/>
      <c r="D3762" s="9"/>
      <c r="E3762" s="9"/>
      <c r="F3762" s="67"/>
      <c r="G3762" s="9"/>
      <c r="H3762" s="9"/>
      <c r="I3762" s="9"/>
      <c r="J3762" s="9"/>
      <c r="K3762" s="9"/>
      <c r="L3762" s="9"/>
      <c r="M3762" s="9"/>
      <c r="N3762" s="9"/>
      <c r="O3762" s="9"/>
      <c r="P3762" s="9"/>
      <c r="Q3762" s="9"/>
      <c r="R3762" s="9"/>
      <c r="S3762" s="9"/>
      <c r="T3762" s="9"/>
      <c r="U3762" s="9"/>
      <c r="V3762" s="9"/>
      <c r="W3762" s="9"/>
      <c r="X3762" s="9"/>
      <c r="Y3762" s="9"/>
      <c r="Z3762" s="9"/>
      <c r="AA3762" s="9"/>
      <c r="AB3762" s="9"/>
      <c r="AC3762" s="9"/>
      <c r="AD3762" s="9"/>
      <c r="AE3762" s="9"/>
      <c r="AF3762" s="9"/>
      <c r="AG3762" s="9"/>
      <c r="AH3762" s="9"/>
      <c r="AI3762" s="9"/>
      <c r="AJ3762" s="9"/>
      <c r="AK3762" s="9"/>
      <c r="AL3762" s="9"/>
      <c r="AM3762" s="9"/>
      <c r="AN3762" s="9"/>
      <c r="AO3762" s="9"/>
      <c r="AP3762" s="9"/>
      <c r="AQ3762" s="9"/>
      <c r="AR3762" s="9"/>
      <c r="AS3762" s="9"/>
      <c r="AT3762" s="9"/>
      <c r="AU3762" s="9"/>
    </row>
    <row r="3763" spans="1:47" ht="15.75" customHeight="1">
      <c r="A3763" s="9"/>
      <c r="B3763" s="9"/>
      <c r="C3763" s="9"/>
      <c r="D3763" s="9"/>
      <c r="E3763" s="9"/>
      <c r="F3763" s="67"/>
      <c r="G3763" s="9"/>
      <c r="H3763" s="9"/>
      <c r="I3763" s="9"/>
      <c r="J3763" s="9"/>
      <c r="K3763" s="9"/>
      <c r="L3763" s="9"/>
      <c r="M3763" s="9"/>
      <c r="N3763" s="9"/>
      <c r="O3763" s="9"/>
      <c r="P3763" s="9"/>
      <c r="Q3763" s="9"/>
      <c r="R3763" s="9"/>
      <c r="S3763" s="9"/>
      <c r="T3763" s="9"/>
      <c r="U3763" s="9"/>
      <c r="V3763" s="9"/>
      <c r="W3763" s="9"/>
      <c r="X3763" s="9"/>
      <c r="Y3763" s="9"/>
      <c r="Z3763" s="9"/>
      <c r="AA3763" s="9"/>
      <c r="AB3763" s="9"/>
      <c r="AC3763" s="9"/>
      <c r="AD3763" s="9"/>
      <c r="AE3763" s="9"/>
      <c r="AF3763" s="9"/>
      <c r="AG3763" s="9"/>
      <c r="AH3763" s="9"/>
      <c r="AI3763" s="9"/>
      <c r="AJ3763" s="9"/>
      <c r="AK3763" s="9"/>
      <c r="AL3763" s="9"/>
      <c r="AM3763" s="9"/>
      <c r="AN3763" s="9"/>
      <c r="AO3763" s="9"/>
      <c r="AP3763" s="9"/>
      <c r="AQ3763" s="9"/>
      <c r="AR3763" s="9"/>
      <c r="AS3763" s="9"/>
      <c r="AT3763" s="9"/>
      <c r="AU3763" s="9"/>
    </row>
    <row r="3764" spans="1:47" ht="15.75" customHeight="1">
      <c r="A3764" s="9"/>
      <c r="B3764" s="9"/>
      <c r="C3764" s="9"/>
      <c r="D3764" s="9"/>
      <c r="E3764" s="9"/>
      <c r="F3764" s="67"/>
      <c r="G3764" s="9"/>
      <c r="H3764" s="9"/>
      <c r="I3764" s="9"/>
      <c r="J3764" s="9"/>
      <c r="K3764" s="9"/>
      <c r="L3764" s="9"/>
      <c r="M3764" s="9"/>
      <c r="N3764" s="9"/>
      <c r="O3764" s="9"/>
      <c r="P3764" s="9"/>
      <c r="Q3764" s="9"/>
      <c r="R3764" s="9"/>
      <c r="S3764" s="9"/>
      <c r="T3764" s="9"/>
      <c r="U3764" s="9"/>
      <c r="V3764" s="9"/>
      <c r="W3764" s="9"/>
      <c r="X3764" s="9"/>
      <c r="Y3764" s="9"/>
      <c r="Z3764" s="9"/>
      <c r="AA3764" s="9"/>
      <c r="AB3764" s="9"/>
      <c r="AC3764" s="9"/>
      <c r="AD3764" s="9"/>
      <c r="AE3764" s="9"/>
      <c r="AF3764" s="9"/>
      <c r="AG3764" s="9"/>
      <c r="AH3764" s="9"/>
      <c r="AI3764" s="9"/>
      <c r="AJ3764" s="9"/>
      <c r="AK3764" s="9"/>
      <c r="AL3764" s="9"/>
      <c r="AM3764" s="9"/>
      <c r="AN3764" s="9"/>
      <c r="AO3764" s="9"/>
      <c r="AP3764" s="9"/>
      <c r="AQ3764" s="9"/>
      <c r="AR3764" s="9"/>
      <c r="AS3764" s="9"/>
      <c r="AT3764" s="9"/>
      <c r="AU3764" s="9"/>
    </row>
    <row r="3765" spans="1:47" ht="15.75" customHeight="1">
      <c r="A3765" s="9"/>
      <c r="B3765" s="9"/>
      <c r="C3765" s="9"/>
      <c r="D3765" s="9"/>
      <c r="E3765" s="9"/>
      <c r="F3765" s="67"/>
      <c r="G3765" s="9"/>
      <c r="H3765" s="9"/>
      <c r="I3765" s="9"/>
      <c r="J3765" s="9"/>
      <c r="K3765" s="9"/>
      <c r="L3765" s="9"/>
      <c r="M3765" s="9"/>
      <c r="N3765" s="9"/>
      <c r="O3765" s="9"/>
      <c r="P3765" s="9"/>
      <c r="Q3765" s="9"/>
      <c r="R3765" s="9"/>
      <c r="S3765" s="9"/>
      <c r="T3765" s="9"/>
      <c r="U3765" s="9"/>
      <c r="V3765" s="9"/>
      <c r="W3765" s="9"/>
      <c r="X3765" s="9"/>
      <c r="Y3765" s="9"/>
      <c r="Z3765" s="9"/>
      <c r="AA3765" s="9"/>
      <c r="AB3765" s="9"/>
      <c r="AC3765" s="9"/>
      <c r="AD3765" s="9"/>
      <c r="AE3765" s="9"/>
      <c r="AF3765" s="9"/>
      <c r="AG3765" s="9"/>
      <c r="AH3765" s="9"/>
      <c r="AI3765" s="9"/>
      <c r="AJ3765" s="9"/>
      <c r="AK3765" s="9"/>
      <c r="AL3765" s="9"/>
      <c r="AM3765" s="9"/>
      <c r="AN3765" s="9"/>
      <c r="AO3765" s="9"/>
      <c r="AP3765" s="9"/>
      <c r="AQ3765" s="9"/>
      <c r="AR3765" s="9"/>
      <c r="AS3765" s="9"/>
      <c r="AT3765" s="9"/>
      <c r="AU3765" s="9"/>
    </row>
    <row r="3766" spans="1:47" ht="15.75" customHeight="1">
      <c r="A3766" s="9"/>
      <c r="B3766" s="9"/>
      <c r="C3766" s="9"/>
      <c r="D3766" s="9"/>
      <c r="E3766" s="9"/>
      <c r="F3766" s="67"/>
      <c r="G3766" s="9"/>
      <c r="H3766" s="9"/>
      <c r="I3766" s="9"/>
      <c r="J3766" s="9"/>
      <c r="K3766" s="9"/>
      <c r="L3766" s="9"/>
      <c r="M3766" s="9"/>
      <c r="N3766" s="9"/>
      <c r="O3766" s="9"/>
      <c r="P3766" s="9"/>
      <c r="Q3766" s="9"/>
      <c r="R3766" s="9"/>
      <c r="S3766" s="9"/>
      <c r="T3766" s="9"/>
      <c r="U3766" s="9"/>
      <c r="V3766" s="9"/>
      <c r="W3766" s="9"/>
      <c r="X3766" s="9"/>
      <c r="Y3766" s="9"/>
      <c r="Z3766" s="9"/>
      <c r="AA3766" s="9"/>
      <c r="AB3766" s="9"/>
      <c r="AC3766" s="9"/>
      <c r="AD3766" s="9"/>
      <c r="AE3766" s="9"/>
      <c r="AF3766" s="9"/>
      <c r="AG3766" s="9"/>
      <c r="AH3766" s="9"/>
      <c r="AI3766" s="9"/>
      <c r="AJ3766" s="9"/>
      <c r="AK3766" s="9"/>
      <c r="AL3766" s="9"/>
      <c r="AM3766" s="9"/>
      <c r="AN3766" s="9"/>
      <c r="AO3766" s="9"/>
      <c r="AP3766" s="9"/>
      <c r="AQ3766" s="9"/>
      <c r="AR3766" s="9"/>
      <c r="AS3766" s="9"/>
      <c r="AT3766" s="9"/>
      <c r="AU3766" s="9"/>
    </row>
    <row r="3767" spans="1:47" ht="15.75" customHeight="1">
      <c r="A3767" s="9"/>
      <c r="B3767" s="9"/>
      <c r="C3767" s="9"/>
      <c r="D3767" s="9"/>
      <c r="E3767" s="9"/>
      <c r="F3767" s="67"/>
      <c r="G3767" s="9"/>
      <c r="H3767" s="9"/>
      <c r="I3767" s="9"/>
      <c r="J3767" s="9"/>
      <c r="K3767" s="9"/>
      <c r="L3767" s="9"/>
      <c r="M3767" s="9"/>
      <c r="N3767" s="9"/>
      <c r="O3767" s="9"/>
      <c r="P3767" s="9"/>
      <c r="Q3767" s="9"/>
      <c r="R3767" s="9"/>
      <c r="S3767" s="9"/>
      <c r="T3767" s="9"/>
      <c r="U3767" s="9"/>
      <c r="V3767" s="9"/>
      <c r="W3767" s="9"/>
      <c r="X3767" s="9"/>
      <c r="Y3767" s="9"/>
      <c r="Z3767" s="9"/>
      <c r="AA3767" s="9"/>
      <c r="AB3767" s="9"/>
      <c r="AC3767" s="9"/>
      <c r="AD3767" s="9"/>
      <c r="AE3767" s="9"/>
      <c r="AF3767" s="9"/>
      <c r="AG3767" s="9"/>
      <c r="AH3767" s="9"/>
      <c r="AI3767" s="9"/>
      <c r="AJ3767" s="9"/>
      <c r="AK3767" s="9"/>
      <c r="AL3767" s="9"/>
      <c r="AM3767" s="9"/>
      <c r="AN3767" s="9"/>
      <c r="AO3767" s="9"/>
      <c r="AP3767" s="9"/>
      <c r="AQ3767" s="9"/>
      <c r="AR3767" s="9"/>
      <c r="AS3767" s="9"/>
      <c r="AT3767" s="9"/>
      <c r="AU3767" s="9"/>
    </row>
    <row r="3768" spans="1:47" ht="15.75" customHeight="1">
      <c r="A3768" s="9"/>
      <c r="B3768" s="9"/>
      <c r="C3768" s="9"/>
      <c r="D3768" s="9"/>
      <c r="E3768" s="9"/>
      <c r="F3768" s="67"/>
      <c r="G3768" s="9"/>
      <c r="H3768" s="9"/>
      <c r="I3768" s="9"/>
      <c r="J3768" s="9"/>
      <c r="K3768" s="9"/>
      <c r="L3768" s="9"/>
      <c r="M3768" s="9"/>
      <c r="N3768" s="9"/>
      <c r="O3768" s="9"/>
      <c r="P3768" s="9"/>
      <c r="Q3768" s="9"/>
      <c r="R3768" s="9"/>
      <c r="S3768" s="9"/>
      <c r="T3768" s="9"/>
      <c r="U3768" s="9"/>
      <c r="V3768" s="9"/>
      <c r="W3768" s="9"/>
      <c r="X3768" s="9"/>
      <c r="Y3768" s="9"/>
      <c r="Z3768" s="9"/>
      <c r="AA3768" s="9"/>
      <c r="AB3768" s="9"/>
      <c r="AC3768" s="9"/>
      <c r="AD3768" s="9"/>
      <c r="AE3768" s="9"/>
      <c r="AF3768" s="9"/>
      <c r="AG3768" s="9"/>
      <c r="AH3768" s="9"/>
      <c r="AI3768" s="9"/>
      <c r="AJ3768" s="9"/>
      <c r="AK3768" s="9"/>
      <c r="AL3768" s="9"/>
      <c r="AM3768" s="9"/>
      <c r="AN3768" s="9"/>
      <c r="AO3768" s="9"/>
      <c r="AP3768" s="9"/>
      <c r="AQ3768" s="9"/>
      <c r="AR3768" s="9"/>
      <c r="AS3768" s="9"/>
      <c r="AT3768" s="9"/>
      <c r="AU3768" s="9"/>
    </row>
    <row r="3769" spans="1:47" ht="15.75" customHeight="1">
      <c r="A3769" s="9"/>
      <c r="B3769" s="9"/>
      <c r="C3769" s="9"/>
      <c r="D3769" s="9"/>
      <c r="E3769" s="9"/>
      <c r="F3769" s="67"/>
      <c r="G3769" s="9"/>
      <c r="H3769" s="9"/>
      <c r="I3769" s="9"/>
      <c r="J3769" s="9"/>
      <c r="K3769" s="9"/>
      <c r="L3769" s="9"/>
      <c r="M3769" s="9"/>
      <c r="N3769" s="9"/>
      <c r="O3769" s="9"/>
      <c r="P3769" s="9"/>
      <c r="Q3769" s="9"/>
      <c r="R3769" s="9"/>
      <c r="S3769" s="9"/>
      <c r="T3769" s="9"/>
      <c r="U3769" s="9"/>
      <c r="V3769" s="9"/>
      <c r="W3769" s="9"/>
      <c r="X3769" s="9"/>
      <c r="Y3769" s="9"/>
      <c r="Z3769" s="9"/>
      <c r="AA3769" s="9"/>
      <c r="AB3769" s="9"/>
      <c r="AC3769" s="9"/>
      <c r="AD3769" s="9"/>
      <c r="AE3769" s="9"/>
      <c r="AF3769" s="9"/>
      <c r="AG3769" s="9"/>
      <c r="AH3769" s="9"/>
      <c r="AI3769" s="9"/>
      <c r="AJ3769" s="9"/>
      <c r="AK3769" s="9"/>
      <c r="AL3769" s="9"/>
      <c r="AM3769" s="9"/>
      <c r="AN3769" s="9"/>
      <c r="AO3769" s="9"/>
      <c r="AP3769" s="9"/>
      <c r="AQ3769" s="9"/>
      <c r="AR3769" s="9"/>
      <c r="AS3769" s="9"/>
      <c r="AT3769" s="9"/>
      <c r="AU3769" s="9"/>
    </row>
    <row r="3770" spans="1:47" ht="15.75" customHeight="1">
      <c r="A3770" s="9"/>
      <c r="B3770" s="9"/>
      <c r="C3770" s="9"/>
      <c r="D3770" s="9"/>
      <c r="E3770" s="9"/>
      <c r="F3770" s="67"/>
      <c r="G3770" s="9"/>
      <c r="H3770" s="9"/>
      <c r="I3770" s="9"/>
      <c r="J3770" s="9"/>
      <c r="K3770" s="9"/>
      <c r="L3770" s="9"/>
      <c r="M3770" s="9"/>
      <c r="N3770" s="9"/>
      <c r="O3770" s="9"/>
      <c r="P3770" s="9"/>
      <c r="Q3770" s="9"/>
      <c r="R3770" s="9"/>
      <c r="S3770" s="9"/>
      <c r="T3770" s="9"/>
      <c r="U3770" s="9"/>
      <c r="V3770" s="9"/>
      <c r="W3770" s="9"/>
      <c r="X3770" s="9"/>
      <c r="Y3770" s="9"/>
      <c r="Z3770" s="9"/>
      <c r="AA3770" s="9"/>
      <c r="AB3770" s="9"/>
      <c r="AC3770" s="9"/>
      <c r="AD3770" s="9"/>
      <c r="AE3770" s="9"/>
      <c r="AF3770" s="9"/>
      <c r="AG3770" s="9"/>
      <c r="AH3770" s="9"/>
      <c r="AI3770" s="9"/>
      <c r="AJ3770" s="9"/>
      <c r="AK3770" s="9"/>
      <c r="AL3770" s="9"/>
      <c r="AM3770" s="9"/>
      <c r="AN3770" s="9"/>
      <c r="AO3770" s="9"/>
      <c r="AP3770" s="9"/>
      <c r="AQ3770" s="9"/>
      <c r="AR3770" s="9"/>
      <c r="AS3770" s="9"/>
      <c r="AT3770" s="9"/>
      <c r="AU3770" s="9"/>
    </row>
    <row r="3771" spans="1:47" ht="15.75" customHeight="1">
      <c r="A3771" s="9"/>
      <c r="B3771" s="9"/>
      <c r="C3771" s="9"/>
      <c r="D3771" s="9"/>
      <c r="E3771" s="9"/>
      <c r="F3771" s="67"/>
      <c r="G3771" s="9"/>
      <c r="H3771" s="9"/>
      <c r="I3771" s="9"/>
      <c r="J3771" s="9"/>
      <c r="K3771" s="9"/>
      <c r="L3771" s="9"/>
      <c r="M3771" s="9"/>
      <c r="N3771" s="9"/>
      <c r="O3771" s="9"/>
      <c r="P3771" s="9"/>
      <c r="Q3771" s="9"/>
      <c r="R3771" s="9"/>
      <c r="S3771" s="9"/>
      <c r="T3771" s="9"/>
      <c r="U3771" s="9"/>
      <c r="V3771" s="9"/>
      <c r="W3771" s="9"/>
      <c r="X3771" s="9"/>
      <c r="Y3771" s="9"/>
      <c r="Z3771" s="9"/>
      <c r="AA3771" s="9"/>
      <c r="AB3771" s="9"/>
      <c r="AC3771" s="9"/>
      <c r="AD3771" s="9"/>
      <c r="AE3771" s="9"/>
      <c r="AF3771" s="9"/>
      <c r="AG3771" s="9"/>
      <c r="AH3771" s="9"/>
      <c r="AI3771" s="9"/>
      <c r="AJ3771" s="9"/>
      <c r="AK3771" s="9"/>
      <c r="AL3771" s="9"/>
      <c r="AM3771" s="9"/>
      <c r="AN3771" s="9"/>
      <c r="AO3771" s="9"/>
      <c r="AP3771" s="9"/>
      <c r="AQ3771" s="9"/>
      <c r="AR3771" s="9"/>
      <c r="AS3771" s="9"/>
      <c r="AT3771" s="9"/>
      <c r="AU3771" s="9"/>
    </row>
    <row r="3772" spans="1:47" ht="15.75" customHeight="1">
      <c r="A3772" s="9"/>
      <c r="B3772" s="9"/>
      <c r="C3772" s="9"/>
      <c r="D3772" s="9"/>
      <c r="E3772" s="9"/>
      <c r="F3772" s="67"/>
      <c r="G3772" s="9"/>
      <c r="H3772" s="9"/>
      <c r="I3772" s="9"/>
      <c r="J3772" s="9"/>
      <c r="K3772" s="9"/>
      <c r="L3772" s="9"/>
      <c r="M3772" s="9"/>
      <c r="N3772" s="9"/>
      <c r="O3772" s="9"/>
      <c r="P3772" s="9"/>
      <c r="Q3772" s="9"/>
      <c r="R3772" s="9"/>
      <c r="S3772" s="9"/>
      <c r="T3772" s="9"/>
      <c r="U3772" s="9"/>
      <c r="V3772" s="9"/>
      <c r="W3772" s="9"/>
      <c r="X3772" s="9"/>
      <c r="Y3772" s="9"/>
      <c r="Z3772" s="9"/>
      <c r="AA3772" s="9"/>
      <c r="AB3772" s="9"/>
      <c r="AC3772" s="9"/>
      <c r="AD3772" s="9"/>
      <c r="AE3772" s="9"/>
      <c r="AF3772" s="9"/>
      <c r="AG3772" s="9"/>
      <c r="AH3772" s="9"/>
      <c r="AI3772" s="9"/>
      <c r="AJ3772" s="9"/>
      <c r="AK3772" s="9"/>
      <c r="AL3772" s="9"/>
      <c r="AM3772" s="9"/>
      <c r="AN3772" s="9"/>
      <c r="AO3772" s="9"/>
      <c r="AP3772" s="9"/>
      <c r="AQ3772" s="9"/>
      <c r="AR3772" s="9"/>
      <c r="AS3772" s="9"/>
      <c r="AT3772" s="9"/>
      <c r="AU3772" s="9"/>
    </row>
    <row r="3773" spans="1:47" ht="15.75" customHeight="1">
      <c r="A3773" s="9"/>
      <c r="B3773" s="9"/>
      <c r="C3773" s="9"/>
      <c r="D3773" s="9"/>
      <c r="E3773" s="9"/>
      <c r="F3773" s="67"/>
      <c r="G3773" s="9"/>
      <c r="H3773" s="9"/>
      <c r="I3773" s="9"/>
      <c r="J3773" s="9"/>
      <c r="K3773" s="9"/>
      <c r="L3773" s="9"/>
      <c r="M3773" s="9"/>
      <c r="N3773" s="9"/>
      <c r="O3773" s="9"/>
      <c r="P3773" s="9"/>
      <c r="Q3773" s="9"/>
      <c r="R3773" s="9"/>
      <c r="S3773" s="9"/>
      <c r="T3773" s="9"/>
      <c r="U3773" s="9"/>
      <c r="V3773" s="9"/>
      <c r="W3773" s="9"/>
      <c r="X3773" s="9"/>
      <c r="Y3773" s="9"/>
      <c r="Z3773" s="9"/>
      <c r="AA3773" s="9"/>
      <c r="AB3773" s="9"/>
      <c r="AC3773" s="9"/>
      <c r="AD3773" s="9"/>
      <c r="AE3773" s="9"/>
      <c r="AF3773" s="9"/>
      <c r="AG3773" s="9"/>
      <c r="AH3773" s="9"/>
      <c r="AI3773" s="9"/>
      <c r="AJ3773" s="9"/>
      <c r="AK3773" s="9"/>
      <c r="AL3773" s="9"/>
      <c r="AM3773" s="9"/>
      <c r="AN3773" s="9"/>
      <c r="AO3773" s="9"/>
      <c r="AP3773" s="9"/>
      <c r="AQ3773" s="9"/>
      <c r="AR3773" s="9"/>
      <c r="AS3773" s="9"/>
      <c r="AT3773" s="9"/>
      <c r="AU3773" s="9"/>
    </row>
    <row r="3774" spans="1:47" ht="15.75" customHeight="1">
      <c r="A3774" s="9"/>
      <c r="B3774" s="9"/>
      <c r="C3774" s="9"/>
      <c r="D3774" s="9"/>
      <c r="E3774" s="9"/>
      <c r="F3774" s="67"/>
      <c r="G3774" s="9"/>
      <c r="H3774" s="9"/>
      <c r="I3774" s="9"/>
      <c r="J3774" s="9"/>
      <c r="K3774" s="9"/>
      <c r="L3774" s="9"/>
      <c r="M3774" s="9"/>
      <c r="N3774" s="9"/>
      <c r="O3774" s="9"/>
      <c r="P3774" s="9"/>
      <c r="Q3774" s="9"/>
      <c r="R3774" s="9"/>
      <c r="S3774" s="9"/>
      <c r="T3774" s="9"/>
      <c r="U3774" s="9"/>
      <c r="V3774" s="9"/>
      <c r="W3774" s="9"/>
      <c r="X3774" s="9"/>
      <c r="Y3774" s="9"/>
      <c r="Z3774" s="9"/>
      <c r="AA3774" s="9"/>
      <c r="AB3774" s="9"/>
      <c r="AC3774" s="9"/>
      <c r="AD3774" s="9"/>
      <c r="AE3774" s="9"/>
      <c r="AF3774" s="9"/>
      <c r="AG3774" s="9"/>
      <c r="AH3774" s="9"/>
      <c r="AI3774" s="9"/>
      <c r="AJ3774" s="9"/>
      <c r="AK3774" s="9"/>
      <c r="AL3774" s="9"/>
      <c r="AM3774" s="9"/>
      <c r="AN3774" s="9"/>
      <c r="AO3774" s="9"/>
      <c r="AP3774" s="9"/>
      <c r="AQ3774" s="9"/>
      <c r="AR3774" s="9"/>
      <c r="AS3774" s="9"/>
      <c r="AT3774" s="9"/>
      <c r="AU3774" s="9"/>
    </row>
    <row r="3775" spans="1:47" ht="15.75" customHeight="1">
      <c r="A3775" s="9"/>
      <c r="B3775" s="9"/>
      <c r="C3775" s="9"/>
      <c r="D3775" s="9"/>
      <c r="E3775" s="9"/>
      <c r="F3775" s="67"/>
      <c r="G3775" s="9"/>
      <c r="H3775" s="9"/>
      <c r="I3775" s="9"/>
      <c r="J3775" s="9"/>
      <c r="K3775" s="9"/>
      <c r="L3775" s="9"/>
      <c r="M3775" s="9"/>
      <c r="N3775" s="9"/>
      <c r="O3775" s="9"/>
      <c r="P3775" s="9"/>
      <c r="Q3775" s="9"/>
      <c r="R3775" s="9"/>
      <c r="S3775" s="9"/>
      <c r="T3775" s="9"/>
      <c r="U3775" s="9"/>
      <c r="V3775" s="9"/>
      <c r="W3775" s="9"/>
      <c r="X3775" s="9"/>
      <c r="Y3775" s="9"/>
      <c r="Z3775" s="9"/>
      <c r="AA3775" s="9"/>
      <c r="AB3775" s="9"/>
      <c r="AC3775" s="9"/>
      <c r="AD3775" s="9"/>
      <c r="AE3775" s="9"/>
      <c r="AF3775" s="9"/>
      <c r="AG3775" s="9"/>
      <c r="AH3775" s="9"/>
      <c r="AI3775" s="9"/>
      <c r="AJ3775" s="9"/>
      <c r="AK3775" s="9"/>
      <c r="AL3775" s="9"/>
      <c r="AM3775" s="9"/>
      <c r="AN3775" s="9"/>
      <c r="AO3775" s="9"/>
      <c r="AP3775" s="9"/>
      <c r="AQ3775" s="9"/>
      <c r="AR3775" s="9"/>
      <c r="AS3775" s="9"/>
      <c r="AT3775" s="9"/>
      <c r="AU3775" s="9"/>
    </row>
    <row r="3776" spans="1:47" ht="15.75" customHeight="1">
      <c r="A3776" s="9"/>
      <c r="B3776" s="9"/>
      <c r="C3776" s="9"/>
      <c r="D3776" s="9"/>
      <c r="E3776" s="9"/>
      <c r="F3776" s="67"/>
      <c r="G3776" s="9"/>
      <c r="H3776" s="9"/>
      <c r="I3776" s="9"/>
      <c r="J3776" s="9"/>
      <c r="K3776" s="9"/>
      <c r="L3776" s="9"/>
      <c r="M3776" s="9"/>
      <c r="N3776" s="9"/>
      <c r="O3776" s="9"/>
      <c r="P3776" s="9"/>
      <c r="Q3776" s="9"/>
      <c r="R3776" s="9"/>
      <c r="S3776" s="9"/>
      <c r="T3776" s="9"/>
      <c r="U3776" s="9"/>
      <c r="V3776" s="9"/>
      <c r="W3776" s="9"/>
      <c r="X3776" s="9"/>
      <c r="Y3776" s="9"/>
      <c r="Z3776" s="9"/>
      <c r="AA3776" s="9"/>
      <c r="AB3776" s="9"/>
      <c r="AC3776" s="9"/>
      <c r="AD3776" s="9"/>
      <c r="AE3776" s="9"/>
      <c r="AF3776" s="9"/>
      <c r="AG3776" s="9"/>
      <c r="AH3776" s="9"/>
      <c r="AI3776" s="9"/>
      <c r="AJ3776" s="9"/>
      <c r="AK3776" s="9"/>
      <c r="AL3776" s="9"/>
      <c r="AM3776" s="9"/>
      <c r="AN3776" s="9"/>
      <c r="AO3776" s="9"/>
      <c r="AP3776" s="9"/>
      <c r="AQ3776" s="9"/>
      <c r="AR3776" s="9"/>
      <c r="AS3776" s="9"/>
      <c r="AT3776" s="9"/>
      <c r="AU3776" s="9"/>
    </row>
    <row r="3777" spans="1:47" ht="15.75" customHeight="1">
      <c r="A3777" s="9"/>
      <c r="B3777" s="9"/>
      <c r="C3777" s="9"/>
      <c r="D3777" s="9"/>
      <c r="E3777" s="9"/>
      <c r="F3777" s="67"/>
      <c r="G3777" s="9"/>
      <c r="H3777" s="9"/>
      <c r="I3777" s="9"/>
      <c r="J3777" s="9"/>
      <c r="K3777" s="9"/>
      <c r="L3777" s="9"/>
      <c r="M3777" s="9"/>
      <c r="N3777" s="9"/>
      <c r="O3777" s="9"/>
      <c r="P3777" s="9"/>
      <c r="Q3777" s="9"/>
      <c r="R3777" s="9"/>
      <c r="S3777" s="9"/>
      <c r="T3777" s="9"/>
      <c r="U3777" s="9"/>
      <c r="V3777" s="9"/>
      <c r="W3777" s="9"/>
      <c r="X3777" s="9"/>
      <c r="Y3777" s="9"/>
      <c r="Z3777" s="9"/>
      <c r="AA3777" s="9"/>
      <c r="AB3777" s="9"/>
      <c r="AC3777" s="9"/>
      <c r="AD3777" s="9"/>
      <c r="AE3777" s="9"/>
      <c r="AF3777" s="9"/>
      <c r="AG3777" s="9"/>
      <c r="AH3777" s="9"/>
      <c r="AI3777" s="9"/>
      <c r="AJ3777" s="9"/>
      <c r="AK3777" s="9"/>
      <c r="AL3777" s="9"/>
      <c r="AM3777" s="9"/>
      <c r="AN3777" s="9"/>
      <c r="AO3777" s="9"/>
      <c r="AP3777" s="9"/>
      <c r="AQ3777" s="9"/>
      <c r="AR3777" s="9"/>
      <c r="AS3777" s="9"/>
      <c r="AT3777" s="9"/>
      <c r="AU3777" s="9"/>
    </row>
    <row r="3778" spans="1:47" ht="15.75" customHeight="1">
      <c r="A3778" s="9"/>
      <c r="B3778" s="9"/>
      <c r="C3778" s="9"/>
      <c r="D3778" s="9"/>
      <c r="E3778" s="9"/>
      <c r="F3778" s="67"/>
      <c r="G3778" s="9"/>
      <c r="H3778" s="9"/>
      <c r="I3778" s="9"/>
      <c r="J3778" s="9"/>
      <c r="K3778" s="9"/>
      <c r="L3778" s="9"/>
      <c r="M3778" s="9"/>
      <c r="N3778" s="9"/>
      <c r="O3778" s="9"/>
      <c r="P3778" s="9"/>
      <c r="Q3778" s="9"/>
      <c r="R3778" s="9"/>
      <c r="S3778" s="9"/>
      <c r="T3778" s="9"/>
      <c r="U3778" s="9"/>
      <c r="V3778" s="9"/>
      <c r="W3778" s="9"/>
      <c r="X3778" s="9"/>
      <c r="Y3778" s="9"/>
      <c r="Z3778" s="9"/>
      <c r="AA3778" s="9"/>
      <c r="AB3778" s="9"/>
      <c r="AC3778" s="9"/>
      <c r="AD3778" s="9"/>
      <c r="AE3778" s="9"/>
      <c r="AF3778" s="9"/>
      <c r="AG3778" s="9"/>
      <c r="AH3778" s="9"/>
      <c r="AI3778" s="9"/>
      <c r="AJ3778" s="9"/>
      <c r="AK3778" s="9"/>
      <c r="AL3778" s="9"/>
      <c r="AM3778" s="9"/>
      <c r="AN3778" s="9"/>
      <c r="AO3778" s="9"/>
      <c r="AP3778" s="9"/>
      <c r="AQ3778" s="9"/>
      <c r="AR3778" s="9"/>
      <c r="AS3778" s="9"/>
      <c r="AT3778" s="9"/>
      <c r="AU3778" s="9"/>
    </row>
    <row r="3779" spans="1:47" ht="15.75" customHeight="1">
      <c r="A3779" s="9"/>
      <c r="B3779" s="9"/>
      <c r="C3779" s="9"/>
      <c r="D3779" s="9"/>
      <c r="E3779" s="9"/>
      <c r="F3779" s="67"/>
      <c r="G3779" s="9"/>
      <c r="H3779" s="9"/>
      <c r="I3779" s="9"/>
      <c r="J3779" s="9"/>
      <c r="K3779" s="9"/>
      <c r="L3779" s="9"/>
      <c r="M3779" s="9"/>
      <c r="N3779" s="9"/>
      <c r="O3779" s="9"/>
      <c r="P3779" s="9"/>
      <c r="Q3779" s="9"/>
      <c r="R3779" s="9"/>
      <c r="S3779" s="9"/>
      <c r="T3779" s="9"/>
      <c r="U3779" s="9"/>
      <c r="V3779" s="9"/>
      <c r="W3779" s="9"/>
      <c r="X3779" s="9"/>
      <c r="Y3779" s="9"/>
      <c r="Z3779" s="9"/>
      <c r="AA3779" s="9"/>
      <c r="AB3779" s="9"/>
      <c r="AC3779" s="9"/>
      <c r="AD3779" s="9"/>
      <c r="AE3779" s="9"/>
      <c r="AF3779" s="9"/>
      <c r="AG3779" s="9"/>
      <c r="AH3779" s="9"/>
      <c r="AI3779" s="9"/>
      <c r="AJ3779" s="9"/>
      <c r="AK3779" s="9"/>
      <c r="AL3779" s="9"/>
      <c r="AM3779" s="9"/>
      <c r="AN3779" s="9"/>
      <c r="AO3779" s="9"/>
      <c r="AP3779" s="9"/>
      <c r="AQ3779" s="9"/>
      <c r="AR3779" s="9"/>
      <c r="AS3779" s="9"/>
      <c r="AT3779" s="9"/>
      <c r="AU3779" s="9"/>
    </row>
    <row r="3780" spans="1:47" ht="15.75" customHeight="1">
      <c r="A3780" s="9"/>
      <c r="B3780" s="9"/>
      <c r="C3780" s="9"/>
      <c r="D3780" s="9"/>
      <c r="E3780" s="9"/>
      <c r="F3780" s="67"/>
      <c r="G3780" s="9"/>
      <c r="H3780" s="9"/>
      <c r="I3780" s="9"/>
      <c r="J3780" s="9"/>
      <c r="K3780" s="9"/>
      <c r="L3780" s="9"/>
      <c r="M3780" s="9"/>
      <c r="N3780" s="9"/>
      <c r="O3780" s="9"/>
      <c r="P3780" s="9"/>
      <c r="Q3780" s="9"/>
      <c r="R3780" s="9"/>
      <c r="S3780" s="9"/>
      <c r="T3780" s="9"/>
      <c r="U3780" s="9"/>
      <c r="V3780" s="9"/>
      <c r="W3780" s="9"/>
      <c r="X3780" s="9"/>
      <c r="Y3780" s="9"/>
      <c r="Z3780" s="9"/>
      <c r="AA3780" s="9"/>
      <c r="AB3780" s="9"/>
      <c r="AC3780" s="9"/>
      <c r="AD3780" s="9"/>
      <c r="AE3780" s="9"/>
      <c r="AF3780" s="9"/>
      <c r="AG3780" s="9"/>
      <c r="AH3780" s="9"/>
      <c r="AI3780" s="9"/>
      <c r="AJ3780" s="9"/>
      <c r="AK3780" s="9"/>
      <c r="AL3780" s="9"/>
      <c r="AM3780" s="9"/>
      <c r="AN3780" s="9"/>
      <c r="AO3780" s="9"/>
      <c r="AP3780" s="9"/>
      <c r="AQ3780" s="9"/>
      <c r="AR3780" s="9"/>
      <c r="AS3780" s="9"/>
      <c r="AT3780" s="9"/>
      <c r="AU3780" s="9"/>
    </row>
    <row r="3781" spans="1:47" ht="15.75" customHeight="1">
      <c r="A3781" s="9"/>
      <c r="B3781" s="9"/>
      <c r="C3781" s="9"/>
      <c r="D3781" s="9"/>
      <c r="E3781" s="9"/>
      <c r="F3781" s="67"/>
      <c r="G3781" s="9"/>
      <c r="H3781" s="9"/>
      <c r="I3781" s="9"/>
      <c r="J3781" s="9"/>
      <c r="K3781" s="9"/>
      <c r="L3781" s="9"/>
      <c r="M3781" s="9"/>
      <c r="N3781" s="9"/>
      <c r="O3781" s="9"/>
      <c r="P3781" s="9"/>
      <c r="Q3781" s="9"/>
      <c r="R3781" s="9"/>
      <c r="S3781" s="9"/>
      <c r="T3781" s="9"/>
      <c r="U3781" s="9"/>
      <c r="V3781" s="9"/>
      <c r="W3781" s="9"/>
      <c r="X3781" s="9"/>
      <c r="Y3781" s="9"/>
      <c r="Z3781" s="9"/>
      <c r="AA3781" s="9"/>
      <c r="AB3781" s="9"/>
      <c r="AC3781" s="9"/>
      <c r="AD3781" s="9"/>
      <c r="AE3781" s="9"/>
      <c r="AF3781" s="9"/>
      <c r="AG3781" s="9"/>
      <c r="AH3781" s="9"/>
      <c r="AI3781" s="9"/>
      <c r="AJ3781" s="9"/>
      <c r="AK3781" s="9"/>
      <c r="AL3781" s="9"/>
      <c r="AM3781" s="9"/>
      <c r="AN3781" s="9"/>
      <c r="AO3781" s="9"/>
      <c r="AP3781" s="9"/>
      <c r="AQ3781" s="9"/>
      <c r="AR3781" s="9"/>
      <c r="AS3781" s="9"/>
      <c r="AT3781" s="9"/>
      <c r="AU3781" s="9"/>
    </row>
    <row r="3782" spans="1:47" ht="15.75" customHeight="1">
      <c r="A3782" s="9"/>
      <c r="B3782" s="9"/>
      <c r="C3782" s="9"/>
      <c r="D3782" s="9"/>
      <c r="E3782" s="9"/>
      <c r="F3782" s="67"/>
      <c r="G3782" s="9"/>
      <c r="H3782" s="9"/>
      <c r="I3782" s="9"/>
      <c r="J3782" s="9"/>
      <c r="K3782" s="9"/>
      <c r="L3782" s="9"/>
      <c r="M3782" s="9"/>
      <c r="N3782" s="9"/>
      <c r="O3782" s="9"/>
      <c r="P3782" s="9"/>
      <c r="Q3782" s="9"/>
      <c r="R3782" s="9"/>
      <c r="S3782" s="9"/>
      <c r="T3782" s="9"/>
      <c r="U3782" s="9"/>
      <c r="V3782" s="9"/>
      <c r="W3782" s="9"/>
      <c r="X3782" s="9"/>
      <c r="Y3782" s="9"/>
      <c r="Z3782" s="9"/>
      <c r="AA3782" s="9"/>
      <c r="AB3782" s="9"/>
      <c r="AC3782" s="9"/>
      <c r="AD3782" s="9"/>
      <c r="AE3782" s="9"/>
      <c r="AF3782" s="9"/>
      <c r="AG3782" s="9"/>
      <c r="AH3782" s="9"/>
      <c r="AI3782" s="9"/>
      <c r="AJ3782" s="9"/>
      <c r="AK3782" s="9"/>
      <c r="AL3782" s="9"/>
      <c r="AM3782" s="9"/>
      <c r="AN3782" s="9"/>
      <c r="AO3782" s="9"/>
      <c r="AP3782" s="9"/>
      <c r="AQ3782" s="9"/>
      <c r="AR3782" s="9"/>
      <c r="AS3782" s="9"/>
      <c r="AT3782" s="9"/>
      <c r="AU3782" s="9"/>
    </row>
    <row r="3783" spans="1:47" ht="15.75" customHeight="1">
      <c r="A3783" s="9"/>
      <c r="B3783" s="9"/>
      <c r="C3783" s="9"/>
      <c r="D3783" s="9"/>
      <c r="E3783" s="9"/>
      <c r="F3783" s="67"/>
      <c r="G3783" s="9"/>
      <c r="H3783" s="9"/>
      <c r="I3783" s="9"/>
      <c r="J3783" s="9"/>
      <c r="K3783" s="9"/>
      <c r="L3783" s="9"/>
      <c r="M3783" s="9"/>
      <c r="N3783" s="9"/>
      <c r="O3783" s="9"/>
      <c r="P3783" s="9"/>
      <c r="Q3783" s="9"/>
      <c r="R3783" s="9"/>
      <c r="S3783" s="9"/>
      <c r="T3783" s="9"/>
      <c r="U3783" s="9"/>
      <c r="V3783" s="9"/>
      <c r="W3783" s="9"/>
      <c r="X3783" s="9"/>
      <c r="Y3783" s="9"/>
      <c r="Z3783" s="9"/>
      <c r="AA3783" s="9"/>
      <c r="AB3783" s="9"/>
      <c r="AC3783" s="9"/>
      <c r="AD3783" s="9"/>
      <c r="AE3783" s="9"/>
      <c r="AF3783" s="9"/>
      <c r="AG3783" s="9"/>
      <c r="AH3783" s="9"/>
      <c r="AI3783" s="9"/>
      <c r="AJ3783" s="9"/>
      <c r="AK3783" s="9"/>
      <c r="AL3783" s="9"/>
      <c r="AM3783" s="9"/>
      <c r="AN3783" s="9"/>
      <c r="AO3783" s="9"/>
      <c r="AP3783" s="9"/>
      <c r="AQ3783" s="9"/>
      <c r="AR3783" s="9"/>
      <c r="AS3783" s="9"/>
      <c r="AT3783" s="9"/>
      <c r="AU3783" s="9"/>
    </row>
    <row r="3784" spans="1:47" ht="15.75" customHeight="1">
      <c r="A3784" s="9"/>
      <c r="B3784" s="9"/>
      <c r="C3784" s="9"/>
      <c r="D3784" s="9"/>
      <c r="E3784" s="9"/>
      <c r="F3784" s="67"/>
      <c r="G3784" s="9"/>
      <c r="H3784" s="9"/>
      <c r="I3784" s="9"/>
      <c r="J3784" s="9"/>
      <c r="K3784" s="9"/>
      <c r="L3784" s="9"/>
      <c r="M3784" s="9"/>
      <c r="N3784" s="9"/>
      <c r="O3784" s="9"/>
      <c r="P3784" s="9"/>
      <c r="Q3784" s="9"/>
      <c r="R3784" s="9"/>
      <c r="S3784" s="9"/>
      <c r="T3784" s="9"/>
      <c r="U3784" s="9"/>
      <c r="V3784" s="9"/>
      <c r="W3784" s="9"/>
      <c r="X3784" s="9"/>
      <c r="Y3784" s="9"/>
      <c r="Z3784" s="9"/>
      <c r="AA3784" s="9"/>
      <c r="AB3784" s="9"/>
      <c r="AC3784" s="9"/>
      <c r="AD3784" s="9"/>
      <c r="AE3784" s="9"/>
      <c r="AF3784" s="9"/>
      <c r="AG3784" s="9"/>
      <c r="AH3784" s="9"/>
      <c r="AI3784" s="9"/>
      <c r="AJ3784" s="9"/>
      <c r="AK3784" s="9"/>
      <c r="AL3784" s="9"/>
      <c r="AM3784" s="9"/>
      <c r="AN3784" s="9"/>
      <c r="AO3784" s="9"/>
      <c r="AP3784" s="9"/>
      <c r="AQ3784" s="9"/>
      <c r="AR3784" s="9"/>
      <c r="AS3784" s="9"/>
      <c r="AT3784" s="9"/>
      <c r="AU3784" s="9"/>
    </row>
    <row r="3785" spans="1:47" ht="15.75" customHeight="1">
      <c r="A3785" s="9"/>
      <c r="B3785" s="9"/>
      <c r="C3785" s="9"/>
      <c r="D3785" s="9"/>
      <c r="E3785" s="9"/>
      <c r="F3785" s="67"/>
      <c r="G3785" s="9"/>
      <c r="H3785" s="9"/>
      <c r="I3785" s="9"/>
      <c r="J3785" s="9"/>
      <c r="K3785" s="9"/>
      <c r="L3785" s="9"/>
      <c r="M3785" s="9"/>
      <c r="N3785" s="9"/>
      <c r="O3785" s="9"/>
      <c r="P3785" s="9"/>
      <c r="Q3785" s="9"/>
      <c r="R3785" s="9"/>
      <c r="S3785" s="9"/>
      <c r="T3785" s="9"/>
      <c r="U3785" s="9"/>
      <c r="V3785" s="9"/>
      <c r="W3785" s="9"/>
      <c r="X3785" s="9"/>
      <c r="Y3785" s="9"/>
      <c r="Z3785" s="9"/>
      <c r="AA3785" s="9"/>
      <c r="AB3785" s="9"/>
      <c r="AC3785" s="9"/>
      <c r="AD3785" s="9"/>
      <c r="AE3785" s="9"/>
      <c r="AF3785" s="9"/>
      <c r="AG3785" s="9"/>
      <c r="AH3785" s="9"/>
      <c r="AI3785" s="9"/>
      <c r="AJ3785" s="9"/>
      <c r="AK3785" s="9"/>
      <c r="AL3785" s="9"/>
      <c r="AM3785" s="9"/>
      <c r="AN3785" s="9"/>
      <c r="AO3785" s="9"/>
      <c r="AP3785" s="9"/>
      <c r="AQ3785" s="9"/>
      <c r="AR3785" s="9"/>
      <c r="AS3785" s="9"/>
      <c r="AT3785" s="9"/>
      <c r="AU3785" s="9"/>
    </row>
    <row r="3786" spans="1:47" ht="15.75" customHeight="1">
      <c r="A3786" s="9"/>
      <c r="B3786" s="9"/>
      <c r="C3786" s="9"/>
      <c r="D3786" s="9"/>
      <c r="E3786" s="9"/>
      <c r="F3786" s="67"/>
      <c r="G3786" s="9"/>
      <c r="H3786" s="9"/>
      <c r="I3786" s="9"/>
      <c r="J3786" s="9"/>
      <c r="K3786" s="9"/>
      <c r="L3786" s="9"/>
      <c r="M3786" s="9"/>
      <c r="N3786" s="9"/>
      <c r="O3786" s="9"/>
      <c r="P3786" s="9"/>
      <c r="Q3786" s="9"/>
      <c r="R3786" s="9"/>
      <c r="S3786" s="9"/>
      <c r="T3786" s="9"/>
      <c r="U3786" s="9"/>
      <c r="V3786" s="9"/>
      <c r="W3786" s="9"/>
      <c r="X3786" s="9"/>
      <c r="Y3786" s="9"/>
      <c r="Z3786" s="9"/>
      <c r="AA3786" s="9"/>
      <c r="AB3786" s="9"/>
      <c r="AC3786" s="9"/>
      <c r="AD3786" s="9"/>
      <c r="AE3786" s="9"/>
      <c r="AF3786" s="9"/>
      <c r="AG3786" s="9"/>
      <c r="AH3786" s="9"/>
      <c r="AI3786" s="9"/>
      <c r="AJ3786" s="9"/>
      <c r="AK3786" s="9"/>
      <c r="AL3786" s="9"/>
      <c r="AM3786" s="9"/>
      <c r="AN3786" s="9"/>
      <c r="AO3786" s="9"/>
      <c r="AP3786" s="9"/>
      <c r="AQ3786" s="9"/>
      <c r="AR3786" s="9"/>
      <c r="AS3786" s="9"/>
      <c r="AT3786" s="9"/>
      <c r="AU3786" s="9"/>
    </row>
    <row r="3787" spans="1:47" ht="15.75" customHeight="1">
      <c r="A3787" s="9"/>
      <c r="B3787" s="9"/>
      <c r="C3787" s="9"/>
      <c r="D3787" s="9"/>
      <c r="E3787" s="9"/>
      <c r="F3787" s="67"/>
      <c r="G3787" s="9"/>
      <c r="H3787" s="9"/>
      <c r="I3787" s="9"/>
      <c r="J3787" s="9"/>
      <c r="K3787" s="9"/>
      <c r="L3787" s="9"/>
      <c r="M3787" s="9"/>
      <c r="N3787" s="9"/>
      <c r="O3787" s="9"/>
      <c r="P3787" s="9"/>
      <c r="Q3787" s="9"/>
      <c r="R3787" s="9"/>
      <c r="S3787" s="9"/>
      <c r="T3787" s="9"/>
      <c r="U3787" s="9"/>
      <c r="V3787" s="9"/>
      <c r="W3787" s="9"/>
      <c r="X3787" s="9"/>
      <c r="Y3787" s="9"/>
      <c r="Z3787" s="9"/>
      <c r="AA3787" s="9"/>
      <c r="AB3787" s="9"/>
      <c r="AC3787" s="9"/>
      <c r="AD3787" s="9"/>
      <c r="AE3787" s="9"/>
      <c r="AF3787" s="9"/>
      <c r="AG3787" s="9"/>
      <c r="AH3787" s="9"/>
      <c r="AI3787" s="9"/>
      <c r="AJ3787" s="9"/>
      <c r="AK3787" s="9"/>
      <c r="AL3787" s="9"/>
      <c r="AM3787" s="9"/>
      <c r="AN3787" s="9"/>
      <c r="AO3787" s="9"/>
      <c r="AP3787" s="9"/>
      <c r="AQ3787" s="9"/>
      <c r="AR3787" s="9"/>
      <c r="AS3787" s="9"/>
      <c r="AT3787" s="9"/>
      <c r="AU3787" s="9"/>
    </row>
    <row r="3788" spans="1:47" ht="15.75" customHeight="1">
      <c r="A3788" s="9"/>
      <c r="B3788" s="9"/>
      <c r="C3788" s="9"/>
      <c r="D3788" s="9"/>
      <c r="E3788" s="9"/>
      <c r="F3788" s="67"/>
      <c r="G3788" s="9"/>
      <c r="H3788" s="9"/>
      <c r="I3788" s="9"/>
      <c r="J3788" s="9"/>
      <c r="K3788" s="9"/>
      <c r="L3788" s="9"/>
      <c r="M3788" s="9"/>
      <c r="N3788" s="9"/>
      <c r="O3788" s="9"/>
      <c r="P3788" s="9"/>
      <c r="Q3788" s="9"/>
      <c r="R3788" s="9"/>
      <c r="S3788" s="9"/>
      <c r="T3788" s="9"/>
      <c r="U3788" s="9"/>
      <c r="V3788" s="9"/>
      <c r="W3788" s="9"/>
      <c r="X3788" s="9"/>
      <c r="Y3788" s="9"/>
      <c r="Z3788" s="9"/>
      <c r="AA3788" s="9"/>
      <c r="AB3788" s="9"/>
      <c r="AC3788" s="9"/>
      <c r="AD3788" s="9"/>
      <c r="AE3788" s="9"/>
      <c r="AF3788" s="9"/>
      <c r="AG3788" s="9"/>
      <c r="AH3788" s="9"/>
      <c r="AI3788" s="9"/>
      <c r="AJ3788" s="9"/>
      <c r="AK3788" s="9"/>
      <c r="AL3788" s="9"/>
      <c r="AM3788" s="9"/>
      <c r="AN3788" s="9"/>
      <c r="AO3788" s="9"/>
      <c r="AP3788" s="9"/>
      <c r="AQ3788" s="9"/>
      <c r="AR3788" s="9"/>
      <c r="AS3788" s="9"/>
      <c r="AT3788" s="9"/>
      <c r="AU3788" s="9"/>
    </row>
    <row r="3789" spans="1:47" ht="15.75" customHeight="1">
      <c r="A3789" s="9"/>
      <c r="B3789" s="9"/>
      <c r="C3789" s="9"/>
      <c r="D3789" s="9"/>
      <c r="E3789" s="9"/>
      <c r="F3789" s="67"/>
      <c r="G3789" s="9"/>
      <c r="H3789" s="9"/>
      <c r="I3789" s="9"/>
      <c r="J3789" s="9"/>
      <c r="K3789" s="9"/>
      <c r="L3789" s="9"/>
      <c r="M3789" s="9"/>
      <c r="N3789" s="9"/>
      <c r="O3789" s="9"/>
      <c r="P3789" s="9"/>
      <c r="Q3789" s="9"/>
      <c r="R3789" s="9"/>
      <c r="S3789" s="9"/>
      <c r="T3789" s="9"/>
      <c r="U3789" s="9"/>
      <c r="V3789" s="9"/>
      <c r="W3789" s="9"/>
      <c r="X3789" s="9"/>
      <c r="Y3789" s="9"/>
      <c r="Z3789" s="9"/>
      <c r="AA3789" s="9"/>
      <c r="AB3789" s="9"/>
      <c r="AC3789" s="9"/>
      <c r="AD3789" s="9"/>
      <c r="AE3789" s="9"/>
      <c r="AF3789" s="9"/>
      <c r="AG3789" s="9"/>
      <c r="AH3789" s="9"/>
      <c r="AI3789" s="9"/>
      <c r="AJ3789" s="9"/>
      <c r="AK3789" s="9"/>
      <c r="AL3789" s="9"/>
      <c r="AM3789" s="9"/>
      <c r="AN3789" s="9"/>
      <c r="AO3789" s="9"/>
      <c r="AP3789" s="9"/>
      <c r="AQ3789" s="9"/>
      <c r="AR3789" s="9"/>
      <c r="AS3789" s="9"/>
      <c r="AT3789" s="9"/>
      <c r="AU3789" s="9"/>
    </row>
    <row r="3790" spans="1:47" ht="15.75" customHeight="1">
      <c r="A3790" s="9"/>
      <c r="B3790" s="9"/>
      <c r="C3790" s="9"/>
      <c r="D3790" s="9"/>
      <c r="E3790" s="9"/>
      <c r="F3790" s="67"/>
      <c r="G3790" s="9"/>
      <c r="H3790" s="9"/>
      <c r="I3790" s="9"/>
      <c r="J3790" s="9"/>
      <c r="K3790" s="9"/>
      <c r="L3790" s="9"/>
      <c r="M3790" s="9"/>
      <c r="N3790" s="9"/>
      <c r="O3790" s="9"/>
      <c r="P3790" s="9"/>
      <c r="Q3790" s="9"/>
      <c r="R3790" s="9"/>
      <c r="S3790" s="9"/>
      <c r="T3790" s="9"/>
      <c r="U3790" s="9"/>
      <c r="V3790" s="9"/>
      <c r="W3790" s="9"/>
      <c r="X3790" s="9"/>
      <c r="Y3790" s="9"/>
      <c r="Z3790" s="9"/>
      <c r="AA3790" s="9"/>
      <c r="AB3790" s="9"/>
      <c r="AC3790" s="9"/>
      <c r="AD3790" s="9"/>
      <c r="AE3790" s="9"/>
      <c r="AF3790" s="9"/>
      <c r="AG3790" s="9"/>
      <c r="AH3790" s="9"/>
      <c r="AI3790" s="9"/>
      <c r="AJ3790" s="9"/>
      <c r="AK3790" s="9"/>
      <c r="AL3790" s="9"/>
      <c r="AM3790" s="9"/>
      <c r="AN3790" s="9"/>
      <c r="AO3790" s="9"/>
      <c r="AP3790" s="9"/>
      <c r="AQ3790" s="9"/>
      <c r="AR3790" s="9"/>
      <c r="AS3790" s="9"/>
      <c r="AT3790" s="9"/>
      <c r="AU3790" s="9"/>
    </row>
    <row r="3791" spans="1:47" ht="15.75" customHeight="1">
      <c r="A3791" s="9"/>
      <c r="B3791" s="9"/>
      <c r="C3791" s="9"/>
      <c r="D3791" s="9"/>
      <c r="E3791" s="9"/>
      <c r="F3791" s="67"/>
      <c r="G3791" s="9"/>
      <c r="H3791" s="9"/>
      <c r="I3791" s="9"/>
      <c r="J3791" s="9"/>
      <c r="K3791" s="9"/>
      <c r="L3791" s="9"/>
      <c r="M3791" s="9"/>
      <c r="N3791" s="9"/>
      <c r="O3791" s="9"/>
      <c r="P3791" s="9"/>
      <c r="Q3791" s="9"/>
      <c r="R3791" s="9"/>
      <c r="S3791" s="9"/>
      <c r="T3791" s="9"/>
      <c r="U3791" s="9"/>
      <c r="V3791" s="9"/>
      <c r="W3791" s="9"/>
      <c r="X3791" s="9"/>
      <c r="Y3791" s="9"/>
      <c r="Z3791" s="9"/>
      <c r="AA3791" s="9"/>
      <c r="AB3791" s="9"/>
      <c r="AC3791" s="9"/>
      <c r="AD3791" s="9"/>
      <c r="AE3791" s="9"/>
      <c r="AF3791" s="9"/>
      <c r="AG3791" s="9"/>
      <c r="AH3791" s="9"/>
      <c r="AI3791" s="9"/>
      <c r="AJ3791" s="9"/>
      <c r="AK3791" s="9"/>
      <c r="AL3791" s="9"/>
      <c r="AM3791" s="9"/>
      <c r="AN3791" s="9"/>
      <c r="AO3791" s="9"/>
      <c r="AP3791" s="9"/>
      <c r="AQ3791" s="9"/>
      <c r="AR3791" s="9"/>
      <c r="AS3791" s="9"/>
      <c r="AT3791" s="9"/>
      <c r="AU3791" s="9"/>
    </row>
    <row r="3792" spans="1:47" ht="15.75" customHeight="1">
      <c r="A3792" s="9"/>
      <c r="B3792" s="9"/>
      <c r="C3792" s="9"/>
      <c r="D3792" s="9"/>
      <c r="E3792" s="9"/>
      <c r="F3792" s="67"/>
      <c r="G3792" s="9"/>
      <c r="H3792" s="9"/>
      <c r="I3792" s="9"/>
      <c r="J3792" s="9"/>
      <c r="K3792" s="9"/>
      <c r="L3792" s="9"/>
      <c r="M3792" s="9"/>
      <c r="N3792" s="9"/>
      <c r="O3792" s="9"/>
      <c r="P3792" s="9"/>
      <c r="Q3792" s="9"/>
      <c r="R3792" s="9"/>
      <c r="S3792" s="9"/>
      <c r="T3792" s="9"/>
      <c r="U3792" s="9"/>
      <c r="V3792" s="9"/>
      <c r="W3792" s="9"/>
      <c r="X3792" s="9"/>
      <c r="Y3792" s="9"/>
      <c r="Z3792" s="9"/>
      <c r="AA3792" s="9"/>
      <c r="AB3792" s="9"/>
      <c r="AC3792" s="9"/>
      <c r="AD3792" s="9"/>
      <c r="AE3792" s="9"/>
      <c r="AF3792" s="9"/>
      <c r="AG3792" s="9"/>
      <c r="AH3792" s="9"/>
      <c r="AI3792" s="9"/>
      <c r="AJ3792" s="9"/>
      <c r="AK3792" s="9"/>
      <c r="AL3792" s="9"/>
      <c r="AM3792" s="9"/>
      <c r="AN3792" s="9"/>
      <c r="AO3792" s="9"/>
      <c r="AP3792" s="9"/>
      <c r="AQ3792" s="9"/>
      <c r="AR3792" s="9"/>
      <c r="AS3792" s="9"/>
      <c r="AT3792" s="9"/>
      <c r="AU3792" s="9"/>
    </row>
    <row r="3793" spans="1:47" ht="15.75" customHeight="1">
      <c r="A3793" s="9"/>
      <c r="B3793" s="9"/>
      <c r="C3793" s="9"/>
      <c r="D3793" s="9"/>
      <c r="E3793" s="9"/>
      <c r="F3793" s="67"/>
      <c r="G3793" s="9"/>
      <c r="H3793" s="9"/>
      <c r="I3793" s="9"/>
      <c r="J3793" s="9"/>
      <c r="K3793" s="9"/>
      <c r="L3793" s="9"/>
      <c r="M3793" s="9"/>
      <c r="N3793" s="9"/>
      <c r="O3793" s="9"/>
      <c r="P3793" s="9"/>
      <c r="Q3793" s="9"/>
      <c r="R3793" s="9"/>
      <c r="S3793" s="9"/>
      <c r="T3793" s="9"/>
      <c r="U3793" s="9"/>
      <c r="V3793" s="9"/>
      <c r="W3793" s="9"/>
      <c r="X3793" s="9"/>
      <c r="Y3793" s="9"/>
      <c r="Z3793" s="9"/>
      <c r="AA3793" s="9"/>
      <c r="AB3793" s="9"/>
      <c r="AC3793" s="9"/>
      <c r="AD3793" s="9"/>
      <c r="AE3793" s="9"/>
      <c r="AF3793" s="9"/>
      <c r="AG3793" s="9"/>
      <c r="AH3793" s="9"/>
      <c r="AI3793" s="9"/>
      <c r="AJ3793" s="9"/>
      <c r="AK3793" s="9"/>
      <c r="AL3793" s="9"/>
      <c r="AM3793" s="9"/>
      <c r="AN3793" s="9"/>
      <c r="AO3793" s="9"/>
      <c r="AP3793" s="9"/>
      <c r="AQ3793" s="9"/>
      <c r="AR3793" s="9"/>
      <c r="AS3793" s="9"/>
      <c r="AT3793" s="9"/>
      <c r="AU3793" s="9"/>
    </row>
    <row r="3794" spans="1:47" ht="15.75" customHeight="1">
      <c r="A3794" s="9"/>
      <c r="B3794" s="9"/>
      <c r="C3794" s="9"/>
      <c r="D3794" s="9"/>
      <c r="E3794" s="9"/>
      <c r="F3794" s="67"/>
      <c r="G3794" s="9"/>
      <c r="H3794" s="9"/>
      <c r="I3794" s="9"/>
      <c r="J3794" s="9"/>
      <c r="K3794" s="9"/>
      <c r="L3794" s="9"/>
      <c r="M3794" s="9"/>
      <c r="N3794" s="9"/>
      <c r="O3794" s="9"/>
      <c r="P3794" s="9"/>
      <c r="Q3794" s="9"/>
      <c r="R3794" s="9"/>
      <c r="S3794" s="9"/>
      <c r="T3794" s="9"/>
      <c r="U3794" s="9"/>
      <c r="V3794" s="9"/>
      <c r="W3794" s="9"/>
      <c r="X3794" s="9"/>
      <c r="Y3794" s="9"/>
      <c r="Z3794" s="9"/>
      <c r="AA3794" s="9"/>
      <c r="AB3794" s="9"/>
      <c r="AC3794" s="9"/>
      <c r="AD3794" s="9"/>
      <c r="AE3794" s="9"/>
      <c r="AF3794" s="9"/>
      <c r="AG3794" s="9"/>
      <c r="AH3794" s="9"/>
      <c r="AI3794" s="9"/>
      <c r="AJ3794" s="9"/>
      <c r="AK3794" s="9"/>
      <c r="AL3794" s="9"/>
      <c r="AM3794" s="9"/>
      <c r="AN3794" s="9"/>
      <c r="AO3794" s="9"/>
      <c r="AP3794" s="9"/>
      <c r="AQ3794" s="9"/>
      <c r="AR3794" s="9"/>
      <c r="AS3794" s="9"/>
      <c r="AT3794" s="9"/>
      <c r="AU3794" s="9"/>
    </row>
    <row r="3795" spans="1:47" ht="15.75" customHeight="1">
      <c r="A3795" s="9"/>
      <c r="B3795" s="9"/>
      <c r="C3795" s="9"/>
      <c r="D3795" s="9"/>
      <c r="E3795" s="9"/>
      <c r="F3795" s="67"/>
      <c r="G3795" s="9"/>
      <c r="H3795" s="9"/>
      <c r="I3795" s="9"/>
      <c r="J3795" s="9"/>
      <c r="K3795" s="9"/>
      <c r="L3795" s="9"/>
      <c r="M3795" s="9"/>
      <c r="N3795" s="9"/>
      <c r="O3795" s="9"/>
      <c r="P3795" s="9"/>
      <c r="Q3795" s="9"/>
      <c r="R3795" s="9"/>
      <c r="S3795" s="9"/>
      <c r="T3795" s="9"/>
      <c r="U3795" s="9"/>
      <c r="V3795" s="9"/>
      <c r="W3795" s="9"/>
      <c r="X3795" s="9"/>
      <c r="Y3795" s="9"/>
      <c r="Z3795" s="9"/>
      <c r="AA3795" s="9"/>
      <c r="AB3795" s="9"/>
      <c r="AC3795" s="9"/>
      <c r="AD3795" s="9"/>
      <c r="AE3795" s="9"/>
      <c r="AF3795" s="9"/>
      <c r="AG3795" s="9"/>
      <c r="AH3795" s="9"/>
      <c r="AI3795" s="9"/>
      <c r="AJ3795" s="9"/>
      <c r="AK3795" s="9"/>
      <c r="AL3795" s="9"/>
      <c r="AM3795" s="9"/>
      <c r="AN3795" s="9"/>
      <c r="AO3795" s="9"/>
      <c r="AP3795" s="9"/>
      <c r="AQ3795" s="9"/>
      <c r="AR3795" s="9"/>
      <c r="AS3795" s="9"/>
      <c r="AT3795" s="9"/>
      <c r="AU3795" s="9"/>
    </row>
    <row r="3796" spans="1:47" ht="15.75" customHeight="1">
      <c r="A3796" s="9"/>
      <c r="B3796" s="9"/>
      <c r="C3796" s="9"/>
      <c r="D3796" s="9"/>
      <c r="E3796" s="9"/>
      <c r="F3796" s="67"/>
      <c r="G3796" s="9"/>
      <c r="H3796" s="9"/>
      <c r="I3796" s="9"/>
      <c r="J3796" s="9"/>
      <c r="K3796" s="9"/>
      <c r="L3796" s="9"/>
      <c r="M3796" s="9"/>
      <c r="N3796" s="9"/>
      <c r="O3796" s="9"/>
      <c r="P3796" s="9"/>
      <c r="Q3796" s="9"/>
      <c r="R3796" s="9"/>
      <c r="S3796" s="9"/>
      <c r="T3796" s="9"/>
      <c r="U3796" s="9"/>
      <c r="V3796" s="9"/>
      <c r="W3796" s="9"/>
      <c r="X3796" s="9"/>
      <c r="Y3796" s="9"/>
      <c r="Z3796" s="9"/>
      <c r="AA3796" s="9"/>
      <c r="AB3796" s="9"/>
      <c r="AC3796" s="9"/>
      <c r="AD3796" s="9"/>
      <c r="AE3796" s="9"/>
      <c r="AF3796" s="9"/>
      <c r="AG3796" s="9"/>
      <c r="AH3796" s="9"/>
      <c r="AI3796" s="9"/>
      <c r="AJ3796" s="9"/>
      <c r="AK3796" s="9"/>
      <c r="AL3796" s="9"/>
      <c r="AM3796" s="9"/>
      <c r="AN3796" s="9"/>
      <c r="AO3796" s="9"/>
      <c r="AP3796" s="9"/>
      <c r="AQ3796" s="9"/>
      <c r="AR3796" s="9"/>
      <c r="AS3796" s="9"/>
      <c r="AT3796" s="9"/>
      <c r="AU3796" s="9"/>
    </row>
    <row r="3797" spans="1:47" ht="15.75" customHeight="1">
      <c r="A3797" s="9"/>
      <c r="B3797" s="9"/>
      <c r="C3797" s="9"/>
      <c r="D3797" s="9"/>
      <c r="E3797" s="9"/>
      <c r="F3797" s="67"/>
      <c r="G3797" s="9"/>
      <c r="H3797" s="9"/>
      <c r="I3797" s="9"/>
      <c r="J3797" s="9"/>
      <c r="K3797" s="9"/>
      <c r="L3797" s="9"/>
      <c r="M3797" s="9"/>
      <c r="N3797" s="9"/>
      <c r="O3797" s="9"/>
      <c r="P3797" s="9"/>
      <c r="Q3797" s="9"/>
      <c r="R3797" s="9"/>
      <c r="S3797" s="9"/>
      <c r="T3797" s="9"/>
      <c r="U3797" s="9"/>
      <c r="V3797" s="9"/>
      <c r="W3797" s="9"/>
      <c r="X3797" s="9"/>
      <c r="Y3797" s="9"/>
      <c r="Z3797" s="9"/>
      <c r="AA3797" s="9"/>
      <c r="AB3797" s="9"/>
      <c r="AC3797" s="9"/>
      <c r="AD3797" s="9"/>
      <c r="AE3797" s="9"/>
      <c r="AF3797" s="9"/>
      <c r="AG3797" s="9"/>
      <c r="AH3797" s="9"/>
      <c r="AI3797" s="9"/>
      <c r="AJ3797" s="9"/>
      <c r="AK3797" s="9"/>
      <c r="AL3797" s="9"/>
      <c r="AM3797" s="9"/>
      <c r="AN3797" s="9"/>
      <c r="AO3797" s="9"/>
      <c r="AP3797" s="9"/>
      <c r="AQ3797" s="9"/>
      <c r="AR3797" s="9"/>
      <c r="AS3797" s="9"/>
      <c r="AT3797" s="9"/>
      <c r="AU3797" s="9"/>
    </row>
    <row r="3798" spans="1:47" ht="15.75" customHeight="1">
      <c r="A3798" s="9"/>
      <c r="B3798" s="9"/>
      <c r="C3798" s="9"/>
      <c r="D3798" s="9"/>
      <c r="E3798" s="9"/>
      <c r="F3798" s="67"/>
      <c r="G3798" s="9"/>
      <c r="H3798" s="9"/>
      <c r="I3798" s="9"/>
      <c r="J3798" s="9"/>
      <c r="K3798" s="9"/>
      <c r="L3798" s="9"/>
      <c r="M3798" s="9"/>
      <c r="N3798" s="9"/>
      <c r="O3798" s="9"/>
      <c r="P3798" s="9"/>
      <c r="Q3798" s="9"/>
      <c r="R3798" s="9"/>
      <c r="S3798" s="9"/>
      <c r="T3798" s="9"/>
      <c r="U3798" s="9"/>
      <c r="V3798" s="9"/>
      <c r="W3798" s="9"/>
      <c r="X3798" s="9"/>
      <c r="Y3798" s="9"/>
      <c r="Z3798" s="9"/>
      <c r="AA3798" s="9"/>
      <c r="AB3798" s="9"/>
      <c r="AC3798" s="9"/>
      <c r="AD3798" s="9"/>
      <c r="AE3798" s="9"/>
      <c r="AF3798" s="9"/>
      <c r="AG3798" s="9"/>
      <c r="AH3798" s="9"/>
      <c r="AI3798" s="9"/>
      <c r="AJ3798" s="9"/>
      <c r="AK3798" s="9"/>
      <c r="AL3798" s="9"/>
      <c r="AM3798" s="9"/>
      <c r="AN3798" s="9"/>
      <c r="AO3798" s="9"/>
      <c r="AP3798" s="9"/>
      <c r="AQ3798" s="9"/>
      <c r="AR3798" s="9"/>
      <c r="AS3798" s="9"/>
      <c r="AT3798" s="9"/>
      <c r="AU3798" s="9"/>
    </row>
    <row r="3799" spans="1:47" ht="15.75" customHeight="1">
      <c r="A3799" s="9"/>
      <c r="B3799" s="9"/>
      <c r="C3799" s="9"/>
      <c r="D3799" s="9"/>
      <c r="E3799" s="9"/>
      <c r="F3799" s="67"/>
      <c r="G3799" s="9"/>
      <c r="H3799" s="9"/>
      <c r="I3799" s="9"/>
      <c r="J3799" s="9"/>
      <c r="K3799" s="9"/>
      <c r="L3799" s="9"/>
      <c r="M3799" s="9"/>
      <c r="N3799" s="9"/>
      <c r="O3799" s="9"/>
      <c r="P3799" s="9"/>
      <c r="Q3799" s="9"/>
      <c r="R3799" s="9"/>
      <c r="S3799" s="9"/>
      <c r="T3799" s="9"/>
      <c r="U3799" s="9"/>
      <c r="V3799" s="9"/>
      <c r="W3799" s="9"/>
      <c r="X3799" s="9"/>
      <c r="Y3799" s="9"/>
      <c r="Z3799" s="9"/>
      <c r="AA3799" s="9"/>
      <c r="AB3799" s="9"/>
      <c r="AC3799" s="9"/>
      <c r="AD3799" s="9"/>
      <c r="AE3799" s="9"/>
      <c r="AF3799" s="9"/>
      <c r="AG3799" s="9"/>
      <c r="AH3799" s="9"/>
      <c r="AI3799" s="9"/>
      <c r="AJ3799" s="9"/>
      <c r="AK3799" s="9"/>
      <c r="AL3799" s="9"/>
      <c r="AM3799" s="9"/>
      <c r="AN3799" s="9"/>
      <c r="AO3799" s="9"/>
      <c r="AP3799" s="9"/>
      <c r="AQ3799" s="9"/>
      <c r="AR3799" s="9"/>
      <c r="AS3799" s="9"/>
      <c r="AT3799" s="9"/>
      <c r="AU3799" s="9"/>
    </row>
    <row r="3800" spans="1:47" ht="15.75" customHeight="1">
      <c r="A3800" s="9"/>
      <c r="B3800" s="9"/>
      <c r="C3800" s="9"/>
      <c r="D3800" s="9"/>
      <c r="E3800" s="9"/>
      <c r="F3800" s="67"/>
      <c r="G3800" s="9"/>
      <c r="H3800" s="9"/>
      <c r="I3800" s="9"/>
      <c r="J3800" s="9"/>
      <c r="K3800" s="9"/>
      <c r="L3800" s="9"/>
      <c r="M3800" s="9"/>
      <c r="N3800" s="9"/>
      <c r="O3800" s="9"/>
      <c r="P3800" s="9"/>
      <c r="Q3800" s="9"/>
      <c r="R3800" s="9"/>
      <c r="S3800" s="9"/>
      <c r="T3800" s="9"/>
      <c r="U3800" s="9"/>
      <c r="V3800" s="9"/>
      <c r="W3800" s="9"/>
      <c r="X3800" s="9"/>
      <c r="Y3800" s="9"/>
      <c r="Z3800" s="9"/>
      <c r="AA3800" s="9"/>
      <c r="AB3800" s="9"/>
      <c r="AC3800" s="9"/>
      <c r="AD3800" s="9"/>
      <c r="AE3800" s="9"/>
      <c r="AF3800" s="9"/>
      <c r="AG3800" s="9"/>
      <c r="AH3800" s="9"/>
      <c r="AI3800" s="9"/>
      <c r="AJ3800" s="9"/>
      <c r="AK3800" s="9"/>
      <c r="AL3800" s="9"/>
      <c r="AM3800" s="9"/>
      <c r="AN3800" s="9"/>
      <c r="AO3800" s="9"/>
      <c r="AP3800" s="9"/>
      <c r="AQ3800" s="9"/>
      <c r="AR3800" s="9"/>
      <c r="AS3800" s="9"/>
      <c r="AT3800" s="9"/>
      <c r="AU3800" s="9"/>
    </row>
    <row r="3801" spans="1:47" ht="15.75" customHeight="1">
      <c r="A3801" s="9"/>
      <c r="B3801" s="9"/>
      <c r="C3801" s="9"/>
      <c r="D3801" s="9"/>
      <c r="E3801" s="9"/>
      <c r="F3801" s="67"/>
      <c r="G3801" s="9"/>
      <c r="H3801" s="9"/>
      <c r="I3801" s="9"/>
      <c r="J3801" s="9"/>
      <c r="K3801" s="9"/>
      <c r="L3801" s="9"/>
      <c r="M3801" s="9"/>
      <c r="N3801" s="9"/>
      <c r="O3801" s="9"/>
      <c r="P3801" s="9"/>
      <c r="Q3801" s="9"/>
      <c r="R3801" s="9"/>
      <c r="S3801" s="9"/>
      <c r="T3801" s="9"/>
      <c r="U3801" s="9"/>
      <c r="V3801" s="9"/>
      <c r="W3801" s="9"/>
      <c r="X3801" s="9"/>
      <c r="Y3801" s="9"/>
      <c r="Z3801" s="9"/>
      <c r="AA3801" s="9"/>
      <c r="AB3801" s="9"/>
      <c r="AC3801" s="9"/>
      <c r="AD3801" s="9"/>
      <c r="AE3801" s="9"/>
      <c r="AF3801" s="9"/>
      <c r="AG3801" s="9"/>
      <c r="AH3801" s="9"/>
      <c r="AI3801" s="9"/>
      <c r="AJ3801" s="9"/>
      <c r="AK3801" s="9"/>
      <c r="AL3801" s="9"/>
      <c r="AM3801" s="9"/>
      <c r="AN3801" s="9"/>
      <c r="AO3801" s="9"/>
      <c r="AP3801" s="9"/>
      <c r="AQ3801" s="9"/>
      <c r="AR3801" s="9"/>
      <c r="AS3801" s="9"/>
      <c r="AT3801" s="9"/>
      <c r="AU3801" s="9"/>
    </row>
    <row r="3802" spans="1:47" ht="15.75" customHeight="1">
      <c r="A3802" s="9"/>
      <c r="B3802" s="9"/>
      <c r="C3802" s="9"/>
      <c r="D3802" s="9"/>
      <c r="E3802" s="9"/>
      <c r="F3802" s="67"/>
      <c r="G3802" s="9"/>
      <c r="H3802" s="9"/>
      <c r="I3802" s="9"/>
      <c r="J3802" s="9"/>
      <c r="K3802" s="9"/>
      <c r="L3802" s="9"/>
      <c r="M3802" s="9"/>
      <c r="N3802" s="9"/>
      <c r="O3802" s="9"/>
      <c r="P3802" s="9"/>
      <c r="Q3802" s="9"/>
      <c r="R3802" s="9"/>
      <c r="S3802" s="9"/>
      <c r="T3802" s="9"/>
      <c r="U3802" s="9"/>
      <c r="V3802" s="9"/>
      <c r="W3802" s="9"/>
      <c r="X3802" s="9"/>
      <c r="Y3802" s="9"/>
      <c r="Z3802" s="9"/>
      <c r="AA3802" s="9"/>
      <c r="AB3802" s="9"/>
      <c r="AC3802" s="9"/>
      <c r="AD3802" s="9"/>
      <c r="AE3802" s="9"/>
      <c r="AF3802" s="9"/>
      <c r="AG3802" s="9"/>
      <c r="AH3802" s="9"/>
      <c r="AI3802" s="9"/>
      <c r="AJ3802" s="9"/>
      <c r="AK3802" s="9"/>
      <c r="AL3802" s="9"/>
      <c r="AM3802" s="9"/>
      <c r="AN3802" s="9"/>
      <c r="AO3802" s="9"/>
      <c r="AP3802" s="9"/>
      <c r="AQ3802" s="9"/>
      <c r="AR3802" s="9"/>
      <c r="AS3802" s="9"/>
      <c r="AT3802" s="9"/>
      <c r="AU3802" s="9"/>
    </row>
    <row r="3803" spans="1:47" ht="15.75" customHeight="1">
      <c r="A3803" s="9"/>
      <c r="B3803" s="9"/>
      <c r="C3803" s="9"/>
      <c r="D3803" s="9"/>
      <c r="E3803" s="9"/>
      <c r="F3803" s="67"/>
      <c r="G3803" s="9"/>
      <c r="H3803" s="9"/>
      <c r="I3803" s="9"/>
      <c r="J3803" s="9"/>
      <c r="K3803" s="9"/>
      <c r="L3803" s="9"/>
      <c r="M3803" s="9"/>
      <c r="N3803" s="9"/>
      <c r="O3803" s="9"/>
      <c r="P3803" s="9"/>
      <c r="Q3803" s="9"/>
      <c r="R3803" s="9"/>
      <c r="S3803" s="9"/>
      <c r="T3803" s="9"/>
      <c r="U3803" s="9"/>
      <c r="V3803" s="9"/>
      <c r="W3803" s="9"/>
      <c r="X3803" s="9"/>
      <c r="Y3803" s="9"/>
      <c r="Z3803" s="9"/>
      <c r="AA3803" s="9"/>
      <c r="AB3803" s="9"/>
      <c r="AC3803" s="9"/>
      <c r="AD3803" s="9"/>
      <c r="AE3803" s="9"/>
      <c r="AF3803" s="9"/>
      <c r="AG3803" s="9"/>
      <c r="AH3803" s="9"/>
      <c r="AI3803" s="9"/>
      <c r="AJ3803" s="9"/>
      <c r="AK3803" s="9"/>
      <c r="AL3803" s="9"/>
      <c r="AM3803" s="9"/>
      <c r="AN3803" s="9"/>
      <c r="AO3803" s="9"/>
      <c r="AP3803" s="9"/>
      <c r="AQ3803" s="9"/>
      <c r="AR3803" s="9"/>
      <c r="AS3803" s="9"/>
      <c r="AT3803" s="9"/>
      <c r="AU3803" s="9"/>
    </row>
    <row r="3804" spans="1:47" ht="15.75" customHeight="1">
      <c r="A3804" s="9"/>
      <c r="B3804" s="9"/>
      <c r="C3804" s="9"/>
      <c r="D3804" s="9"/>
      <c r="E3804" s="9"/>
      <c r="F3804" s="67"/>
      <c r="G3804" s="9"/>
      <c r="H3804" s="9"/>
      <c r="I3804" s="9"/>
      <c r="J3804" s="9"/>
      <c r="K3804" s="9"/>
      <c r="L3804" s="9"/>
      <c r="M3804" s="9"/>
      <c r="N3804" s="9"/>
      <c r="O3804" s="9"/>
      <c r="P3804" s="9"/>
      <c r="Q3804" s="9"/>
      <c r="R3804" s="9"/>
      <c r="S3804" s="9"/>
      <c r="T3804" s="9"/>
      <c r="U3804" s="9"/>
      <c r="V3804" s="9"/>
      <c r="W3804" s="9"/>
      <c r="X3804" s="9"/>
      <c r="Y3804" s="9"/>
      <c r="Z3804" s="9"/>
      <c r="AA3804" s="9"/>
      <c r="AB3804" s="9"/>
      <c r="AC3804" s="9"/>
      <c r="AD3804" s="9"/>
      <c r="AE3804" s="9"/>
      <c r="AF3804" s="9"/>
      <c r="AG3804" s="9"/>
      <c r="AH3804" s="9"/>
      <c r="AI3804" s="9"/>
      <c r="AJ3804" s="9"/>
      <c r="AK3804" s="9"/>
      <c r="AL3804" s="9"/>
      <c r="AM3804" s="9"/>
      <c r="AN3804" s="9"/>
      <c r="AO3804" s="9"/>
      <c r="AP3804" s="9"/>
      <c r="AQ3804" s="9"/>
      <c r="AR3804" s="9"/>
      <c r="AS3804" s="9"/>
      <c r="AT3804" s="9"/>
      <c r="AU3804" s="9"/>
    </row>
    <row r="3805" spans="1:47" ht="15.75" customHeight="1">
      <c r="A3805" s="9"/>
      <c r="B3805" s="9"/>
      <c r="C3805" s="9"/>
      <c r="D3805" s="9"/>
      <c r="E3805" s="9"/>
      <c r="F3805" s="67"/>
      <c r="G3805" s="9"/>
      <c r="H3805" s="9"/>
      <c r="I3805" s="9"/>
      <c r="J3805" s="9"/>
      <c r="K3805" s="9"/>
      <c r="L3805" s="9"/>
      <c r="M3805" s="9"/>
      <c r="N3805" s="9"/>
      <c r="O3805" s="9"/>
      <c r="P3805" s="9"/>
      <c r="Q3805" s="9"/>
      <c r="R3805" s="9"/>
      <c r="S3805" s="9"/>
      <c r="T3805" s="9"/>
      <c r="U3805" s="9"/>
      <c r="V3805" s="9"/>
      <c r="W3805" s="9"/>
      <c r="X3805" s="9"/>
      <c r="Y3805" s="9"/>
      <c r="Z3805" s="9"/>
      <c r="AA3805" s="9"/>
      <c r="AB3805" s="9"/>
      <c r="AC3805" s="9"/>
      <c r="AD3805" s="9"/>
      <c r="AE3805" s="9"/>
      <c r="AF3805" s="9"/>
      <c r="AG3805" s="9"/>
      <c r="AH3805" s="9"/>
      <c r="AI3805" s="9"/>
      <c r="AJ3805" s="9"/>
      <c r="AK3805" s="9"/>
      <c r="AL3805" s="9"/>
      <c r="AM3805" s="9"/>
      <c r="AN3805" s="9"/>
      <c r="AO3805" s="9"/>
      <c r="AP3805" s="9"/>
      <c r="AQ3805" s="9"/>
      <c r="AR3805" s="9"/>
      <c r="AS3805" s="9"/>
      <c r="AT3805" s="9"/>
      <c r="AU3805" s="9"/>
    </row>
    <row r="3806" spans="1:47" ht="15.75" customHeight="1">
      <c r="A3806" s="9"/>
      <c r="B3806" s="9"/>
      <c r="C3806" s="9"/>
      <c r="D3806" s="9"/>
      <c r="E3806" s="9"/>
      <c r="F3806" s="67"/>
      <c r="G3806" s="9"/>
      <c r="H3806" s="9"/>
      <c r="I3806" s="9"/>
      <c r="J3806" s="9"/>
      <c r="K3806" s="9"/>
      <c r="L3806" s="9"/>
      <c r="M3806" s="9"/>
      <c r="N3806" s="9"/>
      <c r="O3806" s="9"/>
      <c r="P3806" s="9"/>
      <c r="Q3806" s="9"/>
      <c r="R3806" s="9"/>
      <c r="S3806" s="9"/>
      <c r="T3806" s="9"/>
      <c r="U3806" s="9"/>
      <c r="V3806" s="9"/>
      <c r="W3806" s="9"/>
      <c r="X3806" s="9"/>
      <c r="Y3806" s="9"/>
      <c r="Z3806" s="9"/>
      <c r="AA3806" s="9"/>
      <c r="AB3806" s="9"/>
      <c r="AC3806" s="9"/>
      <c r="AD3806" s="9"/>
      <c r="AE3806" s="9"/>
      <c r="AF3806" s="9"/>
      <c r="AG3806" s="9"/>
      <c r="AH3806" s="9"/>
      <c r="AI3806" s="9"/>
      <c r="AJ3806" s="9"/>
      <c r="AK3806" s="9"/>
      <c r="AL3806" s="9"/>
      <c r="AM3806" s="9"/>
      <c r="AN3806" s="9"/>
      <c r="AO3806" s="9"/>
      <c r="AP3806" s="9"/>
      <c r="AQ3806" s="9"/>
      <c r="AR3806" s="9"/>
      <c r="AS3806" s="9"/>
      <c r="AT3806" s="9"/>
      <c r="AU3806" s="9"/>
    </row>
    <row r="3807" spans="1:47" ht="15.75" customHeight="1">
      <c r="A3807" s="9"/>
      <c r="B3807" s="9"/>
      <c r="C3807" s="9"/>
      <c r="D3807" s="9"/>
      <c r="E3807" s="9"/>
      <c r="F3807" s="67"/>
      <c r="G3807" s="9"/>
      <c r="H3807" s="9"/>
      <c r="I3807" s="9"/>
      <c r="J3807" s="9"/>
      <c r="K3807" s="9"/>
      <c r="L3807" s="9"/>
      <c r="M3807" s="9"/>
      <c r="N3807" s="9"/>
      <c r="O3807" s="9"/>
      <c r="P3807" s="9"/>
      <c r="Q3807" s="9"/>
      <c r="R3807" s="9"/>
      <c r="S3807" s="9"/>
      <c r="T3807" s="9"/>
      <c r="U3807" s="9"/>
      <c r="V3807" s="9"/>
      <c r="W3807" s="9"/>
      <c r="X3807" s="9"/>
      <c r="Y3807" s="9"/>
      <c r="Z3807" s="9"/>
      <c r="AA3807" s="9"/>
      <c r="AB3807" s="9"/>
      <c r="AC3807" s="9"/>
      <c r="AD3807" s="9"/>
      <c r="AE3807" s="9"/>
      <c r="AF3807" s="9"/>
      <c r="AG3807" s="9"/>
      <c r="AH3807" s="9"/>
      <c r="AI3807" s="9"/>
      <c r="AJ3807" s="9"/>
      <c r="AK3807" s="9"/>
      <c r="AL3807" s="9"/>
      <c r="AM3807" s="9"/>
      <c r="AN3807" s="9"/>
      <c r="AO3807" s="9"/>
      <c r="AP3807" s="9"/>
      <c r="AQ3807" s="9"/>
      <c r="AR3807" s="9"/>
      <c r="AS3807" s="9"/>
      <c r="AT3807" s="9"/>
      <c r="AU3807" s="9"/>
    </row>
    <row r="3808" spans="1:47" ht="15.75" customHeight="1">
      <c r="A3808" s="9"/>
      <c r="B3808" s="9"/>
      <c r="C3808" s="9"/>
      <c r="D3808" s="9"/>
      <c r="E3808" s="9"/>
      <c r="F3808" s="67"/>
      <c r="G3808" s="9"/>
      <c r="H3808" s="9"/>
      <c r="I3808" s="9"/>
      <c r="J3808" s="9"/>
      <c r="K3808" s="9"/>
      <c r="L3808" s="9"/>
      <c r="M3808" s="9"/>
      <c r="N3808" s="9"/>
      <c r="O3808" s="9"/>
      <c r="P3808" s="9"/>
      <c r="Q3808" s="9"/>
      <c r="R3808" s="9"/>
      <c r="S3808" s="9"/>
      <c r="T3808" s="9"/>
      <c r="U3808" s="9"/>
      <c r="V3808" s="9"/>
      <c r="W3808" s="9"/>
      <c r="X3808" s="9"/>
      <c r="Y3808" s="9"/>
      <c r="Z3808" s="9"/>
      <c r="AA3808" s="9"/>
      <c r="AB3808" s="9"/>
      <c r="AC3808" s="9"/>
      <c r="AD3808" s="9"/>
      <c r="AE3808" s="9"/>
      <c r="AF3808" s="9"/>
      <c r="AG3808" s="9"/>
      <c r="AH3808" s="9"/>
      <c r="AI3808" s="9"/>
      <c r="AJ3808" s="9"/>
      <c r="AK3808" s="9"/>
      <c r="AL3808" s="9"/>
      <c r="AM3808" s="9"/>
      <c r="AN3808" s="9"/>
      <c r="AO3808" s="9"/>
      <c r="AP3808" s="9"/>
      <c r="AQ3808" s="9"/>
      <c r="AR3808" s="9"/>
      <c r="AS3808" s="9"/>
      <c r="AT3808" s="9"/>
      <c r="AU3808" s="9"/>
    </row>
    <row r="3809" spans="1:47" ht="15.75" customHeight="1">
      <c r="A3809" s="9"/>
      <c r="B3809" s="9"/>
      <c r="C3809" s="9"/>
      <c r="D3809" s="9"/>
      <c r="E3809" s="9"/>
      <c r="F3809" s="67"/>
      <c r="G3809" s="9"/>
      <c r="H3809" s="9"/>
      <c r="I3809" s="9"/>
      <c r="J3809" s="9"/>
      <c r="K3809" s="9"/>
      <c r="L3809" s="9"/>
      <c r="M3809" s="9"/>
      <c r="N3809" s="9"/>
      <c r="O3809" s="9"/>
      <c r="P3809" s="9"/>
      <c r="Q3809" s="9"/>
      <c r="R3809" s="9"/>
      <c r="S3809" s="9"/>
      <c r="T3809" s="9"/>
      <c r="U3809" s="9"/>
      <c r="V3809" s="9"/>
      <c r="W3809" s="9"/>
      <c r="X3809" s="9"/>
      <c r="Y3809" s="9"/>
      <c r="Z3809" s="9"/>
      <c r="AA3809" s="9"/>
      <c r="AB3809" s="9"/>
      <c r="AC3809" s="9"/>
      <c r="AD3809" s="9"/>
      <c r="AE3809" s="9"/>
      <c r="AF3809" s="9"/>
      <c r="AG3809" s="9"/>
      <c r="AH3809" s="9"/>
      <c r="AI3809" s="9"/>
      <c r="AJ3809" s="9"/>
      <c r="AK3809" s="9"/>
      <c r="AL3809" s="9"/>
      <c r="AM3809" s="9"/>
      <c r="AN3809" s="9"/>
      <c r="AO3809" s="9"/>
      <c r="AP3809" s="9"/>
      <c r="AQ3809" s="9"/>
      <c r="AR3809" s="9"/>
      <c r="AS3809" s="9"/>
      <c r="AT3809" s="9"/>
      <c r="AU3809" s="9"/>
    </row>
    <row r="3810" spans="1:47" ht="15.75" customHeight="1">
      <c r="A3810" s="9"/>
      <c r="B3810" s="9"/>
      <c r="C3810" s="9"/>
      <c r="D3810" s="9"/>
      <c r="E3810" s="9"/>
      <c r="F3810" s="67"/>
      <c r="G3810" s="9"/>
      <c r="H3810" s="9"/>
      <c r="I3810" s="9"/>
      <c r="J3810" s="9"/>
      <c r="K3810" s="9"/>
      <c r="L3810" s="9"/>
      <c r="M3810" s="9"/>
      <c r="N3810" s="9"/>
      <c r="O3810" s="9"/>
      <c r="P3810" s="9"/>
      <c r="Q3810" s="9"/>
      <c r="R3810" s="9"/>
      <c r="S3810" s="9"/>
      <c r="T3810" s="9"/>
      <c r="U3810" s="9"/>
      <c r="V3810" s="9"/>
      <c r="W3810" s="9"/>
      <c r="X3810" s="9"/>
      <c r="Y3810" s="9"/>
      <c r="Z3810" s="9"/>
      <c r="AA3810" s="9"/>
      <c r="AB3810" s="9"/>
      <c r="AC3810" s="9"/>
      <c r="AD3810" s="9"/>
      <c r="AE3810" s="9"/>
      <c r="AF3810" s="9"/>
      <c r="AG3810" s="9"/>
      <c r="AH3810" s="9"/>
      <c r="AI3810" s="9"/>
      <c r="AJ3810" s="9"/>
      <c r="AK3810" s="9"/>
      <c r="AL3810" s="9"/>
      <c r="AM3810" s="9"/>
      <c r="AN3810" s="9"/>
      <c r="AO3810" s="9"/>
      <c r="AP3810" s="9"/>
      <c r="AQ3810" s="9"/>
      <c r="AR3810" s="9"/>
      <c r="AS3810" s="9"/>
      <c r="AT3810" s="9"/>
      <c r="AU3810" s="9"/>
    </row>
    <row r="3811" spans="1:47" ht="15.75" customHeight="1">
      <c r="A3811" s="9"/>
      <c r="B3811" s="9"/>
      <c r="C3811" s="9"/>
      <c r="D3811" s="9"/>
      <c r="E3811" s="9"/>
      <c r="F3811" s="67"/>
      <c r="G3811" s="9"/>
      <c r="H3811" s="9"/>
      <c r="I3811" s="9"/>
      <c r="J3811" s="9"/>
      <c r="K3811" s="9"/>
      <c r="L3811" s="9"/>
      <c r="M3811" s="9"/>
      <c r="N3811" s="9"/>
      <c r="O3811" s="9"/>
      <c r="P3811" s="9"/>
      <c r="Q3811" s="9"/>
      <c r="R3811" s="9"/>
      <c r="S3811" s="9"/>
      <c r="T3811" s="9"/>
      <c r="U3811" s="9"/>
      <c r="V3811" s="9"/>
      <c r="W3811" s="9"/>
      <c r="X3811" s="9"/>
      <c r="Y3811" s="9"/>
      <c r="Z3811" s="9"/>
      <c r="AA3811" s="9"/>
      <c r="AB3811" s="9"/>
      <c r="AC3811" s="9"/>
      <c r="AD3811" s="9"/>
      <c r="AE3811" s="9"/>
      <c r="AF3811" s="9"/>
      <c r="AG3811" s="9"/>
      <c r="AH3811" s="9"/>
      <c r="AI3811" s="9"/>
      <c r="AJ3811" s="9"/>
      <c r="AK3811" s="9"/>
      <c r="AL3811" s="9"/>
      <c r="AM3811" s="9"/>
      <c r="AN3811" s="9"/>
      <c r="AO3811" s="9"/>
      <c r="AP3811" s="9"/>
      <c r="AQ3811" s="9"/>
      <c r="AR3811" s="9"/>
      <c r="AS3811" s="9"/>
      <c r="AT3811" s="9"/>
      <c r="AU3811" s="9"/>
    </row>
    <row r="3812" spans="1:47" ht="15.75" customHeight="1">
      <c r="A3812" s="9"/>
      <c r="B3812" s="9"/>
      <c r="C3812" s="9"/>
      <c r="D3812" s="9"/>
      <c r="E3812" s="9"/>
      <c r="F3812" s="67"/>
      <c r="G3812" s="9"/>
      <c r="H3812" s="9"/>
      <c r="I3812" s="9"/>
      <c r="J3812" s="9"/>
      <c r="K3812" s="9"/>
      <c r="L3812" s="9"/>
      <c r="M3812" s="9"/>
      <c r="N3812" s="9"/>
      <c r="O3812" s="9"/>
      <c r="P3812" s="9"/>
      <c r="Q3812" s="9"/>
      <c r="R3812" s="9"/>
      <c r="S3812" s="9"/>
      <c r="T3812" s="9"/>
      <c r="U3812" s="9"/>
      <c r="V3812" s="9"/>
      <c r="W3812" s="9"/>
      <c r="X3812" s="9"/>
      <c r="Y3812" s="9"/>
      <c r="Z3812" s="9"/>
      <c r="AA3812" s="9"/>
      <c r="AB3812" s="9"/>
      <c r="AC3812" s="9"/>
      <c r="AD3812" s="9"/>
      <c r="AE3812" s="9"/>
      <c r="AF3812" s="9"/>
      <c r="AG3812" s="9"/>
      <c r="AH3812" s="9"/>
      <c r="AI3812" s="9"/>
      <c r="AJ3812" s="9"/>
      <c r="AK3812" s="9"/>
      <c r="AL3812" s="9"/>
      <c r="AM3812" s="9"/>
      <c r="AN3812" s="9"/>
      <c r="AO3812" s="9"/>
      <c r="AP3812" s="9"/>
      <c r="AQ3812" s="9"/>
      <c r="AR3812" s="9"/>
      <c r="AS3812" s="9"/>
      <c r="AT3812" s="9"/>
      <c r="AU3812" s="9"/>
    </row>
    <row r="3813" spans="1:47" ht="15.75" customHeight="1">
      <c r="A3813" s="9"/>
      <c r="B3813" s="9"/>
      <c r="C3813" s="9"/>
      <c r="D3813" s="9"/>
      <c r="E3813" s="9"/>
      <c r="F3813" s="67"/>
      <c r="G3813" s="9"/>
      <c r="H3813" s="9"/>
      <c r="I3813" s="9"/>
      <c r="J3813" s="9"/>
      <c r="K3813" s="9"/>
      <c r="L3813" s="9"/>
      <c r="M3813" s="9"/>
      <c r="N3813" s="9"/>
      <c r="O3813" s="9"/>
      <c r="P3813" s="9"/>
      <c r="Q3813" s="9"/>
      <c r="R3813" s="9"/>
      <c r="S3813" s="9"/>
      <c r="T3813" s="9"/>
      <c r="U3813" s="9"/>
      <c r="V3813" s="9"/>
      <c r="W3813" s="9"/>
      <c r="X3813" s="9"/>
      <c r="Y3813" s="9"/>
      <c r="Z3813" s="9"/>
      <c r="AA3813" s="9"/>
      <c r="AB3813" s="9"/>
      <c r="AC3813" s="9"/>
      <c r="AD3813" s="9"/>
      <c r="AE3813" s="9"/>
      <c r="AF3813" s="9"/>
      <c r="AG3813" s="9"/>
      <c r="AH3813" s="9"/>
      <c r="AI3813" s="9"/>
      <c r="AJ3813" s="9"/>
      <c r="AK3813" s="9"/>
      <c r="AL3813" s="9"/>
      <c r="AM3813" s="9"/>
      <c r="AN3813" s="9"/>
      <c r="AO3813" s="9"/>
      <c r="AP3813" s="9"/>
      <c r="AQ3813" s="9"/>
      <c r="AR3813" s="9"/>
      <c r="AS3813" s="9"/>
      <c r="AT3813" s="9"/>
      <c r="AU3813" s="9"/>
    </row>
    <row r="3814" spans="1:47" ht="15.75" customHeight="1">
      <c r="A3814" s="9"/>
      <c r="B3814" s="9"/>
      <c r="C3814" s="9"/>
      <c r="D3814" s="9"/>
      <c r="E3814" s="9"/>
      <c r="F3814" s="67"/>
      <c r="G3814" s="9"/>
      <c r="H3814" s="9"/>
      <c r="I3814" s="9"/>
      <c r="J3814" s="9"/>
      <c r="K3814" s="9"/>
      <c r="L3814" s="9"/>
      <c r="M3814" s="9"/>
      <c r="N3814" s="9"/>
      <c r="O3814" s="9"/>
      <c r="P3814" s="9"/>
      <c r="Q3814" s="9"/>
      <c r="R3814" s="9"/>
      <c r="S3814" s="9"/>
      <c r="T3814" s="9"/>
      <c r="U3814" s="9"/>
      <c r="V3814" s="9"/>
      <c r="W3814" s="9"/>
      <c r="X3814" s="9"/>
      <c r="Y3814" s="9"/>
      <c r="Z3814" s="9"/>
      <c r="AA3814" s="9"/>
      <c r="AB3814" s="9"/>
      <c r="AC3814" s="9"/>
      <c r="AD3814" s="9"/>
      <c r="AE3814" s="9"/>
      <c r="AF3814" s="9"/>
      <c r="AG3814" s="9"/>
      <c r="AH3814" s="9"/>
      <c r="AI3814" s="9"/>
      <c r="AJ3814" s="9"/>
      <c r="AK3814" s="9"/>
      <c r="AL3814" s="9"/>
      <c r="AM3814" s="9"/>
      <c r="AN3814" s="9"/>
      <c r="AO3814" s="9"/>
      <c r="AP3814" s="9"/>
      <c r="AQ3814" s="9"/>
      <c r="AR3814" s="9"/>
      <c r="AS3814" s="9"/>
      <c r="AT3814" s="9"/>
      <c r="AU3814" s="9"/>
    </row>
    <row r="3815" spans="1:47" ht="15.75" customHeight="1">
      <c r="A3815" s="9"/>
      <c r="B3815" s="9"/>
      <c r="C3815" s="9"/>
      <c r="D3815" s="9"/>
      <c r="E3815" s="9"/>
      <c r="F3815" s="67"/>
      <c r="G3815" s="9"/>
      <c r="H3815" s="9"/>
      <c r="I3815" s="9"/>
      <c r="J3815" s="9"/>
      <c r="K3815" s="9"/>
      <c r="L3815" s="9"/>
      <c r="M3815" s="9"/>
      <c r="N3815" s="9"/>
      <c r="O3815" s="9"/>
      <c r="P3815" s="9"/>
      <c r="Q3815" s="9"/>
      <c r="R3815" s="9"/>
      <c r="S3815" s="9"/>
      <c r="T3815" s="9"/>
      <c r="U3815" s="9"/>
      <c r="V3815" s="9"/>
      <c r="W3815" s="9"/>
      <c r="X3815" s="9"/>
      <c r="Y3815" s="9"/>
      <c r="Z3815" s="9"/>
      <c r="AA3815" s="9"/>
      <c r="AB3815" s="9"/>
      <c r="AC3815" s="9"/>
      <c r="AD3815" s="9"/>
      <c r="AE3815" s="9"/>
      <c r="AF3815" s="9"/>
      <c r="AG3815" s="9"/>
      <c r="AH3815" s="9"/>
      <c r="AI3815" s="9"/>
      <c r="AJ3815" s="9"/>
      <c r="AK3815" s="9"/>
      <c r="AL3815" s="9"/>
      <c r="AM3815" s="9"/>
      <c r="AN3815" s="9"/>
      <c r="AO3815" s="9"/>
      <c r="AP3815" s="9"/>
      <c r="AQ3815" s="9"/>
      <c r="AR3815" s="9"/>
      <c r="AS3815" s="9"/>
      <c r="AT3815" s="9"/>
      <c r="AU3815" s="9"/>
    </row>
    <row r="3816" spans="1:47" ht="15.75" customHeight="1">
      <c r="A3816" s="9"/>
      <c r="B3816" s="9"/>
      <c r="C3816" s="9"/>
      <c r="D3816" s="9"/>
      <c r="E3816" s="9"/>
      <c r="F3816" s="67"/>
      <c r="G3816" s="9"/>
      <c r="H3816" s="9"/>
      <c r="I3816" s="9"/>
      <c r="J3816" s="9"/>
      <c r="K3816" s="9"/>
      <c r="L3816" s="9"/>
      <c r="M3816" s="9"/>
      <c r="N3816" s="9"/>
      <c r="O3816" s="9"/>
      <c r="P3816" s="9"/>
      <c r="Q3816" s="9"/>
      <c r="R3816" s="9"/>
      <c r="S3816" s="9"/>
      <c r="T3816" s="9"/>
      <c r="U3816" s="9"/>
      <c r="V3816" s="9"/>
      <c r="W3816" s="9"/>
      <c r="X3816" s="9"/>
      <c r="Y3816" s="9"/>
      <c r="Z3816" s="9"/>
      <c r="AA3816" s="9"/>
      <c r="AB3816" s="9"/>
      <c r="AC3816" s="9"/>
      <c r="AD3816" s="9"/>
      <c r="AE3816" s="9"/>
      <c r="AF3816" s="9"/>
      <c r="AG3816" s="9"/>
      <c r="AH3816" s="9"/>
      <c r="AI3816" s="9"/>
      <c r="AJ3816" s="9"/>
      <c r="AK3816" s="9"/>
      <c r="AL3816" s="9"/>
      <c r="AM3816" s="9"/>
      <c r="AN3816" s="9"/>
      <c r="AO3816" s="9"/>
      <c r="AP3816" s="9"/>
      <c r="AQ3816" s="9"/>
      <c r="AR3816" s="9"/>
      <c r="AS3816" s="9"/>
      <c r="AT3816" s="9"/>
      <c r="AU3816" s="9"/>
    </row>
    <row r="3817" spans="1:47" ht="15.75" customHeight="1">
      <c r="A3817" s="9"/>
      <c r="B3817" s="9"/>
      <c r="C3817" s="9"/>
      <c r="D3817" s="9"/>
      <c r="E3817" s="9"/>
      <c r="F3817" s="67"/>
      <c r="G3817" s="9"/>
      <c r="H3817" s="9"/>
      <c r="I3817" s="9"/>
      <c r="J3817" s="9"/>
      <c r="K3817" s="9"/>
      <c r="L3817" s="9"/>
      <c r="M3817" s="9"/>
      <c r="N3817" s="9"/>
      <c r="O3817" s="9"/>
      <c r="P3817" s="9"/>
      <c r="Q3817" s="9"/>
      <c r="R3817" s="9"/>
      <c r="S3817" s="9"/>
      <c r="T3817" s="9"/>
      <c r="U3817" s="9"/>
      <c r="V3817" s="9"/>
      <c r="W3817" s="9"/>
      <c r="X3817" s="9"/>
      <c r="Y3817" s="9"/>
      <c r="Z3817" s="9"/>
      <c r="AA3817" s="9"/>
      <c r="AB3817" s="9"/>
      <c r="AC3817" s="9"/>
      <c r="AD3817" s="9"/>
      <c r="AE3817" s="9"/>
      <c r="AF3817" s="9"/>
      <c r="AG3817" s="9"/>
      <c r="AH3817" s="9"/>
      <c r="AI3817" s="9"/>
      <c r="AJ3817" s="9"/>
      <c r="AK3817" s="9"/>
      <c r="AL3817" s="9"/>
      <c r="AM3817" s="9"/>
      <c r="AN3817" s="9"/>
      <c r="AO3817" s="9"/>
      <c r="AP3817" s="9"/>
      <c r="AQ3817" s="9"/>
      <c r="AR3817" s="9"/>
      <c r="AS3817" s="9"/>
      <c r="AT3817" s="9"/>
      <c r="AU3817" s="9"/>
    </row>
    <row r="3818" spans="1:47" ht="15.75" customHeight="1">
      <c r="A3818" s="9"/>
      <c r="B3818" s="9"/>
      <c r="C3818" s="9"/>
      <c r="D3818" s="9"/>
      <c r="E3818" s="9"/>
      <c r="F3818" s="67"/>
      <c r="G3818" s="9"/>
      <c r="H3818" s="9"/>
      <c r="I3818" s="9"/>
      <c r="J3818" s="9"/>
      <c r="K3818" s="9"/>
      <c r="L3818" s="9"/>
      <c r="M3818" s="9"/>
      <c r="N3818" s="9"/>
      <c r="O3818" s="9"/>
      <c r="P3818" s="9"/>
      <c r="Q3818" s="9"/>
      <c r="R3818" s="9"/>
      <c r="S3818" s="9"/>
      <c r="T3818" s="9"/>
      <c r="U3818" s="9"/>
      <c r="V3818" s="9"/>
      <c r="W3818" s="9"/>
      <c r="X3818" s="9"/>
      <c r="Y3818" s="9"/>
      <c r="Z3818" s="9"/>
      <c r="AA3818" s="9"/>
      <c r="AB3818" s="9"/>
      <c r="AC3818" s="9"/>
      <c r="AD3818" s="9"/>
      <c r="AE3818" s="9"/>
      <c r="AF3818" s="9"/>
      <c r="AG3818" s="9"/>
      <c r="AH3818" s="9"/>
      <c r="AI3818" s="9"/>
      <c r="AJ3818" s="9"/>
      <c r="AK3818" s="9"/>
      <c r="AL3818" s="9"/>
      <c r="AM3818" s="9"/>
      <c r="AN3818" s="9"/>
      <c r="AO3818" s="9"/>
      <c r="AP3818" s="9"/>
      <c r="AQ3818" s="9"/>
      <c r="AR3818" s="9"/>
      <c r="AS3818" s="9"/>
      <c r="AT3818" s="9"/>
      <c r="AU3818" s="9"/>
    </row>
    <row r="3819" spans="1:47" ht="15.75" customHeight="1">
      <c r="A3819" s="9"/>
      <c r="B3819" s="9"/>
      <c r="C3819" s="9"/>
      <c r="D3819" s="9"/>
      <c r="E3819" s="9"/>
      <c r="F3819" s="67"/>
      <c r="G3819" s="9"/>
      <c r="H3819" s="9"/>
      <c r="I3819" s="9"/>
      <c r="J3819" s="9"/>
      <c r="K3819" s="9"/>
      <c r="L3819" s="9"/>
      <c r="M3819" s="9"/>
      <c r="N3819" s="9"/>
      <c r="O3819" s="9"/>
      <c r="P3819" s="9"/>
      <c r="Q3819" s="9"/>
      <c r="R3819" s="9"/>
      <c r="S3819" s="9"/>
      <c r="T3819" s="9"/>
      <c r="U3819" s="9"/>
      <c r="V3819" s="9"/>
      <c r="W3819" s="9"/>
      <c r="X3819" s="9"/>
      <c r="Y3819" s="9"/>
      <c r="Z3819" s="9"/>
      <c r="AA3819" s="9"/>
      <c r="AB3819" s="9"/>
      <c r="AC3819" s="9"/>
      <c r="AD3819" s="9"/>
      <c r="AE3819" s="9"/>
      <c r="AF3819" s="9"/>
      <c r="AG3819" s="9"/>
      <c r="AH3819" s="9"/>
      <c r="AI3819" s="9"/>
      <c r="AJ3819" s="9"/>
      <c r="AK3819" s="9"/>
      <c r="AL3819" s="9"/>
      <c r="AM3819" s="9"/>
      <c r="AN3819" s="9"/>
      <c r="AO3819" s="9"/>
      <c r="AP3819" s="9"/>
      <c r="AQ3819" s="9"/>
      <c r="AR3819" s="9"/>
      <c r="AS3819" s="9"/>
      <c r="AT3819" s="9"/>
      <c r="AU3819" s="9"/>
    </row>
    <row r="3820" spans="1:47" ht="15.75" customHeight="1">
      <c r="A3820" s="9"/>
      <c r="B3820" s="9"/>
      <c r="C3820" s="9"/>
      <c r="D3820" s="9"/>
      <c r="E3820" s="9"/>
      <c r="F3820" s="67"/>
      <c r="G3820" s="9"/>
      <c r="H3820" s="9"/>
      <c r="I3820" s="9"/>
      <c r="J3820" s="9"/>
      <c r="K3820" s="9"/>
      <c r="L3820" s="9"/>
      <c r="M3820" s="9"/>
      <c r="N3820" s="9"/>
      <c r="O3820" s="9"/>
      <c r="P3820" s="9"/>
      <c r="Q3820" s="9"/>
      <c r="R3820" s="9"/>
      <c r="S3820" s="9"/>
      <c r="T3820" s="9"/>
      <c r="U3820" s="9"/>
      <c r="V3820" s="9"/>
      <c r="W3820" s="9"/>
      <c r="X3820" s="9"/>
      <c r="Y3820" s="9"/>
      <c r="Z3820" s="9"/>
      <c r="AA3820" s="9"/>
      <c r="AB3820" s="9"/>
      <c r="AC3820" s="9"/>
      <c r="AD3820" s="9"/>
      <c r="AE3820" s="9"/>
      <c r="AF3820" s="9"/>
      <c r="AG3820" s="9"/>
      <c r="AH3820" s="9"/>
      <c r="AI3820" s="9"/>
      <c r="AJ3820" s="9"/>
      <c r="AK3820" s="9"/>
      <c r="AL3820" s="9"/>
      <c r="AM3820" s="9"/>
      <c r="AN3820" s="9"/>
      <c r="AO3820" s="9"/>
      <c r="AP3820" s="9"/>
      <c r="AQ3820" s="9"/>
      <c r="AR3820" s="9"/>
      <c r="AS3820" s="9"/>
      <c r="AT3820" s="9"/>
      <c r="AU3820" s="9"/>
    </row>
    <row r="3821" spans="1:47" ht="15.75" customHeight="1">
      <c r="A3821" s="9"/>
      <c r="B3821" s="9"/>
      <c r="C3821" s="9"/>
      <c r="D3821" s="9"/>
      <c r="E3821" s="9"/>
      <c r="F3821" s="67"/>
      <c r="G3821" s="9"/>
      <c r="H3821" s="9"/>
      <c r="I3821" s="9"/>
      <c r="J3821" s="9"/>
      <c r="K3821" s="9"/>
      <c r="L3821" s="9"/>
      <c r="M3821" s="9"/>
      <c r="N3821" s="9"/>
      <c r="O3821" s="9"/>
      <c r="P3821" s="9"/>
      <c r="Q3821" s="9"/>
      <c r="R3821" s="9"/>
      <c r="S3821" s="9"/>
      <c r="T3821" s="9"/>
      <c r="U3821" s="9"/>
      <c r="V3821" s="9"/>
      <c r="W3821" s="9"/>
      <c r="X3821" s="9"/>
      <c r="Y3821" s="9"/>
      <c r="Z3821" s="9"/>
      <c r="AA3821" s="9"/>
      <c r="AB3821" s="9"/>
      <c r="AC3821" s="9"/>
      <c r="AD3821" s="9"/>
      <c r="AE3821" s="9"/>
      <c r="AF3821" s="9"/>
      <c r="AG3821" s="9"/>
      <c r="AH3821" s="9"/>
      <c r="AI3821" s="9"/>
      <c r="AJ3821" s="9"/>
      <c r="AK3821" s="9"/>
      <c r="AL3821" s="9"/>
      <c r="AM3821" s="9"/>
      <c r="AN3821" s="9"/>
      <c r="AO3821" s="9"/>
      <c r="AP3821" s="9"/>
      <c r="AQ3821" s="9"/>
      <c r="AR3821" s="9"/>
      <c r="AS3821" s="9"/>
      <c r="AT3821" s="9"/>
      <c r="AU3821" s="9"/>
    </row>
    <row r="3822" spans="1:47" ht="15.75" customHeight="1">
      <c r="A3822" s="9"/>
      <c r="B3822" s="9"/>
      <c r="C3822" s="9"/>
      <c r="D3822" s="9"/>
      <c r="E3822" s="9"/>
      <c r="F3822" s="67"/>
      <c r="G3822" s="9"/>
      <c r="H3822" s="9"/>
      <c r="I3822" s="9"/>
      <c r="J3822" s="9"/>
      <c r="K3822" s="9"/>
      <c r="L3822" s="9"/>
      <c r="M3822" s="9"/>
      <c r="N3822" s="9"/>
      <c r="O3822" s="9"/>
      <c r="P3822" s="9"/>
      <c r="Q3822" s="9"/>
      <c r="R3822" s="9"/>
      <c r="S3822" s="9"/>
      <c r="T3822" s="9"/>
      <c r="U3822" s="9"/>
      <c r="V3822" s="9"/>
      <c r="W3822" s="9"/>
      <c r="X3822" s="9"/>
      <c r="Y3822" s="9"/>
      <c r="Z3822" s="9"/>
      <c r="AA3822" s="9"/>
      <c r="AB3822" s="9"/>
      <c r="AC3822" s="9"/>
      <c r="AD3822" s="9"/>
      <c r="AE3822" s="9"/>
      <c r="AF3822" s="9"/>
      <c r="AG3822" s="9"/>
      <c r="AH3822" s="9"/>
      <c r="AI3822" s="9"/>
      <c r="AJ3822" s="9"/>
      <c r="AK3822" s="9"/>
      <c r="AL3822" s="9"/>
      <c r="AM3822" s="9"/>
      <c r="AN3822" s="9"/>
      <c r="AO3822" s="9"/>
      <c r="AP3822" s="9"/>
      <c r="AQ3822" s="9"/>
      <c r="AR3822" s="9"/>
      <c r="AS3822" s="9"/>
      <c r="AT3822" s="9"/>
      <c r="AU3822" s="9"/>
    </row>
    <row r="3823" spans="1:47" ht="15.75" customHeight="1">
      <c r="A3823" s="9"/>
      <c r="B3823" s="9"/>
      <c r="C3823" s="9"/>
      <c r="D3823" s="9"/>
      <c r="E3823" s="9"/>
      <c r="F3823" s="67"/>
      <c r="G3823" s="9"/>
      <c r="H3823" s="9"/>
      <c r="I3823" s="9"/>
      <c r="J3823" s="9"/>
      <c r="K3823" s="9"/>
      <c r="L3823" s="9"/>
      <c r="M3823" s="9"/>
      <c r="N3823" s="9"/>
      <c r="O3823" s="9"/>
      <c r="P3823" s="9"/>
      <c r="Q3823" s="9"/>
      <c r="R3823" s="9"/>
      <c r="S3823" s="9"/>
      <c r="T3823" s="9"/>
      <c r="U3823" s="9"/>
      <c r="V3823" s="9"/>
      <c r="W3823" s="9"/>
      <c r="X3823" s="9"/>
      <c r="Y3823" s="9"/>
      <c r="Z3823" s="9"/>
      <c r="AA3823" s="9"/>
      <c r="AB3823" s="9"/>
      <c r="AC3823" s="9"/>
      <c r="AD3823" s="9"/>
      <c r="AE3823" s="9"/>
      <c r="AF3823" s="9"/>
      <c r="AG3823" s="9"/>
      <c r="AH3823" s="9"/>
      <c r="AI3823" s="9"/>
      <c r="AJ3823" s="9"/>
      <c r="AK3823" s="9"/>
      <c r="AL3823" s="9"/>
      <c r="AM3823" s="9"/>
      <c r="AN3823" s="9"/>
      <c r="AO3823" s="9"/>
      <c r="AP3823" s="9"/>
      <c r="AQ3823" s="9"/>
      <c r="AR3823" s="9"/>
      <c r="AS3823" s="9"/>
      <c r="AT3823" s="9"/>
      <c r="AU3823" s="9"/>
    </row>
    <row r="3824" spans="1:47" ht="15.75" customHeight="1">
      <c r="A3824" s="9"/>
      <c r="B3824" s="9"/>
      <c r="C3824" s="9"/>
      <c r="D3824" s="9"/>
      <c r="E3824" s="9"/>
      <c r="F3824" s="67"/>
      <c r="G3824" s="9"/>
      <c r="H3824" s="9"/>
      <c r="I3824" s="9"/>
      <c r="J3824" s="9"/>
      <c r="K3824" s="9"/>
      <c r="L3824" s="9"/>
      <c r="M3824" s="9"/>
      <c r="N3824" s="9"/>
      <c r="O3824" s="9"/>
      <c r="P3824" s="9"/>
      <c r="Q3824" s="9"/>
      <c r="R3824" s="9"/>
      <c r="S3824" s="9"/>
      <c r="T3824" s="9"/>
      <c r="U3824" s="9"/>
      <c r="V3824" s="9"/>
      <c r="W3824" s="9"/>
      <c r="X3824" s="9"/>
      <c r="Y3824" s="9"/>
      <c r="Z3824" s="9"/>
      <c r="AA3824" s="9"/>
      <c r="AB3824" s="9"/>
      <c r="AC3824" s="9"/>
      <c r="AD3824" s="9"/>
      <c r="AE3824" s="9"/>
      <c r="AF3824" s="9"/>
      <c r="AG3824" s="9"/>
      <c r="AH3824" s="9"/>
      <c r="AI3824" s="9"/>
      <c r="AJ3824" s="9"/>
      <c r="AK3824" s="9"/>
      <c r="AL3824" s="9"/>
      <c r="AM3824" s="9"/>
      <c r="AN3824" s="9"/>
      <c r="AO3824" s="9"/>
      <c r="AP3824" s="9"/>
      <c r="AQ3824" s="9"/>
      <c r="AR3824" s="9"/>
      <c r="AS3824" s="9"/>
      <c r="AT3824" s="9"/>
      <c r="AU3824" s="9"/>
    </row>
    <row r="3825" spans="1:47" ht="15.75" customHeight="1">
      <c r="A3825" s="9"/>
      <c r="B3825" s="9"/>
      <c r="C3825" s="9"/>
      <c r="D3825" s="9"/>
      <c r="E3825" s="9"/>
      <c r="F3825" s="67"/>
      <c r="G3825" s="9"/>
      <c r="H3825" s="9"/>
      <c r="I3825" s="9"/>
      <c r="J3825" s="9"/>
      <c r="K3825" s="9"/>
      <c r="L3825" s="9"/>
      <c r="M3825" s="9"/>
      <c r="N3825" s="9"/>
      <c r="O3825" s="9"/>
      <c r="P3825" s="9"/>
      <c r="Q3825" s="9"/>
      <c r="R3825" s="9"/>
      <c r="S3825" s="9"/>
      <c r="T3825" s="9"/>
      <c r="U3825" s="9"/>
      <c r="V3825" s="9"/>
      <c r="W3825" s="9"/>
      <c r="X3825" s="9"/>
      <c r="Y3825" s="9"/>
      <c r="Z3825" s="9"/>
      <c r="AA3825" s="9"/>
      <c r="AB3825" s="9"/>
      <c r="AC3825" s="9"/>
      <c r="AD3825" s="9"/>
      <c r="AE3825" s="9"/>
      <c r="AF3825" s="9"/>
      <c r="AG3825" s="9"/>
      <c r="AH3825" s="9"/>
      <c r="AI3825" s="9"/>
      <c r="AJ3825" s="9"/>
      <c r="AK3825" s="9"/>
      <c r="AL3825" s="9"/>
      <c r="AM3825" s="9"/>
      <c r="AN3825" s="9"/>
      <c r="AO3825" s="9"/>
      <c r="AP3825" s="9"/>
      <c r="AQ3825" s="9"/>
      <c r="AR3825" s="9"/>
      <c r="AS3825" s="9"/>
      <c r="AT3825" s="9"/>
      <c r="AU3825" s="9"/>
    </row>
    <row r="3826" spans="1:47" ht="15.75" customHeight="1">
      <c r="A3826" s="9"/>
      <c r="B3826" s="9"/>
      <c r="C3826" s="9"/>
      <c r="D3826" s="9"/>
      <c r="E3826" s="9"/>
      <c r="F3826" s="67"/>
      <c r="G3826" s="9"/>
      <c r="H3826" s="9"/>
      <c r="I3826" s="9"/>
      <c r="J3826" s="9"/>
      <c r="K3826" s="9"/>
      <c r="L3826" s="9"/>
      <c r="M3826" s="9"/>
      <c r="N3826" s="9"/>
      <c r="O3826" s="9"/>
      <c r="P3826" s="9"/>
      <c r="Q3826" s="9"/>
      <c r="R3826" s="9"/>
      <c r="S3826" s="9"/>
      <c r="T3826" s="9"/>
      <c r="U3826" s="9"/>
      <c r="V3826" s="9"/>
      <c r="W3826" s="9"/>
      <c r="X3826" s="9"/>
      <c r="Y3826" s="9"/>
      <c r="Z3826" s="9"/>
      <c r="AA3826" s="9"/>
      <c r="AB3826" s="9"/>
      <c r="AC3826" s="9"/>
      <c r="AD3826" s="9"/>
      <c r="AE3826" s="9"/>
      <c r="AF3826" s="9"/>
      <c r="AG3826" s="9"/>
      <c r="AH3826" s="9"/>
      <c r="AI3826" s="9"/>
      <c r="AJ3826" s="9"/>
      <c r="AK3826" s="9"/>
      <c r="AL3826" s="9"/>
      <c r="AM3826" s="9"/>
      <c r="AN3826" s="9"/>
      <c r="AO3826" s="9"/>
      <c r="AP3826" s="9"/>
      <c r="AQ3826" s="9"/>
      <c r="AR3826" s="9"/>
      <c r="AS3826" s="9"/>
      <c r="AT3826" s="9"/>
      <c r="AU3826" s="9"/>
    </row>
    <row r="3827" spans="1:47" ht="15.75" customHeight="1">
      <c r="A3827" s="9"/>
      <c r="B3827" s="9"/>
      <c r="C3827" s="9"/>
      <c r="D3827" s="9"/>
      <c r="E3827" s="9"/>
      <c r="F3827" s="67"/>
      <c r="G3827" s="9"/>
      <c r="H3827" s="9"/>
      <c r="I3827" s="9"/>
      <c r="J3827" s="9"/>
      <c r="K3827" s="9"/>
      <c r="L3827" s="9"/>
      <c r="M3827" s="9"/>
      <c r="N3827" s="9"/>
      <c r="O3827" s="9"/>
      <c r="P3827" s="9"/>
      <c r="Q3827" s="9"/>
      <c r="R3827" s="9"/>
      <c r="S3827" s="9"/>
      <c r="T3827" s="9"/>
      <c r="U3827" s="9"/>
      <c r="V3827" s="9"/>
      <c r="W3827" s="9"/>
      <c r="X3827" s="9"/>
      <c r="Y3827" s="9"/>
      <c r="Z3827" s="9"/>
      <c r="AA3827" s="9"/>
      <c r="AB3827" s="9"/>
      <c r="AC3827" s="9"/>
      <c r="AD3827" s="9"/>
      <c r="AE3827" s="9"/>
      <c r="AF3827" s="9"/>
      <c r="AG3827" s="9"/>
      <c r="AH3827" s="9"/>
      <c r="AI3827" s="9"/>
      <c r="AJ3827" s="9"/>
      <c r="AK3827" s="9"/>
      <c r="AL3827" s="9"/>
      <c r="AM3827" s="9"/>
      <c r="AN3827" s="9"/>
      <c r="AO3827" s="9"/>
      <c r="AP3827" s="9"/>
      <c r="AQ3827" s="9"/>
      <c r="AR3827" s="9"/>
      <c r="AS3827" s="9"/>
      <c r="AT3827" s="9"/>
      <c r="AU3827" s="9"/>
    </row>
    <row r="3828" spans="1:47" ht="15.75" customHeight="1">
      <c r="A3828" s="9"/>
      <c r="B3828" s="9"/>
      <c r="C3828" s="9"/>
      <c r="D3828" s="9"/>
      <c r="E3828" s="9"/>
      <c r="F3828" s="67"/>
      <c r="G3828" s="9"/>
      <c r="H3828" s="9"/>
      <c r="I3828" s="9"/>
      <c r="J3828" s="9"/>
      <c r="K3828" s="9"/>
      <c r="L3828" s="9"/>
      <c r="M3828" s="9"/>
      <c r="N3828" s="9"/>
      <c r="O3828" s="9"/>
      <c r="P3828" s="9"/>
      <c r="Q3828" s="9"/>
      <c r="R3828" s="9"/>
      <c r="S3828" s="9"/>
      <c r="T3828" s="9"/>
      <c r="U3828" s="9"/>
      <c r="V3828" s="9"/>
      <c r="W3828" s="9"/>
      <c r="X3828" s="9"/>
      <c r="Y3828" s="9"/>
      <c r="Z3828" s="9"/>
      <c r="AA3828" s="9"/>
      <c r="AB3828" s="9"/>
      <c r="AC3828" s="9"/>
      <c r="AD3828" s="9"/>
      <c r="AE3828" s="9"/>
      <c r="AF3828" s="9"/>
      <c r="AG3828" s="9"/>
      <c r="AH3828" s="9"/>
      <c r="AI3828" s="9"/>
      <c r="AJ3828" s="9"/>
      <c r="AK3828" s="9"/>
      <c r="AL3828" s="9"/>
      <c r="AM3828" s="9"/>
      <c r="AN3828" s="9"/>
      <c r="AO3828" s="9"/>
      <c r="AP3828" s="9"/>
      <c r="AQ3828" s="9"/>
      <c r="AR3828" s="9"/>
      <c r="AS3828" s="9"/>
      <c r="AT3828" s="9"/>
      <c r="AU3828" s="9"/>
    </row>
    <row r="3829" spans="1:47" ht="15.75" customHeight="1">
      <c r="A3829" s="9"/>
      <c r="B3829" s="9"/>
      <c r="C3829" s="9"/>
      <c r="D3829" s="9"/>
      <c r="E3829" s="9"/>
      <c r="F3829" s="67"/>
      <c r="G3829" s="9"/>
      <c r="H3829" s="9"/>
      <c r="I3829" s="9"/>
      <c r="J3829" s="9"/>
      <c r="K3829" s="9"/>
      <c r="L3829" s="9"/>
      <c r="M3829" s="9"/>
      <c r="N3829" s="9"/>
      <c r="O3829" s="9"/>
      <c r="P3829" s="9"/>
      <c r="Q3829" s="9"/>
      <c r="R3829" s="9"/>
      <c r="S3829" s="9"/>
      <c r="T3829" s="9"/>
      <c r="U3829" s="9"/>
      <c r="V3829" s="9"/>
      <c r="W3829" s="9"/>
      <c r="X3829" s="9"/>
      <c r="Y3829" s="9"/>
      <c r="Z3829" s="9"/>
      <c r="AA3829" s="9"/>
      <c r="AB3829" s="9"/>
      <c r="AC3829" s="9"/>
      <c r="AD3829" s="9"/>
      <c r="AE3829" s="9"/>
      <c r="AF3829" s="9"/>
      <c r="AG3829" s="9"/>
      <c r="AH3829" s="9"/>
      <c r="AI3829" s="9"/>
      <c r="AJ3829" s="9"/>
      <c r="AK3829" s="9"/>
      <c r="AL3829" s="9"/>
      <c r="AM3829" s="9"/>
      <c r="AN3829" s="9"/>
      <c r="AO3829" s="9"/>
      <c r="AP3829" s="9"/>
      <c r="AQ3829" s="9"/>
      <c r="AR3829" s="9"/>
      <c r="AS3829" s="9"/>
      <c r="AT3829" s="9"/>
      <c r="AU3829" s="9"/>
    </row>
    <row r="3830" spans="1:47" ht="15.75" customHeight="1">
      <c r="A3830" s="9"/>
      <c r="B3830" s="9"/>
      <c r="C3830" s="9"/>
      <c r="D3830" s="9"/>
      <c r="E3830" s="9"/>
      <c r="F3830" s="67"/>
      <c r="G3830" s="9"/>
      <c r="H3830" s="9"/>
      <c r="I3830" s="9"/>
      <c r="J3830" s="9"/>
      <c r="K3830" s="9"/>
      <c r="L3830" s="9"/>
      <c r="M3830" s="9"/>
      <c r="N3830" s="9"/>
      <c r="O3830" s="9"/>
      <c r="P3830" s="9"/>
      <c r="Q3830" s="9"/>
      <c r="R3830" s="9"/>
      <c r="S3830" s="9"/>
      <c r="T3830" s="9"/>
      <c r="U3830" s="9"/>
      <c r="V3830" s="9"/>
      <c r="W3830" s="9"/>
      <c r="X3830" s="9"/>
      <c r="Y3830" s="9"/>
      <c r="Z3830" s="9"/>
      <c r="AA3830" s="9"/>
      <c r="AB3830" s="9"/>
      <c r="AC3830" s="9"/>
      <c r="AD3830" s="9"/>
      <c r="AE3830" s="9"/>
      <c r="AF3830" s="9"/>
      <c r="AG3830" s="9"/>
      <c r="AH3830" s="9"/>
      <c r="AI3830" s="9"/>
      <c r="AJ3830" s="9"/>
      <c r="AK3830" s="9"/>
      <c r="AL3830" s="9"/>
      <c r="AM3830" s="9"/>
      <c r="AN3830" s="9"/>
      <c r="AO3830" s="9"/>
      <c r="AP3830" s="9"/>
      <c r="AQ3830" s="9"/>
      <c r="AR3830" s="9"/>
      <c r="AS3830" s="9"/>
      <c r="AT3830" s="9"/>
      <c r="AU3830" s="9"/>
    </row>
    <row r="3831" spans="1:47" ht="15.75" customHeight="1">
      <c r="A3831" s="9"/>
      <c r="B3831" s="9"/>
      <c r="C3831" s="9"/>
      <c r="D3831" s="9"/>
      <c r="E3831" s="9"/>
      <c r="F3831" s="67"/>
      <c r="G3831" s="9"/>
      <c r="H3831" s="9"/>
      <c r="I3831" s="9"/>
      <c r="J3831" s="9"/>
      <c r="K3831" s="9"/>
      <c r="L3831" s="9"/>
      <c r="M3831" s="9"/>
      <c r="N3831" s="9"/>
      <c r="O3831" s="9"/>
      <c r="P3831" s="9"/>
      <c r="Q3831" s="9"/>
      <c r="R3831" s="9"/>
      <c r="S3831" s="9"/>
      <c r="T3831" s="9"/>
      <c r="U3831" s="9"/>
      <c r="V3831" s="9"/>
      <c r="W3831" s="9"/>
      <c r="X3831" s="9"/>
      <c r="Y3831" s="9"/>
      <c r="Z3831" s="9"/>
      <c r="AA3831" s="9"/>
      <c r="AB3831" s="9"/>
      <c r="AC3831" s="9"/>
      <c r="AD3831" s="9"/>
      <c r="AE3831" s="9"/>
      <c r="AF3831" s="9"/>
      <c r="AG3831" s="9"/>
      <c r="AH3831" s="9"/>
      <c r="AI3831" s="9"/>
      <c r="AJ3831" s="9"/>
      <c r="AK3831" s="9"/>
      <c r="AL3831" s="9"/>
      <c r="AM3831" s="9"/>
      <c r="AN3831" s="9"/>
      <c r="AO3831" s="9"/>
      <c r="AP3831" s="9"/>
      <c r="AQ3831" s="9"/>
      <c r="AR3831" s="9"/>
      <c r="AS3831" s="9"/>
      <c r="AT3831" s="9"/>
      <c r="AU3831" s="9"/>
    </row>
    <row r="3832" spans="1:47" ht="15.75" customHeight="1">
      <c r="A3832" s="9"/>
      <c r="B3832" s="9"/>
      <c r="C3832" s="9"/>
      <c r="D3832" s="9"/>
      <c r="E3832" s="9"/>
      <c r="F3832" s="67"/>
      <c r="G3832" s="9"/>
      <c r="H3832" s="9"/>
      <c r="I3832" s="9"/>
      <c r="J3832" s="9"/>
      <c r="K3832" s="9"/>
      <c r="L3832" s="9"/>
      <c r="M3832" s="9"/>
      <c r="N3832" s="9"/>
      <c r="O3832" s="9"/>
      <c r="P3832" s="9"/>
      <c r="Q3832" s="9"/>
      <c r="R3832" s="9"/>
      <c r="S3832" s="9"/>
      <c r="T3832" s="9"/>
      <c r="U3832" s="9"/>
      <c r="V3832" s="9"/>
      <c r="W3832" s="9"/>
      <c r="X3832" s="9"/>
      <c r="Y3832" s="9"/>
      <c r="Z3832" s="9"/>
      <c r="AA3832" s="9"/>
      <c r="AB3832" s="9"/>
      <c r="AC3832" s="9"/>
      <c r="AD3832" s="9"/>
      <c r="AE3832" s="9"/>
      <c r="AF3832" s="9"/>
      <c r="AG3832" s="9"/>
      <c r="AH3832" s="9"/>
      <c r="AI3832" s="9"/>
      <c r="AJ3832" s="9"/>
      <c r="AK3832" s="9"/>
      <c r="AL3832" s="9"/>
      <c r="AM3832" s="9"/>
      <c r="AN3832" s="9"/>
      <c r="AO3832" s="9"/>
      <c r="AP3832" s="9"/>
      <c r="AQ3832" s="9"/>
      <c r="AR3832" s="9"/>
      <c r="AS3832" s="9"/>
      <c r="AT3832" s="9"/>
      <c r="AU3832" s="9"/>
    </row>
    <row r="3833" spans="1:47" ht="15.75" customHeight="1">
      <c r="A3833" s="9"/>
      <c r="B3833" s="9"/>
      <c r="C3833" s="9"/>
      <c r="D3833" s="9"/>
      <c r="E3833" s="9"/>
      <c r="F3833" s="67"/>
      <c r="G3833" s="9"/>
      <c r="H3833" s="9"/>
      <c r="I3833" s="9"/>
      <c r="J3833" s="9"/>
      <c r="K3833" s="9"/>
      <c r="L3833" s="9"/>
      <c r="M3833" s="9"/>
      <c r="N3833" s="9"/>
      <c r="O3833" s="9"/>
      <c r="P3833" s="9"/>
      <c r="Q3833" s="9"/>
      <c r="R3833" s="9"/>
      <c r="S3833" s="9"/>
      <c r="T3833" s="9"/>
      <c r="U3833" s="9"/>
      <c r="V3833" s="9"/>
      <c r="W3833" s="9"/>
      <c r="X3833" s="9"/>
      <c r="Y3833" s="9"/>
      <c r="Z3833" s="9"/>
      <c r="AA3833" s="9"/>
      <c r="AB3833" s="9"/>
      <c r="AC3833" s="9"/>
      <c r="AD3833" s="9"/>
      <c r="AE3833" s="9"/>
      <c r="AF3833" s="9"/>
      <c r="AG3833" s="9"/>
      <c r="AH3833" s="9"/>
      <c r="AI3833" s="9"/>
      <c r="AJ3833" s="9"/>
      <c r="AK3833" s="9"/>
      <c r="AL3833" s="9"/>
      <c r="AM3833" s="9"/>
      <c r="AN3833" s="9"/>
      <c r="AO3833" s="9"/>
      <c r="AP3833" s="9"/>
      <c r="AQ3833" s="9"/>
      <c r="AR3833" s="9"/>
      <c r="AS3833" s="9"/>
      <c r="AT3833" s="9"/>
      <c r="AU3833" s="9"/>
    </row>
    <row r="3834" spans="1:47" ht="15.75" customHeight="1">
      <c r="A3834" s="9"/>
      <c r="B3834" s="9"/>
      <c r="C3834" s="9"/>
      <c r="D3834" s="9"/>
      <c r="E3834" s="9"/>
      <c r="F3834" s="67"/>
      <c r="G3834" s="9"/>
      <c r="H3834" s="9"/>
      <c r="I3834" s="9"/>
      <c r="J3834" s="9"/>
      <c r="K3834" s="9"/>
      <c r="L3834" s="9"/>
      <c r="M3834" s="9"/>
      <c r="N3834" s="9"/>
      <c r="O3834" s="9"/>
      <c r="P3834" s="9"/>
      <c r="Q3834" s="9"/>
      <c r="R3834" s="9"/>
      <c r="S3834" s="9"/>
      <c r="T3834" s="9"/>
      <c r="U3834" s="9"/>
      <c r="V3834" s="9"/>
      <c r="W3834" s="9"/>
      <c r="X3834" s="9"/>
      <c r="Y3834" s="9"/>
      <c r="Z3834" s="9"/>
      <c r="AA3834" s="9"/>
      <c r="AB3834" s="9"/>
      <c r="AC3834" s="9"/>
      <c r="AD3834" s="9"/>
      <c r="AE3834" s="9"/>
      <c r="AF3834" s="9"/>
      <c r="AG3834" s="9"/>
      <c r="AH3834" s="9"/>
      <c r="AI3834" s="9"/>
      <c r="AJ3834" s="9"/>
      <c r="AK3834" s="9"/>
      <c r="AL3834" s="9"/>
      <c r="AM3834" s="9"/>
      <c r="AN3834" s="9"/>
      <c r="AO3834" s="9"/>
      <c r="AP3834" s="9"/>
      <c r="AQ3834" s="9"/>
      <c r="AR3834" s="9"/>
      <c r="AS3834" s="9"/>
      <c r="AT3834" s="9"/>
      <c r="AU3834" s="9"/>
    </row>
    <row r="3835" spans="1:47" ht="15.75" customHeight="1">
      <c r="A3835" s="9"/>
      <c r="B3835" s="9"/>
      <c r="C3835" s="9"/>
      <c r="D3835" s="9"/>
      <c r="E3835" s="9"/>
      <c r="F3835" s="67"/>
      <c r="G3835" s="9"/>
      <c r="H3835" s="9"/>
      <c r="I3835" s="9"/>
      <c r="J3835" s="9"/>
      <c r="K3835" s="9"/>
      <c r="L3835" s="9"/>
      <c r="M3835" s="9"/>
      <c r="N3835" s="9"/>
      <c r="O3835" s="9"/>
      <c r="P3835" s="9"/>
      <c r="Q3835" s="9"/>
      <c r="R3835" s="9"/>
      <c r="S3835" s="9"/>
      <c r="T3835" s="9"/>
      <c r="U3835" s="9"/>
      <c r="V3835" s="9"/>
      <c r="W3835" s="9"/>
      <c r="X3835" s="9"/>
      <c r="Y3835" s="9"/>
      <c r="Z3835" s="9"/>
      <c r="AA3835" s="9"/>
      <c r="AB3835" s="9"/>
      <c r="AC3835" s="9"/>
      <c r="AD3835" s="9"/>
      <c r="AE3835" s="9"/>
      <c r="AF3835" s="9"/>
      <c r="AG3835" s="9"/>
      <c r="AH3835" s="9"/>
      <c r="AI3835" s="9"/>
      <c r="AJ3835" s="9"/>
      <c r="AK3835" s="9"/>
      <c r="AL3835" s="9"/>
      <c r="AM3835" s="9"/>
      <c r="AN3835" s="9"/>
      <c r="AO3835" s="9"/>
      <c r="AP3835" s="9"/>
      <c r="AQ3835" s="9"/>
      <c r="AR3835" s="9"/>
      <c r="AS3835" s="9"/>
      <c r="AT3835" s="9"/>
      <c r="AU3835" s="9"/>
    </row>
    <row r="3836" spans="1:47" ht="15.75" customHeight="1">
      <c r="A3836" s="9"/>
      <c r="B3836" s="9"/>
      <c r="C3836" s="9"/>
      <c r="D3836" s="9"/>
      <c r="E3836" s="9"/>
      <c r="F3836" s="67"/>
      <c r="G3836" s="9"/>
      <c r="H3836" s="9"/>
      <c r="I3836" s="9"/>
      <c r="J3836" s="9"/>
      <c r="K3836" s="9"/>
      <c r="L3836" s="9"/>
      <c r="M3836" s="9"/>
      <c r="N3836" s="9"/>
      <c r="O3836" s="9"/>
      <c r="P3836" s="9"/>
      <c r="Q3836" s="9"/>
      <c r="R3836" s="9"/>
      <c r="S3836" s="9"/>
      <c r="T3836" s="9"/>
      <c r="U3836" s="9"/>
      <c r="V3836" s="9"/>
      <c r="W3836" s="9"/>
      <c r="X3836" s="9"/>
      <c r="Y3836" s="9"/>
      <c r="Z3836" s="9"/>
      <c r="AA3836" s="9"/>
      <c r="AB3836" s="9"/>
      <c r="AC3836" s="9"/>
      <c r="AD3836" s="9"/>
      <c r="AE3836" s="9"/>
      <c r="AF3836" s="9"/>
      <c r="AG3836" s="9"/>
      <c r="AH3836" s="9"/>
      <c r="AI3836" s="9"/>
      <c r="AJ3836" s="9"/>
      <c r="AK3836" s="9"/>
      <c r="AL3836" s="9"/>
      <c r="AM3836" s="9"/>
      <c r="AN3836" s="9"/>
      <c r="AO3836" s="9"/>
      <c r="AP3836" s="9"/>
      <c r="AQ3836" s="9"/>
      <c r="AR3836" s="9"/>
      <c r="AS3836" s="9"/>
      <c r="AT3836" s="9"/>
      <c r="AU3836" s="9"/>
    </row>
    <row r="3837" spans="1:47" ht="15.75" customHeight="1">
      <c r="A3837" s="9"/>
      <c r="B3837" s="9"/>
      <c r="C3837" s="9"/>
      <c r="D3837" s="9"/>
      <c r="E3837" s="9"/>
      <c r="F3837" s="67"/>
      <c r="G3837" s="9"/>
      <c r="H3837" s="9"/>
      <c r="I3837" s="9"/>
      <c r="J3837" s="9"/>
      <c r="K3837" s="9"/>
      <c r="L3837" s="9"/>
      <c r="M3837" s="9"/>
      <c r="N3837" s="9"/>
      <c r="O3837" s="9"/>
      <c r="P3837" s="9"/>
      <c r="Q3837" s="9"/>
      <c r="R3837" s="9"/>
      <c r="S3837" s="9"/>
      <c r="T3837" s="9"/>
      <c r="U3837" s="9"/>
      <c r="V3837" s="9"/>
      <c r="W3837" s="9"/>
      <c r="X3837" s="9"/>
      <c r="Y3837" s="9"/>
      <c r="Z3837" s="9"/>
      <c r="AA3837" s="9"/>
      <c r="AB3837" s="9"/>
      <c r="AC3837" s="9"/>
      <c r="AD3837" s="9"/>
      <c r="AE3837" s="9"/>
      <c r="AF3837" s="9"/>
      <c r="AG3837" s="9"/>
      <c r="AH3837" s="9"/>
      <c r="AI3837" s="9"/>
      <c r="AJ3837" s="9"/>
      <c r="AK3837" s="9"/>
      <c r="AL3837" s="9"/>
      <c r="AM3837" s="9"/>
      <c r="AN3837" s="9"/>
      <c r="AO3837" s="9"/>
      <c r="AP3837" s="9"/>
      <c r="AQ3837" s="9"/>
      <c r="AR3837" s="9"/>
      <c r="AS3837" s="9"/>
      <c r="AT3837" s="9"/>
      <c r="AU3837" s="9"/>
    </row>
    <row r="3838" spans="1:47" ht="15.75" customHeight="1">
      <c r="A3838" s="9"/>
      <c r="B3838" s="9"/>
      <c r="C3838" s="9"/>
      <c r="D3838" s="9"/>
      <c r="E3838" s="9"/>
      <c r="F3838" s="67"/>
      <c r="G3838" s="9"/>
      <c r="H3838" s="9"/>
      <c r="I3838" s="9"/>
      <c r="J3838" s="9"/>
      <c r="K3838" s="9"/>
      <c r="L3838" s="9"/>
      <c r="M3838" s="9"/>
      <c r="N3838" s="9"/>
      <c r="O3838" s="9"/>
      <c r="P3838" s="9"/>
      <c r="Q3838" s="9"/>
      <c r="R3838" s="9"/>
      <c r="S3838" s="9"/>
      <c r="T3838" s="9"/>
      <c r="U3838" s="9"/>
      <c r="V3838" s="9"/>
      <c r="W3838" s="9"/>
      <c r="X3838" s="9"/>
      <c r="Y3838" s="9"/>
      <c r="Z3838" s="9"/>
      <c r="AA3838" s="9"/>
      <c r="AB3838" s="9"/>
      <c r="AC3838" s="9"/>
      <c r="AD3838" s="9"/>
      <c r="AE3838" s="9"/>
      <c r="AF3838" s="9"/>
      <c r="AG3838" s="9"/>
      <c r="AH3838" s="9"/>
      <c r="AI3838" s="9"/>
      <c r="AJ3838" s="9"/>
      <c r="AK3838" s="9"/>
      <c r="AL3838" s="9"/>
      <c r="AM3838" s="9"/>
      <c r="AN3838" s="9"/>
      <c r="AO3838" s="9"/>
      <c r="AP3838" s="9"/>
      <c r="AQ3838" s="9"/>
      <c r="AR3838" s="9"/>
      <c r="AS3838" s="9"/>
      <c r="AT3838" s="9"/>
      <c r="AU3838" s="9"/>
    </row>
    <row r="3839" spans="1:47" ht="15.75" customHeight="1">
      <c r="A3839" s="9"/>
      <c r="B3839" s="9"/>
      <c r="C3839" s="9"/>
      <c r="D3839" s="9"/>
      <c r="E3839" s="9"/>
      <c r="F3839" s="67"/>
      <c r="G3839" s="9"/>
      <c r="H3839" s="9"/>
      <c r="I3839" s="9"/>
      <c r="J3839" s="9"/>
      <c r="K3839" s="9"/>
      <c r="L3839" s="9"/>
      <c r="M3839" s="9"/>
      <c r="N3839" s="9"/>
      <c r="O3839" s="9"/>
      <c r="P3839" s="9"/>
      <c r="Q3839" s="9"/>
      <c r="R3839" s="9"/>
      <c r="S3839" s="9"/>
      <c r="T3839" s="9"/>
      <c r="U3839" s="9"/>
      <c r="V3839" s="9"/>
      <c r="W3839" s="9"/>
      <c r="X3839" s="9"/>
      <c r="Y3839" s="9"/>
      <c r="Z3839" s="9"/>
      <c r="AA3839" s="9"/>
      <c r="AB3839" s="9"/>
      <c r="AC3839" s="9"/>
      <c r="AD3839" s="9"/>
      <c r="AE3839" s="9"/>
      <c r="AF3839" s="9"/>
      <c r="AG3839" s="9"/>
      <c r="AH3839" s="9"/>
      <c r="AI3839" s="9"/>
      <c r="AJ3839" s="9"/>
      <c r="AK3839" s="9"/>
      <c r="AL3839" s="9"/>
      <c r="AM3839" s="9"/>
      <c r="AN3839" s="9"/>
      <c r="AO3839" s="9"/>
      <c r="AP3839" s="9"/>
      <c r="AQ3839" s="9"/>
      <c r="AR3839" s="9"/>
      <c r="AS3839" s="9"/>
      <c r="AT3839" s="9"/>
      <c r="AU3839" s="9"/>
    </row>
    <row r="3840" spans="1:47" ht="15.75" customHeight="1">
      <c r="A3840" s="9"/>
      <c r="B3840" s="9"/>
      <c r="C3840" s="9"/>
      <c r="D3840" s="9"/>
      <c r="E3840" s="9"/>
      <c r="F3840" s="67"/>
      <c r="G3840" s="9"/>
      <c r="H3840" s="9"/>
      <c r="I3840" s="9"/>
      <c r="J3840" s="9"/>
      <c r="K3840" s="9"/>
      <c r="L3840" s="9"/>
      <c r="M3840" s="9"/>
      <c r="N3840" s="9"/>
      <c r="O3840" s="9"/>
      <c r="P3840" s="9"/>
      <c r="Q3840" s="9"/>
      <c r="R3840" s="9"/>
      <c r="S3840" s="9"/>
      <c r="T3840" s="9"/>
      <c r="U3840" s="9"/>
      <c r="V3840" s="9"/>
      <c r="W3840" s="9"/>
      <c r="X3840" s="9"/>
      <c r="Y3840" s="9"/>
      <c r="Z3840" s="9"/>
      <c r="AA3840" s="9"/>
      <c r="AB3840" s="9"/>
      <c r="AC3840" s="9"/>
      <c r="AD3840" s="9"/>
      <c r="AE3840" s="9"/>
      <c r="AF3840" s="9"/>
      <c r="AG3840" s="9"/>
      <c r="AH3840" s="9"/>
      <c r="AI3840" s="9"/>
      <c r="AJ3840" s="9"/>
      <c r="AK3840" s="9"/>
      <c r="AL3840" s="9"/>
      <c r="AM3840" s="9"/>
      <c r="AN3840" s="9"/>
      <c r="AO3840" s="9"/>
      <c r="AP3840" s="9"/>
      <c r="AQ3840" s="9"/>
      <c r="AR3840" s="9"/>
      <c r="AS3840" s="9"/>
      <c r="AT3840" s="9"/>
      <c r="AU3840" s="9"/>
    </row>
    <row r="3841" spans="1:47" ht="15.75" customHeight="1">
      <c r="A3841" s="9"/>
      <c r="B3841" s="9"/>
      <c r="C3841" s="9"/>
      <c r="D3841" s="9"/>
      <c r="E3841" s="9"/>
      <c r="F3841" s="67"/>
      <c r="G3841" s="9"/>
      <c r="H3841" s="9"/>
      <c r="I3841" s="9"/>
      <c r="J3841" s="9"/>
      <c r="K3841" s="9"/>
      <c r="L3841" s="9"/>
      <c r="M3841" s="9"/>
      <c r="N3841" s="9"/>
      <c r="O3841" s="9"/>
      <c r="P3841" s="9"/>
      <c r="Q3841" s="9"/>
      <c r="R3841" s="9"/>
      <c r="S3841" s="9"/>
      <c r="T3841" s="9"/>
      <c r="U3841" s="9"/>
      <c r="V3841" s="9"/>
      <c r="W3841" s="9"/>
      <c r="X3841" s="9"/>
      <c r="Y3841" s="9"/>
      <c r="Z3841" s="9"/>
      <c r="AA3841" s="9"/>
      <c r="AB3841" s="9"/>
      <c r="AC3841" s="9"/>
      <c r="AD3841" s="9"/>
      <c r="AE3841" s="9"/>
      <c r="AF3841" s="9"/>
      <c r="AG3841" s="9"/>
      <c r="AH3841" s="9"/>
      <c r="AI3841" s="9"/>
      <c r="AJ3841" s="9"/>
      <c r="AK3841" s="9"/>
      <c r="AL3841" s="9"/>
      <c r="AM3841" s="9"/>
      <c r="AN3841" s="9"/>
      <c r="AO3841" s="9"/>
      <c r="AP3841" s="9"/>
      <c r="AQ3841" s="9"/>
      <c r="AR3841" s="9"/>
      <c r="AS3841" s="9"/>
      <c r="AT3841" s="9"/>
      <c r="AU3841" s="9"/>
    </row>
    <row r="3842" spans="1:47" ht="15.75" customHeight="1">
      <c r="A3842" s="9"/>
      <c r="B3842" s="9"/>
      <c r="C3842" s="9"/>
      <c r="D3842" s="9"/>
      <c r="E3842" s="9"/>
      <c r="F3842" s="67"/>
      <c r="G3842" s="9"/>
      <c r="H3842" s="9"/>
      <c r="I3842" s="9"/>
      <c r="J3842" s="9"/>
      <c r="K3842" s="9"/>
      <c r="L3842" s="9"/>
      <c r="M3842" s="9"/>
      <c r="N3842" s="9"/>
      <c r="O3842" s="9"/>
      <c r="P3842" s="9"/>
      <c r="Q3842" s="9"/>
      <c r="R3842" s="9"/>
      <c r="S3842" s="9"/>
      <c r="T3842" s="9"/>
      <c r="U3842" s="9"/>
      <c r="V3842" s="9"/>
      <c r="W3842" s="9"/>
      <c r="X3842" s="9"/>
      <c r="Y3842" s="9"/>
      <c r="Z3842" s="9"/>
      <c r="AA3842" s="9"/>
      <c r="AB3842" s="9"/>
      <c r="AC3842" s="9"/>
      <c r="AD3842" s="9"/>
      <c r="AE3842" s="9"/>
      <c r="AF3842" s="9"/>
      <c r="AG3842" s="9"/>
      <c r="AH3842" s="9"/>
      <c r="AI3842" s="9"/>
      <c r="AJ3842" s="9"/>
      <c r="AK3842" s="9"/>
      <c r="AL3842" s="9"/>
      <c r="AM3842" s="9"/>
      <c r="AN3842" s="9"/>
      <c r="AO3842" s="9"/>
      <c r="AP3842" s="9"/>
      <c r="AQ3842" s="9"/>
      <c r="AR3842" s="9"/>
      <c r="AS3842" s="9"/>
      <c r="AT3842" s="9"/>
      <c r="AU3842" s="9"/>
    </row>
    <row r="3843" spans="1:47" ht="15.75" customHeight="1">
      <c r="A3843" s="9"/>
      <c r="B3843" s="9"/>
      <c r="C3843" s="9"/>
      <c r="D3843" s="9"/>
      <c r="E3843" s="9"/>
      <c r="F3843" s="67"/>
      <c r="G3843" s="9"/>
      <c r="H3843" s="9"/>
      <c r="I3843" s="9"/>
      <c r="J3843" s="9"/>
      <c r="K3843" s="9"/>
      <c r="L3843" s="9"/>
      <c r="M3843" s="9"/>
      <c r="N3843" s="9"/>
      <c r="O3843" s="9"/>
      <c r="P3843" s="9"/>
      <c r="Q3843" s="9"/>
      <c r="R3843" s="9"/>
      <c r="S3843" s="9"/>
      <c r="T3843" s="9"/>
      <c r="U3843" s="9"/>
      <c r="V3843" s="9"/>
      <c r="W3843" s="9"/>
      <c r="X3843" s="9"/>
      <c r="Y3843" s="9"/>
      <c r="Z3843" s="9"/>
      <c r="AA3843" s="9"/>
      <c r="AB3843" s="9"/>
      <c r="AC3843" s="9"/>
      <c r="AD3843" s="9"/>
      <c r="AE3843" s="9"/>
      <c r="AF3843" s="9"/>
      <c r="AG3843" s="9"/>
      <c r="AH3843" s="9"/>
      <c r="AI3843" s="9"/>
      <c r="AJ3843" s="9"/>
      <c r="AK3843" s="9"/>
      <c r="AL3843" s="9"/>
      <c r="AM3843" s="9"/>
      <c r="AN3843" s="9"/>
      <c r="AO3843" s="9"/>
      <c r="AP3843" s="9"/>
      <c r="AQ3843" s="9"/>
      <c r="AR3843" s="9"/>
      <c r="AS3843" s="9"/>
      <c r="AT3843" s="9"/>
      <c r="AU3843" s="9"/>
    </row>
    <row r="3844" spans="1:47" ht="15.75" customHeight="1">
      <c r="A3844" s="9"/>
      <c r="B3844" s="9"/>
      <c r="C3844" s="9"/>
      <c r="D3844" s="9"/>
      <c r="E3844" s="9"/>
      <c r="F3844" s="67"/>
      <c r="G3844" s="9"/>
      <c r="H3844" s="9"/>
      <c r="I3844" s="9"/>
      <c r="J3844" s="9"/>
      <c r="K3844" s="9"/>
      <c r="L3844" s="9"/>
      <c r="M3844" s="9"/>
      <c r="N3844" s="9"/>
      <c r="O3844" s="9"/>
      <c r="P3844" s="9"/>
      <c r="Q3844" s="9"/>
      <c r="R3844" s="9"/>
      <c r="S3844" s="9"/>
      <c r="T3844" s="9"/>
      <c r="U3844" s="9"/>
      <c r="V3844" s="9"/>
      <c r="W3844" s="9"/>
      <c r="X3844" s="9"/>
      <c r="Y3844" s="9"/>
      <c r="Z3844" s="9"/>
      <c r="AA3844" s="9"/>
      <c r="AB3844" s="9"/>
      <c r="AC3844" s="9"/>
      <c r="AD3844" s="9"/>
      <c r="AE3844" s="9"/>
      <c r="AF3844" s="9"/>
      <c r="AG3844" s="9"/>
      <c r="AH3844" s="9"/>
      <c r="AI3844" s="9"/>
      <c r="AJ3844" s="9"/>
      <c r="AK3844" s="9"/>
      <c r="AL3844" s="9"/>
      <c r="AM3844" s="9"/>
      <c r="AN3844" s="9"/>
      <c r="AO3844" s="9"/>
      <c r="AP3844" s="9"/>
      <c r="AQ3844" s="9"/>
      <c r="AR3844" s="9"/>
      <c r="AS3844" s="9"/>
      <c r="AT3844" s="9"/>
      <c r="AU3844" s="9"/>
    </row>
    <row r="3845" spans="1:47" ht="15.75" customHeight="1">
      <c r="A3845" s="9"/>
      <c r="B3845" s="9"/>
      <c r="C3845" s="9"/>
      <c r="D3845" s="9"/>
      <c r="E3845" s="9"/>
      <c r="F3845" s="67"/>
      <c r="G3845" s="9"/>
      <c r="H3845" s="9"/>
      <c r="I3845" s="9"/>
      <c r="J3845" s="9"/>
      <c r="K3845" s="9"/>
      <c r="L3845" s="9"/>
      <c r="M3845" s="9"/>
      <c r="N3845" s="9"/>
      <c r="O3845" s="9"/>
      <c r="P3845" s="9"/>
      <c r="Q3845" s="9"/>
      <c r="R3845" s="9"/>
      <c r="S3845" s="9"/>
      <c r="T3845" s="9"/>
      <c r="U3845" s="9"/>
      <c r="V3845" s="9"/>
      <c r="W3845" s="9"/>
      <c r="X3845" s="9"/>
      <c r="Y3845" s="9"/>
      <c r="Z3845" s="9"/>
      <c r="AA3845" s="9"/>
      <c r="AB3845" s="9"/>
      <c r="AC3845" s="9"/>
      <c r="AD3845" s="9"/>
      <c r="AE3845" s="9"/>
      <c r="AF3845" s="9"/>
      <c r="AG3845" s="9"/>
      <c r="AH3845" s="9"/>
      <c r="AI3845" s="9"/>
      <c r="AJ3845" s="9"/>
      <c r="AK3845" s="9"/>
      <c r="AL3845" s="9"/>
      <c r="AM3845" s="9"/>
      <c r="AN3845" s="9"/>
      <c r="AO3845" s="9"/>
      <c r="AP3845" s="9"/>
      <c r="AQ3845" s="9"/>
      <c r="AR3845" s="9"/>
      <c r="AS3845" s="9"/>
      <c r="AT3845" s="9"/>
      <c r="AU3845" s="9"/>
    </row>
    <row r="3846" spans="1:47" ht="15.75" customHeight="1">
      <c r="A3846" s="9"/>
      <c r="B3846" s="9"/>
      <c r="C3846" s="9"/>
      <c r="D3846" s="9"/>
      <c r="E3846" s="9"/>
      <c r="F3846" s="67"/>
      <c r="G3846" s="9"/>
      <c r="H3846" s="9"/>
      <c r="I3846" s="9"/>
      <c r="J3846" s="9"/>
      <c r="K3846" s="9"/>
      <c r="L3846" s="9"/>
      <c r="M3846" s="9"/>
      <c r="N3846" s="9"/>
      <c r="O3846" s="9"/>
      <c r="P3846" s="9"/>
      <c r="Q3846" s="9"/>
      <c r="R3846" s="9"/>
      <c r="S3846" s="9"/>
      <c r="T3846" s="9"/>
      <c r="U3846" s="9"/>
      <c r="V3846" s="9"/>
      <c r="W3846" s="9"/>
      <c r="X3846" s="9"/>
      <c r="Y3846" s="9"/>
      <c r="Z3846" s="9"/>
      <c r="AA3846" s="9"/>
      <c r="AB3846" s="9"/>
      <c r="AC3846" s="9"/>
      <c r="AD3846" s="9"/>
      <c r="AE3846" s="9"/>
      <c r="AF3846" s="9"/>
      <c r="AG3846" s="9"/>
      <c r="AH3846" s="9"/>
      <c r="AI3846" s="9"/>
      <c r="AJ3846" s="9"/>
      <c r="AK3846" s="9"/>
      <c r="AL3846" s="9"/>
      <c r="AM3846" s="9"/>
      <c r="AN3846" s="9"/>
      <c r="AO3846" s="9"/>
      <c r="AP3846" s="9"/>
      <c r="AQ3846" s="9"/>
      <c r="AR3846" s="9"/>
      <c r="AS3846" s="9"/>
      <c r="AT3846" s="9"/>
      <c r="AU3846" s="9"/>
    </row>
    <row r="3847" spans="1:47" ht="15.75" customHeight="1">
      <c r="A3847" s="9"/>
      <c r="B3847" s="9"/>
      <c r="C3847" s="9"/>
      <c r="D3847" s="9"/>
      <c r="E3847" s="9"/>
      <c r="F3847" s="67"/>
      <c r="G3847" s="9"/>
      <c r="H3847" s="9"/>
      <c r="I3847" s="9"/>
      <c r="J3847" s="9"/>
      <c r="K3847" s="9"/>
      <c r="L3847" s="9"/>
      <c r="M3847" s="9"/>
      <c r="N3847" s="9"/>
      <c r="O3847" s="9"/>
      <c r="P3847" s="9"/>
      <c r="Q3847" s="9"/>
      <c r="R3847" s="9"/>
      <c r="S3847" s="9"/>
      <c r="T3847" s="9"/>
      <c r="U3847" s="9"/>
      <c r="V3847" s="9"/>
      <c r="W3847" s="9"/>
      <c r="X3847" s="9"/>
      <c r="Y3847" s="9"/>
      <c r="Z3847" s="9"/>
      <c r="AA3847" s="9"/>
      <c r="AB3847" s="9"/>
      <c r="AC3847" s="9"/>
      <c r="AD3847" s="9"/>
      <c r="AE3847" s="9"/>
      <c r="AF3847" s="9"/>
      <c r="AG3847" s="9"/>
      <c r="AH3847" s="9"/>
      <c r="AI3847" s="9"/>
      <c r="AJ3847" s="9"/>
      <c r="AK3847" s="9"/>
      <c r="AL3847" s="9"/>
      <c r="AM3847" s="9"/>
      <c r="AN3847" s="9"/>
      <c r="AO3847" s="9"/>
      <c r="AP3847" s="9"/>
      <c r="AQ3847" s="9"/>
      <c r="AR3847" s="9"/>
      <c r="AS3847" s="9"/>
      <c r="AT3847" s="9"/>
      <c r="AU3847" s="9"/>
    </row>
    <row r="3848" spans="1:47" ht="15.75" customHeight="1">
      <c r="A3848" s="9"/>
      <c r="B3848" s="9"/>
      <c r="C3848" s="9"/>
      <c r="D3848" s="9"/>
      <c r="E3848" s="9"/>
      <c r="F3848" s="67"/>
      <c r="G3848" s="9"/>
      <c r="H3848" s="9"/>
      <c r="I3848" s="9"/>
      <c r="J3848" s="9"/>
      <c r="K3848" s="9"/>
      <c r="L3848" s="9"/>
      <c r="M3848" s="9"/>
      <c r="N3848" s="9"/>
      <c r="O3848" s="9"/>
      <c r="P3848" s="9"/>
      <c r="Q3848" s="9"/>
      <c r="R3848" s="9"/>
      <c r="S3848" s="9"/>
      <c r="T3848" s="9"/>
      <c r="U3848" s="9"/>
      <c r="V3848" s="9"/>
      <c r="W3848" s="9"/>
      <c r="X3848" s="9"/>
      <c r="Y3848" s="9"/>
      <c r="Z3848" s="9"/>
      <c r="AA3848" s="9"/>
      <c r="AB3848" s="9"/>
      <c r="AC3848" s="9"/>
      <c r="AD3848" s="9"/>
      <c r="AE3848" s="9"/>
      <c r="AF3848" s="9"/>
      <c r="AG3848" s="9"/>
      <c r="AH3848" s="9"/>
      <c r="AI3848" s="9"/>
      <c r="AJ3848" s="9"/>
      <c r="AK3848" s="9"/>
      <c r="AL3848" s="9"/>
      <c r="AM3848" s="9"/>
      <c r="AN3848" s="9"/>
      <c r="AO3848" s="9"/>
      <c r="AP3848" s="9"/>
      <c r="AQ3848" s="9"/>
      <c r="AR3848" s="9"/>
      <c r="AS3848" s="9"/>
      <c r="AT3848" s="9"/>
      <c r="AU3848" s="9"/>
    </row>
    <row r="3849" spans="1:47" ht="15.75" customHeight="1">
      <c r="A3849" s="9"/>
      <c r="B3849" s="9"/>
      <c r="C3849" s="9"/>
      <c r="D3849" s="9"/>
      <c r="E3849" s="9"/>
      <c r="F3849" s="67"/>
      <c r="G3849" s="9"/>
      <c r="H3849" s="9"/>
      <c r="I3849" s="9"/>
      <c r="J3849" s="9"/>
      <c r="K3849" s="9"/>
      <c r="L3849" s="9"/>
      <c r="M3849" s="9"/>
      <c r="N3849" s="9"/>
      <c r="O3849" s="9"/>
      <c r="P3849" s="9"/>
      <c r="Q3849" s="9"/>
      <c r="R3849" s="9"/>
      <c r="S3849" s="9"/>
      <c r="T3849" s="9"/>
      <c r="U3849" s="9"/>
      <c r="V3849" s="9"/>
      <c r="W3849" s="9"/>
      <c r="X3849" s="9"/>
      <c r="Y3849" s="9"/>
      <c r="Z3849" s="9"/>
      <c r="AA3849" s="9"/>
      <c r="AB3849" s="9"/>
      <c r="AC3849" s="9"/>
      <c r="AD3849" s="9"/>
      <c r="AE3849" s="9"/>
      <c r="AF3849" s="9"/>
      <c r="AG3849" s="9"/>
      <c r="AH3849" s="9"/>
      <c r="AI3849" s="9"/>
      <c r="AJ3849" s="9"/>
      <c r="AK3849" s="9"/>
      <c r="AL3849" s="9"/>
      <c r="AM3849" s="9"/>
      <c r="AN3849" s="9"/>
      <c r="AO3849" s="9"/>
      <c r="AP3849" s="9"/>
      <c r="AQ3849" s="9"/>
      <c r="AR3849" s="9"/>
      <c r="AS3849" s="9"/>
      <c r="AT3849" s="9"/>
      <c r="AU3849" s="9"/>
    </row>
    <row r="3850" spans="1:47" ht="15.75" customHeight="1">
      <c r="A3850" s="9"/>
      <c r="B3850" s="9"/>
      <c r="C3850" s="9"/>
      <c r="D3850" s="9"/>
      <c r="E3850" s="9"/>
      <c r="F3850" s="67"/>
      <c r="G3850" s="9"/>
      <c r="H3850" s="9"/>
      <c r="I3850" s="9"/>
      <c r="J3850" s="9"/>
      <c r="K3850" s="9"/>
      <c r="L3850" s="9"/>
      <c r="M3850" s="9"/>
      <c r="N3850" s="9"/>
      <c r="O3850" s="9"/>
      <c r="P3850" s="9"/>
      <c r="Q3850" s="9"/>
      <c r="R3850" s="9"/>
      <c r="S3850" s="9"/>
      <c r="T3850" s="9"/>
      <c r="U3850" s="9"/>
      <c r="V3850" s="9"/>
      <c r="W3850" s="9"/>
      <c r="X3850" s="9"/>
      <c r="Y3850" s="9"/>
      <c r="Z3850" s="9"/>
      <c r="AA3850" s="9"/>
      <c r="AB3850" s="9"/>
      <c r="AC3850" s="9"/>
      <c r="AD3850" s="9"/>
      <c r="AE3850" s="9"/>
      <c r="AF3850" s="9"/>
      <c r="AG3850" s="9"/>
      <c r="AH3850" s="9"/>
      <c r="AI3850" s="9"/>
      <c r="AJ3850" s="9"/>
      <c r="AK3850" s="9"/>
      <c r="AL3850" s="9"/>
      <c r="AM3850" s="9"/>
      <c r="AN3850" s="9"/>
      <c r="AO3850" s="9"/>
      <c r="AP3850" s="9"/>
      <c r="AQ3850" s="9"/>
      <c r="AR3850" s="9"/>
      <c r="AS3850" s="9"/>
      <c r="AT3850" s="9"/>
      <c r="AU3850" s="9"/>
    </row>
    <row r="3851" spans="1:47" ht="15.75" customHeight="1">
      <c r="A3851" s="9"/>
      <c r="B3851" s="9"/>
      <c r="C3851" s="9"/>
      <c r="D3851" s="9"/>
      <c r="E3851" s="9"/>
      <c r="F3851" s="67"/>
      <c r="G3851" s="9"/>
      <c r="H3851" s="9"/>
      <c r="I3851" s="9"/>
      <c r="J3851" s="9"/>
      <c r="K3851" s="9"/>
      <c r="L3851" s="9"/>
      <c r="M3851" s="9"/>
      <c r="N3851" s="9"/>
      <c r="O3851" s="9"/>
      <c r="P3851" s="9"/>
      <c r="Q3851" s="9"/>
      <c r="R3851" s="9"/>
      <c r="S3851" s="9"/>
      <c r="T3851" s="9"/>
      <c r="U3851" s="9"/>
      <c r="V3851" s="9"/>
      <c r="W3851" s="9"/>
      <c r="X3851" s="9"/>
      <c r="Y3851" s="9"/>
      <c r="Z3851" s="9"/>
      <c r="AA3851" s="9"/>
      <c r="AB3851" s="9"/>
      <c r="AC3851" s="9"/>
      <c r="AD3851" s="9"/>
      <c r="AE3851" s="9"/>
      <c r="AF3851" s="9"/>
      <c r="AG3851" s="9"/>
      <c r="AH3851" s="9"/>
      <c r="AI3851" s="9"/>
      <c r="AJ3851" s="9"/>
      <c r="AK3851" s="9"/>
      <c r="AL3851" s="9"/>
      <c r="AM3851" s="9"/>
      <c r="AN3851" s="9"/>
      <c r="AO3851" s="9"/>
      <c r="AP3851" s="9"/>
      <c r="AQ3851" s="9"/>
      <c r="AR3851" s="9"/>
      <c r="AS3851" s="9"/>
      <c r="AT3851" s="9"/>
      <c r="AU3851" s="9"/>
    </row>
    <row r="3852" spans="1:47" ht="15.75" customHeight="1">
      <c r="A3852" s="9"/>
      <c r="B3852" s="9"/>
      <c r="C3852" s="9"/>
      <c r="D3852" s="9"/>
      <c r="E3852" s="9"/>
      <c r="F3852" s="67"/>
      <c r="G3852" s="9"/>
      <c r="H3852" s="9"/>
      <c r="I3852" s="9"/>
      <c r="J3852" s="9"/>
      <c r="K3852" s="9"/>
      <c r="L3852" s="9"/>
      <c r="M3852" s="9"/>
      <c r="N3852" s="9"/>
      <c r="O3852" s="9"/>
      <c r="P3852" s="9"/>
      <c r="Q3852" s="9"/>
      <c r="R3852" s="9"/>
      <c r="S3852" s="9"/>
      <c r="T3852" s="9"/>
      <c r="U3852" s="9"/>
      <c r="V3852" s="9"/>
      <c r="W3852" s="9"/>
      <c r="X3852" s="9"/>
      <c r="Y3852" s="9"/>
      <c r="Z3852" s="9"/>
      <c r="AA3852" s="9"/>
      <c r="AB3852" s="9"/>
      <c r="AC3852" s="9"/>
      <c r="AD3852" s="9"/>
      <c r="AE3852" s="9"/>
      <c r="AF3852" s="9"/>
      <c r="AG3852" s="9"/>
      <c r="AH3852" s="9"/>
      <c r="AI3852" s="9"/>
      <c r="AJ3852" s="9"/>
      <c r="AK3852" s="9"/>
      <c r="AL3852" s="9"/>
      <c r="AM3852" s="9"/>
      <c r="AN3852" s="9"/>
      <c r="AO3852" s="9"/>
      <c r="AP3852" s="9"/>
      <c r="AQ3852" s="9"/>
      <c r="AR3852" s="9"/>
      <c r="AS3852" s="9"/>
      <c r="AT3852" s="9"/>
      <c r="AU3852" s="9"/>
    </row>
    <row r="3853" spans="1:47" ht="15.75" customHeight="1">
      <c r="A3853" s="9"/>
      <c r="B3853" s="9"/>
      <c r="C3853" s="9"/>
      <c r="D3853" s="9"/>
      <c r="E3853" s="9"/>
      <c r="F3853" s="67"/>
      <c r="G3853" s="9"/>
      <c r="H3853" s="9"/>
      <c r="I3853" s="9"/>
      <c r="J3853" s="9"/>
      <c r="K3853" s="9"/>
      <c r="L3853" s="9"/>
      <c r="M3853" s="9"/>
      <c r="N3853" s="9"/>
      <c r="O3853" s="9"/>
      <c r="P3853" s="9"/>
      <c r="Q3853" s="9"/>
      <c r="R3853" s="9"/>
      <c r="S3853" s="9"/>
      <c r="T3853" s="9"/>
      <c r="U3853" s="9"/>
      <c r="V3853" s="9"/>
      <c r="W3853" s="9"/>
      <c r="X3853" s="9"/>
      <c r="Y3853" s="9"/>
      <c r="Z3853" s="9"/>
      <c r="AA3853" s="9"/>
      <c r="AB3853" s="9"/>
      <c r="AC3853" s="9"/>
      <c r="AD3853" s="9"/>
      <c r="AE3853" s="9"/>
      <c r="AF3853" s="9"/>
      <c r="AG3853" s="9"/>
      <c r="AH3853" s="9"/>
      <c r="AI3853" s="9"/>
      <c r="AJ3853" s="9"/>
      <c r="AK3853" s="9"/>
      <c r="AL3853" s="9"/>
      <c r="AM3853" s="9"/>
      <c r="AN3853" s="9"/>
      <c r="AO3853" s="9"/>
      <c r="AP3853" s="9"/>
      <c r="AQ3853" s="9"/>
      <c r="AR3853" s="9"/>
      <c r="AS3853" s="9"/>
      <c r="AT3853" s="9"/>
      <c r="AU3853" s="9"/>
    </row>
    <row r="3854" spans="1:47" ht="15.75" customHeight="1">
      <c r="A3854" s="9"/>
      <c r="B3854" s="9"/>
      <c r="C3854" s="9"/>
      <c r="D3854" s="9"/>
      <c r="E3854" s="9"/>
      <c r="F3854" s="67"/>
      <c r="G3854" s="9"/>
      <c r="H3854" s="9"/>
      <c r="I3854" s="9"/>
      <c r="J3854" s="9"/>
      <c r="K3854" s="9"/>
      <c r="L3854" s="9"/>
      <c r="M3854" s="9"/>
      <c r="N3854" s="9"/>
      <c r="O3854" s="9"/>
      <c r="P3854" s="9"/>
      <c r="Q3854" s="9"/>
      <c r="R3854" s="9"/>
      <c r="S3854" s="9"/>
      <c r="T3854" s="9"/>
      <c r="U3854" s="9"/>
      <c r="V3854" s="9"/>
      <c r="W3854" s="9"/>
      <c r="X3854" s="9"/>
      <c r="Y3854" s="9"/>
      <c r="Z3854" s="9"/>
      <c r="AA3854" s="9"/>
      <c r="AB3854" s="9"/>
      <c r="AC3854" s="9"/>
      <c r="AD3854" s="9"/>
      <c r="AE3854" s="9"/>
      <c r="AF3854" s="9"/>
      <c r="AG3854" s="9"/>
      <c r="AH3854" s="9"/>
      <c r="AI3854" s="9"/>
      <c r="AJ3854" s="9"/>
      <c r="AK3854" s="9"/>
      <c r="AL3854" s="9"/>
      <c r="AM3854" s="9"/>
      <c r="AN3854" s="9"/>
      <c r="AO3854" s="9"/>
      <c r="AP3854" s="9"/>
      <c r="AQ3854" s="9"/>
      <c r="AR3854" s="9"/>
      <c r="AS3854" s="9"/>
      <c r="AT3854" s="9"/>
      <c r="AU3854" s="9"/>
    </row>
    <row r="3855" spans="1:47" ht="15.75" customHeight="1">
      <c r="A3855" s="9"/>
      <c r="B3855" s="9"/>
      <c r="C3855" s="9"/>
      <c r="D3855" s="9"/>
      <c r="E3855" s="9"/>
      <c r="F3855" s="67"/>
      <c r="G3855" s="9"/>
      <c r="H3855" s="9"/>
      <c r="I3855" s="9"/>
      <c r="J3855" s="9"/>
      <c r="K3855" s="9"/>
      <c r="L3855" s="9"/>
      <c r="M3855" s="9"/>
      <c r="N3855" s="9"/>
      <c r="O3855" s="9"/>
      <c r="P3855" s="9"/>
      <c r="Q3855" s="9"/>
      <c r="R3855" s="9"/>
      <c r="S3855" s="9"/>
      <c r="T3855" s="9"/>
      <c r="U3855" s="9"/>
      <c r="V3855" s="9"/>
      <c r="W3855" s="9"/>
      <c r="X3855" s="9"/>
      <c r="Y3855" s="9"/>
      <c r="Z3855" s="9"/>
      <c r="AA3855" s="9"/>
      <c r="AB3855" s="9"/>
      <c r="AC3855" s="9"/>
      <c r="AD3855" s="9"/>
      <c r="AE3855" s="9"/>
      <c r="AF3855" s="9"/>
      <c r="AG3855" s="9"/>
      <c r="AH3855" s="9"/>
      <c r="AI3855" s="9"/>
      <c r="AJ3855" s="9"/>
      <c r="AK3855" s="9"/>
      <c r="AL3855" s="9"/>
      <c r="AM3855" s="9"/>
      <c r="AN3855" s="9"/>
      <c r="AO3855" s="9"/>
      <c r="AP3855" s="9"/>
      <c r="AQ3855" s="9"/>
      <c r="AR3855" s="9"/>
      <c r="AS3855" s="9"/>
      <c r="AT3855" s="9"/>
      <c r="AU3855" s="9"/>
    </row>
    <row r="3856" spans="1:47" ht="15.75" customHeight="1">
      <c r="A3856" s="9"/>
      <c r="B3856" s="9"/>
      <c r="C3856" s="9"/>
      <c r="D3856" s="9"/>
      <c r="E3856" s="9"/>
      <c r="F3856" s="67"/>
      <c r="G3856" s="9"/>
      <c r="H3856" s="9"/>
      <c r="I3856" s="9"/>
      <c r="J3856" s="9"/>
      <c r="K3856" s="9"/>
      <c r="L3856" s="9"/>
      <c r="M3856" s="9"/>
      <c r="N3856" s="9"/>
      <c r="O3856" s="9"/>
      <c r="P3856" s="9"/>
      <c r="Q3856" s="9"/>
      <c r="R3856" s="9"/>
      <c r="S3856" s="9"/>
      <c r="T3856" s="9"/>
      <c r="U3856" s="9"/>
      <c r="V3856" s="9"/>
      <c r="W3856" s="9"/>
      <c r="X3856" s="9"/>
      <c r="Y3856" s="9"/>
      <c r="Z3856" s="9"/>
      <c r="AA3856" s="9"/>
      <c r="AB3856" s="9"/>
      <c r="AC3856" s="9"/>
      <c r="AD3856" s="9"/>
      <c r="AE3856" s="9"/>
      <c r="AF3856" s="9"/>
      <c r="AG3856" s="9"/>
      <c r="AH3856" s="9"/>
      <c r="AI3856" s="9"/>
      <c r="AJ3856" s="9"/>
      <c r="AK3856" s="9"/>
      <c r="AL3856" s="9"/>
      <c r="AM3856" s="9"/>
      <c r="AN3856" s="9"/>
      <c r="AO3856" s="9"/>
      <c r="AP3856" s="9"/>
      <c r="AQ3856" s="9"/>
      <c r="AR3856" s="9"/>
      <c r="AS3856" s="9"/>
      <c r="AT3856" s="9"/>
      <c r="AU3856" s="9"/>
    </row>
    <row r="3857" spans="1:47" ht="15.75" customHeight="1">
      <c r="A3857" s="9"/>
      <c r="B3857" s="9"/>
      <c r="C3857" s="9"/>
      <c r="D3857" s="9"/>
      <c r="E3857" s="9"/>
      <c r="F3857" s="67"/>
      <c r="G3857" s="9"/>
      <c r="H3857" s="9"/>
      <c r="I3857" s="9"/>
      <c r="J3857" s="9"/>
      <c r="K3857" s="9"/>
      <c r="L3857" s="9"/>
      <c r="M3857" s="9"/>
      <c r="N3857" s="9"/>
      <c r="O3857" s="9"/>
      <c r="P3857" s="9"/>
      <c r="Q3857" s="9"/>
      <c r="R3857" s="9"/>
      <c r="S3857" s="9"/>
      <c r="T3857" s="9"/>
      <c r="U3857" s="9"/>
      <c r="V3857" s="9"/>
      <c r="W3857" s="9"/>
      <c r="X3857" s="9"/>
      <c r="Y3857" s="9"/>
      <c r="Z3857" s="9"/>
      <c r="AA3857" s="9"/>
      <c r="AB3857" s="9"/>
      <c r="AC3857" s="9"/>
      <c r="AD3857" s="9"/>
      <c r="AE3857" s="9"/>
      <c r="AF3857" s="9"/>
      <c r="AG3857" s="9"/>
      <c r="AH3857" s="9"/>
      <c r="AI3857" s="9"/>
      <c r="AJ3857" s="9"/>
      <c r="AK3857" s="9"/>
      <c r="AL3857" s="9"/>
      <c r="AM3857" s="9"/>
      <c r="AN3857" s="9"/>
      <c r="AO3857" s="9"/>
      <c r="AP3857" s="9"/>
      <c r="AQ3857" s="9"/>
      <c r="AR3857" s="9"/>
      <c r="AS3857" s="9"/>
      <c r="AT3857" s="9"/>
      <c r="AU3857" s="9"/>
    </row>
    <row r="3858" spans="1:47" ht="15.75" customHeight="1">
      <c r="A3858" s="9"/>
      <c r="B3858" s="9"/>
      <c r="C3858" s="9"/>
      <c r="D3858" s="9"/>
      <c r="E3858" s="9"/>
      <c r="F3858" s="67"/>
      <c r="G3858" s="9"/>
      <c r="H3858" s="9"/>
      <c r="I3858" s="9"/>
      <c r="J3858" s="9"/>
      <c r="K3858" s="9"/>
      <c r="L3858" s="9"/>
      <c r="M3858" s="9"/>
      <c r="N3858" s="9"/>
      <c r="O3858" s="9"/>
      <c r="P3858" s="9"/>
      <c r="Q3858" s="9"/>
      <c r="R3858" s="9"/>
      <c r="S3858" s="9"/>
      <c r="T3858" s="9"/>
      <c r="U3858" s="9"/>
      <c r="V3858" s="9"/>
      <c r="W3858" s="9"/>
      <c r="X3858" s="9"/>
      <c r="Y3858" s="9"/>
      <c r="Z3858" s="9"/>
      <c r="AA3858" s="9"/>
      <c r="AB3858" s="9"/>
      <c r="AC3858" s="9"/>
      <c r="AD3858" s="9"/>
      <c r="AE3858" s="9"/>
      <c r="AF3858" s="9"/>
      <c r="AG3858" s="9"/>
      <c r="AH3858" s="9"/>
      <c r="AI3858" s="9"/>
      <c r="AJ3858" s="9"/>
      <c r="AK3858" s="9"/>
      <c r="AL3858" s="9"/>
      <c r="AM3858" s="9"/>
      <c r="AN3858" s="9"/>
      <c r="AO3858" s="9"/>
      <c r="AP3858" s="9"/>
      <c r="AQ3858" s="9"/>
      <c r="AR3858" s="9"/>
      <c r="AS3858" s="9"/>
      <c r="AT3858" s="9"/>
      <c r="AU3858" s="9"/>
    </row>
    <row r="3859" spans="1:47" ht="15.75" customHeight="1">
      <c r="A3859" s="9"/>
      <c r="B3859" s="9"/>
      <c r="C3859" s="9"/>
      <c r="D3859" s="9"/>
      <c r="E3859" s="9"/>
      <c r="F3859" s="67"/>
      <c r="G3859" s="9"/>
      <c r="H3859" s="9"/>
      <c r="I3859" s="9"/>
      <c r="J3859" s="9"/>
      <c r="K3859" s="9"/>
      <c r="L3859" s="9"/>
      <c r="M3859" s="9"/>
      <c r="N3859" s="9"/>
      <c r="O3859" s="9"/>
      <c r="P3859" s="9"/>
      <c r="Q3859" s="9"/>
      <c r="R3859" s="9"/>
      <c r="S3859" s="9"/>
      <c r="T3859" s="9"/>
      <c r="U3859" s="9"/>
      <c r="V3859" s="9"/>
      <c r="W3859" s="9"/>
      <c r="X3859" s="9"/>
      <c r="Y3859" s="9"/>
      <c r="Z3859" s="9"/>
      <c r="AA3859" s="9"/>
      <c r="AB3859" s="9"/>
      <c r="AC3859" s="9"/>
      <c r="AD3859" s="9"/>
      <c r="AE3859" s="9"/>
      <c r="AF3859" s="9"/>
      <c r="AG3859" s="9"/>
      <c r="AH3859" s="9"/>
      <c r="AI3859" s="9"/>
      <c r="AJ3859" s="9"/>
      <c r="AK3859" s="9"/>
      <c r="AL3859" s="9"/>
      <c r="AM3859" s="9"/>
      <c r="AN3859" s="9"/>
      <c r="AO3859" s="9"/>
      <c r="AP3859" s="9"/>
      <c r="AQ3859" s="9"/>
      <c r="AR3859" s="9"/>
      <c r="AS3859" s="9"/>
      <c r="AT3859" s="9"/>
      <c r="AU3859" s="9"/>
    </row>
    <row r="3860" spans="1:47" ht="15.75" customHeight="1">
      <c r="A3860" s="9"/>
      <c r="B3860" s="9"/>
      <c r="C3860" s="9"/>
      <c r="D3860" s="9"/>
      <c r="E3860" s="9"/>
      <c r="F3860" s="67"/>
      <c r="G3860" s="9"/>
      <c r="H3860" s="9"/>
      <c r="I3860" s="9"/>
      <c r="J3860" s="9"/>
      <c r="K3860" s="9"/>
      <c r="L3860" s="9"/>
      <c r="M3860" s="9"/>
      <c r="N3860" s="9"/>
      <c r="O3860" s="9"/>
      <c r="P3860" s="9"/>
      <c r="Q3860" s="9"/>
      <c r="R3860" s="9"/>
      <c r="S3860" s="9"/>
      <c r="T3860" s="9"/>
      <c r="U3860" s="9"/>
      <c r="V3860" s="9"/>
      <c r="W3860" s="9"/>
      <c r="X3860" s="9"/>
      <c r="Y3860" s="9"/>
      <c r="Z3860" s="9"/>
      <c r="AA3860" s="9"/>
      <c r="AB3860" s="9"/>
      <c r="AC3860" s="9"/>
      <c r="AD3860" s="9"/>
      <c r="AE3860" s="9"/>
      <c r="AF3860" s="9"/>
      <c r="AG3860" s="9"/>
      <c r="AH3860" s="9"/>
      <c r="AI3860" s="9"/>
      <c r="AJ3860" s="9"/>
      <c r="AK3860" s="9"/>
      <c r="AL3860" s="9"/>
      <c r="AM3860" s="9"/>
      <c r="AN3860" s="9"/>
      <c r="AO3860" s="9"/>
      <c r="AP3860" s="9"/>
      <c r="AQ3860" s="9"/>
      <c r="AR3860" s="9"/>
      <c r="AS3860" s="9"/>
      <c r="AT3860" s="9"/>
      <c r="AU3860" s="9"/>
    </row>
    <row r="3861" spans="1:47" ht="15.75" customHeight="1">
      <c r="A3861" s="9"/>
      <c r="B3861" s="9"/>
      <c r="C3861" s="9"/>
      <c r="D3861" s="9"/>
      <c r="E3861" s="9"/>
      <c r="F3861" s="67"/>
      <c r="G3861" s="9"/>
      <c r="H3861" s="9"/>
      <c r="I3861" s="9"/>
      <c r="J3861" s="9"/>
      <c r="K3861" s="9"/>
      <c r="L3861" s="9"/>
      <c r="M3861" s="9"/>
      <c r="N3861" s="9"/>
      <c r="O3861" s="9"/>
      <c r="P3861" s="9"/>
      <c r="Q3861" s="9"/>
      <c r="R3861" s="9"/>
      <c r="S3861" s="9"/>
      <c r="T3861" s="9"/>
      <c r="U3861" s="9"/>
      <c r="V3861" s="9"/>
      <c r="W3861" s="9"/>
      <c r="X3861" s="9"/>
      <c r="Y3861" s="9"/>
      <c r="Z3861" s="9"/>
      <c r="AA3861" s="9"/>
      <c r="AB3861" s="9"/>
      <c r="AC3861" s="9"/>
      <c r="AD3861" s="9"/>
      <c r="AE3861" s="9"/>
      <c r="AF3861" s="9"/>
      <c r="AG3861" s="9"/>
      <c r="AH3861" s="9"/>
      <c r="AI3861" s="9"/>
      <c r="AJ3861" s="9"/>
      <c r="AK3861" s="9"/>
      <c r="AL3861" s="9"/>
      <c r="AM3861" s="9"/>
      <c r="AN3861" s="9"/>
      <c r="AO3861" s="9"/>
      <c r="AP3861" s="9"/>
      <c r="AQ3861" s="9"/>
      <c r="AR3861" s="9"/>
      <c r="AS3861" s="9"/>
      <c r="AT3861" s="9"/>
      <c r="AU3861" s="9"/>
    </row>
    <row r="3862" spans="1:47" ht="15.75" customHeight="1">
      <c r="A3862" s="9"/>
      <c r="B3862" s="9"/>
      <c r="C3862" s="9"/>
      <c r="D3862" s="9"/>
      <c r="E3862" s="9"/>
      <c r="F3862" s="67"/>
      <c r="G3862" s="9"/>
      <c r="H3862" s="9"/>
      <c r="I3862" s="9"/>
      <c r="J3862" s="9"/>
      <c r="K3862" s="9"/>
      <c r="L3862" s="9"/>
      <c r="M3862" s="9"/>
      <c r="N3862" s="9"/>
      <c r="O3862" s="9"/>
      <c r="P3862" s="9"/>
      <c r="Q3862" s="9"/>
      <c r="R3862" s="9"/>
      <c r="S3862" s="9"/>
      <c r="T3862" s="9"/>
      <c r="U3862" s="9"/>
      <c r="V3862" s="9"/>
      <c r="W3862" s="9"/>
      <c r="X3862" s="9"/>
      <c r="Y3862" s="9"/>
      <c r="Z3862" s="9"/>
      <c r="AA3862" s="9"/>
      <c r="AB3862" s="9"/>
      <c r="AC3862" s="9"/>
      <c r="AD3862" s="9"/>
      <c r="AE3862" s="9"/>
      <c r="AF3862" s="9"/>
      <c r="AG3862" s="9"/>
      <c r="AH3862" s="9"/>
      <c r="AI3862" s="9"/>
      <c r="AJ3862" s="9"/>
      <c r="AK3862" s="9"/>
      <c r="AL3862" s="9"/>
      <c r="AM3862" s="9"/>
      <c r="AN3862" s="9"/>
      <c r="AO3862" s="9"/>
      <c r="AP3862" s="9"/>
      <c r="AQ3862" s="9"/>
      <c r="AR3862" s="9"/>
      <c r="AS3862" s="9"/>
      <c r="AT3862" s="9"/>
      <c r="AU3862" s="9"/>
    </row>
    <row r="3863" spans="1:47" ht="15.75" customHeight="1">
      <c r="A3863" s="9"/>
      <c r="B3863" s="9"/>
      <c r="C3863" s="9"/>
      <c r="D3863" s="9"/>
      <c r="E3863" s="9"/>
      <c r="F3863" s="67"/>
      <c r="G3863" s="9"/>
      <c r="H3863" s="9"/>
      <c r="I3863" s="9"/>
      <c r="J3863" s="9"/>
      <c r="K3863" s="9"/>
      <c r="L3863" s="9"/>
      <c r="M3863" s="9"/>
      <c r="N3863" s="9"/>
      <c r="O3863" s="9"/>
      <c r="P3863" s="9"/>
      <c r="Q3863" s="9"/>
      <c r="R3863" s="9"/>
      <c r="S3863" s="9"/>
      <c r="T3863" s="9"/>
      <c r="U3863" s="9"/>
      <c r="V3863" s="9"/>
      <c r="W3863" s="9"/>
      <c r="X3863" s="9"/>
      <c r="Y3863" s="9"/>
      <c r="Z3863" s="9"/>
      <c r="AA3863" s="9"/>
      <c r="AB3863" s="9"/>
      <c r="AC3863" s="9"/>
      <c r="AD3863" s="9"/>
      <c r="AE3863" s="9"/>
      <c r="AF3863" s="9"/>
      <c r="AG3863" s="9"/>
      <c r="AH3863" s="9"/>
      <c r="AI3863" s="9"/>
      <c r="AJ3863" s="9"/>
      <c r="AK3863" s="9"/>
      <c r="AL3863" s="9"/>
      <c r="AM3863" s="9"/>
      <c r="AN3863" s="9"/>
      <c r="AO3863" s="9"/>
      <c r="AP3863" s="9"/>
      <c r="AQ3863" s="9"/>
      <c r="AR3863" s="9"/>
      <c r="AS3863" s="9"/>
      <c r="AT3863" s="9"/>
      <c r="AU3863" s="9"/>
    </row>
    <row r="3864" spans="1:47" ht="15.75" customHeight="1">
      <c r="A3864" s="9"/>
      <c r="B3864" s="9"/>
      <c r="C3864" s="9"/>
      <c r="D3864" s="9"/>
      <c r="E3864" s="9"/>
      <c r="F3864" s="67"/>
      <c r="G3864" s="9"/>
      <c r="H3864" s="9"/>
      <c r="I3864" s="9"/>
      <c r="J3864" s="9"/>
      <c r="K3864" s="9"/>
      <c r="L3864" s="9"/>
      <c r="M3864" s="9"/>
      <c r="N3864" s="9"/>
      <c r="O3864" s="9"/>
      <c r="P3864" s="9"/>
      <c r="Q3864" s="9"/>
      <c r="R3864" s="9"/>
      <c r="S3864" s="9"/>
      <c r="T3864" s="9"/>
      <c r="U3864" s="9"/>
      <c r="V3864" s="9"/>
      <c r="W3864" s="9"/>
      <c r="X3864" s="9"/>
      <c r="Y3864" s="9"/>
      <c r="Z3864" s="9"/>
      <c r="AA3864" s="9"/>
      <c r="AB3864" s="9"/>
      <c r="AC3864" s="9"/>
      <c r="AD3864" s="9"/>
      <c r="AE3864" s="9"/>
      <c r="AF3864" s="9"/>
      <c r="AG3864" s="9"/>
      <c r="AH3864" s="9"/>
      <c r="AI3864" s="9"/>
      <c r="AJ3864" s="9"/>
      <c r="AK3864" s="9"/>
      <c r="AL3864" s="9"/>
      <c r="AM3864" s="9"/>
      <c r="AN3864" s="9"/>
      <c r="AO3864" s="9"/>
      <c r="AP3864" s="9"/>
      <c r="AQ3864" s="9"/>
      <c r="AR3864" s="9"/>
      <c r="AS3864" s="9"/>
      <c r="AT3864" s="9"/>
      <c r="AU3864" s="9"/>
    </row>
    <row r="3865" spans="1:47" ht="15.75" customHeight="1">
      <c r="A3865" s="9"/>
      <c r="B3865" s="9"/>
      <c r="C3865" s="9"/>
      <c r="D3865" s="9"/>
      <c r="E3865" s="9"/>
      <c r="F3865" s="67"/>
      <c r="G3865" s="9"/>
      <c r="H3865" s="9"/>
      <c r="I3865" s="9"/>
      <c r="J3865" s="9"/>
      <c r="K3865" s="9"/>
      <c r="L3865" s="9"/>
      <c r="M3865" s="9"/>
      <c r="N3865" s="9"/>
      <c r="O3865" s="9"/>
      <c r="P3865" s="9"/>
      <c r="Q3865" s="9"/>
      <c r="R3865" s="9"/>
      <c r="S3865" s="9"/>
      <c r="T3865" s="9"/>
      <c r="U3865" s="9"/>
      <c r="V3865" s="9"/>
      <c r="W3865" s="9"/>
      <c r="X3865" s="9"/>
      <c r="Y3865" s="9"/>
      <c r="Z3865" s="9"/>
      <c r="AA3865" s="9"/>
      <c r="AB3865" s="9"/>
      <c r="AC3865" s="9"/>
      <c r="AD3865" s="9"/>
      <c r="AE3865" s="9"/>
      <c r="AF3865" s="9"/>
      <c r="AG3865" s="9"/>
      <c r="AH3865" s="9"/>
      <c r="AI3865" s="9"/>
      <c r="AJ3865" s="9"/>
      <c r="AK3865" s="9"/>
      <c r="AL3865" s="9"/>
      <c r="AM3865" s="9"/>
      <c r="AN3865" s="9"/>
      <c r="AO3865" s="9"/>
      <c r="AP3865" s="9"/>
      <c r="AQ3865" s="9"/>
      <c r="AR3865" s="9"/>
      <c r="AS3865" s="9"/>
      <c r="AT3865" s="9"/>
      <c r="AU3865" s="9"/>
    </row>
    <row r="3866" spans="1:47" ht="15.75" customHeight="1">
      <c r="A3866" s="9"/>
      <c r="B3866" s="9"/>
      <c r="C3866" s="9"/>
      <c r="D3866" s="9"/>
      <c r="E3866" s="9"/>
      <c r="F3866" s="67"/>
      <c r="G3866" s="9"/>
      <c r="H3866" s="9"/>
      <c r="I3866" s="9"/>
      <c r="J3866" s="9"/>
      <c r="K3866" s="9"/>
      <c r="L3866" s="9"/>
      <c r="M3866" s="9"/>
      <c r="N3866" s="9"/>
      <c r="O3866" s="9"/>
      <c r="P3866" s="9"/>
      <c r="Q3866" s="9"/>
      <c r="R3866" s="9"/>
      <c r="S3866" s="9"/>
      <c r="T3866" s="9"/>
      <c r="U3866" s="9"/>
      <c r="V3866" s="9"/>
      <c r="W3866" s="9"/>
      <c r="X3866" s="9"/>
      <c r="Y3866" s="9"/>
      <c r="Z3866" s="9"/>
      <c r="AA3866" s="9"/>
      <c r="AB3866" s="9"/>
      <c r="AC3866" s="9"/>
      <c r="AD3866" s="9"/>
      <c r="AE3866" s="9"/>
      <c r="AF3866" s="9"/>
      <c r="AG3866" s="9"/>
      <c r="AH3866" s="9"/>
      <c r="AI3866" s="9"/>
      <c r="AJ3866" s="9"/>
      <c r="AK3866" s="9"/>
      <c r="AL3866" s="9"/>
      <c r="AM3866" s="9"/>
      <c r="AN3866" s="9"/>
      <c r="AO3866" s="9"/>
      <c r="AP3866" s="9"/>
      <c r="AQ3866" s="9"/>
      <c r="AR3866" s="9"/>
      <c r="AS3866" s="9"/>
      <c r="AT3866" s="9"/>
      <c r="AU3866" s="9"/>
    </row>
    <row r="3867" spans="1:47" ht="15.75" customHeight="1">
      <c r="A3867" s="9"/>
      <c r="B3867" s="9"/>
      <c r="C3867" s="9"/>
      <c r="D3867" s="9"/>
      <c r="E3867" s="9"/>
      <c r="F3867" s="67"/>
      <c r="G3867" s="9"/>
      <c r="H3867" s="9"/>
      <c r="I3867" s="9"/>
      <c r="J3867" s="9"/>
      <c r="K3867" s="9"/>
      <c r="L3867" s="9"/>
      <c r="M3867" s="9"/>
      <c r="N3867" s="9"/>
      <c r="O3867" s="9"/>
      <c r="P3867" s="9"/>
      <c r="Q3867" s="9"/>
      <c r="R3867" s="9"/>
      <c r="S3867" s="9"/>
      <c r="T3867" s="9"/>
      <c r="U3867" s="9"/>
      <c r="V3867" s="9"/>
      <c r="W3867" s="9"/>
      <c r="X3867" s="9"/>
      <c r="Y3867" s="9"/>
      <c r="Z3867" s="9"/>
      <c r="AA3867" s="9"/>
      <c r="AB3867" s="9"/>
      <c r="AC3867" s="9"/>
      <c r="AD3867" s="9"/>
      <c r="AE3867" s="9"/>
      <c r="AF3867" s="9"/>
      <c r="AG3867" s="9"/>
      <c r="AH3867" s="9"/>
      <c r="AI3867" s="9"/>
      <c r="AJ3867" s="9"/>
      <c r="AK3867" s="9"/>
      <c r="AL3867" s="9"/>
      <c r="AM3867" s="9"/>
      <c r="AN3867" s="9"/>
      <c r="AO3867" s="9"/>
      <c r="AP3867" s="9"/>
      <c r="AQ3867" s="9"/>
      <c r="AR3867" s="9"/>
      <c r="AS3867" s="9"/>
      <c r="AT3867" s="9"/>
      <c r="AU3867" s="9"/>
    </row>
    <row r="3868" spans="1:47" ht="15.75" customHeight="1">
      <c r="A3868" s="9"/>
      <c r="B3868" s="9"/>
      <c r="C3868" s="9"/>
      <c r="D3868" s="9"/>
      <c r="E3868" s="9"/>
      <c r="F3868" s="67"/>
      <c r="G3868" s="9"/>
      <c r="H3868" s="9"/>
      <c r="I3868" s="9"/>
      <c r="J3868" s="9"/>
      <c r="K3868" s="9"/>
      <c r="L3868" s="9"/>
      <c r="M3868" s="9"/>
      <c r="N3868" s="9"/>
      <c r="O3868" s="9"/>
      <c r="P3868" s="9"/>
      <c r="Q3868" s="9"/>
      <c r="R3868" s="9"/>
      <c r="S3868" s="9"/>
      <c r="T3868" s="9"/>
      <c r="U3868" s="9"/>
      <c r="V3868" s="9"/>
      <c r="W3868" s="9"/>
      <c r="X3868" s="9"/>
      <c r="Y3868" s="9"/>
      <c r="Z3868" s="9"/>
      <c r="AA3868" s="9"/>
      <c r="AB3868" s="9"/>
      <c r="AC3868" s="9"/>
      <c r="AD3868" s="9"/>
      <c r="AE3868" s="9"/>
      <c r="AF3868" s="9"/>
      <c r="AG3868" s="9"/>
      <c r="AH3868" s="9"/>
      <c r="AI3868" s="9"/>
      <c r="AJ3868" s="9"/>
      <c r="AK3868" s="9"/>
      <c r="AL3868" s="9"/>
      <c r="AM3868" s="9"/>
      <c r="AN3868" s="9"/>
      <c r="AO3868" s="9"/>
      <c r="AP3868" s="9"/>
      <c r="AQ3868" s="9"/>
      <c r="AR3868" s="9"/>
      <c r="AS3868" s="9"/>
      <c r="AT3868" s="9"/>
      <c r="AU3868" s="9"/>
    </row>
    <row r="3869" spans="1:47" ht="15.75" customHeight="1">
      <c r="A3869" s="9"/>
      <c r="B3869" s="9"/>
      <c r="C3869" s="9"/>
      <c r="D3869" s="9"/>
      <c r="E3869" s="9"/>
      <c r="F3869" s="67"/>
      <c r="G3869" s="9"/>
      <c r="H3869" s="9"/>
      <c r="I3869" s="9"/>
      <c r="J3869" s="9"/>
      <c r="K3869" s="9"/>
      <c r="L3869" s="9"/>
      <c r="M3869" s="9"/>
      <c r="N3869" s="9"/>
      <c r="O3869" s="9"/>
      <c r="P3869" s="9"/>
      <c r="Q3869" s="9"/>
      <c r="R3869" s="9"/>
      <c r="S3869" s="9"/>
      <c r="T3869" s="9"/>
      <c r="U3869" s="9"/>
      <c r="V3869" s="9"/>
      <c r="W3869" s="9"/>
      <c r="X3869" s="9"/>
      <c r="Y3869" s="9"/>
      <c r="Z3869" s="9"/>
      <c r="AA3869" s="9"/>
      <c r="AB3869" s="9"/>
      <c r="AC3869" s="9"/>
      <c r="AD3869" s="9"/>
      <c r="AE3869" s="9"/>
      <c r="AF3869" s="9"/>
      <c r="AG3869" s="9"/>
      <c r="AH3869" s="9"/>
      <c r="AI3869" s="9"/>
      <c r="AJ3869" s="9"/>
      <c r="AK3869" s="9"/>
      <c r="AL3869" s="9"/>
      <c r="AM3869" s="9"/>
      <c r="AN3869" s="9"/>
      <c r="AO3869" s="9"/>
      <c r="AP3869" s="9"/>
      <c r="AQ3869" s="9"/>
      <c r="AR3869" s="9"/>
      <c r="AS3869" s="9"/>
      <c r="AT3869" s="9"/>
      <c r="AU3869" s="9"/>
    </row>
    <row r="3870" spans="1:47" ht="15.75" customHeight="1">
      <c r="A3870" s="9"/>
      <c r="B3870" s="9"/>
      <c r="C3870" s="9"/>
      <c r="D3870" s="9"/>
      <c r="E3870" s="9"/>
      <c r="F3870" s="67"/>
      <c r="G3870" s="9"/>
      <c r="H3870" s="9"/>
      <c r="I3870" s="9"/>
      <c r="J3870" s="9"/>
      <c r="K3870" s="9"/>
      <c r="L3870" s="9"/>
      <c r="M3870" s="9"/>
      <c r="N3870" s="9"/>
      <c r="O3870" s="9"/>
      <c r="P3870" s="9"/>
      <c r="Q3870" s="9"/>
      <c r="R3870" s="9"/>
      <c r="S3870" s="9"/>
      <c r="T3870" s="9"/>
      <c r="U3870" s="9"/>
      <c r="V3870" s="9"/>
      <c r="W3870" s="9"/>
      <c r="X3870" s="9"/>
      <c r="Y3870" s="9"/>
      <c r="Z3870" s="9"/>
      <c r="AA3870" s="9"/>
      <c r="AB3870" s="9"/>
      <c r="AC3870" s="9"/>
      <c r="AD3870" s="9"/>
      <c r="AE3870" s="9"/>
      <c r="AF3870" s="9"/>
      <c r="AG3870" s="9"/>
      <c r="AH3870" s="9"/>
      <c r="AI3870" s="9"/>
      <c r="AJ3870" s="9"/>
      <c r="AK3870" s="9"/>
      <c r="AL3870" s="9"/>
      <c r="AM3870" s="9"/>
      <c r="AN3870" s="9"/>
      <c r="AO3870" s="9"/>
      <c r="AP3870" s="9"/>
      <c r="AQ3870" s="9"/>
      <c r="AR3870" s="9"/>
      <c r="AS3870" s="9"/>
      <c r="AT3870" s="9"/>
      <c r="AU3870" s="9"/>
    </row>
    <row r="3871" spans="1:47" ht="15.75" customHeight="1">
      <c r="A3871" s="9"/>
      <c r="B3871" s="9"/>
      <c r="C3871" s="9"/>
      <c r="D3871" s="9"/>
      <c r="E3871" s="9"/>
      <c r="F3871" s="67"/>
      <c r="G3871" s="9"/>
      <c r="H3871" s="9"/>
      <c r="I3871" s="9"/>
      <c r="J3871" s="9"/>
      <c r="K3871" s="9"/>
      <c r="L3871" s="9"/>
      <c r="M3871" s="9"/>
      <c r="N3871" s="9"/>
      <c r="O3871" s="9"/>
      <c r="P3871" s="9"/>
      <c r="Q3871" s="9"/>
      <c r="R3871" s="9"/>
      <c r="S3871" s="9"/>
      <c r="T3871" s="9"/>
      <c r="U3871" s="9"/>
      <c r="V3871" s="9"/>
      <c r="W3871" s="9"/>
      <c r="X3871" s="9"/>
      <c r="Y3871" s="9"/>
      <c r="Z3871" s="9"/>
      <c r="AA3871" s="9"/>
      <c r="AB3871" s="9"/>
      <c r="AC3871" s="9"/>
      <c r="AD3871" s="9"/>
      <c r="AE3871" s="9"/>
      <c r="AF3871" s="9"/>
      <c r="AG3871" s="9"/>
      <c r="AH3871" s="9"/>
      <c r="AI3871" s="9"/>
      <c r="AJ3871" s="9"/>
      <c r="AK3871" s="9"/>
      <c r="AL3871" s="9"/>
      <c r="AM3871" s="9"/>
      <c r="AN3871" s="9"/>
      <c r="AO3871" s="9"/>
      <c r="AP3871" s="9"/>
      <c r="AQ3871" s="9"/>
      <c r="AR3871" s="9"/>
      <c r="AS3871" s="9"/>
      <c r="AT3871" s="9"/>
      <c r="AU3871" s="9"/>
    </row>
    <row r="3872" spans="1:47" ht="15.75" customHeight="1">
      <c r="A3872" s="9"/>
      <c r="B3872" s="9"/>
      <c r="C3872" s="9"/>
      <c r="D3872" s="9"/>
      <c r="E3872" s="9"/>
      <c r="F3872" s="67"/>
      <c r="G3872" s="9"/>
      <c r="H3872" s="9"/>
      <c r="I3872" s="9"/>
      <c r="J3872" s="9"/>
      <c r="K3872" s="9"/>
      <c r="L3872" s="9"/>
      <c r="M3872" s="9"/>
      <c r="N3872" s="9"/>
      <c r="O3872" s="9"/>
      <c r="P3872" s="9"/>
      <c r="Q3872" s="9"/>
      <c r="R3872" s="9"/>
      <c r="S3872" s="9"/>
      <c r="T3872" s="9"/>
      <c r="U3872" s="9"/>
      <c r="V3872" s="9"/>
      <c r="W3872" s="9"/>
      <c r="X3872" s="9"/>
      <c r="Y3872" s="9"/>
      <c r="Z3872" s="9"/>
      <c r="AA3872" s="9"/>
      <c r="AB3872" s="9"/>
      <c r="AC3872" s="9"/>
      <c r="AD3872" s="9"/>
      <c r="AE3872" s="9"/>
      <c r="AF3872" s="9"/>
      <c r="AG3872" s="9"/>
      <c r="AH3872" s="9"/>
      <c r="AI3872" s="9"/>
      <c r="AJ3872" s="9"/>
      <c r="AK3872" s="9"/>
      <c r="AL3872" s="9"/>
      <c r="AM3872" s="9"/>
      <c r="AN3872" s="9"/>
      <c r="AO3872" s="9"/>
      <c r="AP3872" s="9"/>
      <c r="AQ3872" s="9"/>
      <c r="AR3872" s="9"/>
      <c r="AS3872" s="9"/>
      <c r="AT3872" s="9"/>
      <c r="AU3872" s="9"/>
    </row>
    <row r="3873" spans="1:47" ht="15.75" customHeight="1">
      <c r="A3873" s="9"/>
      <c r="B3873" s="9"/>
      <c r="C3873" s="9"/>
      <c r="D3873" s="9"/>
      <c r="E3873" s="9"/>
      <c r="F3873" s="67"/>
      <c r="G3873" s="9"/>
      <c r="H3873" s="9"/>
      <c r="I3873" s="9"/>
      <c r="J3873" s="9"/>
      <c r="K3873" s="9"/>
      <c r="L3873" s="9"/>
      <c r="M3873" s="9"/>
      <c r="N3873" s="9"/>
      <c r="O3873" s="9"/>
      <c r="P3873" s="9"/>
      <c r="Q3873" s="9"/>
      <c r="R3873" s="9"/>
      <c r="S3873" s="9"/>
      <c r="T3873" s="9"/>
      <c r="U3873" s="9"/>
      <c r="V3873" s="9"/>
      <c r="W3873" s="9"/>
      <c r="X3873" s="9"/>
      <c r="Y3873" s="9"/>
      <c r="Z3873" s="9"/>
      <c r="AA3873" s="9"/>
      <c r="AB3873" s="9"/>
      <c r="AC3873" s="9"/>
      <c r="AD3873" s="9"/>
      <c r="AE3873" s="9"/>
      <c r="AF3873" s="9"/>
      <c r="AG3873" s="9"/>
      <c r="AH3873" s="9"/>
      <c r="AI3873" s="9"/>
      <c r="AJ3873" s="9"/>
      <c r="AK3873" s="9"/>
      <c r="AL3873" s="9"/>
      <c r="AM3873" s="9"/>
      <c r="AN3873" s="9"/>
      <c r="AO3873" s="9"/>
      <c r="AP3873" s="9"/>
      <c r="AQ3873" s="9"/>
      <c r="AR3873" s="9"/>
      <c r="AS3873" s="9"/>
      <c r="AT3873" s="9"/>
      <c r="AU3873" s="9"/>
    </row>
    <row r="3874" spans="1:47" ht="15.75" customHeight="1">
      <c r="A3874" s="9"/>
      <c r="B3874" s="9"/>
      <c r="C3874" s="9"/>
      <c r="D3874" s="9"/>
      <c r="E3874" s="9"/>
      <c r="F3874" s="67"/>
      <c r="G3874" s="9"/>
      <c r="H3874" s="9"/>
      <c r="I3874" s="9"/>
      <c r="J3874" s="9"/>
      <c r="K3874" s="9"/>
      <c r="L3874" s="9"/>
      <c r="M3874" s="9"/>
      <c r="N3874" s="9"/>
      <c r="O3874" s="9"/>
      <c r="P3874" s="9"/>
      <c r="Q3874" s="9"/>
      <c r="R3874" s="9"/>
      <c r="S3874" s="9"/>
      <c r="T3874" s="9"/>
      <c r="U3874" s="9"/>
      <c r="V3874" s="9"/>
      <c r="W3874" s="9"/>
      <c r="X3874" s="9"/>
      <c r="Y3874" s="9"/>
      <c r="Z3874" s="9"/>
      <c r="AA3874" s="9"/>
      <c r="AB3874" s="9"/>
      <c r="AC3874" s="9"/>
      <c r="AD3874" s="9"/>
      <c r="AE3874" s="9"/>
      <c r="AF3874" s="9"/>
      <c r="AG3874" s="9"/>
      <c r="AH3874" s="9"/>
      <c r="AI3874" s="9"/>
      <c r="AJ3874" s="9"/>
      <c r="AK3874" s="9"/>
      <c r="AL3874" s="9"/>
      <c r="AM3874" s="9"/>
      <c r="AN3874" s="9"/>
      <c r="AO3874" s="9"/>
      <c r="AP3874" s="9"/>
      <c r="AQ3874" s="9"/>
      <c r="AR3874" s="9"/>
      <c r="AS3874" s="9"/>
      <c r="AT3874" s="9"/>
      <c r="AU3874" s="9"/>
    </row>
    <row r="3875" spans="1:47" ht="15.75" customHeight="1">
      <c r="A3875" s="9"/>
      <c r="B3875" s="9"/>
      <c r="C3875" s="9"/>
      <c r="D3875" s="9"/>
      <c r="E3875" s="9"/>
      <c r="F3875" s="67"/>
      <c r="G3875" s="9"/>
      <c r="H3875" s="9"/>
      <c r="I3875" s="9"/>
      <c r="J3875" s="9"/>
      <c r="K3875" s="9"/>
      <c r="L3875" s="9"/>
      <c r="M3875" s="9"/>
      <c r="N3875" s="9"/>
      <c r="O3875" s="9"/>
      <c r="P3875" s="9"/>
      <c r="Q3875" s="9"/>
      <c r="R3875" s="9"/>
      <c r="S3875" s="9"/>
      <c r="T3875" s="9"/>
      <c r="U3875" s="9"/>
      <c r="V3875" s="9"/>
      <c r="W3875" s="9"/>
      <c r="X3875" s="9"/>
      <c r="Y3875" s="9"/>
      <c r="Z3875" s="9"/>
      <c r="AA3875" s="9"/>
      <c r="AB3875" s="9"/>
      <c r="AC3875" s="9"/>
      <c r="AD3875" s="9"/>
      <c r="AE3875" s="9"/>
      <c r="AF3875" s="9"/>
      <c r="AG3875" s="9"/>
      <c r="AH3875" s="9"/>
      <c r="AI3875" s="9"/>
      <c r="AJ3875" s="9"/>
      <c r="AK3875" s="9"/>
      <c r="AL3875" s="9"/>
      <c r="AM3875" s="9"/>
      <c r="AN3875" s="9"/>
      <c r="AO3875" s="9"/>
      <c r="AP3875" s="9"/>
      <c r="AQ3875" s="9"/>
      <c r="AR3875" s="9"/>
      <c r="AS3875" s="9"/>
      <c r="AT3875" s="9"/>
      <c r="AU3875" s="9"/>
    </row>
    <row r="3876" spans="1:47" ht="15.75" customHeight="1">
      <c r="A3876" s="9"/>
      <c r="B3876" s="9"/>
      <c r="C3876" s="9"/>
      <c r="D3876" s="9"/>
      <c r="E3876" s="9"/>
      <c r="F3876" s="67"/>
      <c r="G3876" s="9"/>
      <c r="H3876" s="9"/>
      <c r="I3876" s="9"/>
      <c r="J3876" s="9"/>
      <c r="K3876" s="9"/>
      <c r="L3876" s="9"/>
      <c r="M3876" s="9"/>
      <c r="N3876" s="9"/>
      <c r="O3876" s="9"/>
      <c r="P3876" s="9"/>
      <c r="Q3876" s="9"/>
      <c r="R3876" s="9"/>
      <c r="S3876" s="9"/>
      <c r="T3876" s="9"/>
      <c r="U3876" s="9"/>
      <c r="V3876" s="9"/>
      <c r="W3876" s="9"/>
      <c r="X3876" s="9"/>
      <c r="Y3876" s="9"/>
      <c r="Z3876" s="9"/>
      <c r="AA3876" s="9"/>
      <c r="AB3876" s="9"/>
      <c r="AC3876" s="9"/>
      <c r="AD3876" s="9"/>
      <c r="AE3876" s="9"/>
      <c r="AF3876" s="9"/>
      <c r="AG3876" s="9"/>
      <c r="AH3876" s="9"/>
      <c r="AI3876" s="9"/>
      <c r="AJ3876" s="9"/>
      <c r="AK3876" s="9"/>
      <c r="AL3876" s="9"/>
      <c r="AM3876" s="9"/>
      <c r="AN3876" s="9"/>
      <c r="AO3876" s="9"/>
      <c r="AP3876" s="9"/>
      <c r="AQ3876" s="9"/>
      <c r="AR3876" s="9"/>
      <c r="AS3876" s="9"/>
      <c r="AT3876" s="9"/>
      <c r="AU3876" s="9"/>
    </row>
    <row r="3877" spans="1:47" ht="15.75" customHeight="1">
      <c r="A3877" s="9"/>
      <c r="B3877" s="9"/>
      <c r="C3877" s="9"/>
      <c r="D3877" s="9"/>
      <c r="E3877" s="9"/>
      <c r="F3877" s="67"/>
      <c r="G3877" s="9"/>
      <c r="H3877" s="9"/>
      <c r="I3877" s="9"/>
      <c r="J3877" s="9"/>
      <c r="K3877" s="9"/>
      <c r="L3877" s="9"/>
      <c r="M3877" s="9"/>
      <c r="N3877" s="9"/>
      <c r="O3877" s="9"/>
      <c r="P3877" s="9"/>
      <c r="Q3877" s="9"/>
      <c r="R3877" s="9"/>
      <c r="S3877" s="9"/>
      <c r="T3877" s="9"/>
      <c r="U3877" s="9"/>
      <c r="V3877" s="9"/>
      <c r="W3877" s="9"/>
      <c r="X3877" s="9"/>
      <c r="Y3877" s="9"/>
      <c r="Z3877" s="9"/>
      <c r="AA3877" s="9"/>
      <c r="AB3877" s="9"/>
      <c r="AC3877" s="9"/>
      <c r="AD3877" s="9"/>
      <c r="AE3877" s="9"/>
      <c r="AF3877" s="9"/>
      <c r="AG3877" s="9"/>
      <c r="AH3877" s="9"/>
      <c r="AI3877" s="9"/>
      <c r="AJ3877" s="9"/>
      <c r="AK3877" s="9"/>
      <c r="AL3877" s="9"/>
      <c r="AM3877" s="9"/>
      <c r="AN3877" s="9"/>
      <c r="AO3877" s="9"/>
      <c r="AP3877" s="9"/>
      <c r="AQ3877" s="9"/>
      <c r="AR3877" s="9"/>
      <c r="AS3877" s="9"/>
      <c r="AT3877" s="9"/>
      <c r="AU3877" s="9"/>
    </row>
    <row r="3878" spans="1:47" ht="15.75" customHeight="1">
      <c r="A3878" s="9"/>
      <c r="B3878" s="9"/>
      <c r="C3878" s="9"/>
      <c r="D3878" s="9"/>
      <c r="E3878" s="9"/>
      <c r="F3878" s="67"/>
      <c r="G3878" s="9"/>
      <c r="H3878" s="9"/>
      <c r="I3878" s="9"/>
      <c r="J3878" s="9"/>
      <c r="K3878" s="9"/>
      <c r="L3878" s="9"/>
      <c r="M3878" s="9"/>
      <c r="N3878" s="9"/>
      <c r="O3878" s="9"/>
      <c r="P3878" s="9"/>
      <c r="Q3878" s="9"/>
      <c r="R3878" s="9"/>
      <c r="S3878" s="9"/>
      <c r="T3878" s="9"/>
      <c r="U3878" s="9"/>
      <c r="V3878" s="9"/>
      <c r="W3878" s="9"/>
      <c r="X3878" s="9"/>
      <c r="Y3878" s="9"/>
      <c r="Z3878" s="9"/>
      <c r="AA3878" s="9"/>
      <c r="AB3878" s="9"/>
      <c r="AC3878" s="9"/>
      <c r="AD3878" s="9"/>
      <c r="AE3878" s="9"/>
      <c r="AF3878" s="9"/>
      <c r="AG3878" s="9"/>
      <c r="AH3878" s="9"/>
      <c r="AI3878" s="9"/>
      <c r="AJ3878" s="9"/>
      <c r="AK3878" s="9"/>
      <c r="AL3878" s="9"/>
      <c r="AM3878" s="9"/>
      <c r="AN3878" s="9"/>
      <c r="AO3878" s="9"/>
      <c r="AP3878" s="9"/>
      <c r="AQ3878" s="9"/>
      <c r="AR3878" s="9"/>
      <c r="AS3878" s="9"/>
      <c r="AT3878" s="9"/>
      <c r="AU3878" s="9"/>
    </row>
    <row r="3879" spans="1:47" ht="15.75" customHeight="1">
      <c r="A3879" s="9"/>
      <c r="B3879" s="9"/>
      <c r="C3879" s="9"/>
      <c r="D3879" s="9"/>
      <c r="E3879" s="9"/>
      <c r="F3879" s="67"/>
      <c r="G3879" s="9"/>
      <c r="H3879" s="9"/>
      <c r="I3879" s="9"/>
      <c r="J3879" s="9"/>
      <c r="K3879" s="9"/>
      <c r="L3879" s="9"/>
      <c r="M3879" s="9"/>
      <c r="N3879" s="9"/>
      <c r="O3879" s="9"/>
      <c r="P3879" s="9"/>
      <c r="Q3879" s="9"/>
      <c r="R3879" s="9"/>
      <c r="S3879" s="9"/>
      <c r="T3879" s="9"/>
      <c r="U3879" s="9"/>
      <c r="V3879" s="9"/>
      <c r="W3879" s="9"/>
      <c r="X3879" s="9"/>
      <c r="Y3879" s="9"/>
      <c r="Z3879" s="9"/>
      <c r="AA3879" s="9"/>
      <c r="AB3879" s="9"/>
      <c r="AC3879" s="9"/>
      <c r="AD3879" s="9"/>
      <c r="AE3879" s="9"/>
      <c r="AF3879" s="9"/>
      <c r="AG3879" s="9"/>
      <c r="AH3879" s="9"/>
      <c r="AI3879" s="9"/>
      <c r="AJ3879" s="9"/>
      <c r="AK3879" s="9"/>
      <c r="AL3879" s="9"/>
      <c r="AM3879" s="9"/>
      <c r="AN3879" s="9"/>
      <c r="AO3879" s="9"/>
      <c r="AP3879" s="9"/>
      <c r="AQ3879" s="9"/>
      <c r="AR3879" s="9"/>
      <c r="AS3879" s="9"/>
      <c r="AT3879" s="9"/>
      <c r="AU3879" s="9"/>
    </row>
    <row r="3880" spans="1:47" ht="15.75" customHeight="1">
      <c r="A3880" s="9"/>
      <c r="B3880" s="9"/>
      <c r="C3880" s="9"/>
      <c r="D3880" s="9"/>
      <c r="E3880" s="9"/>
      <c r="F3880" s="67"/>
      <c r="G3880" s="9"/>
      <c r="H3880" s="9"/>
      <c r="I3880" s="9"/>
      <c r="J3880" s="9"/>
      <c r="K3880" s="9"/>
      <c r="L3880" s="9"/>
      <c r="M3880" s="9"/>
      <c r="N3880" s="9"/>
      <c r="O3880" s="9"/>
      <c r="P3880" s="9"/>
      <c r="Q3880" s="9"/>
      <c r="R3880" s="9"/>
      <c r="S3880" s="9"/>
      <c r="T3880" s="9"/>
      <c r="U3880" s="9"/>
      <c r="V3880" s="9"/>
      <c r="W3880" s="9"/>
      <c r="X3880" s="9"/>
      <c r="Y3880" s="9"/>
      <c r="Z3880" s="9"/>
      <c r="AA3880" s="9"/>
      <c r="AB3880" s="9"/>
      <c r="AC3880" s="9"/>
      <c r="AD3880" s="9"/>
      <c r="AE3880" s="9"/>
      <c r="AF3880" s="9"/>
      <c r="AG3880" s="9"/>
      <c r="AH3880" s="9"/>
      <c r="AI3880" s="9"/>
      <c r="AJ3880" s="9"/>
      <c r="AK3880" s="9"/>
      <c r="AL3880" s="9"/>
      <c r="AM3880" s="9"/>
      <c r="AN3880" s="9"/>
      <c r="AO3880" s="9"/>
      <c r="AP3880" s="9"/>
      <c r="AQ3880" s="9"/>
      <c r="AR3880" s="9"/>
      <c r="AS3880" s="9"/>
      <c r="AT3880" s="9"/>
      <c r="AU3880" s="9"/>
    </row>
    <row r="3881" spans="1:47" ht="15.75" customHeight="1">
      <c r="A3881" s="9"/>
      <c r="B3881" s="9"/>
      <c r="C3881" s="9"/>
      <c r="D3881" s="9"/>
      <c r="E3881" s="9"/>
      <c r="F3881" s="67"/>
      <c r="G3881" s="9"/>
      <c r="H3881" s="9"/>
      <c r="I3881" s="9"/>
      <c r="J3881" s="9"/>
      <c r="K3881" s="9"/>
      <c r="L3881" s="9"/>
      <c r="M3881" s="9"/>
      <c r="N3881" s="9"/>
      <c r="O3881" s="9"/>
      <c r="P3881" s="9"/>
      <c r="Q3881" s="9"/>
      <c r="R3881" s="9"/>
      <c r="S3881" s="9"/>
      <c r="T3881" s="9"/>
      <c r="U3881" s="9"/>
      <c r="V3881" s="9"/>
      <c r="W3881" s="9"/>
      <c r="X3881" s="9"/>
      <c r="Y3881" s="9"/>
      <c r="Z3881" s="9"/>
      <c r="AA3881" s="9"/>
      <c r="AB3881" s="9"/>
      <c r="AC3881" s="9"/>
      <c r="AD3881" s="9"/>
      <c r="AE3881" s="9"/>
      <c r="AF3881" s="9"/>
      <c r="AG3881" s="9"/>
      <c r="AH3881" s="9"/>
      <c r="AI3881" s="9"/>
      <c r="AJ3881" s="9"/>
      <c r="AK3881" s="9"/>
      <c r="AL3881" s="9"/>
      <c r="AM3881" s="9"/>
      <c r="AN3881" s="9"/>
      <c r="AO3881" s="9"/>
      <c r="AP3881" s="9"/>
      <c r="AQ3881" s="9"/>
      <c r="AR3881" s="9"/>
      <c r="AS3881" s="9"/>
      <c r="AT3881" s="9"/>
      <c r="AU3881" s="9"/>
    </row>
    <row r="3882" spans="1:47" ht="15.75" customHeight="1">
      <c r="A3882" s="9"/>
      <c r="B3882" s="9"/>
      <c r="C3882" s="9"/>
      <c r="D3882" s="9"/>
      <c r="E3882" s="9"/>
      <c r="F3882" s="67"/>
      <c r="G3882" s="9"/>
      <c r="H3882" s="9"/>
      <c r="I3882" s="9"/>
      <c r="J3882" s="9"/>
      <c r="K3882" s="9"/>
      <c r="L3882" s="9"/>
      <c r="M3882" s="9"/>
      <c r="N3882" s="9"/>
      <c r="O3882" s="9"/>
      <c r="P3882" s="9"/>
      <c r="Q3882" s="9"/>
      <c r="R3882" s="9"/>
      <c r="S3882" s="9"/>
      <c r="T3882" s="9"/>
      <c r="U3882" s="9"/>
      <c r="V3882" s="9"/>
      <c r="W3882" s="9"/>
      <c r="X3882" s="9"/>
      <c r="Y3882" s="9"/>
      <c r="Z3882" s="9"/>
      <c r="AA3882" s="9"/>
      <c r="AB3882" s="9"/>
      <c r="AC3882" s="9"/>
      <c r="AD3882" s="9"/>
      <c r="AE3882" s="9"/>
      <c r="AF3882" s="9"/>
      <c r="AG3882" s="9"/>
      <c r="AH3882" s="9"/>
      <c r="AI3882" s="9"/>
      <c r="AJ3882" s="9"/>
      <c r="AK3882" s="9"/>
      <c r="AL3882" s="9"/>
      <c r="AM3882" s="9"/>
      <c r="AN3882" s="9"/>
      <c r="AO3882" s="9"/>
      <c r="AP3882" s="9"/>
      <c r="AQ3882" s="9"/>
      <c r="AR3882" s="9"/>
      <c r="AS3882" s="9"/>
      <c r="AT3882" s="9"/>
      <c r="AU3882" s="9"/>
    </row>
    <row r="3883" spans="1:47" ht="15.75" customHeight="1">
      <c r="A3883" s="9"/>
      <c r="B3883" s="9"/>
      <c r="C3883" s="9"/>
      <c r="D3883" s="9"/>
      <c r="E3883" s="9"/>
      <c r="F3883" s="67"/>
      <c r="G3883" s="9"/>
      <c r="H3883" s="9"/>
      <c r="I3883" s="9"/>
      <c r="J3883" s="9"/>
      <c r="K3883" s="9"/>
      <c r="L3883" s="9"/>
      <c r="M3883" s="9"/>
      <c r="N3883" s="9"/>
      <c r="O3883" s="9"/>
      <c r="P3883" s="9"/>
      <c r="Q3883" s="9"/>
      <c r="R3883" s="9"/>
      <c r="S3883" s="9"/>
      <c r="T3883" s="9"/>
      <c r="U3883" s="9"/>
      <c r="V3883" s="9"/>
      <c r="W3883" s="9"/>
      <c r="X3883" s="9"/>
      <c r="Y3883" s="9"/>
      <c r="Z3883" s="9"/>
      <c r="AA3883" s="9"/>
      <c r="AB3883" s="9"/>
      <c r="AC3883" s="9"/>
      <c r="AD3883" s="9"/>
      <c r="AE3883" s="9"/>
      <c r="AF3883" s="9"/>
      <c r="AG3883" s="9"/>
      <c r="AH3883" s="9"/>
      <c r="AI3883" s="9"/>
      <c r="AJ3883" s="9"/>
      <c r="AK3883" s="9"/>
      <c r="AL3883" s="9"/>
      <c r="AM3883" s="9"/>
      <c r="AN3883" s="9"/>
      <c r="AO3883" s="9"/>
      <c r="AP3883" s="9"/>
      <c r="AQ3883" s="9"/>
      <c r="AR3883" s="9"/>
      <c r="AS3883" s="9"/>
      <c r="AT3883" s="9"/>
      <c r="AU3883" s="9"/>
    </row>
    <row r="3884" spans="1:47" ht="15.75" customHeight="1">
      <c r="A3884" s="9"/>
      <c r="B3884" s="9"/>
      <c r="C3884" s="9"/>
      <c r="D3884" s="9"/>
      <c r="E3884" s="9"/>
      <c r="F3884" s="67"/>
      <c r="G3884" s="9"/>
      <c r="H3884" s="9"/>
      <c r="I3884" s="9"/>
      <c r="J3884" s="9"/>
      <c r="K3884" s="9"/>
      <c r="L3884" s="9"/>
      <c r="M3884" s="9"/>
      <c r="N3884" s="9"/>
      <c r="O3884" s="9"/>
      <c r="P3884" s="9"/>
      <c r="Q3884" s="9"/>
      <c r="R3884" s="9"/>
      <c r="S3884" s="9"/>
      <c r="T3884" s="9"/>
      <c r="U3884" s="9"/>
      <c r="V3884" s="9"/>
      <c r="W3884" s="9"/>
      <c r="X3884" s="9"/>
      <c r="Y3884" s="9"/>
      <c r="Z3884" s="9"/>
      <c r="AA3884" s="9"/>
      <c r="AB3884" s="9"/>
      <c r="AC3884" s="9"/>
      <c r="AD3884" s="9"/>
      <c r="AE3884" s="9"/>
      <c r="AF3884" s="9"/>
      <c r="AG3884" s="9"/>
      <c r="AH3884" s="9"/>
      <c r="AI3884" s="9"/>
      <c r="AJ3884" s="9"/>
      <c r="AK3884" s="9"/>
      <c r="AL3884" s="9"/>
      <c r="AM3884" s="9"/>
      <c r="AN3884" s="9"/>
      <c r="AO3884" s="9"/>
      <c r="AP3884" s="9"/>
      <c r="AQ3884" s="9"/>
      <c r="AR3884" s="9"/>
      <c r="AS3884" s="9"/>
      <c r="AT3884" s="9"/>
      <c r="AU3884" s="9"/>
    </row>
    <row r="3885" spans="1:47" ht="15.75" customHeight="1">
      <c r="A3885" s="9"/>
      <c r="B3885" s="9"/>
      <c r="C3885" s="9"/>
      <c r="D3885" s="9"/>
      <c r="E3885" s="9"/>
      <c r="F3885" s="67"/>
      <c r="G3885" s="9"/>
      <c r="H3885" s="9"/>
      <c r="I3885" s="9"/>
      <c r="J3885" s="9"/>
      <c r="K3885" s="9"/>
      <c r="L3885" s="9"/>
      <c r="M3885" s="9"/>
      <c r="N3885" s="9"/>
      <c r="O3885" s="9"/>
      <c r="P3885" s="9"/>
      <c r="Q3885" s="9"/>
      <c r="R3885" s="9"/>
      <c r="S3885" s="9"/>
      <c r="T3885" s="9"/>
      <c r="U3885" s="9"/>
      <c r="V3885" s="9"/>
      <c r="W3885" s="9"/>
      <c r="X3885" s="9"/>
      <c r="Y3885" s="9"/>
      <c r="Z3885" s="9"/>
      <c r="AA3885" s="9"/>
      <c r="AB3885" s="9"/>
      <c r="AC3885" s="9"/>
      <c r="AD3885" s="9"/>
      <c r="AE3885" s="9"/>
      <c r="AF3885" s="9"/>
      <c r="AG3885" s="9"/>
      <c r="AH3885" s="9"/>
      <c r="AI3885" s="9"/>
      <c r="AJ3885" s="9"/>
      <c r="AK3885" s="9"/>
      <c r="AL3885" s="9"/>
      <c r="AM3885" s="9"/>
      <c r="AN3885" s="9"/>
      <c r="AO3885" s="9"/>
      <c r="AP3885" s="9"/>
      <c r="AQ3885" s="9"/>
      <c r="AR3885" s="9"/>
      <c r="AS3885" s="9"/>
      <c r="AT3885" s="9"/>
      <c r="AU3885" s="9"/>
    </row>
    <row r="3886" spans="1:47" ht="15.75" customHeight="1">
      <c r="A3886" s="9"/>
      <c r="B3886" s="9"/>
      <c r="C3886" s="9"/>
      <c r="D3886" s="9"/>
      <c r="E3886" s="9"/>
      <c r="F3886" s="67"/>
      <c r="G3886" s="9"/>
      <c r="H3886" s="9"/>
      <c r="I3886" s="9"/>
      <c r="J3886" s="9"/>
      <c r="K3886" s="9"/>
      <c r="L3886" s="9"/>
      <c r="M3886" s="9"/>
      <c r="N3886" s="9"/>
      <c r="O3886" s="9"/>
      <c r="P3886" s="9"/>
      <c r="Q3886" s="9"/>
      <c r="R3886" s="9"/>
      <c r="S3886" s="9"/>
      <c r="T3886" s="9"/>
      <c r="U3886" s="9"/>
      <c r="V3886" s="9"/>
      <c r="W3886" s="9"/>
      <c r="X3886" s="9"/>
      <c r="Y3886" s="9"/>
      <c r="Z3886" s="9"/>
      <c r="AA3886" s="9"/>
      <c r="AB3886" s="9"/>
      <c r="AC3886" s="9"/>
      <c r="AD3886" s="9"/>
      <c r="AE3886" s="9"/>
      <c r="AF3886" s="9"/>
      <c r="AG3886" s="9"/>
      <c r="AH3886" s="9"/>
      <c r="AI3886" s="9"/>
      <c r="AJ3886" s="9"/>
      <c r="AK3886" s="9"/>
      <c r="AL3886" s="9"/>
      <c r="AM3886" s="9"/>
      <c r="AN3886" s="9"/>
      <c r="AO3886" s="9"/>
      <c r="AP3886" s="9"/>
      <c r="AQ3886" s="9"/>
      <c r="AR3886" s="9"/>
      <c r="AS3886" s="9"/>
      <c r="AT3886" s="9"/>
      <c r="AU3886" s="9"/>
    </row>
    <row r="3887" spans="1:47" ht="15.75" customHeight="1">
      <c r="A3887" s="9"/>
      <c r="B3887" s="9"/>
      <c r="C3887" s="9"/>
      <c r="D3887" s="9"/>
      <c r="E3887" s="9"/>
      <c r="F3887" s="67"/>
      <c r="G3887" s="9"/>
      <c r="H3887" s="9"/>
      <c r="I3887" s="9"/>
      <c r="J3887" s="9"/>
      <c r="K3887" s="9"/>
      <c r="L3887" s="9"/>
      <c r="M3887" s="9"/>
      <c r="N3887" s="9"/>
      <c r="O3887" s="9"/>
      <c r="P3887" s="9"/>
      <c r="Q3887" s="9"/>
      <c r="R3887" s="9"/>
      <c r="S3887" s="9"/>
      <c r="T3887" s="9"/>
      <c r="U3887" s="9"/>
      <c r="V3887" s="9"/>
      <c r="W3887" s="9"/>
      <c r="X3887" s="9"/>
      <c r="Y3887" s="9"/>
      <c r="Z3887" s="9"/>
      <c r="AA3887" s="9"/>
      <c r="AB3887" s="9"/>
      <c r="AC3887" s="9"/>
      <c r="AD3887" s="9"/>
      <c r="AE3887" s="9"/>
      <c r="AF3887" s="9"/>
      <c r="AG3887" s="9"/>
      <c r="AH3887" s="9"/>
      <c r="AI3887" s="9"/>
      <c r="AJ3887" s="9"/>
      <c r="AK3887" s="9"/>
      <c r="AL3887" s="9"/>
      <c r="AM3887" s="9"/>
      <c r="AN3887" s="9"/>
      <c r="AO3887" s="9"/>
      <c r="AP3887" s="9"/>
      <c r="AQ3887" s="9"/>
      <c r="AR3887" s="9"/>
      <c r="AS3887" s="9"/>
      <c r="AT3887" s="9"/>
      <c r="AU3887" s="9"/>
    </row>
    <row r="3888" spans="1:47" ht="15.75" customHeight="1">
      <c r="A3888" s="9"/>
      <c r="B3888" s="9"/>
      <c r="C3888" s="9"/>
      <c r="D3888" s="9"/>
      <c r="E3888" s="9"/>
      <c r="F3888" s="67"/>
      <c r="G3888" s="9"/>
      <c r="H3888" s="9"/>
      <c r="I3888" s="9"/>
      <c r="J3888" s="9"/>
      <c r="K3888" s="9"/>
      <c r="L3888" s="9"/>
      <c r="M3888" s="9"/>
      <c r="N3888" s="9"/>
      <c r="O3888" s="9"/>
      <c r="P3888" s="9"/>
      <c r="Q3888" s="9"/>
      <c r="R3888" s="9"/>
      <c r="S3888" s="9"/>
      <c r="T3888" s="9"/>
      <c r="U3888" s="9"/>
      <c r="V3888" s="9"/>
      <c r="W3888" s="9"/>
      <c r="X3888" s="9"/>
      <c r="Y3888" s="9"/>
      <c r="Z3888" s="9"/>
      <c r="AA3888" s="9"/>
      <c r="AB3888" s="9"/>
      <c r="AC3888" s="9"/>
      <c r="AD3888" s="9"/>
      <c r="AE3888" s="9"/>
      <c r="AF3888" s="9"/>
      <c r="AG3888" s="9"/>
      <c r="AH3888" s="9"/>
      <c r="AI3888" s="9"/>
      <c r="AJ3888" s="9"/>
      <c r="AK3888" s="9"/>
      <c r="AL3888" s="9"/>
      <c r="AM3888" s="9"/>
      <c r="AN3888" s="9"/>
      <c r="AO3888" s="9"/>
      <c r="AP3888" s="9"/>
      <c r="AQ3888" s="9"/>
      <c r="AR3888" s="9"/>
      <c r="AS3888" s="9"/>
      <c r="AT3888" s="9"/>
      <c r="AU3888" s="9"/>
    </row>
    <row r="3889" spans="1:47" ht="15.75" customHeight="1">
      <c r="A3889" s="9"/>
      <c r="B3889" s="9"/>
      <c r="C3889" s="9"/>
      <c r="D3889" s="9"/>
      <c r="E3889" s="9"/>
      <c r="F3889" s="67"/>
      <c r="G3889" s="9"/>
      <c r="H3889" s="9"/>
      <c r="I3889" s="9"/>
      <c r="J3889" s="9"/>
      <c r="K3889" s="9"/>
      <c r="L3889" s="9"/>
      <c r="M3889" s="9"/>
      <c r="N3889" s="9"/>
      <c r="O3889" s="9"/>
      <c r="P3889" s="9"/>
      <c r="Q3889" s="9"/>
      <c r="R3889" s="9"/>
      <c r="S3889" s="9"/>
      <c r="T3889" s="9"/>
      <c r="U3889" s="9"/>
      <c r="V3889" s="9"/>
      <c r="W3889" s="9"/>
      <c r="X3889" s="9"/>
      <c r="Y3889" s="9"/>
      <c r="Z3889" s="9"/>
      <c r="AA3889" s="9"/>
      <c r="AB3889" s="9"/>
      <c r="AC3889" s="9"/>
      <c r="AD3889" s="9"/>
      <c r="AE3889" s="9"/>
      <c r="AF3889" s="9"/>
      <c r="AG3889" s="9"/>
      <c r="AH3889" s="9"/>
      <c r="AI3889" s="9"/>
      <c r="AJ3889" s="9"/>
      <c r="AK3889" s="9"/>
      <c r="AL3889" s="9"/>
      <c r="AM3889" s="9"/>
      <c r="AN3889" s="9"/>
      <c r="AO3889" s="9"/>
      <c r="AP3889" s="9"/>
      <c r="AQ3889" s="9"/>
      <c r="AR3889" s="9"/>
      <c r="AS3889" s="9"/>
      <c r="AT3889" s="9"/>
      <c r="AU3889" s="9"/>
    </row>
    <row r="3890" spans="1:47" ht="15.75" customHeight="1">
      <c r="A3890" s="9"/>
      <c r="B3890" s="9"/>
      <c r="C3890" s="9"/>
      <c r="D3890" s="9"/>
      <c r="E3890" s="9"/>
      <c r="F3890" s="67"/>
      <c r="G3890" s="9"/>
      <c r="H3890" s="9"/>
      <c r="I3890" s="9"/>
      <c r="J3890" s="9"/>
      <c r="K3890" s="9"/>
      <c r="L3890" s="9"/>
      <c r="M3890" s="9"/>
      <c r="N3890" s="9"/>
      <c r="O3890" s="9"/>
      <c r="P3890" s="9"/>
      <c r="Q3890" s="9"/>
      <c r="R3890" s="9"/>
      <c r="S3890" s="9"/>
      <c r="T3890" s="9"/>
      <c r="U3890" s="9"/>
      <c r="V3890" s="9"/>
      <c r="W3890" s="9"/>
      <c r="X3890" s="9"/>
      <c r="Y3890" s="9"/>
      <c r="Z3890" s="9"/>
      <c r="AA3890" s="9"/>
      <c r="AB3890" s="9"/>
      <c r="AC3890" s="9"/>
      <c r="AD3890" s="9"/>
      <c r="AE3890" s="9"/>
      <c r="AF3890" s="9"/>
      <c r="AG3890" s="9"/>
      <c r="AH3890" s="9"/>
      <c r="AI3890" s="9"/>
      <c r="AJ3890" s="9"/>
      <c r="AK3890" s="9"/>
      <c r="AL3890" s="9"/>
      <c r="AM3890" s="9"/>
      <c r="AN3890" s="9"/>
      <c r="AO3890" s="9"/>
      <c r="AP3890" s="9"/>
      <c r="AQ3890" s="9"/>
      <c r="AR3890" s="9"/>
      <c r="AS3890" s="9"/>
      <c r="AT3890" s="9"/>
      <c r="AU3890" s="9"/>
    </row>
    <row r="3891" spans="1:47" ht="15.75" customHeight="1">
      <c r="A3891" s="9"/>
      <c r="B3891" s="9"/>
      <c r="C3891" s="9"/>
      <c r="D3891" s="9"/>
      <c r="E3891" s="9"/>
      <c r="F3891" s="67"/>
      <c r="G3891" s="9"/>
      <c r="H3891" s="9"/>
      <c r="I3891" s="9"/>
      <c r="J3891" s="9"/>
      <c r="K3891" s="9"/>
      <c r="L3891" s="9"/>
      <c r="M3891" s="9"/>
      <c r="N3891" s="9"/>
      <c r="O3891" s="9"/>
      <c r="P3891" s="9"/>
      <c r="Q3891" s="9"/>
      <c r="R3891" s="9"/>
      <c r="S3891" s="9"/>
      <c r="T3891" s="9"/>
      <c r="U3891" s="9"/>
      <c r="V3891" s="9"/>
      <c r="W3891" s="9"/>
      <c r="X3891" s="9"/>
      <c r="Y3891" s="9"/>
      <c r="Z3891" s="9"/>
      <c r="AA3891" s="9"/>
      <c r="AB3891" s="9"/>
      <c r="AC3891" s="9"/>
      <c r="AD3891" s="9"/>
      <c r="AE3891" s="9"/>
      <c r="AF3891" s="9"/>
      <c r="AG3891" s="9"/>
      <c r="AH3891" s="9"/>
      <c r="AI3891" s="9"/>
      <c r="AJ3891" s="9"/>
      <c r="AK3891" s="9"/>
      <c r="AL3891" s="9"/>
      <c r="AM3891" s="9"/>
      <c r="AN3891" s="9"/>
      <c r="AO3891" s="9"/>
      <c r="AP3891" s="9"/>
      <c r="AQ3891" s="9"/>
      <c r="AR3891" s="9"/>
      <c r="AS3891" s="9"/>
      <c r="AT3891" s="9"/>
      <c r="AU3891" s="9"/>
    </row>
    <row r="3892" spans="1:47" ht="15.75" customHeight="1">
      <c r="A3892" s="9"/>
      <c r="B3892" s="9"/>
      <c r="C3892" s="9"/>
      <c r="D3892" s="9"/>
      <c r="E3892" s="9"/>
      <c r="F3892" s="67"/>
      <c r="G3892" s="9"/>
      <c r="H3892" s="9"/>
      <c r="I3892" s="9"/>
      <c r="J3892" s="9"/>
      <c r="K3892" s="9"/>
      <c r="L3892" s="9"/>
      <c r="M3892" s="9"/>
      <c r="N3892" s="9"/>
      <c r="O3892" s="9"/>
      <c r="P3892" s="9"/>
      <c r="Q3892" s="9"/>
      <c r="R3892" s="9"/>
      <c r="S3892" s="9"/>
      <c r="T3892" s="9"/>
      <c r="U3892" s="9"/>
      <c r="V3892" s="9"/>
      <c r="W3892" s="9"/>
      <c r="X3892" s="9"/>
      <c r="Y3892" s="9"/>
      <c r="Z3892" s="9"/>
      <c r="AA3892" s="9"/>
      <c r="AB3892" s="9"/>
      <c r="AC3892" s="9"/>
      <c r="AD3892" s="9"/>
      <c r="AE3892" s="9"/>
      <c r="AF3892" s="9"/>
      <c r="AG3892" s="9"/>
      <c r="AH3892" s="9"/>
      <c r="AI3892" s="9"/>
      <c r="AJ3892" s="9"/>
      <c r="AK3892" s="9"/>
      <c r="AL3892" s="9"/>
      <c r="AM3892" s="9"/>
      <c r="AN3892" s="9"/>
      <c r="AO3892" s="9"/>
      <c r="AP3892" s="9"/>
      <c r="AQ3892" s="9"/>
      <c r="AR3892" s="9"/>
      <c r="AS3892" s="9"/>
      <c r="AT3892" s="9"/>
      <c r="AU3892" s="9"/>
    </row>
    <row r="3893" spans="1:47" ht="15.75" customHeight="1">
      <c r="A3893" s="9"/>
      <c r="B3893" s="9"/>
      <c r="C3893" s="9"/>
      <c r="D3893" s="9"/>
      <c r="E3893" s="9"/>
      <c r="F3893" s="67"/>
      <c r="G3893" s="9"/>
      <c r="H3893" s="9"/>
      <c r="I3893" s="9"/>
      <c r="J3893" s="9"/>
      <c r="K3893" s="9"/>
      <c r="L3893" s="9"/>
      <c r="M3893" s="9"/>
      <c r="N3893" s="9"/>
      <c r="O3893" s="9"/>
      <c r="P3893" s="9"/>
      <c r="Q3893" s="9"/>
      <c r="R3893" s="9"/>
      <c r="S3893" s="9"/>
      <c r="T3893" s="9"/>
      <c r="U3893" s="9"/>
      <c r="V3893" s="9"/>
      <c r="W3893" s="9"/>
      <c r="X3893" s="9"/>
      <c r="Y3893" s="9"/>
      <c r="Z3893" s="9"/>
      <c r="AA3893" s="9"/>
      <c r="AB3893" s="9"/>
      <c r="AC3893" s="9"/>
      <c r="AD3893" s="9"/>
      <c r="AE3893" s="9"/>
      <c r="AF3893" s="9"/>
      <c r="AG3893" s="9"/>
      <c r="AH3893" s="9"/>
      <c r="AI3893" s="9"/>
      <c r="AJ3893" s="9"/>
      <c r="AK3893" s="9"/>
      <c r="AL3893" s="9"/>
      <c r="AM3893" s="9"/>
      <c r="AN3893" s="9"/>
      <c r="AO3893" s="9"/>
      <c r="AP3893" s="9"/>
      <c r="AQ3893" s="9"/>
      <c r="AR3893" s="9"/>
      <c r="AS3893" s="9"/>
      <c r="AT3893" s="9"/>
      <c r="AU3893" s="9"/>
    </row>
    <row r="3894" spans="1:47" ht="15.75" customHeight="1">
      <c r="A3894" s="9"/>
      <c r="B3894" s="9"/>
      <c r="C3894" s="9"/>
      <c r="D3894" s="9"/>
      <c r="E3894" s="9"/>
      <c r="F3894" s="67"/>
      <c r="G3894" s="9"/>
      <c r="H3894" s="9"/>
      <c r="I3894" s="9"/>
      <c r="J3894" s="9"/>
      <c r="K3894" s="9"/>
      <c r="L3894" s="9"/>
      <c r="M3894" s="9"/>
      <c r="N3894" s="9"/>
      <c r="O3894" s="9"/>
      <c r="P3894" s="9"/>
      <c r="Q3894" s="9"/>
      <c r="R3894" s="9"/>
      <c r="S3894" s="9"/>
      <c r="T3894" s="9"/>
      <c r="U3894" s="9"/>
      <c r="V3894" s="9"/>
      <c r="W3894" s="9"/>
      <c r="X3894" s="9"/>
      <c r="Y3894" s="9"/>
      <c r="Z3894" s="9"/>
      <c r="AA3894" s="9"/>
      <c r="AB3894" s="9"/>
      <c r="AC3894" s="9"/>
      <c r="AD3894" s="9"/>
      <c r="AE3894" s="9"/>
      <c r="AF3894" s="9"/>
      <c r="AG3894" s="9"/>
      <c r="AH3894" s="9"/>
      <c r="AI3894" s="9"/>
      <c r="AJ3894" s="9"/>
      <c r="AK3894" s="9"/>
      <c r="AL3894" s="9"/>
      <c r="AM3894" s="9"/>
      <c r="AN3894" s="9"/>
      <c r="AO3894" s="9"/>
      <c r="AP3894" s="9"/>
      <c r="AQ3894" s="9"/>
      <c r="AR3894" s="9"/>
      <c r="AS3894" s="9"/>
      <c r="AT3894" s="9"/>
      <c r="AU3894" s="9"/>
    </row>
    <row r="3895" spans="1:47" ht="15.75" customHeight="1">
      <c r="A3895" s="9"/>
      <c r="B3895" s="9"/>
      <c r="C3895" s="9"/>
      <c r="D3895" s="9"/>
      <c r="E3895" s="9"/>
      <c r="F3895" s="67"/>
      <c r="G3895" s="9"/>
      <c r="H3895" s="9"/>
      <c r="I3895" s="9"/>
      <c r="J3895" s="9"/>
      <c r="K3895" s="9"/>
      <c r="L3895" s="9"/>
      <c r="M3895" s="9"/>
      <c r="N3895" s="9"/>
      <c r="O3895" s="9"/>
      <c r="P3895" s="9"/>
      <c r="Q3895" s="9"/>
      <c r="R3895" s="9"/>
      <c r="S3895" s="9"/>
      <c r="T3895" s="9"/>
      <c r="U3895" s="9"/>
      <c r="V3895" s="9"/>
      <c r="W3895" s="9"/>
      <c r="X3895" s="9"/>
      <c r="Y3895" s="9"/>
      <c r="Z3895" s="9"/>
      <c r="AA3895" s="9"/>
      <c r="AB3895" s="9"/>
      <c r="AC3895" s="9"/>
      <c r="AD3895" s="9"/>
      <c r="AE3895" s="9"/>
      <c r="AF3895" s="9"/>
      <c r="AG3895" s="9"/>
      <c r="AH3895" s="9"/>
      <c r="AI3895" s="9"/>
      <c r="AJ3895" s="9"/>
      <c r="AK3895" s="9"/>
      <c r="AL3895" s="9"/>
      <c r="AM3895" s="9"/>
      <c r="AN3895" s="9"/>
      <c r="AO3895" s="9"/>
      <c r="AP3895" s="9"/>
      <c r="AQ3895" s="9"/>
      <c r="AR3895" s="9"/>
      <c r="AS3895" s="9"/>
      <c r="AT3895" s="9"/>
      <c r="AU3895" s="9"/>
    </row>
    <row r="3896" spans="1:47" ht="15.75" customHeight="1">
      <c r="A3896" s="9"/>
      <c r="B3896" s="9"/>
      <c r="C3896" s="9"/>
      <c r="D3896" s="9"/>
      <c r="E3896" s="9"/>
      <c r="F3896" s="67"/>
      <c r="G3896" s="9"/>
      <c r="H3896" s="9"/>
      <c r="I3896" s="9"/>
      <c r="J3896" s="9"/>
      <c r="K3896" s="9"/>
      <c r="L3896" s="9"/>
      <c r="M3896" s="9"/>
      <c r="N3896" s="9"/>
      <c r="O3896" s="9"/>
      <c r="P3896" s="9"/>
      <c r="Q3896" s="9"/>
      <c r="R3896" s="9"/>
      <c r="S3896" s="9"/>
      <c r="T3896" s="9"/>
      <c r="U3896" s="9"/>
      <c r="V3896" s="9"/>
      <c r="W3896" s="9"/>
      <c r="X3896" s="9"/>
      <c r="Y3896" s="9"/>
      <c r="Z3896" s="9"/>
      <c r="AA3896" s="9"/>
      <c r="AB3896" s="9"/>
      <c r="AC3896" s="9"/>
      <c r="AD3896" s="9"/>
      <c r="AE3896" s="9"/>
      <c r="AF3896" s="9"/>
      <c r="AG3896" s="9"/>
      <c r="AH3896" s="9"/>
      <c r="AI3896" s="9"/>
      <c r="AJ3896" s="9"/>
      <c r="AK3896" s="9"/>
      <c r="AL3896" s="9"/>
      <c r="AM3896" s="9"/>
      <c r="AN3896" s="9"/>
      <c r="AO3896" s="9"/>
      <c r="AP3896" s="9"/>
      <c r="AQ3896" s="9"/>
      <c r="AR3896" s="9"/>
      <c r="AS3896" s="9"/>
      <c r="AT3896" s="9"/>
      <c r="AU3896" s="9"/>
    </row>
    <row r="3897" spans="1:47" ht="15.75" customHeight="1">
      <c r="A3897" s="9"/>
      <c r="B3897" s="9"/>
      <c r="C3897" s="9"/>
      <c r="D3897" s="9"/>
      <c r="E3897" s="9"/>
      <c r="F3897" s="67"/>
      <c r="G3897" s="9"/>
      <c r="H3897" s="9"/>
      <c r="I3897" s="9"/>
      <c r="J3897" s="9"/>
      <c r="K3897" s="9"/>
      <c r="L3897" s="9"/>
      <c r="M3897" s="9"/>
      <c r="N3897" s="9"/>
      <c r="O3897" s="9"/>
      <c r="P3897" s="9"/>
      <c r="Q3897" s="9"/>
      <c r="R3897" s="9"/>
      <c r="S3897" s="9"/>
      <c r="T3897" s="9"/>
      <c r="U3897" s="9"/>
      <c r="V3897" s="9"/>
      <c r="W3897" s="9"/>
      <c r="X3897" s="9"/>
      <c r="Y3897" s="9"/>
      <c r="Z3897" s="9"/>
      <c r="AA3897" s="9"/>
      <c r="AB3897" s="9"/>
      <c r="AC3897" s="9"/>
      <c r="AD3897" s="9"/>
      <c r="AE3897" s="9"/>
      <c r="AF3897" s="9"/>
      <c r="AG3897" s="9"/>
      <c r="AH3897" s="9"/>
      <c r="AI3897" s="9"/>
      <c r="AJ3897" s="9"/>
      <c r="AK3897" s="9"/>
      <c r="AL3897" s="9"/>
      <c r="AM3897" s="9"/>
      <c r="AN3897" s="9"/>
      <c r="AO3897" s="9"/>
      <c r="AP3897" s="9"/>
      <c r="AQ3897" s="9"/>
      <c r="AR3897" s="9"/>
      <c r="AS3897" s="9"/>
      <c r="AT3897" s="9"/>
      <c r="AU3897" s="9"/>
    </row>
    <row r="3898" spans="1:47" ht="15.75" customHeight="1">
      <c r="A3898" s="9"/>
      <c r="B3898" s="9"/>
      <c r="C3898" s="9"/>
      <c r="D3898" s="9"/>
      <c r="E3898" s="9"/>
      <c r="F3898" s="67"/>
      <c r="G3898" s="9"/>
      <c r="H3898" s="9"/>
      <c r="I3898" s="9"/>
      <c r="J3898" s="9"/>
      <c r="K3898" s="9"/>
      <c r="L3898" s="9"/>
      <c r="M3898" s="9"/>
      <c r="N3898" s="9"/>
      <c r="O3898" s="9"/>
      <c r="P3898" s="9"/>
      <c r="Q3898" s="9"/>
      <c r="R3898" s="9"/>
      <c r="S3898" s="9"/>
      <c r="T3898" s="9"/>
      <c r="U3898" s="9"/>
      <c r="V3898" s="9"/>
      <c r="W3898" s="9"/>
      <c r="X3898" s="9"/>
      <c r="Y3898" s="9"/>
      <c r="Z3898" s="9"/>
      <c r="AA3898" s="9"/>
      <c r="AB3898" s="9"/>
      <c r="AC3898" s="9"/>
      <c r="AD3898" s="9"/>
      <c r="AE3898" s="9"/>
      <c r="AF3898" s="9"/>
      <c r="AG3898" s="9"/>
      <c r="AH3898" s="9"/>
      <c r="AI3898" s="9"/>
      <c r="AJ3898" s="9"/>
      <c r="AK3898" s="9"/>
      <c r="AL3898" s="9"/>
      <c r="AM3898" s="9"/>
      <c r="AN3898" s="9"/>
      <c r="AO3898" s="9"/>
      <c r="AP3898" s="9"/>
      <c r="AQ3898" s="9"/>
      <c r="AR3898" s="9"/>
      <c r="AS3898" s="9"/>
      <c r="AT3898" s="9"/>
      <c r="AU3898" s="9"/>
    </row>
    <row r="3899" spans="1:47" ht="15.75" customHeight="1">
      <c r="A3899" s="9"/>
      <c r="B3899" s="9"/>
      <c r="C3899" s="9"/>
      <c r="D3899" s="9"/>
      <c r="E3899" s="9"/>
      <c r="F3899" s="67"/>
      <c r="G3899" s="9"/>
      <c r="H3899" s="9"/>
      <c r="I3899" s="9"/>
      <c r="J3899" s="9"/>
      <c r="K3899" s="9"/>
      <c r="L3899" s="9"/>
      <c r="M3899" s="9"/>
      <c r="N3899" s="9"/>
      <c r="O3899" s="9"/>
      <c r="P3899" s="9"/>
      <c r="Q3899" s="9"/>
      <c r="R3899" s="9"/>
      <c r="S3899" s="9"/>
      <c r="T3899" s="9"/>
      <c r="U3899" s="9"/>
      <c r="V3899" s="9"/>
      <c r="W3899" s="9"/>
      <c r="X3899" s="9"/>
      <c r="Y3899" s="9"/>
      <c r="Z3899" s="9"/>
      <c r="AA3899" s="9"/>
      <c r="AB3899" s="9"/>
      <c r="AC3899" s="9"/>
      <c r="AD3899" s="9"/>
      <c r="AE3899" s="9"/>
      <c r="AF3899" s="9"/>
      <c r="AG3899" s="9"/>
      <c r="AH3899" s="9"/>
      <c r="AI3899" s="9"/>
      <c r="AJ3899" s="9"/>
      <c r="AK3899" s="9"/>
      <c r="AL3899" s="9"/>
      <c r="AM3899" s="9"/>
      <c r="AN3899" s="9"/>
      <c r="AO3899" s="9"/>
      <c r="AP3899" s="9"/>
      <c r="AQ3899" s="9"/>
      <c r="AR3899" s="9"/>
      <c r="AS3899" s="9"/>
      <c r="AT3899" s="9"/>
      <c r="AU3899" s="9"/>
    </row>
    <row r="3900" spans="1:47" ht="15.75" customHeight="1">
      <c r="A3900" s="9"/>
      <c r="B3900" s="9"/>
      <c r="C3900" s="9"/>
      <c r="D3900" s="9"/>
      <c r="E3900" s="9"/>
      <c r="F3900" s="67"/>
      <c r="G3900" s="9"/>
      <c r="H3900" s="9"/>
      <c r="I3900" s="9"/>
      <c r="J3900" s="9"/>
      <c r="K3900" s="9"/>
      <c r="L3900" s="9"/>
      <c r="M3900" s="9"/>
      <c r="N3900" s="9"/>
      <c r="O3900" s="9"/>
      <c r="P3900" s="9"/>
      <c r="Q3900" s="9"/>
      <c r="R3900" s="9"/>
      <c r="S3900" s="9"/>
      <c r="T3900" s="9"/>
      <c r="U3900" s="9"/>
      <c r="V3900" s="9"/>
      <c r="W3900" s="9"/>
      <c r="X3900" s="9"/>
      <c r="Y3900" s="9"/>
      <c r="Z3900" s="9"/>
      <c r="AA3900" s="9"/>
      <c r="AB3900" s="9"/>
      <c r="AC3900" s="9"/>
      <c r="AD3900" s="9"/>
      <c r="AE3900" s="9"/>
      <c r="AF3900" s="9"/>
      <c r="AG3900" s="9"/>
      <c r="AH3900" s="9"/>
      <c r="AI3900" s="9"/>
      <c r="AJ3900" s="9"/>
      <c r="AK3900" s="9"/>
      <c r="AL3900" s="9"/>
      <c r="AM3900" s="9"/>
      <c r="AN3900" s="9"/>
      <c r="AO3900" s="9"/>
      <c r="AP3900" s="9"/>
      <c r="AQ3900" s="9"/>
      <c r="AR3900" s="9"/>
      <c r="AS3900" s="9"/>
      <c r="AT3900" s="9"/>
      <c r="AU3900" s="9"/>
    </row>
    <row r="3901" spans="1:47" ht="15.75" customHeight="1">
      <c r="A3901" s="9"/>
      <c r="B3901" s="9"/>
      <c r="C3901" s="9"/>
      <c r="D3901" s="9"/>
      <c r="E3901" s="9"/>
      <c r="F3901" s="67"/>
      <c r="G3901" s="9"/>
      <c r="H3901" s="9"/>
      <c r="I3901" s="9"/>
      <c r="J3901" s="9"/>
      <c r="K3901" s="9"/>
      <c r="L3901" s="9"/>
      <c r="M3901" s="9"/>
      <c r="N3901" s="9"/>
      <c r="O3901" s="9"/>
      <c r="P3901" s="9"/>
      <c r="Q3901" s="9"/>
      <c r="R3901" s="9"/>
      <c r="S3901" s="9"/>
      <c r="T3901" s="9"/>
      <c r="U3901" s="9"/>
      <c r="V3901" s="9"/>
      <c r="W3901" s="9"/>
      <c r="X3901" s="9"/>
      <c r="Y3901" s="9"/>
      <c r="Z3901" s="9"/>
      <c r="AA3901" s="9"/>
      <c r="AB3901" s="9"/>
      <c r="AC3901" s="9"/>
      <c r="AD3901" s="9"/>
      <c r="AE3901" s="9"/>
      <c r="AF3901" s="9"/>
      <c r="AG3901" s="9"/>
      <c r="AH3901" s="9"/>
      <c r="AI3901" s="9"/>
      <c r="AJ3901" s="9"/>
      <c r="AK3901" s="9"/>
      <c r="AL3901" s="9"/>
      <c r="AM3901" s="9"/>
      <c r="AN3901" s="9"/>
      <c r="AO3901" s="9"/>
      <c r="AP3901" s="9"/>
      <c r="AQ3901" s="9"/>
      <c r="AR3901" s="9"/>
      <c r="AS3901" s="9"/>
      <c r="AT3901" s="9"/>
      <c r="AU3901" s="9"/>
    </row>
    <row r="3902" spans="1:47" ht="15.75" customHeight="1">
      <c r="A3902" s="9"/>
      <c r="B3902" s="9"/>
      <c r="C3902" s="9"/>
      <c r="D3902" s="9"/>
      <c r="E3902" s="9"/>
      <c r="F3902" s="67"/>
      <c r="G3902" s="9"/>
      <c r="H3902" s="9"/>
      <c r="I3902" s="9"/>
      <c r="J3902" s="9"/>
      <c r="K3902" s="9"/>
      <c r="L3902" s="9"/>
      <c r="M3902" s="9"/>
      <c r="N3902" s="9"/>
      <c r="O3902" s="9"/>
      <c r="P3902" s="9"/>
      <c r="Q3902" s="9"/>
      <c r="R3902" s="9"/>
      <c r="S3902" s="9"/>
      <c r="T3902" s="9"/>
      <c r="U3902" s="9"/>
      <c r="V3902" s="9"/>
      <c r="W3902" s="9"/>
      <c r="X3902" s="9"/>
      <c r="Y3902" s="9"/>
      <c r="Z3902" s="9"/>
      <c r="AA3902" s="9"/>
      <c r="AB3902" s="9"/>
      <c r="AC3902" s="9"/>
      <c r="AD3902" s="9"/>
      <c r="AE3902" s="9"/>
      <c r="AF3902" s="9"/>
      <c r="AG3902" s="9"/>
      <c r="AH3902" s="9"/>
      <c r="AI3902" s="9"/>
      <c r="AJ3902" s="9"/>
      <c r="AK3902" s="9"/>
      <c r="AL3902" s="9"/>
      <c r="AM3902" s="9"/>
      <c r="AN3902" s="9"/>
      <c r="AO3902" s="9"/>
      <c r="AP3902" s="9"/>
      <c r="AQ3902" s="9"/>
      <c r="AR3902" s="9"/>
      <c r="AS3902" s="9"/>
      <c r="AT3902" s="9"/>
      <c r="AU3902" s="9"/>
    </row>
    <row r="3903" spans="1:47" ht="15.75" customHeight="1">
      <c r="A3903" s="9"/>
      <c r="B3903" s="9"/>
      <c r="C3903" s="9"/>
      <c r="D3903" s="9"/>
      <c r="E3903" s="9"/>
      <c r="F3903" s="67"/>
      <c r="G3903" s="9"/>
      <c r="H3903" s="9"/>
      <c r="I3903" s="9"/>
      <c r="J3903" s="9"/>
      <c r="K3903" s="9"/>
      <c r="L3903" s="9"/>
      <c r="M3903" s="9"/>
      <c r="N3903" s="9"/>
      <c r="O3903" s="9"/>
      <c r="P3903" s="9"/>
      <c r="Q3903" s="9"/>
      <c r="R3903" s="9"/>
      <c r="S3903" s="9"/>
      <c r="T3903" s="9"/>
      <c r="U3903" s="9"/>
      <c r="V3903" s="9"/>
      <c r="W3903" s="9"/>
      <c r="X3903" s="9"/>
      <c r="Y3903" s="9"/>
      <c r="Z3903" s="9"/>
      <c r="AA3903" s="9"/>
      <c r="AB3903" s="9"/>
      <c r="AC3903" s="9"/>
      <c r="AD3903" s="9"/>
      <c r="AE3903" s="9"/>
      <c r="AF3903" s="9"/>
      <c r="AG3903" s="9"/>
      <c r="AH3903" s="9"/>
      <c r="AI3903" s="9"/>
      <c r="AJ3903" s="9"/>
      <c r="AK3903" s="9"/>
      <c r="AL3903" s="9"/>
      <c r="AM3903" s="9"/>
      <c r="AN3903" s="9"/>
      <c r="AO3903" s="9"/>
      <c r="AP3903" s="9"/>
      <c r="AQ3903" s="9"/>
      <c r="AR3903" s="9"/>
      <c r="AS3903" s="9"/>
      <c r="AT3903" s="9"/>
      <c r="AU3903" s="9"/>
    </row>
    <row r="3904" spans="1:47" ht="15.75" customHeight="1">
      <c r="A3904" s="9"/>
      <c r="B3904" s="9"/>
      <c r="C3904" s="9"/>
      <c r="D3904" s="9"/>
      <c r="E3904" s="9"/>
      <c r="F3904" s="67"/>
      <c r="G3904" s="9"/>
      <c r="H3904" s="9"/>
      <c r="I3904" s="9"/>
      <c r="J3904" s="9"/>
      <c r="K3904" s="9"/>
      <c r="L3904" s="9"/>
      <c r="M3904" s="9"/>
      <c r="N3904" s="9"/>
      <c r="O3904" s="9"/>
      <c r="P3904" s="9"/>
      <c r="Q3904" s="9"/>
      <c r="R3904" s="9"/>
      <c r="S3904" s="9"/>
      <c r="T3904" s="9"/>
      <c r="U3904" s="9"/>
      <c r="V3904" s="9"/>
      <c r="W3904" s="9"/>
      <c r="X3904" s="9"/>
      <c r="Y3904" s="9"/>
      <c r="Z3904" s="9"/>
      <c r="AA3904" s="9"/>
      <c r="AB3904" s="9"/>
      <c r="AC3904" s="9"/>
      <c r="AD3904" s="9"/>
      <c r="AE3904" s="9"/>
      <c r="AF3904" s="9"/>
      <c r="AG3904" s="9"/>
      <c r="AH3904" s="9"/>
      <c r="AI3904" s="9"/>
      <c r="AJ3904" s="9"/>
      <c r="AK3904" s="9"/>
      <c r="AL3904" s="9"/>
      <c r="AM3904" s="9"/>
      <c r="AN3904" s="9"/>
      <c r="AO3904" s="9"/>
      <c r="AP3904" s="9"/>
      <c r="AQ3904" s="9"/>
      <c r="AR3904" s="9"/>
      <c r="AS3904" s="9"/>
      <c r="AT3904" s="9"/>
      <c r="AU3904" s="9"/>
    </row>
    <row r="3905" spans="1:47" ht="15.75" customHeight="1">
      <c r="A3905" s="9"/>
      <c r="B3905" s="9"/>
      <c r="C3905" s="9"/>
      <c r="D3905" s="9"/>
      <c r="E3905" s="9"/>
      <c r="F3905" s="67"/>
      <c r="G3905" s="9"/>
      <c r="H3905" s="9"/>
      <c r="I3905" s="9"/>
      <c r="J3905" s="9"/>
      <c r="K3905" s="9"/>
      <c r="L3905" s="9"/>
      <c r="M3905" s="9"/>
      <c r="N3905" s="9"/>
      <c r="O3905" s="9"/>
      <c r="P3905" s="9"/>
      <c r="Q3905" s="9"/>
      <c r="R3905" s="9"/>
      <c r="S3905" s="9"/>
      <c r="T3905" s="9"/>
      <c r="U3905" s="9"/>
      <c r="V3905" s="9"/>
      <c r="W3905" s="9"/>
      <c r="X3905" s="9"/>
      <c r="Y3905" s="9"/>
      <c r="Z3905" s="9"/>
      <c r="AA3905" s="9"/>
      <c r="AB3905" s="9"/>
      <c r="AC3905" s="9"/>
      <c r="AD3905" s="9"/>
      <c r="AE3905" s="9"/>
      <c r="AF3905" s="9"/>
      <c r="AG3905" s="9"/>
      <c r="AH3905" s="9"/>
      <c r="AI3905" s="9"/>
      <c r="AJ3905" s="9"/>
      <c r="AK3905" s="9"/>
      <c r="AL3905" s="9"/>
      <c r="AM3905" s="9"/>
      <c r="AN3905" s="9"/>
      <c r="AO3905" s="9"/>
      <c r="AP3905" s="9"/>
      <c r="AQ3905" s="9"/>
      <c r="AR3905" s="9"/>
      <c r="AS3905" s="9"/>
      <c r="AT3905" s="9"/>
      <c r="AU3905" s="9"/>
    </row>
    <row r="3906" spans="1:47" ht="15.75" customHeight="1">
      <c r="A3906" s="9"/>
      <c r="B3906" s="9"/>
      <c r="C3906" s="9"/>
      <c r="D3906" s="9"/>
      <c r="E3906" s="9"/>
      <c r="F3906" s="67"/>
      <c r="G3906" s="9"/>
      <c r="H3906" s="9"/>
      <c r="I3906" s="9"/>
      <c r="J3906" s="9"/>
      <c r="K3906" s="9"/>
      <c r="L3906" s="9"/>
      <c r="M3906" s="9"/>
      <c r="N3906" s="9"/>
      <c r="O3906" s="9"/>
      <c r="P3906" s="9"/>
      <c r="Q3906" s="9"/>
      <c r="R3906" s="9"/>
      <c r="S3906" s="9"/>
      <c r="T3906" s="9"/>
      <c r="U3906" s="9"/>
      <c r="V3906" s="9"/>
      <c r="W3906" s="9"/>
      <c r="X3906" s="9"/>
      <c r="Y3906" s="9"/>
      <c r="Z3906" s="9"/>
      <c r="AA3906" s="9"/>
      <c r="AB3906" s="9"/>
      <c r="AC3906" s="9"/>
      <c r="AD3906" s="9"/>
      <c r="AE3906" s="9"/>
      <c r="AF3906" s="9"/>
      <c r="AG3906" s="9"/>
      <c r="AH3906" s="9"/>
      <c r="AI3906" s="9"/>
      <c r="AJ3906" s="9"/>
      <c r="AK3906" s="9"/>
      <c r="AL3906" s="9"/>
      <c r="AM3906" s="9"/>
      <c r="AN3906" s="9"/>
      <c r="AO3906" s="9"/>
      <c r="AP3906" s="9"/>
      <c r="AQ3906" s="9"/>
      <c r="AR3906" s="9"/>
      <c r="AS3906" s="9"/>
      <c r="AT3906" s="9"/>
      <c r="AU3906" s="9"/>
    </row>
    <row r="3907" spans="1:47" ht="15.75" customHeight="1">
      <c r="A3907" s="9"/>
      <c r="B3907" s="9"/>
      <c r="C3907" s="9"/>
      <c r="D3907" s="9"/>
      <c r="E3907" s="9"/>
      <c r="F3907" s="67"/>
      <c r="G3907" s="9"/>
      <c r="H3907" s="9"/>
      <c r="I3907" s="9"/>
      <c r="J3907" s="9"/>
      <c r="K3907" s="9"/>
      <c r="L3907" s="9"/>
      <c r="M3907" s="9"/>
      <c r="N3907" s="9"/>
      <c r="O3907" s="9"/>
      <c r="P3907" s="9"/>
      <c r="Q3907" s="9"/>
      <c r="R3907" s="9"/>
      <c r="S3907" s="9"/>
      <c r="T3907" s="9"/>
      <c r="U3907" s="9"/>
      <c r="V3907" s="9"/>
      <c r="W3907" s="9"/>
      <c r="X3907" s="9"/>
      <c r="Y3907" s="9"/>
      <c r="Z3907" s="9"/>
      <c r="AA3907" s="9"/>
      <c r="AB3907" s="9"/>
      <c r="AC3907" s="9"/>
      <c r="AD3907" s="9"/>
      <c r="AE3907" s="9"/>
      <c r="AF3907" s="9"/>
      <c r="AG3907" s="9"/>
      <c r="AH3907" s="9"/>
      <c r="AI3907" s="9"/>
      <c r="AJ3907" s="9"/>
      <c r="AK3907" s="9"/>
      <c r="AL3907" s="9"/>
      <c r="AM3907" s="9"/>
      <c r="AN3907" s="9"/>
      <c r="AO3907" s="9"/>
      <c r="AP3907" s="9"/>
      <c r="AQ3907" s="9"/>
      <c r="AR3907" s="9"/>
      <c r="AS3907" s="9"/>
      <c r="AT3907" s="9"/>
      <c r="AU3907" s="9"/>
    </row>
    <row r="3908" spans="1:47" ht="15.75" customHeight="1">
      <c r="A3908" s="9"/>
      <c r="B3908" s="9"/>
      <c r="C3908" s="9"/>
      <c r="D3908" s="9"/>
      <c r="E3908" s="9"/>
      <c r="F3908" s="67"/>
      <c r="G3908" s="9"/>
      <c r="H3908" s="9"/>
      <c r="I3908" s="9"/>
      <c r="J3908" s="9"/>
      <c r="K3908" s="9"/>
      <c r="L3908" s="9"/>
      <c r="M3908" s="9"/>
      <c r="N3908" s="9"/>
      <c r="O3908" s="9"/>
      <c r="P3908" s="9"/>
      <c r="Q3908" s="9"/>
      <c r="R3908" s="9"/>
      <c r="S3908" s="9"/>
      <c r="T3908" s="9"/>
      <c r="U3908" s="9"/>
      <c r="V3908" s="9"/>
      <c r="W3908" s="9"/>
      <c r="X3908" s="9"/>
      <c r="Y3908" s="9"/>
      <c r="Z3908" s="9"/>
      <c r="AA3908" s="9"/>
      <c r="AB3908" s="9"/>
      <c r="AC3908" s="9"/>
      <c r="AD3908" s="9"/>
      <c r="AE3908" s="9"/>
      <c r="AF3908" s="9"/>
      <c r="AG3908" s="9"/>
      <c r="AH3908" s="9"/>
      <c r="AI3908" s="9"/>
      <c r="AJ3908" s="9"/>
      <c r="AK3908" s="9"/>
      <c r="AL3908" s="9"/>
      <c r="AM3908" s="9"/>
      <c r="AN3908" s="9"/>
      <c r="AO3908" s="9"/>
      <c r="AP3908" s="9"/>
      <c r="AQ3908" s="9"/>
      <c r="AR3908" s="9"/>
      <c r="AS3908" s="9"/>
      <c r="AT3908" s="9"/>
      <c r="AU3908" s="9"/>
    </row>
    <row r="3909" spans="1:47" ht="15.75" customHeight="1">
      <c r="A3909" s="9"/>
      <c r="B3909" s="9"/>
      <c r="C3909" s="9"/>
      <c r="D3909" s="9"/>
      <c r="E3909" s="9"/>
      <c r="F3909" s="67"/>
      <c r="G3909" s="9"/>
      <c r="H3909" s="9"/>
      <c r="I3909" s="9"/>
      <c r="J3909" s="9"/>
      <c r="K3909" s="9"/>
      <c r="L3909" s="9"/>
      <c r="M3909" s="9"/>
      <c r="N3909" s="9"/>
      <c r="O3909" s="9"/>
      <c r="P3909" s="9"/>
      <c r="Q3909" s="9"/>
      <c r="R3909" s="9"/>
      <c r="S3909" s="9"/>
      <c r="T3909" s="9"/>
      <c r="U3909" s="9"/>
      <c r="V3909" s="9"/>
      <c r="W3909" s="9"/>
      <c r="X3909" s="9"/>
      <c r="Y3909" s="9"/>
      <c r="Z3909" s="9"/>
      <c r="AA3909" s="9"/>
      <c r="AB3909" s="9"/>
      <c r="AC3909" s="9"/>
      <c r="AD3909" s="9"/>
      <c r="AE3909" s="9"/>
      <c r="AF3909" s="9"/>
      <c r="AG3909" s="9"/>
      <c r="AH3909" s="9"/>
      <c r="AI3909" s="9"/>
      <c r="AJ3909" s="9"/>
      <c r="AK3909" s="9"/>
      <c r="AL3909" s="9"/>
      <c r="AM3909" s="9"/>
      <c r="AN3909" s="9"/>
      <c r="AO3909" s="9"/>
      <c r="AP3909" s="9"/>
      <c r="AQ3909" s="9"/>
      <c r="AR3909" s="9"/>
      <c r="AS3909" s="9"/>
      <c r="AT3909" s="9"/>
      <c r="AU3909" s="9"/>
    </row>
    <row r="3910" spans="1:47" ht="15.75" customHeight="1">
      <c r="A3910" s="9"/>
      <c r="B3910" s="9"/>
      <c r="C3910" s="9"/>
      <c r="D3910" s="9"/>
      <c r="E3910" s="9"/>
      <c r="F3910" s="67"/>
      <c r="G3910" s="9"/>
      <c r="H3910" s="9"/>
      <c r="I3910" s="9"/>
      <c r="J3910" s="9"/>
      <c r="K3910" s="9"/>
      <c r="L3910" s="9"/>
      <c r="M3910" s="9"/>
      <c r="N3910" s="9"/>
      <c r="O3910" s="9"/>
      <c r="P3910" s="9"/>
      <c r="Q3910" s="9"/>
      <c r="R3910" s="9"/>
      <c r="S3910" s="9"/>
      <c r="T3910" s="9"/>
      <c r="U3910" s="9"/>
      <c r="V3910" s="9"/>
      <c r="W3910" s="9"/>
      <c r="X3910" s="9"/>
      <c r="Y3910" s="9"/>
      <c r="Z3910" s="9"/>
      <c r="AA3910" s="9"/>
      <c r="AB3910" s="9"/>
      <c r="AC3910" s="9"/>
      <c r="AD3910" s="9"/>
      <c r="AE3910" s="9"/>
      <c r="AF3910" s="9"/>
      <c r="AG3910" s="9"/>
      <c r="AH3910" s="9"/>
      <c r="AI3910" s="9"/>
      <c r="AJ3910" s="9"/>
      <c r="AK3910" s="9"/>
      <c r="AL3910" s="9"/>
      <c r="AM3910" s="9"/>
      <c r="AN3910" s="9"/>
      <c r="AO3910" s="9"/>
      <c r="AP3910" s="9"/>
      <c r="AQ3910" s="9"/>
      <c r="AR3910" s="9"/>
      <c r="AS3910" s="9"/>
      <c r="AT3910" s="9"/>
      <c r="AU3910" s="9"/>
    </row>
    <row r="3911" spans="1:47" ht="15.75" customHeight="1">
      <c r="A3911" s="9"/>
      <c r="B3911" s="9"/>
      <c r="C3911" s="9"/>
      <c r="D3911" s="9"/>
      <c r="E3911" s="9"/>
      <c r="F3911" s="67"/>
      <c r="G3911" s="9"/>
      <c r="H3911" s="9"/>
      <c r="I3911" s="9"/>
      <c r="J3911" s="9"/>
      <c r="K3911" s="9"/>
      <c r="L3911" s="9"/>
      <c r="M3911" s="9"/>
      <c r="N3911" s="9"/>
      <c r="O3911" s="9"/>
      <c r="P3911" s="9"/>
      <c r="Q3911" s="9"/>
      <c r="R3911" s="9"/>
      <c r="S3911" s="9"/>
      <c r="T3911" s="9"/>
      <c r="U3911" s="9"/>
      <c r="V3911" s="9"/>
      <c r="W3911" s="9"/>
      <c r="X3911" s="9"/>
      <c r="Y3911" s="9"/>
      <c r="Z3911" s="9"/>
      <c r="AA3911" s="9"/>
      <c r="AB3911" s="9"/>
      <c r="AC3911" s="9"/>
      <c r="AD3911" s="9"/>
      <c r="AE3911" s="9"/>
      <c r="AF3911" s="9"/>
      <c r="AG3911" s="9"/>
      <c r="AH3911" s="9"/>
      <c r="AI3911" s="9"/>
      <c r="AJ3911" s="9"/>
      <c r="AK3911" s="9"/>
      <c r="AL3911" s="9"/>
      <c r="AM3911" s="9"/>
      <c r="AN3911" s="9"/>
      <c r="AO3911" s="9"/>
      <c r="AP3911" s="9"/>
      <c r="AQ3911" s="9"/>
      <c r="AR3911" s="9"/>
      <c r="AS3911" s="9"/>
      <c r="AT3911" s="9"/>
      <c r="AU3911" s="9"/>
    </row>
    <row r="3912" spans="1:47" ht="15.75" customHeight="1">
      <c r="A3912" s="9"/>
      <c r="B3912" s="9"/>
      <c r="C3912" s="9"/>
      <c r="D3912" s="9"/>
      <c r="E3912" s="9"/>
      <c r="F3912" s="67"/>
      <c r="G3912" s="9"/>
      <c r="H3912" s="9"/>
      <c r="I3912" s="9"/>
      <c r="J3912" s="9"/>
      <c r="K3912" s="9"/>
      <c r="L3912" s="9"/>
      <c r="M3912" s="9"/>
      <c r="N3912" s="9"/>
      <c r="O3912" s="9"/>
      <c r="P3912" s="9"/>
      <c r="Q3912" s="9"/>
      <c r="R3912" s="9"/>
      <c r="S3912" s="9"/>
      <c r="T3912" s="9"/>
      <c r="U3912" s="9"/>
      <c r="V3912" s="9"/>
      <c r="W3912" s="9"/>
      <c r="X3912" s="9"/>
      <c r="Y3912" s="9"/>
      <c r="Z3912" s="9"/>
      <c r="AA3912" s="9"/>
      <c r="AB3912" s="9"/>
      <c r="AC3912" s="9"/>
      <c r="AD3912" s="9"/>
      <c r="AE3912" s="9"/>
      <c r="AF3912" s="9"/>
      <c r="AG3912" s="9"/>
      <c r="AH3912" s="9"/>
      <c r="AI3912" s="9"/>
      <c r="AJ3912" s="9"/>
      <c r="AK3912" s="9"/>
      <c r="AL3912" s="9"/>
      <c r="AM3912" s="9"/>
      <c r="AN3912" s="9"/>
      <c r="AO3912" s="9"/>
      <c r="AP3912" s="9"/>
      <c r="AQ3912" s="9"/>
      <c r="AR3912" s="9"/>
      <c r="AS3912" s="9"/>
      <c r="AT3912" s="9"/>
      <c r="AU3912" s="9"/>
    </row>
    <row r="3913" spans="1:47" ht="15.75" customHeight="1">
      <c r="A3913" s="9"/>
      <c r="B3913" s="9"/>
      <c r="C3913" s="9"/>
      <c r="D3913" s="9"/>
      <c r="E3913" s="9"/>
      <c r="F3913" s="67"/>
      <c r="G3913" s="9"/>
      <c r="H3913" s="9"/>
      <c r="I3913" s="9"/>
      <c r="J3913" s="9"/>
      <c r="K3913" s="9"/>
      <c r="L3913" s="9"/>
      <c r="M3913" s="9"/>
      <c r="N3913" s="9"/>
      <c r="O3913" s="9"/>
      <c r="P3913" s="9"/>
      <c r="Q3913" s="9"/>
      <c r="R3913" s="9"/>
      <c r="S3913" s="9"/>
      <c r="T3913" s="9"/>
      <c r="U3913" s="9"/>
      <c r="V3913" s="9"/>
      <c r="W3913" s="9"/>
      <c r="X3913" s="9"/>
      <c r="Y3913" s="9"/>
      <c r="Z3913" s="9"/>
      <c r="AA3913" s="9"/>
      <c r="AB3913" s="9"/>
      <c r="AC3913" s="9"/>
      <c r="AD3913" s="9"/>
      <c r="AE3913" s="9"/>
      <c r="AF3913" s="9"/>
      <c r="AG3913" s="9"/>
      <c r="AH3913" s="9"/>
      <c r="AI3913" s="9"/>
      <c r="AJ3913" s="9"/>
      <c r="AK3913" s="9"/>
      <c r="AL3913" s="9"/>
      <c r="AM3913" s="9"/>
      <c r="AN3913" s="9"/>
      <c r="AO3913" s="9"/>
      <c r="AP3913" s="9"/>
      <c r="AQ3913" s="9"/>
      <c r="AR3913" s="9"/>
      <c r="AS3913" s="9"/>
      <c r="AT3913" s="9"/>
      <c r="AU3913" s="9"/>
    </row>
    <row r="3914" spans="1:47" ht="15.75" customHeight="1">
      <c r="A3914" s="9"/>
      <c r="B3914" s="9"/>
      <c r="C3914" s="9"/>
      <c r="D3914" s="9"/>
      <c r="E3914" s="9"/>
      <c r="F3914" s="67"/>
      <c r="G3914" s="9"/>
      <c r="H3914" s="9"/>
      <c r="I3914" s="9"/>
      <c r="J3914" s="9"/>
      <c r="K3914" s="9"/>
      <c r="L3914" s="9"/>
      <c r="M3914" s="9"/>
      <c r="N3914" s="9"/>
      <c r="O3914" s="9"/>
      <c r="P3914" s="9"/>
      <c r="Q3914" s="9"/>
      <c r="R3914" s="9"/>
      <c r="S3914" s="9"/>
      <c r="T3914" s="9"/>
      <c r="U3914" s="9"/>
      <c r="V3914" s="9"/>
      <c r="W3914" s="9"/>
      <c r="X3914" s="9"/>
      <c r="Y3914" s="9"/>
      <c r="Z3914" s="9"/>
      <c r="AA3914" s="9"/>
      <c r="AB3914" s="9"/>
      <c r="AC3914" s="9"/>
      <c r="AD3914" s="9"/>
      <c r="AE3914" s="9"/>
      <c r="AF3914" s="9"/>
      <c r="AG3914" s="9"/>
      <c r="AH3914" s="9"/>
      <c r="AI3914" s="9"/>
      <c r="AJ3914" s="9"/>
      <c r="AK3914" s="9"/>
      <c r="AL3914" s="9"/>
      <c r="AM3914" s="9"/>
      <c r="AN3914" s="9"/>
      <c r="AO3914" s="9"/>
      <c r="AP3914" s="9"/>
      <c r="AQ3914" s="9"/>
      <c r="AR3914" s="9"/>
      <c r="AS3914" s="9"/>
      <c r="AT3914" s="9"/>
      <c r="AU3914" s="9"/>
    </row>
    <row r="3915" spans="1:47" ht="15.75" customHeight="1">
      <c r="A3915" s="9"/>
      <c r="B3915" s="9"/>
      <c r="C3915" s="9"/>
      <c r="D3915" s="9"/>
      <c r="E3915" s="9"/>
      <c r="F3915" s="67"/>
      <c r="G3915" s="9"/>
      <c r="H3915" s="9"/>
      <c r="I3915" s="9"/>
      <c r="J3915" s="9"/>
      <c r="K3915" s="9"/>
      <c r="L3915" s="9"/>
      <c r="M3915" s="9"/>
      <c r="N3915" s="9"/>
      <c r="O3915" s="9"/>
      <c r="P3915" s="9"/>
      <c r="Q3915" s="9"/>
      <c r="R3915" s="9"/>
      <c r="S3915" s="9"/>
      <c r="T3915" s="9"/>
      <c r="U3915" s="9"/>
      <c r="V3915" s="9"/>
      <c r="W3915" s="9"/>
      <c r="X3915" s="9"/>
      <c r="Y3915" s="9"/>
      <c r="Z3915" s="9"/>
      <c r="AA3915" s="9"/>
      <c r="AB3915" s="9"/>
      <c r="AC3915" s="9"/>
      <c r="AD3915" s="9"/>
      <c r="AE3915" s="9"/>
      <c r="AF3915" s="9"/>
      <c r="AG3915" s="9"/>
      <c r="AH3915" s="9"/>
      <c r="AI3915" s="9"/>
      <c r="AJ3915" s="9"/>
      <c r="AK3915" s="9"/>
      <c r="AL3915" s="9"/>
      <c r="AM3915" s="9"/>
      <c r="AN3915" s="9"/>
      <c r="AO3915" s="9"/>
      <c r="AP3915" s="9"/>
      <c r="AQ3915" s="9"/>
      <c r="AR3915" s="9"/>
      <c r="AS3915" s="9"/>
      <c r="AT3915" s="9"/>
      <c r="AU3915" s="9"/>
    </row>
    <row r="3916" spans="1:47" ht="15.75" customHeight="1">
      <c r="A3916" s="9"/>
      <c r="B3916" s="9"/>
      <c r="C3916" s="9"/>
      <c r="D3916" s="9"/>
      <c r="E3916" s="9"/>
      <c r="F3916" s="67"/>
      <c r="G3916" s="9"/>
      <c r="H3916" s="9"/>
      <c r="I3916" s="9"/>
      <c r="J3916" s="9"/>
      <c r="K3916" s="9"/>
      <c r="L3916" s="9"/>
      <c r="M3916" s="9"/>
      <c r="N3916" s="9"/>
      <c r="O3916" s="9"/>
      <c r="P3916" s="9"/>
      <c r="Q3916" s="9"/>
      <c r="R3916" s="9"/>
      <c r="S3916" s="9"/>
      <c r="T3916" s="9"/>
      <c r="U3916" s="9"/>
      <c r="V3916" s="9"/>
      <c r="W3916" s="9"/>
      <c r="X3916" s="9"/>
      <c r="Y3916" s="9"/>
      <c r="Z3916" s="9"/>
      <c r="AA3916" s="9"/>
      <c r="AB3916" s="9"/>
      <c r="AC3916" s="9"/>
      <c r="AD3916" s="9"/>
      <c r="AE3916" s="9"/>
      <c r="AF3916" s="9"/>
      <c r="AG3916" s="9"/>
      <c r="AH3916" s="9"/>
      <c r="AI3916" s="9"/>
      <c r="AJ3916" s="9"/>
      <c r="AK3916" s="9"/>
      <c r="AL3916" s="9"/>
      <c r="AM3916" s="9"/>
      <c r="AN3916" s="9"/>
      <c r="AO3916" s="9"/>
      <c r="AP3916" s="9"/>
      <c r="AQ3916" s="9"/>
      <c r="AR3916" s="9"/>
      <c r="AS3916" s="9"/>
      <c r="AT3916" s="9"/>
      <c r="AU3916" s="9"/>
    </row>
    <row r="3917" spans="1:47" ht="15.75" customHeight="1">
      <c r="A3917" s="9"/>
      <c r="B3917" s="9"/>
      <c r="C3917" s="9"/>
      <c r="D3917" s="9"/>
      <c r="E3917" s="9"/>
      <c r="F3917" s="67"/>
      <c r="G3917" s="9"/>
      <c r="H3917" s="9"/>
      <c r="I3917" s="9"/>
      <c r="J3917" s="9"/>
      <c r="K3917" s="9"/>
      <c r="L3917" s="9"/>
      <c r="M3917" s="9"/>
      <c r="N3917" s="9"/>
      <c r="O3917" s="9"/>
      <c r="P3917" s="9"/>
      <c r="Q3917" s="9"/>
      <c r="R3917" s="9"/>
      <c r="S3917" s="9"/>
      <c r="T3917" s="9"/>
      <c r="U3917" s="9"/>
      <c r="V3917" s="9"/>
      <c r="W3917" s="9"/>
      <c r="X3917" s="9"/>
      <c r="Y3917" s="9"/>
      <c r="Z3917" s="9"/>
      <c r="AA3917" s="9"/>
      <c r="AB3917" s="9"/>
      <c r="AC3917" s="9"/>
      <c r="AD3917" s="9"/>
      <c r="AE3917" s="9"/>
      <c r="AF3917" s="9"/>
      <c r="AG3917" s="9"/>
      <c r="AH3917" s="9"/>
      <c r="AI3917" s="9"/>
      <c r="AJ3917" s="9"/>
      <c r="AK3917" s="9"/>
      <c r="AL3917" s="9"/>
      <c r="AM3917" s="9"/>
      <c r="AN3917" s="9"/>
      <c r="AO3917" s="9"/>
      <c r="AP3917" s="9"/>
      <c r="AQ3917" s="9"/>
      <c r="AR3917" s="9"/>
      <c r="AS3917" s="9"/>
      <c r="AT3917" s="9"/>
      <c r="AU3917" s="9"/>
    </row>
    <row r="3918" spans="1:47" ht="15.75" customHeight="1">
      <c r="A3918" s="9"/>
      <c r="B3918" s="9"/>
      <c r="C3918" s="9"/>
      <c r="D3918" s="9"/>
      <c r="E3918" s="9"/>
      <c r="F3918" s="67"/>
      <c r="G3918" s="9"/>
      <c r="H3918" s="9"/>
      <c r="I3918" s="9"/>
      <c r="J3918" s="9"/>
      <c r="K3918" s="9"/>
      <c r="L3918" s="9"/>
      <c r="M3918" s="9"/>
      <c r="N3918" s="9"/>
      <c r="O3918" s="9"/>
      <c r="P3918" s="9"/>
      <c r="Q3918" s="9"/>
      <c r="R3918" s="9"/>
      <c r="S3918" s="9"/>
      <c r="T3918" s="9"/>
      <c r="U3918" s="9"/>
      <c r="V3918" s="9"/>
      <c r="W3918" s="9"/>
      <c r="X3918" s="9"/>
      <c r="Y3918" s="9"/>
      <c r="Z3918" s="9"/>
      <c r="AA3918" s="9"/>
      <c r="AB3918" s="9"/>
      <c r="AC3918" s="9"/>
      <c r="AD3918" s="9"/>
      <c r="AE3918" s="9"/>
      <c r="AF3918" s="9"/>
      <c r="AG3918" s="9"/>
      <c r="AH3918" s="9"/>
      <c r="AI3918" s="9"/>
      <c r="AJ3918" s="9"/>
      <c r="AK3918" s="9"/>
      <c r="AL3918" s="9"/>
      <c r="AM3918" s="9"/>
      <c r="AN3918" s="9"/>
      <c r="AO3918" s="9"/>
      <c r="AP3918" s="9"/>
      <c r="AQ3918" s="9"/>
      <c r="AR3918" s="9"/>
      <c r="AS3918" s="9"/>
      <c r="AT3918" s="9"/>
      <c r="AU3918" s="9"/>
    </row>
    <row r="3919" spans="1:47" ht="15.75" customHeight="1">
      <c r="A3919" s="9"/>
      <c r="B3919" s="9"/>
      <c r="C3919" s="9"/>
      <c r="D3919" s="9"/>
      <c r="E3919" s="9"/>
      <c r="F3919" s="67"/>
      <c r="G3919" s="9"/>
      <c r="H3919" s="9"/>
      <c r="I3919" s="9"/>
      <c r="J3919" s="9"/>
      <c r="K3919" s="9"/>
      <c r="L3919" s="9"/>
      <c r="M3919" s="9"/>
      <c r="N3919" s="9"/>
      <c r="O3919" s="9"/>
      <c r="P3919" s="9"/>
      <c r="Q3919" s="9"/>
      <c r="R3919" s="9"/>
      <c r="S3919" s="9"/>
      <c r="T3919" s="9"/>
      <c r="U3919" s="9"/>
      <c r="V3919" s="9"/>
      <c r="W3919" s="9"/>
      <c r="X3919" s="9"/>
      <c r="Y3919" s="9"/>
      <c r="Z3919" s="9"/>
      <c r="AA3919" s="9"/>
      <c r="AB3919" s="9"/>
      <c r="AC3919" s="9"/>
      <c r="AD3919" s="9"/>
      <c r="AE3919" s="9"/>
      <c r="AF3919" s="9"/>
      <c r="AG3919" s="9"/>
      <c r="AH3919" s="9"/>
      <c r="AI3919" s="9"/>
      <c r="AJ3919" s="9"/>
      <c r="AK3919" s="9"/>
      <c r="AL3919" s="9"/>
      <c r="AM3919" s="9"/>
      <c r="AN3919" s="9"/>
      <c r="AO3919" s="9"/>
      <c r="AP3919" s="9"/>
      <c r="AQ3919" s="9"/>
      <c r="AR3919" s="9"/>
      <c r="AS3919" s="9"/>
      <c r="AT3919" s="9"/>
      <c r="AU3919" s="9"/>
    </row>
    <row r="3920" spans="1:47" ht="15.75" customHeight="1">
      <c r="A3920" s="9"/>
      <c r="B3920" s="9"/>
      <c r="C3920" s="9"/>
      <c r="D3920" s="9"/>
      <c r="E3920" s="9"/>
      <c r="F3920" s="67"/>
      <c r="G3920" s="9"/>
      <c r="H3920" s="9"/>
      <c r="I3920" s="9"/>
      <c r="J3920" s="9"/>
      <c r="K3920" s="9"/>
      <c r="L3920" s="9"/>
      <c r="M3920" s="9"/>
      <c r="N3920" s="9"/>
      <c r="O3920" s="9"/>
      <c r="P3920" s="9"/>
      <c r="Q3920" s="9"/>
      <c r="R3920" s="9"/>
      <c r="S3920" s="9"/>
      <c r="T3920" s="9"/>
      <c r="U3920" s="9"/>
      <c r="V3920" s="9"/>
      <c r="W3920" s="9"/>
      <c r="X3920" s="9"/>
      <c r="Y3920" s="9"/>
      <c r="Z3920" s="9"/>
      <c r="AA3920" s="9"/>
      <c r="AB3920" s="9"/>
      <c r="AC3920" s="9"/>
      <c r="AD3920" s="9"/>
      <c r="AE3920" s="9"/>
      <c r="AF3920" s="9"/>
      <c r="AG3920" s="9"/>
      <c r="AH3920" s="9"/>
      <c r="AI3920" s="9"/>
      <c r="AJ3920" s="9"/>
      <c r="AK3920" s="9"/>
      <c r="AL3920" s="9"/>
      <c r="AM3920" s="9"/>
      <c r="AN3920" s="9"/>
      <c r="AO3920" s="9"/>
      <c r="AP3920" s="9"/>
      <c r="AQ3920" s="9"/>
      <c r="AR3920" s="9"/>
      <c r="AS3920" s="9"/>
      <c r="AT3920" s="9"/>
      <c r="AU3920" s="9"/>
    </row>
    <row r="3921" spans="1:47" ht="15.75" customHeight="1">
      <c r="A3921" s="9"/>
      <c r="B3921" s="9"/>
      <c r="C3921" s="9"/>
      <c r="D3921" s="9"/>
      <c r="E3921" s="9"/>
      <c r="F3921" s="67"/>
      <c r="G3921" s="9"/>
      <c r="H3921" s="9"/>
      <c r="I3921" s="9"/>
      <c r="J3921" s="9"/>
      <c r="K3921" s="9"/>
      <c r="L3921" s="9"/>
      <c r="M3921" s="9"/>
      <c r="N3921" s="9"/>
      <c r="O3921" s="9"/>
      <c r="P3921" s="9"/>
      <c r="Q3921" s="9"/>
      <c r="R3921" s="9"/>
      <c r="S3921" s="9"/>
      <c r="T3921" s="9"/>
      <c r="U3921" s="9"/>
      <c r="V3921" s="9"/>
      <c r="W3921" s="9"/>
      <c r="X3921" s="9"/>
      <c r="Y3921" s="9"/>
      <c r="Z3921" s="9"/>
      <c r="AA3921" s="9"/>
      <c r="AB3921" s="9"/>
      <c r="AC3921" s="9"/>
      <c r="AD3921" s="9"/>
      <c r="AE3921" s="9"/>
      <c r="AF3921" s="9"/>
      <c r="AG3921" s="9"/>
      <c r="AH3921" s="9"/>
      <c r="AI3921" s="9"/>
      <c r="AJ3921" s="9"/>
      <c r="AK3921" s="9"/>
      <c r="AL3921" s="9"/>
      <c r="AM3921" s="9"/>
      <c r="AN3921" s="9"/>
      <c r="AO3921" s="9"/>
      <c r="AP3921" s="9"/>
      <c r="AQ3921" s="9"/>
      <c r="AR3921" s="9"/>
      <c r="AS3921" s="9"/>
      <c r="AT3921" s="9"/>
      <c r="AU3921" s="9"/>
    </row>
    <row r="3922" spans="1:47" ht="15.75" customHeight="1">
      <c r="A3922" s="9"/>
      <c r="B3922" s="9"/>
      <c r="C3922" s="9"/>
      <c r="D3922" s="9"/>
      <c r="E3922" s="9"/>
      <c r="F3922" s="67"/>
      <c r="G3922" s="9"/>
      <c r="H3922" s="9"/>
      <c r="I3922" s="9"/>
      <c r="J3922" s="9"/>
      <c r="K3922" s="9"/>
      <c r="L3922" s="9"/>
      <c r="M3922" s="9"/>
      <c r="N3922" s="9"/>
      <c r="O3922" s="9"/>
      <c r="P3922" s="9"/>
      <c r="Q3922" s="9"/>
      <c r="R3922" s="9"/>
      <c r="S3922" s="9"/>
      <c r="T3922" s="9"/>
      <c r="U3922" s="9"/>
      <c r="V3922" s="9"/>
      <c r="W3922" s="9"/>
      <c r="X3922" s="9"/>
      <c r="Y3922" s="9"/>
      <c r="Z3922" s="9"/>
      <c r="AA3922" s="9"/>
      <c r="AB3922" s="9"/>
      <c r="AC3922" s="9"/>
      <c r="AD3922" s="9"/>
      <c r="AE3922" s="9"/>
      <c r="AF3922" s="9"/>
      <c r="AG3922" s="9"/>
      <c r="AH3922" s="9"/>
      <c r="AI3922" s="9"/>
      <c r="AJ3922" s="9"/>
      <c r="AK3922" s="9"/>
      <c r="AL3922" s="9"/>
      <c r="AM3922" s="9"/>
      <c r="AN3922" s="9"/>
      <c r="AO3922" s="9"/>
      <c r="AP3922" s="9"/>
      <c r="AQ3922" s="9"/>
      <c r="AR3922" s="9"/>
      <c r="AS3922" s="9"/>
      <c r="AT3922" s="9"/>
      <c r="AU3922" s="9"/>
    </row>
    <row r="3923" spans="1:47" ht="15.75" customHeight="1">
      <c r="A3923" s="9"/>
      <c r="B3923" s="9"/>
      <c r="C3923" s="9"/>
      <c r="D3923" s="9"/>
      <c r="E3923" s="9"/>
      <c r="F3923" s="67"/>
      <c r="G3923" s="9"/>
      <c r="H3923" s="9"/>
      <c r="I3923" s="9"/>
      <c r="J3923" s="9"/>
      <c r="K3923" s="9"/>
      <c r="L3923" s="9"/>
      <c r="M3923" s="9"/>
      <c r="N3923" s="9"/>
      <c r="O3923" s="9"/>
      <c r="P3923" s="9"/>
      <c r="Q3923" s="9"/>
      <c r="R3923" s="9"/>
      <c r="S3923" s="9"/>
      <c r="T3923" s="9"/>
      <c r="U3923" s="9"/>
      <c r="V3923" s="9"/>
      <c r="W3923" s="9"/>
      <c r="X3923" s="9"/>
      <c r="Y3923" s="9"/>
      <c r="Z3923" s="9"/>
      <c r="AA3923" s="9"/>
      <c r="AB3923" s="9"/>
      <c r="AC3923" s="9"/>
      <c r="AD3923" s="9"/>
      <c r="AE3923" s="9"/>
      <c r="AF3923" s="9"/>
      <c r="AG3923" s="9"/>
      <c r="AH3923" s="9"/>
      <c r="AI3923" s="9"/>
      <c r="AJ3923" s="9"/>
      <c r="AK3923" s="9"/>
      <c r="AL3923" s="9"/>
      <c r="AM3923" s="9"/>
      <c r="AN3923" s="9"/>
      <c r="AO3923" s="9"/>
      <c r="AP3923" s="9"/>
      <c r="AQ3923" s="9"/>
      <c r="AR3923" s="9"/>
      <c r="AS3923" s="9"/>
      <c r="AT3923" s="9"/>
      <c r="AU3923" s="9"/>
    </row>
    <row r="3924" spans="1:47" ht="15.75" customHeight="1">
      <c r="A3924" s="9"/>
      <c r="B3924" s="9"/>
      <c r="C3924" s="9"/>
      <c r="D3924" s="9"/>
      <c r="E3924" s="9"/>
      <c r="F3924" s="67"/>
      <c r="G3924" s="9"/>
      <c r="H3924" s="9"/>
      <c r="I3924" s="9"/>
      <c r="J3924" s="9"/>
      <c r="K3924" s="9"/>
      <c r="L3924" s="9"/>
      <c r="M3924" s="9"/>
      <c r="N3924" s="9"/>
      <c r="O3924" s="9"/>
      <c r="P3924" s="9"/>
      <c r="Q3924" s="9"/>
      <c r="R3924" s="9"/>
      <c r="S3924" s="9"/>
      <c r="T3924" s="9"/>
      <c r="U3924" s="9"/>
      <c r="V3924" s="9"/>
      <c r="W3924" s="9"/>
      <c r="X3924" s="9"/>
      <c r="Y3924" s="9"/>
      <c r="Z3924" s="9"/>
      <c r="AA3924" s="9"/>
      <c r="AB3924" s="9"/>
      <c r="AC3924" s="9"/>
      <c r="AD3924" s="9"/>
      <c r="AE3924" s="9"/>
      <c r="AF3924" s="9"/>
      <c r="AG3924" s="9"/>
      <c r="AH3924" s="9"/>
      <c r="AI3924" s="9"/>
      <c r="AJ3924" s="9"/>
      <c r="AK3924" s="9"/>
      <c r="AL3924" s="9"/>
      <c r="AM3924" s="9"/>
      <c r="AN3924" s="9"/>
      <c r="AO3924" s="9"/>
      <c r="AP3924" s="9"/>
      <c r="AQ3924" s="9"/>
      <c r="AR3924" s="9"/>
      <c r="AS3924" s="9"/>
      <c r="AT3924" s="9"/>
      <c r="AU3924" s="9"/>
    </row>
    <row r="3925" spans="1:47" ht="15.75" customHeight="1">
      <c r="A3925" s="9"/>
      <c r="B3925" s="9"/>
      <c r="C3925" s="9"/>
      <c r="D3925" s="9"/>
      <c r="E3925" s="9"/>
      <c r="F3925" s="67"/>
      <c r="G3925" s="9"/>
      <c r="H3925" s="9"/>
      <c r="I3925" s="9"/>
      <c r="J3925" s="9"/>
      <c r="K3925" s="9"/>
      <c r="L3925" s="9"/>
      <c r="M3925" s="9"/>
      <c r="N3925" s="9"/>
      <c r="O3925" s="9"/>
      <c r="P3925" s="9"/>
      <c r="Q3925" s="9"/>
      <c r="R3925" s="9"/>
      <c r="S3925" s="9"/>
      <c r="T3925" s="9"/>
      <c r="U3925" s="9"/>
      <c r="V3925" s="9"/>
      <c r="W3925" s="9"/>
      <c r="X3925" s="9"/>
      <c r="Y3925" s="9"/>
      <c r="Z3925" s="9"/>
      <c r="AA3925" s="9"/>
      <c r="AB3925" s="9"/>
      <c r="AC3925" s="9"/>
      <c r="AD3925" s="9"/>
      <c r="AE3925" s="9"/>
      <c r="AF3925" s="9"/>
      <c r="AG3925" s="9"/>
      <c r="AH3925" s="9"/>
      <c r="AI3925" s="9"/>
      <c r="AJ3925" s="9"/>
      <c r="AK3925" s="9"/>
      <c r="AL3925" s="9"/>
      <c r="AM3925" s="9"/>
      <c r="AN3925" s="9"/>
      <c r="AO3925" s="9"/>
      <c r="AP3925" s="9"/>
      <c r="AQ3925" s="9"/>
      <c r="AR3925" s="9"/>
      <c r="AS3925" s="9"/>
      <c r="AT3925" s="9"/>
      <c r="AU3925" s="9"/>
    </row>
    <row r="3926" spans="1:47" ht="15.75" customHeight="1">
      <c r="A3926" s="9"/>
      <c r="B3926" s="9"/>
      <c r="C3926" s="9"/>
      <c r="D3926" s="9"/>
      <c r="E3926" s="9"/>
      <c r="F3926" s="67"/>
      <c r="G3926" s="9"/>
      <c r="H3926" s="9"/>
      <c r="I3926" s="9"/>
      <c r="J3926" s="9"/>
      <c r="K3926" s="9"/>
      <c r="L3926" s="9"/>
      <c r="M3926" s="9"/>
      <c r="N3926" s="9"/>
      <c r="O3926" s="9"/>
      <c r="P3926" s="9"/>
      <c r="Q3926" s="9"/>
      <c r="R3926" s="9"/>
      <c r="S3926" s="9"/>
      <c r="T3926" s="9"/>
      <c r="U3926" s="9"/>
      <c r="V3926" s="9"/>
      <c r="W3926" s="9"/>
      <c r="X3926" s="9"/>
      <c r="Y3926" s="9"/>
      <c r="Z3926" s="9"/>
      <c r="AA3926" s="9"/>
      <c r="AB3926" s="9"/>
      <c r="AC3926" s="9"/>
      <c r="AD3926" s="9"/>
      <c r="AE3926" s="9"/>
      <c r="AF3926" s="9"/>
      <c r="AG3926" s="9"/>
      <c r="AH3926" s="9"/>
      <c r="AI3926" s="9"/>
      <c r="AJ3926" s="9"/>
      <c r="AK3926" s="9"/>
      <c r="AL3926" s="9"/>
      <c r="AM3926" s="9"/>
      <c r="AN3926" s="9"/>
      <c r="AO3926" s="9"/>
      <c r="AP3926" s="9"/>
      <c r="AQ3926" s="9"/>
      <c r="AR3926" s="9"/>
      <c r="AS3926" s="9"/>
      <c r="AT3926" s="9"/>
      <c r="AU3926" s="9"/>
    </row>
    <row r="3927" spans="1:47" ht="15.75" customHeight="1">
      <c r="A3927" s="9"/>
      <c r="B3927" s="9"/>
      <c r="C3927" s="9"/>
      <c r="D3927" s="9"/>
      <c r="E3927" s="9"/>
      <c r="F3927" s="67"/>
      <c r="G3927" s="9"/>
      <c r="H3927" s="9"/>
      <c r="I3927" s="9"/>
      <c r="J3927" s="9"/>
      <c r="K3927" s="9"/>
      <c r="L3927" s="9"/>
      <c r="M3927" s="9"/>
      <c r="N3927" s="9"/>
      <c r="O3927" s="9"/>
      <c r="P3927" s="9"/>
      <c r="Q3927" s="9"/>
      <c r="R3927" s="9"/>
      <c r="S3927" s="9"/>
      <c r="T3927" s="9"/>
      <c r="U3927" s="9"/>
      <c r="V3927" s="9"/>
      <c r="W3927" s="9"/>
      <c r="X3927" s="9"/>
      <c r="Y3927" s="9"/>
      <c r="Z3927" s="9"/>
      <c r="AA3927" s="9"/>
      <c r="AB3927" s="9"/>
      <c r="AC3927" s="9"/>
      <c r="AD3927" s="9"/>
      <c r="AE3927" s="9"/>
      <c r="AF3927" s="9"/>
      <c r="AG3927" s="9"/>
      <c r="AH3927" s="9"/>
      <c r="AI3927" s="9"/>
      <c r="AJ3927" s="9"/>
      <c r="AK3927" s="9"/>
      <c r="AL3927" s="9"/>
      <c r="AM3927" s="9"/>
      <c r="AN3927" s="9"/>
      <c r="AO3927" s="9"/>
      <c r="AP3927" s="9"/>
      <c r="AQ3927" s="9"/>
      <c r="AR3927" s="9"/>
      <c r="AS3927" s="9"/>
      <c r="AT3927" s="9"/>
      <c r="AU3927" s="9"/>
    </row>
    <row r="3928" spans="1:47" ht="15.75" customHeight="1">
      <c r="A3928" s="9"/>
      <c r="B3928" s="9"/>
      <c r="C3928" s="9"/>
      <c r="D3928" s="9"/>
      <c r="E3928" s="9"/>
      <c r="F3928" s="67"/>
      <c r="G3928" s="9"/>
      <c r="H3928" s="9"/>
      <c r="I3928" s="9"/>
      <c r="J3928" s="9"/>
      <c r="K3928" s="9"/>
      <c r="L3928" s="9"/>
      <c r="M3928" s="9"/>
      <c r="N3928" s="9"/>
      <c r="O3928" s="9"/>
      <c r="P3928" s="9"/>
      <c r="Q3928" s="9"/>
      <c r="R3928" s="9"/>
      <c r="S3928" s="9"/>
      <c r="T3928" s="9"/>
      <c r="U3928" s="9"/>
      <c r="V3928" s="9"/>
      <c r="W3928" s="9"/>
      <c r="X3928" s="9"/>
      <c r="Y3928" s="9"/>
      <c r="Z3928" s="9"/>
      <c r="AA3928" s="9"/>
      <c r="AB3928" s="9"/>
      <c r="AC3928" s="9"/>
      <c r="AD3928" s="9"/>
      <c r="AE3928" s="9"/>
      <c r="AF3928" s="9"/>
      <c r="AG3928" s="9"/>
      <c r="AH3928" s="9"/>
      <c r="AI3928" s="9"/>
      <c r="AJ3928" s="9"/>
      <c r="AK3928" s="9"/>
      <c r="AL3928" s="9"/>
      <c r="AM3928" s="9"/>
      <c r="AN3928" s="9"/>
      <c r="AO3928" s="9"/>
      <c r="AP3928" s="9"/>
      <c r="AQ3928" s="9"/>
      <c r="AR3928" s="9"/>
      <c r="AS3928" s="9"/>
      <c r="AT3928" s="9"/>
      <c r="AU3928" s="9"/>
    </row>
    <row r="3929" spans="1:47" ht="15.75" customHeight="1">
      <c r="A3929" s="9"/>
      <c r="B3929" s="9"/>
      <c r="C3929" s="9"/>
      <c r="D3929" s="9"/>
      <c r="E3929" s="9"/>
      <c r="F3929" s="67"/>
      <c r="G3929" s="9"/>
      <c r="H3929" s="9"/>
      <c r="I3929" s="9"/>
      <c r="J3929" s="9"/>
      <c r="K3929" s="9"/>
      <c r="L3929" s="9"/>
      <c r="M3929" s="9"/>
      <c r="N3929" s="9"/>
      <c r="O3929" s="9"/>
      <c r="P3929" s="9"/>
      <c r="Q3929" s="9"/>
      <c r="R3929" s="9"/>
      <c r="S3929" s="9"/>
      <c r="T3929" s="9"/>
      <c r="U3929" s="9"/>
      <c r="V3929" s="9"/>
      <c r="W3929" s="9"/>
      <c r="X3929" s="9"/>
      <c r="Y3929" s="9"/>
      <c r="Z3929" s="9"/>
      <c r="AA3929" s="9"/>
      <c r="AB3929" s="9"/>
      <c r="AC3929" s="9"/>
      <c r="AD3929" s="9"/>
      <c r="AE3929" s="9"/>
      <c r="AF3929" s="9"/>
      <c r="AG3929" s="9"/>
      <c r="AH3929" s="9"/>
      <c r="AI3929" s="9"/>
      <c r="AJ3929" s="9"/>
      <c r="AK3929" s="9"/>
      <c r="AL3929" s="9"/>
      <c r="AM3929" s="9"/>
      <c r="AN3929" s="9"/>
      <c r="AO3929" s="9"/>
      <c r="AP3929" s="9"/>
      <c r="AQ3929" s="9"/>
      <c r="AR3929" s="9"/>
      <c r="AS3929" s="9"/>
      <c r="AT3929" s="9"/>
      <c r="AU3929" s="9"/>
    </row>
    <row r="3930" spans="1:47" ht="15.75" customHeight="1">
      <c r="A3930" s="9"/>
      <c r="B3930" s="9"/>
      <c r="C3930" s="9"/>
      <c r="D3930" s="9"/>
      <c r="E3930" s="9"/>
      <c r="F3930" s="67"/>
      <c r="G3930" s="9"/>
      <c r="H3930" s="9"/>
      <c r="I3930" s="9"/>
      <c r="J3930" s="9"/>
      <c r="K3930" s="9"/>
      <c r="L3930" s="9"/>
      <c r="M3930" s="9"/>
      <c r="N3930" s="9"/>
      <c r="O3930" s="9"/>
      <c r="P3930" s="9"/>
      <c r="Q3930" s="9"/>
      <c r="R3930" s="9"/>
      <c r="S3930" s="9"/>
      <c r="T3930" s="9"/>
      <c r="U3930" s="9"/>
      <c r="V3930" s="9"/>
      <c r="W3930" s="9"/>
      <c r="X3930" s="9"/>
      <c r="Y3930" s="9"/>
      <c r="Z3930" s="9"/>
      <c r="AA3930" s="9"/>
      <c r="AB3930" s="9"/>
      <c r="AC3930" s="9"/>
      <c r="AD3930" s="9"/>
      <c r="AE3930" s="9"/>
      <c r="AF3930" s="9"/>
      <c r="AG3930" s="9"/>
      <c r="AH3930" s="9"/>
      <c r="AI3930" s="9"/>
      <c r="AJ3930" s="9"/>
      <c r="AK3930" s="9"/>
      <c r="AL3930" s="9"/>
      <c r="AM3930" s="9"/>
      <c r="AN3930" s="9"/>
      <c r="AO3930" s="9"/>
      <c r="AP3930" s="9"/>
      <c r="AQ3930" s="9"/>
      <c r="AR3930" s="9"/>
      <c r="AS3930" s="9"/>
      <c r="AT3930" s="9"/>
      <c r="AU3930" s="9"/>
    </row>
    <row r="3931" spans="1:47" ht="15.75" customHeight="1">
      <c r="A3931" s="9"/>
      <c r="B3931" s="9"/>
      <c r="C3931" s="9"/>
      <c r="D3931" s="9"/>
      <c r="E3931" s="9"/>
      <c r="F3931" s="67"/>
      <c r="G3931" s="9"/>
      <c r="H3931" s="9"/>
      <c r="I3931" s="9"/>
      <c r="J3931" s="9"/>
      <c r="K3931" s="9"/>
      <c r="L3931" s="9"/>
      <c r="M3931" s="9"/>
      <c r="N3931" s="9"/>
      <c r="O3931" s="9"/>
      <c r="P3931" s="9"/>
      <c r="Q3931" s="9"/>
      <c r="R3931" s="9"/>
      <c r="S3931" s="9"/>
      <c r="T3931" s="9"/>
      <c r="U3931" s="9"/>
      <c r="V3931" s="9"/>
      <c r="W3931" s="9"/>
      <c r="X3931" s="9"/>
      <c r="Y3931" s="9"/>
      <c r="Z3931" s="9"/>
      <c r="AA3931" s="9"/>
      <c r="AB3931" s="9"/>
      <c r="AC3931" s="9"/>
      <c r="AD3931" s="9"/>
      <c r="AE3931" s="9"/>
      <c r="AF3931" s="9"/>
      <c r="AG3931" s="9"/>
      <c r="AH3931" s="9"/>
      <c r="AI3931" s="9"/>
      <c r="AJ3931" s="9"/>
      <c r="AK3931" s="9"/>
      <c r="AL3931" s="9"/>
      <c r="AM3931" s="9"/>
      <c r="AN3931" s="9"/>
      <c r="AO3931" s="9"/>
      <c r="AP3931" s="9"/>
      <c r="AQ3931" s="9"/>
      <c r="AR3931" s="9"/>
      <c r="AS3931" s="9"/>
      <c r="AT3931" s="9"/>
      <c r="AU3931" s="9"/>
    </row>
    <row r="3932" spans="1:47" ht="15.75" customHeight="1">
      <c r="A3932" s="9"/>
      <c r="B3932" s="9"/>
      <c r="C3932" s="9"/>
      <c r="D3932" s="9"/>
      <c r="E3932" s="9"/>
      <c r="F3932" s="67"/>
      <c r="G3932" s="9"/>
      <c r="H3932" s="9"/>
      <c r="I3932" s="9"/>
      <c r="J3932" s="9"/>
      <c r="K3932" s="9"/>
      <c r="L3932" s="9"/>
      <c r="M3932" s="9"/>
      <c r="N3932" s="9"/>
      <c r="O3932" s="9"/>
      <c r="P3932" s="9"/>
      <c r="Q3932" s="9"/>
      <c r="R3932" s="9"/>
      <c r="S3932" s="9"/>
      <c r="T3932" s="9"/>
      <c r="U3932" s="9"/>
      <c r="V3932" s="9"/>
      <c r="W3932" s="9"/>
      <c r="X3932" s="9"/>
      <c r="Y3932" s="9"/>
      <c r="Z3932" s="9"/>
      <c r="AA3932" s="9"/>
      <c r="AB3932" s="9"/>
      <c r="AC3932" s="9"/>
      <c r="AD3932" s="9"/>
      <c r="AE3932" s="9"/>
      <c r="AF3932" s="9"/>
      <c r="AG3932" s="9"/>
      <c r="AH3932" s="9"/>
      <c r="AI3932" s="9"/>
      <c r="AJ3932" s="9"/>
      <c r="AK3932" s="9"/>
      <c r="AL3932" s="9"/>
      <c r="AM3932" s="9"/>
      <c r="AN3932" s="9"/>
      <c r="AO3932" s="9"/>
      <c r="AP3932" s="9"/>
      <c r="AQ3932" s="9"/>
      <c r="AR3932" s="9"/>
      <c r="AS3932" s="9"/>
      <c r="AT3932" s="9"/>
      <c r="AU3932" s="9"/>
    </row>
    <row r="3933" spans="1:47" ht="15.75" customHeight="1">
      <c r="A3933" s="9"/>
      <c r="B3933" s="9"/>
      <c r="C3933" s="9"/>
      <c r="D3933" s="9"/>
      <c r="E3933" s="9"/>
      <c r="F3933" s="67"/>
      <c r="G3933" s="9"/>
      <c r="H3933" s="9"/>
      <c r="I3933" s="9"/>
      <c r="J3933" s="9"/>
      <c r="K3933" s="9"/>
      <c r="L3933" s="9"/>
      <c r="M3933" s="9"/>
      <c r="N3933" s="9"/>
      <c r="O3933" s="9"/>
      <c r="P3933" s="9"/>
      <c r="Q3933" s="9"/>
      <c r="R3933" s="9"/>
      <c r="S3933" s="9"/>
      <c r="T3933" s="9"/>
      <c r="U3933" s="9"/>
      <c r="V3933" s="9"/>
      <c r="W3933" s="9"/>
      <c r="X3933" s="9"/>
      <c r="Y3933" s="9"/>
      <c r="Z3933" s="9"/>
      <c r="AA3933" s="9"/>
      <c r="AB3933" s="9"/>
      <c r="AC3933" s="9"/>
      <c r="AD3933" s="9"/>
      <c r="AE3933" s="9"/>
      <c r="AF3933" s="9"/>
      <c r="AG3933" s="9"/>
      <c r="AH3933" s="9"/>
      <c r="AI3933" s="9"/>
      <c r="AJ3933" s="9"/>
      <c r="AK3933" s="9"/>
      <c r="AL3933" s="9"/>
      <c r="AM3933" s="9"/>
      <c r="AN3933" s="9"/>
      <c r="AO3933" s="9"/>
      <c r="AP3933" s="9"/>
      <c r="AQ3933" s="9"/>
      <c r="AR3933" s="9"/>
      <c r="AS3933" s="9"/>
      <c r="AT3933" s="9"/>
      <c r="AU3933" s="9"/>
    </row>
    <row r="3934" spans="1:47" ht="15.75" customHeight="1">
      <c r="A3934" s="9"/>
      <c r="B3934" s="9"/>
      <c r="C3934" s="9"/>
      <c r="D3934" s="9"/>
      <c r="E3934" s="9"/>
      <c r="F3934" s="67"/>
      <c r="G3934" s="9"/>
      <c r="H3934" s="9"/>
      <c r="I3934" s="9"/>
      <c r="J3934" s="9"/>
      <c r="K3934" s="9"/>
      <c r="L3934" s="9"/>
      <c r="M3934" s="9"/>
      <c r="N3934" s="9"/>
      <c r="O3934" s="9"/>
      <c r="P3934" s="9"/>
      <c r="Q3934" s="9"/>
      <c r="R3934" s="9"/>
      <c r="S3934" s="9"/>
      <c r="T3934" s="9"/>
      <c r="U3934" s="9"/>
      <c r="V3934" s="9"/>
      <c r="W3934" s="9"/>
      <c r="X3934" s="9"/>
      <c r="Y3934" s="9"/>
      <c r="Z3934" s="9"/>
      <c r="AA3934" s="9"/>
      <c r="AB3934" s="9"/>
      <c r="AC3934" s="9"/>
      <c r="AD3934" s="9"/>
      <c r="AE3934" s="9"/>
      <c r="AF3934" s="9"/>
      <c r="AG3934" s="9"/>
      <c r="AH3934" s="9"/>
      <c r="AI3934" s="9"/>
      <c r="AJ3934" s="9"/>
      <c r="AK3934" s="9"/>
      <c r="AL3934" s="9"/>
      <c r="AM3934" s="9"/>
      <c r="AN3934" s="9"/>
      <c r="AO3934" s="9"/>
      <c r="AP3934" s="9"/>
      <c r="AQ3934" s="9"/>
      <c r="AR3934" s="9"/>
      <c r="AS3934" s="9"/>
      <c r="AT3934" s="9"/>
      <c r="AU3934" s="9"/>
    </row>
    <row r="3935" spans="1:47" ht="15.75" customHeight="1">
      <c r="A3935" s="9"/>
      <c r="B3935" s="9"/>
      <c r="C3935" s="9"/>
      <c r="D3935" s="9"/>
      <c r="E3935" s="9"/>
      <c r="F3935" s="67"/>
      <c r="G3935" s="9"/>
      <c r="H3935" s="9"/>
      <c r="I3935" s="9"/>
      <c r="J3935" s="9"/>
      <c r="K3935" s="9"/>
      <c r="L3935" s="9"/>
      <c r="M3935" s="9"/>
      <c r="N3935" s="9"/>
      <c r="O3935" s="9"/>
      <c r="P3935" s="9"/>
      <c r="Q3935" s="9"/>
      <c r="R3935" s="9"/>
      <c r="S3935" s="9"/>
      <c r="T3935" s="9"/>
      <c r="U3935" s="9"/>
      <c r="V3935" s="9"/>
      <c r="W3935" s="9"/>
      <c r="X3935" s="9"/>
      <c r="Y3935" s="9"/>
      <c r="Z3935" s="9"/>
      <c r="AA3935" s="9"/>
      <c r="AB3935" s="9"/>
      <c r="AC3935" s="9"/>
      <c r="AD3935" s="9"/>
      <c r="AE3935" s="9"/>
      <c r="AF3935" s="9"/>
      <c r="AG3935" s="9"/>
      <c r="AH3935" s="9"/>
      <c r="AI3935" s="9"/>
      <c r="AJ3935" s="9"/>
      <c r="AK3935" s="9"/>
      <c r="AL3935" s="9"/>
      <c r="AM3935" s="9"/>
      <c r="AN3935" s="9"/>
      <c r="AO3935" s="9"/>
      <c r="AP3935" s="9"/>
      <c r="AQ3935" s="9"/>
      <c r="AR3935" s="9"/>
      <c r="AS3935" s="9"/>
      <c r="AT3935" s="9"/>
      <c r="AU3935" s="9"/>
    </row>
    <row r="3936" spans="1:47" ht="15.75" customHeight="1">
      <c r="A3936" s="9"/>
      <c r="B3936" s="9"/>
      <c r="C3936" s="9"/>
      <c r="D3936" s="9"/>
      <c r="E3936" s="9"/>
      <c r="F3936" s="67"/>
      <c r="G3936" s="9"/>
      <c r="H3936" s="9"/>
      <c r="I3936" s="9"/>
      <c r="J3936" s="9"/>
      <c r="K3936" s="9"/>
      <c r="L3936" s="9"/>
      <c r="M3936" s="9"/>
      <c r="N3936" s="9"/>
      <c r="O3936" s="9"/>
      <c r="P3936" s="9"/>
      <c r="Q3936" s="9"/>
      <c r="R3936" s="9"/>
      <c r="S3936" s="9"/>
      <c r="T3936" s="9"/>
      <c r="U3936" s="9"/>
      <c r="V3936" s="9"/>
      <c r="W3936" s="9"/>
      <c r="X3936" s="9"/>
      <c r="Y3936" s="9"/>
      <c r="Z3936" s="9"/>
      <c r="AA3936" s="9"/>
      <c r="AB3936" s="9"/>
      <c r="AC3936" s="9"/>
      <c r="AD3936" s="9"/>
      <c r="AE3936" s="9"/>
      <c r="AF3936" s="9"/>
      <c r="AG3936" s="9"/>
      <c r="AH3936" s="9"/>
      <c r="AI3936" s="9"/>
      <c r="AJ3936" s="9"/>
      <c r="AK3936" s="9"/>
      <c r="AL3936" s="9"/>
      <c r="AM3936" s="9"/>
      <c r="AN3936" s="9"/>
      <c r="AO3936" s="9"/>
      <c r="AP3936" s="9"/>
      <c r="AQ3936" s="9"/>
      <c r="AR3936" s="9"/>
      <c r="AS3936" s="9"/>
      <c r="AT3936" s="9"/>
      <c r="AU3936" s="9"/>
    </row>
    <row r="3937" spans="1:47" ht="15.75" customHeight="1">
      <c r="A3937" s="9"/>
      <c r="B3937" s="9"/>
      <c r="C3937" s="9"/>
      <c r="D3937" s="9"/>
      <c r="E3937" s="9"/>
      <c r="F3937" s="67"/>
      <c r="G3937" s="9"/>
      <c r="H3937" s="9"/>
      <c r="I3937" s="9"/>
      <c r="J3937" s="9"/>
      <c r="K3937" s="9"/>
      <c r="L3937" s="9"/>
      <c r="M3937" s="9"/>
      <c r="N3937" s="9"/>
      <c r="O3937" s="9"/>
      <c r="P3937" s="9"/>
      <c r="Q3937" s="9"/>
      <c r="R3937" s="9"/>
      <c r="S3937" s="9"/>
      <c r="T3937" s="9"/>
      <c r="U3937" s="9"/>
      <c r="V3937" s="9"/>
      <c r="W3937" s="9"/>
      <c r="X3937" s="9"/>
      <c r="Y3937" s="9"/>
      <c r="Z3937" s="9"/>
      <c r="AA3937" s="9"/>
      <c r="AB3937" s="9"/>
      <c r="AC3937" s="9"/>
      <c r="AD3937" s="9"/>
      <c r="AE3937" s="9"/>
      <c r="AF3937" s="9"/>
      <c r="AG3937" s="9"/>
      <c r="AH3937" s="9"/>
      <c r="AI3937" s="9"/>
      <c r="AJ3937" s="9"/>
      <c r="AK3937" s="9"/>
      <c r="AL3937" s="9"/>
      <c r="AM3937" s="9"/>
      <c r="AN3937" s="9"/>
      <c r="AO3937" s="9"/>
      <c r="AP3937" s="9"/>
      <c r="AQ3937" s="9"/>
      <c r="AR3937" s="9"/>
      <c r="AS3937" s="9"/>
      <c r="AT3937" s="9"/>
      <c r="AU3937" s="9"/>
    </row>
    <row r="3938" spans="1:47" ht="15.75" customHeight="1">
      <c r="A3938" s="9"/>
      <c r="B3938" s="9"/>
      <c r="C3938" s="9"/>
      <c r="D3938" s="9"/>
      <c r="E3938" s="9"/>
      <c r="F3938" s="67"/>
      <c r="G3938" s="9"/>
      <c r="H3938" s="9"/>
      <c r="I3938" s="9"/>
      <c r="J3938" s="9"/>
      <c r="K3938" s="9"/>
      <c r="L3938" s="9"/>
      <c r="M3938" s="9"/>
      <c r="N3938" s="9"/>
      <c r="O3938" s="9"/>
      <c r="P3938" s="9"/>
      <c r="Q3938" s="9"/>
      <c r="R3938" s="9"/>
      <c r="S3938" s="9"/>
      <c r="T3938" s="9"/>
      <c r="U3938" s="9"/>
      <c r="V3938" s="9"/>
      <c r="W3938" s="9"/>
      <c r="X3938" s="9"/>
      <c r="Y3938" s="9"/>
      <c r="Z3938" s="9"/>
      <c r="AA3938" s="9"/>
      <c r="AB3938" s="9"/>
      <c r="AC3938" s="9"/>
      <c r="AD3938" s="9"/>
      <c r="AE3938" s="9"/>
      <c r="AF3938" s="9"/>
      <c r="AG3938" s="9"/>
      <c r="AH3938" s="9"/>
      <c r="AI3938" s="9"/>
      <c r="AJ3938" s="9"/>
      <c r="AK3938" s="9"/>
      <c r="AL3938" s="9"/>
      <c r="AM3938" s="9"/>
      <c r="AN3938" s="9"/>
      <c r="AO3938" s="9"/>
      <c r="AP3938" s="9"/>
      <c r="AQ3938" s="9"/>
      <c r="AR3938" s="9"/>
      <c r="AS3938" s="9"/>
      <c r="AT3938" s="9"/>
      <c r="AU3938" s="9"/>
    </row>
    <row r="3939" spans="1:47" ht="15.75" customHeight="1">
      <c r="A3939" s="9"/>
      <c r="B3939" s="9"/>
      <c r="C3939" s="9"/>
      <c r="D3939" s="9"/>
      <c r="E3939" s="9"/>
      <c r="F3939" s="67"/>
      <c r="G3939" s="9"/>
      <c r="H3939" s="9"/>
      <c r="I3939" s="9"/>
      <c r="J3939" s="9"/>
      <c r="K3939" s="9"/>
      <c r="L3939" s="9"/>
      <c r="M3939" s="9"/>
      <c r="N3939" s="9"/>
      <c r="O3939" s="9"/>
      <c r="P3939" s="9"/>
      <c r="Q3939" s="9"/>
      <c r="R3939" s="9"/>
      <c r="S3939" s="9"/>
      <c r="T3939" s="9"/>
      <c r="U3939" s="9"/>
      <c r="V3939" s="9"/>
      <c r="W3939" s="9"/>
      <c r="X3939" s="9"/>
      <c r="Y3939" s="9"/>
      <c r="Z3939" s="9"/>
      <c r="AA3939" s="9"/>
      <c r="AB3939" s="9"/>
      <c r="AC3939" s="9"/>
      <c r="AD3939" s="9"/>
      <c r="AE3939" s="9"/>
      <c r="AF3939" s="9"/>
      <c r="AG3939" s="9"/>
      <c r="AH3939" s="9"/>
      <c r="AI3939" s="9"/>
      <c r="AJ3939" s="9"/>
      <c r="AK3939" s="9"/>
      <c r="AL3939" s="9"/>
      <c r="AM3939" s="9"/>
      <c r="AN3939" s="9"/>
      <c r="AO3939" s="9"/>
      <c r="AP3939" s="9"/>
      <c r="AQ3939" s="9"/>
      <c r="AR3939" s="9"/>
      <c r="AS3939" s="9"/>
      <c r="AT3939" s="9"/>
      <c r="AU3939" s="9"/>
    </row>
    <row r="3940" spans="1:47" ht="15.75" customHeight="1">
      <c r="A3940" s="9"/>
      <c r="B3940" s="9"/>
      <c r="C3940" s="9"/>
      <c r="D3940" s="9"/>
      <c r="E3940" s="9"/>
      <c r="F3940" s="67"/>
      <c r="G3940" s="9"/>
      <c r="H3940" s="9"/>
      <c r="I3940" s="9"/>
      <c r="J3940" s="9"/>
      <c r="K3940" s="9"/>
      <c r="L3940" s="9"/>
      <c r="M3940" s="9"/>
      <c r="N3940" s="9"/>
      <c r="O3940" s="9"/>
      <c r="P3940" s="9"/>
      <c r="Q3940" s="9"/>
      <c r="R3940" s="9"/>
      <c r="S3940" s="9"/>
      <c r="T3940" s="9"/>
      <c r="U3940" s="9"/>
      <c r="V3940" s="9"/>
      <c r="W3940" s="9"/>
      <c r="X3940" s="9"/>
      <c r="Y3940" s="9"/>
      <c r="Z3940" s="9"/>
      <c r="AA3940" s="9"/>
      <c r="AB3940" s="9"/>
      <c r="AC3940" s="9"/>
      <c r="AD3940" s="9"/>
      <c r="AE3940" s="9"/>
      <c r="AF3940" s="9"/>
      <c r="AG3940" s="9"/>
      <c r="AH3940" s="9"/>
      <c r="AI3940" s="9"/>
      <c r="AJ3940" s="9"/>
      <c r="AK3940" s="9"/>
      <c r="AL3940" s="9"/>
      <c r="AM3940" s="9"/>
      <c r="AN3940" s="9"/>
      <c r="AO3940" s="9"/>
      <c r="AP3940" s="9"/>
      <c r="AQ3940" s="9"/>
      <c r="AR3940" s="9"/>
      <c r="AS3940" s="9"/>
      <c r="AT3940" s="9"/>
      <c r="AU3940" s="9"/>
    </row>
    <row r="3941" spans="1:47" ht="15.75" customHeight="1">
      <c r="A3941" s="9"/>
      <c r="B3941" s="9"/>
      <c r="C3941" s="9"/>
      <c r="D3941" s="9"/>
      <c r="E3941" s="9"/>
      <c r="F3941" s="67"/>
      <c r="G3941" s="9"/>
      <c r="H3941" s="9"/>
      <c r="I3941" s="9"/>
      <c r="J3941" s="9"/>
      <c r="K3941" s="9"/>
      <c r="L3941" s="9"/>
      <c r="M3941" s="9"/>
      <c r="N3941" s="9"/>
      <c r="O3941" s="9"/>
      <c r="P3941" s="9"/>
      <c r="Q3941" s="9"/>
      <c r="R3941" s="9"/>
      <c r="S3941" s="9"/>
      <c r="T3941" s="9"/>
      <c r="U3941" s="9"/>
      <c r="V3941" s="9"/>
      <c r="W3941" s="9"/>
      <c r="X3941" s="9"/>
      <c r="Y3941" s="9"/>
      <c r="Z3941" s="9"/>
      <c r="AA3941" s="9"/>
      <c r="AB3941" s="9"/>
      <c r="AC3941" s="9"/>
      <c r="AD3941" s="9"/>
      <c r="AE3941" s="9"/>
      <c r="AF3941" s="9"/>
      <c r="AG3941" s="9"/>
      <c r="AH3941" s="9"/>
      <c r="AI3941" s="9"/>
      <c r="AJ3941" s="9"/>
      <c r="AK3941" s="9"/>
      <c r="AL3941" s="9"/>
      <c r="AM3941" s="9"/>
      <c r="AN3941" s="9"/>
      <c r="AO3941" s="9"/>
      <c r="AP3941" s="9"/>
      <c r="AQ3941" s="9"/>
      <c r="AR3941" s="9"/>
      <c r="AS3941" s="9"/>
      <c r="AT3941" s="9"/>
      <c r="AU3941" s="9"/>
    </row>
    <row r="3942" spans="1:47" ht="15.75" customHeight="1">
      <c r="A3942" s="9"/>
      <c r="B3942" s="9"/>
      <c r="C3942" s="9"/>
      <c r="D3942" s="9"/>
      <c r="E3942" s="9"/>
      <c r="F3942" s="67"/>
      <c r="G3942" s="9"/>
      <c r="H3942" s="9"/>
      <c r="I3942" s="9"/>
      <c r="J3942" s="9"/>
      <c r="K3942" s="9"/>
      <c r="L3942" s="9"/>
      <c r="M3942" s="9"/>
      <c r="N3942" s="9"/>
      <c r="O3942" s="9"/>
      <c r="P3942" s="9"/>
      <c r="Q3942" s="9"/>
      <c r="R3942" s="9"/>
      <c r="S3942" s="9"/>
      <c r="T3942" s="9"/>
      <c r="U3942" s="9"/>
      <c r="V3942" s="9"/>
      <c r="W3942" s="9"/>
      <c r="X3942" s="9"/>
      <c r="Y3942" s="9"/>
      <c r="Z3942" s="9"/>
      <c r="AA3942" s="9"/>
      <c r="AB3942" s="9"/>
      <c r="AC3942" s="9"/>
      <c r="AD3942" s="9"/>
      <c r="AE3942" s="9"/>
      <c r="AF3942" s="9"/>
      <c r="AG3942" s="9"/>
      <c r="AH3942" s="9"/>
      <c r="AI3942" s="9"/>
      <c r="AJ3942" s="9"/>
      <c r="AK3942" s="9"/>
      <c r="AL3942" s="9"/>
      <c r="AM3942" s="9"/>
      <c r="AN3942" s="9"/>
      <c r="AO3942" s="9"/>
      <c r="AP3942" s="9"/>
      <c r="AQ3942" s="9"/>
      <c r="AR3942" s="9"/>
      <c r="AS3942" s="9"/>
      <c r="AT3942" s="9"/>
      <c r="AU3942" s="9"/>
    </row>
    <row r="3943" spans="1:47" ht="15.75" customHeight="1">
      <c r="A3943" s="9"/>
      <c r="B3943" s="9"/>
      <c r="C3943" s="9"/>
      <c r="D3943" s="9"/>
      <c r="E3943" s="9"/>
      <c r="F3943" s="67"/>
      <c r="G3943" s="9"/>
      <c r="H3943" s="9"/>
      <c r="I3943" s="9"/>
      <c r="J3943" s="9"/>
      <c r="K3943" s="9"/>
      <c r="L3943" s="9"/>
      <c r="M3943" s="9"/>
      <c r="N3943" s="9"/>
      <c r="O3943" s="9"/>
      <c r="P3943" s="9"/>
      <c r="Q3943" s="9"/>
      <c r="R3943" s="9"/>
      <c r="S3943" s="9"/>
      <c r="T3943" s="9"/>
      <c r="U3943" s="9"/>
      <c r="V3943" s="9"/>
      <c r="W3943" s="9"/>
      <c r="X3943" s="9"/>
      <c r="Y3943" s="9"/>
      <c r="Z3943" s="9"/>
      <c r="AA3943" s="9"/>
      <c r="AB3943" s="9"/>
      <c r="AC3943" s="9"/>
      <c r="AD3943" s="9"/>
      <c r="AE3943" s="9"/>
      <c r="AF3943" s="9"/>
      <c r="AG3943" s="9"/>
      <c r="AH3943" s="9"/>
      <c r="AI3943" s="9"/>
      <c r="AJ3943" s="9"/>
      <c r="AK3943" s="9"/>
      <c r="AL3943" s="9"/>
      <c r="AM3943" s="9"/>
      <c r="AN3943" s="9"/>
      <c r="AO3943" s="9"/>
      <c r="AP3943" s="9"/>
      <c r="AQ3943" s="9"/>
      <c r="AR3943" s="9"/>
      <c r="AS3943" s="9"/>
      <c r="AT3943" s="9"/>
      <c r="AU3943" s="9"/>
    </row>
    <row r="3944" spans="1:47" ht="15.75" customHeight="1">
      <c r="A3944" s="9"/>
      <c r="B3944" s="9"/>
      <c r="C3944" s="9"/>
      <c r="D3944" s="9"/>
      <c r="E3944" s="9"/>
      <c r="F3944" s="67"/>
      <c r="G3944" s="9"/>
      <c r="H3944" s="9"/>
      <c r="I3944" s="9"/>
      <c r="J3944" s="9"/>
      <c r="K3944" s="9"/>
      <c r="L3944" s="9"/>
      <c r="M3944" s="9"/>
      <c r="N3944" s="9"/>
      <c r="O3944" s="9"/>
      <c r="P3944" s="9"/>
      <c r="Q3944" s="9"/>
      <c r="R3944" s="9"/>
      <c r="S3944" s="9"/>
      <c r="T3944" s="9"/>
      <c r="U3944" s="9"/>
      <c r="V3944" s="9"/>
      <c r="W3944" s="9"/>
      <c r="X3944" s="9"/>
      <c r="Y3944" s="9"/>
      <c r="Z3944" s="9"/>
      <c r="AA3944" s="9"/>
      <c r="AB3944" s="9"/>
      <c r="AC3944" s="9"/>
      <c r="AD3944" s="9"/>
      <c r="AE3944" s="9"/>
      <c r="AF3944" s="9"/>
      <c r="AG3944" s="9"/>
      <c r="AH3944" s="9"/>
      <c r="AI3944" s="9"/>
      <c r="AJ3944" s="9"/>
      <c r="AK3944" s="9"/>
      <c r="AL3944" s="9"/>
      <c r="AM3944" s="9"/>
      <c r="AN3944" s="9"/>
      <c r="AO3944" s="9"/>
      <c r="AP3944" s="9"/>
      <c r="AQ3944" s="9"/>
      <c r="AR3944" s="9"/>
      <c r="AS3944" s="9"/>
      <c r="AT3944" s="9"/>
      <c r="AU3944" s="9"/>
    </row>
    <row r="3945" spans="1:47" ht="15.75" customHeight="1">
      <c r="A3945" s="9"/>
      <c r="B3945" s="9"/>
      <c r="C3945" s="9"/>
      <c r="D3945" s="9"/>
      <c r="E3945" s="9"/>
      <c r="F3945" s="67"/>
      <c r="G3945" s="9"/>
      <c r="H3945" s="9"/>
      <c r="I3945" s="9"/>
      <c r="J3945" s="9"/>
      <c r="K3945" s="9"/>
      <c r="L3945" s="9"/>
      <c r="M3945" s="9"/>
      <c r="N3945" s="9"/>
      <c r="O3945" s="9"/>
      <c r="P3945" s="9"/>
      <c r="Q3945" s="9"/>
      <c r="R3945" s="9"/>
      <c r="S3945" s="9"/>
      <c r="T3945" s="9"/>
      <c r="U3945" s="9"/>
      <c r="V3945" s="9"/>
      <c r="W3945" s="9"/>
      <c r="X3945" s="9"/>
      <c r="Y3945" s="9"/>
      <c r="Z3945" s="9"/>
      <c r="AA3945" s="9"/>
      <c r="AB3945" s="9"/>
      <c r="AC3945" s="9"/>
      <c r="AD3945" s="9"/>
      <c r="AE3945" s="9"/>
      <c r="AF3945" s="9"/>
      <c r="AG3945" s="9"/>
      <c r="AH3945" s="9"/>
      <c r="AI3945" s="9"/>
      <c r="AJ3945" s="9"/>
      <c r="AK3945" s="9"/>
      <c r="AL3945" s="9"/>
      <c r="AM3945" s="9"/>
      <c r="AN3945" s="9"/>
      <c r="AO3945" s="9"/>
      <c r="AP3945" s="9"/>
      <c r="AQ3945" s="9"/>
      <c r="AR3945" s="9"/>
      <c r="AS3945" s="9"/>
      <c r="AT3945" s="9"/>
      <c r="AU3945" s="9"/>
    </row>
    <row r="3946" spans="1:47" ht="15.75" customHeight="1">
      <c r="A3946" s="9"/>
      <c r="B3946" s="9"/>
      <c r="C3946" s="9"/>
      <c r="D3946" s="9"/>
      <c r="E3946" s="9"/>
      <c r="F3946" s="67"/>
      <c r="G3946" s="9"/>
      <c r="H3946" s="9"/>
      <c r="I3946" s="9"/>
      <c r="J3946" s="9"/>
      <c r="K3946" s="9"/>
      <c r="L3946" s="9"/>
      <c r="M3946" s="9"/>
      <c r="N3946" s="9"/>
      <c r="O3946" s="9"/>
      <c r="P3946" s="9"/>
      <c r="Q3946" s="9"/>
      <c r="R3946" s="9"/>
      <c r="S3946" s="9"/>
      <c r="T3946" s="9"/>
      <c r="U3946" s="9"/>
      <c r="V3946" s="9"/>
      <c r="W3946" s="9"/>
      <c r="X3946" s="9"/>
      <c r="Y3946" s="9"/>
      <c r="Z3946" s="9"/>
      <c r="AA3946" s="9"/>
      <c r="AB3946" s="9"/>
      <c r="AC3946" s="9"/>
      <c r="AD3946" s="9"/>
      <c r="AE3946" s="9"/>
      <c r="AF3946" s="9"/>
      <c r="AG3946" s="9"/>
      <c r="AH3946" s="9"/>
      <c r="AI3946" s="9"/>
      <c r="AJ3946" s="9"/>
      <c r="AK3946" s="9"/>
      <c r="AL3946" s="9"/>
      <c r="AM3946" s="9"/>
      <c r="AN3946" s="9"/>
      <c r="AO3946" s="9"/>
      <c r="AP3946" s="9"/>
      <c r="AQ3946" s="9"/>
      <c r="AR3946" s="9"/>
      <c r="AS3946" s="9"/>
      <c r="AT3946" s="9"/>
      <c r="AU3946" s="9"/>
    </row>
    <row r="3947" spans="1:47" ht="15.75" customHeight="1">
      <c r="A3947" s="9"/>
      <c r="B3947" s="9"/>
      <c r="C3947" s="9"/>
      <c r="D3947" s="9"/>
      <c r="E3947" s="9"/>
      <c r="F3947" s="67"/>
      <c r="G3947" s="9"/>
      <c r="H3947" s="9"/>
      <c r="I3947" s="9"/>
      <c r="J3947" s="9"/>
      <c r="K3947" s="9"/>
      <c r="L3947" s="9"/>
      <c r="M3947" s="9"/>
      <c r="N3947" s="9"/>
      <c r="O3947" s="9"/>
      <c r="P3947" s="9"/>
      <c r="Q3947" s="9"/>
      <c r="R3947" s="9"/>
      <c r="S3947" s="9"/>
      <c r="T3947" s="9"/>
      <c r="U3947" s="9"/>
      <c r="V3947" s="9"/>
      <c r="W3947" s="9"/>
      <c r="X3947" s="9"/>
      <c r="Y3947" s="9"/>
      <c r="Z3947" s="9"/>
      <c r="AA3947" s="9"/>
      <c r="AB3947" s="9"/>
      <c r="AC3947" s="9"/>
      <c r="AD3947" s="9"/>
      <c r="AE3947" s="9"/>
      <c r="AF3947" s="9"/>
      <c r="AG3947" s="9"/>
      <c r="AH3947" s="9"/>
      <c r="AI3947" s="9"/>
      <c r="AJ3947" s="9"/>
      <c r="AK3947" s="9"/>
      <c r="AL3947" s="9"/>
      <c r="AM3947" s="9"/>
      <c r="AN3947" s="9"/>
      <c r="AO3947" s="9"/>
      <c r="AP3947" s="9"/>
      <c r="AQ3947" s="9"/>
      <c r="AR3947" s="9"/>
      <c r="AS3947" s="9"/>
      <c r="AT3947" s="9"/>
      <c r="AU3947" s="9"/>
    </row>
    <row r="3948" spans="1:47" ht="15.75" customHeight="1">
      <c r="A3948" s="9"/>
      <c r="B3948" s="9"/>
      <c r="C3948" s="9"/>
      <c r="D3948" s="9"/>
      <c r="E3948" s="9"/>
      <c r="F3948" s="67"/>
      <c r="G3948" s="9"/>
      <c r="H3948" s="9"/>
      <c r="I3948" s="9"/>
      <c r="J3948" s="9"/>
      <c r="K3948" s="9"/>
      <c r="L3948" s="9"/>
      <c r="M3948" s="9"/>
      <c r="N3948" s="9"/>
      <c r="O3948" s="9"/>
      <c r="P3948" s="9"/>
      <c r="Q3948" s="9"/>
      <c r="R3948" s="9"/>
      <c r="S3948" s="9"/>
      <c r="T3948" s="9"/>
      <c r="U3948" s="9"/>
      <c r="V3948" s="9"/>
      <c r="W3948" s="9"/>
      <c r="X3948" s="9"/>
      <c r="Y3948" s="9"/>
      <c r="Z3948" s="9"/>
      <c r="AA3948" s="9"/>
      <c r="AB3948" s="9"/>
      <c r="AC3948" s="9"/>
      <c r="AD3948" s="9"/>
      <c r="AE3948" s="9"/>
      <c r="AF3948" s="9"/>
      <c r="AG3948" s="9"/>
      <c r="AH3948" s="9"/>
      <c r="AI3948" s="9"/>
      <c r="AJ3948" s="9"/>
      <c r="AK3948" s="9"/>
      <c r="AL3948" s="9"/>
      <c r="AM3948" s="9"/>
      <c r="AN3948" s="9"/>
      <c r="AO3948" s="9"/>
      <c r="AP3948" s="9"/>
      <c r="AQ3948" s="9"/>
      <c r="AR3948" s="9"/>
      <c r="AS3948" s="9"/>
      <c r="AT3948" s="9"/>
      <c r="AU3948" s="9"/>
    </row>
    <row r="3949" spans="1:47" ht="15.75" customHeight="1">
      <c r="A3949" s="9"/>
      <c r="B3949" s="9"/>
      <c r="C3949" s="9"/>
      <c r="D3949" s="9"/>
      <c r="E3949" s="9"/>
      <c r="F3949" s="67"/>
      <c r="G3949" s="9"/>
      <c r="H3949" s="9"/>
      <c r="I3949" s="9"/>
      <c r="J3949" s="9"/>
      <c r="K3949" s="9"/>
      <c r="L3949" s="9"/>
      <c r="M3949" s="9"/>
      <c r="N3949" s="9"/>
      <c r="O3949" s="9"/>
      <c r="P3949" s="9"/>
      <c r="Q3949" s="9"/>
      <c r="R3949" s="9"/>
      <c r="S3949" s="9"/>
      <c r="T3949" s="9"/>
      <c r="U3949" s="9"/>
      <c r="V3949" s="9"/>
      <c r="W3949" s="9"/>
      <c r="X3949" s="9"/>
      <c r="Y3949" s="9"/>
      <c r="Z3949" s="9"/>
      <c r="AA3949" s="9"/>
      <c r="AB3949" s="9"/>
      <c r="AC3949" s="9"/>
      <c r="AD3949" s="9"/>
      <c r="AE3949" s="9"/>
      <c r="AF3949" s="9"/>
      <c r="AG3949" s="9"/>
      <c r="AH3949" s="9"/>
      <c r="AI3949" s="9"/>
      <c r="AJ3949" s="9"/>
      <c r="AK3949" s="9"/>
      <c r="AL3949" s="9"/>
      <c r="AM3949" s="9"/>
      <c r="AN3949" s="9"/>
      <c r="AO3949" s="9"/>
      <c r="AP3949" s="9"/>
      <c r="AQ3949" s="9"/>
      <c r="AR3949" s="9"/>
      <c r="AS3949" s="9"/>
      <c r="AT3949" s="9"/>
      <c r="AU3949" s="9"/>
    </row>
    <row r="3950" spans="1:47" ht="15.75" customHeight="1">
      <c r="A3950" s="9"/>
      <c r="B3950" s="9"/>
      <c r="C3950" s="9"/>
      <c r="D3950" s="9"/>
      <c r="E3950" s="9"/>
      <c r="F3950" s="67"/>
      <c r="G3950" s="9"/>
      <c r="H3950" s="9"/>
      <c r="I3950" s="9"/>
      <c r="J3950" s="9"/>
      <c r="K3950" s="9"/>
      <c r="L3950" s="9"/>
      <c r="M3950" s="9"/>
      <c r="N3950" s="9"/>
      <c r="O3950" s="9"/>
      <c r="P3950" s="9"/>
      <c r="Q3950" s="9"/>
      <c r="R3950" s="9"/>
      <c r="S3950" s="9"/>
      <c r="T3950" s="9"/>
      <c r="U3950" s="9"/>
      <c r="V3950" s="9"/>
      <c r="W3950" s="9"/>
      <c r="X3950" s="9"/>
      <c r="Y3950" s="9"/>
      <c r="Z3950" s="9"/>
      <c r="AA3950" s="9"/>
      <c r="AB3950" s="9"/>
      <c r="AC3950" s="9"/>
      <c r="AD3950" s="9"/>
      <c r="AE3950" s="9"/>
      <c r="AF3950" s="9"/>
      <c r="AG3950" s="9"/>
      <c r="AH3950" s="9"/>
      <c r="AI3950" s="9"/>
      <c r="AJ3950" s="9"/>
      <c r="AK3950" s="9"/>
      <c r="AL3950" s="9"/>
      <c r="AM3950" s="9"/>
      <c r="AN3950" s="9"/>
      <c r="AO3950" s="9"/>
      <c r="AP3950" s="9"/>
      <c r="AQ3950" s="9"/>
      <c r="AR3950" s="9"/>
      <c r="AS3950" s="9"/>
      <c r="AT3950" s="9"/>
      <c r="AU3950" s="9"/>
    </row>
    <row r="3951" spans="1:47" ht="15.75" customHeight="1">
      <c r="A3951" s="9"/>
      <c r="B3951" s="9"/>
      <c r="C3951" s="9"/>
      <c r="D3951" s="9"/>
      <c r="E3951" s="9"/>
      <c r="F3951" s="67"/>
      <c r="G3951" s="9"/>
      <c r="H3951" s="9"/>
      <c r="I3951" s="9"/>
      <c r="J3951" s="9"/>
      <c r="K3951" s="9"/>
      <c r="L3951" s="9"/>
      <c r="M3951" s="9"/>
      <c r="N3951" s="9"/>
      <c r="O3951" s="9"/>
      <c r="P3951" s="9"/>
      <c r="Q3951" s="9"/>
      <c r="R3951" s="9"/>
      <c r="S3951" s="9"/>
      <c r="T3951" s="9"/>
      <c r="U3951" s="9"/>
      <c r="V3951" s="9"/>
      <c r="W3951" s="9"/>
      <c r="X3951" s="9"/>
      <c r="Y3951" s="9"/>
      <c r="Z3951" s="9"/>
      <c r="AA3951" s="9"/>
      <c r="AB3951" s="9"/>
      <c r="AC3951" s="9"/>
      <c r="AD3951" s="9"/>
      <c r="AE3951" s="9"/>
      <c r="AF3951" s="9"/>
      <c r="AG3951" s="9"/>
      <c r="AH3951" s="9"/>
      <c r="AI3951" s="9"/>
      <c r="AJ3951" s="9"/>
      <c r="AK3951" s="9"/>
      <c r="AL3951" s="9"/>
      <c r="AM3951" s="9"/>
      <c r="AN3951" s="9"/>
      <c r="AO3951" s="9"/>
      <c r="AP3951" s="9"/>
      <c r="AQ3951" s="9"/>
      <c r="AR3951" s="9"/>
      <c r="AS3951" s="9"/>
      <c r="AT3951" s="9"/>
      <c r="AU3951" s="9"/>
    </row>
    <row r="3952" spans="1:47" ht="15.75" customHeight="1">
      <c r="A3952" s="9"/>
      <c r="B3952" s="9"/>
      <c r="C3952" s="9"/>
      <c r="D3952" s="9"/>
      <c r="E3952" s="9"/>
      <c r="F3952" s="67"/>
      <c r="G3952" s="9"/>
      <c r="H3952" s="9"/>
      <c r="I3952" s="9"/>
      <c r="J3952" s="9"/>
      <c r="K3952" s="9"/>
      <c r="L3952" s="9"/>
      <c r="M3952" s="9"/>
      <c r="N3952" s="9"/>
      <c r="O3952" s="9"/>
      <c r="P3952" s="9"/>
      <c r="Q3952" s="9"/>
      <c r="R3952" s="9"/>
      <c r="S3952" s="9"/>
      <c r="T3952" s="9"/>
      <c r="U3952" s="9"/>
      <c r="V3952" s="9"/>
      <c r="W3952" s="9"/>
      <c r="X3952" s="9"/>
      <c r="Y3952" s="9"/>
      <c r="Z3952" s="9"/>
      <c r="AA3952" s="9"/>
      <c r="AB3952" s="9"/>
      <c r="AC3952" s="9"/>
      <c r="AD3952" s="9"/>
      <c r="AE3952" s="9"/>
      <c r="AF3952" s="9"/>
      <c r="AG3952" s="9"/>
      <c r="AH3952" s="9"/>
      <c r="AI3952" s="9"/>
      <c r="AJ3952" s="9"/>
      <c r="AK3952" s="9"/>
      <c r="AL3952" s="9"/>
      <c r="AM3952" s="9"/>
      <c r="AN3952" s="9"/>
      <c r="AO3952" s="9"/>
      <c r="AP3952" s="9"/>
      <c r="AQ3952" s="9"/>
      <c r="AR3952" s="9"/>
      <c r="AS3952" s="9"/>
      <c r="AT3952" s="9"/>
      <c r="AU3952" s="9"/>
    </row>
    <row r="3953" spans="1:47" ht="15.75" customHeight="1">
      <c r="A3953" s="9"/>
      <c r="B3953" s="9"/>
      <c r="C3953" s="9"/>
      <c r="D3953" s="9"/>
      <c r="E3953" s="9"/>
      <c r="F3953" s="67"/>
      <c r="G3953" s="9"/>
      <c r="H3953" s="9"/>
      <c r="I3953" s="9"/>
      <c r="J3953" s="9"/>
      <c r="K3953" s="9"/>
      <c r="L3953" s="9"/>
      <c r="M3953" s="9"/>
      <c r="N3953" s="9"/>
      <c r="O3953" s="9"/>
      <c r="P3953" s="9"/>
      <c r="Q3953" s="9"/>
      <c r="R3953" s="9"/>
      <c r="S3953" s="9"/>
      <c r="T3953" s="9"/>
      <c r="U3953" s="9"/>
      <c r="V3953" s="9"/>
      <c r="W3953" s="9"/>
      <c r="X3953" s="9"/>
      <c r="Y3953" s="9"/>
      <c r="Z3953" s="9"/>
      <c r="AA3953" s="9"/>
      <c r="AB3953" s="9"/>
      <c r="AC3953" s="9"/>
      <c r="AD3953" s="9"/>
      <c r="AE3953" s="9"/>
      <c r="AF3953" s="9"/>
      <c r="AG3953" s="9"/>
      <c r="AH3953" s="9"/>
      <c r="AI3953" s="9"/>
      <c r="AJ3953" s="9"/>
      <c r="AK3953" s="9"/>
      <c r="AL3953" s="9"/>
      <c r="AM3953" s="9"/>
      <c r="AN3953" s="9"/>
      <c r="AO3953" s="9"/>
      <c r="AP3953" s="9"/>
      <c r="AQ3953" s="9"/>
      <c r="AR3953" s="9"/>
      <c r="AS3953" s="9"/>
      <c r="AT3953" s="9"/>
      <c r="AU3953" s="9"/>
    </row>
    <row r="3954" spans="1:47" ht="15.75" customHeight="1">
      <c r="A3954" s="9"/>
      <c r="B3954" s="9"/>
      <c r="C3954" s="9"/>
      <c r="D3954" s="9"/>
      <c r="E3954" s="9"/>
      <c r="F3954" s="67"/>
      <c r="G3954" s="9"/>
      <c r="H3954" s="9"/>
      <c r="I3954" s="9"/>
      <c r="J3954" s="9"/>
      <c r="K3954" s="9"/>
      <c r="L3954" s="9"/>
      <c r="M3954" s="9"/>
      <c r="N3954" s="9"/>
      <c r="O3954" s="9"/>
      <c r="P3954" s="9"/>
      <c r="Q3954" s="9"/>
      <c r="R3954" s="9"/>
      <c r="S3954" s="9"/>
      <c r="T3954" s="9"/>
      <c r="U3954" s="9"/>
      <c r="V3954" s="9"/>
      <c r="W3954" s="9"/>
      <c r="X3954" s="9"/>
      <c r="Y3954" s="9"/>
      <c r="Z3954" s="9"/>
      <c r="AA3954" s="9"/>
      <c r="AB3954" s="9"/>
      <c r="AC3954" s="9"/>
      <c r="AD3954" s="9"/>
      <c r="AE3954" s="9"/>
      <c r="AF3954" s="9"/>
      <c r="AG3954" s="9"/>
      <c r="AH3954" s="9"/>
      <c r="AI3954" s="9"/>
      <c r="AJ3954" s="9"/>
      <c r="AK3954" s="9"/>
      <c r="AL3954" s="9"/>
      <c r="AM3954" s="9"/>
      <c r="AN3954" s="9"/>
      <c r="AO3954" s="9"/>
      <c r="AP3954" s="9"/>
      <c r="AQ3954" s="9"/>
      <c r="AR3954" s="9"/>
      <c r="AS3954" s="9"/>
      <c r="AT3954" s="9"/>
      <c r="AU3954" s="9"/>
    </row>
    <row r="3955" spans="1:47" ht="15.75" customHeight="1">
      <c r="A3955" s="9"/>
      <c r="B3955" s="9"/>
      <c r="C3955" s="9"/>
      <c r="D3955" s="9"/>
      <c r="E3955" s="9"/>
      <c r="F3955" s="67"/>
      <c r="G3955" s="9"/>
      <c r="H3955" s="9"/>
      <c r="I3955" s="9"/>
      <c r="J3955" s="9"/>
      <c r="K3955" s="9"/>
      <c r="L3955" s="9"/>
      <c r="M3955" s="9"/>
      <c r="N3955" s="9"/>
      <c r="O3955" s="9"/>
      <c r="P3955" s="9"/>
      <c r="Q3955" s="9"/>
      <c r="R3955" s="9"/>
      <c r="S3955" s="9"/>
      <c r="T3955" s="9"/>
      <c r="U3955" s="9"/>
      <c r="V3955" s="9"/>
      <c r="W3955" s="9"/>
      <c r="X3955" s="9"/>
      <c r="Y3955" s="9"/>
      <c r="Z3955" s="9"/>
      <c r="AA3955" s="9"/>
      <c r="AB3955" s="9"/>
      <c r="AC3955" s="9"/>
      <c r="AD3955" s="9"/>
      <c r="AE3955" s="9"/>
      <c r="AF3955" s="9"/>
      <c r="AG3955" s="9"/>
      <c r="AH3955" s="9"/>
      <c r="AI3955" s="9"/>
      <c r="AJ3955" s="9"/>
      <c r="AK3955" s="9"/>
      <c r="AL3955" s="9"/>
      <c r="AM3955" s="9"/>
      <c r="AN3955" s="9"/>
      <c r="AO3955" s="9"/>
      <c r="AP3955" s="9"/>
      <c r="AQ3955" s="9"/>
      <c r="AR3955" s="9"/>
      <c r="AS3955" s="9"/>
      <c r="AT3955" s="9"/>
      <c r="AU3955" s="9"/>
    </row>
    <row r="3956" spans="1:47" ht="15.75" customHeight="1">
      <c r="A3956" s="9"/>
      <c r="B3956" s="9"/>
      <c r="C3956" s="9"/>
      <c r="D3956" s="9"/>
      <c r="E3956" s="9"/>
      <c r="F3956" s="67"/>
      <c r="G3956" s="9"/>
      <c r="H3956" s="9"/>
      <c r="I3956" s="9"/>
      <c r="J3956" s="9"/>
      <c r="K3956" s="9"/>
      <c r="L3956" s="9"/>
      <c r="M3956" s="9"/>
      <c r="N3956" s="9"/>
      <c r="O3956" s="9"/>
      <c r="P3956" s="9"/>
      <c r="Q3956" s="9"/>
      <c r="R3956" s="9"/>
      <c r="S3956" s="9"/>
      <c r="T3956" s="9"/>
      <c r="U3956" s="9"/>
      <c r="V3956" s="9"/>
      <c r="W3956" s="9"/>
      <c r="X3956" s="9"/>
      <c r="Y3956" s="9"/>
      <c r="Z3956" s="9"/>
      <c r="AA3956" s="9"/>
      <c r="AB3956" s="9"/>
      <c r="AC3956" s="9"/>
      <c r="AD3956" s="9"/>
      <c r="AE3956" s="9"/>
      <c r="AF3956" s="9"/>
      <c r="AG3956" s="9"/>
      <c r="AH3956" s="9"/>
      <c r="AI3956" s="9"/>
      <c r="AJ3956" s="9"/>
      <c r="AK3956" s="9"/>
      <c r="AL3956" s="9"/>
      <c r="AM3956" s="9"/>
      <c r="AN3956" s="9"/>
      <c r="AO3956" s="9"/>
      <c r="AP3956" s="9"/>
      <c r="AQ3956" s="9"/>
      <c r="AR3956" s="9"/>
      <c r="AS3956" s="9"/>
      <c r="AT3956" s="9"/>
      <c r="AU3956" s="9"/>
    </row>
    <row r="3957" spans="1:47" ht="15.75" customHeight="1">
      <c r="A3957" s="9"/>
      <c r="B3957" s="9"/>
      <c r="C3957" s="9"/>
      <c r="D3957" s="9"/>
      <c r="E3957" s="9"/>
      <c r="F3957" s="67"/>
      <c r="G3957" s="9"/>
      <c r="H3957" s="9"/>
      <c r="I3957" s="9"/>
      <c r="J3957" s="9"/>
      <c r="K3957" s="9"/>
      <c r="L3957" s="9"/>
      <c r="M3957" s="9"/>
      <c r="N3957" s="9"/>
      <c r="O3957" s="9"/>
      <c r="P3957" s="9"/>
      <c r="Q3957" s="9"/>
      <c r="R3957" s="9"/>
      <c r="S3957" s="9"/>
      <c r="T3957" s="9"/>
      <c r="U3957" s="9"/>
      <c r="V3957" s="9"/>
      <c r="W3957" s="9"/>
      <c r="X3957" s="9"/>
      <c r="Y3957" s="9"/>
      <c r="Z3957" s="9"/>
      <c r="AA3957" s="9"/>
      <c r="AB3957" s="9"/>
      <c r="AC3957" s="9"/>
      <c r="AD3957" s="9"/>
      <c r="AE3957" s="9"/>
      <c r="AF3957" s="9"/>
      <c r="AG3957" s="9"/>
      <c r="AH3957" s="9"/>
      <c r="AI3957" s="9"/>
      <c r="AJ3957" s="9"/>
      <c r="AK3957" s="9"/>
      <c r="AL3957" s="9"/>
      <c r="AM3957" s="9"/>
      <c r="AN3957" s="9"/>
      <c r="AO3957" s="9"/>
      <c r="AP3957" s="9"/>
      <c r="AQ3957" s="9"/>
      <c r="AR3957" s="9"/>
      <c r="AS3957" s="9"/>
      <c r="AT3957" s="9"/>
      <c r="AU3957" s="9"/>
    </row>
    <row r="3958" spans="1:47" ht="15.75" customHeight="1">
      <c r="A3958" s="9"/>
      <c r="B3958" s="9"/>
      <c r="C3958" s="9"/>
      <c r="D3958" s="9"/>
      <c r="E3958" s="9"/>
      <c r="F3958" s="67"/>
      <c r="G3958" s="9"/>
      <c r="H3958" s="9"/>
      <c r="I3958" s="9"/>
      <c r="J3958" s="9"/>
      <c r="K3958" s="9"/>
      <c r="L3958" s="9"/>
      <c r="M3958" s="9"/>
      <c r="N3958" s="9"/>
      <c r="O3958" s="9"/>
      <c r="P3958" s="9"/>
      <c r="Q3958" s="9"/>
      <c r="R3958" s="9"/>
      <c r="S3958" s="9"/>
      <c r="T3958" s="9"/>
      <c r="U3958" s="9"/>
      <c r="V3958" s="9"/>
      <c r="W3958" s="9"/>
      <c r="X3958" s="9"/>
      <c r="Y3958" s="9"/>
      <c r="Z3958" s="9"/>
      <c r="AA3958" s="9"/>
      <c r="AB3958" s="9"/>
      <c r="AC3958" s="9"/>
      <c r="AD3958" s="9"/>
      <c r="AE3958" s="9"/>
      <c r="AF3958" s="9"/>
      <c r="AG3958" s="9"/>
      <c r="AH3958" s="9"/>
      <c r="AI3958" s="9"/>
      <c r="AJ3958" s="9"/>
      <c r="AK3958" s="9"/>
      <c r="AL3958" s="9"/>
      <c r="AM3958" s="9"/>
      <c r="AN3958" s="9"/>
      <c r="AO3958" s="9"/>
      <c r="AP3958" s="9"/>
      <c r="AQ3958" s="9"/>
      <c r="AR3958" s="9"/>
      <c r="AS3958" s="9"/>
      <c r="AT3958" s="9"/>
      <c r="AU3958" s="9"/>
    </row>
    <row r="3959" spans="1:47" ht="15.75" customHeight="1">
      <c r="A3959" s="9"/>
      <c r="B3959" s="9"/>
      <c r="C3959" s="9"/>
      <c r="D3959" s="9"/>
      <c r="E3959" s="9"/>
      <c r="F3959" s="67"/>
      <c r="G3959" s="9"/>
      <c r="H3959" s="9"/>
      <c r="I3959" s="9"/>
      <c r="J3959" s="9"/>
      <c r="K3959" s="9"/>
      <c r="L3959" s="9"/>
      <c r="M3959" s="9"/>
      <c r="N3959" s="9"/>
      <c r="O3959" s="9"/>
      <c r="P3959" s="9"/>
      <c r="Q3959" s="9"/>
      <c r="R3959" s="9"/>
      <c r="S3959" s="9"/>
      <c r="T3959" s="9"/>
      <c r="U3959" s="9"/>
      <c r="V3959" s="9"/>
      <c r="W3959" s="9"/>
      <c r="X3959" s="9"/>
      <c r="Y3959" s="9"/>
      <c r="Z3959" s="9"/>
      <c r="AA3959" s="9"/>
      <c r="AB3959" s="9"/>
      <c r="AC3959" s="9"/>
      <c r="AD3959" s="9"/>
      <c r="AE3959" s="9"/>
      <c r="AF3959" s="9"/>
      <c r="AG3959" s="9"/>
      <c r="AH3959" s="9"/>
      <c r="AI3959" s="9"/>
      <c r="AJ3959" s="9"/>
      <c r="AK3959" s="9"/>
      <c r="AL3959" s="9"/>
      <c r="AM3959" s="9"/>
      <c r="AN3959" s="9"/>
      <c r="AO3959" s="9"/>
      <c r="AP3959" s="9"/>
      <c r="AQ3959" s="9"/>
      <c r="AR3959" s="9"/>
      <c r="AS3959" s="9"/>
      <c r="AT3959" s="9"/>
      <c r="AU3959" s="9"/>
    </row>
    <row r="3960" spans="1:47" ht="15.75" customHeight="1">
      <c r="A3960" s="9"/>
      <c r="B3960" s="9"/>
      <c r="C3960" s="9"/>
      <c r="D3960" s="9"/>
      <c r="E3960" s="9"/>
      <c r="F3960" s="67"/>
      <c r="G3960" s="9"/>
      <c r="H3960" s="9"/>
      <c r="I3960" s="9"/>
      <c r="J3960" s="9"/>
      <c r="K3960" s="9"/>
      <c r="L3960" s="9"/>
      <c r="M3960" s="9"/>
      <c r="N3960" s="9"/>
      <c r="O3960" s="9"/>
      <c r="P3960" s="9"/>
      <c r="Q3960" s="9"/>
      <c r="R3960" s="9"/>
      <c r="S3960" s="9"/>
      <c r="T3960" s="9"/>
      <c r="U3960" s="9"/>
      <c r="V3960" s="9"/>
      <c r="W3960" s="9"/>
      <c r="X3960" s="9"/>
      <c r="Y3960" s="9"/>
      <c r="Z3960" s="9"/>
      <c r="AA3960" s="9"/>
      <c r="AB3960" s="9"/>
      <c r="AC3960" s="9"/>
      <c r="AD3960" s="9"/>
      <c r="AE3960" s="9"/>
      <c r="AF3960" s="9"/>
      <c r="AG3960" s="9"/>
      <c r="AH3960" s="9"/>
      <c r="AI3960" s="9"/>
      <c r="AJ3960" s="9"/>
      <c r="AK3960" s="9"/>
      <c r="AL3960" s="9"/>
      <c r="AM3960" s="9"/>
      <c r="AN3960" s="9"/>
      <c r="AO3960" s="9"/>
      <c r="AP3960" s="9"/>
      <c r="AQ3960" s="9"/>
      <c r="AR3960" s="9"/>
      <c r="AS3960" s="9"/>
      <c r="AT3960" s="9"/>
      <c r="AU3960" s="9"/>
    </row>
    <row r="3961" spans="1:47" ht="15.75" customHeight="1">
      <c r="A3961" s="9"/>
      <c r="B3961" s="9"/>
      <c r="C3961" s="9"/>
      <c r="D3961" s="9"/>
      <c r="E3961" s="9"/>
      <c r="F3961" s="67"/>
      <c r="G3961" s="9"/>
      <c r="H3961" s="9"/>
      <c r="I3961" s="9"/>
      <c r="J3961" s="9"/>
      <c r="K3961" s="9"/>
      <c r="L3961" s="9"/>
      <c r="M3961" s="9"/>
      <c r="N3961" s="9"/>
      <c r="O3961" s="9"/>
      <c r="P3961" s="9"/>
      <c r="Q3961" s="9"/>
      <c r="R3961" s="9"/>
      <c r="S3961" s="9"/>
      <c r="T3961" s="9"/>
      <c r="U3961" s="9"/>
      <c r="V3961" s="9"/>
      <c r="W3961" s="9"/>
      <c r="X3961" s="9"/>
      <c r="Y3961" s="9"/>
      <c r="Z3961" s="9"/>
      <c r="AA3961" s="9"/>
      <c r="AB3961" s="9"/>
      <c r="AC3961" s="9"/>
      <c r="AD3961" s="9"/>
      <c r="AE3961" s="9"/>
      <c r="AF3961" s="9"/>
      <c r="AG3961" s="9"/>
      <c r="AH3961" s="9"/>
      <c r="AI3961" s="9"/>
      <c r="AJ3961" s="9"/>
      <c r="AK3961" s="9"/>
      <c r="AL3961" s="9"/>
      <c r="AM3961" s="9"/>
      <c r="AN3961" s="9"/>
      <c r="AO3961" s="9"/>
      <c r="AP3961" s="9"/>
      <c r="AQ3961" s="9"/>
      <c r="AR3961" s="9"/>
      <c r="AS3961" s="9"/>
      <c r="AT3961" s="9"/>
      <c r="AU3961" s="9"/>
    </row>
    <row r="3962" spans="1:47" ht="15.75" customHeight="1">
      <c r="A3962" s="9"/>
      <c r="B3962" s="9"/>
      <c r="C3962" s="9"/>
      <c r="D3962" s="9"/>
      <c r="E3962" s="9"/>
      <c r="F3962" s="67"/>
      <c r="G3962" s="9"/>
      <c r="H3962" s="9"/>
      <c r="I3962" s="9"/>
      <c r="J3962" s="9"/>
      <c r="K3962" s="9"/>
      <c r="L3962" s="9"/>
      <c r="M3962" s="9"/>
      <c r="N3962" s="9"/>
      <c r="O3962" s="9"/>
      <c r="P3962" s="9"/>
      <c r="Q3962" s="9"/>
      <c r="R3962" s="9"/>
      <c r="S3962" s="9"/>
      <c r="T3962" s="9"/>
      <c r="U3962" s="9"/>
      <c r="V3962" s="9"/>
      <c r="W3962" s="9"/>
      <c r="X3962" s="9"/>
      <c r="Y3962" s="9"/>
      <c r="Z3962" s="9"/>
      <c r="AA3962" s="9"/>
      <c r="AB3962" s="9"/>
      <c r="AC3962" s="9"/>
      <c r="AD3962" s="9"/>
      <c r="AE3962" s="9"/>
      <c r="AF3962" s="9"/>
      <c r="AG3962" s="9"/>
      <c r="AH3962" s="9"/>
      <c r="AI3962" s="9"/>
      <c r="AJ3962" s="9"/>
      <c r="AK3962" s="9"/>
      <c r="AL3962" s="9"/>
      <c r="AM3962" s="9"/>
      <c r="AN3962" s="9"/>
      <c r="AO3962" s="9"/>
      <c r="AP3962" s="9"/>
      <c r="AQ3962" s="9"/>
      <c r="AR3962" s="9"/>
      <c r="AS3962" s="9"/>
      <c r="AT3962" s="9"/>
      <c r="AU3962" s="9"/>
    </row>
    <row r="3963" spans="1:47" ht="15.75" customHeight="1">
      <c r="A3963" s="9"/>
      <c r="B3963" s="9"/>
      <c r="C3963" s="9"/>
      <c r="D3963" s="9"/>
      <c r="E3963" s="9"/>
      <c r="F3963" s="67"/>
      <c r="G3963" s="9"/>
      <c r="H3963" s="9"/>
      <c r="I3963" s="9"/>
      <c r="J3963" s="9"/>
      <c r="K3963" s="9"/>
      <c r="L3963" s="9"/>
      <c r="M3963" s="9"/>
      <c r="N3963" s="9"/>
      <c r="O3963" s="9"/>
      <c r="P3963" s="9"/>
      <c r="Q3963" s="9"/>
      <c r="R3963" s="9"/>
      <c r="S3963" s="9"/>
      <c r="T3963" s="9"/>
      <c r="U3963" s="9"/>
      <c r="V3963" s="9"/>
      <c r="W3963" s="9"/>
      <c r="X3963" s="9"/>
      <c r="Y3963" s="9"/>
      <c r="Z3963" s="9"/>
      <c r="AA3963" s="9"/>
      <c r="AB3963" s="9"/>
      <c r="AC3963" s="9"/>
      <c r="AD3963" s="9"/>
      <c r="AE3963" s="9"/>
      <c r="AF3963" s="9"/>
      <c r="AG3963" s="9"/>
      <c r="AH3963" s="9"/>
      <c r="AI3963" s="9"/>
      <c r="AJ3963" s="9"/>
      <c r="AK3963" s="9"/>
      <c r="AL3963" s="9"/>
      <c r="AM3963" s="9"/>
      <c r="AN3963" s="9"/>
      <c r="AO3963" s="9"/>
      <c r="AP3963" s="9"/>
      <c r="AQ3963" s="9"/>
      <c r="AR3963" s="9"/>
      <c r="AS3963" s="9"/>
      <c r="AT3963" s="9"/>
      <c r="AU3963" s="9"/>
    </row>
    <row r="3964" spans="1:47" ht="15.75" customHeight="1">
      <c r="A3964" s="9"/>
      <c r="B3964" s="9"/>
      <c r="C3964" s="9"/>
      <c r="D3964" s="9"/>
      <c r="E3964" s="9"/>
      <c r="F3964" s="67"/>
      <c r="G3964" s="9"/>
      <c r="H3964" s="9"/>
      <c r="I3964" s="9"/>
      <c r="J3964" s="9"/>
      <c r="K3964" s="9"/>
      <c r="L3964" s="9"/>
      <c r="M3964" s="9"/>
      <c r="N3964" s="9"/>
      <c r="O3964" s="9"/>
      <c r="P3964" s="9"/>
      <c r="Q3964" s="9"/>
      <c r="R3964" s="9"/>
      <c r="S3964" s="9"/>
      <c r="T3964" s="9"/>
      <c r="U3964" s="9"/>
      <c r="V3964" s="9"/>
      <c r="W3964" s="9"/>
      <c r="X3964" s="9"/>
      <c r="Y3964" s="9"/>
      <c r="Z3964" s="9"/>
      <c r="AA3964" s="9"/>
      <c r="AB3964" s="9"/>
      <c r="AC3964" s="9"/>
      <c r="AD3964" s="9"/>
      <c r="AE3964" s="9"/>
      <c r="AF3964" s="9"/>
      <c r="AG3964" s="9"/>
      <c r="AH3964" s="9"/>
      <c r="AI3964" s="9"/>
      <c r="AJ3964" s="9"/>
      <c r="AK3964" s="9"/>
      <c r="AL3964" s="9"/>
      <c r="AM3964" s="9"/>
      <c r="AN3964" s="9"/>
      <c r="AO3964" s="9"/>
      <c r="AP3964" s="9"/>
      <c r="AQ3964" s="9"/>
      <c r="AR3964" s="9"/>
      <c r="AS3964" s="9"/>
      <c r="AT3964" s="9"/>
      <c r="AU3964" s="9"/>
    </row>
    <row r="3965" spans="1:47" ht="15.75" customHeight="1">
      <c r="A3965" s="9"/>
      <c r="B3965" s="9"/>
      <c r="C3965" s="9"/>
      <c r="D3965" s="9"/>
      <c r="E3965" s="9"/>
      <c r="F3965" s="67"/>
      <c r="G3965" s="9"/>
      <c r="H3965" s="9"/>
      <c r="I3965" s="9"/>
      <c r="J3965" s="9"/>
      <c r="K3965" s="9"/>
      <c r="L3965" s="9"/>
      <c r="M3965" s="9"/>
      <c r="N3965" s="9"/>
      <c r="O3965" s="9"/>
      <c r="P3965" s="9"/>
      <c r="Q3965" s="9"/>
      <c r="R3965" s="9"/>
      <c r="S3965" s="9"/>
      <c r="T3965" s="9"/>
      <c r="U3965" s="9"/>
      <c r="V3965" s="9"/>
      <c r="W3965" s="9"/>
      <c r="X3965" s="9"/>
      <c r="Y3965" s="9"/>
      <c r="Z3965" s="9"/>
      <c r="AA3965" s="9"/>
      <c r="AB3965" s="9"/>
      <c r="AC3965" s="9"/>
      <c r="AD3965" s="9"/>
      <c r="AE3965" s="9"/>
      <c r="AF3965" s="9"/>
      <c r="AG3965" s="9"/>
      <c r="AH3965" s="9"/>
      <c r="AI3965" s="9"/>
      <c r="AJ3965" s="9"/>
      <c r="AK3965" s="9"/>
      <c r="AL3965" s="9"/>
      <c r="AM3965" s="9"/>
      <c r="AN3965" s="9"/>
      <c r="AO3965" s="9"/>
      <c r="AP3965" s="9"/>
      <c r="AQ3965" s="9"/>
      <c r="AR3965" s="9"/>
      <c r="AS3965" s="9"/>
      <c r="AT3965" s="9"/>
      <c r="AU3965" s="9"/>
    </row>
    <row r="3966" spans="1:47" ht="15.75" customHeight="1">
      <c r="A3966" s="9"/>
      <c r="B3966" s="9"/>
      <c r="C3966" s="9"/>
      <c r="D3966" s="9"/>
      <c r="E3966" s="9"/>
      <c r="F3966" s="67"/>
      <c r="G3966" s="9"/>
      <c r="H3966" s="9"/>
      <c r="I3966" s="9"/>
      <c r="J3966" s="9"/>
      <c r="K3966" s="9"/>
      <c r="L3966" s="9"/>
      <c r="M3966" s="9"/>
      <c r="N3966" s="9"/>
      <c r="O3966" s="9"/>
      <c r="P3966" s="9"/>
      <c r="Q3966" s="9"/>
      <c r="R3966" s="9"/>
      <c r="S3966" s="9"/>
      <c r="T3966" s="9"/>
      <c r="U3966" s="9"/>
      <c r="V3966" s="9"/>
      <c r="W3966" s="9"/>
      <c r="X3966" s="9"/>
      <c r="Y3966" s="9"/>
      <c r="Z3966" s="9"/>
      <c r="AA3966" s="9"/>
      <c r="AB3966" s="9"/>
      <c r="AC3966" s="9"/>
      <c r="AD3966" s="9"/>
      <c r="AE3966" s="9"/>
      <c r="AF3966" s="9"/>
      <c r="AG3966" s="9"/>
      <c r="AH3966" s="9"/>
      <c r="AI3966" s="9"/>
      <c r="AJ3966" s="9"/>
      <c r="AK3966" s="9"/>
      <c r="AL3966" s="9"/>
      <c r="AM3966" s="9"/>
      <c r="AN3966" s="9"/>
      <c r="AO3966" s="9"/>
      <c r="AP3966" s="9"/>
      <c r="AQ3966" s="9"/>
      <c r="AR3966" s="9"/>
      <c r="AS3966" s="9"/>
      <c r="AT3966" s="9"/>
      <c r="AU3966" s="9"/>
    </row>
    <row r="3967" spans="1:47" ht="15.75" customHeight="1">
      <c r="A3967" s="9"/>
      <c r="B3967" s="9"/>
      <c r="C3967" s="9"/>
      <c r="D3967" s="9"/>
      <c r="E3967" s="9"/>
      <c r="F3967" s="67"/>
      <c r="G3967" s="9"/>
      <c r="H3967" s="9"/>
      <c r="I3967" s="9"/>
      <c r="J3967" s="9"/>
      <c r="K3967" s="9"/>
      <c r="L3967" s="9"/>
      <c r="M3967" s="9"/>
      <c r="N3967" s="9"/>
      <c r="O3967" s="9"/>
      <c r="P3967" s="9"/>
      <c r="Q3967" s="9"/>
      <c r="R3967" s="9"/>
      <c r="S3967" s="9"/>
      <c r="T3967" s="9"/>
      <c r="U3967" s="9"/>
      <c r="V3967" s="9"/>
      <c r="W3967" s="9"/>
      <c r="X3967" s="9"/>
      <c r="Y3967" s="9"/>
      <c r="Z3967" s="9"/>
      <c r="AA3967" s="9"/>
      <c r="AB3967" s="9"/>
      <c r="AC3967" s="9"/>
      <c r="AD3967" s="9"/>
      <c r="AE3967" s="9"/>
      <c r="AF3967" s="9"/>
      <c r="AG3967" s="9"/>
      <c r="AH3967" s="9"/>
      <c r="AI3967" s="9"/>
      <c r="AJ3967" s="9"/>
      <c r="AK3967" s="9"/>
      <c r="AL3967" s="9"/>
      <c r="AM3967" s="9"/>
      <c r="AN3967" s="9"/>
      <c r="AO3967" s="9"/>
      <c r="AP3967" s="9"/>
      <c r="AQ3967" s="9"/>
      <c r="AR3967" s="9"/>
      <c r="AS3967" s="9"/>
      <c r="AT3967" s="9"/>
      <c r="AU3967" s="9"/>
    </row>
    <row r="3968" spans="1:47" ht="15.75" customHeight="1">
      <c r="A3968" s="9"/>
      <c r="B3968" s="9"/>
      <c r="C3968" s="9"/>
      <c r="D3968" s="9"/>
      <c r="E3968" s="9"/>
      <c r="F3968" s="67"/>
      <c r="G3968" s="9"/>
      <c r="H3968" s="9"/>
      <c r="I3968" s="9"/>
      <c r="J3968" s="9"/>
      <c r="K3968" s="9"/>
      <c r="L3968" s="9"/>
      <c r="M3968" s="9"/>
      <c r="N3968" s="9"/>
      <c r="O3968" s="9"/>
      <c r="P3968" s="9"/>
      <c r="Q3968" s="9"/>
      <c r="R3968" s="9"/>
      <c r="S3968" s="9"/>
      <c r="T3968" s="9"/>
      <c r="U3968" s="9"/>
      <c r="V3968" s="9"/>
      <c r="W3968" s="9"/>
      <c r="X3968" s="9"/>
      <c r="Y3968" s="9"/>
      <c r="Z3968" s="9"/>
      <c r="AA3968" s="9"/>
      <c r="AB3968" s="9"/>
      <c r="AC3968" s="9"/>
      <c r="AD3968" s="9"/>
      <c r="AE3968" s="9"/>
      <c r="AF3968" s="9"/>
      <c r="AG3968" s="9"/>
      <c r="AH3968" s="9"/>
      <c r="AI3968" s="9"/>
      <c r="AJ3968" s="9"/>
      <c r="AK3968" s="9"/>
      <c r="AL3968" s="9"/>
      <c r="AM3968" s="9"/>
      <c r="AN3968" s="9"/>
      <c r="AO3968" s="9"/>
      <c r="AP3968" s="9"/>
      <c r="AQ3968" s="9"/>
      <c r="AR3968" s="9"/>
      <c r="AS3968" s="9"/>
      <c r="AT3968" s="9"/>
      <c r="AU3968" s="9"/>
    </row>
    <row r="3969" spans="1:47" ht="15.75" customHeight="1">
      <c r="A3969" s="9"/>
      <c r="B3969" s="9"/>
      <c r="C3969" s="9"/>
      <c r="D3969" s="9"/>
      <c r="E3969" s="9"/>
      <c r="F3969" s="67"/>
      <c r="G3969" s="9"/>
      <c r="H3969" s="9"/>
      <c r="I3969" s="9"/>
      <c r="J3969" s="9"/>
      <c r="K3969" s="9"/>
      <c r="L3969" s="9"/>
      <c r="M3969" s="9"/>
      <c r="N3969" s="9"/>
      <c r="O3969" s="9"/>
      <c r="P3969" s="9"/>
      <c r="Q3969" s="9"/>
      <c r="R3969" s="9"/>
      <c r="S3969" s="9"/>
      <c r="T3969" s="9"/>
      <c r="U3969" s="9"/>
      <c r="V3969" s="9"/>
      <c r="W3969" s="9"/>
      <c r="X3969" s="9"/>
      <c r="Y3969" s="9"/>
      <c r="Z3969" s="9"/>
      <c r="AA3969" s="9"/>
      <c r="AB3969" s="9"/>
      <c r="AC3969" s="9"/>
      <c r="AD3969" s="9"/>
      <c r="AE3969" s="9"/>
      <c r="AF3969" s="9"/>
      <c r="AG3969" s="9"/>
      <c r="AH3969" s="9"/>
      <c r="AI3969" s="9"/>
      <c r="AJ3969" s="9"/>
      <c r="AK3969" s="9"/>
      <c r="AL3969" s="9"/>
      <c r="AM3969" s="9"/>
      <c r="AN3969" s="9"/>
      <c r="AO3969" s="9"/>
      <c r="AP3969" s="9"/>
      <c r="AQ3969" s="9"/>
      <c r="AR3969" s="9"/>
      <c r="AS3969" s="9"/>
      <c r="AT3969" s="9"/>
      <c r="AU3969" s="9"/>
    </row>
    <row r="3970" spans="1:47" ht="15.75" customHeight="1">
      <c r="A3970" s="9"/>
      <c r="B3970" s="9"/>
      <c r="C3970" s="9"/>
      <c r="D3970" s="9"/>
      <c r="E3970" s="9"/>
      <c r="F3970" s="67"/>
      <c r="G3970" s="9"/>
      <c r="H3970" s="9"/>
      <c r="I3970" s="9"/>
      <c r="J3970" s="9"/>
      <c r="K3970" s="9"/>
      <c r="L3970" s="9"/>
      <c r="M3970" s="9"/>
      <c r="N3970" s="9"/>
      <c r="O3970" s="9"/>
      <c r="P3970" s="9"/>
      <c r="Q3970" s="9"/>
      <c r="R3970" s="9"/>
      <c r="S3970" s="9"/>
      <c r="T3970" s="9"/>
      <c r="U3970" s="9"/>
      <c r="V3970" s="9"/>
      <c r="W3970" s="9"/>
      <c r="X3970" s="9"/>
      <c r="Y3970" s="9"/>
      <c r="Z3970" s="9"/>
      <c r="AA3970" s="9"/>
      <c r="AB3970" s="9"/>
      <c r="AC3970" s="9"/>
      <c r="AD3970" s="9"/>
      <c r="AE3970" s="9"/>
      <c r="AF3970" s="9"/>
      <c r="AG3970" s="9"/>
      <c r="AH3970" s="9"/>
      <c r="AI3970" s="9"/>
      <c r="AJ3970" s="9"/>
      <c r="AK3970" s="9"/>
      <c r="AL3970" s="9"/>
      <c r="AM3970" s="9"/>
      <c r="AN3970" s="9"/>
      <c r="AO3970" s="9"/>
      <c r="AP3970" s="9"/>
      <c r="AQ3970" s="9"/>
      <c r="AR3970" s="9"/>
      <c r="AS3970" s="9"/>
      <c r="AT3970" s="9"/>
      <c r="AU3970" s="9"/>
    </row>
    <row r="3971" spans="1:47" ht="15.75" customHeight="1">
      <c r="A3971" s="9"/>
      <c r="B3971" s="9"/>
      <c r="C3971" s="9"/>
      <c r="D3971" s="9"/>
      <c r="E3971" s="9"/>
      <c r="F3971" s="67"/>
      <c r="G3971" s="9"/>
      <c r="H3971" s="9"/>
      <c r="I3971" s="9"/>
      <c r="J3971" s="9"/>
      <c r="K3971" s="9"/>
      <c r="L3971" s="9"/>
      <c r="M3971" s="9"/>
      <c r="N3971" s="9"/>
      <c r="O3971" s="9"/>
      <c r="P3971" s="9"/>
      <c r="Q3971" s="9"/>
      <c r="R3971" s="9"/>
      <c r="S3971" s="9"/>
      <c r="T3971" s="9"/>
      <c r="U3971" s="9"/>
      <c r="V3971" s="9"/>
      <c r="W3971" s="9"/>
      <c r="X3971" s="9"/>
      <c r="Y3971" s="9"/>
      <c r="Z3971" s="9"/>
      <c r="AA3971" s="9"/>
      <c r="AB3971" s="9"/>
      <c r="AC3971" s="9"/>
      <c r="AD3971" s="9"/>
      <c r="AE3971" s="9"/>
      <c r="AF3971" s="9"/>
      <c r="AG3971" s="9"/>
      <c r="AH3971" s="9"/>
      <c r="AI3971" s="9"/>
      <c r="AJ3971" s="9"/>
      <c r="AK3971" s="9"/>
      <c r="AL3971" s="9"/>
      <c r="AM3971" s="9"/>
      <c r="AN3971" s="9"/>
      <c r="AO3971" s="9"/>
      <c r="AP3971" s="9"/>
      <c r="AQ3971" s="9"/>
      <c r="AR3971" s="9"/>
      <c r="AS3971" s="9"/>
      <c r="AT3971" s="9"/>
      <c r="AU3971" s="9"/>
    </row>
    <row r="3972" spans="1:47" ht="15.75" customHeight="1">
      <c r="A3972" s="9"/>
      <c r="B3972" s="9"/>
      <c r="C3972" s="9"/>
      <c r="D3972" s="9"/>
      <c r="E3972" s="9"/>
      <c r="F3972" s="67"/>
      <c r="G3972" s="9"/>
      <c r="H3972" s="9"/>
      <c r="I3972" s="9"/>
      <c r="J3972" s="9"/>
      <c r="K3972" s="9"/>
      <c r="L3972" s="9"/>
      <c r="M3972" s="9"/>
      <c r="N3972" s="9"/>
      <c r="O3972" s="9"/>
      <c r="P3972" s="9"/>
      <c r="Q3972" s="9"/>
      <c r="R3972" s="9"/>
      <c r="S3972" s="9"/>
      <c r="T3972" s="9"/>
      <c r="U3972" s="9"/>
      <c r="V3972" s="9"/>
      <c r="W3972" s="9"/>
      <c r="X3972" s="9"/>
      <c r="Y3972" s="9"/>
      <c r="Z3972" s="9"/>
      <c r="AA3972" s="9"/>
      <c r="AB3972" s="9"/>
      <c r="AC3972" s="9"/>
      <c r="AD3972" s="9"/>
      <c r="AE3972" s="9"/>
      <c r="AF3972" s="9"/>
      <c r="AG3972" s="9"/>
      <c r="AH3972" s="9"/>
      <c r="AI3972" s="9"/>
      <c r="AJ3972" s="9"/>
      <c r="AK3972" s="9"/>
      <c r="AL3972" s="9"/>
      <c r="AM3972" s="9"/>
      <c r="AN3972" s="9"/>
      <c r="AO3972" s="9"/>
      <c r="AP3972" s="9"/>
      <c r="AQ3972" s="9"/>
      <c r="AR3972" s="9"/>
      <c r="AS3972" s="9"/>
      <c r="AT3972" s="9"/>
      <c r="AU3972" s="9"/>
    </row>
    <row r="3973" spans="1:47" ht="15.75" customHeight="1">
      <c r="A3973" s="9"/>
      <c r="B3973" s="9"/>
      <c r="C3973" s="9"/>
      <c r="D3973" s="9"/>
      <c r="E3973" s="9"/>
      <c r="F3973" s="67"/>
      <c r="G3973" s="9"/>
      <c r="H3973" s="9"/>
      <c r="I3973" s="9"/>
      <c r="J3973" s="9"/>
      <c r="K3973" s="9"/>
      <c r="L3973" s="9"/>
      <c r="M3973" s="9"/>
      <c r="N3973" s="9"/>
      <c r="O3973" s="9"/>
      <c r="P3973" s="9"/>
      <c r="Q3973" s="9"/>
      <c r="R3973" s="9"/>
      <c r="S3973" s="9"/>
      <c r="T3973" s="9"/>
      <c r="U3973" s="9"/>
      <c r="V3973" s="9"/>
      <c r="W3973" s="9"/>
      <c r="X3973" s="9"/>
      <c r="Y3973" s="9"/>
      <c r="Z3973" s="9"/>
      <c r="AA3973" s="9"/>
      <c r="AB3973" s="9"/>
      <c r="AC3973" s="9"/>
      <c r="AD3973" s="9"/>
      <c r="AE3973" s="9"/>
      <c r="AF3973" s="9"/>
      <c r="AG3973" s="9"/>
      <c r="AH3973" s="9"/>
      <c r="AI3973" s="9"/>
      <c r="AJ3973" s="9"/>
      <c r="AK3973" s="9"/>
      <c r="AL3973" s="9"/>
      <c r="AM3973" s="9"/>
      <c r="AN3973" s="9"/>
      <c r="AO3973" s="9"/>
      <c r="AP3973" s="9"/>
      <c r="AQ3973" s="9"/>
      <c r="AR3973" s="9"/>
      <c r="AS3973" s="9"/>
      <c r="AT3973" s="9"/>
      <c r="AU3973" s="9"/>
    </row>
    <row r="3974" spans="1:47" ht="15.75" customHeight="1">
      <c r="A3974" s="9"/>
      <c r="B3974" s="9"/>
      <c r="C3974" s="9"/>
      <c r="D3974" s="9"/>
      <c r="E3974" s="9"/>
      <c r="F3974" s="67"/>
      <c r="G3974" s="9"/>
      <c r="H3974" s="9"/>
      <c r="I3974" s="9"/>
      <c r="J3974" s="9"/>
      <c r="K3974" s="9"/>
      <c r="L3974" s="9"/>
      <c r="M3974" s="9"/>
      <c r="N3974" s="9"/>
      <c r="O3974" s="9"/>
      <c r="P3974" s="9"/>
      <c r="Q3974" s="9"/>
      <c r="R3974" s="9"/>
      <c r="S3974" s="9"/>
      <c r="T3974" s="9"/>
      <c r="U3974" s="9"/>
      <c r="V3974" s="9"/>
      <c r="W3974" s="9"/>
      <c r="X3974" s="9"/>
      <c r="Y3974" s="9"/>
      <c r="Z3974" s="9"/>
      <c r="AA3974" s="9"/>
      <c r="AB3974" s="9"/>
      <c r="AC3974" s="9"/>
      <c r="AD3974" s="9"/>
      <c r="AE3974" s="9"/>
      <c r="AF3974" s="9"/>
      <c r="AG3974" s="9"/>
      <c r="AH3974" s="9"/>
      <c r="AI3974" s="9"/>
      <c r="AJ3974" s="9"/>
      <c r="AK3974" s="9"/>
      <c r="AL3974" s="9"/>
      <c r="AM3974" s="9"/>
      <c r="AN3974" s="9"/>
      <c r="AO3974" s="9"/>
      <c r="AP3974" s="9"/>
      <c r="AQ3974" s="9"/>
      <c r="AR3974" s="9"/>
      <c r="AS3974" s="9"/>
      <c r="AT3974" s="9"/>
      <c r="AU3974" s="9"/>
    </row>
    <row r="3975" spans="1:47" ht="15.75" customHeight="1">
      <c r="A3975" s="9"/>
      <c r="B3975" s="9"/>
      <c r="C3975" s="9"/>
      <c r="D3975" s="9"/>
      <c r="E3975" s="9"/>
      <c r="F3975" s="67"/>
      <c r="G3975" s="9"/>
      <c r="H3975" s="9"/>
      <c r="I3975" s="9"/>
      <c r="J3975" s="9"/>
      <c r="K3975" s="9"/>
      <c r="L3975" s="9"/>
      <c r="M3975" s="9"/>
      <c r="N3975" s="9"/>
      <c r="O3975" s="9"/>
      <c r="P3975" s="9"/>
      <c r="Q3975" s="9"/>
      <c r="R3975" s="9"/>
      <c r="S3975" s="9"/>
      <c r="T3975" s="9"/>
      <c r="U3975" s="9"/>
      <c r="V3975" s="9"/>
      <c r="W3975" s="9"/>
      <c r="X3975" s="9"/>
      <c r="Y3975" s="9"/>
      <c r="Z3975" s="9"/>
      <c r="AA3975" s="9"/>
      <c r="AB3975" s="9"/>
      <c r="AC3975" s="9"/>
      <c r="AD3975" s="9"/>
      <c r="AE3975" s="9"/>
      <c r="AF3975" s="9"/>
      <c r="AG3975" s="9"/>
      <c r="AH3975" s="9"/>
      <c r="AI3975" s="9"/>
      <c r="AJ3975" s="9"/>
      <c r="AK3975" s="9"/>
      <c r="AL3975" s="9"/>
      <c r="AM3975" s="9"/>
      <c r="AN3975" s="9"/>
      <c r="AO3975" s="9"/>
      <c r="AP3975" s="9"/>
      <c r="AQ3975" s="9"/>
      <c r="AR3975" s="9"/>
      <c r="AS3975" s="9"/>
      <c r="AT3975" s="9"/>
      <c r="AU3975" s="9"/>
    </row>
    <row r="3976" spans="1:47" ht="15.75" customHeight="1">
      <c r="A3976" s="9"/>
      <c r="B3976" s="9"/>
      <c r="C3976" s="9"/>
      <c r="D3976" s="9"/>
      <c r="E3976" s="9"/>
      <c r="F3976" s="67"/>
      <c r="G3976" s="9"/>
      <c r="H3976" s="9"/>
      <c r="I3976" s="9"/>
      <c r="J3976" s="9"/>
      <c r="K3976" s="9"/>
      <c r="L3976" s="9"/>
      <c r="M3976" s="9"/>
      <c r="N3976" s="9"/>
      <c r="O3976" s="9"/>
      <c r="P3976" s="9"/>
      <c r="Q3976" s="9"/>
      <c r="R3976" s="9"/>
      <c r="S3976" s="9"/>
      <c r="T3976" s="9"/>
      <c r="U3976" s="9"/>
      <c r="V3976" s="9"/>
      <c r="W3976" s="9"/>
      <c r="X3976" s="9"/>
      <c r="Y3976" s="9"/>
      <c r="Z3976" s="9"/>
      <c r="AA3976" s="9"/>
      <c r="AB3976" s="9"/>
      <c r="AC3976" s="9"/>
      <c r="AD3976" s="9"/>
      <c r="AE3976" s="9"/>
      <c r="AF3976" s="9"/>
      <c r="AG3976" s="9"/>
      <c r="AH3976" s="9"/>
      <c r="AI3976" s="9"/>
      <c r="AJ3976" s="9"/>
      <c r="AK3976" s="9"/>
      <c r="AL3976" s="9"/>
      <c r="AM3976" s="9"/>
      <c r="AN3976" s="9"/>
      <c r="AO3976" s="9"/>
      <c r="AP3976" s="9"/>
      <c r="AQ3976" s="9"/>
      <c r="AR3976" s="9"/>
      <c r="AS3976" s="9"/>
      <c r="AT3976" s="9"/>
      <c r="AU3976" s="9"/>
    </row>
    <row r="3977" spans="1:47" ht="15.75" customHeight="1">
      <c r="A3977" s="9"/>
      <c r="B3977" s="9"/>
      <c r="C3977" s="9"/>
      <c r="D3977" s="9"/>
      <c r="E3977" s="9"/>
      <c r="F3977" s="67"/>
      <c r="G3977" s="9"/>
      <c r="H3977" s="9"/>
      <c r="I3977" s="9"/>
      <c r="J3977" s="9"/>
      <c r="K3977" s="9"/>
      <c r="L3977" s="9"/>
      <c r="M3977" s="9"/>
      <c r="N3977" s="9"/>
      <c r="O3977" s="9"/>
      <c r="P3977" s="9"/>
      <c r="Q3977" s="9"/>
      <c r="R3977" s="9"/>
      <c r="S3977" s="9"/>
      <c r="T3977" s="9"/>
      <c r="U3977" s="9"/>
      <c r="V3977" s="9"/>
      <c r="W3977" s="9"/>
      <c r="X3977" s="9"/>
      <c r="Y3977" s="9"/>
      <c r="Z3977" s="9"/>
      <c r="AA3977" s="9"/>
      <c r="AB3977" s="9"/>
      <c r="AC3977" s="9"/>
      <c r="AD3977" s="9"/>
      <c r="AE3977" s="9"/>
      <c r="AF3977" s="9"/>
      <c r="AG3977" s="9"/>
      <c r="AH3977" s="9"/>
      <c r="AI3977" s="9"/>
      <c r="AJ3977" s="9"/>
      <c r="AK3977" s="9"/>
      <c r="AL3977" s="9"/>
      <c r="AM3977" s="9"/>
      <c r="AN3977" s="9"/>
      <c r="AO3977" s="9"/>
      <c r="AP3977" s="9"/>
      <c r="AQ3977" s="9"/>
      <c r="AR3977" s="9"/>
      <c r="AS3977" s="9"/>
      <c r="AT3977" s="9"/>
      <c r="AU3977" s="9"/>
    </row>
    <row r="3978" spans="1:47" ht="15.75" customHeight="1">
      <c r="A3978" s="9"/>
      <c r="B3978" s="9"/>
      <c r="C3978" s="9"/>
      <c r="D3978" s="9"/>
      <c r="E3978" s="9"/>
      <c r="F3978" s="67"/>
      <c r="G3978" s="9"/>
      <c r="H3978" s="9"/>
      <c r="I3978" s="9"/>
      <c r="J3978" s="9"/>
      <c r="K3978" s="9"/>
      <c r="L3978" s="9"/>
      <c r="M3978" s="9"/>
      <c r="N3978" s="9"/>
      <c r="O3978" s="9"/>
      <c r="P3978" s="9"/>
      <c r="Q3978" s="9"/>
      <c r="R3978" s="9"/>
      <c r="S3978" s="9"/>
      <c r="T3978" s="9"/>
      <c r="U3978" s="9"/>
      <c r="V3978" s="9"/>
      <c r="W3978" s="9"/>
      <c r="X3978" s="9"/>
      <c r="Y3978" s="9"/>
      <c r="Z3978" s="9"/>
      <c r="AA3978" s="9"/>
      <c r="AB3978" s="9"/>
      <c r="AC3978" s="9"/>
      <c r="AD3978" s="9"/>
      <c r="AE3978" s="9"/>
      <c r="AF3978" s="9"/>
      <c r="AG3978" s="9"/>
      <c r="AH3978" s="9"/>
      <c r="AI3978" s="9"/>
      <c r="AJ3978" s="9"/>
      <c r="AK3978" s="9"/>
      <c r="AL3978" s="9"/>
      <c r="AM3978" s="9"/>
      <c r="AN3978" s="9"/>
      <c r="AO3978" s="9"/>
      <c r="AP3978" s="9"/>
      <c r="AQ3978" s="9"/>
      <c r="AR3978" s="9"/>
      <c r="AS3978" s="9"/>
      <c r="AT3978" s="9"/>
      <c r="AU3978" s="9"/>
    </row>
    <row r="3979" spans="1:47" ht="15.75" customHeight="1">
      <c r="A3979" s="9"/>
      <c r="B3979" s="9"/>
      <c r="C3979" s="9"/>
      <c r="D3979" s="9"/>
      <c r="E3979" s="9"/>
      <c r="F3979" s="67"/>
      <c r="G3979" s="9"/>
      <c r="H3979" s="9"/>
      <c r="I3979" s="9"/>
      <c r="J3979" s="9"/>
      <c r="K3979" s="9"/>
      <c r="L3979" s="9"/>
      <c r="M3979" s="9"/>
      <c r="N3979" s="9"/>
      <c r="O3979" s="9"/>
      <c r="P3979" s="9"/>
      <c r="Q3979" s="9"/>
      <c r="R3979" s="9"/>
      <c r="S3979" s="9"/>
      <c r="T3979" s="9"/>
      <c r="U3979" s="9"/>
      <c r="V3979" s="9"/>
      <c r="W3979" s="9"/>
      <c r="X3979" s="9"/>
      <c r="Y3979" s="9"/>
      <c r="Z3979" s="9"/>
      <c r="AA3979" s="9"/>
      <c r="AB3979" s="9"/>
      <c r="AC3979" s="9"/>
      <c r="AD3979" s="9"/>
      <c r="AE3979" s="9"/>
      <c r="AF3979" s="9"/>
      <c r="AG3979" s="9"/>
      <c r="AH3979" s="9"/>
      <c r="AI3979" s="9"/>
      <c r="AJ3979" s="9"/>
      <c r="AK3979" s="9"/>
      <c r="AL3979" s="9"/>
      <c r="AM3979" s="9"/>
      <c r="AN3979" s="9"/>
      <c r="AO3979" s="9"/>
      <c r="AP3979" s="9"/>
      <c r="AQ3979" s="9"/>
      <c r="AR3979" s="9"/>
      <c r="AS3979" s="9"/>
      <c r="AT3979" s="9"/>
      <c r="AU3979" s="9"/>
    </row>
    <row r="3980" spans="1:47" ht="15.75" customHeight="1">
      <c r="A3980" s="9"/>
      <c r="B3980" s="9"/>
      <c r="C3980" s="9"/>
      <c r="D3980" s="9"/>
      <c r="E3980" s="9"/>
      <c r="F3980" s="67"/>
      <c r="G3980" s="9"/>
      <c r="H3980" s="9"/>
      <c r="I3980" s="9"/>
      <c r="J3980" s="9"/>
      <c r="K3980" s="9"/>
      <c r="L3980" s="9"/>
      <c r="M3980" s="9"/>
      <c r="N3980" s="9"/>
      <c r="O3980" s="9"/>
      <c r="P3980" s="9"/>
      <c r="Q3980" s="9"/>
      <c r="R3980" s="9"/>
      <c r="S3980" s="9"/>
      <c r="T3980" s="9"/>
      <c r="U3980" s="9"/>
      <c r="V3980" s="9"/>
      <c r="W3980" s="9"/>
      <c r="X3980" s="9"/>
      <c r="Y3980" s="9"/>
      <c r="Z3980" s="9"/>
      <c r="AA3980" s="9"/>
      <c r="AB3980" s="9"/>
      <c r="AC3980" s="9"/>
      <c r="AD3980" s="9"/>
      <c r="AE3980" s="9"/>
      <c r="AF3980" s="9"/>
      <c r="AG3980" s="9"/>
      <c r="AH3980" s="9"/>
      <c r="AI3980" s="9"/>
      <c r="AJ3980" s="9"/>
      <c r="AK3980" s="9"/>
      <c r="AL3980" s="9"/>
      <c r="AM3980" s="9"/>
      <c r="AN3980" s="9"/>
      <c r="AO3980" s="9"/>
      <c r="AP3980" s="9"/>
      <c r="AQ3980" s="9"/>
      <c r="AR3980" s="9"/>
      <c r="AS3980" s="9"/>
      <c r="AT3980" s="9"/>
      <c r="AU3980" s="9"/>
    </row>
    <row r="3981" spans="1:47" ht="15.75" customHeight="1">
      <c r="A3981" s="9"/>
      <c r="B3981" s="9"/>
      <c r="C3981" s="9"/>
      <c r="D3981" s="9"/>
      <c r="E3981" s="9"/>
      <c r="F3981" s="67"/>
      <c r="G3981" s="9"/>
      <c r="H3981" s="9"/>
      <c r="I3981" s="9"/>
      <c r="J3981" s="9"/>
      <c r="K3981" s="9"/>
      <c r="L3981" s="9"/>
      <c r="M3981" s="9"/>
      <c r="N3981" s="9"/>
      <c r="O3981" s="9"/>
      <c r="P3981" s="9"/>
      <c r="Q3981" s="9"/>
      <c r="R3981" s="9"/>
      <c r="S3981" s="9"/>
      <c r="T3981" s="9"/>
      <c r="U3981" s="9"/>
      <c r="V3981" s="9"/>
      <c r="W3981" s="9"/>
      <c r="X3981" s="9"/>
      <c r="Y3981" s="9"/>
      <c r="Z3981" s="9"/>
      <c r="AA3981" s="9"/>
      <c r="AB3981" s="9"/>
      <c r="AC3981" s="9"/>
      <c r="AD3981" s="9"/>
      <c r="AE3981" s="9"/>
      <c r="AF3981" s="9"/>
      <c r="AG3981" s="9"/>
      <c r="AH3981" s="9"/>
      <c r="AI3981" s="9"/>
      <c r="AJ3981" s="9"/>
      <c r="AK3981" s="9"/>
      <c r="AL3981" s="9"/>
      <c r="AM3981" s="9"/>
      <c r="AN3981" s="9"/>
      <c r="AO3981" s="9"/>
      <c r="AP3981" s="9"/>
      <c r="AQ3981" s="9"/>
      <c r="AR3981" s="9"/>
      <c r="AS3981" s="9"/>
      <c r="AT3981" s="9"/>
      <c r="AU3981" s="9"/>
    </row>
    <row r="3982" spans="1:47" ht="15.75" customHeight="1">
      <c r="A3982" s="9"/>
      <c r="B3982" s="9"/>
      <c r="C3982" s="9"/>
      <c r="D3982" s="9"/>
      <c r="E3982" s="9"/>
      <c r="F3982" s="67"/>
      <c r="G3982" s="9"/>
      <c r="H3982" s="9"/>
      <c r="I3982" s="9"/>
      <c r="J3982" s="9"/>
      <c r="K3982" s="9"/>
      <c r="L3982" s="9"/>
      <c r="M3982" s="9"/>
      <c r="N3982" s="9"/>
      <c r="O3982" s="9"/>
      <c r="P3982" s="9"/>
      <c r="Q3982" s="9"/>
      <c r="R3982" s="9"/>
      <c r="S3982" s="9"/>
      <c r="T3982" s="9"/>
      <c r="U3982" s="9"/>
      <c r="V3982" s="9"/>
      <c r="W3982" s="9"/>
      <c r="X3982" s="9"/>
      <c r="Y3982" s="9"/>
      <c r="Z3982" s="9"/>
      <c r="AA3982" s="9"/>
      <c r="AB3982" s="9"/>
      <c r="AC3982" s="9"/>
      <c r="AD3982" s="9"/>
      <c r="AE3982" s="9"/>
      <c r="AF3982" s="9"/>
      <c r="AG3982" s="9"/>
      <c r="AH3982" s="9"/>
      <c r="AI3982" s="9"/>
      <c r="AJ3982" s="9"/>
      <c r="AK3982" s="9"/>
      <c r="AL3982" s="9"/>
      <c r="AM3982" s="9"/>
      <c r="AN3982" s="9"/>
      <c r="AO3982" s="9"/>
      <c r="AP3982" s="9"/>
      <c r="AQ3982" s="9"/>
      <c r="AR3982" s="9"/>
      <c r="AS3982" s="9"/>
      <c r="AT3982" s="9"/>
      <c r="AU3982" s="9"/>
    </row>
    <row r="3983" spans="1:47" ht="15.75" customHeight="1">
      <c r="A3983" s="9"/>
      <c r="B3983" s="9"/>
      <c r="C3983" s="9"/>
      <c r="D3983" s="9"/>
      <c r="E3983" s="9"/>
      <c r="F3983" s="67"/>
      <c r="G3983" s="9"/>
      <c r="H3983" s="9"/>
      <c r="I3983" s="9"/>
      <c r="J3983" s="9"/>
      <c r="K3983" s="9"/>
      <c r="L3983" s="9"/>
      <c r="M3983" s="9"/>
      <c r="N3983" s="9"/>
      <c r="O3983" s="9"/>
      <c r="P3983" s="9"/>
      <c r="Q3983" s="9"/>
      <c r="R3983" s="9"/>
      <c r="S3983" s="9"/>
      <c r="T3983" s="9"/>
      <c r="U3983" s="9"/>
      <c r="V3983" s="9"/>
      <c r="W3983" s="9"/>
      <c r="X3983" s="9"/>
      <c r="Y3983" s="9"/>
      <c r="Z3983" s="9"/>
      <c r="AA3983" s="9"/>
      <c r="AB3983" s="9"/>
      <c r="AC3983" s="9"/>
      <c r="AD3983" s="9"/>
      <c r="AE3983" s="9"/>
      <c r="AF3983" s="9"/>
      <c r="AG3983" s="9"/>
      <c r="AH3983" s="9"/>
      <c r="AI3983" s="9"/>
      <c r="AJ3983" s="9"/>
      <c r="AK3983" s="9"/>
      <c r="AL3983" s="9"/>
      <c r="AM3983" s="9"/>
      <c r="AN3983" s="9"/>
      <c r="AO3983" s="9"/>
      <c r="AP3983" s="9"/>
      <c r="AQ3983" s="9"/>
      <c r="AR3983" s="9"/>
      <c r="AS3983" s="9"/>
      <c r="AT3983" s="9"/>
      <c r="AU3983" s="9"/>
    </row>
    <row r="3984" spans="1:47" ht="15.75" customHeight="1">
      <c r="A3984" s="9"/>
      <c r="B3984" s="9"/>
      <c r="C3984" s="9"/>
      <c r="D3984" s="9"/>
      <c r="E3984" s="9"/>
      <c r="F3984" s="67"/>
      <c r="G3984" s="9"/>
      <c r="H3984" s="9"/>
      <c r="I3984" s="9"/>
      <c r="J3984" s="9"/>
      <c r="K3984" s="9"/>
      <c r="L3984" s="9"/>
      <c r="M3984" s="9"/>
      <c r="N3984" s="9"/>
      <c r="O3984" s="9"/>
      <c r="P3984" s="9"/>
      <c r="Q3984" s="9"/>
      <c r="R3984" s="9"/>
      <c r="S3984" s="9"/>
      <c r="T3984" s="9"/>
      <c r="U3984" s="9"/>
      <c r="V3984" s="9"/>
      <c r="W3984" s="9"/>
      <c r="X3984" s="9"/>
      <c r="Y3984" s="9"/>
      <c r="Z3984" s="9"/>
      <c r="AA3984" s="9"/>
      <c r="AB3984" s="9"/>
      <c r="AC3984" s="9"/>
      <c r="AD3984" s="9"/>
      <c r="AE3984" s="9"/>
      <c r="AF3984" s="9"/>
      <c r="AG3984" s="9"/>
      <c r="AH3984" s="9"/>
      <c r="AI3984" s="9"/>
      <c r="AJ3984" s="9"/>
      <c r="AK3984" s="9"/>
      <c r="AL3984" s="9"/>
      <c r="AM3984" s="9"/>
      <c r="AN3984" s="9"/>
      <c r="AO3984" s="9"/>
      <c r="AP3984" s="9"/>
      <c r="AQ3984" s="9"/>
      <c r="AR3984" s="9"/>
      <c r="AS3984" s="9"/>
      <c r="AT3984" s="9"/>
      <c r="AU3984" s="9"/>
    </row>
    <row r="3985" spans="1:47" ht="15.75" customHeight="1">
      <c r="A3985" s="9"/>
      <c r="B3985" s="9"/>
      <c r="C3985" s="9"/>
      <c r="D3985" s="9"/>
      <c r="E3985" s="9"/>
      <c r="F3985" s="67"/>
      <c r="G3985" s="9"/>
      <c r="H3985" s="9"/>
      <c r="I3985" s="9"/>
      <c r="J3985" s="9"/>
      <c r="K3985" s="9"/>
      <c r="L3985" s="9"/>
      <c r="M3985" s="9"/>
      <c r="N3985" s="9"/>
      <c r="O3985" s="9"/>
      <c r="P3985" s="9"/>
      <c r="Q3985" s="9"/>
      <c r="R3985" s="9"/>
      <c r="S3985" s="9"/>
      <c r="T3985" s="9"/>
      <c r="U3985" s="9"/>
      <c r="V3985" s="9"/>
      <c r="W3985" s="9"/>
      <c r="X3985" s="9"/>
      <c r="Y3985" s="9"/>
      <c r="Z3985" s="9"/>
      <c r="AA3985" s="9"/>
      <c r="AB3985" s="9"/>
      <c r="AC3985" s="9"/>
      <c r="AD3985" s="9"/>
      <c r="AE3985" s="9"/>
      <c r="AF3985" s="9"/>
      <c r="AG3985" s="9"/>
      <c r="AH3985" s="9"/>
      <c r="AI3985" s="9"/>
      <c r="AJ3985" s="9"/>
      <c r="AK3985" s="9"/>
      <c r="AL3985" s="9"/>
      <c r="AM3985" s="9"/>
      <c r="AN3985" s="9"/>
      <c r="AO3985" s="9"/>
      <c r="AP3985" s="9"/>
      <c r="AQ3985" s="9"/>
      <c r="AR3985" s="9"/>
      <c r="AS3985" s="9"/>
      <c r="AT3985" s="9"/>
      <c r="AU3985" s="9"/>
    </row>
    <row r="3986" spans="1:47" ht="15.75" customHeight="1">
      <c r="A3986" s="9"/>
      <c r="B3986" s="9"/>
      <c r="C3986" s="9"/>
      <c r="D3986" s="9"/>
      <c r="E3986" s="9"/>
      <c r="F3986" s="67"/>
      <c r="G3986" s="9"/>
      <c r="H3986" s="9"/>
      <c r="I3986" s="9"/>
      <c r="J3986" s="9"/>
      <c r="K3986" s="9"/>
      <c r="L3986" s="9"/>
      <c r="M3986" s="9"/>
      <c r="N3986" s="9"/>
      <c r="O3986" s="9"/>
      <c r="P3986" s="9"/>
      <c r="Q3986" s="9"/>
      <c r="R3986" s="9"/>
      <c r="S3986" s="9"/>
      <c r="T3986" s="9"/>
      <c r="U3986" s="9"/>
      <c r="V3986" s="9"/>
      <c r="W3986" s="9"/>
      <c r="X3986" s="9"/>
      <c r="Y3986" s="9"/>
      <c r="Z3986" s="9"/>
      <c r="AA3986" s="9"/>
      <c r="AB3986" s="9"/>
      <c r="AC3986" s="9"/>
      <c r="AD3986" s="9"/>
      <c r="AE3986" s="9"/>
      <c r="AF3986" s="9"/>
      <c r="AG3986" s="9"/>
      <c r="AH3986" s="9"/>
      <c r="AI3986" s="9"/>
      <c r="AJ3986" s="9"/>
      <c r="AK3986" s="9"/>
      <c r="AL3986" s="9"/>
      <c r="AM3986" s="9"/>
      <c r="AN3986" s="9"/>
      <c r="AO3986" s="9"/>
      <c r="AP3986" s="9"/>
      <c r="AQ3986" s="9"/>
      <c r="AR3986" s="9"/>
      <c r="AS3986" s="9"/>
      <c r="AT3986" s="9"/>
      <c r="AU3986" s="9"/>
    </row>
    <row r="3987" spans="1:47" ht="15.75" customHeight="1">
      <c r="A3987" s="9"/>
      <c r="B3987" s="9"/>
      <c r="C3987" s="9"/>
      <c r="D3987" s="9"/>
      <c r="E3987" s="9"/>
      <c r="F3987" s="67"/>
      <c r="G3987" s="9"/>
      <c r="H3987" s="9"/>
      <c r="I3987" s="9"/>
      <c r="J3987" s="9"/>
      <c r="K3987" s="9"/>
      <c r="L3987" s="9"/>
      <c r="M3987" s="9"/>
      <c r="N3987" s="9"/>
      <c r="O3987" s="9"/>
      <c r="P3987" s="9"/>
      <c r="Q3987" s="9"/>
      <c r="R3987" s="9"/>
      <c r="S3987" s="9"/>
      <c r="T3987" s="9"/>
      <c r="U3987" s="9"/>
      <c r="V3987" s="9"/>
      <c r="W3987" s="9"/>
      <c r="X3987" s="9"/>
      <c r="Y3987" s="9"/>
      <c r="Z3987" s="9"/>
      <c r="AA3987" s="9"/>
      <c r="AB3987" s="9"/>
      <c r="AC3987" s="9"/>
      <c r="AD3987" s="9"/>
      <c r="AE3987" s="9"/>
      <c r="AF3987" s="9"/>
      <c r="AG3987" s="9"/>
      <c r="AH3987" s="9"/>
      <c r="AI3987" s="9"/>
      <c r="AJ3987" s="9"/>
      <c r="AK3987" s="9"/>
      <c r="AL3987" s="9"/>
      <c r="AM3987" s="9"/>
      <c r="AN3987" s="9"/>
      <c r="AO3987" s="9"/>
      <c r="AP3987" s="9"/>
      <c r="AQ3987" s="9"/>
      <c r="AR3987" s="9"/>
      <c r="AS3987" s="9"/>
      <c r="AT3987" s="9"/>
      <c r="AU3987" s="9"/>
    </row>
    <row r="3988" spans="1:47" ht="15.75" customHeight="1">
      <c r="A3988" s="9"/>
      <c r="B3988" s="9"/>
      <c r="C3988" s="9"/>
      <c r="D3988" s="9"/>
      <c r="E3988" s="9"/>
      <c r="F3988" s="67"/>
      <c r="G3988" s="9"/>
      <c r="H3988" s="9"/>
      <c r="I3988" s="9"/>
      <c r="J3988" s="9"/>
      <c r="K3988" s="9"/>
      <c r="L3988" s="9"/>
      <c r="M3988" s="9"/>
      <c r="N3988" s="9"/>
      <c r="O3988" s="9"/>
      <c r="P3988" s="9"/>
      <c r="Q3988" s="9"/>
      <c r="R3988" s="9"/>
      <c r="S3988" s="9"/>
      <c r="T3988" s="9"/>
      <c r="U3988" s="9"/>
      <c r="V3988" s="9"/>
      <c r="W3988" s="9"/>
      <c r="X3988" s="9"/>
      <c r="Y3988" s="9"/>
      <c r="Z3988" s="9"/>
      <c r="AA3988" s="9"/>
      <c r="AB3988" s="9"/>
      <c r="AC3988" s="9"/>
      <c r="AD3988" s="9"/>
      <c r="AE3988" s="9"/>
      <c r="AF3988" s="9"/>
      <c r="AG3988" s="9"/>
      <c r="AH3988" s="9"/>
      <c r="AI3988" s="9"/>
      <c r="AJ3988" s="9"/>
      <c r="AK3988" s="9"/>
      <c r="AL3988" s="9"/>
      <c r="AM3988" s="9"/>
      <c r="AN3988" s="9"/>
      <c r="AO3988" s="9"/>
      <c r="AP3988" s="9"/>
      <c r="AQ3988" s="9"/>
      <c r="AR3988" s="9"/>
      <c r="AS3988" s="9"/>
      <c r="AT3988" s="9"/>
      <c r="AU3988" s="9"/>
    </row>
    <row r="3989" spans="1:47" ht="15.75" customHeight="1">
      <c r="A3989" s="9"/>
      <c r="B3989" s="9"/>
      <c r="C3989" s="9"/>
      <c r="D3989" s="9"/>
      <c r="E3989" s="9"/>
      <c r="F3989" s="67"/>
      <c r="G3989" s="9"/>
      <c r="H3989" s="9"/>
      <c r="I3989" s="9"/>
      <c r="J3989" s="9"/>
      <c r="K3989" s="9"/>
      <c r="L3989" s="9"/>
      <c r="M3989" s="9"/>
      <c r="N3989" s="9"/>
      <c r="O3989" s="9"/>
      <c r="P3989" s="9"/>
      <c r="Q3989" s="9"/>
      <c r="R3989" s="9"/>
      <c r="S3989" s="9"/>
      <c r="T3989" s="9"/>
      <c r="U3989" s="9"/>
      <c r="V3989" s="9"/>
      <c r="W3989" s="9"/>
      <c r="X3989" s="9"/>
      <c r="Y3989" s="9"/>
      <c r="Z3989" s="9"/>
      <c r="AA3989" s="9"/>
      <c r="AB3989" s="9"/>
      <c r="AC3989" s="9"/>
      <c r="AD3989" s="9"/>
      <c r="AE3989" s="9"/>
      <c r="AF3989" s="9"/>
      <c r="AG3989" s="9"/>
      <c r="AH3989" s="9"/>
      <c r="AI3989" s="9"/>
      <c r="AJ3989" s="9"/>
      <c r="AK3989" s="9"/>
      <c r="AL3989" s="9"/>
      <c r="AM3989" s="9"/>
      <c r="AN3989" s="9"/>
      <c r="AO3989" s="9"/>
      <c r="AP3989" s="9"/>
      <c r="AQ3989" s="9"/>
      <c r="AR3989" s="9"/>
      <c r="AS3989" s="9"/>
      <c r="AT3989" s="9"/>
      <c r="AU3989" s="9"/>
    </row>
    <row r="3990" spans="1:47" ht="15.75" customHeight="1">
      <c r="A3990" s="9"/>
      <c r="B3990" s="9"/>
      <c r="C3990" s="9"/>
      <c r="D3990" s="9"/>
      <c r="E3990" s="9"/>
      <c r="F3990" s="67"/>
      <c r="G3990" s="9"/>
      <c r="H3990" s="9"/>
      <c r="I3990" s="9"/>
      <c r="J3990" s="9"/>
      <c r="K3990" s="9"/>
      <c r="L3990" s="9"/>
      <c r="M3990" s="9"/>
      <c r="N3990" s="9"/>
      <c r="O3990" s="9"/>
      <c r="P3990" s="9"/>
      <c r="Q3990" s="9"/>
      <c r="R3990" s="9"/>
      <c r="S3990" s="9"/>
      <c r="T3990" s="9"/>
      <c r="U3990" s="9"/>
      <c r="V3990" s="9"/>
      <c r="W3990" s="9"/>
      <c r="X3990" s="9"/>
      <c r="Y3990" s="9"/>
      <c r="Z3990" s="9"/>
      <c r="AA3990" s="9"/>
      <c r="AB3990" s="9"/>
      <c r="AC3990" s="9"/>
      <c r="AD3990" s="9"/>
      <c r="AE3990" s="9"/>
      <c r="AF3990" s="9"/>
      <c r="AG3990" s="9"/>
      <c r="AH3990" s="9"/>
      <c r="AI3990" s="9"/>
      <c r="AJ3990" s="9"/>
      <c r="AK3990" s="9"/>
      <c r="AL3990" s="9"/>
      <c r="AM3990" s="9"/>
      <c r="AN3990" s="9"/>
      <c r="AO3990" s="9"/>
      <c r="AP3990" s="9"/>
      <c r="AQ3990" s="9"/>
      <c r="AR3990" s="9"/>
      <c r="AS3990" s="9"/>
      <c r="AT3990" s="9"/>
      <c r="AU3990" s="9"/>
    </row>
    <row r="3991" spans="1:47" ht="15.75" customHeight="1">
      <c r="A3991" s="9"/>
      <c r="B3991" s="9"/>
      <c r="C3991" s="9"/>
      <c r="D3991" s="9"/>
      <c r="E3991" s="9"/>
      <c r="F3991" s="67"/>
      <c r="G3991" s="9"/>
      <c r="H3991" s="9"/>
      <c r="I3991" s="9"/>
      <c r="J3991" s="9"/>
      <c r="K3991" s="9"/>
      <c r="L3991" s="9"/>
      <c r="M3991" s="9"/>
      <c r="N3991" s="9"/>
      <c r="O3991" s="9"/>
      <c r="P3991" s="9"/>
      <c r="Q3991" s="9"/>
      <c r="R3991" s="9"/>
      <c r="S3991" s="9"/>
      <c r="T3991" s="9"/>
      <c r="U3991" s="9"/>
      <c r="V3991" s="9"/>
      <c r="W3991" s="9"/>
      <c r="X3991" s="9"/>
      <c r="Y3991" s="9"/>
      <c r="Z3991" s="9"/>
      <c r="AA3991" s="9"/>
      <c r="AB3991" s="9"/>
      <c r="AC3991" s="9"/>
      <c r="AD3991" s="9"/>
      <c r="AE3991" s="9"/>
      <c r="AF3991" s="9"/>
      <c r="AG3991" s="9"/>
      <c r="AH3991" s="9"/>
      <c r="AI3991" s="9"/>
      <c r="AJ3991" s="9"/>
      <c r="AK3991" s="9"/>
      <c r="AL3991" s="9"/>
      <c r="AM3991" s="9"/>
      <c r="AN3991" s="9"/>
      <c r="AO3991" s="9"/>
      <c r="AP3991" s="9"/>
      <c r="AQ3991" s="9"/>
      <c r="AR3991" s="9"/>
      <c r="AS3991" s="9"/>
      <c r="AT3991" s="9"/>
      <c r="AU3991" s="9"/>
    </row>
    <row r="3992" spans="1:47" ht="15.75" customHeight="1">
      <c r="A3992" s="9"/>
      <c r="B3992" s="9"/>
      <c r="C3992" s="9"/>
      <c r="D3992" s="9"/>
      <c r="E3992" s="9"/>
      <c r="F3992" s="67"/>
      <c r="G3992" s="9"/>
      <c r="H3992" s="9"/>
      <c r="I3992" s="9"/>
      <c r="J3992" s="9"/>
      <c r="K3992" s="9"/>
      <c r="L3992" s="9"/>
      <c r="M3992" s="9"/>
      <c r="N3992" s="9"/>
      <c r="O3992" s="9"/>
      <c r="P3992" s="9"/>
      <c r="Q3992" s="9"/>
      <c r="R3992" s="9"/>
      <c r="S3992" s="9"/>
      <c r="T3992" s="9"/>
      <c r="U3992" s="9"/>
      <c r="V3992" s="9"/>
      <c r="W3992" s="9"/>
      <c r="X3992" s="9"/>
      <c r="Y3992" s="9"/>
      <c r="Z3992" s="9"/>
      <c r="AA3992" s="9"/>
      <c r="AB3992" s="9"/>
      <c r="AC3992" s="9"/>
      <c r="AD3992" s="9"/>
      <c r="AE3992" s="9"/>
      <c r="AF3992" s="9"/>
      <c r="AG3992" s="9"/>
      <c r="AH3992" s="9"/>
      <c r="AI3992" s="9"/>
      <c r="AJ3992" s="9"/>
      <c r="AK3992" s="9"/>
      <c r="AL3992" s="9"/>
      <c r="AM3992" s="9"/>
      <c r="AN3992" s="9"/>
      <c r="AO3992" s="9"/>
      <c r="AP3992" s="9"/>
      <c r="AQ3992" s="9"/>
      <c r="AR3992" s="9"/>
      <c r="AS3992" s="9"/>
      <c r="AT3992" s="9"/>
      <c r="AU3992" s="9"/>
    </row>
    <row r="3993" spans="1:47" ht="15.75" customHeight="1">
      <c r="A3993" s="9"/>
      <c r="B3993" s="9"/>
      <c r="C3993" s="9"/>
      <c r="D3993" s="9"/>
      <c r="E3993" s="9"/>
      <c r="F3993" s="67"/>
      <c r="G3993" s="9"/>
      <c r="H3993" s="9"/>
      <c r="I3993" s="9"/>
      <c r="J3993" s="9"/>
      <c r="K3993" s="9"/>
      <c r="L3993" s="9"/>
      <c r="M3993" s="9"/>
      <c r="N3993" s="9"/>
      <c r="O3993" s="9"/>
      <c r="P3993" s="9"/>
      <c r="Q3993" s="9"/>
      <c r="R3993" s="9"/>
      <c r="S3993" s="9"/>
      <c r="T3993" s="9"/>
      <c r="U3993" s="9"/>
      <c r="V3993" s="9"/>
      <c r="W3993" s="9"/>
      <c r="X3993" s="9"/>
      <c r="Y3993" s="9"/>
      <c r="Z3993" s="9"/>
      <c r="AA3993" s="9"/>
      <c r="AB3993" s="9"/>
      <c r="AC3993" s="9"/>
      <c r="AD3993" s="9"/>
      <c r="AE3993" s="9"/>
      <c r="AF3993" s="9"/>
      <c r="AG3993" s="9"/>
      <c r="AH3993" s="9"/>
      <c r="AI3993" s="9"/>
      <c r="AJ3993" s="9"/>
      <c r="AK3993" s="9"/>
      <c r="AL3993" s="9"/>
      <c r="AM3993" s="9"/>
      <c r="AN3993" s="9"/>
      <c r="AO3993" s="9"/>
      <c r="AP3993" s="9"/>
      <c r="AQ3993" s="9"/>
      <c r="AR3993" s="9"/>
      <c r="AS3993" s="9"/>
      <c r="AT3993" s="9"/>
      <c r="AU3993" s="9"/>
    </row>
    <row r="3994" spans="1:47" ht="15.75" customHeight="1">
      <c r="A3994" s="9"/>
      <c r="B3994" s="9"/>
      <c r="C3994" s="9"/>
      <c r="D3994" s="9"/>
      <c r="E3994" s="9"/>
      <c r="F3994" s="67"/>
      <c r="G3994" s="9"/>
      <c r="H3994" s="9"/>
      <c r="I3994" s="9"/>
      <c r="J3994" s="9"/>
      <c r="K3994" s="9"/>
      <c r="L3994" s="9"/>
      <c r="M3994" s="9"/>
      <c r="N3994" s="9"/>
      <c r="O3994" s="9"/>
      <c r="P3994" s="9"/>
      <c r="Q3994" s="9"/>
      <c r="R3994" s="9"/>
      <c r="S3994" s="9"/>
      <c r="T3994" s="9"/>
      <c r="U3994" s="9"/>
      <c r="V3994" s="9"/>
      <c r="W3994" s="9"/>
      <c r="X3994" s="9"/>
      <c r="Y3994" s="9"/>
      <c r="Z3994" s="9"/>
      <c r="AA3994" s="9"/>
      <c r="AB3994" s="9"/>
      <c r="AC3994" s="9"/>
      <c r="AD3994" s="9"/>
      <c r="AE3994" s="9"/>
      <c r="AF3994" s="9"/>
      <c r="AG3994" s="9"/>
      <c r="AH3994" s="9"/>
      <c r="AI3994" s="9"/>
      <c r="AJ3994" s="9"/>
      <c r="AK3994" s="9"/>
      <c r="AL3994" s="9"/>
      <c r="AM3994" s="9"/>
      <c r="AN3994" s="9"/>
      <c r="AO3994" s="9"/>
      <c r="AP3994" s="9"/>
      <c r="AQ3994" s="9"/>
      <c r="AR3994" s="9"/>
      <c r="AS3994" s="9"/>
      <c r="AT3994" s="9"/>
      <c r="AU3994" s="9"/>
    </row>
    <row r="3995" spans="1:47" ht="15.75" customHeight="1">
      <c r="A3995" s="9"/>
      <c r="B3995" s="9"/>
      <c r="C3995" s="9"/>
      <c r="D3995" s="9"/>
      <c r="E3995" s="9"/>
      <c r="F3995" s="67"/>
      <c r="G3995" s="9"/>
      <c r="H3995" s="9"/>
      <c r="I3995" s="9"/>
      <c r="J3995" s="9"/>
      <c r="K3995" s="9"/>
      <c r="L3995" s="9"/>
      <c r="M3995" s="9"/>
      <c r="N3995" s="9"/>
      <c r="O3995" s="9"/>
      <c r="P3995" s="9"/>
      <c r="Q3995" s="9"/>
      <c r="R3995" s="9"/>
      <c r="S3995" s="9"/>
      <c r="T3995" s="9"/>
      <c r="U3995" s="9"/>
      <c r="V3995" s="9"/>
      <c r="W3995" s="9"/>
      <c r="X3995" s="9"/>
      <c r="Y3995" s="9"/>
      <c r="Z3995" s="9"/>
      <c r="AA3995" s="9"/>
      <c r="AB3995" s="9"/>
      <c r="AC3995" s="9"/>
      <c r="AD3995" s="9"/>
      <c r="AE3995" s="9"/>
      <c r="AF3995" s="9"/>
      <c r="AG3995" s="9"/>
      <c r="AH3995" s="9"/>
      <c r="AI3995" s="9"/>
      <c r="AJ3995" s="9"/>
      <c r="AK3995" s="9"/>
      <c r="AL3995" s="9"/>
      <c r="AM3995" s="9"/>
      <c r="AN3995" s="9"/>
      <c r="AO3995" s="9"/>
      <c r="AP3995" s="9"/>
      <c r="AQ3995" s="9"/>
      <c r="AR3995" s="9"/>
      <c r="AS3995" s="9"/>
      <c r="AT3995" s="9"/>
      <c r="AU3995" s="9"/>
    </row>
    <row r="3996" spans="1:47" ht="15.75" customHeight="1">
      <c r="A3996" s="9"/>
      <c r="B3996" s="9"/>
      <c r="C3996" s="9"/>
      <c r="D3996" s="9"/>
      <c r="E3996" s="9"/>
      <c r="F3996" s="67"/>
      <c r="G3996" s="9"/>
      <c r="H3996" s="9"/>
      <c r="I3996" s="9"/>
      <c r="J3996" s="9"/>
      <c r="K3996" s="9"/>
      <c r="L3996" s="9"/>
      <c r="M3996" s="9"/>
      <c r="N3996" s="9"/>
      <c r="O3996" s="9"/>
      <c r="P3996" s="9"/>
      <c r="Q3996" s="9"/>
      <c r="R3996" s="9"/>
      <c r="S3996" s="9"/>
      <c r="T3996" s="9"/>
      <c r="U3996" s="9"/>
      <c r="V3996" s="9"/>
      <c r="W3996" s="9"/>
      <c r="X3996" s="9"/>
      <c r="Y3996" s="9"/>
      <c r="Z3996" s="9"/>
      <c r="AA3996" s="9"/>
      <c r="AB3996" s="9"/>
      <c r="AC3996" s="9"/>
      <c r="AD3996" s="9"/>
      <c r="AE3996" s="9"/>
      <c r="AF3996" s="9"/>
      <c r="AG3996" s="9"/>
      <c r="AH3996" s="9"/>
      <c r="AI3996" s="9"/>
      <c r="AJ3996" s="9"/>
      <c r="AK3996" s="9"/>
      <c r="AL3996" s="9"/>
      <c r="AM3996" s="9"/>
      <c r="AN3996" s="9"/>
      <c r="AO3996" s="9"/>
      <c r="AP3996" s="9"/>
      <c r="AQ3996" s="9"/>
      <c r="AR3996" s="9"/>
      <c r="AS3996" s="9"/>
      <c r="AT3996" s="9"/>
      <c r="AU3996" s="9"/>
    </row>
    <row r="3997" spans="1:47" ht="15.75" customHeight="1">
      <c r="A3997" s="9"/>
      <c r="B3997" s="9"/>
      <c r="C3997" s="9"/>
      <c r="D3997" s="9"/>
      <c r="E3997" s="9"/>
      <c r="F3997" s="67"/>
      <c r="G3997" s="9"/>
      <c r="H3997" s="9"/>
      <c r="I3997" s="9"/>
      <c r="J3997" s="9"/>
      <c r="K3997" s="9"/>
      <c r="L3997" s="9"/>
      <c r="M3997" s="9"/>
      <c r="N3997" s="9"/>
      <c r="O3997" s="9"/>
      <c r="P3997" s="9"/>
      <c r="Q3997" s="9"/>
      <c r="R3997" s="9"/>
      <c r="S3997" s="9"/>
      <c r="T3997" s="9"/>
      <c r="U3997" s="9"/>
      <c r="V3997" s="9"/>
      <c r="W3997" s="9"/>
      <c r="X3997" s="9"/>
      <c r="Y3997" s="9"/>
      <c r="Z3997" s="9"/>
      <c r="AA3997" s="9"/>
      <c r="AB3997" s="9"/>
      <c r="AC3997" s="9"/>
      <c r="AD3997" s="9"/>
      <c r="AE3997" s="9"/>
      <c r="AF3997" s="9"/>
      <c r="AG3997" s="9"/>
      <c r="AH3997" s="9"/>
      <c r="AI3997" s="9"/>
      <c r="AJ3997" s="9"/>
      <c r="AK3997" s="9"/>
      <c r="AL3997" s="9"/>
      <c r="AM3997" s="9"/>
      <c r="AN3997" s="9"/>
      <c r="AO3997" s="9"/>
      <c r="AP3997" s="9"/>
      <c r="AQ3997" s="9"/>
      <c r="AR3997" s="9"/>
      <c r="AS3997" s="9"/>
      <c r="AT3997" s="9"/>
      <c r="AU3997" s="9"/>
    </row>
    <row r="3998" spans="1:47" ht="15.75" customHeight="1">
      <c r="A3998" s="9"/>
      <c r="B3998" s="9"/>
      <c r="C3998" s="9"/>
      <c r="D3998" s="9"/>
      <c r="E3998" s="9"/>
      <c r="F3998" s="67"/>
      <c r="G3998" s="9"/>
      <c r="H3998" s="9"/>
      <c r="I3998" s="9"/>
      <c r="J3998" s="9"/>
      <c r="K3998" s="9"/>
      <c r="L3998" s="9"/>
      <c r="M3998" s="9"/>
      <c r="N3998" s="9"/>
      <c r="O3998" s="9"/>
      <c r="P3998" s="9"/>
      <c r="Q3998" s="9"/>
      <c r="R3998" s="9"/>
      <c r="S3998" s="9"/>
      <c r="T3998" s="9"/>
      <c r="U3998" s="9"/>
      <c r="V3998" s="9"/>
      <c r="W3998" s="9"/>
      <c r="X3998" s="9"/>
      <c r="Y3998" s="9"/>
      <c r="Z3998" s="9"/>
      <c r="AA3998" s="9"/>
      <c r="AB3998" s="9"/>
      <c r="AC3998" s="9"/>
      <c r="AD3998" s="9"/>
      <c r="AE3998" s="9"/>
      <c r="AF3998" s="9"/>
      <c r="AG3998" s="9"/>
      <c r="AH3998" s="9"/>
      <c r="AI3998" s="9"/>
      <c r="AJ3998" s="9"/>
      <c r="AK3998" s="9"/>
      <c r="AL3998" s="9"/>
      <c r="AM3998" s="9"/>
      <c r="AN3998" s="9"/>
      <c r="AO3998" s="9"/>
      <c r="AP3998" s="9"/>
      <c r="AQ3998" s="9"/>
      <c r="AR3998" s="9"/>
      <c r="AS3998" s="9"/>
      <c r="AT3998" s="9"/>
      <c r="AU3998" s="9"/>
    </row>
    <row r="3999" spans="1:47" ht="15.75" customHeight="1">
      <c r="A3999" s="9"/>
      <c r="B3999" s="9"/>
      <c r="C3999" s="9"/>
      <c r="D3999" s="9"/>
      <c r="E3999" s="9"/>
      <c r="F3999" s="67"/>
      <c r="G3999" s="9"/>
      <c r="H3999" s="9"/>
      <c r="I3999" s="9"/>
      <c r="J3999" s="9"/>
      <c r="K3999" s="9"/>
      <c r="L3999" s="9"/>
      <c r="M3999" s="9"/>
      <c r="N3999" s="9"/>
      <c r="O3999" s="9"/>
      <c r="P3999" s="9"/>
      <c r="Q3999" s="9"/>
      <c r="R3999" s="9"/>
      <c r="S3999" s="9"/>
      <c r="T3999" s="9"/>
      <c r="U3999" s="9"/>
      <c r="V3999" s="9"/>
      <c r="W3999" s="9"/>
      <c r="X3999" s="9"/>
      <c r="Y3999" s="9"/>
      <c r="Z3999" s="9"/>
      <c r="AA3999" s="9"/>
      <c r="AB3999" s="9"/>
      <c r="AC3999" s="9"/>
      <c r="AD3999" s="9"/>
      <c r="AE3999" s="9"/>
      <c r="AF3999" s="9"/>
      <c r="AG3999" s="9"/>
      <c r="AH3999" s="9"/>
      <c r="AI3999" s="9"/>
      <c r="AJ3999" s="9"/>
      <c r="AK3999" s="9"/>
      <c r="AL3999" s="9"/>
      <c r="AM3999" s="9"/>
      <c r="AN3999" s="9"/>
      <c r="AO3999" s="9"/>
      <c r="AP3999" s="9"/>
      <c r="AQ3999" s="9"/>
      <c r="AR3999" s="9"/>
      <c r="AS3999" s="9"/>
      <c r="AT3999" s="9"/>
      <c r="AU3999" s="9"/>
    </row>
    <row r="4000" spans="1:47" ht="15.75" customHeight="1">
      <c r="A4000" s="9"/>
      <c r="B4000" s="9"/>
      <c r="C4000" s="9"/>
      <c r="D4000" s="9"/>
      <c r="E4000" s="9"/>
      <c r="F4000" s="67"/>
      <c r="G4000" s="9"/>
      <c r="H4000" s="9"/>
      <c r="I4000" s="9"/>
      <c r="J4000" s="9"/>
      <c r="K4000" s="9"/>
      <c r="L4000" s="9"/>
      <c r="M4000" s="9"/>
      <c r="N4000" s="9"/>
      <c r="O4000" s="9"/>
      <c r="P4000" s="9"/>
      <c r="Q4000" s="9"/>
      <c r="R4000" s="9"/>
      <c r="S4000" s="9"/>
      <c r="T4000" s="9"/>
      <c r="U4000" s="9"/>
      <c r="V4000" s="9"/>
      <c r="W4000" s="9"/>
      <c r="X4000" s="9"/>
      <c r="Y4000" s="9"/>
      <c r="Z4000" s="9"/>
      <c r="AA4000" s="9"/>
      <c r="AB4000" s="9"/>
      <c r="AC4000" s="9"/>
      <c r="AD4000" s="9"/>
      <c r="AE4000" s="9"/>
      <c r="AF4000" s="9"/>
      <c r="AG4000" s="9"/>
      <c r="AH4000" s="9"/>
      <c r="AI4000" s="9"/>
      <c r="AJ4000" s="9"/>
      <c r="AK4000" s="9"/>
      <c r="AL4000" s="9"/>
      <c r="AM4000" s="9"/>
      <c r="AN4000" s="9"/>
      <c r="AO4000" s="9"/>
      <c r="AP4000" s="9"/>
      <c r="AQ4000" s="9"/>
      <c r="AR4000" s="9"/>
      <c r="AS4000" s="9"/>
      <c r="AT4000" s="9"/>
      <c r="AU4000" s="9"/>
    </row>
    <row r="4001" spans="1:47" ht="15.75" customHeight="1">
      <c r="A4001" s="9"/>
      <c r="B4001" s="9"/>
      <c r="C4001" s="9"/>
      <c r="D4001" s="9"/>
      <c r="E4001" s="9"/>
      <c r="F4001" s="67"/>
      <c r="G4001" s="9"/>
      <c r="H4001" s="9"/>
      <c r="I4001" s="9"/>
      <c r="J4001" s="9"/>
      <c r="K4001" s="9"/>
      <c r="L4001" s="9"/>
      <c r="M4001" s="9"/>
      <c r="N4001" s="9"/>
      <c r="O4001" s="9"/>
      <c r="P4001" s="9"/>
      <c r="Q4001" s="9"/>
      <c r="R4001" s="9"/>
      <c r="S4001" s="9"/>
      <c r="T4001" s="9"/>
      <c r="U4001" s="9"/>
      <c r="V4001" s="9"/>
      <c r="W4001" s="9"/>
      <c r="X4001" s="9"/>
      <c r="Y4001" s="9"/>
      <c r="Z4001" s="9"/>
      <c r="AA4001" s="9"/>
      <c r="AB4001" s="9"/>
      <c r="AC4001" s="9"/>
      <c r="AD4001" s="9"/>
      <c r="AE4001" s="9"/>
      <c r="AF4001" s="9"/>
      <c r="AG4001" s="9"/>
      <c r="AH4001" s="9"/>
      <c r="AI4001" s="9"/>
      <c r="AJ4001" s="9"/>
      <c r="AK4001" s="9"/>
      <c r="AL4001" s="9"/>
      <c r="AM4001" s="9"/>
      <c r="AN4001" s="9"/>
      <c r="AO4001" s="9"/>
      <c r="AP4001" s="9"/>
      <c r="AQ4001" s="9"/>
      <c r="AR4001" s="9"/>
      <c r="AS4001" s="9"/>
      <c r="AT4001" s="9"/>
      <c r="AU4001" s="9"/>
    </row>
    <row r="4002" spans="1:47" ht="15.75" customHeight="1">
      <c r="A4002" s="9"/>
      <c r="B4002" s="9"/>
      <c r="C4002" s="9"/>
      <c r="D4002" s="9"/>
      <c r="E4002" s="9"/>
      <c r="F4002" s="67"/>
      <c r="G4002" s="9"/>
      <c r="H4002" s="9"/>
      <c r="I4002" s="9"/>
      <c r="J4002" s="9"/>
      <c r="K4002" s="9"/>
      <c r="L4002" s="9"/>
      <c r="M4002" s="9"/>
      <c r="N4002" s="9"/>
      <c r="O4002" s="9"/>
      <c r="P4002" s="9"/>
      <c r="Q4002" s="9"/>
      <c r="R4002" s="9"/>
      <c r="S4002" s="9"/>
      <c r="T4002" s="9"/>
      <c r="U4002" s="9"/>
      <c r="V4002" s="9"/>
      <c r="W4002" s="9"/>
      <c r="X4002" s="9"/>
      <c r="Y4002" s="9"/>
      <c r="Z4002" s="9"/>
      <c r="AA4002" s="9"/>
      <c r="AB4002" s="9"/>
      <c r="AC4002" s="9"/>
      <c r="AD4002" s="9"/>
      <c r="AE4002" s="9"/>
      <c r="AF4002" s="9"/>
      <c r="AG4002" s="9"/>
      <c r="AH4002" s="9"/>
      <c r="AI4002" s="9"/>
      <c r="AJ4002" s="9"/>
      <c r="AK4002" s="9"/>
      <c r="AL4002" s="9"/>
      <c r="AM4002" s="9"/>
      <c r="AN4002" s="9"/>
      <c r="AO4002" s="9"/>
      <c r="AP4002" s="9"/>
      <c r="AQ4002" s="9"/>
      <c r="AR4002" s="9"/>
      <c r="AS4002" s="9"/>
      <c r="AT4002" s="9"/>
      <c r="AU4002" s="9"/>
    </row>
    <row r="4003" spans="1:47" ht="15.75" customHeight="1">
      <c r="A4003" s="9"/>
      <c r="B4003" s="9"/>
      <c r="C4003" s="9"/>
      <c r="D4003" s="9"/>
      <c r="E4003" s="9"/>
      <c r="F4003" s="67"/>
      <c r="G4003" s="9"/>
      <c r="H4003" s="9"/>
      <c r="I4003" s="9"/>
      <c r="J4003" s="9"/>
      <c r="K4003" s="9"/>
      <c r="L4003" s="9"/>
      <c r="M4003" s="9"/>
      <c r="N4003" s="9"/>
      <c r="O4003" s="9"/>
      <c r="P4003" s="9"/>
      <c r="Q4003" s="9"/>
      <c r="R4003" s="9"/>
      <c r="S4003" s="9"/>
      <c r="T4003" s="9"/>
      <c r="U4003" s="9"/>
      <c r="V4003" s="9"/>
      <c r="W4003" s="9"/>
      <c r="X4003" s="9"/>
      <c r="Y4003" s="9"/>
      <c r="Z4003" s="9"/>
      <c r="AA4003" s="9"/>
      <c r="AB4003" s="9"/>
      <c r="AC4003" s="9"/>
      <c r="AD4003" s="9"/>
      <c r="AE4003" s="9"/>
      <c r="AF4003" s="9"/>
      <c r="AG4003" s="9"/>
      <c r="AH4003" s="9"/>
      <c r="AI4003" s="9"/>
      <c r="AJ4003" s="9"/>
      <c r="AK4003" s="9"/>
      <c r="AL4003" s="9"/>
      <c r="AM4003" s="9"/>
      <c r="AN4003" s="9"/>
      <c r="AO4003" s="9"/>
      <c r="AP4003" s="9"/>
      <c r="AQ4003" s="9"/>
      <c r="AR4003" s="9"/>
      <c r="AS4003" s="9"/>
      <c r="AT4003" s="9"/>
      <c r="AU4003" s="9"/>
    </row>
    <row r="4004" spans="1:47" ht="15.75" customHeight="1">
      <c r="A4004" s="9"/>
      <c r="B4004" s="9"/>
      <c r="C4004" s="9"/>
      <c r="D4004" s="9"/>
      <c r="E4004" s="9"/>
      <c r="F4004" s="67"/>
      <c r="G4004" s="9"/>
      <c r="H4004" s="9"/>
      <c r="I4004" s="9"/>
      <c r="J4004" s="9"/>
      <c r="K4004" s="9"/>
      <c r="L4004" s="9"/>
      <c r="M4004" s="9"/>
      <c r="N4004" s="9"/>
      <c r="O4004" s="9"/>
      <c r="P4004" s="9"/>
      <c r="Q4004" s="9"/>
      <c r="R4004" s="9"/>
      <c r="S4004" s="9"/>
      <c r="T4004" s="9"/>
      <c r="U4004" s="9"/>
      <c r="V4004" s="9"/>
      <c r="W4004" s="9"/>
      <c r="X4004" s="9"/>
      <c r="Y4004" s="9"/>
      <c r="Z4004" s="9"/>
      <c r="AA4004" s="9"/>
      <c r="AB4004" s="9"/>
      <c r="AC4004" s="9"/>
      <c r="AD4004" s="9"/>
      <c r="AE4004" s="9"/>
      <c r="AF4004" s="9"/>
      <c r="AG4004" s="9"/>
      <c r="AH4004" s="9"/>
      <c r="AI4004" s="9"/>
      <c r="AJ4004" s="9"/>
      <c r="AK4004" s="9"/>
      <c r="AL4004" s="9"/>
      <c r="AM4004" s="9"/>
      <c r="AN4004" s="9"/>
      <c r="AO4004" s="9"/>
      <c r="AP4004" s="9"/>
      <c r="AQ4004" s="9"/>
      <c r="AR4004" s="9"/>
      <c r="AS4004" s="9"/>
      <c r="AT4004" s="9"/>
      <c r="AU4004" s="9"/>
    </row>
    <row r="4005" spans="1:47" ht="15.75" customHeight="1">
      <c r="A4005" s="9"/>
      <c r="B4005" s="9"/>
      <c r="C4005" s="9"/>
      <c r="D4005" s="9"/>
      <c r="E4005" s="9"/>
      <c r="F4005" s="67"/>
      <c r="G4005" s="9"/>
      <c r="H4005" s="9"/>
      <c r="I4005" s="9"/>
      <c r="J4005" s="9"/>
      <c r="K4005" s="9"/>
      <c r="L4005" s="9"/>
      <c r="M4005" s="9"/>
      <c r="N4005" s="9"/>
      <c r="O4005" s="9"/>
      <c r="P4005" s="9"/>
      <c r="Q4005" s="9"/>
      <c r="R4005" s="9"/>
      <c r="S4005" s="9"/>
      <c r="T4005" s="9"/>
      <c r="U4005" s="9"/>
      <c r="V4005" s="9"/>
      <c r="W4005" s="9"/>
      <c r="X4005" s="9"/>
      <c r="Y4005" s="9"/>
      <c r="Z4005" s="9"/>
      <c r="AA4005" s="9"/>
      <c r="AB4005" s="9"/>
      <c r="AC4005" s="9"/>
      <c r="AD4005" s="9"/>
      <c r="AE4005" s="9"/>
      <c r="AF4005" s="9"/>
      <c r="AG4005" s="9"/>
      <c r="AH4005" s="9"/>
      <c r="AI4005" s="9"/>
      <c r="AJ4005" s="9"/>
      <c r="AK4005" s="9"/>
      <c r="AL4005" s="9"/>
      <c r="AM4005" s="9"/>
      <c r="AN4005" s="9"/>
      <c r="AO4005" s="9"/>
      <c r="AP4005" s="9"/>
      <c r="AQ4005" s="9"/>
      <c r="AR4005" s="9"/>
      <c r="AS4005" s="9"/>
      <c r="AT4005" s="9"/>
      <c r="AU4005" s="9"/>
    </row>
    <row r="4006" spans="1:47" ht="15.75" customHeight="1">
      <c r="A4006" s="9"/>
      <c r="B4006" s="9"/>
      <c r="C4006" s="9"/>
      <c r="D4006" s="9"/>
      <c r="E4006" s="9"/>
      <c r="F4006" s="67"/>
      <c r="G4006" s="9"/>
      <c r="H4006" s="9"/>
      <c r="I4006" s="9"/>
      <c r="J4006" s="9"/>
      <c r="K4006" s="9"/>
      <c r="L4006" s="9"/>
      <c r="M4006" s="9"/>
      <c r="N4006" s="9"/>
      <c r="O4006" s="9"/>
      <c r="P4006" s="9"/>
      <c r="Q4006" s="9"/>
      <c r="R4006" s="9"/>
      <c r="S4006" s="9"/>
      <c r="T4006" s="9"/>
      <c r="U4006" s="9"/>
      <c r="V4006" s="9"/>
      <c r="W4006" s="9"/>
      <c r="X4006" s="9"/>
      <c r="Y4006" s="9"/>
      <c r="Z4006" s="9"/>
      <c r="AA4006" s="9"/>
      <c r="AB4006" s="9"/>
      <c r="AC4006" s="9"/>
      <c r="AD4006" s="9"/>
      <c r="AE4006" s="9"/>
      <c r="AF4006" s="9"/>
      <c r="AG4006" s="9"/>
      <c r="AH4006" s="9"/>
      <c r="AI4006" s="9"/>
      <c r="AJ4006" s="9"/>
      <c r="AK4006" s="9"/>
      <c r="AL4006" s="9"/>
      <c r="AM4006" s="9"/>
      <c r="AN4006" s="9"/>
      <c r="AO4006" s="9"/>
      <c r="AP4006" s="9"/>
      <c r="AQ4006" s="9"/>
      <c r="AR4006" s="9"/>
      <c r="AS4006" s="9"/>
      <c r="AT4006" s="9"/>
      <c r="AU4006" s="9"/>
    </row>
    <row r="4007" spans="1:47" ht="15.75" customHeight="1">
      <c r="A4007" s="9"/>
      <c r="B4007" s="9"/>
      <c r="C4007" s="9"/>
      <c r="D4007" s="9"/>
      <c r="E4007" s="9"/>
      <c r="F4007" s="67"/>
      <c r="G4007" s="9"/>
      <c r="H4007" s="9"/>
      <c r="I4007" s="9"/>
      <c r="J4007" s="9"/>
      <c r="K4007" s="9"/>
      <c r="L4007" s="9"/>
      <c r="M4007" s="9"/>
      <c r="N4007" s="9"/>
      <c r="O4007" s="9"/>
      <c r="P4007" s="9"/>
      <c r="Q4007" s="9"/>
      <c r="R4007" s="9"/>
      <c r="S4007" s="9"/>
      <c r="T4007" s="9"/>
      <c r="U4007" s="9"/>
      <c r="V4007" s="9"/>
      <c r="W4007" s="9"/>
      <c r="X4007" s="9"/>
      <c r="Y4007" s="9"/>
      <c r="Z4007" s="9"/>
      <c r="AA4007" s="9"/>
      <c r="AB4007" s="9"/>
      <c r="AC4007" s="9"/>
      <c r="AD4007" s="9"/>
      <c r="AE4007" s="9"/>
      <c r="AF4007" s="9"/>
      <c r="AG4007" s="9"/>
      <c r="AH4007" s="9"/>
      <c r="AI4007" s="9"/>
      <c r="AJ4007" s="9"/>
      <c r="AK4007" s="9"/>
      <c r="AL4007" s="9"/>
      <c r="AM4007" s="9"/>
      <c r="AN4007" s="9"/>
      <c r="AO4007" s="9"/>
      <c r="AP4007" s="9"/>
      <c r="AQ4007" s="9"/>
      <c r="AR4007" s="9"/>
      <c r="AS4007" s="9"/>
      <c r="AT4007" s="9"/>
      <c r="AU4007" s="9"/>
    </row>
    <row r="4008" spans="1:47" ht="15.75" customHeight="1">
      <c r="A4008" s="9"/>
      <c r="B4008" s="9"/>
      <c r="C4008" s="9"/>
      <c r="D4008" s="9"/>
      <c r="E4008" s="9"/>
      <c r="F4008" s="67"/>
      <c r="G4008" s="9"/>
      <c r="H4008" s="9"/>
      <c r="I4008" s="9"/>
      <c r="J4008" s="9"/>
      <c r="K4008" s="9"/>
      <c r="L4008" s="9"/>
      <c r="M4008" s="9"/>
      <c r="N4008" s="9"/>
      <c r="O4008" s="9"/>
      <c r="P4008" s="9"/>
      <c r="Q4008" s="9"/>
      <c r="R4008" s="9"/>
      <c r="S4008" s="9"/>
      <c r="T4008" s="9"/>
      <c r="U4008" s="9"/>
      <c r="V4008" s="9"/>
      <c r="W4008" s="9"/>
      <c r="X4008" s="9"/>
      <c r="Y4008" s="9"/>
      <c r="Z4008" s="9"/>
      <c r="AA4008" s="9"/>
      <c r="AB4008" s="9"/>
      <c r="AC4008" s="9"/>
      <c r="AD4008" s="9"/>
      <c r="AE4008" s="9"/>
      <c r="AF4008" s="9"/>
      <c r="AG4008" s="9"/>
      <c r="AH4008" s="9"/>
      <c r="AI4008" s="9"/>
      <c r="AJ4008" s="9"/>
      <c r="AK4008" s="9"/>
      <c r="AL4008" s="9"/>
      <c r="AM4008" s="9"/>
      <c r="AN4008" s="9"/>
      <c r="AO4008" s="9"/>
      <c r="AP4008" s="9"/>
      <c r="AQ4008" s="9"/>
      <c r="AR4008" s="9"/>
      <c r="AS4008" s="9"/>
      <c r="AT4008" s="9"/>
      <c r="AU4008" s="9"/>
    </row>
    <row r="4009" spans="1:47" ht="15.75" customHeight="1">
      <c r="A4009" s="9"/>
      <c r="B4009" s="9"/>
      <c r="C4009" s="9"/>
      <c r="D4009" s="9"/>
      <c r="E4009" s="9"/>
      <c r="F4009" s="67"/>
      <c r="G4009" s="9"/>
      <c r="H4009" s="9"/>
      <c r="I4009" s="9"/>
      <c r="J4009" s="9"/>
      <c r="K4009" s="9"/>
      <c r="L4009" s="9"/>
      <c r="M4009" s="9"/>
      <c r="N4009" s="9"/>
      <c r="O4009" s="9"/>
      <c r="P4009" s="9"/>
      <c r="Q4009" s="9"/>
      <c r="R4009" s="9"/>
      <c r="S4009" s="9"/>
      <c r="T4009" s="9"/>
      <c r="U4009" s="9"/>
      <c r="V4009" s="9"/>
      <c r="W4009" s="9"/>
      <c r="X4009" s="9"/>
      <c r="Y4009" s="9"/>
      <c r="Z4009" s="9"/>
      <c r="AA4009" s="9"/>
      <c r="AB4009" s="9"/>
      <c r="AC4009" s="9"/>
      <c r="AD4009" s="9"/>
      <c r="AE4009" s="9"/>
      <c r="AF4009" s="9"/>
      <c r="AG4009" s="9"/>
      <c r="AH4009" s="9"/>
      <c r="AI4009" s="9"/>
      <c r="AJ4009" s="9"/>
      <c r="AK4009" s="9"/>
      <c r="AL4009" s="9"/>
      <c r="AM4009" s="9"/>
      <c r="AN4009" s="9"/>
      <c r="AO4009" s="9"/>
      <c r="AP4009" s="9"/>
      <c r="AQ4009" s="9"/>
      <c r="AR4009" s="9"/>
      <c r="AS4009" s="9"/>
      <c r="AT4009" s="9"/>
      <c r="AU4009" s="9"/>
    </row>
    <row r="4010" spans="1:47" ht="15.75" customHeight="1">
      <c r="A4010" s="9"/>
      <c r="B4010" s="9"/>
      <c r="C4010" s="9"/>
      <c r="D4010" s="9"/>
      <c r="E4010" s="9"/>
      <c r="F4010" s="67"/>
      <c r="G4010" s="9"/>
      <c r="H4010" s="9"/>
      <c r="I4010" s="9"/>
      <c r="J4010" s="9"/>
      <c r="K4010" s="9"/>
      <c r="L4010" s="9"/>
      <c r="M4010" s="9"/>
      <c r="N4010" s="9"/>
      <c r="O4010" s="9"/>
      <c r="P4010" s="9"/>
      <c r="Q4010" s="9"/>
      <c r="R4010" s="9"/>
      <c r="S4010" s="9"/>
      <c r="T4010" s="9"/>
      <c r="U4010" s="9"/>
      <c r="V4010" s="9"/>
      <c r="W4010" s="9"/>
      <c r="X4010" s="9"/>
      <c r="Y4010" s="9"/>
      <c r="Z4010" s="9"/>
      <c r="AA4010" s="9"/>
      <c r="AB4010" s="9"/>
      <c r="AC4010" s="9"/>
      <c r="AD4010" s="9"/>
      <c r="AE4010" s="9"/>
      <c r="AF4010" s="9"/>
      <c r="AG4010" s="9"/>
      <c r="AH4010" s="9"/>
      <c r="AI4010" s="9"/>
      <c r="AJ4010" s="9"/>
      <c r="AK4010" s="9"/>
      <c r="AL4010" s="9"/>
      <c r="AM4010" s="9"/>
      <c r="AN4010" s="9"/>
      <c r="AO4010" s="9"/>
      <c r="AP4010" s="9"/>
      <c r="AQ4010" s="9"/>
      <c r="AR4010" s="9"/>
      <c r="AS4010" s="9"/>
      <c r="AT4010" s="9"/>
      <c r="AU4010" s="9"/>
    </row>
    <row r="4011" spans="1:47" ht="15.75" customHeight="1">
      <c r="A4011" s="9"/>
      <c r="B4011" s="9"/>
      <c r="C4011" s="9"/>
      <c r="D4011" s="9"/>
      <c r="E4011" s="9"/>
      <c r="F4011" s="67"/>
      <c r="G4011" s="9"/>
      <c r="H4011" s="9"/>
      <c r="I4011" s="9"/>
      <c r="J4011" s="9"/>
      <c r="K4011" s="9"/>
      <c r="L4011" s="9"/>
      <c r="M4011" s="9"/>
      <c r="N4011" s="9"/>
      <c r="O4011" s="9"/>
      <c r="P4011" s="9"/>
      <c r="Q4011" s="9"/>
      <c r="R4011" s="9"/>
      <c r="S4011" s="9"/>
      <c r="T4011" s="9"/>
      <c r="U4011" s="9"/>
      <c r="V4011" s="9"/>
      <c r="W4011" s="9"/>
      <c r="X4011" s="9"/>
      <c r="Y4011" s="9"/>
      <c r="Z4011" s="9"/>
      <c r="AA4011" s="9"/>
      <c r="AB4011" s="9"/>
      <c r="AC4011" s="9"/>
      <c r="AD4011" s="9"/>
      <c r="AE4011" s="9"/>
      <c r="AF4011" s="9"/>
      <c r="AG4011" s="9"/>
      <c r="AH4011" s="9"/>
      <c r="AI4011" s="9"/>
      <c r="AJ4011" s="9"/>
      <c r="AK4011" s="9"/>
      <c r="AL4011" s="9"/>
      <c r="AM4011" s="9"/>
      <c r="AN4011" s="9"/>
      <c r="AO4011" s="9"/>
      <c r="AP4011" s="9"/>
      <c r="AQ4011" s="9"/>
      <c r="AR4011" s="9"/>
      <c r="AS4011" s="9"/>
      <c r="AT4011" s="9"/>
      <c r="AU4011" s="9"/>
    </row>
    <row r="4012" spans="1:47" ht="15.75" customHeight="1">
      <c r="A4012" s="9"/>
      <c r="B4012" s="9"/>
      <c r="C4012" s="9"/>
      <c r="D4012" s="9"/>
      <c r="E4012" s="9"/>
      <c r="F4012" s="67"/>
      <c r="G4012" s="9"/>
      <c r="H4012" s="9"/>
      <c r="I4012" s="9"/>
      <c r="J4012" s="9"/>
      <c r="K4012" s="9"/>
      <c r="L4012" s="9"/>
      <c r="M4012" s="9"/>
      <c r="N4012" s="9"/>
      <c r="O4012" s="9"/>
      <c r="P4012" s="9"/>
      <c r="Q4012" s="9"/>
      <c r="R4012" s="9"/>
      <c r="S4012" s="9"/>
      <c r="T4012" s="9"/>
      <c r="U4012" s="9"/>
      <c r="V4012" s="9"/>
      <c r="W4012" s="9"/>
      <c r="X4012" s="9"/>
      <c r="Y4012" s="9"/>
      <c r="Z4012" s="9"/>
      <c r="AA4012" s="9"/>
      <c r="AB4012" s="9"/>
      <c r="AC4012" s="9"/>
      <c r="AD4012" s="9"/>
      <c r="AE4012" s="9"/>
      <c r="AF4012" s="9"/>
      <c r="AG4012" s="9"/>
      <c r="AH4012" s="9"/>
      <c r="AI4012" s="9"/>
      <c r="AJ4012" s="9"/>
      <c r="AK4012" s="9"/>
      <c r="AL4012" s="9"/>
      <c r="AM4012" s="9"/>
      <c r="AN4012" s="9"/>
      <c r="AO4012" s="9"/>
      <c r="AP4012" s="9"/>
      <c r="AQ4012" s="9"/>
      <c r="AR4012" s="9"/>
      <c r="AS4012" s="9"/>
      <c r="AT4012" s="9"/>
      <c r="AU4012" s="9"/>
    </row>
    <row r="4013" spans="1:47" ht="15.75" customHeight="1">
      <c r="A4013" s="9"/>
      <c r="B4013" s="9"/>
      <c r="C4013" s="9"/>
      <c r="D4013" s="9"/>
      <c r="E4013" s="9"/>
      <c r="F4013" s="67"/>
      <c r="G4013" s="9"/>
      <c r="H4013" s="9"/>
      <c r="I4013" s="9"/>
      <c r="J4013" s="9"/>
      <c r="K4013" s="9"/>
      <c r="L4013" s="9"/>
      <c r="M4013" s="9"/>
      <c r="N4013" s="9"/>
      <c r="O4013" s="9"/>
      <c r="P4013" s="9"/>
      <c r="Q4013" s="9"/>
      <c r="R4013" s="9"/>
      <c r="S4013" s="9"/>
      <c r="T4013" s="9"/>
      <c r="U4013" s="9"/>
      <c r="V4013" s="9"/>
      <c r="W4013" s="9"/>
      <c r="X4013" s="9"/>
      <c r="Y4013" s="9"/>
      <c r="Z4013" s="9"/>
      <c r="AA4013" s="9"/>
      <c r="AB4013" s="9"/>
      <c r="AC4013" s="9"/>
      <c r="AD4013" s="9"/>
      <c r="AE4013" s="9"/>
      <c r="AF4013" s="9"/>
      <c r="AG4013" s="9"/>
      <c r="AH4013" s="9"/>
      <c r="AI4013" s="9"/>
      <c r="AJ4013" s="9"/>
      <c r="AK4013" s="9"/>
      <c r="AL4013" s="9"/>
      <c r="AM4013" s="9"/>
      <c r="AN4013" s="9"/>
      <c r="AO4013" s="9"/>
      <c r="AP4013" s="9"/>
      <c r="AQ4013" s="9"/>
      <c r="AR4013" s="9"/>
      <c r="AS4013" s="9"/>
      <c r="AT4013" s="9"/>
      <c r="AU4013" s="9"/>
    </row>
    <row r="4014" spans="1:47" ht="15.75" customHeight="1">
      <c r="A4014" s="9"/>
      <c r="B4014" s="9"/>
      <c r="C4014" s="9"/>
      <c r="D4014" s="9"/>
      <c r="E4014" s="9"/>
      <c r="F4014" s="67"/>
      <c r="G4014" s="9"/>
      <c r="H4014" s="9"/>
      <c r="I4014" s="9"/>
      <c r="J4014" s="9"/>
      <c r="K4014" s="9"/>
      <c r="L4014" s="9"/>
      <c r="M4014" s="9"/>
      <c r="N4014" s="9"/>
      <c r="O4014" s="9"/>
      <c r="P4014" s="9"/>
      <c r="Q4014" s="9"/>
      <c r="R4014" s="9"/>
      <c r="S4014" s="9"/>
      <c r="T4014" s="9"/>
      <c r="U4014" s="9"/>
      <c r="V4014" s="9"/>
      <c r="W4014" s="9"/>
      <c r="X4014" s="9"/>
      <c r="Y4014" s="9"/>
      <c r="Z4014" s="9"/>
      <c r="AA4014" s="9"/>
      <c r="AB4014" s="9"/>
      <c r="AC4014" s="9"/>
      <c r="AD4014" s="9"/>
      <c r="AE4014" s="9"/>
      <c r="AF4014" s="9"/>
      <c r="AG4014" s="9"/>
      <c r="AH4014" s="9"/>
      <c r="AI4014" s="9"/>
      <c r="AJ4014" s="9"/>
      <c r="AK4014" s="9"/>
      <c r="AL4014" s="9"/>
      <c r="AM4014" s="9"/>
      <c r="AN4014" s="9"/>
      <c r="AO4014" s="9"/>
      <c r="AP4014" s="9"/>
      <c r="AQ4014" s="9"/>
      <c r="AR4014" s="9"/>
      <c r="AS4014" s="9"/>
      <c r="AT4014" s="9"/>
      <c r="AU4014" s="9"/>
    </row>
    <row r="4015" spans="1:47" ht="15.75" customHeight="1">
      <c r="A4015" s="9"/>
      <c r="B4015" s="9"/>
      <c r="C4015" s="9"/>
      <c r="D4015" s="9"/>
      <c r="E4015" s="9"/>
      <c r="F4015" s="67"/>
      <c r="G4015" s="9"/>
      <c r="H4015" s="9"/>
      <c r="I4015" s="9"/>
      <c r="J4015" s="9"/>
      <c r="K4015" s="9"/>
      <c r="L4015" s="9"/>
      <c r="M4015" s="9"/>
      <c r="N4015" s="9"/>
      <c r="O4015" s="9"/>
      <c r="P4015" s="9"/>
      <c r="Q4015" s="9"/>
      <c r="R4015" s="9"/>
      <c r="S4015" s="9"/>
      <c r="T4015" s="9"/>
      <c r="U4015" s="9"/>
      <c r="V4015" s="9"/>
      <c r="W4015" s="9"/>
      <c r="X4015" s="9"/>
      <c r="Y4015" s="9"/>
      <c r="Z4015" s="9"/>
      <c r="AA4015" s="9"/>
      <c r="AB4015" s="9"/>
      <c r="AC4015" s="9"/>
      <c r="AD4015" s="9"/>
      <c r="AE4015" s="9"/>
      <c r="AF4015" s="9"/>
      <c r="AG4015" s="9"/>
      <c r="AH4015" s="9"/>
      <c r="AI4015" s="9"/>
      <c r="AJ4015" s="9"/>
      <c r="AK4015" s="9"/>
      <c r="AL4015" s="9"/>
      <c r="AM4015" s="9"/>
      <c r="AN4015" s="9"/>
      <c r="AO4015" s="9"/>
      <c r="AP4015" s="9"/>
      <c r="AQ4015" s="9"/>
      <c r="AR4015" s="9"/>
      <c r="AS4015" s="9"/>
      <c r="AT4015" s="9"/>
      <c r="AU4015" s="9"/>
    </row>
    <row r="4016" spans="1:47" ht="15.75" customHeight="1">
      <c r="A4016" s="9"/>
      <c r="B4016" s="9"/>
      <c r="C4016" s="9"/>
      <c r="D4016" s="9"/>
      <c r="E4016" s="9"/>
      <c r="F4016" s="67"/>
      <c r="G4016" s="9"/>
      <c r="H4016" s="9"/>
      <c r="I4016" s="9"/>
      <c r="J4016" s="9"/>
      <c r="K4016" s="9"/>
      <c r="L4016" s="9"/>
      <c r="M4016" s="9"/>
      <c r="N4016" s="9"/>
      <c r="O4016" s="9"/>
      <c r="P4016" s="9"/>
      <c r="Q4016" s="9"/>
      <c r="R4016" s="9"/>
      <c r="S4016" s="9"/>
      <c r="T4016" s="9"/>
      <c r="U4016" s="9"/>
      <c r="V4016" s="9"/>
      <c r="W4016" s="9"/>
      <c r="X4016" s="9"/>
      <c r="Y4016" s="9"/>
      <c r="Z4016" s="9"/>
      <c r="AA4016" s="9"/>
      <c r="AB4016" s="9"/>
      <c r="AC4016" s="9"/>
      <c r="AD4016" s="9"/>
      <c r="AE4016" s="9"/>
      <c r="AF4016" s="9"/>
      <c r="AG4016" s="9"/>
      <c r="AH4016" s="9"/>
      <c r="AI4016" s="9"/>
      <c r="AJ4016" s="9"/>
      <c r="AK4016" s="9"/>
      <c r="AL4016" s="9"/>
      <c r="AM4016" s="9"/>
      <c r="AN4016" s="9"/>
      <c r="AO4016" s="9"/>
      <c r="AP4016" s="9"/>
      <c r="AQ4016" s="9"/>
      <c r="AR4016" s="9"/>
      <c r="AS4016" s="9"/>
      <c r="AT4016" s="9"/>
      <c r="AU4016" s="9"/>
    </row>
    <row r="4017" spans="1:47" ht="15.75" customHeight="1">
      <c r="A4017" s="9"/>
      <c r="B4017" s="9"/>
      <c r="C4017" s="9"/>
      <c r="D4017" s="9"/>
      <c r="E4017" s="9"/>
      <c r="F4017" s="67"/>
      <c r="G4017" s="9"/>
      <c r="H4017" s="9"/>
      <c r="I4017" s="9"/>
      <c r="J4017" s="9"/>
      <c r="K4017" s="9"/>
      <c r="L4017" s="9"/>
      <c r="M4017" s="9"/>
      <c r="N4017" s="9"/>
      <c r="O4017" s="9"/>
      <c r="P4017" s="9"/>
      <c r="Q4017" s="9"/>
      <c r="R4017" s="9"/>
      <c r="S4017" s="9"/>
      <c r="T4017" s="9"/>
      <c r="U4017" s="9"/>
      <c r="V4017" s="9"/>
      <c r="W4017" s="9"/>
      <c r="X4017" s="9"/>
      <c r="Y4017" s="9"/>
      <c r="Z4017" s="9"/>
      <c r="AA4017" s="9"/>
      <c r="AB4017" s="9"/>
      <c r="AC4017" s="9"/>
      <c r="AD4017" s="9"/>
      <c r="AE4017" s="9"/>
      <c r="AF4017" s="9"/>
      <c r="AG4017" s="9"/>
      <c r="AH4017" s="9"/>
      <c r="AI4017" s="9"/>
      <c r="AJ4017" s="9"/>
      <c r="AK4017" s="9"/>
      <c r="AL4017" s="9"/>
      <c r="AM4017" s="9"/>
      <c r="AN4017" s="9"/>
      <c r="AO4017" s="9"/>
      <c r="AP4017" s="9"/>
      <c r="AQ4017" s="9"/>
      <c r="AR4017" s="9"/>
      <c r="AS4017" s="9"/>
      <c r="AT4017" s="9"/>
      <c r="AU4017" s="9"/>
    </row>
    <row r="4018" spans="1:47" ht="15.75" customHeight="1">
      <c r="A4018" s="9"/>
      <c r="B4018" s="9"/>
      <c r="C4018" s="9"/>
      <c r="D4018" s="9"/>
      <c r="E4018" s="9"/>
      <c r="F4018" s="67"/>
      <c r="G4018" s="9"/>
      <c r="H4018" s="9"/>
      <c r="I4018" s="9"/>
      <c r="J4018" s="9"/>
      <c r="K4018" s="9"/>
      <c r="L4018" s="9"/>
      <c r="M4018" s="9"/>
      <c r="N4018" s="9"/>
      <c r="O4018" s="9"/>
      <c r="P4018" s="9"/>
      <c r="Q4018" s="9"/>
      <c r="R4018" s="9"/>
      <c r="S4018" s="9"/>
      <c r="T4018" s="9"/>
      <c r="U4018" s="9"/>
      <c r="V4018" s="9"/>
      <c r="W4018" s="9"/>
      <c r="X4018" s="9"/>
      <c r="Y4018" s="9"/>
      <c r="Z4018" s="9"/>
      <c r="AA4018" s="9"/>
      <c r="AB4018" s="9"/>
      <c r="AC4018" s="9"/>
      <c r="AD4018" s="9"/>
      <c r="AE4018" s="9"/>
      <c r="AF4018" s="9"/>
      <c r="AG4018" s="9"/>
      <c r="AH4018" s="9"/>
      <c r="AI4018" s="9"/>
      <c r="AJ4018" s="9"/>
      <c r="AK4018" s="9"/>
      <c r="AL4018" s="9"/>
      <c r="AM4018" s="9"/>
      <c r="AN4018" s="9"/>
      <c r="AO4018" s="9"/>
      <c r="AP4018" s="9"/>
      <c r="AQ4018" s="9"/>
      <c r="AR4018" s="9"/>
      <c r="AS4018" s="9"/>
      <c r="AT4018" s="9"/>
      <c r="AU4018" s="9"/>
    </row>
    <row r="4019" spans="1:47" ht="15.75" customHeight="1">
      <c r="A4019" s="9"/>
      <c r="B4019" s="9"/>
      <c r="C4019" s="9"/>
      <c r="D4019" s="9"/>
      <c r="E4019" s="9"/>
      <c r="F4019" s="67"/>
      <c r="G4019" s="9"/>
      <c r="H4019" s="9"/>
      <c r="I4019" s="9"/>
      <c r="J4019" s="9"/>
      <c r="K4019" s="9"/>
      <c r="L4019" s="9"/>
      <c r="M4019" s="9"/>
      <c r="N4019" s="9"/>
      <c r="O4019" s="9"/>
      <c r="P4019" s="9"/>
      <c r="Q4019" s="9"/>
      <c r="R4019" s="9"/>
      <c r="S4019" s="9"/>
      <c r="T4019" s="9"/>
      <c r="U4019" s="9"/>
      <c r="V4019" s="9"/>
      <c r="W4019" s="9"/>
      <c r="X4019" s="9"/>
      <c r="Y4019" s="9"/>
      <c r="Z4019" s="9"/>
      <c r="AA4019" s="9"/>
      <c r="AB4019" s="9"/>
      <c r="AC4019" s="9"/>
      <c r="AD4019" s="9"/>
      <c r="AE4019" s="9"/>
      <c r="AF4019" s="9"/>
      <c r="AG4019" s="9"/>
      <c r="AH4019" s="9"/>
      <c r="AI4019" s="9"/>
      <c r="AJ4019" s="9"/>
      <c r="AK4019" s="9"/>
      <c r="AL4019" s="9"/>
      <c r="AM4019" s="9"/>
      <c r="AN4019" s="9"/>
      <c r="AO4019" s="9"/>
      <c r="AP4019" s="9"/>
      <c r="AQ4019" s="9"/>
      <c r="AR4019" s="9"/>
      <c r="AS4019" s="9"/>
      <c r="AT4019" s="9"/>
      <c r="AU4019" s="9"/>
    </row>
    <row r="4020" spans="1:47" ht="15.75" customHeight="1">
      <c r="A4020" s="9"/>
      <c r="B4020" s="9"/>
      <c r="C4020" s="9"/>
      <c r="D4020" s="9"/>
      <c r="E4020" s="9"/>
      <c r="F4020" s="67"/>
      <c r="G4020" s="9"/>
      <c r="H4020" s="9"/>
      <c r="I4020" s="9"/>
      <c r="J4020" s="9"/>
      <c r="K4020" s="9"/>
      <c r="L4020" s="9"/>
      <c r="M4020" s="9"/>
      <c r="N4020" s="9"/>
      <c r="O4020" s="9"/>
      <c r="P4020" s="9"/>
      <c r="Q4020" s="9"/>
      <c r="R4020" s="9"/>
      <c r="S4020" s="9"/>
      <c r="T4020" s="9"/>
      <c r="U4020" s="9"/>
      <c r="V4020" s="9"/>
      <c r="W4020" s="9"/>
      <c r="X4020" s="9"/>
      <c r="Y4020" s="9"/>
      <c r="Z4020" s="9"/>
      <c r="AA4020" s="9"/>
      <c r="AB4020" s="9"/>
      <c r="AC4020" s="9"/>
      <c r="AD4020" s="9"/>
      <c r="AE4020" s="9"/>
      <c r="AF4020" s="9"/>
      <c r="AG4020" s="9"/>
      <c r="AH4020" s="9"/>
      <c r="AI4020" s="9"/>
      <c r="AJ4020" s="9"/>
      <c r="AK4020" s="9"/>
      <c r="AL4020" s="9"/>
      <c r="AM4020" s="9"/>
      <c r="AN4020" s="9"/>
      <c r="AO4020" s="9"/>
      <c r="AP4020" s="9"/>
      <c r="AQ4020" s="9"/>
      <c r="AR4020" s="9"/>
      <c r="AS4020" s="9"/>
      <c r="AT4020" s="9"/>
      <c r="AU4020" s="9"/>
    </row>
    <row r="4021" spans="1:47" ht="15.75" customHeight="1">
      <c r="A4021" s="9"/>
      <c r="B4021" s="9"/>
      <c r="C4021" s="9"/>
      <c r="D4021" s="9"/>
      <c r="E4021" s="9"/>
      <c r="F4021" s="67"/>
      <c r="G4021" s="9"/>
      <c r="H4021" s="9"/>
      <c r="I4021" s="9"/>
      <c r="J4021" s="9"/>
      <c r="K4021" s="9"/>
      <c r="L4021" s="9"/>
      <c r="M4021" s="9"/>
      <c r="N4021" s="9"/>
      <c r="O4021" s="9"/>
      <c r="P4021" s="9"/>
      <c r="Q4021" s="9"/>
      <c r="R4021" s="9"/>
      <c r="S4021" s="9"/>
      <c r="T4021" s="9"/>
      <c r="U4021" s="9"/>
      <c r="V4021" s="9"/>
      <c r="W4021" s="9"/>
      <c r="X4021" s="9"/>
      <c r="Y4021" s="9"/>
      <c r="Z4021" s="9"/>
      <c r="AA4021" s="9"/>
      <c r="AB4021" s="9"/>
      <c r="AC4021" s="9"/>
      <c r="AD4021" s="9"/>
      <c r="AE4021" s="9"/>
      <c r="AF4021" s="9"/>
      <c r="AG4021" s="9"/>
      <c r="AH4021" s="9"/>
      <c r="AI4021" s="9"/>
      <c r="AJ4021" s="9"/>
      <c r="AK4021" s="9"/>
      <c r="AL4021" s="9"/>
      <c r="AM4021" s="9"/>
      <c r="AN4021" s="9"/>
      <c r="AO4021" s="9"/>
      <c r="AP4021" s="9"/>
      <c r="AQ4021" s="9"/>
      <c r="AR4021" s="9"/>
      <c r="AS4021" s="9"/>
      <c r="AT4021" s="9"/>
      <c r="AU4021" s="9"/>
    </row>
    <row r="4022" spans="1:47" ht="15.75" customHeight="1">
      <c r="A4022" s="9"/>
      <c r="B4022" s="9"/>
      <c r="C4022" s="9"/>
      <c r="D4022" s="9"/>
      <c r="E4022" s="9"/>
      <c r="F4022" s="67"/>
      <c r="G4022" s="9"/>
      <c r="H4022" s="9"/>
      <c r="I4022" s="9"/>
      <c r="J4022" s="9"/>
      <c r="K4022" s="9"/>
      <c r="L4022" s="9"/>
      <c r="M4022" s="9"/>
      <c r="N4022" s="9"/>
      <c r="O4022" s="9"/>
      <c r="P4022" s="9"/>
      <c r="Q4022" s="9"/>
      <c r="R4022" s="9"/>
      <c r="S4022" s="9"/>
      <c r="T4022" s="9"/>
      <c r="U4022" s="9"/>
      <c r="V4022" s="9"/>
      <c r="W4022" s="9"/>
      <c r="X4022" s="9"/>
      <c r="Y4022" s="9"/>
      <c r="Z4022" s="9"/>
      <c r="AA4022" s="9"/>
      <c r="AB4022" s="9"/>
      <c r="AC4022" s="9"/>
      <c r="AD4022" s="9"/>
      <c r="AE4022" s="9"/>
      <c r="AF4022" s="9"/>
      <c r="AG4022" s="9"/>
      <c r="AH4022" s="9"/>
      <c r="AI4022" s="9"/>
      <c r="AJ4022" s="9"/>
      <c r="AK4022" s="9"/>
      <c r="AL4022" s="9"/>
      <c r="AM4022" s="9"/>
      <c r="AN4022" s="9"/>
      <c r="AO4022" s="9"/>
      <c r="AP4022" s="9"/>
      <c r="AQ4022" s="9"/>
      <c r="AR4022" s="9"/>
      <c r="AS4022" s="9"/>
      <c r="AT4022" s="9"/>
      <c r="AU4022" s="9"/>
    </row>
    <row r="4023" spans="1:47" ht="15.75" customHeight="1">
      <c r="A4023" s="9"/>
      <c r="B4023" s="9"/>
      <c r="C4023" s="9"/>
      <c r="D4023" s="9"/>
      <c r="E4023" s="9"/>
      <c r="F4023" s="67"/>
      <c r="G4023" s="9"/>
      <c r="H4023" s="9"/>
      <c r="I4023" s="9"/>
      <c r="J4023" s="9"/>
      <c r="K4023" s="9"/>
      <c r="L4023" s="9"/>
      <c r="M4023" s="9"/>
      <c r="N4023" s="9"/>
      <c r="O4023" s="9"/>
      <c r="P4023" s="9"/>
      <c r="Q4023" s="9"/>
      <c r="R4023" s="9"/>
      <c r="S4023" s="9"/>
      <c r="T4023" s="9"/>
      <c r="U4023" s="9"/>
      <c r="V4023" s="9"/>
      <c r="W4023" s="9"/>
      <c r="X4023" s="9"/>
      <c r="Y4023" s="9"/>
      <c r="Z4023" s="9"/>
      <c r="AA4023" s="9"/>
      <c r="AB4023" s="9"/>
      <c r="AC4023" s="9"/>
      <c r="AD4023" s="9"/>
      <c r="AE4023" s="9"/>
      <c r="AF4023" s="9"/>
      <c r="AG4023" s="9"/>
      <c r="AH4023" s="9"/>
      <c r="AI4023" s="9"/>
      <c r="AJ4023" s="9"/>
      <c r="AK4023" s="9"/>
      <c r="AL4023" s="9"/>
      <c r="AM4023" s="9"/>
      <c r="AN4023" s="9"/>
      <c r="AO4023" s="9"/>
      <c r="AP4023" s="9"/>
      <c r="AQ4023" s="9"/>
      <c r="AR4023" s="9"/>
      <c r="AS4023" s="9"/>
      <c r="AT4023" s="9"/>
      <c r="AU4023" s="9"/>
    </row>
    <row r="4024" spans="1:47" ht="15.75" customHeight="1">
      <c r="A4024" s="9"/>
      <c r="B4024" s="9"/>
      <c r="C4024" s="9"/>
      <c r="D4024" s="9"/>
      <c r="E4024" s="9"/>
      <c r="F4024" s="67"/>
      <c r="G4024" s="9"/>
      <c r="H4024" s="9"/>
      <c r="I4024" s="9"/>
      <c r="J4024" s="9"/>
      <c r="K4024" s="9"/>
      <c r="L4024" s="9"/>
      <c r="M4024" s="9"/>
      <c r="N4024" s="9"/>
      <c r="O4024" s="9"/>
      <c r="P4024" s="9"/>
      <c r="Q4024" s="9"/>
      <c r="R4024" s="9"/>
      <c r="S4024" s="9"/>
      <c r="T4024" s="9"/>
      <c r="U4024" s="9"/>
      <c r="V4024" s="9"/>
      <c r="W4024" s="9"/>
      <c r="X4024" s="9"/>
      <c r="Y4024" s="9"/>
      <c r="Z4024" s="9"/>
      <c r="AA4024" s="9"/>
      <c r="AB4024" s="9"/>
      <c r="AC4024" s="9"/>
      <c r="AD4024" s="9"/>
      <c r="AE4024" s="9"/>
      <c r="AF4024" s="9"/>
      <c r="AG4024" s="9"/>
      <c r="AH4024" s="9"/>
      <c r="AI4024" s="9"/>
      <c r="AJ4024" s="9"/>
      <c r="AK4024" s="9"/>
      <c r="AL4024" s="9"/>
      <c r="AM4024" s="9"/>
      <c r="AN4024" s="9"/>
      <c r="AO4024" s="9"/>
      <c r="AP4024" s="9"/>
      <c r="AQ4024" s="9"/>
      <c r="AR4024" s="9"/>
      <c r="AS4024" s="9"/>
      <c r="AT4024" s="9"/>
      <c r="AU4024" s="9"/>
    </row>
    <row r="4025" spans="1:47" ht="15.75" customHeight="1">
      <c r="A4025" s="9"/>
      <c r="B4025" s="9"/>
      <c r="C4025" s="9"/>
      <c r="D4025" s="9"/>
      <c r="E4025" s="9"/>
      <c r="F4025" s="67"/>
      <c r="G4025" s="9"/>
      <c r="H4025" s="9"/>
      <c r="I4025" s="9"/>
      <c r="J4025" s="9"/>
      <c r="K4025" s="9"/>
      <c r="L4025" s="9"/>
      <c r="M4025" s="9"/>
      <c r="N4025" s="9"/>
      <c r="O4025" s="9"/>
      <c r="P4025" s="9"/>
      <c r="Q4025" s="9"/>
      <c r="R4025" s="9"/>
      <c r="S4025" s="9"/>
      <c r="T4025" s="9"/>
      <c r="U4025" s="9"/>
      <c r="V4025" s="9"/>
      <c r="W4025" s="9"/>
      <c r="X4025" s="9"/>
      <c r="Y4025" s="9"/>
      <c r="Z4025" s="9"/>
      <c r="AA4025" s="9"/>
      <c r="AB4025" s="9"/>
      <c r="AC4025" s="9"/>
      <c r="AD4025" s="9"/>
      <c r="AE4025" s="9"/>
      <c r="AF4025" s="9"/>
      <c r="AG4025" s="9"/>
      <c r="AH4025" s="9"/>
      <c r="AI4025" s="9"/>
      <c r="AJ4025" s="9"/>
      <c r="AK4025" s="9"/>
      <c r="AL4025" s="9"/>
      <c r="AM4025" s="9"/>
      <c r="AN4025" s="9"/>
      <c r="AO4025" s="9"/>
      <c r="AP4025" s="9"/>
      <c r="AQ4025" s="9"/>
      <c r="AR4025" s="9"/>
      <c r="AS4025" s="9"/>
      <c r="AT4025" s="9"/>
      <c r="AU4025" s="9"/>
    </row>
    <row r="4026" spans="1:47" ht="15.75" customHeight="1">
      <c r="A4026" s="9"/>
      <c r="B4026" s="9"/>
      <c r="C4026" s="9"/>
      <c r="D4026" s="9"/>
      <c r="E4026" s="9"/>
      <c r="F4026" s="67"/>
      <c r="G4026" s="9"/>
      <c r="H4026" s="9"/>
      <c r="I4026" s="9"/>
      <c r="J4026" s="9"/>
      <c r="K4026" s="9"/>
      <c r="L4026" s="9"/>
      <c r="M4026" s="9"/>
      <c r="N4026" s="9"/>
      <c r="O4026" s="9"/>
      <c r="P4026" s="9"/>
      <c r="Q4026" s="9"/>
      <c r="R4026" s="9"/>
      <c r="S4026" s="9"/>
      <c r="T4026" s="9"/>
      <c r="U4026" s="9"/>
      <c r="V4026" s="9"/>
      <c r="W4026" s="9"/>
      <c r="X4026" s="9"/>
      <c r="Y4026" s="9"/>
      <c r="Z4026" s="9"/>
      <c r="AA4026" s="9"/>
      <c r="AB4026" s="9"/>
      <c r="AC4026" s="9"/>
      <c r="AD4026" s="9"/>
      <c r="AE4026" s="9"/>
      <c r="AF4026" s="9"/>
      <c r="AG4026" s="9"/>
      <c r="AH4026" s="9"/>
      <c r="AI4026" s="9"/>
      <c r="AJ4026" s="9"/>
      <c r="AK4026" s="9"/>
      <c r="AL4026" s="9"/>
      <c r="AM4026" s="9"/>
      <c r="AN4026" s="9"/>
      <c r="AO4026" s="9"/>
      <c r="AP4026" s="9"/>
      <c r="AQ4026" s="9"/>
      <c r="AR4026" s="9"/>
      <c r="AS4026" s="9"/>
      <c r="AT4026" s="9"/>
      <c r="AU4026" s="9"/>
    </row>
    <row r="4027" spans="1:47" ht="15.75" customHeight="1">
      <c r="A4027" s="9"/>
      <c r="B4027" s="9"/>
      <c r="C4027" s="9"/>
      <c r="D4027" s="9"/>
      <c r="E4027" s="9"/>
      <c r="F4027" s="67"/>
      <c r="G4027" s="9"/>
      <c r="H4027" s="9"/>
      <c r="I4027" s="9"/>
      <c r="J4027" s="9"/>
      <c r="K4027" s="9"/>
      <c r="L4027" s="9"/>
      <c r="M4027" s="9"/>
      <c r="N4027" s="9"/>
      <c r="O4027" s="9"/>
      <c r="P4027" s="9"/>
      <c r="Q4027" s="9"/>
      <c r="R4027" s="9"/>
      <c r="S4027" s="9"/>
      <c r="T4027" s="9"/>
      <c r="U4027" s="9"/>
      <c r="V4027" s="9"/>
      <c r="W4027" s="9"/>
      <c r="X4027" s="9"/>
      <c r="Y4027" s="9"/>
      <c r="Z4027" s="9"/>
      <c r="AA4027" s="9"/>
      <c r="AB4027" s="9"/>
      <c r="AC4027" s="9"/>
      <c r="AD4027" s="9"/>
      <c r="AE4027" s="9"/>
      <c r="AF4027" s="9"/>
      <c r="AG4027" s="9"/>
      <c r="AH4027" s="9"/>
      <c r="AI4027" s="9"/>
      <c r="AJ4027" s="9"/>
      <c r="AK4027" s="9"/>
      <c r="AL4027" s="9"/>
      <c r="AM4027" s="9"/>
      <c r="AN4027" s="9"/>
      <c r="AO4027" s="9"/>
      <c r="AP4027" s="9"/>
      <c r="AQ4027" s="9"/>
      <c r="AR4027" s="9"/>
      <c r="AS4027" s="9"/>
      <c r="AT4027" s="9"/>
      <c r="AU4027" s="9"/>
    </row>
    <row r="4028" spans="1:47" ht="15.75" customHeight="1">
      <c r="A4028" s="9"/>
      <c r="B4028" s="9"/>
      <c r="C4028" s="9"/>
      <c r="D4028" s="9"/>
      <c r="E4028" s="9"/>
      <c r="F4028" s="67"/>
      <c r="G4028" s="9"/>
      <c r="H4028" s="9"/>
      <c r="I4028" s="9"/>
      <c r="J4028" s="9"/>
      <c r="K4028" s="9"/>
      <c r="L4028" s="9"/>
      <c r="M4028" s="9"/>
      <c r="N4028" s="9"/>
      <c r="O4028" s="9"/>
      <c r="P4028" s="9"/>
      <c r="Q4028" s="9"/>
      <c r="R4028" s="9"/>
      <c r="S4028" s="9"/>
      <c r="T4028" s="9"/>
      <c r="U4028" s="9"/>
      <c r="V4028" s="9"/>
      <c r="W4028" s="9"/>
      <c r="X4028" s="9"/>
      <c r="Y4028" s="9"/>
      <c r="Z4028" s="9"/>
      <c r="AA4028" s="9"/>
      <c r="AB4028" s="9"/>
      <c r="AC4028" s="9"/>
      <c r="AD4028" s="9"/>
      <c r="AE4028" s="9"/>
      <c r="AF4028" s="9"/>
      <c r="AG4028" s="9"/>
      <c r="AH4028" s="9"/>
      <c r="AI4028" s="9"/>
      <c r="AJ4028" s="9"/>
      <c r="AK4028" s="9"/>
      <c r="AL4028" s="9"/>
      <c r="AM4028" s="9"/>
      <c r="AN4028" s="9"/>
      <c r="AO4028" s="9"/>
      <c r="AP4028" s="9"/>
      <c r="AQ4028" s="9"/>
      <c r="AR4028" s="9"/>
      <c r="AS4028" s="9"/>
      <c r="AT4028" s="9"/>
      <c r="AU4028" s="9"/>
    </row>
    <row r="4029" spans="1:47" ht="15.75" customHeight="1">
      <c r="A4029" s="9"/>
      <c r="B4029" s="9"/>
      <c r="C4029" s="9"/>
      <c r="D4029" s="9"/>
      <c r="E4029" s="9"/>
      <c r="F4029" s="67"/>
      <c r="G4029" s="9"/>
      <c r="H4029" s="9"/>
      <c r="I4029" s="9"/>
      <c r="J4029" s="9"/>
      <c r="K4029" s="9"/>
      <c r="L4029" s="9"/>
      <c r="M4029" s="9"/>
      <c r="N4029" s="9"/>
      <c r="O4029" s="9"/>
      <c r="P4029" s="9"/>
      <c r="Q4029" s="9"/>
      <c r="R4029" s="9"/>
      <c r="S4029" s="9"/>
      <c r="T4029" s="9"/>
      <c r="U4029" s="9"/>
      <c r="V4029" s="9"/>
      <c r="W4029" s="9"/>
      <c r="X4029" s="9"/>
      <c r="Y4029" s="9"/>
      <c r="Z4029" s="9"/>
      <c r="AA4029" s="9"/>
      <c r="AB4029" s="9"/>
      <c r="AC4029" s="9"/>
      <c r="AD4029" s="9"/>
      <c r="AE4029" s="9"/>
      <c r="AF4029" s="9"/>
      <c r="AG4029" s="9"/>
      <c r="AH4029" s="9"/>
      <c r="AI4029" s="9"/>
      <c r="AJ4029" s="9"/>
      <c r="AK4029" s="9"/>
      <c r="AL4029" s="9"/>
      <c r="AM4029" s="9"/>
      <c r="AN4029" s="9"/>
      <c r="AO4029" s="9"/>
      <c r="AP4029" s="9"/>
      <c r="AQ4029" s="9"/>
      <c r="AR4029" s="9"/>
      <c r="AS4029" s="9"/>
      <c r="AT4029" s="9"/>
      <c r="AU4029" s="9"/>
    </row>
    <row r="4030" spans="1:47" ht="15.75" customHeight="1">
      <c r="A4030" s="9"/>
      <c r="B4030" s="9"/>
      <c r="C4030" s="9"/>
      <c r="D4030" s="9"/>
      <c r="E4030" s="9"/>
      <c r="F4030" s="67"/>
      <c r="G4030" s="9"/>
      <c r="H4030" s="9"/>
      <c r="I4030" s="9"/>
      <c r="J4030" s="9"/>
      <c r="K4030" s="9"/>
      <c r="L4030" s="9"/>
      <c r="M4030" s="9"/>
      <c r="N4030" s="9"/>
      <c r="O4030" s="9"/>
      <c r="P4030" s="9"/>
      <c r="Q4030" s="9"/>
      <c r="R4030" s="9"/>
      <c r="S4030" s="9"/>
      <c r="T4030" s="9"/>
      <c r="U4030" s="9"/>
      <c r="V4030" s="9"/>
      <c r="W4030" s="9"/>
      <c r="X4030" s="9"/>
      <c r="Y4030" s="9"/>
      <c r="Z4030" s="9"/>
      <c r="AA4030" s="9"/>
      <c r="AB4030" s="9"/>
      <c r="AC4030" s="9"/>
      <c r="AD4030" s="9"/>
      <c r="AE4030" s="9"/>
      <c r="AF4030" s="9"/>
      <c r="AG4030" s="9"/>
      <c r="AH4030" s="9"/>
      <c r="AI4030" s="9"/>
      <c r="AJ4030" s="9"/>
      <c r="AK4030" s="9"/>
      <c r="AL4030" s="9"/>
      <c r="AM4030" s="9"/>
      <c r="AN4030" s="9"/>
      <c r="AO4030" s="9"/>
      <c r="AP4030" s="9"/>
      <c r="AQ4030" s="9"/>
      <c r="AR4030" s="9"/>
      <c r="AS4030" s="9"/>
      <c r="AT4030" s="9"/>
      <c r="AU4030" s="9"/>
    </row>
    <row r="4031" spans="1:47" ht="15.75" customHeight="1">
      <c r="A4031" s="9"/>
      <c r="B4031" s="9"/>
      <c r="C4031" s="9"/>
      <c r="D4031" s="9"/>
      <c r="E4031" s="9"/>
      <c r="F4031" s="67"/>
      <c r="G4031" s="9"/>
      <c r="H4031" s="9"/>
      <c r="I4031" s="9"/>
      <c r="J4031" s="9"/>
      <c r="K4031" s="9"/>
      <c r="L4031" s="9"/>
      <c r="M4031" s="9"/>
      <c r="N4031" s="9"/>
      <c r="O4031" s="9"/>
      <c r="P4031" s="9"/>
      <c r="Q4031" s="9"/>
      <c r="R4031" s="9"/>
      <c r="S4031" s="9"/>
      <c r="T4031" s="9"/>
      <c r="U4031" s="9"/>
      <c r="V4031" s="9"/>
      <c r="W4031" s="9"/>
      <c r="X4031" s="9"/>
      <c r="Y4031" s="9"/>
      <c r="Z4031" s="9"/>
      <c r="AA4031" s="9"/>
      <c r="AB4031" s="9"/>
      <c r="AC4031" s="9"/>
      <c r="AD4031" s="9"/>
      <c r="AE4031" s="9"/>
      <c r="AF4031" s="9"/>
      <c r="AG4031" s="9"/>
      <c r="AH4031" s="9"/>
      <c r="AI4031" s="9"/>
      <c r="AJ4031" s="9"/>
      <c r="AK4031" s="9"/>
      <c r="AL4031" s="9"/>
      <c r="AM4031" s="9"/>
      <c r="AN4031" s="9"/>
      <c r="AO4031" s="9"/>
      <c r="AP4031" s="9"/>
      <c r="AQ4031" s="9"/>
      <c r="AR4031" s="9"/>
      <c r="AS4031" s="9"/>
      <c r="AT4031" s="9"/>
      <c r="AU4031" s="9"/>
    </row>
    <row r="4032" spans="1:47" ht="15.75" customHeight="1">
      <c r="A4032" s="9"/>
      <c r="B4032" s="9"/>
      <c r="C4032" s="9"/>
      <c r="D4032" s="9"/>
      <c r="E4032" s="9"/>
      <c r="F4032" s="67"/>
      <c r="G4032" s="9"/>
      <c r="H4032" s="9"/>
      <c r="I4032" s="9"/>
      <c r="J4032" s="9"/>
      <c r="K4032" s="9"/>
      <c r="L4032" s="9"/>
      <c r="M4032" s="9"/>
      <c r="N4032" s="9"/>
      <c r="O4032" s="9"/>
      <c r="P4032" s="9"/>
      <c r="Q4032" s="9"/>
      <c r="R4032" s="9"/>
      <c r="S4032" s="9"/>
      <c r="T4032" s="9"/>
      <c r="U4032" s="9"/>
      <c r="V4032" s="9"/>
      <c r="W4032" s="9"/>
      <c r="X4032" s="9"/>
      <c r="Y4032" s="9"/>
      <c r="Z4032" s="9"/>
      <c r="AA4032" s="9"/>
      <c r="AB4032" s="9"/>
      <c r="AC4032" s="9"/>
      <c r="AD4032" s="9"/>
      <c r="AE4032" s="9"/>
      <c r="AF4032" s="9"/>
      <c r="AG4032" s="9"/>
      <c r="AH4032" s="9"/>
      <c r="AI4032" s="9"/>
      <c r="AJ4032" s="9"/>
      <c r="AK4032" s="9"/>
      <c r="AL4032" s="9"/>
      <c r="AM4032" s="9"/>
      <c r="AN4032" s="9"/>
      <c r="AO4032" s="9"/>
      <c r="AP4032" s="9"/>
      <c r="AQ4032" s="9"/>
      <c r="AR4032" s="9"/>
      <c r="AS4032" s="9"/>
      <c r="AT4032" s="9"/>
      <c r="AU4032" s="9"/>
    </row>
    <row r="4033" spans="1:47" ht="15.75" customHeight="1">
      <c r="A4033" s="9"/>
      <c r="B4033" s="9"/>
      <c r="C4033" s="9"/>
      <c r="D4033" s="9"/>
      <c r="E4033" s="9"/>
      <c r="F4033" s="67"/>
      <c r="G4033" s="9"/>
      <c r="H4033" s="9"/>
      <c r="I4033" s="9"/>
      <c r="J4033" s="9"/>
      <c r="K4033" s="9"/>
      <c r="L4033" s="9"/>
      <c r="M4033" s="9"/>
      <c r="N4033" s="9"/>
      <c r="O4033" s="9"/>
      <c r="P4033" s="9"/>
      <c r="Q4033" s="9"/>
      <c r="R4033" s="9"/>
      <c r="S4033" s="9"/>
      <c r="T4033" s="9"/>
      <c r="U4033" s="9"/>
      <c r="V4033" s="9"/>
      <c r="W4033" s="9"/>
      <c r="X4033" s="9"/>
      <c r="Y4033" s="9"/>
      <c r="Z4033" s="9"/>
      <c r="AA4033" s="9"/>
      <c r="AB4033" s="9"/>
      <c r="AC4033" s="9"/>
      <c r="AD4033" s="9"/>
      <c r="AE4033" s="9"/>
      <c r="AF4033" s="9"/>
      <c r="AG4033" s="9"/>
      <c r="AH4033" s="9"/>
      <c r="AI4033" s="9"/>
      <c r="AJ4033" s="9"/>
      <c r="AK4033" s="9"/>
      <c r="AL4033" s="9"/>
      <c r="AM4033" s="9"/>
      <c r="AN4033" s="9"/>
      <c r="AO4033" s="9"/>
      <c r="AP4033" s="9"/>
      <c r="AQ4033" s="9"/>
      <c r="AR4033" s="9"/>
      <c r="AS4033" s="9"/>
      <c r="AT4033" s="9"/>
      <c r="AU4033" s="9"/>
    </row>
    <row r="4034" spans="1:47" ht="15.75" customHeight="1">
      <c r="A4034" s="9"/>
      <c r="B4034" s="9"/>
      <c r="C4034" s="9"/>
      <c r="D4034" s="9"/>
      <c r="E4034" s="9"/>
      <c r="F4034" s="67"/>
      <c r="G4034" s="9"/>
      <c r="H4034" s="9"/>
      <c r="I4034" s="9"/>
      <c r="J4034" s="9"/>
      <c r="K4034" s="9"/>
      <c r="L4034" s="9"/>
      <c r="M4034" s="9"/>
      <c r="N4034" s="9"/>
      <c r="O4034" s="9"/>
      <c r="P4034" s="9"/>
      <c r="Q4034" s="9"/>
      <c r="R4034" s="9"/>
      <c r="S4034" s="9"/>
      <c r="T4034" s="9"/>
      <c r="U4034" s="9"/>
      <c r="V4034" s="9"/>
      <c r="W4034" s="9"/>
      <c r="X4034" s="9"/>
      <c r="Y4034" s="9"/>
      <c r="Z4034" s="9"/>
      <c r="AA4034" s="9"/>
      <c r="AB4034" s="9"/>
      <c r="AC4034" s="9"/>
      <c r="AD4034" s="9"/>
      <c r="AE4034" s="9"/>
      <c r="AF4034" s="9"/>
      <c r="AG4034" s="9"/>
      <c r="AH4034" s="9"/>
      <c r="AI4034" s="9"/>
      <c r="AJ4034" s="9"/>
      <c r="AK4034" s="9"/>
      <c r="AL4034" s="9"/>
      <c r="AM4034" s="9"/>
      <c r="AN4034" s="9"/>
      <c r="AO4034" s="9"/>
      <c r="AP4034" s="9"/>
      <c r="AQ4034" s="9"/>
      <c r="AR4034" s="9"/>
      <c r="AS4034" s="9"/>
      <c r="AT4034" s="9"/>
      <c r="AU4034" s="9"/>
    </row>
    <row r="4035" spans="1:47" ht="15.75" customHeight="1">
      <c r="A4035" s="9"/>
      <c r="B4035" s="9"/>
      <c r="C4035" s="9"/>
      <c r="D4035" s="9"/>
      <c r="E4035" s="9"/>
      <c r="F4035" s="67"/>
      <c r="G4035" s="9"/>
      <c r="H4035" s="9"/>
      <c r="I4035" s="9"/>
      <c r="J4035" s="9"/>
      <c r="K4035" s="9"/>
      <c r="L4035" s="9"/>
      <c r="M4035" s="9"/>
      <c r="N4035" s="9"/>
      <c r="O4035" s="9"/>
      <c r="P4035" s="9"/>
      <c r="Q4035" s="9"/>
      <c r="R4035" s="9"/>
      <c r="S4035" s="9"/>
      <c r="T4035" s="9"/>
      <c r="U4035" s="9"/>
      <c r="V4035" s="9"/>
      <c r="W4035" s="9"/>
      <c r="X4035" s="9"/>
      <c r="Y4035" s="9"/>
      <c r="Z4035" s="9"/>
      <c r="AA4035" s="9"/>
      <c r="AB4035" s="9"/>
      <c r="AC4035" s="9"/>
      <c r="AD4035" s="9"/>
      <c r="AE4035" s="9"/>
      <c r="AF4035" s="9"/>
      <c r="AG4035" s="9"/>
      <c r="AH4035" s="9"/>
      <c r="AI4035" s="9"/>
      <c r="AJ4035" s="9"/>
      <c r="AK4035" s="9"/>
      <c r="AL4035" s="9"/>
      <c r="AM4035" s="9"/>
      <c r="AN4035" s="9"/>
      <c r="AO4035" s="9"/>
      <c r="AP4035" s="9"/>
      <c r="AQ4035" s="9"/>
      <c r="AR4035" s="9"/>
      <c r="AS4035" s="9"/>
      <c r="AT4035" s="9"/>
      <c r="AU4035" s="9"/>
    </row>
    <row r="4036" spans="1:47" ht="15.75" customHeight="1">
      <c r="A4036" s="9"/>
      <c r="B4036" s="9"/>
      <c r="C4036" s="9"/>
      <c r="D4036" s="9"/>
      <c r="E4036" s="9"/>
      <c r="F4036" s="67"/>
      <c r="G4036" s="9"/>
      <c r="H4036" s="9"/>
      <c r="I4036" s="9"/>
      <c r="J4036" s="9"/>
      <c r="K4036" s="9"/>
      <c r="L4036" s="9"/>
      <c r="M4036" s="9"/>
      <c r="N4036" s="9"/>
      <c r="O4036" s="9"/>
      <c r="P4036" s="9"/>
      <c r="Q4036" s="9"/>
      <c r="R4036" s="9"/>
      <c r="S4036" s="9"/>
      <c r="T4036" s="9"/>
      <c r="U4036" s="9"/>
      <c r="V4036" s="9"/>
      <c r="W4036" s="9"/>
      <c r="X4036" s="9"/>
      <c r="Y4036" s="9"/>
      <c r="Z4036" s="9"/>
      <c r="AA4036" s="9"/>
      <c r="AB4036" s="9"/>
      <c r="AC4036" s="9"/>
      <c r="AD4036" s="9"/>
      <c r="AE4036" s="9"/>
      <c r="AF4036" s="9"/>
      <c r="AG4036" s="9"/>
      <c r="AH4036" s="9"/>
      <c r="AI4036" s="9"/>
      <c r="AJ4036" s="9"/>
      <c r="AK4036" s="9"/>
      <c r="AL4036" s="9"/>
      <c r="AM4036" s="9"/>
      <c r="AN4036" s="9"/>
      <c r="AO4036" s="9"/>
      <c r="AP4036" s="9"/>
      <c r="AQ4036" s="9"/>
      <c r="AR4036" s="9"/>
      <c r="AS4036" s="9"/>
      <c r="AT4036" s="9"/>
      <c r="AU4036" s="9"/>
    </row>
    <row r="4037" spans="1:47" ht="15.75" customHeight="1">
      <c r="A4037" s="9"/>
      <c r="B4037" s="9"/>
      <c r="C4037" s="9"/>
      <c r="D4037" s="9"/>
      <c r="E4037" s="9"/>
      <c r="F4037" s="67"/>
      <c r="G4037" s="9"/>
      <c r="H4037" s="9"/>
      <c r="I4037" s="9"/>
      <c r="J4037" s="9"/>
      <c r="K4037" s="9"/>
      <c r="L4037" s="9"/>
      <c r="M4037" s="9"/>
      <c r="N4037" s="9"/>
      <c r="O4037" s="9"/>
      <c r="P4037" s="9"/>
      <c r="Q4037" s="9"/>
      <c r="R4037" s="9"/>
      <c r="S4037" s="9"/>
      <c r="T4037" s="9"/>
      <c r="U4037" s="9"/>
      <c r="V4037" s="9"/>
      <c r="W4037" s="9"/>
      <c r="X4037" s="9"/>
      <c r="Y4037" s="9"/>
      <c r="Z4037" s="9"/>
      <c r="AA4037" s="9"/>
      <c r="AB4037" s="9"/>
      <c r="AC4037" s="9"/>
      <c r="AD4037" s="9"/>
      <c r="AE4037" s="9"/>
      <c r="AF4037" s="9"/>
      <c r="AG4037" s="9"/>
      <c r="AH4037" s="9"/>
      <c r="AI4037" s="9"/>
      <c r="AJ4037" s="9"/>
      <c r="AK4037" s="9"/>
      <c r="AL4037" s="9"/>
      <c r="AM4037" s="9"/>
      <c r="AN4037" s="9"/>
      <c r="AO4037" s="9"/>
      <c r="AP4037" s="9"/>
      <c r="AQ4037" s="9"/>
      <c r="AR4037" s="9"/>
      <c r="AS4037" s="9"/>
      <c r="AT4037" s="9"/>
      <c r="AU4037" s="9"/>
    </row>
    <row r="4038" spans="1:47" ht="15.75" customHeight="1">
      <c r="A4038" s="9"/>
      <c r="B4038" s="9"/>
      <c r="C4038" s="9"/>
      <c r="D4038" s="9"/>
      <c r="E4038" s="9"/>
      <c r="F4038" s="67"/>
      <c r="G4038" s="9"/>
      <c r="H4038" s="9"/>
      <c r="I4038" s="9"/>
      <c r="J4038" s="9"/>
      <c r="K4038" s="9"/>
      <c r="L4038" s="9"/>
      <c r="M4038" s="9"/>
      <c r="N4038" s="9"/>
      <c r="O4038" s="9"/>
      <c r="P4038" s="9"/>
      <c r="Q4038" s="9"/>
      <c r="R4038" s="9"/>
      <c r="S4038" s="9"/>
      <c r="T4038" s="9"/>
      <c r="U4038" s="9"/>
      <c r="V4038" s="9"/>
      <c r="W4038" s="9"/>
      <c r="X4038" s="9"/>
      <c r="Y4038" s="9"/>
      <c r="Z4038" s="9"/>
      <c r="AA4038" s="9"/>
      <c r="AB4038" s="9"/>
      <c r="AC4038" s="9"/>
      <c r="AD4038" s="9"/>
      <c r="AE4038" s="9"/>
      <c r="AF4038" s="9"/>
      <c r="AG4038" s="9"/>
      <c r="AH4038" s="9"/>
      <c r="AI4038" s="9"/>
      <c r="AJ4038" s="9"/>
      <c r="AK4038" s="9"/>
      <c r="AL4038" s="9"/>
      <c r="AM4038" s="9"/>
      <c r="AN4038" s="9"/>
      <c r="AO4038" s="9"/>
      <c r="AP4038" s="9"/>
      <c r="AQ4038" s="9"/>
      <c r="AR4038" s="9"/>
      <c r="AS4038" s="9"/>
      <c r="AT4038" s="9"/>
      <c r="AU4038" s="9"/>
    </row>
    <row r="4039" spans="1:47" ht="15.75" customHeight="1">
      <c r="A4039" s="9"/>
      <c r="B4039" s="9"/>
      <c r="C4039" s="9"/>
      <c r="D4039" s="9"/>
      <c r="E4039" s="9"/>
      <c r="F4039" s="67"/>
      <c r="G4039" s="9"/>
      <c r="H4039" s="9"/>
      <c r="I4039" s="9"/>
      <c r="J4039" s="9"/>
      <c r="K4039" s="9"/>
      <c r="L4039" s="9"/>
      <c r="M4039" s="9"/>
      <c r="N4039" s="9"/>
      <c r="O4039" s="9"/>
      <c r="P4039" s="9"/>
      <c r="Q4039" s="9"/>
      <c r="R4039" s="9"/>
      <c r="S4039" s="9"/>
      <c r="T4039" s="9"/>
      <c r="U4039" s="9"/>
      <c r="V4039" s="9"/>
      <c r="W4039" s="9"/>
      <c r="X4039" s="9"/>
      <c r="Y4039" s="9"/>
      <c r="Z4039" s="9"/>
      <c r="AA4039" s="9"/>
      <c r="AB4039" s="9"/>
      <c r="AC4039" s="9"/>
      <c r="AD4039" s="9"/>
      <c r="AE4039" s="9"/>
      <c r="AF4039" s="9"/>
      <c r="AG4039" s="9"/>
      <c r="AH4039" s="9"/>
      <c r="AI4039" s="9"/>
      <c r="AJ4039" s="9"/>
      <c r="AK4039" s="9"/>
      <c r="AL4039" s="9"/>
      <c r="AM4039" s="9"/>
      <c r="AN4039" s="9"/>
      <c r="AO4039" s="9"/>
      <c r="AP4039" s="9"/>
      <c r="AQ4039" s="9"/>
      <c r="AR4039" s="9"/>
      <c r="AS4039" s="9"/>
      <c r="AT4039" s="9"/>
      <c r="AU4039" s="9"/>
    </row>
    <row r="4040" spans="1:47" ht="15.75" customHeight="1">
      <c r="A4040" s="9"/>
      <c r="B4040" s="9"/>
      <c r="C4040" s="9"/>
      <c r="D4040" s="9"/>
      <c r="E4040" s="9"/>
      <c r="F4040" s="67"/>
      <c r="G4040" s="9"/>
      <c r="H4040" s="9"/>
      <c r="I4040" s="9"/>
      <c r="J4040" s="9"/>
      <c r="K4040" s="9"/>
      <c r="L4040" s="9"/>
      <c r="M4040" s="9"/>
      <c r="N4040" s="9"/>
      <c r="O4040" s="9"/>
      <c r="P4040" s="9"/>
      <c r="Q4040" s="9"/>
      <c r="R4040" s="9"/>
      <c r="S4040" s="9"/>
      <c r="T4040" s="9"/>
      <c r="U4040" s="9"/>
      <c r="V4040" s="9"/>
      <c r="W4040" s="9"/>
      <c r="X4040" s="9"/>
      <c r="Y4040" s="9"/>
      <c r="Z4040" s="9"/>
      <c r="AA4040" s="9"/>
      <c r="AB4040" s="9"/>
      <c r="AC4040" s="9"/>
      <c r="AD4040" s="9"/>
      <c r="AE4040" s="9"/>
      <c r="AF4040" s="9"/>
      <c r="AG4040" s="9"/>
      <c r="AH4040" s="9"/>
      <c r="AI4040" s="9"/>
      <c r="AJ4040" s="9"/>
      <c r="AK4040" s="9"/>
      <c r="AL4040" s="9"/>
      <c r="AM4040" s="9"/>
      <c r="AN4040" s="9"/>
      <c r="AO4040" s="9"/>
      <c r="AP4040" s="9"/>
      <c r="AQ4040" s="9"/>
      <c r="AR4040" s="9"/>
      <c r="AS4040" s="9"/>
      <c r="AT4040" s="9"/>
      <c r="AU4040" s="9"/>
    </row>
    <row r="4041" spans="1:47" ht="15.75" customHeight="1">
      <c r="A4041" s="9"/>
      <c r="B4041" s="9"/>
      <c r="C4041" s="9"/>
      <c r="D4041" s="9"/>
      <c r="E4041" s="9"/>
      <c r="F4041" s="67"/>
      <c r="G4041" s="9"/>
      <c r="H4041" s="9"/>
      <c r="I4041" s="9"/>
      <c r="J4041" s="9"/>
      <c r="K4041" s="9"/>
      <c r="L4041" s="9"/>
      <c r="M4041" s="9"/>
      <c r="N4041" s="9"/>
      <c r="O4041" s="9"/>
      <c r="P4041" s="9"/>
      <c r="Q4041" s="9"/>
      <c r="R4041" s="9"/>
      <c r="S4041" s="9"/>
      <c r="T4041" s="9"/>
      <c r="U4041" s="9"/>
      <c r="V4041" s="9"/>
      <c r="W4041" s="9"/>
      <c r="X4041" s="9"/>
      <c r="Y4041" s="9"/>
      <c r="Z4041" s="9"/>
      <c r="AA4041" s="9"/>
      <c r="AB4041" s="9"/>
      <c r="AC4041" s="9"/>
      <c r="AD4041" s="9"/>
      <c r="AE4041" s="9"/>
      <c r="AF4041" s="9"/>
      <c r="AG4041" s="9"/>
      <c r="AH4041" s="9"/>
      <c r="AI4041" s="9"/>
      <c r="AJ4041" s="9"/>
      <c r="AK4041" s="9"/>
      <c r="AL4041" s="9"/>
      <c r="AM4041" s="9"/>
      <c r="AN4041" s="9"/>
      <c r="AO4041" s="9"/>
      <c r="AP4041" s="9"/>
      <c r="AQ4041" s="9"/>
      <c r="AR4041" s="9"/>
      <c r="AS4041" s="9"/>
      <c r="AT4041" s="9"/>
      <c r="AU4041" s="9"/>
    </row>
    <row r="4042" spans="1:47" ht="15.75" customHeight="1">
      <c r="A4042" s="9"/>
      <c r="B4042" s="9"/>
      <c r="C4042" s="9"/>
      <c r="D4042" s="9"/>
      <c r="E4042" s="9"/>
      <c r="F4042" s="67"/>
      <c r="G4042" s="9"/>
      <c r="H4042" s="9"/>
      <c r="I4042" s="9"/>
      <c r="J4042" s="9"/>
      <c r="K4042" s="9"/>
      <c r="L4042" s="9"/>
      <c r="M4042" s="9"/>
      <c r="N4042" s="9"/>
      <c r="O4042" s="9"/>
      <c r="P4042" s="9"/>
      <c r="Q4042" s="9"/>
      <c r="R4042" s="9"/>
      <c r="S4042" s="9"/>
      <c r="T4042" s="9"/>
      <c r="U4042" s="9"/>
      <c r="V4042" s="9"/>
      <c r="W4042" s="9"/>
      <c r="X4042" s="9"/>
      <c r="Y4042" s="9"/>
      <c r="Z4042" s="9"/>
      <c r="AA4042" s="9"/>
      <c r="AB4042" s="9"/>
      <c r="AC4042" s="9"/>
      <c r="AD4042" s="9"/>
      <c r="AE4042" s="9"/>
      <c r="AF4042" s="9"/>
      <c r="AG4042" s="9"/>
      <c r="AH4042" s="9"/>
      <c r="AI4042" s="9"/>
      <c r="AJ4042" s="9"/>
      <c r="AK4042" s="9"/>
      <c r="AL4042" s="9"/>
      <c r="AM4042" s="9"/>
      <c r="AN4042" s="9"/>
      <c r="AO4042" s="9"/>
      <c r="AP4042" s="9"/>
      <c r="AQ4042" s="9"/>
      <c r="AR4042" s="9"/>
      <c r="AS4042" s="9"/>
      <c r="AT4042" s="9"/>
      <c r="AU4042" s="9"/>
    </row>
    <row r="4043" spans="1:47" ht="15.75" customHeight="1">
      <c r="A4043" s="9"/>
      <c r="B4043" s="9"/>
      <c r="C4043" s="9"/>
      <c r="D4043" s="9"/>
      <c r="E4043" s="9"/>
      <c r="F4043" s="67"/>
      <c r="G4043" s="9"/>
      <c r="H4043" s="9"/>
      <c r="I4043" s="9"/>
      <c r="J4043" s="9"/>
      <c r="K4043" s="9"/>
      <c r="L4043" s="9"/>
      <c r="M4043" s="9"/>
      <c r="N4043" s="9"/>
      <c r="O4043" s="9"/>
      <c r="P4043" s="9"/>
      <c r="Q4043" s="9"/>
      <c r="R4043" s="9"/>
      <c r="S4043" s="9"/>
      <c r="T4043" s="9"/>
      <c r="U4043" s="9"/>
      <c r="V4043" s="9"/>
      <c r="W4043" s="9"/>
      <c r="X4043" s="9"/>
      <c r="Y4043" s="9"/>
      <c r="Z4043" s="9"/>
      <c r="AA4043" s="9"/>
      <c r="AB4043" s="9"/>
      <c r="AC4043" s="9"/>
      <c r="AD4043" s="9"/>
      <c r="AE4043" s="9"/>
      <c r="AF4043" s="9"/>
      <c r="AG4043" s="9"/>
      <c r="AH4043" s="9"/>
      <c r="AI4043" s="9"/>
      <c r="AJ4043" s="9"/>
      <c r="AK4043" s="9"/>
      <c r="AL4043" s="9"/>
      <c r="AM4043" s="9"/>
      <c r="AN4043" s="9"/>
      <c r="AO4043" s="9"/>
      <c r="AP4043" s="9"/>
      <c r="AQ4043" s="9"/>
      <c r="AR4043" s="9"/>
      <c r="AS4043" s="9"/>
      <c r="AT4043" s="9"/>
      <c r="AU4043" s="9"/>
    </row>
    <row r="4044" spans="1:47" ht="15.75" customHeight="1">
      <c r="A4044" s="9"/>
      <c r="B4044" s="9"/>
      <c r="C4044" s="9"/>
      <c r="D4044" s="9"/>
      <c r="E4044" s="9"/>
      <c r="F4044" s="67"/>
      <c r="G4044" s="9"/>
      <c r="H4044" s="9"/>
      <c r="I4044" s="9"/>
      <c r="J4044" s="9"/>
      <c r="K4044" s="9"/>
      <c r="L4044" s="9"/>
      <c r="M4044" s="9"/>
      <c r="N4044" s="9"/>
      <c r="O4044" s="9"/>
      <c r="P4044" s="9"/>
      <c r="Q4044" s="9"/>
      <c r="R4044" s="9"/>
      <c r="S4044" s="9"/>
      <c r="T4044" s="9"/>
      <c r="U4044" s="9"/>
      <c r="V4044" s="9"/>
      <c r="W4044" s="9"/>
      <c r="X4044" s="9"/>
      <c r="Y4044" s="9"/>
      <c r="Z4044" s="9"/>
      <c r="AA4044" s="9"/>
      <c r="AB4044" s="9"/>
      <c r="AC4044" s="9"/>
      <c r="AD4044" s="9"/>
      <c r="AE4044" s="9"/>
      <c r="AF4044" s="9"/>
      <c r="AG4044" s="9"/>
      <c r="AH4044" s="9"/>
      <c r="AI4044" s="9"/>
      <c r="AJ4044" s="9"/>
      <c r="AK4044" s="9"/>
      <c r="AL4044" s="9"/>
      <c r="AM4044" s="9"/>
      <c r="AN4044" s="9"/>
      <c r="AO4044" s="9"/>
      <c r="AP4044" s="9"/>
      <c r="AQ4044" s="9"/>
      <c r="AR4044" s="9"/>
      <c r="AS4044" s="9"/>
      <c r="AT4044" s="9"/>
      <c r="AU4044" s="9"/>
    </row>
    <row r="4045" spans="1:47" ht="15.75" customHeight="1">
      <c r="A4045" s="9"/>
      <c r="B4045" s="9"/>
      <c r="C4045" s="9"/>
      <c r="D4045" s="9"/>
      <c r="E4045" s="9"/>
      <c r="F4045" s="67"/>
      <c r="G4045" s="9"/>
      <c r="H4045" s="9"/>
      <c r="I4045" s="9"/>
      <c r="J4045" s="9"/>
      <c r="K4045" s="9"/>
      <c r="L4045" s="9"/>
      <c r="M4045" s="9"/>
      <c r="N4045" s="9"/>
      <c r="O4045" s="9"/>
      <c r="P4045" s="9"/>
      <c r="Q4045" s="9"/>
      <c r="R4045" s="9"/>
      <c r="S4045" s="9"/>
      <c r="T4045" s="9"/>
      <c r="U4045" s="9"/>
      <c r="V4045" s="9"/>
      <c r="W4045" s="9"/>
      <c r="X4045" s="9"/>
      <c r="Y4045" s="9"/>
      <c r="Z4045" s="9"/>
      <c r="AA4045" s="9"/>
      <c r="AB4045" s="9"/>
      <c r="AC4045" s="9"/>
      <c r="AD4045" s="9"/>
      <c r="AE4045" s="9"/>
      <c r="AF4045" s="9"/>
      <c r="AG4045" s="9"/>
      <c r="AH4045" s="9"/>
      <c r="AI4045" s="9"/>
      <c r="AJ4045" s="9"/>
      <c r="AK4045" s="9"/>
      <c r="AL4045" s="9"/>
      <c r="AM4045" s="9"/>
      <c r="AN4045" s="9"/>
      <c r="AO4045" s="9"/>
      <c r="AP4045" s="9"/>
      <c r="AQ4045" s="9"/>
      <c r="AR4045" s="9"/>
      <c r="AS4045" s="9"/>
      <c r="AT4045" s="9"/>
      <c r="AU4045" s="9"/>
    </row>
    <row r="4046" spans="1:47" ht="15.75" customHeight="1">
      <c r="A4046" s="9"/>
      <c r="B4046" s="9"/>
      <c r="C4046" s="9"/>
      <c r="D4046" s="9"/>
      <c r="E4046" s="9"/>
      <c r="F4046" s="67"/>
      <c r="G4046" s="9"/>
      <c r="H4046" s="9"/>
      <c r="I4046" s="9"/>
      <c r="J4046" s="9"/>
      <c r="K4046" s="9"/>
      <c r="L4046" s="9"/>
      <c r="M4046" s="9"/>
      <c r="N4046" s="9"/>
      <c r="O4046" s="9"/>
      <c r="P4046" s="9"/>
      <c r="Q4046" s="9"/>
      <c r="R4046" s="9"/>
      <c r="S4046" s="9"/>
      <c r="T4046" s="9"/>
      <c r="U4046" s="9"/>
      <c r="V4046" s="9"/>
      <c r="W4046" s="9"/>
      <c r="X4046" s="9"/>
      <c r="Y4046" s="9"/>
      <c r="Z4046" s="9"/>
      <c r="AA4046" s="9"/>
      <c r="AB4046" s="9"/>
      <c r="AC4046" s="9"/>
      <c r="AD4046" s="9"/>
      <c r="AE4046" s="9"/>
      <c r="AF4046" s="9"/>
      <c r="AG4046" s="9"/>
      <c r="AH4046" s="9"/>
      <c r="AI4046" s="9"/>
      <c r="AJ4046" s="9"/>
      <c r="AK4046" s="9"/>
      <c r="AL4046" s="9"/>
      <c r="AM4046" s="9"/>
      <c r="AN4046" s="9"/>
      <c r="AO4046" s="9"/>
      <c r="AP4046" s="9"/>
      <c r="AQ4046" s="9"/>
      <c r="AR4046" s="9"/>
      <c r="AS4046" s="9"/>
      <c r="AT4046" s="9"/>
      <c r="AU4046" s="9"/>
    </row>
    <row r="4047" spans="1:47" ht="15.75" customHeight="1">
      <c r="A4047" s="9"/>
      <c r="B4047" s="9"/>
      <c r="C4047" s="9"/>
      <c r="D4047" s="9"/>
      <c r="E4047" s="9"/>
      <c r="F4047" s="67"/>
      <c r="G4047" s="9"/>
      <c r="H4047" s="9"/>
      <c r="I4047" s="9"/>
      <c r="J4047" s="9"/>
      <c r="K4047" s="9"/>
      <c r="L4047" s="9"/>
      <c r="M4047" s="9"/>
      <c r="N4047" s="9"/>
      <c r="O4047" s="9"/>
      <c r="P4047" s="9"/>
      <c r="Q4047" s="9"/>
      <c r="R4047" s="9"/>
      <c r="S4047" s="9"/>
      <c r="T4047" s="9"/>
      <c r="U4047" s="9"/>
      <c r="V4047" s="9"/>
      <c r="W4047" s="9"/>
      <c r="X4047" s="9"/>
      <c r="Y4047" s="9"/>
      <c r="Z4047" s="9"/>
      <c r="AA4047" s="9"/>
      <c r="AB4047" s="9"/>
      <c r="AC4047" s="9"/>
      <c r="AD4047" s="9"/>
      <c r="AE4047" s="9"/>
      <c r="AF4047" s="9"/>
      <c r="AG4047" s="9"/>
      <c r="AH4047" s="9"/>
      <c r="AI4047" s="9"/>
      <c r="AJ4047" s="9"/>
      <c r="AK4047" s="9"/>
      <c r="AL4047" s="9"/>
      <c r="AM4047" s="9"/>
      <c r="AN4047" s="9"/>
      <c r="AO4047" s="9"/>
      <c r="AP4047" s="9"/>
      <c r="AQ4047" s="9"/>
      <c r="AR4047" s="9"/>
      <c r="AS4047" s="9"/>
      <c r="AT4047" s="9"/>
      <c r="AU4047" s="9"/>
    </row>
    <row r="4048" spans="1:47" ht="15.75" customHeight="1">
      <c r="A4048" s="9"/>
      <c r="B4048" s="9"/>
      <c r="C4048" s="9"/>
      <c r="D4048" s="9"/>
      <c r="E4048" s="9"/>
      <c r="F4048" s="67"/>
      <c r="G4048" s="9"/>
      <c r="H4048" s="9"/>
      <c r="I4048" s="9"/>
      <c r="J4048" s="9"/>
      <c r="K4048" s="9"/>
      <c r="L4048" s="9"/>
      <c r="M4048" s="9"/>
      <c r="N4048" s="9"/>
      <c r="O4048" s="9"/>
      <c r="P4048" s="9"/>
      <c r="Q4048" s="9"/>
      <c r="R4048" s="9"/>
      <c r="S4048" s="9"/>
      <c r="T4048" s="9"/>
      <c r="U4048" s="9"/>
      <c r="V4048" s="9"/>
      <c r="W4048" s="9"/>
      <c r="X4048" s="9"/>
      <c r="Y4048" s="9"/>
      <c r="Z4048" s="9"/>
      <c r="AA4048" s="9"/>
      <c r="AB4048" s="9"/>
      <c r="AC4048" s="9"/>
      <c r="AD4048" s="9"/>
      <c r="AE4048" s="9"/>
      <c r="AF4048" s="9"/>
      <c r="AG4048" s="9"/>
      <c r="AH4048" s="9"/>
      <c r="AI4048" s="9"/>
      <c r="AJ4048" s="9"/>
      <c r="AK4048" s="9"/>
      <c r="AL4048" s="9"/>
      <c r="AM4048" s="9"/>
      <c r="AN4048" s="9"/>
      <c r="AO4048" s="9"/>
      <c r="AP4048" s="9"/>
      <c r="AQ4048" s="9"/>
      <c r="AR4048" s="9"/>
      <c r="AS4048" s="9"/>
      <c r="AT4048" s="9"/>
      <c r="AU4048" s="9"/>
    </row>
    <row r="4049" spans="1:47" ht="15.75" customHeight="1">
      <c r="A4049" s="9"/>
      <c r="B4049" s="9"/>
      <c r="C4049" s="9"/>
      <c r="D4049" s="9"/>
      <c r="E4049" s="9"/>
      <c r="F4049" s="67"/>
      <c r="G4049" s="9"/>
      <c r="H4049" s="9"/>
      <c r="I4049" s="9"/>
      <c r="J4049" s="9"/>
      <c r="K4049" s="9"/>
      <c r="L4049" s="9"/>
      <c r="M4049" s="9"/>
      <c r="N4049" s="9"/>
      <c r="O4049" s="9"/>
      <c r="P4049" s="9"/>
      <c r="Q4049" s="9"/>
      <c r="R4049" s="9"/>
      <c r="S4049" s="9"/>
      <c r="T4049" s="9"/>
      <c r="U4049" s="9"/>
      <c r="V4049" s="9"/>
      <c r="W4049" s="9"/>
      <c r="X4049" s="9"/>
      <c r="Y4049" s="9"/>
      <c r="Z4049" s="9"/>
      <c r="AA4049" s="9"/>
      <c r="AB4049" s="9"/>
      <c r="AC4049" s="9"/>
      <c r="AD4049" s="9"/>
      <c r="AE4049" s="9"/>
      <c r="AF4049" s="9"/>
      <c r="AG4049" s="9"/>
      <c r="AH4049" s="9"/>
      <c r="AI4049" s="9"/>
      <c r="AJ4049" s="9"/>
      <c r="AK4049" s="9"/>
      <c r="AL4049" s="9"/>
      <c r="AM4049" s="9"/>
      <c r="AN4049" s="9"/>
      <c r="AO4049" s="9"/>
      <c r="AP4049" s="9"/>
      <c r="AQ4049" s="9"/>
      <c r="AR4049" s="9"/>
      <c r="AS4049" s="9"/>
      <c r="AT4049" s="9"/>
      <c r="AU4049" s="9"/>
    </row>
    <row r="4050" spans="1:47" ht="15.75" customHeight="1">
      <c r="A4050" s="9"/>
      <c r="B4050" s="9"/>
      <c r="C4050" s="9"/>
      <c r="D4050" s="9"/>
      <c r="E4050" s="9"/>
      <c r="F4050" s="67"/>
      <c r="G4050" s="9"/>
      <c r="H4050" s="9"/>
      <c r="I4050" s="9"/>
      <c r="J4050" s="9"/>
      <c r="K4050" s="9"/>
      <c r="L4050" s="9"/>
      <c r="M4050" s="9"/>
      <c r="N4050" s="9"/>
      <c r="O4050" s="9"/>
      <c r="P4050" s="9"/>
      <c r="Q4050" s="9"/>
      <c r="R4050" s="9"/>
      <c r="S4050" s="9"/>
      <c r="T4050" s="9"/>
      <c r="U4050" s="9"/>
      <c r="V4050" s="9"/>
      <c r="W4050" s="9"/>
      <c r="X4050" s="9"/>
      <c r="Y4050" s="9"/>
      <c r="Z4050" s="9"/>
      <c r="AA4050" s="9"/>
      <c r="AB4050" s="9"/>
      <c r="AC4050" s="9"/>
      <c r="AD4050" s="9"/>
      <c r="AE4050" s="9"/>
      <c r="AF4050" s="9"/>
      <c r="AG4050" s="9"/>
      <c r="AH4050" s="9"/>
      <c r="AI4050" s="9"/>
      <c r="AJ4050" s="9"/>
      <c r="AK4050" s="9"/>
      <c r="AL4050" s="9"/>
      <c r="AM4050" s="9"/>
      <c r="AN4050" s="9"/>
      <c r="AO4050" s="9"/>
      <c r="AP4050" s="9"/>
      <c r="AQ4050" s="9"/>
      <c r="AR4050" s="9"/>
      <c r="AS4050" s="9"/>
      <c r="AT4050" s="9"/>
      <c r="AU4050" s="9"/>
    </row>
    <row r="4051" spans="1:47" ht="15.75" customHeight="1">
      <c r="A4051" s="9"/>
      <c r="B4051" s="9"/>
      <c r="C4051" s="9"/>
      <c r="D4051" s="9"/>
      <c r="E4051" s="9"/>
      <c r="F4051" s="67"/>
      <c r="G4051" s="9"/>
      <c r="H4051" s="9"/>
      <c r="I4051" s="9"/>
      <c r="J4051" s="9"/>
      <c r="K4051" s="9"/>
      <c r="L4051" s="9"/>
      <c r="M4051" s="9"/>
      <c r="N4051" s="9"/>
      <c r="O4051" s="9"/>
      <c r="P4051" s="9"/>
      <c r="Q4051" s="9"/>
      <c r="R4051" s="9"/>
      <c r="S4051" s="9"/>
      <c r="T4051" s="9"/>
      <c r="U4051" s="9"/>
      <c r="V4051" s="9"/>
      <c r="W4051" s="9"/>
      <c r="X4051" s="9"/>
      <c r="Y4051" s="9"/>
      <c r="Z4051" s="9"/>
      <c r="AA4051" s="9"/>
      <c r="AB4051" s="9"/>
      <c r="AC4051" s="9"/>
      <c r="AD4051" s="9"/>
      <c r="AE4051" s="9"/>
      <c r="AF4051" s="9"/>
      <c r="AG4051" s="9"/>
      <c r="AH4051" s="9"/>
      <c r="AI4051" s="9"/>
      <c r="AJ4051" s="9"/>
      <c r="AK4051" s="9"/>
      <c r="AL4051" s="9"/>
      <c r="AM4051" s="9"/>
      <c r="AN4051" s="9"/>
      <c r="AO4051" s="9"/>
      <c r="AP4051" s="9"/>
      <c r="AQ4051" s="9"/>
      <c r="AR4051" s="9"/>
      <c r="AS4051" s="9"/>
      <c r="AT4051" s="9"/>
      <c r="AU4051" s="9"/>
    </row>
    <row r="4052" spans="1:47" ht="15.75" customHeight="1">
      <c r="A4052" s="9"/>
      <c r="B4052" s="9"/>
      <c r="C4052" s="9"/>
      <c r="D4052" s="9"/>
      <c r="E4052" s="9"/>
      <c r="F4052" s="67"/>
      <c r="G4052" s="9"/>
      <c r="H4052" s="9"/>
      <c r="I4052" s="9"/>
      <c r="J4052" s="9"/>
      <c r="K4052" s="9"/>
      <c r="L4052" s="9"/>
      <c r="M4052" s="9"/>
      <c r="N4052" s="9"/>
      <c r="O4052" s="9"/>
      <c r="P4052" s="9"/>
      <c r="Q4052" s="9"/>
      <c r="R4052" s="9"/>
      <c r="S4052" s="9"/>
      <c r="T4052" s="9"/>
      <c r="U4052" s="9"/>
      <c r="V4052" s="9"/>
      <c r="W4052" s="9"/>
      <c r="X4052" s="9"/>
      <c r="Y4052" s="9"/>
      <c r="Z4052" s="9"/>
      <c r="AA4052" s="9"/>
      <c r="AB4052" s="9"/>
      <c r="AC4052" s="9"/>
      <c r="AD4052" s="9"/>
      <c r="AE4052" s="9"/>
      <c r="AF4052" s="9"/>
      <c r="AG4052" s="9"/>
      <c r="AH4052" s="9"/>
      <c r="AI4052" s="9"/>
      <c r="AJ4052" s="9"/>
      <c r="AK4052" s="9"/>
      <c r="AL4052" s="9"/>
      <c r="AM4052" s="9"/>
      <c r="AN4052" s="9"/>
      <c r="AO4052" s="9"/>
      <c r="AP4052" s="9"/>
      <c r="AQ4052" s="9"/>
      <c r="AR4052" s="9"/>
      <c r="AS4052" s="9"/>
      <c r="AT4052" s="9"/>
      <c r="AU4052" s="9"/>
    </row>
    <row r="4053" spans="1:47" ht="15.75" customHeight="1">
      <c r="A4053" s="9"/>
      <c r="B4053" s="9"/>
      <c r="C4053" s="9"/>
      <c r="D4053" s="9"/>
      <c r="E4053" s="9"/>
      <c r="F4053" s="67"/>
      <c r="G4053" s="9"/>
      <c r="H4053" s="9"/>
      <c r="I4053" s="9"/>
      <c r="J4053" s="9"/>
      <c r="K4053" s="9"/>
      <c r="L4053" s="9"/>
      <c r="M4053" s="9"/>
      <c r="N4053" s="9"/>
      <c r="O4053" s="9"/>
      <c r="P4053" s="9"/>
      <c r="Q4053" s="9"/>
      <c r="R4053" s="9"/>
      <c r="S4053" s="9"/>
      <c r="T4053" s="9"/>
      <c r="U4053" s="9"/>
      <c r="V4053" s="9"/>
      <c r="W4053" s="9"/>
      <c r="X4053" s="9"/>
      <c r="Y4053" s="9"/>
      <c r="Z4053" s="9"/>
      <c r="AA4053" s="9"/>
      <c r="AB4053" s="9"/>
      <c r="AC4053" s="9"/>
      <c r="AD4053" s="9"/>
      <c r="AE4053" s="9"/>
      <c r="AF4053" s="9"/>
      <c r="AG4053" s="9"/>
      <c r="AH4053" s="9"/>
      <c r="AI4053" s="9"/>
      <c r="AJ4053" s="9"/>
      <c r="AK4053" s="9"/>
      <c r="AL4053" s="9"/>
      <c r="AM4053" s="9"/>
      <c r="AN4053" s="9"/>
      <c r="AO4053" s="9"/>
      <c r="AP4053" s="9"/>
      <c r="AQ4053" s="9"/>
      <c r="AR4053" s="9"/>
      <c r="AS4053" s="9"/>
      <c r="AT4053" s="9"/>
      <c r="AU4053" s="9"/>
    </row>
    <row r="4054" spans="1:47" ht="15.75" customHeight="1">
      <c r="A4054" s="9"/>
      <c r="B4054" s="9"/>
      <c r="C4054" s="9"/>
      <c r="D4054" s="9"/>
      <c r="E4054" s="9"/>
      <c r="F4054" s="67"/>
      <c r="G4054" s="9"/>
      <c r="H4054" s="9"/>
      <c r="I4054" s="9"/>
      <c r="J4054" s="9"/>
      <c r="K4054" s="9"/>
      <c r="L4054" s="9"/>
      <c r="M4054" s="9"/>
      <c r="N4054" s="9"/>
      <c r="O4054" s="9"/>
      <c r="P4054" s="9"/>
      <c r="Q4054" s="9"/>
      <c r="R4054" s="9"/>
      <c r="S4054" s="9"/>
      <c r="T4054" s="9"/>
      <c r="U4054" s="9"/>
      <c r="V4054" s="9"/>
      <c r="W4054" s="9"/>
      <c r="X4054" s="9"/>
      <c r="Y4054" s="9"/>
      <c r="Z4054" s="9"/>
      <c r="AA4054" s="9"/>
      <c r="AB4054" s="9"/>
      <c r="AC4054" s="9"/>
      <c r="AD4054" s="9"/>
      <c r="AE4054" s="9"/>
      <c r="AF4054" s="9"/>
      <c r="AG4054" s="9"/>
      <c r="AH4054" s="9"/>
      <c r="AI4054" s="9"/>
      <c r="AJ4054" s="9"/>
      <c r="AK4054" s="9"/>
      <c r="AL4054" s="9"/>
      <c r="AM4054" s="9"/>
      <c r="AN4054" s="9"/>
      <c r="AO4054" s="9"/>
      <c r="AP4054" s="9"/>
      <c r="AQ4054" s="9"/>
      <c r="AR4054" s="9"/>
      <c r="AS4054" s="9"/>
      <c r="AT4054" s="9"/>
      <c r="AU4054" s="9"/>
    </row>
    <row r="4055" spans="1:47" ht="15.75" customHeight="1">
      <c r="A4055" s="9"/>
      <c r="B4055" s="9"/>
      <c r="C4055" s="9"/>
      <c r="D4055" s="9"/>
      <c r="E4055" s="9"/>
      <c r="F4055" s="67"/>
      <c r="G4055" s="9"/>
      <c r="H4055" s="9"/>
      <c r="I4055" s="9"/>
      <c r="J4055" s="9"/>
      <c r="K4055" s="9"/>
      <c r="L4055" s="9"/>
      <c r="M4055" s="9"/>
      <c r="N4055" s="9"/>
      <c r="O4055" s="9"/>
      <c r="P4055" s="9"/>
      <c r="Q4055" s="9"/>
      <c r="R4055" s="9"/>
      <c r="S4055" s="9"/>
      <c r="T4055" s="9"/>
      <c r="U4055" s="9"/>
      <c r="V4055" s="9"/>
      <c r="W4055" s="9"/>
      <c r="X4055" s="9"/>
      <c r="Y4055" s="9"/>
      <c r="Z4055" s="9"/>
      <c r="AA4055" s="9"/>
      <c r="AB4055" s="9"/>
      <c r="AC4055" s="9"/>
      <c r="AD4055" s="9"/>
      <c r="AE4055" s="9"/>
      <c r="AF4055" s="9"/>
      <c r="AG4055" s="9"/>
      <c r="AH4055" s="9"/>
      <c r="AI4055" s="9"/>
      <c r="AJ4055" s="9"/>
      <c r="AK4055" s="9"/>
      <c r="AL4055" s="9"/>
      <c r="AM4055" s="9"/>
      <c r="AN4055" s="9"/>
      <c r="AO4055" s="9"/>
      <c r="AP4055" s="9"/>
      <c r="AQ4055" s="9"/>
      <c r="AR4055" s="9"/>
      <c r="AS4055" s="9"/>
      <c r="AT4055" s="9"/>
      <c r="AU4055" s="9"/>
    </row>
    <row r="4056" spans="1:47" ht="15.75" customHeight="1">
      <c r="A4056" s="9"/>
      <c r="B4056" s="9"/>
      <c r="C4056" s="9"/>
      <c r="D4056" s="9"/>
      <c r="E4056" s="9"/>
      <c r="F4056" s="67"/>
      <c r="G4056" s="9"/>
      <c r="H4056" s="9"/>
      <c r="I4056" s="9"/>
      <c r="J4056" s="9"/>
      <c r="K4056" s="9"/>
      <c r="L4056" s="9"/>
      <c r="M4056" s="9"/>
      <c r="N4056" s="9"/>
      <c r="O4056" s="9"/>
      <c r="P4056" s="9"/>
      <c r="Q4056" s="9"/>
      <c r="R4056" s="9"/>
      <c r="S4056" s="9"/>
      <c r="T4056" s="9"/>
      <c r="U4056" s="9"/>
      <c r="V4056" s="9"/>
      <c r="W4056" s="9"/>
      <c r="X4056" s="9"/>
      <c r="Y4056" s="9"/>
      <c r="Z4056" s="9"/>
      <c r="AA4056" s="9"/>
      <c r="AB4056" s="9"/>
      <c r="AC4056" s="9"/>
      <c r="AD4056" s="9"/>
      <c r="AE4056" s="9"/>
      <c r="AF4056" s="9"/>
      <c r="AG4056" s="9"/>
      <c r="AH4056" s="9"/>
      <c r="AI4056" s="9"/>
      <c r="AJ4056" s="9"/>
      <c r="AK4056" s="9"/>
      <c r="AL4056" s="9"/>
      <c r="AM4056" s="9"/>
      <c r="AN4056" s="9"/>
      <c r="AO4056" s="9"/>
      <c r="AP4056" s="9"/>
      <c r="AQ4056" s="9"/>
      <c r="AR4056" s="9"/>
      <c r="AS4056" s="9"/>
      <c r="AT4056" s="9"/>
      <c r="AU4056" s="9"/>
    </row>
    <row r="4057" spans="1:47" ht="15.75" customHeight="1">
      <c r="A4057" s="9"/>
      <c r="B4057" s="9"/>
      <c r="C4057" s="9"/>
      <c r="D4057" s="9"/>
      <c r="E4057" s="9"/>
      <c r="F4057" s="67"/>
      <c r="G4057" s="9"/>
      <c r="H4057" s="9"/>
      <c r="I4057" s="9"/>
      <c r="J4057" s="9"/>
      <c r="K4057" s="9"/>
      <c r="L4057" s="9"/>
      <c r="M4057" s="9"/>
      <c r="N4057" s="9"/>
      <c r="O4057" s="9"/>
      <c r="P4057" s="9"/>
      <c r="Q4057" s="9"/>
      <c r="R4057" s="9"/>
      <c r="S4057" s="9"/>
      <c r="T4057" s="9"/>
      <c r="U4057" s="9"/>
      <c r="V4057" s="9"/>
      <c r="W4057" s="9"/>
      <c r="X4057" s="9"/>
      <c r="Y4057" s="9"/>
      <c r="Z4057" s="9"/>
      <c r="AA4057" s="9"/>
      <c r="AB4057" s="9"/>
      <c r="AC4057" s="9"/>
      <c r="AD4057" s="9"/>
      <c r="AE4057" s="9"/>
      <c r="AF4057" s="9"/>
      <c r="AG4057" s="9"/>
      <c r="AH4057" s="9"/>
      <c r="AI4057" s="9"/>
      <c r="AJ4057" s="9"/>
      <c r="AK4057" s="9"/>
      <c r="AL4057" s="9"/>
      <c r="AM4057" s="9"/>
      <c r="AN4057" s="9"/>
      <c r="AO4057" s="9"/>
      <c r="AP4057" s="9"/>
      <c r="AQ4057" s="9"/>
      <c r="AR4057" s="9"/>
      <c r="AS4057" s="9"/>
      <c r="AT4057" s="9"/>
      <c r="AU4057" s="9"/>
    </row>
    <row r="4058" spans="1:47" ht="15.75" customHeight="1">
      <c r="A4058" s="9"/>
      <c r="B4058" s="9"/>
      <c r="C4058" s="9"/>
      <c r="D4058" s="9"/>
      <c r="E4058" s="9"/>
      <c r="F4058" s="67"/>
      <c r="G4058" s="9"/>
      <c r="H4058" s="9"/>
      <c r="I4058" s="9"/>
      <c r="J4058" s="9"/>
      <c r="K4058" s="9"/>
      <c r="L4058" s="9"/>
      <c r="M4058" s="9"/>
      <c r="N4058" s="9"/>
      <c r="O4058" s="9"/>
      <c r="P4058" s="9"/>
      <c r="Q4058" s="9"/>
      <c r="R4058" s="9"/>
      <c r="S4058" s="9"/>
      <c r="T4058" s="9"/>
      <c r="U4058" s="9"/>
      <c r="V4058" s="9"/>
      <c r="W4058" s="9"/>
      <c r="X4058" s="9"/>
      <c r="Y4058" s="9"/>
      <c r="Z4058" s="9"/>
      <c r="AA4058" s="9"/>
      <c r="AB4058" s="9"/>
      <c r="AC4058" s="9"/>
      <c r="AD4058" s="9"/>
      <c r="AE4058" s="9"/>
      <c r="AF4058" s="9"/>
      <c r="AG4058" s="9"/>
      <c r="AH4058" s="9"/>
      <c r="AI4058" s="9"/>
      <c r="AJ4058" s="9"/>
      <c r="AK4058" s="9"/>
      <c r="AL4058" s="9"/>
      <c r="AM4058" s="9"/>
      <c r="AN4058" s="9"/>
      <c r="AO4058" s="9"/>
      <c r="AP4058" s="9"/>
      <c r="AQ4058" s="9"/>
      <c r="AR4058" s="9"/>
      <c r="AS4058" s="9"/>
      <c r="AT4058" s="9"/>
      <c r="AU4058" s="9"/>
    </row>
    <row r="4059" spans="1:47" ht="15.75" customHeight="1">
      <c r="A4059" s="9"/>
      <c r="B4059" s="9"/>
      <c r="C4059" s="9"/>
      <c r="D4059" s="9"/>
      <c r="E4059" s="9"/>
      <c r="F4059" s="67"/>
      <c r="G4059" s="9"/>
      <c r="H4059" s="9"/>
      <c r="I4059" s="9"/>
      <c r="J4059" s="9"/>
      <c r="K4059" s="9"/>
      <c r="L4059" s="9"/>
      <c r="M4059" s="9"/>
      <c r="N4059" s="9"/>
      <c r="O4059" s="9"/>
      <c r="P4059" s="9"/>
      <c r="Q4059" s="9"/>
      <c r="R4059" s="9"/>
      <c r="S4059" s="9"/>
      <c r="T4059" s="9"/>
      <c r="U4059" s="9"/>
      <c r="V4059" s="9"/>
      <c r="W4059" s="9"/>
      <c r="X4059" s="9"/>
      <c r="Y4059" s="9"/>
      <c r="Z4059" s="9"/>
      <c r="AA4059" s="9"/>
      <c r="AB4059" s="9"/>
      <c r="AC4059" s="9"/>
      <c r="AD4059" s="9"/>
      <c r="AE4059" s="9"/>
      <c r="AF4059" s="9"/>
      <c r="AG4059" s="9"/>
      <c r="AH4059" s="9"/>
      <c r="AI4059" s="9"/>
      <c r="AJ4059" s="9"/>
      <c r="AK4059" s="9"/>
      <c r="AL4059" s="9"/>
      <c r="AM4059" s="9"/>
      <c r="AN4059" s="9"/>
      <c r="AO4059" s="9"/>
      <c r="AP4059" s="9"/>
      <c r="AQ4059" s="9"/>
      <c r="AR4059" s="9"/>
      <c r="AS4059" s="9"/>
      <c r="AT4059" s="9"/>
      <c r="AU4059" s="9"/>
    </row>
    <row r="4060" spans="1:47" ht="15.75" customHeight="1">
      <c r="A4060" s="9"/>
      <c r="B4060" s="9"/>
      <c r="C4060" s="9"/>
      <c r="D4060" s="9"/>
      <c r="E4060" s="9"/>
      <c r="F4060" s="67"/>
      <c r="G4060" s="9"/>
      <c r="H4060" s="9"/>
      <c r="I4060" s="9"/>
      <c r="J4060" s="9"/>
      <c r="K4060" s="9"/>
      <c r="L4060" s="9"/>
      <c r="M4060" s="9"/>
      <c r="N4060" s="9"/>
      <c r="O4060" s="9"/>
      <c r="P4060" s="9"/>
      <c r="Q4060" s="9"/>
      <c r="R4060" s="9"/>
      <c r="S4060" s="9"/>
      <c r="T4060" s="9"/>
      <c r="U4060" s="9"/>
      <c r="V4060" s="9"/>
      <c r="W4060" s="9"/>
      <c r="X4060" s="9"/>
      <c r="Y4060" s="9"/>
      <c r="Z4060" s="9"/>
      <c r="AA4060" s="9"/>
      <c r="AB4060" s="9"/>
      <c r="AC4060" s="9"/>
      <c r="AD4060" s="9"/>
      <c r="AE4060" s="9"/>
      <c r="AF4060" s="9"/>
      <c r="AG4060" s="9"/>
      <c r="AH4060" s="9"/>
      <c r="AI4060" s="9"/>
      <c r="AJ4060" s="9"/>
      <c r="AK4060" s="9"/>
      <c r="AL4060" s="9"/>
      <c r="AM4060" s="9"/>
      <c r="AN4060" s="9"/>
      <c r="AO4060" s="9"/>
      <c r="AP4060" s="9"/>
      <c r="AQ4060" s="9"/>
      <c r="AR4060" s="9"/>
      <c r="AS4060" s="9"/>
      <c r="AT4060" s="9"/>
      <c r="AU4060" s="9"/>
    </row>
    <row r="4061" spans="1:47" ht="15.75" customHeight="1">
      <c r="A4061" s="9"/>
      <c r="B4061" s="9"/>
      <c r="C4061" s="9"/>
      <c r="D4061" s="9"/>
      <c r="E4061" s="9"/>
      <c r="F4061" s="67"/>
      <c r="G4061" s="9"/>
      <c r="H4061" s="9"/>
      <c r="I4061" s="9"/>
      <c r="J4061" s="9"/>
      <c r="K4061" s="9"/>
      <c r="L4061" s="9"/>
      <c r="M4061" s="9"/>
      <c r="N4061" s="9"/>
      <c r="O4061" s="9"/>
      <c r="P4061" s="9"/>
      <c r="Q4061" s="9"/>
      <c r="R4061" s="9"/>
      <c r="S4061" s="9"/>
      <c r="T4061" s="9"/>
      <c r="U4061" s="9"/>
      <c r="V4061" s="9"/>
      <c r="W4061" s="9"/>
      <c r="X4061" s="9"/>
      <c r="Y4061" s="9"/>
      <c r="Z4061" s="9"/>
      <c r="AA4061" s="9"/>
      <c r="AB4061" s="9"/>
      <c r="AC4061" s="9"/>
      <c r="AD4061" s="9"/>
      <c r="AE4061" s="9"/>
      <c r="AF4061" s="9"/>
      <c r="AG4061" s="9"/>
      <c r="AH4061" s="9"/>
      <c r="AI4061" s="9"/>
      <c r="AJ4061" s="9"/>
      <c r="AK4061" s="9"/>
      <c r="AL4061" s="9"/>
      <c r="AM4061" s="9"/>
      <c r="AN4061" s="9"/>
      <c r="AO4061" s="9"/>
      <c r="AP4061" s="9"/>
      <c r="AQ4061" s="9"/>
      <c r="AR4061" s="9"/>
      <c r="AS4061" s="9"/>
      <c r="AT4061" s="9"/>
      <c r="AU4061" s="9"/>
    </row>
    <row r="4062" spans="1:47" ht="15.75" customHeight="1">
      <c r="A4062" s="9"/>
      <c r="B4062" s="9"/>
      <c r="C4062" s="9"/>
      <c r="D4062" s="9"/>
      <c r="E4062" s="9"/>
      <c r="F4062" s="67"/>
      <c r="G4062" s="9"/>
      <c r="H4062" s="9"/>
      <c r="I4062" s="9"/>
      <c r="J4062" s="9"/>
      <c r="K4062" s="9"/>
      <c r="L4062" s="9"/>
      <c r="M4062" s="9"/>
      <c r="N4062" s="9"/>
      <c r="O4062" s="9"/>
      <c r="P4062" s="9"/>
      <c r="Q4062" s="9"/>
      <c r="R4062" s="9"/>
      <c r="S4062" s="9"/>
      <c r="T4062" s="9"/>
      <c r="U4062" s="9"/>
      <c r="V4062" s="9"/>
      <c r="W4062" s="9"/>
      <c r="X4062" s="9"/>
      <c r="Y4062" s="9"/>
      <c r="Z4062" s="9"/>
      <c r="AA4062" s="9"/>
      <c r="AB4062" s="9"/>
      <c r="AC4062" s="9"/>
      <c r="AD4062" s="9"/>
      <c r="AE4062" s="9"/>
      <c r="AF4062" s="9"/>
      <c r="AG4062" s="9"/>
      <c r="AH4062" s="9"/>
      <c r="AI4062" s="9"/>
      <c r="AJ4062" s="9"/>
      <c r="AK4062" s="9"/>
      <c r="AL4062" s="9"/>
      <c r="AM4062" s="9"/>
      <c r="AN4062" s="9"/>
      <c r="AO4062" s="9"/>
      <c r="AP4062" s="9"/>
      <c r="AQ4062" s="9"/>
      <c r="AR4062" s="9"/>
      <c r="AS4062" s="9"/>
      <c r="AT4062" s="9"/>
      <c r="AU4062" s="9"/>
    </row>
    <row r="4063" spans="1:47" ht="15.75" customHeight="1">
      <c r="A4063" s="9"/>
      <c r="B4063" s="9"/>
      <c r="C4063" s="9"/>
      <c r="D4063" s="9"/>
      <c r="E4063" s="9"/>
      <c r="F4063" s="67"/>
      <c r="G4063" s="9"/>
      <c r="H4063" s="9"/>
      <c r="I4063" s="9"/>
      <c r="J4063" s="9"/>
      <c r="K4063" s="9"/>
      <c r="L4063" s="9"/>
      <c r="M4063" s="9"/>
      <c r="N4063" s="9"/>
      <c r="O4063" s="9"/>
      <c r="P4063" s="9"/>
      <c r="Q4063" s="9"/>
      <c r="R4063" s="9"/>
      <c r="S4063" s="9"/>
      <c r="T4063" s="9"/>
      <c r="U4063" s="9"/>
      <c r="V4063" s="9"/>
      <c r="W4063" s="9"/>
      <c r="X4063" s="9"/>
      <c r="Y4063" s="9"/>
      <c r="Z4063" s="9"/>
      <c r="AA4063" s="9"/>
      <c r="AB4063" s="9"/>
      <c r="AC4063" s="9"/>
      <c r="AD4063" s="9"/>
      <c r="AE4063" s="9"/>
      <c r="AF4063" s="9"/>
      <c r="AG4063" s="9"/>
      <c r="AH4063" s="9"/>
      <c r="AI4063" s="9"/>
      <c r="AJ4063" s="9"/>
      <c r="AK4063" s="9"/>
      <c r="AL4063" s="9"/>
      <c r="AM4063" s="9"/>
      <c r="AN4063" s="9"/>
      <c r="AO4063" s="9"/>
      <c r="AP4063" s="9"/>
      <c r="AQ4063" s="9"/>
      <c r="AR4063" s="9"/>
      <c r="AS4063" s="9"/>
      <c r="AT4063" s="9"/>
      <c r="AU4063" s="9"/>
    </row>
    <row r="4064" spans="1:47" ht="15.75" customHeight="1">
      <c r="A4064" s="9"/>
      <c r="B4064" s="9"/>
      <c r="C4064" s="9"/>
      <c r="D4064" s="9"/>
      <c r="E4064" s="9"/>
      <c r="F4064" s="67"/>
      <c r="G4064" s="9"/>
      <c r="H4064" s="9"/>
      <c r="I4064" s="9"/>
      <c r="J4064" s="9"/>
      <c r="K4064" s="9"/>
      <c r="L4064" s="9"/>
      <c r="M4064" s="9"/>
      <c r="N4064" s="9"/>
      <c r="O4064" s="9"/>
      <c r="P4064" s="9"/>
      <c r="Q4064" s="9"/>
      <c r="R4064" s="9"/>
      <c r="S4064" s="9"/>
      <c r="T4064" s="9"/>
      <c r="U4064" s="9"/>
      <c r="V4064" s="9"/>
      <c r="W4064" s="9"/>
      <c r="X4064" s="9"/>
      <c r="Y4064" s="9"/>
      <c r="Z4064" s="9"/>
      <c r="AA4064" s="9"/>
      <c r="AB4064" s="9"/>
      <c r="AC4064" s="9"/>
      <c r="AD4064" s="9"/>
      <c r="AE4064" s="9"/>
      <c r="AF4064" s="9"/>
      <c r="AG4064" s="9"/>
      <c r="AH4064" s="9"/>
      <c r="AI4064" s="9"/>
      <c r="AJ4064" s="9"/>
      <c r="AK4064" s="9"/>
      <c r="AL4064" s="9"/>
      <c r="AM4064" s="9"/>
      <c r="AN4064" s="9"/>
      <c r="AO4064" s="9"/>
      <c r="AP4064" s="9"/>
      <c r="AQ4064" s="9"/>
      <c r="AR4064" s="9"/>
      <c r="AS4064" s="9"/>
      <c r="AT4064" s="9"/>
      <c r="AU4064" s="9"/>
    </row>
    <row r="4065" spans="1:47" ht="15.75" customHeight="1">
      <c r="A4065" s="9"/>
      <c r="B4065" s="9"/>
      <c r="C4065" s="9"/>
      <c r="D4065" s="9"/>
      <c r="E4065" s="9"/>
      <c r="F4065" s="67"/>
      <c r="G4065" s="9"/>
      <c r="H4065" s="9"/>
      <c r="I4065" s="9"/>
      <c r="J4065" s="9"/>
      <c r="K4065" s="9"/>
      <c r="L4065" s="9"/>
      <c r="M4065" s="9"/>
      <c r="N4065" s="9"/>
      <c r="O4065" s="9"/>
      <c r="P4065" s="9"/>
      <c r="Q4065" s="9"/>
      <c r="R4065" s="9"/>
      <c r="S4065" s="9"/>
      <c r="T4065" s="9"/>
      <c r="U4065" s="9"/>
      <c r="V4065" s="9"/>
      <c r="W4065" s="9"/>
      <c r="X4065" s="9"/>
      <c r="Y4065" s="9"/>
      <c r="Z4065" s="9"/>
      <c r="AA4065" s="9"/>
      <c r="AB4065" s="9"/>
      <c r="AC4065" s="9"/>
      <c r="AD4065" s="9"/>
      <c r="AE4065" s="9"/>
      <c r="AF4065" s="9"/>
      <c r="AG4065" s="9"/>
      <c r="AH4065" s="9"/>
      <c r="AI4065" s="9"/>
      <c r="AJ4065" s="9"/>
      <c r="AK4065" s="9"/>
      <c r="AL4065" s="9"/>
      <c r="AM4065" s="9"/>
      <c r="AN4065" s="9"/>
      <c r="AO4065" s="9"/>
      <c r="AP4065" s="9"/>
      <c r="AQ4065" s="9"/>
      <c r="AR4065" s="9"/>
      <c r="AS4065" s="9"/>
      <c r="AT4065" s="9"/>
      <c r="AU4065" s="9"/>
    </row>
    <row r="4066" spans="1:47" ht="15.75" customHeight="1">
      <c r="A4066" s="9"/>
      <c r="B4066" s="9"/>
      <c r="C4066" s="9"/>
      <c r="D4066" s="9"/>
      <c r="E4066" s="9"/>
      <c r="F4066" s="67"/>
      <c r="G4066" s="9"/>
      <c r="H4066" s="9"/>
      <c r="I4066" s="9"/>
      <c r="J4066" s="9"/>
      <c r="K4066" s="9"/>
      <c r="L4066" s="9"/>
      <c r="M4066" s="9"/>
      <c r="N4066" s="9"/>
      <c r="O4066" s="9"/>
      <c r="P4066" s="9"/>
      <c r="Q4066" s="9"/>
      <c r="R4066" s="9"/>
      <c r="S4066" s="9"/>
      <c r="T4066" s="9"/>
      <c r="U4066" s="9"/>
      <c r="V4066" s="9"/>
      <c r="W4066" s="9"/>
      <c r="X4066" s="9"/>
      <c r="Y4066" s="9"/>
      <c r="Z4066" s="9"/>
      <c r="AA4066" s="9"/>
      <c r="AB4066" s="9"/>
      <c r="AC4066" s="9"/>
      <c r="AD4066" s="9"/>
      <c r="AE4066" s="9"/>
      <c r="AF4066" s="9"/>
      <c r="AG4066" s="9"/>
      <c r="AH4066" s="9"/>
      <c r="AI4066" s="9"/>
      <c r="AJ4066" s="9"/>
      <c r="AK4066" s="9"/>
      <c r="AL4066" s="9"/>
      <c r="AM4066" s="9"/>
      <c r="AN4066" s="9"/>
      <c r="AO4066" s="9"/>
      <c r="AP4066" s="9"/>
      <c r="AQ4066" s="9"/>
      <c r="AR4066" s="9"/>
      <c r="AS4066" s="9"/>
      <c r="AT4066" s="9"/>
      <c r="AU4066" s="9"/>
    </row>
    <row r="4067" spans="1:47" ht="15.75" customHeight="1">
      <c r="A4067" s="9"/>
      <c r="B4067" s="9"/>
      <c r="C4067" s="9"/>
      <c r="D4067" s="9"/>
      <c r="E4067" s="9"/>
      <c r="F4067" s="67"/>
      <c r="G4067" s="9"/>
      <c r="H4067" s="9"/>
      <c r="I4067" s="9"/>
      <c r="J4067" s="9"/>
      <c r="K4067" s="9"/>
      <c r="L4067" s="9"/>
      <c r="M4067" s="9"/>
      <c r="N4067" s="9"/>
      <c r="O4067" s="9"/>
      <c r="P4067" s="9"/>
      <c r="Q4067" s="9"/>
      <c r="R4067" s="9"/>
      <c r="S4067" s="9"/>
      <c r="T4067" s="9"/>
      <c r="U4067" s="9"/>
      <c r="V4067" s="9"/>
      <c r="W4067" s="9"/>
      <c r="X4067" s="9"/>
      <c r="Y4067" s="9"/>
      <c r="Z4067" s="9"/>
      <c r="AA4067" s="9"/>
      <c r="AB4067" s="9"/>
      <c r="AC4067" s="9"/>
      <c r="AD4067" s="9"/>
      <c r="AE4067" s="9"/>
      <c r="AF4067" s="9"/>
      <c r="AG4067" s="9"/>
      <c r="AH4067" s="9"/>
      <c r="AI4067" s="9"/>
      <c r="AJ4067" s="9"/>
      <c r="AK4067" s="9"/>
      <c r="AL4067" s="9"/>
      <c r="AM4067" s="9"/>
      <c r="AN4067" s="9"/>
      <c r="AO4067" s="9"/>
      <c r="AP4067" s="9"/>
      <c r="AQ4067" s="9"/>
      <c r="AR4067" s="9"/>
      <c r="AS4067" s="9"/>
      <c r="AT4067" s="9"/>
      <c r="AU4067" s="9"/>
    </row>
    <row r="4068" spans="1:47" ht="15.75" customHeight="1">
      <c r="A4068" s="9"/>
      <c r="B4068" s="9"/>
      <c r="C4068" s="9"/>
      <c r="D4068" s="9"/>
      <c r="E4068" s="9"/>
      <c r="F4068" s="67"/>
      <c r="G4068" s="9"/>
      <c r="H4068" s="9"/>
      <c r="I4068" s="9"/>
      <c r="J4068" s="9"/>
      <c r="K4068" s="9"/>
      <c r="L4068" s="9"/>
      <c r="M4068" s="9"/>
      <c r="N4068" s="9"/>
      <c r="O4068" s="9"/>
      <c r="P4068" s="9"/>
      <c r="Q4068" s="9"/>
      <c r="R4068" s="9"/>
      <c r="S4068" s="9"/>
      <c r="T4068" s="9"/>
      <c r="U4068" s="9"/>
      <c r="V4068" s="9"/>
      <c r="W4068" s="9"/>
      <c r="X4068" s="9"/>
      <c r="Y4068" s="9"/>
      <c r="Z4068" s="9"/>
      <c r="AA4068" s="9"/>
      <c r="AB4068" s="9"/>
      <c r="AC4068" s="9"/>
      <c r="AD4068" s="9"/>
      <c r="AE4068" s="9"/>
      <c r="AF4068" s="9"/>
      <c r="AG4068" s="9"/>
      <c r="AH4068" s="9"/>
      <c r="AI4068" s="9"/>
      <c r="AJ4068" s="9"/>
      <c r="AK4068" s="9"/>
      <c r="AL4068" s="9"/>
      <c r="AM4068" s="9"/>
      <c r="AN4068" s="9"/>
      <c r="AO4068" s="9"/>
      <c r="AP4068" s="9"/>
      <c r="AQ4068" s="9"/>
      <c r="AR4068" s="9"/>
      <c r="AS4068" s="9"/>
      <c r="AT4068" s="9"/>
      <c r="AU4068" s="9"/>
    </row>
    <row r="4069" spans="1:47" ht="15.75" customHeight="1">
      <c r="A4069" s="9"/>
      <c r="B4069" s="9"/>
      <c r="C4069" s="9"/>
      <c r="D4069" s="9"/>
      <c r="E4069" s="9"/>
      <c r="F4069" s="67"/>
      <c r="G4069" s="9"/>
      <c r="H4069" s="9"/>
      <c r="I4069" s="9"/>
      <c r="J4069" s="9"/>
      <c r="K4069" s="9"/>
      <c r="L4069" s="9"/>
      <c r="M4069" s="9"/>
      <c r="N4069" s="9"/>
      <c r="O4069" s="9"/>
      <c r="P4069" s="9"/>
      <c r="Q4069" s="9"/>
      <c r="R4069" s="9"/>
      <c r="S4069" s="9"/>
      <c r="T4069" s="9"/>
      <c r="U4069" s="9"/>
      <c r="V4069" s="9"/>
      <c r="W4069" s="9"/>
      <c r="X4069" s="9"/>
      <c r="Y4069" s="9"/>
      <c r="Z4069" s="9"/>
      <c r="AA4069" s="9"/>
      <c r="AB4069" s="9"/>
      <c r="AC4069" s="9"/>
      <c r="AD4069" s="9"/>
      <c r="AE4069" s="9"/>
      <c r="AF4069" s="9"/>
      <c r="AG4069" s="9"/>
      <c r="AH4069" s="9"/>
      <c r="AI4069" s="9"/>
      <c r="AJ4069" s="9"/>
      <c r="AK4069" s="9"/>
      <c r="AL4069" s="9"/>
      <c r="AM4069" s="9"/>
      <c r="AN4069" s="9"/>
      <c r="AO4069" s="9"/>
      <c r="AP4069" s="9"/>
      <c r="AQ4069" s="9"/>
      <c r="AR4069" s="9"/>
      <c r="AS4069" s="9"/>
      <c r="AT4069" s="9"/>
      <c r="AU4069" s="9"/>
    </row>
    <row r="4070" spans="1:47" ht="15.75" customHeight="1">
      <c r="A4070" s="9"/>
      <c r="B4070" s="9"/>
      <c r="C4070" s="9"/>
      <c r="D4070" s="9"/>
      <c r="E4070" s="9"/>
      <c r="F4070" s="67"/>
      <c r="G4070" s="9"/>
      <c r="H4070" s="9"/>
      <c r="I4070" s="9"/>
      <c r="J4070" s="9"/>
      <c r="K4070" s="9"/>
      <c r="L4070" s="9"/>
      <c r="M4070" s="9"/>
      <c r="N4070" s="9"/>
      <c r="O4070" s="9"/>
      <c r="P4070" s="9"/>
      <c r="Q4070" s="9"/>
      <c r="R4070" s="9"/>
      <c r="S4070" s="9"/>
      <c r="T4070" s="9"/>
      <c r="U4070" s="9"/>
      <c r="V4070" s="9"/>
      <c r="W4070" s="9"/>
      <c r="X4070" s="9"/>
      <c r="Y4070" s="9"/>
      <c r="Z4070" s="9"/>
      <c r="AA4070" s="9"/>
      <c r="AB4070" s="9"/>
      <c r="AC4070" s="9"/>
      <c r="AD4070" s="9"/>
      <c r="AE4070" s="9"/>
      <c r="AF4070" s="9"/>
      <c r="AG4070" s="9"/>
      <c r="AH4070" s="9"/>
      <c r="AI4070" s="9"/>
      <c r="AJ4070" s="9"/>
      <c r="AK4070" s="9"/>
      <c r="AL4070" s="9"/>
      <c r="AM4070" s="9"/>
      <c r="AN4070" s="9"/>
      <c r="AO4070" s="9"/>
      <c r="AP4070" s="9"/>
      <c r="AQ4070" s="9"/>
      <c r="AR4070" s="9"/>
      <c r="AS4070" s="9"/>
      <c r="AT4070" s="9"/>
      <c r="AU4070" s="9"/>
    </row>
    <row r="4071" spans="1:47" ht="15.75" customHeight="1">
      <c r="A4071" s="9"/>
      <c r="B4071" s="9"/>
      <c r="C4071" s="9"/>
      <c r="D4071" s="9"/>
      <c r="E4071" s="9"/>
      <c r="F4071" s="67"/>
      <c r="G4071" s="9"/>
      <c r="H4071" s="9"/>
      <c r="I4071" s="9"/>
      <c r="J4071" s="9"/>
      <c r="K4071" s="9"/>
      <c r="L4071" s="9"/>
      <c r="M4071" s="9"/>
      <c r="N4071" s="9"/>
      <c r="O4071" s="9"/>
      <c r="P4071" s="9"/>
      <c r="Q4071" s="9"/>
      <c r="R4071" s="9"/>
      <c r="S4071" s="9"/>
      <c r="T4071" s="9"/>
      <c r="U4071" s="9"/>
      <c r="V4071" s="9"/>
      <c r="W4071" s="9"/>
      <c r="X4071" s="9"/>
      <c r="Y4071" s="9"/>
      <c r="Z4071" s="9"/>
      <c r="AA4071" s="9"/>
      <c r="AB4071" s="9"/>
      <c r="AC4071" s="9"/>
      <c r="AD4071" s="9"/>
      <c r="AE4071" s="9"/>
      <c r="AF4071" s="9"/>
      <c r="AG4071" s="9"/>
      <c r="AH4071" s="9"/>
      <c r="AI4071" s="9"/>
      <c r="AJ4071" s="9"/>
      <c r="AK4071" s="9"/>
      <c r="AL4071" s="9"/>
      <c r="AM4071" s="9"/>
      <c r="AN4071" s="9"/>
      <c r="AO4071" s="9"/>
      <c r="AP4071" s="9"/>
      <c r="AQ4071" s="9"/>
      <c r="AR4071" s="9"/>
      <c r="AS4071" s="9"/>
      <c r="AT4071" s="9"/>
      <c r="AU4071" s="9"/>
    </row>
    <row r="4072" spans="1:47" ht="15.75" customHeight="1">
      <c r="A4072" s="9"/>
      <c r="B4072" s="9"/>
      <c r="C4072" s="9"/>
      <c r="D4072" s="9"/>
      <c r="E4072" s="9"/>
      <c r="F4072" s="67"/>
      <c r="G4072" s="9"/>
      <c r="H4072" s="9"/>
      <c r="I4072" s="9"/>
      <c r="J4072" s="9"/>
      <c r="K4072" s="9"/>
      <c r="L4072" s="9"/>
      <c r="M4072" s="9"/>
      <c r="N4072" s="9"/>
      <c r="O4072" s="9"/>
      <c r="P4072" s="9"/>
      <c r="Q4072" s="9"/>
      <c r="R4072" s="9"/>
      <c r="S4072" s="9"/>
      <c r="T4072" s="9"/>
      <c r="U4072" s="9"/>
      <c r="V4072" s="9"/>
      <c r="W4072" s="9"/>
      <c r="X4072" s="9"/>
      <c r="Y4072" s="9"/>
      <c r="Z4072" s="9"/>
      <c r="AA4072" s="9"/>
      <c r="AB4072" s="9"/>
      <c r="AC4072" s="9"/>
      <c r="AD4072" s="9"/>
      <c r="AE4072" s="9"/>
      <c r="AF4072" s="9"/>
      <c r="AG4072" s="9"/>
      <c r="AH4072" s="9"/>
      <c r="AI4072" s="9"/>
      <c r="AJ4072" s="9"/>
      <c r="AK4072" s="9"/>
      <c r="AL4072" s="9"/>
      <c r="AM4072" s="9"/>
      <c r="AN4072" s="9"/>
      <c r="AO4072" s="9"/>
      <c r="AP4072" s="9"/>
      <c r="AQ4072" s="9"/>
      <c r="AR4072" s="9"/>
      <c r="AS4072" s="9"/>
      <c r="AT4072" s="9"/>
      <c r="AU4072" s="9"/>
    </row>
    <row r="4073" spans="1:47" ht="15.75" customHeight="1">
      <c r="A4073" s="9"/>
      <c r="B4073" s="9"/>
      <c r="C4073" s="9"/>
      <c r="D4073" s="9"/>
      <c r="E4073" s="9"/>
      <c r="F4073" s="67"/>
      <c r="G4073" s="9"/>
      <c r="H4073" s="9"/>
      <c r="I4073" s="9"/>
      <c r="J4073" s="9"/>
      <c r="K4073" s="9"/>
      <c r="L4073" s="9"/>
      <c r="M4073" s="9"/>
      <c r="N4073" s="9"/>
      <c r="O4073" s="9"/>
      <c r="P4073" s="9"/>
      <c r="Q4073" s="9"/>
      <c r="R4073" s="9"/>
      <c r="S4073" s="9"/>
      <c r="T4073" s="9"/>
      <c r="U4073" s="9"/>
      <c r="V4073" s="9"/>
      <c r="W4073" s="9"/>
      <c r="X4073" s="9"/>
      <c r="Y4073" s="9"/>
      <c r="Z4073" s="9"/>
      <c r="AA4073" s="9"/>
      <c r="AB4073" s="9"/>
      <c r="AC4073" s="9"/>
      <c r="AD4073" s="9"/>
      <c r="AE4073" s="9"/>
      <c r="AF4073" s="9"/>
      <c r="AG4073" s="9"/>
      <c r="AH4073" s="9"/>
      <c r="AI4073" s="9"/>
      <c r="AJ4073" s="9"/>
      <c r="AK4073" s="9"/>
      <c r="AL4073" s="9"/>
      <c r="AM4073" s="9"/>
      <c r="AN4073" s="9"/>
      <c r="AO4073" s="9"/>
      <c r="AP4073" s="9"/>
      <c r="AQ4073" s="9"/>
      <c r="AR4073" s="9"/>
      <c r="AS4073" s="9"/>
      <c r="AT4073" s="9"/>
      <c r="AU4073" s="9"/>
    </row>
    <row r="4074" spans="1:47" ht="15.75" customHeight="1">
      <c r="A4074" s="9"/>
      <c r="B4074" s="9"/>
      <c r="C4074" s="9"/>
      <c r="D4074" s="9"/>
      <c r="E4074" s="9"/>
      <c r="F4074" s="67"/>
      <c r="G4074" s="9"/>
      <c r="H4074" s="9"/>
      <c r="I4074" s="9"/>
      <c r="J4074" s="9"/>
      <c r="K4074" s="9"/>
      <c r="L4074" s="9"/>
      <c r="M4074" s="9"/>
      <c r="N4074" s="9"/>
      <c r="O4074" s="9"/>
      <c r="P4074" s="9"/>
      <c r="Q4074" s="9"/>
      <c r="R4074" s="9"/>
      <c r="S4074" s="9"/>
      <c r="T4074" s="9"/>
      <c r="U4074" s="9"/>
      <c r="V4074" s="9"/>
      <c r="W4074" s="9"/>
      <c r="X4074" s="9"/>
      <c r="Y4074" s="9"/>
      <c r="Z4074" s="9"/>
      <c r="AA4074" s="9"/>
      <c r="AB4074" s="9"/>
      <c r="AC4074" s="9"/>
      <c r="AD4074" s="9"/>
      <c r="AE4074" s="9"/>
      <c r="AF4074" s="9"/>
      <c r="AG4074" s="9"/>
      <c r="AH4074" s="9"/>
      <c r="AI4074" s="9"/>
      <c r="AJ4074" s="9"/>
      <c r="AK4074" s="9"/>
      <c r="AL4074" s="9"/>
      <c r="AM4074" s="9"/>
      <c r="AN4074" s="9"/>
      <c r="AO4074" s="9"/>
      <c r="AP4074" s="9"/>
      <c r="AQ4074" s="9"/>
      <c r="AR4074" s="9"/>
      <c r="AS4074" s="9"/>
      <c r="AT4074" s="9"/>
      <c r="AU4074" s="9"/>
    </row>
    <row r="4075" spans="1:47" ht="15.75" customHeight="1">
      <c r="A4075" s="9"/>
      <c r="B4075" s="9"/>
      <c r="C4075" s="9"/>
      <c r="D4075" s="9"/>
      <c r="E4075" s="9"/>
      <c r="F4075" s="67"/>
      <c r="G4075" s="9"/>
      <c r="H4075" s="9"/>
      <c r="I4075" s="9"/>
      <c r="J4075" s="9"/>
      <c r="K4075" s="9"/>
      <c r="L4075" s="9"/>
      <c r="M4075" s="9"/>
      <c r="N4075" s="9"/>
      <c r="O4075" s="9"/>
      <c r="P4075" s="9"/>
      <c r="Q4075" s="9"/>
      <c r="R4075" s="9"/>
      <c r="S4075" s="9"/>
      <c r="T4075" s="9"/>
      <c r="U4075" s="9"/>
      <c r="V4075" s="9"/>
      <c r="W4075" s="9"/>
      <c r="X4075" s="9"/>
      <c r="Y4075" s="9"/>
      <c r="Z4075" s="9"/>
      <c r="AA4075" s="9"/>
      <c r="AB4075" s="9"/>
      <c r="AC4075" s="9"/>
      <c r="AD4075" s="9"/>
      <c r="AE4075" s="9"/>
      <c r="AF4075" s="9"/>
      <c r="AG4075" s="9"/>
      <c r="AH4075" s="9"/>
      <c r="AI4075" s="9"/>
      <c r="AJ4075" s="9"/>
      <c r="AK4075" s="9"/>
      <c r="AL4075" s="9"/>
      <c r="AM4075" s="9"/>
      <c r="AN4075" s="9"/>
      <c r="AO4075" s="9"/>
      <c r="AP4075" s="9"/>
      <c r="AQ4075" s="9"/>
      <c r="AR4075" s="9"/>
      <c r="AS4075" s="9"/>
      <c r="AT4075" s="9"/>
      <c r="AU4075" s="9"/>
    </row>
    <row r="4076" spans="1:47" ht="15.75" customHeight="1">
      <c r="A4076" s="9"/>
      <c r="B4076" s="9"/>
      <c r="C4076" s="9"/>
      <c r="D4076" s="9"/>
      <c r="E4076" s="9"/>
      <c r="F4076" s="67"/>
      <c r="G4076" s="9"/>
      <c r="H4076" s="9"/>
      <c r="I4076" s="9"/>
      <c r="J4076" s="9"/>
      <c r="K4076" s="9"/>
      <c r="L4076" s="9"/>
      <c r="M4076" s="9"/>
      <c r="N4076" s="9"/>
      <c r="O4076" s="9"/>
      <c r="P4076" s="9"/>
      <c r="Q4076" s="9"/>
      <c r="R4076" s="9"/>
      <c r="S4076" s="9"/>
      <c r="T4076" s="9"/>
      <c r="U4076" s="9"/>
      <c r="V4076" s="9"/>
      <c r="W4076" s="9"/>
      <c r="X4076" s="9"/>
      <c r="Y4076" s="9"/>
      <c r="Z4076" s="9"/>
      <c r="AA4076" s="9"/>
      <c r="AB4076" s="9"/>
      <c r="AC4076" s="9"/>
      <c r="AD4076" s="9"/>
      <c r="AE4076" s="9"/>
      <c r="AF4076" s="9"/>
      <c r="AG4076" s="9"/>
      <c r="AH4076" s="9"/>
      <c r="AI4076" s="9"/>
      <c r="AJ4076" s="9"/>
      <c r="AK4076" s="9"/>
      <c r="AL4076" s="9"/>
      <c r="AM4076" s="9"/>
      <c r="AN4076" s="9"/>
      <c r="AO4076" s="9"/>
      <c r="AP4076" s="9"/>
      <c r="AQ4076" s="9"/>
      <c r="AR4076" s="9"/>
      <c r="AS4076" s="9"/>
      <c r="AT4076" s="9"/>
      <c r="AU4076" s="9"/>
    </row>
    <row r="4077" spans="1:47" ht="15.75" customHeight="1">
      <c r="A4077" s="9"/>
      <c r="B4077" s="9"/>
      <c r="C4077" s="9"/>
      <c r="D4077" s="9"/>
      <c r="E4077" s="9"/>
      <c r="F4077" s="67"/>
      <c r="G4077" s="9"/>
      <c r="H4077" s="9"/>
      <c r="I4077" s="9"/>
      <c r="J4077" s="9"/>
      <c r="K4077" s="9"/>
      <c r="L4077" s="9"/>
      <c r="M4077" s="9"/>
      <c r="N4077" s="9"/>
      <c r="O4077" s="9"/>
      <c r="P4077" s="9"/>
      <c r="Q4077" s="9"/>
      <c r="R4077" s="9"/>
      <c r="S4077" s="9"/>
      <c r="T4077" s="9"/>
      <c r="U4077" s="9"/>
      <c r="V4077" s="9"/>
      <c r="W4077" s="9"/>
      <c r="X4077" s="9"/>
      <c r="Y4077" s="9"/>
      <c r="Z4077" s="9"/>
      <c r="AA4077" s="9"/>
      <c r="AB4077" s="9"/>
      <c r="AC4077" s="9"/>
      <c r="AD4077" s="9"/>
      <c r="AE4077" s="9"/>
      <c r="AF4077" s="9"/>
      <c r="AG4077" s="9"/>
      <c r="AH4077" s="9"/>
      <c r="AI4077" s="9"/>
      <c r="AJ4077" s="9"/>
      <c r="AK4077" s="9"/>
      <c r="AL4077" s="9"/>
      <c r="AM4077" s="9"/>
      <c r="AN4077" s="9"/>
      <c r="AO4077" s="9"/>
      <c r="AP4077" s="9"/>
      <c r="AQ4077" s="9"/>
      <c r="AR4077" s="9"/>
      <c r="AS4077" s="9"/>
      <c r="AT4077" s="9"/>
      <c r="AU4077" s="9"/>
    </row>
    <row r="4078" spans="1:47" ht="15.75" customHeight="1">
      <c r="A4078" s="9"/>
      <c r="B4078" s="9"/>
      <c r="C4078" s="9"/>
      <c r="D4078" s="9"/>
      <c r="E4078" s="9"/>
      <c r="F4078" s="67"/>
      <c r="G4078" s="9"/>
      <c r="H4078" s="9"/>
      <c r="I4078" s="9"/>
      <c r="J4078" s="9"/>
      <c r="K4078" s="9"/>
      <c r="L4078" s="9"/>
      <c r="M4078" s="9"/>
      <c r="N4078" s="9"/>
      <c r="O4078" s="9"/>
      <c r="P4078" s="9"/>
      <c r="Q4078" s="9"/>
      <c r="R4078" s="9"/>
      <c r="S4078" s="9"/>
      <c r="T4078" s="9"/>
      <c r="U4078" s="9"/>
      <c r="V4078" s="9"/>
      <c r="W4078" s="9"/>
      <c r="X4078" s="9"/>
      <c r="Y4078" s="9"/>
      <c r="Z4078" s="9"/>
      <c r="AA4078" s="9"/>
      <c r="AB4078" s="9"/>
      <c r="AC4078" s="9"/>
      <c r="AD4078" s="9"/>
      <c r="AE4078" s="9"/>
      <c r="AF4078" s="9"/>
      <c r="AG4078" s="9"/>
      <c r="AH4078" s="9"/>
      <c r="AI4078" s="9"/>
      <c r="AJ4078" s="9"/>
      <c r="AK4078" s="9"/>
      <c r="AL4078" s="9"/>
      <c r="AM4078" s="9"/>
      <c r="AN4078" s="9"/>
      <c r="AO4078" s="9"/>
      <c r="AP4078" s="9"/>
      <c r="AQ4078" s="9"/>
      <c r="AR4078" s="9"/>
      <c r="AS4078" s="9"/>
      <c r="AT4078" s="9"/>
      <c r="AU4078" s="9"/>
    </row>
    <row r="4079" spans="1:47" ht="15.75" customHeight="1">
      <c r="A4079" s="9"/>
      <c r="B4079" s="9"/>
      <c r="C4079" s="9"/>
      <c r="D4079" s="9"/>
      <c r="E4079" s="9"/>
      <c r="F4079" s="67"/>
      <c r="G4079" s="9"/>
      <c r="H4079" s="9"/>
      <c r="I4079" s="9"/>
      <c r="J4079" s="9"/>
      <c r="K4079" s="9"/>
      <c r="L4079" s="9"/>
      <c r="M4079" s="9"/>
      <c r="N4079" s="9"/>
      <c r="O4079" s="9"/>
      <c r="P4079" s="9"/>
      <c r="Q4079" s="9"/>
      <c r="R4079" s="9"/>
      <c r="S4079" s="9"/>
      <c r="T4079" s="9"/>
      <c r="U4079" s="9"/>
      <c r="V4079" s="9"/>
      <c r="W4079" s="9"/>
      <c r="X4079" s="9"/>
      <c r="Y4079" s="9"/>
      <c r="Z4079" s="9"/>
      <c r="AA4079" s="9"/>
      <c r="AB4079" s="9"/>
      <c r="AC4079" s="9"/>
      <c r="AD4079" s="9"/>
      <c r="AE4079" s="9"/>
      <c r="AF4079" s="9"/>
      <c r="AG4079" s="9"/>
      <c r="AH4079" s="9"/>
      <c r="AI4079" s="9"/>
      <c r="AJ4079" s="9"/>
      <c r="AK4079" s="9"/>
      <c r="AL4079" s="9"/>
      <c r="AM4079" s="9"/>
      <c r="AN4079" s="9"/>
      <c r="AO4079" s="9"/>
      <c r="AP4079" s="9"/>
      <c r="AQ4079" s="9"/>
      <c r="AR4079" s="9"/>
      <c r="AS4079" s="9"/>
      <c r="AT4079" s="9"/>
      <c r="AU4079" s="9"/>
    </row>
    <row r="4080" spans="1:47" ht="15.75" customHeight="1">
      <c r="A4080" s="9"/>
      <c r="B4080" s="9"/>
      <c r="C4080" s="9"/>
      <c r="D4080" s="9"/>
      <c r="E4080" s="9"/>
      <c r="F4080" s="67"/>
      <c r="G4080" s="9"/>
      <c r="H4080" s="9"/>
      <c r="I4080" s="9"/>
      <c r="J4080" s="9"/>
      <c r="K4080" s="9"/>
      <c r="L4080" s="9"/>
      <c r="M4080" s="9"/>
      <c r="N4080" s="9"/>
      <c r="O4080" s="9"/>
      <c r="P4080" s="9"/>
      <c r="Q4080" s="9"/>
      <c r="R4080" s="9"/>
      <c r="S4080" s="9"/>
      <c r="T4080" s="9"/>
      <c r="U4080" s="9"/>
      <c r="V4080" s="9"/>
      <c r="W4080" s="9"/>
      <c r="X4080" s="9"/>
      <c r="Y4080" s="9"/>
      <c r="Z4080" s="9"/>
      <c r="AA4080" s="9"/>
      <c r="AB4080" s="9"/>
      <c r="AC4080" s="9"/>
      <c r="AD4080" s="9"/>
      <c r="AE4080" s="9"/>
      <c r="AF4080" s="9"/>
      <c r="AG4080" s="9"/>
      <c r="AH4080" s="9"/>
      <c r="AI4080" s="9"/>
      <c r="AJ4080" s="9"/>
      <c r="AK4080" s="9"/>
      <c r="AL4080" s="9"/>
      <c r="AM4080" s="9"/>
      <c r="AN4080" s="9"/>
      <c r="AO4080" s="9"/>
      <c r="AP4080" s="9"/>
      <c r="AQ4080" s="9"/>
      <c r="AR4080" s="9"/>
      <c r="AS4080" s="9"/>
      <c r="AT4080" s="9"/>
      <c r="AU4080" s="9"/>
    </row>
    <row r="4081" spans="1:47" ht="15.75" customHeight="1">
      <c r="A4081" s="9"/>
      <c r="B4081" s="9"/>
      <c r="C4081" s="9"/>
      <c r="D4081" s="9"/>
      <c r="E4081" s="9"/>
      <c r="F4081" s="67"/>
      <c r="G4081" s="9"/>
      <c r="H4081" s="9"/>
      <c r="I4081" s="9"/>
      <c r="J4081" s="9"/>
      <c r="K4081" s="9"/>
      <c r="L4081" s="9"/>
      <c r="M4081" s="9"/>
      <c r="N4081" s="9"/>
      <c r="O4081" s="9"/>
      <c r="P4081" s="9"/>
      <c r="Q4081" s="9"/>
      <c r="R4081" s="9"/>
      <c r="S4081" s="9"/>
      <c r="T4081" s="9"/>
      <c r="U4081" s="9"/>
      <c r="V4081" s="9"/>
      <c r="W4081" s="9"/>
      <c r="X4081" s="9"/>
      <c r="Y4081" s="9"/>
      <c r="Z4081" s="9"/>
      <c r="AA4081" s="9"/>
      <c r="AB4081" s="9"/>
      <c r="AC4081" s="9"/>
      <c r="AD4081" s="9"/>
      <c r="AE4081" s="9"/>
      <c r="AF4081" s="9"/>
      <c r="AG4081" s="9"/>
      <c r="AH4081" s="9"/>
      <c r="AI4081" s="9"/>
      <c r="AJ4081" s="9"/>
      <c r="AK4081" s="9"/>
      <c r="AL4081" s="9"/>
      <c r="AM4081" s="9"/>
      <c r="AN4081" s="9"/>
      <c r="AO4081" s="9"/>
      <c r="AP4081" s="9"/>
      <c r="AQ4081" s="9"/>
      <c r="AR4081" s="9"/>
      <c r="AS4081" s="9"/>
      <c r="AT4081" s="9"/>
      <c r="AU4081" s="9"/>
    </row>
    <row r="4082" spans="1:47" ht="15.75" customHeight="1">
      <c r="A4082" s="9"/>
      <c r="B4082" s="9"/>
      <c r="C4082" s="9"/>
      <c r="D4082" s="9"/>
      <c r="E4082" s="9"/>
      <c r="F4082" s="67"/>
      <c r="G4082" s="9"/>
      <c r="H4082" s="9"/>
      <c r="I4082" s="9"/>
      <c r="J4082" s="9"/>
      <c r="K4082" s="9"/>
      <c r="L4082" s="9"/>
      <c r="M4082" s="9"/>
      <c r="N4082" s="9"/>
      <c r="O4082" s="9"/>
      <c r="P4082" s="9"/>
      <c r="Q4082" s="9"/>
      <c r="R4082" s="9"/>
      <c r="S4082" s="9"/>
      <c r="T4082" s="9"/>
      <c r="U4082" s="9"/>
      <c r="V4082" s="9"/>
      <c r="W4082" s="9"/>
      <c r="X4082" s="9"/>
      <c r="Y4082" s="9"/>
      <c r="Z4082" s="9"/>
      <c r="AA4082" s="9"/>
      <c r="AB4082" s="9"/>
      <c r="AC4082" s="9"/>
      <c r="AD4082" s="9"/>
      <c r="AE4082" s="9"/>
      <c r="AF4082" s="9"/>
      <c r="AG4082" s="9"/>
      <c r="AH4082" s="9"/>
      <c r="AI4082" s="9"/>
      <c r="AJ4082" s="9"/>
      <c r="AK4082" s="9"/>
      <c r="AL4082" s="9"/>
      <c r="AM4082" s="9"/>
      <c r="AN4082" s="9"/>
      <c r="AO4082" s="9"/>
      <c r="AP4082" s="9"/>
      <c r="AQ4082" s="9"/>
      <c r="AR4082" s="9"/>
      <c r="AS4082" s="9"/>
      <c r="AT4082" s="9"/>
      <c r="AU4082" s="9"/>
    </row>
    <row r="4083" spans="1:47" ht="15.75" customHeight="1">
      <c r="A4083" s="9"/>
      <c r="B4083" s="9"/>
      <c r="C4083" s="9"/>
      <c r="D4083" s="9"/>
      <c r="E4083" s="9"/>
      <c r="F4083" s="67"/>
      <c r="G4083" s="9"/>
      <c r="H4083" s="9"/>
      <c r="I4083" s="9"/>
      <c r="J4083" s="9"/>
      <c r="K4083" s="9"/>
      <c r="L4083" s="9"/>
      <c r="M4083" s="9"/>
      <c r="N4083" s="9"/>
      <c r="O4083" s="9"/>
      <c r="P4083" s="9"/>
      <c r="Q4083" s="9"/>
      <c r="R4083" s="9"/>
      <c r="S4083" s="9"/>
      <c r="T4083" s="9"/>
      <c r="U4083" s="9"/>
      <c r="V4083" s="9"/>
      <c r="W4083" s="9"/>
      <c r="X4083" s="9"/>
      <c r="Y4083" s="9"/>
      <c r="Z4083" s="9"/>
      <c r="AA4083" s="9"/>
      <c r="AB4083" s="9"/>
      <c r="AC4083" s="9"/>
      <c r="AD4083" s="9"/>
      <c r="AE4083" s="9"/>
      <c r="AF4083" s="9"/>
      <c r="AG4083" s="9"/>
      <c r="AH4083" s="9"/>
      <c r="AI4083" s="9"/>
      <c r="AJ4083" s="9"/>
      <c r="AK4083" s="9"/>
      <c r="AL4083" s="9"/>
      <c r="AM4083" s="9"/>
      <c r="AN4083" s="9"/>
      <c r="AO4083" s="9"/>
      <c r="AP4083" s="9"/>
      <c r="AQ4083" s="9"/>
      <c r="AR4083" s="9"/>
      <c r="AS4083" s="9"/>
      <c r="AT4083" s="9"/>
      <c r="AU4083" s="9"/>
    </row>
    <row r="4084" spans="1:47" ht="15.75" customHeight="1">
      <c r="A4084" s="9"/>
      <c r="B4084" s="9"/>
      <c r="C4084" s="9"/>
      <c r="D4084" s="9"/>
      <c r="E4084" s="9"/>
      <c r="F4084" s="67"/>
      <c r="G4084" s="9"/>
      <c r="H4084" s="9"/>
      <c r="I4084" s="9"/>
      <c r="J4084" s="9"/>
      <c r="K4084" s="9"/>
      <c r="L4084" s="9"/>
      <c r="M4084" s="9"/>
      <c r="N4084" s="9"/>
      <c r="O4084" s="9"/>
      <c r="P4084" s="9"/>
      <c r="Q4084" s="9"/>
      <c r="R4084" s="9"/>
      <c r="S4084" s="9"/>
      <c r="T4084" s="9"/>
      <c r="U4084" s="9"/>
      <c r="V4084" s="9"/>
      <c r="W4084" s="9"/>
      <c r="X4084" s="9"/>
      <c r="Y4084" s="9"/>
      <c r="Z4084" s="9"/>
      <c r="AA4084" s="9"/>
      <c r="AB4084" s="9"/>
      <c r="AC4084" s="9"/>
      <c r="AD4084" s="9"/>
      <c r="AE4084" s="9"/>
      <c r="AF4084" s="9"/>
      <c r="AG4084" s="9"/>
      <c r="AH4084" s="9"/>
      <c r="AI4084" s="9"/>
      <c r="AJ4084" s="9"/>
      <c r="AK4084" s="9"/>
      <c r="AL4084" s="9"/>
      <c r="AM4084" s="9"/>
      <c r="AN4084" s="9"/>
      <c r="AO4084" s="9"/>
      <c r="AP4084" s="9"/>
      <c r="AQ4084" s="9"/>
      <c r="AR4084" s="9"/>
      <c r="AS4084" s="9"/>
      <c r="AT4084" s="9"/>
      <c r="AU4084" s="9"/>
    </row>
    <row r="4085" spans="1:47" ht="15.75" customHeight="1">
      <c r="A4085" s="9"/>
      <c r="B4085" s="9"/>
      <c r="C4085" s="9"/>
      <c r="D4085" s="9"/>
      <c r="E4085" s="9"/>
      <c r="F4085" s="67"/>
      <c r="G4085" s="9"/>
      <c r="H4085" s="9"/>
      <c r="I4085" s="9"/>
      <c r="J4085" s="9"/>
      <c r="K4085" s="9"/>
      <c r="L4085" s="9"/>
      <c r="M4085" s="9"/>
      <c r="N4085" s="9"/>
      <c r="O4085" s="9"/>
      <c r="P4085" s="9"/>
      <c r="Q4085" s="9"/>
      <c r="R4085" s="9"/>
      <c r="S4085" s="9"/>
      <c r="T4085" s="9"/>
      <c r="U4085" s="9"/>
      <c r="V4085" s="9"/>
      <c r="W4085" s="9"/>
      <c r="X4085" s="9"/>
      <c r="Y4085" s="9"/>
      <c r="Z4085" s="9"/>
      <c r="AA4085" s="9"/>
      <c r="AB4085" s="9"/>
      <c r="AC4085" s="9"/>
      <c r="AD4085" s="9"/>
      <c r="AE4085" s="9"/>
      <c r="AF4085" s="9"/>
      <c r="AG4085" s="9"/>
      <c r="AH4085" s="9"/>
      <c r="AI4085" s="9"/>
      <c r="AJ4085" s="9"/>
      <c r="AK4085" s="9"/>
      <c r="AL4085" s="9"/>
      <c r="AM4085" s="9"/>
      <c r="AN4085" s="9"/>
      <c r="AO4085" s="9"/>
      <c r="AP4085" s="9"/>
      <c r="AQ4085" s="9"/>
      <c r="AR4085" s="9"/>
      <c r="AS4085" s="9"/>
      <c r="AT4085" s="9"/>
      <c r="AU4085" s="9"/>
    </row>
    <row r="4086" spans="1:47" ht="15.75" customHeight="1">
      <c r="A4086" s="9"/>
      <c r="B4086" s="9"/>
      <c r="C4086" s="9"/>
      <c r="D4086" s="9"/>
      <c r="E4086" s="9"/>
      <c r="F4086" s="67"/>
      <c r="G4086" s="9"/>
      <c r="H4086" s="9"/>
      <c r="I4086" s="9"/>
      <c r="J4086" s="9"/>
      <c r="K4086" s="9"/>
      <c r="L4086" s="9"/>
      <c r="M4086" s="9"/>
      <c r="N4086" s="9"/>
      <c r="O4086" s="9"/>
      <c r="P4086" s="9"/>
      <c r="Q4086" s="9"/>
      <c r="R4086" s="9"/>
      <c r="S4086" s="9"/>
      <c r="T4086" s="9"/>
      <c r="U4086" s="9"/>
      <c r="V4086" s="9"/>
      <c r="W4086" s="9"/>
      <c r="X4086" s="9"/>
      <c r="Y4086" s="9"/>
      <c r="Z4086" s="9"/>
      <c r="AA4086" s="9"/>
      <c r="AB4086" s="9"/>
      <c r="AC4086" s="9"/>
      <c r="AD4086" s="9"/>
      <c r="AE4086" s="9"/>
      <c r="AF4086" s="9"/>
      <c r="AG4086" s="9"/>
      <c r="AH4086" s="9"/>
      <c r="AI4086" s="9"/>
      <c r="AJ4086" s="9"/>
      <c r="AK4086" s="9"/>
      <c r="AL4086" s="9"/>
      <c r="AM4086" s="9"/>
      <c r="AN4086" s="9"/>
      <c r="AO4086" s="9"/>
      <c r="AP4086" s="9"/>
      <c r="AQ4086" s="9"/>
      <c r="AR4086" s="9"/>
      <c r="AS4086" s="9"/>
      <c r="AT4086" s="9"/>
      <c r="AU4086" s="9"/>
    </row>
    <row r="4087" spans="1:47" ht="15.75" customHeight="1">
      <c r="A4087" s="9"/>
      <c r="B4087" s="9"/>
      <c r="C4087" s="9"/>
      <c r="D4087" s="9"/>
      <c r="E4087" s="9"/>
      <c r="F4087" s="67"/>
      <c r="G4087" s="9"/>
      <c r="H4087" s="9"/>
      <c r="I4087" s="9"/>
      <c r="J4087" s="9"/>
      <c r="K4087" s="9"/>
      <c r="L4087" s="9"/>
      <c r="M4087" s="9"/>
      <c r="N4087" s="9"/>
      <c r="O4087" s="9"/>
      <c r="P4087" s="9"/>
      <c r="Q4087" s="9"/>
      <c r="R4087" s="9"/>
      <c r="S4087" s="9"/>
      <c r="T4087" s="9"/>
      <c r="U4087" s="9"/>
      <c r="V4087" s="9"/>
      <c r="W4087" s="9"/>
      <c r="X4087" s="9"/>
      <c r="Y4087" s="9"/>
      <c r="Z4087" s="9"/>
      <c r="AA4087" s="9"/>
      <c r="AB4087" s="9"/>
      <c r="AC4087" s="9"/>
      <c r="AD4087" s="9"/>
      <c r="AE4087" s="9"/>
      <c r="AF4087" s="9"/>
      <c r="AG4087" s="9"/>
      <c r="AH4087" s="9"/>
      <c r="AI4087" s="9"/>
      <c r="AJ4087" s="9"/>
      <c r="AK4087" s="9"/>
      <c r="AL4087" s="9"/>
      <c r="AM4087" s="9"/>
      <c r="AN4087" s="9"/>
      <c r="AO4087" s="9"/>
      <c r="AP4087" s="9"/>
      <c r="AQ4087" s="9"/>
      <c r="AR4087" s="9"/>
      <c r="AS4087" s="9"/>
      <c r="AT4087" s="9"/>
      <c r="AU4087" s="9"/>
    </row>
    <row r="4088" spans="1:47" ht="15.75" customHeight="1">
      <c r="A4088" s="9"/>
      <c r="B4088" s="9"/>
      <c r="C4088" s="9"/>
      <c r="D4088" s="9"/>
      <c r="E4088" s="9"/>
      <c r="F4088" s="67"/>
      <c r="G4088" s="9"/>
      <c r="H4088" s="9"/>
      <c r="I4088" s="9"/>
      <c r="J4088" s="9"/>
      <c r="K4088" s="9"/>
      <c r="L4088" s="9"/>
      <c r="M4088" s="9"/>
      <c r="N4088" s="9"/>
      <c r="O4088" s="9"/>
      <c r="P4088" s="9"/>
      <c r="Q4088" s="9"/>
      <c r="R4088" s="9"/>
      <c r="S4088" s="9"/>
      <c r="T4088" s="9"/>
      <c r="U4088" s="9"/>
      <c r="V4088" s="9"/>
      <c r="W4088" s="9"/>
      <c r="X4088" s="9"/>
      <c r="Y4088" s="9"/>
      <c r="Z4088" s="9"/>
      <c r="AA4088" s="9"/>
      <c r="AB4088" s="9"/>
      <c r="AC4088" s="9"/>
      <c r="AD4088" s="9"/>
      <c r="AE4088" s="9"/>
      <c r="AF4088" s="9"/>
      <c r="AG4088" s="9"/>
      <c r="AH4088" s="9"/>
      <c r="AI4088" s="9"/>
      <c r="AJ4088" s="9"/>
      <c r="AK4088" s="9"/>
      <c r="AL4088" s="9"/>
      <c r="AM4088" s="9"/>
      <c r="AN4088" s="9"/>
      <c r="AO4088" s="9"/>
      <c r="AP4088" s="9"/>
      <c r="AQ4088" s="9"/>
      <c r="AR4088" s="9"/>
      <c r="AS4088" s="9"/>
      <c r="AT4088" s="9"/>
      <c r="AU4088" s="9"/>
    </row>
    <row r="4089" spans="1:47" ht="15.75" customHeight="1">
      <c r="A4089" s="9"/>
      <c r="B4089" s="9"/>
      <c r="C4089" s="9"/>
      <c r="D4089" s="9"/>
      <c r="E4089" s="9"/>
      <c r="F4089" s="67"/>
      <c r="G4089" s="9"/>
      <c r="H4089" s="9"/>
      <c r="I4089" s="9"/>
      <c r="J4089" s="9"/>
      <c r="K4089" s="9"/>
      <c r="L4089" s="9"/>
      <c r="M4089" s="9"/>
      <c r="N4089" s="9"/>
      <c r="O4089" s="9"/>
      <c r="P4089" s="9"/>
      <c r="Q4089" s="9"/>
      <c r="R4089" s="9"/>
      <c r="S4089" s="9"/>
      <c r="T4089" s="9"/>
      <c r="U4089" s="9"/>
      <c r="V4089" s="9"/>
      <c r="W4089" s="9"/>
      <c r="X4089" s="9"/>
      <c r="Y4089" s="9"/>
      <c r="Z4089" s="9"/>
      <c r="AA4089" s="9"/>
      <c r="AB4089" s="9"/>
      <c r="AC4089" s="9"/>
      <c r="AD4089" s="9"/>
      <c r="AE4089" s="9"/>
      <c r="AF4089" s="9"/>
      <c r="AG4089" s="9"/>
      <c r="AH4089" s="9"/>
      <c r="AI4089" s="9"/>
      <c r="AJ4089" s="9"/>
      <c r="AK4089" s="9"/>
      <c r="AL4089" s="9"/>
      <c r="AM4089" s="9"/>
      <c r="AN4089" s="9"/>
      <c r="AO4089" s="9"/>
      <c r="AP4089" s="9"/>
      <c r="AQ4089" s="9"/>
      <c r="AR4089" s="9"/>
      <c r="AS4089" s="9"/>
      <c r="AT4089" s="9"/>
      <c r="AU4089" s="9"/>
    </row>
    <row r="4090" spans="1:47" ht="15.75" customHeight="1">
      <c r="A4090" s="9"/>
      <c r="B4090" s="9"/>
      <c r="C4090" s="9"/>
      <c r="D4090" s="9"/>
      <c r="E4090" s="9"/>
      <c r="F4090" s="67"/>
      <c r="G4090" s="9"/>
      <c r="H4090" s="9"/>
      <c r="I4090" s="9"/>
      <c r="J4090" s="9"/>
      <c r="K4090" s="9"/>
      <c r="L4090" s="9"/>
      <c r="M4090" s="9"/>
      <c r="N4090" s="9"/>
      <c r="O4090" s="9"/>
      <c r="P4090" s="9"/>
      <c r="Q4090" s="9"/>
      <c r="R4090" s="9"/>
      <c r="S4090" s="9"/>
      <c r="T4090" s="9"/>
      <c r="U4090" s="9"/>
      <c r="V4090" s="9"/>
      <c r="W4090" s="9"/>
      <c r="X4090" s="9"/>
      <c r="Y4090" s="9"/>
      <c r="Z4090" s="9"/>
      <c r="AA4090" s="9"/>
      <c r="AB4090" s="9"/>
      <c r="AC4090" s="9"/>
      <c r="AD4090" s="9"/>
      <c r="AE4090" s="9"/>
      <c r="AF4090" s="9"/>
      <c r="AG4090" s="9"/>
      <c r="AH4090" s="9"/>
      <c r="AI4090" s="9"/>
      <c r="AJ4090" s="9"/>
      <c r="AK4090" s="9"/>
      <c r="AL4090" s="9"/>
      <c r="AM4090" s="9"/>
      <c r="AN4090" s="9"/>
      <c r="AO4090" s="9"/>
      <c r="AP4090" s="9"/>
      <c r="AQ4090" s="9"/>
      <c r="AR4090" s="9"/>
      <c r="AS4090" s="9"/>
      <c r="AT4090" s="9"/>
      <c r="AU4090" s="9"/>
    </row>
    <row r="4091" spans="1:47" ht="15.75" customHeight="1">
      <c r="A4091" s="9"/>
      <c r="B4091" s="9"/>
      <c r="C4091" s="9"/>
      <c r="D4091" s="9"/>
      <c r="E4091" s="9"/>
      <c r="F4091" s="67"/>
      <c r="G4091" s="9"/>
      <c r="H4091" s="9"/>
      <c r="I4091" s="9"/>
      <c r="J4091" s="9"/>
      <c r="K4091" s="9"/>
      <c r="L4091" s="9"/>
      <c r="M4091" s="9"/>
      <c r="N4091" s="9"/>
      <c r="O4091" s="9"/>
      <c r="P4091" s="9"/>
      <c r="Q4091" s="9"/>
      <c r="R4091" s="9"/>
      <c r="S4091" s="9"/>
      <c r="T4091" s="9"/>
      <c r="U4091" s="9"/>
      <c r="V4091" s="9"/>
      <c r="W4091" s="9"/>
      <c r="X4091" s="9"/>
      <c r="Y4091" s="9"/>
      <c r="Z4091" s="9"/>
      <c r="AA4091" s="9"/>
      <c r="AB4091" s="9"/>
      <c r="AC4091" s="9"/>
      <c r="AD4091" s="9"/>
      <c r="AE4091" s="9"/>
      <c r="AF4091" s="9"/>
      <c r="AG4091" s="9"/>
      <c r="AH4091" s="9"/>
      <c r="AI4091" s="9"/>
      <c r="AJ4091" s="9"/>
      <c r="AK4091" s="9"/>
      <c r="AL4091" s="9"/>
      <c r="AM4091" s="9"/>
      <c r="AN4091" s="9"/>
      <c r="AO4091" s="9"/>
      <c r="AP4091" s="9"/>
      <c r="AQ4091" s="9"/>
      <c r="AR4091" s="9"/>
      <c r="AS4091" s="9"/>
      <c r="AT4091" s="9"/>
      <c r="AU4091" s="9"/>
    </row>
    <row r="4092" spans="1:47" ht="15.75" customHeight="1">
      <c r="A4092" s="9"/>
      <c r="B4092" s="9"/>
      <c r="C4092" s="9"/>
      <c r="D4092" s="9"/>
      <c r="E4092" s="9"/>
      <c r="F4092" s="67"/>
      <c r="G4092" s="9"/>
      <c r="H4092" s="9"/>
      <c r="I4092" s="9"/>
      <c r="J4092" s="9"/>
      <c r="K4092" s="9"/>
      <c r="L4092" s="9"/>
      <c r="M4092" s="9"/>
      <c r="N4092" s="9"/>
      <c r="O4092" s="9"/>
      <c r="P4092" s="9"/>
      <c r="Q4092" s="9"/>
      <c r="R4092" s="9"/>
      <c r="S4092" s="9"/>
      <c r="T4092" s="9"/>
      <c r="U4092" s="9"/>
      <c r="V4092" s="9"/>
      <c r="W4092" s="9"/>
      <c r="X4092" s="9"/>
      <c r="Y4092" s="9"/>
      <c r="Z4092" s="9"/>
      <c r="AA4092" s="9"/>
      <c r="AB4092" s="9"/>
      <c r="AC4092" s="9"/>
      <c r="AD4092" s="9"/>
      <c r="AE4092" s="9"/>
      <c r="AF4092" s="9"/>
      <c r="AG4092" s="9"/>
      <c r="AH4092" s="9"/>
      <c r="AI4092" s="9"/>
      <c r="AJ4092" s="9"/>
      <c r="AK4092" s="9"/>
      <c r="AL4092" s="9"/>
      <c r="AM4092" s="9"/>
      <c r="AN4092" s="9"/>
      <c r="AO4092" s="9"/>
      <c r="AP4092" s="9"/>
      <c r="AQ4092" s="9"/>
      <c r="AR4092" s="9"/>
      <c r="AS4092" s="9"/>
      <c r="AT4092" s="9"/>
      <c r="AU4092" s="9"/>
    </row>
    <row r="4093" spans="1:47" ht="15.75" customHeight="1">
      <c r="A4093" s="9"/>
      <c r="B4093" s="9"/>
      <c r="C4093" s="9"/>
      <c r="D4093" s="9"/>
      <c r="E4093" s="9"/>
      <c r="F4093" s="67"/>
      <c r="G4093" s="9"/>
      <c r="H4093" s="9"/>
      <c r="I4093" s="9"/>
      <c r="J4093" s="9"/>
      <c r="K4093" s="9"/>
      <c r="L4093" s="9"/>
      <c r="M4093" s="9"/>
      <c r="N4093" s="9"/>
      <c r="O4093" s="9"/>
      <c r="P4093" s="9"/>
      <c r="Q4093" s="9"/>
      <c r="R4093" s="9"/>
      <c r="S4093" s="9"/>
      <c r="T4093" s="9"/>
      <c r="U4093" s="9"/>
      <c r="V4093" s="9"/>
      <c r="W4093" s="9"/>
      <c r="X4093" s="9"/>
      <c r="Y4093" s="9"/>
      <c r="Z4093" s="9"/>
      <c r="AA4093" s="9"/>
      <c r="AB4093" s="9"/>
      <c r="AC4093" s="9"/>
      <c r="AD4093" s="9"/>
      <c r="AE4093" s="9"/>
      <c r="AF4093" s="9"/>
      <c r="AG4093" s="9"/>
      <c r="AH4093" s="9"/>
      <c r="AI4093" s="9"/>
      <c r="AJ4093" s="9"/>
      <c r="AK4093" s="9"/>
      <c r="AL4093" s="9"/>
      <c r="AM4093" s="9"/>
      <c r="AN4093" s="9"/>
      <c r="AO4093" s="9"/>
      <c r="AP4093" s="9"/>
      <c r="AQ4093" s="9"/>
      <c r="AR4093" s="9"/>
      <c r="AS4093" s="9"/>
      <c r="AT4093" s="9"/>
      <c r="AU4093" s="9"/>
    </row>
    <row r="4094" spans="1:47" ht="15.75" customHeight="1">
      <c r="A4094" s="9"/>
      <c r="B4094" s="9"/>
      <c r="C4094" s="9"/>
      <c r="D4094" s="9"/>
      <c r="E4094" s="9"/>
      <c r="F4094" s="67"/>
      <c r="G4094" s="9"/>
      <c r="H4094" s="9"/>
      <c r="I4094" s="9"/>
      <c r="J4094" s="9"/>
      <c r="K4094" s="9"/>
      <c r="L4094" s="9"/>
      <c r="M4094" s="9"/>
      <c r="N4094" s="9"/>
      <c r="O4094" s="9"/>
      <c r="P4094" s="9"/>
      <c r="Q4094" s="9"/>
      <c r="R4094" s="9"/>
      <c r="S4094" s="9"/>
      <c r="T4094" s="9"/>
      <c r="U4094" s="9"/>
      <c r="V4094" s="9"/>
      <c r="W4094" s="9"/>
      <c r="X4094" s="9"/>
      <c r="Y4094" s="9"/>
      <c r="Z4094" s="9"/>
      <c r="AA4094" s="9"/>
      <c r="AB4094" s="9"/>
      <c r="AC4094" s="9"/>
      <c r="AD4094" s="9"/>
      <c r="AE4094" s="9"/>
      <c r="AF4094" s="9"/>
      <c r="AG4094" s="9"/>
      <c r="AH4094" s="9"/>
      <c r="AI4094" s="9"/>
      <c r="AJ4094" s="9"/>
      <c r="AK4094" s="9"/>
      <c r="AL4094" s="9"/>
      <c r="AM4094" s="9"/>
      <c r="AN4094" s="9"/>
      <c r="AO4094" s="9"/>
      <c r="AP4094" s="9"/>
      <c r="AQ4094" s="9"/>
      <c r="AR4094" s="9"/>
      <c r="AS4094" s="9"/>
      <c r="AT4094" s="9"/>
      <c r="AU4094" s="9"/>
    </row>
    <row r="4095" spans="1:47" ht="15.75" customHeight="1">
      <c r="A4095" s="9"/>
      <c r="B4095" s="9"/>
      <c r="C4095" s="9"/>
      <c r="D4095" s="9"/>
      <c r="E4095" s="9"/>
      <c r="F4095" s="67"/>
      <c r="G4095" s="9"/>
      <c r="H4095" s="9"/>
      <c r="I4095" s="9"/>
      <c r="J4095" s="9"/>
      <c r="K4095" s="9"/>
      <c r="L4095" s="9"/>
      <c r="M4095" s="9"/>
      <c r="N4095" s="9"/>
      <c r="O4095" s="9"/>
      <c r="P4095" s="9"/>
      <c r="Q4095" s="9"/>
      <c r="R4095" s="9"/>
      <c r="S4095" s="9"/>
      <c r="T4095" s="9"/>
      <c r="U4095" s="9"/>
      <c r="V4095" s="9"/>
      <c r="W4095" s="9"/>
      <c r="X4095" s="9"/>
      <c r="Y4095" s="9"/>
      <c r="Z4095" s="9"/>
      <c r="AA4095" s="9"/>
      <c r="AB4095" s="9"/>
      <c r="AC4095" s="9"/>
      <c r="AD4095" s="9"/>
      <c r="AE4095" s="9"/>
      <c r="AF4095" s="9"/>
      <c r="AG4095" s="9"/>
      <c r="AH4095" s="9"/>
      <c r="AI4095" s="9"/>
      <c r="AJ4095" s="9"/>
      <c r="AK4095" s="9"/>
      <c r="AL4095" s="9"/>
      <c r="AM4095" s="9"/>
      <c r="AN4095" s="9"/>
      <c r="AO4095" s="9"/>
      <c r="AP4095" s="9"/>
      <c r="AQ4095" s="9"/>
      <c r="AR4095" s="9"/>
      <c r="AS4095" s="9"/>
      <c r="AT4095" s="9"/>
      <c r="AU4095" s="9"/>
    </row>
    <row r="4096" spans="1:47" ht="15.75" customHeight="1">
      <c r="A4096" s="9"/>
      <c r="B4096" s="9"/>
      <c r="C4096" s="9"/>
      <c r="D4096" s="9"/>
      <c r="E4096" s="9"/>
      <c r="F4096" s="67"/>
      <c r="G4096" s="9"/>
      <c r="H4096" s="9"/>
      <c r="I4096" s="9"/>
      <c r="J4096" s="9"/>
      <c r="K4096" s="9"/>
      <c r="L4096" s="9"/>
      <c r="M4096" s="9"/>
      <c r="N4096" s="9"/>
      <c r="O4096" s="9"/>
      <c r="P4096" s="9"/>
      <c r="Q4096" s="9"/>
      <c r="R4096" s="9"/>
      <c r="S4096" s="9"/>
      <c r="T4096" s="9"/>
      <c r="U4096" s="9"/>
      <c r="V4096" s="9"/>
      <c r="W4096" s="9"/>
      <c r="X4096" s="9"/>
      <c r="Y4096" s="9"/>
      <c r="Z4096" s="9"/>
      <c r="AA4096" s="9"/>
      <c r="AB4096" s="9"/>
      <c r="AC4096" s="9"/>
      <c r="AD4096" s="9"/>
      <c r="AE4096" s="9"/>
      <c r="AF4096" s="9"/>
      <c r="AG4096" s="9"/>
      <c r="AH4096" s="9"/>
      <c r="AI4096" s="9"/>
      <c r="AJ4096" s="9"/>
      <c r="AK4096" s="9"/>
      <c r="AL4096" s="9"/>
      <c r="AM4096" s="9"/>
      <c r="AN4096" s="9"/>
      <c r="AO4096" s="9"/>
      <c r="AP4096" s="9"/>
      <c r="AQ4096" s="9"/>
      <c r="AR4096" s="9"/>
      <c r="AS4096" s="9"/>
      <c r="AT4096" s="9"/>
      <c r="AU4096" s="9"/>
    </row>
    <row r="4097" spans="1:47" ht="15.75" customHeight="1">
      <c r="A4097" s="9"/>
      <c r="B4097" s="9"/>
      <c r="C4097" s="9"/>
      <c r="D4097" s="9"/>
      <c r="E4097" s="9"/>
      <c r="F4097" s="67"/>
      <c r="G4097" s="9"/>
      <c r="H4097" s="9"/>
      <c r="I4097" s="9"/>
      <c r="J4097" s="9"/>
      <c r="K4097" s="9"/>
      <c r="L4097" s="9"/>
      <c r="M4097" s="9"/>
      <c r="N4097" s="9"/>
      <c r="O4097" s="9"/>
      <c r="P4097" s="9"/>
      <c r="Q4097" s="9"/>
      <c r="R4097" s="9"/>
      <c r="S4097" s="9"/>
      <c r="T4097" s="9"/>
      <c r="U4097" s="9"/>
      <c r="V4097" s="9"/>
      <c r="W4097" s="9"/>
      <c r="X4097" s="9"/>
      <c r="Y4097" s="9"/>
      <c r="Z4097" s="9"/>
      <c r="AA4097" s="9"/>
      <c r="AB4097" s="9"/>
      <c r="AC4097" s="9"/>
      <c r="AD4097" s="9"/>
      <c r="AE4097" s="9"/>
      <c r="AF4097" s="9"/>
      <c r="AG4097" s="9"/>
      <c r="AH4097" s="9"/>
      <c r="AI4097" s="9"/>
      <c r="AJ4097" s="9"/>
      <c r="AK4097" s="9"/>
      <c r="AL4097" s="9"/>
      <c r="AM4097" s="9"/>
      <c r="AN4097" s="9"/>
      <c r="AO4097" s="9"/>
      <c r="AP4097" s="9"/>
      <c r="AQ4097" s="9"/>
      <c r="AR4097" s="9"/>
      <c r="AS4097" s="9"/>
      <c r="AT4097" s="9"/>
      <c r="AU4097" s="9"/>
    </row>
    <row r="4098" spans="1:47" ht="15.75" customHeight="1">
      <c r="A4098" s="9"/>
      <c r="B4098" s="9"/>
      <c r="C4098" s="9"/>
      <c r="D4098" s="9"/>
      <c r="E4098" s="9"/>
      <c r="F4098" s="67"/>
      <c r="G4098" s="9"/>
      <c r="H4098" s="9"/>
      <c r="I4098" s="9"/>
      <c r="J4098" s="9"/>
      <c r="K4098" s="9"/>
      <c r="L4098" s="9"/>
      <c r="M4098" s="9"/>
      <c r="N4098" s="9"/>
      <c r="O4098" s="9"/>
      <c r="P4098" s="9"/>
      <c r="Q4098" s="9"/>
      <c r="R4098" s="9"/>
      <c r="S4098" s="9"/>
      <c r="T4098" s="9"/>
      <c r="U4098" s="9"/>
      <c r="V4098" s="9"/>
      <c r="W4098" s="9"/>
      <c r="X4098" s="9"/>
      <c r="Y4098" s="9"/>
      <c r="Z4098" s="9"/>
      <c r="AA4098" s="9"/>
      <c r="AB4098" s="9"/>
      <c r="AC4098" s="9"/>
      <c r="AD4098" s="9"/>
      <c r="AE4098" s="9"/>
      <c r="AF4098" s="9"/>
      <c r="AG4098" s="9"/>
      <c r="AH4098" s="9"/>
      <c r="AI4098" s="9"/>
      <c r="AJ4098" s="9"/>
      <c r="AK4098" s="9"/>
      <c r="AL4098" s="9"/>
      <c r="AM4098" s="9"/>
      <c r="AN4098" s="9"/>
      <c r="AO4098" s="9"/>
      <c r="AP4098" s="9"/>
      <c r="AQ4098" s="9"/>
      <c r="AR4098" s="9"/>
      <c r="AS4098" s="9"/>
      <c r="AT4098" s="9"/>
      <c r="AU4098" s="9"/>
    </row>
    <row r="4099" spans="1:47" ht="15.75" customHeight="1">
      <c r="A4099" s="9"/>
      <c r="B4099" s="9"/>
      <c r="C4099" s="9"/>
      <c r="D4099" s="9"/>
      <c r="E4099" s="9"/>
      <c r="F4099" s="67"/>
      <c r="G4099" s="9"/>
      <c r="H4099" s="9"/>
      <c r="I4099" s="9"/>
      <c r="J4099" s="9"/>
      <c r="K4099" s="9"/>
      <c r="L4099" s="9"/>
      <c r="M4099" s="9"/>
      <c r="N4099" s="9"/>
      <c r="O4099" s="9"/>
      <c r="P4099" s="9"/>
      <c r="Q4099" s="9"/>
      <c r="R4099" s="9"/>
      <c r="S4099" s="9"/>
      <c r="T4099" s="9"/>
      <c r="U4099" s="9"/>
      <c r="V4099" s="9"/>
      <c r="W4099" s="9"/>
      <c r="X4099" s="9"/>
      <c r="Y4099" s="9"/>
      <c r="Z4099" s="9"/>
      <c r="AA4099" s="9"/>
      <c r="AB4099" s="9"/>
      <c r="AC4099" s="9"/>
      <c r="AD4099" s="9"/>
      <c r="AE4099" s="9"/>
      <c r="AF4099" s="9"/>
      <c r="AG4099" s="9"/>
      <c r="AH4099" s="9"/>
      <c r="AI4099" s="9"/>
      <c r="AJ4099" s="9"/>
      <c r="AK4099" s="9"/>
      <c r="AL4099" s="9"/>
      <c r="AM4099" s="9"/>
      <c r="AN4099" s="9"/>
      <c r="AO4099" s="9"/>
      <c r="AP4099" s="9"/>
      <c r="AQ4099" s="9"/>
      <c r="AR4099" s="9"/>
      <c r="AS4099" s="9"/>
      <c r="AT4099" s="9"/>
      <c r="AU4099" s="9"/>
    </row>
    <row r="4100" spans="1:47" ht="15.75" customHeight="1">
      <c r="A4100" s="9"/>
      <c r="B4100" s="9"/>
      <c r="C4100" s="9"/>
      <c r="D4100" s="9"/>
      <c r="E4100" s="9"/>
      <c r="F4100" s="67"/>
      <c r="G4100" s="9"/>
      <c r="H4100" s="9"/>
      <c r="I4100" s="9"/>
      <c r="J4100" s="9"/>
      <c r="K4100" s="9"/>
      <c r="L4100" s="9"/>
      <c r="M4100" s="9"/>
      <c r="N4100" s="9"/>
      <c r="O4100" s="9"/>
      <c r="P4100" s="9"/>
      <c r="Q4100" s="9"/>
      <c r="R4100" s="9"/>
      <c r="S4100" s="9"/>
      <c r="T4100" s="9"/>
      <c r="U4100" s="9"/>
      <c r="V4100" s="9"/>
      <c r="W4100" s="9"/>
      <c r="X4100" s="9"/>
      <c r="Y4100" s="9"/>
      <c r="Z4100" s="9"/>
      <c r="AA4100" s="9"/>
      <c r="AB4100" s="9"/>
      <c r="AC4100" s="9"/>
      <c r="AD4100" s="9"/>
      <c r="AE4100" s="9"/>
      <c r="AF4100" s="9"/>
      <c r="AG4100" s="9"/>
      <c r="AH4100" s="9"/>
      <c r="AI4100" s="9"/>
      <c r="AJ4100" s="9"/>
      <c r="AK4100" s="9"/>
      <c r="AL4100" s="9"/>
      <c r="AM4100" s="9"/>
      <c r="AN4100" s="9"/>
      <c r="AO4100" s="9"/>
      <c r="AP4100" s="9"/>
      <c r="AQ4100" s="9"/>
      <c r="AR4100" s="9"/>
      <c r="AS4100" s="9"/>
      <c r="AT4100" s="9"/>
      <c r="AU4100" s="9"/>
    </row>
    <row r="4101" spans="1:47" ht="15.75" customHeight="1">
      <c r="A4101" s="9"/>
      <c r="B4101" s="9"/>
      <c r="C4101" s="9"/>
      <c r="D4101" s="9"/>
      <c r="E4101" s="9"/>
      <c r="F4101" s="67"/>
      <c r="G4101" s="9"/>
      <c r="H4101" s="9"/>
      <c r="I4101" s="9"/>
      <c r="J4101" s="9"/>
      <c r="K4101" s="9"/>
      <c r="L4101" s="9"/>
      <c r="M4101" s="9"/>
      <c r="N4101" s="9"/>
      <c r="O4101" s="9"/>
      <c r="P4101" s="9"/>
      <c r="Q4101" s="9"/>
      <c r="R4101" s="9"/>
      <c r="S4101" s="9"/>
      <c r="T4101" s="9"/>
      <c r="U4101" s="9"/>
      <c r="V4101" s="9"/>
      <c r="W4101" s="9"/>
      <c r="X4101" s="9"/>
      <c r="Y4101" s="9"/>
      <c r="Z4101" s="9"/>
      <c r="AA4101" s="9"/>
      <c r="AB4101" s="9"/>
      <c r="AC4101" s="9"/>
      <c r="AD4101" s="9"/>
      <c r="AE4101" s="9"/>
      <c r="AF4101" s="9"/>
      <c r="AG4101" s="9"/>
      <c r="AH4101" s="9"/>
      <c r="AI4101" s="9"/>
      <c r="AJ4101" s="9"/>
      <c r="AK4101" s="9"/>
      <c r="AL4101" s="9"/>
      <c r="AM4101" s="9"/>
      <c r="AN4101" s="9"/>
      <c r="AO4101" s="9"/>
      <c r="AP4101" s="9"/>
      <c r="AQ4101" s="9"/>
      <c r="AR4101" s="9"/>
      <c r="AS4101" s="9"/>
      <c r="AT4101" s="9"/>
      <c r="AU4101" s="9"/>
    </row>
    <row r="4102" spans="1:47" ht="15.75" customHeight="1">
      <c r="A4102" s="9"/>
      <c r="B4102" s="9"/>
      <c r="C4102" s="9"/>
      <c r="D4102" s="9"/>
      <c r="E4102" s="9"/>
      <c r="F4102" s="67"/>
      <c r="G4102" s="9"/>
      <c r="H4102" s="9"/>
      <c r="I4102" s="9"/>
      <c r="J4102" s="9"/>
      <c r="K4102" s="9"/>
      <c r="L4102" s="9"/>
      <c r="M4102" s="9"/>
      <c r="N4102" s="9"/>
      <c r="O4102" s="9"/>
      <c r="P4102" s="9"/>
      <c r="Q4102" s="9"/>
      <c r="R4102" s="9"/>
      <c r="S4102" s="9"/>
      <c r="T4102" s="9"/>
      <c r="U4102" s="9"/>
      <c r="V4102" s="9"/>
      <c r="W4102" s="9"/>
      <c r="X4102" s="9"/>
      <c r="Y4102" s="9"/>
      <c r="Z4102" s="9"/>
      <c r="AA4102" s="9"/>
      <c r="AB4102" s="9"/>
      <c r="AC4102" s="9"/>
      <c r="AD4102" s="9"/>
      <c r="AE4102" s="9"/>
      <c r="AF4102" s="9"/>
      <c r="AG4102" s="9"/>
      <c r="AH4102" s="9"/>
      <c r="AI4102" s="9"/>
      <c r="AJ4102" s="9"/>
      <c r="AK4102" s="9"/>
      <c r="AL4102" s="9"/>
      <c r="AM4102" s="9"/>
      <c r="AN4102" s="9"/>
      <c r="AO4102" s="9"/>
      <c r="AP4102" s="9"/>
      <c r="AQ4102" s="9"/>
      <c r="AR4102" s="9"/>
      <c r="AS4102" s="9"/>
      <c r="AT4102" s="9"/>
      <c r="AU4102" s="9"/>
    </row>
    <row r="4103" spans="1:47" ht="15.75" customHeight="1">
      <c r="A4103" s="9"/>
      <c r="B4103" s="9"/>
      <c r="C4103" s="9"/>
      <c r="D4103" s="9"/>
      <c r="E4103" s="9"/>
      <c r="F4103" s="67"/>
      <c r="G4103" s="9"/>
      <c r="H4103" s="9"/>
      <c r="I4103" s="9"/>
      <c r="J4103" s="9"/>
      <c r="K4103" s="9"/>
      <c r="L4103" s="9"/>
      <c r="M4103" s="9"/>
      <c r="N4103" s="9"/>
      <c r="O4103" s="9"/>
      <c r="P4103" s="9"/>
      <c r="Q4103" s="9"/>
      <c r="R4103" s="9"/>
      <c r="S4103" s="9"/>
      <c r="T4103" s="9"/>
      <c r="U4103" s="9"/>
      <c r="V4103" s="9"/>
      <c r="W4103" s="9"/>
      <c r="X4103" s="9"/>
      <c r="Y4103" s="9"/>
      <c r="Z4103" s="9"/>
      <c r="AA4103" s="9"/>
      <c r="AB4103" s="9"/>
      <c r="AC4103" s="9"/>
      <c r="AD4103" s="9"/>
      <c r="AE4103" s="9"/>
      <c r="AF4103" s="9"/>
      <c r="AG4103" s="9"/>
      <c r="AH4103" s="9"/>
      <c r="AI4103" s="9"/>
      <c r="AJ4103" s="9"/>
      <c r="AK4103" s="9"/>
      <c r="AL4103" s="9"/>
      <c r="AM4103" s="9"/>
      <c r="AN4103" s="9"/>
      <c r="AO4103" s="9"/>
      <c r="AP4103" s="9"/>
      <c r="AQ4103" s="9"/>
      <c r="AR4103" s="9"/>
      <c r="AS4103" s="9"/>
      <c r="AT4103" s="9"/>
      <c r="AU4103" s="9"/>
    </row>
    <row r="4104" spans="1:47" ht="15.75" customHeight="1">
      <c r="A4104" s="9"/>
      <c r="B4104" s="9"/>
      <c r="C4104" s="9"/>
      <c r="D4104" s="9"/>
      <c r="E4104" s="9"/>
      <c r="F4104" s="67"/>
      <c r="G4104" s="9"/>
      <c r="H4104" s="9"/>
      <c r="I4104" s="9"/>
      <c r="J4104" s="9"/>
      <c r="K4104" s="9"/>
      <c r="L4104" s="9"/>
      <c r="M4104" s="9"/>
      <c r="N4104" s="9"/>
      <c r="O4104" s="9"/>
      <c r="P4104" s="9"/>
      <c r="Q4104" s="9"/>
      <c r="R4104" s="9"/>
      <c r="S4104" s="9"/>
      <c r="T4104" s="9"/>
      <c r="U4104" s="9"/>
      <c r="V4104" s="9"/>
      <c r="W4104" s="9"/>
      <c r="X4104" s="9"/>
      <c r="Y4104" s="9"/>
      <c r="Z4104" s="9"/>
      <c r="AA4104" s="9"/>
      <c r="AB4104" s="9"/>
      <c r="AC4104" s="9"/>
      <c r="AD4104" s="9"/>
      <c r="AE4104" s="9"/>
      <c r="AF4104" s="9"/>
      <c r="AG4104" s="9"/>
      <c r="AH4104" s="9"/>
      <c r="AI4104" s="9"/>
      <c r="AJ4104" s="9"/>
      <c r="AK4104" s="9"/>
      <c r="AL4104" s="9"/>
      <c r="AM4104" s="9"/>
      <c r="AN4104" s="9"/>
      <c r="AO4104" s="9"/>
      <c r="AP4104" s="9"/>
      <c r="AQ4104" s="9"/>
      <c r="AR4104" s="9"/>
      <c r="AS4104" s="9"/>
      <c r="AT4104" s="9"/>
      <c r="AU4104" s="9"/>
    </row>
    <row r="4105" spans="1:47" ht="15.75" customHeight="1">
      <c r="A4105" s="9"/>
      <c r="B4105" s="9"/>
      <c r="C4105" s="9"/>
      <c r="D4105" s="9"/>
      <c r="E4105" s="9"/>
      <c r="F4105" s="67"/>
      <c r="G4105" s="9"/>
      <c r="H4105" s="9"/>
      <c r="I4105" s="9"/>
      <c r="J4105" s="9"/>
      <c r="K4105" s="9"/>
      <c r="L4105" s="9"/>
      <c r="M4105" s="9"/>
      <c r="N4105" s="9"/>
      <c r="O4105" s="9"/>
      <c r="P4105" s="9"/>
      <c r="Q4105" s="9"/>
      <c r="R4105" s="9"/>
      <c r="S4105" s="9"/>
      <c r="T4105" s="9"/>
      <c r="U4105" s="9"/>
      <c r="V4105" s="9"/>
      <c r="W4105" s="9"/>
      <c r="X4105" s="9"/>
      <c r="Y4105" s="9"/>
      <c r="Z4105" s="9"/>
      <c r="AA4105" s="9"/>
      <c r="AB4105" s="9"/>
      <c r="AC4105" s="9"/>
      <c r="AD4105" s="9"/>
      <c r="AE4105" s="9"/>
      <c r="AF4105" s="9"/>
      <c r="AG4105" s="9"/>
      <c r="AH4105" s="9"/>
      <c r="AI4105" s="9"/>
      <c r="AJ4105" s="9"/>
      <c r="AK4105" s="9"/>
      <c r="AL4105" s="9"/>
      <c r="AM4105" s="9"/>
      <c r="AN4105" s="9"/>
      <c r="AO4105" s="9"/>
      <c r="AP4105" s="9"/>
      <c r="AQ4105" s="9"/>
      <c r="AR4105" s="9"/>
      <c r="AS4105" s="9"/>
      <c r="AT4105" s="9"/>
      <c r="AU4105" s="9"/>
    </row>
    <row r="4106" spans="1:47" ht="15.75" customHeight="1">
      <c r="A4106" s="9"/>
      <c r="B4106" s="9"/>
      <c r="C4106" s="9"/>
      <c r="D4106" s="9"/>
      <c r="E4106" s="9"/>
      <c r="F4106" s="67"/>
      <c r="G4106" s="9"/>
      <c r="H4106" s="9"/>
      <c r="I4106" s="9"/>
      <c r="J4106" s="9"/>
      <c r="K4106" s="9"/>
      <c r="L4106" s="9"/>
      <c r="M4106" s="9"/>
      <c r="N4106" s="9"/>
      <c r="O4106" s="9"/>
      <c r="P4106" s="9"/>
      <c r="Q4106" s="9"/>
      <c r="R4106" s="9"/>
      <c r="S4106" s="9"/>
      <c r="T4106" s="9"/>
      <c r="U4106" s="9"/>
      <c r="V4106" s="9"/>
      <c r="W4106" s="9"/>
      <c r="X4106" s="9"/>
      <c r="Y4106" s="9"/>
      <c r="Z4106" s="9"/>
      <c r="AA4106" s="9"/>
      <c r="AB4106" s="9"/>
      <c r="AC4106" s="9"/>
      <c r="AD4106" s="9"/>
      <c r="AE4106" s="9"/>
      <c r="AF4106" s="9"/>
      <c r="AG4106" s="9"/>
      <c r="AH4106" s="9"/>
      <c r="AI4106" s="9"/>
      <c r="AJ4106" s="9"/>
      <c r="AK4106" s="9"/>
      <c r="AL4106" s="9"/>
      <c r="AM4106" s="9"/>
      <c r="AN4106" s="9"/>
      <c r="AO4106" s="9"/>
      <c r="AP4106" s="9"/>
      <c r="AQ4106" s="9"/>
      <c r="AR4106" s="9"/>
      <c r="AS4106" s="9"/>
      <c r="AT4106" s="9"/>
      <c r="AU4106" s="9"/>
    </row>
    <row r="4107" spans="1:47" ht="15.75" customHeight="1">
      <c r="A4107" s="9"/>
      <c r="B4107" s="9"/>
      <c r="C4107" s="9"/>
      <c r="D4107" s="9"/>
      <c r="E4107" s="9"/>
      <c r="F4107" s="67"/>
      <c r="G4107" s="9"/>
      <c r="H4107" s="9"/>
      <c r="I4107" s="9"/>
      <c r="J4107" s="9"/>
      <c r="K4107" s="9"/>
      <c r="L4107" s="9"/>
      <c r="M4107" s="9"/>
      <c r="N4107" s="9"/>
      <c r="O4107" s="9"/>
      <c r="P4107" s="9"/>
      <c r="Q4107" s="9"/>
      <c r="R4107" s="9"/>
      <c r="S4107" s="9"/>
      <c r="T4107" s="9"/>
      <c r="U4107" s="9"/>
      <c r="V4107" s="9"/>
      <c r="W4107" s="9"/>
      <c r="X4107" s="9"/>
      <c r="Y4107" s="9"/>
      <c r="Z4107" s="9"/>
      <c r="AA4107" s="9"/>
      <c r="AB4107" s="9"/>
      <c r="AC4107" s="9"/>
      <c r="AD4107" s="9"/>
      <c r="AE4107" s="9"/>
      <c r="AF4107" s="9"/>
      <c r="AG4107" s="9"/>
      <c r="AH4107" s="9"/>
      <c r="AI4107" s="9"/>
      <c r="AJ4107" s="9"/>
      <c r="AK4107" s="9"/>
      <c r="AL4107" s="9"/>
      <c r="AM4107" s="9"/>
      <c r="AN4107" s="9"/>
      <c r="AO4107" s="9"/>
      <c r="AP4107" s="9"/>
      <c r="AQ4107" s="9"/>
      <c r="AR4107" s="9"/>
      <c r="AS4107" s="9"/>
      <c r="AT4107" s="9"/>
      <c r="AU4107" s="9"/>
    </row>
    <row r="4108" spans="1:47" ht="15.75" customHeight="1">
      <c r="A4108" s="9"/>
      <c r="B4108" s="9"/>
      <c r="C4108" s="9"/>
      <c r="D4108" s="9"/>
      <c r="E4108" s="9"/>
      <c r="F4108" s="67"/>
      <c r="G4108" s="9"/>
      <c r="H4108" s="9"/>
      <c r="I4108" s="9"/>
      <c r="J4108" s="9"/>
      <c r="K4108" s="9"/>
      <c r="L4108" s="9"/>
      <c r="M4108" s="9"/>
      <c r="N4108" s="9"/>
      <c r="O4108" s="9"/>
      <c r="P4108" s="9"/>
      <c r="Q4108" s="9"/>
      <c r="R4108" s="9"/>
      <c r="S4108" s="9"/>
      <c r="T4108" s="9"/>
      <c r="U4108" s="9"/>
      <c r="V4108" s="9"/>
      <c r="W4108" s="9"/>
      <c r="X4108" s="9"/>
      <c r="Y4108" s="9"/>
      <c r="Z4108" s="9"/>
      <c r="AA4108" s="9"/>
      <c r="AB4108" s="9"/>
      <c r="AC4108" s="9"/>
      <c r="AD4108" s="9"/>
      <c r="AE4108" s="9"/>
      <c r="AF4108" s="9"/>
      <c r="AG4108" s="9"/>
      <c r="AH4108" s="9"/>
      <c r="AI4108" s="9"/>
      <c r="AJ4108" s="9"/>
      <c r="AK4108" s="9"/>
      <c r="AL4108" s="9"/>
      <c r="AM4108" s="9"/>
      <c r="AN4108" s="9"/>
      <c r="AO4108" s="9"/>
      <c r="AP4108" s="9"/>
      <c r="AQ4108" s="9"/>
      <c r="AR4108" s="9"/>
      <c r="AS4108" s="9"/>
      <c r="AT4108" s="9"/>
      <c r="AU4108" s="9"/>
    </row>
    <row r="4109" spans="1:47" ht="15.75" customHeight="1">
      <c r="A4109" s="9"/>
      <c r="B4109" s="9"/>
      <c r="C4109" s="9"/>
      <c r="D4109" s="9"/>
      <c r="E4109" s="9"/>
      <c r="F4109" s="67"/>
      <c r="G4109" s="9"/>
      <c r="H4109" s="9"/>
      <c r="I4109" s="9"/>
      <c r="J4109" s="9"/>
      <c r="K4109" s="9"/>
      <c r="L4109" s="9"/>
      <c r="M4109" s="9"/>
      <c r="N4109" s="9"/>
      <c r="O4109" s="9"/>
      <c r="P4109" s="9"/>
      <c r="Q4109" s="9"/>
      <c r="R4109" s="9"/>
      <c r="S4109" s="9"/>
      <c r="T4109" s="9"/>
      <c r="U4109" s="9"/>
      <c r="V4109" s="9"/>
      <c r="W4109" s="9"/>
      <c r="X4109" s="9"/>
      <c r="Y4109" s="9"/>
      <c r="Z4109" s="9"/>
      <c r="AA4109" s="9"/>
      <c r="AB4109" s="9"/>
      <c r="AC4109" s="9"/>
      <c r="AD4109" s="9"/>
      <c r="AE4109" s="9"/>
      <c r="AF4109" s="9"/>
      <c r="AG4109" s="9"/>
      <c r="AH4109" s="9"/>
      <c r="AI4109" s="9"/>
      <c r="AJ4109" s="9"/>
      <c r="AK4109" s="9"/>
      <c r="AL4109" s="9"/>
      <c r="AM4109" s="9"/>
      <c r="AN4109" s="9"/>
      <c r="AO4109" s="9"/>
      <c r="AP4109" s="9"/>
      <c r="AQ4109" s="9"/>
      <c r="AR4109" s="9"/>
      <c r="AS4109" s="9"/>
      <c r="AT4109" s="9"/>
      <c r="AU4109" s="9"/>
    </row>
    <row r="4110" spans="1:47" ht="15.75" customHeight="1">
      <c r="A4110" s="9"/>
      <c r="B4110" s="9"/>
      <c r="C4110" s="9"/>
      <c r="D4110" s="9"/>
      <c r="E4110" s="9"/>
      <c r="F4110" s="67"/>
      <c r="G4110" s="9"/>
      <c r="H4110" s="9"/>
      <c r="I4110" s="9"/>
      <c r="J4110" s="9"/>
      <c r="K4110" s="9"/>
      <c r="L4110" s="9"/>
      <c r="M4110" s="9"/>
      <c r="N4110" s="9"/>
      <c r="O4110" s="9"/>
      <c r="P4110" s="9"/>
      <c r="Q4110" s="9"/>
      <c r="R4110" s="9"/>
      <c r="S4110" s="9"/>
      <c r="T4110" s="9"/>
      <c r="U4110" s="9"/>
      <c r="V4110" s="9"/>
      <c r="W4110" s="9"/>
      <c r="X4110" s="9"/>
      <c r="Y4110" s="9"/>
      <c r="Z4110" s="9"/>
      <c r="AA4110" s="9"/>
      <c r="AB4110" s="9"/>
      <c r="AC4110" s="9"/>
      <c r="AD4110" s="9"/>
      <c r="AE4110" s="9"/>
      <c r="AF4110" s="9"/>
      <c r="AG4110" s="9"/>
      <c r="AH4110" s="9"/>
      <c r="AI4110" s="9"/>
      <c r="AJ4110" s="9"/>
      <c r="AK4110" s="9"/>
      <c r="AL4110" s="9"/>
      <c r="AM4110" s="9"/>
      <c r="AN4110" s="9"/>
      <c r="AO4110" s="9"/>
      <c r="AP4110" s="9"/>
      <c r="AQ4110" s="9"/>
      <c r="AR4110" s="9"/>
      <c r="AS4110" s="9"/>
      <c r="AT4110" s="9"/>
      <c r="AU4110" s="9"/>
    </row>
    <row r="4111" spans="1:47" ht="15.75" customHeight="1">
      <c r="A4111" s="9"/>
      <c r="B4111" s="9"/>
      <c r="C4111" s="9"/>
      <c r="D4111" s="9"/>
      <c r="E4111" s="9"/>
      <c r="F4111" s="67"/>
      <c r="G4111" s="9"/>
      <c r="H4111" s="9"/>
      <c r="I4111" s="9"/>
      <c r="J4111" s="9"/>
      <c r="K4111" s="9"/>
      <c r="L4111" s="9"/>
      <c r="M4111" s="9"/>
      <c r="N4111" s="9"/>
      <c r="O4111" s="9"/>
      <c r="P4111" s="9"/>
      <c r="Q4111" s="9"/>
      <c r="R4111" s="9"/>
      <c r="S4111" s="9"/>
      <c r="T4111" s="9"/>
      <c r="U4111" s="9"/>
      <c r="V4111" s="9"/>
      <c r="W4111" s="9"/>
      <c r="X4111" s="9"/>
      <c r="Y4111" s="9"/>
      <c r="Z4111" s="9"/>
      <c r="AA4111" s="9"/>
      <c r="AB4111" s="9"/>
      <c r="AC4111" s="9"/>
      <c r="AD4111" s="9"/>
      <c r="AE4111" s="9"/>
      <c r="AF4111" s="9"/>
      <c r="AG4111" s="9"/>
      <c r="AH4111" s="9"/>
      <c r="AI4111" s="9"/>
      <c r="AJ4111" s="9"/>
      <c r="AK4111" s="9"/>
      <c r="AL4111" s="9"/>
      <c r="AM4111" s="9"/>
      <c r="AN4111" s="9"/>
      <c r="AO4111" s="9"/>
      <c r="AP4111" s="9"/>
      <c r="AQ4111" s="9"/>
      <c r="AR4111" s="9"/>
      <c r="AS4111" s="9"/>
      <c r="AT4111" s="9"/>
      <c r="AU4111" s="9"/>
    </row>
    <row r="4112" spans="1:47" ht="15.75" customHeight="1">
      <c r="A4112" s="9"/>
      <c r="B4112" s="9"/>
      <c r="C4112" s="9"/>
      <c r="D4112" s="9"/>
      <c r="E4112" s="9"/>
      <c r="F4112" s="67"/>
      <c r="G4112" s="9"/>
      <c r="H4112" s="9"/>
      <c r="I4112" s="9"/>
      <c r="J4112" s="9"/>
      <c r="K4112" s="9"/>
      <c r="L4112" s="9"/>
      <c r="M4112" s="9"/>
      <c r="N4112" s="9"/>
      <c r="O4112" s="9"/>
      <c r="P4112" s="9"/>
      <c r="Q4112" s="9"/>
      <c r="R4112" s="9"/>
      <c r="S4112" s="9"/>
      <c r="T4112" s="9"/>
      <c r="U4112" s="9"/>
      <c r="V4112" s="9"/>
      <c r="W4112" s="9"/>
      <c r="X4112" s="9"/>
      <c r="Y4112" s="9"/>
      <c r="Z4112" s="9"/>
      <c r="AA4112" s="9"/>
      <c r="AB4112" s="9"/>
      <c r="AC4112" s="9"/>
      <c r="AD4112" s="9"/>
      <c r="AE4112" s="9"/>
      <c r="AF4112" s="9"/>
      <c r="AG4112" s="9"/>
      <c r="AH4112" s="9"/>
      <c r="AI4112" s="9"/>
      <c r="AJ4112" s="9"/>
      <c r="AK4112" s="9"/>
      <c r="AL4112" s="9"/>
      <c r="AM4112" s="9"/>
      <c r="AN4112" s="9"/>
      <c r="AO4112" s="9"/>
      <c r="AP4112" s="9"/>
      <c r="AQ4112" s="9"/>
      <c r="AR4112" s="9"/>
      <c r="AS4112" s="9"/>
      <c r="AT4112" s="9"/>
      <c r="AU4112" s="9"/>
    </row>
    <row r="4113" spans="1:47" ht="15.75" customHeight="1">
      <c r="A4113" s="9"/>
      <c r="B4113" s="9"/>
      <c r="C4113" s="9"/>
      <c r="D4113" s="9"/>
      <c r="E4113" s="9"/>
      <c r="F4113" s="67"/>
      <c r="G4113" s="9"/>
      <c r="H4113" s="9"/>
      <c r="I4113" s="9"/>
      <c r="J4113" s="9"/>
      <c r="K4113" s="9"/>
      <c r="L4113" s="9"/>
      <c r="M4113" s="9"/>
      <c r="N4113" s="9"/>
      <c r="O4113" s="9"/>
      <c r="P4113" s="9"/>
      <c r="Q4113" s="9"/>
      <c r="R4113" s="9"/>
      <c r="S4113" s="9"/>
      <c r="T4113" s="9"/>
      <c r="U4113" s="9"/>
      <c r="V4113" s="9"/>
      <c r="W4113" s="9"/>
      <c r="X4113" s="9"/>
      <c r="Y4113" s="9"/>
      <c r="Z4113" s="9"/>
      <c r="AA4113" s="9"/>
      <c r="AB4113" s="9"/>
      <c r="AC4113" s="9"/>
      <c r="AD4113" s="9"/>
      <c r="AE4113" s="9"/>
      <c r="AF4113" s="9"/>
      <c r="AG4113" s="9"/>
      <c r="AH4113" s="9"/>
      <c r="AI4113" s="9"/>
      <c r="AJ4113" s="9"/>
      <c r="AK4113" s="9"/>
      <c r="AL4113" s="9"/>
      <c r="AM4113" s="9"/>
      <c r="AN4113" s="9"/>
      <c r="AO4113" s="9"/>
      <c r="AP4113" s="9"/>
      <c r="AQ4113" s="9"/>
      <c r="AR4113" s="9"/>
      <c r="AS4113" s="9"/>
      <c r="AT4113" s="9"/>
      <c r="AU4113" s="9"/>
    </row>
    <row r="4114" spans="1:47" ht="15.75" customHeight="1">
      <c r="A4114" s="9"/>
      <c r="B4114" s="9"/>
      <c r="C4114" s="9"/>
      <c r="D4114" s="9"/>
      <c r="E4114" s="9"/>
      <c r="F4114" s="67"/>
      <c r="G4114" s="9"/>
      <c r="H4114" s="9"/>
      <c r="I4114" s="9"/>
      <c r="J4114" s="9"/>
      <c r="K4114" s="9"/>
      <c r="L4114" s="9"/>
      <c r="M4114" s="9"/>
      <c r="N4114" s="9"/>
      <c r="O4114" s="9"/>
      <c r="P4114" s="9"/>
      <c r="Q4114" s="9"/>
      <c r="R4114" s="9"/>
      <c r="S4114" s="9"/>
      <c r="T4114" s="9"/>
      <c r="U4114" s="9"/>
      <c r="V4114" s="9"/>
      <c r="W4114" s="9"/>
      <c r="X4114" s="9"/>
      <c r="Y4114" s="9"/>
      <c r="Z4114" s="9"/>
      <c r="AA4114" s="9"/>
      <c r="AB4114" s="9"/>
      <c r="AC4114" s="9"/>
      <c r="AD4114" s="9"/>
      <c r="AE4114" s="9"/>
      <c r="AF4114" s="9"/>
      <c r="AG4114" s="9"/>
      <c r="AH4114" s="9"/>
      <c r="AI4114" s="9"/>
      <c r="AJ4114" s="9"/>
      <c r="AK4114" s="9"/>
      <c r="AL4114" s="9"/>
      <c r="AM4114" s="9"/>
      <c r="AN4114" s="9"/>
      <c r="AO4114" s="9"/>
      <c r="AP4114" s="9"/>
      <c r="AQ4114" s="9"/>
      <c r="AR4114" s="9"/>
      <c r="AS4114" s="9"/>
      <c r="AT4114" s="9"/>
      <c r="AU4114" s="9"/>
    </row>
    <row r="4115" spans="1:47" ht="15.75" customHeight="1">
      <c r="A4115" s="9"/>
      <c r="B4115" s="9"/>
      <c r="C4115" s="9"/>
      <c r="D4115" s="9"/>
      <c r="E4115" s="9"/>
      <c r="F4115" s="67"/>
      <c r="G4115" s="9"/>
      <c r="H4115" s="9"/>
      <c r="I4115" s="9"/>
      <c r="J4115" s="9"/>
      <c r="K4115" s="9"/>
      <c r="L4115" s="9"/>
      <c r="M4115" s="9"/>
      <c r="N4115" s="9"/>
      <c r="O4115" s="9"/>
      <c r="P4115" s="9"/>
      <c r="Q4115" s="9"/>
      <c r="R4115" s="9"/>
      <c r="S4115" s="9"/>
      <c r="T4115" s="9"/>
      <c r="U4115" s="9"/>
      <c r="V4115" s="9"/>
      <c r="W4115" s="9"/>
      <c r="X4115" s="9"/>
      <c r="Y4115" s="9"/>
      <c r="Z4115" s="9"/>
      <c r="AA4115" s="9"/>
      <c r="AB4115" s="9"/>
      <c r="AC4115" s="9"/>
      <c r="AD4115" s="9"/>
      <c r="AE4115" s="9"/>
      <c r="AF4115" s="9"/>
      <c r="AG4115" s="9"/>
      <c r="AH4115" s="9"/>
      <c r="AI4115" s="9"/>
      <c r="AJ4115" s="9"/>
      <c r="AK4115" s="9"/>
      <c r="AL4115" s="9"/>
      <c r="AM4115" s="9"/>
      <c r="AN4115" s="9"/>
      <c r="AO4115" s="9"/>
      <c r="AP4115" s="9"/>
      <c r="AQ4115" s="9"/>
      <c r="AR4115" s="9"/>
      <c r="AS4115" s="9"/>
      <c r="AT4115" s="9"/>
      <c r="AU4115" s="9"/>
    </row>
    <row r="4116" spans="1:47" ht="15.75" customHeight="1">
      <c r="A4116" s="9"/>
      <c r="B4116" s="9"/>
      <c r="C4116" s="9"/>
      <c r="D4116" s="9"/>
      <c r="E4116" s="9"/>
      <c r="F4116" s="67"/>
      <c r="G4116" s="9"/>
      <c r="H4116" s="9"/>
      <c r="I4116" s="9"/>
      <c r="J4116" s="9"/>
      <c r="K4116" s="9"/>
      <c r="L4116" s="9"/>
      <c r="M4116" s="9"/>
      <c r="N4116" s="9"/>
      <c r="O4116" s="9"/>
      <c r="P4116" s="9"/>
      <c r="Q4116" s="9"/>
      <c r="R4116" s="9"/>
      <c r="S4116" s="9"/>
      <c r="T4116" s="9"/>
      <c r="U4116" s="9"/>
      <c r="V4116" s="9"/>
      <c r="W4116" s="9"/>
      <c r="X4116" s="9"/>
      <c r="Y4116" s="9"/>
      <c r="Z4116" s="9"/>
      <c r="AA4116" s="9"/>
      <c r="AB4116" s="9"/>
      <c r="AC4116" s="9"/>
      <c r="AD4116" s="9"/>
      <c r="AE4116" s="9"/>
      <c r="AF4116" s="9"/>
      <c r="AG4116" s="9"/>
      <c r="AH4116" s="9"/>
      <c r="AI4116" s="9"/>
      <c r="AJ4116" s="9"/>
      <c r="AK4116" s="9"/>
      <c r="AL4116" s="9"/>
      <c r="AM4116" s="9"/>
      <c r="AN4116" s="9"/>
      <c r="AO4116" s="9"/>
      <c r="AP4116" s="9"/>
      <c r="AQ4116" s="9"/>
      <c r="AR4116" s="9"/>
      <c r="AS4116" s="9"/>
      <c r="AT4116" s="9"/>
      <c r="AU4116" s="9"/>
    </row>
    <row r="4117" spans="1:47" ht="15.75" customHeight="1">
      <c r="A4117" s="9"/>
      <c r="B4117" s="9"/>
      <c r="C4117" s="9"/>
      <c r="D4117" s="9"/>
      <c r="E4117" s="9"/>
      <c r="F4117" s="67"/>
      <c r="G4117" s="9"/>
      <c r="H4117" s="9"/>
      <c r="I4117" s="9"/>
      <c r="J4117" s="9"/>
      <c r="K4117" s="9"/>
      <c r="L4117" s="9"/>
      <c r="M4117" s="9"/>
      <c r="N4117" s="9"/>
      <c r="O4117" s="9"/>
      <c r="P4117" s="9"/>
      <c r="Q4117" s="9"/>
      <c r="R4117" s="9"/>
      <c r="S4117" s="9"/>
      <c r="T4117" s="9"/>
      <c r="U4117" s="9"/>
      <c r="V4117" s="9"/>
      <c r="W4117" s="9"/>
      <c r="X4117" s="9"/>
      <c r="Y4117" s="9"/>
      <c r="Z4117" s="9"/>
      <c r="AA4117" s="9"/>
      <c r="AB4117" s="9"/>
      <c r="AC4117" s="9"/>
      <c r="AD4117" s="9"/>
      <c r="AE4117" s="9"/>
      <c r="AF4117" s="9"/>
      <c r="AG4117" s="9"/>
      <c r="AH4117" s="9"/>
      <c r="AI4117" s="9"/>
      <c r="AJ4117" s="9"/>
      <c r="AK4117" s="9"/>
      <c r="AL4117" s="9"/>
      <c r="AM4117" s="9"/>
      <c r="AN4117" s="9"/>
      <c r="AO4117" s="9"/>
      <c r="AP4117" s="9"/>
      <c r="AQ4117" s="9"/>
      <c r="AR4117" s="9"/>
      <c r="AS4117" s="9"/>
      <c r="AT4117" s="9"/>
      <c r="AU4117" s="9"/>
    </row>
    <row r="4118" spans="1:47" ht="15.75" customHeight="1">
      <c r="A4118" s="9"/>
      <c r="B4118" s="9"/>
      <c r="C4118" s="9"/>
      <c r="D4118" s="9"/>
      <c r="E4118" s="9"/>
      <c r="F4118" s="67"/>
      <c r="G4118" s="9"/>
      <c r="H4118" s="9"/>
      <c r="I4118" s="9"/>
      <c r="J4118" s="9"/>
      <c r="K4118" s="9"/>
      <c r="L4118" s="9"/>
      <c r="M4118" s="9"/>
      <c r="N4118" s="9"/>
      <c r="O4118" s="9"/>
      <c r="P4118" s="9"/>
      <c r="Q4118" s="9"/>
      <c r="R4118" s="9"/>
      <c r="S4118" s="9"/>
      <c r="T4118" s="9"/>
      <c r="U4118" s="9"/>
      <c r="V4118" s="9"/>
      <c r="W4118" s="9"/>
      <c r="X4118" s="9"/>
      <c r="Y4118" s="9"/>
      <c r="Z4118" s="9"/>
      <c r="AA4118" s="9"/>
      <c r="AB4118" s="9"/>
      <c r="AC4118" s="9"/>
      <c r="AD4118" s="9"/>
      <c r="AE4118" s="9"/>
      <c r="AF4118" s="9"/>
      <c r="AG4118" s="9"/>
      <c r="AH4118" s="9"/>
      <c r="AI4118" s="9"/>
      <c r="AJ4118" s="9"/>
      <c r="AK4118" s="9"/>
      <c r="AL4118" s="9"/>
      <c r="AM4118" s="9"/>
      <c r="AN4118" s="9"/>
      <c r="AO4118" s="9"/>
      <c r="AP4118" s="9"/>
      <c r="AQ4118" s="9"/>
      <c r="AR4118" s="9"/>
      <c r="AS4118" s="9"/>
      <c r="AT4118" s="9"/>
      <c r="AU4118" s="9"/>
    </row>
    <row r="4119" spans="1:47" ht="15.75" customHeight="1">
      <c r="A4119" s="9"/>
      <c r="B4119" s="9"/>
      <c r="C4119" s="9"/>
      <c r="D4119" s="9"/>
      <c r="E4119" s="9"/>
      <c r="F4119" s="67"/>
      <c r="G4119" s="9"/>
      <c r="H4119" s="9"/>
      <c r="I4119" s="9"/>
      <c r="J4119" s="9"/>
      <c r="K4119" s="9"/>
      <c r="L4119" s="9"/>
      <c r="M4119" s="9"/>
      <c r="N4119" s="9"/>
      <c r="O4119" s="9"/>
      <c r="P4119" s="9"/>
      <c r="Q4119" s="9"/>
      <c r="R4119" s="9"/>
      <c r="S4119" s="9"/>
      <c r="T4119" s="9"/>
      <c r="U4119" s="9"/>
      <c r="V4119" s="9"/>
      <c r="W4119" s="9"/>
      <c r="X4119" s="9"/>
      <c r="Y4119" s="9"/>
      <c r="Z4119" s="9"/>
      <c r="AA4119" s="9"/>
      <c r="AB4119" s="9"/>
      <c r="AC4119" s="9"/>
      <c r="AD4119" s="9"/>
      <c r="AE4119" s="9"/>
      <c r="AF4119" s="9"/>
      <c r="AG4119" s="9"/>
      <c r="AH4119" s="9"/>
      <c r="AI4119" s="9"/>
      <c r="AJ4119" s="9"/>
      <c r="AK4119" s="9"/>
      <c r="AL4119" s="9"/>
      <c r="AM4119" s="9"/>
      <c r="AN4119" s="9"/>
      <c r="AO4119" s="9"/>
      <c r="AP4119" s="9"/>
      <c r="AQ4119" s="9"/>
      <c r="AR4119" s="9"/>
      <c r="AS4119" s="9"/>
      <c r="AT4119" s="9"/>
      <c r="AU4119" s="9"/>
    </row>
    <row r="4120" spans="1:47" ht="15.75" customHeight="1">
      <c r="A4120" s="9"/>
      <c r="B4120" s="9"/>
      <c r="C4120" s="9"/>
      <c r="D4120" s="9"/>
      <c r="E4120" s="9"/>
      <c r="F4120" s="67"/>
      <c r="G4120" s="9"/>
      <c r="H4120" s="9"/>
      <c r="I4120" s="9"/>
      <c r="J4120" s="9"/>
      <c r="K4120" s="9"/>
      <c r="L4120" s="9"/>
      <c r="M4120" s="9"/>
      <c r="N4120" s="9"/>
      <c r="O4120" s="9"/>
      <c r="P4120" s="9"/>
      <c r="Q4120" s="9"/>
      <c r="R4120" s="9"/>
      <c r="S4120" s="9"/>
      <c r="T4120" s="9"/>
      <c r="U4120" s="9"/>
      <c r="V4120" s="9"/>
      <c r="W4120" s="9"/>
      <c r="X4120" s="9"/>
      <c r="Y4120" s="9"/>
      <c r="Z4120" s="9"/>
      <c r="AA4120" s="9"/>
      <c r="AB4120" s="9"/>
      <c r="AC4120" s="9"/>
      <c r="AD4120" s="9"/>
      <c r="AE4120" s="9"/>
      <c r="AF4120" s="9"/>
      <c r="AG4120" s="9"/>
      <c r="AH4120" s="9"/>
      <c r="AI4120" s="9"/>
      <c r="AJ4120" s="9"/>
      <c r="AK4120" s="9"/>
      <c r="AL4120" s="9"/>
      <c r="AM4120" s="9"/>
      <c r="AN4120" s="9"/>
      <c r="AO4120" s="9"/>
      <c r="AP4120" s="9"/>
      <c r="AQ4120" s="9"/>
      <c r="AR4120" s="9"/>
      <c r="AS4120" s="9"/>
      <c r="AT4120" s="9"/>
      <c r="AU4120" s="9"/>
    </row>
    <row r="4121" spans="1:47" ht="15.75" customHeight="1">
      <c r="A4121" s="9"/>
      <c r="B4121" s="9"/>
      <c r="C4121" s="9"/>
      <c r="D4121" s="9"/>
      <c r="E4121" s="9"/>
      <c r="F4121" s="67"/>
      <c r="G4121" s="9"/>
      <c r="H4121" s="9"/>
      <c r="I4121" s="9"/>
      <c r="J4121" s="9"/>
      <c r="K4121" s="9"/>
      <c r="L4121" s="9"/>
      <c r="M4121" s="9"/>
      <c r="N4121" s="9"/>
      <c r="O4121" s="9"/>
      <c r="P4121" s="9"/>
      <c r="Q4121" s="9"/>
      <c r="R4121" s="9"/>
      <c r="S4121" s="9"/>
      <c r="T4121" s="9"/>
      <c r="U4121" s="9"/>
      <c r="V4121" s="9"/>
      <c r="W4121" s="9"/>
      <c r="X4121" s="9"/>
      <c r="Y4121" s="9"/>
      <c r="Z4121" s="9"/>
      <c r="AA4121" s="9"/>
      <c r="AB4121" s="9"/>
      <c r="AC4121" s="9"/>
      <c r="AD4121" s="9"/>
      <c r="AE4121" s="9"/>
      <c r="AF4121" s="9"/>
      <c r="AG4121" s="9"/>
      <c r="AH4121" s="9"/>
      <c r="AI4121" s="9"/>
      <c r="AJ4121" s="9"/>
      <c r="AK4121" s="9"/>
      <c r="AL4121" s="9"/>
      <c r="AM4121" s="9"/>
      <c r="AN4121" s="9"/>
      <c r="AO4121" s="9"/>
      <c r="AP4121" s="9"/>
      <c r="AQ4121" s="9"/>
      <c r="AR4121" s="9"/>
      <c r="AS4121" s="9"/>
      <c r="AT4121" s="9"/>
      <c r="AU4121" s="9"/>
    </row>
    <row r="4122" spans="1:47" ht="15.75" customHeight="1">
      <c r="A4122" s="9"/>
      <c r="B4122" s="9"/>
      <c r="C4122" s="9"/>
      <c r="D4122" s="9"/>
      <c r="E4122" s="9"/>
      <c r="F4122" s="67"/>
      <c r="G4122" s="9"/>
      <c r="H4122" s="9"/>
      <c r="I4122" s="9"/>
      <c r="J4122" s="9"/>
      <c r="K4122" s="9"/>
      <c r="L4122" s="9"/>
      <c r="M4122" s="9"/>
      <c r="N4122" s="9"/>
      <c r="O4122" s="9"/>
      <c r="P4122" s="9"/>
      <c r="Q4122" s="9"/>
      <c r="R4122" s="9"/>
      <c r="S4122" s="9"/>
      <c r="T4122" s="9"/>
      <c r="U4122" s="9"/>
      <c r="V4122" s="9"/>
      <c r="W4122" s="9"/>
      <c r="X4122" s="9"/>
      <c r="Y4122" s="9"/>
      <c r="Z4122" s="9"/>
      <c r="AA4122" s="9"/>
      <c r="AB4122" s="9"/>
      <c r="AC4122" s="9"/>
      <c r="AD4122" s="9"/>
      <c r="AE4122" s="9"/>
      <c r="AF4122" s="9"/>
      <c r="AG4122" s="9"/>
      <c r="AH4122" s="9"/>
      <c r="AI4122" s="9"/>
      <c r="AJ4122" s="9"/>
      <c r="AK4122" s="9"/>
      <c r="AL4122" s="9"/>
      <c r="AM4122" s="9"/>
      <c r="AN4122" s="9"/>
      <c r="AO4122" s="9"/>
      <c r="AP4122" s="9"/>
      <c r="AQ4122" s="9"/>
      <c r="AR4122" s="9"/>
      <c r="AS4122" s="9"/>
      <c r="AT4122" s="9"/>
      <c r="AU4122" s="9"/>
    </row>
    <row r="4123" spans="1:47" ht="15.75" customHeight="1">
      <c r="A4123" s="9"/>
      <c r="B4123" s="9"/>
      <c r="C4123" s="9"/>
      <c r="D4123" s="9"/>
      <c r="E4123" s="9"/>
      <c r="F4123" s="67"/>
      <c r="G4123" s="9"/>
      <c r="H4123" s="9"/>
      <c r="I4123" s="9"/>
      <c r="J4123" s="9"/>
      <c r="K4123" s="9"/>
      <c r="L4123" s="9"/>
      <c r="M4123" s="9"/>
      <c r="N4123" s="9"/>
      <c r="O4123" s="9"/>
      <c r="P4123" s="9"/>
      <c r="Q4123" s="9"/>
      <c r="R4123" s="9"/>
      <c r="S4123" s="9"/>
      <c r="T4123" s="9"/>
      <c r="U4123" s="9"/>
      <c r="V4123" s="9"/>
      <c r="W4123" s="9"/>
      <c r="X4123" s="9"/>
      <c r="Y4123" s="9"/>
      <c r="Z4123" s="9"/>
      <c r="AA4123" s="9"/>
      <c r="AB4123" s="9"/>
      <c r="AC4123" s="9"/>
      <c r="AD4123" s="9"/>
      <c r="AE4123" s="9"/>
      <c r="AF4123" s="9"/>
      <c r="AG4123" s="9"/>
      <c r="AH4123" s="9"/>
      <c r="AI4123" s="9"/>
      <c r="AJ4123" s="9"/>
      <c r="AK4123" s="9"/>
      <c r="AL4123" s="9"/>
      <c r="AM4123" s="9"/>
      <c r="AN4123" s="9"/>
      <c r="AO4123" s="9"/>
      <c r="AP4123" s="9"/>
      <c r="AQ4123" s="9"/>
      <c r="AR4123" s="9"/>
      <c r="AS4123" s="9"/>
      <c r="AT4123" s="9"/>
      <c r="AU4123" s="9"/>
    </row>
    <row r="4124" spans="1:47" ht="15.75" customHeight="1">
      <c r="A4124" s="9"/>
      <c r="B4124" s="9"/>
      <c r="C4124" s="9"/>
      <c r="D4124" s="9"/>
      <c r="E4124" s="9"/>
      <c r="F4124" s="67"/>
      <c r="G4124" s="9"/>
      <c r="H4124" s="9"/>
      <c r="I4124" s="9"/>
      <c r="J4124" s="9"/>
      <c r="K4124" s="9"/>
      <c r="L4124" s="9"/>
      <c r="M4124" s="9"/>
      <c r="N4124" s="9"/>
      <c r="O4124" s="9"/>
      <c r="P4124" s="9"/>
      <c r="Q4124" s="9"/>
      <c r="R4124" s="9"/>
      <c r="S4124" s="9"/>
      <c r="T4124" s="9"/>
      <c r="U4124" s="9"/>
      <c r="V4124" s="9"/>
      <c r="W4124" s="9"/>
      <c r="X4124" s="9"/>
      <c r="Y4124" s="9"/>
      <c r="Z4124" s="9"/>
      <c r="AA4124" s="9"/>
      <c r="AB4124" s="9"/>
      <c r="AC4124" s="9"/>
      <c r="AD4124" s="9"/>
      <c r="AE4124" s="9"/>
      <c r="AF4124" s="9"/>
      <c r="AG4124" s="9"/>
      <c r="AH4124" s="9"/>
      <c r="AI4124" s="9"/>
      <c r="AJ4124" s="9"/>
      <c r="AK4124" s="9"/>
      <c r="AL4124" s="9"/>
      <c r="AM4124" s="9"/>
      <c r="AN4124" s="9"/>
      <c r="AO4124" s="9"/>
      <c r="AP4124" s="9"/>
      <c r="AQ4124" s="9"/>
      <c r="AR4124" s="9"/>
      <c r="AS4124" s="9"/>
      <c r="AT4124" s="9"/>
      <c r="AU4124" s="9"/>
    </row>
    <row r="4125" spans="1:47" ht="15.75" customHeight="1">
      <c r="A4125" s="9"/>
      <c r="B4125" s="9"/>
      <c r="C4125" s="9"/>
      <c r="D4125" s="9"/>
      <c r="E4125" s="9"/>
      <c r="F4125" s="67"/>
      <c r="G4125" s="9"/>
      <c r="H4125" s="9"/>
      <c r="I4125" s="9"/>
      <c r="J4125" s="9"/>
      <c r="K4125" s="9"/>
      <c r="L4125" s="9"/>
      <c r="M4125" s="9"/>
      <c r="N4125" s="9"/>
      <c r="O4125" s="9"/>
      <c r="P4125" s="9"/>
      <c r="Q4125" s="9"/>
      <c r="R4125" s="9"/>
      <c r="S4125" s="9"/>
      <c r="T4125" s="9"/>
      <c r="U4125" s="9"/>
      <c r="V4125" s="9"/>
      <c r="W4125" s="9"/>
      <c r="X4125" s="9"/>
      <c r="Y4125" s="9"/>
      <c r="Z4125" s="9"/>
      <c r="AA4125" s="9"/>
      <c r="AB4125" s="9"/>
      <c r="AC4125" s="9"/>
      <c r="AD4125" s="9"/>
      <c r="AE4125" s="9"/>
      <c r="AF4125" s="9"/>
      <c r="AG4125" s="9"/>
      <c r="AH4125" s="9"/>
      <c r="AI4125" s="9"/>
      <c r="AJ4125" s="9"/>
      <c r="AK4125" s="9"/>
      <c r="AL4125" s="9"/>
      <c r="AM4125" s="9"/>
      <c r="AN4125" s="9"/>
      <c r="AO4125" s="9"/>
      <c r="AP4125" s="9"/>
      <c r="AQ4125" s="9"/>
      <c r="AR4125" s="9"/>
      <c r="AS4125" s="9"/>
      <c r="AT4125" s="9"/>
      <c r="AU4125" s="9"/>
    </row>
    <row r="4126" spans="1:47" ht="15.75" customHeight="1">
      <c r="A4126" s="9"/>
      <c r="B4126" s="9"/>
      <c r="C4126" s="9"/>
      <c r="D4126" s="9"/>
      <c r="E4126" s="9"/>
      <c r="F4126" s="67"/>
      <c r="G4126" s="9"/>
      <c r="H4126" s="9"/>
      <c r="I4126" s="9"/>
      <c r="J4126" s="9"/>
      <c r="K4126" s="9"/>
      <c r="L4126" s="9"/>
      <c r="M4126" s="9"/>
      <c r="N4126" s="9"/>
      <c r="O4126" s="9"/>
      <c r="P4126" s="9"/>
      <c r="Q4126" s="9"/>
      <c r="R4126" s="9"/>
      <c r="S4126" s="9"/>
      <c r="T4126" s="9"/>
      <c r="U4126" s="9"/>
      <c r="V4126" s="9"/>
      <c r="W4126" s="9"/>
      <c r="X4126" s="9"/>
      <c r="Y4126" s="9"/>
      <c r="Z4126" s="9"/>
      <c r="AA4126" s="9"/>
      <c r="AB4126" s="9"/>
      <c r="AC4126" s="9"/>
      <c r="AD4126" s="9"/>
      <c r="AE4126" s="9"/>
      <c r="AF4126" s="9"/>
      <c r="AG4126" s="9"/>
      <c r="AH4126" s="9"/>
      <c r="AI4126" s="9"/>
      <c r="AJ4126" s="9"/>
      <c r="AK4126" s="9"/>
      <c r="AL4126" s="9"/>
      <c r="AM4126" s="9"/>
      <c r="AN4126" s="9"/>
      <c r="AO4126" s="9"/>
      <c r="AP4126" s="9"/>
      <c r="AQ4126" s="9"/>
      <c r="AR4126" s="9"/>
      <c r="AS4126" s="9"/>
      <c r="AT4126" s="9"/>
      <c r="AU4126" s="9"/>
    </row>
    <row r="4127" spans="1:47" ht="15.75" customHeight="1">
      <c r="A4127" s="9"/>
      <c r="B4127" s="9"/>
      <c r="C4127" s="9"/>
      <c r="D4127" s="9"/>
      <c r="E4127" s="9"/>
      <c r="F4127" s="67"/>
      <c r="G4127" s="9"/>
      <c r="H4127" s="9"/>
      <c r="I4127" s="9"/>
      <c r="J4127" s="9"/>
      <c r="K4127" s="9"/>
      <c r="L4127" s="9"/>
      <c r="M4127" s="9"/>
      <c r="N4127" s="9"/>
      <c r="O4127" s="9"/>
      <c r="P4127" s="9"/>
      <c r="Q4127" s="9"/>
      <c r="R4127" s="9"/>
      <c r="S4127" s="9"/>
      <c r="T4127" s="9"/>
      <c r="U4127" s="9"/>
      <c r="V4127" s="9"/>
      <c r="W4127" s="9"/>
      <c r="X4127" s="9"/>
      <c r="Y4127" s="9"/>
      <c r="Z4127" s="9"/>
      <c r="AA4127" s="9"/>
      <c r="AB4127" s="9"/>
      <c r="AC4127" s="9"/>
      <c r="AD4127" s="9"/>
      <c r="AE4127" s="9"/>
      <c r="AF4127" s="9"/>
      <c r="AG4127" s="9"/>
      <c r="AH4127" s="9"/>
      <c r="AI4127" s="9"/>
      <c r="AJ4127" s="9"/>
      <c r="AK4127" s="9"/>
      <c r="AL4127" s="9"/>
      <c r="AM4127" s="9"/>
      <c r="AN4127" s="9"/>
      <c r="AO4127" s="9"/>
      <c r="AP4127" s="9"/>
      <c r="AQ4127" s="9"/>
      <c r="AR4127" s="9"/>
      <c r="AS4127" s="9"/>
      <c r="AT4127" s="9"/>
      <c r="AU4127" s="9"/>
    </row>
    <row r="4128" spans="1:47" ht="15.75" customHeight="1">
      <c r="A4128" s="9"/>
      <c r="B4128" s="9"/>
      <c r="C4128" s="9"/>
      <c r="D4128" s="9"/>
      <c r="E4128" s="9"/>
      <c r="F4128" s="67"/>
      <c r="G4128" s="9"/>
      <c r="H4128" s="9"/>
      <c r="I4128" s="9"/>
      <c r="J4128" s="9"/>
      <c r="K4128" s="9"/>
      <c r="L4128" s="9"/>
      <c r="M4128" s="9"/>
      <c r="N4128" s="9"/>
      <c r="O4128" s="9"/>
      <c r="P4128" s="9"/>
      <c r="Q4128" s="9"/>
      <c r="R4128" s="9"/>
      <c r="S4128" s="9"/>
      <c r="T4128" s="9"/>
      <c r="U4128" s="9"/>
      <c r="V4128" s="9"/>
      <c r="W4128" s="9"/>
      <c r="X4128" s="9"/>
      <c r="Y4128" s="9"/>
      <c r="Z4128" s="9"/>
      <c r="AA4128" s="9"/>
      <c r="AB4128" s="9"/>
      <c r="AC4128" s="9"/>
      <c r="AD4128" s="9"/>
      <c r="AE4128" s="9"/>
      <c r="AF4128" s="9"/>
      <c r="AG4128" s="9"/>
      <c r="AH4128" s="9"/>
      <c r="AI4128" s="9"/>
      <c r="AJ4128" s="9"/>
      <c r="AK4128" s="9"/>
      <c r="AL4128" s="9"/>
      <c r="AM4128" s="9"/>
      <c r="AN4128" s="9"/>
      <c r="AO4128" s="9"/>
      <c r="AP4128" s="9"/>
      <c r="AQ4128" s="9"/>
      <c r="AR4128" s="9"/>
      <c r="AS4128" s="9"/>
      <c r="AT4128" s="9"/>
      <c r="AU4128" s="9"/>
    </row>
    <row r="4129" spans="1:47" ht="15.75" customHeight="1">
      <c r="A4129" s="9"/>
      <c r="B4129" s="9"/>
      <c r="C4129" s="9"/>
      <c r="D4129" s="9"/>
      <c r="E4129" s="9"/>
      <c r="F4129" s="67"/>
      <c r="G4129" s="9"/>
      <c r="H4129" s="9"/>
      <c r="I4129" s="9"/>
      <c r="J4129" s="9"/>
      <c r="K4129" s="9"/>
      <c r="L4129" s="9"/>
      <c r="M4129" s="9"/>
      <c r="N4129" s="9"/>
      <c r="O4129" s="9"/>
      <c r="P4129" s="9"/>
      <c r="Q4129" s="9"/>
      <c r="R4129" s="9"/>
      <c r="S4129" s="9"/>
      <c r="T4129" s="9"/>
      <c r="U4129" s="9"/>
      <c r="V4129" s="9"/>
      <c r="W4129" s="9"/>
      <c r="X4129" s="9"/>
      <c r="Y4129" s="9"/>
      <c r="Z4129" s="9"/>
      <c r="AA4129" s="9"/>
      <c r="AB4129" s="9"/>
      <c r="AC4129" s="9"/>
      <c r="AD4129" s="9"/>
      <c r="AE4129" s="9"/>
      <c r="AF4129" s="9"/>
      <c r="AG4129" s="9"/>
      <c r="AH4129" s="9"/>
      <c r="AI4129" s="9"/>
      <c r="AJ4129" s="9"/>
      <c r="AK4129" s="9"/>
      <c r="AL4129" s="9"/>
      <c r="AM4129" s="9"/>
      <c r="AN4129" s="9"/>
      <c r="AO4129" s="9"/>
      <c r="AP4129" s="9"/>
      <c r="AQ4129" s="9"/>
      <c r="AR4129" s="9"/>
      <c r="AS4129" s="9"/>
      <c r="AT4129" s="9"/>
      <c r="AU4129" s="9"/>
    </row>
    <row r="4130" spans="1:47" ht="15.75" customHeight="1">
      <c r="A4130" s="9"/>
      <c r="B4130" s="9"/>
      <c r="C4130" s="9"/>
      <c r="D4130" s="9"/>
      <c r="E4130" s="9"/>
      <c r="F4130" s="67"/>
      <c r="G4130" s="9"/>
      <c r="H4130" s="9"/>
      <c r="I4130" s="9"/>
      <c r="J4130" s="9"/>
      <c r="K4130" s="9"/>
      <c r="L4130" s="9"/>
      <c r="M4130" s="9"/>
      <c r="N4130" s="9"/>
      <c r="O4130" s="9"/>
      <c r="P4130" s="9"/>
      <c r="Q4130" s="9"/>
      <c r="R4130" s="9"/>
      <c r="S4130" s="9"/>
      <c r="T4130" s="9"/>
      <c r="U4130" s="9"/>
      <c r="V4130" s="9"/>
      <c r="W4130" s="9"/>
      <c r="X4130" s="9"/>
      <c r="Y4130" s="9"/>
      <c r="Z4130" s="9"/>
      <c r="AA4130" s="9"/>
      <c r="AB4130" s="9"/>
      <c r="AC4130" s="9"/>
      <c r="AD4130" s="9"/>
      <c r="AE4130" s="9"/>
      <c r="AF4130" s="9"/>
      <c r="AG4130" s="9"/>
      <c r="AH4130" s="9"/>
      <c r="AI4130" s="9"/>
      <c r="AJ4130" s="9"/>
      <c r="AK4130" s="9"/>
      <c r="AL4130" s="9"/>
      <c r="AM4130" s="9"/>
      <c r="AN4130" s="9"/>
      <c r="AO4130" s="9"/>
      <c r="AP4130" s="9"/>
      <c r="AQ4130" s="9"/>
      <c r="AR4130" s="9"/>
      <c r="AS4130" s="9"/>
      <c r="AT4130" s="9"/>
      <c r="AU4130" s="9"/>
    </row>
    <row r="4131" spans="1:47" ht="15.75" customHeight="1">
      <c r="A4131" s="9"/>
      <c r="B4131" s="9"/>
      <c r="C4131" s="9"/>
      <c r="D4131" s="9"/>
      <c r="E4131" s="9"/>
      <c r="F4131" s="67"/>
      <c r="G4131" s="9"/>
      <c r="H4131" s="9"/>
      <c r="I4131" s="9"/>
      <c r="J4131" s="9"/>
      <c r="K4131" s="9"/>
      <c r="L4131" s="9"/>
      <c r="M4131" s="9"/>
      <c r="N4131" s="9"/>
      <c r="O4131" s="9"/>
      <c r="P4131" s="9"/>
      <c r="Q4131" s="9"/>
      <c r="R4131" s="9"/>
      <c r="S4131" s="9"/>
      <c r="T4131" s="9"/>
      <c r="U4131" s="9"/>
      <c r="V4131" s="9"/>
      <c r="W4131" s="9"/>
      <c r="X4131" s="9"/>
      <c r="Y4131" s="9"/>
      <c r="Z4131" s="9"/>
      <c r="AA4131" s="9"/>
      <c r="AB4131" s="9"/>
      <c r="AC4131" s="9"/>
      <c r="AD4131" s="9"/>
      <c r="AE4131" s="9"/>
      <c r="AF4131" s="9"/>
      <c r="AG4131" s="9"/>
      <c r="AH4131" s="9"/>
      <c r="AI4131" s="9"/>
      <c r="AJ4131" s="9"/>
      <c r="AK4131" s="9"/>
      <c r="AL4131" s="9"/>
      <c r="AM4131" s="9"/>
      <c r="AN4131" s="9"/>
      <c r="AO4131" s="9"/>
      <c r="AP4131" s="9"/>
      <c r="AQ4131" s="9"/>
      <c r="AR4131" s="9"/>
      <c r="AS4131" s="9"/>
      <c r="AT4131" s="9"/>
      <c r="AU4131" s="9"/>
    </row>
    <row r="4132" spans="1:47" ht="15.75" customHeight="1">
      <c r="A4132" s="9"/>
      <c r="B4132" s="9"/>
      <c r="C4132" s="9"/>
      <c r="D4132" s="9"/>
      <c r="E4132" s="9"/>
      <c r="F4132" s="67"/>
      <c r="G4132" s="9"/>
      <c r="H4132" s="9"/>
      <c r="I4132" s="9"/>
      <c r="J4132" s="9"/>
      <c r="K4132" s="9"/>
      <c r="L4132" s="9"/>
      <c r="M4132" s="9"/>
      <c r="N4132" s="9"/>
      <c r="O4132" s="9"/>
      <c r="P4132" s="9"/>
      <c r="Q4132" s="9"/>
      <c r="R4132" s="9"/>
      <c r="S4132" s="9"/>
      <c r="T4132" s="9"/>
      <c r="U4132" s="9"/>
      <c r="V4132" s="9"/>
      <c r="W4132" s="9"/>
      <c r="X4132" s="9"/>
      <c r="Y4132" s="9"/>
      <c r="Z4132" s="9"/>
      <c r="AA4132" s="9"/>
      <c r="AB4132" s="9"/>
      <c r="AC4132" s="9"/>
      <c r="AD4132" s="9"/>
      <c r="AE4132" s="9"/>
      <c r="AF4132" s="9"/>
      <c r="AG4132" s="9"/>
      <c r="AH4132" s="9"/>
      <c r="AI4132" s="9"/>
      <c r="AJ4132" s="9"/>
      <c r="AK4132" s="9"/>
      <c r="AL4132" s="9"/>
      <c r="AM4132" s="9"/>
      <c r="AN4132" s="9"/>
      <c r="AO4132" s="9"/>
      <c r="AP4132" s="9"/>
      <c r="AQ4132" s="9"/>
      <c r="AR4132" s="9"/>
      <c r="AS4132" s="9"/>
      <c r="AT4132" s="9"/>
      <c r="AU4132" s="9"/>
    </row>
    <row r="4133" spans="1:47" ht="15.75" customHeight="1">
      <c r="A4133" s="9"/>
      <c r="B4133" s="9"/>
      <c r="C4133" s="9"/>
      <c r="D4133" s="9"/>
      <c r="E4133" s="9"/>
      <c r="F4133" s="67"/>
      <c r="G4133" s="9"/>
      <c r="H4133" s="9"/>
      <c r="I4133" s="9"/>
      <c r="J4133" s="9"/>
      <c r="K4133" s="9"/>
      <c r="L4133" s="9"/>
      <c r="M4133" s="9"/>
      <c r="N4133" s="9"/>
      <c r="O4133" s="9"/>
      <c r="P4133" s="9"/>
      <c r="Q4133" s="9"/>
      <c r="R4133" s="9"/>
      <c r="S4133" s="9"/>
      <c r="T4133" s="9"/>
      <c r="U4133" s="9"/>
      <c r="V4133" s="9"/>
      <c r="W4133" s="9"/>
      <c r="X4133" s="9"/>
      <c r="Y4133" s="9"/>
      <c r="Z4133" s="9"/>
      <c r="AA4133" s="9"/>
      <c r="AB4133" s="9"/>
      <c r="AC4133" s="9"/>
      <c r="AD4133" s="9"/>
      <c r="AE4133" s="9"/>
      <c r="AF4133" s="9"/>
      <c r="AG4133" s="9"/>
      <c r="AH4133" s="9"/>
      <c r="AI4133" s="9"/>
      <c r="AJ4133" s="9"/>
      <c r="AK4133" s="9"/>
      <c r="AL4133" s="9"/>
      <c r="AM4133" s="9"/>
      <c r="AN4133" s="9"/>
      <c r="AO4133" s="9"/>
      <c r="AP4133" s="9"/>
      <c r="AQ4133" s="9"/>
      <c r="AR4133" s="9"/>
      <c r="AS4133" s="9"/>
      <c r="AT4133" s="9"/>
      <c r="AU4133" s="9"/>
    </row>
    <row r="4134" spans="1:47" ht="15.75" customHeight="1">
      <c r="A4134" s="9"/>
      <c r="B4134" s="9"/>
      <c r="C4134" s="9"/>
      <c r="D4134" s="9"/>
      <c r="E4134" s="9"/>
      <c r="F4134" s="67"/>
      <c r="G4134" s="9"/>
      <c r="H4134" s="9"/>
      <c r="I4134" s="9"/>
      <c r="J4134" s="9"/>
      <c r="K4134" s="9"/>
      <c r="L4134" s="9"/>
      <c r="M4134" s="9"/>
      <c r="N4134" s="9"/>
      <c r="O4134" s="9"/>
      <c r="P4134" s="9"/>
      <c r="Q4134" s="9"/>
      <c r="R4134" s="9"/>
      <c r="S4134" s="9"/>
      <c r="T4134" s="9"/>
      <c r="U4134" s="9"/>
      <c r="V4134" s="9"/>
      <c r="W4134" s="9"/>
      <c r="X4134" s="9"/>
      <c r="Y4134" s="9"/>
      <c r="Z4134" s="9"/>
      <c r="AA4134" s="9"/>
      <c r="AB4134" s="9"/>
      <c r="AC4134" s="9"/>
      <c r="AD4134" s="9"/>
      <c r="AE4134" s="9"/>
      <c r="AF4134" s="9"/>
      <c r="AG4134" s="9"/>
      <c r="AH4134" s="9"/>
      <c r="AI4134" s="9"/>
      <c r="AJ4134" s="9"/>
      <c r="AK4134" s="9"/>
      <c r="AL4134" s="9"/>
      <c r="AM4134" s="9"/>
      <c r="AN4134" s="9"/>
      <c r="AO4134" s="9"/>
      <c r="AP4134" s="9"/>
      <c r="AQ4134" s="9"/>
      <c r="AR4134" s="9"/>
      <c r="AS4134" s="9"/>
      <c r="AT4134" s="9"/>
      <c r="AU4134" s="9"/>
    </row>
    <row r="4135" spans="1:47" ht="15.75" customHeight="1">
      <c r="A4135" s="9"/>
      <c r="B4135" s="9"/>
      <c r="C4135" s="9"/>
      <c r="D4135" s="9"/>
      <c r="E4135" s="9"/>
      <c r="F4135" s="67"/>
      <c r="G4135" s="9"/>
      <c r="H4135" s="9"/>
      <c r="I4135" s="9"/>
      <c r="J4135" s="9"/>
      <c r="K4135" s="9"/>
      <c r="L4135" s="9"/>
      <c r="M4135" s="9"/>
      <c r="N4135" s="9"/>
      <c r="O4135" s="9"/>
      <c r="P4135" s="9"/>
      <c r="Q4135" s="9"/>
      <c r="R4135" s="9"/>
      <c r="S4135" s="9"/>
      <c r="T4135" s="9"/>
      <c r="U4135" s="9"/>
      <c r="V4135" s="9"/>
      <c r="W4135" s="9"/>
      <c r="X4135" s="9"/>
      <c r="Y4135" s="9"/>
      <c r="Z4135" s="9"/>
      <c r="AA4135" s="9"/>
      <c r="AB4135" s="9"/>
      <c r="AC4135" s="9"/>
      <c r="AD4135" s="9"/>
      <c r="AE4135" s="9"/>
      <c r="AF4135" s="9"/>
      <c r="AG4135" s="9"/>
      <c r="AH4135" s="9"/>
      <c r="AI4135" s="9"/>
      <c r="AJ4135" s="9"/>
      <c r="AK4135" s="9"/>
      <c r="AL4135" s="9"/>
      <c r="AM4135" s="9"/>
      <c r="AN4135" s="9"/>
      <c r="AO4135" s="9"/>
      <c r="AP4135" s="9"/>
      <c r="AQ4135" s="9"/>
      <c r="AR4135" s="9"/>
      <c r="AS4135" s="9"/>
      <c r="AT4135" s="9"/>
      <c r="AU4135" s="9"/>
    </row>
    <row r="4136" spans="1:47" ht="15.75" customHeight="1">
      <c r="A4136" s="9"/>
      <c r="B4136" s="9"/>
      <c r="C4136" s="9"/>
      <c r="D4136" s="9"/>
      <c r="E4136" s="9"/>
      <c r="F4136" s="67"/>
      <c r="G4136" s="9"/>
      <c r="H4136" s="9"/>
      <c r="I4136" s="9"/>
      <c r="J4136" s="9"/>
      <c r="K4136" s="9"/>
      <c r="L4136" s="9"/>
      <c r="M4136" s="9"/>
      <c r="N4136" s="9"/>
      <c r="O4136" s="9"/>
      <c r="P4136" s="9"/>
      <c r="Q4136" s="9"/>
      <c r="R4136" s="9"/>
      <c r="S4136" s="9"/>
      <c r="T4136" s="9"/>
      <c r="U4136" s="9"/>
      <c r="V4136" s="9"/>
      <c r="W4136" s="9"/>
      <c r="X4136" s="9"/>
      <c r="Y4136" s="9"/>
      <c r="Z4136" s="9"/>
      <c r="AA4136" s="9"/>
      <c r="AB4136" s="9"/>
      <c r="AC4136" s="9"/>
      <c r="AD4136" s="9"/>
      <c r="AE4136" s="9"/>
      <c r="AF4136" s="9"/>
      <c r="AG4136" s="9"/>
      <c r="AH4136" s="9"/>
      <c r="AI4136" s="9"/>
      <c r="AJ4136" s="9"/>
      <c r="AK4136" s="9"/>
      <c r="AL4136" s="9"/>
      <c r="AM4136" s="9"/>
      <c r="AN4136" s="9"/>
      <c r="AO4136" s="9"/>
      <c r="AP4136" s="9"/>
      <c r="AQ4136" s="9"/>
      <c r="AR4136" s="9"/>
      <c r="AS4136" s="9"/>
      <c r="AT4136" s="9"/>
      <c r="AU4136" s="9"/>
    </row>
    <row r="4137" spans="1:47" ht="15.75" customHeight="1">
      <c r="A4137" s="9"/>
      <c r="B4137" s="9"/>
      <c r="C4137" s="9"/>
      <c r="D4137" s="9"/>
      <c r="E4137" s="9"/>
      <c r="F4137" s="67"/>
      <c r="G4137" s="9"/>
      <c r="H4137" s="9"/>
      <c r="I4137" s="9"/>
      <c r="J4137" s="9"/>
      <c r="K4137" s="9"/>
      <c r="L4137" s="9"/>
      <c r="M4137" s="9"/>
      <c r="N4137" s="9"/>
      <c r="O4137" s="9"/>
      <c r="P4137" s="9"/>
      <c r="Q4137" s="9"/>
      <c r="R4137" s="9"/>
      <c r="S4137" s="9"/>
      <c r="T4137" s="9"/>
      <c r="U4137" s="9"/>
      <c r="V4137" s="9"/>
      <c r="W4137" s="9"/>
      <c r="X4137" s="9"/>
      <c r="Y4137" s="9"/>
      <c r="Z4137" s="9"/>
      <c r="AA4137" s="9"/>
      <c r="AB4137" s="9"/>
      <c r="AC4137" s="9"/>
      <c r="AD4137" s="9"/>
      <c r="AE4137" s="9"/>
      <c r="AF4137" s="9"/>
      <c r="AG4137" s="9"/>
      <c r="AH4137" s="9"/>
      <c r="AI4137" s="9"/>
      <c r="AJ4137" s="9"/>
      <c r="AK4137" s="9"/>
      <c r="AL4137" s="9"/>
      <c r="AM4137" s="9"/>
      <c r="AN4137" s="9"/>
      <c r="AO4137" s="9"/>
      <c r="AP4137" s="9"/>
      <c r="AQ4137" s="9"/>
      <c r="AR4137" s="9"/>
      <c r="AS4137" s="9"/>
      <c r="AT4137" s="9"/>
      <c r="AU4137" s="9"/>
    </row>
    <row r="4138" spans="1:47" ht="15.75" customHeight="1">
      <c r="A4138" s="9"/>
      <c r="B4138" s="9"/>
      <c r="C4138" s="9"/>
      <c r="D4138" s="9"/>
      <c r="E4138" s="9"/>
      <c r="F4138" s="67"/>
      <c r="G4138" s="9"/>
      <c r="H4138" s="9"/>
      <c r="I4138" s="9"/>
      <c r="J4138" s="9"/>
      <c r="K4138" s="9"/>
      <c r="L4138" s="9"/>
      <c r="M4138" s="9"/>
      <c r="N4138" s="9"/>
      <c r="O4138" s="9"/>
      <c r="P4138" s="9"/>
      <c r="Q4138" s="9"/>
      <c r="R4138" s="9"/>
      <c r="S4138" s="9"/>
      <c r="T4138" s="9"/>
      <c r="U4138" s="9"/>
      <c r="V4138" s="9"/>
      <c r="W4138" s="9"/>
      <c r="X4138" s="9"/>
      <c r="Y4138" s="9"/>
      <c r="Z4138" s="9"/>
      <c r="AA4138" s="9"/>
      <c r="AB4138" s="9"/>
      <c r="AC4138" s="9"/>
      <c r="AD4138" s="9"/>
      <c r="AE4138" s="9"/>
      <c r="AF4138" s="9"/>
      <c r="AG4138" s="9"/>
      <c r="AH4138" s="9"/>
      <c r="AI4138" s="9"/>
      <c r="AJ4138" s="9"/>
      <c r="AK4138" s="9"/>
      <c r="AL4138" s="9"/>
      <c r="AM4138" s="9"/>
      <c r="AN4138" s="9"/>
      <c r="AO4138" s="9"/>
      <c r="AP4138" s="9"/>
      <c r="AQ4138" s="9"/>
      <c r="AR4138" s="9"/>
      <c r="AS4138" s="9"/>
      <c r="AT4138" s="9"/>
      <c r="AU4138" s="9"/>
    </row>
    <row r="4139" spans="1:47" ht="15.75" customHeight="1">
      <c r="A4139" s="9"/>
      <c r="B4139" s="9"/>
      <c r="C4139" s="9"/>
      <c r="D4139" s="9"/>
      <c r="E4139" s="9"/>
      <c r="F4139" s="67"/>
      <c r="G4139" s="9"/>
      <c r="H4139" s="9"/>
      <c r="I4139" s="9"/>
      <c r="J4139" s="9"/>
      <c r="K4139" s="9"/>
      <c r="L4139" s="9"/>
      <c r="M4139" s="9"/>
      <c r="N4139" s="9"/>
      <c r="O4139" s="9"/>
      <c r="P4139" s="9"/>
      <c r="Q4139" s="9"/>
      <c r="R4139" s="9"/>
      <c r="S4139" s="9"/>
      <c r="T4139" s="9"/>
      <c r="U4139" s="9"/>
      <c r="V4139" s="9"/>
      <c r="W4139" s="9"/>
      <c r="X4139" s="9"/>
      <c r="Y4139" s="9"/>
      <c r="Z4139" s="9"/>
      <c r="AA4139" s="9"/>
      <c r="AB4139" s="9"/>
      <c r="AC4139" s="9"/>
      <c r="AD4139" s="9"/>
      <c r="AE4139" s="9"/>
      <c r="AF4139" s="9"/>
      <c r="AG4139" s="9"/>
      <c r="AH4139" s="9"/>
      <c r="AI4139" s="9"/>
      <c r="AJ4139" s="9"/>
      <c r="AK4139" s="9"/>
      <c r="AL4139" s="9"/>
      <c r="AM4139" s="9"/>
      <c r="AN4139" s="9"/>
      <c r="AO4139" s="9"/>
      <c r="AP4139" s="9"/>
      <c r="AQ4139" s="9"/>
      <c r="AR4139" s="9"/>
      <c r="AS4139" s="9"/>
      <c r="AT4139" s="9"/>
      <c r="AU4139" s="9"/>
    </row>
    <row r="4140" spans="1:47" ht="15.75" customHeight="1">
      <c r="A4140" s="9"/>
      <c r="B4140" s="9"/>
      <c r="C4140" s="9"/>
      <c r="D4140" s="9"/>
      <c r="E4140" s="9"/>
      <c r="F4140" s="67"/>
      <c r="G4140" s="9"/>
      <c r="H4140" s="9"/>
      <c r="I4140" s="9"/>
      <c r="J4140" s="9"/>
      <c r="K4140" s="9"/>
      <c r="L4140" s="9"/>
      <c r="M4140" s="9"/>
      <c r="N4140" s="9"/>
      <c r="O4140" s="9"/>
      <c r="P4140" s="9"/>
      <c r="Q4140" s="9"/>
      <c r="R4140" s="9"/>
      <c r="S4140" s="9"/>
      <c r="T4140" s="9"/>
      <c r="U4140" s="9"/>
      <c r="V4140" s="9"/>
      <c r="W4140" s="9"/>
      <c r="X4140" s="9"/>
      <c r="Y4140" s="9"/>
      <c r="Z4140" s="9"/>
      <c r="AA4140" s="9"/>
      <c r="AB4140" s="9"/>
      <c r="AC4140" s="9"/>
      <c r="AD4140" s="9"/>
      <c r="AE4140" s="9"/>
      <c r="AF4140" s="9"/>
      <c r="AG4140" s="9"/>
      <c r="AH4140" s="9"/>
      <c r="AI4140" s="9"/>
      <c r="AJ4140" s="9"/>
      <c r="AK4140" s="9"/>
      <c r="AL4140" s="9"/>
      <c r="AM4140" s="9"/>
      <c r="AN4140" s="9"/>
      <c r="AO4140" s="9"/>
      <c r="AP4140" s="9"/>
      <c r="AQ4140" s="9"/>
      <c r="AR4140" s="9"/>
      <c r="AS4140" s="9"/>
      <c r="AT4140" s="9"/>
      <c r="AU4140" s="9"/>
    </row>
    <row r="4141" spans="1:47" ht="15.75" customHeight="1">
      <c r="A4141" s="9"/>
      <c r="B4141" s="9"/>
      <c r="C4141" s="9"/>
      <c r="D4141" s="9"/>
      <c r="E4141" s="9"/>
      <c r="F4141" s="67"/>
      <c r="G4141" s="9"/>
      <c r="H4141" s="9"/>
      <c r="I4141" s="9"/>
      <c r="J4141" s="9"/>
      <c r="K4141" s="9"/>
      <c r="L4141" s="9"/>
      <c r="M4141" s="9"/>
      <c r="N4141" s="9"/>
      <c r="O4141" s="9"/>
      <c r="P4141" s="9"/>
      <c r="Q4141" s="9"/>
      <c r="R4141" s="9"/>
      <c r="S4141" s="9"/>
      <c r="T4141" s="9"/>
      <c r="U4141" s="9"/>
      <c r="V4141" s="9"/>
      <c r="W4141" s="9"/>
      <c r="X4141" s="9"/>
      <c r="Y4141" s="9"/>
      <c r="Z4141" s="9"/>
      <c r="AA4141" s="9"/>
      <c r="AB4141" s="9"/>
      <c r="AC4141" s="9"/>
      <c r="AD4141" s="9"/>
      <c r="AE4141" s="9"/>
      <c r="AF4141" s="9"/>
      <c r="AG4141" s="9"/>
      <c r="AH4141" s="9"/>
      <c r="AI4141" s="9"/>
      <c r="AJ4141" s="9"/>
      <c r="AK4141" s="9"/>
      <c r="AL4141" s="9"/>
      <c r="AM4141" s="9"/>
      <c r="AN4141" s="9"/>
      <c r="AO4141" s="9"/>
      <c r="AP4141" s="9"/>
      <c r="AQ4141" s="9"/>
      <c r="AR4141" s="9"/>
      <c r="AS4141" s="9"/>
      <c r="AT4141" s="9"/>
      <c r="AU4141" s="9"/>
    </row>
    <row r="4142" spans="1:47" ht="15.75" customHeight="1">
      <c r="A4142" s="9"/>
      <c r="B4142" s="9"/>
      <c r="C4142" s="9"/>
      <c r="D4142" s="9"/>
      <c r="E4142" s="9"/>
      <c r="F4142" s="67"/>
      <c r="G4142" s="9"/>
      <c r="H4142" s="9"/>
      <c r="I4142" s="9"/>
      <c r="J4142" s="9"/>
      <c r="K4142" s="9"/>
      <c r="L4142" s="9"/>
      <c r="M4142" s="9"/>
      <c r="N4142" s="9"/>
      <c r="O4142" s="9"/>
      <c r="P4142" s="9"/>
      <c r="Q4142" s="9"/>
      <c r="R4142" s="9"/>
      <c r="S4142" s="9"/>
      <c r="T4142" s="9"/>
      <c r="U4142" s="9"/>
      <c r="V4142" s="9"/>
      <c r="W4142" s="9"/>
      <c r="X4142" s="9"/>
      <c r="Y4142" s="9"/>
      <c r="Z4142" s="9"/>
      <c r="AA4142" s="9"/>
      <c r="AB4142" s="9"/>
      <c r="AC4142" s="9"/>
      <c r="AD4142" s="9"/>
      <c r="AE4142" s="9"/>
      <c r="AF4142" s="9"/>
      <c r="AG4142" s="9"/>
      <c r="AH4142" s="9"/>
      <c r="AI4142" s="9"/>
      <c r="AJ4142" s="9"/>
      <c r="AK4142" s="9"/>
      <c r="AL4142" s="9"/>
      <c r="AM4142" s="9"/>
      <c r="AN4142" s="9"/>
      <c r="AO4142" s="9"/>
      <c r="AP4142" s="9"/>
      <c r="AQ4142" s="9"/>
      <c r="AR4142" s="9"/>
      <c r="AS4142" s="9"/>
      <c r="AT4142" s="9"/>
      <c r="AU4142" s="9"/>
    </row>
    <row r="4143" spans="1:47" ht="15.75" customHeight="1">
      <c r="A4143" s="9"/>
      <c r="B4143" s="9"/>
      <c r="C4143" s="9"/>
      <c r="D4143" s="9"/>
      <c r="E4143" s="9"/>
      <c r="F4143" s="67"/>
      <c r="G4143" s="9"/>
      <c r="H4143" s="9"/>
      <c r="I4143" s="9"/>
      <c r="J4143" s="9"/>
      <c r="K4143" s="9"/>
      <c r="L4143" s="9"/>
      <c r="M4143" s="9"/>
      <c r="N4143" s="9"/>
      <c r="O4143" s="9"/>
      <c r="P4143" s="9"/>
      <c r="Q4143" s="9"/>
      <c r="R4143" s="9"/>
      <c r="S4143" s="9"/>
      <c r="T4143" s="9"/>
      <c r="U4143" s="9"/>
      <c r="V4143" s="9"/>
      <c r="W4143" s="9"/>
      <c r="X4143" s="9"/>
      <c r="Y4143" s="9"/>
      <c r="Z4143" s="9"/>
      <c r="AA4143" s="9"/>
      <c r="AB4143" s="9"/>
      <c r="AC4143" s="9"/>
      <c r="AD4143" s="9"/>
      <c r="AE4143" s="9"/>
      <c r="AF4143" s="9"/>
      <c r="AG4143" s="9"/>
      <c r="AH4143" s="9"/>
      <c r="AI4143" s="9"/>
      <c r="AJ4143" s="9"/>
      <c r="AK4143" s="9"/>
      <c r="AL4143" s="9"/>
      <c r="AM4143" s="9"/>
      <c r="AN4143" s="9"/>
      <c r="AO4143" s="9"/>
      <c r="AP4143" s="9"/>
      <c r="AQ4143" s="9"/>
      <c r="AR4143" s="9"/>
      <c r="AS4143" s="9"/>
      <c r="AT4143" s="9"/>
      <c r="AU4143" s="9"/>
    </row>
    <row r="4144" spans="1:47" ht="15.75" customHeight="1">
      <c r="A4144" s="9"/>
      <c r="B4144" s="9"/>
      <c r="C4144" s="9"/>
      <c r="D4144" s="9"/>
      <c r="E4144" s="9"/>
      <c r="F4144" s="67"/>
      <c r="G4144" s="9"/>
      <c r="H4144" s="9"/>
      <c r="I4144" s="9"/>
      <c r="J4144" s="9"/>
      <c r="K4144" s="9"/>
      <c r="L4144" s="9"/>
      <c r="M4144" s="9"/>
      <c r="N4144" s="9"/>
      <c r="O4144" s="9"/>
      <c r="P4144" s="9"/>
      <c r="Q4144" s="9"/>
      <c r="R4144" s="9"/>
      <c r="S4144" s="9"/>
      <c r="T4144" s="9"/>
      <c r="U4144" s="9"/>
      <c r="V4144" s="9"/>
      <c r="W4144" s="9"/>
      <c r="X4144" s="9"/>
      <c r="Y4144" s="9"/>
      <c r="Z4144" s="9"/>
      <c r="AA4144" s="9"/>
      <c r="AB4144" s="9"/>
      <c r="AC4144" s="9"/>
      <c r="AD4144" s="9"/>
      <c r="AE4144" s="9"/>
      <c r="AF4144" s="9"/>
      <c r="AG4144" s="9"/>
      <c r="AH4144" s="9"/>
      <c r="AI4144" s="9"/>
      <c r="AJ4144" s="9"/>
      <c r="AK4144" s="9"/>
      <c r="AL4144" s="9"/>
      <c r="AM4144" s="9"/>
      <c r="AN4144" s="9"/>
      <c r="AO4144" s="9"/>
      <c r="AP4144" s="9"/>
      <c r="AQ4144" s="9"/>
      <c r="AR4144" s="9"/>
      <c r="AS4144" s="9"/>
      <c r="AT4144" s="9"/>
      <c r="AU4144" s="9"/>
    </row>
    <row r="4145" spans="1:47" ht="15.75" customHeight="1">
      <c r="A4145" s="9"/>
      <c r="B4145" s="9"/>
      <c r="C4145" s="9"/>
      <c r="D4145" s="9"/>
      <c r="E4145" s="9"/>
      <c r="F4145" s="67"/>
      <c r="G4145" s="9"/>
      <c r="H4145" s="9"/>
      <c r="I4145" s="9"/>
      <c r="J4145" s="9"/>
      <c r="K4145" s="9"/>
      <c r="L4145" s="9"/>
      <c r="M4145" s="9"/>
      <c r="N4145" s="9"/>
      <c r="O4145" s="9"/>
      <c r="P4145" s="9"/>
      <c r="Q4145" s="9"/>
      <c r="R4145" s="9"/>
      <c r="S4145" s="9"/>
      <c r="T4145" s="9"/>
      <c r="U4145" s="9"/>
      <c r="V4145" s="9"/>
      <c r="W4145" s="9"/>
      <c r="X4145" s="9"/>
      <c r="Y4145" s="9"/>
      <c r="Z4145" s="9"/>
      <c r="AA4145" s="9"/>
      <c r="AB4145" s="9"/>
      <c r="AC4145" s="9"/>
      <c r="AD4145" s="9"/>
      <c r="AE4145" s="9"/>
      <c r="AF4145" s="9"/>
      <c r="AG4145" s="9"/>
      <c r="AH4145" s="9"/>
      <c r="AI4145" s="9"/>
      <c r="AJ4145" s="9"/>
      <c r="AK4145" s="9"/>
      <c r="AL4145" s="9"/>
      <c r="AM4145" s="9"/>
      <c r="AN4145" s="9"/>
      <c r="AO4145" s="9"/>
      <c r="AP4145" s="9"/>
      <c r="AQ4145" s="9"/>
      <c r="AR4145" s="9"/>
      <c r="AS4145" s="9"/>
      <c r="AT4145" s="9"/>
      <c r="AU4145" s="9"/>
    </row>
    <row r="4146" spans="1:47" ht="15.75" customHeight="1">
      <c r="A4146" s="9"/>
      <c r="B4146" s="9"/>
      <c r="C4146" s="9"/>
      <c r="D4146" s="9"/>
      <c r="E4146" s="9"/>
      <c r="F4146" s="67"/>
      <c r="G4146" s="9"/>
      <c r="H4146" s="9"/>
      <c r="I4146" s="9"/>
      <c r="J4146" s="9"/>
      <c r="K4146" s="9"/>
      <c r="L4146" s="9"/>
      <c r="M4146" s="9"/>
      <c r="N4146" s="9"/>
      <c r="O4146" s="9"/>
      <c r="P4146" s="9"/>
      <c r="Q4146" s="9"/>
      <c r="R4146" s="9"/>
      <c r="S4146" s="9"/>
      <c r="T4146" s="9"/>
      <c r="U4146" s="9"/>
      <c r="V4146" s="9"/>
      <c r="W4146" s="9"/>
      <c r="X4146" s="9"/>
      <c r="Y4146" s="9"/>
      <c r="Z4146" s="9"/>
      <c r="AA4146" s="9"/>
      <c r="AB4146" s="9"/>
      <c r="AC4146" s="9"/>
      <c r="AD4146" s="9"/>
      <c r="AE4146" s="9"/>
      <c r="AF4146" s="9"/>
      <c r="AG4146" s="9"/>
      <c r="AH4146" s="9"/>
      <c r="AI4146" s="9"/>
      <c r="AJ4146" s="9"/>
      <c r="AK4146" s="9"/>
      <c r="AL4146" s="9"/>
      <c r="AM4146" s="9"/>
      <c r="AN4146" s="9"/>
      <c r="AO4146" s="9"/>
      <c r="AP4146" s="9"/>
      <c r="AQ4146" s="9"/>
      <c r="AR4146" s="9"/>
      <c r="AS4146" s="9"/>
      <c r="AT4146" s="9"/>
      <c r="AU4146" s="9"/>
    </row>
    <row r="4147" spans="1:47" ht="15.75" customHeight="1">
      <c r="A4147" s="9"/>
      <c r="B4147" s="9"/>
      <c r="C4147" s="9"/>
      <c r="D4147" s="9"/>
      <c r="E4147" s="9"/>
      <c r="F4147" s="67"/>
      <c r="G4147" s="9"/>
      <c r="H4147" s="9"/>
      <c r="I4147" s="9"/>
      <c r="J4147" s="9"/>
      <c r="K4147" s="9"/>
      <c r="L4147" s="9"/>
      <c r="M4147" s="9"/>
      <c r="N4147" s="9"/>
      <c r="O4147" s="9"/>
      <c r="P4147" s="9"/>
      <c r="Q4147" s="9"/>
      <c r="R4147" s="9"/>
      <c r="S4147" s="9"/>
      <c r="T4147" s="9"/>
      <c r="U4147" s="9"/>
      <c r="V4147" s="9"/>
      <c r="W4147" s="9"/>
      <c r="X4147" s="9"/>
      <c r="Y4147" s="9"/>
      <c r="Z4147" s="9"/>
      <c r="AA4147" s="9"/>
      <c r="AB4147" s="9"/>
      <c r="AC4147" s="9"/>
      <c r="AD4147" s="9"/>
      <c r="AE4147" s="9"/>
      <c r="AF4147" s="9"/>
      <c r="AG4147" s="9"/>
      <c r="AH4147" s="9"/>
      <c r="AI4147" s="9"/>
      <c r="AJ4147" s="9"/>
      <c r="AK4147" s="9"/>
      <c r="AL4147" s="9"/>
      <c r="AM4147" s="9"/>
      <c r="AN4147" s="9"/>
      <c r="AO4147" s="9"/>
      <c r="AP4147" s="9"/>
      <c r="AQ4147" s="9"/>
      <c r="AR4147" s="9"/>
      <c r="AS4147" s="9"/>
      <c r="AT4147" s="9"/>
      <c r="AU4147" s="9"/>
    </row>
    <row r="4148" spans="1:47" ht="15.75" customHeight="1">
      <c r="A4148" s="9"/>
      <c r="B4148" s="9"/>
      <c r="C4148" s="9"/>
      <c r="D4148" s="9"/>
      <c r="E4148" s="9"/>
      <c r="F4148" s="67"/>
      <c r="G4148" s="9"/>
      <c r="H4148" s="9"/>
      <c r="I4148" s="9"/>
      <c r="J4148" s="9"/>
      <c r="K4148" s="9"/>
      <c r="L4148" s="9"/>
      <c r="M4148" s="9"/>
      <c r="N4148" s="9"/>
      <c r="O4148" s="9"/>
      <c r="P4148" s="9"/>
      <c r="Q4148" s="9"/>
      <c r="R4148" s="9"/>
      <c r="S4148" s="9"/>
      <c r="T4148" s="9"/>
      <c r="U4148" s="9"/>
      <c r="V4148" s="9"/>
      <c r="W4148" s="9"/>
      <c r="X4148" s="9"/>
      <c r="Y4148" s="9"/>
      <c r="Z4148" s="9"/>
      <c r="AA4148" s="9"/>
      <c r="AB4148" s="9"/>
      <c r="AC4148" s="9"/>
      <c r="AD4148" s="9"/>
      <c r="AE4148" s="9"/>
      <c r="AF4148" s="9"/>
      <c r="AG4148" s="9"/>
      <c r="AH4148" s="9"/>
      <c r="AI4148" s="9"/>
      <c r="AJ4148" s="9"/>
      <c r="AK4148" s="9"/>
      <c r="AL4148" s="9"/>
      <c r="AM4148" s="9"/>
      <c r="AN4148" s="9"/>
      <c r="AO4148" s="9"/>
      <c r="AP4148" s="9"/>
      <c r="AQ4148" s="9"/>
      <c r="AR4148" s="9"/>
      <c r="AS4148" s="9"/>
      <c r="AT4148" s="9"/>
      <c r="AU4148" s="9"/>
    </row>
    <row r="4149" spans="1:47" ht="15.75" customHeight="1">
      <c r="A4149" s="9"/>
      <c r="B4149" s="9"/>
      <c r="C4149" s="9"/>
      <c r="D4149" s="9"/>
      <c r="E4149" s="9"/>
      <c r="F4149" s="67"/>
      <c r="G4149" s="9"/>
      <c r="H4149" s="9"/>
      <c r="I4149" s="9"/>
      <c r="J4149" s="9"/>
      <c r="K4149" s="9"/>
      <c r="L4149" s="9"/>
      <c r="M4149" s="9"/>
      <c r="N4149" s="9"/>
      <c r="O4149" s="9"/>
      <c r="P4149" s="9"/>
      <c r="Q4149" s="9"/>
      <c r="R4149" s="9"/>
      <c r="S4149" s="9"/>
      <c r="T4149" s="9"/>
      <c r="U4149" s="9"/>
      <c r="V4149" s="9"/>
      <c r="W4149" s="9"/>
      <c r="X4149" s="9"/>
      <c r="Y4149" s="9"/>
      <c r="Z4149" s="9"/>
      <c r="AA4149" s="9"/>
      <c r="AB4149" s="9"/>
      <c r="AC4149" s="9"/>
      <c r="AD4149" s="9"/>
      <c r="AE4149" s="9"/>
      <c r="AF4149" s="9"/>
      <c r="AG4149" s="9"/>
      <c r="AH4149" s="9"/>
      <c r="AI4149" s="9"/>
      <c r="AJ4149" s="9"/>
      <c r="AK4149" s="9"/>
      <c r="AL4149" s="9"/>
      <c r="AM4149" s="9"/>
      <c r="AN4149" s="9"/>
      <c r="AO4149" s="9"/>
      <c r="AP4149" s="9"/>
      <c r="AQ4149" s="9"/>
      <c r="AR4149" s="9"/>
      <c r="AS4149" s="9"/>
      <c r="AT4149" s="9"/>
      <c r="AU4149" s="9"/>
    </row>
    <row r="4150" spans="1:47" ht="15.75" customHeight="1">
      <c r="A4150" s="9"/>
      <c r="B4150" s="9"/>
      <c r="C4150" s="9"/>
      <c r="D4150" s="9"/>
      <c r="E4150" s="9"/>
      <c r="F4150" s="67"/>
      <c r="G4150" s="9"/>
      <c r="H4150" s="9"/>
      <c r="I4150" s="9"/>
      <c r="J4150" s="9"/>
      <c r="K4150" s="9"/>
      <c r="L4150" s="9"/>
      <c r="M4150" s="9"/>
      <c r="N4150" s="9"/>
      <c r="O4150" s="9"/>
      <c r="P4150" s="9"/>
      <c r="Q4150" s="9"/>
      <c r="R4150" s="9"/>
      <c r="S4150" s="9"/>
      <c r="T4150" s="9"/>
      <c r="U4150" s="9"/>
      <c r="V4150" s="9"/>
      <c r="W4150" s="9"/>
      <c r="X4150" s="9"/>
      <c r="Y4150" s="9"/>
      <c r="Z4150" s="9"/>
      <c r="AA4150" s="9"/>
      <c r="AB4150" s="9"/>
      <c r="AC4150" s="9"/>
      <c r="AD4150" s="9"/>
      <c r="AE4150" s="9"/>
      <c r="AF4150" s="9"/>
      <c r="AG4150" s="9"/>
      <c r="AH4150" s="9"/>
      <c r="AI4150" s="9"/>
      <c r="AJ4150" s="9"/>
      <c r="AK4150" s="9"/>
      <c r="AL4150" s="9"/>
      <c r="AM4150" s="9"/>
      <c r="AN4150" s="9"/>
      <c r="AO4150" s="9"/>
      <c r="AP4150" s="9"/>
      <c r="AQ4150" s="9"/>
      <c r="AR4150" s="9"/>
      <c r="AS4150" s="9"/>
      <c r="AT4150" s="9"/>
      <c r="AU4150" s="9"/>
    </row>
    <row r="4151" spans="1:47" ht="15.75" customHeight="1">
      <c r="A4151" s="9"/>
      <c r="B4151" s="9"/>
      <c r="C4151" s="9"/>
      <c r="D4151" s="9"/>
      <c r="E4151" s="9"/>
      <c r="F4151" s="67"/>
      <c r="G4151" s="9"/>
      <c r="H4151" s="9"/>
      <c r="I4151" s="9"/>
      <c r="J4151" s="9"/>
      <c r="K4151" s="9"/>
      <c r="L4151" s="9"/>
      <c r="M4151" s="9"/>
      <c r="N4151" s="9"/>
      <c r="O4151" s="9"/>
      <c r="P4151" s="9"/>
      <c r="Q4151" s="9"/>
      <c r="R4151" s="9"/>
      <c r="S4151" s="9"/>
      <c r="T4151" s="9"/>
      <c r="U4151" s="9"/>
      <c r="V4151" s="9"/>
      <c r="W4151" s="9"/>
      <c r="X4151" s="9"/>
      <c r="Y4151" s="9"/>
      <c r="Z4151" s="9"/>
      <c r="AA4151" s="9"/>
      <c r="AB4151" s="9"/>
      <c r="AC4151" s="9"/>
      <c r="AD4151" s="9"/>
      <c r="AE4151" s="9"/>
      <c r="AF4151" s="9"/>
      <c r="AG4151" s="9"/>
      <c r="AH4151" s="9"/>
      <c r="AI4151" s="9"/>
      <c r="AJ4151" s="9"/>
      <c r="AK4151" s="9"/>
      <c r="AL4151" s="9"/>
      <c r="AM4151" s="9"/>
      <c r="AN4151" s="9"/>
      <c r="AO4151" s="9"/>
      <c r="AP4151" s="9"/>
      <c r="AQ4151" s="9"/>
      <c r="AR4151" s="9"/>
      <c r="AS4151" s="9"/>
      <c r="AT4151" s="9"/>
      <c r="AU4151" s="9"/>
    </row>
    <row r="4152" spans="1:47" ht="15.75" customHeight="1">
      <c r="A4152" s="9"/>
      <c r="B4152" s="9"/>
      <c r="C4152" s="9"/>
      <c r="D4152" s="9"/>
      <c r="E4152" s="9"/>
      <c r="F4152" s="67"/>
      <c r="G4152" s="9"/>
      <c r="H4152" s="9"/>
      <c r="I4152" s="9"/>
      <c r="J4152" s="9"/>
      <c r="K4152" s="9"/>
      <c r="L4152" s="9"/>
      <c r="M4152" s="9"/>
      <c r="N4152" s="9"/>
      <c r="O4152" s="9"/>
      <c r="P4152" s="9"/>
      <c r="Q4152" s="9"/>
      <c r="R4152" s="9"/>
      <c r="S4152" s="9"/>
      <c r="T4152" s="9"/>
      <c r="U4152" s="9"/>
      <c r="V4152" s="9"/>
      <c r="W4152" s="9"/>
      <c r="X4152" s="9"/>
      <c r="Y4152" s="9"/>
      <c r="Z4152" s="9"/>
      <c r="AA4152" s="9"/>
      <c r="AB4152" s="9"/>
      <c r="AC4152" s="9"/>
      <c r="AD4152" s="9"/>
      <c r="AE4152" s="9"/>
      <c r="AF4152" s="9"/>
      <c r="AG4152" s="9"/>
      <c r="AH4152" s="9"/>
      <c r="AI4152" s="9"/>
      <c r="AJ4152" s="9"/>
      <c r="AK4152" s="9"/>
      <c r="AL4152" s="9"/>
      <c r="AM4152" s="9"/>
      <c r="AN4152" s="9"/>
      <c r="AO4152" s="9"/>
      <c r="AP4152" s="9"/>
      <c r="AQ4152" s="9"/>
      <c r="AR4152" s="9"/>
      <c r="AS4152" s="9"/>
      <c r="AT4152" s="9"/>
      <c r="AU4152" s="9"/>
    </row>
    <row r="4153" spans="1:47" ht="15.75" customHeight="1">
      <c r="A4153" s="9"/>
      <c r="B4153" s="9"/>
      <c r="C4153" s="9"/>
      <c r="D4153" s="9"/>
      <c r="E4153" s="9"/>
      <c r="F4153" s="67"/>
      <c r="G4153" s="9"/>
      <c r="H4153" s="9"/>
      <c r="I4153" s="9"/>
      <c r="J4153" s="9"/>
      <c r="K4153" s="9"/>
      <c r="L4153" s="9"/>
      <c r="M4153" s="9"/>
      <c r="N4153" s="9"/>
      <c r="O4153" s="9"/>
      <c r="P4153" s="9"/>
      <c r="Q4153" s="9"/>
      <c r="R4153" s="9"/>
      <c r="S4153" s="9"/>
      <c r="T4153" s="9"/>
      <c r="U4153" s="9"/>
      <c r="V4153" s="9"/>
      <c r="W4153" s="9"/>
      <c r="X4153" s="9"/>
      <c r="Y4153" s="9"/>
      <c r="Z4153" s="9"/>
      <c r="AA4153" s="9"/>
      <c r="AB4153" s="9"/>
      <c r="AC4153" s="9"/>
      <c r="AD4153" s="9"/>
      <c r="AE4153" s="9"/>
      <c r="AF4153" s="9"/>
      <c r="AG4153" s="9"/>
      <c r="AH4153" s="9"/>
      <c r="AI4153" s="9"/>
      <c r="AJ4153" s="9"/>
      <c r="AK4153" s="9"/>
      <c r="AL4153" s="9"/>
      <c r="AM4153" s="9"/>
      <c r="AN4153" s="9"/>
      <c r="AO4153" s="9"/>
      <c r="AP4153" s="9"/>
      <c r="AQ4153" s="9"/>
      <c r="AR4153" s="9"/>
      <c r="AS4153" s="9"/>
      <c r="AT4153" s="9"/>
      <c r="AU4153" s="9"/>
    </row>
    <row r="4154" spans="1:47" ht="15.75" customHeight="1">
      <c r="A4154" s="9"/>
      <c r="B4154" s="9"/>
      <c r="C4154" s="9"/>
      <c r="D4154" s="9"/>
      <c r="E4154" s="9"/>
      <c r="F4154" s="67"/>
      <c r="G4154" s="9"/>
      <c r="H4154" s="9"/>
      <c r="I4154" s="9"/>
      <c r="J4154" s="9"/>
      <c r="K4154" s="9"/>
      <c r="L4154" s="9"/>
      <c r="M4154" s="9"/>
      <c r="N4154" s="9"/>
      <c r="O4154" s="9"/>
      <c r="P4154" s="9"/>
      <c r="Q4154" s="9"/>
      <c r="R4154" s="9"/>
      <c r="S4154" s="9"/>
      <c r="T4154" s="9"/>
      <c r="U4154" s="9"/>
      <c r="V4154" s="9"/>
      <c r="W4154" s="9"/>
      <c r="X4154" s="9"/>
      <c r="Y4154" s="9"/>
      <c r="Z4154" s="9"/>
      <c r="AA4154" s="9"/>
      <c r="AB4154" s="9"/>
      <c r="AC4154" s="9"/>
      <c r="AD4154" s="9"/>
      <c r="AE4154" s="9"/>
      <c r="AF4154" s="9"/>
      <c r="AG4154" s="9"/>
      <c r="AH4154" s="9"/>
      <c r="AI4154" s="9"/>
      <c r="AJ4154" s="9"/>
      <c r="AK4154" s="9"/>
      <c r="AL4154" s="9"/>
      <c r="AM4154" s="9"/>
      <c r="AN4154" s="9"/>
      <c r="AO4154" s="9"/>
      <c r="AP4154" s="9"/>
      <c r="AQ4154" s="9"/>
      <c r="AR4154" s="9"/>
      <c r="AS4154" s="9"/>
      <c r="AT4154" s="9"/>
      <c r="AU4154" s="9"/>
    </row>
    <row r="4155" spans="1:47" ht="15.75" customHeight="1">
      <c r="A4155" s="9"/>
      <c r="B4155" s="9"/>
      <c r="C4155" s="9"/>
      <c r="D4155" s="9"/>
      <c r="E4155" s="9"/>
      <c r="F4155" s="67"/>
      <c r="G4155" s="9"/>
      <c r="H4155" s="9"/>
      <c r="I4155" s="9"/>
      <c r="J4155" s="9"/>
      <c r="K4155" s="9"/>
      <c r="L4155" s="9"/>
      <c r="M4155" s="9"/>
      <c r="N4155" s="9"/>
      <c r="O4155" s="9"/>
      <c r="P4155" s="9"/>
      <c r="Q4155" s="9"/>
      <c r="R4155" s="9"/>
      <c r="S4155" s="9"/>
      <c r="T4155" s="9"/>
      <c r="U4155" s="9"/>
      <c r="V4155" s="9"/>
      <c r="W4155" s="9"/>
      <c r="X4155" s="9"/>
      <c r="Y4155" s="9"/>
      <c r="Z4155" s="9"/>
      <c r="AA4155" s="9"/>
      <c r="AB4155" s="9"/>
      <c r="AC4155" s="9"/>
      <c r="AD4155" s="9"/>
      <c r="AE4155" s="9"/>
      <c r="AF4155" s="9"/>
      <c r="AG4155" s="9"/>
      <c r="AH4155" s="9"/>
      <c r="AI4155" s="9"/>
      <c r="AJ4155" s="9"/>
      <c r="AK4155" s="9"/>
      <c r="AL4155" s="9"/>
      <c r="AM4155" s="9"/>
      <c r="AN4155" s="9"/>
      <c r="AO4155" s="9"/>
      <c r="AP4155" s="9"/>
      <c r="AQ4155" s="9"/>
      <c r="AR4155" s="9"/>
      <c r="AS4155" s="9"/>
      <c r="AT4155" s="9"/>
      <c r="AU4155" s="9"/>
    </row>
    <row r="4156" spans="1:47" ht="15.75" customHeight="1">
      <c r="A4156" s="9"/>
      <c r="B4156" s="9"/>
      <c r="C4156" s="9"/>
      <c r="D4156" s="9"/>
      <c r="E4156" s="9"/>
      <c r="F4156" s="67"/>
      <c r="G4156" s="9"/>
      <c r="H4156" s="9"/>
      <c r="I4156" s="9"/>
      <c r="J4156" s="9"/>
      <c r="K4156" s="9"/>
      <c r="L4156" s="9"/>
      <c r="M4156" s="9"/>
      <c r="N4156" s="9"/>
      <c r="O4156" s="9"/>
      <c r="P4156" s="9"/>
      <c r="Q4156" s="9"/>
      <c r="R4156" s="9"/>
      <c r="S4156" s="9"/>
      <c r="T4156" s="9"/>
      <c r="U4156" s="9"/>
      <c r="V4156" s="9"/>
      <c r="W4156" s="9"/>
      <c r="X4156" s="9"/>
      <c r="Y4156" s="9"/>
      <c r="Z4156" s="9"/>
      <c r="AA4156" s="9"/>
      <c r="AB4156" s="9"/>
      <c r="AC4156" s="9"/>
      <c r="AD4156" s="9"/>
      <c r="AE4156" s="9"/>
      <c r="AF4156" s="9"/>
      <c r="AG4156" s="9"/>
      <c r="AH4156" s="9"/>
      <c r="AI4156" s="9"/>
      <c r="AJ4156" s="9"/>
      <c r="AK4156" s="9"/>
      <c r="AL4156" s="9"/>
      <c r="AM4156" s="9"/>
      <c r="AN4156" s="9"/>
      <c r="AO4156" s="9"/>
      <c r="AP4156" s="9"/>
      <c r="AQ4156" s="9"/>
      <c r="AR4156" s="9"/>
      <c r="AS4156" s="9"/>
      <c r="AT4156" s="9"/>
      <c r="AU4156" s="9"/>
    </row>
    <row r="4157" spans="1:47" ht="15.75" customHeight="1">
      <c r="A4157" s="9"/>
      <c r="B4157" s="9"/>
      <c r="C4157" s="9"/>
      <c r="D4157" s="9"/>
      <c r="E4157" s="9"/>
      <c r="F4157" s="67"/>
      <c r="G4157" s="9"/>
      <c r="H4157" s="9"/>
      <c r="I4157" s="9"/>
      <c r="J4157" s="9"/>
      <c r="K4157" s="9"/>
      <c r="L4157" s="9"/>
      <c r="M4157" s="9"/>
      <c r="N4157" s="9"/>
      <c r="O4157" s="9"/>
      <c r="P4157" s="9"/>
      <c r="Q4157" s="9"/>
      <c r="R4157" s="9"/>
      <c r="S4157" s="9"/>
      <c r="T4157" s="9"/>
      <c r="U4157" s="9"/>
      <c r="V4157" s="9"/>
      <c r="W4157" s="9"/>
      <c r="X4157" s="9"/>
      <c r="Y4157" s="9"/>
      <c r="Z4157" s="9"/>
      <c r="AA4157" s="9"/>
      <c r="AB4157" s="9"/>
      <c r="AC4157" s="9"/>
      <c r="AD4157" s="9"/>
      <c r="AE4157" s="9"/>
      <c r="AF4157" s="9"/>
      <c r="AG4157" s="9"/>
      <c r="AH4157" s="9"/>
      <c r="AI4157" s="9"/>
      <c r="AJ4157" s="9"/>
      <c r="AK4157" s="9"/>
      <c r="AL4157" s="9"/>
      <c r="AM4157" s="9"/>
      <c r="AN4157" s="9"/>
      <c r="AO4157" s="9"/>
      <c r="AP4157" s="9"/>
      <c r="AQ4157" s="9"/>
      <c r="AR4157" s="9"/>
      <c r="AS4157" s="9"/>
      <c r="AT4157" s="9"/>
      <c r="AU4157" s="9"/>
    </row>
    <row r="4158" spans="1:47" ht="15.75" customHeight="1">
      <c r="A4158" s="9"/>
      <c r="B4158" s="9"/>
      <c r="C4158" s="9"/>
      <c r="D4158" s="9"/>
      <c r="E4158" s="9"/>
      <c r="F4158" s="67"/>
      <c r="G4158" s="9"/>
      <c r="H4158" s="9"/>
      <c r="I4158" s="9"/>
      <c r="J4158" s="9"/>
      <c r="K4158" s="9"/>
      <c r="L4158" s="9"/>
      <c r="M4158" s="9"/>
      <c r="N4158" s="9"/>
      <c r="O4158" s="9"/>
      <c r="P4158" s="9"/>
      <c r="Q4158" s="9"/>
      <c r="R4158" s="9"/>
      <c r="S4158" s="9"/>
      <c r="T4158" s="9"/>
      <c r="U4158" s="9"/>
      <c r="V4158" s="9"/>
      <c r="W4158" s="9"/>
      <c r="X4158" s="9"/>
      <c r="Y4158" s="9"/>
      <c r="Z4158" s="9"/>
      <c r="AA4158" s="9"/>
      <c r="AB4158" s="9"/>
      <c r="AC4158" s="9"/>
      <c r="AD4158" s="9"/>
      <c r="AE4158" s="9"/>
      <c r="AF4158" s="9"/>
      <c r="AG4158" s="9"/>
      <c r="AH4158" s="9"/>
      <c r="AI4158" s="9"/>
      <c r="AJ4158" s="9"/>
      <c r="AK4158" s="9"/>
      <c r="AL4158" s="9"/>
      <c r="AM4158" s="9"/>
      <c r="AN4158" s="9"/>
      <c r="AO4158" s="9"/>
      <c r="AP4158" s="9"/>
      <c r="AQ4158" s="9"/>
      <c r="AR4158" s="9"/>
      <c r="AS4158" s="9"/>
      <c r="AT4158" s="9"/>
      <c r="AU4158" s="9"/>
    </row>
    <row r="4159" spans="1:47" ht="15.75" customHeight="1">
      <c r="A4159" s="9"/>
      <c r="B4159" s="9"/>
      <c r="C4159" s="9"/>
      <c r="D4159" s="9"/>
      <c r="E4159" s="9"/>
      <c r="F4159" s="67"/>
      <c r="G4159" s="9"/>
      <c r="H4159" s="9"/>
      <c r="I4159" s="9"/>
      <c r="J4159" s="9"/>
      <c r="K4159" s="9"/>
      <c r="L4159" s="9"/>
      <c r="M4159" s="9"/>
      <c r="N4159" s="9"/>
      <c r="O4159" s="9"/>
      <c r="P4159" s="9"/>
      <c r="Q4159" s="9"/>
      <c r="R4159" s="9"/>
      <c r="S4159" s="9"/>
      <c r="T4159" s="9"/>
      <c r="U4159" s="9"/>
      <c r="V4159" s="9"/>
      <c r="W4159" s="9"/>
      <c r="X4159" s="9"/>
      <c r="Y4159" s="9"/>
      <c r="Z4159" s="9"/>
      <c r="AA4159" s="9"/>
      <c r="AB4159" s="9"/>
      <c r="AC4159" s="9"/>
      <c r="AD4159" s="9"/>
      <c r="AE4159" s="9"/>
      <c r="AF4159" s="9"/>
      <c r="AG4159" s="9"/>
      <c r="AH4159" s="9"/>
      <c r="AI4159" s="9"/>
      <c r="AJ4159" s="9"/>
      <c r="AK4159" s="9"/>
      <c r="AL4159" s="9"/>
      <c r="AM4159" s="9"/>
      <c r="AN4159" s="9"/>
      <c r="AO4159" s="9"/>
      <c r="AP4159" s="9"/>
      <c r="AQ4159" s="9"/>
      <c r="AR4159" s="9"/>
      <c r="AS4159" s="9"/>
      <c r="AT4159" s="9"/>
      <c r="AU4159" s="9"/>
    </row>
    <row r="4160" spans="1:47" ht="15.75" customHeight="1">
      <c r="A4160" s="9"/>
      <c r="B4160" s="9"/>
      <c r="C4160" s="9"/>
      <c r="D4160" s="9"/>
      <c r="E4160" s="9"/>
      <c r="F4160" s="67"/>
      <c r="G4160" s="9"/>
      <c r="H4160" s="9"/>
      <c r="I4160" s="9"/>
      <c r="J4160" s="9"/>
      <c r="K4160" s="9"/>
      <c r="L4160" s="9"/>
      <c r="M4160" s="9"/>
      <c r="N4160" s="9"/>
      <c r="O4160" s="9"/>
      <c r="P4160" s="9"/>
      <c r="Q4160" s="9"/>
      <c r="R4160" s="9"/>
      <c r="S4160" s="9"/>
      <c r="T4160" s="9"/>
      <c r="U4160" s="9"/>
      <c r="V4160" s="9"/>
      <c r="W4160" s="9"/>
      <c r="X4160" s="9"/>
      <c r="Y4160" s="9"/>
      <c r="Z4160" s="9"/>
      <c r="AA4160" s="9"/>
      <c r="AB4160" s="9"/>
      <c r="AC4160" s="9"/>
      <c r="AD4160" s="9"/>
      <c r="AE4160" s="9"/>
      <c r="AF4160" s="9"/>
      <c r="AG4160" s="9"/>
      <c r="AH4160" s="9"/>
      <c r="AI4160" s="9"/>
      <c r="AJ4160" s="9"/>
      <c r="AK4160" s="9"/>
      <c r="AL4160" s="9"/>
      <c r="AM4160" s="9"/>
      <c r="AN4160" s="9"/>
      <c r="AO4160" s="9"/>
      <c r="AP4160" s="9"/>
      <c r="AQ4160" s="9"/>
      <c r="AR4160" s="9"/>
      <c r="AS4160" s="9"/>
      <c r="AT4160" s="9"/>
      <c r="AU4160" s="9"/>
    </row>
    <row r="4161" spans="1:47" ht="15.75" customHeight="1">
      <c r="A4161" s="9"/>
      <c r="B4161" s="9"/>
      <c r="C4161" s="9"/>
      <c r="D4161" s="9"/>
      <c r="E4161" s="9"/>
      <c r="F4161" s="67"/>
      <c r="G4161" s="9"/>
      <c r="H4161" s="9"/>
      <c r="I4161" s="9"/>
      <c r="J4161" s="9"/>
      <c r="K4161" s="9"/>
      <c r="L4161" s="9"/>
      <c r="M4161" s="9"/>
      <c r="N4161" s="9"/>
      <c r="O4161" s="9"/>
      <c r="P4161" s="9"/>
      <c r="Q4161" s="9"/>
      <c r="R4161" s="9"/>
      <c r="S4161" s="9"/>
      <c r="T4161" s="9"/>
      <c r="U4161" s="9"/>
      <c r="V4161" s="9"/>
      <c r="W4161" s="9"/>
      <c r="X4161" s="9"/>
      <c r="Y4161" s="9"/>
      <c r="Z4161" s="9"/>
      <c r="AA4161" s="9"/>
      <c r="AB4161" s="9"/>
      <c r="AC4161" s="9"/>
      <c r="AD4161" s="9"/>
      <c r="AE4161" s="9"/>
      <c r="AF4161" s="9"/>
      <c r="AG4161" s="9"/>
      <c r="AH4161" s="9"/>
      <c r="AI4161" s="9"/>
      <c r="AJ4161" s="9"/>
      <c r="AK4161" s="9"/>
      <c r="AL4161" s="9"/>
      <c r="AM4161" s="9"/>
      <c r="AN4161" s="9"/>
      <c r="AO4161" s="9"/>
      <c r="AP4161" s="9"/>
      <c r="AQ4161" s="9"/>
      <c r="AR4161" s="9"/>
      <c r="AS4161" s="9"/>
      <c r="AT4161" s="9"/>
      <c r="AU4161" s="9"/>
    </row>
    <row r="4162" spans="1:47" ht="15.75" customHeight="1">
      <c r="A4162" s="9"/>
      <c r="B4162" s="9"/>
      <c r="C4162" s="9"/>
      <c r="D4162" s="9"/>
      <c r="E4162" s="9"/>
      <c r="F4162" s="67"/>
      <c r="G4162" s="9"/>
      <c r="H4162" s="9"/>
      <c r="I4162" s="9"/>
      <c r="J4162" s="9"/>
      <c r="K4162" s="9"/>
      <c r="L4162" s="9"/>
      <c r="M4162" s="9"/>
      <c r="N4162" s="9"/>
      <c r="O4162" s="9"/>
      <c r="P4162" s="9"/>
      <c r="Q4162" s="9"/>
      <c r="R4162" s="9"/>
      <c r="S4162" s="9"/>
      <c r="T4162" s="9"/>
      <c r="U4162" s="9"/>
      <c r="V4162" s="9"/>
      <c r="W4162" s="9"/>
      <c r="X4162" s="9"/>
      <c r="Y4162" s="9"/>
      <c r="Z4162" s="9"/>
      <c r="AA4162" s="9"/>
      <c r="AB4162" s="9"/>
      <c r="AC4162" s="9"/>
      <c r="AD4162" s="9"/>
      <c r="AE4162" s="9"/>
      <c r="AF4162" s="9"/>
      <c r="AG4162" s="9"/>
      <c r="AH4162" s="9"/>
      <c r="AI4162" s="9"/>
      <c r="AJ4162" s="9"/>
      <c r="AK4162" s="9"/>
      <c r="AL4162" s="9"/>
      <c r="AM4162" s="9"/>
      <c r="AN4162" s="9"/>
      <c r="AO4162" s="9"/>
      <c r="AP4162" s="9"/>
      <c r="AQ4162" s="9"/>
      <c r="AR4162" s="9"/>
      <c r="AS4162" s="9"/>
      <c r="AT4162" s="9"/>
      <c r="AU4162" s="9"/>
    </row>
    <row r="4163" spans="1:47" ht="15.75" customHeight="1">
      <c r="A4163" s="9"/>
      <c r="B4163" s="9"/>
      <c r="C4163" s="9"/>
      <c r="D4163" s="9"/>
      <c r="E4163" s="9"/>
      <c r="F4163" s="67"/>
      <c r="G4163" s="9"/>
      <c r="H4163" s="9"/>
      <c r="I4163" s="9"/>
      <c r="J4163" s="9"/>
      <c r="K4163" s="9"/>
      <c r="L4163" s="9"/>
      <c r="M4163" s="9"/>
      <c r="N4163" s="9"/>
      <c r="O4163" s="9"/>
      <c r="P4163" s="9"/>
      <c r="Q4163" s="9"/>
      <c r="R4163" s="9"/>
      <c r="S4163" s="9"/>
      <c r="T4163" s="9"/>
      <c r="U4163" s="9"/>
      <c r="V4163" s="9"/>
      <c r="W4163" s="9"/>
      <c r="X4163" s="9"/>
      <c r="Y4163" s="9"/>
      <c r="Z4163" s="9"/>
      <c r="AA4163" s="9"/>
      <c r="AB4163" s="9"/>
      <c r="AC4163" s="9"/>
      <c r="AD4163" s="9"/>
      <c r="AE4163" s="9"/>
      <c r="AF4163" s="9"/>
      <c r="AG4163" s="9"/>
      <c r="AH4163" s="9"/>
      <c r="AI4163" s="9"/>
      <c r="AJ4163" s="9"/>
      <c r="AK4163" s="9"/>
      <c r="AL4163" s="9"/>
      <c r="AM4163" s="9"/>
      <c r="AN4163" s="9"/>
      <c r="AO4163" s="9"/>
      <c r="AP4163" s="9"/>
      <c r="AQ4163" s="9"/>
      <c r="AR4163" s="9"/>
      <c r="AS4163" s="9"/>
      <c r="AT4163" s="9"/>
      <c r="AU4163" s="9"/>
    </row>
    <row r="4164" spans="1:47" ht="15.75" customHeight="1">
      <c r="A4164" s="9"/>
      <c r="B4164" s="9"/>
      <c r="C4164" s="9"/>
      <c r="D4164" s="9"/>
      <c r="E4164" s="9"/>
      <c r="F4164" s="67"/>
      <c r="G4164" s="9"/>
      <c r="H4164" s="9"/>
      <c r="I4164" s="9"/>
      <c r="J4164" s="9"/>
      <c r="K4164" s="9"/>
      <c r="L4164" s="9"/>
      <c r="M4164" s="9"/>
      <c r="N4164" s="9"/>
      <c r="O4164" s="9"/>
      <c r="P4164" s="9"/>
      <c r="Q4164" s="9"/>
      <c r="R4164" s="9"/>
      <c r="S4164" s="9"/>
      <c r="T4164" s="9"/>
      <c r="U4164" s="9"/>
      <c r="V4164" s="9"/>
      <c r="W4164" s="9"/>
      <c r="X4164" s="9"/>
      <c r="Y4164" s="9"/>
      <c r="Z4164" s="9"/>
      <c r="AA4164" s="9"/>
      <c r="AB4164" s="9"/>
      <c r="AC4164" s="9"/>
      <c r="AD4164" s="9"/>
      <c r="AE4164" s="9"/>
      <c r="AF4164" s="9"/>
      <c r="AG4164" s="9"/>
      <c r="AH4164" s="9"/>
      <c r="AI4164" s="9"/>
      <c r="AJ4164" s="9"/>
      <c r="AK4164" s="9"/>
      <c r="AL4164" s="9"/>
      <c r="AM4164" s="9"/>
      <c r="AN4164" s="9"/>
      <c r="AO4164" s="9"/>
      <c r="AP4164" s="9"/>
      <c r="AQ4164" s="9"/>
      <c r="AR4164" s="9"/>
      <c r="AS4164" s="9"/>
      <c r="AT4164" s="9"/>
      <c r="AU4164" s="9"/>
    </row>
    <row r="4165" spans="1:47" ht="15.75" customHeight="1">
      <c r="A4165" s="9"/>
      <c r="B4165" s="9"/>
      <c r="C4165" s="9"/>
      <c r="D4165" s="9"/>
      <c r="E4165" s="9"/>
      <c r="F4165" s="67"/>
      <c r="G4165" s="9"/>
      <c r="H4165" s="9"/>
      <c r="I4165" s="9"/>
      <c r="J4165" s="9"/>
      <c r="K4165" s="9"/>
      <c r="L4165" s="9"/>
      <c r="M4165" s="9"/>
      <c r="N4165" s="9"/>
      <c r="O4165" s="9"/>
      <c r="P4165" s="9"/>
      <c r="Q4165" s="9"/>
      <c r="R4165" s="9"/>
      <c r="S4165" s="9"/>
      <c r="T4165" s="9"/>
      <c r="U4165" s="9"/>
      <c r="V4165" s="9"/>
      <c r="W4165" s="9"/>
      <c r="X4165" s="9"/>
      <c r="Y4165" s="9"/>
      <c r="Z4165" s="9"/>
      <c r="AA4165" s="9"/>
      <c r="AB4165" s="9"/>
      <c r="AC4165" s="9"/>
      <c r="AD4165" s="9"/>
      <c r="AE4165" s="9"/>
      <c r="AF4165" s="9"/>
      <c r="AG4165" s="9"/>
      <c r="AH4165" s="9"/>
      <c r="AI4165" s="9"/>
      <c r="AJ4165" s="9"/>
      <c r="AK4165" s="9"/>
      <c r="AL4165" s="9"/>
      <c r="AM4165" s="9"/>
      <c r="AN4165" s="9"/>
      <c r="AO4165" s="9"/>
      <c r="AP4165" s="9"/>
      <c r="AQ4165" s="9"/>
      <c r="AR4165" s="9"/>
      <c r="AS4165" s="9"/>
      <c r="AT4165" s="9"/>
      <c r="AU4165" s="9"/>
    </row>
    <row r="4166" spans="1:47" ht="15.75" customHeight="1">
      <c r="A4166" s="9"/>
      <c r="B4166" s="9"/>
      <c r="C4166" s="9"/>
      <c r="D4166" s="9"/>
      <c r="E4166" s="9"/>
      <c r="F4166" s="67"/>
      <c r="G4166" s="9"/>
      <c r="H4166" s="9"/>
      <c r="I4166" s="9"/>
      <c r="J4166" s="9"/>
      <c r="K4166" s="9"/>
      <c r="L4166" s="9"/>
      <c r="M4166" s="9"/>
      <c r="N4166" s="9"/>
      <c r="O4166" s="9"/>
      <c r="P4166" s="9"/>
      <c r="Q4166" s="9"/>
      <c r="R4166" s="9"/>
      <c r="S4166" s="9"/>
      <c r="T4166" s="9"/>
      <c r="U4166" s="9"/>
      <c r="V4166" s="9"/>
      <c r="W4166" s="9"/>
      <c r="X4166" s="9"/>
      <c r="Y4166" s="9"/>
      <c r="Z4166" s="9"/>
      <c r="AA4166" s="9"/>
      <c r="AB4166" s="9"/>
      <c r="AC4166" s="9"/>
      <c r="AD4166" s="9"/>
      <c r="AE4166" s="9"/>
      <c r="AF4166" s="9"/>
      <c r="AG4166" s="9"/>
      <c r="AH4166" s="9"/>
      <c r="AI4166" s="9"/>
      <c r="AJ4166" s="9"/>
      <c r="AK4166" s="9"/>
      <c r="AL4166" s="9"/>
      <c r="AM4166" s="9"/>
      <c r="AN4166" s="9"/>
      <c r="AO4166" s="9"/>
      <c r="AP4166" s="9"/>
      <c r="AQ4166" s="9"/>
      <c r="AR4166" s="9"/>
      <c r="AS4166" s="9"/>
      <c r="AT4166" s="9"/>
      <c r="AU4166" s="9"/>
    </row>
    <row r="4167" spans="1:47" ht="15.75" customHeight="1">
      <c r="A4167" s="9"/>
      <c r="B4167" s="9"/>
      <c r="C4167" s="9"/>
      <c r="D4167" s="9"/>
      <c r="E4167" s="9"/>
      <c r="F4167" s="67"/>
      <c r="G4167" s="9"/>
      <c r="H4167" s="9"/>
      <c r="I4167" s="9"/>
      <c r="J4167" s="9"/>
      <c r="K4167" s="9"/>
      <c r="L4167" s="9"/>
      <c r="M4167" s="9"/>
      <c r="N4167" s="9"/>
      <c r="O4167" s="9"/>
      <c r="P4167" s="9"/>
      <c r="Q4167" s="9"/>
      <c r="R4167" s="9"/>
      <c r="S4167" s="9"/>
      <c r="T4167" s="9"/>
      <c r="U4167" s="9"/>
      <c r="V4167" s="9"/>
      <c r="W4167" s="9"/>
      <c r="X4167" s="9"/>
      <c r="Y4167" s="9"/>
      <c r="Z4167" s="9"/>
      <c r="AA4167" s="9"/>
      <c r="AB4167" s="9"/>
      <c r="AC4167" s="9"/>
      <c r="AD4167" s="9"/>
      <c r="AE4167" s="9"/>
      <c r="AF4167" s="9"/>
      <c r="AG4167" s="9"/>
      <c r="AH4167" s="9"/>
      <c r="AI4167" s="9"/>
      <c r="AJ4167" s="9"/>
      <c r="AK4167" s="9"/>
      <c r="AL4167" s="9"/>
      <c r="AM4167" s="9"/>
      <c r="AN4167" s="9"/>
      <c r="AO4167" s="9"/>
      <c r="AP4167" s="9"/>
      <c r="AQ4167" s="9"/>
      <c r="AR4167" s="9"/>
      <c r="AS4167" s="9"/>
      <c r="AT4167" s="9"/>
      <c r="AU4167" s="9"/>
    </row>
    <row r="4168" spans="1:47" ht="15.75" customHeight="1">
      <c r="A4168" s="9"/>
      <c r="B4168" s="9"/>
      <c r="C4168" s="9"/>
      <c r="D4168" s="9"/>
      <c r="E4168" s="9"/>
      <c r="F4168" s="67"/>
      <c r="G4168" s="9"/>
      <c r="H4168" s="9"/>
      <c r="I4168" s="9"/>
      <c r="J4168" s="9"/>
      <c r="K4168" s="9"/>
      <c r="L4168" s="9"/>
      <c r="M4168" s="9"/>
      <c r="N4168" s="9"/>
      <c r="O4168" s="9"/>
      <c r="P4168" s="9"/>
      <c r="Q4168" s="9"/>
      <c r="R4168" s="9"/>
      <c r="S4168" s="9"/>
      <c r="T4168" s="9"/>
      <c r="U4168" s="9"/>
      <c r="V4168" s="9"/>
      <c r="W4168" s="9"/>
      <c r="X4168" s="9"/>
      <c r="Y4168" s="9"/>
      <c r="Z4168" s="9"/>
      <c r="AA4168" s="9"/>
      <c r="AB4168" s="9"/>
      <c r="AC4168" s="9"/>
      <c r="AD4168" s="9"/>
      <c r="AE4168" s="9"/>
      <c r="AF4168" s="9"/>
      <c r="AG4168" s="9"/>
      <c r="AH4168" s="9"/>
      <c r="AI4168" s="9"/>
      <c r="AJ4168" s="9"/>
      <c r="AK4168" s="9"/>
      <c r="AL4168" s="9"/>
      <c r="AM4168" s="9"/>
      <c r="AN4168" s="9"/>
      <c r="AO4168" s="9"/>
      <c r="AP4168" s="9"/>
      <c r="AQ4168" s="9"/>
      <c r="AR4168" s="9"/>
      <c r="AS4168" s="9"/>
      <c r="AT4168" s="9"/>
      <c r="AU4168" s="9"/>
    </row>
    <row r="4169" spans="1:47" ht="15.75" customHeight="1">
      <c r="A4169" s="9"/>
      <c r="B4169" s="9"/>
      <c r="C4169" s="9"/>
      <c r="D4169" s="9"/>
      <c r="E4169" s="9"/>
      <c r="F4169" s="67"/>
      <c r="G4169" s="9"/>
      <c r="H4169" s="9"/>
      <c r="I4169" s="9"/>
      <c r="J4169" s="9"/>
      <c r="K4169" s="9"/>
      <c r="L4169" s="9"/>
      <c r="M4169" s="9"/>
      <c r="N4169" s="9"/>
      <c r="O4169" s="9"/>
      <c r="P4169" s="9"/>
      <c r="Q4169" s="9"/>
      <c r="R4169" s="9"/>
      <c r="S4169" s="9"/>
      <c r="T4169" s="9"/>
      <c r="U4169" s="9"/>
      <c r="V4169" s="9"/>
      <c r="W4169" s="9"/>
      <c r="X4169" s="9"/>
      <c r="Y4169" s="9"/>
      <c r="Z4169" s="9"/>
      <c r="AA4169" s="9"/>
      <c r="AB4169" s="9"/>
      <c r="AC4169" s="9"/>
      <c r="AD4169" s="9"/>
      <c r="AE4169" s="9"/>
      <c r="AF4169" s="9"/>
      <c r="AG4169" s="9"/>
      <c r="AH4169" s="9"/>
      <c r="AI4169" s="9"/>
      <c r="AJ4169" s="9"/>
      <c r="AK4169" s="9"/>
      <c r="AL4169" s="9"/>
      <c r="AM4169" s="9"/>
      <c r="AN4169" s="9"/>
      <c r="AO4169" s="9"/>
      <c r="AP4169" s="9"/>
      <c r="AQ4169" s="9"/>
      <c r="AR4169" s="9"/>
      <c r="AS4169" s="9"/>
      <c r="AT4169" s="9"/>
      <c r="AU4169" s="9"/>
    </row>
    <row r="4170" spans="1:47" ht="15.75" customHeight="1">
      <c r="A4170" s="9"/>
      <c r="B4170" s="9"/>
      <c r="C4170" s="9"/>
      <c r="D4170" s="9"/>
      <c r="E4170" s="9"/>
      <c r="F4170" s="67"/>
      <c r="G4170" s="9"/>
      <c r="H4170" s="9"/>
      <c r="I4170" s="9"/>
      <c r="J4170" s="9"/>
      <c r="K4170" s="9"/>
      <c r="L4170" s="9"/>
      <c r="M4170" s="9"/>
      <c r="N4170" s="9"/>
      <c r="O4170" s="9"/>
      <c r="P4170" s="9"/>
      <c r="Q4170" s="9"/>
      <c r="R4170" s="9"/>
      <c r="S4170" s="9"/>
      <c r="T4170" s="9"/>
      <c r="U4170" s="9"/>
      <c r="V4170" s="9"/>
      <c r="W4170" s="9"/>
      <c r="X4170" s="9"/>
      <c r="Y4170" s="9"/>
      <c r="Z4170" s="9"/>
      <c r="AA4170" s="9"/>
      <c r="AB4170" s="9"/>
      <c r="AC4170" s="9"/>
      <c r="AD4170" s="9"/>
      <c r="AE4170" s="9"/>
      <c r="AF4170" s="9"/>
      <c r="AG4170" s="9"/>
      <c r="AH4170" s="9"/>
      <c r="AI4170" s="9"/>
      <c r="AJ4170" s="9"/>
      <c r="AK4170" s="9"/>
      <c r="AL4170" s="9"/>
      <c r="AM4170" s="9"/>
      <c r="AN4170" s="9"/>
      <c r="AO4170" s="9"/>
      <c r="AP4170" s="9"/>
      <c r="AQ4170" s="9"/>
      <c r="AR4170" s="9"/>
      <c r="AS4170" s="9"/>
      <c r="AT4170" s="9"/>
      <c r="AU4170" s="9"/>
    </row>
    <row r="4171" spans="1:47" ht="15.75" customHeight="1">
      <c r="A4171" s="9"/>
      <c r="B4171" s="9"/>
      <c r="C4171" s="9"/>
      <c r="D4171" s="9"/>
      <c r="E4171" s="9"/>
      <c r="F4171" s="67"/>
      <c r="G4171" s="9"/>
      <c r="H4171" s="9"/>
      <c r="I4171" s="9"/>
      <c r="J4171" s="9"/>
      <c r="K4171" s="9"/>
      <c r="L4171" s="9"/>
      <c r="M4171" s="9"/>
      <c r="N4171" s="9"/>
      <c r="O4171" s="9"/>
      <c r="P4171" s="9"/>
      <c r="Q4171" s="9"/>
      <c r="R4171" s="9"/>
      <c r="S4171" s="9"/>
      <c r="T4171" s="9"/>
      <c r="U4171" s="9"/>
      <c r="V4171" s="9"/>
      <c r="W4171" s="9"/>
      <c r="X4171" s="9"/>
      <c r="Y4171" s="9"/>
      <c r="Z4171" s="9"/>
      <c r="AA4171" s="9"/>
      <c r="AB4171" s="9"/>
      <c r="AC4171" s="9"/>
      <c r="AD4171" s="9"/>
      <c r="AE4171" s="9"/>
      <c r="AF4171" s="9"/>
      <c r="AG4171" s="9"/>
      <c r="AH4171" s="9"/>
      <c r="AI4171" s="9"/>
      <c r="AJ4171" s="9"/>
      <c r="AK4171" s="9"/>
      <c r="AL4171" s="9"/>
      <c r="AM4171" s="9"/>
      <c r="AN4171" s="9"/>
      <c r="AO4171" s="9"/>
      <c r="AP4171" s="9"/>
      <c r="AQ4171" s="9"/>
      <c r="AR4171" s="9"/>
      <c r="AS4171" s="9"/>
      <c r="AT4171" s="9"/>
      <c r="AU4171" s="9"/>
    </row>
    <row r="4172" spans="1:47" ht="15.75" customHeight="1">
      <c r="A4172" s="9"/>
      <c r="B4172" s="9"/>
      <c r="C4172" s="9"/>
      <c r="D4172" s="9"/>
      <c r="E4172" s="9"/>
      <c r="F4172" s="67"/>
      <c r="G4172" s="9"/>
      <c r="H4172" s="9"/>
      <c r="I4172" s="9"/>
      <c r="J4172" s="9"/>
      <c r="K4172" s="9"/>
      <c r="L4172" s="9"/>
      <c r="M4172" s="9"/>
      <c r="N4172" s="9"/>
      <c r="O4172" s="9"/>
      <c r="P4172" s="9"/>
      <c r="Q4172" s="9"/>
      <c r="R4172" s="9"/>
      <c r="S4172" s="9"/>
      <c r="T4172" s="9"/>
      <c r="U4172" s="9"/>
      <c r="V4172" s="9"/>
      <c r="W4172" s="9"/>
      <c r="X4172" s="9"/>
      <c r="Y4172" s="9"/>
      <c r="Z4172" s="9"/>
      <c r="AA4172" s="9"/>
      <c r="AB4172" s="9"/>
      <c r="AC4172" s="9"/>
      <c r="AD4172" s="9"/>
      <c r="AE4172" s="9"/>
      <c r="AF4172" s="9"/>
      <c r="AG4172" s="9"/>
      <c r="AH4172" s="9"/>
      <c r="AI4172" s="9"/>
      <c r="AJ4172" s="9"/>
      <c r="AK4172" s="9"/>
      <c r="AL4172" s="9"/>
      <c r="AM4172" s="9"/>
      <c r="AN4172" s="9"/>
      <c r="AO4172" s="9"/>
      <c r="AP4172" s="9"/>
      <c r="AQ4172" s="9"/>
      <c r="AR4172" s="9"/>
      <c r="AS4172" s="9"/>
      <c r="AT4172" s="9"/>
      <c r="AU4172" s="9"/>
    </row>
    <row r="4173" spans="1:47" ht="15.75" customHeight="1">
      <c r="A4173" s="9"/>
      <c r="B4173" s="9"/>
      <c r="C4173" s="9"/>
      <c r="D4173" s="9"/>
      <c r="E4173" s="9"/>
      <c r="F4173" s="67"/>
      <c r="G4173" s="9"/>
      <c r="H4173" s="9"/>
      <c r="I4173" s="9"/>
      <c r="J4173" s="9"/>
      <c r="K4173" s="9"/>
      <c r="L4173" s="9"/>
      <c r="M4173" s="9"/>
      <c r="N4173" s="9"/>
      <c r="O4173" s="9"/>
      <c r="P4173" s="9"/>
      <c r="Q4173" s="9"/>
      <c r="R4173" s="9"/>
      <c r="S4173" s="9"/>
      <c r="T4173" s="9"/>
      <c r="U4173" s="9"/>
      <c r="V4173" s="9"/>
      <c r="W4173" s="9"/>
      <c r="X4173" s="9"/>
      <c r="Y4173" s="9"/>
      <c r="Z4173" s="9"/>
      <c r="AA4173" s="9"/>
      <c r="AB4173" s="9"/>
      <c r="AC4173" s="9"/>
      <c r="AD4173" s="9"/>
      <c r="AE4173" s="9"/>
      <c r="AF4173" s="9"/>
      <c r="AG4173" s="9"/>
      <c r="AH4173" s="9"/>
      <c r="AI4173" s="9"/>
      <c r="AJ4173" s="9"/>
      <c r="AK4173" s="9"/>
      <c r="AL4173" s="9"/>
      <c r="AM4173" s="9"/>
      <c r="AN4173" s="9"/>
      <c r="AO4173" s="9"/>
      <c r="AP4173" s="9"/>
      <c r="AQ4173" s="9"/>
      <c r="AR4173" s="9"/>
      <c r="AS4173" s="9"/>
      <c r="AT4173" s="9"/>
      <c r="AU4173" s="9"/>
    </row>
    <row r="4174" spans="1:47" ht="15.75" customHeight="1">
      <c r="A4174" s="9"/>
      <c r="B4174" s="9"/>
      <c r="C4174" s="9"/>
      <c r="D4174" s="9"/>
      <c r="E4174" s="9"/>
      <c r="F4174" s="67"/>
      <c r="G4174" s="9"/>
      <c r="H4174" s="9"/>
      <c r="I4174" s="9"/>
      <c r="J4174" s="9"/>
      <c r="K4174" s="9"/>
      <c r="L4174" s="9"/>
      <c r="M4174" s="9"/>
      <c r="N4174" s="9"/>
      <c r="O4174" s="9"/>
      <c r="P4174" s="9"/>
      <c r="Q4174" s="9"/>
      <c r="R4174" s="9"/>
      <c r="S4174" s="9"/>
      <c r="T4174" s="9"/>
      <c r="U4174" s="9"/>
      <c r="V4174" s="9"/>
      <c r="W4174" s="9"/>
      <c r="X4174" s="9"/>
      <c r="Y4174" s="9"/>
      <c r="Z4174" s="9"/>
      <c r="AA4174" s="9"/>
      <c r="AB4174" s="9"/>
      <c r="AC4174" s="9"/>
      <c r="AD4174" s="9"/>
      <c r="AE4174" s="9"/>
      <c r="AF4174" s="9"/>
      <c r="AG4174" s="9"/>
      <c r="AH4174" s="9"/>
      <c r="AI4174" s="9"/>
      <c r="AJ4174" s="9"/>
      <c r="AK4174" s="9"/>
      <c r="AL4174" s="9"/>
      <c r="AM4174" s="9"/>
      <c r="AN4174" s="9"/>
      <c r="AO4174" s="9"/>
      <c r="AP4174" s="9"/>
      <c r="AQ4174" s="9"/>
      <c r="AR4174" s="9"/>
      <c r="AS4174" s="9"/>
      <c r="AT4174" s="9"/>
      <c r="AU4174" s="9"/>
    </row>
    <row r="4175" spans="1:47" ht="15.75" customHeight="1">
      <c r="A4175" s="9"/>
      <c r="B4175" s="9"/>
      <c r="C4175" s="9"/>
      <c r="D4175" s="9"/>
      <c r="E4175" s="9"/>
      <c r="F4175" s="67"/>
      <c r="G4175" s="9"/>
      <c r="H4175" s="9"/>
      <c r="I4175" s="9"/>
      <c r="J4175" s="9"/>
      <c r="K4175" s="9"/>
      <c r="L4175" s="9"/>
      <c r="M4175" s="9"/>
      <c r="N4175" s="9"/>
      <c r="O4175" s="9"/>
      <c r="P4175" s="9"/>
      <c r="Q4175" s="9"/>
      <c r="R4175" s="9"/>
      <c r="S4175" s="9"/>
      <c r="T4175" s="9"/>
      <c r="U4175" s="9"/>
      <c r="V4175" s="9"/>
      <c r="W4175" s="9"/>
      <c r="X4175" s="9"/>
      <c r="Y4175" s="9"/>
      <c r="Z4175" s="9"/>
      <c r="AA4175" s="9"/>
      <c r="AB4175" s="9"/>
      <c r="AC4175" s="9"/>
      <c r="AD4175" s="9"/>
      <c r="AE4175" s="9"/>
      <c r="AF4175" s="9"/>
      <c r="AG4175" s="9"/>
      <c r="AH4175" s="9"/>
      <c r="AI4175" s="9"/>
      <c r="AJ4175" s="9"/>
      <c r="AK4175" s="9"/>
      <c r="AL4175" s="9"/>
      <c r="AM4175" s="9"/>
      <c r="AN4175" s="9"/>
      <c r="AO4175" s="9"/>
      <c r="AP4175" s="9"/>
      <c r="AQ4175" s="9"/>
      <c r="AR4175" s="9"/>
      <c r="AS4175" s="9"/>
      <c r="AT4175" s="9"/>
      <c r="AU4175" s="9"/>
    </row>
    <row r="4176" spans="1:47" ht="15.75" customHeight="1">
      <c r="A4176" s="9"/>
      <c r="B4176" s="9"/>
      <c r="C4176" s="9"/>
      <c r="D4176" s="9"/>
      <c r="E4176" s="9"/>
      <c r="F4176" s="67"/>
      <c r="G4176" s="9"/>
      <c r="H4176" s="9"/>
      <c r="I4176" s="9"/>
      <c r="J4176" s="9"/>
      <c r="K4176" s="9"/>
      <c r="L4176" s="9"/>
      <c r="M4176" s="9"/>
      <c r="N4176" s="9"/>
      <c r="O4176" s="9"/>
      <c r="P4176" s="9"/>
      <c r="Q4176" s="9"/>
      <c r="R4176" s="9"/>
      <c r="S4176" s="9"/>
      <c r="T4176" s="9"/>
      <c r="U4176" s="9"/>
      <c r="V4176" s="9"/>
      <c r="W4176" s="9"/>
      <c r="X4176" s="9"/>
      <c r="Y4176" s="9"/>
      <c r="Z4176" s="9"/>
      <c r="AA4176" s="9"/>
      <c r="AB4176" s="9"/>
      <c r="AC4176" s="9"/>
      <c r="AD4176" s="9"/>
      <c r="AE4176" s="9"/>
      <c r="AF4176" s="9"/>
      <c r="AG4176" s="9"/>
      <c r="AH4176" s="9"/>
      <c r="AI4176" s="9"/>
      <c r="AJ4176" s="9"/>
      <c r="AK4176" s="9"/>
      <c r="AL4176" s="9"/>
      <c r="AM4176" s="9"/>
      <c r="AN4176" s="9"/>
      <c r="AO4176" s="9"/>
      <c r="AP4176" s="9"/>
      <c r="AQ4176" s="9"/>
      <c r="AR4176" s="9"/>
      <c r="AS4176" s="9"/>
      <c r="AT4176" s="9"/>
      <c r="AU4176" s="9"/>
    </row>
    <row r="4177" spans="1:47" ht="15.75" customHeight="1">
      <c r="A4177" s="9"/>
      <c r="B4177" s="9"/>
      <c r="C4177" s="9"/>
      <c r="D4177" s="9"/>
      <c r="E4177" s="9"/>
      <c r="F4177" s="67"/>
      <c r="G4177" s="9"/>
      <c r="H4177" s="9"/>
      <c r="I4177" s="9"/>
      <c r="J4177" s="9"/>
      <c r="K4177" s="9"/>
      <c r="L4177" s="9"/>
      <c r="M4177" s="9"/>
      <c r="N4177" s="9"/>
      <c r="O4177" s="9"/>
      <c r="P4177" s="9"/>
      <c r="Q4177" s="9"/>
      <c r="R4177" s="9"/>
      <c r="S4177" s="9"/>
      <c r="T4177" s="9"/>
      <c r="U4177" s="9"/>
      <c r="V4177" s="9"/>
      <c r="W4177" s="9"/>
      <c r="X4177" s="9"/>
      <c r="Y4177" s="9"/>
      <c r="Z4177" s="9"/>
      <c r="AA4177" s="9"/>
      <c r="AB4177" s="9"/>
      <c r="AC4177" s="9"/>
      <c r="AD4177" s="9"/>
      <c r="AE4177" s="9"/>
      <c r="AF4177" s="9"/>
      <c r="AG4177" s="9"/>
      <c r="AH4177" s="9"/>
      <c r="AI4177" s="9"/>
      <c r="AJ4177" s="9"/>
      <c r="AK4177" s="9"/>
      <c r="AL4177" s="9"/>
      <c r="AM4177" s="9"/>
      <c r="AN4177" s="9"/>
      <c r="AO4177" s="9"/>
      <c r="AP4177" s="9"/>
      <c r="AQ4177" s="9"/>
      <c r="AR4177" s="9"/>
      <c r="AS4177" s="9"/>
      <c r="AT4177" s="9"/>
      <c r="AU4177" s="9"/>
    </row>
    <row r="4178" spans="1:47" ht="15.75" customHeight="1">
      <c r="A4178" s="9"/>
      <c r="B4178" s="9"/>
      <c r="C4178" s="9"/>
      <c r="D4178" s="9"/>
      <c r="E4178" s="9"/>
      <c r="F4178" s="67"/>
      <c r="G4178" s="9"/>
      <c r="H4178" s="9"/>
      <c r="I4178" s="9"/>
      <c r="J4178" s="9"/>
      <c r="K4178" s="9"/>
      <c r="L4178" s="9"/>
      <c r="M4178" s="9"/>
      <c r="N4178" s="9"/>
      <c r="O4178" s="9"/>
      <c r="P4178" s="9"/>
      <c r="Q4178" s="9"/>
      <c r="R4178" s="9"/>
      <c r="S4178" s="9"/>
      <c r="T4178" s="9"/>
      <c r="U4178" s="9"/>
      <c r="V4178" s="9"/>
      <c r="W4178" s="9"/>
      <c r="X4178" s="9"/>
      <c r="Y4178" s="9"/>
      <c r="Z4178" s="9"/>
      <c r="AA4178" s="9"/>
      <c r="AB4178" s="9"/>
      <c r="AC4178" s="9"/>
      <c r="AD4178" s="9"/>
      <c r="AE4178" s="9"/>
      <c r="AF4178" s="9"/>
      <c r="AG4178" s="9"/>
      <c r="AH4178" s="9"/>
      <c r="AI4178" s="9"/>
      <c r="AJ4178" s="9"/>
      <c r="AK4178" s="9"/>
      <c r="AL4178" s="9"/>
      <c r="AM4178" s="9"/>
      <c r="AN4178" s="9"/>
      <c r="AO4178" s="9"/>
      <c r="AP4178" s="9"/>
      <c r="AQ4178" s="9"/>
      <c r="AR4178" s="9"/>
      <c r="AS4178" s="9"/>
      <c r="AT4178" s="9"/>
      <c r="AU4178" s="9"/>
    </row>
    <row r="4179" spans="1:47" ht="15.75" customHeight="1">
      <c r="A4179" s="9"/>
      <c r="B4179" s="9"/>
      <c r="C4179" s="9"/>
      <c r="D4179" s="9"/>
      <c r="E4179" s="9"/>
      <c r="F4179" s="67"/>
      <c r="G4179" s="9"/>
      <c r="H4179" s="9"/>
      <c r="I4179" s="9"/>
      <c r="J4179" s="9"/>
      <c r="K4179" s="9"/>
      <c r="L4179" s="9"/>
      <c r="M4179" s="9"/>
      <c r="N4179" s="9"/>
      <c r="O4179" s="9"/>
      <c r="P4179" s="9"/>
      <c r="Q4179" s="9"/>
      <c r="R4179" s="9"/>
      <c r="S4179" s="9"/>
      <c r="T4179" s="9"/>
      <c r="U4179" s="9"/>
      <c r="V4179" s="9"/>
      <c r="W4179" s="9"/>
      <c r="X4179" s="9"/>
      <c r="Y4179" s="9"/>
      <c r="Z4179" s="9"/>
      <c r="AA4179" s="9"/>
      <c r="AB4179" s="9"/>
      <c r="AC4179" s="9"/>
      <c r="AD4179" s="9"/>
      <c r="AE4179" s="9"/>
      <c r="AF4179" s="9"/>
      <c r="AG4179" s="9"/>
      <c r="AH4179" s="9"/>
      <c r="AI4179" s="9"/>
      <c r="AJ4179" s="9"/>
      <c r="AK4179" s="9"/>
      <c r="AL4179" s="9"/>
      <c r="AM4179" s="9"/>
      <c r="AN4179" s="9"/>
      <c r="AO4179" s="9"/>
      <c r="AP4179" s="9"/>
      <c r="AQ4179" s="9"/>
      <c r="AR4179" s="9"/>
      <c r="AS4179" s="9"/>
      <c r="AT4179" s="9"/>
      <c r="AU4179" s="9"/>
    </row>
    <row r="4180" spans="1:47" ht="15.75" customHeight="1">
      <c r="A4180" s="9"/>
      <c r="B4180" s="9"/>
      <c r="C4180" s="9"/>
      <c r="D4180" s="9"/>
      <c r="E4180" s="9"/>
      <c r="F4180" s="67"/>
      <c r="G4180" s="9"/>
      <c r="H4180" s="9"/>
      <c r="I4180" s="9"/>
      <c r="J4180" s="9"/>
      <c r="K4180" s="9"/>
      <c r="L4180" s="9"/>
      <c r="M4180" s="9"/>
      <c r="N4180" s="9"/>
      <c r="O4180" s="9"/>
      <c r="P4180" s="9"/>
      <c r="Q4180" s="9"/>
      <c r="R4180" s="9"/>
      <c r="S4180" s="9"/>
      <c r="T4180" s="9"/>
      <c r="U4180" s="9"/>
      <c r="V4180" s="9"/>
      <c r="W4180" s="9"/>
      <c r="X4180" s="9"/>
      <c r="Y4180" s="9"/>
      <c r="Z4180" s="9"/>
      <c r="AA4180" s="9"/>
      <c r="AB4180" s="9"/>
      <c r="AC4180" s="9"/>
      <c r="AD4180" s="9"/>
      <c r="AE4180" s="9"/>
      <c r="AF4180" s="9"/>
      <c r="AG4180" s="9"/>
      <c r="AH4180" s="9"/>
      <c r="AI4180" s="9"/>
      <c r="AJ4180" s="9"/>
      <c r="AK4180" s="9"/>
      <c r="AL4180" s="9"/>
      <c r="AM4180" s="9"/>
      <c r="AN4180" s="9"/>
      <c r="AO4180" s="9"/>
      <c r="AP4180" s="9"/>
      <c r="AQ4180" s="9"/>
      <c r="AR4180" s="9"/>
      <c r="AS4180" s="9"/>
      <c r="AT4180" s="9"/>
      <c r="AU4180" s="9"/>
    </row>
    <row r="4181" spans="1:47" ht="15.75" customHeight="1">
      <c r="A4181" s="9"/>
      <c r="B4181" s="9"/>
      <c r="C4181" s="9"/>
      <c r="D4181" s="9"/>
      <c r="E4181" s="9"/>
      <c r="F4181" s="67"/>
      <c r="G4181" s="9"/>
      <c r="H4181" s="9"/>
      <c r="I4181" s="9"/>
      <c r="J4181" s="9"/>
      <c r="K4181" s="9"/>
      <c r="L4181" s="9"/>
      <c r="M4181" s="9"/>
      <c r="N4181" s="9"/>
      <c r="O4181" s="9"/>
      <c r="P4181" s="9"/>
      <c r="Q4181" s="9"/>
      <c r="R4181" s="9"/>
      <c r="S4181" s="9"/>
      <c r="T4181" s="9"/>
      <c r="U4181" s="9"/>
      <c r="V4181" s="9"/>
      <c r="W4181" s="9"/>
      <c r="X4181" s="9"/>
      <c r="Y4181" s="9"/>
      <c r="Z4181" s="9"/>
      <c r="AA4181" s="9"/>
      <c r="AB4181" s="9"/>
      <c r="AC4181" s="9"/>
      <c r="AD4181" s="9"/>
      <c r="AE4181" s="9"/>
      <c r="AF4181" s="9"/>
      <c r="AG4181" s="9"/>
      <c r="AH4181" s="9"/>
      <c r="AI4181" s="9"/>
      <c r="AJ4181" s="9"/>
      <c r="AK4181" s="9"/>
      <c r="AL4181" s="9"/>
      <c r="AM4181" s="9"/>
      <c r="AN4181" s="9"/>
      <c r="AO4181" s="9"/>
      <c r="AP4181" s="9"/>
      <c r="AQ4181" s="9"/>
      <c r="AR4181" s="9"/>
      <c r="AS4181" s="9"/>
      <c r="AT4181" s="9"/>
      <c r="AU4181" s="9"/>
    </row>
    <row r="4182" spans="1:47" ht="15.75" customHeight="1">
      <c r="A4182" s="9"/>
      <c r="B4182" s="9"/>
      <c r="C4182" s="9"/>
      <c r="D4182" s="9"/>
      <c r="E4182" s="9"/>
      <c r="F4182" s="67"/>
      <c r="G4182" s="9"/>
      <c r="H4182" s="9"/>
      <c r="I4182" s="9"/>
      <c r="J4182" s="9"/>
      <c r="K4182" s="9"/>
      <c r="L4182" s="9"/>
      <c r="M4182" s="9"/>
      <c r="N4182" s="9"/>
      <c r="O4182" s="9"/>
      <c r="P4182" s="9"/>
      <c r="Q4182" s="9"/>
      <c r="R4182" s="9"/>
      <c r="S4182" s="9"/>
      <c r="T4182" s="9"/>
      <c r="U4182" s="9"/>
      <c r="V4182" s="9"/>
      <c r="W4182" s="9"/>
      <c r="X4182" s="9"/>
      <c r="Y4182" s="9"/>
      <c r="Z4182" s="9"/>
      <c r="AA4182" s="9"/>
      <c r="AB4182" s="9"/>
      <c r="AC4182" s="9"/>
      <c r="AD4182" s="9"/>
      <c r="AE4182" s="9"/>
      <c r="AF4182" s="9"/>
      <c r="AG4182" s="9"/>
      <c r="AH4182" s="9"/>
      <c r="AI4182" s="9"/>
      <c r="AJ4182" s="9"/>
      <c r="AK4182" s="9"/>
      <c r="AL4182" s="9"/>
      <c r="AM4182" s="9"/>
      <c r="AN4182" s="9"/>
      <c r="AO4182" s="9"/>
      <c r="AP4182" s="9"/>
      <c r="AQ4182" s="9"/>
      <c r="AR4182" s="9"/>
      <c r="AS4182" s="9"/>
      <c r="AT4182" s="9"/>
      <c r="AU4182" s="9"/>
    </row>
    <row r="4183" spans="1:47" ht="15.75" customHeight="1">
      <c r="A4183" s="9"/>
      <c r="B4183" s="9"/>
      <c r="C4183" s="9"/>
      <c r="D4183" s="9"/>
      <c r="E4183" s="9"/>
      <c r="F4183" s="67"/>
      <c r="G4183" s="9"/>
      <c r="H4183" s="9"/>
      <c r="I4183" s="9"/>
      <c r="J4183" s="9"/>
      <c r="K4183" s="9"/>
      <c r="L4183" s="9"/>
      <c r="M4183" s="9"/>
      <c r="N4183" s="9"/>
      <c r="O4183" s="9"/>
      <c r="P4183" s="9"/>
      <c r="Q4183" s="9"/>
      <c r="R4183" s="9"/>
      <c r="S4183" s="9"/>
      <c r="T4183" s="9"/>
      <c r="U4183" s="9"/>
      <c r="V4183" s="9"/>
      <c r="W4183" s="9"/>
      <c r="X4183" s="9"/>
      <c r="Y4183" s="9"/>
      <c r="Z4183" s="9"/>
      <c r="AA4183" s="9"/>
      <c r="AB4183" s="9"/>
      <c r="AC4183" s="9"/>
      <c r="AD4183" s="9"/>
      <c r="AE4183" s="9"/>
      <c r="AF4183" s="9"/>
      <c r="AG4183" s="9"/>
      <c r="AH4183" s="9"/>
      <c r="AI4183" s="9"/>
      <c r="AJ4183" s="9"/>
      <c r="AK4183" s="9"/>
      <c r="AL4183" s="9"/>
      <c r="AM4183" s="9"/>
      <c r="AN4183" s="9"/>
      <c r="AO4183" s="9"/>
      <c r="AP4183" s="9"/>
      <c r="AQ4183" s="9"/>
      <c r="AR4183" s="9"/>
      <c r="AS4183" s="9"/>
      <c r="AT4183" s="9"/>
      <c r="AU4183" s="9"/>
    </row>
    <row r="4184" spans="1:47" ht="15.75" customHeight="1">
      <c r="A4184" s="9"/>
      <c r="B4184" s="9"/>
      <c r="C4184" s="9"/>
      <c r="D4184" s="9"/>
      <c r="E4184" s="9"/>
      <c r="F4184" s="67"/>
      <c r="G4184" s="9"/>
      <c r="H4184" s="9"/>
      <c r="I4184" s="9"/>
      <c r="J4184" s="9"/>
      <c r="K4184" s="9"/>
      <c r="L4184" s="9"/>
      <c r="M4184" s="9"/>
      <c r="N4184" s="9"/>
      <c r="O4184" s="9"/>
      <c r="P4184" s="9"/>
      <c r="Q4184" s="9"/>
      <c r="R4184" s="9"/>
      <c r="S4184" s="9"/>
      <c r="T4184" s="9"/>
      <c r="U4184" s="9"/>
      <c r="V4184" s="9"/>
      <c r="W4184" s="9"/>
      <c r="X4184" s="9"/>
      <c r="Y4184" s="9"/>
      <c r="Z4184" s="9"/>
      <c r="AA4184" s="9"/>
      <c r="AB4184" s="9"/>
      <c r="AC4184" s="9"/>
      <c r="AD4184" s="9"/>
      <c r="AE4184" s="9"/>
      <c r="AF4184" s="9"/>
      <c r="AG4184" s="9"/>
      <c r="AH4184" s="9"/>
      <c r="AI4184" s="9"/>
      <c r="AJ4184" s="9"/>
      <c r="AK4184" s="9"/>
      <c r="AL4184" s="9"/>
      <c r="AM4184" s="9"/>
      <c r="AN4184" s="9"/>
      <c r="AO4184" s="9"/>
      <c r="AP4184" s="9"/>
      <c r="AQ4184" s="9"/>
      <c r="AR4184" s="9"/>
      <c r="AS4184" s="9"/>
      <c r="AT4184" s="9"/>
      <c r="AU4184" s="9"/>
    </row>
    <row r="4185" spans="1:47" ht="15.75" customHeight="1">
      <c r="A4185" s="9"/>
      <c r="B4185" s="9"/>
      <c r="C4185" s="9"/>
      <c r="D4185" s="9"/>
      <c r="E4185" s="9"/>
      <c r="F4185" s="67"/>
      <c r="G4185" s="9"/>
      <c r="H4185" s="9"/>
      <c r="I4185" s="9"/>
      <c r="J4185" s="9"/>
      <c r="K4185" s="9"/>
      <c r="L4185" s="9"/>
      <c r="M4185" s="9"/>
      <c r="N4185" s="9"/>
      <c r="O4185" s="9"/>
      <c r="P4185" s="9"/>
      <c r="Q4185" s="9"/>
      <c r="R4185" s="9"/>
      <c r="S4185" s="9"/>
      <c r="T4185" s="9"/>
      <c r="U4185" s="9"/>
      <c r="V4185" s="9"/>
      <c r="W4185" s="9"/>
      <c r="X4185" s="9"/>
      <c r="Y4185" s="9"/>
      <c r="Z4185" s="9"/>
      <c r="AA4185" s="9"/>
      <c r="AB4185" s="9"/>
      <c r="AC4185" s="9"/>
      <c r="AD4185" s="9"/>
      <c r="AE4185" s="9"/>
      <c r="AF4185" s="9"/>
      <c r="AG4185" s="9"/>
      <c r="AH4185" s="9"/>
      <c r="AI4185" s="9"/>
      <c r="AJ4185" s="9"/>
      <c r="AK4185" s="9"/>
      <c r="AL4185" s="9"/>
      <c r="AM4185" s="9"/>
      <c r="AN4185" s="9"/>
      <c r="AO4185" s="9"/>
      <c r="AP4185" s="9"/>
      <c r="AQ4185" s="9"/>
      <c r="AR4185" s="9"/>
      <c r="AS4185" s="9"/>
      <c r="AT4185" s="9"/>
      <c r="AU4185" s="9"/>
    </row>
    <row r="4186" spans="1:47" ht="15.75" customHeight="1">
      <c r="A4186" s="9"/>
      <c r="B4186" s="9"/>
      <c r="C4186" s="9"/>
      <c r="D4186" s="9"/>
      <c r="E4186" s="9"/>
      <c r="F4186" s="67"/>
      <c r="G4186" s="9"/>
      <c r="H4186" s="9"/>
      <c r="I4186" s="9"/>
      <c r="J4186" s="9"/>
      <c r="K4186" s="9"/>
      <c r="L4186" s="9"/>
      <c r="M4186" s="9"/>
      <c r="N4186" s="9"/>
      <c r="O4186" s="9"/>
      <c r="P4186" s="9"/>
      <c r="Q4186" s="9"/>
      <c r="R4186" s="9"/>
      <c r="S4186" s="9"/>
      <c r="T4186" s="9"/>
      <c r="U4186" s="9"/>
      <c r="V4186" s="9"/>
      <c r="W4186" s="9"/>
      <c r="X4186" s="9"/>
      <c r="Y4186" s="9"/>
      <c r="Z4186" s="9"/>
      <c r="AA4186" s="9"/>
      <c r="AB4186" s="9"/>
      <c r="AC4186" s="9"/>
      <c r="AD4186" s="9"/>
      <c r="AE4186" s="9"/>
      <c r="AF4186" s="9"/>
      <c r="AG4186" s="9"/>
      <c r="AH4186" s="9"/>
      <c r="AI4186" s="9"/>
      <c r="AJ4186" s="9"/>
      <c r="AK4186" s="9"/>
      <c r="AL4186" s="9"/>
      <c r="AM4186" s="9"/>
      <c r="AN4186" s="9"/>
      <c r="AO4186" s="9"/>
      <c r="AP4186" s="9"/>
      <c r="AQ4186" s="9"/>
      <c r="AR4186" s="9"/>
      <c r="AS4186" s="9"/>
      <c r="AT4186" s="9"/>
      <c r="AU4186" s="9"/>
    </row>
    <row r="4187" spans="1:47" ht="15.75" customHeight="1">
      <c r="A4187" s="9"/>
      <c r="B4187" s="9"/>
      <c r="C4187" s="9"/>
      <c r="D4187" s="9"/>
      <c r="E4187" s="9"/>
      <c r="F4187" s="67"/>
      <c r="G4187" s="9"/>
      <c r="H4187" s="9"/>
      <c r="I4187" s="9"/>
      <c r="J4187" s="9"/>
      <c r="K4187" s="9"/>
      <c r="L4187" s="9"/>
      <c r="M4187" s="9"/>
      <c r="N4187" s="9"/>
      <c r="O4187" s="9"/>
      <c r="P4187" s="9"/>
      <c r="Q4187" s="9"/>
      <c r="R4187" s="9"/>
      <c r="S4187" s="9"/>
      <c r="T4187" s="9"/>
      <c r="U4187" s="9"/>
      <c r="V4187" s="9"/>
      <c r="W4187" s="9"/>
      <c r="X4187" s="9"/>
      <c r="Y4187" s="9"/>
      <c r="Z4187" s="9"/>
      <c r="AA4187" s="9"/>
      <c r="AB4187" s="9"/>
      <c r="AC4187" s="9"/>
      <c r="AD4187" s="9"/>
      <c r="AE4187" s="9"/>
      <c r="AF4187" s="9"/>
      <c r="AG4187" s="9"/>
      <c r="AH4187" s="9"/>
      <c r="AI4187" s="9"/>
      <c r="AJ4187" s="9"/>
      <c r="AK4187" s="9"/>
      <c r="AL4187" s="9"/>
      <c r="AM4187" s="9"/>
      <c r="AN4187" s="9"/>
      <c r="AO4187" s="9"/>
      <c r="AP4187" s="9"/>
      <c r="AQ4187" s="9"/>
      <c r="AR4187" s="9"/>
      <c r="AS4187" s="9"/>
      <c r="AT4187" s="9"/>
      <c r="AU4187" s="9"/>
    </row>
    <row r="4188" spans="1:47" ht="15.75" customHeight="1">
      <c r="A4188" s="9"/>
      <c r="B4188" s="9"/>
      <c r="C4188" s="9"/>
      <c r="D4188" s="9"/>
      <c r="E4188" s="9"/>
      <c r="F4188" s="67"/>
      <c r="G4188" s="9"/>
      <c r="H4188" s="9"/>
      <c r="I4188" s="9"/>
      <c r="J4188" s="9"/>
      <c r="K4188" s="9"/>
      <c r="L4188" s="9"/>
      <c r="M4188" s="9"/>
      <c r="N4188" s="9"/>
      <c r="O4188" s="9"/>
      <c r="P4188" s="9"/>
      <c r="Q4188" s="9"/>
      <c r="R4188" s="9"/>
      <c r="S4188" s="9"/>
      <c r="T4188" s="9"/>
      <c r="U4188" s="9"/>
      <c r="V4188" s="9"/>
      <c r="W4188" s="9"/>
      <c r="X4188" s="9"/>
      <c r="Y4188" s="9"/>
      <c r="Z4188" s="9"/>
      <c r="AA4188" s="9"/>
      <c r="AB4188" s="9"/>
      <c r="AC4188" s="9"/>
      <c r="AD4188" s="9"/>
      <c r="AE4188" s="9"/>
      <c r="AF4188" s="9"/>
      <c r="AG4188" s="9"/>
      <c r="AH4188" s="9"/>
      <c r="AI4188" s="9"/>
      <c r="AJ4188" s="9"/>
      <c r="AK4188" s="9"/>
      <c r="AL4188" s="9"/>
      <c r="AM4188" s="9"/>
      <c r="AN4188" s="9"/>
      <c r="AO4188" s="9"/>
      <c r="AP4188" s="9"/>
      <c r="AQ4188" s="9"/>
      <c r="AR4188" s="9"/>
      <c r="AS4188" s="9"/>
      <c r="AT4188" s="9"/>
      <c r="AU4188" s="9"/>
    </row>
    <row r="4189" spans="1:47" ht="15.75" customHeight="1">
      <c r="A4189" s="9"/>
      <c r="B4189" s="9"/>
      <c r="C4189" s="9"/>
      <c r="D4189" s="9"/>
      <c r="E4189" s="9"/>
      <c r="F4189" s="67"/>
      <c r="G4189" s="9"/>
      <c r="H4189" s="9"/>
      <c r="I4189" s="9"/>
      <c r="J4189" s="9"/>
      <c r="K4189" s="9"/>
      <c r="L4189" s="9"/>
      <c r="M4189" s="9"/>
      <c r="N4189" s="9"/>
      <c r="O4189" s="9"/>
      <c r="P4189" s="9"/>
      <c r="Q4189" s="9"/>
      <c r="R4189" s="9"/>
      <c r="S4189" s="9"/>
      <c r="T4189" s="9"/>
      <c r="U4189" s="9"/>
      <c r="V4189" s="9"/>
      <c r="W4189" s="9"/>
      <c r="X4189" s="9"/>
      <c r="Y4189" s="9"/>
      <c r="Z4189" s="9"/>
      <c r="AA4189" s="9"/>
      <c r="AB4189" s="9"/>
      <c r="AC4189" s="9"/>
      <c r="AD4189" s="9"/>
      <c r="AE4189" s="9"/>
      <c r="AF4189" s="9"/>
      <c r="AG4189" s="9"/>
      <c r="AH4189" s="9"/>
      <c r="AI4189" s="9"/>
      <c r="AJ4189" s="9"/>
      <c r="AK4189" s="9"/>
      <c r="AL4189" s="9"/>
      <c r="AM4189" s="9"/>
      <c r="AN4189" s="9"/>
      <c r="AO4189" s="9"/>
      <c r="AP4189" s="9"/>
      <c r="AQ4189" s="9"/>
      <c r="AR4189" s="9"/>
      <c r="AS4189" s="9"/>
      <c r="AT4189" s="9"/>
      <c r="AU4189" s="9"/>
    </row>
    <row r="4190" spans="1:47" ht="15.75" customHeight="1">
      <c r="A4190" s="9"/>
      <c r="B4190" s="9"/>
      <c r="C4190" s="9"/>
      <c r="D4190" s="9"/>
      <c r="E4190" s="9"/>
      <c r="F4190" s="67"/>
      <c r="G4190" s="9"/>
      <c r="H4190" s="9"/>
      <c r="I4190" s="9"/>
      <c r="J4190" s="9"/>
      <c r="K4190" s="9"/>
      <c r="L4190" s="9"/>
      <c r="M4190" s="9"/>
      <c r="N4190" s="9"/>
      <c r="O4190" s="9"/>
      <c r="P4190" s="9"/>
      <c r="Q4190" s="9"/>
      <c r="R4190" s="9"/>
      <c r="S4190" s="9"/>
      <c r="T4190" s="9"/>
      <c r="U4190" s="9"/>
      <c r="V4190" s="9"/>
      <c r="W4190" s="9"/>
      <c r="X4190" s="9"/>
      <c r="Y4190" s="9"/>
      <c r="Z4190" s="9"/>
      <c r="AA4190" s="9"/>
      <c r="AB4190" s="9"/>
      <c r="AC4190" s="9"/>
      <c r="AD4190" s="9"/>
      <c r="AE4190" s="9"/>
      <c r="AF4190" s="9"/>
      <c r="AG4190" s="9"/>
      <c r="AH4190" s="9"/>
      <c r="AI4190" s="9"/>
      <c r="AJ4190" s="9"/>
      <c r="AK4190" s="9"/>
      <c r="AL4190" s="9"/>
      <c r="AM4190" s="9"/>
      <c r="AN4190" s="9"/>
      <c r="AO4190" s="9"/>
      <c r="AP4190" s="9"/>
      <c r="AQ4190" s="9"/>
      <c r="AR4190" s="9"/>
      <c r="AS4190" s="9"/>
      <c r="AT4190" s="9"/>
      <c r="AU4190" s="9"/>
    </row>
    <row r="4191" spans="1:47" ht="15.75" customHeight="1">
      <c r="A4191" s="9"/>
      <c r="B4191" s="9"/>
      <c r="C4191" s="9"/>
      <c r="D4191" s="9"/>
      <c r="E4191" s="9"/>
      <c r="F4191" s="67"/>
      <c r="G4191" s="9"/>
      <c r="H4191" s="9"/>
      <c r="I4191" s="9"/>
      <c r="J4191" s="9"/>
      <c r="K4191" s="9"/>
      <c r="L4191" s="9"/>
      <c r="M4191" s="9"/>
      <c r="N4191" s="9"/>
      <c r="O4191" s="9"/>
      <c r="P4191" s="9"/>
      <c r="Q4191" s="9"/>
      <c r="R4191" s="9"/>
      <c r="S4191" s="9"/>
      <c r="T4191" s="9"/>
      <c r="U4191" s="9"/>
      <c r="V4191" s="9"/>
      <c r="W4191" s="9"/>
      <c r="X4191" s="9"/>
      <c r="Y4191" s="9"/>
      <c r="Z4191" s="9"/>
      <c r="AA4191" s="9"/>
      <c r="AB4191" s="9"/>
      <c r="AC4191" s="9"/>
      <c r="AD4191" s="9"/>
      <c r="AE4191" s="9"/>
      <c r="AF4191" s="9"/>
      <c r="AG4191" s="9"/>
      <c r="AH4191" s="9"/>
      <c r="AI4191" s="9"/>
      <c r="AJ4191" s="9"/>
      <c r="AK4191" s="9"/>
      <c r="AL4191" s="9"/>
      <c r="AM4191" s="9"/>
      <c r="AN4191" s="9"/>
      <c r="AO4191" s="9"/>
      <c r="AP4191" s="9"/>
      <c r="AQ4191" s="9"/>
      <c r="AR4191" s="9"/>
      <c r="AS4191" s="9"/>
      <c r="AT4191" s="9"/>
      <c r="AU4191" s="9"/>
    </row>
    <row r="4192" spans="1:47" ht="15.75" customHeight="1">
      <c r="A4192" s="9"/>
      <c r="B4192" s="9"/>
      <c r="C4192" s="9"/>
      <c r="D4192" s="9"/>
      <c r="E4192" s="9"/>
      <c r="F4192" s="67"/>
      <c r="G4192" s="9"/>
      <c r="H4192" s="9"/>
      <c r="I4192" s="9"/>
      <c r="J4192" s="9"/>
      <c r="K4192" s="9"/>
      <c r="L4192" s="9"/>
      <c r="M4192" s="9"/>
      <c r="N4192" s="9"/>
      <c r="O4192" s="9"/>
      <c r="P4192" s="9"/>
      <c r="Q4192" s="9"/>
      <c r="R4192" s="9"/>
      <c r="S4192" s="9"/>
      <c r="T4192" s="9"/>
      <c r="U4192" s="9"/>
      <c r="V4192" s="9"/>
      <c r="W4192" s="9"/>
      <c r="X4192" s="9"/>
      <c r="Y4192" s="9"/>
      <c r="Z4192" s="9"/>
      <c r="AA4192" s="9"/>
      <c r="AB4192" s="9"/>
      <c r="AC4192" s="9"/>
      <c r="AD4192" s="9"/>
      <c r="AE4192" s="9"/>
      <c r="AF4192" s="9"/>
      <c r="AG4192" s="9"/>
      <c r="AH4192" s="9"/>
      <c r="AI4192" s="9"/>
      <c r="AJ4192" s="9"/>
      <c r="AK4192" s="9"/>
      <c r="AL4192" s="9"/>
      <c r="AM4192" s="9"/>
      <c r="AN4192" s="9"/>
      <c r="AO4192" s="9"/>
      <c r="AP4192" s="9"/>
      <c r="AQ4192" s="9"/>
      <c r="AR4192" s="9"/>
      <c r="AS4192" s="9"/>
      <c r="AT4192" s="9"/>
      <c r="AU4192" s="9"/>
    </row>
    <row r="4193" spans="1:47" ht="15.75" customHeight="1">
      <c r="A4193" s="9"/>
      <c r="B4193" s="9"/>
      <c r="C4193" s="9"/>
      <c r="D4193" s="9"/>
      <c r="E4193" s="9"/>
      <c r="F4193" s="67"/>
      <c r="G4193" s="9"/>
      <c r="H4193" s="9"/>
      <c r="I4193" s="9"/>
      <c r="J4193" s="9"/>
      <c r="K4193" s="9"/>
      <c r="L4193" s="9"/>
      <c r="M4193" s="9"/>
      <c r="N4193" s="9"/>
      <c r="O4193" s="9"/>
      <c r="P4193" s="9"/>
      <c r="Q4193" s="9"/>
      <c r="R4193" s="9"/>
      <c r="S4193" s="9"/>
      <c r="T4193" s="9"/>
      <c r="U4193" s="9"/>
      <c r="V4193" s="9"/>
      <c r="W4193" s="9"/>
      <c r="X4193" s="9"/>
      <c r="Y4193" s="9"/>
      <c r="Z4193" s="9"/>
      <c r="AA4193" s="9"/>
      <c r="AB4193" s="9"/>
      <c r="AC4193" s="9"/>
      <c r="AD4193" s="9"/>
      <c r="AE4193" s="9"/>
      <c r="AF4193" s="9"/>
      <c r="AG4193" s="9"/>
      <c r="AH4193" s="9"/>
      <c r="AI4193" s="9"/>
      <c r="AJ4193" s="9"/>
      <c r="AK4193" s="9"/>
      <c r="AL4193" s="9"/>
      <c r="AM4193" s="9"/>
      <c r="AN4193" s="9"/>
      <c r="AO4193" s="9"/>
      <c r="AP4193" s="9"/>
      <c r="AQ4193" s="9"/>
      <c r="AR4193" s="9"/>
      <c r="AS4193" s="9"/>
      <c r="AT4193" s="9"/>
      <c r="AU4193" s="9"/>
    </row>
    <row r="4194" spans="1:47" ht="15.75" customHeight="1">
      <c r="A4194" s="9"/>
      <c r="B4194" s="9"/>
      <c r="C4194" s="9"/>
      <c r="D4194" s="9"/>
      <c r="E4194" s="9"/>
      <c r="F4194" s="67"/>
      <c r="G4194" s="9"/>
      <c r="H4194" s="9"/>
      <c r="I4194" s="9"/>
      <c r="J4194" s="9"/>
      <c r="K4194" s="9"/>
      <c r="L4194" s="9"/>
      <c r="M4194" s="9"/>
      <c r="N4194" s="9"/>
      <c r="O4194" s="9"/>
      <c r="P4194" s="9"/>
      <c r="Q4194" s="9"/>
      <c r="R4194" s="9"/>
      <c r="S4194" s="9"/>
      <c r="T4194" s="9"/>
      <c r="U4194" s="9"/>
      <c r="V4194" s="9"/>
      <c r="W4194" s="9"/>
      <c r="X4194" s="9"/>
      <c r="Y4194" s="9"/>
      <c r="Z4194" s="9"/>
      <c r="AA4194" s="9"/>
      <c r="AB4194" s="9"/>
      <c r="AC4194" s="9"/>
      <c r="AD4194" s="9"/>
      <c r="AE4194" s="9"/>
      <c r="AF4194" s="9"/>
      <c r="AG4194" s="9"/>
      <c r="AH4194" s="9"/>
      <c r="AI4194" s="9"/>
      <c r="AJ4194" s="9"/>
      <c r="AK4194" s="9"/>
      <c r="AL4194" s="9"/>
      <c r="AM4194" s="9"/>
      <c r="AN4194" s="9"/>
      <c r="AO4194" s="9"/>
      <c r="AP4194" s="9"/>
      <c r="AQ4194" s="9"/>
      <c r="AR4194" s="9"/>
      <c r="AS4194" s="9"/>
      <c r="AT4194" s="9"/>
      <c r="AU4194" s="9"/>
    </row>
    <row r="4195" spans="1:47" ht="15.75" customHeight="1">
      <c r="A4195" s="9"/>
      <c r="B4195" s="9"/>
      <c r="C4195" s="9"/>
      <c r="D4195" s="9"/>
      <c r="E4195" s="9"/>
      <c r="F4195" s="67"/>
      <c r="G4195" s="9"/>
      <c r="H4195" s="9"/>
      <c r="I4195" s="9"/>
      <c r="J4195" s="9"/>
      <c r="K4195" s="9"/>
      <c r="L4195" s="9"/>
      <c r="M4195" s="9"/>
      <c r="N4195" s="9"/>
      <c r="O4195" s="9"/>
      <c r="P4195" s="9"/>
      <c r="Q4195" s="9"/>
      <c r="R4195" s="9"/>
      <c r="S4195" s="9"/>
      <c r="T4195" s="9"/>
      <c r="U4195" s="9"/>
      <c r="V4195" s="9"/>
      <c r="W4195" s="9"/>
      <c r="X4195" s="9"/>
      <c r="Y4195" s="9"/>
      <c r="Z4195" s="9"/>
      <c r="AA4195" s="9"/>
      <c r="AB4195" s="9"/>
      <c r="AC4195" s="9"/>
      <c r="AD4195" s="9"/>
      <c r="AE4195" s="9"/>
      <c r="AF4195" s="9"/>
      <c r="AG4195" s="9"/>
      <c r="AH4195" s="9"/>
      <c r="AI4195" s="9"/>
      <c r="AJ4195" s="9"/>
      <c r="AK4195" s="9"/>
      <c r="AL4195" s="9"/>
      <c r="AM4195" s="9"/>
      <c r="AN4195" s="9"/>
      <c r="AO4195" s="9"/>
      <c r="AP4195" s="9"/>
      <c r="AQ4195" s="9"/>
      <c r="AR4195" s="9"/>
      <c r="AS4195" s="9"/>
      <c r="AT4195" s="9"/>
      <c r="AU4195" s="9"/>
    </row>
    <row r="4196" spans="1:47" ht="15.75" customHeight="1">
      <c r="A4196" s="9"/>
      <c r="B4196" s="9"/>
      <c r="C4196" s="9"/>
      <c r="D4196" s="9"/>
      <c r="E4196" s="9"/>
      <c r="F4196" s="67"/>
      <c r="G4196" s="9"/>
      <c r="H4196" s="9"/>
      <c r="I4196" s="9"/>
      <c r="J4196" s="9"/>
      <c r="K4196" s="9"/>
      <c r="L4196" s="9"/>
      <c r="M4196" s="9"/>
      <c r="N4196" s="9"/>
      <c r="O4196" s="9"/>
      <c r="P4196" s="9"/>
      <c r="Q4196" s="9"/>
      <c r="R4196" s="9"/>
      <c r="S4196" s="9"/>
      <c r="T4196" s="9"/>
      <c r="U4196" s="9"/>
      <c r="V4196" s="9"/>
      <c r="W4196" s="9"/>
      <c r="X4196" s="9"/>
      <c r="Y4196" s="9"/>
      <c r="Z4196" s="9"/>
      <c r="AA4196" s="9"/>
      <c r="AB4196" s="9"/>
      <c r="AC4196" s="9"/>
      <c r="AD4196" s="9"/>
      <c r="AE4196" s="9"/>
      <c r="AF4196" s="9"/>
      <c r="AG4196" s="9"/>
      <c r="AH4196" s="9"/>
      <c r="AI4196" s="9"/>
      <c r="AJ4196" s="9"/>
      <c r="AK4196" s="9"/>
      <c r="AL4196" s="9"/>
      <c r="AM4196" s="9"/>
      <c r="AN4196" s="9"/>
      <c r="AO4196" s="9"/>
      <c r="AP4196" s="9"/>
      <c r="AQ4196" s="9"/>
      <c r="AR4196" s="9"/>
      <c r="AS4196" s="9"/>
      <c r="AT4196" s="9"/>
      <c r="AU4196" s="9"/>
    </row>
    <row r="4197" spans="1:47" ht="15.75" customHeight="1">
      <c r="A4197" s="9"/>
      <c r="B4197" s="9"/>
      <c r="C4197" s="9"/>
      <c r="D4197" s="9"/>
      <c r="E4197" s="9"/>
      <c r="F4197" s="67"/>
      <c r="G4197" s="9"/>
      <c r="H4197" s="9"/>
      <c r="I4197" s="9"/>
      <c r="J4197" s="9"/>
      <c r="K4197" s="9"/>
      <c r="L4197" s="9"/>
      <c r="M4197" s="9"/>
      <c r="N4197" s="9"/>
      <c r="O4197" s="9"/>
      <c r="P4197" s="9"/>
      <c r="Q4197" s="9"/>
      <c r="R4197" s="9"/>
      <c r="S4197" s="9"/>
      <c r="T4197" s="9"/>
      <c r="U4197" s="9"/>
      <c r="V4197" s="9"/>
      <c r="W4197" s="9"/>
      <c r="X4197" s="9"/>
      <c r="Y4197" s="9"/>
      <c r="Z4197" s="9"/>
      <c r="AA4197" s="9"/>
      <c r="AB4197" s="9"/>
      <c r="AC4197" s="9"/>
      <c r="AD4197" s="9"/>
      <c r="AE4197" s="9"/>
      <c r="AF4197" s="9"/>
      <c r="AG4197" s="9"/>
      <c r="AH4197" s="9"/>
      <c r="AI4197" s="9"/>
      <c r="AJ4197" s="9"/>
      <c r="AK4197" s="9"/>
      <c r="AL4197" s="9"/>
      <c r="AM4197" s="9"/>
      <c r="AN4197" s="9"/>
      <c r="AO4197" s="9"/>
      <c r="AP4197" s="9"/>
      <c r="AQ4197" s="9"/>
      <c r="AR4197" s="9"/>
      <c r="AS4197" s="9"/>
      <c r="AT4197" s="9"/>
      <c r="AU4197" s="9"/>
    </row>
    <row r="4198" spans="1:47" ht="15.75" customHeight="1">
      <c r="A4198" s="9"/>
      <c r="B4198" s="9"/>
      <c r="C4198" s="9"/>
      <c r="D4198" s="9"/>
      <c r="E4198" s="9"/>
      <c r="F4198" s="67"/>
      <c r="G4198" s="9"/>
      <c r="H4198" s="9"/>
      <c r="I4198" s="9"/>
      <c r="J4198" s="9"/>
      <c r="K4198" s="9"/>
      <c r="L4198" s="9"/>
      <c r="M4198" s="9"/>
      <c r="N4198" s="9"/>
      <c r="O4198" s="9"/>
      <c r="P4198" s="9"/>
      <c r="Q4198" s="9"/>
      <c r="R4198" s="9"/>
      <c r="S4198" s="9"/>
      <c r="T4198" s="9"/>
      <c r="U4198" s="9"/>
      <c r="V4198" s="9"/>
      <c r="W4198" s="9"/>
      <c r="X4198" s="9"/>
      <c r="Y4198" s="9"/>
      <c r="Z4198" s="9"/>
      <c r="AA4198" s="9"/>
      <c r="AB4198" s="9"/>
      <c r="AC4198" s="9"/>
      <c r="AD4198" s="9"/>
      <c r="AE4198" s="9"/>
      <c r="AF4198" s="9"/>
      <c r="AG4198" s="9"/>
      <c r="AH4198" s="9"/>
      <c r="AI4198" s="9"/>
      <c r="AJ4198" s="9"/>
      <c r="AK4198" s="9"/>
      <c r="AL4198" s="9"/>
      <c r="AM4198" s="9"/>
      <c r="AN4198" s="9"/>
      <c r="AO4198" s="9"/>
      <c r="AP4198" s="9"/>
      <c r="AQ4198" s="9"/>
      <c r="AR4198" s="9"/>
      <c r="AS4198" s="9"/>
      <c r="AT4198" s="9"/>
      <c r="AU4198" s="9"/>
    </row>
    <row r="4199" spans="1:47" ht="15.75" customHeight="1">
      <c r="A4199" s="9"/>
      <c r="B4199" s="9"/>
      <c r="C4199" s="9"/>
      <c r="D4199" s="9"/>
      <c r="E4199" s="9"/>
      <c r="F4199" s="67"/>
      <c r="G4199" s="9"/>
      <c r="H4199" s="9"/>
      <c r="I4199" s="9"/>
      <c r="J4199" s="9"/>
      <c r="K4199" s="9"/>
      <c r="L4199" s="9"/>
      <c r="M4199" s="9"/>
      <c r="N4199" s="9"/>
      <c r="O4199" s="9"/>
      <c r="P4199" s="9"/>
      <c r="Q4199" s="9"/>
      <c r="R4199" s="9"/>
      <c r="S4199" s="9"/>
      <c r="T4199" s="9"/>
      <c r="U4199" s="9"/>
      <c r="V4199" s="9"/>
      <c r="W4199" s="9"/>
      <c r="X4199" s="9"/>
      <c r="Y4199" s="9"/>
      <c r="Z4199" s="9"/>
      <c r="AA4199" s="9"/>
      <c r="AB4199" s="9"/>
      <c r="AC4199" s="9"/>
      <c r="AD4199" s="9"/>
      <c r="AE4199" s="9"/>
      <c r="AF4199" s="9"/>
      <c r="AG4199" s="9"/>
      <c r="AH4199" s="9"/>
      <c r="AI4199" s="9"/>
      <c r="AJ4199" s="9"/>
      <c r="AK4199" s="9"/>
      <c r="AL4199" s="9"/>
      <c r="AM4199" s="9"/>
      <c r="AN4199" s="9"/>
      <c r="AO4199" s="9"/>
      <c r="AP4199" s="9"/>
      <c r="AQ4199" s="9"/>
      <c r="AR4199" s="9"/>
      <c r="AS4199" s="9"/>
      <c r="AT4199" s="9"/>
      <c r="AU4199" s="9"/>
    </row>
    <row r="4200" spans="1:47" ht="15.75" customHeight="1">
      <c r="A4200" s="9"/>
      <c r="B4200" s="9"/>
      <c r="C4200" s="9"/>
      <c r="D4200" s="9"/>
      <c r="E4200" s="9"/>
      <c r="F4200" s="67"/>
      <c r="G4200" s="9"/>
      <c r="H4200" s="9"/>
      <c r="I4200" s="9"/>
      <c r="J4200" s="9"/>
      <c r="K4200" s="9"/>
      <c r="L4200" s="9"/>
      <c r="M4200" s="9"/>
      <c r="N4200" s="9"/>
      <c r="O4200" s="9"/>
      <c r="P4200" s="9"/>
      <c r="Q4200" s="9"/>
      <c r="R4200" s="9"/>
      <c r="S4200" s="9"/>
      <c r="T4200" s="9"/>
      <c r="U4200" s="9"/>
      <c r="V4200" s="9"/>
      <c r="W4200" s="9"/>
      <c r="X4200" s="9"/>
      <c r="Y4200" s="9"/>
      <c r="Z4200" s="9"/>
      <c r="AA4200" s="9"/>
      <c r="AB4200" s="9"/>
      <c r="AC4200" s="9"/>
      <c r="AD4200" s="9"/>
      <c r="AE4200" s="9"/>
      <c r="AF4200" s="9"/>
      <c r="AG4200" s="9"/>
      <c r="AH4200" s="9"/>
      <c r="AI4200" s="9"/>
      <c r="AJ4200" s="9"/>
      <c r="AK4200" s="9"/>
      <c r="AL4200" s="9"/>
      <c r="AM4200" s="9"/>
      <c r="AN4200" s="9"/>
      <c r="AO4200" s="9"/>
      <c r="AP4200" s="9"/>
      <c r="AQ4200" s="9"/>
      <c r="AR4200" s="9"/>
      <c r="AS4200" s="9"/>
      <c r="AT4200" s="9"/>
      <c r="AU4200" s="9"/>
    </row>
    <row r="4201" spans="1:47" ht="15.75" customHeight="1">
      <c r="A4201" s="9"/>
      <c r="B4201" s="9"/>
      <c r="C4201" s="9"/>
      <c r="D4201" s="9"/>
      <c r="E4201" s="9"/>
      <c r="F4201" s="67"/>
      <c r="G4201" s="9"/>
      <c r="H4201" s="9"/>
      <c r="I4201" s="9"/>
      <c r="J4201" s="9"/>
      <c r="K4201" s="9"/>
      <c r="L4201" s="9"/>
      <c r="M4201" s="9"/>
      <c r="N4201" s="9"/>
      <c r="O4201" s="9"/>
      <c r="P4201" s="9"/>
      <c r="Q4201" s="9"/>
      <c r="R4201" s="9"/>
      <c r="S4201" s="9"/>
      <c r="T4201" s="9"/>
      <c r="U4201" s="9"/>
      <c r="V4201" s="9"/>
      <c r="W4201" s="9"/>
      <c r="X4201" s="9"/>
      <c r="Y4201" s="9"/>
      <c r="Z4201" s="9"/>
      <c r="AA4201" s="9"/>
      <c r="AB4201" s="9"/>
      <c r="AC4201" s="9"/>
      <c r="AD4201" s="9"/>
      <c r="AE4201" s="9"/>
      <c r="AF4201" s="9"/>
      <c r="AG4201" s="9"/>
      <c r="AH4201" s="9"/>
      <c r="AI4201" s="9"/>
      <c r="AJ4201" s="9"/>
      <c r="AK4201" s="9"/>
      <c r="AL4201" s="9"/>
      <c r="AM4201" s="9"/>
      <c r="AN4201" s="9"/>
      <c r="AO4201" s="9"/>
      <c r="AP4201" s="9"/>
      <c r="AQ4201" s="9"/>
      <c r="AR4201" s="9"/>
      <c r="AS4201" s="9"/>
      <c r="AT4201" s="9"/>
      <c r="AU4201" s="9"/>
    </row>
    <row r="4202" spans="1:47" ht="15.75" customHeight="1">
      <c r="A4202" s="9"/>
      <c r="B4202" s="9"/>
      <c r="C4202" s="9"/>
      <c r="D4202" s="9"/>
      <c r="E4202" s="9"/>
      <c r="F4202" s="67"/>
      <c r="G4202" s="9"/>
      <c r="H4202" s="9"/>
      <c r="I4202" s="9"/>
      <c r="J4202" s="9"/>
      <c r="K4202" s="9"/>
      <c r="L4202" s="9"/>
      <c r="M4202" s="9"/>
      <c r="N4202" s="9"/>
      <c r="O4202" s="9"/>
      <c r="P4202" s="9"/>
      <c r="Q4202" s="9"/>
      <c r="R4202" s="9"/>
      <c r="S4202" s="9"/>
      <c r="T4202" s="9"/>
      <c r="U4202" s="9"/>
      <c r="V4202" s="9"/>
      <c r="W4202" s="9"/>
      <c r="X4202" s="9"/>
      <c r="Y4202" s="9"/>
      <c r="Z4202" s="9"/>
      <c r="AA4202" s="9"/>
      <c r="AB4202" s="9"/>
      <c r="AC4202" s="9"/>
      <c r="AD4202" s="9"/>
      <c r="AE4202" s="9"/>
      <c r="AF4202" s="9"/>
      <c r="AG4202" s="9"/>
      <c r="AH4202" s="9"/>
      <c r="AI4202" s="9"/>
      <c r="AJ4202" s="9"/>
      <c r="AK4202" s="9"/>
      <c r="AL4202" s="9"/>
      <c r="AM4202" s="9"/>
      <c r="AN4202" s="9"/>
      <c r="AO4202" s="9"/>
      <c r="AP4202" s="9"/>
      <c r="AQ4202" s="9"/>
      <c r="AR4202" s="9"/>
      <c r="AS4202" s="9"/>
      <c r="AT4202" s="9"/>
      <c r="AU4202" s="9"/>
    </row>
    <row r="4203" spans="1:47" ht="15.75" customHeight="1">
      <c r="A4203" s="9"/>
      <c r="B4203" s="9"/>
      <c r="C4203" s="9"/>
      <c r="D4203" s="9"/>
      <c r="E4203" s="9"/>
      <c r="F4203" s="67"/>
      <c r="G4203" s="9"/>
      <c r="H4203" s="9"/>
      <c r="I4203" s="9"/>
      <c r="J4203" s="9"/>
      <c r="K4203" s="9"/>
      <c r="L4203" s="9"/>
      <c r="M4203" s="9"/>
      <c r="N4203" s="9"/>
      <c r="O4203" s="9"/>
      <c r="P4203" s="9"/>
      <c r="Q4203" s="9"/>
      <c r="R4203" s="9"/>
      <c r="S4203" s="9"/>
      <c r="T4203" s="9"/>
      <c r="U4203" s="9"/>
      <c r="V4203" s="9"/>
      <c r="W4203" s="9"/>
      <c r="X4203" s="9"/>
      <c r="Y4203" s="9"/>
      <c r="Z4203" s="9"/>
      <c r="AA4203" s="9"/>
      <c r="AB4203" s="9"/>
      <c r="AC4203" s="9"/>
      <c r="AD4203" s="9"/>
      <c r="AE4203" s="9"/>
      <c r="AF4203" s="9"/>
      <c r="AG4203" s="9"/>
      <c r="AH4203" s="9"/>
      <c r="AI4203" s="9"/>
      <c r="AJ4203" s="9"/>
      <c r="AK4203" s="9"/>
      <c r="AL4203" s="9"/>
      <c r="AM4203" s="9"/>
      <c r="AN4203" s="9"/>
      <c r="AO4203" s="9"/>
      <c r="AP4203" s="9"/>
      <c r="AQ4203" s="9"/>
      <c r="AR4203" s="9"/>
      <c r="AS4203" s="9"/>
      <c r="AT4203" s="9"/>
      <c r="AU4203" s="9"/>
    </row>
    <row r="4204" spans="1:47" ht="15.75" customHeight="1">
      <c r="A4204" s="9"/>
      <c r="B4204" s="9"/>
      <c r="C4204" s="9"/>
      <c r="D4204" s="9"/>
      <c r="E4204" s="9"/>
      <c r="F4204" s="67"/>
      <c r="G4204" s="9"/>
      <c r="H4204" s="9"/>
      <c r="I4204" s="9"/>
      <c r="J4204" s="9"/>
      <c r="K4204" s="9"/>
      <c r="L4204" s="9"/>
      <c r="M4204" s="9"/>
      <c r="N4204" s="9"/>
      <c r="O4204" s="9"/>
      <c r="P4204" s="9"/>
      <c r="Q4204" s="9"/>
      <c r="R4204" s="9"/>
      <c r="S4204" s="9"/>
      <c r="T4204" s="9"/>
      <c r="U4204" s="9"/>
      <c r="V4204" s="9"/>
      <c r="W4204" s="9"/>
      <c r="X4204" s="9"/>
      <c r="Y4204" s="9"/>
      <c r="Z4204" s="9"/>
      <c r="AA4204" s="9"/>
      <c r="AB4204" s="9"/>
      <c r="AC4204" s="9"/>
      <c r="AD4204" s="9"/>
      <c r="AE4204" s="9"/>
      <c r="AF4204" s="9"/>
      <c r="AG4204" s="9"/>
      <c r="AH4204" s="9"/>
      <c r="AI4204" s="9"/>
      <c r="AJ4204" s="9"/>
      <c r="AK4204" s="9"/>
      <c r="AL4204" s="9"/>
      <c r="AM4204" s="9"/>
      <c r="AN4204" s="9"/>
      <c r="AO4204" s="9"/>
      <c r="AP4204" s="9"/>
      <c r="AQ4204" s="9"/>
      <c r="AR4204" s="9"/>
      <c r="AS4204" s="9"/>
      <c r="AT4204" s="9"/>
      <c r="AU4204" s="9"/>
    </row>
    <row r="4205" spans="1:47" ht="15.75" customHeight="1">
      <c r="A4205" s="9"/>
      <c r="B4205" s="9"/>
      <c r="C4205" s="9"/>
      <c r="D4205" s="9"/>
      <c r="E4205" s="9"/>
      <c r="F4205" s="67"/>
      <c r="G4205" s="9"/>
      <c r="H4205" s="9"/>
      <c r="I4205" s="9"/>
      <c r="J4205" s="9"/>
      <c r="K4205" s="9"/>
      <c r="L4205" s="9"/>
      <c r="M4205" s="9"/>
      <c r="N4205" s="9"/>
      <c r="O4205" s="9"/>
      <c r="P4205" s="9"/>
      <c r="Q4205" s="9"/>
      <c r="R4205" s="9"/>
      <c r="S4205" s="9"/>
      <c r="T4205" s="9"/>
      <c r="U4205" s="9"/>
      <c r="V4205" s="9"/>
      <c r="W4205" s="9"/>
      <c r="X4205" s="9"/>
      <c r="Y4205" s="9"/>
      <c r="Z4205" s="9"/>
      <c r="AA4205" s="9"/>
      <c r="AB4205" s="9"/>
      <c r="AC4205" s="9"/>
      <c r="AD4205" s="9"/>
      <c r="AE4205" s="9"/>
      <c r="AF4205" s="9"/>
      <c r="AG4205" s="9"/>
      <c r="AH4205" s="9"/>
      <c r="AI4205" s="9"/>
      <c r="AJ4205" s="9"/>
      <c r="AK4205" s="9"/>
      <c r="AL4205" s="9"/>
      <c r="AM4205" s="9"/>
      <c r="AN4205" s="9"/>
      <c r="AO4205" s="9"/>
      <c r="AP4205" s="9"/>
      <c r="AQ4205" s="9"/>
      <c r="AR4205" s="9"/>
      <c r="AS4205" s="9"/>
      <c r="AT4205" s="9"/>
      <c r="AU4205" s="9"/>
    </row>
    <row r="4206" spans="1:47" ht="15.75" customHeight="1">
      <c r="A4206" s="9"/>
      <c r="B4206" s="9"/>
      <c r="C4206" s="9"/>
      <c r="D4206" s="9"/>
      <c r="E4206" s="9"/>
      <c r="F4206" s="67"/>
      <c r="G4206" s="9"/>
      <c r="H4206" s="9"/>
      <c r="I4206" s="9"/>
      <c r="J4206" s="9"/>
      <c r="K4206" s="9"/>
      <c r="L4206" s="9"/>
      <c r="M4206" s="9"/>
      <c r="N4206" s="9"/>
      <c r="O4206" s="9"/>
      <c r="P4206" s="9"/>
      <c r="Q4206" s="9"/>
      <c r="R4206" s="9"/>
      <c r="S4206" s="9"/>
      <c r="T4206" s="9"/>
      <c r="U4206" s="9"/>
      <c r="V4206" s="9"/>
      <c r="W4206" s="9"/>
      <c r="X4206" s="9"/>
      <c r="Y4206" s="9"/>
      <c r="Z4206" s="9"/>
      <c r="AA4206" s="9"/>
      <c r="AB4206" s="9"/>
      <c r="AC4206" s="9"/>
      <c r="AD4206" s="9"/>
      <c r="AE4206" s="9"/>
      <c r="AF4206" s="9"/>
      <c r="AG4206" s="9"/>
      <c r="AH4206" s="9"/>
      <c r="AI4206" s="9"/>
      <c r="AJ4206" s="9"/>
      <c r="AK4206" s="9"/>
      <c r="AL4206" s="9"/>
      <c r="AM4206" s="9"/>
      <c r="AN4206" s="9"/>
      <c r="AO4206" s="9"/>
      <c r="AP4206" s="9"/>
      <c r="AQ4206" s="9"/>
      <c r="AR4206" s="9"/>
      <c r="AS4206" s="9"/>
      <c r="AT4206" s="9"/>
      <c r="AU4206" s="9"/>
    </row>
    <row r="4207" spans="1:47" ht="15.75" customHeight="1">
      <c r="A4207" s="9"/>
      <c r="B4207" s="9"/>
      <c r="C4207" s="9"/>
      <c r="D4207" s="9"/>
      <c r="E4207" s="9"/>
      <c r="F4207" s="67"/>
      <c r="G4207" s="9"/>
      <c r="H4207" s="9"/>
      <c r="I4207" s="9"/>
      <c r="J4207" s="9"/>
      <c r="K4207" s="9"/>
      <c r="L4207" s="9"/>
      <c r="M4207" s="9"/>
      <c r="N4207" s="9"/>
      <c r="O4207" s="9"/>
      <c r="P4207" s="9"/>
      <c r="Q4207" s="9"/>
      <c r="R4207" s="9"/>
      <c r="S4207" s="9"/>
      <c r="T4207" s="9"/>
      <c r="U4207" s="9"/>
      <c r="V4207" s="9"/>
      <c r="W4207" s="9"/>
      <c r="X4207" s="9"/>
      <c r="Y4207" s="9"/>
      <c r="Z4207" s="9"/>
      <c r="AA4207" s="9"/>
      <c r="AB4207" s="9"/>
      <c r="AC4207" s="9"/>
      <c r="AD4207" s="9"/>
      <c r="AE4207" s="9"/>
      <c r="AF4207" s="9"/>
      <c r="AG4207" s="9"/>
      <c r="AH4207" s="9"/>
      <c r="AI4207" s="9"/>
      <c r="AJ4207" s="9"/>
      <c r="AK4207" s="9"/>
      <c r="AL4207" s="9"/>
      <c r="AM4207" s="9"/>
      <c r="AN4207" s="9"/>
      <c r="AO4207" s="9"/>
      <c r="AP4207" s="9"/>
      <c r="AQ4207" s="9"/>
      <c r="AR4207" s="9"/>
      <c r="AS4207" s="9"/>
      <c r="AT4207" s="9"/>
      <c r="AU4207" s="9"/>
    </row>
    <row r="4208" spans="1:47" ht="15.75" customHeight="1">
      <c r="A4208" s="9"/>
      <c r="B4208" s="9"/>
      <c r="C4208" s="9"/>
      <c r="D4208" s="9"/>
      <c r="E4208" s="9"/>
      <c r="F4208" s="67"/>
      <c r="G4208" s="9"/>
      <c r="H4208" s="9"/>
      <c r="I4208" s="9"/>
      <c r="J4208" s="9"/>
      <c r="K4208" s="9"/>
      <c r="L4208" s="9"/>
      <c r="M4208" s="9"/>
      <c r="N4208" s="9"/>
      <c r="O4208" s="9"/>
      <c r="P4208" s="9"/>
      <c r="Q4208" s="9"/>
      <c r="R4208" s="9"/>
      <c r="S4208" s="9"/>
      <c r="T4208" s="9"/>
      <c r="U4208" s="9"/>
      <c r="V4208" s="9"/>
      <c r="W4208" s="9"/>
      <c r="X4208" s="9"/>
      <c r="Y4208" s="9"/>
      <c r="Z4208" s="9"/>
      <c r="AA4208" s="9"/>
      <c r="AB4208" s="9"/>
      <c r="AC4208" s="9"/>
      <c r="AD4208" s="9"/>
      <c r="AE4208" s="9"/>
      <c r="AF4208" s="9"/>
      <c r="AG4208" s="9"/>
      <c r="AH4208" s="9"/>
      <c r="AI4208" s="9"/>
      <c r="AJ4208" s="9"/>
      <c r="AK4208" s="9"/>
      <c r="AL4208" s="9"/>
      <c r="AM4208" s="9"/>
      <c r="AN4208" s="9"/>
      <c r="AO4208" s="9"/>
      <c r="AP4208" s="9"/>
      <c r="AQ4208" s="9"/>
      <c r="AR4208" s="9"/>
      <c r="AS4208" s="9"/>
      <c r="AT4208" s="9"/>
      <c r="AU4208" s="9"/>
    </row>
    <row r="4209" spans="1:47" ht="15.75" customHeight="1">
      <c r="A4209" s="9"/>
      <c r="B4209" s="9"/>
      <c r="C4209" s="9"/>
      <c r="D4209" s="9"/>
      <c r="E4209" s="9"/>
      <c r="F4209" s="67"/>
      <c r="G4209" s="9"/>
      <c r="H4209" s="9"/>
      <c r="I4209" s="9"/>
      <c r="J4209" s="9"/>
      <c r="K4209" s="9"/>
      <c r="L4209" s="9"/>
      <c r="M4209" s="9"/>
      <c r="N4209" s="9"/>
      <c r="O4209" s="9"/>
      <c r="P4209" s="9"/>
      <c r="Q4209" s="9"/>
      <c r="R4209" s="9"/>
      <c r="S4209" s="9"/>
      <c r="T4209" s="9"/>
      <c r="U4209" s="9"/>
      <c r="V4209" s="9"/>
      <c r="W4209" s="9"/>
      <c r="X4209" s="9"/>
      <c r="Y4209" s="9"/>
      <c r="Z4209" s="9"/>
      <c r="AA4209" s="9"/>
      <c r="AB4209" s="9"/>
      <c r="AC4209" s="9"/>
      <c r="AD4209" s="9"/>
      <c r="AE4209" s="9"/>
      <c r="AF4209" s="9"/>
      <c r="AG4209" s="9"/>
      <c r="AH4209" s="9"/>
      <c r="AI4209" s="9"/>
      <c r="AJ4209" s="9"/>
      <c r="AK4209" s="9"/>
      <c r="AL4209" s="9"/>
      <c r="AM4209" s="9"/>
      <c r="AN4209" s="9"/>
      <c r="AO4209" s="9"/>
      <c r="AP4209" s="9"/>
      <c r="AQ4209" s="9"/>
      <c r="AR4209" s="9"/>
      <c r="AS4209" s="9"/>
      <c r="AT4209" s="9"/>
      <c r="AU4209" s="9"/>
    </row>
    <row r="4210" spans="1:47" ht="15.75" customHeight="1">
      <c r="A4210" s="9"/>
      <c r="B4210" s="9"/>
      <c r="C4210" s="9"/>
      <c r="D4210" s="9"/>
      <c r="E4210" s="9"/>
      <c r="F4210" s="67"/>
      <c r="G4210" s="9"/>
      <c r="H4210" s="9"/>
      <c r="I4210" s="9"/>
      <c r="J4210" s="9"/>
      <c r="K4210" s="9"/>
      <c r="L4210" s="9"/>
      <c r="M4210" s="9"/>
      <c r="N4210" s="9"/>
      <c r="O4210" s="9"/>
      <c r="P4210" s="9"/>
      <c r="Q4210" s="9"/>
      <c r="R4210" s="9"/>
      <c r="S4210" s="9"/>
      <c r="T4210" s="9"/>
      <c r="U4210" s="9"/>
      <c r="V4210" s="9"/>
      <c r="W4210" s="9"/>
      <c r="X4210" s="9"/>
      <c r="Y4210" s="9"/>
      <c r="Z4210" s="9"/>
      <c r="AA4210" s="9"/>
      <c r="AB4210" s="9"/>
      <c r="AC4210" s="9"/>
      <c r="AD4210" s="9"/>
      <c r="AE4210" s="9"/>
      <c r="AF4210" s="9"/>
      <c r="AG4210" s="9"/>
      <c r="AH4210" s="9"/>
      <c r="AI4210" s="9"/>
      <c r="AJ4210" s="9"/>
      <c r="AK4210" s="9"/>
      <c r="AL4210" s="9"/>
      <c r="AM4210" s="9"/>
      <c r="AN4210" s="9"/>
      <c r="AO4210" s="9"/>
      <c r="AP4210" s="9"/>
      <c r="AQ4210" s="9"/>
      <c r="AR4210" s="9"/>
      <c r="AS4210" s="9"/>
      <c r="AT4210" s="9"/>
      <c r="AU4210" s="9"/>
    </row>
    <row r="4211" spans="1:47" ht="15.75" customHeight="1">
      <c r="A4211" s="9"/>
      <c r="B4211" s="9"/>
      <c r="C4211" s="9"/>
      <c r="D4211" s="9"/>
      <c r="E4211" s="9"/>
      <c r="F4211" s="67"/>
      <c r="G4211" s="9"/>
      <c r="H4211" s="9"/>
      <c r="I4211" s="9"/>
      <c r="J4211" s="9"/>
      <c r="K4211" s="9"/>
      <c r="L4211" s="9"/>
      <c r="M4211" s="9"/>
      <c r="N4211" s="9"/>
      <c r="O4211" s="9"/>
      <c r="P4211" s="9"/>
      <c r="Q4211" s="9"/>
      <c r="R4211" s="9"/>
      <c r="S4211" s="9"/>
      <c r="T4211" s="9"/>
      <c r="U4211" s="9"/>
      <c r="V4211" s="9"/>
      <c r="W4211" s="9"/>
      <c r="X4211" s="9"/>
      <c r="Y4211" s="9"/>
      <c r="Z4211" s="9"/>
      <c r="AA4211" s="9"/>
      <c r="AB4211" s="9"/>
      <c r="AC4211" s="9"/>
      <c r="AD4211" s="9"/>
      <c r="AE4211" s="9"/>
      <c r="AF4211" s="9"/>
      <c r="AG4211" s="9"/>
      <c r="AH4211" s="9"/>
      <c r="AI4211" s="9"/>
      <c r="AJ4211" s="9"/>
      <c r="AK4211" s="9"/>
      <c r="AL4211" s="9"/>
      <c r="AM4211" s="9"/>
      <c r="AN4211" s="9"/>
      <c r="AO4211" s="9"/>
      <c r="AP4211" s="9"/>
      <c r="AQ4211" s="9"/>
      <c r="AR4211" s="9"/>
      <c r="AS4211" s="9"/>
      <c r="AT4211" s="9"/>
      <c r="AU4211" s="9"/>
    </row>
    <row r="4212" spans="1:47" ht="15.75" customHeight="1">
      <c r="A4212" s="9"/>
      <c r="B4212" s="9"/>
      <c r="C4212" s="9"/>
      <c r="D4212" s="9"/>
      <c r="E4212" s="9"/>
      <c r="F4212" s="67"/>
      <c r="G4212" s="9"/>
      <c r="H4212" s="9"/>
      <c r="I4212" s="9"/>
      <c r="J4212" s="9"/>
      <c r="K4212" s="9"/>
      <c r="L4212" s="9"/>
      <c r="M4212" s="9"/>
      <c r="N4212" s="9"/>
      <c r="O4212" s="9"/>
      <c r="P4212" s="9"/>
      <c r="Q4212" s="9"/>
      <c r="R4212" s="9"/>
      <c r="S4212" s="9"/>
      <c r="T4212" s="9"/>
      <c r="U4212" s="9"/>
      <c r="V4212" s="9"/>
      <c r="W4212" s="9"/>
      <c r="X4212" s="9"/>
      <c r="Y4212" s="9"/>
      <c r="Z4212" s="9"/>
      <c r="AA4212" s="9"/>
      <c r="AB4212" s="9"/>
      <c r="AC4212" s="9"/>
      <c r="AD4212" s="9"/>
      <c r="AE4212" s="9"/>
      <c r="AF4212" s="9"/>
      <c r="AG4212" s="9"/>
      <c r="AH4212" s="9"/>
      <c r="AI4212" s="9"/>
      <c r="AJ4212" s="9"/>
      <c r="AK4212" s="9"/>
      <c r="AL4212" s="9"/>
      <c r="AM4212" s="9"/>
      <c r="AN4212" s="9"/>
      <c r="AO4212" s="9"/>
      <c r="AP4212" s="9"/>
      <c r="AQ4212" s="9"/>
      <c r="AR4212" s="9"/>
      <c r="AS4212" s="9"/>
      <c r="AT4212" s="9"/>
      <c r="AU4212" s="9"/>
    </row>
    <row r="4213" spans="1:47" ht="15.75" customHeight="1">
      <c r="A4213" s="9"/>
      <c r="B4213" s="9"/>
      <c r="C4213" s="9"/>
      <c r="D4213" s="9"/>
      <c r="E4213" s="9"/>
      <c r="F4213" s="67"/>
      <c r="G4213" s="9"/>
      <c r="H4213" s="9"/>
      <c r="I4213" s="9"/>
      <c r="J4213" s="9"/>
      <c r="K4213" s="9"/>
      <c r="L4213" s="9"/>
      <c r="M4213" s="9"/>
      <c r="N4213" s="9"/>
      <c r="O4213" s="9"/>
      <c r="P4213" s="9"/>
      <c r="Q4213" s="9"/>
      <c r="R4213" s="9"/>
      <c r="S4213" s="9"/>
      <c r="T4213" s="9"/>
      <c r="U4213" s="9"/>
      <c r="V4213" s="9"/>
      <c r="W4213" s="9"/>
      <c r="X4213" s="9"/>
      <c r="Y4213" s="9"/>
      <c r="Z4213" s="9"/>
      <c r="AA4213" s="9"/>
      <c r="AB4213" s="9"/>
      <c r="AC4213" s="9"/>
      <c r="AD4213" s="9"/>
      <c r="AE4213" s="9"/>
      <c r="AF4213" s="9"/>
      <c r="AG4213" s="9"/>
      <c r="AH4213" s="9"/>
      <c r="AI4213" s="9"/>
      <c r="AJ4213" s="9"/>
      <c r="AK4213" s="9"/>
      <c r="AL4213" s="9"/>
      <c r="AM4213" s="9"/>
      <c r="AN4213" s="9"/>
      <c r="AO4213" s="9"/>
      <c r="AP4213" s="9"/>
      <c r="AQ4213" s="9"/>
      <c r="AR4213" s="9"/>
      <c r="AS4213" s="9"/>
      <c r="AT4213" s="9"/>
      <c r="AU4213" s="9"/>
    </row>
    <row r="4214" spans="1:47" ht="15.75" customHeight="1">
      <c r="A4214" s="9"/>
      <c r="B4214" s="9"/>
      <c r="C4214" s="9"/>
      <c r="D4214" s="9"/>
      <c r="E4214" s="9"/>
      <c r="F4214" s="67"/>
      <c r="G4214" s="9"/>
      <c r="H4214" s="9"/>
      <c r="I4214" s="9"/>
      <c r="J4214" s="9"/>
      <c r="K4214" s="9"/>
      <c r="L4214" s="9"/>
      <c r="M4214" s="9"/>
      <c r="N4214" s="9"/>
      <c r="O4214" s="9"/>
      <c r="P4214" s="9"/>
      <c r="Q4214" s="9"/>
      <c r="R4214" s="9"/>
      <c r="S4214" s="9"/>
      <c r="T4214" s="9"/>
      <c r="U4214" s="9"/>
      <c r="V4214" s="9"/>
      <c r="W4214" s="9"/>
      <c r="X4214" s="9"/>
      <c r="Y4214" s="9"/>
      <c r="Z4214" s="9"/>
      <c r="AA4214" s="9"/>
      <c r="AB4214" s="9"/>
      <c r="AC4214" s="9"/>
      <c r="AD4214" s="9"/>
      <c r="AE4214" s="9"/>
      <c r="AF4214" s="9"/>
      <c r="AG4214" s="9"/>
      <c r="AH4214" s="9"/>
      <c r="AI4214" s="9"/>
      <c r="AJ4214" s="9"/>
      <c r="AK4214" s="9"/>
      <c r="AL4214" s="9"/>
      <c r="AM4214" s="9"/>
      <c r="AN4214" s="9"/>
      <c r="AO4214" s="9"/>
      <c r="AP4214" s="9"/>
      <c r="AQ4214" s="9"/>
      <c r="AR4214" s="9"/>
      <c r="AS4214" s="9"/>
      <c r="AT4214" s="9"/>
      <c r="AU4214" s="9"/>
    </row>
    <row r="4215" spans="1:47" ht="15.75" customHeight="1">
      <c r="A4215" s="9"/>
      <c r="B4215" s="9"/>
      <c r="C4215" s="9"/>
      <c r="D4215" s="9"/>
      <c r="E4215" s="9"/>
      <c r="F4215" s="67"/>
      <c r="G4215" s="9"/>
      <c r="H4215" s="9"/>
      <c r="I4215" s="9"/>
      <c r="J4215" s="9"/>
      <c r="K4215" s="9"/>
      <c r="L4215" s="9"/>
      <c r="M4215" s="9"/>
      <c r="N4215" s="9"/>
      <c r="O4215" s="9"/>
      <c r="P4215" s="9"/>
      <c r="Q4215" s="9"/>
      <c r="R4215" s="9"/>
      <c r="S4215" s="9"/>
      <c r="T4215" s="9"/>
      <c r="U4215" s="9"/>
      <c r="V4215" s="9"/>
      <c r="W4215" s="9"/>
      <c r="X4215" s="9"/>
      <c r="Y4215" s="9"/>
      <c r="Z4215" s="9"/>
      <c r="AA4215" s="9"/>
      <c r="AB4215" s="9"/>
      <c r="AC4215" s="9"/>
      <c r="AD4215" s="9"/>
      <c r="AE4215" s="9"/>
      <c r="AF4215" s="9"/>
      <c r="AG4215" s="9"/>
      <c r="AH4215" s="9"/>
      <c r="AI4215" s="9"/>
      <c r="AJ4215" s="9"/>
      <c r="AK4215" s="9"/>
      <c r="AL4215" s="9"/>
      <c r="AM4215" s="9"/>
      <c r="AN4215" s="9"/>
      <c r="AO4215" s="9"/>
      <c r="AP4215" s="9"/>
      <c r="AQ4215" s="9"/>
      <c r="AR4215" s="9"/>
      <c r="AS4215" s="9"/>
      <c r="AT4215" s="9"/>
      <c r="AU4215" s="9"/>
    </row>
    <row r="4216" spans="1:47" ht="15.75" customHeight="1">
      <c r="A4216" s="9"/>
      <c r="B4216" s="9"/>
      <c r="C4216" s="9"/>
      <c r="D4216" s="9"/>
      <c r="E4216" s="9"/>
      <c r="F4216" s="67"/>
      <c r="G4216" s="9"/>
      <c r="H4216" s="9"/>
      <c r="I4216" s="9"/>
      <c r="J4216" s="9"/>
      <c r="K4216" s="9"/>
      <c r="L4216" s="9"/>
      <c r="M4216" s="9"/>
      <c r="N4216" s="9"/>
      <c r="O4216" s="9"/>
      <c r="P4216" s="9"/>
      <c r="Q4216" s="9"/>
      <c r="R4216" s="9"/>
      <c r="S4216" s="9"/>
      <c r="T4216" s="9"/>
      <c r="U4216" s="9"/>
      <c r="V4216" s="9"/>
      <c r="W4216" s="9"/>
      <c r="X4216" s="9"/>
      <c r="Y4216" s="9"/>
      <c r="Z4216" s="9"/>
      <c r="AA4216" s="9"/>
      <c r="AB4216" s="9"/>
      <c r="AC4216" s="9"/>
      <c r="AD4216" s="9"/>
      <c r="AE4216" s="9"/>
      <c r="AF4216" s="9"/>
      <c r="AG4216" s="9"/>
      <c r="AH4216" s="9"/>
      <c r="AI4216" s="9"/>
      <c r="AJ4216" s="9"/>
      <c r="AK4216" s="9"/>
      <c r="AL4216" s="9"/>
      <c r="AM4216" s="9"/>
      <c r="AN4216" s="9"/>
      <c r="AO4216" s="9"/>
      <c r="AP4216" s="9"/>
      <c r="AQ4216" s="9"/>
      <c r="AR4216" s="9"/>
      <c r="AS4216" s="9"/>
      <c r="AT4216" s="9"/>
      <c r="AU4216" s="9"/>
    </row>
    <row r="4217" spans="1:47" ht="15.75" customHeight="1">
      <c r="A4217" s="9"/>
      <c r="B4217" s="9"/>
      <c r="C4217" s="9"/>
      <c r="D4217" s="9"/>
      <c r="E4217" s="9"/>
      <c r="F4217" s="67"/>
      <c r="G4217" s="9"/>
      <c r="H4217" s="9"/>
      <c r="I4217" s="9"/>
      <c r="J4217" s="9"/>
      <c r="K4217" s="9"/>
      <c r="L4217" s="9"/>
      <c r="M4217" s="9"/>
      <c r="N4217" s="9"/>
      <c r="O4217" s="9"/>
      <c r="P4217" s="9"/>
      <c r="Q4217" s="9"/>
      <c r="R4217" s="9"/>
      <c r="S4217" s="9"/>
      <c r="T4217" s="9"/>
      <c r="U4217" s="9"/>
      <c r="V4217" s="9"/>
      <c r="W4217" s="9"/>
      <c r="X4217" s="9"/>
      <c r="Y4217" s="9"/>
      <c r="Z4217" s="9"/>
      <c r="AA4217" s="9"/>
      <c r="AB4217" s="9"/>
      <c r="AC4217" s="9"/>
      <c r="AD4217" s="9"/>
      <c r="AE4217" s="9"/>
      <c r="AF4217" s="9"/>
      <c r="AG4217" s="9"/>
      <c r="AH4217" s="9"/>
      <c r="AI4217" s="9"/>
      <c r="AJ4217" s="9"/>
      <c r="AK4217" s="9"/>
      <c r="AL4217" s="9"/>
      <c r="AM4217" s="9"/>
      <c r="AN4217" s="9"/>
      <c r="AO4217" s="9"/>
      <c r="AP4217" s="9"/>
      <c r="AQ4217" s="9"/>
      <c r="AR4217" s="9"/>
      <c r="AS4217" s="9"/>
      <c r="AT4217" s="9"/>
      <c r="AU4217" s="9"/>
    </row>
    <row r="4218" spans="1:47" ht="15.75" customHeight="1">
      <c r="A4218" s="9"/>
      <c r="B4218" s="9"/>
      <c r="C4218" s="9"/>
      <c r="D4218" s="9"/>
      <c r="E4218" s="9"/>
      <c r="F4218" s="67"/>
      <c r="G4218" s="9"/>
      <c r="H4218" s="9"/>
      <c r="I4218" s="9"/>
      <c r="J4218" s="9"/>
      <c r="K4218" s="9"/>
      <c r="L4218" s="9"/>
      <c r="M4218" s="9"/>
      <c r="N4218" s="9"/>
      <c r="O4218" s="9"/>
      <c r="P4218" s="9"/>
      <c r="Q4218" s="9"/>
      <c r="R4218" s="9"/>
      <c r="S4218" s="9"/>
      <c r="T4218" s="9"/>
      <c r="U4218" s="9"/>
      <c r="V4218" s="9"/>
      <c r="W4218" s="9"/>
      <c r="X4218" s="9"/>
      <c r="Y4218" s="9"/>
      <c r="Z4218" s="9"/>
      <c r="AA4218" s="9"/>
      <c r="AB4218" s="9"/>
      <c r="AC4218" s="9"/>
      <c r="AD4218" s="9"/>
      <c r="AE4218" s="9"/>
      <c r="AF4218" s="9"/>
      <c r="AG4218" s="9"/>
      <c r="AH4218" s="9"/>
      <c r="AI4218" s="9"/>
      <c r="AJ4218" s="9"/>
      <c r="AK4218" s="9"/>
      <c r="AL4218" s="9"/>
      <c r="AM4218" s="9"/>
      <c r="AN4218" s="9"/>
      <c r="AO4218" s="9"/>
      <c r="AP4218" s="9"/>
      <c r="AQ4218" s="9"/>
      <c r="AR4218" s="9"/>
      <c r="AS4218" s="9"/>
      <c r="AT4218" s="9"/>
      <c r="AU4218" s="9"/>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heetViews>
  <sheetFormatPr baseColWidth="10" defaultColWidth="12.6640625" defaultRowHeight="15.75" customHeight="1"/>
  <cols>
    <col min="1" max="1" width="28.77734375" customWidth="1"/>
    <col min="2" max="2" width="24.33203125" customWidth="1"/>
    <col min="3" max="3" width="22.44140625" customWidth="1"/>
    <col min="4" max="4" width="29.88671875" customWidth="1"/>
    <col min="5" max="5" width="56.109375" customWidth="1"/>
    <col min="6" max="6" width="36.44140625" customWidth="1"/>
  </cols>
  <sheetData>
    <row r="1" spans="1:26" ht="15.75" customHeight="1">
      <c r="A1" s="68" t="str">
        <f ca="1">IFERROR(__xludf.DUMMYFUNCTION("FILTER(Anomalias!A:F, Anomalias!F:F&lt;&gt;""No coincide"")"),"Línea")</f>
        <v>Línea</v>
      </c>
      <c r="B1" s="69" t="str">
        <f ca="1">IFERROR(__xludf.DUMMYFUNCTION("""COMPUTED_VALUE"""),"Equipo")</f>
        <v>Equipo</v>
      </c>
      <c r="C1" s="69" t="str">
        <f ca="1">IFERROR(__xludf.DUMMYFUNCTION("""COMPUTED_VALUE"""),"Descripción")</f>
        <v>Descripción</v>
      </c>
      <c r="D1" s="69" t="str">
        <f ca="1">IFERROR(__xludf.DUMMYFUNCTION("""COMPUTED_VALUE"""),"Nombre")</f>
        <v>Nombre</v>
      </c>
      <c r="E1" s="69" t="str">
        <f ca="1">IFERROR(__xludf.DUMMYFUNCTION("""COMPUTED_VALUE"""),"Observaciones")</f>
        <v>Observaciones</v>
      </c>
      <c r="F1" s="69" t="str">
        <f ca="1">IFERROR(__xludf.DUMMYFUNCTION("""COMPUTED_VALUE"""),"Observaciones anteriores")</f>
        <v>Observaciones anteriores</v>
      </c>
      <c r="G1" s="9"/>
      <c r="H1" s="9"/>
      <c r="I1" s="9"/>
      <c r="J1" s="9"/>
      <c r="K1" s="9"/>
      <c r="L1" s="9"/>
      <c r="M1" s="9"/>
      <c r="N1" s="9"/>
      <c r="O1" s="9"/>
      <c r="P1" s="9"/>
      <c r="Q1" s="9"/>
      <c r="R1" s="9"/>
      <c r="S1" s="9"/>
      <c r="T1" s="9"/>
      <c r="U1" s="9"/>
      <c r="V1" s="9"/>
      <c r="W1" s="9"/>
      <c r="X1" s="9"/>
      <c r="Y1" s="9"/>
      <c r="Z1" s="9"/>
    </row>
    <row r="2" spans="1:26" ht="26.25" customHeight="1">
      <c r="A2" s="70" t="str">
        <f ca="1">IFERROR(__xludf.DUMMYFUNCTION("""COMPUTED_VALUE"""),"BOMBAS DE SERVICIO PROCESO")</f>
        <v>BOMBAS DE SERVICIO PROCESO</v>
      </c>
      <c r="B2" s="70" t="str">
        <f ca="1">IFERROR(__xludf.DUMMYFUNCTION("""COMPUTED_VALUE"""),"BOMBA AGUA SUAVIZADA")</f>
        <v>BOMBA AGUA SUAVIZADA</v>
      </c>
      <c r="C2" s="70" t="str">
        <f ca="1">IFERROR(__xludf.DUMMYFUNCTION("""COMPUTED_VALUE"""),"PLAN MTTO MEC BOMBA AGUA SUAVIZ 70948901")</f>
        <v>PLAN MTTO MEC BOMBA AGUA SUAVIZ 70948901</v>
      </c>
      <c r="D2" s="70" t="str">
        <f ca="1">IFERROR(__xludf.DUMMYFUNCTION("""COMPUTED_VALUE"""),"John Edier Gomez Zuñiga")</f>
        <v>John Edier Gomez Zuñiga</v>
      </c>
      <c r="E2" s="70" t="str">
        <f ca="1">IFERROR(__xludf.DUMMYFUNCTION("""COMPUTED_VALUE"""),"Bomba se retira para reparación pendiente por instalar
")</f>
        <v xml:space="preserve">Bomba se retira para reparación pendiente por instalar
</v>
      </c>
      <c r="F2" s="70" t="str">
        <f ca="1">IFERROR(__xludf.DUMMYFUNCTION("""COMPUTED_VALUE"""),"Se presenta avería en bomba y se retira para enviar a reparar")</f>
        <v>Se presenta avería en bomba y se retira para enviar a reparar</v>
      </c>
      <c r="G2" s="9"/>
      <c r="H2" s="9"/>
      <c r="I2" s="9"/>
      <c r="J2" s="9"/>
      <c r="K2" s="9"/>
      <c r="L2" s="9"/>
      <c r="M2" s="9"/>
      <c r="N2" s="9"/>
      <c r="O2" s="9"/>
      <c r="P2" s="9"/>
      <c r="Q2" s="9"/>
      <c r="R2" s="9"/>
      <c r="S2" s="9"/>
      <c r="T2" s="9"/>
      <c r="U2" s="9"/>
      <c r="V2" s="9"/>
      <c r="W2" s="9"/>
      <c r="X2" s="9"/>
      <c r="Y2" s="9"/>
      <c r="Z2" s="9"/>
    </row>
    <row r="3" spans="1:26" ht="30" customHeight="1">
      <c r="A3" s="71" t="str">
        <f ca="1">IFERROR(__xludf.DUMMYFUNCTION("""COMPUTED_VALUE"""),"BOMBAS DE SERVICIO PROCESO")</f>
        <v>BOMBAS DE SERVICIO PROCESO</v>
      </c>
      <c r="B3" s="71" t="str">
        <f ca="1">IFERROR(__xludf.DUMMYFUNCTION("""COMPUTED_VALUE"""),"BOMBA AGUA CRISTAL")</f>
        <v>BOMBA AGUA CRISTAL</v>
      </c>
      <c r="C3" s="71" t="str">
        <f ca="1">IFERROR(__xludf.DUMMYFUNCTION("""COMPUTED_VALUE"""),"PLAN MTTO MEC BOMBA AGUA CRISTAL70948904")</f>
        <v>PLAN MTTO MEC BOMBA AGUA CRISTAL70948904</v>
      </c>
      <c r="D3" s="71" t="str">
        <f ca="1">IFERROR(__xludf.DUMMYFUNCTION("""COMPUTED_VALUE"""),"John Edier Gomez Zuñiga")</f>
        <v>John Edier Gomez Zuñiga</v>
      </c>
      <c r="E3" s="71" t="str">
        <f ca="1">IFERROR(__xludf.DUMMYFUNCTION("""COMPUTED_VALUE"""),"Bomba con novedad o problema en el checker descarga que provoca gran fuga de líquido ")</f>
        <v xml:space="preserve">Bomba con novedad o problema en el checker descarga que provoca gran fuga de líquido </v>
      </c>
      <c r="F3" s="71" t="str">
        <f ca="1">IFERROR(__xludf.DUMMYFUNCTION("""COMPUTED_VALUE"""),"Bomba con novedad o problema en checker de descarga que provoca una gran fuga de líquido")</f>
        <v>Bomba con novedad o problema en checker de descarga que provoca una gran fuga de líquido</v>
      </c>
      <c r="G3" s="9"/>
      <c r="H3" s="9"/>
      <c r="I3" s="9"/>
      <c r="J3" s="9"/>
      <c r="K3" s="9"/>
      <c r="L3" s="9"/>
      <c r="M3" s="9"/>
      <c r="N3" s="9"/>
      <c r="O3" s="9"/>
      <c r="P3" s="9"/>
      <c r="Q3" s="9"/>
      <c r="R3" s="9"/>
      <c r="S3" s="9"/>
      <c r="T3" s="9"/>
      <c r="U3" s="9"/>
      <c r="V3" s="9"/>
      <c r="W3" s="9"/>
      <c r="X3" s="9"/>
      <c r="Y3" s="9"/>
      <c r="Z3" s="9"/>
    </row>
    <row r="4" spans="1:26" ht="15.75" customHeight="1">
      <c r="A4" s="70" t="str">
        <f ca="1">IFERROR(__xludf.DUMMYFUNCTION("""COMPUTED_VALUE"""),"LINEA PET CSD - LINEA 10")</f>
        <v>LINEA PET CSD - LINEA 10</v>
      </c>
      <c r="B4" s="70" t="str">
        <f ca="1">IFERROR(__xludf.DUMMYFUNCTION("""COMPUTED_VALUE"""),"CARBOENFRIADOR DE BEBIDAS")</f>
        <v>CARBOENFRIADOR DE BEBIDAS</v>
      </c>
      <c r="C4" s="70" t="str">
        <f ca="1">IFERROR(__xludf.DUMMYFUNCTION("""COMPUTED_VALUE"""),"ESTADO INSTRUMENTOS")</f>
        <v>ESTADO INSTRUMENTOS</v>
      </c>
      <c r="D4" s="70" t="str">
        <f ca="1">IFERROR(__xludf.DUMMYFUNCTION("""COMPUTED_VALUE"""),"Correa Jose Antonio")</f>
        <v>Correa Jose Antonio</v>
      </c>
      <c r="E4" s="70" t="str">
        <f ca="1">IFERROR(__xludf.DUMMYFUNCTION("""COMPUTED_VALUE"""),"Válvula Q185 refrigeración simulada por actuador pendiente para cambio ")</f>
        <v xml:space="preserve">Válvula Q185 refrigeración simulada por actuador pendiente para cambio </v>
      </c>
      <c r="F4" s="70" t="str">
        <f ca="1">IFERROR(__xludf.DUMMYFUNCTION("""COMPUTED_VALUE"""),"Válvula Q102 simulada pendiente revisión
 Válvula Q104 simulada pendiente revisión
 Válvula Q185 simulada pendiente revisión")</f>
        <v>Válvula Q102 simulada pendiente revisión
 Válvula Q104 simulada pendiente revisión
 Válvula Q185 simulada pendiente revisión</v>
      </c>
      <c r="G4" s="9"/>
      <c r="H4" s="9"/>
      <c r="I4" s="9"/>
      <c r="J4" s="9"/>
      <c r="K4" s="9"/>
      <c r="L4" s="9"/>
      <c r="M4" s="9"/>
      <c r="N4" s="9"/>
      <c r="O4" s="9"/>
      <c r="P4" s="9"/>
      <c r="Q4" s="9"/>
      <c r="R4" s="9"/>
      <c r="S4" s="9"/>
      <c r="T4" s="9"/>
      <c r="U4" s="9"/>
      <c r="V4" s="9"/>
      <c r="W4" s="9"/>
      <c r="X4" s="9"/>
      <c r="Y4" s="9"/>
      <c r="Z4" s="9"/>
    </row>
    <row r="5" spans="1:26" ht="15.75" customHeight="1">
      <c r="A5" s="71" t="str">
        <f ca="1">IFERROR(__xludf.DUMMYFUNCTION("""COMPUTED_VALUE"""),"LINEA DE ENVASADO PET NO RETORNABLE")</f>
        <v>LINEA DE ENVASADO PET NO RETORNABLE</v>
      </c>
      <c r="B5" s="71" t="str">
        <f ca="1">IFERROR(__xludf.DUMMYFUNCTION("""COMPUTED_VALUE"""),"CODIFICADOR LASER")</f>
        <v>CODIFICADOR LASER</v>
      </c>
      <c r="C5" s="71" t="str">
        <f ca="1">IFERROR(__xludf.DUMMYFUNCTION("""COMPUTED_VALUE"""),"REVISION FUNCIONAMIENTO")</f>
        <v>REVISION FUNCIONAMIENTO</v>
      </c>
      <c r="D5" s="71" t="str">
        <f ca="1">IFERROR(__xludf.DUMMYFUNCTION("""COMPUTED_VALUE"""),"Peña Quiñonez Andres Gilberto")</f>
        <v>Peña Quiñonez Andres Gilberto</v>
      </c>
      <c r="E5" s="71" t="str">
        <f ca="1">IFERROR(__xludf.DUMMYFUNCTION("""COMPUTED_VALUE"""),"Equipo fuera de Trabajo. Actualmente se esta trabajando con el codificador de Tinta.")</f>
        <v>Equipo fuera de Trabajo. Actualmente se esta trabajando con el codificador de Tinta.</v>
      </c>
      <c r="F5" s="71" t="str">
        <f ca="1">IFERROR(__xludf.DUMMYFUNCTION("""COMPUTED_VALUE"""),"Equipo fuera de servicio. Se esta trabajando con Codificador de Tinta.")</f>
        <v>Equipo fuera de servicio. Se esta trabajando con Codificador de Tinta.</v>
      </c>
      <c r="G5" s="9"/>
      <c r="H5" s="9"/>
      <c r="I5" s="9"/>
      <c r="J5" s="9"/>
      <c r="K5" s="9"/>
      <c r="L5" s="9"/>
      <c r="M5" s="9"/>
      <c r="N5" s="9"/>
      <c r="O5" s="9"/>
      <c r="P5" s="9"/>
      <c r="Q5" s="9"/>
      <c r="R5" s="9"/>
      <c r="S5" s="9"/>
      <c r="T5" s="9"/>
      <c r="U5" s="9"/>
      <c r="V5" s="9"/>
      <c r="W5" s="9"/>
      <c r="X5" s="9"/>
      <c r="Y5" s="9"/>
      <c r="Z5" s="9"/>
    </row>
    <row r="6" spans="1:26" ht="15.75" customHeight="1">
      <c r="A6" s="70" t="str">
        <f ca="1">IFERROR(__xludf.DUMMYFUNCTION("""COMPUTED_VALUE"""),"LINEA DE ENVASADO JUGOS PET HOT FILL")</f>
        <v>LINEA DE ENVASADO JUGOS PET HOT FILL</v>
      </c>
      <c r="B6" s="70" t="str">
        <f ca="1">IFERROR(__xludf.DUMMYFUNCTION("""COMPUTED_VALUE"""),"ENVOLVEDORA DE FILM")</f>
        <v>ENVOLVEDORA DE FILM</v>
      </c>
      <c r="C6" s="70" t="str">
        <f ca="1">IFERROR(__xludf.DUMMYFUNCTION("""COMPUTED_VALUE"""),"PLAN MTTO MEC ENVOLVEDORA DE FILM 579064")</f>
        <v>PLAN MTTO MEC ENVOLVEDORA DE FILM 579064</v>
      </c>
      <c r="D6" s="70" t="str">
        <f ca="1">IFERROR(__xludf.DUMMYFUNCTION("""COMPUTED_VALUE"""),"Martinez Delgado Osver")</f>
        <v>Martinez Delgado Osver</v>
      </c>
      <c r="E6" s="70" t="str">
        <f ca="1">IFERROR(__xludf.DUMMYFUNCTION("""COMPUTED_VALUE"""),"Válvula reguladora de presión se encuentra con fuga ")</f>
        <v xml:space="preserve">Válvula reguladora de presión se encuentra con fuga </v>
      </c>
      <c r="F6" s="70" t="str">
        <f ca="1">IFERROR(__xludf.DUMMYFUNCTION("""COMPUTED_VALUE"""),"Regulador de presión se encuentra con fuga")</f>
        <v>Regulador de presión se encuentra con fuga</v>
      </c>
      <c r="G6" s="9"/>
      <c r="H6" s="9"/>
      <c r="I6" s="9"/>
      <c r="J6" s="9"/>
      <c r="K6" s="9"/>
      <c r="L6" s="9"/>
      <c r="M6" s="9"/>
      <c r="N6" s="9"/>
      <c r="O6" s="9"/>
      <c r="P6" s="9"/>
      <c r="Q6" s="9"/>
      <c r="R6" s="9"/>
      <c r="S6" s="9"/>
      <c r="T6" s="9"/>
      <c r="U6" s="9"/>
      <c r="V6" s="9"/>
      <c r="W6" s="9"/>
      <c r="X6" s="9"/>
      <c r="Y6" s="9"/>
      <c r="Z6" s="9"/>
    </row>
    <row r="7" spans="1:26" ht="15.75" customHeight="1">
      <c r="A7" s="71" t="str">
        <f ca="1">IFERROR(__xludf.DUMMYFUNCTION("""COMPUTED_VALUE"""),"LINEA PET CSD - LINEA 10")</f>
        <v>LINEA PET CSD - LINEA 10</v>
      </c>
      <c r="B7" s="71" t="str">
        <f ca="1">IFERROR(__xludf.DUMMYFUNCTION("""COMPUTED_VALUE"""),"ETIQUETADORA ENVOLVENTE")</f>
        <v>ETIQUETADORA ENVOLVENTE</v>
      </c>
      <c r="C7" s="71" t="str">
        <f ca="1">IFERROR(__xludf.DUMMYFUNCTION("""COMPUTED_VALUE"""),"INSP. CONJUNTO CORTE")</f>
        <v>INSP. CONJUNTO CORTE</v>
      </c>
      <c r="D7" s="71" t="str">
        <f ca="1">IFERROR(__xludf.DUMMYFUNCTION("""COMPUTED_VALUE"""),"Gordillo Victoria Luis Miguel")</f>
        <v>Gordillo Victoria Luis Miguel</v>
      </c>
      <c r="E7" s="71" t="str">
        <f ca="1">IFERROR(__xludf.DUMMYFUNCTION("""COMPUTED_VALUE"""),"Sale alarma de advertencia del rodillo de corte agregado 1 ")</f>
        <v xml:space="preserve">Sale alarma de advertencia del rodillo de corte agregado 1 </v>
      </c>
      <c r="F7" s="71" t="str">
        <f ca="1">IFERROR(__xludf.DUMMYFUNCTION("""COMPUTED_VALUE"""),"Puerta conjunto de corte agregado 2 en mal estado")</f>
        <v>Puerta conjunto de corte agregado 2 en mal estado</v>
      </c>
      <c r="G7" s="9"/>
      <c r="H7" s="9"/>
      <c r="I7" s="9"/>
      <c r="J7" s="9"/>
      <c r="K7" s="9"/>
      <c r="L7" s="9"/>
      <c r="M7" s="9"/>
      <c r="N7" s="9"/>
      <c r="O7" s="9"/>
      <c r="P7" s="9"/>
      <c r="Q7" s="9"/>
      <c r="R7" s="9"/>
      <c r="S7" s="9"/>
      <c r="T7" s="9"/>
      <c r="U7" s="9"/>
      <c r="V7" s="9"/>
      <c r="W7" s="9"/>
      <c r="X7" s="9"/>
      <c r="Y7" s="9"/>
      <c r="Z7" s="9"/>
    </row>
    <row r="8" spans="1:26" ht="15.75" customHeight="1">
      <c r="A8" s="70" t="str">
        <f ca="1">IFERROR(__xludf.DUMMYFUNCTION("""COMPUTED_VALUE"""),"LINEA PET CSD - LINEA 10")</f>
        <v>LINEA PET CSD - LINEA 10</v>
      </c>
      <c r="B8" s="70" t="str">
        <f ca="1">IFERROR(__xludf.DUMMYFUNCTION("""COMPUTED_VALUE"""),"ETIQUETADORA ENVOLVENTE")</f>
        <v>ETIQUETADORA ENVOLVENTE</v>
      </c>
      <c r="C8" s="70" t="str">
        <f ca="1">IFERROR(__xludf.DUMMYFUNCTION("""COMPUTED_VALUE"""),"ESTADO UNIDAD MTTO AIRE")</f>
        <v>ESTADO UNIDAD MTTO AIRE</v>
      </c>
      <c r="D8" s="70" t="str">
        <f ca="1">IFERROR(__xludf.DUMMYFUNCTION("""COMPUTED_VALUE"""),"Gordillo Victoria Luis Miguel")</f>
        <v>Gordillo Victoria Luis Miguel</v>
      </c>
      <c r="E8" s="70" t="str">
        <f ca="1">IFERROR(__xludf.DUMMYFUNCTION("""COMPUTED_VALUE"""),"Se observa fuga de aire por silenciador de la unidad Mtto 
  ")</f>
        <v xml:space="preserve">Se observa fuga de aire por silenciador de la unidad Mtto 
  </v>
      </c>
      <c r="F8" s="70" t="str">
        <f ca="1">IFERROR(__xludf.DUMMYFUNCTION("""COMPUTED_VALUE"""),"Cambio de filtros unidad de mantenimiento")</f>
        <v>Cambio de filtros unidad de mantenimiento</v>
      </c>
      <c r="G8" s="9"/>
      <c r="H8" s="9"/>
      <c r="I8" s="9"/>
      <c r="J8" s="9"/>
      <c r="K8" s="9"/>
      <c r="L8" s="9"/>
      <c r="M8" s="9"/>
      <c r="N8" s="9"/>
      <c r="O8" s="9"/>
      <c r="P8" s="9"/>
      <c r="Q8" s="9"/>
      <c r="R8" s="9"/>
      <c r="S8" s="9"/>
      <c r="T8" s="9"/>
      <c r="U8" s="9"/>
      <c r="V8" s="9"/>
      <c r="W8" s="9"/>
      <c r="X8" s="9"/>
      <c r="Y8" s="9"/>
      <c r="Z8" s="9"/>
    </row>
    <row r="9" spans="1:26" ht="15.75" customHeight="1">
      <c r="A9" s="71" t="str">
        <f ca="1">IFERROR(__xludf.DUMMYFUNCTION("""COMPUTED_VALUE"""),"LINEA PET CSD - LINEA 10")</f>
        <v>LINEA PET CSD - LINEA 10</v>
      </c>
      <c r="B9" s="71" t="str">
        <f ca="1">IFERROR(__xludf.DUMMYFUNCTION("""COMPUTED_VALUE"""),"ETIQUETADORA ENVOLVENTE")</f>
        <v>ETIQUETADORA ENVOLVENTE</v>
      </c>
      <c r="C9" s="71" t="str">
        <f ca="1">IFERROR(__xludf.DUMMYFUNCTION("""COMPUTED_VALUE"""),"FUNC. CILINDRO TRANSFERENCIA")</f>
        <v>FUNC. CILINDRO TRANSFERENCIA</v>
      </c>
      <c r="D9" s="71" t="str">
        <f ca="1">IFERROR(__xludf.DUMMYFUNCTION("""COMPUTED_VALUE"""),"Gordillo Victoria Luis Miguel")</f>
        <v>Gordillo Victoria Luis Miguel</v>
      </c>
      <c r="E9" s="71" t="str">
        <f ca="1">IFERROR(__xludf.DUMMYFUNCTION("""COMPUTED_VALUE"""),"Listones con mayor desgastados  formato 600 agregado 1 ")</f>
        <v xml:space="preserve">Listones con mayor desgastados  formato 600 agregado 1 </v>
      </c>
      <c r="F9" s="71" t="str">
        <f ca="1">IFERROR(__xludf.DUMMYFUNCTION("""COMPUTED_VALUE"""),"Listones con desgaste en formato 600.")</f>
        <v>Listones con desgaste en formato 600.</v>
      </c>
      <c r="G9" s="9"/>
      <c r="H9" s="9"/>
      <c r="I9" s="9"/>
      <c r="J9" s="9"/>
      <c r="K9" s="9"/>
      <c r="L9" s="9"/>
      <c r="M9" s="9"/>
      <c r="N9" s="9"/>
      <c r="O9" s="9"/>
      <c r="P9" s="9"/>
      <c r="Q9" s="9"/>
      <c r="R9" s="9"/>
      <c r="S9" s="9"/>
      <c r="T9" s="9"/>
      <c r="U9" s="9"/>
      <c r="V9" s="9"/>
      <c r="W9" s="9"/>
      <c r="X9" s="9"/>
      <c r="Y9" s="9"/>
      <c r="Z9" s="9"/>
    </row>
    <row r="10" spans="1:26" ht="15.75" customHeight="1">
      <c r="A10" s="70" t="str">
        <f ca="1">IFERROR(__xludf.DUMMYFUNCTION("""COMPUTED_VALUE"""),"LINEA PET CSD - LINEA 10")</f>
        <v>LINEA PET CSD - LINEA 10</v>
      </c>
      <c r="B10" s="70" t="str">
        <f ca="1">IFERROR(__xludf.DUMMYFUNCTION("""COMPUTED_VALUE"""),"ETIQUETADORA ENVOLVENTE")</f>
        <v>ETIQUETADORA ENVOLVENTE</v>
      </c>
      <c r="C10" s="70" t="str">
        <f ca="1">IFERROR(__xludf.DUMMYFUNCTION("""COMPUTED_VALUE"""),"ESTADO PORTAENVASES")</f>
        <v>ESTADO PORTAENVASES</v>
      </c>
      <c r="D10" s="70" t="str">
        <f ca="1">IFERROR(__xludf.DUMMYFUNCTION("""COMPUTED_VALUE"""),"Gordillo Victoria Luis Miguel")</f>
        <v>Gordillo Victoria Luis Miguel</v>
      </c>
      <c r="E10" s="70" t="str">
        <f ca="1">IFERROR(__xludf.DUMMYFUNCTION("""COMPUTED_VALUE"""),"Faltante separador plástico en formatos 250,400,600,1.5")</f>
        <v>Faltante separador plástico en formatos 250,400,600,1.5</v>
      </c>
      <c r="F10" s="70" t="str">
        <f ca="1">IFERROR(__xludf.DUMMYFUNCTION("""COMPUTED_VALUE"""),"Faltante separador plástico en formato 250,400,600,1.5")</f>
        <v>Faltante separador plástico en formato 250,400,600,1.5</v>
      </c>
      <c r="G10" s="9"/>
      <c r="H10" s="9"/>
      <c r="I10" s="9"/>
      <c r="J10" s="9"/>
      <c r="K10" s="9"/>
      <c r="L10" s="9"/>
      <c r="M10" s="9"/>
      <c r="N10" s="9"/>
      <c r="O10" s="9"/>
      <c r="P10" s="9"/>
      <c r="Q10" s="9"/>
      <c r="R10" s="9"/>
      <c r="S10" s="9"/>
      <c r="T10" s="9"/>
      <c r="U10" s="9"/>
      <c r="V10" s="9"/>
      <c r="W10" s="9"/>
      <c r="X10" s="9"/>
      <c r="Y10" s="9"/>
      <c r="Z10" s="9"/>
    </row>
    <row r="11" spans="1:26" ht="15.75" customHeight="1">
      <c r="A11" s="72" t="str">
        <f ca="1">IFERROR(__xludf.DUMMYFUNCTION("""COMPUTED_VALUE"""),"LINEA PET CSD - LINEA 10")</f>
        <v>LINEA PET CSD - LINEA 10</v>
      </c>
      <c r="B11" s="72" t="str">
        <f ca="1">IFERROR(__xludf.DUMMYFUNCTION("""COMPUTED_VALUE"""),"ETIQUETADORA ENVOLVENTE")</f>
        <v>ETIQUETADORA ENVOLVENTE</v>
      </c>
      <c r="C11" s="72" t="str">
        <f ca="1">IFERROR(__xludf.DUMMYFUNCTION("""COMPUTED_VALUE"""),"ESTADO GUIAS ENTRADA-SALIDA")</f>
        <v>ESTADO GUIAS ENTRADA-SALIDA</v>
      </c>
      <c r="D11" s="72" t="str">
        <f ca="1">IFERROR(__xludf.DUMMYFUNCTION("""COMPUTED_VALUE"""),"Gordillo Victoria Luis Miguel")</f>
        <v>Gordillo Victoria Luis Miguel</v>
      </c>
      <c r="E11" s="72" t="str">
        <f ca="1">IFERROR(__xludf.DUMMYFUNCTION("""COMPUTED_VALUE"""),"Mariposas en mal estado estrella guía entrada a carrusel ")</f>
        <v xml:space="preserve">Mariposas en mal estado estrella guía entrada a carrusel </v>
      </c>
      <c r="F11" s="72" t="str">
        <f ca="1">IFERROR(__xludf.DUMMYFUNCTION("""COMPUTED_VALUE"""),"Mariposa de sujeción estrella de entrada a carrusel en mal estado")</f>
        <v>Mariposa de sujeción estrella de entrada a carrusel en mal estado</v>
      </c>
      <c r="G11" s="9"/>
      <c r="H11" s="9"/>
      <c r="I11" s="9"/>
      <c r="J11" s="9"/>
      <c r="K11" s="9"/>
      <c r="L11" s="9"/>
      <c r="M11" s="9"/>
      <c r="N11" s="9"/>
      <c r="O11" s="9"/>
      <c r="P11" s="9"/>
      <c r="Q11" s="9"/>
      <c r="R11" s="9"/>
      <c r="S11" s="9"/>
      <c r="T11" s="9"/>
      <c r="U11" s="9"/>
      <c r="V11" s="9"/>
      <c r="W11" s="9"/>
      <c r="X11" s="9"/>
      <c r="Y11" s="9"/>
      <c r="Z11" s="9"/>
    </row>
    <row r="12" spans="1:26" ht="15.75" customHeight="1">
      <c r="A12" s="73" t="str">
        <f ca="1">IFERROR(__xludf.DUMMYFUNCTION("""COMPUTED_VALUE"""),"LINEA PET CSD - LINEA 10")</f>
        <v>LINEA PET CSD - LINEA 10</v>
      </c>
      <c r="B12" s="73" t="str">
        <f ca="1">IFERROR(__xludf.DUMMYFUNCTION("""COMPUTED_VALUE"""),"ETIQUETADORA ENVOLVENTE")</f>
        <v>ETIQUETADORA ENVOLVENTE</v>
      </c>
      <c r="C12" s="73" t="str">
        <f ca="1">IFERROR(__xludf.DUMMYFUNCTION("""COMPUTED_VALUE"""),"NUMERO DE CORTES MENSUALES (AGR 1 Y2)")</f>
        <v>NUMERO DE CORTES MENSUALES (AGR 1 Y2)</v>
      </c>
      <c r="D12" s="73" t="str">
        <f ca="1">IFERROR(__xludf.DUMMYFUNCTION("""COMPUTED_VALUE"""),"Gordillo Victoria Luis Miguel")</f>
        <v>Gordillo Victoria Luis Miguel</v>
      </c>
      <c r="E12" s="73" t="str">
        <f ca="1">IFERROR(__xludf.DUMMYFUNCTION("""COMPUTED_VALUE"""),"Cuchilla del agregado 1 despicada         ")</f>
        <v xml:space="preserve">Cuchilla del agregado 1 despicada         </v>
      </c>
      <c r="F12" s="73" t="str">
        <f ca="1">IFERROR(__xludf.DUMMYFUNCTION("""COMPUTED_VALUE"""),"Cuchilla agregado 1 despicada 
 Cuchilla agregado 2 despicada se cambia por una de segunda")</f>
        <v>Cuchilla agregado 1 despicada 
 Cuchilla agregado 2 despicada se cambia por una de segunda</v>
      </c>
      <c r="G12" s="9"/>
      <c r="H12" s="9"/>
      <c r="I12" s="9"/>
      <c r="J12" s="9"/>
      <c r="K12" s="9"/>
      <c r="L12" s="9"/>
      <c r="M12" s="9"/>
      <c r="N12" s="9"/>
      <c r="O12" s="9"/>
      <c r="P12" s="9"/>
      <c r="Q12" s="9"/>
      <c r="R12" s="9"/>
      <c r="S12" s="9"/>
      <c r="T12" s="9"/>
      <c r="U12" s="9"/>
      <c r="V12" s="9"/>
      <c r="W12" s="9"/>
      <c r="X12" s="9"/>
      <c r="Y12" s="9"/>
      <c r="Z12" s="9"/>
    </row>
    <row r="13" spans="1:26" ht="15.75" customHeight="1">
      <c r="A13" s="72" t="str">
        <f ca="1">IFERROR(__xludf.DUMMYFUNCTION("""COMPUTED_VALUE"""),"LINEA DE ENVASADO PET NO RETORNABLE")</f>
        <v>LINEA DE ENVASADO PET NO RETORNABLE</v>
      </c>
      <c r="B13" s="72" t="str">
        <f ca="1">IFERROR(__xludf.DUMMYFUNCTION("""COMPUTED_VALUE"""),"ETIQUETADORA")</f>
        <v>ETIQUETADORA</v>
      </c>
      <c r="C13" s="72" t="str">
        <f ca="1">IFERROR(__xludf.DUMMYFUNCTION("""COMPUTED_VALUE"""),"INSP TABLERO ELECTRICO/CLIMATIZADOR")</f>
        <v>INSP TABLERO ELECTRICO/CLIMATIZADOR</v>
      </c>
      <c r="D13" s="72" t="str">
        <f ca="1">IFERROR(__xludf.DUMMYFUNCTION("""COMPUTED_VALUE"""),"Sanchez Rodriguez Gerson Andres")</f>
        <v>Sanchez Rodriguez Gerson Andres</v>
      </c>
      <c r="E13" s="72" t="str">
        <f ca="1">IFERROR(__xludf.DUMMYFUNCTION("""COMPUTED_VALUE"""),"Novedad en el climatizador, armario eléctrico permanece con la puerta abierta.")</f>
        <v>Novedad en el climatizador, armario eléctrico permanece con la puerta abierta.</v>
      </c>
      <c r="F13" s="72" t="str">
        <f ca="1">IFERROR(__xludf.DUMMYFUNCTION("""COMPUTED_VALUE"""),"Armario eléctrico permanece abierto por novedad en climatizador.")</f>
        <v>Armario eléctrico permanece abierto por novedad en climatizador.</v>
      </c>
      <c r="G13" s="9"/>
      <c r="H13" s="9"/>
      <c r="I13" s="9"/>
      <c r="J13" s="9"/>
      <c r="K13" s="9"/>
      <c r="L13" s="9"/>
      <c r="M13" s="9"/>
      <c r="N13" s="9"/>
      <c r="O13" s="9"/>
      <c r="P13" s="9"/>
      <c r="Q13" s="9"/>
      <c r="R13" s="9"/>
      <c r="S13" s="9"/>
      <c r="T13" s="9"/>
      <c r="U13" s="9"/>
      <c r="V13" s="9"/>
      <c r="W13" s="9"/>
      <c r="X13" s="9"/>
      <c r="Y13" s="9"/>
      <c r="Z13" s="9"/>
    </row>
    <row r="14" spans="1:26" ht="15.75" customHeight="1">
      <c r="A14" s="73" t="str">
        <f ca="1">IFERROR(__xludf.DUMMYFUNCTION("""COMPUTED_VALUE"""),"LINEA PET CSD - LINEA 10")</f>
        <v>LINEA PET CSD - LINEA 10</v>
      </c>
      <c r="B14" s="73" t="str">
        <f ca="1">IFERROR(__xludf.DUMMYFUNCTION("""COMPUTED_VALUE"""),"LLENADORA DE BOTELLAS PET 162 VALVULAS")</f>
        <v>LLENADORA DE BOTELLAS PET 162 VALVULAS</v>
      </c>
      <c r="C14" s="73" t="str">
        <f ca="1">IFERROR(__xludf.DUMMYFUNCTION("""COMPUTED_VALUE"""),"ESTADO BANDAS ALIMENTACION (TAPONADOR)")</f>
        <v>ESTADO BANDAS ALIMENTACION (TAPONADOR)</v>
      </c>
      <c r="D14" s="73" t="str">
        <f ca="1">IFERROR(__xludf.DUMMYFUNCTION("""COMPUTED_VALUE"""),"Duran Sanchez Nelson Fernando")</f>
        <v>Duran Sanchez Nelson Fernando</v>
      </c>
      <c r="E14" s="73" t="str">
        <f ca="1">IFERROR(__xludf.DUMMYFUNCTION("""COMPUTED_VALUE"""),"Banda de transporte de tapa entre cascada y disco superior con desgaste  se observa mayor desgaste hacía un lado específico.")</f>
        <v>Banda de transporte de tapa entre cascada y disco superior con desgaste  se observa mayor desgaste hacía un lado específico.</v>
      </c>
      <c r="F14" s="73" t="str">
        <f ca="1">IFERROR(__xludf.DUMMYFUNCTION("""COMPUTED_VALUE"""),"Banda presenta desgaste, en un lado, se puede cambiar posición para que el desgaste sea parejo.")</f>
        <v>Banda presenta desgaste, en un lado, se puede cambiar posición para que el desgaste sea parejo.</v>
      </c>
      <c r="G14" s="9"/>
      <c r="H14" s="9"/>
      <c r="I14" s="9"/>
      <c r="J14" s="9"/>
      <c r="K14" s="9"/>
      <c r="L14" s="9"/>
      <c r="M14" s="9"/>
      <c r="N14" s="9"/>
      <c r="O14" s="9"/>
      <c r="P14" s="9"/>
      <c r="Q14" s="9"/>
      <c r="R14" s="9"/>
      <c r="S14" s="9"/>
      <c r="T14" s="9"/>
      <c r="U14" s="9"/>
      <c r="V14" s="9"/>
      <c r="W14" s="9"/>
      <c r="X14" s="9"/>
      <c r="Y14" s="9"/>
      <c r="Z14" s="9"/>
    </row>
    <row r="15" spans="1:26" ht="15.75" customHeight="1">
      <c r="A15" s="72" t="str">
        <f ca="1">IFERROR(__xludf.DUMMYFUNCTION("""COMPUTED_VALUE"""),"LINEA PET CSD - LINEA 10")</f>
        <v>LINEA PET CSD - LINEA 10</v>
      </c>
      <c r="B15" s="72" t="str">
        <f ca="1">IFERROR(__xludf.DUMMYFUNCTION("""COMPUTED_VALUE"""),"LLENADORA DE BOTELLAS PET 162 VALVULAS")</f>
        <v>LLENADORA DE BOTELLAS PET 162 VALVULAS</v>
      </c>
      <c r="C15" s="72" t="str">
        <f ca="1">IFERROR(__xludf.DUMMYFUNCTION("""COMPUTED_VALUE"""),"CORONADORES (TAPONADOR)")</f>
        <v>CORONADORES (TAPONADOR)</v>
      </c>
      <c r="D15" s="72" t="str">
        <f ca="1">IFERROR(__xludf.DUMMYFUNCTION("""COMPUTED_VALUE"""),"Duran Sanchez Nelson Fernando")</f>
        <v>Duran Sanchez Nelson Fernando</v>
      </c>
      <c r="E15" s="72" t="str">
        <f ca="1">IFERROR(__xludf.DUMMYFUNCTION("""COMPUTED_VALUE"""),"Antigiros con desgaste evidente en su gran mayoría lo quepuede provocar mal posicionamiento denla tapa en la botella y bajo torque.")</f>
        <v>Antigiros con desgaste evidente en su gran mayoría lo quepuede provocar mal posicionamiento denla tapa en la botella y bajo torque.</v>
      </c>
      <c r="F15" s="72" t="str">
        <f ca="1">IFERROR(__xludf.DUMMYFUNCTION("""COMPUTED_VALUE"""),"Se evidencia ripio en base soporte botella coronadores.")</f>
        <v>Se evidencia ripio en base soporte botella coronadores.</v>
      </c>
      <c r="G15" s="9"/>
      <c r="H15" s="9"/>
      <c r="I15" s="9"/>
      <c r="J15" s="9"/>
      <c r="K15" s="9"/>
      <c r="L15" s="9"/>
      <c r="M15" s="9"/>
      <c r="N15" s="9"/>
      <c r="O15" s="9"/>
      <c r="P15" s="9"/>
      <c r="Q15" s="9"/>
      <c r="R15" s="9"/>
      <c r="S15" s="9"/>
      <c r="T15" s="9"/>
      <c r="U15" s="9"/>
      <c r="V15" s="9"/>
      <c r="W15" s="9"/>
      <c r="X15" s="9"/>
      <c r="Y15" s="9"/>
      <c r="Z15" s="9"/>
    </row>
    <row r="16" spans="1:26" ht="15.75" customHeight="1">
      <c r="A16" s="73"/>
      <c r="B16" s="73"/>
      <c r="C16" s="73"/>
      <c r="D16" s="73"/>
      <c r="E16" s="73"/>
      <c r="F16" s="73"/>
      <c r="G16" s="9"/>
      <c r="H16" s="9"/>
      <c r="I16" s="9"/>
      <c r="J16" s="9"/>
      <c r="K16" s="9"/>
      <c r="L16" s="9"/>
      <c r="M16" s="9"/>
      <c r="N16" s="9"/>
      <c r="O16" s="9"/>
      <c r="P16" s="9"/>
      <c r="Q16" s="9"/>
      <c r="R16" s="9"/>
      <c r="S16" s="9"/>
      <c r="T16" s="9"/>
      <c r="U16" s="9"/>
      <c r="V16" s="9"/>
      <c r="W16" s="9"/>
      <c r="X16" s="9"/>
      <c r="Y16" s="9"/>
      <c r="Z16" s="9"/>
    </row>
    <row r="17" spans="1:26" ht="15.75" customHeight="1">
      <c r="A17" s="72"/>
      <c r="B17" s="72"/>
      <c r="C17" s="72"/>
      <c r="D17" s="72"/>
      <c r="E17" s="72"/>
      <c r="F17" s="72"/>
      <c r="G17" s="9"/>
      <c r="H17" s="9"/>
      <c r="I17" s="9"/>
      <c r="J17" s="9"/>
      <c r="K17" s="9"/>
      <c r="L17" s="9"/>
      <c r="M17" s="9"/>
      <c r="N17" s="9"/>
      <c r="O17" s="9"/>
      <c r="P17" s="9"/>
      <c r="Q17" s="9"/>
      <c r="R17" s="9"/>
      <c r="S17" s="9"/>
      <c r="T17" s="9"/>
      <c r="U17" s="9"/>
      <c r="V17" s="9"/>
      <c r="W17" s="9"/>
      <c r="X17" s="9"/>
      <c r="Y17" s="9"/>
      <c r="Z17" s="9"/>
    </row>
    <row r="18" spans="1:26" ht="15.75" customHeight="1">
      <c r="A18" s="73"/>
      <c r="B18" s="73"/>
      <c r="C18" s="73"/>
      <c r="D18" s="73"/>
      <c r="E18" s="73"/>
      <c r="F18" s="73"/>
      <c r="G18" s="9"/>
      <c r="H18" s="9"/>
      <c r="I18" s="9"/>
      <c r="J18" s="9"/>
      <c r="K18" s="9"/>
      <c r="L18" s="9"/>
      <c r="M18" s="9"/>
      <c r="N18" s="9"/>
      <c r="O18" s="9"/>
      <c r="P18" s="9"/>
      <c r="Q18" s="9"/>
      <c r="R18" s="9"/>
      <c r="S18" s="9"/>
      <c r="T18" s="9"/>
      <c r="U18" s="9"/>
      <c r="V18" s="9"/>
      <c r="W18" s="9"/>
      <c r="X18" s="9"/>
      <c r="Y18" s="9"/>
      <c r="Z18" s="9"/>
    </row>
    <row r="19" spans="1:26"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row>
    <row r="20" spans="1:26" ht="15.75" customHeight="1">
      <c r="A20" s="9"/>
      <c r="B20" s="9"/>
      <c r="C20" s="9"/>
      <c r="D20" s="9"/>
      <c r="E20" s="9"/>
      <c r="F20" s="9"/>
      <c r="G20" s="9"/>
      <c r="H20" s="9"/>
      <c r="I20" s="9"/>
      <c r="J20" s="9"/>
      <c r="K20" s="9"/>
      <c r="L20" s="9"/>
      <c r="M20" s="9"/>
      <c r="N20" s="9"/>
      <c r="O20" s="9"/>
      <c r="P20" s="9"/>
      <c r="Q20" s="9"/>
      <c r="R20" s="9"/>
      <c r="S20" s="9"/>
      <c r="T20" s="9"/>
      <c r="U20" s="9"/>
      <c r="V20" s="9"/>
      <c r="W20" s="9"/>
      <c r="X20" s="9"/>
      <c r="Y20" s="9"/>
      <c r="Z20" s="9"/>
    </row>
    <row r="21" spans="1:26"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row>
    <row r="22" spans="1:26"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row>
    <row r="23" spans="1:26"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row>
    <row r="24" spans="1:26"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row>
    <row r="25" spans="1:26"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row>
    <row r="26" spans="1:26"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row>
    <row r="27" spans="1:26"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row>
    <row r="28" spans="1:26"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row>
    <row r="29" spans="1:26"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row>
    <row r="30" spans="1:26"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row>
    <row r="31" spans="1:26"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row>
    <row r="32" spans="1:26"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row>
    <row r="33" spans="1:26"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row>
    <row r="34" spans="1:26"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row>
    <row r="35" spans="1:26"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row>
    <row r="36" spans="1:26"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row>
    <row r="37" spans="1:26"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row>
    <row r="38" spans="1:26"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row>
    <row r="39" spans="1:26"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row>
    <row r="40" spans="1:26"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row>
    <row r="41" spans="1:26"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row>
    <row r="42" spans="1:26"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row>
    <row r="43" spans="1:26"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row>
    <row r="44" spans="1:26"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row>
    <row r="45" spans="1:26"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row>
    <row r="46" spans="1:26"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row>
    <row r="47" spans="1:26"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row>
    <row r="48" spans="1:26"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row>
    <row r="49" spans="1:26"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row>
    <row r="50" spans="1:26"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row>
    <row r="51" spans="1:26"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row>
    <row r="52" spans="1:26"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row>
    <row r="53" spans="1:26"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row>
    <row r="54" spans="1:26"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row>
    <row r="55" spans="1:26"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row>
    <row r="56" spans="1:26"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row>
    <row r="57" spans="1:26"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row>
    <row r="58" spans="1:26"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row>
    <row r="59" spans="1:26"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row>
    <row r="60" spans="1:26"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row>
    <row r="61" spans="1:26"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row>
    <row r="62" spans="1:26"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row>
    <row r="63" spans="1:26"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row>
    <row r="64" spans="1:26"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row>
    <row r="65" spans="1:26"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row>
    <row r="66" spans="1:26"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row>
    <row r="67" spans="1:26"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row>
    <row r="69" spans="1:26"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row>
    <row r="70" spans="1:26"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row>
    <row r="71" spans="1:26"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row>
    <row r="72" spans="1:26"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row>
    <row r="73" spans="1:26"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row>
    <row r="74" spans="1:26"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row>
    <row r="75" spans="1:26"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row>
    <row r="76" spans="1:26"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row>
    <row r="77" spans="1:26"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row>
    <row r="78" spans="1:26"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row>
    <row r="79" spans="1:26"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row>
    <row r="81" spans="1:26"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row>
    <row r="82" spans="1:26"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row>
    <row r="83" spans="1:26"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row>
    <row r="84" spans="1:26"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row>
    <row r="85" spans="1:26"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row>
    <row r="86" spans="1:26"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5.7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5.7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5.7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5.7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5.7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5.7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5.7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5.7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5.7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5.7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5.7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5.7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5.7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5.7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5.7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5.7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5.7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5.7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5.7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5.7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5.7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5.7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5.7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5.7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5.7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5.7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5.7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5.7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5.7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5.7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5.7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5.7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5.7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5.7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5.7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5.7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5.7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5.7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5.7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5.7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5.7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5.7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5.7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5.7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5.7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5.7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5.7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5.7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5.7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5.7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5.7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5.7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5.7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5.7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5.7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5.7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5.7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5.7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5.7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5.7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5.7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5.7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5.7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5.7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5.7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5.7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5.7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5.7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5.7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5.7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5.7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5.7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5.7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5.7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5.7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5.7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5.7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5.7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5.7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5.7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5.7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5.7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5.7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5.7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5.7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5.7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5.7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5.7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5.7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5.7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5.7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5.7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5.7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5.7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5.7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5.7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5.7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5.7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5.7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5.7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5.7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5.7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5.7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5.7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5.7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5.7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5.7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5.7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5.7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5.7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5.7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5.7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5.7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5.7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5.7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5.7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5.7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5.7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5.7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5.7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5.7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5.7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5.7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5.7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5.7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5.7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5.7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5.7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5.7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5.7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5.7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5.7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5.7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5.7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5.7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5.7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5.7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5.7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5.7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5.7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5.7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5.7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5.7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5.7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5.7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5.7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5.7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5.7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5.7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5.7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5.7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5.7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5.7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5.7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5.7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5.7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5.7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5.7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5.7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5.7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5.7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5.7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5.7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5.7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5.7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5.7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5.7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5.7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5.7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5.7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5.7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5.7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5.7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5.7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5.7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5.7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5.7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5.7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5.7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5.7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5.7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5.7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5.7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5.7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5.7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5.7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5.7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5.7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5.7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5.7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5.7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5.7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5.7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5.7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5.7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5.7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5.7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5.7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5.7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5.7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5.7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5.7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5.7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5.7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5.7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5.7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5.7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5.7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5.7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5.7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5.7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5.7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5.7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5.7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5.7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5.7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5.7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5.7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5.7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5.7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5.7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5.7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5.7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5.7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5.7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5.7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5.7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5.7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5.7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5.7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5.7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5.7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5.7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5.7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5.7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5.7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5.7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5.7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5.7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5.7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5.7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5.7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5.7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5.7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5.7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5.7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5.7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5.7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5.7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5.7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5.7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5.7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5.7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5.7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5.7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5.7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5.7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5.7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5.7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5.7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5.7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5.7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5.7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5.7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5.7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5.7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5.7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5.7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5.7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5.7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5.7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5.7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5.7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5.7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5.7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5.7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5.7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5.7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5.7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5.7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5.7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5.7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5.7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5.7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5.7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5.7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5.7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5.7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5.7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5.7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5.7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5.7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5.7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5.7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5.7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5.7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5.7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5.7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5.7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5.7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5.7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5.7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5.7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5.7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5.7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5.7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5.7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5.7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5.7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5.7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5.7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5.7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5.7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5.7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5.7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5.7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5.7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5.7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5.7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5.7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5.7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5.7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5.7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5.7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5.7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5.7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5.7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5.7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5.7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5.7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5.7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5.7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5.7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5.7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5.7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5.7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5.7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5.7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5.7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5.7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5.7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5.7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5.7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5.7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5.7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5.7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5.7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5.7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5.7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5.7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5.7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5.7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5.7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5.7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5.7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5.7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5.7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5.7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5.7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5.7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5.7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5.7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5.7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5.7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5.7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5.7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5.7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5.7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5.7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5.7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5.7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5.7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5.7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5.7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5.7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5.7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5.7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5.7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5.7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5.7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5.7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5.7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5.7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5.7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5.7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5.7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5.7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5.7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5.7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5.7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5.7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5.7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5.7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5.7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5.7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5.7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5.7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5.7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5.7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5.7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5.7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5.7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5.7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5.7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5.7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5.7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5.7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5.7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5.7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5.7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5.7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5.7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5.7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5.7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5.7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5.7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5.7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5.7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5.7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5.7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5.7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5.7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5.7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5.7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5.7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5.7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5.7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5.7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5.7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5.7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5.7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5.7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5.7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5.7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5.7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5.7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5.7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5.7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5.7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5.7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5.7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5.7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5.7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5.7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5.7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5.7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5.7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5.7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5.7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5.7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5.7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5.7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5.7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5.7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5.7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5.7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5.7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5.7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5.7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5.7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5.7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5.7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5.7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5.7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5.7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5.7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5.7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5.7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5.7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5.7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5.7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5.7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5.7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5.7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5.7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5.7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5.7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5.7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5.7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5.7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5.7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5.7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5.7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5.7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5.7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5.7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5.7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5.7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5.7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5.7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5.7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5.7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5.7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5.7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5.7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5.7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5.7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5.7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5.7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5.7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5.7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5.7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5.7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5.7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5.7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5.7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5.7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5.7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5.7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5.7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5.7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5.7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5.7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5.7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5.7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5.7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5.7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5.7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5.7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5.7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5.7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5.7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5.7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5.7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5.7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5.7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5.7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5.7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5.7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5.7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5.7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5.7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5.7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5.7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5.7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5.7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5.7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5.7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5.7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5.7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5.7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5.7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5.7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5.7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5.7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5.7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5.7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5.7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5.7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5.7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5.7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5.7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5.7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5.7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5.7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5.7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5.7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5.7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5.7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5.7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5.7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5.7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5.7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5.7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5.7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5.7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5.7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5.7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5.7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5.7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5.7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5.7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5.7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5.7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5.7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5.7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5.7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5.7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5.7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5.7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5.7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5.7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5.7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5.7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5.7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5.7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5.7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5.7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5.7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5.7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5.7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5.7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5.7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5.7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5.7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5.7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5.7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5.7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5.7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5.7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5.7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5.7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5.7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5.7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5.7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5.7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5.7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5.7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5.7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5.7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5.7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5.7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5.7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5.7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5.7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5.7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5.7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5.7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5.7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5.7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5.7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5.7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5.7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5.7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5.7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5.7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5.7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5.7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5.7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5.7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5.7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5.7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5.7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5.7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5.7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5.7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5.7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5.7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5.7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5.7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5.7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5.7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5.7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5.7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5.7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5.7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5.7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5.7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5.7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5.7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5.7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5.7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5.7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5.7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5.7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5.7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5.7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5.7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5.7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5.7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5.7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5.7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5.7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5.7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5.7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5.7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5.7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5.7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5.7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5.7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5.7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5.7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5.7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5.7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5.7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5.7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5.7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5.7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5.7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5.7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5.7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5.7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5.7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5.7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5.7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5.7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5.7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5.7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5.7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5.7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5.7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5.7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5.7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5.7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5.7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5.7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5.7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5.7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5.7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5.7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5.7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5.7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5.7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5.7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5.7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5.7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5.7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5.7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5.7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5.7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5.7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5.7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5.7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5.7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5.7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5.7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5.7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5.7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5.7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5.7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5.7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5.7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5.7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5.7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5.7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5.7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5.7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5.7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5.7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5.7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5.7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5.7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5.7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5.7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5.7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5.7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5.7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5.7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5.7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5.7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5.7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5.7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5.7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5.7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5.7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5.7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5.7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5.7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5.7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5.7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5.7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5.7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5.7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5.7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5.7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5.7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5.7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5.7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5.7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5.7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5.7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5.7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5.7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5.7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5.7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5.7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5.7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5.7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5.7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5.7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5.7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5.7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5.7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5.7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5.7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5.7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5.7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5.7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5.7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5.7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5.7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5.7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5.7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5.7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5.7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5.7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5.7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5.7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5.7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5.7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5.7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5.7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5.7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5.7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5.7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5.7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5.7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5.7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5.7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5.7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5.7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5.7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5.7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5.7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5.7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5.7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5.7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5.7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5.7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5.7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5.7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5.7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5.7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5.7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5.7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5.7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5.7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5.7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5.7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5.7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5.7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5.7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5.7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5.7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5.7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5.7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5.7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5.7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5.7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5.7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5.7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5.7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5.7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5.7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5.7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5.7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5.7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5.7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5.7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5.7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5.7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5.7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5.7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5.7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autoFilter ref="A1:F18" xr:uid="{00000000-0009-0000-0000-00000F00000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
  <sheetViews>
    <sheetView workbookViewId="0"/>
  </sheetViews>
  <sheetFormatPr baseColWidth="10" defaultColWidth="12.6640625" defaultRowHeight="15.7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R167"/>
  <sheetViews>
    <sheetView workbookViewId="0"/>
  </sheetViews>
  <sheetFormatPr baseColWidth="10" defaultColWidth="12.6640625" defaultRowHeight="15.75" customHeight="1"/>
  <cols>
    <col min="2" max="2" width="29.21875" customWidth="1"/>
  </cols>
  <sheetData>
    <row r="1" spans="1:18" ht="13.2">
      <c r="A1" s="74" t="s">
        <v>4542</v>
      </c>
      <c r="B1" s="74" t="s">
        <v>128</v>
      </c>
      <c r="C1" s="74" t="s">
        <v>2</v>
      </c>
      <c r="D1" s="74" t="s">
        <v>4543</v>
      </c>
      <c r="E1" s="74" t="s">
        <v>4544</v>
      </c>
      <c r="F1" s="74" t="s">
        <v>4545</v>
      </c>
      <c r="G1" s="74" t="s">
        <v>4546</v>
      </c>
      <c r="H1" s="74" t="s">
        <v>4547</v>
      </c>
      <c r="I1" s="74" t="s">
        <v>4548</v>
      </c>
      <c r="J1" s="3" t="s">
        <v>4549</v>
      </c>
      <c r="K1" s="3" t="s">
        <v>4550</v>
      </c>
      <c r="L1" s="3" t="s">
        <v>4551</v>
      </c>
      <c r="M1" s="3" t="s">
        <v>4552</v>
      </c>
      <c r="N1" s="3" t="s">
        <v>4553</v>
      </c>
      <c r="O1" s="3" t="s">
        <v>4554</v>
      </c>
      <c r="P1" s="5" t="s">
        <v>4555</v>
      </c>
      <c r="Q1" s="5" t="s">
        <v>4556</v>
      </c>
      <c r="R1" s="5" t="s">
        <v>4557</v>
      </c>
    </row>
    <row r="2" spans="1:18" ht="15.75" customHeight="1">
      <c r="A2" s="75">
        <v>20020754</v>
      </c>
      <c r="B2" s="75" t="s">
        <v>1842</v>
      </c>
      <c r="C2" s="13">
        <f>IFERROR(VLOOKUP(B2, 'Base de datos'!A:B, 2, FALSE), "")</f>
        <v>573112884549</v>
      </c>
      <c r="D2" s="29" t="e">
        <f t="shared" ref="D2:D166" ca="1" si="0">HYPERLINK("https://api.whatsapp.com/send?phone="&amp;_xludf.ENCODEURL(C2)&amp;"&amp;text="&amp;_xludf.ENCODEURL("Buen dia, veo que aun no reportas avisos M2"))</f>
        <v>#NAME?</v>
      </c>
      <c r="E2" s="3" t="s">
        <v>4558</v>
      </c>
      <c r="F2" s="3">
        <f>COUNTIF(IW29EDITAR!I:I,A2)</f>
        <v>11</v>
      </c>
      <c r="G2" s="3">
        <f>COUNTIF('M2'!J:J,B2)</f>
        <v>0</v>
      </c>
      <c r="H2" s="3">
        <f>SUMIF(IW29EDITAR!I:I,A2,IW29EDITAR!E:E)</f>
        <v>5.3</v>
      </c>
      <c r="I2" s="76">
        <f>SUMIF('M2'!J:J,B2,'M2'!E:E)</f>
        <v>0</v>
      </c>
      <c r="J2" s="77">
        <f>SUMIFS(IW29EDITAR!E:E, IW29EDITAR!I:I, A2, IW29EDITAR!H:H, "LINE 8")</f>
        <v>0</v>
      </c>
      <c r="K2" s="77">
        <f>SUMIFS(IW29EDITAR!E:E, IW29EDITAR!I:I, A2, IW29EDITAR!H:H, "LINE 10")</f>
        <v>0</v>
      </c>
      <c r="L2" s="77">
        <f>SUMIFS(IW29EDITAR!E:E, IW29EDITAR!I:I, A2, IW29EDITAR!H:H, "LINE 1")</f>
        <v>5.3</v>
      </c>
      <c r="M2" s="77">
        <f>SUMIFS(IW29EDITAR!E:E, IW29EDITAR!I:I, A2, IW29EDITAR!H:H, "LINE 2")</f>
        <v>0</v>
      </c>
      <c r="N2" s="77">
        <f>SUMIFS(IW29EDITAR!E:E, IW29EDITAR!I:I, A2, IW29EDITAR!H:H, "LINE 3")</f>
        <v>0</v>
      </c>
      <c r="O2" s="76">
        <f>SUMIFS(IW29EDITAR!E:E, IW29EDITAR!I:I, A2, IW29EDITAR!H:H, "LINE 4") + SUMIFS(IW29EDITAR!E:E, IW29EDITAR!I:I, A2, IW29EDITAR!H:H, "LINE 5")+SUMIFS(IW29EDITAR!E:E, IW29EDITAR!I:I, A2, IW29EDITAR!H:H, "LINE 6")</f>
        <v>0</v>
      </c>
      <c r="P2" s="5">
        <f ca="1">IFERROR(__xludf.DUMMYFUNCTION("UNIQUE(IW29EDITAR!I2:I1026)"),20009996)</f>
        <v>20009996</v>
      </c>
      <c r="Q2" s="5" t="str">
        <f ca="1">IF(ISNUMBER(VLOOKUP(P2,A2:A1026, 1, FALSE)), "Encontrado", "No Encontrado")</f>
        <v>Encontrado</v>
      </c>
      <c r="R2" s="5">
        <f>SUM(IW29EDITAR!E2:E1026)-H167</f>
        <v>59.6</v>
      </c>
    </row>
    <row r="3" spans="1:18" ht="15.75" customHeight="1">
      <c r="A3" s="5">
        <v>20019988</v>
      </c>
      <c r="B3" s="75" t="s">
        <v>4559</v>
      </c>
      <c r="C3" s="13">
        <f>IFERROR(VLOOKUP(B3, 'Base de datos'!A:B, 2, FALSE), "")</f>
        <v>573147103334</v>
      </c>
      <c r="D3" s="29" t="e">
        <f t="shared" ca="1" si="0"/>
        <v>#NAME?</v>
      </c>
      <c r="E3" s="3"/>
      <c r="F3" s="3">
        <f>COUNTIF(IW29EDITAR!I:I,A3)</f>
        <v>0</v>
      </c>
      <c r="G3" s="3">
        <f>COUNTIF('M2'!J:J,B3)</f>
        <v>0</v>
      </c>
      <c r="H3" s="3">
        <f>SUMIF(IW29EDITAR!I:I,A3,IW29EDITAR!E:E)</f>
        <v>0</v>
      </c>
      <c r="I3" s="76">
        <f>SUMIF('M2'!J:J,B3,'M2'!E:E)</f>
        <v>0</v>
      </c>
      <c r="J3" s="77">
        <f>SUMIFS(IW29EDITAR!E:E, IW29EDITAR!I:I, A3, IW29EDITAR!H:H, "LINE 8")</f>
        <v>0</v>
      </c>
      <c r="K3" s="77">
        <f>SUMIFS(IW29EDITAR!E:E, IW29EDITAR!I:I, A3, IW29EDITAR!H:H, "LINE 10")</f>
        <v>0</v>
      </c>
      <c r="L3" s="77">
        <f>SUMIFS(IW29EDITAR!E:E, IW29EDITAR!I:I, A3, IW29EDITAR!H:H, "LINE 1")</f>
        <v>0</v>
      </c>
      <c r="M3" s="77">
        <f>SUMIFS(IW29EDITAR!E:E, IW29EDITAR!I:I, A3, IW29EDITAR!H:H, "LINE 2")</f>
        <v>0</v>
      </c>
      <c r="N3" s="77">
        <f>SUMIFS(IW29EDITAR!E:E, IW29EDITAR!I:I, A3, IW29EDITAR!H:H, "LINE 3")</f>
        <v>0</v>
      </c>
      <c r="O3" s="76">
        <f>SUMIFS(IW29EDITAR!E:E, IW29EDITAR!I:I, A3, IW29EDITAR!H:H, "LINE 4") + SUMIFS(IW29EDITAR!E:E, IW29EDITAR!I:I, A3, IW29EDITAR!H:H, "LINE 5")+SUMIFS(IW29EDITAR!E:E, IW29EDITAR!I:I, A3, IW29EDITAR!H:H, "LINE 6")</f>
        <v>0</v>
      </c>
      <c r="P3" s="5">
        <f ca="1">IFERROR(__xludf.DUMMYFUNCTION("""COMPUTED_VALUE"""),20009721)</f>
        <v>20009721</v>
      </c>
      <c r="Q3" s="5" t="str">
        <f ca="1">IF(ISNUMBER(VLOOKUP(P3,A2:A1026, 1, FALSE)), "Encontrado", "No Encontrado")</f>
        <v>Encontrado</v>
      </c>
    </row>
    <row r="4" spans="1:18" ht="15.75" customHeight="1">
      <c r="A4" s="75">
        <v>20009758</v>
      </c>
      <c r="B4" s="75" t="s">
        <v>2526</v>
      </c>
      <c r="C4" s="13">
        <f>IFERROR(VLOOKUP(B4, 'Base de datos'!A:B, 2, FALSE), "")</f>
        <v>573053427911</v>
      </c>
      <c r="D4" s="29" t="e">
        <f t="shared" ca="1" si="0"/>
        <v>#NAME?</v>
      </c>
      <c r="E4" s="3"/>
      <c r="F4" s="3">
        <f>COUNTIF(IW29EDITAR!I:I,A4)</f>
        <v>6</v>
      </c>
      <c r="G4" s="3">
        <f>COUNTIF('M2'!J:J,B4)</f>
        <v>0</v>
      </c>
      <c r="H4" s="3">
        <f>SUMIF(IW29EDITAR!I:I,A4,IW29EDITAR!E:E)</f>
        <v>2.6</v>
      </c>
      <c r="I4" s="76">
        <f>SUMIF('M2'!J:J,B4,'M2'!E:E)</f>
        <v>0</v>
      </c>
      <c r="J4" s="77">
        <f>SUMIFS(IW29EDITAR!E:E, IW29EDITAR!I:I, A4, IW29EDITAR!H:H, "LINE 8")</f>
        <v>2.6</v>
      </c>
      <c r="K4" s="77">
        <f>SUMIFS(IW29EDITAR!E:E, IW29EDITAR!I:I, A4, IW29EDITAR!H:H, "LINE 10")</f>
        <v>0</v>
      </c>
      <c r="L4" s="77">
        <f>SUMIFS(IW29EDITAR!E:E, IW29EDITAR!I:I, A4, IW29EDITAR!H:H, "LINE 1")</f>
        <v>0</v>
      </c>
      <c r="M4" s="77">
        <f>SUMIFS(IW29EDITAR!E:E, IW29EDITAR!I:I, A4, IW29EDITAR!H:H, "LINE 2")</f>
        <v>0</v>
      </c>
      <c r="N4" s="77">
        <f>SUMIFS(IW29EDITAR!E:E, IW29EDITAR!I:I, A4, IW29EDITAR!H:H, "LINE 3")</f>
        <v>0</v>
      </c>
      <c r="O4" s="76">
        <f>SUMIFS(IW29EDITAR!E:E, IW29EDITAR!I:I, A4, IW29EDITAR!H:H, "LINE 4") + SUMIFS(IW29EDITAR!E:E, IW29EDITAR!I:I, A4, IW29EDITAR!H:H, "LINE 5")+SUMIFS(IW29EDITAR!E:E, IW29EDITAR!I:I, A4, IW29EDITAR!H:H, "LINE 6")</f>
        <v>0</v>
      </c>
      <c r="P4" s="5"/>
      <c r="Q4" s="5" t="str">
        <f t="shared" ref="Q4:Q6" si="1">IF(ISNUMBER(VLOOKUP(P4,A2:A1026, 1, FALSE)), "Encontrado", "No Encontrado")</f>
        <v>No Encontrado</v>
      </c>
    </row>
    <row r="5" spans="1:18" ht="15.75" customHeight="1">
      <c r="A5" s="75">
        <v>20027410</v>
      </c>
      <c r="B5" s="75" t="s">
        <v>2799</v>
      </c>
      <c r="C5" s="13">
        <f>IFERROR(VLOOKUP(B5, 'Base de datos'!A:B, 2, FALSE), "")</f>
        <v>573016653684</v>
      </c>
      <c r="D5" s="29" t="e">
        <f t="shared" ca="1" si="0"/>
        <v>#NAME?</v>
      </c>
      <c r="E5" s="3" t="s">
        <v>4560</v>
      </c>
      <c r="F5" s="3">
        <f>COUNTIF(IW29EDITAR!I:I,A5)</f>
        <v>1</v>
      </c>
      <c r="G5" s="3">
        <f>COUNTIF('M2'!J:J,B5)</f>
        <v>0</v>
      </c>
      <c r="H5" s="3">
        <f>SUMIF(IW29EDITAR!I:I,A5,IW29EDITAR!E:E)</f>
        <v>3.17</v>
      </c>
      <c r="I5" s="76">
        <f>SUMIF('M2'!J:J,B5,'M2'!E:E)</f>
        <v>0</v>
      </c>
      <c r="J5" s="77">
        <f>SUMIFS(IW29EDITAR!E:E, IW29EDITAR!I:I, A5, IW29EDITAR!H:H, "LINE 8")</f>
        <v>0</v>
      </c>
      <c r="K5" s="77">
        <f>SUMIFS(IW29EDITAR!E:E, IW29EDITAR!I:I, A5, IW29EDITAR!H:H, "LINE 10")</f>
        <v>0</v>
      </c>
      <c r="L5" s="77">
        <f>SUMIFS(IW29EDITAR!E:E, IW29EDITAR!I:I, A5, IW29EDITAR!H:H, "LINE 1")</f>
        <v>3.17</v>
      </c>
      <c r="M5" s="77">
        <f>SUMIFS(IW29EDITAR!E:E, IW29EDITAR!I:I, A5, IW29EDITAR!H:H, "LINE 2")</f>
        <v>0</v>
      </c>
      <c r="N5" s="77">
        <f>SUMIFS(IW29EDITAR!E:E, IW29EDITAR!I:I, A5, IW29EDITAR!H:H, "LINE 3")</f>
        <v>0</v>
      </c>
      <c r="O5" s="76">
        <f>SUMIFS(IW29EDITAR!E:E, IW29EDITAR!I:I, A5, IW29EDITAR!H:H, "LINE 4") + SUMIFS(IW29EDITAR!E:E, IW29EDITAR!I:I, A5, IW29EDITAR!H:H, "LINE 5")+SUMIFS(IW29EDITAR!E:E, IW29EDITAR!I:I, A5, IW29EDITAR!H:H, "LINE 6")</f>
        <v>0</v>
      </c>
      <c r="P5" s="5">
        <f ca="1">IFERROR(__xludf.DUMMYFUNCTION("""COMPUTED_VALUE"""),20062740)</f>
        <v>20062740</v>
      </c>
      <c r="Q5" s="5" t="str">
        <f t="shared" ca="1" si="1"/>
        <v>Encontrado</v>
      </c>
    </row>
    <row r="6" spans="1:18" ht="15.75" customHeight="1">
      <c r="A6" s="75">
        <v>20053240</v>
      </c>
      <c r="B6" s="75" t="s">
        <v>4561</v>
      </c>
      <c r="C6" s="13">
        <f>IFERROR(VLOOKUP(B6, 'Base de datos'!A:B, 2, FALSE), "")</f>
        <v>573194602264</v>
      </c>
      <c r="D6" s="29" t="e">
        <f t="shared" ca="1" si="0"/>
        <v>#NAME?</v>
      </c>
      <c r="E6" s="3"/>
      <c r="F6" s="3">
        <f>COUNTIF(IW29EDITAR!I:I,A6)</f>
        <v>0</v>
      </c>
      <c r="G6" s="3">
        <f>COUNTIF('M2'!J:J,B6)</f>
        <v>0</v>
      </c>
      <c r="H6" s="3">
        <f>SUMIF(IW29EDITAR!I:I,A6,IW29EDITAR!E:E)</f>
        <v>0</v>
      </c>
      <c r="I6" s="76">
        <f>SUMIF('M2'!J:J,B6,'M2'!E:E)</f>
        <v>0</v>
      </c>
      <c r="J6" s="77">
        <f>SUMIFS(IW29EDITAR!E:E, IW29EDITAR!I:I, A6, IW29EDITAR!H:H, "LINE 8")</f>
        <v>0</v>
      </c>
      <c r="K6" s="77">
        <f>SUMIFS(IW29EDITAR!E:E, IW29EDITAR!I:I, A6, IW29EDITAR!H:H, "LINE 10")</f>
        <v>0</v>
      </c>
      <c r="L6" s="77">
        <f>SUMIFS(IW29EDITAR!E:E, IW29EDITAR!I:I, A6, IW29EDITAR!H:H, "LINE 1")</f>
        <v>0</v>
      </c>
      <c r="M6" s="77">
        <f>SUMIFS(IW29EDITAR!E:E, IW29EDITAR!I:I, A6, IW29EDITAR!H:H, "LINE 2")</f>
        <v>0</v>
      </c>
      <c r="N6" s="77">
        <f>SUMIFS(IW29EDITAR!E:E, IW29EDITAR!I:I, A6, IW29EDITAR!H:H, "LINE 3")</f>
        <v>0</v>
      </c>
      <c r="O6" s="76">
        <f>SUMIFS(IW29EDITAR!E:E, IW29EDITAR!I:I, A6, IW29EDITAR!H:H, "LINE 4") + SUMIFS(IW29EDITAR!E:E, IW29EDITAR!I:I, A6, IW29EDITAR!H:H, "LINE 5")+SUMIFS(IW29EDITAR!E:E, IW29EDITAR!I:I, A6, IW29EDITAR!H:H, "LINE 6")</f>
        <v>0</v>
      </c>
      <c r="P6" s="5">
        <f ca="1">IFERROR(__xludf.DUMMYFUNCTION("""COMPUTED_VALUE"""),20036419)</f>
        <v>20036419</v>
      </c>
      <c r="Q6" s="5" t="str">
        <f t="shared" ca="1" si="1"/>
        <v>Encontrado</v>
      </c>
    </row>
    <row r="7" spans="1:18" ht="15.75" customHeight="1">
      <c r="A7" s="75">
        <v>20065447</v>
      </c>
      <c r="B7" s="75" t="s">
        <v>4562</v>
      </c>
      <c r="C7" s="13">
        <f>IFERROR(VLOOKUP(B7, 'Base de datos'!A:B, 2, FALSE), "")</f>
        <v>573023403586</v>
      </c>
      <c r="D7" s="29" t="e">
        <f t="shared" ca="1" si="0"/>
        <v>#NAME?</v>
      </c>
      <c r="E7" s="3" t="s">
        <v>4563</v>
      </c>
      <c r="F7" s="3">
        <f>COUNTIF(IW29EDITAR!I:I,A7)</f>
        <v>3</v>
      </c>
      <c r="G7" s="3">
        <f>COUNTIF('M2'!J:J,B7)</f>
        <v>0</v>
      </c>
      <c r="H7" s="3">
        <f>SUMIF(IW29EDITAR!I:I,A7,IW29EDITAR!E:E)</f>
        <v>0.22999999999999998</v>
      </c>
      <c r="I7" s="76">
        <f>SUMIF('M2'!J:J,B7,'M2'!E:E)</f>
        <v>0</v>
      </c>
      <c r="J7" s="77">
        <f>SUMIFS(IW29EDITAR!E:E, IW29EDITAR!I:I, A7, IW29EDITAR!H:H, "LINE 8")</f>
        <v>0</v>
      </c>
      <c r="K7" s="77">
        <f>SUMIFS(IW29EDITAR!E:E, IW29EDITAR!I:I, A7, IW29EDITAR!H:H, "LINE 10")</f>
        <v>0</v>
      </c>
      <c r="L7" s="77">
        <f>SUMIFS(IW29EDITAR!E:E, IW29EDITAR!I:I, A7, IW29EDITAR!H:H, "LINE 1")</f>
        <v>0</v>
      </c>
      <c r="M7" s="77">
        <f>SUMIFS(IW29EDITAR!E:E, IW29EDITAR!I:I, A7, IW29EDITAR!H:H, "LINE 2")</f>
        <v>0</v>
      </c>
      <c r="N7" s="77">
        <f>SUMIFS(IW29EDITAR!E:E, IW29EDITAR!I:I, A7, IW29EDITAR!H:H, "LINE 3")</f>
        <v>0</v>
      </c>
      <c r="O7" s="76">
        <f>SUMIFS(IW29EDITAR!E:E, IW29EDITAR!I:I, A7, IW29EDITAR!H:H, "LINE 4") + SUMIFS(IW29EDITAR!E:E, IW29EDITAR!I:I, A7, IW29EDITAR!H:H, "LINE 5")+SUMIFS(IW29EDITAR!E:E, IW29EDITAR!I:I, A7, IW29EDITAR!H:H, "LINE 6")</f>
        <v>0.23000000000000004</v>
      </c>
      <c r="P7" s="5">
        <f ca="1">IFERROR(__xludf.DUMMYFUNCTION("""COMPUTED_VALUE"""),20010206)</f>
        <v>20010206</v>
      </c>
      <c r="Q7" s="5" t="str">
        <f t="shared" ref="Q7:Q8" ca="1" si="2">IF(ISNUMBER(VLOOKUP(P7,A4:A1026, 1, FALSE)), "Encontrado", "No Encontrado")</f>
        <v>Encontrado</v>
      </c>
    </row>
    <row r="8" spans="1:18" ht="15.75" customHeight="1">
      <c r="A8" s="75">
        <v>20009915</v>
      </c>
      <c r="B8" s="75" t="s">
        <v>4094</v>
      </c>
      <c r="C8" s="13">
        <f>IFERROR(VLOOKUP(B8, 'Base de datos'!A:B, 2, FALSE), "")</f>
        <v>573145758691</v>
      </c>
      <c r="D8" s="29" t="e">
        <f t="shared" ca="1" si="0"/>
        <v>#NAME?</v>
      </c>
      <c r="E8" s="3" t="s">
        <v>4564</v>
      </c>
      <c r="F8" s="3">
        <f>COUNTIF(IW29EDITAR!I:I,A8)</f>
        <v>13</v>
      </c>
      <c r="G8" s="3">
        <f>COUNTIF('M2'!J:J,B8)</f>
        <v>0</v>
      </c>
      <c r="H8" s="3">
        <f>SUMIF(IW29EDITAR!I:I,A8,IW29EDITAR!E:E)</f>
        <v>6.5</v>
      </c>
      <c r="I8" s="76">
        <f>SUMIF('M2'!J:J,B8,'M2'!E:E)</f>
        <v>0</v>
      </c>
      <c r="J8" s="77">
        <f>SUMIFS(IW29EDITAR!E:E, IW29EDITAR!I:I, A8, IW29EDITAR!H:H, "LINE 8")</f>
        <v>0</v>
      </c>
      <c r="K8" s="77">
        <f>SUMIFS(IW29EDITAR!E:E, IW29EDITAR!I:I, A8, IW29EDITAR!H:H, "LINE 10")</f>
        <v>0</v>
      </c>
      <c r="L8" s="77">
        <f>SUMIFS(IW29EDITAR!E:E, IW29EDITAR!I:I, A8, IW29EDITAR!H:H, "LINE 1")</f>
        <v>6.5</v>
      </c>
      <c r="M8" s="77">
        <f>SUMIFS(IW29EDITAR!E:E, IW29EDITAR!I:I, A8, IW29EDITAR!H:H, "LINE 2")</f>
        <v>0</v>
      </c>
      <c r="N8" s="77">
        <f>SUMIFS(IW29EDITAR!E:E, IW29EDITAR!I:I, A8, IW29EDITAR!H:H, "LINE 3")</f>
        <v>0</v>
      </c>
      <c r="O8" s="76">
        <f>SUMIFS(IW29EDITAR!E:E, IW29EDITAR!I:I, A8, IW29EDITAR!H:H, "LINE 4") + SUMIFS(IW29EDITAR!E:E, IW29EDITAR!I:I, A8, IW29EDITAR!H:H, "LINE 5")+SUMIFS(IW29EDITAR!E:E, IW29EDITAR!I:I, A8, IW29EDITAR!H:H, "LINE 6")</f>
        <v>0</v>
      </c>
      <c r="P8" s="5">
        <f ca="1">IFERROR(__xludf.DUMMYFUNCTION("""COMPUTED_VALUE"""),20065447)</f>
        <v>20065447</v>
      </c>
      <c r="Q8" s="5" t="str">
        <f t="shared" ca="1" si="2"/>
        <v>Encontrado</v>
      </c>
    </row>
    <row r="9" spans="1:18" ht="15.75" customHeight="1">
      <c r="A9" s="75">
        <v>20032893</v>
      </c>
      <c r="B9" s="75" t="s">
        <v>4565</v>
      </c>
      <c r="C9" s="13">
        <f>IFERROR(VLOOKUP(B9, 'Base de datos'!A:B, 2, FALSE), "")</f>
        <v>573122788043</v>
      </c>
      <c r="D9" s="29" t="e">
        <f t="shared" ca="1" si="0"/>
        <v>#NAME?</v>
      </c>
      <c r="E9" s="3" t="s">
        <v>4566</v>
      </c>
      <c r="F9" s="3">
        <f>COUNTIF(IW29EDITAR!I:I,A9)</f>
        <v>3</v>
      </c>
      <c r="G9" s="3">
        <f>COUNTIF('M2'!J:J,B9)</f>
        <v>0</v>
      </c>
      <c r="H9" s="3">
        <f>SUMIF(IW29EDITAR!I:I,A9,IW29EDITAR!E:E)</f>
        <v>0.85000000000000009</v>
      </c>
      <c r="I9" s="76">
        <f>SUMIF('M2'!J:J,B9,'M2'!E:E)</f>
        <v>0</v>
      </c>
      <c r="J9" s="77">
        <f>SUMIFS(IW29EDITAR!E:E, IW29EDITAR!I:I, A9, IW29EDITAR!H:H, "LINE 8")</f>
        <v>0</v>
      </c>
      <c r="K9" s="77">
        <f>SUMIFS(IW29EDITAR!E:E, IW29EDITAR!I:I, A9, IW29EDITAR!H:H, "LINE 10")</f>
        <v>0.85000000000000009</v>
      </c>
      <c r="L9" s="77">
        <f>SUMIFS(IW29EDITAR!E:E, IW29EDITAR!I:I, A9, IW29EDITAR!H:H, "LINE 1")</f>
        <v>0</v>
      </c>
      <c r="M9" s="77">
        <f>SUMIFS(IW29EDITAR!E:E, IW29EDITAR!I:I, A9, IW29EDITAR!H:H, "LINE 2")</f>
        <v>0</v>
      </c>
      <c r="N9" s="77">
        <f>SUMIFS(IW29EDITAR!E:E, IW29EDITAR!I:I, A9, IW29EDITAR!H:H, "LINE 3")</f>
        <v>0</v>
      </c>
      <c r="O9" s="76">
        <f>SUMIFS(IW29EDITAR!E:E, IW29EDITAR!I:I, A9, IW29EDITAR!H:H, "LINE 4") + SUMIFS(IW29EDITAR!E:E, IW29EDITAR!I:I, A9, IW29EDITAR!H:H, "LINE 5")+SUMIFS(IW29EDITAR!E:E, IW29EDITAR!I:I, A9, IW29EDITAR!H:H, "LINE 6")</f>
        <v>0</v>
      </c>
      <c r="P9" s="5">
        <f ca="1">IFERROR(__xludf.DUMMYFUNCTION("""COMPUTED_VALUE"""),20020754)</f>
        <v>20020754</v>
      </c>
      <c r="Q9" s="5" t="str">
        <f ca="1">IF(ISNUMBER(VLOOKUP(P9,A5:A1026, 1, FALSE)), "Encontrado", "No Encontrado")</f>
        <v>No Encontrado</v>
      </c>
    </row>
    <row r="10" spans="1:18" ht="15.75" customHeight="1">
      <c r="A10" s="75">
        <v>20031102</v>
      </c>
      <c r="B10" s="75" t="s">
        <v>1190</v>
      </c>
      <c r="C10" s="13">
        <f>IFERROR(VLOOKUP(B10, 'Base de datos'!A:B, 2, FALSE), "")</f>
        <v>573117137924</v>
      </c>
      <c r="D10" s="29" t="e">
        <f t="shared" ca="1" si="0"/>
        <v>#NAME?</v>
      </c>
      <c r="E10" s="3"/>
      <c r="F10" s="3">
        <f>COUNTIF(IW29EDITAR!I:I,A10)</f>
        <v>1</v>
      </c>
      <c r="G10" s="3">
        <f>COUNTIF('M2'!J:J,B10)</f>
        <v>0</v>
      </c>
      <c r="H10" s="3">
        <f>SUMIF(IW29EDITAR!I:I,A10,IW29EDITAR!E:E)</f>
        <v>0.1</v>
      </c>
      <c r="I10" s="76">
        <f>SUMIF('M2'!J:J,B10,'M2'!E:E)</f>
        <v>0</v>
      </c>
      <c r="J10" s="77">
        <f>SUMIFS(IW29EDITAR!E:E, IW29EDITAR!I:I, A10, IW29EDITAR!H:H, "LINE 8")</f>
        <v>0</v>
      </c>
      <c r="K10" s="77">
        <f>SUMIFS(IW29EDITAR!E:E, IW29EDITAR!I:I, A10, IW29EDITAR!H:H, "LINE 10")</f>
        <v>0</v>
      </c>
      <c r="L10" s="77">
        <f>SUMIFS(IW29EDITAR!E:E, IW29EDITAR!I:I, A10, IW29EDITAR!H:H, "LINE 1")</f>
        <v>0</v>
      </c>
      <c r="M10" s="77">
        <f>SUMIFS(IW29EDITAR!E:E, IW29EDITAR!I:I, A10, IW29EDITAR!H:H, "LINE 2")</f>
        <v>0</v>
      </c>
      <c r="N10" s="77">
        <f>SUMIFS(IW29EDITAR!E:E, IW29EDITAR!I:I, A10, IW29EDITAR!H:H, "LINE 3")</f>
        <v>0.1</v>
      </c>
      <c r="O10" s="76">
        <f>SUMIFS(IW29EDITAR!E:E, IW29EDITAR!I:I, A10, IW29EDITAR!H:H, "LINE 4") + SUMIFS(IW29EDITAR!E:E, IW29EDITAR!I:I, A10, IW29EDITAR!H:H, "LINE 5")+SUMIFS(IW29EDITAR!E:E, IW29EDITAR!I:I, A10, IW29EDITAR!H:H, "LINE 6")</f>
        <v>0</v>
      </c>
      <c r="P10" s="5">
        <f ca="1">IFERROR(__xludf.DUMMYFUNCTION("""COMPUTED_VALUE"""),20009915)</f>
        <v>20009915</v>
      </c>
      <c r="Q10" s="5" t="str">
        <f ca="1">IF(ISNUMBER(VLOOKUP(P10,A5:A1026, 1, FALSE)), "Encontrado", "No Encontrado")</f>
        <v>Encontrado</v>
      </c>
    </row>
    <row r="11" spans="1:18" ht="15.75" customHeight="1">
      <c r="A11" s="75">
        <v>20000012</v>
      </c>
      <c r="B11" s="75" t="s">
        <v>4567</v>
      </c>
      <c r="C11" s="13" t="str">
        <f>IFERROR(VLOOKUP(B11, 'Base de datos'!A:B, 2, FALSE), "")</f>
        <v/>
      </c>
      <c r="D11" s="29" t="e">
        <f t="shared" ca="1" si="0"/>
        <v>#NAME?</v>
      </c>
      <c r="E11" s="3"/>
      <c r="F11" s="3">
        <f>COUNTIF(IW29EDITAR!I:I,A11)</f>
        <v>0</v>
      </c>
      <c r="G11" s="3">
        <f>COUNTIF('M2'!J:J,B11)</f>
        <v>0</v>
      </c>
      <c r="H11" s="3">
        <f>SUMIF(IW29EDITAR!I:I,A11,IW29EDITAR!E:E)</f>
        <v>0</v>
      </c>
      <c r="I11" s="76">
        <f>SUMIF('M2'!J:J,B11,'M2'!E:E)</f>
        <v>0</v>
      </c>
      <c r="J11" s="77">
        <f>SUMIFS(IW29EDITAR!E:E, IW29EDITAR!I:I, A11, IW29EDITAR!H:H, "LINE 8")</f>
        <v>0</v>
      </c>
      <c r="K11" s="77">
        <f>SUMIFS(IW29EDITAR!E:E, IW29EDITAR!I:I, A11, IW29EDITAR!H:H, "LINE 10")</f>
        <v>0</v>
      </c>
      <c r="L11" s="77">
        <f>SUMIFS(IW29EDITAR!E:E, IW29EDITAR!I:I, A11, IW29EDITAR!H:H, "LINE 1")</f>
        <v>0</v>
      </c>
      <c r="M11" s="77">
        <f>SUMIFS(IW29EDITAR!E:E, IW29EDITAR!I:I, A11, IW29EDITAR!H:H, "LINE 2")</f>
        <v>0</v>
      </c>
      <c r="N11" s="77">
        <f>SUMIFS(IW29EDITAR!E:E, IW29EDITAR!I:I, A11, IW29EDITAR!H:H, "LINE 3")</f>
        <v>0</v>
      </c>
      <c r="O11" s="76">
        <f>SUMIFS(IW29EDITAR!E:E, IW29EDITAR!I:I, A11, IW29EDITAR!H:H, "LINE 4") + SUMIFS(IW29EDITAR!E:E, IW29EDITAR!I:I, A11, IW29EDITAR!H:H, "LINE 5")+SUMIFS(IW29EDITAR!E:E, IW29EDITAR!I:I, A11, IW29EDITAR!H:H, "LINE 6")</f>
        <v>0</v>
      </c>
      <c r="P11" s="5">
        <f ca="1">IFERROR(__xludf.DUMMYFUNCTION("""COMPUTED_VALUE"""),20009942)</f>
        <v>20009942</v>
      </c>
      <c r="Q11" s="5" t="str">
        <f ca="1">IF(ISNUMBER(VLOOKUP(P11,A5:A1026, 1, FALSE)), "Encontrado", "No Encontrado")</f>
        <v>Encontrado</v>
      </c>
    </row>
    <row r="12" spans="1:18" ht="15.75" customHeight="1">
      <c r="A12" s="78">
        <v>20000000</v>
      </c>
      <c r="B12" s="75" t="s">
        <v>4568</v>
      </c>
      <c r="C12" s="13" t="str">
        <f>IFERROR(VLOOKUP(B12, 'Base de datos'!A:B, 2, FALSE), "")</f>
        <v/>
      </c>
      <c r="D12" s="29" t="e">
        <f t="shared" ca="1" si="0"/>
        <v>#NAME?</v>
      </c>
      <c r="E12" s="3"/>
      <c r="F12" s="3">
        <f>COUNTIF(IW29EDITAR!I:I,A12)</f>
        <v>0</v>
      </c>
      <c r="G12" s="3">
        <f>COUNTIF('M2'!J:J,B12)</f>
        <v>0</v>
      </c>
      <c r="H12" s="3">
        <f>SUMIF(IW29EDITAR!I:I,A12,IW29EDITAR!E:E)</f>
        <v>0</v>
      </c>
      <c r="I12" s="76">
        <f>SUMIF('M2'!J:J,B12,'M2'!E:E)</f>
        <v>0</v>
      </c>
      <c r="J12" s="77">
        <f>SUMIFS(IW29EDITAR!E:E, IW29EDITAR!I:I, A12, IW29EDITAR!H:H, "LINE 8")</f>
        <v>0</v>
      </c>
      <c r="K12" s="77">
        <f>SUMIFS(IW29EDITAR!E:E, IW29EDITAR!I:I, A12, IW29EDITAR!H:H, "LINE 10")</f>
        <v>0</v>
      </c>
      <c r="L12" s="77">
        <f>SUMIFS(IW29EDITAR!E:E, IW29EDITAR!I:I, A12, IW29EDITAR!H:H, "LINE 1")</f>
        <v>0</v>
      </c>
      <c r="M12" s="77">
        <f>SUMIFS(IW29EDITAR!E:E, IW29EDITAR!I:I, A12, IW29EDITAR!H:H, "LINE 2")</f>
        <v>0</v>
      </c>
      <c r="N12" s="77">
        <f>SUMIFS(IW29EDITAR!E:E, IW29EDITAR!I:I, A12, IW29EDITAR!H:H, "LINE 3")</f>
        <v>0</v>
      </c>
      <c r="O12" s="76">
        <f>SUMIFS(IW29EDITAR!E:E, IW29EDITAR!I:I, A12, IW29EDITAR!H:H, "LINE 4") + SUMIFS(IW29EDITAR!E:E, IW29EDITAR!I:I, A12, IW29EDITAR!H:H, "LINE 5")+SUMIFS(IW29EDITAR!E:E, IW29EDITAR!I:I, A12, IW29EDITAR!H:H, "LINE 6")</f>
        <v>0</v>
      </c>
      <c r="P12" s="5">
        <f ca="1">IFERROR(__xludf.DUMMYFUNCTION("""COMPUTED_VALUE"""),20019987)</f>
        <v>20019987</v>
      </c>
      <c r="Q12" s="5" t="str">
        <f t="shared" ref="Q12:Q13" ca="1" si="3">IF(ISNUMBER(VLOOKUP(P12,A5:A1026, 1, FALSE)), "Encontrado", "No Encontrado")</f>
        <v>Encontrado</v>
      </c>
    </row>
    <row r="13" spans="1:18" ht="15.75" customHeight="1">
      <c r="A13" s="75">
        <v>20000001</v>
      </c>
      <c r="B13" s="75" t="s">
        <v>4569</v>
      </c>
      <c r="C13" s="13" t="str">
        <f>IFERROR(VLOOKUP(B13, 'Base de datos'!A:B, 2, FALSE), "")</f>
        <v/>
      </c>
      <c r="D13" s="29" t="e">
        <f t="shared" ca="1" si="0"/>
        <v>#NAME?</v>
      </c>
      <c r="E13" s="3"/>
      <c r="F13" s="3">
        <f>COUNTIF(IW29EDITAR!I:I,A13)</f>
        <v>0</v>
      </c>
      <c r="G13" s="3">
        <f>COUNTIF('M2'!J:J,B13)</f>
        <v>0</v>
      </c>
      <c r="H13" s="3">
        <f>SUMIF(IW29EDITAR!I:I,A13,IW29EDITAR!E:E)</f>
        <v>0</v>
      </c>
      <c r="I13" s="76">
        <f>SUMIF('M2'!J:J,B13,'M2'!E:E)</f>
        <v>0</v>
      </c>
      <c r="J13" s="77">
        <f>SUMIFS(IW29EDITAR!E:E, IW29EDITAR!I:I, A13, IW29EDITAR!H:H, "LINE 8")</f>
        <v>0</v>
      </c>
      <c r="K13" s="77">
        <f>SUMIFS(IW29EDITAR!E:E, IW29EDITAR!I:I, A13, IW29EDITAR!H:H, "LINE 10")</f>
        <v>0</v>
      </c>
      <c r="L13" s="77">
        <f>SUMIFS(IW29EDITAR!E:E, IW29EDITAR!I:I, A13, IW29EDITAR!H:H, "LINE 1")</f>
        <v>0</v>
      </c>
      <c r="M13" s="77">
        <f>SUMIFS(IW29EDITAR!E:E, IW29EDITAR!I:I, A13, IW29EDITAR!H:H, "LINE 2")</f>
        <v>0</v>
      </c>
      <c r="N13" s="77">
        <f>SUMIFS(IW29EDITAR!E:E, IW29EDITAR!I:I, A13, IW29EDITAR!H:H, "LINE 3")</f>
        <v>0</v>
      </c>
      <c r="O13" s="76">
        <f>SUMIFS(IW29EDITAR!E:E, IW29EDITAR!I:I, A13, IW29EDITAR!H:H, "LINE 4") + SUMIFS(IW29EDITAR!E:E, IW29EDITAR!I:I, A13, IW29EDITAR!H:H, "LINE 5")+SUMIFS(IW29EDITAR!E:E, IW29EDITAR!I:I, A13, IW29EDITAR!H:H, "LINE 6")</f>
        <v>0</v>
      </c>
      <c r="P13" s="5">
        <f ca="1">IFERROR(__xludf.DUMMYFUNCTION("""COMPUTED_VALUE"""),20027410)</f>
        <v>20027410</v>
      </c>
      <c r="Q13" s="5" t="str">
        <f t="shared" ca="1" si="3"/>
        <v>No Encontrado</v>
      </c>
    </row>
    <row r="14" spans="1:18" ht="15.75" customHeight="1">
      <c r="A14" s="75">
        <v>20000015</v>
      </c>
      <c r="B14" s="75" t="s">
        <v>4570</v>
      </c>
      <c r="C14" s="13" t="str">
        <f>IFERROR(VLOOKUP(B14, 'Base de datos'!A:B, 2, FALSE), "")</f>
        <v/>
      </c>
      <c r="D14" s="29" t="e">
        <f t="shared" ca="1" si="0"/>
        <v>#NAME?</v>
      </c>
      <c r="E14" s="3"/>
      <c r="F14" s="3">
        <f>COUNTIF(IW29EDITAR!I:I,A14)</f>
        <v>0</v>
      </c>
      <c r="G14" s="3">
        <f>COUNTIF('M2'!J:J,B14)</f>
        <v>0</v>
      </c>
      <c r="H14" s="3">
        <f>SUMIF(IW29EDITAR!I:I,A14,IW29EDITAR!E:E)</f>
        <v>0</v>
      </c>
      <c r="I14" s="76">
        <f>SUMIF('M2'!J:J,B14,'M2'!E:E)</f>
        <v>0</v>
      </c>
      <c r="J14" s="77">
        <f>SUMIFS(IW29EDITAR!E:E, IW29EDITAR!I:I, A14, IW29EDITAR!H:H, "LINE 8")</f>
        <v>0</v>
      </c>
      <c r="K14" s="77">
        <f>SUMIFS(IW29EDITAR!E:E, IW29EDITAR!I:I, A14, IW29EDITAR!H:H, "LINE 10")</f>
        <v>0</v>
      </c>
      <c r="L14" s="77">
        <f>SUMIFS(IW29EDITAR!E:E, IW29EDITAR!I:I, A14, IW29EDITAR!H:H, "LINE 1")</f>
        <v>0</v>
      </c>
      <c r="M14" s="77">
        <f>SUMIFS(IW29EDITAR!E:E, IW29EDITAR!I:I, A14, IW29EDITAR!H:H, "LINE 2")</f>
        <v>0</v>
      </c>
      <c r="N14" s="77">
        <f>SUMIFS(IW29EDITAR!E:E, IW29EDITAR!I:I, A14, IW29EDITAR!H:H, "LINE 3")</f>
        <v>0</v>
      </c>
      <c r="O14" s="76">
        <f>SUMIFS(IW29EDITAR!E:E, IW29EDITAR!I:I, A14, IW29EDITAR!H:H, "LINE 4") + SUMIFS(IW29EDITAR!E:E, IW29EDITAR!I:I, A14, IW29EDITAR!H:H, "LINE 5")+SUMIFS(IW29EDITAR!E:E, IW29EDITAR!I:I, A14, IW29EDITAR!H:H, "LINE 6")</f>
        <v>0</v>
      </c>
      <c r="P14" s="5">
        <f ca="1">IFERROR(__xludf.DUMMYFUNCTION("""COMPUTED_VALUE"""),20009822)</f>
        <v>20009822</v>
      </c>
      <c r="Q14" s="5" t="str">
        <f ca="1">IF(ISNUMBER(VLOOKUP(P14,A6:A1026, 1, FALSE)), "Encontrado", "No Encontrado")</f>
        <v>Encontrado</v>
      </c>
    </row>
    <row r="15" spans="1:18" ht="14.4">
      <c r="A15" s="75">
        <v>20000007</v>
      </c>
      <c r="B15" s="75" t="s">
        <v>4571</v>
      </c>
      <c r="C15" s="13" t="str">
        <f>IFERROR(VLOOKUP(B15, 'Base de datos'!A:B, 2, FALSE), "")</f>
        <v/>
      </c>
      <c r="D15" s="29" t="e">
        <f t="shared" ca="1" si="0"/>
        <v>#NAME?</v>
      </c>
      <c r="E15" s="3"/>
      <c r="F15" s="3">
        <f>COUNTIF(IW29EDITAR!I:I,A15)</f>
        <v>0</v>
      </c>
      <c r="G15" s="3">
        <f>COUNTIF('M2'!J:J,B15)</f>
        <v>0</v>
      </c>
      <c r="H15" s="3">
        <f>SUMIF(IW29EDITAR!I:I,A15,IW29EDITAR!E:E)</f>
        <v>0</v>
      </c>
      <c r="I15" s="76">
        <f>SUMIF('M2'!J:J,B15,'M2'!E:E)</f>
        <v>0</v>
      </c>
      <c r="J15" s="77">
        <f>SUMIFS(IW29EDITAR!E:E, IW29EDITAR!I:I, A15, IW29EDITAR!H:H, "LINE 8")</f>
        <v>0</v>
      </c>
      <c r="K15" s="77">
        <f>SUMIFS(IW29EDITAR!E:E, IW29EDITAR!I:I, A15, IW29EDITAR!H:H, "LINE 10")</f>
        <v>0</v>
      </c>
      <c r="L15" s="77">
        <f>SUMIFS(IW29EDITAR!E:E, IW29EDITAR!I:I, A15, IW29EDITAR!H:H, "LINE 1")</f>
        <v>0</v>
      </c>
      <c r="M15" s="77">
        <f>SUMIFS(IW29EDITAR!E:E, IW29EDITAR!I:I, A15, IW29EDITAR!H:H, "LINE 2")</f>
        <v>0</v>
      </c>
      <c r="N15" s="77">
        <f>SUMIFS(IW29EDITAR!E:E, IW29EDITAR!I:I, A15, IW29EDITAR!H:H, "LINE 3")</f>
        <v>0</v>
      </c>
      <c r="O15" s="76">
        <f>SUMIFS(IW29EDITAR!E:E, IW29EDITAR!I:I, A15, IW29EDITAR!H:H, "LINE 4") + SUMIFS(IW29EDITAR!E:E, IW29EDITAR!I:I, A15, IW29EDITAR!H:H, "LINE 5")+SUMIFS(IW29EDITAR!E:E, IW29EDITAR!I:I, A15, IW29EDITAR!H:H, "LINE 6")</f>
        <v>0</v>
      </c>
      <c r="P15" s="5">
        <f ca="1">IFERROR(__xludf.DUMMYFUNCTION("""COMPUTED_VALUE"""),20075387)</f>
        <v>20075387</v>
      </c>
      <c r="Q15" s="5" t="str">
        <f t="shared" ref="Q15:Q16" ca="1" si="4">IF(ISNUMBER(VLOOKUP(P15,A6:A1026, 1, FALSE)), "Encontrado", "No Encontrado")</f>
        <v>Encontrado</v>
      </c>
    </row>
    <row r="16" spans="1:18" ht="14.4">
      <c r="A16" s="75">
        <v>20000002</v>
      </c>
      <c r="B16" s="75" t="s">
        <v>4572</v>
      </c>
      <c r="C16" s="13" t="str">
        <f>IFERROR(VLOOKUP(B16, 'Base de datos'!A:B, 2, FALSE), "")</f>
        <v/>
      </c>
      <c r="D16" s="29" t="e">
        <f t="shared" ca="1" si="0"/>
        <v>#NAME?</v>
      </c>
      <c r="E16" s="3"/>
      <c r="F16" s="3">
        <f>COUNTIF(IW29EDITAR!I:I,A16)</f>
        <v>0</v>
      </c>
      <c r="G16" s="3">
        <f>COUNTIF('M2'!J:J,B16)</f>
        <v>0</v>
      </c>
      <c r="H16" s="3">
        <f>SUMIF(IW29EDITAR!I:I,A16,IW29EDITAR!E:E)</f>
        <v>0</v>
      </c>
      <c r="I16" s="76">
        <f>SUMIF('M2'!J:J,B16,'M2'!E:E)</f>
        <v>0</v>
      </c>
      <c r="J16" s="77">
        <f>SUMIFS(IW29EDITAR!E:E, IW29EDITAR!I:I, A16, IW29EDITAR!H:H, "LINE 8")</f>
        <v>0</v>
      </c>
      <c r="K16" s="77">
        <f>SUMIFS(IW29EDITAR!E:E, IW29EDITAR!I:I, A16, IW29EDITAR!H:H, "LINE 10")</f>
        <v>0</v>
      </c>
      <c r="L16" s="77">
        <f>SUMIFS(IW29EDITAR!E:E, IW29EDITAR!I:I, A16, IW29EDITAR!H:H, "LINE 1")</f>
        <v>0</v>
      </c>
      <c r="M16" s="77">
        <f>SUMIFS(IW29EDITAR!E:E, IW29EDITAR!I:I, A16, IW29EDITAR!H:H, "LINE 2")</f>
        <v>0</v>
      </c>
      <c r="N16" s="77">
        <f>SUMIFS(IW29EDITAR!E:E, IW29EDITAR!I:I, A16, IW29EDITAR!H:H, "LINE 3")</f>
        <v>0</v>
      </c>
      <c r="O16" s="76">
        <f>SUMIFS(IW29EDITAR!E:E, IW29EDITAR!I:I, A16, IW29EDITAR!H:H, "LINE 4") + SUMIFS(IW29EDITAR!E:E, IW29EDITAR!I:I, A16, IW29EDITAR!H:H, "LINE 5")+SUMIFS(IW29EDITAR!E:E, IW29EDITAR!I:I, A16, IW29EDITAR!H:H, "LINE 6")</f>
        <v>0</v>
      </c>
      <c r="P16" s="5">
        <f ca="1">IFERROR(__xludf.DUMMYFUNCTION("""COMPUTED_VALUE"""),20076884)</f>
        <v>20076884</v>
      </c>
      <c r="Q16" s="5" t="str">
        <f t="shared" ca="1" si="4"/>
        <v>Encontrado</v>
      </c>
    </row>
    <row r="17" spans="1:17" ht="14.4">
      <c r="A17" s="75">
        <v>20000013</v>
      </c>
      <c r="B17" s="75" t="s">
        <v>4573</v>
      </c>
      <c r="C17" s="13" t="str">
        <f>IFERROR(VLOOKUP(B17, 'Base de datos'!A:B, 2, FALSE), "")</f>
        <v/>
      </c>
      <c r="D17" s="29" t="e">
        <f t="shared" ca="1" si="0"/>
        <v>#NAME?</v>
      </c>
      <c r="E17" s="3"/>
      <c r="F17" s="3">
        <f>COUNTIF(IW29EDITAR!I:I,A17)</f>
        <v>0</v>
      </c>
      <c r="G17" s="3">
        <f>COUNTIF('M2'!J:J,B17)</f>
        <v>0</v>
      </c>
      <c r="H17" s="3">
        <f>SUMIF(IW29EDITAR!I:I,A17,IW29EDITAR!E:E)</f>
        <v>0</v>
      </c>
      <c r="I17" s="76">
        <f>SUMIF('M2'!J:J,B17,'M2'!E:E)</f>
        <v>0</v>
      </c>
      <c r="J17" s="77">
        <f>SUMIFS(IW29EDITAR!E:E, IW29EDITAR!I:I, A17, IW29EDITAR!H:H, "LINE 8")</f>
        <v>0</v>
      </c>
      <c r="K17" s="77">
        <f>SUMIFS(IW29EDITAR!E:E, IW29EDITAR!I:I, A17, IW29EDITAR!H:H, "LINE 10")</f>
        <v>0</v>
      </c>
      <c r="L17" s="77">
        <f>SUMIFS(IW29EDITAR!E:E, IW29EDITAR!I:I, A17, IW29EDITAR!H:H, "LINE 1")</f>
        <v>0</v>
      </c>
      <c r="M17" s="77">
        <f>SUMIFS(IW29EDITAR!E:E, IW29EDITAR!I:I, A17, IW29EDITAR!H:H, "LINE 2")</f>
        <v>0</v>
      </c>
      <c r="N17" s="77">
        <f>SUMIFS(IW29EDITAR!E:E, IW29EDITAR!I:I, A17, IW29EDITAR!H:H, "LINE 3")</f>
        <v>0</v>
      </c>
      <c r="O17" s="76">
        <f>SUMIFS(IW29EDITAR!E:E, IW29EDITAR!I:I, A17, IW29EDITAR!H:H, "LINE 4") + SUMIFS(IW29EDITAR!E:E, IW29EDITAR!I:I, A17, IW29EDITAR!H:H, "LINE 5")+SUMIFS(IW29EDITAR!E:E, IW29EDITAR!I:I, A17, IW29EDITAR!H:H, "LINE 6")</f>
        <v>0</v>
      </c>
      <c r="P17" s="5">
        <f ca="1">IFERROR(__xludf.DUMMYFUNCTION("""COMPUTED_VALUE"""),20053048)</f>
        <v>20053048</v>
      </c>
      <c r="Q17" s="5" t="str">
        <f ca="1">IF(ISNUMBER(VLOOKUP(P17,A7:A1026, 1, FALSE)), "Encontrado", "No Encontrado")</f>
        <v>Encontrado</v>
      </c>
    </row>
    <row r="18" spans="1:17" ht="14.4">
      <c r="A18" s="75">
        <v>20053048</v>
      </c>
      <c r="B18" s="79" t="s">
        <v>4574</v>
      </c>
      <c r="C18" s="13" t="str">
        <f>IFERROR(VLOOKUP(B18, 'Base de datos'!A:B, 2, FALSE), "")</f>
        <v/>
      </c>
      <c r="D18" s="29" t="e">
        <f t="shared" ca="1" si="0"/>
        <v>#NAME?</v>
      </c>
      <c r="E18" s="21" t="s">
        <v>4575</v>
      </c>
      <c r="F18" s="3">
        <f>COUNTIF(IW29EDITAR!I:I,A18)</f>
        <v>2</v>
      </c>
      <c r="G18" s="3">
        <f>COUNTIF('M2'!J:J,B18)</f>
        <v>0</v>
      </c>
      <c r="H18" s="3">
        <f>SUMIF(IW29EDITAR!I:I,A18,IW29EDITAR!E:E)</f>
        <v>0.38</v>
      </c>
      <c r="I18" s="76">
        <f>SUMIF('M2'!J:J,B18,'M2'!E:E)</f>
        <v>0</v>
      </c>
      <c r="J18" s="77">
        <f>SUMIFS(IW29EDITAR!E:E, IW29EDITAR!I:I, A18, IW29EDITAR!H:H, "LINE 8")</f>
        <v>0</v>
      </c>
      <c r="K18" s="77">
        <f>SUMIFS(IW29EDITAR!E:E, IW29EDITAR!I:I, A18, IW29EDITAR!H:H, "LINE 10")</f>
        <v>0.38</v>
      </c>
      <c r="L18" s="77">
        <f>SUMIFS(IW29EDITAR!E:E, IW29EDITAR!I:I, A18, IW29EDITAR!H:H, "LINE 1")</f>
        <v>0</v>
      </c>
      <c r="M18" s="77">
        <f>SUMIFS(IW29EDITAR!E:E, IW29EDITAR!I:I, A18, IW29EDITAR!H:H, "LINE 2")</f>
        <v>0</v>
      </c>
      <c r="N18" s="77">
        <f>SUMIFS(IW29EDITAR!E:E, IW29EDITAR!I:I, A18, IW29EDITAR!H:H, "LINE 3")</f>
        <v>0</v>
      </c>
      <c r="O18" s="76">
        <f>SUMIFS(IW29EDITAR!E:E, IW29EDITAR!I:I, A18, IW29EDITAR!H:H, "LINE 4") + SUMIFS(IW29EDITAR!E:E, IW29EDITAR!I:I, A18, IW29EDITAR!H:H, "LINE 5")+SUMIFS(IW29EDITAR!E:E, IW29EDITAR!I:I, A18, IW29EDITAR!H:H, "LINE 6")</f>
        <v>0</v>
      </c>
      <c r="P18" s="5">
        <f ca="1">IFERROR(__xludf.DUMMYFUNCTION("""COMPUTED_VALUE"""),20009758)</f>
        <v>20009758</v>
      </c>
      <c r="Q18" s="5" t="str">
        <f t="shared" ref="Q18:Q20" ca="1" si="5">IF(ISNUMBER(VLOOKUP(P18,A7:A1026, 1, FALSE)), "Encontrado", "No Encontrado")</f>
        <v>No Encontrado</v>
      </c>
    </row>
    <row r="19" spans="1:17" ht="14.4">
      <c r="A19" s="75">
        <v>20000004</v>
      </c>
      <c r="B19" s="75" t="s">
        <v>4576</v>
      </c>
      <c r="C19" s="13" t="str">
        <f>IFERROR(VLOOKUP(B19, 'Base de datos'!A:B, 2, FALSE), "")</f>
        <v/>
      </c>
      <c r="D19" s="29" t="e">
        <f t="shared" ca="1" si="0"/>
        <v>#NAME?</v>
      </c>
      <c r="E19" s="3"/>
      <c r="F19" s="3">
        <f>COUNTIF(IW29EDITAR!I:I,A19)</f>
        <v>0</v>
      </c>
      <c r="G19" s="3">
        <f>COUNTIF('M2'!J:J,B19)</f>
        <v>0</v>
      </c>
      <c r="H19" s="3">
        <f>SUMIF(IW29EDITAR!I:I,A19,IW29EDITAR!E:E)</f>
        <v>0</v>
      </c>
      <c r="I19" s="76">
        <f>SUMIF('M2'!J:J,B19,'M2'!E:E)</f>
        <v>0</v>
      </c>
      <c r="J19" s="77">
        <f>SUMIFS(IW29EDITAR!E:E, IW29EDITAR!I:I, A19, IW29EDITAR!H:H, "LINE 8")</f>
        <v>0</v>
      </c>
      <c r="K19" s="77">
        <f>SUMIFS(IW29EDITAR!E:E, IW29EDITAR!I:I, A19, IW29EDITAR!H:H, "LINE 10")</f>
        <v>0</v>
      </c>
      <c r="L19" s="77">
        <f>SUMIFS(IW29EDITAR!E:E, IW29EDITAR!I:I, A19, IW29EDITAR!H:H, "LINE 1")</f>
        <v>0</v>
      </c>
      <c r="M19" s="77">
        <f>SUMIFS(IW29EDITAR!E:E, IW29EDITAR!I:I, A19, IW29EDITAR!H:H, "LINE 2")</f>
        <v>0</v>
      </c>
      <c r="N19" s="77">
        <f>SUMIFS(IW29EDITAR!E:E, IW29EDITAR!I:I, A19, IW29EDITAR!H:H, "LINE 3")</f>
        <v>0</v>
      </c>
      <c r="O19" s="76">
        <f>SUMIFS(IW29EDITAR!E:E, IW29EDITAR!I:I, A19, IW29EDITAR!H:H, "LINE 4") + SUMIFS(IW29EDITAR!E:E, IW29EDITAR!I:I, A19, IW29EDITAR!H:H, "LINE 5")+SUMIFS(IW29EDITAR!E:E, IW29EDITAR!I:I, A19, IW29EDITAR!H:H, "LINE 6")</f>
        <v>0</v>
      </c>
      <c r="P19" s="5">
        <f ca="1">IFERROR(__xludf.DUMMYFUNCTION("""COMPUTED_VALUE"""),20075520)</f>
        <v>20075520</v>
      </c>
      <c r="Q19" s="5" t="str">
        <f t="shared" ca="1" si="5"/>
        <v>Encontrado</v>
      </c>
    </row>
    <row r="20" spans="1:17" ht="14.4">
      <c r="A20" s="75">
        <v>20000017</v>
      </c>
      <c r="B20" s="75" t="s">
        <v>4577</v>
      </c>
      <c r="C20" s="13" t="str">
        <f>IFERROR(VLOOKUP(B20, 'Base de datos'!A:B, 2, FALSE), "")</f>
        <v/>
      </c>
      <c r="D20" s="29" t="e">
        <f t="shared" ca="1" si="0"/>
        <v>#NAME?</v>
      </c>
      <c r="E20" s="3"/>
      <c r="F20" s="3">
        <f>COUNTIF(IW29EDITAR!I:I,A20)</f>
        <v>0</v>
      </c>
      <c r="G20" s="3">
        <f>COUNTIF('M2'!J:J,B20)</f>
        <v>0</v>
      </c>
      <c r="H20" s="3">
        <f>SUMIF(IW29EDITAR!I:I,A20,IW29EDITAR!E:E)</f>
        <v>0</v>
      </c>
      <c r="I20" s="76">
        <f>SUMIF('M2'!J:J,B20,'M2'!E:E)</f>
        <v>0</v>
      </c>
      <c r="J20" s="77">
        <f>SUMIFS(IW29EDITAR!E:E, IW29EDITAR!I:I, A20, IW29EDITAR!H:H, "LINE 8")</f>
        <v>0</v>
      </c>
      <c r="K20" s="77">
        <f>SUMIFS(IW29EDITAR!E:E, IW29EDITAR!I:I, A20, IW29EDITAR!H:H, "LINE 10")</f>
        <v>0</v>
      </c>
      <c r="L20" s="77">
        <f>SUMIFS(IW29EDITAR!E:E, IW29EDITAR!I:I, A20, IW29EDITAR!H:H, "LINE 1")</f>
        <v>0</v>
      </c>
      <c r="M20" s="77">
        <f>SUMIFS(IW29EDITAR!E:E, IW29EDITAR!I:I, A20, IW29EDITAR!H:H, "LINE 2")</f>
        <v>0</v>
      </c>
      <c r="N20" s="77">
        <f>SUMIFS(IW29EDITAR!E:E, IW29EDITAR!I:I, A20, IW29EDITAR!H:H, "LINE 3")</f>
        <v>0</v>
      </c>
      <c r="O20" s="76">
        <f>SUMIFS(IW29EDITAR!E:E, IW29EDITAR!I:I, A20, IW29EDITAR!H:H, "LINE 4") + SUMIFS(IW29EDITAR!E:E, IW29EDITAR!I:I, A20, IW29EDITAR!H:H, "LINE 5")+SUMIFS(IW29EDITAR!E:E, IW29EDITAR!I:I, A20, IW29EDITAR!H:H, "LINE 6")</f>
        <v>0</v>
      </c>
      <c r="P20" s="5">
        <f ca="1">IFERROR(__xludf.DUMMYFUNCTION("""COMPUTED_VALUE"""),20084469)</f>
        <v>20084469</v>
      </c>
      <c r="Q20" s="5" t="str">
        <f t="shared" ca="1" si="5"/>
        <v>Encontrado</v>
      </c>
    </row>
    <row r="21" spans="1:17" ht="14.4">
      <c r="A21" s="75">
        <v>20009822</v>
      </c>
      <c r="B21" s="75" t="s">
        <v>601</v>
      </c>
      <c r="C21" s="13">
        <f>IFERROR(VLOOKUP(B21, 'Base de datos'!A:B, 2, FALSE), "")</f>
        <v>573112422176</v>
      </c>
      <c r="D21" s="29" t="e">
        <f t="shared" ca="1" si="0"/>
        <v>#NAME?</v>
      </c>
      <c r="E21" s="3"/>
      <c r="F21" s="3">
        <f>COUNTIF(IW29EDITAR!I:I,A21)</f>
        <v>9</v>
      </c>
      <c r="G21" s="3">
        <f>COUNTIF('M2'!J:J,B21)</f>
        <v>0</v>
      </c>
      <c r="H21" s="3">
        <f>SUMIF(IW29EDITAR!I:I,A21,IW29EDITAR!E:E)</f>
        <v>1.34</v>
      </c>
      <c r="I21" s="76">
        <f>SUMIF('M2'!J:J,B21,'M2'!E:E)</f>
        <v>0</v>
      </c>
      <c r="J21" s="77">
        <f>SUMIFS(IW29EDITAR!E:E, IW29EDITAR!I:I, A21, IW29EDITAR!H:H, "LINE 8")</f>
        <v>0</v>
      </c>
      <c r="K21" s="77">
        <f>SUMIFS(IW29EDITAR!E:E, IW29EDITAR!I:I, A21, IW29EDITAR!H:H, "LINE 10")</f>
        <v>0</v>
      </c>
      <c r="L21" s="77">
        <f>SUMIFS(IW29EDITAR!E:E, IW29EDITAR!I:I, A21, IW29EDITAR!H:H, "LINE 1")</f>
        <v>0</v>
      </c>
      <c r="M21" s="77">
        <f>SUMIFS(IW29EDITAR!E:E, IW29EDITAR!I:I, A21, IW29EDITAR!H:H, "LINE 2")</f>
        <v>0</v>
      </c>
      <c r="N21" s="77">
        <f>SUMIFS(IW29EDITAR!E:E, IW29EDITAR!I:I, A21, IW29EDITAR!H:H, "LINE 3")</f>
        <v>0</v>
      </c>
      <c r="O21" s="76">
        <f>SUMIFS(IW29EDITAR!E:E, IW29EDITAR!I:I, A21, IW29EDITAR!H:H, "LINE 4") + SUMIFS(IW29EDITAR!E:E, IW29EDITAR!I:I, A21, IW29EDITAR!H:H, "LINE 5")+SUMIFS(IW29EDITAR!E:E, IW29EDITAR!I:I, A21, IW29EDITAR!H:H, "LINE 6")</f>
        <v>1.34</v>
      </c>
      <c r="P21" s="5">
        <f ca="1">IFERROR(__xludf.DUMMYFUNCTION("""COMPUTED_VALUE"""),20043570)</f>
        <v>20043570</v>
      </c>
      <c r="Q21" s="5" t="str">
        <f t="shared" ref="Q21:Q23" ca="1" si="6">IF(ISNUMBER(VLOOKUP(P21,A9:A1026, 1, FALSE)), "Encontrado", "No Encontrado")</f>
        <v>Encontrado</v>
      </c>
    </row>
    <row r="22" spans="1:17" ht="14.4">
      <c r="A22" s="75">
        <v>20000006</v>
      </c>
      <c r="B22" s="75" t="s">
        <v>4578</v>
      </c>
      <c r="C22" s="13" t="str">
        <f>IFERROR(VLOOKUP(B22, 'Base de datos'!A:B, 2, FALSE), "")</f>
        <v/>
      </c>
      <c r="D22" s="29" t="e">
        <f t="shared" ca="1" si="0"/>
        <v>#NAME?</v>
      </c>
      <c r="E22" s="3"/>
      <c r="F22" s="3">
        <f>COUNTIF(IW29EDITAR!I:I,A22)</f>
        <v>0</v>
      </c>
      <c r="G22" s="3">
        <f>COUNTIF('M2'!J:J,B22)</f>
        <v>0</v>
      </c>
      <c r="H22" s="3">
        <f>SUMIF(IW29EDITAR!I:I,A22,IW29EDITAR!E:E)</f>
        <v>0</v>
      </c>
      <c r="I22" s="76">
        <f>SUMIF('M2'!J:J,B22,'M2'!E:E)</f>
        <v>0</v>
      </c>
      <c r="J22" s="77">
        <f>SUMIFS(IW29EDITAR!E:E, IW29EDITAR!I:I, A22, IW29EDITAR!H:H, "LINE 8")</f>
        <v>0</v>
      </c>
      <c r="K22" s="77">
        <f>SUMIFS(IW29EDITAR!E:E, IW29EDITAR!I:I, A22, IW29EDITAR!H:H, "LINE 10")</f>
        <v>0</v>
      </c>
      <c r="L22" s="77">
        <f>SUMIFS(IW29EDITAR!E:E, IW29EDITAR!I:I, A22, IW29EDITAR!H:H, "LINE 1")</f>
        <v>0</v>
      </c>
      <c r="M22" s="77">
        <f>SUMIFS(IW29EDITAR!E:E, IW29EDITAR!I:I, A22, IW29EDITAR!H:H, "LINE 2")</f>
        <v>0</v>
      </c>
      <c r="N22" s="77">
        <f>SUMIFS(IW29EDITAR!E:E, IW29EDITAR!I:I, A22, IW29EDITAR!H:H, "LINE 3")</f>
        <v>0</v>
      </c>
      <c r="O22" s="76">
        <f>SUMIFS(IW29EDITAR!E:E, IW29EDITAR!I:I, A22, IW29EDITAR!H:H, "LINE 4") + SUMIFS(IW29EDITAR!E:E, IW29EDITAR!I:I, A22, IW29EDITAR!H:H, "LINE 5")+SUMIFS(IW29EDITAR!E:E, IW29EDITAR!I:I, A22, IW29EDITAR!H:H, "LINE 6")</f>
        <v>0</v>
      </c>
      <c r="P22" s="5">
        <f ca="1">IFERROR(__xludf.DUMMYFUNCTION("""COMPUTED_VALUE"""),20009879)</f>
        <v>20009879</v>
      </c>
      <c r="Q22" s="5" t="str">
        <f t="shared" ca="1" si="6"/>
        <v>Encontrado</v>
      </c>
    </row>
    <row r="23" spans="1:17" ht="14.4">
      <c r="A23" s="75">
        <v>20000010</v>
      </c>
      <c r="B23" s="75" t="s">
        <v>4579</v>
      </c>
      <c r="C23" s="13" t="str">
        <f>IFERROR(VLOOKUP(B23, 'Base de datos'!A:B, 2, FALSE), "")</f>
        <v/>
      </c>
      <c r="D23" s="29" t="e">
        <f t="shared" ca="1" si="0"/>
        <v>#NAME?</v>
      </c>
      <c r="E23" s="3"/>
      <c r="F23" s="3">
        <f>COUNTIF(IW29EDITAR!I:I,A23)</f>
        <v>0</v>
      </c>
      <c r="G23" s="3">
        <f>COUNTIF('M2'!J:J,B23)</f>
        <v>0</v>
      </c>
      <c r="H23" s="3">
        <f>SUMIF(IW29EDITAR!I:I,A23,IW29EDITAR!E:E)</f>
        <v>0</v>
      </c>
      <c r="I23" s="76">
        <f>SUMIF('M2'!J:J,B23,'M2'!E:E)</f>
        <v>0</v>
      </c>
      <c r="J23" s="77">
        <f>SUMIFS(IW29EDITAR!E:E, IW29EDITAR!I:I, A23, IW29EDITAR!H:H, "LINE 8")</f>
        <v>0</v>
      </c>
      <c r="K23" s="77">
        <f>SUMIFS(IW29EDITAR!E:E, IW29EDITAR!I:I, A23, IW29EDITAR!H:H, "LINE 10")</f>
        <v>0</v>
      </c>
      <c r="L23" s="77">
        <f>SUMIFS(IW29EDITAR!E:E, IW29EDITAR!I:I, A23, IW29EDITAR!H:H, "LINE 1")</f>
        <v>0</v>
      </c>
      <c r="M23" s="77">
        <f>SUMIFS(IW29EDITAR!E:E, IW29EDITAR!I:I, A23, IW29EDITAR!H:H, "LINE 2")</f>
        <v>0</v>
      </c>
      <c r="N23" s="77">
        <f>SUMIFS(IW29EDITAR!E:E, IW29EDITAR!I:I, A23, IW29EDITAR!H:H, "LINE 3")</f>
        <v>0</v>
      </c>
      <c r="O23" s="76">
        <f>SUMIFS(IW29EDITAR!E:E, IW29EDITAR!I:I, A23, IW29EDITAR!H:H, "LINE 4") + SUMIFS(IW29EDITAR!E:E, IW29EDITAR!I:I, A23, IW29EDITAR!H:H, "LINE 5")+SUMIFS(IW29EDITAR!E:E, IW29EDITAR!I:I, A23, IW29EDITAR!H:H, "LINE 6")</f>
        <v>0</v>
      </c>
      <c r="P23" s="5">
        <f ca="1">IFERROR(__xludf.DUMMYFUNCTION("""COMPUTED_VALUE"""),20082152)</f>
        <v>20082152</v>
      </c>
      <c r="Q23" s="5" t="str">
        <f t="shared" ca="1" si="6"/>
        <v>Encontrado</v>
      </c>
    </row>
    <row r="24" spans="1:17" ht="14.4">
      <c r="A24" s="75">
        <v>20000014</v>
      </c>
      <c r="B24" s="75" t="s">
        <v>4580</v>
      </c>
      <c r="C24" s="13" t="str">
        <f>IFERROR(VLOOKUP(B24, 'Base de datos'!A:B, 2, FALSE), "")</f>
        <v/>
      </c>
      <c r="D24" s="29" t="e">
        <f t="shared" ca="1" si="0"/>
        <v>#NAME?</v>
      </c>
      <c r="E24" s="3"/>
      <c r="F24" s="3">
        <f>COUNTIF(IW29EDITAR!I:I,A24)</f>
        <v>0</v>
      </c>
      <c r="G24" s="3">
        <f>COUNTIF('M2'!J:J,B24)</f>
        <v>0</v>
      </c>
      <c r="H24" s="3">
        <f>SUMIF(IW29EDITAR!I:I,A24,IW29EDITAR!E:E)</f>
        <v>0</v>
      </c>
      <c r="I24" s="76">
        <f>SUMIF('M2'!J:J,B24,'M2'!E:E)</f>
        <v>0</v>
      </c>
      <c r="J24" s="77">
        <f>SUMIFS(IW29EDITAR!E:E, IW29EDITAR!I:I, A24, IW29EDITAR!H:H, "LINE 8")</f>
        <v>0</v>
      </c>
      <c r="K24" s="77">
        <f>SUMIFS(IW29EDITAR!E:E, IW29EDITAR!I:I, A24, IW29EDITAR!H:H, "LINE 10")</f>
        <v>0</v>
      </c>
      <c r="L24" s="77">
        <f>SUMIFS(IW29EDITAR!E:E, IW29EDITAR!I:I, A24, IW29EDITAR!H:H, "LINE 1")</f>
        <v>0</v>
      </c>
      <c r="M24" s="77">
        <f>SUMIFS(IW29EDITAR!E:E, IW29EDITAR!I:I, A24, IW29EDITAR!H:H, "LINE 2")</f>
        <v>0</v>
      </c>
      <c r="N24" s="77">
        <f>SUMIFS(IW29EDITAR!E:E, IW29EDITAR!I:I, A24, IW29EDITAR!H:H, "LINE 3")</f>
        <v>0</v>
      </c>
      <c r="O24" s="76">
        <f>SUMIFS(IW29EDITAR!E:E, IW29EDITAR!I:I, A24, IW29EDITAR!H:H, "LINE 4") + SUMIFS(IW29EDITAR!E:E, IW29EDITAR!I:I, A24, IW29EDITAR!H:H, "LINE 5")+SUMIFS(IW29EDITAR!E:E, IW29EDITAR!I:I, A24, IW29EDITAR!H:H, "LINE 6")</f>
        <v>0</v>
      </c>
      <c r="P24" s="5">
        <f ca="1">IFERROR(__xludf.DUMMYFUNCTION("""COMPUTED_VALUE"""),20009743)</f>
        <v>20009743</v>
      </c>
      <c r="Q24" s="5" t="str">
        <f t="shared" ref="Q24:Q31" ca="1" si="7">IF(ISNUMBER(VLOOKUP(P24,A11:A1026, 1, FALSE)), "Encontrado", "No Encontrado")</f>
        <v>Encontrado</v>
      </c>
    </row>
    <row r="25" spans="1:17" ht="14.4">
      <c r="A25" s="75">
        <v>20000009</v>
      </c>
      <c r="B25" s="75" t="s">
        <v>4581</v>
      </c>
      <c r="C25" s="13" t="str">
        <f>IFERROR(VLOOKUP(B25, 'Base de datos'!A:B, 2, FALSE), "")</f>
        <v/>
      </c>
      <c r="D25" s="29" t="e">
        <f t="shared" ca="1" si="0"/>
        <v>#NAME?</v>
      </c>
      <c r="E25" s="3"/>
      <c r="F25" s="3">
        <f>COUNTIF(IW29EDITAR!I:I,A25)</f>
        <v>0</v>
      </c>
      <c r="G25" s="3">
        <f>COUNTIF('M2'!J:J,B25)</f>
        <v>0</v>
      </c>
      <c r="H25" s="3">
        <f>SUMIF(IW29EDITAR!I:I,A25,IW29EDITAR!E:E)</f>
        <v>0</v>
      </c>
      <c r="I25" s="76">
        <f>SUMIF('M2'!J:J,B25,'M2'!E:E)</f>
        <v>0</v>
      </c>
      <c r="J25" s="77">
        <f>SUMIFS(IW29EDITAR!E:E, IW29EDITAR!I:I, A25, IW29EDITAR!H:H, "LINE 8")</f>
        <v>0</v>
      </c>
      <c r="K25" s="77">
        <f>SUMIFS(IW29EDITAR!E:E, IW29EDITAR!I:I, A25, IW29EDITAR!H:H, "LINE 10")</f>
        <v>0</v>
      </c>
      <c r="L25" s="77">
        <f>SUMIFS(IW29EDITAR!E:E, IW29EDITAR!I:I, A25, IW29EDITAR!H:H, "LINE 1")</f>
        <v>0</v>
      </c>
      <c r="M25" s="77">
        <f>SUMIFS(IW29EDITAR!E:E, IW29EDITAR!I:I, A25, IW29EDITAR!H:H, "LINE 2")</f>
        <v>0</v>
      </c>
      <c r="N25" s="77">
        <f>SUMIFS(IW29EDITAR!E:E, IW29EDITAR!I:I, A25, IW29EDITAR!H:H, "LINE 3")</f>
        <v>0</v>
      </c>
      <c r="O25" s="76">
        <f>SUMIFS(IW29EDITAR!E:E, IW29EDITAR!I:I, A25, IW29EDITAR!H:H, "LINE 4") + SUMIFS(IW29EDITAR!E:E, IW29EDITAR!I:I, A25, IW29EDITAR!H:H, "LINE 5")+SUMIFS(IW29EDITAR!E:E, IW29EDITAR!I:I, A25, IW29EDITAR!H:H, "LINE 6")</f>
        <v>0</v>
      </c>
      <c r="P25" s="5">
        <f ca="1">IFERROR(__xludf.DUMMYFUNCTION("""COMPUTED_VALUE"""),20031098)</f>
        <v>20031098</v>
      </c>
      <c r="Q25" s="5" t="str">
        <f t="shared" ca="1" si="7"/>
        <v>Encontrado</v>
      </c>
    </row>
    <row r="26" spans="1:17" ht="14.4">
      <c r="A26" s="75">
        <v>20000008</v>
      </c>
      <c r="B26" s="75" t="s">
        <v>4582</v>
      </c>
      <c r="C26" s="13" t="str">
        <f>IFERROR(VLOOKUP(B26, 'Base de datos'!A:B, 2, FALSE), "")</f>
        <v/>
      </c>
      <c r="D26" s="29" t="e">
        <f t="shared" ca="1" si="0"/>
        <v>#NAME?</v>
      </c>
      <c r="E26" s="3"/>
      <c r="F26" s="3">
        <f>COUNTIF(IW29EDITAR!I:I,A26)</f>
        <v>0</v>
      </c>
      <c r="G26" s="3">
        <f>COUNTIF('M2'!J:J,B26)</f>
        <v>0</v>
      </c>
      <c r="H26" s="3">
        <f>SUMIF(IW29EDITAR!I:I,A26,IW29EDITAR!E:E)</f>
        <v>0</v>
      </c>
      <c r="I26" s="76">
        <f>SUMIF('M2'!J:J,B26,'M2'!E:E)</f>
        <v>0</v>
      </c>
      <c r="J26" s="77">
        <f>SUMIFS(IW29EDITAR!E:E, IW29EDITAR!I:I, A26, IW29EDITAR!H:H, "LINE 8")</f>
        <v>0</v>
      </c>
      <c r="K26" s="77">
        <f>SUMIFS(IW29EDITAR!E:E, IW29EDITAR!I:I, A26, IW29EDITAR!H:H, "LINE 10")</f>
        <v>0</v>
      </c>
      <c r="L26" s="77">
        <f>SUMIFS(IW29EDITAR!E:E, IW29EDITAR!I:I, A26, IW29EDITAR!H:H, "LINE 1")</f>
        <v>0</v>
      </c>
      <c r="M26" s="77">
        <f>SUMIFS(IW29EDITAR!E:E, IW29EDITAR!I:I, A26, IW29EDITAR!H:H, "LINE 2")</f>
        <v>0</v>
      </c>
      <c r="N26" s="77">
        <f>SUMIFS(IW29EDITAR!E:E, IW29EDITAR!I:I, A26, IW29EDITAR!H:H, "LINE 3")</f>
        <v>0</v>
      </c>
      <c r="O26" s="76">
        <f>SUMIFS(IW29EDITAR!E:E, IW29EDITAR!I:I, A26, IW29EDITAR!H:H, "LINE 4") + SUMIFS(IW29EDITAR!E:E, IW29EDITAR!I:I, A26, IW29EDITAR!H:H, "LINE 5")+SUMIFS(IW29EDITAR!E:E, IW29EDITAR!I:I, A26, IW29EDITAR!H:H, "LINE 6")</f>
        <v>0</v>
      </c>
      <c r="P26" s="5">
        <f ca="1">IFERROR(__xludf.DUMMYFUNCTION("""COMPUTED_VALUE"""),20031102)</f>
        <v>20031102</v>
      </c>
      <c r="Q26" s="5" t="str">
        <f t="shared" ca="1" si="7"/>
        <v>No Encontrado</v>
      </c>
    </row>
    <row r="27" spans="1:17" ht="14.4">
      <c r="A27" s="75">
        <v>20022326</v>
      </c>
      <c r="B27" s="75" t="s">
        <v>4583</v>
      </c>
      <c r="C27" s="13" t="str">
        <f>IFERROR(VLOOKUP(B27, 'Base de datos'!A:B, 2, FALSE), "")</f>
        <v/>
      </c>
      <c r="D27" s="29" t="e">
        <f t="shared" ca="1" si="0"/>
        <v>#NAME?</v>
      </c>
      <c r="E27" s="3"/>
      <c r="F27" s="3">
        <f>COUNTIF(IW29EDITAR!I:I,A27)</f>
        <v>0</v>
      </c>
      <c r="G27" s="3">
        <f>COUNTIF('M2'!J:J,B27)</f>
        <v>0</v>
      </c>
      <c r="H27" s="3">
        <f>SUMIF(IW29EDITAR!I:I,A27,IW29EDITAR!E:E)</f>
        <v>0</v>
      </c>
      <c r="I27" s="76">
        <f>SUMIF('M2'!J:J,B27,'M2'!E:E)</f>
        <v>0</v>
      </c>
      <c r="J27" s="77">
        <f>SUMIFS(IW29EDITAR!E:E, IW29EDITAR!I:I, A27, IW29EDITAR!H:H, "LINE 8")</f>
        <v>0</v>
      </c>
      <c r="K27" s="77">
        <f>SUMIFS(IW29EDITAR!E:E, IW29EDITAR!I:I, A27, IW29EDITAR!H:H, "LINE 10")</f>
        <v>0</v>
      </c>
      <c r="L27" s="77">
        <f>SUMIFS(IW29EDITAR!E:E, IW29EDITAR!I:I, A27, IW29EDITAR!H:H, "LINE 1")</f>
        <v>0</v>
      </c>
      <c r="M27" s="77">
        <f>SUMIFS(IW29EDITAR!E:E, IW29EDITAR!I:I, A27, IW29EDITAR!H:H, "LINE 2")</f>
        <v>0</v>
      </c>
      <c r="N27" s="77">
        <f>SUMIFS(IW29EDITAR!E:E, IW29EDITAR!I:I, A27, IW29EDITAR!H:H, "LINE 3")</f>
        <v>0</v>
      </c>
      <c r="O27" s="76">
        <f>SUMIFS(IW29EDITAR!E:E, IW29EDITAR!I:I, A27, IW29EDITAR!H:H, "LINE 4") + SUMIFS(IW29EDITAR!E:E, IW29EDITAR!I:I, A27, IW29EDITAR!H:H, "LINE 5")+SUMIFS(IW29EDITAR!E:E, IW29EDITAR!I:I, A27, IW29EDITAR!H:H, "LINE 6")</f>
        <v>0</v>
      </c>
      <c r="P27" s="5">
        <f ca="1">IFERROR(__xludf.DUMMYFUNCTION("""COMPUTED_VALUE"""),20022138)</f>
        <v>20022138</v>
      </c>
      <c r="Q27" s="5" t="str">
        <f t="shared" ca="1" si="7"/>
        <v>Encontrado</v>
      </c>
    </row>
    <row r="28" spans="1:17" ht="14.4">
      <c r="A28" s="75">
        <v>20009971</v>
      </c>
      <c r="B28" s="75" t="s">
        <v>4584</v>
      </c>
      <c r="C28" s="13" t="str">
        <f>IFERROR(VLOOKUP(B28, 'Base de datos'!A:B, 2, FALSE), "")</f>
        <v/>
      </c>
      <c r="D28" s="29" t="e">
        <f t="shared" ca="1" si="0"/>
        <v>#NAME?</v>
      </c>
      <c r="E28" s="3"/>
      <c r="F28" s="3">
        <f>COUNTIF(IW29EDITAR!I:I,A28)</f>
        <v>0</v>
      </c>
      <c r="G28" s="3">
        <f>COUNTIF('M2'!J:J,B28)</f>
        <v>0</v>
      </c>
      <c r="H28" s="3">
        <f>SUMIF(IW29EDITAR!I:I,A28,IW29EDITAR!E:E)</f>
        <v>0</v>
      </c>
      <c r="I28" s="76">
        <f>SUMIF('M2'!J:J,B28,'M2'!E:E)</f>
        <v>0</v>
      </c>
      <c r="J28" s="77">
        <f>SUMIFS(IW29EDITAR!E:E, IW29EDITAR!I:I, A28, IW29EDITAR!H:H, "LINE 8")</f>
        <v>0</v>
      </c>
      <c r="K28" s="77">
        <f>SUMIFS(IW29EDITAR!E:E, IW29EDITAR!I:I, A28, IW29EDITAR!H:H, "LINE 10")</f>
        <v>0</v>
      </c>
      <c r="L28" s="77">
        <f>SUMIFS(IW29EDITAR!E:E, IW29EDITAR!I:I, A28, IW29EDITAR!H:H, "LINE 1")</f>
        <v>0</v>
      </c>
      <c r="M28" s="77">
        <f>SUMIFS(IW29EDITAR!E:E, IW29EDITAR!I:I, A28, IW29EDITAR!H:H, "LINE 2")</f>
        <v>0</v>
      </c>
      <c r="N28" s="77">
        <f>SUMIFS(IW29EDITAR!E:E, IW29EDITAR!I:I, A28, IW29EDITAR!H:H, "LINE 3")</f>
        <v>0</v>
      </c>
      <c r="O28" s="76">
        <f>SUMIFS(IW29EDITAR!E:E, IW29EDITAR!I:I, A28, IW29EDITAR!H:H, "LINE 4") + SUMIFS(IW29EDITAR!E:E, IW29EDITAR!I:I, A28, IW29EDITAR!H:H, "LINE 5")+SUMIFS(IW29EDITAR!E:E, IW29EDITAR!I:I, A28, IW29EDITAR!H:H, "LINE 6")</f>
        <v>0</v>
      </c>
      <c r="P28" s="5">
        <f ca="1">IFERROR(__xludf.DUMMYFUNCTION("""COMPUTED_VALUE"""),20058001)</f>
        <v>20058001</v>
      </c>
      <c r="Q28" s="5" t="str">
        <f t="shared" ca="1" si="7"/>
        <v>Encontrado</v>
      </c>
    </row>
    <row r="29" spans="1:17" ht="14.4">
      <c r="A29" s="75">
        <v>20031111</v>
      </c>
      <c r="B29" s="75" t="s">
        <v>4585</v>
      </c>
      <c r="C29" s="13" t="str">
        <f>IFERROR(VLOOKUP(B29, 'Base de datos'!A:B, 2, FALSE), "")</f>
        <v/>
      </c>
      <c r="D29" s="29" t="e">
        <f t="shared" ca="1" si="0"/>
        <v>#NAME?</v>
      </c>
      <c r="E29" s="3"/>
      <c r="F29" s="3">
        <f>COUNTIF(IW29EDITAR!I:I,A29)</f>
        <v>0</v>
      </c>
      <c r="G29" s="3">
        <f>COUNTIF('M2'!J:J,B29)</f>
        <v>0</v>
      </c>
      <c r="H29" s="3">
        <f>SUMIF(IW29EDITAR!I:I,A29,IW29EDITAR!E:E)</f>
        <v>0</v>
      </c>
      <c r="I29" s="76">
        <f>SUMIF('M2'!J:J,B29,'M2'!E:E)</f>
        <v>0</v>
      </c>
      <c r="J29" s="77">
        <f>SUMIFS(IW29EDITAR!E:E, IW29EDITAR!I:I, A29, IW29EDITAR!H:H, "LINE 8")</f>
        <v>0</v>
      </c>
      <c r="K29" s="77">
        <f>SUMIFS(IW29EDITAR!E:E, IW29EDITAR!I:I, A29, IW29EDITAR!H:H, "LINE 10")</f>
        <v>0</v>
      </c>
      <c r="L29" s="77">
        <f>SUMIFS(IW29EDITAR!E:E, IW29EDITAR!I:I, A29, IW29EDITAR!H:H, "LINE 1")</f>
        <v>0</v>
      </c>
      <c r="M29" s="77">
        <f>SUMIFS(IW29EDITAR!E:E, IW29EDITAR!I:I, A29, IW29EDITAR!H:H, "LINE 2")</f>
        <v>0</v>
      </c>
      <c r="N29" s="77">
        <f>SUMIFS(IW29EDITAR!E:E, IW29EDITAR!I:I, A29, IW29EDITAR!H:H, "LINE 3")</f>
        <v>0</v>
      </c>
      <c r="O29" s="76">
        <f>SUMIFS(IW29EDITAR!E:E, IW29EDITAR!I:I, A29, IW29EDITAR!H:H, "LINE 4") + SUMIFS(IW29EDITAR!E:E, IW29EDITAR!I:I, A29, IW29EDITAR!H:H, "LINE 5")+SUMIFS(IW29EDITAR!E:E, IW29EDITAR!I:I, A29, IW29EDITAR!H:H, "LINE 6")</f>
        <v>0</v>
      </c>
      <c r="P29" s="5">
        <f ca="1">IFERROR(__xludf.DUMMYFUNCTION("""COMPUTED_VALUE"""),20010079)</f>
        <v>20010079</v>
      </c>
      <c r="Q29" s="5" t="str">
        <f t="shared" ca="1" si="7"/>
        <v>Encontrado</v>
      </c>
    </row>
    <row r="30" spans="1:17" ht="14.4">
      <c r="A30" s="75">
        <v>20016283</v>
      </c>
      <c r="B30" s="75" t="s">
        <v>612</v>
      </c>
      <c r="C30" s="13">
        <f>IFERROR(VLOOKUP(B30, 'Base de datos'!A:B, 2, FALSE), "")</f>
        <v>0</v>
      </c>
      <c r="D30" s="29" t="e">
        <f t="shared" ca="1" si="0"/>
        <v>#NAME?</v>
      </c>
      <c r="E30" s="3"/>
      <c r="F30" s="3">
        <f>COUNTIF(IW29EDITAR!I:I,A30)</f>
        <v>0</v>
      </c>
      <c r="G30" s="3">
        <f>COUNTIF('M2'!J:J,B30)</f>
        <v>0</v>
      </c>
      <c r="H30" s="3">
        <f>SUMIF(IW29EDITAR!I:I,A30,IW29EDITAR!E:E)</f>
        <v>0</v>
      </c>
      <c r="I30" s="76">
        <f>SUMIF('M2'!J:J,B30,'M2'!E:E)</f>
        <v>0</v>
      </c>
      <c r="J30" s="77">
        <f>SUMIFS(IW29EDITAR!E:E, IW29EDITAR!I:I, A30, IW29EDITAR!H:H, "LINE 8")</f>
        <v>0</v>
      </c>
      <c r="K30" s="77">
        <f>SUMIFS(IW29EDITAR!E:E, IW29EDITAR!I:I, A30, IW29EDITAR!H:H, "LINE 10")</f>
        <v>0</v>
      </c>
      <c r="L30" s="77">
        <f>SUMIFS(IW29EDITAR!E:E, IW29EDITAR!I:I, A30, IW29EDITAR!H:H, "LINE 1")</f>
        <v>0</v>
      </c>
      <c r="M30" s="77">
        <f>SUMIFS(IW29EDITAR!E:E, IW29EDITAR!I:I, A30, IW29EDITAR!H:H, "LINE 2")</f>
        <v>0</v>
      </c>
      <c r="N30" s="77">
        <f>SUMIFS(IW29EDITAR!E:E, IW29EDITAR!I:I, A30, IW29EDITAR!H:H, "LINE 3")</f>
        <v>0</v>
      </c>
      <c r="O30" s="76">
        <f>SUMIFS(IW29EDITAR!E:E, IW29EDITAR!I:I, A30, IW29EDITAR!H:H, "LINE 4") + SUMIFS(IW29EDITAR!E:E, IW29EDITAR!I:I, A30, IW29EDITAR!H:H, "LINE 5")+SUMIFS(IW29EDITAR!E:E, IW29EDITAR!I:I, A30, IW29EDITAR!H:H, "LINE 6")</f>
        <v>0</v>
      </c>
      <c r="P30" s="5">
        <f ca="1">IFERROR(__xludf.DUMMYFUNCTION("""COMPUTED_VALUE"""),20031425)</f>
        <v>20031425</v>
      </c>
      <c r="Q30" s="5" t="str">
        <f t="shared" ca="1" si="7"/>
        <v>Encontrado</v>
      </c>
    </row>
    <row r="31" spans="1:17" ht="14.4">
      <c r="A31" s="75">
        <v>20009506</v>
      </c>
      <c r="B31" s="75" t="s">
        <v>4586</v>
      </c>
      <c r="C31" s="13" t="str">
        <f>IFERROR(VLOOKUP(B31, 'Base de datos'!A:B, 2, FALSE), "")</f>
        <v/>
      </c>
      <c r="D31" s="29" t="e">
        <f t="shared" ca="1" si="0"/>
        <v>#NAME?</v>
      </c>
      <c r="E31" s="3"/>
      <c r="F31" s="3">
        <f>COUNTIF(IW29EDITAR!I:I,A31)</f>
        <v>0</v>
      </c>
      <c r="G31" s="3">
        <f>COUNTIF('M2'!J:J,B31)</f>
        <v>0</v>
      </c>
      <c r="H31" s="3">
        <f>SUMIF(IW29EDITAR!I:I,A31,IW29EDITAR!E:E)</f>
        <v>0</v>
      </c>
      <c r="I31" s="76">
        <f>SUMIF('M2'!J:J,B31,'M2'!E:E)</f>
        <v>0</v>
      </c>
      <c r="J31" s="77">
        <f>SUMIFS(IW29EDITAR!E:E, IW29EDITAR!I:I, A31, IW29EDITAR!H:H, "LINE 8")</f>
        <v>0</v>
      </c>
      <c r="K31" s="77">
        <f>SUMIFS(IW29EDITAR!E:E, IW29EDITAR!I:I, A31, IW29EDITAR!H:H, "LINE 10")</f>
        <v>0</v>
      </c>
      <c r="L31" s="77">
        <f>SUMIFS(IW29EDITAR!E:E, IW29EDITAR!I:I, A31, IW29EDITAR!H:H, "LINE 1")</f>
        <v>0</v>
      </c>
      <c r="M31" s="77">
        <f>SUMIFS(IW29EDITAR!E:E, IW29EDITAR!I:I, A31, IW29EDITAR!H:H, "LINE 2")</f>
        <v>0</v>
      </c>
      <c r="N31" s="77">
        <f>SUMIFS(IW29EDITAR!E:E, IW29EDITAR!I:I, A31, IW29EDITAR!H:H, "LINE 3")</f>
        <v>0</v>
      </c>
      <c r="O31" s="76">
        <f>SUMIFS(IW29EDITAR!E:E, IW29EDITAR!I:I, A31, IW29EDITAR!H:H, "LINE 4") + SUMIFS(IW29EDITAR!E:E, IW29EDITAR!I:I, A31, IW29EDITAR!H:H, "LINE 5")+SUMIFS(IW29EDITAR!E:E, IW29EDITAR!I:I, A31, IW29EDITAR!H:H, "LINE 6")</f>
        <v>0</v>
      </c>
      <c r="P31" s="5">
        <f ca="1">IFERROR(__xludf.DUMMYFUNCTION("""COMPUTED_VALUE"""),20010075)</f>
        <v>20010075</v>
      </c>
      <c r="Q31" s="5" t="str">
        <f t="shared" ca="1" si="7"/>
        <v>Encontrado</v>
      </c>
    </row>
    <row r="32" spans="1:17" ht="14.4">
      <c r="A32" s="75">
        <v>20064306</v>
      </c>
      <c r="B32" s="75" t="s">
        <v>4587</v>
      </c>
      <c r="C32" s="13" t="str">
        <f>IFERROR(VLOOKUP(B32, 'Base de datos'!A:B, 2, FALSE), "")</f>
        <v/>
      </c>
      <c r="D32" s="29" t="e">
        <f t="shared" ca="1" si="0"/>
        <v>#NAME?</v>
      </c>
      <c r="E32" s="3"/>
      <c r="F32" s="3">
        <f>COUNTIF(IW29EDITAR!I:I,A32)</f>
        <v>0</v>
      </c>
      <c r="G32" s="3">
        <f>COUNTIF('M2'!J:J,B32)</f>
        <v>0</v>
      </c>
      <c r="H32" s="3">
        <f>SUMIF(IW29EDITAR!I:I,A32,IW29EDITAR!E:E)</f>
        <v>0</v>
      </c>
      <c r="I32" s="76">
        <f>SUMIF('M2'!J:J,B32,'M2'!E:E)</f>
        <v>0</v>
      </c>
      <c r="J32" s="77">
        <f>SUMIFS(IW29EDITAR!E:E, IW29EDITAR!I:I, A32, IW29EDITAR!H:H, "LINE 8")</f>
        <v>0</v>
      </c>
      <c r="K32" s="77">
        <f>SUMIFS(IW29EDITAR!E:E, IW29EDITAR!I:I, A32, IW29EDITAR!H:H, "LINE 10")</f>
        <v>0</v>
      </c>
      <c r="L32" s="77">
        <f>SUMIFS(IW29EDITAR!E:E, IW29EDITAR!I:I, A32, IW29EDITAR!H:H, "LINE 1")</f>
        <v>0</v>
      </c>
      <c r="M32" s="77">
        <f>SUMIFS(IW29EDITAR!E:E, IW29EDITAR!I:I, A32, IW29EDITAR!H:H, "LINE 2")</f>
        <v>0</v>
      </c>
      <c r="N32" s="77">
        <f>SUMIFS(IW29EDITAR!E:E, IW29EDITAR!I:I, A32, IW29EDITAR!H:H, "LINE 3")</f>
        <v>0</v>
      </c>
      <c r="O32" s="76">
        <f>SUMIFS(IW29EDITAR!E:E, IW29EDITAR!I:I, A32, IW29EDITAR!H:H, "LINE 4") + SUMIFS(IW29EDITAR!E:E, IW29EDITAR!I:I, A32, IW29EDITAR!H:H, "LINE 5")+SUMIFS(IW29EDITAR!E:E, IW29EDITAR!I:I, A32, IW29EDITAR!H:H, "LINE 6")</f>
        <v>0</v>
      </c>
      <c r="P32" s="5">
        <f ca="1">IFERROR(__xludf.DUMMYFUNCTION("""COMPUTED_VALUE"""),20009954)</f>
        <v>20009954</v>
      </c>
      <c r="Q32" s="5" t="str">
        <f t="shared" ref="Q32:Q33" ca="1" si="8">IF(ISNUMBER(VLOOKUP(P32,A18:A1026, 1, FALSE)), "Encontrado", "No Encontrado")</f>
        <v>Encontrado</v>
      </c>
    </row>
    <row r="33" spans="1:17" ht="14.4">
      <c r="A33" s="75">
        <v>20062844</v>
      </c>
      <c r="B33" s="75" t="s">
        <v>4588</v>
      </c>
      <c r="C33" s="13" t="str">
        <f>IFERROR(VLOOKUP(B33, 'Base de datos'!A:B, 2, FALSE), "")</f>
        <v/>
      </c>
      <c r="D33" s="29" t="e">
        <f t="shared" ca="1" si="0"/>
        <v>#NAME?</v>
      </c>
      <c r="E33" s="3"/>
      <c r="F33" s="3">
        <f>COUNTIF(IW29EDITAR!I:I,A33)</f>
        <v>0</v>
      </c>
      <c r="G33" s="3">
        <f>COUNTIF('M2'!J:J,B33)</f>
        <v>0</v>
      </c>
      <c r="H33" s="3">
        <f>SUMIF(IW29EDITAR!I:I,A33,IW29EDITAR!E:E)</f>
        <v>0</v>
      </c>
      <c r="I33" s="76">
        <f>SUMIF('M2'!J:J,B33,'M2'!E:E)</f>
        <v>0</v>
      </c>
      <c r="J33" s="77">
        <f>SUMIFS(IW29EDITAR!E:E, IW29EDITAR!I:I, A33, IW29EDITAR!H:H, "LINE 8")</f>
        <v>0</v>
      </c>
      <c r="K33" s="77">
        <f>SUMIFS(IW29EDITAR!E:E, IW29EDITAR!I:I, A33, IW29EDITAR!H:H, "LINE 10")</f>
        <v>0</v>
      </c>
      <c r="L33" s="77">
        <f>SUMIFS(IW29EDITAR!E:E, IW29EDITAR!I:I, A33, IW29EDITAR!H:H, "LINE 1")</f>
        <v>0</v>
      </c>
      <c r="M33" s="77">
        <f>SUMIFS(IW29EDITAR!E:E, IW29EDITAR!I:I, A33, IW29EDITAR!H:H, "LINE 2")</f>
        <v>0</v>
      </c>
      <c r="N33" s="77">
        <f>SUMIFS(IW29EDITAR!E:E, IW29EDITAR!I:I, A33, IW29EDITAR!H:H, "LINE 3")</f>
        <v>0</v>
      </c>
      <c r="O33" s="76">
        <f>SUMIFS(IW29EDITAR!E:E, IW29EDITAR!I:I, A33, IW29EDITAR!H:H, "LINE 4") + SUMIFS(IW29EDITAR!E:E, IW29EDITAR!I:I, A33, IW29EDITAR!H:H, "LINE 5")+SUMIFS(IW29EDITAR!E:E, IW29EDITAR!I:I, A33, IW29EDITAR!H:H, "LINE 6")</f>
        <v>0</v>
      </c>
      <c r="P33" s="5">
        <f ca="1">IFERROR(__xludf.DUMMYFUNCTION("""COMPUTED_VALUE"""),20032893)</f>
        <v>20032893</v>
      </c>
      <c r="Q33" s="5" t="str">
        <f t="shared" ca="1" si="8"/>
        <v>No Encontrado</v>
      </c>
    </row>
    <row r="34" spans="1:17" ht="14.4">
      <c r="A34" s="75">
        <v>20060820</v>
      </c>
      <c r="B34" s="75" t="s">
        <v>4589</v>
      </c>
      <c r="C34" s="13" t="str">
        <f>IFERROR(VLOOKUP(B34, 'Base de datos'!A:B, 2, FALSE), "")</f>
        <v/>
      </c>
      <c r="D34" s="29" t="e">
        <f t="shared" ca="1" si="0"/>
        <v>#NAME?</v>
      </c>
      <c r="E34" s="3"/>
      <c r="F34" s="3">
        <f>COUNTIF(IW29EDITAR!I:I,A34)</f>
        <v>0</v>
      </c>
      <c r="G34" s="3">
        <f>COUNTIF('M2'!J:J,B34)</f>
        <v>0</v>
      </c>
      <c r="H34" s="3">
        <f>SUMIF(IW29EDITAR!I:I,A34,IW29EDITAR!E:E)</f>
        <v>0</v>
      </c>
      <c r="I34" s="76">
        <f>SUMIF('M2'!J:J,B34,'M2'!E:E)</f>
        <v>0</v>
      </c>
      <c r="J34" s="77">
        <f>SUMIFS(IW29EDITAR!E:E, IW29EDITAR!I:I, A34, IW29EDITAR!H:H, "LINE 8")</f>
        <v>0</v>
      </c>
      <c r="K34" s="77">
        <f>SUMIFS(IW29EDITAR!E:E, IW29EDITAR!I:I, A34, IW29EDITAR!H:H, "LINE 10")</f>
        <v>0</v>
      </c>
      <c r="L34" s="77">
        <f>SUMIFS(IW29EDITAR!E:E, IW29EDITAR!I:I, A34, IW29EDITAR!H:H, "LINE 1")</f>
        <v>0</v>
      </c>
      <c r="M34" s="77">
        <f>SUMIFS(IW29EDITAR!E:E, IW29EDITAR!I:I, A34, IW29EDITAR!H:H, "LINE 2")</f>
        <v>0</v>
      </c>
      <c r="N34" s="77">
        <f>SUMIFS(IW29EDITAR!E:E, IW29EDITAR!I:I, A34, IW29EDITAR!H:H, "LINE 3")</f>
        <v>0</v>
      </c>
      <c r="O34" s="76">
        <f>SUMIFS(IW29EDITAR!E:E, IW29EDITAR!I:I, A34, IW29EDITAR!H:H, "LINE 4") + SUMIFS(IW29EDITAR!E:E, IW29EDITAR!I:I, A34, IW29EDITAR!H:H, "LINE 5")+SUMIFS(IW29EDITAR!E:E, IW29EDITAR!I:I, A34, IW29EDITAR!H:H, "LINE 6")</f>
        <v>0</v>
      </c>
      <c r="P34" s="5">
        <f ca="1">IFERROR(__xludf.DUMMYFUNCTION("""COMPUTED_VALUE"""),20079805)</f>
        <v>20079805</v>
      </c>
      <c r="Q34" s="5" t="str">
        <f t="shared" ref="Q34:Q40" ca="1" si="9">IF(ISNUMBER(VLOOKUP(P34,A19:A1026, 1, FALSE)), "Encontrado", "No Encontrado")</f>
        <v>Encontrado</v>
      </c>
    </row>
    <row r="35" spans="1:17" ht="14.4">
      <c r="A35" s="75">
        <v>20000016</v>
      </c>
      <c r="B35" s="75" t="s">
        <v>4590</v>
      </c>
      <c r="C35" s="13" t="str">
        <f>IFERROR(VLOOKUP(B35, 'Base de datos'!A:B, 2, FALSE), "")</f>
        <v/>
      </c>
      <c r="D35" s="29" t="e">
        <f t="shared" ca="1" si="0"/>
        <v>#NAME?</v>
      </c>
      <c r="E35" s="3"/>
      <c r="F35" s="3">
        <f>COUNTIF(IW29EDITAR!I:I,A35)</f>
        <v>0</v>
      </c>
      <c r="G35" s="3">
        <f>COUNTIF('M2'!J:J,B35)</f>
        <v>0</v>
      </c>
      <c r="H35" s="3">
        <f>SUMIF(IW29EDITAR!I:I,A35,IW29EDITAR!E:E)</f>
        <v>0</v>
      </c>
      <c r="I35" s="76">
        <f>SUMIF('M2'!J:J,B35,'M2'!E:E)</f>
        <v>0</v>
      </c>
      <c r="J35" s="77">
        <f>SUMIFS(IW29EDITAR!E:E, IW29EDITAR!I:I, A35, IW29EDITAR!H:H, "LINE 8")</f>
        <v>0</v>
      </c>
      <c r="K35" s="77">
        <f>SUMIFS(IW29EDITAR!E:E, IW29EDITAR!I:I, A35, IW29EDITAR!H:H, "LINE 10")</f>
        <v>0</v>
      </c>
      <c r="L35" s="77">
        <f>SUMIFS(IW29EDITAR!E:E, IW29EDITAR!I:I, A35, IW29EDITAR!H:H, "LINE 1")</f>
        <v>0</v>
      </c>
      <c r="M35" s="77">
        <f>SUMIFS(IW29EDITAR!E:E, IW29EDITAR!I:I, A35, IW29EDITAR!H:H, "LINE 2")</f>
        <v>0</v>
      </c>
      <c r="N35" s="77">
        <f>SUMIFS(IW29EDITAR!E:E, IW29EDITAR!I:I, A35, IW29EDITAR!H:H, "LINE 3")</f>
        <v>0</v>
      </c>
      <c r="O35" s="76">
        <f>SUMIFS(IW29EDITAR!E:E, IW29EDITAR!I:I, A35, IW29EDITAR!H:H, "LINE 4") + SUMIFS(IW29EDITAR!E:E, IW29EDITAR!I:I, A35, IW29EDITAR!H:H, "LINE 5")+SUMIFS(IW29EDITAR!E:E, IW29EDITAR!I:I, A35, IW29EDITAR!H:H, "LINE 6")</f>
        <v>0</v>
      </c>
      <c r="P35" s="5">
        <f ca="1">IFERROR(__xludf.DUMMYFUNCTION("""COMPUTED_VALUE"""),20079993)</f>
        <v>20079993</v>
      </c>
      <c r="Q35" s="5" t="str">
        <f t="shared" ca="1" si="9"/>
        <v>Encontrado</v>
      </c>
    </row>
    <row r="36" spans="1:17" ht="14.4">
      <c r="A36" s="75">
        <v>20000018</v>
      </c>
      <c r="B36" s="75" t="s">
        <v>4591</v>
      </c>
      <c r="C36" s="13" t="str">
        <f>IFERROR(VLOOKUP(B36, 'Base de datos'!A:B, 2, FALSE), "")</f>
        <v/>
      </c>
      <c r="D36" s="29" t="e">
        <f t="shared" ca="1" si="0"/>
        <v>#NAME?</v>
      </c>
      <c r="E36" s="3"/>
      <c r="F36" s="3">
        <f>COUNTIF(IW29EDITAR!I:I,A36)</f>
        <v>0</v>
      </c>
      <c r="G36" s="3">
        <f>COUNTIF('M2'!J:J,B36)</f>
        <v>0</v>
      </c>
      <c r="H36" s="3">
        <f>SUMIF(IW29EDITAR!I:I,A36,IW29EDITAR!E:E)</f>
        <v>0</v>
      </c>
      <c r="I36" s="76">
        <f>SUMIF('M2'!J:J,B36,'M2'!E:E)</f>
        <v>0</v>
      </c>
      <c r="J36" s="77">
        <f>SUMIFS(IW29EDITAR!E:E, IW29EDITAR!I:I, A36, IW29EDITAR!H:H, "LINE 8")</f>
        <v>0</v>
      </c>
      <c r="K36" s="77">
        <f>SUMIFS(IW29EDITAR!E:E, IW29EDITAR!I:I, A36, IW29EDITAR!H:H, "LINE 10")</f>
        <v>0</v>
      </c>
      <c r="L36" s="77">
        <f>SUMIFS(IW29EDITAR!E:E, IW29EDITAR!I:I, A36, IW29EDITAR!H:H, "LINE 1")</f>
        <v>0</v>
      </c>
      <c r="M36" s="77">
        <f>SUMIFS(IW29EDITAR!E:E, IW29EDITAR!I:I, A36, IW29EDITAR!H:H, "LINE 2")</f>
        <v>0</v>
      </c>
      <c r="N36" s="77">
        <f>SUMIFS(IW29EDITAR!E:E, IW29EDITAR!I:I, A36, IW29EDITAR!H:H, "LINE 3")</f>
        <v>0</v>
      </c>
      <c r="O36" s="76">
        <f>SUMIFS(IW29EDITAR!E:E, IW29EDITAR!I:I, A36, IW29EDITAR!H:H, "LINE 4") + SUMIFS(IW29EDITAR!E:E, IW29EDITAR!I:I, A36, IW29EDITAR!H:H, "LINE 5")+SUMIFS(IW29EDITAR!E:E, IW29EDITAR!I:I, A36, IW29EDITAR!H:H, "LINE 6")</f>
        <v>0</v>
      </c>
      <c r="P36" s="5">
        <f ca="1">IFERROR(__xludf.DUMMYFUNCTION("""COMPUTED_VALUE"""),20009992)</f>
        <v>20009992</v>
      </c>
      <c r="Q36" s="5" t="str">
        <f t="shared" ca="1" si="9"/>
        <v>Encontrado</v>
      </c>
    </row>
    <row r="37" spans="1:17" ht="15.6">
      <c r="A37" s="80">
        <v>20064485</v>
      </c>
      <c r="B37" s="80" t="s">
        <v>4592</v>
      </c>
      <c r="C37" s="13" t="str">
        <f>IFERROR(VLOOKUP(B37, 'Base de datos'!A:B, 2, FALSE), "")</f>
        <v/>
      </c>
      <c r="D37" s="29" t="e">
        <f t="shared" ca="1" si="0"/>
        <v>#NAME?</v>
      </c>
      <c r="E37" s="3"/>
      <c r="F37" s="3">
        <f>COUNTIF(IW29EDITAR!I:I,A37)</f>
        <v>0</v>
      </c>
      <c r="G37" s="3">
        <f>COUNTIF('M2'!J:J,B37)</f>
        <v>0</v>
      </c>
      <c r="H37" s="3">
        <f>SUMIF(IW29EDITAR!I:I,A37,IW29EDITAR!E:E)</f>
        <v>0</v>
      </c>
      <c r="I37" s="76">
        <f>SUMIF('M2'!J:J,B37,'M2'!E:E)</f>
        <v>0</v>
      </c>
      <c r="J37" s="77">
        <f>SUMIFS(IW29EDITAR!E:E, IW29EDITAR!I:I, A37, IW29EDITAR!H:H, "LINE 8")</f>
        <v>0</v>
      </c>
      <c r="K37" s="77">
        <f>SUMIFS(IW29EDITAR!E:E, IW29EDITAR!I:I, A37, IW29EDITAR!H:H, "LINE 10")</f>
        <v>0</v>
      </c>
      <c r="L37" s="77">
        <f>SUMIFS(IW29EDITAR!E:E, IW29EDITAR!I:I, A37, IW29EDITAR!H:H, "LINE 1")</f>
        <v>0</v>
      </c>
      <c r="M37" s="77">
        <f>SUMIFS(IW29EDITAR!E:E, IW29EDITAR!I:I, A37, IW29EDITAR!H:H, "LINE 2")</f>
        <v>0</v>
      </c>
      <c r="N37" s="77">
        <f>SUMIFS(IW29EDITAR!E:E, IW29EDITAR!I:I, A37, IW29EDITAR!H:H, "LINE 3")</f>
        <v>0</v>
      </c>
      <c r="O37" s="76">
        <f>SUMIFS(IW29EDITAR!E:E, IW29EDITAR!I:I, A37, IW29EDITAR!H:H, "LINE 4") + SUMIFS(IW29EDITAR!E:E, IW29EDITAR!I:I, A37, IW29EDITAR!H:H, "LINE 5")+SUMIFS(IW29EDITAR!E:E, IW29EDITAR!I:I, A37, IW29EDITAR!H:H, "LINE 6")</f>
        <v>0</v>
      </c>
      <c r="Q37" s="5" t="str">
        <f t="shared" si="9"/>
        <v>No Encontrado</v>
      </c>
    </row>
    <row r="38" spans="1:17" ht="14.4">
      <c r="A38" s="75">
        <v>20048079</v>
      </c>
      <c r="B38" s="75" t="s">
        <v>4593</v>
      </c>
      <c r="C38" s="13" t="str">
        <f>IFERROR(VLOOKUP(B38, 'Base de datos'!A:B, 2, FALSE), "")</f>
        <v/>
      </c>
      <c r="D38" s="29" t="e">
        <f t="shared" ca="1" si="0"/>
        <v>#NAME?</v>
      </c>
      <c r="E38" s="3"/>
      <c r="F38" s="3">
        <f>COUNTIF(IW29EDITAR!I:I,A38)</f>
        <v>0</v>
      </c>
      <c r="G38" s="3">
        <f>COUNTIF('M2'!J:J,B38)</f>
        <v>0</v>
      </c>
      <c r="H38" s="3">
        <f>SUMIF(IW29EDITAR!I:I,A38,IW29EDITAR!E:E)</f>
        <v>0</v>
      </c>
      <c r="I38" s="76">
        <f>SUMIF('M2'!J:J,B38,'M2'!E:E)</f>
        <v>0</v>
      </c>
      <c r="J38" s="77">
        <f>SUMIFS(IW29EDITAR!E:E, IW29EDITAR!I:I, A38, IW29EDITAR!H:H, "LINE 8")</f>
        <v>0</v>
      </c>
      <c r="K38" s="77">
        <f>SUMIFS(IW29EDITAR!E:E, IW29EDITAR!I:I, A38, IW29EDITAR!H:H, "LINE 10")</f>
        <v>0</v>
      </c>
      <c r="L38" s="77">
        <f>SUMIFS(IW29EDITAR!E:E, IW29EDITAR!I:I, A38, IW29EDITAR!H:H, "LINE 1")</f>
        <v>0</v>
      </c>
      <c r="M38" s="77">
        <f>SUMIFS(IW29EDITAR!E:E, IW29EDITAR!I:I, A38, IW29EDITAR!H:H, "LINE 2")</f>
        <v>0</v>
      </c>
      <c r="N38" s="77">
        <f>SUMIFS(IW29EDITAR!E:E, IW29EDITAR!I:I, A38, IW29EDITAR!H:H, "LINE 3")</f>
        <v>0</v>
      </c>
      <c r="O38" s="76">
        <f>SUMIFS(IW29EDITAR!E:E, IW29EDITAR!I:I, A38, IW29EDITAR!H:H, "LINE 4") + SUMIFS(IW29EDITAR!E:E, IW29EDITAR!I:I, A38, IW29EDITAR!H:H, "LINE 5")+SUMIFS(IW29EDITAR!E:E, IW29EDITAR!I:I, A38, IW29EDITAR!H:H, "LINE 6")</f>
        <v>0</v>
      </c>
      <c r="Q38" s="5" t="str">
        <f t="shared" si="9"/>
        <v>No Encontrado</v>
      </c>
    </row>
    <row r="39" spans="1:17" ht="14.4">
      <c r="A39" s="75">
        <v>20009852</v>
      </c>
      <c r="B39" s="75" t="s">
        <v>4594</v>
      </c>
      <c r="C39" s="13" t="str">
        <f>IFERROR(VLOOKUP(B39, 'Base de datos'!A:B, 2, FALSE), "")</f>
        <v/>
      </c>
      <c r="D39" s="29" t="e">
        <f t="shared" ca="1" si="0"/>
        <v>#NAME?</v>
      </c>
      <c r="E39" s="3"/>
      <c r="F39" s="3">
        <f>COUNTIF(IW29EDITAR!I:I,A39)</f>
        <v>0</v>
      </c>
      <c r="G39" s="3">
        <f>COUNTIF('M2'!J:J,B39)</f>
        <v>0</v>
      </c>
      <c r="H39" s="3">
        <f>SUMIF(IW29EDITAR!I:I,A39,IW29EDITAR!E:E)</f>
        <v>0</v>
      </c>
      <c r="I39" s="76">
        <f>SUMIF('M2'!J:J,B39,'M2'!E:E)</f>
        <v>0</v>
      </c>
      <c r="J39" s="77">
        <f>SUMIFS(IW29EDITAR!E:E, IW29EDITAR!I:I, A39, IW29EDITAR!H:H, "LINE 8")</f>
        <v>0</v>
      </c>
      <c r="K39" s="77">
        <f>SUMIFS(IW29EDITAR!E:E, IW29EDITAR!I:I, A39, IW29EDITAR!H:H, "LINE 10")</f>
        <v>0</v>
      </c>
      <c r="L39" s="77">
        <f>SUMIFS(IW29EDITAR!E:E, IW29EDITAR!I:I, A39, IW29EDITAR!H:H, "LINE 1")</f>
        <v>0</v>
      </c>
      <c r="M39" s="77">
        <f>SUMIFS(IW29EDITAR!E:E, IW29EDITAR!I:I, A39, IW29EDITAR!H:H, "LINE 2")</f>
        <v>0</v>
      </c>
      <c r="N39" s="77">
        <f>SUMIFS(IW29EDITAR!E:E, IW29EDITAR!I:I, A39, IW29EDITAR!H:H, "LINE 3")</f>
        <v>0</v>
      </c>
      <c r="O39" s="76">
        <f>SUMIFS(IW29EDITAR!E:E, IW29EDITAR!I:I, A39, IW29EDITAR!H:H, "LINE 4") + SUMIFS(IW29EDITAR!E:E, IW29EDITAR!I:I, A39, IW29EDITAR!H:H, "LINE 5")+SUMIFS(IW29EDITAR!E:E, IW29EDITAR!I:I, A39, IW29EDITAR!H:H, "LINE 6")</f>
        <v>0</v>
      </c>
      <c r="Q39" s="5" t="str">
        <f t="shared" si="9"/>
        <v>No Encontrado</v>
      </c>
    </row>
    <row r="40" spans="1:17" ht="14.4">
      <c r="A40" s="75">
        <v>20067640</v>
      </c>
      <c r="B40" s="75" t="s">
        <v>4595</v>
      </c>
      <c r="C40" s="13" t="str">
        <f>IFERROR(VLOOKUP(B40, 'Base de datos'!A:B, 2, FALSE), "")</f>
        <v/>
      </c>
      <c r="D40" s="29" t="e">
        <f t="shared" ca="1" si="0"/>
        <v>#NAME?</v>
      </c>
      <c r="E40" s="3"/>
      <c r="F40" s="3">
        <f>COUNTIF(IW29EDITAR!I:I,A40)</f>
        <v>0</v>
      </c>
      <c r="G40" s="3">
        <f>COUNTIF('M2'!J:J,B40)</f>
        <v>0</v>
      </c>
      <c r="H40" s="3">
        <f>SUMIF(IW29EDITAR!I:I,A40,IW29EDITAR!E:E)</f>
        <v>0</v>
      </c>
      <c r="I40" s="76">
        <f>SUMIF('M2'!J:J,B40,'M2'!E:E)</f>
        <v>0</v>
      </c>
      <c r="J40" s="77">
        <f>SUMIFS(IW29EDITAR!E:E, IW29EDITAR!I:I, A40, IW29EDITAR!H:H, "LINE 8")</f>
        <v>0</v>
      </c>
      <c r="K40" s="77">
        <f>SUMIFS(IW29EDITAR!E:E, IW29EDITAR!I:I, A40, IW29EDITAR!H:H, "LINE 10")</f>
        <v>0</v>
      </c>
      <c r="L40" s="77">
        <f>SUMIFS(IW29EDITAR!E:E, IW29EDITAR!I:I, A40, IW29EDITAR!H:H, "LINE 1")</f>
        <v>0</v>
      </c>
      <c r="M40" s="77">
        <f>SUMIFS(IW29EDITAR!E:E, IW29EDITAR!I:I, A40, IW29EDITAR!H:H, "LINE 2")</f>
        <v>0</v>
      </c>
      <c r="N40" s="77">
        <f>SUMIFS(IW29EDITAR!E:E, IW29EDITAR!I:I, A40, IW29EDITAR!H:H, "LINE 3")</f>
        <v>0</v>
      </c>
      <c r="O40" s="76">
        <f>SUMIFS(IW29EDITAR!E:E, IW29EDITAR!I:I, A40, IW29EDITAR!H:H, "LINE 4") + SUMIFS(IW29EDITAR!E:E, IW29EDITAR!I:I, A40, IW29EDITAR!H:H, "LINE 5")+SUMIFS(IW29EDITAR!E:E, IW29EDITAR!I:I, A40, IW29EDITAR!H:H, "LINE 6")</f>
        <v>0</v>
      </c>
      <c r="Q40" s="5" t="str">
        <f t="shared" si="9"/>
        <v>No Encontrado</v>
      </c>
    </row>
    <row r="41" spans="1:17" ht="14.4">
      <c r="A41" s="75">
        <v>20009957</v>
      </c>
      <c r="B41" s="75" t="s">
        <v>4596</v>
      </c>
      <c r="C41" s="13" t="str">
        <f>IFERROR(VLOOKUP(B41, 'Base de datos'!A:B, 2, FALSE), "")</f>
        <v/>
      </c>
      <c r="D41" s="29" t="e">
        <f t="shared" ca="1" si="0"/>
        <v>#NAME?</v>
      </c>
      <c r="E41" s="3"/>
      <c r="F41" s="3">
        <f>COUNTIF(IW29EDITAR!I:I,A41)</f>
        <v>0</v>
      </c>
      <c r="G41" s="3">
        <f>COUNTIF('M2'!J:J,B41)</f>
        <v>0</v>
      </c>
      <c r="H41" s="3">
        <f>SUMIF(IW29EDITAR!I:I,A41,IW29EDITAR!E:E)</f>
        <v>0</v>
      </c>
      <c r="I41" s="76">
        <f>SUMIF('M2'!J:J,B41,'M2'!E:E)</f>
        <v>0</v>
      </c>
      <c r="J41" s="77">
        <f>SUMIFS(IW29EDITAR!E:E, IW29EDITAR!I:I, A41, IW29EDITAR!H:H, "LINE 8")</f>
        <v>0</v>
      </c>
      <c r="K41" s="77">
        <f>SUMIFS(IW29EDITAR!E:E, IW29EDITAR!I:I, A41, IW29EDITAR!H:H, "LINE 10")</f>
        <v>0</v>
      </c>
      <c r="L41" s="77">
        <f>SUMIFS(IW29EDITAR!E:E, IW29EDITAR!I:I, A41, IW29EDITAR!H:H, "LINE 1")</f>
        <v>0</v>
      </c>
      <c r="M41" s="77">
        <f>SUMIFS(IW29EDITAR!E:E, IW29EDITAR!I:I, A41, IW29EDITAR!H:H, "LINE 2")</f>
        <v>0</v>
      </c>
      <c r="N41" s="77">
        <f>SUMIFS(IW29EDITAR!E:E, IW29EDITAR!I:I, A41, IW29EDITAR!H:H, "LINE 3")</f>
        <v>0</v>
      </c>
      <c r="O41" s="76">
        <f>SUMIFS(IW29EDITAR!E:E, IW29EDITAR!I:I, A41, IW29EDITAR!H:H, "LINE 4") + SUMIFS(IW29EDITAR!E:E, IW29EDITAR!I:I, A41, IW29EDITAR!H:H, "LINE 5")+SUMIFS(IW29EDITAR!E:E, IW29EDITAR!I:I, A41, IW29EDITAR!H:H, "LINE 6")</f>
        <v>0</v>
      </c>
      <c r="Q41" s="5" t="str">
        <f>IF(ISNUMBER(VLOOKUP(P41,A2:A1026, 1, FALSE)), "Encontrado", "No Encontrado")</f>
        <v>No Encontrado</v>
      </c>
    </row>
    <row r="42" spans="1:17" ht="14.4">
      <c r="A42" s="75">
        <v>20046276</v>
      </c>
      <c r="B42" s="75" t="s">
        <v>4597</v>
      </c>
      <c r="C42" s="13" t="str">
        <f>IFERROR(VLOOKUP(B42, 'Base de datos'!A:B, 2, FALSE), "")</f>
        <v/>
      </c>
      <c r="D42" s="29" t="e">
        <f t="shared" ca="1" si="0"/>
        <v>#NAME?</v>
      </c>
      <c r="E42" s="3"/>
      <c r="F42" s="3">
        <f>COUNTIF(IW29EDITAR!I:I,A42)</f>
        <v>0</v>
      </c>
      <c r="G42" s="3">
        <f>COUNTIF('M2'!J:J,B42)</f>
        <v>0</v>
      </c>
      <c r="H42" s="3">
        <f>SUMIF(IW29EDITAR!I:I,A42,IW29EDITAR!E:E)</f>
        <v>0</v>
      </c>
      <c r="I42" s="76">
        <f>SUMIF('M2'!J:J,B42,'M2'!E:E)</f>
        <v>0</v>
      </c>
      <c r="J42" s="77">
        <f>SUMIFS(IW29EDITAR!E:E, IW29EDITAR!I:I, A42, IW29EDITAR!H:H, "LINE 8")</f>
        <v>0</v>
      </c>
      <c r="K42" s="77">
        <f>SUMIFS(IW29EDITAR!E:E, IW29EDITAR!I:I, A42, IW29EDITAR!H:H, "LINE 10")</f>
        <v>0</v>
      </c>
      <c r="L42" s="77">
        <f>SUMIFS(IW29EDITAR!E:E, IW29EDITAR!I:I, A42, IW29EDITAR!H:H, "LINE 1")</f>
        <v>0</v>
      </c>
      <c r="M42" s="77">
        <f>SUMIFS(IW29EDITAR!E:E, IW29EDITAR!I:I, A42, IW29EDITAR!H:H, "LINE 2")</f>
        <v>0</v>
      </c>
      <c r="N42" s="77">
        <f>SUMIFS(IW29EDITAR!E:E, IW29EDITAR!I:I, A42, IW29EDITAR!H:H, "LINE 3")</f>
        <v>0</v>
      </c>
      <c r="O42" s="76">
        <f>SUMIFS(IW29EDITAR!E:E, IW29EDITAR!I:I, A42, IW29EDITAR!H:H, "LINE 4") + SUMIFS(IW29EDITAR!E:E, IW29EDITAR!I:I, A42, IW29EDITAR!H:H, "LINE 5")+SUMIFS(IW29EDITAR!E:E, IW29EDITAR!I:I, A42, IW29EDITAR!H:H, "LINE 6")</f>
        <v>0</v>
      </c>
      <c r="Q42" s="5" t="str">
        <f>IF(ISNUMBER(VLOOKUP(P42,A27:A1026, 1, FALSE)), "Encontrado", "No Encontrado")</f>
        <v>No Encontrado</v>
      </c>
    </row>
    <row r="43" spans="1:17" ht="14.4">
      <c r="A43" s="75">
        <v>20009827</v>
      </c>
      <c r="B43" s="75" t="s">
        <v>4598</v>
      </c>
      <c r="C43" s="13">
        <f>IFERROR(VLOOKUP(B43, 'Base de datos'!A:B, 2, FALSE), "")</f>
        <v>573222217492</v>
      </c>
      <c r="D43" s="29" t="e">
        <f t="shared" ca="1" si="0"/>
        <v>#NAME?</v>
      </c>
      <c r="E43" s="3"/>
      <c r="F43" s="3">
        <f>COUNTIF(IW29EDITAR!I:I,A43)</f>
        <v>0</v>
      </c>
      <c r="G43" s="3">
        <f>COUNTIF('M2'!J:J,B43)</f>
        <v>0</v>
      </c>
      <c r="H43" s="3">
        <f>SUMIF(IW29EDITAR!I:I,A43,IW29EDITAR!E:E)</f>
        <v>0</v>
      </c>
      <c r="I43" s="76">
        <f>SUMIF('M2'!J:J,B43,'M2'!E:E)</f>
        <v>0</v>
      </c>
      <c r="J43" s="77">
        <f>SUMIFS(IW29EDITAR!E:E, IW29EDITAR!I:I, A43, IW29EDITAR!H:H, "LINE 8")</f>
        <v>0</v>
      </c>
      <c r="K43" s="77">
        <f>SUMIFS(IW29EDITAR!E:E, IW29EDITAR!I:I, A43, IW29EDITAR!H:H, "LINE 10")</f>
        <v>0</v>
      </c>
      <c r="L43" s="77">
        <f>SUMIFS(IW29EDITAR!E:E, IW29EDITAR!I:I, A43, IW29EDITAR!H:H, "LINE 1")</f>
        <v>0</v>
      </c>
      <c r="M43" s="77">
        <f>SUMIFS(IW29EDITAR!E:E, IW29EDITAR!I:I, A43, IW29EDITAR!H:H, "LINE 2")</f>
        <v>0</v>
      </c>
      <c r="N43" s="77">
        <f>SUMIFS(IW29EDITAR!E:E, IW29EDITAR!I:I, A43, IW29EDITAR!H:H, "LINE 3")</f>
        <v>0</v>
      </c>
      <c r="O43" s="76">
        <f>SUMIFS(IW29EDITAR!E:E, IW29EDITAR!I:I, A43, IW29EDITAR!H:H, "LINE 4") + SUMIFS(IW29EDITAR!E:E, IW29EDITAR!I:I, A43, IW29EDITAR!H:H, "LINE 5")+SUMIFS(IW29EDITAR!E:E, IW29EDITAR!I:I, A43, IW29EDITAR!H:H, "LINE 6")</f>
        <v>0</v>
      </c>
      <c r="Q43" s="5" t="str">
        <f>IF(ISNUMBER(VLOOKUP(P43,A2:A1026, 1, FALSE)), "Encontrado", "No Encontrado")</f>
        <v>No Encontrado</v>
      </c>
    </row>
    <row r="44" spans="1:17" ht="14.4">
      <c r="A44" s="75">
        <v>20010003</v>
      </c>
      <c r="B44" s="75" t="s">
        <v>581</v>
      </c>
      <c r="C44" s="13">
        <f>IFERROR(VLOOKUP(B44, 'Base de datos'!A:B, 2, FALSE), "")</f>
        <v>573148903137</v>
      </c>
      <c r="D44" s="29" t="e">
        <f t="shared" ca="1" si="0"/>
        <v>#NAME?</v>
      </c>
      <c r="E44" s="3"/>
      <c r="F44" s="3">
        <f>COUNTIF(IW29EDITAR!I:I,A44)</f>
        <v>0</v>
      </c>
      <c r="G44" s="3">
        <f>COUNTIF('M2'!J:J,B44)</f>
        <v>0</v>
      </c>
      <c r="H44" s="3">
        <f>SUMIF(IW29EDITAR!I:I,A44,IW29EDITAR!E:E)</f>
        <v>0</v>
      </c>
      <c r="I44" s="76">
        <f>SUMIF('M2'!J:J,B44,'M2'!E:E)</f>
        <v>0</v>
      </c>
      <c r="J44" s="77">
        <f>SUMIFS(IW29EDITAR!E:E, IW29EDITAR!I:I, A44, IW29EDITAR!H:H, "LINE 8")</f>
        <v>0</v>
      </c>
      <c r="K44" s="77">
        <f>SUMIFS(IW29EDITAR!E:E, IW29EDITAR!I:I, A44, IW29EDITAR!H:H, "LINE 10")</f>
        <v>0</v>
      </c>
      <c r="L44" s="77">
        <f>SUMIFS(IW29EDITAR!E:E, IW29EDITAR!I:I, A44, IW29EDITAR!H:H, "LINE 1")</f>
        <v>0</v>
      </c>
      <c r="M44" s="77">
        <f>SUMIFS(IW29EDITAR!E:E, IW29EDITAR!I:I, A44, IW29EDITAR!H:H, "LINE 2")</f>
        <v>0</v>
      </c>
      <c r="N44" s="77">
        <f>SUMIFS(IW29EDITAR!E:E, IW29EDITAR!I:I, A44, IW29EDITAR!H:H, "LINE 3")</f>
        <v>0</v>
      </c>
      <c r="O44" s="76">
        <f>SUMIFS(IW29EDITAR!E:E, IW29EDITAR!I:I, A44, IW29EDITAR!H:H, "LINE 4") + SUMIFS(IW29EDITAR!E:E, IW29EDITAR!I:I, A44, IW29EDITAR!H:H, "LINE 5")+SUMIFS(IW29EDITAR!E:E, IW29EDITAR!I:I, A44, IW29EDITAR!H:H, "LINE 6")</f>
        <v>0</v>
      </c>
    </row>
    <row r="45" spans="1:17" ht="14.4">
      <c r="A45" s="75">
        <v>20023069</v>
      </c>
      <c r="B45" s="75" t="s">
        <v>4599</v>
      </c>
      <c r="C45" s="13" t="str">
        <f>IFERROR(VLOOKUP(B45, 'Base de datos'!A:B, 2, FALSE), "")</f>
        <v/>
      </c>
      <c r="D45" s="29" t="e">
        <f t="shared" ca="1" si="0"/>
        <v>#NAME?</v>
      </c>
      <c r="E45" s="3"/>
      <c r="F45" s="3">
        <f>COUNTIF(IW29EDITAR!I:I,A45)</f>
        <v>0</v>
      </c>
      <c r="G45" s="3">
        <f>COUNTIF('M2'!J:J,B45)</f>
        <v>0</v>
      </c>
      <c r="H45" s="3">
        <f>SUMIF(IW29EDITAR!I:I,A45,IW29EDITAR!E:E)</f>
        <v>0</v>
      </c>
      <c r="I45" s="76">
        <f>SUMIF('M2'!J:J,B45,'M2'!E:E)</f>
        <v>0</v>
      </c>
      <c r="J45" s="77">
        <f>SUMIFS(IW29EDITAR!E:E, IW29EDITAR!I:I, A45, IW29EDITAR!H:H, "LINE 8")</f>
        <v>0</v>
      </c>
      <c r="K45" s="77">
        <f>SUMIFS(IW29EDITAR!E:E, IW29EDITAR!I:I, A45, IW29EDITAR!H:H, "LINE 10")</f>
        <v>0</v>
      </c>
      <c r="L45" s="77">
        <f>SUMIFS(IW29EDITAR!E:E, IW29EDITAR!I:I, A45, IW29EDITAR!H:H, "LINE 1")</f>
        <v>0</v>
      </c>
      <c r="M45" s="77">
        <f>SUMIFS(IW29EDITAR!E:E, IW29EDITAR!I:I, A45, IW29EDITAR!H:H, "LINE 2")</f>
        <v>0</v>
      </c>
      <c r="N45" s="77">
        <f>SUMIFS(IW29EDITAR!E:E, IW29EDITAR!I:I, A45, IW29EDITAR!H:H, "LINE 3")</f>
        <v>0</v>
      </c>
      <c r="O45" s="76">
        <f>SUMIFS(IW29EDITAR!E:E, IW29EDITAR!I:I, A45, IW29EDITAR!H:H, "LINE 4") + SUMIFS(IW29EDITAR!E:E, IW29EDITAR!I:I, A45, IW29EDITAR!H:H, "LINE 5")+SUMIFS(IW29EDITAR!E:E, IW29EDITAR!I:I, A45, IW29EDITAR!H:H, "LINE 6")</f>
        <v>0</v>
      </c>
    </row>
    <row r="46" spans="1:17" ht="14.4">
      <c r="A46" s="75">
        <v>20009961</v>
      </c>
      <c r="B46" s="75" t="s">
        <v>4600</v>
      </c>
      <c r="C46" s="13" t="str">
        <f>IFERROR(VLOOKUP(B46, 'Base de datos'!A:B, 2, FALSE), "")</f>
        <v/>
      </c>
      <c r="D46" s="29" t="e">
        <f t="shared" ca="1" si="0"/>
        <v>#NAME?</v>
      </c>
      <c r="E46" s="3"/>
      <c r="F46" s="3">
        <f>COUNTIF(IW29EDITAR!I:I,A46)</f>
        <v>0</v>
      </c>
      <c r="G46" s="3">
        <f>COUNTIF('M2'!J:J,B46)</f>
        <v>0</v>
      </c>
      <c r="H46" s="3">
        <f>SUMIF(IW29EDITAR!I:I,A46,IW29EDITAR!E:E)</f>
        <v>0</v>
      </c>
      <c r="I46" s="76">
        <f>SUMIF('M2'!J:J,B46,'M2'!E:E)</f>
        <v>0</v>
      </c>
      <c r="J46" s="77">
        <f>SUMIFS(IW29EDITAR!E:E, IW29EDITAR!I:I, A46, IW29EDITAR!H:H, "LINE 8")</f>
        <v>0</v>
      </c>
      <c r="K46" s="77">
        <f>SUMIFS(IW29EDITAR!E:E, IW29EDITAR!I:I, A46, IW29EDITAR!H:H, "LINE 10")</f>
        <v>0</v>
      </c>
      <c r="L46" s="77">
        <f>SUMIFS(IW29EDITAR!E:E, IW29EDITAR!I:I, A46, IW29EDITAR!H:H, "LINE 1")</f>
        <v>0</v>
      </c>
      <c r="M46" s="77">
        <f>SUMIFS(IW29EDITAR!E:E, IW29EDITAR!I:I, A46, IW29EDITAR!H:H, "LINE 2")</f>
        <v>0</v>
      </c>
      <c r="N46" s="77">
        <f>SUMIFS(IW29EDITAR!E:E, IW29EDITAR!I:I, A46, IW29EDITAR!H:H, "LINE 3")</f>
        <v>0</v>
      </c>
      <c r="O46" s="76">
        <f>SUMIFS(IW29EDITAR!E:E, IW29EDITAR!I:I, A46, IW29EDITAR!H:H, "LINE 4") + SUMIFS(IW29EDITAR!E:E, IW29EDITAR!I:I, A46, IW29EDITAR!H:H, "LINE 5")+SUMIFS(IW29EDITAR!E:E, IW29EDITAR!I:I, A46, IW29EDITAR!H:H, "LINE 6")</f>
        <v>0</v>
      </c>
    </row>
    <row r="47" spans="1:17" ht="14.4">
      <c r="A47" s="75">
        <v>20065719</v>
      </c>
      <c r="B47" s="75" t="s">
        <v>4601</v>
      </c>
      <c r="C47" s="13" t="str">
        <f>IFERROR(VLOOKUP(B47, 'Base de datos'!A:B, 2, FALSE), "")</f>
        <v/>
      </c>
      <c r="D47" s="29" t="e">
        <f t="shared" ca="1" si="0"/>
        <v>#NAME?</v>
      </c>
      <c r="E47" s="3"/>
      <c r="F47" s="3">
        <f>COUNTIF(IW29EDITAR!I:I,A47)</f>
        <v>0</v>
      </c>
      <c r="G47" s="3">
        <f>COUNTIF('M2'!J:J,B47)</f>
        <v>0</v>
      </c>
      <c r="H47" s="3">
        <f>SUMIF(IW29EDITAR!I:I,A47,IW29EDITAR!E:E)</f>
        <v>0</v>
      </c>
      <c r="I47" s="76">
        <f>SUMIF('M2'!J:J,B47,'M2'!E:E)</f>
        <v>0</v>
      </c>
      <c r="J47" s="77">
        <f>SUMIFS(IW29EDITAR!E:E, IW29EDITAR!I:I, A47, IW29EDITAR!H:H, "LINE 8")</f>
        <v>0</v>
      </c>
      <c r="K47" s="77">
        <f>SUMIFS(IW29EDITAR!E:E, IW29EDITAR!I:I, A47, IW29EDITAR!H:H, "LINE 10")</f>
        <v>0</v>
      </c>
      <c r="L47" s="77">
        <f>SUMIFS(IW29EDITAR!E:E, IW29EDITAR!I:I, A47, IW29EDITAR!H:H, "LINE 1")</f>
        <v>0</v>
      </c>
      <c r="M47" s="77">
        <f>SUMIFS(IW29EDITAR!E:E, IW29EDITAR!I:I, A47, IW29EDITAR!H:H, "LINE 2")</f>
        <v>0</v>
      </c>
      <c r="N47" s="77">
        <f>SUMIFS(IW29EDITAR!E:E, IW29EDITAR!I:I, A47, IW29EDITAR!H:H, "LINE 3")</f>
        <v>0</v>
      </c>
      <c r="O47" s="76">
        <f>SUMIFS(IW29EDITAR!E:E, IW29EDITAR!I:I, A47, IW29EDITAR!H:H, "LINE 4") + SUMIFS(IW29EDITAR!E:E, IW29EDITAR!I:I, A47, IW29EDITAR!H:H, "LINE 5")+SUMIFS(IW29EDITAR!E:E, IW29EDITAR!I:I, A47, IW29EDITAR!H:H, "LINE 6")</f>
        <v>0</v>
      </c>
    </row>
    <row r="48" spans="1:17" ht="14.4">
      <c r="A48" s="75">
        <v>20066171</v>
      </c>
      <c r="B48" s="75" t="s">
        <v>4602</v>
      </c>
      <c r="C48" s="13" t="str">
        <f>IFERROR(VLOOKUP(B48, 'Base de datos'!A:B, 2, FALSE), "")</f>
        <v/>
      </c>
      <c r="D48" s="29" t="e">
        <f t="shared" ca="1" si="0"/>
        <v>#NAME?</v>
      </c>
      <c r="E48" s="3"/>
      <c r="F48" s="3">
        <f>COUNTIF(IW29EDITAR!I:I,A48)</f>
        <v>0</v>
      </c>
      <c r="G48" s="3">
        <f>COUNTIF('M2'!J:J,B48)</f>
        <v>0</v>
      </c>
      <c r="H48" s="3">
        <f>SUMIF(IW29EDITAR!I:I,A48,IW29EDITAR!E:E)</f>
        <v>0</v>
      </c>
      <c r="I48" s="76">
        <f>SUMIF('M2'!J:J,B48,'M2'!E:E)</f>
        <v>0</v>
      </c>
      <c r="J48" s="77">
        <f>SUMIFS(IW29EDITAR!E:E, IW29EDITAR!I:I, A48, IW29EDITAR!H:H, "LINE 8")</f>
        <v>0</v>
      </c>
      <c r="K48" s="77">
        <f>SUMIFS(IW29EDITAR!E:E, IW29EDITAR!I:I, A48, IW29EDITAR!H:H, "LINE 10")</f>
        <v>0</v>
      </c>
      <c r="L48" s="77">
        <f>SUMIFS(IW29EDITAR!E:E, IW29EDITAR!I:I, A48, IW29EDITAR!H:H, "LINE 1")</f>
        <v>0</v>
      </c>
      <c r="M48" s="77">
        <f>SUMIFS(IW29EDITAR!E:E, IW29EDITAR!I:I, A48, IW29EDITAR!H:H, "LINE 2")</f>
        <v>0</v>
      </c>
      <c r="N48" s="77">
        <f>SUMIFS(IW29EDITAR!E:E, IW29EDITAR!I:I, A48, IW29EDITAR!H:H, "LINE 3")</f>
        <v>0</v>
      </c>
      <c r="O48" s="76">
        <f>SUMIFS(IW29EDITAR!E:E, IW29EDITAR!I:I, A48, IW29EDITAR!H:H, "LINE 4") + SUMIFS(IW29EDITAR!E:E, IW29EDITAR!I:I, A48, IW29EDITAR!H:H, "LINE 5")+SUMIFS(IW29EDITAR!E:E, IW29EDITAR!I:I, A48, IW29EDITAR!H:H, "LINE 6")</f>
        <v>0</v>
      </c>
    </row>
    <row r="49" spans="1:15" ht="14.4">
      <c r="A49" s="75">
        <v>20062839</v>
      </c>
      <c r="B49" s="75" t="s">
        <v>4603</v>
      </c>
      <c r="C49" s="13" t="str">
        <f>IFERROR(VLOOKUP(B49, 'Base de datos'!A:B, 2, FALSE), "")</f>
        <v/>
      </c>
      <c r="D49" s="29" t="e">
        <f t="shared" ca="1" si="0"/>
        <v>#NAME?</v>
      </c>
      <c r="E49" s="3"/>
      <c r="F49" s="3">
        <f>COUNTIF(IW29EDITAR!I:I,A49)</f>
        <v>0</v>
      </c>
      <c r="G49" s="3">
        <f>COUNTIF('M2'!J:J,B49)</f>
        <v>0</v>
      </c>
      <c r="H49" s="3">
        <f>SUMIF(IW29EDITAR!I:I,A49,IW29EDITAR!E:E)</f>
        <v>0</v>
      </c>
      <c r="I49" s="76">
        <f>SUMIF('M2'!J:J,B49,'M2'!E:E)</f>
        <v>0</v>
      </c>
      <c r="J49" s="77">
        <f>SUMIFS(IW29EDITAR!E:E, IW29EDITAR!I:I, A49, IW29EDITAR!H:H, "LINE 8")</f>
        <v>0</v>
      </c>
      <c r="K49" s="77">
        <f>SUMIFS(IW29EDITAR!E:E, IW29EDITAR!I:I, A49, IW29EDITAR!H:H, "LINE 10")</f>
        <v>0</v>
      </c>
      <c r="L49" s="77">
        <f>SUMIFS(IW29EDITAR!E:E, IW29EDITAR!I:I, A49, IW29EDITAR!H:H, "LINE 1")</f>
        <v>0</v>
      </c>
      <c r="M49" s="77">
        <f>SUMIFS(IW29EDITAR!E:E, IW29EDITAR!I:I, A49, IW29EDITAR!H:H, "LINE 2")</f>
        <v>0</v>
      </c>
      <c r="N49" s="77">
        <f>SUMIFS(IW29EDITAR!E:E, IW29EDITAR!I:I, A49, IW29EDITAR!H:H, "LINE 3")</f>
        <v>0</v>
      </c>
      <c r="O49" s="76">
        <f>SUMIFS(IW29EDITAR!E:E, IW29EDITAR!I:I, A49, IW29EDITAR!H:H, "LINE 4") + SUMIFS(IW29EDITAR!E:E, IW29EDITAR!I:I, A49, IW29EDITAR!H:H, "LINE 5")+SUMIFS(IW29EDITAR!E:E, IW29EDITAR!I:I, A49, IW29EDITAR!H:H, "LINE 6")</f>
        <v>0</v>
      </c>
    </row>
    <row r="50" spans="1:15" ht="14.4">
      <c r="A50" s="75">
        <v>20028208</v>
      </c>
      <c r="B50" s="75" t="s">
        <v>4604</v>
      </c>
      <c r="C50" s="13" t="str">
        <f>IFERROR(VLOOKUP(B50, 'Base de datos'!A:B, 2, FALSE), "")</f>
        <v/>
      </c>
      <c r="D50" s="29" t="e">
        <f t="shared" ca="1" si="0"/>
        <v>#NAME?</v>
      </c>
      <c r="E50" s="3"/>
      <c r="F50" s="3">
        <f>COUNTIF(IW29EDITAR!I:I,A50)</f>
        <v>0</v>
      </c>
      <c r="G50" s="3">
        <f>COUNTIF('M2'!J:J,B50)</f>
        <v>0</v>
      </c>
      <c r="H50" s="3">
        <f>SUMIF(IW29EDITAR!I:I,A50,IW29EDITAR!E:E)</f>
        <v>0</v>
      </c>
      <c r="I50" s="76">
        <f>SUMIF('M2'!J:J,B50,'M2'!E:E)</f>
        <v>0</v>
      </c>
      <c r="J50" s="77">
        <f>SUMIFS(IW29EDITAR!E:E, IW29EDITAR!I:I, A50, IW29EDITAR!H:H, "LINE 8")</f>
        <v>0</v>
      </c>
      <c r="K50" s="77">
        <f>SUMIFS(IW29EDITAR!E:E, IW29EDITAR!I:I, A50, IW29EDITAR!H:H, "LINE 10")</f>
        <v>0</v>
      </c>
      <c r="L50" s="77">
        <f>SUMIFS(IW29EDITAR!E:E, IW29EDITAR!I:I, A50, IW29EDITAR!H:H, "LINE 1")</f>
        <v>0</v>
      </c>
      <c r="M50" s="77">
        <f>SUMIFS(IW29EDITAR!E:E, IW29EDITAR!I:I, A50, IW29EDITAR!H:H, "LINE 2")</f>
        <v>0</v>
      </c>
      <c r="N50" s="77">
        <f>SUMIFS(IW29EDITAR!E:E, IW29EDITAR!I:I, A50, IW29EDITAR!H:H, "LINE 3")</f>
        <v>0</v>
      </c>
      <c r="O50" s="76">
        <f>SUMIFS(IW29EDITAR!E:E, IW29EDITAR!I:I, A50, IW29EDITAR!H:H, "LINE 4") + SUMIFS(IW29EDITAR!E:E, IW29EDITAR!I:I, A50, IW29EDITAR!H:H, "LINE 5")+SUMIFS(IW29EDITAR!E:E, IW29EDITAR!I:I, A50, IW29EDITAR!H:H, "LINE 6")</f>
        <v>0</v>
      </c>
    </row>
    <row r="51" spans="1:15" ht="14.4">
      <c r="A51" s="75">
        <v>20027412</v>
      </c>
      <c r="B51" s="75" t="s">
        <v>4605</v>
      </c>
      <c r="C51" s="13" t="str">
        <f>IFERROR(VLOOKUP(B51, 'Base de datos'!A:B, 2, FALSE), "")</f>
        <v/>
      </c>
      <c r="D51" s="29" t="e">
        <f t="shared" ca="1" si="0"/>
        <v>#NAME?</v>
      </c>
      <c r="E51" s="3"/>
      <c r="F51" s="3">
        <f>COUNTIF(IW29EDITAR!I:I,A51)</f>
        <v>0</v>
      </c>
      <c r="G51" s="3">
        <f>COUNTIF('M2'!J:J,B51)</f>
        <v>0</v>
      </c>
      <c r="H51" s="3">
        <f>SUMIF(IW29EDITAR!I:I,A51,IW29EDITAR!E:E)</f>
        <v>0</v>
      </c>
      <c r="I51" s="76">
        <f>SUMIF('M2'!J:J,B51,'M2'!E:E)</f>
        <v>0</v>
      </c>
      <c r="J51" s="77">
        <f>SUMIFS(IW29EDITAR!E:E, IW29EDITAR!I:I, A51, IW29EDITAR!H:H, "LINE 8")</f>
        <v>0</v>
      </c>
      <c r="K51" s="77">
        <f>SUMIFS(IW29EDITAR!E:E, IW29EDITAR!I:I, A51, IW29EDITAR!H:H, "LINE 10")</f>
        <v>0</v>
      </c>
      <c r="L51" s="77">
        <f>SUMIFS(IW29EDITAR!E:E, IW29EDITAR!I:I, A51, IW29EDITAR!H:H, "LINE 1")</f>
        <v>0</v>
      </c>
      <c r="M51" s="77">
        <f>SUMIFS(IW29EDITAR!E:E, IW29EDITAR!I:I, A51, IW29EDITAR!H:H, "LINE 2")</f>
        <v>0</v>
      </c>
      <c r="N51" s="77">
        <f>SUMIFS(IW29EDITAR!E:E, IW29EDITAR!I:I, A51, IW29EDITAR!H:H, "LINE 3")</f>
        <v>0</v>
      </c>
      <c r="O51" s="76">
        <f>SUMIFS(IW29EDITAR!E:E, IW29EDITAR!I:I, A51, IW29EDITAR!H:H, "LINE 4") + SUMIFS(IW29EDITAR!E:E, IW29EDITAR!I:I, A51, IW29EDITAR!H:H, "LINE 5")+SUMIFS(IW29EDITAR!E:E, IW29EDITAR!I:I, A51, IW29EDITAR!H:H, "LINE 6")</f>
        <v>0</v>
      </c>
    </row>
    <row r="52" spans="1:15" ht="14.4">
      <c r="A52" s="75">
        <v>20010051</v>
      </c>
      <c r="B52" s="75" t="s">
        <v>4606</v>
      </c>
      <c r="C52" s="13" t="str">
        <f>IFERROR(VLOOKUP(B52, 'Base de datos'!A:B, 2, FALSE), "")</f>
        <v/>
      </c>
      <c r="D52" s="29" t="e">
        <f t="shared" ca="1" si="0"/>
        <v>#NAME?</v>
      </c>
      <c r="E52" s="3"/>
      <c r="F52" s="3">
        <f>COUNTIF(IW29EDITAR!I:I,A52)</f>
        <v>0</v>
      </c>
      <c r="G52" s="3">
        <f>COUNTIF('M2'!J:J,B52)</f>
        <v>0</v>
      </c>
      <c r="H52" s="3">
        <f>SUMIF(IW29EDITAR!I:I,A52,IW29EDITAR!E:E)</f>
        <v>0</v>
      </c>
      <c r="I52" s="76">
        <f>SUMIF('M2'!J:J,B52,'M2'!E:E)</f>
        <v>0</v>
      </c>
      <c r="J52" s="77">
        <f>SUMIFS(IW29EDITAR!E:E, IW29EDITAR!I:I, A52, IW29EDITAR!H:H, "LINE 8")</f>
        <v>0</v>
      </c>
      <c r="K52" s="77">
        <f>SUMIFS(IW29EDITAR!E:E, IW29EDITAR!I:I, A52, IW29EDITAR!H:H, "LINE 10")</f>
        <v>0</v>
      </c>
      <c r="L52" s="77">
        <f>SUMIFS(IW29EDITAR!E:E, IW29EDITAR!I:I, A52, IW29EDITAR!H:H, "LINE 1")</f>
        <v>0</v>
      </c>
      <c r="M52" s="77">
        <f>SUMIFS(IW29EDITAR!E:E, IW29EDITAR!I:I, A52, IW29EDITAR!H:H, "LINE 2")</f>
        <v>0</v>
      </c>
      <c r="N52" s="77">
        <f>SUMIFS(IW29EDITAR!E:E, IW29EDITAR!I:I, A52, IW29EDITAR!H:H, "LINE 3")</f>
        <v>0</v>
      </c>
      <c r="O52" s="76">
        <f>SUMIFS(IW29EDITAR!E:E, IW29EDITAR!I:I, A52, IW29EDITAR!H:H, "LINE 4") + SUMIFS(IW29EDITAR!E:E, IW29EDITAR!I:I, A52, IW29EDITAR!H:H, "LINE 5")+SUMIFS(IW29EDITAR!E:E, IW29EDITAR!I:I, A52, IW29EDITAR!H:H, "LINE 6")</f>
        <v>0</v>
      </c>
    </row>
    <row r="53" spans="1:15" ht="14.4">
      <c r="A53" s="75">
        <v>20009728</v>
      </c>
      <c r="B53" s="75" t="s">
        <v>4607</v>
      </c>
      <c r="C53" s="13" t="str">
        <f>IFERROR(VLOOKUP(B53, 'Base de datos'!A:B, 2, FALSE), "")</f>
        <v/>
      </c>
      <c r="D53" s="29" t="e">
        <f t="shared" ca="1" si="0"/>
        <v>#NAME?</v>
      </c>
      <c r="E53" s="3"/>
      <c r="F53" s="3">
        <f>COUNTIF(IW29EDITAR!I:I,A53)</f>
        <v>0</v>
      </c>
      <c r="G53" s="3">
        <f>COUNTIF('M2'!J:J,B53)</f>
        <v>0</v>
      </c>
      <c r="H53" s="3">
        <f>SUMIF(IW29EDITAR!I:I,A53,IW29EDITAR!E:E)</f>
        <v>0</v>
      </c>
      <c r="I53" s="76">
        <f>SUMIF('M2'!J:J,B53,'M2'!E:E)</f>
        <v>0</v>
      </c>
      <c r="J53" s="77">
        <f>SUMIFS(IW29EDITAR!E:E, IW29EDITAR!I:I, A53, IW29EDITAR!H:H, "LINE 8")</f>
        <v>0</v>
      </c>
      <c r="K53" s="77">
        <f>SUMIFS(IW29EDITAR!E:E, IW29EDITAR!I:I, A53, IW29EDITAR!H:H, "LINE 10")</f>
        <v>0</v>
      </c>
      <c r="L53" s="77">
        <f>SUMIFS(IW29EDITAR!E:E, IW29EDITAR!I:I, A53, IW29EDITAR!H:H, "LINE 1")</f>
        <v>0</v>
      </c>
      <c r="M53" s="77">
        <f>SUMIFS(IW29EDITAR!E:E, IW29EDITAR!I:I, A53, IW29EDITAR!H:H, "LINE 2")</f>
        <v>0</v>
      </c>
      <c r="N53" s="77">
        <f>SUMIFS(IW29EDITAR!E:E, IW29EDITAR!I:I, A53, IW29EDITAR!H:H, "LINE 3")</f>
        <v>0</v>
      </c>
      <c r="O53" s="76">
        <f>SUMIFS(IW29EDITAR!E:E, IW29EDITAR!I:I, A53, IW29EDITAR!H:H, "LINE 4") + SUMIFS(IW29EDITAR!E:E, IW29EDITAR!I:I, A53, IW29EDITAR!H:H, "LINE 5")+SUMIFS(IW29EDITAR!E:E, IW29EDITAR!I:I, A53, IW29EDITAR!H:H, "LINE 6")</f>
        <v>0</v>
      </c>
    </row>
    <row r="54" spans="1:15" ht="14.4">
      <c r="A54" s="75">
        <v>20060015</v>
      </c>
      <c r="B54" s="75" t="s">
        <v>4608</v>
      </c>
      <c r="C54" s="13" t="str">
        <f>IFERROR(VLOOKUP(B54, 'Base de datos'!A:B, 2, FALSE), "")</f>
        <v/>
      </c>
      <c r="D54" s="29" t="e">
        <f t="shared" ca="1" si="0"/>
        <v>#NAME?</v>
      </c>
      <c r="E54" s="3"/>
      <c r="F54" s="3">
        <f>COUNTIF(IW29EDITAR!I:I,A54)</f>
        <v>0</v>
      </c>
      <c r="G54" s="3">
        <f>COUNTIF('M2'!J:J,B54)</f>
        <v>0</v>
      </c>
      <c r="H54" s="3">
        <f>SUMIF(IW29EDITAR!I:I,A54,IW29EDITAR!E:E)</f>
        <v>0</v>
      </c>
      <c r="I54" s="76">
        <f>SUMIF('M2'!J:J,B54,'M2'!E:E)</f>
        <v>0</v>
      </c>
      <c r="J54" s="77">
        <f>SUMIFS(IW29EDITAR!E:E, IW29EDITAR!I:I, A54, IW29EDITAR!H:H, "LINE 8")</f>
        <v>0</v>
      </c>
      <c r="K54" s="77">
        <f>SUMIFS(IW29EDITAR!E:E, IW29EDITAR!I:I, A54, IW29EDITAR!H:H, "LINE 10")</f>
        <v>0</v>
      </c>
      <c r="L54" s="77">
        <f>SUMIFS(IW29EDITAR!E:E, IW29EDITAR!I:I, A54, IW29EDITAR!H:H, "LINE 1")</f>
        <v>0</v>
      </c>
      <c r="M54" s="77">
        <f>SUMIFS(IW29EDITAR!E:E, IW29EDITAR!I:I, A54, IW29EDITAR!H:H, "LINE 2")</f>
        <v>0</v>
      </c>
      <c r="N54" s="77">
        <f>SUMIFS(IW29EDITAR!E:E, IW29EDITAR!I:I, A54, IW29EDITAR!H:H, "LINE 3")</f>
        <v>0</v>
      </c>
      <c r="O54" s="76">
        <f>SUMIFS(IW29EDITAR!E:E, IW29EDITAR!I:I, A54, IW29EDITAR!H:H, "LINE 4") + SUMIFS(IW29EDITAR!E:E, IW29EDITAR!I:I, A54, IW29EDITAR!H:H, "LINE 5")+SUMIFS(IW29EDITAR!E:E, IW29EDITAR!I:I, A54, IW29EDITAR!H:H, "LINE 6")</f>
        <v>0</v>
      </c>
    </row>
    <row r="55" spans="1:15" ht="14.4">
      <c r="A55" s="75">
        <v>20030942</v>
      </c>
      <c r="B55" s="75" t="s">
        <v>4609</v>
      </c>
      <c r="C55" s="13" t="str">
        <f>IFERROR(VLOOKUP(B55, 'Base de datos'!A:B, 2, FALSE), "")</f>
        <v/>
      </c>
      <c r="D55" s="29" t="e">
        <f t="shared" ca="1" si="0"/>
        <v>#NAME?</v>
      </c>
      <c r="E55" s="3"/>
      <c r="F55" s="3">
        <f>COUNTIF(IW29EDITAR!I:I,A55)</f>
        <v>0</v>
      </c>
      <c r="G55" s="3">
        <f>COUNTIF('M2'!J:J,B55)</f>
        <v>0</v>
      </c>
      <c r="H55" s="3">
        <f>SUMIF(IW29EDITAR!I:I,A55,IW29EDITAR!E:E)</f>
        <v>0</v>
      </c>
      <c r="I55" s="76">
        <f>SUMIF('M2'!J:J,B55,'M2'!E:E)</f>
        <v>0</v>
      </c>
      <c r="J55" s="77">
        <f>SUMIFS(IW29EDITAR!E:E, IW29EDITAR!I:I, A55, IW29EDITAR!H:H, "LINE 8")</f>
        <v>0</v>
      </c>
      <c r="K55" s="77">
        <f>SUMIFS(IW29EDITAR!E:E, IW29EDITAR!I:I, A55, IW29EDITAR!H:H, "LINE 10")</f>
        <v>0</v>
      </c>
      <c r="L55" s="77">
        <f>SUMIFS(IW29EDITAR!E:E, IW29EDITAR!I:I, A55, IW29EDITAR!H:H, "LINE 1")</f>
        <v>0</v>
      </c>
      <c r="M55" s="77">
        <f>SUMIFS(IW29EDITAR!E:E, IW29EDITAR!I:I, A55, IW29EDITAR!H:H, "LINE 2")</f>
        <v>0</v>
      </c>
      <c r="N55" s="77">
        <f>SUMIFS(IW29EDITAR!E:E, IW29EDITAR!I:I, A55, IW29EDITAR!H:H, "LINE 3")</f>
        <v>0</v>
      </c>
      <c r="O55" s="76">
        <f>SUMIFS(IW29EDITAR!E:E, IW29EDITAR!I:I, A55, IW29EDITAR!H:H, "LINE 4") + SUMIFS(IW29EDITAR!E:E, IW29EDITAR!I:I, A55, IW29EDITAR!H:H, "LINE 5")+SUMIFS(IW29EDITAR!E:E, IW29EDITAR!I:I, A55, IW29EDITAR!H:H, "LINE 6")</f>
        <v>0</v>
      </c>
    </row>
    <row r="56" spans="1:15" ht="14.4">
      <c r="A56" s="75">
        <v>20043339</v>
      </c>
      <c r="B56" s="75" t="s">
        <v>4610</v>
      </c>
      <c r="C56" s="13" t="str">
        <f>IFERROR(VLOOKUP(B56, 'Base de datos'!A:B, 2, FALSE), "")</f>
        <v/>
      </c>
      <c r="D56" s="29" t="e">
        <f t="shared" ca="1" si="0"/>
        <v>#NAME?</v>
      </c>
      <c r="E56" s="3"/>
      <c r="F56" s="3">
        <f>COUNTIF(IW29EDITAR!I:I,A56)</f>
        <v>0</v>
      </c>
      <c r="G56" s="3">
        <f>COUNTIF('M2'!J:J,B56)</f>
        <v>0</v>
      </c>
      <c r="H56" s="3">
        <f>SUMIF(IW29EDITAR!I:I,A56,IW29EDITAR!E:E)</f>
        <v>0</v>
      </c>
      <c r="I56" s="76">
        <f>SUMIF('M2'!J:J,B56,'M2'!E:E)</f>
        <v>0</v>
      </c>
      <c r="J56" s="77">
        <f>SUMIFS(IW29EDITAR!E:E, IW29EDITAR!I:I, A56, IW29EDITAR!H:H, "LINE 8")</f>
        <v>0</v>
      </c>
      <c r="K56" s="77">
        <f>SUMIFS(IW29EDITAR!E:E, IW29EDITAR!I:I, A56, IW29EDITAR!H:H, "LINE 10")</f>
        <v>0</v>
      </c>
      <c r="L56" s="77">
        <f>SUMIFS(IW29EDITAR!E:E, IW29EDITAR!I:I, A56, IW29EDITAR!H:H, "LINE 1")</f>
        <v>0</v>
      </c>
      <c r="M56" s="77">
        <f>SUMIFS(IW29EDITAR!E:E, IW29EDITAR!I:I, A56, IW29EDITAR!H:H, "LINE 2")</f>
        <v>0</v>
      </c>
      <c r="N56" s="77">
        <f>SUMIFS(IW29EDITAR!E:E, IW29EDITAR!I:I, A56, IW29EDITAR!H:H, "LINE 3")</f>
        <v>0</v>
      </c>
      <c r="O56" s="76">
        <f>SUMIFS(IW29EDITAR!E:E, IW29EDITAR!I:I, A56, IW29EDITAR!H:H, "LINE 4") + SUMIFS(IW29EDITAR!E:E, IW29EDITAR!I:I, A56, IW29EDITAR!H:H, "LINE 5")+SUMIFS(IW29EDITAR!E:E, IW29EDITAR!I:I, A56, IW29EDITAR!H:H, "LINE 6")</f>
        <v>0</v>
      </c>
    </row>
    <row r="57" spans="1:15" ht="14.4">
      <c r="A57" s="75">
        <v>20010107</v>
      </c>
      <c r="B57" s="75" t="s">
        <v>4611</v>
      </c>
      <c r="C57" s="13" t="str">
        <f>IFERROR(VLOOKUP(B57, 'Base de datos'!A:B, 2, FALSE), "")</f>
        <v/>
      </c>
      <c r="D57" s="29" t="e">
        <f t="shared" ca="1" si="0"/>
        <v>#NAME?</v>
      </c>
      <c r="E57" s="3"/>
      <c r="F57" s="3">
        <f>COUNTIF(IW29EDITAR!I:I,A57)</f>
        <v>0</v>
      </c>
      <c r="G57" s="3">
        <f>COUNTIF('M2'!J:J,B57)</f>
        <v>0</v>
      </c>
      <c r="H57" s="3">
        <f>SUMIF(IW29EDITAR!I:I,A57,IW29EDITAR!E:E)</f>
        <v>0</v>
      </c>
      <c r="I57" s="76">
        <f>SUMIF('M2'!J:J,B57,'M2'!E:E)</f>
        <v>0</v>
      </c>
      <c r="J57" s="77">
        <f>SUMIFS(IW29EDITAR!E:E, IW29EDITAR!I:I, A57, IW29EDITAR!H:H, "LINE 8")</f>
        <v>0</v>
      </c>
      <c r="K57" s="77">
        <f>SUMIFS(IW29EDITAR!E:E, IW29EDITAR!I:I, A57, IW29EDITAR!H:H, "LINE 10")</f>
        <v>0</v>
      </c>
      <c r="L57" s="77">
        <f>SUMIFS(IW29EDITAR!E:E, IW29EDITAR!I:I, A57, IW29EDITAR!H:H, "LINE 1")</f>
        <v>0</v>
      </c>
      <c r="M57" s="77">
        <f>SUMIFS(IW29EDITAR!E:E, IW29EDITAR!I:I, A57, IW29EDITAR!H:H, "LINE 2")</f>
        <v>0</v>
      </c>
      <c r="N57" s="77">
        <f>SUMIFS(IW29EDITAR!E:E, IW29EDITAR!I:I, A57, IW29EDITAR!H:H, "LINE 3")</f>
        <v>0</v>
      </c>
      <c r="O57" s="76">
        <f>SUMIFS(IW29EDITAR!E:E, IW29EDITAR!I:I, A57, IW29EDITAR!H:H, "LINE 4") + SUMIFS(IW29EDITAR!E:E, IW29EDITAR!I:I, A57, IW29EDITAR!H:H, "LINE 5")+SUMIFS(IW29EDITAR!E:E, IW29EDITAR!I:I, A57, IW29EDITAR!H:H, "LINE 6")</f>
        <v>0</v>
      </c>
    </row>
    <row r="58" spans="1:15" ht="14.4">
      <c r="A58" s="75">
        <v>20043340</v>
      </c>
      <c r="B58" s="75" t="s">
        <v>4612</v>
      </c>
      <c r="C58" s="13" t="str">
        <f>IFERROR(VLOOKUP(B58, 'Base de datos'!A:B, 2, FALSE), "")</f>
        <v/>
      </c>
      <c r="D58" s="29" t="e">
        <f t="shared" ca="1" si="0"/>
        <v>#NAME?</v>
      </c>
      <c r="E58" s="3"/>
      <c r="F58" s="3">
        <f>COUNTIF(IW29EDITAR!I:I,A58)</f>
        <v>0</v>
      </c>
      <c r="G58" s="3">
        <f>COUNTIF('M2'!J:J,B58)</f>
        <v>0</v>
      </c>
      <c r="H58" s="3">
        <f>SUMIF(IW29EDITAR!I:I,A58,IW29EDITAR!E:E)</f>
        <v>0</v>
      </c>
      <c r="I58" s="76">
        <f>SUMIF('M2'!J:J,B58,'M2'!E:E)</f>
        <v>0</v>
      </c>
      <c r="J58" s="77">
        <f>SUMIFS(IW29EDITAR!E:E, IW29EDITAR!I:I, A58, IW29EDITAR!H:H, "LINE 8")</f>
        <v>0</v>
      </c>
      <c r="K58" s="77">
        <f>SUMIFS(IW29EDITAR!E:E, IW29EDITAR!I:I, A58, IW29EDITAR!H:H, "LINE 10")</f>
        <v>0</v>
      </c>
      <c r="L58" s="77">
        <f>SUMIFS(IW29EDITAR!E:E, IW29EDITAR!I:I, A58, IW29EDITAR!H:H, "LINE 1")</f>
        <v>0</v>
      </c>
      <c r="M58" s="77">
        <f>SUMIFS(IW29EDITAR!E:E, IW29EDITAR!I:I, A58, IW29EDITAR!H:H, "LINE 2")</f>
        <v>0</v>
      </c>
      <c r="N58" s="77">
        <f>SUMIFS(IW29EDITAR!E:E, IW29EDITAR!I:I, A58, IW29EDITAR!H:H, "LINE 3")</f>
        <v>0</v>
      </c>
      <c r="O58" s="76">
        <f>SUMIFS(IW29EDITAR!E:E, IW29EDITAR!I:I, A58, IW29EDITAR!H:H, "LINE 4") + SUMIFS(IW29EDITAR!E:E, IW29EDITAR!I:I, A58, IW29EDITAR!H:H, "LINE 5")+SUMIFS(IW29EDITAR!E:E, IW29EDITAR!I:I, A58, IW29EDITAR!H:H, "LINE 6")</f>
        <v>0</v>
      </c>
    </row>
    <row r="59" spans="1:15" ht="14.4">
      <c r="A59" s="75">
        <v>20009738</v>
      </c>
      <c r="B59" s="75" t="s">
        <v>4613</v>
      </c>
      <c r="C59" s="13" t="str">
        <f>IFERROR(VLOOKUP(B59, 'Base de datos'!A:B, 2, FALSE), "")</f>
        <v/>
      </c>
      <c r="D59" s="29" t="e">
        <f t="shared" ca="1" si="0"/>
        <v>#NAME?</v>
      </c>
      <c r="E59" s="3"/>
      <c r="F59" s="3">
        <f>COUNTIF(IW29EDITAR!I:I,A59)</f>
        <v>0</v>
      </c>
      <c r="G59" s="3">
        <f>COUNTIF('M2'!J:J,B59)</f>
        <v>0</v>
      </c>
      <c r="H59" s="3">
        <f>SUMIF(IW29EDITAR!I:I,A59,IW29EDITAR!E:E)</f>
        <v>0</v>
      </c>
      <c r="I59" s="76">
        <f>SUMIF('M2'!J:J,B59,'M2'!E:E)</f>
        <v>0</v>
      </c>
      <c r="J59" s="77">
        <f>SUMIFS(IW29EDITAR!E:E, IW29EDITAR!I:I, A59, IW29EDITAR!H:H, "LINE 8")</f>
        <v>0</v>
      </c>
      <c r="K59" s="77">
        <f>SUMIFS(IW29EDITAR!E:E, IW29EDITAR!I:I, A59, IW29EDITAR!H:H, "LINE 10")</f>
        <v>0</v>
      </c>
      <c r="L59" s="77">
        <f>SUMIFS(IW29EDITAR!E:E, IW29EDITAR!I:I, A59, IW29EDITAR!H:H, "LINE 1")</f>
        <v>0</v>
      </c>
      <c r="M59" s="77">
        <f>SUMIFS(IW29EDITAR!E:E, IW29EDITAR!I:I, A59, IW29EDITAR!H:H, "LINE 2")</f>
        <v>0</v>
      </c>
      <c r="N59" s="77">
        <f>SUMIFS(IW29EDITAR!E:E, IW29EDITAR!I:I, A59, IW29EDITAR!H:H, "LINE 3")</f>
        <v>0</v>
      </c>
      <c r="O59" s="76">
        <f>SUMIFS(IW29EDITAR!E:E, IW29EDITAR!I:I, A59, IW29EDITAR!H:H, "LINE 4") + SUMIFS(IW29EDITAR!E:E, IW29EDITAR!I:I, A59, IW29EDITAR!H:H, "LINE 5")+SUMIFS(IW29EDITAR!E:E, IW29EDITAR!I:I, A59, IW29EDITAR!H:H, "LINE 6")</f>
        <v>0</v>
      </c>
    </row>
    <row r="60" spans="1:15" ht="14.4">
      <c r="A60" s="75">
        <v>20010059</v>
      </c>
      <c r="B60" s="75" t="s">
        <v>4614</v>
      </c>
      <c r="C60" s="13" t="str">
        <f>IFERROR(VLOOKUP(B60, 'Base de datos'!A:B, 2, FALSE), "")</f>
        <v/>
      </c>
      <c r="D60" s="29" t="e">
        <f t="shared" ca="1" si="0"/>
        <v>#NAME?</v>
      </c>
      <c r="E60" s="3"/>
      <c r="F60" s="3">
        <f>COUNTIF(IW29EDITAR!I:I,A60)</f>
        <v>0</v>
      </c>
      <c r="G60" s="3">
        <f>COUNTIF('M2'!J:J,B60)</f>
        <v>0</v>
      </c>
      <c r="H60" s="3">
        <f>SUMIF(IW29EDITAR!I:I,A60,IW29EDITAR!E:E)</f>
        <v>0</v>
      </c>
      <c r="I60" s="76">
        <f>SUMIF('M2'!J:J,B60,'M2'!E:E)</f>
        <v>0</v>
      </c>
      <c r="J60" s="77">
        <f>SUMIFS(IW29EDITAR!E:E, IW29EDITAR!I:I, A60, IW29EDITAR!H:H, "LINE 8")</f>
        <v>0</v>
      </c>
      <c r="K60" s="77">
        <f>SUMIFS(IW29EDITAR!E:E, IW29EDITAR!I:I, A60, IW29EDITAR!H:H, "LINE 10")</f>
        <v>0</v>
      </c>
      <c r="L60" s="77">
        <f>SUMIFS(IW29EDITAR!E:E, IW29EDITAR!I:I, A60, IW29EDITAR!H:H, "LINE 1")</f>
        <v>0</v>
      </c>
      <c r="M60" s="77">
        <f>SUMIFS(IW29EDITAR!E:E, IW29EDITAR!I:I, A60, IW29EDITAR!H:H, "LINE 2")</f>
        <v>0</v>
      </c>
      <c r="N60" s="77">
        <f>SUMIFS(IW29EDITAR!E:E, IW29EDITAR!I:I, A60, IW29EDITAR!H:H, "LINE 3")</f>
        <v>0</v>
      </c>
      <c r="O60" s="76">
        <f>SUMIFS(IW29EDITAR!E:E, IW29EDITAR!I:I, A60, IW29EDITAR!H:H, "LINE 4") + SUMIFS(IW29EDITAR!E:E, IW29EDITAR!I:I, A60, IW29EDITAR!H:H, "LINE 5")+SUMIFS(IW29EDITAR!E:E, IW29EDITAR!I:I, A60, IW29EDITAR!H:H, "LINE 6")</f>
        <v>0</v>
      </c>
    </row>
    <row r="61" spans="1:15" ht="14.4">
      <c r="A61" s="75">
        <v>20010114</v>
      </c>
      <c r="B61" s="75" t="s">
        <v>4615</v>
      </c>
      <c r="C61" s="13" t="str">
        <f>IFERROR(VLOOKUP(B61, 'Base de datos'!A:B, 2, FALSE), "")</f>
        <v/>
      </c>
      <c r="D61" s="29" t="e">
        <f t="shared" ca="1" si="0"/>
        <v>#NAME?</v>
      </c>
      <c r="E61" s="3"/>
      <c r="F61" s="3">
        <f>COUNTIF(IW29EDITAR!I:I,A61)</f>
        <v>0</v>
      </c>
      <c r="G61" s="3">
        <f>COUNTIF('M2'!J:J,B61)</f>
        <v>0</v>
      </c>
      <c r="H61" s="3">
        <f>SUMIF(IW29EDITAR!I:I,A61,IW29EDITAR!E:E)</f>
        <v>0</v>
      </c>
      <c r="I61" s="76">
        <f>SUMIF('M2'!J:J,B61,'M2'!E:E)</f>
        <v>0</v>
      </c>
      <c r="J61" s="77">
        <f>SUMIFS(IW29EDITAR!E:E, IW29EDITAR!I:I, A61, IW29EDITAR!H:H, "LINE 8")</f>
        <v>0</v>
      </c>
      <c r="K61" s="77">
        <f>SUMIFS(IW29EDITAR!E:E, IW29EDITAR!I:I, A61, IW29EDITAR!H:H, "LINE 10")</f>
        <v>0</v>
      </c>
      <c r="L61" s="77">
        <f>SUMIFS(IW29EDITAR!E:E, IW29EDITAR!I:I, A61, IW29EDITAR!H:H, "LINE 1")</f>
        <v>0</v>
      </c>
      <c r="M61" s="77">
        <f>SUMIFS(IW29EDITAR!E:E, IW29EDITAR!I:I, A61, IW29EDITAR!H:H, "LINE 2")</f>
        <v>0</v>
      </c>
      <c r="N61" s="77">
        <f>SUMIFS(IW29EDITAR!E:E, IW29EDITAR!I:I, A61, IW29EDITAR!H:H, "LINE 3")</f>
        <v>0</v>
      </c>
      <c r="O61" s="76">
        <f>SUMIFS(IW29EDITAR!E:E, IW29EDITAR!I:I, A61, IW29EDITAR!H:H, "LINE 4") + SUMIFS(IW29EDITAR!E:E, IW29EDITAR!I:I, A61, IW29EDITAR!H:H, "LINE 5")+SUMIFS(IW29EDITAR!E:E, IW29EDITAR!I:I, A61, IW29EDITAR!H:H, "LINE 6")</f>
        <v>0</v>
      </c>
    </row>
    <row r="62" spans="1:15" ht="14.4">
      <c r="A62" s="75">
        <v>20055511</v>
      </c>
      <c r="B62" s="75" t="s">
        <v>4616</v>
      </c>
      <c r="C62" s="13" t="str">
        <f>IFERROR(VLOOKUP(B62, 'Base de datos'!A:B, 2, FALSE), "")</f>
        <v/>
      </c>
      <c r="D62" s="29" t="e">
        <f t="shared" ca="1" si="0"/>
        <v>#NAME?</v>
      </c>
      <c r="E62" s="3"/>
      <c r="F62" s="3">
        <f>COUNTIF(IW29EDITAR!I:I,A62)</f>
        <v>0</v>
      </c>
      <c r="G62" s="3">
        <f>COUNTIF('M2'!J:J,B62)</f>
        <v>0</v>
      </c>
      <c r="H62" s="3">
        <f>SUMIF(IW29EDITAR!I:I,A62,IW29EDITAR!E:E)</f>
        <v>0</v>
      </c>
      <c r="I62" s="76">
        <f>SUMIF('M2'!J:J,B62,'M2'!E:E)</f>
        <v>0</v>
      </c>
      <c r="J62" s="77">
        <f>SUMIFS(IW29EDITAR!E:E, IW29EDITAR!I:I, A62, IW29EDITAR!H:H, "LINE 8")</f>
        <v>0</v>
      </c>
      <c r="K62" s="77">
        <f>SUMIFS(IW29EDITAR!E:E, IW29EDITAR!I:I, A62, IW29EDITAR!H:H, "LINE 10")</f>
        <v>0</v>
      </c>
      <c r="L62" s="77">
        <f>SUMIFS(IW29EDITAR!E:E, IW29EDITAR!I:I, A62, IW29EDITAR!H:H, "LINE 1")</f>
        <v>0</v>
      </c>
      <c r="M62" s="77">
        <f>SUMIFS(IW29EDITAR!E:E, IW29EDITAR!I:I, A62, IW29EDITAR!H:H, "LINE 2")</f>
        <v>0</v>
      </c>
      <c r="N62" s="77">
        <f>SUMIFS(IW29EDITAR!E:E, IW29EDITAR!I:I, A62, IW29EDITAR!H:H, "LINE 3")</f>
        <v>0</v>
      </c>
      <c r="O62" s="76">
        <f>SUMIFS(IW29EDITAR!E:E, IW29EDITAR!I:I, A62, IW29EDITAR!H:H, "LINE 4") + SUMIFS(IW29EDITAR!E:E, IW29EDITAR!I:I, A62, IW29EDITAR!H:H, "LINE 5")+SUMIFS(IW29EDITAR!E:E, IW29EDITAR!I:I, A62, IW29EDITAR!H:H, "LINE 6")</f>
        <v>0</v>
      </c>
    </row>
    <row r="63" spans="1:15" ht="14.4">
      <c r="A63" s="75">
        <v>20025832</v>
      </c>
      <c r="B63" s="75" t="s">
        <v>4617</v>
      </c>
      <c r="C63" s="13" t="str">
        <f>IFERROR(VLOOKUP(B63, 'Base de datos'!A:B, 2, FALSE), "")</f>
        <v/>
      </c>
      <c r="D63" s="29" t="e">
        <f t="shared" ca="1" si="0"/>
        <v>#NAME?</v>
      </c>
      <c r="E63" s="3"/>
      <c r="F63" s="3">
        <f>COUNTIF(IW29EDITAR!I:I,A63)</f>
        <v>0</v>
      </c>
      <c r="G63" s="3">
        <f>COUNTIF('M2'!J:J,B63)</f>
        <v>0</v>
      </c>
      <c r="H63" s="3">
        <f>SUMIF(IW29EDITAR!I:I,A63,IW29EDITAR!E:E)</f>
        <v>0</v>
      </c>
      <c r="I63" s="76">
        <f>SUMIF('M2'!J:J,B63,'M2'!E:E)</f>
        <v>0</v>
      </c>
      <c r="J63" s="77">
        <f>SUMIFS(IW29EDITAR!E:E, IW29EDITAR!I:I, A63, IW29EDITAR!H:H, "LINE 8")</f>
        <v>0</v>
      </c>
      <c r="K63" s="77">
        <f>SUMIFS(IW29EDITAR!E:E, IW29EDITAR!I:I, A63, IW29EDITAR!H:H, "LINE 10")</f>
        <v>0</v>
      </c>
      <c r="L63" s="77">
        <f>SUMIFS(IW29EDITAR!E:E, IW29EDITAR!I:I, A63, IW29EDITAR!H:H, "LINE 1")</f>
        <v>0</v>
      </c>
      <c r="M63" s="77">
        <f>SUMIFS(IW29EDITAR!E:E, IW29EDITAR!I:I, A63, IW29EDITAR!H:H, "LINE 2")</f>
        <v>0</v>
      </c>
      <c r="N63" s="77">
        <f>SUMIFS(IW29EDITAR!E:E, IW29EDITAR!I:I, A63, IW29EDITAR!H:H, "LINE 3")</f>
        <v>0</v>
      </c>
      <c r="O63" s="76">
        <f>SUMIFS(IW29EDITAR!E:E, IW29EDITAR!I:I, A63, IW29EDITAR!H:H, "LINE 4") + SUMIFS(IW29EDITAR!E:E, IW29EDITAR!I:I, A63, IW29EDITAR!H:H, "LINE 5")+SUMIFS(IW29EDITAR!E:E, IW29EDITAR!I:I, A63, IW29EDITAR!H:H, "LINE 6")</f>
        <v>0</v>
      </c>
    </row>
    <row r="64" spans="1:15" ht="14.4">
      <c r="A64" s="75">
        <v>20044457</v>
      </c>
      <c r="B64" s="75" t="s">
        <v>4618</v>
      </c>
      <c r="C64" s="13" t="str">
        <f>IFERROR(VLOOKUP(B64, 'Base de datos'!A:B, 2, FALSE), "")</f>
        <v/>
      </c>
      <c r="D64" s="29" t="e">
        <f t="shared" ca="1" si="0"/>
        <v>#NAME?</v>
      </c>
      <c r="E64" s="3"/>
      <c r="F64" s="3">
        <f>COUNTIF(IW29EDITAR!I:I,A64)</f>
        <v>0</v>
      </c>
      <c r="G64" s="3">
        <f>COUNTIF('M2'!J:J,B64)</f>
        <v>0</v>
      </c>
      <c r="H64" s="3">
        <f>SUMIF(IW29EDITAR!I:I,A64,IW29EDITAR!E:E)</f>
        <v>0</v>
      </c>
      <c r="I64" s="76">
        <f>SUMIF('M2'!J:J,B64,'M2'!E:E)</f>
        <v>0</v>
      </c>
      <c r="J64" s="77">
        <f>SUMIFS(IW29EDITAR!E:E, IW29EDITAR!I:I, A64, IW29EDITAR!H:H, "LINE 8")</f>
        <v>0</v>
      </c>
      <c r="K64" s="77">
        <f>SUMIFS(IW29EDITAR!E:E, IW29EDITAR!I:I, A64, IW29EDITAR!H:H, "LINE 10")</f>
        <v>0</v>
      </c>
      <c r="L64" s="77">
        <f>SUMIFS(IW29EDITAR!E:E, IW29EDITAR!I:I, A64, IW29EDITAR!H:H, "LINE 1")</f>
        <v>0</v>
      </c>
      <c r="M64" s="77">
        <f>SUMIFS(IW29EDITAR!E:E, IW29EDITAR!I:I, A64, IW29EDITAR!H:H, "LINE 2")</f>
        <v>0</v>
      </c>
      <c r="N64" s="77">
        <f>SUMIFS(IW29EDITAR!E:E, IW29EDITAR!I:I, A64, IW29EDITAR!H:H, "LINE 3")</f>
        <v>0</v>
      </c>
      <c r="O64" s="76">
        <f>SUMIFS(IW29EDITAR!E:E, IW29EDITAR!I:I, A64, IW29EDITAR!H:H, "LINE 4") + SUMIFS(IW29EDITAR!E:E, IW29EDITAR!I:I, A64, IW29EDITAR!H:H, "LINE 5")+SUMIFS(IW29EDITAR!E:E, IW29EDITAR!I:I, A64, IW29EDITAR!H:H, "LINE 6")</f>
        <v>0</v>
      </c>
    </row>
    <row r="65" spans="1:15" ht="14.4">
      <c r="A65" s="75">
        <v>20050297</v>
      </c>
      <c r="B65" s="75" t="s">
        <v>4619</v>
      </c>
      <c r="C65" s="13" t="str">
        <f>IFERROR(VLOOKUP(B65, 'Base de datos'!A:B, 2, FALSE), "")</f>
        <v/>
      </c>
      <c r="D65" s="29" t="e">
        <f t="shared" ca="1" si="0"/>
        <v>#NAME?</v>
      </c>
      <c r="E65" s="3"/>
      <c r="F65" s="3">
        <f>COUNTIF(IW29EDITAR!I:I,A65)</f>
        <v>0</v>
      </c>
      <c r="G65" s="3">
        <f>COUNTIF('M2'!J:J,B65)</f>
        <v>0</v>
      </c>
      <c r="H65" s="3">
        <f>SUMIF(IW29EDITAR!I:I,A65,IW29EDITAR!E:E)</f>
        <v>0</v>
      </c>
      <c r="I65" s="76">
        <f>SUMIF('M2'!J:J,B65,'M2'!E:E)</f>
        <v>0</v>
      </c>
      <c r="J65" s="77">
        <f>SUMIFS(IW29EDITAR!E:E, IW29EDITAR!I:I, A65, IW29EDITAR!H:H, "LINE 8")</f>
        <v>0</v>
      </c>
      <c r="K65" s="77">
        <f>SUMIFS(IW29EDITAR!E:E, IW29EDITAR!I:I, A65, IW29EDITAR!H:H, "LINE 10")</f>
        <v>0</v>
      </c>
      <c r="L65" s="77">
        <f>SUMIFS(IW29EDITAR!E:E, IW29EDITAR!I:I, A65, IW29EDITAR!H:H, "LINE 1")</f>
        <v>0</v>
      </c>
      <c r="M65" s="77">
        <f>SUMIFS(IW29EDITAR!E:E, IW29EDITAR!I:I, A65, IW29EDITAR!H:H, "LINE 2")</f>
        <v>0</v>
      </c>
      <c r="N65" s="77">
        <f>SUMIFS(IW29EDITAR!E:E, IW29EDITAR!I:I, A65, IW29EDITAR!H:H, "LINE 3")</f>
        <v>0</v>
      </c>
      <c r="O65" s="76">
        <f>SUMIFS(IW29EDITAR!E:E, IW29EDITAR!I:I, A65, IW29EDITAR!H:H, "LINE 4") + SUMIFS(IW29EDITAR!E:E, IW29EDITAR!I:I, A65, IW29EDITAR!H:H, "LINE 5")+SUMIFS(IW29EDITAR!E:E, IW29EDITAR!I:I, A65, IW29EDITAR!H:H, "LINE 6")</f>
        <v>0</v>
      </c>
    </row>
    <row r="66" spans="1:15" ht="14.4">
      <c r="A66" s="75">
        <v>20053046</v>
      </c>
      <c r="B66" s="75" t="s">
        <v>4620</v>
      </c>
      <c r="C66" s="13" t="str">
        <f>IFERROR(VLOOKUP(B66, 'Base de datos'!A:B, 2, FALSE), "")</f>
        <v/>
      </c>
      <c r="D66" s="29" t="e">
        <f t="shared" ca="1" si="0"/>
        <v>#NAME?</v>
      </c>
      <c r="E66" s="3"/>
      <c r="F66" s="3">
        <f>COUNTIF(IW29EDITAR!I:I,A66)</f>
        <v>0</v>
      </c>
      <c r="G66" s="3">
        <f>COUNTIF('M2'!J:J,B66)</f>
        <v>0</v>
      </c>
      <c r="H66" s="3">
        <f>SUMIF(IW29EDITAR!I:I,A66,IW29EDITAR!E:E)</f>
        <v>0</v>
      </c>
      <c r="I66" s="76">
        <f>SUMIF('M2'!J:J,B66,'M2'!E:E)</f>
        <v>0</v>
      </c>
      <c r="J66" s="77">
        <f>SUMIFS(IW29EDITAR!E:E, IW29EDITAR!I:I, A66, IW29EDITAR!H:H, "LINE 8")</f>
        <v>0</v>
      </c>
      <c r="K66" s="77">
        <f>SUMIFS(IW29EDITAR!E:E, IW29EDITAR!I:I, A66, IW29EDITAR!H:H, "LINE 10")</f>
        <v>0</v>
      </c>
      <c r="L66" s="77">
        <f>SUMIFS(IW29EDITAR!E:E, IW29EDITAR!I:I, A66, IW29EDITAR!H:H, "LINE 1")</f>
        <v>0</v>
      </c>
      <c r="M66" s="77">
        <f>SUMIFS(IW29EDITAR!E:E, IW29EDITAR!I:I, A66, IW29EDITAR!H:H, "LINE 2")</f>
        <v>0</v>
      </c>
      <c r="N66" s="77">
        <f>SUMIFS(IW29EDITAR!E:E, IW29EDITAR!I:I, A66, IW29EDITAR!H:H, "LINE 3")</f>
        <v>0</v>
      </c>
      <c r="O66" s="76">
        <f>SUMIFS(IW29EDITAR!E:E, IW29EDITAR!I:I, A66, IW29EDITAR!H:H, "LINE 4") + SUMIFS(IW29EDITAR!E:E, IW29EDITAR!I:I, A66, IW29EDITAR!H:H, "LINE 5")+SUMIFS(IW29EDITAR!E:E, IW29EDITAR!I:I, A66, IW29EDITAR!H:H, "LINE 6")</f>
        <v>0</v>
      </c>
    </row>
    <row r="67" spans="1:15" ht="14.4">
      <c r="A67" s="75">
        <v>20009756</v>
      </c>
      <c r="B67" s="75" t="s">
        <v>4621</v>
      </c>
      <c r="C67" s="13" t="str">
        <f>IFERROR(VLOOKUP(B67, 'Base de datos'!A:B, 2, FALSE), "")</f>
        <v/>
      </c>
      <c r="D67" s="29" t="e">
        <f t="shared" ca="1" si="0"/>
        <v>#NAME?</v>
      </c>
      <c r="E67" s="3"/>
      <c r="F67" s="3">
        <f>COUNTIF(IW29EDITAR!I:I,A67)</f>
        <v>0</v>
      </c>
      <c r="G67" s="3">
        <f>COUNTIF('M2'!J:J,B67)</f>
        <v>0</v>
      </c>
      <c r="H67" s="3">
        <f>SUMIF(IW29EDITAR!I:I,A67,IW29EDITAR!E:E)</f>
        <v>0</v>
      </c>
      <c r="I67" s="76">
        <f>SUMIF('M2'!J:J,B67,'M2'!E:E)</f>
        <v>0</v>
      </c>
      <c r="J67" s="77">
        <f>SUMIFS(IW29EDITAR!E:E, IW29EDITAR!I:I, A67, IW29EDITAR!H:H, "LINE 8")</f>
        <v>0</v>
      </c>
      <c r="K67" s="77">
        <f>SUMIFS(IW29EDITAR!E:E, IW29EDITAR!I:I, A67, IW29EDITAR!H:H, "LINE 10")</f>
        <v>0</v>
      </c>
      <c r="L67" s="77">
        <f>SUMIFS(IW29EDITAR!E:E, IW29EDITAR!I:I, A67, IW29EDITAR!H:H, "LINE 1")</f>
        <v>0</v>
      </c>
      <c r="M67" s="77">
        <f>SUMIFS(IW29EDITAR!E:E, IW29EDITAR!I:I, A67, IW29EDITAR!H:H, "LINE 2")</f>
        <v>0</v>
      </c>
      <c r="N67" s="77">
        <f>SUMIFS(IW29EDITAR!E:E, IW29EDITAR!I:I, A67, IW29EDITAR!H:H, "LINE 3")</f>
        <v>0</v>
      </c>
      <c r="O67" s="76">
        <f>SUMIFS(IW29EDITAR!E:E, IW29EDITAR!I:I, A67, IW29EDITAR!H:H, "LINE 4") + SUMIFS(IW29EDITAR!E:E, IW29EDITAR!I:I, A67, IW29EDITAR!H:H, "LINE 5")+SUMIFS(IW29EDITAR!E:E, IW29EDITAR!I:I, A67, IW29EDITAR!H:H, "LINE 6")</f>
        <v>0</v>
      </c>
    </row>
    <row r="68" spans="1:15" ht="14.4">
      <c r="A68" s="75">
        <v>20027411</v>
      </c>
      <c r="B68" s="75" t="s">
        <v>4622</v>
      </c>
      <c r="C68" s="13" t="str">
        <f>IFERROR(VLOOKUP(B68, 'Base de datos'!A:B, 2, FALSE), "")</f>
        <v/>
      </c>
      <c r="D68" s="29" t="e">
        <f t="shared" ca="1" si="0"/>
        <v>#NAME?</v>
      </c>
      <c r="E68" s="3"/>
      <c r="F68" s="3">
        <f>COUNTIF(IW29EDITAR!I:I,A68)</f>
        <v>0</v>
      </c>
      <c r="G68" s="3">
        <f>COUNTIF('M2'!J:J,B68)</f>
        <v>0</v>
      </c>
      <c r="H68" s="3">
        <f>SUMIF(IW29EDITAR!I:I,A68,IW29EDITAR!E:E)</f>
        <v>0</v>
      </c>
      <c r="I68" s="76">
        <f>SUMIF('M2'!J:J,B68,'M2'!E:E)</f>
        <v>0</v>
      </c>
      <c r="J68" s="77">
        <f>SUMIFS(IW29EDITAR!E:E, IW29EDITAR!I:I, A68, IW29EDITAR!H:H, "LINE 8")</f>
        <v>0</v>
      </c>
      <c r="K68" s="77">
        <f>SUMIFS(IW29EDITAR!E:E, IW29EDITAR!I:I, A68, IW29EDITAR!H:H, "LINE 10")</f>
        <v>0</v>
      </c>
      <c r="L68" s="77">
        <f>SUMIFS(IW29EDITAR!E:E, IW29EDITAR!I:I, A68, IW29EDITAR!H:H, "LINE 1")</f>
        <v>0</v>
      </c>
      <c r="M68" s="77">
        <f>SUMIFS(IW29EDITAR!E:E, IW29EDITAR!I:I, A68, IW29EDITAR!H:H, "LINE 2")</f>
        <v>0</v>
      </c>
      <c r="N68" s="77">
        <f>SUMIFS(IW29EDITAR!E:E, IW29EDITAR!I:I, A68, IW29EDITAR!H:H, "LINE 3")</f>
        <v>0</v>
      </c>
      <c r="O68" s="76">
        <f>SUMIFS(IW29EDITAR!E:E, IW29EDITAR!I:I, A68, IW29EDITAR!H:H, "LINE 4") + SUMIFS(IW29EDITAR!E:E, IW29EDITAR!I:I, A68, IW29EDITAR!H:H, "LINE 5")+SUMIFS(IW29EDITAR!E:E, IW29EDITAR!I:I, A68, IW29EDITAR!H:H, "LINE 6")</f>
        <v>0</v>
      </c>
    </row>
    <row r="69" spans="1:15" ht="14.4">
      <c r="A69" s="75">
        <v>20009717</v>
      </c>
      <c r="B69" s="75" t="s">
        <v>4623</v>
      </c>
      <c r="C69" s="13" t="str">
        <f>IFERROR(VLOOKUP(B69, 'Base de datos'!A:B, 2, FALSE), "")</f>
        <v/>
      </c>
      <c r="D69" s="29" t="e">
        <f t="shared" ca="1" si="0"/>
        <v>#NAME?</v>
      </c>
      <c r="E69" s="3"/>
      <c r="F69" s="3">
        <f>COUNTIF(IW29EDITAR!I:I,A69)</f>
        <v>0</v>
      </c>
      <c r="G69" s="3">
        <f>COUNTIF('M2'!J:J,B69)</f>
        <v>0</v>
      </c>
      <c r="H69" s="3">
        <f>SUMIF(IW29EDITAR!I:I,A69,IW29EDITAR!E:E)</f>
        <v>0</v>
      </c>
      <c r="I69" s="76">
        <f>SUMIF('M2'!J:J,B69,'M2'!E:E)</f>
        <v>0</v>
      </c>
      <c r="J69" s="77">
        <f>SUMIFS(IW29EDITAR!E:E, IW29EDITAR!I:I, A69, IW29EDITAR!H:H, "LINE 8")</f>
        <v>0</v>
      </c>
      <c r="K69" s="77">
        <f>SUMIFS(IW29EDITAR!E:E, IW29EDITAR!I:I, A69, IW29EDITAR!H:H, "LINE 10")</f>
        <v>0</v>
      </c>
      <c r="L69" s="77">
        <f>SUMIFS(IW29EDITAR!E:E, IW29EDITAR!I:I, A69, IW29EDITAR!H:H, "LINE 1")</f>
        <v>0</v>
      </c>
      <c r="M69" s="77">
        <f>SUMIFS(IW29EDITAR!E:E, IW29EDITAR!I:I, A69, IW29EDITAR!H:H, "LINE 2")</f>
        <v>0</v>
      </c>
      <c r="N69" s="77">
        <f>SUMIFS(IW29EDITAR!E:E, IW29EDITAR!I:I, A69, IW29EDITAR!H:H, "LINE 3")</f>
        <v>0</v>
      </c>
      <c r="O69" s="76">
        <f>SUMIFS(IW29EDITAR!E:E, IW29EDITAR!I:I, A69, IW29EDITAR!H:H, "LINE 4") + SUMIFS(IW29EDITAR!E:E, IW29EDITAR!I:I, A69, IW29EDITAR!H:H, "LINE 5")+SUMIFS(IW29EDITAR!E:E, IW29EDITAR!I:I, A69, IW29EDITAR!H:H, "LINE 6")</f>
        <v>0</v>
      </c>
    </row>
    <row r="70" spans="1:15" ht="14.4">
      <c r="A70" s="75">
        <v>20009727</v>
      </c>
      <c r="B70" s="75" t="s">
        <v>4624</v>
      </c>
      <c r="C70" s="13" t="str">
        <f>IFERROR(VLOOKUP(B70, 'Base de datos'!A:B, 2, FALSE), "")</f>
        <v/>
      </c>
      <c r="D70" s="29" t="e">
        <f t="shared" ca="1" si="0"/>
        <v>#NAME?</v>
      </c>
      <c r="E70" s="3"/>
      <c r="F70" s="3">
        <f>COUNTIF(IW29EDITAR!I:I,A70)</f>
        <v>0</v>
      </c>
      <c r="G70" s="3">
        <f>COUNTIF('M2'!J:J,B70)</f>
        <v>0</v>
      </c>
      <c r="H70" s="3">
        <f>SUMIF(IW29EDITAR!I:I,A70,IW29EDITAR!E:E)</f>
        <v>0</v>
      </c>
      <c r="I70" s="76">
        <f>SUMIF('M2'!J:J,B70,'M2'!E:E)</f>
        <v>0</v>
      </c>
      <c r="J70" s="77">
        <f>SUMIFS(IW29EDITAR!E:E, IW29EDITAR!I:I, A70, IW29EDITAR!H:H, "LINE 8")</f>
        <v>0</v>
      </c>
      <c r="K70" s="77">
        <f>SUMIFS(IW29EDITAR!E:E, IW29EDITAR!I:I, A70, IW29EDITAR!H:H, "LINE 10")</f>
        <v>0</v>
      </c>
      <c r="L70" s="77">
        <f>SUMIFS(IW29EDITAR!E:E, IW29EDITAR!I:I, A70, IW29EDITAR!H:H, "LINE 1")</f>
        <v>0</v>
      </c>
      <c r="M70" s="77">
        <f>SUMIFS(IW29EDITAR!E:E, IW29EDITAR!I:I, A70, IW29EDITAR!H:H, "LINE 2")</f>
        <v>0</v>
      </c>
      <c r="N70" s="77">
        <f>SUMIFS(IW29EDITAR!E:E, IW29EDITAR!I:I, A70, IW29EDITAR!H:H, "LINE 3")</f>
        <v>0</v>
      </c>
      <c r="O70" s="76">
        <f>SUMIFS(IW29EDITAR!E:E, IW29EDITAR!I:I, A70, IW29EDITAR!H:H, "LINE 4") + SUMIFS(IW29EDITAR!E:E, IW29EDITAR!I:I, A70, IW29EDITAR!H:H, "LINE 5")+SUMIFS(IW29EDITAR!E:E, IW29EDITAR!I:I, A70, IW29EDITAR!H:H, "LINE 6")</f>
        <v>0</v>
      </c>
    </row>
    <row r="71" spans="1:15" ht="14.4">
      <c r="A71" s="75">
        <v>20009776</v>
      </c>
      <c r="B71" s="75" t="s">
        <v>4625</v>
      </c>
      <c r="C71" s="13" t="str">
        <f>IFERROR(VLOOKUP(B71, 'Base de datos'!A:B, 2, FALSE), "")</f>
        <v/>
      </c>
      <c r="D71" s="29" t="e">
        <f t="shared" ca="1" si="0"/>
        <v>#NAME?</v>
      </c>
      <c r="E71" s="3"/>
      <c r="F71" s="3">
        <f>COUNTIF(IW29EDITAR!I:I,A71)</f>
        <v>0</v>
      </c>
      <c r="G71" s="3">
        <f>COUNTIF('M2'!J:J,B71)</f>
        <v>0</v>
      </c>
      <c r="H71" s="3">
        <f>SUMIF(IW29EDITAR!I:I,A71,IW29EDITAR!E:E)</f>
        <v>0</v>
      </c>
      <c r="I71" s="76">
        <f>SUMIF('M2'!J:J,B71,'M2'!E:E)</f>
        <v>0</v>
      </c>
      <c r="J71" s="77">
        <f>SUMIFS(IW29EDITAR!E:E, IW29EDITAR!I:I, A71, IW29EDITAR!H:H, "LINE 8")</f>
        <v>0</v>
      </c>
      <c r="K71" s="77">
        <f>SUMIFS(IW29EDITAR!E:E, IW29EDITAR!I:I, A71, IW29EDITAR!H:H, "LINE 10")</f>
        <v>0</v>
      </c>
      <c r="L71" s="77">
        <f>SUMIFS(IW29EDITAR!E:E, IW29EDITAR!I:I, A71, IW29EDITAR!H:H, "LINE 1")</f>
        <v>0</v>
      </c>
      <c r="M71" s="77">
        <f>SUMIFS(IW29EDITAR!E:E, IW29EDITAR!I:I, A71, IW29EDITAR!H:H, "LINE 2")</f>
        <v>0</v>
      </c>
      <c r="N71" s="77">
        <f>SUMIFS(IW29EDITAR!E:E, IW29EDITAR!I:I, A71, IW29EDITAR!H:H, "LINE 3")</f>
        <v>0</v>
      </c>
      <c r="O71" s="76">
        <f>SUMIFS(IW29EDITAR!E:E, IW29EDITAR!I:I, A71, IW29EDITAR!H:H, "LINE 4") + SUMIFS(IW29EDITAR!E:E, IW29EDITAR!I:I, A71, IW29EDITAR!H:H, "LINE 5")+SUMIFS(IW29EDITAR!E:E, IW29EDITAR!I:I, A71, IW29EDITAR!H:H, "LINE 6")</f>
        <v>0</v>
      </c>
    </row>
    <row r="72" spans="1:15" ht="14.4">
      <c r="A72" s="75">
        <v>20009973</v>
      </c>
      <c r="B72" s="75" t="s">
        <v>4626</v>
      </c>
      <c r="C72" s="13" t="str">
        <f>IFERROR(VLOOKUP(B72, 'Base de datos'!A:B, 2, FALSE), "")</f>
        <v/>
      </c>
      <c r="D72" s="29" t="e">
        <f t="shared" ca="1" si="0"/>
        <v>#NAME?</v>
      </c>
      <c r="E72" s="3"/>
      <c r="F72" s="3">
        <f>COUNTIF(IW29EDITAR!I:I,A72)</f>
        <v>0</v>
      </c>
      <c r="G72" s="3">
        <f>COUNTIF('M2'!J:J,B72)</f>
        <v>0</v>
      </c>
      <c r="H72" s="3">
        <f>SUMIF(IW29EDITAR!I:I,A72,IW29EDITAR!E:E)</f>
        <v>0</v>
      </c>
      <c r="I72" s="76">
        <f>SUMIF('M2'!J:J,B72,'M2'!E:E)</f>
        <v>0</v>
      </c>
      <c r="J72" s="77">
        <f>SUMIFS(IW29EDITAR!E:E, IW29EDITAR!I:I, A72, IW29EDITAR!H:H, "LINE 8")</f>
        <v>0</v>
      </c>
      <c r="K72" s="77">
        <f>SUMIFS(IW29EDITAR!E:E, IW29EDITAR!I:I, A72, IW29EDITAR!H:H, "LINE 10")</f>
        <v>0</v>
      </c>
      <c r="L72" s="77">
        <f>SUMIFS(IW29EDITAR!E:E, IW29EDITAR!I:I, A72, IW29EDITAR!H:H, "LINE 1")</f>
        <v>0</v>
      </c>
      <c r="M72" s="77">
        <f>SUMIFS(IW29EDITAR!E:E, IW29EDITAR!I:I, A72, IW29EDITAR!H:H, "LINE 2")</f>
        <v>0</v>
      </c>
      <c r="N72" s="77">
        <f>SUMIFS(IW29EDITAR!E:E, IW29EDITAR!I:I, A72, IW29EDITAR!H:H, "LINE 3")</f>
        <v>0</v>
      </c>
      <c r="O72" s="76">
        <f>SUMIFS(IW29EDITAR!E:E, IW29EDITAR!I:I, A72, IW29EDITAR!H:H, "LINE 4") + SUMIFS(IW29EDITAR!E:E, IW29EDITAR!I:I, A72, IW29EDITAR!H:H, "LINE 5")+SUMIFS(IW29EDITAR!E:E, IW29EDITAR!I:I, A72, IW29EDITAR!H:H, "LINE 6")</f>
        <v>0</v>
      </c>
    </row>
    <row r="73" spans="1:15" ht="14.4">
      <c r="A73" s="75">
        <v>20010058</v>
      </c>
      <c r="B73" s="75" t="s">
        <v>4627</v>
      </c>
      <c r="C73" s="13" t="str">
        <f>IFERROR(VLOOKUP(B73, 'Base de datos'!A:B, 2, FALSE), "")</f>
        <v/>
      </c>
      <c r="D73" s="29" t="e">
        <f t="shared" ca="1" si="0"/>
        <v>#NAME?</v>
      </c>
      <c r="E73" s="3"/>
      <c r="F73" s="3">
        <f>COUNTIF(IW29EDITAR!I:I,A73)</f>
        <v>0</v>
      </c>
      <c r="G73" s="3">
        <f>COUNTIF('M2'!J:J,B73)</f>
        <v>0</v>
      </c>
      <c r="H73" s="3">
        <f>SUMIF(IW29EDITAR!I:I,A73,IW29EDITAR!E:E)</f>
        <v>0</v>
      </c>
      <c r="I73" s="76">
        <f>SUMIF('M2'!J:J,B73,'M2'!E:E)</f>
        <v>0</v>
      </c>
      <c r="J73" s="77">
        <f>SUMIFS(IW29EDITAR!E:E, IW29EDITAR!I:I, A73, IW29EDITAR!H:H, "LINE 8")</f>
        <v>0</v>
      </c>
      <c r="K73" s="77">
        <f>SUMIFS(IW29EDITAR!E:E, IW29EDITAR!I:I, A73, IW29EDITAR!H:H, "LINE 10")</f>
        <v>0</v>
      </c>
      <c r="L73" s="77">
        <f>SUMIFS(IW29EDITAR!E:E, IW29EDITAR!I:I, A73, IW29EDITAR!H:H, "LINE 1")</f>
        <v>0</v>
      </c>
      <c r="M73" s="77">
        <f>SUMIFS(IW29EDITAR!E:E, IW29EDITAR!I:I, A73, IW29EDITAR!H:H, "LINE 2")</f>
        <v>0</v>
      </c>
      <c r="N73" s="77">
        <f>SUMIFS(IW29EDITAR!E:E, IW29EDITAR!I:I, A73, IW29EDITAR!H:H, "LINE 3")</f>
        <v>0</v>
      </c>
      <c r="O73" s="76">
        <f>SUMIFS(IW29EDITAR!E:E, IW29EDITAR!I:I, A73, IW29EDITAR!H:H, "LINE 4") + SUMIFS(IW29EDITAR!E:E, IW29EDITAR!I:I, A73, IW29EDITAR!H:H, "LINE 5")+SUMIFS(IW29EDITAR!E:E, IW29EDITAR!I:I, A73, IW29EDITAR!H:H, "LINE 6")</f>
        <v>0</v>
      </c>
    </row>
    <row r="74" spans="1:15" ht="14.4">
      <c r="A74" s="75">
        <v>20010109</v>
      </c>
      <c r="B74" s="75" t="s">
        <v>4628</v>
      </c>
      <c r="C74" s="13" t="str">
        <f>IFERROR(VLOOKUP(B74, 'Base de datos'!A:B, 2, FALSE), "")</f>
        <v/>
      </c>
      <c r="D74" s="29" t="e">
        <f t="shared" ca="1" si="0"/>
        <v>#NAME?</v>
      </c>
      <c r="E74" s="3"/>
      <c r="F74" s="3">
        <f>COUNTIF(IW29EDITAR!I:I,A74)</f>
        <v>0</v>
      </c>
      <c r="G74" s="3">
        <f>COUNTIF('M2'!J:J,B74)</f>
        <v>0</v>
      </c>
      <c r="H74" s="3">
        <f>SUMIF(IW29EDITAR!I:I,A74,IW29EDITAR!E:E)</f>
        <v>0</v>
      </c>
      <c r="I74" s="76">
        <f>SUMIF('M2'!J:J,B74,'M2'!E:E)</f>
        <v>0</v>
      </c>
      <c r="J74" s="77">
        <f>SUMIFS(IW29EDITAR!E:E, IW29EDITAR!I:I, A74, IW29EDITAR!H:H, "LINE 8")</f>
        <v>0</v>
      </c>
      <c r="K74" s="77">
        <f>SUMIFS(IW29EDITAR!E:E, IW29EDITAR!I:I, A74, IW29EDITAR!H:H, "LINE 10")</f>
        <v>0</v>
      </c>
      <c r="L74" s="77">
        <f>SUMIFS(IW29EDITAR!E:E, IW29EDITAR!I:I, A74, IW29EDITAR!H:H, "LINE 1")</f>
        <v>0</v>
      </c>
      <c r="M74" s="77">
        <f>SUMIFS(IW29EDITAR!E:E, IW29EDITAR!I:I, A74, IW29EDITAR!H:H, "LINE 2")</f>
        <v>0</v>
      </c>
      <c r="N74" s="77">
        <f>SUMIFS(IW29EDITAR!E:E, IW29EDITAR!I:I, A74, IW29EDITAR!H:H, "LINE 3")</f>
        <v>0</v>
      </c>
      <c r="O74" s="76">
        <f>SUMIFS(IW29EDITAR!E:E, IW29EDITAR!I:I, A74, IW29EDITAR!H:H, "LINE 4") + SUMIFS(IW29EDITAR!E:E, IW29EDITAR!I:I, A74, IW29EDITAR!H:H, "LINE 5")+SUMIFS(IW29EDITAR!E:E, IW29EDITAR!I:I, A74, IW29EDITAR!H:H, "LINE 6")</f>
        <v>0</v>
      </c>
    </row>
    <row r="75" spans="1:15" ht="14.4">
      <c r="A75" s="75">
        <v>20010110</v>
      </c>
      <c r="B75" s="75" t="s">
        <v>4629</v>
      </c>
      <c r="C75" s="13" t="str">
        <f>IFERROR(VLOOKUP(B75, 'Base de datos'!A:B, 2, FALSE), "")</f>
        <v/>
      </c>
      <c r="D75" s="29" t="e">
        <f t="shared" ca="1" si="0"/>
        <v>#NAME?</v>
      </c>
      <c r="E75" s="3"/>
      <c r="F75" s="3">
        <f>COUNTIF(IW29EDITAR!I:I,A75)</f>
        <v>0</v>
      </c>
      <c r="G75" s="3">
        <f>COUNTIF('M2'!J:J,B75)</f>
        <v>0</v>
      </c>
      <c r="H75" s="3">
        <f>SUMIF(IW29EDITAR!I:I,A75,IW29EDITAR!E:E)</f>
        <v>0</v>
      </c>
      <c r="I75" s="76">
        <f>SUMIF('M2'!J:J,B75,'M2'!E:E)</f>
        <v>0</v>
      </c>
      <c r="J75" s="77">
        <f>SUMIFS(IW29EDITAR!E:E, IW29EDITAR!I:I, A75, IW29EDITAR!H:H, "LINE 8")</f>
        <v>0</v>
      </c>
      <c r="K75" s="77">
        <f>SUMIFS(IW29EDITAR!E:E, IW29EDITAR!I:I, A75, IW29EDITAR!H:H, "LINE 10")</f>
        <v>0</v>
      </c>
      <c r="L75" s="77">
        <f>SUMIFS(IW29EDITAR!E:E, IW29EDITAR!I:I, A75, IW29EDITAR!H:H, "LINE 1")</f>
        <v>0</v>
      </c>
      <c r="M75" s="77">
        <f>SUMIFS(IW29EDITAR!E:E, IW29EDITAR!I:I, A75, IW29EDITAR!H:H, "LINE 2")</f>
        <v>0</v>
      </c>
      <c r="N75" s="77">
        <f>SUMIFS(IW29EDITAR!E:E, IW29EDITAR!I:I, A75, IW29EDITAR!H:H, "LINE 3")</f>
        <v>0</v>
      </c>
      <c r="O75" s="76">
        <f>SUMIFS(IW29EDITAR!E:E, IW29EDITAR!I:I, A75, IW29EDITAR!H:H, "LINE 4") + SUMIFS(IW29EDITAR!E:E, IW29EDITAR!I:I, A75, IW29EDITAR!H:H, "LINE 5")+SUMIFS(IW29EDITAR!E:E, IW29EDITAR!I:I, A75, IW29EDITAR!H:H, "LINE 6")</f>
        <v>0</v>
      </c>
    </row>
    <row r="76" spans="1:15" ht="14.4">
      <c r="A76" s="75">
        <v>20010118</v>
      </c>
      <c r="B76" s="75" t="s">
        <v>4630</v>
      </c>
      <c r="C76" s="13" t="str">
        <f>IFERROR(VLOOKUP(B76, 'Base de datos'!A:B, 2, FALSE), "")</f>
        <v/>
      </c>
      <c r="D76" s="29" t="e">
        <f t="shared" ca="1" si="0"/>
        <v>#NAME?</v>
      </c>
      <c r="E76" s="3"/>
      <c r="F76" s="3">
        <f>COUNTIF(IW29EDITAR!I:I,A76)</f>
        <v>0</v>
      </c>
      <c r="G76" s="3">
        <f>COUNTIF('M2'!J:J,B76)</f>
        <v>0</v>
      </c>
      <c r="H76" s="3">
        <f>SUMIF(IW29EDITAR!I:I,A76,IW29EDITAR!E:E)</f>
        <v>0</v>
      </c>
      <c r="I76" s="76">
        <f>SUMIF('M2'!J:J,B76,'M2'!E:E)</f>
        <v>0</v>
      </c>
      <c r="J76" s="77">
        <f>SUMIFS(IW29EDITAR!E:E, IW29EDITAR!I:I, A76, IW29EDITAR!H:H, "LINE 8")</f>
        <v>0</v>
      </c>
      <c r="K76" s="77">
        <f>SUMIFS(IW29EDITAR!E:E, IW29EDITAR!I:I, A76, IW29EDITAR!H:H, "LINE 10")</f>
        <v>0</v>
      </c>
      <c r="L76" s="77">
        <f>SUMIFS(IW29EDITAR!E:E, IW29EDITAR!I:I, A76, IW29EDITAR!H:H, "LINE 1")</f>
        <v>0</v>
      </c>
      <c r="M76" s="77">
        <f>SUMIFS(IW29EDITAR!E:E, IW29EDITAR!I:I, A76, IW29EDITAR!H:H, "LINE 2")</f>
        <v>0</v>
      </c>
      <c r="N76" s="77">
        <f>SUMIFS(IW29EDITAR!E:E, IW29EDITAR!I:I, A76, IW29EDITAR!H:H, "LINE 3")</f>
        <v>0</v>
      </c>
      <c r="O76" s="76">
        <f>SUMIFS(IW29EDITAR!E:E, IW29EDITAR!I:I, A76, IW29EDITAR!H:H, "LINE 4") + SUMIFS(IW29EDITAR!E:E, IW29EDITAR!I:I, A76, IW29EDITAR!H:H, "LINE 5")+SUMIFS(IW29EDITAR!E:E, IW29EDITAR!I:I, A76, IW29EDITAR!H:H, "LINE 6")</f>
        <v>0</v>
      </c>
    </row>
    <row r="77" spans="1:15" ht="14.4">
      <c r="A77" s="75">
        <v>20010179</v>
      </c>
      <c r="B77" s="75" t="s">
        <v>4631</v>
      </c>
      <c r="C77" s="13" t="str">
        <f>IFERROR(VLOOKUP(B77, 'Base de datos'!A:B, 2, FALSE), "")</f>
        <v/>
      </c>
      <c r="D77" s="29" t="e">
        <f t="shared" ca="1" si="0"/>
        <v>#NAME?</v>
      </c>
      <c r="E77" s="3"/>
      <c r="F77" s="3">
        <f>COUNTIF(IW29EDITAR!I:I,A77)</f>
        <v>0</v>
      </c>
      <c r="G77" s="3">
        <f>COUNTIF('M2'!J:J,B77)</f>
        <v>0</v>
      </c>
      <c r="H77" s="3">
        <f>SUMIF(IW29EDITAR!I:I,A77,IW29EDITAR!E:E)</f>
        <v>0</v>
      </c>
      <c r="I77" s="76">
        <f>SUMIF('M2'!J:J,B77,'M2'!E:E)</f>
        <v>0</v>
      </c>
      <c r="J77" s="77">
        <f>SUMIFS(IW29EDITAR!E:E, IW29EDITAR!I:I, A77, IW29EDITAR!H:H, "LINE 8")</f>
        <v>0</v>
      </c>
      <c r="K77" s="77">
        <f>SUMIFS(IW29EDITAR!E:E, IW29EDITAR!I:I, A77, IW29EDITAR!H:H, "LINE 10")</f>
        <v>0</v>
      </c>
      <c r="L77" s="77">
        <f>SUMIFS(IW29EDITAR!E:E, IW29EDITAR!I:I, A77, IW29EDITAR!H:H, "LINE 1")</f>
        <v>0</v>
      </c>
      <c r="M77" s="77">
        <f>SUMIFS(IW29EDITAR!E:E, IW29EDITAR!I:I, A77, IW29EDITAR!H:H, "LINE 2")</f>
        <v>0</v>
      </c>
      <c r="N77" s="77">
        <f>SUMIFS(IW29EDITAR!E:E, IW29EDITAR!I:I, A77, IW29EDITAR!H:H, "LINE 3")</f>
        <v>0</v>
      </c>
      <c r="O77" s="76">
        <f>SUMIFS(IW29EDITAR!E:E, IW29EDITAR!I:I, A77, IW29EDITAR!H:H, "LINE 4") + SUMIFS(IW29EDITAR!E:E, IW29EDITAR!I:I, A77, IW29EDITAR!H:H, "LINE 5")+SUMIFS(IW29EDITAR!E:E, IW29EDITAR!I:I, A77, IW29EDITAR!H:H, "LINE 6")</f>
        <v>0</v>
      </c>
    </row>
    <row r="78" spans="1:15" ht="14.4">
      <c r="A78" s="75">
        <v>20013069</v>
      </c>
      <c r="B78" s="75" t="s">
        <v>4632</v>
      </c>
      <c r="C78" s="13" t="str">
        <f>IFERROR(VLOOKUP(B78, 'Base de datos'!A:B, 2, FALSE), "")</f>
        <v/>
      </c>
      <c r="D78" s="29" t="e">
        <f t="shared" ca="1" si="0"/>
        <v>#NAME?</v>
      </c>
      <c r="E78" s="3"/>
      <c r="F78" s="3">
        <f>COUNTIF(IW29EDITAR!I:I,A78)</f>
        <v>0</v>
      </c>
      <c r="G78" s="3">
        <f>COUNTIF('M2'!J:J,B78)</f>
        <v>0</v>
      </c>
      <c r="H78" s="3">
        <f>SUMIF(IW29EDITAR!I:I,A78,IW29EDITAR!E:E)</f>
        <v>0</v>
      </c>
      <c r="I78" s="76">
        <f>SUMIF('M2'!J:J,B78,'M2'!E:E)</f>
        <v>0</v>
      </c>
      <c r="J78" s="77">
        <f>SUMIFS(IW29EDITAR!E:E, IW29EDITAR!I:I, A78, IW29EDITAR!H:H, "LINE 8")</f>
        <v>0</v>
      </c>
      <c r="K78" s="77">
        <f>SUMIFS(IW29EDITAR!E:E, IW29EDITAR!I:I, A78, IW29EDITAR!H:H, "LINE 10")</f>
        <v>0</v>
      </c>
      <c r="L78" s="77">
        <f>SUMIFS(IW29EDITAR!E:E, IW29EDITAR!I:I, A78, IW29EDITAR!H:H, "LINE 1")</f>
        <v>0</v>
      </c>
      <c r="M78" s="77">
        <f>SUMIFS(IW29EDITAR!E:E, IW29EDITAR!I:I, A78, IW29EDITAR!H:H, "LINE 2")</f>
        <v>0</v>
      </c>
      <c r="N78" s="77">
        <f>SUMIFS(IW29EDITAR!E:E, IW29EDITAR!I:I, A78, IW29EDITAR!H:H, "LINE 3")</f>
        <v>0</v>
      </c>
      <c r="O78" s="76">
        <f>SUMIFS(IW29EDITAR!E:E, IW29EDITAR!I:I, A78, IW29EDITAR!H:H, "LINE 4") + SUMIFS(IW29EDITAR!E:E, IW29EDITAR!I:I, A78, IW29EDITAR!H:H, "LINE 5")+SUMIFS(IW29EDITAR!E:E, IW29EDITAR!I:I, A78, IW29EDITAR!H:H, "LINE 6")</f>
        <v>0</v>
      </c>
    </row>
    <row r="79" spans="1:15" ht="14.4">
      <c r="A79" s="75">
        <v>20018234</v>
      </c>
      <c r="B79" s="75" t="s">
        <v>4633</v>
      </c>
      <c r="C79" s="13" t="str">
        <f>IFERROR(VLOOKUP(B79, 'Base de datos'!A:B, 2, FALSE), "")</f>
        <v/>
      </c>
      <c r="D79" s="29" t="e">
        <f t="shared" ca="1" si="0"/>
        <v>#NAME?</v>
      </c>
      <c r="E79" s="3"/>
      <c r="F79" s="3">
        <f>COUNTIF(IW29EDITAR!I:I,A79)</f>
        <v>0</v>
      </c>
      <c r="G79" s="3">
        <f>COUNTIF('M2'!J:J,B79)</f>
        <v>0</v>
      </c>
      <c r="H79" s="3">
        <f>SUMIF(IW29EDITAR!I:I,A79,IW29EDITAR!E:E)</f>
        <v>0</v>
      </c>
      <c r="I79" s="76">
        <f>SUMIF('M2'!J:J,B79,'M2'!E:E)</f>
        <v>0</v>
      </c>
      <c r="J79" s="77">
        <f>SUMIFS(IW29EDITAR!E:E, IW29EDITAR!I:I, A79, IW29EDITAR!H:H, "LINE 8")</f>
        <v>0</v>
      </c>
      <c r="K79" s="77">
        <f>SUMIFS(IW29EDITAR!E:E, IW29EDITAR!I:I, A79, IW29EDITAR!H:H, "LINE 10")</f>
        <v>0</v>
      </c>
      <c r="L79" s="77">
        <f>SUMIFS(IW29EDITAR!E:E, IW29EDITAR!I:I, A79, IW29EDITAR!H:H, "LINE 1")</f>
        <v>0</v>
      </c>
      <c r="M79" s="77">
        <f>SUMIFS(IW29EDITAR!E:E, IW29EDITAR!I:I, A79, IW29EDITAR!H:H, "LINE 2")</f>
        <v>0</v>
      </c>
      <c r="N79" s="77">
        <f>SUMIFS(IW29EDITAR!E:E, IW29EDITAR!I:I, A79, IW29EDITAR!H:H, "LINE 3")</f>
        <v>0</v>
      </c>
      <c r="O79" s="76">
        <f>SUMIFS(IW29EDITAR!E:E, IW29EDITAR!I:I, A79, IW29EDITAR!H:H, "LINE 4") + SUMIFS(IW29EDITAR!E:E, IW29EDITAR!I:I, A79, IW29EDITAR!H:H, "LINE 5")+SUMIFS(IW29EDITAR!E:E, IW29EDITAR!I:I, A79, IW29EDITAR!H:H, "LINE 6")</f>
        <v>0</v>
      </c>
    </row>
    <row r="80" spans="1:15" ht="14.4">
      <c r="A80" s="75">
        <v>20022332</v>
      </c>
      <c r="B80" s="75" t="s">
        <v>4634</v>
      </c>
      <c r="C80" s="13" t="str">
        <f>IFERROR(VLOOKUP(B80, 'Base de datos'!A:B, 2, FALSE), "")</f>
        <v/>
      </c>
      <c r="D80" s="29" t="e">
        <f t="shared" ca="1" si="0"/>
        <v>#NAME?</v>
      </c>
      <c r="E80" s="3"/>
      <c r="F80" s="3">
        <f>COUNTIF(IW29EDITAR!I:I,A80)</f>
        <v>0</v>
      </c>
      <c r="G80" s="3">
        <f>COUNTIF('M2'!J:J,B80)</f>
        <v>0</v>
      </c>
      <c r="H80" s="3">
        <f>SUMIF(IW29EDITAR!I:I,A80,IW29EDITAR!E:E)</f>
        <v>0</v>
      </c>
      <c r="I80" s="76">
        <f>SUMIF('M2'!J:J,B80,'M2'!E:E)</f>
        <v>0</v>
      </c>
      <c r="J80" s="77">
        <f>SUMIFS(IW29EDITAR!E:E, IW29EDITAR!I:I, A80, IW29EDITAR!H:H, "LINE 8")</f>
        <v>0</v>
      </c>
      <c r="K80" s="77">
        <f>SUMIFS(IW29EDITAR!E:E, IW29EDITAR!I:I, A80, IW29EDITAR!H:H, "LINE 10")</f>
        <v>0</v>
      </c>
      <c r="L80" s="77">
        <f>SUMIFS(IW29EDITAR!E:E, IW29EDITAR!I:I, A80, IW29EDITAR!H:H, "LINE 1")</f>
        <v>0</v>
      </c>
      <c r="M80" s="77">
        <f>SUMIFS(IW29EDITAR!E:E, IW29EDITAR!I:I, A80, IW29EDITAR!H:H, "LINE 2")</f>
        <v>0</v>
      </c>
      <c r="N80" s="77">
        <f>SUMIFS(IW29EDITAR!E:E, IW29EDITAR!I:I, A80, IW29EDITAR!H:H, "LINE 3")</f>
        <v>0</v>
      </c>
      <c r="O80" s="76">
        <f>SUMIFS(IW29EDITAR!E:E, IW29EDITAR!I:I, A80, IW29EDITAR!H:H, "LINE 4") + SUMIFS(IW29EDITAR!E:E, IW29EDITAR!I:I, A80, IW29EDITAR!H:H, "LINE 5")+SUMIFS(IW29EDITAR!E:E, IW29EDITAR!I:I, A80, IW29EDITAR!H:H, "LINE 6")</f>
        <v>0</v>
      </c>
    </row>
    <row r="81" spans="1:15" ht="14.4">
      <c r="A81" s="75">
        <v>20022911</v>
      </c>
      <c r="B81" s="75" t="s">
        <v>4635</v>
      </c>
      <c r="C81" s="13" t="str">
        <f>IFERROR(VLOOKUP(B81, 'Base de datos'!A:B, 2, FALSE), "")</f>
        <v/>
      </c>
      <c r="D81" s="29" t="e">
        <f t="shared" ca="1" si="0"/>
        <v>#NAME?</v>
      </c>
      <c r="E81" s="3"/>
      <c r="F81" s="3">
        <f>COUNTIF(IW29EDITAR!I:I,A81)</f>
        <v>0</v>
      </c>
      <c r="G81" s="3">
        <f>COUNTIF('M2'!J:J,B81)</f>
        <v>0</v>
      </c>
      <c r="H81" s="3">
        <f>SUMIF(IW29EDITAR!I:I,A81,IW29EDITAR!E:E)</f>
        <v>0</v>
      </c>
      <c r="I81" s="76">
        <f>SUMIF('M2'!J:J,B81,'M2'!E:E)</f>
        <v>0</v>
      </c>
      <c r="J81" s="77">
        <f>SUMIFS(IW29EDITAR!E:E, IW29EDITAR!I:I, A81, IW29EDITAR!H:H, "LINE 8")</f>
        <v>0</v>
      </c>
      <c r="K81" s="77">
        <f>SUMIFS(IW29EDITAR!E:E, IW29EDITAR!I:I, A81, IW29EDITAR!H:H, "LINE 10")</f>
        <v>0</v>
      </c>
      <c r="L81" s="77">
        <f>SUMIFS(IW29EDITAR!E:E, IW29EDITAR!I:I, A81, IW29EDITAR!H:H, "LINE 1")</f>
        <v>0</v>
      </c>
      <c r="M81" s="77">
        <f>SUMIFS(IW29EDITAR!E:E, IW29EDITAR!I:I, A81, IW29EDITAR!H:H, "LINE 2")</f>
        <v>0</v>
      </c>
      <c r="N81" s="77">
        <f>SUMIFS(IW29EDITAR!E:E, IW29EDITAR!I:I, A81, IW29EDITAR!H:H, "LINE 3")</f>
        <v>0</v>
      </c>
      <c r="O81" s="76">
        <f>SUMIFS(IW29EDITAR!E:E, IW29EDITAR!I:I, A81, IW29EDITAR!H:H, "LINE 4") + SUMIFS(IW29EDITAR!E:E, IW29EDITAR!I:I, A81, IW29EDITAR!H:H, "LINE 5")+SUMIFS(IW29EDITAR!E:E, IW29EDITAR!I:I, A81, IW29EDITAR!H:H, "LINE 6")</f>
        <v>0</v>
      </c>
    </row>
    <row r="82" spans="1:15" ht="14.4">
      <c r="A82" s="75">
        <v>20030713</v>
      </c>
      <c r="B82" s="75" t="s">
        <v>4636</v>
      </c>
      <c r="C82" s="13" t="str">
        <f>IFERROR(VLOOKUP(B82, 'Base de datos'!A:B, 2, FALSE), "")</f>
        <v/>
      </c>
      <c r="D82" s="29" t="e">
        <f t="shared" ca="1" si="0"/>
        <v>#NAME?</v>
      </c>
      <c r="E82" s="3"/>
      <c r="F82" s="3">
        <f>COUNTIF(IW29EDITAR!I:I,A82)</f>
        <v>0</v>
      </c>
      <c r="G82" s="3">
        <f>COUNTIF('M2'!J:J,B82)</f>
        <v>0</v>
      </c>
      <c r="H82" s="3">
        <f>SUMIF(IW29EDITAR!I:I,A82,IW29EDITAR!E:E)</f>
        <v>0</v>
      </c>
      <c r="I82" s="76">
        <f>SUMIF('M2'!J:J,B82,'M2'!E:E)</f>
        <v>0</v>
      </c>
      <c r="J82" s="77">
        <f>SUMIFS(IW29EDITAR!E:E, IW29EDITAR!I:I, A82, IW29EDITAR!H:H, "LINE 8")</f>
        <v>0</v>
      </c>
      <c r="K82" s="77">
        <f>SUMIFS(IW29EDITAR!E:E, IW29EDITAR!I:I, A82, IW29EDITAR!H:H, "LINE 10")</f>
        <v>0</v>
      </c>
      <c r="L82" s="77">
        <f>SUMIFS(IW29EDITAR!E:E, IW29EDITAR!I:I, A82, IW29EDITAR!H:H, "LINE 1")</f>
        <v>0</v>
      </c>
      <c r="M82" s="77">
        <f>SUMIFS(IW29EDITAR!E:E, IW29EDITAR!I:I, A82, IW29EDITAR!H:H, "LINE 2")</f>
        <v>0</v>
      </c>
      <c r="N82" s="77">
        <f>SUMIFS(IW29EDITAR!E:E, IW29EDITAR!I:I, A82, IW29EDITAR!H:H, "LINE 3")</f>
        <v>0</v>
      </c>
      <c r="O82" s="76">
        <f>SUMIFS(IW29EDITAR!E:E, IW29EDITAR!I:I, A82, IW29EDITAR!H:H, "LINE 4") + SUMIFS(IW29EDITAR!E:E, IW29EDITAR!I:I, A82, IW29EDITAR!H:H, "LINE 5")+SUMIFS(IW29EDITAR!E:E, IW29EDITAR!I:I, A82, IW29EDITAR!H:H, "LINE 6")</f>
        <v>0</v>
      </c>
    </row>
    <row r="83" spans="1:15" ht="14.4">
      <c r="A83" s="75">
        <v>20031099</v>
      </c>
      <c r="B83" s="75" t="s">
        <v>4637</v>
      </c>
      <c r="C83" s="13" t="str">
        <f>IFERROR(VLOOKUP(B83, 'Base de datos'!A:B, 2, FALSE), "")</f>
        <v/>
      </c>
      <c r="D83" s="29" t="e">
        <f t="shared" ca="1" si="0"/>
        <v>#NAME?</v>
      </c>
      <c r="E83" s="3"/>
      <c r="F83" s="3">
        <f>COUNTIF(IW29EDITAR!I:I,A83)</f>
        <v>0</v>
      </c>
      <c r="G83" s="3">
        <f>COUNTIF('M2'!J:J,B83)</f>
        <v>0</v>
      </c>
      <c r="H83" s="3">
        <f>SUMIF(IW29EDITAR!I:I,A83,IW29EDITAR!E:E)</f>
        <v>0</v>
      </c>
      <c r="I83" s="76">
        <f>SUMIF('M2'!J:J,B83,'M2'!E:E)</f>
        <v>0</v>
      </c>
      <c r="J83" s="77">
        <f>SUMIFS(IW29EDITAR!E:E, IW29EDITAR!I:I, A83, IW29EDITAR!H:H, "LINE 8")</f>
        <v>0</v>
      </c>
      <c r="K83" s="77">
        <f>SUMIFS(IW29EDITAR!E:E, IW29EDITAR!I:I, A83, IW29EDITAR!H:H, "LINE 10")</f>
        <v>0</v>
      </c>
      <c r="L83" s="77">
        <f>SUMIFS(IW29EDITAR!E:E, IW29EDITAR!I:I, A83, IW29EDITAR!H:H, "LINE 1")</f>
        <v>0</v>
      </c>
      <c r="M83" s="77">
        <f>SUMIFS(IW29EDITAR!E:E, IW29EDITAR!I:I, A83, IW29EDITAR!H:H, "LINE 2")</f>
        <v>0</v>
      </c>
      <c r="N83" s="77">
        <f>SUMIFS(IW29EDITAR!E:E, IW29EDITAR!I:I, A83, IW29EDITAR!H:H, "LINE 3")</f>
        <v>0</v>
      </c>
      <c r="O83" s="76">
        <f>SUMIFS(IW29EDITAR!E:E, IW29EDITAR!I:I, A83, IW29EDITAR!H:H, "LINE 4") + SUMIFS(IW29EDITAR!E:E, IW29EDITAR!I:I, A83, IW29EDITAR!H:H, "LINE 5")+SUMIFS(IW29EDITAR!E:E, IW29EDITAR!I:I, A83, IW29EDITAR!H:H, "LINE 6")</f>
        <v>0</v>
      </c>
    </row>
    <row r="84" spans="1:15" ht="14.4">
      <c r="A84" s="75">
        <v>20031103</v>
      </c>
      <c r="B84" s="75" t="s">
        <v>4638</v>
      </c>
      <c r="C84" s="13" t="str">
        <f>IFERROR(VLOOKUP(B84, 'Base de datos'!A:B, 2, FALSE), "")</f>
        <v/>
      </c>
      <c r="D84" s="29" t="e">
        <f t="shared" ca="1" si="0"/>
        <v>#NAME?</v>
      </c>
      <c r="E84" s="3"/>
      <c r="F84" s="3">
        <f>COUNTIF(IW29EDITAR!I:I,A84)</f>
        <v>0</v>
      </c>
      <c r="G84" s="3">
        <f>COUNTIF('M2'!J:J,B84)</f>
        <v>0</v>
      </c>
      <c r="H84" s="3">
        <f>SUMIF(IW29EDITAR!I:I,A84,IW29EDITAR!E:E)</f>
        <v>0</v>
      </c>
      <c r="I84" s="76">
        <f>SUMIF('M2'!J:J,B84,'M2'!E:E)</f>
        <v>0</v>
      </c>
      <c r="J84" s="77">
        <f>SUMIFS(IW29EDITAR!E:E, IW29EDITAR!I:I, A84, IW29EDITAR!H:H, "LINE 8")</f>
        <v>0</v>
      </c>
      <c r="K84" s="77">
        <f>SUMIFS(IW29EDITAR!E:E, IW29EDITAR!I:I, A84, IW29EDITAR!H:H, "LINE 10")</f>
        <v>0</v>
      </c>
      <c r="L84" s="77">
        <f>SUMIFS(IW29EDITAR!E:E, IW29EDITAR!I:I, A84, IW29EDITAR!H:H, "LINE 1")</f>
        <v>0</v>
      </c>
      <c r="M84" s="77">
        <f>SUMIFS(IW29EDITAR!E:E, IW29EDITAR!I:I, A84, IW29EDITAR!H:H, "LINE 2")</f>
        <v>0</v>
      </c>
      <c r="N84" s="77">
        <f>SUMIFS(IW29EDITAR!E:E, IW29EDITAR!I:I, A84, IW29EDITAR!H:H, "LINE 3")</f>
        <v>0</v>
      </c>
      <c r="O84" s="76">
        <f>SUMIFS(IW29EDITAR!E:E, IW29EDITAR!I:I, A84, IW29EDITAR!H:H, "LINE 4") + SUMIFS(IW29EDITAR!E:E, IW29EDITAR!I:I, A84, IW29EDITAR!H:H, "LINE 5")+SUMIFS(IW29EDITAR!E:E, IW29EDITAR!I:I, A84, IW29EDITAR!H:H, "LINE 6")</f>
        <v>0</v>
      </c>
    </row>
    <row r="85" spans="1:15" ht="14.4">
      <c r="A85" s="75">
        <v>20031119</v>
      </c>
      <c r="B85" s="75" t="s">
        <v>4639</v>
      </c>
      <c r="C85" s="13" t="str">
        <f>IFERROR(VLOOKUP(B85, 'Base de datos'!A:B, 2, FALSE), "")</f>
        <v/>
      </c>
      <c r="D85" s="29" t="e">
        <f t="shared" ca="1" si="0"/>
        <v>#NAME?</v>
      </c>
      <c r="E85" s="3"/>
      <c r="F85" s="3">
        <f>COUNTIF(IW29EDITAR!I:I,A85)</f>
        <v>0</v>
      </c>
      <c r="G85" s="3">
        <f>COUNTIF('M2'!J:J,B85)</f>
        <v>0</v>
      </c>
      <c r="H85" s="3">
        <f>SUMIF(IW29EDITAR!I:I,A85,IW29EDITAR!E:E)</f>
        <v>0</v>
      </c>
      <c r="I85" s="76">
        <f>SUMIF('M2'!J:J,B85,'M2'!E:E)</f>
        <v>0</v>
      </c>
      <c r="J85" s="77">
        <f>SUMIFS(IW29EDITAR!E:E, IW29EDITAR!I:I, A85, IW29EDITAR!H:H, "LINE 8")</f>
        <v>0</v>
      </c>
      <c r="K85" s="77">
        <f>SUMIFS(IW29EDITAR!E:E, IW29EDITAR!I:I, A85, IW29EDITAR!H:H, "LINE 10")</f>
        <v>0</v>
      </c>
      <c r="L85" s="77">
        <f>SUMIFS(IW29EDITAR!E:E, IW29EDITAR!I:I, A85, IW29EDITAR!H:H, "LINE 1")</f>
        <v>0</v>
      </c>
      <c r="M85" s="77">
        <f>SUMIFS(IW29EDITAR!E:E, IW29EDITAR!I:I, A85, IW29EDITAR!H:H, "LINE 2")</f>
        <v>0</v>
      </c>
      <c r="N85" s="77">
        <f>SUMIFS(IW29EDITAR!E:E, IW29EDITAR!I:I, A85, IW29EDITAR!H:H, "LINE 3")</f>
        <v>0</v>
      </c>
      <c r="O85" s="76">
        <f>SUMIFS(IW29EDITAR!E:E, IW29EDITAR!I:I, A85, IW29EDITAR!H:H, "LINE 4") + SUMIFS(IW29EDITAR!E:E, IW29EDITAR!I:I, A85, IW29EDITAR!H:H, "LINE 5")+SUMIFS(IW29EDITAR!E:E, IW29EDITAR!I:I, A85, IW29EDITAR!H:H, "LINE 6")</f>
        <v>0</v>
      </c>
    </row>
    <row r="86" spans="1:15" ht="14.4">
      <c r="A86" s="75">
        <v>20031125</v>
      </c>
      <c r="B86" s="75" t="s">
        <v>4640</v>
      </c>
      <c r="C86" s="13" t="str">
        <f>IFERROR(VLOOKUP(B86, 'Base de datos'!A:B, 2, FALSE), "")</f>
        <v/>
      </c>
      <c r="D86" s="29" t="e">
        <f t="shared" ca="1" si="0"/>
        <v>#NAME?</v>
      </c>
      <c r="E86" s="3"/>
      <c r="F86" s="3">
        <f>COUNTIF(IW29EDITAR!I:I,A86)</f>
        <v>0</v>
      </c>
      <c r="G86" s="3">
        <f>COUNTIF('M2'!J:J,B86)</f>
        <v>0</v>
      </c>
      <c r="H86" s="3">
        <f>SUMIF(IW29EDITAR!I:I,A86,IW29EDITAR!E:E)</f>
        <v>0</v>
      </c>
      <c r="I86" s="76">
        <f>SUMIF('M2'!J:J,B86,'M2'!E:E)</f>
        <v>0</v>
      </c>
      <c r="J86" s="77">
        <f>SUMIFS(IW29EDITAR!E:E, IW29EDITAR!I:I, A86, IW29EDITAR!H:H, "LINE 8")</f>
        <v>0</v>
      </c>
      <c r="K86" s="77">
        <f>SUMIFS(IW29EDITAR!E:E, IW29EDITAR!I:I, A86, IW29EDITAR!H:H, "LINE 10")</f>
        <v>0</v>
      </c>
      <c r="L86" s="77">
        <f>SUMIFS(IW29EDITAR!E:E, IW29EDITAR!I:I, A86, IW29EDITAR!H:H, "LINE 1")</f>
        <v>0</v>
      </c>
      <c r="M86" s="77">
        <f>SUMIFS(IW29EDITAR!E:E, IW29EDITAR!I:I, A86, IW29EDITAR!H:H, "LINE 2")</f>
        <v>0</v>
      </c>
      <c r="N86" s="77">
        <f>SUMIFS(IW29EDITAR!E:E, IW29EDITAR!I:I, A86, IW29EDITAR!H:H, "LINE 3")</f>
        <v>0</v>
      </c>
      <c r="O86" s="76">
        <f>SUMIFS(IW29EDITAR!E:E, IW29EDITAR!I:I, A86, IW29EDITAR!H:H, "LINE 4") + SUMIFS(IW29EDITAR!E:E, IW29EDITAR!I:I, A86, IW29EDITAR!H:H, "LINE 5")+SUMIFS(IW29EDITAR!E:E, IW29EDITAR!I:I, A86, IW29EDITAR!H:H, "LINE 6")</f>
        <v>0</v>
      </c>
    </row>
    <row r="87" spans="1:15" ht="14.4">
      <c r="A87" s="75">
        <v>20010087</v>
      </c>
      <c r="B87" s="75" t="s">
        <v>4641</v>
      </c>
      <c r="C87" s="13" t="str">
        <f>IFERROR(VLOOKUP(B87, 'Base de datos'!A:B, 2, FALSE), "")</f>
        <v/>
      </c>
      <c r="D87" s="29" t="e">
        <f t="shared" ca="1" si="0"/>
        <v>#NAME?</v>
      </c>
      <c r="E87" s="3"/>
      <c r="F87" s="3">
        <f>COUNTIF(IW29EDITAR!I:I,A87)</f>
        <v>0</v>
      </c>
      <c r="G87" s="3">
        <f>COUNTIF('M2'!J:J,B87)</f>
        <v>0</v>
      </c>
      <c r="H87" s="3">
        <f>SUMIF(IW29EDITAR!I:I,A87,IW29EDITAR!E:E)</f>
        <v>0</v>
      </c>
      <c r="I87" s="76">
        <f>SUMIF('M2'!J:J,B87,'M2'!E:E)</f>
        <v>0</v>
      </c>
      <c r="J87" s="77">
        <f>SUMIFS(IW29EDITAR!E:E, IW29EDITAR!I:I, A87, IW29EDITAR!H:H, "LINE 8")</f>
        <v>0</v>
      </c>
      <c r="K87" s="77">
        <f>SUMIFS(IW29EDITAR!E:E, IW29EDITAR!I:I, A87, IW29EDITAR!H:H, "LINE 10")</f>
        <v>0</v>
      </c>
      <c r="L87" s="77">
        <f>SUMIFS(IW29EDITAR!E:E, IW29EDITAR!I:I, A87, IW29EDITAR!H:H, "LINE 1")</f>
        <v>0</v>
      </c>
      <c r="M87" s="77">
        <f>SUMIFS(IW29EDITAR!E:E, IW29EDITAR!I:I, A87, IW29EDITAR!H:H, "LINE 2")</f>
        <v>0</v>
      </c>
      <c r="N87" s="77">
        <f>SUMIFS(IW29EDITAR!E:E, IW29EDITAR!I:I, A87, IW29EDITAR!H:H, "LINE 3")</f>
        <v>0</v>
      </c>
      <c r="O87" s="76">
        <f>SUMIFS(IW29EDITAR!E:E, IW29EDITAR!I:I, A87, IW29EDITAR!H:H, "LINE 4") + SUMIFS(IW29EDITAR!E:E, IW29EDITAR!I:I, A87, IW29EDITAR!H:H, "LINE 5")+SUMIFS(IW29EDITAR!E:E, IW29EDITAR!I:I, A87, IW29EDITAR!H:H, "LINE 6")</f>
        <v>0</v>
      </c>
    </row>
    <row r="88" spans="1:15" ht="14.4">
      <c r="A88" s="75">
        <v>20031137</v>
      </c>
      <c r="B88" s="75" t="s">
        <v>4642</v>
      </c>
      <c r="C88" s="13" t="str">
        <f>IFERROR(VLOOKUP(B88, 'Base de datos'!A:B, 2, FALSE), "")</f>
        <v/>
      </c>
      <c r="D88" s="29" t="e">
        <f t="shared" ca="1" si="0"/>
        <v>#NAME?</v>
      </c>
      <c r="E88" s="3"/>
      <c r="F88" s="3">
        <f>COUNTIF(IW29EDITAR!I:I,A88)</f>
        <v>0</v>
      </c>
      <c r="G88" s="3">
        <f>COUNTIF('M2'!J:J,B88)</f>
        <v>0</v>
      </c>
      <c r="H88" s="3">
        <f>SUMIF(IW29EDITAR!I:I,A88,IW29EDITAR!E:E)</f>
        <v>0</v>
      </c>
      <c r="I88" s="76">
        <f>SUMIF('M2'!J:J,B88,'M2'!E:E)</f>
        <v>0</v>
      </c>
      <c r="J88" s="77">
        <f>SUMIFS(IW29EDITAR!E:E, IW29EDITAR!I:I, A88, IW29EDITAR!H:H, "LINE 8")</f>
        <v>0</v>
      </c>
      <c r="K88" s="77">
        <f>SUMIFS(IW29EDITAR!E:E, IW29EDITAR!I:I, A88, IW29EDITAR!H:H, "LINE 10")</f>
        <v>0</v>
      </c>
      <c r="L88" s="77">
        <f>SUMIFS(IW29EDITAR!E:E, IW29EDITAR!I:I, A88, IW29EDITAR!H:H, "LINE 1")</f>
        <v>0</v>
      </c>
      <c r="M88" s="77">
        <f>SUMIFS(IW29EDITAR!E:E, IW29EDITAR!I:I, A88, IW29EDITAR!H:H, "LINE 2")</f>
        <v>0</v>
      </c>
      <c r="N88" s="77">
        <f>SUMIFS(IW29EDITAR!E:E, IW29EDITAR!I:I, A88, IW29EDITAR!H:H, "LINE 3")</f>
        <v>0</v>
      </c>
      <c r="O88" s="76">
        <f>SUMIFS(IW29EDITAR!E:E, IW29EDITAR!I:I, A88, IW29EDITAR!H:H, "LINE 4") + SUMIFS(IW29EDITAR!E:E, IW29EDITAR!I:I, A88, IW29EDITAR!H:H, "LINE 5")+SUMIFS(IW29EDITAR!E:E, IW29EDITAR!I:I, A88, IW29EDITAR!H:H, "LINE 6")</f>
        <v>0</v>
      </c>
    </row>
    <row r="89" spans="1:15" ht="14.4">
      <c r="A89" s="75">
        <v>20031254</v>
      </c>
      <c r="B89" s="75" t="s">
        <v>4643</v>
      </c>
      <c r="C89" s="13" t="str">
        <f>IFERROR(VLOOKUP(B89, 'Base de datos'!A:B, 2, FALSE), "")</f>
        <v/>
      </c>
      <c r="D89" s="29" t="e">
        <f t="shared" ca="1" si="0"/>
        <v>#NAME?</v>
      </c>
      <c r="E89" s="3"/>
      <c r="F89" s="3">
        <f>COUNTIF(IW29EDITAR!I:I,A89)</f>
        <v>0</v>
      </c>
      <c r="G89" s="3">
        <f>COUNTIF('M2'!J:J,B89)</f>
        <v>0</v>
      </c>
      <c r="H89" s="3">
        <f>SUMIF(IW29EDITAR!I:I,A89,IW29EDITAR!E:E)</f>
        <v>0</v>
      </c>
      <c r="I89" s="76">
        <f>SUMIF('M2'!J:J,B89,'M2'!E:E)</f>
        <v>0</v>
      </c>
      <c r="J89" s="77">
        <f>SUMIFS(IW29EDITAR!E:E, IW29EDITAR!I:I, A89, IW29EDITAR!H:H, "LINE 8")</f>
        <v>0</v>
      </c>
      <c r="K89" s="77">
        <f>SUMIFS(IW29EDITAR!E:E, IW29EDITAR!I:I, A89, IW29EDITAR!H:H, "LINE 10")</f>
        <v>0</v>
      </c>
      <c r="L89" s="77">
        <f>SUMIFS(IW29EDITAR!E:E, IW29EDITAR!I:I, A89, IW29EDITAR!H:H, "LINE 1")</f>
        <v>0</v>
      </c>
      <c r="M89" s="77">
        <f>SUMIFS(IW29EDITAR!E:E, IW29EDITAR!I:I, A89, IW29EDITAR!H:H, "LINE 2")</f>
        <v>0</v>
      </c>
      <c r="N89" s="77">
        <f>SUMIFS(IW29EDITAR!E:E, IW29EDITAR!I:I, A89, IW29EDITAR!H:H, "LINE 3")</f>
        <v>0</v>
      </c>
      <c r="O89" s="76">
        <f>SUMIFS(IW29EDITAR!E:E, IW29EDITAR!I:I, A89, IW29EDITAR!H:H, "LINE 4") + SUMIFS(IW29EDITAR!E:E, IW29EDITAR!I:I, A89, IW29EDITAR!H:H, "LINE 5")+SUMIFS(IW29EDITAR!E:E, IW29EDITAR!I:I, A89, IW29EDITAR!H:H, "LINE 6")</f>
        <v>0</v>
      </c>
    </row>
    <row r="90" spans="1:15" ht="14.4">
      <c r="A90" s="75">
        <v>20031260</v>
      </c>
      <c r="B90" s="75" t="s">
        <v>4644</v>
      </c>
      <c r="C90" s="13" t="str">
        <f>IFERROR(VLOOKUP(B90, 'Base de datos'!A:B, 2, FALSE), "")</f>
        <v/>
      </c>
      <c r="D90" s="29" t="e">
        <f t="shared" ca="1" si="0"/>
        <v>#NAME?</v>
      </c>
      <c r="E90" s="3"/>
      <c r="F90" s="3">
        <f>COUNTIF(IW29EDITAR!I:I,A90)</f>
        <v>0</v>
      </c>
      <c r="G90" s="3">
        <f>COUNTIF('M2'!J:J,B90)</f>
        <v>0</v>
      </c>
      <c r="H90" s="3">
        <f>SUMIF(IW29EDITAR!I:I,A90,IW29EDITAR!E:E)</f>
        <v>0</v>
      </c>
      <c r="I90" s="76">
        <f>SUMIF('M2'!J:J,B90,'M2'!E:E)</f>
        <v>0</v>
      </c>
      <c r="J90" s="77">
        <f>SUMIFS(IW29EDITAR!E:E, IW29EDITAR!I:I, A90, IW29EDITAR!H:H, "LINE 8")</f>
        <v>0</v>
      </c>
      <c r="K90" s="77">
        <f>SUMIFS(IW29EDITAR!E:E, IW29EDITAR!I:I, A90, IW29EDITAR!H:H, "LINE 10")</f>
        <v>0</v>
      </c>
      <c r="L90" s="77">
        <f>SUMIFS(IW29EDITAR!E:E, IW29EDITAR!I:I, A90, IW29EDITAR!H:H, "LINE 1")</f>
        <v>0</v>
      </c>
      <c r="M90" s="77">
        <f>SUMIFS(IW29EDITAR!E:E, IW29EDITAR!I:I, A90, IW29EDITAR!H:H, "LINE 2")</f>
        <v>0</v>
      </c>
      <c r="N90" s="77">
        <f>SUMIFS(IW29EDITAR!E:E, IW29EDITAR!I:I, A90, IW29EDITAR!H:H, "LINE 3")</f>
        <v>0</v>
      </c>
      <c r="O90" s="76">
        <f>SUMIFS(IW29EDITAR!E:E, IW29EDITAR!I:I, A90, IW29EDITAR!H:H, "LINE 4") + SUMIFS(IW29EDITAR!E:E, IW29EDITAR!I:I, A90, IW29EDITAR!H:H, "LINE 5")+SUMIFS(IW29EDITAR!E:E, IW29EDITAR!I:I, A90, IW29EDITAR!H:H, "LINE 6")</f>
        <v>0</v>
      </c>
    </row>
    <row r="91" spans="1:15" ht="14.4">
      <c r="A91" s="75">
        <v>20031423</v>
      </c>
      <c r="B91" s="75" t="s">
        <v>4645</v>
      </c>
      <c r="C91" s="13" t="str">
        <f>IFERROR(VLOOKUP(B91, 'Base de datos'!A:B, 2, FALSE), "")</f>
        <v/>
      </c>
      <c r="D91" s="29" t="e">
        <f t="shared" ca="1" si="0"/>
        <v>#NAME?</v>
      </c>
      <c r="E91" s="3"/>
      <c r="F91" s="3">
        <f>COUNTIF(IW29EDITAR!I:I,A91)</f>
        <v>0</v>
      </c>
      <c r="G91" s="3">
        <f>COUNTIF('M2'!J:J,B91)</f>
        <v>0</v>
      </c>
      <c r="H91" s="3">
        <f>SUMIF(IW29EDITAR!I:I,A91,IW29EDITAR!E:E)</f>
        <v>0</v>
      </c>
      <c r="I91" s="76">
        <f>SUMIF('M2'!J:J,B91,'M2'!E:E)</f>
        <v>0</v>
      </c>
      <c r="J91" s="77">
        <f>SUMIFS(IW29EDITAR!E:E, IW29EDITAR!I:I, A91, IW29EDITAR!H:H, "LINE 8")</f>
        <v>0</v>
      </c>
      <c r="K91" s="77">
        <f>SUMIFS(IW29EDITAR!E:E, IW29EDITAR!I:I, A91, IW29EDITAR!H:H, "LINE 10")</f>
        <v>0</v>
      </c>
      <c r="L91" s="77">
        <f>SUMIFS(IW29EDITAR!E:E, IW29EDITAR!I:I, A91, IW29EDITAR!H:H, "LINE 1")</f>
        <v>0</v>
      </c>
      <c r="M91" s="77">
        <f>SUMIFS(IW29EDITAR!E:E, IW29EDITAR!I:I, A91, IW29EDITAR!H:H, "LINE 2")</f>
        <v>0</v>
      </c>
      <c r="N91" s="77">
        <f>SUMIFS(IW29EDITAR!E:E, IW29EDITAR!I:I, A91, IW29EDITAR!H:H, "LINE 3")</f>
        <v>0</v>
      </c>
      <c r="O91" s="76">
        <f>SUMIFS(IW29EDITAR!E:E, IW29EDITAR!I:I, A91, IW29EDITAR!H:H, "LINE 4") + SUMIFS(IW29EDITAR!E:E, IW29EDITAR!I:I, A91, IW29EDITAR!H:H, "LINE 5")+SUMIFS(IW29EDITAR!E:E, IW29EDITAR!I:I, A91, IW29EDITAR!H:H, "LINE 6")</f>
        <v>0</v>
      </c>
    </row>
    <row r="92" spans="1:15" ht="14.4">
      <c r="A92" s="75">
        <v>20032444</v>
      </c>
      <c r="B92" s="75" t="s">
        <v>4646</v>
      </c>
      <c r="C92" s="13" t="str">
        <f>IFERROR(VLOOKUP(B92, 'Base de datos'!A:B, 2, FALSE), "")</f>
        <v/>
      </c>
      <c r="D92" s="29" t="e">
        <f t="shared" ca="1" si="0"/>
        <v>#NAME?</v>
      </c>
      <c r="E92" s="3"/>
      <c r="F92" s="3">
        <f>COUNTIF(IW29EDITAR!I:I,A92)</f>
        <v>0</v>
      </c>
      <c r="G92" s="3">
        <f>COUNTIF('M2'!J:J,B92)</f>
        <v>0</v>
      </c>
      <c r="H92" s="3">
        <f>SUMIF(IW29EDITAR!I:I,A92,IW29EDITAR!E:E)</f>
        <v>0</v>
      </c>
      <c r="I92" s="76">
        <f>SUMIF('M2'!J:J,B92,'M2'!E:E)</f>
        <v>0</v>
      </c>
      <c r="J92" s="77">
        <f>SUMIFS(IW29EDITAR!E:E, IW29EDITAR!I:I, A92, IW29EDITAR!H:H, "LINE 8")</f>
        <v>0</v>
      </c>
      <c r="K92" s="77">
        <f>SUMIFS(IW29EDITAR!E:E, IW29EDITAR!I:I, A92, IW29EDITAR!H:H, "LINE 10")</f>
        <v>0</v>
      </c>
      <c r="L92" s="77">
        <f>SUMIFS(IW29EDITAR!E:E, IW29EDITAR!I:I, A92, IW29EDITAR!H:H, "LINE 1")</f>
        <v>0</v>
      </c>
      <c r="M92" s="77">
        <f>SUMIFS(IW29EDITAR!E:E, IW29EDITAR!I:I, A92, IW29EDITAR!H:H, "LINE 2")</f>
        <v>0</v>
      </c>
      <c r="N92" s="77">
        <f>SUMIFS(IW29EDITAR!E:E, IW29EDITAR!I:I, A92, IW29EDITAR!H:H, "LINE 3")</f>
        <v>0</v>
      </c>
      <c r="O92" s="76">
        <f>SUMIFS(IW29EDITAR!E:E, IW29EDITAR!I:I, A92, IW29EDITAR!H:H, "LINE 4") + SUMIFS(IW29EDITAR!E:E, IW29EDITAR!I:I, A92, IW29EDITAR!H:H, "LINE 5")+SUMIFS(IW29EDITAR!E:E, IW29EDITAR!I:I, A92, IW29EDITAR!H:H, "LINE 6")</f>
        <v>0</v>
      </c>
    </row>
    <row r="93" spans="1:15" ht="14.4">
      <c r="A93" s="75">
        <v>20036588</v>
      </c>
      <c r="B93" s="75" t="s">
        <v>4647</v>
      </c>
      <c r="C93" s="13" t="str">
        <f>IFERROR(VLOOKUP(B93, 'Base de datos'!A:B, 2, FALSE), "")</f>
        <v/>
      </c>
      <c r="D93" s="29" t="e">
        <f t="shared" ca="1" si="0"/>
        <v>#NAME?</v>
      </c>
      <c r="E93" s="3"/>
      <c r="F93" s="3">
        <f>COUNTIF(IW29EDITAR!I:I,A93)</f>
        <v>0</v>
      </c>
      <c r="G93" s="3">
        <f>COUNTIF('M2'!J:J,B93)</f>
        <v>0</v>
      </c>
      <c r="H93" s="3">
        <f>SUMIF(IW29EDITAR!I:I,A93,IW29EDITAR!E:E)</f>
        <v>0</v>
      </c>
      <c r="I93" s="76">
        <f>SUMIF('M2'!J:J,B93,'M2'!E:E)</f>
        <v>0</v>
      </c>
      <c r="J93" s="77">
        <f>SUMIFS(IW29EDITAR!E:E, IW29EDITAR!I:I, A93, IW29EDITAR!H:H, "LINE 8")</f>
        <v>0</v>
      </c>
      <c r="K93" s="77">
        <f>SUMIFS(IW29EDITAR!E:E, IW29EDITAR!I:I, A93, IW29EDITAR!H:H, "LINE 10")</f>
        <v>0</v>
      </c>
      <c r="L93" s="77">
        <f>SUMIFS(IW29EDITAR!E:E, IW29EDITAR!I:I, A93, IW29EDITAR!H:H, "LINE 1")</f>
        <v>0</v>
      </c>
      <c r="M93" s="77">
        <f>SUMIFS(IW29EDITAR!E:E, IW29EDITAR!I:I, A93, IW29EDITAR!H:H, "LINE 2")</f>
        <v>0</v>
      </c>
      <c r="N93" s="77">
        <f>SUMIFS(IW29EDITAR!E:E, IW29EDITAR!I:I, A93, IW29EDITAR!H:H, "LINE 3")</f>
        <v>0</v>
      </c>
      <c r="O93" s="76">
        <f>SUMIFS(IW29EDITAR!E:E, IW29EDITAR!I:I, A93, IW29EDITAR!H:H, "LINE 4") + SUMIFS(IW29EDITAR!E:E, IW29EDITAR!I:I, A93, IW29EDITAR!H:H, "LINE 5")+SUMIFS(IW29EDITAR!E:E, IW29EDITAR!I:I, A93, IW29EDITAR!H:H, "LINE 6")</f>
        <v>0</v>
      </c>
    </row>
    <row r="94" spans="1:15" ht="14.4">
      <c r="A94" s="75">
        <v>20036589</v>
      </c>
      <c r="B94" s="75" t="s">
        <v>4648</v>
      </c>
      <c r="C94" s="13" t="str">
        <f>IFERROR(VLOOKUP(B94, 'Base de datos'!A:B, 2, FALSE), "")</f>
        <v/>
      </c>
      <c r="D94" s="29" t="e">
        <f t="shared" ca="1" si="0"/>
        <v>#NAME?</v>
      </c>
      <c r="E94" s="3"/>
      <c r="F94" s="3">
        <f>COUNTIF(IW29EDITAR!I:I,A94)</f>
        <v>0</v>
      </c>
      <c r="G94" s="3">
        <f>COUNTIF('M2'!J:J,B94)</f>
        <v>0</v>
      </c>
      <c r="H94" s="3">
        <f>SUMIF(IW29EDITAR!I:I,A94,IW29EDITAR!E:E)</f>
        <v>0</v>
      </c>
      <c r="I94" s="76">
        <f>SUMIF('M2'!J:J,B94,'M2'!E:E)</f>
        <v>0</v>
      </c>
      <c r="J94" s="77">
        <f>SUMIFS(IW29EDITAR!E:E, IW29EDITAR!I:I, A94, IW29EDITAR!H:H, "LINE 8")</f>
        <v>0</v>
      </c>
      <c r="K94" s="77">
        <f>SUMIFS(IW29EDITAR!E:E, IW29EDITAR!I:I, A94, IW29EDITAR!H:H, "LINE 10")</f>
        <v>0</v>
      </c>
      <c r="L94" s="77">
        <f>SUMIFS(IW29EDITAR!E:E, IW29EDITAR!I:I, A94, IW29EDITAR!H:H, "LINE 1")</f>
        <v>0</v>
      </c>
      <c r="M94" s="77">
        <f>SUMIFS(IW29EDITAR!E:E, IW29EDITAR!I:I, A94, IW29EDITAR!H:H, "LINE 2")</f>
        <v>0</v>
      </c>
      <c r="N94" s="77">
        <f>SUMIFS(IW29EDITAR!E:E, IW29EDITAR!I:I, A94, IW29EDITAR!H:H, "LINE 3")</f>
        <v>0</v>
      </c>
      <c r="O94" s="76">
        <f>SUMIFS(IW29EDITAR!E:E, IW29EDITAR!I:I, A94, IW29EDITAR!H:H, "LINE 4") + SUMIFS(IW29EDITAR!E:E, IW29EDITAR!I:I, A94, IW29EDITAR!H:H, "LINE 5")+SUMIFS(IW29EDITAR!E:E, IW29EDITAR!I:I, A94, IW29EDITAR!H:H, "LINE 6")</f>
        <v>0</v>
      </c>
    </row>
    <row r="95" spans="1:15" ht="14.4">
      <c r="A95" s="75">
        <v>20041303</v>
      </c>
      <c r="B95" s="75" t="s">
        <v>4649</v>
      </c>
      <c r="C95" s="13" t="str">
        <f>IFERROR(VLOOKUP(B95, 'Base de datos'!A:B, 2, FALSE), "")</f>
        <v/>
      </c>
      <c r="D95" s="29" t="e">
        <f t="shared" ca="1" si="0"/>
        <v>#NAME?</v>
      </c>
      <c r="E95" s="3"/>
      <c r="F95" s="3">
        <f>COUNTIF(IW29EDITAR!I:I,A95)</f>
        <v>0</v>
      </c>
      <c r="G95" s="3">
        <f>COUNTIF('M2'!J:J,B95)</f>
        <v>0</v>
      </c>
      <c r="H95" s="3">
        <f>SUMIF(IW29EDITAR!I:I,A95,IW29EDITAR!E:E)</f>
        <v>0</v>
      </c>
      <c r="I95" s="76">
        <f>SUMIF('M2'!J:J,B95,'M2'!E:E)</f>
        <v>0</v>
      </c>
      <c r="J95" s="77">
        <f>SUMIFS(IW29EDITAR!E:E, IW29EDITAR!I:I, A95, IW29EDITAR!H:H, "LINE 8")</f>
        <v>0</v>
      </c>
      <c r="K95" s="77">
        <f>SUMIFS(IW29EDITAR!E:E, IW29EDITAR!I:I, A95, IW29EDITAR!H:H, "LINE 10")</f>
        <v>0</v>
      </c>
      <c r="L95" s="77">
        <f>SUMIFS(IW29EDITAR!E:E, IW29EDITAR!I:I, A95, IW29EDITAR!H:H, "LINE 1")</f>
        <v>0</v>
      </c>
      <c r="M95" s="77">
        <f>SUMIFS(IW29EDITAR!E:E, IW29EDITAR!I:I, A95, IW29EDITAR!H:H, "LINE 2")</f>
        <v>0</v>
      </c>
      <c r="N95" s="77">
        <f>SUMIFS(IW29EDITAR!E:E, IW29EDITAR!I:I, A95, IW29EDITAR!H:H, "LINE 3")</f>
        <v>0</v>
      </c>
      <c r="O95" s="76">
        <f>SUMIFS(IW29EDITAR!E:E, IW29EDITAR!I:I, A95, IW29EDITAR!H:H, "LINE 4") + SUMIFS(IW29EDITAR!E:E, IW29EDITAR!I:I, A95, IW29EDITAR!H:H, "LINE 5")+SUMIFS(IW29EDITAR!E:E, IW29EDITAR!I:I, A95, IW29EDITAR!H:H, "LINE 6")</f>
        <v>0</v>
      </c>
    </row>
    <row r="96" spans="1:15" ht="14.4">
      <c r="A96" s="75">
        <v>20041799</v>
      </c>
      <c r="B96" s="75" t="s">
        <v>4650</v>
      </c>
      <c r="C96" s="13" t="str">
        <f>IFERROR(VLOOKUP(B96, 'Base de datos'!A:B, 2, FALSE), "")</f>
        <v/>
      </c>
      <c r="D96" s="29" t="e">
        <f t="shared" ca="1" si="0"/>
        <v>#NAME?</v>
      </c>
      <c r="E96" s="3"/>
      <c r="F96" s="3">
        <f>COUNTIF(IW29EDITAR!I:I,A96)</f>
        <v>0</v>
      </c>
      <c r="G96" s="3">
        <f>COUNTIF('M2'!J:J,B96)</f>
        <v>0</v>
      </c>
      <c r="H96" s="3">
        <f>SUMIF(IW29EDITAR!I:I,A96,IW29EDITAR!E:E)</f>
        <v>0</v>
      </c>
      <c r="I96" s="76">
        <f>SUMIF('M2'!J:J,B96,'M2'!E:E)</f>
        <v>0</v>
      </c>
      <c r="J96" s="77">
        <f>SUMIFS(IW29EDITAR!E:E, IW29EDITAR!I:I, A96, IW29EDITAR!H:H, "LINE 8")</f>
        <v>0</v>
      </c>
      <c r="K96" s="77">
        <f>SUMIFS(IW29EDITAR!E:E, IW29EDITAR!I:I, A96, IW29EDITAR!H:H, "LINE 10")</f>
        <v>0</v>
      </c>
      <c r="L96" s="77">
        <f>SUMIFS(IW29EDITAR!E:E, IW29EDITAR!I:I, A96, IW29EDITAR!H:H, "LINE 1")</f>
        <v>0</v>
      </c>
      <c r="M96" s="77">
        <f>SUMIFS(IW29EDITAR!E:E, IW29EDITAR!I:I, A96, IW29EDITAR!H:H, "LINE 2")</f>
        <v>0</v>
      </c>
      <c r="N96" s="77">
        <f>SUMIFS(IW29EDITAR!E:E, IW29EDITAR!I:I, A96, IW29EDITAR!H:H, "LINE 3")</f>
        <v>0</v>
      </c>
      <c r="O96" s="76">
        <f>SUMIFS(IW29EDITAR!E:E, IW29EDITAR!I:I, A96, IW29EDITAR!H:H, "LINE 4") + SUMIFS(IW29EDITAR!E:E, IW29EDITAR!I:I, A96, IW29EDITAR!H:H, "LINE 5")+SUMIFS(IW29EDITAR!E:E, IW29EDITAR!I:I, A96, IW29EDITAR!H:H, "LINE 6")</f>
        <v>0</v>
      </c>
    </row>
    <row r="97" spans="1:15" ht="14.4">
      <c r="A97" s="75">
        <v>20042048</v>
      </c>
      <c r="B97" s="75" t="s">
        <v>4651</v>
      </c>
      <c r="C97" s="13" t="str">
        <f>IFERROR(VLOOKUP(B97, 'Base de datos'!A:B, 2, FALSE), "")</f>
        <v/>
      </c>
      <c r="D97" s="29" t="e">
        <f t="shared" ca="1" si="0"/>
        <v>#NAME?</v>
      </c>
      <c r="E97" s="3"/>
      <c r="F97" s="3">
        <f>COUNTIF(IW29EDITAR!I:I,A97)</f>
        <v>0</v>
      </c>
      <c r="G97" s="3">
        <f>COUNTIF('M2'!J:J,B97)</f>
        <v>0</v>
      </c>
      <c r="H97" s="3">
        <f>SUMIF(IW29EDITAR!I:I,A97,IW29EDITAR!E:E)</f>
        <v>0</v>
      </c>
      <c r="I97" s="76">
        <f>SUMIF('M2'!J:J,B97,'M2'!E:E)</f>
        <v>0</v>
      </c>
      <c r="J97" s="77">
        <f>SUMIFS(IW29EDITAR!E:E, IW29EDITAR!I:I, A97, IW29EDITAR!H:H, "LINE 8")</f>
        <v>0</v>
      </c>
      <c r="K97" s="77">
        <f>SUMIFS(IW29EDITAR!E:E, IW29EDITAR!I:I, A97, IW29EDITAR!H:H, "LINE 10")</f>
        <v>0</v>
      </c>
      <c r="L97" s="77">
        <f>SUMIFS(IW29EDITAR!E:E, IW29EDITAR!I:I, A97, IW29EDITAR!H:H, "LINE 1")</f>
        <v>0</v>
      </c>
      <c r="M97" s="77">
        <f>SUMIFS(IW29EDITAR!E:E, IW29EDITAR!I:I, A97, IW29EDITAR!H:H, "LINE 2")</f>
        <v>0</v>
      </c>
      <c r="N97" s="77">
        <f>SUMIFS(IW29EDITAR!E:E, IW29EDITAR!I:I, A97, IW29EDITAR!H:H, "LINE 3")</f>
        <v>0</v>
      </c>
      <c r="O97" s="76">
        <f>SUMIFS(IW29EDITAR!E:E, IW29EDITAR!I:I, A97, IW29EDITAR!H:H, "LINE 4") + SUMIFS(IW29EDITAR!E:E, IW29EDITAR!I:I, A97, IW29EDITAR!H:H, "LINE 5")+SUMIFS(IW29EDITAR!E:E, IW29EDITAR!I:I, A97, IW29EDITAR!H:H, "LINE 6")</f>
        <v>0</v>
      </c>
    </row>
    <row r="98" spans="1:15" ht="14.4">
      <c r="A98" s="75">
        <v>20042493</v>
      </c>
      <c r="B98" s="75" t="s">
        <v>4652</v>
      </c>
      <c r="C98" s="13" t="str">
        <f>IFERROR(VLOOKUP(B98, 'Base de datos'!A:B, 2, FALSE), "")</f>
        <v/>
      </c>
      <c r="D98" s="29" t="e">
        <f t="shared" ca="1" si="0"/>
        <v>#NAME?</v>
      </c>
      <c r="E98" s="3"/>
      <c r="F98" s="3">
        <f>COUNTIF(IW29EDITAR!I:I,A98)</f>
        <v>0</v>
      </c>
      <c r="G98" s="3">
        <f>COUNTIF('M2'!J:J,B98)</f>
        <v>0</v>
      </c>
      <c r="H98" s="3">
        <f>SUMIF(IW29EDITAR!I:I,A98,IW29EDITAR!E:E)</f>
        <v>0</v>
      </c>
      <c r="I98" s="76">
        <f>SUMIF('M2'!J:J,B98,'M2'!E:E)</f>
        <v>0</v>
      </c>
      <c r="J98" s="77">
        <f>SUMIFS(IW29EDITAR!E:E, IW29EDITAR!I:I, A98, IW29EDITAR!H:H, "LINE 8")</f>
        <v>0</v>
      </c>
      <c r="K98" s="77">
        <f>SUMIFS(IW29EDITAR!E:E, IW29EDITAR!I:I, A98, IW29EDITAR!H:H, "LINE 10")</f>
        <v>0</v>
      </c>
      <c r="L98" s="77">
        <f>SUMIFS(IW29EDITAR!E:E, IW29EDITAR!I:I, A98, IW29EDITAR!H:H, "LINE 1")</f>
        <v>0</v>
      </c>
      <c r="M98" s="77">
        <f>SUMIFS(IW29EDITAR!E:E, IW29EDITAR!I:I, A98, IW29EDITAR!H:H, "LINE 2")</f>
        <v>0</v>
      </c>
      <c r="N98" s="77">
        <f>SUMIFS(IW29EDITAR!E:E, IW29EDITAR!I:I, A98, IW29EDITAR!H:H, "LINE 3")</f>
        <v>0</v>
      </c>
      <c r="O98" s="76">
        <f>SUMIFS(IW29EDITAR!E:E, IW29EDITAR!I:I, A98, IW29EDITAR!H:H, "LINE 4") + SUMIFS(IW29EDITAR!E:E, IW29EDITAR!I:I, A98, IW29EDITAR!H:H, "LINE 5")+SUMIFS(IW29EDITAR!E:E, IW29EDITAR!I:I, A98, IW29EDITAR!H:H, "LINE 6")</f>
        <v>0</v>
      </c>
    </row>
    <row r="99" spans="1:15" ht="14.4">
      <c r="A99" s="75">
        <v>20043794</v>
      </c>
      <c r="B99" s="75" t="s">
        <v>4653</v>
      </c>
      <c r="C99" s="13" t="str">
        <f>IFERROR(VLOOKUP(B99, 'Base de datos'!A:B, 2, FALSE), "")</f>
        <v/>
      </c>
      <c r="D99" s="29" t="e">
        <f t="shared" ca="1" si="0"/>
        <v>#NAME?</v>
      </c>
      <c r="E99" s="3"/>
      <c r="F99" s="3">
        <f>COUNTIF(IW29EDITAR!I:I,A99)</f>
        <v>0</v>
      </c>
      <c r="G99" s="3">
        <f>COUNTIF('M2'!J:J,B99)</f>
        <v>0</v>
      </c>
      <c r="H99" s="3">
        <f>SUMIF(IW29EDITAR!I:I,A99,IW29EDITAR!E:E)</f>
        <v>0</v>
      </c>
      <c r="I99" s="76">
        <f>SUMIF('M2'!J:J,B99,'M2'!E:E)</f>
        <v>0</v>
      </c>
      <c r="J99" s="77">
        <f>SUMIFS(IW29EDITAR!E:E, IW29EDITAR!I:I, A99, IW29EDITAR!H:H, "LINE 8")</f>
        <v>0</v>
      </c>
      <c r="K99" s="77">
        <f>SUMIFS(IW29EDITAR!E:E, IW29EDITAR!I:I, A99, IW29EDITAR!H:H, "LINE 10")</f>
        <v>0</v>
      </c>
      <c r="L99" s="77">
        <f>SUMIFS(IW29EDITAR!E:E, IW29EDITAR!I:I, A99, IW29EDITAR!H:H, "LINE 1")</f>
        <v>0</v>
      </c>
      <c r="M99" s="77">
        <f>SUMIFS(IW29EDITAR!E:E, IW29EDITAR!I:I, A99, IW29EDITAR!H:H, "LINE 2")</f>
        <v>0</v>
      </c>
      <c r="N99" s="77">
        <f>SUMIFS(IW29EDITAR!E:E, IW29EDITAR!I:I, A99, IW29EDITAR!H:H, "LINE 3")</f>
        <v>0</v>
      </c>
      <c r="O99" s="76">
        <f>SUMIFS(IW29EDITAR!E:E, IW29EDITAR!I:I, A99, IW29EDITAR!H:H, "LINE 4") + SUMIFS(IW29EDITAR!E:E, IW29EDITAR!I:I, A99, IW29EDITAR!H:H, "LINE 5")+SUMIFS(IW29EDITAR!E:E, IW29EDITAR!I:I, A99, IW29EDITAR!H:H, "LINE 6")</f>
        <v>0</v>
      </c>
    </row>
    <row r="100" spans="1:15" ht="14.4">
      <c r="A100" s="75">
        <v>20045557</v>
      </c>
      <c r="B100" s="75" t="s">
        <v>4654</v>
      </c>
      <c r="C100" s="13" t="str">
        <f>IFERROR(VLOOKUP(B100, 'Base de datos'!A:B, 2, FALSE), "")</f>
        <v/>
      </c>
      <c r="D100" s="29" t="e">
        <f t="shared" ca="1" si="0"/>
        <v>#NAME?</v>
      </c>
      <c r="E100" s="3"/>
      <c r="F100" s="3">
        <f>COUNTIF(IW29EDITAR!I:I,A100)</f>
        <v>0</v>
      </c>
      <c r="G100" s="3">
        <f>COUNTIF('M2'!J:J,B100)</f>
        <v>0</v>
      </c>
      <c r="H100" s="3">
        <f>SUMIF(IW29EDITAR!I:I,A100,IW29EDITAR!E:E)</f>
        <v>0</v>
      </c>
      <c r="I100" s="76">
        <f>SUMIF('M2'!J:J,B100,'M2'!E:E)</f>
        <v>0</v>
      </c>
      <c r="J100" s="77">
        <f>SUMIFS(IW29EDITAR!E:E, IW29EDITAR!I:I, A100, IW29EDITAR!H:H, "LINE 8")</f>
        <v>0</v>
      </c>
      <c r="K100" s="77">
        <f>SUMIFS(IW29EDITAR!E:E, IW29EDITAR!I:I, A100, IW29EDITAR!H:H, "LINE 10")</f>
        <v>0</v>
      </c>
      <c r="L100" s="77">
        <f>SUMIFS(IW29EDITAR!E:E, IW29EDITAR!I:I, A100, IW29EDITAR!H:H, "LINE 1")</f>
        <v>0</v>
      </c>
      <c r="M100" s="77">
        <f>SUMIFS(IW29EDITAR!E:E, IW29EDITAR!I:I, A100, IW29EDITAR!H:H, "LINE 2")</f>
        <v>0</v>
      </c>
      <c r="N100" s="77">
        <f>SUMIFS(IW29EDITAR!E:E, IW29EDITAR!I:I, A100, IW29EDITAR!H:H, "LINE 3")</f>
        <v>0</v>
      </c>
      <c r="O100" s="76">
        <f>SUMIFS(IW29EDITAR!E:E, IW29EDITAR!I:I, A100, IW29EDITAR!H:H, "LINE 4") + SUMIFS(IW29EDITAR!E:E, IW29EDITAR!I:I, A100, IW29EDITAR!H:H, "LINE 5")+SUMIFS(IW29EDITAR!E:E, IW29EDITAR!I:I, A100, IW29EDITAR!H:H, "LINE 6")</f>
        <v>0</v>
      </c>
    </row>
    <row r="101" spans="1:15" ht="14.4">
      <c r="A101" s="75">
        <v>20047130</v>
      </c>
      <c r="B101" s="75" t="s">
        <v>4655</v>
      </c>
      <c r="C101" s="13" t="str">
        <f>IFERROR(VLOOKUP(B101, 'Base de datos'!A:B, 2, FALSE), "")</f>
        <v/>
      </c>
      <c r="D101" s="29" t="e">
        <f t="shared" ca="1" si="0"/>
        <v>#NAME?</v>
      </c>
      <c r="E101" s="3"/>
      <c r="F101" s="3">
        <f>COUNTIF(IW29EDITAR!I:I,A101)</f>
        <v>0</v>
      </c>
      <c r="G101" s="3">
        <f>COUNTIF('M2'!J:J,B101)</f>
        <v>0</v>
      </c>
      <c r="H101" s="3">
        <f>SUMIF(IW29EDITAR!I:I,A101,IW29EDITAR!E:E)</f>
        <v>0</v>
      </c>
      <c r="I101" s="76">
        <f>SUMIF('M2'!J:J,B101,'M2'!E:E)</f>
        <v>0</v>
      </c>
      <c r="J101" s="77">
        <f>SUMIFS(IW29EDITAR!E:E, IW29EDITAR!I:I, A101, IW29EDITAR!H:H, "LINE 8")</f>
        <v>0</v>
      </c>
      <c r="K101" s="77">
        <f>SUMIFS(IW29EDITAR!E:E, IW29EDITAR!I:I, A101, IW29EDITAR!H:H, "LINE 10")</f>
        <v>0</v>
      </c>
      <c r="L101" s="77">
        <f>SUMIFS(IW29EDITAR!E:E, IW29EDITAR!I:I, A101, IW29EDITAR!H:H, "LINE 1")</f>
        <v>0</v>
      </c>
      <c r="M101" s="77">
        <f>SUMIFS(IW29EDITAR!E:E, IW29EDITAR!I:I, A101, IW29EDITAR!H:H, "LINE 2")</f>
        <v>0</v>
      </c>
      <c r="N101" s="77">
        <f>SUMIFS(IW29EDITAR!E:E, IW29EDITAR!I:I, A101, IW29EDITAR!H:H, "LINE 3")</f>
        <v>0</v>
      </c>
      <c r="O101" s="76">
        <f>SUMIFS(IW29EDITAR!E:E, IW29EDITAR!I:I, A101, IW29EDITAR!H:H, "LINE 4") + SUMIFS(IW29EDITAR!E:E, IW29EDITAR!I:I, A101, IW29EDITAR!H:H, "LINE 5")+SUMIFS(IW29EDITAR!E:E, IW29EDITAR!I:I, A101, IW29EDITAR!H:H, "LINE 6")</f>
        <v>0</v>
      </c>
    </row>
    <row r="102" spans="1:15" ht="14.4">
      <c r="A102" s="75">
        <v>20047435</v>
      </c>
      <c r="B102" s="75" t="s">
        <v>4656</v>
      </c>
      <c r="C102" s="13" t="str">
        <f>IFERROR(VLOOKUP(B102, 'Base de datos'!A:B, 2, FALSE), "")</f>
        <v/>
      </c>
      <c r="D102" s="29" t="e">
        <f t="shared" ca="1" si="0"/>
        <v>#NAME?</v>
      </c>
      <c r="E102" s="3"/>
      <c r="F102" s="3">
        <f>COUNTIF(IW29EDITAR!I:I,A102)</f>
        <v>0</v>
      </c>
      <c r="G102" s="3">
        <f>COUNTIF('M2'!J:J,B102)</f>
        <v>0</v>
      </c>
      <c r="H102" s="3">
        <f>SUMIF(IW29EDITAR!I:I,A102,IW29EDITAR!E:E)</f>
        <v>0</v>
      </c>
      <c r="I102" s="76">
        <f>SUMIF('M2'!J:J,B102,'M2'!E:E)</f>
        <v>0</v>
      </c>
      <c r="J102" s="77">
        <f>SUMIFS(IW29EDITAR!E:E, IW29EDITAR!I:I, A102, IW29EDITAR!H:H, "LINE 8")</f>
        <v>0</v>
      </c>
      <c r="K102" s="77">
        <f>SUMIFS(IW29EDITAR!E:E, IW29EDITAR!I:I, A102, IW29EDITAR!H:H, "LINE 10")</f>
        <v>0</v>
      </c>
      <c r="L102" s="77">
        <f>SUMIFS(IW29EDITAR!E:E, IW29EDITAR!I:I, A102, IW29EDITAR!H:H, "LINE 1")</f>
        <v>0</v>
      </c>
      <c r="M102" s="77">
        <f>SUMIFS(IW29EDITAR!E:E, IW29EDITAR!I:I, A102, IW29EDITAR!H:H, "LINE 2")</f>
        <v>0</v>
      </c>
      <c r="N102" s="77">
        <f>SUMIFS(IW29EDITAR!E:E, IW29EDITAR!I:I, A102, IW29EDITAR!H:H, "LINE 3")</f>
        <v>0</v>
      </c>
      <c r="O102" s="76">
        <f>SUMIFS(IW29EDITAR!E:E, IW29EDITAR!I:I, A102, IW29EDITAR!H:H, "LINE 4") + SUMIFS(IW29EDITAR!E:E, IW29EDITAR!I:I, A102, IW29EDITAR!H:H, "LINE 5")+SUMIFS(IW29EDITAR!E:E, IW29EDITAR!I:I, A102, IW29EDITAR!H:H, "LINE 6")</f>
        <v>0</v>
      </c>
    </row>
    <row r="103" spans="1:15" ht="14.4">
      <c r="A103" s="75">
        <v>20048388</v>
      </c>
      <c r="B103" s="75" t="s">
        <v>4657</v>
      </c>
      <c r="C103" s="13" t="str">
        <f>IFERROR(VLOOKUP(B103, 'Base de datos'!A:B, 2, FALSE), "")</f>
        <v/>
      </c>
      <c r="D103" s="29" t="e">
        <f t="shared" ca="1" si="0"/>
        <v>#NAME?</v>
      </c>
      <c r="E103" s="3"/>
      <c r="F103" s="3">
        <f>COUNTIF(IW29EDITAR!I:I,A103)</f>
        <v>0</v>
      </c>
      <c r="G103" s="3">
        <f>COUNTIF('M2'!J:J,B103)</f>
        <v>0</v>
      </c>
      <c r="H103" s="3">
        <f>SUMIF(IW29EDITAR!I:I,A103,IW29EDITAR!E:E)</f>
        <v>0</v>
      </c>
      <c r="I103" s="76">
        <f>SUMIF('M2'!J:J,B103,'M2'!E:E)</f>
        <v>0</v>
      </c>
      <c r="J103" s="77">
        <f>SUMIFS(IW29EDITAR!E:E, IW29EDITAR!I:I, A103, IW29EDITAR!H:H, "LINE 8")</f>
        <v>0</v>
      </c>
      <c r="K103" s="77">
        <f>SUMIFS(IW29EDITAR!E:E, IW29EDITAR!I:I, A103, IW29EDITAR!H:H, "LINE 10")</f>
        <v>0</v>
      </c>
      <c r="L103" s="77">
        <f>SUMIFS(IW29EDITAR!E:E, IW29EDITAR!I:I, A103, IW29EDITAR!H:H, "LINE 1")</f>
        <v>0</v>
      </c>
      <c r="M103" s="77">
        <f>SUMIFS(IW29EDITAR!E:E, IW29EDITAR!I:I, A103, IW29EDITAR!H:H, "LINE 2")</f>
        <v>0</v>
      </c>
      <c r="N103" s="77">
        <f>SUMIFS(IW29EDITAR!E:E, IW29EDITAR!I:I, A103, IW29EDITAR!H:H, "LINE 3")</f>
        <v>0</v>
      </c>
      <c r="O103" s="76">
        <f>SUMIFS(IW29EDITAR!E:E, IW29EDITAR!I:I, A103, IW29EDITAR!H:H, "LINE 4") + SUMIFS(IW29EDITAR!E:E, IW29EDITAR!I:I, A103, IW29EDITAR!H:H, "LINE 5")+SUMIFS(IW29EDITAR!E:E, IW29EDITAR!I:I, A103, IW29EDITAR!H:H, "LINE 6")</f>
        <v>0</v>
      </c>
    </row>
    <row r="104" spans="1:15" ht="14.4">
      <c r="A104" s="75">
        <v>20050250</v>
      </c>
      <c r="B104" s="75" t="s">
        <v>4658</v>
      </c>
      <c r="C104" s="13" t="str">
        <f>IFERROR(VLOOKUP(B104, 'Base de datos'!A:B, 2, FALSE), "")</f>
        <v/>
      </c>
      <c r="D104" s="29" t="e">
        <f t="shared" ca="1" si="0"/>
        <v>#NAME?</v>
      </c>
      <c r="E104" s="3"/>
      <c r="F104" s="3">
        <f>COUNTIF(IW29EDITAR!I:I,A104)</f>
        <v>0</v>
      </c>
      <c r="G104" s="3">
        <f>COUNTIF('M2'!J:J,B104)</f>
        <v>0</v>
      </c>
      <c r="H104" s="3">
        <f>SUMIF(IW29EDITAR!I:I,A104,IW29EDITAR!E:E)</f>
        <v>0</v>
      </c>
      <c r="I104" s="76">
        <f>SUMIF('M2'!J:J,B104,'M2'!E:E)</f>
        <v>0</v>
      </c>
      <c r="J104" s="77">
        <f>SUMIFS(IW29EDITAR!E:E, IW29EDITAR!I:I, A104, IW29EDITAR!H:H, "LINE 8")</f>
        <v>0</v>
      </c>
      <c r="K104" s="77">
        <f>SUMIFS(IW29EDITAR!E:E, IW29EDITAR!I:I, A104, IW29EDITAR!H:H, "LINE 10")</f>
        <v>0</v>
      </c>
      <c r="L104" s="77">
        <f>SUMIFS(IW29EDITAR!E:E, IW29EDITAR!I:I, A104, IW29EDITAR!H:H, "LINE 1")</f>
        <v>0</v>
      </c>
      <c r="M104" s="77">
        <f>SUMIFS(IW29EDITAR!E:E, IW29EDITAR!I:I, A104, IW29EDITAR!H:H, "LINE 2")</f>
        <v>0</v>
      </c>
      <c r="N104" s="77">
        <f>SUMIFS(IW29EDITAR!E:E, IW29EDITAR!I:I, A104, IW29EDITAR!H:H, "LINE 3")</f>
        <v>0</v>
      </c>
      <c r="O104" s="76">
        <f>SUMIFS(IW29EDITAR!E:E, IW29EDITAR!I:I, A104, IW29EDITAR!H:H, "LINE 4") + SUMIFS(IW29EDITAR!E:E, IW29EDITAR!I:I, A104, IW29EDITAR!H:H, "LINE 5")+SUMIFS(IW29EDITAR!E:E, IW29EDITAR!I:I, A104, IW29EDITAR!H:H, "LINE 6")</f>
        <v>0</v>
      </c>
    </row>
    <row r="105" spans="1:15" ht="14.4">
      <c r="A105" s="75">
        <v>20052374</v>
      </c>
      <c r="B105" s="75" t="s">
        <v>4659</v>
      </c>
      <c r="C105" s="13" t="str">
        <f>IFERROR(VLOOKUP(B105, 'Base de datos'!A:B, 2, FALSE), "")</f>
        <v/>
      </c>
      <c r="D105" s="29" t="e">
        <f t="shared" ca="1" si="0"/>
        <v>#NAME?</v>
      </c>
      <c r="E105" s="3"/>
      <c r="F105" s="3">
        <f>COUNTIF(IW29EDITAR!I:I,A105)</f>
        <v>0</v>
      </c>
      <c r="G105" s="3">
        <f>COUNTIF('M2'!J:J,B105)</f>
        <v>0</v>
      </c>
      <c r="H105" s="3">
        <f>SUMIF(IW29EDITAR!I:I,A105,IW29EDITAR!E:E)</f>
        <v>0</v>
      </c>
      <c r="I105" s="76">
        <f>SUMIF('M2'!J:J,B105,'M2'!E:E)</f>
        <v>0</v>
      </c>
      <c r="J105" s="77">
        <f>SUMIFS(IW29EDITAR!E:E, IW29EDITAR!I:I, A105, IW29EDITAR!H:H, "LINE 8")</f>
        <v>0</v>
      </c>
      <c r="K105" s="77">
        <f>SUMIFS(IW29EDITAR!E:E, IW29EDITAR!I:I, A105, IW29EDITAR!H:H, "LINE 10")</f>
        <v>0</v>
      </c>
      <c r="L105" s="77">
        <f>SUMIFS(IW29EDITAR!E:E, IW29EDITAR!I:I, A105, IW29EDITAR!H:H, "LINE 1")</f>
        <v>0</v>
      </c>
      <c r="M105" s="77">
        <f>SUMIFS(IW29EDITAR!E:E, IW29EDITAR!I:I, A105, IW29EDITAR!H:H, "LINE 2")</f>
        <v>0</v>
      </c>
      <c r="N105" s="77">
        <f>SUMIFS(IW29EDITAR!E:E, IW29EDITAR!I:I, A105, IW29EDITAR!H:H, "LINE 3")</f>
        <v>0</v>
      </c>
      <c r="O105" s="76">
        <f>SUMIFS(IW29EDITAR!E:E, IW29EDITAR!I:I, A105, IW29EDITAR!H:H, "LINE 4") + SUMIFS(IW29EDITAR!E:E, IW29EDITAR!I:I, A105, IW29EDITAR!H:H, "LINE 5")+SUMIFS(IW29EDITAR!E:E, IW29EDITAR!I:I, A105, IW29EDITAR!H:H, "LINE 6")</f>
        <v>0</v>
      </c>
    </row>
    <row r="106" spans="1:15" ht="14.4">
      <c r="A106" s="75">
        <v>20052581</v>
      </c>
      <c r="B106" s="75" t="s">
        <v>4660</v>
      </c>
      <c r="C106" s="13" t="str">
        <f>IFERROR(VLOOKUP(B106, 'Base de datos'!A:B, 2, FALSE), "")</f>
        <v/>
      </c>
      <c r="D106" s="29" t="e">
        <f t="shared" ca="1" si="0"/>
        <v>#NAME?</v>
      </c>
      <c r="E106" s="3"/>
      <c r="F106" s="3">
        <f>COUNTIF(IW29EDITAR!I:I,A106)</f>
        <v>0</v>
      </c>
      <c r="G106" s="3">
        <f>COUNTIF('M2'!J:J,B106)</f>
        <v>0</v>
      </c>
      <c r="H106" s="3">
        <f>SUMIF(IW29EDITAR!I:I,A106,IW29EDITAR!E:E)</f>
        <v>0</v>
      </c>
      <c r="I106" s="76">
        <f>SUMIF('M2'!J:J,B106,'M2'!E:E)</f>
        <v>0</v>
      </c>
      <c r="J106" s="77">
        <f>SUMIFS(IW29EDITAR!E:E, IW29EDITAR!I:I, A106, IW29EDITAR!H:H, "LINE 8")</f>
        <v>0</v>
      </c>
      <c r="K106" s="77">
        <f>SUMIFS(IW29EDITAR!E:E, IW29EDITAR!I:I, A106, IW29EDITAR!H:H, "LINE 10")</f>
        <v>0</v>
      </c>
      <c r="L106" s="77">
        <f>SUMIFS(IW29EDITAR!E:E, IW29EDITAR!I:I, A106, IW29EDITAR!H:H, "LINE 1")</f>
        <v>0</v>
      </c>
      <c r="M106" s="77">
        <f>SUMIFS(IW29EDITAR!E:E, IW29EDITAR!I:I, A106, IW29EDITAR!H:H, "LINE 2")</f>
        <v>0</v>
      </c>
      <c r="N106" s="77">
        <f>SUMIFS(IW29EDITAR!E:E, IW29EDITAR!I:I, A106, IW29EDITAR!H:H, "LINE 3")</f>
        <v>0</v>
      </c>
      <c r="O106" s="76">
        <f>SUMIFS(IW29EDITAR!E:E, IW29EDITAR!I:I, A106, IW29EDITAR!H:H, "LINE 4") + SUMIFS(IW29EDITAR!E:E, IW29EDITAR!I:I, A106, IW29EDITAR!H:H, "LINE 5")+SUMIFS(IW29EDITAR!E:E, IW29EDITAR!I:I, A106, IW29EDITAR!H:H, "LINE 6")</f>
        <v>0</v>
      </c>
    </row>
    <row r="107" spans="1:15" ht="14.4">
      <c r="A107" s="75">
        <v>20052736</v>
      </c>
      <c r="B107" s="75" t="s">
        <v>4661</v>
      </c>
      <c r="C107" s="13" t="str">
        <f>IFERROR(VLOOKUP(B107, 'Base de datos'!A:B, 2, FALSE), "")</f>
        <v/>
      </c>
      <c r="D107" s="29" t="e">
        <f t="shared" ca="1" si="0"/>
        <v>#NAME?</v>
      </c>
      <c r="E107" s="3"/>
      <c r="F107" s="3">
        <f>COUNTIF(IW29EDITAR!I:I,A107)</f>
        <v>0</v>
      </c>
      <c r="G107" s="3">
        <f>COUNTIF('M2'!J:J,B107)</f>
        <v>0</v>
      </c>
      <c r="H107" s="3">
        <f>SUMIF(IW29EDITAR!I:I,A107,IW29EDITAR!E:E)</f>
        <v>0</v>
      </c>
      <c r="I107" s="76">
        <f>SUMIF('M2'!J:J,B107,'M2'!E:E)</f>
        <v>0</v>
      </c>
      <c r="J107" s="77">
        <f>SUMIFS(IW29EDITAR!E:E, IW29EDITAR!I:I, A107, IW29EDITAR!H:H, "LINE 8")</f>
        <v>0</v>
      </c>
      <c r="K107" s="77">
        <f>SUMIFS(IW29EDITAR!E:E, IW29EDITAR!I:I, A107, IW29EDITAR!H:H, "LINE 10")</f>
        <v>0</v>
      </c>
      <c r="L107" s="77">
        <f>SUMIFS(IW29EDITAR!E:E, IW29EDITAR!I:I, A107, IW29EDITAR!H:H, "LINE 1")</f>
        <v>0</v>
      </c>
      <c r="M107" s="77">
        <f>SUMIFS(IW29EDITAR!E:E, IW29EDITAR!I:I, A107, IW29EDITAR!H:H, "LINE 2")</f>
        <v>0</v>
      </c>
      <c r="N107" s="77">
        <f>SUMIFS(IW29EDITAR!E:E, IW29EDITAR!I:I, A107, IW29EDITAR!H:H, "LINE 3")</f>
        <v>0</v>
      </c>
      <c r="O107" s="76">
        <f>SUMIFS(IW29EDITAR!E:E, IW29EDITAR!I:I, A107, IW29EDITAR!H:H, "LINE 4") + SUMIFS(IW29EDITAR!E:E, IW29EDITAR!I:I, A107, IW29EDITAR!H:H, "LINE 5")+SUMIFS(IW29EDITAR!E:E, IW29EDITAR!I:I, A107, IW29EDITAR!H:H, "LINE 6")</f>
        <v>0</v>
      </c>
    </row>
    <row r="108" spans="1:15" ht="14.4">
      <c r="A108" s="75">
        <v>20052924</v>
      </c>
      <c r="B108" s="75" t="s">
        <v>4662</v>
      </c>
      <c r="C108" s="13">
        <f>IFERROR(VLOOKUP(B108, 'Base de datos'!A:B, 2, FALSE), "")</f>
        <v>573154265203</v>
      </c>
      <c r="D108" s="29" t="e">
        <f t="shared" ca="1" si="0"/>
        <v>#NAME?</v>
      </c>
      <c r="E108" s="3"/>
      <c r="F108" s="3">
        <f>COUNTIF(IW29EDITAR!I:I,A108)</f>
        <v>0</v>
      </c>
      <c r="G108" s="3">
        <f>COUNTIF('M2'!J:J,B108)</f>
        <v>0</v>
      </c>
      <c r="H108" s="3">
        <f>SUMIF(IW29EDITAR!I:I,A108,IW29EDITAR!E:E)</f>
        <v>0</v>
      </c>
      <c r="I108" s="76">
        <f>SUMIF('M2'!J:J,B108,'M2'!E:E)</f>
        <v>0</v>
      </c>
      <c r="J108" s="77">
        <f>SUMIFS(IW29EDITAR!E:E, IW29EDITAR!I:I, A108, IW29EDITAR!H:H, "LINE 8")</f>
        <v>0</v>
      </c>
      <c r="K108" s="77">
        <f>SUMIFS(IW29EDITAR!E:E, IW29EDITAR!I:I, A108, IW29EDITAR!H:H, "LINE 10")</f>
        <v>0</v>
      </c>
      <c r="L108" s="77">
        <f>SUMIFS(IW29EDITAR!E:E, IW29EDITAR!I:I, A108, IW29EDITAR!H:H, "LINE 1")</f>
        <v>0</v>
      </c>
      <c r="M108" s="77">
        <f>SUMIFS(IW29EDITAR!E:E, IW29EDITAR!I:I, A108, IW29EDITAR!H:H, "LINE 2")</f>
        <v>0</v>
      </c>
      <c r="N108" s="77">
        <f>SUMIFS(IW29EDITAR!E:E, IW29EDITAR!I:I, A108, IW29EDITAR!H:H, "LINE 3")</f>
        <v>0</v>
      </c>
      <c r="O108" s="76">
        <f>SUMIFS(IW29EDITAR!E:E, IW29EDITAR!I:I, A108, IW29EDITAR!H:H, "LINE 4") + SUMIFS(IW29EDITAR!E:E, IW29EDITAR!I:I, A108, IW29EDITAR!H:H, "LINE 5")+SUMIFS(IW29EDITAR!E:E, IW29EDITAR!I:I, A108, IW29EDITAR!H:H, "LINE 6")</f>
        <v>0</v>
      </c>
    </row>
    <row r="109" spans="1:15" ht="14.4">
      <c r="A109" s="75">
        <v>20052951</v>
      </c>
      <c r="B109" s="75" t="s">
        <v>4663</v>
      </c>
      <c r="C109" s="13" t="str">
        <f>IFERROR(VLOOKUP(B109, 'Base de datos'!A:B, 2, FALSE), "")</f>
        <v/>
      </c>
      <c r="D109" s="29" t="e">
        <f t="shared" ca="1" si="0"/>
        <v>#NAME?</v>
      </c>
      <c r="E109" s="3"/>
      <c r="F109" s="3">
        <f>COUNTIF(IW29EDITAR!I:I,A109)</f>
        <v>0</v>
      </c>
      <c r="G109" s="3">
        <f>COUNTIF('M2'!J:J,B109)</f>
        <v>0</v>
      </c>
      <c r="H109" s="3">
        <f>SUMIF(IW29EDITAR!I:I,A109,IW29EDITAR!E:E)</f>
        <v>0</v>
      </c>
      <c r="I109" s="76">
        <f>SUMIF('M2'!J:J,B109,'M2'!E:E)</f>
        <v>0</v>
      </c>
      <c r="J109" s="77">
        <f>SUMIFS(IW29EDITAR!E:E, IW29EDITAR!I:I, A109, IW29EDITAR!H:H, "LINE 8")</f>
        <v>0</v>
      </c>
      <c r="K109" s="77">
        <f>SUMIFS(IW29EDITAR!E:E, IW29EDITAR!I:I, A109, IW29EDITAR!H:H, "LINE 10")</f>
        <v>0</v>
      </c>
      <c r="L109" s="77">
        <f>SUMIFS(IW29EDITAR!E:E, IW29EDITAR!I:I, A109, IW29EDITAR!H:H, "LINE 1")</f>
        <v>0</v>
      </c>
      <c r="M109" s="77">
        <f>SUMIFS(IW29EDITAR!E:E, IW29EDITAR!I:I, A109, IW29EDITAR!H:H, "LINE 2")</f>
        <v>0</v>
      </c>
      <c r="N109" s="77">
        <f>SUMIFS(IW29EDITAR!E:E, IW29EDITAR!I:I, A109, IW29EDITAR!H:H, "LINE 3")</f>
        <v>0</v>
      </c>
      <c r="O109" s="76">
        <f>SUMIFS(IW29EDITAR!E:E, IW29EDITAR!I:I, A109, IW29EDITAR!H:H, "LINE 4") + SUMIFS(IW29EDITAR!E:E, IW29EDITAR!I:I, A109, IW29EDITAR!H:H, "LINE 5")+SUMIFS(IW29EDITAR!E:E, IW29EDITAR!I:I, A109, IW29EDITAR!H:H, "LINE 6")</f>
        <v>0</v>
      </c>
    </row>
    <row r="110" spans="1:15" ht="14.4">
      <c r="A110" s="75">
        <v>20053221</v>
      </c>
      <c r="B110" s="75" t="s">
        <v>4664</v>
      </c>
      <c r="C110" s="13" t="str">
        <f>IFERROR(VLOOKUP(B110, 'Base de datos'!A:B, 2, FALSE), "")</f>
        <v/>
      </c>
      <c r="D110" s="29" t="e">
        <f t="shared" ca="1" si="0"/>
        <v>#NAME?</v>
      </c>
      <c r="E110" s="3"/>
      <c r="F110" s="3">
        <f>COUNTIF(IW29EDITAR!I:I,A110)</f>
        <v>0</v>
      </c>
      <c r="G110" s="3">
        <f>COUNTIF('M2'!J:J,B110)</f>
        <v>0</v>
      </c>
      <c r="H110" s="3">
        <f>SUMIF(IW29EDITAR!I:I,A110,IW29EDITAR!E:E)</f>
        <v>0</v>
      </c>
      <c r="I110" s="76">
        <f>SUMIF('M2'!J:J,B110,'M2'!E:E)</f>
        <v>0</v>
      </c>
      <c r="J110" s="77">
        <f>SUMIFS(IW29EDITAR!E:E, IW29EDITAR!I:I, A110, IW29EDITAR!H:H, "LINE 8")</f>
        <v>0</v>
      </c>
      <c r="K110" s="77">
        <f>SUMIFS(IW29EDITAR!E:E, IW29EDITAR!I:I, A110, IW29EDITAR!H:H, "LINE 10")</f>
        <v>0</v>
      </c>
      <c r="L110" s="77">
        <f>SUMIFS(IW29EDITAR!E:E, IW29EDITAR!I:I, A110, IW29EDITAR!H:H, "LINE 1")</f>
        <v>0</v>
      </c>
      <c r="M110" s="77">
        <f>SUMIFS(IW29EDITAR!E:E, IW29EDITAR!I:I, A110, IW29EDITAR!H:H, "LINE 2")</f>
        <v>0</v>
      </c>
      <c r="N110" s="77">
        <f>SUMIFS(IW29EDITAR!E:E, IW29EDITAR!I:I, A110, IW29EDITAR!H:H, "LINE 3")</f>
        <v>0</v>
      </c>
      <c r="O110" s="76">
        <f>SUMIFS(IW29EDITAR!E:E, IW29EDITAR!I:I, A110, IW29EDITAR!H:H, "LINE 4") + SUMIFS(IW29EDITAR!E:E, IW29EDITAR!I:I, A110, IW29EDITAR!H:H, "LINE 5")+SUMIFS(IW29EDITAR!E:E, IW29EDITAR!I:I, A110, IW29EDITAR!H:H, "LINE 6")</f>
        <v>0</v>
      </c>
    </row>
    <row r="111" spans="1:15" ht="14.4">
      <c r="A111" s="75">
        <v>20053543</v>
      </c>
      <c r="B111" s="75" t="s">
        <v>4665</v>
      </c>
      <c r="C111" s="13" t="str">
        <f>IFERROR(VLOOKUP(B111, 'Base de datos'!A:B, 2, FALSE), "")</f>
        <v/>
      </c>
      <c r="D111" s="29" t="e">
        <f t="shared" ca="1" si="0"/>
        <v>#NAME?</v>
      </c>
      <c r="E111" s="3"/>
      <c r="F111" s="3">
        <f>COUNTIF(IW29EDITAR!I:I,A111)</f>
        <v>0</v>
      </c>
      <c r="G111" s="3">
        <f>COUNTIF('M2'!J:J,B111)</f>
        <v>0</v>
      </c>
      <c r="H111" s="3">
        <f>SUMIF(IW29EDITAR!I:I,A111,IW29EDITAR!E:E)</f>
        <v>0</v>
      </c>
      <c r="I111" s="76">
        <f>SUMIF('M2'!J:J,B111,'M2'!E:E)</f>
        <v>0</v>
      </c>
      <c r="J111" s="77">
        <f>SUMIFS(IW29EDITAR!E:E, IW29EDITAR!I:I, A111, IW29EDITAR!H:H, "LINE 8")</f>
        <v>0</v>
      </c>
      <c r="K111" s="77">
        <f>SUMIFS(IW29EDITAR!E:E, IW29EDITAR!I:I, A111, IW29EDITAR!H:H, "LINE 10")</f>
        <v>0</v>
      </c>
      <c r="L111" s="77">
        <f>SUMIFS(IW29EDITAR!E:E, IW29EDITAR!I:I, A111, IW29EDITAR!H:H, "LINE 1")</f>
        <v>0</v>
      </c>
      <c r="M111" s="77">
        <f>SUMIFS(IW29EDITAR!E:E, IW29EDITAR!I:I, A111, IW29EDITAR!H:H, "LINE 2")</f>
        <v>0</v>
      </c>
      <c r="N111" s="77">
        <f>SUMIFS(IW29EDITAR!E:E, IW29EDITAR!I:I, A111, IW29EDITAR!H:H, "LINE 3")</f>
        <v>0</v>
      </c>
      <c r="O111" s="76">
        <f>SUMIFS(IW29EDITAR!E:E, IW29EDITAR!I:I, A111, IW29EDITAR!H:H, "LINE 4") + SUMIFS(IW29EDITAR!E:E, IW29EDITAR!I:I, A111, IW29EDITAR!H:H, "LINE 5")+SUMIFS(IW29EDITAR!E:E, IW29EDITAR!I:I, A111, IW29EDITAR!H:H, "LINE 6")</f>
        <v>0</v>
      </c>
    </row>
    <row r="112" spans="1:15" ht="14.4">
      <c r="A112" s="75">
        <v>20054084</v>
      </c>
      <c r="B112" s="75" t="s">
        <v>4666</v>
      </c>
      <c r="C112" s="13" t="str">
        <f>IFERROR(VLOOKUP(B112, 'Base de datos'!A:B, 2, FALSE), "")</f>
        <v/>
      </c>
      <c r="D112" s="29" t="e">
        <f t="shared" ca="1" si="0"/>
        <v>#NAME?</v>
      </c>
      <c r="E112" s="3"/>
      <c r="F112" s="3">
        <f>COUNTIF(IW29EDITAR!I:I,A112)</f>
        <v>0</v>
      </c>
      <c r="G112" s="3">
        <f>COUNTIF('M2'!J:J,B112)</f>
        <v>0</v>
      </c>
      <c r="H112" s="3">
        <f>SUMIF(IW29EDITAR!I:I,A112,IW29EDITAR!E:E)</f>
        <v>0</v>
      </c>
      <c r="I112" s="76">
        <f>SUMIF('M2'!J:J,B112,'M2'!E:E)</f>
        <v>0</v>
      </c>
      <c r="J112" s="77">
        <f>SUMIFS(IW29EDITAR!E:E, IW29EDITAR!I:I, A112, IW29EDITAR!H:H, "LINE 8")</f>
        <v>0</v>
      </c>
      <c r="K112" s="77">
        <f>SUMIFS(IW29EDITAR!E:E, IW29EDITAR!I:I, A112, IW29EDITAR!H:H, "LINE 10")</f>
        <v>0</v>
      </c>
      <c r="L112" s="77">
        <f>SUMIFS(IW29EDITAR!E:E, IW29EDITAR!I:I, A112, IW29EDITAR!H:H, "LINE 1")</f>
        <v>0</v>
      </c>
      <c r="M112" s="77">
        <f>SUMIFS(IW29EDITAR!E:E, IW29EDITAR!I:I, A112, IW29EDITAR!H:H, "LINE 2")</f>
        <v>0</v>
      </c>
      <c r="N112" s="77">
        <f>SUMIFS(IW29EDITAR!E:E, IW29EDITAR!I:I, A112, IW29EDITAR!H:H, "LINE 3")</f>
        <v>0</v>
      </c>
      <c r="O112" s="76">
        <f>SUMIFS(IW29EDITAR!E:E, IW29EDITAR!I:I, A112, IW29EDITAR!H:H, "LINE 4") + SUMIFS(IW29EDITAR!E:E, IW29EDITAR!I:I, A112, IW29EDITAR!H:H, "LINE 5")+SUMIFS(IW29EDITAR!E:E, IW29EDITAR!I:I, A112, IW29EDITAR!H:H, "LINE 6")</f>
        <v>0</v>
      </c>
    </row>
    <row r="113" spans="1:15" ht="14.4">
      <c r="A113" s="75">
        <v>20054895</v>
      </c>
      <c r="B113" s="75" t="s">
        <v>4667</v>
      </c>
      <c r="C113" s="13" t="str">
        <f>IFERROR(VLOOKUP(B113, 'Base de datos'!A:B, 2, FALSE), "")</f>
        <v/>
      </c>
      <c r="D113" s="29" t="e">
        <f t="shared" ca="1" si="0"/>
        <v>#NAME?</v>
      </c>
      <c r="E113" s="3"/>
      <c r="F113" s="3">
        <f>COUNTIF(IW29EDITAR!I:I,A113)</f>
        <v>0</v>
      </c>
      <c r="G113" s="3">
        <f>COUNTIF('M2'!J:J,B113)</f>
        <v>0</v>
      </c>
      <c r="H113" s="3">
        <f>SUMIF(IW29EDITAR!I:I,A113,IW29EDITAR!E:E)</f>
        <v>0</v>
      </c>
      <c r="I113" s="76">
        <f>SUMIF('M2'!J:J,B113,'M2'!E:E)</f>
        <v>0</v>
      </c>
      <c r="J113" s="77">
        <f>SUMIFS(IW29EDITAR!E:E, IW29EDITAR!I:I, A113, IW29EDITAR!H:H, "LINE 8")</f>
        <v>0</v>
      </c>
      <c r="K113" s="77">
        <f>SUMIFS(IW29EDITAR!E:E, IW29EDITAR!I:I, A113, IW29EDITAR!H:H, "LINE 10")</f>
        <v>0</v>
      </c>
      <c r="L113" s="77">
        <f>SUMIFS(IW29EDITAR!E:E, IW29EDITAR!I:I, A113, IW29EDITAR!H:H, "LINE 1")</f>
        <v>0</v>
      </c>
      <c r="M113" s="77">
        <f>SUMIFS(IW29EDITAR!E:E, IW29EDITAR!I:I, A113, IW29EDITAR!H:H, "LINE 2")</f>
        <v>0</v>
      </c>
      <c r="N113" s="77">
        <f>SUMIFS(IW29EDITAR!E:E, IW29EDITAR!I:I, A113, IW29EDITAR!H:H, "LINE 3")</f>
        <v>0</v>
      </c>
      <c r="O113" s="76">
        <f>SUMIFS(IW29EDITAR!E:E, IW29EDITAR!I:I, A113, IW29EDITAR!H:H, "LINE 4") + SUMIFS(IW29EDITAR!E:E, IW29EDITAR!I:I, A113, IW29EDITAR!H:H, "LINE 5")+SUMIFS(IW29EDITAR!E:E, IW29EDITAR!I:I, A113, IW29EDITAR!H:H, "LINE 6")</f>
        <v>0</v>
      </c>
    </row>
    <row r="114" spans="1:15" ht="14.4">
      <c r="A114" s="75">
        <v>20055036</v>
      </c>
      <c r="B114" s="75" t="s">
        <v>4668</v>
      </c>
      <c r="C114" s="13" t="str">
        <f>IFERROR(VLOOKUP(B114, 'Base de datos'!A:B, 2, FALSE), "")</f>
        <v/>
      </c>
      <c r="D114" s="29" t="e">
        <f t="shared" ca="1" si="0"/>
        <v>#NAME?</v>
      </c>
      <c r="E114" s="3"/>
      <c r="F114" s="3">
        <f>COUNTIF(IW29EDITAR!I:I,A114)</f>
        <v>0</v>
      </c>
      <c r="G114" s="3">
        <f>COUNTIF('M2'!J:J,B114)</f>
        <v>0</v>
      </c>
      <c r="H114" s="3">
        <f>SUMIF(IW29EDITAR!I:I,A114,IW29EDITAR!E:E)</f>
        <v>0</v>
      </c>
      <c r="I114" s="76">
        <f>SUMIF('M2'!J:J,B114,'M2'!E:E)</f>
        <v>0</v>
      </c>
      <c r="J114" s="77">
        <f>SUMIFS(IW29EDITAR!E:E, IW29EDITAR!I:I, A114, IW29EDITAR!H:H, "LINE 8")</f>
        <v>0</v>
      </c>
      <c r="K114" s="77">
        <f>SUMIFS(IW29EDITAR!E:E, IW29EDITAR!I:I, A114, IW29EDITAR!H:H, "LINE 10")</f>
        <v>0</v>
      </c>
      <c r="L114" s="77">
        <f>SUMIFS(IW29EDITAR!E:E, IW29EDITAR!I:I, A114, IW29EDITAR!H:H, "LINE 1")</f>
        <v>0</v>
      </c>
      <c r="M114" s="77">
        <f>SUMIFS(IW29EDITAR!E:E, IW29EDITAR!I:I, A114, IW29EDITAR!H:H, "LINE 2")</f>
        <v>0</v>
      </c>
      <c r="N114" s="77">
        <f>SUMIFS(IW29EDITAR!E:E, IW29EDITAR!I:I, A114, IW29EDITAR!H:H, "LINE 3")</f>
        <v>0</v>
      </c>
      <c r="O114" s="76">
        <f>SUMIFS(IW29EDITAR!E:E, IW29EDITAR!I:I, A114, IW29EDITAR!H:H, "LINE 4") + SUMIFS(IW29EDITAR!E:E, IW29EDITAR!I:I, A114, IW29EDITAR!H:H, "LINE 5")+SUMIFS(IW29EDITAR!E:E, IW29EDITAR!I:I, A114, IW29EDITAR!H:H, "LINE 6")</f>
        <v>0</v>
      </c>
    </row>
    <row r="115" spans="1:15" ht="14.4">
      <c r="A115" s="75">
        <v>20055508</v>
      </c>
      <c r="B115" s="75" t="s">
        <v>4669</v>
      </c>
      <c r="C115" s="13" t="str">
        <f>IFERROR(VLOOKUP(B115, 'Base de datos'!A:B, 2, FALSE), "")</f>
        <v/>
      </c>
      <c r="D115" s="29" t="e">
        <f t="shared" ca="1" si="0"/>
        <v>#NAME?</v>
      </c>
      <c r="E115" s="3"/>
      <c r="F115" s="3">
        <f>COUNTIF(IW29EDITAR!I:I,A115)</f>
        <v>0</v>
      </c>
      <c r="G115" s="3">
        <f>COUNTIF('M2'!J:J,B115)</f>
        <v>0</v>
      </c>
      <c r="H115" s="3">
        <f>SUMIF(IW29EDITAR!I:I,A115,IW29EDITAR!E:E)</f>
        <v>0</v>
      </c>
      <c r="I115" s="76">
        <f>SUMIF('M2'!J:J,B115,'M2'!E:E)</f>
        <v>0</v>
      </c>
      <c r="J115" s="77">
        <f>SUMIFS(IW29EDITAR!E:E, IW29EDITAR!I:I, A115, IW29EDITAR!H:H, "LINE 8")</f>
        <v>0</v>
      </c>
      <c r="K115" s="77">
        <f>SUMIFS(IW29EDITAR!E:E, IW29EDITAR!I:I, A115, IW29EDITAR!H:H, "LINE 10")</f>
        <v>0</v>
      </c>
      <c r="L115" s="77">
        <f>SUMIFS(IW29EDITAR!E:E, IW29EDITAR!I:I, A115, IW29EDITAR!H:H, "LINE 1")</f>
        <v>0</v>
      </c>
      <c r="M115" s="77">
        <f>SUMIFS(IW29EDITAR!E:E, IW29EDITAR!I:I, A115, IW29EDITAR!H:H, "LINE 2")</f>
        <v>0</v>
      </c>
      <c r="N115" s="77">
        <f>SUMIFS(IW29EDITAR!E:E, IW29EDITAR!I:I, A115, IW29EDITAR!H:H, "LINE 3")</f>
        <v>0</v>
      </c>
      <c r="O115" s="76">
        <f>SUMIFS(IW29EDITAR!E:E, IW29EDITAR!I:I, A115, IW29EDITAR!H:H, "LINE 4") + SUMIFS(IW29EDITAR!E:E, IW29EDITAR!I:I, A115, IW29EDITAR!H:H, "LINE 5")+SUMIFS(IW29EDITAR!E:E, IW29EDITAR!I:I, A115, IW29EDITAR!H:H, "LINE 6")</f>
        <v>0</v>
      </c>
    </row>
    <row r="116" spans="1:15" ht="14.4">
      <c r="A116" s="75">
        <v>20009404</v>
      </c>
      <c r="B116" s="75" t="s">
        <v>4670</v>
      </c>
      <c r="C116" s="13" t="str">
        <f>IFERROR(VLOOKUP(B116, 'Base de datos'!A:B, 2, FALSE), "")</f>
        <v/>
      </c>
      <c r="D116" s="29" t="e">
        <f t="shared" ca="1" si="0"/>
        <v>#NAME?</v>
      </c>
      <c r="E116" s="3"/>
      <c r="F116" s="3">
        <f>COUNTIF(IW29EDITAR!I:I,A116)</f>
        <v>0</v>
      </c>
      <c r="G116" s="3">
        <f>COUNTIF('M2'!J:J,B116)</f>
        <v>0</v>
      </c>
      <c r="H116" s="3">
        <f>SUMIF(IW29EDITAR!I:I,A116,IW29EDITAR!E:E)</f>
        <v>0</v>
      </c>
      <c r="I116" s="76">
        <f>SUMIF('M2'!J:J,B116,'M2'!E:E)</f>
        <v>0</v>
      </c>
      <c r="J116" s="77">
        <f>SUMIFS(IW29EDITAR!E:E, IW29EDITAR!I:I, A116, IW29EDITAR!H:H, "LINE 8")</f>
        <v>0</v>
      </c>
      <c r="K116" s="77">
        <f>SUMIFS(IW29EDITAR!E:E, IW29EDITAR!I:I, A116, IW29EDITAR!H:H, "LINE 10")</f>
        <v>0</v>
      </c>
      <c r="L116" s="77">
        <f>SUMIFS(IW29EDITAR!E:E, IW29EDITAR!I:I, A116, IW29EDITAR!H:H, "LINE 1")</f>
        <v>0</v>
      </c>
      <c r="M116" s="77">
        <f>SUMIFS(IW29EDITAR!E:E, IW29EDITAR!I:I, A116, IW29EDITAR!H:H, "LINE 2")</f>
        <v>0</v>
      </c>
      <c r="N116" s="77">
        <f>SUMIFS(IW29EDITAR!E:E, IW29EDITAR!I:I, A116, IW29EDITAR!H:H, "LINE 3")</f>
        <v>0</v>
      </c>
      <c r="O116" s="76">
        <f>SUMIFS(IW29EDITAR!E:E, IW29EDITAR!I:I, A116, IW29EDITAR!H:H, "LINE 4") + SUMIFS(IW29EDITAR!E:E, IW29EDITAR!I:I, A116, IW29EDITAR!H:H, "LINE 5")+SUMIFS(IW29EDITAR!E:E, IW29EDITAR!I:I, A116, IW29EDITAR!H:H, "LINE 6")</f>
        <v>0</v>
      </c>
    </row>
    <row r="117" spans="1:15" ht="14.4">
      <c r="A117" s="75">
        <v>20055034</v>
      </c>
      <c r="B117" s="75" t="s">
        <v>4671</v>
      </c>
      <c r="C117" s="13" t="str">
        <f>IFERROR(VLOOKUP(B117, 'Base de datos'!A:B, 2, FALSE), "")</f>
        <v/>
      </c>
      <c r="D117" s="29" t="e">
        <f t="shared" ca="1" si="0"/>
        <v>#NAME?</v>
      </c>
      <c r="E117" s="3"/>
      <c r="F117" s="3">
        <f>COUNTIF(IW29EDITAR!I:I,A117)</f>
        <v>0</v>
      </c>
      <c r="G117" s="3">
        <f>COUNTIF('M2'!J:J,B117)</f>
        <v>0</v>
      </c>
      <c r="H117" s="3">
        <f>SUMIF(IW29EDITAR!I:I,A117,IW29EDITAR!E:E)</f>
        <v>0</v>
      </c>
      <c r="I117" s="76">
        <f>SUMIF('M2'!J:J,B117,'M2'!E:E)</f>
        <v>0</v>
      </c>
      <c r="J117" s="77">
        <f>SUMIFS(IW29EDITAR!E:E, IW29EDITAR!I:I, A117, IW29EDITAR!H:H, "LINE 8")</f>
        <v>0</v>
      </c>
      <c r="K117" s="77">
        <f>SUMIFS(IW29EDITAR!E:E, IW29EDITAR!I:I, A117, IW29EDITAR!H:H, "LINE 10")</f>
        <v>0</v>
      </c>
      <c r="L117" s="77">
        <f>SUMIFS(IW29EDITAR!E:E, IW29EDITAR!I:I, A117, IW29EDITAR!H:H, "LINE 1")</f>
        <v>0</v>
      </c>
      <c r="M117" s="77">
        <f>SUMIFS(IW29EDITAR!E:E, IW29EDITAR!I:I, A117, IW29EDITAR!H:H, "LINE 2")</f>
        <v>0</v>
      </c>
      <c r="N117" s="77">
        <f>SUMIFS(IW29EDITAR!E:E, IW29EDITAR!I:I, A117, IW29EDITAR!H:H, "LINE 3")</f>
        <v>0</v>
      </c>
      <c r="O117" s="76">
        <f>SUMIFS(IW29EDITAR!E:E, IW29EDITAR!I:I, A117, IW29EDITAR!H:H, "LINE 4") + SUMIFS(IW29EDITAR!E:E, IW29EDITAR!I:I, A117, IW29EDITAR!H:H, "LINE 5")+SUMIFS(IW29EDITAR!E:E, IW29EDITAR!I:I, A117, IW29EDITAR!H:H, "LINE 6")</f>
        <v>0</v>
      </c>
    </row>
    <row r="118" spans="1:15" ht="14.4">
      <c r="A118" s="75">
        <v>20009843</v>
      </c>
      <c r="B118" s="75" t="s">
        <v>4672</v>
      </c>
      <c r="C118" s="13" t="str">
        <f>IFERROR(VLOOKUP(B118, 'Base de datos'!A:B, 2, FALSE), "")</f>
        <v/>
      </c>
      <c r="D118" s="29" t="e">
        <f t="shared" ca="1" si="0"/>
        <v>#NAME?</v>
      </c>
      <c r="E118" s="3"/>
      <c r="F118" s="3">
        <f>COUNTIF(IW29EDITAR!I:I,A118)</f>
        <v>0</v>
      </c>
      <c r="G118" s="3">
        <f>COUNTIF('M2'!J:J,B118)</f>
        <v>0</v>
      </c>
      <c r="H118" s="3">
        <f>SUMIF(IW29EDITAR!I:I,A118,IW29EDITAR!E:E)</f>
        <v>0</v>
      </c>
      <c r="I118" s="76">
        <f>SUMIF('M2'!J:J,B118,'M2'!E:E)</f>
        <v>0</v>
      </c>
      <c r="J118" s="77">
        <f>SUMIFS(IW29EDITAR!E:E, IW29EDITAR!I:I, A118, IW29EDITAR!H:H, "LINE 8")</f>
        <v>0</v>
      </c>
      <c r="K118" s="77">
        <f>SUMIFS(IW29EDITAR!E:E, IW29EDITAR!I:I, A118, IW29EDITAR!H:H, "LINE 10")</f>
        <v>0</v>
      </c>
      <c r="L118" s="77">
        <f>SUMIFS(IW29EDITAR!E:E, IW29EDITAR!I:I, A118, IW29EDITAR!H:H, "LINE 1")</f>
        <v>0</v>
      </c>
      <c r="M118" s="77">
        <f>SUMIFS(IW29EDITAR!E:E, IW29EDITAR!I:I, A118, IW29EDITAR!H:H, "LINE 2")</f>
        <v>0</v>
      </c>
      <c r="N118" s="77">
        <f>SUMIFS(IW29EDITAR!E:E, IW29EDITAR!I:I, A118, IW29EDITAR!H:H, "LINE 3")</f>
        <v>0</v>
      </c>
      <c r="O118" s="76">
        <f>SUMIFS(IW29EDITAR!E:E, IW29EDITAR!I:I, A118, IW29EDITAR!H:H, "LINE 4") + SUMIFS(IW29EDITAR!E:E, IW29EDITAR!I:I, A118, IW29EDITAR!H:H, "LINE 5")+SUMIFS(IW29EDITAR!E:E, IW29EDITAR!I:I, A118, IW29EDITAR!H:H, "LINE 6")</f>
        <v>0</v>
      </c>
    </row>
    <row r="119" spans="1:15" ht="14.4">
      <c r="A119" s="75">
        <v>20030588</v>
      </c>
      <c r="B119" s="75" t="s">
        <v>4673</v>
      </c>
      <c r="C119" s="13" t="str">
        <f>IFERROR(VLOOKUP(B119, 'Base de datos'!A:B, 2, FALSE), "")</f>
        <v/>
      </c>
      <c r="D119" s="29" t="e">
        <f t="shared" ca="1" si="0"/>
        <v>#NAME?</v>
      </c>
      <c r="E119" s="3"/>
      <c r="F119" s="3">
        <f>COUNTIF(IW29EDITAR!I:I,A119)</f>
        <v>0</v>
      </c>
      <c r="G119" s="3">
        <f>COUNTIF('M2'!J:J,B119)</f>
        <v>0</v>
      </c>
      <c r="H119" s="3">
        <f>SUMIF(IW29EDITAR!I:I,A119,IW29EDITAR!E:E)</f>
        <v>0</v>
      </c>
      <c r="I119" s="76">
        <f>SUMIF('M2'!J:J,B119,'M2'!E:E)</f>
        <v>0</v>
      </c>
      <c r="J119" s="77">
        <f>SUMIFS(IW29EDITAR!E:E, IW29EDITAR!I:I, A119, IW29EDITAR!H:H, "LINE 8")</f>
        <v>0</v>
      </c>
      <c r="K119" s="77">
        <f>SUMIFS(IW29EDITAR!E:E, IW29EDITAR!I:I, A119, IW29EDITAR!H:H, "LINE 10")</f>
        <v>0</v>
      </c>
      <c r="L119" s="77">
        <f>SUMIFS(IW29EDITAR!E:E, IW29EDITAR!I:I, A119, IW29EDITAR!H:H, "LINE 1")</f>
        <v>0</v>
      </c>
      <c r="M119" s="77">
        <f>SUMIFS(IW29EDITAR!E:E, IW29EDITAR!I:I, A119, IW29EDITAR!H:H, "LINE 2")</f>
        <v>0</v>
      </c>
      <c r="N119" s="77">
        <f>SUMIFS(IW29EDITAR!E:E, IW29EDITAR!I:I, A119, IW29EDITAR!H:H, "LINE 3")</f>
        <v>0</v>
      </c>
      <c r="O119" s="76">
        <f>SUMIFS(IW29EDITAR!E:E, IW29EDITAR!I:I, A119, IW29EDITAR!H:H, "LINE 4") + SUMIFS(IW29EDITAR!E:E, IW29EDITAR!I:I, A119, IW29EDITAR!H:H, "LINE 5")+SUMIFS(IW29EDITAR!E:E, IW29EDITAR!I:I, A119, IW29EDITAR!H:H, "LINE 6")</f>
        <v>0</v>
      </c>
    </row>
    <row r="120" spans="1:15" ht="14.4">
      <c r="A120" s="75">
        <v>20068468</v>
      </c>
      <c r="B120" s="75" t="s">
        <v>4674</v>
      </c>
      <c r="C120" s="13" t="str">
        <f>IFERROR(VLOOKUP(B120, 'Base de datos'!A:B, 2, FALSE), "")</f>
        <v/>
      </c>
      <c r="D120" s="29" t="e">
        <f t="shared" ca="1" si="0"/>
        <v>#NAME?</v>
      </c>
      <c r="E120" s="3"/>
      <c r="F120" s="3">
        <f>COUNTIF(IW29EDITAR!I:I,A120)</f>
        <v>0</v>
      </c>
      <c r="G120" s="3">
        <f>COUNTIF('M2'!J:J,B120)</f>
        <v>0</v>
      </c>
      <c r="H120" s="3">
        <f>SUMIF(IW29EDITAR!I:I,A120,IW29EDITAR!E:E)</f>
        <v>0</v>
      </c>
      <c r="I120" s="76">
        <f>SUMIF('M2'!J:J,B120,'M2'!E:E)</f>
        <v>0</v>
      </c>
      <c r="J120" s="77">
        <f>SUMIFS(IW29EDITAR!E:E, IW29EDITAR!I:I, A120, IW29EDITAR!H:H, "LINE 8")</f>
        <v>0</v>
      </c>
      <c r="K120" s="77">
        <f>SUMIFS(IW29EDITAR!E:E, IW29EDITAR!I:I, A120, IW29EDITAR!H:H, "LINE 10")</f>
        <v>0</v>
      </c>
      <c r="L120" s="77">
        <f>SUMIFS(IW29EDITAR!E:E, IW29EDITAR!I:I, A120, IW29EDITAR!H:H, "LINE 1")</f>
        <v>0</v>
      </c>
      <c r="M120" s="77">
        <f>SUMIFS(IW29EDITAR!E:E, IW29EDITAR!I:I, A120, IW29EDITAR!H:H, "LINE 2")</f>
        <v>0</v>
      </c>
      <c r="N120" s="77">
        <f>SUMIFS(IW29EDITAR!E:E, IW29EDITAR!I:I, A120, IW29EDITAR!H:H, "LINE 3")</f>
        <v>0</v>
      </c>
      <c r="O120" s="76">
        <f>SUMIFS(IW29EDITAR!E:E, IW29EDITAR!I:I, A120, IW29EDITAR!H:H, "LINE 4") + SUMIFS(IW29EDITAR!E:E, IW29EDITAR!I:I, A120, IW29EDITAR!H:H, "LINE 5")+SUMIFS(IW29EDITAR!E:E, IW29EDITAR!I:I, A120, IW29EDITAR!H:H, "LINE 6")</f>
        <v>0</v>
      </c>
    </row>
    <row r="121" spans="1:15" ht="14.4">
      <c r="A121" s="75">
        <v>20009708</v>
      </c>
      <c r="B121" s="75" t="s">
        <v>4675</v>
      </c>
      <c r="C121" s="13" t="str">
        <f>IFERROR(VLOOKUP(B121, 'Base de datos'!A:B, 2, FALSE), "")</f>
        <v/>
      </c>
      <c r="D121" s="29" t="e">
        <f t="shared" ca="1" si="0"/>
        <v>#NAME?</v>
      </c>
      <c r="E121" s="3"/>
      <c r="F121" s="3">
        <f>COUNTIF(IW29EDITAR!I:I,A121)</f>
        <v>0</v>
      </c>
      <c r="G121" s="3">
        <f>COUNTIF('M2'!J:J,B121)</f>
        <v>0</v>
      </c>
      <c r="H121" s="3">
        <f>SUMIF(IW29EDITAR!I:I,A121,IW29EDITAR!E:E)</f>
        <v>0</v>
      </c>
      <c r="I121" s="76">
        <f>SUMIF('M2'!J:J,B121,'M2'!E:E)</f>
        <v>0</v>
      </c>
      <c r="J121" s="77">
        <f>SUMIFS(IW29EDITAR!E:E, IW29EDITAR!I:I, A121, IW29EDITAR!H:H, "LINE 8")</f>
        <v>0</v>
      </c>
      <c r="K121" s="77">
        <f>SUMIFS(IW29EDITAR!E:E, IW29EDITAR!I:I, A121, IW29EDITAR!H:H, "LINE 10")</f>
        <v>0</v>
      </c>
      <c r="L121" s="77">
        <f>SUMIFS(IW29EDITAR!E:E, IW29EDITAR!I:I, A121, IW29EDITAR!H:H, "LINE 1")</f>
        <v>0</v>
      </c>
      <c r="M121" s="77">
        <f>SUMIFS(IW29EDITAR!E:E, IW29EDITAR!I:I, A121, IW29EDITAR!H:H, "LINE 2")</f>
        <v>0</v>
      </c>
      <c r="N121" s="77">
        <f>SUMIFS(IW29EDITAR!E:E, IW29EDITAR!I:I, A121, IW29EDITAR!H:H, "LINE 3")</f>
        <v>0</v>
      </c>
      <c r="O121" s="76">
        <f>SUMIFS(IW29EDITAR!E:E, IW29EDITAR!I:I, A121, IW29EDITAR!H:H, "LINE 4") + SUMIFS(IW29EDITAR!E:E, IW29EDITAR!I:I, A121, IW29EDITAR!H:H, "LINE 5")+SUMIFS(IW29EDITAR!E:E, IW29EDITAR!I:I, A121, IW29EDITAR!H:H, "LINE 6")</f>
        <v>0</v>
      </c>
    </row>
    <row r="122" spans="1:15" ht="14.4">
      <c r="A122" s="75">
        <v>20065723</v>
      </c>
      <c r="B122" s="75" t="s">
        <v>4676</v>
      </c>
      <c r="C122" s="13" t="str">
        <f>IFERROR(VLOOKUP(B122, 'Base de datos'!A:B, 2, FALSE), "")</f>
        <v/>
      </c>
      <c r="D122" s="29" t="e">
        <f t="shared" ca="1" si="0"/>
        <v>#NAME?</v>
      </c>
      <c r="E122" s="3"/>
      <c r="F122" s="3">
        <f>COUNTIF(IW29EDITAR!I:I,A122)</f>
        <v>0</v>
      </c>
      <c r="G122" s="3">
        <f>COUNTIF('M2'!J:J,B122)</f>
        <v>0</v>
      </c>
      <c r="H122" s="3">
        <f>SUMIF(IW29EDITAR!I:I,A122,IW29EDITAR!E:E)</f>
        <v>0</v>
      </c>
      <c r="I122" s="76">
        <f>SUMIF('M2'!J:J,B122,'M2'!E:E)</f>
        <v>0</v>
      </c>
      <c r="J122" s="77">
        <f>SUMIFS(IW29EDITAR!E:E, IW29EDITAR!I:I, A122, IW29EDITAR!H:H, "LINE 8")</f>
        <v>0</v>
      </c>
      <c r="K122" s="77">
        <f>SUMIFS(IW29EDITAR!E:E, IW29EDITAR!I:I, A122, IW29EDITAR!H:H, "LINE 10")</f>
        <v>0</v>
      </c>
      <c r="L122" s="77">
        <f>SUMIFS(IW29EDITAR!E:E, IW29EDITAR!I:I, A122, IW29EDITAR!H:H, "LINE 1")</f>
        <v>0</v>
      </c>
      <c r="M122" s="77">
        <f>SUMIFS(IW29EDITAR!E:E, IW29EDITAR!I:I, A122, IW29EDITAR!H:H, "LINE 2")</f>
        <v>0</v>
      </c>
      <c r="N122" s="77">
        <f>SUMIFS(IW29EDITAR!E:E, IW29EDITAR!I:I, A122, IW29EDITAR!H:H, "LINE 3")</f>
        <v>0</v>
      </c>
      <c r="O122" s="76">
        <f>SUMIFS(IW29EDITAR!E:E, IW29EDITAR!I:I, A122, IW29EDITAR!H:H, "LINE 4") + SUMIFS(IW29EDITAR!E:E, IW29EDITAR!I:I, A122, IW29EDITAR!H:H, "LINE 5")+SUMIFS(IW29EDITAR!E:E, IW29EDITAR!I:I, A122, IW29EDITAR!H:H, "LINE 6")</f>
        <v>0</v>
      </c>
    </row>
    <row r="123" spans="1:15" ht="14.4">
      <c r="A123" s="75">
        <v>20027542</v>
      </c>
      <c r="B123" s="75" t="s">
        <v>4677</v>
      </c>
      <c r="C123" s="13" t="str">
        <f>IFERROR(VLOOKUP(B123, 'Base de datos'!A:B, 2, FALSE), "")</f>
        <v/>
      </c>
      <c r="D123" s="29" t="e">
        <f t="shared" ca="1" si="0"/>
        <v>#NAME?</v>
      </c>
      <c r="E123" s="3"/>
      <c r="F123" s="3">
        <f>COUNTIF(IW29EDITAR!I:I,A123)</f>
        <v>0</v>
      </c>
      <c r="G123" s="3">
        <f>COUNTIF('M2'!J:J,B123)</f>
        <v>0</v>
      </c>
      <c r="H123" s="3">
        <f>SUMIF(IW29EDITAR!I:I,A123,IW29EDITAR!E:E)</f>
        <v>0</v>
      </c>
      <c r="I123" s="76">
        <f>SUMIF('M2'!J:J,B123,'M2'!E:E)</f>
        <v>0</v>
      </c>
      <c r="J123" s="77">
        <f>SUMIFS(IW29EDITAR!E:E, IW29EDITAR!I:I, A123, IW29EDITAR!H:H, "LINE 8")</f>
        <v>0</v>
      </c>
      <c r="K123" s="77">
        <f>SUMIFS(IW29EDITAR!E:E, IW29EDITAR!I:I, A123, IW29EDITAR!H:H, "LINE 10")</f>
        <v>0</v>
      </c>
      <c r="L123" s="77">
        <f>SUMIFS(IW29EDITAR!E:E, IW29EDITAR!I:I, A123, IW29EDITAR!H:H, "LINE 1")</f>
        <v>0</v>
      </c>
      <c r="M123" s="77">
        <f>SUMIFS(IW29EDITAR!E:E, IW29EDITAR!I:I, A123, IW29EDITAR!H:H, "LINE 2")</f>
        <v>0</v>
      </c>
      <c r="N123" s="77">
        <f>SUMIFS(IW29EDITAR!E:E, IW29EDITAR!I:I, A123, IW29EDITAR!H:H, "LINE 3")</f>
        <v>0</v>
      </c>
      <c r="O123" s="76">
        <f>SUMIFS(IW29EDITAR!E:E, IW29EDITAR!I:I, A123, IW29EDITAR!H:H, "LINE 4") + SUMIFS(IW29EDITAR!E:E, IW29EDITAR!I:I, A123, IW29EDITAR!H:H, "LINE 5")+SUMIFS(IW29EDITAR!E:E, IW29EDITAR!I:I, A123, IW29EDITAR!H:H, "LINE 6")</f>
        <v>0</v>
      </c>
    </row>
    <row r="124" spans="1:15" ht="14.4">
      <c r="A124" s="75">
        <v>20072818</v>
      </c>
      <c r="B124" s="81" t="s">
        <v>4678</v>
      </c>
      <c r="C124" s="13" t="str">
        <f>IFERROR(VLOOKUP(B124, 'Base de datos'!A:B, 2, FALSE), "")</f>
        <v/>
      </c>
      <c r="D124" s="29" t="e">
        <f t="shared" ca="1" si="0"/>
        <v>#NAME?</v>
      </c>
      <c r="E124" s="3"/>
      <c r="F124" s="3">
        <f>COUNTIF(IW29EDITAR!I:I,A124)</f>
        <v>0</v>
      </c>
      <c r="G124" s="3">
        <f>COUNTIF('M2'!J:J,B124)</f>
        <v>0</v>
      </c>
      <c r="H124" s="3">
        <f>SUMIF(IW29EDITAR!I:I,A124,IW29EDITAR!E:E)</f>
        <v>0</v>
      </c>
      <c r="I124" s="76">
        <f>SUMIF('M2'!J:J,B124,'M2'!E:E)</f>
        <v>0</v>
      </c>
      <c r="J124" s="77">
        <f>SUMIFS(IW29EDITAR!E:E, IW29EDITAR!I:I, A124, IW29EDITAR!H:H, "LINE 8")</f>
        <v>0</v>
      </c>
      <c r="K124" s="77">
        <f>SUMIFS(IW29EDITAR!E:E, IW29EDITAR!I:I, A124, IW29EDITAR!H:H, "LINE 10")</f>
        <v>0</v>
      </c>
      <c r="L124" s="77">
        <f>SUMIFS(IW29EDITAR!E:E, IW29EDITAR!I:I, A124, IW29EDITAR!H:H, "LINE 1")</f>
        <v>0</v>
      </c>
      <c r="M124" s="77">
        <f>SUMIFS(IW29EDITAR!E:E, IW29EDITAR!I:I, A124, IW29EDITAR!H:H, "LINE 2")</f>
        <v>0</v>
      </c>
      <c r="N124" s="77">
        <f>SUMIFS(IW29EDITAR!E:E, IW29EDITAR!I:I, A124, IW29EDITAR!H:H, "LINE 3")</f>
        <v>0</v>
      </c>
      <c r="O124" s="76">
        <f>SUMIFS(IW29EDITAR!E:E, IW29EDITAR!I:I, A124, IW29EDITAR!H:H, "LINE 4") + SUMIFS(IW29EDITAR!E:E, IW29EDITAR!I:I, A124, IW29EDITAR!H:H, "LINE 5")+SUMIFS(IW29EDITAR!E:E, IW29EDITAR!I:I, A124, IW29EDITAR!H:H, "LINE 6")</f>
        <v>0</v>
      </c>
    </row>
    <row r="125" spans="1:15" ht="14.4">
      <c r="A125" s="75">
        <v>20074044</v>
      </c>
      <c r="B125" s="75" t="s">
        <v>4679</v>
      </c>
      <c r="C125" s="13" t="str">
        <f>IFERROR(VLOOKUP(B125, 'Base de datos'!A:B, 2, FALSE), "")</f>
        <v/>
      </c>
      <c r="D125" s="29" t="e">
        <f t="shared" ca="1" si="0"/>
        <v>#NAME?</v>
      </c>
      <c r="E125" s="3"/>
      <c r="F125" s="3">
        <f>COUNTIF(IW29EDITAR!I:I,A125)</f>
        <v>0</v>
      </c>
      <c r="G125" s="3">
        <f>COUNTIF('M2'!J:J,B125)</f>
        <v>0</v>
      </c>
      <c r="H125" s="3">
        <f>SUMIF(IW29EDITAR!I:I,A125,IW29EDITAR!E:E)</f>
        <v>0</v>
      </c>
      <c r="I125" s="76">
        <f>SUMIF('M2'!J:J,B125,'M2'!E:E)</f>
        <v>0</v>
      </c>
      <c r="J125" s="77">
        <f>SUMIFS(IW29EDITAR!E:E, IW29EDITAR!I:I, A125, IW29EDITAR!H:H, "LINE 8")</f>
        <v>0</v>
      </c>
      <c r="K125" s="77">
        <f>SUMIFS(IW29EDITAR!E:E, IW29EDITAR!I:I, A125, IW29EDITAR!H:H, "LINE 10")</f>
        <v>0</v>
      </c>
      <c r="L125" s="77">
        <f>SUMIFS(IW29EDITAR!E:E, IW29EDITAR!I:I, A125, IW29EDITAR!H:H, "LINE 1")</f>
        <v>0</v>
      </c>
      <c r="M125" s="77">
        <f>SUMIFS(IW29EDITAR!E:E, IW29EDITAR!I:I, A125, IW29EDITAR!H:H, "LINE 2")</f>
        <v>0</v>
      </c>
      <c r="N125" s="77">
        <f>SUMIFS(IW29EDITAR!E:E, IW29EDITAR!I:I, A125, IW29EDITAR!H:H, "LINE 3")</f>
        <v>0</v>
      </c>
      <c r="O125" s="76">
        <f>SUMIFS(IW29EDITAR!E:E, IW29EDITAR!I:I, A125, IW29EDITAR!H:H, "LINE 4") + SUMIFS(IW29EDITAR!E:E, IW29EDITAR!I:I, A125, IW29EDITAR!H:H, "LINE 5")+SUMIFS(IW29EDITAR!E:E, IW29EDITAR!I:I, A125, IW29EDITAR!H:H, "LINE 6")</f>
        <v>0</v>
      </c>
    </row>
    <row r="126" spans="1:15" ht="14.4">
      <c r="A126" s="75">
        <v>20000011</v>
      </c>
      <c r="B126" s="75" t="s">
        <v>4680</v>
      </c>
      <c r="C126" s="13" t="str">
        <f>IFERROR(VLOOKUP(B126, 'Base de datos'!A:B, 2, FALSE), "")</f>
        <v/>
      </c>
      <c r="D126" s="29" t="e">
        <f t="shared" ca="1" si="0"/>
        <v>#NAME?</v>
      </c>
      <c r="E126" s="3"/>
      <c r="F126" s="3">
        <f>COUNTIF(IW29EDITAR!I:I,A126)</f>
        <v>0</v>
      </c>
      <c r="G126" s="3">
        <f>COUNTIF('M2'!J:J,B126)</f>
        <v>0</v>
      </c>
      <c r="H126" s="3">
        <f>SUMIF(IW29EDITAR!I:I,A126,IW29EDITAR!E:E)</f>
        <v>0</v>
      </c>
      <c r="I126" s="76">
        <f>SUMIF('M2'!J:J,B126,'M2'!E:E)</f>
        <v>0</v>
      </c>
      <c r="J126" s="77">
        <f>SUMIFS(IW29EDITAR!E:E, IW29EDITAR!I:I, A126, IW29EDITAR!H:H, "LINE 8")</f>
        <v>0</v>
      </c>
      <c r="K126" s="77">
        <f>SUMIFS(IW29EDITAR!E:E, IW29EDITAR!I:I, A126, IW29EDITAR!H:H, "LINE 10")</f>
        <v>0</v>
      </c>
      <c r="L126" s="77">
        <f>SUMIFS(IW29EDITAR!E:E, IW29EDITAR!I:I, A126, IW29EDITAR!H:H, "LINE 1")</f>
        <v>0</v>
      </c>
      <c r="M126" s="77">
        <f>SUMIFS(IW29EDITAR!E:E, IW29EDITAR!I:I, A126, IW29EDITAR!H:H, "LINE 2")</f>
        <v>0</v>
      </c>
      <c r="N126" s="77">
        <f>SUMIFS(IW29EDITAR!E:E, IW29EDITAR!I:I, A126, IW29EDITAR!H:H, "LINE 3")</f>
        <v>0</v>
      </c>
      <c r="O126" s="76">
        <f>SUMIFS(IW29EDITAR!E:E, IW29EDITAR!I:I, A126, IW29EDITAR!H:H, "LINE 4") + SUMIFS(IW29EDITAR!E:E, IW29EDITAR!I:I, A126, IW29EDITAR!H:H, "LINE 5")+SUMIFS(IW29EDITAR!E:E, IW29EDITAR!I:I, A126, IW29EDITAR!H:H, "LINE 6")</f>
        <v>0</v>
      </c>
    </row>
    <row r="127" spans="1:15" ht="14.4">
      <c r="A127" s="75">
        <v>20000003</v>
      </c>
      <c r="B127" s="75" t="s">
        <v>4681</v>
      </c>
      <c r="C127" s="13" t="str">
        <f>IFERROR(VLOOKUP(B127, 'Base de datos'!A:B, 2, FALSE), "")</f>
        <v/>
      </c>
      <c r="D127" s="29" t="e">
        <f t="shared" ca="1" si="0"/>
        <v>#NAME?</v>
      </c>
      <c r="E127" s="3"/>
      <c r="F127" s="3">
        <f>COUNTIF(IW29EDITAR!I:I,A127)</f>
        <v>0</v>
      </c>
      <c r="G127" s="3">
        <f>COUNTIF('M2'!J:J,B127)</f>
        <v>0</v>
      </c>
      <c r="H127" s="3">
        <f>SUMIF(IW29EDITAR!I:I,A127,IW29EDITAR!E:E)</f>
        <v>0</v>
      </c>
      <c r="I127" s="76">
        <f>SUMIF('M2'!J:J,B127,'M2'!E:E)</f>
        <v>0</v>
      </c>
      <c r="J127" s="77">
        <f>SUMIFS(IW29EDITAR!E:E, IW29EDITAR!I:I, A127, IW29EDITAR!H:H, "LINE 8")</f>
        <v>0</v>
      </c>
      <c r="K127" s="77">
        <f>SUMIFS(IW29EDITAR!E:E, IW29EDITAR!I:I, A127, IW29EDITAR!H:H, "LINE 10")</f>
        <v>0</v>
      </c>
      <c r="L127" s="77">
        <f>SUMIFS(IW29EDITAR!E:E, IW29EDITAR!I:I, A127, IW29EDITAR!H:H, "LINE 1")</f>
        <v>0</v>
      </c>
      <c r="M127" s="77">
        <f>SUMIFS(IW29EDITAR!E:E, IW29EDITAR!I:I, A127, IW29EDITAR!H:H, "LINE 2")</f>
        <v>0</v>
      </c>
      <c r="N127" s="77">
        <f>SUMIFS(IW29EDITAR!E:E, IW29EDITAR!I:I, A127, IW29EDITAR!H:H, "LINE 3")</f>
        <v>0</v>
      </c>
      <c r="O127" s="76">
        <f>SUMIFS(IW29EDITAR!E:E, IW29EDITAR!I:I, A127, IW29EDITAR!H:H, "LINE 4") + SUMIFS(IW29EDITAR!E:E, IW29EDITAR!I:I, A127, IW29EDITAR!H:H, "LINE 5")+SUMIFS(IW29EDITAR!E:E, IW29EDITAR!I:I, A127, IW29EDITAR!H:H, "LINE 6")</f>
        <v>0</v>
      </c>
    </row>
    <row r="128" spans="1:15" ht="14.4">
      <c r="A128" s="75">
        <v>20068360</v>
      </c>
      <c r="B128" s="75" t="s">
        <v>4682</v>
      </c>
      <c r="C128" s="13" t="str">
        <f>IFERROR(VLOOKUP(B128, 'Base de datos'!A:B, 2, FALSE), "")</f>
        <v/>
      </c>
      <c r="D128" s="29" t="e">
        <f t="shared" ca="1" si="0"/>
        <v>#NAME?</v>
      </c>
      <c r="E128" s="3"/>
      <c r="F128" s="3">
        <f>COUNTIF(IW29EDITAR!I:I,A128)</f>
        <v>0</v>
      </c>
      <c r="G128" s="3">
        <f>COUNTIF('M2'!J:J,B128)</f>
        <v>0</v>
      </c>
      <c r="H128" s="3">
        <f>SUMIF(IW29EDITAR!I:I,A128,IW29EDITAR!E:E)</f>
        <v>0</v>
      </c>
      <c r="I128" s="76">
        <f>SUMIF('M2'!J:J,B128,'M2'!E:E)</f>
        <v>0</v>
      </c>
      <c r="J128" s="77">
        <f>SUMIFS(IW29EDITAR!E:E, IW29EDITAR!I:I, A128, IW29EDITAR!H:H, "LINE 8")</f>
        <v>0</v>
      </c>
      <c r="K128" s="77">
        <f>SUMIFS(IW29EDITAR!E:E, IW29EDITAR!I:I, A128, IW29EDITAR!H:H, "LINE 10")</f>
        <v>0</v>
      </c>
      <c r="L128" s="77">
        <f>SUMIFS(IW29EDITAR!E:E, IW29EDITAR!I:I, A128, IW29EDITAR!H:H, "LINE 1")</f>
        <v>0</v>
      </c>
      <c r="M128" s="77">
        <f>SUMIFS(IW29EDITAR!E:E, IW29EDITAR!I:I, A128, IW29EDITAR!H:H, "LINE 2")</f>
        <v>0</v>
      </c>
      <c r="N128" s="77">
        <f>SUMIFS(IW29EDITAR!E:E, IW29EDITAR!I:I, A128, IW29EDITAR!H:H, "LINE 3")</f>
        <v>0</v>
      </c>
      <c r="O128" s="76">
        <f>SUMIFS(IW29EDITAR!E:E, IW29EDITAR!I:I, A128, IW29EDITAR!H:H, "LINE 4") + SUMIFS(IW29EDITAR!E:E, IW29EDITAR!I:I, A128, IW29EDITAR!H:H, "LINE 5")+SUMIFS(IW29EDITAR!E:E, IW29EDITAR!I:I, A128, IW29EDITAR!H:H, "LINE 6")</f>
        <v>0</v>
      </c>
    </row>
    <row r="129" spans="1:15" ht="14.4">
      <c r="A129" s="75">
        <v>20038806</v>
      </c>
      <c r="B129" s="75" t="s">
        <v>2326</v>
      </c>
      <c r="C129" s="13">
        <f>IFERROR(VLOOKUP(B129, 'Base de datos'!A:B, 2, FALSE), "")</f>
        <v>573212589618</v>
      </c>
      <c r="D129" s="29" t="e">
        <f t="shared" ca="1" si="0"/>
        <v>#NAME?</v>
      </c>
      <c r="E129" s="3"/>
      <c r="F129" s="3">
        <f>COUNTIF(IW29EDITAR!I:I,A129)</f>
        <v>0</v>
      </c>
      <c r="G129" s="3">
        <f>COUNTIF('M2'!J:J,B129)</f>
        <v>0</v>
      </c>
      <c r="H129" s="3">
        <f>SUMIF(IW29EDITAR!I:I,A129,IW29EDITAR!E:E)</f>
        <v>0</v>
      </c>
      <c r="I129" s="76">
        <f>SUMIF('M2'!J:J,B129,'M2'!E:E)</f>
        <v>0</v>
      </c>
      <c r="J129" s="77">
        <f>SUMIFS(IW29EDITAR!E:E, IW29EDITAR!I:I, A129, IW29EDITAR!H:H, "LINE 8")</f>
        <v>0</v>
      </c>
      <c r="K129" s="77">
        <f>SUMIFS(IW29EDITAR!E:E, IW29EDITAR!I:I, A129, IW29EDITAR!H:H, "LINE 10")</f>
        <v>0</v>
      </c>
      <c r="L129" s="77">
        <f>SUMIFS(IW29EDITAR!E:E, IW29EDITAR!I:I, A129, IW29EDITAR!H:H, "LINE 1")</f>
        <v>0</v>
      </c>
      <c r="M129" s="77">
        <f>SUMIFS(IW29EDITAR!E:E, IW29EDITAR!I:I, A129, IW29EDITAR!H:H, "LINE 2")</f>
        <v>0</v>
      </c>
      <c r="N129" s="77">
        <f>SUMIFS(IW29EDITAR!E:E, IW29EDITAR!I:I, A129, IW29EDITAR!H:H, "LINE 3")</f>
        <v>0</v>
      </c>
      <c r="O129" s="76">
        <f>SUMIFS(IW29EDITAR!E:E, IW29EDITAR!I:I, A129, IW29EDITAR!H:H, "LINE 4") + SUMIFS(IW29EDITAR!E:E, IW29EDITAR!I:I, A129, IW29EDITAR!H:H, "LINE 5")+SUMIFS(IW29EDITAR!E:E, IW29EDITAR!I:I, A129, IW29EDITAR!H:H, "LINE 6")</f>
        <v>0</v>
      </c>
    </row>
    <row r="130" spans="1:15" ht="14.4">
      <c r="A130" s="75">
        <v>20069604</v>
      </c>
      <c r="B130" s="75" t="s">
        <v>4683</v>
      </c>
      <c r="C130" s="13" t="str">
        <f>IFERROR(VLOOKUP(B130, 'Base de datos'!A:B, 2, FALSE), "")</f>
        <v/>
      </c>
      <c r="D130" s="29" t="e">
        <f t="shared" ca="1" si="0"/>
        <v>#NAME?</v>
      </c>
      <c r="E130" s="3"/>
      <c r="F130" s="3">
        <f>COUNTIF(IW29EDITAR!I:I,A130)</f>
        <v>0</v>
      </c>
      <c r="G130" s="3">
        <f>COUNTIF('M2'!J:J,B130)</f>
        <v>0</v>
      </c>
      <c r="H130" s="3">
        <f>SUMIF(IW29EDITAR!I:I,A130,IW29EDITAR!E:E)</f>
        <v>0</v>
      </c>
      <c r="I130" s="76">
        <f>SUMIF('M2'!J:J,B130,'M2'!E:E)</f>
        <v>0</v>
      </c>
      <c r="J130" s="77">
        <f>SUMIFS(IW29EDITAR!E:E, IW29EDITAR!I:I, A130, IW29EDITAR!H:H, "LINE 8")</f>
        <v>0</v>
      </c>
      <c r="K130" s="77">
        <f>SUMIFS(IW29EDITAR!E:E, IW29EDITAR!I:I, A130, IW29EDITAR!H:H, "LINE 10")</f>
        <v>0</v>
      </c>
      <c r="L130" s="77">
        <f>SUMIFS(IW29EDITAR!E:E, IW29EDITAR!I:I, A130, IW29EDITAR!H:H, "LINE 1")</f>
        <v>0</v>
      </c>
      <c r="M130" s="77">
        <f>SUMIFS(IW29EDITAR!E:E, IW29EDITAR!I:I, A130, IW29EDITAR!H:H, "LINE 2")</f>
        <v>0</v>
      </c>
      <c r="N130" s="77">
        <f>SUMIFS(IW29EDITAR!E:E, IW29EDITAR!I:I, A130, IW29EDITAR!H:H, "LINE 3")</f>
        <v>0</v>
      </c>
      <c r="O130" s="76">
        <f>SUMIFS(IW29EDITAR!E:E, IW29EDITAR!I:I, A130, IW29EDITAR!H:H, "LINE 4") + SUMIFS(IW29EDITAR!E:E, IW29EDITAR!I:I, A130, IW29EDITAR!H:H, "LINE 5")+SUMIFS(IW29EDITAR!E:E, IW29EDITAR!I:I, A130, IW29EDITAR!H:H, "LINE 6")</f>
        <v>0</v>
      </c>
    </row>
    <row r="131" spans="1:15" ht="14.4">
      <c r="A131" s="75">
        <v>20000005</v>
      </c>
      <c r="B131" s="75" t="s">
        <v>4684</v>
      </c>
      <c r="C131" s="13" t="str">
        <f>IFERROR(VLOOKUP(B131, 'Base de datos'!A:B, 2, FALSE), "")</f>
        <v/>
      </c>
      <c r="D131" s="29" t="e">
        <f t="shared" ca="1" si="0"/>
        <v>#NAME?</v>
      </c>
      <c r="E131" s="3"/>
      <c r="F131" s="3">
        <f>COUNTIF(IW29EDITAR!I:I,A131)</f>
        <v>0</v>
      </c>
      <c r="G131" s="3">
        <f>COUNTIF('M2'!J:J,B131)</f>
        <v>0</v>
      </c>
      <c r="H131" s="3">
        <f>SUMIF(IW29EDITAR!I:I,A131,IW29EDITAR!E:E)</f>
        <v>0</v>
      </c>
      <c r="I131" s="76">
        <f>SUMIF('M2'!J:J,B131,'M2'!E:E)</f>
        <v>0</v>
      </c>
      <c r="J131" s="77">
        <f>SUMIFS(IW29EDITAR!E:E, IW29EDITAR!I:I, A131, IW29EDITAR!H:H, "LINE 8")</f>
        <v>0</v>
      </c>
      <c r="K131" s="77">
        <f>SUMIFS(IW29EDITAR!E:E, IW29EDITAR!I:I, A131, IW29EDITAR!H:H, "LINE 10")</f>
        <v>0</v>
      </c>
      <c r="L131" s="77">
        <f>SUMIFS(IW29EDITAR!E:E, IW29EDITAR!I:I, A131, IW29EDITAR!H:H, "LINE 1")</f>
        <v>0</v>
      </c>
      <c r="M131" s="77">
        <f>SUMIFS(IW29EDITAR!E:E, IW29EDITAR!I:I, A131, IW29EDITAR!H:H, "LINE 2")</f>
        <v>0</v>
      </c>
      <c r="N131" s="77">
        <f>SUMIFS(IW29EDITAR!E:E, IW29EDITAR!I:I, A131, IW29EDITAR!H:H, "LINE 3")</f>
        <v>0</v>
      </c>
      <c r="O131" s="76">
        <f>SUMIFS(IW29EDITAR!E:E, IW29EDITAR!I:I, A131, IW29EDITAR!H:H, "LINE 4") + SUMIFS(IW29EDITAR!E:E, IW29EDITAR!I:I, A131, IW29EDITAR!H:H, "LINE 5")+SUMIFS(IW29EDITAR!E:E, IW29EDITAR!I:I, A131, IW29EDITAR!H:H, "LINE 6")</f>
        <v>0</v>
      </c>
    </row>
    <row r="132" spans="1:15" ht="14.4">
      <c r="A132" s="75">
        <v>20010206</v>
      </c>
      <c r="B132" s="75" t="s">
        <v>1152</v>
      </c>
      <c r="C132" s="13">
        <f>IFERROR(VLOOKUP(B132, 'Base de datos'!A:B, 2, FALSE), "")</f>
        <v>573136290785</v>
      </c>
      <c r="D132" s="29" t="e">
        <f t="shared" ca="1" si="0"/>
        <v>#NAME?</v>
      </c>
      <c r="E132" s="23" t="s">
        <v>4685</v>
      </c>
      <c r="F132" s="3">
        <f>COUNTIF(IW29EDITAR!I:I,A132)</f>
        <v>5</v>
      </c>
      <c r="G132" s="3">
        <f>COUNTIF('M2'!J:J,B132)</f>
        <v>0</v>
      </c>
      <c r="H132" s="3">
        <f>SUMIF(IW29EDITAR!I:I,A132,IW29EDITAR!E:E)</f>
        <v>3.73</v>
      </c>
      <c r="I132" s="76">
        <f>SUMIF('M2'!J:J,B132,'M2'!E:E)</f>
        <v>0</v>
      </c>
      <c r="J132" s="77">
        <f>SUMIFS(IW29EDITAR!E:E, IW29EDITAR!I:I, A132, IW29EDITAR!H:H, "LINE 8")</f>
        <v>3.73</v>
      </c>
      <c r="K132" s="77">
        <f>SUMIFS(IW29EDITAR!E:E, IW29EDITAR!I:I, A132, IW29EDITAR!H:H, "LINE 10")</f>
        <v>0</v>
      </c>
      <c r="L132" s="77">
        <f>SUMIFS(IW29EDITAR!E:E, IW29EDITAR!I:I, A132, IW29EDITAR!H:H, "LINE 1")</f>
        <v>0</v>
      </c>
      <c r="M132" s="77">
        <f>SUMIFS(IW29EDITAR!E:E, IW29EDITAR!I:I, A132, IW29EDITAR!H:H, "LINE 2")</f>
        <v>0</v>
      </c>
      <c r="N132" s="77">
        <f>SUMIFS(IW29EDITAR!E:E, IW29EDITAR!I:I, A132, IW29EDITAR!H:H, "LINE 3")</f>
        <v>0</v>
      </c>
      <c r="O132" s="76">
        <f>SUMIFS(IW29EDITAR!E:E, IW29EDITAR!I:I, A132, IW29EDITAR!H:H, "LINE 4") + SUMIFS(IW29EDITAR!E:E, IW29EDITAR!I:I, A132, IW29EDITAR!H:H, "LINE 5")+SUMIFS(IW29EDITAR!E:E, IW29EDITAR!I:I, A132, IW29EDITAR!H:H, "LINE 6")</f>
        <v>0</v>
      </c>
    </row>
    <row r="133" spans="1:15" ht="14.4">
      <c r="A133" s="75">
        <v>20058001</v>
      </c>
      <c r="B133" s="75" t="s">
        <v>4686</v>
      </c>
      <c r="C133" s="13" t="str">
        <f>IFERROR(VLOOKUP(B133, 'Base de datos'!A:B, 2, FALSE), "")</f>
        <v/>
      </c>
      <c r="D133" s="29" t="e">
        <f t="shared" ca="1" si="0"/>
        <v>#NAME?</v>
      </c>
      <c r="E133" s="3" t="s">
        <v>4687</v>
      </c>
      <c r="F133" s="3">
        <f>COUNTIF(IW29EDITAR!I:I,A133)</f>
        <v>2</v>
      </c>
      <c r="G133" s="3">
        <f>COUNTIF('M2'!J:J,B133)</f>
        <v>0</v>
      </c>
      <c r="H133" s="3">
        <f>SUMIF(IW29EDITAR!I:I,A133,IW29EDITAR!E:E)</f>
        <v>0.65999999999999992</v>
      </c>
      <c r="I133" s="76">
        <f>SUMIF('M2'!J:J,B133,'M2'!E:E)</f>
        <v>0</v>
      </c>
      <c r="J133" s="77">
        <f>SUMIFS(IW29EDITAR!E:E, IW29EDITAR!I:I, A133, IW29EDITAR!H:H, "LINE 8")</f>
        <v>0</v>
      </c>
      <c r="K133" s="77">
        <f>SUMIFS(IW29EDITAR!E:E, IW29EDITAR!I:I, A133, IW29EDITAR!H:H, "LINE 10")</f>
        <v>0.65999999999999992</v>
      </c>
      <c r="L133" s="77">
        <f>SUMIFS(IW29EDITAR!E:E, IW29EDITAR!I:I, A133, IW29EDITAR!H:H, "LINE 1")</f>
        <v>0</v>
      </c>
      <c r="M133" s="77">
        <f>SUMIFS(IW29EDITAR!E:E, IW29EDITAR!I:I, A133, IW29EDITAR!H:H, "LINE 2")</f>
        <v>0</v>
      </c>
      <c r="N133" s="77">
        <f>SUMIFS(IW29EDITAR!E:E, IW29EDITAR!I:I, A133, IW29EDITAR!H:H, "LINE 3")</f>
        <v>0</v>
      </c>
      <c r="O133" s="76">
        <f>SUMIFS(IW29EDITAR!E:E, IW29EDITAR!I:I, A133, IW29EDITAR!H:H, "LINE 4") + SUMIFS(IW29EDITAR!E:E, IW29EDITAR!I:I, A133, IW29EDITAR!H:H, "LINE 5")+SUMIFS(IW29EDITAR!E:E, IW29EDITAR!I:I, A133, IW29EDITAR!H:H, "LINE 6")</f>
        <v>0</v>
      </c>
    </row>
    <row r="134" spans="1:15" ht="14.4">
      <c r="A134" s="75">
        <v>20044748</v>
      </c>
      <c r="B134" s="75" t="s">
        <v>4688</v>
      </c>
      <c r="C134" s="13">
        <f>IFERROR(VLOOKUP(B134, 'Base de datos'!A:B, 2, FALSE), "")</f>
        <v>573012765105</v>
      </c>
      <c r="D134" s="29" t="e">
        <f t="shared" ca="1" si="0"/>
        <v>#NAME?</v>
      </c>
      <c r="E134" s="3" t="s">
        <v>4689</v>
      </c>
      <c r="F134" s="3">
        <f>COUNTIF(IW29EDITAR!I:I,A134)</f>
        <v>0</v>
      </c>
      <c r="G134" s="3">
        <f>COUNTIF('M2'!J:J,B134)</f>
        <v>0</v>
      </c>
      <c r="H134" s="3">
        <f>SUMIF(IW29EDITAR!I:I,A134,IW29EDITAR!E:E)</f>
        <v>0</v>
      </c>
      <c r="I134" s="76">
        <f>SUMIF('M2'!J:J,B134,'M2'!E:E)</f>
        <v>0</v>
      </c>
      <c r="J134" s="77">
        <f>SUMIFS(IW29EDITAR!E:E, IW29EDITAR!I:I, A134, IW29EDITAR!H:H, "LINE 8")</f>
        <v>0</v>
      </c>
      <c r="K134" s="77">
        <f>SUMIFS(IW29EDITAR!E:E, IW29EDITAR!I:I, A134, IW29EDITAR!H:H, "LINE 10")</f>
        <v>0</v>
      </c>
      <c r="L134" s="77">
        <f>SUMIFS(IW29EDITAR!E:E, IW29EDITAR!I:I, A134, IW29EDITAR!H:H, "LINE 1")</f>
        <v>0</v>
      </c>
      <c r="M134" s="77">
        <f>SUMIFS(IW29EDITAR!E:E, IW29EDITAR!I:I, A134, IW29EDITAR!H:H, "LINE 2")</f>
        <v>0</v>
      </c>
      <c r="N134" s="77">
        <f>SUMIFS(IW29EDITAR!E:E, IW29EDITAR!I:I, A134, IW29EDITAR!H:H, "LINE 3")</f>
        <v>0</v>
      </c>
      <c r="O134" s="76">
        <f>SUMIFS(IW29EDITAR!E:E, IW29EDITAR!I:I, A134, IW29EDITAR!H:H, "LINE 4") + SUMIFS(IW29EDITAR!E:E, IW29EDITAR!I:I, A134, IW29EDITAR!H:H, "LINE 5")+SUMIFS(IW29EDITAR!E:E, IW29EDITAR!I:I, A134, IW29EDITAR!H:H, "LINE 6")</f>
        <v>0</v>
      </c>
    </row>
    <row r="135" spans="1:15" ht="14.4">
      <c r="A135" s="75">
        <v>20010079</v>
      </c>
      <c r="B135" s="75" t="s">
        <v>196</v>
      </c>
      <c r="C135" s="13">
        <f>IFERROR(VLOOKUP(B135, 'Base de datos'!A:B, 2, FALSE), "")</f>
        <v>573022795068</v>
      </c>
      <c r="D135" s="29" t="e">
        <f t="shared" ca="1" si="0"/>
        <v>#NAME?</v>
      </c>
      <c r="E135" s="3" t="s">
        <v>4690</v>
      </c>
      <c r="F135" s="3">
        <f>COUNTIF(IW29EDITAR!I:I,A135)</f>
        <v>3</v>
      </c>
      <c r="G135" s="3">
        <f>COUNTIF('M2'!J:J,B135)</f>
        <v>0</v>
      </c>
      <c r="H135" s="3">
        <f>SUMIF(IW29EDITAR!I:I,A135,IW29EDITAR!E:E)</f>
        <v>1.25</v>
      </c>
      <c r="I135" s="76">
        <f>SUMIF('M2'!J:J,B135,'M2'!E:E)</f>
        <v>0</v>
      </c>
      <c r="J135" s="77">
        <f>SUMIFS(IW29EDITAR!E:E, IW29EDITAR!I:I, A135, IW29EDITAR!H:H, "LINE 8")</f>
        <v>0</v>
      </c>
      <c r="K135" s="77">
        <f>SUMIFS(IW29EDITAR!E:E, IW29EDITAR!I:I, A135, IW29EDITAR!H:H, "LINE 10")</f>
        <v>1.25</v>
      </c>
      <c r="L135" s="77">
        <f>SUMIFS(IW29EDITAR!E:E, IW29EDITAR!I:I, A135, IW29EDITAR!H:H, "LINE 1")</f>
        <v>0</v>
      </c>
      <c r="M135" s="77">
        <f>SUMIFS(IW29EDITAR!E:E, IW29EDITAR!I:I, A135, IW29EDITAR!H:H, "LINE 2")</f>
        <v>0</v>
      </c>
      <c r="N135" s="77">
        <f>SUMIFS(IW29EDITAR!E:E, IW29EDITAR!I:I, A135, IW29EDITAR!H:H, "LINE 3")</f>
        <v>0</v>
      </c>
      <c r="O135" s="76">
        <f>SUMIFS(IW29EDITAR!E:E, IW29EDITAR!I:I, A135, IW29EDITAR!H:H, "LINE 4") + SUMIFS(IW29EDITAR!E:E, IW29EDITAR!I:I, A135, IW29EDITAR!H:H, "LINE 5")+SUMIFS(IW29EDITAR!E:E, IW29EDITAR!I:I, A135, IW29EDITAR!H:H, "LINE 6")</f>
        <v>0</v>
      </c>
    </row>
    <row r="136" spans="1:15" ht="14.4">
      <c r="A136" s="75">
        <v>20009954</v>
      </c>
      <c r="B136" s="75" t="s">
        <v>1781</v>
      </c>
      <c r="C136" s="13">
        <f>IFERROR(VLOOKUP(B136, 'Base de datos'!A:B, 2, FALSE), "")</f>
        <v>573206184367</v>
      </c>
      <c r="D136" s="29" t="e">
        <f t="shared" ca="1" si="0"/>
        <v>#NAME?</v>
      </c>
      <c r="E136" s="3" t="s">
        <v>4691</v>
      </c>
      <c r="F136" s="3">
        <f>COUNTIF(IW29EDITAR!I:I,A136)</f>
        <v>1</v>
      </c>
      <c r="G136" s="3">
        <f>COUNTIF('M2'!J:J,B136)</f>
        <v>0</v>
      </c>
      <c r="H136" s="3">
        <f>SUMIF(IW29EDITAR!I:I,A136,IW29EDITAR!E:E)</f>
        <v>0.08</v>
      </c>
      <c r="I136" s="76">
        <f>SUMIF('M2'!J:J,B136,'M2'!E:E)</f>
        <v>0</v>
      </c>
      <c r="J136" s="77">
        <f>SUMIFS(IW29EDITAR!E:E, IW29EDITAR!I:I, A136, IW29EDITAR!H:H, "LINE 8")</f>
        <v>0.08</v>
      </c>
      <c r="K136" s="77">
        <f>SUMIFS(IW29EDITAR!E:E, IW29EDITAR!I:I, A136, IW29EDITAR!H:H, "LINE 10")</f>
        <v>0</v>
      </c>
      <c r="L136" s="77">
        <f>SUMIFS(IW29EDITAR!E:E, IW29EDITAR!I:I, A136, IW29EDITAR!H:H, "LINE 1")</f>
        <v>0</v>
      </c>
      <c r="M136" s="77">
        <f>SUMIFS(IW29EDITAR!E:E, IW29EDITAR!I:I, A136, IW29EDITAR!H:H, "LINE 2")</f>
        <v>0</v>
      </c>
      <c r="N136" s="77">
        <f>SUMIFS(IW29EDITAR!E:E, IW29EDITAR!I:I, A136, IW29EDITAR!H:H, "LINE 3")</f>
        <v>0</v>
      </c>
      <c r="O136" s="76">
        <f>SUMIFS(IW29EDITAR!E:E, IW29EDITAR!I:I, A136, IW29EDITAR!H:H, "LINE 4") + SUMIFS(IW29EDITAR!E:E, IW29EDITAR!I:I, A136, IW29EDITAR!H:H, "LINE 5")+SUMIFS(IW29EDITAR!E:E, IW29EDITAR!I:I, A136, IW29EDITAR!H:H, "LINE 6")</f>
        <v>0</v>
      </c>
    </row>
    <row r="137" spans="1:15" ht="14.4">
      <c r="A137" s="75">
        <v>20071248</v>
      </c>
      <c r="B137" s="75" t="s">
        <v>4692</v>
      </c>
      <c r="C137" s="13" t="str">
        <f>IFERROR(VLOOKUP(B137, 'Base de datos'!A:B, 2, FALSE), "")</f>
        <v/>
      </c>
      <c r="D137" s="29" t="e">
        <f t="shared" ca="1" si="0"/>
        <v>#NAME?</v>
      </c>
      <c r="E137" s="3"/>
      <c r="F137" s="3">
        <f>COUNTIF(IW29EDITAR!I:I,A137)</f>
        <v>0</v>
      </c>
      <c r="G137" s="3">
        <f>COUNTIF('M2'!J:J,B137)</f>
        <v>0</v>
      </c>
      <c r="H137" s="3">
        <f>SUMIF(IW29EDITAR!I:I,A137,IW29EDITAR!E:E)</f>
        <v>0</v>
      </c>
      <c r="I137" s="76">
        <f>SUMIF('M2'!J:J,B137,'M2'!E:E)</f>
        <v>0</v>
      </c>
      <c r="J137" s="77">
        <f>SUMIFS(IW29EDITAR!E:E, IW29EDITAR!I:I, A137, IW29EDITAR!H:H, "LINE 8")</f>
        <v>0</v>
      </c>
      <c r="K137" s="77">
        <f>SUMIFS(IW29EDITAR!E:E, IW29EDITAR!I:I, A137, IW29EDITAR!H:H, "LINE 10")</f>
        <v>0</v>
      </c>
      <c r="L137" s="77">
        <f>SUMIFS(IW29EDITAR!E:E, IW29EDITAR!I:I, A137, IW29EDITAR!H:H, "LINE 1")</f>
        <v>0</v>
      </c>
      <c r="M137" s="77">
        <f>SUMIFS(IW29EDITAR!E:E, IW29EDITAR!I:I, A137, IW29EDITAR!H:H, "LINE 2")</f>
        <v>0</v>
      </c>
      <c r="N137" s="77">
        <f>SUMIFS(IW29EDITAR!E:E, IW29EDITAR!I:I, A137, IW29EDITAR!H:H, "LINE 3")</f>
        <v>0</v>
      </c>
      <c r="O137" s="76">
        <f>SUMIFS(IW29EDITAR!E:E, IW29EDITAR!I:I, A137, IW29EDITAR!H:H, "LINE 4") + SUMIFS(IW29EDITAR!E:E, IW29EDITAR!I:I, A137, IW29EDITAR!H:H, "LINE 5")+SUMIFS(IW29EDITAR!E:E, IW29EDITAR!I:I, A137, IW29EDITAR!H:H, "LINE 6")</f>
        <v>0</v>
      </c>
    </row>
    <row r="138" spans="1:15" ht="14.4">
      <c r="A138" s="75">
        <v>20019987</v>
      </c>
      <c r="B138" s="75" t="s">
        <v>1677</v>
      </c>
      <c r="C138" s="13">
        <f>IFERROR(VLOOKUP(B138, 'Base de datos'!A:B, 2, FALSE), "")</f>
        <v>573233625135</v>
      </c>
      <c r="D138" s="29" t="e">
        <f t="shared" ca="1" si="0"/>
        <v>#NAME?</v>
      </c>
      <c r="E138" s="3" t="s">
        <v>4693</v>
      </c>
      <c r="F138" s="3">
        <f>COUNTIF(IW29EDITAR!I:I,A138)</f>
        <v>12</v>
      </c>
      <c r="G138" s="3">
        <f>COUNTIF('M2'!J:J,B138)</f>
        <v>0</v>
      </c>
      <c r="H138" s="3">
        <f>SUMIF(IW29EDITAR!I:I,A138,IW29EDITAR!E:E)</f>
        <v>3.1399999999999997</v>
      </c>
      <c r="I138" s="76">
        <f>SUMIF('M2'!J:J,B138,'M2'!E:E)</f>
        <v>0</v>
      </c>
      <c r="J138" s="77">
        <f>SUMIFS(IW29EDITAR!E:E, IW29EDITAR!I:I, A138, IW29EDITAR!H:H, "LINE 8")</f>
        <v>0</v>
      </c>
      <c r="K138" s="77">
        <f>SUMIFS(IW29EDITAR!E:E, IW29EDITAR!I:I, A138, IW29EDITAR!H:H, "LINE 10")</f>
        <v>0</v>
      </c>
      <c r="L138" s="77">
        <f>SUMIFS(IW29EDITAR!E:E, IW29EDITAR!I:I, A138, IW29EDITAR!H:H, "LINE 1")</f>
        <v>3.1399999999999997</v>
      </c>
      <c r="M138" s="77">
        <f>SUMIFS(IW29EDITAR!E:E, IW29EDITAR!I:I, A138, IW29EDITAR!H:H, "LINE 2")</f>
        <v>0</v>
      </c>
      <c r="N138" s="77">
        <f>SUMIFS(IW29EDITAR!E:E, IW29EDITAR!I:I, A138, IW29EDITAR!H:H, "LINE 3")</f>
        <v>0</v>
      </c>
      <c r="O138" s="76">
        <f>SUMIFS(IW29EDITAR!E:E, IW29EDITAR!I:I, A138, IW29EDITAR!H:H, "LINE 4") + SUMIFS(IW29EDITAR!E:E, IW29EDITAR!I:I, A138, IW29EDITAR!H:H, "LINE 5")+SUMIFS(IW29EDITAR!E:E, IW29EDITAR!I:I, A138, IW29EDITAR!H:H, "LINE 6")</f>
        <v>0</v>
      </c>
    </row>
    <row r="139" spans="1:15" ht="14.4">
      <c r="A139" s="81">
        <v>20078418</v>
      </c>
      <c r="B139" s="75" t="s">
        <v>4694</v>
      </c>
      <c r="C139" s="13">
        <f>IFERROR(VLOOKUP(B139, 'Base de datos'!A:B, 2, FALSE), "")</f>
        <v>573117720757</v>
      </c>
      <c r="D139" s="29" t="e">
        <f t="shared" ca="1" si="0"/>
        <v>#NAME?</v>
      </c>
      <c r="E139" s="82" t="s">
        <v>4695</v>
      </c>
      <c r="F139" s="3">
        <f>COUNTIF(IW29EDITAR!I:I,A139)</f>
        <v>0</v>
      </c>
      <c r="G139" s="3">
        <f>COUNTIF('M2'!J:J,B139)</f>
        <v>0</v>
      </c>
      <c r="H139" s="3">
        <f>SUMIF(IW29EDITAR!I:I,A139,IW29EDITAR!E:E)</f>
        <v>0</v>
      </c>
      <c r="I139" s="76">
        <f>SUMIF('M2'!J:J,B139,'M2'!E:E)</f>
        <v>0</v>
      </c>
      <c r="J139" s="77">
        <f>SUMIFS(IW29EDITAR!E:E, IW29EDITAR!I:I, A139, IW29EDITAR!H:H, "LINE 8")</f>
        <v>0</v>
      </c>
      <c r="K139" s="77">
        <f>SUMIFS(IW29EDITAR!E:E, IW29EDITAR!I:I, A139, IW29EDITAR!H:H, "LINE 10")</f>
        <v>0</v>
      </c>
      <c r="L139" s="77">
        <f>SUMIFS(IW29EDITAR!E:E, IW29EDITAR!I:I, A139, IW29EDITAR!H:H, "LINE 1")</f>
        <v>0</v>
      </c>
      <c r="M139" s="77">
        <f>SUMIFS(IW29EDITAR!E:E, IW29EDITAR!I:I, A139, IW29EDITAR!H:H, "LINE 2")</f>
        <v>0</v>
      </c>
      <c r="N139" s="77">
        <f>SUMIFS(IW29EDITAR!E:E, IW29EDITAR!I:I, A139, IW29EDITAR!H:H, "LINE 3")</f>
        <v>0</v>
      </c>
      <c r="O139" s="76">
        <f>SUMIFS(IW29EDITAR!E:E, IW29EDITAR!I:I, A139, IW29EDITAR!H:H, "LINE 4") + SUMIFS(IW29EDITAR!E:E, IW29EDITAR!I:I, A139, IW29EDITAR!H:H, "LINE 5")+SUMIFS(IW29EDITAR!E:E, IW29EDITAR!I:I, A139, IW29EDITAR!H:H, "LINE 6")</f>
        <v>0</v>
      </c>
    </row>
    <row r="140" spans="1:15" ht="13.2">
      <c r="A140" s="81">
        <v>20071244</v>
      </c>
      <c r="B140" s="81" t="s">
        <v>4696</v>
      </c>
      <c r="C140" s="13">
        <f>IFERROR(VLOOKUP(B140, 'Base de datos'!A:B, 2, FALSE), "")</f>
        <v>573015282155</v>
      </c>
      <c r="D140" s="29" t="e">
        <f t="shared" ca="1" si="0"/>
        <v>#NAME?</v>
      </c>
      <c r="E140" s="3"/>
      <c r="F140" s="3">
        <f>COUNTIF(IW29EDITAR!I:I,A140)</f>
        <v>0</v>
      </c>
      <c r="G140" s="3">
        <f>COUNTIF('M2'!J:J,B140)</f>
        <v>0</v>
      </c>
      <c r="H140" s="3">
        <f>SUMIF(IW29EDITAR!I:I,A140,IW29EDITAR!E:E)</f>
        <v>0</v>
      </c>
      <c r="I140" s="76">
        <f>SUMIF('M2'!J:J,B140,'M2'!E:E)</f>
        <v>0</v>
      </c>
      <c r="J140" s="77">
        <f>SUMIFS(IW29EDITAR!E:E, IW29EDITAR!I:I, A140, IW29EDITAR!H:H, "LINE 8")</f>
        <v>0</v>
      </c>
      <c r="K140" s="77">
        <f>SUMIFS(IW29EDITAR!E:E, IW29EDITAR!I:I, A140, IW29EDITAR!H:H, "LINE 10")</f>
        <v>0</v>
      </c>
      <c r="L140" s="77">
        <f>SUMIFS(IW29EDITAR!E:E, IW29EDITAR!I:I, A140, IW29EDITAR!H:H, "LINE 1")</f>
        <v>0</v>
      </c>
      <c r="M140" s="77">
        <f>SUMIFS(IW29EDITAR!E:E, IW29EDITAR!I:I, A140, IW29EDITAR!H:H, "LINE 2")</f>
        <v>0</v>
      </c>
      <c r="N140" s="77">
        <f>SUMIFS(IW29EDITAR!E:E, IW29EDITAR!I:I, A140, IW29EDITAR!H:H, "LINE 3")</f>
        <v>0</v>
      </c>
      <c r="O140" s="76">
        <f>SUMIFS(IW29EDITAR!E:E, IW29EDITAR!I:I, A140, IW29EDITAR!H:H, "LINE 4") + SUMIFS(IW29EDITAR!E:E, IW29EDITAR!I:I, A140, IW29EDITAR!H:H, "LINE 5")+SUMIFS(IW29EDITAR!E:E, IW29EDITAR!I:I, A140, IW29EDITAR!H:H, "LINE 6")</f>
        <v>0</v>
      </c>
    </row>
    <row r="141" spans="1:15" ht="13.2">
      <c r="A141" s="3">
        <v>20079805</v>
      </c>
      <c r="B141" s="81" t="s">
        <v>4697</v>
      </c>
      <c r="C141" s="13" t="str">
        <f>IFERROR(VLOOKUP(B141, 'Base de datos'!A:B, 2, FALSE), "")</f>
        <v/>
      </c>
      <c r="D141" s="29" t="e">
        <f t="shared" ca="1" si="0"/>
        <v>#NAME?</v>
      </c>
      <c r="E141" s="3" t="s">
        <v>4698</v>
      </c>
      <c r="F141" s="3">
        <f>COUNTIF(IW29EDITAR!I:I,A141)</f>
        <v>1</v>
      </c>
      <c r="G141" s="3">
        <f>COUNTIF('M2'!J:J,B141)</f>
        <v>0</v>
      </c>
      <c r="H141" s="3">
        <f>SUMIF(IW29EDITAR!I:I,A141,IW29EDITAR!E:E)</f>
        <v>0.08</v>
      </c>
      <c r="I141" s="76">
        <f>SUMIF('M2'!J:J,B141,'M2'!E:E)</f>
        <v>0</v>
      </c>
      <c r="J141" s="77">
        <f>SUMIFS(IW29EDITAR!E:E, IW29EDITAR!I:I, A141, IW29EDITAR!H:H, "LINE 8")</f>
        <v>0.08</v>
      </c>
      <c r="K141" s="77">
        <f>SUMIFS(IW29EDITAR!E:E, IW29EDITAR!I:I, A141, IW29EDITAR!H:H, "LINE 10")</f>
        <v>0</v>
      </c>
      <c r="L141" s="77">
        <f>SUMIFS(IW29EDITAR!E:E, IW29EDITAR!I:I, A141, IW29EDITAR!H:H, "LINE 1")</f>
        <v>0</v>
      </c>
      <c r="M141" s="77">
        <f>SUMIFS(IW29EDITAR!E:E, IW29EDITAR!I:I, A141, IW29EDITAR!H:H, "LINE 2")</f>
        <v>0</v>
      </c>
      <c r="N141" s="77">
        <f>SUMIFS(IW29EDITAR!E:E, IW29EDITAR!I:I, A141, IW29EDITAR!H:H, "LINE 3")</f>
        <v>0</v>
      </c>
      <c r="O141" s="76">
        <f>SUMIFS(IW29EDITAR!E:E, IW29EDITAR!I:I, A141, IW29EDITAR!H:H, "LINE 4") + SUMIFS(IW29EDITAR!E:E, IW29EDITAR!I:I, A141, IW29EDITAR!H:H, "LINE 5")+SUMIFS(IW29EDITAR!E:E, IW29EDITAR!I:I, A141, IW29EDITAR!H:H, "LINE 6")</f>
        <v>0</v>
      </c>
    </row>
    <row r="142" spans="1:15" ht="13.2">
      <c r="A142" s="3">
        <v>20075520</v>
      </c>
      <c r="B142" s="81" t="s">
        <v>4699</v>
      </c>
      <c r="C142" s="13" t="str">
        <f>IFERROR(VLOOKUP(B142, 'Base de datos'!A:B, 2, FALSE), "")</f>
        <v/>
      </c>
      <c r="D142" s="29" t="e">
        <f t="shared" ca="1" si="0"/>
        <v>#NAME?</v>
      </c>
      <c r="E142" s="3" t="s">
        <v>4700</v>
      </c>
      <c r="F142" s="3">
        <f>COUNTIF(IW29EDITAR!I:I,A142)</f>
        <v>3</v>
      </c>
      <c r="G142" s="3">
        <f>COUNTIF('M2'!J:J,B142)</f>
        <v>0</v>
      </c>
      <c r="H142" s="3">
        <f>SUMIF(IW29EDITAR!I:I,A142,IW29EDITAR!E:E)</f>
        <v>0.75000000000000011</v>
      </c>
      <c r="I142" s="76">
        <f>SUMIF('M2'!J:J,B142,'M2'!E:E)</f>
        <v>0</v>
      </c>
      <c r="J142" s="77">
        <f>SUMIFS(IW29EDITAR!E:E, IW29EDITAR!I:I, A142, IW29EDITAR!H:H, "LINE 8")</f>
        <v>0.75000000000000011</v>
      </c>
      <c r="K142" s="77">
        <f>SUMIFS(IW29EDITAR!E:E, IW29EDITAR!I:I, A142, IW29EDITAR!H:H, "LINE 10")</f>
        <v>0</v>
      </c>
      <c r="L142" s="77">
        <f>SUMIFS(IW29EDITAR!E:E, IW29EDITAR!I:I, A142, IW29EDITAR!H:H, "LINE 1")</f>
        <v>0</v>
      </c>
      <c r="M142" s="77">
        <f>SUMIFS(IW29EDITAR!E:E, IW29EDITAR!I:I, A142, IW29EDITAR!H:H, "LINE 2")</f>
        <v>0</v>
      </c>
      <c r="N142" s="77">
        <f>SUMIFS(IW29EDITAR!E:E, IW29EDITAR!I:I, A142, IW29EDITAR!H:H, "LINE 3")</f>
        <v>0</v>
      </c>
      <c r="O142" s="76">
        <f>SUMIFS(IW29EDITAR!E:E, IW29EDITAR!I:I, A142, IW29EDITAR!H:H, "LINE 4") + SUMIFS(IW29EDITAR!E:E, IW29EDITAR!I:I, A142, IW29EDITAR!H:H, "LINE 5")+SUMIFS(IW29EDITAR!E:E, IW29EDITAR!I:I, A142, IW29EDITAR!H:H, "LINE 6")</f>
        <v>0</v>
      </c>
    </row>
    <row r="143" spans="1:15" ht="13.2">
      <c r="A143" s="3">
        <v>20080769</v>
      </c>
      <c r="B143" s="81" t="s">
        <v>4701</v>
      </c>
      <c r="C143" s="13" t="str">
        <f>IFERROR(VLOOKUP(B143, 'Base de datos'!A:B, 2, FALSE), "")</f>
        <v/>
      </c>
      <c r="D143" s="29" t="e">
        <f t="shared" ca="1" si="0"/>
        <v>#NAME?</v>
      </c>
      <c r="E143" s="3"/>
      <c r="F143" s="3">
        <f>COUNTIF(IW29EDITAR!I:I,A143)</f>
        <v>0</v>
      </c>
      <c r="G143" s="3">
        <f>COUNTIF('M2'!J:J,B143)</f>
        <v>0</v>
      </c>
      <c r="H143" s="3">
        <f>SUMIF(IW29EDITAR!I:I,A143,IW29EDITAR!E:E)</f>
        <v>0</v>
      </c>
      <c r="I143" s="76">
        <f>SUMIF('M2'!J:J,B143,'M2'!E:E)</f>
        <v>0</v>
      </c>
      <c r="J143" s="77">
        <f>SUMIFS(IW29EDITAR!E:E, IW29EDITAR!I:I, A143, IW29EDITAR!H:H, "LINE 8")</f>
        <v>0</v>
      </c>
      <c r="K143" s="77">
        <f>SUMIFS(IW29EDITAR!E:E, IW29EDITAR!I:I, A143, IW29EDITAR!H:H, "LINE 10")</f>
        <v>0</v>
      </c>
      <c r="L143" s="77">
        <f>SUMIFS(IW29EDITAR!E:E, IW29EDITAR!I:I, A143, IW29EDITAR!H:H, "LINE 1")</f>
        <v>0</v>
      </c>
      <c r="M143" s="77">
        <f>SUMIFS(IW29EDITAR!E:E, IW29EDITAR!I:I, A143, IW29EDITAR!H:H, "LINE 2")</f>
        <v>0</v>
      </c>
      <c r="N143" s="77">
        <f>SUMIFS(IW29EDITAR!E:E, IW29EDITAR!I:I, A143, IW29EDITAR!H:H, "LINE 3")</f>
        <v>0</v>
      </c>
      <c r="O143" s="76">
        <f>SUMIFS(IW29EDITAR!E:E, IW29EDITAR!I:I, A143, IW29EDITAR!H:H, "LINE 4") + SUMIFS(IW29EDITAR!E:E, IW29EDITAR!I:I, A143, IW29EDITAR!H:H, "LINE 5")+SUMIFS(IW29EDITAR!E:E, IW29EDITAR!I:I, A143, IW29EDITAR!H:H, "LINE 6")</f>
        <v>0</v>
      </c>
    </row>
    <row r="144" spans="1:15" ht="13.2">
      <c r="A144" s="3">
        <v>20080052</v>
      </c>
      <c r="B144" s="81" t="s">
        <v>4702</v>
      </c>
      <c r="C144" s="13" t="str">
        <f>IFERROR(VLOOKUP(B144, 'Base de datos'!A:B, 2, FALSE), "")</f>
        <v/>
      </c>
      <c r="D144" s="29" t="e">
        <f t="shared" ca="1" si="0"/>
        <v>#NAME?</v>
      </c>
      <c r="E144" s="3"/>
      <c r="F144" s="3">
        <f>COUNTIF(IW29EDITAR!I:I,A144)</f>
        <v>0</v>
      </c>
      <c r="G144" s="3">
        <f>COUNTIF('M2'!J:J,B144)</f>
        <v>0</v>
      </c>
      <c r="H144" s="3">
        <f>SUMIF(IW29EDITAR!I:I,A144,IW29EDITAR!E:E)</f>
        <v>0</v>
      </c>
      <c r="I144" s="76">
        <f>SUMIF('M2'!J:J,B144,'M2'!E:E)</f>
        <v>0</v>
      </c>
      <c r="J144" s="77">
        <f>SUMIFS(IW29EDITAR!E:E, IW29EDITAR!I:I, A144, IW29EDITAR!H:H, "LINE 8")</f>
        <v>0</v>
      </c>
      <c r="K144" s="77">
        <f>SUMIFS(IW29EDITAR!E:E, IW29EDITAR!I:I, A144, IW29EDITAR!H:H, "LINE 10")</f>
        <v>0</v>
      </c>
      <c r="L144" s="77">
        <f>SUMIFS(IW29EDITAR!E:E, IW29EDITAR!I:I, A144, IW29EDITAR!H:H, "LINE 1")</f>
        <v>0</v>
      </c>
      <c r="M144" s="77">
        <f>SUMIFS(IW29EDITAR!E:E, IW29EDITAR!I:I, A144, IW29EDITAR!H:H, "LINE 2")</f>
        <v>0</v>
      </c>
      <c r="N144" s="77">
        <f>SUMIFS(IW29EDITAR!E:E, IW29EDITAR!I:I, A144, IW29EDITAR!H:H, "LINE 3")</f>
        <v>0</v>
      </c>
      <c r="O144" s="76">
        <f>SUMIFS(IW29EDITAR!E:E, IW29EDITAR!I:I, A144, IW29EDITAR!H:H, "LINE 4") + SUMIFS(IW29EDITAR!E:E, IW29EDITAR!I:I, A144, IW29EDITAR!H:H, "LINE 5")+SUMIFS(IW29EDITAR!E:E, IW29EDITAR!I:I, A144, IW29EDITAR!H:H, "LINE 6")</f>
        <v>0</v>
      </c>
    </row>
    <row r="145" spans="1:15" ht="13.2">
      <c r="A145" s="3">
        <v>20075387</v>
      </c>
      <c r="B145" s="81" t="s">
        <v>4703</v>
      </c>
      <c r="C145" s="13" t="str">
        <f>IFERROR(VLOOKUP(B145, 'Base de datos'!A:B, 2, FALSE), "")</f>
        <v/>
      </c>
      <c r="D145" s="29" t="e">
        <f t="shared" ca="1" si="0"/>
        <v>#NAME?</v>
      </c>
      <c r="E145" s="3"/>
      <c r="F145" s="3">
        <f>COUNTIF(IW29EDITAR!I:I,A145)</f>
        <v>18</v>
      </c>
      <c r="G145" s="3">
        <f>COUNTIF('M2'!J:J,B145)</f>
        <v>0</v>
      </c>
      <c r="H145" s="3">
        <f>SUMIF(IW29EDITAR!I:I,A145,IW29EDITAR!E:E)</f>
        <v>3.6800000000000006</v>
      </c>
      <c r="I145" s="76">
        <f>SUMIF('M2'!J:J,B145,'M2'!E:E)</f>
        <v>0</v>
      </c>
      <c r="J145" s="77">
        <f>SUMIFS(IW29EDITAR!E:E, IW29EDITAR!I:I, A145, IW29EDITAR!H:H, "LINE 8")</f>
        <v>0</v>
      </c>
      <c r="K145" s="77">
        <f>SUMIFS(IW29EDITAR!E:E, IW29EDITAR!I:I, A145, IW29EDITAR!H:H, "LINE 10")</f>
        <v>0</v>
      </c>
      <c r="L145" s="77">
        <f>SUMIFS(IW29EDITAR!E:E, IW29EDITAR!I:I, A145, IW29EDITAR!H:H, "LINE 1")</f>
        <v>3.6800000000000006</v>
      </c>
      <c r="M145" s="77">
        <f>SUMIFS(IW29EDITAR!E:E, IW29EDITAR!I:I, A145, IW29EDITAR!H:H, "LINE 2")</f>
        <v>0</v>
      </c>
      <c r="N145" s="77">
        <f>SUMIFS(IW29EDITAR!E:E, IW29EDITAR!I:I, A145, IW29EDITAR!H:H, "LINE 3")</f>
        <v>0</v>
      </c>
      <c r="O145" s="76">
        <f>SUMIFS(IW29EDITAR!E:E, IW29EDITAR!I:I, A145, IW29EDITAR!H:H, "LINE 4") + SUMIFS(IW29EDITAR!E:E, IW29EDITAR!I:I, A145, IW29EDITAR!H:H, "LINE 5")+SUMIFS(IW29EDITAR!E:E, IW29EDITAR!I:I, A145, IW29EDITAR!H:H, "LINE 6")</f>
        <v>0</v>
      </c>
    </row>
    <row r="146" spans="1:15" ht="13.2">
      <c r="A146" s="3">
        <v>20022138</v>
      </c>
      <c r="B146" s="81" t="s">
        <v>4704</v>
      </c>
      <c r="C146" s="13" t="str">
        <f>IFERROR(VLOOKUP(B146, 'Base de datos'!A:B, 2, FALSE), "")</f>
        <v/>
      </c>
      <c r="D146" s="29" t="e">
        <f t="shared" ca="1" si="0"/>
        <v>#NAME?</v>
      </c>
      <c r="E146" s="3" t="s">
        <v>4705</v>
      </c>
      <c r="F146" s="3">
        <f>COUNTIF(IW29EDITAR!I:I,A146)</f>
        <v>4</v>
      </c>
      <c r="G146" s="3">
        <f>COUNTIF('M2'!J:J,B146)</f>
        <v>0</v>
      </c>
      <c r="H146" s="3">
        <f>SUMIF(IW29EDITAR!I:I,A146,IW29EDITAR!E:E)</f>
        <v>1.27</v>
      </c>
      <c r="I146" s="76">
        <f>SUMIF('M2'!J:J,B146,'M2'!E:E)</f>
        <v>0</v>
      </c>
      <c r="J146" s="77">
        <f>SUMIFS(IW29EDITAR!E:E, IW29EDITAR!I:I, A146, IW29EDITAR!H:H, "LINE 8")</f>
        <v>0</v>
      </c>
      <c r="K146" s="77">
        <f>SUMIFS(IW29EDITAR!E:E, IW29EDITAR!I:I, A146, IW29EDITAR!H:H, "LINE 10")</f>
        <v>1.27</v>
      </c>
      <c r="L146" s="77">
        <f>SUMIFS(IW29EDITAR!E:E, IW29EDITAR!I:I, A146, IW29EDITAR!H:H, "LINE 1")</f>
        <v>0</v>
      </c>
      <c r="M146" s="77">
        <f>SUMIFS(IW29EDITAR!E:E, IW29EDITAR!I:I, A146, IW29EDITAR!H:H, "LINE 2")</f>
        <v>0</v>
      </c>
      <c r="N146" s="77">
        <f>SUMIFS(IW29EDITAR!E:E, IW29EDITAR!I:I, A146, IW29EDITAR!H:H, "LINE 3")</f>
        <v>0</v>
      </c>
      <c r="O146" s="76">
        <f>SUMIFS(IW29EDITAR!E:E, IW29EDITAR!I:I, A146, IW29EDITAR!H:H, "LINE 4") + SUMIFS(IW29EDITAR!E:E, IW29EDITAR!I:I, A146, IW29EDITAR!H:H, "LINE 5")+SUMIFS(IW29EDITAR!E:E, IW29EDITAR!I:I, A146, IW29EDITAR!H:H, "LINE 6")</f>
        <v>0</v>
      </c>
    </row>
    <row r="147" spans="1:15" ht="13.2">
      <c r="A147" s="3">
        <v>20036419</v>
      </c>
      <c r="B147" s="81" t="s">
        <v>4706</v>
      </c>
      <c r="C147" s="13" t="str">
        <f>IFERROR(VLOOKUP(B147, 'Base de datos'!A:B, 2, FALSE), "")</f>
        <v/>
      </c>
      <c r="D147" s="29" t="e">
        <f t="shared" ca="1" si="0"/>
        <v>#NAME?</v>
      </c>
      <c r="E147" s="3"/>
      <c r="F147" s="3">
        <f>COUNTIF(IW29EDITAR!I:I,A147)</f>
        <v>18</v>
      </c>
      <c r="G147" s="3">
        <f>COUNTIF('M2'!J:J,B147)</f>
        <v>0</v>
      </c>
      <c r="H147" s="3">
        <f>SUMIF(IW29EDITAR!I:I,A147,IW29EDITAR!E:E)</f>
        <v>3</v>
      </c>
      <c r="I147" s="76">
        <f>SUMIF('M2'!J:J,B147,'M2'!E:E)</f>
        <v>0</v>
      </c>
      <c r="J147" s="77">
        <f>SUMIFS(IW29EDITAR!E:E, IW29EDITAR!I:I, A147, IW29EDITAR!H:H, "LINE 8")</f>
        <v>0</v>
      </c>
      <c r="K147" s="77">
        <f>SUMIFS(IW29EDITAR!E:E, IW29EDITAR!I:I, A147, IW29EDITAR!H:H, "LINE 10")</f>
        <v>0</v>
      </c>
      <c r="L147" s="77">
        <f>SUMIFS(IW29EDITAR!E:E, IW29EDITAR!I:I, A147, IW29EDITAR!H:H, "LINE 1")</f>
        <v>3</v>
      </c>
      <c r="M147" s="77">
        <f>SUMIFS(IW29EDITAR!E:E, IW29EDITAR!I:I, A147, IW29EDITAR!H:H, "LINE 2")</f>
        <v>0</v>
      </c>
      <c r="N147" s="77">
        <f>SUMIFS(IW29EDITAR!E:E, IW29EDITAR!I:I, A147, IW29EDITAR!H:H, "LINE 3")</f>
        <v>0</v>
      </c>
      <c r="O147" s="76">
        <f>SUMIFS(IW29EDITAR!E:E, IW29EDITAR!I:I, A147, IW29EDITAR!H:H, "LINE 4") + SUMIFS(IW29EDITAR!E:E, IW29EDITAR!I:I, A147, IW29EDITAR!H:H, "LINE 5")+SUMIFS(IW29EDITAR!E:E, IW29EDITAR!I:I, A147, IW29EDITAR!H:H, "LINE 6")</f>
        <v>0</v>
      </c>
    </row>
    <row r="148" spans="1:15" ht="13.2">
      <c r="A148" s="3">
        <v>20009996</v>
      </c>
      <c r="B148" s="81" t="s">
        <v>4707</v>
      </c>
      <c r="C148" s="13" t="str">
        <f>IFERROR(VLOOKUP(B148, 'Base de datos'!A:B, 2, FALSE), "")</f>
        <v/>
      </c>
      <c r="D148" s="29" t="e">
        <f t="shared" ca="1" si="0"/>
        <v>#NAME?</v>
      </c>
      <c r="E148" s="3" t="s">
        <v>4708</v>
      </c>
      <c r="F148" s="3">
        <f>COUNTIF(IW29EDITAR!I:I,A148)</f>
        <v>4</v>
      </c>
      <c r="G148" s="3">
        <f>COUNTIF('M2'!J:J,B148)</f>
        <v>0</v>
      </c>
      <c r="H148" s="3">
        <f>SUMIF(IW29EDITAR!I:I,A148,IW29EDITAR!E:E)</f>
        <v>0.59000000000000008</v>
      </c>
      <c r="I148" s="76">
        <f>SUMIF('M2'!J:J,B148,'M2'!E:E)</f>
        <v>0</v>
      </c>
      <c r="J148" s="77">
        <f>SUMIFS(IW29EDITAR!E:E, IW29EDITAR!I:I, A148, IW29EDITAR!H:H, "LINE 8")</f>
        <v>0</v>
      </c>
      <c r="K148" s="77">
        <f>SUMIFS(IW29EDITAR!E:E, IW29EDITAR!I:I, A148, IW29EDITAR!H:H, "LINE 10")</f>
        <v>0</v>
      </c>
      <c r="L148" s="77">
        <f>SUMIFS(IW29EDITAR!E:E, IW29EDITAR!I:I, A148, IW29EDITAR!H:H, "LINE 1")</f>
        <v>0.59000000000000008</v>
      </c>
      <c r="M148" s="77">
        <f>SUMIFS(IW29EDITAR!E:E, IW29EDITAR!I:I, A148, IW29EDITAR!H:H, "LINE 2")</f>
        <v>0</v>
      </c>
      <c r="N148" s="77">
        <f>SUMIFS(IW29EDITAR!E:E, IW29EDITAR!I:I, A148, IW29EDITAR!H:H, "LINE 3")</f>
        <v>0</v>
      </c>
      <c r="O148" s="76">
        <f>SUMIFS(IW29EDITAR!E:E, IW29EDITAR!I:I, A148, IW29EDITAR!H:H, "LINE 4") + SUMIFS(IW29EDITAR!E:E, IW29EDITAR!I:I, A148, IW29EDITAR!H:H, "LINE 5")+SUMIFS(IW29EDITAR!E:E, IW29EDITAR!I:I, A148, IW29EDITAR!H:H, "LINE 6")</f>
        <v>0</v>
      </c>
    </row>
    <row r="149" spans="1:15" ht="13.2">
      <c r="A149" s="3">
        <v>20062740</v>
      </c>
      <c r="B149" s="81" t="s">
        <v>4709</v>
      </c>
      <c r="C149" s="13" t="str">
        <f>IFERROR(VLOOKUP(B149, 'Base de datos'!A:B, 2, FALSE), "")</f>
        <v/>
      </c>
      <c r="D149" s="29" t="e">
        <f t="shared" ca="1" si="0"/>
        <v>#NAME?</v>
      </c>
      <c r="E149" s="3" t="s">
        <v>4710</v>
      </c>
      <c r="F149" s="3">
        <f>COUNTIF(IW29EDITAR!I:I,A149)</f>
        <v>5</v>
      </c>
      <c r="G149" s="3">
        <f>COUNTIF('M2'!J:J,B149)</f>
        <v>0</v>
      </c>
      <c r="H149" s="3">
        <f>SUMIF(IW29EDITAR!I:I,A149,IW29EDITAR!E:E)</f>
        <v>1.4</v>
      </c>
      <c r="I149" s="76">
        <f>SUMIF('M2'!J:J,B149,'M2'!E:E)</f>
        <v>0</v>
      </c>
      <c r="J149" s="77">
        <f>SUMIFS(IW29EDITAR!E:E, IW29EDITAR!I:I, A149, IW29EDITAR!H:H, "LINE 8")</f>
        <v>0</v>
      </c>
      <c r="K149" s="77">
        <f>SUMIFS(IW29EDITAR!E:E, IW29EDITAR!I:I, A149, IW29EDITAR!H:H, "LINE 10")</f>
        <v>0</v>
      </c>
      <c r="L149" s="77">
        <f>SUMIFS(IW29EDITAR!E:E, IW29EDITAR!I:I, A149, IW29EDITAR!H:H, "LINE 1")</f>
        <v>1.4</v>
      </c>
      <c r="M149" s="77">
        <f>SUMIFS(IW29EDITAR!E:E, IW29EDITAR!I:I, A149, IW29EDITAR!H:H, "LINE 2")</f>
        <v>0</v>
      </c>
      <c r="N149" s="77">
        <f>SUMIFS(IW29EDITAR!E:E, IW29EDITAR!I:I, A149, IW29EDITAR!H:H, "LINE 3")</f>
        <v>0</v>
      </c>
      <c r="O149" s="76">
        <f>SUMIFS(IW29EDITAR!E:E, IW29EDITAR!I:I, A149, IW29EDITAR!H:H, "LINE 4") + SUMIFS(IW29EDITAR!E:E, IW29EDITAR!I:I, A149, IW29EDITAR!H:H, "LINE 5")+SUMIFS(IW29EDITAR!E:E, IW29EDITAR!I:I, A149, IW29EDITAR!H:H, "LINE 6")</f>
        <v>0</v>
      </c>
    </row>
    <row r="150" spans="1:15" ht="13.2">
      <c r="A150" s="3">
        <v>20079993</v>
      </c>
      <c r="B150" s="81" t="s">
        <v>4711</v>
      </c>
      <c r="C150" s="13" t="str">
        <f>IFERROR(VLOOKUP(B150, 'Base de datos'!A:B, 2, FALSE), "")</f>
        <v/>
      </c>
      <c r="D150" s="29" t="e">
        <f t="shared" ca="1" si="0"/>
        <v>#NAME?</v>
      </c>
      <c r="E150" s="3"/>
      <c r="F150" s="3">
        <f>COUNTIF(IW29EDITAR!I:I,A150)</f>
        <v>1</v>
      </c>
      <c r="G150" s="3">
        <f>COUNTIF('M2'!J:J,B150)</f>
        <v>0</v>
      </c>
      <c r="H150" s="3">
        <f>SUMIF(IW29EDITAR!I:I,A150,IW29EDITAR!E:E)</f>
        <v>0.23</v>
      </c>
      <c r="I150" s="76">
        <f>SUMIF('M2'!J:J,B150,'M2'!E:E)</f>
        <v>0</v>
      </c>
      <c r="J150" s="77">
        <f>SUMIFS(IW29EDITAR!E:E, IW29EDITAR!I:I, A150, IW29EDITAR!H:H, "LINE 8")</f>
        <v>0</v>
      </c>
      <c r="K150" s="77">
        <f>SUMIFS(IW29EDITAR!E:E, IW29EDITAR!I:I, A150, IW29EDITAR!H:H, "LINE 10")</f>
        <v>0</v>
      </c>
      <c r="L150" s="77">
        <f>SUMIFS(IW29EDITAR!E:E, IW29EDITAR!I:I, A150, IW29EDITAR!H:H, "LINE 1")</f>
        <v>0.23</v>
      </c>
      <c r="M150" s="77">
        <f>SUMIFS(IW29EDITAR!E:E, IW29EDITAR!I:I, A150, IW29EDITAR!H:H, "LINE 2")</f>
        <v>0</v>
      </c>
      <c r="N150" s="77">
        <f>SUMIFS(IW29EDITAR!E:E, IW29EDITAR!I:I, A150, IW29EDITAR!H:H, "LINE 3")</f>
        <v>0</v>
      </c>
      <c r="O150" s="76">
        <f>SUMIFS(IW29EDITAR!E:E, IW29EDITAR!I:I, A150, IW29EDITAR!H:H, "LINE 4") + SUMIFS(IW29EDITAR!E:E, IW29EDITAR!I:I, A150, IW29EDITAR!H:H, "LINE 5")+SUMIFS(IW29EDITAR!E:E, IW29EDITAR!I:I, A150, IW29EDITAR!H:H, "LINE 6")</f>
        <v>0</v>
      </c>
    </row>
    <row r="151" spans="1:15" ht="13.2">
      <c r="A151" s="3">
        <v>20075359</v>
      </c>
      <c r="B151" s="81" t="s">
        <v>242</v>
      </c>
      <c r="C151" s="13">
        <f>IFERROR(VLOOKUP(B151, 'Base de datos'!A:B, 2, FALSE), "")</f>
        <v>573185738793</v>
      </c>
      <c r="D151" s="29" t="e">
        <f t="shared" ca="1" si="0"/>
        <v>#NAME?</v>
      </c>
      <c r="E151" s="3"/>
      <c r="F151" s="3">
        <f>COUNTIF(IW29EDITAR!I:I,A151)</f>
        <v>0</v>
      </c>
      <c r="G151" s="3">
        <f>COUNTIF('M2'!J:J,B151)</f>
        <v>0</v>
      </c>
      <c r="H151" s="3">
        <f>SUMIF(IW29EDITAR!I:I,A151,IW29EDITAR!E:E)</f>
        <v>0</v>
      </c>
      <c r="I151" s="76">
        <f>SUMIF('M2'!J:J,B151,'M2'!E:E)</f>
        <v>0</v>
      </c>
      <c r="J151" s="77">
        <f>SUMIFS(IW29EDITAR!E:E, IW29EDITAR!I:I, A151, IW29EDITAR!H:H, "LINE 8")</f>
        <v>0</v>
      </c>
      <c r="K151" s="77">
        <f>SUMIFS(IW29EDITAR!E:E, IW29EDITAR!I:I, A151, IW29EDITAR!H:H, "LINE 10")</f>
        <v>0</v>
      </c>
      <c r="L151" s="77">
        <f>SUMIFS(IW29EDITAR!E:E, IW29EDITAR!I:I, A151, IW29EDITAR!H:H, "LINE 1")</f>
        <v>0</v>
      </c>
      <c r="M151" s="77">
        <f>SUMIFS(IW29EDITAR!E:E, IW29EDITAR!I:I, A151, IW29EDITAR!H:H, "LINE 2")</f>
        <v>0</v>
      </c>
      <c r="N151" s="77">
        <f>SUMIFS(IW29EDITAR!E:E, IW29EDITAR!I:I, A151, IW29EDITAR!H:H, "LINE 3")</f>
        <v>0</v>
      </c>
      <c r="O151" s="76">
        <f>SUMIFS(IW29EDITAR!E:E, IW29EDITAR!I:I, A151, IW29EDITAR!H:H, "LINE 4") + SUMIFS(IW29EDITAR!E:E, IW29EDITAR!I:I, A151, IW29EDITAR!H:H, "LINE 5")+SUMIFS(IW29EDITAR!E:E, IW29EDITAR!I:I, A151, IW29EDITAR!H:H, "LINE 6")</f>
        <v>0</v>
      </c>
    </row>
    <row r="152" spans="1:15" ht="13.2">
      <c r="A152" s="3">
        <v>20009879</v>
      </c>
      <c r="B152" s="81" t="s">
        <v>4712</v>
      </c>
      <c r="C152" s="13" t="str">
        <f>IFERROR(VLOOKUP(B152, 'Base de datos'!A:B, 2, FALSE), "")</f>
        <v/>
      </c>
      <c r="D152" s="29" t="e">
        <f t="shared" ca="1" si="0"/>
        <v>#NAME?</v>
      </c>
      <c r="E152" s="3" t="s">
        <v>4713</v>
      </c>
      <c r="F152" s="3">
        <f>COUNTIF(IW29EDITAR!I:I,A152)</f>
        <v>3</v>
      </c>
      <c r="G152" s="3">
        <f>COUNTIF('M2'!J:J,B152)</f>
        <v>0</v>
      </c>
      <c r="H152" s="3">
        <f>SUMIF(IW29EDITAR!I:I,A152,IW29EDITAR!E:E)</f>
        <v>0.28000000000000003</v>
      </c>
      <c r="I152" s="76">
        <f>SUMIF('M2'!J:J,B152,'M2'!E:E)</f>
        <v>0</v>
      </c>
      <c r="J152" s="77">
        <f>SUMIFS(IW29EDITAR!E:E, IW29EDITAR!I:I, A152, IW29EDITAR!H:H, "LINE 8")</f>
        <v>0</v>
      </c>
      <c r="K152" s="77">
        <f>SUMIFS(IW29EDITAR!E:E, IW29EDITAR!I:I, A152, IW29EDITAR!H:H, "LINE 10")</f>
        <v>0</v>
      </c>
      <c r="L152" s="77">
        <f>SUMIFS(IW29EDITAR!E:E, IW29EDITAR!I:I, A152, IW29EDITAR!H:H, "LINE 1")</f>
        <v>0.28000000000000003</v>
      </c>
      <c r="M152" s="77">
        <f>SUMIFS(IW29EDITAR!E:E, IW29EDITAR!I:I, A152, IW29EDITAR!H:H, "LINE 2")</f>
        <v>0</v>
      </c>
      <c r="N152" s="77">
        <f>SUMIFS(IW29EDITAR!E:E, IW29EDITAR!I:I, A152, IW29EDITAR!H:H, "LINE 3")</f>
        <v>0</v>
      </c>
      <c r="O152" s="76">
        <f>SUMIFS(IW29EDITAR!E:E, IW29EDITAR!I:I, A152, IW29EDITAR!H:H, "LINE 4") + SUMIFS(IW29EDITAR!E:E, IW29EDITAR!I:I, A152, IW29EDITAR!H:H, "LINE 5")+SUMIFS(IW29EDITAR!E:E, IW29EDITAR!I:I, A152, IW29EDITAR!H:H, "LINE 6")</f>
        <v>0</v>
      </c>
    </row>
    <row r="153" spans="1:15" ht="13.2">
      <c r="A153" s="3">
        <v>20082152</v>
      </c>
      <c r="B153" s="81" t="s">
        <v>4714</v>
      </c>
      <c r="C153" s="13" t="str">
        <f>IFERROR(VLOOKUP(B153, 'Base de datos'!A:B, 2, FALSE), "")</f>
        <v/>
      </c>
      <c r="D153" s="29" t="e">
        <f t="shared" ca="1" si="0"/>
        <v>#NAME?</v>
      </c>
      <c r="E153" s="3" t="s">
        <v>4715</v>
      </c>
      <c r="F153" s="3">
        <f>COUNTIF(IW29EDITAR!I:I,A153)</f>
        <v>7</v>
      </c>
      <c r="G153" s="3">
        <f>COUNTIF('M2'!J:J,B153)</f>
        <v>0</v>
      </c>
      <c r="H153" s="3">
        <f>SUMIF(IW29EDITAR!I:I,A153,IW29EDITAR!E:E)</f>
        <v>1.6</v>
      </c>
      <c r="I153" s="76">
        <f>SUMIF('M2'!J:J,B153,'M2'!E:E)</f>
        <v>0</v>
      </c>
      <c r="J153" s="77">
        <f>SUMIFS(IW29EDITAR!E:E, IW29EDITAR!I:I, A153, IW29EDITAR!H:H, "LINE 8")</f>
        <v>0</v>
      </c>
      <c r="K153" s="77">
        <f>SUMIFS(IW29EDITAR!E:E, IW29EDITAR!I:I, A153, IW29EDITAR!H:H, "LINE 10")</f>
        <v>0</v>
      </c>
      <c r="L153" s="77">
        <f>SUMIFS(IW29EDITAR!E:E, IW29EDITAR!I:I, A153, IW29EDITAR!H:H, "LINE 1")</f>
        <v>1.6</v>
      </c>
      <c r="M153" s="77">
        <f>SUMIFS(IW29EDITAR!E:E, IW29EDITAR!I:I, A153, IW29EDITAR!H:H, "LINE 2")</f>
        <v>0</v>
      </c>
      <c r="N153" s="77">
        <f>SUMIFS(IW29EDITAR!E:E, IW29EDITAR!I:I, A153, IW29EDITAR!H:H, "LINE 3")</f>
        <v>0</v>
      </c>
      <c r="O153" s="76">
        <f>SUMIFS(IW29EDITAR!E:E, IW29EDITAR!I:I, A153, IW29EDITAR!H:H, "LINE 4") + SUMIFS(IW29EDITAR!E:E, IW29EDITAR!I:I, A153, IW29EDITAR!H:H, "LINE 5")+SUMIFS(IW29EDITAR!E:E, IW29EDITAR!I:I, A153, IW29EDITAR!H:H, "LINE 6")</f>
        <v>0</v>
      </c>
    </row>
    <row r="154" spans="1:15" ht="13.2">
      <c r="A154" s="3">
        <v>20079460</v>
      </c>
      <c r="B154" s="81" t="s">
        <v>4716</v>
      </c>
      <c r="C154" s="13" t="str">
        <f>IFERROR(VLOOKUP(B154, 'Base de datos'!A:B, 2, FALSE), "")</f>
        <v/>
      </c>
      <c r="D154" s="29" t="e">
        <f t="shared" ca="1" si="0"/>
        <v>#NAME?</v>
      </c>
      <c r="E154" s="3"/>
      <c r="F154" s="3">
        <f>COUNTIF(IW29EDITAR!I:I,A154)</f>
        <v>0</v>
      </c>
      <c r="G154" s="3">
        <f>COUNTIF('M2'!J:J,B154)</f>
        <v>0</v>
      </c>
      <c r="H154" s="3">
        <f>SUMIF(IW29EDITAR!I:I,A154,IW29EDITAR!E:E)</f>
        <v>0</v>
      </c>
      <c r="I154" s="76">
        <f>SUMIF('M2'!J:J,B154,'M2'!E:E)</f>
        <v>0</v>
      </c>
      <c r="J154" s="77">
        <f>SUMIFS(IW29EDITAR!E:E, IW29EDITAR!I:I, A154, IW29EDITAR!H:H, "LINE 8")</f>
        <v>0</v>
      </c>
      <c r="K154" s="77">
        <f>SUMIFS(IW29EDITAR!E:E, IW29EDITAR!I:I, A154, IW29EDITAR!H:H, "LINE 10")</f>
        <v>0</v>
      </c>
      <c r="L154" s="77">
        <f>SUMIFS(IW29EDITAR!E:E, IW29EDITAR!I:I, A154, IW29EDITAR!H:H, "LINE 1")</f>
        <v>0</v>
      </c>
      <c r="M154" s="77">
        <f>SUMIFS(IW29EDITAR!E:E, IW29EDITAR!I:I, A154, IW29EDITAR!H:H, "LINE 2")</f>
        <v>0</v>
      </c>
      <c r="N154" s="77">
        <f>SUMIFS(IW29EDITAR!E:E, IW29EDITAR!I:I, A154, IW29EDITAR!H:H, "LINE 3")</f>
        <v>0</v>
      </c>
      <c r="O154" s="76">
        <f>SUMIFS(IW29EDITAR!E:E, IW29EDITAR!I:I, A154, IW29EDITAR!H:H, "LINE 4") + SUMIFS(IW29EDITAR!E:E, IW29EDITAR!I:I, A154, IW29EDITAR!H:H, "LINE 5")+SUMIFS(IW29EDITAR!E:E, IW29EDITAR!I:I, A154, IW29EDITAR!H:H, "LINE 6")</f>
        <v>0</v>
      </c>
    </row>
    <row r="155" spans="1:15" ht="13.2">
      <c r="A155" s="3">
        <v>20043570</v>
      </c>
      <c r="B155" s="81" t="s">
        <v>4717</v>
      </c>
      <c r="C155" s="13" t="str">
        <f>IFERROR(VLOOKUP(B155, 'Base de datos'!A:B, 2, FALSE), "")</f>
        <v/>
      </c>
      <c r="D155" s="29" t="e">
        <f t="shared" ca="1" si="0"/>
        <v>#NAME?</v>
      </c>
      <c r="E155" s="3" t="s">
        <v>4718</v>
      </c>
      <c r="F155" s="3">
        <f>COUNTIF(IW29EDITAR!I:I,A155)</f>
        <v>6</v>
      </c>
      <c r="G155" s="3">
        <f>COUNTIF('M2'!J:J,B155)</f>
        <v>0</v>
      </c>
      <c r="H155" s="3">
        <f>SUMIF(IW29EDITAR!I:I,A155,IW29EDITAR!E:E)</f>
        <v>1.33</v>
      </c>
      <c r="I155" s="76">
        <f>SUMIF('M2'!J:J,B155,'M2'!E:E)</f>
        <v>0</v>
      </c>
      <c r="J155" s="77">
        <f>SUMIFS(IW29EDITAR!E:E, IW29EDITAR!I:I, A155, IW29EDITAR!H:H, "LINE 8")</f>
        <v>0</v>
      </c>
      <c r="K155" s="77">
        <f>SUMIFS(IW29EDITAR!E:E, IW29EDITAR!I:I, A155, IW29EDITAR!H:H, "LINE 10")</f>
        <v>1.33</v>
      </c>
      <c r="L155" s="77">
        <f>SUMIFS(IW29EDITAR!E:E, IW29EDITAR!I:I, A155, IW29EDITAR!H:H, "LINE 1")</f>
        <v>0</v>
      </c>
      <c r="M155" s="77">
        <f>SUMIFS(IW29EDITAR!E:E, IW29EDITAR!I:I, A155, IW29EDITAR!H:H, "LINE 2")</f>
        <v>0</v>
      </c>
      <c r="N155" s="77">
        <f>SUMIFS(IW29EDITAR!E:E, IW29EDITAR!I:I, A155, IW29EDITAR!H:H, "LINE 3")</f>
        <v>0</v>
      </c>
      <c r="O155" s="76">
        <f>SUMIFS(IW29EDITAR!E:E, IW29EDITAR!I:I, A155, IW29EDITAR!H:H, "LINE 4") + SUMIFS(IW29EDITAR!E:E, IW29EDITAR!I:I, A155, IW29EDITAR!H:H, "LINE 5")+SUMIFS(IW29EDITAR!E:E, IW29EDITAR!I:I, A155, IW29EDITAR!H:H, "LINE 6")</f>
        <v>0</v>
      </c>
    </row>
    <row r="156" spans="1:15" ht="13.2">
      <c r="A156" s="3">
        <v>20009721</v>
      </c>
      <c r="B156" s="81" t="s">
        <v>4719</v>
      </c>
      <c r="C156" s="13" t="str">
        <f>IFERROR(VLOOKUP(B156, 'Base de datos'!A:B, 2, FALSE), "")</f>
        <v/>
      </c>
      <c r="D156" s="29" t="e">
        <f t="shared" ca="1" si="0"/>
        <v>#NAME?</v>
      </c>
      <c r="E156" s="3"/>
      <c r="F156" s="3">
        <f>COUNTIF(IW29EDITAR!I:I,A156)</f>
        <v>23</v>
      </c>
      <c r="G156" s="3">
        <f>COUNTIF('M2'!J:J,B156)</f>
        <v>0</v>
      </c>
      <c r="H156" s="3">
        <f>SUMIF(IW29EDITAR!I:I,A156,IW29EDITAR!E:E)</f>
        <v>7.89</v>
      </c>
      <c r="I156" s="76">
        <f>SUMIF('M2'!J:J,B156,'M2'!E:E)</f>
        <v>0</v>
      </c>
      <c r="J156" s="77">
        <f>SUMIFS(IW29EDITAR!E:E, IW29EDITAR!I:I, A156, IW29EDITAR!H:H, "LINE 8")</f>
        <v>0</v>
      </c>
      <c r="K156" s="77">
        <f>SUMIFS(IW29EDITAR!E:E, IW29EDITAR!I:I, A156, IW29EDITAR!H:H, "LINE 10")</f>
        <v>0</v>
      </c>
      <c r="L156" s="77">
        <f>SUMIFS(IW29EDITAR!E:E, IW29EDITAR!I:I, A156, IW29EDITAR!H:H, "LINE 1")</f>
        <v>7.89</v>
      </c>
      <c r="M156" s="77">
        <f>SUMIFS(IW29EDITAR!E:E, IW29EDITAR!I:I, A156, IW29EDITAR!H:H, "LINE 2")</f>
        <v>0</v>
      </c>
      <c r="N156" s="77">
        <f>SUMIFS(IW29EDITAR!E:E, IW29EDITAR!I:I, A156, IW29EDITAR!H:H, "LINE 3")</f>
        <v>0</v>
      </c>
      <c r="O156" s="76">
        <f>SUMIFS(IW29EDITAR!E:E, IW29EDITAR!I:I, A156, IW29EDITAR!H:H, "LINE 4") + SUMIFS(IW29EDITAR!E:E, IW29EDITAR!I:I, A156, IW29EDITAR!H:H, "LINE 5")+SUMIFS(IW29EDITAR!E:E, IW29EDITAR!I:I, A156, IW29EDITAR!H:H, "LINE 6")</f>
        <v>0</v>
      </c>
    </row>
    <row r="157" spans="1:15" ht="13.2">
      <c r="A157" s="3">
        <v>20040863</v>
      </c>
      <c r="B157" s="81" t="s">
        <v>4720</v>
      </c>
      <c r="C157" s="13" t="str">
        <f>IFERROR(VLOOKUP(B157, 'Base de datos'!A:B, 2, FALSE), "")</f>
        <v/>
      </c>
      <c r="D157" s="29" t="e">
        <f t="shared" ca="1" si="0"/>
        <v>#NAME?</v>
      </c>
      <c r="E157" s="3"/>
      <c r="F157" s="3">
        <f>COUNTIF(IW29EDITAR!I:I,A157)</f>
        <v>0</v>
      </c>
      <c r="G157" s="3">
        <f>COUNTIF('M2'!J:J,B157)</f>
        <v>0</v>
      </c>
      <c r="H157" s="3">
        <f>SUMIF(IW29EDITAR!I:I,A157,IW29EDITAR!E:E)</f>
        <v>0</v>
      </c>
      <c r="I157" s="76">
        <f>SUMIF('M2'!J:J,B157,'M2'!E:E)</f>
        <v>0</v>
      </c>
      <c r="J157" s="77">
        <f>SUMIFS(IW29EDITAR!E:E, IW29EDITAR!I:I, A157, IW29EDITAR!H:H, "LINE 8")</f>
        <v>0</v>
      </c>
      <c r="K157" s="77">
        <f>SUMIFS(IW29EDITAR!E:E, IW29EDITAR!I:I, A157, IW29EDITAR!H:H, "LINE 10")</f>
        <v>0</v>
      </c>
      <c r="L157" s="77">
        <f>SUMIFS(IW29EDITAR!E:E, IW29EDITAR!I:I, A157, IW29EDITAR!H:H, "LINE 1")</f>
        <v>0</v>
      </c>
      <c r="M157" s="77">
        <f>SUMIFS(IW29EDITAR!E:E, IW29EDITAR!I:I, A157, IW29EDITAR!H:H, "LINE 2")</f>
        <v>0</v>
      </c>
      <c r="N157" s="77">
        <f>SUMIFS(IW29EDITAR!E:E, IW29EDITAR!I:I, A157, IW29EDITAR!H:H, "LINE 3")</f>
        <v>0</v>
      </c>
      <c r="O157" s="76">
        <f>SUMIFS(IW29EDITAR!E:E, IW29EDITAR!I:I, A157, IW29EDITAR!H:H, "LINE 4") + SUMIFS(IW29EDITAR!E:E, IW29EDITAR!I:I, A157, IW29EDITAR!H:H, "LINE 5")+SUMIFS(IW29EDITAR!E:E, IW29EDITAR!I:I, A157, IW29EDITAR!H:H, "LINE 6")</f>
        <v>0</v>
      </c>
    </row>
    <row r="158" spans="1:15" ht="13.2">
      <c r="A158" s="3">
        <v>20010075</v>
      </c>
      <c r="B158" s="81" t="s">
        <v>4721</v>
      </c>
      <c r="C158" s="13" t="str">
        <f>IFERROR(VLOOKUP(B158, 'Base de datos'!A:B, 2, FALSE), "")</f>
        <v/>
      </c>
      <c r="D158" s="29" t="e">
        <f t="shared" ca="1" si="0"/>
        <v>#NAME?</v>
      </c>
      <c r="E158" s="83" t="s">
        <v>4722</v>
      </c>
      <c r="F158" s="3">
        <f>COUNTIF(IW29EDITAR!I:I,A158)</f>
        <v>5</v>
      </c>
      <c r="G158" s="3">
        <f>COUNTIF('M2'!J:J,B158)</f>
        <v>0</v>
      </c>
      <c r="H158" s="3">
        <f>SUMIF(IW29EDITAR!I:I,A158,IW29EDITAR!E:E)</f>
        <v>0.91</v>
      </c>
      <c r="I158" s="76">
        <f>SUMIF('M2'!J:J,B158,'M2'!E:E)</f>
        <v>0</v>
      </c>
      <c r="J158" s="77">
        <f>SUMIFS(IW29EDITAR!E:E, IW29EDITAR!I:I, A158, IW29EDITAR!H:H, "LINE 8")</f>
        <v>0</v>
      </c>
      <c r="K158" s="77">
        <f>SUMIFS(IW29EDITAR!E:E, IW29EDITAR!I:I, A158, IW29EDITAR!H:H, "LINE 10")</f>
        <v>0</v>
      </c>
      <c r="L158" s="77">
        <f>SUMIFS(IW29EDITAR!E:E, IW29EDITAR!I:I, A158, IW29EDITAR!H:H, "LINE 1")</f>
        <v>0.91</v>
      </c>
      <c r="M158" s="77">
        <f>SUMIFS(IW29EDITAR!E:E, IW29EDITAR!I:I, A158, IW29EDITAR!H:H, "LINE 2")</f>
        <v>0</v>
      </c>
      <c r="N158" s="77">
        <f>SUMIFS(IW29EDITAR!E:E, IW29EDITAR!I:I, A158, IW29EDITAR!H:H, "LINE 3")</f>
        <v>0</v>
      </c>
      <c r="O158" s="76">
        <f>SUMIFS(IW29EDITAR!E:E, IW29EDITAR!I:I, A158, IW29EDITAR!H:H, "LINE 4") + SUMIFS(IW29EDITAR!E:E, IW29EDITAR!I:I, A158, IW29EDITAR!H:H, "LINE 5")+SUMIFS(IW29EDITAR!E:E, IW29EDITAR!I:I, A158, IW29EDITAR!H:H, "LINE 6")</f>
        <v>0</v>
      </c>
    </row>
    <row r="159" spans="1:15" ht="13.2">
      <c r="A159" s="3">
        <v>20009942</v>
      </c>
      <c r="B159" s="81" t="s">
        <v>4723</v>
      </c>
      <c r="C159" s="13" t="str">
        <f>IFERROR(VLOOKUP(B159, 'Base de datos'!A:B, 2, FALSE), "")</f>
        <v/>
      </c>
      <c r="D159" s="29" t="e">
        <f t="shared" ca="1" si="0"/>
        <v>#NAME?</v>
      </c>
      <c r="E159" s="3" t="s">
        <v>4724</v>
      </c>
      <c r="F159" s="3">
        <f>COUNTIF(IW29EDITAR!I:I,A159)</f>
        <v>4</v>
      </c>
      <c r="G159" s="3">
        <f>COUNTIF('M2'!J:J,B159)</f>
        <v>0</v>
      </c>
      <c r="H159" s="3">
        <f>SUMIF(IW29EDITAR!I:I,A159,IW29EDITAR!E:E)</f>
        <v>0.60000000000000009</v>
      </c>
      <c r="I159" s="76">
        <f>SUMIF('M2'!J:J,B159,'M2'!E:E)</f>
        <v>0</v>
      </c>
      <c r="J159" s="77">
        <f>SUMIFS(IW29EDITAR!E:E, IW29EDITAR!I:I, A159, IW29EDITAR!H:H, "LINE 8")</f>
        <v>0.60000000000000009</v>
      </c>
      <c r="K159" s="77">
        <f>SUMIFS(IW29EDITAR!E:E, IW29EDITAR!I:I, A159, IW29EDITAR!H:H, "LINE 10")</f>
        <v>0</v>
      </c>
      <c r="L159" s="77">
        <f>SUMIFS(IW29EDITAR!E:E, IW29EDITAR!I:I, A159, IW29EDITAR!H:H, "LINE 1")</f>
        <v>0</v>
      </c>
      <c r="M159" s="77">
        <f>SUMIFS(IW29EDITAR!E:E, IW29EDITAR!I:I, A159, IW29EDITAR!H:H, "LINE 2")</f>
        <v>0</v>
      </c>
      <c r="N159" s="77">
        <f>SUMIFS(IW29EDITAR!E:E, IW29EDITAR!I:I, A159, IW29EDITAR!H:H, "LINE 3")</f>
        <v>0</v>
      </c>
      <c r="O159" s="76">
        <f>SUMIFS(IW29EDITAR!E:E, IW29EDITAR!I:I, A159, IW29EDITAR!H:H, "LINE 4") + SUMIFS(IW29EDITAR!E:E, IW29EDITAR!I:I, A159, IW29EDITAR!H:H, "LINE 5")+SUMIFS(IW29EDITAR!E:E, IW29EDITAR!I:I, A159, IW29EDITAR!H:H, "LINE 6")</f>
        <v>0</v>
      </c>
    </row>
    <row r="160" spans="1:15" ht="13.2">
      <c r="A160" s="3">
        <v>20031098</v>
      </c>
      <c r="B160" s="81" t="s">
        <v>4725</v>
      </c>
      <c r="C160" s="13" t="str">
        <f>IFERROR(VLOOKUP(B160, 'Base de datos'!A:B, 2, FALSE), "")</f>
        <v/>
      </c>
      <c r="D160" s="29" t="e">
        <f t="shared" ca="1" si="0"/>
        <v>#NAME?</v>
      </c>
      <c r="E160" s="3"/>
      <c r="F160" s="3">
        <f>COUNTIF(IW29EDITAR!I:I,A160)</f>
        <v>2</v>
      </c>
      <c r="G160" s="3">
        <f>COUNTIF('M2'!J:J,B160)</f>
        <v>0</v>
      </c>
      <c r="H160" s="3">
        <f>SUMIF(IW29EDITAR!I:I,A160,IW29EDITAR!E:E)</f>
        <v>1.6</v>
      </c>
      <c r="I160" s="76">
        <f>SUMIF('M2'!J:J,B160,'M2'!E:E)</f>
        <v>0</v>
      </c>
      <c r="J160" s="77">
        <f>SUMIFS(IW29EDITAR!E:E, IW29EDITAR!I:I, A160, IW29EDITAR!H:H, "LINE 8")</f>
        <v>1.6</v>
      </c>
      <c r="K160" s="77">
        <f>SUMIFS(IW29EDITAR!E:E, IW29EDITAR!I:I, A160, IW29EDITAR!H:H, "LINE 10")</f>
        <v>0</v>
      </c>
      <c r="L160" s="77">
        <f>SUMIFS(IW29EDITAR!E:E, IW29EDITAR!I:I, A160, IW29EDITAR!H:H, "LINE 1")</f>
        <v>0</v>
      </c>
      <c r="M160" s="77">
        <f>SUMIFS(IW29EDITAR!E:E, IW29EDITAR!I:I, A160, IW29EDITAR!H:H, "LINE 2")</f>
        <v>0</v>
      </c>
      <c r="N160" s="77">
        <f>SUMIFS(IW29EDITAR!E:E, IW29EDITAR!I:I, A160, IW29EDITAR!H:H, "LINE 3")</f>
        <v>0</v>
      </c>
      <c r="O160" s="76">
        <f>SUMIFS(IW29EDITAR!E:E, IW29EDITAR!I:I, A160, IW29EDITAR!H:H, "LINE 4") + SUMIFS(IW29EDITAR!E:E, IW29EDITAR!I:I, A160, IW29EDITAR!H:H, "LINE 5")+SUMIFS(IW29EDITAR!E:E, IW29EDITAR!I:I, A160, IW29EDITAR!H:H, "LINE 6")</f>
        <v>0</v>
      </c>
    </row>
    <row r="161" spans="1:15" ht="14.4">
      <c r="A161" s="3">
        <v>20031425</v>
      </c>
      <c r="B161" s="81" t="s">
        <v>4726</v>
      </c>
      <c r="C161" s="13" t="str">
        <f>IFERROR(VLOOKUP(B161, 'Base de datos'!A:B, 2, FALSE), "")</f>
        <v/>
      </c>
      <c r="D161" s="29" t="e">
        <f t="shared" ca="1" si="0"/>
        <v>#NAME?</v>
      </c>
      <c r="E161" s="84" t="s">
        <v>4727</v>
      </c>
      <c r="F161" s="3">
        <f>COUNTIF(IW29EDITAR!I:I,A161)</f>
        <v>5</v>
      </c>
      <c r="G161" s="3">
        <f>COUNTIF('M2'!J:J,B161)</f>
        <v>0</v>
      </c>
      <c r="H161" s="3">
        <f>SUMIF(IW29EDITAR!I:I,A161,IW29EDITAR!E:E)</f>
        <v>1.71</v>
      </c>
      <c r="I161" s="76">
        <f>SUMIF('M2'!J:J,B161,'M2'!E:E)</f>
        <v>0</v>
      </c>
      <c r="J161" s="77">
        <f>SUMIFS(IW29EDITAR!E:E, IW29EDITAR!I:I, A161, IW29EDITAR!H:H, "LINE 8")</f>
        <v>0</v>
      </c>
      <c r="K161" s="77">
        <f>SUMIFS(IW29EDITAR!E:E, IW29EDITAR!I:I, A161, IW29EDITAR!H:H, "LINE 10")</f>
        <v>1.71</v>
      </c>
      <c r="L161" s="77">
        <f>SUMIFS(IW29EDITAR!E:E, IW29EDITAR!I:I, A161, IW29EDITAR!H:H, "LINE 1")</f>
        <v>0</v>
      </c>
      <c r="M161" s="77">
        <f>SUMIFS(IW29EDITAR!E:E, IW29EDITAR!I:I, A161, IW29EDITAR!H:H, "LINE 2")</f>
        <v>0</v>
      </c>
      <c r="N161" s="77">
        <f>SUMIFS(IW29EDITAR!E:E, IW29EDITAR!I:I, A161, IW29EDITAR!H:H, "LINE 3")</f>
        <v>0</v>
      </c>
      <c r="O161" s="76">
        <f>SUMIFS(IW29EDITAR!E:E, IW29EDITAR!I:I, A161, IW29EDITAR!H:H, "LINE 4") + SUMIFS(IW29EDITAR!E:E, IW29EDITAR!I:I, A161, IW29EDITAR!H:H, "LINE 5")+SUMIFS(IW29EDITAR!E:E, IW29EDITAR!I:I, A161, IW29EDITAR!H:H, "LINE 6")</f>
        <v>0</v>
      </c>
    </row>
    <row r="162" spans="1:15" ht="13.2">
      <c r="A162" s="3">
        <v>20076884</v>
      </c>
      <c r="B162" s="81" t="s">
        <v>4728</v>
      </c>
      <c r="C162" s="13">
        <f>IFERROR(VLOOKUP(B162, 'Base de datos'!A:B, 2, FALSE), "")</f>
        <v>573128543241</v>
      </c>
      <c r="D162" s="29" t="e">
        <f t="shared" ca="1" si="0"/>
        <v>#NAME?</v>
      </c>
      <c r="E162" s="3" t="s">
        <v>4729</v>
      </c>
      <c r="F162" s="3">
        <f>COUNTIF(IW29EDITAR!I:I,A162)</f>
        <v>4</v>
      </c>
      <c r="G162" s="3">
        <f>COUNTIF('M2'!J:J,B162)</f>
        <v>0</v>
      </c>
      <c r="H162" s="3">
        <f>SUMIF(IW29EDITAR!I:I,A162,IW29EDITAR!E:E)</f>
        <v>0.6</v>
      </c>
      <c r="I162" s="76">
        <f>SUMIF('M2'!J:J,B162,'M2'!E:E)</f>
        <v>0</v>
      </c>
      <c r="J162" s="77">
        <f>SUMIFS(IW29EDITAR!E:E, IW29EDITAR!I:I, A162, IW29EDITAR!H:H, "LINE 8")</f>
        <v>0</v>
      </c>
      <c r="K162" s="77">
        <f>SUMIFS(IW29EDITAR!E:E, IW29EDITAR!I:I, A162, IW29EDITAR!H:H, "LINE 10")</f>
        <v>0</v>
      </c>
      <c r="L162" s="77">
        <f>SUMIFS(IW29EDITAR!E:E, IW29EDITAR!I:I, A162, IW29EDITAR!H:H, "LINE 1")</f>
        <v>0</v>
      </c>
      <c r="M162" s="77">
        <f>SUMIFS(IW29EDITAR!E:E, IW29EDITAR!I:I, A162, IW29EDITAR!H:H, "LINE 2")</f>
        <v>0</v>
      </c>
      <c r="N162" s="77">
        <f>SUMIFS(IW29EDITAR!E:E, IW29EDITAR!I:I, A162, IW29EDITAR!H:H, "LINE 3")</f>
        <v>0</v>
      </c>
      <c r="O162" s="76">
        <f>SUMIFS(IW29EDITAR!E:E, IW29EDITAR!I:I, A162, IW29EDITAR!H:H, "LINE 4") + SUMIFS(IW29EDITAR!E:E, IW29EDITAR!I:I, A162, IW29EDITAR!H:H, "LINE 5")+SUMIFS(IW29EDITAR!E:E, IW29EDITAR!I:I, A162, IW29EDITAR!H:H, "LINE 6")</f>
        <v>0.6</v>
      </c>
    </row>
    <row r="163" spans="1:15" ht="13.2">
      <c r="A163" s="3">
        <v>20009992</v>
      </c>
      <c r="B163" s="81" t="s">
        <v>4730</v>
      </c>
      <c r="C163" s="13" t="str">
        <f>IFERROR(VLOOKUP(B163, 'Base de datos'!A:B, 2, FALSE), "")</f>
        <v/>
      </c>
      <c r="D163" s="29" t="e">
        <f t="shared" ca="1" si="0"/>
        <v>#NAME?</v>
      </c>
      <c r="E163" s="3" t="s">
        <v>4731</v>
      </c>
      <c r="F163" s="3">
        <f>COUNTIF(IW29EDITAR!I:I,A163)</f>
        <v>3</v>
      </c>
      <c r="G163" s="3">
        <f>COUNTIF('M2'!J:J,B163)</f>
        <v>0</v>
      </c>
      <c r="H163" s="3">
        <f>SUMIF(IW29EDITAR!I:I,A163,IW29EDITAR!E:E)</f>
        <v>0.71</v>
      </c>
      <c r="I163" s="76">
        <f>SUMIF('M2'!J:J,B163,'M2'!E:E)</f>
        <v>0</v>
      </c>
      <c r="J163" s="77">
        <f>SUMIFS(IW29EDITAR!E:E, IW29EDITAR!I:I, A163, IW29EDITAR!H:H, "LINE 8")</f>
        <v>0</v>
      </c>
      <c r="K163" s="77">
        <f>SUMIFS(IW29EDITAR!E:E, IW29EDITAR!I:I, A163, IW29EDITAR!H:H, "LINE 10")</f>
        <v>0</v>
      </c>
      <c r="L163" s="77">
        <f>SUMIFS(IW29EDITAR!E:E, IW29EDITAR!I:I, A163, IW29EDITAR!H:H, "LINE 1")</f>
        <v>0.71</v>
      </c>
      <c r="M163" s="77">
        <f>SUMIFS(IW29EDITAR!E:E, IW29EDITAR!I:I, A163, IW29EDITAR!H:H, "LINE 2")</f>
        <v>0</v>
      </c>
      <c r="N163" s="77">
        <f>SUMIFS(IW29EDITAR!E:E, IW29EDITAR!I:I, A163, IW29EDITAR!H:H, "LINE 3")</f>
        <v>0</v>
      </c>
      <c r="O163" s="76">
        <f>SUMIFS(IW29EDITAR!E:E, IW29EDITAR!I:I, A163, IW29EDITAR!H:H, "LINE 4") + SUMIFS(IW29EDITAR!E:E, IW29EDITAR!I:I, A163, IW29EDITAR!H:H, "LINE 5")+SUMIFS(IW29EDITAR!E:E, IW29EDITAR!I:I, A163, IW29EDITAR!H:H, "LINE 6")</f>
        <v>0</v>
      </c>
    </row>
    <row r="164" spans="1:15" ht="14.4">
      <c r="A164" s="3">
        <v>20009743</v>
      </c>
      <c r="B164" s="75" t="s">
        <v>2445</v>
      </c>
      <c r="C164" s="13">
        <f>IFERROR(VLOOKUP(B164, 'Base de datos'!A:B, 2, FALSE), "")</f>
        <v>573187183243</v>
      </c>
      <c r="D164" s="29" t="e">
        <f t="shared" ca="1" si="0"/>
        <v>#NAME?</v>
      </c>
      <c r="E164" s="82" t="s">
        <v>4732</v>
      </c>
      <c r="F164" s="3">
        <f>COUNTIF(IW29EDITAR!I:I,A164)</f>
        <v>2</v>
      </c>
      <c r="G164" s="3">
        <f>COUNTIF('M2'!J:J,B164)</f>
        <v>0</v>
      </c>
      <c r="H164" s="3">
        <f>SUMIF(IW29EDITAR!I:I,A164,IW29EDITAR!E:E)</f>
        <v>0.71</v>
      </c>
      <c r="I164" s="76">
        <f>SUMIF('M2'!J:J,B164,'M2'!E:E)</f>
        <v>0</v>
      </c>
      <c r="J164" s="77">
        <f>SUMIFS(IW29EDITAR!E:E, IW29EDITAR!I:I, A164, IW29EDITAR!H:H, "LINE 8")</f>
        <v>0</v>
      </c>
      <c r="K164" s="77">
        <f>SUMIFS(IW29EDITAR!E:E, IW29EDITAR!I:I, A164, IW29EDITAR!H:H, "LINE 10")</f>
        <v>0.71</v>
      </c>
      <c r="L164" s="77">
        <f>SUMIFS(IW29EDITAR!E:E, IW29EDITAR!I:I, A164, IW29EDITAR!H:H, "LINE 1")</f>
        <v>0</v>
      </c>
      <c r="M164" s="77">
        <f>SUMIFS(IW29EDITAR!E:E, IW29EDITAR!I:I, A164, IW29EDITAR!H:H, "LINE 2")</f>
        <v>0</v>
      </c>
      <c r="N164" s="77">
        <f>SUMIFS(IW29EDITAR!E:E, IW29EDITAR!I:I, A164, IW29EDITAR!H:H, "LINE 3")</f>
        <v>0</v>
      </c>
      <c r="O164" s="76">
        <f>SUMIFS(IW29EDITAR!E:E, IW29EDITAR!I:I, A164, IW29EDITAR!H:H, "LINE 4") + SUMIFS(IW29EDITAR!E:E, IW29EDITAR!I:I, A164, IW29EDITAR!H:H, "LINE 5")+SUMIFS(IW29EDITAR!E:E, IW29EDITAR!I:I, A164, IW29EDITAR!H:H, "LINE 6")</f>
        <v>0</v>
      </c>
    </row>
    <row r="165" spans="1:15" ht="14.4">
      <c r="A165" s="7">
        <v>20067934</v>
      </c>
      <c r="B165" s="7" t="s">
        <v>4733</v>
      </c>
      <c r="C165" s="13">
        <f>IFERROR(VLOOKUP(B165, 'Base de datos'!A:B, 2, FALSE), "")</f>
        <v>573122261803</v>
      </c>
      <c r="D165" s="29" t="e">
        <f t="shared" ca="1" si="0"/>
        <v>#NAME?</v>
      </c>
      <c r="E165" s="85" t="s">
        <v>4734</v>
      </c>
      <c r="F165" s="3">
        <f>COUNTIF(IW29EDITAR!I:I,A165)</f>
        <v>0</v>
      </c>
      <c r="G165" s="3">
        <f>COUNTIF('M2'!J:J,B165)</f>
        <v>0</v>
      </c>
      <c r="H165" s="3">
        <f>SUMIF(IW29EDITAR!I:I,A165,IW29EDITAR!E:E)</f>
        <v>0</v>
      </c>
      <c r="I165" s="76">
        <f>SUMIF('M2'!J:J,B165,'M2'!E:E)</f>
        <v>0</v>
      </c>
      <c r="J165" s="77">
        <f>SUMIFS(IW29EDITAR!E:E, IW29EDITAR!I:I, A165, IW29EDITAR!H:H, "LINE 8")</f>
        <v>0</v>
      </c>
      <c r="K165" s="77">
        <f>SUMIFS(IW29EDITAR!E:E, IW29EDITAR!I:I, A165, IW29EDITAR!H:H, "LINE 10")</f>
        <v>0</v>
      </c>
      <c r="L165" s="77">
        <f>SUMIFS(IW29EDITAR!E:E, IW29EDITAR!I:I, A165, IW29EDITAR!H:H, "LINE 1")</f>
        <v>0</v>
      </c>
      <c r="M165" s="77">
        <f>SUMIFS(IW29EDITAR!E:E, IW29EDITAR!I:I, A165, IW29EDITAR!H:H, "LINE 2")</f>
        <v>0</v>
      </c>
      <c r="N165" s="77">
        <f>SUMIFS(IW29EDITAR!E:E, IW29EDITAR!I:I, A165, IW29EDITAR!H:H, "LINE 3")</f>
        <v>0</v>
      </c>
      <c r="O165" s="76">
        <f>SUMIFS(IW29EDITAR!E:E, IW29EDITAR!I:I, A165, IW29EDITAR!H:H, "LINE 4") + SUMIFS(IW29EDITAR!E:E, IW29EDITAR!I:I, A165, IW29EDITAR!H:H, "LINE 5")+SUMIFS(IW29EDITAR!E:E, IW29EDITAR!I:I, A165, IW29EDITAR!H:H, "LINE 6")</f>
        <v>0</v>
      </c>
    </row>
    <row r="166" spans="1:15" ht="14.4">
      <c r="A166" s="86">
        <v>20084469</v>
      </c>
      <c r="B166" s="53" t="s">
        <v>4030</v>
      </c>
      <c r="C166" s="13">
        <f>IFERROR(VLOOKUP(B166, 'Base de datos'!A:B, 2, FALSE), "")</f>
        <v>573027971204</v>
      </c>
      <c r="D166" s="29" t="e">
        <f t="shared" ca="1" si="0"/>
        <v>#NAME?</v>
      </c>
      <c r="E166" s="85" t="s">
        <v>4735</v>
      </c>
      <c r="F166" s="3">
        <f>COUNTIF(IW29EDITAR!I:I,A166)</f>
        <v>4</v>
      </c>
      <c r="G166" s="3">
        <f>COUNTIF('M2'!J:J,B166)</f>
        <v>0</v>
      </c>
      <c r="H166" s="3">
        <f>SUMIF(IW29EDITAR!I:I,A166,IW29EDITAR!E:E)</f>
        <v>1.33</v>
      </c>
      <c r="I166" s="76">
        <f>SUMIF('M2'!J:J,B166,'M2'!E:E)</f>
        <v>0</v>
      </c>
      <c r="J166" s="77">
        <f>SUMIFS(IW29EDITAR!E:E, IW29EDITAR!I:I, A166, IW29EDITAR!H:H, "LINE 8")</f>
        <v>0</v>
      </c>
      <c r="K166" s="77">
        <f>SUMIFS(IW29EDITAR!E:E, IW29EDITAR!I:I, A166, IW29EDITAR!H:H, "LINE 10")</f>
        <v>0</v>
      </c>
      <c r="L166" s="77">
        <f>SUMIFS(IW29EDITAR!E:E, IW29EDITAR!I:I, A166, IW29EDITAR!H:H, "LINE 1")</f>
        <v>1.33</v>
      </c>
      <c r="M166" s="77">
        <f>SUMIFS(IW29EDITAR!E:E, IW29EDITAR!I:I, A166, IW29EDITAR!H:H, "LINE 2")</f>
        <v>0</v>
      </c>
      <c r="N166" s="77">
        <f>SUMIFS(IW29EDITAR!E:E, IW29EDITAR!I:I, A166, IW29EDITAR!H:H, "LINE 3")</f>
        <v>0</v>
      </c>
      <c r="O166" s="76">
        <f>SUMIFS(IW29EDITAR!E:E, IW29EDITAR!I:I, A166, IW29EDITAR!H:H, "LINE 4") + SUMIFS(IW29EDITAR!E:E, IW29EDITAR!I:I, A166, IW29EDITAR!H:H, "LINE 5")+SUMIFS(IW29EDITAR!E:E, IW29EDITAR!I:I, A166, IW29EDITAR!H:H, "LINE 6")</f>
        <v>0</v>
      </c>
    </row>
    <row r="167" spans="1:15" ht="13.2">
      <c r="A167" s="5" t="str">
        <f>""</f>
        <v/>
      </c>
      <c r="B167" s="5" t="s">
        <v>4736</v>
      </c>
      <c r="F167" s="5">
        <f>COUNTIF(IW29EDITAR!I:I,A167)</f>
        <v>1048381</v>
      </c>
      <c r="H167" s="5">
        <f>SUMIF(IW29EDITAR!I:I,A167,IW29EDITAR!E:E)</f>
        <v>40.71</v>
      </c>
      <c r="I167" s="76">
        <f>SUMIF('M2'!J:J,B167,'M2'!E:E)</f>
        <v>0</v>
      </c>
      <c r="J167" s="13">
        <f>SUMIFS(IW29EDITAR!E:E, IW29EDITAR!I:I, A167, IW29EDITAR!H:H, "LINE 8")</f>
        <v>9.8599999999999977</v>
      </c>
      <c r="K167" s="13">
        <f>SUMIFS(IW29EDITAR!E:E, IW29EDITAR!I:I, A167, IW29EDITAR!H:H, "LINE 10")</f>
        <v>21.750000000000004</v>
      </c>
      <c r="L167" s="13">
        <f>SUMIFS(IW29EDITAR!E:E, IW29EDITAR!I:I, A167, IW29EDITAR!H:H, "LINE 1")</f>
        <v>4.6100000000000003</v>
      </c>
      <c r="M167" s="13">
        <f>SUMIFS(IW29EDITAR!E:E, IW29EDITAR!I:I, A167, IW29EDITAR!H:H, "LINE 2")</f>
        <v>0</v>
      </c>
      <c r="N167" s="13">
        <f>SUMIFS(IW29EDITAR!E:E, IW29EDITAR!I:I, A167, IW29EDITAR!H:H, "LINE 3")</f>
        <v>4.13</v>
      </c>
      <c r="O167" s="13">
        <f>SUMIFS(IW29EDITAR!E:E, IW29EDITAR!I:I, A167, IW29EDITAR!H:H, "LINE 4") + SUMIFS(IW29EDITAR!E:E, IW29EDITAR!I:I, A167, IW29EDITAR!H:H, "LINE 5")+SUMIFS(IW29EDITAR!E:E, IW29EDITAR!I:I, A167, IW29EDITAR!H:H, "LINE 6")</f>
        <v>0.36</v>
      </c>
    </row>
  </sheetData>
  <autoFilter ref="A1:R167" xr:uid="{00000000-0009-0000-0000-000011000000}"/>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F40"/>
  <sheetViews>
    <sheetView workbookViewId="0"/>
  </sheetViews>
  <sheetFormatPr baseColWidth="10" defaultColWidth="12.6640625" defaultRowHeight="15.75" customHeight="1"/>
  <cols>
    <col min="1" max="1" width="0.6640625" customWidth="1"/>
  </cols>
  <sheetData>
    <row r="1" spans="1:32">
      <c r="A1" s="5" t="str">
        <f ca="1">IFERROR(__xludf.DUMMYFUNCTION("FILTER(BasedatosM9!A:J, BasedatosM9!J:J &gt; 0)"),"#REF!")</f>
        <v>#REF!</v>
      </c>
      <c r="B1" s="5"/>
      <c r="C1" s="5"/>
      <c r="D1" s="5"/>
      <c r="E1" s="5"/>
      <c r="F1" s="87"/>
      <c r="G1" s="5" t="str">
        <f ca="1">IFERROR(__xludf.DUMMYFUNCTION("ARRAYFORMULA(QUERY({BasedatosM9!A:K}, ""SELECT Col2, Col6, Col7, Col11 WHERE Col11 &gt; 0""))"),"Nombres")</f>
        <v>Nombres</v>
      </c>
      <c r="H1" s="5" t="str">
        <f ca="1">IFERROR(__xludf.DUMMYFUNCTION("""COMPUTED_VALUE"""),"Cantidad M9-MA-MC")</f>
        <v>Cantidad M9-MA-MC</v>
      </c>
      <c r="I1" s="5" t="str">
        <f ca="1">IFERROR(__xludf.DUMMYFUNCTION("""COMPUTED_VALUE"""),"Cantidad M2")</f>
        <v>Cantidad M2</v>
      </c>
      <c r="J1" s="5" t="str">
        <f ca="1">IFERROR(__xludf.DUMMYFUNCTION("""COMPUTED_VALUE"""),"LINE 10")</f>
        <v>LINE 10</v>
      </c>
      <c r="K1" s="88"/>
      <c r="L1" s="13" t="str">
        <f ca="1">IFERROR(__xludf.DUMMYFUNCTION("ARRAYFORMULA(QUERY({BasedatosM9!A:L}, ""SELECT Col2, Col6, Col7, Col10 WHERE Col10 &gt; 0""))"),"Nombres")</f>
        <v>Nombres</v>
      </c>
      <c r="M1" s="5" t="str">
        <f ca="1">IFERROR(__xludf.DUMMYFUNCTION("""COMPUTED_VALUE"""),"Cantidad M9-MA-MC")</f>
        <v>Cantidad M9-MA-MC</v>
      </c>
      <c r="N1" s="5" t="str">
        <f ca="1">IFERROR(__xludf.DUMMYFUNCTION("""COMPUTED_VALUE"""),"Cantidad M2")</f>
        <v>Cantidad M2</v>
      </c>
      <c r="O1" s="5" t="str">
        <f ca="1">IFERROR(__xludf.DUMMYFUNCTION("""COMPUTED_VALUE"""),"LINE 8")</f>
        <v>LINE 8</v>
      </c>
      <c r="P1" s="89"/>
      <c r="Q1" s="13" t="str">
        <f ca="1">IFERROR(__xludf.DUMMYFUNCTION("ARRAYFORMULA(QUERY({BasedatosM9!A:M}, ""SELECT Col2, Col6, Col7, Col12 WHERE Col12 &gt; 0""))"),"Nombres")</f>
        <v>Nombres</v>
      </c>
      <c r="R1" s="5" t="str">
        <f ca="1">IFERROR(__xludf.DUMMYFUNCTION("""COMPUTED_VALUE"""),"Cantidad M9-MA-MC")</f>
        <v>Cantidad M9-MA-MC</v>
      </c>
      <c r="S1" s="5" t="str">
        <f ca="1">IFERROR(__xludf.DUMMYFUNCTION("""COMPUTED_VALUE"""),"Cantidad M2")</f>
        <v>Cantidad M2</v>
      </c>
      <c r="T1" s="5" t="str">
        <f ca="1">IFERROR(__xludf.DUMMYFUNCTION("""COMPUTED_VALUE"""),"LINE 1")</f>
        <v>LINE 1</v>
      </c>
      <c r="U1" s="90"/>
      <c r="V1" s="13" t="str">
        <f ca="1">IFERROR(__xludf.DUMMYFUNCTION("ARRAYFORMULA(QUERY({BasedatosM9!A:N}, ""SELECT Col2, Col3, Col4, Col9 WHERE Col9 &gt; 0""))"),"Nombres")</f>
        <v>Nombres</v>
      </c>
      <c r="W1" s="5" t="str">
        <f ca="1">IFERROR(__xludf.DUMMYFUNCTION("""COMPUTED_VALUE"""),"Telefono")</f>
        <v>Telefono</v>
      </c>
      <c r="X1" s="5" t="str">
        <f ca="1">IFERROR(__xludf.DUMMYFUNCTION("""COMPUTED_VALUE"""),"apiWha")</f>
        <v>apiWha</v>
      </c>
      <c r="Y1" s="5" t="str">
        <f ca="1">IFERROR(__xludf.DUMMYFUNCTION("""COMPUTED_VALUE"""),"Tiempo M2")</f>
        <v>Tiempo M2</v>
      </c>
      <c r="Z1" s="91"/>
      <c r="AA1" s="13" t="str">
        <f ca="1">IFERROR(__xludf.DUMMYFUNCTION("ARRAYFORMULA(QUERY({BasedatosM9!A:J}, ""SELECT Col1, Col2, Col3, Col4 WHERE Col4 &gt; 0""))"),"Codigo Sap")</f>
        <v>Codigo Sap</v>
      </c>
      <c r="AB1" s="5" t="str">
        <f ca="1">IFERROR(__xludf.DUMMYFUNCTION("""COMPUTED_VALUE"""),"Nombres")</f>
        <v>Nombres</v>
      </c>
      <c r="AC1" s="5" t="str">
        <f ca="1">IFERROR(__xludf.DUMMYFUNCTION("""COMPUTED_VALUE"""),"Telefono")</f>
        <v>Telefono</v>
      </c>
      <c r="AD1" s="5" t="str">
        <f ca="1">IFERROR(__xludf.DUMMYFUNCTION("""COMPUTED_VALUE"""),"apiWha")</f>
        <v>apiWha</v>
      </c>
    </row>
    <row r="2" spans="1:32">
      <c r="F2" s="87"/>
      <c r="G2" s="5" t="str">
        <f ca="1">IFERROR(__xludf.DUMMYFUNCTION("""COMPUTED_VALUE"""),"Bolaños Camacho Luis Miguel")</f>
        <v>Bolaños Camacho Luis Miguel</v>
      </c>
      <c r="H2" s="5">
        <f ca="1">IFERROR(__xludf.DUMMYFUNCTION("""COMPUTED_VALUE"""),3)</f>
        <v>3</v>
      </c>
      <c r="I2" s="5">
        <f ca="1">IFERROR(__xludf.DUMMYFUNCTION("""COMPUTED_VALUE"""),0)</f>
        <v>0</v>
      </c>
      <c r="J2" s="5">
        <f ca="1">IFERROR(__xludf.DUMMYFUNCTION("""COMPUTED_VALUE"""),0.85)</f>
        <v>0.85</v>
      </c>
      <c r="K2" s="88"/>
      <c r="L2" s="5" t="str">
        <f ca="1">IFERROR(__xludf.DUMMYFUNCTION("""COMPUTED_VALUE"""),"Franco Castillo Brayan Steven")</f>
        <v>Franco Castillo Brayan Steven</v>
      </c>
      <c r="M2" s="5">
        <f ca="1">IFERROR(__xludf.DUMMYFUNCTION("""COMPUTED_VALUE"""),6)</f>
        <v>6</v>
      </c>
      <c r="N2" s="5">
        <f ca="1">IFERROR(__xludf.DUMMYFUNCTION("""COMPUTED_VALUE"""),0)</f>
        <v>0</v>
      </c>
      <c r="O2" s="5">
        <f ca="1">IFERROR(__xludf.DUMMYFUNCTION("""COMPUTED_VALUE"""),2.6)</f>
        <v>2.6</v>
      </c>
      <c r="P2" s="89"/>
      <c r="Q2" s="5" t="str">
        <f ca="1">IFERROR(__xludf.DUMMYFUNCTION("""COMPUTED_VALUE"""),"Sanchez Rodriguez Gerson Andres")</f>
        <v>Sanchez Rodriguez Gerson Andres</v>
      </c>
      <c r="R2" s="5">
        <f ca="1">IFERROR(__xludf.DUMMYFUNCTION("""COMPUTED_VALUE"""),11)</f>
        <v>11</v>
      </c>
      <c r="S2" s="5">
        <f ca="1">IFERROR(__xludf.DUMMYFUNCTION("""COMPUTED_VALUE"""),0)</f>
        <v>0</v>
      </c>
      <c r="T2" s="5">
        <f ca="1">IFERROR(__xludf.DUMMYFUNCTION("""COMPUTED_VALUE"""),5.3)</f>
        <v>5.3</v>
      </c>
      <c r="U2" s="90"/>
      <c r="Z2" s="91"/>
      <c r="AE2" s="5">
        <f ca="1">IFERROR(__xludf.DUMMYFUNCTION("UNIQUE(IW29EDITAR!I2:I1000)"),20009996)</f>
        <v>20009996</v>
      </c>
      <c r="AF2" s="5" t="str">
        <f t="shared" ref="AF2:AF40" ca="1" si="0">IF(ISNUMBER(VLOOKUP(AE2,AA2:AA1000, 1, FALSE)), "Encontrado", "No Encontrado")</f>
        <v>No Encontrado</v>
      </c>
    </row>
    <row r="3" spans="1:32">
      <c r="F3" s="87"/>
      <c r="G3" s="5" t="str">
        <f ca="1">IFERROR(__xludf.DUMMYFUNCTION("""COMPUTED_VALUE"""),"Parra Ramos Hector")</f>
        <v>Parra Ramos Hector</v>
      </c>
      <c r="H3" s="5">
        <f ca="1">IFERROR(__xludf.DUMMYFUNCTION("""COMPUTED_VALUE"""),2)</f>
        <v>2</v>
      </c>
      <c r="I3" s="5">
        <f ca="1">IFERROR(__xludf.DUMMYFUNCTION("""COMPUTED_VALUE"""),0)</f>
        <v>0</v>
      </c>
      <c r="J3" s="5">
        <f ca="1">IFERROR(__xludf.DUMMYFUNCTION("""COMPUTED_VALUE"""),0.38)</f>
        <v>0.38</v>
      </c>
      <c r="K3" s="88"/>
      <c r="L3" s="5" t="str">
        <f ca="1">IFERROR(__xludf.DUMMYFUNCTION("""COMPUTED_VALUE"""),"Vanegas Guependo Hermes")</f>
        <v>Vanegas Guependo Hermes</v>
      </c>
      <c r="M3" s="5">
        <f ca="1">IFERROR(__xludf.DUMMYFUNCTION("""COMPUTED_VALUE"""),5)</f>
        <v>5</v>
      </c>
      <c r="N3" s="5">
        <f ca="1">IFERROR(__xludf.DUMMYFUNCTION("""COMPUTED_VALUE"""),0)</f>
        <v>0</v>
      </c>
      <c r="O3" s="5">
        <f ca="1">IFERROR(__xludf.DUMMYFUNCTION("""COMPUTED_VALUE"""),3.73)</f>
        <v>3.73</v>
      </c>
      <c r="P3" s="89"/>
      <c r="Q3" s="5" t="str">
        <f ca="1">IFERROR(__xludf.DUMMYFUNCTION("""COMPUTED_VALUE"""),"Astaiza Hernandez John Eyder")</f>
        <v>Astaiza Hernandez John Eyder</v>
      </c>
      <c r="R3" s="5">
        <f ca="1">IFERROR(__xludf.DUMMYFUNCTION("""COMPUTED_VALUE"""),1)</f>
        <v>1</v>
      </c>
      <c r="S3" s="5">
        <f ca="1">IFERROR(__xludf.DUMMYFUNCTION("""COMPUTED_VALUE"""),0)</f>
        <v>0</v>
      </c>
      <c r="T3" s="5">
        <f ca="1">IFERROR(__xludf.DUMMYFUNCTION("""COMPUTED_VALUE"""),3.17)</f>
        <v>3.17</v>
      </c>
      <c r="U3" s="90"/>
      <c r="Z3" s="91"/>
      <c r="AE3" s="5">
        <f ca="1">IFERROR(__xludf.DUMMYFUNCTION("""COMPUTED_VALUE"""),20009721)</f>
        <v>20009721</v>
      </c>
      <c r="AF3" s="5" t="str">
        <f t="shared" ca="1" si="0"/>
        <v>No Encontrado</v>
      </c>
    </row>
    <row r="4" spans="1:32">
      <c r="F4" s="87"/>
      <c r="G4" s="5" t="str">
        <f ca="1">IFERROR(__xludf.DUMMYFUNCTION("""COMPUTED_VALUE"""),"Bonilla Edwin")</f>
        <v>Bonilla Edwin</v>
      </c>
      <c r="H4" s="5">
        <f ca="1">IFERROR(__xludf.DUMMYFUNCTION("""COMPUTED_VALUE"""),2)</f>
        <v>2</v>
      </c>
      <c r="I4" s="5">
        <f ca="1">IFERROR(__xludf.DUMMYFUNCTION("""COMPUTED_VALUE"""),0)</f>
        <v>0</v>
      </c>
      <c r="J4" s="5">
        <f ca="1">IFERROR(__xludf.DUMMYFUNCTION("""COMPUTED_VALUE"""),0.659999999999999)</f>
        <v>0.65999999999999903</v>
      </c>
      <c r="K4" s="88"/>
      <c r="L4" s="5" t="str">
        <f ca="1">IFERROR(__xludf.DUMMYFUNCTION("""COMPUTED_VALUE"""),"Martinez Peña Brandon Stewar")</f>
        <v>Martinez Peña Brandon Stewar</v>
      </c>
      <c r="M4" s="5">
        <f ca="1">IFERROR(__xludf.DUMMYFUNCTION("""COMPUTED_VALUE"""),1)</f>
        <v>1</v>
      </c>
      <c r="N4" s="5">
        <f ca="1">IFERROR(__xludf.DUMMYFUNCTION("""COMPUTED_VALUE"""),0)</f>
        <v>0</v>
      </c>
      <c r="O4" s="5">
        <f ca="1">IFERROR(__xludf.DUMMYFUNCTION("""COMPUTED_VALUE"""),0.08)</f>
        <v>0.08</v>
      </c>
      <c r="P4" s="89"/>
      <c r="Q4" s="5" t="str">
        <f ca="1">IFERROR(__xludf.DUMMYFUNCTION("""COMPUTED_VALUE"""),"Lozano Delgado Fausto Andres")</f>
        <v>Lozano Delgado Fausto Andres</v>
      </c>
      <c r="R4" s="5">
        <f ca="1">IFERROR(__xludf.DUMMYFUNCTION("""COMPUTED_VALUE"""),13)</f>
        <v>13</v>
      </c>
      <c r="S4" s="5">
        <f ca="1">IFERROR(__xludf.DUMMYFUNCTION("""COMPUTED_VALUE"""),0)</f>
        <v>0</v>
      </c>
      <c r="T4" s="5">
        <f ca="1">IFERROR(__xludf.DUMMYFUNCTION("""COMPUTED_VALUE"""),6.5)</f>
        <v>6.5</v>
      </c>
      <c r="U4" s="90"/>
      <c r="Z4" s="91"/>
      <c r="AE4" s="5"/>
      <c r="AF4" s="5" t="str">
        <f t="shared" si="0"/>
        <v>No Encontrado</v>
      </c>
    </row>
    <row r="5" spans="1:32">
      <c r="F5" s="87"/>
      <c r="G5" s="5" t="str">
        <f ca="1">IFERROR(__xludf.DUMMYFUNCTION("""COMPUTED_VALUE"""),"Peña Quiñonez Andres Gilberto")</f>
        <v>Peña Quiñonez Andres Gilberto</v>
      </c>
      <c r="H5" s="5">
        <f ca="1">IFERROR(__xludf.DUMMYFUNCTION("""COMPUTED_VALUE"""),3)</f>
        <v>3</v>
      </c>
      <c r="I5" s="5">
        <f ca="1">IFERROR(__xludf.DUMMYFUNCTION("""COMPUTED_VALUE"""),0)</f>
        <v>0</v>
      </c>
      <c r="J5" s="5">
        <f ca="1">IFERROR(__xludf.DUMMYFUNCTION("""COMPUTED_VALUE"""),1.25)</f>
        <v>1.25</v>
      </c>
      <c r="K5" s="88"/>
      <c r="L5" s="5" t="str">
        <f ca="1">IFERROR(__xludf.DUMMYFUNCTION("""COMPUTED_VALUE"""),"Jhonnys Fernandez")</f>
        <v>Jhonnys Fernandez</v>
      </c>
      <c r="M5" s="5">
        <f ca="1">IFERROR(__xludf.DUMMYFUNCTION("""COMPUTED_VALUE"""),1)</f>
        <v>1</v>
      </c>
      <c r="N5" s="5">
        <f ca="1">IFERROR(__xludf.DUMMYFUNCTION("""COMPUTED_VALUE"""),0)</f>
        <v>0</v>
      </c>
      <c r="O5" s="5">
        <f ca="1">IFERROR(__xludf.DUMMYFUNCTION("""COMPUTED_VALUE"""),0.08)</f>
        <v>0.08</v>
      </c>
      <c r="P5" s="89"/>
      <c r="Q5" s="5" t="str">
        <f ca="1">IFERROR(__xludf.DUMMYFUNCTION("""COMPUTED_VALUE"""),"Aguado Lemos Luis Eyder")</f>
        <v>Aguado Lemos Luis Eyder</v>
      </c>
      <c r="R5" s="5">
        <f ca="1">IFERROR(__xludf.DUMMYFUNCTION("""COMPUTED_VALUE"""),12)</f>
        <v>12</v>
      </c>
      <c r="S5" s="5">
        <f ca="1">IFERROR(__xludf.DUMMYFUNCTION("""COMPUTED_VALUE"""),0)</f>
        <v>0</v>
      </c>
      <c r="T5" s="5">
        <f ca="1">IFERROR(__xludf.DUMMYFUNCTION("""COMPUTED_VALUE"""),3.13999999999999)</f>
        <v>3.1399999999999899</v>
      </c>
      <c r="U5" s="90"/>
      <c r="Z5" s="91"/>
      <c r="AE5" s="5">
        <f ca="1">IFERROR(__xludf.DUMMYFUNCTION("""COMPUTED_VALUE"""),20062740)</f>
        <v>20062740</v>
      </c>
      <c r="AF5" s="5" t="str">
        <f t="shared" ca="1" si="0"/>
        <v>No Encontrado</v>
      </c>
    </row>
    <row r="6" spans="1:32">
      <c r="F6" s="87"/>
      <c r="G6" s="5" t="str">
        <f ca="1">IFERROR(__xludf.DUMMYFUNCTION("""COMPUTED_VALUE"""),"Jose Correa")</f>
        <v>Jose Correa</v>
      </c>
      <c r="H6" s="5">
        <f ca="1">IFERROR(__xludf.DUMMYFUNCTION("""COMPUTED_VALUE"""),4)</f>
        <v>4</v>
      </c>
      <c r="I6" s="5">
        <f ca="1">IFERROR(__xludf.DUMMYFUNCTION("""COMPUTED_VALUE"""),0)</f>
        <v>0</v>
      </c>
      <c r="J6" s="5">
        <f ca="1">IFERROR(__xludf.DUMMYFUNCTION("""COMPUTED_VALUE"""),1.27)</f>
        <v>1.27</v>
      </c>
      <c r="K6" s="88"/>
      <c r="L6" s="5" t="str">
        <f ca="1">IFERROR(__xludf.DUMMYFUNCTION("""COMPUTED_VALUE"""),"Andres Mesa")</f>
        <v>Andres Mesa</v>
      </c>
      <c r="M6" s="5">
        <f ca="1">IFERROR(__xludf.DUMMYFUNCTION("""COMPUTED_VALUE"""),3)</f>
        <v>3</v>
      </c>
      <c r="N6" s="5">
        <f ca="1">IFERROR(__xludf.DUMMYFUNCTION("""COMPUTED_VALUE"""),0)</f>
        <v>0</v>
      </c>
      <c r="O6" s="5">
        <f ca="1">IFERROR(__xludf.DUMMYFUNCTION("""COMPUTED_VALUE"""),0.75)</f>
        <v>0.75</v>
      </c>
      <c r="P6" s="89"/>
      <c r="Q6" s="5" t="str">
        <f ca="1">IFERROR(__xludf.DUMMYFUNCTION("""COMPUTED_VALUE"""),"Cristian Suaza")</f>
        <v>Cristian Suaza</v>
      </c>
      <c r="R6" s="5">
        <f ca="1">IFERROR(__xludf.DUMMYFUNCTION("""COMPUTED_VALUE"""),18)</f>
        <v>18</v>
      </c>
      <c r="S6" s="5">
        <f ca="1">IFERROR(__xludf.DUMMYFUNCTION("""COMPUTED_VALUE"""),0)</f>
        <v>0</v>
      </c>
      <c r="T6" s="5">
        <f ca="1">IFERROR(__xludf.DUMMYFUNCTION("""COMPUTED_VALUE"""),3.68)</f>
        <v>3.68</v>
      </c>
      <c r="U6" s="90"/>
      <c r="Z6" s="91"/>
      <c r="AE6" s="5">
        <f ca="1">IFERROR(__xludf.DUMMYFUNCTION("""COMPUTED_VALUE"""),20036419)</f>
        <v>20036419</v>
      </c>
      <c r="AF6" s="5" t="str">
        <f t="shared" ca="1" si="0"/>
        <v>No Encontrado</v>
      </c>
    </row>
    <row r="7" spans="1:32">
      <c r="F7" s="87"/>
      <c r="G7" s="5" t="str">
        <f ca="1">IFERROR(__xludf.DUMMYFUNCTION("""COMPUTED_VALUE"""),"Jhon Navas")</f>
        <v>Jhon Navas</v>
      </c>
      <c r="H7" s="5">
        <f ca="1">IFERROR(__xludf.DUMMYFUNCTION("""COMPUTED_VALUE"""),6)</f>
        <v>6</v>
      </c>
      <c r="I7" s="5">
        <f ca="1">IFERROR(__xludf.DUMMYFUNCTION("""COMPUTED_VALUE"""),0)</f>
        <v>0</v>
      </c>
      <c r="J7" s="5">
        <f ca="1">IFERROR(__xludf.DUMMYFUNCTION("""COMPUTED_VALUE"""),1.33)</f>
        <v>1.33</v>
      </c>
      <c r="K7" s="88"/>
      <c r="L7" s="5" t="str">
        <f ca="1">IFERROR(__xludf.DUMMYFUNCTION("""COMPUTED_VALUE"""),"Osver Martinez")</f>
        <v>Osver Martinez</v>
      </c>
      <c r="M7" s="5">
        <f ca="1">IFERROR(__xludf.DUMMYFUNCTION("""COMPUTED_VALUE"""),4)</f>
        <v>4</v>
      </c>
      <c r="N7" s="5">
        <f ca="1">IFERROR(__xludf.DUMMYFUNCTION("""COMPUTED_VALUE"""),0)</f>
        <v>0</v>
      </c>
      <c r="O7" s="5">
        <f ca="1">IFERROR(__xludf.DUMMYFUNCTION("""COMPUTED_VALUE"""),0.6)</f>
        <v>0.6</v>
      </c>
      <c r="P7" s="89"/>
      <c r="Q7" s="5" t="str">
        <f ca="1">IFERROR(__xludf.DUMMYFUNCTION("""COMPUTED_VALUE"""),"Adalcides Campo")</f>
        <v>Adalcides Campo</v>
      </c>
      <c r="R7" s="5">
        <f ca="1">IFERROR(__xludf.DUMMYFUNCTION("""COMPUTED_VALUE"""),18)</f>
        <v>18</v>
      </c>
      <c r="S7" s="5">
        <f ca="1">IFERROR(__xludf.DUMMYFUNCTION("""COMPUTED_VALUE"""),0)</f>
        <v>0</v>
      </c>
      <c r="T7" s="5">
        <f ca="1">IFERROR(__xludf.DUMMYFUNCTION("""COMPUTED_VALUE"""),3)</f>
        <v>3</v>
      </c>
      <c r="U7" s="90"/>
      <c r="Z7" s="91"/>
      <c r="AE7" s="5">
        <f ca="1">IFERROR(__xludf.DUMMYFUNCTION("""COMPUTED_VALUE"""),20010206)</f>
        <v>20010206</v>
      </c>
      <c r="AF7" s="5" t="str">
        <f t="shared" ca="1" si="0"/>
        <v>No Encontrado</v>
      </c>
    </row>
    <row r="8" spans="1:32">
      <c r="F8" s="87"/>
      <c r="G8" s="5" t="str">
        <f ca="1">IFERROR(__xludf.DUMMYFUNCTION("""COMPUTED_VALUE"""),"Luis Gordillo")</f>
        <v>Luis Gordillo</v>
      </c>
      <c r="H8" s="5">
        <f ca="1">IFERROR(__xludf.DUMMYFUNCTION("""COMPUTED_VALUE"""),5)</f>
        <v>5</v>
      </c>
      <c r="I8" s="5">
        <f ca="1">IFERROR(__xludf.DUMMYFUNCTION("""COMPUTED_VALUE"""),0)</f>
        <v>0</v>
      </c>
      <c r="J8" s="5">
        <f ca="1">IFERROR(__xludf.DUMMYFUNCTION("""COMPUTED_VALUE"""),1.71)</f>
        <v>1.71</v>
      </c>
      <c r="K8" s="88"/>
      <c r="L8" s="5" t="str">
        <f ca="1">IFERROR(__xludf.DUMMYFUNCTION("""COMPUTED_VALUE"""),"Jonathan Lopez")</f>
        <v>Jonathan Lopez</v>
      </c>
      <c r="M8" s="5">
        <f ca="1">IFERROR(__xludf.DUMMYFUNCTION("""COMPUTED_VALUE"""),2)</f>
        <v>2</v>
      </c>
      <c r="N8" s="5">
        <f ca="1">IFERROR(__xludf.DUMMYFUNCTION("""COMPUTED_VALUE"""),0)</f>
        <v>0</v>
      </c>
      <c r="O8" s="5">
        <f ca="1">IFERROR(__xludf.DUMMYFUNCTION("""COMPUTED_VALUE"""),1.6)</f>
        <v>1.6</v>
      </c>
      <c r="P8" s="89"/>
      <c r="Q8" s="5" t="str">
        <f ca="1">IFERROR(__xludf.DUMMYFUNCTION("""COMPUTED_VALUE"""),"Fernando Montoya")</f>
        <v>Fernando Montoya</v>
      </c>
      <c r="R8" s="5">
        <f ca="1">IFERROR(__xludf.DUMMYFUNCTION("""COMPUTED_VALUE"""),4)</f>
        <v>4</v>
      </c>
      <c r="S8" s="5">
        <f ca="1">IFERROR(__xludf.DUMMYFUNCTION("""COMPUTED_VALUE"""),0)</f>
        <v>0</v>
      </c>
      <c r="T8" s="5">
        <f ca="1">IFERROR(__xludf.DUMMYFUNCTION("""COMPUTED_VALUE"""),0.59)</f>
        <v>0.59</v>
      </c>
      <c r="U8" s="90"/>
      <c r="Z8" s="91"/>
      <c r="AE8" s="5">
        <f ca="1">IFERROR(__xludf.DUMMYFUNCTION("""COMPUTED_VALUE"""),20065447)</f>
        <v>20065447</v>
      </c>
      <c r="AF8" s="5" t="str">
        <f t="shared" ca="1" si="0"/>
        <v>No Encontrado</v>
      </c>
    </row>
    <row r="9" spans="1:32">
      <c r="F9" s="87"/>
      <c r="G9" s="5" t="str">
        <f ca="1">IFERROR(__xludf.DUMMYFUNCTION("""COMPUTED_VALUE"""),"Duran Sanchez Nelson Fernando")</f>
        <v>Duran Sanchez Nelson Fernando</v>
      </c>
      <c r="H9" s="5">
        <f ca="1">IFERROR(__xludf.DUMMYFUNCTION("""COMPUTED_VALUE"""),2)</f>
        <v>2</v>
      </c>
      <c r="I9" s="5">
        <f ca="1">IFERROR(__xludf.DUMMYFUNCTION("""COMPUTED_VALUE"""),0)</f>
        <v>0</v>
      </c>
      <c r="J9" s="5">
        <f ca="1">IFERROR(__xludf.DUMMYFUNCTION("""COMPUTED_VALUE"""),0.71)</f>
        <v>0.71</v>
      </c>
      <c r="K9" s="88"/>
      <c r="L9" s="5" t="str">
        <f ca="1">IFERROR(__xludf.DUMMYFUNCTION("""COMPUTED_VALUE"""),"BLANCO")</f>
        <v>BLANCO</v>
      </c>
      <c r="M9" s="5">
        <f ca="1">IFERROR(__xludf.DUMMYFUNCTION("""COMPUTED_VALUE"""),3359)</f>
        <v>3359</v>
      </c>
      <c r="N9" s="5"/>
      <c r="O9" s="5">
        <f ca="1">IFERROR(__xludf.DUMMYFUNCTION("""COMPUTED_VALUE"""),9.85999999999999)</f>
        <v>9.8599999999999905</v>
      </c>
      <c r="P9" s="89"/>
      <c r="Q9" s="5" t="str">
        <f ca="1">IFERROR(__xludf.DUMMYFUNCTION("""COMPUTED_VALUE"""),"Hector Toro")</f>
        <v>Hector Toro</v>
      </c>
      <c r="R9" s="5">
        <f ca="1">IFERROR(__xludf.DUMMYFUNCTION("""COMPUTED_VALUE"""),5)</f>
        <v>5</v>
      </c>
      <c r="S9" s="5">
        <f ca="1">IFERROR(__xludf.DUMMYFUNCTION("""COMPUTED_VALUE"""),0)</f>
        <v>0</v>
      </c>
      <c r="T9" s="5">
        <f ca="1">IFERROR(__xludf.DUMMYFUNCTION("""COMPUTED_VALUE"""),1.4)</f>
        <v>1.4</v>
      </c>
      <c r="U9" s="90"/>
      <c r="Z9" s="91"/>
      <c r="AE9" s="5">
        <f ca="1">IFERROR(__xludf.DUMMYFUNCTION("""COMPUTED_VALUE"""),20020754)</f>
        <v>20020754</v>
      </c>
      <c r="AF9" s="5" t="str">
        <f t="shared" ca="1" si="0"/>
        <v>No Encontrado</v>
      </c>
    </row>
    <row r="10" spans="1:32">
      <c r="F10" s="87"/>
      <c r="G10" s="5" t="str">
        <f ca="1">IFERROR(__xludf.DUMMYFUNCTION("""COMPUTED_VALUE"""),"BLANCO")</f>
        <v>BLANCO</v>
      </c>
      <c r="H10" s="5">
        <f ca="1">IFERROR(__xludf.DUMMYFUNCTION("""COMPUTED_VALUE"""),3359)</f>
        <v>3359</v>
      </c>
      <c r="I10" s="5"/>
      <c r="J10" s="5">
        <f ca="1">IFERROR(__xludf.DUMMYFUNCTION("""COMPUTED_VALUE"""),21.75)</f>
        <v>21.75</v>
      </c>
      <c r="K10" s="88"/>
      <c r="P10" s="89"/>
      <c r="Q10" s="5" t="str">
        <f ca="1">IFERROR(__xludf.DUMMYFUNCTION("""COMPUTED_VALUE"""),"Andres Perez")</f>
        <v>Andres Perez</v>
      </c>
      <c r="R10" s="5">
        <f ca="1">IFERROR(__xludf.DUMMYFUNCTION("""COMPUTED_VALUE"""),1)</f>
        <v>1</v>
      </c>
      <c r="S10" s="5">
        <f ca="1">IFERROR(__xludf.DUMMYFUNCTION("""COMPUTED_VALUE"""),0)</f>
        <v>0</v>
      </c>
      <c r="T10" s="5">
        <f ca="1">IFERROR(__xludf.DUMMYFUNCTION("""COMPUTED_VALUE"""),0.23)</f>
        <v>0.23</v>
      </c>
      <c r="U10" s="90"/>
      <c r="Z10" s="91"/>
      <c r="AE10" s="5">
        <f ca="1">IFERROR(__xludf.DUMMYFUNCTION("""COMPUTED_VALUE"""),20009915)</f>
        <v>20009915</v>
      </c>
      <c r="AF10" s="5" t="str">
        <f t="shared" ca="1" si="0"/>
        <v>No Encontrado</v>
      </c>
    </row>
    <row r="11" spans="1:32">
      <c r="F11" s="87"/>
      <c r="K11" s="88"/>
      <c r="P11" s="89"/>
      <c r="Q11" s="5" t="str">
        <f ca="1">IFERROR(__xludf.DUMMYFUNCTION("""COMPUTED_VALUE"""),"Andres Leon")</f>
        <v>Andres Leon</v>
      </c>
      <c r="R11" s="5">
        <f ca="1">IFERROR(__xludf.DUMMYFUNCTION("""COMPUTED_VALUE"""),3)</f>
        <v>3</v>
      </c>
      <c r="S11" s="5">
        <f ca="1">IFERROR(__xludf.DUMMYFUNCTION("""COMPUTED_VALUE"""),0)</f>
        <v>0</v>
      </c>
      <c r="T11" s="5">
        <f ca="1">IFERROR(__xludf.DUMMYFUNCTION("""COMPUTED_VALUE"""),0.28)</f>
        <v>0.28000000000000003</v>
      </c>
      <c r="U11" s="90"/>
      <c r="Z11" s="91"/>
      <c r="AE11" s="5">
        <f ca="1">IFERROR(__xludf.DUMMYFUNCTION("""COMPUTED_VALUE"""),20009942)</f>
        <v>20009942</v>
      </c>
      <c r="AF11" s="5" t="str">
        <f t="shared" ca="1" si="0"/>
        <v>No Encontrado</v>
      </c>
    </row>
    <row r="12" spans="1:32">
      <c r="F12" s="87"/>
      <c r="K12" s="88"/>
      <c r="P12" s="89"/>
      <c r="Q12" s="5" t="str">
        <f ca="1">IFERROR(__xludf.DUMMYFUNCTION("""COMPUTED_VALUE"""),"Ferney Ramos")</f>
        <v>Ferney Ramos</v>
      </c>
      <c r="R12" s="5">
        <f ca="1">IFERROR(__xludf.DUMMYFUNCTION("""COMPUTED_VALUE"""),7)</f>
        <v>7</v>
      </c>
      <c r="S12" s="5">
        <f ca="1">IFERROR(__xludf.DUMMYFUNCTION("""COMPUTED_VALUE"""),0)</f>
        <v>0</v>
      </c>
      <c r="T12" s="5">
        <f ca="1">IFERROR(__xludf.DUMMYFUNCTION("""COMPUTED_VALUE"""),1.6)</f>
        <v>1.6</v>
      </c>
      <c r="U12" s="90"/>
      <c r="Z12" s="91"/>
      <c r="AE12" s="5">
        <f ca="1">IFERROR(__xludf.DUMMYFUNCTION("""COMPUTED_VALUE"""),20019987)</f>
        <v>20019987</v>
      </c>
      <c r="AF12" s="5" t="str">
        <f t="shared" ca="1" si="0"/>
        <v>No Encontrado</v>
      </c>
    </row>
    <row r="13" spans="1:32">
      <c r="F13" s="87"/>
      <c r="K13" s="88"/>
      <c r="P13" s="89"/>
      <c r="Q13" s="5" t="str">
        <f ca="1">IFERROR(__xludf.DUMMYFUNCTION("""COMPUTED_VALUE"""),"Alejandro Davila")</f>
        <v>Alejandro Davila</v>
      </c>
      <c r="R13" s="5">
        <f ca="1">IFERROR(__xludf.DUMMYFUNCTION("""COMPUTED_VALUE"""),23)</f>
        <v>23</v>
      </c>
      <c r="S13" s="5">
        <f ca="1">IFERROR(__xludf.DUMMYFUNCTION("""COMPUTED_VALUE"""),0)</f>
        <v>0</v>
      </c>
      <c r="T13" s="5">
        <f ca="1">IFERROR(__xludf.DUMMYFUNCTION("""COMPUTED_VALUE"""),7.89)</f>
        <v>7.89</v>
      </c>
      <c r="U13" s="90"/>
      <c r="Z13" s="91"/>
      <c r="AE13" s="5">
        <f ca="1">IFERROR(__xludf.DUMMYFUNCTION("""COMPUTED_VALUE"""),20027410)</f>
        <v>20027410</v>
      </c>
      <c r="AF13" s="5" t="str">
        <f t="shared" ca="1" si="0"/>
        <v>No Encontrado</v>
      </c>
    </row>
    <row r="14" spans="1:32">
      <c r="Q14" s="5" t="str">
        <f ca="1">IFERROR(__xludf.DUMMYFUNCTION("""COMPUTED_VALUE"""),"Diego Pedroza")</f>
        <v>Diego Pedroza</v>
      </c>
      <c r="R14" s="5">
        <f ca="1">IFERROR(__xludf.DUMMYFUNCTION("""COMPUTED_VALUE"""),5)</f>
        <v>5</v>
      </c>
      <c r="S14" s="5">
        <f ca="1">IFERROR(__xludf.DUMMYFUNCTION("""COMPUTED_VALUE"""),0)</f>
        <v>0</v>
      </c>
      <c r="T14" s="5">
        <f ca="1">IFERROR(__xludf.DUMMYFUNCTION("""COMPUTED_VALUE"""),0.91)</f>
        <v>0.91</v>
      </c>
      <c r="AE14" s="5">
        <f ca="1">IFERROR(__xludf.DUMMYFUNCTION("""COMPUTED_VALUE"""),20009822)</f>
        <v>20009822</v>
      </c>
      <c r="AF14" s="5" t="str">
        <f t="shared" ca="1" si="0"/>
        <v>No Encontrado</v>
      </c>
    </row>
    <row r="15" spans="1:32">
      <c r="Q15" s="5" t="str">
        <f ca="1">IFERROR(__xludf.DUMMYFUNCTION("""COMPUTED_VALUE"""),"Leonel Montes")</f>
        <v>Leonel Montes</v>
      </c>
      <c r="R15" s="5">
        <f ca="1">IFERROR(__xludf.DUMMYFUNCTION("""COMPUTED_VALUE"""),3)</f>
        <v>3</v>
      </c>
      <c r="S15" s="5">
        <f ca="1">IFERROR(__xludf.DUMMYFUNCTION("""COMPUTED_VALUE"""),0)</f>
        <v>0</v>
      </c>
      <c r="T15" s="5">
        <f ca="1">IFERROR(__xludf.DUMMYFUNCTION("""COMPUTED_VALUE"""),0.71)</f>
        <v>0.71</v>
      </c>
      <c r="AE15" s="5">
        <f ca="1">IFERROR(__xludf.DUMMYFUNCTION("""COMPUTED_VALUE"""),20075387)</f>
        <v>20075387</v>
      </c>
      <c r="AF15" s="5" t="str">
        <f t="shared" ca="1" si="0"/>
        <v>No Encontrado</v>
      </c>
    </row>
    <row r="16" spans="1:32">
      <c r="Q16" s="5" t="str">
        <f ca="1">IFERROR(__xludf.DUMMYFUNCTION("""COMPUTED_VALUE"""),"Mauricio Murillo Arrollo")</f>
        <v>Mauricio Murillo Arrollo</v>
      </c>
      <c r="R16" s="5">
        <f ca="1">IFERROR(__xludf.DUMMYFUNCTION("""COMPUTED_VALUE"""),4)</f>
        <v>4</v>
      </c>
      <c r="S16" s="5">
        <f ca="1">IFERROR(__xludf.DUMMYFUNCTION("""COMPUTED_VALUE"""),0)</f>
        <v>0</v>
      </c>
      <c r="T16" s="5">
        <f ca="1">IFERROR(__xludf.DUMMYFUNCTION("""COMPUTED_VALUE"""),1.33)</f>
        <v>1.33</v>
      </c>
      <c r="AE16" s="5">
        <f ca="1">IFERROR(__xludf.DUMMYFUNCTION("""COMPUTED_VALUE"""),20076884)</f>
        <v>20076884</v>
      </c>
      <c r="AF16" s="5" t="str">
        <f t="shared" ca="1" si="0"/>
        <v>No Encontrado</v>
      </c>
    </row>
    <row r="17" spans="17:32">
      <c r="Q17" s="5" t="str">
        <f ca="1">IFERROR(__xludf.DUMMYFUNCTION("""COMPUTED_VALUE"""),"BLANCO")</f>
        <v>BLANCO</v>
      </c>
      <c r="R17" s="5">
        <f ca="1">IFERROR(__xludf.DUMMYFUNCTION("""COMPUTED_VALUE"""),3359)</f>
        <v>3359</v>
      </c>
      <c r="S17" s="5"/>
      <c r="T17" s="5">
        <f ca="1">IFERROR(__xludf.DUMMYFUNCTION("""COMPUTED_VALUE"""),4.61)</f>
        <v>4.6100000000000003</v>
      </c>
      <c r="AE17" s="5">
        <f ca="1">IFERROR(__xludf.DUMMYFUNCTION("""COMPUTED_VALUE"""),20053048)</f>
        <v>20053048</v>
      </c>
      <c r="AF17" s="5" t="str">
        <f t="shared" ca="1" si="0"/>
        <v>No Encontrado</v>
      </c>
    </row>
    <row r="18" spans="17:32">
      <c r="AE18" s="5">
        <f ca="1">IFERROR(__xludf.DUMMYFUNCTION("""COMPUTED_VALUE"""),20009758)</f>
        <v>20009758</v>
      </c>
      <c r="AF18" s="5" t="str">
        <f t="shared" ca="1" si="0"/>
        <v>No Encontrado</v>
      </c>
    </row>
    <row r="19" spans="17:32">
      <c r="AE19" s="5">
        <f ca="1">IFERROR(__xludf.DUMMYFUNCTION("""COMPUTED_VALUE"""),20075520)</f>
        <v>20075520</v>
      </c>
      <c r="AF19" s="5" t="str">
        <f t="shared" ca="1" si="0"/>
        <v>No Encontrado</v>
      </c>
    </row>
    <row r="20" spans="17:32">
      <c r="AE20" s="5">
        <f ca="1">IFERROR(__xludf.DUMMYFUNCTION("""COMPUTED_VALUE"""),20084469)</f>
        <v>20084469</v>
      </c>
      <c r="AF20" s="5" t="str">
        <f t="shared" ca="1" si="0"/>
        <v>No Encontrado</v>
      </c>
    </row>
    <row r="21" spans="17:32">
      <c r="AE21" s="5">
        <f ca="1">IFERROR(__xludf.DUMMYFUNCTION("""COMPUTED_VALUE"""),20043570)</f>
        <v>20043570</v>
      </c>
      <c r="AF21" s="5" t="str">
        <f t="shared" ca="1" si="0"/>
        <v>No Encontrado</v>
      </c>
    </row>
    <row r="22" spans="17:32">
      <c r="AE22" s="5">
        <f ca="1">IFERROR(__xludf.DUMMYFUNCTION("""COMPUTED_VALUE"""),20009879)</f>
        <v>20009879</v>
      </c>
      <c r="AF22" s="5" t="str">
        <f t="shared" ca="1" si="0"/>
        <v>No Encontrado</v>
      </c>
    </row>
    <row r="23" spans="17:32">
      <c r="AE23" s="5">
        <f ca="1">IFERROR(__xludf.DUMMYFUNCTION("""COMPUTED_VALUE"""),20082152)</f>
        <v>20082152</v>
      </c>
      <c r="AF23" s="5" t="str">
        <f t="shared" ca="1" si="0"/>
        <v>No Encontrado</v>
      </c>
    </row>
    <row r="24" spans="17:32">
      <c r="AE24" s="5">
        <f ca="1">IFERROR(__xludf.DUMMYFUNCTION("""COMPUTED_VALUE"""),20009743)</f>
        <v>20009743</v>
      </c>
      <c r="AF24" s="5" t="str">
        <f t="shared" ca="1" si="0"/>
        <v>No Encontrado</v>
      </c>
    </row>
    <row r="25" spans="17:32">
      <c r="AE25" s="5">
        <f ca="1">IFERROR(__xludf.DUMMYFUNCTION("""COMPUTED_VALUE"""),20031098)</f>
        <v>20031098</v>
      </c>
      <c r="AF25" s="5" t="str">
        <f t="shared" ca="1" si="0"/>
        <v>No Encontrado</v>
      </c>
    </row>
    <row r="26" spans="17:32">
      <c r="AE26" s="5">
        <f ca="1">IFERROR(__xludf.DUMMYFUNCTION("""COMPUTED_VALUE"""),20031102)</f>
        <v>20031102</v>
      </c>
      <c r="AF26" s="5" t="str">
        <f t="shared" ca="1" si="0"/>
        <v>No Encontrado</v>
      </c>
    </row>
    <row r="27" spans="17:32">
      <c r="AE27" s="5">
        <f ca="1">IFERROR(__xludf.DUMMYFUNCTION("""COMPUTED_VALUE"""),20022138)</f>
        <v>20022138</v>
      </c>
      <c r="AF27" s="5" t="str">
        <f t="shared" ca="1" si="0"/>
        <v>No Encontrado</v>
      </c>
    </row>
    <row r="28" spans="17:32">
      <c r="AE28" s="5">
        <f ca="1">IFERROR(__xludf.DUMMYFUNCTION("""COMPUTED_VALUE"""),20058001)</f>
        <v>20058001</v>
      </c>
      <c r="AF28" s="5" t="str">
        <f t="shared" ca="1" si="0"/>
        <v>No Encontrado</v>
      </c>
    </row>
    <row r="29" spans="17:32">
      <c r="AE29" s="5">
        <f ca="1">IFERROR(__xludf.DUMMYFUNCTION("""COMPUTED_VALUE"""),20010079)</f>
        <v>20010079</v>
      </c>
      <c r="AF29" s="5" t="str">
        <f t="shared" ca="1" si="0"/>
        <v>No Encontrado</v>
      </c>
    </row>
    <row r="30" spans="17:32">
      <c r="AE30" s="5">
        <f ca="1">IFERROR(__xludf.DUMMYFUNCTION("""COMPUTED_VALUE"""),20031425)</f>
        <v>20031425</v>
      </c>
      <c r="AF30" s="5" t="str">
        <f t="shared" ca="1" si="0"/>
        <v>No Encontrado</v>
      </c>
    </row>
    <row r="31" spans="17:32">
      <c r="AE31" s="5">
        <f ca="1">IFERROR(__xludf.DUMMYFUNCTION("""COMPUTED_VALUE"""),20010075)</f>
        <v>20010075</v>
      </c>
      <c r="AF31" s="5" t="str">
        <f t="shared" ca="1" si="0"/>
        <v>No Encontrado</v>
      </c>
    </row>
    <row r="32" spans="17:32">
      <c r="AE32" s="5">
        <f ca="1">IFERROR(__xludf.DUMMYFUNCTION("""COMPUTED_VALUE"""),20009954)</f>
        <v>20009954</v>
      </c>
      <c r="AF32" s="5" t="str">
        <f t="shared" ca="1" si="0"/>
        <v>No Encontrado</v>
      </c>
    </row>
    <row r="33" spans="31:32">
      <c r="AE33" s="5">
        <f ca="1">IFERROR(__xludf.DUMMYFUNCTION("""COMPUTED_VALUE"""),20032893)</f>
        <v>20032893</v>
      </c>
      <c r="AF33" s="5" t="str">
        <f t="shared" ca="1" si="0"/>
        <v>No Encontrado</v>
      </c>
    </row>
    <row r="34" spans="31:32">
      <c r="AE34" s="5">
        <f ca="1">IFERROR(__xludf.DUMMYFUNCTION("""COMPUTED_VALUE"""),20079805)</f>
        <v>20079805</v>
      </c>
      <c r="AF34" s="5" t="str">
        <f t="shared" ca="1" si="0"/>
        <v>No Encontrado</v>
      </c>
    </row>
    <row r="35" spans="31:32">
      <c r="AE35" s="5">
        <f ca="1">IFERROR(__xludf.DUMMYFUNCTION("""COMPUTED_VALUE"""),20079993)</f>
        <v>20079993</v>
      </c>
      <c r="AF35" s="5" t="str">
        <f t="shared" ca="1" si="0"/>
        <v>No Encontrado</v>
      </c>
    </row>
    <row r="36" spans="31:32">
      <c r="AE36" s="5">
        <f ca="1">IFERROR(__xludf.DUMMYFUNCTION("""COMPUTED_VALUE"""),20009992)</f>
        <v>20009992</v>
      </c>
      <c r="AF36" s="5" t="str">
        <f t="shared" ca="1" si="0"/>
        <v>No Encontrado</v>
      </c>
    </row>
    <row r="37" spans="31:32">
      <c r="AF37" s="5" t="str">
        <f t="shared" si="0"/>
        <v>No Encontrado</v>
      </c>
    </row>
    <row r="38" spans="31:32">
      <c r="AF38" s="5" t="str">
        <f t="shared" si="0"/>
        <v>No Encontrado</v>
      </c>
    </row>
    <row r="39" spans="31:32">
      <c r="AF39" s="5" t="str">
        <f t="shared" si="0"/>
        <v>No Encontrado</v>
      </c>
    </row>
    <row r="40" spans="31:32">
      <c r="AF40" s="5" t="str">
        <f t="shared" si="0"/>
        <v>No Encontrado</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Z1:AI1"/>
  <sheetViews>
    <sheetView workbookViewId="0"/>
  </sheetViews>
  <sheetFormatPr baseColWidth="10" defaultColWidth="12.6640625" defaultRowHeight="15.75" customHeight="1"/>
  <sheetData>
    <row r="1" spans="26:35" ht="15.75" customHeight="1">
      <c r="Z1" s="92"/>
      <c r="AA1" s="93"/>
      <c r="AB1" s="94"/>
      <c r="AC1" s="92"/>
      <c r="AD1" s="93"/>
      <c r="AE1" s="95"/>
      <c r="AF1" s="95"/>
      <c r="AG1" s="92"/>
      <c r="AH1" s="92"/>
      <c r="AI1" s="92"/>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U3554"/>
  <sheetViews>
    <sheetView workbookViewId="0"/>
  </sheetViews>
  <sheetFormatPr baseColWidth="10" defaultColWidth="12.6640625" defaultRowHeight="15.75" customHeight="1"/>
  <sheetData>
    <row r="1" spans="1:47" ht="15.75" customHeight="1">
      <c r="A1" s="10" t="s">
        <v>6</v>
      </c>
      <c r="B1" s="11" t="s">
        <v>7</v>
      </c>
      <c r="C1" s="11" t="s">
        <v>8</v>
      </c>
      <c r="D1" s="11" t="s">
        <v>9</v>
      </c>
      <c r="E1" s="11" t="s">
        <v>10</v>
      </c>
      <c r="F1" s="11" t="s">
        <v>11</v>
      </c>
      <c r="G1" s="11" t="s">
        <v>12</v>
      </c>
      <c r="H1" s="11" t="s">
        <v>13</v>
      </c>
      <c r="I1" s="11" t="s">
        <v>14</v>
      </c>
      <c r="J1" s="11" t="s">
        <v>4737</v>
      </c>
      <c r="K1" s="12" t="s">
        <v>4738</v>
      </c>
      <c r="L1" s="87"/>
      <c r="M1" s="10" t="s">
        <v>6</v>
      </c>
      <c r="N1" s="11" t="s">
        <v>7</v>
      </c>
      <c r="O1" s="11" t="s">
        <v>8</v>
      </c>
      <c r="P1" s="11" t="s">
        <v>9</v>
      </c>
      <c r="Q1" s="11" t="s">
        <v>10</v>
      </c>
      <c r="R1" s="11" t="s">
        <v>11</v>
      </c>
      <c r="S1" s="11" t="s">
        <v>12</v>
      </c>
      <c r="T1" s="11" t="s">
        <v>13</v>
      </c>
      <c r="U1" s="11" t="s">
        <v>14</v>
      </c>
      <c r="V1" s="11" t="s">
        <v>15</v>
      </c>
      <c r="W1" s="12" t="s">
        <v>4739</v>
      </c>
      <c r="X1" s="96"/>
      <c r="Y1" s="10" t="s">
        <v>6</v>
      </c>
      <c r="Z1" s="11" t="s">
        <v>7</v>
      </c>
      <c r="AA1" s="11" t="s">
        <v>8</v>
      </c>
      <c r="AB1" s="11" t="s">
        <v>9</v>
      </c>
      <c r="AC1" s="11" t="s">
        <v>10</v>
      </c>
      <c r="AD1" s="11" t="s">
        <v>11</v>
      </c>
      <c r="AE1" s="11" t="s">
        <v>12</v>
      </c>
      <c r="AF1" s="11" t="s">
        <v>13</v>
      </c>
      <c r="AG1" s="11" t="s">
        <v>14</v>
      </c>
      <c r="AH1" s="11" t="s">
        <v>15</v>
      </c>
      <c r="AI1" s="12" t="s">
        <v>4740</v>
      </c>
      <c r="AJ1" s="97"/>
      <c r="AK1" s="10" t="s">
        <v>6</v>
      </c>
      <c r="AL1" s="11" t="s">
        <v>7</v>
      </c>
      <c r="AM1" s="11" t="s">
        <v>8</v>
      </c>
      <c r="AN1" s="11" t="s">
        <v>9</v>
      </c>
      <c r="AO1" s="11" t="s">
        <v>10</v>
      </c>
      <c r="AP1" s="11" t="s">
        <v>11</v>
      </c>
      <c r="AQ1" s="11" t="s">
        <v>12</v>
      </c>
      <c r="AR1" s="11" t="s">
        <v>13</v>
      </c>
      <c r="AS1" s="11" t="s">
        <v>14</v>
      </c>
      <c r="AT1" s="11" t="s">
        <v>15</v>
      </c>
      <c r="AU1" s="12" t="s">
        <v>4741</v>
      </c>
    </row>
    <row r="2" spans="1:47" ht="15.75" customHeight="1">
      <c r="A2" s="21" t="s">
        <v>4742</v>
      </c>
      <c r="B2" s="86">
        <v>23898654</v>
      </c>
      <c r="C2" s="98">
        <v>45352</v>
      </c>
      <c r="D2" s="21" t="s">
        <v>4743</v>
      </c>
      <c r="E2" s="86">
        <v>7.0000000000000007E-2</v>
      </c>
      <c r="F2" s="99">
        <v>0.26180555555555557</v>
      </c>
      <c r="G2" s="99">
        <v>0.26458333333333334</v>
      </c>
      <c r="H2" s="21" t="s">
        <v>4551</v>
      </c>
      <c r="I2" s="86">
        <v>20009996</v>
      </c>
      <c r="J2" s="21" t="s">
        <v>4744</v>
      </c>
      <c r="K2" s="5" t="str">
        <f>IF(AND(LEN(H2)=0, LEN(I2)=0), "", IF(AND(LEN(H2)&gt;0, LEN(I2)=0), "BLANCO", IFERROR(VLOOKUP(I2, BasedatosM9!A:B, 2, FALSE), "BLANCO")))</f>
        <v>Fernando Montoya</v>
      </c>
      <c r="L2" s="87"/>
      <c r="M2" s="5" t="str">
        <f ca="1">IFERROR(__xludf.DUMMYFUNCTION("FILTER(A2:J3554, H2:H3554=""LINE 1"")"),"TURNO A")</f>
        <v>TURNO A</v>
      </c>
      <c r="N2" s="5">
        <f ca="1">IFERROR(__xludf.DUMMYFUNCTION("""COMPUTED_VALUE"""),23898654)</f>
        <v>23898654</v>
      </c>
      <c r="O2" s="14">
        <f ca="1">IFERROR(__xludf.DUMMYFUNCTION("""COMPUTED_VALUE"""),45352)</f>
        <v>45352</v>
      </c>
      <c r="P2" s="5" t="str">
        <f ca="1">IFERROR(__xludf.DUMMYFUNCTION("""COMPUTED_VALUE"""),"Ajuste de velocidad")</f>
        <v>Ajuste de velocidad</v>
      </c>
      <c r="Q2" s="5">
        <f ca="1">IFERROR(__xludf.DUMMYFUNCTION("""COMPUTED_VALUE"""),0.07)</f>
        <v>7.0000000000000007E-2</v>
      </c>
      <c r="R2" s="15">
        <f ca="1">IFERROR(__xludf.DUMMYFUNCTION("""COMPUTED_VALUE"""),0.261805555555555)</f>
        <v>0.26180555555555501</v>
      </c>
      <c r="S2" s="15">
        <f ca="1">IFERROR(__xludf.DUMMYFUNCTION("""COMPUTED_VALUE"""),0.264583333333333)</f>
        <v>0.264583333333333</v>
      </c>
      <c r="T2" s="5" t="str">
        <f ca="1">IFERROR(__xludf.DUMMYFUNCTION("""COMPUTED_VALUE"""),"LINE 1")</f>
        <v>LINE 1</v>
      </c>
      <c r="U2" s="5">
        <f ca="1">IFERROR(__xludf.DUMMYFUNCTION("""COMPUTED_VALUE"""),20009996)</f>
        <v>20009996</v>
      </c>
      <c r="V2" s="5" t="str">
        <f ca="1">IFERROR(__xludf.DUMMYFUNCTION("""COMPUTED_VALUE"""),"TRANSPORTADORES DE BEBIDA")</f>
        <v>TRANSPORTADORES DE BEBIDA</v>
      </c>
      <c r="W2" s="5" t="str">
        <f ca="1">IF(AND(LEN(T2)=0, LEN(U2)=0), "", IF(AND(LEN(T2)&gt;0, LEN(U2)=0), "BLANCO", IFERROR(VLOOKUP(U2, BasedatosM9!A:B, 2, FALSE), "BLANCO")))</f>
        <v>Fernando Montoya</v>
      </c>
      <c r="X2" s="96"/>
      <c r="Y2" s="5" t="str">
        <f ca="1">IFERROR(__xludf.DUMMYFUNCTION("FILTER(A2:J3554, H2:H3554=""LINE 8"")"),"TURNO A")</f>
        <v>TURNO A</v>
      </c>
      <c r="Z2" s="5">
        <f ca="1">IFERROR(__xludf.DUMMYFUNCTION("""COMPUTED_VALUE"""),23898834)</f>
        <v>23898834</v>
      </c>
      <c r="AA2" s="14">
        <f ca="1">IFERROR(__xludf.DUMMYFUNCTION("""COMPUTED_VALUE"""),45352)</f>
        <v>45352</v>
      </c>
      <c r="AB2" s="5" t="str">
        <f ca="1">IFERROR(__xludf.DUMMYFUNCTION("""COMPUTED_VALUE"""),"congelamiento de boquilla")</f>
        <v>congelamiento de boquilla</v>
      </c>
      <c r="AC2" s="5">
        <f ca="1">IFERROR(__xludf.DUMMYFUNCTION("""COMPUTED_VALUE"""),0.05)</f>
        <v>0.05</v>
      </c>
      <c r="AD2" s="15">
        <f ca="1">IFERROR(__xludf.DUMMYFUNCTION("""COMPUTED_VALUE"""),0.25)</f>
        <v>0.25</v>
      </c>
      <c r="AE2" s="15">
        <f ca="1">IFERROR(__xludf.DUMMYFUNCTION("""COMPUTED_VALUE"""),0.252083333333333)</f>
        <v>0.25208333333333299</v>
      </c>
      <c r="AF2" s="5" t="str">
        <f ca="1">IFERROR(__xludf.DUMMYFUNCTION("""COMPUTED_VALUE"""),"LINE 8")</f>
        <v>LINE 8</v>
      </c>
      <c r="AG2" s="5">
        <f ca="1">IFERROR(__xludf.DUMMYFUNCTION("""COMPUTED_VALUE"""),20010206)</f>
        <v>20010206</v>
      </c>
      <c r="AH2" s="5" t="str">
        <f ca="1">IFERROR(__xludf.DUMMYFUNCTION("""COMPUTED_VALUE"""),"FALLA DOSIFICADOR NITROGENO")</f>
        <v>FALLA DOSIFICADOR NITROGENO</v>
      </c>
      <c r="AI2" s="5" t="str">
        <f ca="1">IF(AND(LEN(AF2)=0, LEN(AG2)=0), "", IF(AND(LEN(AF2)&gt;0, LEN(AG2)=0), "BLANCO", IFERROR(VLOOKUP(AG2, BasedatosM9!A:B, 2, FALSE), "BLANCO")))</f>
        <v>Vanegas Guependo Hermes</v>
      </c>
      <c r="AJ2" s="97"/>
      <c r="AK2" s="5" t="str">
        <f ca="1">IFERROR(__xludf.DUMMYFUNCTION("FILTER(A2:J3554, H2:H3554=""LINE 10"")"),"TURNO A")</f>
        <v>TURNO A</v>
      </c>
      <c r="AL2" s="5">
        <f ca="1">IFERROR(__xludf.DUMMYFUNCTION("""COMPUTED_VALUE"""),23898876)</f>
        <v>23898876</v>
      </c>
      <c r="AM2" s="14">
        <f ca="1">IFERROR(__xludf.DUMMYFUNCTION("""COMPUTED_VALUE"""),45352)</f>
        <v>45352</v>
      </c>
      <c r="AN2" s="5" t="str">
        <f ca="1">IFERROR(__xludf.DUMMYFUNCTION("""COMPUTED_VALUE"""),"Tapa atascada en bajante")</f>
        <v>Tapa atascada en bajante</v>
      </c>
      <c r="AO2" s="5">
        <f ca="1">IFERROR(__xludf.DUMMYFUNCTION("""COMPUTED_VALUE"""),0.12)</f>
        <v>0.12</v>
      </c>
      <c r="AP2" s="15">
        <f ca="1">IFERROR(__xludf.DUMMYFUNCTION("""COMPUTED_VALUE"""),0.46875)</f>
        <v>0.46875</v>
      </c>
      <c r="AQ2" s="15">
        <f ca="1">IFERROR(__xludf.DUMMYFUNCTION("""COMPUTED_VALUE"""),0.473611111111111)</f>
        <v>0.47361111111111098</v>
      </c>
      <c r="AR2" s="5" t="str">
        <f ca="1">IFERROR(__xludf.DUMMYFUNCTION("""COMPUTED_VALUE"""),"LINE 10")</f>
        <v>LINE 10</v>
      </c>
      <c r="AS2" s="5"/>
      <c r="AT2" s="5" t="str">
        <f ca="1">IFERROR(__xludf.DUMMYFUNCTION("""COMPUTED_VALUE"""),"INSPECTOR TAPA")</f>
        <v>INSPECTOR TAPA</v>
      </c>
      <c r="AU2" s="5" t="str">
        <f ca="1">IF(AND(LEN(AR2)=0, LEN(AS2)=0), "", IF(AND(LEN(AR2)&gt;0, LEN(AS2)=0), "BLANCO", IFERROR(VLOOKUP(AS2, BasedatosM9!A:B, 2, FALSE), "BLANCO")))</f>
        <v>BLANCO</v>
      </c>
    </row>
    <row r="3" spans="1:47" ht="15.75" customHeight="1">
      <c r="A3" s="21" t="s">
        <v>4742</v>
      </c>
      <c r="B3" s="86">
        <v>23898657</v>
      </c>
      <c r="C3" s="98">
        <v>45352</v>
      </c>
      <c r="D3" s="21" t="s">
        <v>4745</v>
      </c>
      <c r="E3" s="86">
        <v>0.12</v>
      </c>
      <c r="F3" s="99">
        <v>0.29444444444444445</v>
      </c>
      <c r="G3" s="99">
        <v>0.29930555555555555</v>
      </c>
      <c r="H3" s="21" t="s">
        <v>4551</v>
      </c>
      <c r="I3" s="86">
        <v>20009721</v>
      </c>
      <c r="J3" s="21" t="s">
        <v>4746</v>
      </c>
      <c r="K3" s="5" t="str">
        <f>IF(AND(LEN(H3)=0, LEN(I3)=0), "", IF(AND(LEN(H3)&gt;0, LEN(I3)=0), "BLANCO", IFERROR(VLOOKUP(I3, BasedatosM9!A:B, 2, FALSE), "BLANCO")))</f>
        <v>Alejandro Davila</v>
      </c>
      <c r="L3" s="87"/>
      <c r="M3" s="5" t="str">
        <f ca="1">IFERROR(__xludf.DUMMYFUNCTION("""COMPUTED_VALUE"""),"TURNO A")</f>
        <v>TURNO A</v>
      </c>
      <c r="N3" s="5">
        <f ca="1">IFERROR(__xludf.DUMMYFUNCTION("""COMPUTED_VALUE"""),23898657)</f>
        <v>23898657</v>
      </c>
      <c r="O3" s="14">
        <f ca="1">IFERROR(__xludf.DUMMYFUNCTION("""COMPUTED_VALUE"""),45352)</f>
        <v>45352</v>
      </c>
      <c r="P3" s="5" t="str">
        <f ca="1">IFERROR(__xludf.DUMMYFUNCTION("""COMPUTED_VALUE"""),"Atascamiento botellas")</f>
        <v>Atascamiento botellas</v>
      </c>
      <c r="Q3" s="5">
        <f ca="1">IFERROR(__xludf.DUMMYFUNCTION("""COMPUTED_VALUE"""),0.12)</f>
        <v>0.12</v>
      </c>
      <c r="R3" s="15">
        <f ca="1">IFERROR(__xludf.DUMMYFUNCTION("""COMPUTED_VALUE"""),0.294444444444444)</f>
        <v>0.29444444444444401</v>
      </c>
      <c r="S3" s="15">
        <f ca="1">IFERROR(__xludf.DUMMYFUNCTION("""COMPUTED_VALUE"""),0.299305555555555)</f>
        <v>0.29930555555555499</v>
      </c>
      <c r="T3" s="5" t="str">
        <f ca="1">IFERROR(__xludf.DUMMYFUNCTION("""COMPUTED_VALUE"""),"LINE 1")</f>
        <v>LINE 1</v>
      </c>
      <c r="U3" s="5">
        <f ca="1">IFERROR(__xludf.DUMMYFUNCTION("""COMPUTED_VALUE"""),20009721)</f>
        <v>20009721</v>
      </c>
      <c r="V3" s="5" t="str">
        <f ca="1">IFERROR(__xludf.DUMMYFUNCTION("""COMPUTED_VALUE"""),"TRANSPORTADORES DE ENVASE VACIO")</f>
        <v>TRANSPORTADORES DE ENVASE VACIO</v>
      </c>
      <c r="W3" s="5" t="str">
        <f ca="1">IF(AND(LEN(T3)=0, LEN(U3)=0), "", IF(AND(LEN(T3)&gt;0, LEN(U3)=0), "BLANCO", IFERROR(VLOOKUP(U3, BasedatosM9!A:B, 2, FALSE), "BLANCO")))</f>
        <v>Alejandro Davila</v>
      </c>
      <c r="X3" s="96"/>
      <c r="Y3" s="5" t="str">
        <f ca="1">IFERROR(__xludf.DUMMYFUNCTION("""COMPUTED_VALUE"""),"TURNO B")</f>
        <v>TURNO B</v>
      </c>
      <c r="Z3" s="5">
        <f ca="1">IFERROR(__xludf.DUMMYFUNCTION("""COMPUTED_VALUE"""),23899404)</f>
        <v>23899404</v>
      </c>
      <c r="AA3" s="14">
        <f ca="1">IFERROR(__xludf.DUMMYFUNCTION("""COMPUTED_VALUE"""),45352)</f>
        <v>45352</v>
      </c>
      <c r="AB3" s="5" t="str">
        <f ca="1">IFERROR(__xludf.DUMMYFUNCTION("""COMPUTED_VALUE"""),"Cambio de cadena")</f>
        <v>Cambio de cadena</v>
      </c>
      <c r="AC3" s="5">
        <f ca="1">IFERROR(__xludf.DUMMYFUNCTION("""COMPUTED_VALUE"""),1.87)</f>
        <v>1.87</v>
      </c>
      <c r="AD3" s="15">
        <f ca="1">IFERROR(__xludf.DUMMYFUNCTION("""COMPUTED_VALUE"""),0.736805555555555)</f>
        <v>0.73680555555555505</v>
      </c>
      <c r="AE3" s="15">
        <f ca="1">IFERROR(__xludf.DUMMYFUNCTION("""COMPUTED_VALUE"""),0.814583333333333)</f>
        <v>0.81458333333333299</v>
      </c>
      <c r="AF3" s="5" t="str">
        <f ca="1">IFERROR(__xludf.DUMMYFUNCTION("""COMPUTED_VALUE"""),"LINE 8")</f>
        <v>LINE 8</v>
      </c>
      <c r="AG3" s="5"/>
      <c r="AH3" s="5" t="str">
        <f ca="1">IFERROR(__xludf.DUMMYFUNCTION("""COMPUTED_VALUE"""),"TRANSPORTADORES DE CAJAS")</f>
        <v>TRANSPORTADORES DE CAJAS</v>
      </c>
      <c r="AI3" s="5" t="str">
        <f ca="1">IF(AND(LEN(AF3)=0, LEN(AG3)=0), "", IF(AND(LEN(AF3)&gt;0, LEN(AG3)=0), "BLANCO", IFERROR(VLOOKUP(AG3, BasedatosM9!A:B, 2, FALSE), "BLANCO")))</f>
        <v>BLANCO</v>
      </c>
      <c r="AJ3" s="97"/>
      <c r="AK3" s="5" t="str">
        <f ca="1">IFERROR(__xludf.DUMMYFUNCTION("""COMPUTED_VALUE"""),"TURNO A")</f>
        <v>TURNO A</v>
      </c>
      <c r="AL3" s="5">
        <f ca="1">IFERROR(__xludf.DUMMYFUNCTION("""COMPUTED_VALUE"""),23898886)</f>
        <v>23898886</v>
      </c>
      <c r="AM3" s="14">
        <f ca="1">IFERROR(__xludf.DUMMYFUNCTION("""COMPUTED_VALUE"""),45352)</f>
        <v>45352</v>
      </c>
      <c r="AN3" s="5" t="str">
        <f ca="1">IFERROR(__xludf.DUMMYFUNCTION("""COMPUTED_VALUE"""),"Ajuste de proceso")</f>
        <v>Ajuste de proceso</v>
      </c>
      <c r="AO3" s="5">
        <f ca="1">IFERROR(__xludf.DUMMYFUNCTION("""COMPUTED_VALUE"""),0.33)</f>
        <v>0.33</v>
      </c>
      <c r="AP3" s="15">
        <f ca="1">IFERROR(__xludf.DUMMYFUNCTION("""COMPUTED_VALUE"""),0.53125)</f>
        <v>0.53125</v>
      </c>
      <c r="AQ3" s="15">
        <f ca="1">IFERROR(__xludf.DUMMYFUNCTION("""COMPUTED_VALUE"""),0.545138888888889)</f>
        <v>0.54513888888888895</v>
      </c>
      <c r="AR3" s="5" t="str">
        <f ca="1">IFERROR(__xludf.DUMMYFUNCTION("""COMPUTED_VALUE"""),"LINE 10")</f>
        <v>LINE 10</v>
      </c>
      <c r="AS3" s="5"/>
      <c r="AT3" s="5" t="str">
        <f ca="1">IFERROR(__xludf.DUMMYFUNCTION("""COMPUTED_VALUE"""),"INSPECTOR TAPA")</f>
        <v>INSPECTOR TAPA</v>
      </c>
      <c r="AU3" s="5" t="str">
        <f ca="1">IF(AND(LEN(AR3)=0, LEN(AS3)=0), "", IF(AND(LEN(AR3)&gt;0, LEN(AS3)=0), "BLANCO", IFERROR(VLOOKUP(AS3, BasedatosM9!A:B, 2, FALSE), "BLANCO")))</f>
        <v>BLANCO</v>
      </c>
    </row>
    <row r="4" spans="1:47" ht="15.75" customHeight="1">
      <c r="A4" s="21" t="s">
        <v>4742</v>
      </c>
      <c r="B4" s="86">
        <v>23898763</v>
      </c>
      <c r="C4" s="98">
        <v>45352</v>
      </c>
      <c r="D4" s="21" t="s">
        <v>4747</v>
      </c>
      <c r="E4" s="86">
        <v>0.08</v>
      </c>
      <c r="F4" s="99">
        <v>0.40277777777777773</v>
      </c>
      <c r="G4" s="99">
        <v>0.40625</v>
      </c>
      <c r="H4" s="21" t="s">
        <v>4553</v>
      </c>
      <c r="I4" s="21"/>
      <c r="J4" s="21" t="s">
        <v>4748</v>
      </c>
      <c r="K4" s="5" t="str">
        <f>IF(AND(LEN(H4)=0, LEN(I4)=0), "", IF(AND(LEN(H4)&gt;0, LEN(I4)=0), "BLANCO", IFERROR(VLOOKUP(I4, BasedatosM9!A:B, 2, FALSE), "BLANCO")))</f>
        <v>BLANCO</v>
      </c>
      <c r="L4" s="87"/>
      <c r="M4" s="5" t="str">
        <f ca="1">IFERROR(__xludf.DUMMYFUNCTION("""COMPUTED_VALUE"""),"TURNO A")</f>
        <v>TURNO A</v>
      </c>
      <c r="N4" s="5">
        <f ca="1">IFERROR(__xludf.DUMMYFUNCTION("""COMPUTED_VALUE"""),23898800)</f>
        <v>23898800</v>
      </c>
      <c r="O4" s="14">
        <f ca="1">IFERROR(__xludf.DUMMYFUNCTION("""COMPUTED_VALUE"""),45352)</f>
        <v>45352</v>
      </c>
      <c r="P4" s="5" t="str">
        <f ca="1">IFERROR(__xludf.DUMMYFUNCTION("""COMPUTED_VALUE"""),"Atascamiento de cajas")</f>
        <v>Atascamiento de cajas</v>
      </c>
      <c r="Q4" s="5">
        <f ca="1">IFERROR(__xludf.DUMMYFUNCTION("""COMPUTED_VALUE"""),0.17)</f>
        <v>0.17</v>
      </c>
      <c r="R4" s="15">
        <f ca="1">IFERROR(__xludf.DUMMYFUNCTION("""COMPUTED_VALUE"""),0.425)</f>
        <v>0.42499999999999999</v>
      </c>
      <c r="S4" s="15">
        <f ca="1">IFERROR(__xludf.DUMMYFUNCTION("""COMPUTED_VALUE"""),0.431944444444444)</f>
        <v>0.43194444444444402</v>
      </c>
      <c r="T4" s="5" t="str">
        <f ca="1">IFERROR(__xludf.DUMMYFUNCTION("""COMPUTED_VALUE"""),"LINE 1")</f>
        <v>LINE 1</v>
      </c>
      <c r="U4" s="5">
        <f ca="1">IFERROR(__xludf.DUMMYFUNCTION("""COMPUTED_VALUE"""),20062740)</f>
        <v>20062740</v>
      </c>
      <c r="V4" s="5" t="str">
        <f ca="1">IFERROR(__xludf.DUMMYFUNCTION("""COMPUTED_VALUE"""),"TRANSPORTADORES DE CAJAS")</f>
        <v>TRANSPORTADORES DE CAJAS</v>
      </c>
      <c r="W4" s="5" t="str">
        <f ca="1">IF(AND(LEN(T4)=0, LEN(U4)=0), "", IF(AND(LEN(T4)&gt;0, LEN(U4)=0), "BLANCO", IFERROR(VLOOKUP(U4, BasedatosM9!A:B, 2, FALSE), "BLANCO")))</f>
        <v>Hector Toro</v>
      </c>
      <c r="X4" s="96"/>
      <c r="Y4" s="5" t="str">
        <f ca="1">IFERROR(__xludf.DUMMYFUNCTION("""COMPUTED_VALUE"""),"TURNO B")</f>
        <v>TURNO B</v>
      </c>
      <c r="Z4" s="5">
        <f ca="1">IFERROR(__xludf.DUMMYFUNCTION("""COMPUTED_VALUE"""),23899409)</f>
        <v>23899409</v>
      </c>
      <c r="AA4" s="14">
        <f ca="1">IFERROR(__xludf.DUMMYFUNCTION("""COMPUTED_VALUE"""),45352)</f>
        <v>45352</v>
      </c>
      <c r="AB4" s="5" t="str">
        <f ca="1">IFERROR(__xludf.DUMMYFUNCTION("""COMPUTED_VALUE"""),"Ajuste en bandas de transportador")</f>
        <v>Ajuste en bandas de transportador</v>
      </c>
      <c r="AC4" s="5">
        <f ca="1">IFERROR(__xludf.DUMMYFUNCTION("""COMPUTED_VALUE"""),0.22)</f>
        <v>0.22</v>
      </c>
      <c r="AD4" s="15">
        <f ca="1">IFERROR(__xludf.DUMMYFUNCTION("""COMPUTED_VALUE"""),0.667361111111111)</f>
        <v>0.66736111111111096</v>
      </c>
      <c r="AE4" s="15">
        <f ca="1">IFERROR(__xludf.DUMMYFUNCTION("""COMPUTED_VALUE"""),0.676388888888888)</f>
        <v>0.67638888888888804</v>
      </c>
      <c r="AF4" s="5" t="str">
        <f ca="1">IFERROR(__xludf.DUMMYFUNCTION("""COMPUTED_VALUE"""),"LINE 8")</f>
        <v>LINE 8</v>
      </c>
      <c r="AG4" s="5"/>
      <c r="AH4" s="5" t="str">
        <f ca="1">IFERROR(__xludf.DUMMYFUNCTION("""COMPUTED_VALUE"""),"TRANSPORTADORES DE CAJAS")</f>
        <v>TRANSPORTADORES DE CAJAS</v>
      </c>
      <c r="AI4" s="5" t="str">
        <f ca="1">IF(AND(LEN(AF4)=0, LEN(AG4)=0), "", IF(AND(LEN(AF4)&gt;0, LEN(AG4)=0), "BLANCO", IFERROR(VLOOKUP(AG4, BasedatosM9!A:B, 2, FALSE), "BLANCO")))</f>
        <v>BLANCO</v>
      </c>
      <c r="AJ4" s="97"/>
      <c r="AK4" s="5" t="str">
        <f ca="1">IFERROR(__xludf.DUMMYFUNCTION("""COMPUTED_VALUE"""),"TURNO B")</f>
        <v>TURNO B</v>
      </c>
      <c r="AL4" s="5">
        <f ca="1">IFERROR(__xludf.DUMMYFUNCTION("""COMPUTED_VALUE"""),23899256)</f>
        <v>23899256</v>
      </c>
      <c r="AM4" s="14">
        <f ca="1">IFERROR(__xludf.DUMMYFUNCTION("""COMPUTED_VALUE"""),45352)</f>
        <v>45352</v>
      </c>
      <c r="AN4" s="5" t="str">
        <f ca="1">IFERROR(__xludf.DUMMYFUNCTION("""COMPUTED_VALUE"""),"Tapa atascada en bajante")</f>
        <v>Tapa atascada en bajante</v>
      </c>
      <c r="AO4" s="5">
        <f ca="1">IFERROR(__xludf.DUMMYFUNCTION("""COMPUTED_VALUE"""),0.15)</f>
        <v>0.15</v>
      </c>
      <c r="AP4" s="15">
        <f ca="1">IFERROR(__xludf.DUMMYFUNCTION("""COMPUTED_VALUE"""),0.708333333333333)</f>
        <v>0.70833333333333304</v>
      </c>
      <c r="AQ4" s="15">
        <f ca="1">IFERROR(__xludf.DUMMYFUNCTION("""COMPUTED_VALUE"""),0.714583333333333)</f>
        <v>0.71458333333333302</v>
      </c>
      <c r="AR4" s="5" t="str">
        <f ca="1">IFERROR(__xludf.DUMMYFUNCTION("""COMPUTED_VALUE"""),"LINE 10")</f>
        <v>LINE 10</v>
      </c>
      <c r="AS4" s="5"/>
      <c r="AT4" s="5" t="str">
        <f ca="1">IFERROR(__xludf.DUMMYFUNCTION("""COMPUTED_VALUE"""),"INSPECTOR TAPA")</f>
        <v>INSPECTOR TAPA</v>
      </c>
      <c r="AU4" s="5" t="str">
        <f ca="1">IF(AND(LEN(AR4)=0, LEN(AS4)=0), "", IF(AND(LEN(AR4)&gt;0, LEN(AS4)=0), "BLANCO", IFERROR(VLOOKUP(AS4, BasedatosM9!A:B, 2, FALSE), "BLANCO")))</f>
        <v>BLANCO</v>
      </c>
    </row>
    <row r="5" spans="1:47" ht="15.75" customHeight="1">
      <c r="A5" s="21" t="s">
        <v>4742</v>
      </c>
      <c r="B5" s="86">
        <v>23898800</v>
      </c>
      <c r="C5" s="98">
        <v>45352</v>
      </c>
      <c r="D5" s="21" t="s">
        <v>4749</v>
      </c>
      <c r="E5" s="86">
        <v>0.17</v>
      </c>
      <c r="F5" s="99">
        <v>0.42499999999999999</v>
      </c>
      <c r="G5" s="99">
        <v>0.43194444444444446</v>
      </c>
      <c r="H5" s="21" t="s">
        <v>4551</v>
      </c>
      <c r="I5" s="86">
        <v>20062740</v>
      </c>
      <c r="J5" s="21" t="s">
        <v>4750</v>
      </c>
      <c r="K5" s="5" t="str">
        <f>IF(AND(LEN(H5)=0, LEN(I5)=0), "", IF(AND(LEN(H5)&gt;0, LEN(I5)=0), "BLANCO", IFERROR(VLOOKUP(I5, BasedatosM9!A:B, 2, FALSE), "BLANCO")))</f>
        <v>Hector Toro</v>
      </c>
      <c r="L5" s="87"/>
      <c r="M5" s="5" t="str">
        <f ca="1">IFERROR(__xludf.DUMMYFUNCTION("""COMPUTED_VALUE"""),"TURNO A")</f>
        <v>TURNO A</v>
      </c>
      <c r="N5" s="5">
        <f ca="1">IFERROR(__xludf.DUMMYFUNCTION("""COMPUTED_VALUE"""),23898832)</f>
        <v>23898832</v>
      </c>
      <c r="O5" s="14">
        <f ca="1">IFERROR(__xludf.DUMMYFUNCTION("""COMPUTED_VALUE"""),45352)</f>
        <v>45352</v>
      </c>
      <c r="P5" s="5" t="str">
        <f ca="1">IFERROR(__xludf.DUMMYFUNCTION("""COMPUTED_VALUE"""),"Caida de botellas salida llenadora")</f>
        <v>Caida de botellas salida llenadora</v>
      </c>
      <c r="Q5" s="5">
        <f ca="1">IFERROR(__xludf.DUMMYFUNCTION("""COMPUTED_VALUE"""),0.13)</f>
        <v>0.13</v>
      </c>
      <c r="R5" s="15">
        <f ca="1">IFERROR(__xludf.DUMMYFUNCTION("""COMPUTED_VALUE"""),0.502777777777777)</f>
        <v>0.50277777777777699</v>
      </c>
      <c r="S5" s="15">
        <f ca="1">IFERROR(__xludf.DUMMYFUNCTION("""COMPUTED_VALUE"""),0.508333333333333)</f>
        <v>0.50833333333333297</v>
      </c>
      <c r="T5" s="5" t="str">
        <f ca="1">IFERROR(__xludf.DUMMYFUNCTION("""COMPUTED_VALUE"""),"LINE 1")</f>
        <v>LINE 1</v>
      </c>
      <c r="U5" s="5">
        <f ca="1">IFERROR(__xludf.DUMMYFUNCTION("""COMPUTED_VALUE"""),20036419)</f>
        <v>20036419</v>
      </c>
      <c r="V5" s="5" t="str">
        <f ca="1">IFERROR(__xludf.DUMMYFUNCTION("""COMPUTED_VALUE"""),"TRANSPORTADORES DE BEBIDA")</f>
        <v>TRANSPORTADORES DE BEBIDA</v>
      </c>
      <c r="W5" s="5" t="str">
        <f ca="1">IF(AND(LEN(T5)=0, LEN(U5)=0), "", IF(AND(LEN(T5)&gt;0, LEN(U5)=0), "BLANCO", IFERROR(VLOOKUP(U5, BasedatosM9!A:B, 2, FALSE), "BLANCO")))</f>
        <v>Adalcides Campo</v>
      </c>
      <c r="X5" s="96"/>
      <c r="Y5" s="5" t="str">
        <f ca="1">IFERROR(__xludf.DUMMYFUNCTION("""COMPUTED_VALUE"""),"TURNO C")</f>
        <v>TURNO C</v>
      </c>
      <c r="Z5" s="5">
        <f ca="1">IFERROR(__xludf.DUMMYFUNCTION("""COMPUTED_VALUE"""),23899715)</f>
        <v>23899715</v>
      </c>
      <c r="AA5" s="14">
        <f ca="1">IFERROR(__xludf.DUMMYFUNCTION("""COMPUTED_VALUE"""),45353)</f>
        <v>45353</v>
      </c>
      <c r="AB5" s="5" t="str">
        <f ca="1">IFERROR(__xludf.DUMMYFUNCTION("""COMPUTED_VALUE"""),"Enfardadora")</f>
        <v>Enfardadora</v>
      </c>
      <c r="AC5" s="5">
        <f ca="1">IFERROR(__xludf.DUMMYFUNCTION("""COMPUTED_VALUE"""),0.17)</f>
        <v>0.17</v>
      </c>
      <c r="AD5" s="15">
        <f ca="1">IFERROR(__xludf.DUMMYFUNCTION("""COMPUTED_VALUE"""),0.222222222222222)</f>
        <v>0.22222222222222199</v>
      </c>
      <c r="AE5" s="15">
        <f ca="1">IFERROR(__xludf.DUMMYFUNCTION("""COMPUTED_VALUE"""),0.229166666666666)</f>
        <v>0.22916666666666599</v>
      </c>
      <c r="AF5" s="5" t="str">
        <f ca="1">IFERROR(__xludf.DUMMYFUNCTION("""COMPUTED_VALUE"""),"LINE 8")</f>
        <v>LINE 8</v>
      </c>
      <c r="AG5" s="5">
        <f ca="1">IFERROR(__xludf.DUMMYFUNCTION("""COMPUTED_VALUE"""),20009942)</f>
        <v>20009942</v>
      </c>
      <c r="AH5" s="5" t="str">
        <f ca="1">IFERROR(__xludf.DUMMYFUNCTION("""COMPUTED_VALUE"""),"ENFARDADORA")</f>
        <v>ENFARDADORA</v>
      </c>
      <c r="AI5" s="5" t="str">
        <f ca="1">IF(AND(LEN(AF5)=0, LEN(AG5)=0), "", IF(AND(LEN(AF5)&gt;0, LEN(AG5)=0), "BLANCO", IFERROR(VLOOKUP(AG5, BasedatosM9!A:B, 2, FALSE), "BLANCO")))</f>
        <v>Osver Martinez</v>
      </c>
      <c r="AJ5" s="97"/>
      <c r="AK5" s="5" t="str">
        <f ca="1">IFERROR(__xludf.DUMMYFUNCTION("""COMPUTED_VALUE"""),"TURNO B")</f>
        <v>TURNO B</v>
      </c>
      <c r="AL5" s="5">
        <f ca="1">IFERROR(__xludf.DUMMYFUNCTION("""COMPUTED_VALUE"""),23899277)</f>
        <v>23899277</v>
      </c>
      <c r="AM5" s="14">
        <f ca="1">IFERROR(__xludf.DUMMYFUNCTION("""COMPUTED_VALUE"""),45352)</f>
        <v>45352</v>
      </c>
      <c r="AN5" s="5" t="str">
        <f ca="1">IFERROR(__xludf.DUMMYFUNCTION("""COMPUTED_VALUE"""),"Caída botellas salida llenadora")</f>
        <v>Caída botellas salida llenadora</v>
      </c>
      <c r="AO5" s="5">
        <f ca="1">IFERROR(__xludf.DUMMYFUNCTION("""COMPUTED_VALUE"""),0.2)</f>
        <v>0.2</v>
      </c>
      <c r="AP5" s="15">
        <f ca="1">IFERROR(__xludf.DUMMYFUNCTION("""COMPUTED_VALUE"""),0.75)</f>
        <v>0.75</v>
      </c>
      <c r="AQ5" s="15">
        <f ca="1">IFERROR(__xludf.DUMMYFUNCTION("""COMPUTED_VALUE"""),0.758333333333333)</f>
        <v>0.75833333333333297</v>
      </c>
      <c r="AR5" s="5" t="str">
        <f ca="1">IFERROR(__xludf.DUMMYFUNCTION("""COMPUTED_VALUE"""),"LINE 10")</f>
        <v>LINE 10</v>
      </c>
      <c r="AS5" s="5"/>
      <c r="AT5" s="5" t="str">
        <f ca="1">IFERROR(__xludf.DUMMYFUNCTION("""COMPUTED_VALUE"""),"TRANSPORTADORES DE BEBIDA")</f>
        <v>TRANSPORTADORES DE BEBIDA</v>
      </c>
      <c r="AU5" s="5" t="str">
        <f ca="1">IF(AND(LEN(AR5)=0, LEN(AS5)=0), "", IF(AND(LEN(AR5)&gt;0, LEN(AS5)=0), "BLANCO", IFERROR(VLOOKUP(AS5, BasedatosM9!A:B, 2, FALSE), "BLANCO")))</f>
        <v>BLANCO</v>
      </c>
    </row>
    <row r="6" spans="1:47" ht="15.75" customHeight="1">
      <c r="A6" s="21" t="s">
        <v>4742</v>
      </c>
      <c r="B6" s="86">
        <v>23898832</v>
      </c>
      <c r="C6" s="98">
        <v>45352</v>
      </c>
      <c r="D6" s="21" t="s">
        <v>4751</v>
      </c>
      <c r="E6" s="86">
        <v>0.13</v>
      </c>
      <c r="F6" s="99">
        <v>0.50277777777777777</v>
      </c>
      <c r="G6" s="99">
        <v>0.5083333333333333</v>
      </c>
      <c r="H6" s="21" t="s">
        <v>4551</v>
      </c>
      <c r="I6" s="86">
        <v>20036419</v>
      </c>
      <c r="J6" s="21" t="s">
        <v>4744</v>
      </c>
      <c r="K6" s="5" t="str">
        <f>IF(AND(LEN(H6)=0, LEN(I6)=0), "", IF(AND(LEN(H6)&gt;0, LEN(I6)=0), "BLANCO", IFERROR(VLOOKUP(I6, BasedatosM9!A:B, 2, FALSE), "BLANCO")))</f>
        <v>Adalcides Campo</v>
      </c>
      <c r="L6" s="87"/>
      <c r="M6" s="5" t="str">
        <f ca="1">IFERROR(__xludf.DUMMYFUNCTION("""COMPUTED_VALUE"""),"TURNO A")</f>
        <v>TURNO A</v>
      </c>
      <c r="N6" s="5">
        <f ca="1">IFERROR(__xludf.DUMMYFUNCTION("""COMPUTED_VALUE"""),23898833)</f>
        <v>23898833</v>
      </c>
      <c r="O6" s="14">
        <f ca="1">IFERROR(__xludf.DUMMYFUNCTION("""COMPUTED_VALUE"""),45352)</f>
        <v>45352</v>
      </c>
      <c r="P6" s="5" t="str">
        <f ca="1">IFERROR(__xludf.DUMMYFUNCTION("""COMPUTED_VALUE"""),"Atascamiento botellas")</f>
        <v>Atascamiento botellas</v>
      </c>
      <c r="Q6" s="5">
        <f ca="1">IFERROR(__xludf.DUMMYFUNCTION("""COMPUTED_VALUE"""),0.1)</f>
        <v>0.1</v>
      </c>
      <c r="R6" s="15">
        <f ca="1">IFERROR(__xludf.DUMMYFUNCTION("""COMPUTED_VALUE"""),0.514583333333333)</f>
        <v>0.51458333333333295</v>
      </c>
      <c r="S6" s="15">
        <f ca="1">IFERROR(__xludf.DUMMYFUNCTION("""COMPUTED_VALUE"""),0.518749999999999)</f>
        <v>0.51874999999999905</v>
      </c>
      <c r="T6" s="5" t="str">
        <f ca="1">IFERROR(__xludf.DUMMYFUNCTION("""COMPUTED_VALUE"""),"LINE 1")</f>
        <v>LINE 1</v>
      </c>
      <c r="U6" s="5">
        <f ca="1">IFERROR(__xludf.DUMMYFUNCTION("""COMPUTED_VALUE"""),20009721)</f>
        <v>20009721</v>
      </c>
      <c r="V6" s="5" t="str">
        <f ca="1">IFERROR(__xludf.DUMMYFUNCTION("""COMPUTED_VALUE"""),"TRANSPORTADORES DE ENVASE VACIO")</f>
        <v>TRANSPORTADORES DE ENVASE VACIO</v>
      </c>
      <c r="W6" s="5" t="str">
        <f ca="1">IF(AND(LEN(T6)=0, LEN(U6)=0), "", IF(AND(LEN(T6)&gt;0, LEN(U6)=0), "BLANCO", IFERROR(VLOOKUP(U6, BasedatosM9!A:B, 2, FALSE), "BLANCO")))</f>
        <v>Alejandro Davila</v>
      </c>
      <c r="X6" s="96"/>
      <c r="Y6" s="5" t="str">
        <f ca="1">IFERROR(__xludf.DUMMYFUNCTION("""COMPUTED_VALUE"""),"TURNO B")</f>
        <v>TURNO B</v>
      </c>
      <c r="Z6" s="5">
        <f ca="1">IFERROR(__xludf.DUMMYFUNCTION("""COMPUTED_VALUE"""),23901072)</f>
        <v>23901072</v>
      </c>
      <c r="AA6" s="14">
        <f ca="1">IFERROR(__xludf.DUMMYFUNCTION("""COMPUTED_VALUE"""),45353)</f>
        <v>45353</v>
      </c>
      <c r="AB6" s="5" t="str">
        <f ca="1">IFERROR(__xludf.DUMMYFUNCTION("""COMPUTED_VALUE"""),"Caida de botellas salida cooler")</f>
        <v>Caida de botellas salida cooler</v>
      </c>
      <c r="AC6" s="5">
        <f ca="1">IFERROR(__xludf.DUMMYFUNCTION("""COMPUTED_VALUE"""),0.23)</f>
        <v>0.23</v>
      </c>
      <c r="AD6" s="15">
        <f ca="1">IFERROR(__xludf.DUMMYFUNCTION("""COMPUTED_VALUE"""),0.65625)</f>
        <v>0.65625</v>
      </c>
      <c r="AE6" s="15">
        <f ca="1">IFERROR(__xludf.DUMMYFUNCTION("""COMPUTED_VALUE"""),0.665972222222222)</f>
        <v>0.66597222222222197</v>
      </c>
      <c r="AF6" s="5" t="str">
        <f ca="1">IFERROR(__xludf.DUMMYFUNCTION("""COMPUTED_VALUE"""),"LINE 8")</f>
        <v>LINE 8</v>
      </c>
      <c r="AG6" s="5"/>
      <c r="AH6" s="5" t="str">
        <f ca="1">IFERROR(__xludf.DUMMYFUNCTION("""COMPUTED_VALUE"""),"TRANSPORTADORES DE BOTELLAS LLENAS")</f>
        <v>TRANSPORTADORES DE BOTELLAS LLENAS</v>
      </c>
      <c r="AI6" s="5" t="str">
        <f ca="1">IF(AND(LEN(AF6)=0, LEN(AG6)=0), "", IF(AND(LEN(AF6)&gt;0, LEN(AG6)=0), "BLANCO", IFERROR(VLOOKUP(AG6, BasedatosM9!A:B, 2, FALSE), "BLANCO")))</f>
        <v>BLANCO</v>
      </c>
      <c r="AJ6" s="97"/>
      <c r="AK6" s="5" t="str">
        <f ca="1">IFERROR(__xludf.DUMMYFUNCTION("""COMPUTED_VALUE"""),"TURNO B")</f>
        <v>TURNO B</v>
      </c>
      <c r="AL6" s="5">
        <f ca="1">IFERROR(__xludf.DUMMYFUNCTION("""COMPUTED_VALUE"""),23899406)</f>
        <v>23899406</v>
      </c>
      <c r="AM6" s="14">
        <f ca="1">IFERROR(__xludf.DUMMYFUNCTION("""COMPUTED_VALUE"""),45352)</f>
        <v>45352</v>
      </c>
      <c r="AN6" s="5" t="str">
        <f ca="1">IFERROR(__xludf.DUMMYFUNCTION("""COMPUTED_VALUE"""),"Caída botellas salida llenadora")</f>
        <v>Caída botellas salida llenadora</v>
      </c>
      <c r="AO6" s="5">
        <f ca="1">IFERROR(__xludf.DUMMYFUNCTION("""COMPUTED_VALUE"""),0.33)</f>
        <v>0.33</v>
      </c>
      <c r="AP6" s="15">
        <f ca="1">IFERROR(__xludf.DUMMYFUNCTION("""COMPUTED_VALUE"""),0.833333333333333)</f>
        <v>0.83333333333333304</v>
      </c>
      <c r="AQ6" s="15">
        <f ca="1">IFERROR(__xludf.DUMMYFUNCTION("""COMPUTED_VALUE"""),0.847222222222222)</f>
        <v>0.84722222222222199</v>
      </c>
      <c r="AR6" s="5" t="str">
        <f ca="1">IFERROR(__xludf.DUMMYFUNCTION("""COMPUTED_VALUE"""),"LINE 10")</f>
        <v>LINE 10</v>
      </c>
      <c r="AS6" s="5"/>
      <c r="AT6" s="5" t="str">
        <f ca="1">IFERROR(__xludf.DUMMYFUNCTION("""COMPUTED_VALUE"""),"TRANSPORTADORES DE BEBIDA")</f>
        <v>TRANSPORTADORES DE BEBIDA</v>
      </c>
      <c r="AU6" s="5" t="str">
        <f ca="1">IF(AND(LEN(AR6)=0, LEN(AS6)=0), "", IF(AND(LEN(AR6)&gt;0, LEN(AS6)=0), "BLANCO", IFERROR(VLOOKUP(AS6, BasedatosM9!A:B, 2, FALSE), "BLANCO")))</f>
        <v>BLANCO</v>
      </c>
    </row>
    <row r="7" spans="1:47" ht="15.75" customHeight="1">
      <c r="A7" s="21" t="s">
        <v>4742</v>
      </c>
      <c r="B7" s="86">
        <v>23898833</v>
      </c>
      <c r="C7" s="98">
        <v>45352</v>
      </c>
      <c r="D7" s="21" t="s">
        <v>4745</v>
      </c>
      <c r="E7" s="86">
        <v>0.1</v>
      </c>
      <c r="F7" s="99">
        <v>0.51458333333333328</v>
      </c>
      <c r="G7" s="99">
        <v>0.51874999999999993</v>
      </c>
      <c r="H7" s="21" t="s">
        <v>4551</v>
      </c>
      <c r="I7" s="86">
        <v>20009721</v>
      </c>
      <c r="J7" s="21" t="s">
        <v>4746</v>
      </c>
      <c r="K7" s="5" t="str">
        <f>IF(AND(LEN(H7)=0, LEN(I7)=0), "", IF(AND(LEN(H7)&gt;0, LEN(I7)=0), "BLANCO", IFERROR(VLOOKUP(I7, BasedatosM9!A:B, 2, FALSE), "BLANCO")))</f>
        <v>Alejandro Davila</v>
      </c>
      <c r="L7" s="87"/>
      <c r="M7" s="5" t="str">
        <f ca="1">IFERROR(__xludf.DUMMYFUNCTION("""COMPUTED_VALUE"""),"TURNO B")</f>
        <v>TURNO B</v>
      </c>
      <c r="N7" s="5">
        <f ca="1">IFERROR(__xludf.DUMMYFUNCTION("""COMPUTED_VALUE"""),23899241)</f>
        <v>23899241</v>
      </c>
      <c r="O7" s="14">
        <f ca="1">IFERROR(__xludf.DUMMYFUNCTION("""COMPUTED_VALUE"""),45352)</f>
        <v>45352</v>
      </c>
      <c r="P7" s="5" t="str">
        <f ca="1">IFERROR(__xludf.DUMMYFUNCTION("""COMPUTED_VALUE"""),"empujador horizontla")</f>
        <v>empujador horizontla</v>
      </c>
      <c r="Q7" s="5">
        <f ca="1">IFERROR(__xludf.DUMMYFUNCTION("""COMPUTED_VALUE"""),1.52)</f>
        <v>1.52</v>
      </c>
      <c r="R7" s="15">
        <f ca="1">IFERROR(__xludf.DUMMYFUNCTION("""COMPUTED_VALUE"""),0.645138888888888)</f>
        <v>0.64513888888888804</v>
      </c>
      <c r="S7" s="15">
        <f ca="1">IFERROR(__xludf.DUMMYFUNCTION("""COMPUTED_VALUE"""),0.708333333333333)</f>
        <v>0.70833333333333304</v>
      </c>
      <c r="T7" s="5" t="str">
        <f ca="1">IFERROR(__xludf.DUMMYFUNCTION("""COMPUTED_VALUE"""),"LINE 1")</f>
        <v>LINE 1</v>
      </c>
      <c r="U7" s="5"/>
      <c r="V7" s="5" t="str">
        <f ca="1">IFERROR(__xludf.DUMMYFUNCTION("""COMPUTED_VALUE"""),"PALETIZADORA")</f>
        <v>PALETIZADORA</v>
      </c>
      <c r="W7" s="5" t="str">
        <f ca="1">IF(AND(LEN(T7)=0, LEN(U7)=0), "", IF(AND(LEN(T7)&gt;0, LEN(U7)=0), "BLANCO", IFERROR(VLOOKUP(U7, BasedatosM9!A:B, 2, FALSE), "BLANCO")))</f>
        <v>BLANCO</v>
      </c>
      <c r="X7" s="96"/>
      <c r="Y7" s="5" t="str">
        <f ca="1">IFERROR(__xludf.DUMMYFUNCTION("""COMPUTED_VALUE"""),"TURNO B")</f>
        <v>TURNO B</v>
      </c>
      <c r="Z7" s="5">
        <f ca="1">IFERROR(__xludf.DUMMYFUNCTION("""COMPUTED_VALUE"""),23901073)</f>
        <v>23901073</v>
      </c>
      <c r="AA7" s="14">
        <f ca="1">IFERROR(__xludf.DUMMYFUNCTION("""COMPUTED_VALUE"""),45353)</f>
        <v>45353</v>
      </c>
      <c r="AB7" s="5" t="str">
        <f ca="1">IFERROR(__xludf.DUMMYFUNCTION("""COMPUTED_VALUE"""),"Falla de suministro de aire en llenadora")</f>
        <v>Falla de suministro de aire en llenadora</v>
      </c>
      <c r="AC7" s="5">
        <f ca="1">IFERROR(__xludf.DUMMYFUNCTION("""COMPUTED_VALUE"""),0.83)</f>
        <v>0.83</v>
      </c>
      <c r="AD7" s="15">
        <f ca="1">IFERROR(__xludf.DUMMYFUNCTION("""COMPUTED_VALUE"""),0.779861111111111)</f>
        <v>0.77986111111111101</v>
      </c>
      <c r="AE7" s="15">
        <f ca="1">IFERROR(__xludf.DUMMYFUNCTION("""COMPUTED_VALUE"""),0.814583333333333)</f>
        <v>0.81458333333333299</v>
      </c>
      <c r="AF7" s="5" t="str">
        <f ca="1">IFERROR(__xludf.DUMMYFUNCTION("""COMPUTED_VALUE"""),"LINE 8")</f>
        <v>LINE 8</v>
      </c>
      <c r="AG7" s="5"/>
      <c r="AH7" s="5" t="str">
        <f ca="1">IFERROR(__xludf.DUMMYFUNCTION("""COMPUTED_VALUE"""),"LLENADORA")</f>
        <v>LLENADORA</v>
      </c>
      <c r="AI7" s="5" t="str">
        <f ca="1">IF(AND(LEN(AF7)=0, LEN(AG7)=0), "", IF(AND(LEN(AF7)&gt;0, LEN(AG7)=0), "BLANCO", IFERROR(VLOOKUP(AG7, BasedatosM9!A:B, 2, FALSE), "BLANCO")))</f>
        <v>BLANCO</v>
      </c>
      <c r="AJ7" s="97"/>
      <c r="AK7" s="5" t="str">
        <f ca="1">IFERROR(__xludf.DUMMYFUNCTION("""COMPUTED_VALUE"""),"TURNO B")</f>
        <v>TURNO B</v>
      </c>
      <c r="AL7" s="5">
        <f ca="1">IFERROR(__xludf.DUMMYFUNCTION("""COMPUTED_VALUE"""),23899408)</f>
        <v>23899408</v>
      </c>
      <c r="AM7" s="14">
        <f ca="1">IFERROR(__xludf.DUMMYFUNCTION("""COMPUTED_VALUE"""),45352)</f>
        <v>45352</v>
      </c>
      <c r="AN7" s="5" t="str">
        <f ca="1">IFERROR(__xludf.DUMMYFUNCTION("""COMPUTED_VALUE"""),"Encolamiento en agregado No. 1")</f>
        <v>Encolamiento en agregado No. 1</v>
      </c>
      <c r="AO7" s="5">
        <f ca="1">IFERROR(__xludf.DUMMYFUNCTION("""COMPUTED_VALUE"""),0.17)</f>
        <v>0.17</v>
      </c>
      <c r="AP7" s="15">
        <f ca="1">IFERROR(__xludf.DUMMYFUNCTION("""COMPUTED_VALUE"""),0.854166666666666)</f>
        <v>0.85416666666666596</v>
      </c>
      <c r="AQ7" s="15">
        <f ca="1">IFERROR(__xludf.DUMMYFUNCTION("""COMPUTED_VALUE"""),0.861111111111111)</f>
        <v>0.86111111111111105</v>
      </c>
      <c r="AR7" s="5" t="str">
        <f ca="1">IFERROR(__xludf.DUMMYFUNCTION("""COMPUTED_VALUE"""),"LINE 10")</f>
        <v>LINE 10</v>
      </c>
      <c r="AS7" s="5"/>
      <c r="AT7" s="5" t="str">
        <f ca="1">IFERROR(__xludf.DUMMYFUNCTION("""COMPUTED_VALUE"""),"ETIQUETADORA ENVOLVENTE")</f>
        <v>ETIQUETADORA ENVOLVENTE</v>
      </c>
      <c r="AU7" s="5" t="str">
        <f ca="1">IF(AND(LEN(AR7)=0, LEN(AS7)=0), "", IF(AND(LEN(AR7)&gt;0, LEN(AS7)=0), "BLANCO", IFERROR(VLOOKUP(AS7, BasedatosM9!A:B, 2, FALSE), "BLANCO")))</f>
        <v>BLANCO</v>
      </c>
    </row>
    <row r="8" spans="1:47" ht="15.75" customHeight="1">
      <c r="A8" s="21" t="s">
        <v>4742</v>
      </c>
      <c r="B8" s="86">
        <v>23898834</v>
      </c>
      <c r="C8" s="98">
        <v>45352</v>
      </c>
      <c r="D8" s="21" t="s">
        <v>4752</v>
      </c>
      <c r="E8" s="86">
        <v>0.05</v>
      </c>
      <c r="F8" s="99">
        <v>0.25</v>
      </c>
      <c r="G8" s="99">
        <v>0.25208333333333333</v>
      </c>
      <c r="H8" s="21" t="s">
        <v>4549</v>
      </c>
      <c r="I8" s="86">
        <v>20010206</v>
      </c>
      <c r="J8" s="21" t="s">
        <v>4753</v>
      </c>
      <c r="K8" s="5" t="str">
        <f>IF(AND(LEN(H8)=0, LEN(I8)=0), "", IF(AND(LEN(H8)&gt;0, LEN(I8)=0), "BLANCO", IFERROR(VLOOKUP(I8, BasedatosM9!A:B, 2, FALSE), "BLANCO")))</f>
        <v>Vanegas Guependo Hermes</v>
      </c>
      <c r="L8" s="87"/>
      <c r="M8" s="5" t="str">
        <f ca="1">IFERROR(__xludf.DUMMYFUNCTION("""COMPUTED_VALUE"""),"TURNO B")</f>
        <v>TURNO B</v>
      </c>
      <c r="N8" s="5">
        <f ca="1">IFERROR(__xludf.DUMMYFUNCTION("""COMPUTED_VALUE"""),23899442)</f>
        <v>23899442</v>
      </c>
      <c r="O8" s="14">
        <f ca="1">IFERROR(__xludf.DUMMYFUNCTION("""COMPUTED_VALUE"""),45352)</f>
        <v>45352</v>
      </c>
      <c r="P8" s="5" t="str">
        <f ca="1">IFERROR(__xludf.DUMMYFUNCTION("""COMPUTED_VALUE"""),"Ajuste de estrella de salida")</f>
        <v>Ajuste de estrella de salida</v>
      </c>
      <c r="Q8" s="5">
        <f ca="1">IFERROR(__xludf.DUMMYFUNCTION("""COMPUTED_VALUE"""),0.33)</f>
        <v>0.33</v>
      </c>
      <c r="R8" s="15">
        <f ca="1">IFERROR(__xludf.DUMMYFUNCTION("""COMPUTED_VALUE"""),0.583333333333333)</f>
        <v>0.58333333333333304</v>
      </c>
      <c r="S8" s="15">
        <f ca="1">IFERROR(__xludf.DUMMYFUNCTION("""COMPUTED_VALUE"""),0.597222222222222)</f>
        <v>0.59722222222222199</v>
      </c>
      <c r="T8" s="5" t="str">
        <f ca="1">IFERROR(__xludf.DUMMYFUNCTION("""COMPUTED_VALUE"""),"LINE 1")</f>
        <v>LINE 1</v>
      </c>
      <c r="U8" s="5">
        <f ca="1">IFERROR(__xludf.DUMMYFUNCTION("""COMPUTED_VALUE"""),20020754)</f>
        <v>20020754</v>
      </c>
      <c r="V8" s="5" t="str">
        <f ca="1">IFERROR(__xludf.DUMMYFUNCTION("""COMPUTED_VALUE"""),"ETIQUETADORA ENVOLVENTE")</f>
        <v>ETIQUETADORA ENVOLVENTE</v>
      </c>
      <c r="W8" s="5" t="str">
        <f ca="1">IF(AND(LEN(T8)=0, LEN(U8)=0), "", IF(AND(LEN(T8)&gt;0, LEN(U8)=0), "BLANCO", IFERROR(VLOOKUP(U8, BasedatosM9!A:B, 2, FALSE), "BLANCO")))</f>
        <v>Sanchez Rodriguez Gerson Andres</v>
      </c>
      <c r="X8" s="96"/>
      <c r="Y8" s="5" t="str">
        <f ca="1">IFERROR(__xludf.DUMMYFUNCTION("""COMPUTED_VALUE"""),"TURNO C")</f>
        <v>TURNO C</v>
      </c>
      <c r="Z8" s="5">
        <f ca="1">IFERROR(__xludf.DUMMYFUNCTION("""COMPUTED_VALUE"""),23901127)</f>
        <v>23901127</v>
      </c>
      <c r="AA8" s="14">
        <f ca="1">IFERROR(__xludf.DUMMYFUNCTION("""COMPUTED_VALUE"""),45353)</f>
        <v>45353</v>
      </c>
      <c r="AB8" s="5" t="str">
        <f ca="1">IFERROR(__xludf.DUMMYFUNCTION("""COMPUTED_VALUE"""),"Falla en válvula V72")</f>
        <v>Falla en válvula V72</v>
      </c>
      <c r="AC8" s="5">
        <f ca="1">IFERROR(__xludf.DUMMYFUNCTION("""COMPUTED_VALUE"""),1.17)</f>
        <v>1.17</v>
      </c>
      <c r="AD8" s="15">
        <f ca="1">IFERROR(__xludf.DUMMYFUNCTION("""COMPUTED_VALUE"""),0)</f>
        <v>0</v>
      </c>
      <c r="AE8" s="15">
        <f ca="1">IFERROR(__xludf.DUMMYFUNCTION("""COMPUTED_VALUE"""),0.0486111111111111)</f>
        <v>4.8611111111111098E-2</v>
      </c>
      <c r="AF8" s="5" t="str">
        <f ca="1">IFERROR(__xludf.DUMMYFUNCTION("""COMPUTED_VALUE"""),"LINE 8")</f>
        <v>LINE 8</v>
      </c>
      <c r="AG8" s="5">
        <f ca="1">IFERROR(__xludf.DUMMYFUNCTION("""COMPUTED_VALUE"""),20009758)</f>
        <v>20009758</v>
      </c>
      <c r="AH8" s="5" t="str">
        <f ca="1">IFERROR(__xludf.DUMMYFUNCTION("""COMPUTED_VALUE"""),"PASTEURIZADOR")</f>
        <v>PASTEURIZADOR</v>
      </c>
      <c r="AI8" s="5" t="str">
        <f ca="1">IF(AND(LEN(AF8)=0, LEN(AG8)=0), "", IF(AND(LEN(AF8)&gt;0, LEN(AG8)=0), "BLANCO", IFERROR(VLOOKUP(AG8, BasedatosM9!A:B, 2, FALSE), "BLANCO")))</f>
        <v>Franco Castillo Brayan Steven</v>
      </c>
      <c r="AJ8" s="97"/>
      <c r="AK8" s="5" t="str">
        <f ca="1">IFERROR(__xludf.DUMMYFUNCTION("""COMPUTED_VALUE"""),"TURNO C")</f>
        <v>TURNO C</v>
      </c>
      <c r="AL8" s="5">
        <f ca="1">IFERROR(__xludf.DUMMYFUNCTION("""COMPUTED_VALUE"""),23899656)</f>
        <v>23899656</v>
      </c>
      <c r="AM8" s="14">
        <f ca="1">IFERROR(__xludf.DUMMYFUNCTION("""COMPUTED_VALUE"""),45352)</f>
        <v>45352</v>
      </c>
      <c r="AN8" s="5" t="str">
        <f ca="1">IFERROR(__xludf.DUMMYFUNCTION("""COMPUTED_VALUE"""),"Encolamiento en agregado No. 1")</f>
        <v>Encolamiento en agregado No. 1</v>
      </c>
      <c r="AO8" s="5">
        <f ca="1">IFERROR(__xludf.DUMMYFUNCTION("""COMPUTED_VALUE"""),0.08)</f>
        <v>0.08</v>
      </c>
      <c r="AP8" s="15">
        <f ca="1">IFERROR(__xludf.DUMMYFUNCTION("""COMPUTED_VALUE"""),0.125)</f>
        <v>0.125</v>
      </c>
      <c r="AQ8" s="15">
        <f ca="1">IFERROR(__xludf.DUMMYFUNCTION("""COMPUTED_VALUE"""),0.128472222222222)</f>
        <v>0.12847222222222199</v>
      </c>
      <c r="AR8" s="5" t="str">
        <f ca="1">IFERROR(__xludf.DUMMYFUNCTION("""COMPUTED_VALUE"""),"LINE 10")</f>
        <v>LINE 10</v>
      </c>
      <c r="AS8" s="5"/>
      <c r="AT8" s="5" t="str">
        <f ca="1">IFERROR(__xludf.DUMMYFUNCTION("""COMPUTED_VALUE"""),"ETIQUETADORA ENVOLVENTE")</f>
        <v>ETIQUETADORA ENVOLVENTE</v>
      </c>
      <c r="AU8" s="5" t="str">
        <f ca="1">IF(AND(LEN(AR8)=0, LEN(AS8)=0), "", IF(AND(LEN(AR8)&gt;0, LEN(AS8)=0), "BLANCO", IFERROR(VLOOKUP(AS8, BasedatosM9!A:B, 2, FALSE), "BLANCO")))</f>
        <v>BLANCO</v>
      </c>
    </row>
    <row r="9" spans="1:47" ht="15.75" customHeight="1">
      <c r="A9" s="21" t="s">
        <v>4742</v>
      </c>
      <c r="B9" s="86">
        <v>23898876</v>
      </c>
      <c r="C9" s="98">
        <v>45352</v>
      </c>
      <c r="D9" s="21" t="s">
        <v>4754</v>
      </c>
      <c r="E9" s="86">
        <v>0.12</v>
      </c>
      <c r="F9" s="99">
        <v>0.46875</v>
      </c>
      <c r="G9" s="99">
        <v>0.47361111111111115</v>
      </c>
      <c r="H9" s="21" t="s">
        <v>4550</v>
      </c>
      <c r="I9" s="21"/>
      <c r="J9" s="21" t="s">
        <v>4755</v>
      </c>
      <c r="K9" s="5" t="str">
        <f>IF(AND(LEN(H9)=0, LEN(I9)=0), "", IF(AND(LEN(H9)&gt;0, LEN(I9)=0), "BLANCO", IFERROR(VLOOKUP(I9, BasedatosM9!A:B, 2, FALSE), "BLANCO")))</f>
        <v>BLANCO</v>
      </c>
      <c r="L9" s="87"/>
      <c r="M9" s="5" t="str">
        <f ca="1">IFERROR(__xludf.DUMMYFUNCTION("""COMPUTED_VALUE"""),"TURNO B")</f>
        <v>TURNO B</v>
      </c>
      <c r="N9" s="5">
        <f ca="1">IFERROR(__xludf.DUMMYFUNCTION("""COMPUTED_VALUE"""),23899444)</f>
        <v>23899444</v>
      </c>
      <c r="O9" s="14">
        <f ca="1">IFERROR(__xludf.DUMMYFUNCTION("""COMPUTED_VALUE"""),45352)</f>
        <v>45352</v>
      </c>
      <c r="P9" s="5" t="str">
        <f ca="1">IFERROR(__xludf.DUMMYFUNCTION("""COMPUTED_VALUE"""),"Se frena banda transportadora")</f>
        <v>Se frena banda transportadora</v>
      </c>
      <c r="Q9" s="5">
        <f ca="1">IFERROR(__xludf.DUMMYFUNCTION("""COMPUTED_VALUE"""),0.13)</f>
        <v>0.13</v>
      </c>
      <c r="R9" s="15">
        <f ca="1">IFERROR(__xludf.DUMMYFUNCTION("""COMPUTED_VALUE"""),0.854166666666666)</f>
        <v>0.85416666666666596</v>
      </c>
      <c r="S9" s="15">
        <f ca="1">IFERROR(__xludf.DUMMYFUNCTION("""COMPUTED_VALUE"""),0.859722222222222)</f>
        <v>0.85972222222222205</v>
      </c>
      <c r="T9" s="5" t="str">
        <f ca="1">IFERROR(__xludf.DUMMYFUNCTION("""COMPUTED_VALUE"""),"LINE 1")</f>
        <v>LINE 1</v>
      </c>
      <c r="U9" s="5"/>
      <c r="V9" s="5" t="str">
        <f ca="1">IFERROR(__xludf.DUMMYFUNCTION("""COMPUTED_VALUE"""),"TRANSPORTADORES DE CAJAS")</f>
        <v>TRANSPORTADORES DE CAJAS</v>
      </c>
      <c r="W9" s="5" t="str">
        <f ca="1">IF(AND(LEN(T9)=0, LEN(U9)=0), "", IF(AND(LEN(T9)&gt;0, LEN(U9)=0), "BLANCO", IFERROR(VLOOKUP(U9, BasedatosM9!A:B, 2, FALSE), "BLANCO")))</f>
        <v>BLANCO</v>
      </c>
      <c r="X9" s="96"/>
      <c r="Y9" s="5" t="str">
        <f ca="1">IFERROR(__xludf.DUMMYFUNCTION("""COMPUTED_VALUE"""),"TURNO A")</f>
        <v>TURNO A</v>
      </c>
      <c r="Z9" s="5">
        <f ca="1">IFERROR(__xludf.DUMMYFUNCTION("""COMPUTED_VALUE"""),23901131)</f>
        <v>23901131</v>
      </c>
      <c r="AA9" s="14">
        <f ca="1">IFERROR(__xludf.DUMMYFUNCTION("""COMPUTED_VALUE"""),45354)</f>
        <v>45354</v>
      </c>
      <c r="AB9" s="5" t="str">
        <f ca="1">IFERROR(__xludf.DUMMYFUNCTION("""COMPUTED_VALUE"""),"Se desenfoca sensor de paletizadora.")</f>
        <v>Se desenfoca sensor de paletizadora.</v>
      </c>
      <c r="AC9" s="5">
        <f ca="1">IFERROR(__xludf.DUMMYFUNCTION("""COMPUTED_VALUE"""),0.3)</f>
        <v>0.3</v>
      </c>
      <c r="AD9" s="15">
        <f ca="1">IFERROR(__xludf.DUMMYFUNCTION("""COMPUTED_VALUE"""),0.344444444444444)</f>
        <v>0.344444444444444</v>
      </c>
      <c r="AE9" s="15">
        <f ca="1">IFERROR(__xludf.DUMMYFUNCTION("""COMPUTED_VALUE"""),0.356944444444444)</f>
        <v>0.35694444444444401</v>
      </c>
      <c r="AF9" s="5" t="str">
        <f ca="1">IFERROR(__xludf.DUMMYFUNCTION("""COMPUTED_VALUE"""),"LINE 8")</f>
        <v>LINE 8</v>
      </c>
      <c r="AG9" s="5">
        <f ca="1">IFERROR(__xludf.DUMMYFUNCTION("""COMPUTED_VALUE"""),20075520)</f>
        <v>20075520</v>
      </c>
      <c r="AH9" s="5" t="str">
        <f ca="1">IFERROR(__xludf.DUMMYFUNCTION("""COMPUTED_VALUE"""),"PALETIZADORA")</f>
        <v>PALETIZADORA</v>
      </c>
      <c r="AI9" s="5" t="str">
        <f ca="1">IF(AND(LEN(AF9)=0, LEN(AG9)=0), "", IF(AND(LEN(AF9)&gt;0, LEN(AG9)=0), "BLANCO", IFERROR(VLOOKUP(AG9, BasedatosM9!A:B, 2, FALSE), "BLANCO")))</f>
        <v>Andres Mesa</v>
      </c>
      <c r="AJ9" s="97"/>
      <c r="AK9" s="5" t="str">
        <f ca="1">IFERROR(__xludf.DUMMYFUNCTION("""COMPUTED_VALUE"""),"TURNO B")</f>
        <v>TURNO B</v>
      </c>
      <c r="AL9" s="5">
        <f ca="1">IFERROR(__xludf.DUMMYFUNCTION("""COMPUTED_VALUE"""),23901061)</f>
        <v>23901061</v>
      </c>
      <c r="AM9" s="14">
        <f ca="1">IFERROR(__xludf.DUMMYFUNCTION("""COMPUTED_VALUE"""),45353)</f>
        <v>45353</v>
      </c>
      <c r="AN9" s="5" t="str">
        <f ca="1">IFERROR(__xludf.DUMMYFUNCTION("""COMPUTED_VALUE"""),"falla temperatura")</f>
        <v>falla temperatura</v>
      </c>
      <c r="AO9" s="5">
        <f ca="1">IFERROR(__xludf.DUMMYFUNCTION("""COMPUTED_VALUE"""),0.3)</f>
        <v>0.3</v>
      </c>
      <c r="AP9" s="15">
        <f ca="1">IFERROR(__xludf.DUMMYFUNCTION("""COMPUTED_VALUE"""),0.885416666666666)</f>
        <v>0.88541666666666596</v>
      </c>
      <c r="AQ9" s="15">
        <f ca="1">IFERROR(__xludf.DUMMYFUNCTION("""COMPUTED_VALUE"""),0.897916666666666)</f>
        <v>0.89791666666666603</v>
      </c>
      <c r="AR9" s="5" t="str">
        <f ca="1">IFERROR(__xludf.DUMMYFUNCTION("""COMPUTED_VALUE"""),"LINE 10")</f>
        <v>LINE 10</v>
      </c>
      <c r="AS9" s="5">
        <f ca="1">IFERROR(__xludf.DUMMYFUNCTION("""COMPUTED_VALUE"""),20053048)</f>
        <v>20053048</v>
      </c>
      <c r="AT9" s="5" t="str">
        <f ca="1">IFERROR(__xludf.DUMMYFUNCTION("""COMPUTED_VALUE"""),"ENFARDADORA")</f>
        <v>ENFARDADORA</v>
      </c>
      <c r="AU9" s="5" t="str">
        <f ca="1">IF(AND(LEN(AR9)=0, LEN(AS9)=0), "", IF(AND(LEN(AR9)&gt;0, LEN(AS9)=0), "BLANCO", IFERROR(VLOOKUP(AS9, BasedatosM9!A:B, 2, FALSE), "BLANCO")))</f>
        <v>Parra Ramos Hector</v>
      </c>
    </row>
    <row r="10" spans="1:47" ht="15.75" customHeight="1">
      <c r="A10" s="21" t="s">
        <v>4742</v>
      </c>
      <c r="B10" s="86">
        <v>23898886</v>
      </c>
      <c r="C10" s="98">
        <v>45352</v>
      </c>
      <c r="D10" s="21" t="s">
        <v>4756</v>
      </c>
      <c r="E10" s="86">
        <v>0.33</v>
      </c>
      <c r="F10" s="99">
        <v>0.53125</v>
      </c>
      <c r="G10" s="99">
        <v>0.54513888888888895</v>
      </c>
      <c r="H10" s="21" t="s">
        <v>4550</v>
      </c>
      <c r="I10" s="21"/>
      <c r="J10" s="21" t="s">
        <v>4755</v>
      </c>
      <c r="K10" s="5" t="str">
        <f>IF(AND(LEN(H10)=0, LEN(I10)=0), "", IF(AND(LEN(H10)&gt;0, LEN(I10)=0), "BLANCO", IFERROR(VLOOKUP(I10, BasedatosM9!A:B, 2, FALSE), "BLANCO")))</f>
        <v>BLANCO</v>
      </c>
      <c r="L10" s="87"/>
      <c r="M10" s="5" t="str">
        <f ca="1">IFERROR(__xludf.DUMMYFUNCTION("""COMPUTED_VALUE"""),"TURNO C")</f>
        <v>TURNO C</v>
      </c>
      <c r="N10" s="5">
        <f ca="1">IFERROR(__xludf.DUMMYFUNCTION("""COMPUTED_VALUE"""),23899587)</f>
        <v>23899587</v>
      </c>
      <c r="O10" s="14">
        <f ca="1">IFERROR(__xludf.DUMMYFUNCTION("""COMPUTED_VALUE"""),45352)</f>
        <v>45352</v>
      </c>
      <c r="P10" s="5" t="str">
        <f ca="1">IFERROR(__xludf.DUMMYFUNCTION("""COMPUTED_VALUE"""),"Atascamiento botellas")</f>
        <v>Atascamiento botellas</v>
      </c>
      <c r="Q10" s="5">
        <f ca="1">IFERROR(__xludf.DUMMYFUNCTION("""COMPUTED_VALUE"""),0.13)</f>
        <v>0.13</v>
      </c>
      <c r="R10" s="15">
        <f ca="1">IFERROR(__xludf.DUMMYFUNCTION("""COMPUTED_VALUE"""),0.930555555555555)</f>
        <v>0.93055555555555503</v>
      </c>
      <c r="S10" s="15">
        <f ca="1">IFERROR(__xludf.DUMMYFUNCTION("""COMPUTED_VALUE"""),0.936111111111111)</f>
        <v>0.93611111111111101</v>
      </c>
      <c r="T10" s="5" t="str">
        <f ca="1">IFERROR(__xludf.DUMMYFUNCTION("""COMPUTED_VALUE"""),"LINE 1")</f>
        <v>LINE 1</v>
      </c>
      <c r="U10" s="5">
        <f ca="1">IFERROR(__xludf.DUMMYFUNCTION("""COMPUTED_VALUE"""),20009915)</f>
        <v>20009915</v>
      </c>
      <c r="V10" s="5" t="str">
        <f ca="1">IFERROR(__xludf.DUMMYFUNCTION("""COMPUTED_VALUE"""),"ENFARDADORA")</f>
        <v>ENFARDADORA</v>
      </c>
      <c r="W10" s="5" t="str">
        <f ca="1">IF(AND(LEN(T10)=0, LEN(U10)=0), "", IF(AND(LEN(T10)&gt;0, LEN(U10)=0), "BLANCO", IFERROR(VLOOKUP(U10, BasedatosM9!A:B, 2, FALSE), "BLANCO")))</f>
        <v>Lozano Delgado Fausto Andres</v>
      </c>
      <c r="X10" s="96"/>
      <c r="Y10" s="5" t="str">
        <f ca="1">IFERROR(__xludf.DUMMYFUNCTION("""COMPUTED_VALUE"""),"TURNO B")</f>
        <v>TURNO B</v>
      </c>
      <c r="Z10" s="5">
        <f ca="1">IFERROR(__xludf.DUMMYFUNCTION("""COMPUTED_VALUE"""),23901453)</f>
        <v>23901453</v>
      </c>
      <c r="AA10" s="14">
        <f ca="1">IFERROR(__xludf.DUMMYFUNCTION("""COMPUTED_VALUE"""),45354)</f>
        <v>45354</v>
      </c>
      <c r="AB10" s="5" t="str">
        <f ca="1">IFERROR(__xludf.DUMMYFUNCTION("""COMPUTED_VALUE"""),"Caida de botellas salida cooler")</f>
        <v>Caida de botellas salida cooler</v>
      </c>
      <c r="AC10" s="5">
        <f ca="1">IFERROR(__xludf.DUMMYFUNCTION("""COMPUTED_VALUE"""),0.13)</f>
        <v>0.13</v>
      </c>
      <c r="AD10" s="15">
        <f ca="1">IFERROR(__xludf.DUMMYFUNCTION("""COMPUTED_VALUE"""),0.671527777777777)</f>
        <v>0.67152777777777695</v>
      </c>
      <c r="AE10" s="15">
        <f ca="1">IFERROR(__xludf.DUMMYFUNCTION("""COMPUTED_VALUE"""),0.677083333333333)</f>
        <v>0.67708333333333304</v>
      </c>
      <c r="AF10" s="5" t="str">
        <f ca="1">IFERROR(__xludf.DUMMYFUNCTION("""COMPUTED_VALUE"""),"LINE 8")</f>
        <v>LINE 8</v>
      </c>
      <c r="AG10" s="5"/>
      <c r="AH10" s="5" t="str">
        <f ca="1">IFERROR(__xludf.DUMMYFUNCTION("""COMPUTED_VALUE"""),"TRANSPORTADORES DE BOTELLAS LLENAS")</f>
        <v>TRANSPORTADORES DE BOTELLAS LLENAS</v>
      </c>
      <c r="AI10" s="5" t="str">
        <f ca="1">IF(AND(LEN(AF10)=0, LEN(AG10)=0), "", IF(AND(LEN(AF10)&gt;0, LEN(AG10)=0), "BLANCO", IFERROR(VLOOKUP(AG10, BasedatosM9!A:B, 2, FALSE), "BLANCO")))</f>
        <v>BLANCO</v>
      </c>
      <c r="AJ10" s="97"/>
      <c r="AK10" s="5" t="str">
        <f ca="1">IFERROR(__xludf.DUMMYFUNCTION("""COMPUTED_VALUE"""),"TURNO C")</f>
        <v>TURNO C</v>
      </c>
      <c r="AL10" s="5">
        <f ca="1">IFERROR(__xludf.DUMMYFUNCTION("""COMPUTED_VALUE"""),23901111)</f>
        <v>23901111</v>
      </c>
      <c r="AM10" s="14">
        <f ca="1">IFERROR(__xludf.DUMMYFUNCTION("""COMPUTED_VALUE"""),45353)</f>
        <v>45353</v>
      </c>
      <c r="AN10" s="5" t="str">
        <f ca="1">IFERROR(__xludf.DUMMYFUNCTION("""COMPUTED_VALUE"""),"Tapa atascada salida inspector")</f>
        <v>Tapa atascada salida inspector</v>
      </c>
      <c r="AO10" s="5">
        <f ca="1">IFERROR(__xludf.DUMMYFUNCTION("""COMPUTED_VALUE"""),0.28)</f>
        <v>0.28000000000000003</v>
      </c>
      <c r="AP10" s="15">
        <f ca="1">IFERROR(__xludf.DUMMYFUNCTION("""COMPUTED_VALUE"""),0.986111111111111)</f>
        <v>0.98611111111111105</v>
      </c>
      <c r="AQ10" s="15">
        <f ca="1">IFERROR(__xludf.DUMMYFUNCTION("""COMPUTED_VALUE"""),0.997916666666666)</f>
        <v>0.99791666666666601</v>
      </c>
      <c r="AR10" s="5" t="str">
        <f ca="1">IFERROR(__xludf.DUMMYFUNCTION("""COMPUTED_VALUE"""),"LINE 10")</f>
        <v>LINE 10</v>
      </c>
      <c r="AS10" s="5"/>
      <c r="AT10" s="5" t="str">
        <f ca="1">IFERROR(__xludf.DUMMYFUNCTION("""COMPUTED_VALUE"""),"INSPECTOR TAPA")</f>
        <v>INSPECTOR TAPA</v>
      </c>
      <c r="AU10" s="5" t="str">
        <f ca="1">IF(AND(LEN(AR10)=0, LEN(AS10)=0), "", IF(AND(LEN(AR10)&gt;0, LEN(AS10)=0), "BLANCO", IFERROR(VLOOKUP(AS10, BasedatosM9!A:B, 2, FALSE), "BLANCO")))</f>
        <v>BLANCO</v>
      </c>
    </row>
    <row r="11" spans="1:47" ht="15.75" customHeight="1">
      <c r="A11" s="21" t="s">
        <v>4757</v>
      </c>
      <c r="B11" s="86">
        <v>23899241</v>
      </c>
      <c r="C11" s="98">
        <v>45352</v>
      </c>
      <c r="D11" s="21" t="s">
        <v>4758</v>
      </c>
      <c r="E11" s="86">
        <v>1.52</v>
      </c>
      <c r="F11" s="99">
        <v>0.64513888888888882</v>
      </c>
      <c r="G11" s="99">
        <v>0.70833333333333337</v>
      </c>
      <c r="H11" s="21" t="s">
        <v>4551</v>
      </c>
      <c r="I11" s="21"/>
      <c r="J11" s="21" t="s">
        <v>2797</v>
      </c>
      <c r="K11" s="5" t="str">
        <f>IF(AND(LEN(H11)=0, LEN(I11)=0), "", IF(AND(LEN(H11)&gt;0, LEN(I11)=0), "BLANCO", IFERROR(VLOOKUP(I11, BasedatosM9!A:B, 2, FALSE), "BLANCO")))</f>
        <v>BLANCO</v>
      </c>
      <c r="L11" s="87"/>
      <c r="M11" s="5" t="str">
        <f ca="1">IFERROR(__xludf.DUMMYFUNCTION("""COMPUTED_VALUE"""),"TURNO C")</f>
        <v>TURNO C</v>
      </c>
      <c r="N11" s="5">
        <f ca="1">IFERROR(__xludf.DUMMYFUNCTION("""COMPUTED_VALUE"""),23899723)</f>
        <v>23899723</v>
      </c>
      <c r="O11" s="14">
        <f ca="1">IFERROR(__xludf.DUMMYFUNCTION("""COMPUTED_VALUE"""),45352)</f>
        <v>45352</v>
      </c>
      <c r="P11" s="5" t="str">
        <f ca="1">IFERROR(__xludf.DUMMYFUNCTION("""COMPUTED_VALUE"""),"Botellas bajo nivel")</f>
        <v>Botellas bajo nivel</v>
      </c>
      <c r="Q11" s="5">
        <f ca="1">IFERROR(__xludf.DUMMYFUNCTION("""COMPUTED_VALUE"""),0.08)</f>
        <v>0.08</v>
      </c>
      <c r="R11" s="15">
        <f ca="1">IFERROR(__xludf.DUMMYFUNCTION("""COMPUTED_VALUE"""),0.0486111111111111)</f>
        <v>4.8611111111111098E-2</v>
      </c>
      <c r="S11" s="15">
        <f ca="1">IFERROR(__xludf.DUMMYFUNCTION("""COMPUTED_VALUE"""),0.0520833333333333)</f>
        <v>5.2083333333333301E-2</v>
      </c>
      <c r="T11" s="5" t="str">
        <f ca="1">IFERROR(__xludf.DUMMYFUNCTION("""COMPUTED_VALUE"""),"LINE 1")</f>
        <v>LINE 1</v>
      </c>
      <c r="U11" s="5">
        <f ca="1">IFERROR(__xludf.DUMMYFUNCTION("""COMPUTED_VALUE"""),20019987)</f>
        <v>20019987</v>
      </c>
      <c r="V11" s="5" t="str">
        <f ca="1">IFERROR(__xludf.DUMMYFUNCTION("""COMPUTED_VALUE"""),"LLENADORA BOTELLAS PET")</f>
        <v>LLENADORA BOTELLAS PET</v>
      </c>
      <c r="W11" s="5" t="str">
        <f ca="1">IF(AND(LEN(T11)=0, LEN(U11)=0), "", IF(AND(LEN(T11)&gt;0, LEN(U11)=0), "BLANCO", IFERROR(VLOOKUP(U11, BasedatosM9!A:B, 2, FALSE), "BLANCO")))</f>
        <v>Aguado Lemos Luis Eyder</v>
      </c>
      <c r="X11" s="96"/>
      <c r="Y11" s="5" t="str">
        <f ca="1">IFERROR(__xludf.DUMMYFUNCTION("""COMPUTED_VALUE"""),"TURNO B")</f>
        <v>TURNO B</v>
      </c>
      <c r="Z11" s="5">
        <f ca="1">IFERROR(__xludf.DUMMYFUNCTION("""COMPUTED_VALUE"""),23901458)</f>
        <v>23901458</v>
      </c>
      <c r="AA11" s="14">
        <f ca="1">IFERROR(__xludf.DUMMYFUNCTION("""COMPUTED_VALUE"""),45354)</f>
        <v>45354</v>
      </c>
      <c r="AB11" s="5" t="str">
        <f ca="1">IFERROR(__xludf.DUMMYFUNCTION("""COMPUTED_VALUE"""),"Falla sistema de corte")</f>
        <v>Falla sistema de corte</v>
      </c>
      <c r="AC11" s="5">
        <f ca="1">IFERROR(__xludf.DUMMYFUNCTION("""COMPUTED_VALUE"""),0.8)</f>
        <v>0.8</v>
      </c>
      <c r="AD11" s="15">
        <f ca="1">IFERROR(__xludf.DUMMYFUNCTION("""COMPUTED_VALUE"""),0.833333333333333)</f>
        <v>0.83333333333333304</v>
      </c>
      <c r="AE11" s="15">
        <f ca="1">IFERROR(__xludf.DUMMYFUNCTION("""COMPUTED_VALUE"""),0.866666666666666)</f>
        <v>0.86666666666666603</v>
      </c>
      <c r="AF11" s="5" t="str">
        <f ca="1">IFERROR(__xludf.DUMMYFUNCTION("""COMPUTED_VALUE"""),"LINE 8")</f>
        <v>LINE 8</v>
      </c>
      <c r="AG11" s="5"/>
      <c r="AH11" s="5" t="str">
        <f ca="1">IFERROR(__xludf.DUMMYFUNCTION("""COMPUTED_VALUE"""),"ENFARDADORA")</f>
        <v>ENFARDADORA</v>
      </c>
      <c r="AI11" s="5" t="str">
        <f ca="1">IF(AND(LEN(AF11)=0, LEN(AG11)=0), "", IF(AND(LEN(AF11)&gt;0, LEN(AG11)=0), "BLANCO", IFERROR(VLOOKUP(AG11, BasedatosM9!A:B, 2, FALSE), "BLANCO")))</f>
        <v>BLANCO</v>
      </c>
      <c r="AJ11" s="97"/>
      <c r="AK11" s="5" t="str">
        <f ca="1">IFERROR(__xludf.DUMMYFUNCTION("""COMPUTED_VALUE"""),"TURNO C")</f>
        <v>TURNO C</v>
      </c>
      <c r="AL11" s="5">
        <f ca="1">IFERROR(__xludf.DUMMYFUNCTION("""COMPUTED_VALUE"""),23901194)</f>
        <v>23901194</v>
      </c>
      <c r="AM11" s="14">
        <f ca="1">IFERROR(__xludf.DUMMYFUNCTION("""COMPUTED_VALUE"""),45353)</f>
        <v>45353</v>
      </c>
      <c r="AN11" s="5" t="str">
        <f ca="1">IFERROR(__xludf.DUMMYFUNCTION("""COMPUTED_VALUE"""),"Motorizacion entrega de envases")</f>
        <v>Motorizacion entrega de envases</v>
      </c>
      <c r="AO11" s="5">
        <f ca="1">IFERROR(__xludf.DUMMYFUNCTION("""COMPUTED_VALUE"""),0.1)</f>
        <v>0.1</v>
      </c>
      <c r="AP11" s="15">
        <f ca="1">IFERROR(__xludf.DUMMYFUNCTION("""COMPUTED_VALUE"""),0.0486111111111111)</f>
        <v>4.8611111111111098E-2</v>
      </c>
      <c r="AQ11" s="15">
        <f ca="1">IFERROR(__xludf.DUMMYFUNCTION("""COMPUTED_VALUE"""),0.0527777777777777)</f>
        <v>5.2777777777777701E-2</v>
      </c>
      <c r="AR11" s="5" t="str">
        <f ca="1">IFERROR(__xludf.DUMMYFUNCTION("""COMPUTED_VALUE"""),"LINE 10")</f>
        <v>LINE 10</v>
      </c>
      <c r="AS11" s="5">
        <f ca="1">IFERROR(__xludf.DUMMYFUNCTION("""COMPUTED_VALUE"""),20043570)</f>
        <v>20043570</v>
      </c>
      <c r="AT11" s="5" t="str">
        <f ca="1">IFERROR(__xludf.DUMMYFUNCTION("""COMPUTED_VALUE"""),"ETIQUETADORA ENVOLVENTE")</f>
        <v>ETIQUETADORA ENVOLVENTE</v>
      </c>
      <c r="AU11" s="5" t="str">
        <f ca="1">IF(AND(LEN(AR11)=0, LEN(AS11)=0), "", IF(AND(LEN(AR11)&gt;0, LEN(AS11)=0), "BLANCO", IFERROR(VLOOKUP(AS11, BasedatosM9!A:B, 2, FALSE), "BLANCO")))</f>
        <v>Jhon Navas</v>
      </c>
    </row>
    <row r="12" spans="1:47" ht="15.75" customHeight="1">
      <c r="A12" s="21" t="s">
        <v>4757</v>
      </c>
      <c r="B12" s="86">
        <v>23899256</v>
      </c>
      <c r="C12" s="98">
        <v>45352</v>
      </c>
      <c r="D12" s="21" t="s">
        <v>4754</v>
      </c>
      <c r="E12" s="86">
        <v>0.15</v>
      </c>
      <c r="F12" s="99">
        <v>0.70833333333333337</v>
      </c>
      <c r="G12" s="99">
        <v>0.71458333333333324</v>
      </c>
      <c r="H12" s="21" t="s">
        <v>4550</v>
      </c>
      <c r="I12" s="21"/>
      <c r="J12" s="21" t="s">
        <v>4755</v>
      </c>
      <c r="K12" s="5" t="str">
        <f>IF(AND(LEN(H12)=0, LEN(I12)=0), "", IF(AND(LEN(H12)&gt;0, LEN(I12)=0), "BLANCO", IFERROR(VLOOKUP(I12, BasedatosM9!A:B, 2, FALSE), "BLANCO")))</f>
        <v>BLANCO</v>
      </c>
      <c r="M12" s="5" t="str">
        <f ca="1">IFERROR(__xludf.DUMMYFUNCTION("""COMPUTED_VALUE"""),"TURNO C")</f>
        <v>TURNO C</v>
      </c>
      <c r="N12" s="5">
        <f ca="1">IFERROR(__xludf.DUMMYFUNCTION("""COMPUTED_VALUE"""),23899725)</f>
        <v>23899725</v>
      </c>
      <c r="O12" s="14">
        <f ca="1">IFERROR(__xludf.DUMMYFUNCTION("""COMPUTED_VALUE"""),45352)</f>
        <v>45352</v>
      </c>
      <c r="P12" s="5" t="str">
        <f ca="1">IFERROR(__xludf.DUMMYFUNCTION("""COMPUTED_VALUE"""),"Cambio rodamiento empujador")</f>
        <v>Cambio rodamiento empujador</v>
      </c>
      <c r="Q12" s="5">
        <f ca="1">IFERROR(__xludf.DUMMYFUNCTION("""COMPUTED_VALUE"""),3.17)</f>
        <v>3.17</v>
      </c>
      <c r="R12" s="15">
        <f ca="1">IFERROR(__xludf.DUMMYFUNCTION("""COMPUTED_VALUE"""),0.0555555555555555)</f>
        <v>5.5555555555555497E-2</v>
      </c>
      <c r="S12" s="15">
        <f ca="1">IFERROR(__xludf.DUMMYFUNCTION("""COMPUTED_VALUE"""),0.1875)</f>
        <v>0.1875</v>
      </c>
      <c r="T12" s="5" t="str">
        <f ca="1">IFERROR(__xludf.DUMMYFUNCTION("""COMPUTED_VALUE"""),"LINE 1")</f>
        <v>LINE 1</v>
      </c>
      <c r="U12" s="5">
        <f ca="1">IFERROR(__xludf.DUMMYFUNCTION("""COMPUTED_VALUE"""),20027410)</f>
        <v>20027410</v>
      </c>
      <c r="V12" s="5" t="str">
        <f ca="1">IFERROR(__xludf.DUMMYFUNCTION("""COMPUTED_VALUE"""),"PALETIZADORA")</f>
        <v>PALETIZADORA</v>
      </c>
      <c r="W12" s="5" t="str">
        <f ca="1">IF(AND(LEN(T12)=0, LEN(U12)=0), "", IF(AND(LEN(T12)&gt;0, LEN(U12)=0), "BLANCO", IFERROR(VLOOKUP(U12, BasedatosM9!A:B, 2, FALSE), "BLANCO")))</f>
        <v>Astaiza Hernandez John Eyder</v>
      </c>
      <c r="X12" s="96"/>
      <c r="Y12" s="5" t="str">
        <f ca="1">IFERROR(__xludf.DUMMYFUNCTION("""COMPUTED_VALUE"""),"TURNO B")</f>
        <v>TURNO B</v>
      </c>
      <c r="Z12" s="5">
        <f ca="1">IFERROR(__xludf.DUMMYFUNCTION("""COMPUTED_VALUE"""),23901496)</f>
        <v>23901496</v>
      </c>
      <c r="AA12" s="14">
        <f ca="1">IFERROR(__xludf.DUMMYFUNCTION("""COMPUTED_VALUE"""),45354)</f>
        <v>45354</v>
      </c>
      <c r="AB12" s="5" t="str">
        <f ca="1">IFERROR(__xludf.DUMMYFUNCTION("""COMPUTED_VALUE"""),"Falla suministro de bebida en calderin")</f>
        <v>Falla suministro de bebida en calderin</v>
      </c>
      <c r="AC12" s="5">
        <f ca="1">IFERROR(__xludf.DUMMYFUNCTION("""COMPUTED_VALUE"""),0.67)</f>
        <v>0.67</v>
      </c>
      <c r="AD12" s="15">
        <f ca="1">IFERROR(__xludf.DUMMYFUNCTION("""COMPUTED_VALUE"""),0.881944444444444)</f>
        <v>0.88194444444444398</v>
      </c>
      <c r="AE12" s="15">
        <f ca="1">IFERROR(__xludf.DUMMYFUNCTION("""COMPUTED_VALUE"""),0.909722222222222)</f>
        <v>0.90972222222222199</v>
      </c>
      <c r="AF12" s="5" t="str">
        <f ca="1">IFERROR(__xludf.DUMMYFUNCTION("""COMPUTED_VALUE"""),"LINE 8")</f>
        <v>LINE 8</v>
      </c>
      <c r="AG12" s="5"/>
      <c r="AH12" s="5" t="str">
        <f ca="1">IFERROR(__xludf.DUMMYFUNCTION("""COMPUTED_VALUE"""),"LLENADORA")</f>
        <v>LLENADORA</v>
      </c>
      <c r="AI12" s="5" t="str">
        <f ca="1">IF(AND(LEN(AF12)=0, LEN(AG12)=0), "", IF(AND(LEN(AF12)&gt;0, LEN(AG12)=0), "BLANCO", IFERROR(VLOOKUP(AG12, BasedatosM9!A:B, 2, FALSE), "BLANCO")))</f>
        <v>BLANCO</v>
      </c>
      <c r="AJ12" s="97"/>
      <c r="AK12" s="5" t="str">
        <f ca="1">IFERROR(__xludf.DUMMYFUNCTION("""COMPUTED_VALUE"""),"TURNO C")</f>
        <v>TURNO C</v>
      </c>
      <c r="AL12" s="5">
        <f ca="1">IFERROR(__xludf.DUMMYFUNCTION("""COMPUTED_VALUE"""),23901196)</f>
        <v>23901196</v>
      </c>
      <c r="AM12" s="14">
        <f ca="1">IFERROR(__xludf.DUMMYFUNCTION("""COMPUTED_VALUE"""),45353)</f>
        <v>45353</v>
      </c>
      <c r="AN12" s="5" t="str">
        <f ca="1">IFERROR(__xludf.DUMMYFUNCTION("""COMPUTED_VALUE"""),"Encolamiento por ausencia botella")</f>
        <v>Encolamiento por ausencia botella</v>
      </c>
      <c r="AO12" s="5">
        <f ca="1">IFERROR(__xludf.DUMMYFUNCTION("""COMPUTED_VALUE"""),0.17)</f>
        <v>0.17</v>
      </c>
      <c r="AP12" s="15">
        <f ca="1">IFERROR(__xludf.DUMMYFUNCTION("""COMPUTED_VALUE"""),0.180555555555555)</f>
        <v>0.180555555555555</v>
      </c>
      <c r="AQ12" s="15">
        <f ca="1">IFERROR(__xludf.DUMMYFUNCTION("""COMPUTED_VALUE"""),0.1875)</f>
        <v>0.1875</v>
      </c>
      <c r="AR12" s="5" t="str">
        <f ca="1">IFERROR(__xludf.DUMMYFUNCTION("""COMPUTED_VALUE"""),"LINE 10")</f>
        <v>LINE 10</v>
      </c>
      <c r="AS12" s="5"/>
      <c r="AT12" s="5" t="str">
        <f ca="1">IFERROR(__xludf.DUMMYFUNCTION("""COMPUTED_VALUE"""),"ETIQUETADORA ENVOLVENTE")</f>
        <v>ETIQUETADORA ENVOLVENTE</v>
      </c>
      <c r="AU12" s="5" t="str">
        <f ca="1">IF(AND(LEN(AR12)=0, LEN(AS12)=0), "", IF(AND(LEN(AR12)&gt;0, LEN(AS12)=0), "BLANCO", IFERROR(VLOOKUP(AS12, BasedatosM9!A:B, 2, FALSE), "BLANCO")))</f>
        <v>BLANCO</v>
      </c>
    </row>
    <row r="13" spans="1:47" ht="15.75" customHeight="1">
      <c r="A13" s="21" t="s">
        <v>4757</v>
      </c>
      <c r="B13" s="86">
        <v>23899277</v>
      </c>
      <c r="C13" s="98">
        <v>45352</v>
      </c>
      <c r="D13" s="21" t="s">
        <v>4759</v>
      </c>
      <c r="E13" s="86">
        <v>0.2</v>
      </c>
      <c r="F13" s="99">
        <v>0.75</v>
      </c>
      <c r="G13" s="99">
        <v>0.7583333333333333</v>
      </c>
      <c r="H13" s="21" t="s">
        <v>4550</v>
      </c>
      <c r="I13" s="21"/>
      <c r="J13" s="21" t="s">
        <v>4744</v>
      </c>
      <c r="K13" s="5" t="str">
        <f>IF(AND(LEN(H13)=0, LEN(I13)=0), "", IF(AND(LEN(H13)&gt;0, LEN(I13)=0), "BLANCO", IFERROR(VLOOKUP(I13, BasedatosM9!A:B, 2, FALSE), "BLANCO")))</f>
        <v>BLANCO</v>
      </c>
      <c r="M13" s="5" t="str">
        <f ca="1">IFERROR(__xludf.DUMMYFUNCTION("""COMPUTED_VALUE"""),"TURNO C")</f>
        <v>TURNO C</v>
      </c>
      <c r="N13" s="5">
        <f ca="1">IFERROR(__xludf.DUMMYFUNCTION("""COMPUTED_VALUE"""),23899778)</f>
        <v>23899778</v>
      </c>
      <c r="O13" s="14">
        <f ca="1">IFERROR(__xludf.DUMMYFUNCTION("""COMPUTED_VALUE"""),45352)</f>
        <v>45352</v>
      </c>
      <c r="P13" s="5" t="str">
        <f ca="1">IFERROR(__xludf.DUMMYFUNCTION("""COMPUTED_VALUE"""),"Ajuste presiones")</f>
        <v>Ajuste presiones</v>
      </c>
      <c r="Q13" s="5">
        <f ca="1">IFERROR(__xludf.DUMMYFUNCTION("""COMPUTED_VALUE"""),0.05)</f>
        <v>0.05</v>
      </c>
      <c r="R13" s="15">
        <f ca="1">IFERROR(__xludf.DUMMYFUNCTION("""COMPUTED_VALUE"""),0.229166666666666)</f>
        <v>0.22916666666666599</v>
      </c>
      <c r="S13" s="15">
        <f ca="1">IFERROR(__xludf.DUMMYFUNCTION("""COMPUTED_VALUE"""),0.231249999999999)</f>
        <v>0.23124999999999901</v>
      </c>
      <c r="T13" s="5" t="str">
        <f ca="1">IFERROR(__xludf.DUMMYFUNCTION("""COMPUTED_VALUE"""),"LINE 1")</f>
        <v>LINE 1</v>
      </c>
      <c r="U13" s="5">
        <f ca="1">IFERROR(__xludf.DUMMYFUNCTION("""COMPUTED_VALUE"""),20075387)</f>
        <v>20075387</v>
      </c>
      <c r="V13" s="5" t="str">
        <f ca="1">IFERROR(__xludf.DUMMYFUNCTION("""COMPUTED_VALUE"""),"TRANSPORTADORES DE ENVASE VACIO")</f>
        <v>TRANSPORTADORES DE ENVASE VACIO</v>
      </c>
      <c r="W13" s="5" t="str">
        <f ca="1">IF(AND(LEN(T13)=0, LEN(U13)=0), "", IF(AND(LEN(T13)&gt;0, LEN(U13)=0), "BLANCO", IFERROR(VLOOKUP(U13, BasedatosM9!A:B, 2, FALSE), "BLANCO")))</f>
        <v>Cristian Suaza</v>
      </c>
      <c r="X13" s="96"/>
      <c r="Y13" s="5" t="str">
        <f ca="1">IFERROR(__xludf.DUMMYFUNCTION("""COMPUTED_VALUE"""),"TURNO C")</f>
        <v>TURNO C</v>
      </c>
      <c r="Z13" s="5">
        <f ca="1">IFERROR(__xludf.DUMMYFUNCTION("""COMPUTED_VALUE"""),23901558)</f>
        <v>23901558</v>
      </c>
      <c r="AA13" s="14">
        <f ca="1">IFERROR(__xludf.DUMMYFUNCTION("""COMPUTED_VALUE"""),45354)</f>
        <v>45354</v>
      </c>
      <c r="AB13" s="5" t="str">
        <f ca="1">IFERROR(__xludf.DUMMYFUNCTION("""COMPUTED_VALUE"""),"Mal funcionamiento del desaireador")</f>
        <v>Mal funcionamiento del desaireador</v>
      </c>
      <c r="AC13" s="5">
        <f ca="1">IFERROR(__xludf.DUMMYFUNCTION("""COMPUTED_VALUE"""),0.25)</f>
        <v>0.25</v>
      </c>
      <c r="AD13" s="15">
        <f ca="1">IFERROR(__xludf.DUMMYFUNCTION("""COMPUTED_VALUE"""),0.927083333333333)</f>
        <v>0.92708333333333304</v>
      </c>
      <c r="AE13" s="15">
        <f ca="1">IFERROR(__xludf.DUMMYFUNCTION("""COMPUTED_VALUE"""),0.9375)</f>
        <v>0.9375</v>
      </c>
      <c r="AF13" s="5" t="str">
        <f ca="1">IFERROR(__xludf.DUMMYFUNCTION("""COMPUTED_VALUE"""),"LINE 8")</f>
        <v>LINE 8</v>
      </c>
      <c r="AG13" s="5">
        <f ca="1">IFERROR(__xludf.DUMMYFUNCTION("""COMPUTED_VALUE"""),20010206)</f>
        <v>20010206</v>
      </c>
      <c r="AH13" s="5" t="str">
        <f ca="1">IFERROR(__xludf.DUMMYFUNCTION("""COMPUTED_VALUE"""),"PASTEURIZADOR")</f>
        <v>PASTEURIZADOR</v>
      </c>
      <c r="AI13" s="5" t="str">
        <f ca="1">IF(AND(LEN(AF13)=0, LEN(AG13)=0), "", IF(AND(LEN(AF13)&gt;0, LEN(AG13)=0), "BLANCO", IFERROR(VLOOKUP(AG13, BasedatosM9!A:B, 2, FALSE), "BLANCO")))</f>
        <v>Vanegas Guependo Hermes</v>
      </c>
      <c r="AJ13" s="97"/>
      <c r="AK13" s="5" t="str">
        <f ca="1">IFERROR(__xludf.DUMMYFUNCTION("""COMPUTED_VALUE"""),"TURNO A")</f>
        <v>TURNO A</v>
      </c>
      <c r="AL13" s="5">
        <f ca="1">IFERROR(__xludf.DUMMYFUNCTION("""COMPUTED_VALUE"""),23901273)</f>
        <v>23901273</v>
      </c>
      <c r="AM13" s="14">
        <f ca="1">IFERROR(__xludf.DUMMYFUNCTION("""COMPUTED_VALUE"""),45354)</f>
        <v>45354</v>
      </c>
      <c r="AN13" s="5" t="str">
        <f ca="1">IFERROR(__xludf.DUMMYFUNCTION("""COMPUTED_VALUE"""),"Caída botellas salida llenadora")</f>
        <v>Caída botellas salida llenadora</v>
      </c>
      <c r="AO13" s="5">
        <f ca="1">IFERROR(__xludf.DUMMYFUNCTION("""COMPUTED_VALUE"""),0.33)</f>
        <v>0.33</v>
      </c>
      <c r="AP13" s="15">
        <f ca="1">IFERROR(__xludf.DUMMYFUNCTION("""COMPUTED_VALUE"""),0.451388888888888)</f>
        <v>0.45138888888888801</v>
      </c>
      <c r="AQ13" s="15">
        <f ca="1">IFERROR(__xludf.DUMMYFUNCTION("""COMPUTED_VALUE"""),0.465277777777777)</f>
        <v>0.46527777777777701</v>
      </c>
      <c r="AR13" s="5" t="str">
        <f ca="1">IFERROR(__xludf.DUMMYFUNCTION("""COMPUTED_VALUE"""),"LINE 10")</f>
        <v>LINE 10</v>
      </c>
      <c r="AS13" s="5"/>
      <c r="AT13" s="5" t="str">
        <f ca="1">IFERROR(__xludf.DUMMYFUNCTION("""COMPUTED_VALUE"""),"TRANSPORTADORES DE BEBIDA")</f>
        <v>TRANSPORTADORES DE BEBIDA</v>
      </c>
      <c r="AU13" s="5" t="str">
        <f ca="1">IF(AND(LEN(AR13)=0, LEN(AS13)=0), "", IF(AND(LEN(AR13)&gt;0, LEN(AS13)=0), "BLANCO", IFERROR(VLOOKUP(AS13, BasedatosM9!A:B, 2, FALSE), "BLANCO")))</f>
        <v>BLANCO</v>
      </c>
    </row>
    <row r="14" spans="1:47" ht="15.75" customHeight="1">
      <c r="A14" s="21" t="s">
        <v>4757</v>
      </c>
      <c r="B14" s="86">
        <v>23899404</v>
      </c>
      <c r="C14" s="98">
        <v>45352</v>
      </c>
      <c r="D14" s="21" t="s">
        <v>4760</v>
      </c>
      <c r="E14" s="86">
        <v>1.87</v>
      </c>
      <c r="F14" s="99">
        <v>0.7368055555555556</v>
      </c>
      <c r="G14" s="99">
        <v>0.81458333333333333</v>
      </c>
      <c r="H14" s="21" t="s">
        <v>4549</v>
      </c>
      <c r="I14" s="21"/>
      <c r="J14" s="21" t="s">
        <v>4750</v>
      </c>
      <c r="K14" s="5" t="str">
        <f>IF(AND(LEN(H14)=0, LEN(I14)=0), "", IF(AND(LEN(H14)&gt;0, LEN(I14)=0), "BLANCO", IFERROR(VLOOKUP(I14, BasedatosM9!A:B, 2, FALSE), "BLANCO")))</f>
        <v>BLANCO</v>
      </c>
      <c r="M14" s="5" t="str">
        <f ca="1">IFERROR(__xludf.DUMMYFUNCTION("""COMPUTED_VALUE"""),"TURNO A")</f>
        <v>TURNO A</v>
      </c>
      <c r="N14" s="5">
        <f ca="1">IFERROR(__xludf.DUMMYFUNCTION("""COMPUTED_VALUE"""),23900709)</f>
        <v>23900709</v>
      </c>
      <c r="O14" s="14">
        <f ca="1">IFERROR(__xludf.DUMMYFUNCTION("""COMPUTED_VALUE"""),45353)</f>
        <v>45353</v>
      </c>
      <c r="P14" s="5" t="str">
        <f ca="1">IFERROR(__xludf.DUMMYFUNCTION("""COMPUTED_VALUE"""),"No prepara bebida, bebida bajo nivel")</f>
        <v>No prepara bebida, bebida bajo nivel</v>
      </c>
      <c r="Q14" s="5">
        <f ca="1">IFERROR(__xludf.DUMMYFUNCTION("""COMPUTED_VALUE"""),0.25)</f>
        <v>0.25</v>
      </c>
      <c r="R14" s="15">
        <f ca="1">IFERROR(__xludf.DUMMYFUNCTION("""COMPUTED_VALUE"""),0.545138888888889)</f>
        <v>0.54513888888888895</v>
      </c>
      <c r="S14" s="15">
        <f ca="1">IFERROR(__xludf.DUMMYFUNCTION("""COMPUTED_VALUE"""),0.555555555555555)</f>
        <v>0.55555555555555503</v>
      </c>
      <c r="T14" s="5" t="str">
        <f ca="1">IFERROR(__xludf.DUMMYFUNCTION("""COMPUTED_VALUE"""),"LINE 1")</f>
        <v>LINE 1</v>
      </c>
      <c r="U14" s="5"/>
      <c r="V14" s="5" t="str">
        <f ca="1">IFERROR(__xludf.DUMMYFUNCTION("""COMPUTED_VALUE"""),"CARBOENFRIADOR/CONTIFLOW (MEZCLADORA)")</f>
        <v>CARBOENFRIADOR/CONTIFLOW (MEZCLADORA)</v>
      </c>
      <c r="W14" s="5" t="str">
        <f ca="1">IF(AND(LEN(T14)=0, LEN(U14)=0), "", IF(AND(LEN(T14)&gt;0, LEN(U14)=0), "BLANCO", IFERROR(VLOOKUP(U14, BasedatosM9!A:B, 2, FALSE), "BLANCO")))</f>
        <v>BLANCO</v>
      </c>
      <c r="X14" s="96"/>
      <c r="Y14" s="5" t="str">
        <f ca="1">IFERROR(__xludf.DUMMYFUNCTION("""COMPUTED_VALUE"""),"TURNO C")</f>
        <v>TURNO C</v>
      </c>
      <c r="Z14" s="5">
        <f ca="1">IFERROR(__xludf.DUMMYFUNCTION("""COMPUTED_VALUE"""),23901611)</f>
        <v>23901611</v>
      </c>
      <c r="AA14" s="14">
        <f ca="1">IFERROR(__xludf.DUMMYFUNCTION("""COMPUTED_VALUE"""),45354)</f>
        <v>45354</v>
      </c>
      <c r="AB14" s="5" t="str">
        <f ca="1">IFERROR(__xludf.DUMMYFUNCTION("""COMPUTED_VALUE"""),"Caída de paquetes en entrada a horno.")</f>
        <v>Caída de paquetes en entrada a horno.</v>
      </c>
      <c r="AC14" s="5">
        <f ca="1">IFERROR(__xludf.DUMMYFUNCTION("""COMPUTED_VALUE"""),0.12)</f>
        <v>0.12</v>
      </c>
      <c r="AD14" s="15">
        <f ca="1">IFERROR(__xludf.DUMMYFUNCTION("""COMPUTED_VALUE"""),0.222222222222222)</f>
        <v>0.22222222222222199</v>
      </c>
      <c r="AE14" s="15">
        <f ca="1">IFERROR(__xludf.DUMMYFUNCTION("""COMPUTED_VALUE"""),0.227083333333333)</f>
        <v>0.227083333333333</v>
      </c>
      <c r="AF14" s="5" t="str">
        <f ca="1">IFERROR(__xludf.DUMMYFUNCTION("""COMPUTED_VALUE"""),"LINE 8")</f>
        <v>LINE 8</v>
      </c>
      <c r="AG14" s="5">
        <f ca="1">IFERROR(__xludf.DUMMYFUNCTION("""COMPUTED_VALUE"""),20031098)</f>
        <v>20031098</v>
      </c>
      <c r="AH14" s="5" t="str">
        <f ca="1">IFERROR(__xludf.DUMMYFUNCTION("""COMPUTED_VALUE"""),"ENFARDADORA")</f>
        <v>ENFARDADORA</v>
      </c>
      <c r="AI14" s="5" t="str">
        <f ca="1">IF(AND(LEN(AF14)=0, LEN(AG14)=0), "", IF(AND(LEN(AF14)&gt;0, LEN(AG14)=0), "BLANCO", IFERROR(VLOOKUP(AG14, BasedatosM9!A:B, 2, FALSE), "BLANCO")))</f>
        <v>Jonathan Lopez</v>
      </c>
      <c r="AJ14" s="97"/>
      <c r="AK14" s="5" t="str">
        <f ca="1">IFERROR(__xludf.DUMMYFUNCTION("""COMPUTED_VALUE"""),"TURNO A")</f>
        <v>TURNO A</v>
      </c>
      <c r="AL14" s="5">
        <f ca="1">IFERROR(__xludf.DUMMYFUNCTION("""COMPUTED_VALUE"""),23901274)</f>
        <v>23901274</v>
      </c>
      <c r="AM14" s="14">
        <f ca="1">IFERROR(__xludf.DUMMYFUNCTION("""COMPUTED_VALUE"""),45354)</f>
        <v>45354</v>
      </c>
      <c r="AN14" s="5" t="str">
        <f ca="1">IFERROR(__xludf.DUMMYFUNCTION("""COMPUTED_VALUE"""),"Encolamiento en agregado No. 1")</f>
        <v>Encolamiento en agregado No. 1</v>
      </c>
      <c r="AO14" s="5">
        <f ca="1">IFERROR(__xludf.DUMMYFUNCTION("""COMPUTED_VALUE"""),0.27)</f>
        <v>0.27</v>
      </c>
      <c r="AP14" s="15">
        <f ca="1">IFERROR(__xludf.DUMMYFUNCTION("""COMPUTED_VALUE"""),0.486111111111111)</f>
        <v>0.48611111111111099</v>
      </c>
      <c r="AQ14" s="15">
        <f ca="1">IFERROR(__xludf.DUMMYFUNCTION("""COMPUTED_VALUE"""),0.497222222222222)</f>
        <v>0.49722222222222201</v>
      </c>
      <c r="AR14" s="5" t="str">
        <f ca="1">IFERROR(__xludf.DUMMYFUNCTION("""COMPUTED_VALUE"""),"LINE 10")</f>
        <v>LINE 10</v>
      </c>
      <c r="AS14" s="5"/>
      <c r="AT14" s="5" t="str">
        <f ca="1">IFERROR(__xludf.DUMMYFUNCTION("""COMPUTED_VALUE"""),"ETIQUETADORA ENVOLVENTE")</f>
        <v>ETIQUETADORA ENVOLVENTE</v>
      </c>
      <c r="AU14" s="5" t="str">
        <f ca="1">IF(AND(LEN(AR14)=0, LEN(AS14)=0), "", IF(AND(LEN(AR14)&gt;0, LEN(AS14)=0), "BLANCO", IFERROR(VLOOKUP(AS14, BasedatosM9!A:B, 2, FALSE), "BLANCO")))</f>
        <v>BLANCO</v>
      </c>
    </row>
    <row r="15" spans="1:47" ht="14.4">
      <c r="A15" s="21" t="s">
        <v>4757</v>
      </c>
      <c r="B15" s="86">
        <v>23899406</v>
      </c>
      <c r="C15" s="98">
        <v>45352</v>
      </c>
      <c r="D15" s="21" t="s">
        <v>4759</v>
      </c>
      <c r="E15" s="86">
        <v>0.33</v>
      </c>
      <c r="F15" s="99">
        <v>0.83333333333333337</v>
      </c>
      <c r="G15" s="99">
        <v>0.84722222222222221</v>
      </c>
      <c r="H15" s="21" t="s">
        <v>4550</v>
      </c>
      <c r="I15" s="21"/>
      <c r="J15" s="21" t="s">
        <v>4744</v>
      </c>
      <c r="K15" s="5" t="str">
        <f>IF(AND(LEN(H15)=0, LEN(I15)=0), "", IF(AND(LEN(H15)&gt;0, LEN(I15)=0), "BLANCO", IFERROR(VLOOKUP(I15, BasedatosM9!A:B, 2, FALSE), "BLANCO")))</f>
        <v>BLANCO</v>
      </c>
      <c r="M15" s="5" t="str">
        <f ca="1">IFERROR(__xludf.DUMMYFUNCTION("""COMPUTED_VALUE"""),"TURNO A")</f>
        <v>TURNO A</v>
      </c>
      <c r="N15" s="5">
        <f ca="1">IFERROR(__xludf.DUMMYFUNCTION("""COMPUTED_VALUE"""),23900710)</f>
        <v>23900710</v>
      </c>
      <c r="O15" s="14">
        <f ca="1">IFERROR(__xludf.DUMMYFUNCTION("""COMPUTED_VALUE"""),45353)</f>
        <v>45353</v>
      </c>
      <c r="P15" s="5" t="str">
        <f ca="1">IFERROR(__xludf.DUMMYFUNCTION("""COMPUTED_VALUE"""),"Caida botellas mesa de plegado")</f>
        <v>Caida botellas mesa de plegado</v>
      </c>
      <c r="Q15" s="5">
        <f ca="1">IFERROR(__xludf.DUMMYFUNCTION("""COMPUTED_VALUE"""),0.23)</f>
        <v>0.23</v>
      </c>
      <c r="R15" s="15">
        <f ca="1">IFERROR(__xludf.DUMMYFUNCTION("""COMPUTED_VALUE"""),0.5625)</f>
        <v>0.5625</v>
      </c>
      <c r="S15" s="15">
        <f ca="1">IFERROR(__xludf.DUMMYFUNCTION("""COMPUTED_VALUE"""),0.572222222222222)</f>
        <v>0.57222222222222197</v>
      </c>
      <c r="T15" s="5" t="str">
        <f ca="1">IFERROR(__xludf.DUMMYFUNCTION("""COMPUTED_VALUE"""),"LINE 1")</f>
        <v>LINE 1</v>
      </c>
      <c r="U15" s="5"/>
      <c r="V15" s="5" t="str">
        <f ca="1">IFERROR(__xludf.DUMMYFUNCTION("""COMPUTED_VALUE"""),"ENFARDADORA")</f>
        <v>ENFARDADORA</v>
      </c>
      <c r="W15" s="5" t="str">
        <f ca="1">IF(AND(LEN(T15)=0, LEN(U15)=0), "", IF(AND(LEN(T15)&gt;0, LEN(U15)=0), "BLANCO", IFERROR(VLOOKUP(U15, BasedatosM9!A:B, 2, FALSE), "BLANCO")))</f>
        <v>BLANCO</v>
      </c>
      <c r="X15" s="96"/>
      <c r="Y15" s="5" t="str">
        <f ca="1">IFERROR(__xludf.DUMMYFUNCTION("""COMPUTED_VALUE"""),"TURNO B")</f>
        <v>TURNO B</v>
      </c>
      <c r="Z15" s="5">
        <f ca="1">IFERROR(__xludf.DUMMYFUNCTION("""COMPUTED_VALUE"""),23902575)</f>
        <v>23902575</v>
      </c>
      <c r="AA15" s="14">
        <f ca="1">IFERROR(__xludf.DUMMYFUNCTION("""COMPUTED_VALUE"""),45355)</f>
        <v>45355</v>
      </c>
      <c r="AB15" s="5" t="str">
        <f ca="1">IFERROR(__xludf.DUMMYFUNCTION("""COMPUTED_VALUE"""),"Cooler: falla electrica afecta motor, ge")</f>
        <v>Cooler: falla electrica afecta motor, ge</v>
      </c>
      <c r="AC15" s="5">
        <f ca="1">IFERROR(__xludf.DUMMYFUNCTION("""COMPUTED_VALUE"""),0.27)</f>
        <v>0.27</v>
      </c>
      <c r="AD15" s="15">
        <f ca="1">IFERROR(__xludf.DUMMYFUNCTION("""COMPUTED_VALUE"""),0.6)</f>
        <v>0.6</v>
      </c>
      <c r="AE15" s="15">
        <f ca="1">IFERROR(__xludf.DUMMYFUNCTION("""COMPUTED_VALUE"""),0.611111111111111)</f>
        <v>0.61111111111111105</v>
      </c>
      <c r="AF15" s="5" t="str">
        <f ca="1">IFERROR(__xludf.DUMMYFUNCTION("""COMPUTED_VALUE"""),"LINE 8")</f>
        <v>LINE 8</v>
      </c>
      <c r="AG15" s="5">
        <f ca="1">IFERROR(__xludf.DUMMYFUNCTION("""COMPUTED_VALUE"""),20009758)</f>
        <v>20009758</v>
      </c>
      <c r="AH15" s="5" t="str">
        <f ca="1">IFERROR(__xludf.DUMMYFUNCTION("""COMPUTED_VALUE"""),"COOLER")</f>
        <v>COOLER</v>
      </c>
      <c r="AI15" s="5" t="str">
        <f ca="1">IF(AND(LEN(AF15)=0, LEN(AG15)=0), "", IF(AND(LEN(AF15)&gt;0, LEN(AG15)=0), "BLANCO", IFERROR(VLOOKUP(AG15, BasedatosM9!A:B, 2, FALSE), "BLANCO")))</f>
        <v>Franco Castillo Brayan Steven</v>
      </c>
      <c r="AJ15" s="97"/>
      <c r="AK15" s="5" t="str">
        <f ca="1">IFERROR(__xludf.DUMMYFUNCTION("""COMPUTED_VALUE"""),"TURNO A")</f>
        <v>TURNO A</v>
      </c>
      <c r="AL15" s="5">
        <f ca="1">IFERROR(__xludf.DUMMYFUNCTION("""COMPUTED_VALUE"""),23901324)</f>
        <v>23901324</v>
      </c>
      <c r="AM15" s="14">
        <f ca="1">IFERROR(__xludf.DUMMYFUNCTION("""COMPUTED_VALUE"""),45354)</f>
        <v>45354</v>
      </c>
      <c r="AN15" s="5" t="str">
        <f ca="1">IFERROR(__xludf.DUMMYFUNCTION("""COMPUTED_VALUE"""),"Encolamiento agregado No. 2")</f>
        <v>Encolamiento agregado No. 2</v>
      </c>
      <c r="AO15" s="5">
        <f ca="1">IFERROR(__xludf.DUMMYFUNCTION("""COMPUTED_VALUE"""),0.58)</f>
        <v>0.57999999999999996</v>
      </c>
      <c r="AP15" s="15">
        <f ca="1">IFERROR(__xludf.DUMMYFUNCTION("""COMPUTED_VALUE"""),0.59375)</f>
        <v>0.59375</v>
      </c>
      <c r="AQ15" s="15">
        <f ca="1">IFERROR(__xludf.DUMMYFUNCTION("""COMPUTED_VALUE"""),0.618055555555555)</f>
        <v>0.61805555555555503</v>
      </c>
      <c r="AR15" s="5" t="str">
        <f ca="1">IFERROR(__xludf.DUMMYFUNCTION("""COMPUTED_VALUE"""),"LINE 10")</f>
        <v>LINE 10</v>
      </c>
      <c r="AS15" s="5">
        <f ca="1">IFERROR(__xludf.DUMMYFUNCTION("""COMPUTED_VALUE"""),20009743)</f>
        <v>20009743</v>
      </c>
      <c r="AT15" s="5" t="str">
        <f ca="1">IFERROR(__xludf.DUMMYFUNCTION("""COMPUTED_VALUE"""),"ETIQUETADORA ENVOLVENTE")</f>
        <v>ETIQUETADORA ENVOLVENTE</v>
      </c>
      <c r="AU15" s="5" t="str">
        <f ca="1">IF(AND(LEN(AR15)=0, LEN(AS15)=0), "", IF(AND(LEN(AR15)&gt;0, LEN(AS15)=0), "BLANCO", IFERROR(VLOOKUP(AS15, BasedatosM9!A:B, 2, FALSE), "BLANCO")))</f>
        <v>Duran Sanchez Nelson Fernando</v>
      </c>
    </row>
    <row r="16" spans="1:47" ht="14.4">
      <c r="A16" s="21" t="s">
        <v>4757</v>
      </c>
      <c r="B16" s="86">
        <v>23899408</v>
      </c>
      <c r="C16" s="98">
        <v>45352</v>
      </c>
      <c r="D16" s="21" t="s">
        <v>4761</v>
      </c>
      <c r="E16" s="86">
        <v>0.17</v>
      </c>
      <c r="F16" s="99">
        <v>0.85416666666666663</v>
      </c>
      <c r="G16" s="99">
        <v>0.86111111111111116</v>
      </c>
      <c r="H16" s="21" t="s">
        <v>4550</v>
      </c>
      <c r="I16" s="21"/>
      <c r="J16" s="21" t="s">
        <v>79</v>
      </c>
      <c r="K16" s="5" t="str">
        <f>IF(AND(LEN(H16)=0, LEN(I16)=0), "", IF(AND(LEN(H16)&gt;0, LEN(I16)=0), "BLANCO", IFERROR(VLOOKUP(I16, BasedatosM9!A:B, 2, FALSE), "BLANCO")))</f>
        <v>BLANCO</v>
      </c>
      <c r="M16" s="5" t="str">
        <f ca="1">IFERROR(__xludf.DUMMYFUNCTION("""COMPUTED_VALUE"""),"TURNO B")</f>
        <v>TURNO B</v>
      </c>
      <c r="N16" s="5">
        <f ca="1">IFERROR(__xludf.DUMMYFUNCTION("""COMPUTED_VALUE"""),23900888)</f>
        <v>23900888</v>
      </c>
      <c r="O16" s="14">
        <f ca="1">IFERROR(__xludf.DUMMYFUNCTION("""COMPUTED_VALUE"""),45353)</f>
        <v>45353</v>
      </c>
      <c r="P16" s="5" t="str">
        <f ca="1">IFERROR(__xludf.DUMMYFUNCTION("""COMPUTED_VALUE"""),"Paquetes volteados en mesa de agrupacion")</f>
        <v>Paquetes volteados en mesa de agrupacion</v>
      </c>
      <c r="Q16" s="5">
        <f ca="1">IFERROR(__xludf.DUMMYFUNCTION("""COMPUTED_VALUE"""),0.1)</f>
        <v>0.1</v>
      </c>
      <c r="R16" s="15">
        <f ca="1">IFERROR(__xludf.DUMMYFUNCTION("""COMPUTED_VALUE"""),0.666666666666666)</f>
        <v>0.66666666666666596</v>
      </c>
      <c r="S16" s="15">
        <f ca="1">IFERROR(__xludf.DUMMYFUNCTION("""COMPUTED_VALUE"""),0.670833333333333)</f>
        <v>0.67083333333333295</v>
      </c>
      <c r="T16" s="5" t="str">
        <f ca="1">IFERROR(__xludf.DUMMYFUNCTION("""COMPUTED_VALUE"""),"LINE 1")</f>
        <v>LINE 1</v>
      </c>
      <c r="U16" s="5"/>
      <c r="V16" s="5" t="str">
        <f ca="1">IFERROR(__xludf.DUMMYFUNCTION("""COMPUTED_VALUE"""),"PALETIZADORA")</f>
        <v>PALETIZADORA</v>
      </c>
      <c r="W16" s="5" t="str">
        <f ca="1">IF(AND(LEN(T16)=0, LEN(U16)=0), "", IF(AND(LEN(T16)&gt;0, LEN(U16)=0), "BLANCO", IFERROR(VLOOKUP(U16, BasedatosM9!A:B, 2, FALSE), "BLANCO")))</f>
        <v>BLANCO</v>
      </c>
      <c r="X16" s="96"/>
      <c r="Y16" s="5" t="str">
        <f ca="1">IFERROR(__xludf.DUMMYFUNCTION("""COMPUTED_VALUE"""),"TURNO B")</f>
        <v>TURNO B</v>
      </c>
      <c r="Z16" s="5">
        <f ca="1">IFERROR(__xludf.DUMMYFUNCTION("""COMPUTED_VALUE"""),23902578)</f>
        <v>23902578</v>
      </c>
      <c r="AA16" s="14">
        <f ca="1">IFERROR(__xludf.DUMMYFUNCTION("""COMPUTED_VALUE"""),45355)</f>
        <v>45355</v>
      </c>
      <c r="AB16" s="5" t="str">
        <f ca="1">IFERROR(__xludf.DUMMYFUNCTION("""COMPUTED_VALUE"""),"Enfardadora")</f>
        <v>Enfardadora</v>
      </c>
      <c r="AC16" s="5">
        <f ca="1">IFERROR(__xludf.DUMMYFUNCTION("""COMPUTED_VALUE"""),0.08)</f>
        <v>0.08</v>
      </c>
      <c r="AD16" s="15">
        <f ca="1">IFERROR(__xludf.DUMMYFUNCTION("""COMPUTED_VALUE"""),0.645833333333333)</f>
        <v>0.64583333333333304</v>
      </c>
      <c r="AE16" s="15">
        <f ca="1">IFERROR(__xludf.DUMMYFUNCTION("""COMPUTED_VALUE"""),0.649305555555555)</f>
        <v>0.64930555555555503</v>
      </c>
      <c r="AF16" s="5" t="str">
        <f ca="1">IFERROR(__xludf.DUMMYFUNCTION("""COMPUTED_VALUE"""),"LINE 8")</f>
        <v>LINE 8</v>
      </c>
      <c r="AG16" s="5">
        <f ca="1">IFERROR(__xludf.DUMMYFUNCTION("""COMPUTED_VALUE"""),20009942)</f>
        <v>20009942</v>
      </c>
      <c r="AH16" s="5" t="str">
        <f ca="1">IFERROR(__xludf.DUMMYFUNCTION("""COMPUTED_VALUE"""),"ENFARDADORA")</f>
        <v>ENFARDADORA</v>
      </c>
      <c r="AI16" s="5" t="str">
        <f ca="1">IF(AND(LEN(AF16)=0, LEN(AG16)=0), "", IF(AND(LEN(AF16)&gt;0, LEN(AG16)=0), "BLANCO", IFERROR(VLOOKUP(AG16, BasedatosM9!A:B, 2, FALSE), "BLANCO")))</f>
        <v>Osver Martinez</v>
      </c>
      <c r="AK16" s="5" t="str">
        <f ca="1">IFERROR(__xludf.DUMMYFUNCTION("""COMPUTED_VALUE"""),"TURNO A")</f>
        <v>TURNO A</v>
      </c>
      <c r="AL16" s="5">
        <f ca="1">IFERROR(__xludf.DUMMYFUNCTION("""COMPUTED_VALUE"""),23901325)</f>
        <v>23901325</v>
      </c>
      <c r="AM16" s="14">
        <f ca="1">IFERROR(__xludf.DUMMYFUNCTION("""COMPUTED_VALUE"""),45354)</f>
        <v>45354</v>
      </c>
      <c r="AN16" s="5" t="str">
        <f ca="1">IFERROR(__xludf.DUMMYFUNCTION("""COMPUTED_VALUE"""),"Paquete mal formado")</f>
        <v>Paquete mal formado</v>
      </c>
      <c r="AO16" s="5">
        <f ca="1">IFERROR(__xludf.DUMMYFUNCTION("""COMPUTED_VALUE"""),0.08)</f>
        <v>0.08</v>
      </c>
      <c r="AP16" s="15">
        <f ca="1">IFERROR(__xludf.DUMMYFUNCTION("""COMPUTED_VALUE"""),0.629166666666666)</f>
        <v>0.62916666666666599</v>
      </c>
      <c r="AQ16" s="15">
        <f ca="1">IFERROR(__xludf.DUMMYFUNCTION("""COMPUTED_VALUE"""),0.632638888888888)</f>
        <v>0.63263888888888797</v>
      </c>
      <c r="AR16" s="5" t="str">
        <f ca="1">IFERROR(__xludf.DUMMYFUNCTION("""COMPUTED_VALUE"""),"LINE 10")</f>
        <v>LINE 10</v>
      </c>
      <c r="AS16" s="5"/>
      <c r="AT16" s="5" t="str">
        <f ca="1">IFERROR(__xludf.DUMMYFUNCTION("""COMPUTED_VALUE"""),"ENFARDADORA")</f>
        <v>ENFARDADORA</v>
      </c>
      <c r="AU16" s="5" t="str">
        <f ca="1">IF(AND(LEN(AR16)=0, LEN(AS16)=0), "", IF(AND(LEN(AR16)&gt;0, LEN(AS16)=0), "BLANCO", IFERROR(VLOOKUP(AS16, BasedatosM9!A:B, 2, FALSE), "BLANCO")))</f>
        <v>BLANCO</v>
      </c>
    </row>
    <row r="17" spans="1:47" ht="14.4">
      <c r="A17" s="21" t="s">
        <v>4757</v>
      </c>
      <c r="B17" s="86">
        <v>23899409</v>
      </c>
      <c r="C17" s="98">
        <v>45352</v>
      </c>
      <c r="D17" s="21" t="s">
        <v>4762</v>
      </c>
      <c r="E17" s="86">
        <v>0.22</v>
      </c>
      <c r="F17" s="99">
        <v>0.66736111111111107</v>
      </c>
      <c r="G17" s="99">
        <v>0.67638888888888893</v>
      </c>
      <c r="H17" s="21" t="s">
        <v>4549</v>
      </c>
      <c r="I17" s="21"/>
      <c r="J17" s="21" t="s">
        <v>4750</v>
      </c>
      <c r="K17" s="5" t="str">
        <f>IF(AND(LEN(H17)=0, LEN(I17)=0), "", IF(AND(LEN(H17)&gt;0, LEN(I17)=0), "BLANCO", IFERROR(VLOOKUP(I17, BasedatosM9!A:B, 2, FALSE), "BLANCO")))</f>
        <v>BLANCO</v>
      </c>
      <c r="M17" s="5" t="str">
        <f ca="1">IFERROR(__xludf.DUMMYFUNCTION("""COMPUTED_VALUE"""),"TURNO B")</f>
        <v>TURNO B</v>
      </c>
      <c r="N17" s="5">
        <f ca="1">IFERROR(__xludf.DUMMYFUNCTION("""COMPUTED_VALUE"""),23900980)</f>
        <v>23900980</v>
      </c>
      <c r="O17" s="14">
        <f ca="1">IFERROR(__xludf.DUMMYFUNCTION("""COMPUTED_VALUE"""),45353)</f>
        <v>45353</v>
      </c>
      <c r="P17" s="5" t="str">
        <f ca="1">IFERROR(__xludf.DUMMYFUNCTION("""COMPUTED_VALUE"""),"Botellas sin tapa")</f>
        <v>Botellas sin tapa</v>
      </c>
      <c r="Q17" s="5">
        <f ca="1">IFERROR(__xludf.DUMMYFUNCTION("""COMPUTED_VALUE"""),0.27)</f>
        <v>0.27</v>
      </c>
      <c r="R17" s="15">
        <f ca="1">IFERROR(__xludf.DUMMYFUNCTION("""COMPUTED_VALUE"""),0.597222222222222)</f>
        <v>0.59722222222222199</v>
      </c>
      <c r="S17" s="15">
        <f ca="1">IFERROR(__xludf.DUMMYFUNCTION("""COMPUTED_VALUE"""),0.608333333333333)</f>
        <v>0.60833333333333295</v>
      </c>
      <c r="T17" s="5" t="str">
        <f ca="1">IFERROR(__xludf.DUMMYFUNCTION("""COMPUTED_VALUE"""),"LINE 1")</f>
        <v>LINE 1</v>
      </c>
      <c r="U17" s="5"/>
      <c r="V17" s="5" t="str">
        <f ca="1">IFERROR(__xludf.DUMMYFUNCTION("""COMPUTED_VALUE"""),"LLENADORA BOTELLAS PET")</f>
        <v>LLENADORA BOTELLAS PET</v>
      </c>
      <c r="W17" s="5" t="str">
        <f ca="1">IF(AND(LEN(T17)=0, LEN(U17)=0), "", IF(AND(LEN(T17)&gt;0, LEN(U17)=0), "BLANCO", IFERROR(VLOOKUP(U17, BasedatosM9!A:B, 2, FALSE), "BLANCO")))</f>
        <v>BLANCO</v>
      </c>
      <c r="X17" s="96"/>
      <c r="Y17" s="5" t="str">
        <f ca="1">IFERROR(__xludf.DUMMYFUNCTION("""COMPUTED_VALUE"""),"TURNO A")</f>
        <v>TURNO A</v>
      </c>
      <c r="Z17" s="5">
        <f ca="1">IFERROR(__xludf.DUMMYFUNCTION("""COMPUTED_VALUE"""),23902652)</f>
        <v>23902652</v>
      </c>
      <c r="AA17" s="14">
        <f ca="1">IFERROR(__xludf.DUMMYFUNCTION("""COMPUTED_VALUE"""),45355)</f>
        <v>45355</v>
      </c>
      <c r="AB17" s="5" t="str">
        <f ca="1">IFERROR(__xludf.DUMMYFUNCTION("""COMPUTED_VALUE"""),"Caida de botellas")</f>
        <v>Caida de botellas</v>
      </c>
      <c r="AC17" s="5">
        <f ca="1">IFERROR(__xludf.DUMMYFUNCTION("""COMPUTED_VALUE"""),0.05)</f>
        <v>0.05</v>
      </c>
      <c r="AD17" s="15">
        <f ca="1">IFERROR(__xludf.DUMMYFUNCTION("""COMPUTED_VALUE"""),0.385416666666666)</f>
        <v>0.38541666666666602</v>
      </c>
      <c r="AE17" s="15">
        <f ca="1">IFERROR(__xludf.DUMMYFUNCTION("""COMPUTED_VALUE"""),0.3875)</f>
        <v>0.38750000000000001</v>
      </c>
      <c r="AF17" s="5" t="str">
        <f ca="1">IFERROR(__xludf.DUMMYFUNCTION("""COMPUTED_VALUE"""),"LINE 8")</f>
        <v>LINE 8</v>
      </c>
      <c r="AG17" s="5"/>
      <c r="AH17" s="5" t="str">
        <f ca="1">IFERROR(__xludf.DUMMYFUNCTION("""COMPUTED_VALUE"""),"TRANSPORTADORES DE BOTELLAS LLENAS")</f>
        <v>TRANSPORTADORES DE BOTELLAS LLENAS</v>
      </c>
      <c r="AI17" s="5" t="str">
        <f ca="1">IF(AND(LEN(AF17)=0, LEN(AG17)=0), "", IF(AND(LEN(AF17)&gt;0, LEN(AG17)=0), "BLANCO", IFERROR(VLOOKUP(AG17, BasedatosM9!A:B, 2, FALSE), "BLANCO")))</f>
        <v>BLANCO</v>
      </c>
      <c r="AK17" s="5" t="str">
        <f ca="1">IFERROR(__xludf.DUMMYFUNCTION("""COMPUTED_VALUE"""),"TURNO B")</f>
        <v>TURNO B</v>
      </c>
      <c r="AL17" s="5">
        <f ca="1">IFERROR(__xludf.DUMMYFUNCTION("""COMPUTED_VALUE"""),23901447)</f>
        <v>23901447</v>
      </c>
      <c r="AM17" s="14">
        <f ca="1">IFERROR(__xludf.DUMMYFUNCTION("""COMPUTED_VALUE"""),45354)</f>
        <v>45354</v>
      </c>
      <c r="AN17" s="5" t="str">
        <f ca="1">IFERROR(__xludf.DUMMYFUNCTION("""COMPUTED_VALUE"""),"Anillo atascado en roscadores")</f>
        <v>Anillo atascado en roscadores</v>
      </c>
      <c r="AO17" s="5">
        <f ca="1">IFERROR(__xludf.DUMMYFUNCTION("""COMPUTED_VALUE"""),0.13)</f>
        <v>0.13</v>
      </c>
      <c r="AP17" s="15">
        <f ca="1">IFERROR(__xludf.DUMMYFUNCTION("""COMPUTED_VALUE"""),0.774305555555555)</f>
        <v>0.77430555555555503</v>
      </c>
      <c r="AQ17" s="15">
        <f ca="1">IFERROR(__xludf.DUMMYFUNCTION("""COMPUTED_VALUE"""),0.779861111111111)</f>
        <v>0.77986111111111101</v>
      </c>
      <c r="AR17" s="5" t="str">
        <f ca="1">IFERROR(__xludf.DUMMYFUNCTION("""COMPUTED_VALUE"""),"LINE 10")</f>
        <v>LINE 10</v>
      </c>
      <c r="AS17" s="5">
        <f ca="1">IFERROR(__xludf.DUMMYFUNCTION("""COMPUTED_VALUE"""),20009743)</f>
        <v>20009743</v>
      </c>
      <c r="AT17" s="5" t="str">
        <f ca="1">IFERROR(__xludf.DUMMYFUNCTION("""COMPUTED_VALUE"""),"LLENADORA BOTELLAS PET")</f>
        <v>LLENADORA BOTELLAS PET</v>
      </c>
      <c r="AU17" s="5" t="str">
        <f ca="1">IF(AND(LEN(AR17)=0, LEN(AS17)=0), "", IF(AND(LEN(AR17)&gt;0, LEN(AS17)=0), "BLANCO", IFERROR(VLOOKUP(AS17, BasedatosM9!A:B, 2, FALSE), "BLANCO")))</f>
        <v>Duran Sanchez Nelson Fernando</v>
      </c>
    </row>
    <row r="18" spans="1:47" ht="14.4">
      <c r="A18" s="21" t="s">
        <v>4757</v>
      </c>
      <c r="B18" s="86">
        <v>23899436</v>
      </c>
      <c r="C18" s="98">
        <v>45352</v>
      </c>
      <c r="D18" s="21" t="s">
        <v>4763</v>
      </c>
      <c r="E18" s="86">
        <v>0.1</v>
      </c>
      <c r="F18" s="99">
        <v>0.64374999999999993</v>
      </c>
      <c r="G18" s="99">
        <v>0.6479166666666667</v>
      </c>
      <c r="H18" s="21" t="s">
        <v>4764</v>
      </c>
      <c r="I18" s="86">
        <v>20065447</v>
      </c>
      <c r="J18" s="21" t="s">
        <v>2714</v>
      </c>
      <c r="K18" s="5" t="str">
        <f>IF(AND(LEN(H18)=0, LEN(I18)=0), "", IF(AND(LEN(H18)&gt;0, LEN(I18)=0), "BLANCO", IFERROR(VLOOKUP(I18, BasedatosM9!A:B, 2, FALSE), "BLANCO")))</f>
        <v>Victor David Burbano</v>
      </c>
      <c r="M18" s="5" t="str">
        <f ca="1">IFERROR(__xludf.DUMMYFUNCTION("""COMPUTED_VALUE"""),"TURNO C")</f>
        <v>TURNO C</v>
      </c>
      <c r="N18" s="5">
        <f ca="1">IFERROR(__xludf.DUMMYFUNCTION("""COMPUTED_VALUE"""),23901142)</f>
        <v>23901142</v>
      </c>
      <c r="O18" s="14">
        <f ca="1">IFERROR(__xludf.DUMMYFUNCTION("""COMPUTED_VALUE"""),45353)</f>
        <v>45353</v>
      </c>
      <c r="P18" s="5" t="str">
        <f ca="1">IFERROR(__xludf.DUMMYFUNCTION("""COMPUTED_VALUE"""),"Botella mal posicionada")</f>
        <v>Botella mal posicionada</v>
      </c>
      <c r="Q18" s="5">
        <f ca="1">IFERROR(__xludf.DUMMYFUNCTION("""COMPUTED_VALUE"""),0.25)</f>
        <v>0.25</v>
      </c>
      <c r="R18" s="15">
        <f ca="1">IFERROR(__xludf.DUMMYFUNCTION("""COMPUTED_VALUE"""),0.0347222222222222)</f>
        <v>3.4722222222222203E-2</v>
      </c>
      <c r="S18" s="15">
        <f ca="1">IFERROR(__xludf.DUMMYFUNCTION("""COMPUTED_VALUE"""),0.0451388888888888)</f>
        <v>4.5138888888888798E-2</v>
      </c>
      <c r="T18" s="5" t="str">
        <f ca="1">IFERROR(__xludf.DUMMYFUNCTION("""COMPUTED_VALUE"""),"LINE 1")</f>
        <v>LINE 1</v>
      </c>
      <c r="U18" s="5">
        <f ca="1">IFERROR(__xludf.DUMMYFUNCTION("""COMPUTED_VALUE"""),20009721)</f>
        <v>20009721</v>
      </c>
      <c r="V18" s="5" t="str">
        <f ca="1">IFERROR(__xludf.DUMMYFUNCTION("""COMPUTED_VALUE"""),"ETIQUETADORA ENVOLVENTE")</f>
        <v>ETIQUETADORA ENVOLVENTE</v>
      </c>
      <c r="W18" s="5" t="str">
        <f ca="1">IF(AND(LEN(T18)=0, LEN(U18)=0), "", IF(AND(LEN(T18)&gt;0, LEN(U18)=0), "BLANCO", IFERROR(VLOOKUP(U18, BasedatosM9!A:B, 2, FALSE), "BLANCO")))</f>
        <v>Alejandro Davila</v>
      </c>
      <c r="X18" s="96"/>
      <c r="Y18" s="5" t="str">
        <f ca="1">IFERROR(__xludf.DUMMYFUNCTION("""COMPUTED_VALUE"""),"TURNO B")</f>
        <v>TURNO B</v>
      </c>
      <c r="Z18" s="5">
        <f ca="1">IFERROR(__xludf.DUMMYFUNCTION("""COMPUTED_VALUE"""),23902706)</f>
        <v>23902706</v>
      </c>
      <c r="AA18" s="14">
        <f ca="1">IFERROR(__xludf.DUMMYFUNCTION("""COMPUTED_VALUE"""),45355)</f>
        <v>45355</v>
      </c>
      <c r="AB18" s="5" t="str">
        <f ca="1">IFERROR(__xludf.DUMMYFUNCTION("""COMPUTED_VALUE"""),"Transportador de botella llenas")</f>
        <v>Transportador de botella llenas</v>
      </c>
      <c r="AC18" s="5">
        <f ca="1">IFERROR(__xludf.DUMMYFUNCTION("""COMPUTED_VALUE"""),0.2)</f>
        <v>0.2</v>
      </c>
      <c r="AD18" s="15">
        <f ca="1">IFERROR(__xludf.DUMMYFUNCTION("""COMPUTED_VALUE"""),0.6875)</f>
        <v>0.6875</v>
      </c>
      <c r="AE18" s="15">
        <f ca="1">IFERROR(__xludf.DUMMYFUNCTION("""COMPUTED_VALUE"""),0.695833333333333)</f>
        <v>0.69583333333333297</v>
      </c>
      <c r="AF18" s="5" t="str">
        <f ca="1">IFERROR(__xludf.DUMMYFUNCTION("""COMPUTED_VALUE"""),"LINE 8")</f>
        <v>LINE 8</v>
      </c>
      <c r="AG18" s="5">
        <f ca="1">IFERROR(__xludf.DUMMYFUNCTION("""COMPUTED_VALUE"""),20009758)</f>
        <v>20009758</v>
      </c>
      <c r="AH18" s="5" t="str">
        <f ca="1">IFERROR(__xludf.DUMMYFUNCTION("""COMPUTED_VALUE"""),"TRANSPORTADORES DE BOTELLAS LLENAS")</f>
        <v>TRANSPORTADORES DE BOTELLAS LLENAS</v>
      </c>
      <c r="AI18" s="5" t="str">
        <f ca="1">IF(AND(LEN(AF18)=0, LEN(AG18)=0), "", IF(AND(LEN(AF18)&gt;0, LEN(AG18)=0), "BLANCO", IFERROR(VLOOKUP(AG18, BasedatosM9!A:B, 2, FALSE), "BLANCO")))</f>
        <v>Franco Castillo Brayan Steven</v>
      </c>
      <c r="AK18" s="5" t="str">
        <f ca="1">IFERROR(__xludf.DUMMYFUNCTION("""COMPUTED_VALUE"""),"TURNO C")</f>
        <v>TURNO C</v>
      </c>
      <c r="AL18" s="5">
        <f ca="1">IFERROR(__xludf.DUMMYFUNCTION("""COMPUTED_VALUE"""),23901532)</f>
        <v>23901532</v>
      </c>
      <c r="AM18" s="14">
        <f ca="1">IFERROR(__xludf.DUMMYFUNCTION("""COMPUTED_VALUE"""),45354)</f>
        <v>45354</v>
      </c>
      <c r="AN18" s="5" t="str">
        <f ca="1">IFERROR(__xludf.DUMMYFUNCTION("""COMPUTED_VALUE"""),"Encolamiento por ausencia botella")</f>
        <v>Encolamiento por ausencia botella</v>
      </c>
      <c r="AO18" s="5">
        <f ca="1">IFERROR(__xludf.DUMMYFUNCTION("""COMPUTED_VALUE"""),0.13)</f>
        <v>0.13</v>
      </c>
      <c r="AP18" s="15">
        <f ca="1">IFERROR(__xludf.DUMMYFUNCTION("""COMPUTED_VALUE"""),0.982638888888888)</f>
        <v>0.98263888888888795</v>
      </c>
      <c r="AQ18" s="15">
        <f ca="1">IFERROR(__xludf.DUMMYFUNCTION("""COMPUTED_VALUE"""),0.988194444444444)</f>
        <v>0.98819444444444404</v>
      </c>
      <c r="AR18" s="5" t="str">
        <f ca="1">IFERROR(__xludf.DUMMYFUNCTION("""COMPUTED_VALUE"""),"LINE 10")</f>
        <v>LINE 10</v>
      </c>
      <c r="AS18" s="5">
        <f ca="1">IFERROR(__xludf.DUMMYFUNCTION("""COMPUTED_VALUE"""),20043570)</f>
        <v>20043570</v>
      </c>
      <c r="AT18" s="5" t="str">
        <f ca="1">IFERROR(__xludf.DUMMYFUNCTION("""COMPUTED_VALUE"""),"ETIQUETADORA ENVOLVENTE")</f>
        <v>ETIQUETADORA ENVOLVENTE</v>
      </c>
      <c r="AU18" s="5" t="str">
        <f ca="1">IF(AND(LEN(AR18)=0, LEN(AS18)=0), "", IF(AND(LEN(AR18)&gt;0, LEN(AS18)=0), "BLANCO", IFERROR(VLOOKUP(AS18, BasedatosM9!A:B, 2, FALSE), "BLANCO")))</f>
        <v>Jhon Navas</v>
      </c>
    </row>
    <row r="19" spans="1:47" ht="14.4">
      <c r="A19" s="21" t="s">
        <v>4757</v>
      </c>
      <c r="B19" s="86">
        <v>23899442</v>
      </c>
      <c r="C19" s="98">
        <v>45352</v>
      </c>
      <c r="D19" s="21" t="s">
        <v>4765</v>
      </c>
      <c r="E19" s="86">
        <v>0.33</v>
      </c>
      <c r="F19" s="99">
        <v>0.58333333333333337</v>
      </c>
      <c r="G19" s="99">
        <v>0.59722222222222221</v>
      </c>
      <c r="H19" s="21" t="s">
        <v>4551</v>
      </c>
      <c r="I19" s="86">
        <v>20020754</v>
      </c>
      <c r="J19" s="21" t="s">
        <v>79</v>
      </c>
      <c r="K19" s="5" t="str">
        <f>IF(AND(LEN(H19)=0, LEN(I19)=0), "", IF(AND(LEN(H19)&gt;0, LEN(I19)=0), "BLANCO", IFERROR(VLOOKUP(I19, BasedatosM9!A:B, 2, FALSE), "BLANCO")))</f>
        <v>Sanchez Rodriguez Gerson Andres</v>
      </c>
      <c r="M19" s="5" t="str">
        <f ca="1">IFERROR(__xludf.DUMMYFUNCTION("""COMPUTED_VALUE"""),"TURNO C")</f>
        <v>TURNO C</v>
      </c>
      <c r="N19" s="5">
        <f ca="1">IFERROR(__xludf.DUMMYFUNCTION("""COMPUTED_VALUE"""),23901144)</f>
        <v>23901144</v>
      </c>
      <c r="O19" s="14">
        <f ca="1">IFERROR(__xludf.DUMMYFUNCTION("""COMPUTED_VALUE"""),45353)</f>
        <v>45353</v>
      </c>
      <c r="P19" s="5" t="str">
        <f ca="1">IFERROR(__xludf.DUMMYFUNCTION("""COMPUTED_VALUE"""),"Atascamiento botellas")</f>
        <v>Atascamiento botellas</v>
      </c>
      <c r="Q19" s="5">
        <f ca="1">IFERROR(__xludf.DUMMYFUNCTION("""COMPUTED_VALUE"""),0.1)</f>
        <v>0.1</v>
      </c>
      <c r="R19" s="15">
        <f ca="1">IFERROR(__xludf.DUMMYFUNCTION("""COMPUTED_VALUE"""),0.05625)</f>
        <v>5.6250000000000001E-2</v>
      </c>
      <c r="S19" s="15">
        <f ca="1">IFERROR(__xludf.DUMMYFUNCTION("""COMPUTED_VALUE"""),0.0604166666666666)</f>
        <v>6.0416666666666598E-2</v>
      </c>
      <c r="T19" s="5" t="str">
        <f ca="1">IFERROR(__xludf.DUMMYFUNCTION("""COMPUTED_VALUE"""),"LINE 1")</f>
        <v>LINE 1</v>
      </c>
      <c r="U19" s="5">
        <f ca="1">IFERROR(__xludf.DUMMYFUNCTION("""COMPUTED_VALUE"""),20009721)</f>
        <v>20009721</v>
      </c>
      <c r="V19" s="5" t="str">
        <f ca="1">IFERROR(__xludf.DUMMYFUNCTION("""COMPUTED_VALUE"""),"TRANSPORTADORES DE ENVASE VACIO")</f>
        <v>TRANSPORTADORES DE ENVASE VACIO</v>
      </c>
      <c r="W19" s="5" t="str">
        <f ca="1">IF(AND(LEN(T19)=0, LEN(U19)=0), "", IF(AND(LEN(T19)&gt;0, LEN(U19)=0), "BLANCO", IFERROR(VLOOKUP(U19, BasedatosM9!A:B, 2, FALSE), "BLANCO")))</f>
        <v>Alejandro Davila</v>
      </c>
      <c r="Y19" s="5" t="str">
        <f ca="1">IFERROR(__xludf.DUMMYFUNCTION("""COMPUTED_VALUE"""),"TURNO C")</f>
        <v>TURNO C</v>
      </c>
      <c r="Z19" s="5">
        <f ca="1">IFERROR(__xludf.DUMMYFUNCTION("""COMPUTED_VALUE"""),23903302)</f>
        <v>23903302</v>
      </c>
      <c r="AA19" s="14">
        <f ca="1">IFERROR(__xludf.DUMMYFUNCTION("""COMPUTED_VALUE"""),45355)</f>
        <v>45355</v>
      </c>
      <c r="AB19" s="5" t="str">
        <f ca="1">IFERROR(__xludf.DUMMYFUNCTION("""COMPUTED_VALUE"""),"Estrellamiento de botellas")</f>
        <v>Estrellamiento de botellas</v>
      </c>
      <c r="AC19" s="5">
        <f ca="1">IFERROR(__xludf.DUMMYFUNCTION("""COMPUTED_VALUE"""),0.2)</f>
        <v>0.2</v>
      </c>
      <c r="AD19" s="15">
        <f ca="1">IFERROR(__xludf.DUMMYFUNCTION("""COMPUTED_VALUE"""),0.920138888888888)</f>
        <v>0.92013888888888795</v>
      </c>
      <c r="AE19" s="15">
        <f ca="1">IFERROR(__xludf.DUMMYFUNCTION("""COMPUTED_VALUE"""),0.928472222222222)</f>
        <v>0.92847222222222203</v>
      </c>
      <c r="AF19" s="5" t="str">
        <f ca="1">IFERROR(__xludf.DUMMYFUNCTION("""COMPUTED_VALUE"""),"LINE 8")</f>
        <v>LINE 8</v>
      </c>
      <c r="AG19" s="5">
        <f ca="1">IFERROR(__xludf.DUMMYFUNCTION("""COMPUTED_VALUE"""),20010206)</f>
        <v>20010206</v>
      </c>
      <c r="AH19" s="5" t="str">
        <f ca="1">IFERROR(__xludf.DUMMYFUNCTION("""COMPUTED_VALUE"""),"ESTERILIZADOR DE TAPAS")</f>
        <v>ESTERILIZADOR DE TAPAS</v>
      </c>
      <c r="AI19" s="5" t="str">
        <f ca="1">IF(AND(LEN(AF19)=0, LEN(AG19)=0), "", IF(AND(LEN(AF19)&gt;0, LEN(AG19)=0), "BLANCO", IFERROR(VLOOKUP(AG19, BasedatosM9!A:B, 2, FALSE), "BLANCO")))</f>
        <v>Vanegas Guependo Hermes</v>
      </c>
      <c r="AK19" s="5" t="str">
        <f ca="1">IFERROR(__xludf.DUMMYFUNCTION("""COMPUTED_VALUE"""),"TURNO A")</f>
        <v>TURNO A</v>
      </c>
      <c r="AL19" s="5">
        <f ca="1">IFERROR(__xludf.DUMMYFUNCTION("""COMPUTED_VALUE"""),23901939)</f>
        <v>23901939</v>
      </c>
      <c r="AM19" s="14">
        <f ca="1">IFERROR(__xludf.DUMMYFUNCTION("""COMPUTED_VALUE"""),45355)</f>
        <v>45355</v>
      </c>
      <c r="AN19" s="5" t="str">
        <f ca="1">IFERROR(__xludf.DUMMYFUNCTION("""COMPUTED_VALUE"""),"Falla en el dosificador de nitrógeno")</f>
        <v>Falla en el dosificador de nitrógeno</v>
      </c>
      <c r="AO19" s="5">
        <f ca="1">IFERROR(__xludf.DUMMYFUNCTION("""COMPUTED_VALUE"""),0.9)</f>
        <v>0.9</v>
      </c>
      <c r="AP19" s="15">
        <f ca="1">IFERROR(__xludf.DUMMYFUNCTION("""COMPUTED_VALUE"""),0.229166666666666)</f>
        <v>0.22916666666666599</v>
      </c>
      <c r="AQ19" s="15">
        <f ca="1">IFERROR(__xludf.DUMMYFUNCTION("""COMPUTED_VALUE"""),0.266666666666666)</f>
        <v>0.266666666666666</v>
      </c>
      <c r="AR19" s="5" t="str">
        <f ca="1">IFERROR(__xludf.DUMMYFUNCTION("""COMPUTED_VALUE"""),"LINE 10")</f>
        <v>LINE 10</v>
      </c>
      <c r="AS19" s="5"/>
      <c r="AT19" s="5" t="str">
        <f ca="1">IFERROR(__xludf.DUMMYFUNCTION("""COMPUTED_VALUE"""),"FALLA DOSIFICADOR NITROGENO")</f>
        <v>FALLA DOSIFICADOR NITROGENO</v>
      </c>
      <c r="AU19" s="5" t="str">
        <f ca="1">IF(AND(LEN(AR19)=0, LEN(AS19)=0), "", IF(AND(LEN(AR19)&gt;0, LEN(AS19)=0), "BLANCO", IFERROR(VLOOKUP(AS19, BasedatosM9!A:B, 2, FALSE), "BLANCO")))</f>
        <v>BLANCO</v>
      </c>
    </row>
    <row r="20" spans="1:47" ht="14.4">
      <c r="A20" s="21" t="s">
        <v>4757</v>
      </c>
      <c r="B20" s="86">
        <v>23899444</v>
      </c>
      <c r="C20" s="98">
        <v>45352</v>
      </c>
      <c r="D20" s="21" t="s">
        <v>4766</v>
      </c>
      <c r="E20" s="86">
        <v>0.13</v>
      </c>
      <c r="F20" s="99">
        <v>0.85416666666666663</v>
      </c>
      <c r="G20" s="99">
        <v>0.85972222222222217</v>
      </c>
      <c r="H20" s="21" t="s">
        <v>4551</v>
      </c>
      <c r="I20" s="21"/>
      <c r="J20" s="21" t="s">
        <v>4750</v>
      </c>
      <c r="K20" s="5" t="str">
        <f>IF(AND(LEN(H20)=0, LEN(I20)=0), "", IF(AND(LEN(H20)&gt;0, LEN(I20)=0), "BLANCO", IFERROR(VLOOKUP(I20, BasedatosM9!A:B, 2, FALSE), "BLANCO")))</f>
        <v>BLANCO</v>
      </c>
      <c r="M20" s="5" t="str">
        <f ca="1">IFERROR(__xludf.DUMMYFUNCTION("""COMPUTED_VALUE"""),"TURNO C")</f>
        <v>TURNO C</v>
      </c>
      <c r="N20" s="5">
        <f ca="1">IFERROR(__xludf.DUMMYFUNCTION("""COMPUTED_VALUE"""),23901145)</f>
        <v>23901145</v>
      </c>
      <c r="O20" s="14">
        <f ca="1">IFERROR(__xludf.DUMMYFUNCTION("""COMPUTED_VALUE"""),45353)</f>
        <v>45353</v>
      </c>
      <c r="P20" s="5" t="str">
        <f ca="1">IFERROR(__xludf.DUMMYFUNCTION("""COMPUTED_VALUE"""),"Paquetes volteados en mesa de agrupacion")</f>
        <v>Paquetes volteados en mesa de agrupacion</v>
      </c>
      <c r="Q20" s="5">
        <f ca="1">IFERROR(__xludf.DUMMYFUNCTION("""COMPUTED_VALUE"""),0.17)</f>
        <v>0.17</v>
      </c>
      <c r="R20" s="15">
        <f ca="1">IFERROR(__xludf.DUMMYFUNCTION("""COMPUTED_VALUE"""),0.0694444444444444)</f>
        <v>6.9444444444444406E-2</v>
      </c>
      <c r="S20" s="15">
        <f ca="1">IFERROR(__xludf.DUMMYFUNCTION("""COMPUTED_VALUE"""),0.0763888888888889)</f>
        <v>7.6388888888888895E-2</v>
      </c>
      <c r="T20" s="5" t="str">
        <f ca="1">IFERROR(__xludf.DUMMYFUNCTION("""COMPUTED_VALUE"""),"LINE 1")</f>
        <v>LINE 1</v>
      </c>
      <c r="U20" s="5">
        <f ca="1">IFERROR(__xludf.DUMMYFUNCTION("""COMPUTED_VALUE"""),20084469)</f>
        <v>20084469</v>
      </c>
      <c r="V20" s="5" t="str">
        <f ca="1">IFERROR(__xludf.DUMMYFUNCTION("""COMPUTED_VALUE"""),"PALETIZADORA")</f>
        <v>PALETIZADORA</v>
      </c>
      <c r="W20" s="5" t="str">
        <f ca="1">IF(AND(LEN(T20)=0, LEN(U20)=0), "", IF(AND(LEN(T20)&gt;0, LEN(U20)=0), "BLANCO", IFERROR(VLOOKUP(U20, BasedatosM9!A:B, 2, FALSE), "BLANCO")))</f>
        <v>Mauricio Murillo Arrollo</v>
      </c>
      <c r="Y20" s="5" t="str">
        <f ca="1">IFERROR(__xludf.DUMMYFUNCTION("""COMPUTED_VALUE"""),"TURNO C")</f>
        <v>TURNO C</v>
      </c>
      <c r="Z20" s="5">
        <f ca="1">IFERROR(__xludf.DUMMYFUNCTION("""COMPUTED_VALUE"""),23903307)</f>
        <v>23903307</v>
      </c>
      <c r="AA20" s="14">
        <f ca="1">IFERROR(__xludf.DUMMYFUNCTION("""COMPUTED_VALUE"""),45355)</f>
        <v>45355</v>
      </c>
      <c r="AB20" s="5" t="str">
        <f ca="1">IFERROR(__xludf.DUMMYFUNCTION("""COMPUTED_VALUE"""),"Estrellamiento de botellas")</f>
        <v>Estrellamiento de botellas</v>
      </c>
      <c r="AC20" s="5">
        <f ca="1">IFERROR(__xludf.DUMMYFUNCTION("""COMPUTED_VALUE"""),0.25)</f>
        <v>0.25</v>
      </c>
      <c r="AD20" s="15">
        <f ca="1">IFERROR(__xludf.DUMMYFUNCTION("""COMPUTED_VALUE"""),0.0173611111111111)</f>
        <v>1.7361111111111101E-2</v>
      </c>
      <c r="AE20" s="15">
        <f ca="1">IFERROR(__xludf.DUMMYFUNCTION("""COMPUTED_VALUE"""),0.0277777777777777)</f>
        <v>2.77777777777777E-2</v>
      </c>
      <c r="AF20" s="5" t="str">
        <f ca="1">IFERROR(__xludf.DUMMYFUNCTION("""COMPUTED_VALUE"""),"LINE 8")</f>
        <v>LINE 8</v>
      </c>
      <c r="AG20" s="5">
        <f ca="1">IFERROR(__xludf.DUMMYFUNCTION("""COMPUTED_VALUE"""),20010206)</f>
        <v>20010206</v>
      </c>
      <c r="AH20" s="5" t="str">
        <f ca="1">IFERROR(__xludf.DUMMYFUNCTION("""COMPUTED_VALUE"""),"ESTERILIZADOR DE TAPAS")</f>
        <v>ESTERILIZADOR DE TAPAS</v>
      </c>
      <c r="AI20" s="5" t="str">
        <f ca="1">IF(AND(LEN(AF20)=0, LEN(AG20)=0), "", IF(AND(LEN(AF20)&gt;0, LEN(AG20)=0), "BLANCO", IFERROR(VLOOKUP(AG20, BasedatosM9!A:B, 2, FALSE), "BLANCO")))</f>
        <v>Vanegas Guependo Hermes</v>
      </c>
      <c r="AK20" s="5" t="str">
        <f ca="1">IFERROR(__xludf.DUMMYFUNCTION("""COMPUTED_VALUE"""),"TURNO B")</f>
        <v>TURNO B</v>
      </c>
      <c r="AL20" s="5">
        <f ca="1">IFERROR(__xludf.DUMMYFUNCTION("""COMPUTED_VALUE"""),23902038)</f>
        <v>23902038</v>
      </c>
      <c r="AM20" s="14">
        <f ca="1">IFERROR(__xludf.DUMMYFUNCTION("""COMPUTED_VALUE"""),45353)</f>
        <v>45353</v>
      </c>
      <c r="AN20" s="5" t="str">
        <f ca="1">IFERROR(__xludf.DUMMYFUNCTION("""COMPUTED_VALUE"""),"falla temperatura")</f>
        <v>falla temperatura</v>
      </c>
      <c r="AO20" s="5">
        <f ca="1">IFERROR(__xludf.DUMMYFUNCTION("""COMPUTED_VALUE"""),0.08)</f>
        <v>0.08</v>
      </c>
      <c r="AP20" s="15">
        <f ca="1">IFERROR(__xludf.DUMMYFUNCTION("""COMPUTED_VALUE"""),0.885416666666666)</f>
        <v>0.88541666666666596</v>
      </c>
      <c r="AQ20" s="15">
        <f ca="1">IFERROR(__xludf.DUMMYFUNCTION("""COMPUTED_VALUE"""),0.888888888888888)</f>
        <v>0.88888888888888795</v>
      </c>
      <c r="AR20" s="5" t="str">
        <f ca="1">IFERROR(__xludf.DUMMYFUNCTION("""COMPUTED_VALUE"""),"LINE 10")</f>
        <v>LINE 10</v>
      </c>
      <c r="AS20" s="5">
        <f ca="1">IFERROR(__xludf.DUMMYFUNCTION("""COMPUTED_VALUE"""),20053048)</f>
        <v>20053048</v>
      </c>
      <c r="AT20" s="5" t="str">
        <f ca="1">IFERROR(__xludf.DUMMYFUNCTION("""COMPUTED_VALUE"""),"ENFARDADORA")</f>
        <v>ENFARDADORA</v>
      </c>
      <c r="AU20" s="5" t="str">
        <f ca="1">IF(AND(LEN(AR20)=0, LEN(AS20)=0), "", IF(AND(LEN(AR20)&gt;0, LEN(AS20)=0), "BLANCO", IFERROR(VLOOKUP(AS20, BasedatosM9!A:B, 2, FALSE), "BLANCO")))</f>
        <v>Parra Ramos Hector</v>
      </c>
    </row>
    <row r="21" spans="1:47" ht="14.4">
      <c r="A21" s="21" t="s">
        <v>4767</v>
      </c>
      <c r="B21" s="86">
        <v>23899587</v>
      </c>
      <c r="C21" s="98">
        <v>45352</v>
      </c>
      <c r="D21" s="21" t="s">
        <v>4745</v>
      </c>
      <c r="E21" s="86">
        <v>0.13</v>
      </c>
      <c r="F21" s="99">
        <v>0.93055555555555547</v>
      </c>
      <c r="G21" s="99">
        <v>0.93611111111111101</v>
      </c>
      <c r="H21" s="21" t="s">
        <v>4551</v>
      </c>
      <c r="I21" s="86">
        <v>20009915</v>
      </c>
      <c r="J21" s="21" t="s">
        <v>1471</v>
      </c>
      <c r="K21" s="5" t="str">
        <f>IF(AND(LEN(H21)=0, LEN(I21)=0), "", IF(AND(LEN(H21)&gt;0, LEN(I21)=0), "BLANCO", IFERROR(VLOOKUP(I21, BasedatosM9!A:B, 2, FALSE), "BLANCO")))</f>
        <v>Lozano Delgado Fausto Andres</v>
      </c>
      <c r="M21" s="5" t="str">
        <f ca="1">IFERROR(__xludf.DUMMYFUNCTION("""COMPUTED_VALUE"""),"TURNO C")</f>
        <v>TURNO C</v>
      </c>
      <c r="N21" s="5">
        <f ca="1">IFERROR(__xludf.DUMMYFUNCTION("""COMPUTED_VALUE"""),23901147)</f>
        <v>23901147</v>
      </c>
      <c r="O21" s="14">
        <f ca="1">IFERROR(__xludf.DUMMYFUNCTION("""COMPUTED_VALUE"""),45353)</f>
        <v>45353</v>
      </c>
      <c r="P21" s="5" t="str">
        <f ca="1">IFERROR(__xludf.DUMMYFUNCTION("""COMPUTED_VALUE"""),"Atascamiento botella")</f>
        <v>Atascamiento botella</v>
      </c>
      <c r="Q21" s="5">
        <f ca="1">IFERROR(__xludf.DUMMYFUNCTION("""COMPUTED_VALUE"""),0.1)</f>
        <v>0.1</v>
      </c>
      <c r="R21" s="15">
        <f ca="1">IFERROR(__xludf.DUMMYFUNCTION("""COMPUTED_VALUE"""),0.0944444444444444)</f>
        <v>9.44444444444444E-2</v>
      </c>
      <c r="S21" s="15">
        <f ca="1">IFERROR(__xludf.DUMMYFUNCTION("""COMPUTED_VALUE"""),0.0986111111111111)</f>
        <v>9.8611111111111094E-2</v>
      </c>
      <c r="T21" s="5" t="str">
        <f ca="1">IFERROR(__xludf.DUMMYFUNCTION("""COMPUTED_VALUE"""),"LINE 1")</f>
        <v>LINE 1</v>
      </c>
      <c r="U21" s="5">
        <f ca="1">IFERROR(__xludf.DUMMYFUNCTION("""COMPUTED_VALUE"""),20009721)</f>
        <v>20009721</v>
      </c>
      <c r="V21" s="5" t="str">
        <f ca="1">IFERROR(__xludf.DUMMYFUNCTION("""COMPUTED_VALUE"""),"TRANSPORTADORES DE ENVASE VACIO")</f>
        <v>TRANSPORTADORES DE ENVASE VACIO</v>
      </c>
      <c r="W21" s="5" t="str">
        <f ca="1">IF(AND(LEN(T21)=0, LEN(U21)=0), "", IF(AND(LEN(T21)&gt;0, LEN(U21)=0), "BLANCO", IFERROR(VLOOKUP(U21, BasedatosM9!A:B, 2, FALSE), "BLANCO")))</f>
        <v>Alejandro Davila</v>
      </c>
      <c r="Y21" s="5" t="str">
        <f ca="1">IFERROR(__xludf.DUMMYFUNCTION("""COMPUTED_VALUE"""),"TURNO A")</f>
        <v>TURNO A</v>
      </c>
      <c r="Z21" s="5">
        <f ca="1">IFERROR(__xludf.DUMMYFUNCTION("""COMPUTED_VALUE"""),23904182)</f>
        <v>23904182</v>
      </c>
      <c r="AA21" s="14">
        <f ca="1">IFERROR(__xludf.DUMMYFUNCTION("""COMPUTED_VALUE"""),45356)</f>
        <v>45356</v>
      </c>
      <c r="AB21" s="5" t="str">
        <f ca="1">IFERROR(__xludf.DUMMYFUNCTION("""COMPUTED_VALUE"""),"Caída Botellas")</f>
        <v>Caída Botellas</v>
      </c>
      <c r="AC21" s="5">
        <f ca="1">IFERROR(__xludf.DUMMYFUNCTION("""COMPUTED_VALUE"""),0.23)</f>
        <v>0.23</v>
      </c>
      <c r="AD21" s="15">
        <f ca="1">IFERROR(__xludf.DUMMYFUNCTION("""COMPUTED_VALUE"""),0.3125)</f>
        <v>0.3125</v>
      </c>
      <c r="AE21" s="15">
        <f ca="1">IFERROR(__xludf.DUMMYFUNCTION("""COMPUTED_VALUE"""),0.322222222222222)</f>
        <v>0.32222222222222202</v>
      </c>
      <c r="AF21" s="5" t="str">
        <f ca="1">IFERROR(__xludf.DUMMYFUNCTION("""COMPUTED_VALUE"""),"LINE 8")</f>
        <v>LINE 8</v>
      </c>
      <c r="AG21" s="5"/>
      <c r="AH21" s="5" t="str">
        <f ca="1">IFERROR(__xludf.DUMMYFUNCTION("""COMPUTED_VALUE"""),"TRANSPORTADORES DE BOTELLAS LLENAS")</f>
        <v>TRANSPORTADORES DE BOTELLAS LLENAS</v>
      </c>
      <c r="AI21" s="5" t="str">
        <f ca="1">IF(AND(LEN(AF21)=0, LEN(AG21)=0), "", IF(AND(LEN(AF21)&gt;0, LEN(AG21)=0), "BLANCO", IFERROR(VLOOKUP(AG21, BasedatosM9!A:B, 2, FALSE), "BLANCO")))</f>
        <v>BLANCO</v>
      </c>
      <c r="AK21" s="5" t="str">
        <f ca="1">IFERROR(__xludf.DUMMYFUNCTION("""COMPUTED_VALUE"""),"TURNO A")</f>
        <v>TURNO A</v>
      </c>
      <c r="AL21" s="5">
        <f ca="1">IFERROR(__xludf.DUMMYFUNCTION("""COMPUTED_VALUE"""),23902320)</f>
        <v>23902320</v>
      </c>
      <c r="AM21" s="14">
        <f ca="1">IFERROR(__xludf.DUMMYFUNCTION("""COMPUTED_VALUE"""),45355)</f>
        <v>45355</v>
      </c>
      <c r="AN21" s="5" t="str">
        <f ca="1">IFERROR(__xludf.DUMMYFUNCTION("""COMPUTED_VALUE"""),"Perdida señal por sensores averiados")</f>
        <v>Perdida señal por sensores averiados</v>
      </c>
      <c r="AO21" s="5">
        <f ca="1">IFERROR(__xludf.DUMMYFUNCTION("""COMPUTED_VALUE"""),0.57)</f>
        <v>0.56999999999999995</v>
      </c>
      <c r="AP21" s="15">
        <f ca="1">IFERROR(__xludf.DUMMYFUNCTION("""COMPUTED_VALUE"""),0.291666666666666)</f>
        <v>0.29166666666666602</v>
      </c>
      <c r="AQ21" s="15">
        <f ca="1">IFERROR(__xludf.DUMMYFUNCTION("""COMPUTED_VALUE"""),0.315277777777777)</f>
        <v>0.31527777777777699</v>
      </c>
      <c r="AR21" s="5" t="str">
        <f ca="1">IFERROR(__xludf.DUMMYFUNCTION("""COMPUTED_VALUE"""),"LINE 10")</f>
        <v>LINE 10</v>
      </c>
      <c r="AS21" s="5"/>
      <c r="AT21" s="5" t="str">
        <f ca="1">IFERROR(__xludf.DUMMYFUNCTION("""COMPUTED_VALUE"""),"PALETIZADORA")</f>
        <v>PALETIZADORA</v>
      </c>
      <c r="AU21" s="5" t="str">
        <f ca="1">IF(AND(LEN(AR21)=0, LEN(AS21)=0), "", IF(AND(LEN(AR21)&gt;0, LEN(AS21)=0), "BLANCO", IFERROR(VLOOKUP(AS21, BasedatosM9!A:B, 2, FALSE), "BLANCO")))</f>
        <v>BLANCO</v>
      </c>
    </row>
    <row r="22" spans="1:47" ht="14.4">
      <c r="A22" s="21" t="s">
        <v>4767</v>
      </c>
      <c r="B22" s="86">
        <v>23899656</v>
      </c>
      <c r="C22" s="98">
        <v>45352</v>
      </c>
      <c r="D22" s="21" t="s">
        <v>4761</v>
      </c>
      <c r="E22" s="86">
        <v>0.08</v>
      </c>
      <c r="F22" s="99">
        <v>0.125</v>
      </c>
      <c r="G22" s="99">
        <v>0.12847222222222224</v>
      </c>
      <c r="H22" s="21" t="s">
        <v>4550</v>
      </c>
      <c r="I22" s="21"/>
      <c r="J22" s="21" t="s">
        <v>79</v>
      </c>
      <c r="K22" s="5" t="str">
        <f>IF(AND(LEN(H22)=0, LEN(I22)=0), "", IF(AND(LEN(H22)&gt;0, LEN(I22)=0), "BLANCO", IFERROR(VLOOKUP(I22, BasedatosM9!A:B, 2, FALSE), "BLANCO")))</f>
        <v>BLANCO</v>
      </c>
      <c r="M22" s="5" t="str">
        <f ca="1">IFERROR(__xludf.DUMMYFUNCTION("""COMPUTED_VALUE"""),"TURNO C")</f>
        <v>TURNO C</v>
      </c>
      <c r="N22" s="5">
        <f ca="1">IFERROR(__xludf.DUMMYFUNCTION("""COMPUTED_VALUE"""),23901148)</f>
        <v>23901148</v>
      </c>
      <c r="O22" s="14">
        <f ca="1">IFERROR(__xludf.DUMMYFUNCTION("""COMPUTED_VALUE"""),45353)</f>
        <v>45353</v>
      </c>
      <c r="P22" s="5" t="str">
        <f ca="1">IFERROR(__xludf.DUMMYFUNCTION("""COMPUTED_VALUE"""),"Botella mal posicionada")</f>
        <v>Botella mal posicionada</v>
      </c>
      <c r="Q22" s="5">
        <f ca="1">IFERROR(__xludf.DUMMYFUNCTION("""COMPUTED_VALUE"""),0.17)</f>
        <v>0.17</v>
      </c>
      <c r="R22" s="15">
        <f ca="1">IFERROR(__xludf.DUMMYFUNCTION("""COMPUTED_VALUE"""),0.109027777777777)</f>
        <v>0.109027777777777</v>
      </c>
      <c r="S22" s="15">
        <f ca="1">IFERROR(__xludf.DUMMYFUNCTION("""COMPUTED_VALUE"""),0.115972222222222)</f>
        <v>0.115972222222222</v>
      </c>
      <c r="T22" s="5" t="str">
        <f ca="1">IFERROR(__xludf.DUMMYFUNCTION("""COMPUTED_VALUE"""),"LINE 1")</f>
        <v>LINE 1</v>
      </c>
      <c r="U22" s="5">
        <f ca="1">IFERROR(__xludf.DUMMYFUNCTION("""COMPUTED_VALUE"""),20009721)</f>
        <v>20009721</v>
      </c>
      <c r="V22" s="5" t="str">
        <f ca="1">IFERROR(__xludf.DUMMYFUNCTION("""COMPUTED_VALUE"""),"ETIQUETADORA ENVOLVENTE")</f>
        <v>ETIQUETADORA ENVOLVENTE</v>
      </c>
      <c r="W22" s="5" t="str">
        <f ca="1">IF(AND(LEN(T22)=0, LEN(U22)=0), "", IF(AND(LEN(T22)&gt;0, LEN(U22)=0), "BLANCO", IFERROR(VLOOKUP(U22, BasedatosM9!A:B, 2, FALSE), "BLANCO")))</f>
        <v>Alejandro Davila</v>
      </c>
      <c r="Y22" s="5" t="str">
        <f ca="1">IFERROR(__xludf.DUMMYFUNCTION("""COMPUTED_VALUE"""),"TURNO A")</f>
        <v>TURNO A</v>
      </c>
      <c r="Z22" s="5">
        <f ca="1">IFERROR(__xludf.DUMMYFUNCTION("""COMPUTED_VALUE"""),23904183)</f>
        <v>23904183</v>
      </c>
      <c r="AA22" s="14">
        <f ca="1">IFERROR(__xludf.DUMMYFUNCTION("""COMPUTED_VALUE"""),45356)</f>
        <v>45356</v>
      </c>
      <c r="AB22" s="5" t="str">
        <f ca="1">IFERROR(__xludf.DUMMYFUNCTION("""COMPUTED_VALUE"""),"Caida de botellas")</f>
        <v>Caida de botellas</v>
      </c>
      <c r="AC22" s="5">
        <f ca="1">IFERROR(__xludf.DUMMYFUNCTION("""COMPUTED_VALUE"""),0.22)</f>
        <v>0.22</v>
      </c>
      <c r="AD22" s="15">
        <f ca="1">IFERROR(__xludf.DUMMYFUNCTION("""COMPUTED_VALUE"""),0.340277777777777)</f>
        <v>0.34027777777777701</v>
      </c>
      <c r="AE22" s="15">
        <f ca="1">IFERROR(__xludf.DUMMYFUNCTION("""COMPUTED_VALUE"""),0.349305555555555)</f>
        <v>0.34930555555555498</v>
      </c>
      <c r="AF22" s="5" t="str">
        <f ca="1">IFERROR(__xludf.DUMMYFUNCTION("""COMPUTED_VALUE"""),"LINE 8")</f>
        <v>LINE 8</v>
      </c>
      <c r="AG22" s="5"/>
      <c r="AH22" s="5" t="str">
        <f ca="1">IFERROR(__xludf.DUMMYFUNCTION("""COMPUTED_VALUE"""),"TRANSPORTADORES DE BOTELLAS LLENAS")</f>
        <v>TRANSPORTADORES DE BOTELLAS LLENAS</v>
      </c>
      <c r="AI22" s="5" t="str">
        <f ca="1">IF(AND(LEN(AF22)=0, LEN(AG22)=0), "", IF(AND(LEN(AF22)&gt;0, LEN(AG22)=0), "BLANCO", IFERROR(VLOOKUP(AG22, BasedatosM9!A:B, 2, FALSE), "BLANCO")))</f>
        <v>BLANCO</v>
      </c>
      <c r="AK22" s="5" t="str">
        <f ca="1">IFERROR(__xludf.DUMMYFUNCTION("""COMPUTED_VALUE"""),"TURNO A")</f>
        <v>TURNO A</v>
      </c>
      <c r="AL22" s="5">
        <f ca="1">IFERROR(__xludf.DUMMYFUNCTION("""COMPUTED_VALUE"""),23902321)</f>
        <v>23902321</v>
      </c>
      <c r="AM22" s="14">
        <f ca="1">IFERROR(__xludf.DUMMYFUNCTION("""COMPUTED_VALUE"""),45355)</f>
        <v>45355</v>
      </c>
      <c r="AN22" s="5" t="str">
        <f ca="1">IFERROR(__xludf.DUMMYFUNCTION("""COMPUTED_VALUE"""),"Falla en el dosificador de nitrógeno")</f>
        <v>Falla en el dosificador de nitrógeno</v>
      </c>
      <c r="AO22" s="5">
        <f ca="1">IFERROR(__xludf.DUMMYFUNCTION("""COMPUTED_VALUE"""),0.92)</f>
        <v>0.92</v>
      </c>
      <c r="AP22" s="15">
        <f ca="1">IFERROR(__xludf.DUMMYFUNCTION("""COMPUTED_VALUE"""),0.333333333333333)</f>
        <v>0.33333333333333298</v>
      </c>
      <c r="AQ22" s="15">
        <f ca="1">IFERROR(__xludf.DUMMYFUNCTION("""COMPUTED_VALUE"""),0.371527777777777)</f>
        <v>0.37152777777777701</v>
      </c>
      <c r="AR22" s="5" t="str">
        <f ca="1">IFERROR(__xludf.DUMMYFUNCTION("""COMPUTED_VALUE"""),"LINE 10")</f>
        <v>LINE 10</v>
      </c>
      <c r="AS22" s="5"/>
      <c r="AT22" s="5" t="str">
        <f ca="1">IFERROR(__xludf.DUMMYFUNCTION("""COMPUTED_VALUE"""),"FALLA DOSIFICADOR NITROGENO")</f>
        <v>FALLA DOSIFICADOR NITROGENO</v>
      </c>
      <c r="AU22" s="5" t="str">
        <f ca="1">IF(AND(LEN(AR22)=0, LEN(AS22)=0), "", IF(AND(LEN(AR22)&gt;0, LEN(AS22)=0), "BLANCO", IFERROR(VLOOKUP(AS22, BasedatosM9!A:B, 2, FALSE), "BLANCO")))</f>
        <v>BLANCO</v>
      </c>
    </row>
    <row r="23" spans="1:47" ht="14.4">
      <c r="A23" s="21" t="s">
        <v>4757</v>
      </c>
      <c r="B23" s="86">
        <v>23899696</v>
      </c>
      <c r="C23" s="98">
        <v>45352</v>
      </c>
      <c r="D23" s="21" t="s">
        <v>4768</v>
      </c>
      <c r="E23" s="86">
        <v>0.08</v>
      </c>
      <c r="F23" s="99">
        <v>0.60972222222222217</v>
      </c>
      <c r="G23" s="99">
        <v>0.61319444444444449</v>
      </c>
      <c r="H23" s="21" t="s">
        <v>4769</v>
      </c>
      <c r="I23" s="86">
        <v>20065447</v>
      </c>
      <c r="J23" s="21" t="s">
        <v>4770</v>
      </c>
      <c r="K23" s="5" t="str">
        <f>IF(AND(LEN(H23)=0, LEN(I23)=0), "", IF(AND(LEN(H23)&gt;0, LEN(I23)=0), "BLANCO", IFERROR(VLOOKUP(I23, BasedatosM9!A:B, 2, FALSE), "BLANCO")))</f>
        <v>Victor David Burbano</v>
      </c>
      <c r="M23" s="5" t="str">
        <f ca="1">IFERROR(__xludf.DUMMYFUNCTION("""COMPUTED_VALUE"""),"TURNO C")</f>
        <v>TURNO C</v>
      </c>
      <c r="N23" s="5">
        <f ca="1">IFERROR(__xludf.DUMMYFUNCTION("""COMPUTED_VALUE"""),23901190)</f>
        <v>23901190</v>
      </c>
      <c r="O23" s="14">
        <f ca="1">IFERROR(__xludf.DUMMYFUNCTION("""COMPUTED_VALUE"""),45353)</f>
        <v>45353</v>
      </c>
      <c r="P23" s="5" t="str">
        <f ca="1">IFERROR(__xludf.DUMMYFUNCTION("""COMPUTED_VALUE"""),"Ajuste de estrella de salida")</f>
        <v>Ajuste de estrella de salida</v>
      </c>
      <c r="Q23" s="5">
        <f ca="1">IFERROR(__xludf.DUMMYFUNCTION("""COMPUTED_VALUE"""),0.53)</f>
        <v>0.53</v>
      </c>
      <c r="R23" s="15">
        <f ca="1">IFERROR(__xludf.DUMMYFUNCTION("""COMPUTED_VALUE"""),0.131944444444444)</f>
        <v>0.131944444444444</v>
      </c>
      <c r="S23" s="15">
        <f ca="1">IFERROR(__xludf.DUMMYFUNCTION("""COMPUTED_VALUE"""),0.154166666666666)</f>
        <v>0.15416666666666601</v>
      </c>
      <c r="T23" s="5" t="str">
        <f ca="1">IFERROR(__xludf.DUMMYFUNCTION("""COMPUTED_VALUE"""),"LINE 1")</f>
        <v>LINE 1</v>
      </c>
      <c r="U23" s="5">
        <f ca="1">IFERROR(__xludf.DUMMYFUNCTION("""COMPUTED_VALUE"""),20009721)</f>
        <v>20009721</v>
      </c>
      <c r="V23" s="5" t="str">
        <f ca="1">IFERROR(__xludf.DUMMYFUNCTION("""COMPUTED_VALUE"""),"ETIQUETADORA ENVOLVENTE")</f>
        <v>ETIQUETADORA ENVOLVENTE</v>
      </c>
      <c r="W23" s="5" t="str">
        <f ca="1">IF(AND(LEN(T23)=0, LEN(U23)=0), "", IF(AND(LEN(T23)&gt;0, LEN(U23)=0), "BLANCO", IFERROR(VLOOKUP(U23, BasedatosM9!A:B, 2, FALSE), "BLANCO")))</f>
        <v>Alejandro Davila</v>
      </c>
      <c r="Y23" s="5" t="str">
        <f ca="1">IFERROR(__xludf.DUMMYFUNCTION("""COMPUTED_VALUE"""),"TURNO A")</f>
        <v>TURNO A</v>
      </c>
      <c r="Z23" s="5">
        <f ca="1">IFERROR(__xludf.DUMMYFUNCTION("""COMPUTED_VALUE"""),23904506)</f>
        <v>23904506</v>
      </c>
      <c r="AA23" s="14">
        <f ca="1">IFERROR(__xludf.DUMMYFUNCTION("""COMPUTED_VALUE"""),45356)</f>
        <v>45356</v>
      </c>
      <c r="AB23" s="5" t="str">
        <f ca="1">IFERROR(__xludf.DUMMYFUNCTION("""COMPUTED_VALUE"""),"Falla en bomba de cooler")</f>
        <v>Falla en bomba de cooler</v>
      </c>
      <c r="AC23" s="5">
        <f ca="1">IFERROR(__xludf.DUMMYFUNCTION("""COMPUTED_VALUE"""),1.1)</f>
        <v>1.1000000000000001</v>
      </c>
      <c r="AD23" s="15">
        <f ca="1">IFERROR(__xludf.DUMMYFUNCTION("""COMPUTED_VALUE"""),0.508333333333333)</f>
        <v>0.50833333333333297</v>
      </c>
      <c r="AE23" s="15">
        <f ca="1">IFERROR(__xludf.DUMMYFUNCTION("""COMPUTED_VALUE"""),0.554166666666666)</f>
        <v>0.55416666666666603</v>
      </c>
      <c r="AF23" s="5" t="str">
        <f ca="1">IFERROR(__xludf.DUMMYFUNCTION("""COMPUTED_VALUE"""),"LINE 8")</f>
        <v>LINE 8</v>
      </c>
      <c r="AG23" s="5"/>
      <c r="AH23" s="5" t="str">
        <f ca="1">IFERROR(__xludf.DUMMYFUNCTION("""COMPUTED_VALUE"""),"COOLER")</f>
        <v>COOLER</v>
      </c>
      <c r="AI23" s="5" t="str">
        <f ca="1">IF(AND(LEN(AF23)=0, LEN(AG23)=0), "", IF(AND(LEN(AF23)&gt;0, LEN(AG23)=0), "BLANCO", IFERROR(VLOOKUP(AG23, BasedatosM9!A:B, 2, FALSE), "BLANCO")))</f>
        <v>BLANCO</v>
      </c>
      <c r="AK23" s="5" t="str">
        <f ca="1">IFERROR(__xludf.DUMMYFUNCTION("""COMPUTED_VALUE"""),"TURNO A")</f>
        <v>TURNO A</v>
      </c>
      <c r="AL23" s="5">
        <f ca="1">IFERROR(__xludf.DUMMYFUNCTION("""COMPUTED_VALUE"""),23902493)</f>
        <v>23902493</v>
      </c>
      <c r="AM23" s="14">
        <f ca="1">IFERROR(__xludf.DUMMYFUNCTION("""COMPUTED_VALUE"""),45355)</f>
        <v>45355</v>
      </c>
      <c r="AN23" s="5" t="str">
        <f ca="1">IFERROR(__xludf.DUMMYFUNCTION("""COMPUTED_VALUE"""),"Falla sumistro de energia")</f>
        <v>Falla sumistro de energia</v>
      </c>
      <c r="AO23" s="5">
        <f ca="1">IFERROR(__xludf.DUMMYFUNCTION("""COMPUTED_VALUE"""),0.23)</f>
        <v>0.23</v>
      </c>
      <c r="AP23" s="15">
        <f ca="1">IFERROR(__xludf.DUMMYFUNCTION("""COMPUTED_VALUE"""),0.511111111111111)</f>
        <v>0.51111111111111096</v>
      </c>
      <c r="AQ23" s="15">
        <f ca="1">IFERROR(__xludf.DUMMYFUNCTION("""COMPUTED_VALUE"""),0.520833333333333)</f>
        <v>0.52083333333333304</v>
      </c>
      <c r="AR23" s="5" t="str">
        <f ca="1">IFERROR(__xludf.DUMMYFUNCTION("""COMPUTED_VALUE"""),"LINE 10")</f>
        <v>LINE 10</v>
      </c>
      <c r="AS23" s="5"/>
      <c r="AT23" s="5" t="str">
        <f ca="1">IFERROR(__xludf.DUMMYFUNCTION("""COMPUTED_VALUE"""),"SUMINISTRO ENERGIA ELECTRICA")</f>
        <v>SUMINISTRO ENERGIA ELECTRICA</v>
      </c>
      <c r="AU23" s="5" t="str">
        <f ca="1">IF(AND(LEN(AR23)=0, LEN(AS23)=0), "", IF(AND(LEN(AR23)&gt;0, LEN(AS23)=0), "BLANCO", IFERROR(VLOOKUP(AS23, BasedatosM9!A:B, 2, FALSE), "BLANCO")))</f>
        <v>BLANCO</v>
      </c>
    </row>
    <row r="24" spans="1:47" ht="14.4">
      <c r="A24" s="21" t="s">
        <v>4767</v>
      </c>
      <c r="B24" s="86">
        <v>23899715</v>
      </c>
      <c r="C24" s="98">
        <v>45353</v>
      </c>
      <c r="D24" s="21" t="s">
        <v>4771</v>
      </c>
      <c r="E24" s="86">
        <v>0.17</v>
      </c>
      <c r="F24" s="99">
        <v>0.22222222222222221</v>
      </c>
      <c r="G24" s="99">
        <v>0.22916666666666666</v>
      </c>
      <c r="H24" s="21" t="s">
        <v>4549</v>
      </c>
      <c r="I24" s="86">
        <v>20009942</v>
      </c>
      <c r="J24" s="21" t="s">
        <v>1471</v>
      </c>
      <c r="K24" s="5" t="str">
        <f>IF(AND(LEN(H24)=0, LEN(I24)=0), "", IF(AND(LEN(H24)&gt;0, LEN(I24)=0), "BLANCO", IFERROR(VLOOKUP(I24, BasedatosM9!A:B, 2, FALSE), "BLANCO")))</f>
        <v>Osver Martinez</v>
      </c>
      <c r="M24" s="5" t="str">
        <f ca="1">IFERROR(__xludf.DUMMYFUNCTION("""COMPUTED_VALUE"""),"TURNO C")</f>
        <v>TURNO C</v>
      </c>
      <c r="N24" s="5">
        <f ca="1">IFERROR(__xludf.DUMMYFUNCTION("""COMPUTED_VALUE"""),23901213)</f>
        <v>23901213</v>
      </c>
      <c r="O24" s="14">
        <f ca="1">IFERROR(__xludf.DUMMYFUNCTION("""COMPUTED_VALUE"""),45353)</f>
        <v>45353</v>
      </c>
      <c r="P24" s="5" t="str">
        <f ca="1">IFERROR(__xludf.DUMMYFUNCTION("""COMPUTED_VALUE"""),"Atascamiento de estiba.")</f>
        <v>Atascamiento de estiba.</v>
      </c>
      <c r="Q24" s="5">
        <f ca="1">IFERROR(__xludf.DUMMYFUNCTION("""COMPUTED_VALUE"""),0.12)</f>
        <v>0.12</v>
      </c>
      <c r="R24" s="15">
        <f ca="1">IFERROR(__xludf.DUMMYFUNCTION("""COMPUTED_VALUE"""),0.176388888888888)</f>
        <v>0.17638888888888801</v>
      </c>
      <c r="S24" s="15">
        <f ca="1">IFERROR(__xludf.DUMMYFUNCTION("""COMPUTED_VALUE"""),0.18125)</f>
        <v>0.18124999999999999</v>
      </c>
      <c r="T24" s="5" t="str">
        <f ca="1">IFERROR(__xludf.DUMMYFUNCTION("""COMPUTED_VALUE"""),"LINE 1")</f>
        <v>LINE 1</v>
      </c>
      <c r="U24" s="5">
        <f ca="1">IFERROR(__xludf.DUMMYFUNCTION("""COMPUTED_VALUE"""),20084469)</f>
        <v>20084469</v>
      </c>
      <c r="V24" s="5" t="str">
        <f ca="1">IFERROR(__xludf.DUMMYFUNCTION("""COMPUTED_VALUE"""),"TRANSPORTADOR DE ESTIBAS")</f>
        <v>TRANSPORTADOR DE ESTIBAS</v>
      </c>
      <c r="W24" s="5" t="str">
        <f ca="1">IF(AND(LEN(T24)=0, LEN(U24)=0), "", IF(AND(LEN(T24)&gt;0, LEN(U24)=0), "BLANCO", IFERROR(VLOOKUP(U24, BasedatosM9!A:B, 2, FALSE), "BLANCO")))</f>
        <v>Mauricio Murillo Arrollo</v>
      </c>
      <c r="Y24" s="5" t="str">
        <f ca="1">IFERROR(__xludf.DUMMYFUNCTION("""COMPUTED_VALUE"""),"TURNO B")</f>
        <v>TURNO B</v>
      </c>
      <c r="Z24" s="5">
        <f ca="1">IFERROR(__xludf.DUMMYFUNCTION("""COMPUTED_VALUE"""),23904744)</f>
        <v>23904744</v>
      </c>
      <c r="AA24" s="14">
        <f ca="1">IFERROR(__xludf.DUMMYFUNCTION("""COMPUTED_VALUE"""),45356)</f>
        <v>45356</v>
      </c>
      <c r="AB24" s="5" t="str">
        <f ca="1">IFERROR(__xludf.DUMMYFUNCTION("""COMPUTED_VALUE"""),"Alimentador de preformas: atascamiento d")</f>
        <v>Alimentador de preformas: atascamiento d</v>
      </c>
      <c r="AC24" s="5">
        <f ca="1">IFERROR(__xludf.DUMMYFUNCTION("""COMPUTED_VALUE"""),0.1)</f>
        <v>0.1</v>
      </c>
      <c r="AD24" s="15">
        <f ca="1">IFERROR(__xludf.DUMMYFUNCTION("""COMPUTED_VALUE"""),0.652777777777777)</f>
        <v>0.65277777777777701</v>
      </c>
      <c r="AE24" s="15">
        <f ca="1">IFERROR(__xludf.DUMMYFUNCTION("""COMPUTED_VALUE"""),0.656944444444444)</f>
        <v>0.656944444444444</v>
      </c>
      <c r="AF24" s="5" t="str">
        <f ca="1">IFERROR(__xludf.DUMMYFUNCTION("""COMPUTED_VALUE"""),"LINE 8")</f>
        <v>LINE 8</v>
      </c>
      <c r="AG24" s="5"/>
      <c r="AH24" s="5" t="str">
        <f ca="1">IFERROR(__xludf.DUMMYFUNCTION("""COMPUTED_VALUE"""),"Alimentador de preformas")</f>
        <v>Alimentador de preformas</v>
      </c>
      <c r="AI24" s="5" t="str">
        <f ca="1">IF(AND(LEN(AF24)=0, LEN(AG24)=0), "", IF(AND(LEN(AF24)&gt;0, LEN(AG24)=0), "BLANCO", IFERROR(VLOOKUP(AG24, BasedatosM9!A:B, 2, FALSE), "BLANCO")))</f>
        <v>BLANCO</v>
      </c>
      <c r="AK24" s="5" t="str">
        <f ca="1">IFERROR(__xludf.DUMMYFUNCTION("""COMPUTED_VALUE"""),"TURNO A")</f>
        <v>TURNO A</v>
      </c>
      <c r="AL24" s="5">
        <f ca="1">IFERROR(__xludf.DUMMYFUNCTION("""COMPUTED_VALUE"""),23902495)</f>
        <v>23902495</v>
      </c>
      <c r="AM24" s="14">
        <f ca="1">IFERROR(__xludf.DUMMYFUNCTION("""COMPUTED_VALUE"""),45355)</f>
        <v>45355</v>
      </c>
      <c r="AN24" s="5" t="str">
        <f ca="1">IFERROR(__xludf.DUMMYFUNCTION("""COMPUTED_VALUE"""),"Encolamiento en agregado No. 1")</f>
        <v>Encolamiento en agregado No. 1</v>
      </c>
      <c r="AO24" s="5">
        <f ca="1">IFERROR(__xludf.DUMMYFUNCTION("""COMPUTED_VALUE"""),0.28)</f>
        <v>0.28000000000000003</v>
      </c>
      <c r="AP24" s="15">
        <f ca="1">IFERROR(__xludf.DUMMYFUNCTION("""COMPUTED_VALUE"""),0.520833333333333)</f>
        <v>0.52083333333333304</v>
      </c>
      <c r="AQ24" s="15">
        <f ca="1">IFERROR(__xludf.DUMMYFUNCTION("""COMPUTED_VALUE"""),0.532638888888888)</f>
        <v>0.532638888888888</v>
      </c>
      <c r="AR24" s="5" t="str">
        <f ca="1">IFERROR(__xludf.DUMMYFUNCTION("""COMPUTED_VALUE"""),"LINE 10")</f>
        <v>LINE 10</v>
      </c>
      <c r="AS24" s="5"/>
      <c r="AT24" s="5" t="str">
        <f ca="1">IFERROR(__xludf.DUMMYFUNCTION("""COMPUTED_VALUE"""),"ETIQUETADORA ENVOLVENTE")</f>
        <v>ETIQUETADORA ENVOLVENTE</v>
      </c>
      <c r="AU24" s="5" t="str">
        <f ca="1">IF(AND(LEN(AR24)=0, LEN(AS24)=0), "", IF(AND(LEN(AR24)&gt;0, LEN(AS24)=0), "BLANCO", IFERROR(VLOOKUP(AS24, BasedatosM9!A:B, 2, FALSE), "BLANCO")))</f>
        <v>BLANCO</v>
      </c>
    </row>
    <row r="25" spans="1:47" ht="14.4">
      <c r="A25" s="21" t="s">
        <v>4767</v>
      </c>
      <c r="B25" s="86">
        <v>23899723</v>
      </c>
      <c r="C25" s="98">
        <v>45352</v>
      </c>
      <c r="D25" s="21" t="s">
        <v>4772</v>
      </c>
      <c r="E25" s="86">
        <v>0.08</v>
      </c>
      <c r="F25" s="99">
        <v>4.8611111111111112E-2</v>
      </c>
      <c r="G25" s="99">
        <v>5.2083333333333336E-2</v>
      </c>
      <c r="H25" s="21" t="s">
        <v>4551</v>
      </c>
      <c r="I25" s="86">
        <v>20019987</v>
      </c>
      <c r="J25" s="21" t="s">
        <v>4773</v>
      </c>
      <c r="K25" s="5" t="str">
        <f>IF(AND(LEN(H25)=0, LEN(I25)=0), "", IF(AND(LEN(H25)&gt;0, LEN(I25)=0), "BLANCO", IFERROR(VLOOKUP(I25, BasedatosM9!A:B, 2, FALSE), "BLANCO")))</f>
        <v>Aguado Lemos Luis Eyder</v>
      </c>
      <c r="M25" s="5" t="str">
        <f ca="1">IFERROR(__xludf.DUMMYFUNCTION("""COMPUTED_VALUE"""),"TURNO C")</f>
        <v>TURNO C</v>
      </c>
      <c r="N25" s="5">
        <f ca="1">IFERROR(__xludf.DUMMYFUNCTION("""COMPUTED_VALUE"""),23901218)</f>
        <v>23901218</v>
      </c>
      <c r="O25" s="14">
        <f ca="1">IFERROR(__xludf.DUMMYFUNCTION("""COMPUTED_VALUE"""),45353)</f>
        <v>45353</v>
      </c>
      <c r="P25" s="5" t="str">
        <f ca="1">IFERROR(__xludf.DUMMYFUNCTION("""COMPUTED_VALUE"""),"Ausencia conteo paquetes")</f>
        <v>Ausencia conteo paquetes</v>
      </c>
      <c r="Q25" s="5">
        <f ca="1">IFERROR(__xludf.DUMMYFUNCTION("""COMPUTED_VALUE"""),0.17)</f>
        <v>0.17</v>
      </c>
      <c r="R25" s="15">
        <f ca="1">IFERROR(__xludf.DUMMYFUNCTION("""COMPUTED_VALUE"""),0.211805555555555)</f>
        <v>0.211805555555555</v>
      </c>
      <c r="S25" s="15">
        <f ca="1">IFERROR(__xludf.DUMMYFUNCTION("""COMPUTED_VALUE"""),0.21875)</f>
        <v>0.21875</v>
      </c>
      <c r="T25" s="5" t="str">
        <f ca="1">IFERROR(__xludf.DUMMYFUNCTION("""COMPUTED_VALUE"""),"LINE 1")</f>
        <v>LINE 1</v>
      </c>
      <c r="U25" s="5">
        <f ca="1">IFERROR(__xludf.DUMMYFUNCTION("""COMPUTED_VALUE"""),20084469)</f>
        <v>20084469</v>
      </c>
      <c r="V25" s="5" t="str">
        <f ca="1">IFERROR(__xludf.DUMMYFUNCTION("""COMPUTED_VALUE"""),"PALETIZADORA")</f>
        <v>PALETIZADORA</v>
      </c>
      <c r="W25" s="5" t="str">
        <f ca="1">IF(AND(LEN(T25)=0, LEN(U25)=0), "", IF(AND(LEN(T25)&gt;0, LEN(U25)=0), "BLANCO", IFERROR(VLOOKUP(U25, BasedatosM9!A:B, 2, FALSE), "BLANCO")))</f>
        <v>Mauricio Murillo Arrollo</v>
      </c>
      <c r="Y25" s="5" t="str">
        <f ca="1">IFERROR(__xludf.DUMMYFUNCTION("""COMPUTED_VALUE"""),"TURNO C")</f>
        <v>TURNO C</v>
      </c>
      <c r="Z25" s="5">
        <f ca="1">IFERROR(__xludf.DUMMYFUNCTION("""COMPUTED_VALUE"""),23905611)</f>
        <v>23905611</v>
      </c>
      <c r="AA25" s="14">
        <f ca="1">IFERROR(__xludf.DUMMYFUNCTION("""COMPUTED_VALUE"""),45356)</f>
        <v>45356</v>
      </c>
      <c r="AB25" s="5" t="str">
        <f ca="1">IFERROR(__xludf.DUMMYFUNCTION("""COMPUTED_VALUE"""),"Botellas con bajo contenido.")</f>
        <v>Botellas con bajo contenido.</v>
      </c>
      <c r="AC25" s="5">
        <f ca="1">IFERROR(__xludf.DUMMYFUNCTION("""COMPUTED_VALUE"""),2.98)</f>
        <v>2.98</v>
      </c>
      <c r="AD25" s="15">
        <f ca="1">IFERROR(__xludf.DUMMYFUNCTION("""COMPUTED_VALUE"""),0.0326388888888888)</f>
        <v>3.2638888888888801E-2</v>
      </c>
      <c r="AE25" s="15">
        <f ca="1">IFERROR(__xludf.DUMMYFUNCTION("""COMPUTED_VALUE"""),0.156944444444444)</f>
        <v>0.156944444444444</v>
      </c>
      <c r="AF25" s="5" t="str">
        <f ca="1">IFERROR(__xludf.DUMMYFUNCTION("""COMPUTED_VALUE"""),"LINE 8")</f>
        <v>LINE 8</v>
      </c>
      <c r="AG25" s="5">
        <f ca="1">IFERROR(__xludf.DUMMYFUNCTION("""COMPUTED_VALUE"""),20010206)</f>
        <v>20010206</v>
      </c>
      <c r="AH25" s="5" t="str">
        <f ca="1">IFERROR(__xludf.DUMMYFUNCTION("""COMPUTED_VALUE"""),"FALLA DE LLENADO")</f>
        <v>FALLA DE LLENADO</v>
      </c>
      <c r="AI25" s="5" t="str">
        <f ca="1">IF(AND(LEN(AF25)=0, LEN(AG25)=0), "", IF(AND(LEN(AF25)&gt;0, LEN(AG25)=0), "BLANCO", IFERROR(VLOOKUP(AG25, BasedatosM9!A:B, 2, FALSE), "BLANCO")))</f>
        <v>Vanegas Guependo Hermes</v>
      </c>
      <c r="AK25" s="5" t="str">
        <f ca="1">IFERROR(__xludf.DUMMYFUNCTION("""COMPUTED_VALUE"""),"TURNO A")</f>
        <v>TURNO A</v>
      </c>
      <c r="AL25" s="5">
        <f ca="1">IFERROR(__xludf.DUMMYFUNCTION("""COMPUTED_VALUE"""),23902496)</f>
        <v>23902496</v>
      </c>
      <c r="AM25" s="14">
        <f ca="1">IFERROR(__xludf.DUMMYFUNCTION("""COMPUTED_VALUE"""),45355)</f>
        <v>45355</v>
      </c>
      <c r="AN25" s="5" t="str">
        <f ca="1">IFERROR(__xludf.DUMMYFUNCTION("""COMPUTED_VALUE"""),"Falla en el dosificador de nitrógeno")</f>
        <v>Falla en el dosificador de nitrógeno</v>
      </c>
      <c r="AO25" s="5">
        <f ca="1">IFERROR(__xludf.DUMMYFUNCTION("""COMPUTED_VALUE"""),0.12)</f>
        <v>0.12</v>
      </c>
      <c r="AP25" s="15">
        <f ca="1">IFERROR(__xludf.DUMMYFUNCTION("""COMPUTED_VALUE"""),0.541666666666666)</f>
        <v>0.54166666666666596</v>
      </c>
      <c r="AQ25" s="15">
        <f ca="1">IFERROR(__xludf.DUMMYFUNCTION("""COMPUTED_VALUE"""),0.546527777777777)</f>
        <v>0.54652777777777695</v>
      </c>
      <c r="AR25" s="5" t="str">
        <f ca="1">IFERROR(__xludf.DUMMYFUNCTION("""COMPUTED_VALUE"""),"LINE 10")</f>
        <v>LINE 10</v>
      </c>
      <c r="AS25" s="5"/>
      <c r="AT25" s="5" t="str">
        <f ca="1">IFERROR(__xludf.DUMMYFUNCTION("""COMPUTED_VALUE"""),"FALLA DOSIFICADOR NITROGENO")</f>
        <v>FALLA DOSIFICADOR NITROGENO</v>
      </c>
      <c r="AU25" s="5" t="str">
        <f ca="1">IF(AND(LEN(AR25)=0, LEN(AS25)=0), "", IF(AND(LEN(AR25)&gt;0, LEN(AS25)=0), "BLANCO", IFERROR(VLOOKUP(AS25, BasedatosM9!A:B, 2, FALSE), "BLANCO")))</f>
        <v>BLANCO</v>
      </c>
    </row>
    <row r="26" spans="1:47" ht="14.4">
      <c r="A26" s="21" t="s">
        <v>4767</v>
      </c>
      <c r="B26" s="86">
        <v>23899725</v>
      </c>
      <c r="C26" s="98">
        <v>45352</v>
      </c>
      <c r="D26" s="21" t="s">
        <v>4774</v>
      </c>
      <c r="E26" s="86">
        <v>3.17</v>
      </c>
      <c r="F26" s="99">
        <v>5.5555555555555552E-2</v>
      </c>
      <c r="G26" s="99">
        <v>0.1875</v>
      </c>
      <c r="H26" s="21" t="s">
        <v>4551</v>
      </c>
      <c r="I26" s="86">
        <v>20027410</v>
      </c>
      <c r="J26" s="21" t="s">
        <v>2797</v>
      </c>
      <c r="K26" s="5" t="str">
        <f>IF(AND(LEN(H26)=0, LEN(I26)=0), "", IF(AND(LEN(H26)&gt;0, LEN(I26)=0), "BLANCO", IFERROR(VLOOKUP(I26, BasedatosM9!A:B, 2, FALSE), "BLANCO")))</f>
        <v>Astaiza Hernandez John Eyder</v>
      </c>
      <c r="M26" s="5" t="str">
        <f ca="1">IFERROR(__xludf.DUMMYFUNCTION("""COMPUTED_VALUE"""),"TURNO A")</f>
        <v>TURNO A</v>
      </c>
      <c r="N26" s="5">
        <f ca="1">IFERROR(__xludf.DUMMYFUNCTION("""COMPUTED_VALUE"""),23901231)</f>
        <v>23901231</v>
      </c>
      <c r="O26" s="14">
        <f ca="1">IFERROR(__xludf.DUMMYFUNCTION("""COMPUTED_VALUE"""),45354)</f>
        <v>45354</v>
      </c>
      <c r="P26" s="5" t="str">
        <f ca="1">IFERROR(__xludf.DUMMYFUNCTION("""COMPUTED_VALUE"""),"Paquetes volteados en mesa de agrupacion")</f>
        <v>Paquetes volteados en mesa de agrupacion</v>
      </c>
      <c r="Q26" s="5">
        <f ca="1">IFERROR(__xludf.DUMMYFUNCTION("""COMPUTED_VALUE"""),0.08)</f>
        <v>0.08</v>
      </c>
      <c r="R26" s="15">
        <f ca="1">IFERROR(__xludf.DUMMYFUNCTION("""COMPUTED_VALUE"""),0.298611111111111)</f>
        <v>0.29861111111111099</v>
      </c>
      <c r="S26" s="15">
        <f ca="1">IFERROR(__xludf.DUMMYFUNCTION("""COMPUTED_VALUE"""),0.302083333333333)</f>
        <v>0.30208333333333298</v>
      </c>
      <c r="T26" s="5" t="str">
        <f ca="1">IFERROR(__xludf.DUMMYFUNCTION("""COMPUTED_VALUE"""),"LINE 1")</f>
        <v>LINE 1</v>
      </c>
      <c r="U26" s="5">
        <f ca="1">IFERROR(__xludf.DUMMYFUNCTION("""COMPUTED_VALUE"""),20062740)</f>
        <v>20062740</v>
      </c>
      <c r="V26" s="5" t="str">
        <f ca="1">IFERROR(__xludf.DUMMYFUNCTION("""COMPUTED_VALUE"""),"PALETIZADORA")</f>
        <v>PALETIZADORA</v>
      </c>
      <c r="W26" s="5" t="str">
        <f ca="1">IF(AND(LEN(T26)=0, LEN(U26)=0), "", IF(AND(LEN(T26)&gt;0, LEN(U26)=0), "BLANCO", IFERROR(VLOOKUP(U26, BasedatosM9!A:B, 2, FALSE), "BLANCO")))</f>
        <v>Hector Toro</v>
      </c>
      <c r="Y26" s="5" t="str">
        <f ca="1">IFERROR(__xludf.DUMMYFUNCTION("""COMPUTED_VALUE"""),"TURNO A")</f>
        <v>TURNO A</v>
      </c>
      <c r="Z26" s="5">
        <f ca="1">IFERROR(__xludf.DUMMYFUNCTION("""COMPUTED_VALUE"""),23906778)</f>
        <v>23906778</v>
      </c>
      <c r="AA26" s="14">
        <f ca="1">IFERROR(__xludf.DUMMYFUNCTION("""COMPUTED_VALUE"""),45357)</f>
        <v>45357</v>
      </c>
      <c r="AB26" s="5" t="str">
        <f ca="1">IFERROR(__xludf.DUMMYFUNCTION("""COMPUTED_VALUE"""),"Fin de producción: Presion Vapor")</f>
        <v>Fin de producción: Presion Vapor</v>
      </c>
      <c r="AC26" s="5">
        <f ca="1">IFERROR(__xludf.DUMMYFUNCTION("""COMPUTED_VALUE"""),1.95)</f>
        <v>1.95</v>
      </c>
      <c r="AD26" s="15">
        <f ca="1">IFERROR(__xludf.DUMMYFUNCTION("""COMPUTED_VALUE"""),0.252083333333333)</f>
        <v>0.25208333333333299</v>
      </c>
      <c r="AE26" s="15">
        <f ca="1">IFERROR(__xludf.DUMMYFUNCTION("""COMPUTED_VALUE"""),0.333333333333333)</f>
        <v>0.33333333333333298</v>
      </c>
      <c r="AF26" s="5" t="str">
        <f ca="1">IFERROR(__xludf.DUMMYFUNCTION("""COMPUTED_VALUE"""),"LINE 8")</f>
        <v>LINE 8</v>
      </c>
      <c r="AG26" s="5"/>
      <c r="AH26" s="5" t="str">
        <f ca="1">IFERROR(__xludf.DUMMYFUNCTION("""COMPUTED_VALUE"""),"PASTEURIZADOR")</f>
        <v>PASTEURIZADOR</v>
      </c>
      <c r="AI26" s="5" t="str">
        <f ca="1">IF(AND(LEN(AF26)=0, LEN(AG26)=0), "", IF(AND(LEN(AF26)&gt;0, LEN(AG26)=0), "BLANCO", IFERROR(VLOOKUP(AG26, BasedatosM9!A:B, 2, FALSE), "BLANCO")))</f>
        <v>BLANCO</v>
      </c>
      <c r="AK26" s="5" t="str">
        <f ca="1">IFERROR(__xludf.DUMMYFUNCTION("""COMPUTED_VALUE"""),"TURNO B")</f>
        <v>TURNO B</v>
      </c>
      <c r="AL26" s="5">
        <f ca="1">IFERROR(__xludf.DUMMYFUNCTION("""COMPUTED_VALUE"""),23902855)</f>
        <v>23902855</v>
      </c>
      <c r="AM26" s="14">
        <f ca="1">IFERROR(__xludf.DUMMYFUNCTION("""COMPUTED_VALUE"""),45355)</f>
        <v>45355</v>
      </c>
      <c r="AN26" s="5" t="str">
        <f ca="1">IFERROR(__xludf.DUMMYFUNCTION("""COMPUTED_VALUE"""),"Refrigeración sopladora")</f>
        <v>Refrigeración sopladora</v>
      </c>
      <c r="AO26" s="5">
        <f ca="1">IFERROR(__xludf.DUMMYFUNCTION("""COMPUTED_VALUE"""),0.5)</f>
        <v>0.5</v>
      </c>
      <c r="AP26" s="15">
        <f ca="1">IFERROR(__xludf.DUMMYFUNCTION("""COMPUTED_VALUE"""),0.583333333333333)</f>
        <v>0.58333333333333304</v>
      </c>
      <c r="AQ26" s="15">
        <f ca="1">IFERROR(__xludf.DUMMYFUNCTION("""COMPUTED_VALUE"""),0.604166666666666)</f>
        <v>0.60416666666666596</v>
      </c>
      <c r="AR26" s="5" t="str">
        <f ca="1">IFERROR(__xludf.DUMMYFUNCTION("""COMPUTED_VALUE"""),"LINE 10")</f>
        <v>LINE 10</v>
      </c>
      <c r="AS26" s="5"/>
      <c r="AT26" s="5" t="str">
        <f ca="1">IFERROR(__xludf.DUMMYFUNCTION("""COMPUTED_VALUE"""),"SISTEMA DE REFRIGERACION COMPRESORES")</f>
        <v>SISTEMA DE REFRIGERACION COMPRESORES</v>
      </c>
      <c r="AU26" s="5" t="str">
        <f ca="1">IF(AND(LEN(AR26)=0, LEN(AS26)=0), "", IF(AND(LEN(AR26)&gt;0, LEN(AS26)=0), "BLANCO", IFERROR(VLOOKUP(AS26, BasedatosM9!A:B, 2, FALSE), "BLANCO")))</f>
        <v>BLANCO</v>
      </c>
    </row>
    <row r="27" spans="1:47" ht="14.4">
      <c r="A27" s="21" t="s">
        <v>4767</v>
      </c>
      <c r="B27" s="86">
        <v>23899732</v>
      </c>
      <c r="C27" s="98">
        <v>45352</v>
      </c>
      <c r="D27" s="21" t="s">
        <v>4768</v>
      </c>
      <c r="E27" s="86">
        <v>0.08</v>
      </c>
      <c r="F27" s="99">
        <v>9.375E-2</v>
      </c>
      <c r="G27" s="99">
        <v>9.7222222222222224E-2</v>
      </c>
      <c r="H27" s="21" t="s">
        <v>4775</v>
      </c>
      <c r="I27" s="86">
        <v>20009822</v>
      </c>
      <c r="J27" s="21" t="s">
        <v>4770</v>
      </c>
      <c r="K27" s="5" t="str">
        <f>IF(AND(LEN(H27)=0, LEN(I27)=0), "", IF(AND(LEN(H27)&gt;0, LEN(I27)=0), "BLANCO", IFERROR(VLOOKUP(I27, BasedatosM9!A:B, 2, FALSE), "BLANCO")))</f>
        <v>Guzman Palechor Miguel Angel</v>
      </c>
      <c r="M27" s="5" t="str">
        <f ca="1">IFERROR(__xludf.DUMMYFUNCTION("""COMPUTED_VALUE"""),"TURNO A")</f>
        <v>TURNO A</v>
      </c>
      <c r="N27" s="5">
        <f ca="1">IFERROR(__xludf.DUMMYFUNCTION("""COMPUTED_VALUE"""),23901232)</f>
        <v>23901232</v>
      </c>
      <c r="O27" s="14">
        <f ca="1">IFERROR(__xludf.DUMMYFUNCTION("""COMPUTED_VALUE"""),45354)</f>
        <v>45354</v>
      </c>
      <c r="P27" s="5" t="str">
        <f ca="1">IFERROR(__xludf.DUMMYFUNCTION("""COMPUTED_VALUE"""),"Caida botellas mesa de plegado")</f>
        <v>Caida botellas mesa de plegado</v>
      </c>
      <c r="Q27" s="5">
        <f ca="1">IFERROR(__xludf.DUMMYFUNCTION("""COMPUTED_VALUE"""),0.1)</f>
        <v>0.1</v>
      </c>
      <c r="R27" s="15">
        <f ca="1">IFERROR(__xludf.DUMMYFUNCTION("""COMPUTED_VALUE"""),0.302083333333333)</f>
        <v>0.30208333333333298</v>
      </c>
      <c r="S27" s="15">
        <f ca="1">IFERROR(__xludf.DUMMYFUNCTION("""COMPUTED_VALUE"""),0.306249999999999)</f>
        <v>0.30624999999999902</v>
      </c>
      <c r="T27" s="5" t="str">
        <f ca="1">IFERROR(__xludf.DUMMYFUNCTION("""COMPUTED_VALUE"""),"LINE 1")</f>
        <v>LINE 1</v>
      </c>
      <c r="U27" s="5">
        <f ca="1">IFERROR(__xludf.DUMMYFUNCTION("""COMPUTED_VALUE"""),20009879)</f>
        <v>20009879</v>
      </c>
      <c r="V27" s="5" t="str">
        <f ca="1">IFERROR(__xludf.DUMMYFUNCTION("""COMPUTED_VALUE"""),"ENFARDADORA")</f>
        <v>ENFARDADORA</v>
      </c>
      <c r="W27" s="5" t="str">
        <f ca="1">IF(AND(LEN(T27)=0, LEN(U27)=0), "", IF(AND(LEN(T27)&gt;0, LEN(U27)=0), "BLANCO", IFERROR(VLOOKUP(U27, BasedatosM9!A:B, 2, FALSE), "BLANCO")))</f>
        <v>Andres Leon</v>
      </c>
      <c r="Y27" s="5" t="str">
        <f ca="1">IFERROR(__xludf.DUMMYFUNCTION("""COMPUTED_VALUE"""),"TURNO B")</f>
        <v>TURNO B</v>
      </c>
      <c r="Z27" s="5">
        <f ca="1">IFERROR(__xludf.DUMMYFUNCTION("""COMPUTED_VALUE"""),23907460)</f>
        <v>23907460</v>
      </c>
      <c r="AA27" s="14">
        <f ca="1">IFERROR(__xludf.DUMMYFUNCTION("""COMPUTED_VALUE"""),45357)</f>
        <v>45357</v>
      </c>
      <c r="AB27" s="5" t="str">
        <f ca="1">IFERROR(__xludf.DUMMYFUNCTION("""COMPUTED_VALUE"""),"Etiquetadora: botella con traslape super")</f>
        <v>Etiquetadora: botella con traslape super</v>
      </c>
      <c r="AC27" s="5">
        <f ca="1">IFERROR(__xludf.DUMMYFUNCTION("""COMPUTED_VALUE"""),0.08)</f>
        <v>0.08</v>
      </c>
      <c r="AD27" s="15">
        <f ca="1">IFERROR(__xludf.DUMMYFUNCTION("""COMPUTED_VALUE"""),0.715277777777777)</f>
        <v>0.71527777777777701</v>
      </c>
      <c r="AE27" s="15">
        <f ca="1">IFERROR(__xludf.DUMMYFUNCTION("""COMPUTED_VALUE"""),0.71875)</f>
        <v>0.71875</v>
      </c>
      <c r="AF27" s="5" t="str">
        <f ca="1">IFERROR(__xludf.DUMMYFUNCTION("""COMPUTED_VALUE"""),"LINE 8")</f>
        <v>LINE 8</v>
      </c>
      <c r="AG27" s="5">
        <f ca="1">IFERROR(__xludf.DUMMYFUNCTION("""COMPUTED_VALUE"""),20009954)</f>
        <v>20009954</v>
      </c>
      <c r="AH27" s="5" t="str">
        <f ca="1">IFERROR(__xludf.DUMMYFUNCTION("""COMPUTED_VALUE"""),"ETIQUETADORA ENVOLVENTE")</f>
        <v>ETIQUETADORA ENVOLVENTE</v>
      </c>
      <c r="AI27" s="5" t="str">
        <f ca="1">IF(AND(LEN(AF27)=0, LEN(AG27)=0), "", IF(AND(LEN(AF27)&gt;0, LEN(AG27)=0), "BLANCO", IFERROR(VLOOKUP(AG27, BasedatosM9!A:B, 2, FALSE), "BLANCO")))</f>
        <v>Martinez Peña Brandon Stewar</v>
      </c>
      <c r="AK27" s="5" t="str">
        <f ca="1">IFERROR(__xludf.DUMMYFUNCTION("""COMPUTED_VALUE"""),"TURNO B")</f>
        <v>TURNO B</v>
      </c>
      <c r="AL27" s="5">
        <f ca="1">IFERROR(__xludf.DUMMYFUNCTION("""COMPUTED_VALUE"""),23902876)</f>
        <v>23902876</v>
      </c>
      <c r="AM27" s="14">
        <f ca="1">IFERROR(__xludf.DUMMYFUNCTION("""COMPUTED_VALUE"""),45355)</f>
        <v>45355</v>
      </c>
      <c r="AN27" s="5" t="str">
        <f ca="1">IFERROR(__xludf.DUMMYFUNCTION("""COMPUTED_VALUE"""),"Falla en el dosificador de nitrógeno")</f>
        <v>Falla en el dosificador de nitrógeno</v>
      </c>
      <c r="AO27" s="5">
        <f ca="1">IFERROR(__xludf.DUMMYFUNCTION("""COMPUTED_VALUE"""),0.58)</f>
        <v>0.57999999999999996</v>
      </c>
      <c r="AP27" s="15">
        <f ca="1">IFERROR(__xludf.DUMMYFUNCTION("""COMPUTED_VALUE"""),0.645833333333333)</f>
        <v>0.64583333333333304</v>
      </c>
      <c r="AQ27" s="15">
        <f ca="1">IFERROR(__xludf.DUMMYFUNCTION("""COMPUTED_VALUE"""),0.670138888888888)</f>
        <v>0.67013888888888795</v>
      </c>
      <c r="AR27" s="5" t="str">
        <f ca="1">IFERROR(__xludf.DUMMYFUNCTION("""COMPUTED_VALUE"""),"LINE 10")</f>
        <v>LINE 10</v>
      </c>
      <c r="AS27" s="5"/>
      <c r="AT27" s="5" t="str">
        <f ca="1">IFERROR(__xludf.DUMMYFUNCTION("""COMPUTED_VALUE"""),"FALLA DOSIFICADOR NITROGENO")</f>
        <v>FALLA DOSIFICADOR NITROGENO</v>
      </c>
      <c r="AU27" s="5" t="str">
        <f ca="1">IF(AND(LEN(AR27)=0, LEN(AS27)=0), "", IF(AND(LEN(AR27)&gt;0, LEN(AS27)=0), "BLANCO", IFERROR(VLOOKUP(AS27, BasedatosM9!A:B, 2, FALSE), "BLANCO")))</f>
        <v>BLANCO</v>
      </c>
    </row>
    <row r="28" spans="1:47" ht="14.4">
      <c r="A28" s="21" t="s">
        <v>4767</v>
      </c>
      <c r="B28" s="86">
        <v>23899742</v>
      </c>
      <c r="C28" s="98">
        <v>45352</v>
      </c>
      <c r="D28" s="21" t="s">
        <v>4776</v>
      </c>
      <c r="E28" s="86">
        <v>0.15</v>
      </c>
      <c r="F28" s="99">
        <v>0.97291666666666676</v>
      </c>
      <c r="G28" s="99">
        <v>0.97916666666666663</v>
      </c>
      <c r="H28" s="21" t="s">
        <v>4764</v>
      </c>
      <c r="I28" s="86">
        <v>20009822</v>
      </c>
      <c r="J28" s="21" t="s">
        <v>4777</v>
      </c>
      <c r="K28" s="5" t="str">
        <f>IF(AND(LEN(H28)=0, LEN(I28)=0), "", IF(AND(LEN(H28)&gt;0, LEN(I28)=0), "BLANCO", IFERROR(VLOOKUP(I28, BasedatosM9!A:B, 2, FALSE), "BLANCO")))</f>
        <v>Guzman Palechor Miguel Angel</v>
      </c>
      <c r="M28" s="5" t="str">
        <f ca="1">IFERROR(__xludf.DUMMYFUNCTION("""COMPUTED_VALUE"""),"TURNO A")</f>
        <v>TURNO A</v>
      </c>
      <c r="N28" s="5">
        <f ca="1">IFERROR(__xludf.DUMMYFUNCTION("""COMPUTED_VALUE"""),23901237)</f>
        <v>23901237</v>
      </c>
      <c r="O28" s="14">
        <f ca="1">IFERROR(__xludf.DUMMYFUNCTION("""COMPUTED_VALUE"""),45354)</f>
        <v>45354</v>
      </c>
      <c r="P28" s="5" t="str">
        <f ca="1">IFERROR(__xludf.DUMMYFUNCTION("""COMPUTED_VALUE"""),"Caida botellas en sistema clasificador")</f>
        <v>Caida botellas en sistema clasificador</v>
      </c>
      <c r="Q28" s="5">
        <f ca="1">IFERROR(__xludf.DUMMYFUNCTION("""COMPUTED_VALUE"""),0.08)</f>
        <v>0.08</v>
      </c>
      <c r="R28" s="15">
        <f ca="1">IFERROR(__xludf.DUMMYFUNCTION("""COMPUTED_VALUE"""),0.357638888888888)</f>
        <v>0.35763888888888801</v>
      </c>
      <c r="S28" s="15">
        <f ca="1">IFERROR(__xludf.DUMMYFUNCTION("""COMPUTED_VALUE"""),0.361111111111111)</f>
        <v>0.36111111111111099</v>
      </c>
      <c r="T28" s="5" t="str">
        <f ca="1">IFERROR(__xludf.DUMMYFUNCTION("""COMPUTED_VALUE"""),"LINE 1")</f>
        <v>LINE 1</v>
      </c>
      <c r="U28" s="5">
        <f ca="1">IFERROR(__xludf.DUMMYFUNCTION("""COMPUTED_VALUE"""),20009879)</f>
        <v>20009879</v>
      </c>
      <c r="V28" s="5" t="str">
        <f ca="1">IFERROR(__xludf.DUMMYFUNCTION("""COMPUTED_VALUE"""),"ENFARDADORA")</f>
        <v>ENFARDADORA</v>
      </c>
      <c r="W28" s="5" t="str">
        <f ca="1">IF(AND(LEN(T28)=0, LEN(U28)=0), "", IF(AND(LEN(T28)&gt;0, LEN(U28)=0), "BLANCO", IFERROR(VLOOKUP(U28, BasedatosM9!A:B, 2, FALSE), "BLANCO")))</f>
        <v>Andres Leon</v>
      </c>
      <c r="Y28" s="5" t="str">
        <f ca="1">IFERROR(__xludf.DUMMYFUNCTION("""COMPUTED_VALUE"""),"TURNO B")</f>
        <v>TURNO B</v>
      </c>
      <c r="Z28" s="5">
        <f ca="1">IFERROR(__xludf.DUMMYFUNCTION("""COMPUTED_VALUE"""),23907482)</f>
        <v>23907482</v>
      </c>
      <c r="AA28" s="14">
        <f ca="1">IFERROR(__xludf.DUMMYFUNCTION("""COMPUTED_VALUE"""),45357)</f>
        <v>45357</v>
      </c>
      <c r="AB28" s="5" t="str">
        <f ca="1">IFERROR(__xludf.DUMMYFUNCTION("""COMPUTED_VALUE"""),"Transportador de botellas llenas")</f>
        <v>Transportador de botellas llenas</v>
      </c>
      <c r="AC28" s="5">
        <f ca="1">IFERROR(__xludf.DUMMYFUNCTION("""COMPUTED_VALUE"""),0.25)</f>
        <v>0.25</v>
      </c>
      <c r="AD28" s="15">
        <f ca="1">IFERROR(__xludf.DUMMYFUNCTION("""COMPUTED_VALUE"""),0.652777777777777)</f>
        <v>0.65277777777777701</v>
      </c>
      <c r="AE28" s="15">
        <f ca="1">IFERROR(__xludf.DUMMYFUNCTION("""COMPUTED_VALUE"""),0.663194444444444)</f>
        <v>0.66319444444444398</v>
      </c>
      <c r="AF28" s="5" t="str">
        <f ca="1">IFERROR(__xludf.DUMMYFUNCTION("""COMPUTED_VALUE"""),"LINE 8")</f>
        <v>LINE 8</v>
      </c>
      <c r="AG28" s="5">
        <f ca="1">IFERROR(__xludf.DUMMYFUNCTION("""COMPUTED_VALUE"""),20009758)</f>
        <v>20009758</v>
      </c>
      <c r="AH28" s="5" t="str">
        <f ca="1">IFERROR(__xludf.DUMMYFUNCTION("""COMPUTED_VALUE"""),"TRANSPORTADORES DE BOTELLAS LLENAS")</f>
        <v>TRANSPORTADORES DE BOTELLAS LLENAS</v>
      </c>
      <c r="AI28" s="5" t="str">
        <f ca="1">IF(AND(LEN(AF28)=0, LEN(AG28)=0), "", IF(AND(LEN(AF28)&gt;0, LEN(AG28)=0), "BLANCO", IFERROR(VLOOKUP(AG28, BasedatosM9!A:B, 2, FALSE), "BLANCO")))</f>
        <v>Franco Castillo Brayan Steven</v>
      </c>
      <c r="AK28" s="5" t="str">
        <f ca="1">IFERROR(__xludf.DUMMYFUNCTION("""COMPUTED_VALUE"""),"TURNO B")</f>
        <v>TURNO B</v>
      </c>
      <c r="AL28" s="5">
        <f ca="1">IFERROR(__xludf.DUMMYFUNCTION("""COMPUTED_VALUE"""),23903037)</f>
        <v>23903037</v>
      </c>
      <c r="AM28" s="14">
        <f ca="1">IFERROR(__xludf.DUMMYFUNCTION("""COMPUTED_VALUE"""),45355)</f>
        <v>45355</v>
      </c>
      <c r="AN28" s="5" t="str">
        <f ca="1">IFERROR(__xludf.DUMMYFUNCTION("""COMPUTED_VALUE"""),"Abridor de salida torcido")</f>
        <v>Abridor de salida torcido</v>
      </c>
      <c r="AO28" s="5">
        <f ca="1">IFERROR(__xludf.DUMMYFUNCTION("""COMPUTED_VALUE"""),0.68)</f>
        <v>0.68</v>
      </c>
      <c r="AP28" s="15">
        <f ca="1">IFERROR(__xludf.DUMMYFUNCTION("""COMPUTED_VALUE"""),0.861111111111111)</f>
        <v>0.86111111111111105</v>
      </c>
      <c r="AQ28" s="15">
        <f ca="1">IFERROR(__xludf.DUMMYFUNCTION("""COMPUTED_VALUE"""),0.889583333333333)</f>
        <v>0.88958333333333295</v>
      </c>
      <c r="AR28" s="5" t="str">
        <f ca="1">IFERROR(__xludf.DUMMYFUNCTION("""COMPUTED_VALUE"""),"LINE 10")</f>
        <v>LINE 10</v>
      </c>
      <c r="AS28" s="5"/>
      <c r="AT28" s="5" t="str">
        <f ca="1">IFERROR(__xludf.DUMMYFUNCTION("""COMPUTED_VALUE"""),"LLENADORA BOTELLAS PET")</f>
        <v>LLENADORA BOTELLAS PET</v>
      </c>
      <c r="AU28" s="5" t="str">
        <f ca="1">IF(AND(LEN(AR28)=0, LEN(AS28)=0), "", IF(AND(LEN(AR28)&gt;0, LEN(AS28)=0), "BLANCO", IFERROR(VLOOKUP(AS28, BasedatosM9!A:B, 2, FALSE), "BLANCO")))</f>
        <v>BLANCO</v>
      </c>
    </row>
    <row r="29" spans="1:47" ht="14.4">
      <c r="A29" s="21" t="s">
        <v>4767</v>
      </c>
      <c r="B29" s="86">
        <v>23899778</v>
      </c>
      <c r="C29" s="98">
        <v>45352</v>
      </c>
      <c r="D29" s="21" t="s">
        <v>4778</v>
      </c>
      <c r="E29" s="86">
        <v>0.05</v>
      </c>
      <c r="F29" s="99">
        <v>0.22916666666666666</v>
      </c>
      <c r="G29" s="99">
        <v>0.23124999999999998</v>
      </c>
      <c r="H29" s="21" t="s">
        <v>4551</v>
      </c>
      <c r="I29" s="86">
        <v>20075387</v>
      </c>
      <c r="J29" s="21" t="s">
        <v>4746</v>
      </c>
      <c r="K29" s="5" t="str">
        <f>IF(AND(LEN(H29)=0, LEN(I29)=0), "", IF(AND(LEN(H29)&gt;0, LEN(I29)=0), "BLANCO", IFERROR(VLOOKUP(I29, BasedatosM9!A:B, 2, FALSE), "BLANCO")))</f>
        <v>Cristian Suaza</v>
      </c>
      <c r="M29" s="5" t="str">
        <f ca="1">IFERROR(__xludf.DUMMYFUNCTION("""COMPUTED_VALUE"""),"TURNO A")</f>
        <v>TURNO A</v>
      </c>
      <c r="N29" s="5">
        <f ca="1">IFERROR(__xludf.DUMMYFUNCTION("""COMPUTED_VALUE"""),23901238)</f>
        <v>23901238</v>
      </c>
      <c r="O29" s="14">
        <f ca="1">IFERROR(__xludf.DUMMYFUNCTION("""COMPUTED_VALUE"""),45354)</f>
        <v>45354</v>
      </c>
      <c r="P29" s="5" t="str">
        <f ca="1">IFERROR(__xludf.DUMMYFUNCTION("""COMPUTED_VALUE"""),"Ajuste de receta en llenado.")</f>
        <v>Ajuste de receta en llenado.</v>
      </c>
      <c r="Q29" s="5">
        <f ca="1">IFERROR(__xludf.DUMMYFUNCTION("""COMPUTED_VALUE"""),0.65)</f>
        <v>0.65</v>
      </c>
      <c r="R29" s="15">
        <f ca="1">IFERROR(__xludf.DUMMYFUNCTION("""COMPUTED_VALUE"""),0.323611111111111)</f>
        <v>0.32361111111111102</v>
      </c>
      <c r="S29" s="15">
        <f ca="1">IFERROR(__xludf.DUMMYFUNCTION("""COMPUTED_VALUE"""),0.350694444444444)</f>
        <v>0.35069444444444398</v>
      </c>
      <c r="T29" s="5" t="str">
        <f ca="1">IFERROR(__xludf.DUMMYFUNCTION("""COMPUTED_VALUE"""),"LINE 1")</f>
        <v>LINE 1</v>
      </c>
      <c r="U29" s="5">
        <f ca="1">IFERROR(__xludf.DUMMYFUNCTION("""COMPUTED_VALUE"""),20082152)</f>
        <v>20082152</v>
      </c>
      <c r="V29" s="5" t="str">
        <f ca="1">IFERROR(__xludf.DUMMYFUNCTION("""COMPUTED_VALUE"""),"LLENADORA BOTELLAS PET")</f>
        <v>LLENADORA BOTELLAS PET</v>
      </c>
      <c r="W29" s="5" t="str">
        <f ca="1">IF(AND(LEN(T29)=0, LEN(U29)=0), "", IF(AND(LEN(T29)&gt;0, LEN(U29)=0), "BLANCO", IFERROR(VLOOKUP(U29, BasedatosM9!A:B, 2, FALSE), "BLANCO")))</f>
        <v>Ferney Ramos</v>
      </c>
      <c r="Y29" s="5" t="str">
        <f ca="1">IFERROR(__xludf.DUMMYFUNCTION("""COMPUTED_VALUE"""),"TURNO B")</f>
        <v>TURNO B</v>
      </c>
      <c r="Z29" s="5">
        <f ca="1">IFERROR(__xludf.DUMMYFUNCTION("""COMPUTED_VALUE"""),23907533)</f>
        <v>23907533</v>
      </c>
      <c r="AA29" s="14">
        <f ca="1">IFERROR(__xludf.DUMMYFUNCTION("""COMPUTED_VALUE"""),45357)</f>
        <v>45357</v>
      </c>
      <c r="AB29" s="5" t="str">
        <f ca="1">IFERROR(__xludf.DUMMYFUNCTION("""COMPUTED_VALUE"""),"Enfardadora")</f>
        <v>Enfardadora</v>
      </c>
      <c r="AC29" s="5">
        <f ca="1">IFERROR(__xludf.DUMMYFUNCTION("""COMPUTED_VALUE"""),0.15)</f>
        <v>0.15</v>
      </c>
      <c r="AD29" s="15">
        <f ca="1">IFERROR(__xludf.DUMMYFUNCTION("""COMPUTED_VALUE"""),0.743055555555555)</f>
        <v>0.74305555555555503</v>
      </c>
      <c r="AE29" s="15">
        <f ca="1">IFERROR(__xludf.DUMMYFUNCTION("""COMPUTED_VALUE"""),0.749305555555555)</f>
        <v>0.749305555555555</v>
      </c>
      <c r="AF29" s="5" t="str">
        <f ca="1">IFERROR(__xludf.DUMMYFUNCTION("""COMPUTED_VALUE"""),"LINE 8")</f>
        <v>LINE 8</v>
      </c>
      <c r="AG29" s="5">
        <f ca="1">IFERROR(__xludf.DUMMYFUNCTION("""COMPUTED_VALUE"""),20009942)</f>
        <v>20009942</v>
      </c>
      <c r="AH29" s="5" t="str">
        <f ca="1">IFERROR(__xludf.DUMMYFUNCTION("""COMPUTED_VALUE"""),"ENFARDADORA")</f>
        <v>ENFARDADORA</v>
      </c>
      <c r="AI29" s="5" t="str">
        <f ca="1">IF(AND(LEN(AF29)=0, LEN(AG29)=0), "", IF(AND(LEN(AF29)&gt;0, LEN(AG29)=0), "BLANCO", IFERROR(VLOOKUP(AG29, BasedatosM9!A:B, 2, FALSE), "BLANCO")))</f>
        <v>Osver Martinez</v>
      </c>
      <c r="AK29" s="5" t="str">
        <f ca="1">IFERROR(__xludf.DUMMYFUNCTION("""COMPUTED_VALUE"""),"TURNO B")</f>
        <v>TURNO B</v>
      </c>
      <c r="AL29" s="5">
        <f ca="1">IFERROR(__xludf.DUMMYFUNCTION("""COMPUTED_VALUE"""),23903124)</f>
        <v>23903124</v>
      </c>
      <c r="AM29" s="14">
        <f ca="1">IFERROR(__xludf.DUMMYFUNCTION("""COMPUTED_VALUE"""),45355)</f>
        <v>45355</v>
      </c>
      <c r="AN29" s="5" t="str">
        <f ca="1">IFERROR(__xludf.DUMMYFUNCTION("""COMPUTED_VALUE"""),"Falla CIP residual")</f>
        <v>Falla CIP residual</v>
      </c>
      <c r="AO29" s="5">
        <f ca="1">IFERROR(__xludf.DUMMYFUNCTION("""COMPUTED_VALUE"""),0.1)</f>
        <v>0.1</v>
      </c>
      <c r="AP29" s="15">
        <f ca="1">IFERROR(__xludf.DUMMYFUNCTION("""COMPUTED_VALUE"""),0.889583333333333)</f>
        <v>0.88958333333333295</v>
      </c>
      <c r="AQ29" s="15">
        <f ca="1">IFERROR(__xludf.DUMMYFUNCTION("""COMPUTED_VALUE"""),0.893749999999999)</f>
        <v>0.89374999999999905</v>
      </c>
      <c r="AR29" s="5" t="str">
        <f ca="1">IFERROR(__xludf.DUMMYFUNCTION("""COMPUTED_VALUE"""),"LINE 10")</f>
        <v>LINE 10</v>
      </c>
      <c r="AS29" s="5"/>
      <c r="AT29" s="5" t="str">
        <f ca="1">IFERROR(__xludf.DUMMYFUNCTION("""COMPUTED_VALUE"""),"SISTEMA F DE CIP")</f>
        <v>SISTEMA F DE CIP</v>
      </c>
      <c r="AU29" s="5" t="str">
        <f ca="1">IF(AND(LEN(AR29)=0, LEN(AS29)=0), "", IF(AND(LEN(AR29)&gt;0, LEN(AS29)=0), "BLANCO", IFERROR(VLOOKUP(AS29, BasedatosM9!A:B, 2, FALSE), "BLANCO")))</f>
        <v>BLANCO</v>
      </c>
    </row>
    <row r="30" spans="1:47" ht="14.4">
      <c r="A30" s="21" t="s">
        <v>4742</v>
      </c>
      <c r="B30" s="86">
        <v>23900629</v>
      </c>
      <c r="C30" s="98">
        <v>45353</v>
      </c>
      <c r="D30" s="21" t="s">
        <v>4779</v>
      </c>
      <c r="E30" s="86">
        <v>0.22</v>
      </c>
      <c r="F30" s="99">
        <v>0.54861111111111105</v>
      </c>
      <c r="G30" s="99">
        <v>0.55763888888888891</v>
      </c>
      <c r="H30" s="21" t="s">
        <v>4764</v>
      </c>
      <c r="I30" s="86">
        <v>20076884</v>
      </c>
      <c r="J30" s="21" t="s">
        <v>67</v>
      </c>
      <c r="K30" s="5" t="str">
        <f>IF(AND(LEN(H30)=0, LEN(I30)=0), "", IF(AND(LEN(H30)&gt;0, LEN(I30)=0), "BLANCO", IFERROR(VLOOKUP(I30, BasedatosM9!A:B, 2, FALSE), "BLANCO")))</f>
        <v>Estaban Potosi</v>
      </c>
      <c r="M30" s="5" t="str">
        <f ca="1">IFERROR(__xludf.DUMMYFUNCTION("""COMPUTED_VALUE"""),"TURNO A")</f>
        <v>TURNO A</v>
      </c>
      <c r="N30" s="5">
        <f ca="1">IFERROR(__xludf.DUMMYFUNCTION("""COMPUTED_VALUE"""),23901259)</f>
        <v>23901259</v>
      </c>
      <c r="O30" s="14">
        <f ca="1">IFERROR(__xludf.DUMMYFUNCTION("""COMPUTED_VALUE"""),45354)</f>
        <v>45354</v>
      </c>
      <c r="P30" s="5" t="str">
        <f ca="1">IFERROR(__xludf.DUMMYFUNCTION("""COMPUTED_VALUE"""),"Ajuste sensor codificador")</f>
        <v>Ajuste sensor codificador</v>
      </c>
      <c r="Q30" s="5">
        <f ca="1">IFERROR(__xludf.DUMMYFUNCTION("""COMPUTED_VALUE"""),0.3)</f>
        <v>0.3</v>
      </c>
      <c r="R30" s="15">
        <f ca="1">IFERROR(__xludf.DUMMYFUNCTION("""COMPUTED_VALUE"""),0.375)</f>
        <v>0.375</v>
      </c>
      <c r="S30" s="15">
        <f ca="1">IFERROR(__xludf.DUMMYFUNCTION("""COMPUTED_VALUE"""),0.3875)</f>
        <v>0.38750000000000001</v>
      </c>
      <c r="T30" s="5" t="str">
        <f ca="1">IFERROR(__xludf.DUMMYFUNCTION("""COMPUTED_VALUE"""),"LINE 1")</f>
        <v>LINE 1</v>
      </c>
      <c r="U30" s="5">
        <f ca="1">IFERROR(__xludf.DUMMYFUNCTION("""COMPUTED_VALUE"""),20082152)</f>
        <v>20082152</v>
      </c>
      <c r="V30" s="5" t="str">
        <f ca="1">IFERROR(__xludf.DUMMYFUNCTION("""COMPUTED_VALUE"""),"CODIFICADOR DE BOTELLAS")</f>
        <v>CODIFICADOR DE BOTELLAS</v>
      </c>
      <c r="W30" s="5" t="str">
        <f ca="1">IF(AND(LEN(T30)=0, LEN(U30)=0), "", IF(AND(LEN(T30)&gt;0, LEN(U30)=0), "BLANCO", IFERROR(VLOOKUP(U30, BasedatosM9!A:B, 2, FALSE), "BLANCO")))</f>
        <v>Ferney Ramos</v>
      </c>
      <c r="Y30" s="5" t="str">
        <f ca="1">IFERROR(__xludf.DUMMYFUNCTION("""COMPUTED_VALUE"""),"TURNO B")</f>
        <v>TURNO B</v>
      </c>
      <c r="Z30" s="5">
        <f ca="1">IFERROR(__xludf.DUMMYFUNCTION("""COMPUTED_VALUE"""),23907602)</f>
        <v>23907602</v>
      </c>
      <c r="AA30" s="14">
        <f ca="1">IFERROR(__xludf.DUMMYFUNCTION("""COMPUTED_VALUE"""),45357)</f>
        <v>45357</v>
      </c>
      <c r="AB30" s="5" t="str">
        <f ca="1">IFERROR(__xludf.DUMMYFUNCTION("""COMPUTED_VALUE"""),"Enfardadora")</f>
        <v>Enfardadora</v>
      </c>
      <c r="AC30" s="5">
        <f ca="1">IFERROR(__xludf.DUMMYFUNCTION("""COMPUTED_VALUE"""),0.2)</f>
        <v>0.2</v>
      </c>
      <c r="AD30" s="15">
        <f ca="1">IFERROR(__xludf.DUMMYFUNCTION("""COMPUTED_VALUE"""),0.866666666666666)</f>
        <v>0.86666666666666603</v>
      </c>
      <c r="AE30" s="15">
        <f ca="1">IFERROR(__xludf.DUMMYFUNCTION("""COMPUTED_VALUE"""),0.875)</f>
        <v>0.875</v>
      </c>
      <c r="AF30" s="5" t="str">
        <f ca="1">IFERROR(__xludf.DUMMYFUNCTION("""COMPUTED_VALUE"""),"LINE 8")</f>
        <v>LINE 8</v>
      </c>
      <c r="AG30" s="5">
        <f ca="1">IFERROR(__xludf.DUMMYFUNCTION("""COMPUTED_VALUE"""),20009942)</f>
        <v>20009942</v>
      </c>
      <c r="AH30" s="5" t="str">
        <f ca="1">IFERROR(__xludf.DUMMYFUNCTION("""COMPUTED_VALUE"""),"ENFARDADORA")</f>
        <v>ENFARDADORA</v>
      </c>
      <c r="AI30" s="5" t="str">
        <f ca="1">IF(AND(LEN(AF30)=0, LEN(AG30)=0), "", IF(AND(LEN(AF30)&gt;0, LEN(AG30)=0), "BLANCO", IFERROR(VLOOKUP(AG30, BasedatosM9!A:B, 2, FALSE), "BLANCO")))</f>
        <v>Osver Martinez</v>
      </c>
      <c r="AK30" s="5" t="str">
        <f ca="1">IFERROR(__xludf.DUMMYFUNCTION("""COMPUTED_VALUE"""),"TURNO C")</f>
        <v>TURNO C</v>
      </c>
      <c r="AL30" s="5">
        <f ca="1">IFERROR(__xludf.DUMMYFUNCTION("""COMPUTED_VALUE"""),23903375)</f>
        <v>23903375</v>
      </c>
      <c r="AM30" s="14">
        <f ca="1">IFERROR(__xludf.DUMMYFUNCTION("""COMPUTED_VALUE"""),45355)</f>
        <v>45355</v>
      </c>
      <c r="AN30" s="5" t="str">
        <f ca="1">IFERROR(__xludf.DUMMYFUNCTION("""COMPUTED_VALUE"""),"Encolamiento agregado No. 2")</f>
        <v>Encolamiento agregado No. 2</v>
      </c>
      <c r="AO30" s="5">
        <f ca="1">IFERROR(__xludf.DUMMYFUNCTION("""COMPUTED_VALUE"""),0.3)</f>
        <v>0.3</v>
      </c>
      <c r="AP30" s="15">
        <f ca="1">IFERROR(__xludf.DUMMYFUNCTION("""COMPUTED_VALUE"""),0.950694444444444)</f>
        <v>0.95069444444444395</v>
      </c>
      <c r="AQ30" s="15">
        <f ca="1">IFERROR(__xludf.DUMMYFUNCTION("""COMPUTED_VALUE"""),0.963194444444444)</f>
        <v>0.96319444444444402</v>
      </c>
      <c r="AR30" s="5" t="str">
        <f ca="1">IFERROR(__xludf.DUMMYFUNCTION("""COMPUTED_VALUE"""),"LINE 10")</f>
        <v>LINE 10</v>
      </c>
      <c r="AS30" s="5"/>
      <c r="AT30" s="5" t="str">
        <f ca="1">IFERROR(__xludf.DUMMYFUNCTION("""COMPUTED_VALUE"""),"ETIQUETADORA ENVOLVENTE")</f>
        <v>ETIQUETADORA ENVOLVENTE</v>
      </c>
      <c r="AU30" s="5" t="str">
        <f ca="1">IF(AND(LEN(AR30)=0, LEN(AS30)=0), "", IF(AND(LEN(AR30)&gt;0, LEN(AS30)=0), "BLANCO", IFERROR(VLOOKUP(AS30, BasedatosM9!A:B, 2, FALSE), "BLANCO")))</f>
        <v>BLANCO</v>
      </c>
    </row>
    <row r="31" spans="1:47" ht="14.4">
      <c r="A31" s="21" t="s">
        <v>4742</v>
      </c>
      <c r="B31" s="86">
        <v>23900709</v>
      </c>
      <c r="C31" s="98">
        <v>45353</v>
      </c>
      <c r="D31" s="21" t="s">
        <v>4780</v>
      </c>
      <c r="E31" s="86">
        <v>0.25</v>
      </c>
      <c r="F31" s="99">
        <v>0.54513888888888895</v>
      </c>
      <c r="G31" s="99">
        <v>0.55555555555555558</v>
      </c>
      <c r="H31" s="21" t="s">
        <v>4551</v>
      </c>
      <c r="I31" s="21"/>
      <c r="J31" s="21" t="s">
        <v>4781</v>
      </c>
      <c r="K31" s="5" t="str">
        <f>IF(AND(LEN(H31)=0, LEN(I31)=0), "", IF(AND(LEN(H31)&gt;0, LEN(I31)=0), "BLANCO", IFERROR(VLOOKUP(I31, BasedatosM9!A:B, 2, FALSE), "BLANCO")))</f>
        <v>BLANCO</v>
      </c>
      <c r="M31" s="5" t="str">
        <f ca="1">IFERROR(__xludf.DUMMYFUNCTION("""COMPUTED_VALUE"""),"TURNO A")</f>
        <v>TURNO A</v>
      </c>
      <c r="N31" s="5">
        <f ca="1">IFERROR(__xludf.DUMMYFUNCTION("""COMPUTED_VALUE"""),23901261)</f>
        <v>23901261</v>
      </c>
      <c r="O31" s="14">
        <f ca="1">IFERROR(__xludf.DUMMYFUNCTION("""COMPUTED_VALUE"""),45354)</f>
        <v>45354</v>
      </c>
      <c r="P31" s="5" t="str">
        <f ca="1">IFERROR(__xludf.DUMMYFUNCTION("""COMPUTED_VALUE"""),"Paquetes volteados en mesa de agrupaciòn")</f>
        <v>Paquetes volteados en mesa de agrupaciòn</v>
      </c>
      <c r="Q31" s="5">
        <f ca="1">IFERROR(__xludf.DUMMYFUNCTION("""COMPUTED_VALUE"""),0.1)</f>
        <v>0.1</v>
      </c>
      <c r="R31" s="15">
        <f ca="1">IFERROR(__xludf.DUMMYFUNCTION("""COMPUTED_VALUE"""),0.395833333333333)</f>
        <v>0.39583333333333298</v>
      </c>
      <c r="S31" s="15">
        <f ca="1">IFERROR(__xludf.DUMMYFUNCTION("""COMPUTED_VALUE"""),0.399999999999999)</f>
        <v>0.39999999999999902</v>
      </c>
      <c r="T31" s="5" t="str">
        <f ca="1">IFERROR(__xludf.DUMMYFUNCTION("""COMPUTED_VALUE"""),"LINE 1")</f>
        <v>LINE 1</v>
      </c>
      <c r="U31" s="5">
        <f ca="1">IFERROR(__xludf.DUMMYFUNCTION("""COMPUTED_VALUE"""),20062740)</f>
        <v>20062740</v>
      </c>
      <c r="V31" s="5" t="str">
        <f ca="1">IFERROR(__xludf.DUMMYFUNCTION("""COMPUTED_VALUE"""),"PALETIZADORA")</f>
        <v>PALETIZADORA</v>
      </c>
      <c r="W31" s="5" t="str">
        <f ca="1">IF(AND(LEN(T31)=0, LEN(U31)=0), "", IF(AND(LEN(T31)&gt;0, LEN(U31)=0), "BLANCO", IFERROR(VLOOKUP(U31, BasedatosM9!A:B, 2, FALSE), "BLANCO")))</f>
        <v>Hector Toro</v>
      </c>
      <c r="Y31" s="5" t="str">
        <f ca="1">IFERROR(__xludf.DUMMYFUNCTION("""COMPUTED_VALUE"""),"TURNO C")</f>
        <v>TURNO C</v>
      </c>
      <c r="Z31" s="5">
        <f ca="1">IFERROR(__xludf.DUMMYFUNCTION("""COMPUTED_VALUE"""),23907715)</f>
        <v>23907715</v>
      </c>
      <c r="AA31" s="14">
        <f ca="1">IFERROR(__xludf.DUMMYFUNCTION("""COMPUTED_VALUE"""),45357)</f>
        <v>45357</v>
      </c>
      <c r="AB31" s="5" t="str">
        <f ca="1">IFERROR(__xludf.DUMMYFUNCTION("""COMPUTED_VALUE"""),"Se apaga pantalla PLC de calderas.")</f>
        <v>Se apaga pantalla PLC de calderas.</v>
      </c>
      <c r="AC31" s="5">
        <f ca="1">IFERROR(__xludf.DUMMYFUNCTION("""COMPUTED_VALUE"""),1.18)</f>
        <v>1.18</v>
      </c>
      <c r="AD31" s="15">
        <f ca="1">IFERROR(__xludf.DUMMYFUNCTION("""COMPUTED_VALUE"""),0.933333333333333)</f>
        <v>0.93333333333333302</v>
      </c>
      <c r="AE31" s="15">
        <f ca="1">IFERROR(__xludf.DUMMYFUNCTION("""COMPUTED_VALUE"""),0.982638888888888)</f>
        <v>0.98263888888888795</v>
      </c>
      <c r="AF31" s="5" t="str">
        <f ca="1">IFERROR(__xludf.DUMMYFUNCTION("""COMPUTED_VALUE"""),"LINE 8")</f>
        <v>LINE 8</v>
      </c>
      <c r="AG31" s="5"/>
      <c r="AH31" s="5" t="str">
        <f ca="1">IFERROR(__xludf.DUMMYFUNCTION("""COMPUTED_VALUE"""),"SUMINISTRO VAPOR")</f>
        <v>SUMINISTRO VAPOR</v>
      </c>
      <c r="AI31" s="5" t="str">
        <f ca="1">IF(AND(LEN(AF31)=0, LEN(AG31)=0), "", IF(AND(LEN(AF31)&gt;0, LEN(AG31)=0), "BLANCO", IFERROR(VLOOKUP(AG31, BasedatosM9!A:B, 2, FALSE), "BLANCO")))</f>
        <v>BLANCO</v>
      </c>
      <c r="AK31" s="5" t="str">
        <f ca="1">IFERROR(__xludf.DUMMYFUNCTION("""COMPUTED_VALUE"""),"TURNO B")</f>
        <v>TURNO B</v>
      </c>
      <c r="AL31" s="5">
        <f ca="1">IFERROR(__xludf.DUMMYFUNCTION("""COMPUTED_VALUE"""),23903440)</f>
        <v>23903440</v>
      </c>
      <c r="AM31" s="14">
        <f ca="1">IFERROR(__xludf.DUMMYFUNCTION("""COMPUTED_VALUE"""),45355)</f>
        <v>45355</v>
      </c>
      <c r="AN31" s="5" t="str">
        <f ca="1">IFERROR(__xludf.DUMMYFUNCTION("""COMPUTED_VALUE"""),"Tapa atascada en bajante")</f>
        <v>Tapa atascada en bajante</v>
      </c>
      <c r="AO31" s="5">
        <f ca="1">IFERROR(__xludf.DUMMYFUNCTION("""COMPUTED_VALUE"""),0.37)</f>
        <v>0.37</v>
      </c>
      <c r="AP31" s="15">
        <f ca="1">IFERROR(__xludf.DUMMYFUNCTION("""COMPUTED_VALUE"""),0.0208333333333333)</f>
        <v>2.0833333333333301E-2</v>
      </c>
      <c r="AQ31" s="15">
        <f ca="1">IFERROR(__xludf.DUMMYFUNCTION("""COMPUTED_VALUE"""),0.0361111111111111)</f>
        <v>3.6111111111111101E-2</v>
      </c>
      <c r="AR31" s="5" t="str">
        <f ca="1">IFERROR(__xludf.DUMMYFUNCTION("""COMPUTED_VALUE"""),"LINE 10")</f>
        <v>LINE 10</v>
      </c>
      <c r="AS31" s="5">
        <f ca="1">IFERROR(__xludf.DUMMYFUNCTION("""COMPUTED_VALUE"""),20022138)</f>
        <v>20022138</v>
      </c>
      <c r="AT31" s="5" t="str">
        <f ca="1">IFERROR(__xludf.DUMMYFUNCTION("""COMPUTED_VALUE"""),"INSPECTOR TAPA")</f>
        <v>INSPECTOR TAPA</v>
      </c>
      <c r="AU31" s="5" t="str">
        <f ca="1">IF(AND(LEN(AR31)=0, LEN(AS31)=0), "", IF(AND(LEN(AR31)&gt;0, LEN(AS31)=0), "BLANCO", IFERROR(VLOOKUP(AS31, BasedatosM9!A:B, 2, FALSE), "BLANCO")))</f>
        <v>Jose Correa</v>
      </c>
    </row>
    <row r="32" spans="1:47" ht="14.4">
      <c r="A32" s="21" t="s">
        <v>4742</v>
      </c>
      <c r="B32" s="86">
        <v>23900710</v>
      </c>
      <c r="C32" s="98">
        <v>45353</v>
      </c>
      <c r="D32" s="21" t="s">
        <v>4782</v>
      </c>
      <c r="E32" s="86">
        <v>0.23</v>
      </c>
      <c r="F32" s="99">
        <v>0.5625</v>
      </c>
      <c r="G32" s="99">
        <v>0.57222222222222219</v>
      </c>
      <c r="H32" s="21" t="s">
        <v>4551</v>
      </c>
      <c r="I32" s="21"/>
      <c r="J32" s="21" t="s">
        <v>1471</v>
      </c>
      <c r="K32" s="5" t="str">
        <f>IF(AND(LEN(H32)=0, LEN(I32)=0), "", IF(AND(LEN(H32)&gt;0, LEN(I32)=0), "BLANCO", IFERROR(VLOOKUP(I32, BasedatosM9!A:B, 2, FALSE), "BLANCO")))</f>
        <v>BLANCO</v>
      </c>
      <c r="M32" s="5" t="str">
        <f ca="1">IFERROR(__xludf.DUMMYFUNCTION("""COMPUTED_VALUE"""),"TURNO A")</f>
        <v>TURNO A</v>
      </c>
      <c r="N32" s="5">
        <f ca="1">IFERROR(__xludf.DUMMYFUNCTION("""COMPUTED_VALUE"""),23901263)</f>
        <v>23901263</v>
      </c>
      <c r="O32" s="14">
        <f ca="1">IFERROR(__xludf.DUMMYFUNCTION("""COMPUTED_VALUE"""),45354)</f>
        <v>45354</v>
      </c>
      <c r="P32" s="5" t="str">
        <f ca="1">IFERROR(__xludf.DUMMYFUNCTION("""COMPUTED_VALUE"""),"Ajuste presiones")</f>
        <v>Ajuste presiones</v>
      </c>
      <c r="Q32" s="5">
        <f ca="1">IFERROR(__xludf.DUMMYFUNCTION("""COMPUTED_VALUE"""),0.07)</f>
        <v>7.0000000000000007E-2</v>
      </c>
      <c r="R32" s="15">
        <f ca="1">IFERROR(__xludf.DUMMYFUNCTION("""COMPUTED_VALUE"""),0.430555555555555)</f>
        <v>0.43055555555555503</v>
      </c>
      <c r="S32" s="15">
        <f ca="1">IFERROR(__xludf.DUMMYFUNCTION("""COMPUTED_VALUE"""),0.433333333333333)</f>
        <v>0.43333333333333302</v>
      </c>
      <c r="T32" s="5" t="str">
        <f ca="1">IFERROR(__xludf.DUMMYFUNCTION("""COMPUTED_VALUE"""),"LINE 1")</f>
        <v>LINE 1</v>
      </c>
      <c r="U32" s="5">
        <f ca="1">IFERROR(__xludf.DUMMYFUNCTION("""COMPUTED_VALUE"""),20020754)</f>
        <v>20020754</v>
      </c>
      <c r="V32" s="5" t="str">
        <f ca="1">IFERROR(__xludf.DUMMYFUNCTION("""COMPUTED_VALUE"""),"TRANSPORTADORES DE ENVASE VACIO")</f>
        <v>TRANSPORTADORES DE ENVASE VACIO</v>
      </c>
      <c r="W32" s="5" t="str">
        <f ca="1">IF(AND(LEN(T32)=0, LEN(U32)=0), "", IF(AND(LEN(T32)&gt;0, LEN(U32)=0), "BLANCO", IFERROR(VLOOKUP(U32, BasedatosM9!A:B, 2, FALSE), "BLANCO")))</f>
        <v>Sanchez Rodriguez Gerson Andres</v>
      </c>
      <c r="Y32" s="5" t="str">
        <f ca="1">IFERROR(__xludf.DUMMYFUNCTION("""COMPUTED_VALUE"""),"TURNO A")</f>
        <v>TURNO A</v>
      </c>
      <c r="Z32" s="5">
        <f ca="1">IFERROR(__xludf.DUMMYFUNCTION("""COMPUTED_VALUE"""),23908638)</f>
        <v>23908638</v>
      </c>
      <c r="AA32" s="14">
        <f ca="1">IFERROR(__xludf.DUMMYFUNCTION("""COMPUTED_VALUE"""),45358)</f>
        <v>45358</v>
      </c>
      <c r="AB32" s="5" t="str">
        <f ca="1">IFERROR(__xludf.DUMMYFUNCTION("""COMPUTED_VALUE"""),"Atascamiento rollo enfardadora")</f>
        <v>Atascamiento rollo enfardadora</v>
      </c>
      <c r="AC32" s="5">
        <f ca="1">IFERROR(__xludf.DUMMYFUNCTION("""COMPUTED_VALUE"""),0.28)</f>
        <v>0.28000000000000003</v>
      </c>
      <c r="AD32" s="15">
        <f ca="1">IFERROR(__xludf.DUMMYFUNCTION("""COMPUTED_VALUE"""),0.345138888888888)</f>
        <v>0.345138888888888</v>
      </c>
      <c r="AE32" s="15">
        <f ca="1">IFERROR(__xludf.DUMMYFUNCTION("""COMPUTED_VALUE"""),0.356944444444444)</f>
        <v>0.35694444444444401</v>
      </c>
      <c r="AF32" s="5" t="str">
        <f ca="1">IFERROR(__xludf.DUMMYFUNCTION("""COMPUTED_VALUE"""),"LINE 8")</f>
        <v>LINE 8</v>
      </c>
      <c r="AG32" s="5">
        <f ca="1">IFERROR(__xludf.DUMMYFUNCTION("""COMPUTED_VALUE"""),20075520)</f>
        <v>20075520</v>
      </c>
      <c r="AH32" s="5" t="str">
        <f ca="1">IFERROR(__xludf.DUMMYFUNCTION("""COMPUTED_VALUE"""),"ENFARDADORA")</f>
        <v>ENFARDADORA</v>
      </c>
      <c r="AI32" s="5" t="str">
        <f ca="1">IF(AND(LEN(AF32)=0, LEN(AG32)=0), "", IF(AND(LEN(AF32)&gt;0, LEN(AG32)=0), "BLANCO", IFERROR(VLOOKUP(AG32, BasedatosM9!A:B, 2, FALSE), "BLANCO")))</f>
        <v>Andres Mesa</v>
      </c>
      <c r="AK32" s="5" t="str">
        <f ca="1">IFERROR(__xludf.DUMMYFUNCTION("""COMPUTED_VALUE"""),"TURNO A")</f>
        <v>TURNO A</v>
      </c>
      <c r="AL32" s="5">
        <f ca="1">IFERROR(__xludf.DUMMYFUNCTION("""COMPUTED_VALUE"""),23904504)</f>
        <v>23904504</v>
      </c>
      <c r="AM32" s="14">
        <f ca="1">IFERROR(__xludf.DUMMYFUNCTION("""COMPUTED_VALUE"""),45356)</f>
        <v>45356</v>
      </c>
      <c r="AN32" s="5" t="str">
        <f ca="1">IFERROR(__xludf.DUMMYFUNCTION("""COMPUTED_VALUE"""),"Encolamiento en agregado No. 1")</f>
        <v>Encolamiento en agregado No. 1</v>
      </c>
      <c r="AO32" s="5">
        <f ca="1">IFERROR(__xludf.DUMMYFUNCTION("""COMPUTED_VALUE"""),0.43)</f>
        <v>0.43</v>
      </c>
      <c r="AP32" s="15">
        <f ca="1">IFERROR(__xludf.DUMMYFUNCTION("""COMPUTED_VALUE"""),0.509722222222222)</f>
        <v>0.50972222222222197</v>
      </c>
      <c r="AQ32" s="15">
        <f ca="1">IFERROR(__xludf.DUMMYFUNCTION("""COMPUTED_VALUE"""),0.527777777777777)</f>
        <v>0.52777777777777701</v>
      </c>
      <c r="AR32" s="5" t="str">
        <f ca="1">IFERROR(__xludf.DUMMYFUNCTION("""COMPUTED_VALUE"""),"LINE 10")</f>
        <v>LINE 10</v>
      </c>
      <c r="AS32" s="5"/>
      <c r="AT32" s="5" t="str">
        <f ca="1">IFERROR(__xludf.DUMMYFUNCTION("""COMPUTED_VALUE"""),"ETIQUETADORA ENVOLVENTE")</f>
        <v>ETIQUETADORA ENVOLVENTE</v>
      </c>
      <c r="AU32" s="5" t="str">
        <f ca="1">IF(AND(LEN(AR32)=0, LEN(AS32)=0), "", IF(AND(LEN(AR32)&gt;0, LEN(AS32)=0), "BLANCO", IFERROR(VLOOKUP(AS32, BasedatosM9!A:B, 2, FALSE), "BLANCO")))</f>
        <v>BLANCO</v>
      </c>
    </row>
    <row r="33" spans="1:47" ht="14.4">
      <c r="A33" s="21" t="s">
        <v>4757</v>
      </c>
      <c r="B33" s="86">
        <v>23900888</v>
      </c>
      <c r="C33" s="98">
        <v>45353</v>
      </c>
      <c r="D33" s="21" t="s">
        <v>4783</v>
      </c>
      <c r="E33" s="86">
        <v>0.1</v>
      </c>
      <c r="F33" s="99">
        <v>0.66666666666666663</v>
      </c>
      <c r="G33" s="99">
        <v>0.67083333333333339</v>
      </c>
      <c r="H33" s="21" t="s">
        <v>4551</v>
      </c>
      <c r="I33" s="21"/>
      <c r="J33" s="21" t="s">
        <v>2797</v>
      </c>
      <c r="K33" s="5" t="str">
        <f>IF(AND(LEN(H33)=0, LEN(I33)=0), "", IF(AND(LEN(H33)&gt;0, LEN(I33)=0), "BLANCO", IFERROR(VLOOKUP(I33, BasedatosM9!A:B, 2, FALSE), "BLANCO")))</f>
        <v>BLANCO</v>
      </c>
      <c r="M33" s="5" t="str">
        <f ca="1">IFERROR(__xludf.DUMMYFUNCTION("""COMPUTED_VALUE"""),"TURNO A")</f>
        <v>TURNO A</v>
      </c>
      <c r="N33" s="5">
        <f ca="1">IFERROR(__xludf.DUMMYFUNCTION("""COMPUTED_VALUE"""),23901266)</f>
        <v>23901266</v>
      </c>
      <c r="O33" s="14">
        <f ca="1">IFERROR(__xludf.DUMMYFUNCTION("""COMPUTED_VALUE"""),45354)</f>
        <v>45354</v>
      </c>
      <c r="P33" s="5" t="str">
        <f ca="1">IFERROR(__xludf.DUMMYFUNCTION("""COMPUTED_VALUE"""),"Caida botellas mesa de plegado")</f>
        <v>Caida botellas mesa de plegado</v>
      </c>
      <c r="Q33" s="5">
        <f ca="1">IFERROR(__xludf.DUMMYFUNCTION("""COMPUTED_VALUE"""),0.1)</f>
        <v>0.1</v>
      </c>
      <c r="R33" s="15">
        <f ca="1">IFERROR(__xludf.DUMMYFUNCTION("""COMPUTED_VALUE"""),0.440972222222222)</f>
        <v>0.44097222222222199</v>
      </c>
      <c r="S33" s="15">
        <f ca="1">IFERROR(__xludf.DUMMYFUNCTION("""COMPUTED_VALUE"""),0.445138888888888)</f>
        <v>0.44513888888888797</v>
      </c>
      <c r="T33" s="5" t="str">
        <f ca="1">IFERROR(__xludf.DUMMYFUNCTION("""COMPUTED_VALUE"""),"LINE 1")</f>
        <v>LINE 1</v>
      </c>
      <c r="U33" s="5">
        <f ca="1">IFERROR(__xludf.DUMMYFUNCTION("""COMPUTED_VALUE"""),20009879)</f>
        <v>20009879</v>
      </c>
      <c r="V33" s="5" t="str">
        <f ca="1">IFERROR(__xludf.DUMMYFUNCTION("""COMPUTED_VALUE"""),"ENFARDADORA")</f>
        <v>ENFARDADORA</v>
      </c>
      <c r="W33" s="5" t="str">
        <f ca="1">IF(AND(LEN(T33)=0, LEN(U33)=0), "", IF(AND(LEN(T33)&gt;0, LEN(U33)=0), "BLANCO", IFERROR(VLOOKUP(U33, BasedatosM9!A:B, 2, FALSE), "BLANCO")))</f>
        <v>Andres Leon</v>
      </c>
      <c r="Y33" s="5" t="str">
        <f ca="1">IFERROR(__xludf.DUMMYFUNCTION("""COMPUTED_VALUE"""),"TURNO B")</f>
        <v>TURNO B</v>
      </c>
      <c r="Z33" s="5">
        <f ca="1">IFERROR(__xludf.DUMMYFUNCTION("""COMPUTED_VALUE"""),23909191)</f>
        <v>23909191</v>
      </c>
      <c r="AA33" s="14">
        <f ca="1">IFERROR(__xludf.DUMMYFUNCTION("""COMPUTED_VALUE"""),45358)</f>
        <v>45358</v>
      </c>
      <c r="AB33" s="5" t="str">
        <f ca="1">IFERROR(__xludf.DUMMYFUNCTION("""COMPUTED_VALUE"""),"Botella sin Nitrogeno")</f>
        <v>Botella sin Nitrogeno</v>
      </c>
      <c r="AC33" s="5">
        <f ca="1">IFERROR(__xludf.DUMMYFUNCTION("""COMPUTED_VALUE"""),0.48)</f>
        <v>0.48</v>
      </c>
      <c r="AD33" s="15">
        <f ca="1">IFERROR(__xludf.DUMMYFUNCTION("""COMPUTED_VALUE"""),0.586805555555555)</f>
        <v>0.58680555555555503</v>
      </c>
      <c r="AE33" s="15">
        <f ca="1">IFERROR(__xludf.DUMMYFUNCTION("""COMPUTED_VALUE"""),0.606944444444444)</f>
        <v>0.60694444444444395</v>
      </c>
      <c r="AF33" s="5" t="str">
        <f ca="1">IFERROR(__xludf.DUMMYFUNCTION("""COMPUTED_VALUE"""),"LINE 8")</f>
        <v>LINE 8</v>
      </c>
      <c r="AG33" s="5">
        <f ca="1">IFERROR(__xludf.DUMMYFUNCTION("""COMPUTED_VALUE"""),20009758)</f>
        <v>20009758</v>
      </c>
      <c r="AH33" s="5" t="str">
        <f ca="1">IFERROR(__xludf.DUMMYFUNCTION("""COMPUTED_VALUE"""),"FALLA DOSIFICADOR NITROGENO")</f>
        <v>FALLA DOSIFICADOR NITROGENO</v>
      </c>
      <c r="AI33" s="5" t="str">
        <f ca="1">IF(AND(LEN(AF33)=0, LEN(AG33)=0), "", IF(AND(LEN(AF33)&gt;0, LEN(AG33)=0), "BLANCO", IFERROR(VLOOKUP(AG33, BasedatosM9!A:B, 2, FALSE), "BLANCO")))</f>
        <v>Franco Castillo Brayan Steven</v>
      </c>
      <c r="AK33" s="5" t="str">
        <f ca="1">IFERROR(__xludf.DUMMYFUNCTION("""COMPUTED_VALUE"""),"TURNO A")</f>
        <v>TURNO A</v>
      </c>
      <c r="AL33" s="5">
        <f ca="1">IFERROR(__xludf.DUMMYFUNCTION("""COMPUTED_VALUE"""),23904563)</f>
        <v>23904563</v>
      </c>
      <c r="AM33" s="14">
        <f ca="1">IFERROR(__xludf.DUMMYFUNCTION("""COMPUTED_VALUE"""),45356)</f>
        <v>45356</v>
      </c>
      <c r="AN33" s="5" t="str">
        <f ca="1">IFERROR(__xludf.DUMMYFUNCTION("""COMPUTED_VALUE"""),"Encolamiento en agregado No. 1")</f>
        <v>Encolamiento en agregado No. 1</v>
      </c>
      <c r="AO33" s="5">
        <f ca="1">IFERROR(__xludf.DUMMYFUNCTION("""COMPUTED_VALUE"""),0.48)</f>
        <v>0.48</v>
      </c>
      <c r="AP33" s="15">
        <f ca="1">IFERROR(__xludf.DUMMYFUNCTION("""COMPUTED_VALUE"""),0.555555555555555)</f>
        <v>0.55555555555555503</v>
      </c>
      <c r="AQ33" s="15">
        <f ca="1">IFERROR(__xludf.DUMMYFUNCTION("""COMPUTED_VALUE"""),0.575694444444444)</f>
        <v>0.57569444444444395</v>
      </c>
      <c r="AR33" s="5" t="str">
        <f ca="1">IFERROR(__xludf.DUMMYFUNCTION("""COMPUTED_VALUE"""),"LINE 10")</f>
        <v>LINE 10</v>
      </c>
      <c r="AS33" s="5">
        <f ca="1">IFERROR(__xludf.DUMMYFUNCTION("""COMPUTED_VALUE"""),20058001)</f>
        <v>20058001</v>
      </c>
      <c r="AT33" s="5" t="str">
        <f ca="1">IFERROR(__xludf.DUMMYFUNCTION("""COMPUTED_VALUE"""),"ETIQUETADORA ENVOLVENTE")</f>
        <v>ETIQUETADORA ENVOLVENTE</v>
      </c>
      <c r="AU33" s="5" t="str">
        <f ca="1">IF(AND(LEN(AR33)=0, LEN(AS33)=0), "", IF(AND(LEN(AR33)&gt;0, LEN(AS33)=0), "BLANCO", IFERROR(VLOOKUP(AS33, BasedatosM9!A:B, 2, FALSE), "BLANCO")))</f>
        <v>Bonilla Edwin</v>
      </c>
    </row>
    <row r="34" spans="1:47" ht="14.4">
      <c r="A34" s="21" t="s">
        <v>4757</v>
      </c>
      <c r="B34" s="86">
        <v>23900980</v>
      </c>
      <c r="C34" s="98">
        <v>45353</v>
      </c>
      <c r="D34" s="21" t="s">
        <v>4784</v>
      </c>
      <c r="E34" s="86">
        <v>0.27</v>
      </c>
      <c r="F34" s="99">
        <v>0.59722222222222221</v>
      </c>
      <c r="G34" s="99">
        <v>0.60833333333333328</v>
      </c>
      <c r="H34" s="21" t="s">
        <v>4551</v>
      </c>
      <c r="I34" s="21"/>
      <c r="J34" s="21" t="s">
        <v>4773</v>
      </c>
      <c r="K34" s="5" t="str">
        <f>IF(AND(LEN(H34)=0, LEN(I34)=0), "", IF(AND(LEN(H34)&gt;0, LEN(I34)=0), "BLANCO", IFERROR(VLOOKUP(I34, BasedatosM9!A:B, 2, FALSE), "BLANCO")))</f>
        <v>BLANCO</v>
      </c>
      <c r="M34" s="5" t="str">
        <f ca="1">IFERROR(__xludf.DUMMYFUNCTION("""COMPUTED_VALUE"""),"TURNO A")</f>
        <v>TURNO A</v>
      </c>
      <c r="N34" s="5">
        <f ca="1">IFERROR(__xludf.DUMMYFUNCTION("""COMPUTED_VALUE"""),23901267)</f>
        <v>23901267</v>
      </c>
      <c r="O34" s="14">
        <f ca="1">IFERROR(__xludf.DUMMYFUNCTION("""COMPUTED_VALUE"""),45354)</f>
        <v>45354</v>
      </c>
      <c r="P34" s="5" t="str">
        <f ca="1">IFERROR(__xludf.DUMMYFUNCTION("""COMPUTED_VALUE"""),"Perdida de conteo")</f>
        <v>Perdida de conteo</v>
      </c>
      <c r="Q34" s="5">
        <f ca="1">IFERROR(__xludf.DUMMYFUNCTION("""COMPUTED_VALUE"""),0.22)</f>
        <v>0.22</v>
      </c>
      <c r="R34" s="15">
        <f ca="1">IFERROR(__xludf.DUMMYFUNCTION("""COMPUTED_VALUE"""),0.461111111111111)</f>
        <v>0.46111111111111103</v>
      </c>
      <c r="S34" s="15">
        <f ca="1">IFERROR(__xludf.DUMMYFUNCTION("""COMPUTED_VALUE"""),0.470138888888888)</f>
        <v>0.470138888888888</v>
      </c>
      <c r="T34" s="5" t="str">
        <f ca="1">IFERROR(__xludf.DUMMYFUNCTION("""COMPUTED_VALUE"""),"LINE 1")</f>
        <v>LINE 1</v>
      </c>
      <c r="U34" s="5">
        <f ca="1">IFERROR(__xludf.DUMMYFUNCTION("""COMPUTED_VALUE"""),20062740)</f>
        <v>20062740</v>
      </c>
      <c r="V34" s="5" t="str">
        <f ca="1">IFERROR(__xludf.DUMMYFUNCTION("""COMPUTED_VALUE"""),"PALETIZADORA")</f>
        <v>PALETIZADORA</v>
      </c>
      <c r="W34" s="5" t="str">
        <f ca="1">IF(AND(LEN(T34)=0, LEN(U34)=0), "", IF(AND(LEN(T34)&gt;0, LEN(U34)=0), "BLANCO", IFERROR(VLOOKUP(U34, BasedatosM9!A:B, 2, FALSE), "BLANCO")))</f>
        <v>Hector Toro</v>
      </c>
      <c r="Y34" s="5" t="str">
        <f ca="1">IFERROR(__xludf.DUMMYFUNCTION("""COMPUTED_VALUE"""),"TURNO B")</f>
        <v>TURNO B</v>
      </c>
      <c r="Z34" s="5">
        <f ca="1">IFERROR(__xludf.DUMMYFUNCTION("""COMPUTED_VALUE"""),23909642)</f>
        <v>23909642</v>
      </c>
      <c r="AA34" s="14">
        <f ca="1">IFERROR(__xludf.DUMMYFUNCTION("""COMPUTED_VALUE"""),45358)</f>
        <v>45358</v>
      </c>
      <c r="AB34" s="5" t="str">
        <f ca="1">IFERROR(__xludf.DUMMYFUNCTION("""COMPUTED_VALUE"""),"Dosificador de nitrogeno")</f>
        <v>Dosificador de nitrogeno</v>
      </c>
      <c r="AC34" s="5">
        <f ca="1">IFERROR(__xludf.DUMMYFUNCTION("""COMPUTED_VALUE"""),0.23)</f>
        <v>0.23</v>
      </c>
      <c r="AD34" s="15">
        <f ca="1">IFERROR(__xludf.DUMMYFUNCTION("""COMPUTED_VALUE"""),0.6875)</f>
        <v>0.6875</v>
      </c>
      <c r="AE34" s="15">
        <f ca="1">IFERROR(__xludf.DUMMYFUNCTION("""COMPUTED_VALUE"""),0.697222222222222)</f>
        <v>0.69722222222222197</v>
      </c>
      <c r="AF34" s="5" t="str">
        <f ca="1">IFERROR(__xludf.DUMMYFUNCTION("""COMPUTED_VALUE"""),"LINE 8")</f>
        <v>LINE 8</v>
      </c>
      <c r="AG34" s="5">
        <f ca="1">IFERROR(__xludf.DUMMYFUNCTION("""COMPUTED_VALUE"""),20009758)</f>
        <v>20009758</v>
      </c>
      <c r="AH34" s="5" t="str">
        <f ca="1">IFERROR(__xludf.DUMMYFUNCTION("""COMPUTED_VALUE"""),"FALLA DOSIFICADOR NITROGENO")</f>
        <v>FALLA DOSIFICADOR NITROGENO</v>
      </c>
      <c r="AI34" s="5" t="str">
        <f ca="1">IF(AND(LEN(AF34)=0, LEN(AG34)=0), "", IF(AND(LEN(AF34)&gt;0, LEN(AG34)=0), "BLANCO", IFERROR(VLOOKUP(AG34, BasedatosM9!A:B, 2, FALSE), "BLANCO")))</f>
        <v>Franco Castillo Brayan Steven</v>
      </c>
      <c r="AK34" s="5" t="str">
        <f ca="1">IFERROR(__xludf.DUMMYFUNCTION("""COMPUTED_VALUE"""),"TURNO B")</f>
        <v>TURNO B</v>
      </c>
      <c r="AL34" s="5">
        <f ca="1">IFERROR(__xludf.DUMMYFUNCTION("""COMPUTED_VALUE"""),23904882)</f>
        <v>23904882</v>
      </c>
      <c r="AM34" s="14">
        <f ca="1">IFERROR(__xludf.DUMMYFUNCTION("""COMPUTED_VALUE"""),45356)</f>
        <v>45356</v>
      </c>
      <c r="AN34" s="5" t="str">
        <f ca="1">IFERROR(__xludf.DUMMYFUNCTION("""COMPUTED_VALUE"""),"Encolamiento en agregado No. 1")</f>
        <v>Encolamiento en agregado No. 1</v>
      </c>
      <c r="AO34" s="5">
        <f ca="1">IFERROR(__xludf.DUMMYFUNCTION("""COMPUTED_VALUE"""),0.67)</f>
        <v>0.67</v>
      </c>
      <c r="AP34" s="15">
        <f ca="1">IFERROR(__xludf.DUMMYFUNCTION("""COMPUTED_VALUE"""),0.625)</f>
        <v>0.625</v>
      </c>
      <c r="AQ34" s="15">
        <f ca="1">IFERROR(__xludf.DUMMYFUNCTION("""COMPUTED_VALUE"""),0.652777777777777)</f>
        <v>0.65277777777777701</v>
      </c>
      <c r="AR34" s="5" t="str">
        <f ca="1">IFERROR(__xludf.DUMMYFUNCTION("""COMPUTED_VALUE"""),"LINE 10")</f>
        <v>LINE 10</v>
      </c>
      <c r="AS34" s="5">
        <f ca="1">IFERROR(__xludf.DUMMYFUNCTION("""COMPUTED_VALUE"""),20010079)</f>
        <v>20010079</v>
      </c>
      <c r="AT34" s="5" t="str">
        <f ca="1">IFERROR(__xludf.DUMMYFUNCTION("""COMPUTED_VALUE"""),"ETIQUETADORA ENVOLVENTE")</f>
        <v>ETIQUETADORA ENVOLVENTE</v>
      </c>
      <c r="AU34" s="5" t="str">
        <f ca="1">IF(AND(LEN(AR34)=0, LEN(AS34)=0), "", IF(AND(LEN(AR34)&gt;0, LEN(AS34)=0), "BLANCO", IFERROR(VLOOKUP(AS34, BasedatosM9!A:B, 2, FALSE), "BLANCO")))</f>
        <v>Peña Quiñonez Andres Gilberto</v>
      </c>
    </row>
    <row r="35" spans="1:47" ht="14.4">
      <c r="A35" s="21" t="s">
        <v>4757</v>
      </c>
      <c r="B35" s="86">
        <v>23901061</v>
      </c>
      <c r="C35" s="98">
        <v>45353</v>
      </c>
      <c r="D35" s="21" t="s">
        <v>4785</v>
      </c>
      <c r="E35" s="86">
        <v>0.3</v>
      </c>
      <c r="F35" s="99">
        <v>0.88541666666666663</v>
      </c>
      <c r="G35" s="99">
        <v>0.8979166666666667</v>
      </c>
      <c r="H35" s="21" t="s">
        <v>4550</v>
      </c>
      <c r="I35" s="86">
        <v>20053048</v>
      </c>
      <c r="J35" s="21" t="s">
        <v>1471</v>
      </c>
      <c r="K35" s="5" t="str">
        <f>IF(AND(LEN(H35)=0, LEN(I35)=0), "", IF(AND(LEN(H35)&gt;0, LEN(I35)=0), "BLANCO", IFERROR(VLOOKUP(I35, BasedatosM9!A:B, 2, FALSE), "BLANCO")))</f>
        <v>Parra Ramos Hector</v>
      </c>
      <c r="M35" s="5" t="str">
        <f ca="1">IFERROR(__xludf.DUMMYFUNCTION("""COMPUTED_VALUE"""),"TURNO B")</f>
        <v>TURNO B</v>
      </c>
      <c r="N35" s="5">
        <f ca="1">IFERROR(__xludf.DUMMYFUNCTION("""COMPUTED_VALUE"""),23901336)</f>
        <v>23901336</v>
      </c>
      <c r="O35" s="14">
        <f ca="1">IFERROR(__xludf.DUMMYFUNCTION("""COMPUTED_VALUE"""),45354)</f>
        <v>45354</v>
      </c>
      <c r="P35" s="5" t="str">
        <f ca="1">IFERROR(__xludf.DUMMYFUNCTION("""COMPUTED_VALUE"""),"Atascamiento botellas")</f>
        <v>Atascamiento botellas</v>
      </c>
      <c r="Q35" s="5">
        <f ca="1">IFERROR(__xludf.DUMMYFUNCTION("""COMPUTED_VALUE"""),0.12)</f>
        <v>0.12</v>
      </c>
      <c r="R35" s="15">
        <f ca="1">IFERROR(__xludf.DUMMYFUNCTION("""COMPUTED_VALUE"""),0.583333333333333)</f>
        <v>0.58333333333333304</v>
      </c>
      <c r="S35" s="15">
        <f ca="1">IFERROR(__xludf.DUMMYFUNCTION("""COMPUTED_VALUE"""),0.588194444444444)</f>
        <v>0.58819444444444402</v>
      </c>
      <c r="T35" s="5" t="str">
        <f ca="1">IFERROR(__xludf.DUMMYFUNCTION("""COMPUTED_VALUE"""),"LINE 1")</f>
        <v>LINE 1</v>
      </c>
      <c r="U35" s="5">
        <f ca="1">IFERROR(__xludf.DUMMYFUNCTION("""COMPUTED_VALUE"""),20020754)</f>
        <v>20020754</v>
      </c>
      <c r="V35" s="5" t="str">
        <f ca="1">IFERROR(__xludf.DUMMYFUNCTION("""COMPUTED_VALUE"""),"TRANSPORTADORES DE ENVASE VACIO")</f>
        <v>TRANSPORTADORES DE ENVASE VACIO</v>
      </c>
      <c r="W35" s="5" t="str">
        <f ca="1">IF(AND(LEN(T35)=0, LEN(U35)=0), "", IF(AND(LEN(T35)&gt;0, LEN(U35)=0), "BLANCO", IFERROR(VLOOKUP(U35, BasedatosM9!A:B, 2, FALSE), "BLANCO")))</f>
        <v>Sanchez Rodriguez Gerson Andres</v>
      </c>
      <c r="Y35" s="5" t="str">
        <f ca="1">IFERROR(__xludf.DUMMYFUNCTION("""COMPUTED_VALUE"""),"TURNO B")</f>
        <v>TURNO B</v>
      </c>
      <c r="Z35" s="5">
        <f ca="1">IFERROR(__xludf.DUMMYFUNCTION("""COMPUTED_VALUE"""),23909719)</f>
        <v>23909719</v>
      </c>
      <c r="AA35" s="14">
        <f ca="1">IFERROR(__xludf.DUMMYFUNCTION("""COMPUTED_VALUE"""),45358)</f>
        <v>45358</v>
      </c>
      <c r="AB35" s="5" t="str">
        <f ca="1">IFERROR(__xludf.DUMMYFUNCTION("""COMPUTED_VALUE"""),"Enfardadora")</f>
        <v>Enfardadora</v>
      </c>
      <c r="AC35" s="5">
        <f ca="1">IFERROR(__xludf.DUMMYFUNCTION("""COMPUTED_VALUE"""),0.28)</f>
        <v>0.28000000000000003</v>
      </c>
      <c r="AD35" s="15">
        <f ca="1">IFERROR(__xludf.DUMMYFUNCTION("""COMPUTED_VALUE"""),0.772916666666666)</f>
        <v>0.77291666666666603</v>
      </c>
      <c r="AE35" s="15">
        <f ca="1">IFERROR(__xludf.DUMMYFUNCTION("""COMPUTED_VALUE"""),0.784722222222222)</f>
        <v>0.78472222222222199</v>
      </c>
      <c r="AF35" s="5" t="str">
        <f ca="1">IFERROR(__xludf.DUMMYFUNCTION("""COMPUTED_VALUE"""),"LINE 8")</f>
        <v>LINE 8</v>
      </c>
      <c r="AG35" s="5"/>
      <c r="AH35" s="5" t="str">
        <f ca="1">IFERROR(__xludf.DUMMYFUNCTION("""COMPUTED_VALUE"""),"ENFARDADORA")</f>
        <v>ENFARDADORA</v>
      </c>
      <c r="AI35" s="5" t="str">
        <f ca="1">IF(AND(LEN(AF35)=0, LEN(AG35)=0), "", IF(AND(LEN(AF35)&gt;0, LEN(AG35)=0), "BLANCO", IFERROR(VLOOKUP(AG35, BasedatosM9!A:B, 2, FALSE), "BLANCO")))</f>
        <v>BLANCO</v>
      </c>
      <c r="AK35" s="5" t="str">
        <f ca="1">IFERROR(__xludf.DUMMYFUNCTION("""COMPUTED_VALUE"""),"TURNO B")</f>
        <v>TURNO B</v>
      </c>
      <c r="AL35" s="5">
        <f ca="1">IFERROR(__xludf.DUMMYFUNCTION("""COMPUTED_VALUE"""),23905147)</f>
        <v>23905147</v>
      </c>
      <c r="AM35" s="14">
        <f ca="1">IFERROR(__xludf.DUMMYFUNCTION("""COMPUTED_VALUE"""),45356)</f>
        <v>45356</v>
      </c>
      <c r="AN35" s="5" t="str">
        <f ca="1">IFERROR(__xludf.DUMMYFUNCTION("""COMPUTED_VALUE"""),"Refrigeración tablero eléctrico checkmat")</f>
        <v>Refrigeración tablero eléctrico checkmat</v>
      </c>
      <c r="AO35" s="5">
        <f ca="1">IFERROR(__xludf.DUMMYFUNCTION("""COMPUTED_VALUE"""),0.45)</f>
        <v>0.45</v>
      </c>
      <c r="AP35" s="15">
        <f ca="1">IFERROR(__xludf.DUMMYFUNCTION("""COMPUTED_VALUE"""),0.715277777777777)</f>
        <v>0.71527777777777701</v>
      </c>
      <c r="AQ35" s="15">
        <f ca="1">IFERROR(__xludf.DUMMYFUNCTION("""COMPUTED_VALUE"""),0.734027777777777)</f>
        <v>0.73402777777777695</v>
      </c>
      <c r="AR35" s="5" t="str">
        <f ca="1">IFERROR(__xludf.DUMMYFUNCTION("""COMPUTED_VALUE"""),"LINE 10")</f>
        <v>LINE 10</v>
      </c>
      <c r="AS35" s="5">
        <f ca="1">IFERROR(__xludf.DUMMYFUNCTION("""COMPUTED_VALUE"""),20031425)</f>
        <v>20031425</v>
      </c>
      <c r="AT35" s="5" t="str">
        <f ca="1">IFERROR(__xludf.DUMMYFUNCTION("""COMPUTED_VALUE"""),"INSPECTOR DE ENVASE LLENO")</f>
        <v>INSPECTOR DE ENVASE LLENO</v>
      </c>
      <c r="AU35" s="5" t="str">
        <f ca="1">IF(AND(LEN(AR35)=0, LEN(AS35)=0), "", IF(AND(LEN(AR35)&gt;0, LEN(AS35)=0), "BLANCO", IFERROR(VLOOKUP(AS35, BasedatosM9!A:B, 2, FALSE), "BLANCO")))</f>
        <v>Luis Gordillo</v>
      </c>
    </row>
    <row r="36" spans="1:47" ht="14.4">
      <c r="A36" s="21" t="s">
        <v>4757</v>
      </c>
      <c r="B36" s="86">
        <v>23901072</v>
      </c>
      <c r="C36" s="98">
        <v>45353</v>
      </c>
      <c r="D36" s="21" t="s">
        <v>4786</v>
      </c>
      <c r="E36" s="86">
        <v>0.23</v>
      </c>
      <c r="F36" s="99">
        <v>0.65625</v>
      </c>
      <c r="G36" s="99">
        <v>0.66597222222222219</v>
      </c>
      <c r="H36" s="21" t="s">
        <v>4549</v>
      </c>
      <c r="I36" s="21"/>
      <c r="J36" s="21" t="s">
        <v>4787</v>
      </c>
      <c r="K36" s="5" t="str">
        <f>IF(AND(LEN(H36)=0, LEN(I36)=0), "", IF(AND(LEN(H36)&gt;0, LEN(I36)=0), "BLANCO", IFERROR(VLOOKUP(I36, BasedatosM9!A:B, 2, FALSE), "BLANCO")))</f>
        <v>BLANCO</v>
      </c>
      <c r="M36" s="5" t="str">
        <f ca="1">IFERROR(__xludf.DUMMYFUNCTION("""COMPUTED_VALUE"""),"TURNO B")</f>
        <v>TURNO B</v>
      </c>
      <c r="N36" s="5">
        <f ca="1">IFERROR(__xludf.DUMMYFUNCTION("""COMPUTED_VALUE"""),23901375)</f>
        <v>23901375</v>
      </c>
      <c r="O36" s="14">
        <f ca="1">IFERROR(__xludf.DUMMYFUNCTION("""COMPUTED_VALUE"""),45354)</f>
        <v>45354</v>
      </c>
      <c r="P36" s="5" t="str">
        <f ca="1">IFERROR(__xludf.DUMMYFUNCTION("""COMPUTED_VALUE"""),"Encolamiento exceso pegante")</f>
        <v>Encolamiento exceso pegante</v>
      </c>
      <c r="Q36" s="5">
        <f ca="1">IFERROR(__xludf.DUMMYFUNCTION("""COMPUTED_VALUE"""),0.08)</f>
        <v>0.08</v>
      </c>
      <c r="R36" s="15">
        <f ca="1">IFERROR(__xludf.DUMMYFUNCTION("""COMPUTED_VALUE"""),0.694444444444444)</f>
        <v>0.69444444444444398</v>
      </c>
      <c r="S36" s="15">
        <f ca="1">IFERROR(__xludf.DUMMYFUNCTION("""COMPUTED_VALUE"""),0.697916666666666)</f>
        <v>0.69791666666666596</v>
      </c>
      <c r="T36" s="5" t="str">
        <f ca="1">IFERROR(__xludf.DUMMYFUNCTION("""COMPUTED_VALUE"""),"LINE 1")</f>
        <v>LINE 1</v>
      </c>
      <c r="U36" s="5"/>
      <c r="V36" s="5" t="str">
        <f ca="1">IFERROR(__xludf.DUMMYFUNCTION("""COMPUTED_VALUE"""),"ETIQUETADORA ENVOLVENTE")</f>
        <v>ETIQUETADORA ENVOLVENTE</v>
      </c>
      <c r="W36" s="5" t="str">
        <f ca="1">IF(AND(LEN(T36)=0, LEN(U36)=0), "", IF(AND(LEN(T36)&gt;0, LEN(U36)=0), "BLANCO", IFERROR(VLOOKUP(U36, BasedatosM9!A:B, 2, FALSE), "BLANCO")))</f>
        <v>BLANCO</v>
      </c>
      <c r="Y36" s="5" t="str">
        <f ca="1">IFERROR(__xludf.DUMMYFUNCTION("""COMPUTED_VALUE"""),"TURNO C")</f>
        <v>TURNO C</v>
      </c>
      <c r="Z36" s="5">
        <f ca="1">IFERROR(__xludf.DUMMYFUNCTION("""COMPUTED_VALUE"""),23910299)</f>
        <v>23910299</v>
      </c>
      <c r="AA36" s="14">
        <f ca="1">IFERROR(__xludf.DUMMYFUNCTION("""COMPUTED_VALUE"""),45358)</f>
        <v>45358</v>
      </c>
      <c r="AB36" s="5" t="str">
        <f ca="1">IFERROR(__xludf.DUMMYFUNCTION("""COMPUTED_VALUE"""),"Daño en soporte de freno.")</f>
        <v>Daño en soporte de freno.</v>
      </c>
      <c r="AC36" s="5">
        <f ca="1">IFERROR(__xludf.DUMMYFUNCTION("""COMPUTED_VALUE"""),1.48)</f>
        <v>1.48</v>
      </c>
      <c r="AD36" s="15">
        <f ca="1">IFERROR(__xludf.DUMMYFUNCTION("""COMPUTED_VALUE"""),0.166666666666666)</f>
        <v>0.16666666666666599</v>
      </c>
      <c r="AE36" s="15">
        <f ca="1">IFERROR(__xludf.DUMMYFUNCTION("""COMPUTED_VALUE"""),0.228472222222222)</f>
        <v>0.22847222222222199</v>
      </c>
      <c r="AF36" s="5" t="str">
        <f ca="1">IFERROR(__xludf.DUMMYFUNCTION("""COMPUTED_VALUE"""),"LINE 8")</f>
        <v>LINE 8</v>
      </c>
      <c r="AG36" s="5">
        <f ca="1">IFERROR(__xludf.DUMMYFUNCTION("""COMPUTED_VALUE"""),20031098)</f>
        <v>20031098</v>
      </c>
      <c r="AH36" s="5" t="str">
        <f ca="1">IFERROR(__xludf.DUMMYFUNCTION("""COMPUTED_VALUE"""),"ENFARDADORA")</f>
        <v>ENFARDADORA</v>
      </c>
      <c r="AI36" s="5" t="str">
        <f ca="1">IF(AND(LEN(AF36)=0, LEN(AG36)=0), "", IF(AND(LEN(AF36)&gt;0, LEN(AG36)=0), "BLANCO", IFERROR(VLOOKUP(AG36, BasedatosM9!A:B, 2, FALSE), "BLANCO")))</f>
        <v>Jonathan Lopez</v>
      </c>
      <c r="AK36" s="5" t="str">
        <f ca="1">IFERROR(__xludf.DUMMYFUNCTION("""COMPUTED_VALUE"""),"TURNO B")</f>
        <v>TURNO B</v>
      </c>
      <c r="AL36" s="5">
        <f ca="1">IFERROR(__xludf.DUMMYFUNCTION("""COMPUTED_VALUE"""),23905172)</f>
        <v>23905172</v>
      </c>
      <c r="AM36" s="14">
        <f ca="1">IFERROR(__xludf.DUMMYFUNCTION("""COMPUTED_VALUE"""),45356)</f>
        <v>45356</v>
      </c>
      <c r="AN36" s="5" t="str">
        <f ca="1">IFERROR(__xludf.DUMMYFUNCTION("""COMPUTED_VALUE"""),"Atascamiento tapa volteada")</f>
        <v>Atascamiento tapa volteada</v>
      </c>
      <c r="AO36" s="5">
        <f ca="1">IFERROR(__xludf.DUMMYFUNCTION("""COMPUTED_VALUE"""),0.25)</f>
        <v>0.25</v>
      </c>
      <c r="AP36" s="15">
        <f ca="1">IFERROR(__xludf.DUMMYFUNCTION("""COMPUTED_VALUE"""),0.729166666666666)</f>
        <v>0.72916666666666596</v>
      </c>
      <c r="AQ36" s="15">
        <f ca="1">IFERROR(__xludf.DUMMYFUNCTION("""COMPUTED_VALUE"""),0.739583333333333)</f>
        <v>0.73958333333333304</v>
      </c>
      <c r="AR36" s="5" t="str">
        <f ca="1">IFERROR(__xludf.DUMMYFUNCTION("""COMPUTED_VALUE"""),"LINE 10")</f>
        <v>LINE 10</v>
      </c>
      <c r="AS36" s="5">
        <f ca="1">IFERROR(__xludf.DUMMYFUNCTION("""COMPUTED_VALUE"""),20031425)</f>
        <v>20031425</v>
      </c>
      <c r="AT36" s="5" t="str">
        <f ca="1">IFERROR(__xludf.DUMMYFUNCTION("""COMPUTED_VALUE"""),"INSPECTOR TAPA")</f>
        <v>INSPECTOR TAPA</v>
      </c>
      <c r="AU36" s="5" t="str">
        <f ca="1">IF(AND(LEN(AR36)=0, LEN(AS36)=0), "", IF(AND(LEN(AR36)&gt;0, LEN(AS36)=0), "BLANCO", IFERROR(VLOOKUP(AS36, BasedatosM9!A:B, 2, FALSE), "BLANCO")))</f>
        <v>Luis Gordillo</v>
      </c>
    </row>
    <row r="37" spans="1:47" ht="14.4">
      <c r="A37" s="21" t="s">
        <v>4757</v>
      </c>
      <c r="B37" s="86">
        <v>23901073</v>
      </c>
      <c r="C37" s="98">
        <v>45353</v>
      </c>
      <c r="D37" s="21" t="s">
        <v>4788</v>
      </c>
      <c r="E37" s="86">
        <v>0.83</v>
      </c>
      <c r="F37" s="99">
        <v>0.77986111111111101</v>
      </c>
      <c r="G37" s="99">
        <v>0.81458333333333333</v>
      </c>
      <c r="H37" s="21" t="s">
        <v>4549</v>
      </c>
      <c r="I37" s="21"/>
      <c r="J37" s="21" t="s">
        <v>2323</v>
      </c>
      <c r="K37" s="5" t="str">
        <f>IF(AND(LEN(H37)=0, LEN(I37)=0), "", IF(AND(LEN(H37)&gt;0, LEN(I37)=0), "BLANCO", IFERROR(VLOOKUP(I37, BasedatosM9!A:B, 2, FALSE), "BLANCO")))</f>
        <v>BLANCO</v>
      </c>
      <c r="M37" s="5" t="str">
        <f ca="1">IFERROR(__xludf.DUMMYFUNCTION("""COMPUTED_VALUE"""),"TURNO B")</f>
        <v>TURNO B</v>
      </c>
      <c r="N37" s="5">
        <f ca="1">IFERROR(__xludf.DUMMYFUNCTION("""COMPUTED_VALUE"""),23901377)</f>
        <v>23901377</v>
      </c>
      <c r="O37" s="14">
        <f ca="1">IFERROR(__xludf.DUMMYFUNCTION("""COMPUTED_VALUE"""),45354)</f>
        <v>45354</v>
      </c>
      <c r="P37" s="5" t="str">
        <f ca="1">IFERROR(__xludf.DUMMYFUNCTION("""COMPUTED_VALUE"""),"Encolamiento exceso pegante")</f>
        <v>Encolamiento exceso pegante</v>
      </c>
      <c r="Q37" s="5">
        <f ca="1">IFERROR(__xludf.DUMMYFUNCTION("""COMPUTED_VALUE"""),0.28)</f>
        <v>0.28000000000000003</v>
      </c>
      <c r="R37" s="15">
        <f ca="1">IFERROR(__xludf.DUMMYFUNCTION("""COMPUTED_VALUE"""),0.708333333333333)</f>
        <v>0.70833333333333304</v>
      </c>
      <c r="S37" s="15">
        <f ca="1">IFERROR(__xludf.DUMMYFUNCTION("""COMPUTED_VALUE"""),0.720138888888889)</f>
        <v>0.72013888888888899</v>
      </c>
      <c r="T37" s="5" t="str">
        <f ca="1">IFERROR(__xludf.DUMMYFUNCTION("""COMPUTED_VALUE"""),"LINE 1")</f>
        <v>LINE 1</v>
      </c>
      <c r="U37" s="5">
        <f ca="1">IFERROR(__xludf.DUMMYFUNCTION("""COMPUTED_VALUE"""),20020754)</f>
        <v>20020754</v>
      </c>
      <c r="V37" s="5" t="str">
        <f ca="1">IFERROR(__xludf.DUMMYFUNCTION("""COMPUTED_VALUE"""),"ETIQUETADORA ENVOLVENTE")</f>
        <v>ETIQUETADORA ENVOLVENTE</v>
      </c>
      <c r="W37" s="5" t="str">
        <f ca="1">IF(AND(LEN(T37)=0, LEN(U37)=0), "", IF(AND(LEN(T37)&gt;0, LEN(U37)=0), "BLANCO", IFERROR(VLOOKUP(U37, BasedatosM9!A:B, 2, FALSE), "BLANCO")))</f>
        <v>Sanchez Rodriguez Gerson Andres</v>
      </c>
      <c r="Y37" s="5" t="str">
        <f ca="1">IFERROR(__xludf.DUMMYFUNCTION("""COMPUTED_VALUE"""),"TURNO A")</f>
        <v>TURNO A</v>
      </c>
      <c r="Z37" s="5">
        <f ca="1">IFERROR(__xludf.DUMMYFUNCTION("""COMPUTED_VALUE"""),23911383)</f>
        <v>23911383</v>
      </c>
      <c r="AA37" s="14">
        <f ca="1">IFERROR(__xludf.DUMMYFUNCTION("""COMPUTED_VALUE"""),45359)</f>
        <v>45359</v>
      </c>
      <c r="AB37" s="5" t="str">
        <f ca="1">IFERROR(__xludf.DUMMYFUNCTION("""COMPUTED_VALUE"""),"se quema encoder")</f>
        <v>se quema encoder</v>
      </c>
      <c r="AC37" s="5">
        <f ca="1">IFERROR(__xludf.DUMMYFUNCTION("""COMPUTED_VALUE"""),0.17)</f>
        <v>0.17</v>
      </c>
      <c r="AD37" s="15">
        <f ca="1">IFERROR(__xludf.DUMMYFUNCTION("""COMPUTED_VALUE"""),0.25)</f>
        <v>0.25</v>
      </c>
      <c r="AE37" s="15">
        <f ca="1">IFERROR(__xludf.DUMMYFUNCTION("""COMPUTED_VALUE"""),0.256944444444444)</f>
        <v>0.25694444444444398</v>
      </c>
      <c r="AF37" s="5" t="str">
        <f ca="1">IFERROR(__xludf.DUMMYFUNCTION("""COMPUTED_VALUE"""),"LINE 8")</f>
        <v>LINE 8</v>
      </c>
      <c r="AG37" s="5">
        <f ca="1">IFERROR(__xludf.DUMMYFUNCTION("""COMPUTED_VALUE"""),20075520)</f>
        <v>20075520</v>
      </c>
      <c r="AH37" s="5" t="str">
        <f ca="1">IFERROR(__xludf.DUMMYFUNCTION("""COMPUTED_VALUE"""),"ENFARDADORA")</f>
        <v>ENFARDADORA</v>
      </c>
      <c r="AI37" s="5" t="str">
        <f ca="1">IF(AND(LEN(AF37)=0, LEN(AG37)=0), "", IF(AND(LEN(AF37)&gt;0, LEN(AG37)=0), "BLANCO", IFERROR(VLOOKUP(AG37, BasedatosM9!A:B, 2, FALSE), "BLANCO")))</f>
        <v>Andres Mesa</v>
      </c>
      <c r="AK37" s="5" t="str">
        <f ca="1">IFERROR(__xludf.DUMMYFUNCTION("""COMPUTED_VALUE"""),"TURNO C")</f>
        <v>TURNO C</v>
      </c>
      <c r="AL37" s="5">
        <f ca="1">IFERROR(__xludf.DUMMYFUNCTION("""COMPUTED_VALUE"""),23905367)</f>
        <v>23905367</v>
      </c>
      <c r="AM37" s="14">
        <f ca="1">IFERROR(__xludf.DUMMYFUNCTION("""COMPUTED_VALUE"""),45356)</f>
        <v>45356</v>
      </c>
      <c r="AN37" s="5" t="str">
        <f ca="1">IFERROR(__xludf.DUMMYFUNCTION("""COMPUTED_VALUE"""),"Tapa atascada en bajante")</f>
        <v>Tapa atascada en bajante</v>
      </c>
      <c r="AO37" s="5">
        <f ca="1">IFERROR(__xludf.DUMMYFUNCTION("""COMPUTED_VALUE"""),0.2)</f>
        <v>0.2</v>
      </c>
      <c r="AP37" s="15">
        <f ca="1">IFERROR(__xludf.DUMMYFUNCTION("""COMPUTED_VALUE"""),0.00694444444444444)</f>
        <v>6.9444444444444397E-3</v>
      </c>
      <c r="AQ37" s="15">
        <f ca="1">IFERROR(__xludf.DUMMYFUNCTION("""COMPUTED_VALUE"""),0.0152777777777777)</f>
        <v>1.5277777777777699E-2</v>
      </c>
      <c r="AR37" s="5" t="str">
        <f ca="1">IFERROR(__xludf.DUMMYFUNCTION("""COMPUTED_VALUE"""),"LINE 10")</f>
        <v>LINE 10</v>
      </c>
      <c r="AS37" s="5">
        <f ca="1">IFERROR(__xludf.DUMMYFUNCTION("""COMPUTED_VALUE"""),20022138)</f>
        <v>20022138</v>
      </c>
      <c r="AT37" s="5" t="str">
        <f ca="1">IFERROR(__xludf.DUMMYFUNCTION("""COMPUTED_VALUE"""),"INSPECTOR TAPA")</f>
        <v>INSPECTOR TAPA</v>
      </c>
      <c r="AU37" s="5" t="str">
        <f ca="1">IF(AND(LEN(AR37)=0, LEN(AS37)=0), "", IF(AND(LEN(AR37)&gt;0, LEN(AS37)=0), "BLANCO", IFERROR(VLOOKUP(AS37, BasedatosM9!A:B, 2, FALSE), "BLANCO")))</f>
        <v>Jose Correa</v>
      </c>
    </row>
    <row r="38" spans="1:47" ht="14.4">
      <c r="A38" s="21" t="s">
        <v>4767</v>
      </c>
      <c r="B38" s="86">
        <v>23901111</v>
      </c>
      <c r="C38" s="98">
        <v>45353</v>
      </c>
      <c r="D38" s="21" t="s">
        <v>4789</v>
      </c>
      <c r="E38" s="86">
        <v>0.28000000000000003</v>
      </c>
      <c r="F38" s="99">
        <v>0.98611111111111116</v>
      </c>
      <c r="G38" s="99">
        <v>0.99791666666666667</v>
      </c>
      <c r="H38" s="21" t="s">
        <v>4550</v>
      </c>
      <c r="I38" s="21"/>
      <c r="J38" s="21" t="s">
        <v>4755</v>
      </c>
      <c r="K38" s="5" t="str">
        <f>IF(AND(LEN(H38)=0, LEN(I38)=0), "", IF(AND(LEN(H38)&gt;0, LEN(I38)=0), "BLANCO", IFERROR(VLOOKUP(I38, BasedatosM9!A:B, 2, FALSE), "BLANCO")))</f>
        <v>BLANCO</v>
      </c>
      <c r="M38" s="5" t="str">
        <f ca="1">IFERROR(__xludf.DUMMYFUNCTION("""COMPUTED_VALUE"""),"TURNO B")</f>
        <v>TURNO B</v>
      </c>
      <c r="N38" s="5">
        <f ca="1">IFERROR(__xludf.DUMMYFUNCTION("""COMPUTED_VALUE"""),23901380)</f>
        <v>23901380</v>
      </c>
      <c r="O38" s="14">
        <f ca="1">IFERROR(__xludf.DUMMYFUNCTION("""COMPUTED_VALUE"""),45354)</f>
        <v>45354</v>
      </c>
      <c r="P38" s="5" t="str">
        <f ca="1">IFERROR(__xludf.DUMMYFUNCTION("""COMPUTED_VALUE"""),"Variador alarmado electricamente")</f>
        <v>Variador alarmado electricamente</v>
      </c>
      <c r="Q38" s="5">
        <f ca="1">IFERROR(__xludf.DUMMYFUNCTION("""COMPUTED_VALUE"""),0.1)</f>
        <v>0.1</v>
      </c>
      <c r="R38" s="15">
        <f ca="1">IFERROR(__xludf.DUMMYFUNCTION("""COMPUTED_VALUE"""),0.756944444444444)</f>
        <v>0.75694444444444398</v>
      </c>
      <c r="S38" s="15">
        <f ca="1">IFERROR(__xludf.DUMMYFUNCTION("""COMPUTED_VALUE"""),0.761111111111111)</f>
        <v>0.76111111111111096</v>
      </c>
      <c r="T38" s="5" t="str">
        <f ca="1">IFERROR(__xludf.DUMMYFUNCTION("""COMPUTED_VALUE"""),"LINE 1")</f>
        <v>LINE 1</v>
      </c>
      <c r="U38" s="5">
        <f ca="1">IFERROR(__xludf.DUMMYFUNCTION("""COMPUTED_VALUE"""),20009996)</f>
        <v>20009996</v>
      </c>
      <c r="V38" s="5" t="str">
        <f ca="1">IFERROR(__xludf.DUMMYFUNCTION("""COMPUTED_VALUE"""),"TRANSPORTADORES DE BEBIDA")</f>
        <v>TRANSPORTADORES DE BEBIDA</v>
      </c>
      <c r="W38" s="5" t="str">
        <f ca="1">IF(AND(LEN(T38)=0, LEN(U38)=0), "", IF(AND(LEN(T38)&gt;0, LEN(U38)=0), "BLANCO", IFERROR(VLOOKUP(U38, BasedatosM9!A:B, 2, FALSE), "BLANCO")))</f>
        <v>Fernando Montoya</v>
      </c>
      <c r="Y38" s="5" t="str">
        <f ca="1">IFERROR(__xludf.DUMMYFUNCTION("""COMPUTED_VALUE"""),"TURNO A")</f>
        <v>TURNO A</v>
      </c>
      <c r="Z38" s="5">
        <f ca="1">IFERROR(__xludf.DUMMYFUNCTION("""COMPUTED_VALUE"""),23911501)</f>
        <v>23911501</v>
      </c>
      <c r="AA38" s="14">
        <f ca="1">IFERROR(__xludf.DUMMYFUNCTION("""COMPUTED_VALUE"""),45359)</f>
        <v>45359</v>
      </c>
      <c r="AB38" s="5" t="str">
        <f ca="1">IFERROR(__xludf.DUMMYFUNCTION("""COMPUTED_VALUE"""),"Alto Nivel de Nitrógeno")</f>
        <v>Alto Nivel de Nitrógeno</v>
      </c>
      <c r="AC38" s="5">
        <f ca="1">IFERROR(__xludf.DUMMYFUNCTION("""COMPUTED_VALUE"""),0.08)</f>
        <v>0.08</v>
      </c>
      <c r="AD38" s="15">
        <f ca="1">IFERROR(__xludf.DUMMYFUNCTION("""COMPUTED_VALUE"""),0.559722222222222)</f>
        <v>0.55972222222222201</v>
      </c>
      <c r="AE38" s="15">
        <f ca="1">IFERROR(__xludf.DUMMYFUNCTION("""COMPUTED_VALUE"""),0.563194444444444)</f>
        <v>0.563194444444444</v>
      </c>
      <c r="AF38" s="5" t="str">
        <f ca="1">IFERROR(__xludf.DUMMYFUNCTION("""COMPUTED_VALUE"""),"LINE 8")</f>
        <v>LINE 8</v>
      </c>
      <c r="AG38" s="5">
        <f ca="1">IFERROR(__xludf.DUMMYFUNCTION("""COMPUTED_VALUE"""),20079805)</f>
        <v>20079805</v>
      </c>
      <c r="AH38" s="5" t="str">
        <f ca="1">IFERROR(__xludf.DUMMYFUNCTION("""COMPUTED_VALUE"""),"FALLA DOSIFICADOR NITROGENO")</f>
        <v>FALLA DOSIFICADOR NITROGENO</v>
      </c>
      <c r="AI38" s="5" t="str">
        <f ca="1">IF(AND(LEN(AF38)=0, LEN(AG38)=0), "", IF(AND(LEN(AF38)&gt;0, LEN(AG38)=0), "BLANCO", IFERROR(VLOOKUP(AG38, BasedatosM9!A:B, 2, FALSE), "BLANCO")))</f>
        <v>Jhonnys Fernandez</v>
      </c>
      <c r="AK38" s="5" t="str">
        <f ca="1">IFERROR(__xludf.DUMMYFUNCTION("""COMPUTED_VALUE"""),"TURNO C")</f>
        <v>TURNO C</v>
      </c>
      <c r="AL38" s="5">
        <f ca="1">IFERROR(__xludf.DUMMYFUNCTION("""COMPUTED_VALUE"""),23905368)</f>
        <v>23905368</v>
      </c>
      <c r="AM38" s="14">
        <f ca="1">IFERROR(__xludf.DUMMYFUNCTION("""COMPUTED_VALUE"""),45356)</f>
        <v>45356</v>
      </c>
      <c r="AN38" s="5" t="str">
        <f ca="1">IFERROR(__xludf.DUMMYFUNCTION("""COMPUTED_VALUE"""),"Preforma atascada en transportador")</f>
        <v>Preforma atascada en transportador</v>
      </c>
      <c r="AO38" s="5">
        <f ca="1">IFERROR(__xludf.DUMMYFUNCTION("""COMPUTED_VALUE"""),0.22)</f>
        <v>0.22</v>
      </c>
      <c r="AP38" s="15">
        <f ca="1">IFERROR(__xludf.DUMMYFUNCTION("""COMPUTED_VALUE"""),0.0208333333333333)</f>
        <v>2.0833333333333301E-2</v>
      </c>
      <c r="AQ38" s="15">
        <f ca="1">IFERROR(__xludf.DUMMYFUNCTION("""COMPUTED_VALUE"""),0.0298611111111111)</f>
        <v>2.9861111111111099E-2</v>
      </c>
      <c r="AR38" s="5" t="str">
        <f ca="1">IFERROR(__xludf.DUMMYFUNCTION("""COMPUTED_VALUE"""),"LINE 10")</f>
        <v>LINE 10</v>
      </c>
      <c r="AS38" s="5"/>
      <c r="AT38" s="5" t="str">
        <f ca="1">IFERROR(__xludf.DUMMYFUNCTION("""COMPUTED_VALUE"""),"TRANSPORTADOR DE PREFORMA")</f>
        <v>TRANSPORTADOR DE PREFORMA</v>
      </c>
      <c r="AU38" s="5" t="str">
        <f ca="1">IF(AND(LEN(AR38)=0, LEN(AS38)=0), "", IF(AND(LEN(AR38)&gt;0, LEN(AS38)=0), "BLANCO", IFERROR(VLOOKUP(AS38, BasedatosM9!A:B, 2, FALSE), "BLANCO")))</f>
        <v>BLANCO</v>
      </c>
    </row>
    <row r="39" spans="1:47" ht="14.4">
      <c r="A39" s="21" t="s">
        <v>4767</v>
      </c>
      <c r="B39" s="86">
        <v>23901127</v>
      </c>
      <c r="C39" s="98">
        <v>45353</v>
      </c>
      <c r="D39" s="21" t="s">
        <v>4790</v>
      </c>
      <c r="E39" s="86">
        <v>1.17</v>
      </c>
      <c r="F39" s="99">
        <v>0</v>
      </c>
      <c r="G39" s="99">
        <v>4.8611111111111112E-2</v>
      </c>
      <c r="H39" s="21" t="s">
        <v>4549</v>
      </c>
      <c r="I39" s="86">
        <v>20009758</v>
      </c>
      <c r="J39" s="21" t="s">
        <v>2955</v>
      </c>
      <c r="K39" s="5" t="str">
        <f>IF(AND(LEN(H39)=0, LEN(I39)=0), "", IF(AND(LEN(H39)&gt;0, LEN(I39)=0), "BLANCO", IFERROR(VLOOKUP(I39, BasedatosM9!A:B, 2, FALSE), "BLANCO")))</f>
        <v>Franco Castillo Brayan Steven</v>
      </c>
      <c r="M39" s="5" t="str">
        <f ca="1">IFERROR(__xludf.DUMMYFUNCTION("""COMPUTED_VALUE"""),"TURNO B")</f>
        <v>TURNO B</v>
      </c>
      <c r="N39" s="5">
        <f ca="1">IFERROR(__xludf.DUMMYFUNCTION("""COMPUTED_VALUE"""),23901465)</f>
        <v>23901465</v>
      </c>
      <c r="O39" s="14">
        <f ca="1">IFERROR(__xludf.DUMMYFUNCTION("""COMPUTED_VALUE"""),45354)</f>
        <v>45354</v>
      </c>
      <c r="P39" s="5" t="str">
        <f ca="1">IFERROR(__xludf.DUMMYFUNCTION("""COMPUTED_VALUE"""),"Encolamiento exceso pegante")</f>
        <v>Encolamiento exceso pegante</v>
      </c>
      <c r="Q39" s="5">
        <f ca="1">IFERROR(__xludf.DUMMYFUNCTION("""COMPUTED_VALUE"""),0.6)</f>
        <v>0.6</v>
      </c>
      <c r="R39" s="15">
        <f ca="1">IFERROR(__xludf.DUMMYFUNCTION("""COMPUTED_VALUE"""),0.583333333333333)</f>
        <v>0.58333333333333304</v>
      </c>
      <c r="S39" s="15">
        <f ca="1">IFERROR(__xludf.DUMMYFUNCTION("""COMPUTED_VALUE"""),0.608333333333333)</f>
        <v>0.60833333333333295</v>
      </c>
      <c r="T39" s="5" t="str">
        <f ca="1">IFERROR(__xludf.DUMMYFUNCTION("""COMPUTED_VALUE"""),"LINE 1")</f>
        <v>LINE 1</v>
      </c>
      <c r="U39" s="5">
        <f ca="1">IFERROR(__xludf.DUMMYFUNCTION("""COMPUTED_VALUE"""),20020754)</f>
        <v>20020754</v>
      </c>
      <c r="V39" s="5" t="str">
        <f ca="1">IFERROR(__xludf.DUMMYFUNCTION("""COMPUTED_VALUE"""),"ETIQUETADORA ENVOLVENTE")</f>
        <v>ETIQUETADORA ENVOLVENTE</v>
      </c>
      <c r="W39" s="5" t="str">
        <f ca="1">IF(AND(LEN(T39)=0, LEN(U39)=0), "", IF(AND(LEN(T39)&gt;0, LEN(U39)=0), "BLANCO", IFERROR(VLOOKUP(U39, BasedatosM9!A:B, 2, FALSE), "BLANCO")))</f>
        <v>Sanchez Rodriguez Gerson Andres</v>
      </c>
      <c r="AI39" s="5" t="str">
        <f>IF(AND(LEN(AF39)=0, LEN(AG39)=0), "", IF(AND(LEN(AF39)&gt;0, LEN(AG39)=0), "BLANCO", IFERROR(VLOOKUP(AG39, BasedatosM9!A:B, 2, FALSE), "BLANCO")))</f>
        <v/>
      </c>
      <c r="AK39" s="5" t="str">
        <f ca="1">IFERROR(__xludf.DUMMYFUNCTION("""COMPUTED_VALUE"""),"TURNO C")</f>
        <v>TURNO C</v>
      </c>
      <c r="AL39" s="5">
        <f ca="1">IFERROR(__xludf.DUMMYFUNCTION("""COMPUTED_VALUE"""),23905369)</f>
        <v>23905369</v>
      </c>
      <c r="AM39" s="14">
        <f ca="1">IFERROR(__xludf.DUMMYFUNCTION("""COMPUTED_VALUE"""),45356)</f>
        <v>45356</v>
      </c>
      <c r="AN39" s="5" t="str">
        <f ca="1">IFERROR(__xludf.DUMMYFUNCTION("""COMPUTED_VALUE"""),"Encolamiento por ausencia botella")</f>
        <v>Encolamiento por ausencia botella</v>
      </c>
      <c r="AO39" s="5">
        <f ca="1">IFERROR(__xludf.DUMMYFUNCTION("""COMPUTED_VALUE"""),0.27)</f>
        <v>0.27</v>
      </c>
      <c r="AP39" s="15">
        <f ca="1">IFERROR(__xludf.DUMMYFUNCTION("""COMPUTED_VALUE"""),0.0347222222222222)</f>
        <v>3.4722222222222203E-2</v>
      </c>
      <c r="AQ39" s="15">
        <f ca="1">IFERROR(__xludf.DUMMYFUNCTION("""COMPUTED_VALUE"""),0.0458333333333333)</f>
        <v>4.5833333333333302E-2</v>
      </c>
      <c r="AR39" s="5" t="str">
        <f ca="1">IFERROR(__xludf.DUMMYFUNCTION("""COMPUTED_VALUE"""),"LINE 10")</f>
        <v>LINE 10</v>
      </c>
      <c r="AS39" s="5">
        <f ca="1">IFERROR(__xludf.DUMMYFUNCTION("""COMPUTED_VALUE"""),20043570)</f>
        <v>20043570</v>
      </c>
      <c r="AT39" s="5" t="str">
        <f ca="1">IFERROR(__xludf.DUMMYFUNCTION("""COMPUTED_VALUE"""),"ETIQUETADORA ENVOLVENTE")</f>
        <v>ETIQUETADORA ENVOLVENTE</v>
      </c>
      <c r="AU39" s="5" t="str">
        <f ca="1">IF(AND(LEN(AR39)=0, LEN(AS39)=0), "", IF(AND(LEN(AR39)&gt;0, LEN(AS39)=0), "BLANCO", IFERROR(VLOOKUP(AS39, BasedatosM9!A:B, 2, FALSE), "BLANCO")))</f>
        <v>Jhon Navas</v>
      </c>
    </row>
    <row r="40" spans="1:47" ht="14.4">
      <c r="A40" s="21" t="s">
        <v>4742</v>
      </c>
      <c r="B40" s="86">
        <v>23901131</v>
      </c>
      <c r="C40" s="98">
        <v>45354</v>
      </c>
      <c r="D40" s="21" t="s">
        <v>4791</v>
      </c>
      <c r="E40" s="86">
        <v>0.3</v>
      </c>
      <c r="F40" s="99">
        <v>0.3444444444444445</v>
      </c>
      <c r="G40" s="99">
        <v>0.35694444444444445</v>
      </c>
      <c r="H40" s="21" t="s">
        <v>4549</v>
      </c>
      <c r="I40" s="86">
        <v>20075520</v>
      </c>
      <c r="J40" s="21" t="s">
        <v>2797</v>
      </c>
      <c r="K40" s="5" t="str">
        <f>IF(AND(LEN(H40)=0, LEN(I40)=0), "", IF(AND(LEN(H40)&gt;0, LEN(I40)=0), "BLANCO", IFERROR(VLOOKUP(I40, BasedatosM9!A:B, 2, FALSE), "BLANCO")))</f>
        <v>Andres Mesa</v>
      </c>
      <c r="M40" s="5" t="str">
        <f ca="1">IFERROR(__xludf.DUMMYFUNCTION("""COMPUTED_VALUE"""),"TURNO B")</f>
        <v>TURNO B</v>
      </c>
      <c r="N40" s="5">
        <f ca="1">IFERROR(__xludf.DUMMYFUNCTION("""COMPUTED_VALUE"""),23901467)</f>
        <v>23901467</v>
      </c>
      <c r="O40" s="14">
        <f ca="1">IFERROR(__xludf.DUMMYFUNCTION("""COMPUTED_VALUE"""),45354)</f>
        <v>45354</v>
      </c>
      <c r="P40" s="5" t="str">
        <f ca="1">IFERROR(__xludf.DUMMYFUNCTION("""COMPUTED_VALUE"""),"Atascamiento botellas")</f>
        <v>Atascamiento botellas</v>
      </c>
      <c r="Q40" s="5">
        <f ca="1">IFERROR(__xludf.DUMMYFUNCTION("""COMPUTED_VALUE"""),0.12)</f>
        <v>0.12</v>
      </c>
      <c r="R40" s="15">
        <f ca="1">IFERROR(__xludf.DUMMYFUNCTION("""COMPUTED_VALUE"""),0.840277777777777)</f>
        <v>0.84027777777777701</v>
      </c>
      <c r="S40" s="15">
        <f ca="1">IFERROR(__xludf.DUMMYFUNCTION("""COMPUTED_VALUE"""),0.845138888888889)</f>
        <v>0.84513888888888899</v>
      </c>
      <c r="T40" s="5" t="str">
        <f ca="1">IFERROR(__xludf.DUMMYFUNCTION("""COMPUTED_VALUE"""),"LINE 1")</f>
        <v>LINE 1</v>
      </c>
      <c r="U40" s="5"/>
      <c r="V40" s="5" t="str">
        <f ca="1">IFERROR(__xludf.DUMMYFUNCTION("""COMPUTED_VALUE"""),"TRANSPORTADORES DE ENVASE VACIO")</f>
        <v>TRANSPORTADORES DE ENVASE VACIO</v>
      </c>
      <c r="W40" s="5" t="str">
        <f ca="1">IF(AND(LEN(T40)=0, LEN(U40)=0), "", IF(AND(LEN(T40)&gt;0, LEN(U40)=0), "BLANCO", IFERROR(VLOOKUP(U40, BasedatosM9!A:B, 2, FALSE), "BLANCO")))</f>
        <v>BLANCO</v>
      </c>
      <c r="AI40" s="5" t="str">
        <f>IF(AND(LEN(AF40)=0, LEN(AG40)=0), "", IF(AND(LEN(AF40)&gt;0, LEN(AG40)=0), "BLANCO", IFERROR(VLOOKUP(AG40, BasedatosM9!A:B, 2, FALSE), "BLANCO")))</f>
        <v/>
      </c>
      <c r="AK40" s="5" t="str">
        <f ca="1">IFERROR(__xludf.DUMMYFUNCTION("""COMPUTED_VALUE"""),"TURNO C")</f>
        <v>TURNO C</v>
      </c>
      <c r="AL40" s="5">
        <f ca="1">IFERROR(__xludf.DUMMYFUNCTION("""COMPUTED_VALUE"""),23905510)</f>
        <v>23905510</v>
      </c>
      <c r="AM40" s="14">
        <f ca="1">IFERROR(__xludf.DUMMYFUNCTION("""COMPUTED_VALUE"""),45356)</f>
        <v>45356</v>
      </c>
      <c r="AN40" s="5" t="str">
        <f ca="1">IFERROR(__xludf.DUMMYFUNCTION("""COMPUTED_VALUE"""),"Contraste tapa")</f>
        <v>Contraste tapa</v>
      </c>
      <c r="AO40" s="5">
        <f ca="1">IFERROR(__xludf.DUMMYFUNCTION("""COMPUTED_VALUE"""),0.38)</f>
        <v>0.38</v>
      </c>
      <c r="AP40" s="15">
        <f ca="1">IFERROR(__xludf.DUMMYFUNCTION("""COMPUTED_VALUE"""),0.0763888888888889)</f>
        <v>7.6388888888888895E-2</v>
      </c>
      <c r="AQ40" s="15">
        <f ca="1">IFERROR(__xludf.DUMMYFUNCTION("""COMPUTED_VALUE"""),0.0923611111111111)</f>
        <v>9.2361111111111102E-2</v>
      </c>
      <c r="AR40" s="5" t="str">
        <f ca="1">IFERROR(__xludf.DUMMYFUNCTION("""COMPUTED_VALUE"""),"LINE 10")</f>
        <v>LINE 10</v>
      </c>
      <c r="AS40" s="5">
        <f ca="1">IFERROR(__xludf.DUMMYFUNCTION("""COMPUTED_VALUE"""),20022138)</f>
        <v>20022138</v>
      </c>
      <c r="AT40" s="5" t="str">
        <f ca="1">IFERROR(__xludf.DUMMYFUNCTION("""COMPUTED_VALUE"""),"INSPECTOR TAPA")</f>
        <v>INSPECTOR TAPA</v>
      </c>
      <c r="AU40" s="5" t="str">
        <f ca="1">IF(AND(LEN(AR40)=0, LEN(AS40)=0), "", IF(AND(LEN(AR40)&gt;0, LEN(AS40)=0), "BLANCO", IFERROR(VLOOKUP(AS40, BasedatosM9!A:B, 2, FALSE), "BLANCO")))</f>
        <v>Jose Correa</v>
      </c>
    </row>
    <row r="41" spans="1:47" ht="14.4">
      <c r="A41" s="21" t="s">
        <v>4767</v>
      </c>
      <c r="B41" s="86">
        <v>23901142</v>
      </c>
      <c r="C41" s="98">
        <v>45353</v>
      </c>
      <c r="D41" s="21" t="s">
        <v>4792</v>
      </c>
      <c r="E41" s="86">
        <v>0.25</v>
      </c>
      <c r="F41" s="99">
        <v>3.4722222222222224E-2</v>
      </c>
      <c r="G41" s="99">
        <v>4.5138888888888888E-2</v>
      </c>
      <c r="H41" s="21" t="s">
        <v>4551</v>
      </c>
      <c r="I41" s="86">
        <v>20009721</v>
      </c>
      <c r="J41" s="21" t="s">
        <v>79</v>
      </c>
      <c r="K41" s="5" t="str">
        <f>IF(AND(LEN(H41)=0, LEN(I41)=0), "", IF(AND(LEN(H41)&gt;0, LEN(I41)=0), "BLANCO", IFERROR(VLOOKUP(I41, BasedatosM9!A:B, 2, FALSE), "BLANCO")))</f>
        <v>Alejandro Davila</v>
      </c>
      <c r="M41" s="5" t="str">
        <f ca="1">IFERROR(__xludf.DUMMYFUNCTION("""COMPUTED_VALUE"""),"TURNO C")</f>
        <v>TURNO C</v>
      </c>
      <c r="N41" s="5">
        <f ca="1">IFERROR(__xludf.DUMMYFUNCTION("""COMPUTED_VALUE"""),23901470)</f>
        <v>23901470</v>
      </c>
      <c r="O41" s="14">
        <f ca="1">IFERROR(__xludf.DUMMYFUNCTION("""COMPUTED_VALUE"""),45354)</f>
        <v>45354</v>
      </c>
      <c r="P41" s="5" t="str">
        <f ca="1">IFERROR(__xludf.DUMMYFUNCTION("""COMPUTED_VALUE"""),"Atascamiento botellas")</f>
        <v>Atascamiento botellas</v>
      </c>
      <c r="Q41" s="5">
        <f ca="1">IFERROR(__xludf.DUMMYFUNCTION("""COMPUTED_VALUE"""),0.07)</f>
        <v>7.0000000000000007E-2</v>
      </c>
      <c r="R41" s="15">
        <f ca="1">IFERROR(__xludf.DUMMYFUNCTION("""COMPUTED_VALUE"""),0.924305555555555)</f>
        <v>0.92430555555555505</v>
      </c>
      <c r="S41" s="15">
        <f ca="1">IFERROR(__xludf.DUMMYFUNCTION("""COMPUTED_VALUE"""),0.927083333333333)</f>
        <v>0.92708333333333304</v>
      </c>
      <c r="T41" s="5" t="str">
        <f ca="1">IFERROR(__xludf.DUMMYFUNCTION("""COMPUTED_VALUE"""),"LINE 1")</f>
        <v>LINE 1</v>
      </c>
      <c r="U41" s="5">
        <f ca="1">IFERROR(__xludf.DUMMYFUNCTION("""COMPUTED_VALUE"""),20009721)</f>
        <v>20009721</v>
      </c>
      <c r="V41" s="5" t="str">
        <f ca="1">IFERROR(__xludf.DUMMYFUNCTION("""COMPUTED_VALUE"""),"TRANSPORTADORES DE ENVASE VACIO")</f>
        <v>TRANSPORTADORES DE ENVASE VACIO</v>
      </c>
      <c r="W41" s="5" t="str">
        <f ca="1">IF(AND(LEN(T41)=0, LEN(U41)=0), "", IF(AND(LEN(T41)&gt;0, LEN(U41)=0), "BLANCO", IFERROR(VLOOKUP(U41, BasedatosM9!A:B, 2, FALSE), "BLANCO")))</f>
        <v>Alejandro Davila</v>
      </c>
      <c r="AI41" s="5" t="str">
        <f>IF(AND(LEN(AF41)=0, LEN(AG41)=0), "", IF(AND(LEN(AF41)&gt;0, LEN(AG41)=0), "BLANCO", IFERROR(VLOOKUP(AG41, BasedatosM9!A:B, 2, FALSE), "BLANCO")))</f>
        <v/>
      </c>
      <c r="AK41" s="5" t="str">
        <f ca="1">IFERROR(__xludf.DUMMYFUNCTION("""COMPUTED_VALUE"""),"TURNO C")</f>
        <v>TURNO C</v>
      </c>
      <c r="AL41" s="5">
        <f ca="1">IFERROR(__xludf.DUMMYFUNCTION("""COMPUTED_VALUE"""),23905634)</f>
        <v>23905634</v>
      </c>
      <c r="AM41" s="14">
        <f ca="1">IFERROR(__xludf.DUMMYFUNCTION("""COMPUTED_VALUE"""),45356)</f>
        <v>45356</v>
      </c>
      <c r="AN41" s="5" t="str">
        <f ca="1">IFERROR(__xludf.DUMMYFUNCTION("""COMPUTED_VALUE"""),"Preforma atascada en transportador")</f>
        <v>Preforma atascada en transportador</v>
      </c>
      <c r="AO41" s="5">
        <f ca="1">IFERROR(__xludf.DUMMYFUNCTION("""COMPUTED_VALUE"""),0.13)</f>
        <v>0.13</v>
      </c>
      <c r="AP41" s="15">
        <f ca="1">IFERROR(__xludf.DUMMYFUNCTION("""COMPUTED_VALUE"""),0.104166666666666)</f>
        <v>0.10416666666666601</v>
      </c>
      <c r="AQ41" s="15">
        <f ca="1">IFERROR(__xludf.DUMMYFUNCTION("""COMPUTED_VALUE"""),0.109722222222222)</f>
        <v>0.109722222222222</v>
      </c>
      <c r="AR41" s="5" t="str">
        <f ca="1">IFERROR(__xludf.DUMMYFUNCTION("""COMPUTED_VALUE"""),"LINE 10")</f>
        <v>LINE 10</v>
      </c>
      <c r="AS41" s="5"/>
      <c r="AT41" s="5" t="str">
        <f ca="1">IFERROR(__xludf.DUMMYFUNCTION("""COMPUTED_VALUE"""),"TRANSPORTADOR DE PREFORMA")</f>
        <v>TRANSPORTADOR DE PREFORMA</v>
      </c>
      <c r="AU41" s="5" t="str">
        <f ca="1">IF(AND(LEN(AR41)=0, LEN(AS41)=0), "", IF(AND(LEN(AR41)&gt;0, LEN(AS41)=0), "BLANCO", IFERROR(VLOOKUP(AS41, BasedatosM9!A:B, 2, FALSE), "BLANCO")))</f>
        <v>BLANCO</v>
      </c>
    </row>
    <row r="42" spans="1:47" ht="14.4">
      <c r="A42" s="21" t="s">
        <v>4767</v>
      </c>
      <c r="B42" s="86">
        <v>23901144</v>
      </c>
      <c r="C42" s="98">
        <v>45353</v>
      </c>
      <c r="D42" s="21" t="s">
        <v>4745</v>
      </c>
      <c r="E42" s="86">
        <v>0.1</v>
      </c>
      <c r="F42" s="99">
        <v>5.6250000000000001E-2</v>
      </c>
      <c r="G42" s="99">
        <v>6.0416666666666667E-2</v>
      </c>
      <c r="H42" s="21" t="s">
        <v>4551</v>
      </c>
      <c r="I42" s="86">
        <v>20009721</v>
      </c>
      <c r="J42" s="21" t="s">
        <v>4746</v>
      </c>
      <c r="K42" s="5" t="str">
        <f>IF(AND(LEN(H42)=0, LEN(I42)=0), "", IF(AND(LEN(H42)&gt;0, LEN(I42)=0), "BLANCO", IFERROR(VLOOKUP(I42, BasedatosM9!A:B, 2, FALSE), "BLANCO")))</f>
        <v>Alejandro Davila</v>
      </c>
      <c r="M42" s="5" t="str">
        <f ca="1">IFERROR(__xludf.DUMMYFUNCTION("""COMPUTED_VALUE"""),"TURNO C")</f>
        <v>TURNO C</v>
      </c>
      <c r="N42" s="5">
        <f ca="1">IFERROR(__xludf.DUMMYFUNCTION("""COMPUTED_VALUE"""),23901471)</f>
        <v>23901471</v>
      </c>
      <c r="O42" s="14">
        <f ca="1">IFERROR(__xludf.DUMMYFUNCTION("""COMPUTED_VALUE"""),45354)</f>
        <v>45354</v>
      </c>
      <c r="P42" s="5" t="str">
        <f ca="1">IFERROR(__xludf.DUMMYFUNCTION("""COMPUTED_VALUE"""),"Caida de botellas salida llenadora")</f>
        <v>Caida de botellas salida llenadora</v>
      </c>
      <c r="Q42" s="5">
        <f ca="1">IFERROR(__xludf.DUMMYFUNCTION("""COMPUTED_VALUE"""),0.1)</f>
        <v>0.1</v>
      </c>
      <c r="R42" s="15">
        <f ca="1">IFERROR(__xludf.DUMMYFUNCTION("""COMPUTED_VALUE"""),0.939583333333333)</f>
        <v>0.93958333333333299</v>
      </c>
      <c r="S42" s="15">
        <f ca="1">IFERROR(__xludf.DUMMYFUNCTION("""COMPUTED_VALUE"""),0.94375)</f>
        <v>0.94374999999999998</v>
      </c>
      <c r="T42" s="5" t="str">
        <f ca="1">IFERROR(__xludf.DUMMYFUNCTION("""COMPUTED_VALUE"""),"LINE 1")</f>
        <v>LINE 1</v>
      </c>
      <c r="U42" s="5">
        <f ca="1">IFERROR(__xludf.DUMMYFUNCTION("""COMPUTED_VALUE"""),20036419)</f>
        <v>20036419</v>
      </c>
      <c r="V42" s="5" t="str">
        <f ca="1">IFERROR(__xludf.DUMMYFUNCTION("""COMPUTED_VALUE"""),"TRANSPORTADORES DE BEBIDA")</f>
        <v>TRANSPORTADORES DE BEBIDA</v>
      </c>
      <c r="W42" s="5" t="str">
        <f ca="1">IF(AND(LEN(T42)=0, LEN(U42)=0), "", IF(AND(LEN(T42)&gt;0, LEN(U42)=0), "BLANCO", IFERROR(VLOOKUP(U42, BasedatosM9!A:B, 2, FALSE), "BLANCO")))</f>
        <v>Adalcides Campo</v>
      </c>
      <c r="AI42" s="5" t="str">
        <f>IF(AND(LEN(AF42)=0, LEN(AG42)=0), "", IF(AND(LEN(AF42)&gt;0, LEN(AG42)=0), "BLANCO", IFERROR(VLOOKUP(AG42, BasedatosM9!A:B, 2, FALSE), "BLANCO")))</f>
        <v/>
      </c>
      <c r="AK42" s="5" t="str">
        <f ca="1">IFERROR(__xludf.DUMMYFUNCTION("""COMPUTED_VALUE"""),"TURNO A")</f>
        <v>TURNO A</v>
      </c>
      <c r="AL42" s="5">
        <f ca="1">IFERROR(__xludf.DUMMYFUNCTION("""COMPUTED_VALUE"""),23906271)</f>
        <v>23906271</v>
      </c>
      <c r="AM42" s="14">
        <f ca="1">IFERROR(__xludf.DUMMYFUNCTION("""COMPUTED_VALUE"""),45357)</f>
        <v>45357</v>
      </c>
      <c r="AN42" s="5" t="str">
        <f ca="1">IFERROR(__xludf.DUMMYFUNCTION("""COMPUTED_VALUE"""),"Tapa atascada en bajante")</f>
        <v>Tapa atascada en bajante</v>
      </c>
      <c r="AO42" s="5">
        <f ca="1">IFERROR(__xludf.DUMMYFUNCTION("""COMPUTED_VALUE"""),0.32)</f>
        <v>0.32</v>
      </c>
      <c r="AP42" s="15">
        <f ca="1">IFERROR(__xludf.DUMMYFUNCTION("""COMPUTED_VALUE"""),0.256944444444444)</f>
        <v>0.25694444444444398</v>
      </c>
      <c r="AQ42" s="15">
        <f ca="1">IFERROR(__xludf.DUMMYFUNCTION("""COMPUTED_VALUE"""),0.270138888888888)</f>
        <v>0.27013888888888798</v>
      </c>
      <c r="AR42" s="5" t="str">
        <f ca="1">IFERROR(__xludf.DUMMYFUNCTION("""COMPUTED_VALUE"""),"LINE 10")</f>
        <v>LINE 10</v>
      </c>
      <c r="AS42" s="5"/>
      <c r="AT42" s="5" t="str">
        <f ca="1">IFERROR(__xludf.DUMMYFUNCTION("""COMPUTED_VALUE"""),"INSPECTOR TAPA")</f>
        <v>INSPECTOR TAPA</v>
      </c>
      <c r="AU42" s="5" t="str">
        <f ca="1">IF(AND(LEN(AR42)=0, LEN(AS42)=0), "", IF(AND(LEN(AR42)&gt;0, LEN(AS42)=0), "BLANCO", IFERROR(VLOOKUP(AS42, BasedatosM9!A:B, 2, FALSE), "BLANCO")))</f>
        <v>BLANCO</v>
      </c>
    </row>
    <row r="43" spans="1:47" ht="14.4">
      <c r="A43" s="21" t="s">
        <v>4767</v>
      </c>
      <c r="B43" s="86">
        <v>23901145</v>
      </c>
      <c r="C43" s="98">
        <v>45353</v>
      </c>
      <c r="D43" s="21" t="s">
        <v>4783</v>
      </c>
      <c r="E43" s="86">
        <v>0.17</v>
      </c>
      <c r="F43" s="99">
        <v>6.9444444444444434E-2</v>
      </c>
      <c r="G43" s="99">
        <v>7.6388888888888895E-2</v>
      </c>
      <c r="H43" s="21" t="s">
        <v>4551</v>
      </c>
      <c r="I43" s="86">
        <v>20084469</v>
      </c>
      <c r="J43" s="21" t="s">
        <v>2797</v>
      </c>
      <c r="K43" s="5" t="str">
        <f>IF(AND(LEN(H43)=0, LEN(I43)=0), "", IF(AND(LEN(H43)&gt;0, LEN(I43)=0), "BLANCO", IFERROR(VLOOKUP(I43, BasedatosM9!A:B, 2, FALSE), "BLANCO")))</f>
        <v>Mauricio Murillo Arrollo</v>
      </c>
      <c r="M43" s="5" t="str">
        <f ca="1">IFERROR(__xludf.DUMMYFUNCTION("""COMPUTED_VALUE"""),"TURNO C")</f>
        <v>TURNO C</v>
      </c>
      <c r="N43" s="5">
        <f ca="1">IFERROR(__xludf.DUMMYFUNCTION("""COMPUTED_VALUE"""),23901533)</f>
        <v>23901533</v>
      </c>
      <c r="O43" s="14">
        <f ca="1">IFERROR(__xludf.DUMMYFUNCTION("""COMPUTED_VALUE"""),45354)</f>
        <v>45354</v>
      </c>
      <c r="P43" s="5" t="str">
        <f ca="1">IFERROR(__xludf.DUMMYFUNCTION("""COMPUTED_VALUE"""),"Caida de botellas salida llenadora")</f>
        <v>Caida de botellas salida llenadora</v>
      </c>
      <c r="Q43" s="5">
        <f ca="1">IFERROR(__xludf.DUMMYFUNCTION("""COMPUTED_VALUE"""),0.08)</f>
        <v>0.08</v>
      </c>
      <c r="R43" s="15">
        <f ca="1">IFERROR(__xludf.DUMMYFUNCTION("""COMPUTED_VALUE"""),0.961805555555555)</f>
        <v>0.96180555555555503</v>
      </c>
      <c r="S43" s="15">
        <f ca="1">IFERROR(__xludf.DUMMYFUNCTION("""COMPUTED_VALUE"""),0.965277777777777)</f>
        <v>0.96527777777777701</v>
      </c>
      <c r="T43" s="5" t="str">
        <f ca="1">IFERROR(__xludf.DUMMYFUNCTION("""COMPUTED_VALUE"""),"LINE 1")</f>
        <v>LINE 1</v>
      </c>
      <c r="U43" s="5">
        <f ca="1">IFERROR(__xludf.DUMMYFUNCTION("""COMPUTED_VALUE"""),20036419)</f>
        <v>20036419</v>
      </c>
      <c r="V43" s="5" t="str">
        <f ca="1">IFERROR(__xludf.DUMMYFUNCTION("""COMPUTED_VALUE"""),"TRANSPORTADORES DE BEBIDA")</f>
        <v>TRANSPORTADORES DE BEBIDA</v>
      </c>
      <c r="W43" s="5" t="str">
        <f ca="1">IF(AND(LEN(T43)=0, LEN(U43)=0), "", IF(AND(LEN(T43)&gt;0, LEN(U43)=0), "BLANCO", IFERROR(VLOOKUP(U43, BasedatosM9!A:B, 2, FALSE), "BLANCO")))</f>
        <v>Adalcides Campo</v>
      </c>
      <c r="AI43" s="5" t="str">
        <f>IF(AND(LEN(AF43)=0, LEN(AG43)=0), "", IF(AND(LEN(AF43)&gt;0, LEN(AG43)=0), "BLANCO", IFERROR(VLOOKUP(AG43, BasedatosM9!A:B, 2, FALSE), "BLANCO")))</f>
        <v/>
      </c>
      <c r="AK43" s="5" t="str">
        <f ca="1">IFERROR(__xludf.DUMMYFUNCTION("""COMPUTED_VALUE"""),"TURNO A")</f>
        <v>TURNO A</v>
      </c>
      <c r="AL43" s="5">
        <f ca="1">IFERROR(__xludf.DUMMYFUNCTION("""COMPUTED_VALUE"""),23906313)</f>
        <v>23906313</v>
      </c>
      <c r="AM43" s="14">
        <f ca="1">IFERROR(__xludf.DUMMYFUNCTION("""COMPUTED_VALUE"""),45357)</f>
        <v>45357</v>
      </c>
      <c r="AN43" s="5" t="str">
        <f ca="1">IFERROR(__xludf.DUMMYFUNCTION("""COMPUTED_VALUE"""),"Encolamiento en agregado No. 1")</f>
        <v>Encolamiento en agregado No. 1</v>
      </c>
      <c r="AO43" s="5">
        <f ca="1">IFERROR(__xludf.DUMMYFUNCTION("""COMPUTED_VALUE"""),0.13)</f>
        <v>0.13</v>
      </c>
      <c r="AP43" s="15">
        <f ca="1">IFERROR(__xludf.DUMMYFUNCTION("""COMPUTED_VALUE"""),0.333333333333333)</f>
        <v>0.33333333333333298</v>
      </c>
      <c r="AQ43" s="15">
        <f ca="1">IFERROR(__xludf.DUMMYFUNCTION("""COMPUTED_VALUE"""),0.338888888888888)</f>
        <v>0.33888888888888802</v>
      </c>
      <c r="AR43" s="5" t="str">
        <f ca="1">IFERROR(__xludf.DUMMYFUNCTION("""COMPUTED_VALUE"""),"LINE 10")</f>
        <v>LINE 10</v>
      </c>
      <c r="AS43" s="5"/>
      <c r="AT43" s="5" t="str">
        <f ca="1">IFERROR(__xludf.DUMMYFUNCTION("""COMPUTED_VALUE"""),"ETIQUETADORA ENVOLVENTE")</f>
        <v>ETIQUETADORA ENVOLVENTE</v>
      </c>
      <c r="AU43" s="5" t="str">
        <f ca="1">IF(AND(LEN(AR43)=0, LEN(AS43)=0), "", IF(AND(LEN(AR43)&gt;0, LEN(AS43)=0), "BLANCO", IFERROR(VLOOKUP(AS43, BasedatosM9!A:B, 2, FALSE), "BLANCO")))</f>
        <v>BLANCO</v>
      </c>
    </row>
    <row r="44" spans="1:47" ht="14.4">
      <c r="A44" s="21" t="s">
        <v>4767</v>
      </c>
      <c r="B44" s="86">
        <v>23901147</v>
      </c>
      <c r="C44" s="98">
        <v>45353</v>
      </c>
      <c r="D44" s="21" t="s">
        <v>4793</v>
      </c>
      <c r="E44" s="86">
        <v>0.1</v>
      </c>
      <c r="F44" s="99">
        <v>9.4444444444444442E-2</v>
      </c>
      <c r="G44" s="99">
        <v>9.8611111111111108E-2</v>
      </c>
      <c r="H44" s="21" t="s">
        <v>4551</v>
      </c>
      <c r="I44" s="86">
        <v>20009721</v>
      </c>
      <c r="J44" s="21" t="s">
        <v>4746</v>
      </c>
      <c r="K44" s="5" t="str">
        <f>IF(AND(LEN(H44)=0, LEN(I44)=0), "", IF(AND(LEN(H44)&gt;0, LEN(I44)=0), "BLANCO", IFERROR(VLOOKUP(I44, BasedatosM9!A:B, 2, FALSE), "BLANCO")))</f>
        <v>Alejandro Davila</v>
      </c>
      <c r="M44" s="5" t="str">
        <f ca="1">IFERROR(__xludf.DUMMYFUNCTION("""COMPUTED_VALUE"""),"TURNO C")</f>
        <v>TURNO C</v>
      </c>
      <c r="N44" s="5">
        <f ca="1">IFERROR(__xludf.DUMMYFUNCTION("""COMPUTED_VALUE"""),23901534)</f>
        <v>23901534</v>
      </c>
      <c r="O44" s="14">
        <f ca="1">IFERROR(__xludf.DUMMYFUNCTION("""COMPUTED_VALUE"""),45354)</f>
        <v>45354</v>
      </c>
      <c r="P44" s="5" t="str">
        <f ca="1">IFERROR(__xludf.DUMMYFUNCTION("""COMPUTED_VALUE"""),"Atascamiento botella ingreso")</f>
        <v>Atascamiento botella ingreso</v>
      </c>
      <c r="Q44" s="5">
        <f ca="1">IFERROR(__xludf.DUMMYFUNCTION("""COMPUTED_VALUE"""),0.1)</f>
        <v>0.1</v>
      </c>
      <c r="R44" s="15">
        <f ca="1">IFERROR(__xludf.DUMMYFUNCTION("""COMPUTED_VALUE"""),0.969444444444444)</f>
        <v>0.969444444444444</v>
      </c>
      <c r="S44" s="15">
        <f ca="1">IFERROR(__xludf.DUMMYFUNCTION("""COMPUTED_VALUE"""),0.973611111111111)</f>
        <v>0.97361111111111098</v>
      </c>
      <c r="T44" s="5" t="str">
        <f ca="1">IFERROR(__xludf.DUMMYFUNCTION("""COMPUTED_VALUE"""),"LINE 1")</f>
        <v>LINE 1</v>
      </c>
      <c r="U44" s="5">
        <f ca="1">IFERROR(__xludf.DUMMYFUNCTION("""COMPUTED_VALUE"""),20036419)</f>
        <v>20036419</v>
      </c>
      <c r="V44" s="5" t="str">
        <f ca="1">IFERROR(__xludf.DUMMYFUNCTION("""COMPUTED_VALUE"""),"RINSER ( LATA - PET )")</f>
        <v>RINSER ( LATA - PET )</v>
      </c>
      <c r="W44" s="5" t="str">
        <f ca="1">IF(AND(LEN(T44)=0, LEN(U44)=0), "", IF(AND(LEN(T44)&gt;0, LEN(U44)=0), "BLANCO", IFERROR(VLOOKUP(U44, BasedatosM9!A:B, 2, FALSE), "BLANCO")))</f>
        <v>Adalcides Campo</v>
      </c>
      <c r="AI44" s="5" t="str">
        <f>IF(AND(LEN(AF44)=0, LEN(AG44)=0), "", IF(AND(LEN(AF44)&gt;0, LEN(AG44)=0), "BLANCO", IFERROR(VLOOKUP(AG44, BasedatosM9!A:B, 2, FALSE), "BLANCO")))</f>
        <v/>
      </c>
      <c r="AK44" s="5" t="str">
        <f ca="1">IFERROR(__xludf.DUMMYFUNCTION("""COMPUTED_VALUE"""),"TURNO B")</f>
        <v>TURNO B</v>
      </c>
      <c r="AL44" s="5">
        <f ca="1">IFERROR(__xludf.DUMMYFUNCTION("""COMPUTED_VALUE"""),23907337)</f>
        <v>23907337</v>
      </c>
      <c r="AM44" s="14">
        <f ca="1">IFERROR(__xludf.DUMMYFUNCTION("""COMPUTED_VALUE"""),45357)</f>
        <v>45357</v>
      </c>
      <c r="AN44" s="5" t="str">
        <f ca="1">IFERROR(__xludf.DUMMYFUNCTION("""COMPUTED_VALUE"""),"Encolamiento por exceso de pegante")</f>
        <v>Encolamiento por exceso de pegante</v>
      </c>
      <c r="AO44" s="5">
        <f ca="1">IFERROR(__xludf.DUMMYFUNCTION("""COMPUTED_VALUE"""),0.33)</f>
        <v>0.33</v>
      </c>
      <c r="AP44" s="15">
        <f ca="1">IFERROR(__xludf.DUMMYFUNCTION("""COMPUTED_VALUE"""),0.625)</f>
        <v>0.625</v>
      </c>
      <c r="AQ44" s="15">
        <f ca="1">IFERROR(__xludf.DUMMYFUNCTION("""COMPUTED_VALUE"""),0.638888888888889)</f>
        <v>0.63888888888888895</v>
      </c>
      <c r="AR44" s="5" t="str">
        <f ca="1">IFERROR(__xludf.DUMMYFUNCTION("""COMPUTED_VALUE"""),"LINE 10")</f>
        <v>LINE 10</v>
      </c>
      <c r="AS44" s="5">
        <f ca="1">IFERROR(__xludf.DUMMYFUNCTION("""COMPUTED_VALUE"""),20010079)</f>
        <v>20010079</v>
      </c>
      <c r="AT44" s="5" t="str">
        <f ca="1">IFERROR(__xludf.DUMMYFUNCTION("""COMPUTED_VALUE"""),"ETIQUETADORA ENVOLVENTE")</f>
        <v>ETIQUETADORA ENVOLVENTE</v>
      </c>
      <c r="AU44" s="5" t="str">
        <f ca="1">IF(AND(LEN(AR44)=0, LEN(AS44)=0), "", IF(AND(LEN(AR44)&gt;0, LEN(AS44)=0), "BLANCO", IFERROR(VLOOKUP(AS44, BasedatosM9!A:B, 2, FALSE), "BLANCO")))</f>
        <v>Peña Quiñonez Andres Gilberto</v>
      </c>
    </row>
    <row r="45" spans="1:47" ht="14.4">
      <c r="A45" s="21" t="s">
        <v>4767</v>
      </c>
      <c r="B45" s="86">
        <v>23901148</v>
      </c>
      <c r="C45" s="98">
        <v>45353</v>
      </c>
      <c r="D45" s="21" t="s">
        <v>4792</v>
      </c>
      <c r="E45" s="86">
        <v>0.17</v>
      </c>
      <c r="F45" s="99">
        <v>0.10902777777777778</v>
      </c>
      <c r="G45" s="99">
        <v>0.11597222222222221</v>
      </c>
      <c r="H45" s="21" t="s">
        <v>4551</v>
      </c>
      <c r="I45" s="86">
        <v>20009721</v>
      </c>
      <c r="J45" s="21" t="s">
        <v>79</v>
      </c>
      <c r="K45" s="5" t="str">
        <f>IF(AND(LEN(H45)=0, LEN(I45)=0), "", IF(AND(LEN(H45)&gt;0, LEN(I45)=0), "BLANCO", IFERROR(VLOOKUP(I45, BasedatosM9!A:B, 2, FALSE), "BLANCO")))</f>
        <v>Alejandro Davila</v>
      </c>
      <c r="M45" s="5" t="str">
        <f ca="1">IFERROR(__xludf.DUMMYFUNCTION("""COMPUTED_VALUE"""),"TURNO C")</f>
        <v>TURNO C</v>
      </c>
      <c r="N45" s="5">
        <f ca="1">IFERROR(__xludf.DUMMYFUNCTION("""COMPUTED_VALUE"""),23901535)</f>
        <v>23901535</v>
      </c>
      <c r="O45" s="14">
        <f ca="1">IFERROR(__xludf.DUMMYFUNCTION("""COMPUTED_VALUE"""),45354)</f>
        <v>45354</v>
      </c>
      <c r="P45" s="5" t="str">
        <f ca="1">IFERROR(__xludf.DUMMYFUNCTION("""COMPUTED_VALUE"""),"Botella mal posicionada")</f>
        <v>Botella mal posicionada</v>
      </c>
      <c r="Q45" s="5">
        <f ca="1">IFERROR(__xludf.DUMMYFUNCTION("""COMPUTED_VALUE"""),0.07)</f>
        <v>7.0000000000000007E-2</v>
      </c>
      <c r="R45" s="15">
        <f ca="1">IFERROR(__xludf.DUMMYFUNCTION("""COMPUTED_VALUE"""),0.986111111111111)</f>
        <v>0.98611111111111105</v>
      </c>
      <c r="S45" s="15">
        <f ca="1">IFERROR(__xludf.DUMMYFUNCTION("""COMPUTED_VALUE"""),0.988888888888888)</f>
        <v>0.98888888888888804</v>
      </c>
      <c r="T45" s="5" t="str">
        <f ca="1">IFERROR(__xludf.DUMMYFUNCTION("""COMPUTED_VALUE"""),"LINE 1")</f>
        <v>LINE 1</v>
      </c>
      <c r="U45" s="5">
        <f ca="1">IFERROR(__xludf.DUMMYFUNCTION("""COMPUTED_VALUE"""),20009721)</f>
        <v>20009721</v>
      </c>
      <c r="V45" s="5" t="str">
        <f ca="1">IFERROR(__xludf.DUMMYFUNCTION("""COMPUTED_VALUE"""),"ETIQUETADORA ENVOLVENTE")</f>
        <v>ETIQUETADORA ENVOLVENTE</v>
      </c>
      <c r="W45" s="5" t="str">
        <f ca="1">IF(AND(LEN(T45)=0, LEN(U45)=0), "", IF(AND(LEN(T45)&gt;0, LEN(U45)=0), "BLANCO", IFERROR(VLOOKUP(U45, BasedatosM9!A:B, 2, FALSE), "BLANCO")))</f>
        <v>Alejandro Davila</v>
      </c>
      <c r="AI45" s="5" t="str">
        <f>IF(AND(LEN(AF45)=0, LEN(AG45)=0), "", IF(AND(LEN(AF45)&gt;0, LEN(AG45)=0), "BLANCO", IFERROR(VLOOKUP(AG45, BasedatosM9!A:B, 2, FALSE), "BLANCO")))</f>
        <v/>
      </c>
      <c r="AK45" s="5" t="str">
        <f ca="1">IFERROR(__xludf.DUMMYFUNCTION("""COMPUTED_VALUE"""),"TURNO B")</f>
        <v>TURNO B</v>
      </c>
      <c r="AL45" s="5">
        <f ca="1">IFERROR(__xludf.DUMMYFUNCTION("""COMPUTED_VALUE"""),23907339)</f>
        <v>23907339</v>
      </c>
      <c r="AM45" s="14">
        <f ca="1">IFERROR(__xludf.DUMMYFUNCTION("""COMPUTED_VALUE"""),45357)</f>
        <v>45357</v>
      </c>
      <c r="AN45" s="5" t="str">
        <f ca="1">IFERROR(__xludf.DUMMYFUNCTION("""COMPUTED_VALUE"""),"Encolamiento por exceso de pegante")</f>
        <v>Encolamiento por exceso de pegante</v>
      </c>
      <c r="AO45" s="5">
        <f ca="1">IFERROR(__xludf.DUMMYFUNCTION("""COMPUTED_VALUE"""),0.25)</f>
        <v>0.25</v>
      </c>
      <c r="AP45" s="15">
        <f ca="1">IFERROR(__xludf.DUMMYFUNCTION("""COMPUTED_VALUE"""),0.6875)</f>
        <v>0.6875</v>
      </c>
      <c r="AQ45" s="15">
        <f ca="1">IFERROR(__xludf.DUMMYFUNCTION("""COMPUTED_VALUE"""),0.697916666666666)</f>
        <v>0.69791666666666596</v>
      </c>
      <c r="AR45" s="5" t="str">
        <f ca="1">IFERROR(__xludf.DUMMYFUNCTION("""COMPUTED_VALUE"""),"LINE 10")</f>
        <v>LINE 10</v>
      </c>
      <c r="AS45" s="5">
        <f ca="1">IFERROR(__xludf.DUMMYFUNCTION("""COMPUTED_VALUE"""),20010079)</f>
        <v>20010079</v>
      </c>
      <c r="AT45" s="5" t="str">
        <f ca="1">IFERROR(__xludf.DUMMYFUNCTION("""COMPUTED_VALUE"""),"ETIQUETADORA ENVOLVENTE")</f>
        <v>ETIQUETADORA ENVOLVENTE</v>
      </c>
      <c r="AU45" s="5" t="str">
        <f ca="1">IF(AND(LEN(AR45)=0, LEN(AS45)=0), "", IF(AND(LEN(AR45)&gt;0, LEN(AS45)=0), "BLANCO", IFERROR(VLOOKUP(AS45, BasedatosM9!A:B, 2, FALSE), "BLANCO")))</f>
        <v>Peña Quiñonez Andres Gilberto</v>
      </c>
    </row>
    <row r="46" spans="1:47" ht="14.4">
      <c r="A46" s="21" t="s">
        <v>4767</v>
      </c>
      <c r="B46" s="86">
        <v>23901190</v>
      </c>
      <c r="C46" s="98">
        <v>45353</v>
      </c>
      <c r="D46" s="21" t="s">
        <v>4765</v>
      </c>
      <c r="E46" s="86">
        <v>0.53</v>
      </c>
      <c r="F46" s="99">
        <v>0.13194444444444445</v>
      </c>
      <c r="G46" s="99">
        <v>0.15416666666666667</v>
      </c>
      <c r="H46" s="21" t="s">
        <v>4551</v>
      </c>
      <c r="I46" s="86">
        <v>20009721</v>
      </c>
      <c r="J46" s="21" t="s">
        <v>79</v>
      </c>
      <c r="K46" s="5" t="str">
        <f>IF(AND(LEN(H46)=0, LEN(I46)=0), "", IF(AND(LEN(H46)&gt;0, LEN(I46)=0), "BLANCO", IFERROR(VLOOKUP(I46, BasedatosM9!A:B, 2, FALSE), "BLANCO")))</f>
        <v>Alejandro Davila</v>
      </c>
      <c r="M46" s="5" t="str">
        <f ca="1">IFERROR(__xludf.DUMMYFUNCTION("""COMPUTED_VALUE"""),"TURNO A")</f>
        <v>TURNO A</v>
      </c>
      <c r="N46" s="5">
        <f ca="1">IFERROR(__xludf.DUMMYFUNCTION("""COMPUTED_VALUE"""),23901539)</f>
        <v>23901539</v>
      </c>
      <c r="O46" s="14">
        <f ca="1">IFERROR(__xludf.DUMMYFUNCTION("""COMPUTED_VALUE"""),45354)</f>
        <v>45354</v>
      </c>
      <c r="P46" s="5" t="str">
        <f ca="1">IFERROR(__xludf.DUMMYFUNCTION("""COMPUTED_VALUE"""),"Ajuste transportador aereo")</f>
        <v>Ajuste transportador aereo</v>
      </c>
      <c r="Q46" s="5">
        <f ca="1">IFERROR(__xludf.DUMMYFUNCTION("""COMPUTED_VALUE"""),0.6)</f>
        <v>0.6</v>
      </c>
      <c r="R46" s="15">
        <f ca="1">IFERROR(__xludf.DUMMYFUNCTION("""COMPUTED_VALUE"""),0.558333333333333)</f>
        <v>0.55833333333333302</v>
      </c>
      <c r="S46" s="15">
        <f ca="1">IFERROR(__xludf.DUMMYFUNCTION("""COMPUTED_VALUE"""),0.583333333333333)</f>
        <v>0.58333333333333304</v>
      </c>
      <c r="T46" s="5" t="str">
        <f ca="1">IFERROR(__xludf.DUMMYFUNCTION("""COMPUTED_VALUE"""),"LINE 1")</f>
        <v>LINE 1</v>
      </c>
      <c r="U46" s="5">
        <f ca="1">IFERROR(__xludf.DUMMYFUNCTION("""COMPUTED_VALUE"""),20020754)</f>
        <v>20020754</v>
      </c>
      <c r="V46" s="5" t="str">
        <f ca="1">IFERROR(__xludf.DUMMYFUNCTION("""COMPUTED_VALUE"""),"TRANSPORTADORES DE ENVASE VACIO")</f>
        <v>TRANSPORTADORES DE ENVASE VACIO</v>
      </c>
      <c r="W46" s="5" t="str">
        <f ca="1">IF(AND(LEN(T46)=0, LEN(U46)=0), "", IF(AND(LEN(T46)&gt;0, LEN(U46)=0), "BLANCO", IFERROR(VLOOKUP(U46, BasedatosM9!A:B, 2, FALSE), "BLANCO")))</f>
        <v>Sanchez Rodriguez Gerson Andres</v>
      </c>
      <c r="AI46" s="5" t="str">
        <f>IF(AND(LEN(AF46)=0, LEN(AG46)=0), "", IF(AND(LEN(AF46)&gt;0, LEN(AG46)=0), "BLANCO", IFERROR(VLOOKUP(AG46, BasedatosM9!A:B, 2, FALSE), "BLANCO")))</f>
        <v/>
      </c>
      <c r="AK46" s="5" t="str">
        <f ca="1">IFERROR(__xludf.DUMMYFUNCTION("""COMPUTED_VALUE"""),"TURNO B")</f>
        <v>TURNO B</v>
      </c>
      <c r="AL46" s="5">
        <f ca="1">IFERROR(__xludf.DUMMYFUNCTION("""COMPUTED_VALUE"""),23907535)</f>
        <v>23907535</v>
      </c>
      <c r="AM46" s="14">
        <f ca="1">IFERROR(__xludf.DUMMYFUNCTION("""COMPUTED_VALUE"""),45357)</f>
        <v>45357</v>
      </c>
      <c r="AN46" s="5" t="str">
        <f ca="1">IFERROR(__xludf.DUMMYFUNCTION("""COMPUTED_VALUE"""),"Atascamiento tapa volteada")</f>
        <v>Atascamiento tapa volteada</v>
      </c>
      <c r="AO46" s="5">
        <f ca="1">IFERROR(__xludf.DUMMYFUNCTION("""COMPUTED_VALUE"""),0.15)</f>
        <v>0.15</v>
      </c>
      <c r="AP46" s="15">
        <f ca="1">IFERROR(__xludf.DUMMYFUNCTION("""COMPUTED_VALUE"""),0.854166666666666)</f>
        <v>0.85416666666666596</v>
      </c>
      <c r="AQ46" s="15">
        <f ca="1">IFERROR(__xludf.DUMMYFUNCTION("""COMPUTED_VALUE"""),0.860416666666666)</f>
        <v>0.86041666666666605</v>
      </c>
      <c r="AR46" s="5" t="str">
        <f ca="1">IFERROR(__xludf.DUMMYFUNCTION("""COMPUTED_VALUE"""),"LINE 10")</f>
        <v>LINE 10</v>
      </c>
      <c r="AS46" s="5">
        <f ca="1">IFERROR(__xludf.DUMMYFUNCTION("""COMPUTED_VALUE"""),20032893)</f>
        <v>20032893</v>
      </c>
      <c r="AT46" s="5" t="str">
        <f ca="1">IFERROR(__xludf.DUMMYFUNCTION("""COMPUTED_VALUE"""),"INSPECTOR TAPA")</f>
        <v>INSPECTOR TAPA</v>
      </c>
      <c r="AU46" s="5" t="str">
        <f ca="1">IF(AND(LEN(AR46)=0, LEN(AS46)=0), "", IF(AND(LEN(AR46)&gt;0, LEN(AS46)=0), "BLANCO", IFERROR(VLOOKUP(AS46, BasedatosM9!A:B, 2, FALSE), "BLANCO")))</f>
        <v>Bolaños Camacho Luis Miguel</v>
      </c>
    </row>
    <row r="47" spans="1:47" ht="14.4">
      <c r="A47" s="21" t="s">
        <v>4767</v>
      </c>
      <c r="B47" s="86">
        <v>23901194</v>
      </c>
      <c r="C47" s="98">
        <v>45353</v>
      </c>
      <c r="D47" s="21" t="s">
        <v>4794</v>
      </c>
      <c r="E47" s="86">
        <v>0.1</v>
      </c>
      <c r="F47" s="99">
        <v>4.8611111111111112E-2</v>
      </c>
      <c r="G47" s="99">
        <v>5.2777777777777778E-2</v>
      </c>
      <c r="H47" s="21" t="s">
        <v>4550</v>
      </c>
      <c r="I47" s="86">
        <v>20043570</v>
      </c>
      <c r="J47" s="21" t="s">
        <v>79</v>
      </c>
      <c r="K47" s="5" t="str">
        <f>IF(AND(LEN(H47)=0, LEN(I47)=0), "", IF(AND(LEN(H47)&gt;0, LEN(I47)=0), "BLANCO", IFERROR(VLOOKUP(I47, BasedatosM9!A:B, 2, FALSE), "BLANCO")))</f>
        <v>Jhon Navas</v>
      </c>
      <c r="M47" s="5" t="str">
        <f ca="1">IFERROR(__xludf.DUMMYFUNCTION("""COMPUTED_VALUE"""),"TURNO C")</f>
        <v>TURNO C</v>
      </c>
      <c r="N47" s="5">
        <f ca="1">IFERROR(__xludf.DUMMYFUNCTION("""COMPUTED_VALUE"""),23901632)</f>
        <v>23901632</v>
      </c>
      <c r="O47" s="14">
        <f ca="1">IFERROR(__xludf.DUMMYFUNCTION("""COMPUTED_VALUE"""),45354)</f>
        <v>45354</v>
      </c>
      <c r="P47" s="5" t="str">
        <f ca="1">IFERROR(__xludf.DUMMYFUNCTION("""COMPUTED_VALUE"""),"Botella mal posicionada")</f>
        <v>Botella mal posicionada</v>
      </c>
      <c r="Q47" s="5">
        <f ca="1">IFERROR(__xludf.DUMMYFUNCTION("""COMPUTED_VALUE"""),0.12)</f>
        <v>0.12</v>
      </c>
      <c r="R47" s="15">
        <f ca="1">IFERROR(__xludf.DUMMYFUNCTION("""COMPUTED_VALUE"""),0.131944444444444)</f>
        <v>0.131944444444444</v>
      </c>
      <c r="S47" s="15">
        <f ca="1">IFERROR(__xludf.DUMMYFUNCTION("""COMPUTED_VALUE"""),0.136805555555555)</f>
        <v>0.13680555555555499</v>
      </c>
      <c r="T47" s="5" t="str">
        <f ca="1">IFERROR(__xludf.DUMMYFUNCTION("""COMPUTED_VALUE"""),"LINE 1")</f>
        <v>LINE 1</v>
      </c>
      <c r="U47" s="5">
        <f ca="1">IFERROR(__xludf.DUMMYFUNCTION("""COMPUTED_VALUE"""),20009721)</f>
        <v>20009721</v>
      </c>
      <c r="V47" s="5" t="str">
        <f ca="1">IFERROR(__xludf.DUMMYFUNCTION("""COMPUTED_VALUE"""),"ETIQUETADORA ENVOLVENTE")</f>
        <v>ETIQUETADORA ENVOLVENTE</v>
      </c>
      <c r="W47" s="5" t="str">
        <f ca="1">IF(AND(LEN(T47)=0, LEN(U47)=0), "", IF(AND(LEN(T47)&gt;0, LEN(U47)=0), "BLANCO", IFERROR(VLOOKUP(U47, BasedatosM9!A:B, 2, FALSE), "BLANCO")))</f>
        <v>Alejandro Davila</v>
      </c>
      <c r="AI47" s="5" t="str">
        <f>IF(AND(LEN(AF47)=0, LEN(AG47)=0), "", IF(AND(LEN(AF47)&gt;0, LEN(AG47)=0), "BLANCO", IFERROR(VLOOKUP(AG47, BasedatosM9!A:B, 2, FALSE), "BLANCO")))</f>
        <v/>
      </c>
      <c r="AK47" s="5" t="str">
        <f ca="1">IFERROR(__xludf.DUMMYFUNCTION("""COMPUTED_VALUE"""),"TURNO C")</f>
        <v>TURNO C</v>
      </c>
      <c r="AL47" s="5">
        <f ca="1">IFERROR(__xludf.DUMMYFUNCTION("""COMPUTED_VALUE"""),23907802)</f>
        <v>23907802</v>
      </c>
      <c r="AM47" s="14">
        <f ca="1">IFERROR(__xludf.DUMMYFUNCTION("""COMPUTED_VALUE"""),45357)</f>
        <v>45357</v>
      </c>
      <c r="AN47" s="5" t="str">
        <f ca="1">IFERROR(__xludf.DUMMYFUNCTION("""COMPUTED_VALUE"""),"Encolamiento por ausencia botella")</f>
        <v>Encolamiento por ausencia botella</v>
      </c>
      <c r="AO47" s="5">
        <f ca="1">IFERROR(__xludf.DUMMYFUNCTION("""COMPUTED_VALUE"""),0.2)</f>
        <v>0.2</v>
      </c>
      <c r="AP47" s="15">
        <f ca="1">IFERROR(__xludf.DUMMYFUNCTION("""COMPUTED_VALUE"""),0.9375)</f>
        <v>0.9375</v>
      </c>
      <c r="AQ47" s="15">
        <f ca="1">IFERROR(__xludf.DUMMYFUNCTION("""COMPUTED_VALUE"""),0.945833333333333)</f>
        <v>0.94583333333333297</v>
      </c>
      <c r="AR47" s="5" t="str">
        <f ca="1">IFERROR(__xludf.DUMMYFUNCTION("""COMPUTED_VALUE"""),"LINE 10")</f>
        <v>LINE 10</v>
      </c>
      <c r="AS47" s="5">
        <f ca="1">IFERROR(__xludf.DUMMYFUNCTION("""COMPUTED_VALUE"""),20043570)</f>
        <v>20043570</v>
      </c>
      <c r="AT47" s="5" t="str">
        <f ca="1">IFERROR(__xludf.DUMMYFUNCTION("""COMPUTED_VALUE"""),"ETIQUETADORA ENVOLVENTE")</f>
        <v>ETIQUETADORA ENVOLVENTE</v>
      </c>
      <c r="AU47" s="5" t="str">
        <f ca="1">IF(AND(LEN(AR47)=0, LEN(AS47)=0), "", IF(AND(LEN(AR47)&gt;0, LEN(AS47)=0), "BLANCO", IFERROR(VLOOKUP(AS47, BasedatosM9!A:B, 2, FALSE), "BLANCO")))</f>
        <v>Jhon Navas</v>
      </c>
    </row>
    <row r="48" spans="1:47" ht="14.4">
      <c r="A48" s="21" t="s">
        <v>4767</v>
      </c>
      <c r="B48" s="86">
        <v>23901196</v>
      </c>
      <c r="C48" s="98">
        <v>45353</v>
      </c>
      <c r="D48" s="21" t="s">
        <v>4795</v>
      </c>
      <c r="E48" s="86">
        <v>0.17</v>
      </c>
      <c r="F48" s="99">
        <v>0.18055555555555555</v>
      </c>
      <c r="G48" s="99">
        <v>0.1875</v>
      </c>
      <c r="H48" s="21" t="s">
        <v>4550</v>
      </c>
      <c r="I48" s="21"/>
      <c r="J48" s="21" t="s">
        <v>79</v>
      </c>
      <c r="K48" s="5" t="str">
        <f>IF(AND(LEN(H48)=0, LEN(I48)=0), "", IF(AND(LEN(H48)&gt;0, LEN(I48)=0), "BLANCO", IFERROR(VLOOKUP(I48, BasedatosM9!A:B, 2, FALSE), "BLANCO")))</f>
        <v>BLANCO</v>
      </c>
      <c r="M48" s="5" t="str">
        <f ca="1">IFERROR(__xludf.DUMMYFUNCTION("""COMPUTED_VALUE"""),"TURNO C")</f>
        <v>TURNO C</v>
      </c>
      <c r="N48" s="5">
        <f ca="1">IFERROR(__xludf.DUMMYFUNCTION("""COMPUTED_VALUE"""),23901637)</f>
        <v>23901637</v>
      </c>
      <c r="O48" s="14">
        <f ca="1">IFERROR(__xludf.DUMMYFUNCTION("""COMPUTED_VALUE"""),45354)</f>
        <v>45354</v>
      </c>
      <c r="P48" s="5" t="str">
        <f ca="1">IFERROR(__xludf.DUMMYFUNCTION("""COMPUTED_VALUE"""),"Se estrella botella a la salida")</f>
        <v>Se estrella botella a la salida</v>
      </c>
      <c r="Q48" s="5">
        <f ca="1">IFERROR(__xludf.DUMMYFUNCTION("""COMPUTED_VALUE"""),0.85)</f>
        <v>0.85</v>
      </c>
      <c r="R48" s="15">
        <f ca="1">IFERROR(__xludf.DUMMYFUNCTION("""COMPUTED_VALUE"""),0.19375)</f>
        <v>0.19375000000000001</v>
      </c>
      <c r="S48" s="15">
        <f ca="1">IFERROR(__xludf.DUMMYFUNCTION("""COMPUTED_VALUE"""),0.229166666666666)</f>
        <v>0.22916666666666599</v>
      </c>
      <c r="T48" s="5" t="str">
        <f ca="1">IFERROR(__xludf.DUMMYFUNCTION("""COMPUTED_VALUE"""),"LINE 1")</f>
        <v>LINE 1</v>
      </c>
      <c r="U48" s="5">
        <f ca="1">IFERROR(__xludf.DUMMYFUNCTION("""COMPUTED_VALUE"""),20009721)</f>
        <v>20009721</v>
      </c>
      <c r="V48" s="5" t="str">
        <f ca="1">IFERROR(__xludf.DUMMYFUNCTION("""COMPUTED_VALUE"""),"ETIQUETADORA ENVOLVENTE")</f>
        <v>ETIQUETADORA ENVOLVENTE</v>
      </c>
      <c r="W48" s="5" t="str">
        <f ca="1">IF(AND(LEN(T48)=0, LEN(U48)=0), "", IF(AND(LEN(T48)&gt;0, LEN(U48)=0), "BLANCO", IFERROR(VLOOKUP(U48, BasedatosM9!A:B, 2, FALSE), "BLANCO")))</f>
        <v>Alejandro Davila</v>
      </c>
      <c r="AI48" s="5" t="str">
        <f>IF(AND(LEN(AF48)=0, LEN(AG48)=0), "", IF(AND(LEN(AF48)&gt;0, LEN(AG48)=0), "BLANCO", IFERROR(VLOOKUP(AG48, BasedatosM9!A:B, 2, FALSE), "BLANCO")))</f>
        <v/>
      </c>
      <c r="AK48" s="5" t="str">
        <f ca="1">IFERROR(__xludf.DUMMYFUNCTION("""COMPUTED_VALUE"""),"TURNO C")</f>
        <v>TURNO C</v>
      </c>
      <c r="AL48" s="5">
        <f ca="1">IFERROR(__xludf.DUMMYFUNCTION("""COMPUTED_VALUE"""),23907804)</f>
        <v>23907804</v>
      </c>
      <c r="AM48" s="14">
        <f ca="1">IFERROR(__xludf.DUMMYFUNCTION("""COMPUTED_VALUE"""),45357)</f>
        <v>45357</v>
      </c>
      <c r="AN48" s="5" t="str">
        <f ca="1">IFERROR(__xludf.DUMMYFUNCTION("""COMPUTED_VALUE"""),"Tapa atascada en bajante")</f>
        <v>Tapa atascada en bajante</v>
      </c>
      <c r="AO48" s="5">
        <f ca="1">IFERROR(__xludf.DUMMYFUNCTION("""COMPUTED_VALUE"""),0.32)</f>
        <v>0.32</v>
      </c>
      <c r="AP48" s="15">
        <f ca="1">IFERROR(__xludf.DUMMYFUNCTION("""COMPUTED_VALUE"""),0.965277777777777)</f>
        <v>0.96527777777777701</v>
      </c>
      <c r="AQ48" s="15">
        <f ca="1">IFERROR(__xludf.DUMMYFUNCTION("""COMPUTED_VALUE"""),0.978472222222222)</f>
        <v>0.97847222222222197</v>
      </c>
      <c r="AR48" s="5" t="str">
        <f ca="1">IFERROR(__xludf.DUMMYFUNCTION("""COMPUTED_VALUE"""),"LINE 10")</f>
        <v>LINE 10</v>
      </c>
      <c r="AS48" s="5">
        <f ca="1">IFERROR(__xludf.DUMMYFUNCTION("""COMPUTED_VALUE"""),20022138)</f>
        <v>20022138</v>
      </c>
      <c r="AT48" s="5" t="str">
        <f ca="1">IFERROR(__xludf.DUMMYFUNCTION("""COMPUTED_VALUE"""),"INSPECTOR TAPA")</f>
        <v>INSPECTOR TAPA</v>
      </c>
      <c r="AU48" s="5" t="str">
        <f ca="1">IF(AND(LEN(AR48)=0, LEN(AS48)=0), "", IF(AND(LEN(AR48)&gt;0, LEN(AS48)=0), "BLANCO", IFERROR(VLOOKUP(AS48, BasedatosM9!A:B, 2, FALSE), "BLANCO")))</f>
        <v>Jose Correa</v>
      </c>
    </row>
    <row r="49" spans="1:47" ht="14.4">
      <c r="A49" s="21" t="s">
        <v>4767</v>
      </c>
      <c r="B49" s="86">
        <v>23901213</v>
      </c>
      <c r="C49" s="98">
        <v>45353</v>
      </c>
      <c r="D49" s="21" t="s">
        <v>4796</v>
      </c>
      <c r="E49" s="86">
        <v>0.12</v>
      </c>
      <c r="F49" s="99">
        <v>0.1763888888888889</v>
      </c>
      <c r="G49" s="99">
        <v>0.18124999999999999</v>
      </c>
      <c r="H49" s="21" t="s">
        <v>4551</v>
      </c>
      <c r="I49" s="86">
        <v>20084469</v>
      </c>
      <c r="J49" s="21" t="s">
        <v>4797</v>
      </c>
      <c r="K49" s="5" t="str">
        <f>IF(AND(LEN(H49)=0, LEN(I49)=0), "", IF(AND(LEN(H49)&gt;0, LEN(I49)=0), "BLANCO", IFERROR(VLOOKUP(I49, BasedatosM9!A:B, 2, FALSE), "BLANCO")))</f>
        <v>Mauricio Murillo Arrollo</v>
      </c>
      <c r="M49" s="5" t="str">
        <f ca="1">IFERROR(__xludf.DUMMYFUNCTION("""COMPUTED_VALUE"""),"TURNO B")</f>
        <v>TURNO B</v>
      </c>
      <c r="N49" s="5">
        <f ca="1">IFERROR(__xludf.DUMMYFUNCTION("""COMPUTED_VALUE"""),23902821)</f>
        <v>23902821</v>
      </c>
      <c r="O49" s="14">
        <f ca="1">IFERROR(__xludf.DUMMYFUNCTION("""COMPUTED_VALUE"""),45355)</f>
        <v>45355</v>
      </c>
      <c r="P49" s="5" t="str">
        <f ca="1">IFERROR(__xludf.DUMMYFUNCTION("""COMPUTED_VALUE"""),"Cambio pinza estrella de transferencia")</f>
        <v>Cambio pinza estrella de transferencia</v>
      </c>
      <c r="Q49" s="5">
        <f ca="1">IFERROR(__xludf.DUMMYFUNCTION("""COMPUTED_VALUE"""),0.17)</f>
        <v>0.17</v>
      </c>
      <c r="R49" s="15">
        <f ca="1">IFERROR(__xludf.DUMMYFUNCTION("""COMPUTED_VALUE"""),0.65625)</f>
        <v>0.65625</v>
      </c>
      <c r="S49" s="15">
        <f ca="1">IFERROR(__xludf.DUMMYFUNCTION("""COMPUTED_VALUE"""),0.663194444444444)</f>
        <v>0.66319444444444398</v>
      </c>
      <c r="T49" s="5" t="str">
        <f ca="1">IFERROR(__xludf.DUMMYFUNCTION("""COMPUTED_VALUE"""),"LINE 1")</f>
        <v>LINE 1</v>
      </c>
      <c r="U49" s="5">
        <f ca="1">IFERROR(__xludf.DUMMYFUNCTION("""COMPUTED_VALUE"""),20019987)</f>
        <v>20019987</v>
      </c>
      <c r="V49" s="5" t="str">
        <f ca="1">IFERROR(__xludf.DUMMYFUNCTION("""COMPUTED_VALUE"""),"LLENADORA BOTELLAS PET")</f>
        <v>LLENADORA BOTELLAS PET</v>
      </c>
      <c r="W49" s="5" t="str">
        <f ca="1">IF(AND(LEN(T49)=0, LEN(U49)=0), "", IF(AND(LEN(T49)&gt;0, LEN(U49)=0), "BLANCO", IFERROR(VLOOKUP(U49, BasedatosM9!A:B, 2, FALSE), "BLANCO")))</f>
        <v>Aguado Lemos Luis Eyder</v>
      </c>
      <c r="AI49" s="5" t="str">
        <f>IF(AND(LEN(AF49)=0, LEN(AG49)=0), "", IF(AND(LEN(AF49)&gt;0, LEN(AG49)=0), "BLANCO", IFERROR(VLOOKUP(AG49, BasedatosM9!A:B, 2, FALSE), "BLANCO")))</f>
        <v/>
      </c>
      <c r="AK49" s="5" t="str">
        <f ca="1">IFERROR(__xludf.DUMMYFUNCTION("""COMPUTED_VALUE"""),"TURNO C")</f>
        <v>TURNO C</v>
      </c>
      <c r="AL49" s="5">
        <f ca="1">IFERROR(__xludf.DUMMYFUNCTION("""COMPUTED_VALUE"""),23907807)</f>
        <v>23907807</v>
      </c>
      <c r="AM49" s="14">
        <f ca="1">IFERROR(__xludf.DUMMYFUNCTION("""COMPUTED_VALUE"""),45357)</f>
        <v>45357</v>
      </c>
      <c r="AN49" s="5" t="str">
        <f ca="1">IFERROR(__xludf.DUMMYFUNCTION("""COMPUTED_VALUE"""),"Preforma atascada en transportador")</f>
        <v>Preforma atascada en transportador</v>
      </c>
      <c r="AO49" s="5">
        <f ca="1">IFERROR(__xludf.DUMMYFUNCTION("""COMPUTED_VALUE"""),0.43)</f>
        <v>0.43</v>
      </c>
      <c r="AP49" s="15">
        <f ca="1">IFERROR(__xludf.DUMMYFUNCTION("""COMPUTED_VALUE"""),0.00347222222222222)</f>
        <v>3.4722222222222199E-3</v>
      </c>
      <c r="AQ49" s="15">
        <f ca="1">IFERROR(__xludf.DUMMYFUNCTION("""COMPUTED_VALUE"""),0.0215277777777777)</f>
        <v>2.1527777777777701E-2</v>
      </c>
      <c r="AR49" s="5" t="str">
        <f ca="1">IFERROR(__xludf.DUMMYFUNCTION("""COMPUTED_VALUE"""),"LINE 10")</f>
        <v>LINE 10</v>
      </c>
      <c r="AS49" s="5"/>
      <c r="AT49" s="5" t="str">
        <f ca="1">IFERROR(__xludf.DUMMYFUNCTION("""COMPUTED_VALUE"""),"TRANSPORTADOR DE PREFORMA")</f>
        <v>TRANSPORTADOR DE PREFORMA</v>
      </c>
      <c r="AU49" s="5" t="str">
        <f ca="1">IF(AND(LEN(AR49)=0, LEN(AS49)=0), "", IF(AND(LEN(AR49)&gt;0, LEN(AS49)=0), "BLANCO", IFERROR(VLOOKUP(AS49, BasedatosM9!A:B, 2, FALSE), "BLANCO")))</f>
        <v>BLANCO</v>
      </c>
    </row>
    <row r="50" spans="1:47" ht="14.4">
      <c r="A50" s="21" t="s">
        <v>4767</v>
      </c>
      <c r="B50" s="86">
        <v>23901218</v>
      </c>
      <c r="C50" s="98">
        <v>45353</v>
      </c>
      <c r="D50" s="21" t="s">
        <v>4798</v>
      </c>
      <c r="E50" s="86">
        <v>0.17</v>
      </c>
      <c r="F50" s="99">
        <v>0.21180555555555555</v>
      </c>
      <c r="G50" s="99">
        <v>0.21875</v>
      </c>
      <c r="H50" s="21" t="s">
        <v>4551</v>
      </c>
      <c r="I50" s="86">
        <v>20084469</v>
      </c>
      <c r="J50" s="21" t="s">
        <v>2797</v>
      </c>
      <c r="K50" s="5" t="str">
        <f>IF(AND(LEN(H50)=0, LEN(I50)=0), "", IF(AND(LEN(H50)&gt;0, LEN(I50)=0), "BLANCO", IFERROR(VLOOKUP(I50, BasedatosM9!A:B, 2, FALSE), "BLANCO")))</f>
        <v>Mauricio Murillo Arrollo</v>
      </c>
      <c r="M50" s="5" t="str">
        <f ca="1">IFERROR(__xludf.DUMMYFUNCTION("""COMPUTED_VALUE"""),"TURNO B")</f>
        <v>TURNO B</v>
      </c>
      <c r="N50" s="5">
        <f ca="1">IFERROR(__xludf.DUMMYFUNCTION("""COMPUTED_VALUE"""),23902902)</f>
        <v>23902902</v>
      </c>
      <c r="O50" s="14">
        <f ca="1">IFERROR(__xludf.DUMMYFUNCTION("""COMPUTED_VALUE"""),45355)</f>
        <v>45355</v>
      </c>
      <c r="P50" s="5" t="str">
        <f ca="1">IFERROR(__xludf.DUMMYFUNCTION("""COMPUTED_VALUE"""),"Cambio cilindro mesa plegado")</f>
        <v>Cambio cilindro mesa plegado</v>
      </c>
      <c r="Q50" s="5">
        <f ca="1">IFERROR(__xludf.DUMMYFUNCTION("""COMPUTED_VALUE"""),2.13)</f>
        <v>2.13</v>
      </c>
      <c r="R50" s="15">
        <f ca="1">IFERROR(__xludf.DUMMYFUNCTION("""COMPUTED_VALUE"""),0.659722222222222)</f>
        <v>0.65972222222222199</v>
      </c>
      <c r="S50" s="15">
        <f ca="1">IFERROR(__xludf.DUMMYFUNCTION("""COMPUTED_VALUE"""),0.748611111111111)</f>
        <v>0.74861111111111101</v>
      </c>
      <c r="T50" s="5" t="str">
        <f ca="1">IFERROR(__xludf.DUMMYFUNCTION("""COMPUTED_VALUE"""),"LINE 1")</f>
        <v>LINE 1</v>
      </c>
      <c r="U50" s="5">
        <f ca="1">IFERROR(__xludf.DUMMYFUNCTION("""COMPUTED_VALUE"""),20009915)</f>
        <v>20009915</v>
      </c>
      <c r="V50" s="5" t="str">
        <f ca="1">IFERROR(__xludf.DUMMYFUNCTION("""COMPUTED_VALUE"""),"ENFARDADORA")</f>
        <v>ENFARDADORA</v>
      </c>
      <c r="W50" s="5" t="str">
        <f ca="1">IF(AND(LEN(T50)=0, LEN(U50)=0), "", IF(AND(LEN(T50)&gt;0, LEN(U50)=0), "BLANCO", IFERROR(VLOOKUP(U50, BasedatosM9!A:B, 2, FALSE), "BLANCO")))</f>
        <v>Lozano Delgado Fausto Andres</v>
      </c>
      <c r="AI50" s="5" t="str">
        <f>IF(AND(LEN(AF50)=0, LEN(AG50)=0), "", IF(AND(LEN(AF50)&gt;0, LEN(AG50)=0), "BLANCO", IFERROR(VLOOKUP(AG50, BasedatosM9!A:B, 2, FALSE), "BLANCO")))</f>
        <v/>
      </c>
      <c r="AK50" s="5" t="str">
        <f ca="1">IFERROR(__xludf.DUMMYFUNCTION("""COMPUTED_VALUE"""),"TURNO C")</f>
        <v>TURNO C</v>
      </c>
      <c r="AL50" s="5">
        <f ca="1">IFERROR(__xludf.DUMMYFUNCTION("""COMPUTED_VALUE"""),23907809)</f>
        <v>23907809</v>
      </c>
      <c r="AM50" s="14">
        <f ca="1">IFERROR(__xludf.DUMMYFUNCTION("""COMPUTED_VALUE"""),45357)</f>
        <v>45357</v>
      </c>
      <c r="AN50" s="5" t="str">
        <f ca="1">IFERROR(__xludf.DUMMYFUNCTION("""COMPUTED_VALUE"""),"Ajuste bomba de Vacio")</f>
        <v>Ajuste bomba de Vacio</v>
      </c>
      <c r="AO50" s="5">
        <f ca="1">IFERROR(__xludf.DUMMYFUNCTION("""COMPUTED_VALUE"""),0.55)</f>
        <v>0.55000000000000004</v>
      </c>
      <c r="AP50" s="15">
        <f ca="1">IFERROR(__xludf.DUMMYFUNCTION("""COMPUTED_VALUE"""),0.0791666666666666)</f>
        <v>7.9166666666666594E-2</v>
      </c>
      <c r="AQ50" s="15">
        <f ca="1">IFERROR(__xludf.DUMMYFUNCTION("""COMPUTED_VALUE"""),0.102083333333333)</f>
        <v>0.102083333333333</v>
      </c>
      <c r="AR50" s="5" t="str">
        <f ca="1">IFERROR(__xludf.DUMMYFUNCTION("""COMPUTED_VALUE"""),"LINE 10")</f>
        <v>LINE 10</v>
      </c>
      <c r="AS50" s="5">
        <f ca="1">IFERROR(__xludf.DUMMYFUNCTION("""COMPUTED_VALUE"""),20043570)</f>
        <v>20043570</v>
      </c>
      <c r="AT50" s="5" t="str">
        <f ca="1">IFERROR(__xludf.DUMMYFUNCTION("""COMPUTED_VALUE"""),"ETIQUETADORA ENVOLVENTE")</f>
        <v>ETIQUETADORA ENVOLVENTE</v>
      </c>
      <c r="AU50" s="5" t="str">
        <f ca="1">IF(AND(LEN(AR50)=0, LEN(AS50)=0), "", IF(AND(LEN(AR50)&gt;0, LEN(AS50)=0), "BLANCO", IFERROR(VLOOKUP(AS50, BasedatosM9!A:B, 2, FALSE), "BLANCO")))</f>
        <v>Jhon Navas</v>
      </c>
    </row>
    <row r="51" spans="1:47" ht="14.4">
      <c r="A51" s="21" t="s">
        <v>4742</v>
      </c>
      <c r="B51" s="86">
        <v>23901231</v>
      </c>
      <c r="C51" s="98">
        <v>45354</v>
      </c>
      <c r="D51" s="21" t="s">
        <v>4783</v>
      </c>
      <c r="E51" s="86">
        <v>0.08</v>
      </c>
      <c r="F51" s="99">
        <v>0.2986111111111111</v>
      </c>
      <c r="G51" s="99">
        <v>0.30208333333333331</v>
      </c>
      <c r="H51" s="21" t="s">
        <v>4551</v>
      </c>
      <c r="I51" s="86">
        <v>20062740</v>
      </c>
      <c r="J51" s="21" t="s">
        <v>2797</v>
      </c>
      <c r="K51" s="5" t="str">
        <f>IF(AND(LEN(H51)=0, LEN(I51)=0), "", IF(AND(LEN(H51)&gt;0, LEN(I51)=0), "BLANCO", IFERROR(VLOOKUP(I51, BasedatosM9!A:B, 2, FALSE), "BLANCO")))</f>
        <v>Hector Toro</v>
      </c>
      <c r="M51" s="5" t="str">
        <f ca="1">IFERROR(__xludf.DUMMYFUNCTION("""COMPUTED_VALUE"""),"TURNO B")</f>
        <v>TURNO B</v>
      </c>
      <c r="N51" s="5">
        <f ca="1">IFERROR(__xludf.DUMMYFUNCTION("""COMPUTED_VALUE"""),23902906)</f>
        <v>23902906</v>
      </c>
      <c r="O51" s="14">
        <f ca="1">IFERROR(__xludf.DUMMYFUNCTION("""COMPUTED_VALUE"""),45355)</f>
        <v>45355</v>
      </c>
      <c r="P51" s="5" t="str">
        <f ca="1">IFERROR(__xludf.DUMMYFUNCTION("""COMPUTED_VALUE"""),"Ajuste sensor banda plegado")</f>
        <v>Ajuste sensor banda plegado</v>
      </c>
      <c r="Q51" s="5">
        <f ca="1">IFERROR(__xludf.DUMMYFUNCTION("""COMPUTED_VALUE"""),0.25)</f>
        <v>0.25</v>
      </c>
      <c r="R51" s="15">
        <f ca="1">IFERROR(__xludf.DUMMYFUNCTION("""COMPUTED_VALUE"""),0.75)</f>
        <v>0.75</v>
      </c>
      <c r="S51" s="15">
        <f ca="1">IFERROR(__xludf.DUMMYFUNCTION("""COMPUTED_VALUE"""),0.760416666666666)</f>
        <v>0.76041666666666596</v>
      </c>
      <c r="T51" s="5" t="str">
        <f ca="1">IFERROR(__xludf.DUMMYFUNCTION("""COMPUTED_VALUE"""),"LINE 1")</f>
        <v>LINE 1</v>
      </c>
      <c r="U51" s="5">
        <f ca="1">IFERROR(__xludf.DUMMYFUNCTION("""COMPUTED_VALUE"""),20009915)</f>
        <v>20009915</v>
      </c>
      <c r="V51" s="5" t="str">
        <f ca="1">IFERROR(__xludf.DUMMYFUNCTION("""COMPUTED_VALUE"""),"ENFARDADORA")</f>
        <v>ENFARDADORA</v>
      </c>
      <c r="W51" s="5" t="str">
        <f ca="1">IF(AND(LEN(T51)=0, LEN(U51)=0), "", IF(AND(LEN(T51)&gt;0, LEN(U51)=0), "BLANCO", IFERROR(VLOOKUP(U51, BasedatosM9!A:B, 2, FALSE), "BLANCO")))</f>
        <v>Lozano Delgado Fausto Andres</v>
      </c>
      <c r="AI51" s="5" t="str">
        <f>IF(AND(LEN(AF51)=0, LEN(AG51)=0), "", IF(AND(LEN(AF51)&gt;0, LEN(AG51)=0), "BLANCO", IFERROR(VLOOKUP(AG51, BasedatosM9!A:B, 2, FALSE), "BLANCO")))</f>
        <v/>
      </c>
      <c r="AK51" s="5" t="str">
        <f ca="1">IFERROR(__xludf.DUMMYFUNCTION("""COMPUTED_VALUE"""),"TURNO A")</f>
        <v>TURNO A</v>
      </c>
      <c r="AL51" s="5">
        <f ca="1">IFERROR(__xludf.DUMMYFUNCTION("""COMPUTED_VALUE"""),23908162)</f>
        <v>23908162</v>
      </c>
      <c r="AM51" s="14">
        <f ca="1">IFERROR(__xludf.DUMMYFUNCTION("""COMPUTED_VALUE"""),45358)</f>
        <v>45358</v>
      </c>
      <c r="AN51" s="5" t="str">
        <f ca="1">IFERROR(__xludf.DUMMYFUNCTION("""COMPUTED_VALUE"""),"Tapa atascada en bajante")</f>
        <v>Tapa atascada en bajante</v>
      </c>
      <c r="AO51" s="5">
        <f ca="1">IFERROR(__xludf.DUMMYFUNCTION("""COMPUTED_VALUE"""),0.33)</f>
        <v>0.33</v>
      </c>
      <c r="AP51" s="15">
        <f ca="1">IFERROR(__xludf.DUMMYFUNCTION("""COMPUTED_VALUE"""),0.25)</f>
        <v>0.25</v>
      </c>
      <c r="AQ51" s="15">
        <f ca="1">IFERROR(__xludf.DUMMYFUNCTION("""COMPUTED_VALUE"""),0.263888888888888)</f>
        <v>0.26388888888888801</v>
      </c>
      <c r="AR51" s="5" t="str">
        <f ca="1">IFERROR(__xludf.DUMMYFUNCTION("""COMPUTED_VALUE"""),"LINE 10")</f>
        <v>LINE 10</v>
      </c>
      <c r="AS51" s="5"/>
      <c r="AT51" s="5" t="str">
        <f ca="1">IFERROR(__xludf.DUMMYFUNCTION("""COMPUTED_VALUE"""),"INSPECTOR TAPA")</f>
        <v>INSPECTOR TAPA</v>
      </c>
      <c r="AU51" s="5" t="str">
        <f ca="1">IF(AND(LEN(AR51)=0, LEN(AS51)=0), "", IF(AND(LEN(AR51)&gt;0, LEN(AS51)=0), "BLANCO", IFERROR(VLOOKUP(AS51, BasedatosM9!A:B, 2, FALSE), "BLANCO")))</f>
        <v>BLANCO</v>
      </c>
    </row>
    <row r="52" spans="1:47" ht="14.4">
      <c r="A52" s="21" t="s">
        <v>4742</v>
      </c>
      <c r="B52" s="86">
        <v>23901232</v>
      </c>
      <c r="C52" s="98">
        <v>45354</v>
      </c>
      <c r="D52" s="21" t="s">
        <v>4782</v>
      </c>
      <c r="E52" s="86">
        <v>0.1</v>
      </c>
      <c r="F52" s="99">
        <v>0.30208333333333331</v>
      </c>
      <c r="G52" s="99">
        <v>0.30624999999999997</v>
      </c>
      <c r="H52" s="21" t="s">
        <v>4551</v>
      </c>
      <c r="I52" s="86">
        <v>20009879</v>
      </c>
      <c r="J52" s="21" t="s">
        <v>1471</v>
      </c>
      <c r="K52" s="5" t="str">
        <f>IF(AND(LEN(H52)=0, LEN(I52)=0), "", IF(AND(LEN(H52)&gt;0, LEN(I52)=0), "BLANCO", IFERROR(VLOOKUP(I52, BasedatosM9!A:B, 2, FALSE), "BLANCO")))</f>
        <v>Andres Leon</v>
      </c>
      <c r="M52" s="5" t="str">
        <f ca="1">IFERROR(__xludf.DUMMYFUNCTION("""COMPUTED_VALUE"""),"TURNO B")</f>
        <v>TURNO B</v>
      </c>
      <c r="N52" s="5">
        <f ca="1">IFERROR(__xludf.DUMMYFUNCTION("""COMPUTED_VALUE"""),23902908)</f>
        <v>23902908</v>
      </c>
      <c r="O52" s="14">
        <f ca="1">IFERROR(__xludf.DUMMYFUNCTION("""COMPUTED_VALUE"""),45355)</f>
        <v>45355</v>
      </c>
      <c r="P52" s="5" t="str">
        <f ca="1">IFERROR(__xludf.DUMMYFUNCTION("""COMPUTED_VALUE"""),"Atascamiento botella")</f>
        <v>Atascamiento botella</v>
      </c>
      <c r="Q52" s="5">
        <f ca="1">IFERROR(__xludf.DUMMYFUNCTION("""COMPUTED_VALUE"""),0.08)</f>
        <v>0.08</v>
      </c>
      <c r="R52" s="15">
        <f ca="1">IFERROR(__xludf.DUMMYFUNCTION("""COMPUTED_VALUE"""),0.756944444444444)</f>
        <v>0.75694444444444398</v>
      </c>
      <c r="S52" s="15">
        <f ca="1">IFERROR(__xludf.DUMMYFUNCTION("""COMPUTED_VALUE"""),0.760416666666666)</f>
        <v>0.76041666666666596</v>
      </c>
      <c r="T52" s="5" t="str">
        <f ca="1">IFERROR(__xludf.DUMMYFUNCTION("""COMPUTED_VALUE"""),"LINE 1")</f>
        <v>LINE 1</v>
      </c>
      <c r="U52" s="5">
        <f ca="1">IFERROR(__xludf.DUMMYFUNCTION("""COMPUTED_VALUE"""),20075387)</f>
        <v>20075387</v>
      </c>
      <c r="V52" s="5" t="str">
        <f ca="1">IFERROR(__xludf.DUMMYFUNCTION("""COMPUTED_VALUE"""),"TRANSPORTADORES DE ENVASE VACIO")</f>
        <v>TRANSPORTADORES DE ENVASE VACIO</v>
      </c>
      <c r="W52" s="5" t="str">
        <f ca="1">IF(AND(LEN(T52)=0, LEN(U52)=0), "", IF(AND(LEN(T52)&gt;0, LEN(U52)=0), "BLANCO", IFERROR(VLOOKUP(U52, BasedatosM9!A:B, 2, FALSE), "BLANCO")))</f>
        <v>Cristian Suaza</v>
      </c>
      <c r="AI52" s="5" t="str">
        <f>IF(AND(LEN(AF52)=0, LEN(AG52)=0), "", IF(AND(LEN(AF52)&gt;0, LEN(AG52)=0), "BLANCO", IFERROR(VLOOKUP(AG52, BasedatosM9!A:B, 2, FALSE), "BLANCO")))</f>
        <v/>
      </c>
      <c r="AK52" s="5" t="str">
        <f ca="1">IFERROR(__xludf.DUMMYFUNCTION("""COMPUTED_VALUE"""),"TURNO A")</f>
        <v>TURNO A</v>
      </c>
      <c r="AL52" s="5">
        <f ca="1">IFERROR(__xludf.DUMMYFUNCTION("""COMPUTED_VALUE"""),23908439)</f>
        <v>23908439</v>
      </c>
      <c r="AM52" s="14">
        <f ca="1">IFERROR(__xludf.DUMMYFUNCTION("""COMPUTED_VALUE"""),45358)</f>
        <v>45358</v>
      </c>
      <c r="AN52" s="5" t="str">
        <f ca="1">IFERROR(__xludf.DUMMYFUNCTION("""COMPUTED_VALUE"""),"Encolamiento en agregado No. 1")</f>
        <v>Encolamiento en agregado No. 1</v>
      </c>
      <c r="AO52" s="5">
        <f ca="1">IFERROR(__xludf.DUMMYFUNCTION("""COMPUTED_VALUE"""),0.18)</f>
        <v>0.18</v>
      </c>
      <c r="AP52" s="15">
        <f ca="1">IFERROR(__xludf.DUMMYFUNCTION("""COMPUTED_VALUE"""),0.298611111111111)</f>
        <v>0.29861111111111099</v>
      </c>
      <c r="AQ52" s="15">
        <f ca="1">IFERROR(__xludf.DUMMYFUNCTION("""COMPUTED_VALUE"""),0.306249999999999)</f>
        <v>0.30624999999999902</v>
      </c>
      <c r="AR52" s="5" t="str">
        <f ca="1">IFERROR(__xludf.DUMMYFUNCTION("""COMPUTED_VALUE"""),"LINE 10")</f>
        <v>LINE 10</v>
      </c>
      <c r="AS52" s="5">
        <f ca="1">IFERROR(__xludf.DUMMYFUNCTION("""COMPUTED_VALUE"""),20058001)</f>
        <v>20058001</v>
      </c>
      <c r="AT52" s="5" t="str">
        <f ca="1">IFERROR(__xludf.DUMMYFUNCTION("""COMPUTED_VALUE"""),"ETIQUETADORA ENVOLVENTE")</f>
        <v>ETIQUETADORA ENVOLVENTE</v>
      </c>
      <c r="AU52" s="5" t="str">
        <f ca="1">IF(AND(LEN(AR52)=0, LEN(AS52)=0), "", IF(AND(LEN(AR52)&gt;0, LEN(AS52)=0), "BLANCO", IFERROR(VLOOKUP(AS52, BasedatosM9!A:B, 2, FALSE), "BLANCO")))</f>
        <v>Bonilla Edwin</v>
      </c>
    </row>
    <row r="53" spans="1:47" ht="14.4">
      <c r="A53" s="21" t="s">
        <v>4742</v>
      </c>
      <c r="B53" s="86">
        <v>23901237</v>
      </c>
      <c r="C53" s="98">
        <v>45354</v>
      </c>
      <c r="D53" s="21" t="s">
        <v>4799</v>
      </c>
      <c r="E53" s="86">
        <v>0.08</v>
      </c>
      <c r="F53" s="99">
        <v>0.3576388888888889</v>
      </c>
      <c r="G53" s="99">
        <v>0.3611111111111111</v>
      </c>
      <c r="H53" s="21" t="s">
        <v>4551</v>
      </c>
      <c r="I53" s="86">
        <v>20009879</v>
      </c>
      <c r="J53" s="21" t="s">
        <v>1471</v>
      </c>
      <c r="K53" s="5" t="str">
        <f>IF(AND(LEN(H53)=0, LEN(I53)=0), "", IF(AND(LEN(H53)&gt;0, LEN(I53)=0), "BLANCO", IFERROR(VLOOKUP(I53, BasedatosM9!A:B, 2, FALSE), "BLANCO")))</f>
        <v>Andres Leon</v>
      </c>
      <c r="M53" s="5" t="str">
        <f ca="1">IFERROR(__xludf.DUMMYFUNCTION("""COMPUTED_VALUE"""),"TURNO B")</f>
        <v>TURNO B</v>
      </c>
      <c r="N53" s="5">
        <f ca="1">IFERROR(__xludf.DUMMYFUNCTION("""COMPUTED_VALUE"""),23903090)</f>
        <v>23903090</v>
      </c>
      <c r="O53" s="14">
        <f ca="1">IFERROR(__xludf.DUMMYFUNCTION("""COMPUTED_VALUE"""),45355)</f>
        <v>45355</v>
      </c>
      <c r="P53" s="5" t="str">
        <f ca="1">IFERROR(__xludf.DUMMYFUNCTION("""COMPUTED_VALUE"""),"Parte tornillo eje dedos empujadores")</f>
        <v>Parte tornillo eje dedos empujadores</v>
      </c>
      <c r="Q53" s="5">
        <f ca="1">IFERROR(__xludf.DUMMYFUNCTION("""COMPUTED_VALUE"""),1.43)</f>
        <v>1.43</v>
      </c>
      <c r="R53" s="15">
        <f ca="1">IFERROR(__xludf.DUMMYFUNCTION("""COMPUTED_VALUE"""),0.815277777777777)</f>
        <v>0.81527777777777699</v>
      </c>
      <c r="S53" s="15">
        <f ca="1">IFERROR(__xludf.DUMMYFUNCTION("""COMPUTED_VALUE"""),0.875)</f>
        <v>0.875</v>
      </c>
      <c r="T53" s="5" t="str">
        <f ca="1">IFERROR(__xludf.DUMMYFUNCTION("""COMPUTED_VALUE"""),"LINE 1")</f>
        <v>LINE 1</v>
      </c>
      <c r="U53" s="5">
        <f ca="1">IFERROR(__xludf.DUMMYFUNCTION("""COMPUTED_VALUE"""),20009915)</f>
        <v>20009915</v>
      </c>
      <c r="V53" s="5" t="str">
        <f ca="1">IFERROR(__xludf.DUMMYFUNCTION("""COMPUTED_VALUE"""),"ENFARDADORA")</f>
        <v>ENFARDADORA</v>
      </c>
      <c r="W53" s="5" t="str">
        <f ca="1">IF(AND(LEN(T53)=0, LEN(U53)=0), "", IF(AND(LEN(T53)&gt;0, LEN(U53)=0), "BLANCO", IFERROR(VLOOKUP(U53, BasedatosM9!A:B, 2, FALSE), "BLANCO")))</f>
        <v>Lozano Delgado Fausto Andres</v>
      </c>
      <c r="AI53" s="5" t="str">
        <f>IF(AND(LEN(AF53)=0, LEN(AG53)=0), "", IF(AND(LEN(AF53)&gt;0, LEN(AG53)=0), "BLANCO", IFERROR(VLOOKUP(AG53, BasedatosM9!A:B, 2, FALSE), "BLANCO")))</f>
        <v/>
      </c>
      <c r="AK53" s="5" t="str">
        <f ca="1">IFERROR(__xludf.DUMMYFUNCTION("""COMPUTED_VALUE"""),"TURNO A")</f>
        <v>TURNO A</v>
      </c>
      <c r="AL53" s="5">
        <f ca="1">IFERROR(__xludf.DUMMYFUNCTION("""COMPUTED_VALUE"""),23908634)</f>
        <v>23908634</v>
      </c>
      <c r="AM53" s="14">
        <f ca="1">IFERROR(__xludf.DUMMYFUNCTION("""COMPUTED_VALUE"""),45358)</f>
        <v>45358</v>
      </c>
      <c r="AN53" s="5" t="str">
        <f ca="1">IFERROR(__xludf.DUMMYFUNCTION("""COMPUTED_VALUE"""),"Inspeccion de equipo")</f>
        <v>Inspeccion de equipo</v>
      </c>
      <c r="AO53" s="5">
        <f ca="1">IFERROR(__xludf.DUMMYFUNCTION("""COMPUTED_VALUE"""),0.22)</f>
        <v>0.22</v>
      </c>
      <c r="AP53" s="15">
        <f ca="1">IFERROR(__xludf.DUMMYFUNCTION("""COMPUTED_VALUE"""),0.361111111111111)</f>
        <v>0.36111111111111099</v>
      </c>
      <c r="AQ53" s="15">
        <f ca="1">IFERROR(__xludf.DUMMYFUNCTION("""COMPUTED_VALUE"""),0.370138888888888)</f>
        <v>0.37013888888888802</v>
      </c>
      <c r="AR53" s="5" t="str">
        <f ca="1">IFERROR(__xludf.DUMMYFUNCTION("""COMPUTED_VALUE"""),"LINE 10")</f>
        <v>LINE 10</v>
      </c>
      <c r="AS53" s="5"/>
      <c r="AT53" s="5" t="str">
        <f ca="1">IFERROR(__xludf.DUMMYFUNCTION("""COMPUTED_VALUE"""),"LLENADORA BOTELLAS PET")</f>
        <v>LLENADORA BOTELLAS PET</v>
      </c>
      <c r="AU53" s="5" t="str">
        <f ca="1">IF(AND(LEN(AR53)=0, LEN(AS53)=0), "", IF(AND(LEN(AR53)&gt;0, LEN(AS53)=0), "BLANCO", IFERROR(VLOOKUP(AS53, BasedatosM9!A:B, 2, FALSE), "BLANCO")))</f>
        <v>BLANCO</v>
      </c>
    </row>
    <row r="54" spans="1:47" ht="14.4">
      <c r="A54" s="21" t="s">
        <v>4742</v>
      </c>
      <c r="B54" s="86">
        <v>23901238</v>
      </c>
      <c r="C54" s="98">
        <v>45354</v>
      </c>
      <c r="D54" s="21" t="s">
        <v>4800</v>
      </c>
      <c r="E54" s="86">
        <v>0.65</v>
      </c>
      <c r="F54" s="99">
        <v>0.32361111111111113</v>
      </c>
      <c r="G54" s="99">
        <v>0.35069444444444442</v>
      </c>
      <c r="H54" s="21" t="s">
        <v>4551</v>
      </c>
      <c r="I54" s="86">
        <v>20082152</v>
      </c>
      <c r="J54" s="21" t="s">
        <v>4773</v>
      </c>
      <c r="K54" s="5" t="str">
        <f>IF(AND(LEN(H54)=0, LEN(I54)=0), "", IF(AND(LEN(H54)&gt;0, LEN(I54)=0), "BLANCO", IFERROR(VLOOKUP(I54, BasedatosM9!A:B, 2, FALSE), "BLANCO")))</f>
        <v>Ferney Ramos</v>
      </c>
      <c r="M54" s="5" t="str">
        <f ca="1">IFERROR(__xludf.DUMMYFUNCTION("""COMPUTED_VALUE"""),"TURNO B")</f>
        <v>TURNO B</v>
      </c>
      <c r="N54" s="5">
        <f ca="1">IFERROR(__xludf.DUMMYFUNCTION("""COMPUTED_VALUE"""),23903142)</f>
        <v>23903142</v>
      </c>
      <c r="O54" s="14">
        <f ca="1">IFERROR(__xludf.DUMMYFUNCTION("""COMPUTED_VALUE"""),45355)</f>
        <v>45355</v>
      </c>
      <c r="P54" s="5" t="str">
        <f ca="1">IFERROR(__xludf.DUMMYFUNCTION("""COMPUTED_VALUE"""),"Falla comunicacion")</f>
        <v>Falla comunicacion</v>
      </c>
      <c r="Q54" s="5">
        <f ca="1">IFERROR(__xludf.DUMMYFUNCTION("""COMPUTED_VALUE"""),1)</f>
        <v>1</v>
      </c>
      <c r="R54" s="15">
        <f ca="1">IFERROR(__xludf.DUMMYFUNCTION("""COMPUTED_VALUE"""),0.875)</f>
        <v>0.875</v>
      </c>
      <c r="S54" s="15">
        <f ca="1">IFERROR(__xludf.DUMMYFUNCTION("""COMPUTED_VALUE"""),0.916666666666666)</f>
        <v>0.91666666666666596</v>
      </c>
      <c r="T54" s="5" t="str">
        <f ca="1">IFERROR(__xludf.DUMMYFUNCTION("""COMPUTED_VALUE"""),"LINE 1")</f>
        <v>LINE 1</v>
      </c>
      <c r="U54" s="5">
        <f ca="1">IFERROR(__xludf.DUMMYFUNCTION("""COMPUTED_VALUE"""),20009915)</f>
        <v>20009915</v>
      </c>
      <c r="V54" s="5" t="str">
        <f ca="1">IFERROR(__xludf.DUMMYFUNCTION("""COMPUTED_VALUE"""),"ENFARDADORA")</f>
        <v>ENFARDADORA</v>
      </c>
      <c r="W54" s="5" t="str">
        <f ca="1">IF(AND(LEN(T54)=0, LEN(U54)=0), "", IF(AND(LEN(T54)&gt;0, LEN(U54)=0), "BLANCO", IFERROR(VLOOKUP(U54, BasedatosM9!A:B, 2, FALSE), "BLANCO")))</f>
        <v>Lozano Delgado Fausto Andres</v>
      </c>
      <c r="AI54" s="5" t="str">
        <f>IF(AND(LEN(AF54)=0, LEN(AG54)=0), "", IF(AND(LEN(AF54)&gt;0, LEN(AG54)=0), "BLANCO", IFERROR(VLOOKUP(AG54, BasedatosM9!A:B, 2, FALSE), "BLANCO")))</f>
        <v/>
      </c>
      <c r="AK54" s="5" t="str">
        <f ca="1">IFERROR(__xludf.DUMMYFUNCTION("""COMPUTED_VALUE"""),"TURNO A")</f>
        <v>TURNO A</v>
      </c>
      <c r="AL54" s="5">
        <f ca="1">IFERROR(__xludf.DUMMYFUNCTION("""COMPUTED_VALUE"""),23908706)</f>
        <v>23908706</v>
      </c>
      <c r="AM54" s="14">
        <f ca="1">IFERROR(__xludf.DUMMYFUNCTION("""COMPUTED_VALUE"""),45358)</f>
        <v>45358</v>
      </c>
      <c r="AN54" s="5" t="str">
        <f ca="1">IFERROR(__xludf.DUMMYFUNCTION("""COMPUTED_VALUE"""),"Tapa atascada en bajante")</f>
        <v>Tapa atascada en bajante</v>
      </c>
      <c r="AO54" s="5">
        <f ca="1">IFERROR(__xludf.DUMMYFUNCTION("""COMPUTED_VALUE"""),0.2)</f>
        <v>0.2</v>
      </c>
      <c r="AP54" s="15">
        <f ca="1">IFERROR(__xludf.DUMMYFUNCTION("""COMPUTED_VALUE"""),0.402777777777777)</f>
        <v>0.40277777777777701</v>
      </c>
      <c r="AQ54" s="15">
        <f ca="1">IFERROR(__xludf.DUMMYFUNCTION("""COMPUTED_VALUE"""),0.411111111111111)</f>
        <v>0.41111111111111098</v>
      </c>
      <c r="AR54" s="5" t="str">
        <f ca="1">IFERROR(__xludf.DUMMYFUNCTION("""COMPUTED_VALUE"""),"LINE 10")</f>
        <v>LINE 10</v>
      </c>
      <c r="AS54" s="5"/>
      <c r="AT54" s="5" t="str">
        <f ca="1">IFERROR(__xludf.DUMMYFUNCTION("""COMPUTED_VALUE"""),"INSPECTOR TAPA")</f>
        <v>INSPECTOR TAPA</v>
      </c>
      <c r="AU54" s="5" t="str">
        <f ca="1">IF(AND(LEN(AR54)=0, LEN(AS54)=0), "", IF(AND(LEN(AR54)&gt;0, LEN(AS54)=0), "BLANCO", IFERROR(VLOOKUP(AS54, BasedatosM9!A:B, 2, FALSE), "BLANCO")))</f>
        <v>BLANCO</v>
      </c>
    </row>
    <row r="55" spans="1:47" ht="14.4">
      <c r="A55" s="21" t="s">
        <v>4742</v>
      </c>
      <c r="B55" s="86">
        <v>23901259</v>
      </c>
      <c r="C55" s="98">
        <v>45354</v>
      </c>
      <c r="D55" s="21" t="s">
        <v>4801</v>
      </c>
      <c r="E55" s="86">
        <v>0.3</v>
      </c>
      <c r="F55" s="99">
        <v>0.375</v>
      </c>
      <c r="G55" s="99">
        <v>0.38750000000000001</v>
      </c>
      <c r="H55" s="21" t="s">
        <v>4551</v>
      </c>
      <c r="I55" s="86">
        <v>20082152</v>
      </c>
      <c r="J55" s="21" t="s">
        <v>4802</v>
      </c>
      <c r="K55" s="5" t="str">
        <f>IF(AND(LEN(H55)=0, LEN(I55)=0), "", IF(AND(LEN(H55)&gt;0, LEN(I55)=0), "BLANCO", IFERROR(VLOOKUP(I55, BasedatosM9!A:B, 2, FALSE), "BLANCO")))</f>
        <v>Ferney Ramos</v>
      </c>
      <c r="M55" s="5" t="str">
        <f ca="1">IFERROR(__xludf.DUMMYFUNCTION("""COMPUTED_VALUE"""),"TURNO C")</f>
        <v>TURNO C</v>
      </c>
      <c r="N55" s="5">
        <f ca="1">IFERROR(__xludf.DUMMYFUNCTION("""COMPUTED_VALUE"""),23903439)</f>
        <v>23903439</v>
      </c>
      <c r="O55" s="14">
        <f ca="1">IFERROR(__xludf.DUMMYFUNCTION("""COMPUTED_VALUE"""),45355)</f>
        <v>45355</v>
      </c>
      <c r="P55" s="5" t="str">
        <f ca="1">IFERROR(__xludf.DUMMYFUNCTION("""COMPUTED_VALUE"""),"Caida de botellas salida llenadora")</f>
        <v>Caida de botellas salida llenadora</v>
      </c>
      <c r="Q55" s="5">
        <f ca="1">IFERROR(__xludf.DUMMYFUNCTION("""COMPUTED_VALUE"""),0.13)</f>
        <v>0.13</v>
      </c>
      <c r="R55" s="15">
        <f ca="1">IFERROR(__xludf.DUMMYFUNCTION("""COMPUTED_VALUE"""),0.131944444444444)</f>
        <v>0.131944444444444</v>
      </c>
      <c r="S55" s="15">
        <f ca="1">IFERROR(__xludf.DUMMYFUNCTION("""COMPUTED_VALUE"""),0.137499999999999)</f>
        <v>0.13749999999999901</v>
      </c>
      <c r="T55" s="5" t="str">
        <f ca="1">IFERROR(__xludf.DUMMYFUNCTION("""COMPUTED_VALUE"""),"LINE 1")</f>
        <v>LINE 1</v>
      </c>
      <c r="U55" s="5">
        <f ca="1">IFERROR(__xludf.DUMMYFUNCTION("""COMPUTED_VALUE"""),20036419)</f>
        <v>20036419</v>
      </c>
      <c r="V55" s="5" t="str">
        <f ca="1">IFERROR(__xludf.DUMMYFUNCTION("""COMPUTED_VALUE"""),"TRANSPORTADORES DE BEBIDA")</f>
        <v>TRANSPORTADORES DE BEBIDA</v>
      </c>
      <c r="W55" s="5" t="str">
        <f ca="1">IF(AND(LEN(T55)=0, LEN(U55)=0), "", IF(AND(LEN(T55)&gt;0, LEN(U55)=0), "BLANCO", IFERROR(VLOOKUP(U55, BasedatosM9!A:B, 2, FALSE), "BLANCO")))</f>
        <v>Adalcides Campo</v>
      </c>
      <c r="AI55" s="5" t="str">
        <f>IF(AND(LEN(AF55)=0, LEN(AG55)=0), "", IF(AND(LEN(AF55)&gt;0, LEN(AG55)=0), "BLANCO", IFERROR(VLOOKUP(AG55, BasedatosM9!A:B, 2, FALSE), "BLANCO")))</f>
        <v/>
      </c>
      <c r="AK55" s="5" t="str">
        <f ca="1">IFERROR(__xludf.DUMMYFUNCTION("""COMPUTED_VALUE"""),"TURNO B")</f>
        <v>TURNO B</v>
      </c>
      <c r="AL55" s="5">
        <f ca="1">IFERROR(__xludf.DUMMYFUNCTION("""COMPUTED_VALUE"""),23909771)</f>
        <v>23909771</v>
      </c>
      <c r="AM55" s="14">
        <f ca="1">IFERROR(__xludf.DUMMYFUNCTION("""COMPUTED_VALUE"""),45358)</f>
        <v>45358</v>
      </c>
      <c r="AN55" s="5" t="str">
        <f ca="1">IFERROR(__xludf.DUMMYFUNCTION("""COMPUTED_VALUE"""),"Aumento de temperatura")</f>
        <v>Aumento de temperatura</v>
      </c>
      <c r="AO55" s="5">
        <f ca="1">IFERROR(__xludf.DUMMYFUNCTION("""COMPUTED_VALUE"""),0.5)</f>
        <v>0.5</v>
      </c>
      <c r="AP55" s="15">
        <f ca="1">IFERROR(__xludf.DUMMYFUNCTION("""COMPUTED_VALUE"""),0.611111111111111)</f>
        <v>0.61111111111111105</v>
      </c>
      <c r="AQ55" s="15">
        <f ca="1">IFERROR(__xludf.DUMMYFUNCTION("""COMPUTED_VALUE"""),0.631944444444444)</f>
        <v>0.63194444444444398</v>
      </c>
      <c r="AR55" s="5" t="str">
        <f ca="1">IFERROR(__xludf.DUMMYFUNCTION("""COMPUTED_VALUE"""),"LINE 10")</f>
        <v>LINE 10</v>
      </c>
      <c r="AS55" s="5">
        <f ca="1">IFERROR(__xludf.DUMMYFUNCTION("""COMPUTED_VALUE"""),20032893)</f>
        <v>20032893</v>
      </c>
      <c r="AT55" s="5" t="str">
        <f ca="1">IFERROR(__xludf.DUMMYFUNCTION("""COMPUTED_VALUE"""),"LLENADORA BOTELLAS PET")</f>
        <v>LLENADORA BOTELLAS PET</v>
      </c>
      <c r="AU55" s="5" t="str">
        <f ca="1">IF(AND(LEN(AR55)=0, LEN(AS55)=0), "", IF(AND(LEN(AR55)&gt;0, LEN(AS55)=0), "BLANCO", IFERROR(VLOOKUP(AS55, BasedatosM9!A:B, 2, FALSE), "BLANCO")))</f>
        <v>Bolaños Camacho Luis Miguel</v>
      </c>
    </row>
    <row r="56" spans="1:47" ht="14.4">
      <c r="A56" s="21" t="s">
        <v>4742</v>
      </c>
      <c r="B56" s="86">
        <v>23901261</v>
      </c>
      <c r="C56" s="98">
        <v>45354</v>
      </c>
      <c r="D56" s="21" t="s">
        <v>4803</v>
      </c>
      <c r="E56" s="86">
        <v>0.1</v>
      </c>
      <c r="F56" s="99">
        <v>0.39583333333333331</v>
      </c>
      <c r="G56" s="99">
        <v>0.39999999999999997</v>
      </c>
      <c r="H56" s="21" t="s">
        <v>4551</v>
      </c>
      <c r="I56" s="86">
        <v>20062740</v>
      </c>
      <c r="J56" s="21" t="s">
        <v>2797</v>
      </c>
      <c r="K56" s="5" t="str">
        <f>IF(AND(LEN(H56)=0, LEN(I56)=0), "", IF(AND(LEN(H56)&gt;0, LEN(I56)=0), "BLANCO", IFERROR(VLOOKUP(I56, BasedatosM9!A:B, 2, FALSE), "BLANCO")))</f>
        <v>Hector Toro</v>
      </c>
      <c r="M56" s="5" t="str">
        <f ca="1">IFERROR(__xludf.DUMMYFUNCTION("""COMPUTED_VALUE"""),"TURNO C")</f>
        <v>TURNO C</v>
      </c>
      <c r="N56" s="5">
        <f ca="1">IFERROR(__xludf.DUMMYFUNCTION("""COMPUTED_VALUE"""),23903493)</f>
        <v>23903493</v>
      </c>
      <c r="O56" s="14">
        <f ca="1">IFERROR(__xludf.DUMMYFUNCTION("""COMPUTED_VALUE"""),45355)</f>
        <v>45355</v>
      </c>
      <c r="P56" s="5" t="str">
        <f ca="1">IFERROR(__xludf.DUMMYFUNCTION("""COMPUTED_VALUE"""),"Cambio pinza estrella de transferencia")</f>
        <v>Cambio pinza estrella de transferencia</v>
      </c>
      <c r="Q56" s="5">
        <f ca="1">IFERROR(__xludf.DUMMYFUNCTION("""COMPUTED_VALUE"""),0.2)</f>
        <v>0.2</v>
      </c>
      <c r="R56" s="15">
        <f ca="1">IFERROR(__xludf.DUMMYFUNCTION("""COMPUTED_VALUE"""),0.181944444444444)</f>
        <v>0.18194444444444399</v>
      </c>
      <c r="S56" s="15">
        <f ca="1">IFERROR(__xludf.DUMMYFUNCTION("""COMPUTED_VALUE"""),0.190277777777777)</f>
        <v>0.19027777777777699</v>
      </c>
      <c r="T56" s="5" t="str">
        <f ca="1">IFERROR(__xludf.DUMMYFUNCTION("""COMPUTED_VALUE"""),"LINE 1")</f>
        <v>LINE 1</v>
      </c>
      <c r="U56" s="5">
        <f ca="1">IFERROR(__xludf.DUMMYFUNCTION("""COMPUTED_VALUE"""),20036419)</f>
        <v>20036419</v>
      </c>
      <c r="V56" s="5" t="str">
        <f ca="1">IFERROR(__xludf.DUMMYFUNCTION("""COMPUTED_VALUE"""),"LLENADORA BOTELLAS PET")</f>
        <v>LLENADORA BOTELLAS PET</v>
      </c>
      <c r="W56" s="5" t="str">
        <f ca="1">IF(AND(LEN(T56)=0, LEN(U56)=0), "", IF(AND(LEN(T56)&gt;0, LEN(U56)=0), "BLANCO", IFERROR(VLOOKUP(U56, BasedatosM9!A:B, 2, FALSE), "BLANCO")))</f>
        <v>Adalcides Campo</v>
      </c>
      <c r="AI56" s="5" t="str">
        <f>IF(AND(LEN(AF56)=0, LEN(AG56)=0), "", IF(AND(LEN(AF56)&gt;0, LEN(AG56)=0), "BLANCO", IFERROR(VLOOKUP(AG56, BasedatosM9!A:B, 2, FALSE), "BLANCO")))</f>
        <v/>
      </c>
      <c r="AK56" s="5" t="str">
        <f ca="1">IFERROR(__xludf.DUMMYFUNCTION("""COMPUTED_VALUE"""),"TURNO B")</f>
        <v>TURNO B</v>
      </c>
      <c r="AL56" s="5">
        <f ca="1">IFERROR(__xludf.DUMMYFUNCTION("""COMPUTED_VALUE"""),23909788)</f>
        <v>23909788</v>
      </c>
      <c r="AM56" s="14">
        <f ca="1">IFERROR(__xludf.DUMMYFUNCTION("""COMPUTED_VALUE"""),45358)</f>
        <v>45358</v>
      </c>
      <c r="AN56" s="5" t="str">
        <f ca="1">IFERROR(__xludf.DUMMYFUNCTION("""COMPUTED_VALUE"""),"Atascamiento tapa volteada")</f>
        <v>Atascamiento tapa volteada</v>
      </c>
      <c r="AO56" s="5">
        <f ca="1">IFERROR(__xludf.DUMMYFUNCTION("""COMPUTED_VALUE"""),0.2)</f>
        <v>0.2</v>
      </c>
      <c r="AP56" s="15">
        <f ca="1">IFERROR(__xludf.DUMMYFUNCTION("""COMPUTED_VALUE"""),0.666666666666666)</f>
        <v>0.66666666666666596</v>
      </c>
      <c r="AQ56" s="15">
        <f ca="1">IFERROR(__xludf.DUMMYFUNCTION("""COMPUTED_VALUE"""),0.674999999999999)</f>
        <v>0.67499999999999905</v>
      </c>
      <c r="AR56" s="5" t="str">
        <f ca="1">IFERROR(__xludf.DUMMYFUNCTION("""COMPUTED_VALUE"""),"LINE 10")</f>
        <v>LINE 10</v>
      </c>
      <c r="AS56" s="5">
        <f ca="1">IFERROR(__xludf.DUMMYFUNCTION("""COMPUTED_VALUE"""),20032893)</f>
        <v>20032893</v>
      </c>
      <c r="AT56" s="5" t="str">
        <f ca="1">IFERROR(__xludf.DUMMYFUNCTION("""COMPUTED_VALUE"""),"INSPECTOR TAPA")</f>
        <v>INSPECTOR TAPA</v>
      </c>
      <c r="AU56" s="5" t="str">
        <f ca="1">IF(AND(LEN(AR56)=0, LEN(AS56)=0), "", IF(AND(LEN(AR56)&gt;0, LEN(AS56)=0), "BLANCO", IFERROR(VLOOKUP(AS56, BasedatosM9!A:B, 2, FALSE), "BLANCO")))</f>
        <v>Bolaños Camacho Luis Miguel</v>
      </c>
    </row>
    <row r="57" spans="1:47" ht="14.4">
      <c r="A57" s="21" t="s">
        <v>4742</v>
      </c>
      <c r="B57" s="86">
        <v>23901263</v>
      </c>
      <c r="C57" s="98">
        <v>45354</v>
      </c>
      <c r="D57" s="21" t="s">
        <v>4778</v>
      </c>
      <c r="E57" s="86">
        <v>7.0000000000000007E-2</v>
      </c>
      <c r="F57" s="99">
        <v>0.43055555555555558</v>
      </c>
      <c r="G57" s="99">
        <v>0.43333333333333335</v>
      </c>
      <c r="H57" s="21" t="s">
        <v>4551</v>
      </c>
      <c r="I57" s="86">
        <v>20020754</v>
      </c>
      <c r="J57" s="21" t="s">
        <v>4746</v>
      </c>
      <c r="K57" s="5" t="str">
        <f>IF(AND(LEN(H57)=0, LEN(I57)=0), "", IF(AND(LEN(H57)&gt;0, LEN(I57)=0), "BLANCO", IFERROR(VLOOKUP(I57, BasedatosM9!A:B, 2, FALSE), "BLANCO")))</f>
        <v>Sanchez Rodriguez Gerson Andres</v>
      </c>
      <c r="M57" s="5" t="str">
        <f ca="1">IFERROR(__xludf.DUMMYFUNCTION("""COMPUTED_VALUE"""),"TURNO A")</f>
        <v>TURNO A</v>
      </c>
      <c r="N57" s="5">
        <f ca="1">IFERROR(__xludf.DUMMYFUNCTION("""COMPUTED_VALUE"""),23904041)</f>
        <v>23904041</v>
      </c>
      <c r="O57" s="14">
        <f ca="1">IFERROR(__xludf.DUMMYFUNCTION("""COMPUTED_VALUE"""),45356)</f>
        <v>45356</v>
      </c>
      <c r="P57" s="5" t="str">
        <f ca="1">IFERROR(__xludf.DUMMYFUNCTION("""COMPUTED_VALUE"""),"Atascamiento de botella")</f>
        <v>Atascamiento de botella</v>
      </c>
      <c r="Q57" s="5">
        <f ca="1">IFERROR(__xludf.DUMMYFUNCTION("""COMPUTED_VALUE"""),0.03)</f>
        <v>0.03</v>
      </c>
      <c r="R57" s="15">
        <f ca="1">IFERROR(__xludf.DUMMYFUNCTION("""COMPUTED_VALUE"""),0.25)</f>
        <v>0.25</v>
      </c>
      <c r="S57" s="15">
        <f ca="1">IFERROR(__xludf.DUMMYFUNCTION("""COMPUTED_VALUE"""),0.251388888888888)</f>
        <v>0.251388888888888</v>
      </c>
      <c r="T57" s="5" t="str">
        <f ca="1">IFERROR(__xludf.DUMMYFUNCTION("""COMPUTED_VALUE"""),"LINE 1")</f>
        <v>LINE 1</v>
      </c>
      <c r="U57" s="5"/>
      <c r="V57" s="5" t="str">
        <f ca="1">IFERROR(__xludf.DUMMYFUNCTION("""COMPUTED_VALUE"""),"TRANSPORTADORES DE ENVASE VACIO")</f>
        <v>TRANSPORTADORES DE ENVASE VACIO</v>
      </c>
      <c r="W57" s="5" t="str">
        <f ca="1">IF(AND(LEN(T57)=0, LEN(U57)=0), "", IF(AND(LEN(T57)&gt;0, LEN(U57)=0), "BLANCO", IFERROR(VLOOKUP(U57, BasedatosM9!A:B, 2, FALSE), "BLANCO")))</f>
        <v>BLANCO</v>
      </c>
      <c r="AI57" s="5" t="str">
        <f>IF(AND(LEN(AF57)=0, LEN(AG57)=0), "", IF(AND(LEN(AF57)&gt;0, LEN(AG57)=0), "BLANCO", IFERROR(VLOOKUP(AG57, BasedatosM9!A:B, 2, FALSE), "BLANCO")))</f>
        <v/>
      </c>
      <c r="AK57" s="5" t="str">
        <f ca="1">IFERROR(__xludf.DUMMYFUNCTION("""COMPUTED_VALUE"""),"TURNO B")</f>
        <v>TURNO B</v>
      </c>
      <c r="AL57" s="5">
        <f ca="1">IFERROR(__xludf.DUMMYFUNCTION("""COMPUTED_VALUE"""),23909814)</f>
        <v>23909814</v>
      </c>
      <c r="AM57" s="14">
        <f ca="1">IFERROR(__xludf.DUMMYFUNCTION("""COMPUTED_VALUE"""),45358)</f>
        <v>45358</v>
      </c>
      <c r="AN57" s="5" t="str">
        <f ca="1">IFERROR(__xludf.DUMMYFUNCTION("""COMPUTED_VALUE"""),"Botella caída a la salida de  flowliner")</f>
        <v>Botella caída a la salida de  flowliner</v>
      </c>
      <c r="AO57" s="5">
        <f ca="1">IFERROR(__xludf.DUMMYFUNCTION("""COMPUTED_VALUE"""),0.17)</f>
        <v>0.17</v>
      </c>
      <c r="AP57" s="15">
        <f ca="1">IFERROR(__xludf.DUMMYFUNCTION("""COMPUTED_VALUE"""),0.736111111111111)</f>
        <v>0.73611111111111105</v>
      </c>
      <c r="AQ57" s="15">
        <f ca="1">IFERROR(__xludf.DUMMYFUNCTION("""COMPUTED_VALUE"""),0.743055555555555)</f>
        <v>0.74305555555555503</v>
      </c>
      <c r="AR57" s="5" t="str">
        <f ca="1">IFERROR(__xludf.DUMMYFUNCTION("""COMPUTED_VALUE"""),"LINE 10")</f>
        <v>LINE 10</v>
      </c>
      <c r="AS57" s="5">
        <f ca="1">IFERROR(__xludf.DUMMYFUNCTION("""COMPUTED_VALUE"""),20031425)</f>
        <v>20031425</v>
      </c>
      <c r="AT57" s="5" t="str">
        <f ca="1">IFERROR(__xludf.DUMMYFUNCTION("""COMPUTED_VALUE"""),"TRANSPORTADORES DE BEBIDA")</f>
        <v>TRANSPORTADORES DE BEBIDA</v>
      </c>
      <c r="AU57" s="5" t="str">
        <f ca="1">IF(AND(LEN(AR57)=0, LEN(AS57)=0), "", IF(AND(LEN(AR57)&gt;0, LEN(AS57)=0), "BLANCO", IFERROR(VLOOKUP(AS57, BasedatosM9!A:B, 2, FALSE), "BLANCO")))</f>
        <v>Luis Gordillo</v>
      </c>
    </row>
    <row r="58" spans="1:47" ht="14.4">
      <c r="A58" s="21" t="s">
        <v>4742</v>
      </c>
      <c r="B58" s="86">
        <v>23901266</v>
      </c>
      <c r="C58" s="98">
        <v>45354</v>
      </c>
      <c r="D58" s="21" t="s">
        <v>4782</v>
      </c>
      <c r="E58" s="86">
        <v>0.1</v>
      </c>
      <c r="F58" s="99">
        <v>0.44097222222222227</v>
      </c>
      <c r="G58" s="99">
        <v>0.44513888888888892</v>
      </c>
      <c r="H58" s="21" t="s">
        <v>4551</v>
      </c>
      <c r="I58" s="86">
        <v>20009879</v>
      </c>
      <c r="J58" s="21" t="s">
        <v>1471</v>
      </c>
      <c r="K58" s="5" t="str">
        <f>IF(AND(LEN(H58)=0, LEN(I58)=0), "", IF(AND(LEN(H58)&gt;0, LEN(I58)=0), "BLANCO", IFERROR(VLOOKUP(I58, BasedatosM9!A:B, 2, FALSE), "BLANCO")))</f>
        <v>Andres Leon</v>
      </c>
      <c r="M58" s="5" t="str">
        <f ca="1">IFERROR(__xludf.DUMMYFUNCTION("""COMPUTED_VALUE"""),"TURNO A")</f>
        <v>TURNO A</v>
      </c>
      <c r="N58" s="5">
        <f ca="1">IFERROR(__xludf.DUMMYFUNCTION("""COMPUTED_VALUE"""),23904246)</f>
        <v>23904246</v>
      </c>
      <c r="O58" s="14">
        <f ca="1">IFERROR(__xludf.DUMMYFUNCTION("""COMPUTED_VALUE"""),45356)</f>
        <v>45356</v>
      </c>
      <c r="P58" s="5" t="str">
        <f ca="1">IFERROR(__xludf.DUMMYFUNCTION("""COMPUTED_VALUE"""),"Ajuste de guias Salida botella")</f>
        <v>Ajuste de guias Salida botella</v>
      </c>
      <c r="Q58" s="5">
        <f ca="1">IFERROR(__xludf.DUMMYFUNCTION("""COMPUTED_VALUE"""),1.7)</f>
        <v>1.7</v>
      </c>
      <c r="R58" s="15">
        <f ca="1">IFERROR(__xludf.DUMMYFUNCTION("""COMPUTED_VALUE"""),0.319444444444444)</f>
        <v>0.31944444444444398</v>
      </c>
      <c r="S58" s="15">
        <f ca="1">IFERROR(__xludf.DUMMYFUNCTION("""COMPUTED_VALUE"""),0.390277777777777)</f>
        <v>0.390277777777777</v>
      </c>
      <c r="T58" s="5" t="str">
        <f ca="1">IFERROR(__xludf.DUMMYFUNCTION("""COMPUTED_VALUE"""),"LINE 1")</f>
        <v>LINE 1</v>
      </c>
      <c r="U58" s="5">
        <f ca="1">IFERROR(__xludf.DUMMYFUNCTION("""COMPUTED_VALUE"""),20020754)</f>
        <v>20020754</v>
      </c>
      <c r="V58" s="5" t="str">
        <f ca="1">IFERROR(__xludf.DUMMYFUNCTION("""COMPUTED_VALUE"""),"ETIQUETADORA ENVOLVENTE")</f>
        <v>ETIQUETADORA ENVOLVENTE</v>
      </c>
      <c r="W58" s="5" t="str">
        <f ca="1">IF(AND(LEN(T58)=0, LEN(U58)=0), "", IF(AND(LEN(T58)&gt;0, LEN(U58)=0), "BLANCO", IFERROR(VLOOKUP(U58, BasedatosM9!A:B, 2, FALSE), "BLANCO")))</f>
        <v>Sanchez Rodriguez Gerson Andres</v>
      </c>
      <c r="AI58" s="5" t="str">
        <f>IF(AND(LEN(AF58)=0, LEN(AG58)=0), "", IF(AND(LEN(AF58)&gt;0, LEN(AG58)=0), "BLANCO", IFERROR(VLOOKUP(AG58, BasedatosM9!A:B, 2, FALSE), "BLANCO")))</f>
        <v/>
      </c>
      <c r="AK58" s="5" t="str">
        <f ca="1">IFERROR(__xludf.DUMMYFUNCTION("""COMPUTED_VALUE"""),"TURNO B")</f>
        <v>TURNO B</v>
      </c>
      <c r="AL58" s="5">
        <f ca="1">IFERROR(__xludf.DUMMYFUNCTION("""COMPUTED_VALUE"""),23909817)</f>
        <v>23909817</v>
      </c>
      <c r="AM58" s="14">
        <f ca="1">IFERROR(__xludf.DUMMYFUNCTION("""COMPUTED_VALUE"""),45358)</f>
        <v>45358</v>
      </c>
      <c r="AN58" s="5" t="str">
        <f ca="1">IFERROR(__xludf.DUMMYFUNCTION("""COMPUTED_VALUE"""),"Botella caída a la salida de llenadora")</f>
        <v>Botella caída a la salida de llenadora</v>
      </c>
      <c r="AO58" s="5">
        <f ca="1">IFERROR(__xludf.DUMMYFUNCTION("""COMPUTED_VALUE"""),0.58)</f>
        <v>0.57999999999999996</v>
      </c>
      <c r="AP58" s="15">
        <f ca="1">IFERROR(__xludf.DUMMYFUNCTION("""COMPUTED_VALUE"""),0.770833333333333)</f>
        <v>0.77083333333333304</v>
      </c>
      <c r="AQ58" s="15">
        <f ca="1">IFERROR(__xludf.DUMMYFUNCTION("""COMPUTED_VALUE"""),0.795138888888888)</f>
        <v>0.79513888888888795</v>
      </c>
      <c r="AR58" s="5" t="str">
        <f ca="1">IFERROR(__xludf.DUMMYFUNCTION("""COMPUTED_VALUE"""),"LINE 10")</f>
        <v>LINE 10</v>
      </c>
      <c r="AS58" s="5"/>
      <c r="AT58" s="5" t="str">
        <f ca="1">IFERROR(__xludf.DUMMYFUNCTION("""COMPUTED_VALUE"""),"TRANSPORTADORES DE BEBIDA")</f>
        <v>TRANSPORTADORES DE BEBIDA</v>
      </c>
      <c r="AU58" s="5" t="str">
        <f ca="1">IF(AND(LEN(AR58)=0, LEN(AS58)=0), "", IF(AND(LEN(AR58)&gt;0, LEN(AS58)=0), "BLANCO", IFERROR(VLOOKUP(AS58, BasedatosM9!A:B, 2, FALSE), "BLANCO")))</f>
        <v>BLANCO</v>
      </c>
    </row>
    <row r="59" spans="1:47" ht="14.4">
      <c r="A59" s="21" t="s">
        <v>4742</v>
      </c>
      <c r="B59" s="86">
        <v>23901267</v>
      </c>
      <c r="C59" s="98">
        <v>45354</v>
      </c>
      <c r="D59" s="21" t="s">
        <v>4804</v>
      </c>
      <c r="E59" s="86">
        <v>0.22</v>
      </c>
      <c r="F59" s="99">
        <v>0.46111111111111108</v>
      </c>
      <c r="G59" s="99">
        <v>0.47013888888888888</v>
      </c>
      <c r="H59" s="21" t="s">
        <v>4551</v>
      </c>
      <c r="I59" s="86">
        <v>20062740</v>
      </c>
      <c r="J59" s="21" t="s">
        <v>2797</v>
      </c>
      <c r="K59" s="5" t="str">
        <f>IF(AND(LEN(H59)=0, LEN(I59)=0), "", IF(AND(LEN(H59)&gt;0, LEN(I59)=0), "BLANCO", IFERROR(VLOOKUP(I59, BasedatosM9!A:B, 2, FALSE), "BLANCO")))</f>
        <v>Hector Toro</v>
      </c>
      <c r="M59" s="5" t="str">
        <f ca="1">IFERROR(__xludf.DUMMYFUNCTION("""COMPUTED_VALUE"""),"TURNO A")</f>
        <v>TURNO A</v>
      </c>
      <c r="N59" s="5">
        <f ca="1">IFERROR(__xludf.DUMMYFUNCTION("""COMPUTED_VALUE"""),23904274)</f>
        <v>23904274</v>
      </c>
      <c r="O59" s="14">
        <f ca="1">IFERROR(__xludf.DUMMYFUNCTION("""COMPUTED_VALUE"""),45356)</f>
        <v>45356</v>
      </c>
      <c r="P59" s="5" t="str">
        <f ca="1">IFERROR(__xludf.DUMMYFUNCTION("""COMPUTED_VALUE"""),"Botellas sin tapa")</f>
        <v>Botellas sin tapa</v>
      </c>
      <c r="Q59" s="5">
        <f ca="1">IFERROR(__xludf.DUMMYFUNCTION("""COMPUTED_VALUE"""),0.17)</f>
        <v>0.17</v>
      </c>
      <c r="R59" s="15">
        <f ca="1">IFERROR(__xludf.DUMMYFUNCTION("""COMPUTED_VALUE"""),0.416666666666666)</f>
        <v>0.41666666666666602</v>
      </c>
      <c r="S59" s="15">
        <f ca="1">IFERROR(__xludf.DUMMYFUNCTION("""COMPUTED_VALUE"""),0.423611111111111)</f>
        <v>0.42361111111111099</v>
      </c>
      <c r="T59" s="5" t="str">
        <f ca="1">IFERROR(__xludf.DUMMYFUNCTION("""COMPUTED_VALUE"""),"LINE 1")</f>
        <v>LINE 1</v>
      </c>
      <c r="U59" s="5">
        <f ca="1">IFERROR(__xludf.DUMMYFUNCTION("""COMPUTED_VALUE"""),20082152)</f>
        <v>20082152</v>
      </c>
      <c r="V59" s="5" t="str">
        <f ca="1">IFERROR(__xludf.DUMMYFUNCTION("""COMPUTED_VALUE"""),"LLENADORA BOTELLAS PET")</f>
        <v>LLENADORA BOTELLAS PET</v>
      </c>
      <c r="W59" s="5" t="str">
        <f ca="1">IF(AND(LEN(T59)=0, LEN(U59)=0), "", IF(AND(LEN(T59)&gt;0, LEN(U59)=0), "BLANCO", IFERROR(VLOOKUP(U59, BasedatosM9!A:B, 2, FALSE), "BLANCO")))</f>
        <v>Ferney Ramos</v>
      </c>
      <c r="AI59" s="5" t="str">
        <f>IF(AND(LEN(AF59)=0, LEN(AG59)=0), "", IF(AND(LEN(AF59)&gt;0, LEN(AG59)=0), "BLANCO", IFERROR(VLOOKUP(AG59, BasedatosM9!A:B, 2, FALSE), "BLANCO")))</f>
        <v/>
      </c>
      <c r="AK59" s="5" t="str">
        <f ca="1">IFERROR(__xludf.DUMMYFUNCTION("""COMPUTED_VALUE"""),"TURNO C")</f>
        <v>TURNO C</v>
      </c>
      <c r="AL59" s="5">
        <f ca="1">IFERROR(__xludf.DUMMYFUNCTION("""COMPUTED_VALUE"""),23910300)</f>
        <v>23910300</v>
      </c>
      <c r="AM59" s="14">
        <f ca="1">IFERROR(__xludf.DUMMYFUNCTION("""COMPUTED_VALUE"""),45358)</f>
        <v>45358</v>
      </c>
      <c r="AN59" s="5" t="str">
        <f ca="1">IFERROR(__xludf.DUMMYFUNCTION("""COMPUTED_VALUE"""),"Sistema ASI")</f>
        <v>Sistema ASI</v>
      </c>
      <c r="AO59" s="5">
        <f ca="1">IFERROR(__xludf.DUMMYFUNCTION("""COMPUTED_VALUE"""),0.08)</f>
        <v>0.08</v>
      </c>
      <c r="AP59" s="15">
        <f ca="1">IFERROR(__xludf.DUMMYFUNCTION("""COMPUTED_VALUE"""),0.109027777777777)</f>
        <v>0.109027777777777</v>
      </c>
      <c r="AQ59" s="15">
        <f ca="1">IFERROR(__xludf.DUMMYFUNCTION("""COMPUTED_VALUE"""),0.1125)</f>
        <v>0.1125</v>
      </c>
      <c r="AR59" s="5" t="str">
        <f ca="1">IFERROR(__xludf.DUMMYFUNCTION("""COMPUTED_VALUE"""),"LINE 10")</f>
        <v>LINE 10</v>
      </c>
      <c r="AS59" s="5">
        <f ca="1">IFERROR(__xludf.DUMMYFUNCTION("""COMPUTED_VALUE"""),20043570)</f>
        <v>20043570</v>
      </c>
      <c r="AT59" s="5" t="str">
        <f ca="1">IFERROR(__xludf.DUMMYFUNCTION("""COMPUTED_VALUE"""),"ETIQUETADORA ENVOLVENTE")</f>
        <v>ETIQUETADORA ENVOLVENTE</v>
      </c>
      <c r="AU59" s="5" t="str">
        <f ca="1">IF(AND(LEN(AR59)=0, LEN(AS59)=0), "", IF(AND(LEN(AR59)&gt;0, LEN(AS59)=0), "BLANCO", IFERROR(VLOOKUP(AS59, BasedatosM9!A:B, 2, FALSE), "BLANCO")))</f>
        <v>Jhon Navas</v>
      </c>
    </row>
    <row r="60" spans="1:47" ht="14.4">
      <c r="A60" s="21" t="s">
        <v>4742</v>
      </c>
      <c r="B60" s="86">
        <v>23901273</v>
      </c>
      <c r="C60" s="98">
        <v>45354</v>
      </c>
      <c r="D60" s="21" t="s">
        <v>4759</v>
      </c>
      <c r="E60" s="86">
        <v>0.33</v>
      </c>
      <c r="F60" s="99">
        <v>0.4513888888888889</v>
      </c>
      <c r="G60" s="99">
        <v>0.46527777777777773</v>
      </c>
      <c r="H60" s="21" t="s">
        <v>4550</v>
      </c>
      <c r="I60" s="21"/>
      <c r="J60" s="21" t="s">
        <v>4744</v>
      </c>
      <c r="K60" s="5" t="str">
        <f>IF(AND(LEN(H60)=0, LEN(I60)=0), "", IF(AND(LEN(H60)&gt;0, LEN(I60)=0), "BLANCO", IFERROR(VLOOKUP(I60, BasedatosM9!A:B, 2, FALSE), "BLANCO")))</f>
        <v>BLANCO</v>
      </c>
      <c r="M60" s="5" t="str">
        <f ca="1">IFERROR(__xludf.DUMMYFUNCTION("""COMPUTED_VALUE"""),"TURNO A")</f>
        <v>TURNO A</v>
      </c>
      <c r="N60" s="5">
        <f ca="1">IFERROR(__xludf.DUMMYFUNCTION("""COMPUTED_VALUE"""),23904276)</f>
        <v>23904276</v>
      </c>
      <c r="O60" s="14">
        <f ca="1">IFERROR(__xludf.DUMMYFUNCTION("""COMPUTED_VALUE"""),45356)</f>
        <v>45356</v>
      </c>
      <c r="P60" s="5" t="str">
        <f ca="1">IFERROR(__xludf.DUMMYFUNCTION("""COMPUTED_VALUE"""),"Atascamiento de botella")</f>
        <v>Atascamiento de botella</v>
      </c>
      <c r="Q60" s="5">
        <f ca="1">IFERROR(__xludf.DUMMYFUNCTION("""COMPUTED_VALUE"""),0.18)</f>
        <v>0.18</v>
      </c>
      <c r="R60" s="15">
        <f ca="1">IFERROR(__xludf.DUMMYFUNCTION("""COMPUTED_VALUE"""),0.430555555555555)</f>
        <v>0.43055555555555503</v>
      </c>
      <c r="S60" s="15">
        <f ca="1">IFERROR(__xludf.DUMMYFUNCTION("""COMPUTED_VALUE"""),0.438194444444444)</f>
        <v>0.438194444444444</v>
      </c>
      <c r="T60" s="5" t="str">
        <f ca="1">IFERROR(__xludf.DUMMYFUNCTION("""COMPUTED_VALUE"""),"LINE 1")</f>
        <v>LINE 1</v>
      </c>
      <c r="U60" s="5">
        <f ca="1">IFERROR(__xludf.DUMMYFUNCTION("""COMPUTED_VALUE"""),20020754)</f>
        <v>20020754</v>
      </c>
      <c r="V60" s="5" t="str">
        <f ca="1">IFERROR(__xludf.DUMMYFUNCTION("""COMPUTED_VALUE"""),"TRANSPORTADORES DE ENVASE VACIO")</f>
        <v>TRANSPORTADORES DE ENVASE VACIO</v>
      </c>
      <c r="W60" s="5" t="str">
        <f ca="1">IF(AND(LEN(T60)=0, LEN(U60)=0), "", IF(AND(LEN(T60)&gt;0, LEN(U60)=0), "BLANCO", IFERROR(VLOOKUP(U60, BasedatosM9!A:B, 2, FALSE), "BLANCO")))</f>
        <v>Sanchez Rodriguez Gerson Andres</v>
      </c>
      <c r="AI60" s="5" t="str">
        <f>IF(AND(LEN(AF60)=0, LEN(AG60)=0), "", IF(AND(LEN(AF60)&gt;0, LEN(AG60)=0), "BLANCO", IFERROR(VLOOKUP(AG60, BasedatosM9!A:B, 2, FALSE), "BLANCO")))</f>
        <v/>
      </c>
      <c r="AK60" s="5" t="str">
        <f ca="1">IFERROR(__xludf.DUMMYFUNCTION("""COMPUTED_VALUE"""),"TURNO A")</f>
        <v>TURNO A</v>
      </c>
      <c r="AL60" s="5">
        <f ca="1">IFERROR(__xludf.DUMMYFUNCTION("""COMPUTED_VALUE"""),23911184)</f>
        <v>23911184</v>
      </c>
      <c r="AM60" s="14">
        <f ca="1">IFERROR(__xludf.DUMMYFUNCTION("""COMPUTED_VALUE"""),45359)</f>
        <v>45359</v>
      </c>
      <c r="AN60" s="5" t="str">
        <f ca="1">IFERROR(__xludf.DUMMYFUNCTION("""COMPUTED_VALUE"""),"Sistema ASI")</f>
        <v>Sistema ASI</v>
      </c>
      <c r="AO60" s="5">
        <f ca="1">IFERROR(__xludf.DUMMYFUNCTION("""COMPUTED_VALUE"""),5.08)</f>
        <v>5.08</v>
      </c>
      <c r="AP60" s="15">
        <f ca="1">IFERROR(__xludf.DUMMYFUNCTION("""COMPUTED_VALUE"""),0.229166666666666)</f>
        <v>0.22916666666666599</v>
      </c>
      <c r="AQ60" s="15">
        <f ca="1">IFERROR(__xludf.DUMMYFUNCTION("""COMPUTED_VALUE"""),0.440972222222222)</f>
        <v>0.44097222222222199</v>
      </c>
      <c r="AR60" s="5" t="str">
        <f ca="1">IFERROR(__xludf.DUMMYFUNCTION("""COMPUTED_VALUE"""),"LINE 10")</f>
        <v>LINE 10</v>
      </c>
      <c r="AS60" s="5"/>
      <c r="AT60" s="5" t="str">
        <f ca="1">IFERROR(__xludf.DUMMYFUNCTION("""COMPUTED_VALUE"""),"ETIQUETADORA ENVOLVENTE")</f>
        <v>ETIQUETADORA ENVOLVENTE</v>
      </c>
      <c r="AU60" s="5" t="str">
        <f ca="1">IF(AND(LEN(AR60)=0, LEN(AS60)=0), "", IF(AND(LEN(AR60)&gt;0, LEN(AS60)=0), "BLANCO", IFERROR(VLOOKUP(AS60, BasedatosM9!A:B, 2, FALSE), "BLANCO")))</f>
        <v>BLANCO</v>
      </c>
    </row>
    <row r="61" spans="1:47" ht="14.4">
      <c r="A61" s="21" t="s">
        <v>4742</v>
      </c>
      <c r="B61" s="86">
        <v>23901274</v>
      </c>
      <c r="C61" s="98">
        <v>45354</v>
      </c>
      <c r="D61" s="21" t="s">
        <v>4761</v>
      </c>
      <c r="E61" s="86">
        <v>0.27</v>
      </c>
      <c r="F61" s="99">
        <v>0.4861111111111111</v>
      </c>
      <c r="G61" s="99">
        <v>0.49722222222222223</v>
      </c>
      <c r="H61" s="21" t="s">
        <v>4550</v>
      </c>
      <c r="I61" s="21"/>
      <c r="J61" s="21" t="s">
        <v>79</v>
      </c>
      <c r="K61" s="5" t="str">
        <f>IF(AND(LEN(H61)=0, LEN(I61)=0), "", IF(AND(LEN(H61)&gt;0, LEN(I61)=0), "BLANCO", IFERROR(VLOOKUP(I61, BasedatosM9!A:B, 2, FALSE), "BLANCO")))</f>
        <v>BLANCO</v>
      </c>
      <c r="M61" s="5" t="str">
        <f ca="1">IFERROR(__xludf.DUMMYFUNCTION("""COMPUTED_VALUE"""),"TURNO B")</f>
        <v>TURNO B</v>
      </c>
      <c r="N61" s="5">
        <f ca="1">IFERROR(__xludf.DUMMYFUNCTION("""COMPUTED_VALUE"""),23904681)</f>
        <v>23904681</v>
      </c>
      <c r="O61" s="14">
        <f ca="1">IFERROR(__xludf.DUMMYFUNCTION("""COMPUTED_VALUE"""),45356)</f>
        <v>45356</v>
      </c>
      <c r="P61" s="5" t="str">
        <f ca="1">IFERROR(__xludf.DUMMYFUNCTION("""COMPUTED_VALUE"""),"Atascamiento botellas")</f>
        <v>Atascamiento botellas</v>
      </c>
      <c r="Q61" s="5">
        <f ca="1">IFERROR(__xludf.DUMMYFUNCTION("""COMPUTED_VALUE"""),0.27)</f>
        <v>0.27</v>
      </c>
      <c r="R61" s="15">
        <f ca="1">IFERROR(__xludf.DUMMYFUNCTION("""COMPUTED_VALUE"""),0.590277777777777)</f>
        <v>0.59027777777777701</v>
      </c>
      <c r="S61" s="15">
        <f ca="1">IFERROR(__xludf.DUMMYFUNCTION("""COMPUTED_VALUE"""),0.601388888888888)</f>
        <v>0.60138888888888797</v>
      </c>
      <c r="T61" s="5" t="str">
        <f ca="1">IFERROR(__xludf.DUMMYFUNCTION("""COMPUTED_VALUE"""),"LINE 1")</f>
        <v>LINE 1</v>
      </c>
      <c r="U61" s="5">
        <f ca="1">IFERROR(__xludf.DUMMYFUNCTION("""COMPUTED_VALUE"""),20075387)</f>
        <v>20075387</v>
      </c>
      <c r="V61" s="5" t="str">
        <f ca="1">IFERROR(__xludf.DUMMYFUNCTION("""COMPUTED_VALUE"""),"TRANSPORTADORES DE ENVASE VACIO")</f>
        <v>TRANSPORTADORES DE ENVASE VACIO</v>
      </c>
      <c r="W61" s="5" t="str">
        <f ca="1">IF(AND(LEN(T61)=0, LEN(U61)=0), "", IF(AND(LEN(T61)&gt;0, LEN(U61)=0), "BLANCO", IFERROR(VLOOKUP(U61, BasedatosM9!A:B, 2, FALSE), "BLANCO")))</f>
        <v>Cristian Suaza</v>
      </c>
      <c r="AI61" s="5" t="str">
        <f>IF(AND(LEN(AF61)=0, LEN(AG61)=0), "", IF(AND(LEN(AF61)&gt;0, LEN(AG61)=0), "BLANCO", IFERROR(VLOOKUP(AG61, BasedatosM9!A:B, 2, FALSE), "BLANCO")))</f>
        <v/>
      </c>
      <c r="AK61" s="5" t="str">
        <f ca="1">IFERROR(__xludf.DUMMYFUNCTION("""COMPUTED_VALUE"""),"TURNO A")</f>
        <v>TURNO A</v>
      </c>
      <c r="AL61" s="5">
        <f ca="1">IFERROR(__xludf.DUMMYFUNCTION("""COMPUTED_VALUE"""),23911343)</f>
        <v>23911343</v>
      </c>
      <c r="AM61" s="14">
        <f ca="1">IFERROR(__xludf.DUMMYFUNCTION("""COMPUTED_VALUE"""),45359)</f>
        <v>45359</v>
      </c>
      <c r="AN61" s="5" t="str">
        <f ca="1">IFERROR(__xludf.DUMMYFUNCTION("""COMPUTED_VALUE"""),"Falla en armario electrico")</f>
        <v>Falla en armario electrico</v>
      </c>
      <c r="AO61" s="5">
        <f ca="1">IFERROR(__xludf.DUMMYFUNCTION("""COMPUTED_VALUE"""),0.72)</f>
        <v>0.72</v>
      </c>
      <c r="AP61" s="15">
        <f ca="1">IFERROR(__xludf.DUMMYFUNCTION("""COMPUTED_VALUE"""),0.5)</f>
        <v>0.5</v>
      </c>
      <c r="AQ61" s="15">
        <f ca="1">IFERROR(__xludf.DUMMYFUNCTION("""COMPUTED_VALUE"""),0.529861111111111)</f>
        <v>0.52986111111111101</v>
      </c>
      <c r="AR61" s="5" t="str">
        <f ca="1">IFERROR(__xludf.DUMMYFUNCTION("""COMPUTED_VALUE"""),"LINE 10")</f>
        <v>LINE 10</v>
      </c>
      <c r="AS61" s="5"/>
      <c r="AT61" s="5" t="str">
        <f ca="1">IFERROR(__xludf.DUMMYFUNCTION("""COMPUTED_VALUE"""),"ETIQUETADORA ENVOLVENTE")</f>
        <v>ETIQUETADORA ENVOLVENTE</v>
      </c>
      <c r="AU61" s="5" t="str">
        <f ca="1">IF(AND(LEN(AR61)=0, LEN(AS61)=0), "", IF(AND(LEN(AR61)&gt;0, LEN(AS61)=0), "BLANCO", IFERROR(VLOOKUP(AS61, BasedatosM9!A:B, 2, FALSE), "BLANCO")))</f>
        <v>BLANCO</v>
      </c>
    </row>
    <row r="62" spans="1:47" ht="14.4">
      <c r="A62" s="21" t="s">
        <v>4742</v>
      </c>
      <c r="B62" s="86">
        <v>23901324</v>
      </c>
      <c r="C62" s="98">
        <v>45354</v>
      </c>
      <c r="D62" s="21" t="s">
        <v>4805</v>
      </c>
      <c r="E62" s="86">
        <v>0.57999999999999996</v>
      </c>
      <c r="F62" s="99">
        <v>0.59375</v>
      </c>
      <c r="G62" s="99">
        <v>0.61805555555555558</v>
      </c>
      <c r="H62" s="21" t="s">
        <v>4550</v>
      </c>
      <c r="I62" s="86">
        <v>20009743</v>
      </c>
      <c r="J62" s="21" t="s">
        <v>79</v>
      </c>
      <c r="K62" s="5" t="str">
        <f>IF(AND(LEN(H62)=0, LEN(I62)=0), "", IF(AND(LEN(H62)&gt;0, LEN(I62)=0), "BLANCO", IFERROR(VLOOKUP(I62, BasedatosM9!A:B, 2, FALSE), "BLANCO")))</f>
        <v>Duran Sanchez Nelson Fernando</v>
      </c>
      <c r="M62" s="5" t="str">
        <f ca="1">IFERROR(__xludf.DUMMYFUNCTION("""COMPUTED_VALUE"""),"TURNO B")</f>
        <v>TURNO B</v>
      </c>
      <c r="N62" s="5">
        <f ca="1">IFERROR(__xludf.DUMMYFUNCTION("""COMPUTED_VALUE"""),23905031)</f>
        <v>23905031</v>
      </c>
      <c r="O62" s="14">
        <f ca="1">IFERROR(__xludf.DUMMYFUNCTION("""COMPUTED_VALUE"""),45356)</f>
        <v>45356</v>
      </c>
      <c r="P62" s="5" t="str">
        <f ca="1">IFERROR(__xludf.DUMMYFUNCTION("""COMPUTED_VALUE"""),"Atascamiento botellas")</f>
        <v>Atascamiento botellas</v>
      </c>
      <c r="Q62" s="5">
        <f ca="1">IFERROR(__xludf.DUMMYFUNCTION("""COMPUTED_VALUE"""),0.25)</f>
        <v>0.25</v>
      </c>
      <c r="R62" s="15">
        <f ca="1">IFERROR(__xludf.DUMMYFUNCTION("""COMPUTED_VALUE"""),0.6875)</f>
        <v>0.6875</v>
      </c>
      <c r="S62" s="15">
        <f ca="1">IFERROR(__xludf.DUMMYFUNCTION("""COMPUTED_VALUE"""),0.697916666666666)</f>
        <v>0.69791666666666596</v>
      </c>
      <c r="T62" s="5" t="str">
        <f ca="1">IFERROR(__xludf.DUMMYFUNCTION("""COMPUTED_VALUE"""),"LINE 1")</f>
        <v>LINE 1</v>
      </c>
      <c r="U62" s="5">
        <f ca="1">IFERROR(__xludf.DUMMYFUNCTION("""COMPUTED_VALUE"""),20075387)</f>
        <v>20075387</v>
      </c>
      <c r="V62" s="5" t="str">
        <f ca="1">IFERROR(__xludf.DUMMYFUNCTION("""COMPUTED_VALUE"""),"TRANSPORTADORES DE ENVASE VACIO")</f>
        <v>TRANSPORTADORES DE ENVASE VACIO</v>
      </c>
      <c r="W62" s="5" t="str">
        <f ca="1">IF(AND(LEN(T62)=0, LEN(U62)=0), "", IF(AND(LEN(T62)&gt;0, LEN(U62)=0), "BLANCO", IFERROR(VLOOKUP(U62, BasedatosM9!A:B, 2, FALSE), "BLANCO")))</f>
        <v>Cristian Suaza</v>
      </c>
      <c r="AI62" s="5" t="str">
        <f>IF(AND(LEN(AF62)=0, LEN(AG62)=0), "", IF(AND(LEN(AF62)&gt;0, LEN(AG62)=0), "BLANCO", IFERROR(VLOOKUP(AG62, BasedatosM9!A:B, 2, FALSE), "BLANCO")))</f>
        <v/>
      </c>
      <c r="AK62" s="5" t="str">
        <f ca="1">IFERROR(__xludf.DUMMYFUNCTION("""COMPUTED_VALUE"""),"TURNO B")</f>
        <v>TURNO B</v>
      </c>
      <c r="AL62" s="5">
        <f ca="1">IFERROR(__xludf.DUMMYFUNCTION("""COMPUTED_VALUE"""),23911928)</f>
        <v>23911928</v>
      </c>
      <c r="AM62" s="14">
        <f ca="1">IFERROR(__xludf.DUMMYFUNCTION("""COMPUTED_VALUE"""),45359)</f>
        <v>45359</v>
      </c>
      <c r="AN62" s="5" t="str">
        <f ca="1">IFERROR(__xludf.DUMMYFUNCTION("""COMPUTED_VALUE"""),"Mal corte de etiqueta")</f>
        <v>Mal corte de etiqueta</v>
      </c>
      <c r="AO62" s="5">
        <f ca="1">IFERROR(__xludf.DUMMYFUNCTION("""COMPUTED_VALUE"""),0.67)</f>
        <v>0.67</v>
      </c>
      <c r="AP62" s="15">
        <f ca="1">IFERROR(__xludf.DUMMYFUNCTION("""COMPUTED_VALUE"""),0.583333333333333)</f>
        <v>0.58333333333333304</v>
      </c>
      <c r="AQ62" s="15">
        <f ca="1">IFERROR(__xludf.DUMMYFUNCTION("""COMPUTED_VALUE"""),0.611111111111111)</f>
        <v>0.61111111111111105</v>
      </c>
      <c r="AR62" s="5" t="str">
        <f ca="1">IFERROR(__xludf.DUMMYFUNCTION("""COMPUTED_VALUE"""),"LINE 10")</f>
        <v>LINE 10</v>
      </c>
      <c r="AS62" s="5">
        <f ca="1">IFERROR(__xludf.DUMMYFUNCTION("""COMPUTED_VALUE"""),20031425)</f>
        <v>20031425</v>
      </c>
      <c r="AT62" s="5" t="str">
        <f ca="1">IFERROR(__xludf.DUMMYFUNCTION("""COMPUTED_VALUE"""),"ETIQUETADORA ENVOLVENTE")</f>
        <v>ETIQUETADORA ENVOLVENTE</v>
      </c>
      <c r="AU62" s="5" t="str">
        <f ca="1">IF(AND(LEN(AR62)=0, LEN(AS62)=0), "", IF(AND(LEN(AR62)&gt;0, LEN(AS62)=0), "BLANCO", IFERROR(VLOOKUP(AS62, BasedatosM9!A:B, 2, FALSE), "BLANCO")))</f>
        <v>Luis Gordillo</v>
      </c>
    </row>
    <row r="63" spans="1:47" ht="14.4">
      <c r="A63" s="21" t="s">
        <v>4742</v>
      </c>
      <c r="B63" s="86">
        <v>23901325</v>
      </c>
      <c r="C63" s="98">
        <v>45354</v>
      </c>
      <c r="D63" s="21" t="s">
        <v>4806</v>
      </c>
      <c r="E63" s="86">
        <v>0.08</v>
      </c>
      <c r="F63" s="99">
        <v>0.62916666666666665</v>
      </c>
      <c r="G63" s="99">
        <v>0.63263888888888886</v>
      </c>
      <c r="H63" s="21" t="s">
        <v>4550</v>
      </c>
      <c r="I63" s="21"/>
      <c r="J63" s="21" t="s">
        <v>1471</v>
      </c>
      <c r="K63" s="5" t="str">
        <f>IF(AND(LEN(H63)=0, LEN(I63)=0), "", IF(AND(LEN(H63)&gt;0, LEN(I63)=0), "BLANCO", IFERROR(VLOOKUP(I63, BasedatosM9!A:B, 2, FALSE), "BLANCO")))</f>
        <v>BLANCO</v>
      </c>
      <c r="M63" s="5" t="str">
        <f ca="1">IFERROR(__xludf.DUMMYFUNCTION("""COMPUTED_VALUE"""),"TURNO B")</f>
        <v>TURNO B</v>
      </c>
      <c r="N63" s="5">
        <f ca="1">IFERROR(__xludf.DUMMYFUNCTION("""COMPUTED_VALUE"""),23905066)</f>
        <v>23905066</v>
      </c>
      <c r="O63" s="14">
        <f ca="1">IFERROR(__xludf.DUMMYFUNCTION("""COMPUTED_VALUE"""),45356)</f>
        <v>45356</v>
      </c>
      <c r="P63" s="5" t="str">
        <f ca="1">IFERROR(__xludf.DUMMYFUNCTION("""COMPUTED_VALUE"""),"Se pierde sincronizacion")</f>
        <v>Se pierde sincronizacion</v>
      </c>
      <c r="Q63" s="5">
        <f ca="1">IFERROR(__xludf.DUMMYFUNCTION("""COMPUTED_VALUE"""),0.78)</f>
        <v>0.78</v>
      </c>
      <c r="R63" s="15">
        <f ca="1">IFERROR(__xludf.DUMMYFUNCTION("""COMPUTED_VALUE"""),0.708333333333333)</f>
        <v>0.70833333333333304</v>
      </c>
      <c r="S63" s="15">
        <f ca="1">IFERROR(__xludf.DUMMYFUNCTION("""COMPUTED_VALUE"""),0.740972222222222)</f>
        <v>0.74097222222222203</v>
      </c>
      <c r="T63" s="5" t="str">
        <f ca="1">IFERROR(__xludf.DUMMYFUNCTION("""COMPUTED_VALUE"""),"LINE 1")</f>
        <v>LINE 1</v>
      </c>
      <c r="U63" s="5">
        <f ca="1">IFERROR(__xludf.DUMMYFUNCTION("""COMPUTED_VALUE"""),20009915)</f>
        <v>20009915</v>
      </c>
      <c r="V63" s="5" t="str">
        <f ca="1">IFERROR(__xludf.DUMMYFUNCTION("""COMPUTED_VALUE"""),"ENFARDADORA")</f>
        <v>ENFARDADORA</v>
      </c>
      <c r="W63" s="5" t="str">
        <f ca="1">IF(AND(LEN(T63)=0, LEN(U63)=0), "", IF(AND(LEN(T63)&gt;0, LEN(U63)=0), "BLANCO", IFERROR(VLOOKUP(U63, BasedatosM9!A:B, 2, FALSE), "BLANCO")))</f>
        <v>Lozano Delgado Fausto Andres</v>
      </c>
      <c r="AI63" s="5" t="str">
        <f>IF(AND(LEN(AF63)=0, LEN(AG63)=0), "", IF(AND(LEN(AF63)&gt;0, LEN(AG63)=0), "BLANCO", IFERROR(VLOOKUP(AG63, BasedatosM9!A:B, 2, FALSE), "BLANCO")))</f>
        <v/>
      </c>
      <c r="AK63" s="5" t="str">
        <f ca="1">IFERROR(__xludf.DUMMYFUNCTION("""COMPUTED_VALUE"""),"TURNO B")</f>
        <v>TURNO B</v>
      </c>
      <c r="AL63" s="5">
        <f ca="1">IFERROR(__xludf.DUMMYFUNCTION("""COMPUTED_VALUE"""),23912025)</f>
        <v>23912025</v>
      </c>
      <c r="AM63" s="14">
        <f ca="1">IFERROR(__xludf.DUMMYFUNCTION("""COMPUTED_VALUE"""),45359)</f>
        <v>45359</v>
      </c>
      <c r="AN63" s="5" t="str">
        <f ca="1">IFERROR(__xludf.DUMMYFUNCTION("""COMPUTED_VALUE"""),"Refrigeración de tablero electrico")</f>
        <v>Refrigeración de tablero electrico</v>
      </c>
      <c r="AO63" s="5">
        <f ca="1">IFERROR(__xludf.DUMMYFUNCTION("""COMPUTED_VALUE"""),0.17)</f>
        <v>0.17</v>
      </c>
      <c r="AP63" s="15">
        <f ca="1">IFERROR(__xludf.DUMMYFUNCTION("""COMPUTED_VALUE"""),0.722222222222222)</f>
        <v>0.72222222222222199</v>
      </c>
      <c r="AQ63" s="15">
        <f ca="1">IFERROR(__xludf.DUMMYFUNCTION("""COMPUTED_VALUE"""),0.729166666666666)</f>
        <v>0.72916666666666596</v>
      </c>
      <c r="AR63" s="5" t="str">
        <f ca="1">IFERROR(__xludf.DUMMYFUNCTION("""COMPUTED_VALUE"""),"LINE 10")</f>
        <v>LINE 10</v>
      </c>
      <c r="AS63" s="5">
        <f ca="1">IFERROR(__xludf.DUMMYFUNCTION("""COMPUTED_VALUE"""),20031425)</f>
        <v>20031425</v>
      </c>
      <c r="AT63" s="5" t="str">
        <f ca="1">IFERROR(__xludf.DUMMYFUNCTION("""COMPUTED_VALUE"""),"INSPECTOR DE ENVASE LLENO")</f>
        <v>INSPECTOR DE ENVASE LLENO</v>
      </c>
      <c r="AU63" s="5" t="str">
        <f ca="1">IF(AND(LEN(AR63)=0, LEN(AS63)=0), "", IF(AND(LEN(AR63)&gt;0, LEN(AS63)=0), "BLANCO", IFERROR(VLOOKUP(AS63, BasedatosM9!A:B, 2, FALSE), "BLANCO")))</f>
        <v>Luis Gordillo</v>
      </c>
    </row>
    <row r="64" spans="1:47" ht="14.4">
      <c r="A64" s="21" t="s">
        <v>4757</v>
      </c>
      <c r="B64" s="86">
        <v>23901336</v>
      </c>
      <c r="C64" s="98">
        <v>45354</v>
      </c>
      <c r="D64" s="21" t="s">
        <v>4745</v>
      </c>
      <c r="E64" s="86">
        <v>0.12</v>
      </c>
      <c r="F64" s="99">
        <v>0.58333333333333337</v>
      </c>
      <c r="G64" s="99">
        <v>0.58819444444444446</v>
      </c>
      <c r="H64" s="21" t="s">
        <v>4551</v>
      </c>
      <c r="I64" s="86">
        <v>20020754</v>
      </c>
      <c r="J64" s="21" t="s">
        <v>4746</v>
      </c>
      <c r="K64" s="5" t="str">
        <f>IF(AND(LEN(H64)=0, LEN(I64)=0), "", IF(AND(LEN(H64)&gt;0, LEN(I64)=0), "BLANCO", IFERROR(VLOOKUP(I64, BasedatosM9!A:B, 2, FALSE), "BLANCO")))</f>
        <v>Sanchez Rodriguez Gerson Andres</v>
      </c>
      <c r="M64" s="5" t="str">
        <f ca="1">IFERROR(__xludf.DUMMYFUNCTION("""COMPUTED_VALUE"""),"TURNO B")</f>
        <v>TURNO B</v>
      </c>
      <c r="N64" s="5">
        <f ca="1">IFERROR(__xludf.DUMMYFUNCTION("""COMPUTED_VALUE"""),23905067)</f>
        <v>23905067</v>
      </c>
      <c r="O64" s="14">
        <f ca="1">IFERROR(__xludf.DUMMYFUNCTION("""COMPUTED_VALUE"""),45356)</f>
        <v>45356</v>
      </c>
      <c r="P64" s="5" t="str">
        <f ca="1">IFERROR(__xludf.DUMMYFUNCTION("""COMPUTED_VALUE"""),"Caida de botellas salida llenadora")</f>
        <v>Caida de botellas salida llenadora</v>
      </c>
      <c r="Q64" s="5">
        <f ca="1">IFERROR(__xludf.DUMMYFUNCTION("""COMPUTED_VALUE"""),0.55)</f>
        <v>0.55000000000000004</v>
      </c>
      <c r="R64" s="15">
        <f ca="1">IFERROR(__xludf.DUMMYFUNCTION("""COMPUTED_VALUE"""),0.756944444444444)</f>
        <v>0.75694444444444398</v>
      </c>
      <c r="S64" s="15">
        <f ca="1">IFERROR(__xludf.DUMMYFUNCTION("""COMPUTED_VALUE"""),0.779861111111111)</f>
        <v>0.77986111111111101</v>
      </c>
      <c r="T64" s="5" t="str">
        <f ca="1">IFERROR(__xludf.DUMMYFUNCTION("""COMPUTED_VALUE"""),"LINE 1")</f>
        <v>LINE 1</v>
      </c>
      <c r="U64" s="5">
        <f ca="1">IFERROR(__xludf.DUMMYFUNCTION("""COMPUTED_VALUE"""),20019987)</f>
        <v>20019987</v>
      </c>
      <c r="V64" s="5" t="str">
        <f ca="1">IFERROR(__xludf.DUMMYFUNCTION("""COMPUTED_VALUE"""),"TRANSPORTADORES DE BEBIDA")</f>
        <v>TRANSPORTADORES DE BEBIDA</v>
      </c>
      <c r="W64" s="5" t="str">
        <f ca="1">IF(AND(LEN(T64)=0, LEN(U64)=0), "", IF(AND(LEN(T64)&gt;0, LEN(U64)=0), "BLANCO", IFERROR(VLOOKUP(U64, BasedatosM9!A:B, 2, FALSE), "BLANCO")))</f>
        <v>Aguado Lemos Luis Eyder</v>
      </c>
      <c r="AI64" s="5" t="str">
        <f>IF(AND(LEN(AF64)=0, LEN(AG64)=0), "", IF(AND(LEN(AF64)&gt;0, LEN(AG64)=0), "BLANCO", IFERROR(VLOOKUP(AG64, BasedatosM9!A:B, 2, FALSE), "BLANCO")))</f>
        <v/>
      </c>
      <c r="AK64" s="5" t="str">
        <f ca="1">IFERROR(__xludf.DUMMYFUNCTION("""COMPUTED_VALUE"""),"TURNO C")</f>
        <v>TURNO C</v>
      </c>
      <c r="AL64" s="5">
        <f ca="1">IFERROR(__xludf.DUMMYFUNCTION("""COMPUTED_VALUE"""),23912374)</f>
        <v>23912374</v>
      </c>
      <c r="AM64" s="14">
        <f ca="1">IFERROR(__xludf.DUMMYFUNCTION("""COMPUTED_VALUE"""),45359)</f>
        <v>45359</v>
      </c>
      <c r="AN64" s="5" t="str">
        <f ca="1">IFERROR(__xludf.DUMMYFUNCTION("""COMPUTED_VALUE"""),"Tapa atascada en bajante")</f>
        <v>Tapa atascada en bajante</v>
      </c>
      <c r="AO64" s="5">
        <f ca="1">IFERROR(__xludf.DUMMYFUNCTION("""COMPUTED_VALUE"""),0.08)</f>
        <v>0.08</v>
      </c>
      <c r="AP64" s="15">
        <f ca="1">IFERROR(__xludf.DUMMYFUNCTION("""COMPUTED_VALUE"""),0.972222222222222)</f>
        <v>0.97222222222222199</v>
      </c>
      <c r="AQ64" s="15">
        <f ca="1">IFERROR(__xludf.DUMMYFUNCTION("""COMPUTED_VALUE"""),0.975694444444444)</f>
        <v>0.97569444444444398</v>
      </c>
      <c r="AR64" s="5" t="str">
        <f ca="1">IFERROR(__xludf.DUMMYFUNCTION("""COMPUTED_VALUE"""),"LINE 10")</f>
        <v>LINE 10</v>
      </c>
      <c r="AS64" s="5"/>
      <c r="AT64" s="5" t="str">
        <f ca="1">IFERROR(__xludf.DUMMYFUNCTION("""COMPUTED_VALUE"""),"INSPECTOR TAPA")</f>
        <v>INSPECTOR TAPA</v>
      </c>
      <c r="AU64" s="5" t="str">
        <f ca="1">IF(AND(LEN(AR64)=0, LEN(AS64)=0), "", IF(AND(LEN(AR64)&gt;0, LEN(AS64)=0), "BLANCO", IFERROR(VLOOKUP(AS64, BasedatosM9!A:B, 2, FALSE), "BLANCO")))</f>
        <v>BLANCO</v>
      </c>
    </row>
    <row r="65" spans="1:47" ht="14.4">
      <c r="A65" s="21" t="s">
        <v>4757</v>
      </c>
      <c r="B65" s="86">
        <v>23901375</v>
      </c>
      <c r="C65" s="98">
        <v>45354</v>
      </c>
      <c r="D65" s="21" t="s">
        <v>4807</v>
      </c>
      <c r="E65" s="86">
        <v>0.08</v>
      </c>
      <c r="F65" s="99">
        <v>0.69444444444444453</v>
      </c>
      <c r="G65" s="99">
        <v>0.69791666666666663</v>
      </c>
      <c r="H65" s="21" t="s">
        <v>4551</v>
      </c>
      <c r="I65" s="21"/>
      <c r="J65" s="21" t="s">
        <v>79</v>
      </c>
      <c r="K65" s="5" t="str">
        <f>IF(AND(LEN(H65)=0, LEN(I65)=0), "", IF(AND(LEN(H65)&gt;0, LEN(I65)=0), "BLANCO", IFERROR(VLOOKUP(I65, BasedatosM9!A:B, 2, FALSE), "BLANCO")))</f>
        <v>BLANCO</v>
      </c>
      <c r="M65" s="5" t="str">
        <f ca="1">IFERROR(__xludf.DUMMYFUNCTION("""COMPUTED_VALUE"""),"TURNO B")</f>
        <v>TURNO B</v>
      </c>
      <c r="N65" s="5">
        <f ca="1">IFERROR(__xludf.DUMMYFUNCTION("""COMPUTED_VALUE"""),23905143)</f>
        <v>23905143</v>
      </c>
      <c r="O65" s="14">
        <f ca="1">IFERROR(__xludf.DUMMYFUNCTION("""COMPUTED_VALUE"""),45356)</f>
        <v>45356</v>
      </c>
      <c r="P65" s="5" t="str">
        <f ca="1">IFERROR(__xludf.DUMMYFUNCTION("""COMPUTED_VALUE"""),"Atascamiento botellas")</f>
        <v>Atascamiento botellas</v>
      </c>
      <c r="Q65" s="5">
        <f ca="1">IFERROR(__xludf.DUMMYFUNCTION("""COMPUTED_VALUE"""),0.1)</f>
        <v>0.1</v>
      </c>
      <c r="R65" s="15">
        <f ca="1">IFERROR(__xludf.DUMMYFUNCTION("""COMPUTED_VALUE"""),0.819444444444444)</f>
        <v>0.81944444444444398</v>
      </c>
      <c r="S65" s="15">
        <f ca="1">IFERROR(__xludf.DUMMYFUNCTION("""COMPUTED_VALUE"""),0.823611111111111)</f>
        <v>0.82361111111111096</v>
      </c>
      <c r="T65" s="5" t="str">
        <f ca="1">IFERROR(__xludf.DUMMYFUNCTION("""COMPUTED_VALUE"""),"LINE 1")</f>
        <v>LINE 1</v>
      </c>
      <c r="U65" s="5">
        <f ca="1">IFERROR(__xludf.DUMMYFUNCTION("""COMPUTED_VALUE"""),20075387)</f>
        <v>20075387</v>
      </c>
      <c r="V65" s="5" t="str">
        <f ca="1">IFERROR(__xludf.DUMMYFUNCTION("""COMPUTED_VALUE"""),"TRANSPORTADORES DE ENVASE VACIO")</f>
        <v>TRANSPORTADORES DE ENVASE VACIO</v>
      </c>
      <c r="W65" s="5" t="str">
        <f ca="1">IF(AND(LEN(T65)=0, LEN(U65)=0), "", IF(AND(LEN(T65)&gt;0, LEN(U65)=0), "BLANCO", IFERROR(VLOOKUP(U65, BasedatosM9!A:B, 2, FALSE), "BLANCO")))</f>
        <v>Cristian Suaza</v>
      </c>
      <c r="AI65" s="5" t="str">
        <f>IF(AND(LEN(AF65)=0, LEN(AG65)=0), "", IF(AND(LEN(AF65)&gt;0, LEN(AG65)=0), "BLANCO", IFERROR(VLOOKUP(AG65, BasedatosM9!A:B, 2, FALSE), "BLANCO")))</f>
        <v/>
      </c>
      <c r="AK65" s="5" t="str">
        <f ca="1">IFERROR(__xludf.DUMMYFUNCTION("""COMPUTED_VALUE"""),"TURNO C")</f>
        <v>TURNO C</v>
      </c>
      <c r="AL65" s="5">
        <f ca="1">IFERROR(__xludf.DUMMYFUNCTION("""COMPUTED_VALUE"""),23912375)</f>
        <v>23912375</v>
      </c>
      <c r="AM65" s="14">
        <f ca="1">IFERROR(__xludf.DUMMYFUNCTION("""COMPUTED_VALUE"""),45359)</f>
        <v>45359</v>
      </c>
      <c r="AN65" s="5" t="str">
        <f ca="1">IFERROR(__xludf.DUMMYFUNCTION("""COMPUTED_VALUE"""),"Atlanta Falla freno vertical")</f>
        <v>Atlanta Falla freno vertical</v>
      </c>
      <c r="AO65" s="5">
        <f ca="1">IFERROR(__xludf.DUMMYFUNCTION("""COMPUTED_VALUE"""),4.52)</f>
        <v>4.5199999999999996</v>
      </c>
      <c r="AP65" s="15">
        <f ca="1">IFERROR(__xludf.DUMMYFUNCTION("""COMPUTED_VALUE"""),0.0333333333333333)</f>
        <v>3.3333333333333298E-2</v>
      </c>
      <c r="AQ65" s="15">
        <f ca="1">IFERROR(__xludf.DUMMYFUNCTION("""COMPUTED_VALUE"""),0.221527777777777)</f>
        <v>0.22152777777777699</v>
      </c>
      <c r="AR65" s="5" t="str">
        <f ca="1">IFERROR(__xludf.DUMMYFUNCTION("""COMPUTED_VALUE"""),"LINE 10")</f>
        <v>LINE 10</v>
      </c>
      <c r="AS65" s="5"/>
      <c r="AT65" s="5" t="str">
        <f ca="1">IFERROR(__xludf.DUMMYFUNCTION("""COMPUTED_VALUE"""),"ENVOLVEDOR")</f>
        <v>ENVOLVEDOR</v>
      </c>
      <c r="AU65" s="5" t="str">
        <f ca="1">IF(AND(LEN(AR65)=0, LEN(AS65)=0), "", IF(AND(LEN(AR65)&gt;0, LEN(AS65)=0), "BLANCO", IFERROR(VLOOKUP(AS65, BasedatosM9!A:B, 2, FALSE), "BLANCO")))</f>
        <v>BLANCO</v>
      </c>
    </row>
    <row r="66" spans="1:47" ht="14.4">
      <c r="A66" s="21" t="s">
        <v>4757</v>
      </c>
      <c r="B66" s="86">
        <v>23901377</v>
      </c>
      <c r="C66" s="98">
        <v>45354</v>
      </c>
      <c r="D66" s="21" t="s">
        <v>4807</v>
      </c>
      <c r="E66" s="86">
        <v>0.28000000000000003</v>
      </c>
      <c r="F66" s="99">
        <v>0.70833333333333337</v>
      </c>
      <c r="G66" s="99">
        <v>0.72013888888888899</v>
      </c>
      <c r="H66" s="21" t="s">
        <v>4551</v>
      </c>
      <c r="I66" s="86">
        <v>20020754</v>
      </c>
      <c r="J66" s="21" t="s">
        <v>79</v>
      </c>
      <c r="K66" s="5" t="str">
        <f>IF(AND(LEN(H66)=0, LEN(I66)=0), "", IF(AND(LEN(H66)&gt;0, LEN(I66)=0), "BLANCO", IFERROR(VLOOKUP(I66, BasedatosM9!A:B, 2, FALSE), "BLANCO")))</f>
        <v>Sanchez Rodriguez Gerson Andres</v>
      </c>
      <c r="M66" s="5" t="str">
        <f ca="1">IFERROR(__xludf.DUMMYFUNCTION("""COMPUTED_VALUE"""),"TURNO B")</f>
        <v>TURNO B</v>
      </c>
      <c r="N66" s="5">
        <f ca="1">IFERROR(__xludf.DUMMYFUNCTION("""COMPUTED_VALUE"""),23905195)</f>
        <v>23905195</v>
      </c>
      <c r="O66" s="14">
        <f ca="1">IFERROR(__xludf.DUMMYFUNCTION("""COMPUTED_VALUE"""),45356)</f>
        <v>45356</v>
      </c>
      <c r="P66" s="5" t="str">
        <f ca="1">IFERROR(__xludf.DUMMYFUNCTION("""COMPUTED_VALUE"""),"Caida de botellas salida llenadora")</f>
        <v>Caida de botellas salida llenadora</v>
      </c>
      <c r="Q66" s="5">
        <f ca="1">IFERROR(__xludf.DUMMYFUNCTION("""COMPUTED_VALUE"""),0.33)</f>
        <v>0.33</v>
      </c>
      <c r="R66" s="15">
        <f ca="1">IFERROR(__xludf.DUMMYFUNCTION("""COMPUTED_VALUE"""),0.840277777777777)</f>
        <v>0.84027777777777701</v>
      </c>
      <c r="S66" s="15">
        <f ca="1">IFERROR(__xludf.DUMMYFUNCTION("""COMPUTED_VALUE"""),0.854166666666666)</f>
        <v>0.85416666666666596</v>
      </c>
      <c r="T66" s="5" t="str">
        <f ca="1">IFERROR(__xludf.DUMMYFUNCTION("""COMPUTED_VALUE"""),"LINE 1")</f>
        <v>LINE 1</v>
      </c>
      <c r="U66" s="5">
        <f ca="1">IFERROR(__xludf.DUMMYFUNCTION("""COMPUTED_VALUE"""),20019987)</f>
        <v>20019987</v>
      </c>
      <c r="V66" s="5" t="str">
        <f ca="1">IFERROR(__xludf.DUMMYFUNCTION("""COMPUTED_VALUE"""),"TRANSPORTADORES DE BEBIDA")</f>
        <v>TRANSPORTADORES DE BEBIDA</v>
      </c>
      <c r="W66" s="5" t="str">
        <f ca="1">IF(AND(LEN(T66)=0, LEN(U66)=0), "", IF(AND(LEN(T66)&gt;0, LEN(U66)=0), "BLANCO", IFERROR(VLOOKUP(U66, BasedatosM9!A:B, 2, FALSE), "BLANCO")))</f>
        <v>Aguado Lemos Luis Eyder</v>
      </c>
      <c r="AI66" s="5" t="str">
        <f>IF(AND(LEN(AF66)=0, LEN(AG66)=0), "", IF(AND(LEN(AF66)&gt;0, LEN(AG66)=0), "BLANCO", IFERROR(VLOOKUP(AG66, BasedatosM9!A:B, 2, FALSE), "BLANCO")))</f>
        <v/>
      </c>
      <c r="AK66" s="5" t="str">
        <f ca="1">IFERROR(__xludf.DUMMYFUNCTION("""COMPUTED_VALUE"""),"TURNO A")</f>
        <v>TURNO A</v>
      </c>
      <c r="AL66" s="5">
        <f ca="1">IFERROR(__xludf.DUMMYFUNCTION("""COMPUTED_VALUE"""),23913108)</f>
        <v>23913108</v>
      </c>
      <c r="AM66" s="14">
        <f ca="1">IFERROR(__xludf.DUMMYFUNCTION("""COMPUTED_VALUE"""),45360)</f>
        <v>45360</v>
      </c>
      <c r="AN66" s="5" t="str">
        <f ca="1">IFERROR(__xludf.DUMMYFUNCTION("""COMPUTED_VALUE"""),"Atlanta Falla freno vertical")</f>
        <v>Atlanta Falla freno vertical</v>
      </c>
      <c r="AO66" s="5">
        <f ca="1">IFERROR(__xludf.DUMMYFUNCTION("""COMPUTED_VALUE"""),0.67)</f>
        <v>0.67</v>
      </c>
      <c r="AP66" s="15">
        <f ca="1">IFERROR(__xludf.DUMMYFUNCTION("""COMPUTED_VALUE"""),0.260416666666666)</f>
        <v>0.26041666666666602</v>
      </c>
      <c r="AQ66" s="15">
        <f ca="1">IFERROR(__xludf.DUMMYFUNCTION("""COMPUTED_VALUE"""),0.288194444444444)</f>
        <v>0.28819444444444398</v>
      </c>
      <c r="AR66" s="5" t="str">
        <f ca="1">IFERROR(__xludf.DUMMYFUNCTION("""COMPUTED_VALUE"""),"LINE 10")</f>
        <v>LINE 10</v>
      </c>
      <c r="AS66" s="5"/>
      <c r="AT66" s="5" t="str">
        <f ca="1">IFERROR(__xludf.DUMMYFUNCTION("""COMPUTED_VALUE"""),"ENVOLVEDOR")</f>
        <v>ENVOLVEDOR</v>
      </c>
      <c r="AU66" s="5" t="str">
        <f ca="1">IF(AND(LEN(AR66)=0, LEN(AS66)=0), "", IF(AND(LEN(AR66)&gt;0, LEN(AS66)=0), "BLANCO", IFERROR(VLOOKUP(AS66, BasedatosM9!A:B, 2, FALSE), "BLANCO")))</f>
        <v>BLANCO</v>
      </c>
    </row>
    <row r="67" spans="1:47" ht="14.4">
      <c r="A67" s="21" t="s">
        <v>4757</v>
      </c>
      <c r="B67" s="86">
        <v>23901380</v>
      </c>
      <c r="C67" s="98">
        <v>45354</v>
      </c>
      <c r="D67" s="21" t="s">
        <v>4808</v>
      </c>
      <c r="E67" s="86">
        <v>0.1</v>
      </c>
      <c r="F67" s="99">
        <v>0.75694444444444453</v>
      </c>
      <c r="G67" s="99">
        <v>0.76111111111111107</v>
      </c>
      <c r="H67" s="21" t="s">
        <v>4551</v>
      </c>
      <c r="I67" s="86">
        <v>20009996</v>
      </c>
      <c r="J67" s="21" t="s">
        <v>4744</v>
      </c>
      <c r="K67" s="5" t="str">
        <f>IF(AND(LEN(H67)=0, LEN(I67)=0), "", IF(AND(LEN(H67)&gt;0, LEN(I67)=0), "BLANCO", IFERROR(VLOOKUP(I67, BasedatosM9!A:B, 2, FALSE), "BLANCO")))</f>
        <v>Fernando Montoya</v>
      </c>
      <c r="M67" s="5" t="str">
        <f ca="1">IFERROR(__xludf.DUMMYFUNCTION("""COMPUTED_VALUE"""),"TURNO B")</f>
        <v>TURNO B</v>
      </c>
      <c r="N67" s="5">
        <f ca="1">IFERROR(__xludf.DUMMYFUNCTION("""COMPUTED_VALUE"""),23905197)</f>
        <v>23905197</v>
      </c>
      <c r="O67" s="14">
        <f ca="1">IFERROR(__xludf.DUMMYFUNCTION("""COMPUTED_VALUE"""),45356)</f>
        <v>45356</v>
      </c>
      <c r="P67" s="5" t="str">
        <f ca="1">IFERROR(__xludf.DUMMYFUNCTION("""COMPUTED_VALUE"""),"Codigo no legible")</f>
        <v>Codigo no legible</v>
      </c>
      <c r="Q67" s="5">
        <f ca="1">IFERROR(__xludf.DUMMYFUNCTION("""COMPUTED_VALUE"""),0.28)</f>
        <v>0.28000000000000003</v>
      </c>
      <c r="R67" s="15">
        <f ca="1">IFERROR(__xludf.DUMMYFUNCTION("""COMPUTED_VALUE"""),0.854166666666666)</f>
        <v>0.85416666666666596</v>
      </c>
      <c r="S67" s="15">
        <f ca="1">IFERROR(__xludf.DUMMYFUNCTION("""COMPUTED_VALUE"""),0.865972222222222)</f>
        <v>0.86597222222222203</v>
      </c>
      <c r="T67" s="5" t="str">
        <f ca="1">IFERROR(__xludf.DUMMYFUNCTION("""COMPUTED_VALUE"""),"LINE 1")</f>
        <v>LINE 1</v>
      </c>
      <c r="U67" s="5">
        <f ca="1">IFERROR(__xludf.DUMMYFUNCTION("""COMPUTED_VALUE"""),20019987)</f>
        <v>20019987</v>
      </c>
      <c r="V67" s="5" t="str">
        <f ca="1">IFERROR(__xludf.DUMMYFUNCTION("""COMPUTED_VALUE"""),"CODIFICADOR DE BOTELLAS")</f>
        <v>CODIFICADOR DE BOTELLAS</v>
      </c>
      <c r="W67" s="5" t="str">
        <f ca="1">IF(AND(LEN(T67)=0, LEN(U67)=0), "", IF(AND(LEN(T67)&gt;0, LEN(U67)=0), "BLANCO", IFERROR(VLOOKUP(U67, BasedatosM9!A:B, 2, FALSE), "BLANCO")))</f>
        <v>Aguado Lemos Luis Eyder</v>
      </c>
      <c r="AI67" s="5" t="str">
        <f>IF(AND(LEN(AF67)=0, LEN(AG67)=0), "", IF(AND(LEN(AF67)&gt;0, LEN(AG67)=0), "BLANCO", IFERROR(VLOOKUP(AG67, BasedatosM9!A:B, 2, FALSE), "BLANCO")))</f>
        <v/>
      </c>
      <c r="AU67" s="5" t="str">
        <f>IF(AND(LEN(AR67)=0, LEN(AS67)=0), "", IF(AND(LEN(AR67)&gt;0, LEN(AS67)=0), "BLANCO", IFERROR(VLOOKUP(AS67, BasedatosM9!A:B, 2, FALSE), "BLANCO")))</f>
        <v/>
      </c>
    </row>
    <row r="68" spans="1:47" ht="14.4">
      <c r="A68" s="21" t="s">
        <v>4757</v>
      </c>
      <c r="B68" s="86">
        <v>23901447</v>
      </c>
      <c r="C68" s="98">
        <v>45354</v>
      </c>
      <c r="D68" s="21" t="s">
        <v>4809</v>
      </c>
      <c r="E68" s="86">
        <v>0.13</v>
      </c>
      <c r="F68" s="99">
        <v>0.77430555555555547</v>
      </c>
      <c r="G68" s="99">
        <v>0.77986111111111101</v>
      </c>
      <c r="H68" s="21" t="s">
        <v>4550</v>
      </c>
      <c r="I68" s="86">
        <v>20009743</v>
      </c>
      <c r="J68" s="21" t="s">
        <v>4773</v>
      </c>
      <c r="K68" s="5" t="str">
        <f>IF(AND(LEN(H68)=0, LEN(I68)=0), "", IF(AND(LEN(H68)&gt;0, LEN(I68)=0), "BLANCO", IFERROR(VLOOKUP(I68, BasedatosM9!A:B, 2, FALSE), "BLANCO")))</f>
        <v>Duran Sanchez Nelson Fernando</v>
      </c>
      <c r="M68" s="5" t="str">
        <f ca="1">IFERROR(__xludf.DUMMYFUNCTION("""COMPUTED_VALUE"""),"TURNO B")</f>
        <v>TURNO B</v>
      </c>
      <c r="N68" s="5">
        <f ca="1">IFERROR(__xludf.DUMMYFUNCTION("""COMPUTED_VALUE"""),23905256)</f>
        <v>23905256</v>
      </c>
      <c r="O68" s="14">
        <f ca="1">IFERROR(__xludf.DUMMYFUNCTION("""COMPUTED_VALUE"""),45356)</f>
        <v>45356</v>
      </c>
      <c r="P68" s="5" t="str">
        <f ca="1">IFERROR(__xludf.DUMMYFUNCTION("""COMPUTED_VALUE"""),"Codigo no legible")</f>
        <v>Codigo no legible</v>
      </c>
      <c r="Q68" s="5">
        <f ca="1">IFERROR(__xludf.DUMMYFUNCTION("""COMPUTED_VALUE"""),0.28)</f>
        <v>0.28000000000000003</v>
      </c>
      <c r="R68" s="15">
        <f ca="1">IFERROR(__xludf.DUMMYFUNCTION("""COMPUTED_VALUE"""),0.875)</f>
        <v>0.875</v>
      </c>
      <c r="S68" s="15">
        <f ca="1">IFERROR(__xludf.DUMMYFUNCTION("""COMPUTED_VALUE"""),0.886805555555555)</f>
        <v>0.88680555555555496</v>
      </c>
      <c r="T68" s="5" t="str">
        <f ca="1">IFERROR(__xludf.DUMMYFUNCTION("""COMPUTED_VALUE"""),"LINE 1")</f>
        <v>LINE 1</v>
      </c>
      <c r="U68" s="5">
        <f ca="1">IFERROR(__xludf.DUMMYFUNCTION("""COMPUTED_VALUE"""),20019987)</f>
        <v>20019987</v>
      </c>
      <c r="V68" s="5" t="str">
        <f ca="1">IFERROR(__xludf.DUMMYFUNCTION("""COMPUTED_VALUE"""),"CODIFICADOR DE BOTELLAS")</f>
        <v>CODIFICADOR DE BOTELLAS</v>
      </c>
      <c r="W68" s="5" t="str">
        <f ca="1">IF(AND(LEN(T68)=0, LEN(U68)=0), "", IF(AND(LEN(T68)&gt;0, LEN(U68)=0), "BLANCO", IFERROR(VLOOKUP(U68, BasedatosM9!A:B, 2, FALSE), "BLANCO")))</f>
        <v>Aguado Lemos Luis Eyder</v>
      </c>
      <c r="AI68" s="5" t="str">
        <f>IF(AND(LEN(AF68)=0, LEN(AG68)=0), "", IF(AND(LEN(AF68)&gt;0, LEN(AG68)=0), "BLANCO", IFERROR(VLOOKUP(AG68, BasedatosM9!A:B, 2, FALSE), "BLANCO")))</f>
        <v/>
      </c>
      <c r="AU68" s="5" t="str">
        <f>IF(AND(LEN(AR68)=0, LEN(AS68)=0), "", IF(AND(LEN(AR68)&gt;0, LEN(AS68)=0), "BLANCO", IFERROR(VLOOKUP(AS68, BasedatosM9!A:B, 2, FALSE), "BLANCO")))</f>
        <v/>
      </c>
    </row>
    <row r="69" spans="1:47" ht="14.4">
      <c r="A69" s="21" t="s">
        <v>4757</v>
      </c>
      <c r="B69" s="86">
        <v>23901453</v>
      </c>
      <c r="C69" s="98">
        <v>45354</v>
      </c>
      <c r="D69" s="21" t="s">
        <v>4786</v>
      </c>
      <c r="E69" s="86">
        <v>0.13</v>
      </c>
      <c r="F69" s="99">
        <v>0.67152777777777783</v>
      </c>
      <c r="G69" s="99">
        <v>0.67708333333333337</v>
      </c>
      <c r="H69" s="21" t="s">
        <v>4549</v>
      </c>
      <c r="I69" s="21"/>
      <c r="J69" s="21" t="s">
        <v>4787</v>
      </c>
      <c r="K69" s="5" t="str">
        <f>IF(AND(LEN(H69)=0, LEN(I69)=0), "", IF(AND(LEN(H69)&gt;0, LEN(I69)=0), "BLANCO", IFERROR(VLOOKUP(I69, BasedatosM9!A:B, 2, FALSE), "BLANCO")))</f>
        <v>BLANCO</v>
      </c>
      <c r="M69" s="5" t="str">
        <f ca="1">IFERROR(__xludf.DUMMYFUNCTION("""COMPUTED_VALUE"""),"TURNO B")</f>
        <v>TURNO B</v>
      </c>
      <c r="N69" s="5">
        <f ca="1">IFERROR(__xludf.DUMMYFUNCTION("""COMPUTED_VALUE"""),23905258)</f>
        <v>23905258</v>
      </c>
      <c r="O69" s="14">
        <f ca="1">IFERROR(__xludf.DUMMYFUNCTION("""COMPUTED_VALUE"""),45356)</f>
        <v>45356</v>
      </c>
      <c r="P69" s="5" t="str">
        <f ca="1">IFERROR(__xludf.DUMMYFUNCTION("""COMPUTED_VALUE"""),"Atascamiento botellas")</f>
        <v>Atascamiento botellas</v>
      </c>
      <c r="Q69" s="5">
        <f ca="1">IFERROR(__xludf.DUMMYFUNCTION("""COMPUTED_VALUE"""),0.1)</f>
        <v>0.1</v>
      </c>
      <c r="R69" s="15">
        <f ca="1">IFERROR(__xludf.DUMMYFUNCTION("""COMPUTED_VALUE"""),0.895833333333333)</f>
        <v>0.89583333333333304</v>
      </c>
      <c r="S69" s="15">
        <f ca="1">IFERROR(__xludf.DUMMYFUNCTION("""COMPUTED_VALUE"""),0.9)</f>
        <v>0.9</v>
      </c>
      <c r="T69" s="5" t="str">
        <f ca="1">IFERROR(__xludf.DUMMYFUNCTION("""COMPUTED_VALUE"""),"LINE 1")</f>
        <v>LINE 1</v>
      </c>
      <c r="U69" s="5">
        <f ca="1">IFERROR(__xludf.DUMMYFUNCTION("""COMPUTED_VALUE"""),20075387)</f>
        <v>20075387</v>
      </c>
      <c r="V69" s="5" t="str">
        <f ca="1">IFERROR(__xludf.DUMMYFUNCTION("""COMPUTED_VALUE"""),"TRANSPORTADORES DE ENVASE VACIO")</f>
        <v>TRANSPORTADORES DE ENVASE VACIO</v>
      </c>
      <c r="W69" s="5" t="str">
        <f ca="1">IF(AND(LEN(T69)=0, LEN(U69)=0), "", IF(AND(LEN(T69)&gt;0, LEN(U69)=0), "BLANCO", IFERROR(VLOOKUP(U69, BasedatosM9!A:B, 2, FALSE), "BLANCO")))</f>
        <v>Cristian Suaza</v>
      </c>
      <c r="AI69" s="5" t="str">
        <f>IF(AND(LEN(AF69)=0, LEN(AG69)=0), "", IF(AND(LEN(AF69)&gt;0, LEN(AG69)=0), "BLANCO", IFERROR(VLOOKUP(AG69, BasedatosM9!A:B, 2, FALSE), "BLANCO")))</f>
        <v/>
      </c>
      <c r="AU69" s="5" t="str">
        <f>IF(AND(LEN(AR69)=0, LEN(AS69)=0), "", IF(AND(LEN(AR69)&gt;0, LEN(AS69)=0), "BLANCO", IFERROR(VLOOKUP(AS69, BasedatosM9!A:B, 2, FALSE), "BLANCO")))</f>
        <v/>
      </c>
    </row>
    <row r="70" spans="1:47" ht="14.4">
      <c r="A70" s="21" t="s">
        <v>4757</v>
      </c>
      <c r="B70" s="86">
        <v>23901458</v>
      </c>
      <c r="C70" s="98">
        <v>45354</v>
      </c>
      <c r="D70" s="21" t="s">
        <v>4810</v>
      </c>
      <c r="E70" s="86">
        <v>0.8</v>
      </c>
      <c r="F70" s="99">
        <v>0.83333333333333337</v>
      </c>
      <c r="G70" s="99">
        <v>0.8666666666666667</v>
      </c>
      <c r="H70" s="21" t="s">
        <v>4549</v>
      </c>
      <c r="I70" s="21"/>
      <c r="J70" s="21" t="s">
        <v>1471</v>
      </c>
      <c r="K70" s="5" t="str">
        <f>IF(AND(LEN(H70)=0, LEN(I70)=0), "", IF(AND(LEN(H70)&gt;0, LEN(I70)=0), "BLANCO", IFERROR(VLOOKUP(I70, BasedatosM9!A:B, 2, FALSE), "BLANCO")))</f>
        <v>BLANCO</v>
      </c>
      <c r="M70" s="5" t="str">
        <f ca="1">IFERROR(__xludf.DUMMYFUNCTION("""COMPUTED_VALUE"""),"TURNO C")</f>
        <v>TURNO C</v>
      </c>
      <c r="N70" s="5">
        <f ca="1">IFERROR(__xludf.DUMMYFUNCTION("""COMPUTED_VALUE"""),23905482)</f>
        <v>23905482</v>
      </c>
      <c r="O70" s="14">
        <f ca="1">IFERROR(__xludf.DUMMYFUNCTION("""COMPUTED_VALUE"""),45356)</f>
        <v>45356</v>
      </c>
      <c r="P70" s="5" t="str">
        <f ca="1">IFERROR(__xludf.DUMMYFUNCTION("""COMPUTED_VALUE"""),"Bajo contenido botellas")</f>
        <v>Bajo contenido botellas</v>
      </c>
      <c r="Q70" s="5">
        <f ca="1">IFERROR(__xludf.DUMMYFUNCTION("""COMPUTED_VALUE"""),0.22)</f>
        <v>0.22</v>
      </c>
      <c r="R70" s="15">
        <f ca="1">IFERROR(__xludf.DUMMYFUNCTION("""COMPUTED_VALUE"""),0.956249999999999)</f>
        <v>0.95624999999999905</v>
      </c>
      <c r="S70" s="15">
        <f ca="1">IFERROR(__xludf.DUMMYFUNCTION("""COMPUTED_VALUE"""),0.965277777777777)</f>
        <v>0.96527777777777701</v>
      </c>
      <c r="T70" s="5" t="str">
        <f ca="1">IFERROR(__xludf.DUMMYFUNCTION("""COMPUTED_VALUE"""),"LINE 1")</f>
        <v>LINE 1</v>
      </c>
      <c r="U70" s="5">
        <f ca="1">IFERROR(__xludf.DUMMYFUNCTION("""COMPUTED_VALUE"""),20036419)</f>
        <v>20036419</v>
      </c>
      <c r="V70" s="5" t="str">
        <f ca="1">IFERROR(__xludf.DUMMYFUNCTION("""COMPUTED_VALUE"""),"LLENADORA BOTELLAS PET")</f>
        <v>LLENADORA BOTELLAS PET</v>
      </c>
      <c r="W70" s="5" t="str">
        <f ca="1">IF(AND(LEN(T70)=0, LEN(U70)=0), "", IF(AND(LEN(T70)&gt;0, LEN(U70)=0), "BLANCO", IFERROR(VLOOKUP(U70, BasedatosM9!A:B, 2, FALSE), "BLANCO")))</f>
        <v>Adalcides Campo</v>
      </c>
      <c r="AI70" s="5" t="str">
        <f>IF(AND(LEN(AF70)=0, LEN(AG70)=0), "", IF(AND(LEN(AF70)&gt;0, LEN(AG70)=0), "BLANCO", IFERROR(VLOOKUP(AG70, BasedatosM9!A:B, 2, FALSE), "BLANCO")))</f>
        <v/>
      </c>
      <c r="AU70" s="5" t="str">
        <f>IF(AND(LEN(AR70)=0, LEN(AS70)=0), "", IF(AND(LEN(AR70)&gt;0, LEN(AS70)=0), "BLANCO", IFERROR(VLOOKUP(AS70, BasedatosM9!A:B, 2, FALSE), "BLANCO")))</f>
        <v/>
      </c>
    </row>
    <row r="71" spans="1:47" ht="14.4">
      <c r="A71" s="21" t="s">
        <v>4757</v>
      </c>
      <c r="B71" s="86">
        <v>23901465</v>
      </c>
      <c r="C71" s="98">
        <v>45354</v>
      </c>
      <c r="D71" s="21" t="s">
        <v>4807</v>
      </c>
      <c r="E71" s="86">
        <v>0.6</v>
      </c>
      <c r="F71" s="99">
        <v>0.58333333333333337</v>
      </c>
      <c r="G71" s="99">
        <v>0.60833333333333328</v>
      </c>
      <c r="H71" s="21" t="s">
        <v>4551</v>
      </c>
      <c r="I71" s="86">
        <v>20020754</v>
      </c>
      <c r="J71" s="21" t="s">
        <v>79</v>
      </c>
      <c r="K71" s="5" t="str">
        <f>IF(AND(LEN(H71)=0, LEN(I71)=0), "", IF(AND(LEN(H71)&gt;0, LEN(I71)=0), "BLANCO", IFERROR(VLOOKUP(I71, BasedatosM9!A:B, 2, FALSE), "BLANCO")))</f>
        <v>Sanchez Rodriguez Gerson Andres</v>
      </c>
      <c r="M71" s="5" t="str">
        <f ca="1">IFERROR(__xludf.DUMMYFUNCTION("""COMPUTED_VALUE"""),"TURNO C")</f>
        <v>TURNO C</v>
      </c>
      <c r="N71" s="5">
        <f ca="1">IFERROR(__xludf.DUMMYFUNCTION("""COMPUTED_VALUE"""),23905483)</f>
        <v>23905483</v>
      </c>
      <c r="O71" s="14">
        <f ca="1">IFERROR(__xludf.DUMMYFUNCTION("""COMPUTED_VALUE"""),45356)</f>
        <v>45356</v>
      </c>
      <c r="P71" s="5" t="str">
        <f ca="1">IFERROR(__xludf.DUMMYFUNCTION("""COMPUTED_VALUE"""),"Falla caudalimetro +KB")</f>
        <v>Falla caudalimetro +KB</v>
      </c>
      <c r="Q71" s="5">
        <f ca="1">IFERROR(__xludf.DUMMYFUNCTION("""COMPUTED_VALUE"""),0.17)</f>
        <v>0.17</v>
      </c>
      <c r="R71" s="15">
        <f ca="1">IFERROR(__xludf.DUMMYFUNCTION("""COMPUTED_VALUE"""),0.971527777777777)</f>
        <v>0.97152777777777699</v>
      </c>
      <c r="S71" s="15">
        <f ca="1">IFERROR(__xludf.DUMMYFUNCTION("""COMPUTED_VALUE"""),0.978472222222222)</f>
        <v>0.97847222222222197</v>
      </c>
      <c r="T71" s="5" t="str">
        <f ca="1">IFERROR(__xludf.DUMMYFUNCTION("""COMPUTED_VALUE"""),"LINE 1")</f>
        <v>LINE 1</v>
      </c>
      <c r="U71" s="5"/>
      <c r="V71" s="5" t="str">
        <f ca="1">IFERROR(__xludf.DUMMYFUNCTION("""COMPUTED_VALUE"""),"CARBOENFRIADOR/CONTIFLOW (MEZCLADORA)")</f>
        <v>CARBOENFRIADOR/CONTIFLOW (MEZCLADORA)</v>
      </c>
      <c r="W71" s="5" t="str">
        <f ca="1">IF(AND(LEN(T71)=0, LEN(U71)=0), "", IF(AND(LEN(T71)&gt;0, LEN(U71)=0), "BLANCO", IFERROR(VLOOKUP(U71, BasedatosM9!A:B, 2, FALSE), "BLANCO")))</f>
        <v>BLANCO</v>
      </c>
      <c r="AI71" s="5" t="str">
        <f>IF(AND(LEN(AF71)=0, LEN(AG71)=0), "", IF(AND(LEN(AF71)&gt;0, LEN(AG71)=0), "BLANCO", IFERROR(VLOOKUP(AG71, BasedatosM9!A:B, 2, FALSE), "BLANCO")))</f>
        <v/>
      </c>
      <c r="AU71" s="5" t="str">
        <f>IF(AND(LEN(AR71)=0, LEN(AS71)=0), "", IF(AND(LEN(AR71)&gt;0, LEN(AS71)=0), "BLANCO", IFERROR(VLOOKUP(AS71, BasedatosM9!A:B, 2, FALSE), "BLANCO")))</f>
        <v/>
      </c>
    </row>
    <row r="72" spans="1:47" ht="14.4">
      <c r="A72" s="21" t="s">
        <v>4757</v>
      </c>
      <c r="B72" s="86">
        <v>23901467</v>
      </c>
      <c r="C72" s="98">
        <v>45354</v>
      </c>
      <c r="D72" s="21" t="s">
        <v>4745</v>
      </c>
      <c r="E72" s="86">
        <v>0.12</v>
      </c>
      <c r="F72" s="99">
        <v>0.84027777777777779</v>
      </c>
      <c r="G72" s="99">
        <v>0.84513888888888899</v>
      </c>
      <c r="H72" s="21" t="s">
        <v>4551</v>
      </c>
      <c r="I72" s="21"/>
      <c r="J72" s="21" t="s">
        <v>4746</v>
      </c>
      <c r="K72" s="5" t="str">
        <f>IF(AND(LEN(H72)=0, LEN(I72)=0), "", IF(AND(LEN(H72)&gt;0, LEN(I72)=0), "BLANCO", IFERROR(VLOOKUP(I72, BasedatosM9!A:B, 2, FALSE), "BLANCO")))</f>
        <v>BLANCO</v>
      </c>
      <c r="M72" s="5" t="str">
        <f ca="1">IFERROR(__xludf.DUMMYFUNCTION("""COMPUTED_VALUE"""),"TURNO C")</f>
        <v>TURNO C</v>
      </c>
      <c r="N72" s="5">
        <f ca="1">IFERROR(__xludf.DUMMYFUNCTION("""COMPUTED_VALUE"""),23905488)</f>
        <v>23905488</v>
      </c>
      <c r="O72" s="14">
        <f ca="1">IFERROR(__xludf.DUMMYFUNCTION("""COMPUTED_VALUE"""),45356)</f>
        <v>45356</v>
      </c>
      <c r="P72" s="5" t="str">
        <f ca="1">IFERROR(__xludf.DUMMYFUNCTION("""COMPUTED_VALUE"""),"Falla caudalimetro +KB")</f>
        <v>Falla caudalimetro +KB</v>
      </c>
      <c r="Q72" s="5">
        <f ca="1">IFERROR(__xludf.DUMMYFUNCTION("""COMPUTED_VALUE"""),0.13)</f>
        <v>0.13</v>
      </c>
      <c r="R72" s="15">
        <f ca="1">IFERROR(__xludf.DUMMYFUNCTION("""COMPUTED_VALUE"""),0.0152777777777777)</f>
        <v>1.5277777777777699E-2</v>
      </c>
      <c r="S72" s="15">
        <f ca="1">IFERROR(__xludf.DUMMYFUNCTION("""COMPUTED_VALUE"""),0.0208333333333333)</f>
        <v>2.0833333333333301E-2</v>
      </c>
      <c r="T72" s="5" t="str">
        <f ca="1">IFERROR(__xludf.DUMMYFUNCTION("""COMPUTED_VALUE"""),"LINE 1")</f>
        <v>LINE 1</v>
      </c>
      <c r="U72" s="5">
        <f ca="1">IFERROR(__xludf.DUMMYFUNCTION("""COMPUTED_VALUE"""),20036419)</f>
        <v>20036419</v>
      </c>
      <c r="V72" s="5" t="str">
        <f ca="1">IFERROR(__xludf.DUMMYFUNCTION("""COMPUTED_VALUE"""),"CARBOENFRIADOR/CONTIFLOW (MEZCLADORA)")</f>
        <v>CARBOENFRIADOR/CONTIFLOW (MEZCLADORA)</v>
      </c>
      <c r="W72" s="5" t="str">
        <f ca="1">IF(AND(LEN(T72)=0, LEN(U72)=0), "", IF(AND(LEN(T72)&gt;0, LEN(U72)=0), "BLANCO", IFERROR(VLOOKUP(U72, BasedatosM9!A:B, 2, FALSE), "BLANCO")))</f>
        <v>Adalcides Campo</v>
      </c>
      <c r="AI72" s="5" t="str">
        <f>IF(AND(LEN(AF72)=0, LEN(AG72)=0), "", IF(AND(LEN(AF72)&gt;0, LEN(AG72)=0), "BLANCO", IFERROR(VLOOKUP(AG72, BasedatosM9!A:B, 2, FALSE), "BLANCO")))</f>
        <v/>
      </c>
      <c r="AU72" s="5" t="str">
        <f>IF(AND(LEN(AR72)=0, LEN(AS72)=0), "", IF(AND(LEN(AR72)&gt;0, LEN(AS72)=0), "BLANCO", IFERROR(VLOOKUP(AS72, BasedatosM9!A:B, 2, FALSE), "BLANCO")))</f>
        <v/>
      </c>
    </row>
    <row r="73" spans="1:47" ht="14.4">
      <c r="A73" s="21" t="s">
        <v>4767</v>
      </c>
      <c r="B73" s="86">
        <v>23901470</v>
      </c>
      <c r="C73" s="98">
        <v>45354</v>
      </c>
      <c r="D73" s="21" t="s">
        <v>4745</v>
      </c>
      <c r="E73" s="86">
        <v>7.0000000000000007E-2</v>
      </c>
      <c r="F73" s="99">
        <v>0.9243055555555556</v>
      </c>
      <c r="G73" s="99">
        <v>0.92708333333333337</v>
      </c>
      <c r="H73" s="21" t="s">
        <v>4551</v>
      </c>
      <c r="I73" s="86">
        <v>20009721</v>
      </c>
      <c r="J73" s="21" t="s">
        <v>4746</v>
      </c>
      <c r="K73" s="5" t="str">
        <f>IF(AND(LEN(H73)=0, LEN(I73)=0), "", IF(AND(LEN(H73)&gt;0, LEN(I73)=0), "BLANCO", IFERROR(VLOOKUP(I73, BasedatosM9!A:B, 2, FALSE), "BLANCO")))</f>
        <v>Alejandro Davila</v>
      </c>
      <c r="M73" s="5" t="str">
        <f ca="1">IFERROR(__xludf.DUMMYFUNCTION("""COMPUTED_VALUE"""),"TURNO C")</f>
        <v>TURNO C</v>
      </c>
      <c r="N73" s="5">
        <f ca="1">IFERROR(__xludf.DUMMYFUNCTION("""COMPUTED_VALUE"""),23905489)</f>
        <v>23905489</v>
      </c>
      <c r="O73" s="14">
        <f ca="1">IFERROR(__xludf.DUMMYFUNCTION("""COMPUTED_VALUE"""),45356)</f>
        <v>45356</v>
      </c>
      <c r="P73" s="5" t="str">
        <f ca="1">IFERROR(__xludf.DUMMYFUNCTION("""COMPUTED_VALUE"""),"Falta de codigo")</f>
        <v>Falta de codigo</v>
      </c>
      <c r="Q73" s="5">
        <f ca="1">IFERROR(__xludf.DUMMYFUNCTION("""COMPUTED_VALUE"""),0.28)</f>
        <v>0.28000000000000003</v>
      </c>
      <c r="R73" s="15">
        <f ca="1">IFERROR(__xludf.DUMMYFUNCTION("""COMPUTED_VALUE"""),0.0270833333333333)</f>
        <v>2.70833333333333E-2</v>
      </c>
      <c r="S73" s="15">
        <f ca="1">IFERROR(__xludf.DUMMYFUNCTION("""COMPUTED_VALUE"""),0.0388888888888888)</f>
        <v>3.8888888888888799E-2</v>
      </c>
      <c r="T73" s="5" t="str">
        <f ca="1">IFERROR(__xludf.DUMMYFUNCTION("""COMPUTED_VALUE"""),"LINE 1")</f>
        <v>LINE 1</v>
      </c>
      <c r="U73" s="5">
        <f ca="1">IFERROR(__xludf.DUMMYFUNCTION("""COMPUTED_VALUE"""),20036419)</f>
        <v>20036419</v>
      </c>
      <c r="V73" s="5" t="str">
        <f ca="1">IFERROR(__xludf.DUMMYFUNCTION("""COMPUTED_VALUE"""),"CODIFICADOR DE BOTELLAS")</f>
        <v>CODIFICADOR DE BOTELLAS</v>
      </c>
      <c r="W73" s="5" t="str">
        <f ca="1">IF(AND(LEN(T73)=0, LEN(U73)=0), "", IF(AND(LEN(T73)&gt;0, LEN(U73)=0), "BLANCO", IFERROR(VLOOKUP(U73, BasedatosM9!A:B, 2, FALSE), "BLANCO")))</f>
        <v>Adalcides Campo</v>
      </c>
      <c r="AI73" s="5" t="str">
        <f>IF(AND(LEN(AF73)=0, LEN(AG73)=0), "", IF(AND(LEN(AF73)&gt;0, LEN(AG73)=0), "BLANCO", IFERROR(VLOOKUP(AG73, BasedatosM9!A:B, 2, FALSE), "BLANCO")))</f>
        <v/>
      </c>
      <c r="AU73" s="5" t="str">
        <f>IF(AND(LEN(AR73)=0, LEN(AS73)=0), "", IF(AND(LEN(AR73)&gt;0, LEN(AS73)=0), "BLANCO", IFERROR(VLOOKUP(AS73, BasedatosM9!A:B, 2, FALSE), "BLANCO")))</f>
        <v/>
      </c>
    </row>
    <row r="74" spans="1:47" ht="14.4">
      <c r="A74" s="21" t="s">
        <v>4767</v>
      </c>
      <c r="B74" s="86">
        <v>23901471</v>
      </c>
      <c r="C74" s="98">
        <v>45354</v>
      </c>
      <c r="D74" s="21" t="s">
        <v>4751</v>
      </c>
      <c r="E74" s="86">
        <v>0.1</v>
      </c>
      <c r="F74" s="99">
        <v>0.93958333333333333</v>
      </c>
      <c r="G74" s="99">
        <v>0.94374999999999998</v>
      </c>
      <c r="H74" s="21" t="s">
        <v>4551</v>
      </c>
      <c r="I74" s="86">
        <v>20036419</v>
      </c>
      <c r="J74" s="21" t="s">
        <v>4744</v>
      </c>
      <c r="K74" s="5" t="str">
        <f>IF(AND(LEN(H74)=0, LEN(I74)=0), "", IF(AND(LEN(H74)&gt;0, LEN(I74)=0), "BLANCO", IFERROR(VLOOKUP(I74, BasedatosM9!A:B, 2, FALSE), "BLANCO")))</f>
        <v>Adalcides Campo</v>
      </c>
      <c r="M74" s="5" t="str">
        <f ca="1">IFERROR(__xludf.DUMMYFUNCTION("""COMPUTED_VALUE"""),"TURNO C")</f>
        <v>TURNO C</v>
      </c>
      <c r="N74" s="5">
        <f ca="1">IFERROR(__xludf.DUMMYFUNCTION("""COMPUTED_VALUE"""),23905490)</f>
        <v>23905490</v>
      </c>
      <c r="O74" s="14">
        <f ca="1">IFERROR(__xludf.DUMMYFUNCTION("""COMPUTED_VALUE"""),45356)</f>
        <v>45356</v>
      </c>
      <c r="P74" s="5" t="str">
        <f ca="1">IFERROR(__xludf.DUMMYFUNCTION("""COMPUTED_VALUE"""),"Caida de botellas salida llenadora")</f>
        <v>Caida de botellas salida llenadora</v>
      </c>
      <c r="Q74" s="5">
        <f ca="1">IFERROR(__xludf.DUMMYFUNCTION("""COMPUTED_VALUE"""),0.18)</f>
        <v>0.18</v>
      </c>
      <c r="R74" s="15">
        <f ca="1">IFERROR(__xludf.DUMMYFUNCTION("""COMPUTED_VALUE"""),0.0451388888888888)</f>
        <v>4.5138888888888798E-2</v>
      </c>
      <c r="S74" s="15">
        <f ca="1">IFERROR(__xludf.DUMMYFUNCTION("""COMPUTED_VALUE"""),0.0527777777777777)</f>
        <v>5.2777777777777701E-2</v>
      </c>
      <c r="T74" s="5" t="str">
        <f ca="1">IFERROR(__xludf.DUMMYFUNCTION("""COMPUTED_VALUE"""),"LINE 1")</f>
        <v>LINE 1</v>
      </c>
      <c r="U74" s="5"/>
      <c r="V74" s="5" t="str">
        <f ca="1">IFERROR(__xludf.DUMMYFUNCTION("""COMPUTED_VALUE"""),"TRANSPORTADORES DE BEBIDA")</f>
        <v>TRANSPORTADORES DE BEBIDA</v>
      </c>
      <c r="W74" s="5" t="str">
        <f ca="1">IF(AND(LEN(T74)=0, LEN(U74)=0), "", IF(AND(LEN(T74)&gt;0, LEN(U74)=0), "BLANCO", IFERROR(VLOOKUP(U74, BasedatosM9!A:B, 2, FALSE), "BLANCO")))</f>
        <v>BLANCO</v>
      </c>
      <c r="AI74" s="5" t="str">
        <f>IF(AND(LEN(AF74)=0, LEN(AG74)=0), "", IF(AND(LEN(AF74)&gt;0, LEN(AG74)=0), "BLANCO", IFERROR(VLOOKUP(AG74, BasedatosM9!A:B, 2, FALSE), "BLANCO")))</f>
        <v/>
      </c>
      <c r="AU74" s="5" t="str">
        <f>IF(AND(LEN(AR74)=0, LEN(AS74)=0), "", IF(AND(LEN(AR74)&gt;0, LEN(AS74)=0), "BLANCO", IFERROR(VLOOKUP(AS74, BasedatosM9!A:B, 2, FALSE), "BLANCO")))</f>
        <v/>
      </c>
    </row>
    <row r="75" spans="1:47" ht="14.4">
      <c r="A75" s="21" t="s">
        <v>4757</v>
      </c>
      <c r="B75" s="86">
        <v>23901496</v>
      </c>
      <c r="C75" s="98">
        <v>45354</v>
      </c>
      <c r="D75" s="21" t="s">
        <v>4811</v>
      </c>
      <c r="E75" s="86">
        <v>0.67</v>
      </c>
      <c r="F75" s="99">
        <v>0.88194444444444453</v>
      </c>
      <c r="G75" s="99">
        <v>0.90972222222222221</v>
      </c>
      <c r="H75" s="21" t="s">
        <v>4549</v>
      </c>
      <c r="I75" s="21"/>
      <c r="J75" s="21" t="s">
        <v>2323</v>
      </c>
      <c r="K75" s="5" t="str">
        <f>IF(AND(LEN(H75)=0, LEN(I75)=0), "", IF(AND(LEN(H75)&gt;0, LEN(I75)=0), "BLANCO", IFERROR(VLOOKUP(I75, BasedatosM9!A:B, 2, FALSE), "BLANCO")))</f>
        <v>BLANCO</v>
      </c>
      <c r="M75" s="5" t="str">
        <f ca="1">IFERROR(__xludf.DUMMYFUNCTION("""COMPUTED_VALUE"""),"TURNO C")</f>
        <v>TURNO C</v>
      </c>
      <c r="N75" s="5">
        <f ca="1">IFERROR(__xludf.DUMMYFUNCTION("""COMPUTED_VALUE"""),23905605)</f>
        <v>23905605</v>
      </c>
      <c r="O75" s="14">
        <f ca="1">IFERROR(__xludf.DUMMYFUNCTION("""COMPUTED_VALUE"""),45356)</f>
        <v>45356</v>
      </c>
      <c r="P75" s="5" t="str">
        <f ca="1">IFERROR(__xludf.DUMMYFUNCTION("""COMPUTED_VALUE"""),"Ajuste de guias entrada/salida botella")</f>
        <v>Ajuste de guias entrada/salida botella</v>
      </c>
      <c r="Q75" s="5">
        <f ca="1">IFERROR(__xludf.DUMMYFUNCTION("""COMPUTED_VALUE"""),2.18)</f>
        <v>2.1800000000000002</v>
      </c>
      <c r="R75" s="15">
        <f ca="1">IFERROR(__xludf.DUMMYFUNCTION("""COMPUTED_VALUE"""),0.0680555555555555)</f>
        <v>6.8055555555555494E-2</v>
      </c>
      <c r="S75" s="15">
        <f ca="1">IFERROR(__xludf.DUMMYFUNCTION("""COMPUTED_VALUE"""),0.159027777777777)</f>
        <v>0.15902777777777699</v>
      </c>
      <c r="T75" s="5" t="str">
        <f ca="1">IFERROR(__xludf.DUMMYFUNCTION("""COMPUTED_VALUE"""),"LINE 1")</f>
        <v>LINE 1</v>
      </c>
      <c r="U75" s="5">
        <f ca="1">IFERROR(__xludf.DUMMYFUNCTION("""COMPUTED_VALUE"""),20009721)</f>
        <v>20009721</v>
      </c>
      <c r="V75" s="5" t="str">
        <f ca="1">IFERROR(__xludf.DUMMYFUNCTION("""COMPUTED_VALUE"""),"ETIQUETADORA ENVOLVENTE")</f>
        <v>ETIQUETADORA ENVOLVENTE</v>
      </c>
      <c r="W75" s="5" t="str">
        <f ca="1">IF(AND(LEN(T75)=0, LEN(U75)=0), "", IF(AND(LEN(T75)&gt;0, LEN(U75)=0), "BLANCO", IFERROR(VLOOKUP(U75, BasedatosM9!A:B, 2, FALSE), "BLANCO")))</f>
        <v>Alejandro Davila</v>
      </c>
      <c r="AI75" s="5" t="str">
        <f>IF(AND(LEN(AF75)=0, LEN(AG75)=0), "", IF(AND(LEN(AF75)&gt;0, LEN(AG75)=0), "BLANCO", IFERROR(VLOOKUP(AG75, BasedatosM9!A:B, 2, FALSE), "BLANCO")))</f>
        <v/>
      </c>
      <c r="AU75" s="5" t="str">
        <f>IF(AND(LEN(AR75)=0, LEN(AS75)=0), "", IF(AND(LEN(AR75)&gt;0, LEN(AS75)=0), "BLANCO", IFERROR(VLOOKUP(AS75, BasedatosM9!A:B, 2, FALSE), "BLANCO")))</f>
        <v/>
      </c>
    </row>
    <row r="76" spans="1:47" ht="14.4">
      <c r="A76" s="21" t="s">
        <v>4767</v>
      </c>
      <c r="B76" s="86">
        <v>23901532</v>
      </c>
      <c r="C76" s="98">
        <v>45354</v>
      </c>
      <c r="D76" s="21" t="s">
        <v>4795</v>
      </c>
      <c r="E76" s="86">
        <v>0.13</v>
      </c>
      <c r="F76" s="99">
        <v>0.98263888888888884</v>
      </c>
      <c r="G76" s="99">
        <v>0.98819444444444438</v>
      </c>
      <c r="H76" s="21" t="s">
        <v>4550</v>
      </c>
      <c r="I76" s="86">
        <v>20043570</v>
      </c>
      <c r="J76" s="21" t="s">
        <v>79</v>
      </c>
      <c r="K76" s="5" t="str">
        <f>IF(AND(LEN(H76)=0, LEN(I76)=0), "", IF(AND(LEN(H76)&gt;0, LEN(I76)=0), "BLANCO", IFERROR(VLOOKUP(I76, BasedatosM9!A:B, 2, FALSE), "BLANCO")))</f>
        <v>Jhon Navas</v>
      </c>
      <c r="M76" s="5" t="str">
        <f ca="1">IFERROR(__xludf.DUMMYFUNCTION("""COMPUTED_VALUE"""),"TURNO C")</f>
        <v>TURNO C</v>
      </c>
      <c r="N76" s="5">
        <f ca="1">IFERROR(__xludf.DUMMYFUNCTION("""COMPUTED_VALUE"""),23905672)</f>
        <v>23905672</v>
      </c>
      <c r="O76" s="14">
        <f ca="1">IFERROR(__xludf.DUMMYFUNCTION("""COMPUTED_VALUE"""),45356)</f>
        <v>45356</v>
      </c>
      <c r="P76" s="5" t="str">
        <f ca="1">IFERROR(__xludf.DUMMYFUNCTION("""COMPUTED_VALUE"""),"Caida de botellas salida llenadora")</f>
        <v>Caida de botellas salida llenadora</v>
      </c>
      <c r="Q76" s="5">
        <f ca="1">IFERROR(__xludf.DUMMYFUNCTION("""COMPUTED_VALUE"""),0.22)</f>
        <v>0.22</v>
      </c>
      <c r="R76" s="15">
        <f ca="1">IFERROR(__xludf.DUMMYFUNCTION("""COMPUTED_VALUE"""),0.208333333333333)</f>
        <v>0.20833333333333301</v>
      </c>
      <c r="S76" s="15">
        <f ca="1">IFERROR(__xludf.DUMMYFUNCTION("""COMPUTED_VALUE"""),0.217361111111111)</f>
        <v>0.21736111111111101</v>
      </c>
      <c r="T76" s="5" t="str">
        <f ca="1">IFERROR(__xludf.DUMMYFUNCTION("""COMPUTED_VALUE"""),"LINE 1")</f>
        <v>LINE 1</v>
      </c>
      <c r="U76" s="5">
        <f ca="1">IFERROR(__xludf.DUMMYFUNCTION("""COMPUTED_VALUE"""),20036419)</f>
        <v>20036419</v>
      </c>
      <c r="V76" s="5" t="str">
        <f ca="1">IFERROR(__xludf.DUMMYFUNCTION("""COMPUTED_VALUE"""),"TRANSPORTADORES DE BEBIDA")</f>
        <v>TRANSPORTADORES DE BEBIDA</v>
      </c>
      <c r="W76" s="5" t="str">
        <f ca="1">IF(AND(LEN(T76)=0, LEN(U76)=0), "", IF(AND(LEN(T76)&gt;0, LEN(U76)=0), "BLANCO", IFERROR(VLOOKUP(U76, BasedatosM9!A:B, 2, FALSE), "BLANCO")))</f>
        <v>Adalcides Campo</v>
      </c>
      <c r="AI76" s="5" t="str">
        <f>IF(AND(LEN(AF76)=0, LEN(AG76)=0), "", IF(AND(LEN(AF76)&gt;0, LEN(AG76)=0), "BLANCO", IFERROR(VLOOKUP(AG76, BasedatosM9!A:B, 2, FALSE), "BLANCO")))</f>
        <v/>
      </c>
      <c r="AU76" s="5" t="str">
        <f>IF(AND(LEN(AR76)=0, LEN(AS76)=0), "", IF(AND(LEN(AR76)&gt;0, LEN(AS76)=0), "BLANCO", IFERROR(VLOOKUP(AS76, BasedatosM9!A:B, 2, FALSE), "BLANCO")))</f>
        <v/>
      </c>
    </row>
    <row r="77" spans="1:47" ht="14.4">
      <c r="A77" s="21" t="s">
        <v>4767</v>
      </c>
      <c r="B77" s="86">
        <v>23901533</v>
      </c>
      <c r="C77" s="98">
        <v>45354</v>
      </c>
      <c r="D77" s="21" t="s">
        <v>4751</v>
      </c>
      <c r="E77" s="86">
        <v>0.08</v>
      </c>
      <c r="F77" s="99">
        <v>0.96180555555555547</v>
      </c>
      <c r="G77" s="99">
        <v>0.96527777777777779</v>
      </c>
      <c r="H77" s="21" t="s">
        <v>4551</v>
      </c>
      <c r="I77" s="86">
        <v>20036419</v>
      </c>
      <c r="J77" s="21" t="s">
        <v>4744</v>
      </c>
      <c r="K77" s="5" t="str">
        <f>IF(AND(LEN(H77)=0, LEN(I77)=0), "", IF(AND(LEN(H77)&gt;0, LEN(I77)=0), "BLANCO", IFERROR(VLOOKUP(I77, BasedatosM9!A:B, 2, FALSE), "BLANCO")))</f>
        <v>Adalcides Campo</v>
      </c>
      <c r="M77" s="5" t="str">
        <f ca="1">IFERROR(__xludf.DUMMYFUNCTION("""COMPUTED_VALUE"""),"TURNO C")</f>
        <v>TURNO C</v>
      </c>
      <c r="N77" s="5">
        <f ca="1">IFERROR(__xludf.DUMMYFUNCTION("""COMPUTED_VALUE"""),23906292)</f>
        <v>23906292</v>
      </c>
      <c r="O77" s="14">
        <f ca="1">IFERROR(__xludf.DUMMYFUNCTION("""COMPUTED_VALUE"""),45357)</f>
        <v>45357</v>
      </c>
      <c r="P77" s="5" t="str">
        <f ca="1">IFERROR(__xludf.DUMMYFUNCTION("""COMPUTED_VALUE"""),"Caida de botellas salida llenadora")</f>
        <v>Caida de botellas salida llenadora</v>
      </c>
      <c r="Q77" s="5">
        <f ca="1">IFERROR(__xludf.DUMMYFUNCTION("""COMPUTED_VALUE"""),0.17)</f>
        <v>0.17</v>
      </c>
      <c r="R77" s="15">
        <f ca="1">IFERROR(__xludf.DUMMYFUNCTION("""COMPUTED_VALUE"""),0.229166666666666)</f>
        <v>0.22916666666666599</v>
      </c>
      <c r="S77" s="15">
        <f ca="1">IFERROR(__xludf.DUMMYFUNCTION("""COMPUTED_VALUE"""),0.236111111111111)</f>
        <v>0.23611111111111099</v>
      </c>
      <c r="T77" s="5" t="str">
        <f ca="1">IFERROR(__xludf.DUMMYFUNCTION("""COMPUTED_VALUE"""),"LINE 1")</f>
        <v>LINE 1</v>
      </c>
      <c r="U77" s="5">
        <f ca="1">IFERROR(__xludf.DUMMYFUNCTION("""COMPUTED_VALUE"""),20036419)</f>
        <v>20036419</v>
      </c>
      <c r="V77" s="5" t="str">
        <f ca="1">IFERROR(__xludf.DUMMYFUNCTION("""COMPUTED_VALUE"""),"TRANSPORTADORES DE BEBIDA")</f>
        <v>TRANSPORTADORES DE BEBIDA</v>
      </c>
      <c r="W77" s="5" t="str">
        <f ca="1">IF(AND(LEN(T77)=0, LEN(U77)=0), "", IF(AND(LEN(T77)&gt;0, LEN(U77)=0), "BLANCO", IFERROR(VLOOKUP(U77, BasedatosM9!A:B, 2, FALSE), "BLANCO")))</f>
        <v>Adalcides Campo</v>
      </c>
      <c r="AI77" s="5" t="str">
        <f>IF(AND(LEN(AF77)=0, LEN(AG77)=0), "", IF(AND(LEN(AF77)&gt;0, LEN(AG77)=0), "BLANCO", IFERROR(VLOOKUP(AG77, BasedatosM9!A:B, 2, FALSE), "BLANCO")))</f>
        <v/>
      </c>
      <c r="AU77" s="5" t="str">
        <f>IF(AND(LEN(AR77)=0, LEN(AS77)=0), "", IF(AND(LEN(AR77)&gt;0, LEN(AS77)=0), "BLANCO", IFERROR(VLOOKUP(AS77, BasedatosM9!A:B, 2, FALSE), "BLANCO")))</f>
        <v/>
      </c>
    </row>
    <row r="78" spans="1:47" ht="14.4">
      <c r="A78" s="21" t="s">
        <v>4767</v>
      </c>
      <c r="B78" s="86">
        <v>23901534</v>
      </c>
      <c r="C78" s="98">
        <v>45354</v>
      </c>
      <c r="D78" s="21" t="s">
        <v>4812</v>
      </c>
      <c r="E78" s="86">
        <v>0.1</v>
      </c>
      <c r="F78" s="99">
        <v>0.96944444444444444</v>
      </c>
      <c r="G78" s="99">
        <v>0.97361111111111109</v>
      </c>
      <c r="H78" s="21" t="s">
        <v>4551</v>
      </c>
      <c r="I78" s="86">
        <v>20036419</v>
      </c>
      <c r="J78" s="21" t="s">
        <v>4813</v>
      </c>
      <c r="K78" s="5" t="str">
        <f>IF(AND(LEN(H78)=0, LEN(I78)=0), "", IF(AND(LEN(H78)&gt;0, LEN(I78)=0), "BLANCO", IFERROR(VLOOKUP(I78, BasedatosM9!A:B, 2, FALSE), "BLANCO")))</f>
        <v>Adalcides Campo</v>
      </c>
      <c r="M78" s="5" t="str">
        <f ca="1">IFERROR(__xludf.DUMMYFUNCTION("""COMPUTED_VALUE"""),"TURNO A")</f>
        <v>TURNO A</v>
      </c>
      <c r="N78" s="5">
        <f ca="1">IFERROR(__xludf.DUMMYFUNCTION("""COMPUTED_VALUE"""),23906298)</f>
        <v>23906298</v>
      </c>
      <c r="O78" s="14">
        <f ca="1">IFERROR(__xludf.DUMMYFUNCTION("""COMPUTED_VALUE"""),45357)</f>
        <v>45357</v>
      </c>
      <c r="P78" s="5" t="str">
        <f ca="1">IFERROR(__xludf.DUMMYFUNCTION("""COMPUTED_VALUE"""),"Ajuste de guias Salida botella")</f>
        <v>Ajuste de guias Salida botella</v>
      </c>
      <c r="Q78" s="5">
        <f ca="1">IFERROR(__xludf.DUMMYFUNCTION("""COMPUTED_VALUE"""),0.25)</f>
        <v>0.25</v>
      </c>
      <c r="R78" s="15">
        <f ca="1">IFERROR(__xludf.DUMMYFUNCTION("""COMPUTED_VALUE"""),0.25)</f>
        <v>0.25</v>
      </c>
      <c r="S78" s="15">
        <f ca="1">IFERROR(__xludf.DUMMYFUNCTION("""COMPUTED_VALUE"""),0.260416666666666)</f>
        <v>0.26041666666666602</v>
      </c>
      <c r="T78" s="5" t="str">
        <f ca="1">IFERROR(__xludf.DUMMYFUNCTION("""COMPUTED_VALUE"""),"LINE 1")</f>
        <v>LINE 1</v>
      </c>
      <c r="U78" s="5"/>
      <c r="V78" s="5" t="str">
        <f ca="1">IFERROR(__xludf.DUMMYFUNCTION("""COMPUTED_VALUE"""),"ETIQUETADORA ENVOLVENTE")</f>
        <v>ETIQUETADORA ENVOLVENTE</v>
      </c>
      <c r="W78" s="5" t="str">
        <f ca="1">IF(AND(LEN(T78)=0, LEN(U78)=0), "", IF(AND(LEN(T78)&gt;0, LEN(U78)=0), "BLANCO", IFERROR(VLOOKUP(U78, BasedatosM9!A:B, 2, FALSE), "BLANCO")))</f>
        <v>BLANCO</v>
      </c>
      <c r="AI78" s="5" t="str">
        <f>IF(AND(LEN(AF78)=0, LEN(AG78)=0), "", IF(AND(LEN(AF78)&gt;0, LEN(AG78)=0), "BLANCO", IFERROR(VLOOKUP(AG78, BasedatosM9!A:B, 2, FALSE), "BLANCO")))</f>
        <v/>
      </c>
      <c r="AU78" s="5" t="str">
        <f>IF(AND(LEN(AR78)=0, LEN(AS78)=0), "", IF(AND(LEN(AR78)&gt;0, LEN(AS78)=0), "BLANCO", IFERROR(VLOOKUP(AS78, BasedatosM9!A:B, 2, FALSE), "BLANCO")))</f>
        <v/>
      </c>
    </row>
    <row r="79" spans="1:47" ht="14.4">
      <c r="A79" s="21" t="s">
        <v>4767</v>
      </c>
      <c r="B79" s="86">
        <v>23901535</v>
      </c>
      <c r="C79" s="98">
        <v>45354</v>
      </c>
      <c r="D79" s="21" t="s">
        <v>4792</v>
      </c>
      <c r="E79" s="86">
        <v>7.0000000000000007E-2</v>
      </c>
      <c r="F79" s="99">
        <v>0.98611111111111116</v>
      </c>
      <c r="G79" s="99">
        <v>0.98888888888888893</v>
      </c>
      <c r="H79" s="21" t="s">
        <v>4551</v>
      </c>
      <c r="I79" s="86">
        <v>20009721</v>
      </c>
      <c r="J79" s="21" t="s">
        <v>79</v>
      </c>
      <c r="K79" s="5" t="str">
        <f>IF(AND(LEN(H79)=0, LEN(I79)=0), "", IF(AND(LEN(H79)&gt;0, LEN(I79)=0), "BLANCO", IFERROR(VLOOKUP(I79, BasedatosM9!A:B, 2, FALSE), "BLANCO")))</f>
        <v>Alejandro Davila</v>
      </c>
      <c r="M79" s="5" t="str">
        <f ca="1">IFERROR(__xludf.DUMMYFUNCTION("""COMPUTED_VALUE"""),"TURNO A")</f>
        <v>TURNO A</v>
      </c>
      <c r="N79" s="5">
        <f ca="1">IFERROR(__xludf.DUMMYFUNCTION("""COMPUTED_VALUE"""),23906323)</f>
        <v>23906323</v>
      </c>
      <c r="O79" s="14">
        <f ca="1">IFERROR(__xludf.DUMMYFUNCTION("""COMPUTED_VALUE"""),45357)</f>
        <v>45357</v>
      </c>
      <c r="P79" s="5" t="str">
        <f ca="1">IFERROR(__xludf.DUMMYFUNCTION("""COMPUTED_VALUE"""),"Caida botellas en sistema clasificador")</f>
        <v>Caida botellas en sistema clasificador</v>
      </c>
      <c r="Q79" s="5">
        <f ca="1">IFERROR(__xludf.DUMMYFUNCTION("""COMPUTED_VALUE"""),0.08)</f>
        <v>0.08</v>
      </c>
      <c r="R79" s="15">
        <f ca="1">IFERROR(__xludf.DUMMYFUNCTION("""COMPUTED_VALUE"""),0.260416666666666)</f>
        <v>0.26041666666666602</v>
      </c>
      <c r="S79" s="15">
        <f ca="1">IFERROR(__xludf.DUMMYFUNCTION("""COMPUTED_VALUE"""),0.263888888888888)</f>
        <v>0.26388888888888801</v>
      </c>
      <c r="T79" s="5" t="str">
        <f ca="1">IFERROR(__xludf.DUMMYFUNCTION("""COMPUTED_VALUE"""),"LINE 1")</f>
        <v>LINE 1</v>
      </c>
      <c r="U79" s="5">
        <f ca="1">IFERROR(__xludf.DUMMYFUNCTION("""COMPUTED_VALUE"""),20010075)</f>
        <v>20010075</v>
      </c>
      <c r="V79" s="5" t="str">
        <f ca="1">IFERROR(__xludf.DUMMYFUNCTION("""COMPUTED_VALUE"""),"ENFARDADORA")</f>
        <v>ENFARDADORA</v>
      </c>
      <c r="W79" s="5" t="str">
        <f ca="1">IF(AND(LEN(T79)=0, LEN(U79)=0), "", IF(AND(LEN(T79)&gt;0, LEN(U79)=0), "BLANCO", IFERROR(VLOOKUP(U79, BasedatosM9!A:B, 2, FALSE), "BLANCO")))</f>
        <v>Diego Pedroza</v>
      </c>
      <c r="AI79" s="5" t="str">
        <f>IF(AND(LEN(AF79)=0, LEN(AG79)=0), "", IF(AND(LEN(AF79)&gt;0, LEN(AG79)=0), "BLANCO", IFERROR(VLOOKUP(AG79, BasedatosM9!A:B, 2, FALSE), "BLANCO")))</f>
        <v/>
      </c>
      <c r="AU79" s="5" t="str">
        <f>IF(AND(LEN(AR79)=0, LEN(AS79)=0), "", IF(AND(LEN(AR79)&gt;0, LEN(AS79)=0), "BLANCO", IFERROR(VLOOKUP(AS79, BasedatosM9!A:B, 2, FALSE), "BLANCO")))</f>
        <v/>
      </c>
    </row>
    <row r="80" spans="1:47" ht="14.4">
      <c r="A80" s="21" t="s">
        <v>4742</v>
      </c>
      <c r="B80" s="86">
        <v>23901539</v>
      </c>
      <c r="C80" s="98">
        <v>45354</v>
      </c>
      <c r="D80" s="21" t="s">
        <v>4814</v>
      </c>
      <c r="E80" s="86">
        <v>0.6</v>
      </c>
      <c r="F80" s="99">
        <v>0.55833333333333335</v>
      </c>
      <c r="G80" s="99">
        <v>0.58333333333333337</v>
      </c>
      <c r="H80" s="21" t="s">
        <v>4551</v>
      </c>
      <c r="I80" s="86">
        <v>20020754</v>
      </c>
      <c r="J80" s="21" t="s">
        <v>4746</v>
      </c>
      <c r="K80" s="5" t="str">
        <f>IF(AND(LEN(H80)=0, LEN(I80)=0), "", IF(AND(LEN(H80)&gt;0, LEN(I80)=0), "BLANCO", IFERROR(VLOOKUP(I80, BasedatosM9!A:B, 2, FALSE), "BLANCO")))</f>
        <v>Sanchez Rodriguez Gerson Andres</v>
      </c>
      <c r="M80" s="5" t="str">
        <f ca="1">IFERROR(__xludf.DUMMYFUNCTION("""COMPUTED_VALUE"""),"TURNO A")</f>
        <v>TURNO A</v>
      </c>
      <c r="N80" s="5">
        <f ca="1">IFERROR(__xludf.DUMMYFUNCTION("""COMPUTED_VALUE"""),23906331)</f>
        <v>23906331</v>
      </c>
      <c r="O80" s="14">
        <f ca="1">IFERROR(__xludf.DUMMYFUNCTION("""COMPUTED_VALUE"""),45357)</f>
        <v>45357</v>
      </c>
      <c r="P80" s="5" t="str">
        <f ca="1">IFERROR(__xludf.DUMMYFUNCTION("""COMPUTED_VALUE"""),"Variador alarmado electricamente")</f>
        <v>Variador alarmado electricamente</v>
      </c>
      <c r="Q80" s="5">
        <f ca="1">IFERROR(__xludf.DUMMYFUNCTION("""COMPUTED_VALUE"""),0.08)</f>
        <v>0.08</v>
      </c>
      <c r="R80" s="15">
        <f ca="1">IFERROR(__xludf.DUMMYFUNCTION("""COMPUTED_VALUE"""),0.354166666666666)</f>
        <v>0.35416666666666602</v>
      </c>
      <c r="S80" s="15">
        <f ca="1">IFERROR(__xludf.DUMMYFUNCTION("""COMPUTED_VALUE"""),0.357638888888888)</f>
        <v>0.35763888888888801</v>
      </c>
      <c r="T80" s="5" t="str">
        <f ca="1">IFERROR(__xludf.DUMMYFUNCTION("""COMPUTED_VALUE"""),"LINE 1")</f>
        <v>LINE 1</v>
      </c>
      <c r="U80" s="5">
        <f ca="1">IFERROR(__xludf.DUMMYFUNCTION("""COMPUTED_VALUE"""),20010075)</f>
        <v>20010075</v>
      </c>
      <c r="V80" s="5" t="str">
        <f ca="1">IFERROR(__xludf.DUMMYFUNCTION("""COMPUTED_VALUE"""),"TRANSPORTADORES DE BEBIDA")</f>
        <v>TRANSPORTADORES DE BEBIDA</v>
      </c>
      <c r="W80" s="5" t="str">
        <f ca="1">IF(AND(LEN(T80)=0, LEN(U80)=0), "", IF(AND(LEN(T80)&gt;0, LEN(U80)=0), "BLANCO", IFERROR(VLOOKUP(U80, BasedatosM9!A:B, 2, FALSE), "BLANCO")))</f>
        <v>Diego Pedroza</v>
      </c>
      <c r="AI80" s="5" t="str">
        <f>IF(AND(LEN(AF80)=0, LEN(AG80)=0), "", IF(AND(LEN(AF80)&gt;0, LEN(AG80)=0), "BLANCO", IFERROR(VLOOKUP(AG80, BasedatosM9!A:B, 2, FALSE), "BLANCO")))</f>
        <v/>
      </c>
      <c r="AU80" s="5" t="str">
        <f>IF(AND(LEN(AR80)=0, LEN(AS80)=0), "", IF(AND(LEN(AR80)&gt;0, LEN(AS80)=0), "BLANCO", IFERROR(VLOOKUP(AS80, BasedatosM9!A:B, 2, FALSE), "BLANCO")))</f>
        <v/>
      </c>
    </row>
    <row r="81" spans="1:47" ht="14.4">
      <c r="A81" s="21" t="s">
        <v>4767</v>
      </c>
      <c r="B81" s="86">
        <v>23901558</v>
      </c>
      <c r="C81" s="98">
        <v>45354</v>
      </c>
      <c r="D81" s="21" t="s">
        <v>4815</v>
      </c>
      <c r="E81" s="86">
        <v>0.25</v>
      </c>
      <c r="F81" s="99">
        <v>0.92708333333333337</v>
      </c>
      <c r="G81" s="99">
        <v>0.9375</v>
      </c>
      <c r="H81" s="21" t="s">
        <v>4549</v>
      </c>
      <c r="I81" s="86">
        <v>20010206</v>
      </c>
      <c r="J81" s="21" t="s">
        <v>2955</v>
      </c>
      <c r="K81" s="5" t="str">
        <f>IF(AND(LEN(H81)=0, LEN(I81)=0), "", IF(AND(LEN(H81)&gt;0, LEN(I81)=0), "BLANCO", IFERROR(VLOOKUP(I81, BasedatosM9!A:B, 2, FALSE), "BLANCO")))</f>
        <v>Vanegas Guependo Hermes</v>
      </c>
      <c r="M81" s="5" t="str">
        <f ca="1">IFERROR(__xludf.DUMMYFUNCTION("""COMPUTED_VALUE"""),"TURNO A")</f>
        <v>TURNO A</v>
      </c>
      <c r="N81" s="5">
        <f ca="1">IFERROR(__xludf.DUMMYFUNCTION("""COMPUTED_VALUE"""),23906472)</f>
        <v>23906472</v>
      </c>
      <c r="O81" s="14">
        <f ca="1">IFERROR(__xludf.DUMMYFUNCTION("""COMPUTED_VALUE"""),45357)</f>
        <v>45357</v>
      </c>
      <c r="P81" s="5" t="str">
        <f ca="1">IFERROR(__xludf.DUMMYFUNCTION("""COMPUTED_VALUE"""),"Paquetes mal formados")</f>
        <v>Paquetes mal formados</v>
      </c>
      <c r="Q81" s="5">
        <f ca="1">IFERROR(__xludf.DUMMYFUNCTION("""COMPUTED_VALUE"""),0.12)</f>
        <v>0.12</v>
      </c>
      <c r="R81" s="15">
        <f ca="1">IFERROR(__xludf.DUMMYFUNCTION("""COMPUTED_VALUE"""),0.381944444444444)</f>
        <v>0.38194444444444398</v>
      </c>
      <c r="S81" s="15">
        <f ca="1">IFERROR(__xludf.DUMMYFUNCTION("""COMPUTED_VALUE"""),0.386805555555555)</f>
        <v>0.38680555555555501</v>
      </c>
      <c r="T81" s="5" t="str">
        <f ca="1">IFERROR(__xludf.DUMMYFUNCTION("""COMPUTED_VALUE"""),"LINE 1")</f>
        <v>LINE 1</v>
      </c>
      <c r="U81" s="5">
        <f ca="1">IFERROR(__xludf.DUMMYFUNCTION("""COMPUTED_VALUE"""),20010075)</f>
        <v>20010075</v>
      </c>
      <c r="V81" s="5" t="str">
        <f ca="1">IFERROR(__xludf.DUMMYFUNCTION("""COMPUTED_VALUE"""),"ENFARDADORA")</f>
        <v>ENFARDADORA</v>
      </c>
      <c r="W81" s="5" t="str">
        <f ca="1">IF(AND(LEN(T81)=0, LEN(U81)=0), "", IF(AND(LEN(T81)&gt;0, LEN(U81)=0), "BLANCO", IFERROR(VLOOKUP(U81, BasedatosM9!A:B, 2, FALSE), "BLANCO")))</f>
        <v>Diego Pedroza</v>
      </c>
      <c r="AI81" s="5" t="str">
        <f>IF(AND(LEN(AF81)=0, LEN(AG81)=0), "", IF(AND(LEN(AF81)&gt;0, LEN(AG81)=0), "BLANCO", IFERROR(VLOOKUP(AG81, BasedatosM9!A:B, 2, FALSE), "BLANCO")))</f>
        <v/>
      </c>
      <c r="AU81" s="5" t="str">
        <f>IF(AND(LEN(AR81)=0, LEN(AS81)=0), "", IF(AND(LEN(AR81)&gt;0, LEN(AS81)=0), "BLANCO", IFERROR(VLOOKUP(AS81, BasedatosM9!A:B, 2, FALSE), "BLANCO")))</f>
        <v/>
      </c>
    </row>
    <row r="82" spans="1:47" ht="14.4">
      <c r="A82" s="21" t="s">
        <v>4767</v>
      </c>
      <c r="B82" s="86">
        <v>23901611</v>
      </c>
      <c r="C82" s="98">
        <v>45354</v>
      </c>
      <c r="D82" s="21" t="s">
        <v>4816</v>
      </c>
      <c r="E82" s="86">
        <v>0.12</v>
      </c>
      <c r="F82" s="99">
        <v>0.22222222222222221</v>
      </c>
      <c r="G82" s="99">
        <v>0.22708333333333333</v>
      </c>
      <c r="H82" s="21" t="s">
        <v>4549</v>
      </c>
      <c r="I82" s="86">
        <v>20031098</v>
      </c>
      <c r="J82" s="21" t="s">
        <v>1471</v>
      </c>
      <c r="K82" s="5" t="str">
        <f>IF(AND(LEN(H82)=0, LEN(I82)=0), "", IF(AND(LEN(H82)&gt;0, LEN(I82)=0), "BLANCO", IFERROR(VLOOKUP(I82, BasedatosM9!A:B, 2, FALSE), "BLANCO")))</f>
        <v>Jonathan Lopez</v>
      </c>
      <c r="M82" s="5" t="str">
        <f ca="1">IFERROR(__xludf.DUMMYFUNCTION("""COMPUTED_VALUE"""),"TURNO A")</f>
        <v>TURNO A</v>
      </c>
      <c r="N82" s="5">
        <f ca="1">IFERROR(__xludf.DUMMYFUNCTION("""COMPUTED_VALUE"""),23906606)</f>
        <v>23906606</v>
      </c>
      <c r="O82" s="14">
        <f ca="1">IFERROR(__xludf.DUMMYFUNCTION("""COMPUTED_VALUE"""),45357)</f>
        <v>45357</v>
      </c>
      <c r="P82" s="5" t="str">
        <f ca="1">IFERROR(__xludf.DUMMYFUNCTION("""COMPUTED_VALUE"""),"Atascamiento de botella")</f>
        <v>Atascamiento de botella</v>
      </c>
      <c r="Q82" s="5">
        <f ca="1">IFERROR(__xludf.DUMMYFUNCTION("""COMPUTED_VALUE"""),0.12)</f>
        <v>0.12</v>
      </c>
      <c r="R82" s="15">
        <f ca="1">IFERROR(__xludf.DUMMYFUNCTION("""COMPUTED_VALUE"""),0.416666666666666)</f>
        <v>0.41666666666666602</v>
      </c>
      <c r="S82" s="15">
        <f ca="1">IFERROR(__xludf.DUMMYFUNCTION("""COMPUTED_VALUE"""),0.421527777777777)</f>
        <v>0.421527777777777</v>
      </c>
      <c r="T82" s="5" t="str">
        <f ca="1">IFERROR(__xludf.DUMMYFUNCTION("""COMPUTED_VALUE"""),"LINE 1")</f>
        <v>LINE 1</v>
      </c>
      <c r="U82" s="5">
        <f ca="1">IFERROR(__xludf.DUMMYFUNCTION("""COMPUTED_VALUE"""),20020754)</f>
        <v>20020754</v>
      </c>
      <c r="V82" s="5" t="str">
        <f ca="1">IFERROR(__xludf.DUMMYFUNCTION("""COMPUTED_VALUE"""),"TRANSPORTADORES DE ENVASE VACIO")</f>
        <v>TRANSPORTADORES DE ENVASE VACIO</v>
      </c>
      <c r="W82" s="5" t="str">
        <f ca="1">IF(AND(LEN(T82)=0, LEN(U82)=0), "", IF(AND(LEN(T82)&gt;0, LEN(U82)=0), "BLANCO", IFERROR(VLOOKUP(U82, BasedatosM9!A:B, 2, FALSE), "BLANCO")))</f>
        <v>Sanchez Rodriguez Gerson Andres</v>
      </c>
      <c r="AI82" s="5" t="str">
        <f>IF(AND(LEN(AF82)=0, LEN(AG82)=0), "", IF(AND(LEN(AF82)&gt;0, LEN(AG82)=0), "BLANCO", IFERROR(VLOOKUP(AG82, BasedatosM9!A:B, 2, FALSE), "BLANCO")))</f>
        <v/>
      </c>
      <c r="AU82" s="5" t="str">
        <f>IF(AND(LEN(AR82)=0, LEN(AS82)=0), "", IF(AND(LEN(AR82)&gt;0, LEN(AS82)=0), "BLANCO", IFERROR(VLOOKUP(AS82, BasedatosM9!A:B, 2, FALSE), "BLANCO")))</f>
        <v/>
      </c>
    </row>
    <row r="83" spans="1:47" ht="14.4">
      <c r="A83" s="21" t="s">
        <v>4767</v>
      </c>
      <c r="B83" s="86">
        <v>23901632</v>
      </c>
      <c r="C83" s="98">
        <v>45354</v>
      </c>
      <c r="D83" s="21" t="s">
        <v>4792</v>
      </c>
      <c r="E83" s="86">
        <v>0.12</v>
      </c>
      <c r="F83" s="99">
        <v>0.13194444444444445</v>
      </c>
      <c r="G83" s="99">
        <v>0.13680555555555554</v>
      </c>
      <c r="H83" s="21" t="s">
        <v>4551</v>
      </c>
      <c r="I83" s="86">
        <v>20009721</v>
      </c>
      <c r="J83" s="21" t="s">
        <v>79</v>
      </c>
      <c r="K83" s="5" t="str">
        <f>IF(AND(LEN(H83)=0, LEN(I83)=0), "", IF(AND(LEN(H83)&gt;0, LEN(I83)=0), "BLANCO", IFERROR(VLOOKUP(I83, BasedatosM9!A:B, 2, FALSE), "BLANCO")))</f>
        <v>Alejandro Davila</v>
      </c>
      <c r="M83" s="5" t="str">
        <f ca="1">IFERROR(__xludf.DUMMYFUNCTION("""COMPUTED_VALUE"""),"TURNO A")</f>
        <v>TURNO A</v>
      </c>
      <c r="N83" s="5">
        <f ca="1">IFERROR(__xludf.DUMMYFUNCTION("""COMPUTED_VALUE"""),23906654)</f>
        <v>23906654</v>
      </c>
      <c r="O83" s="14">
        <f ca="1">IFERROR(__xludf.DUMMYFUNCTION("""COMPUTED_VALUE"""),45357)</f>
        <v>45357</v>
      </c>
      <c r="P83" s="5" t="str">
        <f ca="1">IFERROR(__xludf.DUMMYFUNCTION("""COMPUTED_VALUE"""),"Paquetes mal formados")</f>
        <v>Paquetes mal formados</v>
      </c>
      <c r="Q83" s="5">
        <f ca="1">IFERROR(__xludf.DUMMYFUNCTION("""COMPUTED_VALUE"""),0.5)</f>
        <v>0.5</v>
      </c>
      <c r="R83" s="15">
        <f ca="1">IFERROR(__xludf.DUMMYFUNCTION("""COMPUTED_VALUE"""),0.5)</f>
        <v>0.5</v>
      </c>
      <c r="S83" s="15">
        <f ca="1">IFERROR(__xludf.DUMMYFUNCTION("""COMPUTED_VALUE"""),0.520833333333333)</f>
        <v>0.52083333333333304</v>
      </c>
      <c r="T83" s="5" t="str">
        <f ca="1">IFERROR(__xludf.DUMMYFUNCTION("""COMPUTED_VALUE"""),"LINE 1")</f>
        <v>LINE 1</v>
      </c>
      <c r="U83" s="5">
        <f ca="1">IFERROR(__xludf.DUMMYFUNCTION("""COMPUTED_VALUE"""),20010075)</f>
        <v>20010075</v>
      </c>
      <c r="V83" s="5" t="str">
        <f ca="1">IFERROR(__xludf.DUMMYFUNCTION("""COMPUTED_VALUE"""),"ENFARDADORA")</f>
        <v>ENFARDADORA</v>
      </c>
      <c r="W83" s="5" t="str">
        <f ca="1">IF(AND(LEN(T83)=0, LEN(U83)=0), "", IF(AND(LEN(T83)&gt;0, LEN(U83)=0), "BLANCO", IFERROR(VLOOKUP(U83, BasedatosM9!A:B, 2, FALSE), "BLANCO")))</f>
        <v>Diego Pedroza</v>
      </c>
      <c r="AI83" s="5" t="str">
        <f>IF(AND(LEN(AF83)=0, LEN(AG83)=0), "", IF(AND(LEN(AF83)&gt;0, LEN(AG83)=0), "BLANCO", IFERROR(VLOOKUP(AG83, BasedatosM9!A:B, 2, FALSE), "BLANCO")))</f>
        <v/>
      </c>
      <c r="AU83" s="5" t="str">
        <f>IF(AND(LEN(AR83)=0, LEN(AS83)=0), "", IF(AND(LEN(AR83)&gt;0, LEN(AS83)=0), "BLANCO", IFERROR(VLOOKUP(AS83, BasedatosM9!A:B, 2, FALSE), "BLANCO")))</f>
        <v/>
      </c>
    </row>
    <row r="84" spans="1:47" ht="14.4">
      <c r="A84" s="21" t="s">
        <v>4767</v>
      </c>
      <c r="B84" s="86">
        <v>23901637</v>
      </c>
      <c r="C84" s="98">
        <v>45354</v>
      </c>
      <c r="D84" s="21" t="s">
        <v>4817</v>
      </c>
      <c r="E84" s="86">
        <v>0.85</v>
      </c>
      <c r="F84" s="99">
        <v>0.19375000000000001</v>
      </c>
      <c r="G84" s="99">
        <v>0.22916666666666666</v>
      </c>
      <c r="H84" s="21" t="s">
        <v>4551</v>
      </c>
      <c r="I84" s="86">
        <v>20009721</v>
      </c>
      <c r="J84" s="21" t="s">
        <v>79</v>
      </c>
      <c r="K84" s="5" t="str">
        <f>IF(AND(LEN(H84)=0, LEN(I84)=0), "", IF(AND(LEN(H84)&gt;0, LEN(I84)=0), "BLANCO", IFERROR(VLOOKUP(I84, BasedatosM9!A:B, 2, FALSE), "BLANCO")))</f>
        <v>Alejandro Davila</v>
      </c>
      <c r="M84" s="5" t="str">
        <f ca="1">IFERROR(__xludf.DUMMYFUNCTION("""COMPUTED_VALUE"""),"TURNO A")</f>
        <v>TURNO A</v>
      </c>
      <c r="N84" s="5">
        <f ca="1">IFERROR(__xludf.DUMMYFUNCTION("""COMPUTED_VALUE"""),23906800)</f>
        <v>23906800</v>
      </c>
      <c r="O84" s="14">
        <f ca="1">IFERROR(__xludf.DUMMYFUNCTION("""COMPUTED_VALUE"""),45357)</f>
        <v>45357</v>
      </c>
      <c r="P84" s="5" t="str">
        <f ca="1">IFERROR(__xludf.DUMMYFUNCTION("""COMPUTED_VALUE"""),"Desgfogue de llenadora")</f>
        <v>Desgfogue de llenadora</v>
      </c>
      <c r="Q84" s="5">
        <f ca="1">IFERROR(__xludf.DUMMYFUNCTION("""COMPUTED_VALUE"""),0.17)</f>
        <v>0.17</v>
      </c>
      <c r="R84" s="15">
        <f ca="1">IFERROR(__xludf.DUMMYFUNCTION("""COMPUTED_VALUE"""),0.288194444444444)</f>
        <v>0.28819444444444398</v>
      </c>
      <c r="S84" s="15">
        <f ca="1">IFERROR(__xludf.DUMMYFUNCTION("""COMPUTED_VALUE"""),0.295138888888888)</f>
        <v>0.29513888888888801</v>
      </c>
      <c r="T84" s="5" t="str">
        <f ca="1">IFERROR(__xludf.DUMMYFUNCTION("""COMPUTED_VALUE"""),"LINE 1")</f>
        <v>LINE 1</v>
      </c>
      <c r="U84" s="5"/>
      <c r="V84" s="5" t="str">
        <f ca="1">IFERROR(__xludf.DUMMYFUNCTION("""COMPUTED_VALUE"""),"LLENADORA BOTELLAS PET")</f>
        <v>LLENADORA BOTELLAS PET</v>
      </c>
      <c r="W84" s="5" t="str">
        <f ca="1">IF(AND(LEN(T84)=0, LEN(U84)=0), "", IF(AND(LEN(T84)&gt;0, LEN(U84)=0), "BLANCO", IFERROR(VLOOKUP(U84, BasedatosM9!A:B, 2, FALSE), "BLANCO")))</f>
        <v>BLANCO</v>
      </c>
      <c r="AI84" s="5" t="str">
        <f>IF(AND(LEN(AF84)=0, LEN(AG84)=0), "", IF(AND(LEN(AF84)&gt;0, LEN(AG84)=0), "BLANCO", IFERROR(VLOOKUP(AG84, BasedatosM9!A:B, 2, FALSE), "BLANCO")))</f>
        <v/>
      </c>
      <c r="AU84" s="5" t="str">
        <f>IF(AND(LEN(AR84)=0, LEN(AS84)=0), "", IF(AND(LEN(AR84)&gt;0, LEN(AS84)=0), "BLANCO", IFERROR(VLOOKUP(AS84, BasedatosM9!A:B, 2, FALSE), "BLANCO")))</f>
        <v/>
      </c>
    </row>
    <row r="85" spans="1:47" ht="14.4">
      <c r="A85" s="21" t="s">
        <v>4767</v>
      </c>
      <c r="B85" s="86">
        <v>23901676</v>
      </c>
      <c r="C85" s="98">
        <v>45354</v>
      </c>
      <c r="D85" s="21" t="s">
        <v>4818</v>
      </c>
      <c r="E85" s="86">
        <v>0.22</v>
      </c>
      <c r="F85" s="99">
        <v>0.21875</v>
      </c>
      <c r="G85" s="99">
        <v>0.22777777777777777</v>
      </c>
      <c r="H85" s="21" t="s">
        <v>4764</v>
      </c>
      <c r="I85" s="86">
        <v>20076884</v>
      </c>
      <c r="J85" s="21" t="s">
        <v>67</v>
      </c>
      <c r="K85" s="5" t="str">
        <f>IF(AND(LEN(H85)=0, LEN(I85)=0), "", IF(AND(LEN(H85)&gt;0, LEN(I85)=0), "BLANCO", IFERROR(VLOOKUP(I85, BasedatosM9!A:B, 2, FALSE), "BLANCO")))</f>
        <v>Estaban Potosi</v>
      </c>
      <c r="M85" s="5" t="str">
        <f ca="1">IFERROR(__xludf.DUMMYFUNCTION("""COMPUTED_VALUE"""),"TURNO A")</f>
        <v>TURNO A</v>
      </c>
      <c r="N85" s="5">
        <f ca="1">IFERROR(__xludf.DUMMYFUNCTION("""COMPUTED_VALUE"""),23906814)</f>
        <v>23906814</v>
      </c>
      <c r="O85" s="14">
        <f ca="1">IFERROR(__xludf.DUMMYFUNCTION("""COMPUTED_VALUE"""),45357)</f>
        <v>45357</v>
      </c>
      <c r="P85" s="5" t="str">
        <f ca="1">IFERROR(__xludf.DUMMYFUNCTION("""COMPUTED_VALUE"""),"Atascamiento de botella")</f>
        <v>Atascamiento de botella</v>
      </c>
      <c r="Q85" s="5">
        <f ca="1">IFERROR(__xludf.DUMMYFUNCTION("""COMPUTED_VALUE"""),0.17)</f>
        <v>0.17</v>
      </c>
      <c r="R85" s="15">
        <f ca="1">IFERROR(__xludf.DUMMYFUNCTION("""COMPUTED_VALUE"""),0.541666666666666)</f>
        <v>0.54166666666666596</v>
      </c>
      <c r="S85" s="15">
        <f ca="1">IFERROR(__xludf.DUMMYFUNCTION("""COMPUTED_VALUE"""),0.548611111111111)</f>
        <v>0.54861111111111105</v>
      </c>
      <c r="T85" s="5" t="str">
        <f ca="1">IFERROR(__xludf.DUMMYFUNCTION("""COMPUTED_VALUE"""),"LINE 1")</f>
        <v>LINE 1</v>
      </c>
      <c r="U85" s="5">
        <f ca="1">IFERROR(__xludf.DUMMYFUNCTION("""COMPUTED_VALUE"""),20020754)</f>
        <v>20020754</v>
      </c>
      <c r="V85" s="5" t="str">
        <f ca="1">IFERROR(__xludf.DUMMYFUNCTION("""COMPUTED_VALUE"""),"TRANSPORTADORES DE ENVASE VACIO")</f>
        <v>TRANSPORTADORES DE ENVASE VACIO</v>
      </c>
      <c r="W85" s="5" t="str">
        <f ca="1">IF(AND(LEN(T85)=0, LEN(U85)=0), "", IF(AND(LEN(T85)&gt;0, LEN(U85)=0), "BLANCO", IFERROR(VLOOKUP(U85, BasedatosM9!A:B, 2, FALSE), "BLANCO")))</f>
        <v>Sanchez Rodriguez Gerson Andres</v>
      </c>
      <c r="AI85" s="5" t="str">
        <f>IF(AND(LEN(AF85)=0, LEN(AG85)=0), "", IF(AND(LEN(AF85)&gt;0, LEN(AG85)=0), "BLANCO", IFERROR(VLOOKUP(AG85, BasedatosM9!A:B, 2, FALSE), "BLANCO")))</f>
        <v/>
      </c>
      <c r="AU85" s="5" t="str">
        <f>IF(AND(LEN(AR85)=0, LEN(AS85)=0), "", IF(AND(LEN(AR85)&gt;0, LEN(AS85)=0), "BLANCO", IFERROR(VLOOKUP(AS85, BasedatosM9!A:B, 2, FALSE), "BLANCO")))</f>
        <v/>
      </c>
    </row>
    <row r="86" spans="1:47" ht="14.4">
      <c r="A86" s="21" t="s">
        <v>4742</v>
      </c>
      <c r="B86" s="86">
        <v>23901920</v>
      </c>
      <c r="C86" s="98">
        <v>45355</v>
      </c>
      <c r="D86" s="21" t="s">
        <v>4819</v>
      </c>
      <c r="E86" s="86">
        <v>0.17</v>
      </c>
      <c r="F86" s="99">
        <v>0.25</v>
      </c>
      <c r="G86" s="99">
        <v>0.25694444444444448</v>
      </c>
      <c r="H86" s="21" t="s">
        <v>4553</v>
      </c>
      <c r="I86" s="21"/>
      <c r="J86" s="21" t="s">
        <v>4820</v>
      </c>
      <c r="K86" s="5" t="str">
        <f>IF(AND(LEN(H86)=0, LEN(I86)=0), "", IF(AND(LEN(H86)&gt;0, LEN(I86)=0), "BLANCO", IFERROR(VLOOKUP(I86, BasedatosM9!A:B, 2, FALSE), "BLANCO")))</f>
        <v>BLANCO</v>
      </c>
      <c r="M86" s="5" t="str">
        <f ca="1">IFERROR(__xludf.DUMMYFUNCTION("""COMPUTED_VALUE"""),"TURNO A")</f>
        <v>TURNO A</v>
      </c>
      <c r="N86" s="5">
        <f ca="1">IFERROR(__xludf.DUMMYFUNCTION("""COMPUTED_VALUE"""),23906843)</f>
        <v>23906843</v>
      </c>
      <c r="O86" s="14">
        <f ca="1">IFERROR(__xludf.DUMMYFUNCTION("""COMPUTED_VALUE"""),45357)</f>
        <v>45357</v>
      </c>
      <c r="P86" s="5" t="str">
        <f ca="1">IFERROR(__xludf.DUMMYFUNCTION("""COMPUTED_VALUE"""),"Botellas sin tapa")</f>
        <v>Botellas sin tapa</v>
      </c>
      <c r="Q86" s="5">
        <f ca="1">IFERROR(__xludf.DUMMYFUNCTION("""COMPUTED_VALUE"""),0.1)</f>
        <v>0.1</v>
      </c>
      <c r="R86" s="15">
        <f ca="1">IFERROR(__xludf.DUMMYFUNCTION("""COMPUTED_VALUE"""),0.576388888888889)</f>
        <v>0.57638888888888895</v>
      </c>
      <c r="S86" s="15">
        <f ca="1">IFERROR(__xludf.DUMMYFUNCTION("""COMPUTED_VALUE"""),0.580555555555555)</f>
        <v>0.58055555555555505</v>
      </c>
      <c r="T86" s="5" t="str">
        <f ca="1">IFERROR(__xludf.DUMMYFUNCTION("""COMPUTED_VALUE"""),"LINE 1")</f>
        <v>LINE 1</v>
      </c>
      <c r="U86" s="5">
        <f ca="1">IFERROR(__xludf.DUMMYFUNCTION("""COMPUTED_VALUE"""),20082152)</f>
        <v>20082152</v>
      </c>
      <c r="V86" s="5" t="str">
        <f ca="1">IFERROR(__xludf.DUMMYFUNCTION("""COMPUTED_VALUE"""),"LLENADORA BOTELLAS PET")</f>
        <v>LLENADORA BOTELLAS PET</v>
      </c>
      <c r="W86" s="5" t="str">
        <f ca="1">IF(AND(LEN(T86)=0, LEN(U86)=0), "", IF(AND(LEN(T86)&gt;0, LEN(U86)=0), "BLANCO", IFERROR(VLOOKUP(U86, BasedatosM9!A:B, 2, FALSE), "BLANCO")))</f>
        <v>Ferney Ramos</v>
      </c>
      <c r="AI86" s="5" t="str">
        <f>IF(AND(LEN(AF86)=0, LEN(AG86)=0), "", IF(AND(LEN(AF86)&gt;0, LEN(AG86)=0), "BLANCO", IFERROR(VLOOKUP(AG86, BasedatosM9!A:B, 2, FALSE), "BLANCO")))</f>
        <v/>
      </c>
      <c r="AU86" s="5" t="str">
        <f>IF(AND(LEN(AR86)=0, LEN(AS86)=0), "", IF(AND(LEN(AR86)&gt;0, LEN(AS86)=0), "BLANCO", IFERROR(VLOOKUP(AS86, BasedatosM9!A:B, 2, FALSE), "BLANCO")))</f>
        <v/>
      </c>
    </row>
    <row r="87" spans="1:47" ht="14.4">
      <c r="A87" s="21" t="s">
        <v>4742</v>
      </c>
      <c r="B87" s="86">
        <v>23901939</v>
      </c>
      <c r="C87" s="98">
        <v>45355</v>
      </c>
      <c r="D87" s="21" t="s">
        <v>4821</v>
      </c>
      <c r="E87" s="86">
        <v>0.9</v>
      </c>
      <c r="F87" s="99">
        <v>0.22916666666666666</v>
      </c>
      <c r="G87" s="99">
        <v>0.26666666666666666</v>
      </c>
      <c r="H87" s="21" t="s">
        <v>4550</v>
      </c>
      <c r="I87" s="21"/>
      <c r="J87" s="21" t="s">
        <v>4753</v>
      </c>
      <c r="K87" s="5" t="str">
        <f>IF(AND(LEN(H87)=0, LEN(I87)=0), "", IF(AND(LEN(H87)&gt;0, LEN(I87)=0), "BLANCO", IFERROR(VLOOKUP(I87, BasedatosM9!A:B, 2, FALSE), "BLANCO")))</f>
        <v>BLANCO</v>
      </c>
      <c r="M87" s="5" t="str">
        <f ca="1">IFERROR(__xludf.DUMMYFUNCTION("""COMPUTED_VALUE"""),"TURNO B")</f>
        <v>TURNO B</v>
      </c>
      <c r="N87" s="5">
        <f ca="1">IFERROR(__xludf.DUMMYFUNCTION("""COMPUTED_VALUE"""),23906897)</f>
        <v>23906897</v>
      </c>
      <c r="O87" s="14">
        <f ca="1">IFERROR(__xludf.DUMMYFUNCTION("""COMPUTED_VALUE"""),45357)</f>
        <v>45357</v>
      </c>
      <c r="P87" s="5" t="str">
        <f ca="1">IFERROR(__xludf.DUMMYFUNCTION("""COMPUTED_VALUE"""),"Caida de botellas salida llenadora")</f>
        <v>Caida de botellas salida llenadora</v>
      </c>
      <c r="Q87" s="5">
        <f ca="1">IFERROR(__xludf.DUMMYFUNCTION("""COMPUTED_VALUE"""),0.23)</f>
        <v>0.23</v>
      </c>
      <c r="R87" s="15">
        <f ca="1">IFERROR(__xludf.DUMMYFUNCTION("""COMPUTED_VALUE"""),0.597222222222222)</f>
        <v>0.59722222222222199</v>
      </c>
      <c r="S87" s="15">
        <f ca="1">IFERROR(__xludf.DUMMYFUNCTION("""COMPUTED_VALUE"""),0.606944444444444)</f>
        <v>0.60694444444444395</v>
      </c>
      <c r="T87" s="5" t="str">
        <f ca="1">IFERROR(__xludf.DUMMYFUNCTION("""COMPUTED_VALUE"""),"LINE 1")</f>
        <v>LINE 1</v>
      </c>
      <c r="U87" s="5">
        <f ca="1">IFERROR(__xludf.DUMMYFUNCTION("""COMPUTED_VALUE"""),20019987)</f>
        <v>20019987</v>
      </c>
      <c r="V87" s="5" t="str">
        <f ca="1">IFERROR(__xludf.DUMMYFUNCTION("""COMPUTED_VALUE"""),"LLENADORA BOTELLAS PET")</f>
        <v>LLENADORA BOTELLAS PET</v>
      </c>
      <c r="W87" s="5" t="str">
        <f ca="1">IF(AND(LEN(T87)=0, LEN(U87)=0), "", IF(AND(LEN(T87)&gt;0, LEN(U87)=0), "BLANCO", IFERROR(VLOOKUP(U87, BasedatosM9!A:B, 2, FALSE), "BLANCO")))</f>
        <v>Aguado Lemos Luis Eyder</v>
      </c>
      <c r="AI87" s="5" t="str">
        <f>IF(AND(LEN(AF87)=0, LEN(AG87)=0), "", IF(AND(LEN(AF87)&gt;0, LEN(AG87)=0), "BLANCO", IFERROR(VLOOKUP(AG87, BasedatosM9!A:B, 2, FALSE), "BLANCO")))</f>
        <v/>
      </c>
      <c r="AU87" s="5" t="str">
        <f>IF(AND(LEN(AR87)=0, LEN(AS87)=0), "", IF(AND(LEN(AR87)&gt;0, LEN(AS87)=0), "BLANCO", IFERROR(VLOOKUP(AS87, BasedatosM9!A:B, 2, FALSE), "BLANCO")))</f>
        <v/>
      </c>
    </row>
    <row r="88" spans="1:47" ht="14.4">
      <c r="A88" s="21" t="s">
        <v>4742</v>
      </c>
      <c r="B88" s="86">
        <v>23901974</v>
      </c>
      <c r="C88" s="98">
        <v>45355</v>
      </c>
      <c r="D88" s="21" t="s">
        <v>4822</v>
      </c>
      <c r="E88" s="86">
        <v>0.13</v>
      </c>
      <c r="F88" s="99">
        <v>0.25694444444444448</v>
      </c>
      <c r="G88" s="99">
        <v>0.26250000000000001</v>
      </c>
      <c r="H88" s="21" t="s">
        <v>4553</v>
      </c>
      <c r="I88" s="21"/>
      <c r="J88" s="21" t="s">
        <v>4802</v>
      </c>
      <c r="K88" s="5" t="str">
        <f>IF(AND(LEN(H88)=0, LEN(I88)=0), "", IF(AND(LEN(H88)&gt;0, LEN(I88)=0), "BLANCO", IFERROR(VLOOKUP(I88, BasedatosM9!A:B, 2, FALSE), "BLANCO")))</f>
        <v>BLANCO</v>
      </c>
      <c r="M88" s="5" t="str">
        <f ca="1">IFERROR(__xludf.DUMMYFUNCTION("""COMPUTED_VALUE"""),"TURNO B")</f>
        <v>TURNO B</v>
      </c>
      <c r="N88" s="5">
        <f ca="1">IFERROR(__xludf.DUMMYFUNCTION("""COMPUTED_VALUE"""),23906899)</f>
        <v>23906899</v>
      </c>
      <c r="O88" s="14">
        <f ca="1">IFERROR(__xludf.DUMMYFUNCTION("""COMPUTED_VALUE"""),45357)</f>
        <v>45357</v>
      </c>
      <c r="P88" s="5" t="str">
        <f ca="1">IFERROR(__xludf.DUMMYFUNCTION("""COMPUTED_VALUE"""),"Exceso de pegante")</f>
        <v>Exceso de pegante</v>
      </c>
      <c r="Q88" s="5">
        <f ca="1">IFERROR(__xludf.DUMMYFUNCTION("""COMPUTED_VALUE"""),0.17)</f>
        <v>0.17</v>
      </c>
      <c r="R88" s="15">
        <f ca="1">IFERROR(__xludf.DUMMYFUNCTION("""COMPUTED_VALUE"""),0.645833333333333)</f>
        <v>0.64583333333333304</v>
      </c>
      <c r="S88" s="15">
        <f ca="1">IFERROR(__xludf.DUMMYFUNCTION("""COMPUTED_VALUE"""),0.652777777777777)</f>
        <v>0.65277777777777701</v>
      </c>
      <c r="T88" s="5" t="str">
        <f ca="1">IFERROR(__xludf.DUMMYFUNCTION("""COMPUTED_VALUE"""),"LINE 1")</f>
        <v>LINE 1</v>
      </c>
      <c r="U88" s="5">
        <f ca="1">IFERROR(__xludf.DUMMYFUNCTION("""COMPUTED_VALUE"""),20075387)</f>
        <v>20075387</v>
      </c>
      <c r="V88" s="5" t="str">
        <f ca="1">IFERROR(__xludf.DUMMYFUNCTION("""COMPUTED_VALUE"""),"ETIQUETADORA ENVOLVENTE")</f>
        <v>ETIQUETADORA ENVOLVENTE</v>
      </c>
      <c r="W88" s="5" t="str">
        <f ca="1">IF(AND(LEN(T88)=0, LEN(U88)=0), "", IF(AND(LEN(T88)&gt;0, LEN(U88)=0), "BLANCO", IFERROR(VLOOKUP(U88, BasedatosM9!A:B, 2, FALSE), "BLANCO")))</f>
        <v>Cristian Suaza</v>
      </c>
      <c r="AI88" s="5" t="str">
        <f>IF(AND(LEN(AF88)=0, LEN(AG88)=0), "", IF(AND(LEN(AF88)&gt;0, LEN(AG88)=0), "BLANCO", IFERROR(VLOOKUP(AG88, BasedatosM9!A:B, 2, FALSE), "BLANCO")))</f>
        <v/>
      </c>
      <c r="AU88" s="5" t="str">
        <f>IF(AND(LEN(AR88)=0, LEN(AS88)=0), "", IF(AND(LEN(AR88)&gt;0, LEN(AS88)=0), "BLANCO", IFERROR(VLOOKUP(AS88, BasedatosM9!A:B, 2, FALSE), "BLANCO")))</f>
        <v/>
      </c>
    </row>
    <row r="89" spans="1:47" ht="14.4">
      <c r="A89" s="21" t="s">
        <v>4742</v>
      </c>
      <c r="B89" s="86">
        <v>23902014</v>
      </c>
      <c r="C89" s="98">
        <v>45355</v>
      </c>
      <c r="D89" s="21" t="s">
        <v>4823</v>
      </c>
      <c r="E89" s="86">
        <v>0.12</v>
      </c>
      <c r="F89" s="99">
        <v>0.26250000000000001</v>
      </c>
      <c r="G89" s="99">
        <v>0.2673611111111111</v>
      </c>
      <c r="H89" s="21" t="s">
        <v>4553</v>
      </c>
      <c r="I89" s="21"/>
      <c r="J89" s="21" t="s">
        <v>4744</v>
      </c>
      <c r="K89" s="5" t="str">
        <f>IF(AND(LEN(H89)=0, LEN(I89)=0), "", IF(AND(LEN(H89)&gt;0, LEN(I89)=0), "BLANCO", IFERROR(VLOOKUP(I89, BasedatosM9!A:B, 2, FALSE), "BLANCO")))</f>
        <v>BLANCO</v>
      </c>
      <c r="M89" s="5" t="str">
        <f ca="1">IFERROR(__xludf.DUMMYFUNCTION("""COMPUTED_VALUE"""),"TURNO B")</f>
        <v>TURNO B</v>
      </c>
      <c r="N89" s="5">
        <f ca="1">IFERROR(__xludf.DUMMYFUNCTION("""COMPUTED_VALUE"""),23906900)</f>
        <v>23906900</v>
      </c>
      <c r="O89" s="14">
        <f ca="1">IFERROR(__xludf.DUMMYFUNCTION("""COMPUTED_VALUE"""),45357)</f>
        <v>45357</v>
      </c>
      <c r="P89" s="5" t="str">
        <f ca="1">IFERROR(__xludf.DUMMYFUNCTION("""COMPUTED_VALUE"""),"Atascamiento botellas")</f>
        <v>Atascamiento botellas</v>
      </c>
      <c r="Q89" s="5">
        <f ca="1">IFERROR(__xludf.DUMMYFUNCTION("""COMPUTED_VALUE"""),0.12)</f>
        <v>0.12</v>
      </c>
      <c r="R89" s="15">
        <f ca="1">IFERROR(__xludf.DUMMYFUNCTION("""COMPUTED_VALUE"""),0.631944444444444)</f>
        <v>0.63194444444444398</v>
      </c>
      <c r="S89" s="15">
        <f ca="1">IFERROR(__xludf.DUMMYFUNCTION("""COMPUTED_VALUE"""),0.636805555555555)</f>
        <v>0.63680555555555496</v>
      </c>
      <c r="T89" s="5" t="str">
        <f ca="1">IFERROR(__xludf.DUMMYFUNCTION("""COMPUTED_VALUE"""),"LINE 1")</f>
        <v>LINE 1</v>
      </c>
      <c r="U89" s="5">
        <f ca="1">IFERROR(__xludf.DUMMYFUNCTION("""COMPUTED_VALUE"""),20075387)</f>
        <v>20075387</v>
      </c>
      <c r="V89" s="5" t="str">
        <f ca="1">IFERROR(__xludf.DUMMYFUNCTION("""COMPUTED_VALUE"""),"TRANSPORTADORES DE ENVASE VACIO")</f>
        <v>TRANSPORTADORES DE ENVASE VACIO</v>
      </c>
      <c r="W89" s="5" t="str">
        <f ca="1">IF(AND(LEN(T89)=0, LEN(U89)=0), "", IF(AND(LEN(T89)&gt;0, LEN(U89)=0), "BLANCO", IFERROR(VLOOKUP(U89, BasedatosM9!A:B, 2, FALSE), "BLANCO")))</f>
        <v>Cristian Suaza</v>
      </c>
      <c r="AI89" s="5" t="str">
        <f>IF(AND(LEN(AF89)=0, LEN(AG89)=0), "", IF(AND(LEN(AF89)&gt;0, LEN(AG89)=0), "BLANCO", IFERROR(VLOOKUP(AG89, BasedatosM9!A:B, 2, FALSE), "BLANCO")))</f>
        <v/>
      </c>
      <c r="AU89" s="5" t="str">
        <f>IF(AND(LEN(AR89)=0, LEN(AS89)=0), "", IF(AND(LEN(AR89)&gt;0, LEN(AS89)=0), "BLANCO", IFERROR(VLOOKUP(AS89, BasedatosM9!A:B, 2, FALSE), "BLANCO")))</f>
        <v/>
      </c>
    </row>
    <row r="90" spans="1:47" ht="14.4">
      <c r="A90" s="21" t="s">
        <v>4742</v>
      </c>
      <c r="B90" s="86">
        <v>23902016</v>
      </c>
      <c r="C90" s="98">
        <v>45355</v>
      </c>
      <c r="D90" s="21" t="s">
        <v>4824</v>
      </c>
      <c r="E90" s="86">
        <v>0.28000000000000003</v>
      </c>
      <c r="F90" s="99">
        <v>0.2673611111111111</v>
      </c>
      <c r="G90" s="99">
        <v>0.27916666666666667</v>
      </c>
      <c r="H90" s="21" t="s">
        <v>4553</v>
      </c>
      <c r="I90" s="21"/>
      <c r="J90" s="21" t="s">
        <v>4746</v>
      </c>
      <c r="K90" s="5" t="str">
        <f>IF(AND(LEN(H90)=0, LEN(I90)=0), "", IF(AND(LEN(H90)&gt;0, LEN(I90)=0), "BLANCO", IFERROR(VLOOKUP(I90, BasedatosM9!A:B, 2, FALSE), "BLANCO")))</f>
        <v>BLANCO</v>
      </c>
      <c r="M90" s="5" t="str">
        <f ca="1">IFERROR(__xludf.DUMMYFUNCTION("""COMPUTED_VALUE"""),"TURNO B")</f>
        <v>TURNO B</v>
      </c>
      <c r="N90" s="5">
        <f ca="1">IFERROR(__xludf.DUMMYFUNCTION("""COMPUTED_VALUE"""),23907172)</f>
        <v>23907172</v>
      </c>
      <c r="O90" s="14">
        <f ca="1">IFERROR(__xludf.DUMMYFUNCTION("""COMPUTED_VALUE"""),45357)</f>
        <v>45357</v>
      </c>
      <c r="P90" s="5" t="str">
        <f ca="1">IFERROR(__xludf.DUMMYFUNCTION("""COMPUTED_VALUE"""),"Caida de botellas salida llenadora")</f>
        <v>Caida de botellas salida llenadora</v>
      </c>
      <c r="Q90" s="5">
        <f ca="1">IFERROR(__xludf.DUMMYFUNCTION("""COMPUTED_VALUE"""),0.37)</f>
        <v>0.37</v>
      </c>
      <c r="R90" s="15">
        <f ca="1">IFERROR(__xludf.DUMMYFUNCTION("""COMPUTED_VALUE"""),0.673611111111111)</f>
        <v>0.67361111111111105</v>
      </c>
      <c r="S90" s="15">
        <f ca="1">IFERROR(__xludf.DUMMYFUNCTION("""COMPUTED_VALUE"""),0.688888888888889)</f>
        <v>0.68888888888888899</v>
      </c>
      <c r="T90" s="5" t="str">
        <f ca="1">IFERROR(__xludf.DUMMYFUNCTION("""COMPUTED_VALUE"""),"LINE 1")</f>
        <v>LINE 1</v>
      </c>
      <c r="U90" s="5">
        <f ca="1">IFERROR(__xludf.DUMMYFUNCTION("""COMPUTED_VALUE"""),20019987)</f>
        <v>20019987</v>
      </c>
      <c r="V90" s="5" t="str">
        <f ca="1">IFERROR(__xludf.DUMMYFUNCTION("""COMPUTED_VALUE"""),"TRANSPORTADORES DE BEBIDA")</f>
        <v>TRANSPORTADORES DE BEBIDA</v>
      </c>
      <c r="W90" s="5" t="str">
        <f ca="1">IF(AND(LEN(T90)=0, LEN(U90)=0), "", IF(AND(LEN(T90)&gt;0, LEN(U90)=0), "BLANCO", IFERROR(VLOOKUP(U90, BasedatosM9!A:B, 2, FALSE), "BLANCO")))</f>
        <v>Aguado Lemos Luis Eyder</v>
      </c>
      <c r="AI90" s="5" t="str">
        <f>IF(AND(LEN(AF90)=0, LEN(AG90)=0), "", IF(AND(LEN(AF90)&gt;0, LEN(AG90)=0), "BLANCO", IFERROR(VLOOKUP(AG90, BasedatosM9!A:B, 2, FALSE), "BLANCO")))</f>
        <v/>
      </c>
      <c r="AU90" s="5" t="str">
        <f>IF(AND(LEN(AR90)=0, LEN(AS90)=0), "", IF(AND(LEN(AR90)&gt;0, LEN(AS90)=0), "BLANCO", IFERROR(VLOOKUP(AS90, BasedatosM9!A:B, 2, FALSE), "BLANCO")))</f>
        <v/>
      </c>
    </row>
    <row r="91" spans="1:47" ht="14.4">
      <c r="A91" s="21" t="s">
        <v>4757</v>
      </c>
      <c r="B91" s="86">
        <v>23902038</v>
      </c>
      <c r="C91" s="98">
        <v>45353</v>
      </c>
      <c r="D91" s="21" t="s">
        <v>4785</v>
      </c>
      <c r="E91" s="86">
        <v>0.08</v>
      </c>
      <c r="F91" s="99">
        <v>0.88541666666666663</v>
      </c>
      <c r="G91" s="99">
        <v>0.88888888888888884</v>
      </c>
      <c r="H91" s="21" t="s">
        <v>4550</v>
      </c>
      <c r="I91" s="86">
        <v>20053048</v>
      </c>
      <c r="J91" s="21" t="s">
        <v>1471</v>
      </c>
      <c r="K91" s="5" t="str">
        <f>IF(AND(LEN(H91)=0, LEN(I91)=0), "", IF(AND(LEN(H91)&gt;0, LEN(I91)=0), "BLANCO", IFERROR(VLOOKUP(I91, BasedatosM9!A:B, 2, FALSE), "BLANCO")))</f>
        <v>Parra Ramos Hector</v>
      </c>
      <c r="M91" s="5" t="str">
        <f ca="1">IFERROR(__xludf.DUMMYFUNCTION("""COMPUTED_VALUE"""),"TURNO B")</f>
        <v>TURNO B</v>
      </c>
      <c r="N91" s="5">
        <f ca="1">IFERROR(__xludf.DUMMYFUNCTION("""COMPUTED_VALUE"""),23907176)</f>
        <v>23907176</v>
      </c>
      <c r="O91" s="14">
        <f ca="1">IFERROR(__xludf.DUMMYFUNCTION("""COMPUTED_VALUE"""),45357)</f>
        <v>45357</v>
      </c>
      <c r="P91" s="5" t="str">
        <f ca="1">IFERROR(__xludf.DUMMYFUNCTION("""COMPUTED_VALUE"""),"Caida botellas mesa de plegado")</f>
        <v>Caida botellas mesa de plegado</v>
      </c>
      <c r="Q91" s="5">
        <f ca="1">IFERROR(__xludf.DUMMYFUNCTION("""COMPUTED_VALUE"""),0.17)</f>
        <v>0.17</v>
      </c>
      <c r="R91" s="15">
        <f ca="1">IFERROR(__xludf.DUMMYFUNCTION("""COMPUTED_VALUE"""),0.715277777777777)</f>
        <v>0.71527777777777701</v>
      </c>
      <c r="S91" s="15">
        <f ca="1">IFERROR(__xludf.DUMMYFUNCTION("""COMPUTED_VALUE"""),0.722222222222222)</f>
        <v>0.72222222222222199</v>
      </c>
      <c r="T91" s="5" t="str">
        <f ca="1">IFERROR(__xludf.DUMMYFUNCTION("""COMPUTED_VALUE"""),"LINE 1")</f>
        <v>LINE 1</v>
      </c>
      <c r="U91" s="5">
        <f ca="1">IFERROR(__xludf.DUMMYFUNCTION("""COMPUTED_VALUE"""),20009915)</f>
        <v>20009915</v>
      </c>
      <c r="V91" s="5" t="str">
        <f ca="1">IFERROR(__xludf.DUMMYFUNCTION("""COMPUTED_VALUE"""),"ENFARDADORA")</f>
        <v>ENFARDADORA</v>
      </c>
      <c r="W91" s="5" t="str">
        <f ca="1">IF(AND(LEN(T91)=0, LEN(U91)=0), "", IF(AND(LEN(T91)&gt;0, LEN(U91)=0), "BLANCO", IFERROR(VLOOKUP(U91, BasedatosM9!A:B, 2, FALSE), "BLANCO")))</f>
        <v>Lozano Delgado Fausto Andres</v>
      </c>
      <c r="AI91" s="5" t="str">
        <f>IF(AND(LEN(AF91)=0, LEN(AG91)=0), "", IF(AND(LEN(AF91)&gt;0, LEN(AG91)=0), "BLANCO", IFERROR(VLOOKUP(AG91, BasedatosM9!A:B, 2, FALSE), "BLANCO")))</f>
        <v/>
      </c>
      <c r="AU91" s="5" t="str">
        <f>IF(AND(LEN(AR91)=0, LEN(AS91)=0), "", IF(AND(LEN(AR91)&gt;0, LEN(AS91)=0), "BLANCO", IFERROR(VLOOKUP(AS91, BasedatosM9!A:B, 2, FALSE), "BLANCO")))</f>
        <v/>
      </c>
    </row>
    <row r="92" spans="1:47" ht="14.4">
      <c r="A92" s="21" t="s">
        <v>4742</v>
      </c>
      <c r="B92" s="86">
        <v>23902286</v>
      </c>
      <c r="C92" s="98">
        <v>45355</v>
      </c>
      <c r="D92" s="21" t="s">
        <v>4825</v>
      </c>
      <c r="E92" s="86">
        <v>0.28000000000000003</v>
      </c>
      <c r="F92" s="99">
        <v>0.41666666666666669</v>
      </c>
      <c r="G92" s="99">
        <v>0.4284722222222222</v>
      </c>
      <c r="H92" s="21" t="s">
        <v>4553</v>
      </c>
      <c r="I92" s="21"/>
      <c r="J92" s="21" t="s">
        <v>4746</v>
      </c>
      <c r="K92" s="5" t="str">
        <f>IF(AND(LEN(H92)=0, LEN(I92)=0), "", IF(AND(LEN(H92)&gt;0, LEN(I92)=0), "BLANCO", IFERROR(VLOOKUP(I92, BasedatosM9!A:B, 2, FALSE), "BLANCO")))</f>
        <v>BLANCO</v>
      </c>
      <c r="M92" s="5" t="str">
        <f ca="1">IFERROR(__xludf.DUMMYFUNCTION("""COMPUTED_VALUE"""),"TURNO B")</f>
        <v>TURNO B</v>
      </c>
      <c r="N92" s="5">
        <f ca="1">IFERROR(__xludf.DUMMYFUNCTION("""COMPUTED_VALUE"""),23907177)</f>
        <v>23907177</v>
      </c>
      <c r="O92" s="14">
        <f ca="1">IFERROR(__xludf.DUMMYFUNCTION("""COMPUTED_VALUE"""),45357)</f>
        <v>45357</v>
      </c>
      <c r="P92" s="5" t="str">
        <f ca="1">IFERROR(__xludf.DUMMYFUNCTION("""COMPUTED_VALUE"""),"Atascamiento botellas")</f>
        <v>Atascamiento botellas</v>
      </c>
      <c r="Q92" s="5">
        <f ca="1">IFERROR(__xludf.DUMMYFUNCTION("""COMPUTED_VALUE"""),0.07)</f>
        <v>7.0000000000000007E-2</v>
      </c>
      <c r="R92" s="15">
        <f ca="1">IFERROR(__xludf.DUMMYFUNCTION("""COMPUTED_VALUE"""),0.729166666666666)</f>
        <v>0.72916666666666596</v>
      </c>
      <c r="S92" s="15">
        <f ca="1">IFERROR(__xludf.DUMMYFUNCTION("""COMPUTED_VALUE"""),0.731944444444444)</f>
        <v>0.73194444444444395</v>
      </c>
      <c r="T92" s="5" t="str">
        <f ca="1">IFERROR(__xludf.DUMMYFUNCTION("""COMPUTED_VALUE"""),"LINE 1")</f>
        <v>LINE 1</v>
      </c>
      <c r="U92" s="5">
        <f ca="1">IFERROR(__xludf.DUMMYFUNCTION("""COMPUTED_VALUE"""),20075387)</f>
        <v>20075387</v>
      </c>
      <c r="V92" s="5" t="str">
        <f ca="1">IFERROR(__xludf.DUMMYFUNCTION("""COMPUTED_VALUE"""),"TRANSPORTADORES DE ENVASE VACIO")</f>
        <v>TRANSPORTADORES DE ENVASE VACIO</v>
      </c>
      <c r="W92" s="5" t="str">
        <f ca="1">IF(AND(LEN(T92)=0, LEN(U92)=0), "", IF(AND(LEN(T92)&gt;0, LEN(U92)=0), "BLANCO", IFERROR(VLOOKUP(U92, BasedatosM9!A:B, 2, FALSE), "BLANCO")))</f>
        <v>Cristian Suaza</v>
      </c>
      <c r="AI92" s="5" t="str">
        <f>IF(AND(LEN(AF92)=0, LEN(AG92)=0), "", IF(AND(LEN(AF92)&gt;0, LEN(AG92)=0), "BLANCO", IFERROR(VLOOKUP(AG92, BasedatosM9!A:B, 2, FALSE), "BLANCO")))</f>
        <v/>
      </c>
      <c r="AU92" s="5" t="str">
        <f>IF(AND(LEN(AR92)=0, LEN(AS92)=0), "", IF(AND(LEN(AR92)&gt;0, LEN(AS92)=0), "BLANCO", IFERROR(VLOOKUP(AS92, BasedatosM9!A:B, 2, FALSE), "BLANCO")))</f>
        <v/>
      </c>
    </row>
    <row r="93" spans="1:47" ht="14.4">
      <c r="A93" s="21" t="s">
        <v>4742</v>
      </c>
      <c r="B93" s="86">
        <v>23902311</v>
      </c>
      <c r="C93" s="98">
        <v>45355</v>
      </c>
      <c r="D93" s="21" t="s">
        <v>4826</v>
      </c>
      <c r="E93" s="86">
        <v>0.33</v>
      </c>
      <c r="F93" s="99">
        <v>0.45833333333333331</v>
      </c>
      <c r="G93" s="99">
        <v>0.47222222222222227</v>
      </c>
      <c r="H93" s="21" t="s">
        <v>4553</v>
      </c>
      <c r="I93" s="21"/>
      <c r="J93" s="21" t="s">
        <v>4827</v>
      </c>
      <c r="K93" s="5" t="str">
        <f>IF(AND(LEN(H93)=0, LEN(I93)=0), "", IF(AND(LEN(H93)&gt;0, LEN(I93)=0), "BLANCO", IFERROR(VLOOKUP(I93, BasedatosM9!A:B, 2, FALSE), "BLANCO")))</f>
        <v>BLANCO</v>
      </c>
      <c r="M93" s="5" t="str">
        <f ca="1">IFERROR(__xludf.DUMMYFUNCTION("""COMPUTED_VALUE"""),"TURNO B")</f>
        <v>TURNO B</v>
      </c>
      <c r="N93" s="5">
        <f ca="1">IFERROR(__xludf.DUMMYFUNCTION("""COMPUTED_VALUE"""),23907180)</f>
        <v>23907180</v>
      </c>
      <c r="O93" s="14">
        <f ca="1">IFERROR(__xludf.DUMMYFUNCTION("""COMPUTED_VALUE"""),45357)</f>
        <v>45357</v>
      </c>
      <c r="P93" s="5" t="str">
        <f ca="1">IFERROR(__xludf.DUMMYFUNCTION("""COMPUTED_VALUE"""),"Baja velocidad por espuma")</f>
        <v>Baja velocidad por espuma</v>
      </c>
      <c r="Q93" s="5">
        <f ca="1">IFERROR(__xludf.DUMMYFUNCTION("""COMPUTED_VALUE"""),0.08)</f>
        <v>0.08</v>
      </c>
      <c r="R93" s="15">
        <f ca="1">IFERROR(__xludf.DUMMYFUNCTION("""COMPUTED_VALUE"""),0.75)</f>
        <v>0.75</v>
      </c>
      <c r="S93" s="15">
        <f ca="1">IFERROR(__xludf.DUMMYFUNCTION("""COMPUTED_VALUE"""),0.753472222222222)</f>
        <v>0.75347222222222199</v>
      </c>
      <c r="T93" s="5" t="str">
        <f ca="1">IFERROR(__xludf.DUMMYFUNCTION("""COMPUTED_VALUE"""),"LINE 1")</f>
        <v>LINE 1</v>
      </c>
      <c r="U93" s="5">
        <f ca="1">IFERROR(__xludf.DUMMYFUNCTION("""COMPUTED_VALUE"""),20019987)</f>
        <v>20019987</v>
      </c>
      <c r="V93" s="5" t="str">
        <f ca="1">IFERROR(__xludf.DUMMYFUNCTION("""COMPUTED_VALUE"""),"LLENADORA BOTELLAS PET")</f>
        <v>LLENADORA BOTELLAS PET</v>
      </c>
      <c r="W93" s="5" t="str">
        <f ca="1">IF(AND(LEN(T93)=0, LEN(U93)=0), "", IF(AND(LEN(T93)&gt;0, LEN(U93)=0), "BLANCO", IFERROR(VLOOKUP(U93, BasedatosM9!A:B, 2, FALSE), "BLANCO")))</f>
        <v>Aguado Lemos Luis Eyder</v>
      </c>
      <c r="AI93" s="5" t="str">
        <f>IF(AND(LEN(AF93)=0, LEN(AG93)=0), "", IF(AND(LEN(AF93)&gt;0, LEN(AG93)=0), "BLANCO", IFERROR(VLOOKUP(AG93, BasedatosM9!A:B, 2, FALSE), "BLANCO")))</f>
        <v/>
      </c>
      <c r="AU93" s="5" t="str">
        <f>IF(AND(LEN(AR93)=0, LEN(AS93)=0), "", IF(AND(LEN(AR93)&gt;0, LEN(AS93)=0), "BLANCO", IFERROR(VLOOKUP(AS93, BasedatosM9!A:B, 2, FALSE), "BLANCO")))</f>
        <v/>
      </c>
    </row>
    <row r="94" spans="1:47" ht="14.4">
      <c r="A94" s="21" t="s">
        <v>4742</v>
      </c>
      <c r="B94" s="86">
        <v>23902320</v>
      </c>
      <c r="C94" s="98">
        <v>45355</v>
      </c>
      <c r="D94" s="21" t="s">
        <v>4828</v>
      </c>
      <c r="E94" s="86">
        <v>0.56999999999999995</v>
      </c>
      <c r="F94" s="99">
        <v>0.29166666666666669</v>
      </c>
      <c r="G94" s="99">
        <v>0.31527777777777777</v>
      </c>
      <c r="H94" s="21" t="s">
        <v>4550</v>
      </c>
      <c r="I94" s="21"/>
      <c r="J94" s="21" t="s">
        <v>2797</v>
      </c>
      <c r="K94" s="5" t="str">
        <f>IF(AND(LEN(H94)=0, LEN(I94)=0), "", IF(AND(LEN(H94)&gt;0, LEN(I94)=0), "BLANCO", IFERROR(VLOOKUP(I94, BasedatosM9!A:B, 2, FALSE), "BLANCO")))</f>
        <v>BLANCO</v>
      </c>
      <c r="M94" s="5" t="str">
        <f ca="1">IFERROR(__xludf.DUMMYFUNCTION("""COMPUTED_VALUE"""),"TURNO B")</f>
        <v>TURNO B</v>
      </c>
      <c r="N94" s="5">
        <f ca="1">IFERROR(__xludf.DUMMYFUNCTION("""COMPUTED_VALUE"""),23907181)</f>
        <v>23907181</v>
      </c>
      <c r="O94" s="14">
        <f ca="1">IFERROR(__xludf.DUMMYFUNCTION("""COMPUTED_VALUE"""),45357)</f>
        <v>45357</v>
      </c>
      <c r="P94" s="5" t="str">
        <f ca="1">IFERROR(__xludf.DUMMYFUNCTION("""COMPUTED_VALUE"""),"Atascamiento botellas")</f>
        <v>Atascamiento botellas</v>
      </c>
      <c r="Q94" s="5">
        <f ca="1">IFERROR(__xludf.DUMMYFUNCTION("""COMPUTED_VALUE"""),0.12)</f>
        <v>0.12</v>
      </c>
      <c r="R94" s="15">
        <f ca="1">IFERROR(__xludf.DUMMYFUNCTION("""COMPUTED_VALUE"""),0.763888888888888)</f>
        <v>0.76388888888888795</v>
      </c>
      <c r="S94" s="15">
        <f ca="1">IFERROR(__xludf.DUMMYFUNCTION("""COMPUTED_VALUE"""),0.768749999999999)</f>
        <v>0.76874999999999905</v>
      </c>
      <c r="T94" s="5" t="str">
        <f ca="1">IFERROR(__xludf.DUMMYFUNCTION("""COMPUTED_VALUE"""),"LINE 1")</f>
        <v>LINE 1</v>
      </c>
      <c r="U94" s="5">
        <f ca="1">IFERROR(__xludf.DUMMYFUNCTION("""COMPUTED_VALUE"""),20075387)</f>
        <v>20075387</v>
      </c>
      <c r="V94" s="5" t="str">
        <f ca="1">IFERROR(__xludf.DUMMYFUNCTION("""COMPUTED_VALUE"""),"TRANSPORTADORES DE ENVASE VACIO")</f>
        <v>TRANSPORTADORES DE ENVASE VACIO</v>
      </c>
      <c r="W94" s="5" t="str">
        <f ca="1">IF(AND(LEN(T94)=0, LEN(U94)=0), "", IF(AND(LEN(T94)&gt;0, LEN(U94)=0), "BLANCO", IFERROR(VLOOKUP(U94, BasedatosM9!A:B, 2, FALSE), "BLANCO")))</f>
        <v>Cristian Suaza</v>
      </c>
      <c r="AI94" s="5" t="str">
        <f>IF(AND(LEN(AF94)=0, LEN(AG94)=0), "", IF(AND(LEN(AF94)&gt;0, LEN(AG94)=0), "BLANCO", IFERROR(VLOOKUP(AG94, BasedatosM9!A:B, 2, FALSE), "BLANCO")))</f>
        <v/>
      </c>
      <c r="AU94" s="5" t="str">
        <f>IF(AND(LEN(AR94)=0, LEN(AS94)=0), "", IF(AND(LEN(AR94)&gt;0, LEN(AS94)=0), "BLANCO", IFERROR(VLOOKUP(AS94, BasedatosM9!A:B, 2, FALSE), "BLANCO")))</f>
        <v/>
      </c>
    </row>
    <row r="95" spans="1:47" ht="14.4">
      <c r="A95" s="21" t="s">
        <v>4742</v>
      </c>
      <c r="B95" s="86">
        <v>23902321</v>
      </c>
      <c r="C95" s="98">
        <v>45355</v>
      </c>
      <c r="D95" s="21" t="s">
        <v>4821</v>
      </c>
      <c r="E95" s="86">
        <v>0.92</v>
      </c>
      <c r="F95" s="99">
        <v>0.33333333333333331</v>
      </c>
      <c r="G95" s="99">
        <v>0.37152777777777773</v>
      </c>
      <c r="H95" s="21" t="s">
        <v>4550</v>
      </c>
      <c r="I95" s="21"/>
      <c r="J95" s="21" t="s">
        <v>4753</v>
      </c>
      <c r="K95" s="5" t="str">
        <f>IF(AND(LEN(H95)=0, LEN(I95)=0), "", IF(AND(LEN(H95)&gt;0, LEN(I95)=0), "BLANCO", IFERROR(VLOOKUP(I95, BasedatosM9!A:B, 2, FALSE), "BLANCO")))</f>
        <v>BLANCO</v>
      </c>
      <c r="M95" s="5" t="str">
        <f ca="1">IFERROR(__xludf.DUMMYFUNCTION("""COMPUTED_VALUE"""),"TURNO B")</f>
        <v>TURNO B</v>
      </c>
      <c r="N95" s="5">
        <f ca="1">IFERROR(__xludf.DUMMYFUNCTION("""COMPUTED_VALUE"""),23907433)</f>
        <v>23907433</v>
      </c>
      <c r="O95" s="14">
        <f ca="1">IFERROR(__xludf.DUMMYFUNCTION("""COMPUTED_VALUE"""),45357)</f>
        <v>45357</v>
      </c>
      <c r="P95" s="5" t="str">
        <f ca="1">IFERROR(__xludf.DUMMYFUNCTION("""COMPUTED_VALUE"""),"Atascamiento botellas")</f>
        <v>Atascamiento botellas</v>
      </c>
      <c r="Q95" s="5">
        <f ca="1">IFERROR(__xludf.DUMMYFUNCTION("""COMPUTED_VALUE"""),0.15)</f>
        <v>0.15</v>
      </c>
      <c r="R95" s="15">
        <f ca="1">IFERROR(__xludf.DUMMYFUNCTION("""COMPUTED_VALUE"""),0.777777777777777)</f>
        <v>0.77777777777777701</v>
      </c>
      <c r="S95" s="15">
        <f ca="1">IFERROR(__xludf.DUMMYFUNCTION("""COMPUTED_VALUE"""),0.784027777777777)</f>
        <v>0.78402777777777699</v>
      </c>
      <c r="T95" s="5" t="str">
        <f ca="1">IFERROR(__xludf.DUMMYFUNCTION("""COMPUTED_VALUE"""),"LINE 1")</f>
        <v>LINE 1</v>
      </c>
      <c r="U95" s="5">
        <f ca="1">IFERROR(__xludf.DUMMYFUNCTION("""COMPUTED_VALUE"""),20009915)</f>
        <v>20009915</v>
      </c>
      <c r="V95" s="5" t="str">
        <f ca="1">IFERROR(__xludf.DUMMYFUNCTION("""COMPUTED_VALUE"""),"ENFARDADORA")</f>
        <v>ENFARDADORA</v>
      </c>
      <c r="W95" s="5" t="str">
        <f ca="1">IF(AND(LEN(T95)=0, LEN(U95)=0), "", IF(AND(LEN(T95)&gt;0, LEN(U95)=0), "BLANCO", IFERROR(VLOOKUP(U95, BasedatosM9!A:B, 2, FALSE), "BLANCO")))</f>
        <v>Lozano Delgado Fausto Andres</v>
      </c>
      <c r="AI95" s="5" t="str">
        <f>IF(AND(LEN(AF95)=0, LEN(AG95)=0), "", IF(AND(LEN(AF95)&gt;0, LEN(AG95)=0), "BLANCO", IFERROR(VLOOKUP(AG95, BasedatosM9!A:B, 2, FALSE), "BLANCO")))</f>
        <v/>
      </c>
      <c r="AU95" s="5" t="str">
        <f>IF(AND(LEN(AR95)=0, LEN(AS95)=0), "", IF(AND(LEN(AR95)&gt;0, LEN(AS95)=0), "BLANCO", IFERROR(VLOOKUP(AS95, BasedatosM9!A:B, 2, FALSE), "BLANCO")))</f>
        <v/>
      </c>
    </row>
    <row r="96" spans="1:47" ht="14.4">
      <c r="A96" s="21" t="s">
        <v>4742</v>
      </c>
      <c r="B96" s="86">
        <v>23902438</v>
      </c>
      <c r="C96" s="98">
        <v>45355</v>
      </c>
      <c r="D96" s="21" t="s">
        <v>4829</v>
      </c>
      <c r="E96" s="86">
        <v>0.1</v>
      </c>
      <c r="F96" s="99">
        <v>0.26041666666666669</v>
      </c>
      <c r="G96" s="99">
        <v>0.26458333333333334</v>
      </c>
      <c r="H96" s="21" t="s">
        <v>4764</v>
      </c>
      <c r="I96" s="86">
        <v>20009822</v>
      </c>
      <c r="J96" s="21" t="s">
        <v>2714</v>
      </c>
      <c r="K96" s="5" t="str">
        <f>IF(AND(LEN(H96)=0, LEN(I96)=0), "", IF(AND(LEN(H96)&gt;0, LEN(I96)=0), "BLANCO", IFERROR(VLOOKUP(I96, BasedatosM9!A:B, 2, FALSE), "BLANCO")))</f>
        <v>Guzman Palechor Miguel Angel</v>
      </c>
      <c r="M96" s="5" t="str">
        <f ca="1">IFERROR(__xludf.DUMMYFUNCTION("""COMPUTED_VALUE"""),"TURNO C")</f>
        <v>TURNO C</v>
      </c>
      <c r="N96" s="5">
        <f ca="1">IFERROR(__xludf.DUMMYFUNCTION("""COMPUTED_VALUE"""),23907765)</f>
        <v>23907765</v>
      </c>
      <c r="O96" s="14">
        <f ca="1">IFERROR(__xludf.DUMMYFUNCTION("""COMPUTED_VALUE"""),45357)</f>
        <v>45357</v>
      </c>
      <c r="P96" s="5" t="str">
        <f ca="1">IFERROR(__xludf.DUMMYFUNCTION("""COMPUTED_VALUE"""),"Bajo contenido botellas")</f>
        <v>Bajo contenido botellas</v>
      </c>
      <c r="Q96" s="5">
        <f ca="1">IFERROR(__xludf.DUMMYFUNCTION("""COMPUTED_VALUE"""),0.22)</f>
        <v>0.22</v>
      </c>
      <c r="R96" s="15">
        <f ca="1">IFERROR(__xludf.DUMMYFUNCTION("""COMPUTED_VALUE"""),0.965972222222222)</f>
        <v>0.96597222222222201</v>
      </c>
      <c r="S96" s="15">
        <f ca="1">IFERROR(__xludf.DUMMYFUNCTION("""COMPUTED_VALUE"""),0.975)</f>
        <v>0.97499999999999998</v>
      </c>
      <c r="T96" s="5" t="str">
        <f ca="1">IFERROR(__xludf.DUMMYFUNCTION("""COMPUTED_VALUE"""),"LINE 1")</f>
        <v>LINE 1</v>
      </c>
      <c r="U96" s="5">
        <f ca="1">IFERROR(__xludf.DUMMYFUNCTION("""COMPUTED_VALUE"""),20036419)</f>
        <v>20036419</v>
      </c>
      <c r="V96" s="5" t="str">
        <f ca="1">IFERROR(__xludf.DUMMYFUNCTION("""COMPUTED_VALUE"""),"LLENADORA BOTELLAS PET")</f>
        <v>LLENADORA BOTELLAS PET</v>
      </c>
      <c r="W96" s="5" t="str">
        <f ca="1">IF(AND(LEN(T96)=0, LEN(U96)=0), "", IF(AND(LEN(T96)&gt;0, LEN(U96)=0), "BLANCO", IFERROR(VLOOKUP(U96, BasedatosM9!A:B, 2, FALSE), "BLANCO")))</f>
        <v>Adalcides Campo</v>
      </c>
      <c r="AI96" s="5" t="str">
        <f>IF(AND(LEN(AF96)=0, LEN(AG96)=0), "", IF(AND(LEN(AF96)&gt;0, LEN(AG96)=0), "BLANCO", IFERROR(VLOOKUP(AG96, BasedatosM9!A:B, 2, FALSE), "BLANCO")))</f>
        <v/>
      </c>
      <c r="AU96" s="5" t="str">
        <f>IF(AND(LEN(AR96)=0, LEN(AS96)=0), "", IF(AND(LEN(AR96)&gt;0, LEN(AS96)=0), "BLANCO", IFERROR(VLOOKUP(AS96, BasedatosM9!A:B, 2, FALSE), "BLANCO")))</f>
        <v/>
      </c>
    </row>
    <row r="97" spans="1:47" ht="14.4">
      <c r="A97" s="21" t="s">
        <v>4742</v>
      </c>
      <c r="B97" s="86">
        <v>23902493</v>
      </c>
      <c r="C97" s="98">
        <v>45355</v>
      </c>
      <c r="D97" s="21" t="s">
        <v>4830</v>
      </c>
      <c r="E97" s="86">
        <v>0.23</v>
      </c>
      <c r="F97" s="99">
        <v>0.51111111111111118</v>
      </c>
      <c r="G97" s="99">
        <v>0.52083333333333337</v>
      </c>
      <c r="H97" s="21" t="s">
        <v>4550</v>
      </c>
      <c r="I97" s="21"/>
      <c r="J97" s="21" t="s">
        <v>4827</v>
      </c>
      <c r="K97" s="5" t="str">
        <f>IF(AND(LEN(H97)=0, LEN(I97)=0), "", IF(AND(LEN(H97)&gt;0, LEN(I97)=0), "BLANCO", IFERROR(VLOOKUP(I97, BasedatosM9!A:B, 2, FALSE), "BLANCO")))</f>
        <v>BLANCO</v>
      </c>
      <c r="M97" s="5" t="str">
        <f ca="1">IFERROR(__xludf.DUMMYFUNCTION("""COMPUTED_VALUE"""),"TURNO C")</f>
        <v>TURNO C</v>
      </c>
      <c r="N97" s="5">
        <f ca="1">IFERROR(__xludf.DUMMYFUNCTION("""COMPUTED_VALUE"""),23907766)</f>
        <v>23907766</v>
      </c>
      <c r="O97" s="14">
        <f ca="1">IFERROR(__xludf.DUMMYFUNCTION("""COMPUTED_VALUE"""),45357)</f>
        <v>45357</v>
      </c>
      <c r="P97" s="5" t="str">
        <f ca="1">IFERROR(__xludf.DUMMYFUNCTION("""COMPUTED_VALUE"""),"Ajuste de guias entrada/salida botella")</f>
        <v>Ajuste de guias entrada/salida botella</v>
      </c>
      <c r="Q97" s="5">
        <f ca="1">IFERROR(__xludf.DUMMYFUNCTION("""COMPUTED_VALUE"""),1.25)</f>
        <v>1.25</v>
      </c>
      <c r="R97" s="15">
        <f ca="1">IFERROR(__xludf.DUMMYFUNCTION("""COMPUTED_VALUE"""),0.934722222222222)</f>
        <v>0.93472222222222201</v>
      </c>
      <c r="S97" s="15">
        <f ca="1">IFERROR(__xludf.DUMMYFUNCTION("""COMPUTED_VALUE"""),0.986805555555555)</f>
        <v>0.98680555555555505</v>
      </c>
      <c r="T97" s="5" t="str">
        <f ca="1">IFERROR(__xludf.DUMMYFUNCTION("""COMPUTED_VALUE"""),"LINE 1")</f>
        <v>LINE 1</v>
      </c>
      <c r="U97" s="5">
        <f ca="1">IFERROR(__xludf.DUMMYFUNCTION("""COMPUTED_VALUE"""),20009721)</f>
        <v>20009721</v>
      </c>
      <c r="V97" s="5" t="str">
        <f ca="1">IFERROR(__xludf.DUMMYFUNCTION("""COMPUTED_VALUE"""),"ETIQUETADORA ENVOLVENTE")</f>
        <v>ETIQUETADORA ENVOLVENTE</v>
      </c>
      <c r="W97" s="5" t="str">
        <f ca="1">IF(AND(LEN(T97)=0, LEN(U97)=0), "", IF(AND(LEN(T97)&gt;0, LEN(U97)=0), "BLANCO", IFERROR(VLOOKUP(U97, BasedatosM9!A:B, 2, FALSE), "BLANCO")))</f>
        <v>Alejandro Davila</v>
      </c>
      <c r="AI97" s="5" t="str">
        <f>IF(AND(LEN(AF97)=0, LEN(AG97)=0), "", IF(AND(LEN(AF97)&gt;0, LEN(AG97)=0), "BLANCO", IFERROR(VLOOKUP(AG97, BasedatosM9!A:B, 2, FALSE), "BLANCO")))</f>
        <v/>
      </c>
      <c r="AU97" s="5" t="str">
        <f>IF(AND(LEN(AR97)=0, LEN(AS97)=0), "", IF(AND(LEN(AR97)&gt;0, LEN(AS97)=0), "BLANCO", IFERROR(VLOOKUP(AS97, BasedatosM9!A:B, 2, FALSE), "BLANCO")))</f>
        <v/>
      </c>
    </row>
    <row r="98" spans="1:47" ht="14.4">
      <c r="A98" s="21" t="s">
        <v>4742</v>
      </c>
      <c r="B98" s="86">
        <v>23902495</v>
      </c>
      <c r="C98" s="98">
        <v>45355</v>
      </c>
      <c r="D98" s="21" t="s">
        <v>4761</v>
      </c>
      <c r="E98" s="86">
        <v>0.28000000000000003</v>
      </c>
      <c r="F98" s="99">
        <v>0.52083333333333337</v>
      </c>
      <c r="G98" s="99">
        <v>0.53263888888888888</v>
      </c>
      <c r="H98" s="21" t="s">
        <v>4550</v>
      </c>
      <c r="I98" s="21"/>
      <c r="J98" s="21" t="s">
        <v>79</v>
      </c>
      <c r="K98" s="5" t="str">
        <f>IF(AND(LEN(H98)=0, LEN(I98)=0), "", IF(AND(LEN(H98)&gt;0, LEN(I98)=0), "BLANCO", IFERROR(VLOOKUP(I98, BasedatosM9!A:B, 2, FALSE), "BLANCO")))</f>
        <v>BLANCO</v>
      </c>
      <c r="M98" s="5" t="str">
        <f ca="1">IFERROR(__xludf.DUMMYFUNCTION("""COMPUTED_VALUE"""),"TURNO C")</f>
        <v>TURNO C</v>
      </c>
      <c r="N98" s="5">
        <f ca="1">IFERROR(__xludf.DUMMYFUNCTION("""COMPUTED_VALUE"""),23907770)</f>
        <v>23907770</v>
      </c>
      <c r="O98" s="14">
        <f ca="1">IFERROR(__xludf.DUMMYFUNCTION("""COMPUTED_VALUE"""),45357)</f>
        <v>45357</v>
      </c>
      <c r="P98" s="5" t="str">
        <f ca="1">IFERROR(__xludf.DUMMYFUNCTION("""COMPUTED_VALUE"""),"Ajuste de guias entrada/salida botella")</f>
        <v>Ajuste de guias entrada/salida botella</v>
      </c>
      <c r="Q98" s="5">
        <f ca="1">IFERROR(__xludf.DUMMYFUNCTION("""COMPUTED_VALUE"""),0.08)</f>
        <v>0.08</v>
      </c>
      <c r="R98" s="15">
        <f ca="1">IFERROR(__xludf.DUMMYFUNCTION("""COMPUTED_VALUE"""),0.0666666666666666)</f>
        <v>6.6666666666666596E-2</v>
      </c>
      <c r="S98" s="15">
        <f ca="1">IFERROR(__xludf.DUMMYFUNCTION("""COMPUTED_VALUE"""),0.0701388888888888)</f>
        <v>7.0138888888888806E-2</v>
      </c>
      <c r="T98" s="5" t="str">
        <f ca="1">IFERROR(__xludf.DUMMYFUNCTION("""COMPUTED_VALUE"""),"LINE 1")</f>
        <v>LINE 1</v>
      </c>
      <c r="U98" s="5">
        <f ca="1">IFERROR(__xludf.DUMMYFUNCTION("""COMPUTED_VALUE"""),20009721)</f>
        <v>20009721</v>
      </c>
      <c r="V98" s="5" t="str">
        <f ca="1">IFERROR(__xludf.DUMMYFUNCTION("""COMPUTED_VALUE"""),"ETIQUETADORA ENVOLVENTE")</f>
        <v>ETIQUETADORA ENVOLVENTE</v>
      </c>
      <c r="W98" s="5" t="str">
        <f ca="1">IF(AND(LEN(T98)=0, LEN(U98)=0), "", IF(AND(LEN(T98)&gt;0, LEN(U98)=0), "BLANCO", IFERROR(VLOOKUP(U98, BasedatosM9!A:B, 2, FALSE), "BLANCO")))</f>
        <v>Alejandro Davila</v>
      </c>
      <c r="AI98" s="5" t="str">
        <f>IF(AND(LEN(AF98)=0, LEN(AG98)=0), "", IF(AND(LEN(AF98)&gt;0, LEN(AG98)=0), "BLANCO", IFERROR(VLOOKUP(AG98, BasedatosM9!A:B, 2, FALSE), "BLANCO")))</f>
        <v/>
      </c>
      <c r="AU98" s="5" t="str">
        <f>IF(AND(LEN(AR98)=0, LEN(AS98)=0), "", IF(AND(LEN(AR98)&gt;0, LEN(AS98)=0), "BLANCO", IFERROR(VLOOKUP(AS98, BasedatosM9!A:B, 2, FALSE), "BLANCO")))</f>
        <v/>
      </c>
    </row>
    <row r="99" spans="1:47" ht="14.4">
      <c r="A99" s="21" t="s">
        <v>4742</v>
      </c>
      <c r="B99" s="86">
        <v>23902496</v>
      </c>
      <c r="C99" s="98">
        <v>45355</v>
      </c>
      <c r="D99" s="21" t="s">
        <v>4821</v>
      </c>
      <c r="E99" s="86">
        <v>0.12</v>
      </c>
      <c r="F99" s="99">
        <v>0.54166666666666663</v>
      </c>
      <c r="G99" s="99">
        <v>0.54652777777777783</v>
      </c>
      <c r="H99" s="21" t="s">
        <v>4550</v>
      </c>
      <c r="I99" s="21"/>
      <c r="J99" s="21" t="s">
        <v>4753</v>
      </c>
      <c r="K99" s="5" t="str">
        <f>IF(AND(LEN(H99)=0, LEN(I99)=0), "", IF(AND(LEN(H99)&gt;0, LEN(I99)=0), "BLANCO", IFERROR(VLOOKUP(I99, BasedatosM9!A:B, 2, FALSE), "BLANCO")))</f>
        <v>BLANCO</v>
      </c>
      <c r="M99" s="5" t="str">
        <f ca="1">IFERROR(__xludf.DUMMYFUNCTION("""COMPUTED_VALUE"""),"TURNO C")</f>
        <v>TURNO C</v>
      </c>
      <c r="N99" s="5">
        <f ca="1">IFERROR(__xludf.DUMMYFUNCTION("""COMPUTED_VALUE"""),23907898)</f>
        <v>23907898</v>
      </c>
      <c r="O99" s="14">
        <f ca="1">IFERROR(__xludf.DUMMYFUNCTION("""COMPUTED_VALUE"""),45357)</f>
        <v>45357</v>
      </c>
      <c r="P99" s="5" t="str">
        <f ca="1">IFERROR(__xludf.DUMMYFUNCTION("""COMPUTED_VALUE"""),"Atascamiento botella turbina 4")</f>
        <v>Atascamiento botella turbina 4</v>
      </c>
      <c r="Q99" s="5">
        <f ca="1">IFERROR(__xludf.DUMMYFUNCTION("""COMPUTED_VALUE"""),0.15)</f>
        <v>0.15</v>
      </c>
      <c r="R99" s="15">
        <f ca="1">IFERROR(__xludf.DUMMYFUNCTION("""COMPUTED_VALUE"""),0.0902777777777777)</f>
        <v>9.0277777777777707E-2</v>
      </c>
      <c r="S99" s="15">
        <f ca="1">IFERROR(__xludf.DUMMYFUNCTION("""COMPUTED_VALUE"""),0.0965277777777777)</f>
        <v>9.6527777777777699E-2</v>
      </c>
      <c r="T99" s="5" t="str">
        <f ca="1">IFERROR(__xludf.DUMMYFUNCTION("""COMPUTED_VALUE"""),"LINE 1")</f>
        <v>LINE 1</v>
      </c>
      <c r="U99" s="5">
        <f ca="1">IFERROR(__xludf.DUMMYFUNCTION("""COMPUTED_VALUE"""),20009721)</f>
        <v>20009721</v>
      </c>
      <c r="V99" s="5" t="str">
        <f ca="1">IFERROR(__xludf.DUMMYFUNCTION("""COMPUTED_VALUE"""),"TRANSPORTADORES DE ENVASE VACIO")</f>
        <v>TRANSPORTADORES DE ENVASE VACIO</v>
      </c>
      <c r="W99" s="5" t="str">
        <f ca="1">IF(AND(LEN(T99)=0, LEN(U99)=0), "", IF(AND(LEN(T99)&gt;0, LEN(U99)=0), "BLANCO", IFERROR(VLOOKUP(U99, BasedatosM9!A:B, 2, FALSE), "BLANCO")))</f>
        <v>Alejandro Davila</v>
      </c>
      <c r="AI99" s="5" t="str">
        <f>IF(AND(LEN(AF99)=0, LEN(AG99)=0), "", IF(AND(LEN(AF99)&gt;0, LEN(AG99)=0), "BLANCO", IFERROR(VLOOKUP(AG99, BasedatosM9!A:B, 2, FALSE), "BLANCO")))</f>
        <v/>
      </c>
      <c r="AU99" s="5" t="str">
        <f>IF(AND(LEN(AR99)=0, LEN(AS99)=0), "", IF(AND(LEN(AR99)&gt;0, LEN(AS99)=0), "BLANCO", IFERROR(VLOOKUP(AS99, BasedatosM9!A:B, 2, FALSE), "BLANCO")))</f>
        <v/>
      </c>
    </row>
    <row r="100" spans="1:47" ht="14.4">
      <c r="A100" s="21" t="s">
        <v>4742</v>
      </c>
      <c r="B100" s="86">
        <v>23902502</v>
      </c>
      <c r="C100" s="98">
        <v>45355</v>
      </c>
      <c r="D100" s="21" t="s">
        <v>4831</v>
      </c>
      <c r="E100" s="86">
        <v>0.1</v>
      </c>
      <c r="F100" s="99">
        <v>0.55486111111111114</v>
      </c>
      <c r="G100" s="99">
        <v>0.55902777777777779</v>
      </c>
      <c r="H100" s="21" t="s">
        <v>4553</v>
      </c>
      <c r="I100" s="86">
        <v>20031102</v>
      </c>
      <c r="J100" s="21" t="s">
        <v>4832</v>
      </c>
      <c r="K100" s="5" t="str">
        <f>IF(AND(LEN(H100)=0, LEN(I100)=0), "", IF(AND(LEN(H100)&gt;0, LEN(I100)=0), "BLANCO", IFERROR(VLOOKUP(I100, BasedatosM9!A:B, 2, FALSE), "BLANCO")))</f>
        <v>Paz Paz Jhon Estiven</v>
      </c>
      <c r="M100" s="5" t="str">
        <f ca="1">IFERROR(__xludf.DUMMYFUNCTION("""COMPUTED_VALUE"""),"TURNO C")</f>
        <v>TURNO C</v>
      </c>
      <c r="N100" s="5">
        <f ca="1">IFERROR(__xludf.DUMMYFUNCTION("""COMPUTED_VALUE"""),23907899)</f>
        <v>23907899</v>
      </c>
      <c r="O100" s="14">
        <f ca="1">IFERROR(__xludf.DUMMYFUNCTION("""COMPUTED_VALUE"""),45357)</f>
        <v>45357</v>
      </c>
      <c r="P100" s="5" t="str">
        <f ca="1">IFERROR(__xludf.DUMMYFUNCTION("""COMPUTED_VALUE"""),"Exceso velocidad Flowliner")</f>
        <v>Exceso velocidad Flowliner</v>
      </c>
      <c r="Q100" s="5">
        <f ca="1">IFERROR(__xludf.DUMMYFUNCTION("""COMPUTED_VALUE"""),0.1)</f>
        <v>0.1</v>
      </c>
      <c r="R100" s="15">
        <f ca="1">IFERROR(__xludf.DUMMYFUNCTION("""COMPUTED_VALUE"""),0.108333333333333)</f>
        <v>0.108333333333333</v>
      </c>
      <c r="S100" s="15">
        <f ca="1">IFERROR(__xludf.DUMMYFUNCTION("""COMPUTED_VALUE"""),0.1125)</f>
        <v>0.1125</v>
      </c>
      <c r="T100" s="5" t="str">
        <f ca="1">IFERROR(__xludf.DUMMYFUNCTION("""COMPUTED_VALUE"""),"LINE 1")</f>
        <v>LINE 1</v>
      </c>
      <c r="U100" s="5">
        <f ca="1">IFERROR(__xludf.DUMMYFUNCTION("""COMPUTED_VALUE"""),20036419)</f>
        <v>20036419</v>
      </c>
      <c r="V100" s="5" t="str">
        <f ca="1">IFERROR(__xludf.DUMMYFUNCTION("""COMPUTED_VALUE"""),"TRANSPORTADORES DE BEBIDA")</f>
        <v>TRANSPORTADORES DE BEBIDA</v>
      </c>
      <c r="W100" s="5" t="str">
        <f ca="1">IF(AND(LEN(T100)=0, LEN(U100)=0), "", IF(AND(LEN(T100)&gt;0, LEN(U100)=0), "BLANCO", IFERROR(VLOOKUP(U100, BasedatosM9!A:B, 2, FALSE), "BLANCO")))</f>
        <v>Adalcides Campo</v>
      </c>
      <c r="AI100" s="5" t="str">
        <f>IF(AND(LEN(AF100)=0, LEN(AG100)=0), "", IF(AND(LEN(AF100)&gt;0, LEN(AG100)=0), "BLANCO", IFERROR(VLOOKUP(AG100, BasedatosM9!A:B, 2, FALSE), "BLANCO")))</f>
        <v/>
      </c>
      <c r="AU100" s="5" t="str">
        <f>IF(AND(LEN(AR100)=0, LEN(AS100)=0), "", IF(AND(LEN(AR100)&gt;0, LEN(AS100)=0), "BLANCO", IFERROR(VLOOKUP(AS100, BasedatosM9!A:B, 2, FALSE), "BLANCO")))</f>
        <v/>
      </c>
    </row>
    <row r="101" spans="1:47" ht="14.4">
      <c r="A101" s="21" t="s">
        <v>4757</v>
      </c>
      <c r="B101" s="86">
        <v>23902575</v>
      </c>
      <c r="C101" s="98">
        <v>45355</v>
      </c>
      <c r="D101" s="21" t="s">
        <v>4833</v>
      </c>
      <c r="E101" s="86">
        <v>0.27</v>
      </c>
      <c r="F101" s="99">
        <v>0.6</v>
      </c>
      <c r="G101" s="99">
        <v>0.61111111111111105</v>
      </c>
      <c r="H101" s="21" t="s">
        <v>4549</v>
      </c>
      <c r="I101" s="86">
        <v>20009758</v>
      </c>
      <c r="J101" s="21" t="s">
        <v>4834</v>
      </c>
      <c r="K101" s="5" t="str">
        <f>IF(AND(LEN(H101)=0, LEN(I101)=0), "", IF(AND(LEN(H101)&gt;0, LEN(I101)=0), "BLANCO", IFERROR(VLOOKUP(I101, BasedatosM9!A:B, 2, FALSE), "BLANCO")))</f>
        <v>Franco Castillo Brayan Steven</v>
      </c>
      <c r="M101" s="5" t="str">
        <f ca="1">IFERROR(__xludf.DUMMYFUNCTION("""COMPUTED_VALUE"""),"TURNO C")</f>
        <v>TURNO C</v>
      </c>
      <c r="N101" s="5">
        <f ca="1">IFERROR(__xludf.DUMMYFUNCTION("""COMPUTED_VALUE"""),23907901)</f>
        <v>23907901</v>
      </c>
      <c r="O101" s="14">
        <f ca="1">IFERROR(__xludf.DUMMYFUNCTION("""COMPUTED_VALUE"""),45357)</f>
        <v>45357</v>
      </c>
      <c r="P101" s="5" t="str">
        <f ca="1">IFERROR(__xludf.DUMMYFUNCTION("""COMPUTED_VALUE"""),"Ajuste de guias entrada/salida botella")</f>
        <v>Ajuste de guias entrada/salida botella</v>
      </c>
      <c r="Q101" s="5">
        <f ca="1">IFERROR(__xludf.DUMMYFUNCTION("""COMPUTED_VALUE"""),0.85)</f>
        <v>0.85</v>
      </c>
      <c r="R101" s="15">
        <f ca="1">IFERROR(__xludf.DUMMYFUNCTION("""COMPUTED_VALUE"""),0.149305555555555)</f>
        <v>0.149305555555555</v>
      </c>
      <c r="S101" s="15">
        <f ca="1">IFERROR(__xludf.DUMMYFUNCTION("""COMPUTED_VALUE"""),0.184722222222222)</f>
        <v>0.18472222222222201</v>
      </c>
      <c r="T101" s="5" t="str">
        <f ca="1">IFERROR(__xludf.DUMMYFUNCTION("""COMPUTED_VALUE"""),"LINE 1")</f>
        <v>LINE 1</v>
      </c>
      <c r="U101" s="5">
        <f ca="1">IFERROR(__xludf.DUMMYFUNCTION("""COMPUTED_VALUE"""),20009721)</f>
        <v>20009721</v>
      </c>
      <c r="V101" s="5" t="str">
        <f ca="1">IFERROR(__xludf.DUMMYFUNCTION("""COMPUTED_VALUE"""),"ETIQUETADORA ENVOLVENTE")</f>
        <v>ETIQUETADORA ENVOLVENTE</v>
      </c>
      <c r="W101" s="5" t="str">
        <f ca="1">IF(AND(LEN(T101)=0, LEN(U101)=0), "", IF(AND(LEN(T101)&gt;0, LEN(U101)=0), "BLANCO", IFERROR(VLOOKUP(U101, BasedatosM9!A:B, 2, FALSE), "BLANCO")))</f>
        <v>Alejandro Davila</v>
      </c>
      <c r="AI101" s="5" t="str">
        <f>IF(AND(LEN(AF101)=0, LEN(AG101)=0), "", IF(AND(LEN(AF101)&gt;0, LEN(AG101)=0), "BLANCO", IFERROR(VLOOKUP(AG101, BasedatosM9!A:B, 2, FALSE), "BLANCO")))</f>
        <v/>
      </c>
      <c r="AU101" s="5" t="str">
        <f>IF(AND(LEN(AR101)=0, LEN(AS101)=0), "", IF(AND(LEN(AR101)&gt;0, LEN(AS101)=0), "BLANCO", IFERROR(VLOOKUP(AS101, BasedatosM9!A:B, 2, FALSE), "BLANCO")))</f>
        <v/>
      </c>
    </row>
    <row r="102" spans="1:47" ht="14.4">
      <c r="A102" s="21" t="s">
        <v>4757</v>
      </c>
      <c r="B102" s="86">
        <v>23902578</v>
      </c>
      <c r="C102" s="98">
        <v>45355</v>
      </c>
      <c r="D102" s="21" t="s">
        <v>4771</v>
      </c>
      <c r="E102" s="86">
        <v>0.08</v>
      </c>
      <c r="F102" s="99">
        <v>0.64583333333333337</v>
      </c>
      <c r="G102" s="99">
        <v>0.64930555555555558</v>
      </c>
      <c r="H102" s="21" t="s">
        <v>4549</v>
      </c>
      <c r="I102" s="86">
        <v>20009942</v>
      </c>
      <c r="J102" s="21" t="s">
        <v>1471</v>
      </c>
      <c r="K102" s="5" t="str">
        <f>IF(AND(LEN(H102)=0, LEN(I102)=0), "", IF(AND(LEN(H102)&gt;0, LEN(I102)=0), "BLANCO", IFERROR(VLOOKUP(I102, BasedatosM9!A:B, 2, FALSE), "BLANCO")))</f>
        <v>Osver Martinez</v>
      </c>
      <c r="M102" s="5" t="str">
        <f ca="1">IFERROR(__xludf.DUMMYFUNCTION("""COMPUTED_VALUE"""),"TURNO C")</f>
        <v>TURNO C</v>
      </c>
      <c r="N102" s="5">
        <f ca="1">IFERROR(__xludf.DUMMYFUNCTION("""COMPUTED_VALUE"""),23907909)</f>
        <v>23907909</v>
      </c>
      <c r="O102" s="14">
        <f ca="1">IFERROR(__xludf.DUMMYFUNCTION("""COMPUTED_VALUE"""),45357)</f>
        <v>45357</v>
      </c>
      <c r="P102" s="5" t="str">
        <f ca="1">IFERROR(__xludf.DUMMYFUNCTION("""COMPUTED_VALUE"""),"Atascamiento botellas")</f>
        <v>Atascamiento botellas</v>
      </c>
      <c r="Q102" s="5">
        <f ca="1">IFERROR(__xludf.DUMMYFUNCTION("""COMPUTED_VALUE"""),0.08)</f>
        <v>0.08</v>
      </c>
      <c r="R102" s="15">
        <f ca="1">IFERROR(__xludf.DUMMYFUNCTION("""COMPUTED_VALUE"""),0.211805555555555)</f>
        <v>0.211805555555555</v>
      </c>
      <c r="S102" s="15">
        <f ca="1">IFERROR(__xludf.DUMMYFUNCTION("""COMPUTED_VALUE"""),0.215277777777777)</f>
        <v>0.21527777777777701</v>
      </c>
      <c r="T102" s="5" t="str">
        <f ca="1">IFERROR(__xludf.DUMMYFUNCTION("""COMPUTED_VALUE"""),"LINE 1")</f>
        <v>LINE 1</v>
      </c>
      <c r="U102" s="5">
        <f ca="1">IFERROR(__xludf.DUMMYFUNCTION("""COMPUTED_VALUE"""),20009721)</f>
        <v>20009721</v>
      </c>
      <c r="V102" s="5" t="str">
        <f ca="1">IFERROR(__xludf.DUMMYFUNCTION("""COMPUTED_VALUE"""),"TRANSPORTADORES DE ENVASE VACIO")</f>
        <v>TRANSPORTADORES DE ENVASE VACIO</v>
      </c>
      <c r="W102" s="5" t="str">
        <f ca="1">IF(AND(LEN(T102)=0, LEN(U102)=0), "", IF(AND(LEN(T102)&gt;0, LEN(U102)=0), "BLANCO", IFERROR(VLOOKUP(U102, BasedatosM9!A:B, 2, FALSE), "BLANCO")))</f>
        <v>Alejandro Davila</v>
      </c>
      <c r="AI102" s="5" t="str">
        <f>IF(AND(LEN(AF102)=0, LEN(AG102)=0), "", IF(AND(LEN(AF102)&gt;0, LEN(AG102)=0), "BLANCO", IFERROR(VLOOKUP(AG102, BasedatosM9!A:B, 2, FALSE), "BLANCO")))</f>
        <v/>
      </c>
      <c r="AU102" s="5" t="str">
        <f>IF(AND(LEN(AR102)=0, LEN(AS102)=0), "", IF(AND(LEN(AR102)&gt;0, LEN(AS102)=0), "BLANCO", IFERROR(VLOOKUP(AS102, BasedatosM9!A:B, 2, FALSE), "BLANCO")))</f>
        <v/>
      </c>
    </row>
    <row r="103" spans="1:47" ht="14.4">
      <c r="A103" s="21" t="s">
        <v>4742</v>
      </c>
      <c r="B103" s="86">
        <v>23902652</v>
      </c>
      <c r="C103" s="98">
        <v>45355</v>
      </c>
      <c r="D103" s="21" t="s">
        <v>4835</v>
      </c>
      <c r="E103" s="86">
        <v>0.05</v>
      </c>
      <c r="F103" s="99">
        <v>0.38541666666666669</v>
      </c>
      <c r="G103" s="99">
        <v>0.38750000000000001</v>
      </c>
      <c r="H103" s="21" t="s">
        <v>4549</v>
      </c>
      <c r="I103" s="21"/>
      <c r="J103" s="21" t="s">
        <v>4787</v>
      </c>
      <c r="K103" s="5" t="str">
        <f>IF(AND(LEN(H103)=0, LEN(I103)=0), "", IF(AND(LEN(H103)&gt;0, LEN(I103)=0), "BLANCO", IFERROR(VLOOKUP(I103, BasedatosM9!A:B, 2, FALSE), "BLANCO")))</f>
        <v>BLANCO</v>
      </c>
      <c r="M103" s="5" t="str">
        <f ca="1">IFERROR(__xludf.DUMMYFUNCTION("""COMPUTED_VALUE"""),"TURNO C")</f>
        <v>TURNO C</v>
      </c>
      <c r="N103" s="5">
        <f ca="1">IFERROR(__xludf.DUMMYFUNCTION("""COMPUTED_VALUE"""),23907910)</f>
        <v>23907910</v>
      </c>
      <c r="O103" s="14">
        <f ca="1">IFERROR(__xludf.DUMMYFUNCTION("""COMPUTED_VALUE"""),45357)</f>
        <v>45357</v>
      </c>
      <c r="P103" s="5" t="str">
        <f ca="1">IFERROR(__xludf.DUMMYFUNCTION("""COMPUTED_VALUE"""),"Ajuste de guias entrada/salida botella")</f>
        <v>Ajuste de guias entrada/salida botella</v>
      </c>
      <c r="Q103" s="5">
        <f ca="1">IFERROR(__xludf.DUMMYFUNCTION("""COMPUTED_VALUE"""),0.08)</f>
        <v>0.08</v>
      </c>
      <c r="R103" s="15">
        <f ca="1">IFERROR(__xludf.DUMMYFUNCTION("""COMPUTED_VALUE"""),0.21875)</f>
        <v>0.21875</v>
      </c>
      <c r="S103" s="15">
        <f ca="1">IFERROR(__xludf.DUMMYFUNCTION("""COMPUTED_VALUE"""),0.222222222222222)</f>
        <v>0.22222222222222199</v>
      </c>
      <c r="T103" s="5" t="str">
        <f ca="1">IFERROR(__xludf.DUMMYFUNCTION("""COMPUTED_VALUE"""),"LINE 1")</f>
        <v>LINE 1</v>
      </c>
      <c r="U103" s="5">
        <f ca="1">IFERROR(__xludf.DUMMYFUNCTION("""COMPUTED_VALUE"""),20009721)</f>
        <v>20009721</v>
      </c>
      <c r="V103" s="5" t="str">
        <f ca="1">IFERROR(__xludf.DUMMYFUNCTION("""COMPUTED_VALUE"""),"ETIQUETADORA ENVOLVENTE")</f>
        <v>ETIQUETADORA ENVOLVENTE</v>
      </c>
      <c r="W103" s="5" t="str">
        <f ca="1">IF(AND(LEN(T103)=0, LEN(U103)=0), "", IF(AND(LEN(T103)&gt;0, LEN(U103)=0), "BLANCO", IFERROR(VLOOKUP(U103, BasedatosM9!A:B, 2, FALSE), "BLANCO")))</f>
        <v>Alejandro Davila</v>
      </c>
      <c r="AI103" s="5" t="str">
        <f>IF(AND(LEN(AF103)=0, LEN(AG103)=0), "", IF(AND(LEN(AF103)&gt;0, LEN(AG103)=0), "BLANCO", IFERROR(VLOOKUP(AG103, BasedatosM9!A:B, 2, FALSE), "BLANCO")))</f>
        <v/>
      </c>
      <c r="AU103" s="5" t="str">
        <f>IF(AND(LEN(AR103)=0, LEN(AS103)=0), "", IF(AND(LEN(AR103)&gt;0, LEN(AS103)=0), "BLANCO", IFERROR(VLOOKUP(AS103, BasedatosM9!A:B, 2, FALSE), "BLANCO")))</f>
        <v/>
      </c>
    </row>
    <row r="104" spans="1:47" ht="14.4">
      <c r="A104" s="21" t="s">
        <v>4757</v>
      </c>
      <c r="B104" s="86">
        <v>23902706</v>
      </c>
      <c r="C104" s="98">
        <v>45355</v>
      </c>
      <c r="D104" s="21" t="s">
        <v>4836</v>
      </c>
      <c r="E104" s="86">
        <v>0.2</v>
      </c>
      <c r="F104" s="99">
        <v>0.6875</v>
      </c>
      <c r="G104" s="99">
        <v>0.6958333333333333</v>
      </c>
      <c r="H104" s="21" t="s">
        <v>4549</v>
      </c>
      <c r="I104" s="86">
        <v>20009758</v>
      </c>
      <c r="J104" s="21" t="s">
        <v>4787</v>
      </c>
      <c r="K104" s="5" t="str">
        <f>IF(AND(LEN(H104)=0, LEN(I104)=0), "", IF(AND(LEN(H104)&gt;0, LEN(I104)=0), "BLANCO", IFERROR(VLOOKUP(I104, BasedatosM9!A:B, 2, FALSE), "BLANCO")))</f>
        <v>Franco Castillo Brayan Steven</v>
      </c>
      <c r="M104" s="5" t="str">
        <f ca="1">IFERROR(__xludf.DUMMYFUNCTION("""COMPUTED_VALUE"""),"TURNO A")</f>
        <v>TURNO A</v>
      </c>
      <c r="N104" s="5">
        <f ca="1">IFERROR(__xludf.DUMMYFUNCTION("""COMPUTED_VALUE"""),23908606)</f>
        <v>23908606</v>
      </c>
      <c r="O104" s="14">
        <f ca="1">IFERROR(__xludf.DUMMYFUNCTION("""COMPUTED_VALUE"""),45358)</f>
        <v>45358</v>
      </c>
      <c r="P104" s="5" t="str">
        <f ca="1">IFERROR(__xludf.DUMMYFUNCTION("""COMPUTED_VALUE"""),"Ajuste de guias entrada/salida botella")</f>
        <v>Ajuste de guias entrada/salida botella</v>
      </c>
      <c r="Q104" s="5">
        <f ca="1">IFERROR(__xludf.DUMMYFUNCTION("""COMPUTED_VALUE"""),1.13)</f>
        <v>1.1299999999999999</v>
      </c>
      <c r="R104" s="15">
        <f ca="1">IFERROR(__xludf.DUMMYFUNCTION("""COMPUTED_VALUE"""),0.232638888888888)</f>
        <v>0.23263888888888801</v>
      </c>
      <c r="S104" s="15">
        <f ca="1">IFERROR(__xludf.DUMMYFUNCTION("""COMPUTED_VALUE"""),0.279861111111111)</f>
        <v>0.27986111111111101</v>
      </c>
      <c r="T104" s="5" t="str">
        <f ca="1">IFERROR(__xludf.DUMMYFUNCTION("""COMPUTED_VALUE"""),"LINE 1")</f>
        <v>LINE 1</v>
      </c>
      <c r="U104" s="5">
        <f ca="1">IFERROR(__xludf.DUMMYFUNCTION("""COMPUTED_VALUE"""),20020754)</f>
        <v>20020754</v>
      </c>
      <c r="V104" s="5" t="str">
        <f ca="1">IFERROR(__xludf.DUMMYFUNCTION("""COMPUTED_VALUE"""),"ETIQUETADORA ENVOLVENTE")</f>
        <v>ETIQUETADORA ENVOLVENTE</v>
      </c>
      <c r="W104" s="5" t="str">
        <f ca="1">IF(AND(LEN(T104)=0, LEN(U104)=0), "", IF(AND(LEN(T104)&gt;0, LEN(U104)=0), "BLANCO", IFERROR(VLOOKUP(U104, BasedatosM9!A:B, 2, FALSE), "BLANCO")))</f>
        <v>Sanchez Rodriguez Gerson Andres</v>
      </c>
      <c r="AI104" s="5" t="str">
        <f>IF(AND(LEN(AF104)=0, LEN(AG104)=0), "", IF(AND(LEN(AF104)&gt;0, LEN(AG104)=0), "BLANCO", IFERROR(VLOOKUP(AG104, BasedatosM9!A:B, 2, FALSE), "BLANCO")))</f>
        <v/>
      </c>
      <c r="AU104" s="5" t="str">
        <f>IF(AND(LEN(AR104)=0, LEN(AS104)=0), "", IF(AND(LEN(AR104)&gt;0, LEN(AS104)=0), "BLANCO", IFERROR(VLOOKUP(AS104, BasedatosM9!A:B, 2, FALSE), "BLANCO")))</f>
        <v/>
      </c>
    </row>
    <row r="105" spans="1:47" ht="14.4">
      <c r="A105" s="21" t="s">
        <v>4757</v>
      </c>
      <c r="B105" s="86">
        <v>23902821</v>
      </c>
      <c r="C105" s="98">
        <v>45355</v>
      </c>
      <c r="D105" s="21" t="s">
        <v>4837</v>
      </c>
      <c r="E105" s="86">
        <v>0.17</v>
      </c>
      <c r="F105" s="99">
        <v>0.65625</v>
      </c>
      <c r="G105" s="99">
        <v>0.66319444444444442</v>
      </c>
      <c r="H105" s="21" t="s">
        <v>4551</v>
      </c>
      <c r="I105" s="86">
        <v>20019987</v>
      </c>
      <c r="J105" s="21" t="s">
        <v>4773</v>
      </c>
      <c r="K105" s="5" t="str">
        <f>IF(AND(LEN(H105)=0, LEN(I105)=0), "", IF(AND(LEN(H105)&gt;0, LEN(I105)=0), "BLANCO", IFERROR(VLOOKUP(I105, BasedatosM9!A:B, 2, FALSE), "BLANCO")))</f>
        <v>Aguado Lemos Luis Eyder</v>
      </c>
      <c r="M105" s="5" t="str">
        <f ca="1">IFERROR(__xludf.DUMMYFUNCTION("""COMPUTED_VALUE"""),"TURNO A")</f>
        <v>TURNO A</v>
      </c>
      <c r="N105" s="5">
        <f ca="1">IFERROR(__xludf.DUMMYFUNCTION("""COMPUTED_VALUE"""),23908783)</f>
        <v>23908783</v>
      </c>
      <c r="O105" s="14">
        <f ca="1">IFERROR(__xludf.DUMMYFUNCTION("""COMPUTED_VALUE"""),45358)</f>
        <v>45358</v>
      </c>
      <c r="P105" s="5" t="str">
        <f ca="1">IFERROR(__xludf.DUMMYFUNCTION("""COMPUTED_VALUE"""),"Botellas sin tapa")</f>
        <v>Botellas sin tapa</v>
      </c>
      <c r="Q105" s="5">
        <f ca="1">IFERROR(__xludf.DUMMYFUNCTION("""COMPUTED_VALUE"""),0.18)</f>
        <v>0.18</v>
      </c>
      <c r="R105" s="15">
        <f ca="1">IFERROR(__xludf.DUMMYFUNCTION("""COMPUTED_VALUE"""),0.458333333333333)</f>
        <v>0.45833333333333298</v>
      </c>
      <c r="S105" s="15">
        <f ca="1">IFERROR(__xludf.DUMMYFUNCTION("""COMPUTED_VALUE"""),0.465972222222222)</f>
        <v>0.46597222222222201</v>
      </c>
      <c r="T105" s="5" t="str">
        <f ca="1">IFERROR(__xludf.DUMMYFUNCTION("""COMPUTED_VALUE"""),"LINE 1")</f>
        <v>LINE 1</v>
      </c>
      <c r="U105" s="5">
        <f ca="1">IFERROR(__xludf.DUMMYFUNCTION("""COMPUTED_VALUE"""),20082152)</f>
        <v>20082152</v>
      </c>
      <c r="V105" s="5" t="str">
        <f ca="1">IFERROR(__xludf.DUMMYFUNCTION("""COMPUTED_VALUE"""),"LLENADORA BOTELLAS PET")</f>
        <v>LLENADORA BOTELLAS PET</v>
      </c>
      <c r="W105" s="5" t="str">
        <f ca="1">IF(AND(LEN(T105)=0, LEN(U105)=0), "", IF(AND(LEN(T105)&gt;0, LEN(U105)=0), "BLANCO", IFERROR(VLOOKUP(U105, BasedatosM9!A:B, 2, FALSE), "BLANCO")))</f>
        <v>Ferney Ramos</v>
      </c>
      <c r="AI105" s="5" t="str">
        <f>IF(AND(LEN(AF105)=0, LEN(AG105)=0), "", IF(AND(LEN(AF105)&gt;0, LEN(AG105)=0), "BLANCO", IFERROR(VLOOKUP(AG105, BasedatosM9!A:B, 2, FALSE), "BLANCO")))</f>
        <v/>
      </c>
      <c r="AU105" s="5" t="str">
        <f>IF(AND(LEN(AR105)=0, LEN(AS105)=0), "", IF(AND(LEN(AR105)&gt;0, LEN(AS105)=0), "BLANCO", IFERROR(VLOOKUP(AS105, BasedatosM9!A:B, 2, FALSE), "BLANCO")))</f>
        <v/>
      </c>
    </row>
    <row r="106" spans="1:47" ht="14.4">
      <c r="A106" s="21" t="s">
        <v>4757</v>
      </c>
      <c r="B106" s="86">
        <v>23902855</v>
      </c>
      <c r="C106" s="98">
        <v>45355</v>
      </c>
      <c r="D106" s="21" t="s">
        <v>4838</v>
      </c>
      <c r="E106" s="86">
        <v>0.5</v>
      </c>
      <c r="F106" s="99">
        <v>0.58333333333333337</v>
      </c>
      <c r="G106" s="99">
        <v>0.60416666666666663</v>
      </c>
      <c r="H106" s="21" t="s">
        <v>4550</v>
      </c>
      <c r="I106" s="21"/>
      <c r="J106" s="21" t="s">
        <v>4839</v>
      </c>
      <c r="K106" s="5" t="str">
        <f>IF(AND(LEN(H106)=0, LEN(I106)=0), "", IF(AND(LEN(H106)&gt;0, LEN(I106)=0), "BLANCO", IFERROR(VLOOKUP(I106, BasedatosM9!A:B, 2, FALSE), "BLANCO")))</f>
        <v>BLANCO</v>
      </c>
      <c r="M106" s="5" t="str">
        <f ca="1">IFERROR(__xludf.DUMMYFUNCTION("""COMPUTED_VALUE"""),"TURNO A")</f>
        <v>TURNO A</v>
      </c>
      <c r="N106" s="5">
        <f ca="1">IFERROR(__xludf.DUMMYFUNCTION("""COMPUTED_VALUE"""),23908994)</f>
        <v>23908994</v>
      </c>
      <c r="O106" s="14">
        <f ca="1">IFERROR(__xludf.DUMMYFUNCTION("""COMPUTED_VALUE"""),45358)</f>
        <v>45358</v>
      </c>
      <c r="P106" s="5" t="str">
        <f ca="1">IFERROR(__xludf.DUMMYFUNCTION("""COMPUTED_VALUE"""),"Bypass valvula")</f>
        <v>Bypass valvula</v>
      </c>
      <c r="Q106" s="5">
        <f ca="1">IFERROR(__xludf.DUMMYFUNCTION("""COMPUTED_VALUE"""),0.08)</f>
        <v>0.08</v>
      </c>
      <c r="R106" s="15">
        <f ca="1">IFERROR(__xludf.DUMMYFUNCTION("""COMPUTED_VALUE"""),0.555555555555555)</f>
        <v>0.55555555555555503</v>
      </c>
      <c r="S106" s="15">
        <f ca="1">IFERROR(__xludf.DUMMYFUNCTION("""COMPUTED_VALUE"""),0.559027777777777)</f>
        <v>0.55902777777777701</v>
      </c>
      <c r="T106" s="5" t="str">
        <f ca="1">IFERROR(__xludf.DUMMYFUNCTION("""COMPUTED_VALUE"""),"LINE 1")</f>
        <v>LINE 1</v>
      </c>
      <c r="U106" s="5">
        <f ca="1">IFERROR(__xludf.DUMMYFUNCTION("""COMPUTED_VALUE"""),20082152)</f>
        <v>20082152</v>
      </c>
      <c r="V106" s="5" t="str">
        <f ca="1">IFERROR(__xludf.DUMMYFUNCTION("""COMPUTED_VALUE"""),"LLENADORA BOTELLAS PET")</f>
        <v>LLENADORA BOTELLAS PET</v>
      </c>
      <c r="W106" s="5" t="str">
        <f ca="1">IF(AND(LEN(T106)=0, LEN(U106)=0), "", IF(AND(LEN(T106)&gt;0, LEN(U106)=0), "BLANCO", IFERROR(VLOOKUP(U106, BasedatosM9!A:B, 2, FALSE), "BLANCO")))</f>
        <v>Ferney Ramos</v>
      </c>
      <c r="AI106" s="5" t="str">
        <f>IF(AND(LEN(AF106)=0, LEN(AG106)=0), "", IF(AND(LEN(AF106)&gt;0, LEN(AG106)=0), "BLANCO", IFERROR(VLOOKUP(AG106, BasedatosM9!A:B, 2, FALSE), "BLANCO")))</f>
        <v/>
      </c>
      <c r="AU106" s="5" t="str">
        <f>IF(AND(LEN(AR106)=0, LEN(AS106)=0), "", IF(AND(LEN(AR106)&gt;0, LEN(AS106)=0), "BLANCO", IFERROR(VLOOKUP(AS106, BasedatosM9!A:B, 2, FALSE), "BLANCO")))</f>
        <v/>
      </c>
    </row>
    <row r="107" spans="1:47" ht="14.4">
      <c r="A107" s="21" t="s">
        <v>4757</v>
      </c>
      <c r="B107" s="86">
        <v>23902876</v>
      </c>
      <c r="C107" s="98">
        <v>45355</v>
      </c>
      <c r="D107" s="21" t="s">
        <v>4821</v>
      </c>
      <c r="E107" s="86">
        <v>0.57999999999999996</v>
      </c>
      <c r="F107" s="99">
        <v>0.64583333333333337</v>
      </c>
      <c r="G107" s="99">
        <v>0.67013888888888884</v>
      </c>
      <c r="H107" s="21" t="s">
        <v>4550</v>
      </c>
      <c r="I107" s="21"/>
      <c r="J107" s="21" t="s">
        <v>4753</v>
      </c>
      <c r="K107" s="5" t="str">
        <f>IF(AND(LEN(H107)=0, LEN(I107)=0), "", IF(AND(LEN(H107)&gt;0, LEN(I107)=0), "BLANCO", IFERROR(VLOOKUP(I107, BasedatosM9!A:B, 2, FALSE), "BLANCO")))</f>
        <v>BLANCO</v>
      </c>
      <c r="M107" s="5" t="str">
        <f ca="1">IFERROR(__xludf.DUMMYFUNCTION("""COMPUTED_VALUE"""),"TURNO B")</f>
        <v>TURNO B</v>
      </c>
      <c r="N107" s="5">
        <f ca="1">IFERROR(__xludf.DUMMYFUNCTION("""COMPUTED_VALUE"""),23909324)</f>
        <v>23909324</v>
      </c>
      <c r="O107" s="14">
        <f ca="1">IFERROR(__xludf.DUMMYFUNCTION("""COMPUTED_VALUE"""),45358)</f>
        <v>45358</v>
      </c>
      <c r="P107" s="5" t="str">
        <f ca="1">IFERROR(__xludf.DUMMYFUNCTION("""COMPUTED_VALUE"""),"Botellas sin codigo")</f>
        <v>Botellas sin codigo</v>
      </c>
      <c r="Q107" s="5">
        <f ca="1">IFERROR(__xludf.DUMMYFUNCTION("""COMPUTED_VALUE"""),0.3)</f>
        <v>0.3</v>
      </c>
      <c r="R107" s="15">
        <f ca="1">IFERROR(__xludf.DUMMYFUNCTION("""COMPUTED_VALUE"""),0.590277777777777)</f>
        <v>0.59027777777777701</v>
      </c>
      <c r="S107" s="15">
        <f ca="1">IFERROR(__xludf.DUMMYFUNCTION("""COMPUTED_VALUE"""),0.602777777777777)</f>
        <v>0.60277777777777697</v>
      </c>
      <c r="T107" s="5" t="str">
        <f ca="1">IFERROR(__xludf.DUMMYFUNCTION("""COMPUTED_VALUE"""),"LINE 1")</f>
        <v>LINE 1</v>
      </c>
      <c r="U107" s="5">
        <f ca="1">IFERROR(__xludf.DUMMYFUNCTION("""COMPUTED_VALUE"""),20019987)</f>
        <v>20019987</v>
      </c>
      <c r="V107" s="5" t="str">
        <f ca="1">IFERROR(__xludf.DUMMYFUNCTION("""COMPUTED_VALUE"""),"CODIFICADOR DE BOTELLAS")</f>
        <v>CODIFICADOR DE BOTELLAS</v>
      </c>
      <c r="W107" s="5" t="str">
        <f ca="1">IF(AND(LEN(T107)=0, LEN(U107)=0), "", IF(AND(LEN(T107)&gt;0, LEN(U107)=0), "BLANCO", IFERROR(VLOOKUP(U107, BasedatosM9!A:B, 2, FALSE), "BLANCO")))</f>
        <v>Aguado Lemos Luis Eyder</v>
      </c>
      <c r="AI107" s="5" t="str">
        <f>IF(AND(LEN(AF107)=0, LEN(AG107)=0), "", IF(AND(LEN(AF107)&gt;0, LEN(AG107)=0), "BLANCO", IFERROR(VLOOKUP(AG107, BasedatosM9!A:B, 2, FALSE), "BLANCO")))</f>
        <v/>
      </c>
      <c r="AU107" s="5" t="str">
        <f>IF(AND(LEN(AR107)=0, LEN(AS107)=0), "", IF(AND(LEN(AR107)&gt;0, LEN(AS107)=0), "BLANCO", IFERROR(VLOOKUP(AS107, BasedatosM9!A:B, 2, FALSE), "BLANCO")))</f>
        <v/>
      </c>
    </row>
    <row r="108" spans="1:47" ht="14.4">
      <c r="A108" s="21" t="s">
        <v>4757</v>
      </c>
      <c r="B108" s="86">
        <v>23902902</v>
      </c>
      <c r="C108" s="98">
        <v>45355</v>
      </c>
      <c r="D108" s="21" t="s">
        <v>4840</v>
      </c>
      <c r="E108" s="86">
        <v>2.13</v>
      </c>
      <c r="F108" s="99">
        <v>0.65972222222222221</v>
      </c>
      <c r="G108" s="99">
        <v>0.74861111111111101</v>
      </c>
      <c r="H108" s="21" t="s">
        <v>4551</v>
      </c>
      <c r="I108" s="86">
        <v>20009915</v>
      </c>
      <c r="J108" s="21" t="s">
        <v>1471</v>
      </c>
      <c r="K108" s="5" t="str">
        <f>IF(AND(LEN(H108)=0, LEN(I108)=0), "", IF(AND(LEN(H108)&gt;0, LEN(I108)=0), "BLANCO", IFERROR(VLOOKUP(I108, BasedatosM9!A:B, 2, FALSE), "BLANCO")))</f>
        <v>Lozano Delgado Fausto Andres</v>
      </c>
      <c r="M108" s="5" t="str">
        <f ca="1">IFERROR(__xludf.DUMMYFUNCTION("""COMPUTED_VALUE"""),"TURNO B")</f>
        <v>TURNO B</v>
      </c>
      <c r="N108" s="5">
        <f ca="1">IFERROR(__xludf.DUMMYFUNCTION("""COMPUTED_VALUE"""),23909325)</f>
        <v>23909325</v>
      </c>
      <c r="O108" s="14">
        <f ca="1">IFERROR(__xludf.DUMMYFUNCTION("""COMPUTED_VALUE"""),45358)</f>
        <v>45358</v>
      </c>
      <c r="P108" s="5" t="str">
        <f ca="1">IFERROR(__xludf.DUMMYFUNCTION("""COMPUTED_VALUE"""),"Caida de paquetes")</f>
        <v>Caida de paquetes</v>
      </c>
      <c r="Q108" s="5">
        <f ca="1">IFERROR(__xludf.DUMMYFUNCTION("""COMPUTED_VALUE"""),0.17)</f>
        <v>0.17</v>
      </c>
      <c r="R108" s="15">
        <f ca="1">IFERROR(__xludf.DUMMYFUNCTION("""COMPUTED_VALUE"""),0.604166666666666)</f>
        <v>0.60416666666666596</v>
      </c>
      <c r="S108" s="15">
        <f ca="1">IFERROR(__xludf.DUMMYFUNCTION("""COMPUTED_VALUE"""),0.611111111111111)</f>
        <v>0.61111111111111105</v>
      </c>
      <c r="T108" s="5" t="str">
        <f ca="1">IFERROR(__xludf.DUMMYFUNCTION("""COMPUTED_VALUE"""),"LINE 1")</f>
        <v>LINE 1</v>
      </c>
      <c r="U108" s="5"/>
      <c r="V108" s="5" t="str">
        <f ca="1">IFERROR(__xludf.DUMMYFUNCTION("""COMPUTED_VALUE"""),"PALETIZADORA")</f>
        <v>PALETIZADORA</v>
      </c>
      <c r="W108" s="5" t="str">
        <f ca="1">IF(AND(LEN(T108)=0, LEN(U108)=0), "", IF(AND(LEN(T108)&gt;0, LEN(U108)=0), "BLANCO", IFERROR(VLOOKUP(U108, BasedatosM9!A:B, 2, FALSE), "BLANCO")))</f>
        <v>BLANCO</v>
      </c>
      <c r="AI108" s="5" t="str">
        <f>IF(AND(LEN(AF108)=0, LEN(AG108)=0), "", IF(AND(LEN(AF108)&gt;0, LEN(AG108)=0), "BLANCO", IFERROR(VLOOKUP(AG108, BasedatosM9!A:B, 2, FALSE), "BLANCO")))</f>
        <v/>
      </c>
      <c r="AU108" s="5" t="str">
        <f>IF(AND(LEN(AR108)=0, LEN(AS108)=0), "", IF(AND(LEN(AR108)&gt;0, LEN(AS108)=0), "BLANCO", IFERROR(VLOOKUP(AS108, BasedatosM9!A:B, 2, FALSE), "BLANCO")))</f>
        <v/>
      </c>
    </row>
    <row r="109" spans="1:47" ht="14.4">
      <c r="A109" s="21" t="s">
        <v>4757</v>
      </c>
      <c r="B109" s="86">
        <v>23902906</v>
      </c>
      <c r="C109" s="98">
        <v>45355</v>
      </c>
      <c r="D109" s="21" t="s">
        <v>4841</v>
      </c>
      <c r="E109" s="86">
        <v>0.25</v>
      </c>
      <c r="F109" s="99">
        <v>0.75</v>
      </c>
      <c r="G109" s="99">
        <v>0.76041666666666663</v>
      </c>
      <c r="H109" s="21" t="s">
        <v>4551</v>
      </c>
      <c r="I109" s="86">
        <v>20009915</v>
      </c>
      <c r="J109" s="21" t="s">
        <v>1471</v>
      </c>
      <c r="K109" s="5" t="str">
        <f>IF(AND(LEN(H109)=0, LEN(I109)=0), "", IF(AND(LEN(H109)&gt;0, LEN(I109)=0), "BLANCO", IFERROR(VLOOKUP(I109, BasedatosM9!A:B, 2, FALSE), "BLANCO")))</f>
        <v>Lozano Delgado Fausto Andres</v>
      </c>
      <c r="M109" s="5" t="str">
        <f ca="1">IFERROR(__xludf.DUMMYFUNCTION("""COMPUTED_VALUE"""),"TURNO B")</f>
        <v>TURNO B</v>
      </c>
      <c r="N109" s="5">
        <f ca="1">IFERROR(__xludf.DUMMYFUNCTION("""COMPUTED_VALUE"""),23909328)</f>
        <v>23909328</v>
      </c>
      <c r="O109" s="14">
        <f ca="1">IFERROR(__xludf.DUMMYFUNCTION("""COMPUTED_VALUE"""),45358)</f>
        <v>45358</v>
      </c>
      <c r="P109" s="5" t="str">
        <f ca="1">IFERROR(__xludf.DUMMYFUNCTION("""COMPUTED_VALUE"""),"Atascamiento botellas")</f>
        <v>Atascamiento botellas</v>
      </c>
      <c r="Q109" s="5">
        <f ca="1">IFERROR(__xludf.DUMMYFUNCTION("""COMPUTED_VALUE"""),0.07)</f>
        <v>7.0000000000000007E-2</v>
      </c>
      <c r="R109" s="15">
        <f ca="1">IFERROR(__xludf.DUMMYFUNCTION("""COMPUTED_VALUE"""),0.631944444444444)</f>
        <v>0.63194444444444398</v>
      </c>
      <c r="S109" s="15">
        <f ca="1">IFERROR(__xludf.DUMMYFUNCTION("""COMPUTED_VALUE"""),0.634722222222222)</f>
        <v>0.63472222222222197</v>
      </c>
      <c r="T109" s="5" t="str">
        <f ca="1">IFERROR(__xludf.DUMMYFUNCTION("""COMPUTED_VALUE"""),"LINE 1")</f>
        <v>LINE 1</v>
      </c>
      <c r="U109" s="5">
        <f ca="1">IFERROR(__xludf.DUMMYFUNCTION("""COMPUTED_VALUE"""),20075387)</f>
        <v>20075387</v>
      </c>
      <c r="V109" s="5" t="str">
        <f ca="1">IFERROR(__xludf.DUMMYFUNCTION("""COMPUTED_VALUE"""),"TRANSPORTADORES DE ENVASE VACIO")</f>
        <v>TRANSPORTADORES DE ENVASE VACIO</v>
      </c>
      <c r="W109" s="5" t="str">
        <f ca="1">IF(AND(LEN(T109)=0, LEN(U109)=0), "", IF(AND(LEN(T109)&gt;0, LEN(U109)=0), "BLANCO", IFERROR(VLOOKUP(U109, BasedatosM9!A:B, 2, FALSE), "BLANCO")))</f>
        <v>Cristian Suaza</v>
      </c>
      <c r="AI109" s="5" t="str">
        <f>IF(AND(LEN(AF109)=0, LEN(AG109)=0), "", IF(AND(LEN(AF109)&gt;0, LEN(AG109)=0), "BLANCO", IFERROR(VLOOKUP(AG109, BasedatosM9!A:B, 2, FALSE), "BLANCO")))</f>
        <v/>
      </c>
      <c r="AU109" s="5" t="str">
        <f>IF(AND(LEN(AR109)=0, LEN(AS109)=0), "", IF(AND(LEN(AR109)&gt;0, LEN(AS109)=0), "BLANCO", IFERROR(VLOOKUP(AS109, BasedatosM9!A:B, 2, FALSE), "BLANCO")))</f>
        <v/>
      </c>
    </row>
    <row r="110" spans="1:47" ht="14.4">
      <c r="A110" s="21" t="s">
        <v>4757</v>
      </c>
      <c r="B110" s="86">
        <v>23902908</v>
      </c>
      <c r="C110" s="98">
        <v>45355</v>
      </c>
      <c r="D110" s="21" t="s">
        <v>4793</v>
      </c>
      <c r="E110" s="86">
        <v>0.08</v>
      </c>
      <c r="F110" s="99">
        <v>0.75694444444444453</v>
      </c>
      <c r="G110" s="99">
        <v>0.76041666666666663</v>
      </c>
      <c r="H110" s="21" t="s">
        <v>4551</v>
      </c>
      <c r="I110" s="86">
        <v>20075387</v>
      </c>
      <c r="J110" s="21" t="s">
        <v>4746</v>
      </c>
      <c r="K110" s="5" t="str">
        <f>IF(AND(LEN(H110)=0, LEN(I110)=0), "", IF(AND(LEN(H110)&gt;0, LEN(I110)=0), "BLANCO", IFERROR(VLOOKUP(I110, BasedatosM9!A:B, 2, FALSE), "BLANCO")))</f>
        <v>Cristian Suaza</v>
      </c>
      <c r="M110" s="5" t="str">
        <f ca="1">IFERROR(__xludf.DUMMYFUNCTION("""COMPUTED_VALUE"""),"TURNO B")</f>
        <v>TURNO B</v>
      </c>
      <c r="N110" s="5">
        <f ca="1">IFERROR(__xludf.DUMMYFUNCTION("""COMPUTED_VALUE"""),23909605)</f>
        <v>23909605</v>
      </c>
      <c r="O110" s="14">
        <f ca="1">IFERROR(__xludf.DUMMYFUNCTION("""COMPUTED_VALUE"""),45358)</f>
        <v>45358</v>
      </c>
      <c r="P110" s="5" t="str">
        <f ca="1">IFERROR(__xludf.DUMMYFUNCTION("""COMPUTED_VALUE"""),"Atascamiento botellas")</f>
        <v>Atascamiento botellas</v>
      </c>
      <c r="Q110" s="5">
        <f ca="1">IFERROR(__xludf.DUMMYFUNCTION("""COMPUTED_VALUE"""),0.08)</f>
        <v>0.08</v>
      </c>
      <c r="R110" s="15">
        <f ca="1">IFERROR(__xludf.DUMMYFUNCTION("""COMPUTED_VALUE"""),0.722222222222222)</f>
        <v>0.72222222222222199</v>
      </c>
      <c r="S110" s="15">
        <f ca="1">IFERROR(__xludf.DUMMYFUNCTION("""COMPUTED_VALUE"""),0.725694444444444)</f>
        <v>0.72569444444444398</v>
      </c>
      <c r="T110" s="5" t="str">
        <f ca="1">IFERROR(__xludf.DUMMYFUNCTION("""COMPUTED_VALUE"""),"LINE 1")</f>
        <v>LINE 1</v>
      </c>
      <c r="U110" s="5">
        <f ca="1">IFERROR(__xludf.DUMMYFUNCTION("""COMPUTED_VALUE"""),20009915)</f>
        <v>20009915</v>
      </c>
      <c r="V110" s="5" t="str">
        <f ca="1">IFERROR(__xludf.DUMMYFUNCTION("""COMPUTED_VALUE"""),"ENFARDADORA")</f>
        <v>ENFARDADORA</v>
      </c>
      <c r="W110" s="5" t="str">
        <f ca="1">IF(AND(LEN(T110)=0, LEN(U110)=0), "", IF(AND(LEN(T110)&gt;0, LEN(U110)=0), "BLANCO", IFERROR(VLOOKUP(U110, BasedatosM9!A:B, 2, FALSE), "BLANCO")))</f>
        <v>Lozano Delgado Fausto Andres</v>
      </c>
      <c r="AI110" s="5" t="str">
        <f>IF(AND(LEN(AF110)=0, LEN(AG110)=0), "", IF(AND(LEN(AF110)&gt;0, LEN(AG110)=0), "BLANCO", IFERROR(VLOOKUP(AG110, BasedatosM9!A:B, 2, FALSE), "BLANCO")))</f>
        <v/>
      </c>
      <c r="AU110" s="5" t="str">
        <f>IF(AND(LEN(AR110)=0, LEN(AS110)=0), "", IF(AND(LEN(AR110)&gt;0, LEN(AS110)=0), "BLANCO", IFERROR(VLOOKUP(AS110, BasedatosM9!A:B, 2, FALSE), "BLANCO")))</f>
        <v/>
      </c>
    </row>
    <row r="111" spans="1:47" ht="14.4">
      <c r="A111" s="21" t="s">
        <v>4757</v>
      </c>
      <c r="B111" s="86">
        <v>23903037</v>
      </c>
      <c r="C111" s="98">
        <v>45355</v>
      </c>
      <c r="D111" s="21" t="s">
        <v>4842</v>
      </c>
      <c r="E111" s="86">
        <v>0.68</v>
      </c>
      <c r="F111" s="99">
        <v>0.86111111111111116</v>
      </c>
      <c r="G111" s="99">
        <v>0.88958333333333339</v>
      </c>
      <c r="H111" s="21" t="s">
        <v>4550</v>
      </c>
      <c r="I111" s="21"/>
      <c r="J111" s="21" t="s">
        <v>4773</v>
      </c>
      <c r="K111" s="5" t="str">
        <f>IF(AND(LEN(H111)=0, LEN(I111)=0), "", IF(AND(LEN(H111)&gt;0, LEN(I111)=0), "BLANCO", IFERROR(VLOOKUP(I111, BasedatosM9!A:B, 2, FALSE), "BLANCO")))</f>
        <v>BLANCO</v>
      </c>
      <c r="M111" s="5" t="str">
        <f ca="1">IFERROR(__xludf.DUMMYFUNCTION("""COMPUTED_VALUE"""),"TURNO B")</f>
        <v>TURNO B</v>
      </c>
      <c r="N111" s="5">
        <f ca="1">IFERROR(__xludf.DUMMYFUNCTION("""COMPUTED_VALUE"""),23909607)</f>
        <v>23909607</v>
      </c>
      <c r="O111" s="14">
        <f ca="1">IFERROR(__xludf.DUMMYFUNCTION("""COMPUTED_VALUE"""),45358)</f>
        <v>45358</v>
      </c>
      <c r="P111" s="5" t="str">
        <f ca="1">IFERROR(__xludf.DUMMYFUNCTION("""COMPUTED_VALUE"""),"Maquina no realiza emplame de rollo")</f>
        <v>Maquina no realiza emplame de rollo</v>
      </c>
      <c r="Q111" s="5">
        <f ca="1">IFERROR(__xludf.DUMMYFUNCTION("""COMPUTED_VALUE"""),0.1)</f>
        <v>0.1</v>
      </c>
      <c r="R111" s="15">
        <f ca="1">IFERROR(__xludf.DUMMYFUNCTION("""COMPUTED_VALUE"""),0.729166666666666)</f>
        <v>0.72916666666666596</v>
      </c>
      <c r="S111" s="15">
        <f ca="1">IFERROR(__xludf.DUMMYFUNCTION("""COMPUTED_VALUE"""),0.733333333333333)</f>
        <v>0.73333333333333295</v>
      </c>
      <c r="T111" s="5" t="str">
        <f ca="1">IFERROR(__xludf.DUMMYFUNCTION("""COMPUTED_VALUE"""),"LINE 1")</f>
        <v>LINE 1</v>
      </c>
      <c r="U111" s="5">
        <f ca="1">IFERROR(__xludf.DUMMYFUNCTION("""COMPUTED_VALUE"""),20075387)</f>
        <v>20075387</v>
      </c>
      <c r="V111" s="5" t="str">
        <f ca="1">IFERROR(__xludf.DUMMYFUNCTION("""COMPUTED_VALUE"""),"ETIQUETADORA ENVOLVENTE")</f>
        <v>ETIQUETADORA ENVOLVENTE</v>
      </c>
      <c r="W111" s="5" t="str">
        <f ca="1">IF(AND(LEN(T111)=0, LEN(U111)=0), "", IF(AND(LEN(T111)&gt;0, LEN(U111)=0), "BLANCO", IFERROR(VLOOKUP(U111, BasedatosM9!A:B, 2, FALSE), "BLANCO")))</f>
        <v>Cristian Suaza</v>
      </c>
      <c r="AI111" s="5" t="str">
        <f>IF(AND(LEN(AF111)=0, LEN(AG111)=0), "", IF(AND(LEN(AF111)&gt;0, LEN(AG111)=0), "BLANCO", IFERROR(VLOOKUP(AG111, BasedatosM9!A:B, 2, FALSE), "BLANCO")))</f>
        <v/>
      </c>
      <c r="AU111" s="5" t="str">
        <f>IF(AND(LEN(AR111)=0, LEN(AS111)=0), "", IF(AND(LEN(AR111)&gt;0, LEN(AS111)=0), "BLANCO", IFERROR(VLOOKUP(AS111, BasedatosM9!A:B, 2, FALSE), "BLANCO")))</f>
        <v/>
      </c>
    </row>
    <row r="112" spans="1:47" ht="14.4">
      <c r="A112" s="21" t="s">
        <v>4757</v>
      </c>
      <c r="B112" s="86">
        <v>23903047</v>
      </c>
      <c r="C112" s="98">
        <v>45355</v>
      </c>
      <c r="D112" s="21" t="s">
        <v>4818</v>
      </c>
      <c r="E112" s="86">
        <v>0.05</v>
      </c>
      <c r="F112" s="99">
        <v>0.78819444444444453</v>
      </c>
      <c r="G112" s="99">
        <v>0.79027777777777775</v>
      </c>
      <c r="H112" s="21" t="s">
        <v>4764</v>
      </c>
      <c r="I112" s="86">
        <v>20065447</v>
      </c>
      <c r="J112" s="21" t="s">
        <v>67</v>
      </c>
      <c r="K112" s="5" t="str">
        <f>IF(AND(LEN(H112)=0, LEN(I112)=0), "", IF(AND(LEN(H112)&gt;0, LEN(I112)=0), "BLANCO", IFERROR(VLOOKUP(I112, BasedatosM9!A:B, 2, FALSE), "BLANCO")))</f>
        <v>Victor David Burbano</v>
      </c>
      <c r="M112" s="5" t="str">
        <f ca="1">IFERROR(__xludf.DUMMYFUNCTION("""COMPUTED_VALUE"""),"TURNO B")</f>
        <v>TURNO B</v>
      </c>
      <c r="N112" s="5">
        <f ca="1">IFERROR(__xludf.DUMMYFUNCTION("""COMPUTED_VALUE"""),23909721)</f>
        <v>23909721</v>
      </c>
      <c r="O112" s="14">
        <f ca="1">IFERROR(__xludf.DUMMYFUNCTION("""COMPUTED_VALUE"""),45358)</f>
        <v>45358</v>
      </c>
      <c r="P112" s="5" t="str">
        <f ca="1">IFERROR(__xludf.DUMMYFUNCTION("""COMPUTED_VALUE"""),"Caida de botellas salida llenadora")</f>
        <v>Caida de botellas salida llenadora</v>
      </c>
      <c r="Q112" s="5">
        <f ca="1">IFERROR(__xludf.DUMMYFUNCTION("""COMPUTED_VALUE"""),0.3)</f>
        <v>0.3</v>
      </c>
      <c r="R112" s="15">
        <f ca="1">IFERROR(__xludf.DUMMYFUNCTION("""COMPUTED_VALUE"""),0.798611111111111)</f>
        <v>0.79861111111111105</v>
      </c>
      <c r="S112" s="15">
        <f ca="1">IFERROR(__xludf.DUMMYFUNCTION("""COMPUTED_VALUE"""),0.811111111111111)</f>
        <v>0.81111111111111101</v>
      </c>
      <c r="T112" s="5" t="str">
        <f ca="1">IFERROR(__xludf.DUMMYFUNCTION("""COMPUTED_VALUE"""),"LINE 1")</f>
        <v>LINE 1</v>
      </c>
      <c r="U112" s="5">
        <f ca="1">IFERROR(__xludf.DUMMYFUNCTION("""COMPUTED_VALUE"""),20019987)</f>
        <v>20019987</v>
      </c>
      <c r="V112" s="5" t="str">
        <f ca="1">IFERROR(__xludf.DUMMYFUNCTION("""COMPUTED_VALUE"""),"TRANSPORTADORES DE BEBIDA")</f>
        <v>TRANSPORTADORES DE BEBIDA</v>
      </c>
      <c r="W112" s="5" t="str">
        <f ca="1">IF(AND(LEN(T112)=0, LEN(U112)=0), "", IF(AND(LEN(T112)&gt;0, LEN(U112)=0), "BLANCO", IFERROR(VLOOKUP(U112, BasedatosM9!A:B, 2, FALSE), "BLANCO")))</f>
        <v>Aguado Lemos Luis Eyder</v>
      </c>
      <c r="AI112" s="5" t="str">
        <f>IF(AND(LEN(AF112)=0, LEN(AG112)=0), "", IF(AND(LEN(AF112)&gt;0, LEN(AG112)=0), "BLANCO", IFERROR(VLOOKUP(AG112, BasedatosM9!A:B, 2, FALSE), "BLANCO")))</f>
        <v/>
      </c>
      <c r="AU112" s="5" t="str">
        <f>IF(AND(LEN(AR112)=0, LEN(AS112)=0), "", IF(AND(LEN(AR112)&gt;0, LEN(AS112)=0), "BLANCO", IFERROR(VLOOKUP(AS112, BasedatosM9!A:B, 2, FALSE), "BLANCO")))</f>
        <v/>
      </c>
    </row>
    <row r="113" spans="1:47" ht="14.4">
      <c r="A113" s="21" t="s">
        <v>4757</v>
      </c>
      <c r="B113" s="86">
        <v>23903090</v>
      </c>
      <c r="C113" s="98">
        <v>45355</v>
      </c>
      <c r="D113" s="21" t="s">
        <v>4843</v>
      </c>
      <c r="E113" s="86">
        <v>1.43</v>
      </c>
      <c r="F113" s="99">
        <v>0.81527777777777777</v>
      </c>
      <c r="G113" s="99">
        <v>0.875</v>
      </c>
      <c r="H113" s="21" t="s">
        <v>4551</v>
      </c>
      <c r="I113" s="86">
        <v>20009915</v>
      </c>
      <c r="J113" s="21" t="s">
        <v>1471</v>
      </c>
      <c r="K113" s="5" t="str">
        <f>IF(AND(LEN(H113)=0, LEN(I113)=0), "", IF(AND(LEN(H113)&gt;0, LEN(I113)=0), "BLANCO", IFERROR(VLOOKUP(I113, BasedatosM9!A:B, 2, FALSE), "BLANCO")))</f>
        <v>Lozano Delgado Fausto Andres</v>
      </c>
      <c r="M113" s="5" t="str">
        <f ca="1">IFERROR(__xludf.DUMMYFUNCTION("""COMPUTED_VALUE"""),"TURNO B")</f>
        <v>TURNO B</v>
      </c>
      <c r="N113" s="5">
        <f ca="1">IFERROR(__xludf.DUMMYFUNCTION("""COMPUTED_VALUE"""),23909853)</f>
        <v>23909853</v>
      </c>
      <c r="O113" s="14">
        <f ca="1">IFERROR(__xludf.DUMMYFUNCTION("""COMPUTED_VALUE"""),45358)</f>
        <v>45358</v>
      </c>
      <c r="P113" s="5" t="str">
        <f ca="1">IFERROR(__xludf.DUMMYFUNCTION("""COMPUTED_VALUE"""),"Dosificador adhesivo desalineado")</f>
        <v>Dosificador adhesivo desalineado</v>
      </c>
      <c r="Q113" s="5">
        <f ca="1">IFERROR(__xludf.DUMMYFUNCTION("""COMPUTED_VALUE"""),0.83)</f>
        <v>0.83</v>
      </c>
      <c r="R113" s="15">
        <f ca="1">IFERROR(__xludf.DUMMYFUNCTION("""COMPUTED_VALUE"""),0.836805555555555)</f>
        <v>0.83680555555555503</v>
      </c>
      <c r="S113" s="15">
        <f ca="1">IFERROR(__xludf.DUMMYFUNCTION("""COMPUTED_VALUE"""),0.871527777777777)</f>
        <v>0.87152777777777701</v>
      </c>
      <c r="T113" s="5" t="str">
        <f ca="1">IFERROR(__xludf.DUMMYFUNCTION("""COMPUTED_VALUE"""),"LINE 1")</f>
        <v>LINE 1</v>
      </c>
      <c r="U113" s="5">
        <f ca="1">IFERROR(__xludf.DUMMYFUNCTION("""COMPUTED_VALUE"""),20062740)</f>
        <v>20062740</v>
      </c>
      <c r="V113" s="5" t="str">
        <f ca="1">IFERROR(__xludf.DUMMYFUNCTION("""COMPUTED_VALUE"""),"TRANSPORTADORES DE CAJAS")</f>
        <v>TRANSPORTADORES DE CAJAS</v>
      </c>
      <c r="W113" s="5" t="str">
        <f ca="1">IF(AND(LEN(T113)=0, LEN(U113)=0), "", IF(AND(LEN(T113)&gt;0, LEN(U113)=0), "BLANCO", IFERROR(VLOOKUP(U113, BasedatosM9!A:B, 2, FALSE), "BLANCO")))</f>
        <v>Hector Toro</v>
      </c>
      <c r="AI113" s="5" t="str">
        <f>IF(AND(LEN(AF113)=0, LEN(AG113)=0), "", IF(AND(LEN(AF113)&gt;0, LEN(AG113)=0), "BLANCO", IFERROR(VLOOKUP(AG113, BasedatosM9!A:B, 2, FALSE), "BLANCO")))</f>
        <v/>
      </c>
      <c r="AU113" s="5" t="str">
        <f>IF(AND(LEN(AR113)=0, LEN(AS113)=0), "", IF(AND(LEN(AR113)&gt;0, LEN(AS113)=0), "BLANCO", IFERROR(VLOOKUP(AS113, BasedatosM9!A:B, 2, FALSE), "BLANCO")))</f>
        <v/>
      </c>
    </row>
    <row r="114" spans="1:47" ht="14.4">
      <c r="A114" s="21" t="s">
        <v>4742</v>
      </c>
      <c r="B114" s="86">
        <v>23903103</v>
      </c>
      <c r="C114" s="98">
        <v>45355</v>
      </c>
      <c r="D114" s="21" t="s">
        <v>4768</v>
      </c>
      <c r="E114" s="86">
        <v>0.17</v>
      </c>
      <c r="F114" s="99">
        <v>0.4513888888888889</v>
      </c>
      <c r="G114" s="99">
        <v>0.45833333333333331</v>
      </c>
      <c r="H114" s="21" t="s">
        <v>4775</v>
      </c>
      <c r="I114" s="21"/>
      <c r="J114" s="21" t="s">
        <v>4770</v>
      </c>
      <c r="K114" s="5" t="str">
        <f>IF(AND(LEN(H114)=0, LEN(I114)=0), "", IF(AND(LEN(H114)&gt;0, LEN(I114)=0), "BLANCO", IFERROR(VLOOKUP(I114, BasedatosM9!A:B, 2, FALSE), "BLANCO")))</f>
        <v>BLANCO</v>
      </c>
      <c r="M114" s="5" t="str">
        <f ca="1">IFERROR(__xludf.DUMMYFUNCTION("""COMPUTED_VALUE"""),"TURNO B")</f>
        <v>TURNO B</v>
      </c>
      <c r="N114" s="5">
        <f ca="1">IFERROR(__xludf.DUMMYFUNCTION("""COMPUTED_VALUE"""),23909916)</f>
        <v>23909916</v>
      </c>
      <c r="O114" s="14">
        <f ca="1">IFERROR(__xludf.DUMMYFUNCTION("""COMPUTED_VALUE"""),45358)</f>
        <v>45358</v>
      </c>
      <c r="P114" s="5" t="str">
        <f ca="1">IFERROR(__xludf.DUMMYFUNCTION("""COMPUTED_VALUE"""),"Atascamiento botellas")</f>
        <v>Atascamiento botellas</v>
      </c>
      <c r="Q114" s="5">
        <f ca="1">IFERROR(__xludf.DUMMYFUNCTION("""COMPUTED_VALUE"""),0.12)</f>
        <v>0.12</v>
      </c>
      <c r="R114" s="15">
        <f ca="1">IFERROR(__xludf.DUMMYFUNCTION("""COMPUTED_VALUE"""),0.881944444444444)</f>
        <v>0.88194444444444398</v>
      </c>
      <c r="S114" s="15">
        <f ca="1">IFERROR(__xludf.DUMMYFUNCTION("""COMPUTED_VALUE"""),0.886805555555555)</f>
        <v>0.88680555555555496</v>
      </c>
      <c r="T114" s="5" t="str">
        <f ca="1">IFERROR(__xludf.DUMMYFUNCTION("""COMPUTED_VALUE"""),"LINE 1")</f>
        <v>LINE 1</v>
      </c>
      <c r="U114" s="5">
        <f ca="1">IFERROR(__xludf.DUMMYFUNCTION("""COMPUTED_VALUE"""),20075387)</f>
        <v>20075387</v>
      </c>
      <c r="V114" s="5" t="str">
        <f ca="1">IFERROR(__xludf.DUMMYFUNCTION("""COMPUTED_VALUE"""),"TRANSPORTADORES DE ENVASE VACIO")</f>
        <v>TRANSPORTADORES DE ENVASE VACIO</v>
      </c>
      <c r="W114" s="5" t="str">
        <f ca="1">IF(AND(LEN(T114)=0, LEN(U114)=0), "", IF(AND(LEN(T114)&gt;0, LEN(U114)=0), "BLANCO", IFERROR(VLOOKUP(U114, BasedatosM9!A:B, 2, FALSE), "BLANCO")))</f>
        <v>Cristian Suaza</v>
      </c>
      <c r="AI114" s="5" t="str">
        <f>IF(AND(LEN(AF114)=0, LEN(AG114)=0), "", IF(AND(LEN(AF114)&gt;0, LEN(AG114)=0), "BLANCO", IFERROR(VLOOKUP(AG114, BasedatosM9!A:B, 2, FALSE), "BLANCO")))</f>
        <v/>
      </c>
      <c r="AU114" s="5" t="str">
        <f>IF(AND(LEN(AR114)=0, LEN(AS114)=0), "", IF(AND(LEN(AR114)&gt;0, LEN(AS114)=0), "BLANCO", IFERROR(VLOOKUP(AS114, BasedatosM9!A:B, 2, FALSE), "BLANCO")))</f>
        <v/>
      </c>
    </row>
    <row r="115" spans="1:47" ht="14.4">
      <c r="A115" s="21" t="s">
        <v>4757</v>
      </c>
      <c r="B115" s="86">
        <v>23903124</v>
      </c>
      <c r="C115" s="98">
        <v>45355</v>
      </c>
      <c r="D115" s="21" t="s">
        <v>4844</v>
      </c>
      <c r="E115" s="86">
        <v>0.1</v>
      </c>
      <c r="F115" s="99">
        <v>0.88958333333333339</v>
      </c>
      <c r="G115" s="99">
        <v>0.89374999999999993</v>
      </c>
      <c r="H115" s="21" t="s">
        <v>4550</v>
      </c>
      <c r="I115" s="21"/>
      <c r="J115" s="21" t="s">
        <v>4845</v>
      </c>
      <c r="K115" s="5" t="str">
        <f>IF(AND(LEN(H115)=0, LEN(I115)=0), "", IF(AND(LEN(H115)&gt;0, LEN(I115)=0), "BLANCO", IFERROR(VLOOKUP(I115, BasedatosM9!A:B, 2, FALSE), "BLANCO")))</f>
        <v>BLANCO</v>
      </c>
      <c r="M115" s="5" t="str">
        <f ca="1">IFERROR(__xludf.DUMMYFUNCTION("""COMPUTED_VALUE"""),"TURNO B")</f>
        <v>TURNO B</v>
      </c>
      <c r="N115" s="5">
        <f ca="1">IFERROR(__xludf.DUMMYFUNCTION("""COMPUTED_VALUE"""),23910002)</f>
        <v>23910002</v>
      </c>
      <c r="O115" s="14">
        <f ca="1">IFERROR(__xludf.DUMMYFUNCTION("""COMPUTED_VALUE"""),45358)</f>
        <v>45358</v>
      </c>
      <c r="P115" s="5" t="str">
        <f ca="1">IFERROR(__xludf.DUMMYFUNCTION("""COMPUTED_VALUE"""),"Lubricacion Excesiva")</f>
        <v>Lubricacion Excesiva</v>
      </c>
      <c r="Q115" s="5">
        <f ca="1">IFERROR(__xludf.DUMMYFUNCTION("""COMPUTED_VALUE"""),0.12)</f>
        <v>0.12</v>
      </c>
      <c r="R115" s="15">
        <f ca="1">IFERROR(__xludf.DUMMYFUNCTION("""COMPUTED_VALUE"""),0.927083333333333)</f>
        <v>0.92708333333333304</v>
      </c>
      <c r="S115" s="15">
        <f ca="1">IFERROR(__xludf.DUMMYFUNCTION("""COMPUTED_VALUE"""),0.931944444444444)</f>
        <v>0.93194444444444402</v>
      </c>
      <c r="T115" s="5" t="str">
        <f ca="1">IFERROR(__xludf.DUMMYFUNCTION("""COMPUTED_VALUE"""),"LINE 1")</f>
        <v>LINE 1</v>
      </c>
      <c r="U115" s="5">
        <f ca="1">IFERROR(__xludf.DUMMYFUNCTION("""COMPUTED_VALUE"""),20009996)</f>
        <v>20009996</v>
      </c>
      <c r="V115" s="5" t="str">
        <f ca="1">IFERROR(__xludf.DUMMYFUNCTION("""COMPUTED_VALUE"""),"TRANSPORTADORES DE BEBIDA")</f>
        <v>TRANSPORTADORES DE BEBIDA</v>
      </c>
      <c r="W115" s="5" t="str">
        <f ca="1">IF(AND(LEN(T115)=0, LEN(U115)=0), "", IF(AND(LEN(T115)&gt;0, LEN(U115)=0), "BLANCO", IFERROR(VLOOKUP(U115, BasedatosM9!A:B, 2, FALSE), "BLANCO")))</f>
        <v>Fernando Montoya</v>
      </c>
      <c r="AI115" s="5" t="str">
        <f>IF(AND(LEN(AF115)=0, LEN(AG115)=0), "", IF(AND(LEN(AF115)&gt;0, LEN(AG115)=0), "BLANCO", IFERROR(VLOOKUP(AG115, BasedatosM9!A:B, 2, FALSE), "BLANCO")))</f>
        <v/>
      </c>
      <c r="AU115" s="5" t="str">
        <f>IF(AND(LEN(AR115)=0, LEN(AS115)=0), "", IF(AND(LEN(AR115)&gt;0, LEN(AS115)=0), "BLANCO", IFERROR(VLOOKUP(AS115, BasedatosM9!A:B, 2, FALSE), "BLANCO")))</f>
        <v/>
      </c>
    </row>
    <row r="116" spans="1:47" ht="14.4">
      <c r="A116" s="21" t="s">
        <v>4757</v>
      </c>
      <c r="B116" s="86">
        <v>23903142</v>
      </c>
      <c r="C116" s="98">
        <v>45355</v>
      </c>
      <c r="D116" s="21" t="s">
        <v>4846</v>
      </c>
      <c r="E116" s="86">
        <v>1</v>
      </c>
      <c r="F116" s="99">
        <v>0.875</v>
      </c>
      <c r="G116" s="99">
        <v>0.91666666666666663</v>
      </c>
      <c r="H116" s="21" t="s">
        <v>4551</v>
      </c>
      <c r="I116" s="86">
        <v>20009915</v>
      </c>
      <c r="J116" s="21" t="s">
        <v>1471</v>
      </c>
      <c r="K116" s="5" t="str">
        <f>IF(AND(LEN(H116)=0, LEN(I116)=0), "", IF(AND(LEN(H116)&gt;0, LEN(I116)=0), "BLANCO", IFERROR(VLOOKUP(I116, BasedatosM9!A:B, 2, FALSE), "BLANCO")))</f>
        <v>Lozano Delgado Fausto Andres</v>
      </c>
      <c r="M116" s="5" t="str">
        <f ca="1">IFERROR(__xludf.DUMMYFUNCTION("""COMPUTED_VALUE"""),"TURNO C")</f>
        <v>TURNO C</v>
      </c>
      <c r="N116" s="5">
        <f ca="1">IFERROR(__xludf.DUMMYFUNCTION("""COMPUTED_VALUE"""),23910003)</f>
        <v>23910003</v>
      </c>
      <c r="O116" s="14">
        <f ca="1">IFERROR(__xludf.DUMMYFUNCTION("""COMPUTED_VALUE"""),45358)</f>
        <v>45358</v>
      </c>
      <c r="P116" s="5" t="str">
        <f ca="1">IFERROR(__xludf.DUMMYFUNCTION("""COMPUTED_VALUE"""),"Caida de botellas salida llenadora")</f>
        <v>Caida de botellas salida llenadora</v>
      </c>
      <c r="Q116" s="5">
        <f ca="1">IFERROR(__xludf.DUMMYFUNCTION("""COMPUTED_VALUE"""),0.1)</f>
        <v>0.1</v>
      </c>
      <c r="R116" s="15">
        <f ca="1">IFERROR(__xludf.DUMMYFUNCTION("""COMPUTED_VALUE"""),0.96875)</f>
        <v>0.96875</v>
      </c>
      <c r="S116" s="15">
        <f ca="1">IFERROR(__xludf.DUMMYFUNCTION("""COMPUTED_VALUE"""),0.972916666666666)</f>
        <v>0.97291666666666599</v>
      </c>
      <c r="T116" s="5" t="str">
        <f ca="1">IFERROR(__xludf.DUMMYFUNCTION("""COMPUTED_VALUE"""),"LINE 1")</f>
        <v>LINE 1</v>
      </c>
      <c r="U116" s="5">
        <f ca="1">IFERROR(__xludf.DUMMYFUNCTION("""COMPUTED_VALUE"""),20036419)</f>
        <v>20036419</v>
      </c>
      <c r="V116" s="5" t="str">
        <f ca="1">IFERROR(__xludf.DUMMYFUNCTION("""COMPUTED_VALUE"""),"TRANSPORTADORES DE BEBIDA")</f>
        <v>TRANSPORTADORES DE BEBIDA</v>
      </c>
      <c r="W116" s="5" t="str">
        <f ca="1">IF(AND(LEN(T116)=0, LEN(U116)=0), "", IF(AND(LEN(T116)&gt;0, LEN(U116)=0), "BLANCO", IFERROR(VLOOKUP(U116, BasedatosM9!A:B, 2, FALSE), "BLANCO")))</f>
        <v>Adalcides Campo</v>
      </c>
      <c r="AI116" s="5" t="str">
        <f>IF(AND(LEN(AF116)=0, LEN(AG116)=0), "", IF(AND(LEN(AF116)&gt;0, LEN(AG116)=0), "BLANCO", IFERROR(VLOOKUP(AG116, BasedatosM9!A:B, 2, FALSE), "BLANCO")))</f>
        <v/>
      </c>
      <c r="AU116" s="5" t="str">
        <f>IF(AND(LEN(AR116)=0, LEN(AS116)=0), "", IF(AND(LEN(AR116)&gt;0, LEN(AS116)=0), "BLANCO", IFERROR(VLOOKUP(AS116, BasedatosM9!A:B, 2, FALSE), "BLANCO")))</f>
        <v/>
      </c>
    </row>
    <row r="117" spans="1:47" ht="14.4">
      <c r="A117" s="21" t="s">
        <v>4767</v>
      </c>
      <c r="B117" s="86">
        <v>23903286</v>
      </c>
      <c r="C117" s="98">
        <v>45355</v>
      </c>
      <c r="D117" s="21" t="s">
        <v>4768</v>
      </c>
      <c r="E117" s="86">
        <v>0.08</v>
      </c>
      <c r="F117" s="99">
        <v>1.3888888888888888E-2</v>
      </c>
      <c r="G117" s="99">
        <v>1.7361111111111112E-2</v>
      </c>
      <c r="H117" s="21" t="s">
        <v>4769</v>
      </c>
      <c r="I117" s="86">
        <v>20076884</v>
      </c>
      <c r="J117" s="21" t="s">
        <v>4770</v>
      </c>
      <c r="K117" s="5" t="str">
        <f>IF(AND(LEN(H117)=0, LEN(I117)=0), "", IF(AND(LEN(H117)&gt;0, LEN(I117)=0), "BLANCO", IFERROR(VLOOKUP(I117, BasedatosM9!A:B, 2, FALSE), "BLANCO")))</f>
        <v>Estaban Potosi</v>
      </c>
      <c r="M117" s="5" t="str">
        <f ca="1">IFERROR(__xludf.DUMMYFUNCTION("""COMPUTED_VALUE"""),"TURNO C")</f>
        <v>TURNO C</v>
      </c>
      <c r="N117" s="5">
        <f ca="1">IFERROR(__xludf.DUMMYFUNCTION("""COMPUTED_VALUE"""),23910004)</f>
        <v>23910004</v>
      </c>
      <c r="O117" s="14">
        <f ca="1">IFERROR(__xludf.DUMMYFUNCTION("""COMPUTED_VALUE"""),45358)</f>
        <v>45358</v>
      </c>
      <c r="P117" s="5" t="str">
        <f ca="1">IFERROR(__xludf.DUMMYFUNCTION("""COMPUTED_VALUE"""),"Atascamiento botellas")</f>
        <v>Atascamiento botellas</v>
      </c>
      <c r="Q117" s="5">
        <f ca="1">IFERROR(__xludf.DUMMYFUNCTION("""COMPUTED_VALUE"""),0.08)</f>
        <v>0.08</v>
      </c>
      <c r="R117" s="15">
        <f ca="1">IFERROR(__xludf.DUMMYFUNCTION("""COMPUTED_VALUE"""),0.975694444444444)</f>
        <v>0.97569444444444398</v>
      </c>
      <c r="S117" s="15">
        <f ca="1">IFERROR(__xludf.DUMMYFUNCTION("""COMPUTED_VALUE"""),0.979166666666666)</f>
        <v>0.97916666666666596</v>
      </c>
      <c r="T117" s="5" t="str">
        <f ca="1">IFERROR(__xludf.DUMMYFUNCTION("""COMPUTED_VALUE"""),"LINE 1")</f>
        <v>LINE 1</v>
      </c>
      <c r="U117" s="5">
        <f ca="1">IFERROR(__xludf.DUMMYFUNCTION("""COMPUTED_VALUE"""),20009721)</f>
        <v>20009721</v>
      </c>
      <c r="V117" s="5" t="str">
        <f ca="1">IFERROR(__xludf.DUMMYFUNCTION("""COMPUTED_VALUE"""),"TRANSPORTADORES DE ENVASE VACIO")</f>
        <v>TRANSPORTADORES DE ENVASE VACIO</v>
      </c>
      <c r="W117" s="5" t="str">
        <f ca="1">IF(AND(LEN(T117)=0, LEN(U117)=0), "", IF(AND(LEN(T117)&gt;0, LEN(U117)=0), "BLANCO", IFERROR(VLOOKUP(U117, BasedatosM9!A:B, 2, FALSE), "BLANCO")))</f>
        <v>Alejandro Davila</v>
      </c>
      <c r="AI117" s="5" t="str">
        <f>IF(AND(LEN(AF117)=0, LEN(AG117)=0), "", IF(AND(LEN(AF117)&gt;0, LEN(AG117)=0), "BLANCO", IFERROR(VLOOKUP(AG117, BasedatosM9!A:B, 2, FALSE), "BLANCO")))</f>
        <v/>
      </c>
      <c r="AU117" s="5" t="str">
        <f>IF(AND(LEN(AR117)=0, LEN(AS117)=0), "", IF(AND(LEN(AR117)&gt;0, LEN(AS117)=0), "BLANCO", IFERROR(VLOOKUP(AS117, BasedatosM9!A:B, 2, FALSE), "BLANCO")))</f>
        <v/>
      </c>
    </row>
    <row r="118" spans="1:47" ht="14.4">
      <c r="A118" s="21" t="s">
        <v>4767</v>
      </c>
      <c r="B118" s="86">
        <v>23903302</v>
      </c>
      <c r="C118" s="98">
        <v>45355</v>
      </c>
      <c r="D118" s="21" t="s">
        <v>4847</v>
      </c>
      <c r="E118" s="86">
        <v>0.2</v>
      </c>
      <c r="F118" s="99">
        <v>0.92013888888888884</v>
      </c>
      <c r="G118" s="99">
        <v>0.92847222222222225</v>
      </c>
      <c r="H118" s="21" t="s">
        <v>4549</v>
      </c>
      <c r="I118" s="86">
        <v>20010206</v>
      </c>
      <c r="J118" s="21" t="s">
        <v>4848</v>
      </c>
      <c r="K118" s="5" t="str">
        <f>IF(AND(LEN(H118)=0, LEN(I118)=0), "", IF(AND(LEN(H118)&gt;0, LEN(I118)=0), "BLANCO", IFERROR(VLOOKUP(I118, BasedatosM9!A:B, 2, FALSE), "BLANCO")))</f>
        <v>Vanegas Guependo Hermes</v>
      </c>
      <c r="M118" s="5" t="str">
        <f ca="1">IFERROR(__xludf.DUMMYFUNCTION("""COMPUTED_VALUE"""),"TURNO C")</f>
        <v>TURNO C</v>
      </c>
      <c r="N118" s="5">
        <f ca="1">IFERROR(__xludf.DUMMYFUNCTION("""COMPUTED_VALUE"""),23910008)</f>
        <v>23910008</v>
      </c>
      <c r="O118" s="14">
        <f ca="1">IFERROR(__xludf.DUMMYFUNCTION("""COMPUTED_VALUE"""),45358)</f>
        <v>45358</v>
      </c>
      <c r="P118" s="5" t="str">
        <f ca="1">IFERROR(__xludf.DUMMYFUNCTION("""COMPUTED_VALUE"""),"Atascamiento botellas")</f>
        <v>Atascamiento botellas</v>
      </c>
      <c r="Q118" s="5">
        <f ca="1">IFERROR(__xludf.DUMMYFUNCTION("""COMPUTED_VALUE"""),0.08)</f>
        <v>0.08</v>
      </c>
      <c r="R118" s="15">
        <f ca="1">IFERROR(__xludf.DUMMYFUNCTION("""COMPUTED_VALUE"""),0.00347222222222222)</f>
        <v>3.4722222222222199E-3</v>
      </c>
      <c r="S118" s="15">
        <f ca="1">IFERROR(__xludf.DUMMYFUNCTION("""COMPUTED_VALUE"""),0.00694444444444444)</f>
        <v>6.9444444444444397E-3</v>
      </c>
      <c r="T118" s="5" t="str">
        <f ca="1">IFERROR(__xludf.DUMMYFUNCTION("""COMPUTED_VALUE"""),"LINE 1")</f>
        <v>LINE 1</v>
      </c>
      <c r="U118" s="5">
        <f ca="1">IFERROR(__xludf.DUMMYFUNCTION("""COMPUTED_VALUE"""),20009721)</f>
        <v>20009721</v>
      </c>
      <c r="V118" s="5" t="str">
        <f ca="1">IFERROR(__xludf.DUMMYFUNCTION("""COMPUTED_VALUE"""),"TRANSPORTADORES DE ENVASE VACIO")</f>
        <v>TRANSPORTADORES DE ENVASE VACIO</v>
      </c>
      <c r="W118" s="5" t="str">
        <f ca="1">IF(AND(LEN(T118)=0, LEN(U118)=0), "", IF(AND(LEN(T118)&gt;0, LEN(U118)=0), "BLANCO", IFERROR(VLOOKUP(U118, BasedatosM9!A:B, 2, FALSE), "BLANCO")))</f>
        <v>Alejandro Davila</v>
      </c>
      <c r="AI118" s="5" t="str">
        <f>IF(AND(LEN(AF118)=0, LEN(AG118)=0), "", IF(AND(LEN(AF118)&gt;0, LEN(AG118)=0), "BLANCO", IFERROR(VLOOKUP(AG118, BasedatosM9!A:B, 2, FALSE), "BLANCO")))</f>
        <v/>
      </c>
      <c r="AU118" s="5" t="str">
        <f>IF(AND(LEN(AR118)=0, LEN(AS118)=0), "", IF(AND(LEN(AR118)&gt;0, LEN(AS118)=0), "BLANCO", IFERROR(VLOOKUP(AS118, BasedatosM9!A:B, 2, FALSE), "BLANCO")))</f>
        <v/>
      </c>
    </row>
    <row r="119" spans="1:47" ht="14.4">
      <c r="A119" s="21" t="s">
        <v>4767</v>
      </c>
      <c r="B119" s="86">
        <v>23903307</v>
      </c>
      <c r="C119" s="98">
        <v>45355</v>
      </c>
      <c r="D119" s="21" t="s">
        <v>4847</v>
      </c>
      <c r="E119" s="86">
        <v>0.25</v>
      </c>
      <c r="F119" s="99">
        <v>1.7361111111111112E-2</v>
      </c>
      <c r="G119" s="99">
        <v>2.7777777777777776E-2</v>
      </c>
      <c r="H119" s="21" t="s">
        <v>4549</v>
      </c>
      <c r="I119" s="86">
        <v>20010206</v>
      </c>
      <c r="J119" s="21" t="s">
        <v>4848</v>
      </c>
      <c r="K119" s="5" t="str">
        <f>IF(AND(LEN(H119)=0, LEN(I119)=0), "", IF(AND(LEN(H119)&gt;0, LEN(I119)=0), "BLANCO", IFERROR(VLOOKUP(I119, BasedatosM9!A:B, 2, FALSE), "BLANCO")))</f>
        <v>Vanegas Guependo Hermes</v>
      </c>
      <c r="M119" s="5" t="str">
        <f ca="1">IFERROR(__xludf.DUMMYFUNCTION("""COMPUTED_VALUE"""),"TURNO C")</f>
        <v>TURNO C</v>
      </c>
      <c r="N119" s="5">
        <f ca="1">IFERROR(__xludf.DUMMYFUNCTION("""COMPUTED_VALUE"""),23910072)</f>
        <v>23910072</v>
      </c>
      <c r="O119" s="14">
        <f ca="1">IFERROR(__xludf.DUMMYFUNCTION("""COMPUTED_VALUE"""),45358)</f>
        <v>45358</v>
      </c>
      <c r="P119" s="5" t="str">
        <f ca="1">IFERROR(__xludf.DUMMYFUNCTION("""COMPUTED_VALUE"""),"Encolamiento botella mal posicionada.")</f>
        <v>Encolamiento botella mal posicionada.</v>
      </c>
      <c r="Q119" s="5">
        <f ca="1">IFERROR(__xludf.DUMMYFUNCTION("""COMPUTED_VALUE"""),0.08)</f>
        <v>0.08</v>
      </c>
      <c r="R119" s="15">
        <f ca="1">IFERROR(__xludf.DUMMYFUNCTION("""COMPUTED_VALUE"""),0.0166666666666666)</f>
        <v>1.6666666666666601E-2</v>
      </c>
      <c r="S119" s="15">
        <f ca="1">IFERROR(__xludf.DUMMYFUNCTION("""COMPUTED_VALUE"""),0.0201388888888888)</f>
        <v>2.01388888888888E-2</v>
      </c>
      <c r="T119" s="5" t="str">
        <f ca="1">IFERROR(__xludf.DUMMYFUNCTION("""COMPUTED_VALUE"""),"LINE 1")</f>
        <v>LINE 1</v>
      </c>
      <c r="U119" s="5"/>
      <c r="V119" s="5" t="str">
        <f ca="1">IFERROR(__xludf.DUMMYFUNCTION("""COMPUTED_VALUE"""),"ETIQUETADORA ENVOLVENTE")</f>
        <v>ETIQUETADORA ENVOLVENTE</v>
      </c>
      <c r="W119" s="5" t="str">
        <f ca="1">IF(AND(LEN(T119)=0, LEN(U119)=0), "", IF(AND(LEN(T119)&gt;0, LEN(U119)=0), "BLANCO", IFERROR(VLOOKUP(U119, BasedatosM9!A:B, 2, FALSE), "BLANCO")))</f>
        <v>BLANCO</v>
      </c>
      <c r="AI119" s="5" t="str">
        <f>IF(AND(LEN(AF119)=0, LEN(AG119)=0), "", IF(AND(LEN(AF119)&gt;0, LEN(AG119)=0), "BLANCO", IFERROR(VLOOKUP(AG119, BasedatosM9!A:B, 2, FALSE), "BLANCO")))</f>
        <v/>
      </c>
      <c r="AU119" s="5" t="str">
        <f>IF(AND(LEN(AR119)=0, LEN(AS119)=0), "", IF(AND(LEN(AR119)&gt;0, LEN(AS119)=0), "BLANCO", IFERROR(VLOOKUP(AS119, BasedatosM9!A:B, 2, FALSE), "BLANCO")))</f>
        <v/>
      </c>
    </row>
    <row r="120" spans="1:47" ht="14.4">
      <c r="A120" s="21" t="s">
        <v>4767</v>
      </c>
      <c r="B120" s="86">
        <v>23903375</v>
      </c>
      <c r="C120" s="98">
        <v>45355</v>
      </c>
      <c r="D120" s="21" t="s">
        <v>4805</v>
      </c>
      <c r="E120" s="86">
        <v>0.3</v>
      </c>
      <c r="F120" s="99">
        <v>0.9506944444444444</v>
      </c>
      <c r="G120" s="99">
        <v>0.96319444444444446</v>
      </c>
      <c r="H120" s="21" t="s">
        <v>4550</v>
      </c>
      <c r="I120" s="21"/>
      <c r="J120" s="21" t="s">
        <v>79</v>
      </c>
      <c r="K120" s="5" t="str">
        <f>IF(AND(LEN(H120)=0, LEN(I120)=0), "", IF(AND(LEN(H120)&gt;0, LEN(I120)=0), "BLANCO", IFERROR(VLOOKUP(I120, BasedatosM9!A:B, 2, FALSE), "BLANCO")))</f>
        <v>BLANCO</v>
      </c>
      <c r="M120" s="5" t="str">
        <f ca="1">IFERROR(__xludf.DUMMYFUNCTION("""COMPUTED_VALUE"""),"TURNO C")</f>
        <v>TURNO C</v>
      </c>
      <c r="N120" s="5">
        <f ca="1">IFERROR(__xludf.DUMMYFUNCTION("""COMPUTED_VALUE"""),23910140)</f>
        <v>23910140</v>
      </c>
      <c r="O120" s="14">
        <f ca="1">IFERROR(__xludf.DUMMYFUNCTION("""COMPUTED_VALUE"""),45358)</f>
        <v>45358</v>
      </c>
      <c r="P120" s="5" t="str">
        <f ca="1">IFERROR(__xludf.DUMMYFUNCTION("""COMPUTED_VALUE"""),"Atascamiento botellas")</f>
        <v>Atascamiento botellas</v>
      </c>
      <c r="Q120" s="5">
        <f ca="1">IFERROR(__xludf.DUMMYFUNCTION("""COMPUTED_VALUE"""),0.1)</f>
        <v>0.1</v>
      </c>
      <c r="R120" s="15">
        <f ca="1">IFERROR(__xludf.DUMMYFUNCTION("""COMPUTED_VALUE"""),0.0659722222222222)</f>
        <v>6.5972222222222196E-2</v>
      </c>
      <c r="S120" s="15">
        <f ca="1">IFERROR(__xludf.DUMMYFUNCTION("""COMPUTED_VALUE"""),0.0701388888888888)</f>
        <v>7.0138888888888806E-2</v>
      </c>
      <c r="T120" s="5" t="str">
        <f ca="1">IFERROR(__xludf.DUMMYFUNCTION("""COMPUTED_VALUE"""),"LINE 1")</f>
        <v>LINE 1</v>
      </c>
      <c r="U120" s="5">
        <f ca="1">IFERROR(__xludf.DUMMYFUNCTION("""COMPUTED_VALUE"""),20009721)</f>
        <v>20009721</v>
      </c>
      <c r="V120" s="5" t="str">
        <f ca="1">IFERROR(__xludf.DUMMYFUNCTION("""COMPUTED_VALUE"""),"TRANSPORTADORES DE ENVASE VACIO")</f>
        <v>TRANSPORTADORES DE ENVASE VACIO</v>
      </c>
      <c r="W120" s="5" t="str">
        <f ca="1">IF(AND(LEN(T120)=0, LEN(U120)=0), "", IF(AND(LEN(T120)&gt;0, LEN(U120)=0), "BLANCO", IFERROR(VLOOKUP(U120, BasedatosM9!A:B, 2, FALSE), "BLANCO")))</f>
        <v>Alejandro Davila</v>
      </c>
      <c r="AI120" s="5" t="str">
        <f>IF(AND(LEN(AF120)=0, LEN(AG120)=0), "", IF(AND(LEN(AF120)&gt;0, LEN(AG120)=0), "BLANCO", IFERROR(VLOOKUP(AG120, BasedatosM9!A:B, 2, FALSE), "BLANCO")))</f>
        <v/>
      </c>
      <c r="AU120" s="5" t="str">
        <f>IF(AND(LEN(AR120)=0, LEN(AS120)=0), "", IF(AND(LEN(AR120)&gt;0, LEN(AS120)=0), "BLANCO", IFERROR(VLOOKUP(AS120, BasedatosM9!A:B, 2, FALSE), "BLANCO")))</f>
        <v/>
      </c>
    </row>
    <row r="121" spans="1:47" ht="14.4">
      <c r="A121" s="21" t="s">
        <v>4767</v>
      </c>
      <c r="B121" s="86">
        <v>23903439</v>
      </c>
      <c r="C121" s="98">
        <v>45355</v>
      </c>
      <c r="D121" s="21" t="s">
        <v>4751</v>
      </c>
      <c r="E121" s="86">
        <v>0.13</v>
      </c>
      <c r="F121" s="99">
        <v>0.13194444444444445</v>
      </c>
      <c r="G121" s="99">
        <v>0.13749999999999998</v>
      </c>
      <c r="H121" s="21" t="s">
        <v>4551</v>
      </c>
      <c r="I121" s="86">
        <v>20036419</v>
      </c>
      <c r="J121" s="21" t="s">
        <v>4744</v>
      </c>
      <c r="K121" s="5" t="str">
        <f>IF(AND(LEN(H121)=0, LEN(I121)=0), "", IF(AND(LEN(H121)&gt;0, LEN(I121)=0), "BLANCO", IFERROR(VLOOKUP(I121, BasedatosM9!A:B, 2, FALSE), "BLANCO")))</f>
        <v>Adalcides Campo</v>
      </c>
      <c r="M121" s="5" t="str">
        <f ca="1">IFERROR(__xludf.DUMMYFUNCTION("""COMPUTED_VALUE"""),"TURNO C")</f>
        <v>TURNO C</v>
      </c>
      <c r="N121" s="5">
        <f ca="1">IFERROR(__xludf.DUMMYFUNCTION("""COMPUTED_VALUE"""),23910214)</f>
        <v>23910214</v>
      </c>
      <c r="O121" s="14">
        <f ca="1">IFERROR(__xludf.DUMMYFUNCTION("""COMPUTED_VALUE"""),45359)</f>
        <v>45359</v>
      </c>
      <c r="P121" s="5" t="str">
        <f ca="1">IFERROR(__xludf.DUMMYFUNCTION("""COMPUTED_VALUE"""),"Bajo contenido botellas")</f>
        <v>Bajo contenido botellas</v>
      </c>
      <c r="Q121" s="5">
        <f ca="1">IFERROR(__xludf.DUMMYFUNCTION("""COMPUTED_VALUE"""),0.28)</f>
        <v>0.28000000000000003</v>
      </c>
      <c r="R121" s="15">
        <f ca="1">IFERROR(__xludf.DUMMYFUNCTION("""COMPUTED_VALUE"""),0.107638888888888)</f>
        <v>0.10763888888888801</v>
      </c>
      <c r="S121" s="15">
        <f ca="1">IFERROR(__xludf.DUMMYFUNCTION("""COMPUTED_VALUE"""),0.119444444444444)</f>
        <v>0.11944444444444401</v>
      </c>
      <c r="T121" s="5" t="str">
        <f ca="1">IFERROR(__xludf.DUMMYFUNCTION("""COMPUTED_VALUE"""),"LINE 1")</f>
        <v>LINE 1</v>
      </c>
      <c r="U121" s="5">
        <f ca="1">IFERROR(__xludf.DUMMYFUNCTION("""COMPUTED_VALUE"""),20036419)</f>
        <v>20036419</v>
      </c>
      <c r="V121" s="5" t="str">
        <f ca="1">IFERROR(__xludf.DUMMYFUNCTION("""COMPUTED_VALUE"""),"LLENADORA BOTELLAS PET")</f>
        <v>LLENADORA BOTELLAS PET</v>
      </c>
      <c r="W121" s="5" t="str">
        <f ca="1">IF(AND(LEN(T121)=0, LEN(U121)=0), "", IF(AND(LEN(T121)&gt;0, LEN(U121)=0), "BLANCO", IFERROR(VLOOKUP(U121, BasedatosM9!A:B, 2, FALSE), "BLANCO")))</f>
        <v>Adalcides Campo</v>
      </c>
      <c r="AI121" s="5" t="str">
        <f>IF(AND(LEN(AF121)=0, LEN(AG121)=0), "", IF(AND(LEN(AF121)&gt;0, LEN(AG121)=0), "BLANCO", IFERROR(VLOOKUP(AG121, BasedatosM9!A:B, 2, FALSE), "BLANCO")))</f>
        <v/>
      </c>
      <c r="AU121" s="5" t="str">
        <f>IF(AND(LEN(AR121)=0, LEN(AS121)=0), "", IF(AND(LEN(AR121)&gt;0, LEN(AS121)=0), "BLANCO", IFERROR(VLOOKUP(AS121, BasedatosM9!A:B, 2, FALSE), "BLANCO")))</f>
        <v/>
      </c>
    </row>
    <row r="122" spans="1:47" ht="14.4">
      <c r="A122" s="21" t="s">
        <v>4757</v>
      </c>
      <c r="B122" s="86">
        <v>23903440</v>
      </c>
      <c r="C122" s="98">
        <v>45355</v>
      </c>
      <c r="D122" s="21" t="s">
        <v>4754</v>
      </c>
      <c r="E122" s="86">
        <v>0.37</v>
      </c>
      <c r="F122" s="99">
        <v>2.0833333333333332E-2</v>
      </c>
      <c r="G122" s="99">
        <v>3.6111111111111115E-2</v>
      </c>
      <c r="H122" s="21" t="s">
        <v>4550</v>
      </c>
      <c r="I122" s="86">
        <v>20022138</v>
      </c>
      <c r="J122" s="21" t="s">
        <v>4755</v>
      </c>
      <c r="K122" s="5" t="str">
        <f>IF(AND(LEN(H122)=0, LEN(I122)=0), "", IF(AND(LEN(H122)&gt;0, LEN(I122)=0), "BLANCO", IFERROR(VLOOKUP(I122, BasedatosM9!A:B, 2, FALSE), "BLANCO")))</f>
        <v>Jose Correa</v>
      </c>
      <c r="M122" s="5" t="str">
        <f ca="1">IFERROR(__xludf.DUMMYFUNCTION("""COMPUTED_VALUE"""),"TURNO C")</f>
        <v>TURNO C</v>
      </c>
      <c r="N122" s="5">
        <f ca="1">IFERROR(__xludf.DUMMYFUNCTION("""COMPUTED_VALUE"""),23910270)</f>
        <v>23910270</v>
      </c>
      <c r="O122" s="14">
        <f ca="1">IFERROR(__xludf.DUMMYFUNCTION("""COMPUTED_VALUE"""),45358)</f>
        <v>45358</v>
      </c>
      <c r="P122" s="5" t="str">
        <f ca="1">IFERROR(__xludf.DUMMYFUNCTION("""COMPUTED_VALUE"""),"Maquina no realiza empalme de rollo.")</f>
        <v>Maquina no realiza empalme de rollo.</v>
      </c>
      <c r="Q122" s="5">
        <f ca="1">IFERROR(__xludf.DUMMYFUNCTION("""COMPUTED_VALUE"""),0.13)</f>
        <v>0.13</v>
      </c>
      <c r="R122" s="15">
        <f ca="1">IFERROR(__xludf.DUMMYFUNCTION("""COMPUTED_VALUE"""),0.18125)</f>
        <v>0.18124999999999999</v>
      </c>
      <c r="S122" s="15">
        <f ca="1">IFERROR(__xludf.DUMMYFUNCTION("""COMPUTED_VALUE"""),0.186805555555555)</f>
        <v>0.186805555555555</v>
      </c>
      <c r="T122" s="5" t="str">
        <f ca="1">IFERROR(__xludf.DUMMYFUNCTION("""COMPUTED_VALUE"""),"LINE 1")</f>
        <v>LINE 1</v>
      </c>
      <c r="U122" s="5">
        <f ca="1">IFERROR(__xludf.DUMMYFUNCTION("""COMPUTED_VALUE"""),20009721)</f>
        <v>20009721</v>
      </c>
      <c r="V122" s="5" t="str">
        <f ca="1">IFERROR(__xludf.DUMMYFUNCTION("""COMPUTED_VALUE"""),"ETIQUETADORA ENVOLVENTE")</f>
        <v>ETIQUETADORA ENVOLVENTE</v>
      </c>
      <c r="W122" s="5" t="str">
        <f ca="1">IF(AND(LEN(T122)=0, LEN(U122)=0), "", IF(AND(LEN(T122)&gt;0, LEN(U122)=0), "BLANCO", IFERROR(VLOOKUP(U122, BasedatosM9!A:B, 2, FALSE), "BLANCO")))</f>
        <v>Alejandro Davila</v>
      </c>
      <c r="AI122" s="5" t="str">
        <f>IF(AND(LEN(AF122)=0, LEN(AG122)=0), "", IF(AND(LEN(AF122)&gt;0, LEN(AG122)=0), "BLANCO", IFERROR(VLOOKUP(AG122, BasedatosM9!A:B, 2, FALSE), "BLANCO")))</f>
        <v/>
      </c>
      <c r="AU122" s="5" t="str">
        <f>IF(AND(LEN(AR122)=0, LEN(AS122)=0), "", IF(AND(LEN(AR122)&gt;0, LEN(AS122)=0), "BLANCO", IFERROR(VLOOKUP(AS122, BasedatosM9!A:B, 2, FALSE), "BLANCO")))</f>
        <v/>
      </c>
    </row>
    <row r="123" spans="1:47" ht="14.4">
      <c r="A123" s="21" t="s">
        <v>4767</v>
      </c>
      <c r="B123" s="86">
        <v>23903493</v>
      </c>
      <c r="C123" s="98">
        <v>45355</v>
      </c>
      <c r="D123" s="21" t="s">
        <v>4837</v>
      </c>
      <c r="E123" s="86">
        <v>0.2</v>
      </c>
      <c r="F123" s="99">
        <v>0.18194444444444444</v>
      </c>
      <c r="G123" s="99">
        <v>0.19027777777777777</v>
      </c>
      <c r="H123" s="21" t="s">
        <v>4551</v>
      </c>
      <c r="I123" s="86">
        <v>20036419</v>
      </c>
      <c r="J123" s="21" t="s">
        <v>4773</v>
      </c>
      <c r="K123" s="5" t="str">
        <f>IF(AND(LEN(H123)=0, LEN(I123)=0), "", IF(AND(LEN(H123)&gt;0, LEN(I123)=0), "BLANCO", IFERROR(VLOOKUP(I123, BasedatosM9!A:B, 2, FALSE), "BLANCO")))</f>
        <v>Adalcides Campo</v>
      </c>
      <c r="M123" s="5" t="str">
        <f ca="1">IFERROR(__xludf.DUMMYFUNCTION("""COMPUTED_VALUE"""),"TURNO A")</f>
        <v>TURNO A</v>
      </c>
      <c r="N123" s="5">
        <f ca="1">IFERROR(__xludf.DUMMYFUNCTION("""COMPUTED_VALUE"""),23911146)</f>
        <v>23911146</v>
      </c>
      <c r="O123" s="14">
        <f ca="1">IFERROR(__xludf.DUMMYFUNCTION("""COMPUTED_VALUE"""),45359)</f>
        <v>45359</v>
      </c>
      <c r="P123" s="5" t="str">
        <f ca="1">IFERROR(__xludf.DUMMYFUNCTION("""COMPUTED_VALUE"""),"Botellas sin tapa")</f>
        <v>Botellas sin tapa</v>
      </c>
      <c r="Q123" s="5">
        <f ca="1">IFERROR(__xludf.DUMMYFUNCTION("""COMPUTED_VALUE"""),0.08)</f>
        <v>0.08</v>
      </c>
      <c r="R123" s="15">
        <f ca="1">IFERROR(__xludf.DUMMYFUNCTION("""COMPUTED_VALUE"""),0.354166666666666)</f>
        <v>0.35416666666666602</v>
      </c>
      <c r="S123" s="15">
        <f ca="1">IFERROR(__xludf.DUMMYFUNCTION("""COMPUTED_VALUE"""),0.357638888888888)</f>
        <v>0.35763888888888801</v>
      </c>
      <c r="T123" s="5" t="str">
        <f ca="1">IFERROR(__xludf.DUMMYFUNCTION("""COMPUTED_VALUE"""),"LINE 1")</f>
        <v>LINE 1</v>
      </c>
      <c r="U123" s="5"/>
      <c r="V123" s="5" t="str">
        <f ca="1">IFERROR(__xludf.DUMMYFUNCTION("""COMPUTED_VALUE"""),"LLENADORA BOTELLAS PET")</f>
        <v>LLENADORA BOTELLAS PET</v>
      </c>
      <c r="W123" s="5" t="str">
        <f ca="1">IF(AND(LEN(T123)=0, LEN(U123)=0), "", IF(AND(LEN(T123)&gt;0, LEN(U123)=0), "BLANCO", IFERROR(VLOOKUP(U123, BasedatosM9!A:B, 2, FALSE), "BLANCO")))</f>
        <v>BLANCO</v>
      </c>
      <c r="AI123" s="5" t="str">
        <f>IF(AND(LEN(AF123)=0, LEN(AG123)=0), "", IF(AND(LEN(AF123)&gt;0, LEN(AG123)=0), "BLANCO", IFERROR(VLOOKUP(AG123, BasedatosM9!A:B, 2, FALSE), "BLANCO")))</f>
        <v/>
      </c>
      <c r="AU123" s="5" t="str">
        <f>IF(AND(LEN(AR123)=0, LEN(AS123)=0), "", IF(AND(LEN(AR123)&gt;0, LEN(AS123)=0), "BLANCO", IFERROR(VLOOKUP(AS123, BasedatosM9!A:B, 2, FALSE), "BLANCO")))</f>
        <v/>
      </c>
    </row>
    <row r="124" spans="1:47" ht="14.4">
      <c r="A124" s="21" t="s">
        <v>4742</v>
      </c>
      <c r="B124" s="86">
        <v>23904031</v>
      </c>
      <c r="C124" s="98">
        <v>45356</v>
      </c>
      <c r="D124" s="21" t="s">
        <v>4849</v>
      </c>
      <c r="E124" s="86">
        <v>0.13</v>
      </c>
      <c r="F124" s="99">
        <v>0.2638888888888889</v>
      </c>
      <c r="G124" s="99">
        <v>0.26944444444444443</v>
      </c>
      <c r="H124" s="21" t="s">
        <v>4553</v>
      </c>
      <c r="I124" s="21"/>
      <c r="J124" s="21" t="s">
        <v>4850</v>
      </c>
      <c r="K124" s="5" t="str">
        <f>IF(AND(LEN(H124)=0, LEN(I124)=0), "", IF(AND(LEN(H124)&gt;0, LEN(I124)=0), "BLANCO", IFERROR(VLOOKUP(I124, BasedatosM9!A:B, 2, FALSE), "BLANCO")))</f>
        <v>BLANCO</v>
      </c>
      <c r="M124" s="5" t="str">
        <f ca="1">IFERROR(__xludf.DUMMYFUNCTION("""COMPUTED_VALUE"""),"TURNO A")</f>
        <v>TURNO A</v>
      </c>
      <c r="N124" s="5">
        <f ca="1">IFERROR(__xludf.DUMMYFUNCTION("""COMPUTED_VALUE"""),23911147)</f>
        <v>23911147</v>
      </c>
      <c r="O124" s="14">
        <f ca="1">IFERROR(__xludf.DUMMYFUNCTION("""COMPUTED_VALUE"""),45359)</f>
        <v>45359</v>
      </c>
      <c r="P124" s="5" t="str">
        <f ca="1">IFERROR(__xludf.DUMMYFUNCTION("""COMPUTED_VALUE"""),"Caida de paquetes")</f>
        <v>Caida de paquetes</v>
      </c>
      <c r="Q124" s="5">
        <f ca="1">IFERROR(__xludf.DUMMYFUNCTION("""COMPUTED_VALUE"""),0.13)</f>
        <v>0.13</v>
      </c>
      <c r="R124" s="15">
        <f ca="1">IFERROR(__xludf.DUMMYFUNCTION("""COMPUTED_VALUE"""),0.409722222222222)</f>
        <v>0.40972222222222199</v>
      </c>
      <c r="S124" s="15">
        <f ca="1">IFERROR(__xludf.DUMMYFUNCTION("""COMPUTED_VALUE"""),0.415277777777777)</f>
        <v>0.41527777777777702</v>
      </c>
      <c r="T124" s="5" t="str">
        <f ca="1">IFERROR(__xludf.DUMMYFUNCTION("""COMPUTED_VALUE"""),"LINE 1")</f>
        <v>LINE 1</v>
      </c>
      <c r="U124" s="5">
        <f ca="1">IFERROR(__xludf.DUMMYFUNCTION("""COMPUTED_VALUE"""),20010075)</f>
        <v>20010075</v>
      </c>
      <c r="V124" s="5" t="str">
        <f ca="1">IFERROR(__xludf.DUMMYFUNCTION("""COMPUTED_VALUE"""),"PALETIZADORA")</f>
        <v>PALETIZADORA</v>
      </c>
      <c r="W124" s="5" t="str">
        <f ca="1">IF(AND(LEN(T124)=0, LEN(U124)=0), "", IF(AND(LEN(T124)&gt;0, LEN(U124)=0), "BLANCO", IFERROR(VLOOKUP(U124, BasedatosM9!A:B, 2, FALSE), "BLANCO")))</f>
        <v>Diego Pedroza</v>
      </c>
      <c r="AI124" s="5" t="str">
        <f>IF(AND(LEN(AF124)=0, LEN(AG124)=0), "", IF(AND(LEN(AF124)&gt;0, LEN(AG124)=0), "BLANCO", IFERROR(VLOOKUP(AG124, BasedatosM9!A:B, 2, FALSE), "BLANCO")))</f>
        <v/>
      </c>
      <c r="AU124" s="5" t="str">
        <f>IF(AND(LEN(AR124)=0, LEN(AS124)=0), "", IF(AND(LEN(AR124)&gt;0, LEN(AS124)=0), "BLANCO", IFERROR(VLOOKUP(AS124, BasedatosM9!A:B, 2, FALSE), "BLANCO")))</f>
        <v/>
      </c>
    </row>
    <row r="125" spans="1:47" ht="14.4">
      <c r="A125" s="21" t="s">
        <v>4742</v>
      </c>
      <c r="B125" s="86">
        <v>23904041</v>
      </c>
      <c r="C125" s="98">
        <v>45356</v>
      </c>
      <c r="D125" s="21" t="s">
        <v>4851</v>
      </c>
      <c r="E125" s="86">
        <v>0.03</v>
      </c>
      <c r="F125" s="99">
        <v>0.25</v>
      </c>
      <c r="G125" s="99">
        <v>0.25138888888888888</v>
      </c>
      <c r="H125" s="21" t="s">
        <v>4551</v>
      </c>
      <c r="I125" s="21"/>
      <c r="J125" s="21" t="s">
        <v>4746</v>
      </c>
      <c r="K125" s="5" t="str">
        <f>IF(AND(LEN(H125)=0, LEN(I125)=0), "", IF(AND(LEN(H125)&gt;0, LEN(I125)=0), "BLANCO", IFERROR(VLOOKUP(I125, BasedatosM9!A:B, 2, FALSE), "BLANCO")))</f>
        <v>BLANCO</v>
      </c>
      <c r="M125" s="5" t="str">
        <f ca="1">IFERROR(__xludf.DUMMYFUNCTION("""COMPUTED_VALUE"""),"TURNO A")</f>
        <v>TURNO A</v>
      </c>
      <c r="N125" s="5">
        <f ca="1">IFERROR(__xludf.DUMMYFUNCTION("""COMPUTED_VALUE"""),23911328)</f>
        <v>23911328</v>
      </c>
      <c r="O125" s="14">
        <f ca="1">IFERROR(__xludf.DUMMYFUNCTION("""COMPUTED_VALUE"""),45359)</f>
        <v>45359</v>
      </c>
      <c r="P125" s="5" t="str">
        <f ca="1">IFERROR(__xludf.DUMMYFUNCTION("""COMPUTED_VALUE"""),"Botellas sin tapa")</f>
        <v>Botellas sin tapa</v>
      </c>
      <c r="Q125" s="5">
        <f ca="1">IFERROR(__xludf.DUMMYFUNCTION("""COMPUTED_VALUE"""),0.12)</f>
        <v>0.12</v>
      </c>
      <c r="R125" s="15">
        <f ca="1">IFERROR(__xludf.DUMMYFUNCTION("""COMPUTED_VALUE"""),0.459027777777777)</f>
        <v>0.45902777777777698</v>
      </c>
      <c r="S125" s="15">
        <f ca="1">IFERROR(__xludf.DUMMYFUNCTION("""COMPUTED_VALUE"""),0.463888888888888)</f>
        <v>0.46388888888888802</v>
      </c>
      <c r="T125" s="5" t="str">
        <f ca="1">IFERROR(__xludf.DUMMYFUNCTION("""COMPUTED_VALUE"""),"LINE 1")</f>
        <v>LINE 1</v>
      </c>
      <c r="U125" s="5">
        <f ca="1">IFERROR(__xludf.DUMMYFUNCTION("""COMPUTED_VALUE"""),20082152)</f>
        <v>20082152</v>
      </c>
      <c r="V125" s="5" t="str">
        <f ca="1">IFERROR(__xludf.DUMMYFUNCTION("""COMPUTED_VALUE"""),"LLENADORA BOTELLAS PET")</f>
        <v>LLENADORA BOTELLAS PET</v>
      </c>
      <c r="W125" s="5" t="str">
        <f ca="1">IF(AND(LEN(T125)=0, LEN(U125)=0), "", IF(AND(LEN(T125)&gt;0, LEN(U125)=0), "BLANCO", IFERROR(VLOOKUP(U125, BasedatosM9!A:B, 2, FALSE), "BLANCO")))</f>
        <v>Ferney Ramos</v>
      </c>
      <c r="AI125" s="5" t="str">
        <f>IF(AND(LEN(AF125)=0, LEN(AG125)=0), "", IF(AND(LEN(AF125)&gt;0, LEN(AG125)=0), "BLANCO", IFERROR(VLOOKUP(AG125, BasedatosM9!A:B, 2, FALSE), "BLANCO")))</f>
        <v/>
      </c>
      <c r="AU125" s="5" t="str">
        <f>IF(AND(LEN(AR125)=0, LEN(AS125)=0), "", IF(AND(LEN(AR125)&gt;0, LEN(AS125)=0), "BLANCO", IFERROR(VLOOKUP(AS125, BasedatosM9!A:B, 2, FALSE), "BLANCO")))</f>
        <v/>
      </c>
    </row>
    <row r="126" spans="1:47" ht="14.4">
      <c r="A126" s="21" t="s">
        <v>4742</v>
      </c>
      <c r="B126" s="86">
        <v>23904182</v>
      </c>
      <c r="C126" s="98">
        <v>45356</v>
      </c>
      <c r="D126" s="21" t="s">
        <v>4852</v>
      </c>
      <c r="E126" s="86">
        <v>0.23</v>
      </c>
      <c r="F126" s="99">
        <v>0.3125</v>
      </c>
      <c r="G126" s="99">
        <v>0.32222222222222224</v>
      </c>
      <c r="H126" s="21" t="s">
        <v>4549</v>
      </c>
      <c r="I126" s="21"/>
      <c r="J126" s="21" t="s">
        <v>4787</v>
      </c>
      <c r="K126" s="5" t="str">
        <f>IF(AND(LEN(H126)=0, LEN(I126)=0), "", IF(AND(LEN(H126)&gt;0, LEN(I126)=0), "BLANCO", IFERROR(VLOOKUP(I126, BasedatosM9!A:B, 2, FALSE), "BLANCO")))</f>
        <v>BLANCO</v>
      </c>
      <c r="M126" s="5" t="str">
        <f ca="1">IFERROR(__xludf.DUMMYFUNCTION("""COMPUTED_VALUE"""),"TURNO B")</f>
        <v>TURNO B</v>
      </c>
      <c r="N126" s="5">
        <f ca="1">IFERROR(__xludf.DUMMYFUNCTION("""COMPUTED_VALUE"""),23911825)</f>
        <v>23911825</v>
      </c>
      <c r="O126" s="14">
        <f ca="1">IFERROR(__xludf.DUMMYFUNCTION("""COMPUTED_VALUE"""),45359)</f>
        <v>45359</v>
      </c>
      <c r="P126" s="5" t="str">
        <f ca="1">IFERROR(__xludf.DUMMYFUNCTION("""COMPUTED_VALUE"""),"Ajuste guia salida")</f>
        <v>Ajuste guia salida</v>
      </c>
      <c r="Q126" s="5">
        <f ca="1">IFERROR(__xludf.DUMMYFUNCTION("""COMPUTED_VALUE"""),0.25)</f>
        <v>0.25</v>
      </c>
      <c r="R126" s="15">
        <f ca="1">IFERROR(__xludf.DUMMYFUNCTION("""COMPUTED_VALUE"""),0.611111111111111)</f>
        <v>0.61111111111111105</v>
      </c>
      <c r="S126" s="15">
        <f ca="1">IFERROR(__xludf.DUMMYFUNCTION("""COMPUTED_VALUE"""),0.621527777777777)</f>
        <v>0.62152777777777701</v>
      </c>
      <c r="T126" s="5" t="str">
        <f ca="1">IFERROR(__xludf.DUMMYFUNCTION("""COMPUTED_VALUE"""),"LINE 1")</f>
        <v>LINE 1</v>
      </c>
      <c r="U126" s="5">
        <f ca="1">IFERROR(__xludf.DUMMYFUNCTION("""COMPUTED_VALUE"""),20075387)</f>
        <v>20075387</v>
      </c>
      <c r="V126" s="5" t="str">
        <f ca="1">IFERROR(__xludf.DUMMYFUNCTION("""COMPUTED_VALUE"""),"ETIQUETADORA ENVOLVENTE")</f>
        <v>ETIQUETADORA ENVOLVENTE</v>
      </c>
      <c r="W126" s="5" t="str">
        <f ca="1">IF(AND(LEN(T126)=0, LEN(U126)=0), "", IF(AND(LEN(T126)&gt;0, LEN(U126)=0), "BLANCO", IFERROR(VLOOKUP(U126, BasedatosM9!A:B, 2, FALSE), "BLANCO")))</f>
        <v>Cristian Suaza</v>
      </c>
      <c r="AI126" s="5" t="str">
        <f>IF(AND(LEN(AF126)=0, LEN(AG126)=0), "", IF(AND(LEN(AF126)&gt;0, LEN(AG126)=0), "BLANCO", IFERROR(VLOOKUP(AG126, BasedatosM9!A:B, 2, FALSE), "BLANCO")))</f>
        <v/>
      </c>
      <c r="AU126" s="5" t="str">
        <f>IF(AND(LEN(AR126)=0, LEN(AS126)=0), "", IF(AND(LEN(AR126)&gt;0, LEN(AS126)=0), "BLANCO", IFERROR(VLOOKUP(AS126, BasedatosM9!A:B, 2, FALSE), "BLANCO")))</f>
        <v/>
      </c>
    </row>
    <row r="127" spans="1:47" ht="14.4">
      <c r="A127" s="21" t="s">
        <v>4742</v>
      </c>
      <c r="B127" s="86">
        <v>23904183</v>
      </c>
      <c r="C127" s="98">
        <v>45356</v>
      </c>
      <c r="D127" s="21" t="s">
        <v>4835</v>
      </c>
      <c r="E127" s="86">
        <v>0.22</v>
      </c>
      <c r="F127" s="99">
        <v>0.34027777777777773</v>
      </c>
      <c r="G127" s="99">
        <v>0.34930555555555554</v>
      </c>
      <c r="H127" s="21" t="s">
        <v>4549</v>
      </c>
      <c r="I127" s="21"/>
      <c r="J127" s="21" t="s">
        <v>4787</v>
      </c>
      <c r="K127" s="5" t="str">
        <f>IF(AND(LEN(H127)=0, LEN(I127)=0), "", IF(AND(LEN(H127)&gt;0, LEN(I127)=0), "BLANCO", IFERROR(VLOOKUP(I127, BasedatosM9!A:B, 2, FALSE), "BLANCO")))</f>
        <v>BLANCO</v>
      </c>
      <c r="M127" s="5" t="str">
        <f ca="1">IFERROR(__xludf.DUMMYFUNCTION("""COMPUTED_VALUE"""),"TURNO B")</f>
        <v>TURNO B</v>
      </c>
      <c r="N127" s="5">
        <f ca="1">IFERROR(__xludf.DUMMYFUNCTION("""COMPUTED_VALUE"""),23911826)</f>
        <v>23911826</v>
      </c>
      <c r="O127" s="14">
        <f ca="1">IFERROR(__xludf.DUMMYFUNCTION("""COMPUTED_VALUE"""),45359)</f>
        <v>45359</v>
      </c>
      <c r="P127" s="5" t="str">
        <f ca="1">IFERROR(__xludf.DUMMYFUNCTION("""COMPUTED_VALUE"""),"Ajustes de conversion")</f>
        <v>Ajustes de conversion</v>
      </c>
      <c r="Q127" s="5">
        <f ca="1">IFERROR(__xludf.DUMMYFUNCTION("""COMPUTED_VALUE"""),0.33)</f>
        <v>0.33</v>
      </c>
      <c r="R127" s="15">
        <f ca="1">IFERROR(__xludf.DUMMYFUNCTION("""COMPUTED_VALUE"""),0.621527777777777)</f>
        <v>0.62152777777777701</v>
      </c>
      <c r="S127" s="15">
        <f ca="1">IFERROR(__xludf.DUMMYFUNCTION("""COMPUTED_VALUE"""),0.635416666666666)</f>
        <v>0.63541666666666596</v>
      </c>
      <c r="T127" s="5" t="str">
        <f ca="1">IFERROR(__xludf.DUMMYFUNCTION("""COMPUTED_VALUE"""),"LINE 1")</f>
        <v>LINE 1</v>
      </c>
      <c r="U127" s="5">
        <f ca="1">IFERROR(__xludf.DUMMYFUNCTION("""COMPUTED_VALUE"""),20075387)</f>
        <v>20075387</v>
      </c>
      <c r="V127" s="5" t="str">
        <f ca="1">IFERROR(__xludf.DUMMYFUNCTION("""COMPUTED_VALUE"""),"TRANSPORTADORES DE ENVASE VACIO")</f>
        <v>TRANSPORTADORES DE ENVASE VACIO</v>
      </c>
      <c r="W127" s="5" t="str">
        <f ca="1">IF(AND(LEN(T127)=0, LEN(U127)=0), "", IF(AND(LEN(T127)&gt;0, LEN(U127)=0), "BLANCO", IFERROR(VLOOKUP(U127, BasedatosM9!A:B, 2, FALSE), "BLANCO")))</f>
        <v>Cristian Suaza</v>
      </c>
      <c r="AI127" s="5" t="str">
        <f>IF(AND(LEN(AF127)=0, LEN(AG127)=0), "", IF(AND(LEN(AF127)&gt;0, LEN(AG127)=0), "BLANCO", IFERROR(VLOOKUP(AG127, BasedatosM9!A:B, 2, FALSE), "BLANCO")))</f>
        <v/>
      </c>
      <c r="AU127" s="5" t="str">
        <f>IF(AND(LEN(AR127)=0, LEN(AS127)=0), "", IF(AND(LEN(AR127)&gt;0, LEN(AS127)=0), "BLANCO", IFERROR(VLOOKUP(AS127, BasedatosM9!A:B, 2, FALSE), "BLANCO")))</f>
        <v/>
      </c>
    </row>
    <row r="128" spans="1:47" ht="14.4">
      <c r="A128" s="21" t="s">
        <v>4742</v>
      </c>
      <c r="B128" s="86">
        <v>23904246</v>
      </c>
      <c r="C128" s="98">
        <v>45356</v>
      </c>
      <c r="D128" s="21" t="s">
        <v>4853</v>
      </c>
      <c r="E128" s="86">
        <v>1.7</v>
      </c>
      <c r="F128" s="99">
        <v>0.31944444444444448</v>
      </c>
      <c r="G128" s="99">
        <v>0.39027777777777778</v>
      </c>
      <c r="H128" s="21" t="s">
        <v>4551</v>
      </c>
      <c r="I128" s="86">
        <v>20020754</v>
      </c>
      <c r="J128" s="21" t="s">
        <v>79</v>
      </c>
      <c r="K128" s="5" t="str">
        <f>IF(AND(LEN(H128)=0, LEN(I128)=0), "", IF(AND(LEN(H128)&gt;0, LEN(I128)=0), "BLANCO", IFERROR(VLOOKUP(I128, BasedatosM9!A:B, 2, FALSE), "BLANCO")))</f>
        <v>Sanchez Rodriguez Gerson Andres</v>
      </c>
      <c r="M128" s="5" t="str">
        <f ca="1">IFERROR(__xludf.DUMMYFUNCTION("""COMPUTED_VALUE"""),"TURNO B")</f>
        <v>TURNO B</v>
      </c>
      <c r="N128" s="5">
        <f ca="1">IFERROR(__xludf.DUMMYFUNCTION("""COMPUTED_VALUE"""),23911827)</f>
        <v>23911827</v>
      </c>
      <c r="O128" s="14">
        <f ca="1">IFERROR(__xludf.DUMMYFUNCTION("""COMPUTED_VALUE"""),45359)</f>
        <v>45359</v>
      </c>
      <c r="P128" s="5" t="str">
        <f ca="1">IFERROR(__xludf.DUMMYFUNCTION("""COMPUTED_VALUE"""),"ajuste velocidad flowliner")</f>
        <v>ajuste velocidad flowliner</v>
      </c>
      <c r="Q128" s="5">
        <f ca="1">IFERROR(__xludf.DUMMYFUNCTION("""COMPUTED_VALUE"""),0.17)</f>
        <v>0.17</v>
      </c>
      <c r="R128" s="15">
        <f ca="1">IFERROR(__xludf.DUMMYFUNCTION("""COMPUTED_VALUE"""),0.635416666666666)</f>
        <v>0.63541666666666596</v>
      </c>
      <c r="S128" s="15">
        <f ca="1">IFERROR(__xludf.DUMMYFUNCTION("""COMPUTED_VALUE"""),0.642361111111111)</f>
        <v>0.64236111111111105</v>
      </c>
      <c r="T128" s="5" t="str">
        <f ca="1">IFERROR(__xludf.DUMMYFUNCTION("""COMPUTED_VALUE"""),"LINE 1")</f>
        <v>LINE 1</v>
      </c>
      <c r="U128" s="5">
        <f ca="1">IFERROR(__xludf.DUMMYFUNCTION("""COMPUTED_VALUE"""),20019987)</f>
        <v>20019987</v>
      </c>
      <c r="V128" s="5" t="str">
        <f ca="1">IFERROR(__xludf.DUMMYFUNCTION("""COMPUTED_VALUE"""),"TRANSPORTADORES DE BEBIDA")</f>
        <v>TRANSPORTADORES DE BEBIDA</v>
      </c>
      <c r="W128" s="5" t="str">
        <f ca="1">IF(AND(LEN(T128)=0, LEN(U128)=0), "", IF(AND(LEN(T128)&gt;0, LEN(U128)=0), "BLANCO", IFERROR(VLOOKUP(U128, BasedatosM9!A:B, 2, FALSE), "BLANCO")))</f>
        <v>Aguado Lemos Luis Eyder</v>
      </c>
      <c r="AI128" s="5" t="str">
        <f>IF(AND(LEN(AF128)=0, LEN(AG128)=0), "", IF(AND(LEN(AF128)&gt;0, LEN(AG128)=0), "BLANCO", IFERROR(VLOOKUP(AG128, BasedatosM9!A:B, 2, FALSE), "BLANCO")))</f>
        <v/>
      </c>
      <c r="AU128" s="5" t="str">
        <f>IF(AND(LEN(AR128)=0, LEN(AS128)=0), "", IF(AND(LEN(AR128)&gt;0, LEN(AS128)=0), "BLANCO", IFERROR(VLOOKUP(AS128, BasedatosM9!A:B, 2, FALSE), "BLANCO")))</f>
        <v/>
      </c>
    </row>
    <row r="129" spans="1:47" ht="14.4">
      <c r="A129" s="21" t="s">
        <v>4742</v>
      </c>
      <c r="B129" s="86">
        <v>23904274</v>
      </c>
      <c r="C129" s="98">
        <v>45356</v>
      </c>
      <c r="D129" s="21" t="s">
        <v>4784</v>
      </c>
      <c r="E129" s="86">
        <v>0.17</v>
      </c>
      <c r="F129" s="99">
        <v>0.41666666666666669</v>
      </c>
      <c r="G129" s="99">
        <v>0.4236111111111111</v>
      </c>
      <c r="H129" s="21" t="s">
        <v>4551</v>
      </c>
      <c r="I129" s="86">
        <v>20082152</v>
      </c>
      <c r="J129" s="21" t="s">
        <v>4773</v>
      </c>
      <c r="K129" s="5" t="str">
        <f>IF(AND(LEN(H129)=0, LEN(I129)=0), "", IF(AND(LEN(H129)&gt;0, LEN(I129)=0), "BLANCO", IFERROR(VLOOKUP(I129, BasedatosM9!A:B, 2, FALSE), "BLANCO")))</f>
        <v>Ferney Ramos</v>
      </c>
      <c r="M129" s="5" t="str">
        <f ca="1">IFERROR(__xludf.DUMMYFUNCTION("""COMPUTED_VALUE"""),"TURNO B")</f>
        <v>TURNO B</v>
      </c>
      <c r="N129" s="5">
        <f ca="1">IFERROR(__xludf.DUMMYFUNCTION("""COMPUTED_VALUE"""),23911831)</f>
        <v>23911831</v>
      </c>
      <c r="O129" s="14">
        <f ca="1">IFERROR(__xludf.DUMMYFUNCTION("""COMPUTED_VALUE"""),45359)</f>
        <v>45359</v>
      </c>
      <c r="P129" s="5" t="str">
        <f ca="1">IFERROR(__xludf.DUMMYFUNCTION("""COMPUTED_VALUE"""),"Ajuste altura portabobina 1")</f>
        <v>Ajuste altura portabobina 1</v>
      </c>
      <c r="Q129" s="5">
        <f ca="1">IFERROR(__xludf.DUMMYFUNCTION("""COMPUTED_VALUE"""),0.93)</f>
        <v>0.93</v>
      </c>
      <c r="R129" s="15">
        <f ca="1">IFERROR(__xludf.DUMMYFUNCTION("""COMPUTED_VALUE"""),0.681944444444444)</f>
        <v>0.68194444444444402</v>
      </c>
      <c r="S129" s="15">
        <f ca="1">IFERROR(__xludf.DUMMYFUNCTION("""COMPUTED_VALUE"""),0.720833333333333)</f>
        <v>0.72083333333333299</v>
      </c>
      <c r="T129" s="5" t="str">
        <f ca="1">IFERROR(__xludf.DUMMYFUNCTION("""COMPUTED_VALUE"""),"LINE 1")</f>
        <v>LINE 1</v>
      </c>
      <c r="U129" s="5">
        <f ca="1">IFERROR(__xludf.DUMMYFUNCTION("""COMPUTED_VALUE"""),20075387)</f>
        <v>20075387</v>
      </c>
      <c r="V129" s="5" t="str">
        <f ca="1">IFERROR(__xludf.DUMMYFUNCTION("""COMPUTED_VALUE"""),"ETIQUETADORA ENVOLVENTE")</f>
        <v>ETIQUETADORA ENVOLVENTE</v>
      </c>
      <c r="W129" s="5" t="str">
        <f ca="1">IF(AND(LEN(T129)=0, LEN(U129)=0), "", IF(AND(LEN(T129)&gt;0, LEN(U129)=0), "BLANCO", IFERROR(VLOOKUP(U129, BasedatosM9!A:B, 2, FALSE), "BLANCO")))</f>
        <v>Cristian Suaza</v>
      </c>
      <c r="AI129" s="5" t="str">
        <f>IF(AND(LEN(AF129)=0, LEN(AG129)=0), "", IF(AND(LEN(AF129)&gt;0, LEN(AG129)=0), "BLANCO", IFERROR(VLOOKUP(AG129, BasedatosM9!A:B, 2, FALSE), "BLANCO")))</f>
        <v/>
      </c>
      <c r="AU129" s="5" t="str">
        <f>IF(AND(LEN(AR129)=0, LEN(AS129)=0), "", IF(AND(LEN(AR129)&gt;0, LEN(AS129)=0), "BLANCO", IFERROR(VLOOKUP(AS129, BasedatosM9!A:B, 2, FALSE), "BLANCO")))</f>
        <v/>
      </c>
    </row>
    <row r="130" spans="1:47" ht="14.4">
      <c r="A130" s="21" t="s">
        <v>4742</v>
      </c>
      <c r="B130" s="86">
        <v>23904276</v>
      </c>
      <c r="C130" s="98">
        <v>45356</v>
      </c>
      <c r="D130" s="21" t="s">
        <v>4851</v>
      </c>
      <c r="E130" s="86">
        <v>0.18</v>
      </c>
      <c r="F130" s="99">
        <v>0.43055555555555558</v>
      </c>
      <c r="G130" s="99">
        <v>0.4381944444444445</v>
      </c>
      <c r="H130" s="21" t="s">
        <v>4551</v>
      </c>
      <c r="I130" s="86">
        <v>20020754</v>
      </c>
      <c r="J130" s="21" t="s">
        <v>4746</v>
      </c>
      <c r="K130" s="5" t="str">
        <f>IF(AND(LEN(H130)=0, LEN(I130)=0), "", IF(AND(LEN(H130)&gt;0, LEN(I130)=0), "BLANCO", IFERROR(VLOOKUP(I130, BasedatosM9!A:B, 2, FALSE), "BLANCO")))</f>
        <v>Sanchez Rodriguez Gerson Andres</v>
      </c>
      <c r="M130" s="5" t="str">
        <f ca="1">IFERROR(__xludf.DUMMYFUNCTION("""COMPUTED_VALUE"""),"TURNO B")</f>
        <v>TURNO B</v>
      </c>
      <c r="N130" s="5">
        <f ca="1">IFERROR(__xludf.DUMMYFUNCTION("""COMPUTED_VALUE"""),23911883)</f>
        <v>23911883</v>
      </c>
      <c r="O130" s="14">
        <f ca="1">IFERROR(__xludf.DUMMYFUNCTION("""COMPUTED_VALUE"""),45359)</f>
        <v>45359</v>
      </c>
      <c r="P130" s="5" t="str">
        <f ca="1">IFERROR(__xludf.DUMMYFUNCTION("""COMPUTED_VALUE"""),"Ajuste presiones")</f>
        <v>Ajuste presiones</v>
      </c>
      <c r="Q130" s="5">
        <f ca="1">IFERROR(__xludf.DUMMYFUNCTION("""COMPUTED_VALUE"""),0.1)</f>
        <v>0.1</v>
      </c>
      <c r="R130" s="15">
        <f ca="1">IFERROR(__xludf.DUMMYFUNCTION("""COMPUTED_VALUE"""),0.720833333333333)</f>
        <v>0.72083333333333299</v>
      </c>
      <c r="S130" s="15">
        <f ca="1">IFERROR(__xludf.DUMMYFUNCTION("""COMPUTED_VALUE"""),0.725)</f>
        <v>0.72499999999999998</v>
      </c>
      <c r="T130" s="5" t="str">
        <f ca="1">IFERROR(__xludf.DUMMYFUNCTION("""COMPUTED_VALUE"""),"LINE 1")</f>
        <v>LINE 1</v>
      </c>
      <c r="U130" s="5">
        <f ca="1">IFERROR(__xludf.DUMMYFUNCTION("""COMPUTED_VALUE"""),20075387)</f>
        <v>20075387</v>
      </c>
      <c r="V130" s="5" t="str">
        <f ca="1">IFERROR(__xludf.DUMMYFUNCTION("""COMPUTED_VALUE"""),"TRANSPORTADORES DE ENVASE VACIO")</f>
        <v>TRANSPORTADORES DE ENVASE VACIO</v>
      </c>
      <c r="W130" s="5" t="str">
        <f ca="1">IF(AND(LEN(T130)=0, LEN(U130)=0), "", IF(AND(LEN(T130)&gt;0, LEN(U130)=0), "BLANCO", IFERROR(VLOOKUP(U130, BasedatosM9!A:B, 2, FALSE), "BLANCO")))</f>
        <v>Cristian Suaza</v>
      </c>
      <c r="AI130" s="5" t="str">
        <f>IF(AND(LEN(AF130)=0, LEN(AG130)=0), "", IF(AND(LEN(AF130)&gt;0, LEN(AG130)=0), "BLANCO", IFERROR(VLOOKUP(AG130, BasedatosM9!A:B, 2, FALSE), "BLANCO")))</f>
        <v/>
      </c>
      <c r="AU130" s="5" t="str">
        <f>IF(AND(LEN(AR130)=0, LEN(AS130)=0), "", IF(AND(LEN(AR130)&gt;0, LEN(AS130)=0), "BLANCO", IFERROR(VLOOKUP(AS130, BasedatosM9!A:B, 2, FALSE), "BLANCO")))</f>
        <v/>
      </c>
    </row>
    <row r="131" spans="1:47" ht="14.4">
      <c r="A131" s="21" t="s">
        <v>4742</v>
      </c>
      <c r="B131" s="86">
        <v>23904413</v>
      </c>
      <c r="C131" s="98">
        <v>45356</v>
      </c>
      <c r="D131" s="21" t="s">
        <v>4854</v>
      </c>
      <c r="E131" s="86">
        <v>0.33</v>
      </c>
      <c r="F131" s="99">
        <v>0.4236111111111111</v>
      </c>
      <c r="G131" s="99">
        <v>0.4375</v>
      </c>
      <c r="H131" s="21" t="s">
        <v>4553</v>
      </c>
      <c r="I131" s="21"/>
      <c r="J131" s="21" t="s">
        <v>4820</v>
      </c>
      <c r="K131" s="5" t="str">
        <f>IF(AND(LEN(H131)=0, LEN(I131)=0), "", IF(AND(LEN(H131)&gt;0, LEN(I131)=0), "BLANCO", IFERROR(VLOOKUP(I131, BasedatosM9!A:B, 2, FALSE), "BLANCO")))</f>
        <v>BLANCO</v>
      </c>
      <c r="M131" s="5" t="str">
        <f ca="1">IFERROR(__xludf.DUMMYFUNCTION("""COMPUTED_VALUE"""),"TURNO B")</f>
        <v>TURNO B</v>
      </c>
      <c r="N131" s="5">
        <f ca="1">IFERROR(__xludf.DUMMYFUNCTION("""COMPUTED_VALUE"""),23911885)</f>
        <v>23911885</v>
      </c>
      <c r="O131" s="14">
        <f ca="1">IFERROR(__xludf.DUMMYFUNCTION("""COMPUTED_VALUE"""),45359)</f>
        <v>45359</v>
      </c>
      <c r="P131" s="5" t="str">
        <f ca="1">IFERROR(__xludf.DUMMYFUNCTION("""COMPUTED_VALUE"""),"Variador alarmado electricamente")</f>
        <v>Variador alarmado electricamente</v>
      </c>
      <c r="Q131" s="5">
        <f ca="1">IFERROR(__xludf.DUMMYFUNCTION("""COMPUTED_VALUE"""),0.1)</f>
        <v>0.1</v>
      </c>
      <c r="R131" s="15">
        <f ca="1">IFERROR(__xludf.DUMMYFUNCTION("""COMPUTED_VALUE"""),0.725)</f>
        <v>0.72499999999999998</v>
      </c>
      <c r="S131" s="15">
        <f ca="1">IFERROR(__xludf.DUMMYFUNCTION("""COMPUTED_VALUE"""),0.729166666666666)</f>
        <v>0.72916666666666596</v>
      </c>
      <c r="T131" s="5" t="str">
        <f ca="1">IFERROR(__xludf.DUMMYFUNCTION("""COMPUTED_VALUE"""),"LINE 1")</f>
        <v>LINE 1</v>
      </c>
      <c r="U131" s="5">
        <f ca="1">IFERROR(__xludf.DUMMYFUNCTION("""COMPUTED_VALUE"""),20009915)</f>
        <v>20009915</v>
      </c>
      <c r="V131" s="5" t="str">
        <f ca="1">IFERROR(__xludf.DUMMYFUNCTION("""COMPUTED_VALUE"""),"TRANSPORTADORES DE BEBIDA")</f>
        <v>TRANSPORTADORES DE BEBIDA</v>
      </c>
      <c r="W131" s="5" t="str">
        <f ca="1">IF(AND(LEN(T131)=0, LEN(U131)=0), "", IF(AND(LEN(T131)&gt;0, LEN(U131)=0), "BLANCO", IFERROR(VLOOKUP(U131, BasedatosM9!A:B, 2, FALSE), "BLANCO")))</f>
        <v>Lozano Delgado Fausto Andres</v>
      </c>
      <c r="AI131" s="5" t="str">
        <f>IF(AND(LEN(AF131)=0, LEN(AG131)=0), "", IF(AND(LEN(AF131)&gt;0, LEN(AG131)=0), "BLANCO", IFERROR(VLOOKUP(AG131, BasedatosM9!A:B, 2, FALSE), "BLANCO")))</f>
        <v/>
      </c>
      <c r="AU131" s="5" t="str">
        <f>IF(AND(LEN(AR131)=0, LEN(AS131)=0), "", IF(AND(LEN(AR131)&gt;0, LEN(AS131)=0), "BLANCO", IFERROR(VLOOKUP(AS131, BasedatosM9!A:B, 2, FALSE), "BLANCO")))</f>
        <v/>
      </c>
    </row>
    <row r="132" spans="1:47" ht="14.4">
      <c r="A132" s="21" t="s">
        <v>4742</v>
      </c>
      <c r="B132" s="86">
        <v>23904504</v>
      </c>
      <c r="C132" s="98">
        <v>45356</v>
      </c>
      <c r="D132" s="21" t="s">
        <v>4761</v>
      </c>
      <c r="E132" s="86">
        <v>0.43</v>
      </c>
      <c r="F132" s="99">
        <v>0.50972222222222219</v>
      </c>
      <c r="G132" s="99">
        <v>0.52777777777777779</v>
      </c>
      <c r="H132" s="21" t="s">
        <v>4550</v>
      </c>
      <c r="I132" s="21"/>
      <c r="J132" s="21" t="s">
        <v>79</v>
      </c>
      <c r="K132" s="5" t="str">
        <f>IF(AND(LEN(H132)=0, LEN(I132)=0), "", IF(AND(LEN(H132)&gt;0, LEN(I132)=0), "BLANCO", IFERROR(VLOOKUP(I132, BasedatosM9!A:B, 2, FALSE), "BLANCO")))</f>
        <v>BLANCO</v>
      </c>
      <c r="M132" s="5" t="str">
        <f ca="1">IFERROR(__xludf.DUMMYFUNCTION("""COMPUTED_VALUE"""),"TURNO B")</f>
        <v>TURNO B</v>
      </c>
      <c r="N132" s="5">
        <f ca="1">IFERROR(__xludf.DUMMYFUNCTION("""COMPUTED_VALUE"""),23911899)</f>
        <v>23911899</v>
      </c>
      <c r="O132" s="14">
        <f ca="1">IFERROR(__xludf.DUMMYFUNCTION("""COMPUTED_VALUE"""),45359)</f>
        <v>45359</v>
      </c>
      <c r="P132" s="5" t="str">
        <f ca="1">IFERROR(__xludf.DUMMYFUNCTION("""COMPUTED_VALUE"""),"Caida botellas mesa de plegado")</f>
        <v>Caida botellas mesa de plegado</v>
      </c>
      <c r="Q132" s="5">
        <f ca="1">IFERROR(__xludf.DUMMYFUNCTION("""COMPUTED_VALUE"""),0.13)</f>
        <v>0.13</v>
      </c>
      <c r="R132" s="15">
        <f ca="1">IFERROR(__xludf.DUMMYFUNCTION("""COMPUTED_VALUE"""),0.756944444444444)</f>
        <v>0.75694444444444398</v>
      </c>
      <c r="S132" s="15">
        <f ca="1">IFERROR(__xludf.DUMMYFUNCTION("""COMPUTED_VALUE"""),0.7625)</f>
        <v>0.76249999999999996</v>
      </c>
      <c r="T132" s="5" t="str">
        <f ca="1">IFERROR(__xludf.DUMMYFUNCTION("""COMPUTED_VALUE"""),"LINE 1")</f>
        <v>LINE 1</v>
      </c>
      <c r="U132" s="5">
        <f ca="1">IFERROR(__xludf.DUMMYFUNCTION("""COMPUTED_VALUE"""),20009915)</f>
        <v>20009915</v>
      </c>
      <c r="V132" s="5" t="str">
        <f ca="1">IFERROR(__xludf.DUMMYFUNCTION("""COMPUTED_VALUE"""),"ENFARDADORA")</f>
        <v>ENFARDADORA</v>
      </c>
      <c r="W132" s="5" t="str">
        <f ca="1">IF(AND(LEN(T132)=0, LEN(U132)=0), "", IF(AND(LEN(T132)&gt;0, LEN(U132)=0), "BLANCO", IFERROR(VLOOKUP(U132, BasedatosM9!A:B, 2, FALSE), "BLANCO")))</f>
        <v>Lozano Delgado Fausto Andres</v>
      </c>
      <c r="AI132" s="5" t="str">
        <f>IF(AND(LEN(AF132)=0, LEN(AG132)=0), "", IF(AND(LEN(AF132)&gt;0, LEN(AG132)=0), "BLANCO", IFERROR(VLOOKUP(AG132, BasedatosM9!A:B, 2, FALSE), "BLANCO")))</f>
        <v/>
      </c>
      <c r="AU132" s="5" t="str">
        <f>IF(AND(LEN(AR132)=0, LEN(AS132)=0), "", IF(AND(LEN(AR132)&gt;0, LEN(AS132)=0), "BLANCO", IFERROR(VLOOKUP(AS132, BasedatosM9!A:B, 2, FALSE), "BLANCO")))</f>
        <v/>
      </c>
    </row>
    <row r="133" spans="1:47" ht="14.4">
      <c r="A133" s="21" t="s">
        <v>4742</v>
      </c>
      <c r="B133" s="86">
        <v>23904506</v>
      </c>
      <c r="C133" s="98">
        <v>45356</v>
      </c>
      <c r="D133" s="21" t="s">
        <v>4855</v>
      </c>
      <c r="E133" s="86">
        <v>1.1000000000000001</v>
      </c>
      <c r="F133" s="99">
        <v>0.5083333333333333</v>
      </c>
      <c r="G133" s="99">
        <v>0.5541666666666667</v>
      </c>
      <c r="H133" s="21" t="s">
        <v>4549</v>
      </c>
      <c r="I133" s="21"/>
      <c r="J133" s="21" t="s">
        <v>4834</v>
      </c>
      <c r="K133" s="5" t="str">
        <f>IF(AND(LEN(H133)=0, LEN(I133)=0), "", IF(AND(LEN(H133)&gt;0, LEN(I133)=0), "BLANCO", IFERROR(VLOOKUP(I133, BasedatosM9!A:B, 2, FALSE), "BLANCO")))</f>
        <v>BLANCO</v>
      </c>
      <c r="M133" s="5" t="str">
        <f ca="1">IFERROR(__xludf.DUMMYFUNCTION("""COMPUTED_VALUE"""),"TURNO B")</f>
        <v>TURNO B</v>
      </c>
      <c r="N133" s="5">
        <f ca="1">IFERROR(__xludf.DUMMYFUNCTION("""COMPUTED_VALUE"""),23911913)</f>
        <v>23911913</v>
      </c>
      <c r="O133" s="14">
        <f ca="1">IFERROR(__xludf.DUMMYFUNCTION("""COMPUTED_VALUE"""),45359)</f>
        <v>45359</v>
      </c>
      <c r="P133" s="5" t="str">
        <f ca="1">IFERROR(__xludf.DUMMYFUNCTION("""COMPUTED_VALUE"""),"Ajuste guia entrada")</f>
        <v>Ajuste guia entrada</v>
      </c>
      <c r="Q133" s="5">
        <f ca="1">IFERROR(__xludf.DUMMYFUNCTION("""COMPUTED_VALUE"""),0.45)</f>
        <v>0.45</v>
      </c>
      <c r="R133" s="15">
        <f ca="1">IFERROR(__xludf.DUMMYFUNCTION("""COMPUTED_VALUE"""),0.784722222222222)</f>
        <v>0.78472222222222199</v>
      </c>
      <c r="S133" s="15">
        <f ca="1">IFERROR(__xludf.DUMMYFUNCTION("""COMPUTED_VALUE"""),0.803472222222222)</f>
        <v>0.80347222222222203</v>
      </c>
      <c r="T133" s="5" t="str">
        <f ca="1">IFERROR(__xludf.DUMMYFUNCTION("""COMPUTED_VALUE"""),"LINE 1")</f>
        <v>LINE 1</v>
      </c>
      <c r="U133" s="5">
        <f ca="1">IFERROR(__xludf.DUMMYFUNCTION("""COMPUTED_VALUE"""),20075387)</f>
        <v>20075387</v>
      </c>
      <c r="V133" s="5" t="str">
        <f ca="1">IFERROR(__xludf.DUMMYFUNCTION("""COMPUTED_VALUE"""),"ETIQUETADORA ENVOLVENTE")</f>
        <v>ETIQUETADORA ENVOLVENTE</v>
      </c>
      <c r="W133" s="5" t="str">
        <f ca="1">IF(AND(LEN(T133)=0, LEN(U133)=0), "", IF(AND(LEN(T133)&gt;0, LEN(U133)=0), "BLANCO", IFERROR(VLOOKUP(U133, BasedatosM9!A:B, 2, FALSE), "BLANCO")))</f>
        <v>Cristian Suaza</v>
      </c>
      <c r="AI133" s="5" t="str">
        <f>IF(AND(LEN(AF133)=0, LEN(AG133)=0), "", IF(AND(LEN(AF133)&gt;0, LEN(AG133)=0), "BLANCO", IFERROR(VLOOKUP(AG133, BasedatosM9!A:B, 2, FALSE), "BLANCO")))</f>
        <v/>
      </c>
      <c r="AU133" s="5" t="str">
        <f>IF(AND(LEN(AR133)=0, LEN(AS133)=0), "", IF(AND(LEN(AR133)&gt;0, LEN(AS133)=0), "BLANCO", IFERROR(VLOOKUP(AS133, BasedatosM9!A:B, 2, FALSE), "BLANCO")))</f>
        <v/>
      </c>
    </row>
    <row r="134" spans="1:47" ht="14.4">
      <c r="A134" s="21" t="s">
        <v>4742</v>
      </c>
      <c r="B134" s="86">
        <v>23904521</v>
      </c>
      <c r="C134" s="98">
        <v>45356</v>
      </c>
      <c r="D134" s="21" t="s">
        <v>4856</v>
      </c>
      <c r="E134" s="86">
        <v>0.17</v>
      </c>
      <c r="F134" s="99">
        <v>0.51597222222222217</v>
      </c>
      <c r="G134" s="99">
        <v>0.5229166666666667</v>
      </c>
      <c r="H134" s="21" t="s">
        <v>4764</v>
      </c>
      <c r="I134" s="86">
        <v>20009822</v>
      </c>
      <c r="J134" s="21" t="s">
        <v>67</v>
      </c>
      <c r="K134" s="5" t="str">
        <f>IF(AND(LEN(H134)=0, LEN(I134)=0), "", IF(AND(LEN(H134)&gt;0, LEN(I134)=0), "BLANCO", IFERROR(VLOOKUP(I134, BasedatosM9!A:B, 2, FALSE), "BLANCO")))</f>
        <v>Guzman Palechor Miguel Angel</v>
      </c>
      <c r="M134" s="5" t="str">
        <f ca="1">IFERROR(__xludf.DUMMYFUNCTION("""COMPUTED_VALUE"""),"TURNO B")</f>
        <v>TURNO B</v>
      </c>
      <c r="N134" s="5">
        <f ca="1">IFERROR(__xludf.DUMMYFUNCTION("""COMPUTED_VALUE"""),23912019)</f>
        <v>23912019</v>
      </c>
      <c r="O134" s="14">
        <f ca="1">IFERROR(__xludf.DUMMYFUNCTION("""COMPUTED_VALUE"""),45359)</f>
        <v>45359</v>
      </c>
      <c r="P134" s="5" t="str">
        <f ca="1">IFERROR(__xludf.DUMMYFUNCTION("""COMPUTED_VALUE"""),"Caida botellas en sistema clasificador")</f>
        <v>Caida botellas en sistema clasificador</v>
      </c>
      <c r="Q134" s="5">
        <f ca="1">IFERROR(__xludf.DUMMYFUNCTION("""COMPUTED_VALUE"""),0.07)</f>
        <v>7.0000000000000007E-2</v>
      </c>
      <c r="R134" s="15">
        <f ca="1">IFERROR(__xludf.DUMMYFUNCTION("""COMPUTED_VALUE"""),0.888888888888888)</f>
        <v>0.88888888888888795</v>
      </c>
      <c r="S134" s="15">
        <f ca="1">IFERROR(__xludf.DUMMYFUNCTION("""COMPUTED_VALUE"""),0.891666666666666)</f>
        <v>0.89166666666666605</v>
      </c>
      <c r="T134" s="5" t="str">
        <f ca="1">IFERROR(__xludf.DUMMYFUNCTION("""COMPUTED_VALUE"""),"LINE 1")</f>
        <v>LINE 1</v>
      </c>
      <c r="U134" s="5">
        <f ca="1">IFERROR(__xludf.DUMMYFUNCTION("""COMPUTED_VALUE"""),20009915)</f>
        <v>20009915</v>
      </c>
      <c r="V134" s="5" t="str">
        <f ca="1">IFERROR(__xludf.DUMMYFUNCTION("""COMPUTED_VALUE"""),"ENFARDADORA")</f>
        <v>ENFARDADORA</v>
      </c>
      <c r="W134" s="5" t="str">
        <f ca="1">IF(AND(LEN(T134)=0, LEN(U134)=0), "", IF(AND(LEN(T134)&gt;0, LEN(U134)=0), "BLANCO", IFERROR(VLOOKUP(U134, BasedatosM9!A:B, 2, FALSE), "BLANCO")))</f>
        <v>Lozano Delgado Fausto Andres</v>
      </c>
      <c r="AI134" s="5" t="str">
        <f>IF(AND(LEN(AF134)=0, LEN(AG134)=0), "", IF(AND(LEN(AF134)&gt;0, LEN(AG134)=0), "BLANCO", IFERROR(VLOOKUP(AG134, BasedatosM9!A:B, 2, FALSE), "BLANCO")))</f>
        <v/>
      </c>
      <c r="AU134" s="5" t="str">
        <f>IF(AND(LEN(AR134)=0, LEN(AS134)=0), "", IF(AND(LEN(AR134)&gt;0, LEN(AS134)=0), "BLANCO", IFERROR(VLOOKUP(AS134, BasedatosM9!A:B, 2, FALSE), "BLANCO")))</f>
        <v/>
      </c>
    </row>
    <row r="135" spans="1:47" ht="14.4">
      <c r="A135" s="21" t="s">
        <v>4742</v>
      </c>
      <c r="B135" s="86">
        <v>23904563</v>
      </c>
      <c r="C135" s="98">
        <v>45356</v>
      </c>
      <c r="D135" s="21" t="s">
        <v>4761</v>
      </c>
      <c r="E135" s="86">
        <v>0.48</v>
      </c>
      <c r="F135" s="99">
        <v>0.55555555555555558</v>
      </c>
      <c r="G135" s="99">
        <v>0.5756944444444444</v>
      </c>
      <c r="H135" s="21" t="s">
        <v>4550</v>
      </c>
      <c r="I135" s="86">
        <v>20058001</v>
      </c>
      <c r="J135" s="21" t="s">
        <v>79</v>
      </c>
      <c r="K135" s="5" t="str">
        <f>IF(AND(LEN(H135)=0, LEN(I135)=0), "", IF(AND(LEN(H135)&gt;0, LEN(I135)=0), "BLANCO", IFERROR(VLOOKUP(I135, BasedatosM9!A:B, 2, FALSE), "BLANCO")))</f>
        <v>Bonilla Edwin</v>
      </c>
      <c r="M135" s="5" t="str">
        <f ca="1">IFERROR(__xludf.DUMMYFUNCTION("""COMPUTED_VALUE"""),"TURNO B")</f>
        <v>TURNO B</v>
      </c>
      <c r="N135" s="5">
        <f ca="1">IFERROR(__xludf.DUMMYFUNCTION("""COMPUTED_VALUE"""),23912052)</f>
        <v>23912052</v>
      </c>
      <c r="O135" s="14">
        <f ca="1">IFERROR(__xludf.DUMMYFUNCTION("""COMPUTED_VALUE"""),45359)</f>
        <v>45359</v>
      </c>
      <c r="P135" s="5" t="str">
        <f ca="1">IFERROR(__xludf.DUMMYFUNCTION("""COMPUTED_VALUE"""),"Variador alarmado electricamente")</f>
        <v>Variador alarmado electricamente</v>
      </c>
      <c r="Q135" s="5">
        <f ca="1">IFERROR(__xludf.DUMMYFUNCTION("""COMPUTED_VALUE"""),0.08)</f>
        <v>0.08</v>
      </c>
      <c r="R135" s="15">
        <f ca="1">IFERROR(__xludf.DUMMYFUNCTION("""COMPUTED_VALUE"""),0.895833333333333)</f>
        <v>0.89583333333333304</v>
      </c>
      <c r="S135" s="15">
        <f ca="1">IFERROR(__xludf.DUMMYFUNCTION("""COMPUTED_VALUE"""),0.899305555555555)</f>
        <v>0.89930555555555503</v>
      </c>
      <c r="T135" s="5" t="str">
        <f ca="1">IFERROR(__xludf.DUMMYFUNCTION("""COMPUTED_VALUE"""),"LINE 1")</f>
        <v>LINE 1</v>
      </c>
      <c r="U135" s="5">
        <f ca="1">IFERROR(__xludf.DUMMYFUNCTION("""COMPUTED_VALUE"""),20009915)</f>
        <v>20009915</v>
      </c>
      <c r="V135" s="5" t="str">
        <f ca="1">IFERROR(__xludf.DUMMYFUNCTION("""COMPUTED_VALUE"""),"TRANSPORTADORES DE BEBIDA")</f>
        <v>TRANSPORTADORES DE BEBIDA</v>
      </c>
      <c r="W135" s="5" t="str">
        <f ca="1">IF(AND(LEN(T135)=0, LEN(U135)=0), "", IF(AND(LEN(T135)&gt;0, LEN(U135)=0), "BLANCO", IFERROR(VLOOKUP(U135, BasedatosM9!A:B, 2, FALSE), "BLANCO")))</f>
        <v>Lozano Delgado Fausto Andres</v>
      </c>
      <c r="AI135" s="5" t="str">
        <f>IF(AND(LEN(AF135)=0, LEN(AG135)=0), "", IF(AND(LEN(AF135)&gt;0, LEN(AG135)=0), "BLANCO", IFERROR(VLOOKUP(AG135, BasedatosM9!A:B, 2, FALSE), "BLANCO")))</f>
        <v/>
      </c>
      <c r="AU135" s="5" t="str">
        <f>IF(AND(LEN(AR135)=0, LEN(AS135)=0), "", IF(AND(LEN(AR135)&gt;0, LEN(AS135)=0), "BLANCO", IFERROR(VLOOKUP(AS135, BasedatosM9!A:B, 2, FALSE), "BLANCO")))</f>
        <v/>
      </c>
    </row>
    <row r="136" spans="1:47" ht="14.4">
      <c r="A136" s="21" t="s">
        <v>4757</v>
      </c>
      <c r="B136" s="86">
        <v>23904681</v>
      </c>
      <c r="C136" s="98">
        <v>45356</v>
      </c>
      <c r="D136" s="21" t="s">
        <v>4745</v>
      </c>
      <c r="E136" s="86">
        <v>0.27</v>
      </c>
      <c r="F136" s="99">
        <v>0.59027777777777779</v>
      </c>
      <c r="G136" s="99">
        <v>0.60138888888888886</v>
      </c>
      <c r="H136" s="21" t="s">
        <v>4551</v>
      </c>
      <c r="I136" s="86">
        <v>20075387</v>
      </c>
      <c r="J136" s="21" t="s">
        <v>4746</v>
      </c>
      <c r="K136" s="5" t="str">
        <f>IF(AND(LEN(H136)=0, LEN(I136)=0), "", IF(AND(LEN(H136)&gt;0, LEN(I136)=0), "BLANCO", IFERROR(VLOOKUP(I136, BasedatosM9!A:B, 2, FALSE), "BLANCO")))</f>
        <v>Cristian Suaza</v>
      </c>
      <c r="M136" s="5" t="str">
        <f ca="1">IFERROR(__xludf.DUMMYFUNCTION("""COMPUTED_VALUE"""),"TURNO C")</f>
        <v>TURNO C</v>
      </c>
      <c r="N136" s="5">
        <f ca="1">IFERROR(__xludf.DUMMYFUNCTION("""COMPUTED_VALUE"""),23912266)</f>
        <v>23912266</v>
      </c>
      <c r="O136" s="14">
        <f ca="1">IFERROR(__xludf.DUMMYFUNCTION("""COMPUTED_VALUE"""),45359)</f>
        <v>45359</v>
      </c>
      <c r="P136" s="5" t="str">
        <f ca="1">IFERROR(__xludf.DUMMYFUNCTION("""COMPUTED_VALUE"""),"Exceso de adhesivo")</f>
        <v>Exceso de adhesivo</v>
      </c>
      <c r="Q136" s="5">
        <f ca="1">IFERROR(__xludf.DUMMYFUNCTION("""COMPUTED_VALUE"""),0.3)</f>
        <v>0.3</v>
      </c>
      <c r="R136" s="15">
        <f ca="1">IFERROR(__xludf.DUMMYFUNCTION("""COMPUTED_VALUE"""),0.959722222222222)</f>
        <v>0.95972222222222203</v>
      </c>
      <c r="S136" s="15">
        <f ca="1">IFERROR(__xludf.DUMMYFUNCTION("""COMPUTED_VALUE"""),0.972222222222222)</f>
        <v>0.97222222222222199</v>
      </c>
      <c r="T136" s="5" t="str">
        <f ca="1">IFERROR(__xludf.DUMMYFUNCTION("""COMPUTED_VALUE"""),"LINE 1")</f>
        <v>LINE 1</v>
      </c>
      <c r="U136" s="5">
        <f ca="1">IFERROR(__xludf.DUMMYFUNCTION("""COMPUTED_VALUE"""),20009996)</f>
        <v>20009996</v>
      </c>
      <c r="V136" s="5" t="str">
        <f ca="1">IFERROR(__xludf.DUMMYFUNCTION("""COMPUTED_VALUE"""),"TRANSPORTADORES DE CAJAS")</f>
        <v>TRANSPORTADORES DE CAJAS</v>
      </c>
      <c r="W136" s="5" t="str">
        <f ca="1">IF(AND(LEN(T136)=0, LEN(U136)=0), "", IF(AND(LEN(T136)&gt;0, LEN(U136)=0), "BLANCO", IFERROR(VLOOKUP(U136, BasedatosM9!A:B, 2, FALSE), "BLANCO")))</f>
        <v>Fernando Montoya</v>
      </c>
      <c r="AI136" s="5" t="str">
        <f>IF(AND(LEN(AF136)=0, LEN(AG136)=0), "", IF(AND(LEN(AF136)&gt;0, LEN(AG136)=0), "BLANCO", IFERROR(VLOOKUP(AG136, BasedatosM9!A:B, 2, FALSE), "BLANCO")))</f>
        <v/>
      </c>
      <c r="AU136" s="5" t="str">
        <f>IF(AND(LEN(AR136)=0, LEN(AS136)=0), "", IF(AND(LEN(AR136)&gt;0, LEN(AS136)=0), "BLANCO", IFERROR(VLOOKUP(AS136, BasedatosM9!A:B, 2, FALSE), "BLANCO")))</f>
        <v/>
      </c>
    </row>
    <row r="137" spans="1:47" ht="14.4">
      <c r="A137" s="21" t="s">
        <v>4757</v>
      </c>
      <c r="B137" s="86">
        <v>23904744</v>
      </c>
      <c r="C137" s="98">
        <v>45356</v>
      </c>
      <c r="D137" s="21" t="s">
        <v>4857</v>
      </c>
      <c r="E137" s="86">
        <v>0.1</v>
      </c>
      <c r="F137" s="99">
        <v>0.65277777777777779</v>
      </c>
      <c r="G137" s="99">
        <v>0.65694444444444444</v>
      </c>
      <c r="H137" s="21" t="s">
        <v>4549</v>
      </c>
      <c r="I137" s="21"/>
      <c r="J137" s="21" t="s">
        <v>4858</v>
      </c>
      <c r="K137" s="5" t="str">
        <f>IF(AND(LEN(H137)=0, LEN(I137)=0), "", IF(AND(LEN(H137)&gt;0, LEN(I137)=0), "BLANCO", IFERROR(VLOOKUP(I137, BasedatosM9!A:B, 2, FALSE), "BLANCO")))</f>
        <v>BLANCO</v>
      </c>
      <c r="M137" s="5" t="str">
        <f ca="1">IFERROR(__xludf.DUMMYFUNCTION("""COMPUTED_VALUE"""),"TURNO C")</f>
        <v>TURNO C</v>
      </c>
      <c r="N137" s="5">
        <f ca="1">IFERROR(__xludf.DUMMYFUNCTION("""COMPUTED_VALUE"""),23912268)</f>
        <v>23912268</v>
      </c>
      <c r="O137" s="14">
        <f ca="1">IFERROR(__xludf.DUMMYFUNCTION("""COMPUTED_VALUE"""),45359)</f>
        <v>45359</v>
      </c>
      <c r="P137" s="5" t="str">
        <f ca="1">IFERROR(__xludf.DUMMYFUNCTION("""COMPUTED_VALUE"""),"Caida de botellas salida llenadora")</f>
        <v>Caida de botellas salida llenadora</v>
      </c>
      <c r="Q137" s="5">
        <f ca="1">IFERROR(__xludf.DUMMYFUNCTION("""COMPUTED_VALUE"""),0.23)</f>
        <v>0.23</v>
      </c>
      <c r="R137" s="15">
        <f ca="1">IFERROR(__xludf.DUMMYFUNCTION("""COMPUTED_VALUE"""),0.975694444444444)</f>
        <v>0.97569444444444398</v>
      </c>
      <c r="S137" s="15">
        <f ca="1">IFERROR(__xludf.DUMMYFUNCTION("""COMPUTED_VALUE"""),0.985416666666666)</f>
        <v>0.98541666666666605</v>
      </c>
      <c r="T137" s="5" t="str">
        <f ca="1">IFERROR(__xludf.DUMMYFUNCTION("""COMPUTED_VALUE"""),"LINE 1")</f>
        <v>LINE 1</v>
      </c>
      <c r="U137" s="5"/>
      <c r="V137" s="5" t="str">
        <f ca="1">IFERROR(__xludf.DUMMYFUNCTION("""COMPUTED_VALUE"""),"TRANSPORTADORES DE BEBIDA")</f>
        <v>TRANSPORTADORES DE BEBIDA</v>
      </c>
      <c r="W137" s="5" t="str">
        <f ca="1">IF(AND(LEN(T137)=0, LEN(U137)=0), "", IF(AND(LEN(T137)&gt;0, LEN(U137)=0), "BLANCO", IFERROR(VLOOKUP(U137, BasedatosM9!A:B, 2, FALSE), "BLANCO")))</f>
        <v>BLANCO</v>
      </c>
      <c r="AI137" s="5" t="str">
        <f>IF(AND(LEN(AF137)=0, LEN(AG137)=0), "", IF(AND(LEN(AF137)&gt;0, LEN(AG137)=0), "BLANCO", IFERROR(VLOOKUP(AG137, BasedatosM9!A:B, 2, FALSE), "BLANCO")))</f>
        <v/>
      </c>
      <c r="AU137" s="5" t="str">
        <f>IF(AND(LEN(AR137)=0, LEN(AS137)=0), "", IF(AND(LEN(AR137)&gt;0, LEN(AS137)=0), "BLANCO", IFERROR(VLOOKUP(AS137, BasedatosM9!A:B, 2, FALSE), "BLANCO")))</f>
        <v/>
      </c>
    </row>
    <row r="138" spans="1:47" ht="14.4">
      <c r="A138" s="21" t="s">
        <v>4757</v>
      </c>
      <c r="B138" s="86">
        <v>23904882</v>
      </c>
      <c r="C138" s="98">
        <v>45356</v>
      </c>
      <c r="D138" s="21" t="s">
        <v>4761</v>
      </c>
      <c r="E138" s="86">
        <v>0.67</v>
      </c>
      <c r="F138" s="99">
        <v>0.625</v>
      </c>
      <c r="G138" s="99">
        <v>0.65277777777777779</v>
      </c>
      <c r="H138" s="21" t="s">
        <v>4550</v>
      </c>
      <c r="I138" s="86">
        <v>20010079</v>
      </c>
      <c r="J138" s="21" t="s">
        <v>79</v>
      </c>
      <c r="K138" s="5" t="str">
        <f>IF(AND(LEN(H138)=0, LEN(I138)=0), "", IF(AND(LEN(H138)&gt;0, LEN(I138)=0), "BLANCO", IFERROR(VLOOKUP(I138, BasedatosM9!A:B, 2, FALSE), "BLANCO")))</f>
        <v>Peña Quiñonez Andres Gilberto</v>
      </c>
      <c r="M138" s="5" t="str">
        <f ca="1">IFERROR(__xludf.DUMMYFUNCTION("""COMPUTED_VALUE"""),"TURNO C")</f>
        <v>TURNO C</v>
      </c>
      <c r="N138" s="5">
        <f ca="1">IFERROR(__xludf.DUMMYFUNCTION("""COMPUTED_VALUE"""),23912269)</f>
        <v>23912269</v>
      </c>
      <c r="O138" s="14">
        <f ca="1">IFERROR(__xludf.DUMMYFUNCTION("""COMPUTED_VALUE"""),45359)</f>
        <v>45359</v>
      </c>
      <c r="P138" s="5" t="str">
        <f ca="1">IFERROR(__xludf.DUMMYFUNCTION("""COMPUTED_VALUE"""),"Botellas sin código")</f>
        <v>Botellas sin código</v>
      </c>
      <c r="Q138" s="5">
        <f ca="1">IFERROR(__xludf.DUMMYFUNCTION("""COMPUTED_VALUE"""),0.22)</f>
        <v>0.22</v>
      </c>
      <c r="R138" s="15">
        <f ca="1">IFERROR(__xludf.DUMMYFUNCTION("""COMPUTED_VALUE"""),0.986805555555555)</f>
        <v>0.98680555555555505</v>
      </c>
      <c r="S138" s="15">
        <f ca="1">IFERROR(__xludf.DUMMYFUNCTION("""COMPUTED_VALUE"""),0.995833333333333)</f>
        <v>0.99583333333333302</v>
      </c>
      <c r="T138" s="5" t="str">
        <f ca="1">IFERROR(__xludf.DUMMYFUNCTION("""COMPUTED_VALUE"""),"LINE 1")</f>
        <v>LINE 1</v>
      </c>
      <c r="U138" s="5">
        <f ca="1">IFERROR(__xludf.DUMMYFUNCTION("""COMPUTED_VALUE"""),20036419)</f>
        <v>20036419</v>
      </c>
      <c r="V138" s="5" t="str">
        <f ca="1">IFERROR(__xludf.DUMMYFUNCTION("""COMPUTED_VALUE"""),"CODIFICADOR DE BOTELLAS")</f>
        <v>CODIFICADOR DE BOTELLAS</v>
      </c>
      <c r="W138" s="5" t="str">
        <f ca="1">IF(AND(LEN(T138)=0, LEN(U138)=0), "", IF(AND(LEN(T138)&gt;0, LEN(U138)=0), "BLANCO", IFERROR(VLOOKUP(U138, BasedatosM9!A:B, 2, FALSE), "BLANCO")))</f>
        <v>Adalcides Campo</v>
      </c>
      <c r="AI138" s="5" t="str">
        <f>IF(AND(LEN(AF138)=0, LEN(AG138)=0), "", IF(AND(LEN(AF138)&gt;0, LEN(AG138)=0), "BLANCO", IFERROR(VLOOKUP(AG138, BasedatosM9!A:B, 2, FALSE), "BLANCO")))</f>
        <v/>
      </c>
      <c r="AU138" s="5" t="str">
        <f>IF(AND(LEN(AR138)=0, LEN(AS138)=0), "", IF(AND(LEN(AR138)&gt;0, LEN(AS138)=0), "BLANCO", IFERROR(VLOOKUP(AS138, BasedatosM9!A:B, 2, FALSE), "BLANCO")))</f>
        <v/>
      </c>
    </row>
    <row r="139" spans="1:47" ht="14.4">
      <c r="A139" s="21" t="s">
        <v>4757</v>
      </c>
      <c r="B139" s="86">
        <v>23905031</v>
      </c>
      <c r="C139" s="98">
        <v>45356</v>
      </c>
      <c r="D139" s="21" t="s">
        <v>4745</v>
      </c>
      <c r="E139" s="86">
        <v>0.25</v>
      </c>
      <c r="F139" s="99">
        <v>0.6875</v>
      </c>
      <c r="G139" s="99">
        <v>0.69791666666666663</v>
      </c>
      <c r="H139" s="21" t="s">
        <v>4551</v>
      </c>
      <c r="I139" s="86">
        <v>20075387</v>
      </c>
      <c r="J139" s="21" t="s">
        <v>4746</v>
      </c>
      <c r="K139" s="5" t="str">
        <f>IF(AND(LEN(H139)=0, LEN(I139)=0), "", IF(AND(LEN(H139)&gt;0, LEN(I139)=0), "BLANCO", IFERROR(VLOOKUP(I139, BasedatosM9!A:B, 2, FALSE), "BLANCO")))</f>
        <v>Cristian Suaza</v>
      </c>
      <c r="M139" s="5" t="str">
        <f ca="1">IFERROR(__xludf.DUMMYFUNCTION("""COMPUTED_VALUE"""),"TURNO C")</f>
        <v>TURNO C</v>
      </c>
      <c r="N139" s="5">
        <f ca="1">IFERROR(__xludf.DUMMYFUNCTION("""COMPUTED_VALUE"""),23912270)</f>
        <v>23912270</v>
      </c>
      <c r="O139" s="14">
        <f ca="1">IFERROR(__xludf.DUMMYFUNCTION("""COMPUTED_VALUE"""),45359)</f>
        <v>45359</v>
      </c>
      <c r="P139" s="5" t="str">
        <f ca="1">IFERROR(__xludf.DUMMYFUNCTION("""COMPUTED_VALUE"""),"Falla comunicacion")</f>
        <v>Falla comunicacion</v>
      </c>
      <c r="Q139" s="5">
        <f ca="1">IFERROR(__xludf.DUMMYFUNCTION("""COMPUTED_VALUE"""),0.87)</f>
        <v>0.87</v>
      </c>
      <c r="R139" s="15">
        <f ca="1">IFERROR(__xludf.DUMMYFUNCTION("""COMPUTED_VALUE"""),0.0201388888888888)</f>
        <v>2.01388888888888E-2</v>
      </c>
      <c r="S139" s="15">
        <f ca="1">IFERROR(__xludf.DUMMYFUNCTION("""COMPUTED_VALUE"""),0.05625)</f>
        <v>5.6250000000000001E-2</v>
      </c>
      <c r="T139" s="5" t="str">
        <f ca="1">IFERROR(__xludf.DUMMYFUNCTION("""COMPUTED_VALUE"""),"LINE 1")</f>
        <v>LINE 1</v>
      </c>
      <c r="U139" s="5">
        <f ca="1">IFERROR(__xludf.DUMMYFUNCTION("""COMPUTED_VALUE"""),20084469)</f>
        <v>20084469</v>
      </c>
      <c r="V139" s="5" t="str">
        <f ca="1">IFERROR(__xludf.DUMMYFUNCTION("""COMPUTED_VALUE"""),"PALETIZADORA")</f>
        <v>PALETIZADORA</v>
      </c>
      <c r="W139" s="5" t="str">
        <f ca="1">IF(AND(LEN(T139)=0, LEN(U139)=0), "", IF(AND(LEN(T139)&gt;0, LEN(U139)=0), "BLANCO", IFERROR(VLOOKUP(U139, BasedatosM9!A:B, 2, FALSE), "BLANCO")))</f>
        <v>Mauricio Murillo Arrollo</v>
      </c>
      <c r="AI139" s="5" t="str">
        <f>IF(AND(LEN(AF139)=0, LEN(AG139)=0), "", IF(AND(LEN(AF139)&gt;0, LEN(AG139)=0), "BLANCO", IFERROR(VLOOKUP(AG139, BasedatosM9!A:B, 2, FALSE), "BLANCO")))</f>
        <v/>
      </c>
      <c r="AU139" s="5" t="str">
        <f>IF(AND(LEN(AR139)=0, LEN(AS139)=0), "", IF(AND(LEN(AR139)&gt;0, LEN(AS139)=0), "BLANCO", IFERROR(VLOOKUP(AS139, BasedatosM9!A:B, 2, FALSE), "BLANCO")))</f>
        <v/>
      </c>
    </row>
    <row r="140" spans="1:47" ht="14.4">
      <c r="A140" s="21" t="s">
        <v>4757</v>
      </c>
      <c r="B140" s="86">
        <v>23905066</v>
      </c>
      <c r="C140" s="98">
        <v>45356</v>
      </c>
      <c r="D140" s="21" t="s">
        <v>4859</v>
      </c>
      <c r="E140" s="86">
        <v>0.78</v>
      </c>
      <c r="F140" s="99">
        <v>0.70833333333333337</v>
      </c>
      <c r="G140" s="99">
        <v>0.74097222222222225</v>
      </c>
      <c r="H140" s="21" t="s">
        <v>4551</v>
      </c>
      <c r="I140" s="86">
        <v>20009915</v>
      </c>
      <c r="J140" s="21" t="s">
        <v>1471</v>
      </c>
      <c r="K140" s="5" t="str">
        <f>IF(AND(LEN(H140)=0, LEN(I140)=0), "", IF(AND(LEN(H140)&gt;0, LEN(I140)=0), "BLANCO", IFERROR(VLOOKUP(I140, BasedatosM9!A:B, 2, FALSE), "BLANCO")))</f>
        <v>Lozano Delgado Fausto Andres</v>
      </c>
      <c r="M140" s="5" t="str">
        <f ca="1">IFERROR(__xludf.DUMMYFUNCTION("""COMPUTED_VALUE"""),"TURNO C")</f>
        <v>TURNO C</v>
      </c>
      <c r="N140" s="5">
        <f ca="1">IFERROR(__xludf.DUMMYFUNCTION("""COMPUTED_VALUE"""),23912271)</f>
        <v>23912271</v>
      </c>
      <c r="O140" s="14">
        <f ca="1">IFERROR(__xludf.DUMMYFUNCTION("""COMPUTED_VALUE"""),45359)</f>
        <v>45359</v>
      </c>
      <c r="P140" s="5" t="str">
        <f ca="1">IFERROR(__xludf.DUMMYFUNCTION("""COMPUTED_VALUE"""),"Caida de botellas salida llenadora")</f>
        <v>Caida de botellas salida llenadora</v>
      </c>
      <c r="Q140" s="5">
        <f ca="1">IFERROR(__xludf.DUMMYFUNCTION("""COMPUTED_VALUE"""),0.15)</f>
        <v>0.15</v>
      </c>
      <c r="R140" s="15">
        <f ca="1">IFERROR(__xludf.DUMMYFUNCTION("""COMPUTED_VALUE"""),0.0722222222222222)</f>
        <v>7.2222222222222202E-2</v>
      </c>
      <c r="S140" s="15">
        <f ca="1">IFERROR(__xludf.DUMMYFUNCTION("""COMPUTED_VALUE"""),0.0784722222222222)</f>
        <v>7.8472222222222193E-2</v>
      </c>
      <c r="T140" s="5" t="str">
        <f ca="1">IFERROR(__xludf.DUMMYFUNCTION("""COMPUTED_VALUE"""),"LINE 1")</f>
        <v>LINE 1</v>
      </c>
      <c r="U140" s="5">
        <f ca="1">IFERROR(__xludf.DUMMYFUNCTION("""COMPUTED_VALUE"""),20036419)</f>
        <v>20036419</v>
      </c>
      <c r="V140" s="5" t="str">
        <f ca="1">IFERROR(__xludf.DUMMYFUNCTION("""COMPUTED_VALUE"""),"TRANSPORTADORES DE BEBIDA")</f>
        <v>TRANSPORTADORES DE BEBIDA</v>
      </c>
      <c r="W140" s="5" t="str">
        <f ca="1">IF(AND(LEN(T140)=0, LEN(U140)=0), "", IF(AND(LEN(T140)&gt;0, LEN(U140)=0), "BLANCO", IFERROR(VLOOKUP(U140, BasedatosM9!A:B, 2, FALSE), "BLANCO")))</f>
        <v>Adalcides Campo</v>
      </c>
      <c r="AI140" s="5" t="str">
        <f>IF(AND(LEN(AF140)=0, LEN(AG140)=0), "", IF(AND(LEN(AF140)&gt;0, LEN(AG140)=0), "BLANCO", IFERROR(VLOOKUP(AG140, BasedatosM9!A:B, 2, FALSE), "BLANCO")))</f>
        <v/>
      </c>
      <c r="AU140" s="5" t="str">
        <f>IF(AND(LEN(AR140)=0, LEN(AS140)=0), "", IF(AND(LEN(AR140)&gt;0, LEN(AS140)=0), "BLANCO", IFERROR(VLOOKUP(AS140, BasedatosM9!A:B, 2, FALSE), "BLANCO")))</f>
        <v/>
      </c>
    </row>
    <row r="141" spans="1:47" ht="14.4">
      <c r="A141" s="21" t="s">
        <v>4757</v>
      </c>
      <c r="B141" s="86">
        <v>23905067</v>
      </c>
      <c r="C141" s="98">
        <v>45356</v>
      </c>
      <c r="D141" s="21" t="s">
        <v>4751</v>
      </c>
      <c r="E141" s="86">
        <v>0.55000000000000004</v>
      </c>
      <c r="F141" s="99">
        <v>0.75694444444444453</v>
      </c>
      <c r="G141" s="99">
        <v>0.77986111111111101</v>
      </c>
      <c r="H141" s="21" t="s">
        <v>4551</v>
      </c>
      <c r="I141" s="86">
        <v>20019987</v>
      </c>
      <c r="J141" s="21" t="s">
        <v>4744</v>
      </c>
      <c r="K141" s="5" t="str">
        <f>IF(AND(LEN(H141)=0, LEN(I141)=0), "", IF(AND(LEN(H141)&gt;0, LEN(I141)=0), "BLANCO", IFERROR(VLOOKUP(I141, BasedatosM9!A:B, 2, FALSE), "BLANCO")))</f>
        <v>Aguado Lemos Luis Eyder</v>
      </c>
      <c r="M141" s="5" t="str">
        <f ca="1">IFERROR(__xludf.DUMMYFUNCTION("""COMPUTED_VALUE"""),"TURNO C")</f>
        <v>TURNO C</v>
      </c>
      <c r="N141" s="5">
        <f ca="1">IFERROR(__xludf.DUMMYFUNCTION("""COMPUTED_VALUE"""),23912272)</f>
        <v>23912272</v>
      </c>
      <c r="O141" s="14">
        <f ca="1">IFERROR(__xludf.DUMMYFUNCTION("""COMPUTED_VALUE"""),45359)</f>
        <v>45359</v>
      </c>
      <c r="P141" s="5" t="str">
        <f ca="1">IFERROR(__xludf.DUMMYFUNCTION("""COMPUTED_VALUE"""),"Cambio leva estrella de transferencia")</f>
        <v>Cambio leva estrella de transferencia</v>
      </c>
      <c r="Q141" s="5">
        <f ca="1">IFERROR(__xludf.DUMMYFUNCTION("""COMPUTED_VALUE"""),0.17)</f>
        <v>0.17</v>
      </c>
      <c r="R141" s="15">
        <f ca="1">IFERROR(__xludf.DUMMYFUNCTION("""COMPUTED_VALUE"""),0.0972222222222222)</f>
        <v>9.7222222222222196E-2</v>
      </c>
      <c r="S141" s="15">
        <f ca="1">IFERROR(__xludf.DUMMYFUNCTION("""COMPUTED_VALUE"""),0.104166666666666)</f>
        <v>0.10416666666666601</v>
      </c>
      <c r="T141" s="5" t="str">
        <f ca="1">IFERROR(__xludf.DUMMYFUNCTION("""COMPUTED_VALUE"""),"LINE 1")</f>
        <v>LINE 1</v>
      </c>
      <c r="U141" s="5">
        <f ca="1">IFERROR(__xludf.DUMMYFUNCTION("""COMPUTED_VALUE"""),20036419)</f>
        <v>20036419</v>
      </c>
      <c r="V141" s="5" t="str">
        <f ca="1">IFERROR(__xludf.DUMMYFUNCTION("""COMPUTED_VALUE"""),"LLENADORA BOTELLAS PET")</f>
        <v>LLENADORA BOTELLAS PET</v>
      </c>
      <c r="W141" s="5" t="str">
        <f ca="1">IF(AND(LEN(T141)=0, LEN(U141)=0), "", IF(AND(LEN(T141)&gt;0, LEN(U141)=0), "BLANCO", IFERROR(VLOOKUP(U141, BasedatosM9!A:B, 2, FALSE), "BLANCO")))</f>
        <v>Adalcides Campo</v>
      </c>
      <c r="AI141" s="5" t="str">
        <f>IF(AND(LEN(AF141)=0, LEN(AG141)=0), "", IF(AND(LEN(AF141)&gt;0, LEN(AG141)=0), "BLANCO", IFERROR(VLOOKUP(AG141, BasedatosM9!A:B, 2, FALSE), "BLANCO")))</f>
        <v/>
      </c>
      <c r="AU141" s="5" t="str">
        <f>IF(AND(LEN(AR141)=0, LEN(AS141)=0), "", IF(AND(LEN(AR141)&gt;0, LEN(AS141)=0), "BLANCO", IFERROR(VLOOKUP(AS141, BasedatosM9!A:B, 2, FALSE), "BLANCO")))</f>
        <v/>
      </c>
    </row>
    <row r="142" spans="1:47" ht="14.4">
      <c r="A142" s="21" t="s">
        <v>4757</v>
      </c>
      <c r="B142" s="86">
        <v>23905143</v>
      </c>
      <c r="C142" s="98">
        <v>45356</v>
      </c>
      <c r="D142" s="21" t="s">
        <v>4745</v>
      </c>
      <c r="E142" s="86">
        <v>0.1</v>
      </c>
      <c r="F142" s="99">
        <v>0.81944444444444453</v>
      </c>
      <c r="G142" s="99">
        <v>0.82361111111111107</v>
      </c>
      <c r="H142" s="21" t="s">
        <v>4551</v>
      </c>
      <c r="I142" s="86">
        <v>20075387</v>
      </c>
      <c r="J142" s="21" t="s">
        <v>4746</v>
      </c>
      <c r="K142" s="5" t="str">
        <f>IF(AND(LEN(H142)=0, LEN(I142)=0), "", IF(AND(LEN(H142)&gt;0, LEN(I142)=0), "BLANCO", IFERROR(VLOOKUP(I142, BasedatosM9!A:B, 2, FALSE), "BLANCO")))</f>
        <v>Cristian Suaza</v>
      </c>
      <c r="M142" s="5" t="str">
        <f ca="1">IFERROR(__xludf.DUMMYFUNCTION("""COMPUTED_VALUE"""),"TURNO C")</f>
        <v>TURNO C</v>
      </c>
      <c r="N142" s="5">
        <f ca="1">IFERROR(__xludf.DUMMYFUNCTION("""COMPUTED_VALUE"""),23912330)</f>
        <v>23912330</v>
      </c>
      <c r="O142" s="14">
        <f ca="1">IFERROR(__xludf.DUMMYFUNCTION("""COMPUTED_VALUE"""),45359)</f>
        <v>45359</v>
      </c>
      <c r="P142" s="5" t="str">
        <f ca="1">IFERROR(__xludf.DUMMYFUNCTION("""COMPUTED_VALUE"""),"Se estrella botella a la salida")</f>
        <v>Se estrella botella a la salida</v>
      </c>
      <c r="Q142" s="5">
        <f ca="1">IFERROR(__xludf.DUMMYFUNCTION("""COMPUTED_VALUE"""),0.35)</f>
        <v>0.35</v>
      </c>
      <c r="R142" s="15">
        <f ca="1">IFERROR(__xludf.DUMMYFUNCTION("""COMPUTED_VALUE"""),0.173611111111111)</f>
        <v>0.17361111111111099</v>
      </c>
      <c r="S142" s="15">
        <f ca="1">IFERROR(__xludf.DUMMYFUNCTION("""COMPUTED_VALUE"""),0.188194444444444)</f>
        <v>0.188194444444444</v>
      </c>
      <c r="T142" s="5" t="str">
        <f ca="1">IFERROR(__xludf.DUMMYFUNCTION("""COMPUTED_VALUE"""),"LINE 1")</f>
        <v>LINE 1</v>
      </c>
      <c r="U142" s="5">
        <f ca="1">IFERROR(__xludf.DUMMYFUNCTION("""COMPUTED_VALUE"""),20009721)</f>
        <v>20009721</v>
      </c>
      <c r="V142" s="5" t="str">
        <f ca="1">IFERROR(__xludf.DUMMYFUNCTION("""COMPUTED_VALUE"""),"ETIQUETADORA ENVOLVENTE")</f>
        <v>ETIQUETADORA ENVOLVENTE</v>
      </c>
      <c r="W142" s="5" t="str">
        <f ca="1">IF(AND(LEN(T142)=0, LEN(U142)=0), "", IF(AND(LEN(T142)&gt;0, LEN(U142)=0), "BLANCO", IFERROR(VLOOKUP(U142, BasedatosM9!A:B, 2, FALSE), "BLANCO")))</f>
        <v>Alejandro Davila</v>
      </c>
      <c r="AI142" s="5" t="str">
        <f>IF(AND(LEN(AF142)=0, LEN(AG142)=0), "", IF(AND(LEN(AF142)&gt;0, LEN(AG142)=0), "BLANCO", IFERROR(VLOOKUP(AG142, BasedatosM9!A:B, 2, FALSE), "BLANCO")))</f>
        <v/>
      </c>
      <c r="AU142" s="5" t="str">
        <f>IF(AND(LEN(AR142)=0, LEN(AS142)=0), "", IF(AND(LEN(AR142)&gt;0, LEN(AS142)=0), "BLANCO", IFERROR(VLOOKUP(AS142, BasedatosM9!A:B, 2, FALSE), "BLANCO")))</f>
        <v/>
      </c>
    </row>
    <row r="143" spans="1:47" ht="14.4">
      <c r="A143" s="21" t="s">
        <v>4757</v>
      </c>
      <c r="B143" s="86">
        <v>23905147</v>
      </c>
      <c r="C143" s="98">
        <v>45356</v>
      </c>
      <c r="D143" s="21" t="s">
        <v>4860</v>
      </c>
      <c r="E143" s="86">
        <v>0.45</v>
      </c>
      <c r="F143" s="99">
        <v>0.71527777777777779</v>
      </c>
      <c r="G143" s="99">
        <v>0.73402777777777783</v>
      </c>
      <c r="H143" s="21" t="s">
        <v>4550</v>
      </c>
      <c r="I143" s="86">
        <v>20031425</v>
      </c>
      <c r="J143" s="21" t="s">
        <v>4861</v>
      </c>
      <c r="K143" s="5" t="str">
        <f>IF(AND(LEN(H143)=0, LEN(I143)=0), "", IF(AND(LEN(H143)&gt;0, LEN(I143)=0), "BLANCO", IFERROR(VLOOKUP(I143, BasedatosM9!A:B, 2, FALSE), "BLANCO")))</f>
        <v>Luis Gordillo</v>
      </c>
      <c r="M143" s="5" t="str">
        <f ca="1">IFERROR(__xludf.DUMMYFUNCTION("""COMPUTED_VALUE"""),"TURNO A")</f>
        <v>TURNO A</v>
      </c>
      <c r="N143" s="5">
        <f ca="1">IFERROR(__xludf.DUMMYFUNCTION("""COMPUTED_VALUE"""),23913203)</f>
        <v>23913203</v>
      </c>
      <c r="O143" s="14">
        <f ca="1">IFERROR(__xludf.DUMMYFUNCTION("""COMPUTED_VALUE"""),45360)</f>
        <v>45360</v>
      </c>
      <c r="P143" s="5" t="str">
        <f ca="1">IFERROR(__xludf.DUMMYFUNCTION("""COMPUTED_VALUE"""),"Se estrella botella a la salida")</f>
        <v>Se estrella botella a la salida</v>
      </c>
      <c r="Q143" s="5">
        <f ca="1">IFERROR(__xludf.DUMMYFUNCTION("""COMPUTED_VALUE"""),0.27)</f>
        <v>0.27</v>
      </c>
      <c r="R143" s="15">
        <f ca="1">IFERROR(__xludf.DUMMYFUNCTION("""COMPUTED_VALUE"""),0.319444444444444)</f>
        <v>0.31944444444444398</v>
      </c>
      <c r="S143" s="15">
        <f ca="1">IFERROR(__xludf.DUMMYFUNCTION("""COMPUTED_VALUE"""),0.330555555555555)</f>
        <v>0.33055555555555499</v>
      </c>
      <c r="T143" s="5" t="str">
        <f ca="1">IFERROR(__xludf.DUMMYFUNCTION("""COMPUTED_VALUE"""),"LINE 1")</f>
        <v>LINE 1</v>
      </c>
      <c r="U143" s="5"/>
      <c r="V143" s="5" t="str">
        <f ca="1">IFERROR(__xludf.DUMMYFUNCTION("""COMPUTED_VALUE"""),"ETIQUETADORA ENVOLVENTE")</f>
        <v>ETIQUETADORA ENVOLVENTE</v>
      </c>
      <c r="W143" s="5" t="str">
        <f ca="1">IF(AND(LEN(T143)=0, LEN(U143)=0), "", IF(AND(LEN(T143)&gt;0, LEN(U143)=0), "BLANCO", IFERROR(VLOOKUP(U143, BasedatosM9!A:B, 2, FALSE), "BLANCO")))</f>
        <v>BLANCO</v>
      </c>
      <c r="AI143" s="5" t="str">
        <f>IF(AND(LEN(AF143)=0, LEN(AG143)=0), "", IF(AND(LEN(AF143)&gt;0, LEN(AG143)=0), "BLANCO", IFERROR(VLOOKUP(AG143, BasedatosM9!A:B, 2, FALSE), "BLANCO")))</f>
        <v/>
      </c>
      <c r="AU143" s="5" t="str">
        <f>IF(AND(LEN(AR143)=0, LEN(AS143)=0), "", IF(AND(LEN(AR143)&gt;0, LEN(AS143)=0), "BLANCO", IFERROR(VLOOKUP(AS143, BasedatosM9!A:B, 2, FALSE), "BLANCO")))</f>
        <v/>
      </c>
    </row>
    <row r="144" spans="1:47" ht="14.4">
      <c r="A144" s="21" t="s">
        <v>4757</v>
      </c>
      <c r="B144" s="86">
        <v>23905172</v>
      </c>
      <c r="C144" s="98">
        <v>45356</v>
      </c>
      <c r="D144" s="21" t="s">
        <v>4862</v>
      </c>
      <c r="E144" s="86">
        <v>0.25</v>
      </c>
      <c r="F144" s="99">
        <v>0.72916666666666663</v>
      </c>
      <c r="G144" s="99">
        <v>0.73958333333333337</v>
      </c>
      <c r="H144" s="21" t="s">
        <v>4550</v>
      </c>
      <c r="I144" s="86">
        <v>20031425</v>
      </c>
      <c r="J144" s="21" t="s">
        <v>4755</v>
      </c>
      <c r="K144" s="5" t="str">
        <f>IF(AND(LEN(H144)=0, LEN(I144)=0), "", IF(AND(LEN(H144)&gt;0, LEN(I144)=0), "BLANCO", IFERROR(VLOOKUP(I144, BasedatosM9!A:B, 2, FALSE), "BLANCO")))</f>
        <v>Luis Gordillo</v>
      </c>
      <c r="M144" s="5" t="str">
        <f ca="1">IFERROR(__xludf.DUMMYFUNCTION("""COMPUTED_VALUE"""),"TURNO A")</f>
        <v>TURNO A</v>
      </c>
      <c r="N144" s="5">
        <f ca="1">IFERROR(__xludf.DUMMYFUNCTION("""COMPUTED_VALUE"""),23913205)</f>
        <v>23913205</v>
      </c>
      <c r="O144" s="14">
        <f ca="1">IFERROR(__xludf.DUMMYFUNCTION("""COMPUTED_VALUE"""),45360)</f>
        <v>45360</v>
      </c>
      <c r="P144" s="5" t="str">
        <f ca="1">IFERROR(__xludf.DUMMYFUNCTION("""COMPUTED_VALUE"""),"Rotura tornillo soporte")</f>
        <v>Rotura tornillo soporte</v>
      </c>
      <c r="Q144" s="5">
        <f ca="1">IFERROR(__xludf.DUMMYFUNCTION("""COMPUTED_VALUE"""),0.23)</f>
        <v>0.23</v>
      </c>
      <c r="R144" s="15">
        <f ca="1">IFERROR(__xludf.DUMMYFUNCTION("""COMPUTED_VALUE"""),0.336805555555555)</f>
        <v>0.33680555555555503</v>
      </c>
      <c r="S144" s="15">
        <f ca="1">IFERROR(__xludf.DUMMYFUNCTION("""COMPUTED_VALUE"""),0.346527777777777)</f>
        <v>0.34652777777777699</v>
      </c>
      <c r="T144" s="5" t="str">
        <f ca="1">IFERROR(__xludf.DUMMYFUNCTION("""COMPUTED_VALUE"""),"LINE 1")</f>
        <v>LINE 1</v>
      </c>
      <c r="U144" s="5">
        <f ca="1">IFERROR(__xludf.DUMMYFUNCTION("""COMPUTED_VALUE"""),20079993)</f>
        <v>20079993</v>
      </c>
      <c r="V144" s="5" t="str">
        <f ca="1">IFERROR(__xludf.DUMMYFUNCTION("""COMPUTED_VALUE"""),"CAPSULADORA")</f>
        <v>CAPSULADORA</v>
      </c>
      <c r="W144" s="5" t="str">
        <f ca="1">IF(AND(LEN(T144)=0, LEN(U144)=0), "", IF(AND(LEN(T144)&gt;0, LEN(U144)=0), "BLANCO", IFERROR(VLOOKUP(U144, BasedatosM9!A:B, 2, FALSE), "BLANCO")))</f>
        <v>Andres Perez</v>
      </c>
      <c r="AI144" s="5" t="str">
        <f>IF(AND(LEN(AF144)=0, LEN(AG144)=0), "", IF(AND(LEN(AF144)&gt;0, LEN(AG144)=0), "BLANCO", IFERROR(VLOOKUP(AG144, BasedatosM9!A:B, 2, FALSE), "BLANCO")))</f>
        <v/>
      </c>
      <c r="AU144" s="5" t="str">
        <f>IF(AND(LEN(AR144)=0, LEN(AS144)=0), "", IF(AND(LEN(AR144)&gt;0, LEN(AS144)=0), "BLANCO", IFERROR(VLOOKUP(AS144, BasedatosM9!A:B, 2, FALSE), "BLANCO")))</f>
        <v/>
      </c>
    </row>
    <row r="145" spans="1:47" ht="14.4">
      <c r="A145" s="21" t="s">
        <v>4757</v>
      </c>
      <c r="B145" s="86">
        <v>23905195</v>
      </c>
      <c r="C145" s="98">
        <v>45356</v>
      </c>
      <c r="D145" s="21" t="s">
        <v>4751</v>
      </c>
      <c r="E145" s="86">
        <v>0.33</v>
      </c>
      <c r="F145" s="99">
        <v>0.84027777777777779</v>
      </c>
      <c r="G145" s="99">
        <v>0.85416666666666663</v>
      </c>
      <c r="H145" s="21" t="s">
        <v>4551</v>
      </c>
      <c r="I145" s="86">
        <v>20019987</v>
      </c>
      <c r="J145" s="21" t="s">
        <v>4744</v>
      </c>
      <c r="K145" s="5" t="str">
        <f>IF(AND(LEN(H145)=0, LEN(I145)=0), "", IF(AND(LEN(H145)&gt;0, LEN(I145)=0), "BLANCO", IFERROR(VLOOKUP(I145, BasedatosM9!A:B, 2, FALSE), "BLANCO")))</f>
        <v>Aguado Lemos Luis Eyder</v>
      </c>
      <c r="M145" s="5" t="str">
        <f ca="1">IFERROR(__xludf.DUMMYFUNCTION("""COMPUTED_VALUE"""),"TURNO A")</f>
        <v>TURNO A</v>
      </c>
      <c r="N145" s="5">
        <f ca="1">IFERROR(__xludf.DUMMYFUNCTION("""COMPUTED_VALUE"""),23913207)</f>
        <v>23913207</v>
      </c>
      <c r="O145" s="14">
        <f ca="1">IFERROR(__xludf.DUMMYFUNCTION("""COMPUTED_VALUE"""),45360)</f>
        <v>45360</v>
      </c>
      <c r="P145" s="5" t="str">
        <f ca="1">IFERROR(__xludf.DUMMYFUNCTION("""COMPUTED_VALUE"""),"Variador alarmado electricamente")</f>
        <v>Variador alarmado electricamente</v>
      </c>
      <c r="Q145" s="5">
        <f ca="1">IFERROR(__xludf.DUMMYFUNCTION("""COMPUTED_VALUE"""),0.13)</f>
        <v>0.13</v>
      </c>
      <c r="R145" s="15">
        <f ca="1">IFERROR(__xludf.DUMMYFUNCTION("""COMPUTED_VALUE"""),0.354166666666666)</f>
        <v>0.35416666666666602</v>
      </c>
      <c r="S145" s="15">
        <f ca="1">IFERROR(__xludf.DUMMYFUNCTION("""COMPUTED_VALUE"""),0.359722222222222)</f>
        <v>0.359722222222222</v>
      </c>
      <c r="T145" s="5" t="str">
        <f ca="1">IFERROR(__xludf.DUMMYFUNCTION("""COMPUTED_VALUE"""),"LINE 1")</f>
        <v>LINE 1</v>
      </c>
      <c r="U145" s="5"/>
      <c r="V145" s="5" t="str">
        <f ca="1">IFERROR(__xludf.DUMMYFUNCTION("""COMPUTED_VALUE"""),"TRANSPORTADORES DE BEBIDA")</f>
        <v>TRANSPORTADORES DE BEBIDA</v>
      </c>
      <c r="W145" s="5" t="str">
        <f ca="1">IF(AND(LEN(T145)=0, LEN(U145)=0), "", IF(AND(LEN(T145)&gt;0, LEN(U145)=0), "BLANCO", IFERROR(VLOOKUP(U145, BasedatosM9!A:B, 2, FALSE), "BLANCO")))</f>
        <v>BLANCO</v>
      </c>
      <c r="AI145" s="5" t="str">
        <f>IF(AND(LEN(AF145)=0, LEN(AG145)=0), "", IF(AND(LEN(AF145)&gt;0, LEN(AG145)=0), "BLANCO", IFERROR(VLOOKUP(AG145, BasedatosM9!A:B, 2, FALSE), "BLANCO")))</f>
        <v/>
      </c>
      <c r="AU145" s="5" t="str">
        <f>IF(AND(LEN(AR145)=0, LEN(AS145)=0), "", IF(AND(LEN(AR145)&gt;0, LEN(AS145)=0), "BLANCO", IFERROR(VLOOKUP(AS145, BasedatosM9!A:B, 2, FALSE), "BLANCO")))</f>
        <v/>
      </c>
    </row>
    <row r="146" spans="1:47" ht="14.4">
      <c r="A146" s="21" t="s">
        <v>4757</v>
      </c>
      <c r="B146" s="86">
        <v>23905197</v>
      </c>
      <c r="C146" s="98">
        <v>45356</v>
      </c>
      <c r="D146" s="21" t="s">
        <v>4863</v>
      </c>
      <c r="E146" s="86">
        <v>0.28000000000000003</v>
      </c>
      <c r="F146" s="99">
        <v>0.85416666666666663</v>
      </c>
      <c r="G146" s="99">
        <v>0.86597222222222225</v>
      </c>
      <c r="H146" s="21" t="s">
        <v>4551</v>
      </c>
      <c r="I146" s="86">
        <v>20019987</v>
      </c>
      <c r="J146" s="21" t="s">
        <v>4802</v>
      </c>
      <c r="K146" s="5" t="str">
        <f>IF(AND(LEN(H146)=0, LEN(I146)=0), "", IF(AND(LEN(H146)&gt;0, LEN(I146)=0), "BLANCO", IFERROR(VLOOKUP(I146, BasedatosM9!A:B, 2, FALSE), "BLANCO")))</f>
        <v>Aguado Lemos Luis Eyder</v>
      </c>
      <c r="M146" s="5" t="str">
        <f ca="1">IFERROR(__xludf.DUMMYFUNCTION("""COMPUTED_VALUE"""),"TURNO A")</f>
        <v>TURNO A</v>
      </c>
      <c r="N146" s="5">
        <f ca="1">IFERROR(__xludf.DUMMYFUNCTION("""COMPUTED_VALUE"""),23913208)</f>
        <v>23913208</v>
      </c>
      <c r="O146" s="14">
        <f ca="1">IFERROR(__xludf.DUMMYFUNCTION("""COMPUTED_VALUE"""),45360)</f>
        <v>45360</v>
      </c>
      <c r="P146" s="5" t="str">
        <f ca="1">IFERROR(__xludf.DUMMYFUNCTION("""COMPUTED_VALUE"""),"Ajuste de guias Salida botella")</f>
        <v>Ajuste de guias Salida botella</v>
      </c>
      <c r="Q146" s="5">
        <f ca="1">IFERROR(__xludf.DUMMYFUNCTION("""COMPUTED_VALUE"""),0.18)</f>
        <v>0.18</v>
      </c>
      <c r="R146" s="15">
        <f ca="1">IFERROR(__xludf.DUMMYFUNCTION("""COMPUTED_VALUE"""),0.359722222222222)</f>
        <v>0.359722222222222</v>
      </c>
      <c r="S146" s="15">
        <f ca="1">IFERROR(__xludf.DUMMYFUNCTION("""COMPUTED_VALUE"""),0.367361111111111)</f>
        <v>0.36736111111111103</v>
      </c>
      <c r="T146" s="5" t="str">
        <f ca="1">IFERROR(__xludf.DUMMYFUNCTION("""COMPUTED_VALUE"""),"LINE 1")</f>
        <v>LINE 1</v>
      </c>
      <c r="U146" s="5">
        <f ca="1">IFERROR(__xludf.DUMMYFUNCTION("""COMPUTED_VALUE"""),20009992)</f>
        <v>20009992</v>
      </c>
      <c r="V146" s="5" t="str">
        <f ca="1">IFERROR(__xludf.DUMMYFUNCTION("""COMPUTED_VALUE"""),"ETIQUETADORA ENVOLVENTE")</f>
        <v>ETIQUETADORA ENVOLVENTE</v>
      </c>
      <c r="W146" s="5" t="str">
        <f ca="1">IF(AND(LEN(T146)=0, LEN(U146)=0), "", IF(AND(LEN(T146)&gt;0, LEN(U146)=0), "BLANCO", IFERROR(VLOOKUP(U146, BasedatosM9!A:B, 2, FALSE), "BLANCO")))</f>
        <v>Leonel Montes</v>
      </c>
      <c r="AI146" s="5" t="str">
        <f>IF(AND(LEN(AF146)=0, LEN(AG146)=0), "", IF(AND(LEN(AF146)&gt;0, LEN(AG146)=0), "BLANCO", IFERROR(VLOOKUP(AG146, BasedatosM9!A:B, 2, FALSE), "BLANCO")))</f>
        <v/>
      </c>
      <c r="AU146" s="5" t="str">
        <f>IF(AND(LEN(AR146)=0, LEN(AS146)=0), "", IF(AND(LEN(AR146)&gt;0, LEN(AS146)=0), "BLANCO", IFERROR(VLOOKUP(AS146, BasedatosM9!A:B, 2, FALSE), "BLANCO")))</f>
        <v/>
      </c>
    </row>
    <row r="147" spans="1:47" ht="14.4">
      <c r="A147" s="21" t="s">
        <v>4757</v>
      </c>
      <c r="B147" s="86">
        <v>23905256</v>
      </c>
      <c r="C147" s="98">
        <v>45356</v>
      </c>
      <c r="D147" s="21" t="s">
        <v>4863</v>
      </c>
      <c r="E147" s="86">
        <v>0.28000000000000003</v>
      </c>
      <c r="F147" s="99">
        <v>0.875</v>
      </c>
      <c r="G147" s="99">
        <v>0.88680555555555562</v>
      </c>
      <c r="H147" s="21" t="s">
        <v>4551</v>
      </c>
      <c r="I147" s="86">
        <v>20019987</v>
      </c>
      <c r="J147" s="21" t="s">
        <v>4802</v>
      </c>
      <c r="K147" s="5" t="str">
        <f>IF(AND(LEN(H147)=0, LEN(I147)=0), "", IF(AND(LEN(H147)&gt;0, LEN(I147)=0), "BLANCO", IFERROR(VLOOKUP(I147, BasedatosM9!A:B, 2, FALSE), "BLANCO")))</f>
        <v>Aguado Lemos Luis Eyder</v>
      </c>
      <c r="M147" s="5" t="str">
        <f ca="1">IFERROR(__xludf.DUMMYFUNCTION("""COMPUTED_VALUE"""),"TURNO A")</f>
        <v>TURNO A</v>
      </c>
      <c r="N147" s="5">
        <f ca="1">IFERROR(__xludf.DUMMYFUNCTION("""COMPUTED_VALUE"""),23913209)</f>
        <v>23913209</v>
      </c>
      <c r="O147" s="14">
        <f ca="1">IFERROR(__xludf.DUMMYFUNCTION("""COMPUTED_VALUE"""),45360)</f>
        <v>45360</v>
      </c>
      <c r="P147" s="5" t="str">
        <f ca="1">IFERROR(__xludf.DUMMYFUNCTION("""COMPUTED_VALUE"""),"Ajuste de porta envase")</f>
        <v>Ajuste de porta envase</v>
      </c>
      <c r="Q147" s="5">
        <f ca="1">IFERROR(__xludf.DUMMYFUNCTION("""COMPUTED_VALUE"""),0.35)</f>
        <v>0.35</v>
      </c>
      <c r="R147" s="15">
        <f ca="1">IFERROR(__xludf.DUMMYFUNCTION("""COMPUTED_VALUE"""),0.377083333333333)</f>
        <v>0.37708333333333299</v>
      </c>
      <c r="S147" s="15">
        <f ca="1">IFERROR(__xludf.DUMMYFUNCTION("""COMPUTED_VALUE"""),0.391666666666666)</f>
        <v>0.391666666666666</v>
      </c>
      <c r="T147" s="5" t="str">
        <f ca="1">IFERROR(__xludf.DUMMYFUNCTION("""COMPUTED_VALUE"""),"LINE 1")</f>
        <v>LINE 1</v>
      </c>
      <c r="U147" s="5">
        <f ca="1">IFERROR(__xludf.DUMMYFUNCTION("""COMPUTED_VALUE"""),20009992)</f>
        <v>20009992</v>
      </c>
      <c r="V147" s="5" t="str">
        <f ca="1">IFERROR(__xludf.DUMMYFUNCTION("""COMPUTED_VALUE"""),"ETIQUETADORA ENVOLVENTE")</f>
        <v>ETIQUETADORA ENVOLVENTE</v>
      </c>
      <c r="W147" s="5" t="str">
        <f ca="1">IF(AND(LEN(T147)=0, LEN(U147)=0), "", IF(AND(LEN(T147)&gt;0, LEN(U147)=0), "BLANCO", IFERROR(VLOOKUP(U147, BasedatosM9!A:B, 2, FALSE), "BLANCO")))</f>
        <v>Leonel Montes</v>
      </c>
      <c r="AI147" s="5" t="str">
        <f>IF(AND(LEN(AF147)=0, LEN(AG147)=0), "", IF(AND(LEN(AF147)&gt;0, LEN(AG147)=0), "BLANCO", IFERROR(VLOOKUP(AG147, BasedatosM9!A:B, 2, FALSE), "BLANCO")))</f>
        <v/>
      </c>
      <c r="AU147" s="5" t="str">
        <f>IF(AND(LEN(AR147)=0, LEN(AS147)=0), "", IF(AND(LEN(AR147)&gt;0, LEN(AS147)=0), "BLANCO", IFERROR(VLOOKUP(AS147, BasedatosM9!A:B, 2, FALSE), "BLANCO")))</f>
        <v/>
      </c>
    </row>
    <row r="148" spans="1:47" ht="14.4">
      <c r="A148" s="21" t="s">
        <v>4757</v>
      </c>
      <c r="B148" s="86">
        <v>23905258</v>
      </c>
      <c r="C148" s="98">
        <v>45356</v>
      </c>
      <c r="D148" s="21" t="s">
        <v>4745</v>
      </c>
      <c r="E148" s="86">
        <v>0.1</v>
      </c>
      <c r="F148" s="99">
        <v>0.89583333333333337</v>
      </c>
      <c r="G148" s="99">
        <v>0.9</v>
      </c>
      <c r="H148" s="21" t="s">
        <v>4551</v>
      </c>
      <c r="I148" s="86">
        <v>20075387</v>
      </c>
      <c r="J148" s="21" t="s">
        <v>4746</v>
      </c>
      <c r="K148" s="5" t="str">
        <f>IF(AND(LEN(H148)=0, LEN(I148)=0), "", IF(AND(LEN(H148)&gt;0, LEN(I148)=0), "BLANCO", IFERROR(VLOOKUP(I148, BasedatosM9!A:B, 2, FALSE), "BLANCO")))</f>
        <v>Cristian Suaza</v>
      </c>
      <c r="M148" s="5" t="str">
        <f ca="1">IFERROR(__xludf.DUMMYFUNCTION("""COMPUTED_VALUE"""),"TURNO A")</f>
        <v>TURNO A</v>
      </c>
      <c r="N148" s="5">
        <f ca="1">IFERROR(__xludf.DUMMYFUNCTION("""COMPUTED_VALUE"""),23913210)</f>
        <v>23913210</v>
      </c>
      <c r="O148" s="14">
        <f ca="1">IFERROR(__xludf.DUMMYFUNCTION("""COMPUTED_VALUE"""),45360)</f>
        <v>45360</v>
      </c>
      <c r="P148" s="5" t="str">
        <f ca="1">IFERROR(__xludf.DUMMYFUNCTION("""COMPUTED_VALUE"""),"traslape corrido en etiqueta")</f>
        <v>traslape corrido en etiqueta</v>
      </c>
      <c r="Q148" s="5">
        <f ca="1">IFERROR(__xludf.DUMMYFUNCTION("""COMPUTED_VALUE"""),0.18)</f>
        <v>0.18</v>
      </c>
      <c r="R148" s="15">
        <f ca="1">IFERROR(__xludf.DUMMYFUNCTION("""COMPUTED_VALUE"""),0.420138888888888)</f>
        <v>0.42013888888888801</v>
      </c>
      <c r="S148" s="15">
        <f ca="1">IFERROR(__xludf.DUMMYFUNCTION("""COMPUTED_VALUE"""),0.427777777777777)</f>
        <v>0.42777777777777698</v>
      </c>
      <c r="T148" s="5" t="str">
        <f ca="1">IFERROR(__xludf.DUMMYFUNCTION("""COMPUTED_VALUE"""),"LINE 1")</f>
        <v>LINE 1</v>
      </c>
      <c r="U148" s="5">
        <f ca="1">IFERROR(__xludf.DUMMYFUNCTION("""COMPUTED_VALUE"""),20009992)</f>
        <v>20009992</v>
      </c>
      <c r="V148" s="5" t="str">
        <f ca="1">IFERROR(__xludf.DUMMYFUNCTION("""COMPUTED_VALUE"""),"ETIQUETADORA ENVOLVENTE")</f>
        <v>ETIQUETADORA ENVOLVENTE</v>
      </c>
      <c r="W148" s="5" t="str">
        <f ca="1">IF(AND(LEN(T148)=0, LEN(U148)=0), "", IF(AND(LEN(T148)&gt;0, LEN(U148)=0), "BLANCO", IFERROR(VLOOKUP(U148, BasedatosM9!A:B, 2, FALSE), "BLANCO")))</f>
        <v>Leonel Montes</v>
      </c>
      <c r="AI148" s="5" t="str">
        <f>IF(AND(LEN(AF148)=0, LEN(AG148)=0), "", IF(AND(LEN(AF148)&gt;0, LEN(AG148)=0), "BLANCO", IFERROR(VLOOKUP(AG148, BasedatosM9!A:B, 2, FALSE), "BLANCO")))</f>
        <v/>
      </c>
      <c r="AU148" s="5" t="str">
        <f>IF(AND(LEN(AR148)=0, LEN(AS148)=0), "", IF(AND(LEN(AR148)&gt;0, LEN(AS148)=0), "BLANCO", IFERROR(VLOOKUP(AS148, BasedatosM9!A:B, 2, FALSE), "BLANCO")))</f>
        <v/>
      </c>
    </row>
    <row r="149" spans="1:47" ht="14.4">
      <c r="A149" s="21" t="s">
        <v>4767</v>
      </c>
      <c r="B149" s="86">
        <v>23905367</v>
      </c>
      <c r="C149" s="98">
        <v>45356</v>
      </c>
      <c r="D149" s="21" t="s">
        <v>4754</v>
      </c>
      <c r="E149" s="86">
        <v>0.2</v>
      </c>
      <c r="F149" s="99">
        <v>6.9444444444444441E-3</v>
      </c>
      <c r="G149" s="99">
        <v>1.5277777777777777E-2</v>
      </c>
      <c r="H149" s="21" t="s">
        <v>4550</v>
      </c>
      <c r="I149" s="86">
        <v>20022138</v>
      </c>
      <c r="J149" s="21" t="s">
        <v>4755</v>
      </c>
      <c r="K149" s="5" t="str">
        <f>IF(AND(LEN(H149)=0, LEN(I149)=0), "", IF(AND(LEN(H149)&gt;0, LEN(I149)=0), "BLANCO", IFERROR(VLOOKUP(I149, BasedatosM9!A:B, 2, FALSE), "BLANCO")))</f>
        <v>Jose Correa</v>
      </c>
      <c r="M149" s="5" t="str">
        <f ca="1">IFERROR(__xludf.DUMMYFUNCTION("""COMPUTED_VALUE"""),"TURNO A")</f>
        <v>TURNO A</v>
      </c>
      <c r="N149" s="5">
        <f ca="1">IFERROR(__xludf.DUMMYFUNCTION("""COMPUTED_VALUE"""),23913307)</f>
        <v>23913307</v>
      </c>
      <c r="O149" s="14">
        <f ca="1">IFERROR(__xludf.DUMMYFUNCTION("""COMPUTED_VALUE"""),45360)</f>
        <v>45360</v>
      </c>
      <c r="P149" s="5" t="str">
        <f ca="1">IFERROR(__xludf.DUMMYFUNCTION("""COMPUTED_VALUE"""),"Caida botellas mesa de plegado")</f>
        <v>Caida botellas mesa de plegado</v>
      </c>
      <c r="Q149" s="5">
        <f ca="1">IFERROR(__xludf.DUMMYFUNCTION("""COMPUTED_VALUE"""),0.15)</f>
        <v>0.15</v>
      </c>
      <c r="R149" s="15">
        <f ca="1">IFERROR(__xludf.DUMMYFUNCTION("""COMPUTED_VALUE"""),0.463194444444444)</f>
        <v>0.46319444444444402</v>
      </c>
      <c r="S149" s="15">
        <f ca="1">IFERROR(__xludf.DUMMYFUNCTION("""COMPUTED_VALUE"""),0.469444444444444)</f>
        <v>0.469444444444444</v>
      </c>
      <c r="T149" s="5" t="str">
        <f ca="1">IFERROR(__xludf.DUMMYFUNCTION("""COMPUTED_VALUE"""),"LINE 1")</f>
        <v>LINE 1</v>
      </c>
      <c r="U149" s="5"/>
      <c r="V149" s="5" t="str">
        <f ca="1">IFERROR(__xludf.DUMMYFUNCTION("""COMPUTED_VALUE"""),"ENFARDADORA")</f>
        <v>ENFARDADORA</v>
      </c>
      <c r="W149" s="5" t="str">
        <f ca="1">IF(AND(LEN(T149)=0, LEN(U149)=0), "", IF(AND(LEN(T149)&gt;0, LEN(U149)=0), "BLANCO", IFERROR(VLOOKUP(U149, BasedatosM9!A:B, 2, FALSE), "BLANCO")))</f>
        <v>BLANCO</v>
      </c>
      <c r="AI149" s="5" t="str">
        <f>IF(AND(LEN(AF149)=0, LEN(AG149)=0), "", IF(AND(LEN(AF149)&gt;0, LEN(AG149)=0), "BLANCO", IFERROR(VLOOKUP(AG149, BasedatosM9!A:B, 2, FALSE), "BLANCO")))</f>
        <v/>
      </c>
      <c r="AU149" s="5" t="str">
        <f>IF(AND(LEN(AR149)=0, LEN(AS149)=0), "", IF(AND(LEN(AR149)&gt;0, LEN(AS149)=0), "BLANCO", IFERROR(VLOOKUP(AS149, BasedatosM9!A:B, 2, FALSE), "BLANCO")))</f>
        <v/>
      </c>
    </row>
    <row r="150" spans="1:47" ht="14.4">
      <c r="A150" s="21" t="s">
        <v>4767</v>
      </c>
      <c r="B150" s="86">
        <v>23905368</v>
      </c>
      <c r="C150" s="98">
        <v>45356</v>
      </c>
      <c r="D150" s="21" t="s">
        <v>4864</v>
      </c>
      <c r="E150" s="86">
        <v>0.22</v>
      </c>
      <c r="F150" s="99">
        <v>2.0833333333333332E-2</v>
      </c>
      <c r="G150" s="99">
        <v>2.9861111111111113E-2</v>
      </c>
      <c r="H150" s="21" t="s">
        <v>4550</v>
      </c>
      <c r="I150" s="21"/>
      <c r="J150" s="21" t="s">
        <v>4865</v>
      </c>
      <c r="K150" s="5" t="str">
        <f>IF(AND(LEN(H150)=0, LEN(I150)=0), "", IF(AND(LEN(H150)&gt;0, LEN(I150)=0), "BLANCO", IFERROR(VLOOKUP(I150, BasedatosM9!A:B, 2, FALSE), "BLANCO")))</f>
        <v>BLANCO</v>
      </c>
      <c r="W150" s="5" t="str">
        <f>IF(AND(LEN(T150)=0, LEN(U150)=0), "", IF(AND(LEN(T150)&gt;0, LEN(U150)=0), "BLANCO", IFERROR(VLOOKUP(U150, BasedatosM9!A:B, 2, FALSE), "BLANCO")))</f>
        <v/>
      </c>
      <c r="AI150" s="5" t="str">
        <f>IF(AND(LEN(AF150)=0, LEN(AG150)=0), "", IF(AND(LEN(AF150)&gt;0, LEN(AG150)=0), "BLANCO", IFERROR(VLOOKUP(AG150, BasedatosM9!A:B, 2, FALSE), "BLANCO")))</f>
        <v/>
      </c>
      <c r="AU150" s="5" t="str">
        <f>IF(AND(LEN(AR150)=0, LEN(AS150)=0), "", IF(AND(LEN(AR150)&gt;0, LEN(AS150)=0), "BLANCO", IFERROR(VLOOKUP(AS150, BasedatosM9!A:B, 2, FALSE), "BLANCO")))</f>
        <v/>
      </c>
    </row>
    <row r="151" spans="1:47" ht="14.4">
      <c r="A151" s="21" t="s">
        <v>4767</v>
      </c>
      <c r="B151" s="86">
        <v>23905369</v>
      </c>
      <c r="C151" s="98">
        <v>45356</v>
      </c>
      <c r="D151" s="21" t="s">
        <v>4795</v>
      </c>
      <c r="E151" s="86">
        <v>0.27</v>
      </c>
      <c r="F151" s="99">
        <v>3.4722222222222224E-2</v>
      </c>
      <c r="G151" s="99">
        <v>4.5833333333333337E-2</v>
      </c>
      <c r="H151" s="21" t="s">
        <v>4550</v>
      </c>
      <c r="I151" s="86">
        <v>20043570</v>
      </c>
      <c r="J151" s="21" t="s">
        <v>79</v>
      </c>
      <c r="K151" s="5" t="str">
        <f>IF(AND(LEN(H151)=0, LEN(I151)=0), "", IF(AND(LEN(H151)&gt;0, LEN(I151)=0), "BLANCO", IFERROR(VLOOKUP(I151, BasedatosM9!A:B, 2, FALSE), "BLANCO")))</f>
        <v>Jhon Navas</v>
      </c>
      <c r="W151" s="5" t="str">
        <f>IF(AND(LEN(T151)=0, LEN(U151)=0), "", IF(AND(LEN(T151)&gt;0, LEN(U151)=0), "BLANCO", IFERROR(VLOOKUP(U151, BasedatosM9!A:B, 2, FALSE), "BLANCO")))</f>
        <v/>
      </c>
      <c r="AI151" s="5" t="str">
        <f>IF(AND(LEN(AF151)=0, LEN(AG151)=0), "", IF(AND(LEN(AF151)&gt;0, LEN(AG151)=0), "BLANCO", IFERROR(VLOOKUP(AG151, BasedatosM9!A:B, 2, FALSE), "BLANCO")))</f>
        <v/>
      </c>
      <c r="AU151" s="5" t="str">
        <f>IF(AND(LEN(AR151)=0, LEN(AS151)=0), "", IF(AND(LEN(AR151)&gt;0, LEN(AS151)=0), "BLANCO", IFERROR(VLOOKUP(AS151, BasedatosM9!A:B, 2, FALSE), "BLANCO")))</f>
        <v/>
      </c>
    </row>
    <row r="152" spans="1:47" ht="14.4">
      <c r="A152" s="21" t="s">
        <v>4767</v>
      </c>
      <c r="B152" s="86">
        <v>23905482</v>
      </c>
      <c r="C152" s="98">
        <v>45356</v>
      </c>
      <c r="D152" s="21" t="s">
        <v>4866</v>
      </c>
      <c r="E152" s="86">
        <v>0.22</v>
      </c>
      <c r="F152" s="99">
        <v>0.95624999999999993</v>
      </c>
      <c r="G152" s="99">
        <v>0.96527777777777779</v>
      </c>
      <c r="H152" s="21" t="s">
        <v>4551</v>
      </c>
      <c r="I152" s="86">
        <v>20036419</v>
      </c>
      <c r="J152" s="21" t="s">
        <v>4773</v>
      </c>
      <c r="K152" s="5" t="str">
        <f>IF(AND(LEN(H152)=0, LEN(I152)=0), "", IF(AND(LEN(H152)&gt;0, LEN(I152)=0), "BLANCO", IFERROR(VLOOKUP(I152, BasedatosM9!A:B, 2, FALSE), "BLANCO")))</f>
        <v>Adalcides Campo</v>
      </c>
      <c r="W152" s="5" t="str">
        <f>IF(AND(LEN(T152)=0, LEN(U152)=0), "", IF(AND(LEN(T152)&gt;0, LEN(U152)=0), "BLANCO", IFERROR(VLOOKUP(U152, BasedatosM9!A:B, 2, FALSE), "BLANCO")))</f>
        <v/>
      </c>
      <c r="AI152" s="5" t="str">
        <f>IF(AND(LEN(AF152)=0, LEN(AG152)=0), "", IF(AND(LEN(AF152)&gt;0, LEN(AG152)=0), "BLANCO", IFERROR(VLOOKUP(AG152, BasedatosM9!A:B, 2, FALSE), "BLANCO")))</f>
        <v/>
      </c>
      <c r="AU152" s="5" t="str">
        <f>IF(AND(LEN(AR152)=0, LEN(AS152)=0), "", IF(AND(LEN(AR152)&gt;0, LEN(AS152)=0), "BLANCO", IFERROR(VLOOKUP(AS152, BasedatosM9!A:B, 2, FALSE), "BLANCO")))</f>
        <v/>
      </c>
    </row>
    <row r="153" spans="1:47" ht="14.4">
      <c r="A153" s="21" t="s">
        <v>4767</v>
      </c>
      <c r="B153" s="86">
        <v>23905483</v>
      </c>
      <c r="C153" s="98">
        <v>45356</v>
      </c>
      <c r="D153" s="21" t="s">
        <v>4867</v>
      </c>
      <c r="E153" s="86">
        <v>0.17</v>
      </c>
      <c r="F153" s="99">
        <v>0.97152777777777777</v>
      </c>
      <c r="G153" s="99">
        <v>0.9784722222222223</v>
      </c>
      <c r="H153" s="21" t="s">
        <v>4551</v>
      </c>
      <c r="I153" s="21"/>
      <c r="J153" s="21" t="s">
        <v>4781</v>
      </c>
      <c r="K153" s="5" t="str">
        <f>IF(AND(LEN(H153)=0, LEN(I153)=0), "", IF(AND(LEN(H153)&gt;0, LEN(I153)=0), "BLANCO", IFERROR(VLOOKUP(I153, BasedatosM9!A:B, 2, FALSE), "BLANCO")))</f>
        <v>BLANCO</v>
      </c>
      <c r="W153" s="5" t="str">
        <f>IF(AND(LEN(T153)=0, LEN(U153)=0), "", IF(AND(LEN(T153)&gt;0, LEN(U153)=0), "BLANCO", IFERROR(VLOOKUP(U153, BasedatosM9!A:B, 2, FALSE), "BLANCO")))</f>
        <v/>
      </c>
      <c r="AI153" s="5" t="str">
        <f>IF(AND(LEN(AF153)=0, LEN(AG153)=0), "", IF(AND(LEN(AF153)&gt;0, LEN(AG153)=0), "BLANCO", IFERROR(VLOOKUP(AG153, BasedatosM9!A:B, 2, FALSE), "BLANCO")))</f>
        <v/>
      </c>
      <c r="AU153" s="5" t="str">
        <f>IF(AND(LEN(AR153)=0, LEN(AS153)=0), "", IF(AND(LEN(AR153)&gt;0, LEN(AS153)=0), "BLANCO", IFERROR(VLOOKUP(AS153, BasedatosM9!A:B, 2, FALSE), "BLANCO")))</f>
        <v/>
      </c>
    </row>
    <row r="154" spans="1:47" ht="14.4">
      <c r="A154" s="21" t="s">
        <v>4767</v>
      </c>
      <c r="B154" s="86">
        <v>23905488</v>
      </c>
      <c r="C154" s="98">
        <v>45356</v>
      </c>
      <c r="D154" s="21" t="s">
        <v>4867</v>
      </c>
      <c r="E154" s="86">
        <v>0.13</v>
      </c>
      <c r="F154" s="99">
        <v>1.5277777777777777E-2</v>
      </c>
      <c r="G154" s="99">
        <v>2.0833333333333332E-2</v>
      </c>
      <c r="H154" s="21" t="s">
        <v>4551</v>
      </c>
      <c r="I154" s="86">
        <v>20036419</v>
      </c>
      <c r="J154" s="21" t="s">
        <v>4781</v>
      </c>
      <c r="K154" s="5" t="str">
        <f>IF(AND(LEN(H154)=0, LEN(I154)=0), "", IF(AND(LEN(H154)&gt;0, LEN(I154)=0), "BLANCO", IFERROR(VLOOKUP(I154, BasedatosM9!A:B, 2, FALSE), "BLANCO")))</f>
        <v>Adalcides Campo</v>
      </c>
      <c r="W154" s="5" t="str">
        <f>IF(AND(LEN(T154)=0, LEN(U154)=0), "", IF(AND(LEN(T154)&gt;0, LEN(U154)=0), "BLANCO", IFERROR(VLOOKUP(U154, BasedatosM9!A:B, 2, FALSE), "BLANCO")))</f>
        <v/>
      </c>
      <c r="AI154" s="5" t="str">
        <f>IF(AND(LEN(AF154)=0, LEN(AG154)=0), "", IF(AND(LEN(AF154)&gt;0, LEN(AG154)=0), "BLANCO", IFERROR(VLOOKUP(AG154, BasedatosM9!A:B, 2, FALSE), "BLANCO")))</f>
        <v/>
      </c>
      <c r="AU154" s="5" t="str">
        <f>IF(AND(LEN(AR154)=0, LEN(AS154)=0), "", IF(AND(LEN(AR154)&gt;0, LEN(AS154)=0), "BLANCO", IFERROR(VLOOKUP(AS154, BasedatosM9!A:B, 2, FALSE), "BLANCO")))</f>
        <v/>
      </c>
    </row>
    <row r="155" spans="1:47" ht="14.4">
      <c r="A155" s="21" t="s">
        <v>4767</v>
      </c>
      <c r="B155" s="86">
        <v>23905489</v>
      </c>
      <c r="C155" s="98">
        <v>45356</v>
      </c>
      <c r="D155" s="21" t="s">
        <v>4868</v>
      </c>
      <c r="E155" s="86">
        <v>0.28000000000000003</v>
      </c>
      <c r="F155" s="99">
        <v>2.7083333333333334E-2</v>
      </c>
      <c r="G155" s="99">
        <v>3.888888888888889E-2</v>
      </c>
      <c r="H155" s="21" t="s">
        <v>4551</v>
      </c>
      <c r="I155" s="86">
        <v>20036419</v>
      </c>
      <c r="J155" s="21" t="s">
        <v>4802</v>
      </c>
      <c r="K155" s="5" t="str">
        <f>IF(AND(LEN(H155)=0, LEN(I155)=0), "", IF(AND(LEN(H155)&gt;0, LEN(I155)=0), "BLANCO", IFERROR(VLOOKUP(I155, BasedatosM9!A:B, 2, FALSE), "BLANCO")))</f>
        <v>Adalcides Campo</v>
      </c>
      <c r="W155" s="5" t="str">
        <f>IF(AND(LEN(T155)=0, LEN(U155)=0), "", IF(AND(LEN(T155)&gt;0, LEN(U155)=0), "BLANCO", IFERROR(VLOOKUP(U155, BasedatosM9!A:B, 2, FALSE), "BLANCO")))</f>
        <v/>
      </c>
      <c r="AI155" s="5" t="str">
        <f>IF(AND(LEN(AF155)=0, LEN(AG155)=0), "", IF(AND(LEN(AF155)&gt;0, LEN(AG155)=0), "BLANCO", IFERROR(VLOOKUP(AG155, BasedatosM9!A:B, 2, FALSE), "BLANCO")))</f>
        <v/>
      </c>
      <c r="AU155" s="5" t="str">
        <f>IF(AND(LEN(AR155)=0, LEN(AS155)=0), "", IF(AND(LEN(AR155)&gt;0, LEN(AS155)=0), "BLANCO", IFERROR(VLOOKUP(AS155, BasedatosM9!A:B, 2, FALSE), "BLANCO")))</f>
        <v/>
      </c>
    </row>
    <row r="156" spans="1:47" ht="14.4">
      <c r="A156" s="21" t="s">
        <v>4767</v>
      </c>
      <c r="B156" s="86">
        <v>23905490</v>
      </c>
      <c r="C156" s="98">
        <v>45356</v>
      </c>
      <c r="D156" s="21" t="s">
        <v>4751</v>
      </c>
      <c r="E156" s="86">
        <v>0.18</v>
      </c>
      <c r="F156" s="99">
        <v>4.5138888888888888E-2</v>
      </c>
      <c r="G156" s="99">
        <v>5.2777777777777778E-2</v>
      </c>
      <c r="H156" s="21" t="s">
        <v>4551</v>
      </c>
      <c r="I156" s="21"/>
      <c r="J156" s="21" t="s">
        <v>4744</v>
      </c>
      <c r="K156" s="5" t="str">
        <f>IF(AND(LEN(H156)=0, LEN(I156)=0), "", IF(AND(LEN(H156)&gt;0, LEN(I156)=0), "BLANCO", IFERROR(VLOOKUP(I156, BasedatosM9!A:B, 2, FALSE), "BLANCO")))</f>
        <v>BLANCO</v>
      </c>
      <c r="W156" s="5" t="str">
        <f>IF(AND(LEN(T156)=0, LEN(U156)=0), "", IF(AND(LEN(T156)&gt;0, LEN(U156)=0), "BLANCO", IFERROR(VLOOKUP(U156, BasedatosM9!A:B, 2, FALSE), "BLANCO")))</f>
        <v/>
      </c>
      <c r="AI156" s="5" t="str">
        <f>IF(AND(LEN(AF156)=0, LEN(AG156)=0), "", IF(AND(LEN(AF156)&gt;0, LEN(AG156)=0), "BLANCO", IFERROR(VLOOKUP(AG156, BasedatosM9!A:B, 2, FALSE), "BLANCO")))</f>
        <v/>
      </c>
      <c r="AU156" s="5" t="str">
        <f>IF(AND(LEN(AR156)=0, LEN(AS156)=0), "", IF(AND(LEN(AR156)&gt;0, LEN(AS156)=0), "BLANCO", IFERROR(VLOOKUP(AS156, BasedatosM9!A:B, 2, FALSE), "BLANCO")))</f>
        <v/>
      </c>
    </row>
    <row r="157" spans="1:47" ht="14.4">
      <c r="A157" s="21" t="s">
        <v>4767</v>
      </c>
      <c r="B157" s="86">
        <v>23905510</v>
      </c>
      <c r="C157" s="98">
        <v>45356</v>
      </c>
      <c r="D157" s="21" t="s">
        <v>4869</v>
      </c>
      <c r="E157" s="86">
        <v>0.38</v>
      </c>
      <c r="F157" s="99">
        <v>7.6388888888888895E-2</v>
      </c>
      <c r="G157" s="99">
        <v>9.2361111111111116E-2</v>
      </c>
      <c r="H157" s="21" t="s">
        <v>4550</v>
      </c>
      <c r="I157" s="86">
        <v>20022138</v>
      </c>
      <c r="J157" s="21" t="s">
        <v>4755</v>
      </c>
      <c r="K157" s="5" t="str">
        <f>IF(AND(LEN(H157)=0, LEN(I157)=0), "", IF(AND(LEN(H157)&gt;0, LEN(I157)=0), "BLANCO", IFERROR(VLOOKUP(I157, BasedatosM9!A:B, 2, FALSE), "BLANCO")))</f>
        <v>Jose Correa</v>
      </c>
      <c r="W157" s="5" t="str">
        <f>IF(AND(LEN(T157)=0, LEN(U157)=0), "", IF(AND(LEN(T157)&gt;0, LEN(U157)=0), "BLANCO", IFERROR(VLOOKUP(U157, BasedatosM9!A:B, 2, FALSE), "BLANCO")))</f>
        <v/>
      </c>
      <c r="AI157" s="5" t="str">
        <f>IF(AND(LEN(AF157)=0, LEN(AG157)=0), "", IF(AND(LEN(AF157)&gt;0, LEN(AG157)=0), "BLANCO", IFERROR(VLOOKUP(AG157, BasedatosM9!A:B, 2, FALSE), "BLANCO")))</f>
        <v/>
      </c>
      <c r="AU157" s="5" t="str">
        <f>IF(AND(LEN(AR157)=0, LEN(AS157)=0), "", IF(AND(LEN(AR157)&gt;0, LEN(AS157)=0), "BLANCO", IFERROR(VLOOKUP(AS157, BasedatosM9!A:B, 2, FALSE), "BLANCO")))</f>
        <v/>
      </c>
    </row>
    <row r="158" spans="1:47" ht="14.4">
      <c r="A158" s="21" t="s">
        <v>4767</v>
      </c>
      <c r="B158" s="86">
        <v>23905605</v>
      </c>
      <c r="C158" s="98">
        <v>45356</v>
      </c>
      <c r="D158" s="21" t="s">
        <v>4870</v>
      </c>
      <c r="E158" s="86">
        <v>2.1800000000000002</v>
      </c>
      <c r="F158" s="99">
        <v>6.805555555555555E-2</v>
      </c>
      <c r="G158" s="99">
        <v>0.15902777777777777</v>
      </c>
      <c r="H158" s="21" t="s">
        <v>4551</v>
      </c>
      <c r="I158" s="86">
        <v>20009721</v>
      </c>
      <c r="J158" s="21" t="s">
        <v>79</v>
      </c>
      <c r="K158" s="5" t="str">
        <f>IF(AND(LEN(H158)=0, LEN(I158)=0), "", IF(AND(LEN(H158)&gt;0, LEN(I158)=0), "BLANCO", IFERROR(VLOOKUP(I158, BasedatosM9!A:B, 2, FALSE), "BLANCO")))</f>
        <v>Alejandro Davila</v>
      </c>
      <c r="W158" s="5" t="str">
        <f>IF(AND(LEN(T158)=0, LEN(U158)=0), "", IF(AND(LEN(T158)&gt;0, LEN(U158)=0), "BLANCO", IFERROR(VLOOKUP(U158, BasedatosM9!A:B, 2, FALSE), "BLANCO")))</f>
        <v/>
      </c>
      <c r="AI158" s="5" t="str">
        <f>IF(AND(LEN(AF158)=0, LEN(AG158)=0), "", IF(AND(LEN(AF158)&gt;0, LEN(AG158)=0), "BLANCO", IFERROR(VLOOKUP(AG158, BasedatosM9!A:B, 2, FALSE), "BLANCO")))</f>
        <v/>
      </c>
      <c r="AU158" s="5" t="str">
        <f>IF(AND(LEN(AR158)=0, LEN(AS158)=0), "", IF(AND(LEN(AR158)&gt;0, LEN(AS158)=0), "BLANCO", IFERROR(VLOOKUP(AS158, BasedatosM9!A:B, 2, FALSE), "BLANCO")))</f>
        <v/>
      </c>
    </row>
    <row r="159" spans="1:47" ht="14.4">
      <c r="A159" s="21" t="s">
        <v>4767</v>
      </c>
      <c r="B159" s="86">
        <v>23905611</v>
      </c>
      <c r="C159" s="98">
        <v>45356</v>
      </c>
      <c r="D159" s="21" t="s">
        <v>4871</v>
      </c>
      <c r="E159" s="86">
        <v>2.98</v>
      </c>
      <c r="F159" s="99">
        <v>3.2638888888888891E-2</v>
      </c>
      <c r="G159" s="99">
        <v>0.15694444444444444</v>
      </c>
      <c r="H159" s="21" t="s">
        <v>4549</v>
      </c>
      <c r="I159" s="86">
        <v>20010206</v>
      </c>
      <c r="J159" s="21" t="s">
        <v>4872</v>
      </c>
      <c r="K159" s="5" t="str">
        <f>IF(AND(LEN(H159)=0, LEN(I159)=0), "", IF(AND(LEN(H159)&gt;0, LEN(I159)=0), "BLANCO", IFERROR(VLOOKUP(I159, BasedatosM9!A:B, 2, FALSE), "BLANCO")))</f>
        <v>Vanegas Guependo Hermes</v>
      </c>
      <c r="W159" s="5" t="str">
        <f>IF(AND(LEN(T159)=0, LEN(U159)=0), "", IF(AND(LEN(T159)&gt;0, LEN(U159)=0), "BLANCO", IFERROR(VLOOKUP(U159, BasedatosM9!A:B, 2, FALSE), "BLANCO")))</f>
        <v/>
      </c>
      <c r="AI159" s="5" t="str">
        <f>IF(AND(LEN(AF159)=0, LEN(AG159)=0), "", IF(AND(LEN(AF159)&gt;0, LEN(AG159)=0), "BLANCO", IFERROR(VLOOKUP(AG159, BasedatosM9!A:B, 2, FALSE), "BLANCO")))</f>
        <v/>
      </c>
      <c r="AU159" s="5" t="str">
        <f>IF(AND(LEN(AR159)=0, LEN(AS159)=0), "", IF(AND(LEN(AR159)&gt;0, LEN(AS159)=0), "BLANCO", IFERROR(VLOOKUP(AS159, BasedatosM9!A:B, 2, FALSE), "BLANCO")))</f>
        <v/>
      </c>
    </row>
    <row r="160" spans="1:47" ht="14.4">
      <c r="A160" s="21" t="s">
        <v>4767</v>
      </c>
      <c r="B160" s="86">
        <v>23905622</v>
      </c>
      <c r="C160" s="98">
        <v>45356</v>
      </c>
      <c r="D160" s="21" t="s">
        <v>4768</v>
      </c>
      <c r="E160" s="86">
        <v>0.08</v>
      </c>
      <c r="F160" s="99">
        <v>0.13194444444444445</v>
      </c>
      <c r="G160" s="99">
        <v>0.13541666666666666</v>
      </c>
      <c r="H160" s="21" t="s">
        <v>4769</v>
      </c>
      <c r="I160" s="86">
        <v>20076884</v>
      </c>
      <c r="J160" s="21" t="s">
        <v>4770</v>
      </c>
      <c r="K160" s="5" t="str">
        <f>IF(AND(LEN(H160)=0, LEN(I160)=0), "", IF(AND(LEN(H160)&gt;0, LEN(I160)=0), "BLANCO", IFERROR(VLOOKUP(I160, BasedatosM9!A:B, 2, FALSE), "BLANCO")))</f>
        <v>Estaban Potosi</v>
      </c>
      <c r="W160" s="5" t="str">
        <f>IF(AND(LEN(T160)=0, LEN(U160)=0), "", IF(AND(LEN(T160)&gt;0, LEN(U160)=0), "BLANCO", IFERROR(VLOOKUP(U160, BasedatosM9!A:B, 2, FALSE), "BLANCO")))</f>
        <v/>
      </c>
      <c r="AI160" s="5" t="str">
        <f>IF(AND(LEN(AF160)=0, LEN(AG160)=0), "", IF(AND(LEN(AF160)&gt;0, LEN(AG160)=0), "BLANCO", IFERROR(VLOOKUP(AG160, BasedatosM9!A:B, 2, FALSE), "BLANCO")))</f>
        <v/>
      </c>
      <c r="AU160" s="5" t="str">
        <f>IF(AND(LEN(AR160)=0, LEN(AS160)=0), "", IF(AND(LEN(AR160)&gt;0, LEN(AS160)=0), "BLANCO", IFERROR(VLOOKUP(AS160, BasedatosM9!A:B, 2, FALSE), "BLANCO")))</f>
        <v/>
      </c>
    </row>
    <row r="161" spans="1:47" ht="14.4">
      <c r="A161" s="21" t="s">
        <v>4767</v>
      </c>
      <c r="B161" s="86">
        <v>23905634</v>
      </c>
      <c r="C161" s="98">
        <v>45356</v>
      </c>
      <c r="D161" s="21" t="s">
        <v>4864</v>
      </c>
      <c r="E161" s="86">
        <v>0.13</v>
      </c>
      <c r="F161" s="99">
        <v>0.10416666666666667</v>
      </c>
      <c r="G161" s="99">
        <v>0.10972222222222222</v>
      </c>
      <c r="H161" s="21" t="s">
        <v>4550</v>
      </c>
      <c r="I161" s="21"/>
      <c r="J161" s="21" t="s">
        <v>4865</v>
      </c>
      <c r="K161" s="5" t="str">
        <f>IF(AND(LEN(H161)=0, LEN(I161)=0), "", IF(AND(LEN(H161)&gt;0, LEN(I161)=0), "BLANCO", IFERROR(VLOOKUP(I161, BasedatosM9!A:B, 2, FALSE), "BLANCO")))</f>
        <v>BLANCO</v>
      </c>
      <c r="W161" s="5" t="str">
        <f>IF(AND(LEN(T161)=0, LEN(U161)=0), "", IF(AND(LEN(T161)&gt;0, LEN(U161)=0), "BLANCO", IFERROR(VLOOKUP(U161, BasedatosM9!A:B, 2, FALSE), "BLANCO")))</f>
        <v/>
      </c>
      <c r="AI161" s="5" t="str">
        <f>IF(AND(LEN(AF161)=0, LEN(AG161)=0), "", IF(AND(LEN(AF161)&gt;0, LEN(AG161)=0), "BLANCO", IFERROR(VLOOKUP(AG161, BasedatosM9!A:B, 2, FALSE), "BLANCO")))</f>
        <v/>
      </c>
      <c r="AU161" s="5" t="str">
        <f>IF(AND(LEN(AR161)=0, LEN(AS161)=0), "", IF(AND(LEN(AR161)&gt;0, LEN(AS161)=0), "BLANCO", IFERROR(VLOOKUP(AS161, BasedatosM9!A:B, 2, FALSE), "BLANCO")))</f>
        <v/>
      </c>
    </row>
    <row r="162" spans="1:47" ht="14.4">
      <c r="A162" s="21" t="s">
        <v>4767</v>
      </c>
      <c r="B162" s="86">
        <v>23905672</v>
      </c>
      <c r="C162" s="98">
        <v>45356</v>
      </c>
      <c r="D162" s="21" t="s">
        <v>4751</v>
      </c>
      <c r="E162" s="86">
        <v>0.22</v>
      </c>
      <c r="F162" s="99">
        <v>0.20833333333333334</v>
      </c>
      <c r="G162" s="99">
        <v>0.21736111111111112</v>
      </c>
      <c r="H162" s="21" t="s">
        <v>4551</v>
      </c>
      <c r="I162" s="86">
        <v>20036419</v>
      </c>
      <c r="J162" s="21" t="s">
        <v>4744</v>
      </c>
      <c r="K162" s="5" t="str">
        <f>IF(AND(LEN(H162)=0, LEN(I162)=0), "", IF(AND(LEN(H162)&gt;0, LEN(I162)=0), "BLANCO", IFERROR(VLOOKUP(I162, BasedatosM9!A:B, 2, FALSE), "BLANCO")))</f>
        <v>Adalcides Campo</v>
      </c>
      <c r="W162" s="5" t="str">
        <f>IF(AND(LEN(T162)=0, LEN(U162)=0), "", IF(AND(LEN(T162)&gt;0, LEN(U162)=0), "BLANCO", IFERROR(VLOOKUP(U162, BasedatosM9!A:B, 2, FALSE), "BLANCO")))</f>
        <v/>
      </c>
      <c r="AI162" s="5" t="str">
        <f>IF(AND(LEN(AF162)=0, LEN(AG162)=0), "", IF(AND(LEN(AF162)&gt;0, LEN(AG162)=0), "BLANCO", IFERROR(VLOOKUP(AG162, BasedatosM9!A:B, 2, FALSE), "BLANCO")))</f>
        <v/>
      </c>
      <c r="AU162" s="5" t="str">
        <f>IF(AND(LEN(AR162)=0, LEN(AS162)=0), "", IF(AND(LEN(AR162)&gt;0, LEN(AS162)=0), "BLANCO", IFERROR(VLOOKUP(AS162, BasedatosM9!A:B, 2, FALSE), "BLANCO")))</f>
        <v/>
      </c>
    </row>
    <row r="163" spans="1:47" ht="14.4">
      <c r="A163" s="21" t="s">
        <v>4742</v>
      </c>
      <c r="B163" s="86">
        <v>23906271</v>
      </c>
      <c r="C163" s="98">
        <v>45357</v>
      </c>
      <c r="D163" s="21" t="s">
        <v>4754</v>
      </c>
      <c r="E163" s="86">
        <v>0.32</v>
      </c>
      <c r="F163" s="99">
        <v>0.25694444444444448</v>
      </c>
      <c r="G163" s="99">
        <v>0.27013888888888887</v>
      </c>
      <c r="H163" s="21" t="s">
        <v>4550</v>
      </c>
      <c r="I163" s="21"/>
      <c r="J163" s="21" t="s">
        <v>4755</v>
      </c>
      <c r="K163" s="5" t="str">
        <f>IF(AND(LEN(H163)=0, LEN(I163)=0), "", IF(AND(LEN(H163)&gt;0, LEN(I163)=0), "BLANCO", IFERROR(VLOOKUP(I163, BasedatosM9!A:B, 2, FALSE), "BLANCO")))</f>
        <v>BLANCO</v>
      </c>
      <c r="W163" s="5" t="str">
        <f>IF(AND(LEN(T163)=0, LEN(U163)=0), "", IF(AND(LEN(T163)&gt;0, LEN(U163)=0), "BLANCO", IFERROR(VLOOKUP(U163, BasedatosM9!A:B, 2, FALSE), "BLANCO")))</f>
        <v/>
      </c>
      <c r="AI163" s="5" t="str">
        <f>IF(AND(LEN(AF163)=0, LEN(AG163)=0), "", IF(AND(LEN(AF163)&gt;0, LEN(AG163)=0), "BLANCO", IFERROR(VLOOKUP(AG163, BasedatosM9!A:B, 2, FALSE), "BLANCO")))</f>
        <v/>
      </c>
      <c r="AU163" s="5" t="str">
        <f>IF(AND(LEN(AR163)=0, LEN(AS163)=0), "", IF(AND(LEN(AR163)&gt;0, LEN(AS163)=0), "BLANCO", IFERROR(VLOOKUP(AS163, BasedatosM9!A:B, 2, FALSE), "BLANCO")))</f>
        <v/>
      </c>
    </row>
    <row r="164" spans="1:47" ht="14.4">
      <c r="A164" s="21" t="s">
        <v>4767</v>
      </c>
      <c r="B164" s="86">
        <v>23906292</v>
      </c>
      <c r="C164" s="98">
        <v>45357</v>
      </c>
      <c r="D164" s="21" t="s">
        <v>4751</v>
      </c>
      <c r="E164" s="86">
        <v>0.17</v>
      </c>
      <c r="F164" s="99">
        <v>0.22916666666666666</v>
      </c>
      <c r="G164" s="99">
        <v>0.23611111111111113</v>
      </c>
      <c r="H164" s="21" t="s">
        <v>4551</v>
      </c>
      <c r="I164" s="86">
        <v>20036419</v>
      </c>
      <c r="J164" s="21" t="s">
        <v>4744</v>
      </c>
      <c r="K164" s="5" t="str">
        <f>IF(AND(LEN(H164)=0, LEN(I164)=0), "", IF(AND(LEN(H164)&gt;0, LEN(I164)=0), "BLANCO", IFERROR(VLOOKUP(I164, BasedatosM9!A:B, 2, FALSE), "BLANCO")))</f>
        <v>Adalcides Campo</v>
      </c>
      <c r="W164" s="5" t="str">
        <f>IF(AND(LEN(T164)=0, LEN(U164)=0), "", IF(AND(LEN(T164)&gt;0, LEN(U164)=0), "BLANCO", IFERROR(VLOOKUP(U164, BasedatosM9!A:B, 2, FALSE), "BLANCO")))</f>
        <v/>
      </c>
      <c r="AI164" s="5" t="str">
        <f>IF(AND(LEN(AF164)=0, LEN(AG164)=0), "", IF(AND(LEN(AF164)&gt;0, LEN(AG164)=0), "BLANCO", IFERROR(VLOOKUP(AG164, BasedatosM9!A:B, 2, FALSE), "BLANCO")))</f>
        <v/>
      </c>
      <c r="AU164" s="5" t="str">
        <f>IF(AND(LEN(AR164)=0, LEN(AS164)=0), "", IF(AND(LEN(AR164)&gt;0, LEN(AS164)=0), "BLANCO", IFERROR(VLOOKUP(AS164, BasedatosM9!A:B, 2, FALSE), "BLANCO")))</f>
        <v/>
      </c>
    </row>
    <row r="165" spans="1:47" ht="14.4">
      <c r="A165" s="21" t="s">
        <v>4742</v>
      </c>
      <c r="B165" s="86">
        <v>23906298</v>
      </c>
      <c r="C165" s="98">
        <v>45357</v>
      </c>
      <c r="D165" s="21" t="s">
        <v>4853</v>
      </c>
      <c r="E165" s="86">
        <v>0.25</v>
      </c>
      <c r="F165" s="99">
        <v>0.25</v>
      </c>
      <c r="G165" s="99">
        <v>0.26041666666666669</v>
      </c>
      <c r="H165" s="21" t="s">
        <v>4551</v>
      </c>
      <c r="I165" s="21"/>
      <c r="J165" s="21" t="s">
        <v>79</v>
      </c>
      <c r="K165" s="5" t="str">
        <f>IF(AND(LEN(H165)=0, LEN(I165)=0), "", IF(AND(LEN(H165)&gt;0, LEN(I165)=0), "BLANCO", IFERROR(VLOOKUP(I165, BasedatosM9!A:B, 2, FALSE), "BLANCO")))</f>
        <v>BLANCO</v>
      </c>
      <c r="W165" s="5" t="str">
        <f>IF(AND(LEN(T165)=0, LEN(U165)=0), "", IF(AND(LEN(T165)&gt;0, LEN(U165)=0), "BLANCO", IFERROR(VLOOKUP(U165, BasedatosM9!A:B, 2, FALSE), "BLANCO")))</f>
        <v/>
      </c>
      <c r="AI165" s="5" t="str">
        <f>IF(AND(LEN(AF165)=0, LEN(AG165)=0), "", IF(AND(LEN(AF165)&gt;0, LEN(AG165)=0), "BLANCO", IFERROR(VLOOKUP(AG165, BasedatosM9!A:B, 2, FALSE), "BLANCO")))</f>
        <v/>
      </c>
      <c r="AU165" s="5" t="str">
        <f>IF(AND(LEN(AR165)=0, LEN(AS165)=0), "", IF(AND(LEN(AR165)&gt;0, LEN(AS165)=0), "BLANCO", IFERROR(VLOOKUP(AS165, BasedatosM9!A:B, 2, FALSE), "BLANCO")))</f>
        <v/>
      </c>
    </row>
    <row r="166" spans="1:47" ht="14.4">
      <c r="A166" s="21" t="s">
        <v>4742</v>
      </c>
      <c r="B166" s="86">
        <v>23906313</v>
      </c>
      <c r="C166" s="98">
        <v>45357</v>
      </c>
      <c r="D166" s="21" t="s">
        <v>4761</v>
      </c>
      <c r="E166" s="86">
        <v>0.13</v>
      </c>
      <c r="F166" s="99">
        <v>0.33333333333333331</v>
      </c>
      <c r="G166" s="99">
        <v>0.33888888888888885</v>
      </c>
      <c r="H166" s="21" t="s">
        <v>4550</v>
      </c>
      <c r="I166" s="21"/>
      <c r="J166" s="21" t="s">
        <v>79</v>
      </c>
      <c r="K166" s="5" t="str">
        <f>IF(AND(LEN(H166)=0, LEN(I166)=0), "", IF(AND(LEN(H166)&gt;0, LEN(I166)=0), "BLANCO", IFERROR(VLOOKUP(I166, BasedatosM9!A:B, 2, FALSE), "BLANCO")))</f>
        <v>BLANCO</v>
      </c>
      <c r="W166" s="5" t="str">
        <f>IF(AND(LEN(T166)=0, LEN(U166)=0), "", IF(AND(LEN(T166)&gt;0, LEN(U166)=0), "BLANCO", IFERROR(VLOOKUP(U166, BasedatosM9!A:B, 2, FALSE), "BLANCO")))</f>
        <v/>
      </c>
      <c r="AI166" s="5" t="str">
        <f>IF(AND(LEN(AF166)=0, LEN(AG166)=0), "", IF(AND(LEN(AF166)&gt;0, LEN(AG166)=0), "BLANCO", IFERROR(VLOOKUP(AG166, BasedatosM9!A:B, 2, FALSE), "BLANCO")))</f>
        <v/>
      </c>
      <c r="AU166" s="5" t="str">
        <f>IF(AND(LEN(AR166)=0, LEN(AS166)=0), "", IF(AND(LEN(AR166)&gt;0, LEN(AS166)=0), "BLANCO", IFERROR(VLOOKUP(AS166, BasedatosM9!A:B, 2, FALSE), "BLANCO")))</f>
        <v/>
      </c>
    </row>
    <row r="167" spans="1:47" ht="14.4">
      <c r="A167" s="21" t="s">
        <v>4742</v>
      </c>
      <c r="B167" s="86">
        <v>23906323</v>
      </c>
      <c r="C167" s="98">
        <v>45357</v>
      </c>
      <c r="D167" s="21" t="s">
        <v>4799</v>
      </c>
      <c r="E167" s="86">
        <v>0.08</v>
      </c>
      <c r="F167" s="99">
        <v>0.26041666666666669</v>
      </c>
      <c r="G167" s="99">
        <v>0.2638888888888889</v>
      </c>
      <c r="H167" s="21" t="s">
        <v>4551</v>
      </c>
      <c r="I167" s="86">
        <v>20010075</v>
      </c>
      <c r="J167" s="21" t="s">
        <v>1471</v>
      </c>
      <c r="K167" s="5" t="str">
        <f>IF(AND(LEN(H167)=0, LEN(I167)=0), "", IF(AND(LEN(H167)&gt;0, LEN(I167)=0), "BLANCO", IFERROR(VLOOKUP(I167, BasedatosM9!A:B, 2, FALSE), "BLANCO")))</f>
        <v>Diego Pedroza</v>
      </c>
      <c r="W167" s="5" t="str">
        <f>IF(AND(LEN(T167)=0, LEN(U167)=0), "", IF(AND(LEN(T167)&gt;0, LEN(U167)=0), "BLANCO", IFERROR(VLOOKUP(U167, BasedatosM9!A:B, 2, FALSE), "BLANCO")))</f>
        <v/>
      </c>
      <c r="AI167" s="5" t="str">
        <f>IF(AND(LEN(AF167)=0, LEN(AG167)=0), "", IF(AND(LEN(AF167)&gt;0, LEN(AG167)=0), "BLANCO", IFERROR(VLOOKUP(AG167, BasedatosM9!A:B, 2, FALSE), "BLANCO")))</f>
        <v/>
      </c>
      <c r="AU167" s="5" t="str">
        <f>IF(AND(LEN(AR167)=0, LEN(AS167)=0), "", IF(AND(LEN(AR167)&gt;0, LEN(AS167)=0), "BLANCO", IFERROR(VLOOKUP(AS167, BasedatosM9!A:B, 2, FALSE), "BLANCO")))</f>
        <v/>
      </c>
    </row>
    <row r="168" spans="1:47" ht="14.4">
      <c r="A168" s="21" t="s">
        <v>4742</v>
      </c>
      <c r="B168" s="86">
        <v>23906331</v>
      </c>
      <c r="C168" s="98">
        <v>45357</v>
      </c>
      <c r="D168" s="21" t="s">
        <v>4808</v>
      </c>
      <c r="E168" s="86">
        <v>0.08</v>
      </c>
      <c r="F168" s="99">
        <v>0.35416666666666669</v>
      </c>
      <c r="G168" s="99">
        <v>0.3576388888888889</v>
      </c>
      <c r="H168" s="21" t="s">
        <v>4551</v>
      </c>
      <c r="I168" s="86">
        <v>20010075</v>
      </c>
      <c r="J168" s="21" t="s">
        <v>4744</v>
      </c>
      <c r="K168" s="5" t="str">
        <f>IF(AND(LEN(H168)=0, LEN(I168)=0), "", IF(AND(LEN(H168)&gt;0, LEN(I168)=0), "BLANCO", IFERROR(VLOOKUP(I168, BasedatosM9!A:B, 2, FALSE), "BLANCO")))</f>
        <v>Diego Pedroza</v>
      </c>
      <c r="W168" s="5" t="str">
        <f>IF(AND(LEN(T168)=0, LEN(U168)=0), "", IF(AND(LEN(T168)&gt;0, LEN(U168)=0), "BLANCO", IFERROR(VLOOKUP(U168, BasedatosM9!A:B, 2, FALSE), "BLANCO")))</f>
        <v/>
      </c>
      <c r="AI168" s="5" t="str">
        <f>IF(AND(LEN(AF168)=0, LEN(AG168)=0), "", IF(AND(LEN(AF168)&gt;0, LEN(AG168)=0), "BLANCO", IFERROR(VLOOKUP(AG168, BasedatosM9!A:B, 2, FALSE), "BLANCO")))</f>
        <v/>
      </c>
      <c r="AU168" s="5" t="str">
        <f>IF(AND(LEN(AR168)=0, LEN(AS168)=0), "", IF(AND(LEN(AR168)&gt;0, LEN(AS168)=0), "BLANCO", IFERROR(VLOOKUP(AS168, BasedatosM9!A:B, 2, FALSE), "BLANCO")))</f>
        <v/>
      </c>
    </row>
    <row r="169" spans="1:47" ht="14.4">
      <c r="A169" s="21" t="s">
        <v>4742</v>
      </c>
      <c r="B169" s="86">
        <v>23906472</v>
      </c>
      <c r="C169" s="98">
        <v>45357</v>
      </c>
      <c r="D169" s="21" t="s">
        <v>4873</v>
      </c>
      <c r="E169" s="86">
        <v>0.12</v>
      </c>
      <c r="F169" s="99">
        <v>0.38194444444444442</v>
      </c>
      <c r="G169" s="99">
        <v>0.38680555555555557</v>
      </c>
      <c r="H169" s="21" t="s">
        <v>4551</v>
      </c>
      <c r="I169" s="86">
        <v>20010075</v>
      </c>
      <c r="J169" s="21" t="s">
        <v>1471</v>
      </c>
      <c r="K169" s="5" t="str">
        <f>IF(AND(LEN(H169)=0, LEN(I169)=0), "", IF(AND(LEN(H169)&gt;0, LEN(I169)=0), "BLANCO", IFERROR(VLOOKUP(I169, BasedatosM9!A:B, 2, FALSE), "BLANCO")))</f>
        <v>Diego Pedroza</v>
      </c>
      <c r="W169" s="5" t="str">
        <f>IF(AND(LEN(T169)=0, LEN(U169)=0), "", IF(AND(LEN(T169)&gt;0, LEN(U169)=0), "BLANCO", IFERROR(VLOOKUP(U169, BasedatosM9!A:B, 2, FALSE), "BLANCO")))</f>
        <v/>
      </c>
      <c r="AI169" s="5" t="str">
        <f>IF(AND(LEN(AF169)=0, LEN(AG169)=0), "", IF(AND(LEN(AF169)&gt;0, LEN(AG169)=0), "BLANCO", IFERROR(VLOOKUP(AG169, BasedatosM9!A:B, 2, FALSE), "BLANCO")))</f>
        <v/>
      </c>
      <c r="AU169" s="5" t="str">
        <f>IF(AND(LEN(AR169)=0, LEN(AS169)=0), "", IF(AND(LEN(AR169)&gt;0, LEN(AS169)=0), "BLANCO", IFERROR(VLOOKUP(AS169, BasedatosM9!A:B, 2, FALSE), "BLANCO")))</f>
        <v/>
      </c>
    </row>
    <row r="170" spans="1:47" ht="14.4">
      <c r="A170" s="21" t="s">
        <v>4742</v>
      </c>
      <c r="B170" s="86">
        <v>23906606</v>
      </c>
      <c r="C170" s="98">
        <v>45357</v>
      </c>
      <c r="D170" s="21" t="s">
        <v>4851</v>
      </c>
      <c r="E170" s="86">
        <v>0.12</v>
      </c>
      <c r="F170" s="99">
        <v>0.41666666666666669</v>
      </c>
      <c r="G170" s="99">
        <v>0.42152777777777778</v>
      </c>
      <c r="H170" s="21" t="s">
        <v>4551</v>
      </c>
      <c r="I170" s="86">
        <v>20020754</v>
      </c>
      <c r="J170" s="21" t="s">
        <v>4746</v>
      </c>
      <c r="K170" s="5" t="str">
        <f>IF(AND(LEN(H170)=0, LEN(I170)=0), "", IF(AND(LEN(H170)&gt;0, LEN(I170)=0), "BLANCO", IFERROR(VLOOKUP(I170, BasedatosM9!A:B, 2, FALSE), "BLANCO")))</f>
        <v>Sanchez Rodriguez Gerson Andres</v>
      </c>
      <c r="W170" s="5" t="str">
        <f>IF(AND(LEN(T170)=0, LEN(U170)=0), "", IF(AND(LEN(T170)&gt;0, LEN(U170)=0), "BLANCO", IFERROR(VLOOKUP(U170, BasedatosM9!A:B, 2, FALSE), "BLANCO")))</f>
        <v/>
      </c>
      <c r="AI170" s="5" t="str">
        <f>IF(AND(LEN(AF170)=0, LEN(AG170)=0), "", IF(AND(LEN(AF170)&gt;0, LEN(AG170)=0), "BLANCO", IFERROR(VLOOKUP(AG170, BasedatosM9!A:B, 2, FALSE), "BLANCO")))</f>
        <v/>
      </c>
      <c r="AU170" s="5" t="str">
        <f>IF(AND(LEN(AR170)=0, LEN(AS170)=0), "", IF(AND(LEN(AR170)&gt;0, LEN(AS170)=0), "BLANCO", IFERROR(VLOOKUP(AS170, BasedatosM9!A:B, 2, FALSE), "BLANCO")))</f>
        <v/>
      </c>
    </row>
    <row r="171" spans="1:47" ht="14.4">
      <c r="A171" s="21" t="s">
        <v>4742</v>
      </c>
      <c r="B171" s="86">
        <v>23906654</v>
      </c>
      <c r="C171" s="98">
        <v>45357</v>
      </c>
      <c r="D171" s="21" t="s">
        <v>4873</v>
      </c>
      <c r="E171" s="86">
        <v>0.5</v>
      </c>
      <c r="F171" s="99">
        <v>0.5</v>
      </c>
      <c r="G171" s="99">
        <v>0.52083333333333337</v>
      </c>
      <c r="H171" s="21" t="s">
        <v>4551</v>
      </c>
      <c r="I171" s="86">
        <v>20010075</v>
      </c>
      <c r="J171" s="21" t="s">
        <v>1471</v>
      </c>
      <c r="K171" s="5" t="str">
        <f>IF(AND(LEN(H171)=0, LEN(I171)=0), "", IF(AND(LEN(H171)&gt;0, LEN(I171)=0), "BLANCO", IFERROR(VLOOKUP(I171, BasedatosM9!A:B, 2, FALSE), "BLANCO")))</f>
        <v>Diego Pedroza</v>
      </c>
      <c r="W171" s="5" t="str">
        <f>IF(AND(LEN(T171)=0, LEN(U171)=0), "", IF(AND(LEN(T171)&gt;0, LEN(U171)=0), "BLANCO", IFERROR(VLOOKUP(U171, BasedatosM9!A:B, 2, FALSE), "BLANCO")))</f>
        <v/>
      </c>
      <c r="AI171" s="5" t="str">
        <f>IF(AND(LEN(AF171)=0, LEN(AG171)=0), "", IF(AND(LEN(AF171)&gt;0, LEN(AG171)=0), "BLANCO", IFERROR(VLOOKUP(AG171, BasedatosM9!A:B, 2, FALSE), "BLANCO")))</f>
        <v/>
      </c>
      <c r="AU171" s="5" t="str">
        <f>IF(AND(LEN(AR171)=0, LEN(AS171)=0), "", IF(AND(LEN(AR171)&gt;0, LEN(AS171)=0), "BLANCO", IFERROR(VLOOKUP(AS171, BasedatosM9!A:B, 2, FALSE), "BLANCO")))</f>
        <v/>
      </c>
    </row>
    <row r="172" spans="1:47" ht="14.4">
      <c r="A172" s="21" t="s">
        <v>4742</v>
      </c>
      <c r="B172" s="86">
        <v>23906778</v>
      </c>
      <c r="C172" s="98">
        <v>45357</v>
      </c>
      <c r="D172" s="21" t="s">
        <v>4874</v>
      </c>
      <c r="E172" s="86">
        <v>1.95</v>
      </c>
      <c r="F172" s="99">
        <v>0.25208333333333333</v>
      </c>
      <c r="G172" s="99">
        <v>0.33333333333333331</v>
      </c>
      <c r="H172" s="21" t="s">
        <v>4549</v>
      </c>
      <c r="I172" s="21"/>
      <c r="J172" s="21" t="s">
        <v>2955</v>
      </c>
      <c r="K172" s="5" t="str">
        <f>IF(AND(LEN(H172)=0, LEN(I172)=0), "", IF(AND(LEN(H172)&gt;0, LEN(I172)=0), "BLANCO", IFERROR(VLOOKUP(I172, BasedatosM9!A:B, 2, FALSE), "BLANCO")))</f>
        <v>BLANCO</v>
      </c>
      <c r="W172" s="5" t="str">
        <f>IF(AND(LEN(T172)=0, LEN(U172)=0), "", IF(AND(LEN(T172)&gt;0, LEN(U172)=0), "BLANCO", IFERROR(VLOOKUP(U172, BasedatosM9!A:B, 2, FALSE), "BLANCO")))</f>
        <v/>
      </c>
      <c r="AI172" s="5" t="str">
        <f>IF(AND(LEN(AF172)=0, LEN(AG172)=0), "", IF(AND(LEN(AF172)&gt;0, LEN(AG172)=0), "BLANCO", IFERROR(VLOOKUP(AG172, BasedatosM9!A:B, 2, FALSE), "BLANCO")))</f>
        <v/>
      </c>
      <c r="AU172" s="5" t="str">
        <f>IF(AND(LEN(AR172)=0, LEN(AS172)=0), "", IF(AND(LEN(AR172)&gt;0, LEN(AS172)=0), "BLANCO", IFERROR(VLOOKUP(AS172, BasedatosM9!A:B, 2, FALSE), "BLANCO")))</f>
        <v/>
      </c>
    </row>
    <row r="173" spans="1:47" ht="14.4">
      <c r="A173" s="21" t="s">
        <v>4742</v>
      </c>
      <c r="B173" s="86">
        <v>23906800</v>
      </c>
      <c r="C173" s="98">
        <v>45357</v>
      </c>
      <c r="D173" s="21" t="s">
        <v>4875</v>
      </c>
      <c r="E173" s="86">
        <v>0.17</v>
      </c>
      <c r="F173" s="99">
        <v>0.28819444444444448</v>
      </c>
      <c r="G173" s="99">
        <v>0.2951388888888889</v>
      </c>
      <c r="H173" s="21" t="s">
        <v>4551</v>
      </c>
      <c r="I173" s="21"/>
      <c r="J173" s="21" t="s">
        <v>4773</v>
      </c>
      <c r="K173" s="5" t="str">
        <f>IF(AND(LEN(H173)=0, LEN(I173)=0), "", IF(AND(LEN(H173)&gt;0, LEN(I173)=0), "BLANCO", IFERROR(VLOOKUP(I173, BasedatosM9!A:B, 2, FALSE), "BLANCO")))</f>
        <v>BLANCO</v>
      </c>
      <c r="W173" s="5" t="str">
        <f>IF(AND(LEN(T173)=0, LEN(U173)=0), "", IF(AND(LEN(T173)&gt;0, LEN(U173)=0), "BLANCO", IFERROR(VLOOKUP(U173, BasedatosM9!A:B, 2, FALSE), "BLANCO")))</f>
        <v/>
      </c>
      <c r="AI173" s="5" t="str">
        <f>IF(AND(LEN(AF173)=0, LEN(AG173)=0), "", IF(AND(LEN(AF173)&gt;0, LEN(AG173)=0), "BLANCO", IFERROR(VLOOKUP(AG173, BasedatosM9!A:B, 2, FALSE), "BLANCO")))</f>
        <v/>
      </c>
      <c r="AU173" s="5" t="str">
        <f>IF(AND(LEN(AR173)=0, LEN(AS173)=0), "", IF(AND(LEN(AR173)&gt;0, LEN(AS173)=0), "BLANCO", IFERROR(VLOOKUP(AS173, BasedatosM9!A:B, 2, FALSE), "BLANCO")))</f>
        <v/>
      </c>
    </row>
    <row r="174" spans="1:47" ht="14.4">
      <c r="A174" s="21" t="s">
        <v>4742</v>
      </c>
      <c r="B174" s="86">
        <v>23906814</v>
      </c>
      <c r="C174" s="98">
        <v>45357</v>
      </c>
      <c r="D174" s="21" t="s">
        <v>4851</v>
      </c>
      <c r="E174" s="86">
        <v>0.17</v>
      </c>
      <c r="F174" s="99">
        <v>0.54166666666666663</v>
      </c>
      <c r="G174" s="99">
        <v>0.54861111111111105</v>
      </c>
      <c r="H174" s="21" t="s">
        <v>4551</v>
      </c>
      <c r="I174" s="86">
        <v>20020754</v>
      </c>
      <c r="J174" s="21" t="s">
        <v>4746</v>
      </c>
      <c r="K174" s="5" t="str">
        <f>IF(AND(LEN(H174)=0, LEN(I174)=0), "", IF(AND(LEN(H174)&gt;0, LEN(I174)=0), "BLANCO", IFERROR(VLOOKUP(I174, BasedatosM9!A:B, 2, FALSE), "BLANCO")))</f>
        <v>Sanchez Rodriguez Gerson Andres</v>
      </c>
      <c r="W174" s="5" t="str">
        <f>IF(AND(LEN(T174)=0, LEN(U174)=0), "", IF(AND(LEN(T174)&gt;0, LEN(U174)=0), "BLANCO", IFERROR(VLOOKUP(U174, BasedatosM9!A:B, 2, FALSE), "BLANCO")))</f>
        <v/>
      </c>
      <c r="AI174" s="5" t="str">
        <f>IF(AND(LEN(AF174)=0, LEN(AG174)=0), "", IF(AND(LEN(AF174)&gt;0, LEN(AG174)=0), "BLANCO", IFERROR(VLOOKUP(AG174, BasedatosM9!A:B, 2, FALSE), "BLANCO")))</f>
        <v/>
      </c>
      <c r="AU174" s="5" t="str">
        <f>IF(AND(LEN(AR174)=0, LEN(AS174)=0), "", IF(AND(LEN(AR174)&gt;0, LEN(AS174)=0), "BLANCO", IFERROR(VLOOKUP(AS174, BasedatosM9!A:B, 2, FALSE), "BLANCO")))</f>
        <v/>
      </c>
    </row>
    <row r="175" spans="1:47" ht="14.4">
      <c r="A175" s="21" t="s">
        <v>4742</v>
      </c>
      <c r="B175" s="86">
        <v>23906843</v>
      </c>
      <c r="C175" s="98">
        <v>45357</v>
      </c>
      <c r="D175" s="21" t="s">
        <v>4784</v>
      </c>
      <c r="E175" s="86">
        <v>0.1</v>
      </c>
      <c r="F175" s="99">
        <v>0.57638888888888895</v>
      </c>
      <c r="G175" s="99">
        <v>0.5805555555555556</v>
      </c>
      <c r="H175" s="21" t="s">
        <v>4551</v>
      </c>
      <c r="I175" s="86">
        <v>20082152</v>
      </c>
      <c r="J175" s="21" t="s">
        <v>4773</v>
      </c>
      <c r="K175" s="5" t="str">
        <f>IF(AND(LEN(H175)=0, LEN(I175)=0), "", IF(AND(LEN(H175)&gt;0, LEN(I175)=0), "BLANCO", IFERROR(VLOOKUP(I175, BasedatosM9!A:B, 2, FALSE), "BLANCO")))</f>
        <v>Ferney Ramos</v>
      </c>
      <c r="W175" s="5" t="str">
        <f>IF(AND(LEN(T175)=0, LEN(U175)=0), "", IF(AND(LEN(T175)&gt;0, LEN(U175)=0), "BLANCO", IFERROR(VLOOKUP(U175, BasedatosM9!A:B, 2, FALSE), "BLANCO")))</f>
        <v/>
      </c>
      <c r="AI175" s="5" t="str">
        <f>IF(AND(LEN(AF175)=0, LEN(AG175)=0), "", IF(AND(LEN(AF175)&gt;0, LEN(AG175)=0), "BLANCO", IFERROR(VLOOKUP(AG175, BasedatosM9!A:B, 2, FALSE), "BLANCO")))</f>
        <v/>
      </c>
      <c r="AU175" s="5" t="str">
        <f>IF(AND(LEN(AR175)=0, LEN(AS175)=0), "", IF(AND(LEN(AR175)&gt;0, LEN(AS175)=0), "BLANCO", IFERROR(VLOOKUP(AS175, BasedatosM9!A:B, 2, FALSE), "BLANCO")))</f>
        <v/>
      </c>
    </row>
    <row r="176" spans="1:47" ht="14.4">
      <c r="A176" s="21" t="s">
        <v>4757</v>
      </c>
      <c r="B176" s="86">
        <v>23906897</v>
      </c>
      <c r="C176" s="98">
        <v>45357</v>
      </c>
      <c r="D176" s="21" t="s">
        <v>4751</v>
      </c>
      <c r="E176" s="86">
        <v>0.23</v>
      </c>
      <c r="F176" s="99">
        <v>0.59722222222222221</v>
      </c>
      <c r="G176" s="99">
        <v>0.6069444444444444</v>
      </c>
      <c r="H176" s="21" t="s">
        <v>4551</v>
      </c>
      <c r="I176" s="86">
        <v>20019987</v>
      </c>
      <c r="J176" s="21" t="s">
        <v>4773</v>
      </c>
      <c r="K176" s="5" t="str">
        <f>IF(AND(LEN(H176)=0, LEN(I176)=0), "", IF(AND(LEN(H176)&gt;0, LEN(I176)=0), "BLANCO", IFERROR(VLOOKUP(I176, BasedatosM9!A:B, 2, FALSE), "BLANCO")))</f>
        <v>Aguado Lemos Luis Eyder</v>
      </c>
      <c r="W176" s="5" t="str">
        <f>IF(AND(LEN(T176)=0, LEN(U176)=0), "", IF(AND(LEN(T176)&gt;0, LEN(U176)=0), "BLANCO", IFERROR(VLOOKUP(U176, BasedatosM9!A:B, 2, FALSE), "BLANCO")))</f>
        <v/>
      </c>
      <c r="AI176" s="5" t="str">
        <f>IF(AND(LEN(AF176)=0, LEN(AG176)=0), "", IF(AND(LEN(AF176)&gt;0, LEN(AG176)=0), "BLANCO", IFERROR(VLOOKUP(AG176, BasedatosM9!A:B, 2, FALSE), "BLANCO")))</f>
        <v/>
      </c>
      <c r="AU176" s="5" t="str">
        <f>IF(AND(LEN(AR176)=0, LEN(AS176)=0), "", IF(AND(LEN(AR176)&gt;0, LEN(AS176)=0), "BLANCO", IFERROR(VLOOKUP(AS176, BasedatosM9!A:B, 2, FALSE), "BLANCO")))</f>
        <v/>
      </c>
    </row>
    <row r="177" spans="1:47" ht="14.4">
      <c r="A177" s="21" t="s">
        <v>4757</v>
      </c>
      <c r="B177" s="86">
        <v>23906899</v>
      </c>
      <c r="C177" s="98">
        <v>45357</v>
      </c>
      <c r="D177" s="21" t="s">
        <v>4876</v>
      </c>
      <c r="E177" s="86">
        <v>0.17</v>
      </c>
      <c r="F177" s="99">
        <v>0.64583333333333337</v>
      </c>
      <c r="G177" s="99">
        <v>0.65277777777777779</v>
      </c>
      <c r="H177" s="21" t="s">
        <v>4551</v>
      </c>
      <c r="I177" s="86">
        <v>20075387</v>
      </c>
      <c r="J177" s="21" t="s">
        <v>79</v>
      </c>
      <c r="K177" s="5" t="str">
        <f>IF(AND(LEN(H177)=0, LEN(I177)=0), "", IF(AND(LEN(H177)&gt;0, LEN(I177)=0), "BLANCO", IFERROR(VLOOKUP(I177, BasedatosM9!A:B, 2, FALSE), "BLANCO")))</f>
        <v>Cristian Suaza</v>
      </c>
      <c r="W177" s="5" t="str">
        <f>IF(AND(LEN(T177)=0, LEN(U177)=0), "", IF(AND(LEN(T177)&gt;0, LEN(U177)=0), "BLANCO", IFERROR(VLOOKUP(U177, BasedatosM9!A:B, 2, FALSE), "BLANCO")))</f>
        <v/>
      </c>
      <c r="AI177" s="5" t="str">
        <f>IF(AND(LEN(AF177)=0, LEN(AG177)=0), "", IF(AND(LEN(AF177)&gt;0, LEN(AG177)=0), "BLANCO", IFERROR(VLOOKUP(AG177, BasedatosM9!A:B, 2, FALSE), "BLANCO")))</f>
        <v/>
      </c>
      <c r="AU177" s="5" t="str">
        <f>IF(AND(LEN(AR177)=0, LEN(AS177)=0), "", IF(AND(LEN(AR177)&gt;0, LEN(AS177)=0), "BLANCO", IFERROR(VLOOKUP(AS177, BasedatosM9!A:B, 2, FALSE), "BLANCO")))</f>
        <v/>
      </c>
    </row>
    <row r="178" spans="1:47" ht="14.4">
      <c r="A178" s="21" t="s">
        <v>4757</v>
      </c>
      <c r="B178" s="86">
        <v>23906900</v>
      </c>
      <c r="C178" s="98">
        <v>45357</v>
      </c>
      <c r="D178" s="21" t="s">
        <v>4745</v>
      </c>
      <c r="E178" s="86">
        <v>0.12</v>
      </c>
      <c r="F178" s="99">
        <v>0.63194444444444442</v>
      </c>
      <c r="G178" s="99">
        <v>0.63680555555555551</v>
      </c>
      <c r="H178" s="21" t="s">
        <v>4551</v>
      </c>
      <c r="I178" s="86">
        <v>20075387</v>
      </c>
      <c r="J178" s="21" t="s">
        <v>4746</v>
      </c>
      <c r="K178" s="5" t="str">
        <f>IF(AND(LEN(H178)=0, LEN(I178)=0), "", IF(AND(LEN(H178)&gt;0, LEN(I178)=0), "BLANCO", IFERROR(VLOOKUP(I178, BasedatosM9!A:B, 2, FALSE), "BLANCO")))</f>
        <v>Cristian Suaza</v>
      </c>
      <c r="W178" s="5" t="str">
        <f>IF(AND(LEN(T178)=0, LEN(U178)=0), "", IF(AND(LEN(T178)&gt;0, LEN(U178)=0), "BLANCO", IFERROR(VLOOKUP(U178, BasedatosM9!A:B, 2, FALSE), "BLANCO")))</f>
        <v/>
      </c>
      <c r="AI178" s="5" t="str">
        <f>IF(AND(LEN(AF178)=0, LEN(AG178)=0), "", IF(AND(LEN(AF178)&gt;0, LEN(AG178)=0), "BLANCO", IFERROR(VLOOKUP(AG178, BasedatosM9!A:B, 2, FALSE), "BLANCO")))</f>
        <v/>
      </c>
      <c r="AU178" s="5" t="str">
        <f>IF(AND(LEN(AR178)=0, LEN(AS178)=0), "", IF(AND(LEN(AR178)&gt;0, LEN(AS178)=0), "BLANCO", IFERROR(VLOOKUP(AS178, BasedatosM9!A:B, 2, FALSE), "BLANCO")))</f>
        <v/>
      </c>
    </row>
    <row r="179" spans="1:47" ht="14.4">
      <c r="A179" s="21" t="s">
        <v>4742</v>
      </c>
      <c r="B179" s="86">
        <v>23907001</v>
      </c>
      <c r="C179" s="98">
        <v>45357</v>
      </c>
      <c r="D179" s="21" t="s">
        <v>4877</v>
      </c>
      <c r="E179" s="86">
        <v>0.12</v>
      </c>
      <c r="F179" s="99">
        <v>0.5083333333333333</v>
      </c>
      <c r="G179" s="99">
        <v>0.5131944444444444</v>
      </c>
      <c r="H179" s="21" t="s">
        <v>4764</v>
      </c>
      <c r="I179" s="21"/>
      <c r="J179" s="21" t="s">
        <v>2714</v>
      </c>
      <c r="K179" s="5" t="str">
        <f>IF(AND(LEN(H179)=0, LEN(I179)=0), "", IF(AND(LEN(H179)&gt;0, LEN(I179)=0), "BLANCO", IFERROR(VLOOKUP(I179, BasedatosM9!A:B, 2, FALSE), "BLANCO")))</f>
        <v>BLANCO</v>
      </c>
      <c r="W179" s="5" t="str">
        <f>IF(AND(LEN(T179)=0, LEN(U179)=0), "", IF(AND(LEN(T179)&gt;0, LEN(U179)=0), "BLANCO", IFERROR(VLOOKUP(U179, BasedatosM9!A:B, 2, FALSE), "BLANCO")))</f>
        <v/>
      </c>
      <c r="AI179" s="5" t="str">
        <f>IF(AND(LEN(AF179)=0, LEN(AG179)=0), "", IF(AND(LEN(AF179)&gt;0, LEN(AG179)=0), "BLANCO", IFERROR(VLOOKUP(AG179, BasedatosM9!A:B, 2, FALSE), "BLANCO")))</f>
        <v/>
      </c>
      <c r="AU179" s="5" t="str">
        <f>IF(AND(LEN(AR179)=0, LEN(AS179)=0), "", IF(AND(LEN(AR179)&gt;0, LEN(AS179)=0), "BLANCO", IFERROR(VLOOKUP(AS179, BasedatosM9!A:B, 2, FALSE), "BLANCO")))</f>
        <v/>
      </c>
    </row>
    <row r="180" spans="1:47" ht="14.4">
      <c r="A180" s="21" t="s">
        <v>4757</v>
      </c>
      <c r="B180" s="86">
        <v>23907172</v>
      </c>
      <c r="C180" s="98">
        <v>45357</v>
      </c>
      <c r="D180" s="21" t="s">
        <v>4751</v>
      </c>
      <c r="E180" s="86">
        <v>0.37</v>
      </c>
      <c r="F180" s="99">
        <v>0.67361111111111116</v>
      </c>
      <c r="G180" s="99">
        <v>0.68888888888888899</v>
      </c>
      <c r="H180" s="21" t="s">
        <v>4551</v>
      </c>
      <c r="I180" s="86">
        <v>20019987</v>
      </c>
      <c r="J180" s="21" t="s">
        <v>4744</v>
      </c>
      <c r="K180" s="5" t="str">
        <f>IF(AND(LEN(H180)=0, LEN(I180)=0), "", IF(AND(LEN(H180)&gt;0, LEN(I180)=0), "BLANCO", IFERROR(VLOOKUP(I180, BasedatosM9!A:B, 2, FALSE), "BLANCO")))</f>
        <v>Aguado Lemos Luis Eyder</v>
      </c>
      <c r="W180" s="5" t="str">
        <f>IF(AND(LEN(T180)=0, LEN(U180)=0), "", IF(AND(LEN(T180)&gt;0, LEN(U180)=0), "BLANCO", IFERROR(VLOOKUP(U180, BasedatosM9!A:B, 2, FALSE), "BLANCO")))</f>
        <v/>
      </c>
      <c r="AI180" s="5" t="str">
        <f>IF(AND(LEN(AF180)=0, LEN(AG180)=0), "", IF(AND(LEN(AF180)&gt;0, LEN(AG180)=0), "BLANCO", IFERROR(VLOOKUP(AG180, BasedatosM9!A:B, 2, FALSE), "BLANCO")))</f>
        <v/>
      </c>
      <c r="AU180" s="5" t="str">
        <f>IF(AND(LEN(AR180)=0, LEN(AS180)=0), "", IF(AND(LEN(AR180)&gt;0, LEN(AS180)=0), "BLANCO", IFERROR(VLOOKUP(AS180, BasedatosM9!A:B, 2, FALSE), "BLANCO")))</f>
        <v/>
      </c>
    </row>
    <row r="181" spans="1:47" ht="14.4">
      <c r="A181" s="21" t="s">
        <v>4757</v>
      </c>
      <c r="B181" s="86">
        <v>23907176</v>
      </c>
      <c r="C181" s="98">
        <v>45357</v>
      </c>
      <c r="D181" s="21" t="s">
        <v>4782</v>
      </c>
      <c r="E181" s="86">
        <v>0.17</v>
      </c>
      <c r="F181" s="99">
        <v>0.71527777777777779</v>
      </c>
      <c r="G181" s="99">
        <v>0.72222222222222221</v>
      </c>
      <c r="H181" s="21" t="s">
        <v>4551</v>
      </c>
      <c r="I181" s="86">
        <v>20009915</v>
      </c>
      <c r="J181" s="21" t="s">
        <v>1471</v>
      </c>
      <c r="K181" s="5" t="str">
        <f>IF(AND(LEN(H181)=0, LEN(I181)=0), "", IF(AND(LEN(H181)&gt;0, LEN(I181)=0), "BLANCO", IFERROR(VLOOKUP(I181, BasedatosM9!A:B, 2, FALSE), "BLANCO")))</f>
        <v>Lozano Delgado Fausto Andres</v>
      </c>
      <c r="W181" s="5" t="str">
        <f>IF(AND(LEN(T181)=0, LEN(U181)=0), "", IF(AND(LEN(T181)&gt;0, LEN(U181)=0), "BLANCO", IFERROR(VLOOKUP(U181, BasedatosM9!A:B, 2, FALSE), "BLANCO")))</f>
        <v/>
      </c>
      <c r="AI181" s="5" t="str">
        <f>IF(AND(LEN(AF181)=0, LEN(AG181)=0), "", IF(AND(LEN(AF181)&gt;0, LEN(AG181)=0), "BLANCO", IFERROR(VLOOKUP(AG181, BasedatosM9!A:B, 2, FALSE), "BLANCO")))</f>
        <v/>
      </c>
      <c r="AU181" s="5" t="str">
        <f>IF(AND(LEN(AR181)=0, LEN(AS181)=0), "", IF(AND(LEN(AR181)&gt;0, LEN(AS181)=0), "BLANCO", IFERROR(VLOOKUP(AS181, BasedatosM9!A:B, 2, FALSE), "BLANCO")))</f>
        <v/>
      </c>
    </row>
    <row r="182" spans="1:47" ht="14.4">
      <c r="A182" s="21" t="s">
        <v>4757</v>
      </c>
      <c r="B182" s="86">
        <v>23907177</v>
      </c>
      <c r="C182" s="98">
        <v>45357</v>
      </c>
      <c r="D182" s="21" t="s">
        <v>4745</v>
      </c>
      <c r="E182" s="86">
        <v>7.0000000000000007E-2</v>
      </c>
      <c r="F182" s="99">
        <v>0.72916666666666663</v>
      </c>
      <c r="G182" s="99">
        <v>0.7319444444444444</v>
      </c>
      <c r="H182" s="21" t="s">
        <v>4551</v>
      </c>
      <c r="I182" s="86">
        <v>20075387</v>
      </c>
      <c r="J182" s="21" t="s">
        <v>4746</v>
      </c>
      <c r="K182" s="5" t="str">
        <f>IF(AND(LEN(H182)=0, LEN(I182)=0), "", IF(AND(LEN(H182)&gt;0, LEN(I182)=0), "BLANCO", IFERROR(VLOOKUP(I182, BasedatosM9!A:B, 2, FALSE), "BLANCO")))</f>
        <v>Cristian Suaza</v>
      </c>
      <c r="W182" s="5" t="str">
        <f>IF(AND(LEN(T182)=0, LEN(U182)=0), "", IF(AND(LEN(T182)&gt;0, LEN(U182)=0), "BLANCO", IFERROR(VLOOKUP(U182, BasedatosM9!A:B, 2, FALSE), "BLANCO")))</f>
        <v/>
      </c>
      <c r="AI182" s="5" t="str">
        <f>IF(AND(LEN(AF182)=0, LEN(AG182)=0), "", IF(AND(LEN(AF182)&gt;0, LEN(AG182)=0), "BLANCO", IFERROR(VLOOKUP(AG182, BasedatosM9!A:B, 2, FALSE), "BLANCO")))</f>
        <v/>
      </c>
      <c r="AU182" s="5" t="str">
        <f>IF(AND(LEN(AR182)=0, LEN(AS182)=0), "", IF(AND(LEN(AR182)&gt;0, LEN(AS182)=0), "BLANCO", IFERROR(VLOOKUP(AS182, BasedatosM9!A:B, 2, FALSE), "BLANCO")))</f>
        <v/>
      </c>
    </row>
    <row r="183" spans="1:47" ht="14.4">
      <c r="A183" s="21" t="s">
        <v>4757</v>
      </c>
      <c r="B183" s="86">
        <v>23907180</v>
      </c>
      <c r="C183" s="98">
        <v>45357</v>
      </c>
      <c r="D183" s="21" t="s">
        <v>4878</v>
      </c>
      <c r="E183" s="86">
        <v>0.08</v>
      </c>
      <c r="F183" s="99">
        <v>0.75</v>
      </c>
      <c r="G183" s="99">
        <v>0.75347222222222221</v>
      </c>
      <c r="H183" s="21" t="s">
        <v>4551</v>
      </c>
      <c r="I183" s="86">
        <v>20019987</v>
      </c>
      <c r="J183" s="21" t="s">
        <v>4773</v>
      </c>
      <c r="K183" s="5" t="str">
        <f>IF(AND(LEN(H183)=0, LEN(I183)=0), "", IF(AND(LEN(H183)&gt;0, LEN(I183)=0), "BLANCO", IFERROR(VLOOKUP(I183, BasedatosM9!A:B, 2, FALSE), "BLANCO")))</f>
        <v>Aguado Lemos Luis Eyder</v>
      </c>
      <c r="W183" s="5" t="str">
        <f>IF(AND(LEN(T183)=0, LEN(U183)=0), "", IF(AND(LEN(T183)&gt;0, LEN(U183)=0), "BLANCO", IFERROR(VLOOKUP(U183, BasedatosM9!A:B, 2, FALSE), "BLANCO")))</f>
        <v/>
      </c>
      <c r="AI183" s="5" t="str">
        <f>IF(AND(LEN(AF183)=0, LEN(AG183)=0), "", IF(AND(LEN(AF183)&gt;0, LEN(AG183)=0), "BLANCO", IFERROR(VLOOKUP(AG183, BasedatosM9!A:B, 2, FALSE), "BLANCO")))</f>
        <v/>
      </c>
      <c r="AU183" s="5" t="str">
        <f>IF(AND(LEN(AR183)=0, LEN(AS183)=0), "", IF(AND(LEN(AR183)&gt;0, LEN(AS183)=0), "BLANCO", IFERROR(VLOOKUP(AS183, BasedatosM9!A:B, 2, FALSE), "BLANCO")))</f>
        <v/>
      </c>
    </row>
    <row r="184" spans="1:47" ht="14.4">
      <c r="A184" s="21" t="s">
        <v>4757</v>
      </c>
      <c r="B184" s="86">
        <v>23907181</v>
      </c>
      <c r="C184" s="98">
        <v>45357</v>
      </c>
      <c r="D184" s="21" t="s">
        <v>4745</v>
      </c>
      <c r="E184" s="86">
        <v>0.12</v>
      </c>
      <c r="F184" s="99">
        <v>0.76388888888888884</v>
      </c>
      <c r="G184" s="99">
        <v>0.76874999999999993</v>
      </c>
      <c r="H184" s="21" t="s">
        <v>4551</v>
      </c>
      <c r="I184" s="86">
        <v>20075387</v>
      </c>
      <c r="J184" s="21" t="s">
        <v>4746</v>
      </c>
      <c r="K184" s="5" t="str">
        <f>IF(AND(LEN(H184)=0, LEN(I184)=0), "", IF(AND(LEN(H184)&gt;0, LEN(I184)=0), "BLANCO", IFERROR(VLOOKUP(I184, BasedatosM9!A:B, 2, FALSE), "BLANCO")))</f>
        <v>Cristian Suaza</v>
      </c>
      <c r="W184" s="5" t="str">
        <f>IF(AND(LEN(T184)=0, LEN(U184)=0), "", IF(AND(LEN(T184)&gt;0, LEN(U184)=0), "BLANCO", IFERROR(VLOOKUP(U184, BasedatosM9!A:B, 2, FALSE), "BLANCO")))</f>
        <v/>
      </c>
      <c r="AI184" s="5" t="str">
        <f>IF(AND(LEN(AF184)=0, LEN(AG184)=0), "", IF(AND(LEN(AF184)&gt;0, LEN(AG184)=0), "BLANCO", IFERROR(VLOOKUP(AG184, BasedatosM9!A:B, 2, FALSE), "BLANCO")))</f>
        <v/>
      </c>
      <c r="AU184" s="5" t="str">
        <f>IF(AND(LEN(AR184)=0, LEN(AS184)=0), "", IF(AND(LEN(AR184)&gt;0, LEN(AS184)=0), "BLANCO", IFERROR(VLOOKUP(AS184, BasedatosM9!A:B, 2, FALSE), "BLANCO")))</f>
        <v/>
      </c>
    </row>
    <row r="185" spans="1:47" ht="14.4">
      <c r="A185" s="21" t="s">
        <v>4757</v>
      </c>
      <c r="B185" s="86">
        <v>23907337</v>
      </c>
      <c r="C185" s="98">
        <v>45357</v>
      </c>
      <c r="D185" s="21" t="s">
        <v>4879</v>
      </c>
      <c r="E185" s="86">
        <v>0.33</v>
      </c>
      <c r="F185" s="99">
        <v>0.625</v>
      </c>
      <c r="G185" s="99">
        <v>0.63888888888888895</v>
      </c>
      <c r="H185" s="21" t="s">
        <v>4550</v>
      </c>
      <c r="I185" s="86">
        <v>20010079</v>
      </c>
      <c r="J185" s="21" t="s">
        <v>79</v>
      </c>
      <c r="K185" s="5" t="str">
        <f>IF(AND(LEN(H185)=0, LEN(I185)=0), "", IF(AND(LEN(H185)&gt;0, LEN(I185)=0), "BLANCO", IFERROR(VLOOKUP(I185, BasedatosM9!A:B, 2, FALSE), "BLANCO")))</f>
        <v>Peña Quiñonez Andres Gilberto</v>
      </c>
      <c r="W185" s="5" t="str">
        <f>IF(AND(LEN(T185)=0, LEN(U185)=0), "", IF(AND(LEN(T185)&gt;0, LEN(U185)=0), "BLANCO", IFERROR(VLOOKUP(U185, BasedatosM9!A:B, 2, FALSE), "BLANCO")))</f>
        <v/>
      </c>
      <c r="AI185" s="5" t="str">
        <f>IF(AND(LEN(AF185)=0, LEN(AG185)=0), "", IF(AND(LEN(AF185)&gt;0, LEN(AG185)=0), "BLANCO", IFERROR(VLOOKUP(AG185, BasedatosM9!A:B, 2, FALSE), "BLANCO")))</f>
        <v/>
      </c>
      <c r="AU185" s="5" t="str">
        <f>IF(AND(LEN(AR185)=0, LEN(AS185)=0), "", IF(AND(LEN(AR185)&gt;0, LEN(AS185)=0), "BLANCO", IFERROR(VLOOKUP(AS185, BasedatosM9!A:B, 2, FALSE), "BLANCO")))</f>
        <v/>
      </c>
    </row>
    <row r="186" spans="1:47" ht="14.4">
      <c r="A186" s="21" t="s">
        <v>4757</v>
      </c>
      <c r="B186" s="86">
        <v>23907339</v>
      </c>
      <c r="C186" s="98">
        <v>45357</v>
      </c>
      <c r="D186" s="21" t="s">
        <v>4879</v>
      </c>
      <c r="E186" s="86">
        <v>0.25</v>
      </c>
      <c r="F186" s="99">
        <v>0.6875</v>
      </c>
      <c r="G186" s="99">
        <v>0.69791666666666663</v>
      </c>
      <c r="H186" s="21" t="s">
        <v>4550</v>
      </c>
      <c r="I186" s="86">
        <v>20010079</v>
      </c>
      <c r="J186" s="21" t="s">
        <v>79</v>
      </c>
      <c r="K186" s="5" t="str">
        <f>IF(AND(LEN(H186)=0, LEN(I186)=0), "", IF(AND(LEN(H186)&gt;0, LEN(I186)=0), "BLANCO", IFERROR(VLOOKUP(I186, BasedatosM9!A:B, 2, FALSE), "BLANCO")))</f>
        <v>Peña Quiñonez Andres Gilberto</v>
      </c>
      <c r="W186" s="5" t="str">
        <f>IF(AND(LEN(T186)=0, LEN(U186)=0), "", IF(AND(LEN(T186)&gt;0, LEN(U186)=0), "BLANCO", IFERROR(VLOOKUP(U186, BasedatosM9!A:B, 2, FALSE), "BLANCO")))</f>
        <v/>
      </c>
      <c r="AI186" s="5" t="str">
        <f>IF(AND(LEN(AF186)=0, LEN(AG186)=0), "", IF(AND(LEN(AF186)&gt;0, LEN(AG186)=0), "BLANCO", IFERROR(VLOOKUP(AG186, BasedatosM9!A:B, 2, FALSE), "BLANCO")))</f>
        <v/>
      </c>
      <c r="AU186" s="5" t="str">
        <f>IF(AND(LEN(AR186)=0, LEN(AS186)=0), "", IF(AND(LEN(AR186)&gt;0, LEN(AS186)=0), "BLANCO", IFERROR(VLOOKUP(AS186, BasedatosM9!A:B, 2, FALSE), "BLANCO")))</f>
        <v/>
      </c>
    </row>
    <row r="187" spans="1:47" ht="14.4">
      <c r="A187" s="21" t="s">
        <v>4757</v>
      </c>
      <c r="B187" s="86">
        <v>23907433</v>
      </c>
      <c r="C187" s="98">
        <v>45357</v>
      </c>
      <c r="D187" s="21" t="s">
        <v>4745</v>
      </c>
      <c r="E187" s="86">
        <v>0.15</v>
      </c>
      <c r="F187" s="99">
        <v>0.77777777777777779</v>
      </c>
      <c r="G187" s="99">
        <v>0.78402777777777777</v>
      </c>
      <c r="H187" s="21" t="s">
        <v>4551</v>
      </c>
      <c r="I187" s="86">
        <v>20009915</v>
      </c>
      <c r="J187" s="21" t="s">
        <v>1471</v>
      </c>
      <c r="K187" s="5" t="str">
        <f>IF(AND(LEN(H187)=0, LEN(I187)=0), "", IF(AND(LEN(H187)&gt;0, LEN(I187)=0), "BLANCO", IFERROR(VLOOKUP(I187, BasedatosM9!A:B, 2, FALSE), "BLANCO")))</f>
        <v>Lozano Delgado Fausto Andres</v>
      </c>
      <c r="W187" s="5" t="str">
        <f>IF(AND(LEN(T187)=0, LEN(U187)=0), "", IF(AND(LEN(T187)&gt;0, LEN(U187)=0), "BLANCO", IFERROR(VLOOKUP(U187, BasedatosM9!A:B, 2, FALSE), "BLANCO")))</f>
        <v/>
      </c>
      <c r="AI187" s="5" t="str">
        <f>IF(AND(LEN(AF187)=0, LEN(AG187)=0), "", IF(AND(LEN(AF187)&gt;0, LEN(AG187)=0), "BLANCO", IFERROR(VLOOKUP(AG187, BasedatosM9!A:B, 2, FALSE), "BLANCO")))</f>
        <v/>
      </c>
      <c r="AU187" s="5" t="str">
        <f>IF(AND(LEN(AR187)=0, LEN(AS187)=0), "", IF(AND(LEN(AR187)&gt;0, LEN(AS187)=0), "BLANCO", IFERROR(VLOOKUP(AS187, BasedatosM9!A:B, 2, FALSE), "BLANCO")))</f>
        <v/>
      </c>
    </row>
    <row r="188" spans="1:47" ht="14.4">
      <c r="A188" s="21" t="s">
        <v>4757</v>
      </c>
      <c r="B188" s="86">
        <v>23907460</v>
      </c>
      <c r="C188" s="98">
        <v>45357</v>
      </c>
      <c r="D188" s="21" t="s">
        <v>4880</v>
      </c>
      <c r="E188" s="86">
        <v>0.08</v>
      </c>
      <c r="F188" s="99">
        <v>0.71527777777777779</v>
      </c>
      <c r="G188" s="99">
        <v>0.71875</v>
      </c>
      <c r="H188" s="21" t="s">
        <v>4549</v>
      </c>
      <c r="I188" s="86">
        <v>20009954</v>
      </c>
      <c r="J188" s="21" t="s">
        <v>79</v>
      </c>
      <c r="K188" s="5" t="str">
        <f>IF(AND(LEN(H188)=0, LEN(I188)=0), "", IF(AND(LEN(H188)&gt;0, LEN(I188)=0), "BLANCO", IFERROR(VLOOKUP(I188, BasedatosM9!A:B, 2, FALSE), "BLANCO")))</f>
        <v>Martinez Peña Brandon Stewar</v>
      </c>
      <c r="W188" s="5" t="str">
        <f>IF(AND(LEN(T188)=0, LEN(U188)=0), "", IF(AND(LEN(T188)&gt;0, LEN(U188)=0), "BLANCO", IFERROR(VLOOKUP(U188, BasedatosM9!A:B, 2, FALSE), "BLANCO")))</f>
        <v/>
      </c>
      <c r="AI188" s="5" t="str">
        <f>IF(AND(LEN(AF188)=0, LEN(AG188)=0), "", IF(AND(LEN(AF188)&gt;0, LEN(AG188)=0), "BLANCO", IFERROR(VLOOKUP(AG188, BasedatosM9!A:B, 2, FALSE), "BLANCO")))</f>
        <v/>
      </c>
      <c r="AU188" s="5" t="str">
        <f>IF(AND(LEN(AR188)=0, LEN(AS188)=0), "", IF(AND(LEN(AR188)&gt;0, LEN(AS188)=0), "BLANCO", IFERROR(VLOOKUP(AS188, BasedatosM9!A:B, 2, FALSE), "BLANCO")))</f>
        <v/>
      </c>
    </row>
    <row r="189" spans="1:47" ht="14.4">
      <c r="A189" s="21" t="s">
        <v>4757</v>
      </c>
      <c r="B189" s="86">
        <v>23907482</v>
      </c>
      <c r="C189" s="98">
        <v>45357</v>
      </c>
      <c r="D189" s="21" t="s">
        <v>4881</v>
      </c>
      <c r="E189" s="86">
        <v>0.25</v>
      </c>
      <c r="F189" s="99">
        <v>0.65277777777777779</v>
      </c>
      <c r="G189" s="99">
        <v>0.66319444444444442</v>
      </c>
      <c r="H189" s="21" t="s">
        <v>4549</v>
      </c>
      <c r="I189" s="86">
        <v>20009758</v>
      </c>
      <c r="J189" s="21" t="s">
        <v>4787</v>
      </c>
      <c r="K189" s="5" t="str">
        <f>IF(AND(LEN(H189)=0, LEN(I189)=0), "", IF(AND(LEN(H189)&gt;0, LEN(I189)=0), "BLANCO", IFERROR(VLOOKUP(I189, BasedatosM9!A:B, 2, FALSE), "BLANCO")))</f>
        <v>Franco Castillo Brayan Steven</v>
      </c>
      <c r="W189" s="5" t="str">
        <f>IF(AND(LEN(T189)=0, LEN(U189)=0), "", IF(AND(LEN(T189)&gt;0, LEN(U189)=0), "BLANCO", IFERROR(VLOOKUP(U189, BasedatosM9!A:B, 2, FALSE), "BLANCO")))</f>
        <v/>
      </c>
      <c r="AI189" s="5" t="str">
        <f>IF(AND(LEN(AF189)=0, LEN(AG189)=0), "", IF(AND(LEN(AF189)&gt;0, LEN(AG189)=0), "BLANCO", IFERROR(VLOOKUP(AG189, BasedatosM9!A:B, 2, FALSE), "BLANCO")))</f>
        <v/>
      </c>
      <c r="AU189" s="5" t="str">
        <f>IF(AND(LEN(AR189)=0, LEN(AS189)=0), "", IF(AND(LEN(AR189)&gt;0, LEN(AS189)=0), "BLANCO", IFERROR(VLOOKUP(AS189, BasedatosM9!A:B, 2, FALSE), "BLANCO")))</f>
        <v/>
      </c>
    </row>
    <row r="190" spans="1:47" ht="14.4">
      <c r="A190" s="21" t="s">
        <v>4757</v>
      </c>
      <c r="B190" s="86">
        <v>23907533</v>
      </c>
      <c r="C190" s="98">
        <v>45357</v>
      </c>
      <c r="D190" s="21" t="s">
        <v>4771</v>
      </c>
      <c r="E190" s="86">
        <v>0.15</v>
      </c>
      <c r="F190" s="99">
        <v>0.74305555555555547</v>
      </c>
      <c r="G190" s="99">
        <v>0.74930555555555556</v>
      </c>
      <c r="H190" s="21" t="s">
        <v>4549</v>
      </c>
      <c r="I190" s="86">
        <v>20009942</v>
      </c>
      <c r="J190" s="21" t="s">
        <v>1471</v>
      </c>
      <c r="K190" s="5" t="str">
        <f>IF(AND(LEN(H190)=0, LEN(I190)=0), "", IF(AND(LEN(H190)&gt;0, LEN(I190)=0), "BLANCO", IFERROR(VLOOKUP(I190, BasedatosM9!A:B, 2, FALSE), "BLANCO")))</f>
        <v>Osver Martinez</v>
      </c>
      <c r="W190" s="5" t="str">
        <f>IF(AND(LEN(T190)=0, LEN(U190)=0), "", IF(AND(LEN(T190)&gt;0, LEN(U190)=0), "BLANCO", IFERROR(VLOOKUP(U190, BasedatosM9!A:B, 2, FALSE), "BLANCO")))</f>
        <v/>
      </c>
      <c r="AI190" s="5" t="str">
        <f>IF(AND(LEN(AF190)=0, LEN(AG190)=0), "", IF(AND(LEN(AF190)&gt;0, LEN(AG190)=0), "BLANCO", IFERROR(VLOOKUP(AG190, BasedatosM9!A:B, 2, FALSE), "BLANCO")))</f>
        <v/>
      </c>
      <c r="AU190" s="5" t="str">
        <f>IF(AND(LEN(AR190)=0, LEN(AS190)=0), "", IF(AND(LEN(AR190)&gt;0, LEN(AS190)=0), "BLANCO", IFERROR(VLOOKUP(AS190, BasedatosM9!A:B, 2, FALSE), "BLANCO")))</f>
        <v/>
      </c>
    </row>
    <row r="191" spans="1:47" ht="14.4">
      <c r="A191" s="21" t="s">
        <v>4757</v>
      </c>
      <c r="B191" s="86">
        <v>23907535</v>
      </c>
      <c r="C191" s="98">
        <v>45357</v>
      </c>
      <c r="D191" s="21" t="s">
        <v>4862</v>
      </c>
      <c r="E191" s="86">
        <v>0.15</v>
      </c>
      <c r="F191" s="99">
        <v>0.85416666666666663</v>
      </c>
      <c r="G191" s="99">
        <v>0.86041666666666661</v>
      </c>
      <c r="H191" s="21" t="s">
        <v>4550</v>
      </c>
      <c r="I191" s="86">
        <v>20032893</v>
      </c>
      <c r="J191" s="21" t="s">
        <v>4755</v>
      </c>
      <c r="K191" s="5" t="str">
        <f>IF(AND(LEN(H191)=0, LEN(I191)=0), "", IF(AND(LEN(H191)&gt;0, LEN(I191)=0), "BLANCO", IFERROR(VLOOKUP(I191, BasedatosM9!A:B, 2, FALSE), "BLANCO")))</f>
        <v>Bolaños Camacho Luis Miguel</v>
      </c>
      <c r="W191" s="5" t="str">
        <f>IF(AND(LEN(T191)=0, LEN(U191)=0), "", IF(AND(LEN(T191)&gt;0, LEN(U191)=0), "BLANCO", IFERROR(VLOOKUP(U191, BasedatosM9!A:B, 2, FALSE), "BLANCO")))</f>
        <v/>
      </c>
      <c r="AI191" s="5" t="str">
        <f>IF(AND(LEN(AF191)=0, LEN(AG191)=0), "", IF(AND(LEN(AF191)&gt;0, LEN(AG191)=0), "BLANCO", IFERROR(VLOOKUP(AG191, BasedatosM9!A:B, 2, FALSE), "BLANCO")))</f>
        <v/>
      </c>
      <c r="AU191" s="5" t="str">
        <f>IF(AND(LEN(AR191)=0, LEN(AS191)=0), "", IF(AND(LEN(AR191)&gt;0, LEN(AS191)=0), "BLANCO", IFERROR(VLOOKUP(AS191, BasedatosM9!A:B, 2, FALSE), "BLANCO")))</f>
        <v/>
      </c>
    </row>
    <row r="192" spans="1:47" ht="14.4">
      <c r="A192" s="21" t="s">
        <v>4757</v>
      </c>
      <c r="B192" s="86">
        <v>23907593</v>
      </c>
      <c r="C192" s="98">
        <v>45357</v>
      </c>
      <c r="D192" s="21" t="s">
        <v>4877</v>
      </c>
      <c r="E192" s="86">
        <v>7.0000000000000007E-2</v>
      </c>
      <c r="F192" s="99">
        <v>0.87847222222222221</v>
      </c>
      <c r="G192" s="99">
        <v>0.88124999999999998</v>
      </c>
      <c r="H192" s="21" t="s">
        <v>4764</v>
      </c>
      <c r="I192" s="21"/>
      <c r="J192" s="21" t="s">
        <v>2714</v>
      </c>
      <c r="K192" s="5" t="str">
        <f>IF(AND(LEN(H192)=0, LEN(I192)=0), "", IF(AND(LEN(H192)&gt;0, LEN(I192)=0), "BLANCO", IFERROR(VLOOKUP(I192, BasedatosM9!A:B, 2, FALSE), "BLANCO")))</f>
        <v>BLANCO</v>
      </c>
      <c r="W192" s="5" t="str">
        <f>IF(AND(LEN(T192)=0, LEN(U192)=0), "", IF(AND(LEN(T192)&gt;0, LEN(U192)=0), "BLANCO", IFERROR(VLOOKUP(U192, BasedatosM9!A:B, 2, FALSE), "BLANCO")))</f>
        <v/>
      </c>
      <c r="AI192" s="5" t="str">
        <f>IF(AND(LEN(AF192)=0, LEN(AG192)=0), "", IF(AND(LEN(AF192)&gt;0, LEN(AG192)=0), "BLANCO", IFERROR(VLOOKUP(AG192, BasedatosM9!A:B, 2, FALSE), "BLANCO")))</f>
        <v/>
      </c>
      <c r="AU192" s="5" t="str">
        <f>IF(AND(LEN(AR192)=0, LEN(AS192)=0), "", IF(AND(LEN(AR192)&gt;0, LEN(AS192)=0), "BLANCO", IFERROR(VLOOKUP(AS192, BasedatosM9!A:B, 2, FALSE), "BLANCO")))</f>
        <v/>
      </c>
    </row>
    <row r="193" spans="1:47" ht="14.4">
      <c r="A193" s="21" t="s">
        <v>4757</v>
      </c>
      <c r="B193" s="86">
        <v>23907602</v>
      </c>
      <c r="C193" s="98">
        <v>45357</v>
      </c>
      <c r="D193" s="21" t="s">
        <v>4771</v>
      </c>
      <c r="E193" s="86">
        <v>0.2</v>
      </c>
      <c r="F193" s="99">
        <v>0.8666666666666667</v>
      </c>
      <c r="G193" s="99">
        <v>0.875</v>
      </c>
      <c r="H193" s="21" t="s">
        <v>4549</v>
      </c>
      <c r="I193" s="86">
        <v>20009942</v>
      </c>
      <c r="J193" s="21" t="s">
        <v>1471</v>
      </c>
      <c r="K193" s="5" t="str">
        <f>IF(AND(LEN(H193)=0, LEN(I193)=0), "", IF(AND(LEN(H193)&gt;0, LEN(I193)=0), "BLANCO", IFERROR(VLOOKUP(I193, BasedatosM9!A:B, 2, FALSE), "BLANCO")))</f>
        <v>Osver Martinez</v>
      </c>
      <c r="W193" s="5" t="str">
        <f>IF(AND(LEN(T193)=0, LEN(U193)=0), "", IF(AND(LEN(T193)&gt;0, LEN(U193)=0), "BLANCO", IFERROR(VLOOKUP(U193, BasedatosM9!A:B, 2, FALSE), "BLANCO")))</f>
        <v/>
      </c>
      <c r="AI193" s="5" t="str">
        <f>IF(AND(LEN(AF193)=0, LEN(AG193)=0), "", IF(AND(LEN(AF193)&gt;0, LEN(AG193)=0), "BLANCO", IFERROR(VLOOKUP(AG193, BasedatosM9!A:B, 2, FALSE), "BLANCO")))</f>
        <v/>
      </c>
      <c r="AU193" s="5" t="str">
        <f>IF(AND(LEN(AR193)=0, LEN(AS193)=0), "", IF(AND(LEN(AR193)&gt;0, LEN(AS193)=0), "BLANCO", IFERROR(VLOOKUP(AS193, BasedatosM9!A:B, 2, FALSE), "BLANCO")))</f>
        <v/>
      </c>
    </row>
    <row r="194" spans="1:47" ht="14.4">
      <c r="A194" s="21" t="s">
        <v>4767</v>
      </c>
      <c r="B194" s="86">
        <v>23907715</v>
      </c>
      <c r="C194" s="98">
        <v>45357</v>
      </c>
      <c r="D194" s="21" t="s">
        <v>4882</v>
      </c>
      <c r="E194" s="86">
        <v>1.18</v>
      </c>
      <c r="F194" s="99">
        <v>0.93333333333333324</v>
      </c>
      <c r="G194" s="99">
        <v>0.98263888888888884</v>
      </c>
      <c r="H194" s="21" t="s">
        <v>4549</v>
      </c>
      <c r="I194" s="21"/>
      <c r="J194" s="21" t="s">
        <v>4883</v>
      </c>
      <c r="K194" s="5" t="str">
        <f>IF(AND(LEN(H194)=0, LEN(I194)=0), "", IF(AND(LEN(H194)&gt;0, LEN(I194)=0), "BLANCO", IFERROR(VLOOKUP(I194, BasedatosM9!A:B, 2, FALSE), "BLANCO")))</f>
        <v>BLANCO</v>
      </c>
      <c r="W194" s="5" t="str">
        <f>IF(AND(LEN(T194)=0, LEN(U194)=0), "", IF(AND(LEN(T194)&gt;0, LEN(U194)=0), "BLANCO", IFERROR(VLOOKUP(U194, BasedatosM9!A:B, 2, FALSE), "BLANCO")))</f>
        <v/>
      </c>
      <c r="AI194" s="5" t="str">
        <f>IF(AND(LEN(AF194)=0, LEN(AG194)=0), "", IF(AND(LEN(AF194)&gt;0, LEN(AG194)=0), "BLANCO", IFERROR(VLOOKUP(AG194, BasedatosM9!A:B, 2, FALSE), "BLANCO")))</f>
        <v/>
      </c>
      <c r="AU194" s="5" t="str">
        <f>IF(AND(LEN(AR194)=0, LEN(AS194)=0), "", IF(AND(LEN(AR194)&gt;0, LEN(AS194)=0), "BLANCO", IFERROR(VLOOKUP(AS194, BasedatosM9!A:B, 2, FALSE), "BLANCO")))</f>
        <v/>
      </c>
    </row>
    <row r="195" spans="1:47" ht="14.4">
      <c r="A195" s="21" t="s">
        <v>4767</v>
      </c>
      <c r="B195" s="86">
        <v>23907765</v>
      </c>
      <c r="C195" s="98">
        <v>45357</v>
      </c>
      <c r="D195" s="21" t="s">
        <v>4866</v>
      </c>
      <c r="E195" s="86">
        <v>0.22</v>
      </c>
      <c r="F195" s="99">
        <v>0.96597222222222223</v>
      </c>
      <c r="G195" s="99">
        <v>0.97499999999999998</v>
      </c>
      <c r="H195" s="21" t="s">
        <v>4551</v>
      </c>
      <c r="I195" s="86">
        <v>20036419</v>
      </c>
      <c r="J195" s="21" t="s">
        <v>4773</v>
      </c>
      <c r="K195" s="5" t="str">
        <f>IF(AND(LEN(H195)=0, LEN(I195)=0), "", IF(AND(LEN(H195)&gt;0, LEN(I195)=0), "BLANCO", IFERROR(VLOOKUP(I195, BasedatosM9!A:B, 2, FALSE), "BLANCO")))</f>
        <v>Adalcides Campo</v>
      </c>
      <c r="W195" s="5" t="str">
        <f>IF(AND(LEN(T195)=0, LEN(U195)=0), "", IF(AND(LEN(T195)&gt;0, LEN(U195)=0), "BLANCO", IFERROR(VLOOKUP(U195, BasedatosM9!A:B, 2, FALSE), "BLANCO")))</f>
        <v/>
      </c>
      <c r="AI195" s="5" t="str">
        <f>IF(AND(LEN(AF195)=0, LEN(AG195)=0), "", IF(AND(LEN(AF195)&gt;0, LEN(AG195)=0), "BLANCO", IFERROR(VLOOKUP(AG195, BasedatosM9!A:B, 2, FALSE), "BLANCO")))</f>
        <v/>
      </c>
      <c r="AU195" s="5" t="str">
        <f>IF(AND(LEN(AR195)=0, LEN(AS195)=0), "", IF(AND(LEN(AR195)&gt;0, LEN(AS195)=0), "BLANCO", IFERROR(VLOOKUP(AS195, BasedatosM9!A:B, 2, FALSE), "BLANCO")))</f>
        <v/>
      </c>
    </row>
    <row r="196" spans="1:47" ht="14.4">
      <c r="A196" s="21" t="s">
        <v>4767</v>
      </c>
      <c r="B196" s="86">
        <v>23907766</v>
      </c>
      <c r="C196" s="98">
        <v>45357</v>
      </c>
      <c r="D196" s="21" t="s">
        <v>4870</v>
      </c>
      <c r="E196" s="86">
        <v>1.25</v>
      </c>
      <c r="F196" s="99">
        <v>0.93472222222222223</v>
      </c>
      <c r="G196" s="99">
        <v>0.9868055555555556</v>
      </c>
      <c r="H196" s="21" t="s">
        <v>4551</v>
      </c>
      <c r="I196" s="86">
        <v>20009721</v>
      </c>
      <c r="J196" s="21" t="s">
        <v>79</v>
      </c>
      <c r="K196" s="5" t="str">
        <f>IF(AND(LEN(H196)=0, LEN(I196)=0), "", IF(AND(LEN(H196)&gt;0, LEN(I196)=0), "BLANCO", IFERROR(VLOOKUP(I196, BasedatosM9!A:B, 2, FALSE), "BLANCO")))</f>
        <v>Alejandro Davila</v>
      </c>
      <c r="W196" s="5" t="str">
        <f>IF(AND(LEN(T196)=0, LEN(U196)=0), "", IF(AND(LEN(T196)&gt;0, LEN(U196)=0), "BLANCO", IFERROR(VLOOKUP(U196, BasedatosM9!A:B, 2, FALSE), "BLANCO")))</f>
        <v/>
      </c>
      <c r="AI196" s="5" t="str">
        <f>IF(AND(LEN(AF196)=0, LEN(AG196)=0), "", IF(AND(LEN(AF196)&gt;0, LEN(AG196)=0), "BLANCO", IFERROR(VLOOKUP(AG196, BasedatosM9!A:B, 2, FALSE), "BLANCO")))</f>
        <v/>
      </c>
      <c r="AU196" s="5" t="str">
        <f>IF(AND(LEN(AR196)=0, LEN(AS196)=0), "", IF(AND(LEN(AR196)&gt;0, LEN(AS196)=0), "BLANCO", IFERROR(VLOOKUP(AS196, BasedatosM9!A:B, 2, FALSE), "BLANCO")))</f>
        <v/>
      </c>
    </row>
    <row r="197" spans="1:47" ht="14.4">
      <c r="A197" s="21" t="s">
        <v>4767</v>
      </c>
      <c r="B197" s="86">
        <v>23907770</v>
      </c>
      <c r="C197" s="98">
        <v>45357</v>
      </c>
      <c r="D197" s="21" t="s">
        <v>4870</v>
      </c>
      <c r="E197" s="86">
        <v>0.08</v>
      </c>
      <c r="F197" s="99">
        <v>6.6666666666666666E-2</v>
      </c>
      <c r="G197" s="99">
        <v>7.013888888888889E-2</v>
      </c>
      <c r="H197" s="21" t="s">
        <v>4551</v>
      </c>
      <c r="I197" s="86">
        <v>20009721</v>
      </c>
      <c r="J197" s="21" t="s">
        <v>79</v>
      </c>
      <c r="K197" s="5" t="str">
        <f>IF(AND(LEN(H197)=0, LEN(I197)=0), "", IF(AND(LEN(H197)&gt;0, LEN(I197)=0), "BLANCO", IFERROR(VLOOKUP(I197, BasedatosM9!A:B, 2, FALSE), "BLANCO")))</f>
        <v>Alejandro Davila</v>
      </c>
      <c r="W197" s="5" t="str">
        <f>IF(AND(LEN(T197)=0, LEN(U197)=0), "", IF(AND(LEN(T197)&gt;0, LEN(U197)=0), "BLANCO", IFERROR(VLOOKUP(U197, BasedatosM9!A:B, 2, FALSE), "BLANCO")))</f>
        <v/>
      </c>
      <c r="AI197" s="5" t="str">
        <f>IF(AND(LEN(AF197)=0, LEN(AG197)=0), "", IF(AND(LEN(AF197)&gt;0, LEN(AG197)=0), "BLANCO", IFERROR(VLOOKUP(AG197, BasedatosM9!A:B, 2, FALSE), "BLANCO")))</f>
        <v/>
      </c>
      <c r="AU197" s="5" t="str">
        <f>IF(AND(LEN(AR197)=0, LEN(AS197)=0), "", IF(AND(LEN(AR197)&gt;0, LEN(AS197)=0), "BLANCO", IFERROR(VLOOKUP(AS197, BasedatosM9!A:B, 2, FALSE), "BLANCO")))</f>
        <v/>
      </c>
    </row>
    <row r="198" spans="1:47" ht="14.4">
      <c r="A198" s="21" t="s">
        <v>4767</v>
      </c>
      <c r="B198" s="86">
        <v>23907802</v>
      </c>
      <c r="C198" s="98">
        <v>45357</v>
      </c>
      <c r="D198" s="21" t="s">
        <v>4795</v>
      </c>
      <c r="E198" s="86">
        <v>0.2</v>
      </c>
      <c r="F198" s="99">
        <v>0.9375</v>
      </c>
      <c r="G198" s="99">
        <v>0.9458333333333333</v>
      </c>
      <c r="H198" s="21" t="s">
        <v>4550</v>
      </c>
      <c r="I198" s="86">
        <v>20043570</v>
      </c>
      <c r="J198" s="21" t="s">
        <v>79</v>
      </c>
      <c r="K198" s="5" t="str">
        <f>IF(AND(LEN(H198)=0, LEN(I198)=0), "", IF(AND(LEN(H198)&gt;0, LEN(I198)=0), "BLANCO", IFERROR(VLOOKUP(I198, BasedatosM9!A:B, 2, FALSE), "BLANCO")))</f>
        <v>Jhon Navas</v>
      </c>
      <c r="W198" s="5" t="str">
        <f>IF(AND(LEN(T198)=0, LEN(U198)=0), "", IF(AND(LEN(T198)&gt;0, LEN(U198)=0), "BLANCO", IFERROR(VLOOKUP(U198, BasedatosM9!A:B, 2, FALSE), "BLANCO")))</f>
        <v/>
      </c>
      <c r="AI198" s="5" t="str">
        <f>IF(AND(LEN(AF198)=0, LEN(AG198)=0), "", IF(AND(LEN(AF198)&gt;0, LEN(AG198)=0), "BLANCO", IFERROR(VLOOKUP(AG198, BasedatosM9!A:B, 2, FALSE), "BLANCO")))</f>
        <v/>
      </c>
      <c r="AU198" s="5" t="str">
        <f>IF(AND(LEN(AR198)=0, LEN(AS198)=0), "", IF(AND(LEN(AR198)&gt;0, LEN(AS198)=0), "BLANCO", IFERROR(VLOOKUP(AS198, BasedatosM9!A:B, 2, FALSE), "BLANCO")))</f>
        <v/>
      </c>
    </row>
    <row r="199" spans="1:47" ht="14.4">
      <c r="A199" s="21" t="s">
        <v>4767</v>
      </c>
      <c r="B199" s="86">
        <v>23907804</v>
      </c>
      <c r="C199" s="98">
        <v>45357</v>
      </c>
      <c r="D199" s="21" t="s">
        <v>4754</v>
      </c>
      <c r="E199" s="86">
        <v>0.32</v>
      </c>
      <c r="F199" s="99">
        <v>0.96527777777777779</v>
      </c>
      <c r="G199" s="99">
        <v>0.9784722222222223</v>
      </c>
      <c r="H199" s="21" t="s">
        <v>4550</v>
      </c>
      <c r="I199" s="86">
        <v>20022138</v>
      </c>
      <c r="J199" s="21" t="s">
        <v>4755</v>
      </c>
      <c r="K199" s="5" t="str">
        <f>IF(AND(LEN(H199)=0, LEN(I199)=0), "", IF(AND(LEN(H199)&gt;0, LEN(I199)=0), "BLANCO", IFERROR(VLOOKUP(I199, BasedatosM9!A:B, 2, FALSE), "BLANCO")))</f>
        <v>Jose Correa</v>
      </c>
      <c r="W199" s="5" t="str">
        <f>IF(AND(LEN(T199)=0, LEN(U199)=0), "", IF(AND(LEN(T199)&gt;0, LEN(U199)=0), "BLANCO", IFERROR(VLOOKUP(U199, BasedatosM9!A:B, 2, FALSE), "BLANCO")))</f>
        <v/>
      </c>
      <c r="AI199" s="5" t="str">
        <f>IF(AND(LEN(AF199)=0, LEN(AG199)=0), "", IF(AND(LEN(AF199)&gt;0, LEN(AG199)=0), "BLANCO", IFERROR(VLOOKUP(AG199, BasedatosM9!A:B, 2, FALSE), "BLANCO")))</f>
        <v/>
      </c>
      <c r="AU199" s="5" t="str">
        <f>IF(AND(LEN(AR199)=0, LEN(AS199)=0), "", IF(AND(LEN(AR199)&gt;0, LEN(AS199)=0), "BLANCO", IFERROR(VLOOKUP(AS199, BasedatosM9!A:B, 2, FALSE), "BLANCO")))</f>
        <v/>
      </c>
    </row>
    <row r="200" spans="1:47" ht="14.4">
      <c r="A200" s="21" t="s">
        <v>4767</v>
      </c>
      <c r="B200" s="86">
        <v>23907807</v>
      </c>
      <c r="C200" s="98">
        <v>45357</v>
      </c>
      <c r="D200" s="21" t="s">
        <v>4864</v>
      </c>
      <c r="E200" s="86">
        <v>0.43</v>
      </c>
      <c r="F200" s="99">
        <v>3.472222222222222E-3</v>
      </c>
      <c r="G200" s="99">
        <v>2.1527777777777781E-2</v>
      </c>
      <c r="H200" s="21" t="s">
        <v>4550</v>
      </c>
      <c r="I200" s="21"/>
      <c r="J200" s="21" t="s">
        <v>4865</v>
      </c>
      <c r="K200" s="5" t="str">
        <f>IF(AND(LEN(H200)=0, LEN(I200)=0), "", IF(AND(LEN(H200)&gt;0, LEN(I200)=0), "BLANCO", IFERROR(VLOOKUP(I200, BasedatosM9!A:B, 2, FALSE), "BLANCO")))</f>
        <v>BLANCO</v>
      </c>
      <c r="W200" s="5" t="str">
        <f>IF(AND(LEN(T200)=0, LEN(U200)=0), "", IF(AND(LEN(T200)&gt;0, LEN(U200)=0), "BLANCO", IFERROR(VLOOKUP(U200, BasedatosM9!A:B, 2, FALSE), "BLANCO")))</f>
        <v/>
      </c>
      <c r="AI200" s="5" t="str">
        <f>IF(AND(LEN(AF200)=0, LEN(AG200)=0), "", IF(AND(LEN(AF200)&gt;0, LEN(AG200)=0), "BLANCO", IFERROR(VLOOKUP(AG200, BasedatosM9!A:B, 2, FALSE), "BLANCO")))</f>
        <v/>
      </c>
      <c r="AU200" s="5" t="str">
        <f>IF(AND(LEN(AR200)=0, LEN(AS200)=0), "", IF(AND(LEN(AR200)&gt;0, LEN(AS200)=0), "BLANCO", IFERROR(VLOOKUP(AS200, BasedatosM9!A:B, 2, FALSE), "BLANCO")))</f>
        <v/>
      </c>
    </row>
    <row r="201" spans="1:47" ht="14.4">
      <c r="A201" s="21" t="s">
        <v>4767</v>
      </c>
      <c r="B201" s="86">
        <v>23907809</v>
      </c>
      <c r="C201" s="98">
        <v>45357</v>
      </c>
      <c r="D201" s="21" t="s">
        <v>4884</v>
      </c>
      <c r="E201" s="86">
        <v>0.55000000000000004</v>
      </c>
      <c r="F201" s="99">
        <v>7.9166666666666663E-2</v>
      </c>
      <c r="G201" s="99">
        <v>0.10208333333333335</v>
      </c>
      <c r="H201" s="21" t="s">
        <v>4550</v>
      </c>
      <c r="I201" s="86">
        <v>20043570</v>
      </c>
      <c r="J201" s="21" t="s">
        <v>79</v>
      </c>
      <c r="K201" s="5" t="str">
        <f>IF(AND(LEN(H201)=0, LEN(I201)=0), "", IF(AND(LEN(H201)&gt;0, LEN(I201)=0), "BLANCO", IFERROR(VLOOKUP(I201, BasedatosM9!A:B, 2, FALSE), "BLANCO")))</f>
        <v>Jhon Navas</v>
      </c>
      <c r="W201" s="5" t="str">
        <f>IF(AND(LEN(T201)=0, LEN(U201)=0), "", IF(AND(LEN(T201)&gt;0, LEN(U201)=0), "BLANCO", IFERROR(VLOOKUP(U201, BasedatosM9!A:B, 2, FALSE), "BLANCO")))</f>
        <v/>
      </c>
      <c r="AI201" s="5" t="str">
        <f>IF(AND(LEN(AF201)=0, LEN(AG201)=0), "", IF(AND(LEN(AF201)&gt;0, LEN(AG201)=0), "BLANCO", IFERROR(VLOOKUP(AG201, BasedatosM9!A:B, 2, FALSE), "BLANCO")))</f>
        <v/>
      </c>
      <c r="AU201" s="5" t="str">
        <f>IF(AND(LEN(AR201)=0, LEN(AS201)=0), "", IF(AND(LEN(AR201)&gt;0, LEN(AS201)=0), "BLANCO", IFERROR(VLOOKUP(AS201, BasedatosM9!A:B, 2, FALSE), "BLANCO")))</f>
        <v/>
      </c>
    </row>
    <row r="202" spans="1:47" ht="14.4">
      <c r="A202" s="21" t="s">
        <v>4767</v>
      </c>
      <c r="B202" s="86">
        <v>23907898</v>
      </c>
      <c r="C202" s="98">
        <v>45357</v>
      </c>
      <c r="D202" s="21" t="s">
        <v>4885</v>
      </c>
      <c r="E202" s="86">
        <v>0.15</v>
      </c>
      <c r="F202" s="99">
        <v>9.0277777777777776E-2</v>
      </c>
      <c r="G202" s="99">
        <v>9.6527777777777768E-2</v>
      </c>
      <c r="H202" s="21" t="s">
        <v>4551</v>
      </c>
      <c r="I202" s="86">
        <v>20009721</v>
      </c>
      <c r="J202" s="21" t="s">
        <v>4746</v>
      </c>
      <c r="K202" s="5" t="str">
        <f>IF(AND(LEN(H202)=0, LEN(I202)=0), "", IF(AND(LEN(H202)&gt;0, LEN(I202)=0), "BLANCO", IFERROR(VLOOKUP(I202, BasedatosM9!A:B, 2, FALSE), "BLANCO")))</f>
        <v>Alejandro Davila</v>
      </c>
      <c r="W202" s="5" t="str">
        <f>IF(AND(LEN(T202)=0, LEN(U202)=0), "", IF(AND(LEN(T202)&gt;0, LEN(U202)=0), "BLANCO", IFERROR(VLOOKUP(U202, BasedatosM9!A:B, 2, FALSE), "BLANCO")))</f>
        <v/>
      </c>
      <c r="AI202" s="5" t="str">
        <f>IF(AND(LEN(AF202)=0, LEN(AG202)=0), "", IF(AND(LEN(AF202)&gt;0, LEN(AG202)=0), "BLANCO", IFERROR(VLOOKUP(AG202, BasedatosM9!A:B, 2, FALSE), "BLANCO")))</f>
        <v/>
      </c>
      <c r="AU202" s="5" t="str">
        <f>IF(AND(LEN(AR202)=0, LEN(AS202)=0), "", IF(AND(LEN(AR202)&gt;0, LEN(AS202)=0), "BLANCO", IFERROR(VLOOKUP(AS202, BasedatosM9!A:B, 2, FALSE), "BLANCO")))</f>
        <v/>
      </c>
    </row>
    <row r="203" spans="1:47" ht="14.4">
      <c r="A203" s="21" t="s">
        <v>4767</v>
      </c>
      <c r="B203" s="86">
        <v>23907899</v>
      </c>
      <c r="C203" s="98">
        <v>45357</v>
      </c>
      <c r="D203" s="21" t="s">
        <v>4886</v>
      </c>
      <c r="E203" s="86">
        <v>0.1</v>
      </c>
      <c r="F203" s="99">
        <v>0.10833333333333334</v>
      </c>
      <c r="G203" s="99">
        <v>0.1125</v>
      </c>
      <c r="H203" s="21" t="s">
        <v>4551</v>
      </c>
      <c r="I203" s="86">
        <v>20036419</v>
      </c>
      <c r="J203" s="21" t="s">
        <v>4744</v>
      </c>
      <c r="K203" s="5" t="str">
        <f>IF(AND(LEN(H203)=0, LEN(I203)=0), "", IF(AND(LEN(H203)&gt;0, LEN(I203)=0), "BLANCO", IFERROR(VLOOKUP(I203, BasedatosM9!A:B, 2, FALSE), "BLANCO")))</f>
        <v>Adalcides Campo</v>
      </c>
      <c r="W203" s="5" t="str">
        <f>IF(AND(LEN(T203)=0, LEN(U203)=0), "", IF(AND(LEN(T203)&gt;0, LEN(U203)=0), "BLANCO", IFERROR(VLOOKUP(U203, BasedatosM9!A:B, 2, FALSE), "BLANCO")))</f>
        <v/>
      </c>
      <c r="AI203" s="5" t="str">
        <f>IF(AND(LEN(AF203)=0, LEN(AG203)=0), "", IF(AND(LEN(AF203)&gt;0, LEN(AG203)=0), "BLANCO", IFERROR(VLOOKUP(AG203, BasedatosM9!A:B, 2, FALSE), "BLANCO")))</f>
        <v/>
      </c>
      <c r="AU203" s="5" t="str">
        <f>IF(AND(LEN(AR203)=0, LEN(AS203)=0), "", IF(AND(LEN(AR203)&gt;0, LEN(AS203)=0), "BLANCO", IFERROR(VLOOKUP(AS203, BasedatosM9!A:B, 2, FALSE), "BLANCO")))</f>
        <v/>
      </c>
    </row>
    <row r="204" spans="1:47" ht="14.4">
      <c r="A204" s="21" t="s">
        <v>4767</v>
      </c>
      <c r="B204" s="86">
        <v>23907901</v>
      </c>
      <c r="C204" s="98">
        <v>45357</v>
      </c>
      <c r="D204" s="21" t="s">
        <v>4870</v>
      </c>
      <c r="E204" s="86">
        <v>0.85</v>
      </c>
      <c r="F204" s="99">
        <v>0.14930555555555555</v>
      </c>
      <c r="G204" s="99">
        <v>0.18472222222222223</v>
      </c>
      <c r="H204" s="21" t="s">
        <v>4551</v>
      </c>
      <c r="I204" s="86">
        <v>20009721</v>
      </c>
      <c r="J204" s="21" t="s">
        <v>79</v>
      </c>
      <c r="K204" s="5" t="str">
        <f>IF(AND(LEN(H204)=0, LEN(I204)=0), "", IF(AND(LEN(H204)&gt;0, LEN(I204)=0), "BLANCO", IFERROR(VLOOKUP(I204, BasedatosM9!A:B, 2, FALSE), "BLANCO")))</f>
        <v>Alejandro Davila</v>
      </c>
      <c r="W204" s="5" t="str">
        <f>IF(AND(LEN(T204)=0, LEN(U204)=0), "", IF(AND(LEN(T204)&gt;0, LEN(U204)=0), "BLANCO", IFERROR(VLOOKUP(U204, BasedatosM9!A:B, 2, FALSE), "BLANCO")))</f>
        <v/>
      </c>
      <c r="AI204" s="5" t="str">
        <f>IF(AND(LEN(AF204)=0, LEN(AG204)=0), "", IF(AND(LEN(AF204)&gt;0, LEN(AG204)=0), "BLANCO", IFERROR(VLOOKUP(AG204, BasedatosM9!A:B, 2, FALSE), "BLANCO")))</f>
        <v/>
      </c>
      <c r="AU204" s="5" t="str">
        <f>IF(AND(LEN(AR204)=0, LEN(AS204)=0), "", IF(AND(LEN(AR204)&gt;0, LEN(AS204)=0), "BLANCO", IFERROR(VLOOKUP(AS204, BasedatosM9!A:B, 2, FALSE), "BLANCO")))</f>
        <v/>
      </c>
    </row>
    <row r="205" spans="1:47" ht="14.4">
      <c r="A205" s="21" t="s">
        <v>4767</v>
      </c>
      <c r="B205" s="86">
        <v>23907909</v>
      </c>
      <c r="C205" s="98">
        <v>45357</v>
      </c>
      <c r="D205" s="21" t="s">
        <v>4745</v>
      </c>
      <c r="E205" s="86">
        <v>0.08</v>
      </c>
      <c r="F205" s="99">
        <v>0.21180555555555555</v>
      </c>
      <c r="G205" s="99">
        <v>0.21527777777777779</v>
      </c>
      <c r="H205" s="21" t="s">
        <v>4551</v>
      </c>
      <c r="I205" s="86">
        <v>20009721</v>
      </c>
      <c r="J205" s="21" t="s">
        <v>4746</v>
      </c>
      <c r="K205" s="5" t="str">
        <f>IF(AND(LEN(H205)=0, LEN(I205)=0), "", IF(AND(LEN(H205)&gt;0, LEN(I205)=0), "BLANCO", IFERROR(VLOOKUP(I205, BasedatosM9!A:B, 2, FALSE), "BLANCO")))</f>
        <v>Alejandro Davila</v>
      </c>
      <c r="W205" s="5" t="str">
        <f>IF(AND(LEN(T205)=0, LEN(U205)=0), "", IF(AND(LEN(T205)&gt;0, LEN(U205)=0), "BLANCO", IFERROR(VLOOKUP(U205, BasedatosM9!A:B, 2, FALSE), "BLANCO")))</f>
        <v/>
      </c>
      <c r="AI205" s="5" t="str">
        <f>IF(AND(LEN(AF205)=0, LEN(AG205)=0), "", IF(AND(LEN(AF205)&gt;0, LEN(AG205)=0), "BLANCO", IFERROR(VLOOKUP(AG205, BasedatosM9!A:B, 2, FALSE), "BLANCO")))</f>
        <v/>
      </c>
      <c r="AU205" s="5" t="str">
        <f>IF(AND(LEN(AR205)=0, LEN(AS205)=0), "", IF(AND(LEN(AR205)&gt;0, LEN(AS205)=0), "BLANCO", IFERROR(VLOOKUP(AS205, BasedatosM9!A:B, 2, FALSE), "BLANCO")))</f>
        <v/>
      </c>
    </row>
    <row r="206" spans="1:47" ht="14.4">
      <c r="A206" s="21" t="s">
        <v>4767</v>
      </c>
      <c r="B206" s="86">
        <v>23907910</v>
      </c>
      <c r="C206" s="98">
        <v>45357</v>
      </c>
      <c r="D206" s="21" t="s">
        <v>4870</v>
      </c>
      <c r="E206" s="86">
        <v>0.08</v>
      </c>
      <c r="F206" s="99">
        <v>0.21875</v>
      </c>
      <c r="G206" s="99">
        <v>0.22222222222222221</v>
      </c>
      <c r="H206" s="21" t="s">
        <v>4551</v>
      </c>
      <c r="I206" s="86">
        <v>20009721</v>
      </c>
      <c r="J206" s="21" t="s">
        <v>79</v>
      </c>
      <c r="K206" s="5" t="str">
        <f>IF(AND(LEN(H206)=0, LEN(I206)=0), "", IF(AND(LEN(H206)&gt;0, LEN(I206)=0), "BLANCO", IFERROR(VLOOKUP(I206, BasedatosM9!A:B, 2, FALSE), "BLANCO")))</f>
        <v>Alejandro Davila</v>
      </c>
      <c r="W206" s="5" t="str">
        <f>IF(AND(LEN(T206)=0, LEN(U206)=0), "", IF(AND(LEN(T206)&gt;0, LEN(U206)=0), "BLANCO", IFERROR(VLOOKUP(U206, BasedatosM9!A:B, 2, FALSE), "BLANCO")))</f>
        <v/>
      </c>
      <c r="AI206" s="5" t="str">
        <f>IF(AND(LEN(AF206)=0, LEN(AG206)=0), "", IF(AND(LEN(AF206)&gt;0, LEN(AG206)=0), "BLANCO", IFERROR(VLOOKUP(AG206, BasedatosM9!A:B, 2, FALSE), "BLANCO")))</f>
        <v/>
      </c>
      <c r="AU206" s="5" t="str">
        <f>IF(AND(LEN(AR206)=0, LEN(AS206)=0), "", IF(AND(LEN(AR206)&gt;0, LEN(AS206)=0), "BLANCO", IFERROR(VLOOKUP(AS206, BasedatosM9!A:B, 2, FALSE), "BLANCO")))</f>
        <v/>
      </c>
    </row>
    <row r="207" spans="1:47" ht="14.4">
      <c r="A207" s="21" t="s">
        <v>4742</v>
      </c>
      <c r="B207" s="86">
        <v>23908162</v>
      </c>
      <c r="C207" s="98">
        <v>45358</v>
      </c>
      <c r="D207" s="21" t="s">
        <v>4754</v>
      </c>
      <c r="E207" s="86">
        <v>0.33</v>
      </c>
      <c r="F207" s="99">
        <v>0.25</v>
      </c>
      <c r="G207" s="99">
        <v>0.2638888888888889</v>
      </c>
      <c r="H207" s="21" t="s">
        <v>4550</v>
      </c>
      <c r="I207" s="21"/>
      <c r="J207" s="21" t="s">
        <v>4755</v>
      </c>
      <c r="K207" s="5" t="str">
        <f>IF(AND(LEN(H207)=0, LEN(I207)=0), "", IF(AND(LEN(H207)&gt;0, LEN(I207)=0), "BLANCO", IFERROR(VLOOKUP(I207, BasedatosM9!A:B, 2, FALSE), "BLANCO")))</f>
        <v>BLANCO</v>
      </c>
      <c r="W207" s="5" t="str">
        <f>IF(AND(LEN(T207)=0, LEN(U207)=0), "", IF(AND(LEN(T207)&gt;0, LEN(U207)=0), "BLANCO", IFERROR(VLOOKUP(U207, BasedatosM9!A:B, 2, FALSE), "BLANCO")))</f>
        <v/>
      </c>
      <c r="AI207" s="5" t="str">
        <f>IF(AND(LEN(AF207)=0, LEN(AG207)=0), "", IF(AND(LEN(AF207)&gt;0, LEN(AG207)=0), "BLANCO", IFERROR(VLOOKUP(AG207, BasedatosM9!A:B, 2, FALSE), "BLANCO")))</f>
        <v/>
      </c>
      <c r="AU207" s="5" t="str">
        <f>IF(AND(LEN(AR207)=0, LEN(AS207)=0), "", IF(AND(LEN(AR207)&gt;0, LEN(AS207)=0), "BLANCO", IFERROR(VLOOKUP(AS207, BasedatosM9!A:B, 2, FALSE), "BLANCO")))</f>
        <v/>
      </c>
    </row>
    <row r="208" spans="1:47" ht="14.4">
      <c r="A208" s="21" t="s">
        <v>4742</v>
      </c>
      <c r="B208" s="86">
        <v>23908257</v>
      </c>
      <c r="C208" s="98">
        <v>45357</v>
      </c>
      <c r="D208" s="21" t="s">
        <v>4887</v>
      </c>
      <c r="E208" s="86">
        <v>0.08</v>
      </c>
      <c r="F208" s="99">
        <v>0.3923611111111111</v>
      </c>
      <c r="G208" s="99">
        <v>0.39583333333333331</v>
      </c>
      <c r="H208" s="21" t="s">
        <v>4769</v>
      </c>
      <c r="I208" s="86">
        <v>20009822</v>
      </c>
      <c r="J208" s="21" t="s">
        <v>4770</v>
      </c>
      <c r="K208" s="5" t="str">
        <f>IF(AND(LEN(H208)=0, LEN(I208)=0), "", IF(AND(LEN(H208)&gt;0, LEN(I208)=0), "BLANCO", IFERROR(VLOOKUP(I208, BasedatosM9!A:B, 2, FALSE), "BLANCO")))</f>
        <v>Guzman Palechor Miguel Angel</v>
      </c>
      <c r="W208" s="5" t="str">
        <f>IF(AND(LEN(T208)=0, LEN(U208)=0), "", IF(AND(LEN(T208)&gt;0, LEN(U208)=0), "BLANCO", IFERROR(VLOOKUP(U208, BasedatosM9!A:B, 2, FALSE), "BLANCO")))</f>
        <v/>
      </c>
      <c r="AI208" s="5" t="str">
        <f>IF(AND(LEN(AF208)=0, LEN(AG208)=0), "", IF(AND(LEN(AF208)&gt;0, LEN(AG208)=0), "BLANCO", IFERROR(VLOOKUP(AG208, BasedatosM9!A:B, 2, FALSE), "BLANCO")))</f>
        <v/>
      </c>
      <c r="AU208" s="5" t="str">
        <f>IF(AND(LEN(AR208)=0, LEN(AS208)=0), "", IF(AND(LEN(AR208)&gt;0, LEN(AS208)=0), "BLANCO", IFERROR(VLOOKUP(AS208, BasedatosM9!A:B, 2, FALSE), "BLANCO")))</f>
        <v/>
      </c>
    </row>
    <row r="209" spans="1:47" ht="14.4">
      <c r="A209" s="21" t="s">
        <v>4742</v>
      </c>
      <c r="B209" s="86">
        <v>23908388</v>
      </c>
      <c r="C209" s="98">
        <v>45358</v>
      </c>
      <c r="D209" s="21" t="s">
        <v>4888</v>
      </c>
      <c r="E209" s="86">
        <v>0.27</v>
      </c>
      <c r="F209" s="99">
        <v>0.2638888888888889</v>
      </c>
      <c r="G209" s="99">
        <v>0.27499999999999997</v>
      </c>
      <c r="H209" s="21" t="s">
        <v>4553</v>
      </c>
      <c r="I209" s="21"/>
      <c r="J209" s="21" t="s">
        <v>4746</v>
      </c>
      <c r="K209" s="5" t="str">
        <f>IF(AND(LEN(H209)=0, LEN(I209)=0), "", IF(AND(LEN(H209)&gt;0, LEN(I209)=0), "BLANCO", IFERROR(VLOOKUP(I209, BasedatosM9!A:B, 2, FALSE), "BLANCO")))</f>
        <v>BLANCO</v>
      </c>
      <c r="W209" s="5" t="str">
        <f>IF(AND(LEN(T209)=0, LEN(U209)=0), "", IF(AND(LEN(T209)&gt;0, LEN(U209)=0), "BLANCO", IFERROR(VLOOKUP(U209, BasedatosM9!A:B, 2, FALSE), "BLANCO")))</f>
        <v/>
      </c>
      <c r="AI209" s="5" t="str">
        <f>IF(AND(LEN(AF209)=0, LEN(AG209)=0), "", IF(AND(LEN(AF209)&gt;0, LEN(AG209)=0), "BLANCO", IFERROR(VLOOKUP(AG209, BasedatosM9!A:B, 2, FALSE), "BLANCO")))</f>
        <v/>
      </c>
      <c r="AU209" s="5" t="str">
        <f>IF(AND(LEN(AR209)=0, LEN(AS209)=0), "", IF(AND(LEN(AR209)&gt;0, LEN(AS209)=0), "BLANCO", IFERROR(VLOOKUP(AS209, BasedatosM9!A:B, 2, FALSE), "BLANCO")))</f>
        <v/>
      </c>
    </row>
    <row r="210" spans="1:47" ht="14.4">
      <c r="A210" s="21" t="s">
        <v>4742</v>
      </c>
      <c r="B210" s="86">
        <v>23908439</v>
      </c>
      <c r="C210" s="98">
        <v>45358</v>
      </c>
      <c r="D210" s="21" t="s">
        <v>4761</v>
      </c>
      <c r="E210" s="86">
        <v>0.18</v>
      </c>
      <c r="F210" s="99">
        <v>0.2986111111111111</v>
      </c>
      <c r="G210" s="99">
        <v>0.30624999999999997</v>
      </c>
      <c r="H210" s="21" t="s">
        <v>4550</v>
      </c>
      <c r="I210" s="86">
        <v>20058001</v>
      </c>
      <c r="J210" s="21" t="s">
        <v>79</v>
      </c>
      <c r="K210" s="5" t="str">
        <f>IF(AND(LEN(H210)=0, LEN(I210)=0), "", IF(AND(LEN(H210)&gt;0, LEN(I210)=0), "BLANCO", IFERROR(VLOOKUP(I210, BasedatosM9!A:B, 2, FALSE), "BLANCO")))</f>
        <v>Bonilla Edwin</v>
      </c>
      <c r="W210" s="5" t="str">
        <f>IF(AND(LEN(T210)=0, LEN(U210)=0), "", IF(AND(LEN(T210)&gt;0, LEN(U210)=0), "BLANCO", IFERROR(VLOOKUP(U210, BasedatosM9!A:B, 2, FALSE), "BLANCO")))</f>
        <v/>
      </c>
      <c r="AI210" s="5" t="str">
        <f>IF(AND(LEN(AF210)=0, LEN(AG210)=0), "", IF(AND(LEN(AF210)&gt;0, LEN(AG210)=0), "BLANCO", IFERROR(VLOOKUP(AG210, BasedatosM9!A:B, 2, FALSE), "BLANCO")))</f>
        <v/>
      </c>
      <c r="AU210" s="5" t="str">
        <f>IF(AND(LEN(AR210)=0, LEN(AS210)=0), "", IF(AND(LEN(AR210)&gt;0, LEN(AS210)=0), "BLANCO", IFERROR(VLOOKUP(AS210, BasedatosM9!A:B, 2, FALSE), "BLANCO")))</f>
        <v/>
      </c>
    </row>
    <row r="211" spans="1:47" ht="14.4">
      <c r="A211" s="21" t="s">
        <v>4742</v>
      </c>
      <c r="B211" s="86">
        <v>23908603</v>
      </c>
      <c r="C211" s="98">
        <v>45358</v>
      </c>
      <c r="D211" s="21" t="s">
        <v>4889</v>
      </c>
      <c r="E211" s="86">
        <v>0.17</v>
      </c>
      <c r="F211" s="99">
        <v>0.31944444444444448</v>
      </c>
      <c r="G211" s="99">
        <v>0.3263888888888889</v>
      </c>
      <c r="H211" s="21" t="s">
        <v>4553</v>
      </c>
      <c r="I211" s="21"/>
      <c r="J211" s="21" t="s">
        <v>4802</v>
      </c>
      <c r="K211" s="5" t="str">
        <f>IF(AND(LEN(H211)=0, LEN(I211)=0), "", IF(AND(LEN(H211)&gt;0, LEN(I211)=0), "BLANCO", IFERROR(VLOOKUP(I211, BasedatosM9!A:B, 2, FALSE), "BLANCO")))</f>
        <v>BLANCO</v>
      </c>
      <c r="W211" s="5" t="str">
        <f>IF(AND(LEN(T211)=0, LEN(U211)=0), "", IF(AND(LEN(T211)&gt;0, LEN(U211)=0), "BLANCO", IFERROR(VLOOKUP(U211, BasedatosM9!A:B, 2, FALSE), "BLANCO")))</f>
        <v/>
      </c>
      <c r="AI211" s="5" t="str">
        <f>IF(AND(LEN(AF211)=0, LEN(AG211)=0), "", IF(AND(LEN(AF211)&gt;0, LEN(AG211)=0), "BLANCO", IFERROR(VLOOKUP(AG211, BasedatosM9!A:B, 2, FALSE), "BLANCO")))</f>
        <v/>
      </c>
      <c r="AU211" s="5" t="str">
        <f>IF(AND(LEN(AR211)=0, LEN(AS211)=0), "", IF(AND(LEN(AR211)&gt;0, LEN(AS211)=0), "BLANCO", IFERROR(VLOOKUP(AS211, BasedatosM9!A:B, 2, FALSE), "BLANCO")))</f>
        <v/>
      </c>
    </row>
    <row r="212" spans="1:47" ht="14.4">
      <c r="A212" s="21" t="s">
        <v>4742</v>
      </c>
      <c r="B212" s="86">
        <v>23908604</v>
      </c>
      <c r="C212" s="98">
        <v>45358</v>
      </c>
      <c r="D212" s="21" t="s">
        <v>4890</v>
      </c>
      <c r="E212" s="86">
        <v>0.47</v>
      </c>
      <c r="F212" s="99">
        <v>0.35972222222222222</v>
      </c>
      <c r="G212" s="99">
        <v>0.37916666666666665</v>
      </c>
      <c r="H212" s="21" t="s">
        <v>4553</v>
      </c>
      <c r="I212" s="21"/>
      <c r="J212" s="21" t="s">
        <v>4746</v>
      </c>
      <c r="K212" s="5" t="str">
        <f>IF(AND(LEN(H212)=0, LEN(I212)=0), "", IF(AND(LEN(H212)&gt;0, LEN(I212)=0), "BLANCO", IFERROR(VLOOKUP(I212, BasedatosM9!A:B, 2, FALSE), "BLANCO")))</f>
        <v>BLANCO</v>
      </c>
      <c r="W212" s="5" t="str">
        <f>IF(AND(LEN(T212)=0, LEN(U212)=0), "", IF(AND(LEN(T212)&gt;0, LEN(U212)=0), "BLANCO", IFERROR(VLOOKUP(U212, BasedatosM9!A:B, 2, FALSE), "BLANCO")))</f>
        <v/>
      </c>
      <c r="AI212" s="5" t="str">
        <f>IF(AND(LEN(AF212)=0, LEN(AG212)=0), "", IF(AND(LEN(AF212)&gt;0, LEN(AG212)=0), "BLANCO", IFERROR(VLOOKUP(AG212, BasedatosM9!A:B, 2, FALSE), "BLANCO")))</f>
        <v/>
      </c>
      <c r="AU212" s="5" t="str">
        <f>IF(AND(LEN(AR212)=0, LEN(AS212)=0), "", IF(AND(LEN(AR212)&gt;0, LEN(AS212)=0), "BLANCO", IFERROR(VLOOKUP(AS212, BasedatosM9!A:B, 2, FALSE), "BLANCO")))</f>
        <v/>
      </c>
    </row>
    <row r="213" spans="1:47" ht="14.4">
      <c r="A213" s="21" t="s">
        <v>4742</v>
      </c>
      <c r="B213" s="86">
        <v>23908606</v>
      </c>
      <c r="C213" s="98">
        <v>45358</v>
      </c>
      <c r="D213" s="21" t="s">
        <v>4870</v>
      </c>
      <c r="E213" s="86">
        <v>1.1299999999999999</v>
      </c>
      <c r="F213" s="99">
        <v>0.23263888888888887</v>
      </c>
      <c r="G213" s="99">
        <v>0.27986111111111112</v>
      </c>
      <c r="H213" s="21" t="s">
        <v>4551</v>
      </c>
      <c r="I213" s="86">
        <v>20020754</v>
      </c>
      <c r="J213" s="21" t="s">
        <v>79</v>
      </c>
      <c r="K213" s="5" t="str">
        <f>IF(AND(LEN(H213)=0, LEN(I213)=0), "", IF(AND(LEN(H213)&gt;0, LEN(I213)=0), "BLANCO", IFERROR(VLOOKUP(I213, BasedatosM9!A:B, 2, FALSE), "BLANCO")))</f>
        <v>Sanchez Rodriguez Gerson Andres</v>
      </c>
      <c r="W213" s="5" t="str">
        <f>IF(AND(LEN(T213)=0, LEN(U213)=0), "", IF(AND(LEN(T213)&gt;0, LEN(U213)=0), "BLANCO", IFERROR(VLOOKUP(U213, BasedatosM9!A:B, 2, FALSE), "BLANCO")))</f>
        <v/>
      </c>
      <c r="AI213" s="5" t="str">
        <f>IF(AND(LEN(AF213)=0, LEN(AG213)=0), "", IF(AND(LEN(AF213)&gt;0, LEN(AG213)=0), "BLANCO", IFERROR(VLOOKUP(AG213, BasedatosM9!A:B, 2, FALSE), "BLANCO")))</f>
        <v/>
      </c>
      <c r="AU213" s="5" t="str">
        <f>IF(AND(LEN(AR213)=0, LEN(AS213)=0), "", IF(AND(LEN(AR213)&gt;0, LEN(AS213)=0), "BLANCO", IFERROR(VLOOKUP(AS213, BasedatosM9!A:B, 2, FALSE), "BLANCO")))</f>
        <v/>
      </c>
    </row>
    <row r="214" spans="1:47" ht="14.4">
      <c r="A214" s="21" t="s">
        <v>4742</v>
      </c>
      <c r="B214" s="86">
        <v>23908634</v>
      </c>
      <c r="C214" s="98">
        <v>45358</v>
      </c>
      <c r="D214" s="21" t="s">
        <v>4891</v>
      </c>
      <c r="E214" s="86">
        <v>0.22</v>
      </c>
      <c r="F214" s="99">
        <v>0.3611111111111111</v>
      </c>
      <c r="G214" s="99">
        <v>0.37013888888888885</v>
      </c>
      <c r="H214" s="21" t="s">
        <v>4550</v>
      </c>
      <c r="I214" s="21"/>
      <c r="J214" s="21" t="s">
        <v>4773</v>
      </c>
      <c r="K214" s="5" t="str">
        <f>IF(AND(LEN(H214)=0, LEN(I214)=0), "", IF(AND(LEN(H214)&gt;0, LEN(I214)=0), "BLANCO", IFERROR(VLOOKUP(I214, BasedatosM9!A:B, 2, FALSE), "BLANCO")))</f>
        <v>BLANCO</v>
      </c>
      <c r="W214" s="5" t="str">
        <f>IF(AND(LEN(T214)=0, LEN(U214)=0), "", IF(AND(LEN(T214)&gt;0, LEN(U214)=0), "BLANCO", IFERROR(VLOOKUP(U214, BasedatosM9!A:B, 2, FALSE), "BLANCO")))</f>
        <v/>
      </c>
      <c r="AI214" s="5" t="str">
        <f>IF(AND(LEN(AF214)=0, LEN(AG214)=0), "", IF(AND(LEN(AF214)&gt;0, LEN(AG214)=0), "BLANCO", IFERROR(VLOOKUP(AG214, BasedatosM9!A:B, 2, FALSE), "BLANCO")))</f>
        <v/>
      </c>
      <c r="AU214" s="5" t="str">
        <f>IF(AND(LEN(AR214)=0, LEN(AS214)=0), "", IF(AND(LEN(AR214)&gt;0, LEN(AS214)=0), "BLANCO", IFERROR(VLOOKUP(AS214, BasedatosM9!A:B, 2, FALSE), "BLANCO")))</f>
        <v/>
      </c>
    </row>
    <row r="215" spans="1:47" ht="14.4">
      <c r="A215" s="21" t="s">
        <v>4742</v>
      </c>
      <c r="B215" s="86">
        <v>23908638</v>
      </c>
      <c r="C215" s="98">
        <v>45358</v>
      </c>
      <c r="D215" s="21" t="s">
        <v>4892</v>
      </c>
      <c r="E215" s="86">
        <v>0.28000000000000003</v>
      </c>
      <c r="F215" s="99">
        <v>0.34513888888888888</v>
      </c>
      <c r="G215" s="99">
        <v>0.35694444444444445</v>
      </c>
      <c r="H215" s="21" t="s">
        <v>4549</v>
      </c>
      <c r="I215" s="86">
        <v>20075520</v>
      </c>
      <c r="J215" s="21" t="s">
        <v>1471</v>
      </c>
      <c r="K215" s="5" t="str">
        <f>IF(AND(LEN(H215)=0, LEN(I215)=0), "", IF(AND(LEN(H215)&gt;0, LEN(I215)=0), "BLANCO", IFERROR(VLOOKUP(I215, BasedatosM9!A:B, 2, FALSE), "BLANCO")))</f>
        <v>Andres Mesa</v>
      </c>
      <c r="W215" s="5" t="str">
        <f>IF(AND(LEN(T215)=0, LEN(U215)=0), "", IF(AND(LEN(T215)&gt;0, LEN(U215)=0), "BLANCO", IFERROR(VLOOKUP(U215, BasedatosM9!A:B, 2, FALSE), "BLANCO")))</f>
        <v/>
      </c>
      <c r="AI215" s="5" t="str">
        <f>IF(AND(LEN(AF215)=0, LEN(AG215)=0), "", IF(AND(LEN(AF215)&gt;0, LEN(AG215)=0), "BLANCO", IFERROR(VLOOKUP(AG215, BasedatosM9!A:B, 2, FALSE), "BLANCO")))</f>
        <v/>
      </c>
      <c r="AU215" s="5" t="str">
        <f>IF(AND(LEN(AR215)=0, LEN(AS215)=0), "", IF(AND(LEN(AR215)&gt;0, LEN(AS215)=0), "BLANCO", IFERROR(VLOOKUP(AS215, BasedatosM9!A:B, 2, FALSE), "BLANCO")))</f>
        <v/>
      </c>
    </row>
    <row r="216" spans="1:47" ht="14.4">
      <c r="A216" s="21" t="s">
        <v>4742</v>
      </c>
      <c r="B216" s="86">
        <v>23908706</v>
      </c>
      <c r="C216" s="98">
        <v>45358</v>
      </c>
      <c r="D216" s="21" t="s">
        <v>4754</v>
      </c>
      <c r="E216" s="86">
        <v>0.2</v>
      </c>
      <c r="F216" s="99">
        <v>0.40277777777777773</v>
      </c>
      <c r="G216" s="99">
        <v>0.41111111111111115</v>
      </c>
      <c r="H216" s="21" t="s">
        <v>4550</v>
      </c>
      <c r="I216" s="21"/>
      <c r="J216" s="21" t="s">
        <v>4755</v>
      </c>
      <c r="K216" s="5" t="str">
        <f>IF(AND(LEN(H216)=0, LEN(I216)=0), "", IF(AND(LEN(H216)&gt;0, LEN(I216)=0), "BLANCO", IFERROR(VLOOKUP(I216, BasedatosM9!A:B, 2, FALSE), "BLANCO")))</f>
        <v>BLANCO</v>
      </c>
      <c r="W216" s="5" t="str">
        <f>IF(AND(LEN(T216)=0, LEN(U216)=0), "", IF(AND(LEN(T216)&gt;0, LEN(U216)=0), "BLANCO", IFERROR(VLOOKUP(U216, BasedatosM9!A:B, 2, FALSE), "BLANCO")))</f>
        <v/>
      </c>
      <c r="AI216" s="5" t="str">
        <f>IF(AND(LEN(AF216)=0, LEN(AG216)=0), "", IF(AND(LEN(AF216)&gt;0, LEN(AG216)=0), "BLANCO", IFERROR(VLOOKUP(AG216, BasedatosM9!A:B, 2, FALSE), "BLANCO")))</f>
        <v/>
      </c>
      <c r="AU216" s="5" t="str">
        <f>IF(AND(LEN(AR216)=0, LEN(AS216)=0), "", IF(AND(LEN(AR216)&gt;0, LEN(AS216)=0), "BLANCO", IFERROR(VLOOKUP(AS216, BasedatosM9!A:B, 2, FALSE), "BLANCO")))</f>
        <v/>
      </c>
    </row>
    <row r="217" spans="1:47" ht="14.4">
      <c r="A217" s="21" t="s">
        <v>4742</v>
      </c>
      <c r="B217" s="86">
        <v>23908783</v>
      </c>
      <c r="C217" s="98">
        <v>45358</v>
      </c>
      <c r="D217" s="21" t="s">
        <v>4784</v>
      </c>
      <c r="E217" s="86">
        <v>0.18</v>
      </c>
      <c r="F217" s="99">
        <v>0.45833333333333331</v>
      </c>
      <c r="G217" s="99">
        <v>0.46597222222222223</v>
      </c>
      <c r="H217" s="21" t="s">
        <v>4551</v>
      </c>
      <c r="I217" s="86">
        <v>20082152</v>
      </c>
      <c r="J217" s="21" t="s">
        <v>4773</v>
      </c>
      <c r="K217" s="5" t="str">
        <f>IF(AND(LEN(H217)=0, LEN(I217)=0), "", IF(AND(LEN(H217)&gt;0, LEN(I217)=0), "BLANCO", IFERROR(VLOOKUP(I217, BasedatosM9!A:B, 2, FALSE), "BLANCO")))</f>
        <v>Ferney Ramos</v>
      </c>
      <c r="W217" s="5" t="str">
        <f>IF(AND(LEN(T217)=0, LEN(U217)=0), "", IF(AND(LEN(T217)&gt;0, LEN(U217)=0), "BLANCO", IFERROR(VLOOKUP(U217, BasedatosM9!A:B, 2, FALSE), "BLANCO")))</f>
        <v/>
      </c>
      <c r="AI217" s="5" t="str">
        <f>IF(AND(LEN(AF217)=0, LEN(AG217)=0), "", IF(AND(LEN(AF217)&gt;0, LEN(AG217)=0), "BLANCO", IFERROR(VLOOKUP(AG217, BasedatosM9!A:B, 2, FALSE), "BLANCO")))</f>
        <v/>
      </c>
      <c r="AU217" s="5" t="str">
        <f>IF(AND(LEN(AR217)=0, LEN(AS217)=0), "", IF(AND(LEN(AR217)&gt;0, LEN(AS217)=0), "BLANCO", IFERROR(VLOOKUP(AS217, BasedatosM9!A:B, 2, FALSE), "BLANCO")))</f>
        <v/>
      </c>
    </row>
    <row r="218" spans="1:47" ht="14.4">
      <c r="A218" s="21" t="s">
        <v>4742</v>
      </c>
      <c r="B218" s="86">
        <v>23908928</v>
      </c>
      <c r="C218" s="98">
        <v>45358</v>
      </c>
      <c r="D218" s="21" t="s">
        <v>4893</v>
      </c>
      <c r="E218" s="86">
        <v>0.42</v>
      </c>
      <c r="F218" s="99">
        <v>0.5395833333333333</v>
      </c>
      <c r="G218" s="99">
        <v>0.55694444444444446</v>
      </c>
      <c r="H218" s="21" t="s">
        <v>4764</v>
      </c>
      <c r="I218" s="86">
        <v>20009822</v>
      </c>
      <c r="J218" s="21" t="s">
        <v>67</v>
      </c>
      <c r="K218" s="5" t="str">
        <f>IF(AND(LEN(H218)=0, LEN(I218)=0), "", IF(AND(LEN(H218)&gt;0, LEN(I218)=0), "BLANCO", IFERROR(VLOOKUP(I218, BasedatosM9!A:B, 2, FALSE), "BLANCO")))</f>
        <v>Guzman Palechor Miguel Angel</v>
      </c>
      <c r="W218" s="5" t="str">
        <f>IF(AND(LEN(T218)=0, LEN(U218)=0), "", IF(AND(LEN(T218)&gt;0, LEN(U218)=0), "BLANCO", IFERROR(VLOOKUP(U218, BasedatosM9!A:B, 2, FALSE), "BLANCO")))</f>
        <v/>
      </c>
      <c r="AI218" s="5" t="str">
        <f>IF(AND(LEN(AF218)=0, LEN(AG218)=0), "", IF(AND(LEN(AF218)&gt;0, LEN(AG218)=0), "BLANCO", IFERROR(VLOOKUP(AG218, BasedatosM9!A:B, 2, FALSE), "BLANCO")))</f>
        <v/>
      </c>
      <c r="AU218" s="5" t="str">
        <f>IF(AND(LEN(AR218)=0, LEN(AS218)=0), "", IF(AND(LEN(AR218)&gt;0, LEN(AS218)=0), "BLANCO", IFERROR(VLOOKUP(AS218, BasedatosM9!A:B, 2, FALSE), "BLANCO")))</f>
        <v/>
      </c>
    </row>
    <row r="219" spans="1:47" ht="14.4">
      <c r="A219" s="21" t="s">
        <v>4742</v>
      </c>
      <c r="B219" s="86">
        <v>23908994</v>
      </c>
      <c r="C219" s="98">
        <v>45358</v>
      </c>
      <c r="D219" s="21" t="s">
        <v>4894</v>
      </c>
      <c r="E219" s="86">
        <v>0.08</v>
      </c>
      <c r="F219" s="99">
        <v>0.55555555555555558</v>
      </c>
      <c r="G219" s="99">
        <v>0.55902777777777779</v>
      </c>
      <c r="H219" s="21" t="s">
        <v>4551</v>
      </c>
      <c r="I219" s="86">
        <v>20082152</v>
      </c>
      <c r="J219" s="21" t="s">
        <v>4773</v>
      </c>
      <c r="K219" s="5" t="str">
        <f>IF(AND(LEN(H219)=0, LEN(I219)=0), "", IF(AND(LEN(H219)&gt;0, LEN(I219)=0), "BLANCO", IFERROR(VLOOKUP(I219, BasedatosM9!A:B, 2, FALSE), "BLANCO")))</f>
        <v>Ferney Ramos</v>
      </c>
      <c r="W219" s="5" t="str">
        <f>IF(AND(LEN(T219)=0, LEN(U219)=0), "", IF(AND(LEN(T219)&gt;0, LEN(U219)=0), "BLANCO", IFERROR(VLOOKUP(U219, BasedatosM9!A:B, 2, FALSE), "BLANCO")))</f>
        <v/>
      </c>
      <c r="AI219" s="5" t="str">
        <f>IF(AND(LEN(AF219)=0, LEN(AG219)=0), "", IF(AND(LEN(AF219)&gt;0, LEN(AG219)=0), "BLANCO", IFERROR(VLOOKUP(AG219, BasedatosM9!A:B, 2, FALSE), "BLANCO")))</f>
        <v/>
      </c>
      <c r="AU219" s="5" t="str">
        <f>IF(AND(LEN(AR219)=0, LEN(AS219)=0), "", IF(AND(LEN(AR219)&gt;0, LEN(AS219)=0), "BLANCO", IFERROR(VLOOKUP(AS219, BasedatosM9!A:B, 2, FALSE), "BLANCO")))</f>
        <v/>
      </c>
    </row>
    <row r="220" spans="1:47" ht="14.4">
      <c r="A220" s="21" t="s">
        <v>4742</v>
      </c>
      <c r="B220" s="86">
        <v>23909019</v>
      </c>
      <c r="C220" s="98">
        <v>45358</v>
      </c>
      <c r="D220" s="21" t="s">
        <v>4895</v>
      </c>
      <c r="E220" s="86">
        <v>0.12</v>
      </c>
      <c r="F220" s="99">
        <v>0.5625</v>
      </c>
      <c r="G220" s="99">
        <v>0.56736111111111109</v>
      </c>
      <c r="H220" s="21" t="s">
        <v>4553</v>
      </c>
      <c r="I220" s="21"/>
      <c r="J220" s="21" t="s">
        <v>4746</v>
      </c>
      <c r="K220" s="5" t="str">
        <f>IF(AND(LEN(H220)=0, LEN(I220)=0), "", IF(AND(LEN(H220)&gt;0, LEN(I220)=0), "BLANCO", IFERROR(VLOOKUP(I220, BasedatosM9!A:B, 2, FALSE), "BLANCO")))</f>
        <v>BLANCO</v>
      </c>
      <c r="W220" s="5" t="str">
        <f>IF(AND(LEN(T220)=0, LEN(U220)=0), "", IF(AND(LEN(T220)&gt;0, LEN(U220)=0), "BLANCO", IFERROR(VLOOKUP(U220, BasedatosM9!A:B, 2, FALSE), "BLANCO")))</f>
        <v/>
      </c>
      <c r="AI220" s="5" t="str">
        <f>IF(AND(LEN(AF220)=0, LEN(AG220)=0), "", IF(AND(LEN(AF220)&gt;0, LEN(AG220)=0), "BLANCO", IFERROR(VLOOKUP(AG220, BasedatosM9!A:B, 2, FALSE), "BLANCO")))</f>
        <v/>
      </c>
      <c r="AU220" s="5" t="str">
        <f>IF(AND(LEN(AR220)=0, LEN(AS220)=0), "", IF(AND(LEN(AR220)&gt;0, LEN(AS220)=0), "BLANCO", IFERROR(VLOOKUP(AS220, BasedatosM9!A:B, 2, FALSE), "BLANCO")))</f>
        <v/>
      </c>
    </row>
    <row r="221" spans="1:47" ht="14.4">
      <c r="A221" s="21" t="s">
        <v>4757</v>
      </c>
      <c r="B221" s="86">
        <v>23909191</v>
      </c>
      <c r="C221" s="98">
        <v>45358</v>
      </c>
      <c r="D221" s="21" t="s">
        <v>4896</v>
      </c>
      <c r="E221" s="86">
        <v>0.48</v>
      </c>
      <c r="F221" s="99">
        <v>0.58680555555555558</v>
      </c>
      <c r="G221" s="99">
        <v>0.6069444444444444</v>
      </c>
      <c r="H221" s="21" t="s">
        <v>4549</v>
      </c>
      <c r="I221" s="86">
        <v>20009758</v>
      </c>
      <c r="J221" s="21" t="s">
        <v>4753</v>
      </c>
      <c r="K221" s="5" t="str">
        <f>IF(AND(LEN(H221)=0, LEN(I221)=0), "", IF(AND(LEN(H221)&gt;0, LEN(I221)=0), "BLANCO", IFERROR(VLOOKUP(I221, BasedatosM9!A:B, 2, FALSE), "BLANCO")))</f>
        <v>Franco Castillo Brayan Steven</v>
      </c>
      <c r="W221" s="5" t="str">
        <f>IF(AND(LEN(T221)=0, LEN(U221)=0), "", IF(AND(LEN(T221)&gt;0, LEN(U221)=0), "BLANCO", IFERROR(VLOOKUP(U221, BasedatosM9!A:B, 2, FALSE), "BLANCO")))</f>
        <v/>
      </c>
      <c r="AI221" s="5" t="str">
        <f>IF(AND(LEN(AF221)=0, LEN(AG221)=0), "", IF(AND(LEN(AF221)&gt;0, LEN(AG221)=0), "BLANCO", IFERROR(VLOOKUP(AG221, BasedatosM9!A:B, 2, FALSE), "BLANCO")))</f>
        <v/>
      </c>
      <c r="AU221" s="5" t="str">
        <f>IF(AND(LEN(AR221)=0, LEN(AS221)=0), "", IF(AND(LEN(AR221)&gt;0, LEN(AS221)=0), "BLANCO", IFERROR(VLOOKUP(AS221, BasedatosM9!A:B, 2, FALSE), "BLANCO")))</f>
        <v/>
      </c>
    </row>
    <row r="222" spans="1:47" ht="14.4">
      <c r="A222" s="21" t="s">
        <v>4757</v>
      </c>
      <c r="B222" s="86">
        <v>23909324</v>
      </c>
      <c r="C222" s="98">
        <v>45358</v>
      </c>
      <c r="D222" s="21" t="s">
        <v>4897</v>
      </c>
      <c r="E222" s="86">
        <v>0.3</v>
      </c>
      <c r="F222" s="99">
        <v>0.59027777777777779</v>
      </c>
      <c r="G222" s="99">
        <v>0.60277777777777775</v>
      </c>
      <c r="H222" s="21" t="s">
        <v>4551</v>
      </c>
      <c r="I222" s="86">
        <v>20019987</v>
      </c>
      <c r="J222" s="21" t="s">
        <v>4802</v>
      </c>
      <c r="K222" s="5" t="str">
        <f>IF(AND(LEN(H222)=0, LEN(I222)=0), "", IF(AND(LEN(H222)&gt;0, LEN(I222)=0), "BLANCO", IFERROR(VLOOKUP(I222, BasedatosM9!A:B, 2, FALSE), "BLANCO")))</f>
        <v>Aguado Lemos Luis Eyder</v>
      </c>
      <c r="W222" s="5" t="str">
        <f>IF(AND(LEN(T222)=0, LEN(U222)=0), "", IF(AND(LEN(T222)&gt;0, LEN(U222)=0), "BLANCO", IFERROR(VLOOKUP(U222, BasedatosM9!A:B, 2, FALSE), "BLANCO")))</f>
        <v/>
      </c>
      <c r="AI222" s="5" t="str">
        <f>IF(AND(LEN(AF222)=0, LEN(AG222)=0), "", IF(AND(LEN(AF222)&gt;0, LEN(AG222)=0), "BLANCO", IFERROR(VLOOKUP(AG222, BasedatosM9!A:B, 2, FALSE), "BLANCO")))</f>
        <v/>
      </c>
      <c r="AU222" s="5" t="str">
        <f>IF(AND(LEN(AR222)=0, LEN(AS222)=0), "", IF(AND(LEN(AR222)&gt;0, LEN(AS222)=0), "BLANCO", IFERROR(VLOOKUP(AS222, BasedatosM9!A:B, 2, FALSE), "BLANCO")))</f>
        <v/>
      </c>
    </row>
    <row r="223" spans="1:47" ht="14.4">
      <c r="A223" s="21" t="s">
        <v>4757</v>
      </c>
      <c r="B223" s="86">
        <v>23909325</v>
      </c>
      <c r="C223" s="98">
        <v>45358</v>
      </c>
      <c r="D223" s="21" t="s">
        <v>4898</v>
      </c>
      <c r="E223" s="86">
        <v>0.17</v>
      </c>
      <c r="F223" s="99">
        <v>0.60416666666666663</v>
      </c>
      <c r="G223" s="99">
        <v>0.61111111111111105</v>
      </c>
      <c r="H223" s="21" t="s">
        <v>4551</v>
      </c>
      <c r="I223" s="21"/>
      <c r="J223" s="21" t="s">
        <v>2797</v>
      </c>
      <c r="K223" s="5" t="str">
        <f>IF(AND(LEN(H223)=0, LEN(I223)=0), "", IF(AND(LEN(H223)&gt;0, LEN(I223)=0), "BLANCO", IFERROR(VLOOKUP(I223, BasedatosM9!A:B, 2, FALSE), "BLANCO")))</f>
        <v>BLANCO</v>
      </c>
      <c r="W223" s="5" t="str">
        <f>IF(AND(LEN(T223)=0, LEN(U223)=0), "", IF(AND(LEN(T223)&gt;0, LEN(U223)=0), "BLANCO", IFERROR(VLOOKUP(U223, BasedatosM9!A:B, 2, FALSE), "BLANCO")))</f>
        <v/>
      </c>
      <c r="AI223" s="5" t="str">
        <f>IF(AND(LEN(AF223)=0, LEN(AG223)=0), "", IF(AND(LEN(AF223)&gt;0, LEN(AG223)=0), "BLANCO", IFERROR(VLOOKUP(AG223, BasedatosM9!A:B, 2, FALSE), "BLANCO")))</f>
        <v/>
      </c>
      <c r="AU223" s="5" t="str">
        <f>IF(AND(LEN(AR223)=0, LEN(AS223)=0), "", IF(AND(LEN(AR223)&gt;0, LEN(AS223)=0), "BLANCO", IFERROR(VLOOKUP(AS223, BasedatosM9!A:B, 2, FALSE), "BLANCO")))</f>
        <v/>
      </c>
    </row>
    <row r="224" spans="1:47" ht="14.4">
      <c r="A224" s="21" t="s">
        <v>4757</v>
      </c>
      <c r="B224" s="86">
        <v>23909328</v>
      </c>
      <c r="C224" s="98">
        <v>45358</v>
      </c>
      <c r="D224" s="21" t="s">
        <v>4745</v>
      </c>
      <c r="E224" s="86">
        <v>7.0000000000000007E-2</v>
      </c>
      <c r="F224" s="99">
        <v>0.63194444444444442</v>
      </c>
      <c r="G224" s="99">
        <v>0.63472222222222219</v>
      </c>
      <c r="H224" s="21" t="s">
        <v>4551</v>
      </c>
      <c r="I224" s="86">
        <v>20075387</v>
      </c>
      <c r="J224" s="21" t="s">
        <v>4746</v>
      </c>
      <c r="K224" s="5" t="str">
        <f>IF(AND(LEN(H224)=0, LEN(I224)=0), "", IF(AND(LEN(H224)&gt;0, LEN(I224)=0), "BLANCO", IFERROR(VLOOKUP(I224, BasedatosM9!A:B, 2, FALSE), "BLANCO")))</f>
        <v>Cristian Suaza</v>
      </c>
      <c r="W224" s="5" t="str">
        <f>IF(AND(LEN(T224)=0, LEN(U224)=0), "", IF(AND(LEN(T224)&gt;0, LEN(U224)=0), "BLANCO", IFERROR(VLOOKUP(U224, BasedatosM9!A:B, 2, FALSE), "BLANCO")))</f>
        <v/>
      </c>
      <c r="AI224" s="5" t="str">
        <f>IF(AND(LEN(AF224)=0, LEN(AG224)=0), "", IF(AND(LEN(AF224)&gt;0, LEN(AG224)=0), "BLANCO", IFERROR(VLOOKUP(AG224, BasedatosM9!A:B, 2, FALSE), "BLANCO")))</f>
        <v/>
      </c>
      <c r="AU224" s="5" t="str">
        <f>IF(AND(LEN(AR224)=0, LEN(AS224)=0), "", IF(AND(LEN(AR224)&gt;0, LEN(AS224)=0), "BLANCO", IFERROR(VLOOKUP(AS224, BasedatosM9!A:B, 2, FALSE), "BLANCO")))</f>
        <v/>
      </c>
    </row>
    <row r="225" spans="1:47" ht="14.4">
      <c r="A225" s="21" t="s">
        <v>4757</v>
      </c>
      <c r="B225" s="86">
        <v>23909605</v>
      </c>
      <c r="C225" s="98">
        <v>45358</v>
      </c>
      <c r="D225" s="21" t="s">
        <v>4745</v>
      </c>
      <c r="E225" s="86">
        <v>0.08</v>
      </c>
      <c r="F225" s="99">
        <v>0.72222222222222221</v>
      </c>
      <c r="G225" s="99">
        <v>0.72569444444444453</v>
      </c>
      <c r="H225" s="21" t="s">
        <v>4551</v>
      </c>
      <c r="I225" s="86">
        <v>20009915</v>
      </c>
      <c r="J225" s="21" t="s">
        <v>1471</v>
      </c>
      <c r="K225" s="5" t="str">
        <f>IF(AND(LEN(H225)=0, LEN(I225)=0), "", IF(AND(LEN(H225)&gt;0, LEN(I225)=0), "BLANCO", IFERROR(VLOOKUP(I225, BasedatosM9!A:B, 2, FALSE), "BLANCO")))</f>
        <v>Lozano Delgado Fausto Andres</v>
      </c>
      <c r="W225" s="5" t="str">
        <f>IF(AND(LEN(T225)=0, LEN(U225)=0), "", IF(AND(LEN(T225)&gt;0, LEN(U225)=0), "BLANCO", IFERROR(VLOOKUP(U225, BasedatosM9!A:B, 2, FALSE), "BLANCO")))</f>
        <v/>
      </c>
      <c r="AI225" s="5" t="str">
        <f>IF(AND(LEN(AF225)=0, LEN(AG225)=0), "", IF(AND(LEN(AF225)&gt;0, LEN(AG225)=0), "BLANCO", IFERROR(VLOOKUP(AG225, BasedatosM9!A:B, 2, FALSE), "BLANCO")))</f>
        <v/>
      </c>
      <c r="AU225" s="5" t="str">
        <f>IF(AND(LEN(AR225)=0, LEN(AS225)=0), "", IF(AND(LEN(AR225)&gt;0, LEN(AS225)=0), "BLANCO", IFERROR(VLOOKUP(AS225, BasedatosM9!A:B, 2, FALSE), "BLANCO")))</f>
        <v/>
      </c>
    </row>
    <row r="226" spans="1:47" ht="14.4">
      <c r="A226" s="21" t="s">
        <v>4757</v>
      </c>
      <c r="B226" s="86">
        <v>23909607</v>
      </c>
      <c r="C226" s="98">
        <v>45358</v>
      </c>
      <c r="D226" s="21" t="s">
        <v>4899</v>
      </c>
      <c r="E226" s="86">
        <v>0.1</v>
      </c>
      <c r="F226" s="99">
        <v>0.72916666666666663</v>
      </c>
      <c r="G226" s="99">
        <v>0.73333333333333339</v>
      </c>
      <c r="H226" s="21" t="s">
        <v>4551</v>
      </c>
      <c r="I226" s="86">
        <v>20075387</v>
      </c>
      <c r="J226" s="21" t="s">
        <v>79</v>
      </c>
      <c r="K226" s="5" t="str">
        <f>IF(AND(LEN(H226)=0, LEN(I226)=0), "", IF(AND(LEN(H226)&gt;0, LEN(I226)=0), "BLANCO", IFERROR(VLOOKUP(I226, BasedatosM9!A:B, 2, FALSE), "BLANCO")))</f>
        <v>Cristian Suaza</v>
      </c>
      <c r="W226" s="5" t="str">
        <f>IF(AND(LEN(T226)=0, LEN(U226)=0), "", IF(AND(LEN(T226)&gt;0, LEN(U226)=0), "BLANCO", IFERROR(VLOOKUP(U226, BasedatosM9!A:B, 2, FALSE), "BLANCO")))</f>
        <v/>
      </c>
      <c r="AI226" s="5" t="str">
        <f>IF(AND(LEN(AF226)=0, LEN(AG226)=0), "", IF(AND(LEN(AF226)&gt;0, LEN(AG226)=0), "BLANCO", IFERROR(VLOOKUP(AG226, BasedatosM9!A:B, 2, FALSE), "BLANCO")))</f>
        <v/>
      </c>
      <c r="AU226" s="5" t="str">
        <f>IF(AND(LEN(AR226)=0, LEN(AS226)=0), "", IF(AND(LEN(AR226)&gt;0, LEN(AS226)=0), "BLANCO", IFERROR(VLOOKUP(AS226, BasedatosM9!A:B, 2, FALSE), "BLANCO")))</f>
        <v/>
      </c>
    </row>
    <row r="227" spans="1:47" ht="14.4">
      <c r="A227" s="21" t="s">
        <v>4757</v>
      </c>
      <c r="B227" s="86">
        <v>23909642</v>
      </c>
      <c r="C227" s="98">
        <v>45358</v>
      </c>
      <c r="D227" s="21" t="s">
        <v>4900</v>
      </c>
      <c r="E227" s="86">
        <v>0.23</v>
      </c>
      <c r="F227" s="99">
        <v>0.6875</v>
      </c>
      <c r="G227" s="99">
        <v>0.6972222222222223</v>
      </c>
      <c r="H227" s="21" t="s">
        <v>4549</v>
      </c>
      <c r="I227" s="86">
        <v>20009758</v>
      </c>
      <c r="J227" s="21" t="s">
        <v>4753</v>
      </c>
      <c r="K227" s="5" t="str">
        <f>IF(AND(LEN(H227)=0, LEN(I227)=0), "", IF(AND(LEN(H227)&gt;0, LEN(I227)=0), "BLANCO", IFERROR(VLOOKUP(I227, BasedatosM9!A:B, 2, FALSE), "BLANCO")))</f>
        <v>Franco Castillo Brayan Steven</v>
      </c>
      <c r="W227" s="5" t="str">
        <f>IF(AND(LEN(T227)=0, LEN(U227)=0), "", IF(AND(LEN(T227)&gt;0, LEN(U227)=0), "BLANCO", IFERROR(VLOOKUP(U227, BasedatosM9!A:B, 2, FALSE), "BLANCO")))</f>
        <v/>
      </c>
      <c r="AI227" s="5" t="str">
        <f>IF(AND(LEN(AF227)=0, LEN(AG227)=0), "", IF(AND(LEN(AF227)&gt;0, LEN(AG227)=0), "BLANCO", IFERROR(VLOOKUP(AG227, BasedatosM9!A:B, 2, FALSE), "BLANCO")))</f>
        <v/>
      </c>
      <c r="AU227" s="5" t="str">
        <f>IF(AND(LEN(AR227)=0, LEN(AS227)=0), "", IF(AND(LEN(AR227)&gt;0, LEN(AS227)=0), "BLANCO", IFERROR(VLOOKUP(AS227, BasedatosM9!A:B, 2, FALSE), "BLANCO")))</f>
        <v/>
      </c>
    </row>
    <row r="228" spans="1:47" ht="14.4">
      <c r="A228" s="21" t="s">
        <v>4757</v>
      </c>
      <c r="B228" s="86">
        <v>23909719</v>
      </c>
      <c r="C228" s="98">
        <v>45358</v>
      </c>
      <c r="D228" s="21" t="s">
        <v>4771</v>
      </c>
      <c r="E228" s="86">
        <v>0.28000000000000003</v>
      </c>
      <c r="F228" s="99">
        <v>0.7729166666666667</v>
      </c>
      <c r="G228" s="99">
        <v>0.78472222222222221</v>
      </c>
      <c r="H228" s="21" t="s">
        <v>4549</v>
      </c>
      <c r="I228" s="21"/>
      <c r="J228" s="21" t="s">
        <v>1471</v>
      </c>
      <c r="K228" s="5" t="str">
        <f>IF(AND(LEN(H228)=0, LEN(I228)=0), "", IF(AND(LEN(H228)&gt;0, LEN(I228)=0), "BLANCO", IFERROR(VLOOKUP(I228, BasedatosM9!A:B, 2, FALSE), "BLANCO")))</f>
        <v>BLANCO</v>
      </c>
      <c r="W228" s="5" t="str">
        <f>IF(AND(LEN(T228)=0, LEN(U228)=0), "", IF(AND(LEN(T228)&gt;0, LEN(U228)=0), "BLANCO", IFERROR(VLOOKUP(U228, BasedatosM9!A:B, 2, FALSE), "BLANCO")))</f>
        <v/>
      </c>
      <c r="AI228" s="5" t="str">
        <f>IF(AND(LEN(AF228)=0, LEN(AG228)=0), "", IF(AND(LEN(AF228)&gt;0, LEN(AG228)=0), "BLANCO", IFERROR(VLOOKUP(AG228, BasedatosM9!A:B, 2, FALSE), "BLANCO")))</f>
        <v/>
      </c>
      <c r="AU228" s="5" t="str">
        <f>IF(AND(LEN(AR228)=0, LEN(AS228)=0), "", IF(AND(LEN(AR228)&gt;0, LEN(AS228)=0), "BLANCO", IFERROR(VLOOKUP(AS228, BasedatosM9!A:B, 2, FALSE), "BLANCO")))</f>
        <v/>
      </c>
    </row>
    <row r="229" spans="1:47" ht="14.4">
      <c r="A229" s="21" t="s">
        <v>4757</v>
      </c>
      <c r="B229" s="86">
        <v>23909721</v>
      </c>
      <c r="C229" s="98">
        <v>45358</v>
      </c>
      <c r="D229" s="21" t="s">
        <v>4751</v>
      </c>
      <c r="E229" s="86">
        <v>0.3</v>
      </c>
      <c r="F229" s="99">
        <v>0.79861111111111116</v>
      </c>
      <c r="G229" s="99">
        <v>0.81111111111111101</v>
      </c>
      <c r="H229" s="21" t="s">
        <v>4551</v>
      </c>
      <c r="I229" s="86">
        <v>20019987</v>
      </c>
      <c r="J229" s="21" t="s">
        <v>4744</v>
      </c>
      <c r="K229" s="5" t="str">
        <f>IF(AND(LEN(H229)=0, LEN(I229)=0), "", IF(AND(LEN(H229)&gt;0, LEN(I229)=0), "BLANCO", IFERROR(VLOOKUP(I229, BasedatosM9!A:B, 2, FALSE), "BLANCO")))</f>
        <v>Aguado Lemos Luis Eyder</v>
      </c>
      <c r="W229" s="5" t="str">
        <f>IF(AND(LEN(T229)=0, LEN(U229)=0), "", IF(AND(LEN(T229)&gt;0, LEN(U229)=0), "BLANCO", IFERROR(VLOOKUP(U229, BasedatosM9!A:B, 2, FALSE), "BLANCO")))</f>
        <v/>
      </c>
      <c r="AI229" s="5" t="str">
        <f>IF(AND(LEN(AF229)=0, LEN(AG229)=0), "", IF(AND(LEN(AF229)&gt;0, LEN(AG229)=0), "BLANCO", IFERROR(VLOOKUP(AG229, BasedatosM9!A:B, 2, FALSE), "BLANCO")))</f>
        <v/>
      </c>
      <c r="AU229" s="5" t="str">
        <f>IF(AND(LEN(AR229)=0, LEN(AS229)=0), "", IF(AND(LEN(AR229)&gt;0, LEN(AS229)=0), "BLANCO", IFERROR(VLOOKUP(AS229, BasedatosM9!A:B, 2, FALSE), "BLANCO")))</f>
        <v/>
      </c>
    </row>
    <row r="230" spans="1:47" ht="14.4">
      <c r="A230" s="21" t="s">
        <v>4757</v>
      </c>
      <c r="B230" s="86">
        <v>23909771</v>
      </c>
      <c r="C230" s="98">
        <v>45358</v>
      </c>
      <c r="D230" s="21" t="s">
        <v>4901</v>
      </c>
      <c r="E230" s="86">
        <v>0.5</v>
      </c>
      <c r="F230" s="99">
        <v>0.61111111111111105</v>
      </c>
      <c r="G230" s="99">
        <v>0.63194444444444442</v>
      </c>
      <c r="H230" s="21" t="s">
        <v>4550</v>
      </c>
      <c r="I230" s="86">
        <v>20032893</v>
      </c>
      <c r="J230" s="21" t="s">
        <v>4773</v>
      </c>
      <c r="K230" s="5" t="str">
        <f>IF(AND(LEN(H230)=0, LEN(I230)=0), "", IF(AND(LEN(H230)&gt;0, LEN(I230)=0), "BLANCO", IFERROR(VLOOKUP(I230, BasedatosM9!A:B, 2, FALSE), "BLANCO")))</f>
        <v>Bolaños Camacho Luis Miguel</v>
      </c>
      <c r="W230" s="5" t="str">
        <f>IF(AND(LEN(T230)=0, LEN(U230)=0), "", IF(AND(LEN(T230)&gt;0, LEN(U230)=0), "BLANCO", IFERROR(VLOOKUP(U230, BasedatosM9!A:B, 2, FALSE), "BLANCO")))</f>
        <v/>
      </c>
      <c r="AI230" s="5" t="str">
        <f>IF(AND(LEN(AF230)=0, LEN(AG230)=0), "", IF(AND(LEN(AF230)&gt;0, LEN(AG230)=0), "BLANCO", IFERROR(VLOOKUP(AG230, BasedatosM9!A:B, 2, FALSE), "BLANCO")))</f>
        <v/>
      </c>
      <c r="AU230" s="5" t="str">
        <f>IF(AND(LEN(AR230)=0, LEN(AS230)=0), "", IF(AND(LEN(AR230)&gt;0, LEN(AS230)=0), "BLANCO", IFERROR(VLOOKUP(AS230, BasedatosM9!A:B, 2, FALSE), "BLANCO")))</f>
        <v/>
      </c>
    </row>
    <row r="231" spans="1:47" ht="14.4">
      <c r="A231" s="21" t="s">
        <v>4757</v>
      </c>
      <c r="B231" s="86">
        <v>23909788</v>
      </c>
      <c r="C231" s="98">
        <v>45358</v>
      </c>
      <c r="D231" s="21" t="s">
        <v>4862</v>
      </c>
      <c r="E231" s="86">
        <v>0.2</v>
      </c>
      <c r="F231" s="99">
        <v>0.66666666666666663</v>
      </c>
      <c r="G231" s="99">
        <v>0.67499999999999993</v>
      </c>
      <c r="H231" s="21" t="s">
        <v>4550</v>
      </c>
      <c r="I231" s="86">
        <v>20032893</v>
      </c>
      <c r="J231" s="21" t="s">
        <v>4755</v>
      </c>
      <c r="K231" s="5" t="str">
        <f>IF(AND(LEN(H231)=0, LEN(I231)=0), "", IF(AND(LEN(H231)&gt;0, LEN(I231)=0), "BLANCO", IFERROR(VLOOKUP(I231, BasedatosM9!A:B, 2, FALSE), "BLANCO")))</f>
        <v>Bolaños Camacho Luis Miguel</v>
      </c>
      <c r="W231" s="5" t="str">
        <f>IF(AND(LEN(T231)=0, LEN(U231)=0), "", IF(AND(LEN(T231)&gt;0, LEN(U231)=0), "BLANCO", IFERROR(VLOOKUP(U231, BasedatosM9!A:B, 2, FALSE), "BLANCO")))</f>
        <v/>
      </c>
      <c r="AI231" s="5" t="str">
        <f>IF(AND(LEN(AF231)=0, LEN(AG231)=0), "", IF(AND(LEN(AF231)&gt;0, LEN(AG231)=0), "BLANCO", IFERROR(VLOOKUP(AG231, BasedatosM9!A:B, 2, FALSE), "BLANCO")))</f>
        <v/>
      </c>
      <c r="AU231" s="5" t="str">
        <f>IF(AND(LEN(AR231)=0, LEN(AS231)=0), "", IF(AND(LEN(AR231)&gt;0, LEN(AS231)=0), "BLANCO", IFERROR(VLOOKUP(AS231, BasedatosM9!A:B, 2, FALSE), "BLANCO")))</f>
        <v/>
      </c>
    </row>
    <row r="232" spans="1:47" ht="14.4">
      <c r="A232" s="21" t="s">
        <v>4757</v>
      </c>
      <c r="B232" s="86">
        <v>23909814</v>
      </c>
      <c r="C232" s="98">
        <v>45358</v>
      </c>
      <c r="D232" s="21" t="s">
        <v>4902</v>
      </c>
      <c r="E232" s="86">
        <v>0.17</v>
      </c>
      <c r="F232" s="99">
        <v>0.73611111111111116</v>
      </c>
      <c r="G232" s="99">
        <v>0.74305555555555547</v>
      </c>
      <c r="H232" s="21" t="s">
        <v>4550</v>
      </c>
      <c r="I232" s="86">
        <v>20031425</v>
      </c>
      <c r="J232" s="21" t="s">
        <v>4744</v>
      </c>
      <c r="K232" s="5" t="str">
        <f>IF(AND(LEN(H232)=0, LEN(I232)=0), "", IF(AND(LEN(H232)&gt;0, LEN(I232)=0), "BLANCO", IFERROR(VLOOKUP(I232, BasedatosM9!A:B, 2, FALSE), "BLANCO")))</f>
        <v>Luis Gordillo</v>
      </c>
      <c r="W232" s="5" t="str">
        <f>IF(AND(LEN(T232)=0, LEN(U232)=0), "", IF(AND(LEN(T232)&gt;0, LEN(U232)=0), "BLANCO", IFERROR(VLOOKUP(U232, BasedatosM9!A:B, 2, FALSE), "BLANCO")))</f>
        <v/>
      </c>
      <c r="AI232" s="5" t="str">
        <f>IF(AND(LEN(AF232)=0, LEN(AG232)=0), "", IF(AND(LEN(AF232)&gt;0, LEN(AG232)=0), "BLANCO", IFERROR(VLOOKUP(AG232, BasedatosM9!A:B, 2, FALSE), "BLANCO")))</f>
        <v/>
      </c>
      <c r="AU232" s="5" t="str">
        <f>IF(AND(LEN(AR232)=0, LEN(AS232)=0), "", IF(AND(LEN(AR232)&gt;0, LEN(AS232)=0), "BLANCO", IFERROR(VLOOKUP(AS232, BasedatosM9!A:B, 2, FALSE), "BLANCO")))</f>
        <v/>
      </c>
    </row>
    <row r="233" spans="1:47" ht="14.4">
      <c r="A233" s="21" t="s">
        <v>4757</v>
      </c>
      <c r="B233" s="86">
        <v>23909817</v>
      </c>
      <c r="C233" s="98">
        <v>45358</v>
      </c>
      <c r="D233" s="21" t="s">
        <v>4903</v>
      </c>
      <c r="E233" s="86">
        <v>0.57999999999999996</v>
      </c>
      <c r="F233" s="99">
        <v>0.77083333333333337</v>
      </c>
      <c r="G233" s="99">
        <v>0.79513888888888884</v>
      </c>
      <c r="H233" s="21" t="s">
        <v>4550</v>
      </c>
      <c r="I233" s="21"/>
      <c r="J233" s="21" t="s">
        <v>4744</v>
      </c>
      <c r="K233" s="5" t="str">
        <f>IF(AND(LEN(H233)=0, LEN(I233)=0), "", IF(AND(LEN(H233)&gt;0, LEN(I233)=0), "BLANCO", IFERROR(VLOOKUP(I233, BasedatosM9!A:B, 2, FALSE), "BLANCO")))</f>
        <v>BLANCO</v>
      </c>
      <c r="W233" s="5" t="str">
        <f>IF(AND(LEN(T233)=0, LEN(U233)=0), "", IF(AND(LEN(T233)&gt;0, LEN(U233)=0), "BLANCO", IFERROR(VLOOKUP(U233, BasedatosM9!A:B, 2, FALSE), "BLANCO")))</f>
        <v/>
      </c>
      <c r="AI233" s="5" t="str">
        <f>IF(AND(LEN(AF233)=0, LEN(AG233)=0), "", IF(AND(LEN(AF233)&gt;0, LEN(AG233)=0), "BLANCO", IFERROR(VLOOKUP(AG233, BasedatosM9!A:B, 2, FALSE), "BLANCO")))</f>
        <v/>
      </c>
      <c r="AU233" s="5" t="str">
        <f>IF(AND(LEN(AR233)=0, LEN(AS233)=0), "", IF(AND(LEN(AR233)&gt;0, LEN(AS233)=0), "BLANCO", IFERROR(VLOOKUP(AS233, BasedatosM9!A:B, 2, FALSE), "BLANCO")))</f>
        <v/>
      </c>
    </row>
    <row r="234" spans="1:47" ht="14.4">
      <c r="A234" s="21" t="s">
        <v>4757</v>
      </c>
      <c r="B234" s="86">
        <v>23909853</v>
      </c>
      <c r="C234" s="98">
        <v>45358</v>
      </c>
      <c r="D234" s="21" t="s">
        <v>4904</v>
      </c>
      <c r="E234" s="86">
        <v>0.83</v>
      </c>
      <c r="F234" s="99">
        <v>0.83680555555555547</v>
      </c>
      <c r="G234" s="99">
        <v>0.87152777777777779</v>
      </c>
      <c r="H234" s="21" t="s">
        <v>4551</v>
      </c>
      <c r="I234" s="86">
        <v>20062740</v>
      </c>
      <c r="J234" s="21" t="s">
        <v>4750</v>
      </c>
      <c r="K234" s="5" t="str">
        <f>IF(AND(LEN(H234)=0, LEN(I234)=0), "", IF(AND(LEN(H234)&gt;0, LEN(I234)=0), "BLANCO", IFERROR(VLOOKUP(I234, BasedatosM9!A:B, 2, FALSE), "BLANCO")))</f>
        <v>Hector Toro</v>
      </c>
      <c r="W234" s="5" t="str">
        <f>IF(AND(LEN(T234)=0, LEN(U234)=0), "", IF(AND(LEN(T234)&gt;0, LEN(U234)=0), "BLANCO", IFERROR(VLOOKUP(U234, BasedatosM9!A:B, 2, FALSE), "BLANCO")))</f>
        <v/>
      </c>
      <c r="AI234" s="5" t="str">
        <f>IF(AND(LEN(AF234)=0, LEN(AG234)=0), "", IF(AND(LEN(AF234)&gt;0, LEN(AG234)=0), "BLANCO", IFERROR(VLOOKUP(AG234, BasedatosM9!A:B, 2, FALSE), "BLANCO")))</f>
        <v/>
      </c>
      <c r="AU234" s="5" t="str">
        <f>IF(AND(LEN(AR234)=0, LEN(AS234)=0), "", IF(AND(LEN(AR234)&gt;0, LEN(AS234)=0), "BLANCO", IFERROR(VLOOKUP(AS234, BasedatosM9!A:B, 2, FALSE), "BLANCO")))</f>
        <v/>
      </c>
    </row>
    <row r="235" spans="1:47" ht="14.4">
      <c r="A235" s="21" t="s">
        <v>4757</v>
      </c>
      <c r="B235" s="86">
        <v>23909916</v>
      </c>
      <c r="C235" s="98">
        <v>45358</v>
      </c>
      <c r="D235" s="21" t="s">
        <v>4745</v>
      </c>
      <c r="E235" s="86">
        <v>0.12</v>
      </c>
      <c r="F235" s="99">
        <v>0.88194444444444453</v>
      </c>
      <c r="G235" s="99">
        <v>0.88680555555555562</v>
      </c>
      <c r="H235" s="21" t="s">
        <v>4551</v>
      </c>
      <c r="I235" s="86">
        <v>20075387</v>
      </c>
      <c r="J235" s="21" t="s">
        <v>4746</v>
      </c>
      <c r="K235" s="5" t="str">
        <f>IF(AND(LEN(H235)=0, LEN(I235)=0), "", IF(AND(LEN(H235)&gt;0, LEN(I235)=0), "BLANCO", IFERROR(VLOOKUP(I235, BasedatosM9!A:B, 2, FALSE), "BLANCO")))</f>
        <v>Cristian Suaza</v>
      </c>
      <c r="W235" s="5" t="str">
        <f>IF(AND(LEN(T235)=0, LEN(U235)=0), "", IF(AND(LEN(T235)&gt;0, LEN(U235)=0), "BLANCO", IFERROR(VLOOKUP(U235, BasedatosM9!A:B, 2, FALSE), "BLANCO")))</f>
        <v/>
      </c>
      <c r="AI235" s="5" t="str">
        <f>IF(AND(LEN(AF235)=0, LEN(AG235)=0), "", IF(AND(LEN(AF235)&gt;0, LEN(AG235)=0), "BLANCO", IFERROR(VLOOKUP(AG235, BasedatosM9!A:B, 2, FALSE), "BLANCO")))</f>
        <v/>
      </c>
      <c r="AU235" s="5" t="str">
        <f>IF(AND(LEN(AR235)=0, LEN(AS235)=0), "", IF(AND(LEN(AR235)&gt;0, LEN(AS235)=0), "BLANCO", IFERROR(VLOOKUP(AS235, BasedatosM9!A:B, 2, FALSE), "BLANCO")))</f>
        <v/>
      </c>
    </row>
    <row r="236" spans="1:47" ht="14.4">
      <c r="A236" s="21" t="s">
        <v>4742</v>
      </c>
      <c r="B236" s="86">
        <v>23909933</v>
      </c>
      <c r="C236" s="98">
        <v>45358</v>
      </c>
      <c r="D236" s="21" t="s">
        <v>4905</v>
      </c>
      <c r="E236" s="86">
        <v>0.08</v>
      </c>
      <c r="F236" s="99">
        <v>0.39097222222222222</v>
      </c>
      <c r="G236" s="99">
        <v>0.39444444444444443</v>
      </c>
      <c r="H236" s="21" t="s">
        <v>4769</v>
      </c>
      <c r="I236" s="86">
        <v>20009822</v>
      </c>
      <c r="J236" s="21" t="s">
        <v>4770</v>
      </c>
      <c r="K236" s="5" t="str">
        <f>IF(AND(LEN(H236)=0, LEN(I236)=0), "", IF(AND(LEN(H236)&gt;0, LEN(I236)=0), "BLANCO", IFERROR(VLOOKUP(I236, BasedatosM9!A:B, 2, FALSE), "BLANCO")))</f>
        <v>Guzman Palechor Miguel Angel</v>
      </c>
      <c r="W236" s="5" t="str">
        <f>IF(AND(LEN(T236)=0, LEN(U236)=0), "", IF(AND(LEN(T236)&gt;0, LEN(U236)=0), "BLANCO", IFERROR(VLOOKUP(U236, BasedatosM9!A:B, 2, FALSE), "BLANCO")))</f>
        <v/>
      </c>
      <c r="AI236" s="5" t="str">
        <f>IF(AND(LEN(AF236)=0, LEN(AG236)=0), "", IF(AND(LEN(AF236)&gt;0, LEN(AG236)=0), "BLANCO", IFERROR(VLOOKUP(AG236, BasedatosM9!A:B, 2, FALSE), "BLANCO")))</f>
        <v/>
      </c>
      <c r="AU236" s="5" t="str">
        <f>IF(AND(LEN(AR236)=0, LEN(AS236)=0), "", IF(AND(LEN(AR236)&gt;0, LEN(AS236)=0), "BLANCO", IFERROR(VLOOKUP(AS236, BasedatosM9!A:B, 2, FALSE), "BLANCO")))</f>
        <v/>
      </c>
    </row>
    <row r="237" spans="1:47" ht="14.4">
      <c r="A237" s="21" t="s">
        <v>4757</v>
      </c>
      <c r="B237" s="86">
        <v>23910002</v>
      </c>
      <c r="C237" s="98">
        <v>45358</v>
      </c>
      <c r="D237" s="21" t="s">
        <v>4906</v>
      </c>
      <c r="E237" s="86">
        <v>0.12</v>
      </c>
      <c r="F237" s="99">
        <v>0.92708333333333337</v>
      </c>
      <c r="G237" s="99">
        <v>0.93194444444444446</v>
      </c>
      <c r="H237" s="21" t="s">
        <v>4551</v>
      </c>
      <c r="I237" s="86">
        <v>20009996</v>
      </c>
      <c r="J237" s="21" t="s">
        <v>4744</v>
      </c>
      <c r="K237" s="5" t="str">
        <f>IF(AND(LEN(H237)=0, LEN(I237)=0), "", IF(AND(LEN(H237)&gt;0, LEN(I237)=0), "BLANCO", IFERROR(VLOOKUP(I237, BasedatosM9!A:B, 2, FALSE), "BLANCO")))</f>
        <v>Fernando Montoya</v>
      </c>
      <c r="W237" s="5" t="str">
        <f>IF(AND(LEN(T237)=0, LEN(U237)=0), "", IF(AND(LEN(T237)&gt;0, LEN(U237)=0), "BLANCO", IFERROR(VLOOKUP(U237, BasedatosM9!A:B, 2, FALSE), "BLANCO")))</f>
        <v/>
      </c>
      <c r="AI237" s="5" t="str">
        <f>IF(AND(LEN(AF237)=0, LEN(AG237)=0), "", IF(AND(LEN(AF237)&gt;0, LEN(AG237)=0), "BLANCO", IFERROR(VLOOKUP(AG237, BasedatosM9!A:B, 2, FALSE), "BLANCO")))</f>
        <v/>
      </c>
      <c r="AU237" s="5" t="str">
        <f>IF(AND(LEN(AR237)=0, LEN(AS237)=0), "", IF(AND(LEN(AR237)&gt;0, LEN(AS237)=0), "BLANCO", IFERROR(VLOOKUP(AS237, BasedatosM9!A:B, 2, FALSE), "BLANCO")))</f>
        <v/>
      </c>
    </row>
    <row r="238" spans="1:47" ht="14.4">
      <c r="A238" s="21" t="s">
        <v>4767</v>
      </c>
      <c r="B238" s="86">
        <v>23910003</v>
      </c>
      <c r="C238" s="98">
        <v>45358</v>
      </c>
      <c r="D238" s="21" t="s">
        <v>4751</v>
      </c>
      <c r="E238" s="86">
        <v>0.1</v>
      </c>
      <c r="F238" s="99">
        <v>0.96875</v>
      </c>
      <c r="G238" s="99">
        <v>0.97291666666666676</v>
      </c>
      <c r="H238" s="21" t="s">
        <v>4551</v>
      </c>
      <c r="I238" s="86">
        <v>20036419</v>
      </c>
      <c r="J238" s="21" t="s">
        <v>4744</v>
      </c>
      <c r="K238" s="5" t="str">
        <f>IF(AND(LEN(H238)=0, LEN(I238)=0), "", IF(AND(LEN(H238)&gt;0, LEN(I238)=0), "BLANCO", IFERROR(VLOOKUP(I238, BasedatosM9!A:B, 2, FALSE), "BLANCO")))</f>
        <v>Adalcides Campo</v>
      </c>
      <c r="W238" s="5" t="str">
        <f>IF(AND(LEN(T238)=0, LEN(U238)=0), "", IF(AND(LEN(T238)&gt;0, LEN(U238)=0), "BLANCO", IFERROR(VLOOKUP(U238, BasedatosM9!A:B, 2, FALSE), "BLANCO")))</f>
        <v/>
      </c>
      <c r="AI238" s="5" t="str">
        <f>IF(AND(LEN(AF238)=0, LEN(AG238)=0), "", IF(AND(LEN(AF238)&gt;0, LEN(AG238)=0), "BLANCO", IFERROR(VLOOKUP(AG238, BasedatosM9!A:B, 2, FALSE), "BLANCO")))</f>
        <v/>
      </c>
      <c r="AU238" s="5" t="str">
        <f>IF(AND(LEN(AR238)=0, LEN(AS238)=0), "", IF(AND(LEN(AR238)&gt;0, LEN(AS238)=0), "BLANCO", IFERROR(VLOOKUP(AS238, BasedatosM9!A:B, 2, FALSE), "BLANCO")))</f>
        <v/>
      </c>
    </row>
    <row r="239" spans="1:47" ht="14.4">
      <c r="A239" s="21" t="s">
        <v>4767</v>
      </c>
      <c r="B239" s="86">
        <v>23910004</v>
      </c>
      <c r="C239" s="98">
        <v>45358</v>
      </c>
      <c r="D239" s="21" t="s">
        <v>4745</v>
      </c>
      <c r="E239" s="86">
        <v>0.08</v>
      </c>
      <c r="F239" s="99">
        <v>0.97569444444444453</v>
      </c>
      <c r="G239" s="99">
        <v>0.97916666666666663</v>
      </c>
      <c r="H239" s="21" t="s">
        <v>4551</v>
      </c>
      <c r="I239" s="86">
        <v>20009721</v>
      </c>
      <c r="J239" s="21" t="s">
        <v>4746</v>
      </c>
      <c r="K239" s="5" t="str">
        <f>IF(AND(LEN(H239)=0, LEN(I239)=0), "", IF(AND(LEN(H239)&gt;0, LEN(I239)=0), "BLANCO", IFERROR(VLOOKUP(I239, BasedatosM9!A:B, 2, FALSE), "BLANCO")))</f>
        <v>Alejandro Davila</v>
      </c>
      <c r="W239" s="5" t="str">
        <f>IF(AND(LEN(T239)=0, LEN(U239)=0), "", IF(AND(LEN(T239)&gt;0, LEN(U239)=0), "BLANCO", IFERROR(VLOOKUP(U239, BasedatosM9!A:B, 2, FALSE), "BLANCO")))</f>
        <v/>
      </c>
      <c r="AI239" s="5" t="str">
        <f>IF(AND(LEN(AF239)=0, LEN(AG239)=0), "", IF(AND(LEN(AF239)&gt;0, LEN(AG239)=0), "BLANCO", IFERROR(VLOOKUP(AG239, BasedatosM9!A:B, 2, FALSE), "BLANCO")))</f>
        <v/>
      </c>
      <c r="AU239" s="5" t="str">
        <f>IF(AND(LEN(AR239)=0, LEN(AS239)=0), "", IF(AND(LEN(AR239)&gt;0, LEN(AS239)=0), "BLANCO", IFERROR(VLOOKUP(AS239, BasedatosM9!A:B, 2, FALSE), "BLANCO")))</f>
        <v/>
      </c>
    </row>
    <row r="240" spans="1:47" ht="14.4">
      <c r="A240" s="21" t="s">
        <v>4767</v>
      </c>
      <c r="B240" s="86">
        <v>23910008</v>
      </c>
      <c r="C240" s="98">
        <v>45358</v>
      </c>
      <c r="D240" s="21" t="s">
        <v>4745</v>
      </c>
      <c r="E240" s="86">
        <v>0.08</v>
      </c>
      <c r="F240" s="99">
        <v>3.472222222222222E-3</v>
      </c>
      <c r="G240" s="99">
        <v>6.9444444444444441E-3</v>
      </c>
      <c r="H240" s="21" t="s">
        <v>4551</v>
      </c>
      <c r="I240" s="86">
        <v>20009721</v>
      </c>
      <c r="J240" s="21" t="s">
        <v>4746</v>
      </c>
      <c r="K240" s="5" t="str">
        <f>IF(AND(LEN(H240)=0, LEN(I240)=0), "", IF(AND(LEN(H240)&gt;0, LEN(I240)=0), "BLANCO", IFERROR(VLOOKUP(I240, BasedatosM9!A:B, 2, FALSE), "BLANCO")))</f>
        <v>Alejandro Davila</v>
      </c>
      <c r="W240" s="5" t="str">
        <f>IF(AND(LEN(T240)=0, LEN(U240)=0), "", IF(AND(LEN(T240)&gt;0, LEN(U240)=0), "BLANCO", IFERROR(VLOOKUP(U240, BasedatosM9!A:B, 2, FALSE), "BLANCO")))</f>
        <v/>
      </c>
      <c r="AI240" s="5" t="str">
        <f>IF(AND(LEN(AF240)=0, LEN(AG240)=0), "", IF(AND(LEN(AF240)&gt;0, LEN(AG240)=0), "BLANCO", IFERROR(VLOOKUP(AG240, BasedatosM9!A:B, 2, FALSE), "BLANCO")))</f>
        <v/>
      </c>
      <c r="AU240" s="5" t="str">
        <f>IF(AND(LEN(AR240)=0, LEN(AS240)=0), "", IF(AND(LEN(AR240)&gt;0, LEN(AS240)=0), "BLANCO", IFERROR(VLOOKUP(AS240, BasedatosM9!A:B, 2, FALSE), "BLANCO")))</f>
        <v/>
      </c>
    </row>
    <row r="241" spans="1:47" ht="14.4">
      <c r="A241" s="21" t="s">
        <v>4767</v>
      </c>
      <c r="B241" s="86">
        <v>23910072</v>
      </c>
      <c r="C241" s="98">
        <v>45358</v>
      </c>
      <c r="D241" s="21" t="s">
        <v>4907</v>
      </c>
      <c r="E241" s="86">
        <v>0.08</v>
      </c>
      <c r="F241" s="99">
        <v>1.6666666666666666E-2</v>
      </c>
      <c r="G241" s="99">
        <v>2.013888888888889E-2</v>
      </c>
      <c r="H241" s="21" t="s">
        <v>4551</v>
      </c>
      <c r="I241" s="21"/>
      <c r="J241" s="21" t="s">
        <v>79</v>
      </c>
      <c r="K241" s="5" t="str">
        <f>IF(AND(LEN(H241)=0, LEN(I241)=0), "", IF(AND(LEN(H241)&gt;0, LEN(I241)=0), "BLANCO", IFERROR(VLOOKUP(I241, BasedatosM9!A:B, 2, FALSE), "BLANCO")))</f>
        <v>BLANCO</v>
      </c>
      <c r="W241" s="5" t="str">
        <f>IF(AND(LEN(T241)=0, LEN(U241)=0), "", IF(AND(LEN(T241)&gt;0, LEN(U241)=0), "BLANCO", IFERROR(VLOOKUP(U241, BasedatosM9!A:B, 2, FALSE), "BLANCO")))</f>
        <v/>
      </c>
      <c r="AI241" s="5" t="str">
        <f>IF(AND(LEN(AF241)=0, LEN(AG241)=0), "", IF(AND(LEN(AF241)&gt;0, LEN(AG241)=0), "BLANCO", IFERROR(VLOOKUP(AG241, BasedatosM9!A:B, 2, FALSE), "BLANCO")))</f>
        <v/>
      </c>
      <c r="AU241" s="5" t="str">
        <f>IF(AND(LEN(AR241)=0, LEN(AS241)=0), "", IF(AND(LEN(AR241)&gt;0, LEN(AS241)=0), "BLANCO", IFERROR(VLOOKUP(AS241, BasedatosM9!A:B, 2, FALSE), "BLANCO")))</f>
        <v/>
      </c>
    </row>
    <row r="242" spans="1:47" ht="14.4">
      <c r="A242" s="21" t="s">
        <v>4767</v>
      </c>
      <c r="B242" s="86">
        <v>23910140</v>
      </c>
      <c r="C242" s="98">
        <v>45358</v>
      </c>
      <c r="D242" s="21" t="s">
        <v>4745</v>
      </c>
      <c r="E242" s="86">
        <v>0.1</v>
      </c>
      <c r="F242" s="99">
        <v>6.5972222222222224E-2</v>
      </c>
      <c r="G242" s="99">
        <v>7.013888888888889E-2</v>
      </c>
      <c r="H242" s="21" t="s">
        <v>4551</v>
      </c>
      <c r="I242" s="86">
        <v>20009721</v>
      </c>
      <c r="J242" s="21" t="s">
        <v>4746</v>
      </c>
      <c r="K242" s="5" t="str">
        <f>IF(AND(LEN(H242)=0, LEN(I242)=0), "", IF(AND(LEN(H242)&gt;0, LEN(I242)=0), "BLANCO", IFERROR(VLOOKUP(I242, BasedatosM9!A:B, 2, FALSE), "BLANCO")))</f>
        <v>Alejandro Davila</v>
      </c>
      <c r="W242" s="5" t="str">
        <f>IF(AND(LEN(T242)=0, LEN(U242)=0), "", IF(AND(LEN(T242)&gt;0, LEN(U242)=0), "BLANCO", IFERROR(VLOOKUP(U242, BasedatosM9!A:B, 2, FALSE), "BLANCO")))</f>
        <v/>
      </c>
      <c r="AI242" s="5" t="str">
        <f>IF(AND(LEN(AF242)=0, LEN(AG242)=0), "", IF(AND(LEN(AF242)&gt;0, LEN(AG242)=0), "BLANCO", IFERROR(VLOOKUP(AG242, BasedatosM9!A:B, 2, FALSE), "BLANCO")))</f>
        <v/>
      </c>
      <c r="AU242" s="5" t="str">
        <f>IF(AND(LEN(AR242)=0, LEN(AS242)=0), "", IF(AND(LEN(AR242)&gt;0, LEN(AS242)=0), "BLANCO", IFERROR(VLOOKUP(AS242, BasedatosM9!A:B, 2, FALSE), "BLANCO")))</f>
        <v/>
      </c>
    </row>
    <row r="243" spans="1:47" ht="14.4">
      <c r="A243" s="21" t="s">
        <v>4767</v>
      </c>
      <c r="B243" s="86">
        <v>23910214</v>
      </c>
      <c r="C243" s="98">
        <v>45359</v>
      </c>
      <c r="D243" s="21" t="s">
        <v>4866</v>
      </c>
      <c r="E243" s="86">
        <v>0.28000000000000003</v>
      </c>
      <c r="F243" s="99">
        <v>0.1076388888888889</v>
      </c>
      <c r="G243" s="99">
        <v>0.11944444444444445</v>
      </c>
      <c r="H243" s="21" t="s">
        <v>4551</v>
      </c>
      <c r="I243" s="86">
        <v>20036419</v>
      </c>
      <c r="J243" s="21" t="s">
        <v>4773</v>
      </c>
      <c r="K243" s="5" t="str">
        <f>IF(AND(LEN(H243)=0, LEN(I243)=0), "", IF(AND(LEN(H243)&gt;0, LEN(I243)=0), "BLANCO", IFERROR(VLOOKUP(I243, BasedatosM9!A:B, 2, FALSE), "BLANCO")))</f>
        <v>Adalcides Campo</v>
      </c>
      <c r="W243" s="5" t="str">
        <f>IF(AND(LEN(T243)=0, LEN(U243)=0), "", IF(AND(LEN(T243)&gt;0, LEN(U243)=0), "BLANCO", IFERROR(VLOOKUP(U243, BasedatosM9!A:B, 2, FALSE), "BLANCO")))</f>
        <v/>
      </c>
      <c r="AI243" s="5" t="str">
        <f>IF(AND(LEN(AF243)=0, LEN(AG243)=0), "", IF(AND(LEN(AF243)&gt;0, LEN(AG243)=0), "BLANCO", IFERROR(VLOOKUP(AG243, BasedatosM9!A:B, 2, FALSE), "BLANCO")))</f>
        <v/>
      </c>
      <c r="AU243" s="5" t="str">
        <f>IF(AND(LEN(AR243)=0, LEN(AS243)=0), "", IF(AND(LEN(AR243)&gt;0, LEN(AS243)=0), "BLANCO", IFERROR(VLOOKUP(AS243, BasedatosM9!A:B, 2, FALSE), "BLANCO")))</f>
        <v/>
      </c>
    </row>
    <row r="244" spans="1:47" ht="14.4">
      <c r="A244" s="21" t="s">
        <v>4767</v>
      </c>
      <c r="B244" s="86">
        <v>23910270</v>
      </c>
      <c r="C244" s="98">
        <v>45358</v>
      </c>
      <c r="D244" s="21" t="s">
        <v>4908</v>
      </c>
      <c r="E244" s="86">
        <v>0.13</v>
      </c>
      <c r="F244" s="99">
        <v>0.18124999999999999</v>
      </c>
      <c r="G244" s="99">
        <v>0.18680555555555556</v>
      </c>
      <c r="H244" s="21" t="s">
        <v>4551</v>
      </c>
      <c r="I244" s="86">
        <v>20009721</v>
      </c>
      <c r="J244" s="21" t="s">
        <v>79</v>
      </c>
      <c r="K244" s="5" t="str">
        <f>IF(AND(LEN(H244)=0, LEN(I244)=0), "", IF(AND(LEN(H244)&gt;0, LEN(I244)=0), "BLANCO", IFERROR(VLOOKUP(I244, BasedatosM9!A:B, 2, FALSE), "BLANCO")))</f>
        <v>Alejandro Davila</v>
      </c>
      <c r="W244" s="5" t="str">
        <f>IF(AND(LEN(T244)=0, LEN(U244)=0), "", IF(AND(LEN(T244)&gt;0, LEN(U244)=0), "BLANCO", IFERROR(VLOOKUP(U244, BasedatosM9!A:B, 2, FALSE), "BLANCO")))</f>
        <v/>
      </c>
      <c r="AI244" s="5" t="str">
        <f>IF(AND(LEN(AF244)=0, LEN(AG244)=0), "", IF(AND(LEN(AF244)&gt;0, LEN(AG244)=0), "BLANCO", IFERROR(VLOOKUP(AG244, BasedatosM9!A:B, 2, FALSE), "BLANCO")))</f>
        <v/>
      </c>
      <c r="AU244" s="5" t="str">
        <f>IF(AND(LEN(AR244)=0, LEN(AS244)=0), "", IF(AND(LEN(AR244)&gt;0, LEN(AS244)=0), "BLANCO", IFERROR(VLOOKUP(AS244, BasedatosM9!A:B, 2, FALSE), "BLANCO")))</f>
        <v/>
      </c>
    </row>
    <row r="245" spans="1:47" ht="14.4">
      <c r="A245" s="21" t="s">
        <v>4767</v>
      </c>
      <c r="B245" s="86">
        <v>23910299</v>
      </c>
      <c r="C245" s="98">
        <v>45358</v>
      </c>
      <c r="D245" s="21" t="s">
        <v>4909</v>
      </c>
      <c r="E245" s="86">
        <v>1.48</v>
      </c>
      <c r="F245" s="99">
        <v>0.16666666666666666</v>
      </c>
      <c r="G245" s="99">
        <v>0.22847222222222222</v>
      </c>
      <c r="H245" s="21" t="s">
        <v>4549</v>
      </c>
      <c r="I245" s="86">
        <v>20031098</v>
      </c>
      <c r="J245" s="21" t="s">
        <v>1471</v>
      </c>
      <c r="K245" s="5" t="str">
        <f>IF(AND(LEN(H245)=0, LEN(I245)=0), "", IF(AND(LEN(H245)&gt;0, LEN(I245)=0), "BLANCO", IFERROR(VLOOKUP(I245, BasedatosM9!A:B, 2, FALSE), "BLANCO")))</f>
        <v>Jonathan Lopez</v>
      </c>
      <c r="W245" s="5" t="str">
        <f>IF(AND(LEN(T245)=0, LEN(U245)=0), "", IF(AND(LEN(T245)&gt;0, LEN(U245)=0), "BLANCO", IFERROR(VLOOKUP(U245, BasedatosM9!A:B, 2, FALSE), "BLANCO")))</f>
        <v/>
      </c>
      <c r="AI245" s="5" t="str">
        <f>IF(AND(LEN(AF245)=0, LEN(AG245)=0), "", IF(AND(LEN(AF245)&gt;0, LEN(AG245)=0), "BLANCO", IFERROR(VLOOKUP(AG245, BasedatosM9!A:B, 2, FALSE), "BLANCO")))</f>
        <v/>
      </c>
      <c r="AU245" s="5" t="str">
        <f>IF(AND(LEN(AR245)=0, LEN(AS245)=0), "", IF(AND(LEN(AR245)&gt;0, LEN(AS245)=0), "BLANCO", IFERROR(VLOOKUP(AS245, BasedatosM9!A:B, 2, FALSE), "BLANCO")))</f>
        <v/>
      </c>
    </row>
    <row r="246" spans="1:47" ht="14.4">
      <c r="A246" s="21" t="s">
        <v>4767</v>
      </c>
      <c r="B246" s="86">
        <v>23910300</v>
      </c>
      <c r="C246" s="98">
        <v>45358</v>
      </c>
      <c r="D246" s="21" t="s">
        <v>4910</v>
      </c>
      <c r="E246" s="86">
        <v>0.08</v>
      </c>
      <c r="F246" s="99">
        <v>0.10902777777777778</v>
      </c>
      <c r="G246" s="99">
        <v>0.1125</v>
      </c>
      <c r="H246" s="21" t="s">
        <v>4550</v>
      </c>
      <c r="I246" s="86">
        <v>20043570</v>
      </c>
      <c r="J246" s="21" t="s">
        <v>79</v>
      </c>
      <c r="K246" s="5" t="str">
        <f>IF(AND(LEN(H246)=0, LEN(I246)=0), "", IF(AND(LEN(H246)&gt;0, LEN(I246)=0), "BLANCO", IFERROR(VLOOKUP(I246, BasedatosM9!A:B, 2, FALSE), "BLANCO")))</f>
        <v>Jhon Navas</v>
      </c>
      <c r="W246" s="5" t="str">
        <f>IF(AND(LEN(T246)=0, LEN(U246)=0), "", IF(AND(LEN(T246)&gt;0, LEN(U246)=0), "BLANCO", IFERROR(VLOOKUP(U246, BasedatosM9!A:B, 2, FALSE), "BLANCO")))</f>
        <v/>
      </c>
      <c r="AI246" s="5" t="str">
        <f>IF(AND(LEN(AF246)=0, LEN(AG246)=0), "", IF(AND(LEN(AF246)&gt;0, LEN(AG246)=0), "BLANCO", IFERROR(VLOOKUP(AG246, BasedatosM9!A:B, 2, FALSE), "BLANCO")))</f>
        <v/>
      </c>
      <c r="AU246" s="5" t="str">
        <f>IF(AND(LEN(AR246)=0, LEN(AS246)=0), "", IF(AND(LEN(AR246)&gt;0, LEN(AS246)=0), "BLANCO", IFERROR(VLOOKUP(AS246, BasedatosM9!A:B, 2, FALSE), "BLANCO")))</f>
        <v/>
      </c>
    </row>
    <row r="247" spans="1:47" ht="14.4">
      <c r="A247" s="21" t="s">
        <v>4742</v>
      </c>
      <c r="B247" s="86">
        <v>23911103</v>
      </c>
      <c r="C247" s="98">
        <v>45359</v>
      </c>
      <c r="D247" s="21" t="s">
        <v>4911</v>
      </c>
      <c r="E247" s="86">
        <v>0.25</v>
      </c>
      <c r="F247" s="99">
        <v>0.3576388888888889</v>
      </c>
      <c r="G247" s="99">
        <v>0.36805555555555558</v>
      </c>
      <c r="H247" s="21" t="s">
        <v>4553</v>
      </c>
      <c r="I247" s="21"/>
      <c r="J247" s="21" t="s">
        <v>4746</v>
      </c>
      <c r="K247" s="5" t="str">
        <f>IF(AND(LEN(H247)=0, LEN(I247)=0), "", IF(AND(LEN(H247)&gt;0, LEN(I247)=0), "BLANCO", IFERROR(VLOOKUP(I247, BasedatosM9!A:B, 2, FALSE), "BLANCO")))</f>
        <v>BLANCO</v>
      </c>
      <c r="W247" s="5" t="str">
        <f>IF(AND(LEN(T247)=0, LEN(U247)=0), "", IF(AND(LEN(T247)&gt;0, LEN(U247)=0), "BLANCO", IFERROR(VLOOKUP(U247, BasedatosM9!A:B, 2, FALSE), "BLANCO")))</f>
        <v/>
      </c>
      <c r="AI247" s="5" t="str">
        <f>IF(AND(LEN(AF247)=0, LEN(AG247)=0), "", IF(AND(LEN(AF247)&gt;0, LEN(AG247)=0), "BLANCO", IFERROR(VLOOKUP(AG247, BasedatosM9!A:B, 2, FALSE), "BLANCO")))</f>
        <v/>
      </c>
      <c r="AU247" s="5" t="str">
        <f>IF(AND(LEN(AR247)=0, LEN(AS247)=0), "", IF(AND(LEN(AR247)&gt;0, LEN(AS247)=0), "BLANCO", IFERROR(VLOOKUP(AS247, BasedatosM9!A:B, 2, FALSE), "BLANCO")))</f>
        <v/>
      </c>
    </row>
    <row r="248" spans="1:47" ht="14.4">
      <c r="A248" s="21" t="s">
        <v>4742</v>
      </c>
      <c r="B248" s="86">
        <v>23911104</v>
      </c>
      <c r="C248" s="98">
        <v>45359</v>
      </c>
      <c r="D248" s="21" t="s">
        <v>4912</v>
      </c>
      <c r="E248" s="86">
        <v>0.17</v>
      </c>
      <c r="F248" s="99">
        <v>0.36805555555555558</v>
      </c>
      <c r="G248" s="99">
        <v>0.375</v>
      </c>
      <c r="H248" s="21" t="s">
        <v>4553</v>
      </c>
      <c r="I248" s="21"/>
      <c r="J248" s="21" t="s">
        <v>4744</v>
      </c>
      <c r="K248" s="5" t="str">
        <f>IF(AND(LEN(H248)=0, LEN(I248)=0), "", IF(AND(LEN(H248)&gt;0, LEN(I248)=0), "BLANCO", IFERROR(VLOOKUP(I248, BasedatosM9!A:B, 2, FALSE), "BLANCO")))</f>
        <v>BLANCO</v>
      </c>
      <c r="W248" s="5" t="str">
        <f>IF(AND(LEN(T248)=0, LEN(U248)=0), "", IF(AND(LEN(T248)&gt;0, LEN(U248)=0), "BLANCO", IFERROR(VLOOKUP(U248, BasedatosM9!A:B, 2, FALSE), "BLANCO")))</f>
        <v/>
      </c>
      <c r="AI248" s="5" t="str">
        <f>IF(AND(LEN(AF248)=0, LEN(AG248)=0), "", IF(AND(LEN(AF248)&gt;0, LEN(AG248)=0), "BLANCO", IFERROR(VLOOKUP(AG248, BasedatosM9!A:B, 2, FALSE), "BLANCO")))</f>
        <v/>
      </c>
      <c r="AU248" s="5" t="str">
        <f>IF(AND(LEN(AR248)=0, LEN(AS248)=0), "", IF(AND(LEN(AR248)&gt;0, LEN(AS248)=0), "BLANCO", IFERROR(VLOOKUP(AS248, BasedatosM9!A:B, 2, FALSE), "BLANCO")))</f>
        <v/>
      </c>
    </row>
    <row r="249" spans="1:47" ht="14.4">
      <c r="A249" s="21" t="s">
        <v>4742</v>
      </c>
      <c r="B249" s="86">
        <v>23911146</v>
      </c>
      <c r="C249" s="98">
        <v>45359</v>
      </c>
      <c r="D249" s="21" t="s">
        <v>4784</v>
      </c>
      <c r="E249" s="86">
        <v>0.08</v>
      </c>
      <c r="F249" s="99">
        <v>0.35416666666666669</v>
      </c>
      <c r="G249" s="99">
        <v>0.3576388888888889</v>
      </c>
      <c r="H249" s="21" t="s">
        <v>4551</v>
      </c>
      <c r="I249" s="21"/>
      <c r="J249" s="21" t="s">
        <v>4773</v>
      </c>
      <c r="K249" s="5" t="str">
        <f>IF(AND(LEN(H249)=0, LEN(I249)=0), "", IF(AND(LEN(H249)&gt;0, LEN(I249)=0), "BLANCO", IFERROR(VLOOKUP(I249, BasedatosM9!A:B, 2, FALSE), "BLANCO")))</f>
        <v>BLANCO</v>
      </c>
      <c r="W249" s="5" t="str">
        <f>IF(AND(LEN(T249)=0, LEN(U249)=0), "", IF(AND(LEN(T249)&gt;0, LEN(U249)=0), "BLANCO", IFERROR(VLOOKUP(U249, BasedatosM9!A:B, 2, FALSE), "BLANCO")))</f>
        <v/>
      </c>
      <c r="AI249" s="5" t="str">
        <f>IF(AND(LEN(AF249)=0, LEN(AG249)=0), "", IF(AND(LEN(AF249)&gt;0, LEN(AG249)=0), "BLANCO", IFERROR(VLOOKUP(AG249, BasedatosM9!A:B, 2, FALSE), "BLANCO")))</f>
        <v/>
      </c>
      <c r="AU249" s="5" t="str">
        <f>IF(AND(LEN(AR249)=0, LEN(AS249)=0), "", IF(AND(LEN(AR249)&gt;0, LEN(AS249)=0), "BLANCO", IFERROR(VLOOKUP(AS249, BasedatosM9!A:B, 2, FALSE), "BLANCO")))</f>
        <v/>
      </c>
    </row>
    <row r="250" spans="1:47" ht="14.4">
      <c r="A250" s="21" t="s">
        <v>4742</v>
      </c>
      <c r="B250" s="86">
        <v>23911147</v>
      </c>
      <c r="C250" s="98">
        <v>45359</v>
      </c>
      <c r="D250" s="21" t="s">
        <v>4898</v>
      </c>
      <c r="E250" s="86">
        <v>0.13</v>
      </c>
      <c r="F250" s="99">
        <v>0.40972222222222227</v>
      </c>
      <c r="G250" s="99">
        <v>0.4152777777777778</v>
      </c>
      <c r="H250" s="21" t="s">
        <v>4551</v>
      </c>
      <c r="I250" s="86">
        <v>20010075</v>
      </c>
      <c r="J250" s="21" t="s">
        <v>2797</v>
      </c>
      <c r="K250" s="5" t="str">
        <f>IF(AND(LEN(H250)=0, LEN(I250)=0), "", IF(AND(LEN(H250)&gt;0, LEN(I250)=0), "BLANCO", IFERROR(VLOOKUP(I250, BasedatosM9!A:B, 2, FALSE), "BLANCO")))</f>
        <v>Diego Pedroza</v>
      </c>
      <c r="W250" s="5" t="str">
        <f>IF(AND(LEN(T250)=0, LEN(U250)=0), "", IF(AND(LEN(T250)&gt;0, LEN(U250)=0), "BLANCO", IFERROR(VLOOKUP(U250, BasedatosM9!A:B, 2, FALSE), "BLANCO")))</f>
        <v/>
      </c>
      <c r="AI250" s="5" t="str">
        <f>IF(AND(LEN(AF250)=0, LEN(AG250)=0), "", IF(AND(LEN(AF250)&gt;0, LEN(AG250)=0), "BLANCO", IFERROR(VLOOKUP(AG250, BasedatosM9!A:B, 2, FALSE), "BLANCO")))</f>
        <v/>
      </c>
      <c r="AU250" s="5" t="str">
        <f>IF(AND(LEN(AR250)=0, LEN(AS250)=0), "", IF(AND(LEN(AR250)&gt;0, LEN(AS250)=0), "BLANCO", IFERROR(VLOOKUP(AS250, BasedatosM9!A:B, 2, FALSE), "BLANCO")))</f>
        <v/>
      </c>
    </row>
    <row r="251" spans="1:47" ht="14.4">
      <c r="A251" s="21" t="s">
        <v>4742</v>
      </c>
      <c r="B251" s="86">
        <v>23911184</v>
      </c>
      <c r="C251" s="98">
        <v>45359</v>
      </c>
      <c r="D251" s="21" t="s">
        <v>4910</v>
      </c>
      <c r="E251" s="86">
        <v>5.08</v>
      </c>
      <c r="F251" s="99">
        <v>0.22916666666666666</v>
      </c>
      <c r="G251" s="99">
        <v>0.44097222222222227</v>
      </c>
      <c r="H251" s="21" t="s">
        <v>4550</v>
      </c>
      <c r="I251" s="21"/>
      <c r="J251" s="21" t="s">
        <v>79</v>
      </c>
      <c r="K251" s="5" t="str">
        <f>IF(AND(LEN(H251)=0, LEN(I251)=0), "", IF(AND(LEN(H251)&gt;0, LEN(I251)=0), "BLANCO", IFERROR(VLOOKUP(I251, BasedatosM9!A:B, 2, FALSE), "BLANCO")))</f>
        <v>BLANCO</v>
      </c>
      <c r="W251" s="5" t="str">
        <f>IF(AND(LEN(T251)=0, LEN(U251)=0), "", IF(AND(LEN(T251)&gt;0, LEN(U251)=0), "BLANCO", IFERROR(VLOOKUP(U251, BasedatosM9!A:B, 2, FALSE), "BLANCO")))</f>
        <v/>
      </c>
      <c r="AI251" s="5" t="str">
        <f>IF(AND(LEN(AF251)=0, LEN(AG251)=0), "", IF(AND(LEN(AF251)&gt;0, LEN(AG251)=0), "BLANCO", IFERROR(VLOOKUP(AG251, BasedatosM9!A:B, 2, FALSE), "BLANCO")))</f>
        <v/>
      </c>
      <c r="AU251" s="5" t="str">
        <f>IF(AND(LEN(AR251)=0, LEN(AS251)=0), "", IF(AND(LEN(AR251)&gt;0, LEN(AS251)=0), "BLANCO", IFERROR(VLOOKUP(AS251, BasedatosM9!A:B, 2, FALSE), "BLANCO")))</f>
        <v/>
      </c>
    </row>
    <row r="252" spans="1:47" ht="14.4">
      <c r="A252" s="21" t="s">
        <v>4742</v>
      </c>
      <c r="B252" s="86">
        <v>23911328</v>
      </c>
      <c r="C252" s="98">
        <v>45359</v>
      </c>
      <c r="D252" s="21" t="s">
        <v>4784</v>
      </c>
      <c r="E252" s="86">
        <v>0.12</v>
      </c>
      <c r="F252" s="99">
        <v>0.45902777777777781</v>
      </c>
      <c r="G252" s="99">
        <v>0.46388888888888885</v>
      </c>
      <c r="H252" s="21" t="s">
        <v>4551</v>
      </c>
      <c r="I252" s="86">
        <v>20082152</v>
      </c>
      <c r="J252" s="21" t="s">
        <v>4773</v>
      </c>
      <c r="K252" s="5" t="str">
        <f>IF(AND(LEN(H252)=0, LEN(I252)=0), "", IF(AND(LEN(H252)&gt;0, LEN(I252)=0), "BLANCO", IFERROR(VLOOKUP(I252, BasedatosM9!A:B, 2, FALSE), "BLANCO")))</f>
        <v>Ferney Ramos</v>
      </c>
      <c r="W252" s="5" t="str">
        <f>IF(AND(LEN(T252)=0, LEN(U252)=0), "", IF(AND(LEN(T252)&gt;0, LEN(U252)=0), "BLANCO", IFERROR(VLOOKUP(U252, BasedatosM9!A:B, 2, FALSE), "BLANCO")))</f>
        <v/>
      </c>
      <c r="AI252" s="5" t="str">
        <f>IF(AND(LEN(AF252)=0, LEN(AG252)=0), "", IF(AND(LEN(AF252)&gt;0, LEN(AG252)=0), "BLANCO", IFERROR(VLOOKUP(AG252, BasedatosM9!A:B, 2, FALSE), "BLANCO")))</f>
        <v/>
      </c>
      <c r="AU252" s="5" t="str">
        <f>IF(AND(LEN(AR252)=0, LEN(AS252)=0), "", IF(AND(LEN(AR252)&gt;0, LEN(AS252)=0), "BLANCO", IFERROR(VLOOKUP(AS252, BasedatosM9!A:B, 2, FALSE), "BLANCO")))</f>
        <v/>
      </c>
    </row>
    <row r="253" spans="1:47" ht="14.4">
      <c r="A253" s="21" t="s">
        <v>4742</v>
      </c>
      <c r="B253" s="86">
        <v>23911343</v>
      </c>
      <c r="C253" s="98">
        <v>45359</v>
      </c>
      <c r="D253" s="21" t="s">
        <v>4913</v>
      </c>
      <c r="E253" s="86">
        <v>0.72</v>
      </c>
      <c r="F253" s="99">
        <v>0.5</v>
      </c>
      <c r="G253" s="99">
        <v>0.52986111111111112</v>
      </c>
      <c r="H253" s="21" t="s">
        <v>4550</v>
      </c>
      <c r="I253" s="21"/>
      <c r="J253" s="21" t="s">
        <v>79</v>
      </c>
      <c r="K253" s="5" t="str">
        <f>IF(AND(LEN(H253)=0, LEN(I253)=0), "", IF(AND(LEN(H253)&gt;0, LEN(I253)=0), "BLANCO", IFERROR(VLOOKUP(I253, BasedatosM9!A:B, 2, FALSE), "BLANCO")))</f>
        <v>BLANCO</v>
      </c>
      <c r="W253" s="5" t="str">
        <f>IF(AND(LEN(T253)=0, LEN(U253)=0), "", IF(AND(LEN(T253)&gt;0, LEN(U253)=0), "BLANCO", IFERROR(VLOOKUP(U253, BasedatosM9!A:B, 2, FALSE), "BLANCO")))</f>
        <v/>
      </c>
      <c r="AI253" s="5" t="str">
        <f>IF(AND(LEN(AF253)=0, LEN(AG253)=0), "", IF(AND(LEN(AF253)&gt;0, LEN(AG253)=0), "BLANCO", IFERROR(VLOOKUP(AG253, BasedatosM9!A:B, 2, FALSE), "BLANCO")))</f>
        <v/>
      </c>
      <c r="AU253" s="5" t="str">
        <f>IF(AND(LEN(AR253)=0, LEN(AS253)=0), "", IF(AND(LEN(AR253)&gt;0, LEN(AS253)=0), "BLANCO", IFERROR(VLOOKUP(AS253, BasedatosM9!A:B, 2, FALSE), "BLANCO")))</f>
        <v/>
      </c>
    </row>
    <row r="254" spans="1:47" ht="14.4">
      <c r="A254" s="21" t="s">
        <v>4742</v>
      </c>
      <c r="B254" s="86">
        <v>23911383</v>
      </c>
      <c r="C254" s="98">
        <v>45359</v>
      </c>
      <c r="D254" s="21" t="s">
        <v>4914</v>
      </c>
      <c r="E254" s="86">
        <v>0.17</v>
      </c>
      <c r="F254" s="99">
        <v>0.25</v>
      </c>
      <c r="G254" s="99">
        <v>0.25694444444444448</v>
      </c>
      <c r="H254" s="21" t="s">
        <v>4549</v>
      </c>
      <c r="I254" s="86">
        <v>20075520</v>
      </c>
      <c r="J254" s="21" t="s">
        <v>1471</v>
      </c>
      <c r="K254" s="5" t="str">
        <f>IF(AND(LEN(H254)=0, LEN(I254)=0), "", IF(AND(LEN(H254)&gt;0, LEN(I254)=0), "BLANCO", IFERROR(VLOOKUP(I254, BasedatosM9!A:B, 2, FALSE), "BLANCO")))</f>
        <v>Andres Mesa</v>
      </c>
      <c r="W254" s="5" t="str">
        <f>IF(AND(LEN(T254)=0, LEN(U254)=0), "", IF(AND(LEN(T254)&gt;0, LEN(U254)=0), "BLANCO", IFERROR(VLOOKUP(U254, BasedatosM9!A:B, 2, FALSE), "BLANCO")))</f>
        <v/>
      </c>
      <c r="AI254" s="5" t="str">
        <f>IF(AND(LEN(AF254)=0, LEN(AG254)=0), "", IF(AND(LEN(AF254)&gt;0, LEN(AG254)=0), "BLANCO", IFERROR(VLOOKUP(AG254, BasedatosM9!A:B, 2, FALSE), "BLANCO")))</f>
        <v/>
      </c>
      <c r="AU254" s="5" t="str">
        <f>IF(AND(LEN(AR254)=0, LEN(AS254)=0), "", IF(AND(LEN(AR254)&gt;0, LEN(AS254)=0), "BLANCO", IFERROR(VLOOKUP(AS254, BasedatosM9!A:B, 2, FALSE), "BLANCO")))</f>
        <v/>
      </c>
    </row>
    <row r="255" spans="1:47" ht="14.4">
      <c r="A255" s="21" t="s">
        <v>4742</v>
      </c>
      <c r="B255" s="86">
        <v>23911399</v>
      </c>
      <c r="C255" s="98">
        <v>45359</v>
      </c>
      <c r="D255" s="21" t="s">
        <v>4829</v>
      </c>
      <c r="E255" s="86">
        <v>0.18</v>
      </c>
      <c r="F255" s="99">
        <v>0.55902777777777779</v>
      </c>
      <c r="G255" s="99">
        <v>0.56666666666666665</v>
      </c>
      <c r="H255" s="21" t="s">
        <v>4764</v>
      </c>
      <c r="I255" s="86">
        <v>20009822</v>
      </c>
      <c r="J255" s="21" t="s">
        <v>2714</v>
      </c>
      <c r="K255" s="5" t="str">
        <f>IF(AND(LEN(H255)=0, LEN(I255)=0), "", IF(AND(LEN(H255)&gt;0, LEN(I255)=0), "BLANCO", IFERROR(VLOOKUP(I255, BasedatosM9!A:B, 2, FALSE), "BLANCO")))</f>
        <v>Guzman Palechor Miguel Angel</v>
      </c>
      <c r="W255" s="5" t="str">
        <f>IF(AND(LEN(T255)=0, LEN(U255)=0), "", IF(AND(LEN(T255)&gt;0, LEN(U255)=0), "BLANCO", IFERROR(VLOOKUP(U255, BasedatosM9!A:B, 2, FALSE), "BLANCO")))</f>
        <v/>
      </c>
      <c r="AI255" s="5" t="str">
        <f>IF(AND(LEN(AF255)=0, LEN(AG255)=0), "", IF(AND(LEN(AF255)&gt;0, LEN(AG255)=0), "BLANCO", IFERROR(VLOOKUP(AG255, BasedatosM9!A:B, 2, FALSE), "BLANCO")))</f>
        <v/>
      </c>
      <c r="AU255" s="5" t="str">
        <f>IF(AND(LEN(AR255)=0, LEN(AS255)=0), "", IF(AND(LEN(AR255)&gt;0, LEN(AS255)=0), "BLANCO", IFERROR(VLOOKUP(AS255, BasedatosM9!A:B, 2, FALSE), "BLANCO")))</f>
        <v/>
      </c>
    </row>
    <row r="256" spans="1:47" ht="14.4">
      <c r="A256" s="21" t="s">
        <v>4742</v>
      </c>
      <c r="B256" s="86">
        <v>23911501</v>
      </c>
      <c r="C256" s="98">
        <v>45359</v>
      </c>
      <c r="D256" s="21" t="s">
        <v>4915</v>
      </c>
      <c r="E256" s="86">
        <v>0.08</v>
      </c>
      <c r="F256" s="99">
        <v>0.55972222222222223</v>
      </c>
      <c r="G256" s="99">
        <v>0.56319444444444444</v>
      </c>
      <c r="H256" s="21" t="s">
        <v>4549</v>
      </c>
      <c r="I256" s="86">
        <v>20079805</v>
      </c>
      <c r="J256" s="21" t="s">
        <v>4753</v>
      </c>
      <c r="K256" s="5" t="str">
        <f>IF(AND(LEN(H256)=0, LEN(I256)=0), "", IF(AND(LEN(H256)&gt;0, LEN(I256)=0), "BLANCO", IFERROR(VLOOKUP(I256, BasedatosM9!A:B, 2, FALSE), "BLANCO")))</f>
        <v>Jhonnys Fernandez</v>
      </c>
      <c r="W256" s="5" t="str">
        <f>IF(AND(LEN(T256)=0, LEN(U256)=0), "", IF(AND(LEN(T256)&gt;0, LEN(U256)=0), "BLANCO", IFERROR(VLOOKUP(U256, BasedatosM9!A:B, 2, FALSE), "BLANCO")))</f>
        <v/>
      </c>
      <c r="AI256" s="5" t="str">
        <f>IF(AND(LEN(AF256)=0, LEN(AG256)=0), "", IF(AND(LEN(AF256)&gt;0, LEN(AG256)=0), "BLANCO", IFERROR(VLOOKUP(AG256, BasedatosM9!A:B, 2, FALSE), "BLANCO")))</f>
        <v/>
      </c>
      <c r="AU256" s="5" t="str">
        <f>IF(AND(LEN(AR256)=0, LEN(AS256)=0), "", IF(AND(LEN(AR256)&gt;0, LEN(AS256)=0), "BLANCO", IFERROR(VLOOKUP(AS256, BasedatosM9!A:B, 2, FALSE), "BLANCO")))</f>
        <v/>
      </c>
    </row>
    <row r="257" spans="1:47" ht="14.4">
      <c r="A257" s="21" t="s">
        <v>4757</v>
      </c>
      <c r="B257" s="86">
        <v>23911825</v>
      </c>
      <c r="C257" s="98">
        <v>45359</v>
      </c>
      <c r="D257" s="21" t="s">
        <v>4916</v>
      </c>
      <c r="E257" s="86">
        <v>0.25</v>
      </c>
      <c r="F257" s="99">
        <v>0.61111111111111105</v>
      </c>
      <c r="G257" s="99">
        <v>0.62152777777777779</v>
      </c>
      <c r="H257" s="21" t="s">
        <v>4551</v>
      </c>
      <c r="I257" s="86">
        <v>20075387</v>
      </c>
      <c r="J257" s="21" t="s">
        <v>79</v>
      </c>
      <c r="K257" s="5" t="str">
        <f>IF(AND(LEN(H257)=0, LEN(I257)=0), "", IF(AND(LEN(H257)&gt;0, LEN(I257)=0), "BLANCO", IFERROR(VLOOKUP(I257, BasedatosM9!A:B, 2, FALSE), "BLANCO")))</f>
        <v>Cristian Suaza</v>
      </c>
      <c r="W257" s="5" t="str">
        <f>IF(AND(LEN(T257)=0, LEN(U257)=0), "", IF(AND(LEN(T257)&gt;0, LEN(U257)=0), "BLANCO", IFERROR(VLOOKUP(U257, BasedatosM9!A:B, 2, FALSE), "BLANCO")))</f>
        <v/>
      </c>
      <c r="AI257" s="5" t="str">
        <f>IF(AND(LEN(AF257)=0, LEN(AG257)=0), "", IF(AND(LEN(AF257)&gt;0, LEN(AG257)=0), "BLANCO", IFERROR(VLOOKUP(AG257, BasedatosM9!A:B, 2, FALSE), "BLANCO")))</f>
        <v/>
      </c>
      <c r="AU257" s="5" t="str">
        <f>IF(AND(LEN(AR257)=0, LEN(AS257)=0), "", IF(AND(LEN(AR257)&gt;0, LEN(AS257)=0), "BLANCO", IFERROR(VLOOKUP(AS257, BasedatosM9!A:B, 2, FALSE), "BLANCO")))</f>
        <v/>
      </c>
    </row>
    <row r="258" spans="1:47" ht="14.4">
      <c r="A258" s="21" t="s">
        <v>4757</v>
      </c>
      <c r="B258" s="86">
        <v>23911826</v>
      </c>
      <c r="C258" s="98">
        <v>45359</v>
      </c>
      <c r="D258" s="21" t="s">
        <v>4917</v>
      </c>
      <c r="E258" s="86">
        <v>0.33</v>
      </c>
      <c r="F258" s="99">
        <v>0.62152777777777779</v>
      </c>
      <c r="G258" s="99">
        <v>0.63541666666666663</v>
      </c>
      <c r="H258" s="21" t="s">
        <v>4551</v>
      </c>
      <c r="I258" s="86">
        <v>20075387</v>
      </c>
      <c r="J258" s="21" t="s">
        <v>4746</v>
      </c>
      <c r="K258" s="5" t="str">
        <f>IF(AND(LEN(H258)=0, LEN(I258)=0), "", IF(AND(LEN(H258)&gt;0, LEN(I258)=0), "BLANCO", IFERROR(VLOOKUP(I258, BasedatosM9!A:B, 2, FALSE), "BLANCO")))</f>
        <v>Cristian Suaza</v>
      </c>
      <c r="W258" s="5" t="str">
        <f>IF(AND(LEN(T258)=0, LEN(U258)=0), "", IF(AND(LEN(T258)&gt;0, LEN(U258)=0), "BLANCO", IFERROR(VLOOKUP(U258, BasedatosM9!A:B, 2, FALSE), "BLANCO")))</f>
        <v/>
      </c>
      <c r="AI258" s="5" t="str">
        <f>IF(AND(LEN(AF258)=0, LEN(AG258)=0), "", IF(AND(LEN(AF258)&gt;0, LEN(AG258)=0), "BLANCO", IFERROR(VLOOKUP(AG258, BasedatosM9!A:B, 2, FALSE), "BLANCO")))</f>
        <v/>
      </c>
      <c r="AU258" s="5" t="str">
        <f>IF(AND(LEN(AR258)=0, LEN(AS258)=0), "", IF(AND(LEN(AR258)&gt;0, LEN(AS258)=0), "BLANCO", IFERROR(VLOOKUP(AS258, BasedatosM9!A:B, 2, FALSE), "BLANCO")))</f>
        <v/>
      </c>
    </row>
    <row r="259" spans="1:47" ht="14.4">
      <c r="A259" s="21" t="s">
        <v>4757</v>
      </c>
      <c r="B259" s="86">
        <v>23911827</v>
      </c>
      <c r="C259" s="98">
        <v>45359</v>
      </c>
      <c r="D259" s="21" t="s">
        <v>4918</v>
      </c>
      <c r="E259" s="86">
        <v>0.17</v>
      </c>
      <c r="F259" s="99">
        <v>0.63541666666666663</v>
      </c>
      <c r="G259" s="99">
        <v>0.64236111111111105</v>
      </c>
      <c r="H259" s="21" t="s">
        <v>4551</v>
      </c>
      <c r="I259" s="86">
        <v>20019987</v>
      </c>
      <c r="J259" s="21" t="s">
        <v>4744</v>
      </c>
      <c r="K259" s="5" t="str">
        <f>IF(AND(LEN(H259)=0, LEN(I259)=0), "", IF(AND(LEN(H259)&gt;0, LEN(I259)=0), "BLANCO", IFERROR(VLOOKUP(I259, BasedatosM9!A:B, 2, FALSE), "BLANCO")))</f>
        <v>Aguado Lemos Luis Eyder</v>
      </c>
      <c r="W259" s="5" t="str">
        <f>IF(AND(LEN(T259)=0, LEN(U259)=0), "", IF(AND(LEN(T259)&gt;0, LEN(U259)=0), "BLANCO", IFERROR(VLOOKUP(U259, BasedatosM9!A:B, 2, FALSE), "BLANCO")))</f>
        <v/>
      </c>
      <c r="AI259" s="5" t="str">
        <f>IF(AND(LEN(AF259)=0, LEN(AG259)=0), "", IF(AND(LEN(AF259)&gt;0, LEN(AG259)=0), "BLANCO", IFERROR(VLOOKUP(AG259, BasedatosM9!A:B, 2, FALSE), "BLANCO")))</f>
        <v/>
      </c>
      <c r="AU259" s="5" t="str">
        <f>IF(AND(LEN(AR259)=0, LEN(AS259)=0), "", IF(AND(LEN(AR259)&gt;0, LEN(AS259)=0), "BLANCO", IFERROR(VLOOKUP(AS259, BasedatosM9!A:B, 2, FALSE), "BLANCO")))</f>
        <v/>
      </c>
    </row>
    <row r="260" spans="1:47" ht="14.4">
      <c r="A260" s="21" t="s">
        <v>4757</v>
      </c>
      <c r="B260" s="86">
        <v>23911831</v>
      </c>
      <c r="C260" s="98">
        <v>45359</v>
      </c>
      <c r="D260" s="21" t="s">
        <v>4919</v>
      </c>
      <c r="E260" s="86">
        <v>0.93</v>
      </c>
      <c r="F260" s="99">
        <v>0.68194444444444446</v>
      </c>
      <c r="G260" s="99">
        <v>0.72083333333333333</v>
      </c>
      <c r="H260" s="21" t="s">
        <v>4551</v>
      </c>
      <c r="I260" s="86">
        <v>20075387</v>
      </c>
      <c r="J260" s="21" t="s">
        <v>79</v>
      </c>
      <c r="K260" s="5" t="str">
        <f>IF(AND(LEN(H260)=0, LEN(I260)=0), "", IF(AND(LEN(H260)&gt;0, LEN(I260)=0), "BLANCO", IFERROR(VLOOKUP(I260, BasedatosM9!A:B, 2, FALSE), "BLANCO")))</f>
        <v>Cristian Suaza</v>
      </c>
      <c r="W260" s="5" t="str">
        <f>IF(AND(LEN(T260)=0, LEN(U260)=0), "", IF(AND(LEN(T260)&gt;0, LEN(U260)=0), "BLANCO", IFERROR(VLOOKUP(U260, BasedatosM9!A:B, 2, FALSE), "BLANCO")))</f>
        <v/>
      </c>
      <c r="AI260" s="5" t="str">
        <f>IF(AND(LEN(AF260)=0, LEN(AG260)=0), "", IF(AND(LEN(AF260)&gt;0, LEN(AG260)=0), "BLANCO", IFERROR(VLOOKUP(AG260, BasedatosM9!A:B, 2, FALSE), "BLANCO")))</f>
        <v/>
      </c>
      <c r="AU260" s="5" t="str">
        <f>IF(AND(LEN(AR260)=0, LEN(AS260)=0), "", IF(AND(LEN(AR260)&gt;0, LEN(AS260)=0), "BLANCO", IFERROR(VLOOKUP(AS260, BasedatosM9!A:B, 2, FALSE), "BLANCO")))</f>
        <v/>
      </c>
    </row>
    <row r="261" spans="1:47" ht="14.4">
      <c r="A261" s="21" t="s">
        <v>4757</v>
      </c>
      <c r="B261" s="86">
        <v>23911883</v>
      </c>
      <c r="C261" s="98">
        <v>45359</v>
      </c>
      <c r="D261" s="21" t="s">
        <v>4778</v>
      </c>
      <c r="E261" s="86">
        <v>0.1</v>
      </c>
      <c r="F261" s="99">
        <v>0.72083333333333333</v>
      </c>
      <c r="G261" s="99">
        <v>0.72499999999999998</v>
      </c>
      <c r="H261" s="21" t="s">
        <v>4551</v>
      </c>
      <c r="I261" s="86">
        <v>20075387</v>
      </c>
      <c r="J261" s="21" t="s">
        <v>4746</v>
      </c>
      <c r="K261" s="5" t="str">
        <f>IF(AND(LEN(H261)=0, LEN(I261)=0), "", IF(AND(LEN(H261)&gt;0, LEN(I261)=0), "BLANCO", IFERROR(VLOOKUP(I261, BasedatosM9!A:B, 2, FALSE), "BLANCO")))</f>
        <v>Cristian Suaza</v>
      </c>
      <c r="W261" s="5" t="str">
        <f>IF(AND(LEN(T261)=0, LEN(U261)=0), "", IF(AND(LEN(T261)&gt;0, LEN(U261)=0), "BLANCO", IFERROR(VLOOKUP(U261, BasedatosM9!A:B, 2, FALSE), "BLANCO")))</f>
        <v/>
      </c>
      <c r="AI261" s="5" t="str">
        <f>IF(AND(LEN(AF261)=0, LEN(AG261)=0), "", IF(AND(LEN(AF261)&gt;0, LEN(AG261)=0), "BLANCO", IFERROR(VLOOKUP(AG261, BasedatosM9!A:B, 2, FALSE), "BLANCO")))</f>
        <v/>
      </c>
      <c r="AU261" s="5" t="str">
        <f>IF(AND(LEN(AR261)=0, LEN(AS261)=0), "", IF(AND(LEN(AR261)&gt;0, LEN(AS261)=0), "BLANCO", IFERROR(VLOOKUP(AS261, BasedatosM9!A:B, 2, FALSE), "BLANCO")))</f>
        <v/>
      </c>
    </row>
    <row r="262" spans="1:47" ht="14.4">
      <c r="A262" s="21" t="s">
        <v>4757</v>
      </c>
      <c r="B262" s="86">
        <v>23911885</v>
      </c>
      <c r="C262" s="98">
        <v>45359</v>
      </c>
      <c r="D262" s="21" t="s">
        <v>4808</v>
      </c>
      <c r="E262" s="86">
        <v>0.1</v>
      </c>
      <c r="F262" s="99">
        <v>0.72499999999999998</v>
      </c>
      <c r="G262" s="99">
        <v>0.72916666666666663</v>
      </c>
      <c r="H262" s="21" t="s">
        <v>4551</v>
      </c>
      <c r="I262" s="86">
        <v>20009915</v>
      </c>
      <c r="J262" s="21" t="s">
        <v>4744</v>
      </c>
      <c r="K262" s="5" t="str">
        <f>IF(AND(LEN(H262)=0, LEN(I262)=0), "", IF(AND(LEN(H262)&gt;0, LEN(I262)=0), "BLANCO", IFERROR(VLOOKUP(I262, BasedatosM9!A:B, 2, FALSE), "BLANCO")))</f>
        <v>Lozano Delgado Fausto Andres</v>
      </c>
      <c r="W262" s="5" t="str">
        <f>IF(AND(LEN(T262)=0, LEN(U262)=0), "", IF(AND(LEN(T262)&gt;0, LEN(U262)=0), "BLANCO", IFERROR(VLOOKUP(U262, BasedatosM9!A:B, 2, FALSE), "BLANCO")))</f>
        <v/>
      </c>
      <c r="AI262" s="5" t="str">
        <f>IF(AND(LEN(AF262)=0, LEN(AG262)=0), "", IF(AND(LEN(AF262)&gt;0, LEN(AG262)=0), "BLANCO", IFERROR(VLOOKUP(AG262, BasedatosM9!A:B, 2, FALSE), "BLANCO")))</f>
        <v/>
      </c>
      <c r="AU262" s="5" t="str">
        <f>IF(AND(LEN(AR262)=0, LEN(AS262)=0), "", IF(AND(LEN(AR262)&gt;0, LEN(AS262)=0), "BLANCO", IFERROR(VLOOKUP(AS262, BasedatosM9!A:B, 2, FALSE), "BLANCO")))</f>
        <v/>
      </c>
    </row>
    <row r="263" spans="1:47" ht="14.4">
      <c r="A263" s="21" t="s">
        <v>4757</v>
      </c>
      <c r="B263" s="86">
        <v>23911899</v>
      </c>
      <c r="C263" s="98">
        <v>45359</v>
      </c>
      <c r="D263" s="21" t="s">
        <v>4782</v>
      </c>
      <c r="E263" s="86">
        <v>0.13</v>
      </c>
      <c r="F263" s="99">
        <v>0.75694444444444453</v>
      </c>
      <c r="G263" s="99">
        <v>0.76250000000000007</v>
      </c>
      <c r="H263" s="21" t="s">
        <v>4551</v>
      </c>
      <c r="I263" s="86">
        <v>20009915</v>
      </c>
      <c r="J263" s="21" t="s">
        <v>1471</v>
      </c>
      <c r="K263" s="5" t="str">
        <f>IF(AND(LEN(H263)=0, LEN(I263)=0), "", IF(AND(LEN(H263)&gt;0, LEN(I263)=0), "BLANCO", IFERROR(VLOOKUP(I263, BasedatosM9!A:B, 2, FALSE), "BLANCO")))</f>
        <v>Lozano Delgado Fausto Andres</v>
      </c>
      <c r="W263" s="5" t="str">
        <f>IF(AND(LEN(T263)=0, LEN(U263)=0), "", IF(AND(LEN(T263)&gt;0, LEN(U263)=0), "BLANCO", IFERROR(VLOOKUP(U263, BasedatosM9!A:B, 2, FALSE), "BLANCO")))</f>
        <v/>
      </c>
      <c r="AI263" s="5" t="str">
        <f>IF(AND(LEN(AF263)=0, LEN(AG263)=0), "", IF(AND(LEN(AF263)&gt;0, LEN(AG263)=0), "BLANCO", IFERROR(VLOOKUP(AG263, BasedatosM9!A:B, 2, FALSE), "BLANCO")))</f>
        <v/>
      </c>
      <c r="AU263" s="5" t="str">
        <f>IF(AND(LEN(AR263)=0, LEN(AS263)=0), "", IF(AND(LEN(AR263)&gt;0, LEN(AS263)=0), "BLANCO", IFERROR(VLOOKUP(AS263, BasedatosM9!A:B, 2, FALSE), "BLANCO")))</f>
        <v/>
      </c>
    </row>
    <row r="264" spans="1:47" ht="14.4">
      <c r="A264" s="21" t="s">
        <v>4757</v>
      </c>
      <c r="B264" s="86">
        <v>23911913</v>
      </c>
      <c r="C264" s="98">
        <v>45359</v>
      </c>
      <c r="D264" s="21" t="s">
        <v>4920</v>
      </c>
      <c r="E264" s="86">
        <v>0.45</v>
      </c>
      <c r="F264" s="99">
        <v>0.78472222222222221</v>
      </c>
      <c r="G264" s="99">
        <v>0.80347222222222225</v>
      </c>
      <c r="H264" s="21" t="s">
        <v>4551</v>
      </c>
      <c r="I264" s="86">
        <v>20075387</v>
      </c>
      <c r="J264" s="21" t="s">
        <v>79</v>
      </c>
      <c r="K264" s="5" t="str">
        <f>IF(AND(LEN(H264)=0, LEN(I264)=0), "", IF(AND(LEN(H264)&gt;0, LEN(I264)=0), "BLANCO", IFERROR(VLOOKUP(I264, BasedatosM9!A:B, 2, FALSE), "BLANCO")))</f>
        <v>Cristian Suaza</v>
      </c>
      <c r="W264" s="5" t="str">
        <f>IF(AND(LEN(T264)=0, LEN(U264)=0), "", IF(AND(LEN(T264)&gt;0, LEN(U264)=0), "BLANCO", IFERROR(VLOOKUP(U264, BasedatosM9!A:B, 2, FALSE), "BLANCO")))</f>
        <v/>
      </c>
      <c r="AI264" s="5" t="str">
        <f>IF(AND(LEN(AF264)=0, LEN(AG264)=0), "", IF(AND(LEN(AF264)&gt;0, LEN(AG264)=0), "BLANCO", IFERROR(VLOOKUP(AG264, BasedatosM9!A:B, 2, FALSE), "BLANCO")))</f>
        <v/>
      </c>
      <c r="AU264" s="5" t="str">
        <f>IF(AND(LEN(AR264)=0, LEN(AS264)=0), "", IF(AND(LEN(AR264)&gt;0, LEN(AS264)=0), "BLANCO", IFERROR(VLOOKUP(AS264, BasedatosM9!A:B, 2, FALSE), "BLANCO")))</f>
        <v/>
      </c>
    </row>
    <row r="265" spans="1:47" ht="14.4">
      <c r="A265" s="21" t="s">
        <v>4757</v>
      </c>
      <c r="B265" s="86">
        <v>23911928</v>
      </c>
      <c r="C265" s="98">
        <v>45359</v>
      </c>
      <c r="D265" s="21" t="s">
        <v>4921</v>
      </c>
      <c r="E265" s="86">
        <v>0.67</v>
      </c>
      <c r="F265" s="99">
        <v>0.58333333333333337</v>
      </c>
      <c r="G265" s="99">
        <v>0.61111111111111105</v>
      </c>
      <c r="H265" s="21" t="s">
        <v>4550</v>
      </c>
      <c r="I265" s="86">
        <v>20031425</v>
      </c>
      <c r="J265" s="21" t="s">
        <v>79</v>
      </c>
      <c r="K265" s="5" t="str">
        <f>IF(AND(LEN(H265)=0, LEN(I265)=0), "", IF(AND(LEN(H265)&gt;0, LEN(I265)=0), "BLANCO", IFERROR(VLOOKUP(I265, BasedatosM9!A:B, 2, FALSE), "BLANCO")))</f>
        <v>Luis Gordillo</v>
      </c>
      <c r="W265" s="5" t="str">
        <f>IF(AND(LEN(T265)=0, LEN(U265)=0), "", IF(AND(LEN(T265)&gt;0, LEN(U265)=0), "BLANCO", IFERROR(VLOOKUP(U265, BasedatosM9!A:B, 2, FALSE), "BLANCO")))</f>
        <v/>
      </c>
      <c r="AI265" s="5" t="str">
        <f>IF(AND(LEN(AF265)=0, LEN(AG265)=0), "", IF(AND(LEN(AF265)&gt;0, LEN(AG265)=0), "BLANCO", IFERROR(VLOOKUP(AG265, BasedatosM9!A:B, 2, FALSE), "BLANCO")))</f>
        <v/>
      </c>
      <c r="AU265" s="5" t="str">
        <f>IF(AND(LEN(AR265)=0, LEN(AS265)=0), "", IF(AND(LEN(AR265)&gt;0, LEN(AS265)=0), "BLANCO", IFERROR(VLOOKUP(AS265, BasedatosM9!A:B, 2, FALSE), "BLANCO")))</f>
        <v/>
      </c>
    </row>
    <row r="266" spans="1:47" ht="14.4">
      <c r="A266" s="21" t="s">
        <v>4757</v>
      </c>
      <c r="B266" s="86">
        <v>23912019</v>
      </c>
      <c r="C266" s="98">
        <v>45359</v>
      </c>
      <c r="D266" s="21" t="s">
        <v>4799</v>
      </c>
      <c r="E266" s="86">
        <v>7.0000000000000007E-2</v>
      </c>
      <c r="F266" s="99">
        <v>0.88888888888888884</v>
      </c>
      <c r="G266" s="99">
        <v>0.89166666666666661</v>
      </c>
      <c r="H266" s="21" t="s">
        <v>4551</v>
      </c>
      <c r="I266" s="86">
        <v>20009915</v>
      </c>
      <c r="J266" s="21" t="s">
        <v>1471</v>
      </c>
      <c r="K266" s="5" t="str">
        <f>IF(AND(LEN(H266)=0, LEN(I266)=0), "", IF(AND(LEN(H266)&gt;0, LEN(I266)=0), "BLANCO", IFERROR(VLOOKUP(I266, BasedatosM9!A:B, 2, FALSE), "BLANCO")))</f>
        <v>Lozano Delgado Fausto Andres</v>
      </c>
      <c r="W266" s="5" t="str">
        <f>IF(AND(LEN(T266)=0, LEN(U266)=0), "", IF(AND(LEN(T266)&gt;0, LEN(U266)=0), "BLANCO", IFERROR(VLOOKUP(U266, BasedatosM9!A:B, 2, FALSE), "BLANCO")))</f>
        <v/>
      </c>
      <c r="AI266" s="5" t="str">
        <f>IF(AND(LEN(AF266)=0, LEN(AG266)=0), "", IF(AND(LEN(AF266)&gt;0, LEN(AG266)=0), "BLANCO", IFERROR(VLOOKUP(AG266, BasedatosM9!A:B, 2, FALSE), "BLANCO")))</f>
        <v/>
      </c>
      <c r="AU266" s="5" t="str">
        <f>IF(AND(LEN(AR266)=0, LEN(AS266)=0), "", IF(AND(LEN(AR266)&gt;0, LEN(AS266)=0), "BLANCO", IFERROR(VLOOKUP(AS266, BasedatosM9!A:B, 2, FALSE), "BLANCO")))</f>
        <v/>
      </c>
    </row>
    <row r="267" spans="1:47" ht="14.4">
      <c r="A267" s="21" t="s">
        <v>4757</v>
      </c>
      <c r="B267" s="86">
        <v>23912025</v>
      </c>
      <c r="C267" s="98">
        <v>45359</v>
      </c>
      <c r="D267" s="21" t="s">
        <v>4922</v>
      </c>
      <c r="E267" s="86">
        <v>0.17</v>
      </c>
      <c r="F267" s="99">
        <v>0.72222222222222221</v>
      </c>
      <c r="G267" s="99">
        <v>0.72916666666666663</v>
      </c>
      <c r="H267" s="21" t="s">
        <v>4550</v>
      </c>
      <c r="I267" s="86">
        <v>20031425</v>
      </c>
      <c r="J267" s="21" t="s">
        <v>4861</v>
      </c>
      <c r="K267" s="5" t="str">
        <f>IF(AND(LEN(H267)=0, LEN(I267)=0), "", IF(AND(LEN(H267)&gt;0, LEN(I267)=0), "BLANCO", IFERROR(VLOOKUP(I267, BasedatosM9!A:B, 2, FALSE), "BLANCO")))</f>
        <v>Luis Gordillo</v>
      </c>
      <c r="W267" s="5" t="str">
        <f>IF(AND(LEN(T267)=0, LEN(U267)=0), "", IF(AND(LEN(T267)&gt;0, LEN(U267)=0), "BLANCO", IFERROR(VLOOKUP(U267, BasedatosM9!A:B, 2, FALSE), "BLANCO")))</f>
        <v/>
      </c>
      <c r="AI267" s="5" t="str">
        <f>IF(AND(LEN(AF267)=0, LEN(AG267)=0), "", IF(AND(LEN(AF267)&gt;0, LEN(AG267)=0), "BLANCO", IFERROR(VLOOKUP(AG267, BasedatosM9!A:B, 2, FALSE), "BLANCO")))</f>
        <v/>
      </c>
      <c r="AU267" s="5" t="str">
        <f>IF(AND(LEN(AR267)=0, LEN(AS267)=0), "", IF(AND(LEN(AR267)&gt;0, LEN(AS267)=0), "BLANCO", IFERROR(VLOOKUP(AS267, BasedatosM9!A:B, 2, FALSE), "BLANCO")))</f>
        <v/>
      </c>
    </row>
    <row r="268" spans="1:47" ht="14.4">
      <c r="A268" s="21" t="s">
        <v>4742</v>
      </c>
      <c r="B268" s="86">
        <v>23912047</v>
      </c>
      <c r="C268" s="98">
        <v>45359</v>
      </c>
      <c r="D268" s="21" t="s">
        <v>4768</v>
      </c>
      <c r="E268" s="86">
        <v>0.08</v>
      </c>
      <c r="F268" s="99">
        <v>0.39999999999999997</v>
      </c>
      <c r="G268" s="99">
        <v>0.40347222222222223</v>
      </c>
      <c r="H268" s="21" t="s">
        <v>4769</v>
      </c>
      <c r="I268" s="86">
        <v>20009822</v>
      </c>
      <c r="J268" s="21" t="s">
        <v>4770</v>
      </c>
      <c r="K268" s="5" t="str">
        <f>IF(AND(LEN(H268)=0, LEN(I268)=0), "", IF(AND(LEN(H268)&gt;0, LEN(I268)=0), "BLANCO", IFERROR(VLOOKUP(I268, BasedatosM9!A:B, 2, FALSE), "BLANCO")))</f>
        <v>Guzman Palechor Miguel Angel</v>
      </c>
      <c r="W268" s="5" t="str">
        <f>IF(AND(LEN(T268)=0, LEN(U268)=0), "", IF(AND(LEN(T268)&gt;0, LEN(U268)=0), "BLANCO", IFERROR(VLOOKUP(U268, BasedatosM9!A:B, 2, FALSE), "BLANCO")))</f>
        <v/>
      </c>
      <c r="AI268" s="5" t="str">
        <f>IF(AND(LEN(AF268)=0, LEN(AG268)=0), "", IF(AND(LEN(AF268)&gt;0, LEN(AG268)=0), "BLANCO", IFERROR(VLOOKUP(AG268, BasedatosM9!A:B, 2, FALSE), "BLANCO")))</f>
        <v/>
      </c>
      <c r="AU268" s="5" t="str">
        <f>IF(AND(LEN(AR268)=0, LEN(AS268)=0), "", IF(AND(LEN(AR268)&gt;0, LEN(AS268)=0), "BLANCO", IFERROR(VLOOKUP(AS268, BasedatosM9!A:B, 2, FALSE), "BLANCO")))</f>
        <v/>
      </c>
    </row>
    <row r="269" spans="1:47" ht="14.4">
      <c r="A269" s="21" t="s">
        <v>4757</v>
      </c>
      <c r="B269" s="86">
        <v>23912052</v>
      </c>
      <c r="C269" s="98">
        <v>45359</v>
      </c>
      <c r="D269" s="21" t="s">
        <v>4808</v>
      </c>
      <c r="E269" s="86">
        <v>0.08</v>
      </c>
      <c r="F269" s="99">
        <v>0.89583333333333337</v>
      </c>
      <c r="G269" s="99">
        <v>0.89930555555555547</v>
      </c>
      <c r="H269" s="21" t="s">
        <v>4551</v>
      </c>
      <c r="I269" s="86">
        <v>20009915</v>
      </c>
      <c r="J269" s="21" t="s">
        <v>4744</v>
      </c>
      <c r="K269" s="5" t="str">
        <f>IF(AND(LEN(H269)=0, LEN(I269)=0), "", IF(AND(LEN(H269)&gt;0, LEN(I269)=0), "BLANCO", IFERROR(VLOOKUP(I269, BasedatosM9!A:B, 2, FALSE), "BLANCO")))</f>
        <v>Lozano Delgado Fausto Andres</v>
      </c>
      <c r="W269" s="5" t="str">
        <f>IF(AND(LEN(T269)=0, LEN(U269)=0), "", IF(AND(LEN(T269)&gt;0, LEN(U269)=0), "BLANCO", IFERROR(VLOOKUP(U269, BasedatosM9!A:B, 2, FALSE), "BLANCO")))</f>
        <v/>
      </c>
      <c r="AI269" s="5" t="str">
        <f>IF(AND(LEN(AF269)=0, LEN(AG269)=0), "", IF(AND(LEN(AF269)&gt;0, LEN(AG269)=0), "BLANCO", IFERROR(VLOOKUP(AG269, BasedatosM9!A:B, 2, FALSE), "BLANCO")))</f>
        <v/>
      </c>
      <c r="AU269" s="5" t="str">
        <f>IF(AND(LEN(AR269)=0, LEN(AS269)=0), "", IF(AND(LEN(AR269)&gt;0, LEN(AS269)=0), "BLANCO", IFERROR(VLOOKUP(AS269, BasedatosM9!A:B, 2, FALSE), "BLANCO")))</f>
        <v/>
      </c>
    </row>
    <row r="270" spans="1:47" ht="14.4">
      <c r="A270" s="21" t="s">
        <v>4767</v>
      </c>
      <c r="B270" s="86">
        <v>23912266</v>
      </c>
      <c r="C270" s="98">
        <v>45359</v>
      </c>
      <c r="D270" s="21" t="s">
        <v>4923</v>
      </c>
      <c r="E270" s="86">
        <v>0.3</v>
      </c>
      <c r="F270" s="99">
        <v>0.95972222222222225</v>
      </c>
      <c r="G270" s="99">
        <v>0.97222222222222221</v>
      </c>
      <c r="H270" s="21" t="s">
        <v>4551</v>
      </c>
      <c r="I270" s="86">
        <v>20009996</v>
      </c>
      <c r="J270" s="21" t="s">
        <v>4750</v>
      </c>
      <c r="K270" s="5" t="str">
        <f>IF(AND(LEN(H270)=0, LEN(I270)=0), "", IF(AND(LEN(H270)&gt;0, LEN(I270)=0), "BLANCO", IFERROR(VLOOKUP(I270, BasedatosM9!A:B, 2, FALSE), "BLANCO")))</f>
        <v>Fernando Montoya</v>
      </c>
      <c r="W270" s="5" t="str">
        <f>IF(AND(LEN(T270)=0, LEN(U270)=0), "", IF(AND(LEN(T270)&gt;0, LEN(U270)=0), "BLANCO", IFERROR(VLOOKUP(U270, BasedatosM9!A:B, 2, FALSE), "BLANCO")))</f>
        <v/>
      </c>
      <c r="AI270" s="5" t="str">
        <f>IF(AND(LEN(AF270)=0, LEN(AG270)=0), "", IF(AND(LEN(AF270)&gt;0, LEN(AG270)=0), "BLANCO", IFERROR(VLOOKUP(AG270, BasedatosM9!A:B, 2, FALSE), "BLANCO")))</f>
        <v/>
      </c>
      <c r="AU270" s="5" t="str">
        <f>IF(AND(LEN(AR270)=0, LEN(AS270)=0), "", IF(AND(LEN(AR270)&gt;0, LEN(AS270)=0), "BLANCO", IFERROR(VLOOKUP(AS270, BasedatosM9!A:B, 2, FALSE), "BLANCO")))</f>
        <v/>
      </c>
    </row>
    <row r="271" spans="1:47" ht="14.4">
      <c r="A271" s="21" t="s">
        <v>4767</v>
      </c>
      <c r="B271" s="86">
        <v>23912268</v>
      </c>
      <c r="C271" s="98">
        <v>45359</v>
      </c>
      <c r="D271" s="21" t="s">
        <v>4751</v>
      </c>
      <c r="E271" s="86">
        <v>0.23</v>
      </c>
      <c r="F271" s="99">
        <v>0.97569444444444453</v>
      </c>
      <c r="G271" s="99">
        <v>0.98541666666666661</v>
      </c>
      <c r="H271" s="21" t="s">
        <v>4551</v>
      </c>
      <c r="I271" s="21"/>
      <c r="J271" s="21" t="s">
        <v>4744</v>
      </c>
      <c r="K271" s="5" t="str">
        <f>IF(AND(LEN(H271)=0, LEN(I271)=0), "", IF(AND(LEN(H271)&gt;0, LEN(I271)=0), "BLANCO", IFERROR(VLOOKUP(I271, BasedatosM9!A:B, 2, FALSE), "BLANCO")))</f>
        <v>BLANCO</v>
      </c>
      <c r="W271" s="5" t="str">
        <f>IF(AND(LEN(T271)=0, LEN(U271)=0), "", IF(AND(LEN(T271)&gt;0, LEN(U271)=0), "BLANCO", IFERROR(VLOOKUP(U271, BasedatosM9!A:B, 2, FALSE), "BLANCO")))</f>
        <v/>
      </c>
      <c r="AI271" s="5" t="str">
        <f>IF(AND(LEN(AF271)=0, LEN(AG271)=0), "", IF(AND(LEN(AF271)&gt;0, LEN(AG271)=0), "BLANCO", IFERROR(VLOOKUP(AG271, BasedatosM9!A:B, 2, FALSE), "BLANCO")))</f>
        <v/>
      </c>
      <c r="AU271" s="5" t="str">
        <f>IF(AND(LEN(AR271)=0, LEN(AS271)=0), "", IF(AND(LEN(AR271)&gt;0, LEN(AS271)=0), "BLANCO", IFERROR(VLOOKUP(AS271, BasedatosM9!A:B, 2, FALSE), "BLANCO")))</f>
        <v/>
      </c>
    </row>
    <row r="272" spans="1:47" ht="14.4">
      <c r="A272" s="21" t="s">
        <v>4767</v>
      </c>
      <c r="B272" s="86">
        <v>23912269</v>
      </c>
      <c r="C272" s="98">
        <v>45359</v>
      </c>
      <c r="D272" s="21" t="s">
        <v>4924</v>
      </c>
      <c r="E272" s="86">
        <v>0.22</v>
      </c>
      <c r="F272" s="99">
        <v>0.9868055555555556</v>
      </c>
      <c r="G272" s="99">
        <v>0.99583333333333324</v>
      </c>
      <c r="H272" s="21" t="s">
        <v>4551</v>
      </c>
      <c r="I272" s="86">
        <v>20036419</v>
      </c>
      <c r="J272" s="21" t="s">
        <v>4802</v>
      </c>
      <c r="K272" s="5" t="str">
        <f>IF(AND(LEN(H272)=0, LEN(I272)=0), "", IF(AND(LEN(H272)&gt;0, LEN(I272)=0), "BLANCO", IFERROR(VLOOKUP(I272, BasedatosM9!A:B, 2, FALSE), "BLANCO")))</f>
        <v>Adalcides Campo</v>
      </c>
      <c r="W272" s="5" t="str">
        <f>IF(AND(LEN(T272)=0, LEN(U272)=0), "", IF(AND(LEN(T272)&gt;0, LEN(U272)=0), "BLANCO", IFERROR(VLOOKUP(U272, BasedatosM9!A:B, 2, FALSE), "BLANCO")))</f>
        <v/>
      </c>
      <c r="AI272" s="5" t="str">
        <f>IF(AND(LEN(AF272)=0, LEN(AG272)=0), "", IF(AND(LEN(AF272)&gt;0, LEN(AG272)=0), "BLANCO", IFERROR(VLOOKUP(AG272, BasedatosM9!A:B, 2, FALSE), "BLANCO")))</f>
        <v/>
      </c>
      <c r="AU272" s="5" t="str">
        <f>IF(AND(LEN(AR272)=0, LEN(AS272)=0), "", IF(AND(LEN(AR272)&gt;0, LEN(AS272)=0), "BLANCO", IFERROR(VLOOKUP(AS272, BasedatosM9!A:B, 2, FALSE), "BLANCO")))</f>
        <v/>
      </c>
    </row>
    <row r="273" spans="1:47" ht="14.4">
      <c r="A273" s="21" t="s">
        <v>4767</v>
      </c>
      <c r="B273" s="86">
        <v>23912270</v>
      </c>
      <c r="C273" s="98">
        <v>45359</v>
      </c>
      <c r="D273" s="21" t="s">
        <v>4846</v>
      </c>
      <c r="E273" s="86">
        <v>0.87</v>
      </c>
      <c r="F273" s="99">
        <v>2.013888888888889E-2</v>
      </c>
      <c r="G273" s="99">
        <v>5.6250000000000001E-2</v>
      </c>
      <c r="H273" s="21" t="s">
        <v>4551</v>
      </c>
      <c r="I273" s="86">
        <v>20084469</v>
      </c>
      <c r="J273" s="21" t="s">
        <v>2797</v>
      </c>
      <c r="K273" s="5" t="str">
        <f>IF(AND(LEN(H273)=0, LEN(I273)=0), "", IF(AND(LEN(H273)&gt;0, LEN(I273)=0), "BLANCO", IFERROR(VLOOKUP(I273, BasedatosM9!A:B, 2, FALSE), "BLANCO")))</f>
        <v>Mauricio Murillo Arrollo</v>
      </c>
      <c r="W273" s="5" t="str">
        <f>IF(AND(LEN(T273)=0, LEN(U273)=0), "", IF(AND(LEN(T273)&gt;0, LEN(U273)=0), "BLANCO", IFERROR(VLOOKUP(U273, BasedatosM9!A:B, 2, FALSE), "BLANCO")))</f>
        <v/>
      </c>
      <c r="AI273" s="5" t="str">
        <f>IF(AND(LEN(AF273)=0, LEN(AG273)=0), "", IF(AND(LEN(AF273)&gt;0, LEN(AG273)=0), "BLANCO", IFERROR(VLOOKUP(AG273, BasedatosM9!A:B, 2, FALSE), "BLANCO")))</f>
        <v/>
      </c>
      <c r="AU273" s="5" t="str">
        <f>IF(AND(LEN(AR273)=0, LEN(AS273)=0), "", IF(AND(LEN(AR273)&gt;0, LEN(AS273)=0), "BLANCO", IFERROR(VLOOKUP(AS273, BasedatosM9!A:B, 2, FALSE), "BLANCO")))</f>
        <v/>
      </c>
    </row>
    <row r="274" spans="1:47" ht="14.4">
      <c r="A274" s="21" t="s">
        <v>4767</v>
      </c>
      <c r="B274" s="86">
        <v>23912271</v>
      </c>
      <c r="C274" s="98">
        <v>45359</v>
      </c>
      <c r="D274" s="21" t="s">
        <v>4751</v>
      </c>
      <c r="E274" s="86">
        <v>0.15</v>
      </c>
      <c r="F274" s="99">
        <v>7.2222222222222229E-2</v>
      </c>
      <c r="G274" s="99">
        <v>7.8472222222222221E-2</v>
      </c>
      <c r="H274" s="21" t="s">
        <v>4551</v>
      </c>
      <c r="I274" s="86">
        <v>20036419</v>
      </c>
      <c r="J274" s="21" t="s">
        <v>4744</v>
      </c>
      <c r="K274" s="5" t="str">
        <f>IF(AND(LEN(H274)=0, LEN(I274)=0), "", IF(AND(LEN(H274)&gt;0, LEN(I274)=0), "BLANCO", IFERROR(VLOOKUP(I274, BasedatosM9!A:B, 2, FALSE), "BLANCO")))</f>
        <v>Adalcides Campo</v>
      </c>
      <c r="W274" s="5" t="str">
        <f>IF(AND(LEN(T274)=0, LEN(U274)=0), "", IF(AND(LEN(T274)&gt;0, LEN(U274)=0), "BLANCO", IFERROR(VLOOKUP(U274, BasedatosM9!A:B, 2, FALSE), "BLANCO")))</f>
        <v/>
      </c>
      <c r="AI274" s="5" t="str">
        <f>IF(AND(LEN(AF274)=0, LEN(AG274)=0), "", IF(AND(LEN(AF274)&gt;0, LEN(AG274)=0), "BLANCO", IFERROR(VLOOKUP(AG274, BasedatosM9!A:B, 2, FALSE), "BLANCO")))</f>
        <v/>
      </c>
      <c r="AU274" s="5" t="str">
        <f>IF(AND(LEN(AR274)=0, LEN(AS274)=0), "", IF(AND(LEN(AR274)&gt;0, LEN(AS274)=0), "BLANCO", IFERROR(VLOOKUP(AS274, BasedatosM9!A:B, 2, FALSE), "BLANCO")))</f>
        <v/>
      </c>
    </row>
    <row r="275" spans="1:47" ht="14.4">
      <c r="A275" s="21" t="s">
        <v>4767</v>
      </c>
      <c r="B275" s="86">
        <v>23912272</v>
      </c>
      <c r="C275" s="98">
        <v>45359</v>
      </c>
      <c r="D275" s="21" t="s">
        <v>4925</v>
      </c>
      <c r="E275" s="86">
        <v>0.17</v>
      </c>
      <c r="F275" s="99">
        <v>9.7222222222222224E-2</v>
      </c>
      <c r="G275" s="99">
        <v>0.10416666666666667</v>
      </c>
      <c r="H275" s="21" t="s">
        <v>4551</v>
      </c>
      <c r="I275" s="86">
        <v>20036419</v>
      </c>
      <c r="J275" s="21" t="s">
        <v>4773</v>
      </c>
      <c r="K275" s="5" t="str">
        <f>IF(AND(LEN(H275)=0, LEN(I275)=0), "", IF(AND(LEN(H275)&gt;0, LEN(I275)=0), "BLANCO", IFERROR(VLOOKUP(I275, BasedatosM9!A:B, 2, FALSE), "BLANCO")))</f>
        <v>Adalcides Campo</v>
      </c>
      <c r="W275" s="5" t="str">
        <f>IF(AND(LEN(T275)=0, LEN(U275)=0), "", IF(AND(LEN(T275)&gt;0, LEN(U275)=0), "BLANCO", IFERROR(VLOOKUP(U275, BasedatosM9!A:B, 2, FALSE), "BLANCO")))</f>
        <v/>
      </c>
      <c r="AI275" s="5" t="str">
        <f>IF(AND(LEN(AF275)=0, LEN(AG275)=0), "", IF(AND(LEN(AF275)&gt;0, LEN(AG275)=0), "BLANCO", IFERROR(VLOOKUP(AG275, BasedatosM9!A:B, 2, FALSE), "BLANCO")))</f>
        <v/>
      </c>
      <c r="AU275" s="5" t="str">
        <f>IF(AND(LEN(AR275)=0, LEN(AS275)=0), "", IF(AND(LEN(AR275)&gt;0, LEN(AS275)=0), "BLANCO", IFERROR(VLOOKUP(AS275, BasedatosM9!A:B, 2, FALSE), "BLANCO")))</f>
        <v/>
      </c>
    </row>
    <row r="276" spans="1:47" ht="14.4">
      <c r="A276" s="21" t="s">
        <v>4767</v>
      </c>
      <c r="B276" s="86">
        <v>23912330</v>
      </c>
      <c r="C276" s="98">
        <v>45359</v>
      </c>
      <c r="D276" s="21" t="s">
        <v>4817</v>
      </c>
      <c r="E276" s="86">
        <v>0.35</v>
      </c>
      <c r="F276" s="99">
        <v>0.17361111111111113</v>
      </c>
      <c r="G276" s="99">
        <v>0.18819444444444444</v>
      </c>
      <c r="H276" s="21" t="s">
        <v>4551</v>
      </c>
      <c r="I276" s="86">
        <v>20009721</v>
      </c>
      <c r="J276" s="21" t="s">
        <v>79</v>
      </c>
      <c r="K276" s="5" t="str">
        <f>IF(AND(LEN(H276)=0, LEN(I276)=0), "", IF(AND(LEN(H276)&gt;0, LEN(I276)=0), "BLANCO", IFERROR(VLOOKUP(I276, BasedatosM9!A:B, 2, FALSE), "BLANCO")))</f>
        <v>Alejandro Davila</v>
      </c>
      <c r="W276" s="5" t="str">
        <f>IF(AND(LEN(T276)=0, LEN(U276)=0), "", IF(AND(LEN(T276)&gt;0, LEN(U276)=0), "BLANCO", IFERROR(VLOOKUP(U276, BasedatosM9!A:B, 2, FALSE), "BLANCO")))</f>
        <v/>
      </c>
      <c r="AI276" s="5" t="str">
        <f>IF(AND(LEN(AF276)=0, LEN(AG276)=0), "", IF(AND(LEN(AF276)&gt;0, LEN(AG276)=0), "BLANCO", IFERROR(VLOOKUP(AG276, BasedatosM9!A:B, 2, FALSE), "BLANCO")))</f>
        <v/>
      </c>
      <c r="AU276" s="5" t="str">
        <f>IF(AND(LEN(AR276)=0, LEN(AS276)=0), "", IF(AND(LEN(AR276)&gt;0, LEN(AS276)=0), "BLANCO", IFERROR(VLOOKUP(AS276, BasedatosM9!A:B, 2, FALSE), "BLANCO")))</f>
        <v/>
      </c>
    </row>
    <row r="277" spans="1:47" ht="14.4">
      <c r="A277" s="21" t="s">
        <v>4767</v>
      </c>
      <c r="B277" s="86">
        <v>23912374</v>
      </c>
      <c r="C277" s="98">
        <v>45359</v>
      </c>
      <c r="D277" s="21" t="s">
        <v>4754</v>
      </c>
      <c r="E277" s="86">
        <v>0.08</v>
      </c>
      <c r="F277" s="99">
        <v>0.97222222222222221</v>
      </c>
      <c r="G277" s="99">
        <v>0.97569444444444453</v>
      </c>
      <c r="H277" s="21" t="s">
        <v>4550</v>
      </c>
      <c r="I277" s="21"/>
      <c r="J277" s="21" t="s">
        <v>4755</v>
      </c>
      <c r="K277" s="5" t="str">
        <f>IF(AND(LEN(H277)=0, LEN(I277)=0), "", IF(AND(LEN(H277)&gt;0, LEN(I277)=0), "BLANCO", IFERROR(VLOOKUP(I277, BasedatosM9!A:B, 2, FALSE), "BLANCO")))</f>
        <v>BLANCO</v>
      </c>
      <c r="W277" s="5" t="str">
        <f>IF(AND(LEN(T277)=0, LEN(U277)=0), "", IF(AND(LEN(T277)&gt;0, LEN(U277)=0), "BLANCO", IFERROR(VLOOKUP(U277, BasedatosM9!A:B, 2, FALSE), "BLANCO")))</f>
        <v/>
      </c>
      <c r="AI277" s="5" t="str">
        <f>IF(AND(LEN(AF277)=0, LEN(AG277)=0), "", IF(AND(LEN(AF277)&gt;0, LEN(AG277)=0), "BLANCO", IFERROR(VLOOKUP(AG277, BasedatosM9!A:B, 2, FALSE), "BLANCO")))</f>
        <v/>
      </c>
      <c r="AU277" s="5" t="str">
        <f>IF(AND(LEN(AR277)=0, LEN(AS277)=0), "", IF(AND(LEN(AR277)&gt;0, LEN(AS277)=0), "BLANCO", IFERROR(VLOOKUP(AS277, BasedatosM9!A:B, 2, FALSE), "BLANCO")))</f>
        <v/>
      </c>
    </row>
    <row r="278" spans="1:47" ht="14.4">
      <c r="A278" s="21" t="s">
        <v>4767</v>
      </c>
      <c r="B278" s="86">
        <v>23912375</v>
      </c>
      <c r="C278" s="98">
        <v>45359</v>
      </c>
      <c r="D278" s="21" t="s">
        <v>4926</v>
      </c>
      <c r="E278" s="86">
        <v>4.5199999999999996</v>
      </c>
      <c r="F278" s="99">
        <v>3.3333333333333333E-2</v>
      </c>
      <c r="G278" s="99">
        <v>0.22152777777777777</v>
      </c>
      <c r="H278" s="21" t="s">
        <v>4550</v>
      </c>
      <c r="I278" s="21"/>
      <c r="J278" s="21" t="s">
        <v>4927</v>
      </c>
      <c r="K278" s="5" t="str">
        <f>IF(AND(LEN(H278)=0, LEN(I278)=0), "", IF(AND(LEN(H278)&gt;0, LEN(I278)=0), "BLANCO", IFERROR(VLOOKUP(I278, BasedatosM9!A:B, 2, FALSE), "BLANCO")))</f>
        <v>BLANCO</v>
      </c>
      <c r="W278" s="5" t="str">
        <f>IF(AND(LEN(T278)=0, LEN(U278)=0), "", IF(AND(LEN(T278)&gt;0, LEN(U278)=0), "BLANCO", IFERROR(VLOOKUP(U278, BasedatosM9!A:B, 2, FALSE), "BLANCO")))</f>
        <v/>
      </c>
      <c r="AI278" s="5" t="str">
        <f>IF(AND(LEN(AF278)=0, LEN(AG278)=0), "", IF(AND(LEN(AF278)&gt;0, LEN(AG278)=0), "BLANCO", IFERROR(VLOOKUP(AG278, BasedatosM9!A:B, 2, FALSE), "BLANCO")))</f>
        <v/>
      </c>
      <c r="AU278" s="5" t="str">
        <f>IF(AND(LEN(AR278)=0, LEN(AS278)=0), "", IF(AND(LEN(AR278)&gt;0, LEN(AS278)=0), "BLANCO", IFERROR(VLOOKUP(AS278, BasedatosM9!A:B, 2, FALSE), "BLANCO")))</f>
        <v/>
      </c>
    </row>
    <row r="279" spans="1:47" ht="14.4">
      <c r="A279" s="21" t="s">
        <v>4742</v>
      </c>
      <c r="B279" s="86">
        <v>23913108</v>
      </c>
      <c r="C279" s="98">
        <v>45360</v>
      </c>
      <c r="D279" s="21" t="s">
        <v>4926</v>
      </c>
      <c r="E279" s="86">
        <v>0.67</v>
      </c>
      <c r="F279" s="99">
        <v>0.26041666666666669</v>
      </c>
      <c r="G279" s="99">
        <v>0.28819444444444448</v>
      </c>
      <c r="H279" s="21" t="s">
        <v>4550</v>
      </c>
      <c r="I279" s="21"/>
      <c r="J279" s="21" t="s">
        <v>4927</v>
      </c>
      <c r="K279" s="5" t="str">
        <f>IF(AND(LEN(H279)=0, LEN(I279)=0), "", IF(AND(LEN(H279)&gt;0, LEN(I279)=0), "BLANCO", IFERROR(VLOOKUP(I279, BasedatosM9!A:B, 2, FALSE), "BLANCO")))</f>
        <v>BLANCO</v>
      </c>
      <c r="W279" s="5" t="str">
        <f>IF(AND(LEN(T279)=0, LEN(U279)=0), "", IF(AND(LEN(T279)&gt;0, LEN(U279)=0), "BLANCO", IFERROR(VLOOKUP(U279, BasedatosM9!A:B, 2, FALSE), "BLANCO")))</f>
        <v/>
      </c>
      <c r="AI279" s="5" t="str">
        <f>IF(AND(LEN(AF279)=0, LEN(AG279)=0), "", IF(AND(LEN(AF279)&gt;0, LEN(AG279)=0), "BLANCO", IFERROR(VLOOKUP(AG279, BasedatosM9!A:B, 2, FALSE), "BLANCO")))</f>
        <v/>
      </c>
      <c r="AU279" s="5" t="str">
        <f>IF(AND(LEN(AR279)=0, LEN(AS279)=0), "", IF(AND(LEN(AR279)&gt;0, LEN(AS279)=0), "BLANCO", IFERROR(VLOOKUP(AS279, BasedatosM9!A:B, 2, FALSE), "BLANCO")))</f>
        <v/>
      </c>
    </row>
    <row r="280" spans="1:47" ht="14.4">
      <c r="A280" s="21" t="s">
        <v>4742</v>
      </c>
      <c r="B280" s="86">
        <v>23913128</v>
      </c>
      <c r="C280" s="98">
        <v>45360</v>
      </c>
      <c r="D280" s="21" t="s">
        <v>4928</v>
      </c>
      <c r="E280" s="86">
        <v>0.83</v>
      </c>
      <c r="F280" s="99">
        <v>0.35416666666666669</v>
      </c>
      <c r="G280" s="99">
        <v>0.3888888888888889</v>
      </c>
      <c r="H280" s="21" t="s">
        <v>4553</v>
      </c>
      <c r="I280" s="21"/>
      <c r="J280" s="21" t="s">
        <v>4746</v>
      </c>
      <c r="K280" s="5" t="str">
        <f>IF(AND(LEN(H280)=0, LEN(I280)=0), "", IF(AND(LEN(H280)&gt;0, LEN(I280)=0), "BLANCO", IFERROR(VLOOKUP(I280, BasedatosM9!A:B, 2, FALSE), "BLANCO")))</f>
        <v>BLANCO</v>
      </c>
      <c r="W280" s="5" t="str">
        <f>IF(AND(LEN(T280)=0, LEN(U280)=0), "", IF(AND(LEN(T280)&gt;0, LEN(U280)=0), "BLANCO", IFERROR(VLOOKUP(U280, BasedatosM9!A:B, 2, FALSE), "BLANCO")))</f>
        <v/>
      </c>
      <c r="AI280" s="5" t="str">
        <f>IF(AND(LEN(AF280)=0, LEN(AG280)=0), "", IF(AND(LEN(AF280)&gt;0, LEN(AG280)=0), "BLANCO", IFERROR(VLOOKUP(AG280, BasedatosM9!A:B, 2, FALSE), "BLANCO")))</f>
        <v/>
      </c>
      <c r="AU280" s="5" t="str">
        <f>IF(AND(LEN(AR280)=0, LEN(AS280)=0), "", IF(AND(LEN(AR280)&gt;0, LEN(AS280)=0), "BLANCO", IFERROR(VLOOKUP(AS280, BasedatosM9!A:B, 2, FALSE), "BLANCO")))</f>
        <v/>
      </c>
    </row>
    <row r="281" spans="1:47" ht="14.4">
      <c r="A281" s="21" t="s">
        <v>4742</v>
      </c>
      <c r="B281" s="86">
        <v>23913203</v>
      </c>
      <c r="C281" s="98">
        <v>45360</v>
      </c>
      <c r="D281" s="21" t="s">
        <v>4817</v>
      </c>
      <c r="E281" s="86">
        <v>0.27</v>
      </c>
      <c r="F281" s="99">
        <v>0.31944444444444448</v>
      </c>
      <c r="G281" s="99">
        <v>0.33055555555555555</v>
      </c>
      <c r="H281" s="21" t="s">
        <v>4551</v>
      </c>
      <c r="I281" s="21"/>
      <c r="J281" s="21" t="s">
        <v>79</v>
      </c>
      <c r="K281" s="5" t="str">
        <f>IF(AND(LEN(H281)=0, LEN(I281)=0), "", IF(AND(LEN(H281)&gt;0, LEN(I281)=0), "BLANCO", IFERROR(VLOOKUP(I281, BasedatosM9!A:B, 2, FALSE), "BLANCO")))</f>
        <v>BLANCO</v>
      </c>
      <c r="W281" s="5" t="str">
        <f>IF(AND(LEN(T281)=0, LEN(U281)=0), "", IF(AND(LEN(T281)&gt;0, LEN(U281)=0), "BLANCO", IFERROR(VLOOKUP(U281, BasedatosM9!A:B, 2, FALSE), "BLANCO")))</f>
        <v/>
      </c>
      <c r="AI281" s="5" t="str">
        <f>IF(AND(LEN(AF281)=0, LEN(AG281)=0), "", IF(AND(LEN(AF281)&gt;0, LEN(AG281)=0), "BLANCO", IFERROR(VLOOKUP(AG281, BasedatosM9!A:B, 2, FALSE), "BLANCO")))</f>
        <v/>
      </c>
      <c r="AU281" s="5" t="str">
        <f>IF(AND(LEN(AR281)=0, LEN(AS281)=0), "", IF(AND(LEN(AR281)&gt;0, LEN(AS281)=0), "BLANCO", IFERROR(VLOOKUP(AS281, BasedatosM9!A:B, 2, FALSE), "BLANCO")))</f>
        <v/>
      </c>
    </row>
    <row r="282" spans="1:47" ht="14.4">
      <c r="A282" s="21" t="s">
        <v>4742</v>
      </c>
      <c r="B282" s="86">
        <v>23913205</v>
      </c>
      <c r="C282" s="98">
        <v>45360</v>
      </c>
      <c r="D282" s="21" t="s">
        <v>4929</v>
      </c>
      <c r="E282" s="86">
        <v>0.23</v>
      </c>
      <c r="F282" s="99">
        <v>0.33680555555555558</v>
      </c>
      <c r="G282" s="99">
        <v>0.34652777777777777</v>
      </c>
      <c r="H282" s="21" t="s">
        <v>4551</v>
      </c>
      <c r="I282" s="86">
        <v>20079993</v>
      </c>
      <c r="J282" s="21" t="s">
        <v>2714</v>
      </c>
      <c r="K282" s="5" t="str">
        <f>IF(AND(LEN(H282)=0, LEN(I282)=0), "", IF(AND(LEN(H282)&gt;0, LEN(I282)=0), "BLANCO", IFERROR(VLOOKUP(I282, BasedatosM9!A:B, 2, FALSE), "BLANCO")))</f>
        <v>Andres Perez</v>
      </c>
      <c r="W282" s="5" t="str">
        <f>IF(AND(LEN(T282)=0, LEN(U282)=0), "", IF(AND(LEN(T282)&gt;0, LEN(U282)=0), "BLANCO", IFERROR(VLOOKUP(U282, BasedatosM9!A:B, 2, FALSE), "BLANCO")))</f>
        <v/>
      </c>
      <c r="AI282" s="5" t="str">
        <f>IF(AND(LEN(AF282)=0, LEN(AG282)=0), "", IF(AND(LEN(AF282)&gt;0, LEN(AG282)=0), "BLANCO", IFERROR(VLOOKUP(AG282, BasedatosM9!A:B, 2, FALSE), "BLANCO")))</f>
        <v/>
      </c>
      <c r="AU282" s="5" t="str">
        <f>IF(AND(LEN(AR282)=0, LEN(AS282)=0), "", IF(AND(LEN(AR282)&gt;0, LEN(AS282)=0), "BLANCO", IFERROR(VLOOKUP(AS282, BasedatosM9!A:B, 2, FALSE), "BLANCO")))</f>
        <v/>
      </c>
    </row>
    <row r="283" spans="1:47" ht="14.4">
      <c r="A283" s="21" t="s">
        <v>4742</v>
      </c>
      <c r="B283" s="86">
        <v>23913207</v>
      </c>
      <c r="C283" s="98">
        <v>45360</v>
      </c>
      <c r="D283" s="21" t="s">
        <v>4808</v>
      </c>
      <c r="E283" s="86">
        <v>0.13</v>
      </c>
      <c r="F283" s="99">
        <v>0.35416666666666669</v>
      </c>
      <c r="G283" s="99">
        <v>0.35972222222222222</v>
      </c>
      <c r="H283" s="21" t="s">
        <v>4551</v>
      </c>
      <c r="I283" s="21"/>
      <c r="J283" s="21" t="s">
        <v>4744</v>
      </c>
      <c r="K283" s="5" t="str">
        <f>IF(AND(LEN(H283)=0, LEN(I283)=0), "", IF(AND(LEN(H283)&gt;0, LEN(I283)=0), "BLANCO", IFERROR(VLOOKUP(I283, BasedatosM9!A:B, 2, FALSE), "BLANCO")))</f>
        <v>BLANCO</v>
      </c>
      <c r="W283" s="5" t="str">
        <f>IF(AND(LEN(T283)=0, LEN(U283)=0), "", IF(AND(LEN(T283)&gt;0, LEN(U283)=0), "BLANCO", IFERROR(VLOOKUP(U283, BasedatosM9!A:B, 2, FALSE), "BLANCO")))</f>
        <v/>
      </c>
      <c r="AI283" s="5" t="str">
        <f>IF(AND(LEN(AF283)=0, LEN(AG283)=0), "", IF(AND(LEN(AF283)&gt;0, LEN(AG283)=0), "BLANCO", IFERROR(VLOOKUP(AG283, BasedatosM9!A:B, 2, FALSE), "BLANCO")))</f>
        <v/>
      </c>
      <c r="AU283" s="5" t="str">
        <f>IF(AND(LEN(AR283)=0, LEN(AS283)=0), "", IF(AND(LEN(AR283)&gt;0, LEN(AS283)=0), "BLANCO", IFERROR(VLOOKUP(AS283, BasedatosM9!A:B, 2, FALSE), "BLANCO")))</f>
        <v/>
      </c>
    </row>
    <row r="284" spans="1:47" ht="14.4">
      <c r="A284" s="21" t="s">
        <v>4742</v>
      </c>
      <c r="B284" s="86">
        <v>23913208</v>
      </c>
      <c r="C284" s="98">
        <v>45360</v>
      </c>
      <c r="D284" s="21" t="s">
        <v>4853</v>
      </c>
      <c r="E284" s="86">
        <v>0.18</v>
      </c>
      <c r="F284" s="99">
        <v>0.35972222222222222</v>
      </c>
      <c r="G284" s="99">
        <v>0.36736111111111108</v>
      </c>
      <c r="H284" s="21" t="s">
        <v>4551</v>
      </c>
      <c r="I284" s="86">
        <v>20009992</v>
      </c>
      <c r="J284" s="21" t="s">
        <v>79</v>
      </c>
      <c r="K284" s="5" t="str">
        <f>IF(AND(LEN(H284)=0, LEN(I284)=0), "", IF(AND(LEN(H284)&gt;0, LEN(I284)=0), "BLANCO", IFERROR(VLOOKUP(I284, BasedatosM9!A:B, 2, FALSE), "BLANCO")))</f>
        <v>Leonel Montes</v>
      </c>
      <c r="W284" s="5" t="str">
        <f>IF(AND(LEN(T284)=0, LEN(U284)=0), "", IF(AND(LEN(T284)&gt;0, LEN(U284)=0), "BLANCO", IFERROR(VLOOKUP(U284, BasedatosM9!A:B, 2, FALSE), "BLANCO")))</f>
        <v/>
      </c>
      <c r="AI284" s="5" t="str">
        <f>IF(AND(LEN(AF284)=0, LEN(AG284)=0), "", IF(AND(LEN(AF284)&gt;0, LEN(AG284)=0), "BLANCO", IFERROR(VLOOKUP(AG284, BasedatosM9!A:B, 2, FALSE), "BLANCO")))</f>
        <v/>
      </c>
      <c r="AU284" s="5" t="str">
        <f>IF(AND(LEN(AR284)=0, LEN(AS284)=0), "", IF(AND(LEN(AR284)&gt;0, LEN(AS284)=0), "BLANCO", IFERROR(VLOOKUP(AS284, BasedatosM9!A:B, 2, FALSE), "BLANCO")))</f>
        <v/>
      </c>
    </row>
    <row r="285" spans="1:47" ht="14.4">
      <c r="A285" s="21" t="s">
        <v>4742</v>
      </c>
      <c r="B285" s="86">
        <v>23913209</v>
      </c>
      <c r="C285" s="98">
        <v>45360</v>
      </c>
      <c r="D285" s="21" t="s">
        <v>4930</v>
      </c>
      <c r="E285" s="86">
        <v>0.35</v>
      </c>
      <c r="F285" s="99">
        <v>0.37708333333333338</v>
      </c>
      <c r="G285" s="99">
        <v>0.39166666666666666</v>
      </c>
      <c r="H285" s="21" t="s">
        <v>4551</v>
      </c>
      <c r="I285" s="86">
        <v>20009992</v>
      </c>
      <c r="J285" s="21" t="s">
        <v>79</v>
      </c>
      <c r="K285" s="5" t="str">
        <f>IF(AND(LEN(H285)=0, LEN(I285)=0), "", IF(AND(LEN(H285)&gt;0, LEN(I285)=0), "BLANCO", IFERROR(VLOOKUP(I285, BasedatosM9!A:B, 2, FALSE), "BLANCO")))</f>
        <v>Leonel Montes</v>
      </c>
      <c r="W285" s="5" t="str">
        <f>IF(AND(LEN(T285)=0, LEN(U285)=0), "", IF(AND(LEN(T285)&gt;0, LEN(U285)=0), "BLANCO", IFERROR(VLOOKUP(U285, BasedatosM9!A:B, 2, FALSE), "BLANCO")))</f>
        <v/>
      </c>
      <c r="AI285" s="5" t="str">
        <f>IF(AND(LEN(AF285)=0, LEN(AG285)=0), "", IF(AND(LEN(AF285)&gt;0, LEN(AG285)=0), "BLANCO", IFERROR(VLOOKUP(AG285, BasedatosM9!A:B, 2, FALSE), "BLANCO")))</f>
        <v/>
      </c>
      <c r="AU285" s="5" t="str">
        <f>IF(AND(LEN(AR285)=0, LEN(AS285)=0), "", IF(AND(LEN(AR285)&gt;0, LEN(AS285)=0), "BLANCO", IFERROR(VLOOKUP(AS285, BasedatosM9!A:B, 2, FALSE), "BLANCO")))</f>
        <v/>
      </c>
    </row>
    <row r="286" spans="1:47" ht="14.4">
      <c r="A286" s="21" t="s">
        <v>4742</v>
      </c>
      <c r="B286" s="86">
        <v>23913210</v>
      </c>
      <c r="C286" s="98">
        <v>45360</v>
      </c>
      <c r="D286" s="21" t="s">
        <v>4931</v>
      </c>
      <c r="E286" s="86">
        <v>0.18</v>
      </c>
      <c r="F286" s="99">
        <v>0.4201388888888889</v>
      </c>
      <c r="G286" s="99">
        <v>0.42777777777777781</v>
      </c>
      <c r="H286" s="21" t="s">
        <v>4551</v>
      </c>
      <c r="I286" s="86">
        <v>20009992</v>
      </c>
      <c r="J286" s="21" t="s">
        <v>79</v>
      </c>
      <c r="K286" s="5" t="str">
        <f>IF(AND(LEN(H286)=0, LEN(I286)=0), "", IF(AND(LEN(H286)&gt;0, LEN(I286)=0), "BLANCO", IFERROR(VLOOKUP(I286, BasedatosM9!A:B, 2, FALSE), "BLANCO")))</f>
        <v>Leonel Montes</v>
      </c>
      <c r="W286" s="5" t="str">
        <f>IF(AND(LEN(T286)=0, LEN(U286)=0), "", IF(AND(LEN(T286)&gt;0, LEN(U286)=0), "BLANCO", IFERROR(VLOOKUP(U286, BasedatosM9!A:B, 2, FALSE), "BLANCO")))</f>
        <v/>
      </c>
      <c r="AI286" s="5" t="str">
        <f>IF(AND(LEN(AF286)=0, LEN(AG286)=0), "", IF(AND(LEN(AF286)&gt;0, LEN(AG286)=0), "BLANCO", IFERROR(VLOOKUP(AG286, BasedatosM9!A:B, 2, FALSE), "BLANCO")))</f>
        <v/>
      </c>
      <c r="AU286" s="5" t="str">
        <f>IF(AND(LEN(AR286)=0, LEN(AS286)=0), "", IF(AND(LEN(AR286)&gt;0, LEN(AS286)=0), "BLANCO", IFERROR(VLOOKUP(AS286, BasedatosM9!A:B, 2, FALSE), "BLANCO")))</f>
        <v/>
      </c>
    </row>
    <row r="287" spans="1:47" ht="14.4">
      <c r="A287" s="21" t="s">
        <v>4742</v>
      </c>
      <c r="B287" s="86">
        <v>23913307</v>
      </c>
      <c r="C287" s="98">
        <v>45360</v>
      </c>
      <c r="D287" s="21" t="s">
        <v>4782</v>
      </c>
      <c r="E287" s="86">
        <v>0.15</v>
      </c>
      <c r="F287" s="99">
        <v>0.46319444444444446</v>
      </c>
      <c r="G287" s="99">
        <v>0.4694444444444445</v>
      </c>
      <c r="H287" s="21" t="s">
        <v>4551</v>
      </c>
      <c r="I287" s="21"/>
      <c r="J287" s="21" t="s">
        <v>1471</v>
      </c>
      <c r="K287" s="5" t="str">
        <f>IF(AND(LEN(H287)=0, LEN(I287)=0), "", IF(AND(LEN(H287)&gt;0, LEN(I287)=0), "BLANCO", IFERROR(VLOOKUP(I287, BasedatosM9!A:B, 2, FALSE), "BLANCO")))</f>
        <v>BLANCO</v>
      </c>
      <c r="W287" s="5" t="str">
        <f>IF(AND(LEN(T287)=0, LEN(U287)=0), "", IF(AND(LEN(T287)&gt;0, LEN(U287)=0), "BLANCO", IFERROR(VLOOKUP(U287, BasedatosM9!A:B, 2, FALSE), "BLANCO")))</f>
        <v/>
      </c>
      <c r="AI287" s="5" t="str">
        <f>IF(AND(LEN(AF287)=0, LEN(AG287)=0), "", IF(AND(LEN(AF287)&gt;0, LEN(AG287)=0), "BLANCO", IFERROR(VLOOKUP(AG287, BasedatosM9!A:B, 2, FALSE), "BLANCO")))</f>
        <v/>
      </c>
      <c r="AU287" s="5" t="str">
        <f>IF(AND(LEN(AR287)=0, LEN(AS287)=0), "", IF(AND(LEN(AR287)&gt;0, LEN(AS287)=0), "BLANCO", IFERROR(VLOOKUP(AS287, BasedatosM9!A:B, 2, FALSE), "BLANCO")))</f>
        <v/>
      </c>
    </row>
    <row r="288" spans="1:47" ht="14.4">
      <c r="A288" s="21"/>
      <c r="B288" s="86"/>
      <c r="C288" s="98"/>
      <c r="D288" s="21"/>
      <c r="E288" s="86"/>
      <c r="F288" s="99"/>
      <c r="G288" s="99"/>
      <c r="H288" s="21"/>
      <c r="I288" s="21"/>
      <c r="J288" s="21"/>
      <c r="K288" s="5" t="str">
        <f>IF(AND(LEN(H288)=0, LEN(I288)=0), "", IF(AND(LEN(H288)&gt;0, LEN(I288)=0), "BLANCO", IFERROR(VLOOKUP(I288, BasedatosM9!A:B, 2, FALSE), "BLANCO")))</f>
        <v/>
      </c>
      <c r="W288" s="5" t="str">
        <f>IF(AND(LEN(T288)=0, LEN(U288)=0), "", IF(AND(LEN(T288)&gt;0, LEN(U288)=0), "BLANCO", IFERROR(VLOOKUP(U288, BasedatosM9!A:B, 2, FALSE), "BLANCO")))</f>
        <v/>
      </c>
      <c r="AI288" s="5" t="str">
        <f>IF(AND(LEN(AF288)=0, LEN(AG288)=0), "", IF(AND(LEN(AF288)&gt;0, LEN(AG288)=0), "BLANCO", IFERROR(VLOOKUP(AG288, BasedatosM9!A:B, 2, FALSE), "BLANCO")))</f>
        <v/>
      </c>
      <c r="AU288" s="5" t="str">
        <f>IF(AND(LEN(AR288)=0, LEN(AS288)=0), "", IF(AND(LEN(AR288)&gt;0, LEN(AS288)=0), "BLANCO", IFERROR(VLOOKUP(AS288, BasedatosM9!A:B, 2, FALSE), "BLANCO")))</f>
        <v/>
      </c>
    </row>
    <row r="289" spans="1:47" ht="14.4">
      <c r="A289" s="21"/>
      <c r="B289" s="86"/>
      <c r="C289" s="98"/>
      <c r="D289" s="21"/>
      <c r="E289" s="86"/>
      <c r="F289" s="99"/>
      <c r="G289" s="99"/>
      <c r="H289" s="21"/>
      <c r="I289" s="86"/>
      <c r="J289" s="21"/>
      <c r="K289" s="5" t="str">
        <f>IF(AND(LEN(H289)=0, LEN(I289)=0), "", IF(AND(LEN(H289)&gt;0, LEN(I289)=0), "BLANCO", IFERROR(VLOOKUP(I289, BasedatosM9!A:B, 2, FALSE), "BLANCO")))</f>
        <v/>
      </c>
      <c r="W289" s="5" t="str">
        <f>IF(AND(LEN(T289)=0, LEN(U289)=0), "", IF(AND(LEN(T289)&gt;0, LEN(U289)=0), "BLANCO", IFERROR(VLOOKUP(U289, BasedatosM9!A:B, 2, FALSE), "BLANCO")))</f>
        <v/>
      </c>
      <c r="AI289" s="5" t="str">
        <f>IF(AND(LEN(AF289)=0, LEN(AG289)=0), "", IF(AND(LEN(AF289)&gt;0, LEN(AG289)=0), "BLANCO", IFERROR(VLOOKUP(AG289, BasedatosM9!A:B, 2, FALSE), "BLANCO")))</f>
        <v/>
      </c>
      <c r="AU289" s="5" t="str">
        <f>IF(AND(LEN(AR289)=0, LEN(AS289)=0), "", IF(AND(LEN(AR289)&gt;0, LEN(AS289)=0), "BLANCO", IFERROR(VLOOKUP(AS289, BasedatosM9!A:B, 2, FALSE), "BLANCO")))</f>
        <v/>
      </c>
    </row>
    <row r="290" spans="1:47" ht="14.4">
      <c r="A290" s="21"/>
      <c r="B290" s="86"/>
      <c r="C290" s="98"/>
      <c r="D290" s="21"/>
      <c r="E290" s="86"/>
      <c r="F290" s="99"/>
      <c r="G290" s="99"/>
      <c r="H290" s="21"/>
      <c r="I290" s="86"/>
      <c r="J290" s="21"/>
      <c r="K290" s="5" t="str">
        <f>IF(AND(LEN(H290)=0, LEN(I290)=0), "", IF(AND(LEN(H290)&gt;0, LEN(I290)=0), "BLANCO", IFERROR(VLOOKUP(I290, BasedatosM9!A:B, 2, FALSE), "BLANCO")))</f>
        <v/>
      </c>
      <c r="W290" s="5" t="str">
        <f>IF(AND(LEN(T290)=0, LEN(U290)=0), "", IF(AND(LEN(T290)&gt;0, LEN(U290)=0), "BLANCO", IFERROR(VLOOKUP(U290, BasedatosM9!A:B, 2, FALSE), "BLANCO")))</f>
        <v/>
      </c>
      <c r="AI290" s="5" t="str">
        <f>IF(AND(LEN(AF290)=0, LEN(AG290)=0), "", IF(AND(LEN(AF290)&gt;0, LEN(AG290)=0), "BLANCO", IFERROR(VLOOKUP(AG290, BasedatosM9!A:B, 2, FALSE), "BLANCO")))</f>
        <v/>
      </c>
      <c r="AU290" s="5" t="str">
        <f>IF(AND(LEN(AR290)=0, LEN(AS290)=0), "", IF(AND(LEN(AR290)&gt;0, LEN(AS290)=0), "BLANCO", IFERROR(VLOOKUP(AS290, BasedatosM9!A:B, 2, FALSE), "BLANCO")))</f>
        <v/>
      </c>
    </row>
    <row r="291" spans="1:47" ht="14.4">
      <c r="A291" s="21"/>
      <c r="B291" s="86"/>
      <c r="C291" s="98"/>
      <c r="D291" s="21"/>
      <c r="E291" s="86"/>
      <c r="F291" s="99"/>
      <c r="G291" s="99"/>
      <c r="H291" s="21"/>
      <c r="I291" s="21"/>
      <c r="J291" s="21"/>
      <c r="K291" s="5" t="str">
        <f>IF(AND(LEN(H291)=0, LEN(I291)=0), "", IF(AND(LEN(H291)&gt;0, LEN(I291)=0), "BLANCO", IFERROR(VLOOKUP(I291, BasedatosM9!A:B, 2, FALSE), "BLANCO")))</f>
        <v/>
      </c>
      <c r="W291" s="5" t="str">
        <f>IF(AND(LEN(T291)=0, LEN(U291)=0), "", IF(AND(LEN(T291)&gt;0, LEN(U291)=0), "BLANCO", IFERROR(VLOOKUP(U291, BasedatosM9!A:B, 2, FALSE), "BLANCO")))</f>
        <v/>
      </c>
      <c r="AI291" s="5" t="str">
        <f>IF(AND(LEN(AF291)=0, LEN(AG291)=0), "", IF(AND(LEN(AF291)&gt;0, LEN(AG291)=0), "BLANCO", IFERROR(VLOOKUP(AG291, BasedatosM9!A:B, 2, FALSE), "BLANCO")))</f>
        <v/>
      </c>
      <c r="AU291" s="5" t="str">
        <f>IF(AND(LEN(AR291)=0, LEN(AS291)=0), "", IF(AND(LEN(AR291)&gt;0, LEN(AS291)=0), "BLANCO", IFERROR(VLOOKUP(AS291, BasedatosM9!A:B, 2, FALSE), "BLANCO")))</f>
        <v/>
      </c>
    </row>
    <row r="292" spans="1:47" ht="14.4">
      <c r="A292" s="21"/>
      <c r="B292" s="86"/>
      <c r="C292" s="98"/>
      <c r="D292" s="21"/>
      <c r="E292" s="86"/>
      <c r="F292" s="99"/>
      <c r="G292" s="99"/>
      <c r="H292" s="21"/>
      <c r="I292" s="21"/>
      <c r="J292" s="21"/>
      <c r="K292" s="5" t="str">
        <f>IF(AND(LEN(H292)=0, LEN(I292)=0), "", IF(AND(LEN(H292)&gt;0, LEN(I292)=0), "BLANCO", IFERROR(VLOOKUP(I292, BasedatosM9!A:B, 2, FALSE), "BLANCO")))</f>
        <v/>
      </c>
      <c r="W292" s="5" t="str">
        <f>IF(AND(LEN(T292)=0, LEN(U292)=0), "", IF(AND(LEN(T292)&gt;0, LEN(U292)=0), "BLANCO", IFERROR(VLOOKUP(U292, BasedatosM9!A:B, 2, FALSE), "BLANCO")))</f>
        <v/>
      </c>
      <c r="AI292" s="5" t="str">
        <f>IF(AND(LEN(AF292)=0, LEN(AG292)=0), "", IF(AND(LEN(AF292)&gt;0, LEN(AG292)=0), "BLANCO", IFERROR(VLOOKUP(AG292, BasedatosM9!A:B, 2, FALSE), "BLANCO")))</f>
        <v/>
      </c>
      <c r="AU292" s="5" t="str">
        <f>IF(AND(LEN(AR292)=0, LEN(AS292)=0), "", IF(AND(LEN(AR292)&gt;0, LEN(AS292)=0), "BLANCO", IFERROR(VLOOKUP(AS292, BasedatosM9!A:B, 2, FALSE), "BLANCO")))</f>
        <v/>
      </c>
    </row>
    <row r="293" spans="1:47" ht="14.4">
      <c r="A293" s="21"/>
      <c r="B293" s="86"/>
      <c r="C293" s="98"/>
      <c r="D293" s="21"/>
      <c r="E293" s="86"/>
      <c r="F293" s="99"/>
      <c r="G293" s="99"/>
      <c r="H293" s="21"/>
      <c r="I293" s="86"/>
      <c r="J293" s="21"/>
      <c r="K293" s="5" t="str">
        <f>IF(AND(LEN(H293)=0, LEN(I293)=0), "", IF(AND(LEN(H293)&gt;0, LEN(I293)=0), "BLANCO", IFERROR(VLOOKUP(I293, BasedatosM9!A:B, 2, FALSE), "BLANCO")))</f>
        <v/>
      </c>
      <c r="W293" s="5" t="str">
        <f>IF(AND(LEN(T293)=0, LEN(U293)=0), "", IF(AND(LEN(T293)&gt;0, LEN(U293)=0), "BLANCO", IFERROR(VLOOKUP(U293, BasedatosM9!A:B, 2, FALSE), "BLANCO")))</f>
        <v/>
      </c>
      <c r="AI293" s="5" t="str">
        <f>IF(AND(LEN(AF293)=0, LEN(AG293)=0), "", IF(AND(LEN(AF293)&gt;0, LEN(AG293)=0), "BLANCO", IFERROR(VLOOKUP(AG293, BasedatosM9!A:B, 2, FALSE), "BLANCO")))</f>
        <v/>
      </c>
      <c r="AU293" s="5" t="str">
        <f>IF(AND(LEN(AR293)=0, LEN(AS293)=0), "", IF(AND(LEN(AR293)&gt;0, LEN(AS293)=0), "BLANCO", IFERROR(VLOOKUP(AS293, BasedatosM9!A:B, 2, FALSE), "BLANCO")))</f>
        <v/>
      </c>
    </row>
    <row r="294" spans="1:47" ht="14.4">
      <c r="A294" s="21"/>
      <c r="B294" s="86"/>
      <c r="C294" s="98"/>
      <c r="D294" s="21"/>
      <c r="E294" s="86"/>
      <c r="F294" s="99"/>
      <c r="G294" s="99"/>
      <c r="H294" s="21"/>
      <c r="I294" s="21"/>
      <c r="J294" s="21"/>
      <c r="K294" s="5" t="str">
        <f>IF(AND(LEN(H294)=0, LEN(I294)=0), "", IF(AND(LEN(H294)&gt;0, LEN(I294)=0), "BLANCO", IFERROR(VLOOKUP(I294, BasedatosM9!A:B, 2, FALSE), "BLANCO")))</f>
        <v/>
      </c>
      <c r="W294" s="5" t="str">
        <f>IF(AND(LEN(T294)=0, LEN(U294)=0), "", IF(AND(LEN(T294)&gt;0, LEN(U294)=0), "BLANCO", IFERROR(VLOOKUP(U294, BasedatosM9!A:B, 2, FALSE), "BLANCO")))</f>
        <v/>
      </c>
      <c r="AI294" s="5" t="str">
        <f>IF(AND(LEN(AF294)=0, LEN(AG294)=0), "", IF(AND(LEN(AF294)&gt;0, LEN(AG294)=0), "BLANCO", IFERROR(VLOOKUP(AG294, BasedatosM9!A:B, 2, FALSE), "BLANCO")))</f>
        <v/>
      </c>
      <c r="AU294" s="5" t="str">
        <f>IF(AND(LEN(AR294)=0, LEN(AS294)=0), "", IF(AND(LEN(AR294)&gt;0, LEN(AS294)=0), "BLANCO", IFERROR(VLOOKUP(AS294, BasedatosM9!A:B, 2, FALSE), "BLANCO")))</f>
        <v/>
      </c>
    </row>
    <row r="295" spans="1:47" ht="14.4">
      <c r="A295" s="21"/>
      <c r="B295" s="86"/>
      <c r="C295" s="98"/>
      <c r="D295" s="21"/>
      <c r="E295" s="86"/>
      <c r="F295" s="99"/>
      <c r="G295" s="99"/>
      <c r="H295" s="21"/>
      <c r="I295" s="86"/>
      <c r="J295" s="21"/>
      <c r="K295" s="5" t="str">
        <f>IF(AND(LEN(H295)=0, LEN(I295)=0), "", IF(AND(LEN(H295)&gt;0, LEN(I295)=0), "BLANCO", IFERROR(VLOOKUP(I295, BasedatosM9!A:B, 2, FALSE), "BLANCO")))</f>
        <v/>
      </c>
      <c r="W295" s="5" t="str">
        <f>IF(AND(LEN(T295)=0, LEN(U295)=0), "", IF(AND(LEN(T295)&gt;0, LEN(U295)=0), "BLANCO", IFERROR(VLOOKUP(U295, BasedatosM9!A:B, 2, FALSE), "BLANCO")))</f>
        <v/>
      </c>
      <c r="AI295" s="5" t="str">
        <f>IF(AND(LEN(AF295)=0, LEN(AG295)=0), "", IF(AND(LEN(AF295)&gt;0, LEN(AG295)=0), "BLANCO", IFERROR(VLOOKUP(AG295, BasedatosM9!A:B, 2, FALSE), "BLANCO")))</f>
        <v/>
      </c>
      <c r="AU295" s="5" t="str">
        <f>IF(AND(LEN(AR295)=0, LEN(AS295)=0), "", IF(AND(LEN(AR295)&gt;0, LEN(AS295)=0), "BLANCO", IFERROR(VLOOKUP(AS295, BasedatosM9!A:B, 2, FALSE), "BLANCO")))</f>
        <v/>
      </c>
    </row>
    <row r="296" spans="1:47" ht="14.4">
      <c r="A296" s="21"/>
      <c r="B296" s="86"/>
      <c r="C296" s="98"/>
      <c r="D296" s="21"/>
      <c r="E296" s="86"/>
      <c r="F296" s="99"/>
      <c r="G296" s="99"/>
      <c r="H296" s="21"/>
      <c r="I296" s="86"/>
      <c r="J296" s="21"/>
      <c r="K296" s="5" t="str">
        <f>IF(AND(LEN(H296)=0, LEN(I296)=0), "", IF(AND(LEN(H296)&gt;0, LEN(I296)=0), "BLANCO", IFERROR(VLOOKUP(I296, BasedatosM9!A:B, 2, FALSE), "BLANCO")))</f>
        <v/>
      </c>
      <c r="W296" s="5" t="str">
        <f>IF(AND(LEN(T296)=0, LEN(U296)=0), "", IF(AND(LEN(T296)&gt;0, LEN(U296)=0), "BLANCO", IFERROR(VLOOKUP(U296, BasedatosM9!A:B, 2, FALSE), "BLANCO")))</f>
        <v/>
      </c>
      <c r="AI296" s="5" t="str">
        <f>IF(AND(LEN(AF296)=0, LEN(AG296)=0), "", IF(AND(LEN(AF296)&gt;0, LEN(AG296)=0), "BLANCO", IFERROR(VLOOKUP(AG296, BasedatosM9!A:B, 2, FALSE), "BLANCO")))</f>
        <v/>
      </c>
      <c r="AU296" s="5" t="str">
        <f>IF(AND(LEN(AR296)=0, LEN(AS296)=0), "", IF(AND(LEN(AR296)&gt;0, LEN(AS296)=0), "BLANCO", IFERROR(VLOOKUP(AS296, BasedatosM9!A:B, 2, FALSE), "BLANCO")))</f>
        <v/>
      </c>
    </row>
    <row r="297" spans="1:47" ht="14.4">
      <c r="A297" s="21"/>
      <c r="B297" s="86"/>
      <c r="C297" s="98"/>
      <c r="D297" s="21"/>
      <c r="E297" s="86"/>
      <c r="F297" s="99"/>
      <c r="G297" s="99"/>
      <c r="H297" s="21"/>
      <c r="I297" s="86"/>
      <c r="J297" s="21"/>
      <c r="K297" s="5" t="str">
        <f>IF(AND(LEN(H297)=0, LEN(I297)=0), "", IF(AND(LEN(H297)&gt;0, LEN(I297)=0), "BLANCO", IFERROR(VLOOKUP(I297, BasedatosM9!A:B, 2, FALSE), "BLANCO")))</f>
        <v/>
      </c>
      <c r="W297" s="5" t="str">
        <f>IF(AND(LEN(T297)=0, LEN(U297)=0), "", IF(AND(LEN(T297)&gt;0, LEN(U297)=0), "BLANCO", IFERROR(VLOOKUP(U297, BasedatosM9!A:B, 2, FALSE), "BLANCO")))</f>
        <v/>
      </c>
      <c r="AI297" s="5" t="str">
        <f>IF(AND(LEN(AF297)=0, LEN(AG297)=0), "", IF(AND(LEN(AF297)&gt;0, LEN(AG297)=0), "BLANCO", IFERROR(VLOOKUP(AG297, BasedatosM9!A:B, 2, FALSE), "BLANCO")))</f>
        <v/>
      </c>
      <c r="AU297" s="5" t="str">
        <f>IF(AND(LEN(AR297)=0, LEN(AS297)=0), "", IF(AND(LEN(AR297)&gt;0, LEN(AS297)=0), "BLANCO", IFERROR(VLOOKUP(AS297, BasedatosM9!A:B, 2, FALSE), "BLANCO")))</f>
        <v/>
      </c>
    </row>
    <row r="298" spans="1:47" ht="14.4">
      <c r="A298" s="21"/>
      <c r="B298" s="86"/>
      <c r="C298" s="98"/>
      <c r="D298" s="21"/>
      <c r="E298" s="86"/>
      <c r="F298" s="99"/>
      <c r="G298" s="99"/>
      <c r="H298" s="21"/>
      <c r="I298" s="21"/>
      <c r="J298" s="21"/>
      <c r="K298" s="5" t="str">
        <f>IF(AND(LEN(H298)=0, LEN(I298)=0), "", IF(AND(LEN(H298)&gt;0, LEN(I298)=0), "BLANCO", IFERROR(VLOOKUP(I298, BasedatosM9!A:B, 2, FALSE), "BLANCO")))</f>
        <v/>
      </c>
      <c r="W298" s="5" t="str">
        <f>IF(AND(LEN(T298)=0, LEN(U298)=0), "", IF(AND(LEN(T298)&gt;0, LEN(U298)=0), "BLANCO", IFERROR(VLOOKUP(U298, BasedatosM9!A:B, 2, FALSE), "BLANCO")))</f>
        <v/>
      </c>
      <c r="AI298" s="5" t="str">
        <f>IF(AND(LEN(AF298)=0, LEN(AG298)=0), "", IF(AND(LEN(AF298)&gt;0, LEN(AG298)=0), "BLANCO", IFERROR(VLOOKUP(AG298, BasedatosM9!A:B, 2, FALSE), "BLANCO")))</f>
        <v/>
      </c>
      <c r="AU298" s="5" t="str">
        <f>IF(AND(LEN(AR298)=0, LEN(AS298)=0), "", IF(AND(LEN(AR298)&gt;0, LEN(AS298)=0), "BLANCO", IFERROR(VLOOKUP(AS298, BasedatosM9!A:B, 2, FALSE), "BLANCO")))</f>
        <v/>
      </c>
    </row>
    <row r="299" spans="1:47" ht="14.4">
      <c r="A299" s="21"/>
      <c r="B299" s="86"/>
      <c r="C299" s="98"/>
      <c r="D299" s="21"/>
      <c r="E299" s="86"/>
      <c r="F299" s="99"/>
      <c r="G299" s="99"/>
      <c r="H299" s="21"/>
      <c r="I299" s="86"/>
      <c r="J299" s="21"/>
      <c r="K299" s="5" t="str">
        <f>IF(AND(LEN(H299)=0, LEN(I299)=0), "", IF(AND(LEN(H299)&gt;0, LEN(I299)=0), "BLANCO", IFERROR(VLOOKUP(I299, BasedatosM9!A:B, 2, FALSE), "BLANCO")))</f>
        <v/>
      </c>
      <c r="W299" s="5" t="str">
        <f>IF(AND(LEN(T299)=0, LEN(U299)=0), "", IF(AND(LEN(T299)&gt;0, LEN(U299)=0), "BLANCO", IFERROR(VLOOKUP(U299, BasedatosM9!A:B, 2, FALSE), "BLANCO")))</f>
        <v/>
      </c>
      <c r="AI299" s="5" t="str">
        <f>IF(AND(LEN(AF299)=0, LEN(AG299)=0), "", IF(AND(LEN(AF299)&gt;0, LEN(AG299)=0), "BLANCO", IFERROR(VLOOKUP(AG299, BasedatosM9!A:B, 2, FALSE), "BLANCO")))</f>
        <v/>
      </c>
      <c r="AU299" s="5" t="str">
        <f>IF(AND(LEN(AR299)=0, LEN(AS299)=0), "", IF(AND(LEN(AR299)&gt;0, LEN(AS299)=0), "BLANCO", IFERROR(VLOOKUP(AS299, BasedatosM9!A:B, 2, FALSE), "BLANCO")))</f>
        <v/>
      </c>
    </row>
    <row r="300" spans="1:47" ht="14.4">
      <c r="A300" s="21"/>
      <c r="B300" s="86"/>
      <c r="C300" s="98"/>
      <c r="D300" s="21"/>
      <c r="E300" s="86"/>
      <c r="F300" s="99"/>
      <c r="G300" s="99"/>
      <c r="H300" s="21"/>
      <c r="I300" s="86"/>
      <c r="J300" s="21"/>
      <c r="K300" s="5" t="str">
        <f>IF(AND(LEN(H300)=0, LEN(I300)=0), "", IF(AND(LEN(H300)&gt;0, LEN(I300)=0), "BLANCO", IFERROR(VLOOKUP(I300, BasedatosM9!A:B, 2, FALSE), "BLANCO")))</f>
        <v/>
      </c>
      <c r="W300" s="5" t="str">
        <f>IF(AND(LEN(T300)=0, LEN(U300)=0), "", IF(AND(LEN(T300)&gt;0, LEN(U300)=0), "BLANCO", IFERROR(VLOOKUP(U300, BasedatosM9!A:B, 2, FALSE), "BLANCO")))</f>
        <v/>
      </c>
      <c r="AI300" s="5" t="str">
        <f>IF(AND(LEN(AF300)=0, LEN(AG300)=0), "", IF(AND(LEN(AF300)&gt;0, LEN(AG300)=0), "BLANCO", IFERROR(VLOOKUP(AG300, BasedatosM9!A:B, 2, FALSE), "BLANCO")))</f>
        <v/>
      </c>
      <c r="AU300" s="5" t="str">
        <f>IF(AND(LEN(AR300)=0, LEN(AS300)=0), "", IF(AND(LEN(AR300)&gt;0, LEN(AS300)=0), "BLANCO", IFERROR(VLOOKUP(AS300, BasedatosM9!A:B, 2, FALSE), "BLANCO")))</f>
        <v/>
      </c>
    </row>
    <row r="301" spans="1:47" ht="14.4">
      <c r="A301" s="21"/>
      <c r="B301" s="86"/>
      <c r="C301" s="98"/>
      <c r="D301" s="21"/>
      <c r="E301" s="86"/>
      <c r="F301" s="99"/>
      <c r="G301" s="99"/>
      <c r="H301" s="21"/>
      <c r="I301" s="86"/>
      <c r="J301" s="21"/>
      <c r="K301" s="5" t="str">
        <f>IF(AND(LEN(H301)=0, LEN(I301)=0), "", IF(AND(LEN(H301)&gt;0, LEN(I301)=0), "BLANCO", IFERROR(VLOOKUP(I301, BasedatosM9!A:B, 2, FALSE), "BLANCO")))</f>
        <v/>
      </c>
      <c r="W301" s="5" t="str">
        <f>IF(AND(LEN(T301)=0, LEN(U301)=0), "", IF(AND(LEN(T301)&gt;0, LEN(U301)=0), "BLANCO", IFERROR(VLOOKUP(U301, BasedatosM9!A:B, 2, FALSE), "BLANCO")))</f>
        <v/>
      </c>
      <c r="AI301" s="5" t="str">
        <f>IF(AND(LEN(AF301)=0, LEN(AG301)=0), "", IF(AND(LEN(AF301)&gt;0, LEN(AG301)=0), "BLANCO", IFERROR(VLOOKUP(AG301, BasedatosM9!A:B, 2, FALSE), "BLANCO")))</f>
        <v/>
      </c>
      <c r="AU301" s="5" t="str">
        <f>IF(AND(LEN(AR301)=0, LEN(AS301)=0), "", IF(AND(LEN(AR301)&gt;0, LEN(AS301)=0), "BLANCO", IFERROR(VLOOKUP(AS301, BasedatosM9!A:B, 2, FALSE), "BLANCO")))</f>
        <v/>
      </c>
    </row>
    <row r="302" spans="1:47" ht="14.4">
      <c r="A302" s="21"/>
      <c r="B302" s="86"/>
      <c r="C302" s="98"/>
      <c r="D302" s="21"/>
      <c r="E302" s="86"/>
      <c r="F302" s="99"/>
      <c r="G302" s="99"/>
      <c r="H302" s="21"/>
      <c r="I302" s="86"/>
      <c r="J302" s="21"/>
      <c r="K302" s="5" t="str">
        <f>IF(AND(LEN(H302)=0, LEN(I302)=0), "", IF(AND(LEN(H302)&gt;0, LEN(I302)=0), "BLANCO", IFERROR(VLOOKUP(I302, BasedatosM9!A:B, 2, FALSE), "BLANCO")))</f>
        <v/>
      </c>
      <c r="W302" s="5" t="str">
        <f>IF(AND(LEN(T302)=0, LEN(U302)=0), "", IF(AND(LEN(T302)&gt;0, LEN(U302)=0), "BLANCO", IFERROR(VLOOKUP(U302, BasedatosM9!A:B, 2, FALSE), "BLANCO")))</f>
        <v/>
      </c>
      <c r="AI302" s="5" t="str">
        <f>IF(AND(LEN(AF302)=0, LEN(AG302)=0), "", IF(AND(LEN(AF302)&gt;0, LEN(AG302)=0), "BLANCO", IFERROR(VLOOKUP(AG302, BasedatosM9!A:B, 2, FALSE), "BLANCO")))</f>
        <v/>
      </c>
      <c r="AU302" s="5" t="str">
        <f>IF(AND(LEN(AR302)=0, LEN(AS302)=0), "", IF(AND(LEN(AR302)&gt;0, LEN(AS302)=0), "BLANCO", IFERROR(VLOOKUP(AS302, BasedatosM9!A:B, 2, FALSE), "BLANCO")))</f>
        <v/>
      </c>
    </row>
    <row r="303" spans="1:47" ht="14.4">
      <c r="A303" s="21"/>
      <c r="B303" s="86"/>
      <c r="C303" s="98"/>
      <c r="D303" s="21"/>
      <c r="E303" s="86"/>
      <c r="F303" s="99"/>
      <c r="G303" s="99"/>
      <c r="H303" s="21"/>
      <c r="I303" s="86"/>
      <c r="J303" s="21"/>
      <c r="K303" s="5" t="str">
        <f>IF(AND(LEN(H303)=0, LEN(I303)=0), "", IF(AND(LEN(H303)&gt;0, LEN(I303)=0), "BLANCO", IFERROR(VLOOKUP(I303, BasedatosM9!A:B, 2, FALSE), "BLANCO")))</f>
        <v/>
      </c>
      <c r="W303" s="5" t="str">
        <f>IF(AND(LEN(T303)=0, LEN(U303)=0), "", IF(AND(LEN(T303)&gt;0, LEN(U303)=0), "BLANCO", IFERROR(VLOOKUP(U303, BasedatosM9!A:B, 2, FALSE), "BLANCO")))</f>
        <v/>
      </c>
      <c r="AI303" s="5" t="str">
        <f>IF(AND(LEN(AF303)=0, LEN(AG303)=0), "", IF(AND(LEN(AF303)&gt;0, LEN(AG303)=0), "BLANCO", IFERROR(VLOOKUP(AG303, BasedatosM9!A:B, 2, FALSE), "BLANCO")))</f>
        <v/>
      </c>
      <c r="AU303" s="5" t="str">
        <f>IF(AND(LEN(AR303)=0, LEN(AS303)=0), "", IF(AND(LEN(AR303)&gt;0, LEN(AS303)=0), "BLANCO", IFERROR(VLOOKUP(AS303, BasedatosM9!A:B, 2, FALSE), "BLANCO")))</f>
        <v/>
      </c>
    </row>
    <row r="304" spans="1:47" ht="14.4">
      <c r="A304" s="21"/>
      <c r="B304" s="86"/>
      <c r="C304" s="98"/>
      <c r="D304" s="21"/>
      <c r="E304" s="86"/>
      <c r="F304" s="99"/>
      <c r="G304" s="99"/>
      <c r="H304" s="21"/>
      <c r="I304" s="21"/>
      <c r="J304" s="21"/>
      <c r="K304" s="5" t="str">
        <f>IF(AND(LEN(H304)=0, LEN(I304)=0), "", IF(AND(LEN(H304)&gt;0, LEN(I304)=0), "BLANCO", IFERROR(VLOOKUP(I304, BasedatosM9!A:B, 2, FALSE), "BLANCO")))</f>
        <v/>
      </c>
      <c r="W304" s="5" t="str">
        <f>IF(AND(LEN(T304)=0, LEN(U304)=0), "", IF(AND(LEN(T304)&gt;0, LEN(U304)=0), "BLANCO", IFERROR(VLOOKUP(U304, BasedatosM9!A:B, 2, FALSE), "BLANCO")))</f>
        <v/>
      </c>
      <c r="AI304" s="5" t="str">
        <f>IF(AND(LEN(AF304)=0, LEN(AG304)=0), "", IF(AND(LEN(AF304)&gt;0, LEN(AG304)=0), "BLANCO", IFERROR(VLOOKUP(AG304, BasedatosM9!A:B, 2, FALSE), "BLANCO")))</f>
        <v/>
      </c>
      <c r="AU304" s="5" t="str">
        <f>IF(AND(LEN(AR304)=0, LEN(AS304)=0), "", IF(AND(LEN(AR304)&gt;0, LEN(AS304)=0), "BLANCO", IFERROR(VLOOKUP(AS304, BasedatosM9!A:B, 2, FALSE), "BLANCO")))</f>
        <v/>
      </c>
    </row>
    <row r="305" spans="1:47" ht="14.4">
      <c r="A305" s="21"/>
      <c r="B305" s="86"/>
      <c r="C305" s="98"/>
      <c r="D305" s="21"/>
      <c r="E305" s="86"/>
      <c r="F305" s="99"/>
      <c r="G305" s="99"/>
      <c r="H305" s="21"/>
      <c r="I305" s="86"/>
      <c r="J305" s="21"/>
      <c r="K305" s="5" t="str">
        <f>IF(AND(LEN(H305)=0, LEN(I305)=0), "", IF(AND(LEN(H305)&gt;0, LEN(I305)=0), "BLANCO", IFERROR(VLOOKUP(I305, BasedatosM9!A:B, 2, FALSE), "BLANCO")))</f>
        <v/>
      </c>
      <c r="W305" s="5" t="str">
        <f>IF(AND(LEN(T305)=0, LEN(U305)=0), "", IF(AND(LEN(T305)&gt;0, LEN(U305)=0), "BLANCO", IFERROR(VLOOKUP(U305, BasedatosM9!A:B, 2, FALSE), "BLANCO")))</f>
        <v/>
      </c>
      <c r="AI305" s="5" t="str">
        <f>IF(AND(LEN(AF305)=0, LEN(AG305)=0), "", IF(AND(LEN(AF305)&gt;0, LEN(AG305)=0), "BLANCO", IFERROR(VLOOKUP(AG305, BasedatosM9!A:B, 2, FALSE), "BLANCO")))</f>
        <v/>
      </c>
      <c r="AU305" s="5" t="str">
        <f>IF(AND(LEN(AR305)=0, LEN(AS305)=0), "", IF(AND(LEN(AR305)&gt;0, LEN(AS305)=0), "BLANCO", IFERROR(VLOOKUP(AS305, BasedatosM9!A:B, 2, FALSE), "BLANCO")))</f>
        <v/>
      </c>
    </row>
    <row r="306" spans="1:47" ht="14.4">
      <c r="A306" s="21"/>
      <c r="B306" s="86"/>
      <c r="C306" s="98"/>
      <c r="D306" s="21"/>
      <c r="E306" s="86"/>
      <c r="F306" s="99"/>
      <c r="G306" s="99"/>
      <c r="H306" s="21"/>
      <c r="I306" s="21"/>
      <c r="J306" s="21"/>
      <c r="K306" s="5" t="str">
        <f>IF(AND(LEN(H306)=0, LEN(I306)=0), "", IF(AND(LEN(H306)&gt;0, LEN(I306)=0), "BLANCO", IFERROR(VLOOKUP(I306, BasedatosM9!A:B, 2, FALSE), "BLANCO")))</f>
        <v/>
      </c>
      <c r="W306" s="5" t="str">
        <f>IF(AND(LEN(T306)=0, LEN(U306)=0), "", IF(AND(LEN(T306)&gt;0, LEN(U306)=0), "BLANCO", IFERROR(VLOOKUP(U306, BasedatosM9!A:B, 2, FALSE), "BLANCO")))</f>
        <v/>
      </c>
      <c r="AI306" s="5" t="str">
        <f>IF(AND(LEN(AF306)=0, LEN(AG306)=0), "", IF(AND(LEN(AF306)&gt;0, LEN(AG306)=0), "BLANCO", IFERROR(VLOOKUP(AG306, BasedatosM9!A:B, 2, FALSE), "BLANCO")))</f>
        <v/>
      </c>
      <c r="AU306" s="5" t="str">
        <f>IF(AND(LEN(AR306)=0, LEN(AS306)=0), "", IF(AND(LEN(AR306)&gt;0, LEN(AS306)=0), "BLANCO", IFERROR(VLOOKUP(AS306, BasedatosM9!A:B, 2, FALSE), "BLANCO")))</f>
        <v/>
      </c>
    </row>
    <row r="307" spans="1:47" ht="14.4">
      <c r="A307" s="21"/>
      <c r="B307" s="86"/>
      <c r="C307" s="98"/>
      <c r="D307" s="21"/>
      <c r="E307" s="86"/>
      <c r="F307" s="99"/>
      <c r="G307" s="99"/>
      <c r="H307" s="21"/>
      <c r="I307" s="86"/>
      <c r="J307" s="21"/>
      <c r="K307" s="5" t="str">
        <f>IF(AND(LEN(H307)=0, LEN(I307)=0), "", IF(AND(LEN(H307)&gt;0, LEN(I307)=0), "BLANCO", IFERROR(VLOOKUP(I307, BasedatosM9!A:B, 2, FALSE), "BLANCO")))</f>
        <v/>
      </c>
      <c r="W307" s="5" t="str">
        <f>IF(AND(LEN(T307)=0, LEN(U307)=0), "", IF(AND(LEN(T307)&gt;0, LEN(U307)=0), "BLANCO", IFERROR(VLOOKUP(U307, BasedatosM9!A:B, 2, FALSE), "BLANCO")))</f>
        <v/>
      </c>
      <c r="AI307" s="5" t="str">
        <f>IF(AND(LEN(AF307)=0, LEN(AG307)=0), "", IF(AND(LEN(AF307)&gt;0, LEN(AG307)=0), "BLANCO", IFERROR(VLOOKUP(AG307, BasedatosM9!A:B, 2, FALSE), "BLANCO")))</f>
        <v/>
      </c>
      <c r="AU307" s="5" t="str">
        <f>IF(AND(LEN(AR307)=0, LEN(AS307)=0), "", IF(AND(LEN(AR307)&gt;0, LEN(AS307)=0), "BLANCO", IFERROR(VLOOKUP(AS307, BasedatosM9!A:B, 2, FALSE), "BLANCO")))</f>
        <v/>
      </c>
    </row>
    <row r="308" spans="1:47" ht="14.4">
      <c r="A308" s="21"/>
      <c r="B308" s="86"/>
      <c r="C308" s="98"/>
      <c r="D308" s="21"/>
      <c r="E308" s="86"/>
      <c r="F308" s="99"/>
      <c r="G308" s="99"/>
      <c r="H308" s="21"/>
      <c r="I308" s="21"/>
      <c r="J308" s="21"/>
      <c r="K308" s="5" t="str">
        <f>IF(AND(LEN(H308)=0, LEN(I308)=0), "", IF(AND(LEN(H308)&gt;0, LEN(I308)=0), "BLANCO", IFERROR(VLOOKUP(I308, BasedatosM9!A:B, 2, FALSE), "BLANCO")))</f>
        <v/>
      </c>
      <c r="W308" s="5" t="str">
        <f>IF(AND(LEN(T308)=0, LEN(U308)=0), "", IF(AND(LEN(T308)&gt;0, LEN(U308)=0), "BLANCO", IFERROR(VLOOKUP(U308, BasedatosM9!A:B, 2, FALSE), "BLANCO")))</f>
        <v/>
      </c>
      <c r="AI308" s="5" t="str">
        <f>IF(AND(LEN(AF308)=0, LEN(AG308)=0), "", IF(AND(LEN(AF308)&gt;0, LEN(AG308)=0), "BLANCO", IFERROR(VLOOKUP(AG308, BasedatosM9!A:B, 2, FALSE), "BLANCO")))</f>
        <v/>
      </c>
      <c r="AU308" s="5" t="str">
        <f>IF(AND(LEN(AR308)=0, LEN(AS308)=0), "", IF(AND(LEN(AR308)&gt;0, LEN(AS308)=0), "BLANCO", IFERROR(VLOOKUP(AS308, BasedatosM9!A:B, 2, FALSE), "BLANCO")))</f>
        <v/>
      </c>
    </row>
    <row r="309" spans="1:47" ht="14.4">
      <c r="A309" s="21"/>
      <c r="B309" s="86"/>
      <c r="C309" s="98"/>
      <c r="D309" s="21"/>
      <c r="E309" s="86"/>
      <c r="F309" s="99"/>
      <c r="G309" s="99"/>
      <c r="H309" s="21"/>
      <c r="I309" s="86"/>
      <c r="J309" s="21"/>
      <c r="K309" s="5" t="str">
        <f>IF(AND(LEN(H309)=0, LEN(I309)=0), "", IF(AND(LEN(H309)&gt;0, LEN(I309)=0), "BLANCO", IFERROR(VLOOKUP(I309, BasedatosM9!A:B, 2, FALSE), "BLANCO")))</f>
        <v/>
      </c>
      <c r="W309" s="5" t="str">
        <f>IF(AND(LEN(T309)=0, LEN(U309)=0), "", IF(AND(LEN(T309)&gt;0, LEN(U309)=0), "BLANCO", IFERROR(VLOOKUP(U309, BasedatosM9!A:B, 2, FALSE), "BLANCO")))</f>
        <v/>
      </c>
      <c r="AI309" s="5" t="str">
        <f>IF(AND(LEN(AF309)=0, LEN(AG309)=0), "", IF(AND(LEN(AF309)&gt;0, LEN(AG309)=0), "BLANCO", IFERROR(VLOOKUP(AG309, BasedatosM9!A:B, 2, FALSE), "BLANCO")))</f>
        <v/>
      </c>
      <c r="AU309" s="5" t="str">
        <f>IF(AND(LEN(AR309)=0, LEN(AS309)=0), "", IF(AND(LEN(AR309)&gt;0, LEN(AS309)=0), "BLANCO", IFERROR(VLOOKUP(AS309, BasedatosM9!A:B, 2, FALSE), "BLANCO")))</f>
        <v/>
      </c>
    </row>
    <row r="310" spans="1:47" ht="14.4">
      <c r="A310" s="21"/>
      <c r="B310" s="86"/>
      <c r="C310" s="98"/>
      <c r="D310" s="21"/>
      <c r="E310" s="86"/>
      <c r="F310" s="99"/>
      <c r="G310" s="99"/>
      <c r="H310" s="21"/>
      <c r="I310" s="86"/>
      <c r="J310" s="21"/>
      <c r="K310" s="5" t="str">
        <f>IF(AND(LEN(H310)=0, LEN(I310)=0), "", IF(AND(LEN(H310)&gt;0, LEN(I310)=0), "BLANCO", IFERROR(VLOOKUP(I310, BasedatosM9!A:B, 2, FALSE), "BLANCO")))</f>
        <v/>
      </c>
      <c r="W310" s="5" t="str">
        <f>IF(AND(LEN(T310)=0, LEN(U310)=0), "", IF(AND(LEN(T310)&gt;0, LEN(U310)=0), "BLANCO", IFERROR(VLOOKUP(U310, BasedatosM9!A:B, 2, FALSE), "BLANCO")))</f>
        <v/>
      </c>
      <c r="AI310" s="5" t="str">
        <f>IF(AND(LEN(AF310)=0, LEN(AG310)=0), "", IF(AND(LEN(AF310)&gt;0, LEN(AG310)=0), "BLANCO", IFERROR(VLOOKUP(AG310, BasedatosM9!A:B, 2, FALSE), "BLANCO")))</f>
        <v/>
      </c>
      <c r="AU310" s="5" t="str">
        <f>IF(AND(LEN(AR310)=0, LEN(AS310)=0), "", IF(AND(LEN(AR310)&gt;0, LEN(AS310)=0), "BLANCO", IFERROR(VLOOKUP(AS310, BasedatosM9!A:B, 2, FALSE), "BLANCO")))</f>
        <v/>
      </c>
    </row>
    <row r="311" spans="1:47" ht="14.4">
      <c r="A311" s="21"/>
      <c r="B311" s="86"/>
      <c r="C311" s="98"/>
      <c r="D311" s="21"/>
      <c r="E311" s="86"/>
      <c r="F311" s="99"/>
      <c r="G311" s="99"/>
      <c r="H311" s="21"/>
      <c r="I311" s="86"/>
      <c r="J311" s="21"/>
      <c r="K311" s="5" t="str">
        <f>IF(AND(LEN(H311)=0, LEN(I311)=0), "", IF(AND(LEN(H311)&gt;0, LEN(I311)=0), "BLANCO", IFERROR(VLOOKUP(I311, BasedatosM9!A:B, 2, FALSE), "BLANCO")))</f>
        <v/>
      </c>
      <c r="W311" s="5" t="str">
        <f>IF(AND(LEN(T311)=0, LEN(U311)=0), "", IF(AND(LEN(T311)&gt;0, LEN(U311)=0), "BLANCO", IFERROR(VLOOKUP(U311, BasedatosM9!A:B, 2, FALSE), "BLANCO")))</f>
        <v/>
      </c>
      <c r="AI311" s="5" t="str">
        <f>IF(AND(LEN(AF311)=0, LEN(AG311)=0), "", IF(AND(LEN(AF311)&gt;0, LEN(AG311)=0), "BLANCO", IFERROR(VLOOKUP(AG311, BasedatosM9!A:B, 2, FALSE), "BLANCO")))</f>
        <v/>
      </c>
      <c r="AU311" s="5" t="str">
        <f>IF(AND(LEN(AR311)=0, LEN(AS311)=0), "", IF(AND(LEN(AR311)&gt;0, LEN(AS311)=0), "BLANCO", IFERROR(VLOOKUP(AS311, BasedatosM9!A:B, 2, FALSE), "BLANCO")))</f>
        <v/>
      </c>
    </row>
    <row r="312" spans="1:47" ht="14.4">
      <c r="A312" s="21"/>
      <c r="B312" s="86"/>
      <c r="C312" s="98"/>
      <c r="D312" s="21"/>
      <c r="E312" s="86"/>
      <c r="F312" s="99"/>
      <c r="G312" s="99"/>
      <c r="H312" s="21"/>
      <c r="I312" s="21"/>
      <c r="J312" s="21"/>
      <c r="K312" s="5" t="str">
        <f>IF(AND(LEN(H312)=0, LEN(I312)=0), "", IF(AND(LEN(H312)&gt;0, LEN(I312)=0), "BLANCO", IFERROR(VLOOKUP(I312, BasedatosM9!A:B, 2, FALSE), "BLANCO")))</f>
        <v/>
      </c>
      <c r="W312" s="5" t="str">
        <f>IF(AND(LEN(T312)=0, LEN(U312)=0), "", IF(AND(LEN(T312)&gt;0, LEN(U312)=0), "BLANCO", IFERROR(VLOOKUP(U312, BasedatosM9!A:B, 2, FALSE), "BLANCO")))</f>
        <v/>
      </c>
      <c r="AI312" s="5" t="str">
        <f>IF(AND(LEN(AF312)=0, LEN(AG312)=0), "", IF(AND(LEN(AF312)&gt;0, LEN(AG312)=0), "BLANCO", IFERROR(VLOOKUP(AG312, BasedatosM9!A:B, 2, FALSE), "BLANCO")))</f>
        <v/>
      </c>
      <c r="AU312" s="5" t="str">
        <f>IF(AND(LEN(AR312)=0, LEN(AS312)=0), "", IF(AND(LEN(AR312)&gt;0, LEN(AS312)=0), "BLANCO", IFERROR(VLOOKUP(AS312, BasedatosM9!A:B, 2, FALSE), "BLANCO")))</f>
        <v/>
      </c>
    </row>
    <row r="313" spans="1:47" ht="14.4">
      <c r="A313" s="21"/>
      <c r="B313" s="86"/>
      <c r="C313" s="98"/>
      <c r="D313" s="21"/>
      <c r="E313" s="86"/>
      <c r="F313" s="99"/>
      <c r="G313" s="99"/>
      <c r="H313" s="21"/>
      <c r="I313" s="86"/>
      <c r="J313" s="21"/>
      <c r="K313" s="5" t="str">
        <f>IF(AND(LEN(H313)=0, LEN(I313)=0), "", IF(AND(LEN(H313)&gt;0, LEN(I313)=0), "BLANCO", IFERROR(VLOOKUP(I313, BasedatosM9!A:B, 2, FALSE), "BLANCO")))</f>
        <v/>
      </c>
      <c r="W313" s="5" t="str">
        <f>IF(AND(LEN(T313)=0, LEN(U313)=0), "", IF(AND(LEN(T313)&gt;0, LEN(U313)=0), "BLANCO", IFERROR(VLOOKUP(U313, BasedatosM9!A:B, 2, FALSE), "BLANCO")))</f>
        <v/>
      </c>
      <c r="AI313" s="5" t="str">
        <f>IF(AND(LEN(AF313)=0, LEN(AG313)=0), "", IF(AND(LEN(AF313)&gt;0, LEN(AG313)=0), "BLANCO", IFERROR(VLOOKUP(AG313, BasedatosM9!A:B, 2, FALSE), "BLANCO")))</f>
        <v/>
      </c>
      <c r="AU313" s="5" t="str">
        <f>IF(AND(LEN(AR313)=0, LEN(AS313)=0), "", IF(AND(LEN(AR313)&gt;0, LEN(AS313)=0), "BLANCO", IFERROR(VLOOKUP(AS313, BasedatosM9!A:B, 2, FALSE), "BLANCO")))</f>
        <v/>
      </c>
    </row>
    <row r="314" spans="1:47" ht="14.4">
      <c r="A314" s="21"/>
      <c r="B314" s="86"/>
      <c r="C314" s="98"/>
      <c r="D314" s="21"/>
      <c r="E314" s="86"/>
      <c r="F314" s="99"/>
      <c r="G314" s="99"/>
      <c r="H314" s="21"/>
      <c r="I314" s="86"/>
      <c r="J314" s="21"/>
      <c r="K314" s="5" t="str">
        <f>IF(AND(LEN(H314)=0, LEN(I314)=0), "", IF(AND(LEN(H314)&gt;0, LEN(I314)=0), "BLANCO", IFERROR(VLOOKUP(I314, BasedatosM9!A:B, 2, FALSE), "BLANCO")))</f>
        <v/>
      </c>
      <c r="W314" s="5" t="str">
        <f>IF(AND(LEN(T314)=0, LEN(U314)=0), "", IF(AND(LEN(T314)&gt;0, LEN(U314)=0), "BLANCO", IFERROR(VLOOKUP(U314, BasedatosM9!A:B, 2, FALSE), "BLANCO")))</f>
        <v/>
      </c>
      <c r="AI314" s="5" t="str">
        <f>IF(AND(LEN(AF314)=0, LEN(AG314)=0), "", IF(AND(LEN(AF314)&gt;0, LEN(AG314)=0), "BLANCO", IFERROR(VLOOKUP(AG314, BasedatosM9!A:B, 2, FALSE), "BLANCO")))</f>
        <v/>
      </c>
      <c r="AU314" s="5" t="str">
        <f>IF(AND(LEN(AR314)=0, LEN(AS314)=0), "", IF(AND(LEN(AR314)&gt;0, LEN(AS314)=0), "BLANCO", IFERROR(VLOOKUP(AS314, BasedatosM9!A:B, 2, FALSE), "BLANCO")))</f>
        <v/>
      </c>
    </row>
    <row r="315" spans="1:47" ht="14.4">
      <c r="A315" s="21"/>
      <c r="B315" s="86"/>
      <c r="C315" s="98"/>
      <c r="D315" s="21"/>
      <c r="E315" s="86"/>
      <c r="F315" s="99"/>
      <c r="G315" s="99"/>
      <c r="H315" s="21"/>
      <c r="I315" s="86"/>
      <c r="J315" s="21"/>
      <c r="K315" s="5" t="str">
        <f>IF(AND(LEN(H315)=0, LEN(I315)=0), "", IF(AND(LEN(H315)&gt;0, LEN(I315)=0), "BLANCO", IFERROR(VLOOKUP(I315, BasedatosM9!A:B, 2, FALSE), "BLANCO")))</f>
        <v/>
      </c>
      <c r="W315" s="5" t="str">
        <f>IF(AND(LEN(T315)=0, LEN(U315)=0), "", IF(AND(LEN(T315)&gt;0, LEN(U315)=0), "BLANCO", IFERROR(VLOOKUP(U315, BasedatosM9!A:B, 2, FALSE), "BLANCO")))</f>
        <v/>
      </c>
      <c r="AI315" s="5" t="str">
        <f>IF(AND(LEN(AF315)=0, LEN(AG315)=0), "", IF(AND(LEN(AF315)&gt;0, LEN(AG315)=0), "BLANCO", IFERROR(VLOOKUP(AG315, BasedatosM9!A:B, 2, FALSE), "BLANCO")))</f>
        <v/>
      </c>
      <c r="AU315" s="5" t="str">
        <f>IF(AND(LEN(AR315)=0, LEN(AS315)=0), "", IF(AND(LEN(AR315)&gt;0, LEN(AS315)=0), "BLANCO", IFERROR(VLOOKUP(AS315, BasedatosM9!A:B, 2, FALSE), "BLANCO")))</f>
        <v/>
      </c>
    </row>
    <row r="316" spans="1:47" ht="14.4">
      <c r="A316" s="21"/>
      <c r="B316" s="86"/>
      <c r="C316" s="98"/>
      <c r="D316" s="21"/>
      <c r="E316" s="86"/>
      <c r="F316" s="99"/>
      <c r="G316" s="99"/>
      <c r="H316" s="21"/>
      <c r="I316" s="86"/>
      <c r="J316" s="21"/>
      <c r="K316" s="5" t="str">
        <f>IF(AND(LEN(H316)=0, LEN(I316)=0), "", IF(AND(LEN(H316)&gt;0, LEN(I316)=0), "BLANCO", IFERROR(VLOOKUP(I316, BasedatosM9!A:B, 2, FALSE), "BLANCO")))</f>
        <v/>
      </c>
      <c r="W316" s="5" t="str">
        <f>IF(AND(LEN(T316)=0, LEN(U316)=0), "", IF(AND(LEN(T316)&gt;0, LEN(U316)=0), "BLANCO", IFERROR(VLOOKUP(U316, BasedatosM9!A:B, 2, FALSE), "BLANCO")))</f>
        <v/>
      </c>
      <c r="AI316" s="5" t="str">
        <f>IF(AND(LEN(AF316)=0, LEN(AG316)=0), "", IF(AND(LEN(AF316)&gt;0, LEN(AG316)=0), "BLANCO", IFERROR(VLOOKUP(AG316, BasedatosM9!A:B, 2, FALSE), "BLANCO")))</f>
        <v/>
      </c>
      <c r="AU316" s="5" t="str">
        <f>IF(AND(LEN(AR316)=0, LEN(AS316)=0), "", IF(AND(LEN(AR316)&gt;0, LEN(AS316)=0), "BLANCO", IFERROR(VLOOKUP(AS316, BasedatosM9!A:B, 2, FALSE), "BLANCO")))</f>
        <v/>
      </c>
    </row>
    <row r="317" spans="1:47" ht="14.4">
      <c r="A317" s="21"/>
      <c r="B317" s="86"/>
      <c r="C317" s="98"/>
      <c r="D317" s="21"/>
      <c r="E317" s="86"/>
      <c r="F317" s="99"/>
      <c r="G317" s="99"/>
      <c r="H317" s="21"/>
      <c r="I317" s="86"/>
      <c r="J317" s="21"/>
      <c r="K317" s="5" t="str">
        <f>IF(AND(LEN(H317)=0, LEN(I317)=0), "", IF(AND(LEN(H317)&gt;0, LEN(I317)=0), "BLANCO", IFERROR(VLOOKUP(I317, BasedatosM9!A:B, 2, FALSE), "BLANCO")))</f>
        <v/>
      </c>
      <c r="W317" s="5" t="str">
        <f>IF(AND(LEN(T317)=0, LEN(U317)=0), "", IF(AND(LEN(T317)&gt;0, LEN(U317)=0), "BLANCO", IFERROR(VLOOKUP(U317, BasedatosM9!A:B, 2, FALSE), "BLANCO")))</f>
        <v/>
      </c>
      <c r="AI317" s="5" t="str">
        <f>IF(AND(LEN(AF317)=0, LEN(AG317)=0), "", IF(AND(LEN(AF317)&gt;0, LEN(AG317)=0), "BLANCO", IFERROR(VLOOKUP(AG317, BasedatosM9!A:B, 2, FALSE), "BLANCO")))</f>
        <v/>
      </c>
      <c r="AU317" s="5" t="str">
        <f>IF(AND(LEN(AR317)=0, LEN(AS317)=0), "", IF(AND(LEN(AR317)&gt;0, LEN(AS317)=0), "BLANCO", IFERROR(VLOOKUP(AS317, BasedatosM9!A:B, 2, FALSE), "BLANCO")))</f>
        <v/>
      </c>
    </row>
    <row r="318" spans="1:47" ht="14.4">
      <c r="A318" s="21"/>
      <c r="B318" s="86"/>
      <c r="C318" s="98"/>
      <c r="D318" s="21"/>
      <c r="E318" s="86"/>
      <c r="F318" s="99"/>
      <c r="G318" s="99"/>
      <c r="H318" s="21"/>
      <c r="I318" s="86"/>
      <c r="J318" s="21"/>
      <c r="K318" s="5" t="str">
        <f>IF(AND(LEN(H318)=0, LEN(I318)=0), "", IF(AND(LEN(H318)&gt;0, LEN(I318)=0), "BLANCO", IFERROR(VLOOKUP(I318, BasedatosM9!A:B, 2, FALSE), "BLANCO")))</f>
        <v/>
      </c>
      <c r="W318" s="5" t="str">
        <f>IF(AND(LEN(T318)=0, LEN(U318)=0), "", IF(AND(LEN(T318)&gt;0, LEN(U318)=0), "BLANCO", IFERROR(VLOOKUP(U318, BasedatosM9!A:B, 2, FALSE), "BLANCO")))</f>
        <v/>
      </c>
      <c r="AI318" s="5" t="str">
        <f>IF(AND(LEN(AF318)=0, LEN(AG318)=0), "", IF(AND(LEN(AF318)&gt;0, LEN(AG318)=0), "BLANCO", IFERROR(VLOOKUP(AG318, BasedatosM9!A:B, 2, FALSE), "BLANCO")))</f>
        <v/>
      </c>
      <c r="AU318" s="5" t="str">
        <f>IF(AND(LEN(AR318)=0, LEN(AS318)=0), "", IF(AND(LEN(AR318)&gt;0, LEN(AS318)=0), "BLANCO", IFERROR(VLOOKUP(AS318, BasedatosM9!A:B, 2, FALSE), "BLANCO")))</f>
        <v/>
      </c>
    </row>
    <row r="319" spans="1:47" ht="14.4">
      <c r="A319" s="21"/>
      <c r="B319" s="86"/>
      <c r="C319" s="98"/>
      <c r="D319" s="21"/>
      <c r="E319" s="86"/>
      <c r="F319" s="99"/>
      <c r="G319" s="99"/>
      <c r="H319" s="21"/>
      <c r="I319" s="86"/>
      <c r="J319" s="21"/>
      <c r="K319" s="5" t="str">
        <f>IF(AND(LEN(H319)=0, LEN(I319)=0), "", IF(AND(LEN(H319)&gt;0, LEN(I319)=0), "BLANCO", IFERROR(VLOOKUP(I319, BasedatosM9!A:B, 2, FALSE), "BLANCO")))</f>
        <v/>
      </c>
      <c r="W319" s="5" t="str">
        <f>IF(AND(LEN(T319)=0, LEN(U319)=0), "", IF(AND(LEN(T319)&gt;0, LEN(U319)=0), "BLANCO", IFERROR(VLOOKUP(U319, BasedatosM9!A:B, 2, FALSE), "BLANCO")))</f>
        <v/>
      </c>
      <c r="AI319" s="5" t="str">
        <f>IF(AND(LEN(AF319)=0, LEN(AG319)=0), "", IF(AND(LEN(AF319)&gt;0, LEN(AG319)=0), "BLANCO", IFERROR(VLOOKUP(AG319, BasedatosM9!A:B, 2, FALSE), "BLANCO")))</f>
        <v/>
      </c>
      <c r="AU319" s="5" t="str">
        <f>IF(AND(LEN(AR319)=0, LEN(AS319)=0), "", IF(AND(LEN(AR319)&gt;0, LEN(AS319)=0), "BLANCO", IFERROR(VLOOKUP(AS319, BasedatosM9!A:B, 2, FALSE), "BLANCO")))</f>
        <v/>
      </c>
    </row>
    <row r="320" spans="1:47" ht="14.4">
      <c r="A320" s="21"/>
      <c r="B320" s="86"/>
      <c r="C320" s="98"/>
      <c r="D320" s="21"/>
      <c r="E320" s="86"/>
      <c r="F320" s="99"/>
      <c r="G320" s="99"/>
      <c r="H320" s="21"/>
      <c r="I320" s="86"/>
      <c r="J320" s="21"/>
      <c r="K320" s="5" t="str">
        <f>IF(AND(LEN(H320)=0, LEN(I320)=0), "", IF(AND(LEN(H320)&gt;0, LEN(I320)=0), "BLANCO", IFERROR(VLOOKUP(I320, BasedatosM9!A:B, 2, FALSE), "BLANCO")))</f>
        <v/>
      </c>
      <c r="W320" s="5" t="str">
        <f>IF(AND(LEN(T320)=0, LEN(U320)=0), "", IF(AND(LEN(T320)&gt;0, LEN(U320)=0), "BLANCO", IFERROR(VLOOKUP(U320, BasedatosM9!A:B, 2, FALSE), "BLANCO")))</f>
        <v/>
      </c>
      <c r="AI320" s="5" t="str">
        <f>IF(AND(LEN(AF320)=0, LEN(AG320)=0), "", IF(AND(LEN(AF320)&gt;0, LEN(AG320)=0), "BLANCO", IFERROR(VLOOKUP(AG320, BasedatosM9!A:B, 2, FALSE), "BLANCO")))</f>
        <v/>
      </c>
      <c r="AU320" s="5" t="str">
        <f>IF(AND(LEN(AR320)=0, LEN(AS320)=0), "", IF(AND(LEN(AR320)&gt;0, LEN(AS320)=0), "BLANCO", IFERROR(VLOOKUP(AS320, BasedatosM9!A:B, 2, FALSE), "BLANCO")))</f>
        <v/>
      </c>
    </row>
    <row r="321" spans="1:47" ht="14.4">
      <c r="A321" s="21"/>
      <c r="B321" s="86"/>
      <c r="C321" s="98"/>
      <c r="D321" s="21"/>
      <c r="E321" s="86"/>
      <c r="F321" s="99"/>
      <c r="G321" s="99"/>
      <c r="H321" s="21"/>
      <c r="I321" s="21"/>
      <c r="J321" s="21"/>
      <c r="K321" s="5" t="str">
        <f>IF(AND(LEN(H321)=0, LEN(I321)=0), "", IF(AND(LEN(H321)&gt;0, LEN(I321)=0), "BLANCO", IFERROR(VLOOKUP(I321, BasedatosM9!A:B, 2, FALSE), "BLANCO")))</f>
        <v/>
      </c>
      <c r="W321" s="5" t="str">
        <f>IF(AND(LEN(T321)=0, LEN(U321)=0), "", IF(AND(LEN(T321)&gt;0, LEN(U321)=0), "BLANCO", IFERROR(VLOOKUP(U321, BasedatosM9!A:B, 2, FALSE), "BLANCO")))</f>
        <v/>
      </c>
      <c r="AI321" s="5" t="str">
        <f>IF(AND(LEN(AF321)=0, LEN(AG321)=0), "", IF(AND(LEN(AF321)&gt;0, LEN(AG321)=0), "BLANCO", IFERROR(VLOOKUP(AG321, BasedatosM9!A:B, 2, FALSE), "BLANCO")))</f>
        <v/>
      </c>
      <c r="AU321" s="5" t="str">
        <f>IF(AND(LEN(AR321)=0, LEN(AS321)=0), "", IF(AND(LEN(AR321)&gt;0, LEN(AS321)=0), "BLANCO", IFERROR(VLOOKUP(AS321, BasedatosM9!A:B, 2, FALSE), "BLANCO")))</f>
        <v/>
      </c>
    </row>
    <row r="322" spans="1:47" ht="14.4">
      <c r="A322" s="21"/>
      <c r="B322" s="86"/>
      <c r="C322" s="98"/>
      <c r="D322" s="21"/>
      <c r="E322" s="86"/>
      <c r="F322" s="99"/>
      <c r="G322" s="99"/>
      <c r="H322" s="21"/>
      <c r="I322" s="86"/>
      <c r="J322" s="21"/>
      <c r="K322" s="5" t="str">
        <f>IF(AND(LEN(H322)=0, LEN(I322)=0), "", IF(AND(LEN(H322)&gt;0, LEN(I322)=0), "BLANCO", IFERROR(VLOOKUP(I322, BasedatosM9!A:B, 2, FALSE), "BLANCO")))</f>
        <v/>
      </c>
      <c r="W322" s="5" t="str">
        <f>IF(AND(LEN(T322)=0, LEN(U322)=0), "", IF(AND(LEN(T322)&gt;0, LEN(U322)=0), "BLANCO", IFERROR(VLOOKUP(U322, BasedatosM9!A:B, 2, FALSE), "BLANCO")))</f>
        <v/>
      </c>
      <c r="AI322" s="5" t="str">
        <f>IF(AND(LEN(AF322)=0, LEN(AG322)=0), "", IF(AND(LEN(AF322)&gt;0, LEN(AG322)=0), "BLANCO", IFERROR(VLOOKUP(AG322, BasedatosM9!A:B, 2, FALSE), "BLANCO")))</f>
        <v/>
      </c>
      <c r="AU322" s="5" t="str">
        <f>IF(AND(LEN(AR322)=0, LEN(AS322)=0), "", IF(AND(LEN(AR322)&gt;0, LEN(AS322)=0), "BLANCO", IFERROR(VLOOKUP(AS322, BasedatosM9!A:B, 2, FALSE), "BLANCO")))</f>
        <v/>
      </c>
    </row>
    <row r="323" spans="1:47" ht="14.4">
      <c r="A323" s="21"/>
      <c r="B323" s="86"/>
      <c r="C323" s="98"/>
      <c r="D323" s="21"/>
      <c r="E323" s="86"/>
      <c r="F323" s="99"/>
      <c r="G323" s="99"/>
      <c r="H323" s="21"/>
      <c r="I323" s="86"/>
      <c r="J323" s="21"/>
      <c r="K323" s="5" t="str">
        <f>IF(AND(LEN(H323)=0, LEN(I323)=0), "", IF(AND(LEN(H323)&gt;0, LEN(I323)=0), "BLANCO", IFERROR(VLOOKUP(I323, BasedatosM9!A:B, 2, FALSE), "BLANCO")))</f>
        <v/>
      </c>
      <c r="W323" s="5" t="str">
        <f>IF(AND(LEN(T323)=0, LEN(U323)=0), "", IF(AND(LEN(T323)&gt;0, LEN(U323)=0), "BLANCO", IFERROR(VLOOKUP(U323, BasedatosM9!A:B, 2, FALSE), "BLANCO")))</f>
        <v/>
      </c>
      <c r="AI323" s="5" t="str">
        <f>IF(AND(LEN(AF323)=0, LEN(AG323)=0), "", IF(AND(LEN(AF323)&gt;0, LEN(AG323)=0), "BLANCO", IFERROR(VLOOKUP(AG323, BasedatosM9!A:B, 2, FALSE), "BLANCO")))</f>
        <v/>
      </c>
      <c r="AU323" s="5" t="str">
        <f>IF(AND(LEN(AR323)=0, LEN(AS323)=0), "", IF(AND(LEN(AR323)&gt;0, LEN(AS323)=0), "BLANCO", IFERROR(VLOOKUP(AS323, BasedatosM9!A:B, 2, FALSE), "BLANCO")))</f>
        <v/>
      </c>
    </row>
    <row r="324" spans="1:47" ht="14.4">
      <c r="A324" s="21"/>
      <c r="B324" s="86"/>
      <c r="C324" s="98"/>
      <c r="D324" s="21"/>
      <c r="E324" s="86"/>
      <c r="F324" s="99"/>
      <c r="G324" s="99"/>
      <c r="H324" s="21"/>
      <c r="I324" s="86"/>
      <c r="J324" s="21"/>
      <c r="K324" s="5" t="str">
        <f>IF(AND(LEN(H324)=0, LEN(I324)=0), "", IF(AND(LEN(H324)&gt;0, LEN(I324)=0), "BLANCO", IFERROR(VLOOKUP(I324, BasedatosM9!A:B, 2, FALSE), "BLANCO")))</f>
        <v/>
      </c>
      <c r="W324" s="5" t="str">
        <f>IF(AND(LEN(T324)=0, LEN(U324)=0), "", IF(AND(LEN(T324)&gt;0, LEN(U324)=0), "BLANCO", IFERROR(VLOOKUP(U324, BasedatosM9!A:B, 2, FALSE), "BLANCO")))</f>
        <v/>
      </c>
      <c r="AI324" s="5" t="str">
        <f>IF(AND(LEN(AF324)=0, LEN(AG324)=0), "", IF(AND(LEN(AF324)&gt;0, LEN(AG324)=0), "BLANCO", IFERROR(VLOOKUP(AG324, BasedatosM9!A:B, 2, FALSE), "BLANCO")))</f>
        <v/>
      </c>
      <c r="AU324" s="5" t="str">
        <f>IF(AND(LEN(AR324)=0, LEN(AS324)=0), "", IF(AND(LEN(AR324)&gt;0, LEN(AS324)=0), "BLANCO", IFERROR(VLOOKUP(AS324, BasedatosM9!A:B, 2, FALSE), "BLANCO")))</f>
        <v/>
      </c>
    </row>
    <row r="325" spans="1:47" ht="14.4">
      <c r="A325" s="21"/>
      <c r="B325" s="86"/>
      <c r="C325" s="98"/>
      <c r="D325" s="21"/>
      <c r="E325" s="86"/>
      <c r="F325" s="99"/>
      <c r="G325" s="99"/>
      <c r="H325" s="21"/>
      <c r="I325" s="86"/>
      <c r="J325" s="21"/>
      <c r="K325" s="5" t="str">
        <f>IF(AND(LEN(H325)=0, LEN(I325)=0), "", IF(AND(LEN(H325)&gt;0, LEN(I325)=0), "BLANCO", IFERROR(VLOOKUP(I325, BasedatosM9!A:B, 2, FALSE), "BLANCO")))</f>
        <v/>
      </c>
      <c r="W325" s="5" t="str">
        <f>IF(AND(LEN(T325)=0, LEN(U325)=0), "", IF(AND(LEN(T325)&gt;0, LEN(U325)=0), "BLANCO", IFERROR(VLOOKUP(U325, BasedatosM9!A:B, 2, FALSE), "BLANCO")))</f>
        <v/>
      </c>
      <c r="AI325" s="5" t="str">
        <f>IF(AND(LEN(AF325)=0, LEN(AG325)=0), "", IF(AND(LEN(AF325)&gt;0, LEN(AG325)=0), "BLANCO", IFERROR(VLOOKUP(AG325, BasedatosM9!A:B, 2, FALSE), "BLANCO")))</f>
        <v/>
      </c>
      <c r="AU325" s="5" t="str">
        <f>IF(AND(LEN(AR325)=0, LEN(AS325)=0), "", IF(AND(LEN(AR325)&gt;0, LEN(AS325)=0), "BLANCO", IFERROR(VLOOKUP(AS325, BasedatosM9!A:B, 2, FALSE), "BLANCO")))</f>
        <v/>
      </c>
    </row>
    <row r="326" spans="1:47" ht="14.4">
      <c r="A326" s="21"/>
      <c r="B326" s="86"/>
      <c r="C326" s="98"/>
      <c r="D326" s="21"/>
      <c r="E326" s="86"/>
      <c r="F326" s="99"/>
      <c r="G326" s="99"/>
      <c r="H326" s="21"/>
      <c r="I326" s="86"/>
      <c r="J326" s="21"/>
      <c r="K326" s="5" t="str">
        <f>IF(AND(LEN(H326)=0, LEN(I326)=0), "", IF(AND(LEN(H326)&gt;0, LEN(I326)=0), "BLANCO", IFERROR(VLOOKUP(I326, BasedatosM9!A:B, 2, FALSE), "BLANCO")))</f>
        <v/>
      </c>
      <c r="W326" s="5" t="str">
        <f>IF(AND(LEN(T326)=0, LEN(U326)=0), "", IF(AND(LEN(T326)&gt;0, LEN(U326)=0), "BLANCO", IFERROR(VLOOKUP(U326, BasedatosM9!A:B, 2, FALSE), "BLANCO")))</f>
        <v/>
      </c>
      <c r="AI326" s="5" t="str">
        <f>IF(AND(LEN(AF326)=0, LEN(AG326)=0), "", IF(AND(LEN(AF326)&gt;0, LEN(AG326)=0), "BLANCO", IFERROR(VLOOKUP(AG326, BasedatosM9!A:B, 2, FALSE), "BLANCO")))</f>
        <v/>
      </c>
      <c r="AU326" s="5" t="str">
        <f>IF(AND(LEN(AR326)=0, LEN(AS326)=0), "", IF(AND(LEN(AR326)&gt;0, LEN(AS326)=0), "BLANCO", IFERROR(VLOOKUP(AS326, BasedatosM9!A:B, 2, FALSE), "BLANCO")))</f>
        <v/>
      </c>
    </row>
    <row r="327" spans="1:47" ht="14.4">
      <c r="A327" s="21"/>
      <c r="B327" s="86"/>
      <c r="C327" s="98"/>
      <c r="D327" s="21"/>
      <c r="E327" s="86"/>
      <c r="F327" s="99"/>
      <c r="G327" s="99"/>
      <c r="H327" s="21"/>
      <c r="I327" s="21"/>
      <c r="J327" s="21"/>
      <c r="K327" s="5" t="str">
        <f>IF(AND(LEN(H327)=0, LEN(I327)=0), "", IF(AND(LEN(H327)&gt;0, LEN(I327)=0), "BLANCO", IFERROR(VLOOKUP(I327, BasedatosM9!A:B, 2, FALSE), "BLANCO")))</f>
        <v/>
      </c>
      <c r="W327" s="5" t="str">
        <f>IF(AND(LEN(T327)=0, LEN(U327)=0), "", IF(AND(LEN(T327)&gt;0, LEN(U327)=0), "BLANCO", IFERROR(VLOOKUP(U327, BasedatosM9!A:B, 2, FALSE), "BLANCO")))</f>
        <v/>
      </c>
      <c r="AI327" s="5" t="str">
        <f>IF(AND(LEN(AF327)=0, LEN(AG327)=0), "", IF(AND(LEN(AF327)&gt;0, LEN(AG327)=0), "BLANCO", IFERROR(VLOOKUP(AG327, BasedatosM9!A:B, 2, FALSE), "BLANCO")))</f>
        <v/>
      </c>
      <c r="AU327" s="5" t="str">
        <f>IF(AND(LEN(AR327)=0, LEN(AS327)=0), "", IF(AND(LEN(AR327)&gt;0, LEN(AS327)=0), "BLANCO", IFERROR(VLOOKUP(AS327, BasedatosM9!A:B, 2, FALSE), "BLANCO")))</f>
        <v/>
      </c>
    </row>
    <row r="328" spans="1:47" ht="14.4">
      <c r="A328" s="21"/>
      <c r="B328" s="86"/>
      <c r="C328" s="98"/>
      <c r="D328" s="21"/>
      <c r="E328" s="86"/>
      <c r="F328" s="99"/>
      <c r="G328" s="99"/>
      <c r="H328" s="21"/>
      <c r="I328" s="86"/>
      <c r="J328" s="21"/>
      <c r="K328" s="5" t="str">
        <f>IF(AND(LEN(H328)=0, LEN(I328)=0), "", IF(AND(LEN(H328)&gt;0, LEN(I328)=0), "BLANCO", IFERROR(VLOOKUP(I328, BasedatosM9!A:B, 2, FALSE), "BLANCO")))</f>
        <v/>
      </c>
      <c r="W328" s="5" t="str">
        <f>IF(AND(LEN(T328)=0, LEN(U328)=0), "", IF(AND(LEN(T328)&gt;0, LEN(U328)=0), "BLANCO", IFERROR(VLOOKUP(U328, BasedatosM9!A:B, 2, FALSE), "BLANCO")))</f>
        <v/>
      </c>
      <c r="AI328" s="5" t="str">
        <f>IF(AND(LEN(AF328)=0, LEN(AG328)=0), "", IF(AND(LEN(AF328)&gt;0, LEN(AG328)=0), "BLANCO", IFERROR(VLOOKUP(AG328, BasedatosM9!A:B, 2, FALSE), "BLANCO")))</f>
        <v/>
      </c>
      <c r="AU328" s="5" t="str">
        <f>IF(AND(LEN(AR328)=0, LEN(AS328)=0), "", IF(AND(LEN(AR328)&gt;0, LEN(AS328)=0), "BLANCO", IFERROR(VLOOKUP(AS328, BasedatosM9!A:B, 2, FALSE), "BLANCO")))</f>
        <v/>
      </c>
    </row>
    <row r="329" spans="1:47" ht="14.4">
      <c r="A329" s="21"/>
      <c r="B329" s="86"/>
      <c r="C329" s="98"/>
      <c r="D329" s="21"/>
      <c r="E329" s="86"/>
      <c r="F329" s="99"/>
      <c r="G329" s="99"/>
      <c r="H329" s="21"/>
      <c r="I329" s="21"/>
      <c r="J329" s="21"/>
      <c r="K329" s="5" t="str">
        <f>IF(AND(LEN(H329)=0, LEN(I329)=0), "", IF(AND(LEN(H329)&gt;0, LEN(I329)=0), "BLANCO", IFERROR(VLOOKUP(I329, BasedatosM9!A:B, 2, FALSE), "BLANCO")))</f>
        <v/>
      </c>
      <c r="W329" s="5" t="str">
        <f>IF(AND(LEN(T329)=0, LEN(U329)=0), "", IF(AND(LEN(T329)&gt;0, LEN(U329)=0), "BLANCO", IFERROR(VLOOKUP(U329, BasedatosM9!A:B, 2, FALSE), "BLANCO")))</f>
        <v/>
      </c>
      <c r="AI329" s="5" t="str">
        <f>IF(AND(LEN(AF329)=0, LEN(AG329)=0), "", IF(AND(LEN(AF329)&gt;0, LEN(AG329)=0), "BLANCO", IFERROR(VLOOKUP(AG329, BasedatosM9!A:B, 2, FALSE), "BLANCO")))</f>
        <v/>
      </c>
      <c r="AU329" s="5" t="str">
        <f>IF(AND(LEN(AR329)=0, LEN(AS329)=0), "", IF(AND(LEN(AR329)&gt;0, LEN(AS329)=0), "BLANCO", IFERROR(VLOOKUP(AS329, BasedatosM9!A:B, 2, FALSE), "BLANCO")))</f>
        <v/>
      </c>
    </row>
    <row r="330" spans="1:47" ht="14.4">
      <c r="A330" s="21"/>
      <c r="B330" s="86"/>
      <c r="C330" s="98"/>
      <c r="D330" s="21"/>
      <c r="E330" s="86"/>
      <c r="F330" s="99"/>
      <c r="G330" s="99"/>
      <c r="H330" s="21"/>
      <c r="I330" s="86"/>
      <c r="J330" s="21"/>
      <c r="K330" s="5" t="str">
        <f>IF(AND(LEN(H330)=0, LEN(I330)=0), "", IF(AND(LEN(H330)&gt;0, LEN(I330)=0), "BLANCO", IFERROR(VLOOKUP(I330, BasedatosM9!A:B, 2, FALSE), "BLANCO")))</f>
        <v/>
      </c>
      <c r="W330" s="5" t="str">
        <f>IF(AND(LEN(T330)=0, LEN(U330)=0), "", IF(AND(LEN(T330)&gt;0, LEN(U330)=0), "BLANCO", IFERROR(VLOOKUP(U330, BasedatosM9!A:B, 2, FALSE), "BLANCO")))</f>
        <v/>
      </c>
      <c r="AI330" s="5" t="str">
        <f>IF(AND(LEN(AF330)=0, LEN(AG330)=0), "", IF(AND(LEN(AF330)&gt;0, LEN(AG330)=0), "BLANCO", IFERROR(VLOOKUP(AG330, BasedatosM9!A:B, 2, FALSE), "BLANCO")))</f>
        <v/>
      </c>
      <c r="AU330" s="5" t="str">
        <f>IF(AND(LEN(AR330)=0, LEN(AS330)=0), "", IF(AND(LEN(AR330)&gt;0, LEN(AS330)=0), "BLANCO", IFERROR(VLOOKUP(AS330, BasedatosM9!A:B, 2, FALSE), "BLANCO")))</f>
        <v/>
      </c>
    </row>
    <row r="331" spans="1:47" ht="14.4">
      <c r="A331" s="21"/>
      <c r="B331" s="86"/>
      <c r="C331" s="98"/>
      <c r="D331" s="21"/>
      <c r="E331" s="86"/>
      <c r="F331" s="99"/>
      <c r="G331" s="99"/>
      <c r="H331" s="21"/>
      <c r="I331" s="86"/>
      <c r="J331" s="21"/>
      <c r="K331" s="5" t="str">
        <f>IF(AND(LEN(H331)=0, LEN(I331)=0), "", IF(AND(LEN(H331)&gt;0, LEN(I331)=0), "BLANCO", IFERROR(VLOOKUP(I331, BasedatosM9!A:B, 2, FALSE), "BLANCO")))</f>
        <v/>
      </c>
      <c r="W331" s="5" t="str">
        <f>IF(AND(LEN(T331)=0, LEN(U331)=0), "", IF(AND(LEN(T331)&gt;0, LEN(U331)=0), "BLANCO", IFERROR(VLOOKUP(U331, BasedatosM9!A:B, 2, FALSE), "BLANCO")))</f>
        <v/>
      </c>
      <c r="AI331" s="5" t="str">
        <f>IF(AND(LEN(AF331)=0, LEN(AG331)=0), "", IF(AND(LEN(AF331)&gt;0, LEN(AG331)=0), "BLANCO", IFERROR(VLOOKUP(AG331, BasedatosM9!A:B, 2, FALSE), "BLANCO")))</f>
        <v/>
      </c>
      <c r="AU331" s="5" t="str">
        <f>IF(AND(LEN(AR331)=0, LEN(AS331)=0), "", IF(AND(LEN(AR331)&gt;0, LEN(AS331)=0), "BLANCO", IFERROR(VLOOKUP(AS331, BasedatosM9!A:B, 2, FALSE), "BLANCO")))</f>
        <v/>
      </c>
    </row>
    <row r="332" spans="1:47" ht="14.4">
      <c r="A332" s="21"/>
      <c r="B332" s="86"/>
      <c r="C332" s="98"/>
      <c r="D332" s="21"/>
      <c r="E332" s="86"/>
      <c r="F332" s="99"/>
      <c r="G332" s="99"/>
      <c r="H332" s="21"/>
      <c r="I332" s="21"/>
      <c r="J332" s="21"/>
      <c r="K332" s="5" t="str">
        <f>IF(AND(LEN(H332)=0, LEN(I332)=0), "", IF(AND(LEN(H332)&gt;0, LEN(I332)=0), "BLANCO", IFERROR(VLOOKUP(I332, BasedatosM9!A:B, 2, FALSE), "BLANCO")))</f>
        <v/>
      </c>
      <c r="W332" s="5" t="str">
        <f>IF(AND(LEN(T332)=0, LEN(U332)=0), "", IF(AND(LEN(T332)&gt;0, LEN(U332)=0), "BLANCO", IFERROR(VLOOKUP(U332, BasedatosM9!A:B, 2, FALSE), "BLANCO")))</f>
        <v/>
      </c>
      <c r="AI332" s="5" t="str">
        <f>IF(AND(LEN(AF332)=0, LEN(AG332)=0), "", IF(AND(LEN(AF332)&gt;0, LEN(AG332)=0), "BLANCO", IFERROR(VLOOKUP(AG332, BasedatosM9!A:B, 2, FALSE), "BLANCO")))</f>
        <v/>
      </c>
      <c r="AU332" s="5" t="str">
        <f>IF(AND(LEN(AR332)=0, LEN(AS332)=0), "", IF(AND(LEN(AR332)&gt;0, LEN(AS332)=0), "BLANCO", IFERROR(VLOOKUP(AS332, BasedatosM9!A:B, 2, FALSE), "BLANCO")))</f>
        <v/>
      </c>
    </row>
    <row r="333" spans="1:47" ht="14.4">
      <c r="A333" s="21"/>
      <c r="B333" s="86"/>
      <c r="C333" s="98"/>
      <c r="D333" s="21"/>
      <c r="E333" s="86"/>
      <c r="F333" s="99"/>
      <c r="G333" s="99"/>
      <c r="H333" s="21"/>
      <c r="I333" s="21"/>
      <c r="J333" s="21"/>
      <c r="K333" s="5" t="str">
        <f>IF(AND(LEN(H333)=0, LEN(I333)=0), "", IF(AND(LEN(H333)&gt;0, LEN(I333)=0), "BLANCO", IFERROR(VLOOKUP(I333, BasedatosM9!A:B, 2, FALSE), "BLANCO")))</f>
        <v/>
      </c>
      <c r="W333" s="5" t="str">
        <f>IF(AND(LEN(T333)=0, LEN(U333)=0), "", IF(AND(LEN(T333)&gt;0, LEN(U333)=0), "BLANCO", IFERROR(VLOOKUP(U333, BasedatosM9!A:B, 2, FALSE), "BLANCO")))</f>
        <v/>
      </c>
      <c r="AI333" s="5" t="str">
        <f>IF(AND(LEN(AF333)=0, LEN(AG333)=0), "", IF(AND(LEN(AF333)&gt;0, LEN(AG333)=0), "BLANCO", IFERROR(VLOOKUP(AG333, BasedatosM9!A:B, 2, FALSE), "BLANCO")))</f>
        <v/>
      </c>
      <c r="AU333" s="5" t="str">
        <f>IF(AND(LEN(AR333)=0, LEN(AS333)=0), "", IF(AND(LEN(AR333)&gt;0, LEN(AS333)=0), "BLANCO", IFERROR(VLOOKUP(AS333, BasedatosM9!A:B, 2, FALSE), "BLANCO")))</f>
        <v/>
      </c>
    </row>
    <row r="334" spans="1:47" ht="14.4">
      <c r="A334" s="21"/>
      <c r="B334" s="86"/>
      <c r="C334" s="98"/>
      <c r="D334" s="21"/>
      <c r="E334" s="86"/>
      <c r="F334" s="99"/>
      <c r="G334" s="99"/>
      <c r="H334" s="21"/>
      <c r="I334" s="86"/>
      <c r="J334" s="21"/>
      <c r="K334" s="5" t="str">
        <f>IF(AND(LEN(H334)=0, LEN(I334)=0), "", IF(AND(LEN(H334)&gt;0, LEN(I334)=0), "BLANCO", IFERROR(VLOOKUP(I334, BasedatosM9!A:B, 2, FALSE), "BLANCO")))</f>
        <v/>
      </c>
      <c r="W334" s="5" t="str">
        <f>IF(AND(LEN(T334)=0, LEN(U334)=0), "", IF(AND(LEN(T334)&gt;0, LEN(U334)=0), "BLANCO", IFERROR(VLOOKUP(U334, BasedatosM9!A:B, 2, FALSE), "BLANCO")))</f>
        <v/>
      </c>
      <c r="AI334" s="5" t="str">
        <f>IF(AND(LEN(AF334)=0, LEN(AG334)=0), "", IF(AND(LEN(AF334)&gt;0, LEN(AG334)=0), "BLANCO", IFERROR(VLOOKUP(AG334, BasedatosM9!A:B, 2, FALSE), "BLANCO")))</f>
        <v/>
      </c>
      <c r="AU334" s="5" t="str">
        <f>IF(AND(LEN(AR334)=0, LEN(AS334)=0), "", IF(AND(LEN(AR334)&gt;0, LEN(AS334)=0), "BLANCO", IFERROR(VLOOKUP(AS334, BasedatosM9!A:B, 2, FALSE), "BLANCO")))</f>
        <v/>
      </c>
    </row>
    <row r="335" spans="1:47" ht="14.4">
      <c r="A335" s="21"/>
      <c r="B335" s="86"/>
      <c r="C335" s="98"/>
      <c r="D335" s="21"/>
      <c r="E335" s="86"/>
      <c r="F335" s="99"/>
      <c r="G335" s="99"/>
      <c r="H335" s="21"/>
      <c r="I335" s="86"/>
      <c r="J335" s="21"/>
      <c r="K335" s="5" t="str">
        <f>IF(AND(LEN(H335)=0, LEN(I335)=0), "", IF(AND(LEN(H335)&gt;0, LEN(I335)=0), "BLANCO", IFERROR(VLOOKUP(I335, BasedatosM9!A:B, 2, FALSE), "BLANCO")))</f>
        <v/>
      </c>
      <c r="W335" s="5" t="str">
        <f>IF(AND(LEN(T335)=0, LEN(U335)=0), "", IF(AND(LEN(T335)&gt;0, LEN(U335)=0), "BLANCO", IFERROR(VLOOKUP(U335, BasedatosM9!A:B, 2, FALSE), "BLANCO")))</f>
        <v/>
      </c>
      <c r="AI335" s="5" t="str">
        <f>IF(AND(LEN(AF335)=0, LEN(AG335)=0), "", IF(AND(LEN(AF335)&gt;0, LEN(AG335)=0), "BLANCO", IFERROR(VLOOKUP(AG335, BasedatosM9!A:B, 2, FALSE), "BLANCO")))</f>
        <v/>
      </c>
      <c r="AU335" s="5" t="str">
        <f>IF(AND(LEN(AR335)=0, LEN(AS335)=0), "", IF(AND(LEN(AR335)&gt;0, LEN(AS335)=0), "BLANCO", IFERROR(VLOOKUP(AS335, BasedatosM9!A:B, 2, FALSE), "BLANCO")))</f>
        <v/>
      </c>
    </row>
    <row r="336" spans="1:47" ht="14.4">
      <c r="A336" s="21"/>
      <c r="B336" s="86"/>
      <c r="C336" s="98"/>
      <c r="D336" s="21"/>
      <c r="E336" s="86"/>
      <c r="F336" s="99"/>
      <c r="G336" s="99"/>
      <c r="H336" s="21"/>
      <c r="I336" s="86"/>
      <c r="J336" s="21"/>
      <c r="K336" s="5" t="str">
        <f>IF(AND(LEN(H336)=0, LEN(I336)=0), "", IF(AND(LEN(H336)&gt;0, LEN(I336)=0), "BLANCO", IFERROR(VLOOKUP(I336, BasedatosM9!A:B, 2, FALSE), "BLANCO")))</f>
        <v/>
      </c>
      <c r="W336" s="5" t="str">
        <f>IF(AND(LEN(T336)=0, LEN(U336)=0), "", IF(AND(LEN(T336)&gt;0, LEN(U336)=0), "BLANCO", IFERROR(VLOOKUP(U336, BasedatosM9!A:B, 2, FALSE), "BLANCO")))</f>
        <v/>
      </c>
      <c r="AI336" s="5" t="str">
        <f>IF(AND(LEN(AF336)=0, LEN(AG336)=0), "", IF(AND(LEN(AF336)&gt;0, LEN(AG336)=0), "BLANCO", IFERROR(VLOOKUP(AG336, BasedatosM9!A:B, 2, FALSE), "BLANCO")))</f>
        <v/>
      </c>
      <c r="AU336" s="5" t="str">
        <f>IF(AND(LEN(AR336)=0, LEN(AS336)=0), "", IF(AND(LEN(AR336)&gt;0, LEN(AS336)=0), "BLANCO", IFERROR(VLOOKUP(AS336, BasedatosM9!A:B, 2, FALSE), "BLANCO")))</f>
        <v/>
      </c>
    </row>
    <row r="337" spans="1:47" ht="14.4">
      <c r="A337" s="21"/>
      <c r="B337" s="86"/>
      <c r="C337" s="98"/>
      <c r="D337" s="21"/>
      <c r="E337" s="86"/>
      <c r="F337" s="99"/>
      <c r="G337" s="99"/>
      <c r="H337" s="21"/>
      <c r="I337" s="86"/>
      <c r="J337" s="21"/>
      <c r="K337" s="5" t="str">
        <f>IF(AND(LEN(H337)=0, LEN(I337)=0), "", IF(AND(LEN(H337)&gt;0, LEN(I337)=0), "BLANCO", IFERROR(VLOOKUP(I337, BasedatosM9!A:B, 2, FALSE), "BLANCO")))</f>
        <v/>
      </c>
      <c r="W337" s="5" t="str">
        <f>IF(AND(LEN(T337)=0, LEN(U337)=0), "", IF(AND(LEN(T337)&gt;0, LEN(U337)=0), "BLANCO", IFERROR(VLOOKUP(U337, BasedatosM9!A:B, 2, FALSE), "BLANCO")))</f>
        <v/>
      </c>
      <c r="AI337" s="5" t="str">
        <f>IF(AND(LEN(AF337)=0, LEN(AG337)=0), "", IF(AND(LEN(AF337)&gt;0, LEN(AG337)=0), "BLANCO", IFERROR(VLOOKUP(AG337, BasedatosM9!A:B, 2, FALSE), "BLANCO")))</f>
        <v/>
      </c>
      <c r="AU337" s="5" t="str">
        <f>IF(AND(LEN(AR337)=0, LEN(AS337)=0), "", IF(AND(LEN(AR337)&gt;0, LEN(AS337)=0), "BLANCO", IFERROR(VLOOKUP(AS337, BasedatosM9!A:B, 2, FALSE), "BLANCO")))</f>
        <v/>
      </c>
    </row>
    <row r="338" spans="1:47" ht="14.4">
      <c r="A338" s="21"/>
      <c r="B338" s="86"/>
      <c r="C338" s="98"/>
      <c r="D338" s="21"/>
      <c r="E338" s="86"/>
      <c r="F338" s="99"/>
      <c r="G338" s="99"/>
      <c r="H338" s="21"/>
      <c r="I338" s="86"/>
      <c r="J338" s="21"/>
      <c r="K338" s="5" t="str">
        <f>IF(AND(LEN(H338)=0, LEN(I338)=0), "", IF(AND(LEN(H338)&gt;0, LEN(I338)=0), "BLANCO", IFERROR(VLOOKUP(I338, BasedatosM9!A:B, 2, FALSE), "BLANCO")))</f>
        <v/>
      </c>
      <c r="W338" s="5" t="str">
        <f>IF(AND(LEN(T338)=0, LEN(U338)=0), "", IF(AND(LEN(T338)&gt;0, LEN(U338)=0), "BLANCO", IFERROR(VLOOKUP(U338, BasedatosM9!A:B, 2, FALSE), "BLANCO")))</f>
        <v/>
      </c>
      <c r="AI338" s="5" t="str">
        <f>IF(AND(LEN(AF338)=0, LEN(AG338)=0), "", IF(AND(LEN(AF338)&gt;0, LEN(AG338)=0), "BLANCO", IFERROR(VLOOKUP(AG338, BasedatosM9!A:B, 2, FALSE), "BLANCO")))</f>
        <v/>
      </c>
      <c r="AU338" s="5" t="str">
        <f>IF(AND(LEN(AR338)=0, LEN(AS338)=0), "", IF(AND(LEN(AR338)&gt;0, LEN(AS338)=0), "BLANCO", IFERROR(VLOOKUP(AS338, BasedatosM9!A:B, 2, FALSE), "BLANCO")))</f>
        <v/>
      </c>
    </row>
    <row r="339" spans="1:47" ht="14.4">
      <c r="A339" s="21"/>
      <c r="B339" s="86"/>
      <c r="C339" s="98"/>
      <c r="D339" s="21"/>
      <c r="E339" s="86"/>
      <c r="F339" s="99"/>
      <c r="G339" s="99"/>
      <c r="H339" s="21"/>
      <c r="I339" s="86"/>
      <c r="J339" s="21"/>
      <c r="K339" s="5" t="str">
        <f>IF(AND(LEN(H339)=0, LEN(I339)=0), "", IF(AND(LEN(H339)&gt;0, LEN(I339)=0), "BLANCO", IFERROR(VLOOKUP(I339, BasedatosM9!A:B, 2, FALSE), "BLANCO")))</f>
        <v/>
      </c>
      <c r="W339" s="5" t="str">
        <f>IF(AND(LEN(T339)=0, LEN(U339)=0), "", IF(AND(LEN(T339)&gt;0, LEN(U339)=0), "BLANCO", IFERROR(VLOOKUP(U339, BasedatosM9!A:B, 2, FALSE), "BLANCO")))</f>
        <v/>
      </c>
      <c r="AI339" s="5" t="str">
        <f>IF(AND(LEN(AF339)=0, LEN(AG339)=0), "", IF(AND(LEN(AF339)&gt;0, LEN(AG339)=0), "BLANCO", IFERROR(VLOOKUP(AG339, BasedatosM9!A:B, 2, FALSE), "BLANCO")))</f>
        <v/>
      </c>
      <c r="AU339" s="5" t="str">
        <f>IF(AND(LEN(AR339)=0, LEN(AS339)=0), "", IF(AND(LEN(AR339)&gt;0, LEN(AS339)=0), "BLANCO", IFERROR(VLOOKUP(AS339, BasedatosM9!A:B, 2, FALSE), "BLANCO")))</f>
        <v/>
      </c>
    </row>
    <row r="340" spans="1:47" ht="14.4">
      <c r="A340" s="21"/>
      <c r="B340" s="86"/>
      <c r="C340" s="98"/>
      <c r="D340" s="21"/>
      <c r="E340" s="86"/>
      <c r="F340" s="99"/>
      <c r="G340" s="99"/>
      <c r="H340" s="21"/>
      <c r="I340" s="86"/>
      <c r="J340" s="21"/>
      <c r="K340" s="5" t="str">
        <f>IF(AND(LEN(H340)=0, LEN(I340)=0), "", IF(AND(LEN(H340)&gt;0, LEN(I340)=0), "BLANCO", IFERROR(VLOOKUP(I340, BasedatosM9!A:B, 2, FALSE), "BLANCO")))</f>
        <v/>
      </c>
      <c r="W340" s="5" t="str">
        <f>IF(AND(LEN(T340)=0, LEN(U340)=0), "", IF(AND(LEN(T340)&gt;0, LEN(U340)=0), "BLANCO", IFERROR(VLOOKUP(U340, BasedatosM9!A:B, 2, FALSE), "BLANCO")))</f>
        <v/>
      </c>
      <c r="AI340" s="5" t="str">
        <f>IF(AND(LEN(AF340)=0, LEN(AG340)=0), "", IF(AND(LEN(AF340)&gt;0, LEN(AG340)=0), "BLANCO", IFERROR(VLOOKUP(AG340, BasedatosM9!A:B, 2, FALSE), "BLANCO")))</f>
        <v/>
      </c>
      <c r="AU340" s="5" t="str">
        <f>IF(AND(LEN(AR340)=0, LEN(AS340)=0), "", IF(AND(LEN(AR340)&gt;0, LEN(AS340)=0), "BLANCO", IFERROR(VLOOKUP(AS340, BasedatosM9!A:B, 2, FALSE), "BLANCO")))</f>
        <v/>
      </c>
    </row>
    <row r="341" spans="1:47" ht="14.4">
      <c r="A341" s="21"/>
      <c r="B341" s="86"/>
      <c r="C341" s="98"/>
      <c r="D341" s="21"/>
      <c r="E341" s="86"/>
      <c r="F341" s="99"/>
      <c r="G341" s="99"/>
      <c r="H341" s="21"/>
      <c r="I341" s="21"/>
      <c r="J341" s="21"/>
      <c r="K341" s="5" t="str">
        <f>IF(AND(LEN(H341)=0, LEN(I341)=0), "", IF(AND(LEN(H341)&gt;0, LEN(I341)=0), "BLANCO", IFERROR(VLOOKUP(I341, BasedatosM9!A:B, 2, FALSE), "BLANCO")))</f>
        <v/>
      </c>
      <c r="W341" s="5" t="str">
        <f>IF(AND(LEN(T341)=0, LEN(U341)=0), "", IF(AND(LEN(T341)&gt;0, LEN(U341)=0), "BLANCO", IFERROR(VLOOKUP(U341, BasedatosM9!A:B, 2, FALSE), "BLANCO")))</f>
        <v/>
      </c>
      <c r="AI341" s="5" t="str">
        <f>IF(AND(LEN(AF341)=0, LEN(AG341)=0), "", IF(AND(LEN(AF341)&gt;0, LEN(AG341)=0), "BLANCO", IFERROR(VLOOKUP(AG341, BasedatosM9!A:B, 2, FALSE), "BLANCO")))</f>
        <v/>
      </c>
      <c r="AU341" s="5" t="str">
        <f>IF(AND(LEN(AR341)=0, LEN(AS341)=0), "", IF(AND(LEN(AR341)&gt;0, LEN(AS341)=0), "BLANCO", IFERROR(VLOOKUP(AS341, BasedatosM9!A:B, 2, FALSE), "BLANCO")))</f>
        <v/>
      </c>
    </row>
    <row r="342" spans="1:47" ht="14.4">
      <c r="A342" s="21"/>
      <c r="B342" s="86"/>
      <c r="C342" s="98"/>
      <c r="D342" s="21"/>
      <c r="E342" s="86"/>
      <c r="F342" s="99"/>
      <c r="G342" s="99"/>
      <c r="H342" s="21"/>
      <c r="I342" s="21"/>
      <c r="J342" s="21"/>
      <c r="K342" s="5" t="str">
        <f>IF(AND(LEN(H342)=0, LEN(I342)=0), "", IF(AND(LEN(H342)&gt;0, LEN(I342)=0), "BLANCO", IFERROR(VLOOKUP(I342, BasedatosM9!A:B, 2, FALSE), "BLANCO")))</f>
        <v/>
      </c>
      <c r="W342" s="5" t="str">
        <f>IF(AND(LEN(T342)=0, LEN(U342)=0), "", IF(AND(LEN(T342)&gt;0, LEN(U342)=0), "BLANCO", IFERROR(VLOOKUP(U342, BasedatosM9!A:B, 2, FALSE), "BLANCO")))</f>
        <v/>
      </c>
      <c r="AI342" s="5" t="str">
        <f>IF(AND(LEN(AF342)=0, LEN(AG342)=0), "", IF(AND(LEN(AF342)&gt;0, LEN(AG342)=0), "BLANCO", IFERROR(VLOOKUP(AG342, BasedatosM9!A:B, 2, FALSE), "BLANCO")))</f>
        <v/>
      </c>
      <c r="AU342" s="5" t="str">
        <f>IF(AND(LEN(AR342)=0, LEN(AS342)=0), "", IF(AND(LEN(AR342)&gt;0, LEN(AS342)=0), "BLANCO", IFERROR(VLOOKUP(AS342, BasedatosM9!A:B, 2, FALSE), "BLANCO")))</f>
        <v/>
      </c>
    </row>
    <row r="343" spans="1:47" ht="14.4">
      <c r="A343" s="21"/>
      <c r="B343" s="86"/>
      <c r="C343" s="98"/>
      <c r="D343" s="21"/>
      <c r="E343" s="86"/>
      <c r="F343" s="99"/>
      <c r="G343" s="99"/>
      <c r="H343" s="21"/>
      <c r="I343" s="86"/>
      <c r="J343" s="21"/>
      <c r="K343" s="5" t="str">
        <f>IF(AND(LEN(H343)=0, LEN(I343)=0), "", IF(AND(LEN(H343)&gt;0, LEN(I343)=0), "BLANCO", IFERROR(VLOOKUP(I343, BasedatosM9!A:B, 2, FALSE), "BLANCO")))</f>
        <v/>
      </c>
      <c r="W343" s="5" t="str">
        <f>IF(AND(LEN(T343)=0, LEN(U343)=0), "", IF(AND(LEN(T343)&gt;0, LEN(U343)=0), "BLANCO", IFERROR(VLOOKUP(U343, BasedatosM9!A:B, 2, FALSE), "BLANCO")))</f>
        <v/>
      </c>
      <c r="AI343" s="5" t="str">
        <f>IF(AND(LEN(AF343)=0, LEN(AG343)=0), "", IF(AND(LEN(AF343)&gt;0, LEN(AG343)=0), "BLANCO", IFERROR(VLOOKUP(AG343, BasedatosM9!A:B, 2, FALSE), "BLANCO")))</f>
        <v/>
      </c>
      <c r="AU343" s="5" t="str">
        <f>IF(AND(LEN(AR343)=0, LEN(AS343)=0), "", IF(AND(LEN(AR343)&gt;0, LEN(AS343)=0), "BLANCO", IFERROR(VLOOKUP(AS343, BasedatosM9!A:B, 2, FALSE), "BLANCO")))</f>
        <v/>
      </c>
    </row>
    <row r="344" spans="1:47" ht="14.4">
      <c r="A344" s="21"/>
      <c r="B344" s="86"/>
      <c r="C344" s="98"/>
      <c r="D344" s="21"/>
      <c r="E344" s="86"/>
      <c r="F344" s="99"/>
      <c r="G344" s="99"/>
      <c r="H344" s="21"/>
      <c r="I344" s="21"/>
      <c r="J344" s="21"/>
      <c r="K344" s="5" t="str">
        <f>IF(AND(LEN(H344)=0, LEN(I344)=0), "", IF(AND(LEN(H344)&gt;0, LEN(I344)=0), "BLANCO", IFERROR(VLOOKUP(I344, BasedatosM9!A:B, 2, FALSE), "BLANCO")))</f>
        <v/>
      </c>
      <c r="W344" s="5" t="str">
        <f>IF(AND(LEN(T344)=0, LEN(U344)=0), "", IF(AND(LEN(T344)&gt;0, LEN(U344)=0), "BLANCO", IFERROR(VLOOKUP(U344, BasedatosM9!A:B, 2, FALSE), "BLANCO")))</f>
        <v/>
      </c>
      <c r="AI344" s="5" t="str">
        <f>IF(AND(LEN(AF344)=0, LEN(AG344)=0), "", IF(AND(LEN(AF344)&gt;0, LEN(AG344)=0), "BLANCO", IFERROR(VLOOKUP(AG344, BasedatosM9!A:B, 2, FALSE), "BLANCO")))</f>
        <v/>
      </c>
      <c r="AU344" s="5" t="str">
        <f>IF(AND(LEN(AR344)=0, LEN(AS344)=0), "", IF(AND(LEN(AR344)&gt;0, LEN(AS344)=0), "BLANCO", IFERROR(VLOOKUP(AS344, BasedatosM9!A:B, 2, FALSE), "BLANCO")))</f>
        <v/>
      </c>
    </row>
    <row r="345" spans="1:47" ht="14.4">
      <c r="A345" s="21"/>
      <c r="B345" s="86"/>
      <c r="C345" s="98"/>
      <c r="D345" s="21"/>
      <c r="E345" s="86"/>
      <c r="F345" s="99"/>
      <c r="G345" s="99"/>
      <c r="H345" s="21"/>
      <c r="I345" s="21"/>
      <c r="J345" s="21"/>
      <c r="K345" s="5" t="str">
        <f>IF(AND(LEN(H345)=0, LEN(I345)=0), "", IF(AND(LEN(H345)&gt;0, LEN(I345)=0), "BLANCO", IFERROR(VLOOKUP(I345, BasedatosM9!A:B, 2, FALSE), "BLANCO")))</f>
        <v/>
      </c>
      <c r="W345" s="5" t="str">
        <f>IF(AND(LEN(T345)=0, LEN(U345)=0), "", IF(AND(LEN(T345)&gt;0, LEN(U345)=0), "BLANCO", IFERROR(VLOOKUP(U345, BasedatosM9!A:B, 2, FALSE), "BLANCO")))</f>
        <v/>
      </c>
      <c r="AI345" s="5" t="str">
        <f>IF(AND(LEN(AF345)=0, LEN(AG345)=0), "", IF(AND(LEN(AF345)&gt;0, LEN(AG345)=0), "BLANCO", IFERROR(VLOOKUP(AG345, BasedatosM9!A:B, 2, FALSE), "BLANCO")))</f>
        <v/>
      </c>
      <c r="AU345" s="5" t="str">
        <f>IF(AND(LEN(AR345)=0, LEN(AS345)=0), "", IF(AND(LEN(AR345)&gt;0, LEN(AS345)=0), "BLANCO", IFERROR(VLOOKUP(AS345, BasedatosM9!A:B, 2, FALSE), "BLANCO")))</f>
        <v/>
      </c>
    </row>
    <row r="346" spans="1:47" ht="14.4">
      <c r="A346" s="21"/>
      <c r="B346" s="86"/>
      <c r="C346" s="98"/>
      <c r="D346" s="21"/>
      <c r="E346" s="86"/>
      <c r="F346" s="99"/>
      <c r="G346" s="99"/>
      <c r="H346" s="21"/>
      <c r="I346" s="86"/>
      <c r="J346" s="21"/>
      <c r="K346" s="5" t="str">
        <f>IF(AND(LEN(H346)=0, LEN(I346)=0), "", IF(AND(LEN(H346)&gt;0, LEN(I346)=0), "BLANCO", IFERROR(VLOOKUP(I346, BasedatosM9!A:B, 2, FALSE), "BLANCO")))</f>
        <v/>
      </c>
      <c r="W346" s="5" t="str">
        <f>IF(AND(LEN(T346)=0, LEN(U346)=0), "", IF(AND(LEN(T346)&gt;0, LEN(U346)=0), "BLANCO", IFERROR(VLOOKUP(U346, BasedatosM9!A:B, 2, FALSE), "BLANCO")))</f>
        <v/>
      </c>
      <c r="AI346" s="5" t="str">
        <f>IF(AND(LEN(AF346)=0, LEN(AG346)=0), "", IF(AND(LEN(AF346)&gt;0, LEN(AG346)=0), "BLANCO", IFERROR(VLOOKUP(AG346, BasedatosM9!A:B, 2, FALSE), "BLANCO")))</f>
        <v/>
      </c>
      <c r="AU346" s="5" t="str">
        <f>IF(AND(LEN(AR346)=0, LEN(AS346)=0), "", IF(AND(LEN(AR346)&gt;0, LEN(AS346)=0), "BLANCO", IFERROR(VLOOKUP(AS346, BasedatosM9!A:B, 2, FALSE), "BLANCO")))</f>
        <v/>
      </c>
    </row>
    <row r="347" spans="1:47" ht="14.4">
      <c r="A347" s="21"/>
      <c r="B347" s="86"/>
      <c r="C347" s="98"/>
      <c r="D347" s="21"/>
      <c r="E347" s="86"/>
      <c r="F347" s="99"/>
      <c r="G347" s="99"/>
      <c r="H347" s="21"/>
      <c r="I347" s="86"/>
      <c r="J347" s="21"/>
      <c r="K347" s="5" t="str">
        <f>IF(AND(LEN(H347)=0, LEN(I347)=0), "", IF(AND(LEN(H347)&gt;0, LEN(I347)=0), "BLANCO", IFERROR(VLOOKUP(I347, BasedatosM9!A:B, 2, FALSE), "BLANCO")))</f>
        <v/>
      </c>
      <c r="W347" s="5" t="str">
        <f>IF(AND(LEN(T347)=0, LEN(U347)=0), "", IF(AND(LEN(T347)&gt;0, LEN(U347)=0), "BLANCO", IFERROR(VLOOKUP(U347, BasedatosM9!A:B, 2, FALSE), "BLANCO")))</f>
        <v/>
      </c>
      <c r="AI347" s="5" t="str">
        <f>IF(AND(LEN(AF347)=0, LEN(AG347)=0), "", IF(AND(LEN(AF347)&gt;0, LEN(AG347)=0), "BLANCO", IFERROR(VLOOKUP(AG347, BasedatosM9!A:B, 2, FALSE), "BLANCO")))</f>
        <v/>
      </c>
      <c r="AU347" s="5" t="str">
        <f>IF(AND(LEN(AR347)=0, LEN(AS347)=0), "", IF(AND(LEN(AR347)&gt;0, LEN(AS347)=0), "BLANCO", IFERROR(VLOOKUP(AS347, BasedatosM9!A:B, 2, FALSE), "BLANCO")))</f>
        <v/>
      </c>
    </row>
    <row r="348" spans="1:47" ht="14.4">
      <c r="A348" s="21"/>
      <c r="B348" s="86"/>
      <c r="C348" s="98"/>
      <c r="D348" s="21"/>
      <c r="E348" s="86"/>
      <c r="F348" s="99"/>
      <c r="G348" s="99"/>
      <c r="H348" s="21"/>
      <c r="I348" s="21"/>
      <c r="J348" s="21"/>
      <c r="K348" s="5" t="str">
        <f>IF(AND(LEN(H348)=0, LEN(I348)=0), "", IF(AND(LEN(H348)&gt;0, LEN(I348)=0), "BLANCO", IFERROR(VLOOKUP(I348, BasedatosM9!A:B, 2, FALSE), "BLANCO")))</f>
        <v/>
      </c>
      <c r="W348" s="5" t="str">
        <f>IF(AND(LEN(T348)=0, LEN(U348)=0), "", IF(AND(LEN(T348)&gt;0, LEN(U348)=0), "BLANCO", IFERROR(VLOOKUP(U348, BasedatosM9!A:B, 2, FALSE), "BLANCO")))</f>
        <v/>
      </c>
      <c r="AI348" s="5" t="str">
        <f>IF(AND(LEN(AF348)=0, LEN(AG348)=0), "", IF(AND(LEN(AF348)&gt;0, LEN(AG348)=0), "BLANCO", IFERROR(VLOOKUP(AG348, BasedatosM9!A:B, 2, FALSE), "BLANCO")))</f>
        <v/>
      </c>
      <c r="AU348" s="5" t="str">
        <f>IF(AND(LEN(AR348)=0, LEN(AS348)=0), "", IF(AND(LEN(AR348)&gt;0, LEN(AS348)=0), "BLANCO", IFERROR(VLOOKUP(AS348, BasedatosM9!A:B, 2, FALSE), "BLANCO")))</f>
        <v/>
      </c>
    </row>
    <row r="349" spans="1:47" ht="14.4">
      <c r="A349" s="21"/>
      <c r="B349" s="86"/>
      <c r="C349" s="98"/>
      <c r="D349" s="21"/>
      <c r="E349" s="86"/>
      <c r="F349" s="99"/>
      <c r="G349" s="99"/>
      <c r="H349" s="21"/>
      <c r="I349" s="86"/>
      <c r="J349" s="21"/>
      <c r="K349" s="5" t="str">
        <f>IF(AND(LEN(H349)=0, LEN(I349)=0), "", IF(AND(LEN(H349)&gt;0, LEN(I349)=0), "BLANCO", IFERROR(VLOOKUP(I349, BasedatosM9!A:B, 2, FALSE), "BLANCO")))</f>
        <v/>
      </c>
      <c r="W349" s="5" t="str">
        <f>IF(AND(LEN(T349)=0, LEN(U349)=0), "", IF(AND(LEN(T349)&gt;0, LEN(U349)=0), "BLANCO", IFERROR(VLOOKUP(U349, BasedatosM9!A:B, 2, FALSE), "BLANCO")))</f>
        <v/>
      </c>
      <c r="AI349" s="5" t="str">
        <f>IF(AND(LEN(AF349)=0, LEN(AG349)=0), "", IF(AND(LEN(AF349)&gt;0, LEN(AG349)=0), "BLANCO", IFERROR(VLOOKUP(AG349, BasedatosM9!A:B, 2, FALSE), "BLANCO")))</f>
        <v/>
      </c>
      <c r="AU349" s="5" t="str">
        <f>IF(AND(LEN(AR349)=0, LEN(AS349)=0), "", IF(AND(LEN(AR349)&gt;0, LEN(AS349)=0), "BLANCO", IFERROR(VLOOKUP(AS349, BasedatosM9!A:B, 2, FALSE), "BLANCO")))</f>
        <v/>
      </c>
    </row>
    <row r="350" spans="1:47" ht="14.4">
      <c r="A350" s="21"/>
      <c r="B350" s="86"/>
      <c r="C350" s="98"/>
      <c r="D350" s="21"/>
      <c r="E350" s="86"/>
      <c r="F350" s="99"/>
      <c r="G350" s="99"/>
      <c r="H350" s="21"/>
      <c r="I350" s="86"/>
      <c r="J350" s="21"/>
      <c r="K350" s="5" t="str">
        <f>IF(AND(LEN(H350)=0, LEN(I350)=0), "", IF(AND(LEN(H350)&gt;0, LEN(I350)=0), "BLANCO", IFERROR(VLOOKUP(I350, BasedatosM9!A:B, 2, FALSE), "BLANCO")))</f>
        <v/>
      </c>
      <c r="W350" s="5" t="str">
        <f>IF(AND(LEN(T350)=0, LEN(U350)=0), "", IF(AND(LEN(T350)&gt;0, LEN(U350)=0), "BLANCO", IFERROR(VLOOKUP(U350, BasedatosM9!A:B, 2, FALSE), "BLANCO")))</f>
        <v/>
      </c>
      <c r="AI350" s="5" t="str">
        <f>IF(AND(LEN(AF350)=0, LEN(AG350)=0), "", IF(AND(LEN(AF350)&gt;0, LEN(AG350)=0), "BLANCO", IFERROR(VLOOKUP(AG350, BasedatosM9!A:B, 2, FALSE), "BLANCO")))</f>
        <v/>
      </c>
      <c r="AU350" s="5" t="str">
        <f>IF(AND(LEN(AR350)=0, LEN(AS350)=0), "", IF(AND(LEN(AR350)&gt;0, LEN(AS350)=0), "BLANCO", IFERROR(VLOOKUP(AS350, BasedatosM9!A:B, 2, FALSE), "BLANCO")))</f>
        <v/>
      </c>
    </row>
    <row r="351" spans="1:47" ht="14.4">
      <c r="A351" s="21"/>
      <c r="B351" s="86"/>
      <c r="C351" s="98"/>
      <c r="D351" s="21"/>
      <c r="E351" s="86"/>
      <c r="F351" s="99"/>
      <c r="G351" s="99"/>
      <c r="H351" s="21"/>
      <c r="I351" s="86"/>
      <c r="J351" s="21"/>
      <c r="K351" s="5" t="str">
        <f>IF(AND(LEN(H351)=0, LEN(I351)=0), "", IF(AND(LEN(H351)&gt;0, LEN(I351)=0), "BLANCO", IFERROR(VLOOKUP(I351, BasedatosM9!A:B, 2, FALSE), "BLANCO")))</f>
        <v/>
      </c>
      <c r="W351" s="5" t="str">
        <f>IF(AND(LEN(T351)=0, LEN(U351)=0), "", IF(AND(LEN(T351)&gt;0, LEN(U351)=0), "BLANCO", IFERROR(VLOOKUP(U351, BasedatosM9!A:B, 2, FALSE), "BLANCO")))</f>
        <v/>
      </c>
      <c r="AI351" s="5" t="str">
        <f>IF(AND(LEN(AF351)=0, LEN(AG351)=0), "", IF(AND(LEN(AF351)&gt;0, LEN(AG351)=0), "BLANCO", IFERROR(VLOOKUP(AG351, BasedatosM9!A:B, 2, FALSE), "BLANCO")))</f>
        <v/>
      </c>
      <c r="AU351" s="5" t="str">
        <f>IF(AND(LEN(AR351)=0, LEN(AS351)=0), "", IF(AND(LEN(AR351)&gt;0, LEN(AS351)=0), "BLANCO", IFERROR(VLOOKUP(AS351, BasedatosM9!A:B, 2, FALSE), "BLANCO")))</f>
        <v/>
      </c>
    </row>
    <row r="352" spans="1:47" ht="14.4">
      <c r="A352" s="21"/>
      <c r="B352" s="86"/>
      <c r="C352" s="98"/>
      <c r="D352" s="21"/>
      <c r="E352" s="86"/>
      <c r="F352" s="99"/>
      <c r="G352" s="99"/>
      <c r="H352" s="21"/>
      <c r="I352" s="86"/>
      <c r="J352" s="21"/>
      <c r="K352" s="5" t="str">
        <f>IF(AND(LEN(H352)=0, LEN(I352)=0), "", IF(AND(LEN(H352)&gt;0, LEN(I352)=0), "BLANCO", IFERROR(VLOOKUP(I352, BasedatosM9!A:B, 2, FALSE), "BLANCO")))</f>
        <v/>
      </c>
      <c r="W352" s="5" t="str">
        <f>IF(AND(LEN(T352)=0, LEN(U352)=0), "", IF(AND(LEN(T352)&gt;0, LEN(U352)=0), "BLANCO", IFERROR(VLOOKUP(U352, BasedatosM9!A:B, 2, FALSE), "BLANCO")))</f>
        <v/>
      </c>
      <c r="AI352" s="5" t="str">
        <f>IF(AND(LEN(AF352)=0, LEN(AG352)=0), "", IF(AND(LEN(AF352)&gt;0, LEN(AG352)=0), "BLANCO", IFERROR(VLOOKUP(AG352, BasedatosM9!A:B, 2, FALSE), "BLANCO")))</f>
        <v/>
      </c>
      <c r="AU352" s="5" t="str">
        <f>IF(AND(LEN(AR352)=0, LEN(AS352)=0), "", IF(AND(LEN(AR352)&gt;0, LEN(AS352)=0), "BLANCO", IFERROR(VLOOKUP(AS352, BasedatosM9!A:B, 2, FALSE), "BLANCO")))</f>
        <v/>
      </c>
    </row>
    <row r="353" spans="1:47" ht="14.4">
      <c r="A353" s="21"/>
      <c r="B353" s="86"/>
      <c r="C353" s="98"/>
      <c r="D353" s="21"/>
      <c r="E353" s="86"/>
      <c r="F353" s="99"/>
      <c r="G353" s="99"/>
      <c r="H353" s="21"/>
      <c r="I353" s="86"/>
      <c r="J353" s="21"/>
      <c r="K353" s="5" t="str">
        <f>IF(AND(LEN(H353)=0, LEN(I353)=0), "", IF(AND(LEN(H353)&gt;0, LEN(I353)=0), "BLANCO", IFERROR(VLOOKUP(I353, BasedatosM9!A:B, 2, FALSE), "BLANCO")))</f>
        <v/>
      </c>
      <c r="W353" s="5" t="str">
        <f>IF(AND(LEN(T353)=0, LEN(U353)=0), "", IF(AND(LEN(T353)&gt;0, LEN(U353)=0), "BLANCO", IFERROR(VLOOKUP(U353, BasedatosM9!A:B, 2, FALSE), "BLANCO")))</f>
        <v/>
      </c>
      <c r="AI353" s="5" t="str">
        <f>IF(AND(LEN(AF353)=0, LEN(AG353)=0), "", IF(AND(LEN(AF353)&gt;0, LEN(AG353)=0), "BLANCO", IFERROR(VLOOKUP(AG353, BasedatosM9!A:B, 2, FALSE), "BLANCO")))</f>
        <v/>
      </c>
      <c r="AU353" s="5" t="str">
        <f>IF(AND(LEN(AR353)=0, LEN(AS353)=0), "", IF(AND(LEN(AR353)&gt;0, LEN(AS353)=0), "BLANCO", IFERROR(VLOOKUP(AS353, BasedatosM9!A:B, 2, FALSE), "BLANCO")))</f>
        <v/>
      </c>
    </row>
    <row r="354" spans="1:47" ht="14.4">
      <c r="A354" s="21"/>
      <c r="B354" s="86"/>
      <c r="C354" s="98"/>
      <c r="D354" s="21"/>
      <c r="E354" s="86"/>
      <c r="F354" s="99"/>
      <c r="G354" s="99"/>
      <c r="H354" s="21"/>
      <c r="I354" s="21"/>
      <c r="J354" s="21"/>
      <c r="K354" s="5" t="str">
        <f>IF(AND(LEN(H354)=0, LEN(I354)=0), "", IF(AND(LEN(H354)&gt;0, LEN(I354)=0), "BLANCO", IFERROR(VLOOKUP(I354, BasedatosM9!A:B, 2, FALSE), "BLANCO")))</f>
        <v/>
      </c>
      <c r="W354" s="5" t="str">
        <f>IF(AND(LEN(T354)=0, LEN(U354)=0), "", IF(AND(LEN(T354)&gt;0, LEN(U354)=0), "BLANCO", IFERROR(VLOOKUP(U354, BasedatosM9!A:B, 2, FALSE), "BLANCO")))</f>
        <v/>
      </c>
      <c r="AI354" s="5" t="str">
        <f>IF(AND(LEN(AF354)=0, LEN(AG354)=0), "", IF(AND(LEN(AF354)&gt;0, LEN(AG354)=0), "BLANCO", IFERROR(VLOOKUP(AG354, BasedatosM9!A:B, 2, FALSE), "BLANCO")))</f>
        <v/>
      </c>
      <c r="AU354" s="5" t="str">
        <f>IF(AND(LEN(AR354)=0, LEN(AS354)=0), "", IF(AND(LEN(AR354)&gt;0, LEN(AS354)=0), "BLANCO", IFERROR(VLOOKUP(AS354, BasedatosM9!A:B, 2, FALSE), "BLANCO")))</f>
        <v/>
      </c>
    </row>
    <row r="355" spans="1:47" ht="14.4">
      <c r="A355" s="21"/>
      <c r="B355" s="86"/>
      <c r="C355" s="98"/>
      <c r="D355" s="21"/>
      <c r="E355" s="86"/>
      <c r="F355" s="99"/>
      <c r="G355" s="99"/>
      <c r="H355" s="21"/>
      <c r="I355" s="86"/>
      <c r="J355" s="21"/>
      <c r="K355" s="5" t="str">
        <f>IF(AND(LEN(H355)=0, LEN(I355)=0), "", IF(AND(LEN(H355)&gt;0, LEN(I355)=0), "BLANCO", IFERROR(VLOOKUP(I355, BasedatosM9!A:B, 2, FALSE), "BLANCO")))</f>
        <v/>
      </c>
      <c r="W355" s="5" t="str">
        <f>IF(AND(LEN(T355)=0, LEN(U355)=0), "", IF(AND(LEN(T355)&gt;0, LEN(U355)=0), "BLANCO", IFERROR(VLOOKUP(U355, BasedatosM9!A:B, 2, FALSE), "BLANCO")))</f>
        <v/>
      </c>
      <c r="AI355" s="5" t="str">
        <f>IF(AND(LEN(AF355)=0, LEN(AG355)=0), "", IF(AND(LEN(AF355)&gt;0, LEN(AG355)=0), "BLANCO", IFERROR(VLOOKUP(AG355, BasedatosM9!A:B, 2, FALSE), "BLANCO")))</f>
        <v/>
      </c>
      <c r="AU355" s="5" t="str">
        <f>IF(AND(LEN(AR355)=0, LEN(AS355)=0), "", IF(AND(LEN(AR355)&gt;0, LEN(AS355)=0), "BLANCO", IFERROR(VLOOKUP(AS355, BasedatosM9!A:B, 2, FALSE), "BLANCO")))</f>
        <v/>
      </c>
    </row>
    <row r="356" spans="1:47" ht="14.4">
      <c r="A356" s="21"/>
      <c r="B356" s="86"/>
      <c r="C356" s="98"/>
      <c r="D356" s="21"/>
      <c r="E356" s="86"/>
      <c r="F356" s="99"/>
      <c r="G356" s="99"/>
      <c r="H356" s="21"/>
      <c r="I356" s="21"/>
      <c r="J356" s="21"/>
      <c r="K356" s="5" t="str">
        <f>IF(AND(LEN(H356)=0, LEN(I356)=0), "", IF(AND(LEN(H356)&gt;0, LEN(I356)=0), "BLANCO", IFERROR(VLOOKUP(I356, BasedatosM9!A:B, 2, FALSE), "BLANCO")))</f>
        <v/>
      </c>
      <c r="W356" s="5" t="str">
        <f>IF(AND(LEN(T356)=0, LEN(U356)=0), "", IF(AND(LEN(T356)&gt;0, LEN(U356)=0), "BLANCO", IFERROR(VLOOKUP(U356, BasedatosM9!A:B, 2, FALSE), "BLANCO")))</f>
        <v/>
      </c>
      <c r="AI356" s="5" t="str">
        <f>IF(AND(LEN(AF356)=0, LEN(AG356)=0), "", IF(AND(LEN(AF356)&gt;0, LEN(AG356)=0), "BLANCO", IFERROR(VLOOKUP(AG356, BasedatosM9!A:B, 2, FALSE), "BLANCO")))</f>
        <v/>
      </c>
      <c r="AU356" s="5" t="str">
        <f>IF(AND(LEN(AR356)=0, LEN(AS356)=0), "", IF(AND(LEN(AR356)&gt;0, LEN(AS356)=0), "BLANCO", IFERROR(VLOOKUP(AS356, BasedatosM9!A:B, 2, FALSE), "BLANCO")))</f>
        <v/>
      </c>
    </row>
    <row r="357" spans="1:47" ht="14.4">
      <c r="A357" s="21"/>
      <c r="B357" s="86"/>
      <c r="C357" s="98"/>
      <c r="D357" s="21"/>
      <c r="E357" s="86"/>
      <c r="F357" s="99"/>
      <c r="G357" s="99"/>
      <c r="H357" s="21"/>
      <c r="I357" s="86"/>
      <c r="J357" s="21"/>
      <c r="K357" s="5" t="str">
        <f>IF(AND(LEN(H357)=0, LEN(I357)=0), "", IF(AND(LEN(H357)&gt;0, LEN(I357)=0), "BLANCO", IFERROR(VLOOKUP(I357, BasedatosM9!A:B, 2, FALSE), "BLANCO")))</f>
        <v/>
      </c>
      <c r="W357" s="5" t="str">
        <f>IF(AND(LEN(T357)=0, LEN(U357)=0), "", IF(AND(LEN(T357)&gt;0, LEN(U357)=0), "BLANCO", IFERROR(VLOOKUP(U357, BasedatosM9!A:B, 2, FALSE), "BLANCO")))</f>
        <v/>
      </c>
      <c r="AI357" s="5" t="str">
        <f>IF(AND(LEN(AF357)=0, LEN(AG357)=0), "", IF(AND(LEN(AF357)&gt;0, LEN(AG357)=0), "BLANCO", IFERROR(VLOOKUP(AG357, BasedatosM9!A:B, 2, FALSE), "BLANCO")))</f>
        <v/>
      </c>
      <c r="AU357" s="5" t="str">
        <f>IF(AND(LEN(AR357)=0, LEN(AS357)=0), "", IF(AND(LEN(AR357)&gt;0, LEN(AS357)=0), "BLANCO", IFERROR(VLOOKUP(AS357, BasedatosM9!A:B, 2, FALSE), "BLANCO")))</f>
        <v/>
      </c>
    </row>
    <row r="358" spans="1:47" ht="14.4">
      <c r="A358" s="21"/>
      <c r="B358" s="86"/>
      <c r="C358" s="98"/>
      <c r="D358" s="21"/>
      <c r="E358" s="86"/>
      <c r="F358" s="99"/>
      <c r="G358" s="99"/>
      <c r="H358" s="21"/>
      <c r="I358" s="86"/>
      <c r="J358" s="21"/>
      <c r="K358" s="5" t="str">
        <f>IF(AND(LEN(H358)=0, LEN(I358)=0), "", IF(AND(LEN(H358)&gt;0, LEN(I358)=0), "BLANCO", IFERROR(VLOOKUP(I358, BasedatosM9!A:B, 2, FALSE), "BLANCO")))</f>
        <v/>
      </c>
      <c r="W358" s="5" t="str">
        <f>IF(AND(LEN(T358)=0, LEN(U358)=0), "", IF(AND(LEN(T358)&gt;0, LEN(U358)=0), "BLANCO", IFERROR(VLOOKUP(U358, BasedatosM9!A:B, 2, FALSE), "BLANCO")))</f>
        <v/>
      </c>
      <c r="AI358" s="5" t="str">
        <f>IF(AND(LEN(AF358)=0, LEN(AG358)=0), "", IF(AND(LEN(AF358)&gt;0, LEN(AG358)=0), "BLANCO", IFERROR(VLOOKUP(AG358, BasedatosM9!A:B, 2, FALSE), "BLANCO")))</f>
        <v/>
      </c>
      <c r="AU358" s="5" t="str">
        <f>IF(AND(LEN(AR358)=0, LEN(AS358)=0), "", IF(AND(LEN(AR358)&gt;0, LEN(AS358)=0), "BLANCO", IFERROR(VLOOKUP(AS358, BasedatosM9!A:B, 2, FALSE), "BLANCO")))</f>
        <v/>
      </c>
    </row>
    <row r="359" spans="1:47" ht="14.4">
      <c r="A359" s="21"/>
      <c r="B359" s="86"/>
      <c r="C359" s="98"/>
      <c r="D359" s="21"/>
      <c r="E359" s="86"/>
      <c r="F359" s="99"/>
      <c r="G359" s="99"/>
      <c r="H359" s="21"/>
      <c r="I359" s="86"/>
      <c r="J359" s="21"/>
      <c r="K359" s="5" t="str">
        <f>IF(AND(LEN(H359)=0, LEN(I359)=0), "", IF(AND(LEN(H359)&gt;0, LEN(I359)=0), "BLANCO", IFERROR(VLOOKUP(I359, BasedatosM9!A:B, 2, FALSE), "BLANCO")))</f>
        <v/>
      </c>
      <c r="W359" s="5" t="str">
        <f>IF(AND(LEN(T359)=0, LEN(U359)=0), "", IF(AND(LEN(T359)&gt;0, LEN(U359)=0), "BLANCO", IFERROR(VLOOKUP(U359, BasedatosM9!A:B, 2, FALSE), "BLANCO")))</f>
        <v/>
      </c>
      <c r="AI359" s="5" t="str">
        <f>IF(AND(LEN(AF359)=0, LEN(AG359)=0), "", IF(AND(LEN(AF359)&gt;0, LEN(AG359)=0), "BLANCO", IFERROR(VLOOKUP(AG359, BasedatosM9!A:B, 2, FALSE), "BLANCO")))</f>
        <v/>
      </c>
      <c r="AU359" s="5" t="str">
        <f>IF(AND(LEN(AR359)=0, LEN(AS359)=0), "", IF(AND(LEN(AR359)&gt;0, LEN(AS359)=0), "BLANCO", IFERROR(VLOOKUP(AS359, BasedatosM9!A:B, 2, FALSE), "BLANCO")))</f>
        <v/>
      </c>
    </row>
    <row r="360" spans="1:47" ht="14.4">
      <c r="A360" s="21"/>
      <c r="B360" s="86"/>
      <c r="C360" s="98"/>
      <c r="D360" s="21"/>
      <c r="E360" s="86"/>
      <c r="F360" s="99"/>
      <c r="G360" s="99"/>
      <c r="H360" s="21"/>
      <c r="I360" s="21"/>
      <c r="J360" s="21"/>
      <c r="K360" s="5" t="str">
        <f>IF(AND(LEN(H360)=0, LEN(I360)=0), "", IF(AND(LEN(H360)&gt;0, LEN(I360)=0), "BLANCO", IFERROR(VLOOKUP(I360, BasedatosM9!A:B, 2, FALSE), "BLANCO")))</f>
        <v/>
      </c>
      <c r="W360" s="5" t="str">
        <f>IF(AND(LEN(T360)=0, LEN(U360)=0), "", IF(AND(LEN(T360)&gt;0, LEN(U360)=0), "BLANCO", IFERROR(VLOOKUP(U360, BasedatosM9!A:B, 2, FALSE), "BLANCO")))</f>
        <v/>
      </c>
      <c r="AI360" s="5" t="str">
        <f>IF(AND(LEN(AF360)=0, LEN(AG360)=0), "", IF(AND(LEN(AF360)&gt;0, LEN(AG360)=0), "BLANCO", IFERROR(VLOOKUP(AG360, BasedatosM9!A:B, 2, FALSE), "BLANCO")))</f>
        <v/>
      </c>
      <c r="AU360" s="5" t="str">
        <f>IF(AND(LEN(AR360)=0, LEN(AS360)=0), "", IF(AND(LEN(AR360)&gt;0, LEN(AS360)=0), "BLANCO", IFERROR(VLOOKUP(AS360, BasedatosM9!A:B, 2, FALSE), "BLANCO")))</f>
        <v/>
      </c>
    </row>
    <row r="361" spans="1:47" ht="14.4">
      <c r="A361" s="21"/>
      <c r="B361" s="86"/>
      <c r="C361" s="98"/>
      <c r="D361" s="21"/>
      <c r="E361" s="86"/>
      <c r="F361" s="99"/>
      <c r="G361" s="99"/>
      <c r="H361" s="21"/>
      <c r="I361" s="86"/>
      <c r="J361" s="21"/>
      <c r="K361" s="5" t="str">
        <f>IF(AND(LEN(H361)=0, LEN(I361)=0), "", IF(AND(LEN(H361)&gt;0, LEN(I361)=0), "BLANCO", IFERROR(VLOOKUP(I361, BasedatosM9!A:B, 2, FALSE), "BLANCO")))</f>
        <v/>
      </c>
      <c r="W361" s="5" t="str">
        <f>IF(AND(LEN(T361)=0, LEN(U361)=0), "", IF(AND(LEN(T361)&gt;0, LEN(U361)=0), "BLANCO", IFERROR(VLOOKUP(U361, BasedatosM9!A:B, 2, FALSE), "BLANCO")))</f>
        <v/>
      </c>
      <c r="AI361" s="5" t="str">
        <f>IF(AND(LEN(AF361)=0, LEN(AG361)=0), "", IF(AND(LEN(AF361)&gt;0, LEN(AG361)=0), "BLANCO", IFERROR(VLOOKUP(AG361, BasedatosM9!A:B, 2, FALSE), "BLANCO")))</f>
        <v/>
      </c>
      <c r="AU361" s="5" t="str">
        <f>IF(AND(LEN(AR361)=0, LEN(AS361)=0), "", IF(AND(LEN(AR361)&gt;0, LEN(AS361)=0), "BLANCO", IFERROR(VLOOKUP(AS361, BasedatosM9!A:B, 2, FALSE), "BLANCO")))</f>
        <v/>
      </c>
    </row>
    <row r="362" spans="1:47" ht="14.4">
      <c r="A362" s="21"/>
      <c r="B362" s="86"/>
      <c r="C362" s="98"/>
      <c r="D362" s="21"/>
      <c r="E362" s="86"/>
      <c r="F362" s="99"/>
      <c r="G362" s="99"/>
      <c r="H362" s="21"/>
      <c r="I362" s="86"/>
      <c r="J362" s="21"/>
      <c r="K362" s="5" t="str">
        <f>IF(AND(LEN(H362)=0, LEN(I362)=0), "", IF(AND(LEN(H362)&gt;0, LEN(I362)=0), "BLANCO", IFERROR(VLOOKUP(I362, BasedatosM9!A:B, 2, FALSE), "BLANCO")))</f>
        <v/>
      </c>
      <c r="W362" s="5" t="str">
        <f>IF(AND(LEN(T362)=0, LEN(U362)=0), "", IF(AND(LEN(T362)&gt;0, LEN(U362)=0), "BLANCO", IFERROR(VLOOKUP(U362, BasedatosM9!A:B, 2, FALSE), "BLANCO")))</f>
        <v/>
      </c>
      <c r="AI362" s="5" t="str">
        <f>IF(AND(LEN(AF362)=0, LEN(AG362)=0), "", IF(AND(LEN(AF362)&gt;0, LEN(AG362)=0), "BLANCO", IFERROR(VLOOKUP(AG362, BasedatosM9!A:B, 2, FALSE), "BLANCO")))</f>
        <v/>
      </c>
      <c r="AU362" s="5" t="str">
        <f>IF(AND(LEN(AR362)=0, LEN(AS362)=0), "", IF(AND(LEN(AR362)&gt;0, LEN(AS362)=0), "BLANCO", IFERROR(VLOOKUP(AS362, BasedatosM9!A:B, 2, FALSE), "BLANCO")))</f>
        <v/>
      </c>
    </row>
    <row r="363" spans="1:47" ht="14.4">
      <c r="A363" s="21"/>
      <c r="B363" s="86"/>
      <c r="C363" s="98"/>
      <c r="D363" s="21"/>
      <c r="E363" s="86"/>
      <c r="F363" s="99"/>
      <c r="G363" s="99"/>
      <c r="H363" s="21"/>
      <c r="I363" s="21"/>
      <c r="J363" s="21"/>
      <c r="K363" s="5" t="str">
        <f>IF(AND(LEN(H363)=0, LEN(I363)=0), "", IF(AND(LEN(H363)&gt;0, LEN(I363)=0), "BLANCO", IFERROR(VLOOKUP(I363, BasedatosM9!A:B, 2, FALSE), "BLANCO")))</f>
        <v/>
      </c>
      <c r="W363" s="5" t="str">
        <f>IF(AND(LEN(T363)=0, LEN(U363)=0), "", IF(AND(LEN(T363)&gt;0, LEN(U363)=0), "BLANCO", IFERROR(VLOOKUP(U363, BasedatosM9!A:B, 2, FALSE), "BLANCO")))</f>
        <v/>
      </c>
      <c r="AI363" s="5" t="str">
        <f>IF(AND(LEN(AF363)=0, LEN(AG363)=0), "", IF(AND(LEN(AF363)&gt;0, LEN(AG363)=0), "BLANCO", IFERROR(VLOOKUP(AG363, BasedatosM9!A:B, 2, FALSE), "BLANCO")))</f>
        <v/>
      </c>
      <c r="AU363" s="5" t="str">
        <f>IF(AND(LEN(AR363)=0, LEN(AS363)=0), "", IF(AND(LEN(AR363)&gt;0, LEN(AS363)=0), "BLANCO", IFERROR(VLOOKUP(AS363, BasedatosM9!A:B, 2, FALSE), "BLANCO")))</f>
        <v/>
      </c>
    </row>
    <row r="364" spans="1:47" ht="14.4">
      <c r="A364" s="21"/>
      <c r="B364" s="86"/>
      <c r="C364" s="98"/>
      <c r="D364" s="21"/>
      <c r="E364" s="86"/>
      <c r="F364" s="99"/>
      <c r="G364" s="99"/>
      <c r="H364" s="21"/>
      <c r="I364" s="86"/>
      <c r="J364" s="21"/>
      <c r="K364" s="5" t="str">
        <f>IF(AND(LEN(H364)=0, LEN(I364)=0), "", IF(AND(LEN(H364)&gt;0, LEN(I364)=0), "BLANCO", IFERROR(VLOOKUP(I364, BasedatosM9!A:B, 2, FALSE), "BLANCO")))</f>
        <v/>
      </c>
      <c r="W364" s="5" t="str">
        <f>IF(AND(LEN(T364)=0, LEN(U364)=0), "", IF(AND(LEN(T364)&gt;0, LEN(U364)=0), "BLANCO", IFERROR(VLOOKUP(U364, BasedatosM9!A:B, 2, FALSE), "BLANCO")))</f>
        <v/>
      </c>
      <c r="AI364" s="5" t="str">
        <f>IF(AND(LEN(AF364)=0, LEN(AG364)=0), "", IF(AND(LEN(AF364)&gt;0, LEN(AG364)=0), "BLANCO", IFERROR(VLOOKUP(AG364, BasedatosM9!A:B, 2, FALSE), "BLANCO")))</f>
        <v/>
      </c>
      <c r="AU364" s="5" t="str">
        <f>IF(AND(LEN(AR364)=0, LEN(AS364)=0), "", IF(AND(LEN(AR364)&gt;0, LEN(AS364)=0), "BLANCO", IFERROR(VLOOKUP(AS364, BasedatosM9!A:B, 2, FALSE), "BLANCO")))</f>
        <v/>
      </c>
    </row>
    <row r="365" spans="1:47" ht="14.4">
      <c r="A365" s="21"/>
      <c r="B365" s="86"/>
      <c r="C365" s="98"/>
      <c r="D365" s="21"/>
      <c r="E365" s="86"/>
      <c r="F365" s="99"/>
      <c r="G365" s="99"/>
      <c r="H365" s="21"/>
      <c r="I365" s="86"/>
      <c r="J365" s="21"/>
      <c r="K365" s="5" t="str">
        <f>IF(AND(LEN(H365)=0, LEN(I365)=0), "", IF(AND(LEN(H365)&gt;0, LEN(I365)=0), "BLANCO", IFERROR(VLOOKUP(I365, BasedatosM9!A:B, 2, FALSE), "BLANCO")))</f>
        <v/>
      </c>
      <c r="W365" s="5" t="str">
        <f>IF(AND(LEN(T365)=0, LEN(U365)=0), "", IF(AND(LEN(T365)&gt;0, LEN(U365)=0), "BLANCO", IFERROR(VLOOKUP(U365, BasedatosM9!A:B, 2, FALSE), "BLANCO")))</f>
        <v/>
      </c>
      <c r="AI365" s="5" t="str">
        <f>IF(AND(LEN(AF365)=0, LEN(AG365)=0), "", IF(AND(LEN(AF365)&gt;0, LEN(AG365)=0), "BLANCO", IFERROR(VLOOKUP(AG365, BasedatosM9!A:B, 2, FALSE), "BLANCO")))</f>
        <v/>
      </c>
      <c r="AU365" s="5" t="str">
        <f>IF(AND(LEN(AR365)=0, LEN(AS365)=0), "", IF(AND(LEN(AR365)&gt;0, LEN(AS365)=0), "BLANCO", IFERROR(VLOOKUP(AS365, BasedatosM9!A:B, 2, FALSE), "BLANCO")))</f>
        <v/>
      </c>
    </row>
    <row r="366" spans="1:47" ht="14.4">
      <c r="A366" s="21"/>
      <c r="B366" s="86"/>
      <c r="C366" s="98"/>
      <c r="D366" s="21"/>
      <c r="E366" s="86"/>
      <c r="F366" s="99"/>
      <c r="G366" s="99"/>
      <c r="H366" s="21"/>
      <c r="I366" s="21"/>
      <c r="J366" s="21"/>
      <c r="K366" s="5" t="str">
        <f>IF(AND(LEN(H366)=0, LEN(I366)=0), "", IF(AND(LEN(H366)&gt;0, LEN(I366)=0), "BLANCO", IFERROR(VLOOKUP(I366, BasedatosM9!A:B, 2, FALSE), "BLANCO")))</f>
        <v/>
      </c>
      <c r="W366" s="5" t="str">
        <f>IF(AND(LEN(T366)=0, LEN(U366)=0), "", IF(AND(LEN(T366)&gt;0, LEN(U366)=0), "BLANCO", IFERROR(VLOOKUP(U366, BasedatosM9!A:B, 2, FALSE), "BLANCO")))</f>
        <v/>
      </c>
      <c r="AI366" s="5" t="str">
        <f>IF(AND(LEN(AF366)=0, LEN(AG366)=0), "", IF(AND(LEN(AF366)&gt;0, LEN(AG366)=0), "BLANCO", IFERROR(VLOOKUP(AG366, BasedatosM9!A:B, 2, FALSE), "BLANCO")))</f>
        <v/>
      </c>
      <c r="AU366" s="5" t="str">
        <f>IF(AND(LEN(AR366)=0, LEN(AS366)=0), "", IF(AND(LEN(AR366)&gt;0, LEN(AS366)=0), "BLANCO", IFERROR(VLOOKUP(AS366, BasedatosM9!A:B, 2, FALSE), "BLANCO")))</f>
        <v/>
      </c>
    </row>
    <row r="367" spans="1:47" ht="14.4">
      <c r="A367" s="21"/>
      <c r="B367" s="86"/>
      <c r="C367" s="98"/>
      <c r="D367" s="21"/>
      <c r="E367" s="86"/>
      <c r="F367" s="99"/>
      <c r="G367" s="99"/>
      <c r="H367" s="21"/>
      <c r="I367" s="21"/>
      <c r="J367" s="21"/>
      <c r="K367" s="5" t="str">
        <f>IF(AND(LEN(H367)=0, LEN(I367)=0), "", IF(AND(LEN(H367)&gt;0, LEN(I367)=0), "BLANCO", IFERROR(VLOOKUP(I367, BasedatosM9!A:B, 2, FALSE), "BLANCO")))</f>
        <v/>
      </c>
      <c r="W367" s="5" t="str">
        <f>IF(AND(LEN(T367)=0, LEN(U367)=0), "", IF(AND(LEN(T367)&gt;0, LEN(U367)=0), "BLANCO", IFERROR(VLOOKUP(U367, BasedatosM9!A:B, 2, FALSE), "BLANCO")))</f>
        <v/>
      </c>
      <c r="AI367" s="5" t="str">
        <f>IF(AND(LEN(AF367)=0, LEN(AG367)=0), "", IF(AND(LEN(AF367)&gt;0, LEN(AG367)=0), "BLANCO", IFERROR(VLOOKUP(AG367, BasedatosM9!A:B, 2, FALSE), "BLANCO")))</f>
        <v/>
      </c>
      <c r="AU367" s="5" t="str">
        <f>IF(AND(LEN(AR367)=0, LEN(AS367)=0), "", IF(AND(LEN(AR367)&gt;0, LEN(AS367)=0), "BLANCO", IFERROR(VLOOKUP(AS367, BasedatosM9!A:B, 2, FALSE), "BLANCO")))</f>
        <v/>
      </c>
    </row>
    <row r="368" spans="1:47" ht="14.4">
      <c r="A368" s="21"/>
      <c r="B368" s="86"/>
      <c r="C368" s="98"/>
      <c r="D368" s="21"/>
      <c r="E368" s="86"/>
      <c r="F368" s="99"/>
      <c r="G368" s="99"/>
      <c r="H368" s="21"/>
      <c r="I368" s="21"/>
      <c r="J368" s="21"/>
      <c r="K368" s="5" t="str">
        <f>IF(AND(LEN(H368)=0, LEN(I368)=0), "", IF(AND(LEN(H368)&gt;0, LEN(I368)=0), "BLANCO", IFERROR(VLOOKUP(I368, BasedatosM9!A:B, 2, FALSE), "BLANCO")))</f>
        <v/>
      </c>
      <c r="W368" s="5" t="str">
        <f>IF(AND(LEN(T368)=0, LEN(U368)=0), "", IF(AND(LEN(T368)&gt;0, LEN(U368)=0), "BLANCO", IFERROR(VLOOKUP(U368, BasedatosM9!A:B, 2, FALSE), "BLANCO")))</f>
        <v/>
      </c>
      <c r="AI368" s="5" t="str">
        <f>IF(AND(LEN(AF368)=0, LEN(AG368)=0), "", IF(AND(LEN(AF368)&gt;0, LEN(AG368)=0), "BLANCO", IFERROR(VLOOKUP(AG368, BasedatosM9!A:B, 2, FALSE), "BLANCO")))</f>
        <v/>
      </c>
      <c r="AU368" s="5" t="str">
        <f>IF(AND(LEN(AR368)=0, LEN(AS368)=0), "", IF(AND(LEN(AR368)&gt;0, LEN(AS368)=0), "BLANCO", IFERROR(VLOOKUP(AS368, BasedatosM9!A:B, 2, FALSE), "BLANCO")))</f>
        <v/>
      </c>
    </row>
    <row r="369" spans="1:47" ht="14.4">
      <c r="A369" s="21"/>
      <c r="B369" s="86"/>
      <c r="C369" s="98"/>
      <c r="D369" s="21"/>
      <c r="E369" s="86"/>
      <c r="F369" s="99"/>
      <c r="G369" s="99"/>
      <c r="H369" s="21"/>
      <c r="I369" s="86"/>
      <c r="J369" s="21"/>
      <c r="K369" s="5" t="str">
        <f>IF(AND(LEN(H369)=0, LEN(I369)=0), "", IF(AND(LEN(H369)&gt;0, LEN(I369)=0), "BLANCO", IFERROR(VLOOKUP(I369, BasedatosM9!A:B, 2, FALSE), "BLANCO")))</f>
        <v/>
      </c>
      <c r="W369" s="5" t="str">
        <f>IF(AND(LEN(T369)=0, LEN(U369)=0), "", IF(AND(LEN(T369)&gt;0, LEN(U369)=0), "BLANCO", IFERROR(VLOOKUP(U369, BasedatosM9!A:B, 2, FALSE), "BLANCO")))</f>
        <v/>
      </c>
      <c r="AI369" s="5" t="str">
        <f>IF(AND(LEN(AF369)=0, LEN(AG369)=0), "", IF(AND(LEN(AF369)&gt;0, LEN(AG369)=0), "BLANCO", IFERROR(VLOOKUP(AG369, BasedatosM9!A:B, 2, FALSE), "BLANCO")))</f>
        <v/>
      </c>
      <c r="AU369" s="5" t="str">
        <f>IF(AND(LEN(AR369)=0, LEN(AS369)=0), "", IF(AND(LEN(AR369)&gt;0, LEN(AS369)=0), "BLANCO", IFERROR(VLOOKUP(AS369, BasedatosM9!A:B, 2, FALSE), "BLANCO")))</f>
        <v/>
      </c>
    </row>
    <row r="370" spans="1:47" ht="14.4">
      <c r="A370" s="21"/>
      <c r="B370" s="86"/>
      <c r="C370" s="98"/>
      <c r="D370" s="21"/>
      <c r="E370" s="86"/>
      <c r="F370" s="99"/>
      <c r="G370" s="99"/>
      <c r="H370" s="21"/>
      <c r="I370" s="21"/>
      <c r="J370" s="21"/>
      <c r="K370" s="5" t="str">
        <f>IF(AND(LEN(H370)=0, LEN(I370)=0), "", IF(AND(LEN(H370)&gt;0, LEN(I370)=0), "BLANCO", IFERROR(VLOOKUP(I370, BasedatosM9!A:B, 2, FALSE), "BLANCO")))</f>
        <v/>
      </c>
      <c r="W370" s="5" t="str">
        <f>IF(AND(LEN(T370)=0, LEN(U370)=0), "", IF(AND(LEN(T370)&gt;0, LEN(U370)=0), "BLANCO", IFERROR(VLOOKUP(U370, BasedatosM9!A:B, 2, FALSE), "BLANCO")))</f>
        <v/>
      </c>
      <c r="AI370" s="5" t="str">
        <f>IF(AND(LEN(AF370)=0, LEN(AG370)=0), "", IF(AND(LEN(AF370)&gt;0, LEN(AG370)=0), "BLANCO", IFERROR(VLOOKUP(AG370, BasedatosM9!A:B, 2, FALSE), "BLANCO")))</f>
        <v/>
      </c>
      <c r="AU370" s="5" t="str">
        <f>IF(AND(LEN(AR370)=0, LEN(AS370)=0), "", IF(AND(LEN(AR370)&gt;0, LEN(AS370)=0), "BLANCO", IFERROR(VLOOKUP(AS370, BasedatosM9!A:B, 2, FALSE), "BLANCO")))</f>
        <v/>
      </c>
    </row>
    <row r="371" spans="1:47" ht="14.4">
      <c r="A371" s="21"/>
      <c r="B371" s="86"/>
      <c r="C371" s="98"/>
      <c r="D371" s="21"/>
      <c r="E371" s="86"/>
      <c r="F371" s="99"/>
      <c r="G371" s="99"/>
      <c r="H371" s="21"/>
      <c r="I371" s="21"/>
      <c r="J371" s="21"/>
      <c r="K371" s="5" t="str">
        <f>IF(AND(LEN(H371)=0, LEN(I371)=0), "", IF(AND(LEN(H371)&gt;0, LEN(I371)=0), "BLANCO", IFERROR(VLOOKUP(I371, BasedatosM9!A:B, 2, FALSE), "BLANCO")))</f>
        <v/>
      </c>
      <c r="W371" s="5" t="str">
        <f>IF(AND(LEN(T371)=0, LEN(U371)=0), "", IF(AND(LEN(T371)&gt;0, LEN(U371)=0), "BLANCO", IFERROR(VLOOKUP(U371, BasedatosM9!A:B, 2, FALSE), "BLANCO")))</f>
        <v/>
      </c>
      <c r="AI371" s="5" t="str">
        <f>IF(AND(LEN(AF371)=0, LEN(AG371)=0), "", IF(AND(LEN(AF371)&gt;0, LEN(AG371)=0), "BLANCO", IFERROR(VLOOKUP(AG371, BasedatosM9!A:B, 2, FALSE), "BLANCO")))</f>
        <v/>
      </c>
      <c r="AU371" s="5" t="str">
        <f>IF(AND(LEN(AR371)=0, LEN(AS371)=0), "", IF(AND(LEN(AR371)&gt;0, LEN(AS371)=0), "BLANCO", IFERROR(VLOOKUP(AS371, BasedatosM9!A:B, 2, FALSE), "BLANCO")))</f>
        <v/>
      </c>
    </row>
    <row r="372" spans="1:47" ht="14.4">
      <c r="A372" s="21"/>
      <c r="B372" s="86"/>
      <c r="C372" s="98"/>
      <c r="D372" s="21"/>
      <c r="E372" s="86"/>
      <c r="F372" s="99"/>
      <c r="G372" s="99"/>
      <c r="H372" s="21"/>
      <c r="I372" s="86"/>
      <c r="J372" s="21"/>
      <c r="K372" s="5" t="str">
        <f>IF(AND(LEN(H372)=0, LEN(I372)=0), "", IF(AND(LEN(H372)&gt;0, LEN(I372)=0), "BLANCO", IFERROR(VLOOKUP(I372, BasedatosM9!A:B, 2, FALSE), "BLANCO")))</f>
        <v/>
      </c>
      <c r="W372" s="5" t="str">
        <f>IF(AND(LEN(T372)=0, LEN(U372)=0), "", IF(AND(LEN(T372)&gt;0, LEN(U372)=0), "BLANCO", IFERROR(VLOOKUP(U372, BasedatosM9!A:B, 2, FALSE), "BLANCO")))</f>
        <v/>
      </c>
      <c r="AI372" s="5" t="str">
        <f>IF(AND(LEN(AF372)=0, LEN(AG372)=0), "", IF(AND(LEN(AF372)&gt;0, LEN(AG372)=0), "BLANCO", IFERROR(VLOOKUP(AG372, BasedatosM9!A:B, 2, FALSE), "BLANCO")))</f>
        <v/>
      </c>
      <c r="AU372" s="5" t="str">
        <f>IF(AND(LEN(AR372)=0, LEN(AS372)=0), "", IF(AND(LEN(AR372)&gt;0, LEN(AS372)=0), "BLANCO", IFERROR(VLOOKUP(AS372, BasedatosM9!A:B, 2, FALSE), "BLANCO")))</f>
        <v/>
      </c>
    </row>
    <row r="373" spans="1:47" ht="14.4">
      <c r="A373" s="21"/>
      <c r="B373" s="86"/>
      <c r="C373" s="98"/>
      <c r="D373" s="21"/>
      <c r="E373" s="86"/>
      <c r="F373" s="99"/>
      <c r="G373" s="99"/>
      <c r="H373" s="21"/>
      <c r="I373" s="21"/>
      <c r="J373" s="21"/>
      <c r="K373" s="5" t="str">
        <f>IF(AND(LEN(H373)=0, LEN(I373)=0), "", IF(AND(LEN(H373)&gt;0, LEN(I373)=0), "BLANCO", IFERROR(VLOOKUP(I373, BasedatosM9!A:B, 2, FALSE), "BLANCO")))</f>
        <v/>
      </c>
      <c r="W373" s="5" t="str">
        <f>IF(AND(LEN(T373)=0, LEN(U373)=0), "", IF(AND(LEN(T373)&gt;0, LEN(U373)=0), "BLANCO", IFERROR(VLOOKUP(U373, BasedatosM9!A:B, 2, FALSE), "BLANCO")))</f>
        <v/>
      </c>
      <c r="AI373" s="5" t="str">
        <f>IF(AND(LEN(AF373)=0, LEN(AG373)=0), "", IF(AND(LEN(AF373)&gt;0, LEN(AG373)=0), "BLANCO", IFERROR(VLOOKUP(AG373, BasedatosM9!A:B, 2, FALSE), "BLANCO")))</f>
        <v/>
      </c>
      <c r="AU373" s="5" t="str">
        <f>IF(AND(LEN(AR373)=0, LEN(AS373)=0), "", IF(AND(LEN(AR373)&gt;0, LEN(AS373)=0), "BLANCO", IFERROR(VLOOKUP(AS373, BasedatosM9!A:B, 2, FALSE), "BLANCO")))</f>
        <v/>
      </c>
    </row>
    <row r="374" spans="1:47" ht="14.4">
      <c r="A374" s="21"/>
      <c r="B374" s="86"/>
      <c r="C374" s="98"/>
      <c r="D374" s="21"/>
      <c r="E374" s="86"/>
      <c r="F374" s="99"/>
      <c r="G374" s="99"/>
      <c r="H374" s="21"/>
      <c r="I374" s="86"/>
      <c r="J374" s="21"/>
      <c r="K374" s="5" t="str">
        <f>IF(AND(LEN(H374)=0, LEN(I374)=0), "", IF(AND(LEN(H374)&gt;0, LEN(I374)=0), "BLANCO", IFERROR(VLOOKUP(I374, BasedatosM9!A:B, 2, FALSE), "BLANCO")))</f>
        <v/>
      </c>
      <c r="W374" s="5" t="str">
        <f>IF(AND(LEN(T374)=0, LEN(U374)=0), "", IF(AND(LEN(T374)&gt;0, LEN(U374)=0), "BLANCO", IFERROR(VLOOKUP(U374, BasedatosM9!A:B, 2, FALSE), "BLANCO")))</f>
        <v/>
      </c>
      <c r="AI374" s="5" t="str">
        <f>IF(AND(LEN(AF374)=0, LEN(AG374)=0), "", IF(AND(LEN(AF374)&gt;0, LEN(AG374)=0), "BLANCO", IFERROR(VLOOKUP(AG374, BasedatosM9!A:B, 2, FALSE), "BLANCO")))</f>
        <v/>
      </c>
      <c r="AU374" s="5" t="str">
        <f>IF(AND(LEN(AR374)=0, LEN(AS374)=0), "", IF(AND(LEN(AR374)&gt;0, LEN(AS374)=0), "BLANCO", IFERROR(VLOOKUP(AS374, BasedatosM9!A:B, 2, FALSE), "BLANCO")))</f>
        <v/>
      </c>
    </row>
    <row r="375" spans="1:47" ht="14.4">
      <c r="A375" s="21"/>
      <c r="B375" s="86"/>
      <c r="C375" s="98"/>
      <c r="D375" s="21"/>
      <c r="E375" s="86"/>
      <c r="F375" s="99"/>
      <c r="G375" s="99"/>
      <c r="H375" s="21"/>
      <c r="I375" s="86"/>
      <c r="J375" s="21"/>
      <c r="K375" s="5" t="str">
        <f>IF(AND(LEN(H375)=0, LEN(I375)=0), "", IF(AND(LEN(H375)&gt;0, LEN(I375)=0), "BLANCO", IFERROR(VLOOKUP(I375, BasedatosM9!A:B, 2, FALSE), "BLANCO")))</f>
        <v/>
      </c>
      <c r="W375" s="5" t="str">
        <f>IF(AND(LEN(T375)=0, LEN(U375)=0), "", IF(AND(LEN(T375)&gt;0, LEN(U375)=0), "BLANCO", IFERROR(VLOOKUP(U375, BasedatosM9!A:B, 2, FALSE), "BLANCO")))</f>
        <v/>
      </c>
      <c r="AI375" s="5" t="str">
        <f>IF(AND(LEN(AF375)=0, LEN(AG375)=0), "", IF(AND(LEN(AF375)&gt;0, LEN(AG375)=0), "BLANCO", IFERROR(VLOOKUP(AG375, BasedatosM9!A:B, 2, FALSE), "BLANCO")))</f>
        <v/>
      </c>
      <c r="AU375" s="5" t="str">
        <f>IF(AND(LEN(AR375)=0, LEN(AS375)=0), "", IF(AND(LEN(AR375)&gt;0, LEN(AS375)=0), "BLANCO", IFERROR(VLOOKUP(AS375, BasedatosM9!A:B, 2, FALSE), "BLANCO")))</f>
        <v/>
      </c>
    </row>
    <row r="376" spans="1:47" ht="14.4">
      <c r="A376" s="21"/>
      <c r="B376" s="86"/>
      <c r="C376" s="98"/>
      <c r="D376" s="21"/>
      <c r="E376" s="86"/>
      <c r="F376" s="99"/>
      <c r="G376" s="99"/>
      <c r="H376" s="21"/>
      <c r="I376" s="86"/>
      <c r="J376" s="21"/>
      <c r="K376" s="5" t="str">
        <f>IF(AND(LEN(H376)=0, LEN(I376)=0), "", IF(AND(LEN(H376)&gt;0, LEN(I376)=0), "BLANCO", IFERROR(VLOOKUP(I376, BasedatosM9!A:B, 2, FALSE), "BLANCO")))</f>
        <v/>
      </c>
      <c r="W376" s="5" t="str">
        <f>IF(AND(LEN(T376)=0, LEN(U376)=0), "", IF(AND(LEN(T376)&gt;0, LEN(U376)=0), "BLANCO", IFERROR(VLOOKUP(U376, BasedatosM9!A:B, 2, FALSE), "BLANCO")))</f>
        <v/>
      </c>
      <c r="AI376" s="5" t="str">
        <f>IF(AND(LEN(AF376)=0, LEN(AG376)=0), "", IF(AND(LEN(AF376)&gt;0, LEN(AG376)=0), "BLANCO", IFERROR(VLOOKUP(AG376, BasedatosM9!A:B, 2, FALSE), "BLANCO")))</f>
        <v/>
      </c>
      <c r="AU376" s="5" t="str">
        <f>IF(AND(LEN(AR376)=0, LEN(AS376)=0), "", IF(AND(LEN(AR376)&gt;0, LEN(AS376)=0), "BLANCO", IFERROR(VLOOKUP(AS376, BasedatosM9!A:B, 2, FALSE), "BLANCO")))</f>
        <v/>
      </c>
    </row>
    <row r="377" spans="1:47" ht="14.4">
      <c r="A377" s="21"/>
      <c r="B377" s="86"/>
      <c r="C377" s="98"/>
      <c r="D377" s="21"/>
      <c r="E377" s="86"/>
      <c r="F377" s="99"/>
      <c r="G377" s="99"/>
      <c r="H377" s="21"/>
      <c r="I377" s="86"/>
      <c r="J377" s="21"/>
      <c r="K377" s="5" t="str">
        <f>IF(AND(LEN(H377)=0, LEN(I377)=0), "", IF(AND(LEN(H377)&gt;0, LEN(I377)=0), "BLANCO", IFERROR(VLOOKUP(I377, BasedatosM9!A:B, 2, FALSE), "BLANCO")))</f>
        <v/>
      </c>
      <c r="W377" s="5" t="str">
        <f>IF(AND(LEN(T377)=0, LEN(U377)=0), "", IF(AND(LEN(T377)&gt;0, LEN(U377)=0), "BLANCO", IFERROR(VLOOKUP(U377, BasedatosM9!A:B, 2, FALSE), "BLANCO")))</f>
        <v/>
      </c>
      <c r="AI377" s="5" t="str">
        <f>IF(AND(LEN(AF377)=0, LEN(AG377)=0), "", IF(AND(LEN(AF377)&gt;0, LEN(AG377)=0), "BLANCO", IFERROR(VLOOKUP(AG377, BasedatosM9!A:B, 2, FALSE), "BLANCO")))</f>
        <v/>
      </c>
      <c r="AU377" s="5" t="str">
        <f>IF(AND(LEN(AR377)=0, LEN(AS377)=0), "", IF(AND(LEN(AR377)&gt;0, LEN(AS377)=0), "BLANCO", IFERROR(VLOOKUP(AS377, BasedatosM9!A:B, 2, FALSE), "BLANCO")))</f>
        <v/>
      </c>
    </row>
    <row r="378" spans="1:47" ht="14.4">
      <c r="A378" s="21"/>
      <c r="B378" s="86"/>
      <c r="C378" s="98"/>
      <c r="D378" s="21"/>
      <c r="E378" s="86"/>
      <c r="F378" s="99"/>
      <c r="G378" s="99"/>
      <c r="H378" s="21"/>
      <c r="I378" s="86"/>
      <c r="J378" s="21"/>
      <c r="K378" s="5" t="str">
        <f>IF(AND(LEN(H378)=0, LEN(I378)=0), "", IF(AND(LEN(H378)&gt;0, LEN(I378)=0), "BLANCO", IFERROR(VLOOKUP(I378, BasedatosM9!A:B, 2, FALSE), "BLANCO")))</f>
        <v/>
      </c>
      <c r="W378" s="5" t="str">
        <f>IF(AND(LEN(T378)=0, LEN(U378)=0), "", IF(AND(LEN(T378)&gt;0, LEN(U378)=0), "BLANCO", IFERROR(VLOOKUP(U378, BasedatosM9!A:B, 2, FALSE), "BLANCO")))</f>
        <v/>
      </c>
      <c r="AI378" s="5" t="str">
        <f>IF(AND(LEN(AF378)=0, LEN(AG378)=0), "", IF(AND(LEN(AF378)&gt;0, LEN(AG378)=0), "BLANCO", IFERROR(VLOOKUP(AG378, BasedatosM9!A:B, 2, FALSE), "BLANCO")))</f>
        <v/>
      </c>
      <c r="AU378" s="5" t="str">
        <f>IF(AND(LEN(AR378)=0, LEN(AS378)=0), "", IF(AND(LEN(AR378)&gt;0, LEN(AS378)=0), "BLANCO", IFERROR(VLOOKUP(AS378, BasedatosM9!A:B, 2, FALSE), "BLANCO")))</f>
        <v/>
      </c>
    </row>
    <row r="379" spans="1:47" ht="14.4">
      <c r="A379" s="21"/>
      <c r="B379" s="86"/>
      <c r="C379" s="98"/>
      <c r="D379" s="21"/>
      <c r="E379" s="86"/>
      <c r="F379" s="99"/>
      <c r="G379" s="99"/>
      <c r="H379" s="21"/>
      <c r="I379" s="21"/>
      <c r="J379" s="21"/>
      <c r="K379" s="5" t="str">
        <f>IF(AND(LEN(H379)=0, LEN(I379)=0), "", IF(AND(LEN(H379)&gt;0, LEN(I379)=0), "BLANCO", IFERROR(VLOOKUP(I379, BasedatosM9!A:B, 2, FALSE), "BLANCO")))</f>
        <v/>
      </c>
      <c r="W379" s="5" t="str">
        <f>IF(AND(LEN(T379)=0, LEN(U379)=0), "", IF(AND(LEN(T379)&gt;0, LEN(U379)=0), "BLANCO", IFERROR(VLOOKUP(U379, BasedatosM9!A:B, 2, FALSE), "BLANCO")))</f>
        <v/>
      </c>
      <c r="AI379" s="5" t="str">
        <f>IF(AND(LEN(AF379)=0, LEN(AG379)=0), "", IF(AND(LEN(AF379)&gt;0, LEN(AG379)=0), "BLANCO", IFERROR(VLOOKUP(AG379, BasedatosM9!A:B, 2, FALSE), "BLANCO")))</f>
        <v/>
      </c>
      <c r="AU379" s="5" t="str">
        <f>IF(AND(LEN(AR379)=0, LEN(AS379)=0), "", IF(AND(LEN(AR379)&gt;0, LEN(AS379)=0), "BLANCO", IFERROR(VLOOKUP(AS379, BasedatosM9!A:B, 2, FALSE), "BLANCO")))</f>
        <v/>
      </c>
    </row>
    <row r="380" spans="1:47" ht="14.4">
      <c r="A380" s="21"/>
      <c r="B380" s="86"/>
      <c r="C380" s="98"/>
      <c r="D380" s="21"/>
      <c r="E380" s="86"/>
      <c r="F380" s="99"/>
      <c r="G380" s="99"/>
      <c r="H380" s="21"/>
      <c r="I380" s="86"/>
      <c r="J380" s="21"/>
      <c r="K380" s="5" t="str">
        <f>IF(AND(LEN(H380)=0, LEN(I380)=0), "", IF(AND(LEN(H380)&gt;0, LEN(I380)=0), "BLANCO", IFERROR(VLOOKUP(I380, BasedatosM9!A:B, 2, FALSE), "BLANCO")))</f>
        <v/>
      </c>
      <c r="W380" s="5" t="str">
        <f>IF(AND(LEN(T380)=0, LEN(U380)=0), "", IF(AND(LEN(T380)&gt;0, LEN(U380)=0), "BLANCO", IFERROR(VLOOKUP(U380, BasedatosM9!A:B, 2, FALSE), "BLANCO")))</f>
        <v/>
      </c>
      <c r="AI380" s="5" t="str">
        <f>IF(AND(LEN(AF380)=0, LEN(AG380)=0), "", IF(AND(LEN(AF380)&gt;0, LEN(AG380)=0), "BLANCO", IFERROR(VLOOKUP(AG380, BasedatosM9!A:B, 2, FALSE), "BLANCO")))</f>
        <v/>
      </c>
      <c r="AU380" s="5" t="str">
        <f>IF(AND(LEN(AR380)=0, LEN(AS380)=0), "", IF(AND(LEN(AR380)&gt;0, LEN(AS380)=0), "BLANCO", IFERROR(VLOOKUP(AS380, BasedatosM9!A:B, 2, FALSE), "BLANCO")))</f>
        <v/>
      </c>
    </row>
    <row r="381" spans="1:47" ht="14.4">
      <c r="A381" s="21"/>
      <c r="B381" s="86"/>
      <c r="C381" s="98"/>
      <c r="D381" s="21"/>
      <c r="E381" s="86"/>
      <c r="F381" s="99"/>
      <c r="G381" s="99"/>
      <c r="H381" s="21"/>
      <c r="I381" s="21"/>
      <c r="J381" s="21"/>
      <c r="K381" s="5" t="str">
        <f>IF(AND(LEN(H381)=0, LEN(I381)=0), "", IF(AND(LEN(H381)&gt;0, LEN(I381)=0), "BLANCO", IFERROR(VLOOKUP(I381, BasedatosM9!A:B, 2, FALSE), "BLANCO")))</f>
        <v/>
      </c>
      <c r="W381" s="5" t="str">
        <f>IF(AND(LEN(T381)=0, LEN(U381)=0), "", IF(AND(LEN(T381)&gt;0, LEN(U381)=0), "BLANCO", IFERROR(VLOOKUP(U381, BasedatosM9!A:B, 2, FALSE), "BLANCO")))</f>
        <v/>
      </c>
      <c r="AI381" s="5" t="str">
        <f>IF(AND(LEN(AF381)=0, LEN(AG381)=0), "", IF(AND(LEN(AF381)&gt;0, LEN(AG381)=0), "BLANCO", IFERROR(VLOOKUP(AG381, BasedatosM9!A:B, 2, FALSE), "BLANCO")))</f>
        <v/>
      </c>
      <c r="AU381" s="5" t="str">
        <f>IF(AND(LEN(AR381)=0, LEN(AS381)=0), "", IF(AND(LEN(AR381)&gt;0, LEN(AS381)=0), "BLANCO", IFERROR(VLOOKUP(AS381, BasedatosM9!A:B, 2, FALSE), "BLANCO")))</f>
        <v/>
      </c>
    </row>
    <row r="382" spans="1:47" ht="14.4">
      <c r="A382" s="21"/>
      <c r="B382" s="86"/>
      <c r="C382" s="98"/>
      <c r="D382" s="21"/>
      <c r="E382" s="86"/>
      <c r="F382" s="99"/>
      <c r="G382" s="99"/>
      <c r="H382" s="21"/>
      <c r="I382" s="21"/>
      <c r="J382" s="21"/>
      <c r="K382" s="5" t="str">
        <f>IF(AND(LEN(H382)=0, LEN(I382)=0), "", IF(AND(LEN(H382)&gt;0, LEN(I382)=0), "BLANCO", IFERROR(VLOOKUP(I382, BasedatosM9!A:B, 2, FALSE), "BLANCO")))</f>
        <v/>
      </c>
      <c r="W382" s="5" t="str">
        <f>IF(AND(LEN(T382)=0, LEN(U382)=0), "", IF(AND(LEN(T382)&gt;0, LEN(U382)=0), "BLANCO", IFERROR(VLOOKUP(U382, BasedatosM9!A:B, 2, FALSE), "BLANCO")))</f>
        <v/>
      </c>
      <c r="AI382" s="5" t="str">
        <f>IF(AND(LEN(AF382)=0, LEN(AG382)=0), "", IF(AND(LEN(AF382)&gt;0, LEN(AG382)=0), "BLANCO", IFERROR(VLOOKUP(AG382, BasedatosM9!A:B, 2, FALSE), "BLANCO")))</f>
        <v/>
      </c>
      <c r="AU382" s="5" t="str">
        <f>IF(AND(LEN(AR382)=0, LEN(AS382)=0), "", IF(AND(LEN(AR382)&gt;0, LEN(AS382)=0), "BLANCO", IFERROR(VLOOKUP(AS382, BasedatosM9!A:B, 2, FALSE), "BLANCO")))</f>
        <v/>
      </c>
    </row>
    <row r="383" spans="1:47" ht="14.4">
      <c r="A383" s="21"/>
      <c r="B383" s="86"/>
      <c r="C383" s="98"/>
      <c r="D383" s="21"/>
      <c r="E383" s="86"/>
      <c r="F383" s="99"/>
      <c r="G383" s="99"/>
      <c r="H383" s="21"/>
      <c r="I383" s="86"/>
      <c r="J383" s="21"/>
      <c r="K383" s="5" t="str">
        <f>IF(AND(LEN(H383)=0, LEN(I383)=0), "", IF(AND(LEN(H383)&gt;0, LEN(I383)=0), "BLANCO", IFERROR(VLOOKUP(I383, BasedatosM9!A:B, 2, FALSE), "BLANCO")))</f>
        <v/>
      </c>
      <c r="W383" s="5" t="str">
        <f>IF(AND(LEN(T383)=0, LEN(U383)=0), "", IF(AND(LEN(T383)&gt;0, LEN(U383)=0), "BLANCO", IFERROR(VLOOKUP(U383, BasedatosM9!A:B, 2, FALSE), "BLANCO")))</f>
        <v/>
      </c>
      <c r="AI383" s="5" t="str">
        <f>IF(AND(LEN(AF383)=0, LEN(AG383)=0), "", IF(AND(LEN(AF383)&gt;0, LEN(AG383)=0), "BLANCO", IFERROR(VLOOKUP(AG383, BasedatosM9!A:B, 2, FALSE), "BLANCO")))</f>
        <v/>
      </c>
      <c r="AU383" s="5" t="str">
        <f>IF(AND(LEN(AR383)=0, LEN(AS383)=0), "", IF(AND(LEN(AR383)&gt;0, LEN(AS383)=0), "BLANCO", IFERROR(VLOOKUP(AS383, BasedatosM9!A:B, 2, FALSE), "BLANCO")))</f>
        <v/>
      </c>
    </row>
    <row r="384" spans="1:47" ht="14.4">
      <c r="A384" s="21"/>
      <c r="B384" s="86"/>
      <c r="C384" s="98"/>
      <c r="D384" s="21"/>
      <c r="E384" s="86"/>
      <c r="F384" s="99"/>
      <c r="G384" s="99"/>
      <c r="H384" s="21"/>
      <c r="I384" s="86"/>
      <c r="J384" s="21"/>
      <c r="K384" s="5" t="str">
        <f>IF(AND(LEN(H384)=0, LEN(I384)=0), "", IF(AND(LEN(H384)&gt;0, LEN(I384)=0), "BLANCO", IFERROR(VLOOKUP(I384, BasedatosM9!A:B, 2, FALSE), "BLANCO")))</f>
        <v/>
      </c>
      <c r="W384" s="5" t="str">
        <f>IF(AND(LEN(T384)=0, LEN(U384)=0), "", IF(AND(LEN(T384)&gt;0, LEN(U384)=0), "BLANCO", IFERROR(VLOOKUP(U384, BasedatosM9!A:B, 2, FALSE), "BLANCO")))</f>
        <v/>
      </c>
      <c r="AI384" s="5" t="str">
        <f>IF(AND(LEN(AF384)=0, LEN(AG384)=0), "", IF(AND(LEN(AF384)&gt;0, LEN(AG384)=0), "BLANCO", IFERROR(VLOOKUP(AG384, BasedatosM9!A:B, 2, FALSE), "BLANCO")))</f>
        <v/>
      </c>
      <c r="AU384" s="5" t="str">
        <f>IF(AND(LEN(AR384)=0, LEN(AS384)=0), "", IF(AND(LEN(AR384)&gt;0, LEN(AS384)=0), "BLANCO", IFERROR(VLOOKUP(AS384, BasedatosM9!A:B, 2, FALSE), "BLANCO")))</f>
        <v/>
      </c>
    </row>
    <row r="385" spans="1:47" ht="14.4">
      <c r="A385" s="21"/>
      <c r="B385" s="86"/>
      <c r="C385" s="98"/>
      <c r="D385" s="21"/>
      <c r="E385" s="86"/>
      <c r="F385" s="99"/>
      <c r="G385" s="99"/>
      <c r="H385" s="21"/>
      <c r="I385" s="21"/>
      <c r="J385" s="21"/>
      <c r="K385" s="5" t="str">
        <f>IF(AND(LEN(H385)=0, LEN(I385)=0), "", IF(AND(LEN(H385)&gt;0, LEN(I385)=0), "BLANCO", IFERROR(VLOOKUP(I385, BasedatosM9!A:B, 2, FALSE), "BLANCO")))</f>
        <v/>
      </c>
      <c r="W385" s="5" t="str">
        <f>IF(AND(LEN(T385)=0, LEN(U385)=0), "", IF(AND(LEN(T385)&gt;0, LEN(U385)=0), "BLANCO", IFERROR(VLOOKUP(U385, BasedatosM9!A:B, 2, FALSE), "BLANCO")))</f>
        <v/>
      </c>
      <c r="AI385" s="5" t="str">
        <f>IF(AND(LEN(AF385)=0, LEN(AG385)=0), "", IF(AND(LEN(AF385)&gt;0, LEN(AG385)=0), "BLANCO", IFERROR(VLOOKUP(AG385, BasedatosM9!A:B, 2, FALSE), "BLANCO")))</f>
        <v/>
      </c>
      <c r="AU385" s="5" t="str">
        <f>IF(AND(LEN(AR385)=0, LEN(AS385)=0), "", IF(AND(LEN(AR385)&gt;0, LEN(AS385)=0), "BLANCO", IFERROR(VLOOKUP(AS385, BasedatosM9!A:B, 2, FALSE), "BLANCO")))</f>
        <v/>
      </c>
    </row>
    <row r="386" spans="1:47" ht="14.4">
      <c r="A386" s="21"/>
      <c r="B386" s="86"/>
      <c r="C386" s="98"/>
      <c r="D386" s="21"/>
      <c r="E386" s="86"/>
      <c r="F386" s="99"/>
      <c r="G386" s="99"/>
      <c r="H386" s="21"/>
      <c r="I386" s="21"/>
      <c r="J386" s="21"/>
      <c r="K386" s="5" t="str">
        <f>IF(AND(LEN(H386)=0, LEN(I386)=0), "", IF(AND(LEN(H386)&gt;0, LEN(I386)=0), "BLANCO", IFERROR(VLOOKUP(I386, BasedatosM9!A:B, 2, FALSE), "BLANCO")))</f>
        <v/>
      </c>
      <c r="W386" s="5" t="str">
        <f>IF(AND(LEN(T386)=0, LEN(U386)=0), "", IF(AND(LEN(T386)&gt;0, LEN(U386)=0), "BLANCO", IFERROR(VLOOKUP(U386, BasedatosM9!A:B, 2, FALSE), "BLANCO")))</f>
        <v/>
      </c>
      <c r="AI386" s="5" t="str">
        <f>IF(AND(LEN(AF386)=0, LEN(AG386)=0), "", IF(AND(LEN(AF386)&gt;0, LEN(AG386)=0), "BLANCO", IFERROR(VLOOKUP(AG386, BasedatosM9!A:B, 2, FALSE), "BLANCO")))</f>
        <v/>
      </c>
      <c r="AU386" s="5" t="str">
        <f>IF(AND(LEN(AR386)=0, LEN(AS386)=0), "", IF(AND(LEN(AR386)&gt;0, LEN(AS386)=0), "BLANCO", IFERROR(VLOOKUP(AS386, BasedatosM9!A:B, 2, FALSE), "BLANCO")))</f>
        <v/>
      </c>
    </row>
    <row r="387" spans="1:47" ht="14.4">
      <c r="A387" s="21"/>
      <c r="B387" s="86"/>
      <c r="C387" s="98"/>
      <c r="D387" s="21"/>
      <c r="E387" s="86"/>
      <c r="F387" s="99"/>
      <c r="G387" s="99"/>
      <c r="H387" s="21"/>
      <c r="I387" s="86"/>
      <c r="J387" s="21"/>
      <c r="K387" s="5" t="str">
        <f>IF(AND(LEN(H387)=0, LEN(I387)=0), "", IF(AND(LEN(H387)&gt;0, LEN(I387)=0), "BLANCO", IFERROR(VLOOKUP(I387, BasedatosM9!A:B, 2, FALSE), "BLANCO")))</f>
        <v/>
      </c>
      <c r="W387" s="5" t="str">
        <f>IF(AND(LEN(T387)=0, LEN(U387)=0), "", IF(AND(LEN(T387)&gt;0, LEN(U387)=0), "BLANCO", IFERROR(VLOOKUP(U387, BasedatosM9!A:B, 2, FALSE), "BLANCO")))</f>
        <v/>
      </c>
      <c r="AI387" s="5" t="str">
        <f>IF(AND(LEN(AF387)=0, LEN(AG387)=0), "", IF(AND(LEN(AF387)&gt;0, LEN(AG387)=0), "BLANCO", IFERROR(VLOOKUP(AG387, BasedatosM9!A:B, 2, FALSE), "BLANCO")))</f>
        <v/>
      </c>
      <c r="AU387" s="5" t="str">
        <f>IF(AND(LEN(AR387)=0, LEN(AS387)=0), "", IF(AND(LEN(AR387)&gt;0, LEN(AS387)=0), "BLANCO", IFERROR(VLOOKUP(AS387, BasedatosM9!A:B, 2, FALSE), "BLANCO")))</f>
        <v/>
      </c>
    </row>
    <row r="388" spans="1:47" ht="14.4">
      <c r="A388" s="21"/>
      <c r="B388" s="86"/>
      <c r="C388" s="98"/>
      <c r="D388" s="21"/>
      <c r="E388" s="86"/>
      <c r="F388" s="99"/>
      <c r="G388" s="99"/>
      <c r="H388" s="21"/>
      <c r="I388" s="86"/>
      <c r="J388" s="21"/>
      <c r="K388" s="5" t="str">
        <f>IF(AND(LEN(H388)=0, LEN(I388)=0), "", IF(AND(LEN(H388)&gt;0, LEN(I388)=0), "BLANCO", IFERROR(VLOOKUP(I388, BasedatosM9!A:B, 2, FALSE), "BLANCO")))</f>
        <v/>
      </c>
      <c r="W388" s="5" t="str">
        <f>IF(AND(LEN(T388)=0, LEN(U388)=0), "", IF(AND(LEN(T388)&gt;0, LEN(U388)=0), "BLANCO", IFERROR(VLOOKUP(U388, BasedatosM9!A:B, 2, FALSE), "BLANCO")))</f>
        <v/>
      </c>
      <c r="AI388" s="5" t="str">
        <f>IF(AND(LEN(AF388)=0, LEN(AG388)=0), "", IF(AND(LEN(AF388)&gt;0, LEN(AG388)=0), "BLANCO", IFERROR(VLOOKUP(AG388, BasedatosM9!A:B, 2, FALSE), "BLANCO")))</f>
        <v/>
      </c>
      <c r="AU388" s="5" t="str">
        <f>IF(AND(LEN(AR388)=0, LEN(AS388)=0), "", IF(AND(LEN(AR388)&gt;0, LEN(AS388)=0), "BLANCO", IFERROR(VLOOKUP(AS388, BasedatosM9!A:B, 2, FALSE), "BLANCO")))</f>
        <v/>
      </c>
    </row>
    <row r="389" spans="1:47" ht="14.4">
      <c r="A389" s="21"/>
      <c r="B389" s="86"/>
      <c r="C389" s="98"/>
      <c r="D389" s="21"/>
      <c r="E389" s="86"/>
      <c r="F389" s="99"/>
      <c r="G389" s="99"/>
      <c r="H389" s="21"/>
      <c r="I389" s="21"/>
      <c r="J389" s="21"/>
      <c r="K389" s="5" t="str">
        <f>IF(AND(LEN(H389)=0, LEN(I389)=0), "", IF(AND(LEN(H389)&gt;0, LEN(I389)=0), "BLANCO", IFERROR(VLOOKUP(I389, BasedatosM9!A:B, 2, FALSE), "BLANCO")))</f>
        <v/>
      </c>
      <c r="W389" s="5" t="str">
        <f>IF(AND(LEN(T389)=0, LEN(U389)=0), "", IF(AND(LEN(T389)&gt;0, LEN(U389)=0), "BLANCO", IFERROR(VLOOKUP(U389, BasedatosM9!A:B, 2, FALSE), "BLANCO")))</f>
        <v/>
      </c>
      <c r="AI389" s="5" t="str">
        <f>IF(AND(LEN(AF389)=0, LEN(AG389)=0), "", IF(AND(LEN(AF389)&gt;0, LEN(AG389)=0), "BLANCO", IFERROR(VLOOKUP(AG389, BasedatosM9!A:B, 2, FALSE), "BLANCO")))</f>
        <v/>
      </c>
      <c r="AU389" s="5" t="str">
        <f>IF(AND(LEN(AR389)=0, LEN(AS389)=0), "", IF(AND(LEN(AR389)&gt;0, LEN(AS389)=0), "BLANCO", IFERROR(VLOOKUP(AS389, BasedatosM9!A:B, 2, FALSE), "BLANCO")))</f>
        <v/>
      </c>
    </row>
    <row r="390" spans="1:47" ht="14.4">
      <c r="A390" s="21"/>
      <c r="B390" s="86"/>
      <c r="C390" s="98"/>
      <c r="D390" s="21"/>
      <c r="E390" s="86"/>
      <c r="F390" s="99"/>
      <c r="G390" s="99"/>
      <c r="H390" s="21"/>
      <c r="I390" s="21"/>
      <c r="J390" s="21"/>
      <c r="K390" s="5" t="str">
        <f>IF(AND(LEN(H390)=0, LEN(I390)=0), "", IF(AND(LEN(H390)&gt;0, LEN(I390)=0), "BLANCO", IFERROR(VLOOKUP(I390, BasedatosM9!A:B, 2, FALSE), "BLANCO")))</f>
        <v/>
      </c>
      <c r="W390" s="5" t="str">
        <f>IF(AND(LEN(T390)=0, LEN(U390)=0), "", IF(AND(LEN(T390)&gt;0, LEN(U390)=0), "BLANCO", IFERROR(VLOOKUP(U390, BasedatosM9!A:B, 2, FALSE), "BLANCO")))</f>
        <v/>
      </c>
      <c r="AI390" s="5" t="str">
        <f>IF(AND(LEN(AF390)=0, LEN(AG390)=0), "", IF(AND(LEN(AF390)&gt;0, LEN(AG390)=0), "BLANCO", IFERROR(VLOOKUP(AG390, BasedatosM9!A:B, 2, FALSE), "BLANCO")))</f>
        <v/>
      </c>
      <c r="AU390" s="5" t="str">
        <f>IF(AND(LEN(AR390)=0, LEN(AS390)=0), "", IF(AND(LEN(AR390)&gt;0, LEN(AS390)=0), "BLANCO", IFERROR(VLOOKUP(AS390, BasedatosM9!A:B, 2, FALSE), "BLANCO")))</f>
        <v/>
      </c>
    </row>
    <row r="391" spans="1:47" ht="14.4">
      <c r="A391" s="21"/>
      <c r="B391" s="86"/>
      <c r="C391" s="98"/>
      <c r="D391" s="21"/>
      <c r="E391" s="86"/>
      <c r="F391" s="99"/>
      <c r="G391" s="99"/>
      <c r="H391" s="21"/>
      <c r="I391" s="86"/>
      <c r="J391" s="21"/>
      <c r="K391" s="5" t="str">
        <f>IF(AND(LEN(H391)=0, LEN(I391)=0), "", IF(AND(LEN(H391)&gt;0, LEN(I391)=0), "BLANCO", IFERROR(VLOOKUP(I391, BasedatosM9!A:B, 2, FALSE), "BLANCO")))</f>
        <v/>
      </c>
      <c r="W391" s="5" t="str">
        <f>IF(AND(LEN(T391)=0, LEN(U391)=0), "", IF(AND(LEN(T391)&gt;0, LEN(U391)=0), "BLANCO", IFERROR(VLOOKUP(U391, BasedatosM9!A:B, 2, FALSE), "BLANCO")))</f>
        <v/>
      </c>
      <c r="AI391" s="5" t="str">
        <f>IF(AND(LEN(AF391)=0, LEN(AG391)=0), "", IF(AND(LEN(AF391)&gt;0, LEN(AG391)=0), "BLANCO", IFERROR(VLOOKUP(AG391, BasedatosM9!A:B, 2, FALSE), "BLANCO")))</f>
        <v/>
      </c>
      <c r="AU391" s="5" t="str">
        <f>IF(AND(LEN(AR391)=0, LEN(AS391)=0), "", IF(AND(LEN(AR391)&gt;0, LEN(AS391)=0), "BLANCO", IFERROR(VLOOKUP(AS391, BasedatosM9!A:B, 2, FALSE), "BLANCO")))</f>
        <v/>
      </c>
    </row>
    <row r="392" spans="1:47" ht="14.4">
      <c r="A392" s="21"/>
      <c r="B392" s="86"/>
      <c r="C392" s="98"/>
      <c r="D392" s="21"/>
      <c r="E392" s="86"/>
      <c r="F392" s="99"/>
      <c r="G392" s="99"/>
      <c r="H392" s="21"/>
      <c r="I392" s="86"/>
      <c r="J392" s="21"/>
      <c r="K392" s="5" t="str">
        <f>IF(AND(LEN(H392)=0, LEN(I392)=0), "", IF(AND(LEN(H392)&gt;0, LEN(I392)=0), "BLANCO", IFERROR(VLOOKUP(I392, BasedatosM9!A:B, 2, FALSE), "BLANCO")))</f>
        <v/>
      </c>
      <c r="W392" s="5" t="str">
        <f>IF(AND(LEN(T392)=0, LEN(U392)=0), "", IF(AND(LEN(T392)&gt;0, LEN(U392)=0), "BLANCO", IFERROR(VLOOKUP(U392, BasedatosM9!A:B, 2, FALSE), "BLANCO")))</f>
        <v/>
      </c>
      <c r="AI392" s="5" t="str">
        <f>IF(AND(LEN(AF392)=0, LEN(AG392)=0), "", IF(AND(LEN(AF392)&gt;0, LEN(AG392)=0), "BLANCO", IFERROR(VLOOKUP(AG392, BasedatosM9!A:B, 2, FALSE), "BLANCO")))</f>
        <v/>
      </c>
      <c r="AU392" s="5" t="str">
        <f>IF(AND(LEN(AR392)=0, LEN(AS392)=0), "", IF(AND(LEN(AR392)&gt;0, LEN(AS392)=0), "BLANCO", IFERROR(VLOOKUP(AS392, BasedatosM9!A:B, 2, FALSE), "BLANCO")))</f>
        <v/>
      </c>
    </row>
    <row r="393" spans="1:47" ht="14.4">
      <c r="A393" s="21"/>
      <c r="B393" s="86"/>
      <c r="C393" s="98"/>
      <c r="D393" s="21"/>
      <c r="E393" s="86"/>
      <c r="F393" s="99"/>
      <c r="G393" s="99"/>
      <c r="H393" s="21"/>
      <c r="I393" s="21"/>
      <c r="J393" s="21"/>
      <c r="K393" s="5" t="str">
        <f>IF(AND(LEN(H393)=0, LEN(I393)=0), "", IF(AND(LEN(H393)&gt;0, LEN(I393)=0), "BLANCO", IFERROR(VLOOKUP(I393, BasedatosM9!A:B, 2, FALSE), "BLANCO")))</f>
        <v/>
      </c>
      <c r="W393" s="5" t="str">
        <f>IF(AND(LEN(T393)=0, LEN(U393)=0), "", IF(AND(LEN(T393)&gt;0, LEN(U393)=0), "BLANCO", IFERROR(VLOOKUP(U393, BasedatosM9!A:B, 2, FALSE), "BLANCO")))</f>
        <v/>
      </c>
      <c r="AI393" s="5" t="str">
        <f>IF(AND(LEN(AF393)=0, LEN(AG393)=0), "", IF(AND(LEN(AF393)&gt;0, LEN(AG393)=0), "BLANCO", IFERROR(VLOOKUP(AG393, BasedatosM9!A:B, 2, FALSE), "BLANCO")))</f>
        <v/>
      </c>
      <c r="AU393" s="5" t="str">
        <f>IF(AND(LEN(AR393)=0, LEN(AS393)=0), "", IF(AND(LEN(AR393)&gt;0, LEN(AS393)=0), "BLANCO", IFERROR(VLOOKUP(AS393, BasedatosM9!A:B, 2, FALSE), "BLANCO")))</f>
        <v/>
      </c>
    </row>
    <row r="394" spans="1:47" ht="14.4">
      <c r="A394" s="21"/>
      <c r="B394" s="86"/>
      <c r="C394" s="98"/>
      <c r="D394" s="21"/>
      <c r="E394" s="86"/>
      <c r="F394" s="99"/>
      <c r="G394" s="99"/>
      <c r="H394" s="21"/>
      <c r="I394" s="86"/>
      <c r="J394" s="21"/>
      <c r="K394" s="5" t="str">
        <f>IF(AND(LEN(H394)=0, LEN(I394)=0), "", IF(AND(LEN(H394)&gt;0, LEN(I394)=0), "BLANCO", IFERROR(VLOOKUP(I394, BasedatosM9!A:B, 2, FALSE), "BLANCO")))</f>
        <v/>
      </c>
      <c r="W394" s="5" t="str">
        <f>IF(AND(LEN(T394)=0, LEN(U394)=0), "", IF(AND(LEN(T394)&gt;0, LEN(U394)=0), "BLANCO", IFERROR(VLOOKUP(U394, BasedatosM9!A:B, 2, FALSE), "BLANCO")))</f>
        <v/>
      </c>
      <c r="AI394" s="5" t="str">
        <f>IF(AND(LEN(AF394)=0, LEN(AG394)=0), "", IF(AND(LEN(AF394)&gt;0, LEN(AG394)=0), "BLANCO", IFERROR(VLOOKUP(AG394, BasedatosM9!A:B, 2, FALSE), "BLANCO")))</f>
        <v/>
      </c>
      <c r="AU394" s="5" t="str">
        <f>IF(AND(LEN(AR394)=0, LEN(AS394)=0), "", IF(AND(LEN(AR394)&gt;0, LEN(AS394)=0), "BLANCO", IFERROR(VLOOKUP(AS394, BasedatosM9!A:B, 2, FALSE), "BLANCO")))</f>
        <v/>
      </c>
    </row>
    <row r="395" spans="1:47" ht="14.4">
      <c r="A395" s="21"/>
      <c r="B395" s="86"/>
      <c r="C395" s="98"/>
      <c r="D395" s="21"/>
      <c r="E395" s="86"/>
      <c r="F395" s="99"/>
      <c r="G395" s="99"/>
      <c r="H395" s="21"/>
      <c r="I395" s="86"/>
      <c r="J395" s="21"/>
      <c r="K395" s="5" t="str">
        <f>IF(AND(LEN(H395)=0, LEN(I395)=0), "", IF(AND(LEN(H395)&gt;0, LEN(I395)=0), "BLANCO", IFERROR(VLOOKUP(I395, BasedatosM9!A:B, 2, FALSE), "BLANCO")))</f>
        <v/>
      </c>
      <c r="W395" s="5" t="str">
        <f>IF(AND(LEN(T395)=0, LEN(U395)=0), "", IF(AND(LEN(T395)&gt;0, LEN(U395)=0), "BLANCO", IFERROR(VLOOKUP(U395, BasedatosM9!A:B, 2, FALSE), "BLANCO")))</f>
        <v/>
      </c>
      <c r="AI395" s="5" t="str">
        <f>IF(AND(LEN(AF395)=0, LEN(AG395)=0), "", IF(AND(LEN(AF395)&gt;0, LEN(AG395)=0), "BLANCO", IFERROR(VLOOKUP(AG395, BasedatosM9!A:B, 2, FALSE), "BLANCO")))</f>
        <v/>
      </c>
      <c r="AU395" s="5" t="str">
        <f>IF(AND(LEN(AR395)=0, LEN(AS395)=0), "", IF(AND(LEN(AR395)&gt;0, LEN(AS395)=0), "BLANCO", IFERROR(VLOOKUP(AS395, BasedatosM9!A:B, 2, FALSE), "BLANCO")))</f>
        <v/>
      </c>
    </row>
    <row r="396" spans="1:47" ht="14.4">
      <c r="A396" s="21"/>
      <c r="B396" s="86"/>
      <c r="C396" s="98"/>
      <c r="D396" s="21"/>
      <c r="E396" s="86"/>
      <c r="F396" s="99"/>
      <c r="G396" s="99"/>
      <c r="H396" s="21"/>
      <c r="I396" s="86"/>
      <c r="J396" s="21"/>
      <c r="K396" s="5" t="str">
        <f>IF(AND(LEN(H396)=0, LEN(I396)=0), "", IF(AND(LEN(H396)&gt;0, LEN(I396)=0), "BLANCO", IFERROR(VLOOKUP(I396, BasedatosM9!A:B, 2, FALSE), "BLANCO")))</f>
        <v/>
      </c>
      <c r="W396" s="5" t="str">
        <f>IF(AND(LEN(T396)=0, LEN(U396)=0), "", IF(AND(LEN(T396)&gt;0, LEN(U396)=0), "BLANCO", IFERROR(VLOOKUP(U396, BasedatosM9!A:B, 2, FALSE), "BLANCO")))</f>
        <v/>
      </c>
      <c r="AI396" s="5" t="str">
        <f>IF(AND(LEN(AF396)=0, LEN(AG396)=0), "", IF(AND(LEN(AF396)&gt;0, LEN(AG396)=0), "BLANCO", IFERROR(VLOOKUP(AG396, BasedatosM9!A:B, 2, FALSE), "BLANCO")))</f>
        <v/>
      </c>
      <c r="AU396" s="5" t="str">
        <f>IF(AND(LEN(AR396)=0, LEN(AS396)=0), "", IF(AND(LEN(AR396)&gt;0, LEN(AS396)=0), "BLANCO", IFERROR(VLOOKUP(AS396, BasedatosM9!A:B, 2, FALSE), "BLANCO")))</f>
        <v/>
      </c>
    </row>
    <row r="397" spans="1:47" ht="14.4">
      <c r="A397" s="21"/>
      <c r="B397" s="86"/>
      <c r="C397" s="98"/>
      <c r="D397" s="21"/>
      <c r="E397" s="86"/>
      <c r="F397" s="99"/>
      <c r="G397" s="99"/>
      <c r="H397" s="21"/>
      <c r="I397" s="86"/>
      <c r="J397" s="21"/>
      <c r="K397" s="5" t="str">
        <f>IF(AND(LEN(H397)=0, LEN(I397)=0), "", IF(AND(LEN(H397)&gt;0, LEN(I397)=0), "BLANCO", IFERROR(VLOOKUP(I397, BasedatosM9!A:B, 2, FALSE), "BLANCO")))</f>
        <v/>
      </c>
      <c r="W397" s="5" t="str">
        <f>IF(AND(LEN(T397)=0, LEN(U397)=0), "", IF(AND(LEN(T397)&gt;0, LEN(U397)=0), "BLANCO", IFERROR(VLOOKUP(U397, BasedatosM9!A:B, 2, FALSE), "BLANCO")))</f>
        <v/>
      </c>
      <c r="AI397" s="5" t="str">
        <f>IF(AND(LEN(AF397)=0, LEN(AG397)=0), "", IF(AND(LEN(AF397)&gt;0, LEN(AG397)=0), "BLANCO", IFERROR(VLOOKUP(AG397, BasedatosM9!A:B, 2, FALSE), "BLANCO")))</f>
        <v/>
      </c>
      <c r="AU397" s="5" t="str">
        <f>IF(AND(LEN(AR397)=0, LEN(AS397)=0), "", IF(AND(LEN(AR397)&gt;0, LEN(AS397)=0), "BLANCO", IFERROR(VLOOKUP(AS397, BasedatosM9!A:B, 2, FALSE), "BLANCO")))</f>
        <v/>
      </c>
    </row>
    <row r="398" spans="1:47" ht="14.4">
      <c r="A398" s="21"/>
      <c r="B398" s="86"/>
      <c r="C398" s="98"/>
      <c r="D398" s="21"/>
      <c r="E398" s="86"/>
      <c r="F398" s="99"/>
      <c r="G398" s="99"/>
      <c r="H398" s="21"/>
      <c r="I398" s="86"/>
      <c r="J398" s="21"/>
      <c r="K398" s="5" t="str">
        <f>IF(AND(LEN(H398)=0, LEN(I398)=0), "", IF(AND(LEN(H398)&gt;0, LEN(I398)=0), "BLANCO", IFERROR(VLOOKUP(I398, BasedatosM9!A:B, 2, FALSE), "BLANCO")))</f>
        <v/>
      </c>
      <c r="W398" s="5" t="str">
        <f>IF(AND(LEN(T398)=0, LEN(U398)=0), "", IF(AND(LEN(T398)&gt;0, LEN(U398)=0), "BLANCO", IFERROR(VLOOKUP(U398, BasedatosM9!A:B, 2, FALSE), "BLANCO")))</f>
        <v/>
      </c>
      <c r="AI398" s="5" t="str">
        <f>IF(AND(LEN(AF398)=0, LEN(AG398)=0), "", IF(AND(LEN(AF398)&gt;0, LEN(AG398)=0), "BLANCO", IFERROR(VLOOKUP(AG398, BasedatosM9!A:B, 2, FALSE), "BLANCO")))</f>
        <v/>
      </c>
      <c r="AU398" s="5" t="str">
        <f>IF(AND(LEN(AR398)=0, LEN(AS398)=0), "", IF(AND(LEN(AR398)&gt;0, LEN(AS398)=0), "BLANCO", IFERROR(VLOOKUP(AS398, BasedatosM9!A:B, 2, FALSE), "BLANCO")))</f>
        <v/>
      </c>
    </row>
    <row r="399" spans="1:47" ht="14.4">
      <c r="A399" s="21"/>
      <c r="B399" s="86"/>
      <c r="C399" s="98"/>
      <c r="D399" s="21"/>
      <c r="E399" s="86"/>
      <c r="F399" s="99"/>
      <c r="G399" s="99"/>
      <c r="H399" s="21"/>
      <c r="I399" s="86"/>
      <c r="J399" s="21"/>
      <c r="K399" s="5" t="str">
        <f>IF(AND(LEN(H399)=0, LEN(I399)=0), "", IF(AND(LEN(H399)&gt;0, LEN(I399)=0), "BLANCO", IFERROR(VLOOKUP(I399, BasedatosM9!A:B, 2, FALSE), "BLANCO")))</f>
        <v/>
      </c>
      <c r="W399" s="5" t="str">
        <f>IF(AND(LEN(T399)=0, LEN(U399)=0), "", IF(AND(LEN(T399)&gt;0, LEN(U399)=0), "BLANCO", IFERROR(VLOOKUP(U399, BasedatosM9!A:B, 2, FALSE), "BLANCO")))</f>
        <v/>
      </c>
      <c r="AI399" s="5" t="str">
        <f>IF(AND(LEN(AF399)=0, LEN(AG399)=0), "", IF(AND(LEN(AF399)&gt;0, LEN(AG399)=0), "BLANCO", IFERROR(VLOOKUP(AG399, BasedatosM9!A:B, 2, FALSE), "BLANCO")))</f>
        <v/>
      </c>
      <c r="AU399" s="5" t="str">
        <f>IF(AND(LEN(AR399)=0, LEN(AS399)=0), "", IF(AND(LEN(AR399)&gt;0, LEN(AS399)=0), "BLANCO", IFERROR(VLOOKUP(AS399, BasedatosM9!A:B, 2, FALSE), "BLANCO")))</f>
        <v/>
      </c>
    </row>
    <row r="400" spans="1:47" ht="14.4">
      <c r="A400" s="21"/>
      <c r="B400" s="86"/>
      <c r="C400" s="98"/>
      <c r="D400" s="21"/>
      <c r="E400" s="86"/>
      <c r="F400" s="99"/>
      <c r="G400" s="99"/>
      <c r="H400" s="21"/>
      <c r="I400" s="86"/>
      <c r="J400" s="21"/>
      <c r="K400" s="5" t="str">
        <f>IF(AND(LEN(H400)=0, LEN(I400)=0), "", IF(AND(LEN(H400)&gt;0, LEN(I400)=0), "BLANCO", IFERROR(VLOOKUP(I400, BasedatosM9!A:B, 2, FALSE), "BLANCO")))</f>
        <v/>
      </c>
      <c r="W400" s="5" t="str">
        <f>IF(AND(LEN(T400)=0, LEN(U400)=0), "", IF(AND(LEN(T400)&gt;0, LEN(U400)=0), "BLANCO", IFERROR(VLOOKUP(U400, BasedatosM9!A:B, 2, FALSE), "BLANCO")))</f>
        <v/>
      </c>
      <c r="AI400" s="5" t="str">
        <f>IF(AND(LEN(AF400)=0, LEN(AG400)=0), "", IF(AND(LEN(AF400)&gt;0, LEN(AG400)=0), "BLANCO", IFERROR(VLOOKUP(AG400, BasedatosM9!A:B, 2, FALSE), "BLANCO")))</f>
        <v/>
      </c>
      <c r="AU400" s="5" t="str">
        <f>IF(AND(LEN(AR400)=0, LEN(AS400)=0), "", IF(AND(LEN(AR400)&gt;0, LEN(AS400)=0), "BLANCO", IFERROR(VLOOKUP(AS400, BasedatosM9!A:B, 2, FALSE), "BLANCO")))</f>
        <v/>
      </c>
    </row>
    <row r="401" spans="1:47" ht="14.4">
      <c r="A401" s="21"/>
      <c r="B401" s="86"/>
      <c r="C401" s="98"/>
      <c r="D401" s="21"/>
      <c r="E401" s="86"/>
      <c r="F401" s="99"/>
      <c r="G401" s="99"/>
      <c r="H401" s="21"/>
      <c r="I401" s="86"/>
      <c r="J401" s="21"/>
      <c r="K401" s="5" t="str">
        <f>IF(AND(LEN(H401)=0, LEN(I401)=0), "", IF(AND(LEN(H401)&gt;0, LEN(I401)=0), "BLANCO", IFERROR(VLOOKUP(I401, BasedatosM9!A:B, 2, FALSE), "BLANCO")))</f>
        <v/>
      </c>
      <c r="W401" s="5" t="str">
        <f>IF(AND(LEN(T401)=0, LEN(U401)=0), "", IF(AND(LEN(T401)&gt;0, LEN(U401)=0), "BLANCO", IFERROR(VLOOKUP(U401, BasedatosM9!A:B, 2, FALSE), "BLANCO")))</f>
        <v/>
      </c>
      <c r="AI401" s="5" t="str">
        <f>IF(AND(LEN(AF401)=0, LEN(AG401)=0), "", IF(AND(LEN(AF401)&gt;0, LEN(AG401)=0), "BLANCO", IFERROR(VLOOKUP(AG401, BasedatosM9!A:B, 2, FALSE), "BLANCO")))</f>
        <v/>
      </c>
      <c r="AU401" s="5" t="str">
        <f>IF(AND(LEN(AR401)=0, LEN(AS401)=0), "", IF(AND(LEN(AR401)&gt;0, LEN(AS401)=0), "BLANCO", IFERROR(VLOOKUP(AS401, BasedatosM9!A:B, 2, FALSE), "BLANCO")))</f>
        <v/>
      </c>
    </row>
    <row r="402" spans="1:47" ht="14.4">
      <c r="A402" s="21"/>
      <c r="B402" s="86"/>
      <c r="C402" s="98"/>
      <c r="D402" s="21"/>
      <c r="E402" s="86"/>
      <c r="F402" s="99"/>
      <c r="G402" s="99"/>
      <c r="H402" s="21"/>
      <c r="I402" s="86"/>
      <c r="J402" s="21"/>
      <c r="K402" s="5" t="str">
        <f>IF(AND(LEN(H402)=0, LEN(I402)=0), "", IF(AND(LEN(H402)&gt;0, LEN(I402)=0), "BLANCO", IFERROR(VLOOKUP(I402, BasedatosM9!A:B, 2, FALSE), "BLANCO")))</f>
        <v/>
      </c>
      <c r="W402" s="5" t="str">
        <f>IF(AND(LEN(T402)=0, LEN(U402)=0), "", IF(AND(LEN(T402)&gt;0, LEN(U402)=0), "BLANCO", IFERROR(VLOOKUP(U402, BasedatosM9!A:B, 2, FALSE), "BLANCO")))</f>
        <v/>
      </c>
      <c r="AI402" s="5" t="str">
        <f>IF(AND(LEN(AF402)=0, LEN(AG402)=0), "", IF(AND(LEN(AF402)&gt;0, LEN(AG402)=0), "BLANCO", IFERROR(VLOOKUP(AG402, BasedatosM9!A:B, 2, FALSE), "BLANCO")))</f>
        <v/>
      </c>
      <c r="AU402" s="5" t="str">
        <f>IF(AND(LEN(AR402)=0, LEN(AS402)=0), "", IF(AND(LEN(AR402)&gt;0, LEN(AS402)=0), "BLANCO", IFERROR(VLOOKUP(AS402, BasedatosM9!A:B, 2, FALSE), "BLANCO")))</f>
        <v/>
      </c>
    </row>
    <row r="403" spans="1:47" ht="14.4">
      <c r="A403" s="21"/>
      <c r="B403" s="86"/>
      <c r="C403" s="98"/>
      <c r="D403" s="21"/>
      <c r="E403" s="86"/>
      <c r="F403" s="99"/>
      <c r="G403" s="99"/>
      <c r="H403" s="21"/>
      <c r="I403" s="86"/>
      <c r="J403" s="21"/>
      <c r="K403" s="5" t="str">
        <f>IF(AND(LEN(H403)=0, LEN(I403)=0), "", IF(AND(LEN(H403)&gt;0, LEN(I403)=0), "BLANCO", IFERROR(VLOOKUP(I403, BasedatosM9!A:B, 2, FALSE), "BLANCO")))</f>
        <v/>
      </c>
      <c r="W403" s="5" t="str">
        <f>IF(AND(LEN(T403)=0, LEN(U403)=0), "", IF(AND(LEN(T403)&gt;0, LEN(U403)=0), "BLANCO", IFERROR(VLOOKUP(U403, BasedatosM9!A:B, 2, FALSE), "BLANCO")))</f>
        <v/>
      </c>
      <c r="AI403" s="5" t="str">
        <f>IF(AND(LEN(AF403)=0, LEN(AG403)=0), "", IF(AND(LEN(AF403)&gt;0, LEN(AG403)=0), "BLANCO", IFERROR(VLOOKUP(AG403, BasedatosM9!A:B, 2, FALSE), "BLANCO")))</f>
        <v/>
      </c>
      <c r="AU403" s="5" t="str">
        <f>IF(AND(LEN(AR403)=0, LEN(AS403)=0), "", IF(AND(LEN(AR403)&gt;0, LEN(AS403)=0), "BLANCO", IFERROR(VLOOKUP(AS403, BasedatosM9!A:B, 2, FALSE), "BLANCO")))</f>
        <v/>
      </c>
    </row>
    <row r="404" spans="1:47" ht="14.4">
      <c r="A404" s="21"/>
      <c r="B404" s="86"/>
      <c r="C404" s="98"/>
      <c r="D404" s="21"/>
      <c r="E404" s="86"/>
      <c r="F404" s="99"/>
      <c r="G404" s="99"/>
      <c r="H404" s="21"/>
      <c r="I404" s="86"/>
      <c r="J404" s="21"/>
      <c r="K404" s="5" t="str">
        <f>IF(AND(LEN(H404)=0, LEN(I404)=0), "", IF(AND(LEN(H404)&gt;0, LEN(I404)=0), "BLANCO", IFERROR(VLOOKUP(I404, BasedatosM9!A:B, 2, FALSE), "BLANCO")))</f>
        <v/>
      </c>
      <c r="W404" s="5" t="str">
        <f>IF(AND(LEN(T404)=0, LEN(U404)=0), "", IF(AND(LEN(T404)&gt;0, LEN(U404)=0), "BLANCO", IFERROR(VLOOKUP(U404, BasedatosM9!A:B, 2, FALSE), "BLANCO")))</f>
        <v/>
      </c>
      <c r="AI404" s="5" t="str">
        <f>IF(AND(LEN(AF404)=0, LEN(AG404)=0), "", IF(AND(LEN(AF404)&gt;0, LEN(AG404)=0), "BLANCO", IFERROR(VLOOKUP(AG404, BasedatosM9!A:B, 2, FALSE), "BLANCO")))</f>
        <v/>
      </c>
      <c r="AU404" s="5" t="str">
        <f>IF(AND(LEN(AR404)=0, LEN(AS404)=0), "", IF(AND(LEN(AR404)&gt;0, LEN(AS404)=0), "BLANCO", IFERROR(VLOOKUP(AS404, BasedatosM9!A:B, 2, FALSE), "BLANCO")))</f>
        <v/>
      </c>
    </row>
    <row r="405" spans="1:47" ht="14.4">
      <c r="A405" s="21"/>
      <c r="B405" s="86"/>
      <c r="C405" s="98"/>
      <c r="D405" s="21"/>
      <c r="E405" s="86"/>
      <c r="F405" s="99"/>
      <c r="G405" s="99"/>
      <c r="H405" s="21"/>
      <c r="I405" s="86"/>
      <c r="J405" s="21"/>
      <c r="K405" s="5" t="str">
        <f>IF(AND(LEN(H405)=0, LEN(I405)=0), "", IF(AND(LEN(H405)&gt;0, LEN(I405)=0), "BLANCO", IFERROR(VLOOKUP(I405, BasedatosM9!A:B, 2, FALSE), "BLANCO")))</f>
        <v/>
      </c>
      <c r="W405" s="5" t="str">
        <f>IF(AND(LEN(T405)=0, LEN(U405)=0), "", IF(AND(LEN(T405)&gt;0, LEN(U405)=0), "BLANCO", IFERROR(VLOOKUP(U405, BasedatosM9!A:B, 2, FALSE), "BLANCO")))</f>
        <v/>
      </c>
      <c r="AI405" s="5" t="str">
        <f>IF(AND(LEN(AF405)=0, LEN(AG405)=0), "", IF(AND(LEN(AF405)&gt;0, LEN(AG405)=0), "BLANCO", IFERROR(VLOOKUP(AG405, BasedatosM9!A:B, 2, FALSE), "BLANCO")))</f>
        <v/>
      </c>
      <c r="AU405" s="5" t="str">
        <f>IF(AND(LEN(AR405)=0, LEN(AS405)=0), "", IF(AND(LEN(AR405)&gt;0, LEN(AS405)=0), "BLANCO", IFERROR(VLOOKUP(AS405, BasedatosM9!A:B, 2, FALSE), "BLANCO")))</f>
        <v/>
      </c>
    </row>
    <row r="406" spans="1:47" ht="14.4">
      <c r="A406" s="21"/>
      <c r="B406" s="86"/>
      <c r="C406" s="98"/>
      <c r="D406" s="21"/>
      <c r="E406" s="86"/>
      <c r="F406" s="99"/>
      <c r="G406" s="99"/>
      <c r="H406" s="21"/>
      <c r="I406" s="86"/>
      <c r="J406" s="21"/>
      <c r="K406" s="5" t="str">
        <f>IF(AND(LEN(H406)=0, LEN(I406)=0), "", IF(AND(LEN(H406)&gt;0, LEN(I406)=0), "BLANCO", IFERROR(VLOOKUP(I406, BasedatosM9!A:B, 2, FALSE), "BLANCO")))</f>
        <v/>
      </c>
      <c r="W406" s="5" t="str">
        <f>IF(AND(LEN(T406)=0, LEN(U406)=0), "", IF(AND(LEN(T406)&gt;0, LEN(U406)=0), "BLANCO", IFERROR(VLOOKUP(U406, BasedatosM9!A:B, 2, FALSE), "BLANCO")))</f>
        <v/>
      </c>
      <c r="AI406" s="5" t="str">
        <f>IF(AND(LEN(AF406)=0, LEN(AG406)=0), "", IF(AND(LEN(AF406)&gt;0, LEN(AG406)=0), "BLANCO", IFERROR(VLOOKUP(AG406, BasedatosM9!A:B, 2, FALSE), "BLANCO")))</f>
        <v/>
      </c>
      <c r="AU406" s="5" t="str">
        <f>IF(AND(LEN(AR406)=0, LEN(AS406)=0), "", IF(AND(LEN(AR406)&gt;0, LEN(AS406)=0), "BLANCO", IFERROR(VLOOKUP(AS406, BasedatosM9!A:B, 2, FALSE), "BLANCO")))</f>
        <v/>
      </c>
    </row>
    <row r="407" spans="1:47" ht="14.4">
      <c r="A407" s="21"/>
      <c r="B407" s="86"/>
      <c r="C407" s="98"/>
      <c r="D407" s="21"/>
      <c r="E407" s="86"/>
      <c r="F407" s="99"/>
      <c r="G407" s="99"/>
      <c r="H407" s="21"/>
      <c r="I407" s="21"/>
      <c r="J407" s="21"/>
      <c r="K407" s="5" t="str">
        <f>IF(AND(LEN(H407)=0, LEN(I407)=0), "", IF(AND(LEN(H407)&gt;0, LEN(I407)=0), "BLANCO", IFERROR(VLOOKUP(I407, BasedatosM9!A:B, 2, FALSE), "BLANCO")))</f>
        <v/>
      </c>
      <c r="W407" s="5" t="str">
        <f>IF(AND(LEN(T407)=0, LEN(U407)=0), "", IF(AND(LEN(T407)&gt;0, LEN(U407)=0), "BLANCO", IFERROR(VLOOKUP(U407, BasedatosM9!A:B, 2, FALSE), "BLANCO")))</f>
        <v/>
      </c>
      <c r="AI407" s="5" t="str">
        <f>IF(AND(LEN(AF407)=0, LEN(AG407)=0), "", IF(AND(LEN(AF407)&gt;0, LEN(AG407)=0), "BLANCO", IFERROR(VLOOKUP(AG407, BasedatosM9!A:B, 2, FALSE), "BLANCO")))</f>
        <v/>
      </c>
      <c r="AU407" s="5" t="str">
        <f>IF(AND(LEN(AR407)=0, LEN(AS407)=0), "", IF(AND(LEN(AR407)&gt;0, LEN(AS407)=0), "BLANCO", IFERROR(VLOOKUP(AS407, BasedatosM9!A:B, 2, FALSE), "BLANCO")))</f>
        <v/>
      </c>
    </row>
    <row r="408" spans="1:47" ht="14.4">
      <c r="A408" s="21"/>
      <c r="B408" s="86"/>
      <c r="C408" s="98"/>
      <c r="D408" s="21"/>
      <c r="E408" s="86"/>
      <c r="F408" s="99"/>
      <c r="G408" s="99"/>
      <c r="H408" s="21"/>
      <c r="I408" s="21"/>
      <c r="J408" s="21"/>
      <c r="K408" s="5" t="str">
        <f>IF(AND(LEN(H408)=0, LEN(I408)=0), "", IF(AND(LEN(H408)&gt;0, LEN(I408)=0), "BLANCO", IFERROR(VLOOKUP(I408, BasedatosM9!A:B, 2, FALSE), "BLANCO")))</f>
        <v/>
      </c>
      <c r="W408" s="5" t="str">
        <f>IF(AND(LEN(T408)=0, LEN(U408)=0), "", IF(AND(LEN(T408)&gt;0, LEN(U408)=0), "BLANCO", IFERROR(VLOOKUP(U408, BasedatosM9!A:B, 2, FALSE), "BLANCO")))</f>
        <v/>
      </c>
      <c r="AI408" s="5" t="str">
        <f>IF(AND(LEN(AF408)=0, LEN(AG408)=0), "", IF(AND(LEN(AF408)&gt;0, LEN(AG408)=0), "BLANCO", IFERROR(VLOOKUP(AG408, BasedatosM9!A:B, 2, FALSE), "BLANCO")))</f>
        <v/>
      </c>
      <c r="AU408" s="5" t="str">
        <f>IF(AND(LEN(AR408)=0, LEN(AS408)=0), "", IF(AND(LEN(AR408)&gt;0, LEN(AS408)=0), "BLANCO", IFERROR(VLOOKUP(AS408, BasedatosM9!A:B, 2, FALSE), "BLANCO")))</f>
        <v/>
      </c>
    </row>
    <row r="409" spans="1:47" ht="14.4">
      <c r="A409" s="21"/>
      <c r="B409" s="86"/>
      <c r="C409" s="98"/>
      <c r="D409" s="21"/>
      <c r="E409" s="86"/>
      <c r="F409" s="99"/>
      <c r="G409" s="99"/>
      <c r="H409" s="21"/>
      <c r="I409" s="21"/>
      <c r="J409" s="21"/>
      <c r="K409" s="5" t="str">
        <f>IF(AND(LEN(H409)=0, LEN(I409)=0), "", IF(AND(LEN(H409)&gt;0, LEN(I409)=0), "BLANCO", IFERROR(VLOOKUP(I409, BasedatosM9!A:B, 2, FALSE), "BLANCO")))</f>
        <v/>
      </c>
      <c r="W409" s="5" t="str">
        <f>IF(AND(LEN(T409)=0, LEN(U409)=0), "", IF(AND(LEN(T409)&gt;0, LEN(U409)=0), "BLANCO", IFERROR(VLOOKUP(U409, BasedatosM9!A:B, 2, FALSE), "BLANCO")))</f>
        <v/>
      </c>
      <c r="AI409" s="5" t="str">
        <f>IF(AND(LEN(AF409)=0, LEN(AG409)=0), "", IF(AND(LEN(AF409)&gt;0, LEN(AG409)=0), "BLANCO", IFERROR(VLOOKUP(AG409, BasedatosM9!A:B, 2, FALSE), "BLANCO")))</f>
        <v/>
      </c>
      <c r="AU409" s="5" t="str">
        <f>IF(AND(LEN(AR409)=0, LEN(AS409)=0), "", IF(AND(LEN(AR409)&gt;0, LEN(AS409)=0), "BLANCO", IFERROR(VLOOKUP(AS409, BasedatosM9!A:B, 2, FALSE), "BLANCO")))</f>
        <v/>
      </c>
    </row>
    <row r="410" spans="1:47" ht="14.4">
      <c r="A410" s="21"/>
      <c r="B410" s="86"/>
      <c r="C410" s="98"/>
      <c r="D410" s="21"/>
      <c r="E410" s="86"/>
      <c r="F410" s="99"/>
      <c r="G410" s="99"/>
      <c r="H410" s="21"/>
      <c r="I410" s="21"/>
      <c r="J410" s="21"/>
      <c r="K410" s="5" t="str">
        <f>IF(AND(LEN(H410)=0, LEN(I410)=0), "", IF(AND(LEN(H410)&gt;0, LEN(I410)=0), "BLANCO", IFERROR(VLOOKUP(I410, BasedatosM9!A:B, 2, FALSE), "BLANCO")))</f>
        <v/>
      </c>
      <c r="W410" s="5" t="str">
        <f>IF(AND(LEN(T410)=0, LEN(U410)=0), "", IF(AND(LEN(T410)&gt;0, LEN(U410)=0), "BLANCO", IFERROR(VLOOKUP(U410, BasedatosM9!A:B, 2, FALSE), "BLANCO")))</f>
        <v/>
      </c>
      <c r="AI410" s="5" t="str">
        <f>IF(AND(LEN(AF410)=0, LEN(AG410)=0), "", IF(AND(LEN(AF410)&gt;0, LEN(AG410)=0), "BLANCO", IFERROR(VLOOKUP(AG410, BasedatosM9!A:B, 2, FALSE), "BLANCO")))</f>
        <v/>
      </c>
      <c r="AU410" s="5" t="str">
        <f>IF(AND(LEN(AR410)=0, LEN(AS410)=0), "", IF(AND(LEN(AR410)&gt;0, LEN(AS410)=0), "BLANCO", IFERROR(VLOOKUP(AS410, BasedatosM9!A:B, 2, FALSE), "BLANCO")))</f>
        <v/>
      </c>
    </row>
    <row r="411" spans="1:47" ht="14.4">
      <c r="A411" s="21"/>
      <c r="B411" s="86"/>
      <c r="C411" s="98"/>
      <c r="D411" s="21"/>
      <c r="E411" s="86"/>
      <c r="F411" s="99"/>
      <c r="G411" s="99"/>
      <c r="H411" s="21"/>
      <c r="I411" s="86"/>
      <c r="J411" s="21"/>
      <c r="K411" s="5" t="str">
        <f>IF(AND(LEN(H411)=0, LEN(I411)=0), "", IF(AND(LEN(H411)&gt;0, LEN(I411)=0), "BLANCO", IFERROR(VLOOKUP(I411, BasedatosM9!A:B, 2, FALSE), "BLANCO")))</f>
        <v/>
      </c>
      <c r="W411" s="5" t="str">
        <f>IF(AND(LEN(T411)=0, LEN(U411)=0), "", IF(AND(LEN(T411)&gt;0, LEN(U411)=0), "BLANCO", IFERROR(VLOOKUP(U411, BasedatosM9!A:B, 2, FALSE), "BLANCO")))</f>
        <v/>
      </c>
      <c r="AI411" s="5" t="str">
        <f>IF(AND(LEN(AF411)=0, LEN(AG411)=0), "", IF(AND(LEN(AF411)&gt;0, LEN(AG411)=0), "BLANCO", IFERROR(VLOOKUP(AG411, BasedatosM9!A:B, 2, FALSE), "BLANCO")))</f>
        <v/>
      </c>
      <c r="AU411" s="5" t="str">
        <f>IF(AND(LEN(AR411)=0, LEN(AS411)=0), "", IF(AND(LEN(AR411)&gt;0, LEN(AS411)=0), "BLANCO", IFERROR(VLOOKUP(AS411, BasedatosM9!A:B, 2, FALSE), "BLANCO")))</f>
        <v/>
      </c>
    </row>
    <row r="412" spans="1:47" ht="14.4">
      <c r="A412" s="21"/>
      <c r="B412" s="86"/>
      <c r="C412" s="98"/>
      <c r="D412" s="21"/>
      <c r="E412" s="86"/>
      <c r="F412" s="99"/>
      <c r="G412" s="99"/>
      <c r="H412" s="21"/>
      <c r="I412" s="21"/>
      <c r="J412" s="21"/>
      <c r="K412" s="5" t="str">
        <f>IF(AND(LEN(H412)=0, LEN(I412)=0), "", IF(AND(LEN(H412)&gt;0, LEN(I412)=0), "BLANCO", IFERROR(VLOOKUP(I412, BasedatosM9!A:B, 2, FALSE), "BLANCO")))</f>
        <v/>
      </c>
      <c r="W412" s="5" t="str">
        <f>IF(AND(LEN(T412)=0, LEN(U412)=0), "", IF(AND(LEN(T412)&gt;0, LEN(U412)=0), "BLANCO", IFERROR(VLOOKUP(U412, BasedatosM9!A:B, 2, FALSE), "BLANCO")))</f>
        <v/>
      </c>
      <c r="AI412" s="5" t="str">
        <f>IF(AND(LEN(AF412)=0, LEN(AG412)=0), "", IF(AND(LEN(AF412)&gt;0, LEN(AG412)=0), "BLANCO", IFERROR(VLOOKUP(AG412, BasedatosM9!A:B, 2, FALSE), "BLANCO")))</f>
        <v/>
      </c>
      <c r="AU412" s="5" t="str">
        <f>IF(AND(LEN(AR412)=0, LEN(AS412)=0), "", IF(AND(LEN(AR412)&gt;0, LEN(AS412)=0), "BLANCO", IFERROR(VLOOKUP(AS412, BasedatosM9!A:B, 2, FALSE), "BLANCO")))</f>
        <v/>
      </c>
    </row>
    <row r="413" spans="1:47" ht="14.4">
      <c r="A413" s="21"/>
      <c r="B413" s="86"/>
      <c r="C413" s="98"/>
      <c r="D413" s="21"/>
      <c r="E413" s="86"/>
      <c r="F413" s="99"/>
      <c r="G413" s="99"/>
      <c r="H413" s="21"/>
      <c r="I413" s="86"/>
      <c r="J413" s="21"/>
      <c r="K413" s="5" t="str">
        <f>IF(AND(LEN(H413)=0, LEN(I413)=0), "", IF(AND(LEN(H413)&gt;0, LEN(I413)=0), "BLANCO", IFERROR(VLOOKUP(I413, BasedatosM9!A:B, 2, FALSE), "BLANCO")))</f>
        <v/>
      </c>
      <c r="W413" s="5" t="str">
        <f>IF(AND(LEN(T413)=0, LEN(U413)=0), "", IF(AND(LEN(T413)&gt;0, LEN(U413)=0), "BLANCO", IFERROR(VLOOKUP(U413, BasedatosM9!A:B, 2, FALSE), "BLANCO")))</f>
        <v/>
      </c>
      <c r="AI413" s="5" t="str">
        <f>IF(AND(LEN(AF413)=0, LEN(AG413)=0), "", IF(AND(LEN(AF413)&gt;0, LEN(AG413)=0), "BLANCO", IFERROR(VLOOKUP(AG413, BasedatosM9!A:B, 2, FALSE), "BLANCO")))</f>
        <v/>
      </c>
      <c r="AU413" s="5" t="str">
        <f>IF(AND(LEN(AR413)=0, LEN(AS413)=0), "", IF(AND(LEN(AR413)&gt;0, LEN(AS413)=0), "BLANCO", IFERROR(VLOOKUP(AS413, BasedatosM9!A:B, 2, FALSE), "BLANCO")))</f>
        <v/>
      </c>
    </row>
    <row r="414" spans="1:47" ht="14.4">
      <c r="A414" s="21"/>
      <c r="B414" s="86"/>
      <c r="C414" s="98"/>
      <c r="D414" s="21"/>
      <c r="E414" s="86"/>
      <c r="F414" s="99"/>
      <c r="G414" s="99"/>
      <c r="H414" s="21"/>
      <c r="I414" s="86"/>
      <c r="J414" s="21"/>
      <c r="K414" s="5" t="str">
        <f>IF(AND(LEN(H414)=0, LEN(I414)=0), "", IF(AND(LEN(H414)&gt;0, LEN(I414)=0), "BLANCO", IFERROR(VLOOKUP(I414, BasedatosM9!A:B, 2, FALSE), "BLANCO")))</f>
        <v/>
      </c>
      <c r="W414" s="5" t="str">
        <f>IF(AND(LEN(T414)=0, LEN(U414)=0), "", IF(AND(LEN(T414)&gt;0, LEN(U414)=0), "BLANCO", IFERROR(VLOOKUP(U414, BasedatosM9!A:B, 2, FALSE), "BLANCO")))</f>
        <v/>
      </c>
      <c r="AI414" s="5" t="str">
        <f>IF(AND(LEN(AF414)=0, LEN(AG414)=0), "", IF(AND(LEN(AF414)&gt;0, LEN(AG414)=0), "BLANCO", IFERROR(VLOOKUP(AG414, BasedatosM9!A:B, 2, FALSE), "BLANCO")))</f>
        <v/>
      </c>
      <c r="AU414" s="5" t="str">
        <f>IF(AND(LEN(AR414)=0, LEN(AS414)=0), "", IF(AND(LEN(AR414)&gt;0, LEN(AS414)=0), "BLANCO", IFERROR(VLOOKUP(AS414, BasedatosM9!A:B, 2, FALSE), "BLANCO")))</f>
        <v/>
      </c>
    </row>
    <row r="415" spans="1:47" ht="14.4">
      <c r="A415" s="21"/>
      <c r="B415" s="86"/>
      <c r="C415" s="98"/>
      <c r="D415" s="21"/>
      <c r="E415" s="86"/>
      <c r="F415" s="99"/>
      <c r="G415" s="99"/>
      <c r="H415" s="21"/>
      <c r="I415" s="21"/>
      <c r="J415" s="21"/>
      <c r="K415" s="5" t="str">
        <f>IF(AND(LEN(H415)=0, LEN(I415)=0), "", IF(AND(LEN(H415)&gt;0, LEN(I415)=0), "BLANCO", IFERROR(VLOOKUP(I415, BasedatosM9!A:B, 2, FALSE), "BLANCO")))</f>
        <v/>
      </c>
      <c r="W415" s="5" t="str">
        <f>IF(AND(LEN(T415)=0, LEN(U415)=0), "", IF(AND(LEN(T415)&gt;0, LEN(U415)=0), "BLANCO", IFERROR(VLOOKUP(U415, BasedatosM9!A:B, 2, FALSE), "BLANCO")))</f>
        <v/>
      </c>
      <c r="AI415" s="5" t="str">
        <f>IF(AND(LEN(AF415)=0, LEN(AG415)=0), "", IF(AND(LEN(AF415)&gt;0, LEN(AG415)=0), "BLANCO", IFERROR(VLOOKUP(AG415, BasedatosM9!A:B, 2, FALSE), "BLANCO")))</f>
        <v/>
      </c>
      <c r="AU415" s="5" t="str">
        <f>IF(AND(LEN(AR415)=0, LEN(AS415)=0), "", IF(AND(LEN(AR415)&gt;0, LEN(AS415)=0), "BLANCO", IFERROR(VLOOKUP(AS415, BasedatosM9!A:B, 2, FALSE), "BLANCO")))</f>
        <v/>
      </c>
    </row>
    <row r="416" spans="1:47" ht="14.4">
      <c r="A416" s="21"/>
      <c r="B416" s="86"/>
      <c r="C416" s="98"/>
      <c r="D416" s="21"/>
      <c r="E416" s="86"/>
      <c r="F416" s="99"/>
      <c r="G416" s="99"/>
      <c r="H416" s="21"/>
      <c r="I416" s="86"/>
      <c r="J416" s="21"/>
      <c r="K416" s="5" t="str">
        <f>IF(AND(LEN(H416)=0, LEN(I416)=0), "", IF(AND(LEN(H416)&gt;0, LEN(I416)=0), "BLANCO", IFERROR(VLOOKUP(I416, BasedatosM9!A:B, 2, FALSE), "BLANCO")))</f>
        <v/>
      </c>
      <c r="W416" s="5" t="str">
        <f>IF(AND(LEN(T416)=0, LEN(U416)=0), "", IF(AND(LEN(T416)&gt;0, LEN(U416)=0), "BLANCO", IFERROR(VLOOKUP(U416, BasedatosM9!A:B, 2, FALSE), "BLANCO")))</f>
        <v/>
      </c>
      <c r="AI416" s="5" t="str">
        <f>IF(AND(LEN(AF416)=0, LEN(AG416)=0), "", IF(AND(LEN(AF416)&gt;0, LEN(AG416)=0), "BLANCO", IFERROR(VLOOKUP(AG416, BasedatosM9!A:B, 2, FALSE), "BLANCO")))</f>
        <v/>
      </c>
      <c r="AU416" s="5" t="str">
        <f>IF(AND(LEN(AR416)=0, LEN(AS416)=0), "", IF(AND(LEN(AR416)&gt;0, LEN(AS416)=0), "BLANCO", IFERROR(VLOOKUP(AS416, BasedatosM9!A:B, 2, FALSE), "BLANCO")))</f>
        <v/>
      </c>
    </row>
    <row r="417" spans="1:47" ht="14.4">
      <c r="A417" s="21"/>
      <c r="B417" s="86"/>
      <c r="C417" s="98"/>
      <c r="D417" s="21"/>
      <c r="E417" s="86"/>
      <c r="F417" s="99"/>
      <c r="G417" s="99"/>
      <c r="H417" s="21"/>
      <c r="I417" s="86"/>
      <c r="J417" s="21"/>
      <c r="K417" s="5" t="str">
        <f>IF(AND(LEN(H417)=0, LEN(I417)=0), "", IF(AND(LEN(H417)&gt;0, LEN(I417)=0), "BLANCO", IFERROR(VLOOKUP(I417, BasedatosM9!A:B, 2, FALSE), "BLANCO")))</f>
        <v/>
      </c>
      <c r="W417" s="5" t="str">
        <f>IF(AND(LEN(T417)=0, LEN(U417)=0), "", IF(AND(LEN(T417)&gt;0, LEN(U417)=0), "BLANCO", IFERROR(VLOOKUP(U417, BasedatosM9!A:B, 2, FALSE), "BLANCO")))</f>
        <v/>
      </c>
      <c r="AI417" s="5" t="str">
        <f>IF(AND(LEN(AF417)=0, LEN(AG417)=0), "", IF(AND(LEN(AF417)&gt;0, LEN(AG417)=0), "BLANCO", IFERROR(VLOOKUP(AG417, BasedatosM9!A:B, 2, FALSE), "BLANCO")))</f>
        <v/>
      </c>
      <c r="AU417" s="5" t="str">
        <f>IF(AND(LEN(AR417)=0, LEN(AS417)=0), "", IF(AND(LEN(AR417)&gt;0, LEN(AS417)=0), "BLANCO", IFERROR(VLOOKUP(AS417, BasedatosM9!A:B, 2, FALSE), "BLANCO")))</f>
        <v/>
      </c>
    </row>
    <row r="418" spans="1:47" ht="14.4">
      <c r="A418" s="21"/>
      <c r="B418" s="86"/>
      <c r="C418" s="98"/>
      <c r="D418" s="21"/>
      <c r="E418" s="86"/>
      <c r="F418" s="99"/>
      <c r="G418" s="99"/>
      <c r="H418" s="21"/>
      <c r="I418" s="21"/>
      <c r="J418" s="21"/>
      <c r="K418" s="5" t="str">
        <f>IF(AND(LEN(H418)=0, LEN(I418)=0), "", IF(AND(LEN(H418)&gt;0, LEN(I418)=0), "BLANCO", IFERROR(VLOOKUP(I418, BasedatosM9!A:B, 2, FALSE), "BLANCO")))</f>
        <v/>
      </c>
      <c r="W418" s="5" t="str">
        <f>IF(AND(LEN(T418)=0, LEN(U418)=0), "", IF(AND(LEN(T418)&gt;0, LEN(U418)=0), "BLANCO", IFERROR(VLOOKUP(U418, BasedatosM9!A:B, 2, FALSE), "BLANCO")))</f>
        <v/>
      </c>
      <c r="AI418" s="5" t="str">
        <f>IF(AND(LEN(AF418)=0, LEN(AG418)=0), "", IF(AND(LEN(AF418)&gt;0, LEN(AG418)=0), "BLANCO", IFERROR(VLOOKUP(AG418, BasedatosM9!A:B, 2, FALSE), "BLANCO")))</f>
        <v/>
      </c>
      <c r="AU418" s="5" t="str">
        <f>IF(AND(LEN(AR418)=0, LEN(AS418)=0), "", IF(AND(LEN(AR418)&gt;0, LEN(AS418)=0), "BLANCO", IFERROR(VLOOKUP(AS418, BasedatosM9!A:B, 2, FALSE), "BLANCO")))</f>
        <v/>
      </c>
    </row>
    <row r="419" spans="1:47" ht="14.4">
      <c r="A419" s="21"/>
      <c r="B419" s="86"/>
      <c r="C419" s="98"/>
      <c r="D419" s="21"/>
      <c r="E419" s="86"/>
      <c r="F419" s="99"/>
      <c r="G419" s="99"/>
      <c r="H419" s="21"/>
      <c r="I419" s="86"/>
      <c r="J419" s="21"/>
      <c r="K419" s="5" t="str">
        <f>IF(AND(LEN(H419)=0, LEN(I419)=0), "", IF(AND(LEN(H419)&gt;0, LEN(I419)=0), "BLANCO", IFERROR(VLOOKUP(I419, BasedatosM9!A:B, 2, FALSE), "BLANCO")))</f>
        <v/>
      </c>
      <c r="W419" s="5" t="str">
        <f>IF(AND(LEN(T419)=0, LEN(U419)=0), "", IF(AND(LEN(T419)&gt;0, LEN(U419)=0), "BLANCO", IFERROR(VLOOKUP(U419, BasedatosM9!A:B, 2, FALSE), "BLANCO")))</f>
        <v/>
      </c>
      <c r="AI419" s="5" t="str">
        <f>IF(AND(LEN(AF419)=0, LEN(AG419)=0), "", IF(AND(LEN(AF419)&gt;0, LEN(AG419)=0), "BLANCO", IFERROR(VLOOKUP(AG419, BasedatosM9!A:B, 2, FALSE), "BLANCO")))</f>
        <v/>
      </c>
      <c r="AU419" s="5" t="str">
        <f>IF(AND(LEN(AR419)=0, LEN(AS419)=0), "", IF(AND(LEN(AR419)&gt;0, LEN(AS419)=0), "BLANCO", IFERROR(VLOOKUP(AS419, BasedatosM9!A:B, 2, FALSE), "BLANCO")))</f>
        <v/>
      </c>
    </row>
    <row r="420" spans="1:47" ht="14.4">
      <c r="A420" s="21"/>
      <c r="B420" s="86"/>
      <c r="C420" s="98"/>
      <c r="D420" s="21"/>
      <c r="E420" s="86"/>
      <c r="F420" s="99"/>
      <c r="G420" s="99"/>
      <c r="H420" s="21"/>
      <c r="I420" s="86"/>
      <c r="J420" s="21"/>
      <c r="K420" s="5" t="str">
        <f>IF(AND(LEN(H420)=0, LEN(I420)=0), "", IF(AND(LEN(H420)&gt;0, LEN(I420)=0), "BLANCO", IFERROR(VLOOKUP(I420, BasedatosM9!A:B, 2, FALSE), "BLANCO")))</f>
        <v/>
      </c>
      <c r="W420" s="5" t="str">
        <f>IF(AND(LEN(T420)=0, LEN(U420)=0), "", IF(AND(LEN(T420)&gt;0, LEN(U420)=0), "BLANCO", IFERROR(VLOOKUP(U420, BasedatosM9!A:B, 2, FALSE), "BLANCO")))</f>
        <v/>
      </c>
      <c r="AI420" s="5" t="str">
        <f>IF(AND(LEN(AF420)=0, LEN(AG420)=0), "", IF(AND(LEN(AF420)&gt;0, LEN(AG420)=0), "BLANCO", IFERROR(VLOOKUP(AG420, BasedatosM9!A:B, 2, FALSE), "BLANCO")))</f>
        <v/>
      </c>
      <c r="AU420" s="5" t="str">
        <f>IF(AND(LEN(AR420)=0, LEN(AS420)=0), "", IF(AND(LEN(AR420)&gt;0, LEN(AS420)=0), "BLANCO", IFERROR(VLOOKUP(AS420, BasedatosM9!A:B, 2, FALSE), "BLANCO")))</f>
        <v/>
      </c>
    </row>
    <row r="421" spans="1:47" ht="14.4">
      <c r="A421" s="21"/>
      <c r="B421" s="86"/>
      <c r="C421" s="98"/>
      <c r="D421" s="21"/>
      <c r="E421" s="86"/>
      <c r="F421" s="99"/>
      <c r="G421" s="99"/>
      <c r="H421" s="21"/>
      <c r="I421" s="86"/>
      <c r="J421" s="21"/>
      <c r="K421" s="5" t="str">
        <f>IF(AND(LEN(H421)=0, LEN(I421)=0), "", IF(AND(LEN(H421)&gt;0, LEN(I421)=0), "BLANCO", IFERROR(VLOOKUP(I421, BasedatosM9!A:B, 2, FALSE), "BLANCO")))</f>
        <v/>
      </c>
      <c r="W421" s="5" t="str">
        <f>IF(AND(LEN(T421)=0, LEN(U421)=0), "", IF(AND(LEN(T421)&gt;0, LEN(U421)=0), "BLANCO", IFERROR(VLOOKUP(U421, BasedatosM9!A:B, 2, FALSE), "BLANCO")))</f>
        <v/>
      </c>
      <c r="AI421" s="5" t="str">
        <f>IF(AND(LEN(AF421)=0, LEN(AG421)=0), "", IF(AND(LEN(AF421)&gt;0, LEN(AG421)=0), "BLANCO", IFERROR(VLOOKUP(AG421, BasedatosM9!A:B, 2, FALSE), "BLANCO")))</f>
        <v/>
      </c>
      <c r="AU421" s="5" t="str">
        <f>IF(AND(LEN(AR421)=0, LEN(AS421)=0), "", IF(AND(LEN(AR421)&gt;0, LEN(AS421)=0), "BLANCO", IFERROR(VLOOKUP(AS421, BasedatosM9!A:B, 2, FALSE), "BLANCO")))</f>
        <v/>
      </c>
    </row>
    <row r="422" spans="1:47" ht="14.4">
      <c r="A422" s="21"/>
      <c r="B422" s="86"/>
      <c r="C422" s="98"/>
      <c r="D422" s="21"/>
      <c r="E422" s="86"/>
      <c r="F422" s="99"/>
      <c r="G422" s="99"/>
      <c r="H422" s="21"/>
      <c r="I422" s="86"/>
      <c r="J422" s="21"/>
      <c r="K422" s="5" t="str">
        <f>IF(AND(LEN(H422)=0, LEN(I422)=0), "", IF(AND(LEN(H422)&gt;0, LEN(I422)=0), "BLANCO", IFERROR(VLOOKUP(I422, BasedatosM9!A:B, 2, FALSE), "BLANCO")))</f>
        <v/>
      </c>
      <c r="W422" s="5" t="str">
        <f>IF(AND(LEN(T422)=0, LEN(U422)=0), "", IF(AND(LEN(T422)&gt;0, LEN(U422)=0), "BLANCO", IFERROR(VLOOKUP(U422, BasedatosM9!A:B, 2, FALSE), "BLANCO")))</f>
        <v/>
      </c>
      <c r="AI422" s="5" t="str">
        <f>IF(AND(LEN(AF422)=0, LEN(AG422)=0), "", IF(AND(LEN(AF422)&gt;0, LEN(AG422)=0), "BLANCO", IFERROR(VLOOKUP(AG422, BasedatosM9!A:B, 2, FALSE), "BLANCO")))</f>
        <v/>
      </c>
      <c r="AU422" s="5" t="str">
        <f>IF(AND(LEN(AR422)=0, LEN(AS422)=0), "", IF(AND(LEN(AR422)&gt;0, LEN(AS422)=0), "BLANCO", IFERROR(VLOOKUP(AS422, BasedatosM9!A:B, 2, FALSE), "BLANCO")))</f>
        <v/>
      </c>
    </row>
    <row r="423" spans="1:47" ht="14.4">
      <c r="A423" s="21"/>
      <c r="B423" s="86"/>
      <c r="C423" s="98"/>
      <c r="D423" s="21"/>
      <c r="E423" s="86"/>
      <c r="F423" s="99"/>
      <c r="G423" s="99"/>
      <c r="H423" s="21"/>
      <c r="I423" s="86"/>
      <c r="J423" s="21"/>
      <c r="K423" s="5" t="str">
        <f>IF(AND(LEN(H423)=0, LEN(I423)=0), "", IF(AND(LEN(H423)&gt;0, LEN(I423)=0), "BLANCO", IFERROR(VLOOKUP(I423, BasedatosM9!A:B, 2, FALSE), "BLANCO")))</f>
        <v/>
      </c>
      <c r="W423" s="5" t="str">
        <f>IF(AND(LEN(T423)=0, LEN(U423)=0), "", IF(AND(LEN(T423)&gt;0, LEN(U423)=0), "BLANCO", IFERROR(VLOOKUP(U423, BasedatosM9!A:B, 2, FALSE), "BLANCO")))</f>
        <v/>
      </c>
      <c r="AI423" s="5" t="str">
        <f>IF(AND(LEN(AF423)=0, LEN(AG423)=0), "", IF(AND(LEN(AF423)&gt;0, LEN(AG423)=0), "BLANCO", IFERROR(VLOOKUP(AG423, BasedatosM9!A:B, 2, FALSE), "BLANCO")))</f>
        <v/>
      </c>
      <c r="AU423" s="5" t="str">
        <f>IF(AND(LEN(AR423)=0, LEN(AS423)=0), "", IF(AND(LEN(AR423)&gt;0, LEN(AS423)=0), "BLANCO", IFERROR(VLOOKUP(AS423, BasedatosM9!A:B, 2, FALSE), "BLANCO")))</f>
        <v/>
      </c>
    </row>
    <row r="424" spans="1:47" ht="14.4">
      <c r="A424" s="21"/>
      <c r="B424" s="86"/>
      <c r="C424" s="98"/>
      <c r="D424" s="21"/>
      <c r="E424" s="86"/>
      <c r="F424" s="99"/>
      <c r="G424" s="99"/>
      <c r="H424" s="21"/>
      <c r="I424" s="21"/>
      <c r="J424" s="21"/>
      <c r="K424" s="5" t="str">
        <f>IF(AND(LEN(H424)=0, LEN(I424)=0), "", IF(AND(LEN(H424)&gt;0, LEN(I424)=0), "BLANCO", IFERROR(VLOOKUP(I424, BasedatosM9!A:B, 2, FALSE), "BLANCO")))</f>
        <v/>
      </c>
      <c r="W424" s="5" t="str">
        <f>IF(AND(LEN(T424)=0, LEN(U424)=0), "", IF(AND(LEN(T424)&gt;0, LEN(U424)=0), "BLANCO", IFERROR(VLOOKUP(U424, BasedatosM9!A:B, 2, FALSE), "BLANCO")))</f>
        <v/>
      </c>
      <c r="AI424" s="5" t="str">
        <f>IF(AND(LEN(AF424)=0, LEN(AG424)=0), "", IF(AND(LEN(AF424)&gt;0, LEN(AG424)=0), "BLANCO", IFERROR(VLOOKUP(AG424, BasedatosM9!A:B, 2, FALSE), "BLANCO")))</f>
        <v/>
      </c>
      <c r="AU424" s="5" t="str">
        <f>IF(AND(LEN(AR424)=0, LEN(AS424)=0), "", IF(AND(LEN(AR424)&gt;0, LEN(AS424)=0), "BLANCO", IFERROR(VLOOKUP(AS424, BasedatosM9!A:B, 2, FALSE), "BLANCO")))</f>
        <v/>
      </c>
    </row>
    <row r="425" spans="1:47" ht="14.4">
      <c r="A425" s="21"/>
      <c r="B425" s="86"/>
      <c r="C425" s="98"/>
      <c r="D425" s="21"/>
      <c r="E425" s="86"/>
      <c r="F425" s="99"/>
      <c r="G425" s="99"/>
      <c r="H425" s="21"/>
      <c r="I425" s="21"/>
      <c r="J425" s="21"/>
      <c r="K425" s="5" t="str">
        <f>IF(AND(LEN(H425)=0, LEN(I425)=0), "", IF(AND(LEN(H425)&gt;0, LEN(I425)=0), "BLANCO", IFERROR(VLOOKUP(I425, BasedatosM9!A:B, 2, FALSE), "BLANCO")))</f>
        <v/>
      </c>
      <c r="W425" s="5" t="str">
        <f>IF(AND(LEN(T425)=0, LEN(U425)=0), "", IF(AND(LEN(T425)&gt;0, LEN(U425)=0), "BLANCO", IFERROR(VLOOKUP(U425, BasedatosM9!A:B, 2, FALSE), "BLANCO")))</f>
        <v/>
      </c>
      <c r="AI425" s="5" t="str">
        <f>IF(AND(LEN(AF425)=0, LEN(AG425)=0), "", IF(AND(LEN(AF425)&gt;0, LEN(AG425)=0), "BLANCO", IFERROR(VLOOKUP(AG425, BasedatosM9!A:B, 2, FALSE), "BLANCO")))</f>
        <v/>
      </c>
      <c r="AU425" s="5" t="str">
        <f>IF(AND(LEN(AR425)=0, LEN(AS425)=0), "", IF(AND(LEN(AR425)&gt;0, LEN(AS425)=0), "BLANCO", IFERROR(VLOOKUP(AS425, BasedatosM9!A:B, 2, FALSE), "BLANCO")))</f>
        <v/>
      </c>
    </row>
    <row r="426" spans="1:47" ht="14.4">
      <c r="A426" s="21"/>
      <c r="B426" s="86"/>
      <c r="C426" s="98"/>
      <c r="D426" s="21"/>
      <c r="E426" s="86"/>
      <c r="F426" s="99"/>
      <c r="G426" s="99"/>
      <c r="H426" s="21"/>
      <c r="I426" s="21"/>
      <c r="J426" s="21"/>
      <c r="K426" s="5" t="str">
        <f>IF(AND(LEN(H426)=0, LEN(I426)=0), "", IF(AND(LEN(H426)&gt;0, LEN(I426)=0), "BLANCO", IFERROR(VLOOKUP(I426, BasedatosM9!A:B, 2, FALSE), "BLANCO")))</f>
        <v/>
      </c>
      <c r="W426" s="5" t="str">
        <f>IF(AND(LEN(T426)=0, LEN(U426)=0), "", IF(AND(LEN(T426)&gt;0, LEN(U426)=0), "BLANCO", IFERROR(VLOOKUP(U426, BasedatosM9!A:B, 2, FALSE), "BLANCO")))</f>
        <v/>
      </c>
      <c r="AI426" s="5" t="str">
        <f>IF(AND(LEN(AF426)=0, LEN(AG426)=0), "", IF(AND(LEN(AF426)&gt;0, LEN(AG426)=0), "BLANCO", IFERROR(VLOOKUP(AG426, BasedatosM9!A:B, 2, FALSE), "BLANCO")))</f>
        <v/>
      </c>
      <c r="AU426" s="5" t="str">
        <f>IF(AND(LEN(AR426)=0, LEN(AS426)=0), "", IF(AND(LEN(AR426)&gt;0, LEN(AS426)=0), "BLANCO", IFERROR(VLOOKUP(AS426, BasedatosM9!A:B, 2, FALSE), "BLANCO")))</f>
        <v/>
      </c>
    </row>
    <row r="427" spans="1:47" ht="14.4">
      <c r="A427" s="21"/>
      <c r="B427" s="86"/>
      <c r="C427" s="98"/>
      <c r="D427" s="21"/>
      <c r="E427" s="86"/>
      <c r="F427" s="99"/>
      <c r="G427" s="99"/>
      <c r="H427" s="21"/>
      <c r="I427" s="21"/>
      <c r="J427" s="21"/>
      <c r="K427" s="5" t="str">
        <f>IF(AND(LEN(H427)=0, LEN(I427)=0), "", IF(AND(LEN(H427)&gt;0, LEN(I427)=0), "BLANCO", IFERROR(VLOOKUP(I427, BasedatosM9!A:B, 2, FALSE), "BLANCO")))</f>
        <v/>
      </c>
      <c r="W427" s="5" t="str">
        <f>IF(AND(LEN(T427)=0, LEN(U427)=0), "", IF(AND(LEN(T427)&gt;0, LEN(U427)=0), "BLANCO", IFERROR(VLOOKUP(U427, BasedatosM9!A:B, 2, FALSE), "BLANCO")))</f>
        <v/>
      </c>
      <c r="AI427" s="5" t="str">
        <f>IF(AND(LEN(AF427)=0, LEN(AG427)=0), "", IF(AND(LEN(AF427)&gt;0, LEN(AG427)=0), "BLANCO", IFERROR(VLOOKUP(AG427, BasedatosM9!A:B, 2, FALSE), "BLANCO")))</f>
        <v/>
      </c>
      <c r="AU427" s="5" t="str">
        <f>IF(AND(LEN(AR427)=0, LEN(AS427)=0), "", IF(AND(LEN(AR427)&gt;0, LEN(AS427)=0), "BLANCO", IFERROR(VLOOKUP(AS427, BasedatosM9!A:B, 2, FALSE), "BLANCO")))</f>
        <v/>
      </c>
    </row>
    <row r="428" spans="1:47" ht="14.4">
      <c r="A428" s="21"/>
      <c r="B428" s="86"/>
      <c r="C428" s="98"/>
      <c r="D428" s="21"/>
      <c r="E428" s="86"/>
      <c r="F428" s="99"/>
      <c r="G428" s="99"/>
      <c r="H428" s="21"/>
      <c r="I428" s="21"/>
      <c r="J428" s="21"/>
      <c r="K428" s="5" t="str">
        <f>IF(AND(LEN(H428)=0, LEN(I428)=0), "", IF(AND(LEN(H428)&gt;0, LEN(I428)=0), "BLANCO", IFERROR(VLOOKUP(I428, BasedatosM9!A:B, 2, FALSE), "BLANCO")))</f>
        <v/>
      </c>
      <c r="W428" s="5" t="str">
        <f>IF(AND(LEN(T428)=0, LEN(U428)=0), "", IF(AND(LEN(T428)&gt;0, LEN(U428)=0), "BLANCO", IFERROR(VLOOKUP(U428, BasedatosM9!A:B, 2, FALSE), "BLANCO")))</f>
        <v/>
      </c>
      <c r="AI428" s="5" t="str">
        <f>IF(AND(LEN(AF428)=0, LEN(AG428)=0), "", IF(AND(LEN(AF428)&gt;0, LEN(AG428)=0), "BLANCO", IFERROR(VLOOKUP(AG428, BasedatosM9!A:B, 2, FALSE), "BLANCO")))</f>
        <v/>
      </c>
      <c r="AU428" s="5" t="str">
        <f>IF(AND(LEN(AR428)=0, LEN(AS428)=0), "", IF(AND(LEN(AR428)&gt;0, LEN(AS428)=0), "BLANCO", IFERROR(VLOOKUP(AS428, BasedatosM9!A:B, 2, FALSE), "BLANCO")))</f>
        <v/>
      </c>
    </row>
    <row r="429" spans="1:47" ht="14.4">
      <c r="A429" s="21"/>
      <c r="B429" s="86"/>
      <c r="C429" s="98"/>
      <c r="D429" s="21"/>
      <c r="E429" s="86"/>
      <c r="F429" s="99"/>
      <c r="G429" s="99"/>
      <c r="H429" s="21"/>
      <c r="I429" s="86"/>
      <c r="J429" s="21"/>
      <c r="K429" s="5" t="str">
        <f>IF(AND(LEN(H429)=0, LEN(I429)=0), "", IF(AND(LEN(H429)&gt;0, LEN(I429)=0), "BLANCO", IFERROR(VLOOKUP(I429, BasedatosM9!A:B, 2, FALSE), "BLANCO")))</f>
        <v/>
      </c>
      <c r="W429" s="5" t="str">
        <f>IF(AND(LEN(T429)=0, LEN(U429)=0), "", IF(AND(LEN(T429)&gt;0, LEN(U429)=0), "BLANCO", IFERROR(VLOOKUP(U429, BasedatosM9!A:B, 2, FALSE), "BLANCO")))</f>
        <v/>
      </c>
      <c r="AI429" s="5" t="str">
        <f>IF(AND(LEN(AF429)=0, LEN(AG429)=0), "", IF(AND(LEN(AF429)&gt;0, LEN(AG429)=0), "BLANCO", IFERROR(VLOOKUP(AG429, BasedatosM9!A:B, 2, FALSE), "BLANCO")))</f>
        <v/>
      </c>
      <c r="AU429" s="5" t="str">
        <f>IF(AND(LEN(AR429)=0, LEN(AS429)=0), "", IF(AND(LEN(AR429)&gt;0, LEN(AS429)=0), "BLANCO", IFERROR(VLOOKUP(AS429, BasedatosM9!A:B, 2, FALSE), "BLANCO")))</f>
        <v/>
      </c>
    </row>
    <row r="430" spans="1:47" ht="14.4">
      <c r="A430" s="21"/>
      <c r="B430" s="86"/>
      <c r="C430" s="98"/>
      <c r="D430" s="21"/>
      <c r="E430" s="86"/>
      <c r="F430" s="99"/>
      <c r="G430" s="99"/>
      <c r="H430" s="21"/>
      <c r="I430" s="86"/>
      <c r="J430" s="21"/>
      <c r="K430" s="5" t="str">
        <f>IF(AND(LEN(H430)=0, LEN(I430)=0), "", IF(AND(LEN(H430)&gt;0, LEN(I430)=0), "BLANCO", IFERROR(VLOOKUP(I430, BasedatosM9!A:B, 2, FALSE), "BLANCO")))</f>
        <v/>
      </c>
      <c r="W430" s="5" t="str">
        <f>IF(AND(LEN(T430)=0, LEN(U430)=0), "", IF(AND(LEN(T430)&gt;0, LEN(U430)=0), "BLANCO", IFERROR(VLOOKUP(U430, BasedatosM9!A:B, 2, FALSE), "BLANCO")))</f>
        <v/>
      </c>
      <c r="AI430" s="5" t="str">
        <f>IF(AND(LEN(AF430)=0, LEN(AG430)=0), "", IF(AND(LEN(AF430)&gt;0, LEN(AG430)=0), "BLANCO", IFERROR(VLOOKUP(AG430, BasedatosM9!A:B, 2, FALSE), "BLANCO")))</f>
        <v/>
      </c>
      <c r="AU430" s="5" t="str">
        <f>IF(AND(LEN(AR430)=0, LEN(AS430)=0), "", IF(AND(LEN(AR430)&gt;0, LEN(AS430)=0), "BLANCO", IFERROR(VLOOKUP(AS430, BasedatosM9!A:B, 2, FALSE), "BLANCO")))</f>
        <v/>
      </c>
    </row>
    <row r="431" spans="1:47" ht="14.4">
      <c r="A431" s="21"/>
      <c r="B431" s="86"/>
      <c r="C431" s="98"/>
      <c r="D431" s="21"/>
      <c r="E431" s="86"/>
      <c r="F431" s="99"/>
      <c r="G431" s="99"/>
      <c r="H431" s="21"/>
      <c r="I431" s="86"/>
      <c r="J431" s="21"/>
      <c r="K431" s="5" t="str">
        <f>IF(AND(LEN(H431)=0, LEN(I431)=0), "", IF(AND(LEN(H431)&gt;0, LEN(I431)=0), "BLANCO", IFERROR(VLOOKUP(I431, BasedatosM9!A:B, 2, FALSE), "BLANCO")))</f>
        <v/>
      </c>
      <c r="W431" s="5" t="str">
        <f>IF(AND(LEN(T431)=0, LEN(U431)=0), "", IF(AND(LEN(T431)&gt;0, LEN(U431)=0), "BLANCO", IFERROR(VLOOKUP(U431, BasedatosM9!A:B, 2, FALSE), "BLANCO")))</f>
        <v/>
      </c>
      <c r="AI431" s="5" t="str">
        <f>IF(AND(LEN(AF431)=0, LEN(AG431)=0), "", IF(AND(LEN(AF431)&gt;0, LEN(AG431)=0), "BLANCO", IFERROR(VLOOKUP(AG431, BasedatosM9!A:B, 2, FALSE), "BLANCO")))</f>
        <v/>
      </c>
      <c r="AU431" s="5" t="str">
        <f>IF(AND(LEN(AR431)=0, LEN(AS431)=0), "", IF(AND(LEN(AR431)&gt;0, LEN(AS431)=0), "BLANCO", IFERROR(VLOOKUP(AS431, BasedatosM9!A:B, 2, FALSE), "BLANCO")))</f>
        <v/>
      </c>
    </row>
    <row r="432" spans="1:47" ht="14.4">
      <c r="A432" s="21"/>
      <c r="B432" s="86"/>
      <c r="C432" s="98"/>
      <c r="D432" s="21"/>
      <c r="E432" s="86"/>
      <c r="F432" s="99"/>
      <c r="G432" s="99"/>
      <c r="H432" s="21"/>
      <c r="I432" s="86"/>
      <c r="J432" s="21"/>
      <c r="K432" s="5" t="str">
        <f>IF(AND(LEN(H432)=0, LEN(I432)=0), "", IF(AND(LEN(H432)&gt;0, LEN(I432)=0), "BLANCO", IFERROR(VLOOKUP(I432, BasedatosM9!A:B, 2, FALSE), "BLANCO")))</f>
        <v/>
      </c>
      <c r="W432" s="5" t="str">
        <f>IF(AND(LEN(T432)=0, LEN(U432)=0), "", IF(AND(LEN(T432)&gt;0, LEN(U432)=0), "BLANCO", IFERROR(VLOOKUP(U432, BasedatosM9!A:B, 2, FALSE), "BLANCO")))</f>
        <v/>
      </c>
      <c r="AI432" s="5" t="str">
        <f>IF(AND(LEN(AF432)=0, LEN(AG432)=0), "", IF(AND(LEN(AF432)&gt;0, LEN(AG432)=0), "BLANCO", IFERROR(VLOOKUP(AG432, BasedatosM9!A:B, 2, FALSE), "BLANCO")))</f>
        <v/>
      </c>
      <c r="AU432" s="5" t="str">
        <f>IF(AND(LEN(AR432)=0, LEN(AS432)=0), "", IF(AND(LEN(AR432)&gt;0, LEN(AS432)=0), "BLANCO", IFERROR(VLOOKUP(AS432, BasedatosM9!A:B, 2, FALSE), "BLANCO")))</f>
        <v/>
      </c>
    </row>
    <row r="433" spans="1:47" ht="14.4">
      <c r="A433" s="21"/>
      <c r="B433" s="86"/>
      <c r="C433" s="98"/>
      <c r="D433" s="21"/>
      <c r="E433" s="86"/>
      <c r="F433" s="99"/>
      <c r="G433" s="99"/>
      <c r="H433" s="21"/>
      <c r="I433" s="86"/>
      <c r="J433" s="21"/>
      <c r="K433" s="5" t="str">
        <f>IF(AND(LEN(H433)=0, LEN(I433)=0), "", IF(AND(LEN(H433)&gt;0, LEN(I433)=0), "BLANCO", IFERROR(VLOOKUP(I433, BasedatosM9!A:B, 2, FALSE), "BLANCO")))</f>
        <v/>
      </c>
      <c r="W433" s="5" t="str">
        <f>IF(AND(LEN(T433)=0, LEN(U433)=0), "", IF(AND(LEN(T433)&gt;0, LEN(U433)=0), "BLANCO", IFERROR(VLOOKUP(U433, BasedatosM9!A:B, 2, FALSE), "BLANCO")))</f>
        <v/>
      </c>
      <c r="AI433" s="5" t="str">
        <f>IF(AND(LEN(AF433)=0, LEN(AG433)=0), "", IF(AND(LEN(AF433)&gt;0, LEN(AG433)=0), "BLANCO", IFERROR(VLOOKUP(AG433, BasedatosM9!A:B, 2, FALSE), "BLANCO")))</f>
        <v/>
      </c>
      <c r="AU433" s="5" t="str">
        <f>IF(AND(LEN(AR433)=0, LEN(AS433)=0), "", IF(AND(LEN(AR433)&gt;0, LEN(AS433)=0), "BLANCO", IFERROR(VLOOKUP(AS433, BasedatosM9!A:B, 2, FALSE), "BLANCO")))</f>
        <v/>
      </c>
    </row>
    <row r="434" spans="1:47" ht="14.4">
      <c r="A434" s="21"/>
      <c r="B434" s="86"/>
      <c r="C434" s="98"/>
      <c r="D434" s="21"/>
      <c r="E434" s="86"/>
      <c r="F434" s="99"/>
      <c r="G434" s="99"/>
      <c r="H434" s="21"/>
      <c r="I434" s="86"/>
      <c r="J434" s="21"/>
      <c r="K434" s="5" t="str">
        <f>IF(AND(LEN(H434)=0, LEN(I434)=0), "", IF(AND(LEN(H434)&gt;0, LEN(I434)=0), "BLANCO", IFERROR(VLOOKUP(I434, BasedatosM9!A:B, 2, FALSE), "BLANCO")))</f>
        <v/>
      </c>
      <c r="W434" s="5" t="str">
        <f>IF(AND(LEN(T434)=0, LEN(U434)=0), "", IF(AND(LEN(T434)&gt;0, LEN(U434)=0), "BLANCO", IFERROR(VLOOKUP(U434, BasedatosM9!A:B, 2, FALSE), "BLANCO")))</f>
        <v/>
      </c>
      <c r="AI434" s="5" t="str">
        <f>IF(AND(LEN(AF434)=0, LEN(AG434)=0), "", IF(AND(LEN(AF434)&gt;0, LEN(AG434)=0), "BLANCO", IFERROR(VLOOKUP(AG434, BasedatosM9!A:B, 2, FALSE), "BLANCO")))</f>
        <v/>
      </c>
      <c r="AU434" s="5" t="str">
        <f>IF(AND(LEN(AR434)=0, LEN(AS434)=0), "", IF(AND(LEN(AR434)&gt;0, LEN(AS434)=0), "BLANCO", IFERROR(VLOOKUP(AS434, BasedatosM9!A:B, 2, FALSE), "BLANCO")))</f>
        <v/>
      </c>
    </row>
    <row r="435" spans="1:47" ht="14.4">
      <c r="A435" s="21"/>
      <c r="B435" s="86"/>
      <c r="C435" s="98"/>
      <c r="D435" s="21"/>
      <c r="E435" s="86"/>
      <c r="F435" s="99"/>
      <c r="G435" s="99"/>
      <c r="H435" s="21"/>
      <c r="I435" s="86"/>
      <c r="J435" s="21"/>
      <c r="K435" s="5" t="str">
        <f>IF(AND(LEN(H435)=0, LEN(I435)=0), "", IF(AND(LEN(H435)&gt;0, LEN(I435)=0), "BLANCO", IFERROR(VLOOKUP(I435, BasedatosM9!A:B, 2, FALSE), "BLANCO")))</f>
        <v/>
      </c>
      <c r="W435" s="5" t="str">
        <f>IF(AND(LEN(T435)=0, LEN(U435)=0), "", IF(AND(LEN(T435)&gt;0, LEN(U435)=0), "BLANCO", IFERROR(VLOOKUP(U435, BasedatosM9!A:B, 2, FALSE), "BLANCO")))</f>
        <v/>
      </c>
      <c r="AI435" s="5" t="str">
        <f>IF(AND(LEN(AF435)=0, LEN(AG435)=0), "", IF(AND(LEN(AF435)&gt;0, LEN(AG435)=0), "BLANCO", IFERROR(VLOOKUP(AG435, BasedatosM9!A:B, 2, FALSE), "BLANCO")))</f>
        <v/>
      </c>
      <c r="AU435" s="5" t="str">
        <f>IF(AND(LEN(AR435)=0, LEN(AS435)=0), "", IF(AND(LEN(AR435)&gt;0, LEN(AS435)=0), "BLANCO", IFERROR(VLOOKUP(AS435, BasedatosM9!A:B, 2, FALSE), "BLANCO")))</f>
        <v/>
      </c>
    </row>
    <row r="436" spans="1:47" ht="14.4">
      <c r="A436" s="21"/>
      <c r="B436" s="86"/>
      <c r="C436" s="98"/>
      <c r="D436" s="21"/>
      <c r="E436" s="86"/>
      <c r="F436" s="99"/>
      <c r="G436" s="99"/>
      <c r="H436" s="21"/>
      <c r="I436" s="21"/>
      <c r="J436" s="21"/>
      <c r="K436" s="5" t="str">
        <f>IF(AND(LEN(H436)=0, LEN(I436)=0), "", IF(AND(LEN(H436)&gt;0, LEN(I436)=0), "BLANCO", IFERROR(VLOOKUP(I436, BasedatosM9!A:B, 2, FALSE), "BLANCO")))</f>
        <v/>
      </c>
      <c r="W436" s="5" t="str">
        <f>IF(AND(LEN(T436)=0, LEN(U436)=0), "", IF(AND(LEN(T436)&gt;0, LEN(U436)=0), "BLANCO", IFERROR(VLOOKUP(U436, BasedatosM9!A:B, 2, FALSE), "BLANCO")))</f>
        <v/>
      </c>
      <c r="AI436" s="5" t="str">
        <f>IF(AND(LEN(AF436)=0, LEN(AG436)=0), "", IF(AND(LEN(AF436)&gt;0, LEN(AG436)=0), "BLANCO", IFERROR(VLOOKUP(AG436, BasedatosM9!A:B, 2, FALSE), "BLANCO")))</f>
        <v/>
      </c>
      <c r="AU436" s="5" t="str">
        <f>IF(AND(LEN(AR436)=0, LEN(AS436)=0), "", IF(AND(LEN(AR436)&gt;0, LEN(AS436)=0), "BLANCO", IFERROR(VLOOKUP(AS436, BasedatosM9!A:B, 2, FALSE), "BLANCO")))</f>
        <v/>
      </c>
    </row>
    <row r="437" spans="1:47" ht="14.4">
      <c r="A437" s="21"/>
      <c r="B437" s="86"/>
      <c r="C437" s="98"/>
      <c r="D437" s="21"/>
      <c r="E437" s="86"/>
      <c r="F437" s="99"/>
      <c r="G437" s="99"/>
      <c r="H437" s="21"/>
      <c r="I437" s="86"/>
      <c r="J437" s="21"/>
      <c r="K437" s="5" t="str">
        <f>IF(AND(LEN(H437)=0, LEN(I437)=0), "", IF(AND(LEN(H437)&gt;0, LEN(I437)=0), "BLANCO", IFERROR(VLOOKUP(I437, BasedatosM9!A:B, 2, FALSE), "BLANCO")))</f>
        <v/>
      </c>
      <c r="W437" s="5" t="str">
        <f>IF(AND(LEN(T437)=0, LEN(U437)=0), "", IF(AND(LEN(T437)&gt;0, LEN(U437)=0), "BLANCO", IFERROR(VLOOKUP(U437, BasedatosM9!A:B, 2, FALSE), "BLANCO")))</f>
        <v/>
      </c>
      <c r="AI437" s="5" t="str">
        <f>IF(AND(LEN(AF437)=0, LEN(AG437)=0), "", IF(AND(LEN(AF437)&gt;0, LEN(AG437)=0), "BLANCO", IFERROR(VLOOKUP(AG437, BasedatosM9!A:B, 2, FALSE), "BLANCO")))</f>
        <v/>
      </c>
      <c r="AU437" s="5" t="str">
        <f>IF(AND(LEN(AR437)=0, LEN(AS437)=0), "", IF(AND(LEN(AR437)&gt;0, LEN(AS437)=0), "BLANCO", IFERROR(VLOOKUP(AS437, BasedatosM9!A:B, 2, FALSE), "BLANCO")))</f>
        <v/>
      </c>
    </row>
    <row r="438" spans="1:47" ht="14.4">
      <c r="A438" s="21"/>
      <c r="B438" s="86"/>
      <c r="C438" s="98"/>
      <c r="D438" s="21"/>
      <c r="E438" s="86"/>
      <c r="F438" s="99"/>
      <c r="G438" s="99"/>
      <c r="H438" s="21"/>
      <c r="I438" s="86"/>
      <c r="J438" s="21"/>
      <c r="K438" s="5" t="str">
        <f>IF(AND(LEN(H438)=0, LEN(I438)=0), "", IF(AND(LEN(H438)&gt;0, LEN(I438)=0), "BLANCO", IFERROR(VLOOKUP(I438, BasedatosM9!A:B, 2, FALSE), "BLANCO")))</f>
        <v/>
      </c>
      <c r="W438" s="5" t="str">
        <f>IF(AND(LEN(T438)=0, LEN(U438)=0), "", IF(AND(LEN(T438)&gt;0, LEN(U438)=0), "BLANCO", IFERROR(VLOOKUP(U438, BasedatosM9!A:B, 2, FALSE), "BLANCO")))</f>
        <v/>
      </c>
      <c r="AI438" s="5" t="str">
        <f>IF(AND(LEN(AF438)=0, LEN(AG438)=0), "", IF(AND(LEN(AF438)&gt;0, LEN(AG438)=0), "BLANCO", IFERROR(VLOOKUP(AG438, BasedatosM9!A:B, 2, FALSE), "BLANCO")))</f>
        <v/>
      </c>
      <c r="AU438" s="5" t="str">
        <f>IF(AND(LEN(AR438)=0, LEN(AS438)=0), "", IF(AND(LEN(AR438)&gt;0, LEN(AS438)=0), "BLANCO", IFERROR(VLOOKUP(AS438, BasedatosM9!A:B, 2, FALSE), "BLANCO")))</f>
        <v/>
      </c>
    </row>
    <row r="439" spans="1:47" ht="14.4">
      <c r="A439" s="21"/>
      <c r="B439" s="86"/>
      <c r="C439" s="98"/>
      <c r="D439" s="21"/>
      <c r="E439" s="86"/>
      <c r="F439" s="99"/>
      <c r="G439" s="99"/>
      <c r="H439" s="21"/>
      <c r="I439" s="86"/>
      <c r="J439" s="21"/>
      <c r="K439" s="5" t="str">
        <f>IF(AND(LEN(H439)=0, LEN(I439)=0), "", IF(AND(LEN(H439)&gt;0, LEN(I439)=0), "BLANCO", IFERROR(VLOOKUP(I439, BasedatosM9!A:B, 2, FALSE), "BLANCO")))</f>
        <v/>
      </c>
      <c r="W439" s="5" t="str">
        <f>IF(AND(LEN(T439)=0, LEN(U439)=0), "", IF(AND(LEN(T439)&gt;0, LEN(U439)=0), "BLANCO", IFERROR(VLOOKUP(U439, BasedatosM9!A:B, 2, FALSE), "BLANCO")))</f>
        <v/>
      </c>
      <c r="AI439" s="5" t="str">
        <f>IF(AND(LEN(AF439)=0, LEN(AG439)=0), "", IF(AND(LEN(AF439)&gt;0, LEN(AG439)=0), "BLANCO", IFERROR(VLOOKUP(AG439, BasedatosM9!A:B, 2, FALSE), "BLANCO")))</f>
        <v/>
      </c>
      <c r="AU439" s="5" t="str">
        <f>IF(AND(LEN(AR439)=0, LEN(AS439)=0), "", IF(AND(LEN(AR439)&gt;0, LEN(AS439)=0), "BLANCO", IFERROR(VLOOKUP(AS439, BasedatosM9!A:B, 2, FALSE), "BLANCO")))</f>
        <v/>
      </c>
    </row>
    <row r="440" spans="1:47" ht="14.4">
      <c r="A440" s="21"/>
      <c r="B440" s="86"/>
      <c r="C440" s="98"/>
      <c r="D440" s="21"/>
      <c r="E440" s="86"/>
      <c r="F440" s="99"/>
      <c r="G440" s="99"/>
      <c r="H440" s="21"/>
      <c r="I440" s="86"/>
      <c r="J440" s="21"/>
      <c r="K440" s="5" t="str">
        <f>IF(AND(LEN(H440)=0, LEN(I440)=0), "", IF(AND(LEN(H440)&gt;0, LEN(I440)=0), "BLANCO", IFERROR(VLOOKUP(I440, BasedatosM9!A:B, 2, FALSE), "BLANCO")))</f>
        <v/>
      </c>
      <c r="W440" s="5" t="str">
        <f>IF(AND(LEN(T440)=0, LEN(U440)=0), "", IF(AND(LEN(T440)&gt;0, LEN(U440)=0), "BLANCO", IFERROR(VLOOKUP(U440, BasedatosM9!A:B, 2, FALSE), "BLANCO")))</f>
        <v/>
      </c>
      <c r="AI440" s="5" t="str">
        <f>IF(AND(LEN(AF440)=0, LEN(AG440)=0), "", IF(AND(LEN(AF440)&gt;0, LEN(AG440)=0), "BLANCO", IFERROR(VLOOKUP(AG440, BasedatosM9!A:B, 2, FALSE), "BLANCO")))</f>
        <v/>
      </c>
      <c r="AU440" s="5" t="str">
        <f>IF(AND(LEN(AR440)=0, LEN(AS440)=0), "", IF(AND(LEN(AR440)&gt;0, LEN(AS440)=0), "BLANCO", IFERROR(VLOOKUP(AS440, BasedatosM9!A:B, 2, FALSE), "BLANCO")))</f>
        <v/>
      </c>
    </row>
    <row r="441" spans="1:47" ht="14.4">
      <c r="A441" s="21"/>
      <c r="B441" s="86"/>
      <c r="C441" s="98"/>
      <c r="D441" s="21"/>
      <c r="E441" s="86"/>
      <c r="F441" s="99"/>
      <c r="G441" s="99"/>
      <c r="H441" s="21"/>
      <c r="I441" s="86"/>
      <c r="J441" s="21"/>
      <c r="K441" s="5" t="str">
        <f>IF(AND(LEN(H441)=0, LEN(I441)=0), "", IF(AND(LEN(H441)&gt;0, LEN(I441)=0), "BLANCO", IFERROR(VLOOKUP(I441, BasedatosM9!A:B, 2, FALSE), "BLANCO")))</f>
        <v/>
      </c>
      <c r="W441" s="5" t="str">
        <f>IF(AND(LEN(T441)=0, LEN(U441)=0), "", IF(AND(LEN(T441)&gt;0, LEN(U441)=0), "BLANCO", IFERROR(VLOOKUP(U441, BasedatosM9!A:B, 2, FALSE), "BLANCO")))</f>
        <v/>
      </c>
      <c r="AI441" s="5" t="str">
        <f>IF(AND(LEN(AF441)=0, LEN(AG441)=0), "", IF(AND(LEN(AF441)&gt;0, LEN(AG441)=0), "BLANCO", IFERROR(VLOOKUP(AG441, BasedatosM9!A:B, 2, FALSE), "BLANCO")))</f>
        <v/>
      </c>
      <c r="AU441" s="5" t="str">
        <f>IF(AND(LEN(AR441)=0, LEN(AS441)=0), "", IF(AND(LEN(AR441)&gt;0, LEN(AS441)=0), "BLANCO", IFERROR(VLOOKUP(AS441, BasedatosM9!A:B, 2, FALSE), "BLANCO")))</f>
        <v/>
      </c>
    </row>
    <row r="442" spans="1:47" ht="14.4">
      <c r="A442" s="21"/>
      <c r="B442" s="86"/>
      <c r="C442" s="98"/>
      <c r="D442" s="21"/>
      <c r="E442" s="86"/>
      <c r="F442" s="99"/>
      <c r="G442" s="99"/>
      <c r="H442" s="21"/>
      <c r="I442" s="86"/>
      <c r="J442" s="21"/>
      <c r="K442" s="5" t="str">
        <f>IF(AND(LEN(H442)=0, LEN(I442)=0), "", IF(AND(LEN(H442)&gt;0, LEN(I442)=0), "BLANCO", IFERROR(VLOOKUP(I442, BasedatosM9!A:B, 2, FALSE), "BLANCO")))</f>
        <v/>
      </c>
      <c r="W442" s="5" t="str">
        <f>IF(AND(LEN(T442)=0, LEN(U442)=0), "", IF(AND(LEN(T442)&gt;0, LEN(U442)=0), "BLANCO", IFERROR(VLOOKUP(U442, BasedatosM9!A:B, 2, FALSE), "BLANCO")))</f>
        <v/>
      </c>
      <c r="AI442" s="5" t="str">
        <f>IF(AND(LEN(AF442)=0, LEN(AG442)=0), "", IF(AND(LEN(AF442)&gt;0, LEN(AG442)=0), "BLANCO", IFERROR(VLOOKUP(AG442, BasedatosM9!A:B, 2, FALSE), "BLANCO")))</f>
        <v/>
      </c>
      <c r="AU442" s="5" t="str">
        <f>IF(AND(LEN(AR442)=0, LEN(AS442)=0), "", IF(AND(LEN(AR442)&gt;0, LEN(AS442)=0), "BLANCO", IFERROR(VLOOKUP(AS442, BasedatosM9!A:B, 2, FALSE), "BLANCO")))</f>
        <v/>
      </c>
    </row>
    <row r="443" spans="1:47" ht="14.4">
      <c r="A443" s="21"/>
      <c r="B443" s="86"/>
      <c r="C443" s="98"/>
      <c r="D443" s="21"/>
      <c r="E443" s="86"/>
      <c r="F443" s="99"/>
      <c r="G443" s="99"/>
      <c r="H443" s="21"/>
      <c r="I443" s="86"/>
      <c r="J443" s="21"/>
      <c r="K443" s="5" t="str">
        <f>IF(AND(LEN(H443)=0, LEN(I443)=0), "", IF(AND(LEN(H443)&gt;0, LEN(I443)=0), "BLANCO", IFERROR(VLOOKUP(I443, BasedatosM9!A:B, 2, FALSE), "BLANCO")))</f>
        <v/>
      </c>
      <c r="W443" s="5" t="str">
        <f>IF(AND(LEN(T443)=0, LEN(U443)=0), "", IF(AND(LEN(T443)&gt;0, LEN(U443)=0), "BLANCO", IFERROR(VLOOKUP(U443, BasedatosM9!A:B, 2, FALSE), "BLANCO")))</f>
        <v/>
      </c>
      <c r="AI443" s="5" t="str">
        <f>IF(AND(LEN(AF443)=0, LEN(AG443)=0), "", IF(AND(LEN(AF443)&gt;0, LEN(AG443)=0), "BLANCO", IFERROR(VLOOKUP(AG443, BasedatosM9!A:B, 2, FALSE), "BLANCO")))</f>
        <v/>
      </c>
      <c r="AU443" s="5" t="str">
        <f>IF(AND(LEN(AR443)=0, LEN(AS443)=0), "", IF(AND(LEN(AR443)&gt;0, LEN(AS443)=0), "BLANCO", IFERROR(VLOOKUP(AS443, BasedatosM9!A:B, 2, FALSE), "BLANCO")))</f>
        <v/>
      </c>
    </row>
    <row r="444" spans="1:47" ht="14.4">
      <c r="A444" s="21"/>
      <c r="B444" s="86"/>
      <c r="C444" s="98"/>
      <c r="D444" s="21"/>
      <c r="E444" s="86"/>
      <c r="F444" s="99"/>
      <c r="G444" s="99"/>
      <c r="H444" s="21"/>
      <c r="I444" s="21"/>
      <c r="J444" s="21"/>
      <c r="K444" s="5" t="str">
        <f>IF(AND(LEN(H444)=0, LEN(I444)=0), "", IF(AND(LEN(H444)&gt;0, LEN(I444)=0), "BLANCO", IFERROR(VLOOKUP(I444, BasedatosM9!A:B, 2, FALSE), "BLANCO")))</f>
        <v/>
      </c>
      <c r="W444" s="5" t="str">
        <f>IF(AND(LEN(T444)=0, LEN(U444)=0), "", IF(AND(LEN(T444)&gt;0, LEN(U444)=0), "BLANCO", IFERROR(VLOOKUP(U444, BasedatosM9!A:B, 2, FALSE), "BLANCO")))</f>
        <v/>
      </c>
      <c r="AI444" s="5" t="str">
        <f>IF(AND(LEN(AF444)=0, LEN(AG444)=0), "", IF(AND(LEN(AF444)&gt;0, LEN(AG444)=0), "BLANCO", IFERROR(VLOOKUP(AG444, BasedatosM9!A:B, 2, FALSE), "BLANCO")))</f>
        <v/>
      </c>
      <c r="AU444" s="5" t="str">
        <f>IF(AND(LEN(AR444)=0, LEN(AS444)=0), "", IF(AND(LEN(AR444)&gt;0, LEN(AS444)=0), "BLANCO", IFERROR(VLOOKUP(AS444, BasedatosM9!A:B, 2, FALSE), "BLANCO")))</f>
        <v/>
      </c>
    </row>
    <row r="445" spans="1:47" ht="14.4">
      <c r="A445" s="21"/>
      <c r="B445" s="86"/>
      <c r="C445" s="98"/>
      <c r="D445" s="21"/>
      <c r="E445" s="86"/>
      <c r="F445" s="99"/>
      <c r="G445" s="99"/>
      <c r="H445" s="21"/>
      <c r="I445" s="21"/>
      <c r="J445" s="21"/>
      <c r="K445" s="5" t="str">
        <f>IF(AND(LEN(H445)=0, LEN(I445)=0), "", IF(AND(LEN(H445)&gt;0, LEN(I445)=0), "BLANCO", IFERROR(VLOOKUP(I445, BasedatosM9!A:B, 2, FALSE), "BLANCO")))</f>
        <v/>
      </c>
      <c r="W445" s="5" t="str">
        <f>IF(AND(LEN(T445)=0, LEN(U445)=0), "", IF(AND(LEN(T445)&gt;0, LEN(U445)=0), "BLANCO", IFERROR(VLOOKUP(U445, BasedatosM9!A:B, 2, FALSE), "BLANCO")))</f>
        <v/>
      </c>
      <c r="AI445" s="5" t="str">
        <f>IF(AND(LEN(AF445)=0, LEN(AG445)=0), "", IF(AND(LEN(AF445)&gt;0, LEN(AG445)=0), "BLANCO", IFERROR(VLOOKUP(AG445, BasedatosM9!A:B, 2, FALSE), "BLANCO")))</f>
        <v/>
      </c>
      <c r="AU445" s="5" t="str">
        <f>IF(AND(LEN(AR445)=0, LEN(AS445)=0), "", IF(AND(LEN(AR445)&gt;0, LEN(AS445)=0), "BLANCO", IFERROR(VLOOKUP(AS445, BasedatosM9!A:B, 2, FALSE), "BLANCO")))</f>
        <v/>
      </c>
    </row>
    <row r="446" spans="1:47" ht="14.4">
      <c r="A446" s="21"/>
      <c r="B446" s="86"/>
      <c r="C446" s="98"/>
      <c r="D446" s="21"/>
      <c r="E446" s="86"/>
      <c r="F446" s="99"/>
      <c r="G446" s="99"/>
      <c r="H446" s="21"/>
      <c r="I446" s="21"/>
      <c r="J446" s="21"/>
      <c r="K446" s="5" t="str">
        <f>IF(AND(LEN(H446)=0, LEN(I446)=0), "", IF(AND(LEN(H446)&gt;0, LEN(I446)=0), "BLANCO", IFERROR(VLOOKUP(I446, BasedatosM9!A:B, 2, FALSE), "BLANCO")))</f>
        <v/>
      </c>
      <c r="W446" s="5" t="str">
        <f>IF(AND(LEN(T446)=0, LEN(U446)=0), "", IF(AND(LEN(T446)&gt;0, LEN(U446)=0), "BLANCO", IFERROR(VLOOKUP(U446, BasedatosM9!A:B, 2, FALSE), "BLANCO")))</f>
        <v/>
      </c>
      <c r="AI446" s="5" t="str">
        <f>IF(AND(LEN(AF446)=0, LEN(AG446)=0), "", IF(AND(LEN(AF446)&gt;0, LEN(AG446)=0), "BLANCO", IFERROR(VLOOKUP(AG446, BasedatosM9!A:B, 2, FALSE), "BLANCO")))</f>
        <v/>
      </c>
      <c r="AU446" s="5" t="str">
        <f>IF(AND(LEN(AR446)=0, LEN(AS446)=0), "", IF(AND(LEN(AR446)&gt;0, LEN(AS446)=0), "BLANCO", IFERROR(VLOOKUP(AS446, BasedatosM9!A:B, 2, FALSE), "BLANCO")))</f>
        <v/>
      </c>
    </row>
    <row r="447" spans="1:47" ht="14.4">
      <c r="A447" s="21"/>
      <c r="B447" s="86"/>
      <c r="C447" s="98"/>
      <c r="D447" s="21"/>
      <c r="E447" s="86"/>
      <c r="F447" s="99"/>
      <c r="G447" s="99"/>
      <c r="H447" s="21"/>
      <c r="I447" s="21"/>
      <c r="J447" s="21"/>
      <c r="K447" s="5" t="str">
        <f>IF(AND(LEN(H447)=0, LEN(I447)=0), "", IF(AND(LEN(H447)&gt;0, LEN(I447)=0), "BLANCO", IFERROR(VLOOKUP(I447, BasedatosM9!A:B, 2, FALSE), "BLANCO")))</f>
        <v/>
      </c>
      <c r="W447" s="5" t="str">
        <f>IF(AND(LEN(T447)=0, LEN(U447)=0), "", IF(AND(LEN(T447)&gt;0, LEN(U447)=0), "BLANCO", IFERROR(VLOOKUP(U447, BasedatosM9!A:B, 2, FALSE), "BLANCO")))</f>
        <v/>
      </c>
      <c r="AI447" s="5" t="str">
        <f>IF(AND(LEN(AF447)=0, LEN(AG447)=0), "", IF(AND(LEN(AF447)&gt;0, LEN(AG447)=0), "BLANCO", IFERROR(VLOOKUP(AG447, BasedatosM9!A:B, 2, FALSE), "BLANCO")))</f>
        <v/>
      </c>
      <c r="AU447" s="5" t="str">
        <f>IF(AND(LEN(AR447)=0, LEN(AS447)=0), "", IF(AND(LEN(AR447)&gt;0, LEN(AS447)=0), "BLANCO", IFERROR(VLOOKUP(AS447, BasedatosM9!A:B, 2, FALSE), "BLANCO")))</f>
        <v/>
      </c>
    </row>
    <row r="448" spans="1:47" ht="14.4">
      <c r="A448" s="21"/>
      <c r="B448" s="86"/>
      <c r="C448" s="98"/>
      <c r="D448" s="21"/>
      <c r="E448" s="86"/>
      <c r="F448" s="99"/>
      <c r="G448" s="99"/>
      <c r="H448" s="21"/>
      <c r="I448" s="21"/>
      <c r="J448" s="21"/>
      <c r="K448" s="5" t="str">
        <f>IF(AND(LEN(H448)=0, LEN(I448)=0), "", IF(AND(LEN(H448)&gt;0, LEN(I448)=0), "BLANCO", IFERROR(VLOOKUP(I448, BasedatosM9!A:B, 2, FALSE), "BLANCO")))</f>
        <v/>
      </c>
      <c r="W448" s="5" t="str">
        <f>IF(AND(LEN(T448)=0, LEN(U448)=0), "", IF(AND(LEN(T448)&gt;0, LEN(U448)=0), "BLANCO", IFERROR(VLOOKUP(U448, BasedatosM9!A:B, 2, FALSE), "BLANCO")))</f>
        <v/>
      </c>
      <c r="AI448" s="5" t="str">
        <f>IF(AND(LEN(AF448)=0, LEN(AG448)=0), "", IF(AND(LEN(AF448)&gt;0, LEN(AG448)=0), "BLANCO", IFERROR(VLOOKUP(AG448, BasedatosM9!A:B, 2, FALSE), "BLANCO")))</f>
        <v/>
      </c>
      <c r="AU448" s="5" t="str">
        <f>IF(AND(LEN(AR448)=0, LEN(AS448)=0), "", IF(AND(LEN(AR448)&gt;0, LEN(AS448)=0), "BLANCO", IFERROR(VLOOKUP(AS448, BasedatosM9!A:B, 2, FALSE), "BLANCO")))</f>
        <v/>
      </c>
    </row>
    <row r="449" spans="1:47" ht="14.4">
      <c r="A449" s="21"/>
      <c r="B449" s="86"/>
      <c r="C449" s="98"/>
      <c r="D449" s="21"/>
      <c r="E449" s="86"/>
      <c r="F449" s="99"/>
      <c r="G449" s="99"/>
      <c r="H449" s="21"/>
      <c r="I449" s="21"/>
      <c r="J449" s="21"/>
      <c r="K449" s="5" t="str">
        <f>IF(AND(LEN(H449)=0, LEN(I449)=0), "", IF(AND(LEN(H449)&gt;0, LEN(I449)=0), "BLANCO", IFERROR(VLOOKUP(I449, BasedatosM9!A:B, 2, FALSE), "BLANCO")))</f>
        <v/>
      </c>
      <c r="W449" s="5" t="str">
        <f>IF(AND(LEN(T449)=0, LEN(U449)=0), "", IF(AND(LEN(T449)&gt;0, LEN(U449)=0), "BLANCO", IFERROR(VLOOKUP(U449, BasedatosM9!A:B, 2, FALSE), "BLANCO")))</f>
        <v/>
      </c>
      <c r="AI449" s="5" t="str">
        <f>IF(AND(LEN(AF449)=0, LEN(AG449)=0), "", IF(AND(LEN(AF449)&gt;0, LEN(AG449)=0), "BLANCO", IFERROR(VLOOKUP(AG449, BasedatosM9!A:B, 2, FALSE), "BLANCO")))</f>
        <v/>
      </c>
      <c r="AU449" s="5" t="str">
        <f>IF(AND(LEN(AR449)=0, LEN(AS449)=0), "", IF(AND(LEN(AR449)&gt;0, LEN(AS449)=0), "BLANCO", IFERROR(VLOOKUP(AS449, BasedatosM9!A:B, 2, FALSE), "BLANCO")))</f>
        <v/>
      </c>
    </row>
    <row r="450" spans="1:47" ht="14.4">
      <c r="A450" s="21"/>
      <c r="B450" s="86"/>
      <c r="C450" s="98"/>
      <c r="D450" s="21"/>
      <c r="E450" s="86"/>
      <c r="F450" s="99"/>
      <c r="G450" s="99"/>
      <c r="H450" s="21"/>
      <c r="I450" s="21"/>
      <c r="J450" s="21"/>
      <c r="K450" s="5" t="str">
        <f>IF(AND(LEN(H450)=0, LEN(I450)=0), "", IF(AND(LEN(H450)&gt;0, LEN(I450)=0), "BLANCO", IFERROR(VLOOKUP(I450, BasedatosM9!A:B, 2, FALSE), "BLANCO")))</f>
        <v/>
      </c>
      <c r="W450" s="5" t="str">
        <f>IF(AND(LEN(T450)=0, LEN(U450)=0), "", IF(AND(LEN(T450)&gt;0, LEN(U450)=0), "BLANCO", IFERROR(VLOOKUP(U450, BasedatosM9!A:B, 2, FALSE), "BLANCO")))</f>
        <v/>
      </c>
      <c r="AI450" s="5" t="str">
        <f>IF(AND(LEN(AF450)=0, LEN(AG450)=0), "", IF(AND(LEN(AF450)&gt;0, LEN(AG450)=0), "BLANCO", IFERROR(VLOOKUP(AG450, BasedatosM9!A:B, 2, FALSE), "BLANCO")))</f>
        <v/>
      </c>
      <c r="AU450" s="5" t="str">
        <f>IF(AND(LEN(AR450)=0, LEN(AS450)=0), "", IF(AND(LEN(AR450)&gt;0, LEN(AS450)=0), "BLANCO", IFERROR(VLOOKUP(AS450, BasedatosM9!A:B, 2, FALSE), "BLANCO")))</f>
        <v/>
      </c>
    </row>
    <row r="451" spans="1:47" ht="14.4">
      <c r="A451" s="21"/>
      <c r="B451" s="86"/>
      <c r="C451" s="98"/>
      <c r="D451" s="21"/>
      <c r="E451" s="86"/>
      <c r="F451" s="99"/>
      <c r="G451" s="99"/>
      <c r="H451" s="21"/>
      <c r="I451" s="21"/>
      <c r="J451" s="21"/>
      <c r="K451" s="5" t="str">
        <f>IF(AND(LEN(H451)=0, LEN(I451)=0), "", IF(AND(LEN(H451)&gt;0, LEN(I451)=0), "BLANCO", IFERROR(VLOOKUP(I451, BasedatosM9!A:B, 2, FALSE), "BLANCO")))</f>
        <v/>
      </c>
      <c r="W451" s="5" t="str">
        <f>IF(AND(LEN(T451)=0, LEN(U451)=0), "", IF(AND(LEN(T451)&gt;0, LEN(U451)=0), "BLANCO", IFERROR(VLOOKUP(U451, BasedatosM9!A:B, 2, FALSE), "BLANCO")))</f>
        <v/>
      </c>
      <c r="AI451" s="5" t="str">
        <f>IF(AND(LEN(AF451)=0, LEN(AG451)=0), "", IF(AND(LEN(AF451)&gt;0, LEN(AG451)=0), "BLANCO", IFERROR(VLOOKUP(AG451, BasedatosM9!A:B, 2, FALSE), "BLANCO")))</f>
        <v/>
      </c>
      <c r="AU451" s="5" t="str">
        <f>IF(AND(LEN(AR451)=0, LEN(AS451)=0), "", IF(AND(LEN(AR451)&gt;0, LEN(AS451)=0), "BLANCO", IFERROR(VLOOKUP(AS451, BasedatosM9!A:B, 2, FALSE), "BLANCO")))</f>
        <v/>
      </c>
    </row>
    <row r="452" spans="1:47" ht="14.4">
      <c r="A452" s="21"/>
      <c r="B452" s="86"/>
      <c r="C452" s="98"/>
      <c r="D452" s="21"/>
      <c r="E452" s="86"/>
      <c r="F452" s="99"/>
      <c r="G452" s="99"/>
      <c r="H452" s="21"/>
      <c r="I452" s="21"/>
      <c r="J452" s="21"/>
      <c r="K452" s="5" t="str">
        <f>IF(AND(LEN(H452)=0, LEN(I452)=0), "", IF(AND(LEN(H452)&gt;0, LEN(I452)=0), "BLANCO", IFERROR(VLOOKUP(I452, BasedatosM9!A:B, 2, FALSE), "BLANCO")))</f>
        <v/>
      </c>
      <c r="W452" s="5" t="str">
        <f>IF(AND(LEN(T452)=0, LEN(U452)=0), "", IF(AND(LEN(T452)&gt;0, LEN(U452)=0), "BLANCO", IFERROR(VLOOKUP(U452, BasedatosM9!A:B, 2, FALSE), "BLANCO")))</f>
        <v/>
      </c>
      <c r="AI452" s="5" t="str">
        <f>IF(AND(LEN(AF452)=0, LEN(AG452)=0), "", IF(AND(LEN(AF452)&gt;0, LEN(AG452)=0), "BLANCO", IFERROR(VLOOKUP(AG452, BasedatosM9!A:B, 2, FALSE), "BLANCO")))</f>
        <v/>
      </c>
      <c r="AU452" s="5" t="str">
        <f>IF(AND(LEN(AR452)=0, LEN(AS452)=0), "", IF(AND(LEN(AR452)&gt;0, LEN(AS452)=0), "BLANCO", IFERROR(VLOOKUP(AS452, BasedatosM9!A:B, 2, FALSE), "BLANCO")))</f>
        <v/>
      </c>
    </row>
    <row r="453" spans="1:47" ht="14.4">
      <c r="A453" s="21"/>
      <c r="B453" s="86"/>
      <c r="C453" s="98"/>
      <c r="D453" s="21"/>
      <c r="E453" s="86"/>
      <c r="F453" s="99"/>
      <c r="G453" s="99"/>
      <c r="H453" s="21"/>
      <c r="I453" s="86"/>
      <c r="J453" s="21"/>
      <c r="K453" s="5" t="str">
        <f>IF(AND(LEN(H453)=0, LEN(I453)=0), "", IF(AND(LEN(H453)&gt;0, LEN(I453)=0), "BLANCO", IFERROR(VLOOKUP(I453, BasedatosM9!A:B, 2, FALSE), "BLANCO")))</f>
        <v/>
      </c>
      <c r="W453" s="5" t="str">
        <f>IF(AND(LEN(T453)=0, LEN(U453)=0), "", IF(AND(LEN(T453)&gt;0, LEN(U453)=0), "BLANCO", IFERROR(VLOOKUP(U453, BasedatosM9!A:B, 2, FALSE), "BLANCO")))</f>
        <v/>
      </c>
      <c r="AI453" s="5" t="str">
        <f>IF(AND(LEN(AF453)=0, LEN(AG453)=0), "", IF(AND(LEN(AF453)&gt;0, LEN(AG453)=0), "BLANCO", IFERROR(VLOOKUP(AG453, BasedatosM9!A:B, 2, FALSE), "BLANCO")))</f>
        <v/>
      </c>
      <c r="AU453" s="5" t="str">
        <f>IF(AND(LEN(AR453)=0, LEN(AS453)=0), "", IF(AND(LEN(AR453)&gt;0, LEN(AS453)=0), "BLANCO", IFERROR(VLOOKUP(AS453, BasedatosM9!A:B, 2, FALSE), "BLANCO")))</f>
        <v/>
      </c>
    </row>
    <row r="454" spans="1:47" ht="14.4">
      <c r="A454" s="21"/>
      <c r="B454" s="86"/>
      <c r="C454" s="98"/>
      <c r="D454" s="21"/>
      <c r="E454" s="86"/>
      <c r="F454" s="99"/>
      <c r="G454" s="99"/>
      <c r="H454" s="21"/>
      <c r="I454" s="86"/>
      <c r="J454" s="21"/>
      <c r="K454" s="5" t="str">
        <f>IF(AND(LEN(H454)=0, LEN(I454)=0), "", IF(AND(LEN(H454)&gt;0, LEN(I454)=0), "BLANCO", IFERROR(VLOOKUP(I454, BasedatosM9!A:B, 2, FALSE), "BLANCO")))</f>
        <v/>
      </c>
      <c r="W454" s="5" t="str">
        <f>IF(AND(LEN(T454)=0, LEN(U454)=0), "", IF(AND(LEN(T454)&gt;0, LEN(U454)=0), "BLANCO", IFERROR(VLOOKUP(U454, BasedatosM9!A:B, 2, FALSE), "BLANCO")))</f>
        <v/>
      </c>
      <c r="AI454" s="5" t="str">
        <f>IF(AND(LEN(AF454)=0, LEN(AG454)=0), "", IF(AND(LEN(AF454)&gt;0, LEN(AG454)=0), "BLANCO", IFERROR(VLOOKUP(AG454, BasedatosM9!A:B, 2, FALSE), "BLANCO")))</f>
        <v/>
      </c>
      <c r="AU454" s="5" t="str">
        <f>IF(AND(LEN(AR454)=0, LEN(AS454)=0), "", IF(AND(LEN(AR454)&gt;0, LEN(AS454)=0), "BLANCO", IFERROR(VLOOKUP(AS454, BasedatosM9!A:B, 2, FALSE), "BLANCO")))</f>
        <v/>
      </c>
    </row>
    <row r="455" spans="1:47" ht="14.4">
      <c r="A455" s="21"/>
      <c r="B455" s="86"/>
      <c r="C455" s="98"/>
      <c r="D455" s="21"/>
      <c r="E455" s="86"/>
      <c r="F455" s="99"/>
      <c r="G455" s="99"/>
      <c r="H455" s="21"/>
      <c r="I455" s="86"/>
      <c r="J455" s="21"/>
      <c r="K455" s="5" t="str">
        <f>IF(AND(LEN(H455)=0, LEN(I455)=0), "", IF(AND(LEN(H455)&gt;0, LEN(I455)=0), "BLANCO", IFERROR(VLOOKUP(I455, BasedatosM9!A:B, 2, FALSE), "BLANCO")))</f>
        <v/>
      </c>
      <c r="W455" s="5" t="str">
        <f>IF(AND(LEN(T455)=0, LEN(U455)=0), "", IF(AND(LEN(T455)&gt;0, LEN(U455)=0), "BLANCO", IFERROR(VLOOKUP(U455, BasedatosM9!A:B, 2, FALSE), "BLANCO")))</f>
        <v/>
      </c>
      <c r="AI455" s="5" t="str">
        <f>IF(AND(LEN(AF455)=0, LEN(AG455)=0), "", IF(AND(LEN(AF455)&gt;0, LEN(AG455)=0), "BLANCO", IFERROR(VLOOKUP(AG455, BasedatosM9!A:B, 2, FALSE), "BLANCO")))</f>
        <v/>
      </c>
      <c r="AU455" s="5" t="str">
        <f>IF(AND(LEN(AR455)=0, LEN(AS455)=0), "", IF(AND(LEN(AR455)&gt;0, LEN(AS455)=0), "BLANCO", IFERROR(VLOOKUP(AS455, BasedatosM9!A:B, 2, FALSE), "BLANCO")))</f>
        <v/>
      </c>
    </row>
    <row r="456" spans="1:47" ht="14.4">
      <c r="A456" s="21"/>
      <c r="B456" s="86"/>
      <c r="C456" s="98"/>
      <c r="D456" s="21"/>
      <c r="E456" s="86"/>
      <c r="F456" s="99"/>
      <c r="G456" s="99"/>
      <c r="H456" s="21"/>
      <c r="I456" s="86"/>
      <c r="J456" s="21"/>
      <c r="K456" s="5" t="str">
        <f>IF(AND(LEN(H456)=0, LEN(I456)=0), "", IF(AND(LEN(H456)&gt;0, LEN(I456)=0), "BLANCO", IFERROR(VLOOKUP(I456, BasedatosM9!A:B, 2, FALSE), "BLANCO")))</f>
        <v/>
      </c>
      <c r="W456" s="5" t="str">
        <f>IF(AND(LEN(T456)=0, LEN(U456)=0), "", IF(AND(LEN(T456)&gt;0, LEN(U456)=0), "BLANCO", IFERROR(VLOOKUP(U456, BasedatosM9!A:B, 2, FALSE), "BLANCO")))</f>
        <v/>
      </c>
      <c r="AI456" s="5" t="str">
        <f>IF(AND(LEN(AF456)=0, LEN(AG456)=0), "", IF(AND(LEN(AF456)&gt;0, LEN(AG456)=0), "BLANCO", IFERROR(VLOOKUP(AG456, BasedatosM9!A:B, 2, FALSE), "BLANCO")))</f>
        <v/>
      </c>
      <c r="AU456" s="5" t="str">
        <f>IF(AND(LEN(AR456)=0, LEN(AS456)=0), "", IF(AND(LEN(AR456)&gt;0, LEN(AS456)=0), "BLANCO", IFERROR(VLOOKUP(AS456, BasedatosM9!A:B, 2, FALSE), "BLANCO")))</f>
        <v/>
      </c>
    </row>
    <row r="457" spans="1:47" ht="14.4">
      <c r="A457" s="21"/>
      <c r="B457" s="86"/>
      <c r="C457" s="98"/>
      <c r="D457" s="21"/>
      <c r="E457" s="86"/>
      <c r="F457" s="99"/>
      <c r="G457" s="99"/>
      <c r="H457" s="21"/>
      <c r="I457" s="86"/>
      <c r="J457" s="21"/>
      <c r="K457" s="5" t="str">
        <f>IF(AND(LEN(H457)=0, LEN(I457)=0), "", IF(AND(LEN(H457)&gt;0, LEN(I457)=0), "BLANCO", IFERROR(VLOOKUP(I457, BasedatosM9!A:B, 2, FALSE), "BLANCO")))</f>
        <v/>
      </c>
      <c r="W457" s="5" t="str">
        <f>IF(AND(LEN(T457)=0, LEN(U457)=0), "", IF(AND(LEN(T457)&gt;0, LEN(U457)=0), "BLANCO", IFERROR(VLOOKUP(U457, BasedatosM9!A:B, 2, FALSE), "BLANCO")))</f>
        <v/>
      </c>
      <c r="AI457" s="5" t="str">
        <f>IF(AND(LEN(AF457)=0, LEN(AG457)=0), "", IF(AND(LEN(AF457)&gt;0, LEN(AG457)=0), "BLANCO", IFERROR(VLOOKUP(AG457, BasedatosM9!A:B, 2, FALSE), "BLANCO")))</f>
        <v/>
      </c>
      <c r="AU457" s="5" t="str">
        <f>IF(AND(LEN(AR457)=0, LEN(AS457)=0), "", IF(AND(LEN(AR457)&gt;0, LEN(AS457)=0), "BLANCO", IFERROR(VLOOKUP(AS457, BasedatosM9!A:B, 2, FALSE), "BLANCO")))</f>
        <v/>
      </c>
    </row>
    <row r="458" spans="1:47" ht="14.4">
      <c r="A458" s="21"/>
      <c r="B458" s="86"/>
      <c r="C458" s="98"/>
      <c r="D458" s="21"/>
      <c r="E458" s="86"/>
      <c r="F458" s="99"/>
      <c r="G458" s="99"/>
      <c r="H458" s="21"/>
      <c r="I458" s="86"/>
      <c r="J458" s="21"/>
      <c r="K458" s="5" t="str">
        <f>IF(AND(LEN(H458)=0, LEN(I458)=0), "", IF(AND(LEN(H458)&gt;0, LEN(I458)=0), "BLANCO", IFERROR(VLOOKUP(I458, BasedatosM9!A:B, 2, FALSE), "BLANCO")))</f>
        <v/>
      </c>
      <c r="W458" s="5" t="str">
        <f>IF(AND(LEN(T458)=0, LEN(U458)=0), "", IF(AND(LEN(T458)&gt;0, LEN(U458)=0), "BLANCO", IFERROR(VLOOKUP(U458, BasedatosM9!A:B, 2, FALSE), "BLANCO")))</f>
        <v/>
      </c>
      <c r="AI458" s="5" t="str">
        <f>IF(AND(LEN(AF458)=0, LEN(AG458)=0), "", IF(AND(LEN(AF458)&gt;0, LEN(AG458)=0), "BLANCO", IFERROR(VLOOKUP(AG458, BasedatosM9!A:B, 2, FALSE), "BLANCO")))</f>
        <v/>
      </c>
      <c r="AU458" s="5" t="str">
        <f>IF(AND(LEN(AR458)=0, LEN(AS458)=0), "", IF(AND(LEN(AR458)&gt;0, LEN(AS458)=0), "BLANCO", IFERROR(VLOOKUP(AS458, BasedatosM9!A:B, 2, FALSE), "BLANCO")))</f>
        <v/>
      </c>
    </row>
    <row r="459" spans="1:47" ht="14.4">
      <c r="A459" s="21"/>
      <c r="B459" s="86"/>
      <c r="C459" s="98"/>
      <c r="D459" s="21"/>
      <c r="E459" s="86"/>
      <c r="F459" s="99"/>
      <c r="G459" s="99"/>
      <c r="H459" s="21"/>
      <c r="I459" s="86"/>
      <c r="J459" s="21"/>
      <c r="K459" s="5" t="str">
        <f>IF(AND(LEN(H459)=0, LEN(I459)=0), "", IF(AND(LEN(H459)&gt;0, LEN(I459)=0), "BLANCO", IFERROR(VLOOKUP(I459, BasedatosM9!A:B, 2, FALSE), "BLANCO")))</f>
        <v/>
      </c>
      <c r="W459" s="5" t="str">
        <f>IF(AND(LEN(T459)=0, LEN(U459)=0), "", IF(AND(LEN(T459)&gt;0, LEN(U459)=0), "BLANCO", IFERROR(VLOOKUP(U459, BasedatosM9!A:B, 2, FALSE), "BLANCO")))</f>
        <v/>
      </c>
      <c r="AI459" s="5" t="str">
        <f>IF(AND(LEN(AF459)=0, LEN(AG459)=0), "", IF(AND(LEN(AF459)&gt;0, LEN(AG459)=0), "BLANCO", IFERROR(VLOOKUP(AG459, BasedatosM9!A:B, 2, FALSE), "BLANCO")))</f>
        <v/>
      </c>
      <c r="AU459" s="5" t="str">
        <f>IF(AND(LEN(AR459)=0, LEN(AS459)=0), "", IF(AND(LEN(AR459)&gt;0, LEN(AS459)=0), "BLANCO", IFERROR(VLOOKUP(AS459, BasedatosM9!A:B, 2, FALSE), "BLANCO")))</f>
        <v/>
      </c>
    </row>
    <row r="460" spans="1:47" ht="14.4">
      <c r="A460" s="21"/>
      <c r="B460" s="86"/>
      <c r="C460" s="98"/>
      <c r="D460" s="21"/>
      <c r="E460" s="86"/>
      <c r="F460" s="99"/>
      <c r="G460" s="99"/>
      <c r="H460" s="21"/>
      <c r="I460" s="21"/>
      <c r="J460" s="21"/>
      <c r="K460" s="5" t="str">
        <f>IF(AND(LEN(H460)=0, LEN(I460)=0), "", IF(AND(LEN(H460)&gt;0, LEN(I460)=0), "BLANCO", IFERROR(VLOOKUP(I460, BasedatosM9!A:B, 2, FALSE), "BLANCO")))</f>
        <v/>
      </c>
      <c r="W460" s="5" t="str">
        <f>IF(AND(LEN(T460)=0, LEN(U460)=0), "", IF(AND(LEN(T460)&gt;0, LEN(U460)=0), "BLANCO", IFERROR(VLOOKUP(U460, BasedatosM9!A:B, 2, FALSE), "BLANCO")))</f>
        <v/>
      </c>
      <c r="AI460" s="5" t="str">
        <f>IF(AND(LEN(AF460)=0, LEN(AG460)=0), "", IF(AND(LEN(AF460)&gt;0, LEN(AG460)=0), "BLANCO", IFERROR(VLOOKUP(AG460, BasedatosM9!A:B, 2, FALSE), "BLANCO")))</f>
        <v/>
      </c>
      <c r="AU460" s="5" t="str">
        <f>IF(AND(LEN(AR460)=0, LEN(AS460)=0), "", IF(AND(LEN(AR460)&gt;0, LEN(AS460)=0), "BLANCO", IFERROR(VLOOKUP(AS460, BasedatosM9!A:B, 2, FALSE), "BLANCO")))</f>
        <v/>
      </c>
    </row>
    <row r="461" spans="1:47" ht="14.4">
      <c r="A461" s="21"/>
      <c r="B461" s="86"/>
      <c r="C461" s="98"/>
      <c r="D461" s="21"/>
      <c r="E461" s="86"/>
      <c r="F461" s="99"/>
      <c r="G461" s="99"/>
      <c r="H461" s="21"/>
      <c r="I461" s="86"/>
      <c r="J461" s="21"/>
      <c r="K461" s="5" t="str">
        <f>IF(AND(LEN(H461)=0, LEN(I461)=0), "", IF(AND(LEN(H461)&gt;0, LEN(I461)=0), "BLANCO", IFERROR(VLOOKUP(I461, BasedatosM9!A:B, 2, FALSE), "BLANCO")))</f>
        <v/>
      </c>
      <c r="W461" s="5" t="str">
        <f>IF(AND(LEN(T461)=0, LEN(U461)=0), "", IF(AND(LEN(T461)&gt;0, LEN(U461)=0), "BLANCO", IFERROR(VLOOKUP(U461, BasedatosM9!A:B, 2, FALSE), "BLANCO")))</f>
        <v/>
      </c>
      <c r="AI461" s="5" t="str">
        <f>IF(AND(LEN(AF461)=0, LEN(AG461)=0), "", IF(AND(LEN(AF461)&gt;0, LEN(AG461)=0), "BLANCO", IFERROR(VLOOKUP(AG461, BasedatosM9!A:B, 2, FALSE), "BLANCO")))</f>
        <v/>
      </c>
      <c r="AU461" s="5" t="str">
        <f>IF(AND(LEN(AR461)=0, LEN(AS461)=0), "", IF(AND(LEN(AR461)&gt;0, LEN(AS461)=0), "BLANCO", IFERROR(VLOOKUP(AS461, BasedatosM9!A:B, 2, FALSE), "BLANCO")))</f>
        <v/>
      </c>
    </row>
    <row r="462" spans="1:47" ht="14.4">
      <c r="A462" s="21"/>
      <c r="B462" s="86"/>
      <c r="C462" s="98"/>
      <c r="D462" s="21"/>
      <c r="E462" s="86"/>
      <c r="F462" s="99"/>
      <c r="G462" s="99"/>
      <c r="H462" s="21"/>
      <c r="I462" s="86"/>
      <c r="J462" s="21"/>
      <c r="K462" s="5" t="str">
        <f>IF(AND(LEN(H462)=0, LEN(I462)=0), "", IF(AND(LEN(H462)&gt;0, LEN(I462)=0), "BLANCO", IFERROR(VLOOKUP(I462, BasedatosM9!A:B, 2, FALSE), "BLANCO")))</f>
        <v/>
      </c>
      <c r="W462" s="5" t="str">
        <f>IF(AND(LEN(T462)=0, LEN(U462)=0), "", IF(AND(LEN(T462)&gt;0, LEN(U462)=0), "BLANCO", IFERROR(VLOOKUP(U462, BasedatosM9!A:B, 2, FALSE), "BLANCO")))</f>
        <v/>
      </c>
      <c r="AI462" s="5" t="str">
        <f>IF(AND(LEN(AF462)=0, LEN(AG462)=0), "", IF(AND(LEN(AF462)&gt;0, LEN(AG462)=0), "BLANCO", IFERROR(VLOOKUP(AG462, BasedatosM9!A:B, 2, FALSE), "BLANCO")))</f>
        <v/>
      </c>
      <c r="AU462" s="5" t="str">
        <f>IF(AND(LEN(AR462)=0, LEN(AS462)=0), "", IF(AND(LEN(AR462)&gt;0, LEN(AS462)=0), "BLANCO", IFERROR(VLOOKUP(AS462, BasedatosM9!A:B, 2, FALSE), "BLANCO")))</f>
        <v/>
      </c>
    </row>
    <row r="463" spans="1:47" ht="14.4">
      <c r="A463" s="21"/>
      <c r="B463" s="86"/>
      <c r="C463" s="98"/>
      <c r="D463" s="21"/>
      <c r="E463" s="86"/>
      <c r="F463" s="99"/>
      <c r="G463" s="99"/>
      <c r="H463" s="21"/>
      <c r="I463" s="86"/>
      <c r="J463" s="21"/>
      <c r="K463" s="5" t="str">
        <f>IF(AND(LEN(H463)=0, LEN(I463)=0), "", IF(AND(LEN(H463)&gt;0, LEN(I463)=0), "BLANCO", IFERROR(VLOOKUP(I463, BasedatosM9!A:B, 2, FALSE), "BLANCO")))</f>
        <v/>
      </c>
      <c r="W463" s="5" t="str">
        <f>IF(AND(LEN(T463)=0, LEN(U463)=0), "", IF(AND(LEN(T463)&gt;0, LEN(U463)=0), "BLANCO", IFERROR(VLOOKUP(U463, BasedatosM9!A:B, 2, FALSE), "BLANCO")))</f>
        <v/>
      </c>
      <c r="AI463" s="5" t="str">
        <f>IF(AND(LEN(AF463)=0, LEN(AG463)=0), "", IF(AND(LEN(AF463)&gt;0, LEN(AG463)=0), "BLANCO", IFERROR(VLOOKUP(AG463, BasedatosM9!A:B, 2, FALSE), "BLANCO")))</f>
        <v/>
      </c>
      <c r="AU463" s="5" t="str">
        <f>IF(AND(LEN(AR463)=0, LEN(AS463)=0), "", IF(AND(LEN(AR463)&gt;0, LEN(AS463)=0), "BLANCO", IFERROR(VLOOKUP(AS463, BasedatosM9!A:B, 2, FALSE), "BLANCO")))</f>
        <v/>
      </c>
    </row>
    <row r="464" spans="1:47" ht="14.4">
      <c r="A464" s="21"/>
      <c r="B464" s="86"/>
      <c r="C464" s="98"/>
      <c r="D464" s="21"/>
      <c r="E464" s="86"/>
      <c r="F464" s="99"/>
      <c r="G464" s="99"/>
      <c r="H464" s="21"/>
      <c r="I464" s="86"/>
      <c r="J464" s="21"/>
      <c r="K464" s="5" t="str">
        <f>IF(AND(LEN(H464)=0, LEN(I464)=0), "", IF(AND(LEN(H464)&gt;0, LEN(I464)=0), "BLANCO", IFERROR(VLOOKUP(I464, BasedatosM9!A:B, 2, FALSE), "BLANCO")))</f>
        <v/>
      </c>
      <c r="W464" s="5" t="str">
        <f>IF(AND(LEN(T464)=0, LEN(U464)=0), "", IF(AND(LEN(T464)&gt;0, LEN(U464)=0), "BLANCO", IFERROR(VLOOKUP(U464, BasedatosM9!A:B, 2, FALSE), "BLANCO")))</f>
        <v/>
      </c>
      <c r="AI464" s="5" t="str">
        <f>IF(AND(LEN(AF464)=0, LEN(AG464)=0), "", IF(AND(LEN(AF464)&gt;0, LEN(AG464)=0), "BLANCO", IFERROR(VLOOKUP(AG464, BasedatosM9!A:B, 2, FALSE), "BLANCO")))</f>
        <v/>
      </c>
      <c r="AU464" s="5" t="str">
        <f>IF(AND(LEN(AR464)=0, LEN(AS464)=0), "", IF(AND(LEN(AR464)&gt;0, LEN(AS464)=0), "BLANCO", IFERROR(VLOOKUP(AS464, BasedatosM9!A:B, 2, FALSE), "BLANCO")))</f>
        <v/>
      </c>
    </row>
    <row r="465" spans="1:47" ht="14.4">
      <c r="A465" s="21"/>
      <c r="B465" s="86"/>
      <c r="C465" s="98"/>
      <c r="D465" s="21"/>
      <c r="E465" s="86"/>
      <c r="F465" s="99"/>
      <c r="G465" s="99"/>
      <c r="H465" s="21"/>
      <c r="I465" s="86"/>
      <c r="J465" s="21"/>
      <c r="K465" s="5" t="str">
        <f>IF(AND(LEN(H465)=0, LEN(I465)=0), "", IF(AND(LEN(H465)&gt;0, LEN(I465)=0), "BLANCO", IFERROR(VLOOKUP(I465, BasedatosM9!A:B, 2, FALSE), "BLANCO")))</f>
        <v/>
      </c>
      <c r="W465" s="5" t="str">
        <f>IF(AND(LEN(T465)=0, LEN(U465)=0), "", IF(AND(LEN(T465)&gt;0, LEN(U465)=0), "BLANCO", IFERROR(VLOOKUP(U465, BasedatosM9!A:B, 2, FALSE), "BLANCO")))</f>
        <v/>
      </c>
      <c r="AI465" s="5" t="str">
        <f>IF(AND(LEN(AF465)=0, LEN(AG465)=0), "", IF(AND(LEN(AF465)&gt;0, LEN(AG465)=0), "BLANCO", IFERROR(VLOOKUP(AG465, BasedatosM9!A:B, 2, FALSE), "BLANCO")))</f>
        <v/>
      </c>
      <c r="AU465" s="5" t="str">
        <f>IF(AND(LEN(AR465)=0, LEN(AS465)=0), "", IF(AND(LEN(AR465)&gt;0, LEN(AS465)=0), "BLANCO", IFERROR(VLOOKUP(AS465, BasedatosM9!A:B, 2, FALSE), "BLANCO")))</f>
        <v/>
      </c>
    </row>
    <row r="466" spans="1:47" ht="14.4">
      <c r="A466" s="21"/>
      <c r="B466" s="86"/>
      <c r="C466" s="98"/>
      <c r="D466" s="21"/>
      <c r="E466" s="86"/>
      <c r="F466" s="99"/>
      <c r="G466" s="99"/>
      <c r="H466" s="21"/>
      <c r="I466" s="21"/>
      <c r="J466" s="21"/>
      <c r="K466" s="5" t="str">
        <f>IF(AND(LEN(H466)=0, LEN(I466)=0), "", IF(AND(LEN(H466)&gt;0, LEN(I466)=0), "BLANCO", IFERROR(VLOOKUP(I466, BasedatosM9!A:B, 2, FALSE), "BLANCO")))</f>
        <v/>
      </c>
      <c r="W466" s="5" t="str">
        <f>IF(AND(LEN(T466)=0, LEN(U466)=0), "", IF(AND(LEN(T466)&gt;0, LEN(U466)=0), "BLANCO", IFERROR(VLOOKUP(U466, BasedatosM9!A:B, 2, FALSE), "BLANCO")))</f>
        <v/>
      </c>
      <c r="AI466" s="5" t="str">
        <f>IF(AND(LEN(AF466)=0, LEN(AG466)=0), "", IF(AND(LEN(AF466)&gt;0, LEN(AG466)=0), "BLANCO", IFERROR(VLOOKUP(AG466, BasedatosM9!A:B, 2, FALSE), "BLANCO")))</f>
        <v/>
      </c>
      <c r="AU466" s="5" t="str">
        <f>IF(AND(LEN(AR466)=0, LEN(AS466)=0), "", IF(AND(LEN(AR466)&gt;0, LEN(AS466)=0), "BLANCO", IFERROR(VLOOKUP(AS466, BasedatosM9!A:B, 2, FALSE), "BLANCO")))</f>
        <v/>
      </c>
    </row>
    <row r="467" spans="1:47" ht="14.4">
      <c r="A467" s="21"/>
      <c r="B467" s="86"/>
      <c r="C467" s="98"/>
      <c r="D467" s="21"/>
      <c r="E467" s="86"/>
      <c r="F467" s="99"/>
      <c r="G467" s="99"/>
      <c r="H467" s="21"/>
      <c r="I467" s="21"/>
      <c r="J467" s="21"/>
      <c r="K467" s="5" t="str">
        <f>IF(AND(LEN(H467)=0, LEN(I467)=0), "", IF(AND(LEN(H467)&gt;0, LEN(I467)=0), "BLANCO", IFERROR(VLOOKUP(I467, BasedatosM9!A:B, 2, FALSE), "BLANCO")))</f>
        <v/>
      </c>
      <c r="W467" s="5" t="str">
        <f>IF(AND(LEN(T467)=0, LEN(U467)=0), "", IF(AND(LEN(T467)&gt;0, LEN(U467)=0), "BLANCO", IFERROR(VLOOKUP(U467, BasedatosM9!A:B, 2, FALSE), "BLANCO")))</f>
        <v/>
      </c>
      <c r="AI467" s="5" t="str">
        <f>IF(AND(LEN(AF467)=0, LEN(AG467)=0), "", IF(AND(LEN(AF467)&gt;0, LEN(AG467)=0), "BLANCO", IFERROR(VLOOKUP(AG467, BasedatosM9!A:B, 2, FALSE), "BLANCO")))</f>
        <v/>
      </c>
      <c r="AU467" s="5" t="str">
        <f>IF(AND(LEN(AR467)=0, LEN(AS467)=0), "", IF(AND(LEN(AR467)&gt;0, LEN(AS467)=0), "BLANCO", IFERROR(VLOOKUP(AS467, BasedatosM9!A:B, 2, FALSE), "BLANCO")))</f>
        <v/>
      </c>
    </row>
    <row r="468" spans="1:47" ht="14.4">
      <c r="A468" s="21"/>
      <c r="B468" s="86"/>
      <c r="C468" s="98"/>
      <c r="D468" s="21"/>
      <c r="E468" s="86"/>
      <c r="F468" s="99"/>
      <c r="G468" s="99"/>
      <c r="H468" s="21"/>
      <c r="I468" s="21"/>
      <c r="J468" s="21"/>
      <c r="K468" s="5" t="str">
        <f>IF(AND(LEN(H468)=0, LEN(I468)=0), "", IF(AND(LEN(H468)&gt;0, LEN(I468)=0), "BLANCO", IFERROR(VLOOKUP(I468, BasedatosM9!A:B, 2, FALSE), "BLANCO")))</f>
        <v/>
      </c>
      <c r="W468" s="5" t="str">
        <f>IF(AND(LEN(T468)=0, LEN(U468)=0), "", IF(AND(LEN(T468)&gt;0, LEN(U468)=0), "BLANCO", IFERROR(VLOOKUP(U468, BasedatosM9!A:B, 2, FALSE), "BLANCO")))</f>
        <v/>
      </c>
      <c r="AI468" s="5" t="str">
        <f>IF(AND(LEN(AF468)=0, LEN(AG468)=0), "", IF(AND(LEN(AF468)&gt;0, LEN(AG468)=0), "BLANCO", IFERROR(VLOOKUP(AG468, BasedatosM9!A:B, 2, FALSE), "BLANCO")))</f>
        <v/>
      </c>
      <c r="AU468" s="5" t="str">
        <f>IF(AND(LEN(AR468)=0, LEN(AS468)=0), "", IF(AND(LEN(AR468)&gt;0, LEN(AS468)=0), "BLANCO", IFERROR(VLOOKUP(AS468, BasedatosM9!A:B, 2, FALSE), "BLANCO")))</f>
        <v/>
      </c>
    </row>
    <row r="469" spans="1:47" ht="14.4">
      <c r="A469" s="21"/>
      <c r="B469" s="86"/>
      <c r="C469" s="98"/>
      <c r="D469" s="21"/>
      <c r="E469" s="86"/>
      <c r="F469" s="99"/>
      <c r="G469" s="99"/>
      <c r="H469" s="21"/>
      <c r="I469" s="21"/>
      <c r="J469" s="21"/>
      <c r="K469" s="5" t="str">
        <f>IF(AND(LEN(H469)=0, LEN(I469)=0), "", IF(AND(LEN(H469)&gt;0, LEN(I469)=0), "BLANCO", IFERROR(VLOOKUP(I469, BasedatosM9!A:B, 2, FALSE), "BLANCO")))</f>
        <v/>
      </c>
      <c r="W469" s="5" t="str">
        <f>IF(AND(LEN(T469)=0, LEN(U469)=0), "", IF(AND(LEN(T469)&gt;0, LEN(U469)=0), "BLANCO", IFERROR(VLOOKUP(U469, BasedatosM9!A:B, 2, FALSE), "BLANCO")))</f>
        <v/>
      </c>
      <c r="AI469" s="5" t="str">
        <f>IF(AND(LEN(AF469)=0, LEN(AG469)=0), "", IF(AND(LEN(AF469)&gt;0, LEN(AG469)=0), "BLANCO", IFERROR(VLOOKUP(AG469, BasedatosM9!A:B, 2, FALSE), "BLANCO")))</f>
        <v/>
      </c>
      <c r="AU469" s="5" t="str">
        <f>IF(AND(LEN(AR469)=0, LEN(AS469)=0), "", IF(AND(LEN(AR469)&gt;0, LEN(AS469)=0), "BLANCO", IFERROR(VLOOKUP(AS469, BasedatosM9!A:B, 2, FALSE), "BLANCO")))</f>
        <v/>
      </c>
    </row>
    <row r="470" spans="1:47" ht="14.4">
      <c r="A470" s="21"/>
      <c r="B470" s="86"/>
      <c r="C470" s="98"/>
      <c r="D470" s="21"/>
      <c r="E470" s="86"/>
      <c r="F470" s="99"/>
      <c r="G470" s="99"/>
      <c r="H470" s="21"/>
      <c r="I470" s="21"/>
      <c r="J470" s="21"/>
      <c r="K470" s="5" t="str">
        <f>IF(AND(LEN(H470)=0, LEN(I470)=0), "", IF(AND(LEN(H470)&gt;0, LEN(I470)=0), "BLANCO", IFERROR(VLOOKUP(I470, BasedatosM9!A:B, 2, FALSE), "BLANCO")))</f>
        <v/>
      </c>
      <c r="W470" s="5" t="str">
        <f>IF(AND(LEN(T470)=0, LEN(U470)=0), "", IF(AND(LEN(T470)&gt;0, LEN(U470)=0), "BLANCO", IFERROR(VLOOKUP(U470, BasedatosM9!A:B, 2, FALSE), "BLANCO")))</f>
        <v/>
      </c>
      <c r="AI470" s="5" t="str">
        <f>IF(AND(LEN(AF470)=0, LEN(AG470)=0), "", IF(AND(LEN(AF470)&gt;0, LEN(AG470)=0), "BLANCO", IFERROR(VLOOKUP(AG470, BasedatosM9!A:B, 2, FALSE), "BLANCO")))</f>
        <v/>
      </c>
      <c r="AU470" s="5" t="str">
        <f>IF(AND(LEN(AR470)=0, LEN(AS470)=0), "", IF(AND(LEN(AR470)&gt;0, LEN(AS470)=0), "BLANCO", IFERROR(VLOOKUP(AS470, BasedatosM9!A:B, 2, FALSE), "BLANCO")))</f>
        <v/>
      </c>
    </row>
    <row r="471" spans="1:47" ht="14.4">
      <c r="A471" s="21"/>
      <c r="B471" s="86"/>
      <c r="C471" s="98"/>
      <c r="D471" s="21"/>
      <c r="E471" s="86"/>
      <c r="F471" s="99"/>
      <c r="G471" s="99"/>
      <c r="H471" s="21"/>
      <c r="I471" s="21"/>
      <c r="J471" s="21"/>
      <c r="K471" s="5" t="str">
        <f>IF(AND(LEN(H471)=0, LEN(I471)=0), "", IF(AND(LEN(H471)&gt;0, LEN(I471)=0), "BLANCO", IFERROR(VLOOKUP(I471, BasedatosM9!A:B, 2, FALSE), "BLANCO")))</f>
        <v/>
      </c>
      <c r="W471" s="5" t="str">
        <f>IF(AND(LEN(T471)=0, LEN(U471)=0), "", IF(AND(LEN(T471)&gt;0, LEN(U471)=0), "BLANCO", IFERROR(VLOOKUP(U471, BasedatosM9!A:B, 2, FALSE), "BLANCO")))</f>
        <v/>
      </c>
      <c r="AI471" s="5" t="str">
        <f>IF(AND(LEN(AF471)=0, LEN(AG471)=0), "", IF(AND(LEN(AF471)&gt;0, LEN(AG471)=0), "BLANCO", IFERROR(VLOOKUP(AG471, BasedatosM9!A:B, 2, FALSE), "BLANCO")))</f>
        <v/>
      </c>
      <c r="AU471" s="5" t="str">
        <f>IF(AND(LEN(AR471)=0, LEN(AS471)=0), "", IF(AND(LEN(AR471)&gt;0, LEN(AS471)=0), "BLANCO", IFERROR(VLOOKUP(AS471, BasedatosM9!A:B, 2, FALSE), "BLANCO")))</f>
        <v/>
      </c>
    </row>
    <row r="472" spans="1:47" ht="14.4">
      <c r="A472" s="21"/>
      <c r="B472" s="86"/>
      <c r="C472" s="98"/>
      <c r="D472" s="21"/>
      <c r="E472" s="86"/>
      <c r="F472" s="99"/>
      <c r="G472" s="99"/>
      <c r="H472" s="21"/>
      <c r="I472" s="21"/>
      <c r="J472" s="21"/>
      <c r="K472" s="5" t="str">
        <f>IF(AND(LEN(H472)=0, LEN(I472)=0), "", IF(AND(LEN(H472)&gt;0, LEN(I472)=0), "BLANCO", IFERROR(VLOOKUP(I472, BasedatosM9!A:B, 2, FALSE), "BLANCO")))</f>
        <v/>
      </c>
      <c r="W472" s="5" t="str">
        <f>IF(AND(LEN(T472)=0, LEN(U472)=0), "", IF(AND(LEN(T472)&gt;0, LEN(U472)=0), "BLANCO", IFERROR(VLOOKUP(U472, BasedatosM9!A:B, 2, FALSE), "BLANCO")))</f>
        <v/>
      </c>
      <c r="AI472" s="5" t="str">
        <f>IF(AND(LEN(AF472)=0, LEN(AG472)=0), "", IF(AND(LEN(AF472)&gt;0, LEN(AG472)=0), "BLANCO", IFERROR(VLOOKUP(AG472, BasedatosM9!A:B, 2, FALSE), "BLANCO")))</f>
        <v/>
      </c>
      <c r="AU472" s="5" t="str">
        <f>IF(AND(LEN(AR472)=0, LEN(AS472)=0), "", IF(AND(LEN(AR472)&gt;0, LEN(AS472)=0), "BLANCO", IFERROR(VLOOKUP(AS472, BasedatosM9!A:B, 2, FALSE), "BLANCO")))</f>
        <v/>
      </c>
    </row>
    <row r="473" spans="1:47" ht="14.4">
      <c r="A473" s="21"/>
      <c r="B473" s="86"/>
      <c r="C473" s="98"/>
      <c r="D473" s="21"/>
      <c r="E473" s="86"/>
      <c r="F473" s="99"/>
      <c r="G473" s="99"/>
      <c r="H473" s="21"/>
      <c r="I473" s="86"/>
      <c r="J473" s="21"/>
      <c r="K473" s="5" t="str">
        <f>IF(AND(LEN(H473)=0, LEN(I473)=0), "", IF(AND(LEN(H473)&gt;0, LEN(I473)=0), "BLANCO", IFERROR(VLOOKUP(I473, BasedatosM9!A:B, 2, FALSE), "BLANCO")))</f>
        <v/>
      </c>
      <c r="W473" s="5" t="str">
        <f>IF(AND(LEN(T473)=0, LEN(U473)=0), "", IF(AND(LEN(T473)&gt;0, LEN(U473)=0), "BLANCO", IFERROR(VLOOKUP(U473, BasedatosM9!A:B, 2, FALSE), "BLANCO")))</f>
        <v/>
      </c>
      <c r="AI473" s="5" t="str">
        <f>IF(AND(LEN(AF473)=0, LEN(AG473)=0), "", IF(AND(LEN(AF473)&gt;0, LEN(AG473)=0), "BLANCO", IFERROR(VLOOKUP(AG473, BasedatosM9!A:B, 2, FALSE), "BLANCO")))</f>
        <v/>
      </c>
      <c r="AU473" s="5" t="str">
        <f>IF(AND(LEN(AR473)=0, LEN(AS473)=0), "", IF(AND(LEN(AR473)&gt;0, LEN(AS473)=0), "BLANCO", IFERROR(VLOOKUP(AS473, BasedatosM9!A:B, 2, FALSE), "BLANCO")))</f>
        <v/>
      </c>
    </row>
    <row r="474" spans="1:47" ht="14.4">
      <c r="A474" s="21"/>
      <c r="B474" s="86"/>
      <c r="C474" s="98"/>
      <c r="D474" s="21"/>
      <c r="E474" s="86"/>
      <c r="F474" s="99"/>
      <c r="G474" s="99"/>
      <c r="H474" s="21"/>
      <c r="I474" s="21"/>
      <c r="J474" s="21"/>
      <c r="K474" s="5" t="str">
        <f>IF(AND(LEN(H474)=0, LEN(I474)=0), "", IF(AND(LEN(H474)&gt;0, LEN(I474)=0), "BLANCO", IFERROR(VLOOKUP(I474, BasedatosM9!A:B, 2, FALSE), "BLANCO")))</f>
        <v/>
      </c>
      <c r="W474" s="5" t="str">
        <f>IF(AND(LEN(T474)=0, LEN(U474)=0), "", IF(AND(LEN(T474)&gt;0, LEN(U474)=0), "BLANCO", IFERROR(VLOOKUP(U474, BasedatosM9!A:B, 2, FALSE), "BLANCO")))</f>
        <v/>
      </c>
      <c r="AI474" s="5" t="str">
        <f>IF(AND(LEN(AF474)=0, LEN(AG474)=0), "", IF(AND(LEN(AF474)&gt;0, LEN(AG474)=0), "BLANCO", IFERROR(VLOOKUP(AG474, BasedatosM9!A:B, 2, FALSE), "BLANCO")))</f>
        <v/>
      </c>
      <c r="AU474" s="5" t="str">
        <f>IF(AND(LEN(AR474)=0, LEN(AS474)=0), "", IF(AND(LEN(AR474)&gt;0, LEN(AS474)=0), "BLANCO", IFERROR(VLOOKUP(AS474, BasedatosM9!A:B, 2, FALSE), "BLANCO")))</f>
        <v/>
      </c>
    </row>
    <row r="475" spans="1:47" ht="14.4">
      <c r="A475" s="21"/>
      <c r="B475" s="86"/>
      <c r="C475" s="98"/>
      <c r="D475" s="21"/>
      <c r="E475" s="86"/>
      <c r="F475" s="99"/>
      <c r="G475" s="99"/>
      <c r="H475" s="21"/>
      <c r="I475" s="86"/>
      <c r="J475" s="21"/>
      <c r="K475" s="5" t="str">
        <f>IF(AND(LEN(H475)=0, LEN(I475)=0), "", IF(AND(LEN(H475)&gt;0, LEN(I475)=0), "BLANCO", IFERROR(VLOOKUP(I475, BasedatosM9!A:B, 2, FALSE), "BLANCO")))</f>
        <v/>
      </c>
      <c r="W475" s="5" t="str">
        <f>IF(AND(LEN(T475)=0, LEN(U475)=0), "", IF(AND(LEN(T475)&gt;0, LEN(U475)=0), "BLANCO", IFERROR(VLOOKUP(U475, BasedatosM9!A:B, 2, FALSE), "BLANCO")))</f>
        <v/>
      </c>
      <c r="AI475" s="5" t="str">
        <f>IF(AND(LEN(AF475)=0, LEN(AG475)=0), "", IF(AND(LEN(AF475)&gt;0, LEN(AG475)=0), "BLANCO", IFERROR(VLOOKUP(AG475, BasedatosM9!A:B, 2, FALSE), "BLANCO")))</f>
        <v/>
      </c>
      <c r="AU475" s="5" t="str">
        <f>IF(AND(LEN(AR475)=0, LEN(AS475)=0), "", IF(AND(LEN(AR475)&gt;0, LEN(AS475)=0), "BLANCO", IFERROR(VLOOKUP(AS475, BasedatosM9!A:B, 2, FALSE), "BLANCO")))</f>
        <v/>
      </c>
    </row>
    <row r="476" spans="1:47" ht="14.4">
      <c r="A476" s="21"/>
      <c r="B476" s="86"/>
      <c r="C476" s="98"/>
      <c r="D476" s="21"/>
      <c r="E476" s="86"/>
      <c r="F476" s="99"/>
      <c r="G476" s="99"/>
      <c r="H476" s="21"/>
      <c r="I476" s="86"/>
      <c r="J476" s="21"/>
      <c r="K476" s="5" t="str">
        <f>IF(AND(LEN(H476)=0, LEN(I476)=0), "", IF(AND(LEN(H476)&gt;0, LEN(I476)=0), "BLANCO", IFERROR(VLOOKUP(I476, BasedatosM9!A:B, 2, FALSE), "BLANCO")))</f>
        <v/>
      </c>
      <c r="W476" s="5" t="str">
        <f>IF(AND(LEN(T476)=0, LEN(U476)=0), "", IF(AND(LEN(T476)&gt;0, LEN(U476)=0), "BLANCO", IFERROR(VLOOKUP(U476, BasedatosM9!A:B, 2, FALSE), "BLANCO")))</f>
        <v/>
      </c>
      <c r="AI476" s="5" t="str">
        <f>IF(AND(LEN(AF476)=0, LEN(AG476)=0), "", IF(AND(LEN(AF476)&gt;0, LEN(AG476)=0), "BLANCO", IFERROR(VLOOKUP(AG476, BasedatosM9!A:B, 2, FALSE), "BLANCO")))</f>
        <v/>
      </c>
      <c r="AU476" s="5" t="str">
        <f>IF(AND(LEN(AR476)=0, LEN(AS476)=0), "", IF(AND(LEN(AR476)&gt;0, LEN(AS476)=0), "BLANCO", IFERROR(VLOOKUP(AS476, BasedatosM9!A:B, 2, FALSE), "BLANCO")))</f>
        <v/>
      </c>
    </row>
    <row r="477" spans="1:47" ht="14.4">
      <c r="A477" s="21"/>
      <c r="B477" s="86"/>
      <c r="C477" s="98"/>
      <c r="D477" s="21"/>
      <c r="E477" s="86"/>
      <c r="F477" s="99"/>
      <c r="G477" s="99"/>
      <c r="H477" s="21"/>
      <c r="I477" s="86"/>
      <c r="J477" s="21"/>
      <c r="K477" s="5" t="str">
        <f>IF(AND(LEN(H477)=0, LEN(I477)=0), "", IF(AND(LEN(H477)&gt;0, LEN(I477)=0), "BLANCO", IFERROR(VLOOKUP(I477, BasedatosM9!A:B, 2, FALSE), "BLANCO")))</f>
        <v/>
      </c>
      <c r="W477" s="5" t="str">
        <f>IF(AND(LEN(T477)=0, LEN(U477)=0), "", IF(AND(LEN(T477)&gt;0, LEN(U477)=0), "BLANCO", IFERROR(VLOOKUP(U477, BasedatosM9!A:B, 2, FALSE), "BLANCO")))</f>
        <v/>
      </c>
      <c r="AI477" s="5" t="str">
        <f>IF(AND(LEN(AF477)=0, LEN(AG477)=0), "", IF(AND(LEN(AF477)&gt;0, LEN(AG477)=0), "BLANCO", IFERROR(VLOOKUP(AG477, BasedatosM9!A:B, 2, FALSE), "BLANCO")))</f>
        <v/>
      </c>
      <c r="AU477" s="5" t="str">
        <f>IF(AND(LEN(AR477)=0, LEN(AS477)=0), "", IF(AND(LEN(AR477)&gt;0, LEN(AS477)=0), "BLANCO", IFERROR(VLOOKUP(AS477, BasedatosM9!A:B, 2, FALSE), "BLANCO")))</f>
        <v/>
      </c>
    </row>
    <row r="478" spans="1:47" ht="14.4">
      <c r="A478" s="21"/>
      <c r="B478" s="86"/>
      <c r="C478" s="98"/>
      <c r="D478" s="21"/>
      <c r="E478" s="86"/>
      <c r="F478" s="99"/>
      <c r="G478" s="99"/>
      <c r="H478" s="21"/>
      <c r="I478" s="86"/>
      <c r="J478" s="21"/>
      <c r="K478" s="5" t="str">
        <f>IF(AND(LEN(H478)=0, LEN(I478)=0), "", IF(AND(LEN(H478)&gt;0, LEN(I478)=0), "BLANCO", IFERROR(VLOOKUP(I478, BasedatosM9!A:B, 2, FALSE), "BLANCO")))</f>
        <v/>
      </c>
      <c r="W478" s="5" t="str">
        <f>IF(AND(LEN(T478)=0, LEN(U478)=0), "", IF(AND(LEN(T478)&gt;0, LEN(U478)=0), "BLANCO", IFERROR(VLOOKUP(U478, BasedatosM9!A:B, 2, FALSE), "BLANCO")))</f>
        <v/>
      </c>
      <c r="AI478" s="5" t="str">
        <f>IF(AND(LEN(AF478)=0, LEN(AG478)=0), "", IF(AND(LEN(AF478)&gt;0, LEN(AG478)=0), "BLANCO", IFERROR(VLOOKUP(AG478, BasedatosM9!A:B, 2, FALSE), "BLANCO")))</f>
        <v/>
      </c>
      <c r="AU478" s="5" t="str">
        <f>IF(AND(LEN(AR478)=0, LEN(AS478)=0), "", IF(AND(LEN(AR478)&gt;0, LEN(AS478)=0), "BLANCO", IFERROR(VLOOKUP(AS478, BasedatosM9!A:B, 2, FALSE), "BLANCO")))</f>
        <v/>
      </c>
    </row>
    <row r="479" spans="1:47" ht="14.4">
      <c r="A479" s="21"/>
      <c r="B479" s="86"/>
      <c r="C479" s="98"/>
      <c r="D479" s="21"/>
      <c r="E479" s="86"/>
      <c r="F479" s="99"/>
      <c r="G479" s="99"/>
      <c r="H479" s="21"/>
      <c r="I479" s="21"/>
      <c r="J479" s="21"/>
      <c r="K479" s="5" t="str">
        <f>IF(AND(LEN(H479)=0, LEN(I479)=0), "", IF(AND(LEN(H479)&gt;0, LEN(I479)=0), "BLANCO", IFERROR(VLOOKUP(I479, BasedatosM9!A:B, 2, FALSE), "BLANCO")))</f>
        <v/>
      </c>
      <c r="W479" s="5" t="str">
        <f>IF(AND(LEN(T479)=0, LEN(U479)=0), "", IF(AND(LEN(T479)&gt;0, LEN(U479)=0), "BLANCO", IFERROR(VLOOKUP(U479, BasedatosM9!A:B, 2, FALSE), "BLANCO")))</f>
        <v/>
      </c>
      <c r="AI479" s="5" t="str">
        <f>IF(AND(LEN(AF479)=0, LEN(AG479)=0), "", IF(AND(LEN(AF479)&gt;0, LEN(AG479)=0), "BLANCO", IFERROR(VLOOKUP(AG479, BasedatosM9!A:B, 2, FALSE), "BLANCO")))</f>
        <v/>
      </c>
      <c r="AU479" s="5" t="str">
        <f>IF(AND(LEN(AR479)=0, LEN(AS479)=0), "", IF(AND(LEN(AR479)&gt;0, LEN(AS479)=0), "BLANCO", IFERROR(VLOOKUP(AS479, BasedatosM9!A:B, 2, FALSE), "BLANCO")))</f>
        <v/>
      </c>
    </row>
    <row r="480" spans="1:47" ht="14.4">
      <c r="A480" s="21"/>
      <c r="B480" s="86"/>
      <c r="C480" s="98"/>
      <c r="D480" s="21"/>
      <c r="E480" s="86"/>
      <c r="F480" s="99"/>
      <c r="G480" s="99"/>
      <c r="H480" s="21"/>
      <c r="I480" s="86"/>
      <c r="J480" s="21"/>
      <c r="K480" s="5" t="str">
        <f>IF(AND(LEN(H480)=0, LEN(I480)=0), "", IF(AND(LEN(H480)&gt;0, LEN(I480)=0), "BLANCO", IFERROR(VLOOKUP(I480, BasedatosM9!A:B, 2, FALSE), "BLANCO")))</f>
        <v/>
      </c>
      <c r="W480" s="5" t="str">
        <f>IF(AND(LEN(T480)=0, LEN(U480)=0), "", IF(AND(LEN(T480)&gt;0, LEN(U480)=0), "BLANCO", IFERROR(VLOOKUP(U480, BasedatosM9!A:B, 2, FALSE), "BLANCO")))</f>
        <v/>
      </c>
      <c r="AI480" s="5" t="str">
        <f>IF(AND(LEN(AF480)=0, LEN(AG480)=0), "", IF(AND(LEN(AF480)&gt;0, LEN(AG480)=0), "BLANCO", IFERROR(VLOOKUP(AG480, BasedatosM9!A:B, 2, FALSE), "BLANCO")))</f>
        <v/>
      </c>
      <c r="AU480" s="5" t="str">
        <f>IF(AND(LEN(AR480)=0, LEN(AS480)=0), "", IF(AND(LEN(AR480)&gt;0, LEN(AS480)=0), "BLANCO", IFERROR(VLOOKUP(AS480, BasedatosM9!A:B, 2, FALSE), "BLANCO")))</f>
        <v/>
      </c>
    </row>
    <row r="481" spans="1:47" ht="14.4">
      <c r="A481" s="21"/>
      <c r="B481" s="86"/>
      <c r="C481" s="98"/>
      <c r="D481" s="21"/>
      <c r="E481" s="86"/>
      <c r="F481" s="99"/>
      <c r="G481" s="99"/>
      <c r="H481" s="21"/>
      <c r="I481" s="21"/>
      <c r="J481" s="21"/>
      <c r="K481" s="5" t="str">
        <f>IF(AND(LEN(H481)=0, LEN(I481)=0), "", IF(AND(LEN(H481)&gt;0, LEN(I481)=0), "BLANCO", IFERROR(VLOOKUP(I481, BasedatosM9!A:B, 2, FALSE), "BLANCO")))</f>
        <v/>
      </c>
      <c r="W481" s="5" t="str">
        <f>IF(AND(LEN(T481)=0, LEN(U481)=0), "", IF(AND(LEN(T481)&gt;0, LEN(U481)=0), "BLANCO", IFERROR(VLOOKUP(U481, BasedatosM9!A:B, 2, FALSE), "BLANCO")))</f>
        <v/>
      </c>
      <c r="AI481" s="5" t="str">
        <f>IF(AND(LEN(AF481)=0, LEN(AG481)=0), "", IF(AND(LEN(AF481)&gt;0, LEN(AG481)=0), "BLANCO", IFERROR(VLOOKUP(AG481, BasedatosM9!A:B, 2, FALSE), "BLANCO")))</f>
        <v/>
      </c>
      <c r="AU481" s="5" t="str">
        <f>IF(AND(LEN(AR481)=0, LEN(AS481)=0), "", IF(AND(LEN(AR481)&gt;0, LEN(AS481)=0), "BLANCO", IFERROR(VLOOKUP(AS481, BasedatosM9!A:B, 2, FALSE), "BLANCO")))</f>
        <v/>
      </c>
    </row>
    <row r="482" spans="1:47" ht="14.4">
      <c r="A482" s="21"/>
      <c r="B482" s="86"/>
      <c r="C482" s="98"/>
      <c r="D482" s="21"/>
      <c r="E482" s="86"/>
      <c r="F482" s="99"/>
      <c r="G482" s="99"/>
      <c r="H482" s="21"/>
      <c r="I482" s="21"/>
      <c r="J482" s="21"/>
      <c r="K482" s="5" t="str">
        <f>IF(AND(LEN(H482)=0, LEN(I482)=0), "", IF(AND(LEN(H482)&gt;0, LEN(I482)=0), "BLANCO", IFERROR(VLOOKUP(I482, BasedatosM9!A:B, 2, FALSE), "BLANCO")))</f>
        <v/>
      </c>
      <c r="W482" s="5" t="str">
        <f>IF(AND(LEN(T482)=0, LEN(U482)=0), "", IF(AND(LEN(T482)&gt;0, LEN(U482)=0), "BLANCO", IFERROR(VLOOKUP(U482, BasedatosM9!A:B, 2, FALSE), "BLANCO")))</f>
        <v/>
      </c>
      <c r="AI482" s="5" t="str">
        <f>IF(AND(LEN(AF482)=0, LEN(AG482)=0), "", IF(AND(LEN(AF482)&gt;0, LEN(AG482)=0), "BLANCO", IFERROR(VLOOKUP(AG482, BasedatosM9!A:B, 2, FALSE), "BLANCO")))</f>
        <v/>
      </c>
      <c r="AU482" s="5" t="str">
        <f>IF(AND(LEN(AR482)=0, LEN(AS482)=0), "", IF(AND(LEN(AR482)&gt;0, LEN(AS482)=0), "BLANCO", IFERROR(VLOOKUP(AS482, BasedatosM9!A:B, 2, FALSE), "BLANCO")))</f>
        <v/>
      </c>
    </row>
    <row r="483" spans="1:47" ht="14.4">
      <c r="A483" s="21"/>
      <c r="B483" s="86"/>
      <c r="C483" s="98"/>
      <c r="D483" s="21"/>
      <c r="E483" s="86"/>
      <c r="F483" s="99"/>
      <c r="G483" s="99"/>
      <c r="H483" s="21"/>
      <c r="I483" s="86"/>
      <c r="J483" s="21"/>
      <c r="K483" s="5" t="str">
        <f>IF(AND(LEN(H483)=0, LEN(I483)=0), "", IF(AND(LEN(H483)&gt;0, LEN(I483)=0), "BLANCO", IFERROR(VLOOKUP(I483, BasedatosM9!A:B, 2, FALSE), "BLANCO")))</f>
        <v/>
      </c>
      <c r="W483" s="5" t="str">
        <f>IF(AND(LEN(T483)=0, LEN(U483)=0), "", IF(AND(LEN(T483)&gt;0, LEN(U483)=0), "BLANCO", IFERROR(VLOOKUP(U483, BasedatosM9!A:B, 2, FALSE), "BLANCO")))</f>
        <v/>
      </c>
      <c r="AI483" s="5" t="str">
        <f>IF(AND(LEN(AF483)=0, LEN(AG483)=0), "", IF(AND(LEN(AF483)&gt;0, LEN(AG483)=0), "BLANCO", IFERROR(VLOOKUP(AG483, BasedatosM9!A:B, 2, FALSE), "BLANCO")))</f>
        <v/>
      </c>
      <c r="AU483" s="5" t="str">
        <f>IF(AND(LEN(AR483)=0, LEN(AS483)=0), "", IF(AND(LEN(AR483)&gt;0, LEN(AS483)=0), "BLANCO", IFERROR(VLOOKUP(AS483, BasedatosM9!A:B, 2, FALSE), "BLANCO")))</f>
        <v/>
      </c>
    </row>
    <row r="484" spans="1:47" ht="14.4">
      <c r="A484" s="21"/>
      <c r="B484" s="86"/>
      <c r="C484" s="98"/>
      <c r="D484" s="21"/>
      <c r="E484" s="86"/>
      <c r="F484" s="99"/>
      <c r="G484" s="99"/>
      <c r="H484" s="21"/>
      <c r="I484" s="86"/>
      <c r="J484" s="21"/>
      <c r="K484" s="5" t="str">
        <f>IF(AND(LEN(H484)=0, LEN(I484)=0), "", IF(AND(LEN(H484)&gt;0, LEN(I484)=0), "BLANCO", IFERROR(VLOOKUP(I484, BasedatosM9!A:B, 2, FALSE), "BLANCO")))</f>
        <v/>
      </c>
      <c r="W484" s="5" t="str">
        <f>IF(AND(LEN(T484)=0, LEN(U484)=0), "", IF(AND(LEN(T484)&gt;0, LEN(U484)=0), "BLANCO", IFERROR(VLOOKUP(U484, BasedatosM9!A:B, 2, FALSE), "BLANCO")))</f>
        <v/>
      </c>
      <c r="AI484" s="5" t="str">
        <f>IF(AND(LEN(AF484)=0, LEN(AG484)=0), "", IF(AND(LEN(AF484)&gt;0, LEN(AG484)=0), "BLANCO", IFERROR(VLOOKUP(AG484, BasedatosM9!A:B, 2, FALSE), "BLANCO")))</f>
        <v/>
      </c>
      <c r="AU484" s="5" t="str">
        <f>IF(AND(LEN(AR484)=0, LEN(AS484)=0), "", IF(AND(LEN(AR484)&gt;0, LEN(AS484)=0), "BLANCO", IFERROR(VLOOKUP(AS484, BasedatosM9!A:B, 2, FALSE), "BLANCO")))</f>
        <v/>
      </c>
    </row>
    <row r="485" spans="1:47" ht="14.4">
      <c r="A485" s="21"/>
      <c r="B485" s="86"/>
      <c r="C485" s="98"/>
      <c r="D485" s="21"/>
      <c r="E485" s="86"/>
      <c r="F485" s="99"/>
      <c r="G485" s="99"/>
      <c r="H485" s="21"/>
      <c r="I485" s="86"/>
      <c r="J485" s="21"/>
      <c r="K485" s="5" t="str">
        <f>IF(AND(LEN(H485)=0, LEN(I485)=0), "", IF(AND(LEN(H485)&gt;0, LEN(I485)=0), "BLANCO", IFERROR(VLOOKUP(I485, BasedatosM9!A:B, 2, FALSE), "BLANCO")))</f>
        <v/>
      </c>
      <c r="W485" s="5" t="str">
        <f>IF(AND(LEN(T485)=0, LEN(U485)=0), "", IF(AND(LEN(T485)&gt;0, LEN(U485)=0), "BLANCO", IFERROR(VLOOKUP(U485, BasedatosM9!A:B, 2, FALSE), "BLANCO")))</f>
        <v/>
      </c>
      <c r="AI485" s="5" t="str">
        <f>IF(AND(LEN(AF485)=0, LEN(AG485)=0), "", IF(AND(LEN(AF485)&gt;0, LEN(AG485)=0), "BLANCO", IFERROR(VLOOKUP(AG485, BasedatosM9!A:B, 2, FALSE), "BLANCO")))</f>
        <v/>
      </c>
      <c r="AU485" s="5" t="str">
        <f>IF(AND(LEN(AR485)=0, LEN(AS485)=0), "", IF(AND(LEN(AR485)&gt;0, LEN(AS485)=0), "BLANCO", IFERROR(VLOOKUP(AS485, BasedatosM9!A:B, 2, FALSE), "BLANCO")))</f>
        <v/>
      </c>
    </row>
    <row r="486" spans="1:47" ht="14.4">
      <c r="A486" s="21"/>
      <c r="B486" s="86"/>
      <c r="C486" s="98"/>
      <c r="D486" s="21"/>
      <c r="E486" s="86"/>
      <c r="F486" s="99"/>
      <c r="G486" s="99"/>
      <c r="H486" s="21"/>
      <c r="I486" s="21"/>
      <c r="J486" s="21"/>
      <c r="K486" s="5" t="str">
        <f>IF(AND(LEN(H486)=0, LEN(I486)=0), "", IF(AND(LEN(H486)&gt;0, LEN(I486)=0), "BLANCO", IFERROR(VLOOKUP(I486, BasedatosM9!A:B, 2, FALSE), "BLANCO")))</f>
        <v/>
      </c>
      <c r="W486" s="5" t="str">
        <f>IF(AND(LEN(T486)=0, LEN(U486)=0), "", IF(AND(LEN(T486)&gt;0, LEN(U486)=0), "BLANCO", IFERROR(VLOOKUP(U486, BasedatosM9!A:B, 2, FALSE), "BLANCO")))</f>
        <v/>
      </c>
      <c r="AI486" s="5" t="str">
        <f>IF(AND(LEN(AF486)=0, LEN(AG486)=0), "", IF(AND(LEN(AF486)&gt;0, LEN(AG486)=0), "BLANCO", IFERROR(VLOOKUP(AG486, BasedatosM9!A:B, 2, FALSE), "BLANCO")))</f>
        <v/>
      </c>
      <c r="AU486" s="5" t="str">
        <f>IF(AND(LEN(AR486)=0, LEN(AS486)=0), "", IF(AND(LEN(AR486)&gt;0, LEN(AS486)=0), "BLANCO", IFERROR(VLOOKUP(AS486, BasedatosM9!A:B, 2, FALSE), "BLANCO")))</f>
        <v/>
      </c>
    </row>
    <row r="487" spans="1:47" ht="14.4">
      <c r="A487" s="21"/>
      <c r="B487" s="86"/>
      <c r="C487" s="98"/>
      <c r="D487" s="21"/>
      <c r="E487" s="86"/>
      <c r="F487" s="99"/>
      <c r="G487" s="99"/>
      <c r="H487" s="21"/>
      <c r="I487" s="21"/>
      <c r="J487" s="21"/>
      <c r="K487" s="5" t="str">
        <f>IF(AND(LEN(H487)=0, LEN(I487)=0), "", IF(AND(LEN(H487)&gt;0, LEN(I487)=0), "BLANCO", IFERROR(VLOOKUP(I487, BasedatosM9!A:B, 2, FALSE), "BLANCO")))</f>
        <v/>
      </c>
      <c r="W487" s="5" t="str">
        <f>IF(AND(LEN(T487)=0, LEN(U487)=0), "", IF(AND(LEN(T487)&gt;0, LEN(U487)=0), "BLANCO", IFERROR(VLOOKUP(U487, BasedatosM9!A:B, 2, FALSE), "BLANCO")))</f>
        <v/>
      </c>
      <c r="AI487" s="5" t="str">
        <f>IF(AND(LEN(AF487)=0, LEN(AG487)=0), "", IF(AND(LEN(AF487)&gt;0, LEN(AG487)=0), "BLANCO", IFERROR(VLOOKUP(AG487, BasedatosM9!A:B, 2, FALSE), "BLANCO")))</f>
        <v/>
      </c>
      <c r="AU487" s="5" t="str">
        <f>IF(AND(LEN(AR487)=0, LEN(AS487)=0), "", IF(AND(LEN(AR487)&gt;0, LEN(AS487)=0), "BLANCO", IFERROR(VLOOKUP(AS487, BasedatosM9!A:B, 2, FALSE), "BLANCO")))</f>
        <v/>
      </c>
    </row>
    <row r="488" spans="1:47" ht="14.4">
      <c r="A488" s="21"/>
      <c r="B488" s="86"/>
      <c r="C488" s="98"/>
      <c r="D488" s="21"/>
      <c r="E488" s="86"/>
      <c r="F488" s="99"/>
      <c r="G488" s="99"/>
      <c r="H488" s="21"/>
      <c r="I488" s="86"/>
      <c r="J488" s="21"/>
      <c r="K488" s="5" t="str">
        <f>IF(AND(LEN(H488)=0, LEN(I488)=0), "", IF(AND(LEN(H488)&gt;0, LEN(I488)=0), "BLANCO", IFERROR(VLOOKUP(I488, BasedatosM9!A:B, 2, FALSE), "BLANCO")))</f>
        <v/>
      </c>
      <c r="W488" s="5" t="str">
        <f>IF(AND(LEN(T488)=0, LEN(U488)=0), "", IF(AND(LEN(T488)&gt;0, LEN(U488)=0), "BLANCO", IFERROR(VLOOKUP(U488, BasedatosM9!A:B, 2, FALSE), "BLANCO")))</f>
        <v/>
      </c>
      <c r="AI488" s="5" t="str">
        <f>IF(AND(LEN(AF488)=0, LEN(AG488)=0), "", IF(AND(LEN(AF488)&gt;0, LEN(AG488)=0), "BLANCO", IFERROR(VLOOKUP(AG488, BasedatosM9!A:B, 2, FALSE), "BLANCO")))</f>
        <v/>
      </c>
      <c r="AU488" s="5" t="str">
        <f>IF(AND(LEN(AR488)=0, LEN(AS488)=0), "", IF(AND(LEN(AR488)&gt;0, LEN(AS488)=0), "BLANCO", IFERROR(VLOOKUP(AS488, BasedatosM9!A:B, 2, FALSE), "BLANCO")))</f>
        <v/>
      </c>
    </row>
    <row r="489" spans="1:47" ht="14.4">
      <c r="A489" s="21"/>
      <c r="B489" s="86"/>
      <c r="C489" s="98"/>
      <c r="D489" s="21"/>
      <c r="E489" s="86"/>
      <c r="F489" s="99"/>
      <c r="G489" s="99"/>
      <c r="H489" s="21"/>
      <c r="I489" s="86"/>
      <c r="J489" s="21"/>
      <c r="K489" s="5" t="str">
        <f>IF(AND(LEN(H489)=0, LEN(I489)=0), "", IF(AND(LEN(H489)&gt;0, LEN(I489)=0), "BLANCO", IFERROR(VLOOKUP(I489, BasedatosM9!A:B, 2, FALSE), "BLANCO")))</f>
        <v/>
      </c>
      <c r="W489" s="5" t="str">
        <f>IF(AND(LEN(T489)=0, LEN(U489)=0), "", IF(AND(LEN(T489)&gt;0, LEN(U489)=0), "BLANCO", IFERROR(VLOOKUP(U489, BasedatosM9!A:B, 2, FALSE), "BLANCO")))</f>
        <v/>
      </c>
      <c r="AI489" s="5" t="str">
        <f>IF(AND(LEN(AF489)=0, LEN(AG489)=0), "", IF(AND(LEN(AF489)&gt;0, LEN(AG489)=0), "BLANCO", IFERROR(VLOOKUP(AG489, BasedatosM9!A:B, 2, FALSE), "BLANCO")))</f>
        <v/>
      </c>
      <c r="AU489" s="5" t="str">
        <f>IF(AND(LEN(AR489)=0, LEN(AS489)=0), "", IF(AND(LEN(AR489)&gt;0, LEN(AS489)=0), "BLANCO", IFERROR(VLOOKUP(AS489, BasedatosM9!A:B, 2, FALSE), "BLANCO")))</f>
        <v/>
      </c>
    </row>
    <row r="490" spans="1:47" ht="14.4">
      <c r="A490" s="21"/>
      <c r="B490" s="86"/>
      <c r="C490" s="98"/>
      <c r="D490" s="21"/>
      <c r="E490" s="86"/>
      <c r="F490" s="99"/>
      <c r="G490" s="99"/>
      <c r="H490" s="21"/>
      <c r="I490" s="86"/>
      <c r="J490" s="21"/>
      <c r="K490" s="5" t="str">
        <f>IF(AND(LEN(H490)=0, LEN(I490)=0), "", IF(AND(LEN(H490)&gt;0, LEN(I490)=0), "BLANCO", IFERROR(VLOOKUP(I490, BasedatosM9!A:B, 2, FALSE), "BLANCO")))</f>
        <v/>
      </c>
      <c r="W490" s="5" t="str">
        <f>IF(AND(LEN(T490)=0, LEN(U490)=0), "", IF(AND(LEN(T490)&gt;0, LEN(U490)=0), "BLANCO", IFERROR(VLOOKUP(U490, BasedatosM9!A:B, 2, FALSE), "BLANCO")))</f>
        <v/>
      </c>
      <c r="AI490" s="5" t="str">
        <f>IF(AND(LEN(AF490)=0, LEN(AG490)=0), "", IF(AND(LEN(AF490)&gt;0, LEN(AG490)=0), "BLANCO", IFERROR(VLOOKUP(AG490, BasedatosM9!A:B, 2, FALSE), "BLANCO")))</f>
        <v/>
      </c>
      <c r="AU490" s="5" t="str">
        <f>IF(AND(LEN(AR490)=0, LEN(AS490)=0), "", IF(AND(LEN(AR490)&gt;0, LEN(AS490)=0), "BLANCO", IFERROR(VLOOKUP(AS490, BasedatosM9!A:B, 2, FALSE), "BLANCO")))</f>
        <v/>
      </c>
    </row>
    <row r="491" spans="1:47" ht="14.4">
      <c r="A491" s="21"/>
      <c r="B491" s="86"/>
      <c r="C491" s="98"/>
      <c r="D491" s="21"/>
      <c r="E491" s="86"/>
      <c r="F491" s="99"/>
      <c r="G491" s="99"/>
      <c r="H491" s="21"/>
      <c r="I491" s="86"/>
      <c r="J491" s="21"/>
      <c r="K491" s="5" t="str">
        <f>IF(AND(LEN(H491)=0, LEN(I491)=0), "", IF(AND(LEN(H491)&gt;0, LEN(I491)=0), "BLANCO", IFERROR(VLOOKUP(I491, BasedatosM9!A:B, 2, FALSE), "BLANCO")))</f>
        <v/>
      </c>
      <c r="W491" s="5" t="str">
        <f>IF(AND(LEN(T491)=0, LEN(U491)=0), "", IF(AND(LEN(T491)&gt;0, LEN(U491)=0), "BLANCO", IFERROR(VLOOKUP(U491, BasedatosM9!A:B, 2, FALSE), "BLANCO")))</f>
        <v/>
      </c>
      <c r="AI491" s="5" t="str">
        <f>IF(AND(LEN(AF491)=0, LEN(AG491)=0), "", IF(AND(LEN(AF491)&gt;0, LEN(AG491)=0), "BLANCO", IFERROR(VLOOKUP(AG491, BasedatosM9!A:B, 2, FALSE), "BLANCO")))</f>
        <v/>
      </c>
      <c r="AU491" s="5" t="str">
        <f>IF(AND(LEN(AR491)=0, LEN(AS491)=0), "", IF(AND(LEN(AR491)&gt;0, LEN(AS491)=0), "BLANCO", IFERROR(VLOOKUP(AS491, BasedatosM9!A:B, 2, FALSE), "BLANCO")))</f>
        <v/>
      </c>
    </row>
    <row r="492" spans="1:47" ht="14.4">
      <c r="A492" s="21"/>
      <c r="B492" s="86"/>
      <c r="C492" s="98"/>
      <c r="D492" s="21"/>
      <c r="E492" s="86"/>
      <c r="F492" s="99"/>
      <c r="G492" s="99"/>
      <c r="H492" s="21"/>
      <c r="I492" s="86"/>
      <c r="J492" s="21"/>
      <c r="K492" s="5" t="str">
        <f>IF(AND(LEN(H492)=0, LEN(I492)=0), "", IF(AND(LEN(H492)&gt;0, LEN(I492)=0), "BLANCO", IFERROR(VLOOKUP(I492, BasedatosM9!A:B, 2, FALSE), "BLANCO")))</f>
        <v/>
      </c>
      <c r="W492" s="5" t="str">
        <f>IF(AND(LEN(T492)=0, LEN(U492)=0), "", IF(AND(LEN(T492)&gt;0, LEN(U492)=0), "BLANCO", IFERROR(VLOOKUP(U492, BasedatosM9!A:B, 2, FALSE), "BLANCO")))</f>
        <v/>
      </c>
      <c r="AI492" s="5" t="str">
        <f>IF(AND(LEN(AF492)=0, LEN(AG492)=0), "", IF(AND(LEN(AF492)&gt;0, LEN(AG492)=0), "BLANCO", IFERROR(VLOOKUP(AG492, BasedatosM9!A:B, 2, FALSE), "BLANCO")))</f>
        <v/>
      </c>
      <c r="AU492" s="5" t="str">
        <f>IF(AND(LEN(AR492)=0, LEN(AS492)=0), "", IF(AND(LEN(AR492)&gt;0, LEN(AS492)=0), "BLANCO", IFERROR(VLOOKUP(AS492, BasedatosM9!A:B, 2, FALSE), "BLANCO")))</f>
        <v/>
      </c>
    </row>
    <row r="493" spans="1:47" ht="14.4">
      <c r="A493" s="21"/>
      <c r="B493" s="86"/>
      <c r="C493" s="98"/>
      <c r="D493" s="21"/>
      <c r="E493" s="86"/>
      <c r="F493" s="99"/>
      <c r="G493" s="99"/>
      <c r="H493" s="21"/>
      <c r="I493" s="21"/>
      <c r="J493" s="21"/>
      <c r="K493" s="5" t="str">
        <f>IF(AND(LEN(H493)=0, LEN(I493)=0), "", IF(AND(LEN(H493)&gt;0, LEN(I493)=0), "BLANCO", IFERROR(VLOOKUP(I493, BasedatosM9!A:B, 2, FALSE), "BLANCO")))</f>
        <v/>
      </c>
      <c r="W493" s="5" t="str">
        <f>IF(AND(LEN(T493)=0, LEN(U493)=0), "", IF(AND(LEN(T493)&gt;0, LEN(U493)=0), "BLANCO", IFERROR(VLOOKUP(U493, BasedatosM9!A:B, 2, FALSE), "BLANCO")))</f>
        <v/>
      </c>
      <c r="AI493" s="5" t="str">
        <f>IF(AND(LEN(AF493)=0, LEN(AG493)=0), "", IF(AND(LEN(AF493)&gt;0, LEN(AG493)=0), "BLANCO", IFERROR(VLOOKUP(AG493, BasedatosM9!A:B, 2, FALSE), "BLANCO")))</f>
        <v/>
      </c>
      <c r="AU493" s="5" t="str">
        <f>IF(AND(LEN(AR493)=0, LEN(AS493)=0), "", IF(AND(LEN(AR493)&gt;0, LEN(AS493)=0), "BLANCO", IFERROR(VLOOKUP(AS493, BasedatosM9!A:B, 2, FALSE), "BLANCO")))</f>
        <v/>
      </c>
    </row>
    <row r="494" spans="1:47" ht="14.4">
      <c r="A494" s="21"/>
      <c r="B494" s="86"/>
      <c r="C494" s="98"/>
      <c r="D494" s="21"/>
      <c r="E494" s="86"/>
      <c r="F494" s="99"/>
      <c r="G494" s="99"/>
      <c r="H494" s="21"/>
      <c r="I494" s="21"/>
      <c r="J494" s="21"/>
      <c r="K494" s="5" t="str">
        <f>IF(AND(LEN(H494)=0, LEN(I494)=0), "", IF(AND(LEN(H494)&gt;0, LEN(I494)=0), "BLANCO", IFERROR(VLOOKUP(I494, BasedatosM9!A:B, 2, FALSE), "BLANCO")))</f>
        <v/>
      </c>
      <c r="W494" s="5" t="str">
        <f>IF(AND(LEN(T494)=0, LEN(U494)=0), "", IF(AND(LEN(T494)&gt;0, LEN(U494)=0), "BLANCO", IFERROR(VLOOKUP(U494, BasedatosM9!A:B, 2, FALSE), "BLANCO")))</f>
        <v/>
      </c>
      <c r="AI494" s="5" t="str">
        <f>IF(AND(LEN(AF494)=0, LEN(AG494)=0), "", IF(AND(LEN(AF494)&gt;0, LEN(AG494)=0), "BLANCO", IFERROR(VLOOKUP(AG494, BasedatosM9!A:B, 2, FALSE), "BLANCO")))</f>
        <v/>
      </c>
      <c r="AU494" s="5" t="str">
        <f>IF(AND(LEN(AR494)=0, LEN(AS494)=0), "", IF(AND(LEN(AR494)&gt;0, LEN(AS494)=0), "BLANCO", IFERROR(VLOOKUP(AS494, BasedatosM9!A:B, 2, FALSE), "BLANCO")))</f>
        <v/>
      </c>
    </row>
    <row r="495" spans="1:47" ht="14.4">
      <c r="A495" s="21"/>
      <c r="B495" s="86"/>
      <c r="C495" s="98"/>
      <c r="D495" s="21"/>
      <c r="E495" s="86"/>
      <c r="F495" s="99"/>
      <c r="G495" s="99"/>
      <c r="H495" s="21"/>
      <c r="I495" s="86"/>
      <c r="J495" s="21"/>
      <c r="K495" s="5" t="str">
        <f>IF(AND(LEN(H495)=0, LEN(I495)=0), "", IF(AND(LEN(H495)&gt;0, LEN(I495)=0), "BLANCO", IFERROR(VLOOKUP(I495, BasedatosM9!A:B, 2, FALSE), "BLANCO")))</f>
        <v/>
      </c>
      <c r="W495" s="5" t="str">
        <f>IF(AND(LEN(T495)=0, LEN(U495)=0), "", IF(AND(LEN(T495)&gt;0, LEN(U495)=0), "BLANCO", IFERROR(VLOOKUP(U495, BasedatosM9!A:B, 2, FALSE), "BLANCO")))</f>
        <v/>
      </c>
      <c r="AI495" s="5" t="str">
        <f>IF(AND(LEN(AF495)=0, LEN(AG495)=0), "", IF(AND(LEN(AF495)&gt;0, LEN(AG495)=0), "BLANCO", IFERROR(VLOOKUP(AG495, BasedatosM9!A:B, 2, FALSE), "BLANCO")))</f>
        <v/>
      </c>
      <c r="AU495" s="5" t="str">
        <f>IF(AND(LEN(AR495)=0, LEN(AS495)=0), "", IF(AND(LEN(AR495)&gt;0, LEN(AS495)=0), "BLANCO", IFERROR(VLOOKUP(AS495, BasedatosM9!A:B, 2, FALSE), "BLANCO")))</f>
        <v/>
      </c>
    </row>
    <row r="496" spans="1:47" ht="14.4">
      <c r="A496" s="21"/>
      <c r="B496" s="86"/>
      <c r="C496" s="98"/>
      <c r="D496" s="21"/>
      <c r="E496" s="86"/>
      <c r="F496" s="99"/>
      <c r="G496" s="99"/>
      <c r="H496" s="21"/>
      <c r="I496" s="86"/>
      <c r="J496" s="21"/>
      <c r="K496" s="5" t="str">
        <f>IF(AND(LEN(H496)=0, LEN(I496)=0), "", IF(AND(LEN(H496)&gt;0, LEN(I496)=0), "BLANCO", IFERROR(VLOOKUP(I496, BasedatosM9!A:B, 2, FALSE), "BLANCO")))</f>
        <v/>
      </c>
      <c r="W496" s="5" t="str">
        <f>IF(AND(LEN(T496)=0, LEN(U496)=0), "", IF(AND(LEN(T496)&gt;0, LEN(U496)=0), "BLANCO", IFERROR(VLOOKUP(U496, BasedatosM9!A:B, 2, FALSE), "BLANCO")))</f>
        <v/>
      </c>
      <c r="AI496" s="5" t="str">
        <f>IF(AND(LEN(AF496)=0, LEN(AG496)=0), "", IF(AND(LEN(AF496)&gt;0, LEN(AG496)=0), "BLANCO", IFERROR(VLOOKUP(AG496, BasedatosM9!A:B, 2, FALSE), "BLANCO")))</f>
        <v/>
      </c>
      <c r="AU496" s="5" t="str">
        <f>IF(AND(LEN(AR496)=0, LEN(AS496)=0), "", IF(AND(LEN(AR496)&gt;0, LEN(AS496)=0), "BLANCO", IFERROR(VLOOKUP(AS496, BasedatosM9!A:B, 2, FALSE), "BLANCO")))</f>
        <v/>
      </c>
    </row>
    <row r="497" spans="1:47" ht="14.4">
      <c r="A497" s="21"/>
      <c r="B497" s="86"/>
      <c r="C497" s="98"/>
      <c r="D497" s="21"/>
      <c r="E497" s="86"/>
      <c r="F497" s="99"/>
      <c r="G497" s="99"/>
      <c r="H497" s="21"/>
      <c r="I497" s="86"/>
      <c r="J497" s="21"/>
      <c r="K497" s="5" t="str">
        <f>IF(AND(LEN(H497)=0, LEN(I497)=0), "", IF(AND(LEN(H497)&gt;0, LEN(I497)=0), "BLANCO", IFERROR(VLOOKUP(I497, BasedatosM9!A:B, 2, FALSE), "BLANCO")))</f>
        <v/>
      </c>
      <c r="W497" s="5" t="str">
        <f>IF(AND(LEN(T497)=0, LEN(U497)=0), "", IF(AND(LEN(T497)&gt;0, LEN(U497)=0), "BLANCO", IFERROR(VLOOKUP(U497, BasedatosM9!A:B, 2, FALSE), "BLANCO")))</f>
        <v/>
      </c>
      <c r="AI497" s="5" t="str">
        <f>IF(AND(LEN(AF497)=0, LEN(AG497)=0), "", IF(AND(LEN(AF497)&gt;0, LEN(AG497)=0), "BLANCO", IFERROR(VLOOKUP(AG497, BasedatosM9!A:B, 2, FALSE), "BLANCO")))</f>
        <v/>
      </c>
      <c r="AU497" s="5" t="str">
        <f>IF(AND(LEN(AR497)=0, LEN(AS497)=0), "", IF(AND(LEN(AR497)&gt;0, LEN(AS497)=0), "BLANCO", IFERROR(VLOOKUP(AS497, BasedatosM9!A:B, 2, FALSE), "BLANCO")))</f>
        <v/>
      </c>
    </row>
    <row r="498" spans="1:47" ht="14.4">
      <c r="A498" s="21"/>
      <c r="B498" s="86"/>
      <c r="C498" s="98"/>
      <c r="D498" s="21"/>
      <c r="E498" s="86"/>
      <c r="F498" s="99"/>
      <c r="G498" s="99"/>
      <c r="H498" s="21"/>
      <c r="I498" s="21"/>
      <c r="J498" s="21"/>
      <c r="K498" s="5" t="str">
        <f>IF(AND(LEN(H498)=0, LEN(I498)=0), "", IF(AND(LEN(H498)&gt;0, LEN(I498)=0), "BLANCO", IFERROR(VLOOKUP(I498, BasedatosM9!A:B, 2, FALSE), "BLANCO")))</f>
        <v/>
      </c>
      <c r="W498" s="5" t="str">
        <f>IF(AND(LEN(T498)=0, LEN(U498)=0), "", IF(AND(LEN(T498)&gt;0, LEN(U498)=0), "BLANCO", IFERROR(VLOOKUP(U498, BasedatosM9!A:B, 2, FALSE), "BLANCO")))</f>
        <v/>
      </c>
      <c r="AI498" s="5" t="str">
        <f>IF(AND(LEN(AF498)=0, LEN(AG498)=0), "", IF(AND(LEN(AF498)&gt;0, LEN(AG498)=0), "BLANCO", IFERROR(VLOOKUP(AG498, BasedatosM9!A:B, 2, FALSE), "BLANCO")))</f>
        <v/>
      </c>
      <c r="AU498" s="5" t="str">
        <f>IF(AND(LEN(AR498)=0, LEN(AS498)=0), "", IF(AND(LEN(AR498)&gt;0, LEN(AS498)=0), "BLANCO", IFERROR(VLOOKUP(AS498, BasedatosM9!A:B, 2, FALSE), "BLANCO")))</f>
        <v/>
      </c>
    </row>
    <row r="499" spans="1:47" ht="14.4">
      <c r="A499" s="21"/>
      <c r="B499" s="86"/>
      <c r="C499" s="98"/>
      <c r="D499" s="21"/>
      <c r="E499" s="86"/>
      <c r="F499" s="99"/>
      <c r="G499" s="99"/>
      <c r="H499" s="21"/>
      <c r="I499" s="86"/>
      <c r="J499" s="21"/>
      <c r="K499" s="5" t="str">
        <f>IF(AND(LEN(H499)=0, LEN(I499)=0), "", IF(AND(LEN(H499)&gt;0, LEN(I499)=0), "BLANCO", IFERROR(VLOOKUP(I499, BasedatosM9!A:B, 2, FALSE), "BLANCO")))</f>
        <v/>
      </c>
      <c r="W499" s="5" t="str">
        <f>IF(AND(LEN(T499)=0, LEN(U499)=0), "", IF(AND(LEN(T499)&gt;0, LEN(U499)=0), "BLANCO", IFERROR(VLOOKUP(U499, BasedatosM9!A:B, 2, FALSE), "BLANCO")))</f>
        <v/>
      </c>
      <c r="AI499" s="5" t="str">
        <f>IF(AND(LEN(AF499)=0, LEN(AG499)=0), "", IF(AND(LEN(AF499)&gt;0, LEN(AG499)=0), "BLANCO", IFERROR(VLOOKUP(AG499, BasedatosM9!A:B, 2, FALSE), "BLANCO")))</f>
        <v/>
      </c>
      <c r="AU499" s="5" t="str">
        <f>IF(AND(LEN(AR499)=0, LEN(AS499)=0), "", IF(AND(LEN(AR499)&gt;0, LEN(AS499)=0), "BLANCO", IFERROR(VLOOKUP(AS499, BasedatosM9!A:B, 2, FALSE), "BLANCO")))</f>
        <v/>
      </c>
    </row>
    <row r="500" spans="1:47" ht="14.4">
      <c r="A500" s="21"/>
      <c r="B500" s="86"/>
      <c r="C500" s="98"/>
      <c r="D500" s="21"/>
      <c r="E500" s="86"/>
      <c r="F500" s="99"/>
      <c r="G500" s="99"/>
      <c r="H500" s="21"/>
      <c r="I500" s="21"/>
      <c r="J500" s="21"/>
      <c r="K500" s="5" t="str">
        <f>IF(AND(LEN(H500)=0, LEN(I500)=0), "", IF(AND(LEN(H500)&gt;0, LEN(I500)=0), "BLANCO", IFERROR(VLOOKUP(I500, BasedatosM9!A:B, 2, FALSE), "BLANCO")))</f>
        <v/>
      </c>
      <c r="W500" s="5" t="str">
        <f>IF(AND(LEN(T500)=0, LEN(U500)=0), "", IF(AND(LEN(T500)&gt;0, LEN(U500)=0), "BLANCO", IFERROR(VLOOKUP(U500, BasedatosM9!A:B, 2, FALSE), "BLANCO")))</f>
        <v/>
      </c>
      <c r="AI500" s="5" t="str">
        <f>IF(AND(LEN(AF500)=0, LEN(AG500)=0), "", IF(AND(LEN(AF500)&gt;0, LEN(AG500)=0), "BLANCO", IFERROR(VLOOKUP(AG500, BasedatosM9!A:B, 2, FALSE), "BLANCO")))</f>
        <v/>
      </c>
      <c r="AU500" s="5" t="str">
        <f>IF(AND(LEN(AR500)=0, LEN(AS500)=0), "", IF(AND(LEN(AR500)&gt;0, LEN(AS500)=0), "BLANCO", IFERROR(VLOOKUP(AS500, BasedatosM9!A:B, 2, FALSE), "BLANCO")))</f>
        <v/>
      </c>
    </row>
    <row r="501" spans="1:47" ht="14.4">
      <c r="A501" s="21"/>
      <c r="B501" s="86"/>
      <c r="C501" s="98"/>
      <c r="D501" s="21"/>
      <c r="E501" s="86"/>
      <c r="F501" s="99"/>
      <c r="G501" s="99"/>
      <c r="H501" s="21"/>
      <c r="I501" s="21"/>
      <c r="J501" s="21"/>
      <c r="K501" s="5" t="str">
        <f>IF(AND(LEN(H501)=0, LEN(I501)=0), "", IF(AND(LEN(H501)&gt;0, LEN(I501)=0), "BLANCO", IFERROR(VLOOKUP(I501, BasedatosM9!A:B, 2, FALSE), "BLANCO")))</f>
        <v/>
      </c>
      <c r="W501" s="5" t="str">
        <f>IF(AND(LEN(T501)=0, LEN(U501)=0), "", IF(AND(LEN(T501)&gt;0, LEN(U501)=0), "BLANCO", IFERROR(VLOOKUP(U501, BasedatosM9!A:B, 2, FALSE), "BLANCO")))</f>
        <v/>
      </c>
      <c r="AI501" s="5" t="str">
        <f>IF(AND(LEN(AF501)=0, LEN(AG501)=0), "", IF(AND(LEN(AF501)&gt;0, LEN(AG501)=0), "BLANCO", IFERROR(VLOOKUP(AG501, BasedatosM9!A:B, 2, FALSE), "BLANCO")))</f>
        <v/>
      </c>
      <c r="AU501" s="5" t="str">
        <f>IF(AND(LEN(AR501)=0, LEN(AS501)=0), "", IF(AND(LEN(AR501)&gt;0, LEN(AS501)=0), "BLANCO", IFERROR(VLOOKUP(AS501, BasedatosM9!A:B, 2, FALSE), "BLANCO")))</f>
        <v/>
      </c>
    </row>
    <row r="502" spans="1:47" ht="14.4">
      <c r="A502" s="21"/>
      <c r="B502" s="86"/>
      <c r="C502" s="98"/>
      <c r="D502" s="21"/>
      <c r="E502" s="86"/>
      <c r="F502" s="99"/>
      <c r="G502" s="99"/>
      <c r="H502" s="21"/>
      <c r="I502" s="21"/>
      <c r="J502" s="21"/>
      <c r="K502" s="5" t="str">
        <f>IF(AND(LEN(H502)=0, LEN(I502)=0), "", IF(AND(LEN(H502)&gt;0, LEN(I502)=0), "BLANCO", IFERROR(VLOOKUP(I502, BasedatosM9!A:B, 2, FALSE), "BLANCO")))</f>
        <v/>
      </c>
      <c r="W502" s="5" t="str">
        <f>IF(AND(LEN(T502)=0, LEN(U502)=0), "", IF(AND(LEN(T502)&gt;0, LEN(U502)=0), "BLANCO", IFERROR(VLOOKUP(U502, BasedatosM9!A:B, 2, FALSE), "BLANCO")))</f>
        <v/>
      </c>
      <c r="AI502" s="5" t="str">
        <f>IF(AND(LEN(AF502)=0, LEN(AG502)=0), "", IF(AND(LEN(AF502)&gt;0, LEN(AG502)=0), "BLANCO", IFERROR(VLOOKUP(AG502, BasedatosM9!A:B, 2, FALSE), "BLANCO")))</f>
        <v/>
      </c>
      <c r="AU502" s="5" t="str">
        <f>IF(AND(LEN(AR502)=0, LEN(AS502)=0), "", IF(AND(LEN(AR502)&gt;0, LEN(AS502)=0), "BLANCO", IFERROR(VLOOKUP(AS502, BasedatosM9!A:B, 2, FALSE), "BLANCO")))</f>
        <v/>
      </c>
    </row>
    <row r="503" spans="1:47" ht="14.4">
      <c r="A503" s="21"/>
      <c r="B503" s="86"/>
      <c r="C503" s="98"/>
      <c r="D503" s="21"/>
      <c r="E503" s="86"/>
      <c r="F503" s="99"/>
      <c r="G503" s="99"/>
      <c r="H503" s="21"/>
      <c r="I503" s="21"/>
      <c r="J503" s="21"/>
      <c r="K503" s="5" t="str">
        <f>IF(AND(LEN(H503)=0, LEN(I503)=0), "", IF(AND(LEN(H503)&gt;0, LEN(I503)=0), "BLANCO", IFERROR(VLOOKUP(I503, BasedatosM9!A:B, 2, FALSE), "BLANCO")))</f>
        <v/>
      </c>
      <c r="W503" s="5" t="str">
        <f>IF(AND(LEN(T503)=0, LEN(U503)=0), "", IF(AND(LEN(T503)&gt;0, LEN(U503)=0), "BLANCO", IFERROR(VLOOKUP(U503, BasedatosM9!A:B, 2, FALSE), "BLANCO")))</f>
        <v/>
      </c>
      <c r="AI503" s="5" t="str">
        <f>IF(AND(LEN(AF503)=0, LEN(AG503)=0), "", IF(AND(LEN(AF503)&gt;0, LEN(AG503)=0), "BLANCO", IFERROR(VLOOKUP(AG503, BasedatosM9!A:B, 2, FALSE), "BLANCO")))</f>
        <v/>
      </c>
      <c r="AU503" s="5" t="str">
        <f>IF(AND(LEN(AR503)=0, LEN(AS503)=0), "", IF(AND(LEN(AR503)&gt;0, LEN(AS503)=0), "BLANCO", IFERROR(VLOOKUP(AS503, BasedatosM9!A:B, 2, FALSE), "BLANCO")))</f>
        <v/>
      </c>
    </row>
    <row r="504" spans="1:47" ht="14.4">
      <c r="A504" s="21"/>
      <c r="B504" s="86"/>
      <c r="C504" s="98"/>
      <c r="D504" s="21"/>
      <c r="E504" s="86"/>
      <c r="F504" s="99"/>
      <c r="G504" s="99"/>
      <c r="H504" s="21"/>
      <c r="I504" s="86"/>
      <c r="J504" s="21"/>
      <c r="K504" s="5" t="str">
        <f>IF(AND(LEN(H504)=0, LEN(I504)=0), "", IF(AND(LEN(H504)&gt;0, LEN(I504)=0), "BLANCO", IFERROR(VLOOKUP(I504, BasedatosM9!A:B, 2, FALSE), "BLANCO")))</f>
        <v/>
      </c>
      <c r="W504" s="5" t="str">
        <f>IF(AND(LEN(T504)=0, LEN(U504)=0), "", IF(AND(LEN(T504)&gt;0, LEN(U504)=0), "BLANCO", IFERROR(VLOOKUP(U504, BasedatosM9!A:B, 2, FALSE), "BLANCO")))</f>
        <v/>
      </c>
      <c r="AI504" s="5" t="str">
        <f>IF(AND(LEN(AF504)=0, LEN(AG504)=0), "", IF(AND(LEN(AF504)&gt;0, LEN(AG504)=0), "BLANCO", IFERROR(VLOOKUP(AG504, BasedatosM9!A:B, 2, FALSE), "BLANCO")))</f>
        <v/>
      </c>
      <c r="AU504" s="5" t="str">
        <f>IF(AND(LEN(AR504)=0, LEN(AS504)=0), "", IF(AND(LEN(AR504)&gt;0, LEN(AS504)=0), "BLANCO", IFERROR(VLOOKUP(AS504, BasedatosM9!A:B, 2, FALSE), "BLANCO")))</f>
        <v/>
      </c>
    </row>
    <row r="505" spans="1:47" ht="14.4">
      <c r="A505" s="21"/>
      <c r="B505" s="86"/>
      <c r="C505" s="98"/>
      <c r="D505" s="21"/>
      <c r="E505" s="86"/>
      <c r="F505" s="99"/>
      <c r="G505" s="99"/>
      <c r="H505" s="21"/>
      <c r="I505" s="86"/>
      <c r="J505" s="21"/>
      <c r="K505" s="5" t="str">
        <f>IF(AND(LEN(H505)=0, LEN(I505)=0), "", IF(AND(LEN(H505)&gt;0, LEN(I505)=0), "BLANCO", IFERROR(VLOOKUP(I505, BasedatosM9!A:B, 2, FALSE), "BLANCO")))</f>
        <v/>
      </c>
      <c r="W505" s="5" t="str">
        <f>IF(AND(LEN(T505)=0, LEN(U505)=0), "", IF(AND(LEN(T505)&gt;0, LEN(U505)=0), "BLANCO", IFERROR(VLOOKUP(U505, BasedatosM9!A:B, 2, FALSE), "BLANCO")))</f>
        <v/>
      </c>
      <c r="AI505" s="5" t="str">
        <f>IF(AND(LEN(AF505)=0, LEN(AG505)=0), "", IF(AND(LEN(AF505)&gt;0, LEN(AG505)=0), "BLANCO", IFERROR(VLOOKUP(AG505, BasedatosM9!A:B, 2, FALSE), "BLANCO")))</f>
        <v/>
      </c>
      <c r="AU505" s="5" t="str">
        <f>IF(AND(LEN(AR505)=0, LEN(AS505)=0), "", IF(AND(LEN(AR505)&gt;0, LEN(AS505)=0), "BLANCO", IFERROR(VLOOKUP(AS505, BasedatosM9!A:B, 2, FALSE), "BLANCO")))</f>
        <v/>
      </c>
    </row>
    <row r="506" spans="1:47" ht="14.4">
      <c r="A506" s="21"/>
      <c r="B506" s="86"/>
      <c r="C506" s="98"/>
      <c r="D506" s="21"/>
      <c r="E506" s="86"/>
      <c r="F506" s="99"/>
      <c r="G506" s="99"/>
      <c r="H506" s="21"/>
      <c r="I506" s="86"/>
      <c r="J506" s="21"/>
      <c r="K506" s="5" t="str">
        <f>IF(AND(LEN(H506)=0, LEN(I506)=0), "", IF(AND(LEN(H506)&gt;0, LEN(I506)=0), "BLANCO", IFERROR(VLOOKUP(I506, BasedatosM9!A:B, 2, FALSE), "BLANCO")))</f>
        <v/>
      </c>
      <c r="W506" s="5" t="str">
        <f>IF(AND(LEN(T506)=0, LEN(U506)=0), "", IF(AND(LEN(T506)&gt;0, LEN(U506)=0), "BLANCO", IFERROR(VLOOKUP(U506, BasedatosM9!A:B, 2, FALSE), "BLANCO")))</f>
        <v/>
      </c>
      <c r="AI506" s="5" t="str">
        <f>IF(AND(LEN(AF506)=0, LEN(AG506)=0), "", IF(AND(LEN(AF506)&gt;0, LEN(AG506)=0), "BLANCO", IFERROR(VLOOKUP(AG506, BasedatosM9!A:B, 2, FALSE), "BLANCO")))</f>
        <v/>
      </c>
      <c r="AU506" s="5" t="str">
        <f>IF(AND(LEN(AR506)=0, LEN(AS506)=0), "", IF(AND(LEN(AR506)&gt;0, LEN(AS506)=0), "BLANCO", IFERROR(VLOOKUP(AS506, BasedatosM9!A:B, 2, FALSE), "BLANCO")))</f>
        <v/>
      </c>
    </row>
    <row r="507" spans="1:47" ht="14.4">
      <c r="A507" s="21"/>
      <c r="B507" s="86"/>
      <c r="C507" s="98"/>
      <c r="D507" s="21"/>
      <c r="E507" s="86"/>
      <c r="F507" s="99"/>
      <c r="G507" s="99"/>
      <c r="H507" s="21"/>
      <c r="I507" s="21"/>
      <c r="J507" s="21"/>
      <c r="K507" s="5" t="str">
        <f>IF(AND(LEN(H507)=0, LEN(I507)=0), "", IF(AND(LEN(H507)&gt;0, LEN(I507)=0), "BLANCO", IFERROR(VLOOKUP(I507, BasedatosM9!A:B, 2, FALSE), "BLANCO")))</f>
        <v/>
      </c>
      <c r="W507" s="5" t="str">
        <f>IF(AND(LEN(T507)=0, LEN(U507)=0), "", IF(AND(LEN(T507)&gt;0, LEN(U507)=0), "BLANCO", IFERROR(VLOOKUP(U507, BasedatosM9!A:B, 2, FALSE), "BLANCO")))</f>
        <v/>
      </c>
      <c r="AI507" s="5" t="str">
        <f>IF(AND(LEN(AF507)=0, LEN(AG507)=0), "", IF(AND(LEN(AF507)&gt;0, LEN(AG507)=0), "BLANCO", IFERROR(VLOOKUP(AG507, BasedatosM9!A:B, 2, FALSE), "BLANCO")))</f>
        <v/>
      </c>
      <c r="AU507" s="5" t="str">
        <f>IF(AND(LEN(AR507)=0, LEN(AS507)=0), "", IF(AND(LEN(AR507)&gt;0, LEN(AS507)=0), "BLANCO", IFERROR(VLOOKUP(AS507, BasedatosM9!A:B, 2, FALSE), "BLANCO")))</f>
        <v/>
      </c>
    </row>
    <row r="508" spans="1:47" ht="14.4">
      <c r="A508" s="21"/>
      <c r="B508" s="86"/>
      <c r="C508" s="98"/>
      <c r="D508" s="21"/>
      <c r="E508" s="86"/>
      <c r="F508" s="99"/>
      <c r="G508" s="99"/>
      <c r="H508" s="21"/>
      <c r="I508" s="86"/>
      <c r="J508" s="21"/>
      <c r="K508" s="5" t="str">
        <f>IF(AND(LEN(H508)=0, LEN(I508)=0), "", IF(AND(LEN(H508)&gt;0, LEN(I508)=0), "BLANCO", IFERROR(VLOOKUP(I508, BasedatosM9!A:B, 2, FALSE), "BLANCO")))</f>
        <v/>
      </c>
      <c r="W508" s="5" t="str">
        <f>IF(AND(LEN(T508)=0, LEN(U508)=0), "", IF(AND(LEN(T508)&gt;0, LEN(U508)=0), "BLANCO", IFERROR(VLOOKUP(U508, BasedatosM9!A:B, 2, FALSE), "BLANCO")))</f>
        <v/>
      </c>
      <c r="AI508" s="5" t="str">
        <f>IF(AND(LEN(AF508)=0, LEN(AG508)=0), "", IF(AND(LEN(AF508)&gt;0, LEN(AG508)=0), "BLANCO", IFERROR(VLOOKUP(AG508, BasedatosM9!A:B, 2, FALSE), "BLANCO")))</f>
        <v/>
      </c>
      <c r="AU508" s="5" t="str">
        <f>IF(AND(LEN(AR508)=0, LEN(AS508)=0), "", IF(AND(LEN(AR508)&gt;0, LEN(AS508)=0), "BLANCO", IFERROR(VLOOKUP(AS508, BasedatosM9!A:B, 2, FALSE), "BLANCO")))</f>
        <v/>
      </c>
    </row>
    <row r="509" spans="1:47" ht="14.4">
      <c r="A509" s="21"/>
      <c r="B509" s="86"/>
      <c r="C509" s="98"/>
      <c r="D509" s="21"/>
      <c r="E509" s="86"/>
      <c r="F509" s="99"/>
      <c r="G509" s="99"/>
      <c r="H509" s="21"/>
      <c r="I509" s="86"/>
      <c r="J509" s="21"/>
      <c r="K509" s="5" t="str">
        <f>IF(AND(LEN(H509)=0, LEN(I509)=0), "", IF(AND(LEN(H509)&gt;0, LEN(I509)=0), "BLANCO", IFERROR(VLOOKUP(I509, BasedatosM9!A:B, 2, FALSE), "BLANCO")))</f>
        <v/>
      </c>
      <c r="W509" s="5" t="str">
        <f>IF(AND(LEN(T509)=0, LEN(U509)=0), "", IF(AND(LEN(T509)&gt;0, LEN(U509)=0), "BLANCO", IFERROR(VLOOKUP(U509, BasedatosM9!A:B, 2, FALSE), "BLANCO")))</f>
        <v/>
      </c>
      <c r="AI509" s="5" t="str">
        <f>IF(AND(LEN(AF509)=0, LEN(AG509)=0), "", IF(AND(LEN(AF509)&gt;0, LEN(AG509)=0), "BLANCO", IFERROR(VLOOKUP(AG509, BasedatosM9!A:B, 2, FALSE), "BLANCO")))</f>
        <v/>
      </c>
      <c r="AU509" s="5" t="str">
        <f>IF(AND(LEN(AR509)=0, LEN(AS509)=0), "", IF(AND(LEN(AR509)&gt;0, LEN(AS509)=0), "BLANCO", IFERROR(VLOOKUP(AS509, BasedatosM9!A:B, 2, FALSE), "BLANCO")))</f>
        <v/>
      </c>
    </row>
    <row r="510" spans="1:47" ht="14.4">
      <c r="A510" s="21"/>
      <c r="B510" s="86"/>
      <c r="C510" s="98"/>
      <c r="D510" s="21"/>
      <c r="E510" s="86"/>
      <c r="F510" s="99"/>
      <c r="G510" s="99"/>
      <c r="H510" s="21"/>
      <c r="I510" s="86"/>
      <c r="J510" s="21"/>
      <c r="K510" s="5" t="str">
        <f>IF(AND(LEN(H510)=0, LEN(I510)=0), "", IF(AND(LEN(H510)&gt;0, LEN(I510)=0), "BLANCO", IFERROR(VLOOKUP(I510, BasedatosM9!A:B, 2, FALSE), "BLANCO")))</f>
        <v/>
      </c>
      <c r="W510" s="5" t="str">
        <f>IF(AND(LEN(T510)=0, LEN(U510)=0), "", IF(AND(LEN(T510)&gt;0, LEN(U510)=0), "BLANCO", IFERROR(VLOOKUP(U510, BasedatosM9!A:B, 2, FALSE), "BLANCO")))</f>
        <v/>
      </c>
      <c r="AI510" s="5" t="str">
        <f>IF(AND(LEN(AF510)=0, LEN(AG510)=0), "", IF(AND(LEN(AF510)&gt;0, LEN(AG510)=0), "BLANCO", IFERROR(VLOOKUP(AG510, BasedatosM9!A:B, 2, FALSE), "BLANCO")))</f>
        <v/>
      </c>
      <c r="AU510" s="5" t="str">
        <f>IF(AND(LEN(AR510)=0, LEN(AS510)=0), "", IF(AND(LEN(AR510)&gt;0, LEN(AS510)=0), "BLANCO", IFERROR(VLOOKUP(AS510, BasedatosM9!A:B, 2, FALSE), "BLANCO")))</f>
        <v/>
      </c>
    </row>
    <row r="511" spans="1:47" ht="14.4">
      <c r="A511" s="21"/>
      <c r="B511" s="86"/>
      <c r="C511" s="98"/>
      <c r="D511" s="21"/>
      <c r="E511" s="86"/>
      <c r="F511" s="99"/>
      <c r="G511" s="99"/>
      <c r="H511" s="21"/>
      <c r="I511" s="86"/>
      <c r="J511" s="21"/>
      <c r="K511" s="5" t="str">
        <f>IF(AND(LEN(H511)=0, LEN(I511)=0), "", IF(AND(LEN(H511)&gt;0, LEN(I511)=0), "BLANCO", IFERROR(VLOOKUP(I511, BasedatosM9!A:B, 2, FALSE), "BLANCO")))</f>
        <v/>
      </c>
      <c r="W511" s="5" t="str">
        <f>IF(AND(LEN(T511)=0, LEN(U511)=0), "", IF(AND(LEN(T511)&gt;0, LEN(U511)=0), "BLANCO", IFERROR(VLOOKUP(U511, BasedatosM9!A:B, 2, FALSE), "BLANCO")))</f>
        <v/>
      </c>
      <c r="AI511" s="5" t="str">
        <f>IF(AND(LEN(AF511)=0, LEN(AG511)=0), "", IF(AND(LEN(AF511)&gt;0, LEN(AG511)=0), "BLANCO", IFERROR(VLOOKUP(AG511, BasedatosM9!A:B, 2, FALSE), "BLANCO")))</f>
        <v/>
      </c>
      <c r="AU511" s="5" t="str">
        <f>IF(AND(LEN(AR511)=0, LEN(AS511)=0), "", IF(AND(LEN(AR511)&gt;0, LEN(AS511)=0), "BLANCO", IFERROR(VLOOKUP(AS511, BasedatosM9!A:B, 2, FALSE), "BLANCO")))</f>
        <v/>
      </c>
    </row>
    <row r="512" spans="1:47" ht="14.4">
      <c r="A512" s="21"/>
      <c r="B512" s="86"/>
      <c r="C512" s="98"/>
      <c r="D512" s="21"/>
      <c r="E512" s="86"/>
      <c r="F512" s="99"/>
      <c r="G512" s="99"/>
      <c r="H512" s="21"/>
      <c r="I512" s="86"/>
      <c r="J512" s="21"/>
      <c r="K512" s="5" t="str">
        <f>IF(AND(LEN(H512)=0, LEN(I512)=0), "", IF(AND(LEN(H512)&gt;0, LEN(I512)=0), "BLANCO", IFERROR(VLOOKUP(I512, BasedatosM9!A:B, 2, FALSE), "BLANCO")))</f>
        <v/>
      </c>
      <c r="W512" s="5" t="str">
        <f>IF(AND(LEN(T512)=0, LEN(U512)=0), "", IF(AND(LEN(T512)&gt;0, LEN(U512)=0), "BLANCO", IFERROR(VLOOKUP(U512, BasedatosM9!A:B, 2, FALSE), "BLANCO")))</f>
        <v/>
      </c>
      <c r="AI512" s="5" t="str">
        <f>IF(AND(LEN(AF512)=0, LEN(AG512)=0), "", IF(AND(LEN(AF512)&gt;0, LEN(AG512)=0), "BLANCO", IFERROR(VLOOKUP(AG512, BasedatosM9!A:B, 2, FALSE), "BLANCO")))</f>
        <v/>
      </c>
      <c r="AU512" s="5" t="str">
        <f>IF(AND(LEN(AR512)=0, LEN(AS512)=0), "", IF(AND(LEN(AR512)&gt;0, LEN(AS512)=0), "BLANCO", IFERROR(VLOOKUP(AS512, BasedatosM9!A:B, 2, FALSE), "BLANCO")))</f>
        <v/>
      </c>
    </row>
    <row r="513" spans="1:47" ht="14.4">
      <c r="A513" s="21"/>
      <c r="B513" s="86"/>
      <c r="C513" s="98"/>
      <c r="D513" s="21"/>
      <c r="E513" s="86"/>
      <c r="F513" s="99"/>
      <c r="G513" s="99"/>
      <c r="H513" s="21"/>
      <c r="I513" s="86"/>
      <c r="J513" s="21"/>
      <c r="K513" s="5" t="str">
        <f>IF(AND(LEN(H513)=0, LEN(I513)=0), "", IF(AND(LEN(H513)&gt;0, LEN(I513)=0), "BLANCO", IFERROR(VLOOKUP(I513, BasedatosM9!A:B, 2, FALSE), "BLANCO")))</f>
        <v/>
      </c>
      <c r="W513" s="5" t="str">
        <f>IF(AND(LEN(T513)=0, LEN(U513)=0), "", IF(AND(LEN(T513)&gt;0, LEN(U513)=0), "BLANCO", IFERROR(VLOOKUP(U513, BasedatosM9!A:B, 2, FALSE), "BLANCO")))</f>
        <v/>
      </c>
      <c r="AI513" s="5" t="str">
        <f>IF(AND(LEN(AF513)=0, LEN(AG513)=0), "", IF(AND(LEN(AF513)&gt;0, LEN(AG513)=0), "BLANCO", IFERROR(VLOOKUP(AG513, BasedatosM9!A:B, 2, FALSE), "BLANCO")))</f>
        <v/>
      </c>
      <c r="AU513" s="5" t="str">
        <f>IF(AND(LEN(AR513)=0, LEN(AS513)=0), "", IF(AND(LEN(AR513)&gt;0, LEN(AS513)=0), "BLANCO", IFERROR(VLOOKUP(AS513, BasedatosM9!A:B, 2, FALSE), "BLANCO")))</f>
        <v/>
      </c>
    </row>
    <row r="514" spans="1:47" ht="14.4">
      <c r="A514" s="21"/>
      <c r="B514" s="86"/>
      <c r="C514" s="98"/>
      <c r="D514" s="21"/>
      <c r="E514" s="86"/>
      <c r="F514" s="99"/>
      <c r="G514" s="99"/>
      <c r="H514" s="21"/>
      <c r="I514" s="86"/>
      <c r="J514" s="21"/>
      <c r="K514" s="5" t="str">
        <f>IF(AND(LEN(H514)=0, LEN(I514)=0), "", IF(AND(LEN(H514)&gt;0, LEN(I514)=0), "BLANCO", IFERROR(VLOOKUP(I514, BasedatosM9!A:B, 2, FALSE), "BLANCO")))</f>
        <v/>
      </c>
      <c r="W514" s="5" t="str">
        <f>IF(AND(LEN(T514)=0, LEN(U514)=0), "", IF(AND(LEN(T514)&gt;0, LEN(U514)=0), "BLANCO", IFERROR(VLOOKUP(U514, BasedatosM9!A:B, 2, FALSE), "BLANCO")))</f>
        <v/>
      </c>
      <c r="AI514" s="5" t="str">
        <f>IF(AND(LEN(AF514)=0, LEN(AG514)=0), "", IF(AND(LEN(AF514)&gt;0, LEN(AG514)=0), "BLANCO", IFERROR(VLOOKUP(AG514, BasedatosM9!A:B, 2, FALSE), "BLANCO")))</f>
        <v/>
      </c>
      <c r="AU514" s="5" t="str">
        <f>IF(AND(LEN(AR514)=0, LEN(AS514)=0), "", IF(AND(LEN(AR514)&gt;0, LEN(AS514)=0), "BLANCO", IFERROR(VLOOKUP(AS514, BasedatosM9!A:B, 2, FALSE), "BLANCO")))</f>
        <v/>
      </c>
    </row>
    <row r="515" spans="1:47" ht="14.4">
      <c r="A515" s="21"/>
      <c r="B515" s="86"/>
      <c r="C515" s="98"/>
      <c r="D515" s="21"/>
      <c r="E515" s="86"/>
      <c r="F515" s="99"/>
      <c r="G515" s="99"/>
      <c r="H515" s="21"/>
      <c r="I515" s="86"/>
      <c r="J515" s="21"/>
      <c r="K515" s="5" t="str">
        <f>IF(AND(LEN(H515)=0, LEN(I515)=0), "", IF(AND(LEN(H515)&gt;0, LEN(I515)=0), "BLANCO", IFERROR(VLOOKUP(I515, BasedatosM9!A:B, 2, FALSE), "BLANCO")))</f>
        <v/>
      </c>
      <c r="W515" s="5" t="str">
        <f>IF(AND(LEN(T515)=0, LEN(U515)=0), "", IF(AND(LEN(T515)&gt;0, LEN(U515)=0), "BLANCO", IFERROR(VLOOKUP(U515, BasedatosM9!A:B, 2, FALSE), "BLANCO")))</f>
        <v/>
      </c>
      <c r="AI515" s="5" t="str">
        <f>IF(AND(LEN(AF515)=0, LEN(AG515)=0), "", IF(AND(LEN(AF515)&gt;0, LEN(AG515)=0), "BLANCO", IFERROR(VLOOKUP(AG515, BasedatosM9!A:B, 2, FALSE), "BLANCO")))</f>
        <v/>
      </c>
      <c r="AU515" s="5" t="str">
        <f>IF(AND(LEN(AR515)=0, LEN(AS515)=0), "", IF(AND(LEN(AR515)&gt;0, LEN(AS515)=0), "BLANCO", IFERROR(VLOOKUP(AS515, BasedatosM9!A:B, 2, FALSE), "BLANCO")))</f>
        <v/>
      </c>
    </row>
    <row r="516" spans="1:47" ht="14.4">
      <c r="A516" s="21"/>
      <c r="B516" s="86"/>
      <c r="C516" s="98"/>
      <c r="D516" s="21"/>
      <c r="E516" s="86"/>
      <c r="F516" s="99"/>
      <c r="G516" s="99"/>
      <c r="H516" s="21"/>
      <c r="I516" s="86"/>
      <c r="J516" s="21"/>
      <c r="K516" s="5" t="str">
        <f>IF(AND(LEN(H516)=0, LEN(I516)=0), "", IF(AND(LEN(H516)&gt;0, LEN(I516)=0), "BLANCO", IFERROR(VLOOKUP(I516, BasedatosM9!A:B, 2, FALSE), "BLANCO")))</f>
        <v/>
      </c>
      <c r="W516" s="5" t="str">
        <f>IF(AND(LEN(T516)=0, LEN(U516)=0), "", IF(AND(LEN(T516)&gt;0, LEN(U516)=0), "BLANCO", IFERROR(VLOOKUP(U516, BasedatosM9!A:B, 2, FALSE), "BLANCO")))</f>
        <v/>
      </c>
      <c r="AI516" s="5" t="str">
        <f>IF(AND(LEN(AF516)=0, LEN(AG516)=0), "", IF(AND(LEN(AF516)&gt;0, LEN(AG516)=0), "BLANCO", IFERROR(VLOOKUP(AG516, BasedatosM9!A:B, 2, FALSE), "BLANCO")))</f>
        <v/>
      </c>
      <c r="AU516" s="5" t="str">
        <f>IF(AND(LEN(AR516)=0, LEN(AS516)=0), "", IF(AND(LEN(AR516)&gt;0, LEN(AS516)=0), "BLANCO", IFERROR(VLOOKUP(AS516, BasedatosM9!A:B, 2, FALSE), "BLANCO")))</f>
        <v/>
      </c>
    </row>
    <row r="517" spans="1:47" ht="14.4">
      <c r="A517" s="21"/>
      <c r="B517" s="86"/>
      <c r="C517" s="98"/>
      <c r="D517" s="21"/>
      <c r="E517" s="86"/>
      <c r="F517" s="99"/>
      <c r="G517" s="99"/>
      <c r="H517" s="21"/>
      <c r="I517" s="86"/>
      <c r="J517" s="21"/>
      <c r="K517" s="5" t="str">
        <f>IF(AND(LEN(H517)=0, LEN(I517)=0), "", IF(AND(LEN(H517)&gt;0, LEN(I517)=0), "BLANCO", IFERROR(VLOOKUP(I517, BasedatosM9!A:B, 2, FALSE), "BLANCO")))</f>
        <v/>
      </c>
      <c r="W517" s="5" t="str">
        <f>IF(AND(LEN(T517)=0, LEN(U517)=0), "", IF(AND(LEN(T517)&gt;0, LEN(U517)=0), "BLANCO", IFERROR(VLOOKUP(U517, BasedatosM9!A:B, 2, FALSE), "BLANCO")))</f>
        <v/>
      </c>
      <c r="AI517" s="5" t="str">
        <f>IF(AND(LEN(AF517)=0, LEN(AG517)=0), "", IF(AND(LEN(AF517)&gt;0, LEN(AG517)=0), "BLANCO", IFERROR(VLOOKUP(AG517, BasedatosM9!A:B, 2, FALSE), "BLANCO")))</f>
        <v/>
      </c>
      <c r="AU517" s="5" t="str">
        <f>IF(AND(LEN(AR517)=0, LEN(AS517)=0), "", IF(AND(LEN(AR517)&gt;0, LEN(AS517)=0), "BLANCO", IFERROR(VLOOKUP(AS517, BasedatosM9!A:B, 2, FALSE), "BLANCO")))</f>
        <v/>
      </c>
    </row>
    <row r="518" spans="1:47" ht="14.4">
      <c r="A518" s="21"/>
      <c r="B518" s="86"/>
      <c r="C518" s="98"/>
      <c r="D518" s="21"/>
      <c r="E518" s="86"/>
      <c r="F518" s="99"/>
      <c r="G518" s="99"/>
      <c r="H518" s="21"/>
      <c r="I518" s="21"/>
      <c r="J518" s="21"/>
      <c r="K518" s="5" t="str">
        <f>IF(AND(LEN(H518)=0, LEN(I518)=0), "", IF(AND(LEN(H518)&gt;0, LEN(I518)=0), "BLANCO", IFERROR(VLOOKUP(I518, BasedatosM9!A:B, 2, FALSE), "BLANCO")))</f>
        <v/>
      </c>
      <c r="W518" s="5" t="str">
        <f>IF(AND(LEN(T518)=0, LEN(U518)=0), "", IF(AND(LEN(T518)&gt;0, LEN(U518)=0), "BLANCO", IFERROR(VLOOKUP(U518, BasedatosM9!A:B, 2, FALSE), "BLANCO")))</f>
        <v/>
      </c>
      <c r="AI518" s="5" t="str">
        <f>IF(AND(LEN(AF518)=0, LEN(AG518)=0), "", IF(AND(LEN(AF518)&gt;0, LEN(AG518)=0), "BLANCO", IFERROR(VLOOKUP(AG518, BasedatosM9!A:B, 2, FALSE), "BLANCO")))</f>
        <v/>
      </c>
      <c r="AU518" s="5" t="str">
        <f>IF(AND(LEN(AR518)=0, LEN(AS518)=0), "", IF(AND(LEN(AR518)&gt;0, LEN(AS518)=0), "BLANCO", IFERROR(VLOOKUP(AS518, BasedatosM9!A:B, 2, FALSE), "BLANCO")))</f>
        <v/>
      </c>
    </row>
    <row r="519" spans="1:47" ht="14.4">
      <c r="A519" s="21"/>
      <c r="B519" s="86"/>
      <c r="C519" s="98"/>
      <c r="D519" s="21"/>
      <c r="E519" s="86"/>
      <c r="F519" s="99"/>
      <c r="G519" s="99"/>
      <c r="H519" s="21"/>
      <c r="I519" s="21"/>
      <c r="J519" s="21"/>
      <c r="K519" s="5" t="str">
        <f>IF(AND(LEN(H519)=0, LEN(I519)=0), "", IF(AND(LEN(H519)&gt;0, LEN(I519)=0), "BLANCO", IFERROR(VLOOKUP(I519, BasedatosM9!A:B, 2, FALSE), "BLANCO")))</f>
        <v/>
      </c>
      <c r="W519" s="5" t="str">
        <f>IF(AND(LEN(T519)=0, LEN(U519)=0), "", IF(AND(LEN(T519)&gt;0, LEN(U519)=0), "BLANCO", IFERROR(VLOOKUP(U519, BasedatosM9!A:B, 2, FALSE), "BLANCO")))</f>
        <v/>
      </c>
      <c r="AI519" s="5" t="str">
        <f>IF(AND(LEN(AF519)=0, LEN(AG519)=0), "", IF(AND(LEN(AF519)&gt;0, LEN(AG519)=0), "BLANCO", IFERROR(VLOOKUP(AG519, BasedatosM9!A:B, 2, FALSE), "BLANCO")))</f>
        <v/>
      </c>
      <c r="AU519" s="5" t="str">
        <f>IF(AND(LEN(AR519)=0, LEN(AS519)=0), "", IF(AND(LEN(AR519)&gt;0, LEN(AS519)=0), "BLANCO", IFERROR(VLOOKUP(AS519, BasedatosM9!A:B, 2, FALSE), "BLANCO")))</f>
        <v/>
      </c>
    </row>
    <row r="520" spans="1:47" ht="14.4">
      <c r="A520" s="21"/>
      <c r="B520" s="86"/>
      <c r="C520" s="98"/>
      <c r="D520" s="21"/>
      <c r="E520" s="86"/>
      <c r="F520" s="99"/>
      <c r="G520" s="99"/>
      <c r="H520" s="21"/>
      <c r="I520" s="86"/>
      <c r="J520" s="21"/>
      <c r="K520" s="5" t="str">
        <f>IF(AND(LEN(H520)=0, LEN(I520)=0), "", IF(AND(LEN(H520)&gt;0, LEN(I520)=0), "BLANCO", IFERROR(VLOOKUP(I520, BasedatosM9!A:B, 2, FALSE), "BLANCO")))</f>
        <v/>
      </c>
      <c r="W520" s="5" t="str">
        <f>IF(AND(LEN(T520)=0, LEN(U520)=0), "", IF(AND(LEN(T520)&gt;0, LEN(U520)=0), "BLANCO", IFERROR(VLOOKUP(U520, BasedatosM9!A:B, 2, FALSE), "BLANCO")))</f>
        <v/>
      </c>
      <c r="AI520" s="5" t="str">
        <f>IF(AND(LEN(AF520)=0, LEN(AG520)=0), "", IF(AND(LEN(AF520)&gt;0, LEN(AG520)=0), "BLANCO", IFERROR(VLOOKUP(AG520, BasedatosM9!A:B, 2, FALSE), "BLANCO")))</f>
        <v/>
      </c>
      <c r="AU520" s="5" t="str">
        <f>IF(AND(LEN(AR520)=0, LEN(AS520)=0), "", IF(AND(LEN(AR520)&gt;0, LEN(AS520)=0), "BLANCO", IFERROR(VLOOKUP(AS520, BasedatosM9!A:B, 2, FALSE), "BLANCO")))</f>
        <v/>
      </c>
    </row>
    <row r="521" spans="1:47" ht="14.4">
      <c r="A521" s="21"/>
      <c r="B521" s="86"/>
      <c r="C521" s="98"/>
      <c r="D521" s="21"/>
      <c r="E521" s="86"/>
      <c r="F521" s="99"/>
      <c r="G521" s="99"/>
      <c r="H521" s="21"/>
      <c r="I521" s="86"/>
      <c r="J521" s="21"/>
      <c r="K521" s="5" t="str">
        <f>IF(AND(LEN(H521)=0, LEN(I521)=0), "", IF(AND(LEN(H521)&gt;0, LEN(I521)=0), "BLANCO", IFERROR(VLOOKUP(I521, BasedatosM9!A:B, 2, FALSE), "BLANCO")))</f>
        <v/>
      </c>
      <c r="W521" s="5" t="str">
        <f>IF(AND(LEN(T521)=0, LEN(U521)=0), "", IF(AND(LEN(T521)&gt;0, LEN(U521)=0), "BLANCO", IFERROR(VLOOKUP(U521, BasedatosM9!A:B, 2, FALSE), "BLANCO")))</f>
        <v/>
      </c>
      <c r="AI521" s="5" t="str">
        <f>IF(AND(LEN(AF521)=0, LEN(AG521)=0), "", IF(AND(LEN(AF521)&gt;0, LEN(AG521)=0), "BLANCO", IFERROR(VLOOKUP(AG521, BasedatosM9!A:B, 2, FALSE), "BLANCO")))</f>
        <v/>
      </c>
      <c r="AU521" s="5" t="str">
        <f>IF(AND(LEN(AR521)=0, LEN(AS521)=0), "", IF(AND(LEN(AR521)&gt;0, LEN(AS521)=0), "BLANCO", IFERROR(VLOOKUP(AS521, BasedatosM9!A:B, 2, FALSE), "BLANCO")))</f>
        <v/>
      </c>
    </row>
    <row r="522" spans="1:47" ht="14.4">
      <c r="A522" s="21"/>
      <c r="B522" s="86"/>
      <c r="C522" s="98"/>
      <c r="D522" s="21"/>
      <c r="E522" s="86"/>
      <c r="F522" s="99"/>
      <c r="G522" s="99"/>
      <c r="H522" s="21"/>
      <c r="I522" s="21"/>
      <c r="J522" s="21"/>
      <c r="K522" s="5" t="str">
        <f>IF(AND(LEN(H522)=0, LEN(I522)=0), "", IF(AND(LEN(H522)&gt;0, LEN(I522)=0), "BLANCO", IFERROR(VLOOKUP(I522, BasedatosM9!A:B, 2, FALSE), "BLANCO")))</f>
        <v/>
      </c>
      <c r="W522" s="5" t="str">
        <f>IF(AND(LEN(T522)=0, LEN(U522)=0), "", IF(AND(LEN(T522)&gt;0, LEN(U522)=0), "BLANCO", IFERROR(VLOOKUP(U522, BasedatosM9!A:B, 2, FALSE), "BLANCO")))</f>
        <v/>
      </c>
      <c r="AI522" s="5" t="str">
        <f>IF(AND(LEN(AF522)=0, LEN(AG522)=0), "", IF(AND(LEN(AF522)&gt;0, LEN(AG522)=0), "BLANCO", IFERROR(VLOOKUP(AG522, BasedatosM9!A:B, 2, FALSE), "BLANCO")))</f>
        <v/>
      </c>
      <c r="AU522" s="5" t="str">
        <f>IF(AND(LEN(AR522)=0, LEN(AS522)=0), "", IF(AND(LEN(AR522)&gt;0, LEN(AS522)=0), "BLANCO", IFERROR(VLOOKUP(AS522, BasedatosM9!A:B, 2, FALSE), "BLANCO")))</f>
        <v/>
      </c>
    </row>
    <row r="523" spans="1:47" ht="14.4">
      <c r="A523" s="21"/>
      <c r="B523" s="86"/>
      <c r="C523" s="98"/>
      <c r="D523" s="21"/>
      <c r="E523" s="86"/>
      <c r="F523" s="99"/>
      <c r="G523" s="99"/>
      <c r="H523" s="21"/>
      <c r="I523" s="86"/>
      <c r="J523" s="21"/>
      <c r="K523" s="5" t="str">
        <f>IF(AND(LEN(H523)=0, LEN(I523)=0), "", IF(AND(LEN(H523)&gt;0, LEN(I523)=0), "BLANCO", IFERROR(VLOOKUP(I523, BasedatosM9!A:B, 2, FALSE), "BLANCO")))</f>
        <v/>
      </c>
      <c r="W523" s="5" t="str">
        <f>IF(AND(LEN(T523)=0, LEN(U523)=0), "", IF(AND(LEN(T523)&gt;0, LEN(U523)=0), "BLANCO", IFERROR(VLOOKUP(U523, BasedatosM9!A:B, 2, FALSE), "BLANCO")))</f>
        <v/>
      </c>
      <c r="AI523" s="5" t="str">
        <f>IF(AND(LEN(AF523)=0, LEN(AG523)=0), "", IF(AND(LEN(AF523)&gt;0, LEN(AG523)=0), "BLANCO", IFERROR(VLOOKUP(AG523, BasedatosM9!A:B, 2, FALSE), "BLANCO")))</f>
        <v/>
      </c>
      <c r="AU523" s="5" t="str">
        <f>IF(AND(LEN(AR523)=0, LEN(AS523)=0), "", IF(AND(LEN(AR523)&gt;0, LEN(AS523)=0), "BLANCO", IFERROR(VLOOKUP(AS523, BasedatosM9!A:B, 2, FALSE), "BLANCO")))</f>
        <v/>
      </c>
    </row>
    <row r="524" spans="1:47" ht="14.4">
      <c r="A524" s="21"/>
      <c r="B524" s="86"/>
      <c r="C524" s="98"/>
      <c r="D524" s="21"/>
      <c r="E524" s="86"/>
      <c r="F524" s="99"/>
      <c r="G524" s="99"/>
      <c r="H524" s="21"/>
      <c r="I524" s="86"/>
      <c r="J524" s="21"/>
      <c r="K524" s="5" t="str">
        <f>IF(AND(LEN(H524)=0, LEN(I524)=0), "", IF(AND(LEN(H524)&gt;0, LEN(I524)=0), "BLANCO", IFERROR(VLOOKUP(I524, BasedatosM9!A:B, 2, FALSE), "BLANCO")))</f>
        <v/>
      </c>
      <c r="W524" s="5" t="str">
        <f>IF(AND(LEN(T524)=0, LEN(U524)=0), "", IF(AND(LEN(T524)&gt;0, LEN(U524)=0), "BLANCO", IFERROR(VLOOKUP(U524, BasedatosM9!A:B, 2, FALSE), "BLANCO")))</f>
        <v/>
      </c>
      <c r="AI524" s="5" t="str">
        <f>IF(AND(LEN(AF524)=0, LEN(AG524)=0), "", IF(AND(LEN(AF524)&gt;0, LEN(AG524)=0), "BLANCO", IFERROR(VLOOKUP(AG524, BasedatosM9!A:B, 2, FALSE), "BLANCO")))</f>
        <v/>
      </c>
      <c r="AU524" s="5" t="str">
        <f>IF(AND(LEN(AR524)=0, LEN(AS524)=0), "", IF(AND(LEN(AR524)&gt;0, LEN(AS524)=0), "BLANCO", IFERROR(VLOOKUP(AS524, BasedatosM9!A:B, 2, FALSE), "BLANCO")))</f>
        <v/>
      </c>
    </row>
    <row r="525" spans="1:47" ht="14.4">
      <c r="A525" s="21"/>
      <c r="B525" s="86"/>
      <c r="C525" s="98"/>
      <c r="D525" s="21"/>
      <c r="E525" s="86"/>
      <c r="F525" s="99"/>
      <c r="G525" s="99"/>
      <c r="H525" s="21"/>
      <c r="I525" s="21"/>
      <c r="J525" s="21"/>
      <c r="K525" s="5" t="str">
        <f>IF(AND(LEN(H525)=0, LEN(I525)=0), "", IF(AND(LEN(H525)&gt;0, LEN(I525)=0), "BLANCO", IFERROR(VLOOKUP(I525, BasedatosM9!A:B, 2, FALSE), "BLANCO")))</f>
        <v/>
      </c>
      <c r="W525" s="5" t="str">
        <f>IF(AND(LEN(T525)=0, LEN(U525)=0), "", IF(AND(LEN(T525)&gt;0, LEN(U525)=0), "BLANCO", IFERROR(VLOOKUP(U525, BasedatosM9!A:B, 2, FALSE), "BLANCO")))</f>
        <v/>
      </c>
      <c r="AI525" s="5" t="str">
        <f>IF(AND(LEN(AF525)=0, LEN(AG525)=0), "", IF(AND(LEN(AF525)&gt;0, LEN(AG525)=0), "BLANCO", IFERROR(VLOOKUP(AG525, BasedatosM9!A:B, 2, FALSE), "BLANCO")))</f>
        <v/>
      </c>
      <c r="AU525" s="5" t="str">
        <f>IF(AND(LEN(AR525)=0, LEN(AS525)=0), "", IF(AND(LEN(AR525)&gt;0, LEN(AS525)=0), "BLANCO", IFERROR(VLOOKUP(AS525, BasedatosM9!A:B, 2, FALSE), "BLANCO")))</f>
        <v/>
      </c>
    </row>
    <row r="526" spans="1:47" ht="14.4">
      <c r="A526" s="21"/>
      <c r="B526" s="86"/>
      <c r="C526" s="98"/>
      <c r="D526" s="21"/>
      <c r="E526" s="86"/>
      <c r="F526" s="99"/>
      <c r="G526" s="99"/>
      <c r="H526" s="21"/>
      <c r="I526" s="21"/>
      <c r="J526" s="21"/>
      <c r="K526" s="5" t="str">
        <f>IF(AND(LEN(H526)=0, LEN(I526)=0), "", IF(AND(LEN(H526)&gt;0, LEN(I526)=0), "BLANCO", IFERROR(VLOOKUP(I526, BasedatosM9!A:B, 2, FALSE), "BLANCO")))</f>
        <v/>
      </c>
      <c r="W526" s="5" t="str">
        <f>IF(AND(LEN(T526)=0, LEN(U526)=0), "", IF(AND(LEN(T526)&gt;0, LEN(U526)=0), "BLANCO", IFERROR(VLOOKUP(U526, BasedatosM9!A:B, 2, FALSE), "BLANCO")))</f>
        <v/>
      </c>
      <c r="AI526" s="5" t="str">
        <f>IF(AND(LEN(AF526)=0, LEN(AG526)=0), "", IF(AND(LEN(AF526)&gt;0, LEN(AG526)=0), "BLANCO", IFERROR(VLOOKUP(AG526, BasedatosM9!A:B, 2, FALSE), "BLANCO")))</f>
        <v/>
      </c>
      <c r="AU526" s="5" t="str">
        <f>IF(AND(LEN(AR526)=0, LEN(AS526)=0), "", IF(AND(LEN(AR526)&gt;0, LEN(AS526)=0), "BLANCO", IFERROR(VLOOKUP(AS526, BasedatosM9!A:B, 2, FALSE), "BLANCO")))</f>
        <v/>
      </c>
    </row>
    <row r="527" spans="1:47" ht="14.4">
      <c r="A527" s="21"/>
      <c r="B527" s="86"/>
      <c r="C527" s="98"/>
      <c r="D527" s="21"/>
      <c r="E527" s="86"/>
      <c r="F527" s="99"/>
      <c r="G527" s="99"/>
      <c r="H527" s="21"/>
      <c r="I527" s="86"/>
      <c r="J527" s="21"/>
      <c r="K527" s="5" t="str">
        <f>IF(AND(LEN(H527)=0, LEN(I527)=0), "", IF(AND(LEN(H527)&gt;0, LEN(I527)=0), "BLANCO", IFERROR(VLOOKUP(I527, BasedatosM9!A:B, 2, FALSE), "BLANCO")))</f>
        <v/>
      </c>
      <c r="W527" s="5" t="str">
        <f>IF(AND(LEN(T527)=0, LEN(U527)=0), "", IF(AND(LEN(T527)&gt;0, LEN(U527)=0), "BLANCO", IFERROR(VLOOKUP(U527, BasedatosM9!A:B, 2, FALSE), "BLANCO")))</f>
        <v/>
      </c>
      <c r="AI527" s="5" t="str">
        <f>IF(AND(LEN(AF527)=0, LEN(AG527)=0), "", IF(AND(LEN(AF527)&gt;0, LEN(AG527)=0), "BLANCO", IFERROR(VLOOKUP(AG527, BasedatosM9!A:B, 2, FALSE), "BLANCO")))</f>
        <v/>
      </c>
      <c r="AU527" s="5" t="str">
        <f>IF(AND(LEN(AR527)=0, LEN(AS527)=0), "", IF(AND(LEN(AR527)&gt;0, LEN(AS527)=0), "BLANCO", IFERROR(VLOOKUP(AS527, BasedatosM9!A:B, 2, FALSE), "BLANCO")))</f>
        <v/>
      </c>
    </row>
    <row r="528" spans="1:47" ht="14.4">
      <c r="A528" s="21"/>
      <c r="B528" s="86"/>
      <c r="C528" s="98"/>
      <c r="D528" s="21"/>
      <c r="E528" s="86"/>
      <c r="F528" s="99"/>
      <c r="G528" s="99"/>
      <c r="H528" s="21"/>
      <c r="I528" s="21"/>
      <c r="J528" s="21"/>
      <c r="K528" s="5" t="str">
        <f>IF(AND(LEN(H528)=0, LEN(I528)=0), "", IF(AND(LEN(H528)&gt;0, LEN(I528)=0), "BLANCO", IFERROR(VLOOKUP(I528, BasedatosM9!A:B, 2, FALSE), "BLANCO")))</f>
        <v/>
      </c>
      <c r="W528" s="5" t="str">
        <f>IF(AND(LEN(T528)=0, LEN(U528)=0), "", IF(AND(LEN(T528)&gt;0, LEN(U528)=0), "BLANCO", IFERROR(VLOOKUP(U528, BasedatosM9!A:B, 2, FALSE), "BLANCO")))</f>
        <v/>
      </c>
      <c r="AI528" s="5" t="str">
        <f>IF(AND(LEN(AF528)=0, LEN(AG528)=0), "", IF(AND(LEN(AF528)&gt;0, LEN(AG528)=0), "BLANCO", IFERROR(VLOOKUP(AG528, BasedatosM9!A:B, 2, FALSE), "BLANCO")))</f>
        <v/>
      </c>
      <c r="AU528" s="5" t="str">
        <f>IF(AND(LEN(AR528)=0, LEN(AS528)=0), "", IF(AND(LEN(AR528)&gt;0, LEN(AS528)=0), "BLANCO", IFERROR(VLOOKUP(AS528, BasedatosM9!A:B, 2, FALSE), "BLANCO")))</f>
        <v/>
      </c>
    </row>
    <row r="529" spans="1:47" ht="14.4">
      <c r="A529" s="21"/>
      <c r="B529" s="86"/>
      <c r="C529" s="98"/>
      <c r="D529" s="21"/>
      <c r="E529" s="86"/>
      <c r="F529" s="99"/>
      <c r="G529" s="99"/>
      <c r="H529" s="21"/>
      <c r="I529" s="86"/>
      <c r="J529" s="21"/>
      <c r="K529" s="5" t="str">
        <f>IF(AND(LEN(H529)=0, LEN(I529)=0), "", IF(AND(LEN(H529)&gt;0, LEN(I529)=0), "BLANCO", IFERROR(VLOOKUP(I529, BasedatosM9!A:B, 2, FALSE), "BLANCO")))</f>
        <v/>
      </c>
      <c r="W529" s="5" t="str">
        <f>IF(AND(LEN(T529)=0, LEN(U529)=0), "", IF(AND(LEN(T529)&gt;0, LEN(U529)=0), "BLANCO", IFERROR(VLOOKUP(U529, BasedatosM9!A:B, 2, FALSE), "BLANCO")))</f>
        <v/>
      </c>
      <c r="AI529" s="5" t="str">
        <f>IF(AND(LEN(AF529)=0, LEN(AG529)=0), "", IF(AND(LEN(AF529)&gt;0, LEN(AG529)=0), "BLANCO", IFERROR(VLOOKUP(AG529, BasedatosM9!A:B, 2, FALSE), "BLANCO")))</f>
        <v/>
      </c>
      <c r="AU529" s="5" t="str">
        <f>IF(AND(LEN(AR529)=0, LEN(AS529)=0), "", IF(AND(LEN(AR529)&gt;0, LEN(AS529)=0), "BLANCO", IFERROR(VLOOKUP(AS529, BasedatosM9!A:B, 2, FALSE), "BLANCO")))</f>
        <v/>
      </c>
    </row>
    <row r="530" spans="1:47" ht="14.4">
      <c r="A530" s="21"/>
      <c r="B530" s="86"/>
      <c r="C530" s="98"/>
      <c r="D530" s="21"/>
      <c r="E530" s="86"/>
      <c r="F530" s="99"/>
      <c r="G530" s="99"/>
      <c r="H530" s="21"/>
      <c r="I530" s="86"/>
      <c r="J530" s="21"/>
      <c r="K530" s="5" t="str">
        <f>IF(AND(LEN(H530)=0, LEN(I530)=0), "", IF(AND(LEN(H530)&gt;0, LEN(I530)=0), "BLANCO", IFERROR(VLOOKUP(I530, BasedatosM9!A:B, 2, FALSE), "BLANCO")))</f>
        <v/>
      </c>
      <c r="W530" s="5" t="str">
        <f>IF(AND(LEN(T530)=0, LEN(U530)=0), "", IF(AND(LEN(T530)&gt;0, LEN(U530)=0), "BLANCO", IFERROR(VLOOKUP(U530, BasedatosM9!A:B, 2, FALSE), "BLANCO")))</f>
        <v/>
      </c>
      <c r="AI530" s="5" t="str">
        <f>IF(AND(LEN(AF530)=0, LEN(AG530)=0), "", IF(AND(LEN(AF530)&gt;0, LEN(AG530)=0), "BLANCO", IFERROR(VLOOKUP(AG530, BasedatosM9!A:B, 2, FALSE), "BLANCO")))</f>
        <v/>
      </c>
      <c r="AU530" s="5" t="str">
        <f>IF(AND(LEN(AR530)=0, LEN(AS530)=0), "", IF(AND(LEN(AR530)&gt;0, LEN(AS530)=0), "BLANCO", IFERROR(VLOOKUP(AS530, BasedatosM9!A:B, 2, FALSE), "BLANCO")))</f>
        <v/>
      </c>
    </row>
    <row r="531" spans="1:47" ht="14.4">
      <c r="A531" s="21"/>
      <c r="B531" s="86"/>
      <c r="C531" s="98"/>
      <c r="D531" s="21"/>
      <c r="E531" s="86"/>
      <c r="F531" s="99"/>
      <c r="G531" s="99"/>
      <c r="H531" s="21"/>
      <c r="I531" s="86"/>
      <c r="J531" s="21"/>
      <c r="K531" s="5" t="str">
        <f>IF(AND(LEN(H531)=0, LEN(I531)=0), "", IF(AND(LEN(H531)&gt;0, LEN(I531)=0), "BLANCO", IFERROR(VLOOKUP(I531, BasedatosM9!A:B, 2, FALSE), "BLANCO")))</f>
        <v/>
      </c>
      <c r="W531" s="5" t="str">
        <f>IF(AND(LEN(T531)=0, LEN(U531)=0), "", IF(AND(LEN(T531)&gt;0, LEN(U531)=0), "BLANCO", IFERROR(VLOOKUP(U531, BasedatosM9!A:B, 2, FALSE), "BLANCO")))</f>
        <v/>
      </c>
      <c r="AI531" s="5" t="str">
        <f>IF(AND(LEN(AF531)=0, LEN(AG531)=0), "", IF(AND(LEN(AF531)&gt;0, LEN(AG531)=0), "BLANCO", IFERROR(VLOOKUP(AG531, BasedatosM9!A:B, 2, FALSE), "BLANCO")))</f>
        <v/>
      </c>
      <c r="AU531" s="5" t="str">
        <f>IF(AND(LEN(AR531)=0, LEN(AS531)=0), "", IF(AND(LEN(AR531)&gt;0, LEN(AS531)=0), "BLANCO", IFERROR(VLOOKUP(AS531, BasedatosM9!A:B, 2, FALSE), "BLANCO")))</f>
        <v/>
      </c>
    </row>
    <row r="532" spans="1:47" ht="14.4">
      <c r="A532" s="21"/>
      <c r="B532" s="86"/>
      <c r="C532" s="98"/>
      <c r="D532" s="21"/>
      <c r="E532" s="86"/>
      <c r="F532" s="99"/>
      <c r="G532" s="99"/>
      <c r="H532" s="21"/>
      <c r="I532" s="86"/>
      <c r="J532" s="21"/>
      <c r="K532" s="5" t="str">
        <f>IF(AND(LEN(H532)=0, LEN(I532)=0), "", IF(AND(LEN(H532)&gt;0, LEN(I532)=0), "BLANCO", IFERROR(VLOOKUP(I532, BasedatosM9!A:B, 2, FALSE), "BLANCO")))</f>
        <v/>
      </c>
      <c r="W532" s="5" t="str">
        <f>IF(AND(LEN(T532)=0, LEN(U532)=0), "", IF(AND(LEN(T532)&gt;0, LEN(U532)=0), "BLANCO", IFERROR(VLOOKUP(U532, BasedatosM9!A:B, 2, FALSE), "BLANCO")))</f>
        <v/>
      </c>
      <c r="AI532" s="5" t="str">
        <f>IF(AND(LEN(AF532)=0, LEN(AG532)=0), "", IF(AND(LEN(AF532)&gt;0, LEN(AG532)=0), "BLANCO", IFERROR(VLOOKUP(AG532, BasedatosM9!A:B, 2, FALSE), "BLANCO")))</f>
        <v/>
      </c>
      <c r="AU532" s="5" t="str">
        <f>IF(AND(LEN(AR532)=0, LEN(AS532)=0), "", IF(AND(LEN(AR532)&gt;0, LEN(AS532)=0), "BLANCO", IFERROR(VLOOKUP(AS532, BasedatosM9!A:B, 2, FALSE), "BLANCO")))</f>
        <v/>
      </c>
    </row>
    <row r="533" spans="1:47" ht="14.4">
      <c r="A533" s="21"/>
      <c r="B533" s="86"/>
      <c r="C533" s="98"/>
      <c r="D533" s="21"/>
      <c r="E533" s="86"/>
      <c r="F533" s="99"/>
      <c r="G533" s="99"/>
      <c r="H533" s="21"/>
      <c r="I533" s="21"/>
      <c r="J533" s="21"/>
      <c r="K533" s="5" t="str">
        <f>IF(AND(LEN(H533)=0, LEN(I533)=0), "", IF(AND(LEN(H533)&gt;0, LEN(I533)=0), "BLANCO", IFERROR(VLOOKUP(I533, BasedatosM9!A:B, 2, FALSE), "BLANCO")))</f>
        <v/>
      </c>
      <c r="W533" s="5" t="str">
        <f>IF(AND(LEN(T533)=0, LEN(U533)=0), "", IF(AND(LEN(T533)&gt;0, LEN(U533)=0), "BLANCO", IFERROR(VLOOKUP(U533, BasedatosM9!A:B, 2, FALSE), "BLANCO")))</f>
        <v/>
      </c>
      <c r="AI533" s="5" t="str">
        <f>IF(AND(LEN(AF533)=0, LEN(AG533)=0), "", IF(AND(LEN(AF533)&gt;0, LEN(AG533)=0), "BLANCO", IFERROR(VLOOKUP(AG533, BasedatosM9!A:B, 2, FALSE), "BLANCO")))</f>
        <v/>
      </c>
      <c r="AU533" s="5" t="str">
        <f>IF(AND(LEN(AR533)=0, LEN(AS533)=0), "", IF(AND(LEN(AR533)&gt;0, LEN(AS533)=0), "BLANCO", IFERROR(VLOOKUP(AS533, BasedatosM9!A:B, 2, FALSE), "BLANCO")))</f>
        <v/>
      </c>
    </row>
    <row r="534" spans="1:47" ht="14.4">
      <c r="A534" s="21"/>
      <c r="B534" s="86"/>
      <c r="C534" s="98"/>
      <c r="D534" s="21"/>
      <c r="E534" s="86"/>
      <c r="F534" s="99"/>
      <c r="G534" s="99"/>
      <c r="H534" s="21"/>
      <c r="I534" s="86"/>
      <c r="J534" s="21"/>
      <c r="K534" s="5" t="str">
        <f>IF(AND(LEN(H534)=0, LEN(I534)=0), "", IF(AND(LEN(H534)&gt;0, LEN(I534)=0), "BLANCO", IFERROR(VLOOKUP(I534, BasedatosM9!A:B, 2, FALSE), "BLANCO")))</f>
        <v/>
      </c>
      <c r="W534" s="5" t="str">
        <f>IF(AND(LEN(T534)=0, LEN(U534)=0), "", IF(AND(LEN(T534)&gt;0, LEN(U534)=0), "BLANCO", IFERROR(VLOOKUP(U534, BasedatosM9!A:B, 2, FALSE), "BLANCO")))</f>
        <v/>
      </c>
      <c r="AI534" s="5" t="str">
        <f>IF(AND(LEN(AF534)=0, LEN(AG534)=0), "", IF(AND(LEN(AF534)&gt;0, LEN(AG534)=0), "BLANCO", IFERROR(VLOOKUP(AG534, BasedatosM9!A:B, 2, FALSE), "BLANCO")))</f>
        <v/>
      </c>
      <c r="AU534" s="5" t="str">
        <f>IF(AND(LEN(AR534)=0, LEN(AS534)=0), "", IF(AND(LEN(AR534)&gt;0, LEN(AS534)=0), "BLANCO", IFERROR(VLOOKUP(AS534, BasedatosM9!A:B, 2, FALSE), "BLANCO")))</f>
        <v/>
      </c>
    </row>
    <row r="535" spans="1:47" ht="14.4">
      <c r="A535" s="21"/>
      <c r="B535" s="86"/>
      <c r="C535" s="98"/>
      <c r="D535" s="21"/>
      <c r="E535" s="86"/>
      <c r="F535" s="99"/>
      <c r="G535" s="99"/>
      <c r="H535" s="21"/>
      <c r="I535" s="86"/>
      <c r="J535" s="21"/>
      <c r="K535" s="5" t="str">
        <f>IF(AND(LEN(H535)=0, LEN(I535)=0), "", IF(AND(LEN(H535)&gt;0, LEN(I535)=0), "BLANCO", IFERROR(VLOOKUP(I535, BasedatosM9!A:B, 2, FALSE), "BLANCO")))</f>
        <v/>
      </c>
      <c r="W535" s="5" t="str">
        <f>IF(AND(LEN(T535)=0, LEN(U535)=0), "", IF(AND(LEN(T535)&gt;0, LEN(U535)=0), "BLANCO", IFERROR(VLOOKUP(U535, BasedatosM9!A:B, 2, FALSE), "BLANCO")))</f>
        <v/>
      </c>
      <c r="AI535" s="5" t="str">
        <f>IF(AND(LEN(AF535)=0, LEN(AG535)=0), "", IF(AND(LEN(AF535)&gt;0, LEN(AG535)=0), "BLANCO", IFERROR(VLOOKUP(AG535, BasedatosM9!A:B, 2, FALSE), "BLANCO")))</f>
        <v/>
      </c>
      <c r="AU535" s="5" t="str">
        <f>IF(AND(LEN(AR535)=0, LEN(AS535)=0), "", IF(AND(LEN(AR535)&gt;0, LEN(AS535)=0), "BLANCO", IFERROR(VLOOKUP(AS535, BasedatosM9!A:B, 2, FALSE), "BLANCO")))</f>
        <v/>
      </c>
    </row>
    <row r="536" spans="1:47" ht="14.4">
      <c r="A536" s="21"/>
      <c r="B536" s="86"/>
      <c r="C536" s="98"/>
      <c r="D536" s="21"/>
      <c r="E536" s="86"/>
      <c r="F536" s="99"/>
      <c r="G536" s="99"/>
      <c r="H536" s="21"/>
      <c r="I536" s="86"/>
      <c r="J536" s="21"/>
      <c r="K536" s="5" t="str">
        <f>IF(AND(LEN(H536)=0, LEN(I536)=0), "", IF(AND(LEN(H536)&gt;0, LEN(I536)=0), "BLANCO", IFERROR(VLOOKUP(I536, BasedatosM9!A:B, 2, FALSE), "BLANCO")))</f>
        <v/>
      </c>
      <c r="W536" s="5" t="str">
        <f>IF(AND(LEN(T536)=0, LEN(U536)=0), "", IF(AND(LEN(T536)&gt;0, LEN(U536)=0), "BLANCO", IFERROR(VLOOKUP(U536, BasedatosM9!A:B, 2, FALSE), "BLANCO")))</f>
        <v/>
      </c>
      <c r="AI536" s="5" t="str">
        <f>IF(AND(LEN(AF536)=0, LEN(AG536)=0), "", IF(AND(LEN(AF536)&gt;0, LEN(AG536)=0), "BLANCO", IFERROR(VLOOKUP(AG536, BasedatosM9!A:B, 2, FALSE), "BLANCO")))</f>
        <v/>
      </c>
      <c r="AU536" s="5" t="str">
        <f>IF(AND(LEN(AR536)=0, LEN(AS536)=0), "", IF(AND(LEN(AR536)&gt;0, LEN(AS536)=0), "BLANCO", IFERROR(VLOOKUP(AS536, BasedatosM9!A:B, 2, FALSE), "BLANCO")))</f>
        <v/>
      </c>
    </row>
    <row r="537" spans="1:47" ht="14.4">
      <c r="A537" s="21"/>
      <c r="B537" s="86"/>
      <c r="C537" s="98"/>
      <c r="D537" s="21"/>
      <c r="E537" s="86"/>
      <c r="F537" s="99"/>
      <c r="G537" s="99"/>
      <c r="H537" s="21"/>
      <c r="I537" s="21"/>
      <c r="J537" s="21"/>
      <c r="K537" s="5" t="str">
        <f>IF(AND(LEN(H537)=0, LEN(I537)=0), "", IF(AND(LEN(H537)&gt;0, LEN(I537)=0), "BLANCO", IFERROR(VLOOKUP(I537, BasedatosM9!A:B, 2, FALSE), "BLANCO")))</f>
        <v/>
      </c>
      <c r="W537" s="5" t="str">
        <f>IF(AND(LEN(T537)=0, LEN(U537)=0), "", IF(AND(LEN(T537)&gt;0, LEN(U537)=0), "BLANCO", IFERROR(VLOOKUP(U537, BasedatosM9!A:B, 2, FALSE), "BLANCO")))</f>
        <v/>
      </c>
      <c r="AI537" s="5" t="str">
        <f>IF(AND(LEN(AF537)=0, LEN(AG537)=0), "", IF(AND(LEN(AF537)&gt;0, LEN(AG537)=0), "BLANCO", IFERROR(VLOOKUP(AG537, BasedatosM9!A:B, 2, FALSE), "BLANCO")))</f>
        <v/>
      </c>
      <c r="AU537" s="5" t="str">
        <f>IF(AND(LEN(AR537)=0, LEN(AS537)=0), "", IF(AND(LEN(AR537)&gt;0, LEN(AS537)=0), "BLANCO", IFERROR(VLOOKUP(AS537, BasedatosM9!A:B, 2, FALSE), "BLANCO")))</f>
        <v/>
      </c>
    </row>
    <row r="538" spans="1:47" ht="14.4">
      <c r="A538" s="21"/>
      <c r="B538" s="86"/>
      <c r="C538" s="98"/>
      <c r="D538" s="21"/>
      <c r="E538" s="86"/>
      <c r="F538" s="99"/>
      <c r="G538" s="99"/>
      <c r="H538" s="21"/>
      <c r="I538" s="21"/>
      <c r="J538" s="21"/>
      <c r="K538" s="5" t="str">
        <f>IF(AND(LEN(H538)=0, LEN(I538)=0), "", IF(AND(LEN(H538)&gt;0, LEN(I538)=0), "BLANCO", IFERROR(VLOOKUP(I538, BasedatosM9!A:B, 2, FALSE), "BLANCO")))</f>
        <v/>
      </c>
      <c r="W538" s="5" t="str">
        <f>IF(AND(LEN(T538)=0, LEN(U538)=0), "", IF(AND(LEN(T538)&gt;0, LEN(U538)=0), "BLANCO", IFERROR(VLOOKUP(U538, BasedatosM9!A:B, 2, FALSE), "BLANCO")))</f>
        <v/>
      </c>
      <c r="AI538" s="5" t="str">
        <f>IF(AND(LEN(AF538)=0, LEN(AG538)=0), "", IF(AND(LEN(AF538)&gt;0, LEN(AG538)=0), "BLANCO", IFERROR(VLOOKUP(AG538, BasedatosM9!A:B, 2, FALSE), "BLANCO")))</f>
        <v/>
      </c>
      <c r="AU538" s="5" t="str">
        <f>IF(AND(LEN(AR538)=0, LEN(AS538)=0), "", IF(AND(LEN(AR538)&gt;0, LEN(AS538)=0), "BLANCO", IFERROR(VLOOKUP(AS538, BasedatosM9!A:B, 2, FALSE), "BLANCO")))</f>
        <v/>
      </c>
    </row>
    <row r="539" spans="1:47" ht="14.4">
      <c r="A539" s="21"/>
      <c r="B539" s="86"/>
      <c r="C539" s="98"/>
      <c r="D539" s="21"/>
      <c r="E539" s="86"/>
      <c r="F539" s="99"/>
      <c r="G539" s="99"/>
      <c r="H539" s="21"/>
      <c r="I539" s="86"/>
      <c r="J539" s="21"/>
      <c r="K539" s="5" t="str">
        <f>IF(AND(LEN(H539)=0, LEN(I539)=0), "", IF(AND(LEN(H539)&gt;0, LEN(I539)=0), "BLANCO", IFERROR(VLOOKUP(I539, BasedatosM9!A:B, 2, FALSE), "BLANCO")))</f>
        <v/>
      </c>
      <c r="W539" s="5" t="str">
        <f>IF(AND(LEN(T539)=0, LEN(U539)=0), "", IF(AND(LEN(T539)&gt;0, LEN(U539)=0), "BLANCO", IFERROR(VLOOKUP(U539, BasedatosM9!A:B, 2, FALSE), "BLANCO")))</f>
        <v/>
      </c>
      <c r="AI539" s="5" t="str">
        <f>IF(AND(LEN(AF539)=0, LEN(AG539)=0), "", IF(AND(LEN(AF539)&gt;0, LEN(AG539)=0), "BLANCO", IFERROR(VLOOKUP(AG539, BasedatosM9!A:B, 2, FALSE), "BLANCO")))</f>
        <v/>
      </c>
      <c r="AU539" s="5" t="str">
        <f>IF(AND(LEN(AR539)=0, LEN(AS539)=0), "", IF(AND(LEN(AR539)&gt;0, LEN(AS539)=0), "BLANCO", IFERROR(VLOOKUP(AS539, BasedatosM9!A:B, 2, FALSE), "BLANCO")))</f>
        <v/>
      </c>
    </row>
    <row r="540" spans="1:47" ht="14.4">
      <c r="A540" s="21"/>
      <c r="B540" s="86"/>
      <c r="C540" s="98"/>
      <c r="D540" s="21"/>
      <c r="E540" s="86"/>
      <c r="F540" s="99"/>
      <c r="G540" s="99"/>
      <c r="H540" s="21"/>
      <c r="I540" s="86"/>
      <c r="J540" s="21"/>
      <c r="K540" s="5" t="str">
        <f>IF(AND(LEN(H540)=0, LEN(I540)=0), "", IF(AND(LEN(H540)&gt;0, LEN(I540)=0), "BLANCO", IFERROR(VLOOKUP(I540, BasedatosM9!A:B, 2, FALSE), "BLANCO")))</f>
        <v/>
      </c>
      <c r="W540" s="5" t="str">
        <f>IF(AND(LEN(T540)=0, LEN(U540)=0), "", IF(AND(LEN(T540)&gt;0, LEN(U540)=0), "BLANCO", IFERROR(VLOOKUP(U540, BasedatosM9!A:B, 2, FALSE), "BLANCO")))</f>
        <v/>
      </c>
      <c r="AI540" s="5" t="str">
        <f>IF(AND(LEN(AF540)=0, LEN(AG540)=0), "", IF(AND(LEN(AF540)&gt;0, LEN(AG540)=0), "BLANCO", IFERROR(VLOOKUP(AG540, BasedatosM9!A:B, 2, FALSE), "BLANCO")))</f>
        <v/>
      </c>
      <c r="AU540" s="5" t="str">
        <f>IF(AND(LEN(AR540)=0, LEN(AS540)=0), "", IF(AND(LEN(AR540)&gt;0, LEN(AS540)=0), "BLANCO", IFERROR(VLOOKUP(AS540, BasedatosM9!A:B, 2, FALSE), "BLANCO")))</f>
        <v/>
      </c>
    </row>
    <row r="541" spans="1:47" ht="14.4">
      <c r="A541" s="21"/>
      <c r="B541" s="86"/>
      <c r="C541" s="98"/>
      <c r="D541" s="21"/>
      <c r="E541" s="86"/>
      <c r="F541" s="99"/>
      <c r="G541" s="99"/>
      <c r="H541" s="21"/>
      <c r="I541" s="86"/>
      <c r="J541" s="21"/>
      <c r="K541" s="5" t="str">
        <f>IF(AND(LEN(H541)=0, LEN(I541)=0), "", IF(AND(LEN(H541)&gt;0, LEN(I541)=0), "BLANCO", IFERROR(VLOOKUP(I541, BasedatosM9!A:B, 2, FALSE), "BLANCO")))</f>
        <v/>
      </c>
      <c r="W541" s="5" t="str">
        <f>IF(AND(LEN(T541)=0, LEN(U541)=0), "", IF(AND(LEN(T541)&gt;0, LEN(U541)=0), "BLANCO", IFERROR(VLOOKUP(U541, BasedatosM9!A:B, 2, FALSE), "BLANCO")))</f>
        <v/>
      </c>
      <c r="AI541" s="5" t="str">
        <f>IF(AND(LEN(AF541)=0, LEN(AG541)=0), "", IF(AND(LEN(AF541)&gt;0, LEN(AG541)=0), "BLANCO", IFERROR(VLOOKUP(AG541, BasedatosM9!A:B, 2, FALSE), "BLANCO")))</f>
        <v/>
      </c>
      <c r="AU541" s="5" t="str">
        <f>IF(AND(LEN(AR541)=0, LEN(AS541)=0), "", IF(AND(LEN(AR541)&gt;0, LEN(AS541)=0), "BLANCO", IFERROR(VLOOKUP(AS541, BasedatosM9!A:B, 2, FALSE), "BLANCO")))</f>
        <v/>
      </c>
    </row>
    <row r="542" spans="1:47" ht="14.4">
      <c r="A542" s="21"/>
      <c r="B542" s="86"/>
      <c r="C542" s="98"/>
      <c r="D542" s="21"/>
      <c r="E542" s="86"/>
      <c r="F542" s="99"/>
      <c r="G542" s="99"/>
      <c r="H542" s="21"/>
      <c r="I542" s="86"/>
      <c r="J542" s="21"/>
      <c r="K542" s="5" t="str">
        <f>IF(AND(LEN(H542)=0, LEN(I542)=0), "", IF(AND(LEN(H542)&gt;0, LEN(I542)=0), "BLANCO", IFERROR(VLOOKUP(I542, BasedatosM9!A:B, 2, FALSE), "BLANCO")))</f>
        <v/>
      </c>
      <c r="W542" s="5" t="str">
        <f>IF(AND(LEN(T542)=0, LEN(U542)=0), "", IF(AND(LEN(T542)&gt;0, LEN(U542)=0), "BLANCO", IFERROR(VLOOKUP(U542, BasedatosM9!A:B, 2, FALSE), "BLANCO")))</f>
        <v/>
      </c>
      <c r="AI542" s="5" t="str">
        <f>IF(AND(LEN(AF542)=0, LEN(AG542)=0), "", IF(AND(LEN(AF542)&gt;0, LEN(AG542)=0), "BLANCO", IFERROR(VLOOKUP(AG542, BasedatosM9!A:B, 2, FALSE), "BLANCO")))</f>
        <v/>
      </c>
      <c r="AU542" s="5" t="str">
        <f>IF(AND(LEN(AR542)=0, LEN(AS542)=0), "", IF(AND(LEN(AR542)&gt;0, LEN(AS542)=0), "BLANCO", IFERROR(VLOOKUP(AS542, BasedatosM9!A:B, 2, FALSE), "BLANCO")))</f>
        <v/>
      </c>
    </row>
    <row r="543" spans="1:47" ht="14.4">
      <c r="A543" s="21"/>
      <c r="B543" s="86"/>
      <c r="C543" s="98"/>
      <c r="D543" s="21"/>
      <c r="E543" s="86"/>
      <c r="F543" s="99"/>
      <c r="G543" s="99"/>
      <c r="H543" s="21"/>
      <c r="I543" s="86"/>
      <c r="J543" s="21"/>
      <c r="K543" s="5" t="str">
        <f>IF(AND(LEN(H543)=0, LEN(I543)=0), "", IF(AND(LEN(H543)&gt;0, LEN(I543)=0), "BLANCO", IFERROR(VLOOKUP(I543, BasedatosM9!A:B, 2, FALSE), "BLANCO")))</f>
        <v/>
      </c>
      <c r="W543" s="5" t="str">
        <f>IF(AND(LEN(T543)=0, LEN(U543)=0), "", IF(AND(LEN(T543)&gt;0, LEN(U543)=0), "BLANCO", IFERROR(VLOOKUP(U543, BasedatosM9!A:B, 2, FALSE), "BLANCO")))</f>
        <v/>
      </c>
      <c r="AI543" s="5" t="str">
        <f>IF(AND(LEN(AF543)=0, LEN(AG543)=0), "", IF(AND(LEN(AF543)&gt;0, LEN(AG543)=0), "BLANCO", IFERROR(VLOOKUP(AG543, BasedatosM9!A:B, 2, FALSE), "BLANCO")))</f>
        <v/>
      </c>
      <c r="AU543" s="5" t="str">
        <f>IF(AND(LEN(AR543)=0, LEN(AS543)=0), "", IF(AND(LEN(AR543)&gt;0, LEN(AS543)=0), "BLANCO", IFERROR(VLOOKUP(AS543, BasedatosM9!A:B, 2, FALSE), "BLANCO")))</f>
        <v/>
      </c>
    </row>
    <row r="544" spans="1:47" ht="14.4">
      <c r="A544" s="21"/>
      <c r="B544" s="86"/>
      <c r="C544" s="98"/>
      <c r="D544" s="21"/>
      <c r="E544" s="86"/>
      <c r="F544" s="99"/>
      <c r="G544" s="99"/>
      <c r="H544" s="21"/>
      <c r="I544" s="21"/>
      <c r="J544" s="21"/>
      <c r="K544" s="5" t="str">
        <f>IF(AND(LEN(H544)=0, LEN(I544)=0), "", IF(AND(LEN(H544)&gt;0, LEN(I544)=0), "BLANCO", IFERROR(VLOOKUP(I544, BasedatosM9!A:B, 2, FALSE), "BLANCO")))</f>
        <v/>
      </c>
      <c r="W544" s="5" t="str">
        <f>IF(AND(LEN(T544)=0, LEN(U544)=0), "", IF(AND(LEN(T544)&gt;0, LEN(U544)=0), "BLANCO", IFERROR(VLOOKUP(U544, BasedatosM9!A:B, 2, FALSE), "BLANCO")))</f>
        <v/>
      </c>
      <c r="AI544" s="5" t="str">
        <f>IF(AND(LEN(AF544)=0, LEN(AG544)=0), "", IF(AND(LEN(AF544)&gt;0, LEN(AG544)=0), "BLANCO", IFERROR(VLOOKUP(AG544, BasedatosM9!A:B, 2, FALSE), "BLANCO")))</f>
        <v/>
      </c>
      <c r="AU544" s="5" t="str">
        <f>IF(AND(LEN(AR544)=0, LEN(AS544)=0), "", IF(AND(LEN(AR544)&gt;0, LEN(AS544)=0), "BLANCO", IFERROR(VLOOKUP(AS544, BasedatosM9!A:B, 2, FALSE), "BLANCO")))</f>
        <v/>
      </c>
    </row>
    <row r="545" spans="1:47" ht="14.4">
      <c r="A545" s="21"/>
      <c r="B545" s="86"/>
      <c r="C545" s="98"/>
      <c r="D545" s="21"/>
      <c r="E545" s="86"/>
      <c r="F545" s="99"/>
      <c r="G545" s="99"/>
      <c r="H545" s="21"/>
      <c r="I545" s="21"/>
      <c r="J545" s="21"/>
      <c r="K545" s="5" t="str">
        <f>IF(AND(LEN(H545)=0, LEN(I545)=0), "", IF(AND(LEN(H545)&gt;0, LEN(I545)=0), "BLANCO", IFERROR(VLOOKUP(I545, BasedatosM9!A:B, 2, FALSE), "BLANCO")))</f>
        <v/>
      </c>
      <c r="W545" s="5" t="str">
        <f>IF(AND(LEN(T545)=0, LEN(U545)=0), "", IF(AND(LEN(T545)&gt;0, LEN(U545)=0), "BLANCO", IFERROR(VLOOKUP(U545, BasedatosM9!A:B, 2, FALSE), "BLANCO")))</f>
        <v/>
      </c>
      <c r="AI545" s="5" t="str">
        <f>IF(AND(LEN(AF545)=0, LEN(AG545)=0), "", IF(AND(LEN(AF545)&gt;0, LEN(AG545)=0), "BLANCO", IFERROR(VLOOKUP(AG545, BasedatosM9!A:B, 2, FALSE), "BLANCO")))</f>
        <v/>
      </c>
      <c r="AU545" s="5" t="str">
        <f>IF(AND(LEN(AR545)=0, LEN(AS545)=0), "", IF(AND(LEN(AR545)&gt;0, LEN(AS545)=0), "BLANCO", IFERROR(VLOOKUP(AS545, BasedatosM9!A:B, 2, FALSE), "BLANCO")))</f>
        <v/>
      </c>
    </row>
    <row r="546" spans="1:47" ht="14.4">
      <c r="A546" s="21"/>
      <c r="B546" s="86"/>
      <c r="C546" s="98"/>
      <c r="D546" s="21"/>
      <c r="E546" s="86"/>
      <c r="F546" s="99"/>
      <c r="G546" s="99"/>
      <c r="H546" s="21"/>
      <c r="I546" s="21"/>
      <c r="J546" s="21"/>
      <c r="K546" s="5" t="str">
        <f>IF(AND(LEN(H546)=0, LEN(I546)=0), "", IF(AND(LEN(H546)&gt;0, LEN(I546)=0), "BLANCO", IFERROR(VLOOKUP(I546, BasedatosM9!A:B, 2, FALSE), "BLANCO")))</f>
        <v/>
      </c>
      <c r="W546" s="5" t="str">
        <f>IF(AND(LEN(T546)=0, LEN(U546)=0), "", IF(AND(LEN(T546)&gt;0, LEN(U546)=0), "BLANCO", IFERROR(VLOOKUP(U546, BasedatosM9!A:B, 2, FALSE), "BLANCO")))</f>
        <v/>
      </c>
      <c r="AI546" s="5" t="str">
        <f>IF(AND(LEN(AF546)=0, LEN(AG546)=0), "", IF(AND(LEN(AF546)&gt;0, LEN(AG546)=0), "BLANCO", IFERROR(VLOOKUP(AG546, BasedatosM9!A:B, 2, FALSE), "BLANCO")))</f>
        <v/>
      </c>
      <c r="AU546" s="5" t="str">
        <f>IF(AND(LEN(AR546)=0, LEN(AS546)=0), "", IF(AND(LEN(AR546)&gt;0, LEN(AS546)=0), "BLANCO", IFERROR(VLOOKUP(AS546, BasedatosM9!A:B, 2, FALSE), "BLANCO")))</f>
        <v/>
      </c>
    </row>
    <row r="547" spans="1:47" ht="14.4">
      <c r="A547" s="21"/>
      <c r="B547" s="86"/>
      <c r="C547" s="98"/>
      <c r="D547" s="21"/>
      <c r="E547" s="86"/>
      <c r="F547" s="99"/>
      <c r="G547" s="99"/>
      <c r="H547" s="21"/>
      <c r="I547" s="86"/>
      <c r="J547" s="21"/>
      <c r="K547" s="5" t="str">
        <f>IF(AND(LEN(H547)=0, LEN(I547)=0), "", IF(AND(LEN(H547)&gt;0, LEN(I547)=0), "BLANCO", IFERROR(VLOOKUP(I547, BasedatosM9!A:B, 2, FALSE), "BLANCO")))</f>
        <v/>
      </c>
      <c r="W547" s="5" t="str">
        <f>IF(AND(LEN(T547)=0, LEN(U547)=0), "", IF(AND(LEN(T547)&gt;0, LEN(U547)=0), "BLANCO", IFERROR(VLOOKUP(U547, BasedatosM9!A:B, 2, FALSE), "BLANCO")))</f>
        <v/>
      </c>
      <c r="AI547" s="5" t="str">
        <f>IF(AND(LEN(AF547)=0, LEN(AG547)=0), "", IF(AND(LEN(AF547)&gt;0, LEN(AG547)=0), "BLANCO", IFERROR(VLOOKUP(AG547, BasedatosM9!A:B, 2, FALSE), "BLANCO")))</f>
        <v/>
      </c>
      <c r="AU547" s="5" t="str">
        <f>IF(AND(LEN(AR547)=0, LEN(AS547)=0), "", IF(AND(LEN(AR547)&gt;0, LEN(AS547)=0), "BLANCO", IFERROR(VLOOKUP(AS547, BasedatosM9!A:B, 2, FALSE), "BLANCO")))</f>
        <v/>
      </c>
    </row>
    <row r="548" spans="1:47" ht="14.4">
      <c r="A548" s="21"/>
      <c r="B548" s="86"/>
      <c r="C548" s="98"/>
      <c r="D548" s="21"/>
      <c r="E548" s="86"/>
      <c r="F548" s="99"/>
      <c r="G548" s="99"/>
      <c r="H548" s="21"/>
      <c r="I548" s="21"/>
      <c r="J548" s="21"/>
      <c r="K548" s="5" t="str">
        <f>IF(AND(LEN(H548)=0, LEN(I548)=0), "", IF(AND(LEN(H548)&gt;0, LEN(I548)=0), "BLANCO", IFERROR(VLOOKUP(I548, BasedatosM9!A:B, 2, FALSE), "BLANCO")))</f>
        <v/>
      </c>
      <c r="W548" s="5" t="str">
        <f>IF(AND(LEN(T548)=0, LEN(U548)=0), "", IF(AND(LEN(T548)&gt;0, LEN(U548)=0), "BLANCO", IFERROR(VLOOKUP(U548, BasedatosM9!A:B, 2, FALSE), "BLANCO")))</f>
        <v/>
      </c>
      <c r="AI548" s="5" t="str">
        <f>IF(AND(LEN(AF548)=0, LEN(AG548)=0), "", IF(AND(LEN(AF548)&gt;0, LEN(AG548)=0), "BLANCO", IFERROR(VLOOKUP(AG548, BasedatosM9!A:B, 2, FALSE), "BLANCO")))</f>
        <v/>
      </c>
      <c r="AU548" s="5" t="str">
        <f>IF(AND(LEN(AR548)=0, LEN(AS548)=0), "", IF(AND(LEN(AR548)&gt;0, LEN(AS548)=0), "BLANCO", IFERROR(VLOOKUP(AS548, BasedatosM9!A:B, 2, FALSE), "BLANCO")))</f>
        <v/>
      </c>
    </row>
    <row r="549" spans="1:47" ht="14.4">
      <c r="A549" s="21"/>
      <c r="B549" s="86"/>
      <c r="C549" s="98"/>
      <c r="D549" s="21"/>
      <c r="E549" s="86"/>
      <c r="F549" s="99"/>
      <c r="G549" s="99"/>
      <c r="H549" s="21"/>
      <c r="I549" s="21"/>
      <c r="J549" s="21"/>
      <c r="K549" s="5" t="str">
        <f>IF(AND(LEN(H549)=0, LEN(I549)=0), "", IF(AND(LEN(H549)&gt;0, LEN(I549)=0), "BLANCO", IFERROR(VLOOKUP(I549, BasedatosM9!A:B, 2, FALSE), "BLANCO")))</f>
        <v/>
      </c>
      <c r="W549" s="5" t="str">
        <f>IF(AND(LEN(T549)=0, LEN(U549)=0), "", IF(AND(LEN(T549)&gt;0, LEN(U549)=0), "BLANCO", IFERROR(VLOOKUP(U549, BasedatosM9!A:B, 2, FALSE), "BLANCO")))</f>
        <v/>
      </c>
      <c r="AI549" s="5" t="str">
        <f>IF(AND(LEN(AF549)=0, LEN(AG549)=0), "", IF(AND(LEN(AF549)&gt;0, LEN(AG549)=0), "BLANCO", IFERROR(VLOOKUP(AG549, BasedatosM9!A:B, 2, FALSE), "BLANCO")))</f>
        <v/>
      </c>
      <c r="AU549" s="5" t="str">
        <f>IF(AND(LEN(AR549)=0, LEN(AS549)=0), "", IF(AND(LEN(AR549)&gt;0, LEN(AS549)=0), "BLANCO", IFERROR(VLOOKUP(AS549, BasedatosM9!A:B, 2, FALSE), "BLANCO")))</f>
        <v/>
      </c>
    </row>
    <row r="550" spans="1:47" ht="14.4">
      <c r="A550" s="21"/>
      <c r="B550" s="86"/>
      <c r="C550" s="98"/>
      <c r="D550" s="21"/>
      <c r="E550" s="86"/>
      <c r="F550" s="99"/>
      <c r="G550" s="99"/>
      <c r="H550" s="21"/>
      <c r="I550" s="21"/>
      <c r="J550" s="21"/>
      <c r="K550" s="5" t="str">
        <f>IF(AND(LEN(H550)=0, LEN(I550)=0), "", IF(AND(LEN(H550)&gt;0, LEN(I550)=0), "BLANCO", IFERROR(VLOOKUP(I550, BasedatosM9!A:B, 2, FALSE), "BLANCO")))</f>
        <v/>
      </c>
      <c r="W550" s="5" t="str">
        <f>IF(AND(LEN(T550)=0, LEN(U550)=0), "", IF(AND(LEN(T550)&gt;0, LEN(U550)=0), "BLANCO", IFERROR(VLOOKUP(U550, BasedatosM9!A:B, 2, FALSE), "BLANCO")))</f>
        <v/>
      </c>
      <c r="AI550" s="5" t="str">
        <f>IF(AND(LEN(AF550)=0, LEN(AG550)=0), "", IF(AND(LEN(AF550)&gt;0, LEN(AG550)=0), "BLANCO", IFERROR(VLOOKUP(AG550, BasedatosM9!A:B, 2, FALSE), "BLANCO")))</f>
        <v/>
      </c>
      <c r="AU550" s="5" t="str">
        <f>IF(AND(LEN(AR550)=0, LEN(AS550)=0), "", IF(AND(LEN(AR550)&gt;0, LEN(AS550)=0), "BLANCO", IFERROR(VLOOKUP(AS550, BasedatosM9!A:B, 2, FALSE), "BLANCO")))</f>
        <v/>
      </c>
    </row>
    <row r="551" spans="1:47" ht="14.4">
      <c r="A551" s="21"/>
      <c r="B551" s="86"/>
      <c r="C551" s="98"/>
      <c r="D551" s="21"/>
      <c r="E551" s="86"/>
      <c r="F551" s="99"/>
      <c r="G551" s="99"/>
      <c r="H551" s="21"/>
      <c r="I551" s="21"/>
      <c r="J551" s="21"/>
      <c r="K551" s="5" t="str">
        <f>IF(AND(LEN(H551)=0, LEN(I551)=0), "", IF(AND(LEN(H551)&gt;0, LEN(I551)=0), "BLANCO", IFERROR(VLOOKUP(I551, BasedatosM9!A:B, 2, FALSE), "BLANCO")))</f>
        <v/>
      </c>
      <c r="W551" s="5" t="str">
        <f>IF(AND(LEN(T551)=0, LEN(U551)=0), "", IF(AND(LEN(T551)&gt;0, LEN(U551)=0), "BLANCO", IFERROR(VLOOKUP(U551, BasedatosM9!A:B, 2, FALSE), "BLANCO")))</f>
        <v/>
      </c>
      <c r="AI551" s="5" t="str">
        <f>IF(AND(LEN(AF551)=0, LEN(AG551)=0), "", IF(AND(LEN(AF551)&gt;0, LEN(AG551)=0), "BLANCO", IFERROR(VLOOKUP(AG551, BasedatosM9!A:B, 2, FALSE), "BLANCO")))</f>
        <v/>
      </c>
      <c r="AU551" s="5" t="str">
        <f>IF(AND(LEN(AR551)=0, LEN(AS551)=0), "", IF(AND(LEN(AR551)&gt;0, LEN(AS551)=0), "BLANCO", IFERROR(VLOOKUP(AS551, BasedatosM9!A:B, 2, FALSE), "BLANCO")))</f>
        <v/>
      </c>
    </row>
    <row r="552" spans="1:47" ht="14.4">
      <c r="A552" s="21"/>
      <c r="B552" s="86"/>
      <c r="C552" s="98"/>
      <c r="D552" s="21"/>
      <c r="E552" s="86"/>
      <c r="F552" s="99"/>
      <c r="G552" s="99"/>
      <c r="H552" s="21"/>
      <c r="I552" s="21"/>
      <c r="J552" s="21"/>
      <c r="K552" s="5" t="str">
        <f>IF(AND(LEN(H552)=0, LEN(I552)=0), "", IF(AND(LEN(H552)&gt;0, LEN(I552)=0), "BLANCO", IFERROR(VLOOKUP(I552, BasedatosM9!A:B, 2, FALSE), "BLANCO")))</f>
        <v/>
      </c>
      <c r="W552" s="5" t="str">
        <f>IF(AND(LEN(T552)=0, LEN(U552)=0), "", IF(AND(LEN(T552)&gt;0, LEN(U552)=0), "BLANCO", IFERROR(VLOOKUP(U552, BasedatosM9!A:B, 2, FALSE), "BLANCO")))</f>
        <v/>
      </c>
      <c r="AI552" s="5" t="str">
        <f>IF(AND(LEN(AF552)=0, LEN(AG552)=0), "", IF(AND(LEN(AF552)&gt;0, LEN(AG552)=0), "BLANCO", IFERROR(VLOOKUP(AG552, BasedatosM9!A:B, 2, FALSE), "BLANCO")))</f>
        <v/>
      </c>
      <c r="AU552" s="5" t="str">
        <f>IF(AND(LEN(AR552)=0, LEN(AS552)=0), "", IF(AND(LEN(AR552)&gt;0, LEN(AS552)=0), "BLANCO", IFERROR(VLOOKUP(AS552, BasedatosM9!A:B, 2, FALSE), "BLANCO")))</f>
        <v/>
      </c>
    </row>
    <row r="553" spans="1:47" ht="14.4">
      <c r="A553" s="21"/>
      <c r="B553" s="86"/>
      <c r="C553" s="98"/>
      <c r="D553" s="21"/>
      <c r="E553" s="86"/>
      <c r="F553" s="99"/>
      <c r="G553" s="99"/>
      <c r="H553" s="21"/>
      <c r="I553" s="21"/>
      <c r="J553" s="21"/>
      <c r="K553" s="5" t="str">
        <f>IF(AND(LEN(H553)=0, LEN(I553)=0), "", IF(AND(LEN(H553)&gt;0, LEN(I553)=0), "BLANCO", IFERROR(VLOOKUP(I553, BasedatosM9!A:B, 2, FALSE), "BLANCO")))</f>
        <v/>
      </c>
      <c r="W553" s="5" t="str">
        <f>IF(AND(LEN(T553)=0, LEN(U553)=0), "", IF(AND(LEN(T553)&gt;0, LEN(U553)=0), "BLANCO", IFERROR(VLOOKUP(U553, BasedatosM9!A:B, 2, FALSE), "BLANCO")))</f>
        <v/>
      </c>
      <c r="AI553" s="5" t="str">
        <f>IF(AND(LEN(AF553)=0, LEN(AG553)=0), "", IF(AND(LEN(AF553)&gt;0, LEN(AG553)=0), "BLANCO", IFERROR(VLOOKUP(AG553, BasedatosM9!A:B, 2, FALSE), "BLANCO")))</f>
        <v/>
      </c>
      <c r="AU553" s="5" t="str">
        <f>IF(AND(LEN(AR553)=0, LEN(AS553)=0), "", IF(AND(LEN(AR553)&gt;0, LEN(AS553)=0), "BLANCO", IFERROR(VLOOKUP(AS553, BasedatosM9!A:B, 2, FALSE), "BLANCO")))</f>
        <v/>
      </c>
    </row>
    <row r="554" spans="1:47" ht="14.4">
      <c r="A554" s="21"/>
      <c r="B554" s="86"/>
      <c r="C554" s="98"/>
      <c r="D554" s="21"/>
      <c r="E554" s="86"/>
      <c r="F554" s="99"/>
      <c r="G554" s="99"/>
      <c r="H554" s="21"/>
      <c r="I554" s="21"/>
      <c r="J554" s="21"/>
      <c r="K554" s="5" t="str">
        <f>IF(AND(LEN(H554)=0, LEN(I554)=0), "", IF(AND(LEN(H554)&gt;0, LEN(I554)=0), "BLANCO", IFERROR(VLOOKUP(I554, BasedatosM9!A:B, 2, FALSE), "BLANCO")))</f>
        <v/>
      </c>
      <c r="W554" s="5" t="str">
        <f>IF(AND(LEN(T554)=0, LEN(U554)=0), "", IF(AND(LEN(T554)&gt;0, LEN(U554)=0), "BLANCO", IFERROR(VLOOKUP(U554, BasedatosM9!A:B, 2, FALSE), "BLANCO")))</f>
        <v/>
      </c>
      <c r="AI554" s="5" t="str">
        <f>IF(AND(LEN(AF554)=0, LEN(AG554)=0), "", IF(AND(LEN(AF554)&gt;0, LEN(AG554)=0), "BLANCO", IFERROR(VLOOKUP(AG554, BasedatosM9!A:B, 2, FALSE), "BLANCO")))</f>
        <v/>
      </c>
      <c r="AU554" s="5" t="str">
        <f>IF(AND(LEN(AR554)=0, LEN(AS554)=0), "", IF(AND(LEN(AR554)&gt;0, LEN(AS554)=0), "BLANCO", IFERROR(VLOOKUP(AS554, BasedatosM9!A:B, 2, FALSE), "BLANCO")))</f>
        <v/>
      </c>
    </row>
    <row r="555" spans="1:47" ht="14.4">
      <c r="A555" s="21"/>
      <c r="B555" s="86"/>
      <c r="C555" s="98"/>
      <c r="D555" s="21"/>
      <c r="E555" s="86"/>
      <c r="F555" s="99"/>
      <c r="G555" s="99"/>
      <c r="H555" s="21"/>
      <c r="I555" s="21"/>
      <c r="J555" s="21"/>
      <c r="K555" s="5" t="str">
        <f>IF(AND(LEN(H555)=0, LEN(I555)=0), "", IF(AND(LEN(H555)&gt;0, LEN(I555)=0), "BLANCO", IFERROR(VLOOKUP(I555, BasedatosM9!A:B, 2, FALSE), "BLANCO")))</f>
        <v/>
      </c>
      <c r="W555" s="5" t="str">
        <f>IF(AND(LEN(T555)=0, LEN(U555)=0), "", IF(AND(LEN(T555)&gt;0, LEN(U555)=0), "BLANCO", IFERROR(VLOOKUP(U555, BasedatosM9!A:B, 2, FALSE), "BLANCO")))</f>
        <v/>
      </c>
      <c r="AI555" s="5" t="str">
        <f>IF(AND(LEN(AF555)=0, LEN(AG555)=0), "", IF(AND(LEN(AF555)&gt;0, LEN(AG555)=0), "BLANCO", IFERROR(VLOOKUP(AG555, BasedatosM9!A:B, 2, FALSE), "BLANCO")))</f>
        <v/>
      </c>
      <c r="AU555" s="5" t="str">
        <f>IF(AND(LEN(AR555)=0, LEN(AS555)=0), "", IF(AND(LEN(AR555)&gt;0, LEN(AS555)=0), "BLANCO", IFERROR(VLOOKUP(AS555, BasedatosM9!A:B, 2, FALSE), "BLANCO")))</f>
        <v/>
      </c>
    </row>
    <row r="556" spans="1:47" ht="14.4">
      <c r="A556" s="21"/>
      <c r="B556" s="86"/>
      <c r="C556" s="98"/>
      <c r="D556" s="21"/>
      <c r="E556" s="86"/>
      <c r="F556" s="99"/>
      <c r="G556" s="99"/>
      <c r="H556" s="21"/>
      <c r="I556" s="21"/>
      <c r="J556" s="21"/>
      <c r="K556" s="5" t="str">
        <f>IF(AND(LEN(H556)=0, LEN(I556)=0), "", IF(AND(LEN(H556)&gt;0, LEN(I556)=0), "BLANCO", IFERROR(VLOOKUP(I556, BasedatosM9!A:B, 2, FALSE), "BLANCO")))</f>
        <v/>
      </c>
      <c r="W556" s="5" t="str">
        <f>IF(AND(LEN(T556)=0, LEN(U556)=0), "", IF(AND(LEN(T556)&gt;0, LEN(U556)=0), "BLANCO", IFERROR(VLOOKUP(U556, BasedatosM9!A:B, 2, FALSE), "BLANCO")))</f>
        <v/>
      </c>
      <c r="AI556" s="5" t="str">
        <f>IF(AND(LEN(AF556)=0, LEN(AG556)=0), "", IF(AND(LEN(AF556)&gt;0, LEN(AG556)=0), "BLANCO", IFERROR(VLOOKUP(AG556, BasedatosM9!A:B, 2, FALSE), "BLANCO")))</f>
        <v/>
      </c>
      <c r="AU556" s="5" t="str">
        <f>IF(AND(LEN(AR556)=0, LEN(AS556)=0), "", IF(AND(LEN(AR556)&gt;0, LEN(AS556)=0), "BLANCO", IFERROR(VLOOKUP(AS556, BasedatosM9!A:B, 2, FALSE), "BLANCO")))</f>
        <v/>
      </c>
    </row>
    <row r="557" spans="1:47" ht="14.4">
      <c r="A557" s="21"/>
      <c r="B557" s="86"/>
      <c r="C557" s="98"/>
      <c r="D557" s="21"/>
      <c r="E557" s="86"/>
      <c r="F557" s="99"/>
      <c r="G557" s="99"/>
      <c r="H557" s="21"/>
      <c r="I557" s="21"/>
      <c r="J557" s="21"/>
      <c r="K557" s="5" t="str">
        <f>IF(AND(LEN(H557)=0, LEN(I557)=0), "", IF(AND(LEN(H557)&gt;0, LEN(I557)=0), "BLANCO", IFERROR(VLOOKUP(I557, BasedatosM9!A:B, 2, FALSE), "BLANCO")))</f>
        <v/>
      </c>
      <c r="W557" s="5" t="str">
        <f>IF(AND(LEN(T557)=0, LEN(U557)=0), "", IF(AND(LEN(T557)&gt;0, LEN(U557)=0), "BLANCO", IFERROR(VLOOKUP(U557, BasedatosM9!A:B, 2, FALSE), "BLANCO")))</f>
        <v/>
      </c>
      <c r="AI557" s="5" t="str">
        <f>IF(AND(LEN(AF557)=0, LEN(AG557)=0), "", IF(AND(LEN(AF557)&gt;0, LEN(AG557)=0), "BLANCO", IFERROR(VLOOKUP(AG557, BasedatosM9!A:B, 2, FALSE), "BLANCO")))</f>
        <v/>
      </c>
      <c r="AU557" s="5" t="str">
        <f>IF(AND(LEN(AR557)=0, LEN(AS557)=0), "", IF(AND(LEN(AR557)&gt;0, LEN(AS557)=0), "BLANCO", IFERROR(VLOOKUP(AS557, BasedatosM9!A:B, 2, FALSE), "BLANCO")))</f>
        <v/>
      </c>
    </row>
    <row r="558" spans="1:47" ht="14.4">
      <c r="A558" s="21"/>
      <c r="B558" s="86"/>
      <c r="C558" s="98"/>
      <c r="D558" s="21"/>
      <c r="E558" s="86"/>
      <c r="F558" s="99"/>
      <c r="G558" s="99"/>
      <c r="H558" s="21"/>
      <c r="I558" s="21"/>
      <c r="J558" s="21"/>
      <c r="K558" s="5" t="str">
        <f>IF(AND(LEN(H558)=0, LEN(I558)=0), "", IF(AND(LEN(H558)&gt;0, LEN(I558)=0), "BLANCO", IFERROR(VLOOKUP(I558, BasedatosM9!A:B, 2, FALSE), "BLANCO")))</f>
        <v/>
      </c>
      <c r="W558" s="5" t="str">
        <f>IF(AND(LEN(T558)=0, LEN(U558)=0), "", IF(AND(LEN(T558)&gt;0, LEN(U558)=0), "BLANCO", IFERROR(VLOOKUP(U558, BasedatosM9!A:B, 2, FALSE), "BLANCO")))</f>
        <v/>
      </c>
      <c r="AI558" s="5" t="str">
        <f>IF(AND(LEN(AF558)=0, LEN(AG558)=0), "", IF(AND(LEN(AF558)&gt;0, LEN(AG558)=0), "BLANCO", IFERROR(VLOOKUP(AG558, BasedatosM9!A:B, 2, FALSE), "BLANCO")))</f>
        <v/>
      </c>
      <c r="AU558" s="5" t="str">
        <f>IF(AND(LEN(AR558)=0, LEN(AS558)=0), "", IF(AND(LEN(AR558)&gt;0, LEN(AS558)=0), "BLANCO", IFERROR(VLOOKUP(AS558, BasedatosM9!A:B, 2, FALSE), "BLANCO")))</f>
        <v/>
      </c>
    </row>
    <row r="559" spans="1:47" ht="14.4">
      <c r="A559" s="21"/>
      <c r="B559" s="86"/>
      <c r="C559" s="98"/>
      <c r="D559" s="21"/>
      <c r="E559" s="86"/>
      <c r="F559" s="99"/>
      <c r="G559" s="99"/>
      <c r="H559" s="21"/>
      <c r="I559" s="21"/>
      <c r="J559" s="21"/>
      <c r="K559" s="5" t="str">
        <f>IF(AND(LEN(H559)=0, LEN(I559)=0), "", IF(AND(LEN(H559)&gt;0, LEN(I559)=0), "BLANCO", IFERROR(VLOOKUP(I559, BasedatosM9!A:B, 2, FALSE), "BLANCO")))</f>
        <v/>
      </c>
      <c r="W559" s="5" t="str">
        <f>IF(AND(LEN(T559)=0, LEN(U559)=0), "", IF(AND(LEN(T559)&gt;0, LEN(U559)=0), "BLANCO", IFERROR(VLOOKUP(U559, BasedatosM9!A:B, 2, FALSE), "BLANCO")))</f>
        <v/>
      </c>
      <c r="AI559" s="5" t="str">
        <f>IF(AND(LEN(AF559)=0, LEN(AG559)=0), "", IF(AND(LEN(AF559)&gt;0, LEN(AG559)=0), "BLANCO", IFERROR(VLOOKUP(AG559, BasedatosM9!A:B, 2, FALSE), "BLANCO")))</f>
        <v/>
      </c>
      <c r="AU559" s="5" t="str">
        <f>IF(AND(LEN(AR559)=0, LEN(AS559)=0), "", IF(AND(LEN(AR559)&gt;0, LEN(AS559)=0), "BLANCO", IFERROR(VLOOKUP(AS559, BasedatosM9!A:B, 2, FALSE), "BLANCO")))</f>
        <v/>
      </c>
    </row>
    <row r="560" spans="1:47" ht="14.4">
      <c r="A560" s="21"/>
      <c r="B560" s="86"/>
      <c r="C560" s="98"/>
      <c r="D560" s="21"/>
      <c r="E560" s="86"/>
      <c r="F560" s="99"/>
      <c r="G560" s="99"/>
      <c r="H560" s="21"/>
      <c r="I560" s="21"/>
      <c r="J560" s="21"/>
      <c r="K560" s="5" t="str">
        <f>IF(AND(LEN(H560)=0, LEN(I560)=0), "", IF(AND(LEN(H560)&gt;0, LEN(I560)=0), "BLANCO", IFERROR(VLOOKUP(I560, BasedatosM9!A:B, 2, FALSE), "BLANCO")))</f>
        <v/>
      </c>
      <c r="W560" s="5" t="str">
        <f>IF(AND(LEN(T560)=0, LEN(U560)=0), "", IF(AND(LEN(T560)&gt;0, LEN(U560)=0), "BLANCO", IFERROR(VLOOKUP(U560, BasedatosM9!A:B, 2, FALSE), "BLANCO")))</f>
        <v/>
      </c>
      <c r="AI560" s="5" t="str">
        <f>IF(AND(LEN(AF560)=0, LEN(AG560)=0), "", IF(AND(LEN(AF560)&gt;0, LEN(AG560)=0), "BLANCO", IFERROR(VLOOKUP(AG560, BasedatosM9!A:B, 2, FALSE), "BLANCO")))</f>
        <v/>
      </c>
      <c r="AU560" s="5" t="str">
        <f>IF(AND(LEN(AR560)=0, LEN(AS560)=0), "", IF(AND(LEN(AR560)&gt;0, LEN(AS560)=0), "BLANCO", IFERROR(VLOOKUP(AS560, BasedatosM9!A:B, 2, FALSE), "BLANCO")))</f>
        <v/>
      </c>
    </row>
    <row r="561" spans="1:47" ht="14.4">
      <c r="A561" s="21"/>
      <c r="B561" s="86"/>
      <c r="C561" s="98"/>
      <c r="D561" s="21"/>
      <c r="E561" s="86"/>
      <c r="F561" s="99"/>
      <c r="G561" s="99"/>
      <c r="H561" s="21"/>
      <c r="I561" s="86"/>
      <c r="J561" s="21"/>
      <c r="K561" s="5" t="str">
        <f>IF(AND(LEN(H561)=0, LEN(I561)=0), "", IF(AND(LEN(H561)&gt;0, LEN(I561)=0), "BLANCO", IFERROR(VLOOKUP(I561, BasedatosM9!A:B, 2, FALSE), "BLANCO")))</f>
        <v/>
      </c>
      <c r="W561" s="5" t="str">
        <f>IF(AND(LEN(T561)=0, LEN(U561)=0), "", IF(AND(LEN(T561)&gt;0, LEN(U561)=0), "BLANCO", IFERROR(VLOOKUP(U561, BasedatosM9!A:B, 2, FALSE), "BLANCO")))</f>
        <v/>
      </c>
      <c r="AI561" s="5" t="str">
        <f>IF(AND(LEN(AF561)=0, LEN(AG561)=0), "", IF(AND(LEN(AF561)&gt;0, LEN(AG561)=0), "BLANCO", IFERROR(VLOOKUP(AG561, BasedatosM9!A:B, 2, FALSE), "BLANCO")))</f>
        <v/>
      </c>
      <c r="AU561" s="5" t="str">
        <f>IF(AND(LEN(AR561)=0, LEN(AS561)=0), "", IF(AND(LEN(AR561)&gt;0, LEN(AS561)=0), "BLANCO", IFERROR(VLOOKUP(AS561, BasedatosM9!A:B, 2, FALSE), "BLANCO")))</f>
        <v/>
      </c>
    </row>
    <row r="562" spans="1:47" ht="14.4">
      <c r="A562" s="21"/>
      <c r="B562" s="86"/>
      <c r="C562" s="98"/>
      <c r="D562" s="21"/>
      <c r="E562" s="86"/>
      <c r="F562" s="99"/>
      <c r="G562" s="99"/>
      <c r="H562" s="21"/>
      <c r="I562" s="86"/>
      <c r="J562" s="21"/>
      <c r="K562" s="5" t="str">
        <f>IF(AND(LEN(H562)=0, LEN(I562)=0), "", IF(AND(LEN(H562)&gt;0, LEN(I562)=0), "BLANCO", IFERROR(VLOOKUP(I562, BasedatosM9!A:B, 2, FALSE), "BLANCO")))</f>
        <v/>
      </c>
      <c r="W562" s="5" t="str">
        <f>IF(AND(LEN(T562)=0, LEN(U562)=0), "", IF(AND(LEN(T562)&gt;0, LEN(U562)=0), "BLANCO", IFERROR(VLOOKUP(U562, BasedatosM9!A:B, 2, FALSE), "BLANCO")))</f>
        <v/>
      </c>
      <c r="AI562" s="5" t="str">
        <f>IF(AND(LEN(AF562)=0, LEN(AG562)=0), "", IF(AND(LEN(AF562)&gt;0, LEN(AG562)=0), "BLANCO", IFERROR(VLOOKUP(AG562, BasedatosM9!A:B, 2, FALSE), "BLANCO")))</f>
        <v/>
      </c>
      <c r="AU562" s="5" t="str">
        <f>IF(AND(LEN(AR562)=0, LEN(AS562)=0), "", IF(AND(LEN(AR562)&gt;0, LEN(AS562)=0), "BLANCO", IFERROR(VLOOKUP(AS562, BasedatosM9!A:B, 2, FALSE), "BLANCO")))</f>
        <v/>
      </c>
    </row>
    <row r="563" spans="1:47" ht="14.4">
      <c r="A563" s="21"/>
      <c r="B563" s="86"/>
      <c r="C563" s="98"/>
      <c r="D563" s="21"/>
      <c r="E563" s="86"/>
      <c r="F563" s="99"/>
      <c r="G563" s="99"/>
      <c r="H563" s="21"/>
      <c r="I563" s="21"/>
      <c r="J563" s="21"/>
      <c r="K563" s="5" t="str">
        <f>IF(AND(LEN(H563)=0, LEN(I563)=0), "", IF(AND(LEN(H563)&gt;0, LEN(I563)=0), "BLANCO", IFERROR(VLOOKUP(I563, BasedatosM9!A:B, 2, FALSE), "BLANCO")))</f>
        <v/>
      </c>
      <c r="W563" s="5" t="str">
        <f>IF(AND(LEN(T563)=0, LEN(U563)=0), "", IF(AND(LEN(T563)&gt;0, LEN(U563)=0), "BLANCO", IFERROR(VLOOKUP(U563, BasedatosM9!A:B, 2, FALSE), "BLANCO")))</f>
        <v/>
      </c>
      <c r="AI563" s="5" t="str">
        <f>IF(AND(LEN(AF563)=0, LEN(AG563)=0), "", IF(AND(LEN(AF563)&gt;0, LEN(AG563)=0), "BLANCO", IFERROR(VLOOKUP(AG563, BasedatosM9!A:B, 2, FALSE), "BLANCO")))</f>
        <v/>
      </c>
      <c r="AU563" s="5" t="str">
        <f>IF(AND(LEN(AR563)=0, LEN(AS563)=0), "", IF(AND(LEN(AR563)&gt;0, LEN(AS563)=0), "BLANCO", IFERROR(VLOOKUP(AS563, BasedatosM9!A:B, 2, FALSE), "BLANCO")))</f>
        <v/>
      </c>
    </row>
    <row r="564" spans="1:47" ht="14.4">
      <c r="A564" s="21"/>
      <c r="B564" s="86"/>
      <c r="C564" s="98"/>
      <c r="D564" s="21"/>
      <c r="E564" s="86"/>
      <c r="F564" s="99"/>
      <c r="G564" s="99"/>
      <c r="H564" s="21"/>
      <c r="I564" s="86"/>
      <c r="J564" s="21"/>
      <c r="K564" s="5" t="str">
        <f>IF(AND(LEN(H564)=0, LEN(I564)=0), "", IF(AND(LEN(H564)&gt;0, LEN(I564)=0), "BLANCO", IFERROR(VLOOKUP(I564, BasedatosM9!A:B, 2, FALSE), "BLANCO")))</f>
        <v/>
      </c>
      <c r="W564" s="5" t="str">
        <f>IF(AND(LEN(T564)=0, LEN(U564)=0), "", IF(AND(LEN(T564)&gt;0, LEN(U564)=0), "BLANCO", IFERROR(VLOOKUP(U564, BasedatosM9!A:B, 2, FALSE), "BLANCO")))</f>
        <v/>
      </c>
      <c r="AI564" s="5" t="str">
        <f>IF(AND(LEN(AF564)=0, LEN(AG564)=0), "", IF(AND(LEN(AF564)&gt;0, LEN(AG564)=0), "BLANCO", IFERROR(VLOOKUP(AG564, BasedatosM9!A:B, 2, FALSE), "BLANCO")))</f>
        <v/>
      </c>
      <c r="AU564" s="5" t="str">
        <f>IF(AND(LEN(AR564)=0, LEN(AS564)=0), "", IF(AND(LEN(AR564)&gt;0, LEN(AS564)=0), "BLANCO", IFERROR(VLOOKUP(AS564, BasedatosM9!A:B, 2, FALSE), "BLANCO")))</f>
        <v/>
      </c>
    </row>
    <row r="565" spans="1:47" ht="14.4">
      <c r="A565" s="21"/>
      <c r="B565" s="86"/>
      <c r="C565" s="98"/>
      <c r="D565" s="21"/>
      <c r="E565" s="86"/>
      <c r="F565" s="99"/>
      <c r="G565" s="99"/>
      <c r="H565" s="21"/>
      <c r="I565" s="21"/>
      <c r="J565" s="21"/>
      <c r="K565" s="5" t="str">
        <f>IF(AND(LEN(H565)=0, LEN(I565)=0), "", IF(AND(LEN(H565)&gt;0, LEN(I565)=0), "BLANCO", IFERROR(VLOOKUP(I565, BasedatosM9!A:B, 2, FALSE), "BLANCO")))</f>
        <v/>
      </c>
      <c r="W565" s="5" t="str">
        <f>IF(AND(LEN(T565)=0, LEN(U565)=0), "", IF(AND(LEN(T565)&gt;0, LEN(U565)=0), "BLANCO", IFERROR(VLOOKUP(U565, BasedatosM9!A:B, 2, FALSE), "BLANCO")))</f>
        <v/>
      </c>
      <c r="AI565" s="5" t="str">
        <f>IF(AND(LEN(AF565)=0, LEN(AG565)=0), "", IF(AND(LEN(AF565)&gt;0, LEN(AG565)=0), "BLANCO", IFERROR(VLOOKUP(AG565, BasedatosM9!A:B, 2, FALSE), "BLANCO")))</f>
        <v/>
      </c>
      <c r="AU565" s="5" t="str">
        <f>IF(AND(LEN(AR565)=0, LEN(AS565)=0), "", IF(AND(LEN(AR565)&gt;0, LEN(AS565)=0), "BLANCO", IFERROR(VLOOKUP(AS565, BasedatosM9!A:B, 2, FALSE), "BLANCO")))</f>
        <v/>
      </c>
    </row>
    <row r="566" spans="1:47" ht="14.4">
      <c r="A566" s="21"/>
      <c r="B566" s="86"/>
      <c r="C566" s="98"/>
      <c r="D566" s="21"/>
      <c r="E566" s="86"/>
      <c r="F566" s="99"/>
      <c r="G566" s="99"/>
      <c r="H566" s="21"/>
      <c r="I566" s="86"/>
      <c r="J566" s="21"/>
      <c r="K566" s="5" t="str">
        <f>IF(AND(LEN(H566)=0, LEN(I566)=0), "", IF(AND(LEN(H566)&gt;0, LEN(I566)=0), "BLANCO", IFERROR(VLOOKUP(I566, BasedatosM9!A:B, 2, FALSE), "BLANCO")))</f>
        <v/>
      </c>
      <c r="W566" s="5" t="str">
        <f>IF(AND(LEN(T566)=0, LEN(U566)=0), "", IF(AND(LEN(T566)&gt;0, LEN(U566)=0), "BLANCO", IFERROR(VLOOKUP(U566, BasedatosM9!A:B, 2, FALSE), "BLANCO")))</f>
        <v/>
      </c>
      <c r="AI566" s="5" t="str">
        <f>IF(AND(LEN(AF566)=0, LEN(AG566)=0), "", IF(AND(LEN(AF566)&gt;0, LEN(AG566)=0), "BLANCO", IFERROR(VLOOKUP(AG566, BasedatosM9!A:B, 2, FALSE), "BLANCO")))</f>
        <v/>
      </c>
      <c r="AU566" s="5" t="str">
        <f>IF(AND(LEN(AR566)=0, LEN(AS566)=0), "", IF(AND(LEN(AR566)&gt;0, LEN(AS566)=0), "BLANCO", IFERROR(VLOOKUP(AS566, BasedatosM9!A:B, 2, FALSE), "BLANCO")))</f>
        <v/>
      </c>
    </row>
    <row r="567" spans="1:47" ht="14.4">
      <c r="A567" s="21"/>
      <c r="B567" s="86"/>
      <c r="C567" s="98"/>
      <c r="D567" s="21"/>
      <c r="E567" s="86"/>
      <c r="F567" s="99"/>
      <c r="G567" s="99"/>
      <c r="H567" s="21"/>
      <c r="I567" s="86"/>
      <c r="J567" s="21"/>
      <c r="K567" s="5" t="str">
        <f>IF(AND(LEN(H567)=0, LEN(I567)=0), "", IF(AND(LEN(H567)&gt;0, LEN(I567)=0), "BLANCO", IFERROR(VLOOKUP(I567, BasedatosM9!A:B, 2, FALSE), "BLANCO")))</f>
        <v/>
      </c>
      <c r="W567" s="5" t="str">
        <f>IF(AND(LEN(T567)=0, LEN(U567)=0), "", IF(AND(LEN(T567)&gt;0, LEN(U567)=0), "BLANCO", IFERROR(VLOOKUP(U567, BasedatosM9!A:B, 2, FALSE), "BLANCO")))</f>
        <v/>
      </c>
      <c r="AI567" s="5" t="str">
        <f>IF(AND(LEN(AF567)=0, LEN(AG567)=0), "", IF(AND(LEN(AF567)&gt;0, LEN(AG567)=0), "BLANCO", IFERROR(VLOOKUP(AG567, BasedatosM9!A:B, 2, FALSE), "BLANCO")))</f>
        <v/>
      </c>
      <c r="AU567" s="5" t="str">
        <f>IF(AND(LEN(AR567)=0, LEN(AS567)=0), "", IF(AND(LEN(AR567)&gt;0, LEN(AS567)=0), "BLANCO", IFERROR(VLOOKUP(AS567, BasedatosM9!A:B, 2, FALSE), "BLANCO")))</f>
        <v/>
      </c>
    </row>
    <row r="568" spans="1:47" ht="14.4">
      <c r="A568" s="21"/>
      <c r="B568" s="86"/>
      <c r="C568" s="98"/>
      <c r="D568" s="21"/>
      <c r="E568" s="86"/>
      <c r="F568" s="99"/>
      <c r="G568" s="99"/>
      <c r="H568" s="21"/>
      <c r="I568" s="21"/>
      <c r="J568" s="21"/>
      <c r="K568" s="5" t="str">
        <f>IF(AND(LEN(H568)=0, LEN(I568)=0), "", IF(AND(LEN(H568)&gt;0, LEN(I568)=0), "BLANCO", IFERROR(VLOOKUP(I568, BasedatosM9!A:B, 2, FALSE), "BLANCO")))</f>
        <v/>
      </c>
      <c r="W568" s="5" t="str">
        <f>IF(AND(LEN(T568)=0, LEN(U568)=0), "", IF(AND(LEN(T568)&gt;0, LEN(U568)=0), "BLANCO", IFERROR(VLOOKUP(U568, BasedatosM9!A:B, 2, FALSE), "BLANCO")))</f>
        <v/>
      </c>
      <c r="AI568" s="5" t="str">
        <f>IF(AND(LEN(AF568)=0, LEN(AG568)=0), "", IF(AND(LEN(AF568)&gt;0, LEN(AG568)=0), "BLANCO", IFERROR(VLOOKUP(AG568, BasedatosM9!A:B, 2, FALSE), "BLANCO")))</f>
        <v/>
      </c>
      <c r="AU568" s="5" t="str">
        <f>IF(AND(LEN(AR568)=0, LEN(AS568)=0), "", IF(AND(LEN(AR568)&gt;0, LEN(AS568)=0), "BLANCO", IFERROR(VLOOKUP(AS568, BasedatosM9!A:B, 2, FALSE), "BLANCO")))</f>
        <v/>
      </c>
    </row>
    <row r="569" spans="1:47" ht="14.4">
      <c r="A569" s="21"/>
      <c r="B569" s="86"/>
      <c r="C569" s="98"/>
      <c r="D569" s="21"/>
      <c r="E569" s="86"/>
      <c r="F569" s="99"/>
      <c r="G569" s="99"/>
      <c r="H569" s="21"/>
      <c r="I569" s="86"/>
      <c r="J569" s="21"/>
      <c r="K569" s="5" t="str">
        <f>IF(AND(LEN(H569)=0, LEN(I569)=0), "", IF(AND(LEN(H569)&gt;0, LEN(I569)=0), "BLANCO", IFERROR(VLOOKUP(I569, BasedatosM9!A:B, 2, FALSE), "BLANCO")))</f>
        <v/>
      </c>
      <c r="W569" s="5" t="str">
        <f>IF(AND(LEN(T569)=0, LEN(U569)=0), "", IF(AND(LEN(T569)&gt;0, LEN(U569)=0), "BLANCO", IFERROR(VLOOKUP(U569, BasedatosM9!A:B, 2, FALSE), "BLANCO")))</f>
        <v/>
      </c>
      <c r="AI569" s="5" t="str">
        <f>IF(AND(LEN(AF569)=0, LEN(AG569)=0), "", IF(AND(LEN(AF569)&gt;0, LEN(AG569)=0), "BLANCO", IFERROR(VLOOKUP(AG569, BasedatosM9!A:B, 2, FALSE), "BLANCO")))</f>
        <v/>
      </c>
      <c r="AU569" s="5" t="str">
        <f>IF(AND(LEN(AR569)=0, LEN(AS569)=0), "", IF(AND(LEN(AR569)&gt;0, LEN(AS569)=0), "BLANCO", IFERROR(VLOOKUP(AS569, BasedatosM9!A:B, 2, FALSE), "BLANCO")))</f>
        <v/>
      </c>
    </row>
    <row r="570" spans="1:47" ht="14.4">
      <c r="A570" s="21"/>
      <c r="B570" s="86"/>
      <c r="C570" s="98"/>
      <c r="D570" s="21"/>
      <c r="E570" s="86"/>
      <c r="F570" s="99"/>
      <c r="G570" s="99"/>
      <c r="H570" s="21"/>
      <c r="I570" s="21"/>
      <c r="J570" s="21"/>
      <c r="K570" s="5" t="str">
        <f>IF(AND(LEN(H570)=0, LEN(I570)=0), "", IF(AND(LEN(H570)&gt;0, LEN(I570)=0), "BLANCO", IFERROR(VLOOKUP(I570, BasedatosM9!A:B, 2, FALSE), "BLANCO")))</f>
        <v/>
      </c>
      <c r="W570" s="5" t="str">
        <f>IF(AND(LEN(T570)=0, LEN(U570)=0), "", IF(AND(LEN(T570)&gt;0, LEN(U570)=0), "BLANCO", IFERROR(VLOOKUP(U570, BasedatosM9!A:B, 2, FALSE), "BLANCO")))</f>
        <v/>
      </c>
      <c r="AI570" s="5" t="str">
        <f>IF(AND(LEN(AF570)=0, LEN(AG570)=0), "", IF(AND(LEN(AF570)&gt;0, LEN(AG570)=0), "BLANCO", IFERROR(VLOOKUP(AG570, BasedatosM9!A:B, 2, FALSE), "BLANCO")))</f>
        <v/>
      </c>
      <c r="AU570" s="5" t="str">
        <f>IF(AND(LEN(AR570)=0, LEN(AS570)=0), "", IF(AND(LEN(AR570)&gt;0, LEN(AS570)=0), "BLANCO", IFERROR(VLOOKUP(AS570, BasedatosM9!A:B, 2, FALSE), "BLANCO")))</f>
        <v/>
      </c>
    </row>
    <row r="571" spans="1:47" ht="14.4">
      <c r="A571" s="21"/>
      <c r="B571" s="86"/>
      <c r="C571" s="98"/>
      <c r="D571" s="21"/>
      <c r="E571" s="86"/>
      <c r="F571" s="99"/>
      <c r="G571" s="99"/>
      <c r="H571" s="21"/>
      <c r="I571" s="86"/>
      <c r="J571" s="21"/>
      <c r="K571" s="5" t="str">
        <f>IF(AND(LEN(H571)=0, LEN(I571)=0), "", IF(AND(LEN(H571)&gt;0, LEN(I571)=0), "BLANCO", IFERROR(VLOOKUP(I571, BasedatosM9!A:B, 2, FALSE), "BLANCO")))</f>
        <v/>
      </c>
      <c r="W571" s="5" t="str">
        <f>IF(AND(LEN(T571)=0, LEN(U571)=0), "", IF(AND(LEN(T571)&gt;0, LEN(U571)=0), "BLANCO", IFERROR(VLOOKUP(U571, BasedatosM9!A:B, 2, FALSE), "BLANCO")))</f>
        <v/>
      </c>
      <c r="AI571" s="5" t="str">
        <f>IF(AND(LEN(AF571)=0, LEN(AG571)=0), "", IF(AND(LEN(AF571)&gt;0, LEN(AG571)=0), "BLANCO", IFERROR(VLOOKUP(AG571, BasedatosM9!A:B, 2, FALSE), "BLANCO")))</f>
        <v/>
      </c>
      <c r="AU571" s="5" t="str">
        <f>IF(AND(LEN(AR571)=0, LEN(AS571)=0), "", IF(AND(LEN(AR571)&gt;0, LEN(AS571)=0), "BLANCO", IFERROR(VLOOKUP(AS571, BasedatosM9!A:B, 2, FALSE), "BLANCO")))</f>
        <v/>
      </c>
    </row>
    <row r="572" spans="1:47" ht="14.4">
      <c r="A572" s="21"/>
      <c r="B572" s="86"/>
      <c r="C572" s="98"/>
      <c r="D572" s="21"/>
      <c r="E572" s="86"/>
      <c r="F572" s="99"/>
      <c r="G572" s="99"/>
      <c r="H572" s="21"/>
      <c r="I572" s="86"/>
      <c r="J572" s="21"/>
      <c r="K572" s="5" t="str">
        <f>IF(AND(LEN(H572)=0, LEN(I572)=0), "", IF(AND(LEN(H572)&gt;0, LEN(I572)=0), "BLANCO", IFERROR(VLOOKUP(I572, BasedatosM9!A:B, 2, FALSE), "BLANCO")))</f>
        <v/>
      </c>
      <c r="W572" s="5" t="str">
        <f>IF(AND(LEN(T572)=0, LEN(U572)=0), "", IF(AND(LEN(T572)&gt;0, LEN(U572)=0), "BLANCO", IFERROR(VLOOKUP(U572, BasedatosM9!A:B, 2, FALSE), "BLANCO")))</f>
        <v/>
      </c>
      <c r="AI572" s="5" t="str">
        <f>IF(AND(LEN(AF572)=0, LEN(AG572)=0), "", IF(AND(LEN(AF572)&gt;0, LEN(AG572)=0), "BLANCO", IFERROR(VLOOKUP(AG572, BasedatosM9!A:B, 2, FALSE), "BLANCO")))</f>
        <v/>
      </c>
      <c r="AU572" s="5" t="str">
        <f>IF(AND(LEN(AR572)=0, LEN(AS572)=0), "", IF(AND(LEN(AR572)&gt;0, LEN(AS572)=0), "BLANCO", IFERROR(VLOOKUP(AS572, BasedatosM9!A:B, 2, FALSE), "BLANCO")))</f>
        <v/>
      </c>
    </row>
    <row r="573" spans="1:47" ht="14.4">
      <c r="A573" s="21"/>
      <c r="B573" s="86"/>
      <c r="C573" s="98"/>
      <c r="D573" s="21"/>
      <c r="E573" s="86"/>
      <c r="F573" s="99"/>
      <c r="G573" s="99"/>
      <c r="H573" s="21"/>
      <c r="I573" s="86"/>
      <c r="J573" s="21"/>
      <c r="K573" s="5" t="str">
        <f>IF(AND(LEN(H573)=0, LEN(I573)=0), "", IF(AND(LEN(H573)&gt;0, LEN(I573)=0), "BLANCO", IFERROR(VLOOKUP(I573, BasedatosM9!A:B, 2, FALSE), "BLANCO")))</f>
        <v/>
      </c>
      <c r="W573" s="5" t="str">
        <f>IF(AND(LEN(T573)=0, LEN(U573)=0), "", IF(AND(LEN(T573)&gt;0, LEN(U573)=0), "BLANCO", IFERROR(VLOOKUP(U573, BasedatosM9!A:B, 2, FALSE), "BLANCO")))</f>
        <v/>
      </c>
      <c r="AI573" s="5" t="str">
        <f>IF(AND(LEN(AF573)=0, LEN(AG573)=0), "", IF(AND(LEN(AF573)&gt;0, LEN(AG573)=0), "BLANCO", IFERROR(VLOOKUP(AG573, BasedatosM9!A:B, 2, FALSE), "BLANCO")))</f>
        <v/>
      </c>
      <c r="AU573" s="5" t="str">
        <f>IF(AND(LEN(AR573)=0, LEN(AS573)=0), "", IF(AND(LEN(AR573)&gt;0, LEN(AS573)=0), "BLANCO", IFERROR(VLOOKUP(AS573, BasedatosM9!A:B, 2, FALSE), "BLANCO")))</f>
        <v/>
      </c>
    </row>
    <row r="574" spans="1:47" ht="14.4">
      <c r="A574" s="21"/>
      <c r="B574" s="86"/>
      <c r="C574" s="98"/>
      <c r="D574" s="21"/>
      <c r="E574" s="86"/>
      <c r="F574" s="99"/>
      <c r="G574" s="99"/>
      <c r="H574" s="21"/>
      <c r="I574" s="86"/>
      <c r="J574" s="21"/>
      <c r="K574" s="5" t="str">
        <f>IF(AND(LEN(H574)=0, LEN(I574)=0), "", IF(AND(LEN(H574)&gt;0, LEN(I574)=0), "BLANCO", IFERROR(VLOOKUP(I574, BasedatosM9!A:B, 2, FALSE), "BLANCO")))</f>
        <v/>
      </c>
      <c r="W574" s="5" t="str">
        <f>IF(AND(LEN(T574)=0, LEN(U574)=0), "", IF(AND(LEN(T574)&gt;0, LEN(U574)=0), "BLANCO", IFERROR(VLOOKUP(U574, BasedatosM9!A:B, 2, FALSE), "BLANCO")))</f>
        <v/>
      </c>
      <c r="AI574" s="5" t="str">
        <f>IF(AND(LEN(AF574)=0, LEN(AG574)=0), "", IF(AND(LEN(AF574)&gt;0, LEN(AG574)=0), "BLANCO", IFERROR(VLOOKUP(AG574, BasedatosM9!A:B, 2, FALSE), "BLANCO")))</f>
        <v/>
      </c>
      <c r="AU574" s="5" t="str">
        <f>IF(AND(LEN(AR574)=0, LEN(AS574)=0), "", IF(AND(LEN(AR574)&gt;0, LEN(AS574)=0), "BLANCO", IFERROR(VLOOKUP(AS574, BasedatosM9!A:B, 2, FALSE), "BLANCO")))</f>
        <v/>
      </c>
    </row>
    <row r="575" spans="1:47" ht="14.4">
      <c r="A575" s="21"/>
      <c r="B575" s="86"/>
      <c r="C575" s="98"/>
      <c r="D575" s="21"/>
      <c r="E575" s="86"/>
      <c r="F575" s="99"/>
      <c r="G575" s="99"/>
      <c r="H575" s="21"/>
      <c r="I575" s="86"/>
      <c r="J575" s="21"/>
      <c r="K575" s="5" t="str">
        <f>IF(AND(LEN(H575)=0, LEN(I575)=0), "", IF(AND(LEN(H575)&gt;0, LEN(I575)=0), "BLANCO", IFERROR(VLOOKUP(I575, BasedatosM9!A:B, 2, FALSE), "BLANCO")))</f>
        <v/>
      </c>
      <c r="W575" s="5" t="str">
        <f>IF(AND(LEN(T575)=0, LEN(U575)=0), "", IF(AND(LEN(T575)&gt;0, LEN(U575)=0), "BLANCO", IFERROR(VLOOKUP(U575, BasedatosM9!A:B, 2, FALSE), "BLANCO")))</f>
        <v/>
      </c>
      <c r="AI575" s="5" t="str">
        <f>IF(AND(LEN(AF575)=0, LEN(AG575)=0), "", IF(AND(LEN(AF575)&gt;0, LEN(AG575)=0), "BLANCO", IFERROR(VLOOKUP(AG575, BasedatosM9!A:B, 2, FALSE), "BLANCO")))</f>
        <v/>
      </c>
      <c r="AU575" s="5" t="str">
        <f>IF(AND(LEN(AR575)=0, LEN(AS575)=0), "", IF(AND(LEN(AR575)&gt;0, LEN(AS575)=0), "BLANCO", IFERROR(VLOOKUP(AS575, BasedatosM9!A:B, 2, FALSE), "BLANCO")))</f>
        <v/>
      </c>
    </row>
    <row r="576" spans="1:47" ht="14.4">
      <c r="A576" s="21"/>
      <c r="B576" s="86"/>
      <c r="C576" s="98"/>
      <c r="D576" s="21"/>
      <c r="E576" s="86"/>
      <c r="F576" s="99"/>
      <c r="G576" s="99"/>
      <c r="H576" s="21"/>
      <c r="I576" s="86"/>
      <c r="J576" s="21"/>
      <c r="K576" s="5" t="str">
        <f>IF(AND(LEN(H576)=0, LEN(I576)=0), "", IF(AND(LEN(H576)&gt;0, LEN(I576)=0), "BLANCO", IFERROR(VLOOKUP(I576, BasedatosM9!A:B, 2, FALSE), "BLANCO")))</f>
        <v/>
      </c>
      <c r="W576" s="5" t="str">
        <f>IF(AND(LEN(T576)=0, LEN(U576)=0), "", IF(AND(LEN(T576)&gt;0, LEN(U576)=0), "BLANCO", IFERROR(VLOOKUP(U576, BasedatosM9!A:B, 2, FALSE), "BLANCO")))</f>
        <v/>
      </c>
      <c r="AI576" s="5" t="str">
        <f>IF(AND(LEN(AF576)=0, LEN(AG576)=0), "", IF(AND(LEN(AF576)&gt;0, LEN(AG576)=0), "BLANCO", IFERROR(VLOOKUP(AG576, BasedatosM9!A:B, 2, FALSE), "BLANCO")))</f>
        <v/>
      </c>
      <c r="AU576" s="5" t="str">
        <f>IF(AND(LEN(AR576)=0, LEN(AS576)=0), "", IF(AND(LEN(AR576)&gt;0, LEN(AS576)=0), "BLANCO", IFERROR(VLOOKUP(AS576, BasedatosM9!A:B, 2, FALSE), "BLANCO")))</f>
        <v/>
      </c>
    </row>
    <row r="577" spans="1:47" ht="14.4">
      <c r="A577" s="21"/>
      <c r="B577" s="86"/>
      <c r="C577" s="98"/>
      <c r="D577" s="21"/>
      <c r="E577" s="86"/>
      <c r="F577" s="99"/>
      <c r="G577" s="99"/>
      <c r="H577" s="21"/>
      <c r="I577" s="86"/>
      <c r="J577" s="21"/>
      <c r="K577" s="5" t="str">
        <f>IF(AND(LEN(H577)=0, LEN(I577)=0), "", IF(AND(LEN(H577)&gt;0, LEN(I577)=0), "BLANCO", IFERROR(VLOOKUP(I577, BasedatosM9!A:B, 2, FALSE), "BLANCO")))</f>
        <v/>
      </c>
      <c r="W577" s="5" t="str">
        <f>IF(AND(LEN(T577)=0, LEN(U577)=0), "", IF(AND(LEN(T577)&gt;0, LEN(U577)=0), "BLANCO", IFERROR(VLOOKUP(U577, BasedatosM9!A:B, 2, FALSE), "BLANCO")))</f>
        <v/>
      </c>
      <c r="AI577" s="5" t="str">
        <f>IF(AND(LEN(AF577)=0, LEN(AG577)=0), "", IF(AND(LEN(AF577)&gt;0, LEN(AG577)=0), "BLANCO", IFERROR(VLOOKUP(AG577, BasedatosM9!A:B, 2, FALSE), "BLANCO")))</f>
        <v/>
      </c>
      <c r="AU577" s="5" t="str">
        <f>IF(AND(LEN(AR577)=0, LEN(AS577)=0), "", IF(AND(LEN(AR577)&gt;0, LEN(AS577)=0), "BLANCO", IFERROR(VLOOKUP(AS577, BasedatosM9!A:B, 2, FALSE), "BLANCO")))</f>
        <v/>
      </c>
    </row>
    <row r="578" spans="1:47" ht="14.4">
      <c r="A578" s="21"/>
      <c r="B578" s="86"/>
      <c r="C578" s="98"/>
      <c r="D578" s="21"/>
      <c r="E578" s="86"/>
      <c r="F578" s="99"/>
      <c r="G578" s="99"/>
      <c r="H578" s="21"/>
      <c r="I578" s="21"/>
      <c r="J578" s="21"/>
      <c r="K578" s="5" t="str">
        <f>IF(AND(LEN(H578)=0, LEN(I578)=0), "", IF(AND(LEN(H578)&gt;0, LEN(I578)=0), "BLANCO", IFERROR(VLOOKUP(I578, BasedatosM9!A:B, 2, FALSE), "BLANCO")))</f>
        <v/>
      </c>
      <c r="W578" s="5" t="str">
        <f>IF(AND(LEN(T578)=0, LEN(U578)=0), "", IF(AND(LEN(T578)&gt;0, LEN(U578)=0), "BLANCO", IFERROR(VLOOKUP(U578, BasedatosM9!A:B, 2, FALSE), "BLANCO")))</f>
        <v/>
      </c>
      <c r="AI578" s="5" t="str">
        <f>IF(AND(LEN(AF578)=0, LEN(AG578)=0), "", IF(AND(LEN(AF578)&gt;0, LEN(AG578)=0), "BLANCO", IFERROR(VLOOKUP(AG578, BasedatosM9!A:B, 2, FALSE), "BLANCO")))</f>
        <v/>
      </c>
      <c r="AU578" s="5" t="str">
        <f>IF(AND(LEN(AR578)=0, LEN(AS578)=0), "", IF(AND(LEN(AR578)&gt;0, LEN(AS578)=0), "BLANCO", IFERROR(VLOOKUP(AS578, BasedatosM9!A:B, 2, FALSE), "BLANCO")))</f>
        <v/>
      </c>
    </row>
    <row r="579" spans="1:47" ht="14.4">
      <c r="A579" s="21"/>
      <c r="B579" s="86"/>
      <c r="C579" s="98"/>
      <c r="D579" s="21"/>
      <c r="E579" s="86"/>
      <c r="F579" s="99"/>
      <c r="G579" s="99"/>
      <c r="H579" s="21"/>
      <c r="I579" s="21"/>
      <c r="J579" s="21"/>
      <c r="K579" s="5" t="str">
        <f>IF(AND(LEN(H579)=0, LEN(I579)=0), "", IF(AND(LEN(H579)&gt;0, LEN(I579)=0), "BLANCO", IFERROR(VLOOKUP(I579, BasedatosM9!A:B, 2, FALSE), "BLANCO")))</f>
        <v/>
      </c>
      <c r="W579" s="5" t="str">
        <f>IF(AND(LEN(T579)=0, LEN(U579)=0), "", IF(AND(LEN(T579)&gt;0, LEN(U579)=0), "BLANCO", IFERROR(VLOOKUP(U579, BasedatosM9!A:B, 2, FALSE), "BLANCO")))</f>
        <v/>
      </c>
      <c r="AI579" s="5" t="str">
        <f>IF(AND(LEN(AF579)=0, LEN(AG579)=0), "", IF(AND(LEN(AF579)&gt;0, LEN(AG579)=0), "BLANCO", IFERROR(VLOOKUP(AG579, BasedatosM9!A:B, 2, FALSE), "BLANCO")))</f>
        <v/>
      </c>
      <c r="AU579" s="5" t="str">
        <f>IF(AND(LEN(AR579)=0, LEN(AS579)=0), "", IF(AND(LEN(AR579)&gt;0, LEN(AS579)=0), "BLANCO", IFERROR(VLOOKUP(AS579, BasedatosM9!A:B, 2, FALSE), "BLANCO")))</f>
        <v/>
      </c>
    </row>
    <row r="580" spans="1:47" ht="14.4">
      <c r="A580" s="21"/>
      <c r="B580" s="86"/>
      <c r="C580" s="98"/>
      <c r="D580" s="21"/>
      <c r="E580" s="86"/>
      <c r="F580" s="99"/>
      <c r="G580" s="99"/>
      <c r="H580" s="21"/>
      <c r="I580" s="86"/>
      <c r="J580" s="21"/>
      <c r="K580" s="5" t="str">
        <f>IF(AND(LEN(H580)=0, LEN(I580)=0), "", IF(AND(LEN(H580)&gt;0, LEN(I580)=0), "BLANCO", IFERROR(VLOOKUP(I580, BasedatosM9!A:B, 2, FALSE), "BLANCO")))</f>
        <v/>
      </c>
      <c r="W580" s="5" t="str">
        <f>IF(AND(LEN(T580)=0, LEN(U580)=0), "", IF(AND(LEN(T580)&gt;0, LEN(U580)=0), "BLANCO", IFERROR(VLOOKUP(U580, BasedatosM9!A:B, 2, FALSE), "BLANCO")))</f>
        <v/>
      </c>
      <c r="AI580" s="5" t="str">
        <f>IF(AND(LEN(AF580)=0, LEN(AG580)=0), "", IF(AND(LEN(AF580)&gt;0, LEN(AG580)=0), "BLANCO", IFERROR(VLOOKUP(AG580, BasedatosM9!A:B, 2, FALSE), "BLANCO")))</f>
        <v/>
      </c>
      <c r="AU580" s="5" t="str">
        <f>IF(AND(LEN(AR580)=0, LEN(AS580)=0), "", IF(AND(LEN(AR580)&gt;0, LEN(AS580)=0), "BLANCO", IFERROR(VLOOKUP(AS580, BasedatosM9!A:B, 2, FALSE), "BLANCO")))</f>
        <v/>
      </c>
    </row>
    <row r="581" spans="1:47" ht="14.4">
      <c r="A581" s="21"/>
      <c r="B581" s="86"/>
      <c r="C581" s="98"/>
      <c r="D581" s="21"/>
      <c r="E581" s="86"/>
      <c r="F581" s="99"/>
      <c r="G581" s="99"/>
      <c r="H581" s="21"/>
      <c r="I581" s="21"/>
      <c r="J581" s="21"/>
      <c r="K581" s="5" t="str">
        <f>IF(AND(LEN(H581)=0, LEN(I581)=0), "", IF(AND(LEN(H581)&gt;0, LEN(I581)=0), "BLANCO", IFERROR(VLOOKUP(I581, BasedatosM9!A:B, 2, FALSE), "BLANCO")))</f>
        <v/>
      </c>
      <c r="W581" s="5" t="str">
        <f>IF(AND(LEN(T581)=0, LEN(U581)=0), "", IF(AND(LEN(T581)&gt;0, LEN(U581)=0), "BLANCO", IFERROR(VLOOKUP(U581, BasedatosM9!A:B, 2, FALSE), "BLANCO")))</f>
        <v/>
      </c>
      <c r="AI581" s="5" t="str">
        <f>IF(AND(LEN(AF581)=0, LEN(AG581)=0), "", IF(AND(LEN(AF581)&gt;0, LEN(AG581)=0), "BLANCO", IFERROR(VLOOKUP(AG581, BasedatosM9!A:B, 2, FALSE), "BLANCO")))</f>
        <v/>
      </c>
      <c r="AU581" s="5" t="str">
        <f>IF(AND(LEN(AR581)=0, LEN(AS581)=0), "", IF(AND(LEN(AR581)&gt;0, LEN(AS581)=0), "BLANCO", IFERROR(VLOOKUP(AS581, BasedatosM9!A:B, 2, FALSE), "BLANCO")))</f>
        <v/>
      </c>
    </row>
    <row r="582" spans="1:47" ht="14.4">
      <c r="A582" s="21"/>
      <c r="B582" s="86"/>
      <c r="C582" s="98"/>
      <c r="D582" s="21"/>
      <c r="E582" s="86"/>
      <c r="F582" s="99"/>
      <c r="G582" s="99"/>
      <c r="H582" s="21"/>
      <c r="I582" s="86"/>
      <c r="J582" s="21"/>
      <c r="K582" s="5" t="str">
        <f>IF(AND(LEN(H582)=0, LEN(I582)=0), "", IF(AND(LEN(H582)&gt;0, LEN(I582)=0), "BLANCO", IFERROR(VLOOKUP(I582, BasedatosM9!A:B, 2, FALSE), "BLANCO")))</f>
        <v/>
      </c>
      <c r="W582" s="5" t="str">
        <f>IF(AND(LEN(T582)=0, LEN(U582)=0), "", IF(AND(LEN(T582)&gt;0, LEN(U582)=0), "BLANCO", IFERROR(VLOOKUP(U582, BasedatosM9!A:B, 2, FALSE), "BLANCO")))</f>
        <v/>
      </c>
      <c r="AI582" s="5" t="str">
        <f>IF(AND(LEN(AF582)=0, LEN(AG582)=0), "", IF(AND(LEN(AF582)&gt;0, LEN(AG582)=0), "BLANCO", IFERROR(VLOOKUP(AG582, BasedatosM9!A:B, 2, FALSE), "BLANCO")))</f>
        <v/>
      </c>
      <c r="AU582" s="5" t="str">
        <f>IF(AND(LEN(AR582)=0, LEN(AS582)=0), "", IF(AND(LEN(AR582)&gt;0, LEN(AS582)=0), "BLANCO", IFERROR(VLOOKUP(AS582, BasedatosM9!A:B, 2, FALSE), "BLANCO")))</f>
        <v/>
      </c>
    </row>
    <row r="583" spans="1:47" ht="14.4">
      <c r="A583" s="21"/>
      <c r="B583" s="86"/>
      <c r="C583" s="98"/>
      <c r="D583" s="21"/>
      <c r="E583" s="86"/>
      <c r="F583" s="99"/>
      <c r="G583" s="99"/>
      <c r="H583" s="21"/>
      <c r="I583" s="86"/>
      <c r="J583" s="21"/>
      <c r="K583" s="5" t="str">
        <f>IF(AND(LEN(H583)=0, LEN(I583)=0), "", IF(AND(LEN(H583)&gt;0, LEN(I583)=0), "BLANCO", IFERROR(VLOOKUP(I583, BasedatosM9!A:B, 2, FALSE), "BLANCO")))</f>
        <v/>
      </c>
      <c r="W583" s="5" t="str">
        <f>IF(AND(LEN(T583)=0, LEN(U583)=0), "", IF(AND(LEN(T583)&gt;0, LEN(U583)=0), "BLANCO", IFERROR(VLOOKUP(U583, BasedatosM9!A:B, 2, FALSE), "BLANCO")))</f>
        <v/>
      </c>
      <c r="AI583" s="5" t="str">
        <f>IF(AND(LEN(AF583)=0, LEN(AG583)=0), "", IF(AND(LEN(AF583)&gt;0, LEN(AG583)=0), "BLANCO", IFERROR(VLOOKUP(AG583, BasedatosM9!A:B, 2, FALSE), "BLANCO")))</f>
        <v/>
      </c>
      <c r="AU583" s="5" t="str">
        <f>IF(AND(LEN(AR583)=0, LEN(AS583)=0), "", IF(AND(LEN(AR583)&gt;0, LEN(AS583)=0), "BLANCO", IFERROR(VLOOKUP(AS583, BasedatosM9!A:B, 2, FALSE), "BLANCO")))</f>
        <v/>
      </c>
    </row>
    <row r="584" spans="1:47" ht="14.4">
      <c r="A584" s="21"/>
      <c r="B584" s="86"/>
      <c r="C584" s="98"/>
      <c r="D584" s="21"/>
      <c r="E584" s="86"/>
      <c r="F584" s="99"/>
      <c r="G584" s="99"/>
      <c r="H584" s="21"/>
      <c r="I584" s="86"/>
      <c r="J584" s="21"/>
      <c r="K584" s="5" t="str">
        <f>IF(AND(LEN(H584)=0, LEN(I584)=0), "", IF(AND(LEN(H584)&gt;0, LEN(I584)=0), "BLANCO", IFERROR(VLOOKUP(I584, BasedatosM9!A:B, 2, FALSE), "BLANCO")))</f>
        <v/>
      </c>
      <c r="W584" s="5" t="str">
        <f>IF(AND(LEN(T584)=0, LEN(U584)=0), "", IF(AND(LEN(T584)&gt;0, LEN(U584)=0), "BLANCO", IFERROR(VLOOKUP(U584, BasedatosM9!A:B, 2, FALSE), "BLANCO")))</f>
        <v/>
      </c>
      <c r="AI584" s="5" t="str">
        <f>IF(AND(LEN(AF584)=0, LEN(AG584)=0), "", IF(AND(LEN(AF584)&gt;0, LEN(AG584)=0), "BLANCO", IFERROR(VLOOKUP(AG584, BasedatosM9!A:B, 2, FALSE), "BLANCO")))</f>
        <v/>
      </c>
      <c r="AU584" s="5" t="str">
        <f>IF(AND(LEN(AR584)=0, LEN(AS584)=0), "", IF(AND(LEN(AR584)&gt;0, LEN(AS584)=0), "BLANCO", IFERROR(VLOOKUP(AS584, BasedatosM9!A:B, 2, FALSE), "BLANCO")))</f>
        <v/>
      </c>
    </row>
    <row r="585" spans="1:47" ht="14.4">
      <c r="A585" s="21"/>
      <c r="B585" s="86"/>
      <c r="C585" s="98"/>
      <c r="D585" s="21"/>
      <c r="E585" s="86"/>
      <c r="F585" s="99"/>
      <c r="G585" s="99"/>
      <c r="H585" s="21"/>
      <c r="I585" s="21"/>
      <c r="J585" s="21"/>
      <c r="K585" s="5" t="str">
        <f>IF(AND(LEN(H585)=0, LEN(I585)=0), "", IF(AND(LEN(H585)&gt;0, LEN(I585)=0), "BLANCO", IFERROR(VLOOKUP(I585, BasedatosM9!A:B, 2, FALSE), "BLANCO")))</f>
        <v/>
      </c>
      <c r="W585" s="5" t="str">
        <f>IF(AND(LEN(T585)=0, LEN(U585)=0), "", IF(AND(LEN(T585)&gt;0, LEN(U585)=0), "BLANCO", IFERROR(VLOOKUP(U585, BasedatosM9!A:B, 2, FALSE), "BLANCO")))</f>
        <v/>
      </c>
      <c r="AI585" s="5" t="str">
        <f>IF(AND(LEN(AF585)=0, LEN(AG585)=0), "", IF(AND(LEN(AF585)&gt;0, LEN(AG585)=0), "BLANCO", IFERROR(VLOOKUP(AG585, BasedatosM9!A:B, 2, FALSE), "BLANCO")))</f>
        <v/>
      </c>
      <c r="AU585" s="5" t="str">
        <f>IF(AND(LEN(AR585)=0, LEN(AS585)=0), "", IF(AND(LEN(AR585)&gt;0, LEN(AS585)=0), "BLANCO", IFERROR(VLOOKUP(AS585, BasedatosM9!A:B, 2, FALSE), "BLANCO")))</f>
        <v/>
      </c>
    </row>
    <row r="586" spans="1:47" ht="14.4">
      <c r="A586" s="21"/>
      <c r="B586" s="86"/>
      <c r="C586" s="98"/>
      <c r="D586" s="21"/>
      <c r="E586" s="86"/>
      <c r="F586" s="99"/>
      <c r="G586" s="99"/>
      <c r="H586" s="21"/>
      <c r="I586" s="21"/>
      <c r="J586" s="21"/>
      <c r="K586" s="5" t="str">
        <f>IF(AND(LEN(H586)=0, LEN(I586)=0), "", IF(AND(LEN(H586)&gt;0, LEN(I586)=0), "BLANCO", IFERROR(VLOOKUP(I586, BasedatosM9!A:B, 2, FALSE), "BLANCO")))</f>
        <v/>
      </c>
      <c r="W586" s="5" t="str">
        <f>IF(AND(LEN(T586)=0, LEN(U586)=0), "", IF(AND(LEN(T586)&gt;0, LEN(U586)=0), "BLANCO", IFERROR(VLOOKUP(U586, BasedatosM9!A:B, 2, FALSE), "BLANCO")))</f>
        <v/>
      </c>
      <c r="AI586" s="5" t="str">
        <f>IF(AND(LEN(AF586)=0, LEN(AG586)=0), "", IF(AND(LEN(AF586)&gt;0, LEN(AG586)=0), "BLANCO", IFERROR(VLOOKUP(AG586, BasedatosM9!A:B, 2, FALSE), "BLANCO")))</f>
        <v/>
      </c>
      <c r="AU586" s="5" t="str">
        <f>IF(AND(LEN(AR586)=0, LEN(AS586)=0), "", IF(AND(LEN(AR586)&gt;0, LEN(AS586)=0), "BLANCO", IFERROR(VLOOKUP(AS586, BasedatosM9!A:B, 2, FALSE), "BLANCO")))</f>
        <v/>
      </c>
    </row>
    <row r="587" spans="1:47" ht="14.4">
      <c r="A587" s="21"/>
      <c r="B587" s="86"/>
      <c r="C587" s="98"/>
      <c r="D587" s="21"/>
      <c r="E587" s="86"/>
      <c r="F587" s="99"/>
      <c r="G587" s="99"/>
      <c r="H587" s="21"/>
      <c r="I587" s="21"/>
      <c r="J587" s="21"/>
      <c r="K587" s="5" t="str">
        <f>IF(AND(LEN(H587)=0, LEN(I587)=0), "", IF(AND(LEN(H587)&gt;0, LEN(I587)=0), "BLANCO", IFERROR(VLOOKUP(I587, BasedatosM9!A:B, 2, FALSE), "BLANCO")))</f>
        <v/>
      </c>
      <c r="W587" s="5" t="str">
        <f>IF(AND(LEN(T587)=0, LEN(U587)=0), "", IF(AND(LEN(T587)&gt;0, LEN(U587)=0), "BLANCO", IFERROR(VLOOKUP(U587, BasedatosM9!A:B, 2, FALSE), "BLANCO")))</f>
        <v/>
      </c>
      <c r="AI587" s="5" t="str">
        <f>IF(AND(LEN(AF587)=0, LEN(AG587)=0), "", IF(AND(LEN(AF587)&gt;0, LEN(AG587)=0), "BLANCO", IFERROR(VLOOKUP(AG587, BasedatosM9!A:B, 2, FALSE), "BLANCO")))</f>
        <v/>
      </c>
      <c r="AU587" s="5" t="str">
        <f>IF(AND(LEN(AR587)=0, LEN(AS587)=0), "", IF(AND(LEN(AR587)&gt;0, LEN(AS587)=0), "BLANCO", IFERROR(VLOOKUP(AS587, BasedatosM9!A:B, 2, FALSE), "BLANCO")))</f>
        <v/>
      </c>
    </row>
    <row r="588" spans="1:47" ht="14.4">
      <c r="A588" s="21"/>
      <c r="B588" s="86"/>
      <c r="C588" s="98"/>
      <c r="D588" s="21"/>
      <c r="E588" s="86"/>
      <c r="F588" s="99"/>
      <c r="G588" s="99"/>
      <c r="H588" s="21"/>
      <c r="I588" s="21"/>
      <c r="J588" s="21"/>
      <c r="K588" s="5" t="str">
        <f>IF(AND(LEN(H588)=0, LEN(I588)=0), "", IF(AND(LEN(H588)&gt;0, LEN(I588)=0), "BLANCO", IFERROR(VLOOKUP(I588, BasedatosM9!A:B, 2, FALSE), "BLANCO")))</f>
        <v/>
      </c>
      <c r="W588" s="5" t="str">
        <f>IF(AND(LEN(T588)=0, LEN(U588)=0), "", IF(AND(LEN(T588)&gt;0, LEN(U588)=0), "BLANCO", IFERROR(VLOOKUP(U588, BasedatosM9!A:B, 2, FALSE), "BLANCO")))</f>
        <v/>
      </c>
      <c r="AI588" s="5" t="str">
        <f>IF(AND(LEN(AF588)=0, LEN(AG588)=0), "", IF(AND(LEN(AF588)&gt;0, LEN(AG588)=0), "BLANCO", IFERROR(VLOOKUP(AG588, BasedatosM9!A:B, 2, FALSE), "BLANCO")))</f>
        <v/>
      </c>
      <c r="AU588" s="5" t="str">
        <f>IF(AND(LEN(AR588)=0, LEN(AS588)=0), "", IF(AND(LEN(AR588)&gt;0, LEN(AS588)=0), "BLANCO", IFERROR(VLOOKUP(AS588, BasedatosM9!A:B, 2, FALSE), "BLANCO")))</f>
        <v/>
      </c>
    </row>
    <row r="589" spans="1:47" ht="14.4">
      <c r="A589" s="21"/>
      <c r="B589" s="86"/>
      <c r="C589" s="98"/>
      <c r="D589" s="21"/>
      <c r="E589" s="86"/>
      <c r="F589" s="99"/>
      <c r="G589" s="99"/>
      <c r="H589" s="21"/>
      <c r="I589" s="21"/>
      <c r="J589" s="21"/>
      <c r="K589" s="5" t="str">
        <f>IF(AND(LEN(H589)=0, LEN(I589)=0), "", IF(AND(LEN(H589)&gt;0, LEN(I589)=0), "BLANCO", IFERROR(VLOOKUP(I589, BasedatosM9!A:B, 2, FALSE), "BLANCO")))</f>
        <v/>
      </c>
      <c r="W589" s="5" t="str">
        <f>IF(AND(LEN(T589)=0, LEN(U589)=0), "", IF(AND(LEN(T589)&gt;0, LEN(U589)=0), "BLANCO", IFERROR(VLOOKUP(U589, BasedatosM9!A:B, 2, FALSE), "BLANCO")))</f>
        <v/>
      </c>
      <c r="AI589" s="5" t="str">
        <f>IF(AND(LEN(AF589)=0, LEN(AG589)=0), "", IF(AND(LEN(AF589)&gt;0, LEN(AG589)=0), "BLANCO", IFERROR(VLOOKUP(AG589, BasedatosM9!A:B, 2, FALSE), "BLANCO")))</f>
        <v/>
      </c>
      <c r="AU589" s="5" t="str">
        <f>IF(AND(LEN(AR589)=0, LEN(AS589)=0), "", IF(AND(LEN(AR589)&gt;0, LEN(AS589)=0), "BLANCO", IFERROR(VLOOKUP(AS589, BasedatosM9!A:B, 2, FALSE), "BLANCO")))</f>
        <v/>
      </c>
    </row>
    <row r="590" spans="1:47" ht="14.4">
      <c r="A590" s="21"/>
      <c r="B590" s="86"/>
      <c r="C590" s="98"/>
      <c r="D590" s="21"/>
      <c r="E590" s="86"/>
      <c r="F590" s="99"/>
      <c r="G590" s="99"/>
      <c r="H590" s="21"/>
      <c r="I590" s="86"/>
      <c r="J590" s="21"/>
      <c r="K590" s="5" t="str">
        <f>IF(AND(LEN(H590)=0, LEN(I590)=0), "", IF(AND(LEN(H590)&gt;0, LEN(I590)=0), "BLANCO", IFERROR(VLOOKUP(I590, BasedatosM9!A:B, 2, FALSE), "BLANCO")))</f>
        <v/>
      </c>
      <c r="W590" s="5" t="str">
        <f>IF(AND(LEN(T590)=0, LEN(U590)=0), "", IF(AND(LEN(T590)&gt;0, LEN(U590)=0), "BLANCO", IFERROR(VLOOKUP(U590, BasedatosM9!A:B, 2, FALSE), "BLANCO")))</f>
        <v/>
      </c>
      <c r="AI590" s="5" t="str">
        <f>IF(AND(LEN(AF590)=0, LEN(AG590)=0), "", IF(AND(LEN(AF590)&gt;0, LEN(AG590)=0), "BLANCO", IFERROR(VLOOKUP(AG590, BasedatosM9!A:B, 2, FALSE), "BLANCO")))</f>
        <v/>
      </c>
      <c r="AU590" s="5" t="str">
        <f>IF(AND(LEN(AR590)=0, LEN(AS590)=0), "", IF(AND(LEN(AR590)&gt;0, LEN(AS590)=0), "BLANCO", IFERROR(VLOOKUP(AS590, BasedatosM9!A:B, 2, FALSE), "BLANCO")))</f>
        <v/>
      </c>
    </row>
    <row r="591" spans="1:47" ht="14.4">
      <c r="A591" s="21"/>
      <c r="B591" s="86"/>
      <c r="C591" s="98"/>
      <c r="D591" s="21"/>
      <c r="E591" s="86"/>
      <c r="F591" s="99"/>
      <c r="G591" s="99"/>
      <c r="H591" s="21"/>
      <c r="I591" s="86"/>
      <c r="J591" s="21"/>
      <c r="K591" s="5" t="str">
        <f>IF(AND(LEN(H591)=0, LEN(I591)=0), "", IF(AND(LEN(H591)&gt;0, LEN(I591)=0), "BLANCO", IFERROR(VLOOKUP(I591, BasedatosM9!A:B, 2, FALSE), "BLANCO")))</f>
        <v/>
      </c>
      <c r="W591" s="5" t="str">
        <f>IF(AND(LEN(T591)=0, LEN(U591)=0), "", IF(AND(LEN(T591)&gt;0, LEN(U591)=0), "BLANCO", IFERROR(VLOOKUP(U591, BasedatosM9!A:B, 2, FALSE), "BLANCO")))</f>
        <v/>
      </c>
      <c r="AI591" s="5" t="str">
        <f>IF(AND(LEN(AF591)=0, LEN(AG591)=0), "", IF(AND(LEN(AF591)&gt;0, LEN(AG591)=0), "BLANCO", IFERROR(VLOOKUP(AG591, BasedatosM9!A:B, 2, FALSE), "BLANCO")))</f>
        <v/>
      </c>
      <c r="AU591" s="5" t="str">
        <f>IF(AND(LEN(AR591)=0, LEN(AS591)=0), "", IF(AND(LEN(AR591)&gt;0, LEN(AS591)=0), "BLANCO", IFERROR(VLOOKUP(AS591, BasedatosM9!A:B, 2, FALSE), "BLANCO")))</f>
        <v/>
      </c>
    </row>
    <row r="592" spans="1:47" ht="14.4">
      <c r="A592" s="21"/>
      <c r="B592" s="86"/>
      <c r="C592" s="98"/>
      <c r="D592" s="21"/>
      <c r="E592" s="86"/>
      <c r="F592" s="99"/>
      <c r="G592" s="99"/>
      <c r="H592" s="21"/>
      <c r="I592" s="21"/>
      <c r="J592" s="21"/>
      <c r="K592" s="5" t="str">
        <f>IF(AND(LEN(H592)=0, LEN(I592)=0), "", IF(AND(LEN(H592)&gt;0, LEN(I592)=0), "BLANCO", IFERROR(VLOOKUP(I592, BasedatosM9!A:B, 2, FALSE), "BLANCO")))</f>
        <v/>
      </c>
      <c r="W592" s="5" t="str">
        <f>IF(AND(LEN(T592)=0, LEN(U592)=0), "", IF(AND(LEN(T592)&gt;0, LEN(U592)=0), "BLANCO", IFERROR(VLOOKUP(U592, BasedatosM9!A:B, 2, FALSE), "BLANCO")))</f>
        <v/>
      </c>
      <c r="AI592" s="5" t="str">
        <f>IF(AND(LEN(AF592)=0, LEN(AG592)=0), "", IF(AND(LEN(AF592)&gt;0, LEN(AG592)=0), "BLANCO", IFERROR(VLOOKUP(AG592, BasedatosM9!A:B, 2, FALSE), "BLANCO")))</f>
        <v/>
      </c>
      <c r="AU592" s="5" t="str">
        <f>IF(AND(LEN(AR592)=0, LEN(AS592)=0), "", IF(AND(LEN(AR592)&gt;0, LEN(AS592)=0), "BLANCO", IFERROR(VLOOKUP(AS592, BasedatosM9!A:B, 2, FALSE), "BLANCO")))</f>
        <v/>
      </c>
    </row>
    <row r="593" spans="1:47" ht="14.4">
      <c r="A593" s="21"/>
      <c r="B593" s="86"/>
      <c r="C593" s="98"/>
      <c r="D593" s="21"/>
      <c r="E593" s="86"/>
      <c r="F593" s="99"/>
      <c r="G593" s="99"/>
      <c r="H593" s="21"/>
      <c r="I593" s="86"/>
      <c r="J593" s="21"/>
      <c r="K593" s="5" t="str">
        <f>IF(AND(LEN(H593)=0, LEN(I593)=0), "", IF(AND(LEN(H593)&gt;0, LEN(I593)=0), "BLANCO", IFERROR(VLOOKUP(I593, BasedatosM9!A:B, 2, FALSE), "BLANCO")))</f>
        <v/>
      </c>
      <c r="W593" s="5" t="str">
        <f>IF(AND(LEN(T593)=0, LEN(U593)=0), "", IF(AND(LEN(T593)&gt;0, LEN(U593)=0), "BLANCO", IFERROR(VLOOKUP(U593, BasedatosM9!A:B, 2, FALSE), "BLANCO")))</f>
        <v/>
      </c>
      <c r="AI593" s="5" t="str">
        <f>IF(AND(LEN(AF593)=0, LEN(AG593)=0), "", IF(AND(LEN(AF593)&gt;0, LEN(AG593)=0), "BLANCO", IFERROR(VLOOKUP(AG593, BasedatosM9!A:B, 2, FALSE), "BLANCO")))</f>
        <v/>
      </c>
      <c r="AU593" s="5" t="str">
        <f>IF(AND(LEN(AR593)=0, LEN(AS593)=0), "", IF(AND(LEN(AR593)&gt;0, LEN(AS593)=0), "BLANCO", IFERROR(VLOOKUP(AS593, BasedatosM9!A:B, 2, FALSE), "BLANCO")))</f>
        <v/>
      </c>
    </row>
    <row r="594" spans="1:47" ht="14.4">
      <c r="A594" s="21"/>
      <c r="B594" s="86"/>
      <c r="C594" s="98"/>
      <c r="D594" s="21"/>
      <c r="E594" s="86"/>
      <c r="F594" s="99"/>
      <c r="G594" s="99"/>
      <c r="H594" s="21"/>
      <c r="I594" s="21"/>
      <c r="J594" s="21"/>
      <c r="K594" s="5" t="str">
        <f>IF(AND(LEN(H594)=0, LEN(I594)=0), "", IF(AND(LEN(H594)&gt;0, LEN(I594)=0), "BLANCO", IFERROR(VLOOKUP(I594, BasedatosM9!A:B, 2, FALSE), "BLANCO")))</f>
        <v/>
      </c>
      <c r="W594" s="5" t="str">
        <f>IF(AND(LEN(T594)=0, LEN(U594)=0), "", IF(AND(LEN(T594)&gt;0, LEN(U594)=0), "BLANCO", IFERROR(VLOOKUP(U594, BasedatosM9!A:B, 2, FALSE), "BLANCO")))</f>
        <v/>
      </c>
      <c r="AI594" s="5" t="str">
        <f>IF(AND(LEN(AF594)=0, LEN(AG594)=0), "", IF(AND(LEN(AF594)&gt;0, LEN(AG594)=0), "BLANCO", IFERROR(VLOOKUP(AG594, BasedatosM9!A:B, 2, FALSE), "BLANCO")))</f>
        <v/>
      </c>
      <c r="AU594" s="5" t="str">
        <f>IF(AND(LEN(AR594)=0, LEN(AS594)=0), "", IF(AND(LEN(AR594)&gt;0, LEN(AS594)=0), "BLANCO", IFERROR(VLOOKUP(AS594, BasedatosM9!A:B, 2, FALSE), "BLANCO")))</f>
        <v/>
      </c>
    </row>
    <row r="595" spans="1:47" ht="14.4">
      <c r="A595" s="21"/>
      <c r="B595" s="86"/>
      <c r="C595" s="98"/>
      <c r="D595" s="21"/>
      <c r="E595" s="86"/>
      <c r="F595" s="99"/>
      <c r="G595" s="99"/>
      <c r="H595" s="21"/>
      <c r="I595" s="21"/>
      <c r="J595" s="21"/>
      <c r="K595" s="5" t="str">
        <f>IF(AND(LEN(H595)=0, LEN(I595)=0), "", IF(AND(LEN(H595)&gt;0, LEN(I595)=0), "BLANCO", IFERROR(VLOOKUP(I595, BasedatosM9!A:B, 2, FALSE), "BLANCO")))</f>
        <v/>
      </c>
      <c r="W595" s="5" t="str">
        <f>IF(AND(LEN(T595)=0, LEN(U595)=0), "", IF(AND(LEN(T595)&gt;0, LEN(U595)=0), "BLANCO", IFERROR(VLOOKUP(U595, BasedatosM9!A:B, 2, FALSE), "BLANCO")))</f>
        <v/>
      </c>
      <c r="AI595" s="5" t="str">
        <f>IF(AND(LEN(AF595)=0, LEN(AG595)=0), "", IF(AND(LEN(AF595)&gt;0, LEN(AG595)=0), "BLANCO", IFERROR(VLOOKUP(AG595, BasedatosM9!A:B, 2, FALSE), "BLANCO")))</f>
        <v/>
      </c>
      <c r="AU595" s="5" t="str">
        <f>IF(AND(LEN(AR595)=0, LEN(AS595)=0), "", IF(AND(LEN(AR595)&gt;0, LEN(AS595)=0), "BLANCO", IFERROR(VLOOKUP(AS595, BasedatosM9!A:B, 2, FALSE), "BLANCO")))</f>
        <v/>
      </c>
    </row>
    <row r="596" spans="1:47" ht="14.4">
      <c r="A596" s="21"/>
      <c r="B596" s="86"/>
      <c r="C596" s="98"/>
      <c r="D596" s="21"/>
      <c r="E596" s="86"/>
      <c r="F596" s="99"/>
      <c r="G596" s="99"/>
      <c r="H596" s="21"/>
      <c r="I596" s="86"/>
      <c r="J596" s="21"/>
      <c r="K596" s="5" t="str">
        <f>IF(AND(LEN(H596)=0, LEN(I596)=0), "", IF(AND(LEN(H596)&gt;0, LEN(I596)=0), "BLANCO", IFERROR(VLOOKUP(I596, BasedatosM9!A:B, 2, FALSE), "BLANCO")))</f>
        <v/>
      </c>
      <c r="W596" s="5" t="str">
        <f>IF(AND(LEN(T596)=0, LEN(U596)=0), "", IF(AND(LEN(T596)&gt;0, LEN(U596)=0), "BLANCO", IFERROR(VLOOKUP(U596, BasedatosM9!A:B, 2, FALSE), "BLANCO")))</f>
        <v/>
      </c>
      <c r="AI596" s="5" t="str">
        <f>IF(AND(LEN(AF596)=0, LEN(AG596)=0), "", IF(AND(LEN(AF596)&gt;0, LEN(AG596)=0), "BLANCO", IFERROR(VLOOKUP(AG596, BasedatosM9!A:B, 2, FALSE), "BLANCO")))</f>
        <v/>
      </c>
      <c r="AU596" s="5" t="str">
        <f>IF(AND(LEN(AR596)=0, LEN(AS596)=0), "", IF(AND(LEN(AR596)&gt;0, LEN(AS596)=0), "BLANCO", IFERROR(VLOOKUP(AS596, BasedatosM9!A:B, 2, FALSE), "BLANCO")))</f>
        <v/>
      </c>
    </row>
    <row r="597" spans="1:47" ht="14.4">
      <c r="A597" s="21"/>
      <c r="B597" s="86"/>
      <c r="C597" s="98"/>
      <c r="D597" s="21"/>
      <c r="E597" s="86"/>
      <c r="F597" s="99"/>
      <c r="G597" s="99"/>
      <c r="H597" s="21"/>
      <c r="I597" s="21"/>
      <c r="J597" s="21"/>
      <c r="K597" s="5" t="str">
        <f>IF(AND(LEN(H597)=0, LEN(I597)=0), "", IF(AND(LEN(H597)&gt;0, LEN(I597)=0), "BLANCO", IFERROR(VLOOKUP(I597, BasedatosM9!A:B, 2, FALSE), "BLANCO")))</f>
        <v/>
      </c>
      <c r="W597" s="5" t="str">
        <f>IF(AND(LEN(T597)=0, LEN(U597)=0), "", IF(AND(LEN(T597)&gt;0, LEN(U597)=0), "BLANCO", IFERROR(VLOOKUP(U597, BasedatosM9!A:B, 2, FALSE), "BLANCO")))</f>
        <v/>
      </c>
      <c r="AI597" s="5" t="str">
        <f>IF(AND(LEN(AF597)=0, LEN(AG597)=0), "", IF(AND(LEN(AF597)&gt;0, LEN(AG597)=0), "BLANCO", IFERROR(VLOOKUP(AG597, BasedatosM9!A:B, 2, FALSE), "BLANCO")))</f>
        <v/>
      </c>
      <c r="AU597" s="5" t="str">
        <f>IF(AND(LEN(AR597)=0, LEN(AS597)=0), "", IF(AND(LEN(AR597)&gt;0, LEN(AS597)=0), "BLANCO", IFERROR(VLOOKUP(AS597, BasedatosM9!A:B, 2, FALSE), "BLANCO")))</f>
        <v/>
      </c>
    </row>
    <row r="598" spans="1:47" ht="14.4">
      <c r="A598" s="21"/>
      <c r="B598" s="86"/>
      <c r="C598" s="98"/>
      <c r="D598" s="21"/>
      <c r="E598" s="86"/>
      <c r="F598" s="99"/>
      <c r="G598" s="99"/>
      <c r="H598" s="21"/>
      <c r="I598" s="21"/>
      <c r="J598" s="21"/>
      <c r="K598" s="5" t="str">
        <f>IF(AND(LEN(H598)=0, LEN(I598)=0), "", IF(AND(LEN(H598)&gt;0, LEN(I598)=0), "BLANCO", IFERROR(VLOOKUP(I598, BasedatosM9!A:B, 2, FALSE), "BLANCO")))</f>
        <v/>
      </c>
      <c r="W598" s="5" t="str">
        <f>IF(AND(LEN(T598)=0, LEN(U598)=0), "", IF(AND(LEN(T598)&gt;0, LEN(U598)=0), "BLANCO", IFERROR(VLOOKUP(U598, BasedatosM9!A:B, 2, FALSE), "BLANCO")))</f>
        <v/>
      </c>
      <c r="AI598" s="5" t="str">
        <f>IF(AND(LEN(AF598)=0, LEN(AG598)=0), "", IF(AND(LEN(AF598)&gt;0, LEN(AG598)=0), "BLANCO", IFERROR(VLOOKUP(AG598, BasedatosM9!A:B, 2, FALSE), "BLANCO")))</f>
        <v/>
      </c>
      <c r="AU598" s="5" t="str">
        <f>IF(AND(LEN(AR598)=0, LEN(AS598)=0), "", IF(AND(LEN(AR598)&gt;0, LEN(AS598)=0), "BLANCO", IFERROR(VLOOKUP(AS598, BasedatosM9!A:B, 2, FALSE), "BLANCO")))</f>
        <v/>
      </c>
    </row>
    <row r="599" spans="1:47" ht="14.4">
      <c r="A599" s="21"/>
      <c r="B599" s="86"/>
      <c r="C599" s="98"/>
      <c r="D599" s="21"/>
      <c r="E599" s="86"/>
      <c r="F599" s="99"/>
      <c r="G599" s="99"/>
      <c r="H599" s="21"/>
      <c r="I599" s="86"/>
      <c r="J599" s="21"/>
      <c r="K599" s="5" t="str">
        <f>IF(AND(LEN(H599)=0, LEN(I599)=0), "", IF(AND(LEN(H599)&gt;0, LEN(I599)=0), "BLANCO", IFERROR(VLOOKUP(I599, BasedatosM9!A:B, 2, FALSE), "BLANCO")))</f>
        <v/>
      </c>
      <c r="W599" s="5" t="str">
        <f>IF(AND(LEN(T599)=0, LEN(U599)=0), "", IF(AND(LEN(T599)&gt;0, LEN(U599)=0), "BLANCO", IFERROR(VLOOKUP(U599, BasedatosM9!A:B, 2, FALSE), "BLANCO")))</f>
        <v/>
      </c>
      <c r="AI599" s="5" t="str">
        <f>IF(AND(LEN(AF599)=0, LEN(AG599)=0), "", IF(AND(LEN(AF599)&gt;0, LEN(AG599)=0), "BLANCO", IFERROR(VLOOKUP(AG599, BasedatosM9!A:B, 2, FALSE), "BLANCO")))</f>
        <v/>
      </c>
      <c r="AU599" s="5" t="str">
        <f>IF(AND(LEN(AR599)=0, LEN(AS599)=0), "", IF(AND(LEN(AR599)&gt;0, LEN(AS599)=0), "BLANCO", IFERROR(VLOOKUP(AS599, BasedatosM9!A:B, 2, FALSE), "BLANCO")))</f>
        <v/>
      </c>
    </row>
    <row r="600" spans="1:47" ht="14.4">
      <c r="A600" s="21"/>
      <c r="B600" s="86"/>
      <c r="C600" s="98"/>
      <c r="D600" s="21"/>
      <c r="E600" s="86"/>
      <c r="F600" s="99"/>
      <c r="G600" s="99"/>
      <c r="H600" s="21"/>
      <c r="I600" s="21"/>
      <c r="J600" s="21"/>
      <c r="K600" s="5" t="str">
        <f>IF(AND(LEN(H600)=0, LEN(I600)=0), "", IF(AND(LEN(H600)&gt;0, LEN(I600)=0), "BLANCO", IFERROR(VLOOKUP(I600, BasedatosM9!A:B, 2, FALSE), "BLANCO")))</f>
        <v/>
      </c>
      <c r="W600" s="5" t="str">
        <f>IF(AND(LEN(T600)=0, LEN(U600)=0), "", IF(AND(LEN(T600)&gt;0, LEN(U600)=0), "BLANCO", IFERROR(VLOOKUP(U600, BasedatosM9!A:B, 2, FALSE), "BLANCO")))</f>
        <v/>
      </c>
      <c r="AI600" s="5" t="str">
        <f>IF(AND(LEN(AF600)=0, LEN(AG600)=0), "", IF(AND(LEN(AF600)&gt;0, LEN(AG600)=0), "BLANCO", IFERROR(VLOOKUP(AG600, BasedatosM9!A:B, 2, FALSE), "BLANCO")))</f>
        <v/>
      </c>
      <c r="AU600" s="5" t="str">
        <f>IF(AND(LEN(AR600)=0, LEN(AS600)=0), "", IF(AND(LEN(AR600)&gt;0, LEN(AS600)=0), "BLANCO", IFERROR(VLOOKUP(AS600, BasedatosM9!A:B, 2, FALSE), "BLANCO")))</f>
        <v/>
      </c>
    </row>
    <row r="601" spans="1:47" ht="14.4">
      <c r="A601" s="21"/>
      <c r="B601" s="86"/>
      <c r="C601" s="98"/>
      <c r="D601" s="21"/>
      <c r="E601" s="86"/>
      <c r="F601" s="99"/>
      <c r="G601" s="99"/>
      <c r="H601" s="21"/>
      <c r="I601" s="86"/>
      <c r="J601" s="21"/>
      <c r="K601" s="5" t="str">
        <f>IF(AND(LEN(H601)=0, LEN(I601)=0), "", IF(AND(LEN(H601)&gt;0, LEN(I601)=0), "BLANCO", IFERROR(VLOOKUP(I601, BasedatosM9!A:B, 2, FALSE), "BLANCO")))</f>
        <v/>
      </c>
      <c r="W601" s="5" t="str">
        <f>IF(AND(LEN(T601)=0, LEN(U601)=0), "", IF(AND(LEN(T601)&gt;0, LEN(U601)=0), "BLANCO", IFERROR(VLOOKUP(U601, BasedatosM9!A:B, 2, FALSE), "BLANCO")))</f>
        <v/>
      </c>
      <c r="AI601" s="5" t="str">
        <f>IF(AND(LEN(AF601)=0, LEN(AG601)=0), "", IF(AND(LEN(AF601)&gt;0, LEN(AG601)=0), "BLANCO", IFERROR(VLOOKUP(AG601, BasedatosM9!A:B, 2, FALSE), "BLANCO")))</f>
        <v/>
      </c>
      <c r="AU601" s="5" t="str">
        <f>IF(AND(LEN(AR601)=0, LEN(AS601)=0), "", IF(AND(LEN(AR601)&gt;0, LEN(AS601)=0), "BLANCO", IFERROR(VLOOKUP(AS601, BasedatosM9!A:B, 2, FALSE), "BLANCO")))</f>
        <v/>
      </c>
    </row>
    <row r="602" spans="1:47" ht="14.4">
      <c r="A602" s="21"/>
      <c r="B602" s="86"/>
      <c r="C602" s="98"/>
      <c r="D602" s="21"/>
      <c r="E602" s="86"/>
      <c r="F602" s="99"/>
      <c r="G602" s="99"/>
      <c r="H602" s="21"/>
      <c r="I602" s="86"/>
      <c r="J602" s="21"/>
      <c r="K602" s="5" t="str">
        <f>IF(AND(LEN(H602)=0, LEN(I602)=0), "", IF(AND(LEN(H602)&gt;0, LEN(I602)=0), "BLANCO", IFERROR(VLOOKUP(I602, BasedatosM9!A:B, 2, FALSE), "BLANCO")))</f>
        <v/>
      </c>
      <c r="W602" s="5" t="str">
        <f>IF(AND(LEN(T602)=0, LEN(U602)=0), "", IF(AND(LEN(T602)&gt;0, LEN(U602)=0), "BLANCO", IFERROR(VLOOKUP(U602, BasedatosM9!A:B, 2, FALSE), "BLANCO")))</f>
        <v/>
      </c>
      <c r="AI602" s="5" t="str">
        <f>IF(AND(LEN(AF602)=0, LEN(AG602)=0), "", IF(AND(LEN(AF602)&gt;0, LEN(AG602)=0), "BLANCO", IFERROR(VLOOKUP(AG602, BasedatosM9!A:B, 2, FALSE), "BLANCO")))</f>
        <v/>
      </c>
      <c r="AU602" s="5" t="str">
        <f>IF(AND(LEN(AR602)=0, LEN(AS602)=0), "", IF(AND(LEN(AR602)&gt;0, LEN(AS602)=0), "BLANCO", IFERROR(VLOOKUP(AS602, BasedatosM9!A:B, 2, FALSE), "BLANCO")))</f>
        <v/>
      </c>
    </row>
    <row r="603" spans="1:47" ht="14.4">
      <c r="A603" s="21"/>
      <c r="B603" s="86"/>
      <c r="C603" s="98"/>
      <c r="D603" s="21"/>
      <c r="E603" s="86"/>
      <c r="F603" s="99"/>
      <c r="G603" s="99"/>
      <c r="H603" s="21"/>
      <c r="I603" s="86"/>
      <c r="J603" s="21"/>
      <c r="K603" s="5" t="str">
        <f>IF(AND(LEN(H603)=0, LEN(I603)=0), "", IF(AND(LEN(H603)&gt;0, LEN(I603)=0), "BLANCO", IFERROR(VLOOKUP(I603, BasedatosM9!A:B, 2, FALSE), "BLANCO")))</f>
        <v/>
      </c>
      <c r="W603" s="5" t="str">
        <f>IF(AND(LEN(T603)=0, LEN(U603)=0), "", IF(AND(LEN(T603)&gt;0, LEN(U603)=0), "BLANCO", IFERROR(VLOOKUP(U603, BasedatosM9!A:B, 2, FALSE), "BLANCO")))</f>
        <v/>
      </c>
      <c r="AI603" s="5" t="str">
        <f>IF(AND(LEN(AF603)=0, LEN(AG603)=0), "", IF(AND(LEN(AF603)&gt;0, LEN(AG603)=0), "BLANCO", IFERROR(VLOOKUP(AG603, BasedatosM9!A:B, 2, FALSE), "BLANCO")))</f>
        <v/>
      </c>
      <c r="AU603" s="5" t="str">
        <f>IF(AND(LEN(AR603)=0, LEN(AS603)=0), "", IF(AND(LEN(AR603)&gt;0, LEN(AS603)=0), "BLANCO", IFERROR(VLOOKUP(AS603, BasedatosM9!A:B, 2, FALSE), "BLANCO")))</f>
        <v/>
      </c>
    </row>
    <row r="604" spans="1:47" ht="14.4">
      <c r="A604" s="21"/>
      <c r="B604" s="86"/>
      <c r="C604" s="98"/>
      <c r="D604" s="21"/>
      <c r="E604" s="86"/>
      <c r="F604" s="99"/>
      <c r="G604" s="99"/>
      <c r="H604" s="21"/>
      <c r="I604" s="21"/>
      <c r="J604" s="21"/>
      <c r="K604" s="5" t="str">
        <f>IF(AND(LEN(H604)=0, LEN(I604)=0), "", IF(AND(LEN(H604)&gt;0, LEN(I604)=0), "BLANCO", IFERROR(VLOOKUP(I604, BasedatosM9!A:B, 2, FALSE), "BLANCO")))</f>
        <v/>
      </c>
      <c r="W604" s="5" t="str">
        <f>IF(AND(LEN(T604)=0, LEN(U604)=0), "", IF(AND(LEN(T604)&gt;0, LEN(U604)=0), "BLANCO", IFERROR(VLOOKUP(U604, BasedatosM9!A:B, 2, FALSE), "BLANCO")))</f>
        <v/>
      </c>
      <c r="AI604" s="5" t="str">
        <f>IF(AND(LEN(AF604)=0, LEN(AG604)=0), "", IF(AND(LEN(AF604)&gt;0, LEN(AG604)=0), "BLANCO", IFERROR(VLOOKUP(AG604, BasedatosM9!A:B, 2, FALSE), "BLANCO")))</f>
        <v/>
      </c>
      <c r="AU604" s="5" t="str">
        <f>IF(AND(LEN(AR604)=0, LEN(AS604)=0), "", IF(AND(LEN(AR604)&gt;0, LEN(AS604)=0), "BLANCO", IFERROR(VLOOKUP(AS604, BasedatosM9!A:B, 2, FALSE), "BLANCO")))</f>
        <v/>
      </c>
    </row>
    <row r="605" spans="1:47" ht="14.4">
      <c r="A605" s="21"/>
      <c r="B605" s="86"/>
      <c r="C605" s="98"/>
      <c r="D605" s="21"/>
      <c r="E605" s="86"/>
      <c r="F605" s="99"/>
      <c r="G605" s="99"/>
      <c r="H605" s="21"/>
      <c r="I605" s="86"/>
      <c r="J605" s="21"/>
      <c r="K605" s="5" t="str">
        <f>IF(AND(LEN(H605)=0, LEN(I605)=0), "", IF(AND(LEN(H605)&gt;0, LEN(I605)=0), "BLANCO", IFERROR(VLOOKUP(I605, BasedatosM9!A:B, 2, FALSE), "BLANCO")))</f>
        <v/>
      </c>
      <c r="W605" s="5" t="str">
        <f>IF(AND(LEN(T605)=0, LEN(U605)=0), "", IF(AND(LEN(T605)&gt;0, LEN(U605)=0), "BLANCO", IFERROR(VLOOKUP(U605, BasedatosM9!A:B, 2, FALSE), "BLANCO")))</f>
        <v/>
      </c>
      <c r="AI605" s="5" t="str">
        <f>IF(AND(LEN(AF605)=0, LEN(AG605)=0), "", IF(AND(LEN(AF605)&gt;0, LEN(AG605)=0), "BLANCO", IFERROR(VLOOKUP(AG605, BasedatosM9!A:B, 2, FALSE), "BLANCO")))</f>
        <v/>
      </c>
      <c r="AU605" s="5" t="str">
        <f>IF(AND(LEN(AR605)=0, LEN(AS605)=0), "", IF(AND(LEN(AR605)&gt;0, LEN(AS605)=0), "BLANCO", IFERROR(VLOOKUP(AS605, BasedatosM9!A:B, 2, FALSE), "BLANCO")))</f>
        <v/>
      </c>
    </row>
    <row r="606" spans="1:47" ht="14.4">
      <c r="A606" s="21"/>
      <c r="B606" s="86"/>
      <c r="C606" s="98"/>
      <c r="D606" s="21"/>
      <c r="E606" s="86"/>
      <c r="F606" s="99"/>
      <c r="G606" s="99"/>
      <c r="H606" s="21"/>
      <c r="I606" s="21"/>
      <c r="J606" s="21"/>
      <c r="K606" s="5" t="str">
        <f>IF(AND(LEN(H606)=0, LEN(I606)=0), "", IF(AND(LEN(H606)&gt;0, LEN(I606)=0), "BLANCO", IFERROR(VLOOKUP(I606, BasedatosM9!A:B, 2, FALSE), "BLANCO")))</f>
        <v/>
      </c>
      <c r="W606" s="5" t="str">
        <f>IF(AND(LEN(T606)=0, LEN(U606)=0), "", IF(AND(LEN(T606)&gt;0, LEN(U606)=0), "BLANCO", IFERROR(VLOOKUP(U606, BasedatosM9!A:B, 2, FALSE), "BLANCO")))</f>
        <v/>
      </c>
      <c r="AI606" s="5" t="str">
        <f>IF(AND(LEN(AF606)=0, LEN(AG606)=0), "", IF(AND(LEN(AF606)&gt;0, LEN(AG606)=0), "BLANCO", IFERROR(VLOOKUP(AG606, BasedatosM9!A:B, 2, FALSE), "BLANCO")))</f>
        <v/>
      </c>
      <c r="AU606" s="5" t="str">
        <f>IF(AND(LEN(AR606)=0, LEN(AS606)=0), "", IF(AND(LEN(AR606)&gt;0, LEN(AS606)=0), "BLANCO", IFERROR(VLOOKUP(AS606, BasedatosM9!A:B, 2, FALSE), "BLANCO")))</f>
        <v/>
      </c>
    </row>
    <row r="607" spans="1:47" ht="14.4">
      <c r="A607" s="21"/>
      <c r="B607" s="86"/>
      <c r="C607" s="98"/>
      <c r="D607" s="21"/>
      <c r="E607" s="86"/>
      <c r="F607" s="99"/>
      <c r="G607" s="99"/>
      <c r="H607" s="21"/>
      <c r="I607" s="86"/>
      <c r="J607" s="21"/>
      <c r="K607" s="5" t="str">
        <f>IF(AND(LEN(H607)=0, LEN(I607)=0), "", IF(AND(LEN(H607)&gt;0, LEN(I607)=0), "BLANCO", IFERROR(VLOOKUP(I607, BasedatosM9!A:B, 2, FALSE), "BLANCO")))</f>
        <v/>
      </c>
      <c r="W607" s="5" t="str">
        <f>IF(AND(LEN(T607)=0, LEN(U607)=0), "", IF(AND(LEN(T607)&gt;0, LEN(U607)=0), "BLANCO", IFERROR(VLOOKUP(U607, BasedatosM9!A:B, 2, FALSE), "BLANCO")))</f>
        <v/>
      </c>
      <c r="AI607" s="5" t="str">
        <f>IF(AND(LEN(AF607)=0, LEN(AG607)=0), "", IF(AND(LEN(AF607)&gt;0, LEN(AG607)=0), "BLANCO", IFERROR(VLOOKUP(AG607, BasedatosM9!A:B, 2, FALSE), "BLANCO")))</f>
        <v/>
      </c>
      <c r="AU607" s="5" t="str">
        <f>IF(AND(LEN(AR607)=0, LEN(AS607)=0), "", IF(AND(LEN(AR607)&gt;0, LEN(AS607)=0), "BLANCO", IFERROR(VLOOKUP(AS607, BasedatosM9!A:B, 2, FALSE), "BLANCO")))</f>
        <v/>
      </c>
    </row>
    <row r="608" spans="1:47" ht="14.4">
      <c r="A608" s="21"/>
      <c r="B608" s="86"/>
      <c r="C608" s="98"/>
      <c r="D608" s="21"/>
      <c r="E608" s="86"/>
      <c r="F608" s="99"/>
      <c r="G608" s="99"/>
      <c r="H608" s="21"/>
      <c r="I608" s="21"/>
      <c r="J608" s="21"/>
      <c r="K608" s="5" t="str">
        <f>IF(AND(LEN(H608)=0, LEN(I608)=0), "", IF(AND(LEN(H608)&gt;0, LEN(I608)=0), "BLANCO", IFERROR(VLOOKUP(I608, BasedatosM9!A:B, 2, FALSE), "BLANCO")))</f>
        <v/>
      </c>
      <c r="W608" s="5" t="str">
        <f>IF(AND(LEN(T608)=0, LEN(U608)=0), "", IF(AND(LEN(T608)&gt;0, LEN(U608)=0), "BLANCO", IFERROR(VLOOKUP(U608, BasedatosM9!A:B, 2, FALSE), "BLANCO")))</f>
        <v/>
      </c>
      <c r="AI608" s="5" t="str">
        <f>IF(AND(LEN(AF608)=0, LEN(AG608)=0), "", IF(AND(LEN(AF608)&gt;0, LEN(AG608)=0), "BLANCO", IFERROR(VLOOKUP(AG608, BasedatosM9!A:B, 2, FALSE), "BLANCO")))</f>
        <v/>
      </c>
      <c r="AU608" s="5" t="str">
        <f>IF(AND(LEN(AR608)=0, LEN(AS608)=0), "", IF(AND(LEN(AR608)&gt;0, LEN(AS608)=0), "BLANCO", IFERROR(VLOOKUP(AS608, BasedatosM9!A:B, 2, FALSE), "BLANCO")))</f>
        <v/>
      </c>
    </row>
    <row r="609" spans="1:47" ht="14.4">
      <c r="A609" s="21"/>
      <c r="B609" s="86"/>
      <c r="C609" s="98"/>
      <c r="D609" s="21"/>
      <c r="E609" s="86"/>
      <c r="F609" s="99"/>
      <c r="G609" s="99"/>
      <c r="H609" s="21"/>
      <c r="I609" s="21"/>
      <c r="J609" s="21"/>
      <c r="K609" s="5" t="str">
        <f>IF(AND(LEN(H609)=0, LEN(I609)=0), "", IF(AND(LEN(H609)&gt;0, LEN(I609)=0), "BLANCO", IFERROR(VLOOKUP(I609, BasedatosM9!A:B, 2, FALSE), "BLANCO")))</f>
        <v/>
      </c>
      <c r="W609" s="5" t="str">
        <f>IF(AND(LEN(T609)=0, LEN(U609)=0), "", IF(AND(LEN(T609)&gt;0, LEN(U609)=0), "BLANCO", IFERROR(VLOOKUP(U609, BasedatosM9!A:B, 2, FALSE), "BLANCO")))</f>
        <v/>
      </c>
      <c r="AI609" s="5" t="str">
        <f>IF(AND(LEN(AF609)=0, LEN(AG609)=0), "", IF(AND(LEN(AF609)&gt;0, LEN(AG609)=0), "BLANCO", IFERROR(VLOOKUP(AG609, BasedatosM9!A:B, 2, FALSE), "BLANCO")))</f>
        <v/>
      </c>
      <c r="AU609" s="5" t="str">
        <f>IF(AND(LEN(AR609)=0, LEN(AS609)=0), "", IF(AND(LEN(AR609)&gt;0, LEN(AS609)=0), "BLANCO", IFERROR(VLOOKUP(AS609, BasedatosM9!A:B, 2, FALSE), "BLANCO")))</f>
        <v/>
      </c>
    </row>
    <row r="610" spans="1:47" ht="14.4">
      <c r="A610" s="21"/>
      <c r="B610" s="86"/>
      <c r="C610" s="98"/>
      <c r="D610" s="21"/>
      <c r="E610" s="86"/>
      <c r="F610" s="99"/>
      <c r="G610" s="99"/>
      <c r="H610" s="21"/>
      <c r="I610" s="21"/>
      <c r="J610" s="21"/>
      <c r="K610" s="5" t="str">
        <f>IF(AND(LEN(H610)=0, LEN(I610)=0), "", IF(AND(LEN(H610)&gt;0, LEN(I610)=0), "BLANCO", IFERROR(VLOOKUP(I610, BasedatosM9!A:B, 2, FALSE), "BLANCO")))</f>
        <v/>
      </c>
      <c r="W610" s="5" t="str">
        <f>IF(AND(LEN(T610)=0, LEN(U610)=0), "", IF(AND(LEN(T610)&gt;0, LEN(U610)=0), "BLANCO", IFERROR(VLOOKUP(U610, BasedatosM9!A:B, 2, FALSE), "BLANCO")))</f>
        <v/>
      </c>
      <c r="AI610" s="5" t="str">
        <f>IF(AND(LEN(AF610)=0, LEN(AG610)=0), "", IF(AND(LEN(AF610)&gt;0, LEN(AG610)=0), "BLANCO", IFERROR(VLOOKUP(AG610, BasedatosM9!A:B, 2, FALSE), "BLANCO")))</f>
        <v/>
      </c>
      <c r="AU610" s="5" t="str">
        <f>IF(AND(LEN(AR610)=0, LEN(AS610)=0), "", IF(AND(LEN(AR610)&gt;0, LEN(AS610)=0), "BLANCO", IFERROR(VLOOKUP(AS610, BasedatosM9!A:B, 2, FALSE), "BLANCO")))</f>
        <v/>
      </c>
    </row>
    <row r="611" spans="1:47" ht="14.4">
      <c r="A611" s="21"/>
      <c r="B611" s="86"/>
      <c r="C611" s="98"/>
      <c r="D611" s="21"/>
      <c r="E611" s="86"/>
      <c r="F611" s="99"/>
      <c r="G611" s="99"/>
      <c r="H611" s="21"/>
      <c r="I611" s="21"/>
      <c r="J611" s="21"/>
      <c r="K611" s="5" t="str">
        <f>IF(AND(LEN(H611)=0, LEN(I611)=0), "", IF(AND(LEN(H611)&gt;0, LEN(I611)=0), "BLANCO", IFERROR(VLOOKUP(I611, BasedatosM9!A:B, 2, FALSE), "BLANCO")))</f>
        <v/>
      </c>
      <c r="W611" s="5" t="str">
        <f>IF(AND(LEN(T611)=0, LEN(U611)=0), "", IF(AND(LEN(T611)&gt;0, LEN(U611)=0), "BLANCO", IFERROR(VLOOKUP(U611, BasedatosM9!A:B, 2, FALSE), "BLANCO")))</f>
        <v/>
      </c>
      <c r="AI611" s="5" t="str">
        <f>IF(AND(LEN(AF611)=0, LEN(AG611)=0), "", IF(AND(LEN(AF611)&gt;0, LEN(AG611)=0), "BLANCO", IFERROR(VLOOKUP(AG611, BasedatosM9!A:B, 2, FALSE), "BLANCO")))</f>
        <v/>
      </c>
      <c r="AU611" s="5" t="str">
        <f>IF(AND(LEN(AR611)=0, LEN(AS611)=0), "", IF(AND(LEN(AR611)&gt;0, LEN(AS611)=0), "BLANCO", IFERROR(VLOOKUP(AS611, BasedatosM9!A:B, 2, FALSE), "BLANCO")))</f>
        <v/>
      </c>
    </row>
    <row r="612" spans="1:47" ht="14.4">
      <c r="A612" s="21"/>
      <c r="B612" s="86"/>
      <c r="C612" s="98"/>
      <c r="D612" s="21"/>
      <c r="E612" s="86"/>
      <c r="F612" s="99"/>
      <c r="G612" s="99"/>
      <c r="H612" s="21"/>
      <c r="I612" s="86"/>
      <c r="J612" s="21"/>
      <c r="K612" s="5" t="str">
        <f>IF(AND(LEN(H612)=0, LEN(I612)=0), "", IF(AND(LEN(H612)&gt;0, LEN(I612)=0), "BLANCO", IFERROR(VLOOKUP(I612, BasedatosM9!A:B, 2, FALSE), "BLANCO")))</f>
        <v/>
      </c>
      <c r="W612" s="5" t="str">
        <f>IF(AND(LEN(T612)=0, LEN(U612)=0), "", IF(AND(LEN(T612)&gt;0, LEN(U612)=0), "BLANCO", IFERROR(VLOOKUP(U612, BasedatosM9!A:B, 2, FALSE), "BLANCO")))</f>
        <v/>
      </c>
      <c r="AI612" s="5" t="str">
        <f>IF(AND(LEN(AF612)=0, LEN(AG612)=0), "", IF(AND(LEN(AF612)&gt;0, LEN(AG612)=0), "BLANCO", IFERROR(VLOOKUP(AG612, BasedatosM9!A:B, 2, FALSE), "BLANCO")))</f>
        <v/>
      </c>
      <c r="AU612" s="5" t="str">
        <f>IF(AND(LEN(AR612)=0, LEN(AS612)=0), "", IF(AND(LEN(AR612)&gt;0, LEN(AS612)=0), "BLANCO", IFERROR(VLOOKUP(AS612, BasedatosM9!A:B, 2, FALSE), "BLANCO")))</f>
        <v/>
      </c>
    </row>
    <row r="613" spans="1:47" ht="14.4">
      <c r="A613" s="21"/>
      <c r="B613" s="86"/>
      <c r="C613" s="98"/>
      <c r="D613" s="21"/>
      <c r="E613" s="86"/>
      <c r="F613" s="99"/>
      <c r="G613" s="99"/>
      <c r="H613" s="21"/>
      <c r="I613" s="21"/>
      <c r="J613" s="21"/>
      <c r="K613" s="5" t="str">
        <f>IF(AND(LEN(H613)=0, LEN(I613)=0), "", IF(AND(LEN(H613)&gt;0, LEN(I613)=0), "BLANCO", IFERROR(VLOOKUP(I613, BasedatosM9!A:B, 2, FALSE), "BLANCO")))</f>
        <v/>
      </c>
      <c r="W613" s="5" t="str">
        <f>IF(AND(LEN(T613)=0, LEN(U613)=0), "", IF(AND(LEN(T613)&gt;0, LEN(U613)=0), "BLANCO", IFERROR(VLOOKUP(U613, BasedatosM9!A:B, 2, FALSE), "BLANCO")))</f>
        <v/>
      </c>
      <c r="AI613" s="5" t="str">
        <f>IF(AND(LEN(AF613)=0, LEN(AG613)=0), "", IF(AND(LEN(AF613)&gt;0, LEN(AG613)=0), "BLANCO", IFERROR(VLOOKUP(AG613, BasedatosM9!A:B, 2, FALSE), "BLANCO")))</f>
        <v/>
      </c>
      <c r="AU613" s="5" t="str">
        <f>IF(AND(LEN(AR613)=0, LEN(AS613)=0), "", IF(AND(LEN(AR613)&gt;0, LEN(AS613)=0), "BLANCO", IFERROR(VLOOKUP(AS613, BasedatosM9!A:B, 2, FALSE), "BLANCO")))</f>
        <v/>
      </c>
    </row>
    <row r="614" spans="1:47" ht="14.4">
      <c r="A614" s="21"/>
      <c r="B614" s="86"/>
      <c r="C614" s="98"/>
      <c r="D614" s="21"/>
      <c r="E614" s="86"/>
      <c r="F614" s="99"/>
      <c r="G614" s="99"/>
      <c r="H614" s="21"/>
      <c r="I614" s="21"/>
      <c r="J614" s="21"/>
      <c r="K614" s="5" t="str">
        <f>IF(AND(LEN(H614)=0, LEN(I614)=0), "", IF(AND(LEN(H614)&gt;0, LEN(I614)=0), "BLANCO", IFERROR(VLOOKUP(I614, BasedatosM9!A:B, 2, FALSE), "BLANCO")))</f>
        <v/>
      </c>
      <c r="W614" s="5" t="str">
        <f>IF(AND(LEN(T614)=0, LEN(U614)=0), "", IF(AND(LEN(T614)&gt;0, LEN(U614)=0), "BLANCO", IFERROR(VLOOKUP(U614, BasedatosM9!A:B, 2, FALSE), "BLANCO")))</f>
        <v/>
      </c>
      <c r="AI614" s="5" t="str">
        <f>IF(AND(LEN(AF614)=0, LEN(AG614)=0), "", IF(AND(LEN(AF614)&gt;0, LEN(AG614)=0), "BLANCO", IFERROR(VLOOKUP(AG614, BasedatosM9!A:B, 2, FALSE), "BLANCO")))</f>
        <v/>
      </c>
      <c r="AU614" s="5" t="str">
        <f>IF(AND(LEN(AR614)=0, LEN(AS614)=0), "", IF(AND(LEN(AR614)&gt;0, LEN(AS614)=0), "BLANCO", IFERROR(VLOOKUP(AS614, BasedatosM9!A:B, 2, FALSE), "BLANCO")))</f>
        <v/>
      </c>
    </row>
    <row r="615" spans="1:47" ht="14.4">
      <c r="A615" s="21"/>
      <c r="B615" s="86"/>
      <c r="C615" s="98"/>
      <c r="D615" s="21"/>
      <c r="E615" s="86"/>
      <c r="F615" s="99"/>
      <c r="G615" s="99"/>
      <c r="H615" s="21"/>
      <c r="I615" s="21"/>
      <c r="J615" s="21"/>
      <c r="K615" s="5" t="str">
        <f>IF(AND(LEN(H615)=0, LEN(I615)=0), "", IF(AND(LEN(H615)&gt;0, LEN(I615)=0), "BLANCO", IFERROR(VLOOKUP(I615, BasedatosM9!A:B, 2, FALSE), "BLANCO")))</f>
        <v/>
      </c>
      <c r="W615" s="5" t="str">
        <f>IF(AND(LEN(T615)=0, LEN(U615)=0), "", IF(AND(LEN(T615)&gt;0, LEN(U615)=0), "BLANCO", IFERROR(VLOOKUP(U615, BasedatosM9!A:B, 2, FALSE), "BLANCO")))</f>
        <v/>
      </c>
      <c r="AI615" s="5" t="str">
        <f>IF(AND(LEN(AF615)=0, LEN(AG615)=0), "", IF(AND(LEN(AF615)&gt;0, LEN(AG615)=0), "BLANCO", IFERROR(VLOOKUP(AG615, BasedatosM9!A:B, 2, FALSE), "BLANCO")))</f>
        <v/>
      </c>
      <c r="AU615" s="5" t="str">
        <f>IF(AND(LEN(AR615)=0, LEN(AS615)=0), "", IF(AND(LEN(AR615)&gt;0, LEN(AS615)=0), "BLANCO", IFERROR(VLOOKUP(AS615, BasedatosM9!A:B, 2, FALSE), "BLANCO")))</f>
        <v/>
      </c>
    </row>
    <row r="616" spans="1:47" ht="14.4">
      <c r="A616" s="21"/>
      <c r="B616" s="86"/>
      <c r="C616" s="98"/>
      <c r="D616" s="21"/>
      <c r="E616" s="86"/>
      <c r="F616" s="99"/>
      <c r="G616" s="99"/>
      <c r="H616" s="21"/>
      <c r="I616" s="86"/>
      <c r="J616" s="21"/>
      <c r="K616" s="5" t="str">
        <f>IF(AND(LEN(H616)=0, LEN(I616)=0), "", IF(AND(LEN(H616)&gt;0, LEN(I616)=0), "BLANCO", IFERROR(VLOOKUP(I616, BasedatosM9!A:B, 2, FALSE), "BLANCO")))</f>
        <v/>
      </c>
      <c r="W616" s="5" t="str">
        <f>IF(AND(LEN(T616)=0, LEN(U616)=0), "", IF(AND(LEN(T616)&gt;0, LEN(U616)=0), "BLANCO", IFERROR(VLOOKUP(U616, BasedatosM9!A:B, 2, FALSE), "BLANCO")))</f>
        <v/>
      </c>
      <c r="AI616" s="5" t="str">
        <f>IF(AND(LEN(AF616)=0, LEN(AG616)=0), "", IF(AND(LEN(AF616)&gt;0, LEN(AG616)=0), "BLANCO", IFERROR(VLOOKUP(AG616, BasedatosM9!A:B, 2, FALSE), "BLANCO")))</f>
        <v/>
      </c>
      <c r="AU616" s="5" t="str">
        <f>IF(AND(LEN(AR616)=0, LEN(AS616)=0), "", IF(AND(LEN(AR616)&gt;0, LEN(AS616)=0), "BLANCO", IFERROR(VLOOKUP(AS616, BasedatosM9!A:B, 2, FALSE), "BLANCO")))</f>
        <v/>
      </c>
    </row>
    <row r="617" spans="1:47" ht="14.4">
      <c r="A617" s="21"/>
      <c r="B617" s="86"/>
      <c r="C617" s="98"/>
      <c r="D617" s="21"/>
      <c r="E617" s="86"/>
      <c r="F617" s="99"/>
      <c r="G617" s="99"/>
      <c r="H617" s="21"/>
      <c r="I617" s="21"/>
      <c r="J617" s="21"/>
      <c r="K617" s="5" t="str">
        <f>IF(AND(LEN(H617)=0, LEN(I617)=0), "", IF(AND(LEN(H617)&gt;0, LEN(I617)=0), "BLANCO", IFERROR(VLOOKUP(I617, BasedatosM9!A:B, 2, FALSE), "BLANCO")))</f>
        <v/>
      </c>
      <c r="W617" s="5" t="str">
        <f>IF(AND(LEN(T617)=0, LEN(U617)=0), "", IF(AND(LEN(T617)&gt;0, LEN(U617)=0), "BLANCO", IFERROR(VLOOKUP(U617, BasedatosM9!A:B, 2, FALSE), "BLANCO")))</f>
        <v/>
      </c>
      <c r="AI617" s="5" t="str">
        <f>IF(AND(LEN(AF617)=0, LEN(AG617)=0), "", IF(AND(LEN(AF617)&gt;0, LEN(AG617)=0), "BLANCO", IFERROR(VLOOKUP(AG617, BasedatosM9!A:B, 2, FALSE), "BLANCO")))</f>
        <v/>
      </c>
      <c r="AU617" s="5" t="str">
        <f>IF(AND(LEN(AR617)=0, LEN(AS617)=0), "", IF(AND(LEN(AR617)&gt;0, LEN(AS617)=0), "BLANCO", IFERROR(VLOOKUP(AS617, BasedatosM9!A:B, 2, FALSE), "BLANCO")))</f>
        <v/>
      </c>
    </row>
    <row r="618" spans="1:47" ht="14.4">
      <c r="A618" s="21"/>
      <c r="B618" s="86"/>
      <c r="C618" s="98"/>
      <c r="D618" s="21"/>
      <c r="E618" s="86"/>
      <c r="F618" s="99"/>
      <c r="G618" s="99"/>
      <c r="H618" s="21"/>
      <c r="I618" s="21"/>
      <c r="J618" s="21"/>
      <c r="K618" s="5" t="str">
        <f>IF(AND(LEN(H618)=0, LEN(I618)=0), "", IF(AND(LEN(H618)&gt;0, LEN(I618)=0), "BLANCO", IFERROR(VLOOKUP(I618, BasedatosM9!A:B, 2, FALSE), "BLANCO")))</f>
        <v/>
      </c>
      <c r="W618" s="5" t="str">
        <f>IF(AND(LEN(T618)=0, LEN(U618)=0), "", IF(AND(LEN(T618)&gt;0, LEN(U618)=0), "BLANCO", IFERROR(VLOOKUP(U618, BasedatosM9!A:B, 2, FALSE), "BLANCO")))</f>
        <v/>
      </c>
      <c r="AI618" s="5" t="str">
        <f>IF(AND(LEN(AF618)=0, LEN(AG618)=0), "", IF(AND(LEN(AF618)&gt;0, LEN(AG618)=0), "BLANCO", IFERROR(VLOOKUP(AG618, BasedatosM9!A:B, 2, FALSE), "BLANCO")))</f>
        <v/>
      </c>
      <c r="AU618" s="5" t="str">
        <f>IF(AND(LEN(AR618)=0, LEN(AS618)=0), "", IF(AND(LEN(AR618)&gt;0, LEN(AS618)=0), "BLANCO", IFERROR(VLOOKUP(AS618, BasedatosM9!A:B, 2, FALSE), "BLANCO")))</f>
        <v/>
      </c>
    </row>
    <row r="619" spans="1:47" ht="14.4">
      <c r="A619" s="21"/>
      <c r="B619" s="86"/>
      <c r="C619" s="98"/>
      <c r="D619" s="21"/>
      <c r="E619" s="86"/>
      <c r="F619" s="99"/>
      <c r="G619" s="99"/>
      <c r="H619" s="21"/>
      <c r="I619" s="86"/>
      <c r="J619" s="21"/>
      <c r="K619" s="5" t="str">
        <f>IF(AND(LEN(H619)=0, LEN(I619)=0), "", IF(AND(LEN(H619)&gt;0, LEN(I619)=0), "BLANCO", IFERROR(VLOOKUP(I619, BasedatosM9!A:B, 2, FALSE), "BLANCO")))</f>
        <v/>
      </c>
      <c r="W619" s="5" t="str">
        <f>IF(AND(LEN(T619)=0, LEN(U619)=0), "", IF(AND(LEN(T619)&gt;0, LEN(U619)=0), "BLANCO", IFERROR(VLOOKUP(U619, BasedatosM9!A:B, 2, FALSE), "BLANCO")))</f>
        <v/>
      </c>
      <c r="AI619" s="5" t="str">
        <f>IF(AND(LEN(AF619)=0, LEN(AG619)=0), "", IF(AND(LEN(AF619)&gt;0, LEN(AG619)=0), "BLANCO", IFERROR(VLOOKUP(AG619, BasedatosM9!A:B, 2, FALSE), "BLANCO")))</f>
        <v/>
      </c>
      <c r="AU619" s="5" t="str">
        <f>IF(AND(LEN(AR619)=0, LEN(AS619)=0), "", IF(AND(LEN(AR619)&gt;0, LEN(AS619)=0), "BLANCO", IFERROR(VLOOKUP(AS619, BasedatosM9!A:B, 2, FALSE), "BLANCO")))</f>
        <v/>
      </c>
    </row>
    <row r="620" spans="1:47" ht="14.4">
      <c r="A620" s="21"/>
      <c r="B620" s="86"/>
      <c r="C620" s="98"/>
      <c r="D620" s="21"/>
      <c r="E620" s="86"/>
      <c r="F620" s="99"/>
      <c r="G620" s="99"/>
      <c r="H620" s="21"/>
      <c r="I620" s="21"/>
      <c r="J620" s="21"/>
      <c r="K620" s="5" t="str">
        <f>IF(AND(LEN(H620)=0, LEN(I620)=0), "", IF(AND(LEN(H620)&gt;0, LEN(I620)=0), "BLANCO", IFERROR(VLOOKUP(I620, BasedatosM9!A:B, 2, FALSE), "BLANCO")))</f>
        <v/>
      </c>
      <c r="W620" s="5" t="str">
        <f>IF(AND(LEN(T620)=0, LEN(U620)=0), "", IF(AND(LEN(T620)&gt;0, LEN(U620)=0), "BLANCO", IFERROR(VLOOKUP(U620, BasedatosM9!A:B, 2, FALSE), "BLANCO")))</f>
        <v/>
      </c>
      <c r="AI620" s="5" t="str">
        <f>IF(AND(LEN(AF620)=0, LEN(AG620)=0), "", IF(AND(LEN(AF620)&gt;0, LEN(AG620)=0), "BLANCO", IFERROR(VLOOKUP(AG620, BasedatosM9!A:B, 2, FALSE), "BLANCO")))</f>
        <v/>
      </c>
      <c r="AU620" s="5" t="str">
        <f>IF(AND(LEN(AR620)=0, LEN(AS620)=0), "", IF(AND(LEN(AR620)&gt;0, LEN(AS620)=0), "BLANCO", IFERROR(VLOOKUP(AS620, BasedatosM9!A:B, 2, FALSE), "BLANCO")))</f>
        <v/>
      </c>
    </row>
    <row r="621" spans="1:47" ht="14.4">
      <c r="A621" s="21"/>
      <c r="B621" s="86"/>
      <c r="C621" s="98"/>
      <c r="D621" s="21"/>
      <c r="E621" s="86"/>
      <c r="F621" s="99"/>
      <c r="G621" s="99"/>
      <c r="H621" s="21"/>
      <c r="I621" s="21"/>
      <c r="J621" s="21"/>
      <c r="K621" s="5" t="str">
        <f>IF(AND(LEN(H621)=0, LEN(I621)=0), "", IF(AND(LEN(H621)&gt;0, LEN(I621)=0), "BLANCO", IFERROR(VLOOKUP(I621, BasedatosM9!A:B, 2, FALSE), "BLANCO")))</f>
        <v/>
      </c>
      <c r="W621" s="5" t="str">
        <f>IF(AND(LEN(T621)=0, LEN(U621)=0), "", IF(AND(LEN(T621)&gt;0, LEN(U621)=0), "BLANCO", IFERROR(VLOOKUP(U621, BasedatosM9!A:B, 2, FALSE), "BLANCO")))</f>
        <v/>
      </c>
      <c r="AI621" s="5" t="str">
        <f>IF(AND(LEN(AF621)=0, LEN(AG621)=0), "", IF(AND(LEN(AF621)&gt;0, LEN(AG621)=0), "BLANCO", IFERROR(VLOOKUP(AG621, BasedatosM9!A:B, 2, FALSE), "BLANCO")))</f>
        <v/>
      </c>
      <c r="AU621" s="5" t="str">
        <f>IF(AND(LEN(AR621)=0, LEN(AS621)=0), "", IF(AND(LEN(AR621)&gt;0, LEN(AS621)=0), "BLANCO", IFERROR(VLOOKUP(AS621, BasedatosM9!A:B, 2, FALSE), "BLANCO")))</f>
        <v/>
      </c>
    </row>
    <row r="622" spans="1:47" ht="14.4">
      <c r="A622" s="21"/>
      <c r="B622" s="86"/>
      <c r="C622" s="98"/>
      <c r="D622" s="21"/>
      <c r="E622" s="86"/>
      <c r="F622" s="99"/>
      <c r="G622" s="99"/>
      <c r="H622" s="21"/>
      <c r="I622" s="21"/>
      <c r="J622" s="21"/>
      <c r="K622" s="5" t="str">
        <f>IF(AND(LEN(H622)=0, LEN(I622)=0), "", IF(AND(LEN(H622)&gt;0, LEN(I622)=0), "BLANCO", IFERROR(VLOOKUP(I622, BasedatosM9!A:B, 2, FALSE), "BLANCO")))</f>
        <v/>
      </c>
      <c r="W622" s="5" t="str">
        <f>IF(AND(LEN(T622)=0, LEN(U622)=0), "", IF(AND(LEN(T622)&gt;0, LEN(U622)=0), "BLANCO", IFERROR(VLOOKUP(U622, BasedatosM9!A:B, 2, FALSE), "BLANCO")))</f>
        <v/>
      </c>
      <c r="AI622" s="5" t="str">
        <f>IF(AND(LEN(AF622)=0, LEN(AG622)=0), "", IF(AND(LEN(AF622)&gt;0, LEN(AG622)=0), "BLANCO", IFERROR(VLOOKUP(AG622, BasedatosM9!A:B, 2, FALSE), "BLANCO")))</f>
        <v/>
      </c>
      <c r="AU622" s="5" t="str">
        <f>IF(AND(LEN(AR622)=0, LEN(AS622)=0), "", IF(AND(LEN(AR622)&gt;0, LEN(AS622)=0), "BLANCO", IFERROR(VLOOKUP(AS622, BasedatosM9!A:B, 2, FALSE), "BLANCO")))</f>
        <v/>
      </c>
    </row>
    <row r="623" spans="1:47" ht="14.4">
      <c r="A623" s="21"/>
      <c r="B623" s="86"/>
      <c r="C623" s="98"/>
      <c r="D623" s="21"/>
      <c r="E623" s="86"/>
      <c r="F623" s="99"/>
      <c r="G623" s="99"/>
      <c r="H623" s="21"/>
      <c r="I623" s="21"/>
      <c r="J623" s="21"/>
      <c r="K623" s="5" t="str">
        <f>IF(AND(LEN(H623)=0, LEN(I623)=0), "", IF(AND(LEN(H623)&gt;0, LEN(I623)=0), "BLANCO", IFERROR(VLOOKUP(I623, BasedatosM9!A:B, 2, FALSE), "BLANCO")))</f>
        <v/>
      </c>
      <c r="W623" s="5" t="str">
        <f>IF(AND(LEN(T623)=0, LEN(U623)=0), "", IF(AND(LEN(T623)&gt;0, LEN(U623)=0), "BLANCO", IFERROR(VLOOKUP(U623, BasedatosM9!A:B, 2, FALSE), "BLANCO")))</f>
        <v/>
      </c>
      <c r="AI623" s="5" t="str">
        <f>IF(AND(LEN(AF623)=0, LEN(AG623)=0), "", IF(AND(LEN(AF623)&gt;0, LEN(AG623)=0), "BLANCO", IFERROR(VLOOKUP(AG623, BasedatosM9!A:B, 2, FALSE), "BLANCO")))</f>
        <v/>
      </c>
      <c r="AU623" s="5" t="str">
        <f>IF(AND(LEN(AR623)=0, LEN(AS623)=0), "", IF(AND(LEN(AR623)&gt;0, LEN(AS623)=0), "BLANCO", IFERROR(VLOOKUP(AS623, BasedatosM9!A:B, 2, FALSE), "BLANCO")))</f>
        <v/>
      </c>
    </row>
    <row r="624" spans="1:47" ht="14.4">
      <c r="A624" s="21"/>
      <c r="B624" s="86"/>
      <c r="C624" s="98"/>
      <c r="D624" s="21"/>
      <c r="E624" s="86"/>
      <c r="F624" s="99"/>
      <c r="G624" s="99"/>
      <c r="H624" s="21"/>
      <c r="I624" s="21"/>
      <c r="J624" s="21"/>
      <c r="K624" s="5" t="str">
        <f>IF(AND(LEN(H624)=0, LEN(I624)=0), "", IF(AND(LEN(H624)&gt;0, LEN(I624)=0), "BLANCO", IFERROR(VLOOKUP(I624, BasedatosM9!A:B, 2, FALSE), "BLANCO")))</f>
        <v/>
      </c>
      <c r="W624" s="5" t="str">
        <f>IF(AND(LEN(T624)=0, LEN(U624)=0), "", IF(AND(LEN(T624)&gt;0, LEN(U624)=0), "BLANCO", IFERROR(VLOOKUP(U624, BasedatosM9!A:B, 2, FALSE), "BLANCO")))</f>
        <v/>
      </c>
      <c r="AI624" s="5" t="str">
        <f>IF(AND(LEN(AF624)=0, LEN(AG624)=0), "", IF(AND(LEN(AF624)&gt;0, LEN(AG624)=0), "BLANCO", IFERROR(VLOOKUP(AG624, BasedatosM9!A:B, 2, FALSE), "BLANCO")))</f>
        <v/>
      </c>
      <c r="AU624" s="5" t="str">
        <f>IF(AND(LEN(AR624)=0, LEN(AS624)=0), "", IF(AND(LEN(AR624)&gt;0, LEN(AS624)=0), "BLANCO", IFERROR(VLOOKUP(AS624, BasedatosM9!A:B, 2, FALSE), "BLANCO")))</f>
        <v/>
      </c>
    </row>
    <row r="625" spans="1:47" ht="14.4">
      <c r="A625" s="21"/>
      <c r="B625" s="86"/>
      <c r="C625" s="98"/>
      <c r="D625" s="21"/>
      <c r="E625" s="86"/>
      <c r="F625" s="99"/>
      <c r="G625" s="99"/>
      <c r="H625" s="21"/>
      <c r="I625" s="21"/>
      <c r="J625" s="21"/>
      <c r="K625" s="5" t="str">
        <f>IF(AND(LEN(H625)=0, LEN(I625)=0), "", IF(AND(LEN(H625)&gt;0, LEN(I625)=0), "BLANCO", IFERROR(VLOOKUP(I625, BasedatosM9!A:B, 2, FALSE), "BLANCO")))</f>
        <v/>
      </c>
      <c r="W625" s="5" t="str">
        <f>IF(AND(LEN(T625)=0, LEN(U625)=0), "", IF(AND(LEN(T625)&gt;0, LEN(U625)=0), "BLANCO", IFERROR(VLOOKUP(U625, BasedatosM9!A:B, 2, FALSE), "BLANCO")))</f>
        <v/>
      </c>
      <c r="AI625" s="5" t="str">
        <f>IF(AND(LEN(AF625)=0, LEN(AG625)=0), "", IF(AND(LEN(AF625)&gt;0, LEN(AG625)=0), "BLANCO", IFERROR(VLOOKUP(AG625, BasedatosM9!A:B, 2, FALSE), "BLANCO")))</f>
        <v/>
      </c>
      <c r="AU625" s="5" t="str">
        <f>IF(AND(LEN(AR625)=0, LEN(AS625)=0), "", IF(AND(LEN(AR625)&gt;0, LEN(AS625)=0), "BLANCO", IFERROR(VLOOKUP(AS625, BasedatosM9!A:B, 2, FALSE), "BLANCO")))</f>
        <v/>
      </c>
    </row>
    <row r="626" spans="1:47" ht="14.4">
      <c r="A626" s="21"/>
      <c r="B626" s="86"/>
      <c r="C626" s="98"/>
      <c r="D626" s="21"/>
      <c r="E626" s="86"/>
      <c r="F626" s="99"/>
      <c r="G626" s="99"/>
      <c r="H626" s="21"/>
      <c r="I626" s="21"/>
      <c r="J626" s="21"/>
      <c r="K626" s="5" t="str">
        <f>IF(AND(LEN(H626)=0, LEN(I626)=0), "", IF(AND(LEN(H626)&gt;0, LEN(I626)=0), "BLANCO", IFERROR(VLOOKUP(I626, BasedatosM9!A:B, 2, FALSE), "BLANCO")))</f>
        <v/>
      </c>
      <c r="W626" s="5" t="str">
        <f>IF(AND(LEN(T626)=0, LEN(U626)=0), "", IF(AND(LEN(T626)&gt;0, LEN(U626)=0), "BLANCO", IFERROR(VLOOKUP(U626, BasedatosM9!A:B, 2, FALSE), "BLANCO")))</f>
        <v/>
      </c>
      <c r="AI626" s="5" t="str">
        <f>IF(AND(LEN(AF626)=0, LEN(AG626)=0), "", IF(AND(LEN(AF626)&gt;0, LEN(AG626)=0), "BLANCO", IFERROR(VLOOKUP(AG626, BasedatosM9!A:B, 2, FALSE), "BLANCO")))</f>
        <v/>
      </c>
      <c r="AU626" s="5" t="str">
        <f>IF(AND(LEN(AR626)=0, LEN(AS626)=0), "", IF(AND(LEN(AR626)&gt;0, LEN(AS626)=0), "BLANCO", IFERROR(VLOOKUP(AS626, BasedatosM9!A:B, 2, FALSE), "BLANCO")))</f>
        <v/>
      </c>
    </row>
    <row r="627" spans="1:47" ht="14.4">
      <c r="A627" s="21"/>
      <c r="B627" s="86"/>
      <c r="C627" s="98"/>
      <c r="D627" s="21"/>
      <c r="E627" s="86"/>
      <c r="F627" s="99"/>
      <c r="G627" s="99"/>
      <c r="H627" s="21"/>
      <c r="I627" s="21"/>
      <c r="J627" s="21"/>
      <c r="K627" s="5" t="str">
        <f>IF(AND(LEN(H627)=0, LEN(I627)=0), "", IF(AND(LEN(H627)&gt;0, LEN(I627)=0), "BLANCO", IFERROR(VLOOKUP(I627, BasedatosM9!A:B, 2, FALSE), "BLANCO")))</f>
        <v/>
      </c>
      <c r="W627" s="5" t="str">
        <f>IF(AND(LEN(T627)=0, LEN(U627)=0), "", IF(AND(LEN(T627)&gt;0, LEN(U627)=0), "BLANCO", IFERROR(VLOOKUP(U627, BasedatosM9!A:B, 2, FALSE), "BLANCO")))</f>
        <v/>
      </c>
      <c r="AI627" s="5" t="str">
        <f>IF(AND(LEN(AF627)=0, LEN(AG627)=0), "", IF(AND(LEN(AF627)&gt;0, LEN(AG627)=0), "BLANCO", IFERROR(VLOOKUP(AG627, BasedatosM9!A:B, 2, FALSE), "BLANCO")))</f>
        <v/>
      </c>
      <c r="AU627" s="5" t="str">
        <f>IF(AND(LEN(AR627)=0, LEN(AS627)=0), "", IF(AND(LEN(AR627)&gt;0, LEN(AS627)=0), "BLANCO", IFERROR(VLOOKUP(AS627, BasedatosM9!A:B, 2, FALSE), "BLANCO")))</f>
        <v/>
      </c>
    </row>
    <row r="628" spans="1:47" ht="14.4">
      <c r="A628" s="21"/>
      <c r="B628" s="86"/>
      <c r="C628" s="98"/>
      <c r="D628" s="21"/>
      <c r="E628" s="86"/>
      <c r="F628" s="99"/>
      <c r="G628" s="99"/>
      <c r="H628" s="21"/>
      <c r="I628" s="86"/>
      <c r="J628" s="21"/>
      <c r="K628" s="5" t="str">
        <f>IF(AND(LEN(H628)=0, LEN(I628)=0), "", IF(AND(LEN(H628)&gt;0, LEN(I628)=0), "BLANCO", IFERROR(VLOOKUP(I628, BasedatosM9!A:B, 2, FALSE), "BLANCO")))</f>
        <v/>
      </c>
      <c r="W628" s="5" t="str">
        <f>IF(AND(LEN(T628)=0, LEN(U628)=0), "", IF(AND(LEN(T628)&gt;0, LEN(U628)=0), "BLANCO", IFERROR(VLOOKUP(U628, BasedatosM9!A:B, 2, FALSE), "BLANCO")))</f>
        <v/>
      </c>
      <c r="AI628" s="5" t="str">
        <f>IF(AND(LEN(AF628)=0, LEN(AG628)=0), "", IF(AND(LEN(AF628)&gt;0, LEN(AG628)=0), "BLANCO", IFERROR(VLOOKUP(AG628, BasedatosM9!A:B, 2, FALSE), "BLANCO")))</f>
        <v/>
      </c>
      <c r="AU628" s="5" t="str">
        <f>IF(AND(LEN(AR628)=0, LEN(AS628)=0), "", IF(AND(LEN(AR628)&gt;0, LEN(AS628)=0), "BLANCO", IFERROR(VLOOKUP(AS628, BasedatosM9!A:B, 2, FALSE), "BLANCO")))</f>
        <v/>
      </c>
    </row>
    <row r="629" spans="1:47" ht="14.4">
      <c r="A629" s="21"/>
      <c r="B629" s="86"/>
      <c r="C629" s="98"/>
      <c r="D629" s="21"/>
      <c r="E629" s="86"/>
      <c r="F629" s="99"/>
      <c r="G629" s="99"/>
      <c r="H629" s="21"/>
      <c r="I629" s="86"/>
      <c r="J629" s="21"/>
      <c r="K629" s="5" t="str">
        <f>IF(AND(LEN(H629)=0, LEN(I629)=0), "", IF(AND(LEN(H629)&gt;0, LEN(I629)=0), "BLANCO", IFERROR(VLOOKUP(I629, BasedatosM9!A:B, 2, FALSE), "BLANCO")))</f>
        <v/>
      </c>
      <c r="W629" s="5" t="str">
        <f>IF(AND(LEN(T629)=0, LEN(U629)=0), "", IF(AND(LEN(T629)&gt;0, LEN(U629)=0), "BLANCO", IFERROR(VLOOKUP(U629, BasedatosM9!A:B, 2, FALSE), "BLANCO")))</f>
        <v/>
      </c>
      <c r="AI629" s="5" t="str">
        <f>IF(AND(LEN(AF629)=0, LEN(AG629)=0), "", IF(AND(LEN(AF629)&gt;0, LEN(AG629)=0), "BLANCO", IFERROR(VLOOKUP(AG629, BasedatosM9!A:B, 2, FALSE), "BLANCO")))</f>
        <v/>
      </c>
      <c r="AU629" s="5" t="str">
        <f>IF(AND(LEN(AR629)=0, LEN(AS629)=0), "", IF(AND(LEN(AR629)&gt;0, LEN(AS629)=0), "BLANCO", IFERROR(VLOOKUP(AS629, BasedatosM9!A:B, 2, FALSE), "BLANCO")))</f>
        <v/>
      </c>
    </row>
    <row r="630" spans="1:47" ht="14.4">
      <c r="A630" s="21"/>
      <c r="B630" s="86"/>
      <c r="C630" s="98"/>
      <c r="D630" s="21"/>
      <c r="E630" s="86"/>
      <c r="F630" s="99"/>
      <c r="G630" s="99"/>
      <c r="H630" s="21"/>
      <c r="I630" s="86"/>
      <c r="J630" s="21"/>
      <c r="K630" s="5" t="str">
        <f>IF(AND(LEN(H630)=0, LEN(I630)=0), "", IF(AND(LEN(H630)&gt;0, LEN(I630)=0), "BLANCO", IFERROR(VLOOKUP(I630, BasedatosM9!A:B, 2, FALSE), "BLANCO")))</f>
        <v/>
      </c>
      <c r="W630" s="5" t="str">
        <f>IF(AND(LEN(T630)=0, LEN(U630)=0), "", IF(AND(LEN(T630)&gt;0, LEN(U630)=0), "BLANCO", IFERROR(VLOOKUP(U630, BasedatosM9!A:B, 2, FALSE), "BLANCO")))</f>
        <v/>
      </c>
      <c r="AI630" s="5" t="str">
        <f>IF(AND(LEN(AF630)=0, LEN(AG630)=0), "", IF(AND(LEN(AF630)&gt;0, LEN(AG630)=0), "BLANCO", IFERROR(VLOOKUP(AG630, BasedatosM9!A:B, 2, FALSE), "BLANCO")))</f>
        <v/>
      </c>
      <c r="AU630" s="5" t="str">
        <f>IF(AND(LEN(AR630)=0, LEN(AS630)=0), "", IF(AND(LEN(AR630)&gt;0, LEN(AS630)=0), "BLANCO", IFERROR(VLOOKUP(AS630, BasedatosM9!A:B, 2, FALSE), "BLANCO")))</f>
        <v/>
      </c>
    </row>
    <row r="631" spans="1:47" ht="14.4">
      <c r="A631" s="21"/>
      <c r="B631" s="86"/>
      <c r="C631" s="98"/>
      <c r="D631" s="21"/>
      <c r="E631" s="86"/>
      <c r="F631" s="99"/>
      <c r="G631" s="99"/>
      <c r="H631" s="21"/>
      <c r="I631" s="86"/>
      <c r="J631" s="21"/>
      <c r="K631" s="5" t="str">
        <f>IF(AND(LEN(H631)=0, LEN(I631)=0), "", IF(AND(LEN(H631)&gt;0, LEN(I631)=0), "BLANCO", IFERROR(VLOOKUP(I631, BasedatosM9!A:B, 2, FALSE), "BLANCO")))</f>
        <v/>
      </c>
      <c r="W631" s="5" t="str">
        <f>IF(AND(LEN(T631)=0, LEN(U631)=0), "", IF(AND(LEN(T631)&gt;0, LEN(U631)=0), "BLANCO", IFERROR(VLOOKUP(U631, BasedatosM9!A:B, 2, FALSE), "BLANCO")))</f>
        <v/>
      </c>
      <c r="AI631" s="5" t="str">
        <f>IF(AND(LEN(AF631)=0, LEN(AG631)=0), "", IF(AND(LEN(AF631)&gt;0, LEN(AG631)=0), "BLANCO", IFERROR(VLOOKUP(AG631, BasedatosM9!A:B, 2, FALSE), "BLANCO")))</f>
        <v/>
      </c>
      <c r="AU631" s="5" t="str">
        <f>IF(AND(LEN(AR631)=0, LEN(AS631)=0), "", IF(AND(LEN(AR631)&gt;0, LEN(AS631)=0), "BLANCO", IFERROR(VLOOKUP(AS631, BasedatosM9!A:B, 2, FALSE), "BLANCO")))</f>
        <v/>
      </c>
    </row>
    <row r="632" spans="1:47" ht="14.4">
      <c r="A632" s="21"/>
      <c r="B632" s="86"/>
      <c r="C632" s="98"/>
      <c r="D632" s="21"/>
      <c r="E632" s="86"/>
      <c r="F632" s="99"/>
      <c r="G632" s="99"/>
      <c r="H632" s="21"/>
      <c r="I632" s="21"/>
      <c r="J632" s="21"/>
      <c r="K632" s="5" t="str">
        <f>IF(AND(LEN(H632)=0, LEN(I632)=0), "", IF(AND(LEN(H632)&gt;0, LEN(I632)=0), "BLANCO", IFERROR(VLOOKUP(I632, BasedatosM9!A:B, 2, FALSE), "BLANCO")))</f>
        <v/>
      </c>
      <c r="W632" s="5" t="str">
        <f>IF(AND(LEN(T632)=0, LEN(U632)=0), "", IF(AND(LEN(T632)&gt;0, LEN(U632)=0), "BLANCO", IFERROR(VLOOKUP(U632, BasedatosM9!A:B, 2, FALSE), "BLANCO")))</f>
        <v/>
      </c>
      <c r="AI632" s="5" t="str">
        <f>IF(AND(LEN(AF632)=0, LEN(AG632)=0), "", IF(AND(LEN(AF632)&gt;0, LEN(AG632)=0), "BLANCO", IFERROR(VLOOKUP(AG632, BasedatosM9!A:B, 2, FALSE), "BLANCO")))</f>
        <v/>
      </c>
      <c r="AU632" s="5" t="str">
        <f>IF(AND(LEN(AR632)=0, LEN(AS632)=0), "", IF(AND(LEN(AR632)&gt;0, LEN(AS632)=0), "BLANCO", IFERROR(VLOOKUP(AS632, BasedatosM9!A:B, 2, FALSE), "BLANCO")))</f>
        <v/>
      </c>
    </row>
    <row r="633" spans="1:47" ht="14.4">
      <c r="A633" s="21"/>
      <c r="B633" s="86"/>
      <c r="C633" s="98"/>
      <c r="D633" s="21"/>
      <c r="E633" s="86"/>
      <c r="F633" s="99"/>
      <c r="G633" s="99"/>
      <c r="H633" s="21"/>
      <c r="I633" s="86"/>
      <c r="J633" s="21"/>
      <c r="K633" s="5" t="str">
        <f>IF(AND(LEN(H633)=0, LEN(I633)=0), "", IF(AND(LEN(H633)&gt;0, LEN(I633)=0), "BLANCO", IFERROR(VLOOKUP(I633, BasedatosM9!A:B, 2, FALSE), "BLANCO")))</f>
        <v/>
      </c>
      <c r="W633" s="5" t="str">
        <f>IF(AND(LEN(T633)=0, LEN(U633)=0), "", IF(AND(LEN(T633)&gt;0, LEN(U633)=0), "BLANCO", IFERROR(VLOOKUP(U633, BasedatosM9!A:B, 2, FALSE), "BLANCO")))</f>
        <v/>
      </c>
      <c r="AI633" s="5" t="str">
        <f>IF(AND(LEN(AF633)=0, LEN(AG633)=0), "", IF(AND(LEN(AF633)&gt;0, LEN(AG633)=0), "BLANCO", IFERROR(VLOOKUP(AG633, BasedatosM9!A:B, 2, FALSE), "BLANCO")))</f>
        <v/>
      </c>
      <c r="AU633" s="5" t="str">
        <f>IF(AND(LEN(AR633)=0, LEN(AS633)=0), "", IF(AND(LEN(AR633)&gt;0, LEN(AS633)=0), "BLANCO", IFERROR(VLOOKUP(AS633, BasedatosM9!A:B, 2, FALSE), "BLANCO")))</f>
        <v/>
      </c>
    </row>
    <row r="634" spans="1:47" ht="14.4">
      <c r="A634" s="21"/>
      <c r="B634" s="86"/>
      <c r="C634" s="98"/>
      <c r="D634" s="21"/>
      <c r="E634" s="86"/>
      <c r="F634" s="99"/>
      <c r="G634" s="99"/>
      <c r="H634" s="21"/>
      <c r="I634" s="86"/>
      <c r="J634" s="21"/>
      <c r="K634" s="5" t="str">
        <f>IF(AND(LEN(H634)=0, LEN(I634)=0), "", IF(AND(LEN(H634)&gt;0, LEN(I634)=0), "BLANCO", IFERROR(VLOOKUP(I634, BasedatosM9!A:B, 2, FALSE), "BLANCO")))</f>
        <v/>
      </c>
      <c r="W634" s="5" t="str">
        <f>IF(AND(LEN(T634)=0, LEN(U634)=0), "", IF(AND(LEN(T634)&gt;0, LEN(U634)=0), "BLANCO", IFERROR(VLOOKUP(U634, BasedatosM9!A:B, 2, FALSE), "BLANCO")))</f>
        <v/>
      </c>
      <c r="AI634" s="5" t="str">
        <f>IF(AND(LEN(AF634)=0, LEN(AG634)=0), "", IF(AND(LEN(AF634)&gt;0, LEN(AG634)=0), "BLANCO", IFERROR(VLOOKUP(AG634, BasedatosM9!A:B, 2, FALSE), "BLANCO")))</f>
        <v/>
      </c>
      <c r="AU634" s="5" t="str">
        <f>IF(AND(LEN(AR634)=0, LEN(AS634)=0), "", IF(AND(LEN(AR634)&gt;0, LEN(AS634)=0), "BLANCO", IFERROR(VLOOKUP(AS634, BasedatosM9!A:B, 2, FALSE), "BLANCO")))</f>
        <v/>
      </c>
    </row>
    <row r="635" spans="1:47" ht="14.4">
      <c r="A635" s="21"/>
      <c r="B635" s="86"/>
      <c r="C635" s="98"/>
      <c r="D635" s="21"/>
      <c r="E635" s="86"/>
      <c r="F635" s="99"/>
      <c r="G635" s="99"/>
      <c r="H635" s="21"/>
      <c r="I635" s="86"/>
      <c r="J635" s="21"/>
      <c r="K635" s="5" t="str">
        <f>IF(AND(LEN(H635)=0, LEN(I635)=0), "", IF(AND(LEN(H635)&gt;0, LEN(I635)=0), "BLANCO", IFERROR(VLOOKUP(I635, BasedatosM9!A:B, 2, FALSE), "BLANCO")))</f>
        <v/>
      </c>
      <c r="W635" s="5" t="str">
        <f>IF(AND(LEN(T635)=0, LEN(U635)=0), "", IF(AND(LEN(T635)&gt;0, LEN(U635)=0), "BLANCO", IFERROR(VLOOKUP(U635, BasedatosM9!A:B, 2, FALSE), "BLANCO")))</f>
        <v/>
      </c>
      <c r="AI635" s="5" t="str">
        <f>IF(AND(LEN(AF635)=0, LEN(AG635)=0), "", IF(AND(LEN(AF635)&gt;0, LEN(AG635)=0), "BLANCO", IFERROR(VLOOKUP(AG635, BasedatosM9!A:B, 2, FALSE), "BLANCO")))</f>
        <v/>
      </c>
      <c r="AU635" s="5" t="str">
        <f>IF(AND(LEN(AR635)=0, LEN(AS635)=0), "", IF(AND(LEN(AR635)&gt;0, LEN(AS635)=0), "BLANCO", IFERROR(VLOOKUP(AS635, BasedatosM9!A:B, 2, FALSE), "BLANCO")))</f>
        <v/>
      </c>
    </row>
    <row r="636" spans="1:47" ht="14.4">
      <c r="A636" s="21"/>
      <c r="B636" s="86"/>
      <c r="C636" s="98"/>
      <c r="D636" s="21"/>
      <c r="E636" s="86"/>
      <c r="F636" s="99"/>
      <c r="G636" s="99"/>
      <c r="H636" s="21"/>
      <c r="I636" s="86"/>
      <c r="J636" s="21"/>
      <c r="K636" s="5" t="str">
        <f>IF(AND(LEN(H636)=0, LEN(I636)=0), "", IF(AND(LEN(H636)&gt;0, LEN(I636)=0), "BLANCO", IFERROR(VLOOKUP(I636, BasedatosM9!A:B, 2, FALSE), "BLANCO")))</f>
        <v/>
      </c>
      <c r="W636" s="5" t="str">
        <f>IF(AND(LEN(T636)=0, LEN(U636)=0), "", IF(AND(LEN(T636)&gt;0, LEN(U636)=0), "BLANCO", IFERROR(VLOOKUP(U636, BasedatosM9!A:B, 2, FALSE), "BLANCO")))</f>
        <v/>
      </c>
      <c r="AI636" s="5" t="str">
        <f>IF(AND(LEN(AF636)=0, LEN(AG636)=0), "", IF(AND(LEN(AF636)&gt;0, LEN(AG636)=0), "BLANCO", IFERROR(VLOOKUP(AG636, BasedatosM9!A:B, 2, FALSE), "BLANCO")))</f>
        <v/>
      </c>
      <c r="AU636" s="5" t="str">
        <f>IF(AND(LEN(AR636)=0, LEN(AS636)=0), "", IF(AND(LEN(AR636)&gt;0, LEN(AS636)=0), "BLANCO", IFERROR(VLOOKUP(AS636, BasedatosM9!A:B, 2, FALSE), "BLANCO")))</f>
        <v/>
      </c>
    </row>
    <row r="637" spans="1:47" ht="14.4">
      <c r="A637" s="21"/>
      <c r="B637" s="86"/>
      <c r="C637" s="98"/>
      <c r="D637" s="21"/>
      <c r="E637" s="86"/>
      <c r="F637" s="99"/>
      <c r="G637" s="99"/>
      <c r="H637" s="21"/>
      <c r="I637" s="21"/>
      <c r="J637" s="21"/>
      <c r="K637" s="5" t="str">
        <f>IF(AND(LEN(H637)=0, LEN(I637)=0), "", IF(AND(LEN(H637)&gt;0, LEN(I637)=0), "BLANCO", IFERROR(VLOOKUP(I637, BasedatosM9!A:B, 2, FALSE), "BLANCO")))</f>
        <v/>
      </c>
      <c r="W637" s="5" t="str">
        <f>IF(AND(LEN(T637)=0, LEN(U637)=0), "", IF(AND(LEN(T637)&gt;0, LEN(U637)=0), "BLANCO", IFERROR(VLOOKUP(U637, BasedatosM9!A:B, 2, FALSE), "BLANCO")))</f>
        <v/>
      </c>
      <c r="AI637" s="5" t="str">
        <f>IF(AND(LEN(AF637)=0, LEN(AG637)=0), "", IF(AND(LEN(AF637)&gt;0, LEN(AG637)=0), "BLANCO", IFERROR(VLOOKUP(AG637, BasedatosM9!A:B, 2, FALSE), "BLANCO")))</f>
        <v/>
      </c>
      <c r="AU637" s="5" t="str">
        <f>IF(AND(LEN(AR637)=0, LEN(AS637)=0), "", IF(AND(LEN(AR637)&gt;0, LEN(AS637)=0), "BLANCO", IFERROR(VLOOKUP(AS637, BasedatosM9!A:B, 2, FALSE), "BLANCO")))</f>
        <v/>
      </c>
    </row>
    <row r="638" spans="1:47" ht="14.4">
      <c r="A638" s="21"/>
      <c r="B638" s="86"/>
      <c r="C638" s="98"/>
      <c r="D638" s="21"/>
      <c r="E638" s="86"/>
      <c r="F638" s="99"/>
      <c r="G638" s="99"/>
      <c r="H638" s="21"/>
      <c r="I638" s="86"/>
      <c r="J638" s="21"/>
      <c r="K638" s="5" t="str">
        <f>IF(AND(LEN(H638)=0, LEN(I638)=0), "", IF(AND(LEN(H638)&gt;0, LEN(I638)=0), "BLANCO", IFERROR(VLOOKUP(I638, BasedatosM9!A:B, 2, FALSE), "BLANCO")))</f>
        <v/>
      </c>
      <c r="W638" s="5" t="str">
        <f>IF(AND(LEN(T638)=0, LEN(U638)=0), "", IF(AND(LEN(T638)&gt;0, LEN(U638)=0), "BLANCO", IFERROR(VLOOKUP(U638, BasedatosM9!A:B, 2, FALSE), "BLANCO")))</f>
        <v/>
      </c>
      <c r="AI638" s="5" t="str">
        <f>IF(AND(LEN(AF638)=0, LEN(AG638)=0), "", IF(AND(LEN(AF638)&gt;0, LEN(AG638)=0), "BLANCO", IFERROR(VLOOKUP(AG638, BasedatosM9!A:B, 2, FALSE), "BLANCO")))</f>
        <v/>
      </c>
      <c r="AU638" s="5" t="str">
        <f>IF(AND(LEN(AR638)=0, LEN(AS638)=0), "", IF(AND(LEN(AR638)&gt;0, LEN(AS638)=0), "BLANCO", IFERROR(VLOOKUP(AS638, BasedatosM9!A:B, 2, FALSE), "BLANCO")))</f>
        <v/>
      </c>
    </row>
    <row r="639" spans="1:47" ht="14.4">
      <c r="A639" s="21"/>
      <c r="B639" s="86"/>
      <c r="C639" s="98"/>
      <c r="D639" s="21"/>
      <c r="E639" s="86"/>
      <c r="F639" s="99"/>
      <c r="G639" s="99"/>
      <c r="H639" s="21"/>
      <c r="I639" s="86"/>
      <c r="J639" s="21"/>
      <c r="K639" s="5" t="str">
        <f>IF(AND(LEN(H639)=0, LEN(I639)=0), "", IF(AND(LEN(H639)&gt;0, LEN(I639)=0), "BLANCO", IFERROR(VLOOKUP(I639, BasedatosM9!A:B, 2, FALSE), "BLANCO")))</f>
        <v/>
      </c>
      <c r="W639" s="5" t="str">
        <f>IF(AND(LEN(T639)=0, LEN(U639)=0), "", IF(AND(LEN(T639)&gt;0, LEN(U639)=0), "BLANCO", IFERROR(VLOOKUP(U639, BasedatosM9!A:B, 2, FALSE), "BLANCO")))</f>
        <v/>
      </c>
      <c r="AI639" s="5" t="str">
        <f>IF(AND(LEN(AF639)=0, LEN(AG639)=0), "", IF(AND(LEN(AF639)&gt;0, LEN(AG639)=0), "BLANCO", IFERROR(VLOOKUP(AG639, BasedatosM9!A:B, 2, FALSE), "BLANCO")))</f>
        <v/>
      </c>
      <c r="AU639" s="5" t="str">
        <f>IF(AND(LEN(AR639)=0, LEN(AS639)=0), "", IF(AND(LEN(AR639)&gt;0, LEN(AS639)=0), "BLANCO", IFERROR(VLOOKUP(AS639, BasedatosM9!A:B, 2, FALSE), "BLANCO")))</f>
        <v/>
      </c>
    </row>
    <row r="640" spans="1:47" ht="14.4">
      <c r="A640" s="21"/>
      <c r="B640" s="86"/>
      <c r="C640" s="98"/>
      <c r="D640" s="21"/>
      <c r="E640" s="86"/>
      <c r="F640" s="99"/>
      <c r="G640" s="99"/>
      <c r="H640" s="21"/>
      <c r="I640" s="86"/>
      <c r="J640" s="21"/>
      <c r="K640" s="5" t="str">
        <f>IF(AND(LEN(H640)=0, LEN(I640)=0), "", IF(AND(LEN(H640)&gt;0, LEN(I640)=0), "BLANCO", IFERROR(VLOOKUP(I640, BasedatosM9!A:B, 2, FALSE), "BLANCO")))</f>
        <v/>
      </c>
      <c r="W640" s="5" t="str">
        <f>IF(AND(LEN(T640)=0, LEN(U640)=0), "", IF(AND(LEN(T640)&gt;0, LEN(U640)=0), "BLANCO", IFERROR(VLOOKUP(U640, BasedatosM9!A:B, 2, FALSE), "BLANCO")))</f>
        <v/>
      </c>
      <c r="AI640" s="5" t="str">
        <f>IF(AND(LEN(AF640)=0, LEN(AG640)=0), "", IF(AND(LEN(AF640)&gt;0, LEN(AG640)=0), "BLANCO", IFERROR(VLOOKUP(AG640, BasedatosM9!A:B, 2, FALSE), "BLANCO")))</f>
        <v/>
      </c>
      <c r="AU640" s="5" t="str">
        <f>IF(AND(LEN(AR640)=0, LEN(AS640)=0), "", IF(AND(LEN(AR640)&gt;0, LEN(AS640)=0), "BLANCO", IFERROR(VLOOKUP(AS640, BasedatosM9!A:B, 2, FALSE), "BLANCO")))</f>
        <v/>
      </c>
    </row>
    <row r="641" spans="1:47" ht="14.4">
      <c r="A641" s="21"/>
      <c r="B641" s="86"/>
      <c r="C641" s="98"/>
      <c r="D641" s="21"/>
      <c r="E641" s="86"/>
      <c r="F641" s="99"/>
      <c r="G641" s="99"/>
      <c r="H641" s="21"/>
      <c r="I641" s="86"/>
      <c r="J641" s="21"/>
      <c r="K641" s="5" t="str">
        <f>IF(AND(LEN(H641)=0, LEN(I641)=0), "", IF(AND(LEN(H641)&gt;0, LEN(I641)=0), "BLANCO", IFERROR(VLOOKUP(I641, BasedatosM9!A:B, 2, FALSE), "BLANCO")))</f>
        <v/>
      </c>
      <c r="W641" s="5" t="str">
        <f>IF(AND(LEN(T641)=0, LEN(U641)=0), "", IF(AND(LEN(T641)&gt;0, LEN(U641)=0), "BLANCO", IFERROR(VLOOKUP(U641, BasedatosM9!A:B, 2, FALSE), "BLANCO")))</f>
        <v/>
      </c>
      <c r="AI641" s="5" t="str">
        <f>IF(AND(LEN(AF641)=0, LEN(AG641)=0), "", IF(AND(LEN(AF641)&gt;0, LEN(AG641)=0), "BLANCO", IFERROR(VLOOKUP(AG641, BasedatosM9!A:B, 2, FALSE), "BLANCO")))</f>
        <v/>
      </c>
      <c r="AU641" s="5" t="str">
        <f>IF(AND(LEN(AR641)=0, LEN(AS641)=0), "", IF(AND(LEN(AR641)&gt;0, LEN(AS641)=0), "BLANCO", IFERROR(VLOOKUP(AS641, BasedatosM9!A:B, 2, FALSE), "BLANCO")))</f>
        <v/>
      </c>
    </row>
    <row r="642" spans="1:47" ht="14.4">
      <c r="A642" s="21"/>
      <c r="B642" s="86"/>
      <c r="C642" s="98"/>
      <c r="D642" s="21"/>
      <c r="E642" s="86"/>
      <c r="F642" s="99"/>
      <c r="G642" s="99"/>
      <c r="H642" s="21"/>
      <c r="I642" s="86"/>
      <c r="J642" s="21"/>
      <c r="K642" s="5" t="str">
        <f>IF(AND(LEN(H642)=0, LEN(I642)=0), "", IF(AND(LEN(H642)&gt;0, LEN(I642)=0), "BLANCO", IFERROR(VLOOKUP(I642, BasedatosM9!A:B, 2, FALSE), "BLANCO")))</f>
        <v/>
      </c>
      <c r="W642" s="5" t="str">
        <f>IF(AND(LEN(T642)=0, LEN(U642)=0), "", IF(AND(LEN(T642)&gt;0, LEN(U642)=0), "BLANCO", IFERROR(VLOOKUP(U642, BasedatosM9!A:B, 2, FALSE), "BLANCO")))</f>
        <v/>
      </c>
      <c r="AI642" s="5" t="str">
        <f>IF(AND(LEN(AF642)=0, LEN(AG642)=0), "", IF(AND(LEN(AF642)&gt;0, LEN(AG642)=0), "BLANCO", IFERROR(VLOOKUP(AG642, BasedatosM9!A:B, 2, FALSE), "BLANCO")))</f>
        <v/>
      </c>
      <c r="AU642" s="5" t="str">
        <f>IF(AND(LEN(AR642)=0, LEN(AS642)=0), "", IF(AND(LEN(AR642)&gt;0, LEN(AS642)=0), "BLANCO", IFERROR(VLOOKUP(AS642, BasedatosM9!A:B, 2, FALSE), "BLANCO")))</f>
        <v/>
      </c>
    </row>
    <row r="643" spans="1:47" ht="14.4">
      <c r="A643" s="21"/>
      <c r="B643" s="86"/>
      <c r="C643" s="98"/>
      <c r="D643" s="21"/>
      <c r="E643" s="86"/>
      <c r="F643" s="99"/>
      <c r="G643" s="99"/>
      <c r="H643" s="21"/>
      <c r="I643" s="21"/>
      <c r="J643" s="21"/>
      <c r="K643" s="5" t="str">
        <f>IF(AND(LEN(H643)=0, LEN(I643)=0), "", IF(AND(LEN(H643)&gt;0, LEN(I643)=0), "BLANCO", IFERROR(VLOOKUP(I643, BasedatosM9!A:B, 2, FALSE), "BLANCO")))</f>
        <v/>
      </c>
      <c r="W643" s="5" t="str">
        <f>IF(AND(LEN(T643)=0, LEN(U643)=0), "", IF(AND(LEN(T643)&gt;0, LEN(U643)=0), "BLANCO", IFERROR(VLOOKUP(U643, BasedatosM9!A:B, 2, FALSE), "BLANCO")))</f>
        <v/>
      </c>
      <c r="AI643" s="5" t="str">
        <f>IF(AND(LEN(AF643)=0, LEN(AG643)=0), "", IF(AND(LEN(AF643)&gt;0, LEN(AG643)=0), "BLANCO", IFERROR(VLOOKUP(AG643, BasedatosM9!A:B, 2, FALSE), "BLANCO")))</f>
        <v/>
      </c>
      <c r="AU643" s="5" t="str">
        <f>IF(AND(LEN(AR643)=0, LEN(AS643)=0), "", IF(AND(LEN(AR643)&gt;0, LEN(AS643)=0), "BLANCO", IFERROR(VLOOKUP(AS643, BasedatosM9!A:B, 2, FALSE), "BLANCO")))</f>
        <v/>
      </c>
    </row>
    <row r="644" spans="1:47" ht="14.4">
      <c r="A644" s="21"/>
      <c r="B644" s="86"/>
      <c r="C644" s="98"/>
      <c r="D644" s="21"/>
      <c r="E644" s="86"/>
      <c r="F644" s="99"/>
      <c r="G644" s="99"/>
      <c r="H644" s="21"/>
      <c r="I644" s="21"/>
      <c r="J644" s="21"/>
      <c r="K644" s="5" t="str">
        <f>IF(AND(LEN(H644)=0, LEN(I644)=0), "", IF(AND(LEN(H644)&gt;0, LEN(I644)=0), "BLANCO", IFERROR(VLOOKUP(I644, BasedatosM9!A:B, 2, FALSE), "BLANCO")))</f>
        <v/>
      </c>
      <c r="W644" s="5" t="str">
        <f>IF(AND(LEN(T644)=0, LEN(U644)=0), "", IF(AND(LEN(T644)&gt;0, LEN(U644)=0), "BLANCO", IFERROR(VLOOKUP(U644, BasedatosM9!A:B, 2, FALSE), "BLANCO")))</f>
        <v/>
      </c>
      <c r="AI644" s="5" t="str">
        <f>IF(AND(LEN(AF644)=0, LEN(AG644)=0), "", IF(AND(LEN(AF644)&gt;0, LEN(AG644)=0), "BLANCO", IFERROR(VLOOKUP(AG644, BasedatosM9!A:B, 2, FALSE), "BLANCO")))</f>
        <v/>
      </c>
      <c r="AU644" s="5" t="str">
        <f>IF(AND(LEN(AR644)=0, LEN(AS644)=0), "", IF(AND(LEN(AR644)&gt;0, LEN(AS644)=0), "BLANCO", IFERROR(VLOOKUP(AS644, BasedatosM9!A:B, 2, FALSE), "BLANCO")))</f>
        <v/>
      </c>
    </row>
    <row r="645" spans="1:47" ht="14.4">
      <c r="A645" s="21"/>
      <c r="B645" s="86"/>
      <c r="C645" s="98"/>
      <c r="D645" s="21"/>
      <c r="E645" s="86"/>
      <c r="F645" s="99"/>
      <c r="G645" s="99"/>
      <c r="H645" s="21"/>
      <c r="I645" s="21"/>
      <c r="J645" s="21"/>
      <c r="K645" s="5" t="str">
        <f>IF(AND(LEN(H645)=0, LEN(I645)=0), "", IF(AND(LEN(H645)&gt;0, LEN(I645)=0), "BLANCO", IFERROR(VLOOKUP(I645, BasedatosM9!A:B, 2, FALSE), "BLANCO")))</f>
        <v/>
      </c>
      <c r="W645" s="5" t="str">
        <f>IF(AND(LEN(T645)=0, LEN(U645)=0), "", IF(AND(LEN(T645)&gt;0, LEN(U645)=0), "BLANCO", IFERROR(VLOOKUP(U645, BasedatosM9!A:B, 2, FALSE), "BLANCO")))</f>
        <v/>
      </c>
      <c r="AI645" s="5" t="str">
        <f>IF(AND(LEN(AF645)=0, LEN(AG645)=0), "", IF(AND(LEN(AF645)&gt;0, LEN(AG645)=0), "BLANCO", IFERROR(VLOOKUP(AG645, BasedatosM9!A:B, 2, FALSE), "BLANCO")))</f>
        <v/>
      </c>
      <c r="AU645" s="5" t="str">
        <f>IF(AND(LEN(AR645)=0, LEN(AS645)=0), "", IF(AND(LEN(AR645)&gt;0, LEN(AS645)=0), "BLANCO", IFERROR(VLOOKUP(AS645, BasedatosM9!A:B, 2, FALSE), "BLANCO")))</f>
        <v/>
      </c>
    </row>
    <row r="646" spans="1:47" ht="14.4">
      <c r="A646" s="21"/>
      <c r="B646" s="86"/>
      <c r="C646" s="98"/>
      <c r="D646" s="21"/>
      <c r="E646" s="86"/>
      <c r="F646" s="99"/>
      <c r="G646" s="99"/>
      <c r="H646" s="21"/>
      <c r="I646" s="86"/>
      <c r="J646" s="21"/>
      <c r="K646" s="5" t="str">
        <f>IF(AND(LEN(H646)=0, LEN(I646)=0), "", IF(AND(LEN(H646)&gt;0, LEN(I646)=0), "BLANCO", IFERROR(VLOOKUP(I646, BasedatosM9!A:B, 2, FALSE), "BLANCO")))</f>
        <v/>
      </c>
      <c r="W646" s="5" t="str">
        <f>IF(AND(LEN(T646)=0, LEN(U646)=0), "", IF(AND(LEN(T646)&gt;0, LEN(U646)=0), "BLANCO", IFERROR(VLOOKUP(U646, BasedatosM9!A:B, 2, FALSE), "BLANCO")))</f>
        <v/>
      </c>
      <c r="AI646" s="5" t="str">
        <f>IF(AND(LEN(AF646)=0, LEN(AG646)=0), "", IF(AND(LEN(AF646)&gt;0, LEN(AG646)=0), "BLANCO", IFERROR(VLOOKUP(AG646, BasedatosM9!A:B, 2, FALSE), "BLANCO")))</f>
        <v/>
      </c>
      <c r="AU646" s="5" t="str">
        <f>IF(AND(LEN(AR646)=0, LEN(AS646)=0), "", IF(AND(LEN(AR646)&gt;0, LEN(AS646)=0), "BLANCO", IFERROR(VLOOKUP(AS646, BasedatosM9!A:B, 2, FALSE), "BLANCO")))</f>
        <v/>
      </c>
    </row>
    <row r="647" spans="1:47" ht="14.4">
      <c r="A647" s="21"/>
      <c r="B647" s="86"/>
      <c r="C647" s="98"/>
      <c r="D647" s="21"/>
      <c r="E647" s="86"/>
      <c r="F647" s="99"/>
      <c r="G647" s="99"/>
      <c r="H647" s="21"/>
      <c r="I647" s="21"/>
      <c r="J647" s="21"/>
      <c r="K647" s="5" t="str">
        <f>IF(AND(LEN(H647)=0, LEN(I647)=0), "", IF(AND(LEN(H647)&gt;0, LEN(I647)=0), "BLANCO", IFERROR(VLOOKUP(I647, BasedatosM9!A:B, 2, FALSE), "BLANCO")))</f>
        <v/>
      </c>
      <c r="W647" s="5" t="str">
        <f>IF(AND(LEN(T647)=0, LEN(U647)=0), "", IF(AND(LEN(T647)&gt;0, LEN(U647)=0), "BLANCO", IFERROR(VLOOKUP(U647, BasedatosM9!A:B, 2, FALSE), "BLANCO")))</f>
        <v/>
      </c>
      <c r="AI647" s="5" t="str">
        <f>IF(AND(LEN(AF647)=0, LEN(AG647)=0), "", IF(AND(LEN(AF647)&gt;0, LEN(AG647)=0), "BLANCO", IFERROR(VLOOKUP(AG647, BasedatosM9!A:B, 2, FALSE), "BLANCO")))</f>
        <v/>
      </c>
      <c r="AU647" s="5" t="str">
        <f>IF(AND(LEN(AR647)=0, LEN(AS647)=0), "", IF(AND(LEN(AR647)&gt;0, LEN(AS647)=0), "BLANCO", IFERROR(VLOOKUP(AS647, BasedatosM9!A:B, 2, FALSE), "BLANCO")))</f>
        <v/>
      </c>
    </row>
    <row r="648" spans="1:47" ht="14.4">
      <c r="A648" s="21"/>
      <c r="B648" s="86"/>
      <c r="C648" s="98"/>
      <c r="D648" s="21"/>
      <c r="E648" s="86"/>
      <c r="F648" s="99"/>
      <c r="G648" s="99"/>
      <c r="H648" s="21"/>
      <c r="I648" s="21"/>
      <c r="J648" s="21"/>
      <c r="K648" s="5" t="str">
        <f>IF(AND(LEN(H648)=0, LEN(I648)=0), "", IF(AND(LEN(H648)&gt;0, LEN(I648)=0), "BLANCO", IFERROR(VLOOKUP(I648, BasedatosM9!A:B, 2, FALSE), "BLANCO")))</f>
        <v/>
      </c>
      <c r="W648" s="5" t="str">
        <f>IF(AND(LEN(T648)=0, LEN(U648)=0), "", IF(AND(LEN(T648)&gt;0, LEN(U648)=0), "BLANCO", IFERROR(VLOOKUP(U648, BasedatosM9!A:B, 2, FALSE), "BLANCO")))</f>
        <v/>
      </c>
      <c r="AI648" s="5" t="str">
        <f>IF(AND(LEN(AF648)=0, LEN(AG648)=0), "", IF(AND(LEN(AF648)&gt;0, LEN(AG648)=0), "BLANCO", IFERROR(VLOOKUP(AG648, BasedatosM9!A:B, 2, FALSE), "BLANCO")))</f>
        <v/>
      </c>
      <c r="AU648" s="5" t="str">
        <f>IF(AND(LEN(AR648)=0, LEN(AS648)=0), "", IF(AND(LEN(AR648)&gt;0, LEN(AS648)=0), "BLANCO", IFERROR(VLOOKUP(AS648, BasedatosM9!A:B, 2, FALSE), "BLANCO")))</f>
        <v/>
      </c>
    </row>
    <row r="649" spans="1:47" ht="14.4">
      <c r="A649" s="21"/>
      <c r="B649" s="86"/>
      <c r="C649" s="98"/>
      <c r="D649" s="21"/>
      <c r="E649" s="86"/>
      <c r="F649" s="99"/>
      <c r="G649" s="99"/>
      <c r="H649" s="21"/>
      <c r="I649" s="86"/>
      <c r="J649" s="21"/>
      <c r="K649" s="5" t="str">
        <f>IF(AND(LEN(H649)=0, LEN(I649)=0), "", IF(AND(LEN(H649)&gt;0, LEN(I649)=0), "BLANCO", IFERROR(VLOOKUP(I649, BasedatosM9!A:B, 2, FALSE), "BLANCO")))</f>
        <v/>
      </c>
      <c r="W649" s="5" t="str">
        <f>IF(AND(LEN(T649)=0, LEN(U649)=0), "", IF(AND(LEN(T649)&gt;0, LEN(U649)=0), "BLANCO", IFERROR(VLOOKUP(U649, BasedatosM9!A:B, 2, FALSE), "BLANCO")))</f>
        <v/>
      </c>
      <c r="AI649" s="5" t="str">
        <f>IF(AND(LEN(AF649)=0, LEN(AG649)=0), "", IF(AND(LEN(AF649)&gt;0, LEN(AG649)=0), "BLANCO", IFERROR(VLOOKUP(AG649, BasedatosM9!A:B, 2, FALSE), "BLANCO")))</f>
        <v/>
      </c>
      <c r="AU649" s="5" t="str">
        <f>IF(AND(LEN(AR649)=0, LEN(AS649)=0), "", IF(AND(LEN(AR649)&gt;0, LEN(AS649)=0), "BLANCO", IFERROR(VLOOKUP(AS649, BasedatosM9!A:B, 2, FALSE), "BLANCO")))</f>
        <v/>
      </c>
    </row>
    <row r="650" spans="1:47" ht="14.4">
      <c r="A650" s="21"/>
      <c r="B650" s="86"/>
      <c r="C650" s="98"/>
      <c r="D650" s="21"/>
      <c r="E650" s="86"/>
      <c r="F650" s="99"/>
      <c r="G650" s="99"/>
      <c r="H650" s="21"/>
      <c r="I650" s="86"/>
      <c r="J650" s="21"/>
      <c r="K650" s="5" t="str">
        <f>IF(AND(LEN(H650)=0, LEN(I650)=0), "", IF(AND(LEN(H650)&gt;0, LEN(I650)=0), "BLANCO", IFERROR(VLOOKUP(I650, BasedatosM9!A:B, 2, FALSE), "BLANCO")))</f>
        <v/>
      </c>
      <c r="W650" s="5" t="str">
        <f>IF(AND(LEN(T650)=0, LEN(U650)=0), "", IF(AND(LEN(T650)&gt;0, LEN(U650)=0), "BLANCO", IFERROR(VLOOKUP(U650, BasedatosM9!A:B, 2, FALSE), "BLANCO")))</f>
        <v/>
      </c>
      <c r="AI650" s="5" t="str">
        <f>IF(AND(LEN(AF650)=0, LEN(AG650)=0), "", IF(AND(LEN(AF650)&gt;0, LEN(AG650)=0), "BLANCO", IFERROR(VLOOKUP(AG650, BasedatosM9!A:B, 2, FALSE), "BLANCO")))</f>
        <v/>
      </c>
      <c r="AU650" s="5" t="str">
        <f>IF(AND(LEN(AR650)=0, LEN(AS650)=0), "", IF(AND(LEN(AR650)&gt;0, LEN(AS650)=0), "BLANCO", IFERROR(VLOOKUP(AS650, BasedatosM9!A:B, 2, FALSE), "BLANCO")))</f>
        <v/>
      </c>
    </row>
    <row r="651" spans="1:47" ht="14.4">
      <c r="A651" s="21"/>
      <c r="B651" s="86"/>
      <c r="C651" s="98"/>
      <c r="D651" s="21"/>
      <c r="E651" s="86"/>
      <c r="F651" s="99"/>
      <c r="G651" s="99"/>
      <c r="H651" s="21"/>
      <c r="I651" s="21"/>
      <c r="J651" s="21"/>
      <c r="K651" s="5" t="str">
        <f>IF(AND(LEN(H651)=0, LEN(I651)=0), "", IF(AND(LEN(H651)&gt;0, LEN(I651)=0), "BLANCO", IFERROR(VLOOKUP(I651, BasedatosM9!A:B, 2, FALSE), "BLANCO")))</f>
        <v/>
      </c>
      <c r="W651" s="5" t="str">
        <f>IF(AND(LEN(T651)=0, LEN(U651)=0), "", IF(AND(LEN(T651)&gt;0, LEN(U651)=0), "BLANCO", IFERROR(VLOOKUP(U651, BasedatosM9!A:B, 2, FALSE), "BLANCO")))</f>
        <v/>
      </c>
      <c r="AI651" s="5" t="str">
        <f>IF(AND(LEN(AF651)=0, LEN(AG651)=0), "", IF(AND(LEN(AF651)&gt;0, LEN(AG651)=0), "BLANCO", IFERROR(VLOOKUP(AG651, BasedatosM9!A:B, 2, FALSE), "BLANCO")))</f>
        <v/>
      </c>
      <c r="AU651" s="5" t="str">
        <f>IF(AND(LEN(AR651)=0, LEN(AS651)=0), "", IF(AND(LEN(AR651)&gt;0, LEN(AS651)=0), "BLANCO", IFERROR(VLOOKUP(AS651, BasedatosM9!A:B, 2, FALSE), "BLANCO")))</f>
        <v/>
      </c>
    </row>
    <row r="652" spans="1:47" ht="14.4">
      <c r="A652" s="21"/>
      <c r="B652" s="86"/>
      <c r="C652" s="98"/>
      <c r="D652" s="21"/>
      <c r="E652" s="86"/>
      <c r="F652" s="99"/>
      <c r="G652" s="99"/>
      <c r="H652" s="21"/>
      <c r="I652" s="86"/>
      <c r="J652" s="21"/>
      <c r="K652" s="5" t="str">
        <f>IF(AND(LEN(H652)=0, LEN(I652)=0), "", IF(AND(LEN(H652)&gt;0, LEN(I652)=0), "BLANCO", IFERROR(VLOOKUP(I652, BasedatosM9!A:B, 2, FALSE), "BLANCO")))</f>
        <v/>
      </c>
      <c r="W652" s="5" t="str">
        <f>IF(AND(LEN(T652)=0, LEN(U652)=0), "", IF(AND(LEN(T652)&gt;0, LEN(U652)=0), "BLANCO", IFERROR(VLOOKUP(U652, BasedatosM9!A:B, 2, FALSE), "BLANCO")))</f>
        <v/>
      </c>
      <c r="AI652" s="5" t="str">
        <f>IF(AND(LEN(AF652)=0, LEN(AG652)=0), "", IF(AND(LEN(AF652)&gt;0, LEN(AG652)=0), "BLANCO", IFERROR(VLOOKUP(AG652, BasedatosM9!A:B, 2, FALSE), "BLANCO")))</f>
        <v/>
      </c>
      <c r="AU652" s="5" t="str">
        <f>IF(AND(LEN(AR652)=0, LEN(AS652)=0), "", IF(AND(LEN(AR652)&gt;0, LEN(AS652)=0), "BLANCO", IFERROR(VLOOKUP(AS652, BasedatosM9!A:B, 2, FALSE), "BLANCO")))</f>
        <v/>
      </c>
    </row>
    <row r="653" spans="1:47" ht="14.4">
      <c r="A653" s="21"/>
      <c r="B653" s="86"/>
      <c r="C653" s="98"/>
      <c r="D653" s="21"/>
      <c r="E653" s="86"/>
      <c r="F653" s="99"/>
      <c r="G653" s="99"/>
      <c r="H653" s="21"/>
      <c r="I653" s="21"/>
      <c r="J653" s="21"/>
      <c r="K653" s="5" t="str">
        <f>IF(AND(LEN(H653)=0, LEN(I653)=0), "", IF(AND(LEN(H653)&gt;0, LEN(I653)=0), "BLANCO", IFERROR(VLOOKUP(I653, BasedatosM9!A:B, 2, FALSE), "BLANCO")))</f>
        <v/>
      </c>
      <c r="W653" s="5" t="str">
        <f>IF(AND(LEN(T653)=0, LEN(U653)=0), "", IF(AND(LEN(T653)&gt;0, LEN(U653)=0), "BLANCO", IFERROR(VLOOKUP(U653, BasedatosM9!A:B, 2, FALSE), "BLANCO")))</f>
        <v/>
      </c>
      <c r="AI653" s="5" t="str">
        <f>IF(AND(LEN(AF653)=0, LEN(AG653)=0), "", IF(AND(LEN(AF653)&gt;0, LEN(AG653)=0), "BLANCO", IFERROR(VLOOKUP(AG653, BasedatosM9!A:B, 2, FALSE), "BLANCO")))</f>
        <v/>
      </c>
      <c r="AU653" s="5" t="str">
        <f>IF(AND(LEN(AR653)=0, LEN(AS653)=0), "", IF(AND(LEN(AR653)&gt;0, LEN(AS653)=0), "BLANCO", IFERROR(VLOOKUP(AS653, BasedatosM9!A:B, 2, FALSE), "BLANCO")))</f>
        <v/>
      </c>
    </row>
    <row r="654" spans="1:47" ht="14.4">
      <c r="A654" s="21"/>
      <c r="B654" s="86"/>
      <c r="C654" s="98"/>
      <c r="D654" s="21"/>
      <c r="E654" s="86"/>
      <c r="F654" s="99"/>
      <c r="G654" s="99"/>
      <c r="H654" s="21"/>
      <c r="I654" s="21"/>
      <c r="J654" s="21"/>
      <c r="K654" s="5" t="str">
        <f>IF(AND(LEN(H654)=0, LEN(I654)=0), "", IF(AND(LEN(H654)&gt;0, LEN(I654)=0), "BLANCO", IFERROR(VLOOKUP(I654, BasedatosM9!A:B, 2, FALSE), "BLANCO")))</f>
        <v/>
      </c>
      <c r="W654" s="5" t="str">
        <f>IF(AND(LEN(T654)=0, LEN(U654)=0), "", IF(AND(LEN(T654)&gt;0, LEN(U654)=0), "BLANCO", IFERROR(VLOOKUP(U654, BasedatosM9!A:B, 2, FALSE), "BLANCO")))</f>
        <v/>
      </c>
      <c r="AI654" s="5" t="str">
        <f>IF(AND(LEN(AF654)=0, LEN(AG654)=0), "", IF(AND(LEN(AF654)&gt;0, LEN(AG654)=0), "BLANCO", IFERROR(VLOOKUP(AG654, BasedatosM9!A:B, 2, FALSE), "BLANCO")))</f>
        <v/>
      </c>
      <c r="AU654" s="5" t="str">
        <f>IF(AND(LEN(AR654)=0, LEN(AS654)=0), "", IF(AND(LEN(AR654)&gt;0, LEN(AS654)=0), "BLANCO", IFERROR(VLOOKUP(AS654, BasedatosM9!A:B, 2, FALSE), "BLANCO")))</f>
        <v/>
      </c>
    </row>
    <row r="655" spans="1:47" ht="14.4">
      <c r="A655" s="21"/>
      <c r="B655" s="86"/>
      <c r="C655" s="98"/>
      <c r="D655" s="21"/>
      <c r="E655" s="86"/>
      <c r="F655" s="99"/>
      <c r="G655" s="99"/>
      <c r="H655" s="21"/>
      <c r="I655" s="86"/>
      <c r="J655" s="21"/>
      <c r="K655" s="5" t="str">
        <f>IF(AND(LEN(H655)=0, LEN(I655)=0), "", IF(AND(LEN(H655)&gt;0, LEN(I655)=0), "BLANCO", IFERROR(VLOOKUP(I655, BasedatosM9!A:B, 2, FALSE), "BLANCO")))</f>
        <v/>
      </c>
      <c r="W655" s="5" t="str">
        <f>IF(AND(LEN(T655)=0, LEN(U655)=0), "", IF(AND(LEN(T655)&gt;0, LEN(U655)=0), "BLANCO", IFERROR(VLOOKUP(U655, BasedatosM9!A:B, 2, FALSE), "BLANCO")))</f>
        <v/>
      </c>
      <c r="AI655" s="5" t="str">
        <f>IF(AND(LEN(AF655)=0, LEN(AG655)=0), "", IF(AND(LEN(AF655)&gt;0, LEN(AG655)=0), "BLANCO", IFERROR(VLOOKUP(AG655, BasedatosM9!A:B, 2, FALSE), "BLANCO")))</f>
        <v/>
      </c>
      <c r="AU655" s="5" t="str">
        <f>IF(AND(LEN(AR655)=0, LEN(AS655)=0), "", IF(AND(LEN(AR655)&gt;0, LEN(AS655)=0), "BLANCO", IFERROR(VLOOKUP(AS655, BasedatosM9!A:B, 2, FALSE), "BLANCO")))</f>
        <v/>
      </c>
    </row>
    <row r="656" spans="1:47" ht="14.4">
      <c r="A656" s="21"/>
      <c r="B656" s="86"/>
      <c r="C656" s="98"/>
      <c r="D656" s="21"/>
      <c r="E656" s="86"/>
      <c r="F656" s="99"/>
      <c r="G656" s="99"/>
      <c r="H656" s="21"/>
      <c r="I656" s="21"/>
      <c r="J656" s="21"/>
      <c r="K656" s="5" t="str">
        <f>IF(AND(LEN(H656)=0, LEN(I656)=0), "", IF(AND(LEN(H656)&gt;0, LEN(I656)=0), "BLANCO", IFERROR(VLOOKUP(I656, BasedatosM9!A:B, 2, FALSE), "BLANCO")))</f>
        <v/>
      </c>
      <c r="W656" s="5" t="str">
        <f>IF(AND(LEN(T656)=0, LEN(U656)=0), "", IF(AND(LEN(T656)&gt;0, LEN(U656)=0), "BLANCO", IFERROR(VLOOKUP(U656, BasedatosM9!A:B, 2, FALSE), "BLANCO")))</f>
        <v/>
      </c>
      <c r="AI656" s="5" t="str">
        <f>IF(AND(LEN(AF656)=0, LEN(AG656)=0), "", IF(AND(LEN(AF656)&gt;0, LEN(AG656)=0), "BLANCO", IFERROR(VLOOKUP(AG656, BasedatosM9!A:B, 2, FALSE), "BLANCO")))</f>
        <v/>
      </c>
      <c r="AU656" s="5" t="str">
        <f>IF(AND(LEN(AR656)=0, LEN(AS656)=0), "", IF(AND(LEN(AR656)&gt;0, LEN(AS656)=0), "BLANCO", IFERROR(VLOOKUP(AS656, BasedatosM9!A:B, 2, FALSE), "BLANCO")))</f>
        <v/>
      </c>
    </row>
    <row r="657" spans="1:47" ht="14.4">
      <c r="A657" s="21"/>
      <c r="B657" s="86"/>
      <c r="C657" s="98"/>
      <c r="D657" s="21"/>
      <c r="E657" s="86"/>
      <c r="F657" s="99"/>
      <c r="G657" s="99"/>
      <c r="H657" s="21"/>
      <c r="I657" s="21"/>
      <c r="J657" s="21"/>
      <c r="K657" s="5" t="str">
        <f>IF(AND(LEN(H657)=0, LEN(I657)=0), "", IF(AND(LEN(H657)&gt;0, LEN(I657)=0), "BLANCO", IFERROR(VLOOKUP(I657, BasedatosM9!A:B, 2, FALSE), "BLANCO")))</f>
        <v/>
      </c>
      <c r="W657" s="5" t="str">
        <f>IF(AND(LEN(T657)=0, LEN(U657)=0), "", IF(AND(LEN(T657)&gt;0, LEN(U657)=0), "BLANCO", IFERROR(VLOOKUP(U657, BasedatosM9!A:B, 2, FALSE), "BLANCO")))</f>
        <v/>
      </c>
      <c r="AI657" s="5" t="str">
        <f>IF(AND(LEN(AF657)=0, LEN(AG657)=0), "", IF(AND(LEN(AF657)&gt;0, LEN(AG657)=0), "BLANCO", IFERROR(VLOOKUP(AG657, BasedatosM9!A:B, 2, FALSE), "BLANCO")))</f>
        <v/>
      </c>
      <c r="AU657" s="5" t="str">
        <f>IF(AND(LEN(AR657)=0, LEN(AS657)=0), "", IF(AND(LEN(AR657)&gt;0, LEN(AS657)=0), "BLANCO", IFERROR(VLOOKUP(AS657, BasedatosM9!A:B, 2, FALSE), "BLANCO")))</f>
        <v/>
      </c>
    </row>
    <row r="658" spans="1:47" ht="14.4">
      <c r="A658" s="21"/>
      <c r="B658" s="86"/>
      <c r="C658" s="98"/>
      <c r="D658" s="21"/>
      <c r="E658" s="86"/>
      <c r="F658" s="99"/>
      <c r="G658" s="99"/>
      <c r="H658" s="21"/>
      <c r="I658" s="21"/>
      <c r="J658" s="21"/>
      <c r="K658" s="5" t="str">
        <f>IF(AND(LEN(H658)=0, LEN(I658)=0), "", IF(AND(LEN(H658)&gt;0, LEN(I658)=0), "BLANCO", IFERROR(VLOOKUP(I658, BasedatosM9!A:B, 2, FALSE), "BLANCO")))</f>
        <v/>
      </c>
      <c r="W658" s="5" t="str">
        <f>IF(AND(LEN(T658)=0, LEN(U658)=0), "", IF(AND(LEN(T658)&gt;0, LEN(U658)=0), "BLANCO", IFERROR(VLOOKUP(U658, BasedatosM9!A:B, 2, FALSE), "BLANCO")))</f>
        <v/>
      </c>
      <c r="AI658" s="5" t="str">
        <f>IF(AND(LEN(AF658)=0, LEN(AG658)=0), "", IF(AND(LEN(AF658)&gt;0, LEN(AG658)=0), "BLANCO", IFERROR(VLOOKUP(AG658, BasedatosM9!A:B, 2, FALSE), "BLANCO")))</f>
        <v/>
      </c>
      <c r="AU658" s="5" t="str">
        <f>IF(AND(LEN(AR658)=0, LEN(AS658)=0), "", IF(AND(LEN(AR658)&gt;0, LEN(AS658)=0), "BLANCO", IFERROR(VLOOKUP(AS658, BasedatosM9!A:B, 2, FALSE), "BLANCO")))</f>
        <v/>
      </c>
    </row>
    <row r="659" spans="1:47" ht="14.4">
      <c r="A659" s="21"/>
      <c r="B659" s="86"/>
      <c r="C659" s="98"/>
      <c r="D659" s="21"/>
      <c r="E659" s="86"/>
      <c r="F659" s="99"/>
      <c r="G659" s="99"/>
      <c r="H659" s="21"/>
      <c r="I659" s="21"/>
      <c r="J659" s="21"/>
      <c r="K659" s="5" t="str">
        <f>IF(AND(LEN(H659)=0, LEN(I659)=0), "", IF(AND(LEN(H659)&gt;0, LEN(I659)=0), "BLANCO", IFERROR(VLOOKUP(I659, BasedatosM9!A:B, 2, FALSE), "BLANCO")))</f>
        <v/>
      </c>
      <c r="W659" s="5" t="str">
        <f>IF(AND(LEN(T659)=0, LEN(U659)=0), "", IF(AND(LEN(T659)&gt;0, LEN(U659)=0), "BLANCO", IFERROR(VLOOKUP(U659, BasedatosM9!A:B, 2, FALSE), "BLANCO")))</f>
        <v/>
      </c>
      <c r="AI659" s="5" t="str">
        <f>IF(AND(LEN(AF659)=0, LEN(AG659)=0), "", IF(AND(LEN(AF659)&gt;0, LEN(AG659)=0), "BLANCO", IFERROR(VLOOKUP(AG659, BasedatosM9!A:B, 2, FALSE), "BLANCO")))</f>
        <v/>
      </c>
      <c r="AU659" s="5" t="str">
        <f>IF(AND(LEN(AR659)=0, LEN(AS659)=0), "", IF(AND(LEN(AR659)&gt;0, LEN(AS659)=0), "BLANCO", IFERROR(VLOOKUP(AS659, BasedatosM9!A:B, 2, FALSE), "BLANCO")))</f>
        <v/>
      </c>
    </row>
    <row r="660" spans="1:47" ht="14.4">
      <c r="A660" s="21"/>
      <c r="B660" s="86"/>
      <c r="C660" s="98"/>
      <c r="D660" s="21"/>
      <c r="E660" s="86"/>
      <c r="F660" s="99"/>
      <c r="G660" s="99"/>
      <c r="H660" s="21"/>
      <c r="I660" s="21"/>
      <c r="J660" s="21"/>
      <c r="K660" s="5" t="str">
        <f>IF(AND(LEN(H660)=0, LEN(I660)=0), "", IF(AND(LEN(H660)&gt;0, LEN(I660)=0), "BLANCO", IFERROR(VLOOKUP(I660, BasedatosM9!A:B, 2, FALSE), "BLANCO")))</f>
        <v/>
      </c>
      <c r="W660" s="5" t="str">
        <f>IF(AND(LEN(T660)=0, LEN(U660)=0), "", IF(AND(LEN(T660)&gt;0, LEN(U660)=0), "BLANCO", IFERROR(VLOOKUP(U660, BasedatosM9!A:B, 2, FALSE), "BLANCO")))</f>
        <v/>
      </c>
      <c r="AI660" s="5" t="str">
        <f>IF(AND(LEN(AF660)=0, LEN(AG660)=0), "", IF(AND(LEN(AF660)&gt;0, LEN(AG660)=0), "BLANCO", IFERROR(VLOOKUP(AG660, BasedatosM9!A:B, 2, FALSE), "BLANCO")))</f>
        <v/>
      </c>
      <c r="AU660" s="5" t="str">
        <f>IF(AND(LEN(AR660)=0, LEN(AS660)=0), "", IF(AND(LEN(AR660)&gt;0, LEN(AS660)=0), "BLANCO", IFERROR(VLOOKUP(AS660, BasedatosM9!A:B, 2, FALSE), "BLANCO")))</f>
        <v/>
      </c>
    </row>
    <row r="661" spans="1:47" ht="14.4">
      <c r="A661" s="21"/>
      <c r="B661" s="86"/>
      <c r="C661" s="98"/>
      <c r="D661" s="21"/>
      <c r="E661" s="86"/>
      <c r="F661" s="99"/>
      <c r="G661" s="99"/>
      <c r="H661" s="21"/>
      <c r="I661" s="86"/>
      <c r="J661" s="21"/>
      <c r="K661" s="5" t="str">
        <f>IF(AND(LEN(H661)=0, LEN(I661)=0), "", IF(AND(LEN(H661)&gt;0, LEN(I661)=0), "BLANCO", IFERROR(VLOOKUP(I661, BasedatosM9!A:B, 2, FALSE), "BLANCO")))</f>
        <v/>
      </c>
      <c r="W661" s="5" t="str">
        <f>IF(AND(LEN(T661)=0, LEN(U661)=0), "", IF(AND(LEN(T661)&gt;0, LEN(U661)=0), "BLANCO", IFERROR(VLOOKUP(U661, BasedatosM9!A:B, 2, FALSE), "BLANCO")))</f>
        <v/>
      </c>
      <c r="AI661" s="5" t="str">
        <f>IF(AND(LEN(AF661)=0, LEN(AG661)=0), "", IF(AND(LEN(AF661)&gt;0, LEN(AG661)=0), "BLANCO", IFERROR(VLOOKUP(AG661, BasedatosM9!A:B, 2, FALSE), "BLANCO")))</f>
        <v/>
      </c>
      <c r="AU661" s="5" t="str">
        <f>IF(AND(LEN(AR661)=0, LEN(AS661)=0), "", IF(AND(LEN(AR661)&gt;0, LEN(AS661)=0), "BLANCO", IFERROR(VLOOKUP(AS661, BasedatosM9!A:B, 2, FALSE), "BLANCO")))</f>
        <v/>
      </c>
    </row>
    <row r="662" spans="1:47" ht="14.4">
      <c r="A662" s="21"/>
      <c r="B662" s="86"/>
      <c r="C662" s="98"/>
      <c r="D662" s="21"/>
      <c r="E662" s="86"/>
      <c r="F662" s="99"/>
      <c r="G662" s="99"/>
      <c r="H662" s="21"/>
      <c r="I662" s="86"/>
      <c r="J662" s="21"/>
      <c r="K662" s="5" t="str">
        <f>IF(AND(LEN(H662)=0, LEN(I662)=0), "", IF(AND(LEN(H662)&gt;0, LEN(I662)=0), "BLANCO", IFERROR(VLOOKUP(I662, BasedatosM9!A:B, 2, FALSE), "BLANCO")))</f>
        <v/>
      </c>
      <c r="W662" s="5" t="str">
        <f>IF(AND(LEN(T662)=0, LEN(U662)=0), "", IF(AND(LEN(T662)&gt;0, LEN(U662)=0), "BLANCO", IFERROR(VLOOKUP(U662, BasedatosM9!A:B, 2, FALSE), "BLANCO")))</f>
        <v/>
      </c>
      <c r="AI662" s="5" t="str">
        <f>IF(AND(LEN(AF662)=0, LEN(AG662)=0), "", IF(AND(LEN(AF662)&gt;0, LEN(AG662)=0), "BLANCO", IFERROR(VLOOKUP(AG662, BasedatosM9!A:B, 2, FALSE), "BLANCO")))</f>
        <v/>
      </c>
      <c r="AU662" s="5" t="str">
        <f>IF(AND(LEN(AR662)=0, LEN(AS662)=0), "", IF(AND(LEN(AR662)&gt;0, LEN(AS662)=0), "BLANCO", IFERROR(VLOOKUP(AS662, BasedatosM9!A:B, 2, FALSE), "BLANCO")))</f>
        <v/>
      </c>
    </row>
    <row r="663" spans="1:47" ht="14.4">
      <c r="A663" s="21"/>
      <c r="B663" s="86"/>
      <c r="C663" s="98"/>
      <c r="D663" s="21"/>
      <c r="E663" s="86"/>
      <c r="F663" s="99"/>
      <c r="G663" s="99"/>
      <c r="H663" s="21"/>
      <c r="I663" s="86"/>
      <c r="J663" s="21"/>
      <c r="K663" s="5" t="str">
        <f>IF(AND(LEN(H663)=0, LEN(I663)=0), "", IF(AND(LEN(H663)&gt;0, LEN(I663)=0), "BLANCO", IFERROR(VLOOKUP(I663, BasedatosM9!A:B, 2, FALSE), "BLANCO")))</f>
        <v/>
      </c>
      <c r="W663" s="5" t="str">
        <f>IF(AND(LEN(T663)=0, LEN(U663)=0), "", IF(AND(LEN(T663)&gt;0, LEN(U663)=0), "BLANCO", IFERROR(VLOOKUP(U663, BasedatosM9!A:B, 2, FALSE), "BLANCO")))</f>
        <v/>
      </c>
      <c r="AI663" s="5" t="str">
        <f>IF(AND(LEN(AF663)=0, LEN(AG663)=0), "", IF(AND(LEN(AF663)&gt;0, LEN(AG663)=0), "BLANCO", IFERROR(VLOOKUP(AG663, BasedatosM9!A:B, 2, FALSE), "BLANCO")))</f>
        <v/>
      </c>
      <c r="AU663" s="5" t="str">
        <f>IF(AND(LEN(AR663)=0, LEN(AS663)=0), "", IF(AND(LEN(AR663)&gt;0, LEN(AS663)=0), "BLANCO", IFERROR(VLOOKUP(AS663, BasedatosM9!A:B, 2, FALSE), "BLANCO")))</f>
        <v/>
      </c>
    </row>
    <row r="664" spans="1:47" ht="14.4">
      <c r="A664" s="21"/>
      <c r="B664" s="86"/>
      <c r="C664" s="98"/>
      <c r="D664" s="21"/>
      <c r="E664" s="86"/>
      <c r="F664" s="99"/>
      <c r="G664" s="99"/>
      <c r="H664" s="21"/>
      <c r="I664" s="86"/>
      <c r="J664" s="21"/>
      <c r="K664" s="5" t="str">
        <f>IF(AND(LEN(H664)=0, LEN(I664)=0), "", IF(AND(LEN(H664)&gt;0, LEN(I664)=0), "BLANCO", IFERROR(VLOOKUP(I664, BasedatosM9!A:B, 2, FALSE), "BLANCO")))</f>
        <v/>
      </c>
      <c r="W664" s="5" t="str">
        <f>IF(AND(LEN(T664)=0, LEN(U664)=0), "", IF(AND(LEN(T664)&gt;0, LEN(U664)=0), "BLANCO", IFERROR(VLOOKUP(U664, BasedatosM9!A:B, 2, FALSE), "BLANCO")))</f>
        <v/>
      </c>
      <c r="AI664" s="5" t="str">
        <f>IF(AND(LEN(AF664)=0, LEN(AG664)=0), "", IF(AND(LEN(AF664)&gt;0, LEN(AG664)=0), "BLANCO", IFERROR(VLOOKUP(AG664, BasedatosM9!A:B, 2, FALSE), "BLANCO")))</f>
        <v/>
      </c>
      <c r="AU664" s="5" t="str">
        <f>IF(AND(LEN(AR664)=0, LEN(AS664)=0), "", IF(AND(LEN(AR664)&gt;0, LEN(AS664)=0), "BLANCO", IFERROR(VLOOKUP(AS664, BasedatosM9!A:B, 2, FALSE), "BLANCO")))</f>
        <v/>
      </c>
    </row>
    <row r="665" spans="1:47" ht="14.4">
      <c r="A665" s="21"/>
      <c r="B665" s="86"/>
      <c r="C665" s="98"/>
      <c r="D665" s="21"/>
      <c r="E665" s="86"/>
      <c r="F665" s="99"/>
      <c r="G665" s="99"/>
      <c r="H665" s="21"/>
      <c r="I665" s="21"/>
      <c r="J665" s="21"/>
      <c r="K665" s="5" t="str">
        <f>IF(AND(LEN(H665)=0, LEN(I665)=0), "", IF(AND(LEN(H665)&gt;0, LEN(I665)=0), "BLANCO", IFERROR(VLOOKUP(I665, BasedatosM9!A:B, 2, FALSE), "BLANCO")))</f>
        <v/>
      </c>
      <c r="W665" s="5" t="str">
        <f>IF(AND(LEN(T665)=0, LEN(U665)=0), "", IF(AND(LEN(T665)&gt;0, LEN(U665)=0), "BLANCO", IFERROR(VLOOKUP(U665, BasedatosM9!A:B, 2, FALSE), "BLANCO")))</f>
        <v/>
      </c>
      <c r="AI665" s="5" t="str">
        <f>IF(AND(LEN(AF665)=0, LEN(AG665)=0), "", IF(AND(LEN(AF665)&gt;0, LEN(AG665)=0), "BLANCO", IFERROR(VLOOKUP(AG665, BasedatosM9!A:B, 2, FALSE), "BLANCO")))</f>
        <v/>
      </c>
      <c r="AU665" s="5" t="str">
        <f>IF(AND(LEN(AR665)=0, LEN(AS665)=0), "", IF(AND(LEN(AR665)&gt;0, LEN(AS665)=0), "BLANCO", IFERROR(VLOOKUP(AS665, BasedatosM9!A:B, 2, FALSE), "BLANCO")))</f>
        <v/>
      </c>
    </row>
    <row r="666" spans="1:47" ht="14.4">
      <c r="A666" s="21"/>
      <c r="B666" s="86"/>
      <c r="C666" s="98"/>
      <c r="D666" s="21"/>
      <c r="E666" s="86"/>
      <c r="F666" s="99"/>
      <c r="G666" s="99"/>
      <c r="H666" s="21"/>
      <c r="I666" s="21"/>
      <c r="J666" s="21"/>
      <c r="K666" s="5" t="str">
        <f>IF(AND(LEN(H666)=0, LEN(I666)=0), "", IF(AND(LEN(H666)&gt;0, LEN(I666)=0), "BLANCO", IFERROR(VLOOKUP(I666, BasedatosM9!A:B, 2, FALSE), "BLANCO")))</f>
        <v/>
      </c>
      <c r="W666" s="5" t="str">
        <f>IF(AND(LEN(T666)=0, LEN(U666)=0), "", IF(AND(LEN(T666)&gt;0, LEN(U666)=0), "BLANCO", IFERROR(VLOOKUP(U666, BasedatosM9!A:B, 2, FALSE), "BLANCO")))</f>
        <v/>
      </c>
      <c r="AI666" s="5" t="str">
        <f>IF(AND(LEN(AF666)=0, LEN(AG666)=0), "", IF(AND(LEN(AF666)&gt;0, LEN(AG666)=0), "BLANCO", IFERROR(VLOOKUP(AG666, BasedatosM9!A:B, 2, FALSE), "BLANCO")))</f>
        <v/>
      </c>
      <c r="AU666" s="5" t="str">
        <f>IF(AND(LEN(AR666)=0, LEN(AS666)=0), "", IF(AND(LEN(AR666)&gt;0, LEN(AS666)=0), "BLANCO", IFERROR(VLOOKUP(AS666, BasedatosM9!A:B, 2, FALSE), "BLANCO")))</f>
        <v/>
      </c>
    </row>
    <row r="667" spans="1:47" ht="14.4">
      <c r="A667" s="21"/>
      <c r="B667" s="86"/>
      <c r="C667" s="98"/>
      <c r="D667" s="21"/>
      <c r="E667" s="86"/>
      <c r="F667" s="99"/>
      <c r="G667" s="99"/>
      <c r="H667" s="21"/>
      <c r="I667" s="86"/>
      <c r="J667" s="21"/>
      <c r="K667" s="5" t="str">
        <f>IF(AND(LEN(H667)=0, LEN(I667)=0), "", IF(AND(LEN(H667)&gt;0, LEN(I667)=0), "BLANCO", IFERROR(VLOOKUP(I667, BasedatosM9!A:B, 2, FALSE), "BLANCO")))</f>
        <v/>
      </c>
      <c r="W667" s="5" t="str">
        <f>IF(AND(LEN(T667)=0, LEN(U667)=0), "", IF(AND(LEN(T667)&gt;0, LEN(U667)=0), "BLANCO", IFERROR(VLOOKUP(U667, BasedatosM9!A:B, 2, FALSE), "BLANCO")))</f>
        <v/>
      </c>
      <c r="AI667" s="5" t="str">
        <f>IF(AND(LEN(AF667)=0, LEN(AG667)=0), "", IF(AND(LEN(AF667)&gt;0, LEN(AG667)=0), "BLANCO", IFERROR(VLOOKUP(AG667, BasedatosM9!A:B, 2, FALSE), "BLANCO")))</f>
        <v/>
      </c>
      <c r="AU667" s="5" t="str">
        <f>IF(AND(LEN(AR667)=0, LEN(AS667)=0), "", IF(AND(LEN(AR667)&gt;0, LEN(AS667)=0), "BLANCO", IFERROR(VLOOKUP(AS667, BasedatosM9!A:B, 2, FALSE), "BLANCO")))</f>
        <v/>
      </c>
    </row>
    <row r="668" spans="1:47" ht="14.4">
      <c r="A668" s="21"/>
      <c r="B668" s="86"/>
      <c r="C668" s="98"/>
      <c r="D668" s="21"/>
      <c r="E668" s="86"/>
      <c r="F668" s="99"/>
      <c r="G668" s="99"/>
      <c r="H668" s="21"/>
      <c r="I668" s="21"/>
      <c r="J668" s="21"/>
      <c r="K668" s="5" t="str">
        <f>IF(AND(LEN(H668)=0, LEN(I668)=0), "", IF(AND(LEN(H668)&gt;0, LEN(I668)=0), "BLANCO", IFERROR(VLOOKUP(I668, BasedatosM9!A:B, 2, FALSE), "BLANCO")))</f>
        <v/>
      </c>
      <c r="W668" s="5" t="str">
        <f>IF(AND(LEN(T668)=0, LEN(U668)=0), "", IF(AND(LEN(T668)&gt;0, LEN(U668)=0), "BLANCO", IFERROR(VLOOKUP(U668, BasedatosM9!A:B, 2, FALSE), "BLANCO")))</f>
        <v/>
      </c>
      <c r="AI668" s="5" t="str">
        <f>IF(AND(LEN(AF668)=0, LEN(AG668)=0), "", IF(AND(LEN(AF668)&gt;0, LEN(AG668)=0), "BLANCO", IFERROR(VLOOKUP(AG668, BasedatosM9!A:B, 2, FALSE), "BLANCO")))</f>
        <v/>
      </c>
      <c r="AU668" s="5" t="str">
        <f>IF(AND(LEN(AR668)=0, LEN(AS668)=0), "", IF(AND(LEN(AR668)&gt;0, LEN(AS668)=0), "BLANCO", IFERROR(VLOOKUP(AS668, BasedatosM9!A:B, 2, FALSE), "BLANCO")))</f>
        <v/>
      </c>
    </row>
    <row r="669" spans="1:47" ht="14.4">
      <c r="A669" s="21"/>
      <c r="B669" s="86"/>
      <c r="C669" s="98"/>
      <c r="D669" s="21"/>
      <c r="E669" s="86"/>
      <c r="F669" s="99"/>
      <c r="G669" s="99"/>
      <c r="H669" s="21"/>
      <c r="I669" s="86"/>
      <c r="J669" s="21"/>
      <c r="K669" s="5" t="str">
        <f>IF(AND(LEN(H669)=0, LEN(I669)=0), "", IF(AND(LEN(H669)&gt;0, LEN(I669)=0), "BLANCO", IFERROR(VLOOKUP(I669, BasedatosM9!A:B, 2, FALSE), "BLANCO")))</f>
        <v/>
      </c>
      <c r="W669" s="5" t="str">
        <f>IF(AND(LEN(T669)=0, LEN(U669)=0), "", IF(AND(LEN(T669)&gt;0, LEN(U669)=0), "BLANCO", IFERROR(VLOOKUP(U669, BasedatosM9!A:B, 2, FALSE), "BLANCO")))</f>
        <v/>
      </c>
      <c r="AI669" s="5" t="str">
        <f>IF(AND(LEN(AF669)=0, LEN(AG669)=0), "", IF(AND(LEN(AF669)&gt;0, LEN(AG669)=0), "BLANCO", IFERROR(VLOOKUP(AG669, BasedatosM9!A:B, 2, FALSE), "BLANCO")))</f>
        <v/>
      </c>
      <c r="AU669" s="5" t="str">
        <f>IF(AND(LEN(AR669)=0, LEN(AS669)=0), "", IF(AND(LEN(AR669)&gt;0, LEN(AS669)=0), "BLANCO", IFERROR(VLOOKUP(AS669, BasedatosM9!A:B, 2, FALSE), "BLANCO")))</f>
        <v/>
      </c>
    </row>
    <row r="670" spans="1:47" ht="14.4">
      <c r="A670" s="21"/>
      <c r="B670" s="86"/>
      <c r="C670" s="98"/>
      <c r="D670" s="21"/>
      <c r="E670" s="86"/>
      <c r="F670" s="99"/>
      <c r="G670" s="99"/>
      <c r="H670" s="21"/>
      <c r="I670" s="86"/>
      <c r="J670" s="21"/>
      <c r="K670" s="5" t="str">
        <f>IF(AND(LEN(H670)=0, LEN(I670)=0), "", IF(AND(LEN(H670)&gt;0, LEN(I670)=0), "BLANCO", IFERROR(VLOOKUP(I670, BasedatosM9!A:B, 2, FALSE), "BLANCO")))</f>
        <v/>
      </c>
      <c r="W670" s="5" t="str">
        <f>IF(AND(LEN(T670)=0, LEN(U670)=0), "", IF(AND(LEN(T670)&gt;0, LEN(U670)=0), "BLANCO", IFERROR(VLOOKUP(U670, BasedatosM9!A:B, 2, FALSE), "BLANCO")))</f>
        <v/>
      </c>
      <c r="AI670" s="5" t="str">
        <f>IF(AND(LEN(AF670)=0, LEN(AG670)=0), "", IF(AND(LEN(AF670)&gt;0, LEN(AG670)=0), "BLANCO", IFERROR(VLOOKUP(AG670, BasedatosM9!A:B, 2, FALSE), "BLANCO")))</f>
        <v/>
      </c>
      <c r="AU670" s="5" t="str">
        <f>IF(AND(LEN(AR670)=0, LEN(AS670)=0), "", IF(AND(LEN(AR670)&gt;0, LEN(AS670)=0), "BLANCO", IFERROR(VLOOKUP(AS670, BasedatosM9!A:B, 2, FALSE), "BLANCO")))</f>
        <v/>
      </c>
    </row>
    <row r="671" spans="1:47" ht="14.4">
      <c r="A671" s="21"/>
      <c r="B671" s="86"/>
      <c r="C671" s="98"/>
      <c r="D671" s="21"/>
      <c r="E671" s="86"/>
      <c r="F671" s="99"/>
      <c r="G671" s="99"/>
      <c r="H671" s="21"/>
      <c r="I671" s="86"/>
      <c r="J671" s="21"/>
      <c r="K671" s="5" t="str">
        <f>IF(AND(LEN(H671)=0, LEN(I671)=0), "", IF(AND(LEN(H671)&gt;0, LEN(I671)=0), "BLANCO", IFERROR(VLOOKUP(I671, BasedatosM9!A:B, 2, FALSE), "BLANCO")))</f>
        <v/>
      </c>
      <c r="W671" s="5" t="str">
        <f>IF(AND(LEN(T671)=0, LEN(U671)=0), "", IF(AND(LEN(T671)&gt;0, LEN(U671)=0), "BLANCO", IFERROR(VLOOKUP(U671, BasedatosM9!A:B, 2, FALSE), "BLANCO")))</f>
        <v/>
      </c>
      <c r="AI671" s="5" t="str">
        <f>IF(AND(LEN(AF671)=0, LEN(AG671)=0), "", IF(AND(LEN(AF671)&gt;0, LEN(AG671)=0), "BLANCO", IFERROR(VLOOKUP(AG671, BasedatosM9!A:B, 2, FALSE), "BLANCO")))</f>
        <v/>
      </c>
      <c r="AU671" s="5" t="str">
        <f>IF(AND(LEN(AR671)=0, LEN(AS671)=0), "", IF(AND(LEN(AR671)&gt;0, LEN(AS671)=0), "BLANCO", IFERROR(VLOOKUP(AS671, BasedatosM9!A:B, 2, FALSE), "BLANCO")))</f>
        <v/>
      </c>
    </row>
    <row r="672" spans="1:47" ht="14.4">
      <c r="A672" s="21"/>
      <c r="B672" s="86"/>
      <c r="C672" s="98"/>
      <c r="D672" s="21"/>
      <c r="E672" s="86"/>
      <c r="F672" s="99"/>
      <c r="G672" s="99"/>
      <c r="H672" s="21"/>
      <c r="I672" s="21"/>
      <c r="J672" s="21"/>
      <c r="K672" s="5" t="str">
        <f>IF(AND(LEN(H672)=0, LEN(I672)=0), "", IF(AND(LEN(H672)&gt;0, LEN(I672)=0), "BLANCO", IFERROR(VLOOKUP(I672, BasedatosM9!A:B, 2, FALSE), "BLANCO")))</f>
        <v/>
      </c>
      <c r="W672" s="5" t="str">
        <f>IF(AND(LEN(T672)=0, LEN(U672)=0), "", IF(AND(LEN(T672)&gt;0, LEN(U672)=0), "BLANCO", IFERROR(VLOOKUP(U672, BasedatosM9!A:B, 2, FALSE), "BLANCO")))</f>
        <v/>
      </c>
      <c r="AI672" s="5" t="str">
        <f>IF(AND(LEN(AF672)=0, LEN(AG672)=0), "", IF(AND(LEN(AF672)&gt;0, LEN(AG672)=0), "BLANCO", IFERROR(VLOOKUP(AG672, BasedatosM9!A:B, 2, FALSE), "BLANCO")))</f>
        <v/>
      </c>
      <c r="AU672" s="5" t="str">
        <f>IF(AND(LEN(AR672)=0, LEN(AS672)=0), "", IF(AND(LEN(AR672)&gt;0, LEN(AS672)=0), "BLANCO", IFERROR(VLOOKUP(AS672, BasedatosM9!A:B, 2, FALSE), "BLANCO")))</f>
        <v/>
      </c>
    </row>
    <row r="673" spans="1:47" ht="14.4">
      <c r="A673" s="21"/>
      <c r="B673" s="86"/>
      <c r="C673" s="98"/>
      <c r="D673" s="21"/>
      <c r="E673" s="86"/>
      <c r="F673" s="99"/>
      <c r="G673" s="99"/>
      <c r="H673" s="21"/>
      <c r="I673" s="21"/>
      <c r="J673" s="21"/>
      <c r="K673" s="5" t="str">
        <f>IF(AND(LEN(H673)=0, LEN(I673)=0), "", IF(AND(LEN(H673)&gt;0, LEN(I673)=0), "BLANCO", IFERROR(VLOOKUP(I673, BasedatosM9!A:B, 2, FALSE), "BLANCO")))</f>
        <v/>
      </c>
      <c r="W673" s="5" t="str">
        <f>IF(AND(LEN(T673)=0, LEN(U673)=0), "", IF(AND(LEN(T673)&gt;0, LEN(U673)=0), "BLANCO", IFERROR(VLOOKUP(U673, BasedatosM9!A:B, 2, FALSE), "BLANCO")))</f>
        <v/>
      </c>
      <c r="AI673" s="5" t="str">
        <f>IF(AND(LEN(AF673)=0, LEN(AG673)=0), "", IF(AND(LEN(AF673)&gt;0, LEN(AG673)=0), "BLANCO", IFERROR(VLOOKUP(AG673, BasedatosM9!A:B, 2, FALSE), "BLANCO")))</f>
        <v/>
      </c>
      <c r="AU673" s="5" t="str">
        <f>IF(AND(LEN(AR673)=0, LEN(AS673)=0), "", IF(AND(LEN(AR673)&gt;0, LEN(AS673)=0), "BLANCO", IFERROR(VLOOKUP(AS673, BasedatosM9!A:B, 2, FALSE), "BLANCO")))</f>
        <v/>
      </c>
    </row>
    <row r="674" spans="1:47" ht="14.4">
      <c r="A674" s="21"/>
      <c r="B674" s="86"/>
      <c r="C674" s="98"/>
      <c r="D674" s="21"/>
      <c r="E674" s="86"/>
      <c r="F674" s="99"/>
      <c r="G674" s="99"/>
      <c r="H674" s="21"/>
      <c r="I674" s="86"/>
      <c r="J674" s="21"/>
      <c r="K674" s="5" t="str">
        <f>IF(AND(LEN(H674)=0, LEN(I674)=0), "", IF(AND(LEN(H674)&gt;0, LEN(I674)=0), "BLANCO", IFERROR(VLOOKUP(I674, BasedatosM9!A:B, 2, FALSE), "BLANCO")))</f>
        <v/>
      </c>
      <c r="W674" s="5" t="str">
        <f>IF(AND(LEN(T674)=0, LEN(U674)=0), "", IF(AND(LEN(T674)&gt;0, LEN(U674)=0), "BLANCO", IFERROR(VLOOKUP(U674, BasedatosM9!A:B, 2, FALSE), "BLANCO")))</f>
        <v/>
      </c>
      <c r="AI674" s="5" t="str">
        <f>IF(AND(LEN(AF674)=0, LEN(AG674)=0), "", IF(AND(LEN(AF674)&gt;0, LEN(AG674)=0), "BLANCO", IFERROR(VLOOKUP(AG674, BasedatosM9!A:B, 2, FALSE), "BLANCO")))</f>
        <v/>
      </c>
      <c r="AU674" s="5" t="str">
        <f>IF(AND(LEN(AR674)=0, LEN(AS674)=0), "", IF(AND(LEN(AR674)&gt;0, LEN(AS674)=0), "BLANCO", IFERROR(VLOOKUP(AS674, BasedatosM9!A:B, 2, FALSE), "BLANCO")))</f>
        <v/>
      </c>
    </row>
    <row r="675" spans="1:47" ht="14.4">
      <c r="A675" s="21"/>
      <c r="B675" s="86"/>
      <c r="C675" s="98"/>
      <c r="D675" s="21"/>
      <c r="E675" s="86"/>
      <c r="F675" s="99"/>
      <c r="G675" s="99"/>
      <c r="H675" s="21"/>
      <c r="I675" s="86"/>
      <c r="J675" s="21"/>
      <c r="K675" s="5" t="str">
        <f>IF(AND(LEN(H675)=0, LEN(I675)=0), "", IF(AND(LEN(H675)&gt;0, LEN(I675)=0), "BLANCO", IFERROR(VLOOKUP(I675, BasedatosM9!A:B, 2, FALSE), "BLANCO")))</f>
        <v/>
      </c>
      <c r="W675" s="5" t="str">
        <f>IF(AND(LEN(T675)=0, LEN(U675)=0), "", IF(AND(LEN(T675)&gt;0, LEN(U675)=0), "BLANCO", IFERROR(VLOOKUP(U675, BasedatosM9!A:B, 2, FALSE), "BLANCO")))</f>
        <v/>
      </c>
      <c r="AI675" s="5" t="str">
        <f>IF(AND(LEN(AF675)=0, LEN(AG675)=0), "", IF(AND(LEN(AF675)&gt;0, LEN(AG675)=0), "BLANCO", IFERROR(VLOOKUP(AG675, BasedatosM9!A:B, 2, FALSE), "BLANCO")))</f>
        <v/>
      </c>
      <c r="AU675" s="5" t="str">
        <f>IF(AND(LEN(AR675)=0, LEN(AS675)=0), "", IF(AND(LEN(AR675)&gt;0, LEN(AS675)=0), "BLANCO", IFERROR(VLOOKUP(AS675, BasedatosM9!A:B, 2, FALSE), "BLANCO")))</f>
        <v/>
      </c>
    </row>
    <row r="676" spans="1:47" ht="14.4">
      <c r="A676" s="21"/>
      <c r="B676" s="86"/>
      <c r="C676" s="98"/>
      <c r="D676" s="21"/>
      <c r="E676" s="86"/>
      <c r="F676" s="99"/>
      <c r="G676" s="99"/>
      <c r="H676" s="21"/>
      <c r="I676" s="21"/>
      <c r="J676" s="21"/>
      <c r="K676" s="5" t="str">
        <f>IF(AND(LEN(H676)=0, LEN(I676)=0), "", IF(AND(LEN(H676)&gt;0, LEN(I676)=0), "BLANCO", IFERROR(VLOOKUP(I676, BasedatosM9!A:B, 2, FALSE), "BLANCO")))</f>
        <v/>
      </c>
      <c r="W676" s="5" t="str">
        <f>IF(AND(LEN(T676)=0, LEN(U676)=0), "", IF(AND(LEN(T676)&gt;0, LEN(U676)=0), "BLANCO", IFERROR(VLOOKUP(U676, BasedatosM9!A:B, 2, FALSE), "BLANCO")))</f>
        <v/>
      </c>
      <c r="AI676" s="5" t="str">
        <f>IF(AND(LEN(AF676)=0, LEN(AG676)=0), "", IF(AND(LEN(AF676)&gt;0, LEN(AG676)=0), "BLANCO", IFERROR(VLOOKUP(AG676, BasedatosM9!A:B, 2, FALSE), "BLANCO")))</f>
        <v/>
      </c>
      <c r="AU676" s="5" t="str">
        <f>IF(AND(LEN(AR676)=0, LEN(AS676)=0), "", IF(AND(LEN(AR676)&gt;0, LEN(AS676)=0), "BLANCO", IFERROR(VLOOKUP(AS676, BasedatosM9!A:B, 2, FALSE), "BLANCO")))</f>
        <v/>
      </c>
    </row>
    <row r="677" spans="1:47" ht="14.4">
      <c r="A677" s="21"/>
      <c r="B677" s="86"/>
      <c r="C677" s="98"/>
      <c r="D677" s="21"/>
      <c r="E677" s="86"/>
      <c r="F677" s="99"/>
      <c r="G677" s="99"/>
      <c r="H677" s="21"/>
      <c r="I677" s="21"/>
      <c r="J677" s="21"/>
      <c r="K677" s="5" t="str">
        <f>IF(AND(LEN(H677)=0, LEN(I677)=0), "", IF(AND(LEN(H677)&gt;0, LEN(I677)=0), "BLANCO", IFERROR(VLOOKUP(I677, BasedatosM9!A:B, 2, FALSE), "BLANCO")))</f>
        <v/>
      </c>
      <c r="W677" s="5" t="str">
        <f>IF(AND(LEN(T677)=0, LEN(U677)=0), "", IF(AND(LEN(T677)&gt;0, LEN(U677)=0), "BLANCO", IFERROR(VLOOKUP(U677, BasedatosM9!A:B, 2, FALSE), "BLANCO")))</f>
        <v/>
      </c>
      <c r="AI677" s="5" t="str">
        <f>IF(AND(LEN(AF677)=0, LEN(AG677)=0), "", IF(AND(LEN(AF677)&gt;0, LEN(AG677)=0), "BLANCO", IFERROR(VLOOKUP(AG677, BasedatosM9!A:B, 2, FALSE), "BLANCO")))</f>
        <v/>
      </c>
      <c r="AU677" s="5" t="str">
        <f>IF(AND(LEN(AR677)=0, LEN(AS677)=0), "", IF(AND(LEN(AR677)&gt;0, LEN(AS677)=0), "BLANCO", IFERROR(VLOOKUP(AS677, BasedatosM9!A:B, 2, FALSE), "BLANCO")))</f>
        <v/>
      </c>
    </row>
    <row r="678" spans="1:47" ht="14.4">
      <c r="A678" s="21"/>
      <c r="B678" s="86"/>
      <c r="C678" s="98"/>
      <c r="D678" s="21"/>
      <c r="E678" s="86"/>
      <c r="F678" s="99"/>
      <c r="G678" s="99"/>
      <c r="H678" s="21"/>
      <c r="I678" s="21"/>
      <c r="J678" s="21"/>
      <c r="K678" s="5" t="str">
        <f>IF(AND(LEN(H678)=0, LEN(I678)=0), "", IF(AND(LEN(H678)&gt;0, LEN(I678)=0), "BLANCO", IFERROR(VLOOKUP(I678, BasedatosM9!A:B, 2, FALSE), "BLANCO")))</f>
        <v/>
      </c>
      <c r="W678" s="5" t="str">
        <f>IF(AND(LEN(T678)=0, LEN(U678)=0), "", IF(AND(LEN(T678)&gt;0, LEN(U678)=0), "BLANCO", IFERROR(VLOOKUP(U678, BasedatosM9!A:B, 2, FALSE), "BLANCO")))</f>
        <v/>
      </c>
      <c r="AI678" s="5" t="str">
        <f>IF(AND(LEN(AF678)=0, LEN(AG678)=0), "", IF(AND(LEN(AF678)&gt;0, LEN(AG678)=0), "BLANCO", IFERROR(VLOOKUP(AG678, BasedatosM9!A:B, 2, FALSE), "BLANCO")))</f>
        <v/>
      </c>
      <c r="AU678" s="5" t="str">
        <f>IF(AND(LEN(AR678)=0, LEN(AS678)=0), "", IF(AND(LEN(AR678)&gt;0, LEN(AS678)=0), "BLANCO", IFERROR(VLOOKUP(AS678, BasedatosM9!A:B, 2, FALSE), "BLANCO")))</f>
        <v/>
      </c>
    </row>
    <row r="679" spans="1:47" ht="14.4">
      <c r="A679" s="21"/>
      <c r="B679" s="86"/>
      <c r="C679" s="98"/>
      <c r="D679" s="21"/>
      <c r="E679" s="86"/>
      <c r="F679" s="99"/>
      <c r="G679" s="99"/>
      <c r="H679" s="21"/>
      <c r="I679" s="21"/>
      <c r="J679" s="21"/>
      <c r="K679" s="5" t="str">
        <f>IF(AND(LEN(H679)=0, LEN(I679)=0), "", IF(AND(LEN(H679)&gt;0, LEN(I679)=0), "BLANCO", IFERROR(VLOOKUP(I679, BasedatosM9!A:B, 2, FALSE), "BLANCO")))</f>
        <v/>
      </c>
      <c r="W679" s="5" t="str">
        <f>IF(AND(LEN(T679)=0, LEN(U679)=0), "", IF(AND(LEN(T679)&gt;0, LEN(U679)=0), "BLANCO", IFERROR(VLOOKUP(U679, BasedatosM9!A:B, 2, FALSE), "BLANCO")))</f>
        <v/>
      </c>
      <c r="AI679" s="5" t="str">
        <f>IF(AND(LEN(AF679)=0, LEN(AG679)=0), "", IF(AND(LEN(AF679)&gt;0, LEN(AG679)=0), "BLANCO", IFERROR(VLOOKUP(AG679, BasedatosM9!A:B, 2, FALSE), "BLANCO")))</f>
        <v/>
      </c>
      <c r="AU679" s="5" t="str">
        <f>IF(AND(LEN(AR679)=0, LEN(AS679)=0), "", IF(AND(LEN(AR679)&gt;0, LEN(AS679)=0), "BLANCO", IFERROR(VLOOKUP(AS679, BasedatosM9!A:B, 2, FALSE), "BLANCO")))</f>
        <v/>
      </c>
    </row>
    <row r="680" spans="1:47" ht="14.4">
      <c r="A680" s="21"/>
      <c r="B680" s="86"/>
      <c r="C680" s="98"/>
      <c r="D680" s="21"/>
      <c r="E680" s="86"/>
      <c r="F680" s="99"/>
      <c r="G680" s="99"/>
      <c r="H680" s="21"/>
      <c r="I680" s="21"/>
      <c r="J680" s="21"/>
      <c r="K680" s="5" t="str">
        <f>IF(AND(LEN(H680)=0, LEN(I680)=0), "", IF(AND(LEN(H680)&gt;0, LEN(I680)=0), "BLANCO", IFERROR(VLOOKUP(I680, BasedatosM9!A:B, 2, FALSE), "BLANCO")))</f>
        <v/>
      </c>
      <c r="W680" s="5" t="str">
        <f>IF(AND(LEN(T680)=0, LEN(U680)=0), "", IF(AND(LEN(T680)&gt;0, LEN(U680)=0), "BLANCO", IFERROR(VLOOKUP(U680, BasedatosM9!A:B, 2, FALSE), "BLANCO")))</f>
        <v/>
      </c>
      <c r="AI680" s="5" t="str">
        <f>IF(AND(LEN(AF680)=0, LEN(AG680)=0), "", IF(AND(LEN(AF680)&gt;0, LEN(AG680)=0), "BLANCO", IFERROR(VLOOKUP(AG680, BasedatosM9!A:B, 2, FALSE), "BLANCO")))</f>
        <v/>
      </c>
      <c r="AU680" s="5" t="str">
        <f>IF(AND(LEN(AR680)=0, LEN(AS680)=0), "", IF(AND(LEN(AR680)&gt;0, LEN(AS680)=0), "BLANCO", IFERROR(VLOOKUP(AS680, BasedatosM9!A:B, 2, FALSE), "BLANCO")))</f>
        <v/>
      </c>
    </row>
    <row r="681" spans="1:47" ht="14.4">
      <c r="A681" s="21"/>
      <c r="B681" s="86"/>
      <c r="C681" s="98"/>
      <c r="D681" s="21"/>
      <c r="E681" s="86"/>
      <c r="F681" s="99"/>
      <c r="G681" s="99"/>
      <c r="H681" s="21"/>
      <c r="I681" s="86"/>
      <c r="J681" s="21"/>
      <c r="K681" s="5" t="str">
        <f>IF(AND(LEN(H681)=0, LEN(I681)=0), "", IF(AND(LEN(H681)&gt;0, LEN(I681)=0), "BLANCO", IFERROR(VLOOKUP(I681, BasedatosM9!A:B, 2, FALSE), "BLANCO")))</f>
        <v/>
      </c>
      <c r="W681" s="5" t="str">
        <f>IF(AND(LEN(T681)=0, LEN(U681)=0), "", IF(AND(LEN(T681)&gt;0, LEN(U681)=0), "BLANCO", IFERROR(VLOOKUP(U681, BasedatosM9!A:B, 2, FALSE), "BLANCO")))</f>
        <v/>
      </c>
      <c r="AI681" s="5" t="str">
        <f>IF(AND(LEN(AF681)=0, LEN(AG681)=0), "", IF(AND(LEN(AF681)&gt;0, LEN(AG681)=0), "BLANCO", IFERROR(VLOOKUP(AG681, BasedatosM9!A:B, 2, FALSE), "BLANCO")))</f>
        <v/>
      </c>
      <c r="AU681" s="5" t="str">
        <f>IF(AND(LEN(AR681)=0, LEN(AS681)=0), "", IF(AND(LEN(AR681)&gt;0, LEN(AS681)=0), "BLANCO", IFERROR(VLOOKUP(AS681, BasedatosM9!A:B, 2, FALSE), "BLANCO")))</f>
        <v/>
      </c>
    </row>
    <row r="682" spans="1:47" ht="14.4">
      <c r="A682" s="21"/>
      <c r="B682" s="86"/>
      <c r="C682" s="98"/>
      <c r="D682" s="21"/>
      <c r="E682" s="86"/>
      <c r="F682" s="99"/>
      <c r="G682" s="99"/>
      <c r="H682" s="21"/>
      <c r="I682" s="86"/>
      <c r="J682" s="21"/>
      <c r="K682" s="5" t="str">
        <f>IF(AND(LEN(H682)=0, LEN(I682)=0), "", IF(AND(LEN(H682)&gt;0, LEN(I682)=0), "BLANCO", IFERROR(VLOOKUP(I682, BasedatosM9!A:B, 2, FALSE), "BLANCO")))</f>
        <v/>
      </c>
      <c r="W682" s="5" t="str">
        <f>IF(AND(LEN(T682)=0, LEN(U682)=0), "", IF(AND(LEN(T682)&gt;0, LEN(U682)=0), "BLANCO", IFERROR(VLOOKUP(U682, BasedatosM9!A:B, 2, FALSE), "BLANCO")))</f>
        <v/>
      </c>
      <c r="AI682" s="5" t="str">
        <f>IF(AND(LEN(AF682)=0, LEN(AG682)=0), "", IF(AND(LEN(AF682)&gt;0, LEN(AG682)=0), "BLANCO", IFERROR(VLOOKUP(AG682, BasedatosM9!A:B, 2, FALSE), "BLANCO")))</f>
        <v/>
      </c>
      <c r="AU682" s="5" t="str">
        <f>IF(AND(LEN(AR682)=0, LEN(AS682)=0), "", IF(AND(LEN(AR682)&gt;0, LEN(AS682)=0), "BLANCO", IFERROR(VLOOKUP(AS682, BasedatosM9!A:B, 2, FALSE), "BLANCO")))</f>
        <v/>
      </c>
    </row>
    <row r="683" spans="1:47" ht="14.4">
      <c r="A683" s="21"/>
      <c r="B683" s="86"/>
      <c r="C683" s="98"/>
      <c r="D683" s="21"/>
      <c r="E683" s="86"/>
      <c r="F683" s="99"/>
      <c r="G683" s="99"/>
      <c r="H683" s="21"/>
      <c r="I683" s="86"/>
      <c r="J683" s="21"/>
      <c r="K683" s="5" t="str">
        <f>IF(AND(LEN(H683)=0, LEN(I683)=0), "", IF(AND(LEN(H683)&gt;0, LEN(I683)=0), "BLANCO", IFERROR(VLOOKUP(I683, BasedatosM9!A:B, 2, FALSE), "BLANCO")))</f>
        <v/>
      </c>
      <c r="W683" s="5" t="str">
        <f>IF(AND(LEN(T683)=0, LEN(U683)=0), "", IF(AND(LEN(T683)&gt;0, LEN(U683)=0), "BLANCO", IFERROR(VLOOKUP(U683, BasedatosM9!A:B, 2, FALSE), "BLANCO")))</f>
        <v/>
      </c>
      <c r="AI683" s="5" t="str">
        <f>IF(AND(LEN(AF683)=0, LEN(AG683)=0), "", IF(AND(LEN(AF683)&gt;0, LEN(AG683)=0), "BLANCO", IFERROR(VLOOKUP(AG683, BasedatosM9!A:B, 2, FALSE), "BLANCO")))</f>
        <v/>
      </c>
      <c r="AU683" s="5" t="str">
        <f>IF(AND(LEN(AR683)=0, LEN(AS683)=0), "", IF(AND(LEN(AR683)&gt;0, LEN(AS683)=0), "BLANCO", IFERROR(VLOOKUP(AS683, BasedatosM9!A:B, 2, FALSE), "BLANCO")))</f>
        <v/>
      </c>
    </row>
    <row r="684" spans="1:47" ht="14.4">
      <c r="A684" s="21"/>
      <c r="B684" s="86"/>
      <c r="C684" s="98"/>
      <c r="D684" s="21"/>
      <c r="E684" s="86"/>
      <c r="F684" s="99"/>
      <c r="G684" s="99"/>
      <c r="H684" s="21"/>
      <c r="I684" s="86"/>
      <c r="J684" s="21"/>
      <c r="K684" s="5" t="str">
        <f>IF(AND(LEN(H684)=0, LEN(I684)=0), "", IF(AND(LEN(H684)&gt;0, LEN(I684)=0), "BLANCO", IFERROR(VLOOKUP(I684, BasedatosM9!A:B, 2, FALSE), "BLANCO")))</f>
        <v/>
      </c>
      <c r="W684" s="5" t="str">
        <f>IF(AND(LEN(T684)=0, LEN(U684)=0), "", IF(AND(LEN(T684)&gt;0, LEN(U684)=0), "BLANCO", IFERROR(VLOOKUP(U684, BasedatosM9!A:B, 2, FALSE), "BLANCO")))</f>
        <v/>
      </c>
      <c r="AI684" s="5" t="str">
        <f>IF(AND(LEN(AF684)=0, LEN(AG684)=0), "", IF(AND(LEN(AF684)&gt;0, LEN(AG684)=0), "BLANCO", IFERROR(VLOOKUP(AG684, BasedatosM9!A:B, 2, FALSE), "BLANCO")))</f>
        <v/>
      </c>
      <c r="AU684" s="5" t="str">
        <f>IF(AND(LEN(AR684)=0, LEN(AS684)=0), "", IF(AND(LEN(AR684)&gt;0, LEN(AS684)=0), "BLANCO", IFERROR(VLOOKUP(AS684, BasedatosM9!A:B, 2, FALSE), "BLANCO")))</f>
        <v/>
      </c>
    </row>
    <row r="685" spans="1:47" ht="14.4">
      <c r="A685" s="21"/>
      <c r="B685" s="86"/>
      <c r="C685" s="98"/>
      <c r="D685" s="21"/>
      <c r="E685" s="86"/>
      <c r="F685" s="99"/>
      <c r="G685" s="99"/>
      <c r="H685" s="21"/>
      <c r="I685" s="21"/>
      <c r="J685" s="21"/>
      <c r="K685" s="5" t="str">
        <f>IF(AND(LEN(H685)=0, LEN(I685)=0), "", IF(AND(LEN(H685)&gt;0, LEN(I685)=0), "BLANCO", IFERROR(VLOOKUP(I685, BasedatosM9!A:B, 2, FALSE), "BLANCO")))</f>
        <v/>
      </c>
      <c r="W685" s="5" t="str">
        <f>IF(AND(LEN(T685)=0, LEN(U685)=0), "", IF(AND(LEN(T685)&gt;0, LEN(U685)=0), "BLANCO", IFERROR(VLOOKUP(U685, BasedatosM9!A:B, 2, FALSE), "BLANCO")))</f>
        <v/>
      </c>
      <c r="AI685" s="5" t="str">
        <f>IF(AND(LEN(AF685)=0, LEN(AG685)=0), "", IF(AND(LEN(AF685)&gt;0, LEN(AG685)=0), "BLANCO", IFERROR(VLOOKUP(AG685, BasedatosM9!A:B, 2, FALSE), "BLANCO")))</f>
        <v/>
      </c>
      <c r="AU685" s="5" t="str">
        <f>IF(AND(LEN(AR685)=0, LEN(AS685)=0), "", IF(AND(LEN(AR685)&gt;0, LEN(AS685)=0), "BLANCO", IFERROR(VLOOKUP(AS685, BasedatosM9!A:B, 2, FALSE), "BLANCO")))</f>
        <v/>
      </c>
    </row>
    <row r="686" spans="1:47" ht="14.4">
      <c r="A686" s="21"/>
      <c r="B686" s="86"/>
      <c r="C686" s="98"/>
      <c r="D686" s="21"/>
      <c r="E686" s="86"/>
      <c r="F686" s="99"/>
      <c r="G686" s="99"/>
      <c r="H686" s="21"/>
      <c r="I686" s="21"/>
      <c r="J686" s="21"/>
      <c r="K686" s="5" t="str">
        <f>IF(AND(LEN(H686)=0, LEN(I686)=0), "", IF(AND(LEN(H686)&gt;0, LEN(I686)=0), "BLANCO", IFERROR(VLOOKUP(I686, BasedatosM9!A:B, 2, FALSE), "BLANCO")))</f>
        <v/>
      </c>
      <c r="W686" s="5" t="str">
        <f>IF(AND(LEN(T686)=0, LEN(U686)=0), "", IF(AND(LEN(T686)&gt;0, LEN(U686)=0), "BLANCO", IFERROR(VLOOKUP(U686, BasedatosM9!A:B, 2, FALSE), "BLANCO")))</f>
        <v/>
      </c>
      <c r="AI686" s="5" t="str">
        <f>IF(AND(LEN(AF686)=0, LEN(AG686)=0), "", IF(AND(LEN(AF686)&gt;0, LEN(AG686)=0), "BLANCO", IFERROR(VLOOKUP(AG686, BasedatosM9!A:B, 2, FALSE), "BLANCO")))</f>
        <v/>
      </c>
      <c r="AU686" s="5" t="str">
        <f>IF(AND(LEN(AR686)=0, LEN(AS686)=0), "", IF(AND(LEN(AR686)&gt;0, LEN(AS686)=0), "BLANCO", IFERROR(VLOOKUP(AS686, BasedatosM9!A:B, 2, FALSE), "BLANCO")))</f>
        <v/>
      </c>
    </row>
    <row r="687" spans="1:47" ht="14.4">
      <c r="A687" s="21"/>
      <c r="B687" s="86"/>
      <c r="C687" s="98"/>
      <c r="D687" s="21"/>
      <c r="E687" s="86"/>
      <c r="F687" s="99"/>
      <c r="G687" s="99"/>
      <c r="H687" s="21"/>
      <c r="I687" s="21"/>
      <c r="J687" s="21"/>
      <c r="K687" s="5" t="str">
        <f>IF(AND(LEN(H687)=0, LEN(I687)=0), "", IF(AND(LEN(H687)&gt;0, LEN(I687)=0), "BLANCO", IFERROR(VLOOKUP(I687, BasedatosM9!A:B, 2, FALSE), "BLANCO")))</f>
        <v/>
      </c>
      <c r="W687" s="5" t="str">
        <f>IF(AND(LEN(T687)=0, LEN(U687)=0), "", IF(AND(LEN(T687)&gt;0, LEN(U687)=0), "BLANCO", IFERROR(VLOOKUP(U687, BasedatosM9!A:B, 2, FALSE), "BLANCO")))</f>
        <v/>
      </c>
      <c r="AI687" s="5" t="str">
        <f>IF(AND(LEN(AF687)=0, LEN(AG687)=0), "", IF(AND(LEN(AF687)&gt;0, LEN(AG687)=0), "BLANCO", IFERROR(VLOOKUP(AG687, BasedatosM9!A:B, 2, FALSE), "BLANCO")))</f>
        <v/>
      </c>
      <c r="AU687" s="5" t="str">
        <f>IF(AND(LEN(AR687)=0, LEN(AS687)=0), "", IF(AND(LEN(AR687)&gt;0, LEN(AS687)=0), "BLANCO", IFERROR(VLOOKUP(AS687, BasedatosM9!A:B, 2, FALSE), "BLANCO")))</f>
        <v/>
      </c>
    </row>
    <row r="688" spans="1:47" ht="14.4">
      <c r="A688" s="21"/>
      <c r="B688" s="86"/>
      <c r="C688" s="98"/>
      <c r="D688" s="21"/>
      <c r="E688" s="86"/>
      <c r="F688" s="99"/>
      <c r="G688" s="99"/>
      <c r="H688" s="21"/>
      <c r="I688" s="86"/>
      <c r="J688" s="21"/>
      <c r="K688" s="5" t="str">
        <f>IF(AND(LEN(H688)=0, LEN(I688)=0), "", IF(AND(LEN(H688)&gt;0, LEN(I688)=0), "BLANCO", IFERROR(VLOOKUP(I688, BasedatosM9!A:B, 2, FALSE), "BLANCO")))</f>
        <v/>
      </c>
      <c r="W688" s="5" t="str">
        <f>IF(AND(LEN(T688)=0, LEN(U688)=0), "", IF(AND(LEN(T688)&gt;0, LEN(U688)=0), "BLANCO", IFERROR(VLOOKUP(U688, BasedatosM9!A:B, 2, FALSE), "BLANCO")))</f>
        <v/>
      </c>
      <c r="AI688" s="5" t="str">
        <f>IF(AND(LEN(AF688)=0, LEN(AG688)=0), "", IF(AND(LEN(AF688)&gt;0, LEN(AG688)=0), "BLANCO", IFERROR(VLOOKUP(AG688, BasedatosM9!A:B, 2, FALSE), "BLANCO")))</f>
        <v/>
      </c>
      <c r="AU688" s="5" t="str">
        <f>IF(AND(LEN(AR688)=0, LEN(AS688)=0), "", IF(AND(LEN(AR688)&gt;0, LEN(AS688)=0), "BLANCO", IFERROR(VLOOKUP(AS688, BasedatosM9!A:B, 2, FALSE), "BLANCO")))</f>
        <v/>
      </c>
    </row>
    <row r="689" spans="1:47" ht="14.4">
      <c r="A689" s="21"/>
      <c r="B689" s="86"/>
      <c r="C689" s="98"/>
      <c r="D689" s="21"/>
      <c r="E689" s="86"/>
      <c r="F689" s="99"/>
      <c r="G689" s="99"/>
      <c r="H689" s="21"/>
      <c r="I689" s="21"/>
      <c r="J689" s="21"/>
      <c r="K689" s="5" t="str">
        <f>IF(AND(LEN(H689)=0, LEN(I689)=0), "", IF(AND(LEN(H689)&gt;0, LEN(I689)=0), "BLANCO", IFERROR(VLOOKUP(I689, BasedatosM9!A:B, 2, FALSE), "BLANCO")))</f>
        <v/>
      </c>
      <c r="W689" s="5" t="str">
        <f>IF(AND(LEN(T689)=0, LEN(U689)=0), "", IF(AND(LEN(T689)&gt;0, LEN(U689)=0), "BLANCO", IFERROR(VLOOKUP(U689, BasedatosM9!A:B, 2, FALSE), "BLANCO")))</f>
        <v/>
      </c>
      <c r="AI689" s="5" t="str">
        <f>IF(AND(LEN(AF689)=0, LEN(AG689)=0), "", IF(AND(LEN(AF689)&gt;0, LEN(AG689)=0), "BLANCO", IFERROR(VLOOKUP(AG689, BasedatosM9!A:B, 2, FALSE), "BLANCO")))</f>
        <v/>
      </c>
      <c r="AU689" s="5" t="str">
        <f>IF(AND(LEN(AR689)=0, LEN(AS689)=0), "", IF(AND(LEN(AR689)&gt;0, LEN(AS689)=0), "BLANCO", IFERROR(VLOOKUP(AS689, BasedatosM9!A:B, 2, FALSE), "BLANCO")))</f>
        <v/>
      </c>
    </row>
    <row r="690" spans="1:47" ht="14.4">
      <c r="A690" s="21"/>
      <c r="B690" s="86"/>
      <c r="C690" s="98"/>
      <c r="D690" s="21"/>
      <c r="E690" s="86"/>
      <c r="F690" s="99"/>
      <c r="G690" s="99"/>
      <c r="H690" s="21"/>
      <c r="I690" s="21"/>
      <c r="J690" s="21"/>
      <c r="K690" s="5" t="str">
        <f>IF(AND(LEN(H690)=0, LEN(I690)=0), "", IF(AND(LEN(H690)&gt;0, LEN(I690)=0), "BLANCO", IFERROR(VLOOKUP(I690, BasedatosM9!A:B, 2, FALSE), "BLANCO")))</f>
        <v/>
      </c>
      <c r="W690" s="5" t="str">
        <f>IF(AND(LEN(T690)=0, LEN(U690)=0), "", IF(AND(LEN(T690)&gt;0, LEN(U690)=0), "BLANCO", IFERROR(VLOOKUP(U690, BasedatosM9!A:B, 2, FALSE), "BLANCO")))</f>
        <v/>
      </c>
      <c r="AI690" s="5" t="str">
        <f>IF(AND(LEN(AF690)=0, LEN(AG690)=0), "", IF(AND(LEN(AF690)&gt;0, LEN(AG690)=0), "BLANCO", IFERROR(VLOOKUP(AG690, BasedatosM9!A:B, 2, FALSE), "BLANCO")))</f>
        <v/>
      </c>
      <c r="AU690" s="5" t="str">
        <f>IF(AND(LEN(AR690)=0, LEN(AS690)=0), "", IF(AND(LEN(AR690)&gt;0, LEN(AS690)=0), "BLANCO", IFERROR(VLOOKUP(AS690, BasedatosM9!A:B, 2, FALSE), "BLANCO")))</f>
        <v/>
      </c>
    </row>
    <row r="691" spans="1:47" ht="14.4">
      <c r="A691" s="21"/>
      <c r="B691" s="86"/>
      <c r="C691" s="98"/>
      <c r="D691" s="21"/>
      <c r="E691" s="86"/>
      <c r="F691" s="99"/>
      <c r="G691" s="99"/>
      <c r="H691" s="21"/>
      <c r="I691" s="21"/>
      <c r="J691" s="21"/>
      <c r="K691" s="5" t="str">
        <f>IF(AND(LEN(H691)=0, LEN(I691)=0), "", IF(AND(LEN(H691)&gt;0, LEN(I691)=0), "BLANCO", IFERROR(VLOOKUP(I691, BasedatosM9!A:B, 2, FALSE), "BLANCO")))</f>
        <v/>
      </c>
      <c r="W691" s="5" t="str">
        <f>IF(AND(LEN(T691)=0, LEN(U691)=0), "", IF(AND(LEN(T691)&gt;0, LEN(U691)=0), "BLANCO", IFERROR(VLOOKUP(U691, BasedatosM9!A:B, 2, FALSE), "BLANCO")))</f>
        <v/>
      </c>
      <c r="AI691" s="5" t="str">
        <f>IF(AND(LEN(AF691)=0, LEN(AG691)=0), "", IF(AND(LEN(AF691)&gt;0, LEN(AG691)=0), "BLANCO", IFERROR(VLOOKUP(AG691, BasedatosM9!A:B, 2, FALSE), "BLANCO")))</f>
        <v/>
      </c>
      <c r="AU691" s="5" t="str">
        <f>IF(AND(LEN(AR691)=0, LEN(AS691)=0), "", IF(AND(LEN(AR691)&gt;0, LEN(AS691)=0), "BLANCO", IFERROR(VLOOKUP(AS691, BasedatosM9!A:B, 2, FALSE), "BLANCO")))</f>
        <v/>
      </c>
    </row>
    <row r="692" spans="1:47" ht="14.4">
      <c r="A692" s="21"/>
      <c r="B692" s="86"/>
      <c r="C692" s="98"/>
      <c r="D692" s="21"/>
      <c r="E692" s="86"/>
      <c r="F692" s="99"/>
      <c r="G692" s="99"/>
      <c r="H692" s="21"/>
      <c r="I692" s="21"/>
      <c r="J692" s="21"/>
      <c r="K692" s="5" t="str">
        <f>IF(AND(LEN(H692)=0, LEN(I692)=0), "", IF(AND(LEN(H692)&gt;0, LEN(I692)=0), "BLANCO", IFERROR(VLOOKUP(I692, BasedatosM9!A:B, 2, FALSE), "BLANCO")))</f>
        <v/>
      </c>
      <c r="W692" s="5" t="str">
        <f>IF(AND(LEN(T692)=0, LEN(U692)=0), "", IF(AND(LEN(T692)&gt;0, LEN(U692)=0), "BLANCO", IFERROR(VLOOKUP(U692, BasedatosM9!A:B, 2, FALSE), "BLANCO")))</f>
        <v/>
      </c>
      <c r="AI692" s="5" t="str">
        <f>IF(AND(LEN(AF692)=0, LEN(AG692)=0), "", IF(AND(LEN(AF692)&gt;0, LEN(AG692)=0), "BLANCO", IFERROR(VLOOKUP(AG692, BasedatosM9!A:B, 2, FALSE), "BLANCO")))</f>
        <v/>
      </c>
      <c r="AU692" s="5" t="str">
        <f>IF(AND(LEN(AR692)=0, LEN(AS692)=0), "", IF(AND(LEN(AR692)&gt;0, LEN(AS692)=0), "BLANCO", IFERROR(VLOOKUP(AS692, BasedatosM9!A:B, 2, FALSE), "BLANCO")))</f>
        <v/>
      </c>
    </row>
    <row r="693" spans="1:47" ht="14.4">
      <c r="A693" s="21"/>
      <c r="B693" s="86"/>
      <c r="C693" s="98"/>
      <c r="D693" s="21"/>
      <c r="E693" s="86"/>
      <c r="F693" s="99"/>
      <c r="G693" s="99"/>
      <c r="H693" s="21"/>
      <c r="I693" s="86"/>
      <c r="J693" s="21"/>
      <c r="K693" s="5" t="str">
        <f>IF(AND(LEN(H693)=0, LEN(I693)=0), "", IF(AND(LEN(H693)&gt;0, LEN(I693)=0), "BLANCO", IFERROR(VLOOKUP(I693, BasedatosM9!A:B, 2, FALSE), "BLANCO")))</f>
        <v/>
      </c>
      <c r="W693" s="5" t="str">
        <f>IF(AND(LEN(T693)=0, LEN(U693)=0), "", IF(AND(LEN(T693)&gt;0, LEN(U693)=0), "BLANCO", IFERROR(VLOOKUP(U693, BasedatosM9!A:B, 2, FALSE), "BLANCO")))</f>
        <v/>
      </c>
      <c r="AI693" s="5" t="str">
        <f>IF(AND(LEN(AF693)=0, LEN(AG693)=0), "", IF(AND(LEN(AF693)&gt;0, LEN(AG693)=0), "BLANCO", IFERROR(VLOOKUP(AG693, BasedatosM9!A:B, 2, FALSE), "BLANCO")))</f>
        <v/>
      </c>
      <c r="AU693" s="5" t="str">
        <f>IF(AND(LEN(AR693)=0, LEN(AS693)=0), "", IF(AND(LEN(AR693)&gt;0, LEN(AS693)=0), "BLANCO", IFERROR(VLOOKUP(AS693, BasedatosM9!A:B, 2, FALSE), "BLANCO")))</f>
        <v/>
      </c>
    </row>
    <row r="694" spans="1:47" ht="14.4">
      <c r="A694" s="21"/>
      <c r="B694" s="86"/>
      <c r="C694" s="98"/>
      <c r="D694" s="21"/>
      <c r="E694" s="86"/>
      <c r="F694" s="99"/>
      <c r="G694" s="99"/>
      <c r="H694" s="21"/>
      <c r="I694" s="21"/>
      <c r="J694" s="21"/>
      <c r="K694" s="5" t="str">
        <f>IF(AND(LEN(H694)=0, LEN(I694)=0), "", IF(AND(LEN(H694)&gt;0, LEN(I694)=0), "BLANCO", IFERROR(VLOOKUP(I694, BasedatosM9!A:B, 2, FALSE), "BLANCO")))</f>
        <v/>
      </c>
      <c r="W694" s="5" t="str">
        <f>IF(AND(LEN(T694)=0, LEN(U694)=0), "", IF(AND(LEN(T694)&gt;0, LEN(U694)=0), "BLANCO", IFERROR(VLOOKUP(U694, BasedatosM9!A:B, 2, FALSE), "BLANCO")))</f>
        <v/>
      </c>
      <c r="AI694" s="5" t="str">
        <f>IF(AND(LEN(AF694)=0, LEN(AG694)=0), "", IF(AND(LEN(AF694)&gt;0, LEN(AG694)=0), "BLANCO", IFERROR(VLOOKUP(AG694, BasedatosM9!A:B, 2, FALSE), "BLANCO")))</f>
        <v/>
      </c>
      <c r="AU694" s="5" t="str">
        <f>IF(AND(LEN(AR694)=0, LEN(AS694)=0), "", IF(AND(LEN(AR694)&gt;0, LEN(AS694)=0), "BLANCO", IFERROR(VLOOKUP(AS694, BasedatosM9!A:B, 2, FALSE), "BLANCO")))</f>
        <v/>
      </c>
    </row>
    <row r="695" spans="1:47" ht="14.4">
      <c r="A695" s="21"/>
      <c r="B695" s="86"/>
      <c r="C695" s="98"/>
      <c r="D695" s="21"/>
      <c r="E695" s="86"/>
      <c r="F695" s="99"/>
      <c r="G695" s="99"/>
      <c r="H695" s="21"/>
      <c r="I695" s="21"/>
      <c r="J695" s="21"/>
      <c r="K695" s="5" t="str">
        <f>IF(AND(LEN(H695)=0, LEN(I695)=0), "", IF(AND(LEN(H695)&gt;0, LEN(I695)=0), "BLANCO", IFERROR(VLOOKUP(I695, BasedatosM9!A:B, 2, FALSE), "BLANCO")))</f>
        <v/>
      </c>
      <c r="W695" s="5" t="str">
        <f>IF(AND(LEN(T695)=0, LEN(U695)=0), "", IF(AND(LEN(T695)&gt;0, LEN(U695)=0), "BLANCO", IFERROR(VLOOKUP(U695, BasedatosM9!A:B, 2, FALSE), "BLANCO")))</f>
        <v/>
      </c>
      <c r="AI695" s="5" t="str">
        <f>IF(AND(LEN(AF695)=0, LEN(AG695)=0), "", IF(AND(LEN(AF695)&gt;0, LEN(AG695)=0), "BLANCO", IFERROR(VLOOKUP(AG695, BasedatosM9!A:B, 2, FALSE), "BLANCO")))</f>
        <v/>
      </c>
      <c r="AU695" s="5" t="str">
        <f>IF(AND(LEN(AR695)=0, LEN(AS695)=0), "", IF(AND(LEN(AR695)&gt;0, LEN(AS695)=0), "BLANCO", IFERROR(VLOOKUP(AS695, BasedatosM9!A:B, 2, FALSE), "BLANCO")))</f>
        <v/>
      </c>
    </row>
    <row r="696" spans="1:47" ht="14.4">
      <c r="A696" s="21"/>
      <c r="B696" s="86"/>
      <c r="C696" s="98"/>
      <c r="D696" s="21"/>
      <c r="E696" s="86"/>
      <c r="F696" s="99"/>
      <c r="G696" s="99"/>
      <c r="H696" s="21"/>
      <c r="I696" s="21"/>
      <c r="J696" s="21"/>
      <c r="K696" s="5" t="str">
        <f>IF(AND(LEN(H696)=0, LEN(I696)=0), "", IF(AND(LEN(H696)&gt;0, LEN(I696)=0), "BLANCO", IFERROR(VLOOKUP(I696, BasedatosM9!A:B, 2, FALSE), "BLANCO")))</f>
        <v/>
      </c>
      <c r="W696" s="5" t="str">
        <f>IF(AND(LEN(T696)=0, LEN(U696)=0), "", IF(AND(LEN(T696)&gt;0, LEN(U696)=0), "BLANCO", IFERROR(VLOOKUP(U696, BasedatosM9!A:B, 2, FALSE), "BLANCO")))</f>
        <v/>
      </c>
      <c r="AI696" s="5" t="str">
        <f>IF(AND(LEN(AF696)=0, LEN(AG696)=0), "", IF(AND(LEN(AF696)&gt;0, LEN(AG696)=0), "BLANCO", IFERROR(VLOOKUP(AG696, BasedatosM9!A:B, 2, FALSE), "BLANCO")))</f>
        <v/>
      </c>
      <c r="AU696" s="5" t="str">
        <f>IF(AND(LEN(AR696)=0, LEN(AS696)=0), "", IF(AND(LEN(AR696)&gt;0, LEN(AS696)=0), "BLANCO", IFERROR(VLOOKUP(AS696, BasedatosM9!A:B, 2, FALSE), "BLANCO")))</f>
        <v/>
      </c>
    </row>
    <row r="697" spans="1:47" ht="14.4">
      <c r="A697" s="21"/>
      <c r="B697" s="86"/>
      <c r="C697" s="98"/>
      <c r="D697" s="21"/>
      <c r="E697" s="86"/>
      <c r="F697" s="99"/>
      <c r="G697" s="99"/>
      <c r="H697" s="21"/>
      <c r="I697" s="21"/>
      <c r="J697" s="21"/>
      <c r="K697" s="5" t="str">
        <f>IF(AND(LEN(H697)=0, LEN(I697)=0), "", IF(AND(LEN(H697)&gt;0, LEN(I697)=0), "BLANCO", IFERROR(VLOOKUP(I697, BasedatosM9!A:B, 2, FALSE), "BLANCO")))</f>
        <v/>
      </c>
      <c r="W697" s="5" t="str">
        <f>IF(AND(LEN(T697)=0, LEN(U697)=0), "", IF(AND(LEN(T697)&gt;0, LEN(U697)=0), "BLANCO", IFERROR(VLOOKUP(U697, BasedatosM9!A:B, 2, FALSE), "BLANCO")))</f>
        <v/>
      </c>
      <c r="AI697" s="5" t="str">
        <f>IF(AND(LEN(AF697)=0, LEN(AG697)=0), "", IF(AND(LEN(AF697)&gt;0, LEN(AG697)=0), "BLANCO", IFERROR(VLOOKUP(AG697, BasedatosM9!A:B, 2, FALSE), "BLANCO")))</f>
        <v/>
      </c>
      <c r="AU697" s="5" t="str">
        <f>IF(AND(LEN(AR697)=0, LEN(AS697)=0), "", IF(AND(LEN(AR697)&gt;0, LEN(AS697)=0), "BLANCO", IFERROR(VLOOKUP(AS697, BasedatosM9!A:B, 2, FALSE), "BLANCO")))</f>
        <v/>
      </c>
    </row>
    <row r="698" spans="1:47" ht="14.4">
      <c r="A698" s="21"/>
      <c r="B698" s="86"/>
      <c r="C698" s="98"/>
      <c r="D698" s="21"/>
      <c r="E698" s="86"/>
      <c r="F698" s="99"/>
      <c r="G698" s="99"/>
      <c r="H698" s="21"/>
      <c r="I698" s="21"/>
      <c r="J698" s="21"/>
      <c r="K698" s="5" t="str">
        <f>IF(AND(LEN(H698)=0, LEN(I698)=0), "", IF(AND(LEN(H698)&gt;0, LEN(I698)=0), "BLANCO", IFERROR(VLOOKUP(I698, BasedatosM9!A:B, 2, FALSE), "BLANCO")))</f>
        <v/>
      </c>
      <c r="W698" s="5" t="str">
        <f>IF(AND(LEN(T698)=0, LEN(U698)=0), "", IF(AND(LEN(T698)&gt;0, LEN(U698)=0), "BLANCO", IFERROR(VLOOKUP(U698, BasedatosM9!A:B, 2, FALSE), "BLANCO")))</f>
        <v/>
      </c>
      <c r="AI698" s="5" t="str">
        <f>IF(AND(LEN(AF698)=0, LEN(AG698)=0), "", IF(AND(LEN(AF698)&gt;0, LEN(AG698)=0), "BLANCO", IFERROR(VLOOKUP(AG698, BasedatosM9!A:B, 2, FALSE), "BLANCO")))</f>
        <v/>
      </c>
      <c r="AU698" s="5" t="str">
        <f>IF(AND(LEN(AR698)=0, LEN(AS698)=0), "", IF(AND(LEN(AR698)&gt;0, LEN(AS698)=0), "BLANCO", IFERROR(VLOOKUP(AS698, BasedatosM9!A:B, 2, FALSE), "BLANCO")))</f>
        <v/>
      </c>
    </row>
    <row r="699" spans="1:47" ht="14.4">
      <c r="A699" s="21"/>
      <c r="B699" s="86"/>
      <c r="C699" s="98"/>
      <c r="D699" s="21"/>
      <c r="E699" s="86"/>
      <c r="F699" s="99"/>
      <c r="G699" s="99"/>
      <c r="H699" s="21"/>
      <c r="I699" s="86"/>
      <c r="J699" s="21"/>
      <c r="K699" s="5" t="str">
        <f>IF(AND(LEN(H699)=0, LEN(I699)=0), "", IF(AND(LEN(H699)&gt;0, LEN(I699)=0), "BLANCO", IFERROR(VLOOKUP(I699, BasedatosM9!A:B, 2, FALSE), "BLANCO")))</f>
        <v/>
      </c>
      <c r="W699" s="5" t="str">
        <f>IF(AND(LEN(T699)=0, LEN(U699)=0), "", IF(AND(LEN(T699)&gt;0, LEN(U699)=0), "BLANCO", IFERROR(VLOOKUP(U699, BasedatosM9!A:B, 2, FALSE), "BLANCO")))</f>
        <v/>
      </c>
      <c r="AI699" s="5" t="str">
        <f>IF(AND(LEN(AF699)=0, LEN(AG699)=0), "", IF(AND(LEN(AF699)&gt;0, LEN(AG699)=0), "BLANCO", IFERROR(VLOOKUP(AG699, BasedatosM9!A:B, 2, FALSE), "BLANCO")))</f>
        <v/>
      </c>
      <c r="AU699" s="5" t="str">
        <f>IF(AND(LEN(AR699)=0, LEN(AS699)=0), "", IF(AND(LEN(AR699)&gt;0, LEN(AS699)=0), "BLANCO", IFERROR(VLOOKUP(AS699, BasedatosM9!A:B, 2, FALSE), "BLANCO")))</f>
        <v/>
      </c>
    </row>
    <row r="700" spans="1:47" ht="14.4">
      <c r="A700" s="21"/>
      <c r="B700" s="86"/>
      <c r="C700" s="98"/>
      <c r="D700" s="21"/>
      <c r="E700" s="86"/>
      <c r="F700" s="99"/>
      <c r="G700" s="99"/>
      <c r="H700" s="21"/>
      <c r="I700" s="86"/>
      <c r="J700" s="21"/>
      <c r="K700" s="5" t="str">
        <f>IF(AND(LEN(H700)=0, LEN(I700)=0), "", IF(AND(LEN(H700)&gt;0, LEN(I700)=0), "BLANCO", IFERROR(VLOOKUP(I700, BasedatosM9!A:B, 2, FALSE), "BLANCO")))</f>
        <v/>
      </c>
      <c r="W700" s="5" t="str">
        <f>IF(AND(LEN(T700)=0, LEN(U700)=0), "", IF(AND(LEN(T700)&gt;0, LEN(U700)=0), "BLANCO", IFERROR(VLOOKUP(U700, BasedatosM9!A:B, 2, FALSE), "BLANCO")))</f>
        <v/>
      </c>
      <c r="AI700" s="5" t="str">
        <f>IF(AND(LEN(AF700)=0, LEN(AG700)=0), "", IF(AND(LEN(AF700)&gt;0, LEN(AG700)=0), "BLANCO", IFERROR(VLOOKUP(AG700, BasedatosM9!A:B, 2, FALSE), "BLANCO")))</f>
        <v/>
      </c>
      <c r="AU700" s="5" t="str">
        <f>IF(AND(LEN(AR700)=0, LEN(AS700)=0), "", IF(AND(LEN(AR700)&gt;0, LEN(AS700)=0), "BLANCO", IFERROR(VLOOKUP(AS700, BasedatosM9!A:B, 2, FALSE), "BLANCO")))</f>
        <v/>
      </c>
    </row>
    <row r="701" spans="1:47" ht="14.4">
      <c r="A701" s="21"/>
      <c r="B701" s="86"/>
      <c r="C701" s="98"/>
      <c r="D701" s="21"/>
      <c r="E701" s="86"/>
      <c r="F701" s="99"/>
      <c r="G701" s="99"/>
      <c r="H701" s="21"/>
      <c r="I701" s="21"/>
      <c r="J701" s="21"/>
      <c r="K701" s="5" t="str">
        <f>IF(AND(LEN(H701)=0, LEN(I701)=0), "", IF(AND(LEN(H701)&gt;0, LEN(I701)=0), "BLANCO", IFERROR(VLOOKUP(I701, BasedatosM9!A:B, 2, FALSE), "BLANCO")))</f>
        <v/>
      </c>
      <c r="W701" s="5" t="str">
        <f>IF(AND(LEN(T701)=0, LEN(U701)=0), "", IF(AND(LEN(T701)&gt;0, LEN(U701)=0), "BLANCO", IFERROR(VLOOKUP(U701, BasedatosM9!A:B, 2, FALSE), "BLANCO")))</f>
        <v/>
      </c>
      <c r="AI701" s="5" t="str">
        <f>IF(AND(LEN(AF701)=0, LEN(AG701)=0), "", IF(AND(LEN(AF701)&gt;0, LEN(AG701)=0), "BLANCO", IFERROR(VLOOKUP(AG701, BasedatosM9!A:B, 2, FALSE), "BLANCO")))</f>
        <v/>
      </c>
      <c r="AU701" s="5" t="str">
        <f>IF(AND(LEN(AR701)=0, LEN(AS701)=0), "", IF(AND(LEN(AR701)&gt;0, LEN(AS701)=0), "BLANCO", IFERROR(VLOOKUP(AS701, BasedatosM9!A:B, 2, FALSE), "BLANCO")))</f>
        <v/>
      </c>
    </row>
    <row r="702" spans="1:47" ht="14.4">
      <c r="A702" s="21"/>
      <c r="B702" s="86"/>
      <c r="C702" s="98"/>
      <c r="D702" s="21"/>
      <c r="E702" s="86"/>
      <c r="F702" s="99"/>
      <c r="G702" s="99"/>
      <c r="H702" s="21"/>
      <c r="I702" s="21"/>
      <c r="J702" s="21"/>
      <c r="K702" s="5" t="str">
        <f>IF(AND(LEN(H702)=0, LEN(I702)=0), "", IF(AND(LEN(H702)&gt;0, LEN(I702)=0), "BLANCO", IFERROR(VLOOKUP(I702, BasedatosM9!A:B, 2, FALSE), "BLANCO")))</f>
        <v/>
      </c>
      <c r="W702" s="5" t="str">
        <f>IF(AND(LEN(T702)=0, LEN(U702)=0), "", IF(AND(LEN(T702)&gt;0, LEN(U702)=0), "BLANCO", IFERROR(VLOOKUP(U702, BasedatosM9!A:B, 2, FALSE), "BLANCO")))</f>
        <v/>
      </c>
      <c r="AI702" s="5" t="str">
        <f>IF(AND(LEN(AF702)=0, LEN(AG702)=0), "", IF(AND(LEN(AF702)&gt;0, LEN(AG702)=0), "BLANCO", IFERROR(VLOOKUP(AG702, BasedatosM9!A:B, 2, FALSE), "BLANCO")))</f>
        <v/>
      </c>
      <c r="AU702" s="5" t="str">
        <f>IF(AND(LEN(AR702)=0, LEN(AS702)=0), "", IF(AND(LEN(AR702)&gt;0, LEN(AS702)=0), "BLANCO", IFERROR(VLOOKUP(AS702, BasedatosM9!A:B, 2, FALSE), "BLANCO")))</f>
        <v/>
      </c>
    </row>
    <row r="703" spans="1:47" ht="14.4">
      <c r="A703" s="21"/>
      <c r="B703" s="86"/>
      <c r="C703" s="98"/>
      <c r="D703" s="21"/>
      <c r="E703" s="86"/>
      <c r="F703" s="99"/>
      <c r="G703" s="99"/>
      <c r="H703" s="21"/>
      <c r="I703" s="21"/>
      <c r="J703" s="21"/>
      <c r="K703" s="5" t="str">
        <f>IF(AND(LEN(H703)=0, LEN(I703)=0), "", IF(AND(LEN(H703)&gt;0, LEN(I703)=0), "BLANCO", IFERROR(VLOOKUP(I703, BasedatosM9!A:B, 2, FALSE), "BLANCO")))</f>
        <v/>
      </c>
      <c r="W703" s="5" t="str">
        <f>IF(AND(LEN(T703)=0, LEN(U703)=0), "", IF(AND(LEN(T703)&gt;0, LEN(U703)=0), "BLANCO", IFERROR(VLOOKUP(U703, BasedatosM9!A:B, 2, FALSE), "BLANCO")))</f>
        <v/>
      </c>
      <c r="AI703" s="5" t="str">
        <f>IF(AND(LEN(AF703)=0, LEN(AG703)=0), "", IF(AND(LEN(AF703)&gt;0, LEN(AG703)=0), "BLANCO", IFERROR(VLOOKUP(AG703, BasedatosM9!A:B, 2, FALSE), "BLANCO")))</f>
        <v/>
      </c>
      <c r="AU703" s="5" t="str">
        <f>IF(AND(LEN(AR703)=0, LEN(AS703)=0), "", IF(AND(LEN(AR703)&gt;0, LEN(AS703)=0), "BLANCO", IFERROR(VLOOKUP(AS703, BasedatosM9!A:B, 2, FALSE), "BLANCO")))</f>
        <v/>
      </c>
    </row>
    <row r="704" spans="1:47" ht="14.4">
      <c r="A704" s="21"/>
      <c r="B704" s="86"/>
      <c r="C704" s="98"/>
      <c r="D704" s="21"/>
      <c r="E704" s="86"/>
      <c r="F704" s="99"/>
      <c r="G704" s="99"/>
      <c r="H704" s="21"/>
      <c r="I704" s="21"/>
      <c r="J704" s="21"/>
      <c r="K704" s="5" t="str">
        <f>IF(AND(LEN(H704)=0, LEN(I704)=0), "", IF(AND(LEN(H704)&gt;0, LEN(I704)=0), "BLANCO", IFERROR(VLOOKUP(I704, BasedatosM9!A:B, 2, FALSE), "BLANCO")))</f>
        <v/>
      </c>
      <c r="W704" s="5" t="str">
        <f>IF(AND(LEN(T704)=0, LEN(U704)=0), "", IF(AND(LEN(T704)&gt;0, LEN(U704)=0), "BLANCO", IFERROR(VLOOKUP(U704, BasedatosM9!A:B, 2, FALSE), "BLANCO")))</f>
        <v/>
      </c>
      <c r="AI704" s="5" t="str">
        <f>IF(AND(LEN(AF704)=0, LEN(AG704)=0), "", IF(AND(LEN(AF704)&gt;0, LEN(AG704)=0), "BLANCO", IFERROR(VLOOKUP(AG704, BasedatosM9!A:B, 2, FALSE), "BLANCO")))</f>
        <v/>
      </c>
      <c r="AU704" s="5" t="str">
        <f>IF(AND(LEN(AR704)=0, LEN(AS704)=0), "", IF(AND(LEN(AR704)&gt;0, LEN(AS704)=0), "BLANCO", IFERROR(VLOOKUP(AS704, BasedatosM9!A:B, 2, FALSE), "BLANCO")))</f>
        <v/>
      </c>
    </row>
    <row r="705" spans="1:47" ht="14.4">
      <c r="A705" s="21"/>
      <c r="B705" s="86"/>
      <c r="C705" s="98"/>
      <c r="D705" s="21"/>
      <c r="E705" s="86"/>
      <c r="F705" s="99"/>
      <c r="G705" s="99"/>
      <c r="H705" s="21"/>
      <c r="I705" s="86"/>
      <c r="J705" s="21"/>
      <c r="K705" s="5" t="str">
        <f>IF(AND(LEN(H705)=0, LEN(I705)=0), "", IF(AND(LEN(H705)&gt;0, LEN(I705)=0), "BLANCO", IFERROR(VLOOKUP(I705, BasedatosM9!A:B, 2, FALSE), "BLANCO")))</f>
        <v/>
      </c>
      <c r="W705" s="5" t="str">
        <f>IF(AND(LEN(T705)=0, LEN(U705)=0), "", IF(AND(LEN(T705)&gt;0, LEN(U705)=0), "BLANCO", IFERROR(VLOOKUP(U705, BasedatosM9!A:B, 2, FALSE), "BLANCO")))</f>
        <v/>
      </c>
      <c r="AI705" s="5" t="str">
        <f>IF(AND(LEN(AF705)=0, LEN(AG705)=0), "", IF(AND(LEN(AF705)&gt;0, LEN(AG705)=0), "BLANCO", IFERROR(VLOOKUP(AG705, BasedatosM9!A:B, 2, FALSE), "BLANCO")))</f>
        <v/>
      </c>
      <c r="AU705" s="5" t="str">
        <f>IF(AND(LEN(AR705)=0, LEN(AS705)=0), "", IF(AND(LEN(AR705)&gt;0, LEN(AS705)=0), "BLANCO", IFERROR(VLOOKUP(AS705, BasedatosM9!A:B, 2, FALSE), "BLANCO")))</f>
        <v/>
      </c>
    </row>
    <row r="706" spans="1:47" ht="14.4">
      <c r="A706" s="21"/>
      <c r="B706" s="86"/>
      <c r="C706" s="98"/>
      <c r="D706" s="21"/>
      <c r="E706" s="86"/>
      <c r="F706" s="99"/>
      <c r="G706" s="99"/>
      <c r="H706" s="21"/>
      <c r="I706" s="86"/>
      <c r="J706" s="21"/>
      <c r="K706" s="5" t="str">
        <f>IF(AND(LEN(H706)=0, LEN(I706)=0), "", IF(AND(LEN(H706)&gt;0, LEN(I706)=0), "BLANCO", IFERROR(VLOOKUP(I706, BasedatosM9!A:B, 2, FALSE), "BLANCO")))</f>
        <v/>
      </c>
      <c r="W706" s="5" t="str">
        <f>IF(AND(LEN(T706)=0, LEN(U706)=0), "", IF(AND(LEN(T706)&gt;0, LEN(U706)=0), "BLANCO", IFERROR(VLOOKUP(U706, BasedatosM9!A:B, 2, FALSE), "BLANCO")))</f>
        <v/>
      </c>
      <c r="AI706" s="5" t="str">
        <f>IF(AND(LEN(AF706)=0, LEN(AG706)=0), "", IF(AND(LEN(AF706)&gt;0, LEN(AG706)=0), "BLANCO", IFERROR(VLOOKUP(AG706, BasedatosM9!A:B, 2, FALSE), "BLANCO")))</f>
        <v/>
      </c>
      <c r="AU706" s="5" t="str">
        <f>IF(AND(LEN(AR706)=0, LEN(AS706)=0), "", IF(AND(LEN(AR706)&gt;0, LEN(AS706)=0), "BLANCO", IFERROR(VLOOKUP(AS706, BasedatosM9!A:B, 2, FALSE), "BLANCO")))</f>
        <v/>
      </c>
    </row>
    <row r="707" spans="1:47" ht="14.4">
      <c r="A707" s="21"/>
      <c r="B707" s="86"/>
      <c r="C707" s="98"/>
      <c r="D707" s="21"/>
      <c r="E707" s="86"/>
      <c r="F707" s="99"/>
      <c r="G707" s="99"/>
      <c r="H707" s="21"/>
      <c r="I707" s="21"/>
      <c r="J707" s="21"/>
      <c r="K707" s="5" t="str">
        <f>IF(AND(LEN(H707)=0, LEN(I707)=0), "", IF(AND(LEN(H707)&gt;0, LEN(I707)=0), "BLANCO", IFERROR(VLOOKUP(I707, BasedatosM9!A:B, 2, FALSE), "BLANCO")))</f>
        <v/>
      </c>
      <c r="W707" s="5" t="str">
        <f>IF(AND(LEN(T707)=0, LEN(U707)=0), "", IF(AND(LEN(T707)&gt;0, LEN(U707)=0), "BLANCO", IFERROR(VLOOKUP(U707, BasedatosM9!A:B, 2, FALSE), "BLANCO")))</f>
        <v/>
      </c>
      <c r="AI707" s="5" t="str">
        <f>IF(AND(LEN(AF707)=0, LEN(AG707)=0), "", IF(AND(LEN(AF707)&gt;0, LEN(AG707)=0), "BLANCO", IFERROR(VLOOKUP(AG707, BasedatosM9!A:B, 2, FALSE), "BLANCO")))</f>
        <v/>
      </c>
      <c r="AU707" s="5" t="str">
        <f>IF(AND(LEN(AR707)=0, LEN(AS707)=0), "", IF(AND(LEN(AR707)&gt;0, LEN(AS707)=0), "BLANCO", IFERROR(VLOOKUP(AS707, BasedatosM9!A:B, 2, FALSE), "BLANCO")))</f>
        <v/>
      </c>
    </row>
    <row r="708" spans="1:47" ht="14.4">
      <c r="A708" s="21"/>
      <c r="B708" s="86"/>
      <c r="C708" s="98"/>
      <c r="D708" s="21"/>
      <c r="E708" s="86"/>
      <c r="F708" s="99"/>
      <c r="G708" s="99"/>
      <c r="H708" s="21"/>
      <c r="I708" s="86"/>
      <c r="J708" s="21"/>
      <c r="K708" s="5" t="str">
        <f>IF(AND(LEN(H708)=0, LEN(I708)=0), "", IF(AND(LEN(H708)&gt;0, LEN(I708)=0), "BLANCO", IFERROR(VLOOKUP(I708, BasedatosM9!A:B, 2, FALSE), "BLANCO")))</f>
        <v/>
      </c>
      <c r="W708" s="5" t="str">
        <f>IF(AND(LEN(T708)=0, LEN(U708)=0), "", IF(AND(LEN(T708)&gt;0, LEN(U708)=0), "BLANCO", IFERROR(VLOOKUP(U708, BasedatosM9!A:B, 2, FALSE), "BLANCO")))</f>
        <v/>
      </c>
      <c r="AI708" s="5" t="str">
        <f>IF(AND(LEN(AF708)=0, LEN(AG708)=0), "", IF(AND(LEN(AF708)&gt;0, LEN(AG708)=0), "BLANCO", IFERROR(VLOOKUP(AG708, BasedatosM9!A:B, 2, FALSE), "BLANCO")))</f>
        <v/>
      </c>
      <c r="AU708" s="5" t="str">
        <f>IF(AND(LEN(AR708)=0, LEN(AS708)=0), "", IF(AND(LEN(AR708)&gt;0, LEN(AS708)=0), "BLANCO", IFERROR(VLOOKUP(AS708, BasedatosM9!A:B, 2, FALSE), "BLANCO")))</f>
        <v/>
      </c>
    </row>
    <row r="709" spans="1:47" ht="14.4">
      <c r="A709" s="21"/>
      <c r="B709" s="86"/>
      <c r="C709" s="98"/>
      <c r="D709" s="21"/>
      <c r="E709" s="86"/>
      <c r="F709" s="99"/>
      <c r="G709" s="99"/>
      <c r="H709" s="21"/>
      <c r="I709" s="86"/>
      <c r="J709" s="21"/>
      <c r="K709" s="5" t="str">
        <f>IF(AND(LEN(H709)=0, LEN(I709)=0), "", IF(AND(LEN(H709)&gt;0, LEN(I709)=0), "BLANCO", IFERROR(VLOOKUP(I709, BasedatosM9!A:B, 2, FALSE), "BLANCO")))</f>
        <v/>
      </c>
      <c r="W709" s="5" t="str">
        <f>IF(AND(LEN(T709)=0, LEN(U709)=0), "", IF(AND(LEN(T709)&gt;0, LEN(U709)=0), "BLANCO", IFERROR(VLOOKUP(U709, BasedatosM9!A:B, 2, FALSE), "BLANCO")))</f>
        <v/>
      </c>
      <c r="AI709" s="5" t="str">
        <f>IF(AND(LEN(AF709)=0, LEN(AG709)=0), "", IF(AND(LEN(AF709)&gt;0, LEN(AG709)=0), "BLANCO", IFERROR(VLOOKUP(AG709, BasedatosM9!A:B, 2, FALSE), "BLANCO")))</f>
        <v/>
      </c>
      <c r="AU709" s="5" t="str">
        <f>IF(AND(LEN(AR709)=0, LEN(AS709)=0), "", IF(AND(LEN(AR709)&gt;0, LEN(AS709)=0), "BLANCO", IFERROR(VLOOKUP(AS709, BasedatosM9!A:B, 2, FALSE), "BLANCO")))</f>
        <v/>
      </c>
    </row>
    <row r="710" spans="1:47" ht="14.4">
      <c r="A710" s="21"/>
      <c r="B710" s="86"/>
      <c r="C710" s="98"/>
      <c r="D710" s="21"/>
      <c r="E710" s="86"/>
      <c r="F710" s="99"/>
      <c r="G710" s="99"/>
      <c r="H710" s="21"/>
      <c r="I710" s="21"/>
      <c r="J710" s="21"/>
      <c r="K710" s="5" t="str">
        <f>IF(AND(LEN(H710)=0, LEN(I710)=0), "", IF(AND(LEN(H710)&gt;0, LEN(I710)=0), "BLANCO", IFERROR(VLOOKUP(I710, BasedatosM9!A:B, 2, FALSE), "BLANCO")))</f>
        <v/>
      </c>
      <c r="W710" s="5" t="str">
        <f>IF(AND(LEN(T710)=0, LEN(U710)=0), "", IF(AND(LEN(T710)&gt;0, LEN(U710)=0), "BLANCO", IFERROR(VLOOKUP(U710, BasedatosM9!A:B, 2, FALSE), "BLANCO")))</f>
        <v/>
      </c>
      <c r="AI710" s="5" t="str">
        <f>IF(AND(LEN(AF710)=0, LEN(AG710)=0), "", IF(AND(LEN(AF710)&gt;0, LEN(AG710)=0), "BLANCO", IFERROR(VLOOKUP(AG710, BasedatosM9!A:B, 2, FALSE), "BLANCO")))</f>
        <v/>
      </c>
      <c r="AU710" s="5" t="str">
        <f>IF(AND(LEN(AR710)=0, LEN(AS710)=0), "", IF(AND(LEN(AR710)&gt;0, LEN(AS710)=0), "BLANCO", IFERROR(VLOOKUP(AS710, BasedatosM9!A:B, 2, FALSE), "BLANCO")))</f>
        <v/>
      </c>
    </row>
    <row r="711" spans="1:47" ht="14.4">
      <c r="A711" s="21"/>
      <c r="B711" s="86"/>
      <c r="C711" s="98"/>
      <c r="D711" s="21"/>
      <c r="E711" s="86"/>
      <c r="F711" s="99"/>
      <c r="G711" s="99"/>
      <c r="H711" s="21"/>
      <c r="I711" s="21"/>
      <c r="J711" s="21"/>
      <c r="K711" s="5" t="str">
        <f>IF(AND(LEN(H711)=0, LEN(I711)=0), "", IF(AND(LEN(H711)&gt;0, LEN(I711)=0), "BLANCO", IFERROR(VLOOKUP(I711, BasedatosM9!A:B, 2, FALSE), "BLANCO")))</f>
        <v/>
      </c>
      <c r="W711" s="5" t="str">
        <f>IF(AND(LEN(T711)=0, LEN(U711)=0), "", IF(AND(LEN(T711)&gt;0, LEN(U711)=0), "BLANCO", IFERROR(VLOOKUP(U711, BasedatosM9!A:B, 2, FALSE), "BLANCO")))</f>
        <v/>
      </c>
      <c r="AI711" s="5" t="str">
        <f>IF(AND(LEN(AF711)=0, LEN(AG711)=0), "", IF(AND(LEN(AF711)&gt;0, LEN(AG711)=0), "BLANCO", IFERROR(VLOOKUP(AG711, BasedatosM9!A:B, 2, FALSE), "BLANCO")))</f>
        <v/>
      </c>
      <c r="AU711" s="5" t="str">
        <f>IF(AND(LEN(AR711)=0, LEN(AS711)=0), "", IF(AND(LEN(AR711)&gt;0, LEN(AS711)=0), "BLANCO", IFERROR(VLOOKUP(AS711, BasedatosM9!A:B, 2, FALSE), "BLANCO")))</f>
        <v/>
      </c>
    </row>
    <row r="712" spans="1:47" ht="14.4">
      <c r="A712" s="21"/>
      <c r="B712" s="86"/>
      <c r="C712" s="98"/>
      <c r="D712" s="21"/>
      <c r="E712" s="86"/>
      <c r="F712" s="99"/>
      <c r="G712" s="99"/>
      <c r="H712" s="21"/>
      <c r="I712" s="86"/>
      <c r="J712" s="21"/>
      <c r="K712" s="5" t="str">
        <f>IF(AND(LEN(H712)=0, LEN(I712)=0), "", IF(AND(LEN(H712)&gt;0, LEN(I712)=0), "BLANCO", IFERROR(VLOOKUP(I712, BasedatosM9!A:B, 2, FALSE), "BLANCO")))</f>
        <v/>
      </c>
      <c r="W712" s="5" t="str">
        <f>IF(AND(LEN(T712)=0, LEN(U712)=0), "", IF(AND(LEN(T712)&gt;0, LEN(U712)=0), "BLANCO", IFERROR(VLOOKUP(U712, BasedatosM9!A:B, 2, FALSE), "BLANCO")))</f>
        <v/>
      </c>
      <c r="AI712" s="5" t="str">
        <f>IF(AND(LEN(AF712)=0, LEN(AG712)=0), "", IF(AND(LEN(AF712)&gt;0, LEN(AG712)=0), "BLANCO", IFERROR(VLOOKUP(AG712, BasedatosM9!A:B, 2, FALSE), "BLANCO")))</f>
        <v/>
      </c>
      <c r="AU712" s="5" t="str">
        <f>IF(AND(LEN(AR712)=0, LEN(AS712)=0), "", IF(AND(LEN(AR712)&gt;0, LEN(AS712)=0), "BLANCO", IFERROR(VLOOKUP(AS712, BasedatosM9!A:B, 2, FALSE), "BLANCO")))</f>
        <v/>
      </c>
    </row>
    <row r="713" spans="1:47" ht="14.4">
      <c r="A713" s="21"/>
      <c r="B713" s="86"/>
      <c r="C713" s="98"/>
      <c r="D713" s="21"/>
      <c r="E713" s="86"/>
      <c r="F713" s="99"/>
      <c r="G713" s="99"/>
      <c r="H713" s="21"/>
      <c r="I713" s="86"/>
      <c r="J713" s="21"/>
      <c r="K713" s="5" t="str">
        <f>IF(AND(LEN(H713)=0, LEN(I713)=0), "", IF(AND(LEN(H713)&gt;0, LEN(I713)=0), "BLANCO", IFERROR(VLOOKUP(I713, BasedatosM9!A:B, 2, FALSE), "BLANCO")))</f>
        <v/>
      </c>
      <c r="W713" s="5" t="str">
        <f>IF(AND(LEN(T713)=0, LEN(U713)=0), "", IF(AND(LEN(T713)&gt;0, LEN(U713)=0), "BLANCO", IFERROR(VLOOKUP(U713, BasedatosM9!A:B, 2, FALSE), "BLANCO")))</f>
        <v/>
      </c>
      <c r="AI713" s="5" t="str">
        <f>IF(AND(LEN(AF713)=0, LEN(AG713)=0), "", IF(AND(LEN(AF713)&gt;0, LEN(AG713)=0), "BLANCO", IFERROR(VLOOKUP(AG713, BasedatosM9!A:B, 2, FALSE), "BLANCO")))</f>
        <v/>
      </c>
      <c r="AU713" s="5" t="str">
        <f>IF(AND(LEN(AR713)=0, LEN(AS713)=0), "", IF(AND(LEN(AR713)&gt;0, LEN(AS713)=0), "BLANCO", IFERROR(VLOOKUP(AS713, BasedatosM9!A:B, 2, FALSE), "BLANCO")))</f>
        <v/>
      </c>
    </row>
    <row r="714" spans="1:47" ht="14.4">
      <c r="A714" s="21"/>
      <c r="B714" s="86"/>
      <c r="C714" s="98"/>
      <c r="D714" s="21"/>
      <c r="E714" s="86"/>
      <c r="F714" s="99"/>
      <c r="G714" s="99"/>
      <c r="H714" s="21"/>
      <c r="I714" s="86"/>
      <c r="J714" s="21"/>
      <c r="K714" s="5" t="str">
        <f>IF(AND(LEN(H714)=0, LEN(I714)=0), "", IF(AND(LEN(H714)&gt;0, LEN(I714)=0), "BLANCO", IFERROR(VLOOKUP(I714, BasedatosM9!A:B, 2, FALSE), "BLANCO")))</f>
        <v/>
      </c>
      <c r="W714" s="5" t="str">
        <f>IF(AND(LEN(T714)=0, LEN(U714)=0), "", IF(AND(LEN(T714)&gt;0, LEN(U714)=0), "BLANCO", IFERROR(VLOOKUP(U714, BasedatosM9!A:B, 2, FALSE), "BLANCO")))</f>
        <v/>
      </c>
      <c r="AI714" s="5" t="str">
        <f>IF(AND(LEN(AF714)=0, LEN(AG714)=0), "", IF(AND(LEN(AF714)&gt;0, LEN(AG714)=0), "BLANCO", IFERROR(VLOOKUP(AG714, BasedatosM9!A:B, 2, FALSE), "BLANCO")))</f>
        <v/>
      </c>
      <c r="AU714" s="5" t="str">
        <f>IF(AND(LEN(AR714)=0, LEN(AS714)=0), "", IF(AND(LEN(AR714)&gt;0, LEN(AS714)=0), "BLANCO", IFERROR(VLOOKUP(AS714, BasedatosM9!A:B, 2, FALSE), "BLANCO")))</f>
        <v/>
      </c>
    </row>
    <row r="715" spans="1:47" ht="14.4">
      <c r="A715" s="21"/>
      <c r="B715" s="86"/>
      <c r="C715" s="98"/>
      <c r="D715" s="21"/>
      <c r="E715" s="86"/>
      <c r="F715" s="99"/>
      <c r="G715" s="99"/>
      <c r="H715" s="21"/>
      <c r="I715" s="21"/>
      <c r="J715" s="21"/>
      <c r="K715" s="5" t="str">
        <f>IF(AND(LEN(H715)=0, LEN(I715)=0), "", IF(AND(LEN(H715)&gt;0, LEN(I715)=0), "BLANCO", IFERROR(VLOOKUP(I715, BasedatosM9!A:B, 2, FALSE), "BLANCO")))</f>
        <v/>
      </c>
      <c r="W715" s="5" t="str">
        <f>IF(AND(LEN(T715)=0, LEN(U715)=0), "", IF(AND(LEN(T715)&gt;0, LEN(U715)=0), "BLANCO", IFERROR(VLOOKUP(U715, BasedatosM9!A:B, 2, FALSE), "BLANCO")))</f>
        <v/>
      </c>
      <c r="AI715" s="5" t="str">
        <f>IF(AND(LEN(AF715)=0, LEN(AG715)=0), "", IF(AND(LEN(AF715)&gt;0, LEN(AG715)=0), "BLANCO", IFERROR(VLOOKUP(AG715, BasedatosM9!A:B, 2, FALSE), "BLANCO")))</f>
        <v/>
      </c>
      <c r="AU715" s="5" t="str">
        <f>IF(AND(LEN(AR715)=0, LEN(AS715)=0), "", IF(AND(LEN(AR715)&gt;0, LEN(AS715)=0), "BLANCO", IFERROR(VLOOKUP(AS715, BasedatosM9!A:B, 2, FALSE), "BLANCO")))</f>
        <v/>
      </c>
    </row>
    <row r="716" spans="1:47" ht="14.4">
      <c r="A716" s="21"/>
      <c r="B716" s="86"/>
      <c r="C716" s="98"/>
      <c r="D716" s="21"/>
      <c r="E716" s="86"/>
      <c r="F716" s="99"/>
      <c r="G716" s="99"/>
      <c r="H716" s="21"/>
      <c r="I716" s="86"/>
      <c r="J716" s="21"/>
      <c r="K716" s="5" t="str">
        <f>IF(AND(LEN(H716)=0, LEN(I716)=0), "", IF(AND(LEN(H716)&gt;0, LEN(I716)=0), "BLANCO", IFERROR(VLOOKUP(I716, BasedatosM9!A:B, 2, FALSE), "BLANCO")))</f>
        <v/>
      </c>
      <c r="W716" s="5" t="str">
        <f>IF(AND(LEN(T716)=0, LEN(U716)=0), "", IF(AND(LEN(T716)&gt;0, LEN(U716)=0), "BLANCO", IFERROR(VLOOKUP(U716, BasedatosM9!A:B, 2, FALSE), "BLANCO")))</f>
        <v/>
      </c>
      <c r="AI716" s="5" t="str">
        <f>IF(AND(LEN(AF716)=0, LEN(AG716)=0), "", IF(AND(LEN(AF716)&gt;0, LEN(AG716)=0), "BLANCO", IFERROR(VLOOKUP(AG716, BasedatosM9!A:B, 2, FALSE), "BLANCO")))</f>
        <v/>
      </c>
      <c r="AU716" s="5" t="str">
        <f>IF(AND(LEN(AR716)=0, LEN(AS716)=0), "", IF(AND(LEN(AR716)&gt;0, LEN(AS716)=0), "BLANCO", IFERROR(VLOOKUP(AS716, BasedatosM9!A:B, 2, FALSE), "BLANCO")))</f>
        <v/>
      </c>
    </row>
    <row r="717" spans="1:47" ht="14.4">
      <c r="A717" s="21"/>
      <c r="B717" s="86"/>
      <c r="C717" s="98"/>
      <c r="D717" s="21"/>
      <c r="E717" s="86"/>
      <c r="F717" s="99"/>
      <c r="G717" s="99"/>
      <c r="H717" s="21"/>
      <c r="I717" s="21"/>
      <c r="J717" s="21"/>
      <c r="K717" s="5" t="str">
        <f>IF(AND(LEN(H717)=0, LEN(I717)=0), "", IF(AND(LEN(H717)&gt;0, LEN(I717)=0), "BLANCO", IFERROR(VLOOKUP(I717, BasedatosM9!A:B, 2, FALSE), "BLANCO")))</f>
        <v/>
      </c>
      <c r="W717" s="5" t="str">
        <f>IF(AND(LEN(T717)=0, LEN(U717)=0), "", IF(AND(LEN(T717)&gt;0, LEN(U717)=0), "BLANCO", IFERROR(VLOOKUP(U717, BasedatosM9!A:B, 2, FALSE), "BLANCO")))</f>
        <v/>
      </c>
      <c r="AI717" s="5" t="str">
        <f>IF(AND(LEN(AF717)=0, LEN(AG717)=0), "", IF(AND(LEN(AF717)&gt;0, LEN(AG717)=0), "BLANCO", IFERROR(VLOOKUP(AG717, BasedatosM9!A:B, 2, FALSE), "BLANCO")))</f>
        <v/>
      </c>
      <c r="AU717" s="5" t="str">
        <f>IF(AND(LEN(AR717)=0, LEN(AS717)=0), "", IF(AND(LEN(AR717)&gt;0, LEN(AS717)=0), "BLANCO", IFERROR(VLOOKUP(AS717, BasedatosM9!A:B, 2, FALSE), "BLANCO")))</f>
        <v/>
      </c>
    </row>
    <row r="718" spans="1:47" ht="14.4">
      <c r="A718" s="21"/>
      <c r="B718" s="86"/>
      <c r="C718" s="98"/>
      <c r="D718" s="21"/>
      <c r="E718" s="86"/>
      <c r="F718" s="99"/>
      <c r="G718" s="99"/>
      <c r="H718" s="21"/>
      <c r="I718" s="86"/>
      <c r="J718" s="21"/>
      <c r="K718" s="5" t="str">
        <f>IF(AND(LEN(H718)=0, LEN(I718)=0), "", IF(AND(LEN(H718)&gt;0, LEN(I718)=0), "BLANCO", IFERROR(VLOOKUP(I718, BasedatosM9!A:B, 2, FALSE), "BLANCO")))</f>
        <v/>
      </c>
      <c r="W718" s="5" t="str">
        <f>IF(AND(LEN(T718)=0, LEN(U718)=0), "", IF(AND(LEN(T718)&gt;0, LEN(U718)=0), "BLANCO", IFERROR(VLOOKUP(U718, BasedatosM9!A:B, 2, FALSE), "BLANCO")))</f>
        <v/>
      </c>
      <c r="AI718" s="5" t="str">
        <f>IF(AND(LEN(AF718)=0, LEN(AG718)=0), "", IF(AND(LEN(AF718)&gt;0, LEN(AG718)=0), "BLANCO", IFERROR(VLOOKUP(AG718, BasedatosM9!A:B, 2, FALSE), "BLANCO")))</f>
        <v/>
      </c>
      <c r="AU718" s="5" t="str">
        <f>IF(AND(LEN(AR718)=0, LEN(AS718)=0), "", IF(AND(LEN(AR718)&gt;0, LEN(AS718)=0), "BLANCO", IFERROR(VLOOKUP(AS718, BasedatosM9!A:B, 2, FALSE), "BLANCO")))</f>
        <v/>
      </c>
    </row>
    <row r="719" spans="1:47" ht="14.4">
      <c r="A719" s="21"/>
      <c r="B719" s="86"/>
      <c r="C719" s="98"/>
      <c r="D719" s="21"/>
      <c r="E719" s="86"/>
      <c r="F719" s="99"/>
      <c r="G719" s="99"/>
      <c r="H719" s="21"/>
      <c r="I719" s="86"/>
      <c r="J719" s="21"/>
      <c r="K719" s="5" t="str">
        <f>IF(AND(LEN(H719)=0, LEN(I719)=0), "", IF(AND(LEN(H719)&gt;0, LEN(I719)=0), "BLANCO", IFERROR(VLOOKUP(I719, BasedatosM9!A:B, 2, FALSE), "BLANCO")))</f>
        <v/>
      </c>
      <c r="W719" s="5" t="str">
        <f>IF(AND(LEN(T719)=0, LEN(U719)=0), "", IF(AND(LEN(T719)&gt;0, LEN(U719)=0), "BLANCO", IFERROR(VLOOKUP(U719, BasedatosM9!A:B, 2, FALSE), "BLANCO")))</f>
        <v/>
      </c>
      <c r="AI719" s="5" t="str">
        <f>IF(AND(LEN(AF719)=0, LEN(AG719)=0), "", IF(AND(LEN(AF719)&gt;0, LEN(AG719)=0), "BLANCO", IFERROR(VLOOKUP(AG719, BasedatosM9!A:B, 2, FALSE), "BLANCO")))</f>
        <v/>
      </c>
      <c r="AU719" s="5" t="str">
        <f>IF(AND(LEN(AR719)=0, LEN(AS719)=0), "", IF(AND(LEN(AR719)&gt;0, LEN(AS719)=0), "BLANCO", IFERROR(VLOOKUP(AS719, BasedatosM9!A:B, 2, FALSE), "BLANCO")))</f>
        <v/>
      </c>
    </row>
    <row r="720" spans="1:47" ht="14.4">
      <c r="A720" s="21"/>
      <c r="B720" s="86"/>
      <c r="C720" s="98"/>
      <c r="D720" s="21"/>
      <c r="E720" s="86"/>
      <c r="F720" s="99"/>
      <c r="G720" s="99"/>
      <c r="H720" s="21"/>
      <c r="I720" s="86"/>
      <c r="J720" s="21"/>
      <c r="K720" s="5" t="str">
        <f>IF(AND(LEN(H720)=0, LEN(I720)=0), "", IF(AND(LEN(H720)&gt;0, LEN(I720)=0), "BLANCO", IFERROR(VLOOKUP(I720, BasedatosM9!A:B, 2, FALSE), "BLANCO")))</f>
        <v/>
      </c>
      <c r="W720" s="5" t="str">
        <f>IF(AND(LEN(T720)=0, LEN(U720)=0), "", IF(AND(LEN(T720)&gt;0, LEN(U720)=0), "BLANCO", IFERROR(VLOOKUP(U720, BasedatosM9!A:B, 2, FALSE), "BLANCO")))</f>
        <v/>
      </c>
      <c r="AI720" s="5" t="str">
        <f>IF(AND(LEN(AF720)=0, LEN(AG720)=0), "", IF(AND(LEN(AF720)&gt;0, LEN(AG720)=0), "BLANCO", IFERROR(VLOOKUP(AG720, BasedatosM9!A:B, 2, FALSE), "BLANCO")))</f>
        <v/>
      </c>
      <c r="AU720" s="5" t="str">
        <f>IF(AND(LEN(AR720)=0, LEN(AS720)=0), "", IF(AND(LEN(AR720)&gt;0, LEN(AS720)=0), "BLANCO", IFERROR(VLOOKUP(AS720, BasedatosM9!A:B, 2, FALSE), "BLANCO")))</f>
        <v/>
      </c>
    </row>
    <row r="721" spans="1:47" ht="14.4">
      <c r="A721" s="21"/>
      <c r="B721" s="86"/>
      <c r="C721" s="98"/>
      <c r="D721" s="21"/>
      <c r="E721" s="86"/>
      <c r="F721" s="99"/>
      <c r="G721" s="99"/>
      <c r="H721" s="21"/>
      <c r="I721" s="21"/>
      <c r="J721" s="21"/>
      <c r="K721" s="5" t="str">
        <f>IF(AND(LEN(H721)=0, LEN(I721)=0), "", IF(AND(LEN(H721)&gt;0, LEN(I721)=0), "BLANCO", IFERROR(VLOOKUP(I721, BasedatosM9!A:B, 2, FALSE), "BLANCO")))</f>
        <v/>
      </c>
      <c r="W721" s="5" t="str">
        <f>IF(AND(LEN(T721)=0, LEN(U721)=0), "", IF(AND(LEN(T721)&gt;0, LEN(U721)=0), "BLANCO", IFERROR(VLOOKUP(U721, BasedatosM9!A:B, 2, FALSE), "BLANCO")))</f>
        <v/>
      </c>
      <c r="AI721" s="5" t="str">
        <f>IF(AND(LEN(AF721)=0, LEN(AG721)=0), "", IF(AND(LEN(AF721)&gt;0, LEN(AG721)=0), "BLANCO", IFERROR(VLOOKUP(AG721, BasedatosM9!A:B, 2, FALSE), "BLANCO")))</f>
        <v/>
      </c>
      <c r="AU721" s="5" t="str">
        <f>IF(AND(LEN(AR721)=0, LEN(AS721)=0), "", IF(AND(LEN(AR721)&gt;0, LEN(AS721)=0), "BLANCO", IFERROR(VLOOKUP(AS721, BasedatosM9!A:B, 2, FALSE), "BLANCO")))</f>
        <v/>
      </c>
    </row>
    <row r="722" spans="1:47" ht="14.4">
      <c r="A722" s="21"/>
      <c r="B722" s="86"/>
      <c r="C722" s="98"/>
      <c r="D722" s="21"/>
      <c r="E722" s="86"/>
      <c r="F722" s="99"/>
      <c r="G722" s="99"/>
      <c r="H722" s="21"/>
      <c r="I722" s="86"/>
      <c r="J722" s="21"/>
      <c r="K722" s="5" t="str">
        <f>IF(AND(LEN(H722)=0, LEN(I722)=0), "", IF(AND(LEN(H722)&gt;0, LEN(I722)=0), "BLANCO", IFERROR(VLOOKUP(I722, BasedatosM9!A:B, 2, FALSE), "BLANCO")))</f>
        <v/>
      </c>
      <c r="W722" s="5" t="str">
        <f>IF(AND(LEN(T722)=0, LEN(U722)=0), "", IF(AND(LEN(T722)&gt;0, LEN(U722)=0), "BLANCO", IFERROR(VLOOKUP(U722, BasedatosM9!A:B, 2, FALSE), "BLANCO")))</f>
        <v/>
      </c>
      <c r="AI722" s="5" t="str">
        <f>IF(AND(LEN(AF722)=0, LEN(AG722)=0), "", IF(AND(LEN(AF722)&gt;0, LEN(AG722)=0), "BLANCO", IFERROR(VLOOKUP(AG722, BasedatosM9!A:B, 2, FALSE), "BLANCO")))</f>
        <v/>
      </c>
      <c r="AU722" s="5" t="str">
        <f>IF(AND(LEN(AR722)=0, LEN(AS722)=0), "", IF(AND(LEN(AR722)&gt;0, LEN(AS722)=0), "BLANCO", IFERROR(VLOOKUP(AS722, BasedatosM9!A:B, 2, FALSE), "BLANCO")))</f>
        <v/>
      </c>
    </row>
    <row r="723" spans="1:47" ht="14.4">
      <c r="A723" s="21"/>
      <c r="B723" s="86"/>
      <c r="C723" s="98"/>
      <c r="D723" s="21"/>
      <c r="E723" s="86"/>
      <c r="F723" s="99"/>
      <c r="G723" s="99"/>
      <c r="H723" s="21"/>
      <c r="I723" s="86"/>
      <c r="J723" s="21"/>
      <c r="K723" s="5" t="str">
        <f>IF(AND(LEN(H723)=0, LEN(I723)=0), "", IF(AND(LEN(H723)&gt;0, LEN(I723)=0), "BLANCO", IFERROR(VLOOKUP(I723, BasedatosM9!A:B, 2, FALSE), "BLANCO")))</f>
        <v/>
      </c>
      <c r="W723" s="5" t="str">
        <f>IF(AND(LEN(T723)=0, LEN(U723)=0), "", IF(AND(LEN(T723)&gt;0, LEN(U723)=0), "BLANCO", IFERROR(VLOOKUP(U723, BasedatosM9!A:B, 2, FALSE), "BLANCO")))</f>
        <v/>
      </c>
      <c r="AI723" s="5" t="str">
        <f>IF(AND(LEN(AF723)=0, LEN(AG723)=0), "", IF(AND(LEN(AF723)&gt;0, LEN(AG723)=0), "BLANCO", IFERROR(VLOOKUP(AG723, BasedatosM9!A:B, 2, FALSE), "BLANCO")))</f>
        <v/>
      </c>
      <c r="AU723" s="5" t="str">
        <f>IF(AND(LEN(AR723)=0, LEN(AS723)=0), "", IF(AND(LEN(AR723)&gt;0, LEN(AS723)=0), "BLANCO", IFERROR(VLOOKUP(AS723, BasedatosM9!A:B, 2, FALSE), "BLANCO")))</f>
        <v/>
      </c>
    </row>
    <row r="724" spans="1:47" ht="14.4">
      <c r="A724" s="21"/>
      <c r="B724" s="86"/>
      <c r="C724" s="98"/>
      <c r="D724" s="21"/>
      <c r="E724" s="86"/>
      <c r="F724" s="99"/>
      <c r="G724" s="99"/>
      <c r="H724" s="21"/>
      <c r="I724" s="86"/>
      <c r="J724" s="21"/>
      <c r="K724" s="5" t="str">
        <f>IF(AND(LEN(H724)=0, LEN(I724)=0), "", IF(AND(LEN(H724)&gt;0, LEN(I724)=0), "BLANCO", IFERROR(VLOOKUP(I724, BasedatosM9!A:B, 2, FALSE), "BLANCO")))</f>
        <v/>
      </c>
      <c r="W724" s="5" t="str">
        <f>IF(AND(LEN(T724)=0, LEN(U724)=0), "", IF(AND(LEN(T724)&gt;0, LEN(U724)=0), "BLANCO", IFERROR(VLOOKUP(U724, BasedatosM9!A:B, 2, FALSE), "BLANCO")))</f>
        <v/>
      </c>
      <c r="AI724" s="5" t="str">
        <f>IF(AND(LEN(AF724)=0, LEN(AG724)=0), "", IF(AND(LEN(AF724)&gt;0, LEN(AG724)=0), "BLANCO", IFERROR(VLOOKUP(AG724, BasedatosM9!A:B, 2, FALSE), "BLANCO")))</f>
        <v/>
      </c>
      <c r="AU724" s="5" t="str">
        <f>IF(AND(LEN(AR724)=0, LEN(AS724)=0), "", IF(AND(LEN(AR724)&gt;0, LEN(AS724)=0), "BLANCO", IFERROR(VLOOKUP(AS724, BasedatosM9!A:B, 2, FALSE), "BLANCO")))</f>
        <v/>
      </c>
    </row>
    <row r="725" spans="1:47" ht="14.4">
      <c r="A725" s="21"/>
      <c r="B725" s="86"/>
      <c r="C725" s="98"/>
      <c r="D725" s="21"/>
      <c r="E725" s="86"/>
      <c r="F725" s="99"/>
      <c r="G725" s="99"/>
      <c r="H725" s="21"/>
      <c r="I725" s="21"/>
      <c r="J725" s="21"/>
      <c r="K725" s="5" t="str">
        <f>IF(AND(LEN(H725)=0, LEN(I725)=0), "", IF(AND(LEN(H725)&gt;0, LEN(I725)=0), "BLANCO", IFERROR(VLOOKUP(I725, BasedatosM9!A:B, 2, FALSE), "BLANCO")))</f>
        <v/>
      </c>
      <c r="W725" s="5" t="str">
        <f>IF(AND(LEN(T725)=0, LEN(U725)=0), "", IF(AND(LEN(T725)&gt;0, LEN(U725)=0), "BLANCO", IFERROR(VLOOKUP(U725, BasedatosM9!A:B, 2, FALSE), "BLANCO")))</f>
        <v/>
      </c>
      <c r="AI725" s="5" t="str">
        <f>IF(AND(LEN(AF725)=0, LEN(AG725)=0), "", IF(AND(LEN(AF725)&gt;0, LEN(AG725)=0), "BLANCO", IFERROR(VLOOKUP(AG725, BasedatosM9!A:B, 2, FALSE), "BLANCO")))</f>
        <v/>
      </c>
      <c r="AU725" s="5" t="str">
        <f>IF(AND(LEN(AR725)=0, LEN(AS725)=0), "", IF(AND(LEN(AR725)&gt;0, LEN(AS725)=0), "BLANCO", IFERROR(VLOOKUP(AS725, BasedatosM9!A:B, 2, FALSE), "BLANCO")))</f>
        <v/>
      </c>
    </row>
    <row r="726" spans="1:47" ht="14.4">
      <c r="A726" s="21"/>
      <c r="B726" s="86"/>
      <c r="C726" s="98"/>
      <c r="D726" s="21"/>
      <c r="E726" s="86"/>
      <c r="F726" s="99"/>
      <c r="G726" s="99"/>
      <c r="H726" s="21"/>
      <c r="I726" s="86"/>
      <c r="J726" s="21"/>
      <c r="K726" s="5" t="str">
        <f>IF(AND(LEN(H726)=0, LEN(I726)=0), "", IF(AND(LEN(H726)&gt;0, LEN(I726)=0), "BLANCO", IFERROR(VLOOKUP(I726, BasedatosM9!A:B, 2, FALSE), "BLANCO")))</f>
        <v/>
      </c>
      <c r="W726" s="5" t="str">
        <f>IF(AND(LEN(T726)=0, LEN(U726)=0), "", IF(AND(LEN(T726)&gt;0, LEN(U726)=0), "BLANCO", IFERROR(VLOOKUP(U726, BasedatosM9!A:B, 2, FALSE), "BLANCO")))</f>
        <v/>
      </c>
      <c r="AI726" s="5" t="str">
        <f>IF(AND(LEN(AF726)=0, LEN(AG726)=0), "", IF(AND(LEN(AF726)&gt;0, LEN(AG726)=0), "BLANCO", IFERROR(VLOOKUP(AG726, BasedatosM9!A:B, 2, FALSE), "BLANCO")))</f>
        <v/>
      </c>
      <c r="AU726" s="5" t="str">
        <f>IF(AND(LEN(AR726)=0, LEN(AS726)=0), "", IF(AND(LEN(AR726)&gt;0, LEN(AS726)=0), "BLANCO", IFERROR(VLOOKUP(AS726, BasedatosM9!A:B, 2, FALSE), "BLANCO")))</f>
        <v/>
      </c>
    </row>
    <row r="727" spans="1:47" ht="14.4">
      <c r="A727" s="21"/>
      <c r="B727" s="86"/>
      <c r="C727" s="98"/>
      <c r="D727" s="21"/>
      <c r="E727" s="86"/>
      <c r="F727" s="99"/>
      <c r="G727" s="99"/>
      <c r="H727" s="21"/>
      <c r="I727" s="21"/>
      <c r="J727" s="21"/>
      <c r="K727" s="5" t="str">
        <f>IF(AND(LEN(H727)=0, LEN(I727)=0), "", IF(AND(LEN(H727)&gt;0, LEN(I727)=0), "BLANCO", IFERROR(VLOOKUP(I727, BasedatosM9!A:B, 2, FALSE), "BLANCO")))</f>
        <v/>
      </c>
      <c r="W727" s="5" t="str">
        <f>IF(AND(LEN(T727)=0, LEN(U727)=0), "", IF(AND(LEN(T727)&gt;0, LEN(U727)=0), "BLANCO", IFERROR(VLOOKUP(U727, BasedatosM9!A:B, 2, FALSE), "BLANCO")))</f>
        <v/>
      </c>
      <c r="AI727" s="5" t="str">
        <f>IF(AND(LEN(AF727)=0, LEN(AG727)=0), "", IF(AND(LEN(AF727)&gt;0, LEN(AG727)=0), "BLANCO", IFERROR(VLOOKUP(AG727, BasedatosM9!A:B, 2, FALSE), "BLANCO")))</f>
        <v/>
      </c>
      <c r="AU727" s="5" t="str">
        <f>IF(AND(LEN(AR727)=0, LEN(AS727)=0), "", IF(AND(LEN(AR727)&gt;0, LEN(AS727)=0), "BLANCO", IFERROR(VLOOKUP(AS727, BasedatosM9!A:B, 2, FALSE), "BLANCO")))</f>
        <v/>
      </c>
    </row>
    <row r="728" spans="1:47" ht="14.4">
      <c r="A728" s="21"/>
      <c r="B728" s="86"/>
      <c r="C728" s="98"/>
      <c r="D728" s="21"/>
      <c r="E728" s="86"/>
      <c r="F728" s="99"/>
      <c r="G728" s="99"/>
      <c r="H728" s="21"/>
      <c r="I728" s="86"/>
      <c r="J728" s="21"/>
      <c r="K728" s="5" t="str">
        <f>IF(AND(LEN(H728)=0, LEN(I728)=0), "", IF(AND(LEN(H728)&gt;0, LEN(I728)=0), "BLANCO", IFERROR(VLOOKUP(I728, BasedatosM9!A:B, 2, FALSE), "BLANCO")))</f>
        <v/>
      </c>
      <c r="W728" s="5" t="str">
        <f>IF(AND(LEN(T728)=0, LEN(U728)=0), "", IF(AND(LEN(T728)&gt;0, LEN(U728)=0), "BLANCO", IFERROR(VLOOKUP(U728, BasedatosM9!A:B, 2, FALSE), "BLANCO")))</f>
        <v/>
      </c>
      <c r="AI728" s="5" t="str">
        <f>IF(AND(LEN(AF728)=0, LEN(AG728)=0), "", IF(AND(LEN(AF728)&gt;0, LEN(AG728)=0), "BLANCO", IFERROR(VLOOKUP(AG728, BasedatosM9!A:B, 2, FALSE), "BLANCO")))</f>
        <v/>
      </c>
      <c r="AU728" s="5" t="str">
        <f>IF(AND(LEN(AR728)=0, LEN(AS728)=0), "", IF(AND(LEN(AR728)&gt;0, LEN(AS728)=0), "BLANCO", IFERROR(VLOOKUP(AS728, BasedatosM9!A:B, 2, FALSE), "BLANCO")))</f>
        <v/>
      </c>
    </row>
    <row r="729" spans="1:47" ht="14.4">
      <c r="A729" s="21"/>
      <c r="B729" s="86"/>
      <c r="C729" s="98"/>
      <c r="D729" s="21"/>
      <c r="E729" s="86"/>
      <c r="F729" s="99"/>
      <c r="G729" s="99"/>
      <c r="H729" s="21"/>
      <c r="I729" s="21"/>
      <c r="J729" s="21"/>
      <c r="K729" s="5" t="str">
        <f>IF(AND(LEN(H729)=0, LEN(I729)=0), "", IF(AND(LEN(H729)&gt;0, LEN(I729)=0), "BLANCO", IFERROR(VLOOKUP(I729, BasedatosM9!A:B, 2, FALSE), "BLANCO")))</f>
        <v/>
      </c>
      <c r="W729" s="5" t="str">
        <f>IF(AND(LEN(T729)=0, LEN(U729)=0), "", IF(AND(LEN(T729)&gt;0, LEN(U729)=0), "BLANCO", IFERROR(VLOOKUP(U729, BasedatosM9!A:B, 2, FALSE), "BLANCO")))</f>
        <v/>
      </c>
      <c r="AI729" s="5" t="str">
        <f>IF(AND(LEN(AF729)=0, LEN(AG729)=0), "", IF(AND(LEN(AF729)&gt;0, LEN(AG729)=0), "BLANCO", IFERROR(VLOOKUP(AG729, BasedatosM9!A:B, 2, FALSE), "BLANCO")))</f>
        <v/>
      </c>
      <c r="AU729" s="5" t="str">
        <f>IF(AND(LEN(AR729)=0, LEN(AS729)=0), "", IF(AND(LEN(AR729)&gt;0, LEN(AS729)=0), "BLANCO", IFERROR(VLOOKUP(AS729, BasedatosM9!A:B, 2, FALSE), "BLANCO")))</f>
        <v/>
      </c>
    </row>
    <row r="730" spans="1:47" ht="14.4">
      <c r="A730" s="21"/>
      <c r="B730" s="86"/>
      <c r="C730" s="98"/>
      <c r="D730" s="21"/>
      <c r="E730" s="86"/>
      <c r="F730" s="99"/>
      <c r="G730" s="99"/>
      <c r="H730" s="21"/>
      <c r="I730" s="21"/>
      <c r="J730" s="21"/>
      <c r="K730" s="5" t="str">
        <f>IF(AND(LEN(H730)=0, LEN(I730)=0), "", IF(AND(LEN(H730)&gt;0, LEN(I730)=0), "BLANCO", IFERROR(VLOOKUP(I730, BasedatosM9!A:B, 2, FALSE), "BLANCO")))</f>
        <v/>
      </c>
      <c r="W730" s="5" t="str">
        <f>IF(AND(LEN(T730)=0, LEN(U730)=0), "", IF(AND(LEN(T730)&gt;0, LEN(U730)=0), "BLANCO", IFERROR(VLOOKUP(U730, BasedatosM9!A:B, 2, FALSE), "BLANCO")))</f>
        <v/>
      </c>
      <c r="AI730" s="5" t="str">
        <f>IF(AND(LEN(AF730)=0, LEN(AG730)=0), "", IF(AND(LEN(AF730)&gt;0, LEN(AG730)=0), "BLANCO", IFERROR(VLOOKUP(AG730, BasedatosM9!A:B, 2, FALSE), "BLANCO")))</f>
        <v/>
      </c>
      <c r="AU730" s="5" t="str">
        <f>IF(AND(LEN(AR730)=0, LEN(AS730)=0), "", IF(AND(LEN(AR730)&gt;0, LEN(AS730)=0), "BLANCO", IFERROR(VLOOKUP(AS730, BasedatosM9!A:B, 2, FALSE), "BLANCO")))</f>
        <v/>
      </c>
    </row>
    <row r="731" spans="1:47" ht="14.4">
      <c r="A731" s="21"/>
      <c r="B731" s="86"/>
      <c r="C731" s="98"/>
      <c r="D731" s="21"/>
      <c r="E731" s="86"/>
      <c r="F731" s="99"/>
      <c r="G731" s="99"/>
      <c r="H731" s="21"/>
      <c r="I731" s="86"/>
      <c r="J731" s="21"/>
      <c r="K731" s="5" t="str">
        <f>IF(AND(LEN(H731)=0, LEN(I731)=0), "", IF(AND(LEN(H731)&gt;0, LEN(I731)=0), "BLANCO", IFERROR(VLOOKUP(I731, BasedatosM9!A:B, 2, FALSE), "BLANCO")))</f>
        <v/>
      </c>
      <c r="W731" s="5" t="str">
        <f>IF(AND(LEN(T731)=0, LEN(U731)=0), "", IF(AND(LEN(T731)&gt;0, LEN(U731)=0), "BLANCO", IFERROR(VLOOKUP(U731, BasedatosM9!A:B, 2, FALSE), "BLANCO")))</f>
        <v/>
      </c>
      <c r="AI731" s="5" t="str">
        <f>IF(AND(LEN(AF731)=0, LEN(AG731)=0), "", IF(AND(LEN(AF731)&gt;0, LEN(AG731)=0), "BLANCO", IFERROR(VLOOKUP(AG731, BasedatosM9!A:B, 2, FALSE), "BLANCO")))</f>
        <v/>
      </c>
      <c r="AU731" s="5" t="str">
        <f>IF(AND(LEN(AR731)=0, LEN(AS731)=0), "", IF(AND(LEN(AR731)&gt;0, LEN(AS731)=0), "BLANCO", IFERROR(VLOOKUP(AS731, BasedatosM9!A:B, 2, FALSE), "BLANCO")))</f>
        <v/>
      </c>
    </row>
    <row r="732" spans="1:47" ht="14.4">
      <c r="A732" s="21"/>
      <c r="B732" s="86"/>
      <c r="C732" s="98"/>
      <c r="D732" s="21"/>
      <c r="E732" s="86"/>
      <c r="F732" s="99"/>
      <c r="G732" s="99"/>
      <c r="H732" s="21"/>
      <c r="I732" s="86"/>
      <c r="J732" s="21"/>
      <c r="K732" s="5" t="str">
        <f>IF(AND(LEN(H732)=0, LEN(I732)=0), "", IF(AND(LEN(H732)&gt;0, LEN(I732)=0), "BLANCO", IFERROR(VLOOKUP(I732, BasedatosM9!A:B, 2, FALSE), "BLANCO")))</f>
        <v/>
      </c>
      <c r="W732" s="5" t="str">
        <f>IF(AND(LEN(T732)=0, LEN(U732)=0), "", IF(AND(LEN(T732)&gt;0, LEN(U732)=0), "BLANCO", IFERROR(VLOOKUP(U732, BasedatosM9!A:B, 2, FALSE), "BLANCO")))</f>
        <v/>
      </c>
      <c r="AI732" s="5" t="str">
        <f>IF(AND(LEN(AF732)=0, LEN(AG732)=0), "", IF(AND(LEN(AF732)&gt;0, LEN(AG732)=0), "BLANCO", IFERROR(VLOOKUP(AG732, BasedatosM9!A:B, 2, FALSE), "BLANCO")))</f>
        <v/>
      </c>
      <c r="AU732" s="5" t="str">
        <f>IF(AND(LEN(AR732)=0, LEN(AS732)=0), "", IF(AND(LEN(AR732)&gt;0, LEN(AS732)=0), "BLANCO", IFERROR(VLOOKUP(AS732, BasedatosM9!A:B, 2, FALSE), "BLANCO")))</f>
        <v/>
      </c>
    </row>
    <row r="733" spans="1:47" ht="14.4">
      <c r="A733" s="21"/>
      <c r="B733" s="86"/>
      <c r="C733" s="98"/>
      <c r="D733" s="21"/>
      <c r="E733" s="86"/>
      <c r="F733" s="99"/>
      <c r="G733" s="99"/>
      <c r="H733" s="21"/>
      <c r="I733" s="86"/>
      <c r="J733" s="21"/>
      <c r="K733" s="5" t="str">
        <f>IF(AND(LEN(H733)=0, LEN(I733)=0), "", IF(AND(LEN(H733)&gt;0, LEN(I733)=0), "BLANCO", IFERROR(VLOOKUP(I733, BasedatosM9!A:B, 2, FALSE), "BLANCO")))</f>
        <v/>
      </c>
      <c r="W733" s="5" t="str">
        <f>IF(AND(LEN(T733)=0, LEN(U733)=0), "", IF(AND(LEN(T733)&gt;0, LEN(U733)=0), "BLANCO", IFERROR(VLOOKUP(U733, BasedatosM9!A:B, 2, FALSE), "BLANCO")))</f>
        <v/>
      </c>
      <c r="AI733" s="5" t="str">
        <f>IF(AND(LEN(AF733)=0, LEN(AG733)=0), "", IF(AND(LEN(AF733)&gt;0, LEN(AG733)=0), "BLANCO", IFERROR(VLOOKUP(AG733, BasedatosM9!A:B, 2, FALSE), "BLANCO")))</f>
        <v/>
      </c>
      <c r="AU733" s="5" t="str">
        <f>IF(AND(LEN(AR733)=0, LEN(AS733)=0), "", IF(AND(LEN(AR733)&gt;0, LEN(AS733)=0), "BLANCO", IFERROR(VLOOKUP(AS733, BasedatosM9!A:B, 2, FALSE), "BLANCO")))</f>
        <v/>
      </c>
    </row>
    <row r="734" spans="1:47" ht="14.4">
      <c r="A734" s="21"/>
      <c r="B734" s="86"/>
      <c r="C734" s="98"/>
      <c r="D734" s="21"/>
      <c r="E734" s="86"/>
      <c r="F734" s="99"/>
      <c r="G734" s="99"/>
      <c r="H734" s="21"/>
      <c r="I734" s="86"/>
      <c r="J734" s="21"/>
      <c r="K734" s="5" t="str">
        <f>IF(AND(LEN(H734)=0, LEN(I734)=0), "", IF(AND(LEN(H734)&gt;0, LEN(I734)=0), "BLANCO", IFERROR(VLOOKUP(I734, BasedatosM9!A:B, 2, FALSE), "BLANCO")))</f>
        <v/>
      </c>
      <c r="W734" s="5" t="str">
        <f>IF(AND(LEN(T734)=0, LEN(U734)=0), "", IF(AND(LEN(T734)&gt;0, LEN(U734)=0), "BLANCO", IFERROR(VLOOKUP(U734, BasedatosM9!A:B, 2, FALSE), "BLANCO")))</f>
        <v/>
      </c>
      <c r="AI734" s="5" t="str">
        <f>IF(AND(LEN(AF734)=0, LEN(AG734)=0), "", IF(AND(LEN(AF734)&gt;0, LEN(AG734)=0), "BLANCO", IFERROR(VLOOKUP(AG734, BasedatosM9!A:B, 2, FALSE), "BLANCO")))</f>
        <v/>
      </c>
      <c r="AU734" s="5" t="str">
        <f>IF(AND(LEN(AR734)=0, LEN(AS734)=0), "", IF(AND(LEN(AR734)&gt;0, LEN(AS734)=0), "BLANCO", IFERROR(VLOOKUP(AS734, BasedatosM9!A:B, 2, FALSE), "BLANCO")))</f>
        <v/>
      </c>
    </row>
    <row r="735" spans="1:47" ht="14.4">
      <c r="A735" s="21"/>
      <c r="B735" s="86"/>
      <c r="C735" s="98"/>
      <c r="D735" s="21"/>
      <c r="E735" s="86"/>
      <c r="F735" s="99"/>
      <c r="G735" s="99"/>
      <c r="H735" s="21"/>
      <c r="I735" s="86"/>
      <c r="J735" s="21"/>
      <c r="K735" s="5" t="str">
        <f>IF(AND(LEN(H735)=0, LEN(I735)=0), "", IF(AND(LEN(H735)&gt;0, LEN(I735)=0), "BLANCO", IFERROR(VLOOKUP(I735, BasedatosM9!A:B, 2, FALSE), "BLANCO")))</f>
        <v/>
      </c>
      <c r="W735" s="5" t="str">
        <f>IF(AND(LEN(T735)=0, LEN(U735)=0), "", IF(AND(LEN(T735)&gt;0, LEN(U735)=0), "BLANCO", IFERROR(VLOOKUP(U735, BasedatosM9!A:B, 2, FALSE), "BLANCO")))</f>
        <v/>
      </c>
      <c r="AI735" s="5" t="str">
        <f>IF(AND(LEN(AF735)=0, LEN(AG735)=0), "", IF(AND(LEN(AF735)&gt;0, LEN(AG735)=0), "BLANCO", IFERROR(VLOOKUP(AG735, BasedatosM9!A:B, 2, FALSE), "BLANCO")))</f>
        <v/>
      </c>
      <c r="AU735" s="5" t="str">
        <f>IF(AND(LEN(AR735)=0, LEN(AS735)=0), "", IF(AND(LEN(AR735)&gt;0, LEN(AS735)=0), "BLANCO", IFERROR(VLOOKUP(AS735, BasedatosM9!A:B, 2, FALSE), "BLANCO")))</f>
        <v/>
      </c>
    </row>
    <row r="736" spans="1:47" ht="14.4">
      <c r="A736" s="21"/>
      <c r="B736" s="86"/>
      <c r="C736" s="98"/>
      <c r="D736" s="21"/>
      <c r="E736" s="86"/>
      <c r="F736" s="99"/>
      <c r="G736" s="99"/>
      <c r="H736" s="21"/>
      <c r="I736" s="86"/>
      <c r="J736" s="21"/>
      <c r="K736" s="5" t="str">
        <f>IF(AND(LEN(H736)=0, LEN(I736)=0), "", IF(AND(LEN(H736)&gt;0, LEN(I736)=0), "BLANCO", IFERROR(VLOOKUP(I736, BasedatosM9!A:B, 2, FALSE), "BLANCO")))</f>
        <v/>
      </c>
      <c r="W736" s="5" t="str">
        <f>IF(AND(LEN(T736)=0, LEN(U736)=0), "", IF(AND(LEN(T736)&gt;0, LEN(U736)=0), "BLANCO", IFERROR(VLOOKUP(U736, BasedatosM9!A:B, 2, FALSE), "BLANCO")))</f>
        <v/>
      </c>
      <c r="AI736" s="5" t="str">
        <f>IF(AND(LEN(AF736)=0, LEN(AG736)=0), "", IF(AND(LEN(AF736)&gt;0, LEN(AG736)=0), "BLANCO", IFERROR(VLOOKUP(AG736, BasedatosM9!A:B, 2, FALSE), "BLANCO")))</f>
        <v/>
      </c>
      <c r="AU736" s="5" t="str">
        <f>IF(AND(LEN(AR736)=0, LEN(AS736)=0), "", IF(AND(LEN(AR736)&gt;0, LEN(AS736)=0), "BLANCO", IFERROR(VLOOKUP(AS736, BasedatosM9!A:B, 2, FALSE), "BLANCO")))</f>
        <v/>
      </c>
    </row>
    <row r="737" spans="1:47" ht="14.4">
      <c r="A737" s="21"/>
      <c r="B737" s="86"/>
      <c r="C737" s="98"/>
      <c r="D737" s="21"/>
      <c r="E737" s="86"/>
      <c r="F737" s="99"/>
      <c r="G737" s="99"/>
      <c r="H737" s="21"/>
      <c r="I737" s="86"/>
      <c r="J737" s="21"/>
      <c r="K737" s="5" t="str">
        <f>IF(AND(LEN(H737)=0, LEN(I737)=0), "", IF(AND(LEN(H737)&gt;0, LEN(I737)=0), "BLANCO", IFERROR(VLOOKUP(I737, BasedatosM9!A:B, 2, FALSE), "BLANCO")))</f>
        <v/>
      </c>
      <c r="W737" s="5" t="str">
        <f>IF(AND(LEN(T737)=0, LEN(U737)=0), "", IF(AND(LEN(T737)&gt;0, LEN(U737)=0), "BLANCO", IFERROR(VLOOKUP(U737, BasedatosM9!A:B, 2, FALSE), "BLANCO")))</f>
        <v/>
      </c>
      <c r="AI737" s="5" t="str">
        <f>IF(AND(LEN(AF737)=0, LEN(AG737)=0), "", IF(AND(LEN(AF737)&gt;0, LEN(AG737)=0), "BLANCO", IFERROR(VLOOKUP(AG737, BasedatosM9!A:B, 2, FALSE), "BLANCO")))</f>
        <v/>
      </c>
      <c r="AU737" s="5" t="str">
        <f>IF(AND(LEN(AR737)=0, LEN(AS737)=0), "", IF(AND(LEN(AR737)&gt;0, LEN(AS737)=0), "BLANCO", IFERROR(VLOOKUP(AS737, BasedatosM9!A:B, 2, FALSE), "BLANCO")))</f>
        <v/>
      </c>
    </row>
    <row r="738" spans="1:47" ht="14.4">
      <c r="A738" s="21"/>
      <c r="B738" s="86"/>
      <c r="C738" s="98"/>
      <c r="D738" s="21"/>
      <c r="E738" s="86"/>
      <c r="F738" s="99"/>
      <c r="G738" s="99"/>
      <c r="H738" s="21"/>
      <c r="I738" s="86"/>
      <c r="J738" s="21"/>
      <c r="K738" s="5" t="str">
        <f>IF(AND(LEN(H738)=0, LEN(I738)=0), "", IF(AND(LEN(H738)&gt;0, LEN(I738)=0), "BLANCO", IFERROR(VLOOKUP(I738, BasedatosM9!A:B, 2, FALSE), "BLANCO")))</f>
        <v/>
      </c>
      <c r="W738" s="5" t="str">
        <f>IF(AND(LEN(T738)=0, LEN(U738)=0), "", IF(AND(LEN(T738)&gt;0, LEN(U738)=0), "BLANCO", IFERROR(VLOOKUP(U738, BasedatosM9!A:B, 2, FALSE), "BLANCO")))</f>
        <v/>
      </c>
      <c r="AI738" s="5" t="str">
        <f>IF(AND(LEN(AF738)=0, LEN(AG738)=0), "", IF(AND(LEN(AF738)&gt;0, LEN(AG738)=0), "BLANCO", IFERROR(VLOOKUP(AG738, BasedatosM9!A:B, 2, FALSE), "BLANCO")))</f>
        <v/>
      </c>
      <c r="AU738" s="5" t="str">
        <f>IF(AND(LEN(AR738)=0, LEN(AS738)=0), "", IF(AND(LEN(AR738)&gt;0, LEN(AS738)=0), "BLANCO", IFERROR(VLOOKUP(AS738, BasedatosM9!A:B, 2, FALSE), "BLANCO")))</f>
        <v/>
      </c>
    </row>
    <row r="739" spans="1:47" ht="14.4">
      <c r="A739" s="21"/>
      <c r="B739" s="86"/>
      <c r="C739" s="98"/>
      <c r="D739" s="21"/>
      <c r="E739" s="86"/>
      <c r="F739" s="99"/>
      <c r="G739" s="99"/>
      <c r="H739" s="21"/>
      <c r="I739" s="86"/>
      <c r="J739" s="21"/>
      <c r="K739" s="5" t="str">
        <f>IF(AND(LEN(H739)=0, LEN(I739)=0), "", IF(AND(LEN(H739)&gt;0, LEN(I739)=0), "BLANCO", IFERROR(VLOOKUP(I739, BasedatosM9!A:B, 2, FALSE), "BLANCO")))</f>
        <v/>
      </c>
      <c r="W739" s="5" t="str">
        <f>IF(AND(LEN(T739)=0, LEN(U739)=0), "", IF(AND(LEN(T739)&gt;0, LEN(U739)=0), "BLANCO", IFERROR(VLOOKUP(U739, BasedatosM9!A:B, 2, FALSE), "BLANCO")))</f>
        <v/>
      </c>
      <c r="AI739" s="5" t="str">
        <f>IF(AND(LEN(AF739)=0, LEN(AG739)=0), "", IF(AND(LEN(AF739)&gt;0, LEN(AG739)=0), "BLANCO", IFERROR(VLOOKUP(AG739, BasedatosM9!A:B, 2, FALSE), "BLANCO")))</f>
        <v/>
      </c>
      <c r="AU739" s="5" t="str">
        <f>IF(AND(LEN(AR739)=0, LEN(AS739)=0), "", IF(AND(LEN(AR739)&gt;0, LEN(AS739)=0), "BLANCO", IFERROR(VLOOKUP(AS739, BasedatosM9!A:B, 2, FALSE), "BLANCO")))</f>
        <v/>
      </c>
    </row>
    <row r="740" spans="1:47" ht="14.4">
      <c r="A740" s="21"/>
      <c r="B740" s="86"/>
      <c r="C740" s="98"/>
      <c r="D740" s="21"/>
      <c r="E740" s="86"/>
      <c r="F740" s="99"/>
      <c r="G740" s="99"/>
      <c r="H740" s="21"/>
      <c r="I740" s="86"/>
      <c r="J740" s="21"/>
      <c r="K740" s="5" t="str">
        <f>IF(AND(LEN(H740)=0, LEN(I740)=0), "", IF(AND(LEN(H740)&gt;0, LEN(I740)=0), "BLANCO", IFERROR(VLOOKUP(I740, BasedatosM9!A:B, 2, FALSE), "BLANCO")))</f>
        <v/>
      </c>
      <c r="W740" s="5" t="str">
        <f>IF(AND(LEN(T740)=0, LEN(U740)=0), "", IF(AND(LEN(T740)&gt;0, LEN(U740)=0), "BLANCO", IFERROR(VLOOKUP(U740, BasedatosM9!A:B, 2, FALSE), "BLANCO")))</f>
        <v/>
      </c>
      <c r="AI740" s="5" t="str">
        <f>IF(AND(LEN(AF740)=0, LEN(AG740)=0), "", IF(AND(LEN(AF740)&gt;0, LEN(AG740)=0), "BLANCO", IFERROR(VLOOKUP(AG740, BasedatosM9!A:B, 2, FALSE), "BLANCO")))</f>
        <v/>
      </c>
      <c r="AU740" s="5" t="str">
        <f>IF(AND(LEN(AR740)=0, LEN(AS740)=0), "", IF(AND(LEN(AR740)&gt;0, LEN(AS740)=0), "BLANCO", IFERROR(VLOOKUP(AS740, BasedatosM9!A:B, 2, FALSE), "BLANCO")))</f>
        <v/>
      </c>
    </row>
    <row r="741" spans="1:47" ht="14.4">
      <c r="A741" s="21"/>
      <c r="B741" s="86"/>
      <c r="C741" s="98"/>
      <c r="D741" s="21"/>
      <c r="E741" s="86"/>
      <c r="F741" s="99"/>
      <c r="G741" s="99"/>
      <c r="H741" s="21"/>
      <c r="I741" s="21"/>
      <c r="J741" s="21"/>
      <c r="K741" s="5" t="str">
        <f>IF(AND(LEN(H741)=0, LEN(I741)=0), "", IF(AND(LEN(H741)&gt;0, LEN(I741)=0), "BLANCO", IFERROR(VLOOKUP(I741, BasedatosM9!A:B, 2, FALSE), "BLANCO")))</f>
        <v/>
      </c>
      <c r="W741" s="5" t="str">
        <f>IF(AND(LEN(T741)=0, LEN(U741)=0), "", IF(AND(LEN(T741)&gt;0, LEN(U741)=0), "BLANCO", IFERROR(VLOOKUP(U741, BasedatosM9!A:B, 2, FALSE), "BLANCO")))</f>
        <v/>
      </c>
      <c r="AI741" s="5" t="str">
        <f>IF(AND(LEN(AF741)=0, LEN(AG741)=0), "", IF(AND(LEN(AF741)&gt;0, LEN(AG741)=0), "BLANCO", IFERROR(VLOOKUP(AG741, BasedatosM9!A:B, 2, FALSE), "BLANCO")))</f>
        <v/>
      </c>
      <c r="AU741" s="5" t="str">
        <f>IF(AND(LEN(AR741)=0, LEN(AS741)=0), "", IF(AND(LEN(AR741)&gt;0, LEN(AS741)=0), "BLANCO", IFERROR(VLOOKUP(AS741, BasedatosM9!A:B, 2, FALSE), "BLANCO")))</f>
        <v/>
      </c>
    </row>
    <row r="742" spans="1:47" ht="14.4">
      <c r="A742" s="21"/>
      <c r="B742" s="86"/>
      <c r="C742" s="98"/>
      <c r="D742" s="21"/>
      <c r="E742" s="86"/>
      <c r="F742" s="99"/>
      <c r="G742" s="99"/>
      <c r="H742" s="21"/>
      <c r="I742" s="86"/>
      <c r="J742" s="21"/>
      <c r="K742" s="5" t="str">
        <f>IF(AND(LEN(H742)=0, LEN(I742)=0), "", IF(AND(LEN(H742)&gt;0, LEN(I742)=0), "BLANCO", IFERROR(VLOOKUP(I742, BasedatosM9!A:B, 2, FALSE), "BLANCO")))</f>
        <v/>
      </c>
      <c r="W742" s="5" t="str">
        <f>IF(AND(LEN(T742)=0, LEN(U742)=0), "", IF(AND(LEN(T742)&gt;0, LEN(U742)=0), "BLANCO", IFERROR(VLOOKUP(U742, BasedatosM9!A:B, 2, FALSE), "BLANCO")))</f>
        <v/>
      </c>
      <c r="AI742" s="5" t="str">
        <f>IF(AND(LEN(AF742)=0, LEN(AG742)=0), "", IF(AND(LEN(AF742)&gt;0, LEN(AG742)=0), "BLANCO", IFERROR(VLOOKUP(AG742, BasedatosM9!A:B, 2, FALSE), "BLANCO")))</f>
        <v/>
      </c>
      <c r="AU742" s="5" t="str">
        <f>IF(AND(LEN(AR742)=0, LEN(AS742)=0), "", IF(AND(LEN(AR742)&gt;0, LEN(AS742)=0), "BLANCO", IFERROR(VLOOKUP(AS742, BasedatosM9!A:B, 2, FALSE), "BLANCO")))</f>
        <v/>
      </c>
    </row>
    <row r="743" spans="1:47" ht="14.4">
      <c r="A743" s="21"/>
      <c r="B743" s="86"/>
      <c r="C743" s="98"/>
      <c r="D743" s="21"/>
      <c r="E743" s="86"/>
      <c r="F743" s="99"/>
      <c r="G743" s="99"/>
      <c r="H743" s="21"/>
      <c r="I743" s="86"/>
      <c r="J743" s="21"/>
      <c r="K743" s="5" t="str">
        <f>IF(AND(LEN(H743)=0, LEN(I743)=0), "", IF(AND(LEN(H743)&gt;0, LEN(I743)=0), "BLANCO", IFERROR(VLOOKUP(I743, BasedatosM9!A:B, 2, FALSE), "BLANCO")))</f>
        <v/>
      </c>
      <c r="W743" s="5" t="str">
        <f>IF(AND(LEN(T743)=0, LEN(U743)=0), "", IF(AND(LEN(T743)&gt;0, LEN(U743)=0), "BLANCO", IFERROR(VLOOKUP(U743, BasedatosM9!A:B, 2, FALSE), "BLANCO")))</f>
        <v/>
      </c>
      <c r="AI743" s="5" t="str">
        <f>IF(AND(LEN(AF743)=0, LEN(AG743)=0), "", IF(AND(LEN(AF743)&gt;0, LEN(AG743)=0), "BLANCO", IFERROR(VLOOKUP(AG743, BasedatosM9!A:B, 2, FALSE), "BLANCO")))</f>
        <v/>
      </c>
      <c r="AU743" s="5" t="str">
        <f>IF(AND(LEN(AR743)=0, LEN(AS743)=0), "", IF(AND(LEN(AR743)&gt;0, LEN(AS743)=0), "BLANCO", IFERROR(VLOOKUP(AS743, BasedatosM9!A:B, 2, FALSE), "BLANCO")))</f>
        <v/>
      </c>
    </row>
    <row r="744" spans="1:47" ht="14.4">
      <c r="A744" s="21"/>
      <c r="B744" s="86"/>
      <c r="C744" s="98"/>
      <c r="D744" s="21"/>
      <c r="E744" s="86"/>
      <c r="F744" s="99"/>
      <c r="G744" s="99"/>
      <c r="H744" s="21"/>
      <c r="I744" s="21"/>
      <c r="J744" s="21"/>
      <c r="K744" s="5" t="str">
        <f>IF(AND(LEN(H744)=0, LEN(I744)=0), "", IF(AND(LEN(H744)&gt;0, LEN(I744)=0), "BLANCO", IFERROR(VLOOKUP(I744, BasedatosM9!A:B, 2, FALSE), "BLANCO")))</f>
        <v/>
      </c>
      <c r="W744" s="5" t="str">
        <f>IF(AND(LEN(T744)=0, LEN(U744)=0), "", IF(AND(LEN(T744)&gt;0, LEN(U744)=0), "BLANCO", IFERROR(VLOOKUP(U744, BasedatosM9!A:B, 2, FALSE), "BLANCO")))</f>
        <v/>
      </c>
      <c r="AI744" s="5" t="str">
        <f>IF(AND(LEN(AF744)=0, LEN(AG744)=0), "", IF(AND(LEN(AF744)&gt;0, LEN(AG744)=0), "BLANCO", IFERROR(VLOOKUP(AG744, BasedatosM9!A:B, 2, FALSE), "BLANCO")))</f>
        <v/>
      </c>
      <c r="AU744" s="5" t="str">
        <f>IF(AND(LEN(AR744)=0, LEN(AS744)=0), "", IF(AND(LEN(AR744)&gt;0, LEN(AS744)=0), "BLANCO", IFERROR(VLOOKUP(AS744, BasedatosM9!A:B, 2, FALSE), "BLANCO")))</f>
        <v/>
      </c>
    </row>
    <row r="745" spans="1:47" ht="14.4">
      <c r="A745" s="21"/>
      <c r="B745" s="86"/>
      <c r="C745" s="98"/>
      <c r="D745" s="21"/>
      <c r="E745" s="86"/>
      <c r="F745" s="99"/>
      <c r="G745" s="99"/>
      <c r="H745" s="21"/>
      <c r="I745" s="21"/>
      <c r="J745" s="21"/>
      <c r="K745" s="5" t="str">
        <f>IF(AND(LEN(H745)=0, LEN(I745)=0), "", IF(AND(LEN(H745)&gt;0, LEN(I745)=0), "BLANCO", IFERROR(VLOOKUP(I745, BasedatosM9!A:B, 2, FALSE), "BLANCO")))</f>
        <v/>
      </c>
      <c r="W745" s="5" t="str">
        <f>IF(AND(LEN(T745)=0, LEN(U745)=0), "", IF(AND(LEN(T745)&gt;0, LEN(U745)=0), "BLANCO", IFERROR(VLOOKUP(U745, BasedatosM9!A:B, 2, FALSE), "BLANCO")))</f>
        <v/>
      </c>
      <c r="AI745" s="5" t="str">
        <f>IF(AND(LEN(AF745)=0, LEN(AG745)=0), "", IF(AND(LEN(AF745)&gt;0, LEN(AG745)=0), "BLANCO", IFERROR(VLOOKUP(AG745, BasedatosM9!A:B, 2, FALSE), "BLANCO")))</f>
        <v/>
      </c>
      <c r="AU745" s="5" t="str">
        <f>IF(AND(LEN(AR745)=0, LEN(AS745)=0), "", IF(AND(LEN(AR745)&gt;0, LEN(AS745)=0), "BLANCO", IFERROR(VLOOKUP(AS745, BasedatosM9!A:B, 2, FALSE), "BLANCO")))</f>
        <v/>
      </c>
    </row>
    <row r="746" spans="1:47" ht="14.4">
      <c r="A746" s="21"/>
      <c r="B746" s="86"/>
      <c r="C746" s="98"/>
      <c r="D746" s="21"/>
      <c r="E746" s="86"/>
      <c r="F746" s="99"/>
      <c r="G746" s="99"/>
      <c r="H746" s="21"/>
      <c r="I746" s="21"/>
      <c r="J746" s="21"/>
      <c r="K746" s="5" t="str">
        <f>IF(AND(LEN(H746)=0, LEN(I746)=0), "", IF(AND(LEN(H746)&gt;0, LEN(I746)=0), "BLANCO", IFERROR(VLOOKUP(I746, BasedatosM9!A:B, 2, FALSE), "BLANCO")))</f>
        <v/>
      </c>
      <c r="W746" s="5" t="str">
        <f>IF(AND(LEN(T746)=0, LEN(U746)=0), "", IF(AND(LEN(T746)&gt;0, LEN(U746)=0), "BLANCO", IFERROR(VLOOKUP(U746, BasedatosM9!A:B, 2, FALSE), "BLANCO")))</f>
        <v/>
      </c>
      <c r="AI746" s="5" t="str">
        <f>IF(AND(LEN(AF746)=0, LEN(AG746)=0), "", IF(AND(LEN(AF746)&gt;0, LEN(AG746)=0), "BLANCO", IFERROR(VLOOKUP(AG746, BasedatosM9!A:B, 2, FALSE), "BLANCO")))</f>
        <v/>
      </c>
      <c r="AU746" s="5" t="str">
        <f>IF(AND(LEN(AR746)=0, LEN(AS746)=0), "", IF(AND(LEN(AR746)&gt;0, LEN(AS746)=0), "BLANCO", IFERROR(VLOOKUP(AS746, BasedatosM9!A:B, 2, FALSE), "BLANCO")))</f>
        <v/>
      </c>
    </row>
    <row r="747" spans="1:47" ht="14.4">
      <c r="A747" s="21"/>
      <c r="B747" s="86"/>
      <c r="C747" s="98"/>
      <c r="D747" s="21"/>
      <c r="E747" s="86"/>
      <c r="F747" s="99"/>
      <c r="G747" s="99"/>
      <c r="H747" s="21"/>
      <c r="I747" s="86"/>
      <c r="J747" s="21"/>
      <c r="K747" s="5" t="str">
        <f>IF(AND(LEN(H747)=0, LEN(I747)=0), "", IF(AND(LEN(H747)&gt;0, LEN(I747)=0), "BLANCO", IFERROR(VLOOKUP(I747, BasedatosM9!A:B, 2, FALSE), "BLANCO")))</f>
        <v/>
      </c>
      <c r="W747" s="5" t="str">
        <f>IF(AND(LEN(T747)=0, LEN(U747)=0), "", IF(AND(LEN(T747)&gt;0, LEN(U747)=0), "BLANCO", IFERROR(VLOOKUP(U747, BasedatosM9!A:B, 2, FALSE), "BLANCO")))</f>
        <v/>
      </c>
      <c r="AI747" s="5" t="str">
        <f>IF(AND(LEN(AF747)=0, LEN(AG747)=0), "", IF(AND(LEN(AF747)&gt;0, LEN(AG747)=0), "BLANCO", IFERROR(VLOOKUP(AG747, BasedatosM9!A:B, 2, FALSE), "BLANCO")))</f>
        <v/>
      </c>
      <c r="AU747" s="5" t="str">
        <f>IF(AND(LEN(AR747)=0, LEN(AS747)=0), "", IF(AND(LEN(AR747)&gt;0, LEN(AS747)=0), "BLANCO", IFERROR(VLOOKUP(AS747, BasedatosM9!A:B, 2, FALSE), "BLANCO")))</f>
        <v/>
      </c>
    </row>
    <row r="748" spans="1:47" ht="14.4">
      <c r="A748" s="21"/>
      <c r="B748" s="86"/>
      <c r="C748" s="98"/>
      <c r="D748" s="21"/>
      <c r="E748" s="86"/>
      <c r="F748" s="99"/>
      <c r="G748" s="99"/>
      <c r="H748" s="21"/>
      <c r="I748" s="86"/>
      <c r="J748" s="21"/>
      <c r="K748" s="5" t="str">
        <f>IF(AND(LEN(H748)=0, LEN(I748)=0), "", IF(AND(LEN(H748)&gt;0, LEN(I748)=0), "BLANCO", IFERROR(VLOOKUP(I748, BasedatosM9!A:B, 2, FALSE), "BLANCO")))</f>
        <v/>
      </c>
      <c r="W748" s="5" t="str">
        <f>IF(AND(LEN(T748)=0, LEN(U748)=0), "", IF(AND(LEN(T748)&gt;0, LEN(U748)=0), "BLANCO", IFERROR(VLOOKUP(U748, BasedatosM9!A:B, 2, FALSE), "BLANCO")))</f>
        <v/>
      </c>
      <c r="AI748" s="5" t="str">
        <f>IF(AND(LEN(AF748)=0, LEN(AG748)=0), "", IF(AND(LEN(AF748)&gt;0, LEN(AG748)=0), "BLANCO", IFERROR(VLOOKUP(AG748, BasedatosM9!A:B, 2, FALSE), "BLANCO")))</f>
        <v/>
      </c>
      <c r="AU748" s="5" t="str">
        <f>IF(AND(LEN(AR748)=0, LEN(AS748)=0), "", IF(AND(LEN(AR748)&gt;0, LEN(AS748)=0), "BLANCO", IFERROR(VLOOKUP(AS748, BasedatosM9!A:B, 2, FALSE), "BLANCO")))</f>
        <v/>
      </c>
    </row>
    <row r="749" spans="1:47" ht="14.4">
      <c r="A749" s="21"/>
      <c r="B749" s="86"/>
      <c r="C749" s="98"/>
      <c r="D749" s="21"/>
      <c r="E749" s="86"/>
      <c r="F749" s="99"/>
      <c r="G749" s="99"/>
      <c r="H749" s="21"/>
      <c r="I749" s="86"/>
      <c r="J749" s="21"/>
      <c r="K749" s="5" t="str">
        <f>IF(AND(LEN(H749)=0, LEN(I749)=0), "", IF(AND(LEN(H749)&gt;0, LEN(I749)=0), "BLANCO", IFERROR(VLOOKUP(I749, BasedatosM9!A:B, 2, FALSE), "BLANCO")))</f>
        <v/>
      </c>
      <c r="W749" s="5" t="str">
        <f>IF(AND(LEN(T749)=0, LEN(U749)=0), "", IF(AND(LEN(T749)&gt;0, LEN(U749)=0), "BLANCO", IFERROR(VLOOKUP(U749, BasedatosM9!A:B, 2, FALSE), "BLANCO")))</f>
        <v/>
      </c>
      <c r="AI749" s="5" t="str">
        <f>IF(AND(LEN(AF749)=0, LEN(AG749)=0), "", IF(AND(LEN(AF749)&gt;0, LEN(AG749)=0), "BLANCO", IFERROR(VLOOKUP(AG749, BasedatosM9!A:B, 2, FALSE), "BLANCO")))</f>
        <v/>
      </c>
      <c r="AU749" s="5" t="str">
        <f>IF(AND(LEN(AR749)=0, LEN(AS749)=0), "", IF(AND(LEN(AR749)&gt;0, LEN(AS749)=0), "BLANCO", IFERROR(VLOOKUP(AS749, BasedatosM9!A:B, 2, FALSE), "BLANCO")))</f>
        <v/>
      </c>
    </row>
    <row r="750" spans="1:47" ht="14.4">
      <c r="A750" s="21"/>
      <c r="B750" s="86"/>
      <c r="C750" s="98"/>
      <c r="D750" s="21"/>
      <c r="E750" s="86"/>
      <c r="F750" s="99"/>
      <c r="G750" s="99"/>
      <c r="H750" s="21"/>
      <c r="I750" s="86"/>
      <c r="J750" s="21"/>
      <c r="K750" s="5" t="str">
        <f>IF(AND(LEN(H750)=0, LEN(I750)=0), "", IF(AND(LEN(H750)&gt;0, LEN(I750)=0), "BLANCO", IFERROR(VLOOKUP(I750, BasedatosM9!A:B, 2, FALSE), "BLANCO")))</f>
        <v/>
      </c>
      <c r="W750" s="5" t="str">
        <f>IF(AND(LEN(T750)=0, LEN(U750)=0), "", IF(AND(LEN(T750)&gt;0, LEN(U750)=0), "BLANCO", IFERROR(VLOOKUP(U750, BasedatosM9!A:B, 2, FALSE), "BLANCO")))</f>
        <v/>
      </c>
      <c r="AI750" s="5" t="str">
        <f>IF(AND(LEN(AF750)=0, LEN(AG750)=0), "", IF(AND(LEN(AF750)&gt;0, LEN(AG750)=0), "BLANCO", IFERROR(VLOOKUP(AG750, BasedatosM9!A:B, 2, FALSE), "BLANCO")))</f>
        <v/>
      </c>
      <c r="AU750" s="5" t="str">
        <f>IF(AND(LEN(AR750)=0, LEN(AS750)=0), "", IF(AND(LEN(AR750)&gt;0, LEN(AS750)=0), "BLANCO", IFERROR(VLOOKUP(AS750, BasedatosM9!A:B, 2, FALSE), "BLANCO")))</f>
        <v/>
      </c>
    </row>
    <row r="751" spans="1:47" ht="14.4">
      <c r="A751" s="21"/>
      <c r="B751" s="86"/>
      <c r="C751" s="98"/>
      <c r="D751" s="21"/>
      <c r="E751" s="86"/>
      <c r="F751" s="99"/>
      <c r="G751" s="99"/>
      <c r="H751" s="21"/>
      <c r="I751" s="86"/>
      <c r="J751" s="21"/>
      <c r="K751" s="5" t="str">
        <f>IF(AND(LEN(H751)=0, LEN(I751)=0), "", IF(AND(LEN(H751)&gt;0, LEN(I751)=0), "BLANCO", IFERROR(VLOOKUP(I751, BasedatosM9!A:B, 2, FALSE), "BLANCO")))</f>
        <v/>
      </c>
      <c r="W751" s="5" t="str">
        <f>IF(AND(LEN(T751)=0, LEN(U751)=0), "", IF(AND(LEN(T751)&gt;0, LEN(U751)=0), "BLANCO", IFERROR(VLOOKUP(U751, BasedatosM9!A:B, 2, FALSE), "BLANCO")))</f>
        <v/>
      </c>
      <c r="AI751" s="5" t="str">
        <f>IF(AND(LEN(AF751)=0, LEN(AG751)=0), "", IF(AND(LEN(AF751)&gt;0, LEN(AG751)=0), "BLANCO", IFERROR(VLOOKUP(AG751, BasedatosM9!A:B, 2, FALSE), "BLANCO")))</f>
        <v/>
      </c>
      <c r="AU751" s="5" t="str">
        <f>IF(AND(LEN(AR751)=0, LEN(AS751)=0), "", IF(AND(LEN(AR751)&gt;0, LEN(AS751)=0), "BLANCO", IFERROR(VLOOKUP(AS751, BasedatosM9!A:B, 2, FALSE), "BLANCO")))</f>
        <v/>
      </c>
    </row>
    <row r="752" spans="1:47" ht="14.4">
      <c r="A752" s="21"/>
      <c r="B752" s="86"/>
      <c r="C752" s="98"/>
      <c r="D752" s="21"/>
      <c r="E752" s="86"/>
      <c r="F752" s="99"/>
      <c r="G752" s="99"/>
      <c r="H752" s="21"/>
      <c r="I752" s="21"/>
      <c r="J752" s="21"/>
      <c r="K752" s="5" t="str">
        <f>IF(AND(LEN(H752)=0, LEN(I752)=0), "", IF(AND(LEN(H752)&gt;0, LEN(I752)=0), "BLANCO", IFERROR(VLOOKUP(I752, BasedatosM9!A:B, 2, FALSE), "BLANCO")))</f>
        <v/>
      </c>
      <c r="W752" s="5" t="str">
        <f>IF(AND(LEN(T752)=0, LEN(U752)=0), "", IF(AND(LEN(T752)&gt;0, LEN(U752)=0), "BLANCO", IFERROR(VLOOKUP(U752, BasedatosM9!A:B, 2, FALSE), "BLANCO")))</f>
        <v/>
      </c>
      <c r="AI752" s="5" t="str">
        <f>IF(AND(LEN(AF752)=0, LEN(AG752)=0), "", IF(AND(LEN(AF752)&gt;0, LEN(AG752)=0), "BLANCO", IFERROR(VLOOKUP(AG752, BasedatosM9!A:B, 2, FALSE), "BLANCO")))</f>
        <v/>
      </c>
      <c r="AU752" s="5" t="str">
        <f>IF(AND(LEN(AR752)=0, LEN(AS752)=0), "", IF(AND(LEN(AR752)&gt;0, LEN(AS752)=0), "BLANCO", IFERROR(VLOOKUP(AS752, BasedatosM9!A:B, 2, FALSE), "BLANCO")))</f>
        <v/>
      </c>
    </row>
    <row r="753" spans="1:47" ht="14.4">
      <c r="A753" s="21"/>
      <c r="B753" s="86"/>
      <c r="C753" s="98"/>
      <c r="D753" s="21"/>
      <c r="E753" s="86"/>
      <c r="F753" s="99"/>
      <c r="G753" s="99"/>
      <c r="H753" s="21"/>
      <c r="I753" s="86"/>
      <c r="J753" s="21"/>
      <c r="K753" s="5" t="str">
        <f>IF(AND(LEN(H753)=0, LEN(I753)=0), "", IF(AND(LEN(H753)&gt;0, LEN(I753)=0), "BLANCO", IFERROR(VLOOKUP(I753, BasedatosM9!A:B, 2, FALSE), "BLANCO")))</f>
        <v/>
      </c>
      <c r="W753" s="5" t="str">
        <f>IF(AND(LEN(T753)=0, LEN(U753)=0), "", IF(AND(LEN(T753)&gt;0, LEN(U753)=0), "BLANCO", IFERROR(VLOOKUP(U753, BasedatosM9!A:B, 2, FALSE), "BLANCO")))</f>
        <v/>
      </c>
      <c r="AI753" s="5" t="str">
        <f>IF(AND(LEN(AF753)=0, LEN(AG753)=0), "", IF(AND(LEN(AF753)&gt;0, LEN(AG753)=0), "BLANCO", IFERROR(VLOOKUP(AG753, BasedatosM9!A:B, 2, FALSE), "BLANCO")))</f>
        <v/>
      </c>
      <c r="AU753" s="5" t="str">
        <f>IF(AND(LEN(AR753)=0, LEN(AS753)=0), "", IF(AND(LEN(AR753)&gt;0, LEN(AS753)=0), "BLANCO", IFERROR(VLOOKUP(AS753, BasedatosM9!A:B, 2, FALSE), "BLANCO")))</f>
        <v/>
      </c>
    </row>
    <row r="754" spans="1:47" ht="14.4">
      <c r="A754" s="21"/>
      <c r="B754" s="86"/>
      <c r="C754" s="98"/>
      <c r="D754" s="21"/>
      <c r="E754" s="86"/>
      <c r="F754" s="99"/>
      <c r="G754" s="99"/>
      <c r="H754" s="21"/>
      <c r="I754" s="21"/>
      <c r="J754" s="21"/>
      <c r="K754" s="5" t="str">
        <f>IF(AND(LEN(H754)=0, LEN(I754)=0), "", IF(AND(LEN(H754)&gt;0, LEN(I754)=0), "BLANCO", IFERROR(VLOOKUP(I754, BasedatosM9!A:B, 2, FALSE), "BLANCO")))</f>
        <v/>
      </c>
      <c r="W754" s="5" t="str">
        <f>IF(AND(LEN(T754)=0, LEN(U754)=0), "", IF(AND(LEN(T754)&gt;0, LEN(U754)=0), "BLANCO", IFERROR(VLOOKUP(U754, BasedatosM9!A:B, 2, FALSE), "BLANCO")))</f>
        <v/>
      </c>
      <c r="AI754" s="5" t="str">
        <f>IF(AND(LEN(AF754)=0, LEN(AG754)=0), "", IF(AND(LEN(AF754)&gt;0, LEN(AG754)=0), "BLANCO", IFERROR(VLOOKUP(AG754, BasedatosM9!A:B, 2, FALSE), "BLANCO")))</f>
        <v/>
      </c>
      <c r="AU754" s="5" t="str">
        <f>IF(AND(LEN(AR754)=0, LEN(AS754)=0), "", IF(AND(LEN(AR754)&gt;0, LEN(AS754)=0), "BLANCO", IFERROR(VLOOKUP(AS754, BasedatosM9!A:B, 2, FALSE), "BLANCO")))</f>
        <v/>
      </c>
    </row>
    <row r="755" spans="1:47" ht="14.4">
      <c r="A755" s="21"/>
      <c r="B755" s="86"/>
      <c r="C755" s="98"/>
      <c r="D755" s="21"/>
      <c r="E755" s="86"/>
      <c r="F755" s="99"/>
      <c r="G755" s="99"/>
      <c r="H755" s="21"/>
      <c r="I755" s="21"/>
      <c r="J755" s="21"/>
      <c r="K755" s="5" t="str">
        <f>IF(AND(LEN(H755)=0, LEN(I755)=0), "", IF(AND(LEN(H755)&gt;0, LEN(I755)=0), "BLANCO", IFERROR(VLOOKUP(I755, BasedatosM9!A:B, 2, FALSE), "BLANCO")))</f>
        <v/>
      </c>
      <c r="W755" s="5" t="str">
        <f>IF(AND(LEN(T755)=0, LEN(U755)=0), "", IF(AND(LEN(T755)&gt;0, LEN(U755)=0), "BLANCO", IFERROR(VLOOKUP(U755, BasedatosM9!A:B, 2, FALSE), "BLANCO")))</f>
        <v/>
      </c>
      <c r="AI755" s="5" t="str">
        <f>IF(AND(LEN(AF755)=0, LEN(AG755)=0), "", IF(AND(LEN(AF755)&gt;0, LEN(AG755)=0), "BLANCO", IFERROR(VLOOKUP(AG755, BasedatosM9!A:B, 2, FALSE), "BLANCO")))</f>
        <v/>
      </c>
      <c r="AU755" s="5" t="str">
        <f>IF(AND(LEN(AR755)=0, LEN(AS755)=0), "", IF(AND(LEN(AR755)&gt;0, LEN(AS755)=0), "BLANCO", IFERROR(VLOOKUP(AS755, BasedatosM9!A:B, 2, FALSE), "BLANCO")))</f>
        <v/>
      </c>
    </row>
    <row r="756" spans="1:47" ht="14.4">
      <c r="A756" s="21"/>
      <c r="B756" s="86"/>
      <c r="C756" s="98"/>
      <c r="D756" s="21"/>
      <c r="E756" s="86"/>
      <c r="F756" s="99"/>
      <c r="G756" s="99"/>
      <c r="H756" s="21"/>
      <c r="I756" s="86"/>
      <c r="J756" s="21"/>
      <c r="K756" s="5" t="str">
        <f>IF(AND(LEN(H756)=0, LEN(I756)=0), "", IF(AND(LEN(H756)&gt;0, LEN(I756)=0), "BLANCO", IFERROR(VLOOKUP(I756, BasedatosM9!A:B, 2, FALSE), "BLANCO")))</f>
        <v/>
      </c>
      <c r="W756" s="5" t="str">
        <f>IF(AND(LEN(T756)=0, LEN(U756)=0), "", IF(AND(LEN(T756)&gt;0, LEN(U756)=0), "BLANCO", IFERROR(VLOOKUP(U756, BasedatosM9!A:B, 2, FALSE), "BLANCO")))</f>
        <v/>
      </c>
      <c r="AI756" s="5" t="str">
        <f>IF(AND(LEN(AF756)=0, LEN(AG756)=0), "", IF(AND(LEN(AF756)&gt;0, LEN(AG756)=0), "BLANCO", IFERROR(VLOOKUP(AG756, BasedatosM9!A:B, 2, FALSE), "BLANCO")))</f>
        <v/>
      </c>
      <c r="AU756" s="5" t="str">
        <f>IF(AND(LEN(AR756)=0, LEN(AS756)=0), "", IF(AND(LEN(AR756)&gt;0, LEN(AS756)=0), "BLANCO", IFERROR(VLOOKUP(AS756, BasedatosM9!A:B, 2, FALSE), "BLANCO")))</f>
        <v/>
      </c>
    </row>
    <row r="757" spans="1:47" ht="14.4">
      <c r="A757" s="21"/>
      <c r="B757" s="86"/>
      <c r="C757" s="98"/>
      <c r="D757" s="21"/>
      <c r="E757" s="86"/>
      <c r="F757" s="99"/>
      <c r="G757" s="99"/>
      <c r="H757" s="21"/>
      <c r="I757" s="86"/>
      <c r="J757" s="21"/>
      <c r="K757" s="5" t="str">
        <f>IF(AND(LEN(H757)=0, LEN(I757)=0), "", IF(AND(LEN(H757)&gt;0, LEN(I757)=0), "BLANCO", IFERROR(VLOOKUP(I757, BasedatosM9!A:B, 2, FALSE), "BLANCO")))</f>
        <v/>
      </c>
      <c r="W757" s="5" t="str">
        <f>IF(AND(LEN(T757)=0, LEN(U757)=0), "", IF(AND(LEN(T757)&gt;0, LEN(U757)=0), "BLANCO", IFERROR(VLOOKUP(U757, BasedatosM9!A:B, 2, FALSE), "BLANCO")))</f>
        <v/>
      </c>
      <c r="AI757" s="5" t="str">
        <f>IF(AND(LEN(AF757)=0, LEN(AG757)=0), "", IF(AND(LEN(AF757)&gt;0, LEN(AG757)=0), "BLANCO", IFERROR(VLOOKUP(AG757, BasedatosM9!A:B, 2, FALSE), "BLANCO")))</f>
        <v/>
      </c>
      <c r="AU757" s="5" t="str">
        <f>IF(AND(LEN(AR757)=0, LEN(AS757)=0), "", IF(AND(LEN(AR757)&gt;0, LEN(AS757)=0), "BLANCO", IFERROR(VLOOKUP(AS757, BasedatosM9!A:B, 2, FALSE), "BLANCO")))</f>
        <v/>
      </c>
    </row>
    <row r="758" spans="1:47" ht="14.4">
      <c r="A758" s="21"/>
      <c r="B758" s="86"/>
      <c r="C758" s="98"/>
      <c r="D758" s="21"/>
      <c r="E758" s="86"/>
      <c r="F758" s="99"/>
      <c r="G758" s="99"/>
      <c r="H758" s="21"/>
      <c r="I758" s="21"/>
      <c r="J758" s="21"/>
      <c r="K758" s="5" t="str">
        <f>IF(AND(LEN(H758)=0, LEN(I758)=0), "", IF(AND(LEN(H758)&gt;0, LEN(I758)=0), "BLANCO", IFERROR(VLOOKUP(I758, BasedatosM9!A:B, 2, FALSE), "BLANCO")))</f>
        <v/>
      </c>
      <c r="W758" s="5" t="str">
        <f>IF(AND(LEN(T758)=0, LEN(U758)=0), "", IF(AND(LEN(T758)&gt;0, LEN(U758)=0), "BLANCO", IFERROR(VLOOKUP(U758, BasedatosM9!A:B, 2, FALSE), "BLANCO")))</f>
        <v/>
      </c>
      <c r="AI758" s="5" t="str">
        <f>IF(AND(LEN(AF758)=0, LEN(AG758)=0), "", IF(AND(LEN(AF758)&gt;0, LEN(AG758)=0), "BLANCO", IFERROR(VLOOKUP(AG758, BasedatosM9!A:B, 2, FALSE), "BLANCO")))</f>
        <v/>
      </c>
      <c r="AU758" s="5" t="str">
        <f>IF(AND(LEN(AR758)=0, LEN(AS758)=0), "", IF(AND(LEN(AR758)&gt;0, LEN(AS758)=0), "BLANCO", IFERROR(VLOOKUP(AS758, BasedatosM9!A:B, 2, FALSE), "BLANCO")))</f>
        <v/>
      </c>
    </row>
    <row r="759" spans="1:47" ht="14.4">
      <c r="A759" s="21"/>
      <c r="B759" s="86"/>
      <c r="C759" s="98"/>
      <c r="D759" s="21"/>
      <c r="E759" s="86"/>
      <c r="F759" s="99"/>
      <c r="G759" s="99"/>
      <c r="H759" s="21"/>
      <c r="I759" s="86"/>
      <c r="J759" s="21"/>
      <c r="K759" s="5" t="str">
        <f>IF(AND(LEN(H759)=0, LEN(I759)=0), "", IF(AND(LEN(H759)&gt;0, LEN(I759)=0), "BLANCO", IFERROR(VLOOKUP(I759, BasedatosM9!A:B, 2, FALSE), "BLANCO")))</f>
        <v/>
      </c>
      <c r="W759" s="5" t="str">
        <f>IF(AND(LEN(T759)=0, LEN(U759)=0), "", IF(AND(LEN(T759)&gt;0, LEN(U759)=0), "BLANCO", IFERROR(VLOOKUP(U759, BasedatosM9!A:B, 2, FALSE), "BLANCO")))</f>
        <v/>
      </c>
      <c r="AI759" s="5" t="str">
        <f>IF(AND(LEN(AF759)=0, LEN(AG759)=0), "", IF(AND(LEN(AF759)&gt;0, LEN(AG759)=0), "BLANCO", IFERROR(VLOOKUP(AG759, BasedatosM9!A:B, 2, FALSE), "BLANCO")))</f>
        <v/>
      </c>
      <c r="AU759" s="5" t="str">
        <f>IF(AND(LEN(AR759)=0, LEN(AS759)=0), "", IF(AND(LEN(AR759)&gt;0, LEN(AS759)=0), "BLANCO", IFERROR(VLOOKUP(AS759, BasedatosM9!A:B, 2, FALSE), "BLANCO")))</f>
        <v/>
      </c>
    </row>
    <row r="760" spans="1:47" ht="14.4">
      <c r="A760" s="21"/>
      <c r="B760" s="86"/>
      <c r="C760" s="98"/>
      <c r="D760" s="21"/>
      <c r="E760" s="86"/>
      <c r="F760" s="99"/>
      <c r="G760" s="99"/>
      <c r="H760" s="21"/>
      <c r="I760" s="86"/>
      <c r="J760" s="21"/>
      <c r="K760" s="5" t="str">
        <f>IF(AND(LEN(H760)=0, LEN(I760)=0), "", IF(AND(LEN(H760)&gt;0, LEN(I760)=0), "BLANCO", IFERROR(VLOOKUP(I760, BasedatosM9!A:B, 2, FALSE), "BLANCO")))</f>
        <v/>
      </c>
      <c r="W760" s="5" t="str">
        <f>IF(AND(LEN(T760)=0, LEN(U760)=0), "", IF(AND(LEN(T760)&gt;0, LEN(U760)=0), "BLANCO", IFERROR(VLOOKUP(U760, BasedatosM9!A:B, 2, FALSE), "BLANCO")))</f>
        <v/>
      </c>
      <c r="AI760" s="5" t="str">
        <f>IF(AND(LEN(AF760)=0, LEN(AG760)=0), "", IF(AND(LEN(AF760)&gt;0, LEN(AG760)=0), "BLANCO", IFERROR(VLOOKUP(AG760, BasedatosM9!A:B, 2, FALSE), "BLANCO")))</f>
        <v/>
      </c>
      <c r="AU760" s="5" t="str">
        <f>IF(AND(LEN(AR760)=0, LEN(AS760)=0), "", IF(AND(LEN(AR760)&gt;0, LEN(AS760)=0), "BLANCO", IFERROR(VLOOKUP(AS760, BasedatosM9!A:B, 2, FALSE), "BLANCO")))</f>
        <v/>
      </c>
    </row>
    <row r="761" spans="1:47" ht="14.4">
      <c r="A761" s="21"/>
      <c r="B761" s="86"/>
      <c r="C761" s="98"/>
      <c r="D761" s="21"/>
      <c r="E761" s="86"/>
      <c r="F761" s="99"/>
      <c r="G761" s="99"/>
      <c r="H761" s="21"/>
      <c r="I761" s="86"/>
      <c r="J761" s="21"/>
      <c r="K761" s="5" t="str">
        <f>IF(AND(LEN(H761)=0, LEN(I761)=0), "", IF(AND(LEN(H761)&gt;0, LEN(I761)=0), "BLANCO", IFERROR(VLOOKUP(I761, BasedatosM9!A:B, 2, FALSE), "BLANCO")))</f>
        <v/>
      </c>
      <c r="W761" s="5" t="str">
        <f>IF(AND(LEN(T761)=0, LEN(U761)=0), "", IF(AND(LEN(T761)&gt;0, LEN(U761)=0), "BLANCO", IFERROR(VLOOKUP(U761, BasedatosM9!A:B, 2, FALSE), "BLANCO")))</f>
        <v/>
      </c>
      <c r="AI761" s="5" t="str">
        <f>IF(AND(LEN(AF761)=0, LEN(AG761)=0), "", IF(AND(LEN(AF761)&gt;0, LEN(AG761)=0), "BLANCO", IFERROR(VLOOKUP(AG761, BasedatosM9!A:B, 2, FALSE), "BLANCO")))</f>
        <v/>
      </c>
      <c r="AU761" s="5" t="str">
        <f>IF(AND(LEN(AR761)=0, LEN(AS761)=0), "", IF(AND(LEN(AR761)&gt;0, LEN(AS761)=0), "BLANCO", IFERROR(VLOOKUP(AS761, BasedatosM9!A:B, 2, FALSE), "BLANCO")))</f>
        <v/>
      </c>
    </row>
    <row r="762" spans="1:47" ht="14.4">
      <c r="A762" s="21"/>
      <c r="B762" s="86"/>
      <c r="C762" s="98"/>
      <c r="D762" s="21"/>
      <c r="E762" s="86"/>
      <c r="F762" s="99"/>
      <c r="G762" s="99"/>
      <c r="H762" s="21"/>
      <c r="I762" s="86"/>
      <c r="J762" s="21"/>
      <c r="K762" s="5" t="str">
        <f>IF(AND(LEN(H762)=0, LEN(I762)=0), "", IF(AND(LEN(H762)&gt;0, LEN(I762)=0), "BLANCO", IFERROR(VLOOKUP(I762, BasedatosM9!A:B, 2, FALSE), "BLANCO")))</f>
        <v/>
      </c>
      <c r="W762" s="5" t="str">
        <f>IF(AND(LEN(T762)=0, LEN(U762)=0), "", IF(AND(LEN(T762)&gt;0, LEN(U762)=0), "BLANCO", IFERROR(VLOOKUP(U762, BasedatosM9!A:B, 2, FALSE), "BLANCO")))</f>
        <v/>
      </c>
      <c r="AI762" s="5" t="str">
        <f>IF(AND(LEN(AF762)=0, LEN(AG762)=0), "", IF(AND(LEN(AF762)&gt;0, LEN(AG762)=0), "BLANCO", IFERROR(VLOOKUP(AG762, BasedatosM9!A:B, 2, FALSE), "BLANCO")))</f>
        <v/>
      </c>
      <c r="AU762" s="5" t="str">
        <f>IF(AND(LEN(AR762)=0, LEN(AS762)=0), "", IF(AND(LEN(AR762)&gt;0, LEN(AS762)=0), "BLANCO", IFERROR(VLOOKUP(AS762, BasedatosM9!A:B, 2, FALSE), "BLANCO")))</f>
        <v/>
      </c>
    </row>
    <row r="763" spans="1:47" ht="14.4">
      <c r="A763" s="21"/>
      <c r="B763" s="86"/>
      <c r="C763" s="98"/>
      <c r="D763" s="21"/>
      <c r="E763" s="86"/>
      <c r="F763" s="99"/>
      <c r="G763" s="99"/>
      <c r="H763" s="21"/>
      <c r="I763" s="86"/>
      <c r="J763" s="21"/>
      <c r="K763" s="5" t="str">
        <f>IF(AND(LEN(H763)=0, LEN(I763)=0), "", IF(AND(LEN(H763)&gt;0, LEN(I763)=0), "BLANCO", IFERROR(VLOOKUP(I763, BasedatosM9!A:B, 2, FALSE), "BLANCO")))</f>
        <v/>
      </c>
      <c r="W763" s="5" t="str">
        <f>IF(AND(LEN(T763)=0, LEN(U763)=0), "", IF(AND(LEN(T763)&gt;0, LEN(U763)=0), "BLANCO", IFERROR(VLOOKUP(U763, BasedatosM9!A:B, 2, FALSE), "BLANCO")))</f>
        <v/>
      </c>
      <c r="AI763" s="5" t="str">
        <f>IF(AND(LEN(AF763)=0, LEN(AG763)=0), "", IF(AND(LEN(AF763)&gt;0, LEN(AG763)=0), "BLANCO", IFERROR(VLOOKUP(AG763, BasedatosM9!A:B, 2, FALSE), "BLANCO")))</f>
        <v/>
      </c>
      <c r="AU763" s="5" t="str">
        <f>IF(AND(LEN(AR763)=0, LEN(AS763)=0), "", IF(AND(LEN(AR763)&gt;0, LEN(AS763)=0), "BLANCO", IFERROR(VLOOKUP(AS763, BasedatosM9!A:B, 2, FALSE), "BLANCO")))</f>
        <v/>
      </c>
    </row>
    <row r="764" spans="1:47" ht="14.4">
      <c r="A764" s="21"/>
      <c r="B764" s="86"/>
      <c r="C764" s="98"/>
      <c r="D764" s="21"/>
      <c r="E764" s="86"/>
      <c r="F764" s="99"/>
      <c r="G764" s="99"/>
      <c r="H764" s="21"/>
      <c r="I764" s="86"/>
      <c r="J764" s="21"/>
      <c r="K764" s="5" t="str">
        <f>IF(AND(LEN(H764)=0, LEN(I764)=0), "", IF(AND(LEN(H764)&gt;0, LEN(I764)=0), "BLANCO", IFERROR(VLOOKUP(I764, BasedatosM9!A:B, 2, FALSE), "BLANCO")))</f>
        <v/>
      </c>
      <c r="W764" s="5" t="str">
        <f>IF(AND(LEN(T764)=0, LEN(U764)=0), "", IF(AND(LEN(T764)&gt;0, LEN(U764)=0), "BLANCO", IFERROR(VLOOKUP(U764, BasedatosM9!A:B, 2, FALSE), "BLANCO")))</f>
        <v/>
      </c>
      <c r="AI764" s="5" t="str">
        <f>IF(AND(LEN(AF764)=0, LEN(AG764)=0), "", IF(AND(LEN(AF764)&gt;0, LEN(AG764)=0), "BLANCO", IFERROR(VLOOKUP(AG764, BasedatosM9!A:B, 2, FALSE), "BLANCO")))</f>
        <v/>
      </c>
      <c r="AU764" s="5" t="str">
        <f>IF(AND(LEN(AR764)=0, LEN(AS764)=0), "", IF(AND(LEN(AR764)&gt;0, LEN(AS764)=0), "BLANCO", IFERROR(VLOOKUP(AS764, BasedatosM9!A:B, 2, FALSE), "BLANCO")))</f>
        <v/>
      </c>
    </row>
    <row r="765" spans="1:47" ht="14.4">
      <c r="A765" s="21"/>
      <c r="B765" s="86"/>
      <c r="C765" s="98"/>
      <c r="D765" s="21"/>
      <c r="E765" s="86"/>
      <c r="F765" s="99"/>
      <c r="G765" s="99"/>
      <c r="H765" s="21"/>
      <c r="I765" s="86"/>
      <c r="J765" s="21"/>
      <c r="K765" s="5" t="str">
        <f>IF(AND(LEN(H765)=0, LEN(I765)=0), "", IF(AND(LEN(H765)&gt;0, LEN(I765)=0), "BLANCO", IFERROR(VLOOKUP(I765, BasedatosM9!A:B, 2, FALSE), "BLANCO")))</f>
        <v/>
      </c>
      <c r="W765" s="5" t="str">
        <f>IF(AND(LEN(T765)=0, LEN(U765)=0), "", IF(AND(LEN(T765)&gt;0, LEN(U765)=0), "BLANCO", IFERROR(VLOOKUP(U765, BasedatosM9!A:B, 2, FALSE), "BLANCO")))</f>
        <v/>
      </c>
      <c r="AI765" s="5" t="str">
        <f>IF(AND(LEN(AF765)=0, LEN(AG765)=0), "", IF(AND(LEN(AF765)&gt;0, LEN(AG765)=0), "BLANCO", IFERROR(VLOOKUP(AG765, BasedatosM9!A:B, 2, FALSE), "BLANCO")))</f>
        <v/>
      </c>
      <c r="AU765" s="5" t="str">
        <f>IF(AND(LEN(AR765)=0, LEN(AS765)=0), "", IF(AND(LEN(AR765)&gt;0, LEN(AS765)=0), "BLANCO", IFERROR(VLOOKUP(AS765, BasedatosM9!A:B, 2, FALSE), "BLANCO")))</f>
        <v/>
      </c>
    </row>
    <row r="766" spans="1:47" ht="14.4">
      <c r="A766" s="21"/>
      <c r="B766" s="86"/>
      <c r="C766" s="98"/>
      <c r="D766" s="21"/>
      <c r="E766" s="86"/>
      <c r="F766" s="99"/>
      <c r="G766" s="99"/>
      <c r="H766" s="21"/>
      <c r="I766" s="86"/>
      <c r="J766" s="21"/>
      <c r="K766" s="5" t="str">
        <f>IF(AND(LEN(H766)=0, LEN(I766)=0), "", IF(AND(LEN(H766)&gt;0, LEN(I766)=0), "BLANCO", IFERROR(VLOOKUP(I766, BasedatosM9!A:B, 2, FALSE), "BLANCO")))</f>
        <v/>
      </c>
      <c r="W766" s="5" t="str">
        <f>IF(AND(LEN(T766)=0, LEN(U766)=0), "", IF(AND(LEN(T766)&gt;0, LEN(U766)=0), "BLANCO", IFERROR(VLOOKUP(U766, BasedatosM9!A:B, 2, FALSE), "BLANCO")))</f>
        <v/>
      </c>
      <c r="AI766" s="5" t="str">
        <f>IF(AND(LEN(AF766)=0, LEN(AG766)=0), "", IF(AND(LEN(AF766)&gt;0, LEN(AG766)=0), "BLANCO", IFERROR(VLOOKUP(AG766, BasedatosM9!A:B, 2, FALSE), "BLANCO")))</f>
        <v/>
      </c>
      <c r="AU766" s="5" t="str">
        <f>IF(AND(LEN(AR766)=0, LEN(AS766)=0), "", IF(AND(LEN(AR766)&gt;0, LEN(AS766)=0), "BLANCO", IFERROR(VLOOKUP(AS766, BasedatosM9!A:B, 2, FALSE), "BLANCO")))</f>
        <v/>
      </c>
    </row>
    <row r="767" spans="1:47" ht="14.4">
      <c r="A767" s="21"/>
      <c r="B767" s="86"/>
      <c r="C767" s="98"/>
      <c r="D767" s="21"/>
      <c r="E767" s="86"/>
      <c r="F767" s="99"/>
      <c r="G767" s="99"/>
      <c r="H767" s="21"/>
      <c r="I767" s="86"/>
      <c r="J767" s="21"/>
      <c r="K767" s="5" t="str">
        <f>IF(AND(LEN(H767)=0, LEN(I767)=0), "", IF(AND(LEN(H767)&gt;0, LEN(I767)=0), "BLANCO", IFERROR(VLOOKUP(I767, BasedatosM9!A:B, 2, FALSE), "BLANCO")))</f>
        <v/>
      </c>
      <c r="W767" s="5" t="str">
        <f>IF(AND(LEN(T767)=0, LEN(U767)=0), "", IF(AND(LEN(T767)&gt;0, LEN(U767)=0), "BLANCO", IFERROR(VLOOKUP(U767, BasedatosM9!A:B, 2, FALSE), "BLANCO")))</f>
        <v/>
      </c>
      <c r="AI767" s="5" t="str">
        <f>IF(AND(LEN(AF767)=0, LEN(AG767)=0), "", IF(AND(LEN(AF767)&gt;0, LEN(AG767)=0), "BLANCO", IFERROR(VLOOKUP(AG767, BasedatosM9!A:B, 2, FALSE), "BLANCO")))</f>
        <v/>
      </c>
      <c r="AU767" s="5" t="str">
        <f>IF(AND(LEN(AR767)=0, LEN(AS767)=0), "", IF(AND(LEN(AR767)&gt;0, LEN(AS767)=0), "BLANCO", IFERROR(VLOOKUP(AS767, BasedatosM9!A:B, 2, FALSE), "BLANCO")))</f>
        <v/>
      </c>
    </row>
    <row r="768" spans="1:47" ht="14.4">
      <c r="A768" s="21"/>
      <c r="B768" s="86"/>
      <c r="C768" s="98"/>
      <c r="D768" s="21"/>
      <c r="E768" s="86"/>
      <c r="F768" s="99"/>
      <c r="G768" s="99"/>
      <c r="H768" s="21"/>
      <c r="I768" s="86"/>
      <c r="J768" s="21"/>
      <c r="K768" s="5" t="str">
        <f>IF(AND(LEN(H768)=0, LEN(I768)=0), "", IF(AND(LEN(H768)&gt;0, LEN(I768)=0), "BLANCO", IFERROR(VLOOKUP(I768, BasedatosM9!A:B, 2, FALSE), "BLANCO")))</f>
        <v/>
      </c>
      <c r="W768" s="5" t="str">
        <f>IF(AND(LEN(T768)=0, LEN(U768)=0), "", IF(AND(LEN(T768)&gt;0, LEN(U768)=0), "BLANCO", IFERROR(VLOOKUP(U768, BasedatosM9!A:B, 2, FALSE), "BLANCO")))</f>
        <v/>
      </c>
      <c r="AI768" s="5" t="str">
        <f>IF(AND(LEN(AF768)=0, LEN(AG768)=0), "", IF(AND(LEN(AF768)&gt;0, LEN(AG768)=0), "BLANCO", IFERROR(VLOOKUP(AG768, BasedatosM9!A:B, 2, FALSE), "BLANCO")))</f>
        <v/>
      </c>
      <c r="AU768" s="5" t="str">
        <f>IF(AND(LEN(AR768)=0, LEN(AS768)=0), "", IF(AND(LEN(AR768)&gt;0, LEN(AS768)=0), "BLANCO", IFERROR(VLOOKUP(AS768, BasedatosM9!A:B, 2, FALSE), "BLANCO")))</f>
        <v/>
      </c>
    </row>
    <row r="769" spans="1:47" ht="14.4">
      <c r="A769" s="21"/>
      <c r="B769" s="86"/>
      <c r="C769" s="98"/>
      <c r="D769" s="21"/>
      <c r="E769" s="86"/>
      <c r="F769" s="99"/>
      <c r="G769" s="99"/>
      <c r="H769" s="21"/>
      <c r="I769" s="86"/>
      <c r="J769" s="21"/>
      <c r="K769" s="5" t="str">
        <f>IF(AND(LEN(H769)=0, LEN(I769)=0), "", IF(AND(LEN(H769)&gt;0, LEN(I769)=0), "BLANCO", IFERROR(VLOOKUP(I769, BasedatosM9!A:B, 2, FALSE), "BLANCO")))</f>
        <v/>
      </c>
      <c r="W769" s="5" t="str">
        <f>IF(AND(LEN(T769)=0, LEN(U769)=0), "", IF(AND(LEN(T769)&gt;0, LEN(U769)=0), "BLANCO", IFERROR(VLOOKUP(U769, BasedatosM9!A:B, 2, FALSE), "BLANCO")))</f>
        <v/>
      </c>
      <c r="AI769" s="5" t="str">
        <f>IF(AND(LEN(AF769)=0, LEN(AG769)=0), "", IF(AND(LEN(AF769)&gt;0, LEN(AG769)=0), "BLANCO", IFERROR(VLOOKUP(AG769, BasedatosM9!A:B, 2, FALSE), "BLANCO")))</f>
        <v/>
      </c>
      <c r="AU769" s="5" t="str">
        <f>IF(AND(LEN(AR769)=0, LEN(AS769)=0), "", IF(AND(LEN(AR769)&gt;0, LEN(AS769)=0), "BLANCO", IFERROR(VLOOKUP(AS769, BasedatosM9!A:B, 2, FALSE), "BLANCO")))</f>
        <v/>
      </c>
    </row>
    <row r="770" spans="1:47" ht="14.4">
      <c r="A770" s="21"/>
      <c r="B770" s="86"/>
      <c r="C770" s="98"/>
      <c r="D770" s="21"/>
      <c r="E770" s="86"/>
      <c r="F770" s="99"/>
      <c r="G770" s="99"/>
      <c r="H770" s="21"/>
      <c r="I770" s="86"/>
      <c r="J770" s="21"/>
      <c r="K770" s="5" t="str">
        <f>IF(AND(LEN(H770)=0, LEN(I770)=0), "", IF(AND(LEN(H770)&gt;0, LEN(I770)=0), "BLANCO", IFERROR(VLOOKUP(I770, BasedatosM9!A:B, 2, FALSE), "BLANCO")))</f>
        <v/>
      </c>
      <c r="W770" s="5" t="str">
        <f>IF(AND(LEN(T770)=0, LEN(U770)=0), "", IF(AND(LEN(T770)&gt;0, LEN(U770)=0), "BLANCO", IFERROR(VLOOKUP(U770, BasedatosM9!A:B, 2, FALSE), "BLANCO")))</f>
        <v/>
      </c>
      <c r="AI770" s="5" t="str">
        <f>IF(AND(LEN(AF770)=0, LEN(AG770)=0), "", IF(AND(LEN(AF770)&gt;0, LEN(AG770)=0), "BLANCO", IFERROR(VLOOKUP(AG770, BasedatosM9!A:B, 2, FALSE), "BLANCO")))</f>
        <v/>
      </c>
      <c r="AU770" s="5" t="str">
        <f>IF(AND(LEN(AR770)=0, LEN(AS770)=0), "", IF(AND(LEN(AR770)&gt;0, LEN(AS770)=0), "BLANCO", IFERROR(VLOOKUP(AS770, BasedatosM9!A:B, 2, FALSE), "BLANCO")))</f>
        <v/>
      </c>
    </row>
    <row r="771" spans="1:47" ht="14.4">
      <c r="A771" s="21"/>
      <c r="B771" s="86"/>
      <c r="C771" s="98"/>
      <c r="D771" s="21"/>
      <c r="E771" s="86"/>
      <c r="F771" s="99"/>
      <c r="G771" s="99"/>
      <c r="H771" s="21"/>
      <c r="I771" s="86"/>
      <c r="J771" s="21"/>
      <c r="K771" s="5" t="str">
        <f>IF(AND(LEN(H771)=0, LEN(I771)=0), "", IF(AND(LEN(H771)&gt;0, LEN(I771)=0), "BLANCO", IFERROR(VLOOKUP(I771, BasedatosM9!A:B, 2, FALSE), "BLANCO")))</f>
        <v/>
      </c>
      <c r="W771" s="5" t="str">
        <f>IF(AND(LEN(T771)=0, LEN(U771)=0), "", IF(AND(LEN(T771)&gt;0, LEN(U771)=0), "BLANCO", IFERROR(VLOOKUP(U771, BasedatosM9!A:B, 2, FALSE), "BLANCO")))</f>
        <v/>
      </c>
      <c r="AI771" s="5" t="str">
        <f>IF(AND(LEN(AF771)=0, LEN(AG771)=0), "", IF(AND(LEN(AF771)&gt;0, LEN(AG771)=0), "BLANCO", IFERROR(VLOOKUP(AG771, BasedatosM9!A:B, 2, FALSE), "BLANCO")))</f>
        <v/>
      </c>
      <c r="AU771" s="5" t="str">
        <f>IF(AND(LEN(AR771)=0, LEN(AS771)=0), "", IF(AND(LEN(AR771)&gt;0, LEN(AS771)=0), "BLANCO", IFERROR(VLOOKUP(AS771, BasedatosM9!A:B, 2, FALSE), "BLANCO")))</f>
        <v/>
      </c>
    </row>
    <row r="772" spans="1:47" ht="14.4">
      <c r="A772" s="21"/>
      <c r="B772" s="86"/>
      <c r="C772" s="98"/>
      <c r="D772" s="21"/>
      <c r="E772" s="86"/>
      <c r="F772" s="99"/>
      <c r="G772" s="99"/>
      <c r="H772" s="21"/>
      <c r="I772" s="86"/>
      <c r="J772" s="21"/>
      <c r="K772" s="5" t="str">
        <f>IF(AND(LEN(H772)=0, LEN(I772)=0), "", IF(AND(LEN(H772)&gt;0, LEN(I772)=0), "BLANCO", IFERROR(VLOOKUP(I772, BasedatosM9!A:B, 2, FALSE), "BLANCO")))</f>
        <v/>
      </c>
      <c r="W772" s="5" t="str">
        <f>IF(AND(LEN(T772)=0, LEN(U772)=0), "", IF(AND(LEN(T772)&gt;0, LEN(U772)=0), "BLANCO", IFERROR(VLOOKUP(U772, BasedatosM9!A:B, 2, FALSE), "BLANCO")))</f>
        <v/>
      </c>
      <c r="AI772" s="5" t="str">
        <f>IF(AND(LEN(AF772)=0, LEN(AG772)=0), "", IF(AND(LEN(AF772)&gt;0, LEN(AG772)=0), "BLANCO", IFERROR(VLOOKUP(AG772, BasedatosM9!A:B, 2, FALSE), "BLANCO")))</f>
        <v/>
      </c>
      <c r="AU772" s="5" t="str">
        <f>IF(AND(LEN(AR772)=0, LEN(AS772)=0), "", IF(AND(LEN(AR772)&gt;0, LEN(AS772)=0), "BLANCO", IFERROR(VLOOKUP(AS772, BasedatosM9!A:B, 2, FALSE), "BLANCO")))</f>
        <v/>
      </c>
    </row>
    <row r="773" spans="1:47" ht="14.4">
      <c r="A773" s="21"/>
      <c r="B773" s="86"/>
      <c r="C773" s="98"/>
      <c r="D773" s="21"/>
      <c r="E773" s="86"/>
      <c r="F773" s="99"/>
      <c r="G773" s="99"/>
      <c r="H773" s="21"/>
      <c r="I773" s="21"/>
      <c r="J773" s="21"/>
      <c r="K773" s="5" t="str">
        <f>IF(AND(LEN(H773)=0, LEN(I773)=0), "", IF(AND(LEN(H773)&gt;0, LEN(I773)=0), "BLANCO", IFERROR(VLOOKUP(I773, BasedatosM9!A:B, 2, FALSE), "BLANCO")))</f>
        <v/>
      </c>
      <c r="W773" s="5" t="str">
        <f>IF(AND(LEN(T773)=0, LEN(U773)=0), "", IF(AND(LEN(T773)&gt;0, LEN(U773)=0), "BLANCO", IFERROR(VLOOKUP(U773, BasedatosM9!A:B, 2, FALSE), "BLANCO")))</f>
        <v/>
      </c>
      <c r="AI773" s="5" t="str">
        <f>IF(AND(LEN(AF773)=0, LEN(AG773)=0), "", IF(AND(LEN(AF773)&gt;0, LEN(AG773)=0), "BLANCO", IFERROR(VLOOKUP(AG773, BasedatosM9!A:B, 2, FALSE), "BLANCO")))</f>
        <v/>
      </c>
      <c r="AU773" s="5" t="str">
        <f>IF(AND(LEN(AR773)=0, LEN(AS773)=0), "", IF(AND(LEN(AR773)&gt;0, LEN(AS773)=0), "BLANCO", IFERROR(VLOOKUP(AS773, BasedatosM9!A:B, 2, FALSE), "BLANCO")))</f>
        <v/>
      </c>
    </row>
    <row r="774" spans="1:47" ht="14.4">
      <c r="A774" s="21"/>
      <c r="B774" s="86"/>
      <c r="C774" s="98"/>
      <c r="D774" s="21"/>
      <c r="E774" s="86"/>
      <c r="F774" s="99"/>
      <c r="G774" s="99"/>
      <c r="H774" s="21"/>
      <c r="I774" s="21"/>
      <c r="J774" s="21"/>
      <c r="K774" s="5" t="str">
        <f>IF(AND(LEN(H774)=0, LEN(I774)=0), "", IF(AND(LEN(H774)&gt;0, LEN(I774)=0), "BLANCO", IFERROR(VLOOKUP(I774, BasedatosM9!A:B, 2, FALSE), "BLANCO")))</f>
        <v/>
      </c>
      <c r="W774" s="5" t="str">
        <f>IF(AND(LEN(T774)=0, LEN(U774)=0), "", IF(AND(LEN(T774)&gt;0, LEN(U774)=0), "BLANCO", IFERROR(VLOOKUP(U774, BasedatosM9!A:B, 2, FALSE), "BLANCO")))</f>
        <v/>
      </c>
      <c r="AI774" s="5" t="str">
        <f>IF(AND(LEN(AF774)=0, LEN(AG774)=0), "", IF(AND(LEN(AF774)&gt;0, LEN(AG774)=0), "BLANCO", IFERROR(VLOOKUP(AG774, BasedatosM9!A:B, 2, FALSE), "BLANCO")))</f>
        <v/>
      </c>
      <c r="AU774" s="5" t="str">
        <f>IF(AND(LEN(AR774)=0, LEN(AS774)=0), "", IF(AND(LEN(AR774)&gt;0, LEN(AS774)=0), "BLANCO", IFERROR(VLOOKUP(AS774, BasedatosM9!A:B, 2, FALSE), "BLANCO")))</f>
        <v/>
      </c>
    </row>
    <row r="775" spans="1:47" ht="14.4">
      <c r="A775" s="21"/>
      <c r="B775" s="86"/>
      <c r="C775" s="98"/>
      <c r="D775" s="21"/>
      <c r="E775" s="86"/>
      <c r="F775" s="99"/>
      <c r="G775" s="99"/>
      <c r="H775" s="21"/>
      <c r="I775" s="86"/>
      <c r="J775" s="21"/>
      <c r="K775" s="5" t="str">
        <f>IF(AND(LEN(H775)=0, LEN(I775)=0), "", IF(AND(LEN(H775)&gt;0, LEN(I775)=0), "BLANCO", IFERROR(VLOOKUP(I775, BasedatosM9!A:B, 2, FALSE), "BLANCO")))</f>
        <v/>
      </c>
      <c r="W775" s="5" t="str">
        <f>IF(AND(LEN(T775)=0, LEN(U775)=0), "", IF(AND(LEN(T775)&gt;0, LEN(U775)=0), "BLANCO", IFERROR(VLOOKUP(U775, BasedatosM9!A:B, 2, FALSE), "BLANCO")))</f>
        <v/>
      </c>
      <c r="AI775" s="5" t="str">
        <f>IF(AND(LEN(AF775)=0, LEN(AG775)=0), "", IF(AND(LEN(AF775)&gt;0, LEN(AG775)=0), "BLANCO", IFERROR(VLOOKUP(AG775, BasedatosM9!A:B, 2, FALSE), "BLANCO")))</f>
        <v/>
      </c>
      <c r="AU775" s="5" t="str">
        <f>IF(AND(LEN(AR775)=0, LEN(AS775)=0), "", IF(AND(LEN(AR775)&gt;0, LEN(AS775)=0), "BLANCO", IFERROR(VLOOKUP(AS775, BasedatosM9!A:B, 2, FALSE), "BLANCO")))</f>
        <v/>
      </c>
    </row>
    <row r="776" spans="1:47" ht="14.4">
      <c r="A776" s="21"/>
      <c r="B776" s="86"/>
      <c r="C776" s="98"/>
      <c r="D776" s="21"/>
      <c r="E776" s="86"/>
      <c r="F776" s="99"/>
      <c r="G776" s="99"/>
      <c r="H776" s="21"/>
      <c r="I776" s="21"/>
      <c r="J776" s="21"/>
      <c r="K776" s="5" t="str">
        <f>IF(AND(LEN(H776)=0, LEN(I776)=0), "", IF(AND(LEN(H776)&gt;0, LEN(I776)=0), "BLANCO", IFERROR(VLOOKUP(I776, BasedatosM9!A:B, 2, FALSE), "BLANCO")))</f>
        <v/>
      </c>
      <c r="W776" s="5" t="str">
        <f>IF(AND(LEN(T776)=0, LEN(U776)=0), "", IF(AND(LEN(T776)&gt;0, LEN(U776)=0), "BLANCO", IFERROR(VLOOKUP(U776, BasedatosM9!A:B, 2, FALSE), "BLANCO")))</f>
        <v/>
      </c>
      <c r="AI776" s="5" t="str">
        <f>IF(AND(LEN(AF776)=0, LEN(AG776)=0), "", IF(AND(LEN(AF776)&gt;0, LEN(AG776)=0), "BLANCO", IFERROR(VLOOKUP(AG776, BasedatosM9!A:B, 2, FALSE), "BLANCO")))</f>
        <v/>
      </c>
      <c r="AU776" s="5" t="str">
        <f>IF(AND(LEN(AR776)=0, LEN(AS776)=0), "", IF(AND(LEN(AR776)&gt;0, LEN(AS776)=0), "BLANCO", IFERROR(VLOOKUP(AS776, BasedatosM9!A:B, 2, FALSE), "BLANCO")))</f>
        <v/>
      </c>
    </row>
    <row r="777" spans="1:47" ht="14.4">
      <c r="A777" s="21"/>
      <c r="B777" s="86"/>
      <c r="C777" s="98"/>
      <c r="D777" s="21"/>
      <c r="E777" s="86"/>
      <c r="F777" s="99"/>
      <c r="G777" s="99"/>
      <c r="H777" s="21"/>
      <c r="I777" s="86"/>
      <c r="J777" s="21"/>
      <c r="K777" s="5" t="str">
        <f>IF(AND(LEN(H777)=0, LEN(I777)=0), "", IF(AND(LEN(H777)&gt;0, LEN(I777)=0), "BLANCO", IFERROR(VLOOKUP(I777, BasedatosM9!A:B, 2, FALSE), "BLANCO")))</f>
        <v/>
      </c>
      <c r="W777" s="5" t="str">
        <f>IF(AND(LEN(T777)=0, LEN(U777)=0), "", IF(AND(LEN(T777)&gt;0, LEN(U777)=0), "BLANCO", IFERROR(VLOOKUP(U777, BasedatosM9!A:B, 2, FALSE), "BLANCO")))</f>
        <v/>
      </c>
      <c r="AI777" s="5" t="str">
        <f>IF(AND(LEN(AF777)=0, LEN(AG777)=0), "", IF(AND(LEN(AF777)&gt;0, LEN(AG777)=0), "BLANCO", IFERROR(VLOOKUP(AG777, BasedatosM9!A:B, 2, FALSE), "BLANCO")))</f>
        <v/>
      </c>
      <c r="AU777" s="5" t="str">
        <f>IF(AND(LEN(AR777)=0, LEN(AS777)=0), "", IF(AND(LEN(AR777)&gt;0, LEN(AS777)=0), "BLANCO", IFERROR(VLOOKUP(AS777, BasedatosM9!A:B, 2, FALSE), "BLANCO")))</f>
        <v/>
      </c>
    </row>
    <row r="778" spans="1:47" ht="14.4">
      <c r="A778" s="21"/>
      <c r="B778" s="86"/>
      <c r="C778" s="98"/>
      <c r="D778" s="21"/>
      <c r="E778" s="86"/>
      <c r="F778" s="99"/>
      <c r="G778" s="99"/>
      <c r="H778" s="21"/>
      <c r="I778" s="86"/>
      <c r="J778" s="21"/>
      <c r="K778" s="5" t="str">
        <f>IF(AND(LEN(H778)=0, LEN(I778)=0), "", IF(AND(LEN(H778)&gt;0, LEN(I778)=0), "BLANCO", IFERROR(VLOOKUP(I778, BasedatosM9!A:B, 2, FALSE), "BLANCO")))</f>
        <v/>
      </c>
      <c r="W778" s="5" t="str">
        <f>IF(AND(LEN(T778)=0, LEN(U778)=0), "", IF(AND(LEN(T778)&gt;0, LEN(U778)=0), "BLANCO", IFERROR(VLOOKUP(U778, BasedatosM9!A:B, 2, FALSE), "BLANCO")))</f>
        <v/>
      </c>
      <c r="AI778" s="5" t="str">
        <f>IF(AND(LEN(AF778)=0, LEN(AG778)=0), "", IF(AND(LEN(AF778)&gt;0, LEN(AG778)=0), "BLANCO", IFERROR(VLOOKUP(AG778, BasedatosM9!A:B, 2, FALSE), "BLANCO")))</f>
        <v/>
      </c>
      <c r="AU778" s="5" t="str">
        <f>IF(AND(LEN(AR778)=0, LEN(AS778)=0), "", IF(AND(LEN(AR778)&gt;0, LEN(AS778)=0), "BLANCO", IFERROR(VLOOKUP(AS778, BasedatosM9!A:B, 2, FALSE), "BLANCO")))</f>
        <v/>
      </c>
    </row>
    <row r="779" spans="1:47" ht="14.4">
      <c r="A779" s="21"/>
      <c r="B779" s="86"/>
      <c r="C779" s="98"/>
      <c r="D779" s="21"/>
      <c r="E779" s="86"/>
      <c r="F779" s="99"/>
      <c r="G779" s="99"/>
      <c r="H779" s="21"/>
      <c r="I779" s="86"/>
      <c r="J779" s="21"/>
      <c r="K779" s="5" t="str">
        <f>IF(AND(LEN(H779)=0, LEN(I779)=0), "", IF(AND(LEN(H779)&gt;0, LEN(I779)=0), "BLANCO", IFERROR(VLOOKUP(I779, BasedatosM9!A:B, 2, FALSE), "BLANCO")))</f>
        <v/>
      </c>
      <c r="W779" s="5" t="str">
        <f>IF(AND(LEN(T779)=0, LEN(U779)=0), "", IF(AND(LEN(T779)&gt;0, LEN(U779)=0), "BLANCO", IFERROR(VLOOKUP(U779, BasedatosM9!A:B, 2, FALSE), "BLANCO")))</f>
        <v/>
      </c>
      <c r="AI779" s="5" t="str">
        <f>IF(AND(LEN(AF779)=0, LEN(AG779)=0), "", IF(AND(LEN(AF779)&gt;0, LEN(AG779)=0), "BLANCO", IFERROR(VLOOKUP(AG779, BasedatosM9!A:B, 2, FALSE), "BLANCO")))</f>
        <v/>
      </c>
      <c r="AU779" s="5" t="str">
        <f>IF(AND(LEN(AR779)=0, LEN(AS779)=0), "", IF(AND(LEN(AR779)&gt;0, LEN(AS779)=0), "BLANCO", IFERROR(VLOOKUP(AS779, BasedatosM9!A:B, 2, FALSE), "BLANCO")))</f>
        <v/>
      </c>
    </row>
    <row r="780" spans="1:47" ht="14.4">
      <c r="A780" s="21"/>
      <c r="B780" s="86"/>
      <c r="C780" s="98"/>
      <c r="D780" s="21"/>
      <c r="E780" s="86"/>
      <c r="F780" s="99"/>
      <c r="G780" s="99"/>
      <c r="H780" s="21"/>
      <c r="I780" s="86"/>
      <c r="J780" s="21"/>
      <c r="K780" s="5" t="str">
        <f>IF(AND(LEN(H780)=0, LEN(I780)=0), "", IF(AND(LEN(H780)&gt;0, LEN(I780)=0), "BLANCO", IFERROR(VLOOKUP(I780, BasedatosM9!A:B, 2, FALSE), "BLANCO")))</f>
        <v/>
      </c>
      <c r="W780" s="5" t="str">
        <f>IF(AND(LEN(T780)=0, LEN(U780)=0), "", IF(AND(LEN(T780)&gt;0, LEN(U780)=0), "BLANCO", IFERROR(VLOOKUP(U780, BasedatosM9!A:B, 2, FALSE), "BLANCO")))</f>
        <v/>
      </c>
      <c r="AI780" s="5" t="str">
        <f>IF(AND(LEN(AF780)=0, LEN(AG780)=0), "", IF(AND(LEN(AF780)&gt;0, LEN(AG780)=0), "BLANCO", IFERROR(VLOOKUP(AG780, BasedatosM9!A:B, 2, FALSE), "BLANCO")))</f>
        <v/>
      </c>
      <c r="AU780" s="5" t="str">
        <f>IF(AND(LEN(AR780)=0, LEN(AS780)=0), "", IF(AND(LEN(AR780)&gt;0, LEN(AS780)=0), "BLANCO", IFERROR(VLOOKUP(AS780, BasedatosM9!A:B, 2, FALSE), "BLANCO")))</f>
        <v/>
      </c>
    </row>
    <row r="781" spans="1:47" ht="14.4">
      <c r="A781" s="21"/>
      <c r="B781" s="86"/>
      <c r="C781" s="98"/>
      <c r="D781" s="21"/>
      <c r="E781" s="86"/>
      <c r="F781" s="99"/>
      <c r="G781" s="99"/>
      <c r="H781" s="21"/>
      <c r="I781" s="86"/>
      <c r="J781" s="21"/>
      <c r="K781" s="5" t="str">
        <f>IF(AND(LEN(H781)=0, LEN(I781)=0), "", IF(AND(LEN(H781)&gt;0, LEN(I781)=0), "BLANCO", IFERROR(VLOOKUP(I781, BasedatosM9!A:B, 2, FALSE), "BLANCO")))</f>
        <v/>
      </c>
      <c r="W781" s="5" t="str">
        <f>IF(AND(LEN(T781)=0, LEN(U781)=0), "", IF(AND(LEN(T781)&gt;0, LEN(U781)=0), "BLANCO", IFERROR(VLOOKUP(U781, BasedatosM9!A:B, 2, FALSE), "BLANCO")))</f>
        <v/>
      </c>
      <c r="AI781" s="5" t="str">
        <f>IF(AND(LEN(AF781)=0, LEN(AG781)=0), "", IF(AND(LEN(AF781)&gt;0, LEN(AG781)=0), "BLANCO", IFERROR(VLOOKUP(AG781, BasedatosM9!A:B, 2, FALSE), "BLANCO")))</f>
        <v/>
      </c>
      <c r="AU781" s="5" t="str">
        <f>IF(AND(LEN(AR781)=0, LEN(AS781)=0), "", IF(AND(LEN(AR781)&gt;0, LEN(AS781)=0), "BLANCO", IFERROR(VLOOKUP(AS781, BasedatosM9!A:B, 2, FALSE), "BLANCO")))</f>
        <v/>
      </c>
    </row>
    <row r="782" spans="1:47" ht="14.4">
      <c r="A782" s="21"/>
      <c r="B782" s="86"/>
      <c r="C782" s="98"/>
      <c r="D782" s="21"/>
      <c r="E782" s="86"/>
      <c r="F782" s="99"/>
      <c r="G782" s="99"/>
      <c r="H782" s="21"/>
      <c r="I782" s="21"/>
      <c r="J782" s="21"/>
      <c r="K782" s="5" t="str">
        <f>IF(AND(LEN(H782)=0, LEN(I782)=0), "", IF(AND(LEN(H782)&gt;0, LEN(I782)=0), "BLANCO", IFERROR(VLOOKUP(I782, BasedatosM9!A:B, 2, FALSE), "BLANCO")))</f>
        <v/>
      </c>
      <c r="W782" s="5" t="str">
        <f>IF(AND(LEN(T782)=0, LEN(U782)=0), "", IF(AND(LEN(T782)&gt;0, LEN(U782)=0), "BLANCO", IFERROR(VLOOKUP(U782, BasedatosM9!A:B, 2, FALSE), "BLANCO")))</f>
        <v/>
      </c>
      <c r="AI782" s="5" t="str">
        <f>IF(AND(LEN(AF782)=0, LEN(AG782)=0), "", IF(AND(LEN(AF782)&gt;0, LEN(AG782)=0), "BLANCO", IFERROR(VLOOKUP(AG782, BasedatosM9!A:B, 2, FALSE), "BLANCO")))</f>
        <v/>
      </c>
      <c r="AU782" s="5" t="str">
        <f>IF(AND(LEN(AR782)=0, LEN(AS782)=0), "", IF(AND(LEN(AR782)&gt;0, LEN(AS782)=0), "BLANCO", IFERROR(VLOOKUP(AS782, BasedatosM9!A:B, 2, FALSE), "BLANCO")))</f>
        <v/>
      </c>
    </row>
    <row r="783" spans="1:47" ht="14.4">
      <c r="A783" s="21"/>
      <c r="B783" s="86"/>
      <c r="C783" s="98"/>
      <c r="D783" s="21"/>
      <c r="E783" s="86"/>
      <c r="F783" s="99"/>
      <c r="G783" s="99"/>
      <c r="H783" s="21"/>
      <c r="I783" s="86"/>
      <c r="J783" s="21"/>
      <c r="K783" s="5" t="str">
        <f>IF(AND(LEN(H783)=0, LEN(I783)=0), "", IF(AND(LEN(H783)&gt;0, LEN(I783)=0), "BLANCO", IFERROR(VLOOKUP(I783, BasedatosM9!A:B, 2, FALSE), "BLANCO")))</f>
        <v/>
      </c>
      <c r="W783" s="5" t="str">
        <f>IF(AND(LEN(T783)=0, LEN(U783)=0), "", IF(AND(LEN(T783)&gt;0, LEN(U783)=0), "BLANCO", IFERROR(VLOOKUP(U783, BasedatosM9!A:B, 2, FALSE), "BLANCO")))</f>
        <v/>
      </c>
      <c r="AI783" s="5" t="str">
        <f>IF(AND(LEN(AF783)=0, LEN(AG783)=0), "", IF(AND(LEN(AF783)&gt;0, LEN(AG783)=0), "BLANCO", IFERROR(VLOOKUP(AG783, BasedatosM9!A:B, 2, FALSE), "BLANCO")))</f>
        <v/>
      </c>
      <c r="AU783" s="5" t="str">
        <f>IF(AND(LEN(AR783)=0, LEN(AS783)=0), "", IF(AND(LEN(AR783)&gt;0, LEN(AS783)=0), "BLANCO", IFERROR(VLOOKUP(AS783, BasedatosM9!A:B, 2, FALSE), "BLANCO")))</f>
        <v/>
      </c>
    </row>
    <row r="784" spans="1:47" ht="14.4">
      <c r="A784" s="21"/>
      <c r="B784" s="86"/>
      <c r="C784" s="98"/>
      <c r="D784" s="21"/>
      <c r="E784" s="86"/>
      <c r="F784" s="99"/>
      <c r="G784" s="99"/>
      <c r="H784" s="21"/>
      <c r="I784" s="86"/>
      <c r="J784" s="21"/>
      <c r="K784" s="5" t="str">
        <f>IF(AND(LEN(H784)=0, LEN(I784)=0), "", IF(AND(LEN(H784)&gt;0, LEN(I784)=0), "BLANCO", IFERROR(VLOOKUP(I784, BasedatosM9!A:B, 2, FALSE), "BLANCO")))</f>
        <v/>
      </c>
      <c r="W784" s="5" t="str">
        <f>IF(AND(LEN(T784)=0, LEN(U784)=0), "", IF(AND(LEN(T784)&gt;0, LEN(U784)=0), "BLANCO", IFERROR(VLOOKUP(U784, BasedatosM9!A:B, 2, FALSE), "BLANCO")))</f>
        <v/>
      </c>
      <c r="AI784" s="5" t="str">
        <f>IF(AND(LEN(AF784)=0, LEN(AG784)=0), "", IF(AND(LEN(AF784)&gt;0, LEN(AG784)=0), "BLANCO", IFERROR(VLOOKUP(AG784, BasedatosM9!A:B, 2, FALSE), "BLANCO")))</f>
        <v/>
      </c>
      <c r="AU784" s="5" t="str">
        <f>IF(AND(LEN(AR784)=0, LEN(AS784)=0), "", IF(AND(LEN(AR784)&gt;0, LEN(AS784)=0), "BLANCO", IFERROR(VLOOKUP(AS784, BasedatosM9!A:B, 2, FALSE), "BLANCO")))</f>
        <v/>
      </c>
    </row>
    <row r="785" spans="1:47" ht="14.4">
      <c r="A785" s="21"/>
      <c r="B785" s="86"/>
      <c r="C785" s="98"/>
      <c r="D785" s="21"/>
      <c r="E785" s="86"/>
      <c r="F785" s="99"/>
      <c r="G785" s="99"/>
      <c r="H785" s="21"/>
      <c r="I785" s="86"/>
      <c r="J785" s="21"/>
      <c r="K785" s="5" t="str">
        <f>IF(AND(LEN(H785)=0, LEN(I785)=0), "", IF(AND(LEN(H785)&gt;0, LEN(I785)=0), "BLANCO", IFERROR(VLOOKUP(I785, BasedatosM9!A:B, 2, FALSE), "BLANCO")))</f>
        <v/>
      </c>
      <c r="W785" s="5" t="str">
        <f>IF(AND(LEN(T785)=0, LEN(U785)=0), "", IF(AND(LEN(T785)&gt;0, LEN(U785)=0), "BLANCO", IFERROR(VLOOKUP(U785, BasedatosM9!A:B, 2, FALSE), "BLANCO")))</f>
        <v/>
      </c>
      <c r="AI785" s="5" t="str">
        <f>IF(AND(LEN(AF785)=0, LEN(AG785)=0), "", IF(AND(LEN(AF785)&gt;0, LEN(AG785)=0), "BLANCO", IFERROR(VLOOKUP(AG785, BasedatosM9!A:B, 2, FALSE), "BLANCO")))</f>
        <v/>
      </c>
      <c r="AU785" s="5" t="str">
        <f>IF(AND(LEN(AR785)=0, LEN(AS785)=0), "", IF(AND(LEN(AR785)&gt;0, LEN(AS785)=0), "BLANCO", IFERROR(VLOOKUP(AS785, BasedatosM9!A:B, 2, FALSE), "BLANCO")))</f>
        <v/>
      </c>
    </row>
    <row r="786" spans="1:47" ht="14.4">
      <c r="A786" s="21"/>
      <c r="B786" s="86"/>
      <c r="C786" s="98"/>
      <c r="D786" s="21"/>
      <c r="E786" s="86"/>
      <c r="F786" s="99"/>
      <c r="G786" s="99"/>
      <c r="H786" s="21"/>
      <c r="I786" s="86"/>
      <c r="J786" s="21"/>
      <c r="K786" s="5" t="str">
        <f>IF(AND(LEN(H786)=0, LEN(I786)=0), "", IF(AND(LEN(H786)&gt;0, LEN(I786)=0), "BLANCO", IFERROR(VLOOKUP(I786, BasedatosM9!A:B, 2, FALSE), "BLANCO")))</f>
        <v/>
      </c>
      <c r="W786" s="5" t="str">
        <f>IF(AND(LEN(T786)=0, LEN(U786)=0), "", IF(AND(LEN(T786)&gt;0, LEN(U786)=0), "BLANCO", IFERROR(VLOOKUP(U786, BasedatosM9!A:B, 2, FALSE), "BLANCO")))</f>
        <v/>
      </c>
      <c r="AI786" s="5" t="str">
        <f>IF(AND(LEN(AF786)=0, LEN(AG786)=0), "", IF(AND(LEN(AF786)&gt;0, LEN(AG786)=0), "BLANCO", IFERROR(VLOOKUP(AG786, BasedatosM9!A:B, 2, FALSE), "BLANCO")))</f>
        <v/>
      </c>
      <c r="AU786" s="5" t="str">
        <f>IF(AND(LEN(AR786)=0, LEN(AS786)=0), "", IF(AND(LEN(AR786)&gt;0, LEN(AS786)=0), "BLANCO", IFERROR(VLOOKUP(AS786, BasedatosM9!A:B, 2, FALSE), "BLANCO")))</f>
        <v/>
      </c>
    </row>
    <row r="787" spans="1:47" ht="14.4">
      <c r="A787" s="21"/>
      <c r="B787" s="86"/>
      <c r="C787" s="98"/>
      <c r="D787" s="21"/>
      <c r="E787" s="86"/>
      <c r="F787" s="99"/>
      <c r="G787" s="99"/>
      <c r="H787" s="21"/>
      <c r="I787" s="86"/>
      <c r="J787" s="21"/>
      <c r="K787" s="5" t="str">
        <f>IF(AND(LEN(H787)=0, LEN(I787)=0), "", IF(AND(LEN(H787)&gt;0, LEN(I787)=0), "BLANCO", IFERROR(VLOOKUP(I787, BasedatosM9!A:B, 2, FALSE), "BLANCO")))</f>
        <v/>
      </c>
      <c r="W787" s="5" t="str">
        <f>IF(AND(LEN(T787)=0, LEN(U787)=0), "", IF(AND(LEN(T787)&gt;0, LEN(U787)=0), "BLANCO", IFERROR(VLOOKUP(U787, BasedatosM9!A:B, 2, FALSE), "BLANCO")))</f>
        <v/>
      </c>
      <c r="AI787" s="5" t="str">
        <f>IF(AND(LEN(AF787)=0, LEN(AG787)=0), "", IF(AND(LEN(AF787)&gt;0, LEN(AG787)=0), "BLANCO", IFERROR(VLOOKUP(AG787, BasedatosM9!A:B, 2, FALSE), "BLANCO")))</f>
        <v/>
      </c>
      <c r="AU787" s="5" t="str">
        <f>IF(AND(LEN(AR787)=0, LEN(AS787)=0), "", IF(AND(LEN(AR787)&gt;0, LEN(AS787)=0), "BLANCO", IFERROR(VLOOKUP(AS787, BasedatosM9!A:B, 2, FALSE), "BLANCO")))</f>
        <v/>
      </c>
    </row>
    <row r="788" spans="1:47" ht="14.4">
      <c r="A788" s="21"/>
      <c r="B788" s="86"/>
      <c r="C788" s="98"/>
      <c r="D788" s="21"/>
      <c r="E788" s="86"/>
      <c r="F788" s="99"/>
      <c r="G788" s="99"/>
      <c r="H788" s="21"/>
      <c r="I788" s="86"/>
      <c r="J788" s="21"/>
      <c r="K788" s="5" t="str">
        <f>IF(AND(LEN(H788)=0, LEN(I788)=0), "", IF(AND(LEN(H788)&gt;0, LEN(I788)=0), "BLANCO", IFERROR(VLOOKUP(I788, BasedatosM9!A:B, 2, FALSE), "BLANCO")))</f>
        <v/>
      </c>
      <c r="W788" s="5" t="str">
        <f>IF(AND(LEN(T788)=0, LEN(U788)=0), "", IF(AND(LEN(T788)&gt;0, LEN(U788)=0), "BLANCO", IFERROR(VLOOKUP(U788, BasedatosM9!A:B, 2, FALSE), "BLANCO")))</f>
        <v/>
      </c>
      <c r="AI788" s="5" t="str">
        <f>IF(AND(LEN(AF788)=0, LEN(AG788)=0), "", IF(AND(LEN(AF788)&gt;0, LEN(AG788)=0), "BLANCO", IFERROR(VLOOKUP(AG788, BasedatosM9!A:B, 2, FALSE), "BLANCO")))</f>
        <v/>
      </c>
      <c r="AU788" s="5" t="str">
        <f>IF(AND(LEN(AR788)=0, LEN(AS788)=0), "", IF(AND(LEN(AR788)&gt;0, LEN(AS788)=0), "BLANCO", IFERROR(VLOOKUP(AS788, BasedatosM9!A:B, 2, FALSE), "BLANCO")))</f>
        <v/>
      </c>
    </row>
    <row r="789" spans="1:47" ht="14.4">
      <c r="A789" s="21"/>
      <c r="B789" s="86"/>
      <c r="C789" s="98"/>
      <c r="D789" s="21"/>
      <c r="E789" s="86"/>
      <c r="F789" s="99"/>
      <c r="G789" s="99"/>
      <c r="H789" s="21"/>
      <c r="I789" s="86"/>
      <c r="J789" s="21"/>
      <c r="K789" s="5" t="str">
        <f>IF(AND(LEN(H789)=0, LEN(I789)=0), "", IF(AND(LEN(H789)&gt;0, LEN(I789)=0), "BLANCO", IFERROR(VLOOKUP(I789, BasedatosM9!A:B, 2, FALSE), "BLANCO")))</f>
        <v/>
      </c>
      <c r="W789" s="5" t="str">
        <f>IF(AND(LEN(T789)=0, LEN(U789)=0), "", IF(AND(LEN(T789)&gt;0, LEN(U789)=0), "BLANCO", IFERROR(VLOOKUP(U789, BasedatosM9!A:B, 2, FALSE), "BLANCO")))</f>
        <v/>
      </c>
      <c r="AI789" s="5" t="str">
        <f>IF(AND(LEN(AF789)=0, LEN(AG789)=0), "", IF(AND(LEN(AF789)&gt;0, LEN(AG789)=0), "BLANCO", IFERROR(VLOOKUP(AG789, BasedatosM9!A:B, 2, FALSE), "BLANCO")))</f>
        <v/>
      </c>
      <c r="AU789" s="5" t="str">
        <f>IF(AND(LEN(AR789)=0, LEN(AS789)=0), "", IF(AND(LEN(AR789)&gt;0, LEN(AS789)=0), "BLANCO", IFERROR(VLOOKUP(AS789, BasedatosM9!A:B, 2, FALSE), "BLANCO")))</f>
        <v/>
      </c>
    </row>
    <row r="790" spans="1:47" ht="14.4">
      <c r="A790" s="21"/>
      <c r="B790" s="86"/>
      <c r="C790" s="98"/>
      <c r="D790" s="21"/>
      <c r="E790" s="86"/>
      <c r="F790" s="99"/>
      <c r="G790" s="99"/>
      <c r="H790" s="21"/>
      <c r="I790" s="86"/>
      <c r="J790" s="21"/>
      <c r="K790" s="5" t="str">
        <f>IF(AND(LEN(H790)=0, LEN(I790)=0), "", IF(AND(LEN(H790)&gt;0, LEN(I790)=0), "BLANCO", IFERROR(VLOOKUP(I790, BasedatosM9!A:B, 2, FALSE), "BLANCO")))</f>
        <v/>
      </c>
      <c r="W790" s="5" t="str">
        <f>IF(AND(LEN(T790)=0, LEN(U790)=0), "", IF(AND(LEN(T790)&gt;0, LEN(U790)=0), "BLANCO", IFERROR(VLOOKUP(U790, BasedatosM9!A:B, 2, FALSE), "BLANCO")))</f>
        <v/>
      </c>
      <c r="AI790" s="5" t="str">
        <f>IF(AND(LEN(AF790)=0, LEN(AG790)=0), "", IF(AND(LEN(AF790)&gt;0, LEN(AG790)=0), "BLANCO", IFERROR(VLOOKUP(AG790, BasedatosM9!A:B, 2, FALSE), "BLANCO")))</f>
        <v/>
      </c>
      <c r="AU790" s="5" t="str">
        <f>IF(AND(LEN(AR790)=0, LEN(AS790)=0), "", IF(AND(LEN(AR790)&gt;0, LEN(AS790)=0), "BLANCO", IFERROR(VLOOKUP(AS790, BasedatosM9!A:B, 2, FALSE), "BLANCO")))</f>
        <v/>
      </c>
    </row>
    <row r="791" spans="1:47" ht="14.4">
      <c r="A791" s="21"/>
      <c r="B791" s="86"/>
      <c r="C791" s="98"/>
      <c r="D791" s="21"/>
      <c r="E791" s="86"/>
      <c r="F791" s="99"/>
      <c r="G791" s="99"/>
      <c r="H791" s="21"/>
      <c r="I791" s="86"/>
      <c r="J791" s="21"/>
      <c r="K791" s="5" t="str">
        <f>IF(AND(LEN(H791)=0, LEN(I791)=0), "", IF(AND(LEN(H791)&gt;0, LEN(I791)=0), "BLANCO", IFERROR(VLOOKUP(I791, BasedatosM9!A:B, 2, FALSE), "BLANCO")))</f>
        <v/>
      </c>
      <c r="W791" s="5" t="str">
        <f>IF(AND(LEN(T791)=0, LEN(U791)=0), "", IF(AND(LEN(T791)&gt;0, LEN(U791)=0), "BLANCO", IFERROR(VLOOKUP(U791, BasedatosM9!A:B, 2, FALSE), "BLANCO")))</f>
        <v/>
      </c>
      <c r="AI791" s="5" t="str">
        <f>IF(AND(LEN(AF791)=0, LEN(AG791)=0), "", IF(AND(LEN(AF791)&gt;0, LEN(AG791)=0), "BLANCO", IFERROR(VLOOKUP(AG791, BasedatosM9!A:B, 2, FALSE), "BLANCO")))</f>
        <v/>
      </c>
      <c r="AU791" s="5" t="str">
        <f>IF(AND(LEN(AR791)=0, LEN(AS791)=0), "", IF(AND(LEN(AR791)&gt;0, LEN(AS791)=0), "BLANCO", IFERROR(VLOOKUP(AS791, BasedatosM9!A:B, 2, FALSE), "BLANCO")))</f>
        <v/>
      </c>
    </row>
    <row r="792" spans="1:47" ht="14.4">
      <c r="A792" s="21"/>
      <c r="B792" s="86"/>
      <c r="C792" s="98"/>
      <c r="D792" s="21"/>
      <c r="E792" s="86"/>
      <c r="F792" s="99"/>
      <c r="G792" s="99"/>
      <c r="H792" s="21"/>
      <c r="I792" s="86"/>
      <c r="J792" s="21"/>
      <c r="K792" s="5" t="str">
        <f>IF(AND(LEN(H792)=0, LEN(I792)=0), "", IF(AND(LEN(H792)&gt;0, LEN(I792)=0), "BLANCO", IFERROR(VLOOKUP(I792, BasedatosM9!A:B, 2, FALSE), "BLANCO")))</f>
        <v/>
      </c>
      <c r="W792" s="5" t="str">
        <f>IF(AND(LEN(T792)=0, LEN(U792)=0), "", IF(AND(LEN(T792)&gt;0, LEN(U792)=0), "BLANCO", IFERROR(VLOOKUP(U792, BasedatosM9!A:B, 2, FALSE), "BLANCO")))</f>
        <v/>
      </c>
      <c r="AI792" s="5" t="str">
        <f>IF(AND(LEN(AF792)=0, LEN(AG792)=0), "", IF(AND(LEN(AF792)&gt;0, LEN(AG792)=0), "BLANCO", IFERROR(VLOOKUP(AG792, BasedatosM9!A:B, 2, FALSE), "BLANCO")))</f>
        <v/>
      </c>
      <c r="AU792" s="5" t="str">
        <f>IF(AND(LEN(AR792)=0, LEN(AS792)=0), "", IF(AND(LEN(AR792)&gt;0, LEN(AS792)=0), "BLANCO", IFERROR(VLOOKUP(AS792, BasedatosM9!A:B, 2, FALSE), "BLANCO")))</f>
        <v/>
      </c>
    </row>
    <row r="793" spans="1:47" ht="14.4">
      <c r="A793" s="21"/>
      <c r="B793" s="86"/>
      <c r="C793" s="98"/>
      <c r="D793" s="21"/>
      <c r="E793" s="86"/>
      <c r="F793" s="99"/>
      <c r="G793" s="99"/>
      <c r="H793" s="21"/>
      <c r="I793" s="86"/>
      <c r="J793" s="21"/>
      <c r="K793" s="5" t="str">
        <f>IF(AND(LEN(H793)=0, LEN(I793)=0), "", IF(AND(LEN(H793)&gt;0, LEN(I793)=0), "BLANCO", IFERROR(VLOOKUP(I793, BasedatosM9!A:B, 2, FALSE), "BLANCO")))</f>
        <v/>
      </c>
      <c r="W793" s="5" t="str">
        <f>IF(AND(LEN(T793)=0, LEN(U793)=0), "", IF(AND(LEN(T793)&gt;0, LEN(U793)=0), "BLANCO", IFERROR(VLOOKUP(U793, BasedatosM9!A:B, 2, FALSE), "BLANCO")))</f>
        <v/>
      </c>
      <c r="AI793" s="5" t="str">
        <f>IF(AND(LEN(AF793)=0, LEN(AG793)=0), "", IF(AND(LEN(AF793)&gt;0, LEN(AG793)=0), "BLANCO", IFERROR(VLOOKUP(AG793, BasedatosM9!A:B, 2, FALSE), "BLANCO")))</f>
        <v/>
      </c>
      <c r="AU793" s="5" t="str">
        <f>IF(AND(LEN(AR793)=0, LEN(AS793)=0), "", IF(AND(LEN(AR793)&gt;0, LEN(AS793)=0), "BLANCO", IFERROR(VLOOKUP(AS793, BasedatosM9!A:B, 2, FALSE), "BLANCO")))</f>
        <v/>
      </c>
    </row>
    <row r="794" spans="1:47" ht="14.4">
      <c r="A794" s="21"/>
      <c r="B794" s="86"/>
      <c r="C794" s="98"/>
      <c r="D794" s="21"/>
      <c r="E794" s="86"/>
      <c r="F794" s="99"/>
      <c r="G794" s="99"/>
      <c r="H794" s="21"/>
      <c r="I794" s="21"/>
      <c r="J794" s="21"/>
      <c r="K794" s="5" t="str">
        <f>IF(AND(LEN(H794)=0, LEN(I794)=0), "", IF(AND(LEN(H794)&gt;0, LEN(I794)=0), "BLANCO", IFERROR(VLOOKUP(I794, BasedatosM9!A:B, 2, FALSE), "BLANCO")))</f>
        <v/>
      </c>
      <c r="W794" s="5" t="str">
        <f>IF(AND(LEN(T794)=0, LEN(U794)=0), "", IF(AND(LEN(T794)&gt;0, LEN(U794)=0), "BLANCO", IFERROR(VLOOKUP(U794, BasedatosM9!A:B, 2, FALSE), "BLANCO")))</f>
        <v/>
      </c>
      <c r="AI794" s="5" t="str">
        <f>IF(AND(LEN(AF794)=0, LEN(AG794)=0), "", IF(AND(LEN(AF794)&gt;0, LEN(AG794)=0), "BLANCO", IFERROR(VLOOKUP(AG794, BasedatosM9!A:B, 2, FALSE), "BLANCO")))</f>
        <v/>
      </c>
      <c r="AU794" s="5" t="str">
        <f>IF(AND(LEN(AR794)=0, LEN(AS794)=0), "", IF(AND(LEN(AR794)&gt;0, LEN(AS794)=0), "BLANCO", IFERROR(VLOOKUP(AS794, BasedatosM9!A:B, 2, FALSE), "BLANCO")))</f>
        <v/>
      </c>
    </row>
    <row r="795" spans="1:47" ht="14.4">
      <c r="A795" s="21"/>
      <c r="B795" s="86"/>
      <c r="C795" s="98"/>
      <c r="D795" s="21"/>
      <c r="E795" s="86"/>
      <c r="F795" s="99"/>
      <c r="G795" s="99"/>
      <c r="H795" s="21"/>
      <c r="I795" s="21"/>
      <c r="J795" s="21"/>
      <c r="K795" s="5" t="str">
        <f>IF(AND(LEN(H795)=0, LEN(I795)=0), "", IF(AND(LEN(H795)&gt;0, LEN(I795)=0), "BLANCO", IFERROR(VLOOKUP(I795, BasedatosM9!A:B, 2, FALSE), "BLANCO")))</f>
        <v/>
      </c>
      <c r="W795" s="5" t="str">
        <f>IF(AND(LEN(T795)=0, LEN(U795)=0), "", IF(AND(LEN(T795)&gt;0, LEN(U795)=0), "BLANCO", IFERROR(VLOOKUP(U795, BasedatosM9!A:B, 2, FALSE), "BLANCO")))</f>
        <v/>
      </c>
      <c r="AI795" s="5" t="str">
        <f>IF(AND(LEN(AF795)=0, LEN(AG795)=0), "", IF(AND(LEN(AF795)&gt;0, LEN(AG795)=0), "BLANCO", IFERROR(VLOOKUP(AG795, BasedatosM9!A:B, 2, FALSE), "BLANCO")))</f>
        <v/>
      </c>
      <c r="AU795" s="5" t="str">
        <f>IF(AND(LEN(AR795)=0, LEN(AS795)=0), "", IF(AND(LEN(AR795)&gt;0, LEN(AS795)=0), "BLANCO", IFERROR(VLOOKUP(AS795, BasedatosM9!A:B, 2, FALSE), "BLANCO")))</f>
        <v/>
      </c>
    </row>
    <row r="796" spans="1:47" ht="14.4">
      <c r="A796" s="21"/>
      <c r="B796" s="86"/>
      <c r="C796" s="98"/>
      <c r="D796" s="21"/>
      <c r="E796" s="86"/>
      <c r="F796" s="99"/>
      <c r="G796" s="99"/>
      <c r="H796" s="21"/>
      <c r="I796" s="21"/>
      <c r="J796" s="21"/>
      <c r="K796" s="5" t="str">
        <f>IF(AND(LEN(H796)=0, LEN(I796)=0), "", IF(AND(LEN(H796)&gt;0, LEN(I796)=0), "BLANCO", IFERROR(VLOOKUP(I796, BasedatosM9!A:B, 2, FALSE), "BLANCO")))</f>
        <v/>
      </c>
      <c r="W796" s="5" t="str">
        <f>IF(AND(LEN(T796)=0, LEN(U796)=0), "", IF(AND(LEN(T796)&gt;0, LEN(U796)=0), "BLANCO", IFERROR(VLOOKUP(U796, BasedatosM9!A:B, 2, FALSE), "BLANCO")))</f>
        <v/>
      </c>
      <c r="AI796" s="5" t="str">
        <f>IF(AND(LEN(AF796)=0, LEN(AG796)=0), "", IF(AND(LEN(AF796)&gt;0, LEN(AG796)=0), "BLANCO", IFERROR(VLOOKUP(AG796, BasedatosM9!A:B, 2, FALSE), "BLANCO")))</f>
        <v/>
      </c>
      <c r="AU796" s="5" t="str">
        <f>IF(AND(LEN(AR796)=0, LEN(AS796)=0), "", IF(AND(LEN(AR796)&gt;0, LEN(AS796)=0), "BLANCO", IFERROR(VLOOKUP(AS796, BasedatosM9!A:B, 2, FALSE), "BLANCO")))</f>
        <v/>
      </c>
    </row>
    <row r="797" spans="1:47" ht="14.4">
      <c r="A797" s="21"/>
      <c r="B797" s="86"/>
      <c r="C797" s="98"/>
      <c r="D797" s="21"/>
      <c r="E797" s="86"/>
      <c r="F797" s="99"/>
      <c r="G797" s="99"/>
      <c r="H797" s="21"/>
      <c r="I797" s="21"/>
      <c r="J797" s="21"/>
      <c r="K797" s="5" t="str">
        <f>IF(AND(LEN(H797)=0, LEN(I797)=0), "", IF(AND(LEN(H797)&gt;0, LEN(I797)=0), "BLANCO", IFERROR(VLOOKUP(I797, BasedatosM9!A:B, 2, FALSE), "BLANCO")))</f>
        <v/>
      </c>
      <c r="W797" s="5" t="str">
        <f>IF(AND(LEN(T797)=0, LEN(U797)=0), "", IF(AND(LEN(T797)&gt;0, LEN(U797)=0), "BLANCO", IFERROR(VLOOKUP(U797, BasedatosM9!A:B, 2, FALSE), "BLANCO")))</f>
        <v/>
      </c>
      <c r="AI797" s="5" t="str">
        <f>IF(AND(LEN(AF797)=0, LEN(AG797)=0), "", IF(AND(LEN(AF797)&gt;0, LEN(AG797)=0), "BLANCO", IFERROR(VLOOKUP(AG797, BasedatosM9!A:B, 2, FALSE), "BLANCO")))</f>
        <v/>
      </c>
      <c r="AU797" s="5" t="str">
        <f>IF(AND(LEN(AR797)=0, LEN(AS797)=0), "", IF(AND(LEN(AR797)&gt;0, LEN(AS797)=0), "BLANCO", IFERROR(VLOOKUP(AS797, BasedatosM9!A:B, 2, FALSE), "BLANCO")))</f>
        <v/>
      </c>
    </row>
    <row r="798" spans="1:47" ht="14.4">
      <c r="A798" s="21"/>
      <c r="B798" s="86"/>
      <c r="C798" s="98"/>
      <c r="D798" s="21"/>
      <c r="E798" s="86"/>
      <c r="F798" s="99"/>
      <c r="G798" s="99"/>
      <c r="H798" s="21"/>
      <c r="I798" s="86"/>
      <c r="J798" s="21"/>
      <c r="K798" s="5" t="str">
        <f>IF(AND(LEN(H798)=0, LEN(I798)=0), "", IF(AND(LEN(H798)&gt;0, LEN(I798)=0), "BLANCO", IFERROR(VLOOKUP(I798, BasedatosM9!A:B, 2, FALSE), "BLANCO")))</f>
        <v/>
      </c>
      <c r="W798" s="5" t="str">
        <f>IF(AND(LEN(T798)=0, LEN(U798)=0), "", IF(AND(LEN(T798)&gt;0, LEN(U798)=0), "BLANCO", IFERROR(VLOOKUP(U798, BasedatosM9!A:B, 2, FALSE), "BLANCO")))</f>
        <v/>
      </c>
      <c r="AI798" s="5" t="str">
        <f>IF(AND(LEN(AF798)=0, LEN(AG798)=0), "", IF(AND(LEN(AF798)&gt;0, LEN(AG798)=0), "BLANCO", IFERROR(VLOOKUP(AG798, BasedatosM9!A:B, 2, FALSE), "BLANCO")))</f>
        <v/>
      </c>
      <c r="AU798" s="5" t="str">
        <f>IF(AND(LEN(AR798)=0, LEN(AS798)=0), "", IF(AND(LEN(AR798)&gt;0, LEN(AS798)=0), "BLANCO", IFERROR(VLOOKUP(AS798, BasedatosM9!A:B, 2, FALSE), "BLANCO")))</f>
        <v/>
      </c>
    </row>
    <row r="799" spans="1:47" ht="14.4">
      <c r="A799" s="21"/>
      <c r="B799" s="86"/>
      <c r="C799" s="98"/>
      <c r="D799" s="21"/>
      <c r="E799" s="86"/>
      <c r="F799" s="99"/>
      <c r="G799" s="99"/>
      <c r="H799" s="21"/>
      <c r="I799" s="86"/>
      <c r="J799" s="21"/>
      <c r="K799" s="5" t="str">
        <f>IF(AND(LEN(H799)=0, LEN(I799)=0), "", IF(AND(LEN(H799)&gt;0, LEN(I799)=0), "BLANCO", IFERROR(VLOOKUP(I799, BasedatosM9!A:B, 2, FALSE), "BLANCO")))</f>
        <v/>
      </c>
      <c r="W799" s="5" t="str">
        <f>IF(AND(LEN(T799)=0, LEN(U799)=0), "", IF(AND(LEN(T799)&gt;0, LEN(U799)=0), "BLANCO", IFERROR(VLOOKUP(U799, BasedatosM9!A:B, 2, FALSE), "BLANCO")))</f>
        <v/>
      </c>
      <c r="AI799" s="5" t="str">
        <f>IF(AND(LEN(AF799)=0, LEN(AG799)=0), "", IF(AND(LEN(AF799)&gt;0, LEN(AG799)=0), "BLANCO", IFERROR(VLOOKUP(AG799, BasedatosM9!A:B, 2, FALSE), "BLANCO")))</f>
        <v/>
      </c>
      <c r="AU799" s="5" t="str">
        <f>IF(AND(LEN(AR799)=0, LEN(AS799)=0), "", IF(AND(LEN(AR799)&gt;0, LEN(AS799)=0), "BLANCO", IFERROR(VLOOKUP(AS799, BasedatosM9!A:B, 2, FALSE), "BLANCO")))</f>
        <v/>
      </c>
    </row>
    <row r="800" spans="1:47" ht="14.4">
      <c r="A800" s="21"/>
      <c r="B800" s="86"/>
      <c r="C800" s="98"/>
      <c r="D800" s="21"/>
      <c r="E800" s="86"/>
      <c r="F800" s="99"/>
      <c r="G800" s="99"/>
      <c r="H800" s="21"/>
      <c r="I800" s="21"/>
      <c r="J800" s="21"/>
      <c r="K800" s="5" t="str">
        <f>IF(AND(LEN(H800)=0, LEN(I800)=0), "", IF(AND(LEN(H800)&gt;0, LEN(I800)=0), "BLANCO", IFERROR(VLOOKUP(I800, BasedatosM9!A:B, 2, FALSE), "BLANCO")))</f>
        <v/>
      </c>
      <c r="W800" s="5" t="str">
        <f>IF(AND(LEN(T800)=0, LEN(U800)=0), "", IF(AND(LEN(T800)&gt;0, LEN(U800)=0), "BLANCO", IFERROR(VLOOKUP(U800, BasedatosM9!A:B, 2, FALSE), "BLANCO")))</f>
        <v/>
      </c>
      <c r="AI800" s="5" t="str">
        <f>IF(AND(LEN(AF800)=0, LEN(AG800)=0), "", IF(AND(LEN(AF800)&gt;0, LEN(AG800)=0), "BLANCO", IFERROR(VLOOKUP(AG800, BasedatosM9!A:B, 2, FALSE), "BLANCO")))</f>
        <v/>
      </c>
      <c r="AU800" s="5" t="str">
        <f>IF(AND(LEN(AR800)=0, LEN(AS800)=0), "", IF(AND(LEN(AR800)&gt;0, LEN(AS800)=0), "BLANCO", IFERROR(VLOOKUP(AS800, BasedatosM9!A:B, 2, FALSE), "BLANCO")))</f>
        <v/>
      </c>
    </row>
    <row r="801" spans="1:47" ht="14.4">
      <c r="A801" s="21"/>
      <c r="B801" s="86"/>
      <c r="C801" s="98"/>
      <c r="D801" s="21"/>
      <c r="E801" s="86"/>
      <c r="F801" s="99"/>
      <c r="G801" s="99"/>
      <c r="H801" s="21"/>
      <c r="I801" s="86"/>
      <c r="J801" s="21"/>
      <c r="K801" s="5" t="str">
        <f>IF(AND(LEN(H801)=0, LEN(I801)=0), "", IF(AND(LEN(H801)&gt;0, LEN(I801)=0), "BLANCO", IFERROR(VLOOKUP(I801, BasedatosM9!A:B, 2, FALSE), "BLANCO")))</f>
        <v/>
      </c>
      <c r="W801" s="5" t="str">
        <f>IF(AND(LEN(T801)=0, LEN(U801)=0), "", IF(AND(LEN(T801)&gt;0, LEN(U801)=0), "BLANCO", IFERROR(VLOOKUP(U801, BasedatosM9!A:B, 2, FALSE), "BLANCO")))</f>
        <v/>
      </c>
      <c r="AI801" s="5" t="str">
        <f>IF(AND(LEN(AF801)=0, LEN(AG801)=0), "", IF(AND(LEN(AF801)&gt;0, LEN(AG801)=0), "BLANCO", IFERROR(VLOOKUP(AG801, BasedatosM9!A:B, 2, FALSE), "BLANCO")))</f>
        <v/>
      </c>
      <c r="AU801" s="5" t="str">
        <f>IF(AND(LEN(AR801)=0, LEN(AS801)=0), "", IF(AND(LEN(AR801)&gt;0, LEN(AS801)=0), "BLANCO", IFERROR(VLOOKUP(AS801, BasedatosM9!A:B, 2, FALSE), "BLANCO")))</f>
        <v/>
      </c>
    </row>
    <row r="802" spans="1:47" ht="14.4">
      <c r="A802" s="21"/>
      <c r="B802" s="86"/>
      <c r="C802" s="98"/>
      <c r="D802" s="21"/>
      <c r="E802" s="86"/>
      <c r="F802" s="99"/>
      <c r="G802" s="99"/>
      <c r="H802" s="21"/>
      <c r="I802" s="86"/>
      <c r="J802" s="21"/>
      <c r="K802" s="5" t="str">
        <f>IF(AND(LEN(H802)=0, LEN(I802)=0), "", IF(AND(LEN(H802)&gt;0, LEN(I802)=0), "BLANCO", IFERROR(VLOOKUP(I802, BasedatosM9!A:B, 2, FALSE), "BLANCO")))</f>
        <v/>
      </c>
      <c r="W802" s="5" t="str">
        <f>IF(AND(LEN(T802)=0, LEN(U802)=0), "", IF(AND(LEN(T802)&gt;0, LEN(U802)=0), "BLANCO", IFERROR(VLOOKUP(U802, BasedatosM9!A:B, 2, FALSE), "BLANCO")))</f>
        <v/>
      </c>
      <c r="AI802" s="5" t="str">
        <f>IF(AND(LEN(AF802)=0, LEN(AG802)=0), "", IF(AND(LEN(AF802)&gt;0, LEN(AG802)=0), "BLANCO", IFERROR(VLOOKUP(AG802, BasedatosM9!A:B, 2, FALSE), "BLANCO")))</f>
        <v/>
      </c>
      <c r="AU802" s="5" t="str">
        <f>IF(AND(LEN(AR802)=0, LEN(AS802)=0), "", IF(AND(LEN(AR802)&gt;0, LEN(AS802)=0), "BLANCO", IFERROR(VLOOKUP(AS802, BasedatosM9!A:B, 2, FALSE), "BLANCO")))</f>
        <v/>
      </c>
    </row>
    <row r="803" spans="1:47" ht="14.4">
      <c r="A803" s="21"/>
      <c r="B803" s="86"/>
      <c r="C803" s="98"/>
      <c r="D803" s="21"/>
      <c r="E803" s="86"/>
      <c r="F803" s="99"/>
      <c r="G803" s="99"/>
      <c r="H803" s="21"/>
      <c r="I803" s="86"/>
      <c r="J803" s="21"/>
      <c r="K803" s="5" t="str">
        <f>IF(AND(LEN(H803)=0, LEN(I803)=0), "", IF(AND(LEN(H803)&gt;0, LEN(I803)=0), "BLANCO", IFERROR(VLOOKUP(I803, BasedatosM9!A:B, 2, FALSE), "BLANCO")))</f>
        <v/>
      </c>
      <c r="W803" s="5" t="str">
        <f>IF(AND(LEN(T803)=0, LEN(U803)=0), "", IF(AND(LEN(T803)&gt;0, LEN(U803)=0), "BLANCO", IFERROR(VLOOKUP(U803, BasedatosM9!A:B, 2, FALSE), "BLANCO")))</f>
        <v/>
      </c>
      <c r="AI803" s="5" t="str">
        <f>IF(AND(LEN(AF803)=0, LEN(AG803)=0), "", IF(AND(LEN(AF803)&gt;0, LEN(AG803)=0), "BLANCO", IFERROR(VLOOKUP(AG803, BasedatosM9!A:B, 2, FALSE), "BLANCO")))</f>
        <v/>
      </c>
      <c r="AU803" s="5" t="str">
        <f>IF(AND(LEN(AR803)=0, LEN(AS803)=0), "", IF(AND(LEN(AR803)&gt;0, LEN(AS803)=0), "BLANCO", IFERROR(VLOOKUP(AS803, BasedatosM9!A:B, 2, FALSE), "BLANCO")))</f>
        <v/>
      </c>
    </row>
    <row r="804" spans="1:47" ht="14.4">
      <c r="A804" s="21"/>
      <c r="B804" s="86"/>
      <c r="C804" s="98"/>
      <c r="D804" s="21"/>
      <c r="E804" s="86"/>
      <c r="F804" s="99"/>
      <c r="G804" s="99"/>
      <c r="H804" s="21"/>
      <c r="I804" s="86"/>
      <c r="J804" s="21"/>
      <c r="K804" s="5" t="str">
        <f>IF(AND(LEN(H804)=0, LEN(I804)=0), "", IF(AND(LEN(H804)&gt;0, LEN(I804)=0), "BLANCO", IFERROR(VLOOKUP(I804, BasedatosM9!A:B, 2, FALSE), "BLANCO")))</f>
        <v/>
      </c>
      <c r="W804" s="5" t="str">
        <f>IF(AND(LEN(T804)=0, LEN(U804)=0), "", IF(AND(LEN(T804)&gt;0, LEN(U804)=0), "BLANCO", IFERROR(VLOOKUP(U804, BasedatosM9!A:B, 2, FALSE), "BLANCO")))</f>
        <v/>
      </c>
      <c r="AI804" s="5" t="str">
        <f>IF(AND(LEN(AF804)=0, LEN(AG804)=0), "", IF(AND(LEN(AF804)&gt;0, LEN(AG804)=0), "BLANCO", IFERROR(VLOOKUP(AG804, BasedatosM9!A:B, 2, FALSE), "BLANCO")))</f>
        <v/>
      </c>
      <c r="AU804" s="5" t="str">
        <f>IF(AND(LEN(AR804)=0, LEN(AS804)=0), "", IF(AND(LEN(AR804)&gt;0, LEN(AS804)=0), "BLANCO", IFERROR(VLOOKUP(AS804, BasedatosM9!A:B, 2, FALSE), "BLANCO")))</f>
        <v/>
      </c>
    </row>
    <row r="805" spans="1:47" ht="14.4">
      <c r="A805" s="21"/>
      <c r="B805" s="86"/>
      <c r="C805" s="98"/>
      <c r="D805" s="21"/>
      <c r="E805" s="86"/>
      <c r="F805" s="99"/>
      <c r="G805" s="99"/>
      <c r="H805" s="21"/>
      <c r="I805" s="86"/>
      <c r="J805" s="21"/>
      <c r="K805" s="5" t="str">
        <f>IF(AND(LEN(H805)=0, LEN(I805)=0), "", IF(AND(LEN(H805)&gt;0, LEN(I805)=0), "BLANCO", IFERROR(VLOOKUP(I805, BasedatosM9!A:B, 2, FALSE), "BLANCO")))</f>
        <v/>
      </c>
      <c r="W805" s="5" t="str">
        <f>IF(AND(LEN(T805)=0, LEN(U805)=0), "", IF(AND(LEN(T805)&gt;0, LEN(U805)=0), "BLANCO", IFERROR(VLOOKUP(U805, BasedatosM9!A:B, 2, FALSE), "BLANCO")))</f>
        <v/>
      </c>
      <c r="AI805" s="5" t="str">
        <f>IF(AND(LEN(AF805)=0, LEN(AG805)=0), "", IF(AND(LEN(AF805)&gt;0, LEN(AG805)=0), "BLANCO", IFERROR(VLOOKUP(AG805, BasedatosM9!A:B, 2, FALSE), "BLANCO")))</f>
        <v/>
      </c>
      <c r="AU805" s="5" t="str">
        <f>IF(AND(LEN(AR805)=0, LEN(AS805)=0), "", IF(AND(LEN(AR805)&gt;0, LEN(AS805)=0), "BLANCO", IFERROR(VLOOKUP(AS805, BasedatosM9!A:B, 2, FALSE), "BLANCO")))</f>
        <v/>
      </c>
    </row>
    <row r="806" spans="1:47" ht="14.4">
      <c r="A806" s="21"/>
      <c r="B806" s="86"/>
      <c r="C806" s="98"/>
      <c r="D806" s="21"/>
      <c r="E806" s="86"/>
      <c r="F806" s="99"/>
      <c r="G806" s="99"/>
      <c r="H806" s="21"/>
      <c r="I806" s="21"/>
      <c r="J806" s="21"/>
      <c r="K806" s="5" t="str">
        <f>IF(AND(LEN(H806)=0, LEN(I806)=0), "", IF(AND(LEN(H806)&gt;0, LEN(I806)=0), "BLANCO", IFERROR(VLOOKUP(I806, BasedatosM9!A:B, 2, FALSE), "BLANCO")))</f>
        <v/>
      </c>
      <c r="W806" s="5" t="str">
        <f>IF(AND(LEN(T806)=0, LEN(U806)=0), "", IF(AND(LEN(T806)&gt;0, LEN(U806)=0), "BLANCO", IFERROR(VLOOKUP(U806, BasedatosM9!A:B, 2, FALSE), "BLANCO")))</f>
        <v/>
      </c>
      <c r="AI806" s="5" t="str">
        <f>IF(AND(LEN(AF806)=0, LEN(AG806)=0), "", IF(AND(LEN(AF806)&gt;0, LEN(AG806)=0), "BLANCO", IFERROR(VLOOKUP(AG806, BasedatosM9!A:B, 2, FALSE), "BLANCO")))</f>
        <v/>
      </c>
      <c r="AU806" s="5" t="str">
        <f>IF(AND(LEN(AR806)=0, LEN(AS806)=0), "", IF(AND(LEN(AR806)&gt;0, LEN(AS806)=0), "BLANCO", IFERROR(VLOOKUP(AS806, BasedatosM9!A:B, 2, FALSE), "BLANCO")))</f>
        <v/>
      </c>
    </row>
    <row r="807" spans="1:47" ht="14.4">
      <c r="A807" s="21"/>
      <c r="B807" s="86"/>
      <c r="C807" s="98"/>
      <c r="D807" s="21"/>
      <c r="E807" s="86"/>
      <c r="F807" s="99"/>
      <c r="G807" s="99"/>
      <c r="H807" s="21"/>
      <c r="I807" s="86"/>
      <c r="J807" s="21"/>
      <c r="K807" s="5" t="str">
        <f>IF(AND(LEN(H807)=0, LEN(I807)=0), "", IF(AND(LEN(H807)&gt;0, LEN(I807)=0), "BLANCO", IFERROR(VLOOKUP(I807, BasedatosM9!A:B, 2, FALSE), "BLANCO")))</f>
        <v/>
      </c>
      <c r="W807" s="5" t="str">
        <f>IF(AND(LEN(T807)=0, LEN(U807)=0), "", IF(AND(LEN(T807)&gt;0, LEN(U807)=0), "BLANCO", IFERROR(VLOOKUP(U807, BasedatosM9!A:B, 2, FALSE), "BLANCO")))</f>
        <v/>
      </c>
      <c r="AI807" s="5" t="str">
        <f>IF(AND(LEN(AF807)=0, LEN(AG807)=0), "", IF(AND(LEN(AF807)&gt;0, LEN(AG807)=0), "BLANCO", IFERROR(VLOOKUP(AG807, BasedatosM9!A:B, 2, FALSE), "BLANCO")))</f>
        <v/>
      </c>
      <c r="AU807" s="5" t="str">
        <f>IF(AND(LEN(AR807)=0, LEN(AS807)=0), "", IF(AND(LEN(AR807)&gt;0, LEN(AS807)=0), "BLANCO", IFERROR(VLOOKUP(AS807, BasedatosM9!A:B, 2, FALSE), "BLANCO")))</f>
        <v/>
      </c>
    </row>
    <row r="808" spans="1:47" ht="14.4">
      <c r="A808" s="21"/>
      <c r="B808" s="86"/>
      <c r="C808" s="98"/>
      <c r="D808" s="21"/>
      <c r="E808" s="86"/>
      <c r="F808" s="99"/>
      <c r="G808" s="99"/>
      <c r="H808" s="21"/>
      <c r="I808" s="21"/>
      <c r="J808" s="21"/>
      <c r="K808" s="5" t="str">
        <f>IF(AND(LEN(H808)=0, LEN(I808)=0), "", IF(AND(LEN(H808)&gt;0, LEN(I808)=0), "BLANCO", IFERROR(VLOOKUP(I808, BasedatosM9!A:B, 2, FALSE), "BLANCO")))</f>
        <v/>
      </c>
      <c r="W808" s="5" t="str">
        <f>IF(AND(LEN(T808)=0, LEN(U808)=0), "", IF(AND(LEN(T808)&gt;0, LEN(U808)=0), "BLANCO", IFERROR(VLOOKUP(U808, BasedatosM9!A:B, 2, FALSE), "BLANCO")))</f>
        <v/>
      </c>
      <c r="AI808" s="5" t="str">
        <f>IF(AND(LEN(AF808)=0, LEN(AG808)=0), "", IF(AND(LEN(AF808)&gt;0, LEN(AG808)=0), "BLANCO", IFERROR(VLOOKUP(AG808, BasedatosM9!A:B, 2, FALSE), "BLANCO")))</f>
        <v/>
      </c>
      <c r="AU808" s="5" t="str">
        <f>IF(AND(LEN(AR808)=0, LEN(AS808)=0), "", IF(AND(LEN(AR808)&gt;0, LEN(AS808)=0), "BLANCO", IFERROR(VLOOKUP(AS808, BasedatosM9!A:B, 2, FALSE), "BLANCO")))</f>
        <v/>
      </c>
    </row>
    <row r="809" spans="1:47" ht="14.4">
      <c r="A809" s="21"/>
      <c r="B809" s="86"/>
      <c r="C809" s="98"/>
      <c r="D809" s="21"/>
      <c r="E809" s="86"/>
      <c r="F809" s="99"/>
      <c r="G809" s="99"/>
      <c r="H809" s="21"/>
      <c r="I809" s="21"/>
      <c r="J809" s="21"/>
      <c r="K809" s="5" t="str">
        <f>IF(AND(LEN(H809)=0, LEN(I809)=0), "", IF(AND(LEN(H809)&gt;0, LEN(I809)=0), "BLANCO", IFERROR(VLOOKUP(I809, BasedatosM9!A:B, 2, FALSE), "BLANCO")))</f>
        <v/>
      </c>
      <c r="W809" s="5" t="str">
        <f>IF(AND(LEN(T809)=0, LEN(U809)=0), "", IF(AND(LEN(T809)&gt;0, LEN(U809)=0), "BLANCO", IFERROR(VLOOKUP(U809, BasedatosM9!A:B, 2, FALSE), "BLANCO")))</f>
        <v/>
      </c>
      <c r="AI809" s="5" t="str">
        <f>IF(AND(LEN(AF809)=0, LEN(AG809)=0), "", IF(AND(LEN(AF809)&gt;0, LEN(AG809)=0), "BLANCO", IFERROR(VLOOKUP(AG809, BasedatosM9!A:B, 2, FALSE), "BLANCO")))</f>
        <v/>
      </c>
      <c r="AU809" s="5" t="str">
        <f>IF(AND(LEN(AR809)=0, LEN(AS809)=0), "", IF(AND(LEN(AR809)&gt;0, LEN(AS809)=0), "BLANCO", IFERROR(VLOOKUP(AS809, BasedatosM9!A:B, 2, FALSE), "BLANCO")))</f>
        <v/>
      </c>
    </row>
    <row r="810" spans="1:47" ht="14.4">
      <c r="A810" s="21"/>
      <c r="B810" s="86"/>
      <c r="C810" s="98"/>
      <c r="D810" s="21"/>
      <c r="E810" s="86"/>
      <c r="F810" s="99"/>
      <c r="G810" s="99"/>
      <c r="H810" s="21"/>
      <c r="I810" s="86"/>
      <c r="J810" s="21"/>
      <c r="K810" s="5" t="str">
        <f>IF(AND(LEN(H810)=0, LEN(I810)=0), "", IF(AND(LEN(H810)&gt;0, LEN(I810)=0), "BLANCO", IFERROR(VLOOKUP(I810, BasedatosM9!A:B, 2, FALSE), "BLANCO")))</f>
        <v/>
      </c>
      <c r="W810" s="5" t="str">
        <f>IF(AND(LEN(T810)=0, LEN(U810)=0), "", IF(AND(LEN(T810)&gt;0, LEN(U810)=0), "BLANCO", IFERROR(VLOOKUP(U810, BasedatosM9!A:B, 2, FALSE), "BLANCO")))</f>
        <v/>
      </c>
      <c r="AI810" s="5" t="str">
        <f>IF(AND(LEN(AF810)=0, LEN(AG810)=0), "", IF(AND(LEN(AF810)&gt;0, LEN(AG810)=0), "BLANCO", IFERROR(VLOOKUP(AG810, BasedatosM9!A:B, 2, FALSE), "BLANCO")))</f>
        <v/>
      </c>
      <c r="AU810" s="5" t="str">
        <f>IF(AND(LEN(AR810)=0, LEN(AS810)=0), "", IF(AND(LEN(AR810)&gt;0, LEN(AS810)=0), "BLANCO", IFERROR(VLOOKUP(AS810, BasedatosM9!A:B, 2, FALSE), "BLANCO")))</f>
        <v/>
      </c>
    </row>
    <row r="811" spans="1:47" ht="14.4">
      <c r="A811" s="21"/>
      <c r="B811" s="86"/>
      <c r="C811" s="98"/>
      <c r="D811" s="21"/>
      <c r="E811" s="86"/>
      <c r="F811" s="99"/>
      <c r="G811" s="99"/>
      <c r="H811" s="21"/>
      <c r="I811" s="86"/>
      <c r="J811" s="21"/>
      <c r="K811" s="5" t="str">
        <f>IF(AND(LEN(H811)=0, LEN(I811)=0), "", IF(AND(LEN(H811)&gt;0, LEN(I811)=0), "BLANCO", IFERROR(VLOOKUP(I811, BasedatosM9!A:B, 2, FALSE), "BLANCO")))</f>
        <v/>
      </c>
      <c r="W811" s="5" t="str">
        <f>IF(AND(LEN(T811)=0, LEN(U811)=0), "", IF(AND(LEN(T811)&gt;0, LEN(U811)=0), "BLANCO", IFERROR(VLOOKUP(U811, BasedatosM9!A:B, 2, FALSE), "BLANCO")))</f>
        <v/>
      </c>
      <c r="AI811" s="5" t="str">
        <f>IF(AND(LEN(AF811)=0, LEN(AG811)=0), "", IF(AND(LEN(AF811)&gt;0, LEN(AG811)=0), "BLANCO", IFERROR(VLOOKUP(AG811, BasedatosM9!A:B, 2, FALSE), "BLANCO")))</f>
        <v/>
      </c>
      <c r="AU811" s="5" t="str">
        <f>IF(AND(LEN(AR811)=0, LEN(AS811)=0), "", IF(AND(LEN(AR811)&gt;0, LEN(AS811)=0), "BLANCO", IFERROR(VLOOKUP(AS811, BasedatosM9!A:B, 2, FALSE), "BLANCO")))</f>
        <v/>
      </c>
    </row>
    <row r="812" spans="1:47" ht="14.4">
      <c r="A812" s="21"/>
      <c r="B812" s="86"/>
      <c r="C812" s="98"/>
      <c r="D812" s="21"/>
      <c r="E812" s="86"/>
      <c r="F812" s="99"/>
      <c r="G812" s="99"/>
      <c r="H812" s="21"/>
      <c r="I812" s="86"/>
      <c r="J812" s="21"/>
      <c r="K812" s="5" t="str">
        <f>IF(AND(LEN(H812)=0, LEN(I812)=0), "", IF(AND(LEN(H812)&gt;0, LEN(I812)=0), "BLANCO", IFERROR(VLOOKUP(I812, BasedatosM9!A:B, 2, FALSE), "BLANCO")))</f>
        <v/>
      </c>
      <c r="W812" s="5" t="str">
        <f>IF(AND(LEN(T812)=0, LEN(U812)=0), "", IF(AND(LEN(T812)&gt;0, LEN(U812)=0), "BLANCO", IFERROR(VLOOKUP(U812, BasedatosM9!A:B, 2, FALSE), "BLANCO")))</f>
        <v/>
      </c>
      <c r="AI812" s="5" t="str">
        <f>IF(AND(LEN(AF812)=0, LEN(AG812)=0), "", IF(AND(LEN(AF812)&gt;0, LEN(AG812)=0), "BLANCO", IFERROR(VLOOKUP(AG812, BasedatosM9!A:B, 2, FALSE), "BLANCO")))</f>
        <v/>
      </c>
      <c r="AU812" s="5" t="str">
        <f>IF(AND(LEN(AR812)=0, LEN(AS812)=0), "", IF(AND(LEN(AR812)&gt;0, LEN(AS812)=0), "BLANCO", IFERROR(VLOOKUP(AS812, BasedatosM9!A:B, 2, FALSE), "BLANCO")))</f>
        <v/>
      </c>
    </row>
    <row r="813" spans="1:47" ht="14.4">
      <c r="A813" s="21"/>
      <c r="B813" s="86"/>
      <c r="C813" s="98"/>
      <c r="D813" s="21"/>
      <c r="E813" s="86"/>
      <c r="F813" s="99"/>
      <c r="G813" s="99"/>
      <c r="H813" s="21"/>
      <c r="I813" s="86"/>
      <c r="J813" s="21"/>
      <c r="K813" s="5" t="str">
        <f>IF(AND(LEN(H813)=0, LEN(I813)=0), "", IF(AND(LEN(H813)&gt;0, LEN(I813)=0), "BLANCO", IFERROR(VLOOKUP(I813, BasedatosM9!A:B, 2, FALSE), "BLANCO")))</f>
        <v/>
      </c>
      <c r="W813" s="5" t="str">
        <f>IF(AND(LEN(T813)=0, LEN(U813)=0), "", IF(AND(LEN(T813)&gt;0, LEN(U813)=0), "BLANCO", IFERROR(VLOOKUP(U813, BasedatosM9!A:B, 2, FALSE), "BLANCO")))</f>
        <v/>
      </c>
      <c r="AI813" s="5" t="str">
        <f>IF(AND(LEN(AF813)=0, LEN(AG813)=0), "", IF(AND(LEN(AF813)&gt;0, LEN(AG813)=0), "BLANCO", IFERROR(VLOOKUP(AG813, BasedatosM9!A:B, 2, FALSE), "BLANCO")))</f>
        <v/>
      </c>
      <c r="AU813" s="5" t="str">
        <f>IF(AND(LEN(AR813)=0, LEN(AS813)=0), "", IF(AND(LEN(AR813)&gt;0, LEN(AS813)=0), "BLANCO", IFERROR(VLOOKUP(AS813, BasedatosM9!A:B, 2, FALSE), "BLANCO")))</f>
        <v/>
      </c>
    </row>
    <row r="814" spans="1:47" ht="14.4">
      <c r="A814" s="21"/>
      <c r="B814" s="86"/>
      <c r="C814" s="98"/>
      <c r="D814" s="21"/>
      <c r="E814" s="86"/>
      <c r="F814" s="99"/>
      <c r="G814" s="99"/>
      <c r="H814" s="21"/>
      <c r="I814" s="86"/>
      <c r="J814" s="21"/>
      <c r="K814" s="5" t="str">
        <f>IF(AND(LEN(H814)=0, LEN(I814)=0), "", IF(AND(LEN(H814)&gt;0, LEN(I814)=0), "BLANCO", IFERROR(VLOOKUP(I814, BasedatosM9!A:B, 2, FALSE), "BLANCO")))</f>
        <v/>
      </c>
      <c r="W814" s="5" t="str">
        <f>IF(AND(LEN(T814)=0, LEN(U814)=0), "", IF(AND(LEN(T814)&gt;0, LEN(U814)=0), "BLANCO", IFERROR(VLOOKUP(U814, BasedatosM9!A:B, 2, FALSE), "BLANCO")))</f>
        <v/>
      </c>
      <c r="AI814" s="5" t="str">
        <f>IF(AND(LEN(AF814)=0, LEN(AG814)=0), "", IF(AND(LEN(AF814)&gt;0, LEN(AG814)=0), "BLANCO", IFERROR(VLOOKUP(AG814, BasedatosM9!A:B, 2, FALSE), "BLANCO")))</f>
        <v/>
      </c>
      <c r="AU814" s="5" t="str">
        <f>IF(AND(LEN(AR814)=0, LEN(AS814)=0), "", IF(AND(LEN(AR814)&gt;0, LEN(AS814)=0), "BLANCO", IFERROR(VLOOKUP(AS814, BasedatosM9!A:B, 2, FALSE), "BLANCO")))</f>
        <v/>
      </c>
    </row>
    <row r="815" spans="1:47" ht="14.4">
      <c r="A815" s="21"/>
      <c r="B815" s="86"/>
      <c r="C815" s="98"/>
      <c r="D815" s="21"/>
      <c r="E815" s="86"/>
      <c r="F815" s="99"/>
      <c r="G815" s="99"/>
      <c r="H815" s="21"/>
      <c r="I815" s="86"/>
      <c r="J815" s="21"/>
      <c r="K815" s="5" t="str">
        <f>IF(AND(LEN(H815)=0, LEN(I815)=0), "", IF(AND(LEN(H815)&gt;0, LEN(I815)=0), "BLANCO", IFERROR(VLOOKUP(I815, BasedatosM9!A:B, 2, FALSE), "BLANCO")))</f>
        <v/>
      </c>
      <c r="W815" s="5" t="str">
        <f>IF(AND(LEN(T815)=0, LEN(U815)=0), "", IF(AND(LEN(T815)&gt;0, LEN(U815)=0), "BLANCO", IFERROR(VLOOKUP(U815, BasedatosM9!A:B, 2, FALSE), "BLANCO")))</f>
        <v/>
      </c>
      <c r="AI815" s="5" t="str">
        <f>IF(AND(LEN(AF815)=0, LEN(AG815)=0), "", IF(AND(LEN(AF815)&gt;0, LEN(AG815)=0), "BLANCO", IFERROR(VLOOKUP(AG815, BasedatosM9!A:B, 2, FALSE), "BLANCO")))</f>
        <v/>
      </c>
      <c r="AU815" s="5" t="str">
        <f>IF(AND(LEN(AR815)=0, LEN(AS815)=0), "", IF(AND(LEN(AR815)&gt;0, LEN(AS815)=0), "BLANCO", IFERROR(VLOOKUP(AS815, BasedatosM9!A:B, 2, FALSE), "BLANCO")))</f>
        <v/>
      </c>
    </row>
    <row r="816" spans="1:47" ht="14.4">
      <c r="A816" s="21"/>
      <c r="B816" s="86"/>
      <c r="C816" s="98"/>
      <c r="D816" s="21"/>
      <c r="E816" s="86"/>
      <c r="F816" s="99"/>
      <c r="G816" s="99"/>
      <c r="H816" s="21"/>
      <c r="I816" s="21"/>
      <c r="J816" s="21"/>
      <c r="K816" s="5" t="str">
        <f>IF(AND(LEN(H816)=0, LEN(I816)=0), "", IF(AND(LEN(H816)&gt;0, LEN(I816)=0), "BLANCO", IFERROR(VLOOKUP(I816, BasedatosM9!A:B, 2, FALSE), "BLANCO")))</f>
        <v/>
      </c>
      <c r="W816" s="5" t="str">
        <f>IF(AND(LEN(T816)=0, LEN(U816)=0), "", IF(AND(LEN(T816)&gt;0, LEN(U816)=0), "BLANCO", IFERROR(VLOOKUP(U816, BasedatosM9!A:B, 2, FALSE), "BLANCO")))</f>
        <v/>
      </c>
      <c r="AI816" s="5" t="str">
        <f>IF(AND(LEN(AF816)=0, LEN(AG816)=0), "", IF(AND(LEN(AF816)&gt;0, LEN(AG816)=0), "BLANCO", IFERROR(VLOOKUP(AG816, BasedatosM9!A:B, 2, FALSE), "BLANCO")))</f>
        <v/>
      </c>
      <c r="AU816" s="5" t="str">
        <f>IF(AND(LEN(AR816)=0, LEN(AS816)=0), "", IF(AND(LEN(AR816)&gt;0, LEN(AS816)=0), "BLANCO", IFERROR(VLOOKUP(AS816, BasedatosM9!A:B, 2, FALSE), "BLANCO")))</f>
        <v/>
      </c>
    </row>
    <row r="817" spans="1:47" ht="14.4">
      <c r="A817" s="21"/>
      <c r="B817" s="86"/>
      <c r="C817" s="98"/>
      <c r="D817" s="21"/>
      <c r="E817" s="86"/>
      <c r="F817" s="99"/>
      <c r="G817" s="99"/>
      <c r="H817" s="21"/>
      <c r="I817" s="21"/>
      <c r="J817" s="21"/>
      <c r="K817" s="5" t="str">
        <f>IF(AND(LEN(H817)=0, LEN(I817)=0), "", IF(AND(LEN(H817)&gt;0, LEN(I817)=0), "BLANCO", IFERROR(VLOOKUP(I817, BasedatosM9!A:B, 2, FALSE), "BLANCO")))</f>
        <v/>
      </c>
      <c r="W817" s="5" t="str">
        <f>IF(AND(LEN(T817)=0, LEN(U817)=0), "", IF(AND(LEN(T817)&gt;0, LEN(U817)=0), "BLANCO", IFERROR(VLOOKUP(U817, BasedatosM9!A:B, 2, FALSE), "BLANCO")))</f>
        <v/>
      </c>
      <c r="AI817" s="5" t="str">
        <f>IF(AND(LEN(AF817)=0, LEN(AG817)=0), "", IF(AND(LEN(AF817)&gt;0, LEN(AG817)=0), "BLANCO", IFERROR(VLOOKUP(AG817, BasedatosM9!A:B, 2, FALSE), "BLANCO")))</f>
        <v/>
      </c>
      <c r="AU817" s="5" t="str">
        <f>IF(AND(LEN(AR817)=0, LEN(AS817)=0), "", IF(AND(LEN(AR817)&gt;0, LEN(AS817)=0), "BLANCO", IFERROR(VLOOKUP(AS817, BasedatosM9!A:B, 2, FALSE), "BLANCO")))</f>
        <v/>
      </c>
    </row>
    <row r="818" spans="1:47" ht="14.4">
      <c r="A818" s="21"/>
      <c r="B818" s="86"/>
      <c r="C818" s="98"/>
      <c r="D818" s="21"/>
      <c r="E818" s="86"/>
      <c r="F818" s="99"/>
      <c r="G818" s="99"/>
      <c r="H818" s="21"/>
      <c r="I818" s="21"/>
      <c r="J818" s="21"/>
      <c r="K818" s="5" t="str">
        <f>IF(AND(LEN(H818)=0, LEN(I818)=0), "", IF(AND(LEN(H818)&gt;0, LEN(I818)=0), "BLANCO", IFERROR(VLOOKUP(I818, BasedatosM9!A:B, 2, FALSE), "BLANCO")))</f>
        <v/>
      </c>
      <c r="W818" s="5" t="str">
        <f>IF(AND(LEN(T818)=0, LEN(U818)=0), "", IF(AND(LEN(T818)&gt;0, LEN(U818)=0), "BLANCO", IFERROR(VLOOKUP(U818, BasedatosM9!A:B, 2, FALSE), "BLANCO")))</f>
        <v/>
      </c>
      <c r="AI818" s="5" t="str">
        <f>IF(AND(LEN(AF818)=0, LEN(AG818)=0), "", IF(AND(LEN(AF818)&gt;0, LEN(AG818)=0), "BLANCO", IFERROR(VLOOKUP(AG818, BasedatosM9!A:B, 2, FALSE), "BLANCO")))</f>
        <v/>
      </c>
      <c r="AU818" s="5" t="str">
        <f>IF(AND(LEN(AR818)=0, LEN(AS818)=0), "", IF(AND(LEN(AR818)&gt;0, LEN(AS818)=0), "BLANCO", IFERROR(VLOOKUP(AS818, BasedatosM9!A:B, 2, FALSE), "BLANCO")))</f>
        <v/>
      </c>
    </row>
    <row r="819" spans="1:47" ht="14.4">
      <c r="A819" s="21"/>
      <c r="B819" s="86"/>
      <c r="C819" s="98"/>
      <c r="D819" s="21"/>
      <c r="E819" s="86"/>
      <c r="F819" s="99"/>
      <c r="G819" s="99"/>
      <c r="H819" s="21"/>
      <c r="I819" s="21"/>
      <c r="J819" s="21"/>
      <c r="K819" s="5" t="str">
        <f>IF(AND(LEN(H819)=0, LEN(I819)=0), "", IF(AND(LEN(H819)&gt;0, LEN(I819)=0), "BLANCO", IFERROR(VLOOKUP(I819, BasedatosM9!A:B, 2, FALSE), "BLANCO")))</f>
        <v/>
      </c>
      <c r="W819" s="5" t="str">
        <f>IF(AND(LEN(T819)=0, LEN(U819)=0), "", IF(AND(LEN(T819)&gt;0, LEN(U819)=0), "BLANCO", IFERROR(VLOOKUP(U819, BasedatosM9!A:B, 2, FALSE), "BLANCO")))</f>
        <v/>
      </c>
      <c r="AI819" s="5" t="str">
        <f>IF(AND(LEN(AF819)=0, LEN(AG819)=0), "", IF(AND(LEN(AF819)&gt;0, LEN(AG819)=0), "BLANCO", IFERROR(VLOOKUP(AG819, BasedatosM9!A:B, 2, FALSE), "BLANCO")))</f>
        <v/>
      </c>
      <c r="AU819" s="5" t="str">
        <f>IF(AND(LEN(AR819)=0, LEN(AS819)=0), "", IF(AND(LEN(AR819)&gt;0, LEN(AS819)=0), "BLANCO", IFERROR(VLOOKUP(AS819, BasedatosM9!A:B, 2, FALSE), "BLANCO")))</f>
        <v/>
      </c>
    </row>
    <row r="820" spans="1:47" ht="14.4">
      <c r="A820" s="21"/>
      <c r="B820" s="86"/>
      <c r="C820" s="98"/>
      <c r="D820" s="21"/>
      <c r="E820" s="86"/>
      <c r="F820" s="99"/>
      <c r="G820" s="99"/>
      <c r="H820" s="21"/>
      <c r="I820" s="86"/>
      <c r="J820" s="21"/>
      <c r="K820" s="5" t="str">
        <f>IF(AND(LEN(H820)=0, LEN(I820)=0), "", IF(AND(LEN(H820)&gt;0, LEN(I820)=0), "BLANCO", IFERROR(VLOOKUP(I820, BasedatosM9!A:B, 2, FALSE), "BLANCO")))</f>
        <v/>
      </c>
      <c r="W820" s="5" t="str">
        <f>IF(AND(LEN(T820)=0, LEN(U820)=0), "", IF(AND(LEN(T820)&gt;0, LEN(U820)=0), "BLANCO", IFERROR(VLOOKUP(U820, BasedatosM9!A:B, 2, FALSE), "BLANCO")))</f>
        <v/>
      </c>
      <c r="AI820" s="5" t="str">
        <f>IF(AND(LEN(AF820)=0, LEN(AG820)=0), "", IF(AND(LEN(AF820)&gt;0, LEN(AG820)=0), "BLANCO", IFERROR(VLOOKUP(AG820, BasedatosM9!A:B, 2, FALSE), "BLANCO")))</f>
        <v/>
      </c>
      <c r="AU820" s="5" t="str">
        <f>IF(AND(LEN(AR820)=0, LEN(AS820)=0), "", IF(AND(LEN(AR820)&gt;0, LEN(AS820)=0), "BLANCO", IFERROR(VLOOKUP(AS820, BasedatosM9!A:B, 2, FALSE), "BLANCO")))</f>
        <v/>
      </c>
    </row>
    <row r="821" spans="1:47" ht="14.4">
      <c r="A821" s="21"/>
      <c r="B821" s="86"/>
      <c r="C821" s="98"/>
      <c r="D821" s="21"/>
      <c r="E821" s="86"/>
      <c r="F821" s="99"/>
      <c r="G821" s="99"/>
      <c r="H821" s="21"/>
      <c r="I821" s="86"/>
      <c r="J821" s="21"/>
      <c r="K821" s="5" t="str">
        <f>IF(AND(LEN(H821)=0, LEN(I821)=0), "", IF(AND(LEN(H821)&gt;0, LEN(I821)=0), "BLANCO", IFERROR(VLOOKUP(I821, BasedatosM9!A:B, 2, FALSE), "BLANCO")))</f>
        <v/>
      </c>
      <c r="W821" s="5" t="str">
        <f>IF(AND(LEN(T821)=0, LEN(U821)=0), "", IF(AND(LEN(T821)&gt;0, LEN(U821)=0), "BLANCO", IFERROR(VLOOKUP(U821, BasedatosM9!A:B, 2, FALSE), "BLANCO")))</f>
        <v/>
      </c>
      <c r="AI821" s="5" t="str">
        <f>IF(AND(LEN(AF821)=0, LEN(AG821)=0), "", IF(AND(LEN(AF821)&gt;0, LEN(AG821)=0), "BLANCO", IFERROR(VLOOKUP(AG821, BasedatosM9!A:B, 2, FALSE), "BLANCO")))</f>
        <v/>
      </c>
      <c r="AU821" s="5" t="str">
        <f>IF(AND(LEN(AR821)=0, LEN(AS821)=0), "", IF(AND(LEN(AR821)&gt;0, LEN(AS821)=0), "BLANCO", IFERROR(VLOOKUP(AS821, BasedatosM9!A:B, 2, FALSE), "BLANCO")))</f>
        <v/>
      </c>
    </row>
    <row r="822" spans="1:47" ht="14.4">
      <c r="A822" s="21"/>
      <c r="B822" s="86"/>
      <c r="C822" s="98"/>
      <c r="D822" s="21"/>
      <c r="E822" s="86"/>
      <c r="F822" s="99"/>
      <c r="G822" s="99"/>
      <c r="H822" s="21"/>
      <c r="I822" s="86"/>
      <c r="J822" s="21"/>
      <c r="K822" s="5" t="str">
        <f>IF(AND(LEN(H822)=0, LEN(I822)=0), "", IF(AND(LEN(H822)&gt;0, LEN(I822)=0), "BLANCO", IFERROR(VLOOKUP(I822, BasedatosM9!A:B, 2, FALSE), "BLANCO")))</f>
        <v/>
      </c>
      <c r="W822" s="5" t="str">
        <f>IF(AND(LEN(T822)=0, LEN(U822)=0), "", IF(AND(LEN(T822)&gt;0, LEN(U822)=0), "BLANCO", IFERROR(VLOOKUP(U822, BasedatosM9!A:B, 2, FALSE), "BLANCO")))</f>
        <v/>
      </c>
      <c r="AI822" s="5" t="str">
        <f>IF(AND(LEN(AF822)=0, LEN(AG822)=0), "", IF(AND(LEN(AF822)&gt;0, LEN(AG822)=0), "BLANCO", IFERROR(VLOOKUP(AG822, BasedatosM9!A:B, 2, FALSE), "BLANCO")))</f>
        <v/>
      </c>
      <c r="AU822" s="5" t="str">
        <f>IF(AND(LEN(AR822)=0, LEN(AS822)=0), "", IF(AND(LEN(AR822)&gt;0, LEN(AS822)=0), "BLANCO", IFERROR(VLOOKUP(AS822, BasedatosM9!A:B, 2, FALSE), "BLANCO")))</f>
        <v/>
      </c>
    </row>
    <row r="823" spans="1:47" ht="14.4">
      <c r="A823" s="21"/>
      <c r="B823" s="86"/>
      <c r="C823" s="98"/>
      <c r="D823" s="21"/>
      <c r="E823" s="86"/>
      <c r="F823" s="99"/>
      <c r="G823" s="99"/>
      <c r="H823" s="21"/>
      <c r="I823" s="86"/>
      <c r="J823" s="21"/>
      <c r="K823" s="5" t="str">
        <f>IF(AND(LEN(H823)=0, LEN(I823)=0), "", IF(AND(LEN(H823)&gt;0, LEN(I823)=0), "BLANCO", IFERROR(VLOOKUP(I823, BasedatosM9!A:B, 2, FALSE), "BLANCO")))</f>
        <v/>
      </c>
      <c r="W823" s="5" t="str">
        <f>IF(AND(LEN(T823)=0, LEN(U823)=0), "", IF(AND(LEN(T823)&gt;0, LEN(U823)=0), "BLANCO", IFERROR(VLOOKUP(U823, BasedatosM9!A:B, 2, FALSE), "BLANCO")))</f>
        <v/>
      </c>
      <c r="AI823" s="5" t="str">
        <f>IF(AND(LEN(AF823)=0, LEN(AG823)=0), "", IF(AND(LEN(AF823)&gt;0, LEN(AG823)=0), "BLANCO", IFERROR(VLOOKUP(AG823, BasedatosM9!A:B, 2, FALSE), "BLANCO")))</f>
        <v/>
      </c>
      <c r="AU823" s="5" t="str">
        <f>IF(AND(LEN(AR823)=0, LEN(AS823)=0), "", IF(AND(LEN(AR823)&gt;0, LEN(AS823)=0), "BLANCO", IFERROR(VLOOKUP(AS823, BasedatosM9!A:B, 2, FALSE), "BLANCO")))</f>
        <v/>
      </c>
    </row>
    <row r="824" spans="1:47" ht="14.4">
      <c r="A824" s="21"/>
      <c r="B824" s="86"/>
      <c r="C824" s="98"/>
      <c r="D824" s="21"/>
      <c r="E824" s="86"/>
      <c r="F824" s="99"/>
      <c r="G824" s="99"/>
      <c r="H824" s="21"/>
      <c r="I824" s="86"/>
      <c r="J824" s="21"/>
      <c r="K824" s="5" t="str">
        <f>IF(AND(LEN(H824)=0, LEN(I824)=0), "", IF(AND(LEN(H824)&gt;0, LEN(I824)=0), "BLANCO", IFERROR(VLOOKUP(I824, BasedatosM9!A:B, 2, FALSE), "BLANCO")))</f>
        <v/>
      </c>
      <c r="W824" s="5" t="str">
        <f>IF(AND(LEN(T824)=0, LEN(U824)=0), "", IF(AND(LEN(T824)&gt;0, LEN(U824)=0), "BLANCO", IFERROR(VLOOKUP(U824, BasedatosM9!A:B, 2, FALSE), "BLANCO")))</f>
        <v/>
      </c>
      <c r="AI824" s="5" t="str">
        <f>IF(AND(LEN(AF824)=0, LEN(AG824)=0), "", IF(AND(LEN(AF824)&gt;0, LEN(AG824)=0), "BLANCO", IFERROR(VLOOKUP(AG824, BasedatosM9!A:B, 2, FALSE), "BLANCO")))</f>
        <v/>
      </c>
      <c r="AU824" s="5" t="str">
        <f>IF(AND(LEN(AR824)=0, LEN(AS824)=0), "", IF(AND(LEN(AR824)&gt;0, LEN(AS824)=0), "BLANCO", IFERROR(VLOOKUP(AS824, BasedatosM9!A:B, 2, FALSE), "BLANCO")))</f>
        <v/>
      </c>
    </row>
    <row r="825" spans="1:47" ht="14.4">
      <c r="A825" s="21"/>
      <c r="B825" s="86"/>
      <c r="C825" s="98"/>
      <c r="D825" s="21"/>
      <c r="E825" s="86"/>
      <c r="F825" s="99"/>
      <c r="G825" s="99"/>
      <c r="H825" s="21"/>
      <c r="I825" s="21"/>
      <c r="J825" s="21"/>
      <c r="K825" s="5" t="str">
        <f>IF(AND(LEN(H825)=0, LEN(I825)=0), "", IF(AND(LEN(H825)&gt;0, LEN(I825)=0), "BLANCO", IFERROR(VLOOKUP(I825, BasedatosM9!A:B, 2, FALSE), "BLANCO")))</f>
        <v/>
      </c>
      <c r="W825" s="5" t="str">
        <f>IF(AND(LEN(T825)=0, LEN(U825)=0), "", IF(AND(LEN(T825)&gt;0, LEN(U825)=0), "BLANCO", IFERROR(VLOOKUP(U825, BasedatosM9!A:B, 2, FALSE), "BLANCO")))</f>
        <v/>
      </c>
      <c r="AI825" s="5" t="str">
        <f>IF(AND(LEN(AF825)=0, LEN(AG825)=0), "", IF(AND(LEN(AF825)&gt;0, LEN(AG825)=0), "BLANCO", IFERROR(VLOOKUP(AG825, BasedatosM9!A:B, 2, FALSE), "BLANCO")))</f>
        <v/>
      </c>
      <c r="AU825" s="5" t="str">
        <f>IF(AND(LEN(AR825)=0, LEN(AS825)=0), "", IF(AND(LEN(AR825)&gt;0, LEN(AS825)=0), "BLANCO", IFERROR(VLOOKUP(AS825, BasedatosM9!A:B, 2, FALSE), "BLANCO")))</f>
        <v/>
      </c>
    </row>
    <row r="826" spans="1:47" ht="14.4">
      <c r="A826" s="21"/>
      <c r="B826" s="86"/>
      <c r="C826" s="98"/>
      <c r="D826" s="21"/>
      <c r="E826" s="86"/>
      <c r="F826" s="99"/>
      <c r="G826" s="99"/>
      <c r="H826" s="21"/>
      <c r="I826" s="86"/>
      <c r="J826" s="21"/>
      <c r="K826" s="5" t="str">
        <f>IF(AND(LEN(H826)=0, LEN(I826)=0), "", IF(AND(LEN(H826)&gt;0, LEN(I826)=0), "BLANCO", IFERROR(VLOOKUP(I826, BasedatosM9!A:B, 2, FALSE), "BLANCO")))</f>
        <v/>
      </c>
      <c r="W826" s="5" t="str">
        <f>IF(AND(LEN(T826)=0, LEN(U826)=0), "", IF(AND(LEN(T826)&gt;0, LEN(U826)=0), "BLANCO", IFERROR(VLOOKUP(U826, BasedatosM9!A:B, 2, FALSE), "BLANCO")))</f>
        <v/>
      </c>
      <c r="AI826" s="5" t="str">
        <f>IF(AND(LEN(AF826)=0, LEN(AG826)=0), "", IF(AND(LEN(AF826)&gt;0, LEN(AG826)=0), "BLANCO", IFERROR(VLOOKUP(AG826, BasedatosM9!A:B, 2, FALSE), "BLANCO")))</f>
        <v/>
      </c>
      <c r="AU826" s="5" t="str">
        <f>IF(AND(LEN(AR826)=0, LEN(AS826)=0), "", IF(AND(LEN(AR826)&gt;0, LEN(AS826)=0), "BLANCO", IFERROR(VLOOKUP(AS826, BasedatosM9!A:B, 2, FALSE), "BLANCO")))</f>
        <v/>
      </c>
    </row>
    <row r="827" spans="1:47" ht="14.4">
      <c r="A827" s="21"/>
      <c r="B827" s="86"/>
      <c r="C827" s="98"/>
      <c r="D827" s="21"/>
      <c r="E827" s="86"/>
      <c r="F827" s="99"/>
      <c r="G827" s="99"/>
      <c r="H827" s="21"/>
      <c r="I827" s="21"/>
      <c r="J827" s="21"/>
      <c r="K827" s="5" t="str">
        <f>IF(AND(LEN(H827)=0, LEN(I827)=0), "", IF(AND(LEN(H827)&gt;0, LEN(I827)=0), "BLANCO", IFERROR(VLOOKUP(I827, BasedatosM9!A:B, 2, FALSE), "BLANCO")))</f>
        <v/>
      </c>
      <c r="W827" s="5" t="str">
        <f>IF(AND(LEN(T827)=0, LEN(U827)=0), "", IF(AND(LEN(T827)&gt;0, LEN(U827)=0), "BLANCO", IFERROR(VLOOKUP(U827, BasedatosM9!A:B, 2, FALSE), "BLANCO")))</f>
        <v/>
      </c>
      <c r="AI827" s="5" t="str">
        <f>IF(AND(LEN(AF827)=0, LEN(AG827)=0), "", IF(AND(LEN(AF827)&gt;0, LEN(AG827)=0), "BLANCO", IFERROR(VLOOKUP(AG827, BasedatosM9!A:B, 2, FALSE), "BLANCO")))</f>
        <v/>
      </c>
      <c r="AU827" s="5" t="str">
        <f>IF(AND(LEN(AR827)=0, LEN(AS827)=0), "", IF(AND(LEN(AR827)&gt;0, LEN(AS827)=0), "BLANCO", IFERROR(VLOOKUP(AS827, BasedatosM9!A:B, 2, FALSE), "BLANCO")))</f>
        <v/>
      </c>
    </row>
    <row r="828" spans="1:47" ht="14.4">
      <c r="A828" s="21"/>
      <c r="B828" s="86"/>
      <c r="C828" s="98"/>
      <c r="D828" s="21"/>
      <c r="E828" s="86"/>
      <c r="F828" s="99"/>
      <c r="G828" s="99"/>
      <c r="H828" s="21"/>
      <c r="I828" s="86"/>
      <c r="J828" s="21"/>
      <c r="K828" s="5" t="str">
        <f>IF(AND(LEN(H828)=0, LEN(I828)=0), "", IF(AND(LEN(H828)&gt;0, LEN(I828)=0), "BLANCO", IFERROR(VLOOKUP(I828, BasedatosM9!A:B, 2, FALSE), "BLANCO")))</f>
        <v/>
      </c>
      <c r="W828" s="5" t="str">
        <f>IF(AND(LEN(T828)=0, LEN(U828)=0), "", IF(AND(LEN(T828)&gt;0, LEN(U828)=0), "BLANCO", IFERROR(VLOOKUP(U828, BasedatosM9!A:B, 2, FALSE), "BLANCO")))</f>
        <v/>
      </c>
      <c r="AI828" s="5" t="str">
        <f>IF(AND(LEN(AF828)=0, LEN(AG828)=0), "", IF(AND(LEN(AF828)&gt;0, LEN(AG828)=0), "BLANCO", IFERROR(VLOOKUP(AG828, BasedatosM9!A:B, 2, FALSE), "BLANCO")))</f>
        <v/>
      </c>
      <c r="AU828" s="5" t="str">
        <f>IF(AND(LEN(AR828)=0, LEN(AS828)=0), "", IF(AND(LEN(AR828)&gt;0, LEN(AS828)=0), "BLANCO", IFERROR(VLOOKUP(AS828, BasedatosM9!A:B, 2, FALSE), "BLANCO")))</f>
        <v/>
      </c>
    </row>
    <row r="829" spans="1:47" ht="14.4">
      <c r="A829" s="21"/>
      <c r="B829" s="86"/>
      <c r="C829" s="98"/>
      <c r="D829" s="21"/>
      <c r="E829" s="86"/>
      <c r="F829" s="99"/>
      <c r="G829" s="99"/>
      <c r="H829" s="21"/>
      <c r="I829" s="86"/>
      <c r="J829" s="21"/>
      <c r="K829" s="5" t="str">
        <f>IF(AND(LEN(H829)=0, LEN(I829)=0), "", IF(AND(LEN(H829)&gt;0, LEN(I829)=0), "BLANCO", IFERROR(VLOOKUP(I829, BasedatosM9!A:B, 2, FALSE), "BLANCO")))</f>
        <v/>
      </c>
      <c r="W829" s="5" t="str">
        <f>IF(AND(LEN(T829)=0, LEN(U829)=0), "", IF(AND(LEN(T829)&gt;0, LEN(U829)=0), "BLANCO", IFERROR(VLOOKUP(U829, BasedatosM9!A:B, 2, FALSE), "BLANCO")))</f>
        <v/>
      </c>
      <c r="AI829" s="5" t="str">
        <f>IF(AND(LEN(AF829)=0, LEN(AG829)=0), "", IF(AND(LEN(AF829)&gt;0, LEN(AG829)=0), "BLANCO", IFERROR(VLOOKUP(AG829, BasedatosM9!A:B, 2, FALSE), "BLANCO")))</f>
        <v/>
      </c>
      <c r="AU829" s="5" t="str">
        <f>IF(AND(LEN(AR829)=0, LEN(AS829)=0), "", IF(AND(LEN(AR829)&gt;0, LEN(AS829)=0), "BLANCO", IFERROR(VLOOKUP(AS829, BasedatosM9!A:B, 2, FALSE), "BLANCO")))</f>
        <v/>
      </c>
    </row>
    <row r="830" spans="1:47" ht="14.4">
      <c r="A830" s="21"/>
      <c r="B830" s="86"/>
      <c r="C830" s="98"/>
      <c r="D830" s="21"/>
      <c r="E830" s="86"/>
      <c r="F830" s="99"/>
      <c r="G830" s="99"/>
      <c r="H830" s="21"/>
      <c r="I830" s="86"/>
      <c r="J830" s="21"/>
      <c r="K830" s="5" t="str">
        <f>IF(AND(LEN(H830)=0, LEN(I830)=0), "", IF(AND(LEN(H830)&gt;0, LEN(I830)=0), "BLANCO", IFERROR(VLOOKUP(I830, BasedatosM9!A:B, 2, FALSE), "BLANCO")))</f>
        <v/>
      </c>
      <c r="W830" s="5" t="str">
        <f>IF(AND(LEN(T830)=0, LEN(U830)=0), "", IF(AND(LEN(T830)&gt;0, LEN(U830)=0), "BLANCO", IFERROR(VLOOKUP(U830, BasedatosM9!A:B, 2, FALSE), "BLANCO")))</f>
        <v/>
      </c>
      <c r="AI830" s="5" t="str">
        <f>IF(AND(LEN(AF830)=0, LEN(AG830)=0), "", IF(AND(LEN(AF830)&gt;0, LEN(AG830)=0), "BLANCO", IFERROR(VLOOKUP(AG830, BasedatosM9!A:B, 2, FALSE), "BLANCO")))</f>
        <v/>
      </c>
      <c r="AU830" s="5" t="str">
        <f>IF(AND(LEN(AR830)=0, LEN(AS830)=0), "", IF(AND(LEN(AR830)&gt;0, LEN(AS830)=0), "BLANCO", IFERROR(VLOOKUP(AS830, BasedatosM9!A:B, 2, FALSE), "BLANCO")))</f>
        <v/>
      </c>
    </row>
    <row r="831" spans="1:47" ht="14.4">
      <c r="A831" s="21"/>
      <c r="B831" s="86"/>
      <c r="C831" s="98"/>
      <c r="D831" s="21"/>
      <c r="E831" s="86"/>
      <c r="F831" s="99"/>
      <c r="G831" s="99"/>
      <c r="H831" s="21"/>
      <c r="I831" s="86"/>
      <c r="J831" s="21"/>
      <c r="K831" s="5" t="str">
        <f>IF(AND(LEN(H831)=0, LEN(I831)=0), "", IF(AND(LEN(H831)&gt;0, LEN(I831)=0), "BLANCO", IFERROR(VLOOKUP(I831, BasedatosM9!A:B, 2, FALSE), "BLANCO")))</f>
        <v/>
      </c>
      <c r="W831" s="5" t="str">
        <f>IF(AND(LEN(T831)=0, LEN(U831)=0), "", IF(AND(LEN(T831)&gt;0, LEN(U831)=0), "BLANCO", IFERROR(VLOOKUP(U831, BasedatosM9!A:B, 2, FALSE), "BLANCO")))</f>
        <v/>
      </c>
      <c r="AI831" s="5" t="str">
        <f>IF(AND(LEN(AF831)=0, LEN(AG831)=0), "", IF(AND(LEN(AF831)&gt;0, LEN(AG831)=0), "BLANCO", IFERROR(VLOOKUP(AG831, BasedatosM9!A:B, 2, FALSE), "BLANCO")))</f>
        <v/>
      </c>
      <c r="AU831" s="5" t="str">
        <f>IF(AND(LEN(AR831)=0, LEN(AS831)=0), "", IF(AND(LEN(AR831)&gt;0, LEN(AS831)=0), "BLANCO", IFERROR(VLOOKUP(AS831, BasedatosM9!A:B, 2, FALSE), "BLANCO")))</f>
        <v/>
      </c>
    </row>
    <row r="832" spans="1:47" ht="14.4">
      <c r="A832" s="21"/>
      <c r="B832" s="86"/>
      <c r="C832" s="98"/>
      <c r="D832" s="21"/>
      <c r="E832" s="86"/>
      <c r="F832" s="99"/>
      <c r="G832" s="99"/>
      <c r="H832" s="21"/>
      <c r="I832" s="86"/>
      <c r="J832" s="21"/>
      <c r="K832" s="5" t="str">
        <f>IF(AND(LEN(H832)=0, LEN(I832)=0), "", IF(AND(LEN(H832)&gt;0, LEN(I832)=0), "BLANCO", IFERROR(VLOOKUP(I832, BasedatosM9!A:B, 2, FALSE), "BLANCO")))</f>
        <v/>
      </c>
      <c r="W832" s="5" t="str">
        <f>IF(AND(LEN(T832)=0, LEN(U832)=0), "", IF(AND(LEN(T832)&gt;0, LEN(U832)=0), "BLANCO", IFERROR(VLOOKUP(U832, BasedatosM9!A:B, 2, FALSE), "BLANCO")))</f>
        <v/>
      </c>
      <c r="AI832" s="5" t="str">
        <f>IF(AND(LEN(AF832)=0, LEN(AG832)=0), "", IF(AND(LEN(AF832)&gt;0, LEN(AG832)=0), "BLANCO", IFERROR(VLOOKUP(AG832, BasedatosM9!A:B, 2, FALSE), "BLANCO")))</f>
        <v/>
      </c>
      <c r="AU832" s="5" t="str">
        <f>IF(AND(LEN(AR832)=0, LEN(AS832)=0), "", IF(AND(LEN(AR832)&gt;0, LEN(AS832)=0), "BLANCO", IFERROR(VLOOKUP(AS832, BasedatosM9!A:B, 2, FALSE), "BLANCO")))</f>
        <v/>
      </c>
    </row>
    <row r="833" spans="1:47" ht="14.4">
      <c r="A833" s="21"/>
      <c r="B833" s="86"/>
      <c r="C833" s="98"/>
      <c r="D833" s="21"/>
      <c r="E833" s="86"/>
      <c r="F833" s="99"/>
      <c r="G833" s="99"/>
      <c r="H833" s="21"/>
      <c r="I833" s="86"/>
      <c r="J833" s="21"/>
      <c r="K833" s="5" t="str">
        <f>IF(AND(LEN(H833)=0, LEN(I833)=0), "", IF(AND(LEN(H833)&gt;0, LEN(I833)=0), "BLANCO", IFERROR(VLOOKUP(I833, BasedatosM9!A:B, 2, FALSE), "BLANCO")))</f>
        <v/>
      </c>
      <c r="W833" s="5" t="str">
        <f>IF(AND(LEN(T833)=0, LEN(U833)=0), "", IF(AND(LEN(T833)&gt;0, LEN(U833)=0), "BLANCO", IFERROR(VLOOKUP(U833, BasedatosM9!A:B, 2, FALSE), "BLANCO")))</f>
        <v/>
      </c>
      <c r="AI833" s="5" t="str">
        <f>IF(AND(LEN(AF833)=0, LEN(AG833)=0), "", IF(AND(LEN(AF833)&gt;0, LEN(AG833)=0), "BLANCO", IFERROR(VLOOKUP(AG833, BasedatosM9!A:B, 2, FALSE), "BLANCO")))</f>
        <v/>
      </c>
      <c r="AU833" s="5" t="str">
        <f>IF(AND(LEN(AR833)=0, LEN(AS833)=0), "", IF(AND(LEN(AR833)&gt;0, LEN(AS833)=0), "BLANCO", IFERROR(VLOOKUP(AS833, BasedatosM9!A:B, 2, FALSE), "BLANCO")))</f>
        <v/>
      </c>
    </row>
    <row r="834" spans="1:47" ht="14.4">
      <c r="A834" s="21"/>
      <c r="B834" s="86"/>
      <c r="C834" s="98"/>
      <c r="D834" s="21"/>
      <c r="E834" s="86"/>
      <c r="F834" s="99"/>
      <c r="G834" s="99"/>
      <c r="H834" s="21"/>
      <c r="I834" s="21"/>
      <c r="J834" s="21"/>
      <c r="K834" s="5" t="str">
        <f>IF(AND(LEN(H834)=0, LEN(I834)=0), "", IF(AND(LEN(H834)&gt;0, LEN(I834)=0), "BLANCO", IFERROR(VLOOKUP(I834, BasedatosM9!A:B, 2, FALSE), "BLANCO")))</f>
        <v/>
      </c>
      <c r="W834" s="5" t="str">
        <f>IF(AND(LEN(T834)=0, LEN(U834)=0), "", IF(AND(LEN(T834)&gt;0, LEN(U834)=0), "BLANCO", IFERROR(VLOOKUP(U834, BasedatosM9!A:B, 2, FALSE), "BLANCO")))</f>
        <v/>
      </c>
      <c r="AI834" s="5" t="str">
        <f>IF(AND(LEN(AF834)=0, LEN(AG834)=0), "", IF(AND(LEN(AF834)&gt;0, LEN(AG834)=0), "BLANCO", IFERROR(VLOOKUP(AG834, BasedatosM9!A:B, 2, FALSE), "BLANCO")))</f>
        <v/>
      </c>
      <c r="AU834" s="5" t="str">
        <f>IF(AND(LEN(AR834)=0, LEN(AS834)=0), "", IF(AND(LEN(AR834)&gt;0, LEN(AS834)=0), "BLANCO", IFERROR(VLOOKUP(AS834, BasedatosM9!A:B, 2, FALSE), "BLANCO")))</f>
        <v/>
      </c>
    </row>
    <row r="835" spans="1:47" ht="14.4">
      <c r="A835" s="21"/>
      <c r="B835" s="86"/>
      <c r="C835" s="98"/>
      <c r="D835" s="21"/>
      <c r="E835" s="86"/>
      <c r="F835" s="99"/>
      <c r="G835" s="99"/>
      <c r="H835" s="21"/>
      <c r="I835" s="86"/>
      <c r="J835" s="21"/>
      <c r="K835" s="5" t="str">
        <f>IF(AND(LEN(H835)=0, LEN(I835)=0), "", IF(AND(LEN(H835)&gt;0, LEN(I835)=0), "BLANCO", IFERROR(VLOOKUP(I835, BasedatosM9!A:B, 2, FALSE), "BLANCO")))</f>
        <v/>
      </c>
      <c r="W835" s="5" t="str">
        <f>IF(AND(LEN(T835)=0, LEN(U835)=0), "", IF(AND(LEN(T835)&gt;0, LEN(U835)=0), "BLANCO", IFERROR(VLOOKUP(U835, BasedatosM9!A:B, 2, FALSE), "BLANCO")))</f>
        <v/>
      </c>
      <c r="AI835" s="5" t="str">
        <f>IF(AND(LEN(AF835)=0, LEN(AG835)=0), "", IF(AND(LEN(AF835)&gt;0, LEN(AG835)=0), "BLANCO", IFERROR(VLOOKUP(AG835, BasedatosM9!A:B, 2, FALSE), "BLANCO")))</f>
        <v/>
      </c>
      <c r="AU835" s="5" t="str">
        <f>IF(AND(LEN(AR835)=0, LEN(AS835)=0), "", IF(AND(LEN(AR835)&gt;0, LEN(AS835)=0), "BLANCO", IFERROR(VLOOKUP(AS835, BasedatosM9!A:B, 2, FALSE), "BLANCO")))</f>
        <v/>
      </c>
    </row>
    <row r="836" spans="1:47" ht="14.4">
      <c r="A836" s="21"/>
      <c r="B836" s="86"/>
      <c r="C836" s="98"/>
      <c r="D836" s="21"/>
      <c r="E836" s="86"/>
      <c r="F836" s="99"/>
      <c r="G836" s="99"/>
      <c r="H836" s="21"/>
      <c r="I836" s="86"/>
      <c r="J836" s="21"/>
      <c r="K836" s="5" t="str">
        <f>IF(AND(LEN(H836)=0, LEN(I836)=0), "", IF(AND(LEN(H836)&gt;0, LEN(I836)=0), "BLANCO", IFERROR(VLOOKUP(I836, BasedatosM9!A:B, 2, FALSE), "BLANCO")))</f>
        <v/>
      </c>
      <c r="W836" s="5" t="str">
        <f>IF(AND(LEN(T836)=0, LEN(U836)=0), "", IF(AND(LEN(T836)&gt;0, LEN(U836)=0), "BLANCO", IFERROR(VLOOKUP(U836, BasedatosM9!A:B, 2, FALSE), "BLANCO")))</f>
        <v/>
      </c>
      <c r="AI836" s="5" t="str">
        <f>IF(AND(LEN(AF836)=0, LEN(AG836)=0), "", IF(AND(LEN(AF836)&gt;0, LEN(AG836)=0), "BLANCO", IFERROR(VLOOKUP(AG836, BasedatosM9!A:B, 2, FALSE), "BLANCO")))</f>
        <v/>
      </c>
      <c r="AU836" s="5" t="str">
        <f>IF(AND(LEN(AR836)=0, LEN(AS836)=0), "", IF(AND(LEN(AR836)&gt;0, LEN(AS836)=0), "BLANCO", IFERROR(VLOOKUP(AS836, BasedatosM9!A:B, 2, FALSE), "BLANCO")))</f>
        <v/>
      </c>
    </row>
    <row r="837" spans="1:47" ht="14.4">
      <c r="A837" s="21"/>
      <c r="B837" s="86"/>
      <c r="C837" s="98"/>
      <c r="D837" s="21"/>
      <c r="E837" s="86"/>
      <c r="F837" s="99"/>
      <c r="G837" s="99"/>
      <c r="H837" s="21"/>
      <c r="I837" s="21"/>
      <c r="J837" s="21"/>
      <c r="K837" s="5" t="str">
        <f>IF(AND(LEN(H837)=0, LEN(I837)=0), "", IF(AND(LEN(H837)&gt;0, LEN(I837)=0), "BLANCO", IFERROR(VLOOKUP(I837, BasedatosM9!A:B, 2, FALSE), "BLANCO")))</f>
        <v/>
      </c>
      <c r="W837" s="5" t="str">
        <f>IF(AND(LEN(T837)=0, LEN(U837)=0), "", IF(AND(LEN(T837)&gt;0, LEN(U837)=0), "BLANCO", IFERROR(VLOOKUP(U837, BasedatosM9!A:B, 2, FALSE), "BLANCO")))</f>
        <v/>
      </c>
      <c r="AI837" s="5" t="str">
        <f>IF(AND(LEN(AF837)=0, LEN(AG837)=0), "", IF(AND(LEN(AF837)&gt;0, LEN(AG837)=0), "BLANCO", IFERROR(VLOOKUP(AG837, BasedatosM9!A:B, 2, FALSE), "BLANCO")))</f>
        <v/>
      </c>
      <c r="AU837" s="5" t="str">
        <f>IF(AND(LEN(AR837)=0, LEN(AS837)=0), "", IF(AND(LEN(AR837)&gt;0, LEN(AS837)=0), "BLANCO", IFERROR(VLOOKUP(AS837, BasedatosM9!A:B, 2, FALSE), "BLANCO")))</f>
        <v/>
      </c>
    </row>
    <row r="838" spans="1:47" ht="14.4">
      <c r="A838" s="21"/>
      <c r="B838" s="86"/>
      <c r="C838" s="98"/>
      <c r="D838" s="21"/>
      <c r="E838" s="86"/>
      <c r="F838" s="99"/>
      <c r="G838" s="99"/>
      <c r="H838" s="21"/>
      <c r="I838" s="21"/>
      <c r="J838" s="21"/>
      <c r="K838" s="5" t="str">
        <f>IF(AND(LEN(H838)=0, LEN(I838)=0), "", IF(AND(LEN(H838)&gt;0, LEN(I838)=0), "BLANCO", IFERROR(VLOOKUP(I838, BasedatosM9!A:B, 2, FALSE), "BLANCO")))</f>
        <v/>
      </c>
      <c r="W838" s="5" t="str">
        <f>IF(AND(LEN(T838)=0, LEN(U838)=0), "", IF(AND(LEN(T838)&gt;0, LEN(U838)=0), "BLANCO", IFERROR(VLOOKUP(U838, BasedatosM9!A:B, 2, FALSE), "BLANCO")))</f>
        <v/>
      </c>
      <c r="AI838" s="5" t="str">
        <f>IF(AND(LEN(AF838)=0, LEN(AG838)=0), "", IF(AND(LEN(AF838)&gt;0, LEN(AG838)=0), "BLANCO", IFERROR(VLOOKUP(AG838, BasedatosM9!A:B, 2, FALSE), "BLANCO")))</f>
        <v/>
      </c>
      <c r="AU838" s="5" t="str">
        <f>IF(AND(LEN(AR838)=0, LEN(AS838)=0), "", IF(AND(LEN(AR838)&gt;0, LEN(AS838)=0), "BLANCO", IFERROR(VLOOKUP(AS838, BasedatosM9!A:B, 2, FALSE), "BLANCO")))</f>
        <v/>
      </c>
    </row>
    <row r="839" spans="1:47" ht="14.4">
      <c r="A839" s="21"/>
      <c r="B839" s="86"/>
      <c r="C839" s="98"/>
      <c r="D839" s="21"/>
      <c r="E839" s="86"/>
      <c r="F839" s="99"/>
      <c r="G839" s="99"/>
      <c r="H839" s="21"/>
      <c r="I839" s="86"/>
      <c r="J839" s="21"/>
      <c r="K839" s="5" t="str">
        <f>IF(AND(LEN(H839)=0, LEN(I839)=0), "", IF(AND(LEN(H839)&gt;0, LEN(I839)=0), "BLANCO", IFERROR(VLOOKUP(I839, BasedatosM9!A:B, 2, FALSE), "BLANCO")))</f>
        <v/>
      </c>
      <c r="W839" s="5" t="str">
        <f>IF(AND(LEN(T839)=0, LEN(U839)=0), "", IF(AND(LEN(T839)&gt;0, LEN(U839)=0), "BLANCO", IFERROR(VLOOKUP(U839, BasedatosM9!A:B, 2, FALSE), "BLANCO")))</f>
        <v/>
      </c>
      <c r="AI839" s="5" t="str">
        <f>IF(AND(LEN(AF839)=0, LEN(AG839)=0), "", IF(AND(LEN(AF839)&gt;0, LEN(AG839)=0), "BLANCO", IFERROR(VLOOKUP(AG839, BasedatosM9!A:B, 2, FALSE), "BLANCO")))</f>
        <v/>
      </c>
      <c r="AU839" s="5" t="str">
        <f>IF(AND(LEN(AR839)=0, LEN(AS839)=0), "", IF(AND(LEN(AR839)&gt;0, LEN(AS839)=0), "BLANCO", IFERROR(VLOOKUP(AS839, BasedatosM9!A:B, 2, FALSE), "BLANCO")))</f>
        <v/>
      </c>
    </row>
    <row r="840" spans="1:47" ht="14.4">
      <c r="A840" s="21"/>
      <c r="B840" s="86"/>
      <c r="C840" s="98"/>
      <c r="D840" s="21"/>
      <c r="E840" s="86"/>
      <c r="F840" s="99"/>
      <c r="G840" s="99"/>
      <c r="H840" s="21"/>
      <c r="I840" s="21"/>
      <c r="J840" s="21"/>
      <c r="K840" s="5" t="str">
        <f>IF(AND(LEN(H840)=0, LEN(I840)=0), "", IF(AND(LEN(H840)&gt;0, LEN(I840)=0), "BLANCO", IFERROR(VLOOKUP(I840, BasedatosM9!A:B, 2, FALSE), "BLANCO")))</f>
        <v/>
      </c>
      <c r="W840" s="5" t="str">
        <f>IF(AND(LEN(T840)=0, LEN(U840)=0), "", IF(AND(LEN(T840)&gt;0, LEN(U840)=0), "BLANCO", IFERROR(VLOOKUP(U840, BasedatosM9!A:B, 2, FALSE), "BLANCO")))</f>
        <v/>
      </c>
      <c r="AI840" s="5" t="str">
        <f>IF(AND(LEN(AF840)=0, LEN(AG840)=0), "", IF(AND(LEN(AF840)&gt;0, LEN(AG840)=0), "BLANCO", IFERROR(VLOOKUP(AG840, BasedatosM9!A:B, 2, FALSE), "BLANCO")))</f>
        <v/>
      </c>
      <c r="AU840" s="5" t="str">
        <f>IF(AND(LEN(AR840)=0, LEN(AS840)=0), "", IF(AND(LEN(AR840)&gt;0, LEN(AS840)=0), "BLANCO", IFERROR(VLOOKUP(AS840, BasedatosM9!A:B, 2, FALSE), "BLANCO")))</f>
        <v/>
      </c>
    </row>
    <row r="841" spans="1:47" ht="14.4">
      <c r="A841" s="21"/>
      <c r="B841" s="86"/>
      <c r="C841" s="98"/>
      <c r="D841" s="21"/>
      <c r="E841" s="86"/>
      <c r="F841" s="99"/>
      <c r="G841" s="99"/>
      <c r="H841" s="21"/>
      <c r="I841" s="21"/>
      <c r="J841" s="21"/>
      <c r="K841" s="5" t="str">
        <f>IF(AND(LEN(H841)=0, LEN(I841)=0), "", IF(AND(LEN(H841)&gt;0, LEN(I841)=0), "BLANCO", IFERROR(VLOOKUP(I841, BasedatosM9!A:B, 2, FALSE), "BLANCO")))</f>
        <v/>
      </c>
      <c r="W841" s="5" t="str">
        <f>IF(AND(LEN(T841)=0, LEN(U841)=0), "", IF(AND(LEN(T841)&gt;0, LEN(U841)=0), "BLANCO", IFERROR(VLOOKUP(U841, BasedatosM9!A:B, 2, FALSE), "BLANCO")))</f>
        <v/>
      </c>
      <c r="AI841" s="5" t="str">
        <f>IF(AND(LEN(AF841)=0, LEN(AG841)=0), "", IF(AND(LEN(AF841)&gt;0, LEN(AG841)=0), "BLANCO", IFERROR(VLOOKUP(AG841, BasedatosM9!A:B, 2, FALSE), "BLANCO")))</f>
        <v/>
      </c>
      <c r="AU841" s="5" t="str">
        <f>IF(AND(LEN(AR841)=0, LEN(AS841)=0), "", IF(AND(LEN(AR841)&gt;0, LEN(AS841)=0), "BLANCO", IFERROR(VLOOKUP(AS841, BasedatosM9!A:B, 2, FALSE), "BLANCO")))</f>
        <v/>
      </c>
    </row>
    <row r="842" spans="1:47" ht="14.4">
      <c r="A842" s="21"/>
      <c r="B842" s="86"/>
      <c r="C842" s="98"/>
      <c r="D842" s="21"/>
      <c r="E842" s="86"/>
      <c r="F842" s="99"/>
      <c r="G842" s="99"/>
      <c r="H842" s="21"/>
      <c r="I842" s="21"/>
      <c r="J842" s="21"/>
      <c r="K842" s="5" t="str">
        <f>IF(AND(LEN(H842)=0, LEN(I842)=0), "", IF(AND(LEN(H842)&gt;0, LEN(I842)=0), "BLANCO", IFERROR(VLOOKUP(I842, BasedatosM9!A:B, 2, FALSE), "BLANCO")))</f>
        <v/>
      </c>
      <c r="W842" s="5" t="str">
        <f>IF(AND(LEN(T842)=0, LEN(U842)=0), "", IF(AND(LEN(T842)&gt;0, LEN(U842)=0), "BLANCO", IFERROR(VLOOKUP(U842, BasedatosM9!A:B, 2, FALSE), "BLANCO")))</f>
        <v/>
      </c>
      <c r="AI842" s="5" t="str">
        <f>IF(AND(LEN(AF842)=0, LEN(AG842)=0), "", IF(AND(LEN(AF842)&gt;0, LEN(AG842)=0), "BLANCO", IFERROR(VLOOKUP(AG842, BasedatosM9!A:B, 2, FALSE), "BLANCO")))</f>
        <v/>
      </c>
      <c r="AU842" s="5" t="str">
        <f>IF(AND(LEN(AR842)=0, LEN(AS842)=0), "", IF(AND(LEN(AR842)&gt;0, LEN(AS842)=0), "BLANCO", IFERROR(VLOOKUP(AS842, BasedatosM9!A:B, 2, FALSE), "BLANCO")))</f>
        <v/>
      </c>
    </row>
    <row r="843" spans="1:47" ht="14.4">
      <c r="A843" s="21"/>
      <c r="B843" s="86"/>
      <c r="C843" s="98"/>
      <c r="D843" s="21"/>
      <c r="E843" s="86"/>
      <c r="F843" s="99"/>
      <c r="G843" s="99"/>
      <c r="H843" s="21"/>
      <c r="I843" s="21"/>
      <c r="J843" s="21"/>
      <c r="K843" s="5" t="str">
        <f>IF(AND(LEN(H843)=0, LEN(I843)=0), "", IF(AND(LEN(H843)&gt;0, LEN(I843)=0), "BLANCO", IFERROR(VLOOKUP(I843, BasedatosM9!A:B, 2, FALSE), "BLANCO")))</f>
        <v/>
      </c>
      <c r="W843" s="5" t="str">
        <f>IF(AND(LEN(T843)=0, LEN(U843)=0), "", IF(AND(LEN(T843)&gt;0, LEN(U843)=0), "BLANCO", IFERROR(VLOOKUP(U843, BasedatosM9!A:B, 2, FALSE), "BLANCO")))</f>
        <v/>
      </c>
      <c r="AI843" s="5" t="str">
        <f>IF(AND(LEN(AF843)=0, LEN(AG843)=0), "", IF(AND(LEN(AF843)&gt;0, LEN(AG843)=0), "BLANCO", IFERROR(VLOOKUP(AG843, BasedatosM9!A:B, 2, FALSE), "BLANCO")))</f>
        <v/>
      </c>
      <c r="AU843" s="5" t="str">
        <f>IF(AND(LEN(AR843)=0, LEN(AS843)=0), "", IF(AND(LEN(AR843)&gt;0, LEN(AS843)=0), "BLANCO", IFERROR(VLOOKUP(AS843, BasedatosM9!A:B, 2, FALSE), "BLANCO")))</f>
        <v/>
      </c>
    </row>
    <row r="844" spans="1:47" ht="14.4">
      <c r="A844" s="21"/>
      <c r="B844" s="86"/>
      <c r="C844" s="98"/>
      <c r="D844" s="21"/>
      <c r="E844" s="86"/>
      <c r="F844" s="99"/>
      <c r="G844" s="99"/>
      <c r="H844" s="21"/>
      <c r="I844" s="21"/>
      <c r="J844" s="21"/>
      <c r="K844" s="5" t="str">
        <f>IF(AND(LEN(H844)=0, LEN(I844)=0), "", IF(AND(LEN(H844)&gt;0, LEN(I844)=0), "BLANCO", IFERROR(VLOOKUP(I844, BasedatosM9!A:B, 2, FALSE), "BLANCO")))</f>
        <v/>
      </c>
      <c r="W844" s="5" t="str">
        <f>IF(AND(LEN(T844)=0, LEN(U844)=0), "", IF(AND(LEN(T844)&gt;0, LEN(U844)=0), "BLANCO", IFERROR(VLOOKUP(U844, BasedatosM9!A:B, 2, FALSE), "BLANCO")))</f>
        <v/>
      </c>
      <c r="AI844" s="5" t="str">
        <f>IF(AND(LEN(AF844)=0, LEN(AG844)=0), "", IF(AND(LEN(AF844)&gt;0, LEN(AG844)=0), "BLANCO", IFERROR(VLOOKUP(AG844, BasedatosM9!A:B, 2, FALSE), "BLANCO")))</f>
        <v/>
      </c>
      <c r="AU844" s="5" t="str">
        <f>IF(AND(LEN(AR844)=0, LEN(AS844)=0), "", IF(AND(LEN(AR844)&gt;0, LEN(AS844)=0), "BLANCO", IFERROR(VLOOKUP(AS844, BasedatosM9!A:B, 2, FALSE), "BLANCO")))</f>
        <v/>
      </c>
    </row>
    <row r="845" spans="1:47" ht="14.4">
      <c r="A845" s="21"/>
      <c r="B845" s="86"/>
      <c r="C845" s="98"/>
      <c r="D845" s="21"/>
      <c r="E845" s="86"/>
      <c r="F845" s="99"/>
      <c r="G845" s="99"/>
      <c r="H845" s="21"/>
      <c r="I845" s="86"/>
      <c r="J845" s="21"/>
      <c r="K845" s="5" t="str">
        <f>IF(AND(LEN(H845)=0, LEN(I845)=0), "", IF(AND(LEN(H845)&gt;0, LEN(I845)=0), "BLANCO", IFERROR(VLOOKUP(I845, BasedatosM9!A:B, 2, FALSE), "BLANCO")))</f>
        <v/>
      </c>
      <c r="W845" s="5" t="str">
        <f>IF(AND(LEN(T845)=0, LEN(U845)=0), "", IF(AND(LEN(T845)&gt;0, LEN(U845)=0), "BLANCO", IFERROR(VLOOKUP(U845, BasedatosM9!A:B, 2, FALSE), "BLANCO")))</f>
        <v/>
      </c>
      <c r="AI845" s="5" t="str">
        <f>IF(AND(LEN(AF845)=0, LEN(AG845)=0), "", IF(AND(LEN(AF845)&gt;0, LEN(AG845)=0), "BLANCO", IFERROR(VLOOKUP(AG845, BasedatosM9!A:B, 2, FALSE), "BLANCO")))</f>
        <v/>
      </c>
      <c r="AU845" s="5" t="str">
        <f>IF(AND(LEN(AR845)=0, LEN(AS845)=0), "", IF(AND(LEN(AR845)&gt;0, LEN(AS845)=0), "BLANCO", IFERROR(VLOOKUP(AS845, BasedatosM9!A:B, 2, FALSE), "BLANCO")))</f>
        <v/>
      </c>
    </row>
    <row r="846" spans="1:47" ht="14.4">
      <c r="A846" s="21"/>
      <c r="B846" s="86"/>
      <c r="C846" s="98"/>
      <c r="D846" s="21"/>
      <c r="E846" s="86"/>
      <c r="F846" s="99"/>
      <c r="G846" s="99"/>
      <c r="H846" s="21"/>
      <c r="I846" s="21"/>
      <c r="J846" s="21"/>
      <c r="K846" s="5" t="str">
        <f>IF(AND(LEN(H846)=0, LEN(I846)=0), "", IF(AND(LEN(H846)&gt;0, LEN(I846)=0), "BLANCO", IFERROR(VLOOKUP(I846, BasedatosM9!A:B, 2, FALSE), "BLANCO")))</f>
        <v/>
      </c>
      <c r="W846" s="5" t="str">
        <f>IF(AND(LEN(T846)=0, LEN(U846)=0), "", IF(AND(LEN(T846)&gt;0, LEN(U846)=0), "BLANCO", IFERROR(VLOOKUP(U846, BasedatosM9!A:B, 2, FALSE), "BLANCO")))</f>
        <v/>
      </c>
      <c r="AI846" s="5" t="str">
        <f>IF(AND(LEN(AF846)=0, LEN(AG846)=0), "", IF(AND(LEN(AF846)&gt;0, LEN(AG846)=0), "BLANCO", IFERROR(VLOOKUP(AG846, BasedatosM9!A:B, 2, FALSE), "BLANCO")))</f>
        <v/>
      </c>
      <c r="AU846" s="5" t="str">
        <f>IF(AND(LEN(AR846)=0, LEN(AS846)=0), "", IF(AND(LEN(AR846)&gt;0, LEN(AS846)=0), "BLANCO", IFERROR(VLOOKUP(AS846, BasedatosM9!A:B, 2, FALSE), "BLANCO")))</f>
        <v/>
      </c>
    </row>
    <row r="847" spans="1:47" ht="14.4">
      <c r="A847" s="21"/>
      <c r="B847" s="86"/>
      <c r="C847" s="98"/>
      <c r="D847" s="21"/>
      <c r="E847" s="86"/>
      <c r="F847" s="99"/>
      <c r="G847" s="99"/>
      <c r="H847" s="21"/>
      <c r="I847" s="86"/>
      <c r="J847" s="21"/>
      <c r="K847" s="5" t="str">
        <f>IF(AND(LEN(H847)=0, LEN(I847)=0), "", IF(AND(LEN(H847)&gt;0, LEN(I847)=0), "BLANCO", IFERROR(VLOOKUP(I847, BasedatosM9!A:B, 2, FALSE), "BLANCO")))</f>
        <v/>
      </c>
      <c r="W847" s="5" t="str">
        <f>IF(AND(LEN(T847)=0, LEN(U847)=0), "", IF(AND(LEN(T847)&gt;0, LEN(U847)=0), "BLANCO", IFERROR(VLOOKUP(U847, BasedatosM9!A:B, 2, FALSE), "BLANCO")))</f>
        <v/>
      </c>
      <c r="AI847" s="5" t="str">
        <f>IF(AND(LEN(AF847)=0, LEN(AG847)=0), "", IF(AND(LEN(AF847)&gt;0, LEN(AG847)=0), "BLANCO", IFERROR(VLOOKUP(AG847, BasedatosM9!A:B, 2, FALSE), "BLANCO")))</f>
        <v/>
      </c>
      <c r="AU847" s="5" t="str">
        <f>IF(AND(LEN(AR847)=0, LEN(AS847)=0), "", IF(AND(LEN(AR847)&gt;0, LEN(AS847)=0), "BLANCO", IFERROR(VLOOKUP(AS847, BasedatosM9!A:B, 2, FALSE), "BLANCO")))</f>
        <v/>
      </c>
    </row>
    <row r="848" spans="1:47" ht="14.4">
      <c r="A848" s="21"/>
      <c r="B848" s="86"/>
      <c r="C848" s="98"/>
      <c r="D848" s="21"/>
      <c r="E848" s="86"/>
      <c r="F848" s="99"/>
      <c r="G848" s="99"/>
      <c r="H848" s="21"/>
      <c r="I848" s="21"/>
      <c r="J848" s="21"/>
      <c r="K848" s="5" t="str">
        <f>IF(AND(LEN(H848)=0, LEN(I848)=0), "", IF(AND(LEN(H848)&gt;0, LEN(I848)=0), "BLANCO", IFERROR(VLOOKUP(I848, BasedatosM9!A:B, 2, FALSE), "BLANCO")))</f>
        <v/>
      </c>
      <c r="W848" s="5" t="str">
        <f>IF(AND(LEN(T848)=0, LEN(U848)=0), "", IF(AND(LEN(T848)&gt;0, LEN(U848)=0), "BLANCO", IFERROR(VLOOKUP(U848, BasedatosM9!A:B, 2, FALSE), "BLANCO")))</f>
        <v/>
      </c>
      <c r="AI848" s="5" t="str">
        <f>IF(AND(LEN(AF848)=0, LEN(AG848)=0), "", IF(AND(LEN(AF848)&gt;0, LEN(AG848)=0), "BLANCO", IFERROR(VLOOKUP(AG848, BasedatosM9!A:B, 2, FALSE), "BLANCO")))</f>
        <v/>
      </c>
      <c r="AU848" s="5" t="str">
        <f>IF(AND(LEN(AR848)=0, LEN(AS848)=0), "", IF(AND(LEN(AR848)&gt;0, LEN(AS848)=0), "BLANCO", IFERROR(VLOOKUP(AS848, BasedatosM9!A:B, 2, FALSE), "BLANCO")))</f>
        <v/>
      </c>
    </row>
    <row r="849" spans="1:47" ht="14.4">
      <c r="A849" s="21"/>
      <c r="B849" s="86"/>
      <c r="C849" s="98"/>
      <c r="D849" s="21"/>
      <c r="E849" s="86"/>
      <c r="F849" s="99"/>
      <c r="G849" s="99"/>
      <c r="H849" s="21"/>
      <c r="I849" s="86"/>
      <c r="J849" s="21"/>
      <c r="K849" s="5" t="str">
        <f>IF(AND(LEN(H849)=0, LEN(I849)=0), "", IF(AND(LEN(H849)&gt;0, LEN(I849)=0), "BLANCO", IFERROR(VLOOKUP(I849, BasedatosM9!A:B, 2, FALSE), "BLANCO")))</f>
        <v/>
      </c>
      <c r="W849" s="5" t="str">
        <f>IF(AND(LEN(T849)=0, LEN(U849)=0), "", IF(AND(LEN(T849)&gt;0, LEN(U849)=0), "BLANCO", IFERROR(VLOOKUP(U849, BasedatosM9!A:B, 2, FALSE), "BLANCO")))</f>
        <v/>
      </c>
      <c r="AI849" s="5" t="str">
        <f>IF(AND(LEN(AF849)=0, LEN(AG849)=0), "", IF(AND(LEN(AF849)&gt;0, LEN(AG849)=0), "BLANCO", IFERROR(VLOOKUP(AG849, BasedatosM9!A:B, 2, FALSE), "BLANCO")))</f>
        <v/>
      </c>
      <c r="AU849" s="5" t="str">
        <f>IF(AND(LEN(AR849)=0, LEN(AS849)=0), "", IF(AND(LEN(AR849)&gt;0, LEN(AS849)=0), "BLANCO", IFERROR(VLOOKUP(AS849, BasedatosM9!A:B, 2, FALSE), "BLANCO")))</f>
        <v/>
      </c>
    </row>
    <row r="850" spans="1:47" ht="14.4">
      <c r="A850" s="21"/>
      <c r="B850" s="86"/>
      <c r="C850" s="98"/>
      <c r="D850" s="21"/>
      <c r="E850" s="86"/>
      <c r="F850" s="99"/>
      <c r="G850" s="99"/>
      <c r="H850" s="21"/>
      <c r="I850" s="86"/>
      <c r="J850" s="21"/>
      <c r="K850" s="5" t="str">
        <f>IF(AND(LEN(H850)=0, LEN(I850)=0), "", IF(AND(LEN(H850)&gt;0, LEN(I850)=0), "BLANCO", IFERROR(VLOOKUP(I850, BasedatosM9!A:B, 2, FALSE), "BLANCO")))</f>
        <v/>
      </c>
      <c r="W850" s="5" t="str">
        <f>IF(AND(LEN(T850)=0, LEN(U850)=0), "", IF(AND(LEN(T850)&gt;0, LEN(U850)=0), "BLANCO", IFERROR(VLOOKUP(U850, BasedatosM9!A:B, 2, FALSE), "BLANCO")))</f>
        <v/>
      </c>
      <c r="AI850" s="5" t="str">
        <f>IF(AND(LEN(AF850)=0, LEN(AG850)=0), "", IF(AND(LEN(AF850)&gt;0, LEN(AG850)=0), "BLANCO", IFERROR(VLOOKUP(AG850, BasedatosM9!A:B, 2, FALSE), "BLANCO")))</f>
        <v/>
      </c>
      <c r="AU850" s="5" t="str">
        <f>IF(AND(LEN(AR850)=0, LEN(AS850)=0), "", IF(AND(LEN(AR850)&gt;0, LEN(AS850)=0), "BLANCO", IFERROR(VLOOKUP(AS850, BasedatosM9!A:B, 2, FALSE), "BLANCO")))</f>
        <v/>
      </c>
    </row>
    <row r="851" spans="1:47" ht="14.4">
      <c r="A851" s="21"/>
      <c r="B851" s="86"/>
      <c r="C851" s="98"/>
      <c r="D851" s="21"/>
      <c r="E851" s="86"/>
      <c r="F851" s="99"/>
      <c r="G851" s="99"/>
      <c r="H851" s="21"/>
      <c r="I851" s="86"/>
      <c r="J851" s="21"/>
      <c r="K851" s="5" t="str">
        <f>IF(AND(LEN(H851)=0, LEN(I851)=0), "", IF(AND(LEN(H851)&gt;0, LEN(I851)=0), "BLANCO", IFERROR(VLOOKUP(I851, BasedatosM9!A:B, 2, FALSE), "BLANCO")))</f>
        <v/>
      </c>
      <c r="W851" s="5" t="str">
        <f>IF(AND(LEN(T851)=0, LEN(U851)=0), "", IF(AND(LEN(T851)&gt;0, LEN(U851)=0), "BLANCO", IFERROR(VLOOKUP(U851, BasedatosM9!A:B, 2, FALSE), "BLANCO")))</f>
        <v/>
      </c>
      <c r="AI851" s="5" t="str">
        <f>IF(AND(LEN(AF851)=0, LEN(AG851)=0), "", IF(AND(LEN(AF851)&gt;0, LEN(AG851)=0), "BLANCO", IFERROR(VLOOKUP(AG851, BasedatosM9!A:B, 2, FALSE), "BLANCO")))</f>
        <v/>
      </c>
      <c r="AU851" s="5" t="str">
        <f>IF(AND(LEN(AR851)=0, LEN(AS851)=0), "", IF(AND(LEN(AR851)&gt;0, LEN(AS851)=0), "BLANCO", IFERROR(VLOOKUP(AS851, BasedatosM9!A:B, 2, FALSE), "BLANCO")))</f>
        <v/>
      </c>
    </row>
    <row r="852" spans="1:47" ht="14.4">
      <c r="A852" s="21"/>
      <c r="B852" s="86"/>
      <c r="C852" s="98"/>
      <c r="D852" s="21"/>
      <c r="E852" s="86"/>
      <c r="F852" s="99"/>
      <c r="G852" s="99"/>
      <c r="H852" s="21"/>
      <c r="I852" s="86"/>
      <c r="J852" s="21"/>
      <c r="K852" s="5" t="str">
        <f>IF(AND(LEN(H852)=0, LEN(I852)=0), "", IF(AND(LEN(H852)&gt;0, LEN(I852)=0), "BLANCO", IFERROR(VLOOKUP(I852, BasedatosM9!A:B, 2, FALSE), "BLANCO")))</f>
        <v/>
      </c>
      <c r="W852" s="5" t="str">
        <f>IF(AND(LEN(T852)=0, LEN(U852)=0), "", IF(AND(LEN(T852)&gt;0, LEN(U852)=0), "BLANCO", IFERROR(VLOOKUP(U852, BasedatosM9!A:B, 2, FALSE), "BLANCO")))</f>
        <v/>
      </c>
      <c r="AI852" s="5" t="str">
        <f>IF(AND(LEN(AF852)=0, LEN(AG852)=0), "", IF(AND(LEN(AF852)&gt;0, LEN(AG852)=0), "BLANCO", IFERROR(VLOOKUP(AG852, BasedatosM9!A:B, 2, FALSE), "BLANCO")))</f>
        <v/>
      </c>
      <c r="AU852" s="5" t="str">
        <f>IF(AND(LEN(AR852)=0, LEN(AS852)=0), "", IF(AND(LEN(AR852)&gt;0, LEN(AS852)=0), "BLANCO", IFERROR(VLOOKUP(AS852, BasedatosM9!A:B, 2, FALSE), "BLANCO")))</f>
        <v/>
      </c>
    </row>
    <row r="853" spans="1:47" ht="14.4">
      <c r="A853" s="21"/>
      <c r="B853" s="86"/>
      <c r="C853" s="98"/>
      <c r="D853" s="21"/>
      <c r="E853" s="86"/>
      <c r="F853" s="99"/>
      <c r="G853" s="99"/>
      <c r="H853" s="21"/>
      <c r="I853" s="86"/>
      <c r="J853" s="21"/>
      <c r="K853" s="5" t="str">
        <f>IF(AND(LEN(H853)=0, LEN(I853)=0), "", IF(AND(LEN(H853)&gt;0, LEN(I853)=0), "BLANCO", IFERROR(VLOOKUP(I853, BasedatosM9!A:B, 2, FALSE), "BLANCO")))</f>
        <v/>
      </c>
      <c r="W853" s="5" t="str">
        <f>IF(AND(LEN(T853)=0, LEN(U853)=0), "", IF(AND(LEN(T853)&gt;0, LEN(U853)=0), "BLANCO", IFERROR(VLOOKUP(U853, BasedatosM9!A:B, 2, FALSE), "BLANCO")))</f>
        <v/>
      </c>
      <c r="AI853" s="5" t="str">
        <f>IF(AND(LEN(AF853)=0, LEN(AG853)=0), "", IF(AND(LEN(AF853)&gt;0, LEN(AG853)=0), "BLANCO", IFERROR(VLOOKUP(AG853, BasedatosM9!A:B, 2, FALSE), "BLANCO")))</f>
        <v/>
      </c>
      <c r="AU853" s="5" t="str">
        <f>IF(AND(LEN(AR853)=0, LEN(AS853)=0), "", IF(AND(LEN(AR853)&gt;0, LEN(AS853)=0), "BLANCO", IFERROR(VLOOKUP(AS853, BasedatosM9!A:B, 2, FALSE), "BLANCO")))</f>
        <v/>
      </c>
    </row>
    <row r="854" spans="1:47" ht="14.4">
      <c r="A854" s="21"/>
      <c r="B854" s="86"/>
      <c r="C854" s="98"/>
      <c r="D854" s="21"/>
      <c r="E854" s="86"/>
      <c r="F854" s="99"/>
      <c r="G854" s="99"/>
      <c r="H854" s="21"/>
      <c r="I854" s="86"/>
      <c r="J854" s="21"/>
      <c r="K854" s="5" t="str">
        <f>IF(AND(LEN(H854)=0, LEN(I854)=0), "", IF(AND(LEN(H854)&gt;0, LEN(I854)=0), "BLANCO", IFERROR(VLOOKUP(I854, BasedatosM9!A:B, 2, FALSE), "BLANCO")))</f>
        <v/>
      </c>
      <c r="W854" s="5" t="str">
        <f>IF(AND(LEN(T854)=0, LEN(U854)=0), "", IF(AND(LEN(T854)&gt;0, LEN(U854)=0), "BLANCO", IFERROR(VLOOKUP(U854, BasedatosM9!A:B, 2, FALSE), "BLANCO")))</f>
        <v/>
      </c>
      <c r="AI854" s="5" t="str">
        <f>IF(AND(LEN(AF854)=0, LEN(AG854)=0), "", IF(AND(LEN(AF854)&gt;0, LEN(AG854)=0), "BLANCO", IFERROR(VLOOKUP(AG854, BasedatosM9!A:B, 2, FALSE), "BLANCO")))</f>
        <v/>
      </c>
      <c r="AU854" s="5" t="str">
        <f>IF(AND(LEN(AR854)=0, LEN(AS854)=0), "", IF(AND(LEN(AR854)&gt;0, LEN(AS854)=0), "BLANCO", IFERROR(VLOOKUP(AS854, BasedatosM9!A:B, 2, FALSE), "BLANCO")))</f>
        <v/>
      </c>
    </row>
    <row r="855" spans="1:47" ht="14.4">
      <c r="A855" s="21"/>
      <c r="B855" s="86"/>
      <c r="C855" s="98"/>
      <c r="D855" s="21"/>
      <c r="E855" s="86"/>
      <c r="F855" s="99"/>
      <c r="G855" s="99"/>
      <c r="H855" s="21"/>
      <c r="I855" s="86"/>
      <c r="J855" s="21"/>
      <c r="K855" s="5" t="str">
        <f>IF(AND(LEN(H855)=0, LEN(I855)=0), "", IF(AND(LEN(H855)&gt;0, LEN(I855)=0), "BLANCO", IFERROR(VLOOKUP(I855, BasedatosM9!A:B, 2, FALSE), "BLANCO")))</f>
        <v/>
      </c>
      <c r="W855" s="5" t="str">
        <f>IF(AND(LEN(T855)=0, LEN(U855)=0), "", IF(AND(LEN(T855)&gt;0, LEN(U855)=0), "BLANCO", IFERROR(VLOOKUP(U855, BasedatosM9!A:B, 2, FALSE), "BLANCO")))</f>
        <v/>
      </c>
      <c r="AI855" s="5" t="str">
        <f>IF(AND(LEN(AF855)=0, LEN(AG855)=0), "", IF(AND(LEN(AF855)&gt;0, LEN(AG855)=0), "BLANCO", IFERROR(VLOOKUP(AG855, BasedatosM9!A:B, 2, FALSE), "BLANCO")))</f>
        <v/>
      </c>
      <c r="AU855" s="5" t="str">
        <f>IF(AND(LEN(AR855)=0, LEN(AS855)=0), "", IF(AND(LEN(AR855)&gt;0, LEN(AS855)=0), "BLANCO", IFERROR(VLOOKUP(AS855, BasedatosM9!A:B, 2, FALSE), "BLANCO")))</f>
        <v/>
      </c>
    </row>
    <row r="856" spans="1:47" ht="14.4">
      <c r="A856" s="21"/>
      <c r="B856" s="86"/>
      <c r="C856" s="98"/>
      <c r="D856" s="21"/>
      <c r="E856" s="86"/>
      <c r="F856" s="99"/>
      <c r="G856" s="99"/>
      <c r="H856" s="21"/>
      <c r="I856" s="86"/>
      <c r="J856" s="21"/>
      <c r="K856" s="5" t="str">
        <f>IF(AND(LEN(H856)=0, LEN(I856)=0), "", IF(AND(LEN(H856)&gt;0, LEN(I856)=0), "BLANCO", IFERROR(VLOOKUP(I856, BasedatosM9!A:B, 2, FALSE), "BLANCO")))</f>
        <v/>
      </c>
      <c r="W856" s="5" t="str">
        <f>IF(AND(LEN(T856)=0, LEN(U856)=0), "", IF(AND(LEN(T856)&gt;0, LEN(U856)=0), "BLANCO", IFERROR(VLOOKUP(U856, BasedatosM9!A:B, 2, FALSE), "BLANCO")))</f>
        <v/>
      </c>
      <c r="AI856" s="5" t="str">
        <f>IF(AND(LEN(AF856)=0, LEN(AG856)=0), "", IF(AND(LEN(AF856)&gt;0, LEN(AG856)=0), "BLANCO", IFERROR(VLOOKUP(AG856, BasedatosM9!A:B, 2, FALSE), "BLANCO")))</f>
        <v/>
      </c>
      <c r="AU856" s="5" t="str">
        <f>IF(AND(LEN(AR856)=0, LEN(AS856)=0), "", IF(AND(LEN(AR856)&gt;0, LEN(AS856)=0), "BLANCO", IFERROR(VLOOKUP(AS856, BasedatosM9!A:B, 2, FALSE), "BLANCO")))</f>
        <v/>
      </c>
    </row>
    <row r="857" spans="1:47" ht="14.4">
      <c r="A857" s="21"/>
      <c r="B857" s="86"/>
      <c r="C857" s="98"/>
      <c r="D857" s="21"/>
      <c r="E857" s="86"/>
      <c r="F857" s="99"/>
      <c r="G857" s="99"/>
      <c r="H857" s="21"/>
      <c r="I857" s="21"/>
      <c r="J857" s="21"/>
      <c r="K857" s="5" t="str">
        <f>IF(AND(LEN(H857)=0, LEN(I857)=0), "", IF(AND(LEN(H857)&gt;0, LEN(I857)=0), "BLANCO", IFERROR(VLOOKUP(I857, BasedatosM9!A:B, 2, FALSE), "BLANCO")))</f>
        <v/>
      </c>
      <c r="W857" s="5" t="str">
        <f>IF(AND(LEN(T857)=0, LEN(U857)=0), "", IF(AND(LEN(T857)&gt;0, LEN(U857)=0), "BLANCO", IFERROR(VLOOKUP(U857, BasedatosM9!A:B, 2, FALSE), "BLANCO")))</f>
        <v/>
      </c>
      <c r="AI857" s="5" t="str">
        <f>IF(AND(LEN(AF857)=0, LEN(AG857)=0), "", IF(AND(LEN(AF857)&gt;0, LEN(AG857)=0), "BLANCO", IFERROR(VLOOKUP(AG857, BasedatosM9!A:B, 2, FALSE), "BLANCO")))</f>
        <v/>
      </c>
      <c r="AU857" s="5" t="str">
        <f>IF(AND(LEN(AR857)=0, LEN(AS857)=0), "", IF(AND(LEN(AR857)&gt;0, LEN(AS857)=0), "BLANCO", IFERROR(VLOOKUP(AS857, BasedatosM9!A:B, 2, FALSE), "BLANCO")))</f>
        <v/>
      </c>
    </row>
    <row r="858" spans="1:47" ht="14.4">
      <c r="A858" s="21"/>
      <c r="B858" s="86"/>
      <c r="C858" s="98"/>
      <c r="D858" s="21"/>
      <c r="E858" s="86"/>
      <c r="F858" s="99"/>
      <c r="G858" s="99"/>
      <c r="H858" s="21"/>
      <c r="I858" s="21"/>
      <c r="J858" s="21"/>
      <c r="K858" s="5" t="str">
        <f>IF(AND(LEN(H858)=0, LEN(I858)=0), "", IF(AND(LEN(H858)&gt;0, LEN(I858)=0), "BLANCO", IFERROR(VLOOKUP(I858, BasedatosM9!A:B, 2, FALSE), "BLANCO")))</f>
        <v/>
      </c>
      <c r="W858" s="5" t="str">
        <f>IF(AND(LEN(T858)=0, LEN(U858)=0), "", IF(AND(LEN(T858)&gt;0, LEN(U858)=0), "BLANCO", IFERROR(VLOOKUP(U858, BasedatosM9!A:B, 2, FALSE), "BLANCO")))</f>
        <v/>
      </c>
      <c r="AI858" s="5" t="str">
        <f>IF(AND(LEN(AF858)=0, LEN(AG858)=0), "", IF(AND(LEN(AF858)&gt;0, LEN(AG858)=0), "BLANCO", IFERROR(VLOOKUP(AG858, BasedatosM9!A:B, 2, FALSE), "BLANCO")))</f>
        <v/>
      </c>
      <c r="AU858" s="5" t="str">
        <f>IF(AND(LEN(AR858)=0, LEN(AS858)=0), "", IF(AND(LEN(AR858)&gt;0, LEN(AS858)=0), "BLANCO", IFERROR(VLOOKUP(AS858, BasedatosM9!A:B, 2, FALSE), "BLANCO")))</f>
        <v/>
      </c>
    </row>
    <row r="859" spans="1:47" ht="14.4">
      <c r="A859" s="21"/>
      <c r="B859" s="86"/>
      <c r="C859" s="98"/>
      <c r="D859" s="21"/>
      <c r="E859" s="86"/>
      <c r="F859" s="99"/>
      <c r="G859" s="99"/>
      <c r="H859" s="21"/>
      <c r="I859" s="21"/>
      <c r="J859" s="21"/>
      <c r="K859" s="5" t="str">
        <f>IF(AND(LEN(H859)=0, LEN(I859)=0), "", IF(AND(LEN(H859)&gt;0, LEN(I859)=0), "BLANCO", IFERROR(VLOOKUP(I859, BasedatosM9!A:B, 2, FALSE), "BLANCO")))</f>
        <v/>
      </c>
      <c r="W859" s="5" t="str">
        <f>IF(AND(LEN(T859)=0, LEN(U859)=0), "", IF(AND(LEN(T859)&gt;0, LEN(U859)=0), "BLANCO", IFERROR(VLOOKUP(U859, BasedatosM9!A:B, 2, FALSE), "BLANCO")))</f>
        <v/>
      </c>
      <c r="AI859" s="5" t="str">
        <f>IF(AND(LEN(AF859)=0, LEN(AG859)=0), "", IF(AND(LEN(AF859)&gt;0, LEN(AG859)=0), "BLANCO", IFERROR(VLOOKUP(AG859, BasedatosM9!A:B, 2, FALSE), "BLANCO")))</f>
        <v/>
      </c>
      <c r="AU859" s="5" t="str">
        <f>IF(AND(LEN(AR859)=0, LEN(AS859)=0), "", IF(AND(LEN(AR859)&gt;0, LEN(AS859)=0), "BLANCO", IFERROR(VLOOKUP(AS859, BasedatosM9!A:B, 2, FALSE), "BLANCO")))</f>
        <v/>
      </c>
    </row>
    <row r="860" spans="1:47" ht="14.4">
      <c r="A860" s="21"/>
      <c r="B860" s="86"/>
      <c r="C860" s="98"/>
      <c r="D860" s="21"/>
      <c r="E860" s="86"/>
      <c r="F860" s="99"/>
      <c r="G860" s="99"/>
      <c r="H860" s="21"/>
      <c r="I860" s="86"/>
      <c r="J860" s="21"/>
      <c r="K860" s="5" t="str">
        <f>IF(AND(LEN(H860)=0, LEN(I860)=0), "", IF(AND(LEN(H860)&gt;0, LEN(I860)=0), "BLANCO", IFERROR(VLOOKUP(I860, BasedatosM9!A:B, 2, FALSE), "BLANCO")))</f>
        <v/>
      </c>
      <c r="W860" s="5" t="str">
        <f>IF(AND(LEN(T860)=0, LEN(U860)=0), "", IF(AND(LEN(T860)&gt;0, LEN(U860)=0), "BLANCO", IFERROR(VLOOKUP(U860, BasedatosM9!A:B, 2, FALSE), "BLANCO")))</f>
        <v/>
      </c>
      <c r="AI860" s="5" t="str">
        <f>IF(AND(LEN(AF860)=0, LEN(AG860)=0), "", IF(AND(LEN(AF860)&gt;0, LEN(AG860)=0), "BLANCO", IFERROR(VLOOKUP(AG860, BasedatosM9!A:B, 2, FALSE), "BLANCO")))</f>
        <v/>
      </c>
      <c r="AU860" s="5" t="str">
        <f>IF(AND(LEN(AR860)=0, LEN(AS860)=0), "", IF(AND(LEN(AR860)&gt;0, LEN(AS860)=0), "BLANCO", IFERROR(VLOOKUP(AS860, BasedatosM9!A:B, 2, FALSE), "BLANCO")))</f>
        <v/>
      </c>
    </row>
    <row r="861" spans="1:47" ht="14.4">
      <c r="A861" s="21"/>
      <c r="B861" s="86"/>
      <c r="C861" s="98"/>
      <c r="D861" s="21"/>
      <c r="E861" s="86"/>
      <c r="F861" s="99"/>
      <c r="G861" s="99"/>
      <c r="H861" s="21"/>
      <c r="I861" s="21"/>
      <c r="J861" s="21"/>
      <c r="K861" s="5" t="str">
        <f>IF(AND(LEN(H861)=0, LEN(I861)=0), "", IF(AND(LEN(H861)&gt;0, LEN(I861)=0), "BLANCO", IFERROR(VLOOKUP(I861, BasedatosM9!A:B, 2, FALSE), "BLANCO")))</f>
        <v/>
      </c>
      <c r="W861" s="5" t="str">
        <f>IF(AND(LEN(T861)=0, LEN(U861)=0), "", IF(AND(LEN(T861)&gt;0, LEN(U861)=0), "BLANCO", IFERROR(VLOOKUP(U861, BasedatosM9!A:B, 2, FALSE), "BLANCO")))</f>
        <v/>
      </c>
      <c r="AI861" s="5" t="str">
        <f>IF(AND(LEN(AF861)=0, LEN(AG861)=0), "", IF(AND(LEN(AF861)&gt;0, LEN(AG861)=0), "BLANCO", IFERROR(VLOOKUP(AG861, BasedatosM9!A:B, 2, FALSE), "BLANCO")))</f>
        <v/>
      </c>
      <c r="AU861" s="5" t="str">
        <f>IF(AND(LEN(AR861)=0, LEN(AS861)=0), "", IF(AND(LEN(AR861)&gt;0, LEN(AS861)=0), "BLANCO", IFERROR(VLOOKUP(AS861, BasedatosM9!A:B, 2, FALSE), "BLANCO")))</f>
        <v/>
      </c>
    </row>
    <row r="862" spans="1:47" ht="14.4">
      <c r="A862" s="21"/>
      <c r="B862" s="86"/>
      <c r="C862" s="98"/>
      <c r="D862" s="21"/>
      <c r="E862" s="86"/>
      <c r="F862" s="99"/>
      <c r="G862" s="99"/>
      <c r="H862" s="21"/>
      <c r="I862" s="21"/>
      <c r="J862" s="21"/>
      <c r="K862" s="5" t="str">
        <f>IF(AND(LEN(H862)=0, LEN(I862)=0), "", IF(AND(LEN(H862)&gt;0, LEN(I862)=0), "BLANCO", IFERROR(VLOOKUP(I862, BasedatosM9!A:B, 2, FALSE), "BLANCO")))</f>
        <v/>
      </c>
      <c r="W862" s="5" t="str">
        <f>IF(AND(LEN(T862)=0, LEN(U862)=0), "", IF(AND(LEN(T862)&gt;0, LEN(U862)=0), "BLANCO", IFERROR(VLOOKUP(U862, BasedatosM9!A:B, 2, FALSE), "BLANCO")))</f>
        <v/>
      </c>
      <c r="AI862" s="5" t="str">
        <f>IF(AND(LEN(AF862)=0, LEN(AG862)=0), "", IF(AND(LEN(AF862)&gt;0, LEN(AG862)=0), "BLANCO", IFERROR(VLOOKUP(AG862, BasedatosM9!A:B, 2, FALSE), "BLANCO")))</f>
        <v/>
      </c>
      <c r="AU862" s="5" t="str">
        <f>IF(AND(LEN(AR862)=0, LEN(AS862)=0), "", IF(AND(LEN(AR862)&gt;0, LEN(AS862)=0), "BLANCO", IFERROR(VLOOKUP(AS862, BasedatosM9!A:B, 2, FALSE), "BLANCO")))</f>
        <v/>
      </c>
    </row>
    <row r="863" spans="1:47" ht="14.4">
      <c r="A863" s="21"/>
      <c r="B863" s="86"/>
      <c r="C863" s="98"/>
      <c r="D863" s="21"/>
      <c r="E863" s="86"/>
      <c r="F863" s="99"/>
      <c r="G863" s="99"/>
      <c r="H863" s="21"/>
      <c r="I863" s="86"/>
      <c r="J863" s="21"/>
      <c r="K863" s="5" t="str">
        <f>IF(AND(LEN(H863)=0, LEN(I863)=0), "", IF(AND(LEN(H863)&gt;0, LEN(I863)=0), "BLANCO", IFERROR(VLOOKUP(I863, BasedatosM9!A:B, 2, FALSE), "BLANCO")))</f>
        <v/>
      </c>
      <c r="W863" s="5" t="str">
        <f>IF(AND(LEN(T863)=0, LEN(U863)=0), "", IF(AND(LEN(T863)&gt;0, LEN(U863)=0), "BLANCO", IFERROR(VLOOKUP(U863, BasedatosM9!A:B, 2, FALSE), "BLANCO")))</f>
        <v/>
      </c>
      <c r="AI863" s="5" t="str">
        <f>IF(AND(LEN(AF863)=0, LEN(AG863)=0), "", IF(AND(LEN(AF863)&gt;0, LEN(AG863)=0), "BLANCO", IFERROR(VLOOKUP(AG863, BasedatosM9!A:B, 2, FALSE), "BLANCO")))</f>
        <v/>
      </c>
      <c r="AU863" s="5" t="str">
        <f>IF(AND(LEN(AR863)=0, LEN(AS863)=0), "", IF(AND(LEN(AR863)&gt;0, LEN(AS863)=0), "BLANCO", IFERROR(VLOOKUP(AS863, BasedatosM9!A:B, 2, FALSE), "BLANCO")))</f>
        <v/>
      </c>
    </row>
    <row r="864" spans="1:47" ht="14.4">
      <c r="A864" s="21"/>
      <c r="B864" s="86"/>
      <c r="C864" s="98"/>
      <c r="D864" s="21"/>
      <c r="E864" s="86"/>
      <c r="F864" s="99"/>
      <c r="G864" s="99"/>
      <c r="H864" s="21"/>
      <c r="I864" s="86"/>
      <c r="J864" s="21"/>
      <c r="K864" s="5" t="str">
        <f>IF(AND(LEN(H864)=0, LEN(I864)=0), "", IF(AND(LEN(H864)&gt;0, LEN(I864)=0), "BLANCO", IFERROR(VLOOKUP(I864, BasedatosM9!A:B, 2, FALSE), "BLANCO")))</f>
        <v/>
      </c>
      <c r="W864" s="5" t="str">
        <f>IF(AND(LEN(T864)=0, LEN(U864)=0), "", IF(AND(LEN(T864)&gt;0, LEN(U864)=0), "BLANCO", IFERROR(VLOOKUP(U864, BasedatosM9!A:B, 2, FALSE), "BLANCO")))</f>
        <v/>
      </c>
      <c r="AI864" s="5" t="str">
        <f>IF(AND(LEN(AF864)=0, LEN(AG864)=0), "", IF(AND(LEN(AF864)&gt;0, LEN(AG864)=0), "BLANCO", IFERROR(VLOOKUP(AG864, BasedatosM9!A:B, 2, FALSE), "BLANCO")))</f>
        <v/>
      </c>
      <c r="AU864" s="5" t="str">
        <f>IF(AND(LEN(AR864)=0, LEN(AS864)=0), "", IF(AND(LEN(AR864)&gt;0, LEN(AS864)=0), "BLANCO", IFERROR(VLOOKUP(AS864, BasedatosM9!A:B, 2, FALSE), "BLANCO")))</f>
        <v/>
      </c>
    </row>
    <row r="865" spans="1:47" ht="14.4">
      <c r="A865" s="21"/>
      <c r="B865" s="86"/>
      <c r="C865" s="98"/>
      <c r="D865" s="21"/>
      <c r="E865" s="86"/>
      <c r="F865" s="99"/>
      <c r="G865" s="99"/>
      <c r="H865" s="21"/>
      <c r="I865" s="86"/>
      <c r="J865" s="21"/>
      <c r="K865" s="5" t="str">
        <f>IF(AND(LEN(H865)=0, LEN(I865)=0), "", IF(AND(LEN(H865)&gt;0, LEN(I865)=0), "BLANCO", IFERROR(VLOOKUP(I865, BasedatosM9!A:B, 2, FALSE), "BLANCO")))</f>
        <v/>
      </c>
      <c r="W865" s="5" t="str">
        <f>IF(AND(LEN(T865)=0, LEN(U865)=0), "", IF(AND(LEN(T865)&gt;0, LEN(U865)=0), "BLANCO", IFERROR(VLOOKUP(U865, BasedatosM9!A:B, 2, FALSE), "BLANCO")))</f>
        <v/>
      </c>
      <c r="AI865" s="5" t="str">
        <f>IF(AND(LEN(AF865)=0, LEN(AG865)=0), "", IF(AND(LEN(AF865)&gt;0, LEN(AG865)=0), "BLANCO", IFERROR(VLOOKUP(AG865, BasedatosM9!A:B, 2, FALSE), "BLANCO")))</f>
        <v/>
      </c>
      <c r="AU865" s="5" t="str">
        <f>IF(AND(LEN(AR865)=0, LEN(AS865)=0), "", IF(AND(LEN(AR865)&gt;0, LEN(AS865)=0), "BLANCO", IFERROR(VLOOKUP(AS865, BasedatosM9!A:B, 2, FALSE), "BLANCO")))</f>
        <v/>
      </c>
    </row>
    <row r="866" spans="1:47" ht="14.4">
      <c r="A866" s="21"/>
      <c r="B866" s="86"/>
      <c r="C866" s="98"/>
      <c r="D866" s="21"/>
      <c r="E866" s="86"/>
      <c r="F866" s="99"/>
      <c r="G866" s="99"/>
      <c r="H866" s="21"/>
      <c r="I866" s="86"/>
      <c r="J866" s="21"/>
      <c r="K866" s="5" t="str">
        <f>IF(AND(LEN(H866)=0, LEN(I866)=0), "", IF(AND(LEN(H866)&gt;0, LEN(I866)=0), "BLANCO", IFERROR(VLOOKUP(I866, BasedatosM9!A:B, 2, FALSE), "BLANCO")))</f>
        <v/>
      </c>
      <c r="W866" s="5" t="str">
        <f>IF(AND(LEN(T866)=0, LEN(U866)=0), "", IF(AND(LEN(T866)&gt;0, LEN(U866)=0), "BLANCO", IFERROR(VLOOKUP(U866, BasedatosM9!A:B, 2, FALSE), "BLANCO")))</f>
        <v/>
      </c>
      <c r="AI866" s="5" t="str">
        <f>IF(AND(LEN(AF866)=0, LEN(AG866)=0), "", IF(AND(LEN(AF866)&gt;0, LEN(AG866)=0), "BLANCO", IFERROR(VLOOKUP(AG866, BasedatosM9!A:B, 2, FALSE), "BLANCO")))</f>
        <v/>
      </c>
      <c r="AU866" s="5" t="str">
        <f>IF(AND(LEN(AR866)=0, LEN(AS866)=0), "", IF(AND(LEN(AR866)&gt;0, LEN(AS866)=0), "BLANCO", IFERROR(VLOOKUP(AS866, BasedatosM9!A:B, 2, FALSE), "BLANCO")))</f>
        <v/>
      </c>
    </row>
    <row r="867" spans="1:47" ht="14.4">
      <c r="A867" s="21"/>
      <c r="B867" s="86"/>
      <c r="C867" s="98"/>
      <c r="D867" s="21"/>
      <c r="E867" s="86"/>
      <c r="F867" s="99"/>
      <c r="G867" s="99"/>
      <c r="H867" s="21"/>
      <c r="I867" s="21"/>
      <c r="J867" s="21"/>
      <c r="K867" s="5" t="str">
        <f>IF(AND(LEN(H867)=0, LEN(I867)=0), "", IF(AND(LEN(H867)&gt;0, LEN(I867)=0), "BLANCO", IFERROR(VLOOKUP(I867, BasedatosM9!A:B, 2, FALSE), "BLANCO")))</f>
        <v/>
      </c>
      <c r="W867" s="5" t="str">
        <f>IF(AND(LEN(T867)=0, LEN(U867)=0), "", IF(AND(LEN(T867)&gt;0, LEN(U867)=0), "BLANCO", IFERROR(VLOOKUP(U867, BasedatosM9!A:B, 2, FALSE), "BLANCO")))</f>
        <v/>
      </c>
      <c r="AI867" s="5" t="str">
        <f>IF(AND(LEN(AF867)=0, LEN(AG867)=0), "", IF(AND(LEN(AF867)&gt;0, LEN(AG867)=0), "BLANCO", IFERROR(VLOOKUP(AG867, BasedatosM9!A:B, 2, FALSE), "BLANCO")))</f>
        <v/>
      </c>
      <c r="AU867" s="5" t="str">
        <f>IF(AND(LEN(AR867)=0, LEN(AS867)=0), "", IF(AND(LEN(AR867)&gt;0, LEN(AS867)=0), "BLANCO", IFERROR(VLOOKUP(AS867, BasedatosM9!A:B, 2, FALSE), "BLANCO")))</f>
        <v/>
      </c>
    </row>
    <row r="868" spans="1:47" ht="14.4">
      <c r="A868" s="21"/>
      <c r="B868" s="86"/>
      <c r="C868" s="98"/>
      <c r="D868" s="21"/>
      <c r="E868" s="86"/>
      <c r="F868" s="99"/>
      <c r="G868" s="99"/>
      <c r="H868" s="21"/>
      <c r="I868" s="86"/>
      <c r="J868" s="21"/>
      <c r="K868" s="5" t="str">
        <f>IF(AND(LEN(H868)=0, LEN(I868)=0), "", IF(AND(LEN(H868)&gt;0, LEN(I868)=0), "BLANCO", IFERROR(VLOOKUP(I868, BasedatosM9!A:B, 2, FALSE), "BLANCO")))</f>
        <v/>
      </c>
      <c r="W868" s="5" t="str">
        <f>IF(AND(LEN(T868)=0, LEN(U868)=0), "", IF(AND(LEN(T868)&gt;0, LEN(U868)=0), "BLANCO", IFERROR(VLOOKUP(U868, BasedatosM9!A:B, 2, FALSE), "BLANCO")))</f>
        <v/>
      </c>
      <c r="AI868" s="5" t="str">
        <f>IF(AND(LEN(AF868)=0, LEN(AG868)=0), "", IF(AND(LEN(AF868)&gt;0, LEN(AG868)=0), "BLANCO", IFERROR(VLOOKUP(AG868, BasedatosM9!A:B, 2, FALSE), "BLANCO")))</f>
        <v/>
      </c>
      <c r="AU868" s="5" t="str">
        <f>IF(AND(LEN(AR868)=0, LEN(AS868)=0), "", IF(AND(LEN(AR868)&gt;0, LEN(AS868)=0), "BLANCO", IFERROR(VLOOKUP(AS868, BasedatosM9!A:B, 2, FALSE), "BLANCO")))</f>
        <v/>
      </c>
    </row>
    <row r="869" spans="1:47" ht="14.4">
      <c r="A869" s="21"/>
      <c r="B869" s="86"/>
      <c r="C869" s="98"/>
      <c r="D869" s="21"/>
      <c r="E869" s="86"/>
      <c r="F869" s="99"/>
      <c r="G869" s="99"/>
      <c r="H869" s="21"/>
      <c r="I869" s="21"/>
      <c r="J869" s="21"/>
      <c r="K869" s="5" t="str">
        <f>IF(AND(LEN(H869)=0, LEN(I869)=0), "", IF(AND(LEN(H869)&gt;0, LEN(I869)=0), "BLANCO", IFERROR(VLOOKUP(I869, BasedatosM9!A:B, 2, FALSE), "BLANCO")))</f>
        <v/>
      </c>
      <c r="W869" s="5" t="str">
        <f>IF(AND(LEN(T869)=0, LEN(U869)=0), "", IF(AND(LEN(T869)&gt;0, LEN(U869)=0), "BLANCO", IFERROR(VLOOKUP(U869, BasedatosM9!A:B, 2, FALSE), "BLANCO")))</f>
        <v/>
      </c>
      <c r="AI869" s="5" t="str">
        <f>IF(AND(LEN(AF869)=0, LEN(AG869)=0), "", IF(AND(LEN(AF869)&gt;0, LEN(AG869)=0), "BLANCO", IFERROR(VLOOKUP(AG869, BasedatosM9!A:B, 2, FALSE), "BLANCO")))</f>
        <v/>
      </c>
      <c r="AU869" s="5" t="str">
        <f>IF(AND(LEN(AR869)=0, LEN(AS869)=0), "", IF(AND(LEN(AR869)&gt;0, LEN(AS869)=0), "BLANCO", IFERROR(VLOOKUP(AS869, BasedatosM9!A:B, 2, FALSE), "BLANCO")))</f>
        <v/>
      </c>
    </row>
    <row r="870" spans="1:47" ht="14.4">
      <c r="A870" s="21"/>
      <c r="B870" s="86"/>
      <c r="C870" s="98"/>
      <c r="D870" s="21"/>
      <c r="E870" s="86"/>
      <c r="F870" s="99"/>
      <c r="G870" s="99"/>
      <c r="H870" s="21"/>
      <c r="I870" s="21"/>
      <c r="J870" s="21"/>
      <c r="K870" s="5" t="str">
        <f>IF(AND(LEN(H870)=0, LEN(I870)=0), "", IF(AND(LEN(H870)&gt;0, LEN(I870)=0), "BLANCO", IFERROR(VLOOKUP(I870, BasedatosM9!A:B, 2, FALSE), "BLANCO")))</f>
        <v/>
      </c>
      <c r="W870" s="5" t="str">
        <f>IF(AND(LEN(T870)=0, LEN(U870)=0), "", IF(AND(LEN(T870)&gt;0, LEN(U870)=0), "BLANCO", IFERROR(VLOOKUP(U870, BasedatosM9!A:B, 2, FALSE), "BLANCO")))</f>
        <v/>
      </c>
      <c r="AI870" s="5" t="str">
        <f>IF(AND(LEN(AF870)=0, LEN(AG870)=0), "", IF(AND(LEN(AF870)&gt;0, LEN(AG870)=0), "BLANCO", IFERROR(VLOOKUP(AG870, BasedatosM9!A:B, 2, FALSE), "BLANCO")))</f>
        <v/>
      </c>
      <c r="AU870" s="5" t="str">
        <f>IF(AND(LEN(AR870)=0, LEN(AS870)=0), "", IF(AND(LEN(AR870)&gt;0, LEN(AS870)=0), "BLANCO", IFERROR(VLOOKUP(AS870, BasedatosM9!A:B, 2, FALSE), "BLANCO")))</f>
        <v/>
      </c>
    </row>
    <row r="871" spans="1:47" ht="14.4">
      <c r="A871" s="21"/>
      <c r="B871" s="86"/>
      <c r="C871" s="98"/>
      <c r="D871" s="21"/>
      <c r="E871" s="86"/>
      <c r="F871" s="99"/>
      <c r="G871" s="99"/>
      <c r="H871" s="21"/>
      <c r="I871" s="21"/>
      <c r="J871" s="21"/>
      <c r="K871" s="5" t="str">
        <f>IF(AND(LEN(H871)=0, LEN(I871)=0), "", IF(AND(LEN(H871)&gt;0, LEN(I871)=0), "BLANCO", IFERROR(VLOOKUP(I871, BasedatosM9!A:B, 2, FALSE), "BLANCO")))</f>
        <v/>
      </c>
      <c r="W871" s="5" t="str">
        <f>IF(AND(LEN(T871)=0, LEN(U871)=0), "", IF(AND(LEN(T871)&gt;0, LEN(U871)=0), "BLANCO", IFERROR(VLOOKUP(U871, BasedatosM9!A:B, 2, FALSE), "BLANCO")))</f>
        <v/>
      </c>
      <c r="AI871" s="5" t="str">
        <f>IF(AND(LEN(AF871)=0, LEN(AG871)=0), "", IF(AND(LEN(AF871)&gt;0, LEN(AG871)=0), "BLANCO", IFERROR(VLOOKUP(AG871, BasedatosM9!A:B, 2, FALSE), "BLANCO")))</f>
        <v/>
      </c>
      <c r="AU871" s="5" t="str">
        <f>IF(AND(LEN(AR871)=0, LEN(AS871)=0), "", IF(AND(LEN(AR871)&gt;0, LEN(AS871)=0), "BLANCO", IFERROR(VLOOKUP(AS871, BasedatosM9!A:B, 2, FALSE), "BLANCO")))</f>
        <v/>
      </c>
    </row>
    <row r="872" spans="1:47" ht="14.4">
      <c r="A872" s="21"/>
      <c r="B872" s="86"/>
      <c r="C872" s="98"/>
      <c r="D872" s="21"/>
      <c r="E872" s="86"/>
      <c r="F872" s="99"/>
      <c r="G872" s="99"/>
      <c r="H872" s="21"/>
      <c r="I872" s="21"/>
      <c r="J872" s="21"/>
      <c r="K872" s="5" t="str">
        <f>IF(AND(LEN(H872)=0, LEN(I872)=0), "", IF(AND(LEN(H872)&gt;0, LEN(I872)=0), "BLANCO", IFERROR(VLOOKUP(I872, BasedatosM9!A:B, 2, FALSE), "BLANCO")))</f>
        <v/>
      </c>
      <c r="W872" s="5" t="str">
        <f>IF(AND(LEN(T872)=0, LEN(U872)=0), "", IF(AND(LEN(T872)&gt;0, LEN(U872)=0), "BLANCO", IFERROR(VLOOKUP(U872, BasedatosM9!A:B, 2, FALSE), "BLANCO")))</f>
        <v/>
      </c>
      <c r="AI872" s="5" t="str">
        <f>IF(AND(LEN(AF872)=0, LEN(AG872)=0), "", IF(AND(LEN(AF872)&gt;0, LEN(AG872)=0), "BLANCO", IFERROR(VLOOKUP(AG872, BasedatosM9!A:B, 2, FALSE), "BLANCO")))</f>
        <v/>
      </c>
      <c r="AU872" s="5" t="str">
        <f>IF(AND(LEN(AR872)=0, LEN(AS872)=0), "", IF(AND(LEN(AR872)&gt;0, LEN(AS872)=0), "BLANCO", IFERROR(VLOOKUP(AS872, BasedatosM9!A:B, 2, FALSE), "BLANCO")))</f>
        <v/>
      </c>
    </row>
    <row r="873" spans="1:47" ht="14.4">
      <c r="A873" s="21"/>
      <c r="B873" s="86"/>
      <c r="C873" s="98"/>
      <c r="D873" s="21"/>
      <c r="E873" s="86"/>
      <c r="F873" s="99"/>
      <c r="G873" s="99"/>
      <c r="H873" s="21"/>
      <c r="I873" s="86"/>
      <c r="J873" s="21"/>
      <c r="K873" s="5" t="str">
        <f>IF(AND(LEN(H873)=0, LEN(I873)=0), "", IF(AND(LEN(H873)&gt;0, LEN(I873)=0), "BLANCO", IFERROR(VLOOKUP(I873, BasedatosM9!A:B, 2, FALSE), "BLANCO")))</f>
        <v/>
      </c>
      <c r="W873" s="5" t="str">
        <f>IF(AND(LEN(T873)=0, LEN(U873)=0), "", IF(AND(LEN(T873)&gt;0, LEN(U873)=0), "BLANCO", IFERROR(VLOOKUP(U873, BasedatosM9!A:B, 2, FALSE), "BLANCO")))</f>
        <v/>
      </c>
      <c r="AI873" s="5" t="str">
        <f>IF(AND(LEN(AF873)=0, LEN(AG873)=0), "", IF(AND(LEN(AF873)&gt;0, LEN(AG873)=0), "BLANCO", IFERROR(VLOOKUP(AG873, BasedatosM9!A:B, 2, FALSE), "BLANCO")))</f>
        <v/>
      </c>
      <c r="AU873" s="5" t="str">
        <f>IF(AND(LEN(AR873)=0, LEN(AS873)=0), "", IF(AND(LEN(AR873)&gt;0, LEN(AS873)=0), "BLANCO", IFERROR(VLOOKUP(AS873, BasedatosM9!A:B, 2, FALSE), "BLANCO")))</f>
        <v/>
      </c>
    </row>
    <row r="874" spans="1:47" ht="14.4">
      <c r="A874" s="21"/>
      <c r="B874" s="86"/>
      <c r="C874" s="98"/>
      <c r="D874" s="21"/>
      <c r="E874" s="86"/>
      <c r="F874" s="99"/>
      <c r="G874" s="99"/>
      <c r="H874" s="21"/>
      <c r="I874" s="86"/>
      <c r="J874" s="21"/>
      <c r="K874" s="5" t="str">
        <f>IF(AND(LEN(H874)=0, LEN(I874)=0), "", IF(AND(LEN(H874)&gt;0, LEN(I874)=0), "BLANCO", IFERROR(VLOOKUP(I874, BasedatosM9!A:B, 2, FALSE), "BLANCO")))</f>
        <v/>
      </c>
      <c r="W874" s="5" t="str">
        <f>IF(AND(LEN(T874)=0, LEN(U874)=0), "", IF(AND(LEN(T874)&gt;0, LEN(U874)=0), "BLANCO", IFERROR(VLOOKUP(U874, BasedatosM9!A:B, 2, FALSE), "BLANCO")))</f>
        <v/>
      </c>
      <c r="AI874" s="5" t="str">
        <f>IF(AND(LEN(AF874)=0, LEN(AG874)=0), "", IF(AND(LEN(AF874)&gt;0, LEN(AG874)=0), "BLANCO", IFERROR(VLOOKUP(AG874, BasedatosM9!A:B, 2, FALSE), "BLANCO")))</f>
        <v/>
      </c>
      <c r="AU874" s="5" t="str">
        <f>IF(AND(LEN(AR874)=0, LEN(AS874)=0), "", IF(AND(LEN(AR874)&gt;0, LEN(AS874)=0), "BLANCO", IFERROR(VLOOKUP(AS874, BasedatosM9!A:B, 2, FALSE), "BLANCO")))</f>
        <v/>
      </c>
    </row>
    <row r="875" spans="1:47" ht="14.4">
      <c r="A875" s="21"/>
      <c r="B875" s="86"/>
      <c r="C875" s="98"/>
      <c r="D875" s="21"/>
      <c r="E875" s="86"/>
      <c r="F875" s="99"/>
      <c r="G875" s="99"/>
      <c r="H875" s="21"/>
      <c r="I875" s="21"/>
      <c r="J875" s="21"/>
      <c r="K875" s="5" t="str">
        <f>IF(AND(LEN(H875)=0, LEN(I875)=0), "", IF(AND(LEN(H875)&gt;0, LEN(I875)=0), "BLANCO", IFERROR(VLOOKUP(I875, BasedatosM9!A:B, 2, FALSE), "BLANCO")))</f>
        <v/>
      </c>
      <c r="W875" s="5" t="str">
        <f>IF(AND(LEN(T875)=0, LEN(U875)=0), "", IF(AND(LEN(T875)&gt;0, LEN(U875)=0), "BLANCO", IFERROR(VLOOKUP(U875, BasedatosM9!A:B, 2, FALSE), "BLANCO")))</f>
        <v/>
      </c>
      <c r="AI875" s="5" t="str">
        <f>IF(AND(LEN(AF875)=0, LEN(AG875)=0), "", IF(AND(LEN(AF875)&gt;0, LEN(AG875)=0), "BLANCO", IFERROR(VLOOKUP(AG875, BasedatosM9!A:B, 2, FALSE), "BLANCO")))</f>
        <v/>
      </c>
      <c r="AU875" s="5" t="str">
        <f>IF(AND(LEN(AR875)=0, LEN(AS875)=0), "", IF(AND(LEN(AR875)&gt;0, LEN(AS875)=0), "BLANCO", IFERROR(VLOOKUP(AS875, BasedatosM9!A:B, 2, FALSE), "BLANCO")))</f>
        <v/>
      </c>
    </row>
    <row r="876" spans="1:47" ht="14.4">
      <c r="A876" s="21"/>
      <c r="B876" s="86"/>
      <c r="C876" s="98"/>
      <c r="D876" s="21"/>
      <c r="E876" s="86"/>
      <c r="F876" s="99"/>
      <c r="G876" s="99"/>
      <c r="H876" s="21"/>
      <c r="I876" s="86"/>
      <c r="J876" s="21"/>
      <c r="K876" s="5" t="str">
        <f>IF(AND(LEN(H876)=0, LEN(I876)=0), "", IF(AND(LEN(H876)&gt;0, LEN(I876)=0), "BLANCO", IFERROR(VLOOKUP(I876, BasedatosM9!A:B, 2, FALSE), "BLANCO")))</f>
        <v/>
      </c>
      <c r="W876" s="5" t="str">
        <f>IF(AND(LEN(T876)=0, LEN(U876)=0), "", IF(AND(LEN(T876)&gt;0, LEN(U876)=0), "BLANCO", IFERROR(VLOOKUP(U876, BasedatosM9!A:B, 2, FALSE), "BLANCO")))</f>
        <v/>
      </c>
      <c r="AI876" s="5" t="str">
        <f>IF(AND(LEN(AF876)=0, LEN(AG876)=0), "", IF(AND(LEN(AF876)&gt;0, LEN(AG876)=0), "BLANCO", IFERROR(VLOOKUP(AG876, BasedatosM9!A:B, 2, FALSE), "BLANCO")))</f>
        <v/>
      </c>
      <c r="AU876" s="5" t="str">
        <f>IF(AND(LEN(AR876)=0, LEN(AS876)=0), "", IF(AND(LEN(AR876)&gt;0, LEN(AS876)=0), "BLANCO", IFERROR(VLOOKUP(AS876, BasedatosM9!A:B, 2, FALSE), "BLANCO")))</f>
        <v/>
      </c>
    </row>
    <row r="877" spans="1:47" ht="14.4">
      <c r="A877" s="21"/>
      <c r="B877" s="86"/>
      <c r="C877" s="98"/>
      <c r="D877" s="21"/>
      <c r="E877" s="86"/>
      <c r="F877" s="99"/>
      <c r="G877" s="99"/>
      <c r="H877" s="21"/>
      <c r="I877" s="21"/>
      <c r="J877" s="21"/>
      <c r="K877" s="5" t="str">
        <f>IF(AND(LEN(H877)=0, LEN(I877)=0), "", IF(AND(LEN(H877)&gt;0, LEN(I877)=0), "BLANCO", IFERROR(VLOOKUP(I877, BasedatosM9!A:B, 2, FALSE), "BLANCO")))</f>
        <v/>
      </c>
      <c r="W877" s="5" t="str">
        <f>IF(AND(LEN(T877)=0, LEN(U877)=0), "", IF(AND(LEN(T877)&gt;0, LEN(U877)=0), "BLANCO", IFERROR(VLOOKUP(U877, BasedatosM9!A:B, 2, FALSE), "BLANCO")))</f>
        <v/>
      </c>
      <c r="AI877" s="5" t="str">
        <f>IF(AND(LEN(AF877)=0, LEN(AG877)=0), "", IF(AND(LEN(AF877)&gt;0, LEN(AG877)=0), "BLANCO", IFERROR(VLOOKUP(AG877, BasedatosM9!A:B, 2, FALSE), "BLANCO")))</f>
        <v/>
      </c>
      <c r="AU877" s="5" t="str">
        <f>IF(AND(LEN(AR877)=0, LEN(AS877)=0), "", IF(AND(LEN(AR877)&gt;0, LEN(AS877)=0), "BLANCO", IFERROR(VLOOKUP(AS877, BasedatosM9!A:B, 2, FALSE), "BLANCO")))</f>
        <v/>
      </c>
    </row>
    <row r="878" spans="1:47" ht="14.4">
      <c r="A878" s="21"/>
      <c r="B878" s="86"/>
      <c r="C878" s="98"/>
      <c r="D878" s="21"/>
      <c r="E878" s="86"/>
      <c r="F878" s="99"/>
      <c r="G878" s="99"/>
      <c r="H878" s="21"/>
      <c r="I878" s="86"/>
      <c r="J878" s="21"/>
      <c r="K878" s="5" t="str">
        <f>IF(AND(LEN(H878)=0, LEN(I878)=0), "", IF(AND(LEN(H878)&gt;0, LEN(I878)=0), "BLANCO", IFERROR(VLOOKUP(I878, BasedatosM9!A:B, 2, FALSE), "BLANCO")))</f>
        <v/>
      </c>
      <c r="W878" s="5" t="str">
        <f>IF(AND(LEN(T878)=0, LEN(U878)=0), "", IF(AND(LEN(T878)&gt;0, LEN(U878)=0), "BLANCO", IFERROR(VLOOKUP(U878, BasedatosM9!A:B, 2, FALSE), "BLANCO")))</f>
        <v/>
      </c>
      <c r="AI878" s="5" t="str">
        <f>IF(AND(LEN(AF878)=0, LEN(AG878)=0), "", IF(AND(LEN(AF878)&gt;0, LEN(AG878)=0), "BLANCO", IFERROR(VLOOKUP(AG878, BasedatosM9!A:B, 2, FALSE), "BLANCO")))</f>
        <v/>
      </c>
      <c r="AU878" s="5" t="str">
        <f>IF(AND(LEN(AR878)=0, LEN(AS878)=0), "", IF(AND(LEN(AR878)&gt;0, LEN(AS878)=0), "BLANCO", IFERROR(VLOOKUP(AS878, BasedatosM9!A:B, 2, FALSE), "BLANCO")))</f>
        <v/>
      </c>
    </row>
    <row r="879" spans="1:47" ht="14.4">
      <c r="A879" s="21"/>
      <c r="B879" s="86"/>
      <c r="C879" s="98"/>
      <c r="D879" s="21"/>
      <c r="E879" s="86"/>
      <c r="F879" s="99"/>
      <c r="G879" s="99"/>
      <c r="H879" s="21"/>
      <c r="I879" s="86"/>
      <c r="J879" s="21"/>
      <c r="K879" s="5" t="str">
        <f>IF(AND(LEN(H879)=0, LEN(I879)=0), "", IF(AND(LEN(H879)&gt;0, LEN(I879)=0), "BLANCO", IFERROR(VLOOKUP(I879, BasedatosM9!A:B, 2, FALSE), "BLANCO")))</f>
        <v/>
      </c>
      <c r="W879" s="5" t="str">
        <f>IF(AND(LEN(T879)=0, LEN(U879)=0), "", IF(AND(LEN(T879)&gt;0, LEN(U879)=0), "BLANCO", IFERROR(VLOOKUP(U879, BasedatosM9!A:B, 2, FALSE), "BLANCO")))</f>
        <v/>
      </c>
      <c r="AI879" s="5" t="str">
        <f>IF(AND(LEN(AF879)=0, LEN(AG879)=0), "", IF(AND(LEN(AF879)&gt;0, LEN(AG879)=0), "BLANCO", IFERROR(VLOOKUP(AG879, BasedatosM9!A:B, 2, FALSE), "BLANCO")))</f>
        <v/>
      </c>
      <c r="AU879" s="5" t="str">
        <f>IF(AND(LEN(AR879)=0, LEN(AS879)=0), "", IF(AND(LEN(AR879)&gt;0, LEN(AS879)=0), "BLANCO", IFERROR(VLOOKUP(AS879, BasedatosM9!A:B, 2, FALSE), "BLANCO")))</f>
        <v/>
      </c>
    </row>
    <row r="880" spans="1:47" ht="14.4">
      <c r="A880" s="21"/>
      <c r="B880" s="86"/>
      <c r="C880" s="98"/>
      <c r="D880" s="21"/>
      <c r="E880" s="86"/>
      <c r="F880" s="99"/>
      <c r="G880" s="99"/>
      <c r="H880" s="21"/>
      <c r="I880" s="86"/>
      <c r="J880" s="21"/>
      <c r="K880" s="5" t="str">
        <f>IF(AND(LEN(H880)=0, LEN(I880)=0), "", IF(AND(LEN(H880)&gt;0, LEN(I880)=0), "BLANCO", IFERROR(VLOOKUP(I880, BasedatosM9!A:B, 2, FALSE), "BLANCO")))</f>
        <v/>
      </c>
      <c r="W880" s="5" t="str">
        <f>IF(AND(LEN(T880)=0, LEN(U880)=0), "", IF(AND(LEN(T880)&gt;0, LEN(U880)=0), "BLANCO", IFERROR(VLOOKUP(U880, BasedatosM9!A:B, 2, FALSE), "BLANCO")))</f>
        <v/>
      </c>
      <c r="AI880" s="5" t="str">
        <f>IF(AND(LEN(AF880)=0, LEN(AG880)=0), "", IF(AND(LEN(AF880)&gt;0, LEN(AG880)=0), "BLANCO", IFERROR(VLOOKUP(AG880, BasedatosM9!A:B, 2, FALSE), "BLANCO")))</f>
        <v/>
      </c>
      <c r="AU880" s="5" t="str">
        <f>IF(AND(LEN(AR880)=0, LEN(AS880)=0), "", IF(AND(LEN(AR880)&gt;0, LEN(AS880)=0), "BLANCO", IFERROR(VLOOKUP(AS880, BasedatosM9!A:B, 2, FALSE), "BLANCO")))</f>
        <v/>
      </c>
    </row>
    <row r="881" spans="1:47" ht="14.4">
      <c r="A881" s="21"/>
      <c r="B881" s="86"/>
      <c r="C881" s="98"/>
      <c r="D881" s="21"/>
      <c r="E881" s="86"/>
      <c r="F881" s="99"/>
      <c r="G881" s="99"/>
      <c r="H881" s="21"/>
      <c r="I881" s="86"/>
      <c r="J881" s="21"/>
      <c r="K881" s="5" t="str">
        <f>IF(AND(LEN(H881)=0, LEN(I881)=0), "", IF(AND(LEN(H881)&gt;0, LEN(I881)=0), "BLANCO", IFERROR(VLOOKUP(I881, BasedatosM9!A:B, 2, FALSE), "BLANCO")))</f>
        <v/>
      </c>
      <c r="W881" s="5" t="str">
        <f>IF(AND(LEN(T881)=0, LEN(U881)=0), "", IF(AND(LEN(T881)&gt;0, LEN(U881)=0), "BLANCO", IFERROR(VLOOKUP(U881, BasedatosM9!A:B, 2, FALSE), "BLANCO")))</f>
        <v/>
      </c>
      <c r="AI881" s="5" t="str">
        <f>IF(AND(LEN(AF881)=0, LEN(AG881)=0), "", IF(AND(LEN(AF881)&gt;0, LEN(AG881)=0), "BLANCO", IFERROR(VLOOKUP(AG881, BasedatosM9!A:B, 2, FALSE), "BLANCO")))</f>
        <v/>
      </c>
      <c r="AU881" s="5" t="str">
        <f>IF(AND(LEN(AR881)=0, LEN(AS881)=0), "", IF(AND(LEN(AR881)&gt;0, LEN(AS881)=0), "BLANCO", IFERROR(VLOOKUP(AS881, BasedatosM9!A:B, 2, FALSE), "BLANCO")))</f>
        <v/>
      </c>
    </row>
    <row r="882" spans="1:47" ht="14.4">
      <c r="A882" s="21"/>
      <c r="B882" s="86"/>
      <c r="C882" s="98"/>
      <c r="D882" s="21"/>
      <c r="E882" s="86"/>
      <c r="F882" s="99"/>
      <c r="G882" s="99"/>
      <c r="H882" s="21"/>
      <c r="I882" s="86"/>
      <c r="J882" s="21"/>
      <c r="K882" s="5" t="str">
        <f>IF(AND(LEN(H882)=0, LEN(I882)=0), "", IF(AND(LEN(H882)&gt;0, LEN(I882)=0), "BLANCO", IFERROR(VLOOKUP(I882, BasedatosM9!A:B, 2, FALSE), "BLANCO")))</f>
        <v/>
      </c>
      <c r="W882" s="5" t="str">
        <f>IF(AND(LEN(T882)=0, LEN(U882)=0), "", IF(AND(LEN(T882)&gt;0, LEN(U882)=0), "BLANCO", IFERROR(VLOOKUP(U882, BasedatosM9!A:B, 2, FALSE), "BLANCO")))</f>
        <v/>
      </c>
      <c r="AI882" s="5" t="str">
        <f>IF(AND(LEN(AF882)=0, LEN(AG882)=0), "", IF(AND(LEN(AF882)&gt;0, LEN(AG882)=0), "BLANCO", IFERROR(VLOOKUP(AG882, BasedatosM9!A:B, 2, FALSE), "BLANCO")))</f>
        <v/>
      </c>
      <c r="AU882" s="5" t="str">
        <f>IF(AND(LEN(AR882)=0, LEN(AS882)=0), "", IF(AND(LEN(AR882)&gt;0, LEN(AS882)=0), "BLANCO", IFERROR(VLOOKUP(AS882, BasedatosM9!A:B, 2, FALSE), "BLANCO")))</f>
        <v/>
      </c>
    </row>
    <row r="883" spans="1:47" ht="14.4">
      <c r="A883" s="21"/>
      <c r="B883" s="86"/>
      <c r="C883" s="98"/>
      <c r="D883" s="21"/>
      <c r="E883" s="86"/>
      <c r="F883" s="99"/>
      <c r="G883" s="99"/>
      <c r="H883" s="21"/>
      <c r="I883" s="86"/>
      <c r="J883" s="21"/>
      <c r="K883" s="5" t="str">
        <f>IF(AND(LEN(H883)=0, LEN(I883)=0), "", IF(AND(LEN(H883)&gt;0, LEN(I883)=0), "BLANCO", IFERROR(VLOOKUP(I883, BasedatosM9!A:B, 2, FALSE), "BLANCO")))</f>
        <v/>
      </c>
      <c r="W883" s="5" t="str">
        <f>IF(AND(LEN(T883)=0, LEN(U883)=0), "", IF(AND(LEN(T883)&gt;0, LEN(U883)=0), "BLANCO", IFERROR(VLOOKUP(U883, BasedatosM9!A:B, 2, FALSE), "BLANCO")))</f>
        <v/>
      </c>
      <c r="AI883" s="5" t="str">
        <f>IF(AND(LEN(AF883)=0, LEN(AG883)=0), "", IF(AND(LEN(AF883)&gt;0, LEN(AG883)=0), "BLANCO", IFERROR(VLOOKUP(AG883, BasedatosM9!A:B, 2, FALSE), "BLANCO")))</f>
        <v/>
      </c>
      <c r="AU883" s="5" t="str">
        <f>IF(AND(LEN(AR883)=0, LEN(AS883)=0), "", IF(AND(LEN(AR883)&gt;0, LEN(AS883)=0), "BLANCO", IFERROR(VLOOKUP(AS883, BasedatosM9!A:B, 2, FALSE), "BLANCO")))</f>
        <v/>
      </c>
    </row>
    <row r="884" spans="1:47" ht="14.4">
      <c r="A884" s="21"/>
      <c r="B884" s="86"/>
      <c r="C884" s="98"/>
      <c r="D884" s="21"/>
      <c r="E884" s="86"/>
      <c r="F884" s="99"/>
      <c r="G884" s="99"/>
      <c r="H884" s="21"/>
      <c r="I884" s="86"/>
      <c r="J884" s="21"/>
      <c r="K884" s="5" t="str">
        <f>IF(AND(LEN(H884)=0, LEN(I884)=0), "", IF(AND(LEN(H884)&gt;0, LEN(I884)=0), "BLANCO", IFERROR(VLOOKUP(I884, BasedatosM9!A:B, 2, FALSE), "BLANCO")))</f>
        <v/>
      </c>
      <c r="W884" s="5" t="str">
        <f>IF(AND(LEN(T884)=0, LEN(U884)=0), "", IF(AND(LEN(T884)&gt;0, LEN(U884)=0), "BLANCO", IFERROR(VLOOKUP(U884, BasedatosM9!A:B, 2, FALSE), "BLANCO")))</f>
        <v/>
      </c>
      <c r="AI884" s="5" t="str">
        <f>IF(AND(LEN(AF884)=0, LEN(AG884)=0), "", IF(AND(LEN(AF884)&gt;0, LEN(AG884)=0), "BLANCO", IFERROR(VLOOKUP(AG884, BasedatosM9!A:B, 2, FALSE), "BLANCO")))</f>
        <v/>
      </c>
      <c r="AU884" s="5" t="str">
        <f>IF(AND(LEN(AR884)=0, LEN(AS884)=0), "", IF(AND(LEN(AR884)&gt;0, LEN(AS884)=0), "BLANCO", IFERROR(VLOOKUP(AS884, BasedatosM9!A:B, 2, FALSE), "BLANCO")))</f>
        <v/>
      </c>
    </row>
    <row r="885" spans="1:47" ht="14.4">
      <c r="A885" s="21"/>
      <c r="B885" s="86"/>
      <c r="C885" s="98"/>
      <c r="D885" s="21"/>
      <c r="E885" s="86"/>
      <c r="F885" s="99"/>
      <c r="G885" s="99"/>
      <c r="H885" s="21"/>
      <c r="I885" s="21"/>
      <c r="J885" s="21"/>
      <c r="K885" s="5" t="str">
        <f>IF(AND(LEN(H885)=0, LEN(I885)=0), "", IF(AND(LEN(H885)&gt;0, LEN(I885)=0), "BLANCO", IFERROR(VLOOKUP(I885, BasedatosM9!A:B, 2, FALSE), "BLANCO")))</f>
        <v/>
      </c>
      <c r="W885" s="5" t="str">
        <f>IF(AND(LEN(T885)=0, LEN(U885)=0), "", IF(AND(LEN(T885)&gt;0, LEN(U885)=0), "BLANCO", IFERROR(VLOOKUP(U885, BasedatosM9!A:B, 2, FALSE), "BLANCO")))</f>
        <v/>
      </c>
      <c r="AI885" s="5" t="str">
        <f>IF(AND(LEN(AF885)=0, LEN(AG885)=0), "", IF(AND(LEN(AF885)&gt;0, LEN(AG885)=0), "BLANCO", IFERROR(VLOOKUP(AG885, BasedatosM9!A:B, 2, FALSE), "BLANCO")))</f>
        <v/>
      </c>
      <c r="AU885" s="5" t="str">
        <f>IF(AND(LEN(AR885)=0, LEN(AS885)=0), "", IF(AND(LEN(AR885)&gt;0, LEN(AS885)=0), "BLANCO", IFERROR(VLOOKUP(AS885, BasedatosM9!A:B, 2, FALSE), "BLANCO")))</f>
        <v/>
      </c>
    </row>
    <row r="886" spans="1:47" ht="14.4">
      <c r="A886" s="21"/>
      <c r="B886" s="86"/>
      <c r="C886" s="98"/>
      <c r="D886" s="21"/>
      <c r="E886" s="86"/>
      <c r="F886" s="99"/>
      <c r="G886" s="99"/>
      <c r="H886" s="21"/>
      <c r="I886" s="21"/>
      <c r="J886" s="21"/>
      <c r="K886" s="5" t="str">
        <f>IF(AND(LEN(H886)=0, LEN(I886)=0), "", IF(AND(LEN(H886)&gt;0, LEN(I886)=0), "BLANCO", IFERROR(VLOOKUP(I886, BasedatosM9!A:B, 2, FALSE), "BLANCO")))</f>
        <v/>
      </c>
      <c r="W886" s="5" t="str">
        <f>IF(AND(LEN(T886)=0, LEN(U886)=0), "", IF(AND(LEN(T886)&gt;0, LEN(U886)=0), "BLANCO", IFERROR(VLOOKUP(U886, BasedatosM9!A:B, 2, FALSE), "BLANCO")))</f>
        <v/>
      </c>
      <c r="AI886" s="5" t="str">
        <f>IF(AND(LEN(AF886)=0, LEN(AG886)=0), "", IF(AND(LEN(AF886)&gt;0, LEN(AG886)=0), "BLANCO", IFERROR(VLOOKUP(AG886, BasedatosM9!A:B, 2, FALSE), "BLANCO")))</f>
        <v/>
      </c>
      <c r="AU886" s="5" t="str">
        <f>IF(AND(LEN(AR886)=0, LEN(AS886)=0), "", IF(AND(LEN(AR886)&gt;0, LEN(AS886)=0), "BLANCO", IFERROR(VLOOKUP(AS886, BasedatosM9!A:B, 2, FALSE), "BLANCO")))</f>
        <v/>
      </c>
    </row>
    <row r="887" spans="1:47" ht="14.4">
      <c r="A887" s="21"/>
      <c r="B887" s="86"/>
      <c r="C887" s="98"/>
      <c r="D887" s="21"/>
      <c r="E887" s="86"/>
      <c r="F887" s="99"/>
      <c r="G887" s="99"/>
      <c r="H887" s="21"/>
      <c r="I887" s="21"/>
      <c r="J887" s="21"/>
      <c r="K887" s="5" t="str">
        <f>IF(AND(LEN(H887)=0, LEN(I887)=0), "", IF(AND(LEN(H887)&gt;0, LEN(I887)=0), "BLANCO", IFERROR(VLOOKUP(I887, BasedatosM9!A:B, 2, FALSE), "BLANCO")))</f>
        <v/>
      </c>
      <c r="W887" s="5" t="str">
        <f>IF(AND(LEN(T887)=0, LEN(U887)=0), "", IF(AND(LEN(T887)&gt;0, LEN(U887)=0), "BLANCO", IFERROR(VLOOKUP(U887, BasedatosM9!A:B, 2, FALSE), "BLANCO")))</f>
        <v/>
      </c>
      <c r="AI887" s="5" t="str">
        <f>IF(AND(LEN(AF887)=0, LEN(AG887)=0), "", IF(AND(LEN(AF887)&gt;0, LEN(AG887)=0), "BLANCO", IFERROR(VLOOKUP(AG887, BasedatosM9!A:B, 2, FALSE), "BLANCO")))</f>
        <v/>
      </c>
      <c r="AU887" s="5" t="str">
        <f>IF(AND(LEN(AR887)=0, LEN(AS887)=0), "", IF(AND(LEN(AR887)&gt;0, LEN(AS887)=0), "BLANCO", IFERROR(VLOOKUP(AS887, BasedatosM9!A:B, 2, FALSE), "BLANCO")))</f>
        <v/>
      </c>
    </row>
    <row r="888" spans="1:47" ht="14.4">
      <c r="A888" s="21"/>
      <c r="B888" s="86"/>
      <c r="C888" s="98"/>
      <c r="D888" s="21"/>
      <c r="E888" s="86"/>
      <c r="F888" s="99"/>
      <c r="G888" s="99"/>
      <c r="H888" s="21"/>
      <c r="I888" s="86"/>
      <c r="J888" s="21"/>
      <c r="K888" s="5" t="str">
        <f>IF(AND(LEN(H888)=0, LEN(I888)=0), "", IF(AND(LEN(H888)&gt;0, LEN(I888)=0), "BLANCO", IFERROR(VLOOKUP(I888, BasedatosM9!A:B, 2, FALSE), "BLANCO")))</f>
        <v/>
      </c>
      <c r="W888" s="5" t="str">
        <f>IF(AND(LEN(T888)=0, LEN(U888)=0), "", IF(AND(LEN(T888)&gt;0, LEN(U888)=0), "BLANCO", IFERROR(VLOOKUP(U888, BasedatosM9!A:B, 2, FALSE), "BLANCO")))</f>
        <v/>
      </c>
      <c r="AI888" s="5" t="str">
        <f>IF(AND(LEN(AF888)=0, LEN(AG888)=0), "", IF(AND(LEN(AF888)&gt;0, LEN(AG888)=0), "BLANCO", IFERROR(VLOOKUP(AG888, BasedatosM9!A:B, 2, FALSE), "BLANCO")))</f>
        <v/>
      </c>
      <c r="AU888" s="5" t="str">
        <f>IF(AND(LEN(AR888)=0, LEN(AS888)=0), "", IF(AND(LEN(AR888)&gt;0, LEN(AS888)=0), "BLANCO", IFERROR(VLOOKUP(AS888, BasedatosM9!A:B, 2, FALSE), "BLANCO")))</f>
        <v/>
      </c>
    </row>
    <row r="889" spans="1:47" ht="14.4">
      <c r="A889" s="21"/>
      <c r="B889" s="86"/>
      <c r="C889" s="98"/>
      <c r="D889" s="21"/>
      <c r="E889" s="86"/>
      <c r="F889" s="99"/>
      <c r="G889" s="99"/>
      <c r="H889" s="21"/>
      <c r="I889" s="86"/>
      <c r="J889" s="21"/>
      <c r="K889" s="5" t="str">
        <f>IF(AND(LEN(H889)=0, LEN(I889)=0), "", IF(AND(LEN(H889)&gt;0, LEN(I889)=0), "BLANCO", IFERROR(VLOOKUP(I889, BasedatosM9!A:B, 2, FALSE), "BLANCO")))</f>
        <v/>
      </c>
      <c r="W889" s="5" t="str">
        <f>IF(AND(LEN(T889)=0, LEN(U889)=0), "", IF(AND(LEN(T889)&gt;0, LEN(U889)=0), "BLANCO", IFERROR(VLOOKUP(U889, BasedatosM9!A:B, 2, FALSE), "BLANCO")))</f>
        <v/>
      </c>
      <c r="AI889" s="5" t="str">
        <f>IF(AND(LEN(AF889)=0, LEN(AG889)=0), "", IF(AND(LEN(AF889)&gt;0, LEN(AG889)=0), "BLANCO", IFERROR(VLOOKUP(AG889, BasedatosM9!A:B, 2, FALSE), "BLANCO")))</f>
        <v/>
      </c>
      <c r="AU889" s="5" t="str">
        <f>IF(AND(LEN(AR889)=0, LEN(AS889)=0), "", IF(AND(LEN(AR889)&gt;0, LEN(AS889)=0), "BLANCO", IFERROR(VLOOKUP(AS889, BasedatosM9!A:B, 2, FALSE), "BLANCO")))</f>
        <v/>
      </c>
    </row>
    <row r="890" spans="1:47" ht="14.4">
      <c r="A890" s="21"/>
      <c r="B890" s="86"/>
      <c r="C890" s="98"/>
      <c r="D890" s="21"/>
      <c r="E890" s="86"/>
      <c r="F890" s="99"/>
      <c r="G890" s="99"/>
      <c r="H890" s="21"/>
      <c r="I890" s="86"/>
      <c r="J890" s="21"/>
      <c r="K890" s="5" t="str">
        <f>IF(AND(LEN(H890)=0, LEN(I890)=0), "", IF(AND(LEN(H890)&gt;0, LEN(I890)=0), "BLANCO", IFERROR(VLOOKUP(I890, BasedatosM9!A:B, 2, FALSE), "BLANCO")))</f>
        <v/>
      </c>
      <c r="W890" s="5" t="str">
        <f>IF(AND(LEN(T890)=0, LEN(U890)=0), "", IF(AND(LEN(T890)&gt;0, LEN(U890)=0), "BLANCO", IFERROR(VLOOKUP(U890, BasedatosM9!A:B, 2, FALSE), "BLANCO")))</f>
        <v/>
      </c>
      <c r="AI890" s="5" t="str">
        <f>IF(AND(LEN(AF890)=0, LEN(AG890)=0), "", IF(AND(LEN(AF890)&gt;0, LEN(AG890)=0), "BLANCO", IFERROR(VLOOKUP(AG890, BasedatosM9!A:B, 2, FALSE), "BLANCO")))</f>
        <v/>
      </c>
      <c r="AU890" s="5" t="str">
        <f>IF(AND(LEN(AR890)=0, LEN(AS890)=0), "", IF(AND(LEN(AR890)&gt;0, LEN(AS890)=0), "BLANCO", IFERROR(VLOOKUP(AS890, BasedatosM9!A:B, 2, FALSE), "BLANCO")))</f>
        <v/>
      </c>
    </row>
    <row r="891" spans="1:47" ht="14.4">
      <c r="A891" s="21"/>
      <c r="B891" s="86"/>
      <c r="C891" s="98"/>
      <c r="D891" s="21"/>
      <c r="E891" s="86"/>
      <c r="F891" s="99"/>
      <c r="G891" s="99"/>
      <c r="H891" s="21"/>
      <c r="I891" s="21"/>
      <c r="J891" s="21"/>
      <c r="K891" s="5" t="str">
        <f>IF(AND(LEN(H891)=0, LEN(I891)=0), "", IF(AND(LEN(H891)&gt;0, LEN(I891)=0), "BLANCO", IFERROR(VLOOKUP(I891, BasedatosM9!A:B, 2, FALSE), "BLANCO")))</f>
        <v/>
      </c>
      <c r="W891" s="5" t="str">
        <f>IF(AND(LEN(T891)=0, LEN(U891)=0), "", IF(AND(LEN(T891)&gt;0, LEN(U891)=0), "BLANCO", IFERROR(VLOOKUP(U891, BasedatosM9!A:B, 2, FALSE), "BLANCO")))</f>
        <v/>
      </c>
      <c r="AI891" s="5" t="str">
        <f>IF(AND(LEN(AF891)=0, LEN(AG891)=0), "", IF(AND(LEN(AF891)&gt;0, LEN(AG891)=0), "BLANCO", IFERROR(VLOOKUP(AG891, BasedatosM9!A:B, 2, FALSE), "BLANCO")))</f>
        <v/>
      </c>
      <c r="AU891" s="5" t="str">
        <f>IF(AND(LEN(AR891)=0, LEN(AS891)=0), "", IF(AND(LEN(AR891)&gt;0, LEN(AS891)=0), "BLANCO", IFERROR(VLOOKUP(AS891, BasedatosM9!A:B, 2, FALSE), "BLANCO")))</f>
        <v/>
      </c>
    </row>
    <row r="892" spans="1:47" ht="14.4">
      <c r="A892" s="21"/>
      <c r="B892" s="86"/>
      <c r="C892" s="98"/>
      <c r="D892" s="21"/>
      <c r="E892" s="86"/>
      <c r="F892" s="99"/>
      <c r="G892" s="99"/>
      <c r="H892" s="21"/>
      <c r="I892" s="86"/>
      <c r="J892" s="21"/>
      <c r="K892" s="5" t="str">
        <f>IF(AND(LEN(H892)=0, LEN(I892)=0), "", IF(AND(LEN(H892)&gt;0, LEN(I892)=0), "BLANCO", IFERROR(VLOOKUP(I892, BasedatosM9!A:B, 2, FALSE), "BLANCO")))</f>
        <v/>
      </c>
      <c r="W892" s="5" t="str">
        <f>IF(AND(LEN(T892)=0, LEN(U892)=0), "", IF(AND(LEN(T892)&gt;0, LEN(U892)=0), "BLANCO", IFERROR(VLOOKUP(U892, BasedatosM9!A:B, 2, FALSE), "BLANCO")))</f>
        <v/>
      </c>
      <c r="AI892" s="5" t="str">
        <f>IF(AND(LEN(AF892)=0, LEN(AG892)=0), "", IF(AND(LEN(AF892)&gt;0, LEN(AG892)=0), "BLANCO", IFERROR(VLOOKUP(AG892, BasedatosM9!A:B, 2, FALSE), "BLANCO")))</f>
        <v/>
      </c>
      <c r="AU892" s="5" t="str">
        <f>IF(AND(LEN(AR892)=0, LEN(AS892)=0), "", IF(AND(LEN(AR892)&gt;0, LEN(AS892)=0), "BLANCO", IFERROR(VLOOKUP(AS892, BasedatosM9!A:B, 2, FALSE), "BLANCO")))</f>
        <v/>
      </c>
    </row>
    <row r="893" spans="1:47" ht="14.4">
      <c r="A893" s="21"/>
      <c r="B893" s="86"/>
      <c r="C893" s="98"/>
      <c r="D893" s="21"/>
      <c r="E893" s="86"/>
      <c r="F893" s="99"/>
      <c r="G893" s="99"/>
      <c r="H893" s="21"/>
      <c r="I893" s="21"/>
      <c r="J893" s="21"/>
      <c r="K893" s="5" t="str">
        <f>IF(AND(LEN(H893)=0, LEN(I893)=0), "", IF(AND(LEN(H893)&gt;0, LEN(I893)=0), "BLANCO", IFERROR(VLOOKUP(I893, BasedatosM9!A:B, 2, FALSE), "BLANCO")))</f>
        <v/>
      </c>
      <c r="W893" s="5" t="str">
        <f>IF(AND(LEN(T893)=0, LEN(U893)=0), "", IF(AND(LEN(T893)&gt;0, LEN(U893)=0), "BLANCO", IFERROR(VLOOKUP(U893, BasedatosM9!A:B, 2, FALSE), "BLANCO")))</f>
        <v/>
      </c>
      <c r="AI893" s="5" t="str">
        <f>IF(AND(LEN(AF893)=0, LEN(AG893)=0), "", IF(AND(LEN(AF893)&gt;0, LEN(AG893)=0), "BLANCO", IFERROR(VLOOKUP(AG893, BasedatosM9!A:B, 2, FALSE), "BLANCO")))</f>
        <v/>
      </c>
      <c r="AU893" s="5" t="str">
        <f>IF(AND(LEN(AR893)=0, LEN(AS893)=0), "", IF(AND(LEN(AR893)&gt;0, LEN(AS893)=0), "BLANCO", IFERROR(VLOOKUP(AS893, BasedatosM9!A:B, 2, FALSE), "BLANCO")))</f>
        <v/>
      </c>
    </row>
    <row r="894" spans="1:47" ht="14.4">
      <c r="A894" s="21"/>
      <c r="B894" s="86"/>
      <c r="C894" s="98"/>
      <c r="D894" s="21"/>
      <c r="E894" s="86"/>
      <c r="F894" s="99"/>
      <c r="G894" s="99"/>
      <c r="H894" s="21"/>
      <c r="I894" s="21"/>
      <c r="J894" s="21"/>
      <c r="K894" s="5" t="str">
        <f>IF(AND(LEN(H894)=0, LEN(I894)=0), "", IF(AND(LEN(H894)&gt;0, LEN(I894)=0), "BLANCO", IFERROR(VLOOKUP(I894, BasedatosM9!A:B, 2, FALSE), "BLANCO")))</f>
        <v/>
      </c>
      <c r="W894" s="5" t="str">
        <f>IF(AND(LEN(T894)=0, LEN(U894)=0), "", IF(AND(LEN(T894)&gt;0, LEN(U894)=0), "BLANCO", IFERROR(VLOOKUP(U894, BasedatosM9!A:B, 2, FALSE), "BLANCO")))</f>
        <v/>
      </c>
      <c r="AI894" s="5" t="str">
        <f>IF(AND(LEN(AF894)=0, LEN(AG894)=0), "", IF(AND(LEN(AF894)&gt;0, LEN(AG894)=0), "BLANCO", IFERROR(VLOOKUP(AG894, BasedatosM9!A:B, 2, FALSE), "BLANCO")))</f>
        <v/>
      </c>
      <c r="AU894" s="5" t="str">
        <f>IF(AND(LEN(AR894)=0, LEN(AS894)=0), "", IF(AND(LEN(AR894)&gt;0, LEN(AS894)=0), "BLANCO", IFERROR(VLOOKUP(AS894, BasedatosM9!A:B, 2, FALSE), "BLANCO")))</f>
        <v/>
      </c>
    </row>
    <row r="895" spans="1:47" ht="14.4">
      <c r="A895" s="21"/>
      <c r="B895" s="86"/>
      <c r="C895" s="98"/>
      <c r="D895" s="21"/>
      <c r="E895" s="86"/>
      <c r="F895" s="99"/>
      <c r="G895" s="99"/>
      <c r="H895" s="21"/>
      <c r="I895" s="21"/>
      <c r="J895" s="21"/>
      <c r="K895" s="5" t="str">
        <f>IF(AND(LEN(H895)=0, LEN(I895)=0), "", IF(AND(LEN(H895)&gt;0, LEN(I895)=0), "BLANCO", IFERROR(VLOOKUP(I895, BasedatosM9!A:B, 2, FALSE), "BLANCO")))</f>
        <v/>
      </c>
      <c r="W895" s="5" t="str">
        <f>IF(AND(LEN(T895)=0, LEN(U895)=0), "", IF(AND(LEN(T895)&gt;0, LEN(U895)=0), "BLANCO", IFERROR(VLOOKUP(U895, BasedatosM9!A:B, 2, FALSE), "BLANCO")))</f>
        <v/>
      </c>
      <c r="AI895" s="5" t="str">
        <f>IF(AND(LEN(AF895)=0, LEN(AG895)=0), "", IF(AND(LEN(AF895)&gt;0, LEN(AG895)=0), "BLANCO", IFERROR(VLOOKUP(AG895, BasedatosM9!A:B, 2, FALSE), "BLANCO")))</f>
        <v/>
      </c>
      <c r="AU895" s="5" t="str">
        <f>IF(AND(LEN(AR895)=0, LEN(AS895)=0), "", IF(AND(LEN(AR895)&gt;0, LEN(AS895)=0), "BLANCO", IFERROR(VLOOKUP(AS895, BasedatosM9!A:B, 2, FALSE), "BLANCO")))</f>
        <v/>
      </c>
    </row>
    <row r="896" spans="1:47" ht="14.4">
      <c r="A896" s="21"/>
      <c r="B896" s="86"/>
      <c r="C896" s="98"/>
      <c r="D896" s="21"/>
      <c r="E896" s="86"/>
      <c r="F896" s="99"/>
      <c r="G896" s="99"/>
      <c r="H896" s="21"/>
      <c r="I896" s="86"/>
      <c r="J896" s="21"/>
      <c r="K896" s="5" t="str">
        <f>IF(AND(LEN(H896)=0, LEN(I896)=0), "", IF(AND(LEN(H896)&gt;0, LEN(I896)=0), "BLANCO", IFERROR(VLOOKUP(I896, BasedatosM9!A:B, 2, FALSE), "BLANCO")))</f>
        <v/>
      </c>
      <c r="W896" s="5" t="str">
        <f>IF(AND(LEN(T896)=0, LEN(U896)=0), "", IF(AND(LEN(T896)&gt;0, LEN(U896)=0), "BLANCO", IFERROR(VLOOKUP(U896, BasedatosM9!A:B, 2, FALSE), "BLANCO")))</f>
        <v/>
      </c>
      <c r="AI896" s="5" t="str">
        <f>IF(AND(LEN(AF896)=0, LEN(AG896)=0), "", IF(AND(LEN(AF896)&gt;0, LEN(AG896)=0), "BLANCO", IFERROR(VLOOKUP(AG896, BasedatosM9!A:B, 2, FALSE), "BLANCO")))</f>
        <v/>
      </c>
      <c r="AU896" s="5" t="str">
        <f>IF(AND(LEN(AR896)=0, LEN(AS896)=0), "", IF(AND(LEN(AR896)&gt;0, LEN(AS896)=0), "BLANCO", IFERROR(VLOOKUP(AS896, BasedatosM9!A:B, 2, FALSE), "BLANCO")))</f>
        <v/>
      </c>
    </row>
    <row r="897" spans="1:47" ht="14.4">
      <c r="A897" s="21"/>
      <c r="B897" s="86"/>
      <c r="C897" s="98"/>
      <c r="D897" s="21"/>
      <c r="E897" s="86"/>
      <c r="F897" s="99"/>
      <c r="G897" s="99"/>
      <c r="H897" s="21"/>
      <c r="I897" s="86"/>
      <c r="J897" s="21"/>
      <c r="K897" s="5" t="str">
        <f>IF(AND(LEN(H897)=0, LEN(I897)=0), "", IF(AND(LEN(H897)&gt;0, LEN(I897)=0), "BLANCO", IFERROR(VLOOKUP(I897, BasedatosM9!A:B, 2, FALSE), "BLANCO")))</f>
        <v/>
      </c>
      <c r="W897" s="5" t="str">
        <f>IF(AND(LEN(T897)=0, LEN(U897)=0), "", IF(AND(LEN(T897)&gt;0, LEN(U897)=0), "BLANCO", IFERROR(VLOOKUP(U897, BasedatosM9!A:B, 2, FALSE), "BLANCO")))</f>
        <v/>
      </c>
      <c r="AI897" s="5" t="str">
        <f>IF(AND(LEN(AF897)=0, LEN(AG897)=0), "", IF(AND(LEN(AF897)&gt;0, LEN(AG897)=0), "BLANCO", IFERROR(VLOOKUP(AG897, BasedatosM9!A:B, 2, FALSE), "BLANCO")))</f>
        <v/>
      </c>
      <c r="AU897" s="5" t="str">
        <f>IF(AND(LEN(AR897)=0, LEN(AS897)=0), "", IF(AND(LEN(AR897)&gt;0, LEN(AS897)=0), "BLANCO", IFERROR(VLOOKUP(AS897, BasedatosM9!A:B, 2, FALSE), "BLANCO")))</f>
        <v/>
      </c>
    </row>
    <row r="898" spans="1:47" ht="14.4">
      <c r="A898" s="21"/>
      <c r="B898" s="86"/>
      <c r="C898" s="98"/>
      <c r="D898" s="21"/>
      <c r="E898" s="86"/>
      <c r="F898" s="99"/>
      <c r="G898" s="99"/>
      <c r="H898" s="21"/>
      <c r="I898" s="21"/>
      <c r="J898" s="21"/>
      <c r="K898" s="5" t="str">
        <f>IF(AND(LEN(H898)=0, LEN(I898)=0), "", IF(AND(LEN(H898)&gt;0, LEN(I898)=0), "BLANCO", IFERROR(VLOOKUP(I898, BasedatosM9!A:B, 2, FALSE), "BLANCO")))</f>
        <v/>
      </c>
      <c r="W898" s="5" t="str">
        <f>IF(AND(LEN(T898)=0, LEN(U898)=0), "", IF(AND(LEN(T898)&gt;0, LEN(U898)=0), "BLANCO", IFERROR(VLOOKUP(U898, BasedatosM9!A:B, 2, FALSE), "BLANCO")))</f>
        <v/>
      </c>
      <c r="AI898" s="5" t="str">
        <f>IF(AND(LEN(AF898)=0, LEN(AG898)=0), "", IF(AND(LEN(AF898)&gt;0, LEN(AG898)=0), "BLANCO", IFERROR(VLOOKUP(AG898, BasedatosM9!A:B, 2, FALSE), "BLANCO")))</f>
        <v/>
      </c>
      <c r="AU898" s="5" t="str">
        <f>IF(AND(LEN(AR898)=0, LEN(AS898)=0), "", IF(AND(LEN(AR898)&gt;0, LEN(AS898)=0), "BLANCO", IFERROR(VLOOKUP(AS898, BasedatosM9!A:B, 2, FALSE), "BLANCO")))</f>
        <v/>
      </c>
    </row>
    <row r="899" spans="1:47" ht="14.4">
      <c r="A899" s="21"/>
      <c r="B899" s="86"/>
      <c r="C899" s="98"/>
      <c r="D899" s="21"/>
      <c r="E899" s="86"/>
      <c r="F899" s="99"/>
      <c r="G899" s="99"/>
      <c r="H899" s="21"/>
      <c r="I899" s="21"/>
      <c r="J899" s="21"/>
      <c r="K899" s="5" t="str">
        <f>IF(AND(LEN(H899)=0, LEN(I899)=0), "", IF(AND(LEN(H899)&gt;0, LEN(I899)=0), "BLANCO", IFERROR(VLOOKUP(I899, BasedatosM9!A:B, 2, FALSE), "BLANCO")))</f>
        <v/>
      </c>
      <c r="W899" s="5" t="str">
        <f>IF(AND(LEN(T899)=0, LEN(U899)=0), "", IF(AND(LEN(T899)&gt;0, LEN(U899)=0), "BLANCO", IFERROR(VLOOKUP(U899, BasedatosM9!A:B, 2, FALSE), "BLANCO")))</f>
        <v/>
      </c>
      <c r="AI899" s="5" t="str">
        <f>IF(AND(LEN(AF899)=0, LEN(AG899)=0), "", IF(AND(LEN(AF899)&gt;0, LEN(AG899)=0), "BLANCO", IFERROR(VLOOKUP(AG899, BasedatosM9!A:B, 2, FALSE), "BLANCO")))</f>
        <v/>
      </c>
      <c r="AU899" s="5" t="str">
        <f>IF(AND(LEN(AR899)=0, LEN(AS899)=0), "", IF(AND(LEN(AR899)&gt;0, LEN(AS899)=0), "BLANCO", IFERROR(VLOOKUP(AS899, BasedatosM9!A:B, 2, FALSE), "BLANCO")))</f>
        <v/>
      </c>
    </row>
    <row r="900" spans="1:47" ht="14.4">
      <c r="A900" s="21"/>
      <c r="B900" s="86"/>
      <c r="C900" s="98"/>
      <c r="D900" s="21"/>
      <c r="E900" s="86"/>
      <c r="F900" s="99"/>
      <c r="G900" s="99"/>
      <c r="H900" s="21"/>
      <c r="I900" s="21"/>
      <c r="J900" s="21"/>
      <c r="K900" s="5" t="str">
        <f>IF(AND(LEN(H900)=0, LEN(I900)=0), "", IF(AND(LEN(H900)&gt;0, LEN(I900)=0), "BLANCO", IFERROR(VLOOKUP(I900, BasedatosM9!A:B, 2, FALSE), "BLANCO")))</f>
        <v/>
      </c>
      <c r="W900" s="5" t="str">
        <f>IF(AND(LEN(T900)=0, LEN(U900)=0), "", IF(AND(LEN(T900)&gt;0, LEN(U900)=0), "BLANCO", IFERROR(VLOOKUP(U900, BasedatosM9!A:B, 2, FALSE), "BLANCO")))</f>
        <v/>
      </c>
      <c r="AI900" s="5" t="str">
        <f>IF(AND(LEN(AF900)=0, LEN(AG900)=0), "", IF(AND(LEN(AF900)&gt;0, LEN(AG900)=0), "BLANCO", IFERROR(VLOOKUP(AG900, BasedatosM9!A:B, 2, FALSE), "BLANCO")))</f>
        <v/>
      </c>
      <c r="AU900" s="5" t="str">
        <f>IF(AND(LEN(AR900)=0, LEN(AS900)=0), "", IF(AND(LEN(AR900)&gt;0, LEN(AS900)=0), "BLANCO", IFERROR(VLOOKUP(AS900, BasedatosM9!A:B, 2, FALSE), "BLANCO")))</f>
        <v/>
      </c>
    </row>
    <row r="901" spans="1:47" ht="14.4">
      <c r="A901" s="21"/>
      <c r="B901" s="86"/>
      <c r="C901" s="98"/>
      <c r="D901" s="21"/>
      <c r="E901" s="86"/>
      <c r="F901" s="99"/>
      <c r="G901" s="99"/>
      <c r="H901" s="21"/>
      <c r="I901" s="21"/>
      <c r="J901" s="21"/>
      <c r="K901" s="5" t="str">
        <f>IF(AND(LEN(H901)=0, LEN(I901)=0), "", IF(AND(LEN(H901)&gt;0, LEN(I901)=0), "BLANCO", IFERROR(VLOOKUP(I901, BasedatosM9!A:B, 2, FALSE), "BLANCO")))</f>
        <v/>
      </c>
      <c r="W901" s="5" t="str">
        <f>IF(AND(LEN(T901)=0, LEN(U901)=0), "", IF(AND(LEN(T901)&gt;0, LEN(U901)=0), "BLANCO", IFERROR(VLOOKUP(U901, BasedatosM9!A:B, 2, FALSE), "BLANCO")))</f>
        <v/>
      </c>
      <c r="AI901" s="5" t="str">
        <f>IF(AND(LEN(AF901)=0, LEN(AG901)=0), "", IF(AND(LEN(AF901)&gt;0, LEN(AG901)=0), "BLANCO", IFERROR(VLOOKUP(AG901, BasedatosM9!A:B, 2, FALSE), "BLANCO")))</f>
        <v/>
      </c>
      <c r="AU901" s="5" t="str">
        <f>IF(AND(LEN(AR901)=0, LEN(AS901)=0), "", IF(AND(LEN(AR901)&gt;0, LEN(AS901)=0), "BLANCO", IFERROR(VLOOKUP(AS901, BasedatosM9!A:B, 2, FALSE), "BLANCO")))</f>
        <v/>
      </c>
    </row>
    <row r="902" spans="1:47" ht="14.4">
      <c r="A902" s="21"/>
      <c r="B902" s="86"/>
      <c r="C902" s="98"/>
      <c r="D902" s="21"/>
      <c r="E902" s="86"/>
      <c r="F902" s="99"/>
      <c r="G902" s="99"/>
      <c r="H902" s="21"/>
      <c r="I902" s="86"/>
      <c r="J902" s="21"/>
      <c r="K902" s="5" t="str">
        <f>IF(AND(LEN(H902)=0, LEN(I902)=0), "", IF(AND(LEN(H902)&gt;0, LEN(I902)=0), "BLANCO", IFERROR(VLOOKUP(I902, BasedatosM9!A:B, 2, FALSE), "BLANCO")))</f>
        <v/>
      </c>
      <c r="W902" s="5" t="str">
        <f>IF(AND(LEN(T902)=0, LEN(U902)=0), "", IF(AND(LEN(T902)&gt;0, LEN(U902)=0), "BLANCO", IFERROR(VLOOKUP(U902, BasedatosM9!A:B, 2, FALSE), "BLANCO")))</f>
        <v/>
      </c>
      <c r="AI902" s="5" t="str">
        <f>IF(AND(LEN(AF902)=0, LEN(AG902)=0), "", IF(AND(LEN(AF902)&gt;0, LEN(AG902)=0), "BLANCO", IFERROR(VLOOKUP(AG902, BasedatosM9!A:B, 2, FALSE), "BLANCO")))</f>
        <v/>
      </c>
      <c r="AU902" s="5" t="str">
        <f>IF(AND(LEN(AR902)=0, LEN(AS902)=0), "", IF(AND(LEN(AR902)&gt;0, LEN(AS902)=0), "BLANCO", IFERROR(VLOOKUP(AS902, BasedatosM9!A:B, 2, FALSE), "BLANCO")))</f>
        <v/>
      </c>
    </row>
    <row r="903" spans="1:47" ht="14.4">
      <c r="A903" s="21"/>
      <c r="B903" s="86"/>
      <c r="C903" s="98"/>
      <c r="D903" s="21"/>
      <c r="E903" s="86"/>
      <c r="F903" s="99"/>
      <c r="G903" s="99"/>
      <c r="H903" s="21"/>
      <c r="I903" s="86"/>
      <c r="J903" s="21"/>
      <c r="K903" s="5" t="str">
        <f>IF(AND(LEN(H903)=0, LEN(I903)=0), "", IF(AND(LEN(H903)&gt;0, LEN(I903)=0), "BLANCO", IFERROR(VLOOKUP(I903, BasedatosM9!A:B, 2, FALSE), "BLANCO")))</f>
        <v/>
      </c>
      <c r="W903" s="5" t="str">
        <f>IF(AND(LEN(T903)=0, LEN(U903)=0), "", IF(AND(LEN(T903)&gt;0, LEN(U903)=0), "BLANCO", IFERROR(VLOOKUP(U903, BasedatosM9!A:B, 2, FALSE), "BLANCO")))</f>
        <v/>
      </c>
      <c r="AI903" s="5" t="str">
        <f>IF(AND(LEN(AF903)=0, LEN(AG903)=0), "", IF(AND(LEN(AF903)&gt;0, LEN(AG903)=0), "BLANCO", IFERROR(VLOOKUP(AG903, BasedatosM9!A:B, 2, FALSE), "BLANCO")))</f>
        <v/>
      </c>
      <c r="AU903" s="5" t="str">
        <f>IF(AND(LEN(AR903)=0, LEN(AS903)=0), "", IF(AND(LEN(AR903)&gt;0, LEN(AS903)=0), "BLANCO", IFERROR(VLOOKUP(AS903, BasedatosM9!A:B, 2, FALSE), "BLANCO")))</f>
        <v/>
      </c>
    </row>
    <row r="904" spans="1:47" ht="14.4">
      <c r="A904" s="21"/>
      <c r="B904" s="86"/>
      <c r="C904" s="98"/>
      <c r="D904" s="21"/>
      <c r="E904" s="86"/>
      <c r="F904" s="99"/>
      <c r="G904" s="99"/>
      <c r="H904" s="21"/>
      <c r="I904" s="86"/>
      <c r="J904" s="21"/>
      <c r="K904" s="5" t="str">
        <f>IF(AND(LEN(H904)=0, LEN(I904)=0), "", IF(AND(LEN(H904)&gt;0, LEN(I904)=0), "BLANCO", IFERROR(VLOOKUP(I904, BasedatosM9!A:B, 2, FALSE), "BLANCO")))</f>
        <v/>
      </c>
      <c r="W904" s="5" t="str">
        <f>IF(AND(LEN(T904)=0, LEN(U904)=0), "", IF(AND(LEN(T904)&gt;0, LEN(U904)=0), "BLANCO", IFERROR(VLOOKUP(U904, BasedatosM9!A:B, 2, FALSE), "BLANCO")))</f>
        <v/>
      </c>
      <c r="AI904" s="5" t="str">
        <f>IF(AND(LEN(AF904)=0, LEN(AG904)=0), "", IF(AND(LEN(AF904)&gt;0, LEN(AG904)=0), "BLANCO", IFERROR(VLOOKUP(AG904, BasedatosM9!A:B, 2, FALSE), "BLANCO")))</f>
        <v/>
      </c>
      <c r="AU904" s="5" t="str">
        <f>IF(AND(LEN(AR904)=0, LEN(AS904)=0), "", IF(AND(LEN(AR904)&gt;0, LEN(AS904)=0), "BLANCO", IFERROR(VLOOKUP(AS904, BasedatosM9!A:B, 2, FALSE), "BLANCO")))</f>
        <v/>
      </c>
    </row>
    <row r="905" spans="1:47" ht="14.4">
      <c r="A905" s="21"/>
      <c r="B905" s="86"/>
      <c r="C905" s="98"/>
      <c r="D905" s="21"/>
      <c r="E905" s="86"/>
      <c r="F905" s="99"/>
      <c r="G905" s="99"/>
      <c r="H905" s="21"/>
      <c r="I905" s="86"/>
      <c r="J905" s="21"/>
      <c r="K905" s="5" t="str">
        <f>IF(AND(LEN(H905)=0, LEN(I905)=0), "", IF(AND(LEN(H905)&gt;0, LEN(I905)=0), "BLANCO", IFERROR(VLOOKUP(I905, BasedatosM9!A:B, 2, FALSE), "BLANCO")))</f>
        <v/>
      </c>
      <c r="W905" s="5" t="str">
        <f>IF(AND(LEN(T905)=0, LEN(U905)=0), "", IF(AND(LEN(T905)&gt;0, LEN(U905)=0), "BLANCO", IFERROR(VLOOKUP(U905, BasedatosM9!A:B, 2, FALSE), "BLANCO")))</f>
        <v/>
      </c>
      <c r="AI905" s="5" t="str">
        <f>IF(AND(LEN(AF905)=0, LEN(AG905)=0), "", IF(AND(LEN(AF905)&gt;0, LEN(AG905)=0), "BLANCO", IFERROR(VLOOKUP(AG905, BasedatosM9!A:B, 2, FALSE), "BLANCO")))</f>
        <v/>
      </c>
      <c r="AU905" s="5" t="str">
        <f>IF(AND(LEN(AR905)=0, LEN(AS905)=0), "", IF(AND(LEN(AR905)&gt;0, LEN(AS905)=0), "BLANCO", IFERROR(VLOOKUP(AS905, BasedatosM9!A:B, 2, FALSE), "BLANCO")))</f>
        <v/>
      </c>
    </row>
    <row r="906" spans="1:47" ht="14.4">
      <c r="A906" s="21"/>
      <c r="B906" s="86"/>
      <c r="C906" s="98"/>
      <c r="D906" s="21"/>
      <c r="E906" s="86"/>
      <c r="F906" s="99"/>
      <c r="G906" s="99"/>
      <c r="H906" s="21"/>
      <c r="I906" s="86"/>
      <c r="J906" s="21"/>
      <c r="K906" s="5" t="str">
        <f>IF(AND(LEN(H906)=0, LEN(I906)=0), "", IF(AND(LEN(H906)&gt;0, LEN(I906)=0), "BLANCO", IFERROR(VLOOKUP(I906, BasedatosM9!A:B, 2, FALSE), "BLANCO")))</f>
        <v/>
      </c>
      <c r="W906" s="5" t="str">
        <f>IF(AND(LEN(T906)=0, LEN(U906)=0), "", IF(AND(LEN(T906)&gt;0, LEN(U906)=0), "BLANCO", IFERROR(VLOOKUP(U906, BasedatosM9!A:B, 2, FALSE), "BLANCO")))</f>
        <v/>
      </c>
      <c r="AI906" s="5" t="str">
        <f>IF(AND(LEN(AF906)=0, LEN(AG906)=0), "", IF(AND(LEN(AF906)&gt;0, LEN(AG906)=0), "BLANCO", IFERROR(VLOOKUP(AG906, BasedatosM9!A:B, 2, FALSE), "BLANCO")))</f>
        <v/>
      </c>
      <c r="AU906" s="5" t="str">
        <f>IF(AND(LEN(AR906)=0, LEN(AS906)=0), "", IF(AND(LEN(AR906)&gt;0, LEN(AS906)=0), "BLANCO", IFERROR(VLOOKUP(AS906, BasedatosM9!A:B, 2, FALSE), "BLANCO")))</f>
        <v/>
      </c>
    </row>
    <row r="907" spans="1:47" ht="14.4">
      <c r="A907" s="21"/>
      <c r="B907" s="86"/>
      <c r="C907" s="98"/>
      <c r="D907" s="21"/>
      <c r="E907" s="86"/>
      <c r="F907" s="99"/>
      <c r="G907" s="99"/>
      <c r="H907" s="21"/>
      <c r="I907" s="21"/>
      <c r="J907" s="21"/>
      <c r="K907" s="5" t="str">
        <f>IF(AND(LEN(H907)=0, LEN(I907)=0), "", IF(AND(LEN(H907)&gt;0, LEN(I907)=0), "BLANCO", IFERROR(VLOOKUP(I907, BasedatosM9!A:B, 2, FALSE), "BLANCO")))</f>
        <v/>
      </c>
      <c r="W907" s="5" t="str">
        <f>IF(AND(LEN(T907)=0, LEN(U907)=0), "", IF(AND(LEN(T907)&gt;0, LEN(U907)=0), "BLANCO", IFERROR(VLOOKUP(U907, BasedatosM9!A:B, 2, FALSE), "BLANCO")))</f>
        <v/>
      </c>
      <c r="AI907" s="5" t="str">
        <f>IF(AND(LEN(AF907)=0, LEN(AG907)=0), "", IF(AND(LEN(AF907)&gt;0, LEN(AG907)=0), "BLANCO", IFERROR(VLOOKUP(AG907, BasedatosM9!A:B, 2, FALSE), "BLANCO")))</f>
        <v/>
      </c>
      <c r="AU907" s="5" t="str">
        <f>IF(AND(LEN(AR907)=0, LEN(AS907)=0), "", IF(AND(LEN(AR907)&gt;0, LEN(AS907)=0), "BLANCO", IFERROR(VLOOKUP(AS907, BasedatosM9!A:B, 2, FALSE), "BLANCO")))</f>
        <v/>
      </c>
    </row>
    <row r="908" spans="1:47" ht="14.4">
      <c r="A908" s="21"/>
      <c r="B908" s="86"/>
      <c r="C908" s="98"/>
      <c r="D908" s="21"/>
      <c r="E908" s="86"/>
      <c r="F908" s="99"/>
      <c r="G908" s="99"/>
      <c r="H908" s="21"/>
      <c r="I908" s="21"/>
      <c r="J908" s="21"/>
      <c r="K908" s="5" t="str">
        <f>IF(AND(LEN(H908)=0, LEN(I908)=0), "", IF(AND(LEN(H908)&gt;0, LEN(I908)=0), "BLANCO", IFERROR(VLOOKUP(I908, BasedatosM9!A:B, 2, FALSE), "BLANCO")))</f>
        <v/>
      </c>
      <c r="W908" s="5" t="str">
        <f>IF(AND(LEN(T908)=0, LEN(U908)=0), "", IF(AND(LEN(T908)&gt;0, LEN(U908)=0), "BLANCO", IFERROR(VLOOKUP(U908, BasedatosM9!A:B, 2, FALSE), "BLANCO")))</f>
        <v/>
      </c>
      <c r="AI908" s="5" t="str">
        <f>IF(AND(LEN(AF908)=0, LEN(AG908)=0), "", IF(AND(LEN(AF908)&gt;0, LEN(AG908)=0), "BLANCO", IFERROR(VLOOKUP(AG908, BasedatosM9!A:B, 2, FALSE), "BLANCO")))</f>
        <v/>
      </c>
      <c r="AU908" s="5" t="str">
        <f>IF(AND(LEN(AR908)=0, LEN(AS908)=0), "", IF(AND(LEN(AR908)&gt;0, LEN(AS908)=0), "BLANCO", IFERROR(VLOOKUP(AS908, BasedatosM9!A:B, 2, FALSE), "BLANCO")))</f>
        <v/>
      </c>
    </row>
    <row r="909" spans="1:47" ht="14.4">
      <c r="A909" s="21"/>
      <c r="B909" s="86"/>
      <c r="C909" s="98"/>
      <c r="D909" s="21"/>
      <c r="E909" s="86"/>
      <c r="F909" s="99"/>
      <c r="G909" s="99"/>
      <c r="H909" s="21"/>
      <c r="I909" s="86"/>
      <c r="J909" s="21"/>
      <c r="K909" s="5" t="str">
        <f>IF(AND(LEN(H909)=0, LEN(I909)=0), "", IF(AND(LEN(H909)&gt;0, LEN(I909)=0), "BLANCO", IFERROR(VLOOKUP(I909, BasedatosM9!A:B, 2, FALSE), "BLANCO")))</f>
        <v/>
      </c>
      <c r="W909" s="5" t="str">
        <f>IF(AND(LEN(T909)=0, LEN(U909)=0), "", IF(AND(LEN(T909)&gt;0, LEN(U909)=0), "BLANCO", IFERROR(VLOOKUP(U909, BasedatosM9!A:B, 2, FALSE), "BLANCO")))</f>
        <v/>
      </c>
      <c r="AI909" s="5" t="str">
        <f>IF(AND(LEN(AF909)=0, LEN(AG909)=0), "", IF(AND(LEN(AF909)&gt;0, LEN(AG909)=0), "BLANCO", IFERROR(VLOOKUP(AG909, BasedatosM9!A:B, 2, FALSE), "BLANCO")))</f>
        <v/>
      </c>
      <c r="AU909" s="5" t="str">
        <f>IF(AND(LEN(AR909)=0, LEN(AS909)=0), "", IF(AND(LEN(AR909)&gt;0, LEN(AS909)=0), "BLANCO", IFERROR(VLOOKUP(AS909, BasedatosM9!A:B, 2, FALSE), "BLANCO")))</f>
        <v/>
      </c>
    </row>
    <row r="910" spans="1:47" ht="14.4">
      <c r="A910" s="21"/>
      <c r="B910" s="86"/>
      <c r="C910" s="98"/>
      <c r="D910" s="21"/>
      <c r="E910" s="86"/>
      <c r="F910" s="99"/>
      <c r="G910" s="99"/>
      <c r="H910" s="21"/>
      <c r="I910" s="86"/>
      <c r="J910" s="21"/>
      <c r="K910" s="5" t="str">
        <f>IF(AND(LEN(H910)=0, LEN(I910)=0), "", IF(AND(LEN(H910)&gt;0, LEN(I910)=0), "BLANCO", IFERROR(VLOOKUP(I910, BasedatosM9!A:B, 2, FALSE), "BLANCO")))</f>
        <v/>
      </c>
      <c r="W910" s="5" t="str">
        <f>IF(AND(LEN(T910)=0, LEN(U910)=0), "", IF(AND(LEN(T910)&gt;0, LEN(U910)=0), "BLANCO", IFERROR(VLOOKUP(U910, BasedatosM9!A:B, 2, FALSE), "BLANCO")))</f>
        <v/>
      </c>
      <c r="AI910" s="5" t="str">
        <f>IF(AND(LEN(AF910)=0, LEN(AG910)=0), "", IF(AND(LEN(AF910)&gt;0, LEN(AG910)=0), "BLANCO", IFERROR(VLOOKUP(AG910, BasedatosM9!A:B, 2, FALSE), "BLANCO")))</f>
        <v/>
      </c>
      <c r="AU910" s="5" t="str">
        <f>IF(AND(LEN(AR910)=0, LEN(AS910)=0), "", IF(AND(LEN(AR910)&gt;0, LEN(AS910)=0), "BLANCO", IFERROR(VLOOKUP(AS910, BasedatosM9!A:B, 2, FALSE), "BLANCO")))</f>
        <v/>
      </c>
    </row>
    <row r="911" spans="1:47" ht="14.4">
      <c r="A911" s="21"/>
      <c r="B911" s="86"/>
      <c r="C911" s="98"/>
      <c r="D911" s="21"/>
      <c r="E911" s="86"/>
      <c r="F911" s="99"/>
      <c r="G911" s="99"/>
      <c r="H911" s="21"/>
      <c r="I911" s="86"/>
      <c r="J911" s="21"/>
      <c r="K911" s="5" t="str">
        <f>IF(AND(LEN(H911)=0, LEN(I911)=0), "", IF(AND(LEN(H911)&gt;0, LEN(I911)=0), "BLANCO", IFERROR(VLOOKUP(I911, BasedatosM9!A:B, 2, FALSE), "BLANCO")))</f>
        <v/>
      </c>
      <c r="W911" s="5" t="str">
        <f>IF(AND(LEN(T911)=0, LEN(U911)=0), "", IF(AND(LEN(T911)&gt;0, LEN(U911)=0), "BLANCO", IFERROR(VLOOKUP(U911, BasedatosM9!A:B, 2, FALSE), "BLANCO")))</f>
        <v/>
      </c>
      <c r="AI911" s="5" t="str">
        <f>IF(AND(LEN(AF911)=0, LEN(AG911)=0), "", IF(AND(LEN(AF911)&gt;0, LEN(AG911)=0), "BLANCO", IFERROR(VLOOKUP(AG911, BasedatosM9!A:B, 2, FALSE), "BLANCO")))</f>
        <v/>
      </c>
      <c r="AU911" s="5" t="str">
        <f>IF(AND(LEN(AR911)=0, LEN(AS911)=0), "", IF(AND(LEN(AR911)&gt;0, LEN(AS911)=0), "BLANCO", IFERROR(VLOOKUP(AS911, BasedatosM9!A:B, 2, FALSE), "BLANCO")))</f>
        <v/>
      </c>
    </row>
    <row r="912" spans="1:47" ht="14.4">
      <c r="A912" s="21"/>
      <c r="B912" s="86"/>
      <c r="C912" s="98"/>
      <c r="D912" s="21"/>
      <c r="E912" s="86"/>
      <c r="F912" s="99"/>
      <c r="G912" s="99"/>
      <c r="H912" s="21"/>
      <c r="I912" s="86"/>
      <c r="J912" s="21"/>
      <c r="K912" s="5" t="str">
        <f>IF(AND(LEN(H912)=0, LEN(I912)=0), "", IF(AND(LEN(H912)&gt;0, LEN(I912)=0), "BLANCO", IFERROR(VLOOKUP(I912, BasedatosM9!A:B, 2, FALSE), "BLANCO")))</f>
        <v/>
      </c>
      <c r="W912" s="5" t="str">
        <f>IF(AND(LEN(T912)=0, LEN(U912)=0), "", IF(AND(LEN(T912)&gt;0, LEN(U912)=0), "BLANCO", IFERROR(VLOOKUP(U912, BasedatosM9!A:B, 2, FALSE), "BLANCO")))</f>
        <v/>
      </c>
      <c r="AI912" s="5" t="str">
        <f>IF(AND(LEN(AF912)=0, LEN(AG912)=0), "", IF(AND(LEN(AF912)&gt;0, LEN(AG912)=0), "BLANCO", IFERROR(VLOOKUP(AG912, BasedatosM9!A:B, 2, FALSE), "BLANCO")))</f>
        <v/>
      </c>
      <c r="AU912" s="5" t="str">
        <f>IF(AND(LEN(AR912)=0, LEN(AS912)=0), "", IF(AND(LEN(AR912)&gt;0, LEN(AS912)=0), "BLANCO", IFERROR(VLOOKUP(AS912, BasedatosM9!A:B, 2, FALSE), "BLANCO")))</f>
        <v/>
      </c>
    </row>
    <row r="913" spans="1:47" ht="14.4">
      <c r="A913" s="21"/>
      <c r="B913" s="86"/>
      <c r="C913" s="98"/>
      <c r="D913" s="21"/>
      <c r="E913" s="86"/>
      <c r="F913" s="99"/>
      <c r="G913" s="99"/>
      <c r="H913" s="21"/>
      <c r="I913" s="86"/>
      <c r="J913" s="21"/>
      <c r="K913" s="5" t="str">
        <f>IF(AND(LEN(H913)=0, LEN(I913)=0), "", IF(AND(LEN(H913)&gt;0, LEN(I913)=0), "BLANCO", IFERROR(VLOOKUP(I913, BasedatosM9!A:B, 2, FALSE), "BLANCO")))</f>
        <v/>
      </c>
      <c r="W913" s="5" t="str">
        <f>IF(AND(LEN(T913)=0, LEN(U913)=0), "", IF(AND(LEN(T913)&gt;0, LEN(U913)=0), "BLANCO", IFERROR(VLOOKUP(U913, BasedatosM9!A:B, 2, FALSE), "BLANCO")))</f>
        <v/>
      </c>
      <c r="AI913" s="5" t="str">
        <f>IF(AND(LEN(AF913)=0, LEN(AG913)=0), "", IF(AND(LEN(AF913)&gt;0, LEN(AG913)=0), "BLANCO", IFERROR(VLOOKUP(AG913, BasedatosM9!A:B, 2, FALSE), "BLANCO")))</f>
        <v/>
      </c>
      <c r="AU913" s="5" t="str">
        <f>IF(AND(LEN(AR913)=0, LEN(AS913)=0), "", IF(AND(LEN(AR913)&gt;0, LEN(AS913)=0), "BLANCO", IFERROR(VLOOKUP(AS913, BasedatosM9!A:B, 2, FALSE), "BLANCO")))</f>
        <v/>
      </c>
    </row>
    <row r="914" spans="1:47" ht="14.4">
      <c r="A914" s="21"/>
      <c r="B914" s="86"/>
      <c r="C914" s="98"/>
      <c r="D914" s="21"/>
      <c r="E914" s="86"/>
      <c r="F914" s="99"/>
      <c r="G914" s="99"/>
      <c r="H914" s="21"/>
      <c r="I914" s="86"/>
      <c r="J914" s="21"/>
      <c r="K914" s="5" t="str">
        <f>IF(AND(LEN(H914)=0, LEN(I914)=0), "", IF(AND(LEN(H914)&gt;0, LEN(I914)=0), "BLANCO", IFERROR(VLOOKUP(I914, BasedatosM9!A:B, 2, FALSE), "BLANCO")))</f>
        <v/>
      </c>
      <c r="W914" s="5" t="str">
        <f>IF(AND(LEN(T914)=0, LEN(U914)=0), "", IF(AND(LEN(T914)&gt;0, LEN(U914)=0), "BLANCO", IFERROR(VLOOKUP(U914, BasedatosM9!A:B, 2, FALSE), "BLANCO")))</f>
        <v/>
      </c>
      <c r="AI914" s="5" t="str">
        <f>IF(AND(LEN(AF914)=0, LEN(AG914)=0), "", IF(AND(LEN(AF914)&gt;0, LEN(AG914)=0), "BLANCO", IFERROR(VLOOKUP(AG914, BasedatosM9!A:B, 2, FALSE), "BLANCO")))</f>
        <v/>
      </c>
      <c r="AU914" s="5" t="str">
        <f>IF(AND(LEN(AR914)=0, LEN(AS914)=0), "", IF(AND(LEN(AR914)&gt;0, LEN(AS914)=0), "BLANCO", IFERROR(VLOOKUP(AS914, BasedatosM9!A:B, 2, FALSE), "BLANCO")))</f>
        <v/>
      </c>
    </row>
    <row r="915" spans="1:47" ht="14.4">
      <c r="A915" s="21"/>
      <c r="B915" s="86"/>
      <c r="C915" s="98"/>
      <c r="D915" s="21"/>
      <c r="E915" s="86"/>
      <c r="F915" s="99"/>
      <c r="G915" s="99"/>
      <c r="H915" s="21"/>
      <c r="I915" s="21"/>
      <c r="J915" s="21"/>
      <c r="K915" s="5" t="str">
        <f>IF(AND(LEN(H915)=0, LEN(I915)=0), "", IF(AND(LEN(H915)&gt;0, LEN(I915)=0), "BLANCO", IFERROR(VLOOKUP(I915, BasedatosM9!A:B, 2, FALSE), "BLANCO")))</f>
        <v/>
      </c>
      <c r="W915" s="5" t="str">
        <f>IF(AND(LEN(T915)=0, LEN(U915)=0), "", IF(AND(LEN(T915)&gt;0, LEN(U915)=0), "BLANCO", IFERROR(VLOOKUP(U915, BasedatosM9!A:B, 2, FALSE), "BLANCO")))</f>
        <v/>
      </c>
      <c r="AI915" s="5" t="str">
        <f>IF(AND(LEN(AF915)=0, LEN(AG915)=0), "", IF(AND(LEN(AF915)&gt;0, LEN(AG915)=0), "BLANCO", IFERROR(VLOOKUP(AG915, BasedatosM9!A:B, 2, FALSE), "BLANCO")))</f>
        <v/>
      </c>
      <c r="AU915" s="5" t="str">
        <f>IF(AND(LEN(AR915)=0, LEN(AS915)=0), "", IF(AND(LEN(AR915)&gt;0, LEN(AS915)=0), "BLANCO", IFERROR(VLOOKUP(AS915, BasedatosM9!A:B, 2, FALSE), "BLANCO")))</f>
        <v/>
      </c>
    </row>
    <row r="916" spans="1:47" ht="14.4">
      <c r="A916" s="21"/>
      <c r="B916" s="86"/>
      <c r="C916" s="98"/>
      <c r="D916" s="21"/>
      <c r="E916" s="86"/>
      <c r="F916" s="99"/>
      <c r="G916" s="99"/>
      <c r="H916" s="21"/>
      <c r="I916" s="86"/>
      <c r="J916" s="21"/>
      <c r="K916" s="5" t="str">
        <f>IF(AND(LEN(H916)=0, LEN(I916)=0), "", IF(AND(LEN(H916)&gt;0, LEN(I916)=0), "BLANCO", IFERROR(VLOOKUP(I916, BasedatosM9!A:B, 2, FALSE), "BLANCO")))</f>
        <v/>
      </c>
      <c r="W916" s="5" t="str">
        <f>IF(AND(LEN(T916)=0, LEN(U916)=0), "", IF(AND(LEN(T916)&gt;0, LEN(U916)=0), "BLANCO", IFERROR(VLOOKUP(U916, BasedatosM9!A:B, 2, FALSE), "BLANCO")))</f>
        <v/>
      </c>
      <c r="AI916" s="5" t="str">
        <f>IF(AND(LEN(AF916)=0, LEN(AG916)=0), "", IF(AND(LEN(AF916)&gt;0, LEN(AG916)=0), "BLANCO", IFERROR(VLOOKUP(AG916, BasedatosM9!A:B, 2, FALSE), "BLANCO")))</f>
        <v/>
      </c>
      <c r="AU916" s="5" t="str">
        <f>IF(AND(LEN(AR916)=0, LEN(AS916)=0), "", IF(AND(LEN(AR916)&gt;0, LEN(AS916)=0), "BLANCO", IFERROR(VLOOKUP(AS916, BasedatosM9!A:B, 2, FALSE), "BLANCO")))</f>
        <v/>
      </c>
    </row>
    <row r="917" spans="1:47" ht="14.4">
      <c r="A917" s="21"/>
      <c r="B917" s="86"/>
      <c r="C917" s="98"/>
      <c r="D917" s="21"/>
      <c r="E917" s="86"/>
      <c r="F917" s="99"/>
      <c r="G917" s="99"/>
      <c r="H917" s="21"/>
      <c r="I917" s="86"/>
      <c r="J917" s="21"/>
      <c r="K917" s="5" t="str">
        <f>IF(AND(LEN(H917)=0, LEN(I917)=0), "", IF(AND(LEN(H917)&gt;0, LEN(I917)=0), "BLANCO", IFERROR(VLOOKUP(I917, BasedatosM9!A:B, 2, FALSE), "BLANCO")))</f>
        <v/>
      </c>
      <c r="W917" s="5" t="str">
        <f>IF(AND(LEN(T917)=0, LEN(U917)=0), "", IF(AND(LEN(T917)&gt;0, LEN(U917)=0), "BLANCO", IFERROR(VLOOKUP(U917, BasedatosM9!A:B, 2, FALSE), "BLANCO")))</f>
        <v/>
      </c>
      <c r="AI917" s="5" t="str">
        <f>IF(AND(LEN(AF917)=0, LEN(AG917)=0), "", IF(AND(LEN(AF917)&gt;0, LEN(AG917)=0), "BLANCO", IFERROR(VLOOKUP(AG917, BasedatosM9!A:B, 2, FALSE), "BLANCO")))</f>
        <v/>
      </c>
      <c r="AU917" s="5" t="str">
        <f>IF(AND(LEN(AR917)=0, LEN(AS917)=0), "", IF(AND(LEN(AR917)&gt;0, LEN(AS917)=0), "BLANCO", IFERROR(VLOOKUP(AS917, BasedatosM9!A:B, 2, FALSE), "BLANCO")))</f>
        <v/>
      </c>
    </row>
    <row r="918" spans="1:47" ht="14.4">
      <c r="A918" s="21"/>
      <c r="B918" s="86"/>
      <c r="C918" s="98"/>
      <c r="D918" s="21"/>
      <c r="E918" s="86"/>
      <c r="F918" s="99"/>
      <c r="G918" s="99"/>
      <c r="H918" s="21"/>
      <c r="I918" s="86"/>
      <c r="J918" s="21"/>
      <c r="K918" s="5" t="str">
        <f>IF(AND(LEN(H918)=0, LEN(I918)=0), "", IF(AND(LEN(H918)&gt;0, LEN(I918)=0), "BLANCO", IFERROR(VLOOKUP(I918, BasedatosM9!A:B, 2, FALSE), "BLANCO")))</f>
        <v/>
      </c>
      <c r="W918" s="5" t="str">
        <f>IF(AND(LEN(T918)=0, LEN(U918)=0), "", IF(AND(LEN(T918)&gt;0, LEN(U918)=0), "BLANCO", IFERROR(VLOOKUP(U918, BasedatosM9!A:B, 2, FALSE), "BLANCO")))</f>
        <v/>
      </c>
      <c r="AI918" s="5" t="str">
        <f>IF(AND(LEN(AF918)=0, LEN(AG918)=0), "", IF(AND(LEN(AF918)&gt;0, LEN(AG918)=0), "BLANCO", IFERROR(VLOOKUP(AG918, BasedatosM9!A:B, 2, FALSE), "BLANCO")))</f>
        <v/>
      </c>
      <c r="AU918" s="5" t="str">
        <f>IF(AND(LEN(AR918)=0, LEN(AS918)=0), "", IF(AND(LEN(AR918)&gt;0, LEN(AS918)=0), "BLANCO", IFERROR(VLOOKUP(AS918, BasedatosM9!A:B, 2, FALSE), "BLANCO")))</f>
        <v/>
      </c>
    </row>
    <row r="919" spans="1:47" ht="14.4">
      <c r="A919" s="21"/>
      <c r="B919" s="86"/>
      <c r="C919" s="98"/>
      <c r="D919" s="21"/>
      <c r="E919" s="86"/>
      <c r="F919" s="99"/>
      <c r="G919" s="99"/>
      <c r="H919" s="21"/>
      <c r="I919" s="86"/>
      <c r="J919" s="21"/>
      <c r="K919" s="5" t="str">
        <f>IF(AND(LEN(H919)=0, LEN(I919)=0), "", IF(AND(LEN(H919)&gt;0, LEN(I919)=0), "BLANCO", IFERROR(VLOOKUP(I919, BasedatosM9!A:B, 2, FALSE), "BLANCO")))</f>
        <v/>
      </c>
      <c r="W919" s="5" t="str">
        <f>IF(AND(LEN(T919)=0, LEN(U919)=0), "", IF(AND(LEN(T919)&gt;0, LEN(U919)=0), "BLANCO", IFERROR(VLOOKUP(U919, BasedatosM9!A:B, 2, FALSE), "BLANCO")))</f>
        <v/>
      </c>
      <c r="AI919" s="5" t="str">
        <f>IF(AND(LEN(AF919)=0, LEN(AG919)=0), "", IF(AND(LEN(AF919)&gt;0, LEN(AG919)=0), "BLANCO", IFERROR(VLOOKUP(AG919, BasedatosM9!A:B, 2, FALSE), "BLANCO")))</f>
        <v/>
      </c>
      <c r="AU919" s="5" t="str">
        <f>IF(AND(LEN(AR919)=0, LEN(AS919)=0), "", IF(AND(LEN(AR919)&gt;0, LEN(AS919)=0), "BLANCO", IFERROR(VLOOKUP(AS919, BasedatosM9!A:B, 2, FALSE), "BLANCO")))</f>
        <v/>
      </c>
    </row>
    <row r="920" spans="1:47" ht="14.4">
      <c r="A920" s="21"/>
      <c r="B920" s="86"/>
      <c r="C920" s="98"/>
      <c r="D920" s="21"/>
      <c r="E920" s="86"/>
      <c r="F920" s="99"/>
      <c r="G920" s="99"/>
      <c r="H920" s="21"/>
      <c r="I920" s="86"/>
      <c r="J920" s="21"/>
      <c r="K920" s="5" t="str">
        <f>IF(AND(LEN(H920)=0, LEN(I920)=0), "", IF(AND(LEN(H920)&gt;0, LEN(I920)=0), "BLANCO", IFERROR(VLOOKUP(I920, BasedatosM9!A:B, 2, FALSE), "BLANCO")))</f>
        <v/>
      </c>
      <c r="W920" s="5" t="str">
        <f>IF(AND(LEN(T920)=0, LEN(U920)=0), "", IF(AND(LEN(T920)&gt;0, LEN(U920)=0), "BLANCO", IFERROR(VLOOKUP(U920, BasedatosM9!A:B, 2, FALSE), "BLANCO")))</f>
        <v/>
      </c>
      <c r="AI920" s="5" t="str">
        <f>IF(AND(LEN(AF920)=0, LEN(AG920)=0), "", IF(AND(LEN(AF920)&gt;0, LEN(AG920)=0), "BLANCO", IFERROR(VLOOKUP(AG920, BasedatosM9!A:B, 2, FALSE), "BLANCO")))</f>
        <v/>
      </c>
      <c r="AU920" s="5" t="str">
        <f>IF(AND(LEN(AR920)=0, LEN(AS920)=0), "", IF(AND(LEN(AR920)&gt;0, LEN(AS920)=0), "BLANCO", IFERROR(VLOOKUP(AS920, BasedatosM9!A:B, 2, FALSE), "BLANCO")))</f>
        <v/>
      </c>
    </row>
    <row r="921" spans="1:47" ht="14.4">
      <c r="A921" s="21"/>
      <c r="B921" s="86"/>
      <c r="C921" s="98"/>
      <c r="D921" s="21"/>
      <c r="E921" s="86"/>
      <c r="F921" s="99"/>
      <c r="G921" s="99"/>
      <c r="H921" s="21"/>
      <c r="I921" s="21"/>
      <c r="J921" s="21"/>
      <c r="K921" s="5" t="str">
        <f>IF(AND(LEN(H921)=0, LEN(I921)=0), "", IF(AND(LEN(H921)&gt;0, LEN(I921)=0), "BLANCO", IFERROR(VLOOKUP(I921, BasedatosM9!A:B, 2, FALSE), "BLANCO")))</f>
        <v/>
      </c>
      <c r="W921" s="5" t="str">
        <f>IF(AND(LEN(T921)=0, LEN(U921)=0), "", IF(AND(LEN(T921)&gt;0, LEN(U921)=0), "BLANCO", IFERROR(VLOOKUP(U921, BasedatosM9!A:B, 2, FALSE), "BLANCO")))</f>
        <v/>
      </c>
      <c r="AI921" s="5" t="str">
        <f>IF(AND(LEN(AF921)=0, LEN(AG921)=0), "", IF(AND(LEN(AF921)&gt;0, LEN(AG921)=0), "BLANCO", IFERROR(VLOOKUP(AG921, BasedatosM9!A:B, 2, FALSE), "BLANCO")))</f>
        <v/>
      </c>
      <c r="AU921" s="5" t="str">
        <f>IF(AND(LEN(AR921)=0, LEN(AS921)=0), "", IF(AND(LEN(AR921)&gt;0, LEN(AS921)=0), "BLANCO", IFERROR(VLOOKUP(AS921, BasedatosM9!A:B, 2, FALSE), "BLANCO")))</f>
        <v/>
      </c>
    </row>
    <row r="922" spans="1:47" ht="14.4">
      <c r="A922" s="21"/>
      <c r="B922" s="86"/>
      <c r="C922" s="98"/>
      <c r="D922" s="21"/>
      <c r="E922" s="86"/>
      <c r="F922" s="99"/>
      <c r="G922" s="99"/>
      <c r="H922" s="21"/>
      <c r="I922" s="86"/>
      <c r="J922" s="21"/>
      <c r="K922" s="5" t="str">
        <f>IF(AND(LEN(H922)=0, LEN(I922)=0), "", IF(AND(LEN(H922)&gt;0, LEN(I922)=0), "BLANCO", IFERROR(VLOOKUP(I922, BasedatosM9!A:B, 2, FALSE), "BLANCO")))</f>
        <v/>
      </c>
      <c r="W922" s="5" t="str">
        <f>IF(AND(LEN(T922)=0, LEN(U922)=0), "", IF(AND(LEN(T922)&gt;0, LEN(U922)=0), "BLANCO", IFERROR(VLOOKUP(U922, BasedatosM9!A:B, 2, FALSE), "BLANCO")))</f>
        <v/>
      </c>
      <c r="AI922" s="5" t="str">
        <f>IF(AND(LEN(AF922)=0, LEN(AG922)=0), "", IF(AND(LEN(AF922)&gt;0, LEN(AG922)=0), "BLANCO", IFERROR(VLOOKUP(AG922, BasedatosM9!A:B, 2, FALSE), "BLANCO")))</f>
        <v/>
      </c>
      <c r="AU922" s="5" t="str">
        <f>IF(AND(LEN(AR922)=0, LEN(AS922)=0), "", IF(AND(LEN(AR922)&gt;0, LEN(AS922)=0), "BLANCO", IFERROR(VLOOKUP(AS922, BasedatosM9!A:B, 2, FALSE), "BLANCO")))</f>
        <v/>
      </c>
    </row>
    <row r="923" spans="1:47" ht="14.4">
      <c r="A923" s="21"/>
      <c r="B923" s="86"/>
      <c r="C923" s="98"/>
      <c r="D923" s="21"/>
      <c r="E923" s="86"/>
      <c r="F923" s="99"/>
      <c r="G923" s="99"/>
      <c r="H923" s="21"/>
      <c r="I923" s="86"/>
      <c r="J923" s="21"/>
      <c r="K923" s="5" t="str">
        <f>IF(AND(LEN(H923)=0, LEN(I923)=0), "", IF(AND(LEN(H923)&gt;0, LEN(I923)=0), "BLANCO", IFERROR(VLOOKUP(I923, BasedatosM9!A:B, 2, FALSE), "BLANCO")))</f>
        <v/>
      </c>
      <c r="W923" s="5" t="str">
        <f>IF(AND(LEN(T923)=0, LEN(U923)=0), "", IF(AND(LEN(T923)&gt;0, LEN(U923)=0), "BLANCO", IFERROR(VLOOKUP(U923, BasedatosM9!A:B, 2, FALSE), "BLANCO")))</f>
        <v/>
      </c>
      <c r="AI923" s="5" t="str">
        <f>IF(AND(LEN(AF923)=0, LEN(AG923)=0), "", IF(AND(LEN(AF923)&gt;0, LEN(AG923)=0), "BLANCO", IFERROR(VLOOKUP(AG923, BasedatosM9!A:B, 2, FALSE), "BLANCO")))</f>
        <v/>
      </c>
      <c r="AU923" s="5" t="str">
        <f>IF(AND(LEN(AR923)=0, LEN(AS923)=0), "", IF(AND(LEN(AR923)&gt;0, LEN(AS923)=0), "BLANCO", IFERROR(VLOOKUP(AS923, BasedatosM9!A:B, 2, FALSE), "BLANCO")))</f>
        <v/>
      </c>
    </row>
    <row r="924" spans="1:47" ht="14.4">
      <c r="A924" s="21"/>
      <c r="B924" s="86"/>
      <c r="C924" s="98"/>
      <c r="D924" s="21"/>
      <c r="E924" s="86"/>
      <c r="F924" s="99"/>
      <c r="G924" s="99"/>
      <c r="H924" s="21"/>
      <c r="I924" s="86"/>
      <c r="J924" s="21"/>
      <c r="K924" s="5" t="str">
        <f>IF(AND(LEN(H924)=0, LEN(I924)=0), "", IF(AND(LEN(H924)&gt;0, LEN(I924)=0), "BLANCO", IFERROR(VLOOKUP(I924, BasedatosM9!A:B, 2, FALSE), "BLANCO")))</f>
        <v/>
      </c>
      <c r="W924" s="5" t="str">
        <f>IF(AND(LEN(T924)=0, LEN(U924)=0), "", IF(AND(LEN(T924)&gt;0, LEN(U924)=0), "BLANCO", IFERROR(VLOOKUP(U924, BasedatosM9!A:B, 2, FALSE), "BLANCO")))</f>
        <v/>
      </c>
      <c r="AI924" s="5" t="str">
        <f>IF(AND(LEN(AF924)=0, LEN(AG924)=0), "", IF(AND(LEN(AF924)&gt;0, LEN(AG924)=0), "BLANCO", IFERROR(VLOOKUP(AG924, BasedatosM9!A:B, 2, FALSE), "BLANCO")))</f>
        <v/>
      </c>
      <c r="AU924" s="5" t="str">
        <f>IF(AND(LEN(AR924)=0, LEN(AS924)=0), "", IF(AND(LEN(AR924)&gt;0, LEN(AS924)=0), "BLANCO", IFERROR(VLOOKUP(AS924, BasedatosM9!A:B, 2, FALSE), "BLANCO")))</f>
        <v/>
      </c>
    </row>
    <row r="925" spans="1:47" ht="14.4">
      <c r="A925" s="21"/>
      <c r="B925" s="86"/>
      <c r="C925" s="98"/>
      <c r="D925" s="21"/>
      <c r="E925" s="86"/>
      <c r="F925" s="99"/>
      <c r="G925" s="99"/>
      <c r="H925" s="21"/>
      <c r="I925" s="86"/>
      <c r="J925" s="21"/>
      <c r="K925" s="5" t="str">
        <f>IF(AND(LEN(H925)=0, LEN(I925)=0), "", IF(AND(LEN(H925)&gt;0, LEN(I925)=0), "BLANCO", IFERROR(VLOOKUP(I925, BasedatosM9!A:B, 2, FALSE), "BLANCO")))</f>
        <v/>
      </c>
      <c r="W925" s="5" t="str">
        <f>IF(AND(LEN(T925)=0, LEN(U925)=0), "", IF(AND(LEN(T925)&gt;0, LEN(U925)=0), "BLANCO", IFERROR(VLOOKUP(U925, BasedatosM9!A:B, 2, FALSE), "BLANCO")))</f>
        <v/>
      </c>
      <c r="AI925" s="5" t="str">
        <f>IF(AND(LEN(AF925)=0, LEN(AG925)=0), "", IF(AND(LEN(AF925)&gt;0, LEN(AG925)=0), "BLANCO", IFERROR(VLOOKUP(AG925, BasedatosM9!A:B, 2, FALSE), "BLANCO")))</f>
        <v/>
      </c>
      <c r="AU925" s="5" t="str">
        <f>IF(AND(LEN(AR925)=0, LEN(AS925)=0), "", IF(AND(LEN(AR925)&gt;0, LEN(AS925)=0), "BLANCO", IFERROR(VLOOKUP(AS925, BasedatosM9!A:B, 2, FALSE), "BLANCO")))</f>
        <v/>
      </c>
    </row>
    <row r="926" spans="1:47" ht="14.4">
      <c r="A926" s="21"/>
      <c r="B926" s="86"/>
      <c r="C926" s="98"/>
      <c r="D926" s="21"/>
      <c r="E926" s="86"/>
      <c r="F926" s="99"/>
      <c r="G926" s="99"/>
      <c r="H926" s="21"/>
      <c r="I926" s="86"/>
      <c r="J926" s="21"/>
      <c r="K926" s="5" t="str">
        <f>IF(AND(LEN(H926)=0, LEN(I926)=0), "", IF(AND(LEN(H926)&gt;0, LEN(I926)=0), "BLANCO", IFERROR(VLOOKUP(I926, BasedatosM9!A:B, 2, FALSE), "BLANCO")))</f>
        <v/>
      </c>
      <c r="W926" s="5" t="str">
        <f>IF(AND(LEN(T926)=0, LEN(U926)=0), "", IF(AND(LEN(T926)&gt;0, LEN(U926)=0), "BLANCO", IFERROR(VLOOKUP(U926, BasedatosM9!A:B, 2, FALSE), "BLANCO")))</f>
        <v/>
      </c>
      <c r="AI926" s="5" t="str">
        <f>IF(AND(LEN(AF926)=0, LEN(AG926)=0), "", IF(AND(LEN(AF926)&gt;0, LEN(AG926)=0), "BLANCO", IFERROR(VLOOKUP(AG926, BasedatosM9!A:B, 2, FALSE), "BLANCO")))</f>
        <v/>
      </c>
      <c r="AU926" s="5" t="str">
        <f>IF(AND(LEN(AR926)=0, LEN(AS926)=0), "", IF(AND(LEN(AR926)&gt;0, LEN(AS926)=0), "BLANCO", IFERROR(VLOOKUP(AS926, BasedatosM9!A:B, 2, FALSE), "BLANCO")))</f>
        <v/>
      </c>
    </row>
    <row r="927" spans="1:47" ht="14.4">
      <c r="A927" s="21"/>
      <c r="B927" s="86"/>
      <c r="C927" s="98"/>
      <c r="D927" s="21"/>
      <c r="E927" s="86"/>
      <c r="F927" s="99"/>
      <c r="G927" s="99"/>
      <c r="H927" s="21"/>
      <c r="I927" s="86"/>
      <c r="J927" s="21"/>
      <c r="K927" s="5" t="str">
        <f>IF(AND(LEN(H927)=0, LEN(I927)=0), "", IF(AND(LEN(H927)&gt;0, LEN(I927)=0), "BLANCO", IFERROR(VLOOKUP(I927, BasedatosM9!A:B, 2, FALSE), "BLANCO")))</f>
        <v/>
      </c>
      <c r="W927" s="5" t="str">
        <f>IF(AND(LEN(T927)=0, LEN(U927)=0), "", IF(AND(LEN(T927)&gt;0, LEN(U927)=0), "BLANCO", IFERROR(VLOOKUP(U927, BasedatosM9!A:B, 2, FALSE), "BLANCO")))</f>
        <v/>
      </c>
      <c r="AI927" s="5" t="str">
        <f>IF(AND(LEN(AF927)=0, LEN(AG927)=0), "", IF(AND(LEN(AF927)&gt;0, LEN(AG927)=0), "BLANCO", IFERROR(VLOOKUP(AG927, BasedatosM9!A:B, 2, FALSE), "BLANCO")))</f>
        <v/>
      </c>
      <c r="AU927" s="5" t="str">
        <f>IF(AND(LEN(AR927)=0, LEN(AS927)=0), "", IF(AND(LEN(AR927)&gt;0, LEN(AS927)=0), "BLANCO", IFERROR(VLOOKUP(AS927, BasedatosM9!A:B, 2, FALSE), "BLANCO")))</f>
        <v/>
      </c>
    </row>
    <row r="928" spans="1:47" ht="14.4">
      <c r="A928" s="21"/>
      <c r="B928" s="86"/>
      <c r="C928" s="98"/>
      <c r="D928" s="21"/>
      <c r="E928" s="86"/>
      <c r="F928" s="99"/>
      <c r="G928" s="99"/>
      <c r="H928" s="21"/>
      <c r="I928" s="86"/>
      <c r="J928" s="21"/>
      <c r="K928" s="5" t="str">
        <f>IF(AND(LEN(H928)=0, LEN(I928)=0), "", IF(AND(LEN(H928)&gt;0, LEN(I928)=0), "BLANCO", IFERROR(VLOOKUP(I928, BasedatosM9!A:B, 2, FALSE), "BLANCO")))</f>
        <v/>
      </c>
      <c r="W928" s="5" t="str">
        <f>IF(AND(LEN(T928)=0, LEN(U928)=0), "", IF(AND(LEN(T928)&gt;0, LEN(U928)=0), "BLANCO", IFERROR(VLOOKUP(U928, BasedatosM9!A:B, 2, FALSE), "BLANCO")))</f>
        <v/>
      </c>
      <c r="AI928" s="5" t="str">
        <f>IF(AND(LEN(AF928)=0, LEN(AG928)=0), "", IF(AND(LEN(AF928)&gt;0, LEN(AG928)=0), "BLANCO", IFERROR(VLOOKUP(AG928, BasedatosM9!A:B, 2, FALSE), "BLANCO")))</f>
        <v/>
      </c>
      <c r="AU928" s="5" t="str">
        <f>IF(AND(LEN(AR928)=0, LEN(AS928)=0), "", IF(AND(LEN(AR928)&gt;0, LEN(AS928)=0), "BLANCO", IFERROR(VLOOKUP(AS928, BasedatosM9!A:B, 2, FALSE), "BLANCO")))</f>
        <v/>
      </c>
    </row>
    <row r="929" spans="1:47" ht="14.4">
      <c r="A929" s="21"/>
      <c r="B929" s="86"/>
      <c r="C929" s="98"/>
      <c r="D929" s="21"/>
      <c r="E929" s="86"/>
      <c r="F929" s="99"/>
      <c r="G929" s="99"/>
      <c r="H929" s="21"/>
      <c r="I929" s="21"/>
      <c r="J929" s="21"/>
      <c r="K929" s="5" t="str">
        <f>IF(AND(LEN(H929)=0, LEN(I929)=0), "", IF(AND(LEN(H929)&gt;0, LEN(I929)=0), "BLANCO", IFERROR(VLOOKUP(I929, BasedatosM9!A:B, 2, FALSE), "BLANCO")))</f>
        <v/>
      </c>
      <c r="W929" s="5" t="str">
        <f>IF(AND(LEN(T929)=0, LEN(U929)=0), "", IF(AND(LEN(T929)&gt;0, LEN(U929)=0), "BLANCO", IFERROR(VLOOKUP(U929, BasedatosM9!A:B, 2, FALSE), "BLANCO")))</f>
        <v/>
      </c>
      <c r="AI929" s="5" t="str">
        <f>IF(AND(LEN(AF929)=0, LEN(AG929)=0), "", IF(AND(LEN(AF929)&gt;0, LEN(AG929)=0), "BLANCO", IFERROR(VLOOKUP(AG929, BasedatosM9!A:B, 2, FALSE), "BLANCO")))</f>
        <v/>
      </c>
      <c r="AU929" s="5" t="str">
        <f>IF(AND(LEN(AR929)=0, LEN(AS929)=0), "", IF(AND(LEN(AR929)&gt;0, LEN(AS929)=0), "BLANCO", IFERROR(VLOOKUP(AS929, BasedatosM9!A:B, 2, FALSE), "BLANCO")))</f>
        <v/>
      </c>
    </row>
    <row r="930" spans="1:47" ht="14.4">
      <c r="A930" s="21"/>
      <c r="B930" s="86"/>
      <c r="C930" s="98"/>
      <c r="D930" s="21"/>
      <c r="E930" s="86"/>
      <c r="F930" s="99"/>
      <c r="G930" s="99"/>
      <c r="H930" s="21"/>
      <c r="I930" s="86"/>
      <c r="J930" s="21"/>
      <c r="K930" s="5" t="str">
        <f>IF(AND(LEN(H930)=0, LEN(I930)=0), "", IF(AND(LEN(H930)&gt;0, LEN(I930)=0), "BLANCO", IFERROR(VLOOKUP(I930, BasedatosM9!A:B, 2, FALSE), "BLANCO")))</f>
        <v/>
      </c>
      <c r="W930" s="5" t="str">
        <f>IF(AND(LEN(T930)=0, LEN(U930)=0), "", IF(AND(LEN(T930)&gt;0, LEN(U930)=0), "BLANCO", IFERROR(VLOOKUP(U930, BasedatosM9!A:B, 2, FALSE), "BLANCO")))</f>
        <v/>
      </c>
      <c r="AI930" s="5" t="str">
        <f>IF(AND(LEN(AF930)=0, LEN(AG930)=0), "", IF(AND(LEN(AF930)&gt;0, LEN(AG930)=0), "BLANCO", IFERROR(VLOOKUP(AG930, BasedatosM9!A:B, 2, FALSE), "BLANCO")))</f>
        <v/>
      </c>
      <c r="AU930" s="5" t="str">
        <f>IF(AND(LEN(AR930)=0, LEN(AS930)=0), "", IF(AND(LEN(AR930)&gt;0, LEN(AS930)=0), "BLANCO", IFERROR(VLOOKUP(AS930, BasedatosM9!A:B, 2, FALSE), "BLANCO")))</f>
        <v/>
      </c>
    </row>
    <row r="931" spans="1:47" ht="14.4">
      <c r="A931" s="21"/>
      <c r="B931" s="86"/>
      <c r="C931" s="98"/>
      <c r="D931" s="21"/>
      <c r="E931" s="86"/>
      <c r="F931" s="99"/>
      <c r="G931" s="99"/>
      <c r="H931" s="21"/>
      <c r="I931" s="86"/>
      <c r="J931" s="21"/>
      <c r="K931" s="5" t="str">
        <f>IF(AND(LEN(H931)=0, LEN(I931)=0), "", IF(AND(LEN(H931)&gt;0, LEN(I931)=0), "BLANCO", IFERROR(VLOOKUP(I931, BasedatosM9!A:B, 2, FALSE), "BLANCO")))</f>
        <v/>
      </c>
      <c r="W931" s="5" t="str">
        <f>IF(AND(LEN(T931)=0, LEN(U931)=0), "", IF(AND(LEN(T931)&gt;0, LEN(U931)=0), "BLANCO", IFERROR(VLOOKUP(U931, BasedatosM9!A:B, 2, FALSE), "BLANCO")))</f>
        <v/>
      </c>
      <c r="AI931" s="5" t="str">
        <f>IF(AND(LEN(AF931)=0, LEN(AG931)=0), "", IF(AND(LEN(AF931)&gt;0, LEN(AG931)=0), "BLANCO", IFERROR(VLOOKUP(AG931, BasedatosM9!A:B, 2, FALSE), "BLANCO")))</f>
        <v/>
      </c>
      <c r="AU931" s="5" t="str">
        <f>IF(AND(LEN(AR931)=0, LEN(AS931)=0), "", IF(AND(LEN(AR931)&gt;0, LEN(AS931)=0), "BLANCO", IFERROR(VLOOKUP(AS931, BasedatosM9!A:B, 2, FALSE), "BLANCO")))</f>
        <v/>
      </c>
    </row>
    <row r="932" spans="1:47" ht="14.4">
      <c r="A932" s="21"/>
      <c r="B932" s="86"/>
      <c r="C932" s="98"/>
      <c r="D932" s="21"/>
      <c r="E932" s="86"/>
      <c r="F932" s="99"/>
      <c r="G932" s="99"/>
      <c r="H932" s="21"/>
      <c r="I932" s="21"/>
      <c r="J932" s="21"/>
      <c r="K932" s="5" t="str">
        <f>IF(AND(LEN(H932)=0, LEN(I932)=0), "", IF(AND(LEN(H932)&gt;0, LEN(I932)=0), "BLANCO", IFERROR(VLOOKUP(I932, BasedatosM9!A:B, 2, FALSE), "BLANCO")))</f>
        <v/>
      </c>
      <c r="W932" s="5" t="str">
        <f>IF(AND(LEN(T932)=0, LEN(U932)=0), "", IF(AND(LEN(T932)&gt;0, LEN(U932)=0), "BLANCO", IFERROR(VLOOKUP(U932, BasedatosM9!A:B, 2, FALSE), "BLANCO")))</f>
        <v/>
      </c>
      <c r="AI932" s="5" t="str">
        <f>IF(AND(LEN(AF932)=0, LEN(AG932)=0), "", IF(AND(LEN(AF932)&gt;0, LEN(AG932)=0), "BLANCO", IFERROR(VLOOKUP(AG932, BasedatosM9!A:B, 2, FALSE), "BLANCO")))</f>
        <v/>
      </c>
      <c r="AU932" s="5" t="str">
        <f>IF(AND(LEN(AR932)=0, LEN(AS932)=0), "", IF(AND(LEN(AR932)&gt;0, LEN(AS932)=0), "BLANCO", IFERROR(VLOOKUP(AS932, BasedatosM9!A:B, 2, FALSE), "BLANCO")))</f>
        <v/>
      </c>
    </row>
    <row r="933" spans="1:47" ht="14.4">
      <c r="A933" s="21"/>
      <c r="B933" s="86"/>
      <c r="C933" s="98"/>
      <c r="D933" s="21"/>
      <c r="E933" s="86"/>
      <c r="F933" s="99"/>
      <c r="G933" s="99"/>
      <c r="H933" s="21"/>
      <c r="I933" s="86"/>
      <c r="J933" s="21"/>
      <c r="K933" s="5" t="str">
        <f>IF(AND(LEN(H933)=0, LEN(I933)=0), "", IF(AND(LEN(H933)&gt;0, LEN(I933)=0), "BLANCO", IFERROR(VLOOKUP(I933, BasedatosM9!A:B, 2, FALSE), "BLANCO")))</f>
        <v/>
      </c>
      <c r="W933" s="5" t="str">
        <f>IF(AND(LEN(T933)=0, LEN(U933)=0), "", IF(AND(LEN(T933)&gt;0, LEN(U933)=0), "BLANCO", IFERROR(VLOOKUP(U933, BasedatosM9!A:B, 2, FALSE), "BLANCO")))</f>
        <v/>
      </c>
      <c r="AI933" s="5" t="str">
        <f>IF(AND(LEN(AF933)=0, LEN(AG933)=0), "", IF(AND(LEN(AF933)&gt;0, LEN(AG933)=0), "BLANCO", IFERROR(VLOOKUP(AG933, BasedatosM9!A:B, 2, FALSE), "BLANCO")))</f>
        <v/>
      </c>
      <c r="AU933" s="5" t="str">
        <f>IF(AND(LEN(AR933)=0, LEN(AS933)=0), "", IF(AND(LEN(AR933)&gt;0, LEN(AS933)=0), "BLANCO", IFERROR(VLOOKUP(AS933, BasedatosM9!A:B, 2, FALSE), "BLANCO")))</f>
        <v/>
      </c>
    </row>
    <row r="934" spans="1:47" ht="14.4">
      <c r="A934" s="21"/>
      <c r="B934" s="86"/>
      <c r="C934" s="98"/>
      <c r="D934" s="21"/>
      <c r="E934" s="86"/>
      <c r="F934" s="99"/>
      <c r="G934" s="99"/>
      <c r="H934" s="21"/>
      <c r="I934" s="86"/>
      <c r="J934" s="21"/>
      <c r="K934" s="5" t="str">
        <f>IF(AND(LEN(H934)=0, LEN(I934)=0), "", IF(AND(LEN(H934)&gt;0, LEN(I934)=0), "BLANCO", IFERROR(VLOOKUP(I934, BasedatosM9!A:B, 2, FALSE), "BLANCO")))</f>
        <v/>
      </c>
      <c r="W934" s="5" t="str">
        <f>IF(AND(LEN(T934)=0, LEN(U934)=0), "", IF(AND(LEN(T934)&gt;0, LEN(U934)=0), "BLANCO", IFERROR(VLOOKUP(U934, BasedatosM9!A:B, 2, FALSE), "BLANCO")))</f>
        <v/>
      </c>
      <c r="AI934" s="5" t="str">
        <f>IF(AND(LEN(AF934)=0, LEN(AG934)=0), "", IF(AND(LEN(AF934)&gt;0, LEN(AG934)=0), "BLANCO", IFERROR(VLOOKUP(AG934, BasedatosM9!A:B, 2, FALSE), "BLANCO")))</f>
        <v/>
      </c>
      <c r="AU934" s="5" t="str">
        <f>IF(AND(LEN(AR934)=0, LEN(AS934)=0), "", IF(AND(LEN(AR934)&gt;0, LEN(AS934)=0), "BLANCO", IFERROR(VLOOKUP(AS934, BasedatosM9!A:B, 2, FALSE), "BLANCO")))</f>
        <v/>
      </c>
    </row>
    <row r="935" spans="1:47" ht="14.4">
      <c r="A935" s="21"/>
      <c r="B935" s="86"/>
      <c r="C935" s="98"/>
      <c r="D935" s="21"/>
      <c r="E935" s="86"/>
      <c r="F935" s="99"/>
      <c r="G935" s="99"/>
      <c r="H935" s="21"/>
      <c r="I935" s="86"/>
      <c r="J935" s="21"/>
      <c r="K935" s="5" t="str">
        <f>IF(AND(LEN(H935)=0, LEN(I935)=0), "", IF(AND(LEN(H935)&gt;0, LEN(I935)=0), "BLANCO", IFERROR(VLOOKUP(I935, BasedatosM9!A:B, 2, FALSE), "BLANCO")))</f>
        <v/>
      </c>
      <c r="W935" s="5" t="str">
        <f>IF(AND(LEN(T935)=0, LEN(U935)=0), "", IF(AND(LEN(T935)&gt;0, LEN(U935)=0), "BLANCO", IFERROR(VLOOKUP(U935, BasedatosM9!A:B, 2, FALSE), "BLANCO")))</f>
        <v/>
      </c>
      <c r="AI935" s="5" t="str">
        <f>IF(AND(LEN(AF935)=0, LEN(AG935)=0), "", IF(AND(LEN(AF935)&gt;0, LEN(AG935)=0), "BLANCO", IFERROR(VLOOKUP(AG935, BasedatosM9!A:B, 2, FALSE), "BLANCO")))</f>
        <v/>
      </c>
      <c r="AU935" s="5" t="str">
        <f>IF(AND(LEN(AR935)=0, LEN(AS935)=0), "", IF(AND(LEN(AR935)&gt;0, LEN(AS935)=0), "BLANCO", IFERROR(VLOOKUP(AS935, BasedatosM9!A:B, 2, FALSE), "BLANCO")))</f>
        <v/>
      </c>
    </row>
    <row r="936" spans="1:47" ht="14.4">
      <c r="A936" s="21"/>
      <c r="B936" s="86"/>
      <c r="C936" s="98"/>
      <c r="D936" s="21"/>
      <c r="E936" s="86"/>
      <c r="F936" s="99"/>
      <c r="G936" s="99"/>
      <c r="H936" s="21"/>
      <c r="I936" s="86"/>
      <c r="J936" s="21"/>
      <c r="K936" s="5" t="str">
        <f>IF(AND(LEN(H936)=0, LEN(I936)=0), "", IF(AND(LEN(H936)&gt;0, LEN(I936)=0), "BLANCO", IFERROR(VLOOKUP(I936, BasedatosM9!A:B, 2, FALSE), "BLANCO")))</f>
        <v/>
      </c>
      <c r="W936" s="5" t="str">
        <f>IF(AND(LEN(T936)=0, LEN(U936)=0), "", IF(AND(LEN(T936)&gt;0, LEN(U936)=0), "BLANCO", IFERROR(VLOOKUP(U936, BasedatosM9!A:B, 2, FALSE), "BLANCO")))</f>
        <v/>
      </c>
      <c r="AI936" s="5" t="str">
        <f>IF(AND(LEN(AF936)=0, LEN(AG936)=0), "", IF(AND(LEN(AF936)&gt;0, LEN(AG936)=0), "BLANCO", IFERROR(VLOOKUP(AG936, BasedatosM9!A:B, 2, FALSE), "BLANCO")))</f>
        <v/>
      </c>
      <c r="AU936" s="5" t="str">
        <f>IF(AND(LEN(AR936)=0, LEN(AS936)=0), "", IF(AND(LEN(AR936)&gt;0, LEN(AS936)=0), "BLANCO", IFERROR(VLOOKUP(AS936, BasedatosM9!A:B, 2, FALSE), "BLANCO")))</f>
        <v/>
      </c>
    </row>
    <row r="937" spans="1:47" ht="14.4">
      <c r="A937" s="21"/>
      <c r="B937" s="86"/>
      <c r="C937" s="98"/>
      <c r="D937" s="21"/>
      <c r="E937" s="86"/>
      <c r="F937" s="99"/>
      <c r="G937" s="99"/>
      <c r="H937" s="21"/>
      <c r="I937" s="86"/>
      <c r="J937" s="21"/>
      <c r="K937" s="5" t="str">
        <f>IF(AND(LEN(H937)=0, LEN(I937)=0), "", IF(AND(LEN(H937)&gt;0, LEN(I937)=0), "BLANCO", IFERROR(VLOOKUP(I937, BasedatosM9!A:B, 2, FALSE), "BLANCO")))</f>
        <v/>
      </c>
      <c r="W937" s="5" t="str">
        <f>IF(AND(LEN(T937)=0, LEN(U937)=0), "", IF(AND(LEN(T937)&gt;0, LEN(U937)=0), "BLANCO", IFERROR(VLOOKUP(U937, BasedatosM9!A:B, 2, FALSE), "BLANCO")))</f>
        <v/>
      </c>
      <c r="AI937" s="5" t="str">
        <f>IF(AND(LEN(AF937)=0, LEN(AG937)=0), "", IF(AND(LEN(AF937)&gt;0, LEN(AG937)=0), "BLANCO", IFERROR(VLOOKUP(AG937, BasedatosM9!A:B, 2, FALSE), "BLANCO")))</f>
        <v/>
      </c>
      <c r="AU937" s="5" t="str">
        <f>IF(AND(LEN(AR937)=0, LEN(AS937)=0), "", IF(AND(LEN(AR937)&gt;0, LEN(AS937)=0), "BLANCO", IFERROR(VLOOKUP(AS937, BasedatosM9!A:B, 2, FALSE), "BLANCO")))</f>
        <v/>
      </c>
    </row>
    <row r="938" spans="1:47" ht="14.4">
      <c r="A938" s="21"/>
      <c r="B938" s="86"/>
      <c r="C938" s="98"/>
      <c r="D938" s="21"/>
      <c r="E938" s="86"/>
      <c r="F938" s="99"/>
      <c r="G938" s="99"/>
      <c r="H938" s="21"/>
      <c r="I938" s="86"/>
      <c r="J938" s="21"/>
      <c r="K938" s="5" t="str">
        <f>IF(AND(LEN(H938)=0, LEN(I938)=0), "", IF(AND(LEN(H938)&gt;0, LEN(I938)=0), "BLANCO", IFERROR(VLOOKUP(I938, BasedatosM9!A:B, 2, FALSE), "BLANCO")))</f>
        <v/>
      </c>
      <c r="W938" s="5" t="str">
        <f>IF(AND(LEN(T938)=0, LEN(U938)=0), "", IF(AND(LEN(T938)&gt;0, LEN(U938)=0), "BLANCO", IFERROR(VLOOKUP(U938, BasedatosM9!A:B, 2, FALSE), "BLANCO")))</f>
        <v/>
      </c>
      <c r="AI938" s="5" t="str">
        <f>IF(AND(LEN(AF938)=0, LEN(AG938)=0), "", IF(AND(LEN(AF938)&gt;0, LEN(AG938)=0), "BLANCO", IFERROR(VLOOKUP(AG938, BasedatosM9!A:B, 2, FALSE), "BLANCO")))</f>
        <v/>
      </c>
      <c r="AU938" s="5" t="str">
        <f>IF(AND(LEN(AR938)=0, LEN(AS938)=0), "", IF(AND(LEN(AR938)&gt;0, LEN(AS938)=0), "BLANCO", IFERROR(VLOOKUP(AS938, BasedatosM9!A:B, 2, FALSE), "BLANCO")))</f>
        <v/>
      </c>
    </row>
    <row r="939" spans="1:47" ht="14.4">
      <c r="A939" s="21"/>
      <c r="B939" s="86"/>
      <c r="C939" s="98"/>
      <c r="D939" s="21"/>
      <c r="E939" s="86"/>
      <c r="F939" s="99"/>
      <c r="G939" s="99"/>
      <c r="H939" s="21"/>
      <c r="I939" s="86"/>
      <c r="J939" s="21"/>
      <c r="K939" s="5" t="str">
        <f>IF(AND(LEN(H939)=0, LEN(I939)=0), "", IF(AND(LEN(H939)&gt;0, LEN(I939)=0), "BLANCO", IFERROR(VLOOKUP(I939, BasedatosM9!A:B, 2, FALSE), "BLANCO")))</f>
        <v/>
      </c>
      <c r="W939" s="5" t="str">
        <f>IF(AND(LEN(T939)=0, LEN(U939)=0), "", IF(AND(LEN(T939)&gt;0, LEN(U939)=0), "BLANCO", IFERROR(VLOOKUP(U939, BasedatosM9!A:B, 2, FALSE), "BLANCO")))</f>
        <v/>
      </c>
      <c r="AI939" s="5" t="str">
        <f>IF(AND(LEN(AF939)=0, LEN(AG939)=0), "", IF(AND(LEN(AF939)&gt;0, LEN(AG939)=0), "BLANCO", IFERROR(VLOOKUP(AG939, BasedatosM9!A:B, 2, FALSE), "BLANCO")))</f>
        <v/>
      </c>
      <c r="AU939" s="5" t="str">
        <f>IF(AND(LEN(AR939)=0, LEN(AS939)=0), "", IF(AND(LEN(AR939)&gt;0, LEN(AS939)=0), "BLANCO", IFERROR(VLOOKUP(AS939, BasedatosM9!A:B, 2, FALSE), "BLANCO")))</f>
        <v/>
      </c>
    </row>
    <row r="940" spans="1:47" ht="14.4">
      <c r="A940" s="21"/>
      <c r="B940" s="86"/>
      <c r="C940" s="98"/>
      <c r="D940" s="21"/>
      <c r="E940" s="86"/>
      <c r="F940" s="99"/>
      <c r="G940" s="99"/>
      <c r="H940" s="21"/>
      <c r="I940" s="21"/>
      <c r="J940" s="21"/>
      <c r="K940" s="5" t="str">
        <f>IF(AND(LEN(H940)=0, LEN(I940)=0), "", IF(AND(LEN(H940)&gt;0, LEN(I940)=0), "BLANCO", IFERROR(VLOOKUP(I940, BasedatosM9!A:B, 2, FALSE), "BLANCO")))</f>
        <v/>
      </c>
      <c r="W940" s="5" t="str">
        <f>IF(AND(LEN(T940)=0, LEN(U940)=0), "", IF(AND(LEN(T940)&gt;0, LEN(U940)=0), "BLANCO", IFERROR(VLOOKUP(U940, BasedatosM9!A:B, 2, FALSE), "BLANCO")))</f>
        <v/>
      </c>
      <c r="AI940" s="5" t="str">
        <f>IF(AND(LEN(AF940)=0, LEN(AG940)=0), "", IF(AND(LEN(AF940)&gt;0, LEN(AG940)=0), "BLANCO", IFERROR(VLOOKUP(AG940, BasedatosM9!A:B, 2, FALSE), "BLANCO")))</f>
        <v/>
      </c>
      <c r="AU940" s="5" t="str">
        <f>IF(AND(LEN(AR940)=0, LEN(AS940)=0), "", IF(AND(LEN(AR940)&gt;0, LEN(AS940)=0), "BLANCO", IFERROR(VLOOKUP(AS940, BasedatosM9!A:B, 2, FALSE), "BLANCO")))</f>
        <v/>
      </c>
    </row>
    <row r="941" spans="1:47" ht="14.4">
      <c r="A941" s="21"/>
      <c r="B941" s="86"/>
      <c r="C941" s="98"/>
      <c r="D941" s="21"/>
      <c r="E941" s="86"/>
      <c r="F941" s="99"/>
      <c r="G941" s="99"/>
      <c r="H941" s="21"/>
      <c r="I941" s="21"/>
      <c r="J941" s="21"/>
      <c r="K941" s="5" t="str">
        <f>IF(AND(LEN(H941)=0, LEN(I941)=0), "", IF(AND(LEN(H941)&gt;0, LEN(I941)=0), "BLANCO", IFERROR(VLOOKUP(I941, BasedatosM9!A:B, 2, FALSE), "BLANCO")))</f>
        <v/>
      </c>
      <c r="W941" s="5" t="str">
        <f>IF(AND(LEN(T941)=0, LEN(U941)=0), "", IF(AND(LEN(T941)&gt;0, LEN(U941)=0), "BLANCO", IFERROR(VLOOKUP(U941, BasedatosM9!A:B, 2, FALSE), "BLANCO")))</f>
        <v/>
      </c>
      <c r="AI941" s="5" t="str">
        <f>IF(AND(LEN(AF941)=0, LEN(AG941)=0), "", IF(AND(LEN(AF941)&gt;0, LEN(AG941)=0), "BLANCO", IFERROR(VLOOKUP(AG941, BasedatosM9!A:B, 2, FALSE), "BLANCO")))</f>
        <v/>
      </c>
      <c r="AU941" s="5" t="str">
        <f>IF(AND(LEN(AR941)=0, LEN(AS941)=0), "", IF(AND(LEN(AR941)&gt;0, LEN(AS941)=0), "BLANCO", IFERROR(VLOOKUP(AS941, BasedatosM9!A:B, 2, FALSE), "BLANCO")))</f>
        <v/>
      </c>
    </row>
    <row r="942" spans="1:47" ht="14.4">
      <c r="A942" s="21"/>
      <c r="B942" s="86"/>
      <c r="C942" s="98"/>
      <c r="D942" s="21"/>
      <c r="E942" s="86"/>
      <c r="F942" s="99"/>
      <c r="G942" s="99"/>
      <c r="H942" s="21"/>
      <c r="I942" s="86"/>
      <c r="J942" s="21"/>
      <c r="K942" s="5" t="str">
        <f>IF(AND(LEN(H942)=0, LEN(I942)=0), "", IF(AND(LEN(H942)&gt;0, LEN(I942)=0), "BLANCO", IFERROR(VLOOKUP(I942, BasedatosM9!A:B, 2, FALSE), "BLANCO")))</f>
        <v/>
      </c>
      <c r="W942" s="5" t="str">
        <f>IF(AND(LEN(T942)=0, LEN(U942)=0), "", IF(AND(LEN(T942)&gt;0, LEN(U942)=0), "BLANCO", IFERROR(VLOOKUP(U942, BasedatosM9!A:B, 2, FALSE), "BLANCO")))</f>
        <v/>
      </c>
      <c r="AI942" s="5" t="str">
        <f>IF(AND(LEN(AF942)=0, LEN(AG942)=0), "", IF(AND(LEN(AF942)&gt;0, LEN(AG942)=0), "BLANCO", IFERROR(VLOOKUP(AG942, BasedatosM9!A:B, 2, FALSE), "BLANCO")))</f>
        <v/>
      </c>
      <c r="AU942" s="5" t="str">
        <f>IF(AND(LEN(AR942)=0, LEN(AS942)=0), "", IF(AND(LEN(AR942)&gt;0, LEN(AS942)=0), "BLANCO", IFERROR(VLOOKUP(AS942, BasedatosM9!A:B, 2, FALSE), "BLANCO")))</f>
        <v/>
      </c>
    </row>
    <row r="943" spans="1:47" ht="14.4">
      <c r="A943" s="21"/>
      <c r="B943" s="86"/>
      <c r="C943" s="98"/>
      <c r="D943" s="21"/>
      <c r="E943" s="86"/>
      <c r="F943" s="99"/>
      <c r="G943" s="99"/>
      <c r="H943" s="21"/>
      <c r="I943" s="86"/>
      <c r="J943" s="21"/>
      <c r="K943" s="5" t="str">
        <f>IF(AND(LEN(H943)=0, LEN(I943)=0), "", IF(AND(LEN(H943)&gt;0, LEN(I943)=0), "BLANCO", IFERROR(VLOOKUP(I943, BasedatosM9!A:B, 2, FALSE), "BLANCO")))</f>
        <v/>
      </c>
      <c r="W943" s="5" t="str">
        <f>IF(AND(LEN(T943)=0, LEN(U943)=0), "", IF(AND(LEN(T943)&gt;0, LEN(U943)=0), "BLANCO", IFERROR(VLOOKUP(U943, BasedatosM9!A:B, 2, FALSE), "BLANCO")))</f>
        <v/>
      </c>
      <c r="AI943" s="5" t="str">
        <f>IF(AND(LEN(AF943)=0, LEN(AG943)=0), "", IF(AND(LEN(AF943)&gt;0, LEN(AG943)=0), "BLANCO", IFERROR(VLOOKUP(AG943, BasedatosM9!A:B, 2, FALSE), "BLANCO")))</f>
        <v/>
      </c>
      <c r="AU943" s="5" t="str">
        <f>IF(AND(LEN(AR943)=0, LEN(AS943)=0), "", IF(AND(LEN(AR943)&gt;0, LEN(AS943)=0), "BLANCO", IFERROR(VLOOKUP(AS943, BasedatosM9!A:B, 2, FALSE), "BLANCO")))</f>
        <v/>
      </c>
    </row>
    <row r="944" spans="1:47" ht="14.4">
      <c r="A944" s="21"/>
      <c r="B944" s="86"/>
      <c r="C944" s="98"/>
      <c r="D944" s="21"/>
      <c r="E944" s="86"/>
      <c r="F944" s="99"/>
      <c r="G944" s="99"/>
      <c r="H944" s="21"/>
      <c r="I944" s="86"/>
      <c r="J944" s="21"/>
      <c r="K944" s="5" t="str">
        <f>IF(AND(LEN(H944)=0, LEN(I944)=0), "", IF(AND(LEN(H944)&gt;0, LEN(I944)=0), "BLANCO", IFERROR(VLOOKUP(I944, BasedatosM9!A:B, 2, FALSE), "BLANCO")))</f>
        <v/>
      </c>
      <c r="W944" s="5" t="str">
        <f>IF(AND(LEN(T944)=0, LEN(U944)=0), "", IF(AND(LEN(T944)&gt;0, LEN(U944)=0), "BLANCO", IFERROR(VLOOKUP(U944, BasedatosM9!A:B, 2, FALSE), "BLANCO")))</f>
        <v/>
      </c>
      <c r="AI944" s="5" t="str">
        <f>IF(AND(LEN(AF944)=0, LEN(AG944)=0), "", IF(AND(LEN(AF944)&gt;0, LEN(AG944)=0), "BLANCO", IFERROR(VLOOKUP(AG944, BasedatosM9!A:B, 2, FALSE), "BLANCO")))</f>
        <v/>
      </c>
      <c r="AU944" s="5" t="str">
        <f>IF(AND(LEN(AR944)=0, LEN(AS944)=0), "", IF(AND(LEN(AR944)&gt;0, LEN(AS944)=0), "BLANCO", IFERROR(VLOOKUP(AS944, BasedatosM9!A:B, 2, FALSE), "BLANCO")))</f>
        <v/>
      </c>
    </row>
    <row r="945" spans="1:47" ht="14.4">
      <c r="A945" s="21"/>
      <c r="B945" s="86"/>
      <c r="C945" s="98"/>
      <c r="D945" s="21"/>
      <c r="E945" s="86"/>
      <c r="F945" s="99"/>
      <c r="G945" s="99"/>
      <c r="H945" s="21"/>
      <c r="I945" s="86"/>
      <c r="J945" s="21"/>
      <c r="K945" s="5" t="str">
        <f>IF(AND(LEN(H945)=0, LEN(I945)=0), "", IF(AND(LEN(H945)&gt;0, LEN(I945)=0), "BLANCO", IFERROR(VLOOKUP(I945, BasedatosM9!A:B, 2, FALSE), "BLANCO")))</f>
        <v/>
      </c>
      <c r="W945" s="5" t="str">
        <f>IF(AND(LEN(T945)=0, LEN(U945)=0), "", IF(AND(LEN(T945)&gt;0, LEN(U945)=0), "BLANCO", IFERROR(VLOOKUP(U945, BasedatosM9!A:B, 2, FALSE), "BLANCO")))</f>
        <v/>
      </c>
      <c r="AI945" s="5" t="str">
        <f>IF(AND(LEN(AF945)=0, LEN(AG945)=0), "", IF(AND(LEN(AF945)&gt;0, LEN(AG945)=0), "BLANCO", IFERROR(VLOOKUP(AG945, BasedatosM9!A:B, 2, FALSE), "BLANCO")))</f>
        <v/>
      </c>
      <c r="AU945" s="5" t="str">
        <f>IF(AND(LEN(AR945)=0, LEN(AS945)=0), "", IF(AND(LEN(AR945)&gt;0, LEN(AS945)=0), "BLANCO", IFERROR(VLOOKUP(AS945, BasedatosM9!A:B, 2, FALSE), "BLANCO")))</f>
        <v/>
      </c>
    </row>
    <row r="946" spans="1:47" ht="14.4">
      <c r="A946" s="21"/>
      <c r="B946" s="86"/>
      <c r="C946" s="98"/>
      <c r="D946" s="21"/>
      <c r="E946" s="86"/>
      <c r="F946" s="99"/>
      <c r="G946" s="99"/>
      <c r="H946" s="21"/>
      <c r="I946" s="86"/>
      <c r="J946" s="21"/>
      <c r="K946" s="5" t="str">
        <f>IF(AND(LEN(H946)=0, LEN(I946)=0), "", IF(AND(LEN(H946)&gt;0, LEN(I946)=0), "BLANCO", IFERROR(VLOOKUP(I946, BasedatosM9!A:B, 2, FALSE), "BLANCO")))</f>
        <v/>
      </c>
      <c r="W946" s="5" t="str">
        <f>IF(AND(LEN(T946)=0, LEN(U946)=0), "", IF(AND(LEN(T946)&gt;0, LEN(U946)=0), "BLANCO", IFERROR(VLOOKUP(U946, BasedatosM9!A:B, 2, FALSE), "BLANCO")))</f>
        <v/>
      </c>
      <c r="AI946" s="5" t="str">
        <f>IF(AND(LEN(AF946)=0, LEN(AG946)=0), "", IF(AND(LEN(AF946)&gt;0, LEN(AG946)=0), "BLANCO", IFERROR(VLOOKUP(AG946, BasedatosM9!A:B, 2, FALSE), "BLANCO")))</f>
        <v/>
      </c>
      <c r="AU946" s="5" t="str">
        <f>IF(AND(LEN(AR946)=0, LEN(AS946)=0), "", IF(AND(LEN(AR946)&gt;0, LEN(AS946)=0), "BLANCO", IFERROR(VLOOKUP(AS946, BasedatosM9!A:B, 2, FALSE), "BLANCO")))</f>
        <v/>
      </c>
    </row>
    <row r="947" spans="1:47" ht="14.4">
      <c r="A947" s="21"/>
      <c r="B947" s="86"/>
      <c r="C947" s="98"/>
      <c r="D947" s="21"/>
      <c r="E947" s="86"/>
      <c r="F947" s="99"/>
      <c r="G947" s="99"/>
      <c r="H947" s="21"/>
      <c r="I947" s="86"/>
      <c r="J947" s="21"/>
      <c r="K947" s="5" t="str">
        <f>IF(AND(LEN(H947)=0, LEN(I947)=0), "", IF(AND(LEN(H947)&gt;0, LEN(I947)=0), "BLANCO", IFERROR(VLOOKUP(I947, BasedatosM9!A:B, 2, FALSE), "BLANCO")))</f>
        <v/>
      </c>
      <c r="W947" s="5" t="str">
        <f>IF(AND(LEN(T947)=0, LEN(U947)=0), "", IF(AND(LEN(T947)&gt;0, LEN(U947)=0), "BLANCO", IFERROR(VLOOKUP(U947, BasedatosM9!A:B, 2, FALSE), "BLANCO")))</f>
        <v/>
      </c>
      <c r="AI947" s="5" t="str">
        <f>IF(AND(LEN(AF947)=0, LEN(AG947)=0), "", IF(AND(LEN(AF947)&gt;0, LEN(AG947)=0), "BLANCO", IFERROR(VLOOKUP(AG947, BasedatosM9!A:B, 2, FALSE), "BLANCO")))</f>
        <v/>
      </c>
      <c r="AU947" s="5" t="str">
        <f>IF(AND(LEN(AR947)=0, LEN(AS947)=0), "", IF(AND(LEN(AR947)&gt;0, LEN(AS947)=0), "BLANCO", IFERROR(VLOOKUP(AS947, BasedatosM9!A:B, 2, FALSE), "BLANCO")))</f>
        <v/>
      </c>
    </row>
    <row r="948" spans="1:47" ht="14.4">
      <c r="A948" s="21"/>
      <c r="B948" s="86"/>
      <c r="C948" s="98"/>
      <c r="D948" s="21"/>
      <c r="E948" s="86"/>
      <c r="F948" s="99"/>
      <c r="G948" s="99"/>
      <c r="H948" s="21"/>
      <c r="I948" s="21"/>
      <c r="J948" s="21"/>
      <c r="K948" s="5" t="str">
        <f>IF(AND(LEN(H948)=0, LEN(I948)=0), "", IF(AND(LEN(H948)&gt;0, LEN(I948)=0), "BLANCO", IFERROR(VLOOKUP(I948, BasedatosM9!A:B, 2, FALSE), "BLANCO")))</f>
        <v/>
      </c>
      <c r="W948" s="5" t="str">
        <f>IF(AND(LEN(T948)=0, LEN(U948)=0), "", IF(AND(LEN(T948)&gt;0, LEN(U948)=0), "BLANCO", IFERROR(VLOOKUP(U948, BasedatosM9!A:B, 2, FALSE), "BLANCO")))</f>
        <v/>
      </c>
      <c r="AI948" s="5" t="str">
        <f>IF(AND(LEN(AF948)=0, LEN(AG948)=0), "", IF(AND(LEN(AF948)&gt;0, LEN(AG948)=0), "BLANCO", IFERROR(VLOOKUP(AG948, BasedatosM9!A:B, 2, FALSE), "BLANCO")))</f>
        <v/>
      </c>
      <c r="AU948" s="5" t="str">
        <f>IF(AND(LEN(AR948)=0, LEN(AS948)=0), "", IF(AND(LEN(AR948)&gt;0, LEN(AS948)=0), "BLANCO", IFERROR(VLOOKUP(AS948, BasedatosM9!A:B, 2, FALSE), "BLANCO")))</f>
        <v/>
      </c>
    </row>
    <row r="949" spans="1:47" ht="14.4">
      <c r="A949" s="21"/>
      <c r="B949" s="86"/>
      <c r="C949" s="98"/>
      <c r="D949" s="21"/>
      <c r="E949" s="86"/>
      <c r="F949" s="99"/>
      <c r="G949" s="99"/>
      <c r="H949" s="21"/>
      <c r="I949" s="86"/>
      <c r="J949" s="21"/>
      <c r="K949" s="5" t="str">
        <f>IF(AND(LEN(H949)=0, LEN(I949)=0), "", IF(AND(LEN(H949)&gt;0, LEN(I949)=0), "BLANCO", IFERROR(VLOOKUP(I949, BasedatosM9!A:B, 2, FALSE), "BLANCO")))</f>
        <v/>
      </c>
      <c r="W949" s="5" t="str">
        <f>IF(AND(LEN(T949)=0, LEN(U949)=0), "", IF(AND(LEN(T949)&gt;0, LEN(U949)=0), "BLANCO", IFERROR(VLOOKUP(U949, BasedatosM9!A:B, 2, FALSE), "BLANCO")))</f>
        <v/>
      </c>
      <c r="AI949" s="5" t="str">
        <f>IF(AND(LEN(AF949)=0, LEN(AG949)=0), "", IF(AND(LEN(AF949)&gt;0, LEN(AG949)=0), "BLANCO", IFERROR(VLOOKUP(AG949, BasedatosM9!A:B, 2, FALSE), "BLANCO")))</f>
        <v/>
      </c>
      <c r="AU949" s="5" t="str">
        <f>IF(AND(LEN(AR949)=0, LEN(AS949)=0), "", IF(AND(LEN(AR949)&gt;0, LEN(AS949)=0), "BLANCO", IFERROR(VLOOKUP(AS949, BasedatosM9!A:B, 2, FALSE), "BLANCO")))</f>
        <v/>
      </c>
    </row>
    <row r="950" spans="1:47" ht="14.4">
      <c r="A950" s="21"/>
      <c r="B950" s="86"/>
      <c r="C950" s="98"/>
      <c r="D950" s="21"/>
      <c r="E950" s="86"/>
      <c r="F950" s="99"/>
      <c r="G950" s="99"/>
      <c r="H950" s="21"/>
      <c r="I950" s="86"/>
      <c r="J950" s="21"/>
      <c r="K950" s="5" t="str">
        <f>IF(AND(LEN(H950)=0, LEN(I950)=0), "", IF(AND(LEN(H950)&gt;0, LEN(I950)=0), "BLANCO", IFERROR(VLOOKUP(I950, BasedatosM9!A:B, 2, FALSE), "BLANCO")))</f>
        <v/>
      </c>
      <c r="W950" s="5" t="str">
        <f>IF(AND(LEN(T950)=0, LEN(U950)=0), "", IF(AND(LEN(T950)&gt;0, LEN(U950)=0), "BLANCO", IFERROR(VLOOKUP(U950, BasedatosM9!A:B, 2, FALSE), "BLANCO")))</f>
        <v/>
      </c>
      <c r="AI950" s="5" t="str">
        <f>IF(AND(LEN(AF950)=0, LEN(AG950)=0), "", IF(AND(LEN(AF950)&gt;0, LEN(AG950)=0), "BLANCO", IFERROR(VLOOKUP(AG950, BasedatosM9!A:B, 2, FALSE), "BLANCO")))</f>
        <v/>
      </c>
      <c r="AU950" s="5" t="str">
        <f>IF(AND(LEN(AR950)=0, LEN(AS950)=0), "", IF(AND(LEN(AR950)&gt;0, LEN(AS950)=0), "BLANCO", IFERROR(VLOOKUP(AS950, BasedatosM9!A:B, 2, FALSE), "BLANCO")))</f>
        <v/>
      </c>
    </row>
    <row r="951" spans="1:47" ht="14.4">
      <c r="A951" s="21"/>
      <c r="B951" s="86"/>
      <c r="C951" s="98"/>
      <c r="D951" s="21"/>
      <c r="E951" s="86"/>
      <c r="F951" s="99"/>
      <c r="G951" s="99"/>
      <c r="H951" s="21"/>
      <c r="I951" s="21"/>
      <c r="J951" s="21"/>
      <c r="K951" s="5" t="str">
        <f>IF(AND(LEN(H951)=0, LEN(I951)=0), "", IF(AND(LEN(H951)&gt;0, LEN(I951)=0), "BLANCO", IFERROR(VLOOKUP(I951, BasedatosM9!A:B, 2, FALSE), "BLANCO")))</f>
        <v/>
      </c>
      <c r="W951" s="5" t="str">
        <f>IF(AND(LEN(T951)=0, LEN(U951)=0), "", IF(AND(LEN(T951)&gt;0, LEN(U951)=0), "BLANCO", IFERROR(VLOOKUP(U951, BasedatosM9!A:B, 2, FALSE), "BLANCO")))</f>
        <v/>
      </c>
      <c r="AI951" s="5" t="str">
        <f>IF(AND(LEN(AF951)=0, LEN(AG951)=0), "", IF(AND(LEN(AF951)&gt;0, LEN(AG951)=0), "BLANCO", IFERROR(VLOOKUP(AG951, BasedatosM9!A:B, 2, FALSE), "BLANCO")))</f>
        <v/>
      </c>
      <c r="AU951" s="5" t="str">
        <f>IF(AND(LEN(AR951)=0, LEN(AS951)=0), "", IF(AND(LEN(AR951)&gt;0, LEN(AS951)=0), "BLANCO", IFERROR(VLOOKUP(AS951, BasedatosM9!A:B, 2, FALSE), "BLANCO")))</f>
        <v/>
      </c>
    </row>
    <row r="952" spans="1:47" ht="14.4">
      <c r="A952" s="21"/>
      <c r="B952" s="86"/>
      <c r="C952" s="98"/>
      <c r="D952" s="21"/>
      <c r="E952" s="86"/>
      <c r="F952" s="99"/>
      <c r="G952" s="99"/>
      <c r="H952" s="21"/>
      <c r="I952" s="21"/>
      <c r="J952" s="21"/>
      <c r="K952" s="5" t="str">
        <f>IF(AND(LEN(H952)=0, LEN(I952)=0), "", IF(AND(LEN(H952)&gt;0, LEN(I952)=0), "BLANCO", IFERROR(VLOOKUP(I952, BasedatosM9!A:B, 2, FALSE), "BLANCO")))</f>
        <v/>
      </c>
      <c r="W952" s="5" t="str">
        <f>IF(AND(LEN(T952)=0, LEN(U952)=0), "", IF(AND(LEN(T952)&gt;0, LEN(U952)=0), "BLANCO", IFERROR(VLOOKUP(U952, BasedatosM9!A:B, 2, FALSE), "BLANCO")))</f>
        <v/>
      </c>
      <c r="AI952" s="5" t="str">
        <f>IF(AND(LEN(AF952)=0, LEN(AG952)=0), "", IF(AND(LEN(AF952)&gt;0, LEN(AG952)=0), "BLANCO", IFERROR(VLOOKUP(AG952, BasedatosM9!A:B, 2, FALSE), "BLANCO")))</f>
        <v/>
      </c>
      <c r="AU952" s="5" t="str">
        <f>IF(AND(LEN(AR952)=0, LEN(AS952)=0), "", IF(AND(LEN(AR952)&gt;0, LEN(AS952)=0), "BLANCO", IFERROR(VLOOKUP(AS952, BasedatosM9!A:B, 2, FALSE), "BLANCO")))</f>
        <v/>
      </c>
    </row>
    <row r="953" spans="1:47" ht="14.4">
      <c r="A953" s="21"/>
      <c r="B953" s="86"/>
      <c r="C953" s="98"/>
      <c r="D953" s="21"/>
      <c r="E953" s="86"/>
      <c r="F953" s="99"/>
      <c r="G953" s="99"/>
      <c r="H953" s="21"/>
      <c r="I953" s="21"/>
      <c r="J953" s="21"/>
      <c r="K953" s="5" t="str">
        <f>IF(AND(LEN(H953)=0, LEN(I953)=0), "", IF(AND(LEN(H953)&gt;0, LEN(I953)=0), "BLANCO", IFERROR(VLOOKUP(I953, BasedatosM9!A:B, 2, FALSE), "BLANCO")))</f>
        <v/>
      </c>
      <c r="W953" s="5" t="str">
        <f>IF(AND(LEN(T953)=0, LEN(U953)=0), "", IF(AND(LEN(T953)&gt;0, LEN(U953)=0), "BLANCO", IFERROR(VLOOKUP(U953, BasedatosM9!A:B, 2, FALSE), "BLANCO")))</f>
        <v/>
      </c>
      <c r="AI953" s="5" t="str">
        <f>IF(AND(LEN(AF953)=0, LEN(AG953)=0), "", IF(AND(LEN(AF953)&gt;0, LEN(AG953)=0), "BLANCO", IFERROR(VLOOKUP(AG953, BasedatosM9!A:B, 2, FALSE), "BLANCO")))</f>
        <v/>
      </c>
      <c r="AU953" s="5" t="str">
        <f>IF(AND(LEN(AR953)=0, LEN(AS953)=0), "", IF(AND(LEN(AR953)&gt;0, LEN(AS953)=0), "BLANCO", IFERROR(VLOOKUP(AS953, BasedatosM9!A:B, 2, FALSE), "BLANCO")))</f>
        <v/>
      </c>
    </row>
    <row r="954" spans="1:47" ht="14.4">
      <c r="A954" s="21"/>
      <c r="B954" s="86"/>
      <c r="C954" s="98"/>
      <c r="D954" s="21"/>
      <c r="E954" s="86"/>
      <c r="F954" s="99"/>
      <c r="G954" s="99"/>
      <c r="H954" s="21"/>
      <c r="I954" s="21"/>
      <c r="J954" s="21"/>
      <c r="K954" s="5" t="str">
        <f>IF(AND(LEN(H954)=0, LEN(I954)=0), "", IF(AND(LEN(H954)&gt;0, LEN(I954)=0), "BLANCO", IFERROR(VLOOKUP(I954, BasedatosM9!A:B, 2, FALSE), "BLANCO")))</f>
        <v/>
      </c>
      <c r="W954" s="5" t="str">
        <f>IF(AND(LEN(T954)=0, LEN(U954)=0), "", IF(AND(LEN(T954)&gt;0, LEN(U954)=0), "BLANCO", IFERROR(VLOOKUP(U954, BasedatosM9!A:B, 2, FALSE), "BLANCO")))</f>
        <v/>
      </c>
      <c r="AI954" s="5" t="str">
        <f>IF(AND(LEN(AF954)=0, LEN(AG954)=0), "", IF(AND(LEN(AF954)&gt;0, LEN(AG954)=0), "BLANCO", IFERROR(VLOOKUP(AG954, BasedatosM9!A:B, 2, FALSE), "BLANCO")))</f>
        <v/>
      </c>
      <c r="AU954" s="5" t="str">
        <f>IF(AND(LEN(AR954)=0, LEN(AS954)=0), "", IF(AND(LEN(AR954)&gt;0, LEN(AS954)=0), "BLANCO", IFERROR(VLOOKUP(AS954, BasedatosM9!A:B, 2, FALSE), "BLANCO")))</f>
        <v/>
      </c>
    </row>
    <row r="955" spans="1:47" ht="14.4">
      <c r="A955" s="21"/>
      <c r="B955" s="86"/>
      <c r="C955" s="98"/>
      <c r="D955" s="21"/>
      <c r="E955" s="86"/>
      <c r="F955" s="99"/>
      <c r="G955" s="99"/>
      <c r="H955" s="21"/>
      <c r="I955" s="86"/>
      <c r="J955" s="21"/>
      <c r="K955" s="5" t="str">
        <f>IF(AND(LEN(H955)=0, LEN(I955)=0), "", IF(AND(LEN(H955)&gt;0, LEN(I955)=0), "BLANCO", IFERROR(VLOOKUP(I955, BasedatosM9!A:B, 2, FALSE), "BLANCO")))</f>
        <v/>
      </c>
      <c r="W955" s="5" t="str">
        <f>IF(AND(LEN(T955)=0, LEN(U955)=0), "", IF(AND(LEN(T955)&gt;0, LEN(U955)=0), "BLANCO", IFERROR(VLOOKUP(U955, BasedatosM9!A:B, 2, FALSE), "BLANCO")))</f>
        <v/>
      </c>
      <c r="AI955" s="5" t="str">
        <f>IF(AND(LEN(AF955)=0, LEN(AG955)=0), "", IF(AND(LEN(AF955)&gt;0, LEN(AG955)=0), "BLANCO", IFERROR(VLOOKUP(AG955, BasedatosM9!A:B, 2, FALSE), "BLANCO")))</f>
        <v/>
      </c>
      <c r="AU955" s="5" t="str">
        <f>IF(AND(LEN(AR955)=0, LEN(AS955)=0), "", IF(AND(LEN(AR955)&gt;0, LEN(AS955)=0), "BLANCO", IFERROR(VLOOKUP(AS955, BasedatosM9!A:B, 2, FALSE), "BLANCO")))</f>
        <v/>
      </c>
    </row>
    <row r="956" spans="1:47" ht="14.4">
      <c r="A956" s="21"/>
      <c r="B956" s="86"/>
      <c r="C956" s="98"/>
      <c r="D956" s="21"/>
      <c r="E956" s="86"/>
      <c r="F956" s="99"/>
      <c r="G956" s="99"/>
      <c r="H956" s="21"/>
      <c r="I956" s="86"/>
      <c r="J956" s="21"/>
      <c r="K956" s="5" t="str">
        <f>IF(AND(LEN(H956)=0, LEN(I956)=0), "", IF(AND(LEN(H956)&gt;0, LEN(I956)=0), "BLANCO", IFERROR(VLOOKUP(I956, BasedatosM9!A:B, 2, FALSE), "BLANCO")))</f>
        <v/>
      </c>
      <c r="W956" s="5" t="str">
        <f>IF(AND(LEN(T956)=0, LEN(U956)=0), "", IF(AND(LEN(T956)&gt;0, LEN(U956)=0), "BLANCO", IFERROR(VLOOKUP(U956, BasedatosM9!A:B, 2, FALSE), "BLANCO")))</f>
        <v/>
      </c>
      <c r="AI956" s="5" t="str">
        <f>IF(AND(LEN(AF956)=0, LEN(AG956)=0), "", IF(AND(LEN(AF956)&gt;0, LEN(AG956)=0), "BLANCO", IFERROR(VLOOKUP(AG956, BasedatosM9!A:B, 2, FALSE), "BLANCO")))</f>
        <v/>
      </c>
      <c r="AU956" s="5" t="str">
        <f>IF(AND(LEN(AR956)=0, LEN(AS956)=0), "", IF(AND(LEN(AR956)&gt;0, LEN(AS956)=0), "BLANCO", IFERROR(VLOOKUP(AS956, BasedatosM9!A:B, 2, FALSE), "BLANCO")))</f>
        <v/>
      </c>
    </row>
    <row r="957" spans="1:47" ht="14.4">
      <c r="A957" s="21"/>
      <c r="B957" s="86"/>
      <c r="C957" s="98"/>
      <c r="D957" s="21"/>
      <c r="E957" s="86"/>
      <c r="F957" s="99"/>
      <c r="G957" s="99"/>
      <c r="H957" s="21"/>
      <c r="I957" s="86"/>
      <c r="J957" s="21"/>
      <c r="K957" s="5" t="str">
        <f>IF(AND(LEN(H957)=0, LEN(I957)=0), "", IF(AND(LEN(H957)&gt;0, LEN(I957)=0), "BLANCO", IFERROR(VLOOKUP(I957, BasedatosM9!A:B, 2, FALSE), "BLANCO")))</f>
        <v/>
      </c>
      <c r="W957" s="5" t="str">
        <f>IF(AND(LEN(T957)=0, LEN(U957)=0), "", IF(AND(LEN(T957)&gt;0, LEN(U957)=0), "BLANCO", IFERROR(VLOOKUP(U957, BasedatosM9!A:B, 2, FALSE), "BLANCO")))</f>
        <v/>
      </c>
      <c r="AI957" s="5" t="str">
        <f>IF(AND(LEN(AF957)=0, LEN(AG957)=0), "", IF(AND(LEN(AF957)&gt;0, LEN(AG957)=0), "BLANCO", IFERROR(VLOOKUP(AG957, BasedatosM9!A:B, 2, FALSE), "BLANCO")))</f>
        <v/>
      </c>
      <c r="AU957" s="5" t="str">
        <f>IF(AND(LEN(AR957)=0, LEN(AS957)=0), "", IF(AND(LEN(AR957)&gt;0, LEN(AS957)=0), "BLANCO", IFERROR(VLOOKUP(AS957, BasedatosM9!A:B, 2, FALSE), "BLANCO")))</f>
        <v/>
      </c>
    </row>
    <row r="958" spans="1:47" ht="14.4">
      <c r="A958" s="21"/>
      <c r="B958" s="86"/>
      <c r="C958" s="98"/>
      <c r="D958" s="21"/>
      <c r="E958" s="86"/>
      <c r="F958" s="99"/>
      <c r="G958" s="99"/>
      <c r="H958" s="21"/>
      <c r="I958" s="21"/>
      <c r="J958" s="21"/>
      <c r="K958" s="5" t="str">
        <f>IF(AND(LEN(H958)=0, LEN(I958)=0), "", IF(AND(LEN(H958)&gt;0, LEN(I958)=0), "BLANCO", IFERROR(VLOOKUP(I958, BasedatosM9!A:B, 2, FALSE), "BLANCO")))</f>
        <v/>
      </c>
      <c r="W958" s="5" t="str">
        <f>IF(AND(LEN(T958)=0, LEN(U958)=0), "", IF(AND(LEN(T958)&gt;0, LEN(U958)=0), "BLANCO", IFERROR(VLOOKUP(U958, BasedatosM9!A:B, 2, FALSE), "BLANCO")))</f>
        <v/>
      </c>
      <c r="AI958" s="5" t="str">
        <f>IF(AND(LEN(AF958)=0, LEN(AG958)=0), "", IF(AND(LEN(AF958)&gt;0, LEN(AG958)=0), "BLANCO", IFERROR(VLOOKUP(AG958, BasedatosM9!A:B, 2, FALSE), "BLANCO")))</f>
        <v/>
      </c>
      <c r="AU958" s="5" t="str">
        <f>IF(AND(LEN(AR958)=0, LEN(AS958)=0), "", IF(AND(LEN(AR958)&gt;0, LEN(AS958)=0), "BLANCO", IFERROR(VLOOKUP(AS958, BasedatosM9!A:B, 2, FALSE), "BLANCO")))</f>
        <v/>
      </c>
    </row>
    <row r="959" spans="1:47" ht="14.4">
      <c r="A959" s="21"/>
      <c r="B959" s="86"/>
      <c r="C959" s="98"/>
      <c r="D959" s="21"/>
      <c r="E959" s="86"/>
      <c r="F959" s="99"/>
      <c r="G959" s="99"/>
      <c r="H959" s="21"/>
      <c r="I959" s="21"/>
      <c r="J959" s="21"/>
      <c r="K959" s="5" t="str">
        <f>IF(AND(LEN(H959)=0, LEN(I959)=0), "", IF(AND(LEN(H959)&gt;0, LEN(I959)=0), "BLANCO", IFERROR(VLOOKUP(I959, BasedatosM9!A:B, 2, FALSE), "BLANCO")))</f>
        <v/>
      </c>
      <c r="W959" s="5" t="str">
        <f>IF(AND(LEN(T959)=0, LEN(U959)=0), "", IF(AND(LEN(T959)&gt;0, LEN(U959)=0), "BLANCO", IFERROR(VLOOKUP(U959, BasedatosM9!A:B, 2, FALSE), "BLANCO")))</f>
        <v/>
      </c>
      <c r="AI959" s="5" t="str">
        <f>IF(AND(LEN(AF959)=0, LEN(AG959)=0), "", IF(AND(LEN(AF959)&gt;0, LEN(AG959)=0), "BLANCO", IFERROR(VLOOKUP(AG959, BasedatosM9!A:B, 2, FALSE), "BLANCO")))</f>
        <v/>
      </c>
      <c r="AU959" s="5" t="str">
        <f>IF(AND(LEN(AR959)=0, LEN(AS959)=0), "", IF(AND(LEN(AR959)&gt;0, LEN(AS959)=0), "BLANCO", IFERROR(VLOOKUP(AS959, BasedatosM9!A:B, 2, FALSE), "BLANCO")))</f>
        <v/>
      </c>
    </row>
    <row r="960" spans="1:47" ht="14.4">
      <c r="A960" s="21"/>
      <c r="B960" s="86"/>
      <c r="C960" s="98"/>
      <c r="D960" s="21"/>
      <c r="E960" s="86"/>
      <c r="F960" s="99"/>
      <c r="G960" s="99"/>
      <c r="H960" s="21"/>
      <c r="I960" s="86"/>
      <c r="J960" s="21"/>
      <c r="K960" s="5" t="str">
        <f>IF(AND(LEN(H960)=0, LEN(I960)=0), "", IF(AND(LEN(H960)&gt;0, LEN(I960)=0), "BLANCO", IFERROR(VLOOKUP(I960, BasedatosM9!A:B, 2, FALSE), "BLANCO")))</f>
        <v/>
      </c>
      <c r="W960" s="5" t="str">
        <f>IF(AND(LEN(T960)=0, LEN(U960)=0), "", IF(AND(LEN(T960)&gt;0, LEN(U960)=0), "BLANCO", IFERROR(VLOOKUP(U960, BasedatosM9!A:B, 2, FALSE), "BLANCO")))</f>
        <v/>
      </c>
      <c r="AI960" s="5" t="str">
        <f>IF(AND(LEN(AF960)=0, LEN(AG960)=0), "", IF(AND(LEN(AF960)&gt;0, LEN(AG960)=0), "BLANCO", IFERROR(VLOOKUP(AG960, BasedatosM9!A:B, 2, FALSE), "BLANCO")))</f>
        <v/>
      </c>
      <c r="AU960" s="5" t="str">
        <f>IF(AND(LEN(AR960)=0, LEN(AS960)=0), "", IF(AND(LEN(AR960)&gt;0, LEN(AS960)=0), "BLANCO", IFERROR(VLOOKUP(AS960, BasedatosM9!A:B, 2, FALSE), "BLANCO")))</f>
        <v/>
      </c>
    </row>
    <row r="961" spans="1:47" ht="14.4">
      <c r="A961" s="21"/>
      <c r="B961" s="86"/>
      <c r="C961" s="98"/>
      <c r="D961" s="21"/>
      <c r="E961" s="86"/>
      <c r="F961" s="99"/>
      <c r="G961" s="99"/>
      <c r="H961" s="21"/>
      <c r="I961" s="21"/>
      <c r="J961" s="21"/>
      <c r="K961" s="5" t="str">
        <f>IF(AND(LEN(H961)=0, LEN(I961)=0), "", IF(AND(LEN(H961)&gt;0, LEN(I961)=0), "BLANCO", IFERROR(VLOOKUP(I961, BasedatosM9!A:B, 2, FALSE), "BLANCO")))</f>
        <v/>
      </c>
      <c r="W961" s="5" t="str">
        <f>IF(AND(LEN(T961)=0, LEN(U961)=0), "", IF(AND(LEN(T961)&gt;0, LEN(U961)=0), "BLANCO", IFERROR(VLOOKUP(U961, BasedatosM9!A:B, 2, FALSE), "BLANCO")))</f>
        <v/>
      </c>
      <c r="AI961" s="5" t="str">
        <f>IF(AND(LEN(AF961)=0, LEN(AG961)=0), "", IF(AND(LEN(AF961)&gt;0, LEN(AG961)=0), "BLANCO", IFERROR(VLOOKUP(AG961, BasedatosM9!A:B, 2, FALSE), "BLANCO")))</f>
        <v/>
      </c>
      <c r="AU961" s="5" t="str">
        <f>IF(AND(LEN(AR961)=0, LEN(AS961)=0), "", IF(AND(LEN(AR961)&gt;0, LEN(AS961)=0), "BLANCO", IFERROR(VLOOKUP(AS961, BasedatosM9!A:B, 2, FALSE), "BLANCO")))</f>
        <v/>
      </c>
    </row>
    <row r="962" spans="1:47" ht="14.4">
      <c r="A962" s="21"/>
      <c r="B962" s="86"/>
      <c r="C962" s="98"/>
      <c r="D962" s="21"/>
      <c r="E962" s="86"/>
      <c r="F962" s="99"/>
      <c r="G962" s="99"/>
      <c r="H962" s="21"/>
      <c r="I962" s="21"/>
      <c r="J962" s="21"/>
      <c r="K962" s="5" t="str">
        <f>IF(AND(LEN(H962)=0, LEN(I962)=0), "", IF(AND(LEN(H962)&gt;0, LEN(I962)=0), "BLANCO", IFERROR(VLOOKUP(I962, BasedatosM9!A:B, 2, FALSE), "BLANCO")))</f>
        <v/>
      </c>
      <c r="W962" s="5" t="str">
        <f>IF(AND(LEN(T962)=0, LEN(U962)=0), "", IF(AND(LEN(T962)&gt;0, LEN(U962)=0), "BLANCO", IFERROR(VLOOKUP(U962, BasedatosM9!A:B, 2, FALSE), "BLANCO")))</f>
        <v/>
      </c>
      <c r="AI962" s="5" t="str">
        <f>IF(AND(LEN(AF962)=0, LEN(AG962)=0), "", IF(AND(LEN(AF962)&gt;0, LEN(AG962)=0), "BLANCO", IFERROR(VLOOKUP(AG962, BasedatosM9!A:B, 2, FALSE), "BLANCO")))</f>
        <v/>
      </c>
      <c r="AU962" s="5" t="str">
        <f>IF(AND(LEN(AR962)=0, LEN(AS962)=0), "", IF(AND(LEN(AR962)&gt;0, LEN(AS962)=0), "BLANCO", IFERROR(VLOOKUP(AS962, BasedatosM9!A:B, 2, FALSE), "BLANCO")))</f>
        <v/>
      </c>
    </row>
    <row r="963" spans="1:47" ht="14.4">
      <c r="A963" s="21"/>
      <c r="B963" s="86"/>
      <c r="C963" s="98"/>
      <c r="D963" s="21"/>
      <c r="E963" s="86"/>
      <c r="F963" s="99"/>
      <c r="G963" s="99"/>
      <c r="H963" s="21"/>
      <c r="I963" s="86"/>
      <c r="J963" s="21"/>
      <c r="K963" s="5" t="str">
        <f>IF(AND(LEN(H963)=0, LEN(I963)=0), "", IF(AND(LEN(H963)&gt;0, LEN(I963)=0), "BLANCO", IFERROR(VLOOKUP(I963, BasedatosM9!A:B, 2, FALSE), "BLANCO")))</f>
        <v/>
      </c>
      <c r="W963" s="5" t="str">
        <f>IF(AND(LEN(T963)=0, LEN(U963)=0), "", IF(AND(LEN(T963)&gt;0, LEN(U963)=0), "BLANCO", IFERROR(VLOOKUP(U963, BasedatosM9!A:B, 2, FALSE), "BLANCO")))</f>
        <v/>
      </c>
      <c r="AI963" s="5" t="str">
        <f>IF(AND(LEN(AF963)=0, LEN(AG963)=0), "", IF(AND(LEN(AF963)&gt;0, LEN(AG963)=0), "BLANCO", IFERROR(VLOOKUP(AG963, BasedatosM9!A:B, 2, FALSE), "BLANCO")))</f>
        <v/>
      </c>
      <c r="AU963" s="5" t="str">
        <f>IF(AND(LEN(AR963)=0, LEN(AS963)=0), "", IF(AND(LEN(AR963)&gt;0, LEN(AS963)=0), "BLANCO", IFERROR(VLOOKUP(AS963, BasedatosM9!A:B, 2, FALSE), "BLANCO")))</f>
        <v/>
      </c>
    </row>
    <row r="964" spans="1:47" ht="14.4">
      <c r="A964" s="21"/>
      <c r="B964" s="86"/>
      <c r="C964" s="98"/>
      <c r="D964" s="21"/>
      <c r="E964" s="86"/>
      <c r="F964" s="99"/>
      <c r="G964" s="99"/>
      <c r="H964" s="21"/>
      <c r="I964" s="86"/>
      <c r="J964" s="21"/>
      <c r="K964" s="5" t="str">
        <f>IF(AND(LEN(H964)=0, LEN(I964)=0), "", IF(AND(LEN(H964)&gt;0, LEN(I964)=0), "BLANCO", IFERROR(VLOOKUP(I964, BasedatosM9!A:B, 2, FALSE), "BLANCO")))</f>
        <v/>
      </c>
      <c r="W964" s="5" t="str">
        <f>IF(AND(LEN(T964)=0, LEN(U964)=0), "", IF(AND(LEN(T964)&gt;0, LEN(U964)=0), "BLANCO", IFERROR(VLOOKUP(U964, BasedatosM9!A:B, 2, FALSE), "BLANCO")))</f>
        <v/>
      </c>
      <c r="AI964" s="5" t="str">
        <f>IF(AND(LEN(AF964)=0, LEN(AG964)=0), "", IF(AND(LEN(AF964)&gt;0, LEN(AG964)=0), "BLANCO", IFERROR(VLOOKUP(AG964, BasedatosM9!A:B, 2, FALSE), "BLANCO")))</f>
        <v/>
      </c>
      <c r="AU964" s="5" t="str">
        <f>IF(AND(LEN(AR964)=0, LEN(AS964)=0), "", IF(AND(LEN(AR964)&gt;0, LEN(AS964)=0), "BLANCO", IFERROR(VLOOKUP(AS964, BasedatosM9!A:B, 2, FALSE), "BLANCO")))</f>
        <v/>
      </c>
    </row>
    <row r="965" spans="1:47" ht="14.4">
      <c r="A965" s="21"/>
      <c r="B965" s="86"/>
      <c r="C965" s="98"/>
      <c r="D965" s="21"/>
      <c r="E965" s="86"/>
      <c r="F965" s="99"/>
      <c r="G965" s="99"/>
      <c r="H965" s="21"/>
      <c r="I965" s="86"/>
      <c r="J965" s="21"/>
      <c r="K965" s="5" t="str">
        <f>IF(AND(LEN(H965)=0, LEN(I965)=0), "", IF(AND(LEN(H965)&gt;0, LEN(I965)=0), "BLANCO", IFERROR(VLOOKUP(I965, BasedatosM9!A:B, 2, FALSE), "BLANCO")))</f>
        <v/>
      </c>
      <c r="W965" s="5" t="str">
        <f>IF(AND(LEN(T965)=0, LEN(U965)=0), "", IF(AND(LEN(T965)&gt;0, LEN(U965)=0), "BLANCO", IFERROR(VLOOKUP(U965, BasedatosM9!A:B, 2, FALSE), "BLANCO")))</f>
        <v/>
      </c>
      <c r="AI965" s="5" t="str">
        <f>IF(AND(LEN(AF965)=0, LEN(AG965)=0), "", IF(AND(LEN(AF965)&gt;0, LEN(AG965)=0), "BLANCO", IFERROR(VLOOKUP(AG965, BasedatosM9!A:B, 2, FALSE), "BLANCO")))</f>
        <v/>
      </c>
      <c r="AU965" s="5" t="str">
        <f>IF(AND(LEN(AR965)=0, LEN(AS965)=0), "", IF(AND(LEN(AR965)&gt;0, LEN(AS965)=0), "BLANCO", IFERROR(VLOOKUP(AS965, BasedatosM9!A:B, 2, FALSE), "BLANCO")))</f>
        <v/>
      </c>
    </row>
    <row r="966" spans="1:47" ht="14.4">
      <c r="A966" s="21"/>
      <c r="B966" s="86"/>
      <c r="C966" s="98"/>
      <c r="D966" s="21"/>
      <c r="E966" s="86"/>
      <c r="F966" s="99"/>
      <c r="G966" s="99"/>
      <c r="H966" s="21"/>
      <c r="I966" s="86"/>
      <c r="J966" s="21"/>
      <c r="K966" s="5" t="str">
        <f>IF(AND(LEN(H966)=0, LEN(I966)=0), "", IF(AND(LEN(H966)&gt;0, LEN(I966)=0), "BLANCO", IFERROR(VLOOKUP(I966, BasedatosM9!A:B, 2, FALSE), "BLANCO")))</f>
        <v/>
      </c>
      <c r="W966" s="5" t="str">
        <f>IF(AND(LEN(T966)=0, LEN(U966)=0), "", IF(AND(LEN(T966)&gt;0, LEN(U966)=0), "BLANCO", IFERROR(VLOOKUP(U966, BasedatosM9!A:B, 2, FALSE), "BLANCO")))</f>
        <v/>
      </c>
      <c r="AI966" s="5" t="str">
        <f>IF(AND(LEN(AF966)=0, LEN(AG966)=0), "", IF(AND(LEN(AF966)&gt;0, LEN(AG966)=0), "BLANCO", IFERROR(VLOOKUP(AG966, BasedatosM9!A:B, 2, FALSE), "BLANCO")))</f>
        <v/>
      </c>
      <c r="AU966" s="5" t="str">
        <f>IF(AND(LEN(AR966)=0, LEN(AS966)=0), "", IF(AND(LEN(AR966)&gt;0, LEN(AS966)=0), "BLANCO", IFERROR(VLOOKUP(AS966, BasedatosM9!A:B, 2, FALSE), "BLANCO")))</f>
        <v/>
      </c>
    </row>
    <row r="967" spans="1:47" ht="14.4">
      <c r="A967" s="21"/>
      <c r="B967" s="86"/>
      <c r="C967" s="98"/>
      <c r="D967" s="21"/>
      <c r="E967" s="86"/>
      <c r="F967" s="99"/>
      <c r="G967" s="99"/>
      <c r="H967" s="21"/>
      <c r="I967" s="86"/>
      <c r="J967" s="21"/>
      <c r="K967" s="5" t="str">
        <f>IF(AND(LEN(H967)=0, LEN(I967)=0), "", IF(AND(LEN(H967)&gt;0, LEN(I967)=0), "BLANCO", IFERROR(VLOOKUP(I967, BasedatosM9!A:B, 2, FALSE), "BLANCO")))</f>
        <v/>
      </c>
      <c r="W967" s="5" t="str">
        <f>IF(AND(LEN(T967)=0, LEN(U967)=0), "", IF(AND(LEN(T967)&gt;0, LEN(U967)=0), "BLANCO", IFERROR(VLOOKUP(U967, BasedatosM9!A:B, 2, FALSE), "BLANCO")))</f>
        <v/>
      </c>
      <c r="AI967" s="5" t="str">
        <f>IF(AND(LEN(AF967)=0, LEN(AG967)=0), "", IF(AND(LEN(AF967)&gt;0, LEN(AG967)=0), "BLANCO", IFERROR(VLOOKUP(AG967, BasedatosM9!A:B, 2, FALSE), "BLANCO")))</f>
        <v/>
      </c>
      <c r="AU967" s="5" t="str">
        <f>IF(AND(LEN(AR967)=0, LEN(AS967)=0), "", IF(AND(LEN(AR967)&gt;0, LEN(AS967)=0), "BLANCO", IFERROR(VLOOKUP(AS967, BasedatosM9!A:B, 2, FALSE), "BLANCO")))</f>
        <v/>
      </c>
    </row>
    <row r="968" spans="1:47" ht="14.4">
      <c r="A968" s="21"/>
      <c r="B968" s="86"/>
      <c r="C968" s="98"/>
      <c r="D968" s="21"/>
      <c r="E968" s="86"/>
      <c r="F968" s="99"/>
      <c r="G968" s="99"/>
      <c r="H968" s="21"/>
      <c r="I968" s="21"/>
      <c r="J968" s="21"/>
      <c r="K968" s="5" t="str">
        <f>IF(AND(LEN(H968)=0, LEN(I968)=0), "", IF(AND(LEN(H968)&gt;0, LEN(I968)=0), "BLANCO", IFERROR(VLOOKUP(I968, BasedatosM9!A:B, 2, FALSE), "BLANCO")))</f>
        <v/>
      </c>
      <c r="W968" s="5" t="str">
        <f>IF(AND(LEN(T968)=0, LEN(U968)=0), "", IF(AND(LEN(T968)&gt;0, LEN(U968)=0), "BLANCO", IFERROR(VLOOKUP(U968, BasedatosM9!A:B, 2, FALSE), "BLANCO")))</f>
        <v/>
      </c>
      <c r="AI968" s="5" t="str">
        <f>IF(AND(LEN(AF968)=0, LEN(AG968)=0), "", IF(AND(LEN(AF968)&gt;0, LEN(AG968)=0), "BLANCO", IFERROR(VLOOKUP(AG968, BasedatosM9!A:B, 2, FALSE), "BLANCO")))</f>
        <v/>
      </c>
      <c r="AU968" s="5" t="str">
        <f>IF(AND(LEN(AR968)=0, LEN(AS968)=0), "", IF(AND(LEN(AR968)&gt;0, LEN(AS968)=0), "BLANCO", IFERROR(VLOOKUP(AS968, BasedatosM9!A:B, 2, FALSE), "BLANCO")))</f>
        <v/>
      </c>
    </row>
    <row r="969" spans="1:47" ht="14.4">
      <c r="A969" s="21"/>
      <c r="B969" s="86"/>
      <c r="C969" s="98"/>
      <c r="D969" s="21"/>
      <c r="E969" s="86"/>
      <c r="F969" s="99"/>
      <c r="G969" s="99"/>
      <c r="H969" s="21"/>
      <c r="I969" s="21"/>
      <c r="J969" s="21"/>
      <c r="K969" s="5" t="str">
        <f>IF(AND(LEN(H969)=0, LEN(I969)=0), "", IF(AND(LEN(H969)&gt;0, LEN(I969)=0), "BLANCO", IFERROR(VLOOKUP(I969, BasedatosM9!A:B, 2, FALSE), "BLANCO")))</f>
        <v/>
      </c>
      <c r="W969" s="5" t="str">
        <f>IF(AND(LEN(T969)=0, LEN(U969)=0), "", IF(AND(LEN(T969)&gt;0, LEN(U969)=0), "BLANCO", IFERROR(VLOOKUP(U969, BasedatosM9!A:B, 2, FALSE), "BLANCO")))</f>
        <v/>
      </c>
      <c r="AI969" s="5" t="str">
        <f>IF(AND(LEN(AF969)=0, LEN(AG969)=0), "", IF(AND(LEN(AF969)&gt;0, LEN(AG969)=0), "BLANCO", IFERROR(VLOOKUP(AG969, BasedatosM9!A:B, 2, FALSE), "BLANCO")))</f>
        <v/>
      </c>
      <c r="AU969" s="5" t="str">
        <f>IF(AND(LEN(AR969)=0, LEN(AS969)=0), "", IF(AND(LEN(AR969)&gt;0, LEN(AS969)=0), "BLANCO", IFERROR(VLOOKUP(AS969, BasedatosM9!A:B, 2, FALSE), "BLANCO")))</f>
        <v/>
      </c>
    </row>
    <row r="970" spans="1:47" ht="14.4">
      <c r="A970" s="21"/>
      <c r="B970" s="86"/>
      <c r="C970" s="98"/>
      <c r="D970" s="21"/>
      <c r="E970" s="86"/>
      <c r="F970" s="99"/>
      <c r="G970" s="99"/>
      <c r="H970" s="21"/>
      <c r="I970" s="21"/>
      <c r="J970" s="21"/>
      <c r="K970" s="5" t="str">
        <f>IF(AND(LEN(H970)=0, LEN(I970)=0), "", IF(AND(LEN(H970)&gt;0, LEN(I970)=0), "BLANCO", IFERROR(VLOOKUP(I970, BasedatosM9!A:B, 2, FALSE), "BLANCO")))</f>
        <v/>
      </c>
      <c r="W970" s="5" t="str">
        <f>IF(AND(LEN(T970)=0, LEN(U970)=0), "", IF(AND(LEN(T970)&gt;0, LEN(U970)=0), "BLANCO", IFERROR(VLOOKUP(U970, BasedatosM9!A:B, 2, FALSE), "BLANCO")))</f>
        <v/>
      </c>
      <c r="AI970" s="5" t="str">
        <f>IF(AND(LEN(AF970)=0, LEN(AG970)=0), "", IF(AND(LEN(AF970)&gt;0, LEN(AG970)=0), "BLANCO", IFERROR(VLOOKUP(AG970, BasedatosM9!A:B, 2, FALSE), "BLANCO")))</f>
        <v/>
      </c>
      <c r="AU970" s="5" t="str">
        <f>IF(AND(LEN(AR970)=0, LEN(AS970)=0), "", IF(AND(LEN(AR970)&gt;0, LEN(AS970)=0), "BLANCO", IFERROR(VLOOKUP(AS970, BasedatosM9!A:B, 2, FALSE), "BLANCO")))</f>
        <v/>
      </c>
    </row>
    <row r="971" spans="1:47" ht="14.4">
      <c r="A971" s="21"/>
      <c r="B971" s="86"/>
      <c r="C971" s="98"/>
      <c r="D971" s="21"/>
      <c r="E971" s="86"/>
      <c r="F971" s="99"/>
      <c r="G971" s="99"/>
      <c r="H971" s="21"/>
      <c r="I971" s="86"/>
      <c r="J971" s="21"/>
      <c r="K971" s="5" t="str">
        <f>IF(AND(LEN(H971)=0, LEN(I971)=0), "", IF(AND(LEN(H971)&gt;0, LEN(I971)=0), "BLANCO", IFERROR(VLOOKUP(I971, BasedatosM9!A:B, 2, FALSE), "BLANCO")))</f>
        <v/>
      </c>
      <c r="W971" s="5" t="str">
        <f>IF(AND(LEN(T971)=0, LEN(U971)=0), "", IF(AND(LEN(T971)&gt;0, LEN(U971)=0), "BLANCO", IFERROR(VLOOKUP(U971, BasedatosM9!A:B, 2, FALSE), "BLANCO")))</f>
        <v/>
      </c>
      <c r="AI971" s="5" t="str">
        <f>IF(AND(LEN(AF971)=0, LEN(AG971)=0), "", IF(AND(LEN(AF971)&gt;0, LEN(AG971)=0), "BLANCO", IFERROR(VLOOKUP(AG971, BasedatosM9!A:B, 2, FALSE), "BLANCO")))</f>
        <v/>
      </c>
      <c r="AU971" s="5" t="str">
        <f>IF(AND(LEN(AR971)=0, LEN(AS971)=0), "", IF(AND(LEN(AR971)&gt;0, LEN(AS971)=0), "BLANCO", IFERROR(VLOOKUP(AS971, BasedatosM9!A:B, 2, FALSE), "BLANCO")))</f>
        <v/>
      </c>
    </row>
    <row r="972" spans="1:47" ht="14.4">
      <c r="A972" s="21"/>
      <c r="B972" s="86"/>
      <c r="C972" s="98"/>
      <c r="D972" s="21"/>
      <c r="E972" s="86"/>
      <c r="F972" s="99"/>
      <c r="G972" s="99"/>
      <c r="H972" s="21"/>
      <c r="I972" s="86"/>
      <c r="J972" s="21"/>
      <c r="K972" s="5" t="str">
        <f>IF(AND(LEN(H972)=0, LEN(I972)=0), "", IF(AND(LEN(H972)&gt;0, LEN(I972)=0), "BLANCO", IFERROR(VLOOKUP(I972, BasedatosM9!A:B, 2, FALSE), "BLANCO")))</f>
        <v/>
      </c>
      <c r="W972" s="5" t="str">
        <f>IF(AND(LEN(T972)=0, LEN(U972)=0), "", IF(AND(LEN(T972)&gt;0, LEN(U972)=0), "BLANCO", IFERROR(VLOOKUP(U972, BasedatosM9!A:B, 2, FALSE), "BLANCO")))</f>
        <v/>
      </c>
      <c r="AI972" s="5" t="str">
        <f>IF(AND(LEN(AF972)=0, LEN(AG972)=0), "", IF(AND(LEN(AF972)&gt;0, LEN(AG972)=0), "BLANCO", IFERROR(VLOOKUP(AG972, BasedatosM9!A:B, 2, FALSE), "BLANCO")))</f>
        <v/>
      </c>
      <c r="AU972" s="5" t="str">
        <f>IF(AND(LEN(AR972)=0, LEN(AS972)=0), "", IF(AND(LEN(AR972)&gt;0, LEN(AS972)=0), "BLANCO", IFERROR(VLOOKUP(AS972, BasedatosM9!A:B, 2, FALSE), "BLANCO")))</f>
        <v/>
      </c>
    </row>
    <row r="973" spans="1:47" ht="14.4">
      <c r="A973" s="21"/>
      <c r="B973" s="86"/>
      <c r="C973" s="98"/>
      <c r="D973" s="21"/>
      <c r="E973" s="86"/>
      <c r="F973" s="99"/>
      <c r="G973" s="99"/>
      <c r="H973" s="21"/>
      <c r="I973" s="21"/>
      <c r="J973" s="21"/>
      <c r="K973" s="5" t="str">
        <f>IF(AND(LEN(H973)=0, LEN(I973)=0), "", IF(AND(LEN(H973)&gt;0, LEN(I973)=0), "BLANCO", IFERROR(VLOOKUP(I973, BasedatosM9!A:B, 2, FALSE), "BLANCO")))</f>
        <v/>
      </c>
      <c r="W973" s="5" t="str">
        <f>IF(AND(LEN(T973)=0, LEN(U973)=0), "", IF(AND(LEN(T973)&gt;0, LEN(U973)=0), "BLANCO", IFERROR(VLOOKUP(U973, BasedatosM9!A:B, 2, FALSE), "BLANCO")))</f>
        <v/>
      </c>
      <c r="AI973" s="5" t="str">
        <f>IF(AND(LEN(AF973)=0, LEN(AG973)=0), "", IF(AND(LEN(AF973)&gt;0, LEN(AG973)=0), "BLANCO", IFERROR(VLOOKUP(AG973, BasedatosM9!A:B, 2, FALSE), "BLANCO")))</f>
        <v/>
      </c>
      <c r="AU973" s="5" t="str">
        <f>IF(AND(LEN(AR973)=0, LEN(AS973)=0), "", IF(AND(LEN(AR973)&gt;0, LEN(AS973)=0), "BLANCO", IFERROR(VLOOKUP(AS973, BasedatosM9!A:B, 2, FALSE), "BLANCO")))</f>
        <v/>
      </c>
    </row>
    <row r="974" spans="1:47" ht="14.4">
      <c r="A974" s="21"/>
      <c r="B974" s="86"/>
      <c r="C974" s="98"/>
      <c r="D974" s="21"/>
      <c r="E974" s="86"/>
      <c r="F974" s="99"/>
      <c r="G974" s="99"/>
      <c r="H974" s="21"/>
      <c r="I974" s="21"/>
      <c r="J974" s="21"/>
      <c r="K974" s="5" t="str">
        <f>IF(AND(LEN(H974)=0, LEN(I974)=0), "", IF(AND(LEN(H974)&gt;0, LEN(I974)=0), "BLANCO", IFERROR(VLOOKUP(I974, BasedatosM9!A:B, 2, FALSE), "BLANCO")))</f>
        <v/>
      </c>
      <c r="W974" s="5" t="str">
        <f>IF(AND(LEN(T974)=0, LEN(U974)=0), "", IF(AND(LEN(T974)&gt;0, LEN(U974)=0), "BLANCO", IFERROR(VLOOKUP(U974, BasedatosM9!A:B, 2, FALSE), "BLANCO")))</f>
        <v/>
      </c>
      <c r="AI974" s="5" t="str">
        <f>IF(AND(LEN(AF974)=0, LEN(AG974)=0), "", IF(AND(LEN(AF974)&gt;0, LEN(AG974)=0), "BLANCO", IFERROR(VLOOKUP(AG974, BasedatosM9!A:B, 2, FALSE), "BLANCO")))</f>
        <v/>
      </c>
      <c r="AU974" s="5" t="str">
        <f>IF(AND(LEN(AR974)=0, LEN(AS974)=0), "", IF(AND(LEN(AR974)&gt;0, LEN(AS974)=0), "BLANCO", IFERROR(VLOOKUP(AS974, BasedatosM9!A:B, 2, FALSE), "BLANCO")))</f>
        <v/>
      </c>
    </row>
    <row r="975" spans="1:47" ht="14.4">
      <c r="A975" s="21"/>
      <c r="B975" s="86"/>
      <c r="C975" s="98"/>
      <c r="D975" s="21"/>
      <c r="E975" s="86"/>
      <c r="F975" s="99"/>
      <c r="G975" s="99"/>
      <c r="H975" s="21"/>
      <c r="I975" s="21"/>
      <c r="J975" s="21"/>
      <c r="K975" s="5" t="str">
        <f>IF(AND(LEN(H975)=0, LEN(I975)=0), "", IF(AND(LEN(H975)&gt;0, LEN(I975)=0), "BLANCO", IFERROR(VLOOKUP(I975, BasedatosM9!A:B, 2, FALSE), "BLANCO")))</f>
        <v/>
      </c>
      <c r="W975" s="5" t="str">
        <f>IF(AND(LEN(T975)=0, LEN(U975)=0), "", IF(AND(LEN(T975)&gt;0, LEN(U975)=0), "BLANCO", IFERROR(VLOOKUP(U975, BasedatosM9!A:B, 2, FALSE), "BLANCO")))</f>
        <v/>
      </c>
      <c r="AI975" s="5" t="str">
        <f>IF(AND(LEN(AF975)=0, LEN(AG975)=0), "", IF(AND(LEN(AF975)&gt;0, LEN(AG975)=0), "BLANCO", IFERROR(VLOOKUP(AG975, BasedatosM9!A:B, 2, FALSE), "BLANCO")))</f>
        <v/>
      </c>
      <c r="AU975" s="5" t="str">
        <f>IF(AND(LEN(AR975)=0, LEN(AS975)=0), "", IF(AND(LEN(AR975)&gt;0, LEN(AS975)=0), "BLANCO", IFERROR(VLOOKUP(AS975, BasedatosM9!A:B, 2, FALSE), "BLANCO")))</f>
        <v/>
      </c>
    </row>
    <row r="976" spans="1:47" ht="14.4">
      <c r="A976" s="21"/>
      <c r="B976" s="86"/>
      <c r="C976" s="98"/>
      <c r="D976" s="21"/>
      <c r="E976" s="86"/>
      <c r="F976" s="99"/>
      <c r="G976" s="99"/>
      <c r="H976" s="21"/>
      <c r="I976" s="21"/>
      <c r="J976" s="21"/>
      <c r="K976" s="5" t="str">
        <f>IF(AND(LEN(H976)=0, LEN(I976)=0), "", IF(AND(LEN(H976)&gt;0, LEN(I976)=0), "BLANCO", IFERROR(VLOOKUP(I976, BasedatosM9!A:B, 2, FALSE), "BLANCO")))</f>
        <v/>
      </c>
      <c r="W976" s="5" t="str">
        <f>IF(AND(LEN(T976)=0, LEN(U976)=0), "", IF(AND(LEN(T976)&gt;0, LEN(U976)=0), "BLANCO", IFERROR(VLOOKUP(U976, BasedatosM9!A:B, 2, FALSE), "BLANCO")))</f>
        <v/>
      </c>
      <c r="AI976" s="5" t="str">
        <f>IF(AND(LEN(AF976)=0, LEN(AG976)=0), "", IF(AND(LEN(AF976)&gt;0, LEN(AG976)=0), "BLANCO", IFERROR(VLOOKUP(AG976, BasedatosM9!A:B, 2, FALSE), "BLANCO")))</f>
        <v/>
      </c>
      <c r="AU976" s="5" t="str">
        <f>IF(AND(LEN(AR976)=0, LEN(AS976)=0), "", IF(AND(LEN(AR976)&gt;0, LEN(AS976)=0), "BLANCO", IFERROR(VLOOKUP(AS976, BasedatosM9!A:B, 2, FALSE), "BLANCO")))</f>
        <v/>
      </c>
    </row>
    <row r="977" spans="1:47" ht="14.4">
      <c r="A977" s="21"/>
      <c r="B977" s="86"/>
      <c r="C977" s="98"/>
      <c r="D977" s="21"/>
      <c r="E977" s="86"/>
      <c r="F977" s="99"/>
      <c r="G977" s="99"/>
      <c r="H977" s="21"/>
      <c r="I977" s="86"/>
      <c r="J977" s="21"/>
      <c r="K977" s="5" t="str">
        <f>IF(AND(LEN(H977)=0, LEN(I977)=0), "", IF(AND(LEN(H977)&gt;0, LEN(I977)=0), "BLANCO", IFERROR(VLOOKUP(I977, BasedatosM9!A:B, 2, FALSE), "BLANCO")))</f>
        <v/>
      </c>
      <c r="W977" s="5" t="str">
        <f>IF(AND(LEN(T977)=0, LEN(U977)=0), "", IF(AND(LEN(T977)&gt;0, LEN(U977)=0), "BLANCO", IFERROR(VLOOKUP(U977, BasedatosM9!A:B, 2, FALSE), "BLANCO")))</f>
        <v/>
      </c>
      <c r="AI977" s="5" t="str">
        <f>IF(AND(LEN(AF977)=0, LEN(AG977)=0), "", IF(AND(LEN(AF977)&gt;0, LEN(AG977)=0), "BLANCO", IFERROR(VLOOKUP(AG977, BasedatosM9!A:B, 2, FALSE), "BLANCO")))</f>
        <v/>
      </c>
      <c r="AU977" s="5" t="str">
        <f>IF(AND(LEN(AR977)=0, LEN(AS977)=0), "", IF(AND(LEN(AR977)&gt;0, LEN(AS977)=0), "BLANCO", IFERROR(VLOOKUP(AS977, BasedatosM9!A:B, 2, FALSE), "BLANCO")))</f>
        <v/>
      </c>
    </row>
    <row r="978" spans="1:47" ht="14.4">
      <c r="A978" s="21"/>
      <c r="B978" s="86"/>
      <c r="C978" s="98"/>
      <c r="D978" s="21"/>
      <c r="E978" s="86"/>
      <c r="F978" s="99"/>
      <c r="G978" s="99"/>
      <c r="H978" s="21"/>
      <c r="I978" s="21"/>
      <c r="J978" s="21"/>
      <c r="K978" s="5" t="str">
        <f>IF(AND(LEN(H978)=0, LEN(I978)=0), "", IF(AND(LEN(H978)&gt;0, LEN(I978)=0), "BLANCO", IFERROR(VLOOKUP(I978, BasedatosM9!A:B, 2, FALSE), "BLANCO")))</f>
        <v/>
      </c>
      <c r="W978" s="5" t="str">
        <f>IF(AND(LEN(T978)=0, LEN(U978)=0), "", IF(AND(LEN(T978)&gt;0, LEN(U978)=0), "BLANCO", IFERROR(VLOOKUP(U978, BasedatosM9!A:B, 2, FALSE), "BLANCO")))</f>
        <v/>
      </c>
      <c r="AI978" s="5" t="str">
        <f>IF(AND(LEN(AF978)=0, LEN(AG978)=0), "", IF(AND(LEN(AF978)&gt;0, LEN(AG978)=0), "BLANCO", IFERROR(VLOOKUP(AG978, BasedatosM9!A:B, 2, FALSE), "BLANCO")))</f>
        <v/>
      </c>
      <c r="AU978" s="5" t="str">
        <f>IF(AND(LEN(AR978)=0, LEN(AS978)=0), "", IF(AND(LEN(AR978)&gt;0, LEN(AS978)=0), "BLANCO", IFERROR(VLOOKUP(AS978, BasedatosM9!A:B, 2, FALSE), "BLANCO")))</f>
        <v/>
      </c>
    </row>
    <row r="979" spans="1:47" ht="14.4">
      <c r="A979" s="21"/>
      <c r="B979" s="86"/>
      <c r="C979" s="98"/>
      <c r="D979" s="21"/>
      <c r="E979" s="86"/>
      <c r="F979" s="99"/>
      <c r="G979" s="99"/>
      <c r="H979" s="21"/>
      <c r="I979" s="86"/>
      <c r="J979" s="21"/>
      <c r="K979" s="5" t="str">
        <f>IF(AND(LEN(H979)=0, LEN(I979)=0), "", IF(AND(LEN(H979)&gt;0, LEN(I979)=0), "BLANCO", IFERROR(VLOOKUP(I979, BasedatosM9!A:B, 2, FALSE), "BLANCO")))</f>
        <v/>
      </c>
      <c r="W979" s="5" t="str">
        <f>IF(AND(LEN(T979)=0, LEN(U979)=0), "", IF(AND(LEN(T979)&gt;0, LEN(U979)=0), "BLANCO", IFERROR(VLOOKUP(U979, BasedatosM9!A:B, 2, FALSE), "BLANCO")))</f>
        <v/>
      </c>
      <c r="AI979" s="5" t="str">
        <f>IF(AND(LEN(AF979)=0, LEN(AG979)=0), "", IF(AND(LEN(AF979)&gt;0, LEN(AG979)=0), "BLANCO", IFERROR(VLOOKUP(AG979, BasedatosM9!A:B, 2, FALSE), "BLANCO")))</f>
        <v/>
      </c>
      <c r="AU979" s="5" t="str">
        <f>IF(AND(LEN(AR979)=0, LEN(AS979)=0), "", IF(AND(LEN(AR979)&gt;0, LEN(AS979)=0), "BLANCO", IFERROR(VLOOKUP(AS979, BasedatosM9!A:B, 2, FALSE), "BLANCO")))</f>
        <v/>
      </c>
    </row>
    <row r="980" spans="1:47" ht="14.4">
      <c r="A980" s="21"/>
      <c r="B980" s="86"/>
      <c r="C980" s="98"/>
      <c r="D980" s="21"/>
      <c r="E980" s="86"/>
      <c r="F980" s="99"/>
      <c r="G980" s="99"/>
      <c r="H980" s="21"/>
      <c r="I980" s="21"/>
      <c r="J980" s="21"/>
      <c r="K980" s="5" t="str">
        <f>IF(AND(LEN(H980)=0, LEN(I980)=0), "", IF(AND(LEN(H980)&gt;0, LEN(I980)=0), "BLANCO", IFERROR(VLOOKUP(I980, BasedatosM9!A:B, 2, FALSE), "BLANCO")))</f>
        <v/>
      </c>
      <c r="W980" s="5" t="str">
        <f>IF(AND(LEN(T980)=0, LEN(U980)=0), "", IF(AND(LEN(T980)&gt;0, LEN(U980)=0), "BLANCO", IFERROR(VLOOKUP(U980, BasedatosM9!A:B, 2, FALSE), "BLANCO")))</f>
        <v/>
      </c>
      <c r="AI980" s="5" t="str">
        <f>IF(AND(LEN(AF980)=0, LEN(AG980)=0), "", IF(AND(LEN(AF980)&gt;0, LEN(AG980)=0), "BLANCO", IFERROR(VLOOKUP(AG980, BasedatosM9!A:B, 2, FALSE), "BLANCO")))</f>
        <v/>
      </c>
      <c r="AU980" s="5" t="str">
        <f>IF(AND(LEN(AR980)=0, LEN(AS980)=0), "", IF(AND(LEN(AR980)&gt;0, LEN(AS980)=0), "BLANCO", IFERROR(VLOOKUP(AS980, BasedatosM9!A:B, 2, FALSE), "BLANCO")))</f>
        <v/>
      </c>
    </row>
    <row r="981" spans="1:47" ht="14.4">
      <c r="A981" s="21"/>
      <c r="B981" s="86"/>
      <c r="C981" s="98"/>
      <c r="D981" s="21"/>
      <c r="E981" s="86"/>
      <c r="F981" s="99"/>
      <c r="G981" s="99"/>
      <c r="H981" s="21"/>
      <c r="I981" s="86"/>
      <c r="J981" s="21"/>
      <c r="K981" s="5" t="str">
        <f>IF(AND(LEN(H981)=0, LEN(I981)=0), "", IF(AND(LEN(H981)&gt;0, LEN(I981)=0), "BLANCO", IFERROR(VLOOKUP(I981, BasedatosM9!A:B, 2, FALSE), "BLANCO")))</f>
        <v/>
      </c>
      <c r="W981" s="5" t="str">
        <f>IF(AND(LEN(T981)=0, LEN(U981)=0), "", IF(AND(LEN(T981)&gt;0, LEN(U981)=0), "BLANCO", IFERROR(VLOOKUP(U981, BasedatosM9!A:B, 2, FALSE), "BLANCO")))</f>
        <v/>
      </c>
      <c r="AI981" s="5" t="str">
        <f>IF(AND(LEN(AF981)=0, LEN(AG981)=0), "", IF(AND(LEN(AF981)&gt;0, LEN(AG981)=0), "BLANCO", IFERROR(VLOOKUP(AG981, BasedatosM9!A:B, 2, FALSE), "BLANCO")))</f>
        <v/>
      </c>
      <c r="AU981" s="5" t="str">
        <f>IF(AND(LEN(AR981)=0, LEN(AS981)=0), "", IF(AND(LEN(AR981)&gt;0, LEN(AS981)=0), "BLANCO", IFERROR(VLOOKUP(AS981, BasedatosM9!A:B, 2, FALSE), "BLANCO")))</f>
        <v/>
      </c>
    </row>
    <row r="982" spans="1:47" ht="14.4">
      <c r="A982" s="21"/>
      <c r="B982" s="86"/>
      <c r="C982" s="98"/>
      <c r="D982" s="21"/>
      <c r="E982" s="86"/>
      <c r="F982" s="99"/>
      <c r="G982" s="99"/>
      <c r="H982" s="21"/>
      <c r="I982" s="86"/>
      <c r="J982" s="21"/>
      <c r="K982" s="5" t="str">
        <f>IF(AND(LEN(H982)=0, LEN(I982)=0), "", IF(AND(LEN(H982)&gt;0, LEN(I982)=0), "BLANCO", IFERROR(VLOOKUP(I982, BasedatosM9!A:B, 2, FALSE), "BLANCO")))</f>
        <v/>
      </c>
      <c r="W982" s="5" t="str">
        <f>IF(AND(LEN(T982)=0, LEN(U982)=0), "", IF(AND(LEN(T982)&gt;0, LEN(U982)=0), "BLANCO", IFERROR(VLOOKUP(U982, BasedatosM9!A:B, 2, FALSE), "BLANCO")))</f>
        <v/>
      </c>
      <c r="AI982" s="5" t="str">
        <f>IF(AND(LEN(AF982)=0, LEN(AG982)=0), "", IF(AND(LEN(AF982)&gt;0, LEN(AG982)=0), "BLANCO", IFERROR(VLOOKUP(AG982, BasedatosM9!A:B, 2, FALSE), "BLANCO")))</f>
        <v/>
      </c>
      <c r="AU982" s="5" t="str">
        <f>IF(AND(LEN(AR982)=0, LEN(AS982)=0), "", IF(AND(LEN(AR982)&gt;0, LEN(AS982)=0), "BLANCO", IFERROR(VLOOKUP(AS982, BasedatosM9!A:B, 2, FALSE), "BLANCO")))</f>
        <v/>
      </c>
    </row>
    <row r="983" spans="1:47" ht="14.4">
      <c r="A983" s="21"/>
      <c r="B983" s="86"/>
      <c r="C983" s="98"/>
      <c r="D983" s="21"/>
      <c r="E983" s="86"/>
      <c r="F983" s="99"/>
      <c r="G983" s="99"/>
      <c r="H983" s="21"/>
      <c r="I983" s="86"/>
      <c r="J983" s="21"/>
      <c r="K983" s="5" t="str">
        <f>IF(AND(LEN(H983)=0, LEN(I983)=0), "", IF(AND(LEN(H983)&gt;0, LEN(I983)=0), "BLANCO", IFERROR(VLOOKUP(I983, BasedatosM9!A:B, 2, FALSE), "BLANCO")))</f>
        <v/>
      </c>
      <c r="W983" s="5" t="str">
        <f>IF(AND(LEN(T983)=0, LEN(U983)=0), "", IF(AND(LEN(T983)&gt;0, LEN(U983)=0), "BLANCO", IFERROR(VLOOKUP(U983, BasedatosM9!A:B, 2, FALSE), "BLANCO")))</f>
        <v/>
      </c>
      <c r="AI983" s="5" t="str">
        <f>IF(AND(LEN(AF983)=0, LEN(AG983)=0), "", IF(AND(LEN(AF983)&gt;0, LEN(AG983)=0), "BLANCO", IFERROR(VLOOKUP(AG983, BasedatosM9!A:B, 2, FALSE), "BLANCO")))</f>
        <v/>
      </c>
      <c r="AU983" s="5" t="str">
        <f>IF(AND(LEN(AR983)=0, LEN(AS983)=0), "", IF(AND(LEN(AR983)&gt;0, LEN(AS983)=0), "BLANCO", IFERROR(VLOOKUP(AS983, BasedatosM9!A:B, 2, FALSE), "BLANCO")))</f>
        <v/>
      </c>
    </row>
    <row r="984" spans="1:47" ht="14.4">
      <c r="A984" s="21"/>
      <c r="B984" s="86"/>
      <c r="C984" s="98"/>
      <c r="D984" s="21"/>
      <c r="E984" s="86"/>
      <c r="F984" s="99"/>
      <c r="G984" s="99"/>
      <c r="H984" s="21"/>
      <c r="I984" s="21"/>
      <c r="J984" s="21"/>
      <c r="K984" s="5" t="str">
        <f>IF(AND(LEN(H984)=0, LEN(I984)=0), "", IF(AND(LEN(H984)&gt;0, LEN(I984)=0), "BLANCO", IFERROR(VLOOKUP(I984, BasedatosM9!A:B, 2, FALSE), "BLANCO")))</f>
        <v/>
      </c>
      <c r="W984" s="5" t="str">
        <f>IF(AND(LEN(T984)=0, LEN(U984)=0), "", IF(AND(LEN(T984)&gt;0, LEN(U984)=0), "BLANCO", IFERROR(VLOOKUP(U984, BasedatosM9!A:B, 2, FALSE), "BLANCO")))</f>
        <v/>
      </c>
      <c r="AI984" s="5" t="str">
        <f>IF(AND(LEN(AF984)=0, LEN(AG984)=0), "", IF(AND(LEN(AF984)&gt;0, LEN(AG984)=0), "BLANCO", IFERROR(VLOOKUP(AG984, BasedatosM9!A:B, 2, FALSE), "BLANCO")))</f>
        <v/>
      </c>
      <c r="AU984" s="5" t="str">
        <f>IF(AND(LEN(AR984)=0, LEN(AS984)=0), "", IF(AND(LEN(AR984)&gt;0, LEN(AS984)=0), "BLANCO", IFERROR(VLOOKUP(AS984, BasedatosM9!A:B, 2, FALSE), "BLANCO")))</f>
        <v/>
      </c>
    </row>
    <row r="985" spans="1:47" ht="14.4">
      <c r="A985" s="21"/>
      <c r="B985" s="86"/>
      <c r="C985" s="98"/>
      <c r="D985" s="21"/>
      <c r="E985" s="86"/>
      <c r="F985" s="99"/>
      <c r="G985" s="99"/>
      <c r="H985" s="21"/>
      <c r="I985" s="21"/>
      <c r="J985" s="21"/>
      <c r="K985" s="5" t="str">
        <f>IF(AND(LEN(H985)=0, LEN(I985)=0), "", IF(AND(LEN(H985)&gt;0, LEN(I985)=0), "BLANCO", IFERROR(VLOOKUP(I985, BasedatosM9!A:B, 2, FALSE), "BLANCO")))</f>
        <v/>
      </c>
      <c r="W985" s="5" t="str">
        <f>IF(AND(LEN(T985)=0, LEN(U985)=0), "", IF(AND(LEN(T985)&gt;0, LEN(U985)=0), "BLANCO", IFERROR(VLOOKUP(U985, BasedatosM9!A:B, 2, FALSE), "BLANCO")))</f>
        <v/>
      </c>
      <c r="AI985" s="5" t="str">
        <f>IF(AND(LEN(AF985)=0, LEN(AG985)=0), "", IF(AND(LEN(AF985)&gt;0, LEN(AG985)=0), "BLANCO", IFERROR(VLOOKUP(AG985, BasedatosM9!A:B, 2, FALSE), "BLANCO")))</f>
        <v/>
      </c>
      <c r="AU985" s="5" t="str">
        <f>IF(AND(LEN(AR985)=0, LEN(AS985)=0), "", IF(AND(LEN(AR985)&gt;0, LEN(AS985)=0), "BLANCO", IFERROR(VLOOKUP(AS985, BasedatosM9!A:B, 2, FALSE), "BLANCO")))</f>
        <v/>
      </c>
    </row>
    <row r="986" spans="1:47" ht="14.4">
      <c r="A986" s="21"/>
      <c r="B986" s="86"/>
      <c r="C986" s="98"/>
      <c r="D986" s="21"/>
      <c r="E986" s="86"/>
      <c r="F986" s="99"/>
      <c r="G986" s="99"/>
      <c r="H986" s="21"/>
      <c r="I986" s="21"/>
      <c r="J986" s="21"/>
      <c r="K986" s="5" t="str">
        <f>IF(AND(LEN(H986)=0, LEN(I986)=0), "", IF(AND(LEN(H986)&gt;0, LEN(I986)=0), "BLANCO", IFERROR(VLOOKUP(I986, BasedatosM9!A:B, 2, FALSE), "BLANCO")))</f>
        <v/>
      </c>
      <c r="W986" s="5" t="str">
        <f>IF(AND(LEN(T986)=0, LEN(U986)=0), "", IF(AND(LEN(T986)&gt;0, LEN(U986)=0), "BLANCO", IFERROR(VLOOKUP(U986, BasedatosM9!A:B, 2, FALSE), "BLANCO")))</f>
        <v/>
      </c>
      <c r="AI986" s="5" t="str">
        <f>IF(AND(LEN(AF986)=0, LEN(AG986)=0), "", IF(AND(LEN(AF986)&gt;0, LEN(AG986)=0), "BLANCO", IFERROR(VLOOKUP(AG986, BasedatosM9!A:B, 2, FALSE), "BLANCO")))</f>
        <v/>
      </c>
      <c r="AU986" s="5" t="str">
        <f>IF(AND(LEN(AR986)=0, LEN(AS986)=0), "", IF(AND(LEN(AR986)&gt;0, LEN(AS986)=0), "BLANCO", IFERROR(VLOOKUP(AS986, BasedatosM9!A:B, 2, FALSE), "BLANCO")))</f>
        <v/>
      </c>
    </row>
    <row r="987" spans="1:47" ht="14.4">
      <c r="A987" s="21"/>
      <c r="B987" s="86"/>
      <c r="C987" s="98"/>
      <c r="D987" s="21"/>
      <c r="E987" s="86"/>
      <c r="F987" s="99"/>
      <c r="G987" s="99"/>
      <c r="H987" s="21"/>
      <c r="I987" s="21"/>
      <c r="J987" s="21"/>
      <c r="K987" s="5" t="str">
        <f>IF(AND(LEN(H987)=0, LEN(I987)=0), "", IF(AND(LEN(H987)&gt;0, LEN(I987)=0), "BLANCO", IFERROR(VLOOKUP(I987, BasedatosM9!A:B, 2, FALSE), "BLANCO")))</f>
        <v/>
      </c>
      <c r="W987" s="5" t="str">
        <f>IF(AND(LEN(T987)=0, LEN(U987)=0), "", IF(AND(LEN(T987)&gt;0, LEN(U987)=0), "BLANCO", IFERROR(VLOOKUP(U987, BasedatosM9!A:B, 2, FALSE), "BLANCO")))</f>
        <v/>
      </c>
      <c r="AI987" s="5" t="str">
        <f>IF(AND(LEN(AF987)=0, LEN(AG987)=0), "", IF(AND(LEN(AF987)&gt;0, LEN(AG987)=0), "BLANCO", IFERROR(VLOOKUP(AG987, BasedatosM9!A:B, 2, FALSE), "BLANCO")))</f>
        <v/>
      </c>
      <c r="AU987" s="5" t="str">
        <f>IF(AND(LEN(AR987)=0, LEN(AS987)=0), "", IF(AND(LEN(AR987)&gt;0, LEN(AS987)=0), "BLANCO", IFERROR(VLOOKUP(AS987, BasedatosM9!A:B, 2, FALSE), "BLANCO")))</f>
        <v/>
      </c>
    </row>
    <row r="988" spans="1:47" ht="14.4">
      <c r="A988" s="21"/>
      <c r="B988" s="86"/>
      <c r="C988" s="98"/>
      <c r="D988" s="21"/>
      <c r="E988" s="86"/>
      <c r="F988" s="99"/>
      <c r="G988" s="99"/>
      <c r="H988" s="21"/>
      <c r="I988" s="21"/>
      <c r="J988" s="21"/>
      <c r="K988" s="5" t="str">
        <f>IF(AND(LEN(H988)=0, LEN(I988)=0), "", IF(AND(LEN(H988)&gt;0, LEN(I988)=0), "BLANCO", IFERROR(VLOOKUP(I988, BasedatosM9!A:B, 2, FALSE), "BLANCO")))</f>
        <v/>
      </c>
      <c r="W988" s="5" t="str">
        <f>IF(AND(LEN(T988)=0, LEN(U988)=0), "", IF(AND(LEN(T988)&gt;0, LEN(U988)=0), "BLANCO", IFERROR(VLOOKUP(U988, BasedatosM9!A:B, 2, FALSE), "BLANCO")))</f>
        <v/>
      </c>
      <c r="AI988" s="5" t="str">
        <f>IF(AND(LEN(AF988)=0, LEN(AG988)=0), "", IF(AND(LEN(AF988)&gt;0, LEN(AG988)=0), "BLANCO", IFERROR(VLOOKUP(AG988, BasedatosM9!A:B, 2, FALSE), "BLANCO")))</f>
        <v/>
      </c>
      <c r="AU988" s="5" t="str">
        <f>IF(AND(LEN(AR988)=0, LEN(AS988)=0), "", IF(AND(LEN(AR988)&gt;0, LEN(AS988)=0), "BLANCO", IFERROR(VLOOKUP(AS988, BasedatosM9!A:B, 2, FALSE), "BLANCO")))</f>
        <v/>
      </c>
    </row>
    <row r="989" spans="1:47" ht="14.4">
      <c r="A989" s="21"/>
      <c r="B989" s="86"/>
      <c r="C989" s="98"/>
      <c r="D989" s="21"/>
      <c r="E989" s="86"/>
      <c r="F989" s="99"/>
      <c r="G989" s="99"/>
      <c r="H989" s="21"/>
      <c r="I989" s="86"/>
      <c r="J989" s="21"/>
      <c r="K989" s="5" t="str">
        <f>IF(AND(LEN(H989)=0, LEN(I989)=0), "", IF(AND(LEN(H989)&gt;0, LEN(I989)=0), "BLANCO", IFERROR(VLOOKUP(I989, BasedatosM9!A:B, 2, FALSE), "BLANCO")))</f>
        <v/>
      </c>
      <c r="W989" s="5" t="str">
        <f>IF(AND(LEN(T989)=0, LEN(U989)=0), "", IF(AND(LEN(T989)&gt;0, LEN(U989)=0), "BLANCO", IFERROR(VLOOKUP(U989, BasedatosM9!A:B, 2, FALSE), "BLANCO")))</f>
        <v/>
      </c>
      <c r="AI989" s="5" t="str">
        <f>IF(AND(LEN(AF989)=0, LEN(AG989)=0), "", IF(AND(LEN(AF989)&gt;0, LEN(AG989)=0), "BLANCO", IFERROR(VLOOKUP(AG989, BasedatosM9!A:B, 2, FALSE), "BLANCO")))</f>
        <v/>
      </c>
      <c r="AU989" s="5" t="str">
        <f>IF(AND(LEN(AR989)=0, LEN(AS989)=0), "", IF(AND(LEN(AR989)&gt;0, LEN(AS989)=0), "BLANCO", IFERROR(VLOOKUP(AS989, BasedatosM9!A:B, 2, FALSE), "BLANCO")))</f>
        <v/>
      </c>
    </row>
    <row r="990" spans="1:47" ht="14.4">
      <c r="A990" s="21"/>
      <c r="B990" s="86"/>
      <c r="C990" s="98"/>
      <c r="D990" s="21"/>
      <c r="E990" s="86"/>
      <c r="F990" s="99"/>
      <c r="G990" s="99"/>
      <c r="H990" s="21"/>
      <c r="I990" s="21"/>
      <c r="J990" s="21"/>
      <c r="K990" s="5" t="str">
        <f>IF(AND(LEN(H990)=0, LEN(I990)=0), "", IF(AND(LEN(H990)&gt;0, LEN(I990)=0), "BLANCO", IFERROR(VLOOKUP(I990, BasedatosM9!A:B, 2, FALSE), "BLANCO")))</f>
        <v/>
      </c>
      <c r="W990" s="5" t="str">
        <f>IF(AND(LEN(T990)=0, LEN(U990)=0), "", IF(AND(LEN(T990)&gt;0, LEN(U990)=0), "BLANCO", IFERROR(VLOOKUP(U990, BasedatosM9!A:B, 2, FALSE), "BLANCO")))</f>
        <v/>
      </c>
      <c r="AI990" s="5" t="str">
        <f>IF(AND(LEN(AF990)=0, LEN(AG990)=0), "", IF(AND(LEN(AF990)&gt;0, LEN(AG990)=0), "BLANCO", IFERROR(VLOOKUP(AG990, BasedatosM9!A:B, 2, FALSE), "BLANCO")))</f>
        <v/>
      </c>
      <c r="AU990" s="5" t="str">
        <f>IF(AND(LEN(AR990)=0, LEN(AS990)=0), "", IF(AND(LEN(AR990)&gt;0, LEN(AS990)=0), "BLANCO", IFERROR(VLOOKUP(AS990, BasedatosM9!A:B, 2, FALSE), "BLANCO")))</f>
        <v/>
      </c>
    </row>
    <row r="991" spans="1:47" ht="14.4">
      <c r="A991" s="21"/>
      <c r="B991" s="86"/>
      <c r="C991" s="98"/>
      <c r="D991" s="21"/>
      <c r="E991" s="86"/>
      <c r="F991" s="99"/>
      <c r="G991" s="99"/>
      <c r="H991" s="21"/>
      <c r="I991" s="21"/>
      <c r="J991" s="21"/>
      <c r="K991" s="5" t="str">
        <f>IF(AND(LEN(H991)=0, LEN(I991)=0), "", IF(AND(LEN(H991)&gt;0, LEN(I991)=0), "BLANCO", IFERROR(VLOOKUP(I991, BasedatosM9!A:B, 2, FALSE), "BLANCO")))</f>
        <v/>
      </c>
      <c r="W991" s="5" t="str">
        <f>IF(AND(LEN(T991)=0, LEN(U991)=0), "", IF(AND(LEN(T991)&gt;0, LEN(U991)=0), "BLANCO", IFERROR(VLOOKUP(U991, BasedatosM9!A:B, 2, FALSE), "BLANCO")))</f>
        <v/>
      </c>
      <c r="AI991" s="5" t="str">
        <f>IF(AND(LEN(AF991)=0, LEN(AG991)=0), "", IF(AND(LEN(AF991)&gt;0, LEN(AG991)=0), "BLANCO", IFERROR(VLOOKUP(AG991, BasedatosM9!A:B, 2, FALSE), "BLANCO")))</f>
        <v/>
      </c>
      <c r="AU991" s="5" t="str">
        <f>IF(AND(LEN(AR991)=0, LEN(AS991)=0), "", IF(AND(LEN(AR991)&gt;0, LEN(AS991)=0), "BLANCO", IFERROR(VLOOKUP(AS991, BasedatosM9!A:B, 2, FALSE), "BLANCO")))</f>
        <v/>
      </c>
    </row>
    <row r="992" spans="1:47" ht="14.4">
      <c r="A992" s="21"/>
      <c r="B992" s="86"/>
      <c r="C992" s="98"/>
      <c r="D992" s="21"/>
      <c r="E992" s="86"/>
      <c r="F992" s="99"/>
      <c r="G992" s="99"/>
      <c r="H992" s="21"/>
      <c r="I992" s="86"/>
      <c r="J992" s="21"/>
      <c r="K992" s="5" t="str">
        <f>IF(AND(LEN(H992)=0, LEN(I992)=0), "", IF(AND(LEN(H992)&gt;0, LEN(I992)=0), "BLANCO", IFERROR(VLOOKUP(I992, BasedatosM9!A:B, 2, FALSE), "BLANCO")))</f>
        <v/>
      </c>
      <c r="W992" s="5" t="str">
        <f>IF(AND(LEN(T992)=0, LEN(U992)=0), "", IF(AND(LEN(T992)&gt;0, LEN(U992)=0), "BLANCO", IFERROR(VLOOKUP(U992, BasedatosM9!A:B, 2, FALSE), "BLANCO")))</f>
        <v/>
      </c>
      <c r="AI992" s="5" t="str">
        <f>IF(AND(LEN(AF992)=0, LEN(AG992)=0), "", IF(AND(LEN(AF992)&gt;0, LEN(AG992)=0), "BLANCO", IFERROR(VLOOKUP(AG992, BasedatosM9!A:B, 2, FALSE), "BLANCO")))</f>
        <v/>
      </c>
      <c r="AU992" s="5" t="str">
        <f>IF(AND(LEN(AR992)=0, LEN(AS992)=0), "", IF(AND(LEN(AR992)&gt;0, LEN(AS992)=0), "BLANCO", IFERROR(VLOOKUP(AS992, BasedatosM9!A:B, 2, FALSE), "BLANCO")))</f>
        <v/>
      </c>
    </row>
    <row r="993" spans="1:47" ht="14.4">
      <c r="A993" s="21"/>
      <c r="B993" s="86"/>
      <c r="C993" s="98"/>
      <c r="D993" s="21"/>
      <c r="E993" s="86"/>
      <c r="F993" s="99"/>
      <c r="G993" s="99"/>
      <c r="H993" s="21"/>
      <c r="I993" s="21"/>
      <c r="J993" s="21"/>
      <c r="K993" s="5" t="str">
        <f>IF(AND(LEN(H993)=0, LEN(I993)=0), "", IF(AND(LEN(H993)&gt;0, LEN(I993)=0), "BLANCO", IFERROR(VLOOKUP(I993, BasedatosM9!A:B, 2, FALSE), "BLANCO")))</f>
        <v/>
      </c>
      <c r="W993" s="5" t="str">
        <f>IF(AND(LEN(T993)=0, LEN(U993)=0), "", IF(AND(LEN(T993)&gt;0, LEN(U993)=0), "BLANCO", IFERROR(VLOOKUP(U993, BasedatosM9!A:B, 2, FALSE), "BLANCO")))</f>
        <v/>
      </c>
      <c r="AI993" s="5" t="str">
        <f>IF(AND(LEN(AF993)=0, LEN(AG993)=0), "", IF(AND(LEN(AF993)&gt;0, LEN(AG993)=0), "BLANCO", IFERROR(VLOOKUP(AG993, BasedatosM9!A:B, 2, FALSE), "BLANCO")))</f>
        <v/>
      </c>
      <c r="AU993" s="5" t="str">
        <f>IF(AND(LEN(AR993)=0, LEN(AS993)=0), "", IF(AND(LEN(AR993)&gt;0, LEN(AS993)=0), "BLANCO", IFERROR(VLOOKUP(AS993, BasedatosM9!A:B, 2, FALSE), "BLANCO")))</f>
        <v/>
      </c>
    </row>
    <row r="994" spans="1:47" ht="14.4">
      <c r="A994" s="21"/>
      <c r="B994" s="86"/>
      <c r="C994" s="98"/>
      <c r="D994" s="21"/>
      <c r="E994" s="86"/>
      <c r="F994" s="99"/>
      <c r="G994" s="99"/>
      <c r="H994" s="21"/>
      <c r="I994" s="86"/>
      <c r="J994" s="21"/>
      <c r="K994" s="5" t="str">
        <f>IF(AND(LEN(H994)=0, LEN(I994)=0), "", IF(AND(LEN(H994)&gt;0, LEN(I994)=0), "BLANCO", IFERROR(VLOOKUP(I994, BasedatosM9!A:B, 2, FALSE), "BLANCO")))</f>
        <v/>
      </c>
      <c r="W994" s="5" t="str">
        <f>IF(AND(LEN(T994)=0, LEN(U994)=0), "", IF(AND(LEN(T994)&gt;0, LEN(U994)=0), "BLANCO", IFERROR(VLOOKUP(U994, BasedatosM9!A:B, 2, FALSE), "BLANCO")))</f>
        <v/>
      </c>
      <c r="AI994" s="5" t="str">
        <f>IF(AND(LEN(AF994)=0, LEN(AG994)=0), "", IF(AND(LEN(AF994)&gt;0, LEN(AG994)=0), "BLANCO", IFERROR(VLOOKUP(AG994, BasedatosM9!A:B, 2, FALSE), "BLANCO")))</f>
        <v/>
      </c>
      <c r="AU994" s="5" t="str">
        <f>IF(AND(LEN(AR994)=0, LEN(AS994)=0), "", IF(AND(LEN(AR994)&gt;0, LEN(AS994)=0), "BLANCO", IFERROR(VLOOKUP(AS994, BasedatosM9!A:B, 2, FALSE), "BLANCO")))</f>
        <v/>
      </c>
    </row>
    <row r="995" spans="1:47" ht="14.4">
      <c r="A995" s="21"/>
      <c r="B995" s="86"/>
      <c r="C995" s="98"/>
      <c r="D995" s="21"/>
      <c r="E995" s="86"/>
      <c r="F995" s="99"/>
      <c r="G995" s="99"/>
      <c r="H995" s="21"/>
      <c r="I995" s="86"/>
      <c r="J995" s="21"/>
      <c r="K995" s="5" t="str">
        <f>IF(AND(LEN(H995)=0, LEN(I995)=0), "", IF(AND(LEN(H995)&gt;0, LEN(I995)=0), "BLANCO", IFERROR(VLOOKUP(I995, BasedatosM9!A:B, 2, FALSE), "BLANCO")))</f>
        <v/>
      </c>
      <c r="W995" s="5" t="str">
        <f>IF(AND(LEN(T995)=0, LEN(U995)=0), "", IF(AND(LEN(T995)&gt;0, LEN(U995)=0), "BLANCO", IFERROR(VLOOKUP(U995, BasedatosM9!A:B, 2, FALSE), "BLANCO")))</f>
        <v/>
      </c>
      <c r="AI995" s="5" t="str">
        <f>IF(AND(LEN(AF995)=0, LEN(AG995)=0), "", IF(AND(LEN(AF995)&gt;0, LEN(AG995)=0), "BLANCO", IFERROR(VLOOKUP(AG995, BasedatosM9!A:B, 2, FALSE), "BLANCO")))</f>
        <v/>
      </c>
      <c r="AU995" s="5" t="str">
        <f>IF(AND(LEN(AR995)=0, LEN(AS995)=0), "", IF(AND(LEN(AR995)&gt;0, LEN(AS995)=0), "BLANCO", IFERROR(VLOOKUP(AS995, BasedatosM9!A:B, 2, FALSE), "BLANCO")))</f>
        <v/>
      </c>
    </row>
    <row r="996" spans="1:47" ht="14.4">
      <c r="A996" s="21"/>
      <c r="B996" s="86"/>
      <c r="C996" s="98"/>
      <c r="D996" s="21"/>
      <c r="E996" s="86"/>
      <c r="F996" s="99"/>
      <c r="G996" s="99"/>
      <c r="H996" s="21"/>
      <c r="I996" s="86"/>
      <c r="J996" s="21"/>
      <c r="K996" s="5" t="str">
        <f>IF(AND(LEN(H996)=0, LEN(I996)=0), "", IF(AND(LEN(H996)&gt;0, LEN(I996)=0), "BLANCO", IFERROR(VLOOKUP(I996, BasedatosM9!A:B, 2, FALSE), "BLANCO")))</f>
        <v/>
      </c>
      <c r="W996" s="5" t="str">
        <f>IF(AND(LEN(T996)=0, LEN(U996)=0), "", IF(AND(LEN(T996)&gt;0, LEN(U996)=0), "BLANCO", IFERROR(VLOOKUP(U996, BasedatosM9!A:B, 2, FALSE), "BLANCO")))</f>
        <v/>
      </c>
      <c r="AI996" s="5" t="str">
        <f>IF(AND(LEN(AF996)=0, LEN(AG996)=0), "", IF(AND(LEN(AF996)&gt;0, LEN(AG996)=0), "BLANCO", IFERROR(VLOOKUP(AG996, BasedatosM9!A:B, 2, FALSE), "BLANCO")))</f>
        <v/>
      </c>
      <c r="AU996" s="5" t="str">
        <f>IF(AND(LEN(AR996)=0, LEN(AS996)=0), "", IF(AND(LEN(AR996)&gt;0, LEN(AS996)=0), "BLANCO", IFERROR(VLOOKUP(AS996, BasedatosM9!A:B, 2, FALSE), "BLANCO")))</f>
        <v/>
      </c>
    </row>
    <row r="997" spans="1:47" ht="14.4">
      <c r="A997" s="21"/>
      <c r="B997" s="86"/>
      <c r="C997" s="98"/>
      <c r="D997" s="21"/>
      <c r="E997" s="86"/>
      <c r="F997" s="99"/>
      <c r="G997" s="99"/>
      <c r="H997" s="21"/>
      <c r="I997" s="86"/>
      <c r="J997" s="21"/>
      <c r="K997" s="5" t="str">
        <f>IF(AND(LEN(H997)=0, LEN(I997)=0), "", IF(AND(LEN(H997)&gt;0, LEN(I997)=0), "BLANCO", IFERROR(VLOOKUP(I997, BasedatosM9!A:B, 2, FALSE), "BLANCO")))</f>
        <v/>
      </c>
      <c r="W997" s="5" t="str">
        <f>IF(AND(LEN(T997)=0, LEN(U997)=0), "", IF(AND(LEN(T997)&gt;0, LEN(U997)=0), "BLANCO", IFERROR(VLOOKUP(U997, BasedatosM9!A:B, 2, FALSE), "BLANCO")))</f>
        <v/>
      </c>
      <c r="AI997" s="5" t="str">
        <f>IF(AND(LEN(AF997)=0, LEN(AG997)=0), "", IF(AND(LEN(AF997)&gt;0, LEN(AG997)=0), "BLANCO", IFERROR(VLOOKUP(AG997, BasedatosM9!A:B, 2, FALSE), "BLANCO")))</f>
        <v/>
      </c>
      <c r="AU997" s="5" t="str">
        <f>IF(AND(LEN(AR997)=0, LEN(AS997)=0), "", IF(AND(LEN(AR997)&gt;0, LEN(AS997)=0), "BLANCO", IFERROR(VLOOKUP(AS997, BasedatosM9!A:B, 2, FALSE), "BLANCO")))</f>
        <v/>
      </c>
    </row>
    <row r="998" spans="1:47" ht="14.4">
      <c r="A998" s="21"/>
      <c r="B998" s="86"/>
      <c r="C998" s="98"/>
      <c r="D998" s="21"/>
      <c r="E998" s="86"/>
      <c r="F998" s="99"/>
      <c r="G998" s="99"/>
      <c r="H998" s="21"/>
      <c r="I998" s="86"/>
      <c r="J998" s="21"/>
      <c r="K998" s="5" t="str">
        <f>IF(AND(LEN(H998)=0, LEN(I998)=0), "", IF(AND(LEN(H998)&gt;0, LEN(I998)=0), "BLANCO", IFERROR(VLOOKUP(I998, BasedatosM9!A:B, 2, FALSE), "BLANCO")))</f>
        <v/>
      </c>
      <c r="W998" s="5" t="str">
        <f>IF(AND(LEN(T998)=0, LEN(U998)=0), "", IF(AND(LEN(T998)&gt;0, LEN(U998)=0), "BLANCO", IFERROR(VLOOKUP(U998, BasedatosM9!A:B, 2, FALSE), "BLANCO")))</f>
        <v/>
      </c>
      <c r="AI998" s="5" t="str">
        <f>IF(AND(LEN(AF998)=0, LEN(AG998)=0), "", IF(AND(LEN(AF998)&gt;0, LEN(AG998)=0), "BLANCO", IFERROR(VLOOKUP(AG998, BasedatosM9!A:B, 2, FALSE), "BLANCO")))</f>
        <v/>
      </c>
      <c r="AU998" s="5" t="str">
        <f>IF(AND(LEN(AR998)=0, LEN(AS998)=0), "", IF(AND(LEN(AR998)&gt;0, LEN(AS998)=0), "BLANCO", IFERROR(VLOOKUP(AS998, BasedatosM9!A:B, 2, FALSE), "BLANCO")))</f>
        <v/>
      </c>
    </row>
    <row r="999" spans="1:47" ht="14.4">
      <c r="A999" s="21"/>
      <c r="B999" s="86"/>
      <c r="C999" s="98"/>
      <c r="D999" s="21"/>
      <c r="E999" s="86"/>
      <c r="F999" s="99"/>
      <c r="G999" s="99"/>
      <c r="H999" s="21"/>
      <c r="I999" s="86"/>
      <c r="J999" s="21"/>
      <c r="K999" s="5" t="str">
        <f>IF(AND(LEN(H999)=0, LEN(I999)=0), "", IF(AND(LEN(H999)&gt;0, LEN(I999)=0), "BLANCO", IFERROR(VLOOKUP(I999, BasedatosM9!A:B, 2, FALSE), "BLANCO")))</f>
        <v/>
      </c>
      <c r="W999" s="5" t="str">
        <f>IF(AND(LEN(T999)=0, LEN(U999)=0), "", IF(AND(LEN(T999)&gt;0, LEN(U999)=0), "BLANCO", IFERROR(VLOOKUP(U999, BasedatosM9!A:B, 2, FALSE), "BLANCO")))</f>
        <v/>
      </c>
      <c r="AI999" s="5" t="str">
        <f>IF(AND(LEN(AF999)=0, LEN(AG999)=0), "", IF(AND(LEN(AF999)&gt;0, LEN(AG999)=0), "BLANCO", IFERROR(VLOOKUP(AG999, BasedatosM9!A:B, 2, FALSE), "BLANCO")))</f>
        <v/>
      </c>
      <c r="AU999" s="5" t="str">
        <f>IF(AND(LEN(AR999)=0, LEN(AS999)=0), "", IF(AND(LEN(AR999)&gt;0, LEN(AS999)=0), "BLANCO", IFERROR(VLOOKUP(AS999, BasedatosM9!A:B, 2, FALSE), "BLANCO")))</f>
        <v/>
      </c>
    </row>
    <row r="1000" spans="1:47" ht="14.4">
      <c r="A1000" s="21"/>
      <c r="B1000" s="86"/>
      <c r="C1000" s="98"/>
      <c r="D1000" s="21"/>
      <c r="E1000" s="86"/>
      <c r="F1000" s="99"/>
      <c r="G1000" s="99"/>
      <c r="H1000" s="21"/>
      <c r="I1000" s="86"/>
      <c r="J1000" s="21"/>
      <c r="K1000" s="5" t="str">
        <f>IF(AND(LEN(H1000)=0, LEN(I1000)=0), "", IF(AND(LEN(H1000)&gt;0, LEN(I1000)=0), "BLANCO", IFERROR(VLOOKUP(I1000, BasedatosM9!A:B, 2, FALSE), "BLANCO")))</f>
        <v/>
      </c>
      <c r="W1000" s="5" t="str">
        <f>IF(AND(LEN(T1000)=0, LEN(U1000)=0), "", IF(AND(LEN(T1000)&gt;0, LEN(U1000)=0), "BLANCO", IFERROR(VLOOKUP(U1000, BasedatosM9!A:B, 2, FALSE), "BLANCO")))</f>
        <v/>
      </c>
      <c r="AI1000" s="5" t="str">
        <f>IF(AND(LEN(AF1000)=0, LEN(AG1000)=0), "", IF(AND(LEN(AF1000)&gt;0, LEN(AG1000)=0), "BLANCO", IFERROR(VLOOKUP(AG1000, BasedatosM9!A:B, 2, FALSE), "BLANCO")))</f>
        <v/>
      </c>
      <c r="AU1000" s="5" t="str">
        <f>IF(AND(LEN(AR1000)=0, LEN(AS1000)=0), "", IF(AND(LEN(AR1000)&gt;0, LEN(AS1000)=0), "BLANCO", IFERROR(VLOOKUP(AS1000, BasedatosM9!A:B, 2, FALSE), "BLANCO")))</f>
        <v/>
      </c>
    </row>
    <row r="1001" spans="1:47" ht="14.4">
      <c r="A1001" s="21"/>
      <c r="B1001" s="86"/>
      <c r="C1001" s="98"/>
      <c r="D1001" s="21"/>
      <c r="E1001" s="86"/>
      <c r="F1001" s="99"/>
      <c r="G1001" s="99"/>
      <c r="H1001" s="21"/>
      <c r="I1001" s="21"/>
      <c r="J1001" s="21"/>
      <c r="K1001" s="5" t="str">
        <f>IF(AND(LEN(H1001)=0, LEN(I1001)=0), "", IF(AND(LEN(H1001)&gt;0, LEN(I1001)=0), "BLANCO", IFERROR(VLOOKUP(I1001, BasedatosM9!A:B, 2, FALSE), "BLANCO")))</f>
        <v/>
      </c>
      <c r="W1001" s="5" t="str">
        <f>IF(AND(LEN(T1001)=0, LEN(U1001)=0), "", IF(AND(LEN(T1001)&gt;0, LEN(U1001)=0), "BLANCO", IFERROR(VLOOKUP(U1001, BasedatosM9!A:B, 2, FALSE), "BLANCO")))</f>
        <v/>
      </c>
      <c r="AI1001" s="5" t="str">
        <f>IF(AND(LEN(AF1001)=0, LEN(AG1001)=0), "", IF(AND(LEN(AF1001)&gt;0, LEN(AG1001)=0), "BLANCO", IFERROR(VLOOKUP(AG1001, BasedatosM9!A:B, 2, FALSE), "BLANCO")))</f>
        <v/>
      </c>
      <c r="AU1001" s="5" t="str">
        <f>IF(AND(LEN(AR1001)=0, LEN(AS1001)=0), "", IF(AND(LEN(AR1001)&gt;0, LEN(AS1001)=0), "BLANCO", IFERROR(VLOOKUP(AS1001, BasedatosM9!A:B, 2, FALSE), "BLANCO")))</f>
        <v/>
      </c>
    </row>
    <row r="1002" spans="1:47" ht="14.4">
      <c r="A1002" s="21"/>
      <c r="B1002" s="86"/>
      <c r="C1002" s="98"/>
      <c r="D1002" s="21"/>
      <c r="E1002" s="86"/>
      <c r="F1002" s="99"/>
      <c r="G1002" s="99"/>
      <c r="H1002" s="21"/>
      <c r="I1002" s="86"/>
      <c r="J1002" s="21"/>
      <c r="K1002" s="5" t="str">
        <f>IF(AND(LEN(H1002)=0, LEN(I1002)=0), "", IF(AND(LEN(H1002)&gt;0, LEN(I1002)=0), "BLANCO", IFERROR(VLOOKUP(I1002, BasedatosM9!A:B, 2, FALSE), "BLANCO")))</f>
        <v/>
      </c>
      <c r="W1002" s="5" t="str">
        <f>IF(AND(LEN(T1002)=0, LEN(U1002)=0), "", IF(AND(LEN(T1002)&gt;0, LEN(U1002)=0), "BLANCO", IFERROR(VLOOKUP(U1002, BasedatosM9!A:B, 2, FALSE), "BLANCO")))</f>
        <v/>
      </c>
      <c r="AI1002" s="5" t="str">
        <f>IF(AND(LEN(AF1002)=0, LEN(AG1002)=0), "", IF(AND(LEN(AF1002)&gt;0, LEN(AG1002)=0), "BLANCO", IFERROR(VLOOKUP(AG1002, BasedatosM9!A:B, 2, FALSE), "BLANCO")))</f>
        <v/>
      </c>
      <c r="AU1002" s="5" t="str">
        <f>IF(AND(LEN(AR1002)=0, LEN(AS1002)=0), "", IF(AND(LEN(AR1002)&gt;0, LEN(AS1002)=0), "BLANCO", IFERROR(VLOOKUP(AS1002, BasedatosM9!A:B, 2, FALSE), "BLANCO")))</f>
        <v/>
      </c>
    </row>
    <row r="1003" spans="1:47" ht="14.4">
      <c r="A1003" s="21"/>
      <c r="B1003" s="86"/>
      <c r="C1003" s="98"/>
      <c r="D1003" s="21"/>
      <c r="E1003" s="86"/>
      <c r="F1003" s="99"/>
      <c r="G1003" s="99"/>
      <c r="H1003" s="21"/>
      <c r="I1003" s="86"/>
      <c r="J1003" s="21"/>
      <c r="K1003" s="5" t="str">
        <f>IF(AND(LEN(H1003)=0, LEN(I1003)=0), "", IF(AND(LEN(H1003)&gt;0, LEN(I1003)=0), "BLANCO", IFERROR(VLOOKUP(I1003, BasedatosM9!A:B, 2, FALSE), "BLANCO")))</f>
        <v/>
      </c>
      <c r="W1003" s="5" t="str">
        <f>IF(AND(LEN(T1003)=0, LEN(U1003)=0), "", IF(AND(LEN(T1003)&gt;0, LEN(U1003)=0), "BLANCO", IFERROR(VLOOKUP(U1003, BasedatosM9!A:B, 2, FALSE), "BLANCO")))</f>
        <v/>
      </c>
      <c r="AI1003" s="5" t="str">
        <f>IF(AND(LEN(AF1003)=0, LEN(AG1003)=0), "", IF(AND(LEN(AF1003)&gt;0, LEN(AG1003)=0), "BLANCO", IFERROR(VLOOKUP(AG1003, BasedatosM9!A:B, 2, FALSE), "BLANCO")))</f>
        <v/>
      </c>
      <c r="AU1003" s="5" t="str">
        <f>IF(AND(LEN(AR1003)=0, LEN(AS1003)=0), "", IF(AND(LEN(AR1003)&gt;0, LEN(AS1003)=0), "BLANCO", IFERROR(VLOOKUP(AS1003, BasedatosM9!A:B, 2, FALSE), "BLANCO")))</f>
        <v/>
      </c>
    </row>
    <row r="1004" spans="1:47" ht="14.4">
      <c r="A1004" s="21"/>
      <c r="B1004" s="86"/>
      <c r="C1004" s="98"/>
      <c r="D1004" s="21"/>
      <c r="E1004" s="86"/>
      <c r="F1004" s="99"/>
      <c r="G1004" s="99"/>
      <c r="H1004" s="21"/>
      <c r="I1004" s="86"/>
      <c r="J1004" s="21"/>
      <c r="K1004" s="5" t="str">
        <f>IF(AND(LEN(H1004)=0, LEN(I1004)=0), "", IF(AND(LEN(H1004)&gt;0, LEN(I1004)=0), "BLANCO", IFERROR(VLOOKUP(I1004, BasedatosM9!A:B, 2, FALSE), "BLANCO")))</f>
        <v/>
      </c>
      <c r="W1004" s="5" t="str">
        <f>IF(AND(LEN(T1004)=0, LEN(U1004)=0), "", IF(AND(LEN(T1004)&gt;0, LEN(U1004)=0), "BLANCO", IFERROR(VLOOKUP(U1004, BasedatosM9!A:B, 2, FALSE), "BLANCO")))</f>
        <v/>
      </c>
      <c r="AI1004" s="5" t="str">
        <f>IF(AND(LEN(AF1004)=0, LEN(AG1004)=0), "", IF(AND(LEN(AF1004)&gt;0, LEN(AG1004)=0), "BLANCO", IFERROR(VLOOKUP(AG1004, BasedatosM9!A:B, 2, FALSE), "BLANCO")))</f>
        <v/>
      </c>
      <c r="AU1004" s="5" t="str">
        <f>IF(AND(LEN(AR1004)=0, LEN(AS1004)=0), "", IF(AND(LEN(AR1004)&gt;0, LEN(AS1004)=0), "BLANCO", IFERROR(VLOOKUP(AS1004, BasedatosM9!A:B, 2, FALSE), "BLANCO")))</f>
        <v/>
      </c>
    </row>
    <row r="1005" spans="1:47" ht="14.4">
      <c r="A1005" s="21"/>
      <c r="B1005" s="86"/>
      <c r="C1005" s="98"/>
      <c r="D1005" s="21"/>
      <c r="E1005" s="86"/>
      <c r="F1005" s="99"/>
      <c r="G1005" s="99"/>
      <c r="H1005" s="21"/>
      <c r="I1005" s="21"/>
      <c r="J1005" s="21"/>
      <c r="K1005" s="5" t="str">
        <f>IF(AND(LEN(H1005)=0, LEN(I1005)=0), "", IF(AND(LEN(H1005)&gt;0, LEN(I1005)=0), "BLANCO", IFERROR(VLOOKUP(I1005, BasedatosM9!A:B, 2, FALSE), "BLANCO")))</f>
        <v/>
      </c>
      <c r="W1005" s="5" t="str">
        <f>IF(AND(LEN(T1005)=0, LEN(U1005)=0), "", IF(AND(LEN(T1005)&gt;0, LEN(U1005)=0), "BLANCO", IFERROR(VLOOKUP(U1005, BasedatosM9!A:B, 2, FALSE), "BLANCO")))</f>
        <v/>
      </c>
      <c r="AI1005" s="5" t="str">
        <f>IF(AND(LEN(AF1005)=0, LEN(AG1005)=0), "", IF(AND(LEN(AF1005)&gt;0, LEN(AG1005)=0), "BLANCO", IFERROR(VLOOKUP(AG1005, BasedatosM9!A:B, 2, FALSE), "BLANCO")))</f>
        <v/>
      </c>
      <c r="AU1005" s="5" t="str">
        <f>IF(AND(LEN(AR1005)=0, LEN(AS1005)=0), "", IF(AND(LEN(AR1005)&gt;0, LEN(AS1005)=0), "BLANCO", IFERROR(VLOOKUP(AS1005, BasedatosM9!A:B, 2, FALSE), "BLANCO")))</f>
        <v/>
      </c>
    </row>
    <row r="1006" spans="1:47" ht="14.4">
      <c r="A1006" s="21"/>
      <c r="B1006" s="86"/>
      <c r="C1006" s="98"/>
      <c r="D1006" s="21"/>
      <c r="E1006" s="86"/>
      <c r="F1006" s="99"/>
      <c r="G1006" s="99"/>
      <c r="H1006" s="21"/>
      <c r="I1006" s="86"/>
      <c r="J1006" s="21"/>
      <c r="K1006" s="5" t="str">
        <f>IF(AND(LEN(H1006)=0, LEN(I1006)=0), "", IF(AND(LEN(H1006)&gt;0, LEN(I1006)=0), "BLANCO", IFERROR(VLOOKUP(I1006, BasedatosM9!A:B, 2, FALSE), "BLANCO")))</f>
        <v/>
      </c>
      <c r="W1006" s="5" t="str">
        <f>IF(AND(LEN(T1006)=0, LEN(U1006)=0), "", IF(AND(LEN(T1006)&gt;0, LEN(U1006)=0), "BLANCO", IFERROR(VLOOKUP(U1006, BasedatosM9!A:B, 2, FALSE), "BLANCO")))</f>
        <v/>
      </c>
      <c r="AI1006" s="5" t="str">
        <f>IF(AND(LEN(AF1006)=0, LEN(AG1006)=0), "", IF(AND(LEN(AF1006)&gt;0, LEN(AG1006)=0), "BLANCO", IFERROR(VLOOKUP(AG1006, BasedatosM9!A:B, 2, FALSE), "BLANCO")))</f>
        <v/>
      </c>
      <c r="AU1006" s="5" t="str">
        <f>IF(AND(LEN(AR1006)=0, LEN(AS1006)=0), "", IF(AND(LEN(AR1006)&gt;0, LEN(AS1006)=0), "BLANCO", IFERROR(VLOOKUP(AS1006, BasedatosM9!A:B, 2, FALSE), "BLANCO")))</f>
        <v/>
      </c>
    </row>
    <row r="1007" spans="1:47" ht="14.4">
      <c r="A1007" s="21"/>
      <c r="B1007" s="86"/>
      <c r="C1007" s="98"/>
      <c r="D1007" s="21"/>
      <c r="E1007" s="86"/>
      <c r="F1007" s="99"/>
      <c r="G1007" s="99"/>
      <c r="H1007" s="21"/>
      <c r="I1007" s="86"/>
      <c r="J1007" s="21"/>
      <c r="K1007" s="5" t="str">
        <f>IF(AND(LEN(H1007)=0, LEN(I1007)=0), "", IF(AND(LEN(H1007)&gt;0, LEN(I1007)=0), "BLANCO", IFERROR(VLOOKUP(I1007, BasedatosM9!A:B, 2, FALSE), "BLANCO")))</f>
        <v/>
      </c>
      <c r="W1007" s="5" t="str">
        <f>IF(AND(LEN(T1007)=0, LEN(U1007)=0), "", IF(AND(LEN(T1007)&gt;0, LEN(U1007)=0), "BLANCO", IFERROR(VLOOKUP(U1007, BasedatosM9!A:B, 2, FALSE), "BLANCO")))</f>
        <v/>
      </c>
      <c r="AI1007" s="5" t="str">
        <f>IF(AND(LEN(AF1007)=0, LEN(AG1007)=0), "", IF(AND(LEN(AF1007)&gt;0, LEN(AG1007)=0), "BLANCO", IFERROR(VLOOKUP(AG1007, BasedatosM9!A:B, 2, FALSE), "BLANCO")))</f>
        <v/>
      </c>
      <c r="AU1007" s="5" t="str">
        <f>IF(AND(LEN(AR1007)=0, LEN(AS1007)=0), "", IF(AND(LEN(AR1007)&gt;0, LEN(AS1007)=0), "BLANCO", IFERROR(VLOOKUP(AS1007, BasedatosM9!A:B, 2, FALSE), "BLANCO")))</f>
        <v/>
      </c>
    </row>
    <row r="1008" spans="1:47" ht="14.4">
      <c r="A1008" s="21"/>
      <c r="B1008" s="86"/>
      <c r="C1008" s="98"/>
      <c r="D1008" s="21"/>
      <c r="E1008" s="86"/>
      <c r="F1008" s="99"/>
      <c r="G1008" s="99"/>
      <c r="H1008" s="21"/>
      <c r="I1008" s="86"/>
      <c r="J1008" s="21"/>
      <c r="K1008" s="5" t="str">
        <f>IF(AND(LEN(H1008)=0, LEN(I1008)=0), "", IF(AND(LEN(H1008)&gt;0, LEN(I1008)=0), "BLANCO", IFERROR(VLOOKUP(I1008, BasedatosM9!A:B, 2, FALSE), "BLANCO")))</f>
        <v/>
      </c>
      <c r="W1008" s="5" t="str">
        <f>IF(AND(LEN(T1008)=0, LEN(U1008)=0), "", IF(AND(LEN(T1008)&gt;0, LEN(U1008)=0), "BLANCO", IFERROR(VLOOKUP(U1008, BasedatosM9!A:B, 2, FALSE), "BLANCO")))</f>
        <v/>
      </c>
      <c r="AI1008" s="5" t="str">
        <f>IF(AND(LEN(AF1008)=0, LEN(AG1008)=0), "", IF(AND(LEN(AF1008)&gt;0, LEN(AG1008)=0), "BLANCO", IFERROR(VLOOKUP(AG1008, BasedatosM9!A:B, 2, FALSE), "BLANCO")))</f>
        <v/>
      </c>
      <c r="AU1008" s="5" t="str">
        <f>IF(AND(LEN(AR1008)=0, LEN(AS1008)=0), "", IF(AND(LEN(AR1008)&gt;0, LEN(AS1008)=0), "BLANCO", IFERROR(VLOOKUP(AS1008, BasedatosM9!A:B, 2, FALSE), "BLANCO")))</f>
        <v/>
      </c>
    </row>
    <row r="1009" spans="1:47" ht="14.4">
      <c r="A1009" s="21"/>
      <c r="B1009" s="86"/>
      <c r="C1009" s="98"/>
      <c r="D1009" s="21"/>
      <c r="E1009" s="86"/>
      <c r="F1009" s="99"/>
      <c r="G1009" s="99"/>
      <c r="H1009" s="21"/>
      <c r="I1009" s="21"/>
      <c r="J1009" s="21"/>
      <c r="K1009" s="5" t="str">
        <f>IF(AND(LEN(H1009)=0, LEN(I1009)=0), "", IF(AND(LEN(H1009)&gt;0, LEN(I1009)=0), "BLANCO", IFERROR(VLOOKUP(I1009, BasedatosM9!A:B, 2, FALSE), "BLANCO")))</f>
        <v/>
      </c>
      <c r="W1009" s="5" t="str">
        <f>IF(AND(LEN(T1009)=0, LEN(U1009)=0), "", IF(AND(LEN(T1009)&gt;0, LEN(U1009)=0), "BLANCO", IFERROR(VLOOKUP(U1009, BasedatosM9!A:B, 2, FALSE), "BLANCO")))</f>
        <v/>
      </c>
      <c r="AI1009" s="5" t="str">
        <f>IF(AND(LEN(AF1009)=0, LEN(AG1009)=0), "", IF(AND(LEN(AF1009)&gt;0, LEN(AG1009)=0), "BLANCO", IFERROR(VLOOKUP(AG1009, BasedatosM9!A:B, 2, FALSE), "BLANCO")))</f>
        <v/>
      </c>
      <c r="AU1009" s="5" t="str">
        <f>IF(AND(LEN(AR1009)=0, LEN(AS1009)=0), "", IF(AND(LEN(AR1009)&gt;0, LEN(AS1009)=0), "BLANCO", IFERROR(VLOOKUP(AS1009, BasedatosM9!A:B, 2, FALSE), "BLANCO")))</f>
        <v/>
      </c>
    </row>
    <row r="1010" spans="1:47" ht="14.4">
      <c r="A1010" s="21"/>
      <c r="B1010" s="86"/>
      <c r="C1010" s="98"/>
      <c r="D1010" s="21"/>
      <c r="E1010" s="86"/>
      <c r="F1010" s="99"/>
      <c r="G1010" s="99"/>
      <c r="H1010" s="21"/>
      <c r="I1010" s="86"/>
      <c r="J1010" s="21"/>
      <c r="K1010" s="5" t="str">
        <f>IF(AND(LEN(H1010)=0, LEN(I1010)=0), "", IF(AND(LEN(H1010)&gt;0, LEN(I1010)=0), "BLANCO", IFERROR(VLOOKUP(I1010, BasedatosM9!A:B, 2, FALSE), "BLANCO")))</f>
        <v/>
      </c>
      <c r="W1010" s="5" t="str">
        <f>IF(AND(LEN(T1010)=0, LEN(U1010)=0), "", IF(AND(LEN(T1010)&gt;0, LEN(U1010)=0), "BLANCO", IFERROR(VLOOKUP(U1010, BasedatosM9!A:B, 2, FALSE), "BLANCO")))</f>
        <v/>
      </c>
      <c r="AI1010" s="5" t="str">
        <f>IF(AND(LEN(AF1010)=0, LEN(AG1010)=0), "", IF(AND(LEN(AF1010)&gt;0, LEN(AG1010)=0), "BLANCO", IFERROR(VLOOKUP(AG1010, BasedatosM9!A:B, 2, FALSE), "BLANCO")))</f>
        <v/>
      </c>
      <c r="AU1010" s="5" t="str">
        <f>IF(AND(LEN(AR1010)=0, LEN(AS1010)=0), "", IF(AND(LEN(AR1010)&gt;0, LEN(AS1010)=0), "BLANCO", IFERROR(VLOOKUP(AS1010, BasedatosM9!A:B, 2, FALSE), "BLANCO")))</f>
        <v/>
      </c>
    </row>
    <row r="1011" spans="1:47" ht="14.4">
      <c r="A1011" s="21"/>
      <c r="B1011" s="86"/>
      <c r="C1011" s="98"/>
      <c r="D1011" s="21"/>
      <c r="E1011" s="86"/>
      <c r="F1011" s="99"/>
      <c r="G1011" s="99"/>
      <c r="H1011" s="21"/>
      <c r="I1011" s="21"/>
      <c r="J1011" s="21"/>
      <c r="K1011" s="5" t="str">
        <f>IF(AND(LEN(H1011)=0, LEN(I1011)=0), "", IF(AND(LEN(H1011)&gt;0, LEN(I1011)=0), "BLANCO", IFERROR(VLOOKUP(I1011, BasedatosM9!A:B, 2, FALSE), "BLANCO")))</f>
        <v/>
      </c>
      <c r="W1011" s="5" t="str">
        <f>IF(AND(LEN(T1011)=0, LEN(U1011)=0), "", IF(AND(LEN(T1011)&gt;0, LEN(U1011)=0), "BLANCO", IFERROR(VLOOKUP(U1011, BasedatosM9!A:B, 2, FALSE), "BLANCO")))</f>
        <v/>
      </c>
      <c r="AI1011" s="5" t="str">
        <f>IF(AND(LEN(AF1011)=0, LEN(AG1011)=0), "", IF(AND(LEN(AF1011)&gt;0, LEN(AG1011)=0), "BLANCO", IFERROR(VLOOKUP(AG1011, BasedatosM9!A:B, 2, FALSE), "BLANCO")))</f>
        <v/>
      </c>
      <c r="AU1011" s="5" t="str">
        <f>IF(AND(LEN(AR1011)=0, LEN(AS1011)=0), "", IF(AND(LEN(AR1011)&gt;0, LEN(AS1011)=0), "BLANCO", IFERROR(VLOOKUP(AS1011, BasedatosM9!A:B, 2, FALSE), "BLANCO")))</f>
        <v/>
      </c>
    </row>
    <row r="1012" spans="1:47" ht="14.4">
      <c r="A1012" s="21"/>
      <c r="B1012" s="86"/>
      <c r="C1012" s="98"/>
      <c r="D1012" s="21"/>
      <c r="E1012" s="86"/>
      <c r="F1012" s="99"/>
      <c r="G1012" s="99"/>
      <c r="H1012" s="21"/>
      <c r="I1012" s="86"/>
      <c r="J1012" s="21"/>
      <c r="K1012" s="5" t="str">
        <f>IF(AND(LEN(H1012)=0, LEN(I1012)=0), "", IF(AND(LEN(H1012)&gt;0, LEN(I1012)=0), "BLANCO", IFERROR(VLOOKUP(I1012, BasedatosM9!A:B, 2, FALSE), "BLANCO")))</f>
        <v/>
      </c>
      <c r="W1012" s="5" t="str">
        <f>IF(AND(LEN(T1012)=0, LEN(U1012)=0), "", IF(AND(LEN(T1012)&gt;0, LEN(U1012)=0), "BLANCO", IFERROR(VLOOKUP(U1012, BasedatosM9!A:B, 2, FALSE), "BLANCO")))</f>
        <v/>
      </c>
      <c r="AI1012" s="5" t="str">
        <f>IF(AND(LEN(AF1012)=0, LEN(AG1012)=0), "", IF(AND(LEN(AF1012)&gt;0, LEN(AG1012)=0), "BLANCO", IFERROR(VLOOKUP(AG1012, BasedatosM9!A:B, 2, FALSE), "BLANCO")))</f>
        <v/>
      </c>
      <c r="AU1012" s="5" t="str">
        <f>IF(AND(LEN(AR1012)=0, LEN(AS1012)=0), "", IF(AND(LEN(AR1012)&gt;0, LEN(AS1012)=0), "BLANCO", IFERROR(VLOOKUP(AS1012, BasedatosM9!A:B, 2, FALSE), "BLANCO")))</f>
        <v/>
      </c>
    </row>
    <row r="1013" spans="1:47" ht="14.4">
      <c r="A1013" s="21"/>
      <c r="B1013" s="86"/>
      <c r="C1013" s="98"/>
      <c r="D1013" s="21"/>
      <c r="E1013" s="86"/>
      <c r="F1013" s="99"/>
      <c r="G1013" s="99"/>
      <c r="H1013" s="21"/>
      <c r="I1013" s="86"/>
      <c r="J1013" s="21"/>
      <c r="K1013" s="5" t="str">
        <f>IF(AND(LEN(H1013)=0, LEN(I1013)=0), "", IF(AND(LEN(H1013)&gt;0, LEN(I1013)=0), "BLANCO", IFERROR(VLOOKUP(I1013, BasedatosM9!A:B, 2, FALSE), "BLANCO")))</f>
        <v/>
      </c>
      <c r="W1013" s="5" t="str">
        <f>IF(AND(LEN(T1013)=0, LEN(U1013)=0), "", IF(AND(LEN(T1013)&gt;0, LEN(U1013)=0), "BLANCO", IFERROR(VLOOKUP(U1013, BasedatosM9!A:B, 2, FALSE), "BLANCO")))</f>
        <v/>
      </c>
      <c r="AI1013" s="5" t="str">
        <f>IF(AND(LEN(AF1013)=0, LEN(AG1013)=0), "", IF(AND(LEN(AF1013)&gt;0, LEN(AG1013)=0), "BLANCO", IFERROR(VLOOKUP(AG1013, BasedatosM9!A:B, 2, FALSE), "BLANCO")))</f>
        <v/>
      </c>
      <c r="AU1013" s="5" t="str">
        <f>IF(AND(LEN(AR1013)=0, LEN(AS1013)=0), "", IF(AND(LEN(AR1013)&gt;0, LEN(AS1013)=0), "BLANCO", IFERROR(VLOOKUP(AS1013, BasedatosM9!A:B, 2, FALSE), "BLANCO")))</f>
        <v/>
      </c>
    </row>
    <row r="1014" spans="1:47" ht="14.4">
      <c r="A1014" s="21"/>
      <c r="B1014" s="86"/>
      <c r="C1014" s="98"/>
      <c r="D1014" s="21"/>
      <c r="E1014" s="86"/>
      <c r="F1014" s="99"/>
      <c r="G1014" s="99"/>
      <c r="H1014" s="21"/>
      <c r="I1014" s="86"/>
      <c r="J1014" s="21"/>
      <c r="K1014" s="5" t="str">
        <f>IF(AND(LEN(H1014)=0, LEN(I1014)=0), "", IF(AND(LEN(H1014)&gt;0, LEN(I1014)=0), "BLANCO", IFERROR(VLOOKUP(I1014, BasedatosM9!A:B, 2, FALSE), "BLANCO")))</f>
        <v/>
      </c>
      <c r="W1014" s="5" t="str">
        <f>IF(AND(LEN(T1014)=0, LEN(U1014)=0), "", IF(AND(LEN(T1014)&gt;0, LEN(U1014)=0), "BLANCO", IFERROR(VLOOKUP(U1014, BasedatosM9!A:B, 2, FALSE), "BLANCO")))</f>
        <v/>
      </c>
      <c r="AI1014" s="5" t="str">
        <f>IF(AND(LEN(AF1014)=0, LEN(AG1014)=0), "", IF(AND(LEN(AF1014)&gt;0, LEN(AG1014)=0), "BLANCO", IFERROR(VLOOKUP(AG1014, BasedatosM9!A:B, 2, FALSE), "BLANCO")))</f>
        <v/>
      </c>
      <c r="AU1014" s="5" t="str">
        <f>IF(AND(LEN(AR1014)=0, LEN(AS1014)=0), "", IF(AND(LEN(AR1014)&gt;0, LEN(AS1014)=0), "BLANCO", IFERROR(VLOOKUP(AS1014, BasedatosM9!A:B, 2, FALSE), "BLANCO")))</f>
        <v/>
      </c>
    </row>
    <row r="1015" spans="1:47" ht="14.4">
      <c r="A1015" s="21"/>
      <c r="B1015" s="86"/>
      <c r="C1015" s="98"/>
      <c r="D1015" s="21"/>
      <c r="E1015" s="86"/>
      <c r="F1015" s="99"/>
      <c r="G1015" s="99"/>
      <c r="H1015" s="21"/>
      <c r="I1015" s="21"/>
      <c r="J1015" s="21"/>
      <c r="K1015" s="5" t="str">
        <f>IF(AND(LEN(H1015)=0, LEN(I1015)=0), "", IF(AND(LEN(H1015)&gt;0, LEN(I1015)=0), "BLANCO", IFERROR(VLOOKUP(I1015, BasedatosM9!A:B, 2, FALSE), "BLANCO")))</f>
        <v/>
      </c>
      <c r="W1015" s="5" t="str">
        <f>IF(AND(LEN(T1015)=0, LEN(U1015)=0), "", IF(AND(LEN(T1015)&gt;0, LEN(U1015)=0), "BLANCO", IFERROR(VLOOKUP(U1015, BasedatosM9!A:B, 2, FALSE), "BLANCO")))</f>
        <v/>
      </c>
      <c r="AI1015" s="5" t="str">
        <f>IF(AND(LEN(AF1015)=0, LEN(AG1015)=0), "", IF(AND(LEN(AF1015)&gt;0, LEN(AG1015)=0), "BLANCO", IFERROR(VLOOKUP(AG1015, BasedatosM9!A:B, 2, FALSE), "BLANCO")))</f>
        <v/>
      </c>
      <c r="AU1015" s="5" t="str">
        <f>IF(AND(LEN(AR1015)=0, LEN(AS1015)=0), "", IF(AND(LEN(AR1015)&gt;0, LEN(AS1015)=0), "BLANCO", IFERROR(VLOOKUP(AS1015, BasedatosM9!A:B, 2, FALSE), "BLANCO")))</f>
        <v/>
      </c>
    </row>
    <row r="1016" spans="1:47" ht="14.4">
      <c r="A1016" s="21"/>
      <c r="B1016" s="86"/>
      <c r="C1016" s="98"/>
      <c r="D1016" s="21"/>
      <c r="E1016" s="86"/>
      <c r="F1016" s="99"/>
      <c r="G1016" s="99"/>
      <c r="H1016" s="21"/>
      <c r="I1016" s="21"/>
      <c r="J1016" s="21"/>
      <c r="K1016" s="5" t="str">
        <f>IF(AND(LEN(H1016)=0, LEN(I1016)=0), "", IF(AND(LEN(H1016)&gt;0, LEN(I1016)=0), "BLANCO", IFERROR(VLOOKUP(I1016, BasedatosM9!A:B, 2, FALSE), "BLANCO")))</f>
        <v/>
      </c>
      <c r="W1016" s="5" t="str">
        <f>IF(AND(LEN(T1016)=0, LEN(U1016)=0), "", IF(AND(LEN(T1016)&gt;0, LEN(U1016)=0), "BLANCO", IFERROR(VLOOKUP(U1016, BasedatosM9!A:B, 2, FALSE), "BLANCO")))</f>
        <v/>
      </c>
      <c r="AI1016" s="5" t="str">
        <f>IF(AND(LEN(AF1016)=0, LEN(AG1016)=0), "", IF(AND(LEN(AF1016)&gt;0, LEN(AG1016)=0), "BLANCO", IFERROR(VLOOKUP(AG1016, BasedatosM9!A:B, 2, FALSE), "BLANCO")))</f>
        <v/>
      </c>
      <c r="AU1016" s="5" t="str">
        <f>IF(AND(LEN(AR1016)=0, LEN(AS1016)=0), "", IF(AND(LEN(AR1016)&gt;0, LEN(AS1016)=0), "BLANCO", IFERROR(VLOOKUP(AS1016, BasedatosM9!A:B, 2, FALSE), "BLANCO")))</f>
        <v/>
      </c>
    </row>
    <row r="1017" spans="1:47" ht="14.4">
      <c r="A1017" s="21"/>
      <c r="B1017" s="86"/>
      <c r="C1017" s="98"/>
      <c r="D1017" s="21"/>
      <c r="E1017" s="86"/>
      <c r="F1017" s="99"/>
      <c r="G1017" s="99"/>
      <c r="H1017" s="21"/>
      <c r="I1017" s="86"/>
      <c r="J1017" s="21"/>
      <c r="K1017" s="5" t="str">
        <f>IF(AND(LEN(H1017)=0, LEN(I1017)=0), "", IF(AND(LEN(H1017)&gt;0, LEN(I1017)=0), "BLANCO", IFERROR(VLOOKUP(I1017, BasedatosM9!A:B, 2, FALSE), "BLANCO")))</f>
        <v/>
      </c>
      <c r="W1017" s="5" t="str">
        <f>IF(AND(LEN(T1017)=0, LEN(U1017)=0), "", IF(AND(LEN(T1017)&gt;0, LEN(U1017)=0), "BLANCO", IFERROR(VLOOKUP(U1017, BasedatosM9!A:B, 2, FALSE), "BLANCO")))</f>
        <v/>
      </c>
      <c r="AI1017" s="5" t="str">
        <f>IF(AND(LEN(AF1017)=0, LEN(AG1017)=0), "", IF(AND(LEN(AF1017)&gt;0, LEN(AG1017)=0), "BLANCO", IFERROR(VLOOKUP(AG1017, BasedatosM9!A:B, 2, FALSE), "BLANCO")))</f>
        <v/>
      </c>
      <c r="AU1017" s="5" t="str">
        <f>IF(AND(LEN(AR1017)=0, LEN(AS1017)=0), "", IF(AND(LEN(AR1017)&gt;0, LEN(AS1017)=0), "BLANCO", IFERROR(VLOOKUP(AS1017, BasedatosM9!A:B, 2, FALSE), "BLANCO")))</f>
        <v/>
      </c>
    </row>
    <row r="1018" spans="1:47" ht="14.4">
      <c r="A1018" s="21"/>
      <c r="B1018" s="86"/>
      <c r="C1018" s="98"/>
      <c r="D1018" s="21"/>
      <c r="E1018" s="86"/>
      <c r="F1018" s="99"/>
      <c r="G1018" s="99"/>
      <c r="H1018" s="21"/>
      <c r="I1018" s="86"/>
      <c r="J1018" s="21"/>
      <c r="K1018" s="5" t="str">
        <f>IF(AND(LEN(H1018)=0, LEN(I1018)=0), "", IF(AND(LEN(H1018)&gt;0, LEN(I1018)=0), "BLANCO", IFERROR(VLOOKUP(I1018, BasedatosM9!A:B, 2, FALSE), "BLANCO")))</f>
        <v/>
      </c>
      <c r="W1018" s="5" t="str">
        <f>IF(AND(LEN(T1018)=0, LEN(U1018)=0), "", IF(AND(LEN(T1018)&gt;0, LEN(U1018)=0), "BLANCO", IFERROR(VLOOKUP(U1018, BasedatosM9!A:B, 2, FALSE), "BLANCO")))</f>
        <v/>
      </c>
      <c r="AI1018" s="5" t="str">
        <f>IF(AND(LEN(AF1018)=0, LEN(AG1018)=0), "", IF(AND(LEN(AF1018)&gt;0, LEN(AG1018)=0), "BLANCO", IFERROR(VLOOKUP(AG1018, BasedatosM9!A:B, 2, FALSE), "BLANCO")))</f>
        <v/>
      </c>
      <c r="AU1018" s="5" t="str">
        <f>IF(AND(LEN(AR1018)=0, LEN(AS1018)=0), "", IF(AND(LEN(AR1018)&gt;0, LEN(AS1018)=0), "BLANCO", IFERROR(VLOOKUP(AS1018, BasedatosM9!A:B, 2, FALSE), "BLANCO")))</f>
        <v/>
      </c>
    </row>
    <row r="1019" spans="1:47" ht="14.4">
      <c r="A1019" s="21"/>
      <c r="B1019" s="86"/>
      <c r="C1019" s="98"/>
      <c r="D1019" s="21"/>
      <c r="E1019" s="86"/>
      <c r="F1019" s="99"/>
      <c r="G1019" s="99"/>
      <c r="H1019" s="21"/>
      <c r="I1019" s="86"/>
      <c r="J1019" s="21"/>
      <c r="K1019" s="5" t="str">
        <f>IF(AND(LEN(H1019)=0, LEN(I1019)=0), "", IF(AND(LEN(H1019)&gt;0, LEN(I1019)=0), "BLANCO", IFERROR(VLOOKUP(I1019, BasedatosM9!A:B, 2, FALSE), "BLANCO")))</f>
        <v/>
      </c>
      <c r="W1019" s="5" t="str">
        <f>IF(AND(LEN(T1019)=0, LEN(U1019)=0), "", IF(AND(LEN(T1019)&gt;0, LEN(U1019)=0), "BLANCO", IFERROR(VLOOKUP(U1019, BasedatosM9!A:B, 2, FALSE), "BLANCO")))</f>
        <v/>
      </c>
      <c r="AI1019" s="5" t="str">
        <f>IF(AND(LEN(AF1019)=0, LEN(AG1019)=0), "", IF(AND(LEN(AF1019)&gt;0, LEN(AG1019)=0), "BLANCO", IFERROR(VLOOKUP(AG1019, BasedatosM9!A:B, 2, FALSE), "BLANCO")))</f>
        <v/>
      </c>
      <c r="AU1019" s="5" t="str">
        <f>IF(AND(LEN(AR1019)=0, LEN(AS1019)=0), "", IF(AND(LEN(AR1019)&gt;0, LEN(AS1019)=0), "BLANCO", IFERROR(VLOOKUP(AS1019, BasedatosM9!A:B, 2, FALSE), "BLANCO")))</f>
        <v/>
      </c>
    </row>
    <row r="1020" spans="1:47" ht="14.4">
      <c r="A1020" s="21"/>
      <c r="B1020" s="86"/>
      <c r="C1020" s="98"/>
      <c r="D1020" s="21"/>
      <c r="E1020" s="86"/>
      <c r="F1020" s="99"/>
      <c r="G1020" s="99"/>
      <c r="H1020" s="21"/>
      <c r="I1020" s="21"/>
      <c r="J1020" s="21"/>
      <c r="K1020" s="5" t="str">
        <f>IF(AND(LEN(H1020)=0, LEN(I1020)=0), "", IF(AND(LEN(H1020)&gt;0, LEN(I1020)=0), "BLANCO", IFERROR(VLOOKUP(I1020, BasedatosM9!A:B, 2, FALSE), "BLANCO")))</f>
        <v/>
      </c>
      <c r="W1020" s="5" t="str">
        <f>IF(AND(LEN(T1020)=0, LEN(U1020)=0), "", IF(AND(LEN(T1020)&gt;0, LEN(U1020)=0), "BLANCO", IFERROR(VLOOKUP(U1020, BasedatosM9!A:B, 2, FALSE), "BLANCO")))</f>
        <v/>
      </c>
      <c r="AI1020" s="5" t="str">
        <f>IF(AND(LEN(AF1020)=0, LEN(AG1020)=0), "", IF(AND(LEN(AF1020)&gt;0, LEN(AG1020)=0), "BLANCO", IFERROR(VLOOKUP(AG1020, BasedatosM9!A:B, 2, FALSE), "BLANCO")))</f>
        <v/>
      </c>
      <c r="AU1020" s="5" t="str">
        <f>IF(AND(LEN(AR1020)=0, LEN(AS1020)=0), "", IF(AND(LEN(AR1020)&gt;0, LEN(AS1020)=0), "BLANCO", IFERROR(VLOOKUP(AS1020, BasedatosM9!A:B, 2, FALSE), "BLANCO")))</f>
        <v/>
      </c>
    </row>
    <row r="1021" spans="1:47" ht="14.4">
      <c r="A1021" s="21"/>
      <c r="B1021" s="86"/>
      <c r="C1021" s="98"/>
      <c r="D1021" s="21"/>
      <c r="E1021" s="86"/>
      <c r="F1021" s="99"/>
      <c r="G1021" s="99"/>
      <c r="H1021" s="21"/>
      <c r="I1021" s="21"/>
      <c r="J1021" s="21"/>
      <c r="K1021" s="5" t="str">
        <f>IF(AND(LEN(H1021)=0, LEN(I1021)=0), "", IF(AND(LEN(H1021)&gt;0, LEN(I1021)=0), "BLANCO", IFERROR(VLOOKUP(I1021, BasedatosM9!A:B, 2, FALSE), "BLANCO")))</f>
        <v/>
      </c>
      <c r="W1021" s="5" t="str">
        <f>IF(AND(LEN(T1021)=0, LEN(U1021)=0), "", IF(AND(LEN(T1021)&gt;0, LEN(U1021)=0), "BLANCO", IFERROR(VLOOKUP(U1021, BasedatosM9!A:B, 2, FALSE), "BLANCO")))</f>
        <v/>
      </c>
      <c r="AI1021" s="5" t="str">
        <f>IF(AND(LEN(AF1021)=0, LEN(AG1021)=0), "", IF(AND(LEN(AF1021)&gt;0, LEN(AG1021)=0), "BLANCO", IFERROR(VLOOKUP(AG1021, BasedatosM9!A:B, 2, FALSE), "BLANCO")))</f>
        <v/>
      </c>
      <c r="AU1021" s="5" t="str">
        <f>IF(AND(LEN(AR1021)=0, LEN(AS1021)=0), "", IF(AND(LEN(AR1021)&gt;0, LEN(AS1021)=0), "BLANCO", IFERROR(VLOOKUP(AS1021, BasedatosM9!A:B, 2, FALSE), "BLANCO")))</f>
        <v/>
      </c>
    </row>
    <row r="1022" spans="1:47" ht="14.4">
      <c r="A1022" s="21"/>
      <c r="B1022" s="86"/>
      <c r="C1022" s="98"/>
      <c r="D1022" s="21"/>
      <c r="E1022" s="86"/>
      <c r="F1022" s="99"/>
      <c r="G1022" s="99"/>
      <c r="H1022" s="21"/>
      <c r="I1022" s="21"/>
      <c r="J1022" s="21"/>
      <c r="K1022" s="5" t="str">
        <f>IF(AND(LEN(H1022)=0, LEN(I1022)=0), "", IF(AND(LEN(H1022)&gt;0, LEN(I1022)=0), "BLANCO", IFERROR(VLOOKUP(I1022, BasedatosM9!A:B, 2, FALSE), "BLANCO")))</f>
        <v/>
      </c>
      <c r="W1022" s="5" t="str">
        <f>IF(AND(LEN(T1022)=0, LEN(U1022)=0), "", IF(AND(LEN(T1022)&gt;0, LEN(U1022)=0), "BLANCO", IFERROR(VLOOKUP(U1022, BasedatosM9!A:B, 2, FALSE), "BLANCO")))</f>
        <v/>
      </c>
      <c r="AI1022" s="5" t="str">
        <f>IF(AND(LEN(AF1022)=0, LEN(AG1022)=0), "", IF(AND(LEN(AF1022)&gt;0, LEN(AG1022)=0), "BLANCO", IFERROR(VLOOKUP(AG1022, BasedatosM9!A:B, 2, FALSE), "BLANCO")))</f>
        <v/>
      </c>
      <c r="AU1022" s="5" t="str">
        <f>IF(AND(LEN(AR1022)=0, LEN(AS1022)=0), "", IF(AND(LEN(AR1022)&gt;0, LEN(AS1022)=0), "BLANCO", IFERROR(VLOOKUP(AS1022, BasedatosM9!A:B, 2, FALSE), "BLANCO")))</f>
        <v/>
      </c>
    </row>
    <row r="1023" spans="1:47" ht="14.4">
      <c r="A1023" s="21"/>
      <c r="B1023" s="86"/>
      <c r="C1023" s="98"/>
      <c r="D1023" s="21"/>
      <c r="E1023" s="86"/>
      <c r="F1023" s="99"/>
      <c r="G1023" s="99"/>
      <c r="H1023" s="21"/>
      <c r="I1023" s="21"/>
      <c r="J1023" s="21"/>
      <c r="K1023" s="5" t="str">
        <f>IF(AND(LEN(H1023)=0, LEN(I1023)=0), "", IF(AND(LEN(H1023)&gt;0, LEN(I1023)=0), "BLANCO", IFERROR(VLOOKUP(I1023, BasedatosM9!A:B, 2, FALSE), "BLANCO")))</f>
        <v/>
      </c>
      <c r="W1023" s="5" t="str">
        <f>IF(AND(LEN(T1023)=0, LEN(U1023)=0), "", IF(AND(LEN(T1023)&gt;0, LEN(U1023)=0), "BLANCO", IFERROR(VLOOKUP(U1023, BasedatosM9!A:B, 2, FALSE), "BLANCO")))</f>
        <v/>
      </c>
      <c r="AI1023" s="5" t="str">
        <f>IF(AND(LEN(AF1023)=0, LEN(AG1023)=0), "", IF(AND(LEN(AF1023)&gt;0, LEN(AG1023)=0), "BLANCO", IFERROR(VLOOKUP(AG1023, BasedatosM9!A:B, 2, FALSE), "BLANCO")))</f>
        <v/>
      </c>
      <c r="AU1023" s="5" t="str">
        <f>IF(AND(LEN(AR1023)=0, LEN(AS1023)=0), "", IF(AND(LEN(AR1023)&gt;0, LEN(AS1023)=0), "BLANCO", IFERROR(VLOOKUP(AS1023, BasedatosM9!A:B, 2, FALSE), "BLANCO")))</f>
        <v/>
      </c>
    </row>
    <row r="1024" spans="1:47" ht="14.4">
      <c r="A1024" s="21"/>
      <c r="B1024" s="86"/>
      <c r="C1024" s="98"/>
      <c r="D1024" s="21"/>
      <c r="E1024" s="86"/>
      <c r="F1024" s="99"/>
      <c r="G1024" s="99"/>
      <c r="H1024" s="21"/>
      <c r="I1024" s="21"/>
      <c r="J1024" s="21"/>
      <c r="K1024" s="5" t="str">
        <f>IF(AND(LEN(H1024)=0, LEN(I1024)=0), "", IF(AND(LEN(H1024)&gt;0, LEN(I1024)=0), "BLANCO", IFERROR(VLOOKUP(I1024, BasedatosM9!A:B, 2, FALSE), "BLANCO")))</f>
        <v/>
      </c>
      <c r="W1024" s="5" t="str">
        <f>IF(AND(LEN(T1024)=0, LEN(U1024)=0), "", IF(AND(LEN(T1024)&gt;0, LEN(U1024)=0), "BLANCO", IFERROR(VLOOKUP(U1024, BasedatosM9!A:B, 2, FALSE), "BLANCO")))</f>
        <v/>
      </c>
      <c r="AI1024" s="5" t="str">
        <f>IF(AND(LEN(AF1024)=0, LEN(AG1024)=0), "", IF(AND(LEN(AF1024)&gt;0, LEN(AG1024)=0), "BLANCO", IFERROR(VLOOKUP(AG1024, BasedatosM9!A:B, 2, FALSE), "BLANCO")))</f>
        <v/>
      </c>
      <c r="AU1024" s="5" t="str">
        <f>IF(AND(LEN(AR1024)=0, LEN(AS1024)=0), "", IF(AND(LEN(AR1024)&gt;0, LEN(AS1024)=0), "BLANCO", IFERROR(VLOOKUP(AS1024, BasedatosM9!A:B, 2, FALSE), "BLANCO")))</f>
        <v/>
      </c>
    </row>
    <row r="1025" spans="1:47" ht="14.4">
      <c r="A1025" s="21"/>
      <c r="B1025" s="86"/>
      <c r="C1025" s="98"/>
      <c r="D1025" s="21"/>
      <c r="E1025" s="86"/>
      <c r="F1025" s="99"/>
      <c r="G1025" s="99"/>
      <c r="H1025" s="21"/>
      <c r="I1025" s="86"/>
      <c r="J1025" s="21"/>
      <c r="K1025" s="5" t="str">
        <f>IF(AND(LEN(H1025)=0, LEN(I1025)=0), "", IF(AND(LEN(H1025)&gt;0, LEN(I1025)=0), "BLANCO", IFERROR(VLOOKUP(I1025, BasedatosM9!A:B, 2, FALSE), "BLANCO")))</f>
        <v/>
      </c>
      <c r="W1025" s="5" t="str">
        <f>IF(AND(LEN(T1025)=0, LEN(U1025)=0), "", IF(AND(LEN(T1025)&gt;0, LEN(U1025)=0), "BLANCO", IFERROR(VLOOKUP(U1025, BasedatosM9!A:B, 2, FALSE), "BLANCO")))</f>
        <v/>
      </c>
      <c r="AI1025" s="5" t="str">
        <f>IF(AND(LEN(AF1025)=0, LEN(AG1025)=0), "", IF(AND(LEN(AF1025)&gt;0, LEN(AG1025)=0), "BLANCO", IFERROR(VLOOKUP(AG1025, BasedatosM9!A:B, 2, FALSE), "BLANCO")))</f>
        <v/>
      </c>
      <c r="AU1025" s="5" t="str">
        <f>IF(AND(LEN(AR1025)=0, LEN(AS1025)=0), "", IF(AND(LEN(AR1025)&gt;0, LEN(AS1025)=0), "BLANCO", IFERROR(VLOOKUP(AS1025, BasedatosM9!A:B, 2, FALSE), "BLANCO")))</f>
        <v/>
      </c>
    </row>
    <row r="1026" spans="1:47" ht="14.4">
      <c r="A1026" s="21"/>
      <c r="B1026" s="86"/>
      <c r="C1026" s="98"/>
      <c r="D1026" s="21"/>
      <c r="E1026" s="86"/>
      <c r="F1026" s="99"/>
      <c r="G1026" s="99"/>
      <c r="H1026" s="21"/>
      <c r="I1026" s="86"/>
      <c r="J1026" s="21"/>
      <c r="K1026" s="5" t="str">
        <f>IF(AND(LEN(H1026)=0, LEN(I1026)=0), "", IF(AND(LEN(H1026)&gt;0, LEN(I1026)=0), "BLANCO", IFERROR(VLOOKUP(I1026, BasedatosM9!A:B, 2, FALSE), "BLANCO")))</f>
        <v/>
      </c>
      <c r="W1026" s="5" t="str">
        <f>IF(AND(LEN(T1026)=0, LEN(U1026)=0), "", IF(AND(LEN(T1026)&gt;0, LEN(U1026)=0), "BLANCO", IFERROR(VLOOKUP(U1026, BasedatosM9!A:B, 2, FALSE), "BLANCO")))</f>
        <v/>
      </c>
      <c r="AI1026" s="5" t="str">
        <f>IF(AND(LEN(AF1026)=0, LEN(AG1026)=0), "", IF(AND(LEN(AF1026)&gt;0, LEN(AG1026)=0), "BLANCO", IFERROR(VLOOKUP(AG1026, BasedatosM9!A:B, 2, FALSE), "BLANCO")))</f>
        <v/>
      </c>
      <c r="AU1026" s="5" t="str">
        <f>IF(AND(LEN(AR1026)=0, LEN(AS1026)=0), "", IF(AND(LEN(AR1026)&gt;0, LEN(AS1026)=0), "BLANCO", IFERROR(VLOOKUP(AS1026, BasedatosM9!A:B, 2, FALSE), "BLANCO")))</f>
        <v/>
      </c>
    </row>
    <row r="1027" spans="1:47" ht="14.4">
      <c r="A1027" s="21"/>
      <c r="B1027" s="86"/>
      <c r="C1027" s="98"/>
      <c r="D1027" s="21"/>
      <c r="E1027" s="86"/>
      <c r="F1027" s="99"/>
      <c r="G1027" s="99"/>
      <c r="H1027" s="21"/>
      <c r="I1027" s="86"/>
      <c r="J1027" s="21"/>
      <c r="K1027" s="5" t="str">
        <f>IF(AND(LEN(H1027)=0, LEN(I1027)=0), "", IF(AND(LEN(H1027)&gt;0, LEN(I1027)=0), "BLANCO", IFERROR(VLOOKUP(I1027, BasedatosM9!A:B, 2, FALSE), "BLANCO")))</f>
        <v/>
      </c>
      <c r="W1027" s="5" t="str">
        <f>IF(AND(LEN(T1027)=0, LEN(U1027)=0), "", IF(AND(LEN(T1027)&gt;0, LEN(U1027)=0), "BLANCO", IFERROR(VLOOKUP(U1027, BasedatosM9!A:B, 2, FALSE), "BLANCO")))</f>
        <v/>
      </c>
      <c r="AI1027" s="5" t="str">
        <f>IF(AND(LEN(AF1027)=0, LEN(AG1027)=0), "", IF(AND(LEN(AF1027)&gt;0, LEN(AG1027)=0), "BLANCO", IFERROR(VLOOKUP(AG1027, BasedatosM9!A:B, 2, FALSE), "BLANCO")))</f>
        <v/>
      </c>
      <c r="AU1027" s="5" t="str">
        <f>IF(AND(LEN(AR1027)=0, LEN(AS1027)=0), "", IF(AND(LEN(AR1027)&gt;0, LEN(AS1027)=0), "BLANCO", IFERROR(VLOOKUP(AS1027, BasedatosM9!A:B, 2, FALSE), "BLANCO")))</f>
        <v/>
      </c>
    </row>
    <row r="1028" spans="1:47" ht="14.4">
      <c r="A1028" s="21"/>
      <c r="B1028" s="86"/>
      <c r="C1028" s="98"/>
      <c r="D1028" s="21"/>
      <c r="E1028" s="86"/>
      <c r="F1028" s="99"/>
      <c r="G1028" s="99"/>
      <c r="H1028" s="21"/>
      <c r="I1028" s="86"/>
      <c r="J1028" s="21"/>
      <c r="K1028" s="5" t="str">
        <f>IF(AND(LEN(H1028)=0, LEN(I1028)=0), "", IF(AND(LEN(H1028)&gt;0, LEN(I1028)=0), "BLANCO", IFERROR(VLOOKUP(I1028, BasedatosM9!A:B, 2, FALSE), "BLANCO")))</f>
        <v/>
      </c>
      <c r="W1028" s="5" t="str">
        <f>IF(AND(LEN(T1028)=0, LEN(U1028)=0), "", IF(AND(LEN(T1028)&gt;0, LEN(U1028)=0), "BLANCO", IFERROR(VLOOKUP(U1028, BasedatosM9!A:B, 2, FALSE), "BLANCO")))</f>
        <v/>
      </c>
      <c r="AI1028" s="5" t="str">
        <f>IF(AND(LEN(AF1028)=0, LEN(AG1028)=0), "", IF(AND(LEN(AF1028)&gt;0, LEN(AG1028)=0), "BLANCO", IFERROR(VLOOKUP(AG1028, BasedatosM9!A:B, 2, FALSE), "BLANCO")))</f>
        <v/>
      </c>
      <c r="AU1028" s="5" t="str">
        <f>IF(AND(LEN(AR1028)=0, LEN(AS1028)=0), "", IF(AND(LEN(AR1028)&gt;0, LEN(AS1028)=0), "BLANCO", IFERROR(VLOOKUP(AS1028, BasedatosM9!A:B, 2, FALSE), "BLANCO")))</f>
        <v/>
      </c>
    </row>
    <row r="1029" spans="1:47" ht="14.4">
      <c r="A1029" s="21"/>
      <c r="B1029" s="86"/>
      <c r="C1029" s="98"/>
      <c r="D1029" s="21"/>
      <c r="E1029" s="86"/>
      <c r="F1029" s="99"/>
      <c r="G1029" s="99"/>
      <c r="H1029" s="21"/>
      <c r="I1029" s="21"/>
      <c r="J1029" s="21"/>
      <c r="K1029" s="5" t="str">
        <f>IF(AND(LEN(H1029)=0, LEN(I1029)=0), "", IF(AND(LEN(H1029)&gt;0, LEN(I1029)=0), "BLANCO", IFERROR(VLOOKUP(I1029, BasedatosM9!A:B, 2, FALSE), "BLANCO")))</f>
        <v/>
      </c>
      <c r="W1029" s="5" t="str">
        <f>IF(AND(LEN(T1029)=0, LEN(U1029)=0), "", IF(AND(LEN(T1029)&gt;0, LEN(U1029)=0), "BLANCO", IFERROR(VLOOKUP(U1029, BasedatosM9!A:B, 2, FALSE), "BLANCO")))</f>
        <v/>
      </c>
      <c r="AI1029" s="5" t="str">
        <f>IF(AND(LEN(AF1029)=0, LEN(AG1029)=0), "", IF(AND(LEN(AF1029)&gt;0, LEN(AG1029)=0), "BLANCO", IFERROR(VLOOKUP(AG1029, BasedatosM9!A:B, 2, FALSE), "BLANCO")))</f>
        <v/>
      </c>
      <c r="AU1029" s="5" t="str">
        <f>IF(AND(LEN(AR1029)=0, LEN(AS1029)=0), "", IF(AND(LEN(AR1029)&gt;0, LEN(AS1029)=0), "BLANCO", IFERROR(VLOOKUP(AS1029, BasedatosM9!A:B, 2, FALSE), "BLANCO")))</f>
        <v/>
      </c>
    </row>
    <row r="1030" spans="1:47" ht="14.4">
      <c r="A1030" s="21"/>
      <c r="B1030" s="86"/>
      <c r="C1030" s="98"/>
      <c r="D1030" s="21"/>
      <c r="E1030" s="86"/>
      <c r="F1030" s="99"/>
      <c r="G1030" s="99"/>
      <c r="H1030" s="21"/>
      <c r="I1030" s="21"/>
      <c r="J1030" s="21"/>
      <c r="K1030" s="5" t="str">
        <f>IF(AND(LEN(H1030)=0, LEN(I1030)=0), "", IF(AND(LEN(H1030)&gt;0, LEN(I1030)=0), "BLANCO", IFERROR(VLOOKUP(I1030, BasedatosM9!A:B, 2, FALSE), "BLANCO")))</f>
        <v/>
      </c>
      <c r="W1030" s="5" t="str">
        <f>IF(AND(LEN(T1030)=0, LEN(U1030)=0), "", IF(AND(LEN(T1030)&gt;0, LEN(U1030)=0), "BLANCO", IFERROR(VLOOKUP(U1030, BasedatosM9!A:B, 2, FALSE), "BLANCO")))</f>
        <v/>
      </c>
      <c r="AI1030" s="5" t="str">
        <f>IF(AND(LEN(AF1030)=0, LEN(AG1030)=0), "", IF(AND(LEN(AF1030)&gt;0, LEN(AG1030)=0), "BLANCO", IFERROR(VLOOKUP(AG1030, BasedatosM9!A:B, 2, FALSE), "BLANCO")))</f>
        <v/>
      </c>
      <c r="AU1030" s="5" t="str">
        <f>IF(AND(LEN(AR1030)=0, LEN(AS1030)=0), "", IF(AND(LEN(AR1030)&gt;0, LEN(AS1030)=0), "BLANCO", IFERROR(VLOOKUP(AS1030, BasedatosM9!A:B, 2, FALSE), "BLANCO")))</f>
        <v/>
      </c>
    </row>
    <row r="1031" spans="1:47" ht="14.4">
      <c r="A1031" s="21"/>
      <c r="B1031" s="86"/>
      <c r="C1031" s="98"/>
      <c r="D1031" s="21"/>
      <c r="E1031" s="86"/>
      <c r="F1031" s="99"/>
      <c r="G1031" s="99"/>
      <c r="H1031" s="21"/>
      <c r="I1031" s="21"/>
      <c r="J1031" s="21"/>
      <c r="K1031" s="5" t="str">
        <f>IF(AND(LEN(H1031)=0, LEN(I1031)=0), "", IF(AND(LEN(H1031)&gt;0, LEN(I1031)=0), "BLANCO", IFERROR(VLOOKUP(I1031, BasedatosM9!A:B, 2, FALSE), "BLANCO")))</f>
        <v/>
      </c>
      <c r="W1031" s="5" t="str">
        <f>IF(AND(LEN(T1031)=0, LEN(U1031)=0), "", IF(AND(LEN(T1031)&gt;0, LEN(U1031)=0), "BLANCO", IFERROR(VLOOKUP(U1031, BasedatosM9!A:B, 2, FALSE), "BLANCO")))</f>
        <v/>
      </c>
      <c r="AI1031" s="5" t="str">
        <f>IF(AND(LEN(AF1031)=0, LEN(AG1031)=0), "", IF(AND(LEN(AF1031)&gt;0, LEN(AG1031)=0), "BLANCO", IFERROR(VLOOKUP(AG1031, BasedatosM9!A:B, 2, FALSE), "BLANCO")))</f>
        <v/>
      </c>
      <c r="AU1031" s="5" t="str">
        <f>IF(AND(LEN(AR1031)=0, LEN(AS1031)=0), "", IF(AND(LEN(AR1031)&gt;0, LEN(AS1031)=0), "BLANCO", IFERROR(VLOOKUP(AS1031, BasedatosM9!A:B, 2, FALSE), "BLANCO")))</f>
        <v/>
      </c>
    </row>
    <row r="1032" spans="1:47" ht="14.4">
      <c r="A1032" s="21"/>
      <c r="B1032" s="86"/>
      <c r="C1032" s="98"/>
      <c r="D1032" s="21"/>
      <c r="E1032" s="86"/>
      <c r="F1032" s="99"/>
      <c r="G1032" s="99"/>
      <c r="H1032" s="21"/>
      <c r="I1032" s="86"/>
      <c r="J1032" s="21"/>
      <c r="K1032" s="5" t="str">
        <f>IF(AND(LEN(H1032)=0, LEN(I1032)=0), "", IF(AND(LEN(H1032)&gt;0, LEN(I1032)=0), "BLANCO", IFERROR(VLOOKUP(I1032, BasedatosM9!A:B, 2, FALSE), "BLANCO")))</f>
        <v/>
      </c>
      <c r="W1032" s="5" t="str">
        <f>IF(AND(LEN(T1032)=0, LEN(U1032)=0), "", IF(AND(LEN(T1032)&gt;0, LEN(U1032)=0), "BLANCO", IFERROR(VLOOKUP(U1032, BasedatosM9!A:B, 2, FALSE), "BLANCO")))</f>
        <v/>
      </c>
      <c r="AI1032" s="5" t="str">
        <f>IF(AND(LEN(AF1032)=0, LEN(AG1032)=0), "", IF(AND(LEN(AF1032)&gt;0, LEN(AG1032)=0), "BLANCO", IFERROR(VLOOKUP(AG1032, BasedatosM9!A:B, 2, FALSE), "BLANCO")))</f>
        <v/>
      </c>
      <c r="AU1032" s="5" t="str">
        <f>IF(AND(LEN(AR1032)=0, LEN(AS1032)=0), "", IF(AND(LEN(AR1032)&gt;0, LEN(AS1032)=0), "BLANCO", IFERROR(VLOOKUP(AS1032, BasedatosM9!A:B, 2, FALSE), "BLANCO")))</f>
        <v/>
      </c>
    </row>
    <row r="1033" spans="1:47" ht="14.4">
      <c r="A1033" s="21"/>
      <c r="B1033" s="86"/>
      <c r="C1033" s="98"/>
      <c r="D1033" s="21"/>
      <c r="E1033" s="86"/>
      <c r="F1033" s="99"/>
      <c r="G1033" s="99"/>
      <c r="H1033" s="21"/>
      <c r="I1033" s="21"/>
      <c r="J1033" s="21"/>
      <c r="K1033" s="5" t="str">
        <f>IF(AND(LEN(H1033)=0, LEN(I1033)=0), "", IF(AND(LEN(H1033)&gt;0, LEN(I1033)=0), "BLANCO", IFERROR(VLOOKUP(I1033, BasedatosM9!A:B, 2, FALSE), "BLANCO")))</f>
        <v/>
      </c>
      <c r="W1033" s="5" t="str">
        <f>IF(AND(LEN(T1033)=0, LEN(U1033)=0), "", IF(AND(LEN(T1033)&gt;0, LEN(U1033)=0), "BLANCO", IFERROR(VLOOKUP(U1033, BasedatosM9!A:B, 2, FALSE), "BLANCO")))</f>
        <v/>
      </c>
      <c r="AI1033" s="5" t="str">
        <f>IF(AND(LEN(AF1033)=0, LEN(AG1033)=0), "", IF(AND(LEN(AF1033)&gt;0, LEN(AG1033)=0), "BLANCO", IFERROR(VLOOKUP(AG1033, BasedatosM9!A:B, 2, FALSE), "BLANCO")))</f>
        <v/>
      </c>
      <c r="AU1033" s="5" t="str">
        <f>IF(AND(LEN(AR1033)=0, LEN(AS1033)=0), "", IF(AND(LEN(AR1033)&gt;0, LEN(AS1033)=0), "BLANCO", IFERROR(VLOOKUP(AS1033, BasedatosM9!A:B, 2, FALSE), "BLANCO")))</f>
        <v/>
      </c>
    </row>
    <row r="1034" spans="1:47" ht="14.4">
      <c r="A1034" s="21"/>
      <c r="B1034" s="86"/>
      <c r="C1034" s="98"/>
      <c r="D1034" s="21"/>
      <c r="E1034" s="86"/>
      <c r="F1034" s="99"/>
      <c r="G1034" s="99"/>
      <c r="H1034" s="21"/>
      <c r="I1034" s="21"/>
      <c r="J1034" s="21"/>
      <c r="K1034" s="5" t="str">
        <f>IF(AND(LEN(H1034)=0, LEN(I1034)=0), "", IF(AND(LEN(H1034)&gt;0, LEN(I1034)=0), "BLANCO", IFERROR(VLOOKUP(I1034, BasedatosM9!A:B, 2, FALSE), "BLANCO")))</f>
        <v/>
      </c>
      <c r="W1034" s="5" t="str">
        <f>IF(AND(LEN(T1034)=0, LEN(U1034)=0), "", IF(AND(LEN(T1034)&gt;0, LEN(U1034)=0), "BLANCO", IFERROR(VLOOKUP(U1034, BasedatosM9!A:B, 2, FALSE), "BLANCO")))</f>
        <v/>
      </c>
      <c r="AI1034" s="5" t="str">
        <f>IF(AND(LEN(AF1034)=0, LEN(AG1034)=0), "", IF(AND(LEN(AF1034)&gt;0, LEN(AG1034)=0), "BLANCO", IFERROR(VLOOKUP(AG1034, BasedatosM9!A:B, 2, FALSE), "BLANCO")))</f>
        <v/>
      </c>
      <c r="AU1034" s="5" t="str">
        <f>IF(AND(LEN(AR1034)=0, LEN(AS1034)=0), "", IF(AND(LEN(AR1034)&gt;0, LEN(AS1034)=0), "BLANCO", IFERROR(VLOOKUP(AS1034, BasedatosM9!A:B, 2, FALSE), "BLANCO")))</f>
        <v/>
      </c>
    </row>
    <row r="1035" spans="1:47" ht="14.4">
      <c r="A1035" s="21"/>
      <c r="B1035" s="86"/>
      <c r="C1035" s="98"/>
      <c r="D1035" s="21"/>
      <c r="E1035" s="86"/>
      <c r="F1035" s="99"/>
      <c r="G1035" s="99"/>
      <c r="H1035" s="21"/>
      <c r="I1035" s="21"/>
      <c r="J1035" s="21"/>
      <c r="K1035" s="5" t="str">
        <f>IF(AND(LEN(H1035)=0, LEN(I1035)=0), "", IF(AND(LEN(H1035)&gt;0, LEN(I1035)=0), "BLANCO", IFERROR(VLOOKUP(I1035, BasedatosM9!A:B, 2, FALSE), "BLANCO")))</f>
        <v/>
      </c>
      <c r="W1035" s="5" t="str">
        <f>IF(AND(LEN(T1035)=0, LEN(U1035)=0), "", IF(AND(LEN(T1035)&gt;0, LEN(U1035)=0), "BLANCO", IFERROR(VLOOKUP(U1035, BasedatosM9!A:B, 2, FALSE), "BLANCO")))</f>
        <v/>
      </c>
      <c r="AI1035" s="5" t="str">
        <f>IF(AND(LEN(AF1035)=0, LEN(AG1035)=0), "", IF(AND(LEN(AF1035)&gt;0, LEN(AG1035)=0), "BLANCO", IFERROR(VLOOKUP(AG1035, BasedatosM9!A:B, 2, FALSE), "BLANCO")))</f>
        <v/>
      </c>
      <c r="AU1035" s="5" t="str">
        <f>IF(AND(LEN(AR1035)=0, LEN(AS1035)=0), "", IF(AND(LEN(AR1035)&gt;0, LEN(AS1035)=0), "BLANCO", IFERROR(VLOOKUP(AS1035, BasedatosM9!A:B, 2, FALSE), "BLANCO")))</f>
        <v/>
      </c>
    </row>
    <row r="1036" spans="1:47" ht="14.4">
      <c r="A1036" s="21"/>
      <c r="B1036" s="86"/>
      <c r="C1036" s="98"/>
      <c r="D1036" s="21"/>
      <c r="E1036" s="86"/>
      <c r="F1036" s="99"/>
      <c r="G1036" s="99"/>
      <c r="H1036" s="21"/>
      <c r="I1036" s="21"/>
      <c r="J1036" s="21"/>
      <c r="K1036" s="5" t="str">
        <f>IF(AND(LEN(H1036)=0, LEN(I1036)=0), "", IF(AND(LEN(H1036)&gt;0, LEN(I1036)=0), "BLANCO", IFERROR(VLOOKUP(I1036, BasedatosM9!A:B, 2, FALSE), "BLANCO")))</f>
        <v/>
      </c>
      <c r="W1036" s="5" t="str">
        <f>IF(AND(LEN(T1036)=0, LEN(U1036)=0), "", IF(AND(LEN(T1036)&gt;0, LEN(U1036)=0), "BLANCO", IFERROR(VLOOKUP(U1036, BasedatosM9!A:B, 2, FALSE), "BLANCO")))</f>
        <v/>
      </c>
      <c r="AI1036" s="5" t="str">
        <f>IF(AND(LEN(AF1036)=0, LEN(AG1036)=0), "", IF(AND(LEN(AF1036)&gt;0, LEN(AG1036)=0), "BLANCO", IFERROR(VLOOKUP(AG1036, BasedatosM9!A:B, 2, FALSE), "BLANCO")))</f>
        <v/>
      </c>
      <c r="AU1036" s="5" t="str">
        <f>IF(AND(LEN(AR1036)=0, LEN(AS1036)=0), "", IF(AND(LEN(AR1036)&gt;0, LEN(AS1036)=0), "BLANCO", IFERROR(VLOOKUP(AS1036, BasedatosM9!A:B, 2, FALSE), "BLANCO")))</f>
        <v/>
      </c>
    </row>
    <row r="1037" spans="1:47" ht="14.4">
      <c r="A1037" s="21"/>
      <c r="B1037" s="86"/>
      <c r="C1037" s="98"/>
      <c r="D1037" s="21"/>
      <c r="E1037" s="86"/>
      <c r="F1037" s="99"/>
      <c r="G1037" s="99"/>
      <c r="H1037" s="21"/>
      <c r="I1037" s="21"/>
      <c r="J1037" s="21"/>
      <c r="K1037" s="5" t="str">
        <f>IF(AND(LEN(H1037)=0, LEN(I1037)=0), "", IF(AND(LEN(H1037)&gt;0, LEN(I1037)=0), "BLANCO", IFERROR(VLOOKUP(I1037, BasedatosM9!A:B, 2, FALSE), "BLANCO")))</f>
        <v/>
      </c>
      <c r="W1037" s="5" t="str">
        <f>IF(AND(LEN(T1037)=0, LEN(U1037)=0), "", IF(AND(LEN(T1037)&gt;0, LEN(U1037)=0), "BLANCO", IFERROR(VLOOKUP(U1037, BasedatosM9!A:B, 2, FALSE), "BLANCO")))</f>
        <v/>
      </c>
      <c r="AI1037" s="5" t="str">
        <f>IF(AND(LEN(AF1037)=0, LEN(AG1037)=0), "", IF(AND(LEN(AF1037)&gt;0, LEN(AG1037)=0), "BLANCO", IFERROR(VLOOKUP(AG1037, BasedatosM9!A:B, 2, FALSE), "BLANCO")))</f>
        <v/>
      </c>
      <c r="AU1037" s="5" t="str">
        <f>IF(AND(LEN(AR1037)=0, LEN(AS1037)=0), "", IF(AND(LEN(AR1037)&gt;0, LEN(AS1037)=0), "BLANCO", IFERROR(VLOOKUP(AS1037, BasedatosM9!A:B, 2, FALSE), "BLANCO")))</f>
        <v/>
      </c>
    </row>
    <row r="1038" spans="1:47" ht="14.4">
      <c r="A1038" s="21"/>
      <c r="B1038" s="86"/>
      <c r="C1038" s="98"/>
      <c r="D1038" s="21"/>
      <c r="E1038" s="86"/>
      <c r="F1038" s="99"/>
      <c r="G1038" s="99"/>
      <c r="H1038" s="21"/>
      <c r="I1038" s="21"/>
      <c r="J1038" s="21"/>
      <c r="K1038" s="5" t="str">
        <f>IF(AND(LEN(H1038)=0, LEN(I1038)=0), "", IF(AND(LEN(H1038)&gt;0, LEN(I1038)=0), "BLANCO", IFERROR(VLOOKUP(I1038, BasedatosM9!A:B, 2, FALSE), "BLANCO")))</f>
        <v/>
      </c>
      <c r="W1038" s="5" t="str">
        <f>IF(AND(LEN(T1038)=0, LEN(U1038)=0), "", IF(AND(LEN(T1038)&gt;0, LEN(U1038)=0), "BLANCO", IFERROR(VLOOKUP(U1038, BasedatosM9!A:B, 2, FALSE), "BLANCO")))</f>
        <v/>
      </c>
      <c r="AI1038" s="5" t="str">
        <f>IF(AND(LEN(AF1038)=0, LEN(AG1038)=0), "", IF(AND(LEN(AF1038)&gt;0, LEN(AG1038)=0), "BLANCO", IFERROR(VLOOKUP(AG1038, BasedatosM9!A:B, 2, FALSE), "BLANCO")))</f>
        <v/>
      </c>
      <c r="AU1038" s="5" t="str">
        <f>IF(AND(LEN(AR1038)=0, LEN(AS1038)=0), "", IF(AND(LEN(AR1038)&gt;0, LEN(AS1038)=0), "BLANCO", IFERROR(VLOOKUP(AS1038, BasedatosM9!A:B, 2, FALSE), "BLANCO")))</f>
        <v/>
      </c>
    </row>
    <row r="1039" spans="1:47" ht="14.4">
      <c r="A1039" s="21"/>
      <c r="B1039" s="86"/>
      <c r="C1039" s="98"/>
      <c r="D1039" s="21"/>
      <c r="E1039" s="86"/>
      <c r="F1039" s="99"/>
      <c r="G1039" s="99"/>
      <c r="H1039" s="21"/>
      <c r="I1039" s="21"/>
      <c r="J1039" s="21"/>
      <c r="K1039" s="5" t="str">
        <f>IF(AND(LEN(H1039)=0, LEN(I1039)=0), "", IF(AND(LEN(H1039)&gt;0, LEN(I1039)=0), "BLANCO", IFERROR(VLOOKUP(I1039, BasedatosM9!A:B, 2, FALSE), "BLANCO")))</f>
        <v/>
      </c>
      <c r="W1039" s="5" t="str">
        <f>IF(AND(LEN(T1039)=0, LEN(U1039)=0), "", IF(AND(LEN(T1039)&gt;0, LEN(U1039)=0), "BLANCO", IFERROR(VLOOKUP(U1039, BasedatosM9!A:B, 2, FALSE), "BLANCO")))</f>
        <v/>
      </c>
      <c r="AI1039" s="5" t="str">
        <f>IF(AND(LEN(AF1039)=0, LEN(AG1039)=0), "", IF(AND(LEN(AF1039)&gt;0, LEN(AG1039)=0), "BLANCO", IFERROR(VLOOKUP(AG1039, BasedatosM9!A:B, 2, FALSE), "BLANCO")))</f>
        <v/>
      </c>
      <c r="AU1039" s="5" t="str">
        <f>IF(AND(LEN(AR1039)=0, LEN(AS1039)=0), "", IF(AND(LEN(AR1039)&gt;0, LEN(AS1039)=0), "BLANCO", IFERROR(VLOOKUP(AS1039, BasedatosM9!A:B, 2, FALSE), "BLANCO")))</f>
        <v/>
      </c>
    </row>
    <row r="1040" spans="1:47" ht="14.4">
      <c r="A1040" s="21"/>
      <c r="B1040" s="86"/>
      <c r="C1040" s="98"/>
      <c r="D1040" s="21"/>
      <c r="E1040" s="86"/>
      <c r="F1040" s="99"/>
      <c r="G1040" s="99"/>
      <c r="H1040" s="21"/>
      <c r="I1040" s="86"/>
      <c r="J1040" s="21"/>
      <c r="K1040" s="5" t="str">
        <f>IF(AND(LEN(H1040)=0, LEN(I1040)=0), "", IF(AND(LEN(H1040)&gt;0, LEN(I1040)=0), "BLANCO", IFERROR(VLOOKUP(I1040, BasedatosM9!A:B, 2, FALSE), "BLANCO")))</f>
        <v/>
      </c>
      <c r="W1040" s="5" t="str">
        <f>IF(AND(LEN(T1040)=0, LEN(U1040)=0), "", IF(AND(LEN(T1040)&gt;0, LEN(U1040)=0), "BLANCO", IFERROR(VLOOKUP(U1040, BasedatosM9!A:B, 2, FALSE), "BLANCO")))</f>
        <v/>
      </c>
      <c r="AI1040" s="5" t="str">
        <f>IF(AND(LEN(AF1040)=0, LEN(AG1040)=0), "", IF(AND(LEN(AF1040)&gt;0, LEN(AG1040)=0), "BLANCO", IFERROR(VLOOKUP(AG1040, BasedatosM9!A:B, 2, FALSE), "BLANCO")))</f>
        <v/>
      </c>
      <c r="AU1040" s="5" t="str">
        <f>IF(AND(LEN(AR1040)=0, LEN(AS1040)=0), "", IF(AND(LEN(AR1040)&gt;0, LEN(AS1040)=0), "BLANCO", IFERROR(VLOOKUP(AS1040, BasedatosM9!A:B, 2, FALSE), "BLANCO")))</f>
        <v/>
      </c>
    </row>
    <row r="1041" spans="1:47" ht="14.4">
      <c r="A1041" s="21"/>
      <c r="B1041" s="86"/>
      <c r="C1041" s="98"/>
      <c r="D1041" s="21"/>
      <c r="E1041" s="86"/>
      <c r="F1041" s="99"/>
      <c r="G1041" s="99"/>
      <c r="H1041" s="21"/>
      <c r="I1041" s="21"/>
      <c r="J1041" s="21"/>
      <c r="K1041" s="5" t="str">
        <f>IF(AND(LEN(H1041)=0, LEN(I1041)=0), "", IF(AND(LEN(H1041)&gt;0, LEN(I1041)=0), "BLANCO", IFERROR(VLOOKUP(I1041, BasedatosM9!A:B, 2, FALSE), "BLANCO")))</f>
        <v/>
      </c>
      <c r="W1041" s="5" t="str">
        <f>IF(AND(LEN(T1041)=0, LEN(U1041)=0), "", IF(AND(LEN(T1041)&gt;0, LEN(U1041)=0), "BLANCO", IFERROR(VLOOKUP(U1041, BasedatosM9!A:B, 2, FALSE), "BLANCO")))</f>
        <v/>
      </c>
      <c r="AI1041" s="5" t="str">
        <f>IF(AND(LEN(AF1041)=0, LEN(AG1041)=0), "", IF(AND(LEN(AF1041)&gt;0, LEN(AG1041)=0), "BLANCO", IFERROR(VLOOKUP(AG1041, BasedatosM9!A:B, 2, FALSE), "BLANCO")))</f>
        <v/>
      </c>
      <c r="AU1041" s="5" t="str">
        <f>IF(AND(LEN(AR1041)=0, LEN(AS1041)=0), "", IF(AND(LEN(AR1041)&gt;0, LEN(AS1041)=0), "BLANCO", IFERROR(VLOOKUP(AS1041, BasedatosM9!A:B, 2, FALSE), "BLANCO")))</f>
        <v/>
      </c>
    </row>
    <row r="1042" spans="1:47" ht="14.4">
      <c r="A1042" s="21"/>
      <c r="B1042" s="86"/>
      <c r="C1042" s="98"/>
      <c r="D1042" s="21"/>
      <c r="E1042" s="86"/>
      <c r="F1042" s="99"/>
      <c r="G1042" s="99"/>
      <c r="H1042" s="21"/>
      <c r="I1042" s="86"/>
      <c r="J1042" s="21"/>
      <c r="K1042" s="5" t="str">
        <f>IF(AND(LEN(H1042)=0, LEN(I1042)=0), "", IF(AND(LEN(H1042)&gt;0, LEN(I1042)=0), "BLANCO", IFERROR(VLOOKUP(I1042, BasedatosM9!A:B, 2, FALSE), "BLANCO")))</f>
        <v/>
      </c>
      <c r="W1042" s="5" t="str">
        <f>IF(AND(LEN(T1042)=0, LEN(U1042)=0), "", IF(AND(LEN(T1042)&gt;0, LEN(U1042)=0), "BLANCO", IFERROR(VLOOKUP(U1042, BasedatosM9!A:B, 2, FALSE), "BLANCO")))</f>
        <v/>
      </c>
      <c r="AI1042" s="5" t="str">
        <f>IF(AND(LEN(AF1042)=0, LEN(AG1042)=0), "", IF(AND(LEN(AF1042)&gt;0, LEN(AG1042)=0), "BLANCO", IFERROR(VLOOKUP(AG1042, BasedatosM9!A:B, 2, FALSE), "BLANCO")))</f>
        <v/>
      </c>
      <c r="AU1042" s="5" t="str">
        <f>IF(AND(LEN(AR1042)=0, LEN(AS1042)=0), "", IF(AND(LEN(AR1042)&gt;0, LEN(AS1042)=0), "BLANCO", IFERROR(VLOOKUP(AS1042, BasedatosM9!A:B, 2, FALSE), "BLANCO")))</f>
        <v/>
      </c>
    </row>
    <row r="1043" spans="1:47" ht="14.4">
      <c r="A1043" s="21"/>
      <c r="B1043" s="86"/>
      <c r="C1043" s="98"/>
      <c r="D1043" s="21"/>
      <c r="E1043" s="86"/>
      <c r="F1043" s="99"/>
      <c r="G1043" s="99"/>
      <c r="H1043" s="21"/>
      <c r="I1043" s="86"/>
      <c r="J1043" s="21"/>
      <c r="K1043" s="5" t="str">
        <f>IF(AND(LEN(H1043)=0, LEN(I1043)=0), "", IF(AND(LEN(H1043)&gt;0, LEN(I1043)=0), "BLANCO", IFERROR(VLOOKUP(I1043, BasedatosM9!A:B, 2, FALSE), "BLANCO")))</f>
        <v/>
      </c>
      <c r="W1043" s="5" t="str">
        <f>IF(AND(LEN(T1043)=0, LEN(U1043)=0), "", IF(AND(LEN(T1043)&gt;0, LEN(U1043)=0), "BLANCO", IFERROR(VLOOKUP(U1043, BasedatosM9!A:B, 2, FALSE), "BLANCO")))</f>
        <v/>
      </c>
      <c r="AI1043" s="5" t="str">
        <f>IF(AND(LEN(AF1043)=0, LEN(AG1043)=0), "", IF(AND(LEN(AF1043)&gt;0, LEN(AG1043)=0), "BLANCO", IFERROR(VLOOKUP(AG1043, BasedatosM9!A:B, 2, FALSE), "BLANCO")))</f>
        <v/>
      </c>
      <c r="AU1043" s="5" t="str">
        <f>IF(AND(LEN(AR1043)=0, LEN(AS1043)=0), "", IF(AND(LEN(AR1043)&gt;0, LEN(AS1043)=0), "BLANCO", IFERROR(VLOOKUP(AS1043, BasedatosM9!A:B, 2, FALSE), "BLANCO")))</f>
        <v/>
      </c>
    </row>
    <row r="1044" spans="1:47" ht="14.4">
      <c r="A1044" s="21"/>
      <c r="B1044" s="86"/>
      <c r="C1044" s="98"/>
      <c r="D1044" s="21"/>
      <c r="E1044" s="86"/>
      <c r="F1044" s="99"/>
      <c r="G1044" s="99"/>
      <c r="H1044" s="21"/>
      <c r="I1044" s="86"/>
      <c r="J1044" s="21"/>
      <c r="K1044" s="5" t="str">
        <f>IF(AND(LEN(H1044)=0, LEN(I1044)=0), "", IF(AND(LEN(H1044)&gt;0, LEN(I1044)=0), "BLANCO", IFERROR(VLOOKUP(I1044, BasedatosM9!A:B, 2, FALSE), "BLANCO")))</f>
        <v/>
      </c>
      <c r="W1044" s="5" t="str">
        <f>IF(AND(LEN(T1044)=0, LEN(U1044)=0), "", IF(AND(LEN(T1044)&gt;0, LEN(U1044)=0), "BLANCO", IFERROR(VLOOKUP(U1044, BasedatosM9!A:B, 2, FALSE), "BLANCO")))</f>
        <v/>
      </c>
      <c r="AI1044" s="5" t="str">
        <f>IF(AND(LEN(AF1044)=0, LEN(AG1044)=0), "", IF(AND(LEN(AF1044)&gt;0, LEN(AG1044)=0), "BLANCO", IFERROR(VLOOKUP(AG1044, BasedatosM9!A:B, 2, FALSE), "BLANCO")))</f>
        <v/>
      </c>
      <c r="AU1044" s="5" t="str">
        <f>IF(AND(LEN(AR1044)=0, LEN(AS1044)=0), "", IF(AND(LEN(AR1044)&gt;0, LEN(AS1044)=0), "BLANCO", IFERROR(VLOOKUP(AS1044, BasedatosM9!A:B, 2, FALSE), "BLANCO")))</f>
        <v/>
      </c>
    </row>
    <row r="1045" spans="1:47" ht="14.4">
      <c r="A1045" s="21"/>
      <c r="B1045" s="86"/>
      <c r="C1045" s="98"/>
      <c r="D1045" s="21"/>
      <c r="E1045" s="86"/>
      <c r="F1045" s="99"/>
      <c r="G1045" s="99"/>
      <c r="H1045" s="21"/>
      <c r="I1045" s="21"/>
      <c r="J1045" s="21"/>
      <c r="K1045" s="5" t="str">
        <f>IF(AND(LEN(H1045)=0, LEN(I1045)=0), "", IF(AND(LEN(H1045)&gt;0, LEN(I1045)=0), "BLANCO", IFERROR(VLOOKUP(I1045, BasedatosM9!A:B, 2, FALSE), "BLANCO")))</f>
        <v/>
      </c>
      <c r="W1045" s="5" t="str">
        <f>IF(AND(LEN(T1045)=0, LEN(U1045)=0), "", IF(AND(LEN(T1045)&gt;0, LEN(U1045)=0), "BLANCO", IFERROR(VLOOKUP(U1045, BasedatosM9!A:B, 2, FALSE), "BLANCO")))</f>
        <v/>
      </c>
      <c r="AI1045" s="5" t="str">
        <f>IF(AND(LEN(AF1045)=0, LEN(AG1045)=0), "", IF(AND(LEN(AF1045)&gt;0, LEN(AG1045)=0), "BLANCO", IFERROR(VLOOKUP(AG1045, BasedatosM9!A:B, 2, FALSE), "BLANCO")))</f>
        <v/>
      </c>
      <c r="AU1045" s="5" t="str">
        <f>IF(AND(LEN(AR1045)=0, LEN(AS1045)=0), "", IF(AND(LEN(AR1045)&gt;0, LEN(AS1045)=0), "BLANCO", IFERROR(VLOOKUP(AS1045, BasedatosM9!A:B, 2, FALSE), "BLANCO")))</f>
        <v/>
      </c>
    </row>
    <row r="1046" spans="1:47" ht="14.4">
      <c r="A1046" s="21"/>
      <c r="B1046" s="86"/>
      <c r="C1046" s="98"/>
      <c r="D1046" s="21"/>
      <c r="E1046" s="86"/>
      <c r="F1046" s="99"/>
      <c r="G1046" s="99"/>
      <c r="H1046" s="21"/>
      <c r="I1046" s="86"/>
      <c r="J1046" s="21"/>
      <c r="K1046" s="5" t="str">
        <f>IF(AND(LEN(H1046)=0, LEN(I1046)=0), "", IF(AND(LEN(H1046)&gt;0, LEN(I1046)=0), "BLANCO", IFERROR(VLOOKUP(I1046, BasedatosM9!A:B, 2, FALSE), "BLANCO")))</f>
        <v/>
      </c>
      <c r="W1046" s="5" t="str">
        <f>IF(AND(LEN(T1046)=0, LEN(U1046)=0), "", IF(AND(LEN(T1046)&gt;0, LEN(U1046)=0), "BLANCO", IFERROR(VLOOKUP(U1046, BasedatosM9!A:B, 2, FALSE), "BLANCO")))</f>
        <v/>
      </c>
      <c r="AI1046" s="5" t="str">
        <f>IF(AND(LEN(AF1046)=0, LEN(AG1046)=0), "", IF(AND(LEN(AF1046)&gt;0, LEN(AG1046)=0), "BLANCO", IFERROR(VLOOKUP(AG1046, BasedatosM9!A:B, 2, FALSE), "BLANCO")))</f>
        <v/>
      </c>
      <c r="AU1046" s="5" t="str">
        <f>IF(AND(LEN(AR1046)=0, LEN(AS1046)=0), "", IF(AND(LEN(AR1046)&gt;0, LEN(AS1046)=0), "BLANCO", IFERROR(VLOOKUP(AS1046, BasedatosM9!A:B, 2, FALSE), "BLANCO")))</f>
        <v/>
      </c>
    </row>
    <row r="1047" spans="1:47" ht="14.4">
      <c r="A1047" s="21"/>
      <c r="B1047" s="86"/>
      <c r="C1047" s="98"/>
      <c r="D1047" s="21"/>
      <c r="E1047" s="86"/>
      <c r="F1047" s="99"/>
      <c r="G1047" s="99"/>
      <c r="H1047" s="21"/>
      <c r="I1047" s="86"/>
      <c r="J1047" s="21"/>
      <c r="K1047" s="5" t="str">
        <f>IF(AND(LEN(H1047)=0, LEN(I1047)=0), "", IF(AND(LEN(H1047)&gt;0, LEN(I1047)=0), "BLANCO", IFERROR(VLOOKUP(I1047, BasedatosM9!A:B, 2, FALSE), "BLANCO")))</f>
        <v/>
      </c>
      <c r="W1047" s="5" t="str">
        <f>IF(AND(LEN(T1047)=0, LEN(U1047)=0), "", IF(AND(LEN(T1047)&gt;0, LEN(U1047)=0), "BLANCO", IFERROR(VLOOKUP(U1047, BasedatosM9!A:B, 2, FALSE), "BLANCO")))</f>
        <v/>
      </c>
      <c r="AI1047" s="5" t="str">
        <f>IF(AND(LEN(AF1047)=0, LEN(AG1047)=0), "", IF(AND(LEN(AF1047)&gt;0, LEN(AG1047)=0), "BLANCO", IFERROR(VLOOKUP(AG1047, BasedatosM9!A:B, 2, FALSE), "BLANCO")))</f>
        <v/>
      </c>
      <c r="AU1047" s="5" t="str">
        <f>IF(AND(LEN(AR1047)=0, LEN(AS1047)=0), "", IF(AND(LEN(AR1047)&gt;0, LEN(AS1047)=0), "BLANCO", IFERROR(VLOOKUP(AS1047, BasedatosM9!A:B, 2, FALSE), "BLANCO")))</f>
        <v/>
      </c>
    </row>
    <row r="1048" spans="1:47" ht="14.4">
      <c r="A1048" s="21"/>
      <c r="B1048" s="86"/>
      <c r="C1048" s="98"/>
      <c r="D1048" s="21"/>
      <c r="E1048" s="86"/>
      <c r="F1048" s="99"/>
      <c r="G1048" s="99"/>
      <c r="H1048" s="21"/>
      <c r="I1048" s="21"/>
      <c r="J1048" s="21"/>
      <c r="K1048" s="5" t="str">
        <f>IF(AND(LEN(H1048)=0, LEN(I1048)=0), "", IF(AND(LEN(H1048)&gt;0, LEN(I1048)=0), "BLANCO", IFERROR(VLOOKUP(I1048, BasedatosM9!A:B, 2, FALSE), "BLANCO")))</f>
        <v/>
      </c>
      <c r="W1048" s="5" t="str">
        <f>IF(AND(LEN(T1048)=0, LEN(U1048)=0), "", IF(AND(LEN(T1048)&gt;0, LEN(U1048)=0), "BLANCO", IFERROR(VLOOKUP(U1048, BasedatosM9!A:B, 2, FALSE), "BLANCO")))</f>
        <v/>
      </c>
      <c r="AI1048" s="5" t="str">
        <f>IF(AND(LEN(AF1048)=0, LEN(AG1048)=0), "", IF(AND(LEN(AF1048)&gt;0, LEN(AG1048)=0), "BLANCO", IFERROR(VLOOKUP(AG1048, BasedatosM9!A:B, 2, FALSE), "BLANCO")))</f>
        <v/>
      </c>
      <c r="AU1048" s="5" t="str">
        <f>IF(AND(LEN(AR1048)=0, LEN(AS1048)=0), "", IF(AND(LEN(AR1048)&gt;0, LEN(AS1048)=0), "BLANCO", IFERROR(VLOOKUP(AS1048, BasedatosM9!A:B, 2, FALSE), "BLANCO")))</f>
        <v/>
      </c>
    </row>
    <row r="1049" spans="1:47" ht="14.4">
      <c r="A1049" s="21"/>
      <c r="B1049" s="86"/>
      <c r="C1049" s="98"/>
      <c r="D1049" s="21"/>
      <c r="E1049" s="86"/>
      <c r="F1049" s="99"/>
      <c r="G1049" s="99"/>
      <c r="H1049" s="21"/>
      <c r="I1049" s="86"/>
      <c r="J1049" s="21"/>
      <c r="K1049" s="5" t="str">
        <f>IF(AND(LEN(H1049)=0, LEN(I1049)=0), "", IF(AND(LEN(H1049)&gt;0, LEN(I1049)=0), "BLANCO", IFERROR(VLOOKUP(I1049, BasedatosM9!A:B, 2, FALSE), "BLANCO")))</f>
        <v/>
      </c>
      <c r="W1049" s="5" t="str">
        <f>IF(AND(LEN(T1049)=0, LEN(U1049)=0), "", IF(AND(LEN(T1049)&gt;0, LEN(U1049)=0), "BLANCO", IFERROR(VLOOKUP(U1049, BasedatosM9!A:B, 2, FALSE), "BLANCO")))</f>
        <v/>
      </c>
      <c r="AI1049" s="5" t="str">
        <f>IF(AND(LEN(AF1049)=0, LEN(AG1049)=0), "", IF(AND(LEN(AF1049)&gt;0, LEN(AG1049)=0), "BLANCO", IFERROR(VLOOKUP(AG1049, BasedatosM9!A:B, 2, FALSE), "BLANCO")))</f>
        <v/>
      </c>
      <c r="AU1049" s="5" t="str">
        <f>IF(AND(LEN(AR1049)=0, LEN(AS1049)=0), "", IF(AND(LEN(AR1049)&gt;0, LEN(AS1049)=0), "BLANCO", IFERROR(VLOOKUP(AS1049, BasedatosM9!A:B, 2, FALSE), "BLANCO")))</f>
        <v/>
      </c>
    </row>
    <row r="1050" spans="1:47" ht="14.4">
      <c r="A1050" s="21"/>
      <c r="B1050" s="86"/>
      <c r="C1050" s="98"/>
      <c r="D1050" s="21"/>
      <c r="E1050" s="86"/>
      <c r="F1050" s="99"/>
      <c r="G1050" s="99"/>
      <c r="H1050" s="21"/>
      <c r="I1050" s="86"/>
      <c r="J1050" s="21"/>
      <c r="K1050" s="5" t="str">
        <f>IF(AND(LEN(H1050)=0, LEN(I1050)=0), "", IF(AND(LEN(H1050)&gt;0, LEN(I1050)=0), "BLANCO", IFERROR(VLOOKUP(I1050, BasedatosM9!A:B, 2, FALSE), "BLANCO")))</f>
        <v/>
      </c>
      <c r="W1050" s="5" t="str">
        <f>IF(AND(LEN(T1050)=0, LEN(U1050)=0), "", IF(AND(LEN(T1050)&gt;0, LEN(U1050)=0), "BLANCO", IFERROR(VLOOKUP(U1050, BasedatosM9!A:B, 2, FALSE), "BLANCO")))</f>
        <v/>
      </c>
      <c r="AI1050" s="5" t="str">
        <f>IF(AND(LEN(AF1050)=0, LEN(AG1050)=0), "", IF(AND(LEN(AF1050)&gt;0, LEN(AG1050)=0), "BLANCO", IFERROR(VLOOKUP(AG1050, BasedatosM9!A:B, 2, FALSE), "BLANCO")))</f>
        <v/>
      </c>
      <c r="AU1050" s="5" t="str">
        <f>IF(AND(LEN(AR1050)=0, LEN(AS1050)=0), "", IF(AND(LEN(AR1050)&gt;0, LEN(AS1050)=0), "BLANCO", IFERROR(VLOOKUP(AS1050, BasedatosM9!A:B, 2, FALSE), "BLANCO")))</f>
        <v/>
      </c>
    </row>
    <row r="1051" spans="1:47" ht="14.4">
      <c r="A1051" s="21"/>
      <c r="B1051" s="86"/>
      <c r="C1051" s="98"/>
      <c r="D1051" s="21"/>
      <c r="E1051" s="86"/>
      <c r="F1051" s="99"/>
      <c r="G1051" s="99"/>
      <c r="H1051" s="21"/>
      <c r="I1051" s="86"/>
      <c r="J1051" s="21"/>
      <c r="K1051" s="5" t="str">
        <f>IF(AND(LEN(H1051)=0, LEN(I1051)=0), "", IF(AND(LEN(H1051)&gt;0, LEN(I1051)=0), "BLANCO", IFERROR(VLOOKUP(I1051, BasedatosM9!A:B, 2, FALSE), "BLANCO")))</f>
        <v/>
      </c>
      <c r="W1051" s="5" t="str">
        <f>IF(AND(LEN(T1051)=0, LEN(U1051)=0), "", IF(AND(LEN(T1051)&gt;0, LEN(U1051)=0), "BLANCO", IFERROR(VLOOKUP(U1051, BasedatosM9!A:B, 2, FALSE), "BLANCO")))</f>
        <v/>
      </c>
      <c r="AI1051" s="5" t="str">
        <f>IF(AND(LEN(AF1051)=0, LEN(AG1051)=0), "", IF(AND(LEN(AF1051)&gt;0, LEN(AG1051)=0), "BLANCO", IFERROR(VLOOKUP(AG1051, BasedatosM9!A:B, 2, FALSE), "BLANCO")))</f>
        <v/>
      </c>
      <c r="AU1051" s="5" t="str">
        <f>IF(AND(LEN(AR1051)=0, LEN(AS1051)=0), "", IF(AND(LEN(AR1051)&gt;0, LEN(AS1051)=0), "BLANCO", IFERROR(VLOOKUP(AS1051, BasedatosM9!A:B, 2, FALSE), "BLANCO")))</f>
        <v/>
      </c>
    </row>
    <row r="1052" spans="1:47" ht="14.4">
      <c r="A1052" s="21"/>
      <c r="B1052" s="86"/>
      <c r="C1052" s="98"/>
      <c r="D1052" s="21"/>
      <c r="E1052" s="86"/>
      <c r="F1052" s="99"/>
      <c r="G1052" s="99"/>
      <c r="H1052" s="21"/>
      <c r="I1052" s="21"/>
      <c r="J1052" s="21"/>
      <c r="K1052" s="5" t="str">
        <f>IF(AND(LEN(H1052)=0, LEN(I1052)=0), "", IF(AND(LEN(H1052)&gt;0, LEN(I1052)=0), "BLANCO", IFERROR(VLOOKUP(I1052, BasedatosM9!A:B, 2, FALSE), "BLANCO")))</f>
        <v/>
      </c>
      <c r="W1052" s="5" t="str">
        <f>IF(AND(LEN(T1052)=0, LEN(U1052)=0), "", IF(AND(LEN(T1052)&gt;0, LEN(U1052)=0), "BLANCO", IFERROR(VLOOKUP(U1052, BasedatosM9!A:B, 2, FALSE), "BLANCO")))</f>
        <v/>
      </c>
      <c r="AI1052" s="5" t="str">
        <f>IF(AND(LEN(AF1052)=0, LEN(AG1052)=0), "", IF(AND(LEN(AF1052)&gt;0, LEN(AG1052)=0), "BLANCO", IFERROR(VLOOKUP(AG1052, BasedatosM9!A:B, 2, FALSE), "BLANCO")))</f>
        <v/>
      </c>
      <c r="AU1052" s="5" t="str">
        <f>IF(AND(LEN(AR1052)=0, LEN(AS1052)=0), "", IF(AND(LEN(AR1052)&gt;0, LEN(AS1052)=0), "BLANCO", IFERROR(VLOOKUP(AS1052, BasedatosM9!A:B, 2, FALSE), "BLANCO")))</f>
        <v/>
      </c>
    </row>
    <row r="1053" spans="1:47" ht="14.4">
      <c r="A1053" s="21"/>
      <c r="B1053" s="86"/>
      <c r="C1053" s="98"/>
      <c r="D1053" s="21"/>
      <c r="E1053" s="86"/>
      <c r="F1053" s="99"/>
      <c r="G1053" s="99"/>
      <c r="H1053" s="21"/>
      <c r="I1053" s="86"/>
      <c r="J1053" s="21"/>
      <c r="K1053" s="5" t="str">
        <f>IF(AND(LEN(H1053)=0, LEN(I1053)=0), "", IF(AND(LEN(H1053)&gt;0, LEN(I1053)=0), "BLANCO", IFERROR(VLOOKUP(I1053, BasedatosM9!A:B, 2, FALSE), "BLANCO")))</f>
        <v/>
      </c>
      <c r="W1053" s="5" t="str">
        <f>IF(AND(LEN(T1053)=0, LEN(U1053)=0), "", IF(AND(LEN(T1053)&gt;0, LEN(U1053)=0), "BLANCO", IFERROR(VLOOKUP(U1053, BasedatosM9!A:B, 2, FALSE), "BLANCO")))</f>
        <v/>
      </c>
      <c r="AI1053" s="5" t="str">
        <f>IF(AND(LEN(AF1053)=0, LEN(AG1053)=0), "", IF(AND(LEN(AF1053)&gt;0, LEN(AG1053)=0), "BLANCO", IFERROR(VLOOKUP(AG1053, BasedatosM9!A:B, 2, FALSE), "BLANCO")))</f>
        <v/>
      </c>
      <c r="AU1053" s="5" t="str">
        <f>IF(AND(LEN(AR1053)=0, LEN(AS1053)=0), "", IF(AND(LEN(AR1053)&gt;0, LEN(AS1053)=0), "BLANCO", IFERROR(VLOOKUP(AS1053, BasedatosM9!A:B, 2, FALSE), "BLANCO")))</f>
        <v/>
      </c>
    </row>
    <row r="1054" spans="1:47" ht="14.4">
      <c r="A1054" s="21"/>
      <c r="B1054" s="86"/>
      <c r="C1054" s="98"/>
      <c r="D1054" s="21"/>
      <c r="E1054" s="86"/>
      <c r="F1054" s="99"/>
      <c r="G1054" s="99"/>
      <c r="H1054" s="21"/>
      <c r="I1054" s="86"/>
      <c r="J1054" s="21"/>
      <c r="K1054" s="5" t="str">
        <f>IF(AND(LEN(H1054)=0, LEN(I1054)=0), "", IF(AND(LEN(H1054)&gt;0, LEN(I1054)=0), "BLANCO", IFERROR(VLOOKUP(I1054, BasedatosM9!A:B, 2, FALSE), "BLANCO")))</f>
        <v/>
      </c>
      <c r="W1054" s="5" t="str">
        <f>IF(AND(LEN(T1054)=0, LEN(U1054)=0), "", IF(AND(LEN(T1054)&gt;0, LEN(U1054)=0), "BLANCO", IFERROR(VLOOKUP(U1054, BasedatosM9!A:B, 2, FALSE), "BLANCO")))</f>
        <v/>
      </c>
      <c r="AI1054" s="5" t="str">
        <f>IF(AND(LEN(AF1054)=0, LEN(AG1054)=0), "", IF(AND(LEN(AF1054)&gt;0, LEN(AG1054)=0), "BLANCO", IFERROR(VLOOKUP(AG1054, BasedatosM9!A:B, 2, FALSE), "BLANCO")))</f>
        <v/>
      </c>
      <c r="AU1054" s="5" t="str">
        <f>IF(AND(LEN(AR1054)=0, LEN(AS1054)=0), "", IF(AND(LEN(AR1054)&gt;0, LEN(AS1054)=0), "BLANCO", IFERROR(VLOOKUP(AS1054, BasedatosM9!A:B, 2, FALSE), "BLANCO")))</f>
        <v/>
      </c>
    </row>
    <row r="1055" spans="1:47" ht="14.4">
      <c r="A1055" s="21"/>
      <c r="B1055" s="86"/>
      <c r="C1055" s="98"/>
      <c r="D1055" s="21"/>
      <c r="E1055" s="86"/>
      <c r="F1055" s="99"/>
      <c r="G1055" s="99"/>
      <c r="H1055" s="21"/>
      <c r="I1055" s="21"/>
      <c r="J1055" s="21"/>
      <c r="K1055" s="5" t="str">
        <f>IF(AND(LEN(H1055)=0, LEN(I1055)=0), "", IF(AND(LEN(H1055)&gt;0, LEN(I1055)=0), "BLANCO", IFERROR(VLOOKUP(I1055, BasedatosM9!A:B, 2, FALSE), "BLANCO")))</f>
        <v/>
      </c>
      <c r="W1055" s="5" t="str">
        <f>IF(AND(LEN(T1055)=0, LEN(U1055)=0), "", IF(AND(LEN(T1055)&gt;0, LEN(U1055)=0), "BLANCO", IFERROR(VLOOKUP(U1055, BasedatosM9!A:B, 2, FALSE), "BLANCO")))</f>
        <v/>
      </c>
      <c r="AI1055" s="5" t="str">
        <f>IF(AND(LEN(AF1055)=0, LEN(AG1055)=0), "", IF(AND(LEN(AF1055)&gt;0, LEN(AG1055)=0), "BLANCO", IFERROR(VLOOKUP(AG1055, BasedatosM9!A:B, 2, FALSE), "BLANCO")))</f>
        <v/>
      </c>
      <c r="AU1055" s="5" t="str">
        <f>IF(AND(LEN(AR1055)=0, LEN(AS1055)=0), "", IF(AND(LEN(AR1055)&gt;0, LEN(AS1055)=0), "BLANCO", IFERROR(VLOOKUP(AS1055, BasedatosM9!A:B, 2, FALSE), "BLANCO")))</f>
        <v/>
      </c>
    </row>
    <row r="1056" spans="1:47" ht="14.4">
      <c r="A1056" s="21"/>
      <c r="B1056" s="86"/>
      <c r="C1056" s="98"/>
      <c r="D1056" s="21"/>
      <c r="E1056" s="86"/>
      <c r="F1056" s="99"/>
      <c r="G1056" s="99"/>
      <c r="H1056" s="21"/>
      <c r="I1056" s="86"/>
      <c r="J1056" s="21"/>
      <c r="K1056" s="5" t="str">
        <f>IF(AND(LEN(H1056)=0, LEN(I1056)=0), "", IF(AND(LEN(H1056)&gt;0, LEN(I1056)=0), "BLANCO", IFERROR(VLOOKUP(I1056, BasedatosM9!A:B, 2, FALSE), "BLANCO")))</f>
        <v/>
      </c>
      <c r="W1056" s="5" t="str">
        <f>IF(AND(LEN(T1056)=0, LEN(U1056)=0), "", IF(AND(LEN(T1056)&gt;0, LEN(U1056)=0), "BLANCO", IFERROR(VLOOKUP(U1056, BasedatosM9!A:B, 2, FALSE), "BLANCO")))</f>
        <v/>
      </c>
      <c r="AI1056" s="5" t="str">
        <f>IF(AND(LEN(AF1056)=0, LEN(AG1056)=0), "", IF(AND(LEN(AF1056)&gt;0, LEN(AG1056)=0), "BLANCO", IFERROR(VLOOKUP(AG1056, BasedatosM9!A:B, 2, FALSE), "BLANCO")))</f>
        <v/>
      </c>
      <c r="AU1056" s="5" t="str">
        <f>IF(AND(LEN(AR1056)=0, LEN(AS1056)=0), "", IF(AND(LEN(AR1056)&gt;0, LEN(AS1056)=0), "BLANCO", IFERROR(VLOOKUP(AS1056, BasedatosM9!A:B, 2, FALSE), "BLANCO")))</f>
        <v/>
      </c>
    </row>
    <row r="1057" spans="1:47" ht="14.4">
      <c r="A1057" s="21"/>
      <c r="B1057" s="86"/>
      <c r="C1057" s="98"/>
      <c r="D1057" s="21"/>
      <c r="E1057" s="86"/>
      <c r="F1057" s="99"/>
      <c r="G1057" s="99"/>
      <c r="H1057" s="21"/>
      <c r="I1057" s="86"/>
      <c r="J1057" s="21"/>
      <c r="K1057" s="5" t="str">
        <f>IF(AND(LEN(H1057)=0, LEN(I1057)=0), "", IF(AND(LEN(H1057)&gt;0, LEN(I1057)=0), "BLANCO", IFERROR(VLOOKUP(I1057, BasedatosM9!A:B, 2, FALSE), "BLANCO")))</f>
        <v/>
      </c>
      <c r="W1057" s="5" t="str">
        <f>IF(AND(LEN(T1057)=0, LEN(U1057)=0), "", IF(AND(LEN(T1057)&gt;0, LEN(U1057)=0), "BLANCO", IFERROR(VLOOKUP(U1057, BasedatosM9!A:B, 2, FALSE), "BLANCO")))</f>
        <v/>
      </c>
      <c r="AI1057" s="5" t="str">
        <f>IF(AND(LEN(AF1057)=0, LEN(AG1057)=0), "", IF(AND(LEN(AF1057)&gt;0, LEN(AG1057)=0), "BLANCO", IFERROR(VLOOKUP(AG1057, BasedatosM9!A:B, 2, FALSE), "BLANCO")))</f>
        <v/>
      </c>
      <c r="AU1057" s="5" t="str">
        <f>IF(AND(LEN(AR1057)=0, LEN(AS1057)=0), "", IF(AND(LEN(AR1057)&gt;0, LEN(AS1057)=0), "BLANCO", IFERROR(VLOOKUP(AS1057, BasedatosM9!A:B, 2, FALSE), "BLANCO")))</f>
        <v/>
      </c>
    </row>
    <row r="1058" spans="1:47" ht="14.4">
      <c r="A1058" s="21"/>
      <c r="B1058" s="86"/>
      <c r="C1058" s="98"/>
      <c r="D1058" s="21"/>
      <c r="E1058" s="86"/>
      <c r="F1058" s="99"/>
      <c r="G1058" s="99"/>
      <c r="H1058" s="21"/>
      <c r="I1058" s="86"/>
      <c r="J1058" s="21"/>
      <c r="K1058" s="5" t="str">
        <f>IF(AND(LEN(H1058)=0, LEN(I1058)=0), "", IF(AND(LEN(H1058)&gt;0, LEN(I1058)=0), "BLANCO", IFERROR(VLOOKUP(I1058, BasedatosM9!A:B, 2, FALSE), "BLANCO")))</f>
        <v/>
      </c>
      <c r="W1058" s="5" t="str">
        <f>IF(AND(LEN(T1058)=0, LEN(U1058)=0), "", IF(AND(LEN(T1058)&gt;0, LEN(U1058)=0), "BLANCO", IFERROR(VLOOKUP(U1058, BasedatosM9!A:B, 2, FALSE), "BLANCO")))</f>
        <v/>
      </c>
      <c r="AI1058" s="5" t="str">
        <f>IF(AND(LEN(AF1058)=0, LEN(AG1058)=0), "", IF(AND(LEN(AF1058)&gt;0, LEN(AG1058)=0), "BLANCO", IFERROR(VLOOKUP(AG1058, BasedatosM9!A:B, 2, FALSE), "BLANCO")))</f>
        <v/>
      </c>
      <c r="AU1058" s="5" t="str">
        <f>IF(AND(LEN(AR1058)=0, LEN(AS1058)=0), "", IF(AND(LEN(AR1058)&gt;0, LEN(AS1058)=0), "BLANCO", IFERROR(VLOOKUP(AS1058, BasedatosM9!A:B, 2, FALSE), "BLANCO")))</f>
        <v/>
      </c>
    </row>
    <row r="1059" spans="1:47" ht="14.4">
      <c r="A1059" s="21"/>
      <c r="B1059" s="86"/>
      <c r="C1059" s="98"/>
      <c r="D1059" s="21"/>
      <c r="E1059" s="86"/>
      <c r="F1059" s="99"/>
      <c r="G1059" s="99"/>
      <c r="H1059" s="21"/>
      <c r="I1059" s="21"/>
      <c r="J1059" s="21"/>
      <c r="K1059" s="5" t="str">
        <f>IF(AND(LEN(H1059)=0, LEN(I1059)=0), "", IF(AND(LEN(H1059)&gt;0, LEN(I1059)=0), "BLANCO", IFERROR(VLOOKUP(I1059, BasedatosM9!A:B, 2, FALSE), "BLANCO")))</f>
        <v/>
      </c>
      <c r="W1059" s="5" t="str">
        <f>IF(AND(LEN(T1059)=0, LEN(U1059)=0), "", IF(AND(LEN(T1059)&gt;0, LEN(U1059)=0), "BLANCO", IFERROR(VLOOKUP(U1059, BasedatosM9!A:B, 2, FALSE), "BLANCO")))</f>
        <v/>
      </c>
      <c r="AI1059" s="5" t="str">
        <f>IF(AND(LEN(AF1059)=0, LEN(AG1059)=0), "", IF(AND(LEN(AF1059)&gt;0, LEN(AG1059)=0), "BLANCO", IFERROR(VLOOKUP(AG1059, BasedatosM9!A:B, 2, FALSE), "BLANCO")))</f>
        <v/>
      </c>
      <c r="AU1059" s="5" t="str">
        <f>IF(AND(LEN(AR1059)=0, LEN(AS1059)=0), "", IF(AND(LEN(AR1059)&gt;0, LEN(AS1059)=0), "BLANCO", IFERROR(VLOOKUP(AS1059, BasedatosM9!A:B, 2, FALSE), "BLANCO")))</f>
        <v/>
      </c>
    </row>
    <row r="1060" spans="1:47" ht="14.4">
      <c r="A1060" s="21"/>
      <c r="B1060" s="86"/>
      <c r="C1060" s="98"/>
      <c r="D1060" s="21"/>
      <c r="E1060" s="86"/>
      <c r="F1060" s="99"/>
      <c r="G1060" s="99"/>
      <c r="H1060" s="21"/>
      <c r="I1060" s="21"/>
      <c r="J1060" s="21"/>
      <c r="K1060" s="5" t="str">
        <f>IF(AND(LEN(H1060)=0, LEN(I1060)=0), "", IF(AND(LEN(H1060)&gt;0, LEN(I1060)=0), "BLANCO", IFERROR(VLOOKUP(I1060, BasedatosM9!A:B, 2, FALSE), "BLANCO")))</f>
        <v/>
      </c>
      <c r="W1060" s="5" t="str">
        <f>IF(AND(LEN(T1060)=0, LEN(U1060)=0), "", IF(AND(LEN(T1060)&gt;0, LEN(U1060)=0), "BLANCO", IFERROR(VLOOKUP(U1060, BasedatosM9!A:B, 2, FALSE), "BLANCO")))</f>
        <v/>
      </c>
      <c r="AI1060" s="5" t="str">
        <f>IF(AND(LEN(AF1060)=0, LEN(AG1060)=0), "", IF(AND(LEN(AF1060)&gt;0, LEN(AG1060)=0), "BLANCO", IFERROR(VLOOKUP(AG1060, BasedatosM9!A:B, 2, FALSE), "BLANCO")))</f>
        <v/>
      </c>
      <c r="AU1060" s="5" t="str">
        <f>IF(AND(LEN(AR1060)=0, LEN(AS1060)=0), "", IF(AND(LEN(AR1060)&gt;0, LEN(AS1060)=0), "BLANCO", IFERROR(VLOOKUP(AS1060, BasedatosM9!A:B, 2, FALSE), "BLANCO")))</f>
        <v/>
      </c>
    </row>
    <row r="1061" spans="1:47" ht="14.4">
      <c r="A1061" s="21"/>
      <c r="B1061" s="86"/>
      <c r="C1061" s="98"/>
      <c r="D1061" s="21"/>
      <c r="E1061" s="86"/>
      <c r="F1061" s="99"/>
      <c r="G1061" s="99"/>
      <c r="H1061" s="21"/>
      <c r="I1061" s="21"/>
      <c r="J1061" s="21"/>
      <c r="K1061" s="5" t="str">
        <f>IF(AND(LEN(H1061)=0, LEN(I1061)=0), "", IF(AND(LEN(H1061)&gt;0, LEN(I1061)=0), "BLANCO", IFERROR(VLOOKUP(I1061, BasedatosM9!A:B, 2, FALSE), "BLANCO")))</f>
        <v/>
      </c>
      <c r="W1061" s="5" t="str">
        <f>IF(AND(LEN(T1061)=0, LEN(U1061)=0), "", IF(AND(LEN(T1061)&gt;0, LEN(U1061)=0), "BLANCO", IFERROR(VLOOKUP(U1061, BasedatosM9!A:B, 2, FALSE), "BLANCO")))</f>
        <v/>
      </c>
      <c r="AI1061" s="5" t="str">
        <f>IF(AND(LEN(AF1061)=0, LEN(AG1061)=0), "", IF(AND(LEN(AF1061)&gt;0, LEN(AG1061)=0), "BLANCO", IFERROR(VLOOKUP(AG1061, BasedatosM9!A:B, 2, FALSE), "BLANCO")))</f>
        <v/>
      </c>
      <c r="AU1061" s="5" t="str">
        <f>IF(AND(LEN(AR1061)=0, LEN(AS1061)=0), "", IF(AND(LEN(AR1061)&gt;0, LEN(AS1061)=0), "BLANCO", IFERROR(VLOOKUP(AS1061, BasedatosM9!A:B, 2, FALSE), "BLANCO")))</f>
        <v/>
      </c>
    </row>
    <row r="1062" spans="1:47" ht="14.4">
      <c r="A1062" s="21"/>
      <c r="B1062" s="86"/>
      <c r="C1062" s="98"/>
      <c r="D1062" s="21"/>
      <c r="E1062" s="86"/>
      <c r="F1062" s="99"/>
      <c r="G1062" s="99"/>
      <c r="H1062" s="21"/>
      <c r="I1062" s="86"/>
      <c r="J1062" s="21"/>
      <c r="K1062" s="5" t="str">
        <f>IF(AND(LEN(H1062)=0, LEN(I1062)=0), "", IF(AND(LEN(H1062)&gt;0, LEN(I1062)=0), "BLANCO", IFERROR(VLOOKUP(I1062, BasedatosM9!A:B, 2, FALSE), "BLANCO")))</f>
        <v/>
      </c>
      <c r="W1062" s="5" t="str">
        <f>IF(AND(LEN(T1062)=0, LEN(U1062)=0), "", IF(AND(LEN(T1062)&gt;0, LEN(U1062)=0), "BLANCO", IFERROR(VLOOKUP(U1062, BasedatosM9!A:B, 2, FALSE), "BLANCO")))</f>
        <v/>
      </c>
      <c r="AI1062" s="5" t="str">
        <f>IF(AND(LEN(AF1062)=0, LEN(AG1062)=0), "", IF(AND(LEN(AF1062)&gt;0, LEN(AG1062)=0), "BLANCO", IFERROR(VLOOKUP(AG1062, BasedatosM9!A:B, 2, FALSE), "BLANCO")))</f>
        <v/>
      </c>
      <c r="AU1062" s="5" t="str">
        <f>IF(AND(LEN(AR1062)=0, LEN(AS1062)=0), "", IF(AND(LEN(AR1062)&gt;0, LEN(AS1062)=0), "BLANCO", IFERROR(VLOOKUP(AS1062, BasedatosM9!A:B, 2, FALSE), "BLANCO")))</f>
        <v/>
      </c>
    </row>
    <row r="1063" spans="1:47" ht="14.4">
      <c r="A1063" s="21"/>
      <c r="B1063" s="86"/>
      <c r="C1063" s="98"/>
      <c r="D1063" s="21"/>
      <c r="E1063" s="86"/>
      <c r="F1063" s="99"/>
      <c r="G1063" s="99"/>
      <c r="H1063" s="21"/>
      <c r="I1063" s="86"/>
      <c r="J1063" s="21"/>
      <c r="K1063" s="5" t="str">
        <f>IF(AND(LEN(H1063)=0, LEN(I1063)=0), "", IF(AND(LEN(H1063)&gt;0, LEN(I1063)=0), "BLANCO", IFERROR(VLOOKUP(I1063, BasedatosM9!A:B, 2, FALSE), "BLANCO")))</f>
        <v/>
      </c>
      <c r="W1063" s="5" t="str">
        <f>IF(AND(LEN(T1063)=0, LEN(U1063)=0), "", IF(AND(LEN(T1063)&gt;0, LEN(U1063)=0), "BLANCO", IFERROR(VLOOKUP(U1063, BasedatosM9!A:B, 2, FALSE), "BLANCO")))</f>
        <v/>
      </c>
      <c r="AI1063" s="5" t="str">
        <f>IF(AND(LEN(AF1063)=0, LEN(AG1063)=0), "", IF(AND(LEN(AF1063)&gt;0, LEN(AG1063)=0), "BLANCO", IFERROR(VLOOKUP(AG1063, BasedatosM9!A:B, 2, FALSE), "BLANCO")))</f>
        <v/>
      </c>
      <c r="AU1063" s="5" t="str">
        <f>IF(AND(LEN(AR1063)=0, LEN(AS1063)=0), "", IF(AND(LEN(AR1063)&gt;0, LEN(AS1063)=0), "BLANCO", IFERROR(VLOOKUP(AS1063, BasedatosM9!A:B, 2, FALSE), "BLANCO")))</f>
        <v/>
      </c>
    </row>
    <row r="1064" spans="1:47" ht="14.4">
      <c r="A1064" s="21"/>
      <c r="B1064" s="86"/>
      <c r="C1064" s="98"/>
      <c r="D1064" s="21"/>
      <c r="E1064" s="86"/>
      <c r="F1064" s="99"/>
      <c r="G1064" s="99"/>
      <c r="H1064" s="21"/>
      <c r="I1064" s="21"/>
      <c r="J1064" s="21"/>
      <c r="K1064" s="5" t="str">
        <f>IF(AND(LEN(H1064)=0, LEN(I1064)=0), "", IF(AND(LEN(H1064)&gt;0, LEN(I1064)=0), "BLANCO", IFERROR(VLOOKUP(I1064, BasedatosM9!A:B, 2, FALSE), "BLANCO")))</f>
        <v/>
      </c>
      <c r="W1064" s="5" t="str">
        <f>IF(AND(LEN(T1064)=0, LEN(U1064)=0), "", IF(AND(LEN(T1064)&gt;0, LEN(U1064)=0), "BLANCO", IFERROR(VLOOKUP(U1064, BasedatosM9!A:B, 2, FALSE), "BLANCO")))</f>
        <v/>
      </c>
      <c r="AI1064" s="5" t="str">
        <f>IF(AND(LEN(AF1064)=0, LEN(AG1064)=0), "", IF(AND(LEN(AF1064)&gt;0, LEN(AG1064)=0), "BLANCO", IFERROR(VLOOKUP(AG1064, BasedatosM9!A:B, 2, FALSE), "BLANCO")))</f>
        <v/>
      </c>
      <c r="AU1064" s="5" t="str">
        <f>IF(AND(LEN(AR1064)=0, LEN(AS1064)=0), "", IF(AND(LEN(AR1064)&gt;0, LEN(AS1064)=0), "BLANCO", IFERROR(VLOOKUP(AS1064, BasedatosM9!A:B, 2, FALSE), "BLANCO")))</f>
        <v/>
      </c>
    </row>
    <row r="1065" spans="1:47" ht="14.4">
      <c r="A1065" s="21"/>
      <c r="B1065" s="86"/>
      <c r="C1065" s="98"/>
      <c r="D1065" s="21"/>
      <c r="E1065" s="86"/>
      <c r="F1065" s="99"/>
      <c r="G1065" s="99"/>
      <c r="H1065" s="21"/>
      <c r="I1065" s="86"/>
      <c r="J1065" s="21"/>
      <c r="K1065" s="5" t="str">
        <f>IF(AND(LEN(H1065)=0, LEN(I1065)=0), "", IF(AND(LEN(H1065)&gt;0, LEN(I1065)=0), "BLANCO", IFERROR(VLOOKUP(I1065, BasedatosM9!A:B, 2, FALSE), "BLANCO")))</f>
        <v/>
      </c>
      <c r="W1065" s="5" t="str">
        <f>IF(AND(LEN(T1065)=0, LEN(U1065)=0), "", IF(AND(LEN(T1065)&gt;0, LEN(U1065)=0), "BLANCO", IFERROR(VLOOKUP(U1065, BasedatosM9!A:B, 2, FALSE), "BLANCO")))</f>
        <v/>
      </c>
      <c r="AI1065" s="5" t="str">
        <f>IF(AND(LEN(AF1065)=0, LEN(AG1065)=0), "", IF(AND(LEN(AF1065)&gt;0, LEN(AG1065)=0), "BLANCO", IFERROR(VLOOKUP(AG1065, BasedatosM9!A:B, 2, FALSE), "BLANCO")))</f>
        <v/>
      </c>
      <c r="AU1065" s="5" t="str">
        <f>IF(AND(LEN(AR1065)=0, LEN(AS1065)=0), "", IF(AND(LEN(AR1065)&gt;0, LEN(AS1065)=0), "BLANCO", IFERROR(VLOOKUP(AS1065, BasedatosM9!A:B, 2, FALSE), "BLANCO")))</f>
        <v/>
      </c>
    </row>
    <row r="1066" spans="1:47" ht="14.4">
      <c r="A1066" s="21"/>
      <c r="B1066" s="86"/>
      <c r="C1066" s="98"/>
      <c r="D1066" s="21"/>
      <c r="E1066" s="86"/>
      <c r="F1066" s="99"/>
      <c r="G1066" s="99"/>
      <c r="H1066" s="21"/>
      <c r="I1066" s="21"/>
      <c r="J1066" s="21"/>
      <c r="K1066" s="5" t="str">
        <f>IF(AND(LEN(H1066)=0, LEN(I1066)=0), "", IF(AND(LEN(H1066)&gt;0, LEN(I1066)=0), "BLANCO", IFERROR(VLOOKUP(I1066, BasedatosM9!A:B, 2, FALSE), "BLANCO")))</f>
        <v/>
      </c>
      <c r="W1066" s="5" t="str">
        <f>IF(AND(LEN(T1066)=0, LEN(U1066)=0), "", IF(AND(LEN(T1066)&gt;0, LEN(U1066)=0), "BLANCO", IFERROR(VLOOKUP(U1066, BasedatosM9!A:B, 2, FALSE), "BLANCO")))</f>
        <v/>
      </c>
      <c r="AI1066" s="5" t="str">
        <f>IF(AND(LEN(AF1066)=0, LEN(AG1066)=0), "", IF(AND(LEN(AF1066)&gt;0, LEN(AG1066)=0), "BLANCO", IFERROR(VLOOKUP(AG1066, BasedatosM9!A:B, 2, FALSE), "BLANCO")))</f>
        <v/>
      </c>
      <c r="AU1066" s="5" t="str">
        <f>IF(AND(LEN(AR1066)=0, LEN(AS1066)=0), "", IF(AND(LEN(AR1066)&gt;0, LEN(AS1066)=0), "BLANCO", IFERROR(VLOOKUP(AS1066, BasedatosM9!A:B, 2, FALSE), "BLANCO")))</f>
        <v/>
      </c>
    </row>
    <row r="1067" spans="1:47" ht="14.4">
      <c r="A1067" s="21"/>
      <c r="B1067" s="86"/>
      <c r="C1067" s="98"/>
      <c r="D1067" s="21"/>
      <c r="E1067" s="86"/>
      <c r="F1067" s="99"/>
      <c r="G1067" s="99"/>
      <c r="H1067" s="21"/>
      <c r="I1067" s="86"/>
      <c r="J1067" s="21"/>
      <c r="K1067" s="5" t="str">
        <f>IF(AND(LEN(H1067)=0, LEN(I1067)=0), "", IF(AND(LEN(H1067)&gt;0, LEN(I1067)=0), "BLANCO", IFERROR(VLOOKUP(I1067, BasedatosM9!A:B, 2, FALSE), "BLANCO")))</f>
        <v/>
      </c>
      <c r="W1067" s="5" t="str">
        <f>IF(AND(LEN(T1067)=0, LEN(U1067)=0), "", IF(AND(LEN(T1067)&gt;0, LEN(U1067)=0), "BLANCO", IFERROR(VLOOKUP(U1067, BasedatosM9!A:B, 2, FALSE), "BLANCO")))</f>
        <v/>
      </c>
      <c r="AI1067" s="5" t="str">
        <f>IF(AND(LEN(AF1067)=0, LEN(AG1067)=0), "", IF(AND(LEN(AF1067)&gt;0, LEN(AG1067)=0), "BLANCO", IFERROR(VLOOKUP(AG1067, BasedatosM9!A:B, 2, FALSE), "BLANCO")))</f>
        <v/>
      </c>
      <c r="AU1067" s="5" t="str">
        <f>IF(AND(LEN(AR1067)=0, LEN(AS1067)=0), "", IF(AND(LEN(AR1067)&gt;0, LEN(AS1067)=0), "BLANCO", IFERROR(VLOOKUP(AS1067, BasedatosM9!A:B, 2, FALSE), "BLANCO")))</f>
        <v/>
      </c>
    </row>
    <row r="1068" spans="1:47" ht="14.4">
      <c r="A1068" s="21"/>
      <c r="B1068" s="86"/>
      <c r="C1068" s="98"/>
      <c r="D1068" s="21"/>
      <c r="E1068" s="86"/>
      <c r="F1068" s="99"/>
      <c r="G1068" s="99"/>
      <c r="H1068" s="21"/>
      <c r="I1068" s="86"/>
      <c r="J1068" s="21"/>
      <c r="K1068" s="5" t="str">
        <f>IF(AND(LEN(H1068)=0, LEN(I1068)=0), "", IF(AND(LEN(H1068)&gt;0, LEN(I1068)=0), "BLANCO", IFERROR(VLOOKUP(I1068, BasedatosM9!A:B, 2, FALSE), "BLANCO")))</f>
        <v/>
      </c>
      <c r="W1068" s="5" t="str">
        <f>IF(AND(LEN(T1068)=0, LEN(U1068)=0), "", IF(AND(LEN(T1068)&gt;0, LEN(U1068)=0), "BLANCO", IFERROR(VLOOKUP(U1068, BasedatosM9!A:B, 2, FALSE), "BLANCO")))</f>
        <v/>
      </c>
      <c r="AI1068" s="5" t="str">
        <f>IF(AND(LEN(AF1068)=0, LEN(AG1068)=0), "", IF(AND(LEN(AF1068)&gt;0, LEN(AG1068)=0), "BLANCO", IFERROR(VLOOKUP(AG1068, BasedatosM9!A:B, 2, FALSE), "BLANCO")))</f>
        <v/>
      </c>
      <c r="AU1068" s="5" t="str">
        <f>IF(AND(LEN(AR1068)=0, LEN(AS1068)=0), "", IF(AND(LEN(AR1068)&gt;0, LEN(AS1068)=0), "BLANCO", IFERROR(VLOOKUP(AS1068, BasedatosM9!A:B, 2, FALSE), "BLANCO")))</f>
        <v/>
      </c>
    </row>
    <row r="1069" spans="1:47" ht="14.4">
      <c r="A1069" s="21"/>
      <c r="B1069" s="86"/>
      <c r="C1069" s="98"/>
      <c r="D1069" s="21"/>
      <c r="E1069" s="86"/>
      <c r="F1069" s="99"/>
      <c r="G1069" s="99"/>
      <c r="H1069" s="21"/>
      <c r="I1069" s="21"/>
      <c r="J1069" s="21"/>
      <c r="K1069" s="5" t="str">
        <f>IF(AND(LEN(H1069)=0, LEN(I1069)=0), "", IF(AND(LEN(H1069)&gt;0, LEN(I1069)=0), "BLANCO", IFERROR(VLOOKUP(I1069, BasedatosM9!A:B, 2, FALSE), "BLANCO")))</f>
        <v/>
      </c>
      <c r="W1069" s="5" t="str">
        <f>IF(AND(LEN(T1069)=0, LEN(U1069)=0), "", IF(AND(LEN(T1069)&gt;0, LEN(U1069)=0), "BLANCO", IFERROR(VLOOKUP(U1069, BasedatosM9!A:B, 2, FALSE), "BLANCO")))</f>
        <v/>
      </c>
      <c r="AI1069" s="5" t="str">
        <f>IF(AND(LEN(AF1069)=0, LEN(AG1069)=0), "", IF(AND(LEN(AF1069)&gt;0, LEN(AG1069)=0), "BLANCO", IFERROR(VLOOKUP(AG1069, BasedatosM9!A:B, 2, FALSE), "BLANCO")))</f>
        <v/>
      </c>
      <c r="AU1069" s="5" t="str">
        <f>IF(AND(LEN(AR1069)=0, LEN(AS1069)=0), "", IF(AND(LEN(AR1069)&gt;0, LEN(AS1069)=0), "BLANCO", IFERROR(VLOOKUP(AS1069, BasedatosM9!A:B, 2, FALSE), "BLANCO")))</f>
        <v/>
      </c>
    </row>
    <row r="1070" spans="1:47" ht="14.4">
      <c r="A1070" s="21"/>
      <c r="B1070" s="86"/>
      <c r="C1070" s="98"/>
      <c r="D1070" s="21"/>
      <c r="E1070" s="86"/>
      <c r="F1070" s="99"/>
      <c r="G1070" s="99"/>
      <c r="H1070" s="21"/>
      <c r="I1070" s="21"/>
      <c r="J1070" s="21"/>
      <c r="K1070" s="5" t="str">
        <f>IF(AND(LEN(H1070)=0, LEN(I1070)=0), "", IF(AND(LEN(H1070)&gt;0, LEN(I1070)=0), "BLANCO", IFERROR(VLOOKUP(I1070, BasedatosM9!A:B, 2, FALSE), "BLANCO")))</f>
        <v/>
      </c>
      <c r="W1070" s="5" t="str">
        <f>IF(AND(LEN(T1070)=0, LEN(U1070)=0), "", IF(AND(LEN(T1070)&gt;0, LEN(U1070)=0), "BLANCO", IFERROR(VLOOKUP(U1070, BasedatosM9!A:B, 2, FALSE), "BLANCO")))</f>
        <v/>
      </c>
      <c r="AI1070" s="5" t="str">
        <f>IF(AND(LEN(AF1070)=0, LEN(AG1070)=0), "", IF(AND(LEN(AF1070)&gt;0, LEN(AG1070)=0), "BLANCO", IFERROR(VLOOKUP(AG1070, BasedatosM9!A:B, 2, FALSE), "BLANCO")))</f>
        <v/>
      </c>
      <c r="AU1070" s="5" t="str">
        <f>IF(AND(LEN(AR1070)=0, LEN(AS1070)=0), "", IF(AND(LEN(AR1070)&gt;0, LEN(AS1070)=0), "BLANCO", IFERROR(VLOOKUP(AS1070, BasedatosM9!A:B, 2, FALSE), "BLANCO")))</f>
        <v/>
      </c>
    </row>
    <row r="1071" spans="1:47" ht="14.4">
      <c r="A1071" s="21"/>
      <c r="B1071" s="86"/>
      <c r="C1071" s="98"/>
      <c r="D1071" s="21"/>
      <c r="E1071" s="86"/>
      <c r="F1071" s="99"/>
      <c r="G1071" s="99"/>
      <c r="H1071" s="21"/>
      <c r="I1071" s="21"/>
      <c r="J1071" s="21"/>
      <c r="K1071" s="5" t="str">
        <f>IF(AND(LEN(H1071)=0, LEN(I1071)=0), "", IF(AND(LEN(H1071)&gt;0, LEN(I1071)=0), "BLANCO", IFERROR(VLOOKUP(I1071, BasedatosM9!A:B, 2, FALSE), "BLANCO")))</f>
        <v/>
      </c>
      <c r="W1071" s="5" t="str">
        <f>IF(AND(LEN(T1071)=0, LEN(U1071)=0), "", IF(AND(LEN(T1071)&gt;0, LEN(U1071)=0), "BLANCO", IFERROR(VLOOKUP(U1071, BasedatosM9!A:B, 2, FALSE), "BLANCO")))</f>
        <v/>
      </c>
      <c r="AI1071" s="5" t="str">
        <f>IF(AND(LEN(AF1071)=0, LEN(AG1071)=0), "", IF(AND(LEN(AF1071)&gt;0, LEN(AG1071)=0), "BLANCO", IFERROR(VLOOKUP(AG1071, BasedatosM9!A:B, 2, FALSE), "BLANCO")))</f>
        <v/>
      </c>
      <c r="AU1071" s="5" t="str">
        <f>IF(AND(LEN(AR1071)=0, LEN(AS1071)=0), "", IF(AND(LEN(AR1071)&gt;0, LEN(AS1071)=0), "BLANCO", IFERROR(VLOOKUP(AS1071, BasedatosM9!A:B, 2, FALSE), "BLANCO")))</f>
        <v/>
      </c>
    </row>
    <row r="1072" spans="1:47" ht="14.4">
      <c r="A1072" s="21"/>
      <c r="B1072" s="86"/>
      <c r="C1072" s="98"/>
      <c r="D1072" s="21"/>
      <c r="E1072" s="86"/>
      <c r="F1072" s="99"/>
      <c r="G1072" s="99"/>
      <c r="H1072" s="21"/>
      <c r="I1072" s="21"/>
      <c r="J1072" s="21"/>
      <c r="K1072" s="5" t="str">
        <f>IF(AND(LEN(H1072)=0, LEN(I1072)=0), "", IF(AND(LEN(H1072)&gt;0, LEN(I1072)=0), "BLANCO", IFERROR(VLOOKUP(I1072, BasedatosM9!A:B, 2, FALSE), "BLANCO")))</f>
        <v/>
      </c>
      <c r="W1072" s="5" t="str">
        <f>IF(AND(LEN(T1072)=0, LEN(U1072)=0), "", IF(AND(LEN(T1072)&gt;0, LEN(U1072)=0), "BLANCO", IFERROR(VLOOKUP(U1072, BasedatosM9!A:B, 2, FALSE), "BLANCO")))</f>
        <v/>
      </c>
      <c r="AI1072" s="5" t="str">
        <f>IF(AND(LEN(AF1072)=0, LEN(AG1072)=0), "", IF(AND(LEN(AF1072)&gt;0, LEN(AG1072)=0), "BLANCO", IFERROR(VLOOKUP(AG1072, BasedatosM9!A:B, 2, FALSE), "BLANCO")))</f>
        <v/>
      </c>
      <c r="AU1072" s="5" t="str">
        <f>IF(AND(LEN(AR1072)=0, LEN(AS1072)=0), "", IF(AND(LEN(AR1072)&gt;0, LEN(AS1072)=0), "BLANCO", IFERROR(VLOOKUP(AS1072, BasedatosM9!A:B, 2, FALSE), "BLANCO")))</f>
        <v/>
      </c>
    </row>
    <row r="1073" spans="1:47" ht="14.4">
      <c r="A1073" s="21"/>
      <c r="B1073" s="86"/>
      <c r="C1073" s="98"/>
      <c r="D1073" s="21"/>
      <c r="E1073" s="86"/>
      <c r="F1073" s="99"/>
      <c r="G1073" s="99"/>
      <c r="H1073" s="21"/>
      <c r="I1073" s="21"/>
      <c r="J1073" s="21"/>
      <c r="K1073" s="5" t="str">
        <f>IF(AND(LEN(H1073)=0, LEN(I1073)=0), "", IF(AND(LEN(H1073)&gt;0, LEN(I1073)=0), "BLANCO", IFERROR(VLOOKUP(I1073, BasedatosM9!A:B, 2, FALSE), "BLANCO")))</f>
        <v/>
      </c>
      <c r="W1073" s="5" t="str">
        <f>IF(AND(LEN(T1073)=0, LEN(U1073)=0), "", IF(AND(LEN(T1073)&gt;0, LEN(U1073)=0), "BLANCO", IFERROR(VLOOKUP(U1073, BasedatosM9!A:B, 2, FALSE), "BLANCO")))</f>
        <v/>
      </c>
      <c r="AI1073" s="5" t="str">
        <f>IF(AND(LEN(AF1073)=0, LEN(AG1073)=0), "", IF(AND(LEN(AF1073)&gt;0, LEN(AG1073)=0), "BLANCO", IFERROR(VLOOKUP(AG1073, BasedatosM9!A:B, 2, FALSE), "BLANCO")))</f>
        <v/>
      </c>
      <c r="AU1073" s="5" t="str">
        <f>IF(AND(LEN(AR1073)=0, LEN(AS1073)=0), "", IF(AND(LEN(AR1073)&gt;0, LEN(AS1073)=0), "BLANCO", IFERROR(VLOOKUP(AS1073, BasedatosM9!A:B, 2, FALSE), "BLANCO")))</f>
        <v/>
      </c>
    </row>
    <row r="1074" spans="1:47" ht="14.4">
      <c r="A1074" s="21"/>
      <c r="B1074" s="86"/>
      <c r="C1074" s="98"/>
      <c r="D1074" s="21"/>
      <c r="E1074" s="86"/>
      <c r="F1074" s="99"/>
      <c r="G1074" s="99"/>
      <c r="H1074" s="21"/>
      <c r="I1074" s="21"/>
      <c r="J1074" s="21"/>
      <c r="K1074" s="5" t="str">
        <f>IF(AND(LEN(H1074)=0, LEN(I1074)=0), "", IF(AND(LEN(H1074)&gt;0, LEN(I1074)=0), "BLANCO", IFERROR(VLOOKUP(I1074, BasedatosM9!A:B, 2, FALSE), "BLANCO")))</f>
        <v/>
      </c>
      <c r="W1074" s="5" t="str">
        <f>IF(AND(LEN(T1074)=0, LEN(U1074)=0), "", IF(AND(LEN(T1074)&gt;0, LEN(U1074)=0), "BLANCO", IFERROR(VLOOKUP(U1074, BasedatosM9!A:B, 2, FALSE), "BLANCO")))</f>
        <v/>
      </c>
      <c r="AI1074" s="5" t="str">
        <f>IF(AND(LEN(AF1074)=0, LEN(AG1074)=0), "", IF(AND(LEN(AF1074)&gt;0, LEN(AG1074)=0), "BLANCO", IFERROR(VLOOKUP(AG1074, BasedatosM9!A:B, 2, FALSE), "BLANCO")))</f>
        <v/>
      </c>
      <c r="AU1074" s="5" t="str">
        <f>IF(AND(LEN(AR1074)=0, LEN(AS1074)=0), "", IF(AND(LEN(AR1074)&gt;0, LEN(AS1074)=0), "BLANCO", IFERROR(VLOOKUP(AS1074, BasedatosM9!A:B, 2, FALSE), "BLANCO")))</f>
        <v/>
      </c>
    </row>
    <row r="1075" spans="1:47" ht="14.4">
      <c r="A1075" s="21"/>
      <c r="B1075" s="86"/>
      <c r="C1075" s="98"/>
      <c r="D1075" s="21"/>
      <c r="E1075" s="86"/>
      <c r="F1075" s="99"/>
      <c r="G1075" s="99"/>
      <c r="H1075" s="21"/>
      <c r="I1075" s="21"/>
      <c r="J1075" s="21"/>
      <c r="K1075" s="5" t="str">
        <f>IF(AND(LEN(H1075)=0, LEN(I1075)=0), "", IF(AND(LEN(H1075)&gt;0, LEN(I1075)=0), "BLANCO", IFERROR(VLOOKUP(I1075, BasedatosM9!A:B, 2, FALSE), "BLANCO")))</f>
        <v/>
      </c>
      <c r="W1075" s="5" t="str">
        <f>IF(AND(LEN(T1075)=0, LEN(U1075)=0), "", IF(AND(LEN(T1075)&gt;0, LEN(U1075)=0), "BLANCO", IFERROR(VLOOKUP(U1075, BasedatosM9!A:B, 2, FALSE), "BLANCO")))</f>
        <v/>
      </c>
      <c r="AI1075" s="5" t="str">
        <f>IF(AND(LEN(AF1075)=0, LEN(AG1075)=0), "", IF(AND(LEN(AF1075)&gt;0, LEN(AG1075)=0), "BLANCO", IFERROR(VLOOKUP(AG1075, BasedatosM9!A:B, 2, FALSE), "BLANCO")))</f>
        <v/>
      </c>
      <c r="AU1075" s="5" t="str">
        <f>IF(AND(LEN(AR1075)=0, LEN(AS1075)=0), "", IF(AND(LEN(AR1075)&gt;0, LEN(AS1075)=0), "BLANCO", IFERROR(VLOOKUP(AS1075, BasedatosM9!A:B, 2, FALSE), "BLANCO")))</f>
        <v/>
      </c>
    </row>
    <row r="1076" spans="1:47" ht="14.4">
      <c r="A1076" s="21"/>
      <c r="B1076" s="86"/>
      <c r="C1076" s="98"/>
      <c r="D1076" s="21"/>
      <c r="E1076" s="86"/>
      <c r="F1076" s="99"/>
      <c r="G1076" s="99"/>
      <c r="H1076" s="21"/>
      <c r="I1076" s="21"/>
      <c r="J1076" s="21"/>
      <c r="K1076" s="5" t="str">
        <f>IF(AND(LEN(H1076)=0, LEN(I1076)=0), "", IF(AND(LEN(H1076)&gt;0, LEN(I1076)=0), "BLANCO", IFERROR(VLOOKUP(I1076, BasedatosM9!A:B, 2, FALSE), "BLANCO")))</f>
        <v/>
      </c>
      <c r="W1076" s="5" t="str">
        <f>IF(AND(LEN(T1076)=0, LEN(U1076)=0), "", IF(AND(LEN(T1076)&gt;0, LEN(U1076)=0), "BLANCO", IFERROR(VLOOKUP(U1076, BasedatosM9!A:B, 2, FALSE), "BLANCO")))</f>
        <v/>
      </c>
      <c r="AI1076" s="5" t="str">
        <f>IF(AND(LEN(AF1076)=0, LEN(AG1076)=0), "", IF(AND(LEN(AF1076)&gt;0, LEN(AG1076)=0), "BLANCO", IFERROR(VLOOKUP(AG1076, BasedatosM9!A:B, 2, FALSE), "BLANCO")))</f>
        <v/>
      </c>
      <c r="AU1076" s="5" t="str">
        <f>IF(AND(LEN(AR1076)=0, LEN(AS1076)=0), "", IF(AND(LEN(AR1076)&gt;0, LEN(AS1076)=0), "BLANCO", IFERROR(VLOOKUP(AS1076, BasedatosM9!A:B, 2, FALSE), "BLANCO")))</f>
        <v/>
      </c>
    </row>
    <row r="1077" spans="1:47" ht="14.4">
      <c r="A1077" s="21"/>
      <c r="B1077" s="86"/>
      <c r="C1077" s="98"/>
      <c r="D1077" s="21"/>
      <c r="E1077" s="86"/>
      <c r="F1077" s="99"/>
      <c r="G1077" s="99"/>
      <c r="H1077" s="21"/>
      <c r="I1077" s="21"/>
      <c r="J1077" s="21"/>
      <c r="K1077" s="5" t="str">
        <f>IF(AND(LEN(H1077)=0, LEN(I1077)=0), "", IF(AND(LEN(H1077)&gt;0, LEN(I1077)=0), "BLANCO", IFERROR(VLOOKUP(I1077, BasedatosM9!A:B, 2, FALSE), "BLANCO")))</f>
        <v/>
      </c>
      <c r="W1077" s="5" t="str">
        <f>IF(AND(LEN(T1077)=0, LEN(U1077)=0), "", IF(AND(LEN(T1077)&gt;0, LEN(U1077)=0), "BLANCO", IFERROR(VLOOKUP(U1077, BasedatosM9!A:B, 2, FALSE), "BLANCO")))</f>
        <v/>
      </c>
      <c r="AI1077" s="5" t="str">
        <f>IF(AND(LEN(AF1077)=0, LEN(AG1077)=0), "", IF(AND(LEN(AF1077)&gt;0, LEN(AG1077)=0), "BLANCO", IFERROR(VLOOKUP(AG1077, BasedatosM9!A:B, 2, FALSE), "BLANCO")))</f>
        <v/>
      </c>
      <c r="AU1077" s="5" t="str">
        <f>IF(AND(LEN(AR1077)=0, LEN(AS1077)=0), "", IF(AND(LEN(AR1077)&gt;0, LEN(AS1077)=0), "BLANCO", IFERROR(VLOOKUP(AS1077, BasedatosM9!A:B, 2, FALSE), "BLANCO")))</f>
        <v/>
      </c>
    </row>
    <row r="1078" spans="1:47" ht="14.4">
      <c r="A1078" s="21"/>
      <c r="B1078" s="86"/>
      <c r="C1078" s="98"/>
      <c r="D1078" s="21"/>
      <c r="E1078" s="86"/>
      <c r="F1078" s="99"/>
      <c r="G1078" s="99"/>
      <c r="H1078" s="21"/>
      <c r="I1078" s="21"/>
      <c r="J1078" s="21"/>
      <c r="K1078" s="5" t="str">
        <f>IF(AND(LEN(H1078)=0, LEN(I1078)=0), "", IF(AND(LEN(H1078)&gt;0, LEN(I1078)=0), "BLANCO", IFERROR(VLOOKUP(I1078, BasedatosM9!A:B, 2, FALSE), "BLANCO")))</f>
        <v/>
      </c>
      <c r="W1078" s="5" t="str">
        <f>IF(AND(LEN(T1078)=0, LEN(U1078)=0), "", IF(AND(LEN(T1078)&gt;0, LEN(U1078)=0), "BLANCO", IFERROR(VLOOKUP(U1078, BasedatosM9!A:B, 2, FALSE), "BLANCO")))</f>
        <v/>
      </c>
      <c r="AI1078" s="5" t="str">
        <f>IF(AND(LEN(AF1078)=0, LEN(AG1078)=0), "", IF(AND(LEN(AF1078)&gt;0, LEN(AG1078)=0), "BLANCO", IFERROR(VLOOKUP(AG1078, BasedatosM9!A:B, 2, FALSE), "BLANCO")))</f>
        <v/>
      </c>
      <c r="AU1078" s="5" t="str">
        <f>IF(AND(LEN(AR1078)=0, LEN(AS1078)=0), "", IF(AND(LEN(AR1078)&gt;0, LEN(AS1078)=0), "BLANCO", IFERROR(VLOOKUP(AS1078, BasedatosM9!A:B, 2, FALSE), "BLANCO")))</f>
        <v/>
      </c>
    </row>
    <row r="1079" spans="1:47" ht="14.4">
      <c r="A1079" s="21"/>
      <c r="B1079" s="86"/>
      <c r="C1079" s="98"/>
      <c r="D1079" s="21"/>
      <c r="E1079" s="86"/>
      <c r="F1079" s="99"/>
      <c r="G1079" s="99"/>
      <c r="H1079" s="21"/>
      <c r="I1079" s="21"/>
      <c r="J1079" s="21"/>
      <c r="K1079" s="5" t="str">
        <f>IF(AND(LEN(H1079)=0, LEN(I1079)=0), "", IF(AND(LEN(H1079)&gt;0, LEN(I1079)=0), "BLANCO", IFERROR(VLOOKUP(I1079, BasedatosM9!A:B, 2, FALSE), "BLANCO")))</f>
        <v/>
      </c>
      <c r="W1079" s="5" t="str">
        <f>IF(AND(LEN(T1079)=0, LEN(U1079)=0), "", IF(AND(LEN(T1079)&gt;0, LEN(U1079)=0), "BLANCO", IFERROR(VLOOKUP(U1079, BasedatosM9!A:B, 2, FALSE), "BLANCO")))</f>
        <v/>
      </c>
      <c r="AI1079" s="5" t="str">
        <f>IF(AND(LEN(AF1079)=0, LEN(AG1079)=0), "", IF(AND(LEN(AF1079)&gt;0, LEN(AG1079)=0), "BLANCO", IFERROR(VLOOKUP(AG1079, BasedatosM9!A:B, 2, FALSE), "BLANCO")))</f>
        <v/>
      </c>
      <c r="AU1079" s="5" t="str">
        <f>IF(AND(LEN(AR1079)=0, LEN(AS1079)=0), "", IF(AND(LEN(AR1079)&gt;0, LEN(AS1079)=0), "BLANCO", IFERROR(VLOOKUP(AS1079, BasedatosM9!A:B, 2, FALSE), "BLANCO")))</f>
        <v/>
      </c>
    </row>
    <row r="1080" spans="1:47" ht="14.4">
      <c r="A1080" s="21"/>
      <c r="B1080" s="86"/>
      <c r="C1080" s="98"/>
      <c r="D1080" s="21"/>
      <c r="E1080" s="86"/>
      <c r="F1080" s="99"/>
      <c r="G1080" s="99"/>
      <c r="H1080" s="21"/>
      <c r="I1080" s="86"/>
      <c r="J1080" s="21"/>
      <c r="K1080" s="5" t="str">
        <f>IF(AND(LEN(H1080)=0, LEN(I1080)=0), "", IF(AND(LEN(H1080)&gt;0, LEN(I1080)=0), "BLANCO", IFERROR(VLOOKUP(I1080, BasedatosM9!A:B, 2, FALSE), "BLANCO")))</f>
        <v/>
      </c>
      <c r="W1080" s="5" t="str">
        <f>IF(AND(LEN(T1080)=0, LEN(U1080)=0), "", IF(AND(LEN(T1080)&gt;0, LEN(U1080)=0), "BLANCO", IFERROR(VLOOKUP(U1080, BasedatosM9!A:B, 2, FALSE), "BLANCO")))</f>
        <v/>
      </c>
      <c r="AI1080" s="5" t="str">
        <f>IF(AND(LEN(AF1080)=0, LEN(AG1080)=0), "", IF(AND(LEN(AF1080)&gt;0, LEN(AG1080)=0), "BLANCO", IFERROR(VLOOKUP(AG1080, BasedatosM9!A:B, 2, FALSE), "BLANCO")))</f>
        <v/>
      </c>
      <c r="AU1080" s="5" t="str">
        <f>IF(AND(LEN(AR1080)=0, LEN(AS1080)=0), "", IF(AND(LEN(AR1080)&gt;0, LEN(AS1080)=0), "BLANCO", IFERROR(VLOOKUP(AS1080, BasedatosM9!A:B, 2, FALSE), "BLANCO")))</f>
        <v/>
      </c>
    </row>
    <row r="1081" spans="1:47" ht="14.4">
      <c r="A1081" s="21"/>
      <c r="B1081" s="86"/>
      <c r="C1081" s="98"/>
      <c r="D1081" s="21"/>
      <c r="E1081" s="86"/>
      <c r="F1081" s="99"/>
      <c r="G1081" s="99"/>
      <c r="H1081" s="21"/>
      <c r="I1081" s="86"/>
      <c r="J1081" s="21"/>
      <c r="K1081" s="5" t="str">
        <f>IF(AND(LEN(H1081)=0, LEN(I1081)=0), "", IF(AND(LEN(H1081)&gt;0, LEN(I1081)=0), "BLANCO", IFERROR(VLOOKUP(I1081, BasedatosM9!A:B, 2, FALSE), "BLANCO")))</f>
        <v/>
      </c>
      <c r="W1081" s="5" t="str">
        <f>IF(AND(LEN(T1081)=0, LEN(U1081)=0), "", IF(AND(LEN(T1081)&gt;0, LEN(U1081)=0), "BLANCO", IFERROR(VLOOKUP(U1081, BasedatosM9!A:B, 2, FALSE), "BLANCO")))</f>
        <v/>
      </c>
      <c r="AI1081" s="5" t="str">
        <f>IF(AND(LEN(AF1081)=0, LEN(AG1081)=0), "", IF(AND(LEN(AF1081)&gt;0, LEN(AG1081)=0), "BLANCO", IFERROR(VLOOKUP(AG1081, BasedatosM9!A:B, 2, FALSE), "BLANCO")))</f>
        <v/>
      </c>
      <c r="AU1081" s="5" t="str">
        <f>IF(AND(LEN(AR1081)=0, LEN(AS1081)=0), "", IF(AND(LEN(AR1081)&gt;0, LEN(AS1081)=0), "BLANCO", IFERROR(VLOOKUP(AS1081, BasedatosM9!A:B, 2, FALSE), "BLANCO")))</f>
        <v/>
      </c>
    </row>
    <row r="1082" spans="1:47" ht="14.4">
      <c r="A1082" s="21"/>
      <c r="B1082" s="86"/>
      <c r="C1082" s="98"/>
      <c r="D1082" s="21"/>
      <c r="E1082" s="86"/>
      <c r="F1082" s="99"/>
      <c r="G1082" s="99"/>
      <c r="H1082" s="21"/>
      <c r="I1082" s="86"/>
      <c r="J1082" s="21"/>
      <c r="K1082" s="5" t="str">
        <f>IF(AND(LEN(H1082)=0, LEN(I1082)=0), "", IF(AND(LEN(H1082)&gt;0, LEN(I1082)=0), "BLANCO", IFERROR(VLOOKUP(I1082, BasedatosM9!A:B, 2, FALSE), "BLANCO")))</f>
        <v/>
      </c>
      <c r="W1082" s="5" t="str">
        <f>IF(AND(LEN(T1082)=0, LEN(U1082)=0), "", IF(AND(LEN(T1082)&gt;0, LEN(U1082)=0), "BLANCO", IFERROR(VLOOKUP(U1082, BasedatosM9!A:B, 2, FALSE), "BLANCO")))</f>
        <v/>
      </c>
      <c r="AI1082" s="5" t="str">
        <f>IF(AND(LEN(AF1082)=0, LEN(AG1082)=0), "", IF(AND(LEN(AF1082)&gt;0, LEN(AG1082)=0), "BLANCO", IFERROR(VLOOKUP(AG1082, BasedatosM9!A:B, 2, FALSE), "BLANCO")))</f>
        <v/>
      </c>
      <c r="AU1082" s="5" t="str">
        <f>IF(AND(LEN(AR1082)=0, LEN(AS1082)=0), "", IF(AND(LEN(AR1082)&gt;0, LEN(AS1082)=0), "BLANCO", IFERROR(VLOOKUP(AS1082, BasedatosM9!A:B, 2, FALSE), "BLANCO")))</f>
        <v/>
      </c>
    </row>
    <row r="1083" spans="1:47" ht="14.4">
      <c r="A1083" s="21"/>
      <c r="B1083" s="86"/>
      <c r="C1083" s="98"/>
      <c r="D1083" s="21"/>
      <c r="E1083" s="86"/>
      <c r="F1083" s="99"/>
      <c r="G1083" s="99"/>
      <c r="H1083" s="21"/>
      <c r="I1083" s="86"/>
      <c r="J1083" s="21"/>
      <c r="K1083" s="5" t="str">
        <f>IF(AND(LEN(H1083)=0, LEN(I1083)=0), "", IF(AND(LEN(H1083)&gt;0, LEN(I1083)=0), "BLANCO", IFERROR(VLOOKUP(I1083, BasedatosM9!A:B, 2, FALSE), "BLANCO")))</f>
        <v/>
      </c>
      <c r="W1083" s="5" t="str">
        <f>IF(AND(LEN(T1083)=0, LEN(U1083)=0), "", IF(AND(LEN(T1083)&gt;0, LEN(U1083)=0), "BLANCO", IFERROR(VLOOKUP(U1083, BasedatosM9!A:B, 2, FALSE), "BLANCO")))</f>
        <v/>
      </c>
      <c r="AI1083" s="5" t="str">
        <f>IF(AND(LEN(AF1083)=0, LEN(AG1083)=0), "", IF(AND(LEN(AF1083)&gt;0, LEN(AG1083)=0), "BLANCO", IFERROR(VLOOKUP(AG1083, BasedatosM9!A:B, 2, FALSE), "BLANCO")))</f>
        <v/>
      </c>
      <c r="AU1083" s="5" t="str">
        <f>IF(AND(LEN(AR1083)=0, LEN(AS1083)=0), "", IF(AND(LEN(AR1083)&gt;0, LEN(AS1083)=0), "BLANCO", IFERROR(VLOOKUP(AS1083, BasedatosM9!A:B, 2, FALSE), "BLANCO")))</f>
        <v/>
      </c>
    </row>
    <row r="1084" spans="1:47" ht="14.4">
      <c r="A1084" s="21"/>
      <c r="B1084" s="86"/>
      <c r="C1084" s="98"/>
      <c r="D1084" s="21"/>
      <c r="E1084" s="86"/>
      <c r="F1084" s="99"/>
      <c r="G1084" s="99"/>
      <c r="H1084" s="21"/>
      <c r="I1084" s="21"/>
      <c r="J1084" s="21"/>
      <c r="K1084" s="5" t="str">
        <f>IF(AND(LEN(H1084)=0, LEN(I1084)=0), "", IF(AND(LEN(H1084)&gt;0, LEN(I1084)=0), "BLANCO", IFERROR(VLOOKUP(I1084, BasedatosM9!A:B, 2, FALSE), "BLANCO")))</f>
        <v/>
      </c>
      <c r="W1084" s="5" t="str">
        <f>IF(AND(LEN(T1084)=0, LEN(U1084)=0), "", IF(AND(LEN(T1084)&gt;0, LEN(U1084)=0), "BLANCO", IFERROR(VLOOKUP(U1084, BasedatosM9!A:B, 2, FALSE), "BLANCO")))</f>
        <v/>
      </c>
      <c r="AI1084" s="5" t="str">
        <f>IF(AND(LEN(AF1084)=0, LEN(AG1084)=0), "", IF(AND(LEN(AF1084)&gt;0, LEN(AG1084)=0), "BLANCO", IFERROR(VLOOKUP(AG1084, BasedatosM9!A:B, 2, FALSE), "BLANCO")))</f>
        <v/>
      </c>
      <c r="AU1084" s="5" t="str">
        <f>IF(AND(LEN(AR1084)=0, LEN(AS1084)=0), "", IF(AND(LEN(AR1084)&gt;0, LEN(AS1084)=0), "BLANCO", IFERROR(VLOOKUP(AS1084, BasedatosM9!A:B, 2, FALSE), "BLANCO")))</f>
        <v/>
      </c>
    </row>
    <row r="1085" spans="1:47" ht="14.4">
      <c r="A1085" s="21"/>
      <c r="B1085" s="86"/>
      <c r="C1085" s="98"/>
      <c r="D1085" s="21"/>
      <c r="E1085" s="86"/>
      <c r="F1085" s="99"/>
      <c r="G1085" s="99"/>
      <c r="H1085" s="21"/>
      <c r="I1085" s="21"/>
      <c r="J1085" s="21"/>
      <c r="K1085" s="5" t="str">
        <f>IF(AND(LEN(H1085)=0, LEN(I1085)=0), "", IF(AND(LEN(H1085)&gt;0, LEN(I1085)=0), "BLANCO", IFERROR(VLOOKUP(I1085, BasedatosM9!A:B, 2, FALSE), "BLANCO")))</f>
        <v/>
      </c>
      <c r="W1085" s="5" t="str">
        <f>IF(AND(LEN(T1085)=0, LEN(U1085)=0), "", IF(AND(LEN(T1085)&gt;0, LEN(U1085)=0), "BLANCO", IFERROR(VLOOKUP(U1085, BasedatosM9!A:B, 2, FALSE), "BLANCO")))</f>
        <v/>
      </c>
      <c r="AI1085" s="5" t="str">
        <f>IF(AND(LEN(AF1085)=0, LEN(AG1085)=0), "", IF(AND(LEN(AF1085)&gt;0, LEN(AG1085)=0), "BLANCO", IFERROR(VLOOKUP(AG1085, BasedatosM9!A:B, 2, FALSE), "BLANCO")))</f>
        <v/>
      </c>
      <c r="AU1085" s="5" t="str">
        <f>IF(AND(LEN(AR1085)=0, LEN(AS1085)=0), "", IF(AND(LEN(AR1085)&gt;0, LEN(AS1085)=0), "BLANCO", IFERROR(VLOOKUP(AS1085, BasedatosM9!A:B, 2, FALSE), "BLANCO")))</f>
        <v/>
      </c>
    </row>
    <row r="1086" spans="1:47" ht="14.4">
      <c r="A1086" s="21"/>
      <c r="B1086" s="86"/>
      <c r="C1086" s="98"/>
      <c r="D1086" s="21"/>
      <c r="E1086" s="86"/>
      <c r="F1086" s="99"/>
      <c r="G1086" s="99"/>
      <c r="H1086" s="21"/>
      <c r="I1086" s="86"/>
      <c r="J1086" s="21"/>
      <c r="K1086" s="5" t="str">
        <f>IF(AND(LEN(H1086)=0, LEN(I1086)=0), "", IF(AND(LEN(H1086)&gt;0, LEN(I1086)=0), "BLANCO", IFERROR(VLOOKUP(I1086, BasedatosM9!A:B, 2, FALSE), "BLANCO")))</f>
        <v/>
      </c>
      <c r="W1086" s="5" t="str">
        <f>IF(AND(LEN(T1086)=0, LEN(U1086)=0), "", IF(AND(LEN(T1086)&gt;0, LEN(U1086)=0), "BLANCO", IFERROR(VLOOKUP(U1086, BasedatosM9!A:B, 2, FALSE), "BLANCO")))</f>
        <v/>
      </c>
      <c r="AI1086" s="5" t="str">
        <f>IF(AND(LEN(AF1086)=0, LEN(AG1086)=0), "", IF(AND(LEN(AF1086)&gt;0, LEN(AG1086)=0), "BLANCO", IFERROR(VLOOKUP(AG1086, BasedatosM9!A:B, 2, FALSE), "BLANCO")))</f>
        <v/>
      </c>
      <c r="AU1086" s="5" t="str">
        <f>IF(AND(LEN(AR1086)=0, LEN(AS1086)=0), "", IF(AND(LEN(AR1086)&gt;0, LEN(AS1086)=0), "BLANCO", IFERROR(VLOOKUP(AS1086, BasedatosM9!A:B, 2, FALSE), "BLANCO")))</f>
        <v/>
      </c>
    </row>
    <row r="1087" spans="1:47" ht="14.4">
      <c r="A1087" s="21"/>
      <c r="B1087" s="86"/>
      <c r="C1087" s="98"/>
      <c r="D1087" s="21"/>
      <c r="E1087" s="86"/>
      <c r="F1087" s="99"/>
      <c r="G1087" s="99"/>
      <c r="H1087" s="21"/>
      <c r="I1087" s="86"/>
      <c r="J1087" s="21"/>
      <c r="K1087" s="5" t="str">
        <f>IF(AND(LEN(H1087)=0, LEN(I1087)=0), "", IF(AND(LEN(H1087)&gt;0, LEN(I1087)=0), "BLANCO", IFERROR(VLOOKUP(I1087, BasedatosM9!A:B, 2, FALSE), "BLANCO")))</f>
        <v/>
      </c>
      <c r="W1087" s="5" t="str">
        <f>IF(AND(LEN(T1087)=0, LEN(U1087)=0), "", IF(AND(LEN(T1087)&gt;0, LEN(U1087)=0), "BLANCO", IFERROR(VLOOKUP(U1087, BasedatosM9!A:B, 2, FALSE), "BLANCO")))</f>
        <v/>
      </c>
      <c r="AI1087" s="5" t="str">
        <f>IF(AND(LEN(AF1087)=0, LEN(AG1087)=0), "", IF(AND(LEN(AF1087)&gt;0, LEN(AG1087)=0), "BLANCO", IFERROR(VLOOKUP(AG1087, BasedatosM9!A:B, 2, FALSE), "BLANCO")))</f>
        <v/>
      </c>
      <c r="AU1087" s="5" t="str">
        <f>IF(AND(LEN(AR1087)=0, LEN(AS1087)=0), "", IF(AND(LEN(AR1087)&gt;0, LEN(AS1087)=0), "BLANCO", IFERROR(VLOOKUP(AS1087, BasedatosM9!A:B, 2, FALSE), "BLANCO")))</f>
        <v/>
      </c>
    </row>
    <row r="1088" spans="1:47" ht="14.4">
      <c r="A1088" s="21"/>
      <c r="B1088" s="86"/>
      <c r="C1088" s="98"/>
      <c r="D1088" s="21"/>
      <c r="E1088" s="86"/>
      <c r="F1088" s="99"/>
      <c r="G1088" s="99"/>
      <c r="H1088" s="21"/>
      <c r="I1088" s="86"/>
      <c r="J1088" s="21"/>
      <c r="K1088" s="5" t="str">
        <f>IF(AND(LEN(H1088)=0, LEN(I1088)=0), "", IF(AND(LEN(H1088)&gt;0, LEN(I1088)=0), "BLANCO", IFERROR(VLOOKUP(I1088, BasedatosM9!A:B, 2, FALSE), "BLANCO")))</f>
        <v/>
      </c>
      <c r="W1088" s="5" t="str">
        <f>IF(AND(LEN(T1088)=0, LEN(U1088)=0), "", IF(AND(LEN(T1088)&gt;0, LEN(U1088)=0), "BLANCO", IFERROR(VLOOKUP(U1088, BasedatosM9!A:B, 2, FALSE), "BLANCO")))</f>
        <v/>
      </c>
      <c r="AI1088" s="5" t="str">
        <f>IF(AND(LEN(AF1088)=0, LEN(AG1088)=0), "", IF(AND(LEN(AF1088)&gt;0, LEN(AG1088)=0), "BLANCO", IFERROR(VLOOKUP(AG1088, BasedatosM9!A:B, 2, FALSE), "BLANCO")))</f>
        <v/>
      </c>
      <c r="AU1088" s="5" t="str">
        <f>IF(AND(LEN(AR1088)=0, LEN(AS1088)=0), "", IF(AND(LEN(AR1088)&gt;0, LEN(AS1088)=0), "BLANCO", IFERROR(VLOOKUP(AS1088, BasedatosM9!A:B, 2, FALSE), "BLANCO")))</f>
        <v/>
      </c>
    </row>
    <row r="1089" spans="1:47" ht="14.4">
      <c r="A1089" s="21"/>
      <c r="B1089" s="86"/>
      <c r="C1089" s="98"/>
      <c r="D1089" s="21"/>
      <c r="E1089" s="86"/>
      <c r="F1089" s="99"/>
      <c r="G1089" s="99"/>
      <c r="H1089" s="21"/>
      <c r="I1089" s="21"/>
      <c r="J1089" s="21"/>
      <c r="K1089" s="5" t="str">
        <f>IF(AND(LEN(H1089)=0, LEN(I1089)=0), "", IF(AND(LEN(H1089)&gt;0, LEN(I1089)=0), "BLANCO", IFERROR(VLOOKUP(I1089, BasedatosM9!A:B, 2, FALSE), "BLANCO")))</f>
        <v/>
      </c>
      <c r="W1089" s="5" t="str">
        <f>IF(AND(LEN(T1089)=0, LEN(U1089)=0), "", IF(AND(LEN(T1089)&gt;0, LEN(U1089)=0), "BLANCO", IFERROR(VLOOKUP(U1089, BasedatosM9!A:B, 2, FALSE), "BLANCO")))</f>
        <v/>
      </c>
      <c r="AI1089" s="5" t="str">
        <f>IF(AND(LEN(AF1089)=0, LEN(AG1089)=0), "", IF(AND(LEN(AF1089)&gt;0, LEN(AG1089)=0), "BLANCO", IFERROR(VLOOKUP(AG1089, BasedatosM9!A:B, 2, FALSE), "BLANCO")))</f>
        <v/>
      </c>
      <c r="AU1089" s="5" t="str">
        <f>IF(AND(LEN(AR1089)=0, LEN(AS1089)=0), "", IF(AND(LEN(AR1089)&gt;0, LEN(AS1089)=0), "BLANCO", IFERROR(VLOOKUP(AS1089, BasedatosM9!A:B, 2, FALSE), "BLANCO")))</f>
        <v/>
      </c>
    </row>
    <row r="1090" spans="1:47" ht="14.4">
      <c r="A1090" s="21"/>
      <c r="B1090" s="86"/>
      <c r="C1090" s="98"/>
      <c r="D1090" s="21"/>
      <c r="E1090" s="86"/>
      <c r="F1090" s="99"/>
      <c r="G1090" s="99"/>
      <c r="H1090" s="21"/>
      <c r="I1090" s="86"/>
      <c r="J1090" s="21"/>
      <c r="K1090" s="5" t="str">
        <f>IF(AND(LEN(H1090)=0, LEN(I1090)=0), "", IF(AND(LEN(H1090)&gt;0, LEN(I1090)=0), "BLANCO", IFERROR(VLOOKUP(I1090, BasedatosM9!A:B, 2, FALSE), "BLANCO")))</f>
        <v/>
      </c>
      <c r="W1090" s="5" t="str">
        <f>IF(AND(LEN(T1090)=0, LEN(U1090)=0), "", IF(AND(LEN(T1090)&gt;0, LEN(U1090)=0), "BLANCO", IFERROR(VLOOKUP(U1090, BasedatosM9!A:B, 2, FALSE), "BLANCO")))</f>
        <v/>
      </c>
      <c r="AI1090" s="5" t="str">
        <f>IF(AND(LEN(AF1090)=0, LEN(AG1090)=0), "", IF(AND(LEN(AF1090)&gt;0, LEN(AG1090)=0), "BLANCO", IFERROR(VLOOKUP(AG1090, BasedatosM9!A:B, 2, FALSE), "BLANCO")))</f>
        <v/>
      </c>
      <c r="AU1090" s="5" t="str">
        <f>IF(AND(LEN(AR1090)=0, LEN(AS1090)=0), "", IF(AND(LEN(AR1090)&gt;0, LEN(AS1090)=0), "BLANCO", IFERROR(VLOOKUP(AS1090, BasedatosM9!A:B, 2, FALSE), "BLANCO")))</f>
        <v/>
      </c>
    </row>
    <row r="1091" spans="1:47" ht="14.4">
      <c r="A1091" s="21"/>
      <c r="B1091" s="86"/>
      <c r="C1091" s="98"/>
      <c r="D1091" s="21"/>
      <c r="E1091" s="86"/>
      <c r="F1091" s="99"/>
      <c r="G1091" s="99"/>
      <c r="H1091" s="21"/>
      <c r="I1091" s="86"/>
      <c r="J1091" s="21"/>
      <c r="K1091" s="5" t="str">
        <f>IF(AND(LEN(H1091)=0, LEN(I1091)=0), "", IF(AND(LEN(H1091)&gt;0, LEN(I1091)=0), "BLANCO", IFERROR(VLOOKUP(I1091, BasedatosM9!A:B, 2, FALSE), "BLANCO")))</f>
        <v/>
      </c>
      <c r="W1091" s="5" t="str">
        <f>IF(AND(LEN(T1091)=0, LEN(U1091)=0), "", IF(AND(LEN(T1091)&gt;0, LEN(U1091)=0), "BLANCO", IFERROR(VLOOKUP(U1091, BasedatosM9!A:B, 2, FALSE), "BLANCO")))</f>
        <v/>
      </c>
      <c r="AI1091" s="5" t="str">
        <f>IF(AND(LEN(AF1091)=0, LEN(AG1091)=0), "", IF(AND(LEN(AF1091)&gt;0, LEN(AG1091)=0), "BLANCO", IFERROR(VLOOKUP(AG1091, BasedatosM9!A:B, 2, FALSE), "BLANCO")))</f>
        <v/>
      </c>
      <c r="AU1091" s="5" t="str">
        <f>IF(AND(LEN(AR1091)=0, LEN(AS1091)=0), "", IF(AND(LEN(AR1091)&gt;0, LEN(AS1091)=0), "BLANCO", IFERROR(VLOOKUP(AS1091, BasedatosM9!A:B, 2, FALSE), "BLANCO")))</f>
        <v/>
      </c>
    </row>
    <row r="1092" spans="1:47" ht="14.4">
      <c r="A1092" s="21"/>
      <c r="B1092" s="86"/>
      <c r="C1092" s="98"/>
      <c r="D1092" s="21"/>
      <c r="E1092" s="86"/>
      <c r="F1092" s="99"/>
      <c r="G1092" s="99"/>
      <c r="H1092" s="21"/>
      <c r="I1092" s="86"/>
      <c r="J1092" s="21"/>
      <c r="K1092" s="5" t="str">
        <f>IF(AND(LEN(H1092)=0, LEN(I1092)=0), "", IF(AND(LEN(H1092)&gt;0, LEN(I1092)=0), "BLANCO", IFERROR(VLOOKUP(I1092, BasedatosM9!A:B, 2, FALSE), "BLANCO")))</f>
        <v/>
      </c>
      <c r="W1092" s="5" t="str">
        <f>IF(AND(LEN(T1092)=0, LEN(U1092)=0), "", IF(AND(LEN(T1092)&gt;0, LEN(U1092)=0), "BLANCO", IFERROR(VLOOKUP(U1092, BasedatosM9!A:B, 2, FALSE), "BLANCO")))</f>
        <v/>
      </c>
      <c r="AI1092" s="5" t="str">
        <f>IF(AND(LEN(AF1092)=0, LEN(AG1092)=0), "", IF(AND(LEN(AF1092)&gt;0, LEN(AG1092)=0), "BLANCO", IFERROR(VLOOKUP(AG1092, BasedatosM9!A:B, 2, FALSE), "BLANCO")))</f>
        <v/>
      </c>
      <c r="AU1092" s="5" t="str">
        <f>IF(AND(LEN(AR1092)=0, LEN(AS1092)=0), "", IF(AND(LEN(AR1092)&gt;0, LEN(AS1092)=0), "BLANCO", IFERROR(VLOOKUP(AS1092, BasedatosM9!A:B, 2, FALSE), "BLANCO")))</f>
        <v/>
      </c>
    </row>
    <row r="1093" spans="1:47" ht="14.4">
      <c r="A1093" s="21"/>
      <c r="B1093" s="86"/>
      <c r="C1093" s="98"/>
      <c r="D1093" s="21"/>
      <c r="E1093" s="86"/>
      <c r="F1093" s="99"/>
      <c r="G1093" s="99"/>
      <c r="H1093" s="21"/>
      <c r="I1093" s="86"/>
      <c r="J1093" s="21"/>
      <c r="K1093" s="5" t="str">
        <f>IF(AND(LEN(H1093)=0, LEN(I1093)=0), "", IF(AND(LEN(H1093)&gt;0, LEN(I1093)=0), "BLANCO", IFERROR(VLOOKUP(I1093, BasedatosM9!A:B, 2, FALSE), "BLANCO")))</f>
        <v/>
      </c>
      <c r="W1093" s="5" t="str">
        <f>IF(AND(LEN(T1093)=0, LEN(U1093)=0), "", IF(AND(LEN(T1093)&gt;0, LEN(U1093)=0), "BLANCO", IFERROR(VLOOKUP(U1093, BasedatosM9!A:B, 2, FALSE), "BLANCO")))</f>
        <v/>
      </c>
      <c r="AI1093" s="5" t="str">
        <f>IF(AND(LEN(AF1093)=0, LEN(AG1093)=0), "", IF(AND(LEN(AF1093)&gt;0, LEN(AG1093)=0), "BLANCO", IFERROR(VLOOKUP(AG1093, BasedatosM9!A:B, 2, FALSE), "BLANCO")))</f>
        <v/>
      </c>
      <c r="AU1093" s="5" t="str">
        <f>IF(AND(LEN(AR1093)=0, LEN(AS1093)=0), "", IF(AND(LEN(AR1093)&gt;0, LEN(AS1093)=0), "BLANCO", IFERROR(VLOOKUP(AS1093, BasedatosM9!A:B, 2, FALSE), "BLANCO")))</f>
        <v/>
      </c>
    </row>
    <row r="1094" spans="1:47" ht="14.4">
      <c r="A1094" s="21"/>
      <c r="B1094" s="86"/>
      <c r="C1094" s="98"/>
      <c r="D1094" s="21"/>
      <c r="E1094" s="86"/>
      <c r="F1094" s="99"/>
      <c r="G1094" s="99"/>
      <c r="H1094" s="21"/>
      <c r="I1094" s="86"/>
      <c r="J1094" s="21"/>
      <c r="K1094" s="5" t="str">
        <f>IF(AND(LEN(H1094)=0, LEN(I1094)=0), "", IF(AND(LEN(H1094)&gt;0, LEN(I1094)=0), "BLANCO", IFERROR(VLOOKUP(I1094, BasedatosM9!A:B, 2, FALSE), "BLANCO")))</f>
        <v/>
      </c>
      <c r="W1094" s="5" t="str">
        <f>IF(AND(LEN(T1094)=0, LEN(U1094)=0), "", IF(AND(LEN(T1094)&gt;0, LEN(U1094)=0), "BLANCO", IFERROR(VLOOKUP(U1094, BasedatosM9!A:B, 2, FALSE), "BLANCO")))</f>
        <v/>
      </c>
      <c r="AI1094" s="5" t="str">
        <f>IF(AND(LEN(AF1094)=0, LEN(AG1094)=0), "", IF(AND(LEN(AF1094)&gt;0, LEN(AG1094)=0), "BLANCO", IFERROR(VLOOKUP(AG1094, BasedatosM9!A:B, 2, FALSE), "BLANCO")))</f>
        <v/>
      </c>
      <c r="AU1094" s="5" t="str">
        <f>IF(AND(LEN(AR1094)=0, LEN(AS1094)=0), "", IF(AND(LEN(AR1094)&gt;0, LEN(AS1094)=0), "BLANCO", IFERROR(VLOOKUP(AS1094, BasedatosM9!A:B, 2, FALSE), "BLANCO")))</f>
        <v/>
      </c>
    </row>
    <row r="1095" spans="1:47" ht="14.4">
      <c r="A1095" s="21"/>
      <c r="B1095" s="86"/>
      <c r="C1095" s="98"/>
      <c r="D1095" s="21"/>
      <c r="E1095" s="86"/>
      <c r="F1095" s="99"/>
      <c r="G1095" s="99"/>
      <c r="H1095" s="21"/>
      <c r="I1095" s="21"/>
      <c r="J1095" s="21"/>
      <c r="K1095" s="5" t="str">
        <f>IF(AND(LEN(H1095)=0, LEN(I1095)=0), "", IF(AND(LEN(H1095)&gt;0, LEN(I1095)=0), "BLANCO", IFERROR(VLOOKUP(I1095, BasedatosM9!A:B, 2, FALSE), "BLANCO")))</f>
        <v/>
      </c>
      <c r="W1095" s="5" t="str">
        <f>IF(AND(LEN(T1095)=0, LEN(U1095)=0), "", IF(AND(LEN(T1095)&gt;0, LEN(U1095)=0), "BLANCO", IFERROR(VLOOKUP(U1095, BasedatosM9!A:B, 2, FALSE), "BLANCO")))</f>
        <v/>
      </c>
      <c r="AI1095" s="5" t="str">
        <f>IF(AND(LEN(AF1095)=0, LEN(AG1095)=0), "", IF(AND(LEN(AF1095)&gt;0, LEN(AG1095)=0), "BLANCO", IFERROR(VLOOKUP(AG1095, BasedatosM9!A:B, 2, FALSE), "BLANCO")))</f>
        <v/>
      </c>
      <c r="AU1095" s="5" t="str">
        <f>IF(AND(LEN(AR1095)=0, LEN(AS1095)=0), "", IF(AND(LEN(AR1095)&gt;0, LEN(AS1095)=0), "BLANCO", IFERROR(VLOOKUP(AS1095, BasedatosM9!A:B, 2, FALSE), "BLANCO")))</f>
        <v/>
      </c>
    </row>
    <row r="1096" spans="1:47" ht="14.4">
      <c r="A1096" s="21"/>
      <c r="B1096" s="86"/>
      <c r="C1096" s="98"/>
      <c r="D1096" s="21"/>
      <c r="E1096" s="86"/>
      <c r="F1096" s="99"/>
      <c r="G1096" s="99"/>
      <c r="H1096" s="21"/>
      <c r="I1096" s="21"/>
      <c r="J1096" s="21"/>
      <c r="K1096" s="5" t="str">
        <f>IF(AND(LEN(H1096)=0, LEN(I1096)=0), "", IF(AND(LEN(H1096)&gt;0, LEN(I1096)=0), "BLANCO", IFERROR(VLOOKUP(I1096, BasedatosM9!A:B, 2, FALSE), "BLANCO")))</f>
        <v/>
      </c>
      <c r="W1096" s="5" t="str">
        <f>IF(AND(LEN(T1096)=0, LEN(U1096)=0), "", IF(AND(LEN(T1096)&gt;0, LEN(U1096)=0), "BLANCO", IFERROR(VLOOKUP(U1096, BasedatosM9!A:B, 2, FALSE), "BLANCO")))</f>
        <v/>
      </c>
      <c r="AI1096" s="5" t="str">
        <f>IF(AND(LEN(AF1096)=0, LEN(AG1096)=0), "", IF(AND(LEN(AF1096)&gt;0, LEN(AG1096)=0), "BLANCO", IFERROR(VLOOKUP(AG1096, BasedatosM9!A:B, 2, FALSE), "BLANCO")))</f>
        <v/>
      </c>
      <c r="AU1096" s="5" t="str">
        <f>IF(AND(LEN(AR1096)=0, LEN(AS1096)=0), "", IF(AND(LEN(AR1096)&gt;0, LEN(AS1096)=0), "BLANCO", IFERROR(VLOOKUP(AS1096, BasedatosM9!A:B, 2, FALSE), "BLANCO")))</f>
        <v/>
      </c>
    </row>
    <row r="1097" spans="1:47" ht="14.4">
      <c r="A1097" s="21"/>
      <c r="B1097" s="86"/>
      <c r="C1097" s="98"/>
      <c r="D1097" s="21"/>
      <c r="E1097" s="86"/>
      <c r="F1097" s="99"/>
      <c r="G1097" s="99"/>
      <c r="H1097" s="21"/>
      <c r="I1097" s="21"/>
      <c r="J1097" s="21"/>
      <c r="K1097" s="5" t="str">
        <f>IF(AND(LEN(H1097)=0, LEN(I1097)=0), "", IF(AND(LEN(H1097)&gt;0, LEN(I1097)=0), "BLANCO", IFERROR(VLOOKUP(I1097, BasedatosM9!A:B, 2, FALSE), "BLANCO")))</f>
        <v/>
      </c>
      <c r="W1097" s="5" t="str">
        <f>IF(AND(LEN(T1097)=0, LEN(U1097)=0), "", IF(AND(LEN(T1097)&gt;0, LEN(U1097)=0), "BLANCO", IFERROR(VLOOKUP(U1097, BasedatosM9!A:B, 2, FALSE), "BLANCO")))</f>
        <v/>
      </c>
      <c r="AI1097" s="5" t="str">
        <f>IF(AND(LEN(AF1097)=0, LEN(AG1097)=0), "", IF(AND(LEN(AF1097)&gt;0, LEN(AG1097)=0), "BLANCO", IFERROR(VLOOKUP(AG1097, BasedatosM9!A:B, 2, FALSE), "BLANCO")))</f>
        <v/>
      </c>
      <c r="AU1097" s="5" t="str">
        <f>IF(AND(LEN(AR1097)=0, LEN(AS1097)=0), "", IF(AND(LEN(AR1097)&gt;0, LEN(AS1097)=0), "BLANCO", IFERROR(VLOOKUP(AS1097, BasedatosM9!A:B, 2, FALSE), "BLANCO")))</f>
        <v/>
      </c>
    </row>
    <row r="1098" spans="1:47" ht="14.4">
      <c r="A1098" s="21"/>
      <c r="B1098" s="86"/>
      <c r="C1098" s="98"/>
      <c r="D1098" s="21"/>
      <c r="E1098" s="86"/>
      <c r="F1098" s="99"/>
      <c r="G1098" s="99"/>
      <c r="H1098" s="21"/>
      <c r="I1098" s="21"/>
      <c r="J1098" s="21"/>
      <c r="K1098" s="5" t="str">
        <f>IF(AND(LEN(H1098)=0, LEN(I1098)=0), "", IF(AND(LEN(H1098)&gt;0, LEN(I1098)=0), "BLANCO", IFERROR(VLOOKUP(I1098, BasedatosM9!A:B, 2, FALSE), "BLANCO")))</f>
        <v/>
      </c>
      <c r="W1098" s="5" t="str">
        <f>IF(AND(LEN(T1098)=0, LEN(U1098)=0), "", IF(AND(LEN(T1098)&gt;0, LEN(U1098)=0), "BLANCO", IFERROR(VLOOKUP(U1098, BasedatosM9!A:B, 2, FALSE), "BLANCO")))</f>
        <v/>
      </c>
      <c r="AI1098" s="5" t="str">
        <f>IF(AND(LEN(AF1098)=0, LEN(AG1098)=0), "", IF(AND(LEN(AF1098)&gt;0, LEN(AG1098)=0), "BLANCO", IFERROR(VLOOKUP(AG1098, BasedatosM9!A:B, 2, FALSE), "BLANCO")))</f>
        <v/>
      </c>
      <c r="AU1098" s="5" t="str">
        <f>IF(AND(LEN(AR1098)=0, LEN(AS1098)=0), "", IF(AND(LEN(AR1098)&gt;0, LEN(AS1098)=0), "BLANCO", IFERROR(VLOOKUP(AS1098, BasedatosM9!A:B, 2, FALSE), "BLANCO")))</f>
        <v/>
      </c>
    </row>
    <row r="1099" spans="1:47" ht="14.4">
      <c r="A1099" s="21"/>
      <c r="B1099" s="86"/>
      <c r="C1099" s="98"/>
      <c r="D1099" s="21"/>
      <c r="E1099" s="86"/>
      <c r="F1099" s="99"/>
      <c r="G1099" s="99"/>
      <c r="H1099" s="21"/>
      <c r="I1099" s="21"/>
      <c r="J1099" s="21"/>
      <c r="K1099" s="5" t="str">
        <f>IF(AND(LEN(H1099)=0, LEN(I1099)=0), "", IF(AND(LEN(H1099)&gt;0, LEN(I1099)=0), "BLANCO", IFERROR(VLOOKUP(I1099, BasedatosM9!A:B, 2, FALSE), "BLANCO")))</f>
        <v/>
      </c>
      <c r="W1099" s="5" t="str">
        <f>IF(AND(LEN(T1099)=0, LEN(U1099)=0), "", IF(AND(LEN(T1099)&gt;0, LEN(U1099)=0), "BLANCO", IFERROR(VLOOKUP(U1099, BasedatosM9!A:B, 2, FALSE), "BLANCO")))</f>
        <v/>
      </c>
      <c r="AI1099" s="5" t="str">
        <f>IF(AND(LEN(AF1099)=0, LEN(AG1099)=0), "", IF(AND(LEN(AF1099)&gt;0, LEN(AG1099)=0), "BLANCO", IFERROR(VLOOKUP(AG1099, BasedatosM9!A:B, 2, FALSE), "BLANCO")))</f>
        <v/>
      </c>
      <c r="AU1099" s="5" t="str">
        <f>IF(AND(LEN(AR1099)=0, LEN(AS1099)=0), "", IF(AND(LEN(AR1099)&gt;0, LEN(AS1099)=0), "BLANCO", IFERROR(VLOOKUP(AS1099, BasedatosM9!A:B, 2, FALSE), "BLANCO")))</f>
        <v/>
      </c>
    </row>
    <row r="1100" spans="1:47" ht="14.4">
      <c r="A1100" s="21"/>
      <c r="B1100" s="86"/>
      <c r="C1100" s="98"/>
      <c r="D1100" s="21"/>
      <c r="E1100" s="86"/>
      <c r="F1100" s="99"/>
      <c r="G1100" s="99"/>
      <c r="H1100" s="21"/>
      <c r="I1100" s="86"/>
      <c r="J1100" s="21"/>
      <c r="K1100" s="5" t="str">
        <f>IF(AND(LEN(H1100)=0, LEN(I1100)=0), "", IF(AND(LEN(H1100)&gt;0, LEN(I1100)=0), "BLANCO", IFERROR(VLOOKUP(I1100, BasedatosM9!A:B, 2, FALSE), "BLANCO")))</f>
        <v/>
      </c>
      <c r="W1100" s="5" t="str">
        <f>IF(AND(LEN(T1100)=0, LEN(U1100)=0), "", IF(AND(LEN(T1100)&gt;0, LEN(U1100)=0), "BLANCO", IFERROR(VLOOKUP(U1100, BasedatosM9!A:B, 2, FALSE), "BLANCO")))</f>
        <v/>
      </c>
      <c r="AI1100" s="5" t="str">
        <f>IF(AND(LEN(AF1100)=0, LEN(AG1100)=0), "", IF(AND(LEN(AF1100)&gt;0, LEN(AG1100)=0), "BLANCO", IFERROR(VLOOKUP(AG1100, BasedatosM9!A:B, 2, FALSE), "BLANCO")))</f>
        <v/>
      </c>
      <c r="AU1100" s="5" t="str">
        <f>IF(AND(LEN(AR1100)=0, LEN(AS1100)=0), "", IF(AND(LEN(AR1100)&gt;0, LEN(AS1100)=0), "BLANCO", IFERROR(VLOOKUP(AS1100, BasedatosM9!A:B, 2, FALSE), "BLANCO")))</f>
        <v/>
      </c>
    </row>
    <row r="1101" spans="1:47" ht="14.4">
      <c r="A1101" s="21"/>
      <c r="B1101" s="86"/>
      <c r="C1101" s="98"/>
      <c r="D1101" s="21"/>
      <c r="E1101" s="86"/>
      <c r="F1101" s="99"/>
      <c r="G1101" s="99"/>
      <c r="H1101" s="21"/>
      <c r="I1101" s="86"/>
      <c r="J1101" s="21"/>
      <c r="K1101" s="5" t="str">
        <f>IF(AND(LEN(H1101)=0, LEN(I1101)=0), "", IF(AND(LEN(H1101)&gt;0, LEN(I1101)=0), "BLANCO", IFERROR(VLOOKUP(I1101, BasedatosM9!A:B, 2, FALSE), "BLANCO")))</f>
        <v/>
      </c>
      <c r="W1101" s="5" t="str">
        <f>IF(AND(LEN(T1101)=0, LEN(U1101)=0), "", IF(AND(LEN(T1101)&gt;0, LEN(U1101)=0), "BLANCO", IFERROR(VLOOKUP(U1101, BasedatosM9!A:B, 2, FALSE), "BLANCO")))</f>
        <v/>
      </c>
      <c r="AI1101" s="5" t="str">
        <f>IF(AND(LEN(AF1101)=0, LEN(AG1101)=0), "", IF(AND(LEN(AF1101)&gt;0, LEN(AG1101)=0), "BLANCO", IFERROR(VLOOKUP(AG1101, BasedatosM9!A:B, 2, FALSE), "BLANCO")))</f>
        <v/>
      </c>
      <c r="AU1101" s="5" t="str">
        <f>IF(AND(LEN(AR1101)=0, LEN(AS1101)=0), "", IF(AND(LEN(AR1101)&gt;0, LEN(AS1101)=0), "BLANCO", IFERROR(VLOOKUP(AS1101, BasedatosM9!A:B, 2, FALSE), "BLANCO")))</f>
        <v/>
      </c>
    </row>
    <row r="1102" spans="1:47" ht="14.4">
      <c r="A1102" s="21"/>
      <c r="B1102" s="86"/>
      <c r="C1102" s="98"/>
      <c r="D1102" s="21"/>
      <c r="E1102" s="86"/>
      <c r="F1102" s="99"/>
      <c r="G1102" s="99"/>
      <c r="H1102" s="21"/>
      <c r="I1102" s="21"/>
      <c r="J1102" s="21"/>
      <c r="K1102" s="5" t="str">
        <f>IF(AND(LEN(H1102)=0, LEN(I1102)=0), "", IF(AND(LEN(H1102)&gt;0, LEN(I1102)=0), "BLANCO", IFERROR(VLOOKUP(I1102, BasedatosM9!A:B, 2, FALSE), "BLANCO")))</f>
        <v/>
      </c>
      <c r="W1102" s="5" t="str">
        <f>IF(AND(LEN(T1102)=0, LEN(U1102)=0), "", IF(AND(LEN(T1102)&gt;0, LEN(U1102)=0), "BLANCO", IFERROR(VLOOKUP(U1102, BasedatosM9!A:B, 2, FALSE), "BLANCO")))</f>
        <v/>
      </c>
      <c r="AI1102" s="5" t="str">
        <f>IF(AND(LEN(AF1102)=0, LEN(AG1102)=0), "", IF(AND(LEN(AF1102)&gt;0, LEN(AG1102)=0), "BLANCO", IFERROR(VLOOKUP(AG1102, BasedatosM9!A:B, 2, FALSE), "BLANCO")))</f>
        <v/>
      </c>
      <c r="AU1102" s="5" t="str">
        <f>IF(AND(LEN(AR1102)=0, LEN(AS1102)=0), "", IF(AND(LEN(AR1102)&gt;0, LEN(AS1102)=0), "BLANCO", IFERROR(VLOOKUP(AS1102, BasedatosM9!A:B, 2, FALSE), "BLANCO")))</f>
        <v/>
      </c>
    </row>
    <row r="1103" spans="1:47" ht="14.4">
      <c r="A1103" s="21"/>
      <c r="B1103" s="86"/>
      <c r="C1103" s="98"/>
      <c r="D1103" s="21"/>
      <c r="E1103" s="86"/>
      <c r="F1103" s="99"/>
      <c r="G1103" s="99"/>
      <c r="H1103" s="21"/>
      <c r="I1103" s="21"/>
      <c r="J1103" s="21"/>
      <c r="K1103" s="5" t="str">
        <f>IF(AND(LEN(H1103)=0, LEN(I1103)=0), "", IF(AND(LEN(H1103)&gt;0, LEN(I1103)=0), "BLANCO", IFERROR(VLOOKUP(I1103, BasedatosM9!A:B, 2, FALSE), "BLANCO")))</f>
        <v/>
      </c>
      <c r="W1103" s="5" t="str">
        <f>IF(AND(LEN(T1103)=0, LEN(U1103)=0), "", IF(AND(LEN(T1103)&gt;0, LEN(U1103)=0), "BLANCO", IFERROR(VLOOKUP(U1103, BasedatosM9!A:B, 2, FALSE), "BLANCO")))</f>
        <v/>
      </c>
      <c r="AI1103" s="5" t="str">
        <f>IF(AND(LEN(AF1103)=0, LEN(AG1103)=0), "", IF(AND(LEN(AF1103)&gt;0, LEN(AG1103)=0), "BLANCO", IFERROR(VLOOKUP(AG1103, BasedatosM9!A:B, 2, FALSE), "BLANCO")))</f>
        <v/>
      </c>
      <c r="AU1103" s="5" t="str">
        <f>IF(AND(LEN(AR1103)=0, LEN(AS1103)=0), "", IF(AND(LEN(AR1103)&gt;0, LEN(AS1103)=0), "BLANCO", IFERROR(VLOOKUP(AS1103, BasedatosM9!A:B, 2, FALSE), "BLANCO")))</f>
        <v/>
      </c>
    </row>
    <row r="1104" spans="1:47" ht="14.4">
      <c r="A1104" s="21"/>
      <c r="B1104" s="86"/>
      <c r="C1104" s="98"/>
      <c r="D1104" s="21"/>
      <c r="E1104" s="86"/>
      <c r="F1104" s="99"/>
      <c r="G1104" s="99"/>
      <c r="H1104" s="21"/>
      <c r="I1104" s="86"/>
      <c r="J1104" s="21"/>
      <c r="K1104" s="5" t="str">
        <f>IF(AND(LEN(H1104)=0, LEN(I1104)=0), "", IF(AND(LEN(H1104)&gt;0, LEN(I1104)=0), "BLANCO", IFERROR(VLOOKUP(I1104, BasedatosM9!A:B, 2, FALSE), "BLANCO")))</f>
        <v/>
      </c>
      <c r="W1104" s="5" t="str">
        <f>IF(AND(LEN(T1104)=0, LEN(U1104)=0), "", IF(AND(LEN(T1104)&gt;0, LEN(U1104)=0), "BLANCO", IFERROR(VLOOKUP(U1104, BasedatosM9!A:B, 2, FALSE), "BLANCO")))</f>
        <v/>
      </c>
      <c r="AI1104" s="5" t="str">
        <f>IF(AND(LEN(AF1104)=0, LEN(AG1104)=0), "", IF(AND(LEN(AF1104)&gt;0, LEN(AG1104)=0), "BLANCO", IFERROR(VLOOKUP(AG1104, BasedatosM9!A:B, 2, FALSE), "BLANCO")))</f>
        <v/>
      </c>
      <c r="AU1104" s="5" t="str">
        <f>IF(AND(LEN(AR1104)=0, LEN(AS1104)=0), "", IF(AND(LEN(AR1104)&gt;0, LEN(AS1104)=0), "BLANCO", IFERROR(VLOOKUP(AS1104, BasedatosM9!A:B, 2, FALSE), "BLANCO")))</f>
        <v/>
      </c>
    </row>
    <row r="1105" spans="1:47" ht="14.4">
      <c r="A1105" s="21"/>
      <c r="B1105" s="86"/>
      <c r="C1105" s="98"/>
      <c r="D1105" s="21"/>
      <c r="E1105" s="86"/>
      <c r="F1105" s="99"/>
      <c r="G1105" s="99"/>
      <c r="H1105" s="21"/>
      <c r="I1105" s="86"/>
      <c r="J1105" s="21"/>
      <c r="K1105" s="5" t="str">
        <f>IF(AND(LEN(H1105)=0, LEN(I1105)=0), "", IF(AND(LEN(H1105)&gt;0, LEN(I1105)=0), "BLANCO", IFERROR(VLOOKUP(I1105, BasedatosM9!A:B, 2, FALSE), "BLANCO")))</f>
        <v/>
      </c>
      <c r="W1105" s="5" t="str">
        <f>IF(AND(LEN(T1105)=0, LEN(U1105)=0), "", IF(AND(LEN(T1105)&gt;0, LEN(U1105)=0), "BLANCO", IFERROR(VLOOKUP(U1105, BasedatosM9!A:B, 2, FALSE), "BLANCO")))</f>
        <v/>
      </c>
      <c r="AI1105" s="5" t="str">
        <f>IF(AND(LEN(AF1105)=0, LEN(AG1105)=0), "", IF(AND(LEN(AF1105)&gt;0, LEN(AG1105)=0), "BLANCO", IFERROR(VLOOKUP(AG1105, BasedatosM9!A:B, 2, FALSE), "BLANCO")))</f>
        <v/>
      </c>
      <c r="AU1105" s="5" t="str">
        <f>IF(AND(LEN(AR1105)=0, LEN(AS1105)=0), "", IF(AND(LEN(AR1105)&gt;0, LEN(AS1105)=0), "BLANCO", IFERROR(VLOOKUP(AS1105, BasedatosM9!A:B, 2, FALSE), "BLANCO")))</f>
        <v/>
      </c>
    </row>
    <row r="1106" spans="1:47" ht="14.4">
      <c r="A1106" s="21"/>
      <c r="B1106" s="86"/>
      <c r="C1106" s="98"/>
      <c r="D1106" s="21"/>
      <c r="E1106" s="86"/>
      <c r="F1106" s="99"/>
      <c r="G1106" s="99"/>
      <c r="H1106" s="21"/>
      <c r="I1106" s="21"/>
      <c r="J1106" s="21"/>
      <c r="K1106" s="5" t="str">
        <f>IF(AND(LEN(H1106)=0, LEN(I1106)=0), "", IF(AND(LEN(H1106)&gt;0, LEN(I1106)=0), "BLANCO", IFERROR(VLOOKUP(I1106, BasedatosM9!A:B, 2, FALSE), "BLANCO")))</f>
        <v/>
      </c>
      <c r="W1106" s="5" t="str">
        <f>IF(AND(LEN(T1106)=0, LEN(U1106)=0), "", IF(AND(LEN(T1106)&gt;0, LEN(U1106)=0), "BLANCO", IFERROR(VLOOKUP(U1106, BasedatosM9!A:B, 2, FALSE), "BLANCO")))</f>
        <v/>
      </c>
      <c r="AI1106" s="5" t="str">
        <f>IF(AND(LEN(AF1106)=0, LEN(AG1106)=0), "", IF(AND(LEN(AF1106)&gt;0, LEN(AG1106)=0), "BLANCO", IFERROR(VLOOKUP(AG1106, BasedatosM9!A:B, 2, FALSE), "BLANCO")))</f>
        <v/>
      </c>
      <c r="AU1106" s="5" t="str">
        <f>IF(AND(LEN(AR1106)=0, LEN(AS1106)=0), "", IF(AND(LEN(AR1106)&gt;0, LEN(AS1106)=0), "BLANCO", IFERROR(VLOOKUP(AS1106, BasedatosM9!A:B, 2, FALSE), "BLANCO")))</f>
        <v/>
      </c>
    </row>
    <row r="1107" spans="1:47" ht="14.4">
      <c r="A1107" s="21"/>
      <c r="B1107" s="86"/>
      <c r="C1107" s="98"/>
      <c r="D1107" s="21"/>
      <c r="E1107" s="86"/>
      <c r="F1107" s="99"/>
      <c r="G1107" s="99"/>
      <c r="H1107" s="21"/>
      <c r="I1107" s="21"/>
      <c r="J1107" s="21"/>
      <c r="K1107" s="5" t="str">
        <f>IF(AND(LEN(H1107)=0, LEN(I1107)=0), "", IF(AND(LEN(H1107)&gt;0, LEN(I1107)=0), "BLANCO", IFERROR(VLOOKUP(I1107, BasedatosM9!A:B, 2, FALSE), "BLANCO")))</f>
        <v/>
      </c>
      <c r="W1107" s="5" t="str">
        <f>IF(AND(LEN(T1107)=0, LEN(U1107)=0), "", IF(AND(LEN(T1107)&gt;0, LEN(U1107)=0), "BLANCO", IFERROR(VLOOKUP(U1107, BasedatosM9!A:B, 2, FALSE), "BLANCO")))</f>
        <v/>
      </c>
      <c r="AI1107" s="5" t="str">
        <f>IF(AND(LEN(AF1107)=0, LEN(AG1107)=0), "", IF(AND(LEN(AF1107)&gt;0, LEN(AG1107)=0), "BLANCO", IFERROR(VLOOKUP(AG1107, BasedatosM9!A:B, 2, FALSE), "BLANCO")))</f>
        <v/>
      </c>
      <c r="AU1107" s="5" t="str">
        <f>IF(AND(LEN(AR1107)=0, LEN(AS1107)=0), "", IF(AND(LEN(AR1107)&gt;0, LEN(AS1107)=0), "BLANCO", IFERROR(VLOOKUP(AS1107, BasedatosM9!A:B, 2, FALSE), "BLANCO")))</f>
        <v/>
      </c>
    </row>
    <row r="1108" spans="1:47" ht="14.4">
      <c r="A1108" s="21"/>
      <c r="B1108" s="86"/>
      <c r="C1108" s="98"/>
      <c r="D1108" s="21"/>
      <c r="E1108" s="86"/>
      <c r="F1108" s="99"/>
      <c r="G1108" s="99"/>
      <c r="H1108" s="21"/>
      <c r="I1108" s="21"/>
      <c r="J1108" s="21"/>
      <c r="K1108" s="5" t="str">
        <f>IF(AND(LEN(H1108)=0, LEN(I1108)=0), "", IF(AND(LEN(H1108)&gt;0, LEN(I1108)=0), "BLANCO", IFERROR(VLOOKUP(I1108, BasedatosM9!A:B, 2, FALSE), "BLANCO")))</f>
        <v/>
      </c>
      <c r="W1108" s="5" t="str">
        <f>IF(AND(LEN(T1108)=0, LEN(U1108)=0), "", IF(AND(LEN(T1108)&gt;0, LEN(U1108)=0), "BLANCO", IFERROR(VLOOKUP(U1108, BasedatosM9!A:B, 2, FALSE), "BLANCO")))</f>
        <v/>
      </c>
      <c r="AI1108" s="5" t="str">
        <f>IF(AND(LEN(AF1108)=0, LEN(AG1108)=0), "", IF(AND(LEN(AF1108)&gt;0, LEN(AG1108)=0), "BLANCO", IFERROR(VLOOKUP(AG1108, BasedatosM9!A:B, 2, FALSE), "BLANCO")))</f>
        <v/>
      </c>
      <c r="AU1108" s="5" t="str">
        <f>IF(AND(LEN(AR1108)=0, LEN(AS1108)=0), "", IF(AND(LEN(AR1108)&gt;0, LEN(AS1108)=0), "BLANCO", IFERROR(VLOOKUP(AS1108, BasedatosM9!A:B, 2, FALSE), "BLANCO")))</f>
        <v/>
      </c>
    </row>
    <row r="1109" spans="1:47" ht="14.4">
      <c r="A1109" s="21"/>
      <c r="B1109" s="86"/>
      <c r="C1109" s="98"/>
      <c r="D1109" s="21"/>
      <c r="E1109" s="86"/>
      <c r="F1109" s="99"/>
      <c r="G1109" s="99"/>
      <c r="H1109" s="21"/>
      <c r="I1109" s="86"/>
      <c r="J1109" s="21"/>
      <c r="K1109" s="5" t="str">
        <f>IF(AND(LEN(H1109)=0, LEN(I1109)=0), "", IF(AND(LEN(H1109)&gt;0, LEN(I1109)=0), "BLANCO", IFERROR(VLOOKUP(I1109, BasedatosM9!A:B, 2, FALSE), "BLANCO")))</f>
        <v/>
      </c>
      <c r="W1109" s="5" t="str">
        <f>IF(AND(LEN(T1109)=0, LEN(U1109)=0), "", IF(AND(LEN(T1109)&gt;0, LEN(U1109)=0), "BLANCO", IFERROR(VLOOKUP(U1109, BasedatosM9!A:B, 2, FALSE), "BLANCO")))</f>
        <v/>
      </c>
      <c r="AI1109" s="5" t="str">
        <f>IF(AND(LEN(AF1109)=0, LEN(AG1109)=0), "", IF(AND(LEN(AF1109)&gt;0, LEN(AG1109)=0), "BLANCO", IFERROR(VLOOKUP(AG1109, BasedatosM9!A:B, 2, FALSE), "BLANCO")))</f>
        <v/>
      </c>
      <c r="AU1109" s="5" t="str">
        <f>IF(AND(LEN(AR1109)=0, LEN(AS1109)=0), "", IF(AND(LEN(AR1109)&gt;0, LEN(AS1109)=0), "BLANCO", IFERROR(VLOOKUP(AS1109, BasedatosM9!A:B, 2, FALSE), "BLANCO")))</f>
        <v/>
      </c>
    </row>
    <row r="1110" spans="1:47" ht="14.4">
      <c r="A1110" s="21"/>
      <c r="B1110" s="86"/>
      <c r="C1110" s="98"/>
      <c r="D1110" s="21"/>
      <c r="E1110" s="86"/>
      <c r="F1110" s="99"/>
      <c r="G1110" s="99"/>
      <c r="H1110" s="21"/>
      <c r="I1110" s="21"/>
      <c r="J1110" s="21"/>
      <c r="K1110" s="5" t="str">
        <f>IF(AND(LEN(H1110)=0, LEN(I1110)=0), "", IF(AND(LEN(H1110)&gt;0, LEN(I1110)=0), "BLANCO", IFERROR(VLOOKUP(I1110, BasedatosM9!A:B, 2, FALSE), "BLANCO")))</f>
        <v/>
      </c>
      <c r="W1110" s="5" t="str">
        <f>IF(AND(LEN(T1110)=0, LEN(U1110)=0), "", IF(AND(LEN(T1110)&gt;0, LEN(U1110)=0), "BLANCO", IFERROR(VLOOKUP(U1110, BasedatosM9!A:B, 2, FALSE), "BLANCO")))</f>
        <v/>
      </c>
      <c r="AI1110" s="5" t="str">
        <f>IF(AND(LEN(AF1110)=0, LEN(AG1110)=0), "", IF(AND(LEN(AF1110)&gt;0, LEN(AG1110)=0), "BLANCO", IFERROR(VLOOKUP(AG1110, BasedatosM9!A:B, 2, FALSE), "BLANCO")))</f>
        <v/>
      </c>
      <c r="AU1110" s="5" t="str">
        <f>IF(AND(LEN(AR1110)=0, LEN(AS1110)=0), "", IF(AND(LEN(AR1110)&gt;0, LEN(AS1110)=0), "BLANCO", IFERROR(VLOOKUP(AS1110, BasedatosM9!A:B, 2, FALSE), "BLANCO")))</f>
        <v/>
      </c>
    </row>
    <row r="1111" spans="1:47" ht="14.4">
      <c r="A1111" s="21"/>
      <c r="B1111" s="86"/>
      <c r="C1111" s="98"/>
      <c r="D1111" s="21"/>
      <c r="E1111" s="86"/>
      <c r="F1111" s="99"/>
      <c r="G1111" s="99"/>
      <c r="H1111" s="21"/>
      <c r="I1111" s="86"/>
      <c r="J1111" s="21"/>
      <c r="K1111" s="5" t="str">
        <f>IF(AND(LEN(H1111)=0, LEN(I1111)=0), "", IF(AND(LEN(H1111)&gt;0, LEN(I1111)=0), "BLANCO", IFERROR(VLOOKUP(I1111, BasedatosM9!A:B, 2, FALSE), "BLANCO")))</f>
        <v/>
      </c>
      <c r="W1111" s="5" t="str">
        <f>IF(AND(LEN(T1111)=0, LEN(U1111)=0), "", IF(AND(LEN(T1111)&gt;0, LEN(U1111)=0), "BLANCO", IFERROR(VLOOKUP(U1111, BasedatosM9!A:B, 2, FALSE), "BLANCO")))</f>
        <v/>
      </c>
      <c r="AI1111" s="5" t="str">
        <f>IF(AND(LEN(AF1111)=0, LEN(AG1111)=0), "", IF(AND(LEN(AF1111)&gt;0, LEN(AG1111)=0), "BLANCO", IFERROR(VLOOKUP(AG1111, BasedatosM9!A:B, 2, FALSE), "BLANCO")))</f>
        <v/>
      </c>
      <c r="AU1111" s="5" t="str">
        <f>IF(AND(LEN(AR1111)=0, LEN(AS1111)=0), "", IF(AND(LEN(AR1111)&gt;0, LEN(AS1111)=0), "BLANCO", IFERROR(VLOOKUP(AS1111, BasedatosM9!A:B, 2, FALSE), "BLANCO")))</f>
        <v/>
      </c>
    </row>
    <row r="1112" spans="1:47" ht="14.4">
      <c r="A1112" s="21"/>
      <c r="B1112" s="86"/>
      <c r="C1112" s="98"/>
      <c r="D1112" s="21"/>
      <c r="E1112" s="86"/>
      <c r="F1112" s="99"/>
      <c r="G1112" s="99"/>
      <c r="H1112" s="21"/>
      <c r="I1112" s="21"/>
      <c r="J1112" s="21"/>
      <c r="K1112" s="5" t="str">
        <f>IF(AND(LEN(H1112)=0, LEN(I1112)=0), "", IF(AND(LEN(H1112)&gt;0, LEN(I1112)=0), "BLANCO", IFERROR(VLOOKUP(I1112, BasedatosM9!A:B, 2, FALSE), "BLANCO")))</f>
        <v/>
      </c>
      <c r="W1112" s="5" t="str">
        <f>IF(AND(LEN(T1112)=0, LEN(U1112)=0), "", IF(AND(LEN(T1112)&gt;0, LEN(U1112)=0), "BLANCO", IFERROR(VLOOKUP(U1112, BasedatosM9!A:B, 2, FALSE), "BLANCO")))</f>
        <v/>
      </c>
      <c r="AI1112" s="5" t="str">
        <f>IF(AND(LEN(AF1112)=0, LEN(AG1112)=0), "", IF(AND(LEN(AF1112)&gt;0, LEN(AG1112)=0), "BLANCO", IFERROR(VLOOKUP(AG1112, BasedatosM9!A:B, 2, FALSE), "BLANCO")))</f>
        <v/>
      </c>
      <c r="AU1112" s="5" t="str">
        <f>IF(AND(LEN(AR1112)=0, LEN(AS1112)=0), "", IF(AND(LEN(AR1112)&gt;0, LEN(AS1112)=0), "BLANCO", IFERROR(VLOOKUP(AS1112, BasedatosM9!A:B, 2, FALSE), "BLANCO")))</f>
        <v/>
      </c>
    </row>
    <row r="1113" spans="1:47" ht="14.4">
      <c r="A1113" s="21"/>
      <c r="B1113" s="86"/>
      <c r="C1113" s="98"/>
      <c r="D1113" s="21"/>
      <c r="E1113" s="86"/>
      <c r="F1113" s="99"/>
      <c r="G1113" s="99"/>
      <c r="H1113" s="21"/>
      <c r="I1113" s="21"/>
      <c r="J1113" s="21"/>
      <c r="K1113" s="5" t="str">
        <f>IF(AND(LEN(H1113)=0, LEN(I1113)=0), "", IF(AND(LEN(H1113)&gt;0, LEN(I1113)=0), "BLANCO", IFERROR(VLOOKUP(I1113, BasedatosM9!A:B, 2, FALSE), "BLANCO")))</f>
        <v/>
      </c>
      <c r="W1113" s="5" t="str">
        <f>IF(AND(LEN(T1113)=0, LEN(U1113)=0), "", IF(AND(LEN(T1113)&gt;0, LEN(U1113)=0), "BLANCO", IFERROR(VLOOKUP(U1113, BasedatosM9!A:B, 2, FALSE), "BLANCO")))</f>
        <v/>
      </c>
      <c r="AI1113" s="5" t="str">
        <f>IF(AND(LEN(AF1113)=0, LEN(AG1113)=0), "", IF(AND(LEN(AF1113)&gt;0, LEN(AG1113)=0), "BLANCO", IFERROR(VLOOKUP(AG1113, BasedatosM9!A:B, 2, FALSE), "BLANCO")))</f>
        <v/>
      </c>
      <c r="AU1113" s="5" t="str">
        <f>IF(AND(LEN(AR1113)=0, LEN(AS1113)=0), "", IF(AND(LEN(AR1113)&gt;0, LEN(AS1113)=0), "BLANCO", IFERROR(VLOOKUP(AS1113, BasedatosM9!A:B, 2, FALSE), "BLANCO")))</f>
        <v/>
      </c>
    </row>
    <row r="1114" spans="1:47" ht="14.4">
      <c r="A1114" s="21"/>
      <c r="B1114" s="86"/>
      <c r="C1114" s="98"/>
      <c r="D1114" s="21"/>
      <c r="E1114" s="86"/>
      <c r="F1114" s="99"/>
      <c r="G1114" s="99"/>
      <c r="H1114" s="21"/>
      <c r="I1114" s="21"/>
      <c r="J1114" s="21"/>
      <c r="K1114" s="5" t="str">
        <f>IF(AND(LEN(H1114)=0, LEN(I1114)=0), "", IF(AND(LEN(H1114)&gt;0, LEN(I1114)=0), "BLANCO", IFERROR(VLOOKUP(I1114, BasedatosM9!A:B, 2, FALSE), "BLANCO")))</f>
        <v/>
      </c>
      <c r="W1114" s="5" t="str">
        <f>IF(AND(LEN(T1114)=0, LEN(U1114)=0), "", IF(AND(LEN(T1114)&gt;0, LEN(U1114)=0), "BLANCO", IFERROR(VLOOKUP(U1114, BasedatosM9!A:B, 2, FALSE), "BLANCO")))</f>
        <v/>
      </c>
      <c r="AI1114" s="5" t="str">
        <f>IF(AND(LEN(AF1114)=0, LEN(AG1114)=0), "", IF(AND(LEN(AF1114)&gt;0, LEN(AG1114)=0), "BLANCO", IFERROR(VLOOKUP(AG1114, BasedatosM9!A:B, 2, FALSE), "BLANCO")))</f>
        <v/>
      </c>
      <c r="AU1114" s="5" t="str">
        <f>IF(AND(LEN(AR1114)=0, LEN(AS1114)=0), "", IF(AND(LEN(AR1114)&gt;0, LEN(AS1114)=0), "BLANCO", IFERROR(VLOOKUP(AS1114, BasedatosM9!A:B, 2, FALSE), "BLANCO")))</f>
        <v/>
      </c>
    </row>
    <row r="1115" spans="1:47" ht="14.4">
      <c r="A1115" s="21"/>
      <c r="B1115" s="86"/>
      <c r="C1115" s="98"/>
      <c r="D1115" s="21"/>
      <c r="E1115" s="86"/>
      <c r="F1115" s="99"/>
      <c r="G1115" s="99"/>
      <c r="H1115" s="21"/>
      <c r="I1115" s="86"/>
      <c r="J1115" s="21"/>
      <c r="K1115" s="5" t="str">
        <f>IF(AND(LEN(H1115)=0, LEN(I1115)=0), "", IF(AND(LEN(H1115)&gt;0, LEN(I1115)=0), "BLANCO", IFERROR(VLOOKUP(I1115, BasedatosM9!A:B, 2, FALSE), "BLANCO")))</f>
        <v/>
      </c>
      <c r="W1115" s="5" t="str">
        <f>IF(AND(LEN(T1115)=0, LEN(U1115)=0), "", IF(AND(LEN(T1115)&gt;0, LEN(U1115)=0), "BLANCO", IFERROR(VLOOKUP(U1115, BasedatosM9!A:B, 2, FALSE), "BLANCO")))</f>
        <v/>
      </c>
      <c r="AI1115" s="5" t="str">
        <f>IF(AND(LEN(AF1115)=0, LEN(AG1115)=0), "", IF(AND(LEN(AF1115)&gt;0, LEN(AG1115)=0), "BLANCO", IFERROR(VLOOKUP(AG1115, BasedatosM9!A:B, 2, FALSE), "BLANCO")))</f>
        <v/>
      </c>
      <c r="AU1115" s="5" t="str">
        <f>IF(AND(LEN(AR1115)=0, LEN(AS1115)=0), "", IF(AND(LEN(AR1115)&gt;0, LEN(AS1115)=0), "BLANCO", IFERROR(VLOOKUP(AS1115, BasedatosM9!A:B, 2, FALSE), "BLANCO")))</f>
        <v/>
      </c>
    </row>
    <row r="1116" spans="1:47" ht="14.4">
      <c r="A1116" s="21"/>
      <c r="B1116" s="86"/>
      <c r="C1116" s="98"/>
      <c r="D1116" s="21"/>
      <c r="E1116" s="86"/>
      <c r="F1116" s="99"/>
      <c r="G1116" s="99"/>
      <c r="H1116" s="21"/>
      <c r="I1116" s="86"/>
      <c r="J1116" s="21"/>
      <c r="K1116" s="5" t="str">
        <f>IF(AND(LEN(H1116)=0, LEN(I1116)=0), "", IF(AND(LEN(H1116)&gt;0, LEN(I1116)=0), "BLANCO", IFERROR(VLOOKUP(I1116, BasedatosM9!A:B, 2, FALSE), "BLANCO")))</f>
        <v/>
      </c>
      <c r="W1116" s="5" t="str">
        <f>IF(AND(LEN(T1116)=0, LEN(U1116)=0), "", IF(AND(LEN(T1116)&gt;0, LEN(U1116)=0), "BLANCO", IFERROR(VLOOKUP(U1116, BasedatosM9!A:B, 2, FALSE), "BLANCO")))</f>
        <v/>
      </c>
      <c r="AI1116" s="5" t="str">
        <f>IF(AND(LEN(AF1116)=0, LEN(AG1116)=0), "", IF(AND(LEN(AF1116)&gt;0, LEN(AG1116)=0), "BLANCO", IFERROR(VLOOKUP(AG1116, BasedatosM9!A:B, 2, FALSE), "BLANCO")))</f>
        <v/>
      </c>
      <c r="AU1116" s="5" t="str">
        <f>IF(AND(LEN(AR1116)=0, LEN(AS1116)=0), "", IF(AND(LEN(AR1116)&gt;0, LEN(AS1116)=0), "BLANCO", IFERROR(VLOOKUP(AS1116, BasedatosM9!A:B, 2, FALSE), "BLANCO")))</f>
        <v/>
      </c>
    </row>
    <row r="1117" spans="1:47" ht="14.4">
      <c r="A1117" s="21"/>
      <c r="B1117" s="86"/>
      <c r="C1117" s="98"/>
      <c r="D1117" s="21"/>
      <c r="E1117" s="86"/>
      <c r="F1117" s="99"/>
      <c r="G1117" s="99"/>
      <c r="H1117" s="21"/>
      <c r="I1117" s="21"/>
      <c r="J1117" s="21"/>
      <c r="K1117" s="5" t="str">
        <f>IF(AND(LEN(H1117)=0, LEN(I1117)=0), "", IF(AND(LEN(H1117)&gt;0, LEN(I1117)=0), "BLANCO", IFERROR(VLOOKUP(I1117, BasedatosM9!A:B, 2, FALSE), "BLANCO")))</f>
        <v/>
      </c>
      <c r="W1117" s="5" t="str">
        <f>IF(AND(LEN(T1117)=0, LEN(U1117)=0), "", IF(AND(LEN(T1117)&gt;0, LEN(U1117)=0), "BLANCO", IFERROR(VLOOKUP(U1117, BasedatosM9!A:B, 2, FALSE), "BLANCO")))</f>
        <v/>
      </c>
      <c r="AI1117" s="5" t="str">
        <f>IF(AND(LEN(AF1117)=0, LEN(AG1117)=0), "", IF(AND(LEN(AF1117)&gt;0, LEN(AG1117)=0), "BLANCO", IFERROR(VLOOKUP(AG1117, BasedatosM9!A:B, 2, FALSE), "BLANCO")))</f>
        <v/>
      </c>
      <c r="AU1117" s="5" t="str">
        <f>IF(AND(LEN(AR1117)=0, LEN(AS1117)=0), "", IF(AND(LEN(AR1117)&gt;0, LEN(AS1117)=0), "BLANCO", IFERROR(VLOOKUP(AS1117, BasedatosM9!A:B, 2, FALSE), "BLANCO")))</f>
        <v/>
      </c>
    </row>
    <row r="1118" spans="1:47" ht="14.4">
      <c r="A1118" s="21"/>
      <c r="B1118" s="86"/>
      <c r="C1118" s="98"/>
      <c r="D1118" s="21"/>
      <c r="E1118" s="86"/>
      <c r="F1118" s="99"/>
      <c r="G1118" s="99"/>
      <c r="H1118" s="21"/>
      <c r="I1118" s="86"/>
      <c r="J1118" s="21"/>
      <c r="K1118" s="5" t="str">
        <f>IF(AND(LEN(H1118)=0, LEN(I1118)=0), "", IF(AND(LEN(H1118)&gt;0, LEN(I1118)=0), "BLANCO", IFERROR(VLOOKUP(I1118, BasedatosM9!A:B, 2, FALSE), "BLANCO")))</f>
        <v/>
      </c>
      <c r="W1118" s="5" t="str">
        <f>IF(AND(LEN(T1118)=0, LEN(U1118)=0), "", IF(AND(LEN(T1118)&gt;0, LEN(U1118)=0), "BLANCO", IFERROR(VLOOKUP(U1118, BasedatosM9!A:B, 2, FALSE), "BLANCO")))</f>
        <v/>
      </c>
      <c r="AI1118" s="5" t="str">
        <f>IF(AND(LEN(AF1118)=0, LEN(AG1118)=0), "", IF(AND(LEN(AF1118)&gt;0, LEN(AG1118)=0), "BLANCO", IFERROR(VLOOKUP(AG1118, BasedatosM9!A:B, 2, FALSE), "BLANCO")))</f>
        <v/>
      </c>
      <c r="AU1118" s="5" t="str">
        <f>IF(AND(LEN(AR1118)=0, LEN(AS1118)=0), "", IF(AND(LEN(AR1118)&gt;0, LEN(AS1118)=0), "BLANCO", IFERROR(VLOOKUP(AS1118, BasedatosM9!A:B, 2, FALSE), "BLANCO")))</f>
        <v/>
      </c>
    </row>
    <row r="1119" spans="1:47" ht="14.4">
      <c r="A1119" s="21"/>
      <c r="B1119" s="86"/>
      <c r="C1119" s="98"/>
      <c r="D1119" s="21"/>
      <c r="E1119" s="86"/>
      <c r="F1119" s="99"/>
      <c r="G1119" s="99"/>
      <c r="H1119" s="21"/>
      <c r="I1119" s="86"/>
      <c r="J1119" s="21"/>
      <c r="K1119" s="5" t="str">
        <f>IF(AND(LEN(H1119)=0, LEN(I1119)=0), "", IF(AND(LEN(H1119)&gt;0, LEN(I1119)=0), "BLANCO", IFERROR(VLOOKUP(I1119, BasedatosM9!A:B, 2, FALSE), "BLANCO")))</f>
        <v/>
      </c>
      <c r="W1119" s="5" t="str">
        <f>IF(AND(LEN(T1119)=0, LEN(U1119)=0), "", IF(AND(LEN(T1119)&gt;0, LEN(U1119)=0), "BLANCO", IFERROR(VLOOKUP(U1119, BasedatosM9!A:B, 2, FALSE), "BLANCO")))</f>
        <v/>
      </c>
      <c r="AI1119" s="5" t="str">
        <f>IF(AND(LEN(AF1119)=0, LEN(AG1119)=0), "", IF(AND(LEN(AF1119)&gt;0, LEN(AG1119)=0), "BLANCO", IFERROR(VLOOKUP(AG1119, BasedatosM9!A:B, 2, FALSE), "BLANCO")))</f>
        <v/>
      </c>
      <c r="AU1119" s="5" t="str">
        <f>IF(AND(LEN(AR1119)=0, LEN(AS1119)=0), "", IF(AND(LEN(AR1119)&gt;0, LEN(AS1119)=0), "BLANCO", IFERROR(VLOOKUP(AS1119, BasedatosM9!A:B, 2, FALSE), "BLANCO")))</f>
        <v/>
      </c>
    </row>
    <row r="1120" spans="1:47" ht="14.4">
      <c r="A1120" s="21"/>
      <c r="B1120" s="86"/>
      <c r="C1120" s="98"/>
      <c r="D1120" s="21"/>
      <c r="E1120" s="86"/>
      <c r="F1120" s="99"/>
      <c r="G1120" s="99"/>
      <c r="H1120" s="21"/>
      <c r="I1120" s="86"/>
      <c r="J1120" s="21"/>
      <c r="K1120" s="5" t="str">
        <f>IF(AND(LEN(H1120)=0, LEN(I1120)=0), "", IF(AND(LEN(H1120)&gt;0, LEN(I1120)=0), "BLANCO", IFERROR(VLOOKUP(I1120, BasedatosM9!A:B, 2, FALSE), "BLANCO")))</f>
        <v/>
      </c>
      <c r="W1120" s="5" t="str">
        <f>IF(AND(LEN(T1120)=0, LEN(U1120)=0), "", IF(AND(LEN(T1120)&gt;0, LEN(U1120)=0), "BLANCO", IFERROR(VLOOKUP(U1120, BasedatosM9!A:B, 2, FALSE), "BLANCO")))</f>
        <v/>
      </c>
      <c r="AI1120" s="5" t="str">
        <f>IF(AND(LEN(AF1120)=0, LEN(AG1120)=0), "", IF(AND(LEN(AF1120)&gt;0, LEN(AG1120)=0), "BLANCO", IFERROR(VLOOKUP(AG1120, BasedatosM9!A:B, 2, FALSE), "BLANCO")))</f>
        <v/>
      </c>
      <c r="AU1120" s="5" t="str">
        <f>IF(AND(LEN(AR1120)=0, LEN(AS1120)=0), "", IF(AND(LEN(AR1120)&gt;0, LEN(AS1120)=0), "BLANCO", IFERROR(VLOOKUP(AS1120, BasedatosM9!A:B, 2, FALSE), "BLANCO")))</f>
        <v/>
      </c>
    </row>
    <row r="1121" spans="1:47" ht="14.4">
      <c r="A1121" s="21"/>
      <c r="B1121" s="86"/>
      <c r="C1121" s="98"/>
      <c r="D1121" s="21"/>
      <c r="E1121" s="86"/>
      <c r="F1121" s="99"/>
      <c r="G1121" s="99"/>
      <c r="H1121" s="21"/>
      <c r="I1121" s="86"/>
      <c r="J1121" s="21"/>
      <c r="K1121" s="5" t="str">
        <f>IF(AND(LEN(H1121)=0, LEN(I1121)=0), "", IF(AND(LEN(H1121)&gt;0, LEN(I1121)=0), "BLANCO", IFERROR(VLOOKUP(I1121, BasedatosM9!A:B, 2, FALSE), "BLANCO")))</f>
        <v/>
      </c>
      <c r="W1121" s="5" t="str">
        <f>IF(AND(LEN(T1121)=0, LEN(U1121)=0), "", IF(AND(LEN(T1121)&gt;0, LEN(U1121)=0), "BLANCO", IFERROR(VLOOKUP(U1121, BasedatosM9!A:B, 2, FALSE), "BLANCO")))</f>
        <v/>
      </c>
      <c r="AI1121" s="5" t="str">
        <f>IF(AND(LEN(AF1121)=0, LEN(AG1121)=0), "", IF(AND(LEN(AF1121)&gt;0, LEN(AG1121)=0), "BLANCO", IFERROR(VLOOKUP(AG1121, BasedatosM9!A:B, 2, FALSE), "BLANCO")))</f>
        <v/>
      </c>
      <c r="AU1121" s="5" t="str">
        <f>IF(AND(LEN(AR1121)=0, LEN(AS1121)=0), "", IF(AND(LEN(AR1121)&gt;0, LEN(AS1121)=0), "BLANCO", IFERROR(VLOOKUP(AS1121, BasedatosM9!A:B, 2, FALSE), "BLANCO")))</f>
        <v/>
      </c>
    </row>
    <row r="1122" spans="1:47" ht="14.4">
      <c r="A1122" s="21"/>
      <c r="B1122" s="86"/>
      <c r="C1122" s="98"/>
      <c r="D1122" s="21"/>
      <c r="E1122" s="86"/>
      <c r="F1122" s="99"/>
      <c r="G1122" s="99"/>
      <c r="H1122" s="21"/>
      <c r="I1122" s="86"/>
      <c r="J1122" s="21"/>
      <c r="K1122" s="5" t="str">
        <f>IF(AND(LEN(H1122)=0, LEN(I1122)=0), "", IF(AND(LEN(H1122)&gt;0, LEN(I1122)=0), "BLANCO", IFERROR(VLOOKUP(I1122, BasedatosM9!A:B, 2, FALSE), "BLANCO")))</f>
        <v/>
      </c>
      <c r="W1122" s="5" t="str">
        <f>IF(AND(LEN(T1122)=0, LEN(U1122)=0), "", IF(AND(LEN(T1122)&gt;0, LEN(U1122)=0), "BLANCO", IFERROR(VLOOKUP(U1122, BasedatosM9!A:B, 2, FALSE), "BLANCO")))</f>
        <v/>
      </c>
      <c r="AI1122" s="5" t="str">
        <f>IF(AND(LEN(AF1122)=0, LEN(AG1122)=0), "", IF(AND(LEN(AF1122)&gt;0, LEN(AG1122)=0), "BLANCO", IFERROR(VLOOKUP(AG1122, BasedatosM9!A:B, 2, FALSE), "BLANCO")))</f>
        <v/>
      </c>
      <c r="AU1122" s="5" t="str">
        <f>IF(AND(LEN(AR1122)=0, LEN(AS1122)=0), "", IF(AND(LEN(AR1122)&gt;0, LEN(AS1122)=0), "BLANCO", IFERROR(VLOOKUP(AS1122, BasedatosM9!A:B, 2, FALSE), "BLANCO")))</f>
        <v/>
      </c>
    </row>
    <row r="1123" spans="1:47" ht="14.4">
      <c r="A1123" s="21"/>
      <c r="B1123" s="86"/>
      <c r="C1123" s="98"/>
      <c r="D1123" s="21"/>
      <c r="E1123" s="86"/>
      <c r="F1123" s="99"/>
      <c r="G1123" s="99"/>
      <c r="H1123" s="21"/>
      <c r="I1123" s="21"/>
      <c r="J1123" s="21"/>
      <c r="K1123" s="5" t="str">
        <f>IF(AND(LEN(H1123)=0, LEN(I1123)=0), "", IF(AND(LEN(H1123)&gt;0, LEN(I1123)=0), "BLANCO", IFERROR(VLOOKUP(I1123, BasedatosM9!A:B, 2, FALSE), "BLANCO")))</f>
        <v/>
      </c>
      <c r="W1123" s="5" t="str">
        <f>IF(AND(LEN(T1123)=0, LEN(U1123)=0), "", IF(AND(LEN(T1123)&gt;0, LEN(U1123)=0), "BLANCO", IFERROR(VLOOKUP(U1123, BasedatosM9!A:B, 2, FALSE), "BLANCO")))</f>
        <v/>
      </c>
      <c r="AI1123" s="5" t="str">
        <f>IF(AND(LEN(AF1123)=0, LEN(AG1123)=0), "", IF(AND(LEN(AF1123)&gt;0, LEN(AG1123)=0), "BLANCO", IFERROR(VLOOKUP(AG1123, BasedatosM9!A:B, 2, FALSE), "BLANCO")))</f>
        <v/>
      </c>
      <c r="AU1123" s="5" t="str">
        <f>IF(AND(LEN(AR1123)=0, LEN(AS1123)=0), "", IF(AND(LEN(AR1123)&gt;0, LEN(AS1123)=0), "BLANCO", IFERROR(VLOOKUP(AS1123, BasedatosM9!A:B, 2, FALSE), "BLANCO")))</f>
        <v/>
      </c>
    </row>
    <row r="1124" spans="1:47" ht="14.4">
      <c r="A1124" s="21"/>
      <c r="B1124" s="86"/>
      <c r="C1124" s="98"/>
      <c r="D1124" s="21"/>
      <c r="E1124" s="86"/>
      <c r="F1124" s="99"/>
      <c r="G1124" s="99"/>
      <c r="H1124" s="21"/>
      <c r="I1124" s="21"/>
      <c r="J1124" s="21"/>
      <c r="K1124" s="5" t="str">
        <f>IF(AND(LEN(H1124)=0, LEN(I1124)=0), "", IF(AND(LEN(H1124)&gt;0, LEN(I1124)=0), "BLANCO", IFERROR(VLOOKUP(I1124, BasedatosM9!A:B, 2, FALSE), "BLANCO")))</f>
        <v/>
      </c>
      <c r="W1124" s="5" t="str">
        <f>IF(AND(LEN(T1124)=0, LEN(U1124)=0), "", IF(AND(LEN(T1124)&gt;0, LEN(U1124)=0), "BLANCO", IFERROR(VLOOKUP(U1124, BasedatosM9!A:B, 2, FALSE), "BLANCO")))</f>
        <v/>
      </c>
      <c r="AI1124" s="5" t="str">
        <f>IF(AND(LEN(AF1124)=0, LEN(AG1124)=0), "", IF(AND(LEN(AF1124)&gt;0, LEN(AG1124)=0), "BLANCO", IFERROR(VLOOKUP(AG1124, BasedatosM9!A:B, 2, FALSE), "BLANCO")))</f>
        <v/>
      </c>
      <c r="AU1124" s="5" t="str">
        <f>IF(AND(LEN(AR1124)=0, LEN(AS1124)=0), "", IF(AND(LEN(AR1124)&gt;0, LEN(AS1124)=0), "BLANCO", IFERROR(VLOOKUP(AS1124, BasedatosM9!A:B, 2, FALSE), "BLANCO")))</f>
        <v/>
      </c>
    </row>
    <row r="1125" spans="1:47" ht="14.4">
      <c r="A1125" s="21"/>
      <c r="B1125" s="86"/>
      <c r="C1125" s="98"/>
      <c r="D1125" s="21"/>
      <c r="E1125" s="86"/>
      <c r="F1125" s="99"/>
      <c r="G1125" s="99"/>
      <c r="H1125" s="21"/>
      <c r="I1125" s="21"/>
      <c r="J1125" s="21"/>
      <c r="K1125" s="5" t="str">
        <f>IF(AND(LEN(H1125)=0, LEN(I1125)=0), "", IF(AND(LEN(H1125)&gt;0, LEN(I1125)=0), "BLANCO", IFERROR(VLOOKUP(I1125, BasedatosM9!A:B, 2, FALSE), "BLANCO")))</f>
        <v/>
      </c>
      <c r="W1125" s="5" t="str">
        <f>IF(AND(LEN(T1125)=0, LEN(U1125)=0), "", IF(AND(LEN(T1125)&gt;0, LEN(U1125)=0), "BLANCO", IFERROR(VLOOKUP(U1125, BasedatosM9!A:B, 2, FALSE), "BLANCO")))</f>
        <v/>
      </c>
      <c r="AI1125" s="5" t="str">
        <f>IF(AND(LEN(AF1125)=0, LEN(AG1125)=0), "", IF(AND(LEN(AF1125)&gt;0, LEN(AG1125)=0), "BLANCO", IFERROR(VLOOKUP(AG1125, BasedatosM9!A:B, 2, FALSE), "BLANCO")))</f>
        <v/>
      </c>
      <c r="AU1125" s="5" t="str">
        <f>IF(AND(LEN(AR1125)=0, LEN(AS1125)=0), "", IF(AND(LEN(AR1125)&gt;0, LEN(AS1125)=0), "BLANCO", IFERROR(VLOOKUP(AS1125, BasedatosM9!A:B, 2, FALSE), "BLANCO")))</f>
        <v/>
      </c>
    </row>
    <row r="1126" spans="1:47" ht="14.4">
      <c r="A1126" s="21"/>
      <c r="B1126" s="86"/>
      <c r="C1126" s="98"/>
      <c r="D1126" s="21"/>
      <c r="E1126" s="86"/>
      <c r="F1126" s="99"/>
      <c r="G1126" s="99"/>
      <c r="H1126" s="21"/>
      <c r="I1126" s="21"/>
      <c r="J1126" s="21"/>
      <c r="K1126" s="5" t="str">
        <f>IF(AND(LEN(H1126)=0, LEN(I1126)=0), "", IF(AND(LEN(H1126)&gt;0, LEN(I1126)=0), "BLANCO", IFERROR(VLOOKUP(I1126, BasedatosM9!A:B, 2, FALSE), "BLANCO")))</f>
        <v/>
      </c>
      <c r="W1126" s="5" t="str">
        <f>IF(AND(LEN(T1126)=0, LEN(U1126)=0), "", IF(AND(LEN(T1126)&gt;0, LEN(U1126)=0), "BLANCO", IFERROR(VLOOKUP(U1126, BasedatosM9!A:B, 2, FALSE), "BLANCO")))</f>
        <v/>
      </c>
      <c r="AI1126" s="5" t="str">
        <f>IF(AND(LEN(AF1126)=0, LEN(AG1126)=0), "", IF(AND(LEN(AF1126)&gt;0, LEN(AG1126)=0), "BLANCO", IFERROR(VLOOKUP(AG1126, BasedatosM9!A:B, 2, FALSE), "BLANCO")))</f>
        <v/>
      </c>
      <c r="AU1126" s="5" t="str">
        <f>IF(AND(LEN(AR1126)=0, LEN(AS1126)=0), "", IF(AND(LEN(AR1126)&gt;0, LEN(AS1126)=0), "BLANCO", IFERROR(VLOOKUP(AS1126, BasedatosM9!A:B, 2, FALSE), "BLANCO")))</f>
        <v/>
      </c>
    </row>
    <row r="1127" spans="1:47" ht="14.4">
      <c r="A1127" s="21"/>
      <c r="B1127" s="86"/>
      <c r="C1127" s="98"/>
      <c r="D1127" s="21"/>
      <c r="E1127" s="86"/>
      <c r="F1127" s="99"/>
      <c r="G1127" s="99"/>
      <c r="H1127" s="21"/>
      <c r="I1127" s="86"/>
      <c r="J1127" s="21"/>
      <c r="K1127" s="5" t="str">
        <f>IF(AND(LEN(H1127)=0, LEN(I1127)=0), "", IF(AND(LEN(H1127)&gt;0, LEN(I1127)=0), "BLANCO", IFERROR(VLOOKUP(I1127, BasedatosM9!A:B, 2, FALSE), "BLANCO")))</f>
        <v/>
      </c>
      <c r="W1127" s="5" t="str">
        <f>IF(AND(LEN(T1127)=0, LEN(U1127)=0), "", IF(AND(LEN(T1127)&gt;0, LEN(U1127)=0), "BLANCO", IFERROR(VLOOKUP(U1127, BasedatosM9!A:B, 2, FALSE), "BLANCO")))</f>
        <v/>
      </c>
      <c r="AI1127" s="5" t="str">
        <f>IF(AND(LEN(AF1127)=0, LEN(AG1127)=0), "", IF(AND(LEN(AF1127)&gt;0, LEN(AG1127)=0), "BLANCO", IFERROR(VLOOKUP(AG1127, BasedatosM9!A:B, 2, FALSE), "BLANCO")))</f>
        <v/>
      </c>
      <c r="AU1127" s="5" t="str">
        <f>IF(AND(LEN(AR1127)=0, LEN(AS1127)=0), "", IF(AND(LEN(AR1127)&gt;0, LEN(AS1127)=0), "BLANCO", IFERROR(VLOOKUP(AS1127, BasedatosM9!A:B, 2, FALSE), "BLANCO")))</f>
        <v/>
      </c>
    </row>
    <row r="1128" spans="1:47" ht="14.4">
      <c r="A1128" s="21"/>
      <c r="B1128" s="86"/>
      <c r="C1128" s="98"/>
      <c r="D1128" s="21"/>
      <c r="E1128" s="86"/>
      <c r="F1128" s="99"/>
      <c r="G1128" s="99"/>
      <c r="H1128" s="21"/>
      <c r="I1128" s="21"/>
      <c r="J1128" s="21"/>
      <c r="K1128" s="5" t="str">
        <f>IF(AND(LEN(H1128)=0, LEN(I1128)=0), "", IF(AND(LEN(H1128)&gt;0, LEN(I1128)=0), "BLANCO", IFERROR(VLOOKUP(I1128, BasedatosM9!A:B, 2, FALSE), "BLANCO")))</f>
        <v/>
      </c>
      <c r="W1128" s="5" t="str">
        <f>IF(AND(LEN(T1128)=0, LEN(U1128)=0), "", IF(AND(LEN(T1128)&gt;0, LEN(U1128)=0), "BLANCO", IFERROR(VLOOKUP(U1128, BasedatosM9!A:B, 2, FALSE), "BLANCO")))</f>
        <v/>
      </c>
      <c r="AI1128" s="5" t="str">
        <f>IF(AND(LEN(AF1128)=0, LEN(AG1128)=0), "", IF(AND(LEN(AF1128)&gt;0, LEN(AG1128)=0), "BLANCO", IFERROR(VLOOKUP(AG1128, BasedatosM9!A:B, 2, FALSE), "BLANCO")))</f>
        <v/>
      </c>
      <c r="AU1128" s="5" t="str">
        <f>IF(AND(LEN(AR1128)=0, LEN(AS1128)=0), "", IF(AND(LEN(AR1128)&gt;0, LEN(AS1128)=0), "BLANCO", IFERROR(VLOOKUP(AS1128, BasedatosM9!A:B, 2, FALSE), "BLANCO")))</f>
        <v/>
      </c>
    </row>
    <row r="1129" spans="1:47" ht="14.4">
      <c r="A1129" s="21"/>
      <c r="B1129" s="86"/>
      <c r="C1129" s="98"/>
      <c r="D1129" s="21"/>
      <c r="E1129" s="86"/>
      <c r="F1129" s="99"/>
      <c r="G1129" s="99"/>
      <c r="H1129" s="21"/>
      <c r="I1129" s="21"/>
      <c r="J1129" s="21"/>
      <c r="K1129" s="5" t="str">
        <f>IF(AND(LEN(H1129)=0, LEN(I1129)=0), "", IF(AND(LEN(H1129)&gt;0, LEN(I1129)=0), "BLANCO", IFERROR(VLOOKUP(I1129, BasedatosM9!A:B, 2, FALSE), "BLANCO")))</f>
        <v/>
      </c>
      <c r="W1129" s="5" t="str">
        <f>IF(AND(LEN(T1129)=0, LEN(U1129)=0), "", IF(AND(LEN(T1129)&gt;0, LEN(U1129)=0), "BLANCO", IFERROR(VLOOKUP(U1129, BasedatosM9!A:B, 2, FALSE), "BLANCO")))</f>
        <v/>
      </c>
      <c r="AI1129" s="5" t="str">
        <f>IF(AND(LEN(AF1129)=0, LEN(AG1129)=0), "", IF(AND(LEN(AF1129)&gt;0, LEN(AG1129)=0), "BLANCO", IFERROR(VLOOKUP(AG1129, BasedatosM9!A:B, 2, FALSE), "BLANCO")))</f>
        <v/>
      </c>
      <c r="AU1129" s="5" t="str">
        <f>IF(AND(LEN(AR1129)=0, LEN(AS1129)=0), "", IF(AND(LEN(AR1129)&gt;0, LEN(AS1129)=0), "BLANCO", IFERROR(VLOOKUP(AS1129, BasedatosM9!A:B, 2, FALSE), "BLANCO")))</f>
        <v/>
      </c>
    </row>
    <row r="1130" spans="1:47" ht="14.4">
      <c r="A1130" s="21"/>
      <c r="B1130" s="86"/>
      <c r="C1130" s="98"/>
      <c r="D1130" s="21"/>
      <c r="E1130" s="86"/>
      <c r="F1130" s="99"/>
      <c r="G1130" s="99"/>
      <c r="H1130" s="21"/>
      <c r="I1130" s="86"/>
      <c r="J1130" s="21"/>
      <c r="K1130" s="5" t="str">
        <f>IF(AND(LEN(H1130)=0, LEN(I1130)=0), "", IF(AND(LEN(H1130)&gt;0, LEN(I1130)=0), "BLANCO", IFERROR(VLOOKUP(I1130, BasedatosM9!A:B, 2, FALSE), "BLANCO")))</f>
        <v/>
      </c>
      <c r="W1130" s="5" t="str">
        <f>IF(AND(LEN(T1130)=0, LEN(U1130)=0), "", IF(AND(LEN(T1130)&gt;0, LEN(U1130)=0), "BLANCO", IFERROR(VLOOKUP(U1130, BasedatosM9!A:B, 2, FALSE), "BLANCO")))</f>
        <v/>
      </c>
      <c r="AI1130" s="5" t="str">
        <f>IF(AND(LEN(AF1130)=0, LEN(AG1130)=0), "", IF(AND(LEN(AF1130)&gt;0, LEN(AG1130)=0), "BLANCO", IFERROR(VLOOKUP(AG1130, BasedatosM9!A:B, 2, FALSE), "BLANCO")))</f>
        <v/>
      </c>
      <c r="AU1130" s="5" t="str">
        <f>IF(AND(LEN(AR1130)=0, LEN(AS1130)=0), "", IF(AND(LEN(AR1130)&gt;0, LEN(AS1130)=0), "BLANCO", IFERROR(VLOOKUP(AS1130, BasedatosM9!A:B, 2, FALSE), "BLANCO")))</f>
        <v/>
      </c>
    </row>
    <row r="1131" spans="1:47" ht="14.4">
      <c r="A1131" s="21"/>
      <c r="B1131" s="86"/>
      <c r="C1131" s="98"/>
      <c r="D1131" s="21"/>
      <c r="E1131" s="86"/>
      <c r="F1131" s="99"/>
      <c r="G1131" s="99"/>
      <c r="H1131" s="21"/>
      <c r="I1131" s="21"/>
      <c r="J1131" s="21"/>
      <c r="K1131" s="5" t="str">
        <f>IF(AND(LEN(H1131)=0, LEN(I1131)=0), "", IF(AND(LEN(H1131)&gt;0, LEN(I1131)=0), "BLANCO", IFERROR(VLOOKUP(I1131, BasedatosM9!A:B, 2, FALSE), "BLANCO")))</f>
        <v/>
      </c>
      <c r="W1131" s="5" t="str">
        <f>IF(AND(LEN(T1131)=0, LEN(U1131)=0), "", IF(AND(LEN(T1131)&gt;0, LEN(U1131)=0), "BLANCO", IFERROR(VLOOKUP(U1131, BasedatosM9!A:B, 2, FALSE), "BLANCO")))</f>
        <v/>
      </c>
      <c r="AI1131" s="5" t="str">
        <f>IF(AND(LEN(AF1131)=0, LEN(AG1131)=0), "", IF(AND(LEN(AF1131)&gt;0, LEN(AG1131)=0), "BLANCO", IFERROR(VLOOKUP(AG1131, BasedatosM9!A:B, 2, FALSE), "BLANCO")))</f>
        <v/>
      </c>
      <c r="AU1131" s="5" t="str">
        <f>IF(AND(LEN(AR1131)=0, LEN(AS1131)=0), "", IF(AND(LEN(AR1131)&gt;0, LEN(AS1131)=0), "BLANCO", IFERROR(VLOOKUP(AS1131, BasedatosM9!A:B, 2, FALSE), "BLANCO")))</f>
        <v/>
      </c>
    </row>
    <row r="1132" spans="1:47" ht="14.4">
      <c r="A1132" s="21"/>
      <c r="B1132" s="86"/>
      <c r="C1132" s="98"/>
      <c r="D1132" s="21"/>
      <c r="E1132" s="86"/>
      <c r="F1132" s="99"/>
      <c r="G1132" s="99"/>
      <c r="H1132" s="21"/>
      <c r="I1132" s="86"/>
      <c r="J1132" s="21"/>
      <c r="K1132" s="5" t="str">
        <f>IF(AND(LEN(H1132)=0, LEN(I1132)=0), "", IF(AND(LEN(H1132)&gt;0, LEN(I1132)=0), "BLANCO", IFERROR(VLOOKUP(I1132, BasedatosM9!A:B, 2, FALSE), "BLANCO")))</f>
        <v/>
      </c>
      <c r="W1132" s="5" t="str">
        <f>IF(AND(LEN(T1132)=0, LEN(U1132)=0), "", IF(AND(LEN(T1132)&gt;0, LEN(U1132)=0), "BLANCO", IFERROR(VLOOKUP(U1132, BasedatosM9!A:B, 2, FALSE), "BLANCO")))</f>
        <v/>
      </c>
      <c r="AI1132" s="5" t="str">
        <f>IF(AND(LEN(AF1132)=0, LEN(AG1132)=0), "", IF(AND(LEN(AF1132)&gt;0, LEN(AG1132)=0), "BLANCO", IFERROR(VLOOKUP(AG1132, BasedatosM9!A:B, 2, FALSE), "BLANCO")))</f>
        <v/>
      </c>
      <c r="AU1132" s="5" t="str">
        <f>IF(AND(LEN(AR1132)=0, LEN(AS1132)=0), "", IF(AND(LEN(AR1132)&gt;0, LEN(AS1132)=0), "BLANCO", IFERROR(VLOOKUP(AS1132, BasedatosM9!A:B, 2, FALSE), "BLANCO")))</f>
        <v/>
      </c>
    </row>
    <row r="1133" spans="1:47" ht="14.4">
      <c r="A1133" s="21"/>
      <c r="B1133" s="86"/>
      <c r="C1133" s="98"/>
      <c r="D1133" s="21"/>
      <c r="E1133" s="86"/>
      <c r="F1133" s="99"/>
      <c r="G1133" s="99"/>
      <c r="H1133" s="21"/>
      <c r="I1133" s="86"/>
      <c r="J1133" s="21"/>
      <c r="K1133" s="5" t="str">
        <f>IF(AND(LEN(H1133)=0, LEN(I1133)=0), "", IF(AND(LEN(H1133)&gt;0, LEN(I1133)=0), "BLANCO", IFERROR(VLOOKUP(I1133, BasedatosM9!A:B, 2, FALSE), "BLANCO")))</f>
        <v/>
      </c>
      <c r="W1133" s="5" t="str">
        <f>IF(AND(LEN(T1133)=0, LEN(U1133)=0), "", IF(AND(LEN(T1133)&gt;0, LEN(U1133)=0), "BLANCO", IFERROR(VLOOKUP(U1133, BasedatosM9!A:B, 2, FALSE), "BLANCO")))</f>
        <v/>
      </c>
      <c r="AI1133" s="5" t="str">
        <f>IF(AND(LEN(AF1133)=0, LEN(AG1133)=0), "", IF(AND(LEN(AF1133)&gt;0, LEN(AG1133)=0), "BLANCO", IFERROR(VLOOKUP(AG1133, BasedatosM9!A:B, 2, FALSE), "BLANCO")))</f>
        <v/>
      </c>
      <c r="AU1133" s="5" t="str">
        <f>IF(AND(LEN(AR1133)=0, LEN(AS1133)=0), "", IF(AND(LEN(AR1133)&gt;0, LEN(AS1133)=0), "BLANCO", IFERROR(VLOOKUP(AS1133, BasedatosM9!A:B, 2, FALSE), "BLANCO")))</f>
        <v/>
      </c>
    </row>
    <row r="1134" spans="1:47" ht="14.4">
      <c r="A1134" s="21"/>
      <c r="B1134" s="86"/>
      <c r="C1134" s="98"/>
      <c r="D1134" s="21"/>
      <c r="E1134" s="86"/>
      <c r="F1134" s="99"/>
      <c r="G1134" s="99"/>
      <c r="H1134" s="21"/>
      <c r="I1134" s="86"/>
      <c r="J1134" s="21"/>
      <c r="K1134" s="5" t="str">
        <f>IF(AND(LEN(H1134)=0, LEN(I1134)=0), "", IF(AND(LEN(H1134)&gt;0, LEN(I1134)=0), "BLANCO", IFERROR(VLOOKUP(I1134, BasedatosM9!A:B, 2, FALSE), "BLANCO")))</f>
        <v/>
      </c>
      <c r="W1134" s="5" t="str">
        <f>IF(AND(LEN(T1134)=0, LEN(U1134)=0), "", IF(AND(LEN(T1134)&gt;0, LEN(U1134)=0), "BLANCO", IFERROR(VLOOKUP(U1134, BasedatosM9!A:B, 2, FALSE), "BLANCO")))</f>
        <v/>
      </c>
      <c r="AI1134" s="5" t="str">
        <f>IF(AND(LEN(AF1134)=0, LEN(AG1134)=0), "", IF(AND(LEN(AF1134)&gt;0, LEN(AG1134)=0), "BLANCO", IFERROR(VLOOKUP(AG1134, BasedatosM9!A:B, 2, FALSE), "BLANCO")))</f>
        <v/>
      </c>
      <c r="AU1134" s="5" t="str">
        <f>IF(AND(LEN(AR1134)=0, LEN(AS1134)=0), "", IF(AND(LEN(AR1134)&gt;0, LEN(AS1134)=0), "BLANCO", IFERROR(VLOOKUP(AS1134, BasedatosM9!A:B, 2, FALSE), "BLANCO")))</f>
        <v/>
      </c>
    </row>
    <row r="1135" spans="1:47" ht="14.4">
      <c r="A1135" s="21"/>
      <c r="B1135" s="86"/>
      <c r="C1135" s="98"/>
      <c r="D1135" s="21"/>
      <c r="E1135" s="86"/>
      <c r="F1135" s="99"/>
      <c r="G1135" s="99"/>
      <c r="H1135" s="21"/>
      <c r="I1135" s="21"/>
      <c r="J1135" s="21"/>
      <c r="K1135" s="5" t="str">
        <f>IF(AND(LEN(H1135)=0, LEN(I1135)=0), "", IF(AND(LEN(H1135)&gt;0, LEN(I1135)=0), "BLANCO", IFERROR(VLOOKUP(I1135, BasedatosM9!A:B, 2, FALSE), "BLANCO")))</f>
        <v/>
      </c>
      <c r="W1135" s="5" t="str">
        <f>IF(AND(LEN(T1135)=0, LEN(U1135)=0), "", IF(AND(LEN(T1135)&gt;0, LEN(U1135)=0), "BLANCO", IFERROR(VLOOKUP(U1135, BasedatosM9!A:B, 2, FALSE), "BLANCO")))</f>
        <v/>
      </c>
      <c r="AI1135" s="5" t="str">
        <f>IF(AND(LEN(AF1135)=0, LEN(AG1135)=0), "", IF(AND(LEN(AF1135)&gt;0, LEN(AG1135)=0), "BLANCO", IFERROR(VLOOKUP(AG1135, BasedatosM9!A:B, 2, FALSE), "BLANCO")))</f>
        <v/>
      </c>
      <c r="AU1135" s="5" t="str">
        <f>IF(AND(LEN(AR1135)=0, LEN(AS1135)=0), "", IF(AND(LEN(AR1135)&gt;0, LEN(AS1135)=0), "BLANCO", IFERROR(VLOOKUP(AS1135, BasedatosM9!A:B, 2, FALSE), "BLANCO")))</f>
        <v/>
      </c>
    </row>
    <row r="1136" spans="1:47" ht="14.4">
      <c r="A1136" s="21"/>
      <c r="B1136" s="86"/>
      <c r="C1136" s="98"/>
      <c r="D1136" s="21"/>
      <c r="E1136" s="86"/>
      <c r="F1136" s="99"/>
      <c r="G1136" s="99"/>
      <c r="H1136" s="21"/>
      <c r="I1136" s="86"/>
      <c r="J1136" s="21"/>
      <c r="K1136" s="5" t="str">
        <f>IF(AND(LEN(H1136)=0, LEN(I1136)=0), "", IF(AND(LEN(H1136)&gt;0, LEN(I1136)=0), "BLANCO", IFERROR(VLOOKUP(I1136, BasedatosM9!A:B, 2, FALSE), "BLANCO")))</f>
        <v/>
      </c>
      <c r="W1136" s="5" t="str">
        <f>IF(AND(LEN(T1136)=0, LEN(U1136)=0), "", IF(AND(LEN(T1136)&gt;0, LEN(U1136)=0), "BLANCO", IFERROR(VLOOKUP(U1136, BasedatosM9!A:B, 2, FALSE), "BLANCO")))</f>
        <v/>
      </c>
      <c r="AI1136" s="5" t="str">
        <f>IF(AND(LEN(AF1136)=0, LEN(AG1136)=0), "", IF(AND(LEN(AF1136)&gt;0, LEN(AG1136)=0), "BLANCO", IFERROR(VLOOKUP(AG1136, BasedatosM9!A:B, 2, FALSE), "BLANCO")))</f>
        <v/>
      </c>
      <c r="AU1136" s="5" t="str">
        <f>IF(AND(LEN(AR1136)=0, LEN(AS1136)=0), "", IF(AND(LEN(AR1136)&gt;0, LEN(AS1136)=0), "BLANCO", IFERROR(VLOOKUP(AS1136, BasedatosM9!A:B, 2, FALSE), "BLANCO")))</f>
        <v/>
      </c>
    </row>
    <row r="1137" spans="1:47" ht="14.4">
      <c r="A1137" s="21"/>
      <c r="B1137" s="86"/>
      <c r="C1137" s="98"/>
      <c r="D1137" s="21"/>
      <c r="E1137" s="86"/>
      <c r="F1137" s="99"/>
      <c r="G1137" s="99"/>
      <c r="H1137" s="21"/>
      <c r="I1137" s="21"/>
      <c r="J1137" s="21"/>
      <c r="K1137" s="5" t="str">
        <f>IF(AND(LEN(H1137)=0, LEN(I1137)=0), "", IF(AND(LEN(H1137)&gt;0, LEN(I1137)=0), "BLANCO", IFERROR(VLOOKUP(I1137, BasedatosM9!A:B, 2, FALSE), "BLANCO")))</f>
        <v/>
      </c>
      <c r="W1137" s="5" t="str">
        <f>IF(AND(LEN(T1137)=0, LEN(U1137)=0), "", IF(AND(LEN(T1137)&gt;0, LEN(U1137)=0), "BLANCO", IFERROR(VLOOKUP(U1137, BasedatosM9!A:B, 2, FALSE), "BLANCO")))</f>
        <v/>
      </c>
      <c r="AI1137" s="5" t="str">
        <f>IF(AND(LEN(AF1137)=0, LEN(AG1137)=0), "", IF(AND(LEN(AF1137)&gt;0, LEN(AG1137)=0), "BLANCO", IFERROR(VLOOKUP(AG1137, BasedatosM9!A:B, 2, FALSE), "BLANCO")))</f>
        <v/>
      </c>
      <c r="AU1137" s="5" t="str">
        <f>IF(AND(LEN(AR1137)=0, LEN(AS1137)=0), "", IF(AND(LEN(AR1137)&gt;0, LEN(AS1137)=0), "BLANCO", IFERROR(VLOOKUP(AS1137, BasedatosM9!A:B, 2, FALSE), "BLANCO")))</f>
        <v/>
      </c>
    </row>
    <row r="1138" spans="1:47" ht="14.4">
      <c r="A1138" s="21"/>
      <c r="B1138" s="86"/>
      <c r="C1138" s="98"/>
      <c r="D1138" s="21"/>
      <c r="E1138" s="86"/>
      <c r="F1138" s="99"/>
      <c r="G1138" s="99"/>
      <c r="H1138" s="21"/>
      <c r="I1138" s="21"/>
      <c r="J1138" s="21"/>
      <c r="K1138" s="5" t="str">
        <f>IF(AND(LEN(H1138)=0, LEN(I1138)=0), "", IF(AND(LEN(H1138)&gt;0, LEN(I1138)=0), "BLANCO", IFERROR(VLOOKUP(I1138, BasedatosM9!A:B, 2, FALSE), "BLANCO")))</f>
        <v/>
      </c>
      <c r="W1138" s="5" t="str">
        <f>IF(AND(LEN(T1138)=0, LEN(U1138)=0), "", IF(AND(LEN(T1138)&gt;0, LEN(U1138)=0), "BLANCO", IFERROR(VLOOKUP(U1138, BasedatosM9!A:B, 2, FALSE), "BLANCO")))</f>
        <v/>
      </c>
      <c r="AI1138" s="5" t="str">
        <f>IF(AND(LEN(AF1138)=0, LEN(AG1138)=0), "", IF(AND(LEN(AF1138)&gt;0, LEN(AG1138)=0), "BLANCO", IFERROR(VLOOKUP(AG1138, BasedatosM9!A:B, 2, FALSE), "BLANCO")))</f>
        <v/>
      </c>
      <c r="AU1138" s="5" t="str">
        <f>IF(AND(LEN(AR1138)=0, LEN(AS1138)=0), "", IF(AND(LEN(AR1138)&gt;0, LEN(AS1138)=0), "BLANCO", IFERROR(VLOOKUP(AS1138, BasedatosM9!A:B, 2, FALSE), "BLANCO")))</f>
        <v/>
      </c>
    </row>
    <row r="1139" spans="1:47" ht="14.4">
      <c r="A1139" s="21"/>
      <c r="B1139" s="86"/>
      <c r="C1139" s="98"/>
      <c r="D1139" s="21"/>
      <c r="E1139" s="86"/>
      <c r="F1139" s="99"/>
      <c r="G1139" s="99"/>
      <c r="H1139" s="21"/>
      <c r="I1139" s="21"/>
      <c r="J1139" s="21"/>
      <c r="K1139" s="5" t="str">
        <f>IF(AND(LEN(H1139)=0, LEN(I1139)=0), "", IF(AND(LEN(H1139)&gt;0, LEN(I1139)=0), "BLANCO", IFERROR(VLOOKUP(I1139, BasedatosM9!A:B, 2, FALSE), "BLANCO")))</f>
        <v/>
      </c>
      <c r="W1139" s="5" t="str">
        <f>IF(AND(LEN(T1139)=0, LEN(U1139)=0), "", IF(AND(LEN(T1139)&gt;0, LEN(U1139)=0), "BLANCO", IFERROR(VLOOKUP(U1139, BasedatosM9!A:B, 2, FALSE), "BLANCO")))</f>
        <v/>
      </c>
      <c r="AI1139" s="5" t="str">
        <f>IF(AND(LEN(AF1139)=0, LEN(AG1139)=0), "", IF(AND(LEN(AF1139)&gt;0, LEN(AG1139)=0), "BLANCO", IFERROR(VLOOKUP(AG1139, BasedatosM9!A:B, 2, FALSE), "BLANCO")))</f>
        <v/>
      </c>
      <c r="AU1139" s="5" t="str">
        <f>IF(AND(LEN(AR1139)=0, LEN(AS1139)=0), "", IF(AND(LEN(AR1139)&gt;0, LEN(AS1139)=0), "BLANCO", IFERROR(VLOOKUP(AS1139, BasedatosM9!A:B, 2, FALSE), "BLANCO")))</f>
        <v/>
      </c>
    </row>
    <row r="1140" spans="1:47" ht="14.4">
      <c r="A1140" s="21"/>
      <c r="B1140" s="86"/>
      <c r="C1140" s="98"/>
      <c r="D1140" s="21"/>
      <c r="E1140" s="86"/>
      <c r="F1140" s="99"/>
      <c r="G1140" s="99"/>
      <c r="H1140" s="21"/>
      <c r="I1140" s="86"/>
      <c r="J1140" s="21"/>
      <c r="K1140" s="5" t="str">
        <f>IF(AND(LEN(H1140)=0, LEN(I1140)=0), "", IF(AND(LEN(H1140)&gt;0, LEN(I1140)=0), "BLANCO", IFERROR(VLOOKUP(I1140, BasedatosM9!A:B, 2, FALSE), "BLANCO")))</f>
        <v/>
      </c>
      <c r="W1140" s="5" t="str">
        <f>IF(AND(LEN(T1140)=0, LEN(U1140)=0), "", IF(AND(LEN(T1140)&gt;0, LEN(U1140)=0), "BLANCO", IFERROR(VLOOKUP(U1140, BasedatosM9!A:B, 2, FALSE), "BLANCO")))</f>
        <v/>
      </c>
      <c r="AI1140" s="5" t="str">
        <f>IF(AND(LEN(AF1140)=0, LEN(AG1140)=0), "", IF(AND(LEN(AF1140)&gt;0, LEN(AG1140)=0), "BLANCO", IFERROR(VLOOKUP(AG1140, BasedatosM9!A:B, 2, FALSE), "BLANCO")))</f>
        <v/>
      </c>
      <c r="AU1140" s="5" t="str">
        <f>IF(AND(LEN(AR1140)=0, LEN(AS1140)=0), "", IF(AND(LEN(AR1140)&gt;0, LEN(AS1140)=0), "BLANCO", IFERROR(VLOOKUP(AS1140, BasedatosM9!A:B, 2, FALSE), "BLANCO")))</f>
        <v/>
      </c>
    </row>
    <row r="1141" spans="1:47" ht="14.4">
      <c r="A1141" s="21"/>
      <c r="B1141" s="86"/>
      <c r="C1141" s="98"/>
      <c r="D1141" s="21"/>
      <c r="E1141" s="86"/>
      <c r="F1141" s="99"/>
      <c r="G1141" s="99"/>
      <c r="H1141" s="21"/>
      <c r="I1141" s="21"/>
      <c r="J1141" s="21"/>
      <c r="K1141" s="5" t="str">
        <f>IF(AND(LEN(H1141)=0, LEN(I1141)=0), "", IF(AND(LEN(H1141)&gt;0, LEN(I1141)=0), "BLANCO", IFERROR(VLOOKUP(I1141, BasedatosM9!A:B, 2, FALSE), "BLANCO")))</f>
        <v/>
      </c>
      <c r="W1141" s="5" t="str">
        <f>IF(AND(LEN(T1141)=0, LEN(U1141)=0), "", IF(AND(LEN(T1141)&gt;0, LEN(U1141)=0), "BLANCO", IFERROR(VLOOKUP(U1141, BasedatosM9!A:B, 2, FALSE), "BLANCO")))</f>
        <v/>
      </c>
      <c r="AI1141" s="5" t="str">
        <f>IF(AND(LEN(AF1141)=0, LEN(AG1141)=0), "", IF(AND(LEN(AF1141)&gt;0, LEN(AG1141)=0), "BLANCO", IFERROR(VLOOKUP(AG1141, BasedatosM9!A:B, 2, FALSE), "BLANCO")))</f>
        <v/>
      </c>
      <c r="AU1141" s="5" t="str">
        <f>IF(AND(LEN(AR1141)=0, LEN(AS1141)=0), "", IF(AND(LEN(AR1141)&gt;0, LEN(AS1141)=0), "BLANCO", IFERROR(VLOOKUP(AS1141, BasedatosM9!A:B, 2, FALSE), "BLANCO")))</f>
        <v/>
      </c>
    </row>
    <row r="1142" spans="1:47" ht="14.4">
      <c r="A1142" s="21"/>
      <c r="B1142" s="86"/>
      <c r="C1142" s="98"/>
      <c r="D1142" s="21"/>
      <c r="E1142" s="86"/>
      <c r="F1142" s="99"/>
      <c r="G1142" s="99"/>
      <c r="H1142" s="21"/>
      <c r="I1142" s="21"/>
      <c r="J1142" s="21"/>
      <c r="K1142" s="5" t="str">
        <f>IF(AND(LEN(H1142)=0, LEN(I1142)=0), "", IF(AND(LEN(H1142)&gt;0, LEN(I1142)=0), "BLANCO", IFERROR(VLOOKUP(I1142, BasedatosM9!A:B, 2, FALSE), "BLANCO")))</f>
        <v/>
      </c>
      <c r="W1142" s="5" t="str">
        <f>IF(AND(LEN(T1142)=0, LEN(U1142)=0), "", IF(AND(LEN(T1142)&gt;0, LEN(U1142)=0), "BLANCO", IFERROR(VLOOKUP(U1142, BasedatosM9!A:B, 2, FALSE), "BLANCO")))</f>
        <v/>
      </c>
      <c r="AI1142" s="5" t="str">
        <f>IF(AND(LEN(AF1142)=0, LEN(AG1142)=0), "", IF(AND(LEN(AF1142)&gt;0, LEN(AG1142)=0), "BLANCO", IFERROR(VLOOKUP(AG1142, BasedatosM9!A:B, 2, FALSE), "BLANCO")))</f>
        <v/>
      </c>
      <c r="AU1142" s="5" t="str">
        <f>IF(AND(LEN(AR1142)=0, LEN(AS1142)=0), "", IF(AND(LEN(AR1142)&gt;0, LEN(AS1142)=0), "BLANCO", IFERROR(VLOOKUP(AS1142, BasedatosM9!A:B, 2, FALSE), "BLANCO")))</f>
        <v/>
      </c>
    </row>
    <row r="1143" spans="1:47" ht="14.4">
      <c r="A1143" s="21"/>
      <c r="B1143" s="86"/>
      <c r="C1143" s="98"/>
      <c r="D1143" s="21"/>
      <c r="E1143" s="86"/>
      <c r="F1143" s="99"/>
      <c r="G1143" s="99"/>
      <c r="H1143" s="21"/>
      <c r="I1143" s="21"/>
      <c r="J1143" s="21"/>
      <c r="K1143" s="5" t="str">
        <f>IF(AND(LEN(H1143)=0, LEN(I1143)=0), "", IF(AND(LEN(H1143)&gt;0, LEN(I1143)=0), "BLANCO", IFERROR(VLOOKUP(I1143, BasedatosM9!A:B, 2, FALSE), "BLANCO")))</f>
        <v/>
      </c>
      <c r="W1143" s="5" t="str">
        <f>IF(AND(LEN(T1143)=0, LEN(U1143)=0), "", IF(AND(LEN(T1143)&gt;0, LEN(U1143)=0), "BLANCO", IFERROR(VLOOKUP(U1143, BasedatosM9!A:B, 2, FALSE), "BLANCO")))</f>
        <v/>
      </c>
      <c r="AI1143" s="5" t="str">
        <f>IF(AND(LEN(AF1143)=0, LEN(AG1143)=0), "", IF(AND(LEN(AF1143)&gt;0, LEN(AG1143)=0), "BLANCO", IFERROR(VLOOKUP(AG1143, BasedatosM9!A:B, 2, FALSE), "BLANCO")))</f>
        <v/>
      </c>
      <c r="AU1143" s="5" t="str">
        <f>IF(AND(LEN(AR1143)=0, LEN(AS1143)=0), "", IF(AND(LEN(AR1143)&gt;0, LEN(AS1143)=0), "BLANCO", IFERROR(VLOOKUP(AS1143, BasedatosM9!A:B, 2, FALSE), "BLANCO")))</f>
        <v/>
      </c>
    </row>
    <row r="1144" spans="1:47" ht="14.4">
      <c r="A1144" s="21"/>
      <c r="B1144" s="86"/>
      <c r="C1144" s="98"/>
      <c r="D1144" s="21"/>
      <c r="E1144" s="86"/>
      <c r="F1144" s="99"/>
      <c r="G1144" s="99"/>
      <c r="H1144" s="21"/>
      <c r="I1144" s="86"/>
      <c r="J1144" s="21"/>
      <c r="K1144" s="5" t="str">
        <f>IF(AND(LEN(H1144)=0, LEN(I1144)=0), "", IF(AND(LEN(H1144)&gt;0, LEN(I1144)=0), "BLANCO", IFERROR(VLOOKUP(I1144, BasedatosM9!A:B, 2, FALSE), "BLANCO")))</f>
        <v/>
      </c>
      <c r="W1144" s="5" t="str">
        <f>IF(AND(LEN(T1144)=0, LEN(U1144)=0), "", IF(AND(LEN(T1144)&gt;0, LEN(U1144)=0), "BLANCO", IFERROR(VLOOKUP(U1144, BasedatosM9!A:B, 2, FALSE), "BLANCO")))</f>
        <v/>
      </c>
      <c r="AI1144" s="5" t="str">
        <f>IF(AND(LEN(AF1144)=0, LEN(AG1144)=0), "", IF(AND(LEN(AF1144)&gt;0, LEN(AG1144)=0), "BLANCO", IFERROR(VLOOKUP(AG1144, BasedatosM9!A:B, 2, FALSE), "BLANCO")))</f>
        <v/>
      </c>
      <c r="AU1144" s="5" t="str">
        <f>IF(AND(LEN(AR1144)=0, LEN(AS1144)=0), "", IF(AND(LEN(AR1144)&gt;0, LEN(AS1144)=0), "BLANCO", IFERROR(VLOOKUP(AS1144, BasedatosM9!A:B, 2, FALSE), "BLANCO")))</f>
        <v/>
      </c>
    </row>
    <row r="1145" spans="1:47" ht="14.4">
      <c r="A1145" s="21"/>
      <c r="B1145" s="86"/>
      <c r="C1145" s="98"/>
      <c r="D1145" s="21"/>
      <c r="E1145" s="86"/>
      <c r="F1145" s="99"/>
      <c r="G1145" s="99"/>
      <c r="H1145" s="21"/>
      <c r="I1145" s="21"/>
      <c r="J1145" s="21"/>
      <c r="K1145" s="5" t="str">
        <f>IF(AND(LEN(H1145)=0, LEN(I1145)=0), "", IF(AND(LEN(H1145)&gt;0, LEN(I1145)=0), "BLANCO", IFERROR(VLOOKUP(I1145, BasedatosM9!A:B, 2, FALSE), "BLANCO")))</f>
        <v/>
      </c>
      <c r="W1145" s="5" t="str">
        <f>IF(AND(LEN(T1145)=0, LEN(U1145)=0), "", IF(AND(LEN(T1145)&gt;0, LEN(U1145)=0), "BLANCO", IFERROR(VLOOKUP(U1145, BasedatosM9!A:B, 2, FALSE), "BLANCO")))</f>
        <v/>
      </c>
      <c r="AI1145" s="5" t="str">
        <f>IF(AND(LEN(AF1145)=0, LEN(AG1145)=0), "", IF(AND(LEN(AF1145)&gt;0, LEN(AG1145)=0), "BLANCO", IFERROR(VLOOKUP(AG1145, BasedatosM9!A:B, 2, FALSE), "BLANCO")))</f>
        <v/>
      </c>
      <c r="AU1145" s="5" t="str">
        <f>IF(AND(LEN(AR1145)=0, LEN(AS1145)=0), "", IF(AND(LEN(AR1145)&gt;0, LEN(AS1145)=0), "BLANCO", IFERROR(VLOOKUP(AS1145, BasedatosM9!A:B, 2, FALSE), "BLANCO")))</f>
        <v/>
      </c>
    </row>
    <row r="1146" spans="1:47" ht="14.4">
      <c r="A1146" s="21"/>
      <c r="B1146" s="86"/>
      <c r="C1146" s="98"/>
      <c r="D1146" s="21"/>
      <c r="E1146" s="86"/>
      <c r="F1146" s="99"/>
      <c r="G1146" s="99"/>
      <c r="H1146" s="21"/>
      <c r="I1146" s="21"/>
      <c r="J1146" s="21"/>
      <c r="K1146" s="5" t="str">
        <f>IF(AND(LEN(H1146)=0, LEN(I1146)=0), "", IF(AND(LEN(H1146)&gt;0, LEN(I1146)=0), "BLANCO", IFERROR(VLOOKUP(I1146, BasedatosM9!A:B, 2, FALSE), "BLANCO")))</f>
        <v/>
      </c>
      <c r="W1146" s="5" t="str">
        <f>IF(AND(LEN(T1146)=0, LEN(U1146)=0), "", IF(AND(LEN(T1146)&gt;0, LEN(U1146)=0), "BLANCO", IFERROR(VLOOKUP(U1146, BasedatosM9!A:B, 2, FALSE), "BLANCO")))</f>
        <v/>
      </c>
      <c r="AI1146" s="5" t="str">
        <f>IF(AND(LEN(AF1146)=0, LEN(AG1146)=0), "", IF(AND(LEN(AF1146)&gt;0, LEN(AG1146)=0), "BLANCO", IFERROR(VLOOKUP(AG1146, BasedatosM9!A:B, 2, FALSE), "BLANCO")))</f>
        <v/>
      </c>
      <c r="AU1146" s="5" t="str">
        <f>IF(AND(LEN(AR1146)=0, LEN(AS1146)=0), "", IF(AND(LEN(AR1146)&gt;0, LEN(AS1146)=0), "BLANCO", IFERROR(VLOOKUP(AS1146, BasedatosM9!A:B, 2, FALSE), "BLANCO")))</f>
        <v/>
      </c>
    </row>
    <row r="1147" spans="1:47" ht="14.4">
      <c r="A1147" s="21"/>
      <c r="B1147" s="86"/>
      <c r="C1147" s="98"/>
      <c r="D1147" s="21"/>
      <c r="E1147" s="86"/>
      <c r="F1147" s="99"/>
      <c r="G1147" s="99"/>
      <c r="H1147" s="21"/>
      <c r="I1147" s="21"/>
      <c r="J1147" s="21"/>
      <c r="K1147" s="5" t="str">
        <f>IF(AND(LEN(H1147)=0, LEN(I1147)=0), "", IF(AND(LEN(H1147)&gt;0, LEN(I1147)=0), "BLANCO", IFERROR(VLOOKUP(I1147, BasedatosM9!A:B, 2, FALSE), "BLANCO")))</f>
        <v/>
      </c>
      <c r="W1147" s="5" t="str">
        <f>IF(AND(LEN(T1147)=0, LEN(U1147)=0), "", IF(AND(LEN(T1147)&gt;0, LEN(U1147)=0), "BLANCO", IFERROR(VLOOKUP(U1147, BasedatosM9!A:B, 2, FALSE), "BLANCO")))</f>
        <v/>
      </c>
      <c r="AI1147" s="5" t="str">
        <f>IF(AND(LEN(AF1147)=0, LEN(AG1147)=0), "", IF(AND(LEN(AF1147)&gt;0, LEN(AG1147)=0), "BLANCO", IFERROR(VLOOKUP(AG1147, BasedatosM9!A:B, 2, FALSE), "BLANCO")))</f>
        <v/>
      </c>
      <c r="AU1147" s="5" t="str">
        <f>IF(AND(LEN(AR1147)=0, LEN(AS1147)=0), "", IF(AND(LEN(AR1147)&gt;0, LEN(AS1147)=0), "BLANCO", IFERROR(VLOOKUP(AS1147, BasedatosM9!A:B, 2, FALSE), "BLANCO")))</f>
        <v/>
      </c>
    </row>
    <row r="1148" spans="1:47" ht="14.4">
      <c r="A1148" s="21"/>
      <c r="B1148" s="86"/>
      <c r="C1148" s="98"/>
      <c r="D1148" s="21"/>
      <c r="E1148" s="86"/>
      <c r="F1148" s="99"/>
      <c r="G1148" s="99"/>
      <c r="H1148" s="21"/>
      <c r="I1148" s="86"/>
      <c r="J1148" s="21"/>
      <c r="K1148" s="5" t="str">
        <f>IF(AND(LEN(H1148)=0, LEN(I1148)=0), "", IF(AND(LEN(H1148)&gt;0, LEN(I1148)=0), "BLANCO", IFERROR(VLOOKUP(I1148, BasedatosM9!A:B, 2, FALSE), "BLANCO")))</f>
        <v/>
      </c>
      <c r="W1148" s="5" t="str">
        <f>IF(AND(LEN(T1148)=0, LEN(U1148)=0), "", IF(AND(LEN(T1148)&gt;0, LEN(U1148)=0), "BLANCO", IFERROR(VLOOKUP(U1148, BasedatosM9!A:B, 2, FALSE), "BLANCO")))</f>
        <v/>
      </c>
      <c r="AI1148" s="5" t="str">
        <f>IF(AND(LEN(AF1148)=0, LEN(AG1148)=0), "", IF(AND(LEN(AF1148)&gt;0, LEN(AG1148)=0), "BLANCO", IFERROR(VLOOKUP(AG1148, BasedatosM9!A:B, 2, FALSE), "BLANCO")))</f>
        <v/>
      </c>
      <c r="AU1148" s="5" t="str">
        <f>IF(AND(LEN(AR1148)=0, LEN(AS1148)=0), "", IF(AND(LEN(AR1148)&gt;0, LEN(AS1148)=0), "BLANCO", IFERROR(VLOOKUP(AS1148, BasedatosM9!A:B, 2, FALSE), "BLANCO")))</f>
        <v/>
      </c>
    </row>
    <row r="1149" spans="1:47" ht="14.4">
      <c r="A1149" s="21"/>
      <c r="B1149" s="86"/>
      <c r="C1149" s="98"/>
      <c r="D1149" s="21"/>
      <c r="E1149" s="86"/>
      <c r="F1149" s="99"/>
      <c r="G1149" s="99"/>
      <c r="H1149" s="21"/>
      <c r="I1149" s="21"/>
      <c r="J1149" s="21"/>
      <c r="K1149" s="5" t="str">
        <f>IF(AND(LEN(H1149)=0, LEN(I1149)=0), "", IF(AND(LEN(H1149)&gt;0, LEN(I1149)=0), "BLANCO", IFERROR(VLOOKUP(I1149, BasedatosM9!A:B, 2, FALSE), "BLANCO")))</f>
        <v/>
      </c>
      <c r="W1149" s="5" t="str">
        <f>IF(AND(LEN(T1149)=0, LEN(U1149)=0), "", IF(AND(LEN(T1149)&gt;0, LEN(U1149)=0), "BLANCO", IFERROR(VLOOKUP(U1149, BasedatosM9!A:B, 2, FALSE), "BLANCO")))</f>
        <v/>
      </c>
      <c r="AI1149" s="5" t="str">
        <f>IF(AND(LEN(AF1149)=0, LEN(AG1149)=0), "", IF(AND(LEN(AF1149)&gt;0, LEN(AG1149)=0), "BLANCO", IFERROR(VLOOKUP(AG1149, BasedatosM9!A:B, 2, FALSE), "BLANCO")))</f>
        <v/>
      </c>
      <c r="AU1149" s="5" t="str">
        <f>IF(AND(LEN(AR1149)=0, LEN(AS1149)=0), "", IF(AND(LEN(AR1149)&gt;0, LEN(AS1149)=0), "BLANCO", IFERROR(VLOOKUP(AS1149, BasedatosM9!A:B, 2, FALSE), "BLANCO")))</f>
        <v/>
      </c>
    </row>
    <row r="1150" spans="1:47" ht="14.4">
      <c r="A1150" s="21"/>
      <c r="B1150" s="86"/>
      <c r="C1150" s="98"/>
      <c r="D1150" s="21"/>
      <c r="E1150" s="86"/>
      <c r="F1150" s="99"/>
      <c r="G1150" s="99"/>
      <c r="H1150" s="21"/>
      <c r="I1150" s="21"/>
      <c r="J1150" s="21"/>
      <c r="K1150" s="5" t="str">
        <f>IF(AND(LEN(H1150)=0, LEN(I1150)=0), "", IF(AND(LEN(H1150)&gt;0, LEN(I1150)=0), "BLANCO", IFERROR(VLOOKUP(I1150, BasedatosM9!A:B, 2, FALSE), "BLANCO")))</f>
        <v/>
      </c>
      <c r="W1150" s="5" t="str">
        <f>IF(AND(LEN(T1150)=0, LEN(U1150)=0), "", IF(AND(LEN(T1150)&gt;0, LEN(U1150)=0), "BLANCO", IFERROR(VLOOKUP(U1150, BasedatosM9!A:B, 2, FALSE), "BLANCO")))</f>
        <v/>
      </c>
      <c r="AI1150" s="5" t="str">
        <f>IF(AND(LEN(AF1150)=0, LEN(AG1150)=0), "", IF(AND(LEN(AF1150)&gt;0, LEN(AG1150)=0), "BLANCO", IFERROR(VLOOKUP(AG1150, BasedatosM9!A:B, 2, FALSE), "BLANCO")))</f>
        <v/>
      </c>
      <c r="AU1150" s="5" t="str">
        <f>IF(AND(LEN(AR1150)=0, LEN(AS1150)=0), "", IF(AND(LEN(AR1150)&gt;0, LEN(AS1150)=0), "BLANCO", IFERROR(VLOOKUP(AS1150, BasedatosM9!A:B, 2, FALSE), "BLANCO")))</f>
        <v/>
      </c>
    </row>
    <row r="1151" spans="1:47" ht="14.4">
      <c r="A1151" s="21"/>
      <c r="B1151" s="86"/>
      <c r="C1151" s="98"/>
      <c r="D1151" s="21"/>
      <c r="E1151" s="86"/>
      <c r="F1151" s="99"/>
      <c r="G1151" s="99"/>
      <c r="H1151" s="21"/>
      <c r="I1151" s="86"/>
      <c r="J1151" s="21"/>
      <c r="K1151" s="5" t="str">
        <f>IF(AND(LEN(H1151)=0, LEN(I1151)=0), "", IF(AND(LEN(H1151)&gt;0, LEN(I1151)=0), "BLANCO", IFERROR(VLOOKUP(I1151, BasedatosM9!A:B, 2, FALSE), "BLANCO")))</f>
        <v/>
      </c>
      <c r="W1151" s="5" t="str">
        <f>IF(AND(LEN(T1151)=0, LEN(U1151)=0), "", IF(AND(LEN(T1151)&gt;0, LEN(U1151)=0), "BLANCO", IFERROR(VLOOKUP(U1151, BasedatosM9!A:B, 2, FALSE), "BLANCO")))</f>
        <v/>
      </c>
      <c r="AI1151" s="5" t="str">
        <f>IF(AND(LEN(AF1151)=0, LEN(AG1151)=0), "", IF(AND(LEN(AF1151)&gt;0, LEN(AG1151)=0), "BLANCO", IFERROR(VLOOKUP(AG1151, BasedatosM9!A:B, 2, FALSE), "BLANCO")))</f>
        <v/>
      </c>
      <c r="AU1151" s="5" t="str">
        <f>IF(AND(LEN(AR1151)=0, LEN(AS1151)=0), "", IF(AND(LEN(AR1151)&gt;0, LEN(AS1151)=0), "BLANCO", IFERROR(VLOOKUP(AS1151, BasedatosM9!A:B, 2, FALSE), "BLANCO")))</f>
        <v/>
      </c>
    </row>
    <row r="1152" spans="1:47" ht="14.4">
      <c r="A1152" s="21"/>
      <c r="B1152" s="86"/>
      <c r="C1152" s="98"/>
      <c r="D1152" s="21"/>
      <c r="E1152" s="86"/>
      <c r="F1152" s="99"/>
      <c r="G1152" s="99"/>
      <c r="H1152" s="21"/>
      <c r="I1152" s="21"/>
      <c r="J1152" s="21"/>
      <c r="K1152" s="5" t="str">
        <f>IF(AND(LEN(H1152)=0, LEN(I1152)=0), "", IF(AND(LEN(H1152)&gt;0, LEN(I1152)=0), "BLANCO", IFERROR(VLOOKUP(I1152, BasedatosM9!A:B, 2, FALSE), "BLANCO")))</f>
        <v/>
      </c>
      <c r="W1152" s="5" t="str">
        <f>IF(AND(LEN(T1152)=0, LEN(U1152)=0), "", IF(AND(LEN(T1152)&gt;0, LEN(U1152)=0), "BLANCO", IFERROR(VLOOKUP(U1152, BasedatosM9!A:B, 2, FALSE), "BLANCO")))</f>
        <v/>
      </c>
      <c r="AI1152" s="5" t="str">
        <f>IF(AND(LEN(AF1152)=0, LEN(AG1152)=0), "", IF(AND(LEN(AF1152)&gt;0, LEN(AG1152)=0), "BLANCO", IFERROR(VLOOKUP(AG1152, BasedatosM9!A:B, 2, FALSE), "BLANCO")))</f>
        <v/>
      </c>
      <c r="AU1152" s="5" t="str">
        <f>IF(AND(LEN(AR1152)=0, LEN(AS1152)=0), "", IF(AND(LEN(AR1152)&gt;0, LEN(AS1152)=0), "BLANCO", IFERROR(VLOOKUP(AS1152, BasedatosM9!A:B, 2, FALSE), "BLANCO")))</f>
        <v/>
      </c>
    </row>
    <row r="1153" spans="1:47" ht="14.4">
      <c r="A1153" s="21"/>
      <c r="B1153" s="86"/>
      <c r="C1153" s="98"/>
      <c r="D1153" s="21"/>
      <c r="E1153" s="86"/>
      <c r="F1153" s="99"/>
      <c r="G1153" s="99"/>
      <c r="H1153" s="21"/>
      <c r="I1153" s="86"/>
      <c r="J1153" s="21"/>
      <c r="K1153" s="5" t="str">
        <f>IF(AND(LEN(H1153)=0, LEN(I1153)=0), "", IF(AND(LEN(H1153)&gt;0, LEN(I1153)=0), "BLANCO", IFERROR(VLOOKUP(I1153, BasedatosM9!A:B, 2, FALSE), "BLANCO")))</f>
        <v/>
      </c>
      <c r="W1153" s="5" t="str">
        <f>IF(AND(LEN(T1153)=0, LEN(U1153)=0), "", IF(AND(LEN(T1153)&gt;0, LEN(U1153)=0), "BLANCO", IFERROR(VLOOKUP(U1153, BasedatosM9!A:B, 2, FALSE), "BLANCO")))</f>
        <v/>
      </c>
      <c r="AI1153" s="5" t="str">
        <f>IF(AND(LEN(AF1153)=0, LEN(AG1153)=0), "", IF(AND(LEN(AF1153)&gt;0, LEN(AG1153)=0), "BLANCO", IFERROR(VLOOKUP(AG1153, BasedatosM9!A:B, 2, FALSE), "BLANCO")))</f>
        <v/>
      </c>
      <c r="AU1153" s="5" t="str">
        <f>IF(AND(LEN(AR1153)=0, LEN(AS1153)=0), "", IF(AND(LEN(AR1153)&gt;0, LEN(AS1153)=0), "BLANCO", IFERROR(VLOOKUP(AS1153, BasedatosM9!A:B, 2, FALSE), "BLANCO")))</f>
        <v/>
      </c>
    </row>
    <row r="1154" spans="1:47" ht="14.4">
      <c r="A1154" s="21"/>
      <c r="B1154" s="86"/>
      <c r="C1154" s="98"/>
      <c r="D1154" s="21"/>
      <c r="E1154" s="86"/>
      <c r="F1154" s="99"/>
      <c r="G1154" s="99"/>
      <c r="H1154" s="21"/>
      <c r="I1154" s="86"/>
      <c r="J1154" s="21"/>
      <c r="K1154" s="5" t="str">
        <f>IF(AND(LEN(H1154)=0, LEN(I1154)=0), "", IF(AND(LEN(H1154)&gt;0, LEN(I1154)=0), "BLANCO", IFERROR(VLOOKUP(I1154, BasedatosM9!A:B, 2, FALSE), "BLANCO")))</f>
        <v/>
      </c>
      <c r="W1154" s="5" t="str">
        <f>IF(AND(LEN(T1154)=0, LEN(U1154)=0), "", IF(AND(LEN(T1154)&gt;0, LEN(U1154)=0), "BLANCO", IFERROR(VLOOKUP(U1154, BasedatosM9!A:B, 2, FALSE), "BLANCO")))</f>
        <v/>
      </c>
      <c r="AI1154" s="5" t="str">
        <f>IF(AND(LEN(AF1154)=0, LEN(AG1154)=0), "", IF(AND(LEN(AF1154)&gt;0, LEN(AG1154)=0), "BLANCO", IFERROR(VLOOKUP(AG1154, BasedatosM9!A:B, 2, FALSE), "BLANCO")))</f>
        <v/>
      </c>
      <c r="AU1154" s="5" t="str">
        <f>IF(AND(LEN(AR1154)=0, LEN(AS1154)=0), "", IF(AND(LEN(AR1154)&gt;0, LEN(AS1154)=0), "BLANCO", IFERROR(VLOOKUP(AS1154, BasedatosM9!A:B, 2, FALSE), "BLANCO")))</f>
        <v/>
      </c>
    </row>
    <row r="1155" spans="1:47" ht="14.4">
      <c r="A1155" s="21"/>
      <c r="B1155" s="86"/>
      <c r="C1155" s="98"/>
      <c r="D1155" s="21"/>
      <c r="E1155" s="86"/>
      <c r="F1155" s="99"/>
      <c r="G1155" s="99"/>
      <c r="H1155" s="21"/>
      <c r="I1155" s="21"/>
      <c r="J1155" s="21"/>
      <c r="K1155" s="5" t="str">
        <f>IF(AND(LEN(H1155)=0, LEN(I1155)=0), "", IF(AND(LEN(H1155)&gt;0, LEN(I1155)=0), "BLANCO", IFERROR(VLOOKUP(I1155, BasedatosM9!A:B, 2, FALSE), "BLANCO")))</f>
        <v/>
      </c>
      <c r="W1155" s="5" t="str">
        <f>IF(AND(LEN(T1155)=0, LEN(U1155)=0), "", IF(AND(LEN(T1155)&gt;0, LEN(U1155)=0), "BLANCO", IFERROR(VLOOKUP(U1155, BasedatosM9!A:B, 2, FALSE), "BLANCO")))</f>
        <v/>
      </c>
      <c r="AI1155" s="5" t="str">
        <f>IF(AND(LEN(AF1155)=0, LEN(AG1155)=0), "", IF(AND(LEN(AF1155)&gt;0, LEN(AG1155)=0), "BLANCO", IFERROR(VLOOKUP(AG1155, BasedatosM9!A:B, 2, FALSE), "BLANCO")))</f>
        <v/>
      </c>
      <c r="AU1155" s="5" t="str">
        <f>IF(AND(LEN(AR1155)=0, LEN(AS1155)=0), "", IF(AND(LEN(AR1155)&gt;0, LEN(AS1155)=0), "BLANCO", IFERROR(VLOOKUP(AS1155, BasedatosM9!A:B, 2, FALSE), "BLANCO")))</f>
        <v/>
      </c>
    </row>
    <row r="1156" spans="1:47" ht="14.4">
      <c r="A1156" s="21"/>
      <c r="B1156" s="86"/>
      <c r="C1156" s="98"/>
      <c r="D1156" s="21"/>
      <c r="E1156" s="86"/>
      <c r="F1156" s="99"/>
      <c r="G1156" s="99"/>
      <c r="H1156" s="21"/>
      <c r="I1156" s="21"/>
      <c r="J1156" s="21"/>
      <c r="K1156" s="5" t="str">
        <f>IF(AND(LEN(H1156)=0, LEN(I1156)=0), "", IF(AND(LEN(H1156)&gt;0, LEN(I1156)=0), "BLANCO", IFERROR(VLOOKUP(I1156, BasedatosM9!A:B, 2, FALSE), "BLANCO")))</f>
        <v/>
      </c>
      <c r="W1156" s="5" t="str">
        <f>IF(AND(LEN(T1156)=0, LEN(U1156)=0), "", IF(AND(LEN(T1156)&gt;0, LEN(U1156)=0), "BLANCO", IFERROR(VLOOKUP(U1156, BasedatosM9!A:B, 2, FALSE), "BLANCO")))</f>
        <v/>
      </c>
      <c r="AI1156" s="5" t="str">
        <f>IF(AND(LEN(AF1156)=0, LEN(AG1156)=0), "", IF(AND(LEN(AF1156)&gt;0, LEN(AG1156)=0), "BLANCO", IFERROR(VLOOKUP(AG1156, BasedatosM9!A:B, 2, FALSE), "BLANCO")))</f>
        <v/>
      </c>
      <c r="AU1156" s="5" t="str">
        <f>IF(AND(LEN(AR1156)=0, LEN(AS1156)=0), "", IF(AND(LEN(AR1156)&gt;0, LEN(AS1156)=0), "BLANCO", IFERROR(VLOOKUP(AS1156, BasedatosM9!A:B, 2, FALSE), "BLANCO")))</f>
        <v/>
      </c>
    </row>
    <row r="1157" spans="1:47" ht="14.4">
      <c r="A1157" s="21"/>
      <c r="B1157" s="86"/>
      <c r="C1157" s="98"/>
      <c r="D1157" s="21"/>
      <c r="E1157" s="86"/>
      <c r="F1157" s="99"/>
      <c r="G1157" s="99"/>
      <c r="H1157" s="21"/>
      <c r="I1157" s="21"/>
      <c r="J1157" s="21"/>
      <c r="K1157" s="5" t="str">
        <f>IF(AND(LEN(H1157)=0, LEN(I1157)=0), "", IF(AND(LEN(H1157)&gt;0, LEN(I1157)=0), "BLANCO", IFERROR(VLOOKUP(I1157, BasedatosM9!A:B, 2, FALSE), "BLANCO")))</f>
        <v/>
      </c>
      <c r="W1157" s="5" t="str">
        <f>IF(AND(LEN(T1157)=0, LEN(U1157)=0), "", IF(AND(LEN(T1157)&gt;0, LEN(U1157)=0), "BLANCO", IFERROR(VLOOKUP(U1157, BasedatosM9!A:B, 2, FALSE), "BLANCO")))</f>
        <v/>
      </c>
      <c r="AI1157" s="5" t="str">
        <f>IF(AND(LEN(AF1157)=0, LEN(AG1157)=0), "", IF(AND(LEN(AF1157)&gt;0, LEN(AG1157)=0), "BLANCO", IFERROR(VLOOKUP(AG1157, BasedatosM9!A:B, 2, FALSE), "BLANCO")))</f>
        <v/>
      </c>
      <c r="AU1157" s="5" t="str">
        <f>IF(AND(LEN(AR1157)=0, LEN(AS1157)=0), "", IF(AND(LEN(AR1157)&gt;0, LEN(AS1157)=0), "BLANCO", IFERROR(VLOOKUP(AS1157, BasedatosM9!A:B, 2, FALSE), "BLANCO")))</f>
        <v/>
      </c>
    </row>
    <row r="1158" spans="1:47" ht="14.4">
      <c r="A1158" s="21"/>
      <c r="B1158" s="86"/>
      <c r="C1158" s="98"/>
      <c r="D1158" s="21"/>
      <c r="E1158" s="86"/>
      <c r="F1158" s="99"/>
      <c r="G1158" s="99"/>
      <c r="H1158" s="21"/>
      <c r="I1158" s="86"/>
      <c r="J1158" s="21"/>
      <c r="K1158" s="5" t="str">
        <f>IF(AND(LEN(H1158)=0, LEN(I1158)=0), "", IF(AND(LEN(H1158)&gt;0, LEN(I1158)=0), "BLANCO", IFERROR(VLOOKUP(I1158, BasedatosM9!A:B, 2, FALSE), "BLANCO")))</f>
        <v/>
      </c>
      <c r="W1158" s="5" t="str">
        <f>IF(AND(LEN(T1158)=0, LEN(U1158)=0), "", IF(AND(LEN(T1158)&gt;0, LEN(U1158)=0), "BLANCO", IFERROR(VLOOKUP(U1158, BasedatosM9!A:B, 2, FALSE), "BLANCO")))</f>
        <v/>
      </c>
      <c r="AI1158" s="5" t="str">
        <f>IF(AND(LEN(AF1158)=0, LEN(AG1158)=0), "", IF(AND(LEN(AF1158)&gt;0, LEN(AG1158)=0), "BLANCO", IFERROR(VLOOKUP(AG1158, BasedatosM9!A:B, 2, FALSE), "BLANCO")))</f>
        <v/>
      </c>
      <c r="AU1158" s="5" t="str">
        <f>IF(AND(LEN(AR1158)=0, LEN(AS1158)=0), "", IF(AND(LEN(AR1158)&gt;0, LEN(AS1158)=0), "BLANCO", IFERROR(VLOOKUP(AS1158, BasedatosM9!A:B, 2, FALSE), "BLANCO")))</f>
        <v/>
      </c>
    </row>
    <row r="1159" spans="1:47" ht="14.4">
      <c r="A1159" s="21"/>
      <c r="B1159" s="86"/>
      <c r="C1159" s="98"/>
      <c r="D1159" s="21"/>
      <c r="E1159" s="86"/>
      <c r="F1159" s="99"/>
      <c r="G1159" s="99"/>
      <c r="H1159" s="21"/>
      <c r="I1159" s="21"/>
      <c r="J1159" s="21"/>
      <c r="K1159" s="5" t="str">
        <f>IF(AND(LEN(H1159)=0, LEN(I1159)=0), "", IF(AND(LEN(H1159)&gt;0, LEN(I1159)=0), "BLANCO", IFERROR(VLOOKUP(I1159, BasedatosM9!A:B, 2, FALSE), "BLANCO")))</f>
        <v/>
      </c>
      <c r="W1159" s="5" t="str">
        <f>IF(AND(LEN(T1159)=0, LEN(U1159)=0), "", IF(AND(LEN(T1159)&gt;0, LEN(U1159)=0), "BLANCO", IFERROR(VLOOKUP(U1159, BasedatosM9!A:B, 2, FALSE), "BLANCO")))</f>
        <v/>
      </c>
      <c r="AI1159" s="5" t="str">
        <f>IF(AND(LEN(AF1159)=0, LEN(AG1159)=0), "", IF(AND(LEN(AF1159)&gt;0, LEN(AG1159)=0), "BLANCO", IFERROR(VLOOKUP(AG1159, BasedatosM9!A:B, 2, FALSE), "BLANCO")))</f>
        <v/>
      </c>
      <c r="AU1159" s="5" t="str">
        <f>IF(AND(LEN(AR1159)=0, LEN(AS1159)=0), "", IF(AND(LEN(AR1159)&gt;0, LEN(AS1159)=0), "BLANCO", IFERROR(VLOOKUP(AS1159, BasedatosM9!A:B, 2, FALSE), "BLANCO")))</f>
        <v/>
      </c>
    </row>
    <row r="1160" spans="1:47" ht="14.4">
      <c r="A1160" s="21"/>
      <c r="B1160" s="86"/>
      <c r="C1160" s="98"/>
      <c r="D1160" s="21"/>
      <c r="E1160" s="86"/>
      <c r="F1160" s="99"/>
      <c r="G1160" s="99"/>
      <c r="H1160" s="21"/>
      <c r="I1160" s="21"/>
      <c r="J1160" s="21"/>
      <c r="K1160" s="5" t="str">
        <f>IF(AND(LEN(H1160)=0, LEN(I1160)=0), "", IF(AND(LEN(H1160)&gt;0, LEN(I1160)=0), "BLANCO", IFERROR(VLOOKUP(I1160, BasedatosM9!A:B, 2, FALSE), "BLANCO")))</f>
        <v/>
      </c>
      <c r="W1160" s="5" t="str">
        <f>IF(AND(LEN(T1160)=0, LEN(U1160)=0), "", IF(AND(LEN(T1160)&gt;0, LEN(U1160)=0), "BLANCO", IFERROR(VLOOKUP(U1160, BasedatosM9!A:B, 2, FALSE), "BLANCO")))</f>
        <v/>
      </c>
      <c r="AI1160" s="5" t="str">
        <f>IF(AND(LEN(AF1160)=0, LEN(AG1160)=0), "", IF(AND(LEN(AF1160)&gt;0, LEN(AG1160)=0), "BLANCO", IFERROR(VLOOKUP(AG1160, BasedatosM9!A:B, 2, FALSE), "BLANCO")))</f>
        <v/>
      </c>
      <c r="AU1160" s="5" t="str">
        <f>IF(AND(LEN(AR1160)=0, LEN(AS1160)=0), "", IF(AND(LEN(AR1160)&gt;0, LEN(AS1160)=0), "BLANCO", IFERROR(VLOOKUP(AS1160, BasedatosM9!A:B, 2, FALSE), "BLANCO")))</f>
        <v/>
      </c>
    </row>
    <row r="1161" spans="1:47" ht="14.4">
      <c r="A1161" s="21"/>
      <c r="B1161" s="86"/>
      <c r="C1161" s="98"/>
      <c r="D1161" s="21"/>
      <c r="E1161" s="86"/>
      <c r="F1161" s="99"/>
      <c r="G1161" s="99"/>
      <c r="H1161" s="21"/>
      <c r="I1161" s="86"/>
      <c r="J1161" s="21"/>
      <c r="K1161" s="5" t="str">
        <f>IF(AND(LEN(H1161)=0, LEN(I1161)=0), "", IF(AND(LEN(H1161)&gt;0, LEN(I1161)=0), "BLANCO", IFERROR(VLOOKUP(I1161, BasedatosM9!A:B, 2, FALSE), "BLANCO")))</f>
        <v/>
      </c>
      <c r="W1161" s="5" t="str">
        <f>IF(AND(LEN(T1161)=0, LEN(U1161)=0), "", IF(AND(LEN(T1161)&gt;0, LEN(U1161)=0), "BLANCO", IFERROR(VLOOKUP(U1161, BasedatosM9!A:B, 2, FALSE), "BLANCO")))</f>
        <v/>
      </c>
      <c r="AI1161" s="5" t="str">
        <f>IF(AND(LEN(AF1161)=0, LEN(AG1161)=0), "", IF(AND(LEN(AF1161)&gt;0, LEN(AG1161)=0), "BLANCO", IFERROR(VLOOKUP(AG1161, BasedatosM9!A:B, 2, FALSE), "BLANCO")))</f>
        <v/>
      </c>
      <c r="AU1161" s="5" t="str">
        <f>IF(AND(LEN(AR1161)=0, LEN(AS1161)=0), "", IF(AND(LEN(AR1161)&gt;0, LEN(AS1161)=0), "BLANCO", IFERROR(VLOOKUP(AS1161, BasedatosM9!A:B, 2, FALSE), "BLANCO")))</f>
        <v/>
      </c>
    </row>
    <row r="1162" spans="1:47" ht="14.4">
      <c r="A1162" s="21"/>
      <c r="B1162" s="86"/>
      <c r="C1162" s="98"/>
      <c r="D1162" s="21"/>
      <c r="E1162" s="86"/>
      <c r="F1162" s="99"/>
      <c r="G1162" s="99"/>
      <c r="H1162" s="21"/>
      <c r="I1162" s="21"/>
      <c r="J1162" s="21"/>
      <c r="K1162" s="5" t="str">
        <f>IF(AND(LEN(H1162)=0, LEN(I1162)=0), "", IF(AND(LEN(H1162)&gt;0, LEN(I1162)=0), "BLANCO", IFERROR(VLOOKUP(I1162, BasedatosM9!A:B, 2, FALSE), "BLANCO")))</f>
        <v/>
      </c>
      <c r="W1162" s="5" t="str">
        <f>IF(AND(LEN(T1162)=0, LEN(U1162)=0), "", IF(AND(LEN(T1162)&gt;0, LEN(U1162)=0), "BLANCO", IFERROR(VLOOKUP(U1162, BasedatosM9!A:B, 2, FALSE), "BLANCO")))</f>
        <v/>
      </c>
      <c r="AI1162" s="5" t="str">
        <f>IF(AND(LEN(AF1162)=0, LEN(AG1162)=0), "", IF(AND(LEN(AF1162)&gt;0, LEN(AG1162)=0), "BLANCO", IFERROR(VLOOKUP(AG1162, BasedatosM9!A:B, 2, FALSE), "BLANCO")))</f>
        <v/>
      </c>
      <c r="AU1162" s="5" t="str">
        <f>IF(AND(LEN(AR1162)=0, LEN(AS1162)=0), "", IF(AND(LEN(AR1162)&gt;0, LEN(AS1162)=0), "BLANCO", IFERROR(VLOOKUP(AS1162, BasedatosM9!A:B, 2, FALSE), "BLANCO")))</f>
        <v/>
      </c>
    </row>
    <row r="1163" spans="1:47" ht="14.4">
      <c r="A1163" s="21"/>
      <c r="B1163" s="86"/>
      <c r="C1163" s="98"/>
      <c r="D1163" s="21"/>
      <c r="E1163" s="86"/>
      <c r="F1163" s="99"/>
      <c r="G1163" s="99"/>
      <c r="H1163" s="21"/>
      <c r="I1163" s="21"/>
      <c r="J1163" s="21"/>
      <c r="K1163" s="5" t="str">
        <f>IF(AND(LEN(H1163)=0, LEN(I1163)=0), "", IF(AND(LEN(H1163)&gt;0, LEN(I1163)=0), "BLANCO", IFERROR(VLOOKUP(I1163, BasedatosM9!A:B, 2, FALSE), "BLANCO")))</f>
        <v/>
      </c>
    </row>
    <row r="1164" spans="1:47" ht="14.4">
      <c r="A1164" s="21"/>
      <c r="B1164" s="86"/>
      <c r="C1164" s="98"/>
      <c r="D1164" s="21"/>
      <c r="E1164" s="86"/>
      <c r="F1164" s="99"/>
      <c r="G1164" s="99"/>
      <c r="H1164" s="21"/>
      <c r="I1164" s="86"/>
      <c r="J1164" s="21"/>
      <c r="K1164" s="5" t="str">
        <f>IF(AND(LEN(H1164)=0, LEN(I1164)=0), "", IF(AND(LEN(H1164)&gt;0, LEN(I1164)=0), "BLANCO", IFERROR(VLOOKUP(I1164, BasedatosM9!A:B, 2, FALSE), "BLANCO")))</f>
        <v/>
      </c>
    </row>
    <row r="1165" spans="1:47" ht="14.4">
      <c r="A1165" s="21"/>
      <c r="B1165" s="86"/>
      <c r="C1165" s="98"/>
      <c r="D1165" s="21"/>
      <c r="E1165" s="86"/>
      <c r="F1165" s="99"/>
      <c r="G1165" s="99"/>
      <c r="H1165" s="21"/>
      <c r="I1165" s="86"/>
      <c r="J1165" s="21"/>
      <c r="K1165" s="5" t="str">
        <f>IF(AND(LEN(H1165)=0, LEN(I1165)=0), "", IF(AND(LEN(H1165)&gt;0, LEN(I1165)=0), "BLANCO", IFERROR(VLOOKUP(I1165, BasedatosM9!A:B, 2, FALSE), "BLANCO")))</f>
        <v/>
      </c>
    </row>
    <row r="1166" spans="1:47" ht="14.4">
      <c r="A1166" s="21"/>
      <c r="B1166" s="86"/>
      <c r="C1166" s="98"/>
      <c r="D1166" s="21"/>
      <c r="E1166" s="86"/>
      <c r="F1166" s="99"/>
      <c r="G1166" s="99"/>
      <c r="H1166" s="21"/>
      <c r="I1166" s="86"/>
      <c r="J1166" s="21"/>
      <c r="K1166" s="5" t="str">
        <f>IF(AND(LEN(H1166)=0, LEN(I1166)=0), "", IF(AND(LEN(H1166)&gt;0, LEN(I1166)=0), "BLANCO", IFERROR(VLOOKUP(I1166, BasedatosM9!A:B, 2, FALSE), "BLANCO")))</f>
        <v/>
      </c>
    </row>
    <row r="1167" spans="1:47" ht="14.4">
      <c r="A1167" s="21"/>
      <c r="B1167" s="86"/>
      <c r="C1167" s="98"/>
      <c r="D1167" s="21"/>
      <c r="E1167" s="86"/>
      <c r="F1167" s="99"/>
      <c r="G1167" s="99"/>
      <c r="H1167" s="21"/>
      <c r="I1167" s="86"/>
      <c r="J1167" s="21"/>
      <c r="K1167" s="5" t="str">
        <f>IF(AND(LEN(H1167)=0, LEN(I1167)=0), "", IF(AND(LEN(H1167)&gt;0, LEN(I1167)=0), "BLANCO", IFERROR(VLOOKUP(I1167, BasedatosM9!A:B, 2, FALSE), "BLANCO")))</f>
        <v/>
      </c>
    </row>
    <row r="1168" spans="1:47" ht="14.4">
      <c r="A1168" s="21"/>
      <c r="B1168" s="86"/>
      <c r="C1168" s="98"/>
      <c r="D1168" s="21"/>
      <c r="E1168" s="86"/>
      <c r="F1168" s="99"/>
      <c r="G1168" s="99"/>
      <c r="H1168" s="21"/>
      <c r="I1168" s="21"/>
      <c r="J1168" s="21"/>
      <c r="K1168" s="5" t="str">
        <f>IF(AND(LEN(H1168)=0, LEN(I1168)=0), "", IF(AND(LEN(H1168)&gt;0, LEN(I1168)=0), "BLANCO", IFERROR(VLOOKUP(I1168, BasedatosM9!A:B, 2, FALSE), "BLANCO")))</f>
        <v/>
      </c>
    </row>
    <row r="1169" spans="1:11" ht="14.4">
      <c r="A1169" s="21"/>
      <c r="B1169" s="86"/>
      <c r="C1169" s="98"/>
      <c r="D1169" s="21"/>
      <c r="E1169" s="86"/>
      <c r="F1169" s="99"/>
      <c r="G1169" s="99"/>
      <c r="H1169" s="21"/>
      <c r="I1169" s="86"/>
      <c r="J1169" s="21"/>
      <c r="K1169" s="5" t="str">
        <f>IF(AND(LEN(H1169)=0, LEN(I1169)=0), "", IF(AND(LEN(H1169)&gt;0, LEN(I1169)=0), "BLANCO", IFERROR(VLOOKUP(I1169, BasedatosM9!A:B, 2, FALSE), "BLANCO")))</f>
        <v/>
      </c>
    </row>
    <row r="1170" spans="1:11" ht="14.4">
      <c r="A1170" s="21"/>
      <c r="B1170" s="86"/>
      <c r="C1170" s="98"/>
      <c r="D1170" s="21"/>
      <c r="E1170" s="86"/>
      <c r="F1170" s="99"/>
      <c r="G1170" s="99"/>
      <c r="H1170" s="21"/>
      <c r="I1170" s="86"/>
      <c r="J1170" s="21"/>
      <c r="K1170" s="5" t="str">
        <f>IF(AND(LEN(H1170)=0, LEN(I1170)=0), "", IF(AND(LEN(H1170)&gt;0, LEN(I1170)=0), "BLANCO", IFERROR(VLOOKUP(I1170, BasedatosM9!A:B, 2, FALSE), "BLANCO")))</f>
        <v/>
      </c>
    </row>
    <row r="1171" spans="1:11" ht="14.4">
      <c r="A1171" s="21"/>
      <c r="B1171" s="86"/>
      <c r="C1171" s="98"/>
      <c r="D1171" s="21"/>
      <c r="E1171" s="86"/>
      <c r="F1171" s="99"/>
      <c r="G1171" s="99"/>
      <c r="H1171" s="21"/>
      <c r="I1171" s="86"/>
      <c r="J1171" s="21"/>
      <c r="K1171" s="5" t="str">
        <f>IF(AND(LEN(H1171)=0, LEN(I1171)=0), "", IF(AND(LEN(H1171)&gt;0, LEN(I1171)=0), "BLANCO", IFERROR(VLOOKUP(I1171, BasedatosM9!A:B, 2, FALSE), "BLANCO")))</f>
        <v/>
      </c>
    </row>
    <row r="1172" spans="1:11" ht="14.4">
      <c r="A1172" s="21"/>
      <c r="B1172" s="86"/>
      <c r="C1172" s="98"/>
      <c r="D1172" s="21"/>
      <c r="E1172" s="86"/>
      <c r="F1172" s="99"/>
      <c r="G1172" s="99"/>
      <c r="H1172" s="21"/>
      <c r="I1172" s="86"/>
      <c r="J1172" s="21"/>
      <c r="K1172" s="5" t="str">
        <f>IF(AND(LEN(H1172)=0, LEN(I1172)=0), "", IF(AND(LEN(H1172)&gt;0, LEN(I1172)=0), "BLANCO", IFERROR(VLOOKUP(I1172, BasedatosM9!A:B, 2, FALSE), "BLANCO")))</f>
        <v/>
      </c>
    </row>
    <row r="1173" spans="1:11" ht="14.4">
      <c r="A1173" s="21"/>
      <c r="B1173" s="86"/>
      <c r="C1173" s="98"/>
      <c r="D1173" s="21"/>
      <c r="E1173" s="86"/>
      <c r="F1173" s="99"/>
      <c r="G1173" s="99"/>
      <c r="H1173" s="21"/>
      <c r="I1173" s="86"/>
      <c r="J1173" s="21"/>
      <c r="K1173" s="5" t="str">
        <f>IF(AND(LEN(H1173)=0, LEN(I1173)=0), "", IF(AND(LEN(H1173)&gt;0, LEN(I1173)=0), "BLANCO", IFERROR(VLOOKUP(I1173, BasedatosM9!A:B, 2, FALSE), "BLANCO")))</f>
        <v/>
      </c>
    </row>
    <row r="1174" spans="1:11" ht="14.4">
      <c r="A1174" s="21"/>
      <c r="B1174" s="86"/>
      <c r="C1174" s="98"/>
      <c r="D1174" s="21"/>
      <c r="E1174" s="86"/>
      <c r="F1174" s="99"/>
      <c r="G1174" s="99"/>
      <c r="H1174" s="21"/>
      <c r="I1174" s="86"/>
      <c r="J1174" s="21"/>
      <c r="K1174" s="5" t="str">
        <f>IF(AND(LEN(H1174)=0, LEN(I1174)=0), "", IF(AND(LEN(H1174)&gt;0, LEN(I1174)=0), "BLANCO", IFERROR(VLOOKUP(I1174, BasedatosM9!A:B, 2, FALSE), "BLANCO")))</f>
        <v/>
      </c>
    </row>
    <row r="1175" spans="1:11" ht="14.4">
      <c r="A1175" s="21"/>
      <c r="B1175" s="86"/>
      <c r="C1175" s="98"/>
      <c r="D1175" s="21"/>
      <c r="E1175" s="86"/>
      <c r="F1175" s="99"/>
      <c r="G1175" s="99"/>
      <c r="H1175" s="21"/>
      <c r="I1175" s="86"/>
      <c r="J1175" s="21"/>
      <c r="K1175" s="5" t="str">
        <f>IF(AND(LEN(H1175)=0, LEN(I1175)=0), "", IF(AND(LEN(H1175)&gt;0, LEN(I1175)=0), "BLANCO", IFERROR(VLOOKUP(I1175, BasedatosM9!A:B, 2, FALSE), "BLANCO")))</f>
        <v/>
      </c>
    </row>
    <row r="1176" spans="1:11" ht="14.4">
      <c r="A1176" s="21"/>
      <c r="B1176" s="86"/>
      <c r="C1176" s="98"/>
      <c r="D1176" s="21"/>
      <c r="E1176" s="86"/>
      <c r="F1176" s="99"/>
      <c r="G1176" s="99"/>
      <c r="H1176" s="21"/>
      <c r="I1176" s="86"/>
      <c r="J1176" s="21"/>
      <c r="K1176" s="5" t="str">
        <f>IF(AND(LEN(H1176)=0, LEN(I1176)=0), "", IF(AND(LEN(H1176)&gt;0, LEN(I1176)=0), "BLANCO", IFERROR(VLOOKUP(I1176, BasedatosM9!A:B, 2, FALSE), "BLANCO")))</f>
        <v/>
      </c>
    </row>
    <row r="1177" spans="1:11" ht="14.4">
      <c r="A1177" s="21"/>
      <c r="B1177" s="86"/>
      <c r="C1177" s="98"/>
      <c r="D1177" s="21"/>
      <c r="E1177" s="86"/>
      <c r="F1177" s="99"/>
      <c r="G1177" s="99"/>
      <c r="H1177" s="21"/>
      <c r="I1177" s="86"/>
      <c r="J1177" s="21"/>
      <c r="K1177" s="5" t="str">
        <f>IF(AND(LEN(H1177)=0, LEN(I1177)=0), "", IF(AND(LEN(H1177)&gt;0, LEN(I1177)=0), "BLANCO", IFERROR(VLOOKUP(I1177, BasedatosM9!A:B, 2, FALSE), "BLANCO")))</f>
        <v/>
      </c>
    </row>
    <row r="1178" spans="1:11" ht="14.4">
      <c r="A1178" s="21"/>
      <c r="B1178" s="86"/>
      <c r="C1178" s="98"/>
      <c r="D1178" s="21"/>
      <c r="E1178" s="86"/>
      <c r="F1178" s="99"/>
      <c r="G1178" s="99"/>
      <c r="H1178" s="21"/>
      <c r="I1178" s="86"/>
      <c r="J1178" s="21"/>
      <c r="K1178" s="5" t="str">
        <f>IF(AND(LEN(H1178)=0, LEN(I1178)=0), "", IF(AND(LEN(H1178)&gt;0, LEN(I1178)=0), "BLANCO", IFERROR(VLOOKUP(I1178, BasedatosM9!A:B, 2, FALSE), "BLANCO")))</f>
        <v/>
      </c>
    </row>
    <row r="1179" spans="1:11" ht="14.4">
      <c r="A1179" s="21"/>
      <c r="B1179" s="86"/>
      <c r="C1179" s="98"/>
      <c r="D1179" s="21"/>
      <c r="E1179" s="86"/>
      <c r="F1179" s="99"/>
      <c r="G1179" s="99"/>
      <c r="H1179" s="21"/>
      <c r="I1179" s="21"/>
      <c r="J1179" s="21"/>
      <c r="K1179" s="5" t="str">
        <f>IF(AND(LEN(H1179)=0, LEN(I1179)=0), "", IF(AND(LEN(H1179)&gt;0, LEN(I1179)=0), "BLANCO", IFERROR(VLOOKUP(I1179, BasedatosM9!A:B, 2, FALSE), "BLANCO")))</f>
        <v/>
      </c>
    </row>
    <row r="1180" spans="1:11" ht="14.4">
      <c r="A1180" s="21"/>
      <c r="B1180" s="86"/>
      <c r="C1180" s="98"/>
      <c r="D1180" s="21"/>
      <c r="E1180" s="86"/>
      <c r="F1180" s="99"/>
      <c r="G1180" s="99"/>
      <c r="H1180" s="21"/>
      <c r="I1180" s="86"/>
      <c r="J1180" s="21"/>
      <c r="K1180" s="5" t="str">
        <f>IF(AND(LEN(H1180)=0, LEN(I1180)=0), "", IF(AND(LEN(H1180)&gt;0, LEN(I1180)=0), "BLANCO", IFERROR(VLOOKUP(I1180, BasedatosM9!A:B, 2, FALSE), "BLANCO")))</f>
        <v/>
      </c>
    </row>
    <row r="1181" spans="1:11" ht="14.4">
      <c r="A1181" s="21"/>
      <c r="B1181" s="86"/>
      <c r="C1181" s="98"/>
      <c r="D1181" s="21"/>
      <c r="E1181" s="86"/>
      <c r="F1181" s="99"/>
      <c r="G1181" s="99"/>
      <c r="H1181" s="21"/>
      <c r="I1181" s="86"/>
      <c r="J1181" s="21"/>
      <c r="K1181" s="5" t="str">
        <f>IF(AND(LEN(H1181)=0, LEN(I1181)=0), "", IF(AND(LEN(H1181)&gt;0, LEN(I1181)=0), "BLANCO", IFERROR(VLOOKUP(I1181, BasedatosM9!A:B, 2, FALSE), "BLANCO")))</f>
        <v/>
      </c>
    </row>
    <row r="1182" spans="1:11" ht="14.4">
      <c r="A1182" s="21"/>
      <c r="B1182" s="86"/>
      <c r="C1182" s="98"/>
      <c r="D1182" s="21"/>
      <c r="E1182" s="86"/>
      <c r="F1182" s="99"/>
      <c r="G1182" s="99"/>
      <c r="H1182" s="21"/>
      <c r="I1182" s="86"/>
      <c r="J1182" s="21"/>
      <c r="K1182" s="5" t="str">
        <f>IF(AND(LEN(H1182)=0, LEN(I1182)=0), "", IF(AND(LEN(H1182)&gt;0, LEN(I1182)=0), "BLANCO", IFERROR(VLOOKUP(I1182, BasedatosM9!A:B, 2, FALSE), "BLANCO")))</f>
        <v/>
      </c>
    </row>
    <row r="1183" spans="1:11" ht="14.4">
      <c r="A1183" s="21"/>
      <c r="B1183" s="86"/>
      <c r="C1183" s="98"/>
      <c r="D1183" s="21"/>
      <c r="E1183" s="86"/>
      <c r="F1183" s="99"/>
      <c r="G1183" s="99"/>
      <c r="H1183" s="21"/>
      <c r="I1183" s="86"/>
      <c r="J1183" s="21"/>
      <c r="K1183" s="5" t="str">
        <f>IF(AND(LEN(H1183)=0, LEN(I1183)=0), "", IF(AND(LEN(H1183)&gt;0, LEN(I1183)=0), "BLANCO", IFERROR(VLOOKUP(I1183, BasedatosM9!A:B, 2, FALSE), "BLANCO")))</f>
        <v/>
      </c>
    </row>
    <row r="1184" spans="1:11" ht="14.4">
      <c r="A1184" s="21"/>
      <c r="B1184" s="86"/>
      <c r="C1184" s="98"/>
      <c r="D1184" s="21"/>
      <c r="E1184" s="86"/>
      <c r="F1184" s="99"/>
      <c r="G1184" s="99"/>
      <c r="H1184" s="21"/>
      <c r="I1184" s="86"/>
      <c r="J1184" s="21"/>
      <c r="K1184" s="5" t="str">
        <f>IF(AND(LEN(H1184)=0, LEN(I1184)=0), "", IF(AND(LEN(H1184)&gt;0, LEN(I1184)=0), "BLANCO", IFERROR(VLOOKUP(I1184, BasedatosM9!A:B, 2, FALSE), "BLANCO")))</f>
        <v/>
      </c>
    </row>
    <row r="1185" spans="1:11" ht="14.4">
      <c r="A1185" s="21"/>
      <c r="B1185" s="86"/>
      <c r="C1185" s="98"/>
      <c r="D1185" s="21"/>
      <c r="E1185" s="86"/>
      <c r="F1185" s="99"/>
      <c r="G1185" s="99"/>
      <c r="H1185" s="21"/>
      <c r="I1185" s="86"/>
      <c r="J1185" s="21"/>
      <c r="K1185" s="5" t="str">
        <f>IF(AND(LEN(H1185)=0, LEN(I1185)=0), "", IF(AND(LEN(H1185)&gt;0, LEN(I1185)=0), "BLANCO", IFERROR(VLOOKUP(I1185, BasedatosM9!A:B, 2, FALSE), "BLANCO")))</f>
        <v/>
      </c>
    </row>
    <row r="1186" spans="1:11" ht="14.4">
      <c r="A1186" s="21"/>
      <c r="B1186" s="86"/>
      <c r="C1186" s="98"/>
      <c r="D1186" s="21"/>
      <c r="E1186" s="86"/>
      <c r="F1186" s="99"/>
      <c r="G1186" s="99"/>
      <c r="H1186" s="21"/>
      <c r="I1186" s="86"/>
      <c r="J1186" s="21"/>
      <c r="K1186" s="5" t="str">
        <f>IF(AND(LEN(H1186)=0, LEN(I1186)=0), "", IF(AND(LEN(H1186)&gt;0, LEN(I1186)=0), "BLANCO", IFERROR(VLOOKUP(I1186, BasedatosM9!A:B, 2, FALSE), "BLANCO")))</f>
        <v/>
      </c>
    </row>
    <row r="1187" spans="1:11" ht="14.4">
      <c r="A1187" s="21"/>
      <c r="B1187" s="86"/>
      <c r="C1187" s="98"/>
      <c r="D1187" s="21"/>
      <c r="E1187" s="86"/>
      <c r="F1187" s="99"/>
      <c r="G1187" s="99"/>
      <c r="H1187" s="21"/>
      <c r="I1187" s="21"/>
      <c r="J1187" s="21"/>
      <c r="K1187" s="5" t="str">
        <f>IF(AND(LEN(H1187)=0, LEN(I1187)=0), "", IF(AND(LEN(H1187)&gt;0, LEN(I1187)=0), "BLANCO", IFERROR(VLOOKUP(I1187, BasedatosM9!A:B, 2, FALSE), "BLANCO")))</f>
        <v/>
      </c>
    </row>
    <row r="1188" spans="1:11" ht="14.4">
      <c r="A1188" s="21"/>
      <c r="B1188" s="86"/>
      <c r="C1188" s="98"/>
      <c r="D1188" s="21"/>
      <c r="E1188" s="86"/>
      <c r="F1188" s="99"/>
      <c r="G1188" s="99"/>
      <c r="H1188" s="21"/>
      <c r="I1188" s="86"/>
      <c r="J1188" s="21"/>
      <c r="K1188" s="5" t="str">
        <f>IF(AND(LEN(H1188)=0, LEN(I1188)=0), "", IF(AND(LEN(H1188)&gt;0, LEN(I1188)=0), "BLANCO", IFERROR(VLOOKUP(I1188, BasedatosM9!A:B, 2, FALSE), "BLANCO")))</f>
        <v/>
      </c>
    </row>
    <row r="1189" spans="1:11" ht="14.4">
      <c r="A1189" s="21"/>
      <c r="B1189" s="86"/>
      <c r="C1189" s="98"/>
      <c r="D1189" s="21"/>
      <c r="E1189" s="86"/>
      <c r="F1189" s="99"/>
      <c r="G1189" s="99"/>
      <c r="H1189" s="21"/>
      <c r="I1189" s="86"/>
      <c r="J1189" s="21"/>
      <c r="K1189" s="5" t="str">
        <f>IF(AND(LEN(H1189)=0, LEN(I1189)=0), "", IF(AND(LEN(H1189)&gt;0, LEN(I1189)=0), "BLANCO", IFERROR(VLOOKUP(I1189, BasedatosM9!A:B, 2, FALSE), "BLANCO")))</f>
        <v/>
      </c>
    </row>
    <row r="1190" spans="1:11" ht="14.4">
      <c r="A1190" s="21"/>
      <c r="B1190" s="86"/>
      <c r="C1190" s="98"/>
      <c r="D1190" s="21"/>
      <c r="E1190" s="86"/>
      <c r="F1190" s="99"/>
      <c r="G1190" s="99"/>
      <c r="H1190" s="21"/>
      <c r="I1190" s="86"/>
      <c r="J1190" s="21"/>
      <c r="K1190" s="5" t="str">
        <f>IF(AND(LEN(H1190)=0, LEN(I1190)=0), "", IF(AND(LEN(H1190)&gt;0, LEN(I1190)=0), "BLANCO", IFERROR(VLOOKUP(I1190, BasedatosM9!A:B, 2, FALSE), "BLANCO")))</f>
        <v/>
      </c>
    </row>
    <row r="1191" spans="1:11" ht="14.4">
      <c r="A1191" s="21"/>
      <c r="B1191" s="86"/>
      <c r="C1191" s="98"/>
      <c r="D1191" s="21"/>
      <c r="E1191" s="86"/>
      <c r="F1191" s="99"/>
      <c r="G1191" s="99"/>
      <c r="H1191" s="21"/>
      <c r="I1191" s="86"/>
      <c r="J1191" s="21"/>
      <c r="K1191" s="5" t="str">
        <f>IF(AND(LEN(H1191)=0, LEN(I1191)=0), "", IF(AND(LEN(H1191)&gt;0, LEN(I1191)=0), "BLANCO", IFERROR(VLOOKUP(I1191, BasedatosM9!A:B, 2, FALSE), "BLANCO")))</f>
        <v/>
      </c>
    </row>
    <row r="1192" spans="1:11" ht="14.4">
      <c r="A1192" s="21"/>
      <c r="B1192" s="86"/>
      <c r="C1192" s="98"/>
      <c r="D1192" s="21"/>
      <c r="E1192" s="86"/>
      <c r="F1192" s="99"/>
      <c r="G1192" s="99"/>
      <c r="H1192" s="21"/>
      <c r="I1192" s="21"/>
      <c r="J1192" s="21"/>
      <c r="K1192" s="5" t="str">
        <f>IF(AND(LEN(H1192)=0, LEN(I1192)=0), "", IF(AND(LEN(H1192)&gt;0, LEN(I1192)=0), "BLANCO", IFERROR(VLOOKUP(I1192, BasedatosM9!A:B, 2, FALSE), "BLANCO")))</f>
        <v/>
      </c>
    </row>
    <row r="1193" spans="1:11" ht="14.4">
      <c r="A1193" s="21"/>
      <c r="B1193" s="86"/>
      <c r="C1193" s="98"/>
      <c r="D1193" s="21"/>
      <c r="E1193" s="86"/>
      <c r="F1193" s="99"/>
      <c r="G1193" s="99"/>
      <c r="H1193" s="21"/>
      <c r="I1193" s="86"/>
      <c r="J1193" s="21"/>
      <c r="K1193" s="5" t="str">
        <f>IF(AND(LEN(H1193)=0, LEN(I1193)=0), "", IF(AND(LEN(H1193)&gt;0, LEN(I1193)=0), "BLANCO", IFERROR(VLOOKUP(I1193, BasedatosM9!A:B, 2, FALSE), "BLANCO")))</f>
        <v/>
      </c>
    </row>
    <row r="1194" spans="1:11" ht="14.4">
      <c r="A1194" s="21"/>
      <c r="B1194" s="86"/>
      <c r="C1194" s="98"/>
      <c r="D1194" s="21"/>
      <c r="E1194" s="86"/>
      <c r="F1194" s="99"/>
      <c r="G1194" s="99"/>
      <c r="H1194" s="21"/>
      <c r="I1194" s="86"/>
      <c r="J1194" s="21"/>
      <c r="K1194" s="5" t="str">
        <f>IF(AND(LEN(H1194)=0, LEN(I1194)=0), "", IF(AND(LEN(H1194)&gt;0, LEN(I1194)=0), "BLANCO", IFERROR(VLOOKUP(I1194, BasedatosM9!A:B, 2, FALSE), "BLANCO")))</f>
        <v/>
      </c>
    </row>
    <row r="1195" spans="1:11" ht="14.4">
      <c r="A1195" s="21"/>
      <c r="B1195" s="86"/>
      <c r="C1195" s="98"/>
      <c r="D1195" s="21"/>
      <c r="E1195" s="86"/>
      <c r="F1195" s="99"/>
      <c r="G1195" s="99"/>
      <c r="H1195" s="21"/>
      <c r="I1195" s="21"/>
      <c r="J1195" s="21"/>
      <c r="K1195" s="5" t="str">
        <f>IF(AND(LEN(H1195)=0, LEN(I1195)=0), "", IF(AND(LEN(H1195)&gt;0, LEN(I1195)=0), "BLANCO", IFERROR(VLOOKUP(I1195, BasedatosM9!A:B, 2, FALSE), "BLANCO")))</f>
        <v/>
      </c>
    </row>
    <row r="1196" spans="1:11" ht="14.4">
      <c r="A1196" s="21"/>
      <c r="B1196" s="86"/>
      <c r="C1196" s="98"/>
      <c r="D1196" s="21"/>
      <c r="E1196" s="86"/>
      <c r="F1196" s="99"/>
      <c r="G1196" s="99"/>
      <c r="H1196" s="21"/>
      <c r="I1196" s="21"/>
      <c r="J1196" s="21"/>
      <c r="K1196" s="5" t="str">
        <f>IF(AND(LEN(H1196)=0, LEN(I1196)=0), "", IF(AND(LEN(H1196)&gt;0, LEN(I1196)=0), "BLANCO", IFERROR(VLOOKUP(I1196, BasedatosM9!A:B, 2, FALSE), "BLANCO")))</f>
        <v/>
      </c>
    </row>
    <row r="1197" spans="1:11" ht="14.4">
      <c r="A1197" s="21"/>
      <c r="B1197" s="86"/>
      <c r="C1197" s="98"/>
      <c r="D1197" s="21"/>
      <c r="E1197" s="86"/>
      <c r="F1197" s="99"/>
      <c r="G1197" s="99"/>
      <c r="H1197" s="21"/>
      <c r="I1197" s="21"/>
      <c r="J1197" s="21"/>
      <c r="K1197" s="5" t="str">
        <f>IF(AND(LEN(H1197)=0, LEN(I1197)=0), "", IF(AND(LEN(H1197)&gt;0, LEN(I1197)=0), "BLANCO", IFERROR(VLOOKUP(I1197, BasedatosM9!A:B, 2, FALSE), "BLANCO")))</f>
        <v/>
      </c>
    </row>
    <row r="1198" spans="1:11" ht="14.4">
      <c r="A1198" s="21"/>
      <c r="B1198" s="86"/>
      <c r="C1198" s="98"/>
      <c r="D1198" s="21"/>
      <c r="E1198" s="86"/>
      <c r="F1198" s="99"/>
      <c r="G1198" s="99"/>
      <c r="H1198" s="21"/>
      <c r="I1198" s="86"/>
      <c r="J1198" s="21"/>
      <c r="K1198" s="5" t="str">
        <f>IF(AND(LEN(H1198)=0, LEN(I1198)=0), "", IF(AND(LEN(H1198)&gt;0, LEN(I1198)=0), "BLANCO", IFERROR(VLOOKUP(I1198, BasedatosM9!A:B, 2, FALSE), "BLANCO")))</f>
        <v/>
      </c>
    </row>
    <row r="1199" spans="1:11" ht="14.4">
      <c r="A1199" s="21"/>
      <c r="B1199" s="86"/>
      <c r="C1199" s="98"/>
      <c r="D1199" s="21"/>
      <c r="E1199" s="86"/>
      <c r="F1199" s="99"/>
      <c r="G1199" s="99"/>
      <c r="H1199" s="21"/>
      <c r="I1199" s="86"/>
      <c r="J1199" s="21"/>
      <c r="K1199" s="5" t="str">
        <f>IF(AND(LEN(H1199)=0, LEN(I1199)=0), "", IF(AND(LEN(H1199)&gt;0, LEN(I1199)=0), "BLANCO", IFERROR(VLOOKUP(I1199, BasedatosM9!A:B, 2, FALSE), "BLANCO")))</f>
        <v/>
      </c>
    </row>
    <row r="1200" spans="1:11" ht="14.4">
      <c r="A1200" s="21"/>
      <c r="B1200" s="86"/>
      <c r="C1200" s="98"/>
      <c r="D1200" s="21"/>
      <c r="E1200" s="86"/>
      <c r="F1200" s="99"/>
      <c r="G1200" s="99"/>
      <c r="H1200" s="21"/>
      <c r="I1200" s="21"/>
      <c r="J1200" s="21"/>
      <c r="K1200" s="5" t="str">
        <f>IF(AND(LEN(H1200)=0, LEN(I1200)=0), "", IF(AND(LEN(H1200)&gt;0, LEN(I1200)=0), "BLANCO", IFERROR(VLOOKUP(I1200, BasedatosM9!A:B, 2, FALSE), "BLANCO")))</f>
        <v/>
      </c>
    </row>
    <row r="1201" spans="1:11" ht="14.4">
      <c r="A1201" s="21"/>
      <c r="B1201" s="86"/>
      <c r="C1201" s="98"/>
      <c r="D1201" s="21"/>
      <c r="E1201" s="86"/>
      <c r="F1201" s="99"/>
      <c r="G1201" s="99"/>
      <c r="H1201" s="21"/>
      <c r="I1201" s="86"/>
      <c r="J1201" s="21"/>
      <c r="K1201" s="5" t="str">
        <f>IF(AND(LEN(H1201)=0, LEN(I1201)=0), "", IF(AND(LEN(H1201)&gt;0, LEN(I1201)=0), "BLANCO", IFERROR(VLOOKUP(I1201, BasedatosM9!A:B, 2, FALSE), "BLANCO")))</f>
        <v/>
      </c>
    </row>
    <row r="1202" spans="1:11" ht="14.4">
      <c r="A1202" s="21"/>
      <c r="B1202" s="86"/>
      <c r="C1202" s="98"/>
      <c r="D1202" s="21"/>
      <c r="E1202" s="86"/>
      <c r="F1202" s="99"/>
      <c r="G1202" s="99"/>
      <c r="H1202" s="21"/>
      <c r="I1202" s="86"/>
      <c r="J1202" s="21"/>
      <c r="K1202" s="5" t="str">
        <f>IF(AND(LEN(H1202)=0, LEN(I1202)=0), "", IF(AND(LEN(H1202)&gt;0, LEN(I1202)=0), "BLANCO", IFERROR(VLOOKUP(I1202, BasedatosM9!A:B, 2, FALSE), "BLANCO")))</f>
        <v/>
      </c>
    </row>
    <row r="1203" spans="1:11" ht="14.4">
      <c r="A1203" s="21"/>
      <c r="B1203" s="86"/>
      <c r="C1203" s="98"/>
      <c r="D1203" s="21"/>
      <c r="E1203" s="86"/>
      <c r="F1203" s="99"/>
      <c r="G1203" s="99"/>
      <c r="H1203" s="21"/>
      <c r="I1203" s="86"/>
      <c r="J1203" s="21"/>
      <c r="K1203" s="5" t="str">
        <f>IF(AND(LEN(H1203)=0, LEN(I1203)=0), "", IF(AND(LEN(H1203)&gt;0, LEN(I1203)=0), "BLANCO", IFERROR(VLOOKUP(I1203, BasedatosM9!A:B, 2, FALSE), "BLANCO")))</f>
        <v/>
      </c>
    </row>
    <row r="1204" spans="1:11" ht="14.4">
      <c r="A1204" s="21"/>
      <c r="B1204" s="86"/>
      <c r="C1204" s="98"/>
      <c r="D1204" s="21"/>
      <c r="E1204" s="86"/>
      <c r="F1204" s="99"/>
      <c r="G1204" s="99"/>
      <c r="H1204" s="21"/>
      <c r="I1204" s="86"/>
      <c r="J1204" s="21"/>
      <c r="K1204" s="5" t="str">
        <f>IF(AND(LEN(H1204)=0, LEN(I1204)=0), "", IF(AND(LEN(H1204)&gt;0, LEN(I1204)=0), "BLANCO", IFERROR(VLOOKUP(I1204, BasedatosM9!A:B, 2, FALSE), "BLANCO")))</f>
        <v/>
      </c>
    </row>
    <row r="1205" spans="1:11" ht="14.4">
      <c r="A1205" s="21"/>
      <c r="B1205" s="86"/>
      <c r="C1205" s="98"/>
      <c r="D1205" s="21"/>
      <c r="E1205" s="86"/>
      <c r="F1205" s="99"/>
      <c r="G1205" s="99"/>
      <c r="H1205" s="21"/>
      <c r="I1205" s="21"/>
      <c r="J1205" s="21"/>
      <c r="K1205" s="5" t="str">
        <f>IF(AND(LEN(H1205)=0, LEN(I1205)=0), "", IF(AND(LEN(H1205)&gt;0, LEN(I1205)=0), "BLANCO", IFERROR(VLOOKUP(I1205, BasedatosM9!A:B, 2, FALSE), "BLANCO")))</f>
        <v/>
      </c>
    </row>
    <row r="1206" spans="1:11" ht="14.4">
      <c r="A1206" s="21"/>
      <c r="B1206" s="86"/>
      <c r="C1206" s="98"/>
      <c r="D1206" s="21"/>
      <c r="E1206" s="86"/>
      <c r="F1206" s="99"/>
      <c r="G1206" s="99"/>
      <c r="H1206" s="21"/>
      <c r="I1206" s="86"/>
      <c r="J1206" s="21"/>
      <c r="K1206" s="5" t="str">
        <f>IF(AND(LEN(H1206)=0, LEN(I1206)=0), "", IF(AND(LEN(H1206)&gt;0, LEN(I1206)=0), "BLANCO", IFERROR(VLOOKUP(I1206, BasedatosM9!A:B, 2, FALSE), "BLANCO")))</f>
        <v/>
      </c>
    </row>
    <row r="1207" spans="1:11" ht="14.4">
      <c r="A1207" s="21"/>
      <c r="B1207" s="86"/>
      <c r="C1207" s="98"/>
      <c r="D1207" s="21"/>
      <c r="E1207" s="86"/>
      <c r="F1207" s="99"/>
      <c r="G1207" s="99"/>
      <c r="H1207" s="21"/>
      <c r="I1207" s="21"/>
      <c r="J1207" s="21"/>
      <c r="K1207" s="5" t="str">
        <f>IF(AND(LEN(H1207)=0, LEN(I1207)=0), "", IF(AND(LEN(H1207)&gt;0, LEN(I1207)=0), "BLANCO", IFERROR(VLOOKUP(I1207, BasedatosM9!A:B, 2, FALSE), "BLANCO")))</f>
        <v/>
      </c>
    </row>
    <row r="1208" spans="1:11" ht="14.4">
      <c r="A1208" s="21"/>
      <c r="B1208" s="86"/>
      <c r="C1208" s="98"/>
      <c r="D1208" s="21"/>
      <c r="E1208" s="86"/>
      <c r="F1208" s="99"/>
      <c r="G1208" s="99"/>
      <c r="H1208" s="21"/>
      <c r="I1208" s="21"/>
      <c r="J1208" s="21"/>
      <c r="K1208" s="5" t="str">
        <f>IF(AND(LEN(H1208)=0, LEN(I1208)=0), "", IF(AND(LEN(H1208)&gt;0, LEN(I1208)=0), "BLANCO", IFERROR(VLOOKUP(I1208, BasedatosM9!A:B, 2, FALSE), "BLANCO")))</f>
        <v/>
      </c>
    </row>
    <row r="1209" spans="1:11" ht="14.4">
      <c r="A1209" s="21"/>
      <c r="B1209" s="86"/>
      <c r="C1209" s="98"/>
      <c r="D1209" s="21"/>
      <c r="E1209" s="86"/>
      <c r="F1209" s="99"/>
      <c r="G1209" s="99"/>
      <c r="H1209" s="21"/>
      <c r="I1209" s="21"/>
      <c r="J1209" s="21"/>
      <c r="K1209" s="5" t="str">
        <f>IF(AND(LEN(H1209)=0, LEN(I1209)=0), "", IF(AND(LEN(H1209)&gt;0, LEN(I1209)=0), "BLANCO", IFERROR(VLOOKUP(I1209, BasedatosM9!A:B, 2, FALSE), "BLANCO")))</f>
        <v/>
      </c>
    </row>
    <row r="1210" spans="1:11" ht="14.4">
      <c r="A1210" s="21"/>
      <c r="B1210" s="86"/>
      <c r="C1210" s="98"/>
      <c r="D1210" s="21"/>
      <c r="E1210" s="86"/>
      <c r="F1210" s="99"/>
      <c r="G1210" s="99"/>
      <c r="H1210" s="21"/>
      <c r="I1210" s="86"/>
      <c r="J1210" s="21"/>
      <c r="K1210" s="5" t="str">
        <f>IF(AND(LEN(H1210)=0, LEN(I1210)=0), "", IF(AND(LEN(H1210)&gt;0, LEN(I1210)=0), "BLANCO", IFERROR(VLOOKUP(I1210, BasedatosM9!A:B, 2, FALSE), "BLANCO")))</f>
        <v/>
      </c>
    </row>
    <row r="1211" spans="1:11" ht="14.4">
      <c r="A1211" s="21"/>
      <c r="B1211" s="86"/>
      <c r="C1211" s="98"/>
      <c r="D1211" s="21"/>
      <c r="E1211" s="86"/>
      <c r="F1211" s="99"/>
      <c r="G1211" s="99"/>
      <c r="H1211" s="21"/>
      <c r="I1211" s="86"/>
      <c r="J1211" s="21"/>
      <c r="K1211" s="5" t="str">
        <f>IF(AND(LEN(H1211)=0, LEN(I1211)=0), "", IF(AND(LEN(H1211)&gt;0, LEN(I1211)=0), "BLANCO", IFERROR(VLOOKUP(I1211, BasedatosM9!A:B, 2, FALSE), "BLANCO")))</f>
        <v/>
      </c>
    </row>
    <row r="1212" spans="1:11" ht="14.4">
      <c r="A1212" s="21"/>
      <c r="B1212" s="86"/>
      <c r="C1212" s="98"/>
      <c r="D1212" s="21"/>
      <c r="E1212" s="86"/>
      <c r="F1212" s="99"/>
      <c r="G1212" s="99"/>
      <c r="H1212" s="21"/>
      <c r="I1212" s="86"/>
      <c r="J1212" s="21"/>
      <c r="K1212" s="5" t="str">
        <f>IF(AND(LEN(H1212)=0, LEN(I1212)=0), "", IF(AND(LEN(H1212)&gt;0, LEN(I1212)=0), "BLANCO", IFERROR(VLOOKUP(I1212, BasedatosM9!A:B, 2, FALSE), "BLANCO")))</f>
        <v/>
      </c>
    </row>
    <row r="1213" spans="1:11" ht="14.4">
      <c r="A1213" s="21"/>
      <c r="B1213" s="86"/>
      <c r="C1213" s="98"/>
      <c r="D1213" s="21"/>
      <c r="E1213" s="86"/>
      <c r="F1213" s="99"/>
      <c r="G1213" s="99"/>
      <c r="H1213" s="21"/>
      <c r="I1213" s="21"/>
      <c r="J1213" s="21"/>
      <c r="K1213" s="5" t="str">
        <f>IF(AND(LEN(H1213)=0, LEN(I1213)=0), "", IF(AND(LEN(H1213)&gt;0, LEN(I1213)=0), "BLANCO", IFERROR(VLOOKUP(I1213, BasedatosM9!A:B, 2, FALSE), "BLANCO")))</f>
        <v/>
      </c>
    </row>
    <row r="1214" spans="1:11" ht="14.4">
      <c r="A1214" s="21"/>
      <c r="B1214" s="86"/>
      <c r="C1214" s="98"/>
      <c r="D1214" s="21"/>
      <c r="E1214" s="86"/>
      <c r="F1214" s="99"/>
      <c r="G1214" s="99"/>
      <c r="H1214" s="21"/>
      <c r="I1214" s="86"/>
      <c r="J1214" s="21"/>
      <c r="K1214" s="5" t="str">
        <f>IF(AND(LEN(H1214)=0, LEN(I1214)=0), "", IF(AND(LEN(H1214)&gt;0, LEN(I1214)=0), "BLANCO", IFERROR(VLOOKUP(I1214, BasedatosM9!A:B, 2, FALSE), "BLANCO")))</f>
        <v/>
      </c>
    </row>
    <row r="1215" spans="1:11" ht="14.4">
      <c r="A1215" s="21"/>
      <c r="B1215" s="86"/>
      <c r="C1215" s="98"/>
      <c r="D1215" s="21"/>
      <c r="E1215" s="86"/>
      <c r="F1215" s="99"/>
      <c r="G1215" s="99"/>
      <c r="H1215" s="21"/>
      <c r="I1215" s="86"/>
      <c r="J1215" s="21"/>
      <c r="K1215" s="5" t="str">
        <f>IF(AND(LEN(H1215)=0, LEN(I1215)=0), "", IF(AND(LEN(H1215)&gt;0, LEN(I1215)=0), "BLANCO", IFERROR(VLOOKUP(I1215, BasedatosM9!A:B, 2, FALSE), "BLANCO")))</f>
        <v/>
      </c>
    </row>
    <row r="1216" spans="1:11" ht="14.4">
      <c r="A1216" s="21"/>
      <c r="B1216" s="86"/>
      <c r="C1216" s="98"/>
      <c r="D1216" s="21"/>
      <c r="E1216" s="86"/>
      <c r="F1216" s="99"/>
      <c r="G1216" s="99"/>
      <c r="H1216" s="21"/>
      <c r="I1216" s="86"/>
      <c r="J1216" s="21"/>
      <c r="K1216" s="5" t="str">
        <f>IF(AND(LEN(H1216)=0, LEN(I1216)=0), "", IF(AND(LEN(H1216)&gt;0, LEN(I1216)=0), "BLANCO", IFERROR(VLOOKUP(I1216, BasedatosM9!A:B, 2, FALSE), "BLANCO")))</f>
        <v/>
      </c>
    </row>
    <row r="1217" spans="1:11" ht="14.4">
      <c r="A1217" s="21"/>
      <c r="B1217" s="86"/>
      <c r="C1217" s="98"/>
      <c r="D1217" s="21"/>
      <c r="E1217" s="86"/>
      <c r="F1217" s="99"/>
      <c r="G1217" s="99"/>
      <c r="H1217" s="21"/>
      <c r="I1217" s="86"/>
      <c r="J1217" s="21"/>
      <c r="K1217" s="5" t="str">
        <f>IF(AND(LEN(H1217)=0, LEN(I1217)=0), "", IF(AND(LEN(H1217)&gt;0, LEN(I1217)=0), "BLANCO", IFERROR(VLOOKUP(I1217, BasedatosM9!A:B, 2, FALSE), "BLANCO")))</f>
        <v/>
      </c>
    </row>
    <row r="1218" spans="1:11" ht="14.4">
      <c r="A1218" s="21"/>
      <c r="B1218" s="86"/>
      <c r="C1218" s="98"/>
      <c r="D1218" s="21"/>
      <c r="E1218" s="86"/>
      <c r="F1218" s="99"/>
      <c r="G1218" s="99"/>
      <c r="H1218" s="21"/>
      <c r="I1218" s="86"/>
      <c r="J1218" s="21"/>
      <c r="K1218" s="5" t="str">
        <f>IF(AND(LEN(H1218)=0, LEN(I1218)=0), "", IF(AND(LEN(H1218)&gt;0, LEN(I1218)=0), "BLANCO", IFERROR(VLOOKUP(I1218, BasedatosM9!A:B, 2, FALSE), "BLANCO")))</f>
        <v/>
      </c>
    </row>
    <row r="1219" spans="1:11" ht="14.4">
      <c r="A1219" s="21"/>
      <c r="B1219" s="86"/>
      <c r="C1219" s="98"/>
      <c r="D1219" s="21"/>
      <c r="E1219" s="86"/>
      <c r="F1219" s="99"/>
      <c r="G1219" s="99"/>
      <c r="H1219" s="21"/>
      <c r="I1219" s="86"/>
      <c r="J1219" s="21"/>
      <c r="K1219" s="5" t="str">
        <f>IF(AND(LEN(H1219)=0, LEN(I1219)=0), "", IF(AND(LEN(H1219)&gt;0, LEN(I1219)=0), "BLANCO", IFERROR(VLOOKUP(I1219, BasedatosM9!A:B, 2, FALSE), "BLANCO")))</f>
        <v/>
      </c>
    </row>
    <row r="1220" spans="1:11" ht="14.4">
      <c r="A1220" s="21"/>
      <c r="B1220" s="86"/>
      <c r="C1220" s="98"/>
      <c r="D1220" s="21"/>
      <c r="E1220" s="86"/>
      <c r="F1220" s="99"/>
      <c r="G1220" s="99"/>
      <c r="H1220" s="21"/>
      <c r="I1220" s="21"/>
      <c r="J1220" s="21"/>
      <c r="K1220" s="5" t="str">
        <f>IF(AND(LEN(H1220)=0, LEN(I1220)=0), "", IF(AND(LEN(H1220)&gt;0, LEN(I1220)=0), "BLANCO", IFERROR(VLOOKUP(I1220, BasedatosM9!A:B, 2, FALSE), "BLANCO")))</f>
        <v/>
      </c>
    </row>
    <row r="1221" spans="1:11" ht="14.4">
      <c r="A1221" s="21"/>
      <c r="B1221" s="86"/>
      <c r="C1221" s="98"/>
      <c r="D1221" s="21"/>
      <c r="E1221" s="86"/>
      <c r="F1221" s="99"/>
      <c r="G1221" s="99"/>
      <c r="H1221" s="21"/>
      <c r="I1221" s="86"/>
      <c r="J1221" s="21"/>
      <c r="K1221" s="5" t="str">
        <f>IF(AND(LEN(H1221)=0, LEN(I1221)=0), "", IF(AND(LEN(H1221)&gt;0, LEN(I1221)=0), "BLANCO", IFERROR(VLOOKUP(I1221, BasedatosM9!A:B, 2, FALSE), "BLANCO")))</f>
        <v/>
      </c>
    </row>
    <row r="1222" spans="1:11" ht="14.4">
      <c r="A1222" s="21"/>
      <c r="B1222" s="86"/>
      <c r="C1222" s="98"/>
      <c r="D1222" s="21"/>
      <c r="E1222" s="86"/>
      <c r="F1222" s="99"/>
      <c r="G1222" s="99"/>
      <c r="H1222" s="21"/>
      <c r="I1222" s="21"/>
      <c r="J1222" s="21"/>
      <c r="K1222" s="5" t="str">
        <f>IF(AND(LEN(H1222)=0, LEN(I1222)=0), "", IF(AND(LEN(H1222)&gt;0, LEN(I1222)=0), "BLANCO", IFERROR(VLOOKUP(I1222, BasedatosM9!A:B, 2, FALSE), "BLANCO")))</f>
        <v/>
      </c>
    </row>
    <row r="1223" spans="1:11" ht="14.4">
      <c r="A1223" s="21"/>
      <c r="B1223" s="86"/>
      <c r="C1223" s="98"/>
      <c r="D1223" s="21"/>
      <c r="E1223" s="86"/>
      <c r="F1223" s="99"/>
      <c r="G1223" s="99"/>
      <c r="H1223" s="21"/>
      <c r="I1223" s="86"/>
      <c r="J1223" s="21"/>
      <c r="K1223" s="5" t="str">
        <f>IF(AND(LEN(H1223)=0, LEN(I1223)=0), "", IF(AND(LEN(H1223)&gt;0, LEN(I1223)=0), "BLANCO", IFERROR(VLOOKUP(I1223, BasedatosM9!A:B, 2, FALSE), "BLANCO")))</f>
        <v/>
      </c>
    </row>
    <row r="1224" spans="1:11" ht="14.4">
      <c r="A1224" s="21"/>
      <c r="B1224" s="86"/>
      <c r="C1224" s="98"/>
      <c r="D1224" s="21"/>
      <c r="E1224" s="86"/>
      <c r="F1224" s="99"/>
      <c r="G1224" s="99"/>
      <c r="H1224" s="21"/>
      <c r="I1224" s="21"/>
      <c r="J1224" s="21"/>
      <c r="K1224" s="5" t="str">
        <f>IF(AND(LEN(H1224)=0, LEN(I1224)=0), "", IF(AND(LEN(H1224)&gt;0, LEN(I1224)=0), "BLANCO", IFERROR(VLOOKUP(I1224, BasedatosM9!A:B, 2, FALSE), "BLANCO")))</f>
        <v/>
      </c>
    </row>
    <row r="1225" spans="1:11" ht="14.4">
      <c r="A1225" s="21"/>
      <c r="B1225" s="86"/>
      <c r="C1225" s="98"/>
      <c r="D1225" s="21"/>
      <c r="E1225" s="86"/>
      <c r="F1225" s="99"/>
      <c r="G1225" s="99"/>
      <c r="H1225" s="21"/>
      <c r="I1225" s="21"/>
      <c r="J1225" s="21"/>
      <c r="K1225" s="5" t="str">
        <f>IF(AND(LEN(H1225)=0, LEN(I1225)=0), "", IF(AND(LEN(H1225)&gt;0, LEN(I1225)=0), "BLANCO", IFERROR(VLOOKUP(I1225, BasedatosM9!A:B, 2, FALSE), "BLANCO")))</f>
        <v/>
      </c>
    </row>
    <row r="1226" spans="1:11" ht="14.4">
      <c r="A1226" s="21"/>
      <c r="B1226" s="86"/>
      <c r="C1226" s="98"/>
      <c r="D1226" s="21"/>
      <c r="E1226" s="86"/>
      <c r="F1226" s="99"/>
      <c r="G1226" s="99"/>
      <c r="H1226" s="21"/>
      <c r="I1226" s="86"/>
      <c r="J1226" s="21"/>
      <c r="K1226" s="5" t="str">
        <f>IF(AND(LEN(H1226)=0, LEN(I1226)=0), "", IF(AND(LEN(H1226)&gt;0, LEN(I1226)=0), "BLANCO", IFERROR(VLOOKUP(I1226, BasedatosM9!A:B, 2, FALSE), "BLANCO")))</f>
        <v/>
      </c>
    </row>
    <row r="1227" spans="1:11" ht="14.4">
      <c r="A1227" s="21"/>
      <c r="B1227" s="86"/>
      <c r="C1227" s="98"/>
      <c r="D1227" s="21"/>
      <c r="E1227" s="86"/>
      <c r="F1227" s="99"/>
      <c r="G1227" s="99"/>
      <c r="H1227" s="21"/>
      <c r="I1227" s="86"/>
      <c r="J1227" s="21"/>
      <c r="K1227" s="5" t="str">
        <f>IF(AND(LEN(H1227)=0, LEN(I1227)=0), "", IF(AND(LEN(H1227)&gt;0, LEN(I1227)=0), "BLANCO", IFERROR(VLOOKUP(I1227, BasedatosM9!A:B, 2, FALSE), "BLANCO")))</f>
        <v/>
      </c>
    </row>
    <row r="1228" spans="1:11" ht="14.4">
      <c r="A1228" s="21"/>
      <c r="B1228" s="86"/>
      <c r="C1228" s="98"/>
      <c r="D1228" s="21"/>
      <c r="E1228" s="86"/>
      <c r="F1228" s="99"/>
      <c r="G1228" s="99"/>
      <c r="H1228" s="21"/>
      <c r="I1228" s="86"/>
      <c r="J1228" s="21"/>
      <c r="K1228" s="5" t="str">
        <f>IF(AND(LEN(H1228)=0, LEN(I1228)=0), "", IF(AND(LEN(H1228)&gt;0, LEN(I1228)=0), "BLANCO", IFERROR(VLOOKUP(I1228, BasedatosM9!A:B, 2, FALSE), "BLANCO")))</f>
        <v/>
      </c>
    </row>
    <row r="1229" spans="1:11" ht="14.4">
      <c r="A1229" s="21"/>
      <c r="B1229" s="86"/>
      <c r="C1229" s="98"/>
      <c r="D1229" s="21"/>
      <c r="E1229" s="86"/>
      <c r="F1229" s="99"/>
      <c r="G1229" s="99"/>
      <c r="H1229" s="21"/>
      <c r="I1229" s="86"/>
      <c r="J1229" s="21"/>
      <c r="K1229" s="5" t="str">
        <f>IF(AND(LEN(H1229)=0, LEN(I1229)=0), "", IF(AND(LEN(H1229)&gt;0, LEN(I1229)=0), "BLANCO", IFERROR(VLOOKUP(I1229, BasedatosM9!A:B, 2, FALSE), "BLANCO")))</f>
        <v/>
      </c>
    </row>
    <row r="1230" spans="1:11" ht="14.4">
      <c r="A1230" s="21"/>
      <c r="B1230" s="86"/>
      <c r="C1230" s="98"/>
      <c r="D1230" s="21"/>
      <c r="E1230" s="86"/>
      <c r="F1230" s="99"/>
      <c r="G1230" s="99"/>
      <c r="H1230" s="21"/>
      <c r="I1230" s="86"/>
      <c r="J1230" s="21"/>
      <c r="K1230" s="5" t="str">
        <f>IF(AND(LEN(H1230)=0, LEN(I1230)=0), "", IF(AND(LEN(H1230)&gt;0, LEN(I1230)=0), "BLANCO", IFERROR(VLOOKUP(I1230, BasedatosM9!A:B, 2, FALSE), "BLANCO")))</f>
        <v/>
      </c>
    </row>
    <row r="1231" spans="1:11" ht="14.4">
      <c r="A1231" s="21"/>
      <c r="B1231" s="86"/>
      <c r="C1231" s="98"/>
      <c r="D1231" s="21"/>
      <c r="E1231" s="86"/>
      <c r="F1231" s="99"/>
      <c r="G1231" s="99"/>
      <c r="H1231" s="21"/>
      <c r="I1231" s="21"/>
      <c r="J1231" s="21"/>
      <c r="K1231" s="5" t="str">
        <f>IF(AND(LEN(H1231)=0, LEN(I1231)=0), "", IF(AND(LEN(H1231)&gt;0, LEN(I1231)=0), "BLANCO", IFERROR(VLOOKUP(I1231, BasedatosM9!A:B, 2, FALSE), "BLANCO")))</f>
        <v/>
      </c>
    </row>
    <row r="1232" spans="1:11" ht="14.4">
      <c r="A1232" s="21"/>
      <c r="B1232" s="86"/>
      <c r="C1232" s="98"/>
      <c r="D1232" s="21"/>
      <c r="E1232" s="86"/>
      <c r="F1232" s="99"/>
      <c r="G1232" s="99"/>
      <c r="H1232" s="21"/>
      <c r="I1232" s="21"/>
      <c r="J1232" s="21"/>
      <c r="K1232" s="5" t="str">
        <f>IF(AND(LEN(H1232)=0, LEN(I1232)=0), "", IF(AND(LEN(H1232)&gt;0, LEN(I1232)=0), "BLANCO", IFERROR(VLOOKUP(I1232, BasedatosM9!A:B, 2, FALSE), "BLANCO")))</f>
        <v/>
      </c>
    </row>
    <row r="1233" spans="1:11" ht="14.4">
      <c r="A1233" s="21"/>
      <c r="B1233" s="86"/>
      <c r="C1233" s="98"/>
      <c r="D1233" s="21"/>
      <c r="E1233" s="86"/>
      <c r="F1233" s="99"/>
      <c r="G1233" s="99"/>
      <c r="H1233" s="21"/>
      <c r="I1233" s="21"/>
      <c r="J1233" s="21"/>
      <c r="K1233" s="5" t="str">
        <f>IF(AND(LEN(H1233)=0, LEN(I1233)=0), "", IF(AND(LEN(H1233)&gt;0, LEN(I1233)=0), "BLANCO", IFERROR(VLOOKUP(I1233, BasedatosM9!A:B, 2, FALSE), "BLANCO")))</f>
        <v/>
      </c>
    </row>
    <row r="1234" spans="1:11" ht="14.4">
      <c r="A1234" s="21"/>
      <c r="B1234" s="86"/>
      <c r="C1234" s="98"/>
      <c r="D1234" s="21"/>
      <c r="E1234" s="86"/>
      <c r="F1234" s="99"/>
      <c r="G1234" s="99"/>
      <c r="H1234" s="21"/>
      <c r="I1234" s="86"/>
      <c r="J1234" s="21"/>
      <c r="K1234" s="5" t="str">
        <f>IF(AND(LEN(H1234)=0, LEN(I1234)=0), "", IF(AND(LEN(H1234)&gt;0, LEN(I1234)=0), "BLANCO", IFERROR(VLOOKUP(I1234, BasedatosM9!A:B, 2, FALSE), "BLANCO")))</f>
        <v/>
      </c>
    </row>
    <row r="1235" spans="1:11" ht="14.4">
      <c r="A1235" s="21"/>
      <c r="B1235" s="86"/>
      <c r="C1235" s="98"/>
      <c r="D1235" s="21"/>
      <c r="E1235" s="86"/>
      <c r="F1235" s="99"/>
      <c r="G1235" s="99"/>
      <c r="H1235" s="21"/>
      <c r="I1235" s="86"/>
      <c r="J1235" s="21"/>
      <c r="K1235" s="5" t="str">
        <f>IF(AND(LEN(H1235)=0, LEN(I1235)=0), "", IF(AND(LEN(H1235)&gt;0, LEN(I1235)=0), "BLANCO", IFERROR(VLOOKUP(I1235, BasedatosM9!A:B, 2, FALSE), "BLANCO")))</f>
        <v/>
      </c>
    </row>
    <row r="1236" spans="1:11" ht="14.4">
      <c r="A1236" s="21"/>
      <c r="B1236" s="86"/>
      <c r="C1236" s="98"/>
      <c r="D1236" s="21"/>
      <c r="E1236" s="86"/>
      <c r="F1236" s="99"/>
      <c r="G1236" s="99"/>
      <c r="H1236" s="21"/>
      <c r="I1236" s="21"/>
      <c r="J1236" s="21"/>
      <c r="K1236" s="5" t="str">
        <f>IF(AND(LEN(H1236)=0, LEN(I1236)=0), "", IF(AND(LEN(H1236)&gt;0, LEN(I1236)=0), "BLANCO", IFERROR(VLOOKUP(I1236, BasedatosM9!A:B, 2, FALSE), "BLANCO")))</f>
        <v/>
      </c>
    </row>
    <row r="1237" spans="1:11" ht="14.4">
      <c r="A1237" s="21"/>
      <c r="B1237" s="86"/>
      <c r="C1237" s="98"/>
      <c r="D1237" s="21"/>
      <c r="E1237" s="86"/>
      <c r="F1237" s="99"/>
      <c r="G1237" s="99"/>
      <c r="H1237" s="21"/>
      <c r="I1237" s="21"/>
      <c r="J1237" s="21"/>
      <c r="K1237" s="5" t="str">
        <f>IF(AND(LEN(H1237)=0, LEN(I1237)=0), "", IF(AND(LEN(H1237)&gt;0, LEN(I1237)=0), "BLANCO", IFERROR(VLOOKUP(I1237, BasedatosM9!A:B, 2, FALSE), "BLANCO")))</f>
        <v/>
      </c>
    </row>
    <row r="1238" spans="1:11" ht="14.4">
      <c r="A1238" s="21"/>
      <c r="B1238" s="86"/>
      <c r="C1238" s="98"/>
      <c r="D1238" s="21"/>
      <c r="E1238" s="86"/>
      <c r="F1238" s="99"/>
      <c r="G1238" s="99"/>
      <c r="H1238" s="21"/>
      <c r="I1238" s="21"/>
      <c r="J1238" s="21"/>
      <c r="K1238" s="5" t="str">
        <f>IF(AND(LEN(H1238)=0, LEN(I1238)=0), "", IF(AND(LEN(H1238)&gt;0, LEN(I1238)=0), "BLANCO", IFERROR(VLOOKUP(I1238, BasedatosM9!A:B, 2, FALSE), "BLANCO")))</f>
        <v/>
      </c>
    </row>
    <row r="1239" spans="1:11" ht="14.4">
      <c r="A1239" s="21"/>
      <c r="B1239" s="86"/>
      <c r="C1239" s="98"/>
      <c r="D1239" s="21"/>
      <c r="E1239" s="86"/>
      <c r="F1239" s="99"/>
      <c r="G1239" s="99"/>
      <c r="H1239" s="21"/>
      <c r="I1239" s="86"/>
      <c r="J1239" s="21"/>
      <c r="K1239" s="5" t="str">
        <f>IF(AND(LEN(H1239)=0, LEN(I1239)=0), "", IF(AND(LEN(H1239)&gt;0, LEN(I1239)=0), "BLANCO", IFERROR(VLOOKUP(I1239, BasedatosM9!A:B, 2, FALSE), "BLANCO")))</f>
        <v/>
      </c>
    </row>
    <row r="1240" spans="1:11" ht="14.4">
      <c r="A1240" s="21"/>
      <c r="B1240" s="86"/>
      <c r="C1240" s="98"/>
      <c r="D1240" s="21"/>
      <c r="E1240" s="86"/>
      <c r="F1240" s="99"/>
      <c r="G1240" s="99"/>
      <c r="H1240" s="21"/>
      <c r="I1240" s="86"/>
      <c r="J1240" s="21"/>
      <c r="K1240" s="5" t="str">
        <f>IF(AND(LEN(H1240)=0, LEN(I1240)=0), "", IF(AND(LEN(H1240)&gt;0, LEN(I1240)=0), "BLANCO", IFERROR(VLOOKUP(I1240, BasedatosM9!A:B, 2, FALSE), "BLANCO")))</f>
        <v/>
      </c>
    </row>
    <row r="1241" spans="1:11" ht="14.4">
      <c r="A1241" s="21"/>
      <c r="B1241" s="86"/>
      <c r="C1241" s="98"/>
      <c r="D1241" s="21"/>
      <c r="E1241" s="86"/>
      <c r="F1241" s="99"/>
      <c r="G1241" s="99"/>
      <c r="H1241" s="21"/>
      <c r="I1241" s="86"/>
      <c r="J1241" s="21"/>
      <c r="K1241" s="5" t="str">
        <f>IF(AND(LEN(H1241)=0, LEN(I1241)=0), "", IF(AND(LEN(H1241)&gt;0, LEN(I1241)=0), "BLANCO", IFERROR(VLOOKUP(I1241, BasedatosM9!A:B, 2, FALSE), "BLANCO")))</f>
        <v/>
      </c>
    </row>
    <row r="1242" spans="1:11" ht="14.4">
      <c r="A1242" s="21"/>
      <c r="B1242" s="86"/>
      <c r="C1242" s="98"/>
      <c r="D1242" s="21"/>
      <c r="E1242" s="86"/>
      <c r="F1242" s="99"/>
      <c r="G1242" s="99"/>
      <c r="H1242" s="21"/>
      <c r="I1242" s="21"/>
      <c r="J1242" s="21"/>
      <c r="K1242" s="5" t="str">
        <f>IF(AND(LEN(H1242)=0, LEN(I1242)=0), "", IF(AND(LEN(H1242)&gt;0, LEN(I1242)=0), "BLANCO", IFERROR(VLOOKUP(I1242, BasedatosM9!A:B, 2, FALSE), "BLANCO")))</f>
        <v/>
      </c>
    </row>
    <row r="1243" spans="1:11" ht="14.4">
      <c r="A1243" s="21"/>
      <c r="B1243" s="86"/>
      <c r="C1243" s="98"/>
      <c r="D1243" s="21"/>
      <c r="E1243" s="86"/>
      <c r="F1243" s="99"/>
      <c r="G1243" s="99"/>
      <c r="H1243" s="21"/>
      <c r="I1243" s="21"/>
      <c r="J1243" s="21"/>
      <c r="K1243" s="5" t="str">
        <f>IF(AND(LEN(H1243)=0, LEN(I1243)=0), "", IF(AND(LEN(H1243)&gt;0, LEN(I1243)=0), "BLANCO", IFERROR(VLOOKUP(I1243, BasedatosM9!A:B, 2, FALSE), "BLANCO")))</f>
        <v/>
      </c>
    </row>
    <row r="1244" spans="1:11" ht="14.4">
      <c r="A1244" s="21"/>
      <c r="B1244" s="86"/>
      <c r="C1244" s="98"/>
      <c r="D1244" s="21"/>
      <c r="E1244" s="86"/>
      <c r="F1244" s="99"/>
      <c r="G1244" s="99"/>
      <c r="H1244" s="21"/>
      <c r="I1244" s="86"/>
      <c r="J1244" s="21"/>
      <c r="K1244" s="5" t="str">
        <f>IF(AND(LEN(H1244)=0, LEN(I1244)=0), "", IF(AND(LEN(H1244)&gt;0, LEN(I1244)=0), "BLANCO", IFERROR(VLOOKUP(I1244, BasedatosM9!A:B, 2, FALSE), "BLANCO")))</f>
        <v/>
      </c>
    </row>
    <row r="1245" spans="1:11" ht="14.4">
      <c r="A1245" s="21"/>
      <c r="B1245" s="86"/>
      <c r="C1245" s="98"/>
      <c r="D1245" s="21"/>
      <c r="E1245" s="86"/>
      <c r="F1245" s="99"/>
      <c r="G1245" s="99"/>
      <c r="H1245" s="21"/>
      <c r="I1245" s="86"/>
      <c r="J1245" s="21"/>
      <c r="K1245" s="5" t="str">
        <f>IF(AND(LEN(H1245)=0, LEN(I1245)=0), "", IF(AND(LEN(H1245)&gt;0, LEN(I1245)=0), "BLANCO", IFERROR(VLOOKUP(I1245, BasedatosM9!A:B, 2, FALSE), "BLANCO")))</f>
        <v/>
      </c>
    </row>
    <row r="1246" spans="1:11" ht="14.4">
      <c r="A1246" s="21"/>
      <c r="B1246" s="86"/>
      <c r="C1246" s="98"/>
      <c r="D1246" s="21"/>
      <c r="E1246" s="86"/>
      <c r="F1246" s="99"/>
      <c r="G1246" s="99"/>
      <c r="H1246" s="21"/>
      <c r="I1246" s="86"/>
      <c r="J1246" s="21"/>
      <c r="K1246" s="5" t="str">
        <f>IF(AND(LEN(H1246)=0, LEN(I1246)=0), "", IF(AND(LEN(H1246)&gt;0, LEN(I1246)=0), "BLANCO", IFERROR(VLOOKUP(I1246, BasedatosM9!A:B, 2, FALSE), "BLANCO")))</f>
        <v/>
      </c>
    </row>
    <row r="1247" spans="1:11" ht="14.4">
      <c r="A1247" s="21"/>
      <c r="B1247" s="86"/>
      <c r="C1247" s="98"/>
      <c r="D1247" s="21"/>
      <c r="E1247" s="86"/>
      <c r="F1247" s="99"/>
      <c r="G1247" s="99"/>
      <c r="H1247" s="21"/>
      <c r="I1247" s="86"/>
      <c r="J1247" s="21"/>
      <c r="K1247" s="5" t="str">
        <f>IF(AND(LEN(H1247)=0, LEN(I1247)=0), "", IF(AND(LEN(H1247)&gt;0, LEN(I1247)=0), "BLANCO", IFERROR(VLOOKUP(I1247, BasedatosM9!A:B, 2, FALSE), "BLANCO")))</f>
        <v/>
      </c>
    </row>
    <row r="1248" spans="1:11" ht="14.4">
      <c r="A1248" s="21"/>
      <c r="B1248" s="86"/>
      <c r="C1248" s="98"/>
      <c r="D1248" s="21"/>
      <c r="E1248" s="86"/>
      <c r="F1248" s="99"/>
      <c r="G1248" s="99"/>
      <c r="H1248" s="21"/>
      <c r="I1248" s="21"/>
      <c r="J1248" s="21"/>
      <c r="K1248" s="5" t="str">
        <f>IF(AND(LEN(H1248)=0, LEN(I1248)=0), "", IF(AND(LEN(H1248)&gt;0, LEN(I1248)=0), "BLANCO", IFERROR(VLOOKUP(I1248, BasedatosM9!A:B, 2, FALSE), "BLANCO")))</f>
        <v/>
      </c>
    </row>
    <row r="1249" spans="1:11" ht="14.4">
      <c r="A1249" s="21"/>
      <c r="B1249" s="86"/>
      <c r="C1249" s="98"/>
      <c r="D1249" s="21"/>
      <c r="E1249" s="86"/>
      <c r="F1249" s="99"/>
      <c r="G1249" s="99"/>
      <c r="H1249" s="21"/>
      <c r="I1249" s="86"/>
      <c r="J1249" s="21"/>
      <c r="K1249" s="5" t="str">
        <f>IF(AND(LEN(H1249)=0, LEN(I1249)=0), "", IF(AND(LEN(H1249)&gt;0, LEN(I1249)=0), "BLANCO", IFERROR(VLOOKUP(I1249, BasedatosM9!A:B, 2, FALSE), "BLANCO")))</f>
        <v/>
      </c>
    </row>
    <row r="1250" spans="1:11" ht="14.4">
      <c r="A1250" s="21"/>
      <c r="B1250" s="86"/>
      <c r="C1250" s="98"/>
      <c r="D1250" s="21"/>
      <c r="E1250" s="86"/>
      <c r="F1250" s="99"/>
      <c r="G1250" s="99"/>
      <c r="H1250" s="21"/>
      <c r="I1250" s="21"/>
      <c r="J1250" s="21"/>
      <c r="K1250" s="5" t="str">
        <f>IF(AND(LEN(H1250)=0, LEN(I1250)=0), "", IF(AND(LEN(H1250)&gt;0, LEN(I1250)=0), "BLANCO", IFERROR(VLOOKUP(I1250, BasedatosM9!A:B, 2, FALSE), "BLANCO")))</f>
        <v/>
      </c>
    </row>
    <row r="1251" spans="1:11" ht="14.4">
      <c r="A1251" s="21"/>
      <c r="B1251" s="86"/>
      <c r="C1251" s="98"/>
      <c r="D1251" s="21"/>
      <c r="E1251" s="86"/>
      <c r="F1251" s="99"/>
      <c r="G1251" s="99"/>
      <c r="H1251" s="21"/>
      <c r="I1251" s="21"/>
      <c r="J1251" s="21"/>
      <c r="K1251" s="5" t="str">
        <f>IF(AND(LEN(H1251)=0, LEN(I1251)=0), "", IF(AND(LEN(H1251)&gt;0, LEN(I1251)=0), "BLANCO", IFERROR(VLOOKUP(I1251, BasedatosM9!A:B, 2, FALSE), "BLANCO")))</f>
        <v/>
      </c>
    </row>
    <row r="1252" spans="1:11" ht="14.4">
      <c r="A1252" s="21"/>
      <c r="B1252" s="86"/>
      <c r="C1252" s="98"/>
      <c r="D1252" s="21"/>
      <c r="E1252" s="86"/>
      <c r="F1252" s="99"/>
      <c r="G1252" s="99"/>
      <c r="H1252" s="21"/>
      <c r="I1252" s="21"/>
      <c r="J1252" s="21"/>
      <c r="K1252" s="5" t="str">
        <f>IF(AND(LEN(H1252)=0, LEN(I1252)=0), "", IF(AND(LEN(H1252)&gt;0, LEN(I1252)=0), "BLANCO", IFERROR(VLOOKUP(I1252, BasedatosM9!A:B, 2, FALSE), "BLANCO")))</f>
        <v/>
      </c>
    </row>
    <row r="1253" spans="1:11" ht="14.4">
      <c r="A1253" s="21"/>
      <c r="B1253" s="86"/>
      <c r="C1253" s="98"/>
      <c r="D1253" s="21"/>
      <c r="E1253" s="86"/>
      <c r="F1253" s="99"/>
      <c r="G1253" s="99"/>
      <c r="H1253" s="21"/>
      <c r="I1253" s="86"/>
      <c r="J1253" s="21"/>
      <c r="K1253" s="5" t="str">
        <f>IF(AND(LEN(H1253)=0, LEN(I1253)=0), "", IF(AND(LEN(H1253)&gt;0, LEN(I1253)=0), "BLANCO", IFERROR(VLOOKUP(I1253, BasedatosM9!A:B, 2, FALSE), "BLANCO")))</f>
        <v/>
      </c>
    </row>
    <row r="1254" spans="1:11" ht="14.4">
      <c r="A1254" s="21"/>
      <c r="B1254" s="86"/>
      <c r="C1254" s="98"/>
      <c r="D1254" s="21"/>
      <c r="E1254" s="86"/>
      <c r="F1254" s="99"/>
      <c r="G1254" s="99"/>
      <c r="H1254" s="21"/>
      <c r="I1254" s="86"/>
      <c r="J1254" s="21"/>
      <c r="K1254" s="5" t="str">
        <f>IF(AND(LEN(H1254)=0, LEN(I1254)=0), "", IF(AND(LEN(H1254)&gt;0, LEN(I1254)=0), "BLANCO", IFERROR(VLOOKUP(I1254, BasedatosM9!A:B, 2, FALSE), "BLANCO")))</f>
        <v/>
      </c>
    </row>
    <row r="1255" spans="1:11" ht="14.4">
      <c r="A1255" s="21"/>
      <c r="B1255" s="86"/>
      <c r="C1255" s="98"/>
      <c r="D1255" s="21"/>
      <c r="E1255" s="86"/>
      <c r="F1255" s="99"/>
      <c r="G1255" s="99"/>
      <c r="H1255" s="21"/>
      <c r="I1255" s="86"/>
      <c r="J1255" s="21"/>
      <c r="K1255" s="5" t="str">
        <f>IF(AND(LEN(H1255)=0, LEN(I1255)=0), "", IF(AND(LEN(H1255)&gt;0, LEN(I1255)=0), "BLANCO", IFERROR(VLOOKUP(I1255, BasedatosM9!A:B, 2, FALSE), "BLANCO")))</f>
        <v/>
      </c>
    </row>
    <row r="1256" spans="1:11" ht="14.4">
      <c r="A1256" s="21"/>
      <c r="B1256" s="86"/>
      <c r="C1256" s="98"/>
      <c r="D1256" s="21"/>
      <c r="E1256" s="86"/>
      <c r="F1256" s="99"/>
      <c r="G1256" s="99"/>
      <c r="H1256" s="21"/>
      <c r="I1256" s="86"/>
      <c r="J1256" s="21"/>
      <c r="K1256" s="5" t="str">
        <f>IF(AND(LEN(H1256)=0, LEN(I1256)=0), "", IF(AND(LEN(H1256)&gt;0, LEN(I1256)=0), "BLANCO", IFERROR(VLOOKUP(I1256, BasedatosM9!A:B, 2, FALSE), "BLANCO")))</f>
        <v/>
      </c>
    </row>
    <row r="1257" spans="1:11" ht="14.4">
      <c r="A1257" s="21"/>
      <c r="B1257" s="86"/>
      <c r="C1257" s="98"/>
      <c r="D1257" s="21"/>
      <c r="E1257" s="86"/>
      <c r="F1257" s="99"/>
      <c r="G1257" s="99"/>
      <c r="H1257" s="21"/>
      <c r="I1257" s="86"/>
      <c r="J1257" s="21"/>
      <c r="K1257" s="5" t="str">
        <f>IF(AND(LEN(H1257)=0, LEN(I1257)=0), "", IF(AND(LEN(H1257)&gt;0, LEN(I1257)=0), "BLANCO", IFERROR(VLOOKUP(I1257, BasedatosM9!A:B, 2, FALSE), "BLANCO")))</f>
        <v/>
      </c>
    </row>
    <row r="1258" spans="1:11" ht="14.4">
      <c r="A1258" s="21"/>
      <c r="B1258" s="86"/>
      <c r="C1258" s="98"/>
      <c r="D1258" s="21"/>
      <c r="E1258" s="86"/>
      <c r="F1258" s="99"/>
      <c r="G1258" s="99"/>
      <c r="H1258" s="21"/>
      <c r="I1258" s="86"/>
      <c r="J1258" s="21"/>
      <c r="K1258" s="5" t="str">
        <f>IF(AND(LEN(H1258)=0, LEN(I1258)=0), "", IF(AND(LEN(H1258)&gt;0, LEN(I1258)=0), "BLANCO", IFERROR(VLOOKUP(I1258, BasedatosM9!A:B, 2, FALSE), "BLANCO")))</f>
        <v/>
      </c>
    </row>
    <row r="1259" spans="1:11" ht="14.4">
      <c r="A1259" s="21"/>
      <c r="B1259" s="86"/>
      <c r="C1259" s="98"/>
      <c r="D1259" s="21"/>
      <c r="E1259" s="86"/>
      <c r="F1259" s="99"/>
      <c r="G1259" s="99"/>
      <c r="H1259" s="21"/>
      <c r="I1259" s="86"/>
      <c r="J1259" s="21"/>
      <c r="K1259" s="5" t="str">
        <f>IF(AND(LEN(H1259)=0, LEN(I1259)=0), "", IF(AND(LEN(H1259)&gt;0, LEN(I1259)=0), "BLANCO", IFERROR(VLOOKUP(I1259, BasedatosM9!A:B, 2, FALSE), "BLANCO")))</f>
        <v/>
      </c>
    </row>
    <row r="1260" spans="1:11" ht="14.4">
      <c r="A1260" s="21"/>
      <c r="B1260" s="86"/>
      <c r="C1260" s="98"/>
      <c r="D1260" s="21"/>
      <c r="E1260" s="86"/>
      <c r="F1260" s="99"/>
      <c r="G1260" s="99"/>
      <c r="H1260" s="21"/>
      <c r="I1260" s="86"/>
      <c r="J1260" s="21"/>
      <c r="K1260" s="5" t="str">
        <f>IF(AND(LEN(H1260)=0, LEN(I1260)=0), "", IF(AND(LEN(H1260)&gt;0, LEN(I1260)=0), "BLANCO", IFERROR(VLOOKUP(I1260, BasedatosM9!A:B, 2, FALSE), "BLANCO")))</f>
        <v/>
      </c>
    </row>
    <row r="1261" spans="1:11" ht="14.4">
      <c r="A1261" s="21"/>
      <c r="B1261" s="86"/>
      <c r="C1261" s="98"/>
      <c r="D1261" s="21"/>
      <c r="E1261" s="86"/>
      <c r="F1261" s="99"/>
      <c r="G1261" s="99"/>
      <c r="H1261" s="21"/>
      <c r="I1261" s="86"/>
      <c r="J1261" s="21"/>
      <c r="K1261" s="5" t="str">
        <f>IF(AND(LEN(H1261)=0, LEN(I1261)=0), "", IF(AND(LEN(H1261)&gt;0, LEN(I1261)=0), "BLANCO", IFERROR(VLOOKUP(I1261, BasedatosM9!A:B, 2, FALSE), "BLANCO")))</f>
        <v/>
      </c>
    </row>
    <row r="1262" spans="1:11" ht="14.4">
      <c r="A1262" s="21"/>
      <c r="B1262" s="86"/>
      <c r="C1262" s="98"/>
      <c r="D1262" s="21"/>
      <c r="E1262" s="86"/>
      <c r="F1262" s="99"/>
      <c r="G1262" s="99"/>
      <c r="H1262" s="21"/>
      <c r="I1262" s="86"/>
      <c r="J1262" s="21"/>
      <c r="K1262" s="5" t="str">
        <f>IF(AND(LEN(H1262)=0, LEN(I1262)=0), "", IF(AND(LEN(H1262)&gt;0, LEN(I1262)=0), "BLANCO", IFERROR(VLOOKUP(I1262, BasedatosM9!A:B, 2, FALSE), "BLANCO")))</f>
        <v/>
      </c>
    </row>
    <row r="1263" spans="1:11" ht="14.4">
      <c r="A1263" s="21"/>
      <c r="B1263" s="86"/>
      <c r="C1263" s="98"/>
      <c r="D1263" s="21"/>
      <c r="E1263" s="86"/>
      <c r="F1263" s="99"/>
      <c r="G1263" s="99"/>
      <c r="H1263" s="21"/>
      <c r="I1263" s="86"/>
      <c r="J1263" s="21"/>
      <c r="K1263" s="5" t="str">
        <f>IF(AND(LEN(H1263)=0, LEN(I1263)=0), "", IF(AND(LEN(H1263)&gt;0, LEN(I1263)=0), "BLANCO", IFERROR(VLOOKUP(I1263, BasedatosM9!A:B, 2, FALSE), "BLANCO")))</f>
        <v/>
      </c>
    </row>
    <row r="1264" spans="1:11" ht="14.4">
      <c r="A1264" s="21"/>
      <c r="B1264" s="86"/>
      <c r="C1264" s="98"/>
      <c r="D1264" s="21"/>
      <c r="E1264" s="86"/>
      <c r="F1264" s="99"/>
      <c r="G1264" s="99"/>
      <c r="H1264" s="21"/>
      <c r="I1264" s="86"/>
      <c r="J1264" s="21"/>
      <c r="K1264" s="5" t="str">
        <f>IF(AND(LEN(H1264)=0, LEN(I1264)=0), "", IF(AND(LEN(H1264)&gt;0, LEN(I1264)=0), "BLANCO", IFERROR(VLOOKUP(I1264, BasedatosM9!A:B, 2, FALSE), "BLANCO")))</f>
        <v/>
      </c>
    </row>
    <row r="1265" spans="1:11" ht="14.4">
      <c r="A1265" s="21"/>
      <c r="B1265" s="86"/>
      <c r="C1265" s="98"/>
      <c r="D1265" s="21"/>
      <c r="E1265" s="86"/>
      <c r="F1265" s="99"/>
      <c r="G1265" s="99"/>
      <c r="H1265" s="21"/>
      <c r="I1265" s="86"/>
      <c r="J1265" s="21"/>
      <c r="K1265" s="5" t="str">
        <f>IF(AND(LEN(H1265)=0, LEN(I1265)=0), "", IF(AND(LEN(H1265)&gt;0, LEN(I1265)=0), "BLANCO", IFERROR(VLOOKUP(I1265, BasedatosM9!A:B, 2, FALSE), "BLANCO")))</f>
        <v/>
      </c>
    </row>
    <row r="1266" spans="1:11" ht="14.4">
      <c r="A1266" s="21"/>
      <c r="B1266" s="86"/>
      <c r="C1266" s="98"/>
      <c r="D1266" s="21"/>
      <c r="E1266" s="86"/>
      <c r="F1266" s="99"/>
      <c r="G1266" s="99"/>
      <c r="H1266" s="21"/>
      <c r="I1266" s="86"/>
      <c r="J1266" s="21"/>
      <c r="K1266" s="5" t="str">
        <f>IF(AND(LEN(H1266)=0, LEN(I1266)=0), "", IF(AND(LEN(H1266)&gt;0, LEN(I1266)=0), "BLANCO", IFERROR(VLOOKUP(I1266, BasedatosM9!A:B, 2, FALSE), "BLANCO")))</f>
        <v/>
      </c>
    </row>
    <row r="1267" spans="1:11" ht="14.4">
      <c r="A1267" s="21"/>
      <c r="B1267" s="86"/>
      <c r="C1267" s="98"/>
      <c r="D1267" s="21"/>
      <c r="E1267" s="86"/>
      <c r="F1267" s="99"/>
      <c r="G1267" s="99"/>
      <c r="H1267" s="21"/>
      <c r="I1267" s="86"/>
      <c r="J1267" s="21"/>
      <c r="K1267" s="5" t="str">
        <f>IF(AND(LEN(H1267)=0, LEN(I1267)=0), "", IF(AND(LEN(H1267)&gt;0, LEN(I1267)=0), "BLANCO", IFERROR(VLOOKUP(I1267, BasedatosM9!A:B, 2, FALSE), "BLANCO")))</f>
        <v/>
      </c>
    </row>
    <row r="1268" spans="1:11" ht="14.4">
      <c r="A1268" s="21"/>
      <c r="B1268" s="86"/>
      <c r="C1268" s="98"/>
      <c r="D1268" s="21"/>
      <c r="E1268" s="86"/>
      <c r="F1268" s="99"/>
      <c r="G1268" s="99"/>
      <c r="H1268" s="21"/>
      <c r="I1268" s="86"/>
      <c r="J1268" s="21"/>
      <c r="K1268" s="5" t="str">
        <f>IF(AND(LEN(H1268)=0, LEN(I1268)=0), "", IF(AND(LEN(H1268)&gt;0, LEN(I1268)=0), "BLANCO", IFERROR(VLOOKUP(I1268, BasedatosM9!A:B, 2, FALSE), "BLANCO")))</f>
        <v/>
      </c>
    </row>
    <row r="1269" spans="1:11" ht="14.4">
      <c r="A1269" s="21"/>
      <c r="B1269" s="86"/>
      <c r="C1269" s="98"/>
      <c r="D1269" s="21"/>
      <c r="E1269" s="86"/>
      <c r="F1269" s="99"/>
      <c r="G1269" s="99"/>
      <c r="H1269" s="21"/>
      <c r="I1269" s="86"/>
      <c r="J1269" s="21"/>
      <c r="K1269" s="5" t="str">
        <f>IF(AND(LEN(H1269)=0, LEN(I1269)=0), "", IF(AND(LEN(H1269)&gt;0, LEN(I1269)=0), "BLANCO", IFERROR(VLOOKUP(I1269, BasedatosM9!A:B, 2, FALSE), "BLANCO")))</f>
        <v/>
      </c>
    </row>
    <row r="1270" spans="1:11" ht="14.4">
      <c r="A1270" s="21"/>
      <c r="B1270" s="86"/>
      <c r="C1270" s="98"/>
      <c r="D1270" s="21"/>
      <c r="E1270" s="86"/>
      <c r="F1270" s="99"/>
      <c r="G1270" s="99"/>
      <c r="H1270" s="21"/>
      <c r="I1270" s="86"/>
      <c r="J1270" s="21"/>
      <c r="K1270" s="5" t="str">
        <f>IF(AND(LEN(H1270)=0, LEN(I1270)=0), "", IF(AND(LEN(H1270)&gt;0, LEN(I1270)=0), "BLANCO", IFERROR(VLOOKUP(I1270, BasedatosM9!A:B, 2, FALSE), "BLANCO")))</f>
        <v/>
      </c>
    </row>
    <row r="1271" spans="1:11" ht="14.4">
      <c r="A1271" s="21"/>
      <c r="B1271" s="86"/>
      <c r="C1271" s="98"/>
      <c r="D1271" s="21"/>
      <c r="E1271" s="86"/>
      <c r="F1271" s="99"/>
      <c r="G1271" s="99"/>
      <c r="H1271" s="21"/>
      <c r="I1271" s="86"/>
      <c r="J1271" s="21"/>
      <c r="K1271" s="5" t="str">
        <f>IF(AND(LEN(H1271)=0, LEN(I1271)=0), "", IF(AND(LEN(H1271)&gt;0, LEN(I1271)=0), "BLANCO", IFERROR(VLOOKUP(I1271, BasedatosM9!A:B, 2, FALSE), "BLANCO")))</f>
        <v/>
      </c>
    </row>
    <row r="1272" spans="1:11" ht="14.4">
      <c r="A1272" s="21"/>
      <c r="B1272" s="86"/>
      <c r="C1272" s="98"/>
      <c r="D1272" s="21"/>
      <c r="E1272" s="86"/>
      <c r="F1272" s="99"/>
      <c r="G1272" s="99"/>
      <c r="H1272" s="21"/>
      <c r="I1272" s="86"/>
      <c r="J1272" s="21"/>
      <c r="K1272" s="5" t="str">
        <f>IF(AND(LEN(H1272)=0, LEN(I1272)=0), "", IF(AND(LEN(H1272)&gt;0, LEN(I1272)=0), "BLANCO", IFERROR(VLOOKUP(I1272, BasedatosM9!A:B, 2, FALSE), "BLANCO")))</f>
        <v/>
      </c>
    </row>
    <row r="1273" spans="1:11" ht="14.4">
      <c r="A1273" s="21"/>
      <c r="B1273" s="86"/>
      <c r="C1273" s="98"/>
      <c r="D1273" s="21"/>
      <c r="E1273" s="86"/>
      <c r="F1273" s="99"/>
      <c r="G1273" s="99"/>
      <c r="H1273" s="21"/>
      <c r="I1273" s="86"/>
      <c r="J1273" s="21"/>
      <c r="K1273" s="5" t="str">
        <f>IF(AND(LEN(H1273)=0, LEN(I1273)=0), "", IF(AND(LEN(H1273)&gt;0, LEN(I1273)=0), "BLANCO", IFERROR(VLOOKUP(I1273, BasedatosM9!A:B, 2, FALSE), "BLANCO")))</f>
        <v/>
      </c>
    </row>
    <row r="1274" spans="1:11" ht="14.4">
      <c r="A1274" s="21"/>
      <c r="B1274" s="86"/>
      <c r="C1274" s="98"/>
      <c r="D1274" s="21"/>
      <c r="E1274" s="86"/>
      <c r="F1274" s="99"/>
      <c r="G1274" s="99"/>
      <c r="H1274" s="21"/>
      <c r="I1274" s="86"/>
      <c r="J1274" s="21"/>
      <c r="K1274" s="5" t="str">
        <f>IF(AND(LEN(H1274)=0, LEN(I1274)=0), "", IF(AND(LEN(H1274)&gt;0, LEN(I1274)=0), "BLANCO", IFERROR(VLOOKUP(I1274, BasedatosM9!A:B, 2, FALSE), "BLANCO")))</f>
        <v/>
      </c>
    </row>
    <row r="1275" spans="1:11" ht="14.4">
      <c r="A1275" s="21"/>
      <c r="B1275" s="86"/>
      <c r="C1275" s="98"/>
      <c r="D1275" s="21"/>
      <c r="E1275" s="86"/>
      <c r="F1275" s="99"/>
      <c r="G1275" s="99"/>
      <c r="H1275" s="21"/>
      <c r="I1275" s="86"/>
      <c r="J1275" s="21"/>
      <c r="K1275" s="5" t="str">
        <f>IF(AND(LEN(H1275)=0, LEN(I1275)=0), "", IF(AND(LEN(H1275)&gt;0, LEN(I1275)=0), "BLANCO", IFERROR(VLOOKUP(I1275, BasedatosM9!A:B, 2, FALSE), "BLANCO")))</f>
        <v/>
      </c>
    </row>
    <row r="1276" spans="1:11" ht="14.4">
      <c r="A1276" s="21"/>
      <c r="B1276" s="86"/>
      <c r="C1276" s="98"/>
      <c r="D1276" s="21"/>
      <c r="E1276" s="86"/>
      <c r="F1276" s="99"/>
      <c r="G1276" s="99"/>
      <c r="H1276" s="21"/>
      <c r="I1276" s="86"/>
      <c r="J1276" s="21"/>
      <c r="K1276" s="5" t="str">
        <f>IF(AND(LEN(H1276)=0, LEN(I1276)=0), "", IF(AND(LEN(H1276)&gt;0, LEN(I1276)=0), "BLANCO", IFERROR(VLOOKUP(I1276, BasedatosM9!A:B, 2, FALSE), "BLANCO")))</f>
        <v/>
      </c>
    </row>
    <row r="1277" spans="1:11" ht="14.4">
      <c r="A1277" s="21"/>
      <c r="B1277" s="86"/>
      <c r="C1277" s="98"/>
      <c r="D1277" s="21"/>
      <c r="E1277" s="86"/>
      <c r="F1277" s="99"/>
      <c r="G1277" s="99"/>
      <c r="H1277" s="21"/>
      <c r="I1277" s="86"/>
      <c r="J1277" s="21"/>
      <c r="K1277" s="5" t="str">
        <f>IF(AND(LEN(H1277)=0, LEN(I1277)=0), "", IF(AND(LEN(H1277)&gt;0, LEN(I1277)=0), "BLANCO", IFERROR(VLOOKUP(I1277, BasedatosM9!A:B, 2, FALSE), "BLANCO")))</f>
        <v/>
      </c>
    </row>
    <row r="1278" spans="1:11" ht="14.4">
      <c r="A1278" s="21"/>
      <c r="B1278" s="86"/>
      <c r="C1278" s="98"/>
      <c r="D1278" s="21"/>
      <c r="E1278" s="86"/>
      <c r="F1278" s="99"/>
      <c r="G1278" s="99"/>
      <c r="H1278" s="21"/>
      <c r="I1278" s="86"/>
      <c r="J1278" s="21"/>
      <c r="K1278" s="5" t="str">
        <f>IF(AND(LEN(H1278)=0, LEN(I1278)=0), "", IF(AND(LEN(H1278)&gt;0, LEN(I1278)=0), "BLANCO", IFERROR(VLOOKUP(I1278, BasedatosM9!A:B, 2, FALSE), "BLANCO")))</f>
        <v/>
      </c>
    </row>
    <row r="1279" spans="1:11" ht="14.4">
      <c r="A1279" s="21"/>
      <c r="B1279" s="86"/>
      <c r="C1279" s="98"/>
      <c r="D1279" s="21"/>
      <c r="E1279" s="86"/>
      <c r="F1279" s="99"/>
      <c r="G1279" s="99"/>
      <c r="H1279" s="21"/>
      <c r="I1279" s="86"/>
      <c r="J1279" s="21"/>
      <c r="K1279" s="5" t="str">
        <f>IF(AND(LEN(H1279)=0, LEN(I1279)=0), "", IF(AND(LEN(H1279)&gt;0, LEN(I1279)=0), "BLANCO", IFERROR(VLOOKUP(I1279, BasedatosM9!A:B, 2, FALSE), "BLANCO")))</f>
        <v/>
      </c>
    </row>
    <row r="1280" spans="1:11" ht="14.4">
      <c r="A1280" s="21"/>
      <c r="B1280" s="86"/>
      <c r="C1280" s="98"/>
      <c r="D1280" s="21"/>
      <c r="E1280" s="86"/>
      <c r="F1280" s="99"/>
      <c r="G1280" s="99"/>
      <c r="H1280" s="21"/>
      <c r="I1280" s="86"/>
      <c r="J1280" s="21"/>
      <c r="K1280" s="5" t="str">
        <f>IF(AND(LEN(H1280)=0, LEN(I1280)=0), "", IF(AND(LEN(H1280)&gt;0, LEN(I1280)=0), "BLANCO", IFERROR(VLOOKUP(I1280, BasedatosM9!A:B, 2, FALSE), "BLANCO")))</f>
        <v/>
      </c>
    </row>
    <row r="1281" spans="1:11" ht="14.4">
      <c r="A1281" s="21"/>
      <c r="B1281" s="86"/>
      <c r="C1281" s="98"/>
      <c r="D1281" s="21"/>
      <c r="E1281" s="86"/>
      <c r="F1281" s="99"/>
      <c r="G1281" s="99"/>
      <c r="H1281" s="21"/>
      <c r="I1281" s="86"/>
      <c r="J1281" s="21"/>
      <c r="K1281" s="5" t="str">
        <f>IF(AND(LEN(H1281)=0, LEN(I1281)=0), "", IF(AND(LEN(H1281)&gt;0, LEN(I1281)=0), "BLANCO", IFERROR(VLOOKUP(I1281, BasedatosM9!A:B, 2, FALSE), "BLANCO")))</f>
        <v/>
      </c>
    </row>
    <row r="1282" spans="1:11" ht="14.4">
      <c r="A1282" s="21"/>
      <c r="B1282" s="86"/>
      <c r="C1282" s="98"/>
      <c r="D1282" s="21"/>
      <c r="E1282" s="86"/>
      <c r="F1282" s="99"/>
      <c r="G1282" s="99"/>
      <c r="H1282" s="21"/>
      <c r="I1282" s="21"/>
      <c r="J1282" s="21"/>
      <c r="K1282" s="5" t="str">
        <f>IF(AND(LEN(H1282)=0, LEN(I1282)=0), "", IF(AND(LEN(H1282)&gt;0, LEN(I1282)=0), "BLANCO", IFERROR(VLOOKUP(I1282, BasedatosM9!A:B, 2, FALSE), "BLANCO")))</f>
        <v/>
      </c>
    </row>
    <row r="1283" spans="1:11" ht="14.4">
      <c r="A1283" s="21"/>
      <c r="B1283" s="86"/>
      <c r="C1283" s="98"/>
      <c r="D1283" s="21"/>
      <c r="E1283" s="86"/>
      <c r="F1283" s="99"/>
      <c r="G1283" s="99"/>
      <c r="H1283" s="21"/>
      <c r="I1283" s="86"/>
      <c r="J1283" s="21"/>
      <c r="K1283" s="5" t="str">
        <f>IF(AND(LEN(H1283)=0, LEN(I1283)=0), "", IF(AND(LEN(H1283)&gt;0, LEN(I1283)=0), "BLANCO", IFERROR(VLOOKUP(I1283, BasedatosM9!A:B, 2, FALSE), "BLANCO")))</f>
        <v/>
      </c>
    </row>
    <row r="1284" spans="1:11" ht="14.4">
      <c r="A1284" s="21"/>
      <c r="B1284" s="86"/>
      <c r="C1284" s="98"/>
      <c r="D1284" s="21"/>
      <c r="E1284" s="86"/>
      <c r="F1284" s="99"/>
      <c r="G1284" s="99"/>
      <c r="H1284" s="21"/>
      <c r="I1284" s="86"/>
      <c r="J1284" s="21"/>
      <c r="K1284" s="5" t="str">
        <f>IF(AND(LEN(H1284)=0, LEN(I1284)=0), "", IF(AND(LEN(H1284)&gt;0, LEN(I1284)=0), "BLANCO", IFERROR(VLOOKUP(I1284, BasedatosM9!A:B, 2, FALSE), "BLANCO")))</f>
        <v/>
      </c>
    </row>
    <row r="1285" spans="1:11" ht="14.4">
      <c r="A1285" s="21"/>
      <c r="B1285" s="86"/>
      <c r="C1285" s="98"/>
      <c r="D1285" s="21"/>
      <c r="E1285" s="86"/>
      <c r="F1285" s="99"/>
      <c r="G1285" s="99"/>
      <c r="H1285" s="21"/>
      <c r="I1285" s="86"/>
      <c r="J1285" s="21"/>
      <c r="K1285" s="5" t="str">
        <f>IF(AND(LEN(H1285)=0, LEN(I1285)=0), "", IF(AND(LEN(H1285)&gt;0, LEN(I1285)=0), "BLANCO", IFERROR(VLOOKUP(I1285, BasedatosM9!A:B, 2, FALSE), "BLANCO")))</f>
        <v/>
      </c>
    </row>
    <row r="1286" spans="1:11" ht="14.4">
      <c r="A1286" s="21"/>
      <c r="B1286" s="86"/>
      <c r="C1286" s="98"/>
      <c r="D1286" s="21"/>
      <c r="E1286" s="86"/>
      <c r="F1286" s="99"/>
      <c r="G1286" s="99"/>
      <c r="H1286" s="21"/>
      <c r="I1286" s="86"/>
      <c r="J1286" s="21"/>
      <c r="K1286" s="5" t="str">
        <f>IF(AND(LEN(H1286)=0, LEN(I1286)=0), "", IF(AND(LEN(H1286)&gt;0, LEN(I1286)=0), "BLANCO", IFERROR(VLOOKUP(I1286, BasedatosM9!A:B, 2, FALSE), "BLANCO")))</f>
        <v/>
      </c>
    </row>
    <row r="1287" spans="1:11" ht="14.4">
      <c r="A1287" s="21"/>
      <c r="B1287" s="86"/>
      <c r="C1287" s="98"/>
      <c r="D1287" s="21"/>
      <c r="E1287" s="86"/>
      <c r="F1287" s="99"/>
      <c r="G1287" s="99"/>
      <c r="H1287" s="21"/>
      <c r="I1287" s="86"/>
      <c r="J1287" s="21"/>
      <c r="K1287" s="5" t="str">
        <f>IF(AND(LEN(H1287)=0, LEN(I1287)=0), "", IF(AND(LEN(H1287)&gt;0, LEN(I1287)=0), "BLANCO", IFERROR(VLOOKUP(I1287, BasedatosM9!A:B, 2, FALSE), "BLANCO")))</f>
        <v/>
      </c>
    </row>
    <row r="1288" spans="1:11" ht="14.4">
      <c r="A1288" s="21"/>
      <c r="B1288" s="86"/>
      <c r="C1288" s="98"/>
      <c r="D1288" s="21"/>
      <c r="E1288" s="86"/>
      <c r="F1288" s="99"/>
      <c r="G1288" s="99"/>
      <c r="H1288" s="21"/>
      <c r="I1288" s="86"/>
      <c r="J1288" s="21"/>
      <c r="K1288" s="5" t="str">
        <f>IF(AND(LEN(H1288)=0, LEN(I1288)=0), "", IF(AND(LEN(H1288)&gt;0, LEN(I1288)=0), "BLANCO", IFERROR(VLOOKUP(I1288, BasedatosM9!A:B, 2, FALSE), "BLANCO")))</f>
        <v/>
      </c>
    </row>
    <row r="1289" spans="1:11" ht="14.4">
      <c r="A1289" s="21"/>
      <c r="B1289" s="86"/>
      <c r="C1289" s="98"/>
      <c r="D1289" s="21"/>
      <c r="E1289" s="86"/>
      <c r="F1289" s="99"/>
      <c r="G1289" s="99"/>
      <c r="H1289" s="21"/>
      <c r="I1289" s="21"/>
      <c r="J1289" s="21"/>
      <c r="K1289" s="5" t="str">
        <f>IF(AND(LEN(H1289)=0, LEN(I1289)=0), "", IF(AND(LEN(H1289)&gt;0, LEN(I1289)=0), "BLANCO", IFERROR(VLOOKUP(I1289, BasedatosM9!A:B, 2, FALSE), "BLANCO")))</f>
        <v/>
      </c>
    </row>
    <row r="1290" spans="1:11" ht="14.4">
      <c r="A1290" s="21"/>
      <c r="B1290" s="86"/>
      <c r="C1290" s="98"/>
      <c r="D1290" s="21"/>
      <c r="E1290" s="86"/>
      <c r="F1290" s="99"/>
      <c r="G1290" s="99"/>
      <c r="H1290" s="21"/>
      <c r="I1290" s="86"/>
      <c r="J1290" s="21"/>
      <c r="K1290" s="5" t="str">
        <f>IF(AND(LEN(H1290)=0, LEN(I1290)=0), "", IF(AND(LEN(H1290)&gt;0, LEN(I1290)=0), "BLANCO", IFERROR(VLOOKUP(I1290, BasedatosM9!A:B, 2, FALSE), "BLANCO")))</f>
        <v/>
      </c>
    </row>
    <row r="1291" spans="1:11" ht="14.4">
      <c r="A1291" s="21"/>
      <c r="B1291" s="86"/>
      <c r="C1291" s="98"/>
      <c r="D1291" s="21"/>
      <c r="E1291" s="86"/>
      <c r="F1291" s="99"/>
      <c r="G1291" s="99"/>
      <c r="H1291" s="21"/>
      <c r="I1291" s="86"/>
      <c r="J1291" s="21"/>
      <c r="K1291" s="5" t="str">
        <f>IF(AND(LEN(H1291)=0, LEN(I1291)=0), "", IF(AND(LEN(H1291)&gt;0, LEN(I1291)=0), "BLANCO", IFERROR(VLOOKUP(I1291, BasedatosM9!A:B, 2, FALSE), "BLANCO")))</f>
        <v/>
      </c>
    </row>
    <row r="1292" spans="1:11" ht="14.4">
      <c r="A1292" s="21"/>
      <c r="B1292" s="86"/>
      <c r="C1292" s="98"/>
      <c r="D1292" s="21"/>
      <c r="E1292" s="86"/>
      <c r="F1292" s="99"/>
      <c r="G1292" s="99"/>
      <c r="H1292" s="21"/>
      <c r="I1292" s="86"/>
      <c r="J1292" s="21"/>
      <c r="K1292" s="5" t="str">
        <f>IF(AND(LEN(H1292)=0, LEN(I1292)=0), "", IF(AND(LEN(H1292)&gt;0, LEN(I1292)=0), "BLANCO", IFERROR(VLOOKUP(I1292, BasedatosM9!A:B, 2, FALSE), "BLANCO")))</f>
        <v/>
      </c>
    </row>
    <row r="1293" spans="1:11" ht="14.4">
      <c r="A1293" s="21"/>
      <c r="B1293" s="86"/>
      <c r="C1293" s="98"/>
      <c r="D1293" s="21"/>
      <c r="E1293" s="86"/>
      <c r="F1293" s="99"/>
      <c r="G1293" s="99"/>
      <c r="H1293" s="21"/>
      <c r="I1293" s="86"/>
      <c r="J1293" s="21"/>
      <c r="K1293" s="5" t="str">
        <f>IF(AND(LEN(H1293)=0, LEN(I1293)=0), "", IF(AND(LEN(H1293)&gt;0, LEN(I1293)=0), "BLANCO", IFERROR(VLOOKUP(I1293, BasedatosM9!A:B, 2, FALSE), "BLANCO")))</f>
        <v/>
      </c>
    </row>
    <row r="1294" spans="1:11" ht="14.4">
      <c r="A1294" s="21"/>
      <c r="B1294" s="86"/>
      <c r="C1294" s="98"/>
      <c r="D1294" s="21"/>
      <c r="E1294" s="86"/>
      <c r="F1294" s="99"/>
      <c r="G1294" s="99"/>
      <c r="H1294" s="21"/>
      <c r="I1294" s="21"/>
      <c r="J1294" s="21"/>
      <c r="K1294" s="5" t="str">
        <f>IF(AND(LEN(H1294)=0, LEN(I1294)=0), "", IF(AND(LEN(H1294)&gt;0, LEN(I1294)=0), "BLANCO", IFERROR(VLOOKUP(I1294, BasedatosM9!A:B, 2, FALSE), "BLANCO")))</f>
        <v/>
      </c>
    </row>
    <row r="1295" spans="1:11" ht="14.4">
      <c r="A1295" s="21"/>
      <c r="B1295" s="86"/>
      <c r="C1295" s="98"/>
      <c r="D1295" s="21"/>
      <c r="E1295" s="86"/>
      <c r="F1295" s="99"/>
      <c r="G1295" s="99"/>
      <c r="H1295" s="21"/>
      <c r="I1295" s="86"/>
      <c r="J1295" s="21"/>
      <c r="K1295" s="5" t="str">
        <f>IF(AND(LEN(H1295)=0, LEN(I1295)=0), "", IF(AND(LEN(H1295)&gt;0, LEN(I1295)=0), "BLANCO", IFERROR(VLOOKUP(I1295, BasedatosM9!A:B, 2, FALSE), "BLANCO")))</f>
        <v/>
      </c>
    </row>
    <row r="1296" spans="1:11" ht="14.4">
      <c r="A1296" s="21"/>
      <c r="B1296" s="86"/>
      <c r="C1296" s="98"/>
      <c r="D1296" s="21"/>
      <c r="E1296" s="86"/>
      <c r="F1296" s="99"/>
      <c r="G1296" s="99"/>
      <c r="H1296" s="21"/>
      <c r="I1296" s="86"/>
      <c r="J1296" s="21"/>
      <c r="K1296" s="5" t="str">
        <f>IF(AND(LEN(H1296)=0, LEN(I1296)=0), "", IF(AND(LEN(H1296)&gt;0, LEN(I1296)=0), "BLANCO", IFERROR(VLOOKUP(I1296, BasedatosM9!A:B, 2, FALSE), "BLANCO")))</f>
        <v/>
      </c>
    </row>
    <row r="1297" spans="1:11" ht="14.4">
      <c r="A1297" s="21"/>
      <c r="B1297" s="86"/>
      <c r="C1297" s="98"/>
      <c r="D1297" s="21"/>
      <c r="E1297" s="86"/>
      <c r="F1297" s="99"/>
      <c r="G1297" s="99"/>
      <c r="H1297" s="21"/>
      <c r="I1297" s="21"/>
      <c r="J1297" s="21"/>
      <c r="K1297" s="5" t="str">
        <f>IF(AND(LEN(H1297)=0, LEN(I1297)=0), "", IF(AND(LEN(H1297)&gt;0, LEN(I1297)=0), "BLANCO", IFERROR(VLOOKUP(I1297, BasedatosM9!A:B, 2, FALSE), "BLANCO")))</f>
        <v/>
      </c>
    </row>
    <row r="1298" spans="1:11" ht="14.4">
      <c r="A1298" s="21"/>
      <c r="B1298" s="86"/>
      <c r="C1298" s="98"/>
      <c r="D1298" s="21"/>
      <c r="E1298" s="86"/>
      <c r="F1298" s="99"/>
      <c r="G1298" s="99"/>
      <c r="H1298" s="21"/>
      <c r="I1298" s="21"/>
      <c r="J1298" s="21"/>
      <c r="K1298" s="5" t="str">
        <f>IF(AND(LEN(H1298)=0, LEN(I1298)=0), "", IF(AND(LEN(H1298)&gt;0, LEN(I1298)=0), "BLANCO", IFERROR(VLOOKUP(I1298, BasedatosM9!A:B, 2, FALSE), "BLANCO")))</f>
        <v/>
      </c>
    </row>
    <row r="1299" spans="1:11" ht="14.4">
      <c r="A1299" s="21"/>
      <c r="B1299" s="86"/>
      <c r="C1299" s="98"/>
      <c r="D1299" s="21"/>
      <c r="E1299" s="86"/>
      <c r="F1299" s="99"/>
      <c r="G1299" s="99"/>
      <c r="H1299" s="21"/>
      <c r="I1299" s="86"/>
      <c r="J1299" s="21"/>
      <c r="K1299" s="5" t="str">
        <f>IF(AND(LEN(H1299)=0, LEN(I1299)=0), "", IF(AND(LEN(H1299)&gt;0, LEN(I1299)=0), "BLANCO", IFERROR(VLOOKUP(I1299, BasedatosM9!A:B, 2, FALSE), "BLANCO")))</f>
        <v/>
      </c>
    </row>
    <row r="1300" spans="1:11" ht="14.4">
      <c r="A1300" s="21"/>
      <c r="B1300" s="86"/>
      <c r="C1300" s="98"/>
      <c r="D1300" s="21"/>
      <c r="E1300" s="86"/>
      <c r="F1300" s="99"/>
      <c r="G1300" s="99"/>
      <c r="H1300" s="21"/>
      <c r="I1300" s="86"/>
      <c r="J1300" s="21"/>
      <c r="K1300" s="5" t="str">
        <f>IF(AND(LEN(H1300)=0, LEN(I1300)=0), "", IF(AND(LEN(H1300)&gt;0, LEN(I1300)=0), "BLANCO", IFERROR(VLOOKUP(I1300, BasedatosM9!A:B, 2, FALSE), "BLANCO")))</f>
        <v/>
      </c>
    </row>
    <row r="1301" spans="1:11" ht="14.4">
      <c r="A1301" s="21"/>
      <c r="B1301" s="86"/>
      <c r="C1301" s="98"/>
      <c r="D1301" s="21"/>
      <c r="E1301" s="86"/>
      <c r="F1301" s="99"/>
      <c r="G1301" s="99"/>
      <c r="H1301" s="21"/>
      <c r="I1301" s="86"/>
      <c r="J1301" s="21"/>
      <c r="K1301" s="5" t="str">
        <f>IF(AND(LEN(H1301)=0, LEN(I1301)=0), "", IF(AND(LEN(H1301)&gt;0, LEN(I1301)=0), "BLANCO", IFERROR(VLOOKUP(I1301, BasedatosM9!A:B, 2, FALSE), "BLANCO")))</f>
        <v/>
      </c>
    </row>
    <row r="1302" spans="1:11" ht="14.4">
      <c r="A1302" s="21"/>
      <c r="B1302" s="86"/>
      <c r="C1302" s="98"/>
      <c r="D1302" s="21"/>
      <c r="E1302" s="86"/>
      <c r="F1302" s="99"/>
      <c r="G1302" s="99"/>
      <c r="H1302" s="21"/>
      <c r="I1302" s="86"/>
      <c r="J1302" s="21"/>
      <c r="K1302" s="5" t="str">
        <f>IF(AND(LEN(H1302)=0, LEN(I1302)=0), "", IF(AND(LEN(H1302)&gt;0, LEN(I1302)=0), "BLANCO", IFERROR(VLOOKUP(I1302, BasedatosM9!A:B, 2, FALSE), "BLANCO")))</f>
        <v/>
      </c>
    </row>
    <row r="1303" spans="1:11" ht="14.4">
      <c r="A1303" s="21"/>
      <c r="B1303" s="86"/>
      <c r="C1303" s="98"/>
      <c r="D1303" s="21"/>
      <c r="E1303" s="86"/>
      <c r="F1303" s="99"/>
      <c r="G1303" s="99"/>
      <c r="H1303" s="21"/>
      <c r="I1303" s="21"/>
      <c r="J1303" s="21"/>
      <c r="K1303" s="5" t="str">
        <f>IF(AND(LEN(H1303)=0, LEN(I1303)=0), "", IF(AND(LEN(H1303)&gt;0, LEN(I1303)=0), "BLANCO", IFERROR(VLOOKUP(I1303, BasedatosM9!A:B, 2, FALSE), "BLANCO")))</f>
        <v/>
      </c>
    </row>
    <row r="1304" spans="1:11" ht="14.4">
      <c r="A1304" s="21"/>
      <c r="B1304" s="86"/>
      <c r="C1304" s="98"/>
      <c r="D1304" s="21"/>
      <c r="E1304" s="86"/>
      <c r="F1304" s="99"/>
      <c r="G1304" s="99"/>
      <c r="H1304" s="21"/>
      <c r="I1304" s="86"/>
      <c r="J1304" s="21"/>
      <c r="K1304" s="5" t="str">
        <f>IF(AND(LEN(H1304)=0, LEN(I1304)=0), "", IF(AND(LEN(H1304)&gt;0, LEN(I1304)=0), "BLANCO", IFERROR(VLOOKUP(I1304, BasedatosM9!A:B, 2, FALSE), "BLANCO")))</f>
        <v/>
      </c>
    </row>
    <row r="1305" spans="1:11" ht="14.4">
      <c r="A1305" s="21"/>
      <c r="B1305" s="86"/>
      <c r="C1305" s="98"/>
      <c r="D1305" s="21"/>
      <c r="E1305" s="86"/>
      <c r="F1305" s="99"/>
      <c r="G1305" s="99"/>
      <c r="H1305" s="21"/>
      <c r="I1305" s="86"/>
      <c r="J1305" s="21"/>
      <c r="K1305" s="5" t="str">
        <f>IF(AND(LEN(H1305)=0, LEN(I1305)=0), "", IF(AND(LEN(H1305)&gt;0, LEN(I1305)=0), "BLANCO", IFERROR(VLOOKUP(I1305, BasedatosM9!A:B, 2, FALSE), "BLANCO")))</f>
        <v/>
      </c>
    </row>
    <row r="1306" spans="1:11" ht="14.4">
      <c r="A1306" s="21"/>
      <c r="B1306" s="86"/>
      <c r="C1306" s="98"/>
      <c r="D1306" s="21"/>
      <c r="E1306" s="86"/>
      <c r="F1306" s="99"/>
      <c r="G1306" s="99"/>
      <c r="H1306" s="21"/>
      <c r="I1306" s="86"/>
      <c r="J1306" s="21"/>
      <c r="K1306" s="5" t="str">
        <f>IF(AND(LEN(H1306)=0, LEN(I1306)=0), "", IF(AND(LEN(H1306)&gt;0, LEN(I1306)=0), "BLANCO", IFERROR(VLOOKUP(I1306, BasedatosM9!A:B, 2, FALSE), "BLANCO")))</f>
        <v/>
      </c>
    </row>
    <row r="1307" spans="1:11" ht="14.4">
      <c r="A1307" s="21"/>
      <c r="B1307" s="86"/>
      <c r="C1307" s="98"/>
      <c r="D1307" s="21"/>
      <c r="E1307" s="86"/>
      <c r="F1307" s="99"/>
      <c r="G1307" s="99"/>
      <c r="H1307" s="21"/>
      <c r="I1307" s="86"/>
      <c r="J1307" s="21"/>
      <c r="K1307" s="5" t="str">
        <f>IF(AND(LEN(H1307)=0, LEN(I1307)=0), "", IF(AND(LEN(H1307)&gt;0, LEN(I1307)=0), "BLANCO", IFERROR(VLOOKUP(I1307, BasedatosM9!A:B, 2, FALSE), "BLANCO")))</f>
        <v/>
      </c>
    </row>
    <row r="1308" spans="1:11" ht="14.4">
      <c r="A1308" s="21"/>
      <c r="B1308" s="86"/>
      <c r="C1308" s="98"/>
      <c r="D1308" s="21"/>
      <c r="E1308" s="86"/>
      <c r="F1308" s="99"/>
      <c r="G1308" s="99"/>
      <c r="H1308" s="21"/>
      <c r="I1308" s="86"/>
      <c r="J1308" s="21"/>
      <c r="K1308" s="5" t="str">
        <f>IF(AND(LEN(H1308)=0, LEN(I1308)=0), "", IF(AND(LEN(H1308)&gt;0, LEN(I1308)=0), "BLANCO", IFERROR(VLOOKUP(I1308, BasedatosM9!A:B, 2, FALSE), "BLANCO")))</f>
        <v/>
      </c>
    </row>
    <row r="1309" spans="1:11" ht="14.4">
      <c r="A1309" s="21"/>
      <c r="B1309" s="86"/>
      <c r="C1309" s="98"/>
      <c r="D1309" s="21"/>
      <c r="E1309" s="86"/>
      <c r="F1309" s="99"/>
      <c r="G1309" s="99"/>
      <c r="H1309" s="21"/>
      <c r="I1309" s="86"/>
      <c r="J1309" s="21"/>
      <c r="K1309" s="5" t="str">
        <f>IF(AND(LEN(H1309)=0, LEN(I1309)=0), "", IF(AND(LEN(H1309)&gt;0, LEN(I1309)=0), "BLANCO", IFERROR(VLOOKUP(I1309, BasedatosM9!A:B, 2, FALSE), "BLANCO")))</f>
        <v/>
      </c>
    </row>
    <row r="1310" spans="1:11" ht="14.4">
      <c r="A1310" s="21"/>
      <c r="B1310" s="86"/>
      <c r="C1310" s="98"/>
      <c r="D1310" s="21"/>
      <c r="E1310" s="86"/>
      <c r="F1310" s="99"/>
      <c r="G1310" s="99"/>
      <c r="H1310" s="21"/>
      <c r="I1310" s="86"/>
      <c r="J1310" s="21"/>
      <c r="K1310" s="5" t="str">
        <f>IF(AND(LEN(H1310)=0, LEN(I1310)=0), "", IF(AND(LEN(H1310)&gt;0, LEN(I1310)=0), "BLANCO", IFERROR(VLOOKUP(I1310, BasedatosM9!A:B, 2, FALSE), "BLANCO")))</f>
        <v/>
      </c>
    </row>
    <row r="1311" spans="1:11" ht="14.4">
      <c r="A1311" s="21"/>
      <c r="B1311" s="86"/>
      <c r="C1311" s="98"/>
      <c r="D1311" s="21"/>
      <c r="E1311" s="86"/>
      <c r="F1311" s="99"/>
      <c r="G1311" s="99"/>
      <c r="H1311" s="21"/>
      <c r="I1311" s="86"/>
      <c r="J1311" s="21"/>
      <c r="K1311" s="5" t="str">
        <f>IF(AND(LEN(H1311)=0, LEN(I1311)=0), "", IF(AND(LEN(H1311)&gt;0, LEN(I1311)=0), "BLANCO", IFERROR(VLOOKUP(I1311, BasedatosM9!A:B, 2, FALSE), "BLANCO")))</f>
        <v/>
      </c>
    </row>
    <row r="1312" spans="1:11" ht="14.4">
      <c r="A1312" s="21"/>
      <c r="B1312" s="86"/>
      <c r="C1312" s="98"/>
      <c r="D1312" s="21"/>
      <c r="E1312" s="86"/>
      <c r="F1312" s="99"/>
      <c r="G1312" s="99"/>
      <c r="H1312" s="21"/>
      <c r="I1312" s="21"/>
      <c r="J1312" s="21"/>
      <c r="K1312" s="5" t="str">
        <f>IF(AND(LEN(H1312)=0, LEN(I1312)=0), "", IF(AND(LEN(H1312)&gt;0, LEN(I1312)=0), "BLANCO", IFERROR(VLOOKUP(I1312, BasedatosM9!A:B, 2, FALSE), "BLANCO")))</f>
        <v/>
      </c>
    </row>
    <row r="1313" spans="1:11" ht="14.4">
      <c r="A1313" s="21"/>
      <c r="B1313" s="86"/>
      <c r="C1313" s="98"/>
      <c r="D1313" s="21"/>
      <c r="E1313" s="86"/>
      <c r="F1313" s="99"/>
      <c r="G1313" s="99"/>
      <c r="H1313" s="21"/>
      <c r="I1313" s="21"/>
      <c r="J1313" s="21"/>
      <c r="K1313" s="5" t="str">
        <f>IF(AND(LEN(H1313)=0, LEN(I1313)=0), "", IF(AND(LEN(H1313)&gt;0, LEN(I1313)=0), "BLANCO", IFERROR(VLOOKUP(I1313, BasedatosM9!A:B, 2, FALSE), "BLANCO")))</f>
        <v/>
      </c>
    </row>
    <row r="1314" spans="1:11" ht="14.4">
      <c r="A1314" s="21"/>
      <c r="B1314" s="86"/>
      <c r="C1314" s="98"/>
      <c r="D1314" s="21"/>
      <c r="E1314" s="86"/>
      <c r="F1314" s="99"/>
      <c r="G1314" s="99"/>
      <c r="H1314" s="21"/>
      <c r="I1314" s="21"/>
      <c r="J1314" s="21"/>
      <c r="K1314" s="5" t="str">
        <f>IF(AND(LEN(H1314)=0, LEN(I1314)=0), "", IF(AND(LEN(H1314)&gt;0, LEN(I1314)=0), "BLANCO", IFERROR(VLOOKUP(I1314, BasedatosM9!A:B, 2, FALSE), "BLANCO")))</f>
        <v/>
      </c>
    </row>
    <row r="1315" spans="1:11" ht="14.4">
      <c r="A1315" s="21"/>
      <c r="B1315" s="86"/>
      <c r="C1315" s="98"/>
      <c r="D1315" s="21"/>
      <c r="E1315" s="86"/>
      <c r="F1315" s="99"/>
      <c r="G1315" s="99"/>
      <c r="H1315" s="21"/>
      <c r="I1315" s="86"/>
      <c r="J1315" s="21"/>
      <c r="K1315" s="5" t="str">
        <f>IF(AND(LEN(H1315)=0, LEN(I1315)=0), "", IF(AND(LEN(H1315)&gt;0, LEN(I1315)=0), "BLANCO", IFERROR(VLOOKUP(I1315, BasedatosM9!A:B, 2, FALSE), "BLANCO")))</f>
        <v/>
      </c>
    </row>
    <row r="1316" spans="1:11" ht="14.4">
      <c r="A1316" s="21"/>
      <c r="B1316" s="86"/>
      <c r="C1316" s="98"/>
      <c r="D1316" s="21"/>
      <c r="E1316" s="86"/>
      <c r="F1316" s="99"/>
      <c r="G1316" s="99"/>
      <c r="H1316" s="21"/>
      <c r="I1316" s="21"/>
      <c r="J1316" s="21"/>
      <c r="K1316" s="5" t="str">
        <f>IF(AND(LEN(H1316)=0, LEN(I1316)=0), "", IF(AND(LEN(H1316)&gt;0, LEN(I1316)=0), "BLANCO", IFERROR(VLOOKUP(I1316, BasedatosM9!A:B, 2, FALSE), "BLANCO")))</f>
        <v/>
      </c>
    </row>
    <row r="1317" spans="1:11" ht="14.4">
      <c r="A1317" s="21"/>
      <c r="B1317" s="86"/>
      <c r="C1317" s="98"/>
      <c r="D1317" s="21"/>
      <c r="E1317" s="86"/>
      <c r="F1317" s="99"/>
      <c r="G1317" s="99"/>
      <c r="H1317" s="21"/>
      <c r="I1317" s="86"/>
      <c r="J1317" s="21"/>
      <c r="K1317" s="5" t="str">
        <f>IF(AND(LEN(H1317)=0, LEN(I1317)=0), "", IF(AND(LEN(H1317)&gt;0, LEN(I1317)=0), "BLANCO", IFERROR(VLOOKUP(I1317, BasedatosM9!A:B, 2, FALSE), "BLANCO")))</f>
        <v/>
      </c>
    </row>
    <row r="1318" spans="1:11" ht="14.4">
      <c r="A1318" s="21"/>
      <c r="B1318" s="86"/>
      <c r="C1318" s="98"/>
      <c r="D1318" s="21"/>
      <c r="E1318" s="86"/>
      <c r="F1318" s="99"/>
      <c r="G1318" s="99"/>
      <c r="H1318" s="21"/>
      <c r="I1318" s="86"/>
      <c r="J1318" s="21"/>
      <c r="K1318" s="5" t="str">
        <f>IF(AND(LEN(H1318)=0, LEN(I1318)=0), "", IF(AND(LEN(H1318)&gt;0, LEN(I1318)=0), "BLANCO", IFERROR(VLOOKUP(I1318, BasedatosM9!A:B, 2, FALSE), "BLANCO")))</f>
        <v/>
      </c>
    </row>
    <row r="1319" spans="1:11" ht="14.4">
      <c r="A1319" s="21"/>
      <c r="B1319" s="86"/>
      <c r="C1319" s="98"/>
      <c r="D1319" s="21"/>
      <c r="E1319" s="86"/>
      <c r="F1319" s="99"/>
      <c r="G1319" s="99"/>
      <c r="H1319" s="21"/>
      <c r="I1319" s="21"/>
      <c r="J1319" s="21"/>
      <c r="K1319" s="5" t="str">
        <f>IF(AND(LEN(H1319)=0, LEN(I1319)=0), "", IF(AND(LEN(H1319)&gt;0, LEN(I1319)=0), "BLANCO", IFERROR(VLOOKUP(I1319, BasedatosM9!A:B, 2, FALSE), "BLANCO")))</f>
        <v/>
      </c>
    </row>
    <row r="1320" spans="1:11" ht="14.4">
      <c r="A1320" s="21"/>
      <c r="B1320" s="86"/>
      <c r="C1320" s="98"/>
      <c r="D1320" s="21"/>
      <c r="E1320" s="86"/>
      <c r="F1320" s="99"/>
      <c r="G1320" s="99"/>
      <c r="H1320" s="21"/>
      <c r="I1320" s="21"/>
      <c r="J1320" s="21"/>
      <c r="K1320" s="5" t="str">
        <f>IF(AND(LEN(H1320)=0, LEN(I1320)=0), "", IF(AND(LEN(H1320)&gt;0, LEN(I1320)=0), "BLANCO", IFERROR(VLOOKUP(I1320, BasedatosM9!A:B, 2, FALSE), "BLANCO")))</f>
        <v/>
      </c>
    </row>
    <row r="1321" spans="1:11" ht="14.4">
      <c r="A1321" s="21"/>
      <c r="B1321" s="86"/>
      <c r="C1321" s="98"/>
      <c r="D1321" s="21"/>
      <c r="E1321" s="86"/>
      <c r="F1321" s="99"/>
      <c r="G1321" s="99"/>
      <c r="H1321" s="21"/>
      <c r="I1321" s="21"/>
      <c r="J1321" s="21"/>
      <c r="K1321" s="5" t="str">
        <f>IF(AND(LEN(H1321)=0, LEN(I1321)=0), "", IF(AND(LEN(H1321)&gt;0, LEN(I1321)=0), "BLANCO", IFERROR(VLOOKUP(I1321, BasedatosM9!A:B, 2, FALSE), "BLANCO")))</f>
        <v/>
      </c>
    </row>
    <row r="1322" spans="1:11" ht="14.4">
      <c r="A1322" s="21"/>
      <c r="B1322" s="86"/>
      <c r="C1322" s="98"/>
      <c r="D1322" s="21"/>
      <c r="E1322" s="86"/>
      <c r="F1322" s="99"/>
      <c r="G1322" s="99"/>
      <c r="H1322" s="21"/>
      <c r="I1322" s="86"/>
      <c r="J1322" s="21"/>
      <c r="K1322" s="5" t="str">
        <f>IF(AND(LEN(H1322)=0, LEN(I1322)=0), "", IF(AND(LEN(H1322)&gt;0, LEN(I1322)=0), "BLANCO", IFERROR(VLOOKUP(I1322, BasedatosM9!A:B, 2, FALSE), "BLANCO")))</f>
        <v/>
      </c>
    </row>
    <row r="1323" spans="1:11" ht="14.4">
      <c r="A1323" s="21"/>
      <c r="B1323" s="86"/>
      <c r="C1323" s="98"/>
      <c r="D1323" s="21"/>
      <c r="E1323" s="86"/>
      <c r="F1323" s="99"/>
      <c r="G1323" s="99"/>
      <c r="H1323" s="21"/>
      <c r="I1323" s="21"/>
      <c r="J1323" s="21"/>
      <c r="K1323" s="5" t="str">
        <f>IF(AND(LEN(H1323)=0, LEN(I1323)=0), "", IF(AND(LEN(H1323)&gt;0, LEN(I1323)=0), "BLANCO", IFERROR(VLOOKUP(I1323, BasedatosM9!A:B, 2, FALSE), "BLANCO")))</f>
        <v/>
      </c>
    </row>
    <row r="1324" spans="1:11" ht="14.4">
      <c r="A1324" s="21"/>
      <c r="B1324" s="86"/>
      <c r="C1324" s="98"/>
      <c r="D1324" s="21"/>
      <c r="E1324" s="86"/>
      <c r="F1324" s="99"/>
      <c r="G1324" s="99"/>
      <c r="H1324" s="21"/>
      <c r="I1324" s="21"/>
      <c r="J1324" s="21"/>
      <c r="K1324" s="5" t="str">
        <f>IF(AND(LEN(H1324)=0, LEN(I1324)=0), "", IF(AND(LEN(H1324)&gt;0, LEN(I1324)=0), "BLANCO", IFERROR(VLOOKUP(I1324, BasedatosM9!A:B, 2, FALSE), "BLANCO")))</f>
        <v/>
      </c>
    </row>
    <row r="1325" spans="1:11" ht="14.4">
      <c r="A1325" s="21"/>
      <c r="B1325" s="86"/>
      <c r="C1325" s="98"/>
      <c r="D1325" s="21"/>
      <c r="E1325" s="86"/>
      <c r="F1325" s="99"/>
      <c r="G1325" s="99"/>
      <c r="H1325" s="21"/>
      <c r="I1325" s="86"/>
      <c r="J1325" s="21"/>
      <c r="K1325" s="5" t="str">
        <f>IF(AND(LEN(H1325)=0, LEN(I1325)=0), "", IF(AND(LEN(H1325)&gt;0, LEN(I1325)=0), "BLANCO", IFERROR(VLOOKUP(I1325, BasedatosM9!A:B, 2, FALSE), "BLANCO")))</f>
        <v/>
      </c>
    </row>
    <row r="1326" spans="1:11" ht="14.4">
      <c r="A1326" s="21"/>
      <c r="B1326" s="86"/>
      <c r="C1326" s="98"/>
      <c r="D1326" s="21"/>
      <c r="E1326" s="86"/>
      <c r="F1326" s="99"/>
      <c r="G1326" s="99"/>
      <c r="H1326" s="21"/>
      <c r="I1326" s="21"/>
      <c r="J1326" s="21"/>
      <c r="K1326" s="5" t="str">
        <f>IF(AND(LEN(H1326)=0, LEN(I1326)=0), "", IF(AND(LEN(H1326)&gt;0, LEN(I1326)=0), "BLANCO", IFERROR(VLOOKUP(I1326, BasedatosM9!A:B, 2, FALSE), "BLANCO")))</f>
        <v/>
      </c>
    </row>
    <row r="1327" spans="1:11" ht="14.4">
      <c r="A1327" s="21"/>
      <c r="B1327" s="86"/>
      <c r="C1327" s="98"/>
      <c r="D1327" s="21"/>
      <c r="E1327" s="86"/>
      <c r="F1327" s="99"/>
      <c r="G1327" s="99"/>
      <c r="H1327" s="21"/>
      <c r="I1327" s="86"/>
      <c r="J1327" s="21"/>
      <c r="K1327" s="5" t="str">
        <f>IF(AND(LEN(H1327)=0, LEN(I1327)=0), "", IF(AND(LEN(H1327)&gt;0, LEN(I1327)=0), "BLANCO", IFERROR(VLOOKUP(I1327, BasedatosM9!A:B, 2, FALSE), "BLANCO")))</f>
        <v/>
      </c>
    </row>
    <row r="1328" spans="1:11" ht="14.4">
      <c r="A1328" s="21"/>
      <c r="B1328" s="86"/>
      <c r="C1328" s="98"/>
      <c r="D1328" s="21"/>
      <c r="E1328" s="86"/>
      <c r="F1328" s="99"/>
      <c r="G1328" s="99"/>
      <c r="H1328" s="21"/>
      <c r="I1328" s="86"/>
      <c r="J1328" s="21"/>
      <c r="K1328" s="5" t="str">
        <f>IF(AND(LEN(H1328)=0, LEN(I1328)=0), "", IF(AND(LEN(H1328)&gt;0, LEN(I1328)=0), "BLANCO", IFERROR(VLOOKUP(I1328, BasedatosM9!A:B, 2, FALSE), "BLANCO")))</f>
        <v/>
      </c>
    </row>
    <row r="1329" spans="1:11" ht="14.4">
      <c r="A1329" s="21"/>
      <c r="B1329" s="86"/>
      <c r="C1329" s="98"/>
      <c r="D1329" s="21"/>
      <c r="E1329" s="86"/>
      <c r="F1329" s="99"/>
      <c r="G1329" s="99"/>
      <c r="H1329" s="21"/>
      <c r="I1329" s="21"/>
      <c r="J1329" s="21"/>
      <c r="K1329" s="5" t="str">
        <f>IF(AND(LEN(H1329)=0, LEN(I1329)=0), "", IF(AND(LEN(H1329)&gt;0, LEN(I1329)=0), "BLANCO", IFERROR(VLOOKUP(I1329, BasedatosM9!A:B, 2, FALSE), "BLANCO")))</f>
        <v/>
      </c>
    </row>
    <row r="1330" spans="1:11" ht="14.4">
      <c r="A1330" s="21"/>
      <c r="B1330" s="86"/>
      <c r="C1330" s="98"/>
      <c r="D1330" s="21"/>
      <c r="E1330" s="86"/>
      <c r="F1330" s="99"/>
      <c r="G1330" s="99"/>
      <c r="H1330" s="21"/>
      <c r="I1330" s="86"/>
      <c r="J1330" s="21"/>
      <c r="K1330" s="5" t="str">
        <f>IF(AND(LEN(H1330)=0, LEN(I1330)=0), "", IF(AND(LEN(H1330)&gt;0, LEN(I1330)=0), "BLANCO", IFERROR(VLOOKUP(I1330, BasedatosM9!A:B, 2, FALSE), "BLANCO")))</f>
        <v/>
      </c>
    </row>
    <row r="1331" spans="1:11" ht="14.4">
      <c r="A1331" s="21"/>
      <c r="B1331" s="86"/>
      <c r="C1331" s="98"/>
      <c r="D1331" s="21"/>
      <c r="E1331" s="86"/>
      <c r="F1331" s="99"/>
      <c r="G1331" s="99"/>
      <c r="H1331" s="21"/>
      <c r="I1331" s="86"/>
      <c r="J1331" s="21"/>
      <c r="K1331" s="5" t="str">
        <f>IF(AND(LEN(H1331)=0, LEN(I1331)=0), "", IF(AND(LEN(H1331)&gt;0, LEN(I1331)=0), "BLANCO", IFERROR(VLOOKUP(I1331, BasedatosM9!A:B, 2, FALSE), "BLANCO")))</f>
        <v/>
      </c>
    </row>
    <row r="1332" spans="1:11" ht="14.4">
      <c r="A1332" s="21"/>
      <c r="B1332" s="86"/>
      <c r="C1332" s="98"/>
      <c r="D1332" s="21"/>
      <c r="E1332" s="86"/>
      <c r="F1332" s="99"/>
      <c r="G1332" s="99"/>
      <c r="H1332" s="21"/>
      <c r="I1332" s="86"/>
      <c r="J1332" s="21"/>
      <c r="K1332" s="5" t="str">
        <f>IF(AND(LEN(H1332)=0, LEN(I1332)=0), "", IF(AND(LEN(H1332)&gt;0, LEN(I1332)=0), "BLANCO", IFERROR(VLOOKUP(I1332, BasedatosM9!A:B, 2, FALSE), "BLANCO")))</f>
        <v/>
      </c>
    </row>
    <row r="1333" spans="1:11" ht="14.4">
      <c r="A1333" s="21"/>
      <c r="B1333" s="86"/>
      <c r="C1333" s="98"/>
      <c r="D1333" s="21"/>
      <c r="E1333" s="86"/>
      <c r="F1333" s="99"/>
      <c r="G1333" s="99"/>
      <c r="H1333" s="21"/>
      <c r="I1333" s="21"/>
      <c r="J1333" s="21"/>
      <c r="K1333" s="5" t="str">
        <f>IF(AND(LEN(H1333)=0, LEN(I1333)=0), "", IF(AND(LEN(H1333)&gt;0, LEN(I1333)=0), "BLANCO", IFERROR(VLOOKUP(I1333, BasedatosM9!A:B, 2, FALSE), "BLANCO")))</f>
        <v/>
      </c>
    </row>
    <row r="1334" spans="1:11" ht="14.4">
      <c r="A1334" s="21"/>
      <c r="B1334" s="86"/>
      <c r="C1334" s="98"/>
      <c r="D1334" s="21"/>
      <c r="E1334" s="86"/>
      <c r="F1334" s="99"/>
      <c r="G1334" s="99"/>
      <c r="H1334" s="21"/>
      <c r="I1334" s="86"/>
      <c r="J1334" s="21"/>
      <c r="K1334" s="5" t="str">
        <f>IF(AND(LEN(H1334)=0, LEN(I1334)=0), "", IF(AND(LEN(H1334)&gt;0, LEN(I1334)=0), "BLANCO", IFERROR(VLOOKUP(I1334, BasedatosM9!A:B, 2, FALSE), "BLANCO")))</f>
        <v/>
      </c>
    </row>
    <row r="1335" spans="1:11" ht="14.4">
      <c r="A1335" s="21"/>
      <c r="B1335" s="86"/>
      <c r="C1335" s="98"/>
      <c r="D1335" s="21"/>
      <c r="E1335" s="86"/>
      <c r="F1335" s="99"/>
      <c r="G1335" s="99"/>
      <c r="H1335" s="21"/>
      <c r="I1335" s="86"/>
      <c r="J1335" s="21"/>
      <c r="K1335" s="5" t="str">
        <f>IF(AND(LEN(H1335)=0, LEN(I1335)=0), "", IF(AND(LEN(H1335)&gt;0, LEN(I1335)=0), "BLANCO", IFERROR(VLOOKUP(I1335, BasedatosM9!A:B, 2, FALSE), "BLANCO")))</f>
        <v/>
      </c>
    </row>
    <row r="1336" spans="1:11" ht="14.4">
      <c r="A1336" s="21"/>
      <c r="B1336" s="86"/>
      <c r="C1336" s="98"/>
      <c r="D1336" s="21"/>
      <c r="E1336" s="86"/>
      <c r="F1336" s="99"/>
      <c r="G1336" s="99"/>
      <c r="H1336" s="21"/>
      <c r="I1336" s="86"/>
      <c r="J1336" s="21"/>
      <c r="K1336" s="5" t="str">
        <f>IF(AND(LEN(H1336)=0, LEN(I1336)=0), "", IF(AND(LEN(H1336)&gt;0, LEN(I1336)=0), "BLANCO", IFERROR(VLOOKUP(I1336, BasedatosM9!A:B, 2, FALSE), "BLANCO")))</f>
        <v/>
      </c>
    </row>
    <row r="1337" spans="1:11" ht="14.4">
      <c r="A1337" s="21"/>
      <c r="B1337" s="86"/>
      <c r="C1337" s="98"/>
      <c r="D1337" s="21"/>
      <c r="E1337" s="86"/>
      <c r="F1337" s="99"/>
      <c r="G1337" s="99"/>
      <c r="H1337" s="21"/>
      <c r="I1337" s="86"/>
      <c r="J1337" s="21"/>
      <c r="K1337" s="5" t="str">
        <f>IF(AND(LEN(H1337)=0, LEN(I1337)=0), "", IF(AND(LEN(H1337)&gt;0, LEN(I1337)=0), "BLANCO", IFERROR(VLOOKUP(I1337, BasedatosM9!A:B, 2, FALSE), "BLANCO")))</f>
        <v/>
      </c>
    </row>
    <row r="1338" spans="1:11" ht="14.4">
      <c r="A1338" s="21"/>
      <c r="B1338" s="86"/>
      <c r="C1338" s="98"/>
      <c r="D1338" s="21"/>
      <c r="E1338" s="86"/>
      <c r="F1338" s="99"/>
      <c r="G1338" s="99"/>
      <c r="H1338" s="21"/>
      <c r="I1338" s="86"/>
      <c r="J1338" s="21"/>
      <c r="K1338" s="5" t="str">
        <f>IF(AND(LEN(H1338)=0, LEN(I1338)=0), "", IF(AND(LEN(H1338)&gt;0, LEN(I1338)=0), "BLANCO", IFERROR(VLOOKUP(I1338, BasedatosM9!A:B, 2, FALSE), "BLANCO")))</f>
        <v/>
      </c>
    </row>
    <row r="1339" spans="1:11" ht="14.4">
      <c r="A1339" s="21"/>
      <c r="B1339" s="86"/>
      <c r="C1339" s="98"/>
      <c r="D1339" s="21"/>
      <c r="E1339" s="86"/>
      <c r="F1339" s="99"/>
      <c r="G1339" s="99"/>
      <c r="H1339" s="21"/>
      <c r="I1339" s="86"/>
      <c r="J1339" s="21"/>
      <c r="K1339" s="5" t="str">
        <f>IF(AND(LEN(H1339)=0, LEN(I1339)=0), "", IF(AND(LEN(H1339)&gt;0, LEN(I1339)=0), "BLANCO", IFERROR(VLOOKUP(I1339, BasedatosM9!A:B, 2, FALSE), "BLANCO")))</f>
        <v/>
      </c>
    </row>
    <row r="1340" spans="1:11" ht="14.4">
      <c r="A1340" s="21"/>
      <c r="B1340" s="86"/>
      <c r="C1340" s="98"/>
      <c r="D1340" s="21"/>
      <c r="E1340" s="86"/>
      <c r="F1340" s="99"/>
      <c r="G1340" s="99"/>
      <c r="H1340" s="21"/>
      <c r="I1340" s="86"/>
      <c r="J1340" s="21"/>
      <c r="K1340" s="5" t="str">
        <f>IF(AND(LEN(H1340)=0, LEN(I1340)=0), "", IF(AND(LEN(H1340)&gt;0, LEN(I1340)=0), "BLANCO", IFERROR(VLOOKUP(I1340, BasedatosM9!A:B, 2, FALSE), "BLANCO")))</f>
        <v/>
      </c>
    </row>
    <row r="1341" spans="1:11" ht="14.4">
      <c r="A1341" s="21"/>
      <c r="B1341" s="86"/>
      <c r="C1341" s="98"/>
      <c r="D1341" s="21"/>
      <c r="E1341" s="86"/>
      <c r="F1341" s="99"/>
      <c r="G1341" s="99"/>
      <c r="H1341" s="21"/>
      <c r="I1341" s="86"/>
      <c r="J1341" s="21"/>
      <c r="K1341" s="5" t="str">
        <f>IF(AND(LEN(H1341)=0, LEN(I1341)=0), "", IF(AND(LEN(H1341)&gt;0, LEN(I1341)=0), "BLANCO", IFERROR(VLOOKUP(I1341, BasedatosM9!A:B, 2, FALSE), "BLANCO")))</f>
        <v/>
      </c>
    </row>
    <row r="1342" spans="1:11" ht="14.4">
      <c r="A1342" s="21"/>
      <c r="B1342" s="86"/>
      <c r="C1342" s="98"/>
      <c r="D1342" s="21"/>
      <c r="E1342" s="86"/>
      <c r="F1342" s="99"/>
      <c r="G1342" s="99"/>
      <c r="H1342" s="21"/>
      <c r="I1342" s="86"/>
      <c r="J1342" s="21"/>
      <c r="K1342" s="5" t="str">
        <f>IF(AND(LEN(H1342)=0, LEN(I1342)=0), "", IF(AND(LEN(H1342)&gt;0, LEN(I1342)=0), "BLANCO", IFERROR(VLOOKUP(I1342, BasedatosM9!A:B, 2, FALSE), "BLANCO")))</f>
        <v/>
      </c>
    </row>
    <row r="1343" spans="1:11" ht="14.4">
      <c r="A1343" s="21"/>
      <c r="B1343" s="86"/>
      <c r="C1343" s="98"/>
      <c r="D1343" s="21"/>
      <c r="E1343" s="86"/>
      <c r="F1343" s="99"/>
      <c r="G1343" s="99"/>
      <c r="H1343" s="21"/>
      <c r="I1343" s="86"/>
      <c r="J1343" s="21"/>
      <c r="K1343" s="5" t="str">
        <f>IF(AND(LEN(H1343)=0, LEN(I1343)=0), "", IF(AND(LEN(H1343)&gt;0, LEN(I1343)=0), "BLANCO", IFERROR(VLOOKUP(I1343, BasedatosM9!A:B, 2, FALSE), "BLANCO")))</f>
        <v/>
      </c>
    </row>
    <row r="1344" spans="1:11" ht="14.4">
      <c r="A1344" s="21"/>
      <c r="B1344" s="86"/>
      <c r="C1344" s="98"/>
      <c r="D1344" s="21"/>
      <c r="E1344" s="86"/>
      <c r="F1344" s="99"/>
      <c r="G1344" s="99"/>
      <c r="H1344" s="21"/>
      <c r="I1344" s="86"/>
      <c r="J1344" s="21"/>
      <c r="K1344" s="5" t="str">
        <f>IF(AND(LEN(H1344)=0, LEN(I1344)=0), "", IF(AND(LEN(H1344)&gt;0, LEN(I1344)=0), "BLANCO", IFERROR(VLOOKUP(I1344, BasedatosM9!A:B, 2, FALSE), "BLANCO")))</f>
        <v/>
      </c>
    </row>
    <row r="1345" spans="1:11" ht="14.4">
      <c r="A1345" s="21"/>
      <c r="B1345" s="86"/>
      <c r="C1345" s="98"/>
      <c r="D1345" s="21"/>
      <c r="E1345" s="86"/>
      <c r="F1345" s="99"/>
      <c r="G1345" s="99"/>
      <c r="H1345" s="21"/>
      <c r="I1345" s="86"/>
      <c r="J1345" s="21"/>
      <c r="K1345" s="5" t="str">
        <f>IF(AND(LEN(H1345)=0, LEN(I1345)=0), "", IF(AND(LEN(H1345)&gt;0, LEN(I1345)=0), "BLANCO", IFERROR(VLOOKUP(I1345, BasedatosM9!A:B, 2, FALSE), "BLANCO")))</f>
        <v/>
      </c>
    </row>
    <row r="1346" spans="1:11" ht="14.4">
      <c r="A1346" s="21"/>
      <c r="B1346" s="86"/>
      <c r="C1346" s="98"/>
      <c r="D1346" s="21"/>
      <c r="E1346" s="86"/>
      <c r="F1346" s="99"/>
      <c r="G1346" s="99"/>
      <c r="H1346" s="21"/>
      <c r="I1346" s="86"/>
      <c r="J1346" s="21"/>
      <c r="K1346" s="5" t="str">
        <f>IF(AND(LEN(H1346)=0, LEN(I1346)=0), "", IF(AND(LEN(H1346)&gt;0, LEN(I1346)=0), "BLANCO", IFERROR(VLOOKUP(I1346, BasedatosM9!A:B, 2, FALSE), "BLANCO")))</f>
        <v/>
      </c>
    </row>
    <row r="1347" spans="1:11" ht="14.4">
      <c r="A1347" s="21"/>
      <c r="B1347" s="86"/>
      <c r="C1347" s="98"/>
      <c r="D1347" s="21"/>
      <c r="E1347" s="86"/>
      <c r="F1347" s="99"/>
      <c r="G1347" s="99"/>
      <c r="H1347" s="21"/>
      <c r="I1347" s="86"/>
      <c r="J1347" s="21"/>
      <c r="K1347" s="5" t="str">
        <f>IF(AND(LEN(H1347)=0, LEN(I1347)=0), "", IF(AND(LEN(H1347)&gt;0, LEN(I1347)=0), "BLANCO", IFERROR(VLOOKUP(I1347, BasedatosM9!A:B, 2, FALSE), "BLANCO")))</f>
        <v/>
      </c>
    </row>
    <row r="1348" spans="1:11" ht="14.4">
      <c r="A1348" s="21"/>
      <c r="B1348" s="86"/>
      <c r="C1348" s="98"/>
      <c r="D1348" s="21"/>
      <c r="E1348" s="86"/>
      <c r="F1348" s="99"/>
      <c r="G1348" s="99"/>
      <c r="H1348" s="21"/>
      <c r="I1348" s="86"/>
      <c r="J1348" s="21"/>
      <c r="K1348" s="5" t="str">
        <f>IF(AND(LEN(H1348)=0, LEN(I1348)=0), "", IF(AND(LEN(H1348)&gt;0, LEN(I1348)=0), "BLANCO", IFERROR(VLOOKUP(I1348, BasedatosM9!A:B, 2, FALSE), "BLANCO")))</f>
        <v/>
      </c>
    </row>
    <row r="1349" spans="1:11" ht="14.4">
      <c r="A1349" s="21"/>
      <c r="B1349" s="86"/>
      <c r="C1349" s="98"/>
      <c r="D1349" s="21"/>
      <c r="E1349" s="86"/>
      <c r="F1349" s="99"/>
      <c r="G1349" s="99"/>
      <c r="H1349" s="21"/>
      <c r="I1349" s="86"/>
      <c r="J1349" s="21"/>
      <c r="K1349" s="5" t="str">
        <f>IF(AND(LEN(H1349)=0, LEN(I1349)=0), "", IF(AND(LEN(H1349)&gt;0, LEN(I1349)=0), "BLANCO", IFERROR(VLOOKUP(I1349, BasedatosM9!A:B, 2, FALSE), "BLANCO")))</f>
        <v/>
      </c>
    </row>
    <row r="1350" spans="1:11" ht="14.4">
      <c r="A1350" s="21"/>
      <c r="B1350" s="86"/>
      <c r="C1350" s="98"/>
      <c r="D1350" s="21"/>
      <c r="E1350" s="86"/>
      <c r="F1350" s="99"/>
      <c r="G1350" s="99"/>
      <c r="H1350" s="21"/>
      <c r="I1350" s="86"/>
      <c r="J1350" s="21"/>
      <c r="K1350" s="5" t="str">
        <f>IF(AND(LEN(H1350)=0, LEN(I1350)=0), "", IF(AND(LEN(H1350)&gt;0, LEN(I1350)=0), "BLANCO", IFERROR(VLOOKUP(I1350, BasedatosM9!A:B, 2, FALSE), "BLANCO")))</f>
        <v/>
      </c>
    </row>
    <row r="1351" spans="1:11" ht="14.4">
      <c r="A1351" s="21"/>
      <c r="B1351" s="86"/>
      <c r="C1351" s="98"/>
      <c r="D1351" s="21"/>
      <c r="E1351" s="86"/>
      <c r="F1351" s="99"/>
      <c r="G1351" s="99"/>
      <c r="H1351" s="21"/>
      <c r="I1351" s="21"/>
      <c r="J1351" s="21"/>
      <c r="K1351" s="5" t="str">
        <f>IF(AND(LEN(H1351)=0, LEN(I1351)=0), "", IF(AND(LEN(H1351)&gt;0, LEN(I1351)=0), "BLANCO", IFERROR(VLOOKUP(I1351, BasedatosM9!A:B, 2, FALSE), "BLANCO")))</f>
        <v/>
      </c>
    </row>
    <row r="1352" spans="1:11" ht="14.4">
      <c r="A1352" s="21"/>
      <c r="B1352" s="86"/>
      <c r="C1352" s="98"/>
      <c r="D1352" s="21"/>
      <c r="E1352" s="86"/>
      <c r="F1352" s="99"/>
      <c r="G1352" s="99"/>
      <c r="H1352" s="21"/>
      <c r="I1352" s="86"/>
      <c r="J1352" s="21"/>
      <c r="K1352" s="5" t="str">
        <f>IF(AND(LEN(H1352)=0, LEN(I1352)=0), "", IF(AND(LEN(H1352)&gt;0, LEN(I1352)=0), "BLANCO", IFERROR(VLOOKUP(I1352, BasedatosM9!A:B, 2, FALSE), "BLANCO")))</f>
        <v/>
      </c>
    </row>
    <row r="1353" spans="1:11" ht="14.4">
      <c r="A1353" s="21"/>
      <c r="B1353" s="86"/>
      <c r="C1353" s="98"/>
      <c r="D1353" s="21"/>
      <c r="E1353" s="86"/>
      <c r="F1353" s="99"/>
      <c r="G1353" s="99"/>
      <c r="H1353" s="21"/>
      <c r="I1353" s="86"/>
      <c r="J1353" s="21"/>
      <c r="K1353" s="5" t="str">
        <f>IF(AND(LEN(H1353)=0, LEN(I1353)=0), "", IF(AND(LEN(H1353)&gt;0, LEN(I1353)=0), "BLANCO", IFERROR(VLOOKUP(I1353, BasedatosM9!A:B, 2, FALSE), "BLANCO")))</f>
        <v/>
      </c>
    </row>
    <row r="1354" spans="1:11" ht="14.4">
      <c r="A1354" s="21"/>
      <c r="B1354" s="86"/>
      <c r="C1354" s="98"/>
      <c r="D1354" s="21"/>
      <c r="E1354" s="86"/>
      <c r="F1354" s="99"/>
      <c r="G1354" s="99"/>
      <c r="H1354" s="21"/>
      <c r="I1354" s="21"/>
      <c r="J1354" s="21"/>
      <c r="K1354" s="5" t="str">
        <f>IF(AND(LEN(H1354)=0, LEN(I1354)=0), "", IF(AND(LEN(H1354)&gt;0, LEN(I1354)=0), "BLANCO", IFERROR(VLOOKUP(I1354, BasedatosM9!A:B, 2, FALSE), "BLANCO")))</f>
        <v/>
      </c>
    </row>
    <row r="1355" spans="1:11" ht="14.4">
      <c r="A1355" s="21"/>
      <c r="B1355" s="86"/>
      <c r="C1355" s="98"/>
      <c r="D1355" s="21"/>
      <c r="E1355" s="86"/>
      <c r="F1355" s="99"/>
      <c r="G1355" s="99"/>
      <c r="H1355" s="21"/>
      <c r="I1355" s="86"/>
      <c r="J1355" s="21"/>
      <c r="K1355" s="5" t="str">
        <f>IF(AND(LEN(H1355)=0, LEN(I1355)=0), "", IF(AND(LEN(H1355)&gt;0, LEN(I1355)=0), "BLANCO", IFERROR(VLOOKUP(I1355, BasedatosM9!A:B, 2, FALSE), "BLANCO")))</f>
        <v/>
      </c>
    </row>
    <row r="1356" spans="1:11" ht="14.4">
      <c r="A1356" s="21"/>
      <c r="B1356" s="86"/>
      <c r="C1356" s="98"/>
      <c r="D1356" s="21"/>
      <c r="E1356" s="86"/>
      <c r="F1356" s="99"/>
      <c r="G1356" s="99"/>
      <c r="H1356" s="21"/>
      <c r="I1356" s="86"/>
      <c r="J1356" s="21"/>
      <c r="K1356" s="5" t="str">
        <f>IF(AND(LEN(H1356)=0, LEN(I1356)=0), "", IF(AND(LEN(H1356)&gt;0, LEN(I1356)=0), "BLANCO", IFERROR(VLOOKUP(I1356, BasedatosM9!A:B, 2, FALSE), "BLANCO")))</f>
        <v/>
      </c>
    </row>
    <row r="1357" spans="1:11" ht="14.4">
      <c r="A1357" s="21"/>
      <c r="B1357" s="86"/>
      <c r="C1357" s="98"/>
      <c r="D1357" s="21"/>
      <c r="E1357" s="86"/>
      <c r="F1357" s="99"/>
      <c r="G1357" s="99"/>
      <c r="H1357" s="21"/>
      <c r="I1357" s="86"/>
      <c r="J1357" s="21"/>
      <c r="K1357" s="5" t="str">
        <f>IF(AND(LEN(H1357)=0, LEN(I1357)=0), "", IF(AND(LEN(H1357)&gt;0, LEN(I1357)=0), "BLANCO", IFERROR(VLOOKUP(I1357, BasedatosM9!A:B, 2, FALSE), "BLANCO")))</f>
        <v/>
      </c>
    </row>
    <row r="1358" spans="1:11" ht="14.4">
      <c r="A1358" s="21"/>
      <c r="B1358" s="86"/>
      <c r="C1358" s="98"/>
      <c r="D1358" s="21"/>
      <c r="E1358" s="86"/>
      <c r="F1358" s="99"/>
      <c r="G1358" s="99"/>
      <c r="H1358" s="21"/>
      <c r="I1358" s="21"/>
      <c r="J1358" s="21"/>
      <c r="K1358" s="5" t="str">
        <f>IF(AND(LEN(H1358)=0, LEN(I1358)=0), "", IF(AND(LEN(H1358)&gt;0, LEN(I1358)=0), "BLANCO", IFERROR(VLOOKUP(I1358, BasedatosM9!A:B, 2, FALSE), "BLANCO")))</f>
        <v/>
      </c>
    </row>
    <row r="1359" spans="1:11" ht="14.4">
      <c r="A1359" s="21"/>
      <c r="B1359" s="86"/>
      <c r="C1359" s="98"/>
      <c r="D1359" s="21"/>
      <c r="E1359" s="86"/>
      <c r="F1359" s="99"/>
      <c r="G1359" s="99"/>
      <c r="H1359" s="21"/>
      <c r="I1359" s="21"/>
      <c r="J1359" s="21"/>
      <c r="K1359" s="5" t="str">
        <f>IF(AND(LEN(H1359)=0, LEN(I1359)=0), "", IF(AND(LEN(H1359)&gt;0, LEN(I1359)=0), "BLANCO", IFERROR(VLOOKUP(I1359, BasedatosM9!A:B, 2, FALSE), "BLANCO")))</f>
        <v/>
      </c>
    </row>
    <row r="1360" spans="1:11" ht="14.4">
      <c r="A1360" s="21"/>
      <c r="B1360" s="86"/>
      <c r="C1360" s="98"/>
      <c r="D1360" s="21"/>
      <c r="E1360" s="86"/>
      <c r="F1360" s="99"/>
      <c r="G1360" s="99"/>
      <c r="H1360" s="21"/>
      <c r="I1360" s="86"/>
      <c r="J1360" s="21"/>
      <c r="K1360" s="5" t="str">
        <f>IF(AND(LEN(H1360)=0, LEN(I1360)=0), "", IF(AND(LEN(H1360)&gt;0, LEN(I1360)=0), "BLANCO", IFERROR(VLOOKUP(I1360, BasedatosM9!A:B, 2, FALSE), "BLANCO")))</f>
        <v/>
      </c>
    </row>
    <row r="1361" spans="1:11" ht="14.4">
      <c r="A1361" s="21"/>
      <c r="B1361" s="86"/>
      <c r="C1361" s="98"/>
      <c r="D1361" s="21"/>
      <c r="E1361" s="86"/>
      <c r="F1361" s="99"/>
      <c r="G1361" s="99"/>
      <c r="H1361" s="21"/>
      <c r="I1361" s="86"/>
      <c r="J1361" s="21"/>
      <c r="K1361" s="5" t="str">
        <f>IF(AND(LEN(H1361)=0, LEN(I1361)=0), "", IF(AND(LEN(H1361)&gt;0, LEN(I1361)=0), "BLANCO", IFERROR(VLOOKUP(I1361, BasedatosM9!A:B, 2, FALSE), "BLANCO")))</f>
        <v/>
      </c>
    </row>
    <row r="1362" spans="1:11" ht="14.4">
      <c r="A1362" s="21"/>
      <c r="B1362" s="86"/>
      <c r="C1362" s="98"/>
      <c r="D1362" s="21"/>
      <c r="E1362" s="86"/>
      <c r="F1362" s="99"/>
      <c r="G1362" s="99"/>
      <c r="H1362" s="21"/>
      <c r="I1362" s="21"/>
      <c r="J1362" s="21"/>
      <c r="K1362" s="5" t="str">
        <f>IF(AND(LEN(H1362)=0, LEN(I1362)=0), "", IF(AND(LEN(H1362)&gt;0, LEN(I1362)=0), "BLANCO", IFERROR(VLOOKUP(I1362, BasedatosM9!A:B, 2, FALSE), "BLANCO")))</f>
        <v/>
      </c>
    </row>
    <row r="1363" spans="1:11" ht="14.4">
      <c r="A1363" s="21"/>
      <c r="B1363" s="86"/>
      <c r="C1363" s="98"/>
      <c r="D1363" s="21"/>
      <c r="E1363" s="86"/>
      <c r="F1363" s="99"/>
      <c r="G1363" s="99"/>
      <c r="H1363" s="21"/>
      <c r="I1363" s="21"/>
      <c r="J1363" s="21"/>
      <c r="K1363" s="5" t="str">
        <f>IF(AND(LEN(H1363)=0, LEN(I1363)=0), "", IF(AND(LEN(H1363)&gt;0, LEN(I1363)=0), "BLANCO", IFERROR(VLOOKUP(I1363, BasedatosM9!A:B, 2, FALSE), "BLANCO")))</f>
        <v/>
      </c>
    </row>
    <row r="1364" spans="1:11" ht="14.4">
      <c r="A1364" s="21"/>
      <c r="B1364" s="86"/>
      <c r="C1364" s="98"/>
      <c r="D1364" s="21"/>
      <c r="E1364" s="86"/>
      <c r="F1364" s="99"/>
      <c r="G1364" s="99"/>
      <c r="H1364" s="21"/>
      <c r="I1364" s="21"/>
      <c r="J1364" s="21"/>
      <c r="K1364" s="5" t="str">
        <f>IF(AND(LEN(H1364)=0, LEN(I1364)=0), "", IF(AND(LEN(H1364)&gt;0, LEN(I1364)=0), "BLANCO", IFERROR(VLOOKUP(I1364, BasedatosM9!A:B, 2, FALSE), "BLANCO")))</f>
        <v/>
      </c>
    </row>
    <row r="1365" spans="1:11" ht="14.4">
      <c r="A1365" s="21"/>
      <c r="B1365" s="86"/>
      <c r="C1365" s="98"/>
      <c r="D1365" s="21"/>
      <c r="E1365" s="86"/>
      <c r="F1365" s="99"/>
      <c r="G1365" s="99"/>
      <c r="H1365" s="21"/>
      <c r="I1365" s="86"/>
      <c r="J1365" s="21"/>
      <c r="K1365" s="5" t="str">
        <f>IF(AND(LEN(H1365)=0, LEN(I1365)=0), "", IF(AND(LEN(H1365)&gt;0, LEN(I1365)=0), "BLANCO", IFERROR(VLOOKUP(I1365, BasedatosM9!A:B, 2, FALSE), "BLANCO")))</f>
        <v/>
      </c>
    </row>
    <row r="1366" spans="1:11" ht="14.4">
      <c r="A1366" s="21"/>
      <c r="B1366" s="86"/>
      <c r="C1366" s="98"/>
      <c r="D1366" s="21"/>
      <c r="E1366" s="86"/>
      <c r="F1366" s="99"/>
      <c r="G1366" s="99"/>
      <c r="H1366" s="21"/>
      <c r="I1366" s="86"/>
      <c r="J1366" s="21"/>
      <c r="K1366" s="5" t="str">
        <f>IF(AND(LEN(H1366)=0, LEN(I1366)=0), "", IF(AND(LEN(H1366)&gt;0, LEN(I1366)=0), "BLANCO", IFERROR(VLOOKUP(I1366, BasedatosM9!A:B, 2, FALSE), "BLANCO")))</f>
        <v/>
      </c>
    </row>
    <row r="1367" spans="1:11" ht="14.4">
      <c r="A1367" s="21"/>
      <c r="B1367" s="86"/>
      <c r="C1367" s="98"/>
      <c r="D1367" s="21"/>
      <c r="E1367" s="86"/>
      <c r="F1367" s="99"/>
      <c r="G1367" s="99"/>
      <c r="H1367" s="21"/>
      <c r="I1367" s="21"/>
      <c r="J1367" s="21"/>
      <c r="K1367" s="5" t="str">
        <f>IF(AND(LEN(H1367)=0, LEN(I1367)=0), "", IF(AND(LEN(H1367)&gt;0, LEN(I1367)=0), "BLANCO", IFERROR(VLOOKUP(I1367, BasedatosM9!A:B, 2, FALSE), "BLANCO")))</f>
        <v/>
      </c>
    </row>
    <row r="1368" spans="1:11" ht="14.4">
      <c r="A1368" s="21"/>
      <c r="B1368" s="86"/>
      <c r="C1368" s="98"/>
      <c r="D1368" s="21"/>
      <c r="E1368" s="86"/>
      <c r="F1368" s="99"/>
      <c r="G1368" s="99"/>
      <c r="H1368" s="21"/>
      <c r="I1368" s="86"/>
      <c r="J1368" s="21"/>
      <c r="K1368" s="5" t="str">
        <f>IF(AND(LEN(H1368)=0, LEN(I1368)=0), "", IF(AND(LEN(H1368)&gt;0, LEN(I1368)=0), "BLANCO", IFERROR(VLOOKUP(I1368, BasedatosM9!A:B, 2, FALSE), "BLANCO")))</f>
        <v/>
      </c>
    </row>
    <row r="1369" spans="1:11" ht="14.4">
      <c r="A1369" s="21"/>
      <c r="B1369" s="86"/>
      <c r="C1369" s="98"/>
      <c r="D1369" s="21"/>
      <c r="E1369" s="86"/>
      <c r="F1369" s="99"/>
      <c r="G1369" s="99"/>
      <c r="H1369" s="21"/>
      <c r="I1369" s="86"/>
      <c r="J1369" s="21"/>
      <c r="K1369" s="5" t="str">
        <f>IF(AND(LEN(H1369)=0, LEN(I1369)=0), "", IF(AND(LEN(H1369)&gt;0, LEN(I1369)=0), "BLANCO", IFERROR(VLOOKUP(I1369, BasedatosM9!A:B, 2, FALSE), "BLANCO")))</f>
        <v/>
      </c>
    </row>
    <row r="1370" spans="1:11" ht="14.4">
      <c r="A1370" s="21"/>
      <c r="B1370" s="86"/>
      <c r="C1370" s="98"/>
      <c r="D1370" s="21"/>
      <c r="E1370" s="86"/>
      <c r="F1370" s="99"/>
      <c r="G1370" s="99"/>
      <c r="H1370" s="21"/>
      <c r="I1370" s="86"/>
      <c r="J1370" s="21"/>
      <c r="K1370" s="5" t="str">
        <f>IF(AND(LEN(H1370)=0, LEN(I1370)=0), "", IF(AND(LEN(H1370)&gt;0, LEN(I1370)=0), "BLANCO", IFERROR(VLOOKUP(I1370, BasedatosM9!A:B, 2, FALSE), "BLANCO")))</f>
        <v/>
      </c>
    </row>
    <row r="1371" spans="1:11" ht="14.4">
      <c r="A1371" s="21"/>
      <c r="B1371" s="86"/>
      <c r="C1371" s="98"/>
      <c r="D1371" s="21"/>
      <c r="E1371" s="86"/>
      <c r="F1371" s="99"/>
      <c r="G1371" s="99"/>
      <c r="H1371" s="21"/>
      <c r="I1371" s="86"/>
      <c r="J1371" s="21"/>
      <c r="K1371" s="5" t="str">
        <f>IF(AND(LEN(H1371)=0, LEN(I1371)=0), "", IF(AND(LEN(H1371)&gt;0, LEN(I1371)=0), "BLANCO", IFERROR(VLOOKUP(I1371, BasedatosM9!A:B, 2, FALSE), "BLANCO")))</f>
        <v/>
      </c>
    </row>
    <row r="1372" spans="1:11" ht="14.4">
      <c r="A1372" s="21"/>
      <c r="B1372" s="86"/>
      <c r="C1372" s="98"/>
      <c r="D1372" s="21"/>
      <c r="E1372" s="86"/>
      <c r="F1372" s="99"/>
      <c r="G1372" s="99"/>
      <c r="H1372" s="21"/>
      <c r="I1372" s="21"/>
      <c r="J1372" s="21"/>
      <c r="K1372" s="5" t="str">
        <f>IF(AND(LEN(H1372)=0, LEN(I1372)=0), "", IF(AND(LEN(H1372)&gt;0, LEN(I1372)=0), "BLANCO", IFERROR(VLOOKUP(I1372, BasedatosM9!A:B, 2, FALSE), "BLANCO")))</f>
        <v/>
      </c>
    </row>
    <row r="1373" spans="1:11" ht="14.4">
      <c r="A1373" s="21"/>
      <c r="B1373" s="86"/>
      <c r="C1373" s="98"/>
      <c r="D1373" s="21"/>
      <c r="E1373" s="86"/>
      <c r="F1373" s="99"/>
      <c r="G1373" s="99"/>
      <c r="H1373" s="21"/>
      <c r="I1373" s="86"/>
      <c r="J1373" s="21"/>
      <c r="K1373" s="5" t="str">
        <f>IF(AND(LEN(H1373)=0, LEN(I1373)=0), "", IF(AND(LEN(H1373)&gt;0, LEN(I1373)=0), "BLANCO", IFERROR(VLOOKUP(I1373, BasedatosM9!A:B, 2, FALSE), "BLANCO")))</f>
        <v/>
      </c>
    </row>
    <row r="1374" spans="1:11" ht="14.4">
      <c r="A1374" s="21"/>
      <c r="B1374" s="86"/>
      <c r="C1374" s="98"/>
      <c r="D1374" s="21"/>
      <c r="E1374" s="86"/>
      <c r="F1374" s="99"/>
      <c r="G1374" s="99"/>
      <c r="H1374" s="21"/>
      <c r="I1374" s="21"/>
      <c r="J1374" s="21"/>
      <c r="K1374" s="5" t="str">
        <f>IF(AND(LEN(H1374)=0, LEN(I1374)=0), "", IF(AND(LEN(H1374)&gt;0, LEN(I1374)=0), "BLANCO", IFERROR(VLOOKUP(I1374, BasedatosM9!A:B, 2, FALSE), "BLANCO")))</f>
        <v/>
      </c>
    </row>
    <row r="1375" spans="1:11" ht="14.4">
      <c r="A1375" s="21"/>
      <c r="B1375" s="86"/>
      <c r="C1375" s="98"/>
      <c r="D1375" s="21"/>
      <c r="E1375" s="86"/>
      <c r="F1375" s="99"/>
      <c r="G1375" s="99"/>
      <c r="H1375" s="21"/>
      <c r="I1375" s="21"/>
      <c r="J1375" s="21"/>
      <c r="K1375" s="5" t="str">
        <f>IF(AND(LEN(H1375)=0, LEN(I1375)=0), "", IF(AND(LEN(H1375)&gt;0, LEN(I1375)=0), "BLANCO", IFERROR(VLOOKUP(I1375, BasedatosM9!A:B, 2, FALSE), "BLANCO")))</f>
        <v/>
      </c>
    </row>
    <row r="1376" spans="1:11" ht="14.4">
      <c r="A1376" s="21"/>
      <c r="B1376" s="86"/>
      <c r="C1376" s="98"/>
      <c r="D1376" s="21"/>
      <c r="E1376" s="86"/>
      <c r="F1376" s="99"/>
      <c r="G1376" s="99"/>
      <c r="H1376" s="21"/>
      <c r="I1376" s="21"/>
      <c r="J1376" s="21"/>
      <c r="K1376" s="5" t="str">
        <f>IF(AND(LEN(H1376)=0, LEN(I1376)=0), "", IF(AND(LEN(H1376)&gt;0, LEN(I1376)=0), "BLANCO", IFERROR(VLOOKUP(I1376, BasedatosM9!A:B, 2, FALSE), "BLANCO")))</f>
        <v/>
      </c>
    </row>
    <row r="1377" spans="1:11" ht="14.4">
      <c r="A1377" s="21"/>
      <c r="B1377" s="86"/>
      <c r="C1377" s="98"/>
      <c r="D1377" s="21"/>
      <c r="E1377" s="86"/>
      <c r="F1377" s="99"/>
      <c r="G1377" s="99"/>
      <c r="H1377" s="21"/>
      <c r="I1377" s="21"/>
      <c r="J1377" s="21"/>
      <c r="K1377" s="5" t="str">
        <f>IF(AND(LEN(H1377)=0, LEN(I1377)=0), "", IF(AND(LEN(H1377)&gt;0, LEN(I1377)=0), "BLANCO", IFERROR(VLOOKUP(I1377, BasedatosM9!A:B, 2, FALSE), "BLANCO")))</f>
        <v/>
      </c>
    </row>
    <row r="1378" spans="1:11" ht="14.4">
      <c r="A1378" s="21"/>
      <c r="B1378" s="86"/>
      <c r="C1378" s="98"/>
      <c r="D1378" s="21"/>
      <c r="E1378" s="86"/>
      <c r="F1378" s="99"/>
      <c r="G1378" s="99"/>
      <c r="H1378" s="21"/>
      <c r="I1378" s="21"/>
      <c r="J1378" s="21"/>
      <c r="K1378" s="5" t="str">
        <f>IF(AND(LEN(H1378)=0, LEN(I1378)=0), "", IF(AND(LEN(H1378)&gt;0, LEN(I1378)=0), "BLANCO", IFERROR(VLOOKUP(I1378, BasedatosM9!A:B, 2, FALSE), "BLANCO")))</f>
        <v/>
      </c>
    </row>
    <row r="1379" spans="1:11" ht="14.4">
      <c r="A1379" s="21"/>
      <c r="B1379" s="86"/>
      <c r="C1379" s="98"/>
      <c r="D1379" s="21"/>
      <c r="E1379" s="86"/>
      <c r="F1379" s="99"/>
      <c r="G1379" s="99"/>
      <c r="H1379" s="21"/>
      <c r="I1379" s="86"/>
      <c r="J1379" s="21"/>
      <c r="K1379" s="5" t="str">
        <f>IF(AND(LEN(H1379)=0, LEN(I1379)=0), "", IF(AND(LEN(H1379)&gt;0, LEN(I1379)=0), "BLANCO", IFERROR(VLOOKUP(I1379, BasedatosM9!A:B, 2, FALSE), "BLANCO")))</f>
        <v/>
      </c>
    </row>
    <row r="1380" spans="1:11" ht="14.4">
      <c r="A1380" s="21"/>
      <c r="B1380" s="86"/>
      <c r="C1380" s="98"/>
      <c r="D1380" s="21"/>
      <c r="E1380" s="86"/>
      <c r="F1380" s="99"/>
      <c r="G1380" s="99"/>
      <c r="H1380" s="21"/>
      <c r="I1380" s="86"/>
      <c r="J1380" s="21"/>
      <c r="K1380" s="5" t="str">
        <f>IF(AND(LEN(H1380)=0, LEN(I1380)=0), "", IF(AND(LEN(H1380)&gt;0, LEN(I1380)=0), "BLANCO", IFERROR(VLOOKUP(I1380, BasedatosM9!A:B, 2, FALSE), "BLANCO")))</f>
        <v/>
      </c>
    </row>
    <row r="1381" spans="1:11" ht="14.4">
      <c r="A1381" s="21"/>
      <c r="B1381" s="86"/>
      <c r="C1381" s="98"/>
      <c r="D1381" s="21"/>
      <c r="E1381" s="86"/>
      <c r="F1381" s="99"/>
      <c r="G1381" s="99"/>
      <c r="H1381" s="21"/>
      <c r="I1381" s="86"/>
      <c r="J1381" s="21"/>
      <c r="K1381" s="5" t="str">
        <f>IF(AND(LEN(H1381)=0, LEN(I1381)=0), "", IF(AND(LEN(H1381)&gt;0, LEN(I1381)=0), "BLANCO", IFERROR(VLOOKUP(I1381, BasedatosM9!A:B, 2, FALSE), "BLANCO")))</f>
        <v/>
      </c>
    </row>
    <row r="1382" spans="1:11" ht="14.4">
      <c r="A1382" s="21"/>
      <c r="B1382" s="86"/>
      <c r="C1382" s="98"/>
      <c r="D1382" s="21"/>
      <c r="E1382" s="86"/>
      <c r="F1382" s="99"/>
      <c r="G1382" s="99"/>
      <c r="H1382" s="21"/>
      <c r="I1382" s="21"/>
      <c r="J1382" s="21"/>
      <c r="K1382" s="5" t="str">
        <f>IF(AND(LEN(H1382)=0, LEN(I1382)=0), "", IF(AND(LEN(H1382)&gt;0, LEN(I1382)=0), "BLANCO", IFERROR(VLOOKUP(I1382, BasedatosM9!A:B, 2, FALSE), "BLANCO")))</f>
        <v/>
      </c>
    </row>
    <row r="1383" spans="1:11" ht="14.4">
      <c r="A1383" s="21"/>
      <c r="B1383" s="86"/>
      <c r="C1383" s="98"/>
      <c r="D1383" s="21"/>
      <c r="E1383" s="86"/>
      <c r="F1383" s="99"/>
      <c r="G1383" s="99"/>
      <c r="H1383" s="21"/>
      <c r="I1383" s="21"/>
      <c r="J1383" s="21"/>
      <c r="K1383" s="5" t="str">
        <f>IF(AND(LEN(H1383)=0, LEN(I1383)=0), "", IF(AND(LEN(H1383)&gt;0, LEN(I1383)=0), "BLANCO", IFERROR(VLOOKUP(I1383, BasedatosM9!A:B, 2, FALSE), "BLANCO")))</f>
        <v/>
      </c>
    </row>
    <row r="1384" spans="1:11" ht="14.4">
      <c r="A1384" s="21"/>
      <c r="B1384" s="86"/>
      <c r="C1384" s="98"/>
      <c r="D1384" s="21"/>
      <c r="E1384" s="86"/>
      <c r="F1384" s="99"/>
      <c r="G1384" s="99"/>
      <c r="H1384" s="21"/>
      <c r="I1384" s="86"/>
      <c r="J1384" s="21"/>
      <c r="K1384" s="5" t="str">
        <f>IF(AND(LEN(H1384)=0, LEN(I1384)=0), "", IF(AND(LEN(H1384)&gt;0, LEN(I1384)=0), "BLANCO", IFERROR(VLOOKUP(I1384, BasedatosM9!A:B, 2, FALSE), "BLANCO")))</f>
        <v/>
      </c>
    </row>
    <row r="1385" spans="1:11" ht="14.4">
      <c r="A1385" s="21"/>
      <c r="B1385" s="86"/>
      <c r="C1385" s="98"/>
      <c r="D1385" s="21"/>
      <c r="E1385" s="86"/>
      <c r="F1385" s="99"/>
      <c r="G1385" s="99"/>
      <c r="H1385" s="21"/>
      <c r="I1385" s="21"/>
      <c r="J1385" s="21"/>
      <c r="K1385" s="5" t="str">
        <f>IF(AND(LEN(H1385)=0, LEN(I1385)=0), "", IF(AND(LEN(H1385)&gt;0, LEN(I1385)=0), "BLANCO", IFERROR(VLOOKUP(I1385, BasedatosM9!A:B, 2, FALSE), "BLANCO")))</f>
        <v/>
      </c>
    </row>
    <row r="1386" spans="1:11" ht="14.4">
      <c r="A1386" s="21"/>
      <c r="B1386" s="86"/>
      <c r="C1386" s="98"/>
      <c r="D1386" s="21"/>
      <c r="E1386" s="86"/>
      <c r="F1386" s="99"/>
      <c r="G1386" s="99"/>
      <c r="H1386" s="21"/>
      <c r="I1386" s="86"/>
      <c r="J1386" s="21"/>
      <c r="K1386" s="5" t="str">
        <f>IF(AND(LEN(H1386)=0, LEN(I1386)=0), "", IF(AND(LEN(H1386)&gt;0, LEN(I1386)=0), "BLANCO", IFERROR(VLOOKUP(I1386, BasedatosM9!A:B, 2, FALSE), "BLANCO")))</f>
        <v/>
      </c>
    </row>
    <row r="1387" spans="1:11" ht="14.4">
      <c r="A1387" s="21"/>
      <c r="B1387" s="86"/>
      <c r="C1387" s="98"/>
      <c r="D1387" s="21"/>
      <c r="E1387" s="86"/>
      <c r="F1387" s="99"/>
      <c r="G1387" s="99"/>
      <c r="H1387" s="21"/>
      <c r="I1387" s="21"/>
      <c r="J1387" s="21"/>
      <c r="K1387" s="5" t="str">
        <f>IF(AND(LEN(H1387)=0, LEN(I1387)=0), "", IF(AND(LEN(H1387)&gt;0, LEN(I1387)=0), "BLANCO", IFERROR(VLOOKUP(I1387, BasedatosM9!A:B, 2, FALSE), "BLANCO")))</f>
        <v/>
      </c>
    </row>
    <row r="1388" spans="1:11" ht="14.4">
      <c r="A1388" s="21"/>
      <c r="B1388" s="86"/>
      <c r="C1388" s="98"/>
      <c r="D1388" s="21"/>
      <c r="E1388" s="86"/>
      <c r="F1388" s="99"/>
      <c r="G1388" s="99"/>
      <c r="H1388" s="21"/>
      <c r="I1388" s="86"/>
      <c r="J1388" s="21"/>
      <c r="K1388" s="5" t="str">
        <f>IF(AND(LEN(H1388)=0, LEN(I1388)=0), "", IF(AND(LEN(H1388)&gt;0, LEN(I1388)=0), "BLANCO", IFERROR(VLOOKUP(I1388, BasedatosM9!A:B, 2, FALSE), "BLANCO")))</f>
        <v/>
      </c>
    </row>
    <row r="1389" spans="1:11" ht="14.4">
      <c r="A1389" s="21"/>
      <c r="B1389" s="86"/>
      <c r="C1389" s="98"/>
      <c r="D1389" s="21"/>
      <c r="E1389" s="86"/>
      <c r="F1389" s="99"/>
      <c r="G1389" s="99"/>
      <c r="H1389" s="21"/>
      <c r="I1389" s="86"/>
      <c r="J1389" s="21"/>
      <c r="K1389" s="5" t="str">
        <f>IF(AND(LEN(H1389)=0, LEN(I1389)=0), "", IF(AND(LEN(H1389)&gt;0, LEN(I1389)=0), "BLANCO", IFERROR(VLOOKUP(I1389, BasedatosM9!A:B, 2, FALSE), "BLANCO")))</f>
        <v/>
      </c>
    </row>
    <row r="1390" spans="1:11" ht="14.4">
      <c r="A1390" s="21"/>
      <c r="B1390" s="86"/>
      <c r="C1390" s="98"/>
      <c r="D1390" s="21"/>
      <c r="E1390" s="86"/>
      <c r="F1390" s="99"/>
      <c r="G1390" s="99"/>
      <c r="H1390" s="21"/>
      <c r="I1390" s="86"/>
      <c r="J1390" s="21"/>
      <c r="K1390" s="5" t="str">
        <f>IF(AND(LEN(H1390)=0, LEN(I1390)=0), "", IF(AND(LEN(H1390)&gt;0, LEN(I1390)=0), "BLANCO", IFERROR(VLOOKUP(I1390, BasedatosM9!A:B, 2, FALSE), "BLANCO")))</f>
        <v/>
      </c>
    </row>
    <row r="1391" spans="1:11" ht="14.4">
      <c r="A1391" s="21"/>
      <c r="B1391" s="86"/>
      <c r="C1391" s="98"/>
      <c r="D1391" s="21"/>
      <c r="E1391" s="86"/>
      <c r="F1391" s="99"/>
      <c r="G1391" s="99"/>
      <c r="H1391" s="21"/>
      <c r="I1391" s="86"/>
      <c r="J1391" s="21"/>
      <c r="K1391" s="5" t="str">
        <f>IF(AND(LEN(H1391)=0, LEN(I1391)=0), "", IF(AND(LEN(H1391)&gt;0, LEN(I1391)=0), "BLANCO", IFERROR(VLOOKUP(I1391, BasedatosM9!A:B, 2, FALSE), "BLANCO")))</f>
        <v/>
      </c>
    </row>
    <row r="1392" spans="1:11" ht="14.4">
      <c r="A1392" s="21"/>
      <c r="B1392" s="86"/>
      <c r="C1392" s="98"/>
      <c r="D1392" s="21"/>
      <c r="E1392" s="86"/>
      <c r="F1392" s="99"/>
      <c r="G1392" s="99"/>
      <c r="H1392" s="21"/>
      <c r="I1392" s="86"/>
      <c r="J1392" s="21"/>
      <c r="K1392" s="5" t="str">
        <f>IF(AND(LEN(H1392)=0, LEN(I1392)=0), "", IF(AND(LEN(H1392)&gt;0, LEN(I1392)=0), "BLANCO", IFERROR(VLOOKUP(I1392, BasedatosM9!A:B, 2, FALSE), "BLANCO")))</f>
        <v/>
      </c>
    </row>
    <row r="1393" spans="1:11" ht="14.4">
      <c r="A1393" s="21"/>
      <c r="B1393" s="86"/>
      <c r="C1393" s="98"/>
      <c r="D1393" s="21"/>
      <c r="E1393" s="86"/>
      <c r="F1393" s="99"/>
      <c r="G1393" s="99"/>
      <c r="H1393" s="21"/>
      <c r="I1393" s="86"/>
      <c r="J1393" s="21"/>
      <c r="K1393" s="5" t="str">
        <f>IF(AND(LEN(H1393)=0, LEN(I1393)=0), "", IF(AND(LEN(H1393)&gt;0, LEN(I1393)=0), "BLANCO", IFERROR(VLOOKUP(I1393, BasedatosM9!A:B, 2, FALSE), "BLANCO")))</f>
        <v/>
      </c>
    </row>
    <row r="1394" spans="1:11" ht="14.4">
      <c r="A1394" s="21"/>
      <c r="B1394" s="86"/>
      <c r="C1394" s="98"/>
      <c r="D1394" s="21"/>
      <c r="E1394" s="86"/>
      <c r="F1394" s="99"/>
      <c r="G1394" s="99"/>
      <c r="H1394" s="21"/>
      <c r="I1394" s="86"/>
      <c r="J1394" s="21"/>
      <c r="K1394" s="5" t="str">
        <f>IF(AND(LEN(H1394)=0, LEN(I1394)=0), "", IF(AND(LEN(H1394)&gt;0, LEN(I1394)=0), "BLANCO", IFERROR(VLOOKUP(I1394, BasedatosM9!A:B, 2, FALSE), "BLANCO")))</f>
        <v/>
      </c>
    </row>
    <row r="1395" spans="1:11" ht="14.4">
      <c r="A1395" s="21"/>
      <c r="B1395" s="86"/>
      <c r="C1395" s="98"/>
      <c r="D1395" s="21"/>
      <c r="E1395" s="86"/>
      <c r="F1395" s="99"/>
      <c r="G1395" s="99"/>
      <c r="H1395" s="21"/>
      <c r="I1395" s="86"/>
      <c r="J1395" s="21"/>
      <c r="K1395" s="5" t="str">
        <f>IF(AND(LEN(H1395)=0, LEN(I1395)=0), "", IF(AND(LEN(H1395)&gt;0, LEN(I1395)=0), "BLANCO", IFERROR(VLOOKUP(I1395, BasedatosM9!A:B, 2, FALSE), "BLANCO")))</f>
        <v/>
      </c>
    </row>
    <row r="1396" spans="1:11" ht="14.4">
      <c r="A1396" s="21"/>
      <c r="B1396" s="86"/>
      <c r="C1396" s="98"/>
      <c r="D1396" s="21"/>
      <c r="E1396" s="86"/>
      <c r="F1396" s="99"/>
      <c r="G1396" s="99"/>
      <c r="H1396" s="21"/>
      <c r="I1396" s="86"/>
      <c r="J1396" s="21"/>
      <c r="K1396" s="5" t="str">
        <f>IF(AND(LEN(H1396)=0, LEN(I1396)=0), "", IF(AND(LEN(H1396)&gt;0, LEN(I1396)=0), "BLANCO", IFERROR(VLOOKUP(I1396, BasedatosM9!A:B, 2, FALSE), "BLANCO")))</f>
        <v/>
      </c>
    </row>
    <row r="1397" spans="1:11" ht="14.4">
      <c r="A1397" s="21"/>
      <c r="B1397" s="86"/>
      <c r="C1397" s="98"/>
      <c r="D1397" s="21"/>
      <c r="E1397" s="86"/>
      <c r="F1397" s="99"/>
      <c r="G1397" s="99"/>
      <c r="H1397" s="21"/>
      <c r="I1397" s="86"/>
      <c r="J1397" s="21"/>
      <c r="K1397" s="5" t="str">
        <f>IF(AND(LEN(H1397)=0, LEN(I1397)=0), "", IF(AND(LEN(H1397)&gt;0, LEN(I1397)=0), "BLANCO", IFERROR(VLOOKUP(I1397, BasedatosM9!A:B, 2, FALSE), "BLANCO")))</f>
        <v/>
      </c>
    </row>
    <row r="1398" spans="1:11" ht="14.4">
      <c r="A1398" s="21"/>
      <c r="B1398" s="86"/>
      <c r="C1398" s="98"/>
      <c r="D1398" s="21"/>
      <c r="E1398" s="86"/>
      <c r="F1398" s="99"/>
      <c r="G1398" s="99"/>
      <c r="H1398" s="21"/>
      <c r="I1398" s="86"/>
      <c r="J1398" s="21"/>
      <c r="K1398" s="5" t="str">
        <f>IF(AND(LEN(H1398)=0, LEN(I1398)=0), "", IF(AND(LEN(H1398)&gt;0, LEN(I1398)=0), "BLANCO", IFERROR(VLOOKUP(I1398, BasedatosM9!A:B, 2, FALSE), "BLANCO")))</f>
        <v/>
      </c>
    </row>
    <row r="1399" spans="1:11" ht="14.4">
      <c r="A1399" s="21"/>
      <c r="B1399" s="86"/>
      <c r="C1399" s="98"/>
      <c r="D1399" s="21"/>
      <c r="E1399" s="86"/>
      <c r="F1399" s="99"/>
      <c r="G1399" s="99"/>
      <c r="H1399" s="21"/>
      <c r="I1399" s="86"/>
      <c r="J1399" s="21"/>
      <c r="K1399" s="5" t="str">
        <f>IF(AND(LEN(H1399)=0, LEN(I1399)=0), "", IF(AND(LEN(H1399)&gt;0, LEN(I1399)=0), "BLANCO", IFERROR(VLOOKUP(I1399, BasedatosM9!A:B, 2, FALSE), "BLANCO")))</f>
        <v/>
      </c>
    </row>
    <row r="1400" spans="1:11" ht="14.4">
      <c r="A1400" s="21"/>
      <c r="B1400" s="86"/>
      <c r="C1400" s="98"/>
      <c r="D1400" s="21"/>
      <c r="E1400" s="86"/>
      <c r="F1400" s="99"/>
      <c r="G1400" s="99"/>
      <c r="H1400" s="21"/>
      <c r="I1400" s="86"/>
      <c r="J1400" s="21"/>
      <c r="K1400" s="5" t="str">
        <f>IF(AND(LEN(H1400)=0, LEN(I1400)=0), "", IF(AND(LEN(H1400)&gt;0, LEN(I1400)=0), "BLANCO", IFERROR(VLOOKUP(I1400, BasedatosM9!A:B, 2, FALSE), "BLANCO")))</f>
        <v/>
      </c>
    </row>
    <row r="1401" spans="1:11" ht="14.4">
      <c r="A1401" s="21"/>
      <c r="B1401" s="86"/>
      <c r="C1401" s="98"/>
      <c r="D1401" s="21"/>
      <c r="E1401" s="86"/>
      <c r="F1401" s="99"/>
      <c r="G1401" s="99"/>
      <c r="H1401" s="21"/>
      <c r="I1401" s="86"/>
      <c r="J1401" s="21"/>
      <c r="K1401" s="5" t="str">
        <f>IF(AND(LEN(H1401)=0, LEN(I1401)=0), "", IF(AND(LEN(H1401)&gt;0, LEN(I1401)=0), "BLANCO", IFERROR(VLOOKUP(I1401, BasedatosM9!A:B, 2, FALSE), "BLANCO")))</f>
        <v/>
      </c>
    </row>
    <row r="1402" spans="1:11" ht="14.4">
      <c r="A1402" s="21"/>
      <c r="B1402" s="86"/>
      <c r="C1402" s="98"/>
      <c r="D1402" s="21"/>
      <c r="E1402" s="86"/>
      <c r="F1402" s="99"/>
      <c r="G1402" s="99"/>
      <c r="H1402" s="21"/>
      <c r="I1402" s="86"/>
      <c r="J1402" s="21"/>
      <c r="K1402" s="5" t="str">
        <f>IF(AND(LEN(H1402)=0, LEN(I1402)=0), "", IF(AND(LEN(H1402)&gt;0, LEN(I1402)=0), "BLANCO", IFERROR(VLOOKUP(I1402, BasedatosM9!A:B, 2, FALSE), "BLANCO")))</f>
        <v/>
      </c>
    </row>
    <row r="1403" spans="1:11" ht="14.4">
      <c r="A1403" s="21"/>
      <c r="B1403" s="86"/>
      <c r="C1403" s="98"/>
      <c r="D1403" s="21"/>
      <c r="E1403" s="86"/>
      <c r="F1403" s="99"/>
      <c r="G1403" s="99"/>
      <c r="H1403" s="21"/>
      <c r="I1403" s="86"/>
      <c r="J1403" s="21"/>
      <c r="K1403" s="5" t="str">
        <f>IF(AND(LEN(H1403)=0, LEN(I1403)=0), "", IF(AND(LEN(H1403)&gt;0, LEN(I1403)=0), "BLANCO", IFERROR(VLOOKUP(I1403, BasedatosM9!A:B, 2, FALSE), "BLANCO")))</f>
        <v/>
      </c>
    </row>
    <row r="1404" spans="1:11" ht="14.4">
      <c r="A1404" s="21"/>
      <c r="B1404" s="86"/>
      <c r="C1404" s="98"/>
      <c r="D1404" s="21"/>
      <c r="E1404" s="86"/>
      <c r="F1404" s="99"/>
      <c r="G1404" s="99"/>
      <c r="H1404" s="21"/>
      <c r="I1404" s="86"/>
      <c r="J1404" s="21"/>
      <c r="K1404" s="5" t="str">
        <f>IF(AND(LEN(H1404)=0, LEN(I1404)=0), "", IF(AND(LEN(H1404)&gt;0, LEN(I1404)=0), "BLANCO", IFERROR(VLOOKUP(I1404, BasedatosM9!A:B, 2, FALSE), "BLANCO")))</f>
        <v/>
      </c>
    </row>
    <row r="1405" spans="1:11" ht="14.4">
      <c r="A1405" s="21"/>
      <c r="B1405" s="86"/>
      <c r="C1405" s="98"/>
      <c r="D1405" s="21"/>
      <c r="E1405" s="86"/>
      <c r="F1405" s="99"/>
      <c r="G1405" s="99"/>
      <c r="H1405" s="21"/>
      <c r="I1405" s="86"/>
      <c r="J1405" s="21"/>
      <c r="K1405" s="5" t="str">
        <f>IF(AND(LEN(H1405)=0, LEN(I1405)=0), "", IF(AND(LEN(H1405)&gt;0, LEN(I1405)=0), "BLANCO", IFERROR(VLOOKUP(I1405, BasedatosM9!A:B, 2, FALSE), "BLANCO")))</f>
        <v/>
      </c>
    </row>
    <row r="1406" spans="1:11" ht="14.4">
      <c r="A1406" s="21"/>
      <c r="B1406" s="86"/>
      <c r="C1406" s="98"/>
      <c r="D1406" s="21"/>
      <c r="E1406" s="86"/>
      <c r="F1406" s="99"/>
      <c r="G1406" s="99"/>
      <c r="H1406" s="21"/>
      <c r="I1406" s="86"/>
      <c r="J1406" s="21"/>
      <c r="K1406" s="5" t="str">
        <f>IF(AND(LEN(H1406)=0, LEN(I1406)=0), "", IF(AND(LEN(H1406)&gt;0, LEN(I1406)=0), "BLANCO", IFERROR(VLOOKUP(I1406, BasedatosM9!A:B, 2, FALSE), "BLANCO")))</f>
        <v/>
      </c>
    </row>
    <row r="1407" spans="1:11" ht="14.4">
      <c r="A1407" s="21"/>
      <c r="B1407" s="86"/>
      <c r="C1407" s="98"/>
      <c r="D1407" s="21"/>
      <c r="E1407" s="86"/>
      <c r="F1407" s="99"/>
      <c r="G1407" s="99"/>
      <c r="H1407" s="21"/>
      <c r="I1407" s="86"/>
      <c r="J1407" s="21"/>
      <c r="K1407" s="5" t="str">
        <f>IF(AND(LEN(H1407)=0, LEN(I1407)=0), "", IF(AND(LEN(H1407)&gt;0, LEN(I1407)=0), "BLANCO", IFERROR(VLOOKUP(I1407, BasedatosM9!A:B, 2, FALSE), "BLANCO")))</f>
        <v/>
      </c>
    </row>
    <row r="1408" spans="1:11" ht="14.4">
      <c r="A1408" s="21"/>
      <c r="B1408" s="86"/>
      <c r="C1408" s="98"/>
      <c r="D1408" s="21"/>
      <c r="E1408" s="86"/>
      <c r="F1408" s="99"/>
      <c r="G1408" s="99"/>
      <c r="H1408" s="21"/>
      <c r="I1408" s="86"/>
      <c r="J1408" s="21"/>
      <c r="K1408" s="5" t="str">
        <f>IF(AND(LEN(H1408)=0, LEN(I1408)=0), "", IF(AND(LEN(H1408)&gt;0, LEN(I1408)=0), "BLANCO", IFERROR(VLOOKUP(I1408, BasedatosM9!A:B, 2, FALSE), "BLANCO")))</f>
        <v/>
      </c>
    </row>
    <row r="1409" spans="1:11" ht="14.4">
      <c r="A1409" s="21"/>
      <c r="B1409" s="86"/>
      <c r="C1409" s="98"/>
      <c r="D1409" s="21"/>
      <c r="E1409" s="86"/>
      <c r="F1409" s="99"/>
      <c r="G1409" s="99"/>
      <c r="H1409" s="21"/>
      <c r="I1409" s="86"/>
      <c r="J1409" s="21"/>
      <c r="K1409" s="5" t="str">
        <f>IF(AND(LEN(H1409)=0, LEN(I1409)=0), "", IF(AND(LEN(H1409)&gt;0, LEN(I1409)=0), "BLANCO", IFERROR(VLOOKUP(I1409, BasedatosM9!A:B, 2, FALSE), "BLANCO")))</f>
        <v/>
      </c>
    </row>
    <row r="1410" spans="1:11" ht="14.4">
      <c r="A1410" s="21"/>
      <c r="B1410" s="86"/>
      <c r="C1410" s="98"/>
      <c r="D1410" s="21"/>
      <c r="E1410" s="86"/>
      <c r="F1410" s="99"/>
      <c r="G1410" s="99"/>
      <c r="H1410" s="21"/>
      <c r="I1410" s="86"/>
      <c r="J1410" s="21"/>
      <c r="K1410" s="5" t="str">
        <f>IF(AND(LEN(H1410)=0, LEN(I1410)=0), "", IF(AND(LEN(H1410)&gt;0, LEN(I1410)=0), "BLANCO", IFERROR(VLOOKUP(I1410, BasedatosM9!A:B, 2, FALSE), "BLANCO")))</f>
        <v/>
      </c>
    </row>
    <row r="1411" spans="1:11" ht="14.4">
      <c r="A1411" s="21"/>
      <c r="B1411" s="86"/>
      <c r="C1411" s="98"/>
      <c r="D1411" s="21"/>
      <c r="E1411" s="86"/>
      <c r="F1411" s="99"/>
      <c r="G1411" s="99"/>
      <c r="H1411" s="21"/>
      <c r="I1411" s="86"/>
      <c r="J1411" s="21"/>
      <c r="K1411" s="5" t="str">
        <f>IF(AND(LEN(H1411)=0, LEN(I1411)=0), "", IF(AND(LEN(H1411)&gt;0, LEN(I1411)=0), "BLANCO", IFERROR(VLOOKUP(I1411, BasedatosM9!A:B, 2, FALSE), "BLANCO")))</f>
        <v/>
      </c>
    </row>
    <row r="1412" spans="1:11" ht="14.4">
      <c r="A1412" s="21"/>
      <c r="B1412" s="86"/>
      <c r="C1412" s="98"/>
      <c r="D1412" s="21"/>
      <c r="E1412" s="86"/>
      <c r="F1412" s="99"/>
      <c r="G1412" s="99"/>
      <c r="H1412" s="21"/>
      <c r="I1412" s="86"/>
      <c r="J1412" s="21"/>
      <c r="K1412" s="5" t="str">
        <f>IF(AND(LEN(H1412)=0, LEN(I1412)=0), "", IF(AND(LEN(H1412)&gt;0, LEN(I1412)=0), "BLANCO", IFERROR(VLOOKUP(I1412, BasedatosM9!A:B, 2, FALSE), "BLANCO")))</f>
        <v/>
      </c>
    </row>
    <row r="1413" spans="1:11" ht="14.4">
      <c r="A1413" s="21"/>
      <c r="B1413" s="86"/>
      <c r="C1413" s="98"/>
      <c r="D1413" s="21"/>
      <c r="E1413" s="86"/>
      <c r="F1413" s="99"/>
      <c r="G1413" s="99"/>
      <c r="H1413" s="21"/>
      <c r="I1413" s="21"/>
      <c r="J1413" s="21"/>
      <c r="K1413" s="5" t="str">
        <f>IF(AND(LEN(H1413)=0, LEN(I1413)=0), "", IF(AND(LEN(H1413)&gt;0, LEN(I1413)=0), "BLANCO", IFERROR(VLOOKUP(I1413, BasedatosM9!A:B, 2, FALSE), "BLANCO")))</f>
        <v/>
      </c>
    </row>
    <row r="1414" spans="1:11" ht="14.4">
      <c r="A1414" s="21"/>
      <c r="B1414" s="86"/>
      <c r="C1414" s="98"/>
      <c r="D1414" s="21"/>
      <c r="E1414" s="86"/>
      <c r="F1414" s="99"/>
      <c r="G1414" s="99"/>
      <c r="H1414" s="21"/>
      <c r="I1414" s="86"/>
      <c r="J1414" s="21"/>
      <c r="K1414" s="5" t="str">
        <f>IF(AND(LEN(H1414)=0, LEN(I1414)=0), "", IF(AND(LEN(H1414)&gt;0, LEN(I1414)=0), "BLANCO", IFERROR(VLOOKUP(I1414, BasedatosM9!A:B, 2, FALSE), "BLANCO")))</f>
        <v/>
      </c>
    </row>
    <row r="1415" spans="1:11" ht="14.4">
      <c r="A1415" s="21"/>
      <c r="B1415" s="86"/>
      <c r="C1415" s="98"/>
      <c r="D1415" s="21"/>
      <c r="E1415" s="86"/>
      <c r="F1415" s="99"/>
      <c r="G1415" s="99"/>
      <c r="H1415" s="21"/>
      <c r="I1415" s="21"/>
      <c r="J1415" s="21"/>
      <c r="K1415" s="5" t="str">
        <f>IF(AND(LEN(H1415)=0, LEN(I1415)=0), "", IF(AND(LEN(H1415)&gt;0, LEN(I1415)=0), "BLANCO", IFERROR(VLOOKUP(I1415, BasedatosM9!A:B, 2, FALSE), "BLANCO")))</f>
        <v/>
      </c>
    </row>
    <row r="1416" spans="1:11" ht="14.4">
      <c r="A1416" s="21"/>
      <c r="B1416" s="86"/>
      <c r="C1416" s="98"/>
      <c r="D1416" s="21"/>
      <c r="E1416" s="86"/>
      <c r="F1416" s="99"/>
      <c r="G1416" s="99"/>
      <c r="H1416" s="21"/>
      <c r="I1416" s="86"/>
      <c r="J1416" s="21"/>
      <c r="K1416" s="5" t="str">
        <f>IF(AND(LEN(H1416)=0, LEN(I1416)=0), "", IF(AND(LEN(H1416)&gt;0, LEN(I1416)=0), "BLANCO", IFERROR(VLOOKUP(I1416, BasedatosM9!A:B, 2, FALSE), "BLANCO")))</f>
        <v/>
      </c>
    </row>
    <row r="1417" spans="1:11" ht="14.4">
      <c r="A1417" s="21"/>
      <c r="B1417" s="86"/>
      <c r="C1417" s="98"/>
      <c r="D1417" s="21"/>
      <c r="E1417" s="86"/>
      <c r="F1417" s="99"/>
      <c r="G1417" s="99"/>
      <c r="H1417" s="21"/>
      <c r="I1417" s="86"/>
      <c r="J1417" s="21"/>
      <c r="K1417" s="5" t="str">
        <f>IF(AND(LEN(H1417)=0, LEN(I1417)=0), "", IF(AND(LEN(H1417)&gt;0, LEN(I1417)=0), "BLANCO", IFERROR(VLOOKUP(I1417, BasedatosM9!A:B, 2, FALSE), "BLANCO")))</f>
        <v/>
      </c>
    </row>
    <row r="1418" spans="1:11" ht="14.4">
      <c r="A1418" s="21"/>
      <c r="B1418" s="86"/>
      <c r="C1418" s="98"/>
      <c r="D1418" s="21"/>
      <c r="E1418" s="86"/>
      <c r="F1418" s="99"/>
      <c r="G1418" s="99"/>
      <c r="H1418" s="21"/>
      <c r="I1418" s="86"/>
      <c r="J1418" s="21"/>
      <c r="K1418" s="5" t="str">
        <f>IF(AND(LEN(H1418)=0, LEN(I1418)=0), "", IF(AND(LEN(H1418)&gt;0, LEN(I1418)=0), "BLANCO", IFERROR(VLOOKUP(I1418, BasedatosM9!A:B, 2, FALSE), "BLANCO")))</f>
        <v/>
      </c>
    </row>
    <row r="1419" spans="1:11" ht="14.4">
      <c r="A1419" s="21"/>
      <c r="B1419" s="86"/>
      <c r="C1419" s="98"/>
      <c r="D1419" s="21"/>
      <c r="E1419" s="86"/>
      <c r="F1419" s="99"/>
      <c r="G1419" s="99"/>
      <c r="H1419" s="21"/>
      <c r="I1419" s="21"/>
      <c r="J1419" s="21"/>
      <c r="K1419" s="5" t="str">
        <f>IF(AND(LEN(H1419)=0, LEN(I1419)=0), "", IF(AND(LEN(H1419)&gt;0, LEN(I1419)=0), "BLANCO", IFERROR(VLOOKUP(I1419, BasedatosM9!A:B, 2, FALSE), "BLANCO")))</f>
        <v/>
      </c>
    </row>
    <row r="1420" spans="1:11" ht="14.4">
      <c r="A1420" s="21"/>
      <c r="B1420" s="86"/>
      <c r="C1420" s="98"/>
      <c r="D1420" s="21"/>
      <c r="E1420" s="86"/>
      <c r="F1420" s="99"/>
      <c r="G1420" s="99"/>
      <c r="H1420" s="21"/>
      <c r="I1420" s="86"/>
      <c r="J1420" s="21"/>
      <c r="K1420" s="5" t="str">
        <f>IF(AND(LEN(H1420)=0, LEN(I1420)=0), "", IF(AND(LEN(H1420)&gt;0, LEN(I1420)=0), "BLANCO", IFERROR(VLOOKUP(I1420, BasedatosM9!A:B, 2, FALSE), "BLANCO")))</f>
        <v/>
      </c>
    </row>
    <row r="1421" spans="1:11" ht="14.4">
      <c r="A1421" s="21"/>
      <c r="B1421" s="86"/>
      <c r="C1421" s="98"/>
      <c r="D1421" s="21"/>
      <c r="E1421" s="86"/>
      <c r="F1421" s="99"/>
      <c r="G1421" s="99"/>
      <c r="H1421" s="21"/>
      <c r="I1421" s="86"/>
      <c r="J1421" s="21"/>
      <c r="K1421" s="5" t="str">
        <f>IF(AND(LEN(H1421)=0, LEN(I1421)=0), "", IF(AND(LEN(H1421)&gt;0, LEN(I1421)=0), "BLANCO", IFERROR(VLOOKUP(I1421, BasedatosM9!A:B, 2, FALSE), "BLANCO")))</f>
        <v/>
      </c>
    </row>
    <row r="1422" spans="1:11" ht="14.4">
      <c r="A1422" s="21"/>
      <c r="B1422" s="86"/>
      <c r="C1422" s="98"/>
      <c r="D1422" s="21"/>
      <c r="E1422" s="86"/>
      <c r="F1422" s="99"/>
      <c r="G1422" s="99"/>
      <c r="H1422" s="21"/>
      <c r="I1422" s="86"/>
      <c r="J1422" s="21"/>
      <c r="K1422" s="5" t="str">
        <f>IF(AND(LEN(H1422)=0, LEN(I1422)=0), "", IF(AND(LEN(H1422)&gt;0, LEN(I1422)=0), "BLANCO", IFERROR(VLOOKUP(I1422, BasedatosM9!A:B, 2, FALSE), "BLANCO")))</f>
        <v/>
      </c>
    </row>
    <row r="1423" spans="1:11" ht="14.4">
      <c r="A1423" s="21"/>
      <c r="B1423" s="86"/>
      <c r="C1423" s="98"/>
      <c r="D1423" s="21"/>
      <c r="E1423" s="86"/>
      <c r="F1423" s="99"/>
      <c r="G1423" s="99"/>
      <c r="H1423" s="21"/>
      <c r="I1423" s="86"/>
      <c r="J1423" s="21"/>
      <c r="K1423" s="5" t="str">
        <f>IF(AND(LEN(H1423)=0, LEN(I1423)=0), "", IF(AND(LEN(H1423)&gt;0, LEN(I1423)=0), "BLANCO", IFERROR(VLOOKUP(I1423, BasedatosM9!A:B, 2, FALSE), "BLANCO")))</f>
        <v/>
      </c>
    </row>
    <row r="1424" spans="1:11" ht="14.4">
      <c r="A1424" s="21"/>
      <c r="B1424" s="86"/>
      <c r="C1424" s="98"/>
      <c r="D1424" s="21"/>
      <c r="E1424" s="86"/>
      <c r="F1424" s="99"/>
      <c r="G1424" s="99"/>
      <c r="H1424" s="21"/>
      <c r="I1424" s="21"/>
      <c r="J1424" s="21"/>
      <c r="K1424" s="5" t="str">
        <f>IF(AND(LEN(H1424)=0, LEN(I1424)=0), "", IF(AND(LEN(H1424)&gt;0, LEN(I1424)=0), "BLANCO", IFERROR(VLOOKUP(I1424, BasedatosM9!A:B, 2, FALSE), "BLANCO")))</f>
        <v/>
      </c>
    </row>
    <row r="1425" spans="1:11" ht="14.4">
      <c r="A1425" s="21"/>
      <c r="B1425" s="86"/>
      <c r="C1425" s="98"/>
      <c r="D1425" s="21"/>
      <c r="E1425" s="86"/>
      <c r="F1425" s="99"/>
      <c r="G1425" s="99"/>
      <c r="H1425" s="21"/>
      <c r="I1425" s="86"/>
      <c r="J1425" s="21"/>
      <c r="K1425" s="5" t="str">
        <f>IF(AND(LEN(H1425)=0, LEN(I1425)=0), "", IF(AND(LEN(H1425)&gt;0, LEN(I1425)=0), "BLANCO", IFERROR(VLOOKUP(I1425, BasedatosM9!A:B, 2, FALSE), "BLANCO")))</f>
        <v/>
      </c>
    </row>
    <row r="1426" spans="1:11" ht="14.4">
      <c r="A1426" s="21"/>
      <c r="B1426" s="86"/>
      <c r="C1426" s="98"/>
      <c r="D1426" s="21"/>
      <c r="E1426" s="86"/>
      <c r="F1426" s="99"/>
      <c r="G1426" s="99"/>
      <c r="H1426" s="21"/>
      <c r="I1426" s="86"/>
      <c r="J1426" s="21"/>
      <c r="K1426" s="5" t="str">
        <f>IF(AND(LEN(H1426)=0, LEN(I1426)=0), "", IF(AND(LEN(H1426)&gt;0, LEN(I1426)=0), "BLANCO", IFERROR(VLOOKUP(I1426, BasedatosM9!A:B, 2, FALSE), "BLANCO")))</f>
        <v/>
      </c>
    </row>
    <row r="1427" spans="1:11" ht="14.4">
      <c r="A1427" s="21"/>
      <c r="B1427" s="86"/>
      <c r="C1427" s="98"/>
      <c r="D1427" s="21"/>
      <c r="E1427" s="86"/>
      <c r="F1427" s="99"/>
      <c r="G1427" s="99"/>
      <c r="H1427" s="21"/>
      <c r="I1427" s="86"/>
      <c r="J1427" s="21"/>
      <c r="K1427" s="5" t="str">
        <f>IF(AND(LEN(H1427)=0, LEN(I1427)=0), "", IF(AND(LEN(H1427)&gt;0, LEN(I1427)=0), "BLANCO", IFERROR(VLOOKUP(I1427, BasedatosM9!A:B, 2, FALSE), "BLANCO")))</f>
        <v/>
      </c>
    </row>
    <row r="1428" spans="1:11" ht="14.4">
      <c r="A1428" s="21"/>
      <c r="B1428" s="86"/>
      <c r="C1428" s="98"/>
      <c r="D1428" s="21"/>
      <c r="E1428" s="86"/>
      <c r="F1428" s="99"/>
      <c r="G1428" s="99"/>
      <c r="H1428" s="21"/>
      <c r="I1428" s="21"/>
      <c r="J1428" s="21"/>
      <c r="K1428" s="5" t="str">
        <f>IF(AND(LEN(H1428)=0, LEN(I1428)=0), "", IF(AND(LEN(H1428)&gt;0, LEN(I1428)=0), "BLANCO", IFERROR(VLOOKUP(I1428, BasedatosM9!A:B, 2, FALSE), "BLANCO")))</f>
        <v/>
      </c>
    </row>
    <row r="1429" spans="1:11" ht="14.4">
      <c r="A1429" s="21"/>
      <c r="B1429" s="86"/>
      <c r="C1429" s="98"/>
      <c r="D1429" s="21"/>
      <c r="E1429" s="86"/>
      <c r="F1429" s="99"/>
      <c r="G1429" s="99"/>
      <c r="H1429" s="21"/>
      <c r="I1429" s="21"/>
      <c r="J1429" s="21"/>
      <c r="K1429" s="5" t="str">
        <f>IF(AND(LEN(H1429)=0, LEN(I1429)=0), "", IF(AND(LEN(H1429)&gt;0, LEN(I1429)=0), "BLANCO", IFERROR(VLOOKUP(I1429, BasedatosM9!A:B, 2, FALSE), "BLANCO")))</f>
        <v/>
      </c>
    </row>
    <row r="1430" spans="1:11" ht="14.4">
      <c r="A1430" s="21"/>
      <c r="B1430" s="86"/>
      <c r="C1430" s="98"/>
      <c r="D1430" s="21"/>
      <c r="E1430" s="86"/>
      <c r="F1430" s="99"/>
      <c r="G1430" s="99"/>
      <c r="H1430" s="21"/>
      <c r="I1430" s="21"/>
      <c r="J1430" s="21"/>
      <c r="K1430" s="5" t="str">
        <f>IF(AND(LEN(H1430)=0, LEN(I1430)=0), "", IF(AND(LEN(H1430)&gt;0, LEN(I1430)=0), "BLANCO", IFERROR(VLOOKUP(I1430, BasedatosM9!A:B, 2, FALSE), "BLANCO")))</f>
        <v/>
      </c>
    </row>
    <row r="1431" spans="1:11" ht="14.4">
      <c r="A1431" s="21"/>
      <c r="B1431" s="86"/>
      <c r="C1431" s="98"/>
      <c r="D1431" s="21"/>
      <c r="E1431" s="86"/>
      <c r="F1431" s="99"/>
      <c r="G1431" s="99"/>
      <c r="H1431" s="21"/>
      <c r="I1431" s="86"/>
      <c r="J1431" s="21"/>
      <c r="K1431" s="5" t="str">
        <f>IF(AND(LEN(H1431)=0, LEN(I1431)=0), "", IF(AND(LEN(H1431)&gt;0, LEN(I1431)=0), "BLANCO", IFERROR(VLOOKUP(I1431, BasedatosM9!A:B, 2, FALSE), "BLANCO")))</f>
        <v/>
      </c>
    </row>
    <row r="1432" spans="1:11" ht="14.4">
      <c r="A1432" s="21"/>
      <c r="B1432" s="86"/>
      <c r="C1432" s="98"/>
      <c r="D1432" s="21"/>
      <c r="E1432" s="86"/>
      <c r="F1432" s="99"/>
      <c r="G1432" s="99"/>
      <c r="H1432" s="21"/>
      <c r="I1432" s="86"/>
      <c r="J1432" s="21"/>
      <c r="K1432" s="5" t="str">
        <f>IF(AND(LEN(H1432)=0, LEN(I1432)=0), "", IF(AND(LEN(H1432)&gt;0, LEN(I1432)=0), "BLANCO", IFERROR(VLOOKUP(I1432, BasedatosM9!A:B, 2, FALSE), "BLANCO")))</f>
        <v/>
      </c>
    </row>
    <row r="1433" spans="1:11" ht="14.4">
      <c r="A1433" s="21"/>
      <c r="B1433" s="86"/>
      <c r="C1433" s="98"/>
      <c r="D1433" s="21"/>
      <c r="E1433" s="86"/>
      <c r="F1433" s="99"/>
      <c r="G1433" s="99"/>
      <c r="H1433" s="21"/>
      <c r="I1433" s="86"/>
      <c r="J1433" s="21"/>
      <c r="K1433" s="5" t="str">
        <f>IF(AND(LEN(H1433)=0, LEN(I1433)=0), "", IF(AND(LEN(H1433)&gt;0, LEN(I1433)=0), "BLANCO", IFERROR(VLOOKUP(I1433, BasedatosM9!A:B, 2, FALSE), "BLANCO")))</f>
        <v/>
      </c>
    </row>
    <row r="1434" spans="1:11" ht="14.4">
      <c r="A1434" s="21"/>
      <c r="B1434" s="86"/>
      <c r="C1434" s="98"/>
      <c r="D1434" s="21"/>
      <c r="E1434" s="86"/>
      <c r="F1434" s="99"/>
      <c r="G1434" s="99"/>
      <c r="H1434" s="21"/>
      <c r="I1434" s="86"/>
      <c r="J1434" s="21"/>
      <c r="K1434" s="5" t="str">
        <f>IF(AND(LEN(H1434)=0, LEN(I1434)=0), "", IF(AND(LEN(H1434)&gt;0, LEN(I1434)=0), "BLANCO", IFERROR(VLOOKUP(I1434, BasedatosM9!A:B, 2, FALSE), "BLANCO")))</f>
        <v/>
      </c>
    </row>
    <row r="1435" spans="1:11" ht="14.4">
      <c r="A1435" s="21"/>
      <c r="B1435" s="86"/>
      <c r="C1435" s="98"/>
      <c r="D1435" s="21"/>
      <c r="E1435" s="86"/>
      <c r="F1435" s="99"/>
      <c r="G1435" s="99"/>
      <c r="H1435" s="21"/>
      <c r="I1435" s="86"/>
      <c r="J1435" s="21"/>
      <c r="K1435" s="5" t="str">
        <f>IF(AND(LEN(H1435)=0, LEN(I1435)=0), "", IF(AND(LEN(H1435)&gt;0, LEN(I1435)=0), "BLANCO", IFERROR(VLOOKUP(I1435, BasedatosM9!A:B, 2, FALSE), "BLANCO")))</f>
        <v/>
      </c>
    </row>
    <row r="1436" spans="1:11" ht="14.4">
      <c r="A1436" s="21"/>
      <c r="B1436" s="86"/>
      <c r="C1436" s="98"/>
      <c r="D1436" s="21"/>
      <c r="E1436" s="86"/>
      <c r="F1436" s="99"/>
      <c r="G1436" s="99"/>
      <c r="H1436" s="21"/>
      <c r="I1436" s="21"/>
      <c r="J1436" s="21"/>
      <c r="K1436" s="5" t="str">
        <f>IF(AND(LEN(H1436)=0, LEN(I1436)=0), "", IF(AND(LEN(H1436)&gt;0, LEN(I1436)=0), "BLANCO", IFERROR(VLOOKUP(I1436, BasedatosM9!A:B, 2, FALSE), "BLANCO")))</f>
        <v/>
      </c>
    </row>
    <row r="1437" spans="1:11" ht="14.4">
      <c r="A1437" s="21"/>
      <c r="B1437" s="86"/>
      <c r="C1437" s="98"/>
      <c r="D1437" s="21"/>
      <c r="E1437" s="86"/>
      <c r="F1437" s="99"/>
      <c r="G1437" s="99"/>
      <c r="H1437" s="21"/>
      <c r="I1437" s="21"/>
      <c r="J1437" s="21"/>
      <c r="K1437" s="5" t="str">
        <f>IF(AND(LEN(H1437)=0, LEN(I1437)=0), "", IF(AND(LEN(H1437)&gt;0, LEN(I1437)=0), "BLANCO", IFERROR(VLOOKUP(I1437, BasedatosM9!A:B, 2, FALSE), "BLANCO")))</f>
        <v/>
      </c>
    </row>
    <row r="1438" spans="1:11" ht="14.4">
      <c r="A1438" s="21"/>
      <c r="B1438" s="86"/>
      <c r="C1438" s="98"/>
      <c r="D1438" s="21"/>
      <c r="E1438" s="86"/>
      <c r="F1438" s="99"/>
      <c r="G1438" s="99"/>
      <c r="H1438" s="21"/>
      <c r="I1438" s="21"/>
      <c r="J1438" s="21"/>
      <c r="K1438" s="5" t="str">
        <f>IF(AND(LEN(H1438)=0, LEN(I1438)=0), "", IF(AND(LEN(H1438)&gt;0, LEN(I1438)=0), "BLANCO", IFERROR(VLOOKUP(I1438, BasedatosM9!A:B, 2, FALSE), "BLANCO")))</f>
        <v/>
      </c>
    </row>
    <row r="1439" spans="1:11" ht="14.4">
      <c r="A1439" s="21"/>
      <c r="B1439" s="86"/>
      <c r="C1439" s="98"/>
      <c r="D1439" s="21"/>
      <c r="E1439" s="86"/>
      <c r="F1439" s="99"/>
      <c r="G1439" s="99"/>
      <c r="H1439" s="21"/>
      <c r="I1439" s="86"/>
      <c r="J1439" s="21"/>
      <c r="K1439" s="5" t="str">
        <f>IF(AND(LEN(H1439)=0, LEN(I1439)=0), "", IF(AND(LEN(H1439)&gt;0, LEN(I1439)=0), "BLANCO", IFERROR(VLOOKUP(I1439, BasedatosM9!A:B, 2, FALSE), "BLANCO")))</f>
        <v/>
      </c>
    </row>
    <row r="1440" spans="1:11" ht="14.4">
      <c r="A1440" s="21"/>
      <c r="B1440" s="86"/>
      <c r="C1440" s="98"/>
      <c r="D1440" s="21"/>
      <c r="E1440" s="86"/>
      <c r="F1440" s="99"/>
      <c r="G1440" s="99"/>
      <c r="H1440" s="21"/>
      <c r="I1440" s="21"/>
      <c r="J1440" s="21"/>
      <c r="K1440" s="5" t="str">
        <f>IF(AND(LEN(H1440)=0, LEN(I1440)=0), "", IF(AND(LEN(H1440)&gt;0, LEN(I1440)=0), "BLANCO", IFERROR(VLOOKUP(I1440, BasedatosM9!A:B, 2, FALSE), "BLANCO")))</f>
        <v/>
      </c>
    </row>
    <row r="1441" spans="1:11" ht="14.4">
      <c r="A1441" s="21"/>
      <c r="B1441" s="86"/>
      <c r="C1441" s="98"/>
      <c r="D1441" s="21"/>
      <c r="E1441" s="86"/>
      <c r="F1441" s="99"/>
      <c r="G1441" s="99"/>
      <c r="H1441" s="21"/>
      <c r="I1441" s="86"/>
      <c r="J1441" s="21"/>
      <c r="K1441" s="5" t="str">
        <f>IF(AND(LEN(H1441)=0, LEN(I1441)=0), "", IF(AND(LEN(H1441)&gt;0, LEN(I1441)=0), "BLANCO", IFERROR(VLOOKUP(I1441, BasedatosM9!A:B, 2, FALSE), "BLANCO")))</f>
        <v/>
      </c>
    </row>
    <row r="1442" spans="1:11" ht="14.4">
      <c r="A1442" s="21"/>
      <c r="B1442" s="86"/>
      <c r="C1442" s="98"/>
      <c r="D1442" s="21"/>
      <c r="E1442" s="86"/>
      <c r="F1442" s="99"/>
      <c r="G1442" s="99"/>
      <c r="H1442" s="21"/>
      <c r="I1442" s="21"/>
      <c r="J1442" s="21"/>
      <c r="K1442" s="5" t="str">
        <f>IF(AND(LEN(H1442)=0, LEN(I1442)=0), "", IF(AND(LEN(H1442)&gt;0, LEN(I1442)=0), "BLANCO", IFERROR(VLOOKUP(I1442, BasedatosM9!A:B, 2, FALSE), "BLANCO")))</f>
        <v/>
      </c>
    </row>
    <row r="1443" spans="1:11" ht="14.4">
      <c r="A1443" s="21"/>
      <c r="B1443" s="86"/>
      <c r="C1443" s="98"/>
      <c r="D1443" s="21"/>
      <c r="E1443" s="86"/>
      <c r="F1443" s="99"/>
      <c r="G1443" s="99"/>
      <c r="H1443" s="21"/>
      <c r="I1443" s="86"/>
      <c r="J1443" s="21"/>
      <c r="K1443" s="5" t="str">
        <f>IF(AND(LEN(H1443)=0, LEN(I1443)=0), "", IF(AND(LEN(H1443)&gt;0, LEN(I1443)=0), "BLANCO", IFERROR(VLOOKUP(I1443, BasedatosM9!A:B, 2, FALSE), "BLANCO")))</f>
        <v/>
      </c>
    </row>
    <row r="1444" spans="1:11" ht="14.4">
      <c r="A1444" s="21"/>
      <c r="B1444" s="86"/>
      <c r="C1444" s="98"/>
      <c r="D1444" s="21"/>
      <c r="E1444" s="86"/>
      <c r="F1444" s="99"/>
      <c r="G1444" s="99"/>
      <c r="H1444" s="21"/>
      <c r="I1444" s="21"/>
      <c r="J1444" s="21"/>
      <c r="K1444" s="5" t="str">
        <f>IF(AND(LEN(H1444)=0, LEN(I1444)=0), "", IF(AND(LEN(H1444)&gt;0, LEN(I1444)=0), "BLANCO", IFERROR(VLOOKUP(I1444, BasedatosM9!A:B, 2, FALSE), "BLANCO")))</f>
        <v/>
      </c>
    </row>
    <row r="1445" spans="1:11" ht="14.4">
      <c r="A1445" s="21"/>
      <c r="B1445" s="86"/>
      <c r="C1445" s="98"/>
      <c r="D1445" s="21"/>
      <c r="E1445" s="86"/>
      <c r="F1445" s="99"/>
      <c r="G1445" s="99"/>
      <c r="H1445" s="21"/>
      <c r="I1445" s="86"/>
      <c r="J1445" s="21"/>
      <c r="K1445" s="5" t="str">
        <f>IF(AND(LEN(H1445)=0, LEN(I1445)=0), "", IF(AND(LEN(H1445)&gt;0, LEN(I1445)=0), "BLANCO", IFERROR(VLOOKUP(I1445, BasedatosM9!A:B, 2, FALSE), "BLANCO")))</f>
        <v/>
      </c>
    </row>
    <row r="1446" spans="1:11" ht="14.4">
      <c r="A1446" s="21"/>
      <c r="B1446" s="86"/>
      <c r="C1446" s="98"/>
      <c r="D1446" s="21"/>
      <c r="E1446" s="86"/>
      <c r="F1446" s="99"/>
      <c r="G1446" s="99"/>
      <c r="H1446" s="21"/>
      <c r="I1446" s="21"/>
      <c r="J1446" s="21"/>
      <c r="K1446" s="5" t="str">
        <f>IF(AND(LEN(H1446)=0, LEN(I1446)=0), "", IF(AND(LEN(H1446)&gt;0, LEN(I1446)=0), "BLANCO", IFERROR(VLOOKUP(I1446, BasedatosM9!A:B, 2, FALSE), "BLANCO")))</f>
        <v/>
      </c>
    </row>
    <row r="1447" spans="1:11" ht="14.4">
      <c r="A1447" s="21"/>
      <c r="B1447" s="86"/>
      <c r="C1447" s="98"/>
      <c r="D1447" s="21"/>
      <c r="E1447" s="86"/>
      <c r="F1447" s="99"/>
      <c r="G1447" s="99"/>
      <c r="H1447" s="21"/>
      <c r="I1447" s="86"/>
      <c r="J1447" s="21"/>
      <c r="K1447" s="5" t="str">
        <f>IF(AND(LEN(H1447)=0, LEN(I1447)=0), "", IF(AND(LEN(H1447)&gt;0, LEN(I1447)=0), "BLANCO", IFERROR(VLOOKUP(I1447, BasedatosM9!A:B, 2, FALSE), "BLANCO")))</f>
        <v/>
      </c>
    </row>
    <row r="1448" spans="1:11" ht="14.4">
      <c r="A1448" s="21"/>
      <c r="B1448" s="86"/>
      <c r="C1448" s="98"/>
      <c r="D1448" s="21"/>
      <c r="E1448" s="86"/>
      <c r="F1448" s="99"/>
      <c r="G1448" s="99"/>
      <c r="H1448" s="21"/>
      <c r="I1448" s="86"/>
      <c r="J1448" s="21"/>
      <c r="K1448" s="5" t="str">
        <f>IF(AND(LEN(H1448)=0, LEN(I1448)=0), "", IF(AND(LEN(H1448)&gt;0, LEN(I1448)=0), "BLANCO", IFERROR(VLOOKUP(I1448, BasedatosM9!A:B, 2, FALSE), "BLANCO")))</f>
        <v/>
      </c>
    </row>
    <row r="1449" spans="1:11" ht="14.4">
      <c r="A1449" s="21"/>
      <c r="B1449" s="86"/>
      <c r="C1449" s="98"/>
      <c r="D1449" s="21"/>
      <c r="E1449" s="86"/>
      <c r="F1449" s="99"/>
      <c r="G1449" s="99"/>
      <c r="H1449" s="21"/>
      <c r="I1449" s="86"/>
      <c r="J1449" s="21"/>
      <c r="K1449" s="5" t="str">
        <f>IF(AND(LEN(H1449)=0, LEN(I1449)=0), "", IF(AND(LEN(H1449)&gt;0, LEN(I1449)=0), "BLANCO", IFERROR(VLOOKUP(I1449, BasedatosM9!A:B, 2, FALSE), "BLANCO")))</f>
        <v/>
      </c>
    </row>
    <row r="1450" spans="1:11" ht="14.4">
      <c r="A1450" s="21"/>
      <c r="B1450" s="86"/>
      <c r="C1450" s="98"/>
      <c r="D1450" s="21"/>
      <c r="E1450" s="86"/>
      <c r="F1450" s="99"/>
      <c r="G1450" s="99"/>
      <c r="H1450" s="21"/>
      <c r="I1450" s="86"/>
      <c r="J1450" s="21"/>
      <c r="K1450" s="5" t="str">
        <f>IF(AND(LEN(H1450)=0, LEN(I1450)=0), "", IF(AND(LEN(H1450)&gt;0, LEN(I1450)=0), "BLANCO", IFERROR(VLOOKUP(I1450, BasedatosM9!A:B, 2, FALSE), "BLANCO")))</f>
        <v/>
      </c>
    </row>
    <row r="1451" spans="1:11" ht="14.4">
      <c r="A1451" s="21"/>
      <c r="B1451" s="86"/>
      <c r="C1451" s="98"/>
      <c r="D1451" s="21"/>
      <c r="E1451" s="86"/>
      <c r="F1451" s="99"/>
      <c r="G1451" s="99"/>
      <c r="H1451" s="21"/>
      <c r="I1451" s="86"/>
      <c r="J1451" s="21"/>
      <c r="K1451" s="5" t="str">
        <f>IF(AND(LEN(H1451)=0, LEN(I1451)=0), "", IF(AND(LEN(H1451)&gt;0, LEN(I1451)=0), "BLANCO", IFERROR(VLOOKUP(I1451, BasedatosM9!A:B, 2, FALSE), "BLANCO")))</f>
        <v/>
      </c>
    </row>
    <row r="1452" spans="1:11" ht="14.4">
      <c r="A1452" s="21"/>
      <c r="B1452" s="86"/>
      <c r="C1452" s="98"/>
      <c r="D1452" s="21"/>
      <c r="E1452" s="86"/>
      <c r="F1452" s="99"/>
      <c r="G1452" s="99"/>
      <c r="H1452" s="21"/>
      <c r="I1452" s="86"/>
      <c r="J1452" s="21"/>
      <c r="K1452" s="5" t="str">
        <f>IF(AND(LEN(H1452)=0, LEN(I1452)=0), "", IF(AND(LEN(H1452)&gt;0, LEN(I1452)=0), "BLANCO", IFERROR(VLOOKUP(I1452, BasedatosM9!A:B, 2, FALSE), "BLANCO")))</f>
        <v/>
      </c>
    </row>
    <row r="1453" spans="1:11" ht="14.4">
      <c r="A1453" s="21"/>
      <c r="B1453" s="86"/>
      <c r="C1453" s="98"/>
      <c r="D1453" s="21"/>
      <c r="E1453" s="86"/>
      <c r="F1453" s="99"/>
      <c r="G1453" s="99"/>
      <c r="H1453" s="21"/>
      <c r="I1453" s="21"/>
      <c r="J1453" s="21"/>
      <c r="K1453" s="5" t="str">
        <f>IF(AND(LEN(H1453)=0, LEN(I1453)=0), "", IF(AND(LEN(H1453)&gt;0, LEN(I1453)=0), "BLANCO", IFERROR(VLOOKUP(I1453, BasedatosM9!A:B, 2, FALSE), "BLANCO")))</f>
        <v/>
      </c>
    </row>
    <row r="1454" spans="1:11" ht="14.4">
      <c r="A1454" s="21"/>
      <c r="B1454" s="86"/>
      <c r="C1454" s="98"/>
      <c r="D1454" s="21"/>
      <c r="E1454" s="86"/>
      <c r="F1454" s="99"/>
      <c r="G1454" s="99"/>
      <c r="H1454" s="21"/>
      <c r="I1454" s="86"/>
      <c r="J1454" s="21"/>
      <c r="K1454" s="5" t="str">
        <f>IF(AND(LEN(H1454)=0, LEN(I1454)=0), "", IF(AND(LEN(H1454)&gt;0, LEN(I1454)=0), "BLANCO", IFERROR(VLOOKUP(I1454, BasedatosM9!A:B, 2, FALSE), "BLANCO")))</f>
        <v/>
      </c>
    </row>
    <row r="1455" spans="1:11" ht="14.4">
      <c r="A1455" s="21"/>
      <c r="B1455" s="86"/>
      <c r="C1455" s="98"/>
      <c r="D1455" s="21"/>
      <c r="E1455" s="86"/>
      <c r="F1455" s="99"/>
      <c r="G1455" s="99"/>
      <c r="H1455" s="21"/>
      <c r="I1455" s="86"/>
      <c r="J1455" s="21"/>
      <c r="K1455" s="5" t="str">
        <f>IF(AND(LEN(H1455)=0, LEN(I1455)=0), "", IF(AND(LEN(H1455)&gt;0, LEN(I1455)=0), "BLANCO", IFERROR(VLOOKUP(I1455, BasedatosM9!A:B, 2, FALSE), "BLANCO")))</f>
        <v/>
      </c>
    </row>
    <row r="1456" spans="1:11" ht="14.4">
      <c r="A1456" s="21"/>
      <c r="B1456" s="86"/>
      <c r="C1456" s="98"/>
      <c r="D1456" s="21"/>
      <c r="E1456" s="86"/>
      <c r="F1456" s="99"/>
      <c r="G1456" s="99"/>
      <c r="H1456" s="21"/>
      <c r="I1456" s="86"/>
      <c r="J1456" s="21"/>
      <c r="K1456" s="5" t="str">
        <f>IF(AND(LEN(H1456)=0, LEN(I1456)=0), "", IF(AND(LEN(H1456)&gt;0, LEN(I1456)=0), "BLANCO", IFERROR(VLOOKUP(I1456, BasedatosM9!A:B, 2, FALSE), "BLANCO")))</f>
        <v/>
      </c>
    </row>
    <row r="1457" spans="1:11" ht="14.4">
      <c r="A1457" s="21"/>
      <c r="B1457" s="86"/>
      <c r="C1457" s="98"/>
      <c r="D1457" s="21"/>
      <c r="E1457" s="86"/>
      <c r="F1457" s="99"/>
      <c r="G1457" s="99"/>
      <c r="H1457" s="21"/>
      <c r="I1457" s="86"/>
      <c r="J1457" s="21"/>
      <c r="K1457" s="5" t="str">
        <f>IF(AND(LEN(H1457)=0, LEN(I1457)=0), "", IF(AND(LEN(H1457)&gt;0, LEN(I1457)=0), "BLANCO", IFERROR(VLOOKUP(I1457, BasedatosM9!A:B, 2, FALSE), "BLANCO")))</f>
        <v/>
      </c>
    </row>
    <row r="1458" spans="1:11" ht="14.4">
      <c r="A1458" s="21"/>
      <c r="B1458" s="86"/>
      <c r="C1458" s="98"/>
      <c r="D1458" s="21"/>
      <c r="E1458" s="86"/>
      <c r="F1458" s="99"/>
      <c r="G1458" s="99"/>
      <c r="H1458" s="21"/>
      <c r="I1458" s="86"/>
      <c r="J1458" s="21"/>
      <c r="K1458" s="5" t="str">
        <f>IF(AND(LEN(H1458)=0, LEN(I1458)=0), "", IF(AND(LEN(H1458)&gt;0, LEN(I1458)=0), "BLANCO", IFERROR(VLOOKUP(I1458, BasedatosM9!A:B, 2, FALSE), "BLANCO")))</f>
        <v/>
      </c>
    </row>
    <row r="1459" spans="1:11" ht="14.4">
      <c r="A1459" s="21"/>
      <c r="B1459" s="86"/>
      <c r="C1459" s="98"/>
      <c r="D1459" s="21"/>
      <c r="E1459" s="86"/>
      <c r="F1459" s="99"/>
      <c r="G1459" s="99"/>
      <c r="H1459" s="21"/>
      <c r="I1459" s="86"/>
      <c r="J1459" s="21"/>
      <c r="K1459" s="5" t="str">
        <f>IF(AND(LEN(H1459)=0, LEN(I1459)=0), "", IF(AND(LEN(H1459)&gt;0, LEN(I1459)=0), "BLANCO", IFERROR(VLOOKUP(I1459, BasedatosM9!A:B, 2, FALSE), "BLANCO")))</f>
        <v/>
      </c>
    </row>
    <row r="1460" spans="1:11" ht="14.4">
      <c r="A1460" s="21"/>
      <c r="B1460" s="86"/>
      <c r="C1460" s="98"/>
      <c r="D1460" s="21"/>
      <c r="E1460" s="86"/>
      <c r="F1460" s="99"/>
      <c r="G1460" s="99"/>
      <c r="H1460" s="21"/>
      <c r="I1460" s="86"/>
      <c r="J1460" s="21"/>
      <c r="K1460" s="5" t="str">
        <f>IF(AND(LEN(H1460)=0, LEN(I1460)=0), "", IF(AND(LEN(H1460)&gt;0, LEN(I1460)=0), "BLANCO", IFERROR(VLOOKUP(I1460, BasedatosM9!A:B, 2, FALSE), "BLANCO")))</f>
        <v/>
      </c>
    </row>
    <row r="1461" spans="1:11" ht="14.4">
      <c r="A1461" s="21"/>
      <c r="B1461" s="86"/>
      <c r="C1461" s="98"/>
      <c r="D1461" s="21"/>
      <c r="E1461" s="86"/>
      <c r="F1461" s="99"/>
      <c r="G1461" s="99"/>
      <c r="H1461" s="21"/>
      <c r="I1461" s="86"/>
      <c r="J1461" s="21"/>
      <c r="K1461" s="5" t="str">
        <f>IF(AND(LEN(H1461)=0, LEN(I1461)=0), "", IF(AND(LEN(H1461)&gt;0, LEN(I1461)=0), "BLANCO", IFERROR(VLOOKUP(I1461, BasedatosM9!A:B, 2, FALSE), "BLANCO")))</f>
        <v/>
      </c>
    </row>
    <row r="1462" spans="1:11" ht="14.4">
      <c r="A1462" s="21"/>
      <c r="B1462" s="86"/>
      <c r="C1462" s="98"/>
      <c r="D1462" s="21"/>
      <c r="E1462" s="86"/>
      <c r="F1462" s="99"/>
      <c r="G1462" s="99"/>
      <c r="H1462" s="21"/>
      <c r="I1462" s="21"/>
      <c r="J1462" s="21"/>
      <c r="K1462" s="5" t="str">
        <f>IF(AND(LEN(H1462)=0, LEN(I1462)=0), "", IF(AND(LEN(H1462)&gt;0, LEN(I1462)=0), "BLANCO", IFERROR(VLOOKUP(I1462, BasedatosM9!A:B, 2, FALSE), "BLANCO")))</f>
        <v/>
      </c>
    </row>
    <row r="1463" spans="1:11" ht="14.4">
      <c r="A1463" s="21"/>
      <c r="B1463" s="86"/>
      <c r="C1463" s="98"/>
      <c r="D1463" s="21"/>
      <c r="E1463" s="86"/>
      <c r="F1463" s="99"/>
      <c r="G1463" s="99"/>
      <c r="H1463" s="21"/>
      <c r="I1463" s="86"/>
      <c r="J1463" s="21"/>
      <c r="K1463" s="5" t="str">
        <f>IF(AND(LEN(H1463)=0, LEN(I1463)=0), "", IF(AND(LEN(H1463)&gt;0, LEN(I1463)=0), "BLANCO", IFERROR(VLOOKUP(I1463, BasedatosM9!A:B, 2, FALSE), "BLANCO")))</f>
        <v/>
      </c>
    </row>
    <row r="1464" spans="1:11" ht="14.4">
      <c r="A1464" s="21"/>
      <c r="B1464" s="86"/>
      <c r="C1464" s="98"/>
      <c r="D1464" s="21"/>
      <c r="E1464" s="86"/>
      <c r="F1464" s="99"/>
      <c r="G1464" s="99"/>
      <c r="H1464" s="21"/>
      <c r="I1464" s="86"/>
      <c r="J1464" s="21"/>
      <c r="K1464" s="5" t="str">
        <f>IF(AND(LEN(H1464)=0, LEN(I1464)=0), "", IF(AND(LEN(H1464)&gt;0, LEN(I1464)=0), "BLANCO", IFERROR(VLOOKUP(I1464, BasedatosM9!A:B, 2, FALSE), "BLANCO")))</f>
        <v/>
      </c>
    </row>
    <row r="1465" spans="1:11" ht="14.4">
      <c r="A1465" s="21"/>
      <c r="B1465" s="86"/>
      <c r="C1465" s="98"/>
      <c r="D1465" s="21"/>
      <c r="E1465" s="86"/>
      <c r="F1465" s="99"/>
      <c r="G1465" s="99"/>
      <c r="H1465" s="21"/>
      <c r="I1465" s="86"/>
      <c r="J1465" s="21"/>
      <c r="K1465" s="5" t="str">
        <f>IF(AND(LEN(H1465)=0, LEN(I1465)=0), "", IF(AND(LEN(H1465)&gt;0, LEN(I1465)=0), "BLANCO", IFERROR(VLOOKUP(I1465, BasedatosM9!A:B, 2, FALSE), "BLANCO")))</f>
        <v/>
      </c>
    </row>
    <row r="1466" spans="1:11" ht="14.4">
      <c r="A1466" s="21"/>
      <c r="B1466" s="86"/>
      <c r="C1466" s="98"/>
      <c r="D1466" s="21"/>
      <c r="E1466" s="86"/>
      <c r="F1466" s="99"/>
      <c r="G1466" s="99"/>
      <c r="H1466" s="21"/>
      <c r="I1466" s="86"/>
      <c r="J1466" s="21"/>
      <c r="K1466" s="5" t="str">
        <f>IF(AND(LEN(H1466)=0, LEN(I1466)=0), "", IF(AND(LEN(H1466)&gt;0, LEN(I1466)=0), "BLANCO", IFERROR(VLOOKUP(I1466, BasedatosM9!A:B, 2, FALSE), "BLANCO")))</f>
        <v/>
      </c>
    </row>
    <row r="1467" spans="1:11" ht="14.4">
      <c r="A1467" s="21"/>
      <c r="B1467" s="86"/>
      <c r="C1467" s="98"/>
      <c r="D1467" s="21"/>
      <c r="E1467" s="86"/>
      <c r="F1467" s="99"/>
      <c r="G1467" s="99"/>
      <c r="H1467" s="21"/>
      <c r="I1467" s="86"/>
      <c r="J1467" s="21"/>
      <c r="K1467" s="5" t="str">
        <f>IF(AND(LEN(H1467)=0, LEN(I1467)=0), "", IF(AND(LEN(H1467)&gt;0, LEN(I1467)=0), "BLANCO", IFERROR(VLOOKUP(I1467, BasedatosM9!A:B, 2, FALSE), "BLANCO")))</f>
        <v/>
      </c>
    </row>
    <row r="1468" spans="1:11" ht="14.4">
      <c r="A1468" s="21"/>
      <c r="B1468" s="86"/>
      <c r="C1468" s="98"/>
      <c r="D1468" s="21"/>
      <c r="E1468" s="86"/>
      <c r="F1468" s="99"/>
      <c r="G1468" s="99"/>
      <c r="H1468" s="21"/>
      <c r="I1468" s="86"/>
      <c r="J1468" s="21"/>
      <c r="K1468" s="5" t="str">
        <f>IF(AND(LEN(H1468)=0, LEN(I1468)=0), "", IF(AND(LEN(H1468)&gt;0, LEN(I1468)=0), "BLANCO", IFERROR(VLOOKUP(I1468, BasedatosM9!A:B, 2, FALSE), "BLANCO")))</f>
        <v/>
      </c>
    </row>
    <row r="1469" spans="1:11" ht="14.4">
      <c r="A1469" s="21"/>
      <c r="B1469" s="86"/>
      <c r="C1469" s="98"/>
      <c r="D1469" s="21"/>
      <c r="E1469" s="86"/>
      <c r="F1469" s="99"/>
      <c r="G1469" s="99"/>
      <c r="H1469" s="21"/>
      <c r="I1469" s="86"/>
      <c r="J1469" s="21"/>
      <c r="K1469" s="5" t="str">
        <f>IF(AND(LEN(H1469)=0, LEN(I1469)=0), "", IF(AND(LEN(H1469)&gt;0, LEN(I1469)=0), "BLANCO", IFERROR(VLOOKUP(I1469, BasedatosM9!A:B, 2, FALSE), "BLANCO")))</f>
        <v/>
      </c>
    </row>
    <row r="1470" spans="1:11" ht="14.4">
      <c r="A1470" s="21"/>
      <c r="B1470" s="86"/>
      <c r="C1470" s="98"/>
      <c r="D1470" s="21"/>
      <c r="E1470" s="86"/>
      <c r="F1470" s="99"/>
      <c r="G1470" s="99"/>
      <c r="H1470" s="21"/>
      <c r="I1470" s="21"/>
      <c r="J1470" s="21"/>
      <c r="K1470" s="5" t="str">
        <f>IF(AND(LEN(H1470)=0, LEN(I1470)=0), "", IF(AND(LEN(H1470)&gt;0, LEN(I1470)=0), "BLANCO", IFERROR(VLOOKUP(I1470, BasedatosM9!A:B, 2, FALSE), "BLANCO")))</f>
        <v/>
      </c>
    </row>
    <row r="1471" spans="1:11" ht="14.4">
      <c r="A1471" s="21"/>
      <c r="B1471" s="86"/>
      <c r="C1471" s="98"/>
      <c r="D1471" s="21"/>
      <c r="E1471" s="86"/>
      <c r="F1471" s="99"/>
      <c r="G1471" s="99"/>
      <c r="H1471" s="21"/>
      <c r="I1471" s="21"/>
      <c r="J1471" s="21"/>
      <c r="K1471" s="5" t="str">
        <f>IF(AND(LEN(H1471)=0, LEN(I1471)=0), "", IF(AND(LEN(H1471)&gt;0, LEN(I1471)=0), "BLANCO", IFERROR(VLOOKUP(I1471, BasedatosM9!A:B, 2, FALSE), "BLANCO")))</f>
        <v/>
      </c>
    </row>
    <row r="1472" spans="1:11" ht="14.4">
      <c r="A1472" s="21"/>
      <c r="B1472" s="86"/>
      <c r="C1472" s="98"/>
      <c r="D1472" s="21"/>
      <c r="E1472" s="86"/>
      <c r="F1472" s="99"/>
      <c r="G1472" s="99"/>
      <c r="H1472" s="21"/>
      <c r="I1472" s="21"/>
      <c r="J1472" s="21"/>
      <c r="K1472" s="5" t="str">
        <f>IF(AND(LEN(H1472)=0, LEN(I1472)=0), "", IF(AND(LEN(H1472)&gt;0, LEN(I1472)=0), "BLANCO", IFERROR(VLOOKUP(I1472, BasedatosM9!A:B, 2, FALSE), "BLANCO")))</f>
        <v/>
      </c>
    </row>
    <row r="1473" spans="1:11" ht="14.4">
      <c r="A1473" s="21"/>
      <c r="B1473" s="86"/>
      <c r="C1473" s="98"/>
      <c r="D1473" s="21"/>
      <c r="E1473" s="86"/>
      <c r="F1473" s="99"/>
      <c r="G1473" s="99"/>
      <c r="H1473" s="21"/>
      <c r="I1473" s="86"/>
      <c r="J1473" s="21"/>
      <c r="K1473" s="5" t="str">
        <f>IF(AND(LEN(H1473)=0, LEN(I1473)=0), "", IF(AND(LEN(H1473)&gt;0, LEN(I1473)=0), "BLANCO", IFERROR(VLOOKUP(I1473, BasedatosM9!A:B, 2, FALSE), "BLANCO")))</f>
        <v/>
      </c>
    </row>
    <row r="1474" spans="1:11" ht="14.4">
      <c r="A1474" s="21"/>
      <c r="B1474" s="86"/>
      <c r="C1474" s="98"/>
      <c r="D1474" s="21"/>
      <c r="E1474" s="86"/>
      <c r="F1474" s="99"/>
      <c r="G1474" s="99"/>
      <c r="H1474" s="21"/>
      <c r="I1474" s="21"/>
      <c r="J1474" s="21"/>
      <c r="K1474" s="5" t="str">
        <f>IF(AND(LEN(H1474)=0, LEN(I1474)=0), "", IF(AND(LEN(H1474)&gt;0, LEN(I1474)=0), "BLANCO", IFERROR(VLOOKUP(I1474, BasedatosM9!A:B, 2, FALSE), "BLANCO")))</f>
        <v/>
      </c>
    </row>
    <row r="1475" spans="1:11" ht="14.4">
      <c r="A1475" s="21"/>
      <c r="B1475" s="86"/>
      <c r="C1475" s="98"/>
      <c r="D1475" s="21"/>
      <c r="E1475" s="86"/>
      <c r="F1475" s="99"/>
      <c r="G1475" s="99"/>
      <c r="H1475" s="21"/>
      <c r="I1475" s="21"/>
      <c r="J1475" s="21"/>
      <c r="K1475" s="5" t="str">
        <f>IF(AND(LEN(H1475)=0, LEN(I1475)=0), "", IF(AND(LEN(H1475)&gt;0, LEN(I1475)=0), "BLANCO", IFERROR(VLOOKUP(I1475, BasedatosM9!A:B, 2, FALSE), "BLANCO")))</f>
        <v/>
      </c>
    </row>
    <row r="1476" spans="1:11" ht="14.4">
      <c r="A1476" s="21"/>
      <c r="B1476" s="86"/>
      <c r="C1476" s="98"/>
      <c r="D1476" s="21"/>
      <c r="E1476" s="86"/>
      <c r="F1476" s="99"/>
      <c r="G1476" s="99"/>
      <c r="H1476" s="21"/>
      <c r="I1476" s="21"/>
      <c r="J1476" s="21"/>
      <c r="K1476" s="5" t="str">
        <f>IF(AND(LEN(H1476)=0, LEN(I1476)=0), "", IF(AND(LEN(H1476)&gt;0, LEN(I1476)=0), "BLANCO", IFERROR(VLOOKUP(I1476, BasedatosM9!A:B, 2, FALSE), "BLANCO")))</f>
        <v/>
      </c>
    </row>
    <row r="1477" spans="1:11" ht="14.4">
      <c r="A1477" s="21"/>
      <c r="B1477" s="86"/>
      <c r="C1477" s="98"/>
      <c r="D1477" s="21"/>
      <c r="E1477" s="86"/>
      <c r="F1477" s="99"/>
      <c r="G1477" s="99"/>
      <c r="H1477" s="21"/>
      <c r="I1477" s="86"/>
      <c r="J1477" s="21"/>
      <c r="K1477" s="5" t="str">
        <f>IF(AND(LEN(H1477)=0, LEN(I1477)=0), "", IF(AND(LEN(H1477)&gt;0, LEN(I1477)=0), "BLANCO", IFERROR(VLOOKUP(I1477, BasedatosM9!A:B, 2, FALSE), "BLANCO")))</f>
        <v/>
      </c>
    </row>
    <row r="1478" spans="1:11" ht="14.4">
      <c r="A1478" s="21"/>
      <c r="B1478" s="86"/>
      <c r="C1478" s="98"/>
      <c r="D1478" s="21"/>
      <c r="E1478" s="86"/>
      <c r="F1478" s="99"/>
      <c r="G1478" s="99"/>
      <c r="H1478" s="21"/>
      <c r="I1478" s="21"/>
      <c r="J1478" s="21"/>
      <c r="K1478" s="5" t="str">
        <f>IF(AND(LEN(H1478)=0, LEN(I1478)=0), "", IF(AND(LEN(H1478)&gt;0, LEN(I1478)=0), "BLANCO", IFERROR(VLOOKUP(I1478, BasedatosM9!A:B, 2, FALSE), "BLANCO")))</f>
        <v/>
      </c>
    </row>
    <row r="1479" spans="1:11" ht="14.4">
      <c r="A1479" s="21"/>
      <c r="B1479" s="86"/>
      <c r="C1479" s="98"/>
      <c r="D1479" s="21"/>
      <c r="E1479" s="86"/>
      <c r="F1479" s="99"/>
      <c r="G1479" s="99"/>
      <c r="H1479" s="21"/>
      <c r="I1479" s="21"/>
      <c r="J1479" s="21"/>
      <c r="K1479" s="5" t="str">
        <f>IF(AND(LEN(H1479)=0, LEN(I1479)=0), "", IF(AND(LEN(H1479)&gt;0, LEN(I1479)=0), "BLANCO", IFERROR(VLOOKUP(I1479, BasedatosM9!A:B, 2, FALSE), "BLANCO")))</f>
        <v/>
      </c>
    </row>
    <row r="1480" spans="1:11" ht="14.4">
      <c r="A1480" s="21"/>
      <c r="B1480" s="86"/>
      <c r="C1480" s="98"/>
      <c r="D1480" s="21"/>
      <c r="E1480" s="86"/>
      <c r="F1480" s="99"/>
      <c r="G1480" s="99"/>
      <c r="H1480" s="21"/>
      <c r="I1480" s="21"/>
      <c r="J1480" s="21"/>
      <c r="K1480" s="5" t="str">
        <f>IF(AND(LEN(H1480)=0, LEN(I1480)=0), "", IF(AND(LEN(H1480)&gt;0, LEN(I1480)=0), "BLANCO", IFERROR(VLOOKUP(I1480, BasedatosM9!A:B, 2, FALSE), "BLANCO")))</f>
        <v/>
      </c>
    </row>
    <row r="1481" spans="1:11" ht="14.4">
      <c r="A1481" s="21"/>
      <c r="B1481" s="86"/>
      <c r="C1481" s="98"/>
      <c r="D1481" s="21"/>
      <c r="E1481" s="86"/>
      <c r="F1481" s="99"/>
      <c r="G1481" s="99"/>
      <c r="H1481" s="21"/>
      <c r="I1481" s="21"/>
      <c r="J1481" s="21"/>
      <c r="K1481" s="5" t="str">
        <f>IF(AND(LEN(H1481)=0, LEN(I1481)=0), "", IF(AND(LEN(H1481)&gt;0, LEN(I1481)=0), "BLANCO", IFERROR(VLOOKUP(I1481, BasedatosM9!A:B, 2, FALSE), "BLANCO")))</f>
        <v/>
      </c>
    </row>
    <row r="1482" spans="1:11" ht="14.4">
      <c r="A1482" s="21"/>
      <c r="B1482" s="86"/>
      <c r="C1482" s="98"/>
      <c r="D1482" s="21"/>
      <c r="E1482" s="86"/>
      <c r="F1482" s="99"/>
      <c r="G1482" s="99"/>
      <c r="H1482" s="21"/>
      <c r="I1482" s="21"/>
      <c r="J1482" s="21"/>
      <c r="K1482" s="5" t="str">
        <f>IF(AND(LEN(H1482)=0, LEN(I1482)=0), "", IF(AND(LEN(H1482)&gt;0, LEN(I1482)=0), "BLANCO", IFERROR(VLOOKUP(I1482, BasedatosM9!A:B, 2, FALSE), "BLANCO")))</f>
        <v/>
      </c>
    </row>
    <row r="1483" spans="1:11" ht="14.4">
      <c r="A1483" s="21"/>
      <c r="B1483" s="86"/>
      <c r="C1483" s="98"/>
      <c r="D1483" s="21"/>
      <c r="E1483" s="86"/>
      <c r="F1483" s="99"/>
      <c r="G1483" s="99"/>
      <c r="H1483" s="21"/>
      <c r="I1483" s="86"/>
      <c r="J1483" s="21"/>
      <c r="K1483" s="5" t="str">
        <f>IF(AND(LEN(H1483)=0, LEN(I1483)=0), "", IF(AND(LEN(H1483)&gt;0, LEN(I1483)=0), "BLANCO", IFERROR(VLOOKUP(I1483, BasedatosM9!A:B, 2, FALSE), "BLANCO")))</f>
        <v/>
      </c>
    </row>
    <row r="1484" spans="1:11" ht="14.4">
      <c r="A1484" s="21"/>
      <c r="B1484" s="86"/>
      <c r="C1484" s="98"/>
      <c r="D1484" s="21"/>
      <c r="E1484" s="86"/>
      <c r="F1484" s="99"/>
      <c r="G1484" s="99"/>
      <c r="H1484" s="21"/>
      <c r="I1484" s="21"/>
      <c r="J1484" s="21"/>
      <c r="K1484" s="5" t="str">
        <f>IF(AND(LEN(H1484)=0, LEN(I1484)=0), "", IF(AND(LEN(H1484)&gt;0, LEN(I1484)=0), "BLANCO", IFERROR(VLOOKUP(I1484, BasedatosM9!A:B, 2, FALSE), "BLANCO")))</f>
        <v/>
      </c>
    </row>
    <row r="1485" spans="1:11" ht="14.4">
      <c r="A1485" s="21"/>
      <c r="B1485" s="86"/>
      <c r="C1485" s="98"/>
      <c r="D1485" s="21"/>
      <c r="E1485" s="86"/>
      <c r="F1485" s="99"/>
      <c r="G1485" s="99"/>
      <c r="H1485" s="21"/>
      <c r="I1485" s="21"/>
      <c r="J1485" s="21"/>
      <c r="K1485" s="5" t="str">
        <f>IF(AND(LEN(H1485)=0, LEN(I1485)=0), "", IF(AND(LEN(H1485)&gt;0, LEN(I1485)=0), "BLANCO", IFERROR(VLOOKUP(I1485, BasedatosM9!A:B, 2, FALSE), "BLANCO")))</f>
        <v/>
      </c>
    </row>
    <row r="1486" spans="1:11" ht="14.4">
      <c r="A1486" s="21"/>
      <c r="B1486" s="86"/>
      <c r="C1486" s="98"/>
      <c r="D1486" s="21"/>
      <c r="E1486" s="86"/>
      <c r="F1486" s="99"/>
      <c r="G1486" s="99"/>
      <c r="H1486" s="21"/>
      <c r="I1486" s="21"/>
      <c r="J1486" s="21"/>
      <c r="K1486" s="5" t="str">
        <f>IF(AND(LEN(H1486)=0, LEN(I1486)=0), "", IF(AND(LEN(H1486)&gt;0, LEN(I1486)=0), "BLANCO", IFERROR(VLOOKUP(I1486, BasedatosM9!A:B, 2, FALSE), "BLANCO")))</f>
        <v/>
      </c>
    </row>
    <row r="1487" spans="1:11" ht="14.4">
      <c r="A1487" s="21"/>
      <c r="B1487" s="86"/>
      <c r="C1487" s="98"/>
      <c r="D1487" s="21"/>
      <c r="E1487" s="86"/>
      <c r="F1487" s="99"/>
      <c r="G1487" s="99"/>
      <c r="H1487" s="21"/>
      <c r="I1487" s="21"/>
      <c r="J1487" s="21"/>
      <c r="K1487" s="5" t="str">
        <f>IF(AND(LEN(H1487)=0, LEN(I1487)=0), "", IF(AND(LEN(H1487)&gt;0, LEN(I1487)=0), "BLANCO", IFERROR(VLOOKUP(I1487, BasedatosM9!A:B, 2, FALSE), "BLANCO")))</f>
        <v/>
      </c>
    </row>
    <row r="1488" spans="1:11" ht="14.4">
      <c r="A1488" s="21"/>
      <c r="B1488" s="86"/>
      <c r="C1488" s="98"/>
      <c r="D1488" s="21"/>
      <c r="E1488" s="86"/>
      <c r="F1488" s="99"/>
      <c r="G1488" s="99"/>
      <c r="H1488" s="21"/>
      <c r="I1488" s="86"/>
      <c r="J1488" s="21"/>
      <c r="K1488" s="5" t="str">
        <f>IF(AND(LEN(H1488)=0, LEN(I1488)=0), "", IF(AND(LEN(H1488)&gt;0, LEN(I1488)=0), "BLANCO", IFERROR(VLOOKUP(I1488, BasedatosM9!A:B, 2, FALSE), "BLANCO")))</f>
        <v/>
      </c>
    </row>
    <row r="1489" spans="1:11" ht="14.4">
      <c r="A1489" s="21"/>
      <c r="B1489" s="86"/>
      <c r="C1489" s="98"/>
      <c r="D1489" s="21"/>
      <c r="E1489" s="86"/>
      <c r="F1489" s="99"/>
      <c r="G1489" s="99"/>
      <c r="H1489" s="21"/>
      <c r="I1489" s="21"/>
      <c r="J1489" s="21"/>
      <c r="K1489" s="5" t="str">
        <f>IF(AND(LEN(H1489)=0, LEN(I1489)=0), "", IF(AND(LEN(H1489)&gt;0, LEN(I1489)=0), "BLANCO", IFERROR(VLOOKUP(I1489, BasedatosM9!A:B, 2, FALSE), "BLANCO")))</f>
        <v/>
      </c>
    </row>
    <row r="1490" spans="1:11" ht="14.4">
      <c r="A1490" s="21"/>
      <c r="B1490" s="86"/>
      <c r="C1490" s="98"/>
      <c r="D1490" s="21"/>
      <c r="E1490" s="86"/>
      <c r="F1490" s="99"/>
      <c r="G1490" s="99"/>
      <c r="H1490" s="21"/>
      <c r="I1490" s="86"/>
      <c r="J1490" s="21"/>
      <c r="K1490" s="5" t="str">
        <f>IF(AND(LEN(H1490)=0, LEN(I1490)=0), "", IF(AND(LEN(H1490)&gt;0, LEN(I1490)=0), "BLANCO", IFERROR(VLOOKUP(I1490, BasedatosM9!A:B, 2, FALSE), "BLANCO")))</f>
        <v/>
      </c>
    </row>
    <row r="1491" spans="1:11" ht="14.4">
      <c r="A1491" s="21"/>
      <c r="B1491" s="86"/>
      <c r="C1491" s="98"/>
      <c r="D1491" s="21"/>
      <c r="E1491" s="86"/>
      <c r="F1491" s="99"/>
      <c r="G1491" s="99"/>
      <c r="H1491" s="21"/>
      <c r="I1491" s="21"/>
      <c r="J1491" s="21"/>
      <c r="K1491" s="5" t="str">
        <f>IF(AND(LEN(H1491)=0, LEN(I1491)=0), "", IF(AND(LEN(H1491)&gt;0, LEN(I1491)=0), "BLANCO", IFERROR(VLOOKUP(I1491, BasedatosM9!A:B, 2, FALSE), "BLANCO")))</f>
        <v/>
      </c>
    </row>
    <row r="1492" spans="1:11" ht="14.4">
      <c r="A1492" s="21"/>
      <c r="B1492" s="86"/>
      <c r="C1492" s="98"/>
      <c r="D1492" s="21"/>
      <c r="E1492" s="86"/>
      <c r="F1492" s="99"/>
      <c r="G1492" s="99"/>
      <c r="H1492" s="21"/>
      <c r="I1492" s="21"/>
      <c r="J1492" s="21"/>
      <c r="K1492" s="5" t="str">
        <f>IF(AND(LEN(H1492)=0, LEN(I1492)=0), "", IF(AND(LEN(H1492)&gt;0, LEN(I1492)=0), "BLANCO", IFERROR(VLOOKUP(I1492, BasedatosM9!A:B, 2, FALSE), "BLANCO")))</f>
        <v/>
      </c>
    </row>
    <row r="1493" spans="1:11" ht="14.4">
      <c r="A1493" s="21"/>
      <c r="B1493" s="86"/>
      <c r="C1493" s="98"/>
      <c r="D1493" s="21"/>
      <c r="E1493" s="86"/>
      <c r="F1493" s="99"/>
      <c r="G1493" s="99"/>
      <c r="H1493" s="21"/>
      <c r="I1493" s="86"/>
      <c r="J1493" s="21"/>
      <c r="K1493" s="5" t="str">
        <f>IF(AND(LEN(H1493)=0, LEN(I1493)=0), "", IF(AND(LEN(H1493)&gt;0, LEN(I1493)=0), "BLANCO", IFERROR(VLOOKUP(I1493, BasedatosM9!A:B, 2, FALSE), "BLANCO")))</f>
        <v/>
      </c>
    </row>
    <row r="1494" spans="1:11" ht="14.4">
      <c r="A1494" s="21"/>
      <c r="B1494" s="86"/>
      <c r="C1494" s="98"/>
      <c r="D1494" s="21"/>
      <c r="E1494" s="86"/>
      <c r="F1494" s="99"/>
      <c r="G1494" s="99"/>
      <c r="H1494" s="21"/>
      <c r="I1494" s="86"/>
      <c r="J1494" s="21"/>
      <c r="K1494" s="5" t="str">
        <f>IF(AND(LEN(H1494)=0, LEN(I1494)=0), "", IF(AND(LEN(H1494)&gt;0, LEN(I1494)=0), "BLANCO", IFERROR(VLOOKUP(I1494, BasedatosM9!A:B, 2, FALSE), "BLANCO")))</f>
        <v/>
      </c>
    </row>
    <row r="1495" spans="1:11" ht="14.4">
      <c r="A1495" s="21"/>
      <c r="B1495" s="86"/>
      <c r="C1495" s="98"/>
      <c r="D1495" s="21"/>
      <c r="E1495" s="86"/>
      <c r="F1495" s="99"/>
      <c r="G1495" s="99"/>
      <c r="H1495" s="21"/>
      <c r="I1495" s="86"/>
      <c r="J1495" s="21"/>
      <c r="K1495" s="5" t="str">
        <f>IF(AND(LEN(H1495)=0, LEN(I1495)=0), "", IF(AND(LEN(H1495)&gt;0, LEN(I1495)=0), "BLANCO", IFERROR(VLOOKUP(I1495, BasedatosM9!A:B, 2, FALSE), "BLANCO")))</f>
        <v/>
      </c>
    </row>
    <row r="1496" spans="1:11" ht="14.4">
      <c r="A1496" s="21"/>
      <c r="B1496" s="86"/>
      <c r="C1496" s="98"/>
      <c r="D1496" s="21"/>
      <c r="E1496" s="86"/>
      <c r="F1496" s="99"/>
      <c r="G1496" s="99"/>
      <c r="H1496" s="21"/>
      <c r="I1496" s="21"/>
      <c r="J1496" s="21"/>
      <c r="K1496" s="5" t="str">
        <f>IF(AND(LEN(H1496)=0, LEN(I1496)=0), "", IF(AND(LEN(H1496)&gt;0, LEN(I1496)=0), "BLANCO", IFERROR(VLOOKUP(I1496, BasedatosM9!A:B, 2, FALSE), "BLANCO")))</f>
        <v/>
      </c>
    </row>
    <row r="1497" spans="1:11" ht="14.4">
      <c r="A1497" s="21"/>
      <c r="B1497" s="86"/>
      <c r="C1497" s="98"/>
      <c r="D1497" s="21"/>
      <c r="E1497" s="86"/>
      <c r="F1497" s="99"/>
      <c r="G1497" s="99"/>
      <c r="H1497" s="21"/>
      <c r="I1497" s="21"/>
      <c r="J1497" s="21"/>
      <c r="K1497" s="5" t="str">
        <f>IF(AND(LEN(H1497)=0, LEN(I1497)=0), "", IF(AND(LEN(H1497)&gt;0, LEN(I1497)=0), "BLANCO", IFERROR(VLOOKUP(I1497, BasedatosM9!A:B, 2, FALSE), "BLANCO")))</f>
        <v/>
      </c>
    </row>
    <row r="1498" spans="1:11" ht="14.4">
      <c r="A1498" s="21"/>
      <c r="B1498" s="86"/>
      <c r="C1498" s="98"/>
      <c r="D1498" s="21"/>
      <c r="E1498" s="86"/>
      <c r="F1498" s="99"/>
      <c r="G1498" s="99"/>
      <c r="H1498" s="21"/>
      <c r="I1498" s="86"/>
      <c r="J1498" s="21"/>
      <c r="K1498" s="5" t="str">
        <f>IF(AND(LEN(H1498)=0, LEN(I1498)=0), "", IF(AND(LEN(H1498)&gt;0, LEN(I1498)=0), "BLANCO", IFERROR(VLOOKUP(I1498, BasedatosM9!A:B, 2, FALSE), "BLANCO")))</f>
        <v/>
      </c>
    </row>
    <row r="1499" spans="1:11" ht="14.4">
      <c r="A1499" s="21"/>
      <c r="B1499" s="86"/>
      <c r="C1499" s="98"/>
      <c r="D1499" s="21"/>
      <c r="E1499" s="86"/>
      <c r="F1499" s="99"/>
      <c r="G1499" s="99"/>
      <c r="H1499" s="21"/>
      <c r="I1499" s="21"/>
      <c r="J1499" s="21"/>
      <c r="K1499" s="5" t="str">
        <f>IF(AND(LEN(H1499)=0, LEN(I1499)=0), "", IF(AND(LEN(H1499)&gt;0, LEN(I1499)=0), "BLANCO", IFERROR(VLOOKUP(I1499, BasedatosM9!A:B, 2, FALSE), "BLANCO")))</f>
        <v/>
      </c>
    </row>
    <row r="1500" spans="1:11" ht="14.4">
      <c r="A1500" s="21"/>
      <c r="B1500" s="86"/>
      <c r="C1500" s="98"/>
      <c r="D1500" s="21"/>
      <c r="E1500" s="86"/>
      <c r="F1500" s="99"/>
      <c r="G1500" s="99"/>
      <c r="H1500" s="21"/>
      <c r="I1500" s="86"/>
      <c r="J1500" s="21"/>
      <c r="K1500" s="5" t="str">
        <f>IF(AND(LEN(H1500)=0, LEN(I1500)=0), "", IF(AND(LEN(H1500)&gt;0, LEN(I1500)=0), "BLANCO", IFERROR(VLOOKUP(I1500, BasedatosM9!A:B, 2, FALSE), "BLANCO")))</f>
        <v/>
      </c>
    </row>
    <row r="1501" spans="1:11" ht="14.4">
      <c r="A1501" s="21"/>
      <c r="B1501" s="86"/>
      <c r="C1501" s="98"/>
      <c r="D1501" s="21"/>
      <c r="E1501" s="86"/>
      <c r="F1501" s="99"/>
      <c r="G1501" s="99"/>
      <c r="H1501" s="21"/>
      <c r="I1501" s="86"/>
      <c r="J1501" s="21"/>
      <c r="K1501" s="5" t="str">
        <f>IF(AND(LEN(H1501)=0, LEN(I1501)=0), "", IF(AND(LEN(H1501)&gt;0, LEN(I1501)=0), "BLANCO", IFERROR(VLOOKUP(I1501, BasedatosM9!A:B, 2, FALSE), "BLANCO")))</f>
        <v/>
      </c>
    </row>
    <row r="1502" spans="1:11" ht="14.4">
      <c r="A1502" s="21"/>
      <c r="B1502" s="86"/>
      <c r="C1502" s="98"/>
      <c r="D1502" s="21"/>
      <c r="E1502" s="86"/>
      <c r="F1502" s="99"/>
      <c r="G1502" s="99"/>
      <c r="H1502" s="21"/>
      <c r="I1502" s="86"/>
      <c r="J1502" s="21"/>
      <c r="K1502" s="5" t="str">
        <f>IF(AND(LEN(H1502)=0, LEN(I1502)=0), "", IF(AND(LEN(H1502)&gt;0, LEN(I1502)=0), "BLANCO", IFERROR(VLOOKUP(I1502, BasedatosM9!A:B, 2, FALSE), "BLANCO")))</f>
        <v/>
      </c>
    </row>
    <row r="1503" spans="1:11" ht="14.4">
      <c r="A1503" s="21"/>
      <c r="B1503" s="86"/>
      <c r="C1503" s="98"/>
      <c r="D1503" s="21"/>
      <c r="E1503" s="86"/>
      <c r="F1503" s="99"/>
      <c r="G1503" s="99"/>
      <c r="H1503" s="21"/>
      <c r="I1503" s="86"/>
      <c r="J1503" s="21"/>
      <c r="K1503" s="5" t="str">
        <f>IF(AND(LEN(H1503)=0, LEN(I1503)=0), "", IF(AND(LEN(H1503)&gt;0, LEN(I1503)=0), "BLANCO", IFERROR(VLOOKUP(I1503, BasedatosM9!A:B, 2, FALSE), "BLANCO")))</f>
        <v/>
      </c>
    </row>
    <row r="1504" spans="1:11" ht="14.4">
      <c r="A1504" s="21"/>
      <c r="B1504" s="86"/>
      <c r="C1504" s="98"/>
      <c r="D1504" s="21"/>
      <c r="E1504" s="86"/>
      <c r="F1504" s="99"/>
      <c r="G1504" s="99"/>
      <c r="H1504" s="21"/>
      <c r="I1504" s="21"/>
      <c r="J1504" s="21"/>
      <c r="K1504" s="5" t="str">
        <f>IF(AND(LEN(H1504)=0, LEN(I1504)=0), "", IF(AND(LEN(H1504)&gt;0, LEN(I1504)=0), "BLANCO", IFERROR(VLOOKUP(I1504, BasedatosM9!A:B, 2, FALSE), "BLANCO")))</f>
        <v/>
      </c>
    </row>
    <row r="1505" spans="1:11" ht="14.4">
      <c r="A1505" s="21"/>
      <c r="B1505" s="86"/>
      <c r="C1505" s="98"/>
      <c r="D1505" s="21"/>
      <c r="E1505" s="86"/>
      <c r="F1505" s="99"/>
      <c r="G1505" s="99"/>
      <c r="H1505" s="21"/>
      <c r="I1505" s="21"/>
      <c r="J1505" s="21"/>
      <c r="K1505" s="5" t="str">
        <f>IF(AND(LEN(H1505)=0, LEN(I1505)=0), "", IF(AND(LEN(H1505)&gt;0, LEN(I1505)=0), "BLANCO", IFERROR(VLOOKUP(I1505, BasedatosM9!A:B, 2, FALSE), "BLANCO")))</f>
        <v/>
      </c>
    </row>
    <row r="1506" spans="1:11" ht="14.4">
      <c r="A1506" s="21"/>
      <c r="B1506" s="86"/>
      <c r="C1506" s="98"/>
      <c r="D1506" s="21"/>
      <c r="E1506" s="86"/>
      <c r="F1506" s="99"/>
      <c r="G1506" s="99"/>
      <c r="H1506" s="21"/>
      <c r="I1506" s="21"/>
      <c r="J1506" s="21"/>
      <c r="K1506" s="5" t="str">
        <f>IF(AND(LEN(H1506)=0, LEN(I1506)=0), "", IF(AND(LEN(H1506)&gt;0, LEN(I1506)=0), "BLANCO", IFERROR(VLOOKUP(I1506, BasedatosM9!A:B, 2, FALSE), "BLANCO")))</f>
        <v/>
      </c>
    </row>
    <row r="1507" spans="1:11" ht="14.4">
      <c r="A1507" s="21"/>
      <c r="B1507" s="86"/>
      <c r="C1507" s="98"/>
      <c r="D1507" s="21"/>
      <c r="E1507" s="86"/>
      <c r="F1507" s="99"/>
      <c r="G1507" s="99"/>
      <c r="H1507" s="21"/>
      <c r="I1507" s="86"/>
      <c r="J1507" s="21"/>
      <c r="K1507" s="5" t="str">
        <f>IF(AND(LEN(H1507)=0, LEN(I1507)=0), "", IF(AND(LEN(H1507)&gt;0, LEN(I1507)=0), "BLANCO", IFERROR(VLOOKUP(I1507, BasedatosM9!A:B, 2, FALSE), "BLANCO")))</f>
        <v/>
      </c>
    </row>
    <row r="1508" spans="1:11" ht="14.4">
      <c r="A1508" s="21"/>
      <c r="B1508" s="86"/>
      <c r="C1508" s="98"/>
      <c r="D1508" s="21"/>
      <c r="E1508" s="86"/>
      <c r="F1508" s="99"/>
      <c r="G1508" s="99"/>
      <c r="H1508" s="21"/>
      <c r="I1508" s="86"/>
      <c r="J1508" s="21"/>
      <c r="K1508" s="5" t="str">
        <f>IF(AND(LEN(H1508)=0, LEN(I1508)=0), "", IF(AND(LEN(H1508)&gt;0, LEN(I1508)=0), "BLANCO", IFERROR(VLOOKUP(I1508, BasedatosM9!A:B, 2, FALSE), "BLANCO")))</f>
        <v/>
      </c>
    </row>
    <row r="1509" spans="1:11" ht="14.4">
      <c r="A1509" s="21"/>
      <c r="B1509" s="86"/>
      <c r="C1509" s="98"/>
      <c r="D1509" s="21"/>
      <c r="E1509" s="86"/>
      <c r="F1509" s="99"/>
      <c r="G1509" s="99"/>
      <c r="H1509" s="21"/>
      <c r="I1509" s="86"/>
      <c r="J1509" s="21"/>
      <c r="K1509" s="5" t="str">
        <f>IF(AND(LEN(H1509)=0, LEN(I1509)=0), "", IF(AND(LEN(H1509)&gt;0, LEN(I1509)=0), "BLANCO", IFERROR(VLOOKUP(I1509, BasedatosM9!A:B, 2, FALSE), "BLANCO")))</f>
        <v/>
      </c>
    </row>
    <row r="1510" spans="1:11" ht="14.4">
      <c r="A1510" s="21"/>
      <c r="B1510" s="86"/>
      <c r="C1510" s="98"/>
      <c r="D1510" s="21"/>
      <c r="E1510" s="86"/>
      <c r="F1510" s="99"/>
      <c r="G1510" s="99"/>
      <c r="H1510" s="21"/>
      <c r="I1510" s="86"/>
      <c r="J1510" s="21"/>
      <c r="K1510" s="5" t="str">
        <f>IF(AND(LEN(H1510)=0, LEN(I1510)=0), "", IF(AND(LEN(H1510)&gt;0, LEN(I1510)=0), "BLANCO", IFERROR(VLOOKUP(I1510, BasedatosM9!A:B, 2, FALSE), "BLANCO")))</f>
        <v/>
      </c>
    </row>
    <row r="1511" spans="1:11" ht="14.4">
      <c r="A1511" s="21"/>
      <c r="B1511" s="86"/>
      <c r="C1511" s="98"/>
      <c r="D1511" s="21"/>
      <c r="E1511" s="86"/>
      <c r="F1511" s="99"/>
      <c r="G1511" s="99"/>
      <c r="H1511" s="21"/>
      <c r="I1511" s="86"/>
      <c r="J1511" s="21"/>
      <c r="K1511" s="5" t="str">
        <f>IF(AND(LEN(H1511)=0, LEN(I1511)=0), "", IF(AND(LEN(H1511)&gt;0, LEN(I1511)=0), "BLANCO", IFERROR(VLOOKUP(I1511, BasedatosM9!A:B, 2, FALSE), "BLANCO")))</f>
        <v/>
      </c>
    </row>
    <row r="1512" spans="1:11" ht="14.4">
      <c r="A1512" s="21"/>
      <c r="B1512" s="86"/>
      <c r="C1512" s="98"/>
      <c r="D1512" s="21"/>
      <c r="E1512" s="86"/>
      <c r="F1512" s="99"/>
      <c r="G1512" s="99"/>
      <c r="H1512" s="21"/>
      <c r="I1512" s="86"/>
      <c r="J1512" s="21"/>
      <c r="K1512" s="5" t="str">
        <f>IF(AND(LEN(H1512)=0, LEN(I1512)=0), "", IF(AND(LEN(H1512)&gt;0, LEN(I1512)=0), "BLANCO", IFERROR(VLOOKUP(I1512, BasedatosM9!A:B, 2, FALSE), "BLANCO")))</f>
        <v/>
      </c>
    </row>
    <row r="1513" spans="1:11" ht="14.4">
      <c r="A1513" s="21"/>
      <c r="B1513" s="86"/>
      <c r="C1513" s="98"/>
      <c r="D1513" s="21"/>
      <c r="E1513" s="86"/>
      <c r="F1513" s="99"/>
      <c r="G1513" s="99"/>
      <c r="H1513" s="21"/>
      <c r="I1513" s="86"/>
      <c r="J1513" s="21"/>
      <c r="K1513" s="5" t="str">
        <f>IF(AND(LEN(H1513)=0, LEN(I1513)=0), "", IF(AND(LEN(H1513)&gt;0, LEN(I1513)=0), "BLANCO", IFERROR(VLOOKUP(I1513, BasedatosM9!A:B, 2, FALSE), "BLANCO")))</f>
        <v/>
      </c>
    </row>
    <row r="1514" spans="1:11" ht="14.4">
      <c r="A1514" s="21"/>
      <c r="B1514" s="86"/>
      <c r="C1514" s="98"/>
      <c r="D1514" s="21"/>
      <c r="E1514" s="86"/>
      <c r="F1514" s="99"/>
      <c r="G1514" s="99"/>
      <c r="H1514" s="21"/>
      <c r="I1514" s="86"/>
      <c r="J1514" s="21"/>
      <c r="K1514" s="5" t="str">
        <f>IF(AND(LEN(H1514)=0, LEN(I1514)=0), "", IF(AND(LEN(H1514)&gt;0, LEN(I1514)=0), "BLANCO", IFERROR(VLOOKUP(I1514, BasedatosM9!A:B, 2, FALSE), "BLANCO")))</f>
        <v/>
      </c>
    </row>
    <row r="1515" spans="1:11" ht="14.4">
      <c r="A1515" s="21"/>
      <c r="B1515" s="86"/>
      <c r="C1515" s="98"/>
      <c r="D1515" s="21"/>
      <c r="E1515" s="86"/>
      <c r="F1515" s="99"/>
      <c r="G1515" s="99"/>
      <c r="H1515" s="21"/>
      <c r="I1515" s="86"/>
      <c r="J1515" s="21"/>
      <c r="K1515" s="5" t="str">
        <f>IF(AND(LEN(H1515)=0, LEN(I1515)=0), "", IF(AND(LEN(H1515)&gt;0, LEN(I1515)=0), "BLANCO", IFERROR(VLOOKUP(I1515, BasedatosM9!A:B, 2, FALSE), "BLANCO")))</f>
        <v/>
      </c>
    </row>
    <row r="1516" spans="1:11" ht="14.4">
      <c r="A1516" s="21"/>
      <c r="B1516" s="86"/>
      <c r="C1516" s="98"/>
      <c r="D1516" s="21"/>
      <c r="E1516" s="86"/>
      <c r="F1516" s="99"/>
      <c r="G1516" s="99"/>
      <c r="H1516" s="21"/>
      <c r="I1516" s="86"/>
      <c r="J1516" s="21"/>
      <c r="K1516" s="5" t="str">
        <f>IF(AND(LEN(H1516)=0, LEN(I1516)=0), "", IF(AND(LEN(H1516)&gt;0, LEN(I1516)=0), "BLANCO", IFERROR(VLOOKUP(I1516, BasedatosM9!A:B, 2, FALSE), "BLANCO")))</f>
        <v/>
      </c>
    </row>
    <row r="1517" spans="1:11" ht="14.4">
      <c r="A1517" s="21"/>
      <c r="B1517" s="86"/>
      <c r="C1517" s="98"/>
      <c r="D1517" s="21"/>
      <c r="E1517" s="86"/>
      <c r="F1517" s="99"/>
      <c r="G1517" s="99"/>
      <c r="H1517" s="21"/>
      <c r="I1517" s="21"/>
      <c r="J1517" s="21"/>
      <c r="K1517" s="5" t="str">
        <f>IF(AND(LEN(H1517)=0, LEN(I1517)=0), "", IF(AND(LEN(H1517)&gt;0, LEN(I1517)=0), "BLANCO", IFERROR(VLOOKUP(I1517, BasedatosM9!A:B, 2, FALSE), "BLANCO")))</f>
        <v/>
      </c>
    </row>
    <row r="1518" spans="1:11" ht="14.4">
      <c r="A1518" s="21"/>
      <c r="B1518" s="86"/>
      <c r="C1518" s="98"/>
      <c r="D1518" s="21"/>
      <c r="E1518" s="86"/>
      <c r="F1518" s="99"/>
      <c r="G1518" s="99"/>
      <c r="H1518" s="21"/>
      <c r="I1518" s="21"/>
      <c r="J1518" s="21"/>
      <c r="K1518" s="5" t="str">
        <f>IF(AND(LEN(H1518)=0, LEN(I1518)=0), "", IF(AND(LEN(H1518)&gt;0, LEN(I1518)=0), "BLANCO", IFERROR(VLOOKUP(I1518, BasedatosM9!A:B, 2, FALSE), "BLANCO")))</f>
        <v/>
      </c>
    </row>
    <row r="1519" spans="1:11" ht="14.4">
      <c r="A1519" s="21"/>
      <c r="B1519" s="86"/>
      <c r="C1519" s="98"/>
      <c r="D1519" s="21"/>
      <c r="E1519" s="86"/>
      <c r="F1519" s="99"/>
      <c r="G1519" s="99"/>
      <c r="H1519" s="21"/>
      <c r="I1519" s="86"/>
      <c r="J1519" s="21"/>
      <c r="K1519" s="5" t="str">
        <f>IF(AND(LEN(H1519)=0, LEN(I1519)=0), "", IF(AND(LEN(H1519)&gt;0, LEN(I1519)=0), "BLANCO", IFERROR(VLOOKUP(I1519, BasedatosM9!A:B, 2, FALSE), "BLANCO")))</f>
        <v/>
      </c>
    </row>
    <row r="1520" spans="1:11" ht="14.4">
      <c r="A1520" s="21"/>
      <c r="B1520" s="86"/>
      <c r="C1520" s="98"/>
      <c r="D1520" s="21"/>
      <c r="E1520" s="86"/>
      <c r="F1520" s="99"/>
      <c r="G1520" s="99"/>
      <c r="H1520" s="21"/>
      <c r="I1520" s="86"/>
      <c r="J1520" s="21"/>
      <c r="K1520" s="5" t="str">
        <f>IF(AND(LEN(H1520)=0, LEN(I1520)=0), "", IF(AND(LEN(H1520)&gt;0, LEN(I1520)=0), "BLANCO", IFERROR(VLOOKUP(I1520, BasedatosM9!A:B, 2, FALSE), "BLANCO")))</f>
        <v/>
      </c>
    </row>
    <row r="1521" spans="1:11" ht="14.4">
      <c r="A1521" s="21"/>
      <c r="B1521" s="86"/>
      <c r="C1521" s="98"/>
      <c r="D1521" s="21"/>
      <c r="E1521" s="86"/>
      <c r="F1521" s="99"/>
      <c r="G1521" s="99"/>
      <c r="H1521" s="21"/>
      <c r="I1521" s="86"/>
      <c r="J1521" s="21"/>
      <c r="K1521" s="5" t="str">
        <f>IF(AND(LEN(H1521)=0, LEN(I1521)=0), "", IF(AND(LEN(H1521)&gt;0, LEN(I1521)=0), "BLANCO", IFERROR(VLOOKUP(I1521, BasedatosM9!A:B, 2, FALSE), "BLANCO")))</f>
        <v/>
      </c>
    </row>
    <row r="1522" spans="1:11" ht="14.4">
      <c r="A1522" s="21"/>
      <c r="B1522" s="86"/>
      <c r="C1522" s="98"/>
      <c r="D1522" s="21"/>
      <c r="E1522" s="86"/>
      <c r="F1522" s="99"/>
      <c r="G1522" s="99"/>
      <c r="H1522" s="21"/>
      <c r="I1522" s="86"/>
      <c r="J1522" s="21"/>
      <c r="K1522" s="5" t="str">
        <f>IF(AND(LEN(H1522)=0, LEN(I1522)=0), "", IF(AND(LEN(H1522)&gt;0, LEN(I1522)=0), "BLANCO", IFERROR(VLOOKUP(I1522, BasedatosM9!A:B, 2, FALSE), "BLANCO")))</f>
        <v/>
      </c>
    </row>
    <row r="1523" spans="1:11" ht="14.4">
      <c r="A1523" s="21"/>
      <c r="B1523" s="86"/>
      <c r="C1523" s="98"/>
      <c r="D1523" s="21"/>
      <c r="E1523" s="86"/>
      <c r="F1523" s="99"/>
      <c r="G1523" s="99"/>
      <c r="H1523" s="21"/>
      <c r="I1523" s="86"/>
      <c r="J1523" s="21"/>
      <c r="K1523" s="5" t="str">
        <f>IF(AND(LEN(H1523)=0, LEN(I1523)=0), "", IF(AND(LEN(H1523)&gt;0, LEN(I1523)=0), "BLANCO", IFERROR(VLOOKUP(I1523, BasedatosM9!A:B, 2, FALSE), "BLANCO")))</f>
        <v/>
      </c>
    </row>
    <row r="1524" spans="1:11" ht="14.4">
      <c r="A1524" s="21"/>
      <c r="B1524" s="86"/>
      <c r="C1524" s="98"/>
      <c r="D1524" s="21"/>
      <c r="E1524" s="86"/>
      <c r="F1524" s="99"/>
      <c r="G1524" s="99"/>
      <c r="H1524" s="21"/>
      <c r="I1524" s="86"/>
      <c r="J1524" s="21"/>
      <c r="K1524" s="5" t="str">
        <f>IF(AND(LEN(H1524)=0, LEN(I1524)=0), "", IF(AND(LEN(H1524)&gt;0, LEN(I1524)=0), "BLANCO", IFERROR(VLOOKUP(I1524, BasedatosM9!A:B, 2, FALSE), "BLANCO")))</f>
        <v/>
      </c>
    </row>
    <row r="1525" spans="1:11" ht="14.4">
      <c r="A1525" s="21"/>
      <c r="B1525" s="86"/>
      <c r="C1525" s="98"/>
      <c r="D1525" s="21"/>
      <c r="E1525" s="86"/>
      <c r="F1525" s="99"/>
      <c r="G1525" s="99"/>
      <c r="H1525" s="21"/>
      <c r="I1525" s="86"/>
      <c r="J1525" s="21"/>
      <c r="K1525" s="5" t="str">
        <f>IF(AND(LEN(H1525)=0, LEN(I1525)=0), "", IF(AND(LEN(H1525)&gt;0, LEN(I1525)=0), "BLANCO", IFERROR(VLOOKUP(I1525, BasedatosM9!A:B, 2, FALSE), "BLANCO")))</f>
        <v/>
      </c>
    </row>
    <row r="1526" spans="1:11" ht="14.4">
      <c r="A1526" s="21"/>
      <c r="B1526" s="86"/>
      <c r="C1526" s="98"/>
      <c r="D1526" s="21"/>
      <c r="E1526" s="86"/>
      <c r="F1526" s="99"/>
      <c r="G1526" s="99"/>
      <c r="H1526" s="21"/>
      <c r="I1526" s="86"/>
      <c r="J1526" s="21"/>
      <c r="K1526" s="5" t="str">
        <f>IF(AND(LEN(H1526)=0, LEN(I1526)=0), "", IF(AND(LEN(H1526)&gt;0, LEN(I1526)=0), "BLANCO", IFERROR(VLOOKUP(I1526, BasedatosM9!A:B, 2, FALSE), "BLANCO")))</f>
        <v/>
      </c>
    </row>
    <row r="1527" spans="1:11" ht="14.4">
      <c r="A1527" s="21"/>
      <c r="B1527" s="86"/>
      <c r="C1527" s="98"/>
      <c r="D1527" s="21"/>
      <c r="E1527" s="86"/>
      <c r="F1527" s="99"/>
      <c r="G1527" s="99"/>
      <c r="H1527" s="21"/>
      <c r="I1527" s="21"/>
      <c r="J1527" s="21"/>
      <c r="K1527" s="5" t="str">
        <f>IF(AND(LEN(H1527)=0, LEN(I1527)=0), "", IF(AND(LEN(H1527)&gt;0, LEN(I1527)=0), "BLANCO", IFERROR(VLOOKUP(I1527, BasedatosM9!A:B, 2, FALSE), "BLANCO")))</f>
        <v/>
      </c>
    </row>
    <row r="1528" spans="1:11" ht="14.4">
      <c r="A1528" s="21"/>
      <c r="B1528" s="86"/>
      <c r="C1528" s="98"/>
      <c r="D1528" s="21"/>
      <c r="E1528" s="86"/>
      <c r="F1528" s="99"/>
      <c r="G1528" s="99"/>
      <c r="H1528" s="21"/>
      <c r="I1528" s="86"/>
      <c r="J1528" s="21"/>
      <c r="K1528" s="5" t="str">
        <f>IF(AND(LEN(H1528)=0, LEN(I1528)=0), "", IF(AND(LEN(H1528)&gt;0, LEN(I1528)=0), "BLANCO", IFERROR(VLOOKUP(I1528, BasedatosM9!A:B, 2, FALSE), "BLANCO")))</f>
        <v/>
      </c>
    </row>
    <row r="1529" spans="1:11" ht="14.4">
      <c r="A1529" s="21"/>
      <c r="B1529" s="86"/>
      <c r="C1529" s="98"/>
      <c r="D1529" s="21"/>
      <c r="E1529" s="86"/>
      <c r="F1529" s="99"/>
      <c r="G1529" s="99"/>
      <c r="H1529" s="21"/>
      <c r="I1529" s="86"/>
      <c r="J1529" s="21"/>
      <c r="K1529" s="5" t="str">
        <f>IF(AND(LEN(H1529)=0, LEN(I1529)=0), "", IF(AND(LEN(H1529)&gt;0, LEN(I1529)=0), "BLANCO", IFERROR(VLOOKUP(I1529, BasedatosM9!A:B, 2, FALSE), "BLANCO")))</f>
        <v/>
      </c>
    </row>
    <row r="1530" spans="1:11" ht="14.4">
      <c r="A1530" s="21"/>
      <c r="B1530" s="86"/>
      <c r="C1530" s="98"/>
      <c r="D1530" s="21"/>
      <c r="E1530" s="86"/>
      <c r="F1530" s="99"/>
      <c r="G1530" s="99"/>
      <c r="H1530" s="21"/>
      <c r="I1530" s="86"/>
      <c r="J1530" s="21"/>
      <c r="K1530" s="5" t="str">
        <f>IF(AND(LEN(H1530)=0, LEN(I1530)=0), "", IF(AND(LEN(H1530)&gt;0, LEN(I1530)=0), "BLANCO", IFERROR(VLOOKUP(I1530, BasedatosM9!A:B, 2, FALSE), "BLANCO")))</f>
        <v/>
      </c>
    </row>
    <row r="1531" spans="1:11" ht="14.4">
      <c r="A1531" s="21"/>
      <c r="B1531" s="86"/>
      <c r="C1531" s="98"/>
      <c r="D1531" s="21"/>
      <c r="E1531" s="86"/>
      <c r="F1531" s="99"/>
      <c r="G1531" s="99"/>
      <c r="H1531" s="21"/>
      <c r="I1531" s="86"/>
      <c r="J1531" s="21"/>
      <c r="K1531" s="5" t="str">
        <f>IF(AND(LEN(H1531)=0, LEN(I1531)=0), "", IF(AND(LEN(H1531)&gt;0, LEN(I1531)=0), "BLANCO", IFERROR(VLOOKUP(I1531, BasedatosM9!A:B, 2, FALSE), "BLANCO")))</f>
        <v/>
      </c>
    </row>
    <row r="1532" spans="1:11" ht="14.4">
      <c r="A1532" s="21"/>
      <c r="B1532" s="86"/>
      <c r="C1532" s="98"/>
      <c r="D1532" s="21"/>
      <c r="E1532" s="86"/>
      <c r="F1532" s="99"/>
      <c r="G1532" s="99"/>
      <c r="H1532" s="21"/>
      <c r="I1532" s="86"/>
      <c r="J1532" s="21"/>
      <c r="K1532" s="5" t="str">
        <f>IF(AND(LEN(H1532)=0, LEN(I1532)=0), "", IF(AND(LEN(H1532)&gt;0, LEN(I1532)=0), "BLANCO", IFERROR(VLOOKUP(I1532, BasedatosM9!A:B, 2, FALSE), "BLANCO")))</f>
        <v/>
      </c>
    </row>
    <row r="1533" spans="1:11" ht="14.4">
      <c r="A1533" s="21"/>
      <c r="B1533" s="86"/>
      <c r="C1533" s="98"/>
      <c r="D1533" s="21"/>
      <c r="E1533" s="86"/>
      <c r="F1533" s="99"/>
      <c r="G1533" s="99"/>
      <c r="H1533" s="21"/>
      <c r="I1533" s="86"/>
      <c r="J1533" s="21"/>
      <c r="K1533" s="5" t="str">
        <f>IF(AND(LEN(H1533)=0, LEN(I1533)=0), "", IF(AND(LEN(H1533)&gt;0, LEN(I1533)=0), "BLANCO", IFERROR(VLOOKUP(I1533, BasedatosM9!A:B, 2, FALSE), "BLANCO")))</f>
        <v/>
      </c>
    </row>
    <row r="1534" spans="1:11" ht="14.4">
      <c r="A1534" s="21"/>
      <c r="B1534" s="86"/>
      <c r="C1534" s="98"/>
      <c r="D1534" s="21"/>
      <c r="E1534" s="86"/>
      <c r="F1534" s="99"/>
      <c r="G1534" s="99"/>
      <c r="H1534" s="21"/>
      <c r="I1534" s="86"/>
      <c r="J1534" s="21"/>
      <c r="K1534" s="5" t="str">
        <f>IF(AND(LEN(H1534)=0, LEN(I1534)=0), "", IF(AND(LEN(H1534)&gt;0, LEN(I1534)=0), "BLANCO", IFERROR(VLOOKUP(I1534, BasedatosM9!A:B, 2, FALSE), "BLANCO")))</f>
        <v/>
      </c>
    </row>
    <row r="1535" spans="1:11" ht="14.4">
      <c r="A1535" s="21"/>
      <c r="B1535" s="86"/>
      <c r="C1535" s="98"/>
      <c r="D1535" s="21"/>
      <c r="E1535" s="86"/>
      <c r="F1535" s="99"/>
      <c r="G1535" s="99"/>
      <c r="H1535" s="21"/>
      <c r="I1535" s="86"/>
      <c r="J1535" s="21"/>
      <c r="K1535" s="5" t="str">
        <f>IF(AND(LEN(H1535)=0, LEN(I1535)=0), "", IF(AND(LEN(H1535)&gt;0, LEN(I1535)=0), "BLANCO", IFERROR(VLOOKUP(I1535, BasedatosM9!A:B, 2, FALSE), "BLANCO")))</f>
        <v/>
      </c>
    </row>
    <row r="1536" spans="1:11" ht="14.4">
      <c r="A1536" s="21"/>
      <c r="B1536" s="86"/>
      <c r="C1536" s="98"/>
      <c r="D1536" s="21"/>
      <c r="E1536" s="86"/>
      <c r="F1536" s="99"/>
      <c r="G1536" s="99"/>
      <c r="H1536" s="21"/>
      <c r="I1536" s="86"/>
      <c r="J1536" s="21"/>
      <c r="K1536" s="5" t="str">
        <f>IF(AND(LEN(H1536)=0, LEN(I1536)=0), "", IF(AND(LEN(H1536)&gt;0, LEN(I1536)=0), "BLANCO", IFERROR(VLOOKUP(I1536, BasedatosM9!A:B, 2, FALSE), "BLANCO")))</f>
        <v/>
      </c>
    </row>
    <row r="1537" spans="1:11" ht="14.4">
      <c r="A1537" s="21"/>
      <c r="B1537" s="86"/>
      <c r="C1537" s="98"/>
      <c r="D1537" s="21"/>
      <c r="E1537" s="86"/>
      <c r="F1537" s="99"/>
      <c r="G1537" s="99"/>
      <c r="H1537" s="21"/>
      <c r="I1537" s="86"/>
      <c r="J1537" s="21"/>
      <c r="K1537" s="5" t="str">
        <f>IF(AND(LEN(H1537)=0, LEN(I1537)=0), "", IF(AND(LEN(H1537)&gt;0, LEN(I1537)=0), "BLANCO", IFERROR(VLOOKUP(I1537, BasedatosM9!A:B, 2, FALSE), "BLANCO")))</f>
        <v/>
      </c>
    </row>
    <row r="1538" spans="1:11" ht="14.4">
      <c r="A1538" s="21"/>
      <c r="B1538" s="86"/>
      <c r="C1538" s="98"/>
      <c r="D1538" s="21"/>
      <c r="E1538" s="86"/>
      <c r="F1538" s="99"/>
      <c r="G1538" s="99"/>
      <c r="H1538" s="21"/>
      <c r="I1538" s="21"/>
      <c r="J1538" s="21"/>
      <c r="K1538" s="5" t="str">
        <f>IF(AND(LEN(H1538)=0, LEN(I1538)=0), "", IF(AND(LEN(H1538)&gt;0, LEN(I1538)=0), "BLANCO", IFERROR(VLOOKUP(I1538, BasedatosM9!A:B, 2, FALSE), "BLANCO")))</f>
        <v/>
      </c>
    </row>
    <row r="1539" spans="1:11" ht="14.4">
      <c r="A1539" s="21"/>
      <c r="B1539" s="86"/>
      <c r="C1539" s="98"/>
      <c r="D1539" s="21"/>
      <c r="E1539" s="86"/>
      <c r="F1539" s="99"/>
      <c r="G1539" s="99"/>
      <c r="H1539" s="21"/>
      <c r="I1539" s="21"/>
      <c r="J1539" s="21"/>
      <c r="K1539" s="5" t="str">
        <f>IF(AND(LEN(H1539)=0, LEN(I1539)=0), "", IF(AND(LEN(H1539)&gt;0, LEN(I1539)=0), "BLANCO", IFERROR(VLOOKUP(I1539, BasedatosM9!A:B, 2, FALSE), "BLANCO")))</f>
        <v/>
      </c>
    </row>
    <row r="1540" spans="1:11" ht="14.4">
      <c r="A1540" s="21"/>
      <c r="B1540" s="86"/>
      <c r="C1540" s="98"/>
      <c r="D1540" s="21"/>
      <c r="E1540" s="86"/>
      <c r="F1540" s="99"/>
      <c r="G1540" s="99"/>
      <c r="H1540" s="21"/>
      <c r="I1540" s="21"/>
      <c r="J1540" s="21"/>
      <c r="K1540" s="5" t="str">
        <f>IF(AND(LEN(H1540)=0, LEN(I1540)=0), "", IF(AND(LEN(H1540)&gt;0, LEN(I1540)=0), "BLANCO", IFERROR(VLOOKUP(I1540, BasedatosM9!A:B, 2, FALSE), "BLANCO")))</f>
        <v/>
      </c>
    </row>
    <row r="1541" spans="1:11" ht="14.4">
      <c r="A1541" s="21"/>
      <c r="B1541" s="86"/>
      <c r="C1541" s="98"/>
      <c r="D1541" s="21"/>
      <c r="E1541" s="86"/>
      <c r="F1541" s="99"/>
      <c r="G1541" s="99"/>
      <c r="H1541" s="21"/>
      <c r="I1541" s="86"/>
      <c r="J1541" s="21"/>
      <c r="K1541" s="5" t="str">
        <f>IF(AND(LEN(H1541)=0, LEN(I1541)=0), "", IF(AND(LEN(H1541)&gt;0, LEN(I1541)=0), "BLANCO", IFERROR(VLOOKUP(I1541, BasedatosM9!A:B, 2, FALSE), "BLANCO")))</f>
        <v/>
      </c>
    </row>
    <row r="1542" spans="1:11" ht="14.4">
      <c r="A1542" s="21"/>
      <c r="B1542" s="86"/>
      <c r="C1542" s="98"/>
      <c r="D1542" s="21"/>
      <c r="E1542" s="86"/>
      <c r="F1542" s="99"/>
      <c r="G1542" s="99"/>
      <c r="H1542" s="21"/>
      <c r="I1542" s="86"/>
      <c r="J1542" s="21"/>
      <c r="K1542" s="5" t="str">
        <f>IF(AND(LEN(H1542)=0, LEN(I1542)=0), "", IF(AND(LEN(H1542)&gt;0, LEN(I1542)=0), "BLANCO", IFERROR(VLOOKUP(I1542, BasedatosM9!A:B, 2, FALSE), "BLANCO")))</f>
        <v/>
      </c>
    </row>
    <row r="1543" spans="1:11" ht="14.4">
      <c r="A1543" s="21"/>
      <c r="B1543" s="86"/>
      <c r="C1543" s="98"/>
      <c r="D1543" s="21"/>
      <c r="E1543" s="86"/>
      <c r="F1543" s="99"/>
      <c r="G1543" s="99"/>
      <c r="H1543" s="21"/>
      <c r="I1543" s="21"/>
      <c r="J1543" s="21"/>
      <c r="K1543" s="5" t="str">
        <f>IF(AND(LEN(H1543)=0, LEN(I1543)=0), "", IF(AND(LEN(H1543)&gt;0, LEN(I1543)=0), "BLANCO", IFERROR(VLOOKUP(I1543, BasedatosM9!A:B, 2, FALSE), "BLANCO")))</f>
        <v/>
      </c>
    </row>
    <row r="1544" spans="1:11" ht="14.4">
      <c r="A1544" s="21"/>
      <c r="B1544" s="86"/>
      <c r="C1544" s="98"/>
      <c r="D1544" s="21"/>
      <c r="E1544" s="86"/>
      <c r="F1544" s="99"/>
      <c r="G1544" s="99"/>
      <c r="H1544" s="21"/>
      <c r="I1544" s="86"/>
      <c r="J1544" s="21"/>
      <c r="K1544" s="5" t="str">
        <f>IF(AND(LEN(H1544)=0, LEN(I1544)=0), "", IF(AND(LEN(H1544)&gt;0, LEN(I1544)=0), "BLANCO", IFERROR(VLOOKUP(I1544, BasedatosM9!A:B, 2, FALSE), "BLANCO")))</f>
        <v/>
      </c>
    </row>
    <row r="1545" spans="1:11" ht="14.4">
      <c r="A1545" s="21"/>
      <c r="B1545" s="86"/>
      <c r="C1545" s="98"/>
      <c r="D1545" s="21"/>
      <c r="E1545" s="86"/>
      <c r="F1545" s="99"/>
      <c r="G1545" s="99"/>
      <c r="H1545" s="21"/>
      <c r="I1545" s="86"/>
      <c r="J1545" s="21"/>
      <c r="K1545" s="5" t="str">
        <f>IF(AND(LEN(H1545)=0, LEN(I1545)=0), "", IF(AND(LEN(H1545)&gt;0, LEN(I1545)=0), "BLANCO", IFERROR(VLOOKUP(I1545, BasedatosM9!A:B, 2, FALSE), "BLANCO")))</f>
        <v/>
      </c>
    </row>
    <row r="1546" spans="1:11" ht="14.4">
      <c r="A1546" s="21"/>
      <c r="B1546" s="86"/>
      <c r="C1546" s="98"/>
      <c r="D1546" s="21"/>
      <c r="E1546" s="86"/>
      <c r="F1546" s="99"/>
      <c r="G1546" s="99"/>
      <c r="H1546" s="21"/>
      <c r="I1546" s="86"/>
      <c r="J1546" s="21"/>
      <c r="K1546" s="5" t="str">
        <f>IF(AND(LEN(H1546)=0, LEN(I1546)=0), "", IF(AND(LEN(H1546)&gt;0, LEN(I1546)=0), "BLANCO", IFERROR(VLOOKUP(I1546, BasedatosM9!A:B, 2, FALSE), "BLANCO")))</f>
        <v/>
      </c>
    </row>
    <row r="1547" spans="1:11" ht="14.4">
      <c r="A1547" s="21"/>
      <c r="B1547" s="86"/>
      <c r="C1547" s="98"/>
      <c r="D1547" s="21"/>
      <c r="E1547" s="86"/>
      <c r="F1547" s="99"/>
      <c r="G1547" s="99"/>
      <c r="H1547" s="21"/>
      <c r="I1547" s="86"/>
      <c r="J1547" s="21"/>
      <c r="K1547" s="5" t="str">
        <f>IF(AND(LEN(H1547)=0, LEN(I1547)=0), "", IF(AND(LEN(H1547)&gt;0, LEN(I1547)=0), "BLANCO", IFERROR(VLOOKUP(I1547, BasedatosM9!A:B, 2, FALSE), "BLANCO")))</f>
        <v/>
      </c>
    </row>
    <row r="1548" spans="1:11" ht="14.4">
      <c r="A1548" s="21"/>
      <c r="B1548" s="86"/>
      <c r="C1548" s="98"/>
      <c r="D1548" s="21"/>
      <c r="E1548" s="86"/>
      <c r="F1548" s="99"/>
      <c r="G1548" s="99"/>
      <c r="H1548" s="21"/>
      <c r="I1548" s="86"/>
      <c r="J1548" s="21"/>
      <c r="K1548" s="5" t="str">
        <f>IF(AND(LEN(H1548)=0, LEN(I1548)=0), "", IF(AND(LEN(H1548)&gt;0, LEN(I1548)=0), "BLANCO", IFERROR(VLOOKUP(I1548, BasedatosM9!A:B, 2, FALSE), "BLANCO")))</f>
        <v/>
      </c>
    </row>
    <row r="1549" spans="1:11" ht="14.4">
      <c r="A1549" s="21"/>
      <c r="B1549" s="86"/>
      <c r="C1549" s="98"/>
      <c r="D1549" s="21"/>
      <c r="E1549" s="86"/>
      <c r="F1549" s="99"/>
      <c r="G1549" s="99"/>
      <c r="H1549" s="21"/>
      <c r="I1549" s="86"/>
      <c r="J1549" s="21"/>
      <c r="K1549" s="5" t="str">
        <f>IF(AND(LEN(H1549)=0, LEN(I1549)=0), "", IF(AND(LEN(H1549)&gt;0, LEN(I1549)=0), "BLANCO", IFERROR(VLOOKUP(I1549, BasedatosM9!A:B, 2, FALSE), "BLANCO")))</f>
        <v/>
      </c>
    </row>
    <row r="1550" spans="1:11" ht="14.4">
      <c r="A1550" s="21"/>
      <c r="B1550" s="86"/>
      <c r="C1550" s="98"/>
      <c r="D1550" s="21"/>
      <c r="E1550" s="86"/>
      <c r="F1550" s="99"/>
      <c r="G1550" s="99"/>
      <c r="H1550" s="21"/>
      <c r="I1550" s="21"/>
      <c r="J1550" s="21"/>
      <c r="K1550" s="5" t="str">
        <f>IF(AND(LEN(H1550)=0, LEN(I1550)=0), "", IF(AND(LEN(H1550)&gt;0, LEN(I1550)=0), "BLANCO", IFERROR(VLOOKUP(I1550, BasedatosM9!A:B, 2, FALSE), "BLANCO")))</f>
        <v/>
      </c>
    </row>
    <row r="1551" spans="1:11" ht="14.4">
      <c r="A1551" s="21"/>
      <c r="B1551" s="86"/>
      <c r="C1551" s="98"/>
      <c r="D1551" s="21"/>
      <c r="E1551" s="86"/>
      <c r="F1551" s="99"/>
      <c r="G1551" s="99"/>
      <c r="H1551" s="21"/>
      <c r="I1551" s="86"/>
      <c r="J1551" s="21"/>
      <c r="K1551" s="5" t="str">
        <f>IF(AND(LEN(H1551)=0, LEN(I1551)=0), "", IF(AND(LEN(H1551)&gt;0, LEN(I1551)=0), "BLANCO", IFERROR(VLOOKUP(I1551, BasedatosM9!A:B, 2, FALSE), "BLANCO")))</f>
        <v/>
      </c>
    </row>
    <row r="1552" spans="1:11" ht="14.4">
      <c r="A1552" s="21"/>
      <c r="B1552" s="86"/>
      <c r="C1552" s="98"/>
      <c r="D1552" s="21"/>
      <c r="E1552" s="86"/>
      <c r="F1552" s="99"/>
      <c r="G1552" s="99"/>
      <c r="H1552" s="21"/>
      <c r="I1552" s="86"/>
      <c r="J1552" s="21"/>
      <c r="K1552" s="5" t="str">
        <f>IF(AND(LEN(H1552)=0, LEN(I1552)=0), "", IF(AND(LEN(H1552)&gt;0, LEN(I1552)=0), "BLANCO", IFERROR(VLOOKUP(I1552, BasedatosM9!A:B, 2, FALSE), "BLANCO")))</f>
        <v/>
      </c>
    </row>
    <row r="1553" spans="1:11" ht="14.4">
      <c r="A1553" s="21"/>
      <c r="B1553" s="86"/>
      <c r="C1553" s="98"/>
      <c r="D1553" s="21"/>
      <c r="E1553" s="86"/>
      <c r="F1553" s="99"/>
      <c r="G1553" s="99"/>
      <c r="H1553" s="21"/>
      <c r="I1553" s="86"/>
      <c r="J1553" s="21"/>
      <c r="K1553" s="5" t="str">
        <f>IF(AND(LEN(H1553)=0, LEN(I1553)=0), "", IF(AND(LEN(H1553)&gt;0, LEN(I1553)=0), "BLANCO", IFERROR(VLOOKUP(I1553, BasedatosM9!A:B, 2, FALSE), "BLANCO")))</f>
        <v/>
      </c>
    </row>
    <row r="1554" spans="1:11" ht="14.4">
      <c r="A1554" s="21"/>
      <c r="B1554" s="86"/>
      <c r="C1554" s="98"/>
      <c r="D1554" s="21"/>
      <c r="E1554" s="86"/>
      <c r="F1554" s="99"/>
      <c r="G1554" s="99"/>
      <c r="H1554" s="21"/>
      <c r="I1554" s="86"/>
      <c r="J1554" s="21"/>
      <c r="K1554" s="5" t="str">
        <f>IF(AND(LEN(H1554)=0, LEN(I1554)=0), "", IF(AND(LEN(H1554)&gt;0, LEN(I1554)=0), "BLANCO", IFERROR(VLOOKUP(I1554, BasedatosM9!A:B, 2, FALSE), "BLANCO")))</f>
        <v/>
      </c>
    </row>
    <row r="1555" spans="1:11" ht="14.4">
      <c r="A1555" s="21"/>
      <c r="B1555" s="86"/>
      <c r="C1555" s="98"/>
      <c r="D1555" s="21"/>
      <c r="E1555" s="86"/>
      <c r="F1555" s="99"/>
      <c r="G1555" s="99"/>
      <c r="H1555" s="21"/>
      <c r="I1555" s="86"/>
      <c r="J1555" s="21"/>
      <c r="K1555" s="5" t="str">
        <f>IF(AND(LEN(H1555)=0, LEN(I1555)=0), "", IF(AND(LEN(H1555)&gt;0, LEN(I1555)=0), "BLANCO", IFERROR(VLOOKUP(I1555, BasedatosM9!A:B, 2, FALSE), "BLANCO")))</f>
        <v/>
      </c>
    </row>
    <row r="1556" spans="1:11" ht="14.4">
      <c r="A1556" s="21"/>
      <c r="B1556" s="86"/>
      <c r="C1556" s="98"/>
      <c r="D1556" s="21"/>
      <c r="E1556" s="86"/>
      <c r="F1556" s="99"/>
      <c r="G1556" s="99"/>
      <c r="H1556" s="21"/>
      <c r="I1556" s="86"/>
      <c r="J1556" s="21"/>
      <c r="K1556" s="5" t="str">
        <f>IF(AND(LEN(H1556)=0, LEN(I1556)=0), "", IF(AND(LEN(H1556)&gt;0, LEN(I1556)=0), "BLANCO", IFERROR(VLOOKUP(I1556, BasedatosM9!A:B, 2, FALSE), "BLANCO")))</f>
        <v/>
      </c>
    </row>
    <row r="1557" spans="1:11" ht="14.4">
      <c r="A1557" s="21"/>
      <c r="B1557" s="86"/>
      <c r="C1557" s="98"/>
      <c r="D1557" s="21"/>
      <c r="E1557" s="86"/>
      <c r="F1557" s="99"/>
      <c r="G1557" s="99"/>
      <c r="H1557" s="21"/>
      <c r="I1557" s="86"/>
      <c r="J1557" s="21"/>
      <c r="K1557" s="5" t="str">
        <f>IF(AND(LEN(H1557)=0, LEN(I1557)=0), "", IF(AND(LEN(H1557)&gt;0, LEN(I1557)=0), "BLANCO", IFERROR(VLOOKUP(I1557, BasedatosM9!A:B, 2, FALSE), "BLANCO")))</f>
        <v/>
      </c>
    </row>
    <row r="1558" spans="1:11" ht="14.4">
      <c r="A1558" s="21"/>
      <c r="B1558" s="86"/>
      <c r="C1558" s="98"/>
      <c r="D1558" s="21"/>
      <c r="E1558" s="86"/>
      <c r="F1558" s="99"/>
      <c r="G1558" s="99"/>
      <c r="H1558" s="21"/>
      <c r="I1558" s="21"/>
      <c r="J1558" s="21"/>
      <c r="K1558" s="5" t="str">
        <f>IF(AND(LEN(H1558)=0, LEN(I1558)=0), "", IF(AND(LEN(H1558)&gt;0, LEN(I1558)=0), "BLANCO", IFERROR(VLOOKUP(I1558, BasedatosM9!A:B, 2, FALSE), "BLANCO")))</f>
        <v/>
      </c>
    </row>
    <row r="1559" spans="1:11" ht="14.4">
      <c r="A1559" s="21"/>
      <c r="B1559" s="86"/>
      <c r="C1559" s="98"/>
      <c r="D1559" s="21"/>
      <c r="E1559" s="86"/>
      <c r="F1559" s="99"/>
      <c r="G1559" s="99"/>
      <c r="H1559" s="21"/>
      <c r="I1559" s="21"/>
      <c r="J1559" s="21"/>
      <c r="K1559" s="5" t="str">
        <f>IF(AND(LEN(H1559)=0, LEN(I1559)=0), "", IF(AND(LEN(H1559)&gt;0, LEN(I1559)=0), "BLANCO", IFERROR(VLOOKUP(I1559, BasedatosM9!A:B, 2, FALSE), "BLANCO")))</f>
        <v/>
      </c>
    </row>
    <row r="1560" spans="1:11" ht="14.4">
      <c r="A1560" s="21"/>
      <c r="B1560" s="86"/>
      <c r="C1560" s="98"/>
      <c r="D1560" s="21"/>
      <c r="E1560" s="86"/>
      <c r="F1560" s="99"/>
      <c r="G1560" s="99"/>
      <c r="H1560" s="21"/>
      <c r="I1560" s="86"/>
      <c r="J1560" s="21"/>
      <c r="K1560" s="5" t="str">
        <f>IF(AND(LEN(H1560)=0, LEN(I1560)=0), "", IF(AND(LEN(H1560)&gt;0, LEN(I1560)=0), "BLANCO", IFERROR(VLOOKUP(I1560, BasedatosM9!A:B, 2, FALSE), "BLANCO")))</f>
        <v/>
      </c>
    </row>
    <row r="1561" spans="1:11" ht="14.4">
      <c r="A1561" s="21"/>
      <c r="B1561" s="86"/>
      <c r="C1561" s="98"/>
      <c r="D1561" s="21"/>
      <c r="E1561" s="86"/>
      <c r="F1561" s="99"/>
      <c r="G1561" s="99"/>
      <c r="H1561" s="21"/>
      <c r="I1561" s="21"/>
      <c r="J1561" s="21"/>
      <c r="K1561" s="5" t="str">
        <f>IF(AND(LEN(H1561)=0, LEN(I1561)=0), "", IF(AND(LEN(H1561)&gt;0, LEN(I1561)=0), "BLANCO", IFERROR(VLOOKUP(I1561, BasedatosM9!A:B, 2, FALSE), "BLANCO")))</f>
        <v/>
      </c>
    </row>
    <row r="1562" spans="1:11" ht="14.4">
      <c r="A1562" s="21"/>
      <c r="B1562" s="86"/>
      <c r="C1562" s="98"/>
      <c r="D1562" s="21"/>
      <c r="E1562" s="86"/>
      <c r="F1562" s="99"/>
      <c r="G1562" s="99"/>
      <c r="H1562" s="21"/>
      <c r="I1562" s="21"/>
      <c r="J1562" s="21"/>
      <c r="K1562" s="5" t="str">
        <f>IF(AND(LEN(H1562)=0, LEN(I1562)=0), "", IF(AND(LEN(H1562)&gt;0, LEN(I1562)=0), "BLANCO", IFERROR(VLOOKUP(I1562, BasedatosM9!A:B, 2, FALSE), "BLANCO")))</f>
        <v/>
      </c>
    </row>
    <row r="1563" spans="1:11" ht="14.4">
      <c r="A1563" s="21"/>
      <c r="B1563" s="86"/>
      <c r="C1563" s="98"/>
      <c r="D1563" s="21"/>
      <c r="E1563" s="86"/>
      <c r="F1563" s="99"/>
      <c r="G1563" s="99"/>
      <c r="H1563" s="21"/>
      <c r="I1563" s="86"/>
      <c r="J1563" s="21"/>
      <c r="K1563" s="5" t="str">
        <f>IF(AND(LEN(H1563)=0, LEN(I1563)=0), "", IF(AND(LEN(H1563)&gt;0, LEN(I1563)=0), "BLANCO", IFERROR(VLOOKUP(I1563, BasedatosM9!A:B, 2, FALSE), "BLANCO")))</f>
        <v/>
      </c>
    </row>
    <row r="1564" spans="1:11" ht="14.4">
      <c r="A1564" s="21"/>
      <c r="B1564" s="86"/>
      <c r="C1564" s="98"/>
      <c r="D1564" s="21"/>
      <c r="E1564" s="86"/>
      <c r="F1564" s="99"/>
      <c r="G1564" s="99"/>
      <c r="H1564" s="21"/>
      <c r="I1564" s="86"/>
      <c r="J1564" s="21"/>
      <c r="K1564" s="5" t="str">
        <f>IF(AND(LEN(H1564)=0, LEN(I1564)=0), "", IF(AND(LEN(H1564)&gt;0, LEN(I1564)=0), "BLANCO", IFERROR(VLOOKUP(I1564, BasedatosM9!A:B, 2, FALSE), "BLANCO")))</f>
        <v/>
      </c>
    </row>
    <row r="1565" spans="1:11" ht="14.4">
      <c r="A1565" s="21"/>
      <c r="B1565" s="86"/>
      <c r="C1565" s="98"/>
      <c r="D1565" s="21"/>
      <c r="E1565" s="86"/>
      <c r="F1565" s="99"/>
      <c r="G1565" s="99"/>
      <c r="H1565" s="21"/>
      <c r="I1565" s="86"/>
      <c r="J1565" s="21"/>
      <c r="K1565" s="5" t="str">
        <f>IF(AND(LEN(H1565)=0, LEN(I1565)=0), "", IF(AND(LEN(H1565)&gt;0, LEN(I1565)=0), "BLANCO", IFERROR(VLOOKUP(I1565, BasedatosM9!A:B, 2, FALSE), "BLANCO")))</f>
        <v/>
      </c>
    </row>
    <row r="1566" spans="1:11" ht="14.4">
      <c r="A1566" s="21"/>
      <c r="B1566" s="86"/>
      <c r="C1566" s="98"/>
      <c r="D1566" s="21"/>
      <c r="E1566" s="86"/>
      <c r="F1566" s="99"/>
      <c r="G1566" s="99"/>
      <c r="H1566" s="21"/>
      <c r="I1566" s="21"/>
      <c r="J1566" s="21"/>
      <c r="K1566" s="5" t="str">
        <f>IF(AND(LEN(H1566)=0, LEN(I1566)=0), "", IF(AND(LEN(H1566)&gt;0, LEN(I1566)=0), "BLANCO", IFERROR(VLOOKUP(I1566, BasedatosM9!A:B, 2, FALSE), "BLANCO")))</f>
        <v/>
      </c>
    </row>
    <row r="1567" spans="1:11" ht="14.4">
      <c r="A1567" s="21"/>
      <c r="B1567" s="86"/>
      <c r="C1567" s="98"/>
      <c r="D1567" s="21"/>
      <c r="E1567" s="86"/>
      <c r="F1567" s="99"/>
      <c r="G1567" s="99"/>
      <c r="H1567" s="21"/>
      <c r="I1567" s="21"/>
      <c r="J1567" s="21"/>
      <c r="K1567" s="5" t="str">
        <f>IF(AND(LEN(H1567)=0, LEN(I1567)=0), "", IF(AND(LEN(H1567)&gt;0, LEN(I1567)=0), "BLANCO", IFERROR(VLOOKUP(I1567, BasedatosM9!A:B, 2, FALSE), "BLANCO")))</f>
        <v/>
      </c>
    </row>
    <row r="1568" spans="1:11" ht="14.4">
      <c r="A1568" s="21"/>
      <c r="B1568" s="86"/>
      <c r="C1568" s="98"/>
      <c r="D1568" s="21"/>
      <c r="E1568" s="86"/>
      <c r="F1568" s="99"/>
      <c r="G1568" s="99"/>
      <c r="H1568" s="21"/>
      <c r="I1568" s="86"/>
      <c r="J1568" s="21"/>
      <c r="K1568" s="5" t="str">
        <f>IF(AND(LEN(H1568)=0, LEN(I1568)=0), "", IF(AND(LEN(H1568)&gt;0, LEN(I1568)=0), "BLANCO", IFERROR(VLOOKUP(I1568, BasedatosM9!A:B, 2, FALSE), "BLANCO")))</f>
        <v/>
      </c>
    </row>
    <row r="1569" spans="1:11" ht="14.4">
      <c r="A1569" s="21"/>
      <c r="B1569" s="86"/>
      <c r="C1569" s="98"/>
      <c r="D1569" s="21"/>
      <c r="E1569" s="86"/>
      <c r="F1569" s="99"/>
      <c r="G1569" s="99"/>
      <c r="H1569" s="21"/>
      <c r="I1569" s="21"/>
      <c r="J1569" s="21"/>
      <c r="K1569" s="5" t="str">
        <f>IF(AND(LEN(H1569)=0, LEN(I1569)=0), "", IF(AND(LEN(H1569)&gt;0, LEN(I1569)=0), "BLANCO", IFERROR(VLOOKUP(I1569, BasedatosM9!A:B, 2, FALSE), "BLANCO")))</f>
        <v/>
      </c>
    </row>
    <row r="1570" spans="1:11" ht="14.4">
      <c r="A1570" s="21"/>
      <c r="B1570" s="86"/>
      <c r="C1570" s="98"/>
      <c r="D1570" s="21"/>
      <c r="E1570" s="86"/>
      <c r="F1570" s="99"/>
      <c r="G1570" s="99"/>
      <c r="H1570" s="21"/>
      <c r="I1570" s="86"/>
      <c r="J1570" s="21"/>
      <c r="K1570" s="5" t="str">
        <f>IF(AND(LEN(H1570)=0, LEN(I1570)=0), "", IF(AND(LEN(H1570)&gt;0, LEN(I1570)=0), "BLANCO", IFERROR(VLOOKUP(I1570, BasedatosM9!A:B, 2, FALSE), "BLANCO")))</f>
        <v/>
      </c>
    </row>
    <row r="1571" spans="1:11" ht="14.4">
      <c r="A1571" s="21"/>
      <c r="B1571" s="86"/>
      <c r="C1571" s="98"/>
      <c r="D1571" s="21"/>
      <c r="E1571" s="86"/>
      <c r="F1571" s="99"/>
      <c r="G1571" s="99"/>
      <c r="H1571" s="21"/>
      <c r="I1571" s="86"/>
      <c r="J1571" s="21"/>
      <c r="K1571" s="5" t="str">
        <f>IF(AND(LEN(H1571)=0, LEN(I1571)=0), "", IF(AND(LEN(H1571)&gt;0, LEN(I1571)=0), "BLANCO", IFERROR(VLOOKUP(I1571, BasedatosM9!A:B, 2, FALSE), "BLANCO")))</f>
        <v/>
      </c>
    </row>
    <row r="1572" spans="1:11" ht="14.4">
      <c r="A1572" s="21"/>
      <c r="B1572" s="86"/>
      <c r="C1572" s="98"/>
      <c r="D1572" s="21"/>
      <c r="E1572" s="86"/>
      <c r="F1572" s="99"/>
      <c r="G1572" s="99"/>
      <c r="H1572" s="21"/>
      <c r="I1572" s="86"/>
      <c r="J1572" s="21"/>
      <c r="K1572" s="5" t="str">
        <f>IF(AND(LEN(H1572)=0, LEN(I1572)=0), "", IF(AND(LEN(H1572)&gt;0, LEN(I1572)=0), "BLANCO", IFERROR(VLOOKUP(I1572, BasedatosM9!A:B, 2, FALSE), "BLANCO")))</f>
        <v/>
      </c>
    </row>
    <row r="1573" spans="1:11" ht="14.4">
      <c r="A1573" s="21"/>
      <c r="B1573" s="86"/>
      <c r="C1573" s="98"/>
      <c r="D1573" s="21"/>
      <c r="E1573" s="86"/>
      <c r="F1573" s="99"/>
      <c r="G1573" s="99"/>
      <c r="H1573" s="21"/>
      <c r="I1573" s="86"/>
      <c r="J1573" s="21"/>
      <c r="K1573" s="5" t="str">
        <f>IF(AND(LEN(H1573)=0, LEN(I1573)=0), "", IF(AND(LEN(H1573)&gt;0, LEN(I1573)=0), "BLANCO", IFERROR(VLOOKUP(I1573, BasedatosM9!A:B, 2, FALSE), "BLANCO")))</f>
        <v/>
      </c>
    </row>
    <row r="1574" spans="1:11" ht="14.4">
      <c r="A1574" s="21"/>
      <c r="B1574" s="86"/>
      <c r="C1574" s="98"/>
      <c r="D1574" s="21"/>
      <c r="E1574" s="86"/>
      <c r="F1574" s="99"/>
      <c r="G1574" s="99"/>
      <c r="H1574" s="21"/>
      <c r="I1574" s="86"/>
      <c r="J1574" s="21"/>
      <c r="K1574" s="5" t="str">
        <f>IF(AND(LEN(H1574)=0, LEN(I1574)=0), "", IF(AND(LEN(H1574)&gt;0, LEN(I1574)=0), "BLANCO", IFERROR(VLOOKUP(I1574, BasedatosM9!A:B, 2, FALSE), "BLANCO")))</f>
        <v/>
      </c>
    </row>
    <row r="1575" spans="1:11" ht="14.4">
      <c r="A1575" s="21"/>
      <c r="B1575" s="86"/>
      <c r="C1575" s="98"/>
      <c r="D1575" s="21"/>
      <c r="E1575" s="86"/>
      <c r="F1575" s="99"/>
      <c r="G1575" s="99"/>
      <c r="H1575" s="21"/>
      <c r="I1575" s="21"/>
      <c r="J1575" s="21"/>
      <c r="K1575" s="5" t="str">
        <f>IF(AND(LEN(H1575)=0, LEN(I1575)=0), "", IF(AND(LEN(H1575)&gt;0, LEN(I1575)=0), "BLANCO", IFERROR(VLOOKUP(I1575, BasedatosM9!A:B, 2, FALSE), "BLANCO")))</f>
        <v/>
      </c>
    </row>
    <row r="1576" spans="1:11" ht="14.4">
      <c r="A1576" s="21"/>
      <c r="B1576" s="86"/>
      <c r="C1576" s="98"/>
      <c r="D1576" s="21"/>
      <c r="E1576" s="86"/>
      <c r="F1576" s="99"/>
      <c r="G1576" s="99"/>
      <c r="H1576" s="21"/>
      <c r="I1576" s="21"/>
      <c r="J1576" s="21"/>
      <c r="K1576" s="5" t="str">
        <f>IF(AND(LEN(H1576)=0, LEN(I1576)=0), "", IF(AND(LEN(H1576)&gt;0, LEN(I1576)=0), "BLANCO", IFERROR(VLOOKUP(I1576, BasedatosM9!A:B, 2, FALSE), "BLANCO")))</f>
        <v/>
      </c>
    </row>
    <row r="1577" spans="1:11" ht="14.4">
      <c r="A1577" s="21"/>
      <c r="B1577" s="86"/>
      <c r="C1577" s="98"/>
      <c r="D1577" s="21"/>
      <c r="E1577" s="86"/>
      <c r="F1577" s="99"/>
      <c r="G1577" s="99"/>
      <c r="H1577" s="21"/>
      <c r="I1577" s="21"/>
      <c r="J1577" s="21"/>
      <c r="K1577" s="5" t="str">
        <f>IF(AND(LEN(H1577)=0, LEN(I1577)=0), "", IF(AND(LEN(H1577)&gt;0, LEN(I1577)=0), "BLANCO", IFERROR(VLOOKUP(I1577, BasedatosM9!A:B, 2, FALSE), "BLANCO")))</f>
        <v/>
      </c>
    </row>
    <row r="1578" spans="1:11" ht="14.4">
      <c r="A1578" s="21"/>
      <c r="B1578" s="86"/>
      <c r="C1578" s="98"/>
      <c r="D1578" s="21"/>
      <c r="E1578" s="86"/>
      <c r="F1578" s="99"/>
      <c r="G1578" s="99"/>
      <c r="H1578" s="21"/>
      <c r="I1578" s="86"/>
      <c r="J1578" s="21"/>
      <c r="K1578" s="5" t="str">
        <f>IF(AND(LEN(H1578)=0, LEN(I1578)=0), "", IF(AND(LEN(H1578)&gt;0, LEN(I1578)=0), "BLANCO", IFERROR(VLOOKUP(I1578, BasedatosM9!A:B, 2, FALSE), "BLANCO")))</f>
        <v/>
      </c>
    </row>
    <row r="1579" spans="1:11" ht="14.4">
      <c r="A1579" s="21"/>
      <c r="B1579" s="86"/>
      <c r="C1579" s="98"/>
      <c r="D1579" s="21"/>
      <c r="E1579" s="86"/>
      <c r="F1579" s="99"/>
      <c r="G1579" s="99"/>
      <c r="H1579" s="21"/>
      <c r="I1579" s="21"/>
      <c r="J1579" s="21"/>
      <c r="K1579" s="5" t="str">
        <f>IF(AND(LEN(H1579)=0, LEN(I1579)=0), "", IF(AND(LEN(H1579)&gt;0, LEN(I1579)=0), "BLANCO", IFERROR(VLOOKUP(I1579, BasedatosM9!A:B, 2, FALSE), "BLANCO")))</f>
        <v/>
      </c>
    </row>
    <row r="1580" spans="1:11" ht="14.4">
      <c r="A1580" s="21"/>
      <c r="B1580" s="86"/>
      <c r="C1580" s="98"/>
      <c r="D1580" s="21"/>
      <c r="E1580" s="86"/>
      <c r="F1580" s="99"/>
      <c r="G1580" s="99"/>
      <c r="H1580" s="21"/>
      <c r="I1580" s="21"/>
      <c r="J1580" s="21"/>
      <c r="K1580" s="5" t="str">
        <f>IF(AND(LEN(H1580)=0, LEN(I1580)=0), "", IF(AND(LEN(H1580)&gt;0, LEN(I1580)=0), "BLANCO", IFERROR(VLOOKUP(I1580, BasedatosM9!A:B, 2, FALSE), "BLANCO")))</f>
        <v/>
      </c>
    </row>
    <row r="1581" spans="1:11" ht="14.4">
      <c r="A1581" s="21"/>
      <c r="B1581" s="86"/>
      <c r="C1581" s="98"/>
      <c r="D1581" s="21"/>
      <c r="E1581" s="86"/>
      <c r="F1581" s="99"/>
      <c r="G1581" s="99"/>
      <c r="H1581" s="21"/>
      <c r="I1581" s="86"/>
      <c r="J1581" s="21"/>
      <c r="K1581" s="5" t="str">
        <f>IF(AND(LEN(H1581)=0, LEN(I1581)=0), "", IF(AND(LEN(H1581)&gt;0, LEN(I1581)=0), "BLANCO", IFERROR(VLOOKUP(I1581, BasedatosM9!A:B, 2, FALSE), "BLANCO")))</f>
        <v/>
      </c>
    </row>
    <row r="1582" spans="1:11" ht="14.4">
      <c r="A1582" s="21"/>
      <c r="B1582" s="86"/>
      <c r="C1582" s="98"/>
      <c r="D1582" s="21"/>
      <c r="E1582" s="86"/>
      <c r="F1582" s="99"/>
      <c r="G1582" s="99"/>
      <c r="H1582" s="21"/>
      <c r="I1582" s="21"/>
      <c r="J1582" s="21"/>
      <c r="K1582" s="5" t="str">
        <f>IF(AND(LEN(H1582)=0, LEN(I1582)=0), "", IF(AND(LEN(H1582)&gt;0, LEN(I1582)=0), "BLANCO", IFERROR(VLOOKUP(I1582, BasedatosM9!A:B, 2, FALSE), "BLANCO")))</f>
        <v/>
      </c>
    </row>
    <row r="1583" spans="1:11" ht="14.4">
      <c r="A1583" s="21"/>
      <c r="B1583" s="86"/>
      <c r="C1583" s="98"/>
      <c r="D1583" s="21"/>
      <c r="E1583" s="86"/>
      <c r="F1583" s="99"/>
      <c r="G1583" s="99"/>
      <c r="H1583" s="21"/>
      <c r="I1583" s="86"/>
      <c r="J1583" s="21"/>
      <c r="K1583" s="5" t="str">
        <f>IF(AND(LEN(H1583)=0, LEN(I1583)=0), "", IF(AND(LEN(H1583)&gt;0, LEN(I1583)=0), "BLANCO", IFERROR(VLOOKUP(I1583, BasedatosM9!A:B, 2, FALSE), "BLANCO")))</f>
        <v/>
      </c>
    </row>
    <row r="1584" spans="1:11" ht="14.4">
      <c r="A1584" s="21"/>
      <c r="B1584" s="86"/>
      <c r="C1584" s="98"/>
      <c r="D1584" s="21"/>
      <c r="E1584" s="86"/>
      <c r="F1584" s="99"/>
      <c r="G1584" s="99"/>
      <c r="H1584" s="21"/>
      <c r="I1584" s="86"/>
      <c r="J1584" s="21"/>
      <c r="K1584" s="5" t="str">
        <f>IF(AND(LEN(H1584)=0, LEN(I1584)=0), "", IF(AND(LEN(H1584)&gt;0, LEN(I1584)=0), "BLANCO", IFERROR(VLOOKUP(I1584, BasedatosM9!A:B, 2, FALSE), "BLANCO")))</f>
        <v/>
      </c>
    </row>
    <row r="1585" spans="1:11" ht="14.4">
      <c r="A1585" s="21"/>
      <c r="B1585" s="86"/>
      <c r="C1585" s="98"/>
      <c r="D1585" s="21"/>
      <c r="E1585" s="86"/>
      <c r="F1585" s="99"/>
      <c r="G1585" s="99"/>
      <c r="H1585" s="21"/>
      <c r="I1585" s="21"/>
      <c r="J1585" s="21"/>
      <c r="K1585" s="5" t="str">
        <f>IF(AND(LEN(H1585)=0, LEN(I1585)=0), "", IF(AND(LEN(H1585)&gt;0, LEN(I1585)=0), "BLANCO", IFERROR(VLOOKUP(I1585, BasedatosM9!A:B, 2, FALSE), "BLANCO")))</f>
        <v/>
      </c>
    </row>
    <row r="1586" spans="1:11" ht="14.4">
      <c r="A1586" s="21"/>
      <c r="B1586" s="86"/>
      <c r="C1586" s="98"/>
      <c r="D1586" s="21"/>
      <c r="E1586" s="86"/>
      <c r="F1586" s="99"/>
      <c r="G1586" s="99"/>
      <c r="H1586" s="21"/>
      <c r="I1586" s="86"/>
      <c r="J1586" s="21"/>
      <c r="K1586" s="5" t="str">
        <f>IF(AND(LEN(H1586)=0, LEN(I1586)=0), "", IF(AND(LEN(H1586)&gt;0, LEN(I1586)=0), "BLANCO", IFERROR(VLOOKUP(I1586, BasedatosM9!A:B, 2, FALSE), "BLANCO")))</f>
        <v/>
      </c>
    </row>
    <row r="1587" spans="1:11" ht="14.4">
      <c r="A1587" s="21"/>
      <c r="B1587" s="86"/>
      <c r="C1587" s="98"/>
      <c r="D1587" s="21"/>
      <c r="E1587" s="86"/>
      <c r="F1587" s="99"/>
      <c r="G1587" s="99"/>
      <c r="H1587" s="21"/>
      <c r="I1587" s="86"/>
      <c r="J1587" s="21"/>
      <c r="K1587" s="5" t="str">
        <f>IF(AND(LEN(H1587)=0, LEN(I1587)=0), "", IF(AND(LEN(H1587)&gt;0, LEN(I1587)=0), "BLANCO", IFERROR(VLOOKUP(I1587, BasedatosM9!A:B, 2, FALSE), "BLANCO")))</f>
        <v/>
      </c>
    </row>
    <row r="1588" spans="1:11" ht="14.4">
      <c r="A1588" s="21"/>
      <c r="B1588" s="86"/>
      <c r="C1588" s="98"/>
      <c r="D1588" s="21"/>
      <c r="E1588" s="86"/>
      <c r="F1588" s="99"/>
      <c r="G1588" s="99"/>
      <c r="H1588" s="21"/>
      <c r="I1588" s="86"/>
      <c r="J1588" s="21"/>
      <c r="K1588" s="5" t="str">
        <f>IF(AND(LEN(H1588)=0, LEN(I1588)=0), "", IF(AND(LEN(H1588)&gt;0, LEN(I1588)=0), "BLANCO", IFERROR(VLOOKUP(I1588, BasedatosM9!A:B, 2, FALSE), "BLANCO")))</f>
        <v/>
      </c>
    </row>
    <row r="1589" spans="1:11" ht="14.4">
      <c r="A1589" s="21"/>
      <c r="B1589" s="86"/>
      <c r="C1589" s="98"/>
      <c r="D1589" s="21"/>
      <c r="E1589" s="86"/>
      <c r="F1589" s="99"/>
      <c r="G1589" s="99"/>
      <c r="H1589" s="21"/>
      <c r="I1589" s="86"/>
      <c r="J1589" s="21"/>
      <c r="K1589" s="5" t="str">
        <f>IF(AND(LEN(H1589)=0, LEN(I1589)=0), "", IF(AND(LEN(H1589)&gt;0, LEN(I1589)=0), "BLANCO", IFERROR(VLOOKUP(I1589, BasedatosM9!A:B, 2, FALSE), "BLANCO")))</f>
        <v/>
      </c>
    </row>
    <row r="1590" spans="1:11" ht="14.4">
      <c r="A1590" s="21"/>
      <c r="B1590" s="86"/>
      <c r="C1590" s="98"/>
      <c r="D1590" s="21"/>
      <c r="E1590" s="86"/>
      <c r="F1590" s="99"/>
      <c r="G1590" s="99"/>
      <c r="H1590" s="21"/>
      <c r="I1590" s="86"/>
      <c r="J1590" s="21"/>
      <c r="K1590" s="5" t="str">
        <f>IF(AND(LEN(H1590)=0, LEN(I1590)=0), "", IF(AND(LEN(H1590)&gt;0, LEN(I1590)=0), "BLANCO", IFERROR(VLOOKUP(I1590, BasedatosM9!A:B, 2, FALSE), "BLANCO")))</f>
        <v/>
      </c>
    </row>
    <row r="1591" spans="1:11" ht="14.4">
      <c r="A1591" s="21"/>
      <c r="B1591" s="86"/>
      <c r="C1591" s="98"/>
      <c r="D1591" s="21"/>
      <c r="E1591" s="86"/>
      <c r="F1591" s="99"/>
      <c r="G1591" s="99"/>
      <c r="H1591" s="21"/>
      <c r="I1591" s="21"/>
      <c r="J1591" s="21"/>
      <c r="K1591" s="5" t="str">
        <f>IF(AND(LEN(H1591)=0, LEN(I1591)=0), "", IF(AND(LEN(H1591)&gt;0, LEN(I1591)=0), "BLANCO", IFERROR(VLOOKUP(I1591, BasedatosM9!A:B, 2, FALSE), "BLANCO")))</f>
        <v/>
      </c>
    </row>
    <row r="1592" spans="1:11" ht="14.4">
      <c r="A1592" s="21"/>
      <c r="B1592" s="86"/>
      <c r="C1592" s="98"/>
      <c r="D1592" s="21"/>
      <c r="E1592" s="86"/>
      <c r="F1592" s="99"/>
      <c r="G1592" s="99"/>
      <c r="H1592" s="21"/>
      <c r="I1592" s="86"/>
      <c r="J1592" s="21"/>
      <c r="K1592" s="5" t="str">
        <f>IF(AND(LEN(H1592)=0, LEN(I1592)=0), "", IF(AND(LEN(H1592)&gt;0, LEN(I1592)=0), "BLANCO", IFERROR(VLOOKUP(I1592, BasedatosM9!A:B, 2, FALSE), "BLANCO")))</f>
        <v/>
      </c>
    </row>
    <row r="1593" spans="1:11" ht="14.4">
      <c r="A1593" s="21"/>
      <c r="B1593" s="86"/>
      <c r="C1593" s="98"/>
      <c r="D1593" s="21"/>
      <c r="E1593" s="86"/>
      <c r="F1593" s="99"/>
      <c r="G1593" s="99"/>
      <c r="H1593" s="21"/>
      <c r="I1593" s="86"/>
      <c r="J1593" s="21"/>
      <c r="K1593" s="5" t="str">
        <f>IF(AND(LEN(H1593)=0, LEN(I1593)=0), "", IF(AND(LEN(H1593)&gt;0, LEN(I1593)=0), "BLANCO", IFERROR(VLOOKUP(I1593, BasedatosM9!A:B, 2, FALSE), "BLANCO")))</f>
        <v/>
      </c>
    </row>
    <row r="1594" spans="1:11" ht="14.4">
      <c r="A1594" s="21"/>
      <c r="B1594" s="86"/>
      <c r="C1594" s="98"/>
      <c r="D1594" s="21"/>
      <c r="E1594" s="86"/>
      <c r="F1594" s="99"/>
      <c r="G1594" s="99"/>
      <c r="H1594" s="21"/>
      <c r="I1594" s="86"/>
      <c r="J1594" s="21"/>
      <c r="K1594" s="5" t="str">
        <f>IF(AND(LEN(H1594)=0, LEN(I1594)=0), "", IF(AND(LEN(H1594)&gt;0, LEN(I1594)=0), "BLANCO", IFERROR(VLOOKUP(I1594, BasedatosM9!A:B, 2, FALSE), "BLANCO")))</f>
        <v/>
      </c>
    </row>
    <row r="1595" spans="1:11" ht="14.4">
      <c r="A1595" s="21"/>
      <c r="B1595" s="86"/>
      <c r="C1595" s="98"/>
      <c r="D1595" s="21"/>
      <c r="E1595" s="86"/>
      <c r="F1595" s="99"/>
      <c r="G1595" s="99"/>
      <c r="H1595" s="21"/>
      <c r="I1595" s="86"/>
      <c r="J1595" s="21"/>
      <c r="K1595" s="5" t="str">
        <f>IF(AND(LEN(H1595)=0, LEN(I1595)=0), "", IF(AND(LEN(H1595)&gt;0, LEN(I1595)=0), "BLANCO", IFERROR(VLOOKUP(I1595, BasedatosM9!A:B, 2, FALSE), "BLANCO")))</f>
        <v/>
      </c>
    </row>
    <row r="1596" spans="1:11" ht="14.4">
      <c r="A1596" s="21"/>
      <c r="B1596" s="86"/>
      <c r="C1596" s="98"/>
      <c r="D1596" s="21"/>
      <c r="E1596" s="86"/>
      <c r="F1596" s="99"/>
      <c r="G1596" s="99"/>
      <c r="H1596" s="21"/>
      <c r="I1596" s="86"/>
      <c r="J1596" s="21"/>
      <c r="K1596" s="5" t="str">
        <f>IF(AND(LEN(H1596)=0, LEN(I1596)=0), "", IF(AND(LEN(H1596)&gt;0, LEN(I1596)=0), "BLANCO", IFERROR(VLOOKUP(I1596, BasedatosM9!A:B, 2, FALSE), "BLANCO")))</f>
        <v/>
      </c>
    </row>
    <row r="1597" spans="1:11" ht="14.4">
      <c r="A1597" s="21"/>
      <c r="B1597" s="86"/>
      <c r="C1597" s="98"/>
      <c r="D1597" s="21"/>
      <c r="E1597" s="86"/>
      <c r="F1597" s="99"/>
      <c r="G1597" s="99"/>
      <c r="H1597" s="21"/>
      <c r="I1597" s="86"/>
      <c r="J1597" s="21"/>
      <c r="K1597" s="5" t="str">
        <f>IF(AND(LEN(H1597)=0, LEN(I1597)=0), "", IF(AND(LEN(H1597)&gt;0, LEN(I1597)=0), "BLANCO", IFERROR(VLOOKUP(I1597, BasedatosM9!A:B, 2, FALSE), "BLANCO")))</f>
        <v/>
      </c>
    </row>
    <row r="1598" spans="1:11" ht="14.4">
      <c r="A1598" s="21"/>
      <c r="B1598" s="86"/>
      <c r="C1598" s="98"/>
      <c r="D1598" s="21"/>
      <c r="E1598" s="86"/>
      <c r="F1598" s="99"/>
      <c r="G1598" s="99"/>
      <c r="H1598" s="21"/>
      <c r="I1598" s="86"/>
      <c r="J1598" s="21"/>
      <c r="K1598" s="5" t="str">
        <f>IF(AND(LEN(H1598)=0, LEN(I1598)=0), "", IF(AND(LEN(H1598)&gt;0, LEN(I1598)=0), "BLANCO", IFERROR(VLOOKUP(I1598, BasedatosM9!A:B, 2, FALSE), "BLANCO")))</f>
        <v/>
      </c>
    </row>
    <row r="1599" spans="1:11" ht="14.4">
      <c r="A1599" s="21"/>
      <c r="B1599" s="86"/>
      <c r="C1599" s="98"/>
      <c r="D1599" s="21"/>
      <c r="E1599" s="86"/>
      <c r="F1599" s="99"/>
      <c r="G1599" s="99"/>
      <c r="H1599" s="21"/>
      <c r="I1599" s="86"/>
      <c r="J1599" s="21"/>
      <c r="K1599" s="5" t="str">
        <f>IF(AND(LEN(H1599)=0, LEN(I1599)=0), "", IF(AND(LEN(H1599)&gt;0, LEN(I1599)=0), "BLANCO", IFERROR(VLOOKUP(I1599, BasedatosM9!A:B, 2, FALSE), "BLANCO")))</f>
        <v/>
      </c>
    </row>
    <row r="1600" spans="1:11" ht="14.4">
      <c r="A1600" s="21"/>
      <c r="B1600" s="86"/>
      <c r="C1600" s="98"/>
      <c r="D1600" s="21"/>
      <c r="E1600" s="86"/>
      <c r="F1600" s="99"/>
      <c r="G1600" s="99"/>
      <c r="H1600" s="21"/>
      <c r="I1600" s="86"/>
      <c r="J1600" s="21"/>
      <c r="K1600" s="5" t="str">
        <f>IF(AND(LEN(H1600)=0, LEN(I1600)=0), "", IF(AND(LEN(H1600)&gt;0, LEN(I1600)=0), "BLANCO", IFERROR(VLOOKUP(I1600, BasedatosM9!A:B, 2, FALSE), "BLANCO")))</f>
        <v/>
      </c>
    </row>
    <row r="1601" spans="1:11" ht="14.4">
      <c r="A1601" s="21"/>
      <c r="B1601" s="86"/>
      <c r="C1601" s="98"/>
      <c r="D1601" s="21"/>
      <c r="E1601" s="86"/>
      <c r="F1601" s="99"/>
      <c r="G1601" s="99"/>
      <c r="H1601" s="21"/>
      <c r="I1601" s="86"/>
      <c r="J1601" s="21"/>
      <c r="K1601" s="5" t="str">
        <f>IF(AND(LEN(H1601)=0, LEN(I1601)=0), "", IF(AND(LEN(H1601)&gt;0, LEN(I1601)=0), "BLANCO", IFERROR(VLOOKUP(I1601, BasedatosM9!A:B, 2, FALSE), "BLANCO")))</f>
        <v/>
      </c>
    </row>
    <row r="1602" spans="1:11" ht="14.4">
      <c r="A1602" s="21"/>
      <c r="B1602" s="86"/>
      <c r="C1602" s="98"/>
      <c r="D1602" s="21"/>
      <c r="E1602" s="86"/>
      <c r="F1602" s="99"/>
      <c r="G1602" s="99"/>
      <c r="H1602" s="21"/>
      <c r="I1602" s="21"/>
      <c r="J1602" s="21"/>
      <c r="K1602" s="5" t="str">
        <f>IF(AND(LEN(H1602)=0, LEN(I1602)=0), "", IF(AND(LEN(H1602)&gt;0, LEN(I1602)=0), "BLANCO", IFERROR(VLOOKUP(I1602, BasedatosM9!A:B, 2, FALSE), "BLANCO")))</f>
        <v/>
      </c>
    </row>
    <row r="1603" spans="1:11" ht="14.4">
      <c r="A1603" s="21"/>
      <c r="B1603" s="86"/>
      <c r="C1603" s="98"/>
      <c r="D1603" s="21"/>
      <c r="E1603" s="86"/>
      <c r="F1603" s="99"/>
      <c r="G1603" s="99"/>
      <c r="H1603" s="21"/>
      <c r="I1603" s="21"/>
      <c r="J1603" s="21"/>
      <c r="K1603" s="5" t="str">
        <f>IF(AND(LEN(H1603)=0, LEN(I1603)=0), "", IF(AND(LEN(H1603)&gt;0, LEN(I1603)=0), "BLANCO", IFERROR(VLOOKUP(I1603, BasedatosM9!A:B, 2, FALSE), "BLANCO")))</f>
        <v/>
      </c>
    </row>
    <row r="1604" spans="1:11" ht="14.4">
      <c r="A1604" s="21"/>
      <c r="B1604" s="86"/>
      <c r="C1604" s="98"/>
      <c r="D1604" s="21"/>
      <c r="E1604" s="86"/>
      <c r="F1604" s="99"/>
      <c r="G1604" s="99"/>
      <c r="H1604" s="21"/>
      <c r="I1604" s="21"/>
      <c r="J1604" s="21"/>
      <c r="K1604" s="5" t="str">
        <f>IF(AND(LEN(H1604)=0, LEN(I1604)=0), "", IF(AND(LEN(H1604)&gt;0, LEN(I1604)=0), "BLANCO", IFERROR(VLOOKUP(I1604, BasedatosM9!A:B, 2, FALSE), "BLANCO")))</f>
        <v/>
      </c>
    </row>
    <row r="1605" spans="1:11" ht="14.4">
      <c r="A1605" s="21"/>
      <c r="B1605" s="86"/>
      <c r="C1605" s="98"/>
      <c r="D1605" s="21"/>
      <c r="E1605" s="86"/>
      <c r="F1605" s="99"/>
      <c r="G1605" s="99"/>
      <c r="H1605" s="21"/>
      <c r="I1605" s="86"/>
      <c r="J1605" s="21"/>
      <c r="K1605" s="5" t="str">
        <f>IF(AND(LEN(H1605)=0, LEN(I1605)=0), "", IF(AND(LEN(H1605)&gt;0, LEN(I1605)=0), "BLANCO", IFERROR(VLOOKUP(I1605, BasedatosM9!A:B, 2, FALSE), "BLANCO")))</f>
        <v/>
      </c>
    </row>
    <row r="1606" spans="1:11" ht="14.4">
      <c r="A1606" s="21"/>
      <c r="B1606" s="86"/>
      <c r="C1606" s="98"/>
      <c r="D1606" s="21"/>
      <c r="E1606" s="86"/>
      <c r="F1606" s="99"/>
      <c r="G1606" s="99"/>
      <c r="H1606" s="21"/>
      <c r="I1606" s="86"/>
      <c r="J1606" s="21"/>
      <c r="K1606" s="5" t="str">
        <f>IF(AND(LEN(H1606)=0, LEN(I1606)=0), "", IF(AND(LEN(H1606)&gt;0, LEN(I1606)=0), "BLANCO", IFERROR(VLOOKUP(I1606, BasedatosM9!A:B, 2, FALSE), "BLANCO")))</f>
        <v/>
      </c>
    </row>
    <row r="1607" spans="1:11" ht="14.4">
      <c r="A1607" s="21"/>
      <c r="B1607" s="86"/>
      <c r="C1607" s="98"/>
      <c r="D1607" s="21"/>
      <c r="E1607" s="86"/>
      <c r="F1607" s="99"/>
      <c r="G1607" s="99"/>
      <c r="H1607" s="21"/>
      <c r="I1607" s="86"/>
      <c r="J1607" s="21"/>
      <c r="K1607" s="5" t="str">
        <f>IF(AND(LEN(H1607)=0, LEN(I1607)=0), "", IF(AND(LEN(H1607)&gt;0, LEN(I1607)=0), "BLANCO", IFERROR(VLOOKUP(I1607, BasedatosM9!A:B, 2, FALSE), "BLANCO")))</f>
        <v/>
      </c>
    </row>
    <row r="1608" spans="1:11" ht="14.4">
      <c r="A1608" s="21"/>
      <c r="B1608" s="86"/>
      <c r="C1608" s="98"/>
      <c r="D1608" s="21"/>
      <c r="E1608" s="86"/>
      <c r="F1608" s="99"/>
      <c r="G1608" s="99"/>
      <c r="H1608" s="21"/>
      <c r="I1608" s="21"/>
      <c r="J1608" s="21"/>
      <c r="K1608" s="5" t="str">
        <f>IF(AND(LEN(H1608)=0, LEN(I1608)=0), "", IF(AND(LEN(H1608)&gt;0, LEN(I1608)=0), "BLANCO", IFERROR(VLOOKUP(I1608, BasedatosM9!A:B, 2, FALSE), "BLANCO")))</f>
        <v/>
      </c>
    </row>
    <row r="1609" spans="1:11" ht="14.4">
      <c r="A1609" s="21"/>
      <c r="B1609" s="86"/>
      <c r="C1609" s="98"/>
      <c r="D1609" s="21"/>
      <c r="E1609" s="86"/>
      <c r="F1609" s="99"/>
      <c r="G1609" s="99"/>
      <c r="H1609" s="21"/>
      <c r="I1609" s="21"/>
      <c r="J1609" s="21"/>
      <c r="K1609" s="5" t="str">
        <f>IF(AND(LEN(H1609)=0, LEN(I1609)=0), "", IF(AND(LEN(H1609)&gt;0, LEN(I1609)=0), "BLANCO", IFERROR(VLOOKUP(I1609, BasedatosM9!A:B, 2, FALSE), "BLANCO")))</f>
        <v/>
      </c>
    </row>
    <row r="1610" spans="1:11" ht="14.4">
      <c r="A1610" s="21"/>
      <c r="B1610" s="86"/>
      <c r="C1610" s="98"/>
      <c r="D1610" s="21"/>
      <c r="E1610" s="86"/>
      <c r="F1610" s="99"/>
      <c r="G1610" s="99"/>
      <c r="H1610" s="21"/>
      <c r="I1610" s="21"/>
      <c r="J1610" s="21"/>
      <c r="K1610" s="5" t="str">
        <f>IF(AND(LEN(H1610)=0, LEN(I1610)=0), "", IF(AND(LEN(H1610)&gt;0, LEN(I1610)=0), "BLANCO", IFERROR(VLOOKUP(I1610, BasedatosM9!A:B, 2, FALSE), "BLANCO")))</f>
        <v/>
      </c>
    </row>
    <row r="1611" spans="1:11" ht="14.4">
      <c r="A1611" s="21"/>
      <c r="B1611" s="86"/>
      <c r="C1611" s="98"/>
      <c r="D1611" s="21"/>
      <c r="E1611" s="86"/>
      <c r="F1611" s="99"/>
      <c r="G1611" s="99"/>
      <c r="H1611" s="21"/>
      <c r="I1611" s="21"/>
      <c r="J1611" s="21"/>
      <c r="K1611" s="5" t="str">
        <f>IF(AND(LEN(H1611)=0, LEN(I1611)=0), "", IF(AND(LEN(H1611)&gt;0, LEN(I1611)=0), "BLANCO", IFERROR(VLOOKUP(I1611, BasedatosM9!A:B, 2, FALSE), "BLANCO")))</f>
        <v/>
      </c>
    </row>
    <row r="1612" spans="1:11" ht="14.4">
      <c r="A1612" s="21"/>
      <c r="B1612" s="86"/>
      <c r="C1612" s="98"/>
      <c r="D1612" s="21"/>
      <c r="E1612" s="86"/>
      <c r="F1612" s="99"/>
      <c r="G1612" s="99"/>
      <c r="H1612" s="21"/>
      <c r="I1612" s="86"/>
      <c r="J1612" s="21"/>
      <c r="K1612" s="5" t="str">
        <f>IF(AND(LEN(H1612)=0, LEN(I1612)=0), "", IF(AND(LEN(H1612)&gt;0, LEN(I1612)=0), "BLANCO", IFERROR(VLOOKUP(I1612, BasedatosM9!A:B, 2, FALSE), "BLANCO")))</f>
        <v/>
      </c>
    </row>
    <row r="1613" spans="1:11" ht="14.4">
      <c r="A1613" s="21"/>
      <c r="B1613" s="86"/>
      <c r="C1613" s="98"/>
      <c r="D1613" s="21"/>
      <c r="E1613" s="86"/>
      <c r="F1613" s="99"/>
      <c r="G1613" s="99"/>
      <c r="H1613" s="21"/>
      <c r="I1613" s="86"/>
      <c r="J1613" s="21"/>
      <c r="K1613" s="5" t="str">
        <f>IF(AND(LEN(H1613)=0, LEN(I1613)=0), "", IF(AND(LEN(H1613)&gt;0, LEN(I1613)=0), "BLANCO", IFERROR(VLOOKUP(I1613, BasedatosM9!A:B, 2, FALSE), "BLANCO")))</f>
        <v/>
      </c>
    </row>
    <row r="1614" spans="1:11" ht="14.4">
      <c r="A1614" s="21"/>
      <c r="B1614" s="86"/>
      <c r="C1614" s="98"/>
      <c r="D1614" s="21"/>
      <c r="E1614" s="86"/>
      <c r="F1614" s="99"/>
      <c r="G1614" s="99"/>
      <c r="H1614" s="21"/>
      <c r="I1614" s="21"/>
      <c r="J1614" s="21"/>
      <c r="K1614" s="5" t="str">
        <f>IF(AND(LEN(H1614)=0, LEN(I1614)=0), "", IF(AND(LEN(H1614)&gt;0, LEN(I1614)=0), "BLANCO", IFERROR(VLOOKUP(I1614, BasedatosM9!A:B, 2, FALSE), "BLANCO")))</f>
        <v/>
      </c>
    </row>
    <row r="1615" spans="1:11" ht="14.4">
      <c r="A1615" s="21"/>
      <c r="B1615" s="86"/>
      <c r="C1615" s="98"/>
      <c r="D1615" s="21"/>
      <c r="E1615" s="86"/>
      <c r="F1615" s="99"/>
      <c r="G1615" s="99"/>
      <c r="H1615" s="21"/>
      <c r="I1615" s="86"/>
      <c r="J1615" s="21"/>
      <c r="K1615" s="5" t="str">
        <f>IF(AND(LEN(H1615)=0, LEN(I1615)=0), "", IF(AND(LEN(H1615)&gt;0, LEN(I1615)=0), "BLANCO", IFERROR(VLOOKUP(I1615, BasedatosM9!A:B, 2, FALSE), "BLANCO")))</f>
        <v/>
      </c>
    </row>
    <row r="1616" spans="1:11" ht="14.4">
      <c r="A1616" s="21"/>
      <c r="B1616" s="86"/>
      <c r="C1616" s="98"/>
      <c r="D1616" s="21"/>
      <c r="E1616" s="86"/>
      <c r="F1616" s="99"/>
      <c r="G1616" s="99"/>
      <c r="H1616" s="21"/>
      <c r="I1616" s="21"/>
      <c r="J1616" s="21"/>
      <c r="K1616" s="5" t="str">
        <f>IF(AND(LEN(H1616)=0, LEN(I1616)=0), "", IF(AND(LEN(H1616)&gt;0, LEN(I1616)=0), "BLANCO", IFERROR(VLOOKUP(I1616, BasedatosM9!A:B, 2, FALSE), "BLANCO")))</f>
        <v/>
      </c>
    </row>
    <row r="1617" spans="1:11" ht="14.4">
      <c r="A1617" s="21"/>
      <c r="B1617" s="86"/>
      <c r="C1617" s="98"/>
      <c r="D1617" s="21"/>
      <c r="E1617" s="86"/>
      <c r="F1617" s="99"/>
      <c r="G1617" s="99"/>
      <c r="H1617" s="21"/>
      <c r="I1617" s="21"/>
      <c r="J1617" s="21"/>
      <c r="K1617" s="5" t="str">
        <f>IF(AND(LEN(H1617)=0, LEN(I1617)=0), "", IF(AND(LEN(H1617)&gt;0, LEN(I1617)=0), "BLANCO", IFERROR(VLOOKUP(I1617, BasedatosM9!A:B, 2, FALSE), "BLANCO")))</f>
        <v/>
      </c>
    </row>
    <row r="1618" spans="1:11" ht="14.4">
      <c r="A1618" s="21"/>
      <c r="B1618" s="86"/>
      <c r="C1618" s="98"/>
      <c r="D1618" s="21"/>
      <c r="E1618" s="86"/>
      <c r="F1618" s="99"/>
      <c r="G1618" s="99"/>
      <c r="H1618" s="21"/>
      <c r="I1618" s="86"/>
      <c r="J1618" s="21"/>
      <c r="K1618" s="5" t="str">
        <f>IF(AND(LEN(H1618)=0, LEN(I1618)=0), "", IF(AND(LEN(H1618)&gt;0, LEN(I1618)=0), "BLANCO", IFERROR(VLOOKUP(I1618, BasedatosM9!A:B, 2, FALSE), "BLANCO")))</f>
        <v/>
      </c>
    </row>
    <row r="1619" spans="1:11" ht="14.4">
      <c r="A1619" s="21"/>
      <c r="B1619" s="86"/>
      <c r="C1619" s="98"/>
      <c r="D1619" s="21"/>
      <c r="E1619" s="86"/>
      <c r="F1619" s="99"/>
      <c r="G1619" s="99"/>
      <c r="H1619" s="21"/>
      <c r="I1619" s="86"/>
      <c r="J1619" s="21"/>
      <c r="K1619" s="5" t="str">
        <f>IF(AND(LEN(H1619)=0, LEN(I1619)=0), "", IF(AND(LEN(H1619)&gt;0, LEN(I1619)=0), "BLANCO", IFERROR(VLOOKUP(I1619, BasedatosM9!A:B, 2, FALSE), "BLANCO")))</f>
        <v/>
      </c>
    </row>
    <row r="1620" spans="1:11" ht="14.4">
      <c r="A1620" s="21"/>
      <c r="B1620" s="86"/>
      <c r="C1620" s="98"/>
      <c r="D1620" s="21"/>
      <c r="E1620" s="86"/>
      <c r="F1620" s="99"/>
      <c r="G1620" s="99"/>
      <c r="H1620" s="21"/>
      <c r="I1620" s="86"/>
      <c r="J1620" s="21"/>
      <c r="K1620" s="5" t="str">
        <f>IF(AND(LEN(H1620)=0, LEN(I1620)=0), "", IF(AND(LEN(H1620)&gt;0, LEN(I1620)=0), "BLANCO", IFERROR(VLOOKUP(I1620, BasedatosM9!A:B, 2, FALSE), "BLANCO")))</f>
        <v/>
      </c>
    </row>
    <row r="1621" spans="1:11" ht="14.4">
      <c r="A1621" s="21"/>
      <c r="B1621" s="86"/>
      <c r="C1621" s="98"/>
      <c r="D1621" s="21"/>
      <c r="E1621" s="86"/>
      <c r="F1621" s="99"/>
      <c r="G1621" s="99"/>
      <c r="H1621" s="21"/>
      <c r="I1621" s="86"/>
      <c r="J1621" s="21"/>
      <c r="K1621" s="5" t="str">
        <f>IF(AND(LEN(H1621)=0, LEN(I1621)=0), "", IF(AND(LEN(H1621)&gt;0, LEN(I1621)=0), "BLANCO", IFERROR(VLOOKUP(I1621, BasedatosM9!A:B, 2, FALSE), "BLANCO")))</f>
        <v/>
      </c>
    </row>
    <row r="1622" spans="1:11" ht="14.4">
      <c r="A1622" s="21"/>
      <c r="B1622" s="86"/>
      <c r="C1622" s="98"/>
      <c r="D1622" s="21"/>
      <c r="E1622" s="86"/>
      <c r="F1622" s="99"/>
      <c r="G1622" s="99"/>
      <c r="H1622" s="21"/>
      <c r="I1622" s="86"/>
      <c r="J1622" s="21"/>
      <c r="K1622" s="5" t="str">
        <f>IF(AND(LEN(H1622)=0, LEN(I1622)=0), "", IF(AND(LEN(H1622)&gt;0, LEN(I1622)=0), "BLANCO", IFERROR(VLOOKUP(I1622, BasedatosM9!A:B, 2, FALSE), "BLANCO")))</f>
        <v/>
      </c>
    </row>
    <row r="1623" spans="1:11" ht="14.4">
      <c r="A1623" s="21"/>
      <c r="B1623" s="86"/>
      <c r="C1623" s="98"/>
      <c r="D1623" s="21"/>
      <c r="E1623" s="86"/>
      <c r="F1623" s="99"/>
      <c r="G1623" s="99"/>
      <c r="H1623" s="21"/>
      <c r="I1623" s="86"/>
      <c r="J1623" s="21"/>
      <c r="K1623" s="5" t="str">
        <f>IF(AND(LEN(H1623)=0, LEN(I1623)=0), "", IF(AND(LEN(H1623)&gt;0, LEN(I1623)=0), "BLANCO", IFERROR(VLOOKUP(I1623, BasedatosM9!A:B, 2, FALSE), "BLANCO")))</f>
        <v/>
      </c>
    </row>
    <row r="1624" spans="1:11" ht="14.4">
      <c r="A1624" s="21"/>
      <c r="B1624" s="86"/>
      <c r="C1624" s="98"/>
      <c r="D1624" s="21"/>
      <c r="E1624" s="86"/>
      <c r="F1624" s="99"/>
      <c r="G1624" s="99"/>
      <c r="H1624" s="21"/>
      <c r="I1624" s="86"/>
      <c r="J1624" s="21"/>
      <c r="K1624" s="5" t="str">
        <f>IF(AND(LEN(H1624)=0, LEN(I1624)=0), "", IF(AND(LEN(H1624)&gt;0, LEN(I1624)=0), "BLANCO", IFERROR(VLOOKUP(I1624, BasedatosM9!A:B, 2, FALSE), "BLANCO")))</f>
        <v/>
      </c>
    </row>
    <row r="1625" spans="1:11" ht="14.4">
      <c r="A1625" s="21"/>
      <c r="B1625" s="86"/>
      <c r="C1625" s="98"/>
      <c r="D1625" s="21"/>
      <c r="E1625" s="86"/>
      <c r="F1625" s="99"/>
      <c r="G1625" s="99"/>
      <c r="H1625" s="21"/>
      <c r="I1625" s="21"/>
      <c r="J1625" s="21"/>
      <c r="K1625" s="5" t="str">
        <f>IF(AND(LEN(H1625)=0, LEN(I1625)=0), "", IF(AND(LEN(H1625)&gt;0, LEN(I1625)=0), "BLANCO", IFERROR(VLOOKUP(I1625, BasedatosM9!A:B, 2, FALSE), "BLANCO")))</f>
        <v/>
      </c>
    </row>
    <row r="1626" spans="1:11" ht="14.4">
      <c r="A1626" s="21"/>
      <c r="B1626" s="86"/>
      <c r="C1626" s="98"/>
      <c r="D1626" s="21"/>
      <c r="E1626" s="86"/>
      <c r="F1626" s="99"/>
      <c r="G1626" s="99"/>
      <c r="H1626" s="21"/>
      <c r="I1626" s="86"/>
      <c r="J1626" s="21"/>
      <c r="K1626" s="5" t="str">
        <f>IF(AND(LEN(H1626)=0, LEN(I1626)=0), "", IF(AND(LEN(H1626)&gt;0, LEN(I1626)=0), "BLANCO", IFERROR(VLOOKUP(I1626, BasedatosM9!A:B, 2, FALSE), "BLANCO")))</f>
        <v/>
      </c>
    </row>
    <row r="1627" spans="1:11" ht="14.4">
      <c r="A1627" s="21"/>
      <c r="B1627" s="86"/>
      <c r="C1627" s="98"/>
      <c r="D1627" s="21"/>
      <c r="E1627" s="86"/>
      <c r="F1627" s="99"/>
      <c r="G1627" s="99"/>
      <c r="H1627" s="21"/>
      <c r="I1627" s="86"/>
      <c r="J1627" s="21"/>
      <c r="K1627" s="5" t="str">
        <f>IF(AND(LEN(H1627)=0, LEN(I1627)=0), "", IF(AND(LEN(H1627)&gt;0, LEN(I1627)=0), "BLANCO", IFERROR(VLOOKUP(I1627, BasedatosM9!A:B, 2, FALSE), "BLANCO")))</f>
        <v/>
      </c>
    </row>
    <row r="1628" spans="1:11" ht="14.4">
      <c r="A1628" s="21"/>
      <c r="B1628" s="86"/>
      <c r="C1628" s="98"/>
      <c r="D1628" s="21"/>
      <c r="E1628" s="86"/>
      <c r="F1628" s="99"/>
      <c r="G1628" s="99"/>
      <c r="H1628" s="21"/>
      <c r="I1628" s="86"/>
      <c r="J1628" s="21"/>
      <c r="K1628" s="5" t="str">
        <f>IF(AND(LEN(H1628)=0, LEN(I1628)=0), "", IF(AND(LEN(H1628)&gt;0, LEN(I1628)=0), "BLANCO", IFERROR(VLOOKUP(I1628, BasedatosM9!A:B, 2, FALSE), "BLANCO")))</f>
        <v/>
      </c>
    </row>
    <row r="1629" spans="1:11" ht="14.4">
      <c r="A1629" s="21"/>
      <c r="B1629" s="86"/>
      <c r="C1629" s="98"/>
      <c r="D1629" s="21"/>
      <c r="E1629" s="86"/>
      <c r="F1629" s="99"/>
      <c r="G1629" s="99"/>
      <c r="H1629" s="21"/>
      <c r="I1629" s="86"/>
      <c r="J1629" s="21"/>
      <c r="K1629" s="5" t="str">
        <f>IF(AND(LEN(H1629)=0, LEN(I1629)=0), "", IF(AND(LEN(H1629)&gt;0, LEN(I1629)=0), "BLANCO", IFERROR(VLOOKUP(I1629, BasedatosM9!A:B, 2, FALSE), "BLANCO")))</f>
        <v/>
      </c>
    </row>
    <row r="1630" spans="1:11" ht="14.4">
      <c r="A1630" s="21"/>
      <c r="B1630" s="86"/>
      <c r="C1630" s="98"/>
      <c r="D1630" s="21"/>
      <c r="E1630" s="86"/>
      <c r="F1630" s="99"/>
      <c r="G1630" s="99"/>
      <c r="H1630" s="21"/>
      <c r="I1630" s="86"/>
      <c r="J1630" s="21"/>
      <c r="K1630" s="5" t="str">
        <f>IF(AND(LEN(H1630)=0, LEN(I1630)=0), "", IF(AND(LEN(H1630)&gt;0, LEN(I1630)=0), "BLANCO", IFERROR(VLOOKUP(I1630, BasedatosM9!A:B, 2, FALSE), "BLANCO")))</f>
        <v/>
      </c>
    </row>
    <row r="1631" spans="1:11" ht="14.4">
      <c r="A1631" s="21"/>
      <c r="B1631" s="86"/>
      <c r="C1631" s="98"/>
      <c r="D1631" s="21"/>
      <c r="E1631" s="86"/>
      <c r="F1631" s="99"/>
      <c r="G1631" s="99"/>
      <c r="H1631" s="21"/>
      <c r="I1631" s="86"/>
      <c r="J1631" s="21"/>
      <c r="K1631" s="5" t="str">
        <f>IF(AND(LEN(H1631)=0, LEN(I1631)=0), "", IF(AND(LEN(H1631)&gt;0, LEN(I1631)=0), "BLANCO", IFERROR(VLOOKUP(I1631, BasedatosM9!A:B, 2, FALSE), "BLANCO")))</f>
        <v/>
      </c>
    </row>
    <row r="1632" spans="1:11" ht="14.4">
      <c r="A1632" s="21"/>
      <c r="B1632" s="86"/>
      <c r="C1632" s="98"/>
      <c r="D1632" s="21"/>
      <c r="E1632" s="86"/>
      <c r="F1632" s="99"/>
      <c r="G1632" s="99"/>
      <c r="H1632" s="21"/>
      <c r="I1632" s="21"/>
      <c r="J1632" s="21"/>
      <c r="K1632" s="5" t="str">
        <f>IF(AND(LEN(H1632)=0, LEN(I1632)=0), "", IF(AND(LEN(H1632)&gt;0, LEN(I1632)=0), "BLANCO", IFERROR(VLOOKUP(I1632, BasedatosM9!A:B, 2, FALSE), "BLANCO")))</f>
        <v/>
      </c>
    </row>
    <row r="1633" spans="1:11" ht="14.4">
      <c r="A1633" s="21"/>
      <c r="B1633" s="86"/>
      <c r="C1633" s="98"/>
      <c r="D1633" s="21"/>
      <c r="E1633" s="86"/>
      <c r="F1633" s="99"/>
      <c r="G1633" s="99"/>
      <c r="H1633" s="21"/>
      <c r="I1633" s="21"/>
      <c r="J1633" s="21"/>
      <c r="K1633" s="5" t="str">
        <f>IF(AND(LEN(H1633)=0, LEN(I1633)=0), "", IF(AND(LEN(H1633)&gt;0, LEN(I1633)=0), "BLANCO", IFERROR(VLOOKUP(I1633, BasedatosM9!A:B, 2, FALSE), "BLANCO")))</f>
        <v/>
      </c>
    </row>
    <row r="1634" spans="1:11" ht="14.4">
      <c r="A1634" s="21"/>
      <c r="B1634" s="86"/>
      <c r="C1634" s="98"/>
      <c r="D1634" s="21"/>
      <c r="E1634" s="86"/>
      <c r="F1634" s="99"/>
      <c r="G1634" s="99"/>
      <c r="H1634" s="21"/>
      <c r="I1634" s="21"/>
      <c r="J1634" s="21"/>
      <c r="K1634" s="5" t="str">
        <f>IF(AND(LEN(H1634)=0, LEN(I1634)=0), "", IF(AND(LEN(H1634)&gt;0, LEN(I1634)=0), "BLANCO", IFERROR(VLOOKUP(I1634, BasedatosM9!A:B, 2, FALSE), "BLANCO")))</f>
        <v/>
      </c>
    </row>
    <row r="1635" spans="1:11" ht="14.4">
      <c r="A1635" s="21"/>
      <c r="B1635" s="86"/>
      <c r="C1635" s="98"/>
      <c r="D1635" s="21"/>
      <c r="E1635" s="86"/>
      <c r="F1635" s="99"/>
      <c r="G1635" s="99"/>
      <c r="H1635" s="21"/>
      <c r="I1635" s="21"/>
      <c r="J1635" s="21"/>
      <c r="K1635" s="5" t="str">
        <f>IF(AND(LEN(H1635)=0, LEN(I1635)=0), "", IF(AND(LEN(H1635)&gt;0, LEN(I1635)=0), "BLANCO", IFERROR(VLOOKUP(I1635, BasedatosM9!A:B, 2, FALSE), "BLANCO")))</f>
        <v/>
      </c>
    </row>
    <row r="1636" spans="1:11" ht="14.4">
      <c r="A1636" s="21"/>
      <c r="B1636" s="86"/>
      <c r="C1636" s="98"/>
      <c r="D1636" s="21"/>
      <c r="E1636" s="86"/>
      <c r="F1636" s="99"/>
      <c r="G1636" s="99"/>
      <c r="H1636" s="21"/>
      <c r="I1636" s="21"/>
      <c r="J1636" s="21"/>
      <c r="K1636" s="5" t="str">
        <f>IF(AND(LEN(H1636)=0, LEN(I1636)=0), "", IF(AND(LEN(H1636)&gt;0, LEN(I1636)=0), "BLANCO", IFERROR(VLOOKUP(I1636, BasedatosM9!A:B, 2, FALSE), "BLANCO")))</f>
        <v/>
      </c>
    </row>
    <row r="1637" spans="1:11" ht="14.4">
      <c r="A1637" s="21"/>
      <c r="B1637" s="86"/>
      <c r="C1637" s="98"/>
      <c r="D1637" s="21"/>
      <c r="E1637" s="86"/>
      <c r="F1637" s="99"/>
      <c r="G1637" s="99"/>
      <c r="H1637" s="21"/>
      <c r="I1637" s="86"/>
      <c r="J1637" s="21"/>
      <c r="K1637" s="5" t="str">
        <f>IF(AND(LEN(H1637)=0, LEN(I1637)=0), "", IF(AND(LEN(H1637)&gt;0, LEN(I1637)=0), "BLANCO", IFERROR(VLOOKUP(I1637, BasedatosM9!A:B, 2, FALSE), "BLANCO")))</f>
        <v/>
      </c>
    </row>
    <row r="1638" spans="1:11" ht="14.4">
      <c r="A1638" s="21"/>
      <c r="B1638" s="86"/>
      <c r="C1638" s="98"/>
      <c r="D1638" s="21"/>
      <c r="E1638" s="86"/>
      <c r="F1638" s="99"/>
      <c r="G1638" s="99"/>
      <c r="H1638" s="21"/>
      <c r="I1638" s="21"/>
      <c r="J1638" s="21"/>
      <c r="K1638" s="5" t="str">
        <f>IF(AND(LEN(H1638)=0, LEN(I1638)=0), "", IF(AND(LEN(H1638)&gt;0, LEN(I1638)=0), "BLANCO", IFERROR(VLOOKUP(I1638, BasedatosM9!A:B, 2, FALSE), "BLANCO")))</f>
        <v/>
      </c>
    </row>
    <row r="1639" spans="1:11" ht="14.4">
      <c r="A1639" s="21"/>
      <c r="B1639" s="86"/>
      <c r="C1639" s="98"/>
      <c r="D1639" s="21"/>
      <c r="E1639" s="86"/>
      <c r="F1639" s="99"/>
      <c r="G1639" s="99"/>
      <c r="H1639" s="21"/>
      <c r="I1639" s="86"/>
      <c r="J1639" s="21"/>
      <c r="K1639" s="5" t="str">
        <f>IF(AND(LEN(H1639)=0, LEN(I1639)=0), "", IF(AND(LEN(H1639)&gt;0, LEN(I1639)=0), "BLANCO", IFERROR(VLOOKUP(I1639, BasedatosM9!A:B, 2, FALSE), "BLANCO")))</f>
        <v/>
      </c>
    </row>
    <row r="1640" spans="1:11" ht="14.4">
      <c r="A1640" s="21"/>
      <c r="B1640" s="86"/>
      <c r="C1640" s="98"/>
      <c r="D1640" s="21"/>
      <c r="E1640" s="86"/>
      <c r="F1640" s="99"/>
      <c r="G1640" s="99"/>
      <c r="H1640" s="21"/>
      <c r="I1640" s="21"/>
      <c r="J1640" s="21"/>
      <c r="K1640" s="5" t="str">
        <f>IF(AND(LEN(H1640)=0, LEN(I1640)=0), "", IF(AND(LEN(H1640)&gt;0, LEN(I1640)=0), "BLANCO", IFERROR(VLOOKUP(I1640, BasedatosM9!A:B, 2, FALSE), "BLANCO")))</f>
        <v/>
      </c>
    </row>
    <row r="1641" spans="1:11" ht="14.4">
      <c r="A1641" s="21"/>
      <c r="B1641" s="86"/>
      <c r="C1641" s="98"/>
      <c r="D1641" s="21"/>
      <c r="E1641" s="86"/>
      <c r="F1641" s="99"/>
      <c r="G1641" s="99"/>
      <c r="H1641" s="21"/>
      <c r="I1641" s="21"/>
      <c r="J1641" s="21"/>
      <c r="K1641" s="5" t="str">
        <f>IF(AND(LEN(H1641)=0, LEN(I1641)=0), "", IF(AND(LEN(H1641)&gt;0, LEN(I1641)=0), "BLANCO", IFERROR(VLOOKUP(I1641, BasedatosM9!A:B, 2, FALSE), "BLANCO")))</f>
        <v/>
      </c>
    </row>
    <row r="1642" spans="1:11" ht="14.4">
      <c r="A1642" s="21"/>
      <c r="B1642" s="86"/>
      <c r="C1642" s="98"/>
      <c r="D1642" s="21"/>
      <c r="E1642" s="86"/>
      <c r="F1642" s="99"/>
      <c r="G1642" s="99"/>
      <c r="H1642" s="21"/>
      <c r="I1642" s="86"/>
      <c r="J1642" s="21"/>
      <c r="K1642" s="5" t="str">
        <f>IF(AND(LEN(H1642)=0, LEN(I1642)=0), "", IF(AND(LEN(H1642)&gt;0, LEN(I1642)=0), "BLANCO", IFERROR(VLOOKUP(I1642, BasedatosM9!A:B, 2, FALSE), "BLANCO")))</f>
        <v/>
      </c>
    </row>
    <row r="1643" spans="1:11" ht="14.4">
      <c r="A1643" s="21"/>
      <c r="B1643" s="86"/>
      <c r="C1643" s="98"/>
      <c r="D1643" s="21"/>
      <c r="E1643" s="86"/>
      <c r="F1643" s="99"/>
      <c r="G1643" s="99"/>
      <c r="H1643" s="21"/>
      <c r="I1643" s="86"/>
      <c r="J1643" s="21"/>
      <c r="K1643" s="5" t="str">
        <f>IF(AND(LEN(H1643)=0, LEN(I1643)=0), "", IF(AND(LEN(H1643)&gt;0, LEN(I1643)=0), "BLANCO", IFERROR(VLOOKUP(I1643, BasedatosM9!A:B, 2, FALSE), "BLANCO")))</f>
        <v/>
      </c>
    </row>
    <row r="1644" spans="1:11" ht="14.4">
      <c r="A1644" s="21"/>
      <c r="B1644" s="86"/>
      <c r="C1644" s="98"/>
      <c r="D1644" s="21"/>
      <c r="E1644" s="86"/>
      <c r="F1644" s="99"/>
      <c r="G1644" s="99"/>
      <c r="H1644" s="21"/>
      <c r="I1644" s="86"/>
      <c r="J1644" s="21"/>
      <c r="K1644" s="5" t="str">
        <f>IF(AND(LEN(H1644)=0, LEN(I1644)=0), "", IF(AND(LEN(H1644)&gt;0, LEN(I1644)=0), "BLANCO", IFERROR(VLOOKUP(I1644, BasedatosM9!A:B, 2, FALSE), "BLANCO")))</f>
        <v/>
      </c>
    </row>
    <row r="1645" spans="1:11" ht="14.4">
      <c r="A1645" s="21"/>
      <c r="B1645" s="86"/>
      <c r="C1645" s="98"/>
      <c r="D1645" s="21"/>
      <c r="E1645" s="86"/>
      <c r="F1645" s="99"/>
      <c r="G1645" s="99"/>
      <c r="H1645" s="21"/>
      <c r="I1645" s="86"/>
      <c r="J1645" s="21"/>
      <c r="K1645" s="5" t="str">
        <f>IF(AND(LEN(H1645)=0, LEN(I1645)=0), "", IF(AND(LEN(H1645)&gt;0, LEN(I1645)=0), "BLANCO", IFERROR(VLOOKUP(I1645, BasedatosM9!A:B, 2, FALSE), "BLANCO")))</f>
        <v/>
      </c>
    </row>
    <row r="1646" spans="1:11" ht="14.4">
      <c r="A1646" s="21"/>
      <c r="B1646" s="86"/>
      <c r="C1646" s="98"/>
      <c r="D1646" s="21"/>
      <c r="E1646" s="86"/>
      <c r="F1646" s="99"/>
      <c r="G1646" s="99"/>
      <c r="H1646" s="21"/>
      <c r="I1646" s="86"/>
      <c r="J1646" s="21"/>
      <c r="K1646" s="5" t="str">
        <f>IF(AND(LEN(H1646)=0, LEN(I1646)=0), "", IF(AND(LEN(H1646)&gt;0, LEN(I1646)=0), "BLANCO", IFERROR(VLOOKUP(I1646, BasedatosM9!A:B, 2, FALSE), "BLANCO")))</f>
        <v/>
      </c>
    </row>
    <row r="1647" spans="1:11" ht="14.4">
      <c r="A1647" s="21"/>
      <c r="B1647" s="86"/>
      <c r="C1647" s="98"/>
      <c r="D1647" s="21"/>
      <c r="E1647" s="86"/>
      <c r="F1647" s="99"/>
      <c r="G1647" s="99"/>
      <c r="H1647" s="21"/>
      <c r="I1647" s="86"/>
      <c r="J1647" s="21"/>
      <c r="K1647" s="5" t="str">
        <f>IF(AND(LEN(H1647)=0, LEN(I1647)=0), "", IF(AND(LEN(H1647)&gt;0, LEN(I1647)=0), "BLANCO", IFERROR(VLOOKUP(I1647, BasedatosM9!A:B, 2, FALSE), "BLANCO")))</f>
        <v/>
      </c>
    </row>
    <row r="1648" spans="1:11" ht="14.4">
      <c r="A1648" s="21"/>
      <c r="B1648" s="86"/>
      <c r="C1648" s="98"/>
      <c r="D1648" s="21"/>
      <c r="E1648" s="86"/>
      <c r="F1648" s="99"/>
      <c r="G1648" s="99"/>
      <c r="H1648" s="21"/>
      <c r="I1648" s="86"/>
      <c r="J1648" s="21"/>
      <c r="K1648" s="5" t="str">
        <f>IF(AND(LEN(H1648)=0, LEN(I1648)=0), "", IF(AND(LEN(H1648)&gt;0, LEN(I1648)=0), "BLANCO", IFERROR(VLOOKUP(I1648, BasedatosM9!A:B, 2, FALSE), "BLANCO")))</f>
        <v/>
      </c>
    </row>
    <row r="1649" spans="1:11" ht="14.4">
      <c r="A1649" s="21"/>
      <c r="B1649" s="86"/>
      <c r="C1649" s="98"/>
      <c r="D1649" s="21"/>
      <c r="E1649" s="86"/>
      <c r="F1649" s="99"/>
      <c r="G1649" s="99"/>
      <c r="H1649" s="21"/>
      <c r="I1649" s="86"/>
      <c r="J1649" s="21"/>
      <c r="K1649" s="5" t="str">
        <f>IF(AND(LEN(H1649)=0, LEN(I1649)=0), "", IF(AND(LEN(H1649)&gt;0, LEN(I1649)=0), "BLANCO", IFERROR(VLOOKUP(I1649, BasedatosM9!A:B, 2, FALSE), "BLANCO")))</f>
        <v/>
      </c>
    </row>
    <row r="1650" spans="1:11" ht="14.4">
      <c r="A1650" s="21"/>
      <c r="B1650" s="86"/>
      <c r="C1650" s="98"/>
      <c r="D1650" s="21"/>
      <c r="E1650" s="86"/>
      <c r="F1650" s="99"/>
      <c r="G1650" s="99"/>
      <c r="H1650" s="21"/>
      <c r="I1650" s="21"/>
      <c r="J1650" s="21"/>
      <c r="K1650" s="5" t="str">
        <f>IF(AND(LEN(H1650)=0, LEN(I1650)=0), "", IF(AND(LEN(H1650)&gt;0, LEN(I1650)=0), "BLANCO", IFERROR(VLOOKUP(I1650, BasedatosM9!A:B, 2, FALSE), "BLANCO")))</f>
        <v/>
      </c>
    </row>
    <row r="1651" spans="1:11" ht="14.4">
      <c r="A1651" s="21"/>
      <c r="B1651" s="86"/>
      <c r="C1651" s="98"/>
      <c r="D1651" s="21"/>
      <c r="E1651" s="86"/>
      <c r="F1651" s="99"/>
      <c r="G1651" s="99"/>
      <c r="H1651" s="21"/>
      <c r="I1651" s="86"/>
      <c r="J1651" s="21"/>
      <c r="K1651" s="5" t="str">
        <f>IF(AND(LEN(H1651)=0, LEN(I1651)=0), "", IF(AND(LEN(H1651)&gt;0, LEN(I1651)=0), "BLANCO", IFERROR(VLOOKUP(I1651, BasedatosM9!A:B, 2, FALSE), "BLANCO")))</f>
        <v/>
      </c>
    </row>
    <row r="1652" spans="1:11" ht="14.4">
      <c r="A1652" s="21"/>
      <c r="B1652" s="86"/>
      <c r="C1652" s="98"/>
      <c r="D1652" s="21"/>
      <c r="E1652" s="86"/>
      <c r="F1652" s="99"/>
      <c r="G1652" s="99"/>
      <c r="H1652" s="21"/>
      <c r="I1652" s="86"/>
      <c r="J1652" s="21"/>
      <c r="K1652" s="5" t="str">
        <f>IF(AND(LEN(H1652)=0, LEN(I1652)=0), "", IF(AND(LEN(H1652)&gt;0, LEN(I1652)=0), "BLANCO", IFERROR(VLOOKUP(I1652, BasedatosM9!A:B, 2, FALSE), "BLANCO")))</f>
        <v/>
      </c>
    </row>
    <row r="1653" spans="1:11" ht="14.4">
      <c r="A1653" s="21"/>
      <c r="B1653" s="86"/>
      <c r="C1653" s="98"/>
      <c r="D1653" s="21"/>
      <c r="E1653" s="86"/>
      <c r="F1653" s="99"/>
      <c r="G1653" s="99"/>
      <c r="H1653" s="21"/>
      <c r="I1653" s="86"/>
      <c r="J1653" s="21"/>
      <c r="K1653" s="5" t="str">
        <f>IF(AND(LEN(H1653)=0, LEN(I1653)=0), "", IF(AND(LEN(H1653)&gt;0, LEN(I1653)=0), "BLANCO", IFERROR(VLOOKUP(I1653, BasedatosM9!A:B, 2, FALSE), "BLANCO")))</f>
        <v/>
      </c>
    </row>
    <row r="1654" spans="1:11" ht="14.4">
      <c r="A1654" s="21"/>
      <c r="B1654" s="86"/>
      <c r="C1654" s="98"/>
      <c r="D1654" s="21"/>
      <c r="E1654" s="86"/>
      <c r="F1654" s="99"/>
      <c r="G1654" s="99"/>
      <c r="H1654" s="21"/>
      <c r="I1654" s="21"/>
      <c r="J1654" s="21"/>
      <c r="K1654" s="5" t="str">
        <f>IF(AND(LEN(H1654)=0, LEN(I1654)=0), "", IF(AND(LEN(H1654)&gt;0, LEN(I1654)=0), "BLANCO", IFERROR(VLOOKUP(I1654, BasedatosM9!A:B, 2, FALSE), "BLANCO")))</f>
        <v/>
      </c>
    </row>
    <row r="1655" spans="1:11" ht="14.4">
      <c r="A1655" s="21"/>
      <c r="B1655" s="86"/>
      <c r="C1655" s="98"/>
      <c r="D1655" s="21"/>
      <c r="E1655" s="86"/>
      <c r="F1655" s="99"/>
      <c r="G1655" s="99"/>
      <c r="H1655" s="21"/>
      <c r="I1655" s="86"/>
      <c r="J1655" s="21"/>
      <c r="K1655" s="5" t="str">
        <f>IF(AND(LEN(H1655)=0, LEN(I1655)=0), "", IF(AND(LEN(H1655)&gt;0, LEN(I1655)=0), "BLANCO", IFERROR(VLOOKUP(I1655, BasedatosM9!A:B, 2, FALSE), "BLANCO")))</f>
        <v/>
      </c>
    </row>
    <row r="1656" spans="1:11" ht="14.4">
      <c r="A1656" s="21"/>
      <c r="B1656" s="86"/>
      <c r="C1656" s="98"/>
      <c r="D1656" s="21"/>
      <c r="E1656" s="86"/>
      <c r="F1656" s="99"/>
      <c r="G1656" s="99"/>
      <c r="H1656" s="21"/>
      <c r="I1656" s="86"/>
      <c r="J1656" s="21"/>
      <c r="K1656" s="5" t="str">
        <f>IF(AND(LEN(H1656)=0, LEN(I1656)=0), "", IF(AND(LEN(H1656)&gt;0, LEN(I1656)=0), "BLANCO", IFERROR(VLOOKUP(I1656, BasedatosM9!A:B, 2, FALSE), "BLANCO")))</f>
        <v/>
      </c>
    </row>
    <row r="1657" spans="1:11" ht="14.4">
      <c r="A1657" s="21"/>
      <c r="B1657" s="86"/>
      <c r="C1657" s="98"/>
      <c r="D1657" s="21"/>
      <c r="E1657" s="86"/>
      <c r="F1657" s="99"/>
      <c r="G1657" s="99"/>
      <c r="H1657" s="21"/>
      <c r="I1657" s="21"/>
      <c r="J1657" s="21"/>
      <c r="K1657" s="5" t="str">
        <f>IF(AND(LEN(H1657)=0, LEN(I1657)=0), "", IF(AND(LEN(H1657)&gt;0, LEN(I1657)=0), "BLANCO", IFERROR(VLOOKUP(I1657, BasedatosM9!A:B, 2, FALSE), "BLANCO")))</f>
        <v/>
      </c>
    </row>
    <row r="1658" spans="1:11" ht="14.4">
      <c r="A1658" s="21"/>
      <c r="B1658" s="86"/>
      <c r="C1658" s="98"/>
      <c r="D1658" s="21"/>
      <c r="E1658" s="86"/>
      <c r="F1658" s="99"/>
      <c r="G1658" s="99"/>
      <c r="H1658" s="21"/>
      <c r="I1658" s="86"/>
      <c r="J1658" s="21"/>
      <c r="K1658" s="5" t="str">
        <f>IF(AND(LEN(H1658)=0, LEN(I1658)=0), "", IF(AND(LEN(H1658)&gt;0, LEN(I1658)=0), "BLANCO", IFERROR(VLOOKUP(I1658, BasedatosM9!A:B, 2, FALSE), "BLANCO")))</f>
        <v/>
      </c>
    </row>
    <row r="1659" spans="1:11" ht="14.4">
      <c r="A1659" s="21"/>
      <c r="B1659" s="86"/>
      <c r="C1659" s="98"/>
      <c r="D1659" s="21"/>
      <c r="E1659" s="86"/>
      <c r="F1659" s="99"/>
      <c r="G1659" s="99"/>
      <c r="H1659" s="21"/>
      <c r="I1659" s="21"/>
      <c r="J1659" s="21"/>
      <c r="K1659" s="5" t="str">
        <f>IF(AND(LEN(H1659)=0, LEN(I1659)=0), "", IF(AND(LEN(H1659)&gt;0, LEN(I1659)=0), "BLANCO", IFERROR(VLOOKUP(I1659, BasedatosM9!A:B, 2, FALSE), "BLANCO")))</f>
        <v/>
      </c>
    </row>
    <row r="1660" spans="1:11" ht="14.4">
      <c r="A1660" s="21"/>
      <c r="B1660" s="86"/>
      <c r="C1660" s="98"/>
      <c r="D1660" s="21"/>
      <c r="E1660" s="86"/>
      <c r="F1660" s="99"/>
      <c r="G1660" s="99"/>
      <c r="H1660" s="21"/>
      <c r="I1660" s="21"/>
      <c r="J1660" s="21"/>
      <c r="K1660" s="5" t="str">
        <f>IF(AND(LEN(H1660)=0, LEN(I1660)=0), "", IF(AND(LEN(H1660)&gt;0, LEN(I1660)=0), "BLANCO", IFERROR(VLOOKUP(I1660, BasedatosM9!A:B, 2, FALSE), "BLANCO")))</f>
        <v/>
      </c>
    </row>
    <row r="1661" spans="1:11" ht="14.4">
      <c r="A1661" s="21"/>
      <c r="B1661" s="86"/>
      <c r="C1661" s="98"/>
      <c r="D1661" s="21"/>
      <c r="E1661" s="86"/>
      <c r="F1661" s="99"/>
      <c r="G1661" s="99"/>
      <c r="H1661" s="21"/>
      <c r="I1661" s="21"/>
      <c r="J1661" s="21"/>
      <c r="K1661" s="5" t="str">
        <f>IF(AND(LEN(H1661)=0, LEN(I1661)=0), "", IF(AND(LEN(H1661)&gt;0, LEN(I1661)=0), "BLANCO", IFERROR(VLOOKUP(I1661, BasedatosM9!A:B, 2, FALSE), "BLANCO")))</f>
        <v/>
      </c>
    </row>
    <row r="1662" spans="1:11" ht="14.4">
      <c r="A1662" s="21"/>
      <c r="B1662" s="86"/>
      <c r="C1662" s="98"/>
      <c r="D1662" s="21"/>
      <c r="E1662" s="86"/>
      <c r="F1662" s="99"/>
      <c r="G1662" s="99"/>
      <c r="H1662" s="21"/>
      <c r="I1662" s="86"/>
      <c r="J1662" s="21"/>
      <c r="K1662" s="5" t="str">
        <f>IF(AND(LEN(H1662)=0, LEN(I1662)=0), "", IF(AND(LEN(H1662)&gt;0, LEN(I1662)=0), "BLANCO", IFERROR(VLOOKUP(I1662, BasedatosM9!A:B, 2, FALSE), "BLANCO")))</f>
        <v/>
      </c>
    </row>
    <row r="1663" spans="1:11" ht="14.4">
      <c r="A1663" s="21"/>
      <c r="B1663" s="86"/>
      <c r="C1663" s="98"/>
      <c r="D1663" s="21"/>
      <c r="E1663" s="86"/>
      <c r="F1663" s="99"/>
      <c r="G1663" s="99"/>
      <c r="H1663" s="21"/>
      <c r="I1663" s="86"/>
      <c r="J1663" s="21"/>
      <c r="K1663" s="5" t="str">
        <f>IF(AND(LEN(H1663)=0, LEN(I1663)=0), "", IF(AND(LEN(H1663)&gt;0, LEN(I1663)=0), "BLANCO", IFERROR(VLOOKUP(I1663, BasedatosM9!A:B, 2, FALSE), "BLANCO")))</f>
        <v/>
      </c>
    </row>
    <row r="1664" spans="1:11" ht="14.4">
      <c r="A1664" s="21"/>
      <c r="B1664" s="86"/>
      <c r="C1664" s="98"/>
      <c r="D1664" s="21"/>
      <c r="E1664" s="86"/>
      <c r="F1664" s="99"/>
      <c r="G1664" s="99"/>
      <c r="H1664" s="21"/>
      <c r="I1664" s="21"/>
      <c r="J1664" s="21"/>
      <c r="K1664" s="5" t="str">
        <f>IF(AND(LEN(H1664)=0, LEN(I1664)=0), "", IF(AND(LEN(H1664)&gt;0, LEN(I1664)=0), "BLANCO", IFERROR(VLOOKUP(I1664, BasedatosM9!A:B, 2, FALSE), "BLANCO")))</f>
        <v/>
      </c>
    </row>
    <row r="1665" spans="1:11" ht="14.4">
      <c r="A1665" s="21"/>
      <c r="B1665" s="86"/>
      <c r="C1665" s="98"/>
      <c r="D1665" s="21"/>
      <c r="E1665" s="86"/>
      <c r="F1665" s="99"/>
      <c r="G1665" s="99"/>
      <c r="H1665" s="21"/>
      <c r="I1665" s="86"/>
      <c r="J1665" s="21"/>
      <c r="K1665" s="5" t="str">
        <f>IF(AND(LEN(H1665)=0, LEN(I1665)=0), "", IF(AND(LEN(H1665)&gt;0, LEN(I1665)=0), "BLANCO", IFERROR(VLOOKUP(I1665, BasedatosM9!A:B, 2, FALSE), "BLANCO")))</f>
        <v/>
      </c>
    </row>
    <row r="1666" spans="1:11" ht="14.4">
      <c r="A1666" s="21"/>
      <c r="B1666" s="86"/>
      <c r="C1666" s="98"/>
      <c r="D1666" s="21"/>
      <c r="E1666" s="86"/>
      <c r="F1666" s="99"/>
      <c r="G1666" s="99"/>
      <c r="H1666" s="21"/>
      <c r="I1666" s="86"/>
      <c r="J1666" s="21"/>
      <c r="K1666" s="5" t="str">
        <f>IF(AND(LEN(H1666)=0, LEN(I1666)=0), "", IF(AND(LEN(H1666)&gt;0, LEN(I1666)=0), "BLANCO", IFERROR(VLOOKUP(I1666, BasedatosM9!A:B, 2, FALSE), "BLANCO")))</f>
        <v/>
      </c>
    </row>
    <row r="1667" spans="1:11" ht="14.4">
      <c r="A1667" s="21"/>
      <c r="B1667" s="86"/>
      <c r="C1667" s="98"/>
      <c r="D1667" s="21"/>
      <c r="E1667" s="86"/>
      <c r="F1667" s="99"/>
      <c r="G1667" s="99"/>
      <c r="H1667" s="21"/>
      <c r="I1667" s="86"/>
      <c r="J1667" s="21"/>
      <c r="K1667" s="5" t="str">
        <f>IF(AND(LEN(H1667)=0, LEN(I1667)=0), "", IF(AND(LEN(H1667)&gt;0, LEN(I1667)=0), "BLANCO", IFERROR(VLOOKUP(I1667, BasedatosM9!A:B, 2, FALSE), "BLANCO")))</f>
        <v/>
      </c>
    </row>
    <row r="1668" spans="1:11" ht="14.4">
      <c r="A1668" s="21"/>
      <c r="B1668" s="86"/>
      <c r="C1668" s="98"/>
      <c r="D1668" s="21"/>
      <c r="E1668" s="86"/>
      <c r="F1668" s="99"/>
      <c r="G1668" s="99"/>
      <c r="H1668" s="21"/>
      <c r="I1668" s="21"/>
      <c r="J1668" s="21"/>
      <c r="K1668" s="5" t="str">
        <f>IF(AND(LEN(H1668)=0, LEN(I1668)=0), "", IF(AND(LEN(H1668)&gt;0, LEN(I1668)=0), "BLANCO", IFERROR(VLOOKUP(I1668, BasedatosM9!A:B, 2, FALSE), "BLANCO")))</f>
        <v/>
      </c>
    </row>
    <row r="1669" spans="1:11" ht="14.4">
      <c r="A1669" s="21"/>
      <c r="B1669" s="86"/>
      <c r="C1669" s="98"/>
      <c r="D1669" s="21"/>
      <c r="E1669" s="86"/>
      <c r="F1669" s="99"/>
      <c r="G1669" s="99"/>
      <c r="H1669" s="21"/>
      <c r="I1669" s="21"/>
      <c r="J1669" s="21"/>
      <c r="K1669" s="5" t="str">
        <f>IF(AND(LEN(H1669)=0, LEN(I1669)=0), "", IF(AND(LEN(H1669)&gt;0, LEN(I1669)=0), "BLANCO", IFERROR(VLOOKUP(I1669, BasedatosM9!A:B, 2, FALSE), "BLANCO")))</f>
        <v/>
      </c>
    </row>
    <row r="1670" spans="1:11" ht="14.4">
      <c r="A1670" s="21"/>
      <c r="B1670" s="86"/>
      <c r="C1670" s="98"/>
      <c r="D1670" s="21"/>
      <c r="E1670" s="86"/>
      <c r="F1670" s="99"/>
      <c r="G1670" s="99"/>
      <c r="H1670" s="21"/>
      <c r="I1670" s="21"/>
      <c r="J1670" s="21"/>
      <c r="K1670" s="5" t="str">
        <f>IF(AND(LEN(H1670)=0, LEN(I1670)=0), "", IF(AND(LEN(H1670)&gt;0, LEN(I1670)=0), "BLANCO", IFERROR(VLOOKUP(I1670, BasedatosM9!A:B, 2, FALSE), "BLANCO")))</f>
        <v/>
      </c>
    </row>
    <row r="1671" spans="1:11" ht="14.4">
      <c r="A1671" s="21"/>
      <c r="B1671" s="86"/>
      <c r="C1671" s="98"/>
      <c r="D1671" s="21"/>
      <c r="E1671" s="86"/>
      <c r="F1671" s="99"/>
      <c r="G1671" s="99"/>
      <c r="H1671" s="21"/>
      <c r="I1671" s="21"/>
      <c r="J1671" s="21"/>
      <c r="K1671" s="5" t="str">
        <f>IF(AND(LEN(H1671)=0, LEN(I1671)=0), "", IF(AND(LEN(H1671)&gt;0, LEN(I1671)=0), "BLANCO", IFERROR(VLOOKUP(I1671, BasedatosM9!A:B, 2, FALSE), "BLANCO")))</f>
        <v/>
      </c>
    </row>
    <row r="1672" spans="1:11" ht="14.4">
      <c r="A1672" s="21"/>
      <c r="B1672" s="86"/>
      <c r="C1672" s="98"/>
      <c r="D1672" s="21"/>
      <c r="E1672" s="86"/>
      <c r="F1672" s="99"/>
      <c r="G1672" s="99"/>
      <c r="H1672" s="21"/>
      <c r="I1672" s="86"/>
      <c r="J1672" s="21"/>
      <c r="K1672" s="5" t="str">
        <f>IF(AND(LEN(H1672)=0, LEN(I1672)=0), "", IF(AND(LEN(H1672)&gt;0, LEN(I1672)=0), "BLANCO", IFERROR(VLOOKUP(I1672, BasedatosM9!A:B, 2, FALSE), "BLANCO")))</f>
        <v/>
      </c>
    </row>
    <row r="1673" spans="1:11" ht="14.4">
      <c r="A1673" s="21"/>
      <c r="B1673" s="86"/>
      <c r="C1673" s="98"/>
      <c r="D1673" s="21"/>
      <c r="E1673" s="86"/>
      <c r="F1673" s="99"/>
      <c r="G1673" s="99"/>
      <c r="H1673" s="21"/>
      <c r="I1673" s="21"/>
      <c r="J1673" s="21"/>
      <c r="K1673" s="5" t="str">
        <f>IF(AND(LEN(H1673)=0, LEN(I1673)=0), "", IF(AND(LEN(H1673)&gt;0, LEN(I1673)=0), "BLANCO", IFERROR(VLOOKUP(I1673, BasedatosM9!A:B, 2, FALSE), "BLANCO")))</f>
        <v/>
      </c>
    </row>
    <row r="1674" spans="1:11" ht="14.4">
      <c r="A1674" s="21"/>
      <c r="B1674" s="86"/>
      <c r="C1674" s="98"/>
      <c r="D1674" s="21"/>
      <c r="E1674" s="86"/>
      <c r="F1674" s="99"/>
      <c r="G1674" s="99"/>
      <c r="H1674" s="21"/>
      <c r="I1674" s="21"/>
      <c r="J1674" s="21"/>
      <c r="K1674" s="5" t="str">
        <f>IF(AND(LEN(H1674)=0, LEN(I1674)=0), "", IF(AND(LEN(H1674)&gt;0, LEN(I1674)=0), "BLANCO", IFERROR(VLOOKUP(I1674, BasedatosM9!A:B, 2, FALSE), "BLANCO")))</f>
        <v/>
      </c>
    </row>
    <row r="1675" spans="1:11" ht="14.4">
      <c r="A1675" s="21"/>
      <c r="B1675" s="86"/>
      <c r="C1675" s="98"/>
      <c r="D1675" s="21"/>
      <c r="E1675" s="86"/>
      <c r="F1675" s="99"/>
      <c r="G1675" s="99"/>
      <c r="H1675" s="21"/>
      <c r="I1675" s="21"/>
      <c r="J1675" s="21"/>
      <c r="K1675" s="5" t="str">
        <f>IF(AND(LEN(H1675)=0, LEN(I1675)=0), "", IF(AND(LEN(H1675)&gt;0, LEN(I1675)=0), "BLANCO", IFERROR(VLOOKUP(I1675, BasedatosM9!A:B, 2, FALSE), "BLANCO")))</f>
        <v/>
      </c>
    </row>
    <row r="1676" spans="1:11" ht="14.4">
      <c r="A1676" s="21"/>
      <c r="B1676" s="86"/>
      <c r="C1676" s="98"/>
      <c r="D1676" s="21"/>
      <c r="E1676" s="86"/>
      <c r="F1676" s="99"/>
      <c r="G1676" s="99"/>
      <c r="H1676" s="21"/>
      <c r="I1676" s="21"/>
      <c r="J1676" s="21"/>
      <c r="K1676" s="5" t="str">
        <f>IF(AND(LEN(H1676)=0, LEN(I1676)=0), "", IF(AND(LEN(H1676)&gt;0, LEN(I1676)=0), "BLANCO", IFERROR(VLOOKUP(I1676, BasedatosM9!A:B, 2, FALSE), "BLANCO")))</f>
        <v/>
      </c>
    </row>
    <row r="1677" spans="1:11" ht="14.4">
      <c r="A1677" s="21"/>
      <c r="B1677" s="86"/>
      <c r="C1677" s="98"/>
      <c r="D1677" s="21"/>
      <c r="E1677" s="86"/>
      <c r="F1677" s="99"/>
      <c r="G1677" s="99"/>
      <c r="H1677" s="21"/>
      <c r="I1677" s="86"/>
      <c r="J1677" s="21"/>
      <c r="K1677" s="5" t="str">
        <f>IF(AND(LEN(H1677)=0, LEN(I1677)=0), "", IF(AND(LEN(H1677)&gt;0, LEN(I1677)=0), "BLANCO", IFERROR(VLOOKUP(I1677, BasedatosM9!A:B, 2, FALSE), "BLANCO")))</f>
        <v/>
      </c>
    </row>
    <row r="1678" spans="1:11" ht="14.4">
      <c r="A1678" s="21"/>
      <c r="B1678" s="86"/>
      <c r="C1678" s="98"/>
      <c r="D1678" s="21"/>
      <c r="E1678" s="86"/>
      <c r="F1678" s="99"/>
      <c r="G1678" s="99"/>
      <c r="H1678" s="21"/>
      <c r="I1678" s="86"/>
      <c r="J1678" s="21"/>
      <c r="K1678" s="5" t="str">
        <f>IF(AND(LEN(H1678)=0, LEN(I1678)=0), "", IF(AND(LEN(H1678)&gt;0, LEN(I1678)=0), "BLANCO", IFERROR(VLOOKUP(I1678, BasedatosM9!A:B, 2, FALSE), "BLANCO")))</f>
        <v/>
      </c>
    </row>
    <row r="1679" spans="1:11" ht="14.4">
      <c r="A1679" s="21"/>
      <c r="B1679" s="86"/>
      <c r="C1679" s="98"/>
      <c r="D1679" s="21"/>
      <c r="E1679" s="86"/>
      <c r="F1679" s="99"/>
      <c r="G1679" s="99"/>
      <c r="H1679" s="21"/>
      <c r="I1679" s="21"/>
      <c r="J1679" s="21"/>
      <c r="K1679" s="5" t="str">
        <f>IF(AND(LEN(H1679)=0, LEN(I1679)=0), "", IF(AND(LEN(H1679)&gt;0, LEN(I1679)=0), "BLANCO", IFERROR(VLOOKUP(I1679, BasedatosM9!A:B, 2, FALSE), "BLANCO")))</f>
        <v/>
      </c>
    </row>
    <row r="1680" spans="1:11" ht="14.4">
      <c r="A1680" s="21"/>
      <c r="B1680" s="86"/>
      <c r="C1680" s="98"/>
      <c r="D1680" s="21"/>
      <c r="E1680" s="86"/>
      <c r="F1680" s="99"/>
      <c r="G1680" s="99"/>
      <c r="H1680" s="21"/>
      <c r="I1680" s="86"/>
      <c r="J1680" s="21"/>
      <c r="K1680" s="5" t="str">
        <f>IF(AND(LEN(H1680)=0, LEN(I1680)=0), "", IF(AND(LEN(H1680)&gt;0, LEN(I1680)=0), "BLANCO", IFERROR(VLOOKUP(I1680, BasedatosM9!A:B, 2, FALSE), "BLANCO")))</f>
        <v/>
      </c>
    </row>
    <row r="1681" spans="1:11" ht="14.4">
      <c r="A1681" s="21"/>
      <c r="B1681" s="86"/>
      <c r="C1681" s="98"/>
      <c r="D1681" s="21"/>
      <c r="E1681" s="86"/>
      <c r="F1681" s="99"/>
      <c r="G1681" s="99"/>
      <c r="H1681" s="21"/>
      <c r="I1681" s="86"/>
      <c r="J1681" s="21"/>
      <c r="K1681" s="5" t="str">
        <f>IF(AND(LEN(H1681)=0, LEN(I1681)=0), "", IF(AND(LEN(H1681)&gt;0, LEN(I1681)=0), "BLANCO", IFERROR(VLOOKUP(I1681, BasedatosM9!A:B, 2, FALSE), "BLANCO")))</f>
        <v/>
      </c>
    </row>
    <row r="1682" spans="1:11" ht="14.4">
      <c r="A1682" s="21"/>
      <c r="B1682" s="86"/>
      <c r="C1682" s="98"/>
      <c r="D1682" s="21"/>
      <c r="E1682" s="86"/>
      <c r="F1682" s="99"/>
      <c r="G1682" s="99"/>
      <c r="H1682" s="21"/>
      <c r="I1682" s="21"/>
      <c r="J1682" s="21"/>
      <c r="K1682" s="5" t="str">
        <f>IF(AND(LEN(H1682)=0, LEN(I1682)=0), "", IF(AND(LEN(H1682)&gt;0, LEN(I1682)=0), "BLANCO", IFERROR(VLOOKUP(I1682, BasedatosM9!A:B, 2, FALSE), "BLANCO")))</f>
        <v/>
      </c>
    </row>
    <row r="1683" spans="1:11" ht="14.4">
      <c r="A1683" s="21"/>
      <c r="B1683" s="86"/>
      <c r="C1683" s="98"/>
      <c r="D1683" s="21"/>
      <c r="E1683" s="86"/>
      <c r="F1683" s="99"/>
      <c r="G1683" s="99"/>
      <c r="H1683" s="21"/>
      <c r="I1683" s="86"/>
      <c r="J1683" s="21"/>
      <c r="K1683" s="5" t="str">
        <f>IF(AND(LEN(H1683)=0, LEN(I1683)=0), "", IF(AND(LEN(H1683)&gt;0, LEN(I1683)=0), "BLANCO", IFERROR(VLOOKUP(I1683, BasedatosM9!A:B, 2, FALSE), "BLANCO")))</f>
        <v/>
      </c>
    </row>
    <row r="1684" spans="1:11" ht="14.4">
      <c r="A1684" s="21"/>
      <c r="B1684" s="86"/>
      <c r="C1684" s="98"/>
      <c r="D1684" s="21"/>
      <c r="E1684" s="86"/>
      <c r="F1684" s="99"/>
      <c r="G1684" s="99"/>
      <c r="H1684" s="21"/>
      <c r="I1684" s="86"/>
      <c r="J1684" s="21"/>
      <c r="K1684" s="5" t="str">
        <f>IF(AND(LEN(H1684)=0, LEN(I1684)=0), "", IF(AND(LEN(H1684)&gt;0, LEN(I1684)=0), "BLANCO", IFERROR(VLOOKUP(I1684, BasedatosM9!A:B, 2, FALSE), "BLANCO")))</f>
        <v/>
      </c>
    </row>
    <row r="1685" spans="1:11" ht="14.4">
      <c r="A1685" s="21"/>
      <c r="B1685" s="86"/>
      <c r="C1685" s="98"/>
      <c r="D1685" s="21"/>
      <c r="E1685" s="86"/>
      <c r="F1685" s="99"/>
      <c r="G1685" s="99"/>
      <c r="H1685" s="21"/>
      <c r="I1685" s="21"/>
      <c r="J1685" s="21"/>
      <c r="K1685" s="5" t="str">
        <f>IF(AND(LEN(H1685)=0, LEN(I1685)=0), "", IF(AND(LEN(H1685)&gt;0, LEN(I1685)=0), "BLANCO", IFERROR(VLOOKUP(I1685, BasedatosM9!A:B, 2, FALSE), "BLANCO")))</f>
        <v/>
      </c>
    </row>
    <row r="1686" spans="1:11" ht="14.4">
      <c r="A1686" s="21"/>
      <c r="B1686" s="86"/>
      <c r="C1686" s="98"/>
      <c r="D1686" s="21"/>
      <c r="E1686" s="86"/>
      <c r="F1686" s="99"/>
      <c r="G1686" s="99"/>
      <c r="H1686" s="21"/>
      <c r="I1686" s="86"/>
      <c r="J1686" s="21"/>
      <c r="K1686" s="5" t="str">
        <f>IF(AND(LEN(H1686)=0, LEN(I1686)=0), "", IF(AND(LEN(H1686)&gt;0, LEN(I1686)=0), "BLANCO", IFERROR(VLOOKUP(I1686, BasedatosM9!A:B, 2, FALSE), "BLANCO")))</f>
        <v/>
      </c>
    </row>
    <row r="1687" spans="1:11" ht="14.4">
      <c r="A1687" s="21"/>
      <c r="B1687" s="86"/>
      <c r="C1687" s="98"/>
      <c r="D1687" s="21"/>
      <c r="E1687" s="86"/>
      <c r="F1687" s="99"/>
      <c r="G1687" s="99"/>
      <c r="H1687" s="21"/>
      <c r="I1687" s="86"/>
      <c r="J1687" s="21"/>
      <c r="K1687" s="5" t="str">
        <f>IF(AND(LEN(H1687)=0, LEN(I1687)=0), "", IF(AND(LEN(H1687)&gt;0, LEN(I1687)=0), "BLANCO", IFERROR(VLOOKUP(I1687, BasedatosM9!A:B, 2, FALSE), "BLANCO")))</f>
        <v/>
      </c>
    </row>
    <row r="1688" spans="1:11" ht="14.4">
      <c r="A1688" s="21"/>
      <c r="B1688" s="86"/>
      <c r="C1688" s="98"/>
      <c r="D1688" s="21"/>
      <c r="E1688" s="86"/>
      <c r="F1688" s="99"/>
      <c r="G1688" s="99"/>
      <c r="H1688" s="21"/>
      <c r="I1688" s="86"/>
      <c r="J1688" s="21"/>
      <c r="K1688" s="5" t="str">
        <f>IF(AND(LEN(H1688)=0, LEN(I1688)=0), "", IF(AND(LEN(H1688)&gt;0, LEN(I1688)=0), "BLANCO", IFERROR(VLOOKUP(I1688, BasedatosM9!A:B, 2, FALSE), "BLANCO")))</f>
        <v/>
      </c>
    </row>
    <row r="1689" spans="1:11" ht="14.4">
      <c r="A1689" s="21"/>
      <c r="B1689" s="86"/>
      <c r="C1689" s="98"/>
      <c r="D1689" s="21"/>
      <c r="E1689" s="86"/>
      <c r="F1689" s="99"/>
      <c r="G1689" s="99"/>
      <c r="H1689" s="21"/>
      <c r="I1689" s="86"/>
      <c r="J1689" s="21"/>
      <c r="K1689" s="5" t="str">
        <f>IF(AND(LEN(H1689)=0, LEN(I1689)=0), "", IF(AND(LEN(H1689)&gt;0, LEN(I1689)=0), "BLANCO", IFERROR(VLOOKUP(I1689, BasedatosM9!A:B, 2, FALSE), "BLANCO")))</f>
        <v/>
      </c>
    </row>
    <row r="1690" spans="1:11" ht="14.4">
      <c r="A1690" s="21"/>
      <c r="B1690" s="86"/>
      <c r="C1690" s="98"/>
      <c r="D1690" s="21"/>
      <c r="E1690" s="86"/>
      <c r="F1690" s="99"/>
      <c r="G1690" s="99"/>
      <c r="H1690" s="21"/>
      <c r="I1690" s="86"/>
      <c r="J1690" s="21"/>
      <c r="K1690" s="5" t="str">
        <f>IF(AND(LEN(H1690)=0, LEN(I1690)=0), "", IF(AND(LEN(H1690)&gt;0, LEN(I1690)=0), "BLANCO", IFERROR(VLOOKUP(I1690, BasedatosM9!A:B, 2, FALSE), "BLANCO")))</f>
        <v/>
      </c>
    </row>
    <row r="1691" spans="1:11" ht="14.4">
      <c r="A1691" s="21"/>
      <c r="B1691" s="86"/>
      <c r="C1691" s="98"/>
      <c r="D1691" s="21"/>
      <c r="E1691" s="86"/>
      <c r="F1691" s="99"/>
      <c r="G1691" s="99"/>
      <c r="H1691" s="21"/>
      <c r="I1691" s="86"/>
      <c r="J1691" s="21"/>
      <c r="K1691" s="5" t="str">
        <f>IF(AND(LEN(H1691)=0, LEN(I1691)=0), "", IF(AND(LEN(H1691)&gt;0, LEN(I1691)=0), "BLANCO", IFERROR(VLOOKUP(I1691, BasedatosM9!A:B, 2, FALSE), "BLANCO")))</f>
        <v/>
      </c>
    </row>
    <row r="1692" spans="1:11" ht="14.4">
      <c r="A1692" s="21"/>
      <c r="B1692" s="86"/>
      <c r="C1692" s="98"/>
      <c r="D1692" s="21"/>
      <c r="E1692" s="86"/>
      <c r="F1692" s="99"/>
      <c r="G1692" s="99"/>
      <c r="H1692" s="21"/>
      <c r="I1692" s="86"/>
      <c r="J1692" s="21"/>
      <c r="K1692" s="5" t="str">
        <f>IF(AND(LEN(H1692)=0, LEN(I1692)=0), "", IF(AND(LEN(H1692)&gt;0, LEN(I1692)=0), "BLANCO", IFERROR(VLOOKUP(I1692, BasedatosM9!A:B, 2, FALSE), "BLANCO")))</f>
        <v/>
      </c>
    </row>
    <row r="1693" spans="1:11" ht="14.4">
      <c r="A1693" s="21"/>
      <c r="B1693" s="86"/>
      <c r="C1693" s="98"/>
      <c r="D1693" s="21"/>
      <c r="E1693" s="86"/>
      <c r="F1693" s="99"/>
      <c r="G1693" s="99"/>
      <c r="H1693" s="21"/>
      <c r="I1693" s="86"/>
      <c r="J1693" s="21"/>
      <c r="K1693" s="5" t="str">
        <f>IF(AND(LEN(H1693)=0, LEN(I1693)=0), "", IF(AND(LEN(H1693)&gt;0, LEN(I1693)=0), "BLANCO", IFERROR(VLOOKUP(I1693, BasedatosM9!A:B, 2, FALSE), "BLANCO")))</f>
        <v/>
      </c>
    </row>
    <row r="1694" spans="1:11" ht="14.4">
      <c r="A1694" s="21"/>
      <c r="B1694" s="86"/>
      <c r="C1694" s="98"/>
      <c r="D1694" s="21"/>
      <c r="E1694" s="86"/>
      <c r="F1694" s="99"/>
      <c r="G1694" s="99"/>
      <c r="H1694" s="21"/>
      <c r="I1694" s="21"/>
      <c r="J1694" s="21"/>
      <c r="K1694" s="5" t="str">
        <f>IF(AND(LEN(H1694)=0, LEN(I1694)=0), "", IF(AND(LEN(H1694)&gt;0, LEN(I1694)=0), "BLANCO", IFERROR(VLOOKUP(I1694, BasedatosM9!A:B, 2, FALSE), "BLANCO")))</f>
        <v/>
      </c>
    </row>
    <row r="1695" spans="1:11" ht="14.4">
      <c r="A1695" s="21"/>
      <c r="B1695" s="86"/>
      <c r="C1695" s="98"/>
      <c r="D1695" s="21"/>
      <c r="E1695" s="86"/>
      <c r="F1695" s="99"/>
      <c r="G1695" s="99"/>
      <c r="H1695" s="21"/>
      <c r="I1695" s="86"/>
      <c r="J1695" s="21"/>
      <c r="K1695" s="5" t="str">
        <f>IF(AND(LEN(H1695)=0, LEN(I1695)=0), "", IF(AND(LEN(H1695)&gt;0, LEN(I1695)=0), "BLANCO", IFERROR(VLOOKUP(I1695, BasedatosM9!A:B, 2, FALSE), "BLANCO")))</f>
        <v/>
      </c>
    </row>
    <row r="1696" spans="1:11" ht="14.4">
      <c r="A1696" s="21"/>
      <c r="B1696" s="86"/>
      <c r="C1696" s="98"/>
      <c r="D1696" s="21"/>
      <c r="E1696" s="86"/>
      <c r="F1696" s="99"/>
      <c r="G1696" s="99"/>
      <c r="H1696" s="21"/>
      <c r="I1696" s="86"/>
      <c r="J1696" s="21"/>
      <c r="K1696" s="5" t="str">
        <f>IF(AND(LEN(H1696)=0, LEN(I1696)=0), "", IF(AND(LEN(H1696)&gt;0, LEN(I1696)=0), "BLANCO", IFERROR(VLOOKUP(I1696, BasedatosM9!A:B, 2, FALSE), "BLANCO")))</f>
        <v/>
      </c>
    </row>
    <row r="1697" spans="1:11" ht="14.4">
      <c r="A1697" s="21"/>
      <c r="B1697" s="86"/>
      <c r="C1697" s="98"/>
      <c r="D1697" s="21"/>
      <c r="E1697" s="86"/>
      <c r="F1697" s="99"/>
      <c r="G1697" s="99"/>
      <c r="H1697" s="21"/>
      <c r="I1697" s="21"/>
      <c r="J1697" s="21"/>
      <c r="K1697" s="5" t="str">
        <f>IF(AND(LEN(H1697)=0, LEN(I1697)=0), "", IF(AND(LEN(H1697)&gt;0, LEN(I1697)=0), "BLANCO", IFERROR(VLOOKUP(I1697, BasedatosM9!A:B, 2, FALSE), "BLANCO")))</f>
        <v/>
      </c>
    </row>
    <row r="1698" spans="1:11" ht="14.4">
      <c r="A1698" s="21"/>
      <c r="B1698" s="86"/>
      <c r="C1698" s="98"/>
      <c r="D1698" s="21"/>
      <c r="E1698" s="86"/>
      <c r="F1698" s="99"/>
      <c r="G1698" s="99"/>
      <c r="H1698" s="21"/>
      <c r="I1698" s="86"/>
      <c r="J1698" s="21"/>
      <c r="K1698" s="5" t="str">
        <f>IF(AND(LEN(H1698)=0, LEN(I1698)=0), "", IF(AND(LEN(H1698)&gt;0, LEN(I1698)=0), "BLANCO", IFERROR(VLOOKUP(I1698, BasedatosM9!A:B, 2, FALSE), "BLANCO")))</f>
        <v/>
      </c>
    </row>
    <row r="1699" spans="1:11" ht="14.4">
      <c r="A1699" s="21"/>
      <c r="B1699" s="86"/>
      <c r="C1699" s="98"/>
      <c r="D1699" s="21"/>
      <c r="E1699" s="86"/>
      <c r="F1699" s="99"/>
      <c r="G1699" s="99"/>
      <c r="H1699" s="21"/>
      <c r="I1699" s="86"/>
      <c r="J1699" s="21"/>
      <c r="K1699" s="5" t="str">
        <f>IF(AND(LEN(H1699)=0, LEN(I1699)=0), "", IF(AND(LEN(H1699)&gt;0, LEN(I1699)=0), "BLANCO", IFERROR(VLOOKUP(I1699, BasedatosM9!A:B, 2, FALSE), "BLANCO")))</f>
        <v/>
      </c>
    </row>
    <row r="1700" spans="1:11" ht="14.4">
      <c r="A1700" s="21"/>
      <c r="B1700" s="86"/>
      <c r="C1700" s="98"/>
      <c r="D1700" s="21"/>
      <c r="E1700" s="86"/>
      <c r="F1700" s="99"/>
      <c r="G1700" s="99"/>
      <c r="H1700" s="21"/>
      <c r="I1700" s="21"/>
      <c r="J1700" s="21"/>
      <c r="K1700" s="5" t="str">
        <f>IF(AND(LEN(H1700)=0, LEN(I1700)=0), "", IF(AND(LEN(H1700)&gt;0, LEN(I1700)=0), "BLANCO", IFERROR(VLOOKUP(I1700, BasedatosM9!A:B, 2, FALSE), "BLANCO")))</f>
        <v/>
      </c>
    </row>
    <row r="1701" spans="1:11" ht="14.4">
      <c r="A1701" s="21"/>
      <c r="B1701" s="86"/>
      <c r="C1701" s="98"/>
      <c r="D1701" s="21"/>
      <c r="E1701" s="86"/>
      <c r="F1701" s="99"/>
      <c r="G1701" s="99"/>
      <c r="H1701" s="21"/>
      <c r="I1701" s="21"/>
      <c r="J1701" s="21"/>
      <c r="K1701" s="5" t="str">
        <f>IF(AND(LEN(H1701)=0, LEN(I1701)=0), "", IF(AND(LEN(H1701)&gt;0, LEN(I1701)=0), "BLANCO", IFERROR(VLOOKUP(I1701, BasedatosM9!A:B, 2, FALSE), "BLANCO")))</f>
        <v/>
      </c>
    </row>
    <row r="1702" spans="1:11" ht="14.4">
      <c r="A1702" s="21"/>
      <c r="B1702" s="86"/>
      <c r="C1702" s="98"/>
      <c r="D1702" s="21"/>
      <c r="E1702" s="86"/>
      <c r="F1702" s="99"/>
      <c r="G1702" s="99"/>
      <c r="H1702" s="21"/>
      <c r="I1702" s="86"/>
      <c r="J1702" s="21"/>
      <c r="K1702" s="5" t="str">
        <f>IF(AND(LEN(H1702)=0, LEN(I1702)=0), "", IF(AND(LEN(H1702)&gt;0, LEN(I1702)=0), "BLANCO", IFERROR(VLOOKUP(I1702, BasedatosM9!A:B, 2, FALSE), "BLANCO")))</f>
        <v/>
      </c>
    </row>
    <row r="1703" spans="1:11" ht="14.4">
      <c r="A1703" s="21"/>
      <c r="B1703" s="86"/>
      <c r="C1703" s="98"/>
      <c r="D1703" s="21"/>
      <c r="E1703" s="86"/>
      <c r="F1703" s="99"/>
      <c r="G1703" s="99"/>
      <c r="H1703" s="21"/>
      <c r="I1703" s="86"/>
      <c r="J1703" s="21"/>
      <c r="K1703" s="5" t="str">
        <f>IF(AND(LEN(H1703)=0, LEN(I1703)=0), "", IF(AND(LEN(H1703)&gt;0, LEN(I1703)=0), "BLANCO", IFERROR(VLOOKUP(I1703, BasedatosM9!A:B, 2, FALSE), "BLANCO")))</f>
        <v/>
      </c>
    </row>
    <row r="1704" spans="1:11" ht="14.4">
      <c r="A1704" s="21"/>
      <c r="B1704" s="86"/>
      <c r="C1704" s="98"/>
      <c r="D1704" s="21"/>
      <c r="E1704" s="86"/>
      <c r="F1704" s="99"/>
      <c r="G1704" s="99"/>
      <c r="H1704" s="21"/>
      <c r="I1704" s="86"/>
      <c r="J1704" s="21"/>
      <c r="K1704" s="5" t="str">
        <f>IF(AND(LEN(H1704)=0, LEN(I1704)=0), "", IF(AND(LEN(H1704)&gt;0, LEN(I1704)=0), "BLANCO", IFERROR(VLOOKUP(I1704, BasedatosM9!A:B, 2, FALSE), "BLANCO")))</f>
        <v/>
      </c>
    </row>
    <row r="1705" spans="1:11" ht="14.4">
      <c r="A1705" s="21"/>
      <c r="B1705" s="86"/>
      <c r="C1705" s="98"/>
      <c r="D1705" s="21"/>
      <c r="E1705" s="86"/>
      <c r="F1705" s="99"/>
      <c r="G1705" s="99"/>
      <c r="H1705" s="21"/>
      <c r="I1705" s="21"/>
      <c r="J1705" s="21"/>
      <c r="K1705" s="5" t="str">
        <f>IF(AND(LEN(H1705)=0, LEN(I1705)=0), "", IF(AND(LEN(H1705)&gt;0, LEN(I1705)=0), "BLANCO", IFERROR(VLOOKUP(I1705, BasedatosM9!A:B, 2, FALSE), "BLANCO")))</f>
        <v/>
      </c>
    </row>
    <row r="1706" spans="1:11" ht="14.4">
      <c r="A1706" s="21"/>
      <c r="B1706" s="86"/>
      <c r="C1706" s="98"/>
      <c r="D1706" s="21"/>
      <c r="E1706" s="86"/>
      <c r="F1706" s="99"/>
      <c r="G1706" s="99"/>
      <c r="H1706" s="21"/>
      <c r="I1706" s="86"/>
      <c r="J1706" s="21"/>
      <c r="K1706" s="5" t="str">
        <f>IF(AND(LEN(H1706)=0, LEN(I1706)=0), "", IF(AND(LEN(H1706)&gt;0, LEN(I1706)=0), "BLANCO", IFERROR(VLOOKUP(I1706, BasedatosM9!A:B, 2, FALSE), "BLANCO")))</f>
        <v/>
      </c>
    </row>
    <row r="1707" spans="1:11" ht="14.4">
      <c r="A1707" s="21"/>
      <c r="B1707" s="86"/>
      <c r="C1707" s="98"/>
      <c r="D1707" s="21"/>
      <c r="E1707" s="86"/>
      <c r="F1707" s="99"/>
      <c r="G1707" s="99"/>
      <c r="H1707" s="21"/>
      <c r="I1707" s="21"/>
      <c r="J1707" s="21"/>
      <c r="K1707" s="5" t="str">
        <f>IF(AND(LEN(H1707)=0, LEN(I1707)=0), "", IF(AND(LEN(H1707)&gt;0, LEN(I1707)=0), "BLANCO", IFERROR(VLOOKUP(I1707, BasedatosM9!A:B, 2, FALSE), "BLANCO")))</f>
        <v/>
      </c>
    </row>
    <row r="1708" spans="1:11" ht="14.4">
      <c r="A1708" s="21"/>
      <c r="B1708" s="86"/>
      <c r="C1708" s="98"/>
      <c r="D1708" s="21"/>
      <c r="E1708" s="86"/>
      <c r="F1708" s="99"/>
      <c r="G1708" s="99"/>
      <c r="H1708" s="21"/>
      <c r="I1708" s="86"/>
      <c r="J1708" s="21"/>
      <c r="K1708" s="5" t="str">
        <f>IF(AND(LEN(H1708)=0, LEN(I1708)=0), "", IF(AND(LEN(H1708)&gt;0, LEN(I1708)=0), "BLANCO", IFERROR(VLOOKUP(I1708, BasedatosM9!A:B, 2, FALSE), "BLANCO")))</f>
        <v/>
      </c>
    </row>
    <row r="1709" spans="1:11" ht="14.4">
      <c r="A1709" s="21"/>
      <c r="B1709" s="86"/>
      <c r="C1709" s="98"/>
      <c r="D1709" s="21"/>
      <c r="E1709" s="86"/>
      <c r="F1709" s="99"/>
      <c r="G1709" s="99"/>
      <c r="H1709" s="21"/>
      <c r="I1709" s="86"/>
      <c r="J1709" s="21"/>
      <c r="K1709" s="5" t="str">
        <f>IF(AND(LEN(H1709)=0, LEN(I1709)=0), "", IF(AND(LEN(H1709)&gt;0, LEN(I1709)=0), "BLANCO", IFERROR(VLOOKUP(I1709, BasedatosM9!A:B, 2, FALSE), "BLANCO")))</f>
        <v/>
      </c>
    </row>
    <row r="1710" spans="1:11" ht="14.4">
      <c r="A1710" s="21"/>
      <c r="B1710" s="86"/>
      <c r="C1710" s="98"/>
      <c r="D1710" s="21"/>
      <c r="E1710" s="86"/>
      <c r="F1710" s="99"/>
      <c r="G1710" s="99"/>
      <c r="H1710" s="21"/>
      <c r="I1710" s="86"/>
      <c r="J1710" s="21"/>
      <c r="K1710" s="5" t="str">
        <f>IF(AND(LEN(H1710)=0, LEN(I1710)=0), "", IF(AND(LEN(H1710)&gt;0, LEN(I1710)=0), "BLANCO", IFERROR(VLOOKUP(I1710, BasedatosM9!A:B, 2, FALSE), "BLANCO")))</f>
        <v/>
      </c>
    </row>
    <row r="1711" spans="1:11" ht="14.4">
      <c r="A1711" s="21"/>
      <c r="B1711" s="86"/>
      <c r="C1711" s="98"/>
      <c r="D1711" s="21"/>
      <c r="E1711" s="86"/>
      <c r="F1711" s="99"/>
      <c r="G1711" s="99"/>
      <c r="H1711" s="21"/>
      <c r="I1711" s="21"/>
      <c r="J1711" s="21"/>
      <c r="K1711" s="5" t="str">
        <f>IF(AND(LEN(H1711)=0, LEN(I1711)=0), "", IF(AND(LEN(H1711)&gt;0, LEN(I1711)=0), "BLANCO", IFERROR(VLOOKUP(I1711, BasedatosM9!A:B, 2, FALSE), "BLANCO")))</f>
        <v/>
      </c>
    </row>
    <row r="1712" spans="1:11" ht="14.4">
      <c r="A1712" s="21"/>
      <c r="B1712" s="86"/>
      <c r="C1712" s="98"/>
      <c r="D1712" s="21"/>
      <c r="E1712" s="86"/>
      <c r="F1712" s="99"/>
      <c r="G1712" s="99"/>
      <c r="H1712" s="21"/>
      <c r="I1712" s="21"/>
      <c r="J1712" s="21"/>
      <c r="K1712" s="5" t="str">
        <f>IF(AND(LEN(H1712)=0, LEN(I1712)=0), "", IF(AND(LEN(H1712)&gt;0, LEN(I1712)=0), "BLANCO", IFERROR(VLOOKUP(I1712, BasedatosM9!A:B, 2, FALSE), "BLANCO")))</f>
        <v/>
      </c>
    </row>
    <row r="1713" spans="1:11" ht="14.4">
      <c r="A1713" s="21"/>
      <c r="B1713" s="86"/>
      <c r="C1713" s="98"/>
      <c r="D1713" s="21"/>
      <c r="E1713" s="86"/>
      <c r="F1713" s="99"/>
      <c r="G1713" s="99"/>
      <c r="H1713" s="21"/>
      <c r="I1713" s="21"/>
      <c r="J1713" s="21"/>
      <c r="K1713" s="5" t="str">
        <f>IF(AND(LEN(H1713)=0, LEN(I1713)=0), "", IF(AND(LEN(H1713)&gt;0, LEN(I1713)=0), "BLANCO", IFERROR(VLOOKUP(I1713, BasedatosM9!A:B, 2, FALSE), "BLANCO")))</f>
        <v/>
      </c>
    </row>
    <row r="1714" spans="1:11" ht="14.4">
      <c r="A1714" s="21"/>
      <c r="B1714" s="86"/>
      <c r="C1714" s="98"/>
      <c r="D1714" s="21"/>
      <c r="E1714" s="86"/>
      <c r="F1714" s="99"/>
      <c r="G1714" s="99"/>
      <c r="H1714" s="21"/>
      <c r="I1714" s="21"/>
      <c r="J1714" s="21"/>
      <c r="K1714" s="5" t="str">
        <f>IF(AND(LEN(H1714)=0, LEN(I1714)=0), "", IF(AND(LEN(H1714)&gt;0, LEN(I1714)=0), "BLANCO", IFERROR(VLOOKUP(I1714, BasedatosM9!A:B, 2, FALSE), "BLANCO")))</f>
        <v/>
      </c>
    </row>
    <row r="1715" spans="1:11" ht="14.4">
      <c r="A1715" s="21"/>
      <c r="B1715" s="86"/>
      <c r="C1715" s="98"/>
      <c r="D1715" s="21"/>
      <c r="E1715" s="86"/>
      <c r="F1715" s="99"/>
      <c r="G1715" s="99"/>
      <c r="H1715" s="21"/>
      <c r="I1715" s="21"/>
      <c r="J1715" s="21"/>
      <c r="K1715" s="5" t="str">
        <f>IF(AND(LEN(H1715)=0, LEN(I1715)=0), "", IF(AND(LEN(H1715)&gt;0, LEN(I1715)=0), "BLANCO", IFERROR(VLOOKUP(I1715, BasedatosM9!A:B, 2, FALSE), "BLANCO")))</f>
        <v/>
      </c>
    </row>
    <row r="1716" spans="1:11" ht="14.4">
      <c r="A1716" s="21"/>
      <c r="B1716" s="86"/>
      <c r="C1716" s="98"/>
      <c r="D1716" s="21"/>
      <c r="E1716" s="86"/>
      <c r="F1716" s="99"/>
      <c r="G1716" s="99"/>
      <c r="H1716" s="21"/>
      <c r="I1716" s="21"/>
      <c r="J1716" s="21"/>
      <c r="K1716" s="5" t="str">
        <f>IF(AND(LEN(H1716)=0, LEN(I1716)=0), "", IF(AND(LEN(H1716)&gt;0, LEN(I1716)=0), "BLANCO", IFERROR(VLOOKUP(I1716, BasedatosM9!A:B, 2, FALSE), "BLANCO")))</f>
        <v/>
      </c>
    </row>
    <row r="1717" spans="1:11" ht="14.4">
      <c r="A1717" s="21"/>
      <c r="B1717" s="86"/>
      <c r="C1717" s="98"/>
      <c r="D1717" s="21"/>
      <c r="E1717" s="86"/>
      <c r="F1717" s="99"/>
      <c r="G1717" s="99"/>
      <c r="H1717" s="21"/>
      <c r="I1717" s="21"/>
      <c r="J1717" s="21"/>
      <c r="K1717" s="5" t="str">
        <f>IF(AND(LEN(H1717)=0, LEN(I1717)=0), "", IF(AND(LEN(H1717)&gt;0, LEN(I1717)=0), "BLANCO", IFERROR(VLOOKUP(I1717, BasedatosM9!A:B, 2, FALSE), "BLANCO")))</f>
        <v/>
      </c>
    </row>
    <row r="1718" spans="1:11" ht="14.4">
      <c r="A1718" s="21"/>
      <c r="B1718" s="86"/>
      <c r="C1718" s="98"/>
      <c r="D1718" s="21"/>
      <c r="E1718" s="86"/>
      <c r="F1718" s="99"/>
      <c r="G1718" s="99"/>
      <c r="H1718" s="21"/>
      <c r="I1718" s="21"/>
      <c r="J1718" s="21"/>
      <c r="K1718" s="5" t="str">
        <f>IF(AND(LEN(H1718)=0, LEN(I1718)=0), "", IF(AND(LEN(H1718)&gt;0, LEN(I1718)=0), "BLANCO", IFERROR(VLOOKUP(I1718, BasedatosM9!A:B, 2, FALSE), "BLANCO")))</f>
        <v/>
      </c>
    </row>
    <row r="1719" spans="1:11" ht="14.4">
      <c r="A1719" s="21"/>
      <c r="B1719" s="86"/>
      <c r="C1719" s="98"/>
      <c r="D1719" s="21"/>
      <c r="E1719" s="86"/>
      <c r="F1719" s="99"/>
      <c r="G1719" s="99"/>
      <c r="H1719" s="21"/>
      <c r="I1719" s="86"/>
      <c r="J1719" s="21"/>
      <c r="K1719" s="5" t="str">
        <f>IF(AND(LEN(H1719)=0, LEN(I1719)=0), "", IF(AND(LEN(H1719)&gt;0, LEN(I1719)=0), "BLANCO", IFERROR(VLOOKUP(I1719, BasedatosM9!A:B, 2, FALSE), "BLANCO")))</f>
        <v/>
      </c>
    </row>
    <row r="1720" spans="1:11" ht="14.4">
      <c r="A1720" s="21"/>
      <c r="B1720" s="86"/>
      <c r="C1720" s="98"/>
      <c r="D1720" s="21"/>
      <c r="E1720" s="86"/>
      <c r="F1720" s="99"/>
      <c r="G1720" s="99"/>
      <c r="H1720" s="21"/>
      <c r="I1720" s="86"/>
      <c r="J1720" s="21"/>
      <c r="K1720" s="5" t="str">
        <f>IF(AND(LEN(H1720)=0, LEN(I1720)=0), "", IF(AND(LEN(H1720)&gt;0, LEN(I1720)=0), "BLANCO", IFERROR(VLOOKUP(I1720, BasedatosM9!A:B, 2, FALSE), "BLANCO")))</f>
        <v/>
      </c>
    </row>
    <row r="1721" spans="1:11" ht="14.4">
      <c r="A1721" s="21"/>
      <c r="B1721" s="86"/>
      <c r="C1721" s="98"/>
      <c r="D1721" s="21"/>
      <c r="E1721" s="86"/>
      <c r="F1721" s="99"/>
      <c r="G1721" s="99"/>
      <c r="H1721" s="21"/>
      <c r="I1721" s="86"/>
      <c r="J1721" s="21"/>
      <c r="K1721" s="5" t="str">
        <f>IF(AND(LEN(H1721)=0, LEN(I1721)=0), "", IF(AND(LEN(H1721)&gt;0, LEN(I1721)=0), "BLANCO", IFERROR(VLOOKUP(I1721, BasedatosM9!A:B, 2, FALSE), "BLANCO")))</f>
        <v/>
      </c>
    </row>
    <row r="1722" spans="1:11" ht="14.4">
      <c r="A1722" s="21"/>
      <c r="B1722" s="86"/>
      <c r="C1722" s="98"/>
      <c r="D1722" s="21"/>
      <c r="E1722" s="86"/>
      <c r="F1722" s="99"/>
      <c r="G1722" s="99"/>
      <c r="H1722" s="21"/>
      <c r="I1722" s="86"/>
      <c r="J1722" s="21"/>
      <c r="K1722" s="5" t="str">
        <f>IF(AND(LEN(H1722)=0, LEN(I1722)=0), "", IF(AND(LEN(H1722)&gt;0, LEN(I1722)=0), "BLANCO", IFERROR(VLOOKUP(I1722, BasedatosM9!A:B, 2, FALSE), "BLANCO")))</f>
        <v/>
      </c>
    </row>
    <row r="1723" spans="1:11" ht="14.4">
      <c r="A1723" s="21"/>
      <c r="B1723" s="86"/>
      <c r="C1723" s="98"/>
      <c r="D1723" s="21"/>
      <c r="E1723" s="86"/>
      <c r="F1723" s="99"/>
      <c r="G1723" s="99"/>
      <c r="H1723" s="21"/>
      <c r="I1723" s="86"/>
      <c r="J1723" s="21"/>
      <c r="K1723" s="5" t="str">
        <f>IF(AND(LEN(H1723)=0, LEN(I1723)=0), "", IF(AND(LEN(H1723)&gt;0, LEN(I1723)=0), "BLANCO", IFERROR(VLOOKUP(I1723, BasedatosM9!A:B, 2, FALSE), "BLANCO")))</f>
        <v/>
      </c>
    </row>
    <row r="1724" spans="1:11" ht="14.4">
      <c r="A1724" s="21"/>
      <c r="B1724" s="86"/>
      <c r="C1724" s="98"/>
      <c r="D1724" s="21"/>
      <c r="E1724" s="86"/>
      <c r="F1724" s="99"/>
      <c r="G1724" s="99"/>
      <c r="H1724" s="21"/>
      <c r="I1724" s="86"/>
      <c r="J1724" s="21"/>
      <c r="K1724" s="5" t="str">
        <f>IF(AND(LEN(H1724)=0, LEN(I1724)=0), "", IF(AND(LEN(H1724)&gt;0, LEN(I1724)=0), "BLANCO", IFERROR(VLOOKUP(I1724, BasedatosM9!A:B, 2, FALSE), "BLANCO")))</f>
        <v/>
      </c>
    </row>
    <row r="1725" spans="1:11" ht="14.4">
      <c r="A1725" s="21"/>
      <c r="B1725" s="86"/>
      <c r="C1725" s="98"/>
      <c r="D1725" s="21"/>
      <c r="E1725" s="86"/>
      <c r="F1725" s="99"/>
      <c r="G1725" s="99"/>
      <c r="H1725" s="21"/>
      <c r="I1725" s="86"/>
      <c r="J1725" s="21"/>
      <c r="K1725" s="5" t="str">
        <f>IF(AND(LEN(H1725)=0, LEN(I1725)=0), "", IF(AND(LEN(H1725)&gt;0, LEN(I1725)=0), "BLANCO", IFERROR(VLOOKUP(I1725, BasedatosM9!A:B, 2, FALSE), "BLANCO")))</f>
        <v/>
      </c>
    </row>
    <row r="1726" spans="1:11" ht="14.4">
      <c r="A1726" s="21"/>
      <c r="B1726" s="86"/>
      <c r="C1726" s="98"/>
      <c r="D1726" s="21"/>
      <c r="E1726" s="86"/>
      <c r="F1726" s="99"/>
      <c r="G1726" s="99"/>
      <c r="H1726" s="21"/>
      <c r="I1726" s="21"/>
      <c r="J1726" s="21"/>
      <c r="K1726" s="5" t="str">
        <f>IF(AND(LEN(H1726)=0, LEN(I1726)=0), "", IF(AND(LEN(H1726)&gt;0, LEN(I1726)=0), "BLANCO", IFERROR(VLOOKUP(I1726, BasedatosM9!A:B, 2, FALSE), "BLANCO")))</f>
        <v/>
      </c>
    </row>
    <row r="1727" spans="1:11" ht="14.4">
      <c r="A1727" s="21"/>
      <c r="B1727" s="86"/>
      <c r="C1727" s="98"/>
      <c r="D1727" s="21"/>
      <c r="E1727" s="86"/>
      <c r="F1727" s="99"/>
      <c r="G1727" s="99"/>
      <c r="H1727" s="21"/>
      <c r="I1727" s="86"/>
      <c r="J1727" s="21"/>
      <c r="K1727" s="5" t="str">
        <f>IF(AND(LEN(H1727)=0, LEN(I1727)=0), "", IF(AND(LEN(H1727)&gt;0, LEN(I1727)=0), "BLANCO", IFERROR(VLOOKUP(I1727, BasedatosM9!A:B, 2, FALSE), "BLANCO")))</f>
        <v/>
      </c>
    </row>
    <row r="1728" spans="1:11" ht="14.4">
      <c r="A1728" s="21"/>
      <c r="B1728" s="86"/>
      <c r="C1728" s="98"/>
      <c r="D1728" s="21"/>
      <c r="E1728" s="86"/>
      <c r="F1728" s="99"/>
      <c r="G1728" s="99"/>
      <c r="H1728" s="21"/>
      <c r="I1728" s="86"/>
      <c r="J1728" s="21"/>
      <c r="K1728" s="5" t="str">
        <f>IF(AND(LEN(H1728)=0, LEN(I1728)=0), "", IF(AND(LEN(H1728)&gt;0, LEN(I1728)=0), "BLANCO", IFERROR(VLOOKUP(I1728, BasedatosM9!A:B, 2, FALSE), "BLANCO")))</f>
        <v/>
      </c>
    </row>
    <row r="1729" spans="1:11" ht="14.4">
      <c r="A1729" s="21"/>
      <c r="B1729" s="86"/>
      <c r="C1729" s="98"/>
      <c r="D1729" s="21"/>
      <c r="E1729" s="86"/>
      <c r="F1729" s="99"/>
      <c r="G1729" s="99"/>
      <c r="H1729" s="21"/>
      <c r="I1729" s="86"/>
      <c r="J1729" s="21"/>
      <c r="K1729" s="5" t="str">
        <f>IF(AND(LEN(H1729)=0, LEN(I1729)=0), "", IF(AND(LEN(H1729)&gt;0, LEN(I1729)=0), "BLANCO", IFERROR(VLOOKUP(I1729, BasedatosM9!A:B, 2, FALSE), "BLANCO")))</f>
        <v/>
      </c>
    </row>
    <row r="1730" spans="1:11" ht="14.4">
      <c r="A1730" s="21"/>
      <c r="B1730" s="86"/>
      <c r="C1730" s="98"/>
      <c r="D1730" s="21"/>
      <c r="E1730" s="86"/>
      <c r="F1730" s="99"/>
      <c r="G1730" s="99"/>
      <c r="H1730" s="21"/>
      <c r="I1730" s="21"/>
      <c r="J1730" s="21"/>
      <c r="K1730" s="5" t="str">
        <f>IF(AND(LEN(H1730)=0, LEN(I1730)=0), "", IF(AND(LEN(H1730)&gt;0, LEN(I1730)=0), "BLANCO", IFERROR(VLOOKUP(I1730, BasedatosM9!A:B, 2, FALSE), "BLANCO")))</f>
        <v/>
      </c>
    </row>
    <row r="1731" spans="1:11" ht="14.4">
      <c r="A1731" s="21"/>
      <c r="B1731" s="86"/>
      <c r="C1731" s="98"/>
      <c r="D1731" s="21"/>
      <c r="E1731" s="86"/>
      <c r="F1731" s="99"/>
      <c r="G1731" s="99"/>
      <c r="H1731" s="21"/>
      <c r="I1731" s="21"/>
      <c r="J1731" s="21"/>
      <c r="K1731" s="5" t="str">
        <f>IF(AND(LEN(H1731)=0, LEN(I1731)=0), "", IF(AND(LEN(H1731)&gt;0, LEN(I1731)=0), "BLANCO", IFERROR(VLOOKUP(I1731, BasedatosM9!A:B, 2, FALSE), "BLANCO")))</f>
        <v/>
      </c>
    </row>
    <row r="1732" spans="1:11" ht="14.4">
      <c r="A1732" s="21"/>
      <c r="B1732" s="86"/>
      <c r="C1732" s="98"/>
      <c r="D1732" s="21"/>
      <c r="E1732" s="86"/>
      <c r="F1732" s="99"/>
      <c r="G1732" s="99"/>
      <c r="H1732" s="21"/>
      <c r="I1732" s="86"/>
      <c r="J1732" s="21"/>
      <c r="K1732" s="5" t="str">
        <f>IF(AND(LEN(H1732)=0, LEN(I1732)=0), "", IF(AND(LEN(H1732)&gt;0, LEN(I1732)=0), "BLANCO", IFERROR(VLOOKUP(I1732, BasedatosM9!A:B, 2, FALSE), "BLANCO")))</f>
        <v/>
      </c>
    </row>
    <row r="1733" spans="1:11" ht="14.4">
      <c r="A1733" s="21"/>
      <c r="B1733" s="86"/>
      <c r="C1733" s="98"/>
      <c r="D1733" s="21"/>
      <c r="E1733" s="86"/>
      <c r="F1733" s="99"/>
      <c r="G1733" s="99"/>
      <c r="H1733" s="21"/>
      <c r="I1733" s="21"/>
      <c r="J1733" s="21"/>
      <c r="K1733" s="5" t="str">
        <f>IF(AND(LEN(H1733)=0, LEN(I1733)=0), "", IF(AND(LEN(H1733)&gt;0, LEN(I1733)=0), "BLANCO", IFERROR(VLOOKUP(I1733, BasedatosM9!A:B, 2, FALSE), "BLANCO")))</f>
        <v/>
      </c>
    </row>
    <row r="1734" spans="1:11" ht="14.4">
      <c r="A1734" s="21"/>
      <c r="B1734" s="86"/>
      <c r="C1734" s="98"/>
      <c r="D1734" s="21"/>
      <c r="E1734" s="86"/>
      <c r="F1734" s="99"/>
      <c r="G1734" s="99"/>
      <c r="H1734" s="21"/>
      <c r="I1734" s="86"/>
      <c r="J1734" s="21"/>
      <c r="K1734" s="5" t="str">
        <f>IF(AND(LEN(H1734)=0, LEN(I1734)=0), "", IF(AND(LEN(H1734)&gt;0, LEN(I1734)=0), "BLANCO", IFERROR(VLOOKUP(I1734, BasedatosM9!A:B, 2, FALSE), "BLANCO")))</f>
        <v/>
      </c>
    </row>
    <row r="1735" spans="1:11" ht="14.4">
      <c r="A1735" s="21"/>
      <c r="B1735" s="86"/>
      <c r="C1735" s="98"/>
      <c r="D1735" s="21"/>
      <c r="E1735" s="86"/>
      <c r="F1735" s="99"/>
      <c r="G1735" s="99"/>
      <c r="H1735" s="21"/>
      <c r="I1735" s="86"/>
      <c r="J1735" s="21"/>
      <c r="K1735" s="5" t="str">
        <f>IF(AND(LEN(H1735)=0, LEN(I1735)=0), "", IF(AND(LEN(H1735)&gt;0, LEN(I1735)=0), "BLANCO", IFERROR(VLOOKUP(I1735, BasedatosM9!A:B, 2, FALSE), "BLANCO")))</f>
        <v/>
      </c>
    </row>
    <row r="1736" spans="1:11" ht="14.4">
      <c r="A1736" s="21"/>
      <c r="B1736" s="86"/>
      <c r="C1736" s="98"/>
      <c r="D1736" s="21"/>
      <c r="E1736" s="86"/>
      <c r="F1736" s="99"/>
      <c r="G1736" s="99"/>
      <c r="H1736" s="21"/>
      <c r="I1736" s="86"/>
      <c r="J1736" s="21"/>
      <c r="K1736" s="5" t="str">
        <f>IF(AND(LEN(H1736)=0, LEN(I1736)=0), "", IF(AND(LEN(H1736)&gt;0, LEN(I1736)=0), "BLANCO", IFERROR(VLOOKUP(I1736, BasedatosM9!A:B, 2, FALSE), "BLANCO")))</f>
        <v/>
      </c>
    </row>
    <row r="1737" spans="1:11" ht="14.4">
      <c r="A1737" s="21"/>
      <c r="B1737" s="86"/>
      <c r="C1737" s="98"/>
      <c r="D1737" s="21"/>
      <c r="E1737" s="86"/>
      <c r="F1737" s="99"/>
      <c r="G1737" s="99"/>
      <c r="H1737" s="21"/>
      <c r="I1737" s="86"/>
      <c r="J1737" s="21"/>
      <c r="K1737" s="5" t="str">
        <f>IF(AND(LEN(H1737)=0, LEN(I1737)=0), "", IF(AND(LEN(H1737)&gt;0, LEN(I1737)=0), "BLANCO", IFERROR(VLOOKUP(I1737, BasedatosM9!A:B, 2, FALSE), "BLANCO")))</f>
        <v/>
      </c>
    </row>
    <row r="1738" spans="1:11" ht="14.4">
      <c r="A1738" s="21"/>
      <c r="B1738" s="86"/>
      <c r="C1738" s="98"/>
      <c r="D1738" s="21"/>
      <c r="E1738" s="86"/>
      <c r="F1738" s="99"/>
      <c r="G1738" s="99"/>
      <c r="H1738" s="21"/>
      <c r="I1738" s="86"/>
      <c r="J1738" s="21"/>
      <c r="K1738" s="5" t="str">
        <f>IF(AND(LEN(H1738)=0, LEN(I1738)=0), "", IF(AND(LEN(H1738)&gt;0, LEN(I1738)=0), "BLANCO", IFERROR(VLOOKUP(I1738, BasedatosM9!A:B, 2, FALSE), "BLANCO")))</f>
        <v/>
      </c>
    </row>
    <row r="1739" spans="1:11" ht="14.4">
      <c r="A1739" s="21"/>
      <c r="B1739" s="86"/>
      <c r="C1739" s="98"/>
      <c r="D1739" s="21"/>
      <c r="E1739" s="86"/>
      <c r="F1739" s="99"/>
      <c r="G1739" s="99"/>
      <c r="H1739" s="21"/>
      <c r="I1739" s="86"/>
      <c r="J1739" s="21"/>
      <c r="K1739" s="5" t="str">
        <f>IF(AND(LEN(H1739)=0, LEN(I1739)=0), "", IF(AND(LEN(H1739)&gt;0, LEN(I1739)=0), "BLANCO", IFERROR(VLOOKUP(I1739, BasedatosM9!A:B, 2, FALSE), "BLANCO")))</f>
        <v/>
      </c>
    </row>
    <row r="1740" spans="1:11" ht="14.4">
      <c r="A1740" s="21"/>
      <c r="B1740" s="86"/>
      <c r="C1740" s="98"/>
      <c r="D1740" s="21"/>
      <c r="E1740" s="86"/>
      <c r="F1740" s="99"/>
      <c r="G1740" s="99"/>
      <c r="H1740" s="21"/>
      <c r="I1740" s="86"/>
      <c r="J1740" s="21"/>
      <c r="K1740" s="5" t="str">
        <f>IF(AND(LEN(H1740)=0, LEN(I1740)=0), "", IF(AND(LEN(H1740)&gt;0, LEN(I1740)=0), "BLANCO", IFERROR(VLOOKUP(I1740, BasedatosM9!A:B, 2, FALSE), "BLANCO")))</f>
        <v/>
      </c>
    </row>
    <row r="1741" spans="1:11" ht="14.4">
      <c r="A1741" s="21"/>
      <c r="B1741" s="86"/>
      <c r="C1741" s="98"/>
      <c r="D1741" s="21"/>
      <c r="E1741" s="86"/>
      <c r="F1741" s="99"/>
      <c r="G1741" s="99"/>
      <c r="H1741" s="21"/>
      <c r="I1741" s="86"/>
      <c r="J1741" s="21"/>
      <c r="K1741" s="5" t="str">
        <f>IF(AND(LEN(H1741)=0, LEN(I1741)=0), "", IF(AND(LEN(H1741)&gt;0, LEN(I1741)=0), "BLANCO", IFERROR(VLOOKUP(I1741, BasedatosM9!A:B, 2, FALSE), "BLANCO")))</f>
        <v/>
      </c>
    </row>
    <row r="1742" spans="1:11" ht="14.4">
      <c r="A1742" s="21"/>
      <c r="B1742" s="86"/>
      <c r="C1742" s="98"/>
      <c r="D1742" s="21"/>
      <c r="E1742" s="86"/>
      <c r="F1742" s="99"/>
      <c r="G1742" s="99"/>
      <c r="H1742" s="21"/>
      <c r="I1742" s="86"/>
      <c r="J1742" s="21"/>
      <c r="K1742" s="5" t="str">
        <f>IF(AND(LEN(H1742)=0, LEN(I1742)=0), "", IF(AND(LEN(H1742)&gt;0, LEN(I1742)=0), "BLANCO", IFERROR(VLOOKUP(I1742, BasedatosM9!A:B, 2, FALSE), "BLANCO")))</f>
        <v/>
      </c>
    </row>
    <row r="1743" spans="1:11" ht="14.4">
      <c r="A1743" s="21"/>
      <c r="B1743" s="86"/>
      <c r="C1743" s="98"/>
      <c r="D1743" s="21"/>
      <c r="E1743" s="86"/>
      <c r="F1743" s="99"/>
      <c r="G1743" s="99"/>
      <c r="H1743" s="21"/>
      <c r="I1743" s="86"/>
      <c r="J1743" s="21"/>
      <c r="K1743" s="5" t="str">
        <f>IF(AND(LEN(H1743)=0, LEN(I1743)=0), "", IF(AND(LEN(H1743)&gt;0, LEN(I1743)=0), "BLANCO", IFERROR(VLOOKUP(I1743, BasedatosM9!A:B, 2, FALSE), "BLANCO")))</f>
        <v/>
      </c>
    </row>
    <row r="1744" spans="1:11" ht="14.4">
      <c r="A1744" s="21"/>
      <c r="B1744" s="86"/>
      <c r="C1744" s="98"/>
      <c r="D1744" s="21"/>
      <c r="E1744" s="86"/>
      <c r="F1744" s="99"/>
      <c r="G1744" s="99"/>
      <c r="H1744" s="21"/>
      <c r="I1744" s="86"/>
      <c r="J1744" s="21"/>
      <c r="K1744" s="5" t="str">
        <f>IF(AND(LEN(H1744)=0, LEN(I1744)=0), "", IF(AND(LEN(H1744)&gt;0, LEN(I1744)=0), "BLANCO", IFERROR(VLOOKUP(I1744, BasedatosM9!A:B, 2, FALSE), "BLANCO")))</f>
        <v/>
      </c>
    </row>
    <row r="1745" spans="1:11" ht="14.4">
      <c r="A1745" s="21"/>
      <c r="B1745" s="86"/>
      <c r="C1745" s="98"/>
      <c r="D1745" s="21"/>
      <c r="E1745" s="86"/>
      <c r="F1745" s="99"/>
      <c r="G1745" s="99"/>
      <c r="H1745" s="21"/>
      <c r="I1745" s="86"/>
      <c r="J1745" s="21"/>
      <c r="K1745" s="5" t="str">
        <f>IF(AND(LEN(H1745)=0, LEN(I1745)=0), "", IF(AND(LEN(H1745)&gt;0, LEN(I1745)=0), "BLANCO", IFERROR(VLOOKUP(I1745, BasedatosM9!A:B, 2, FALSE), "BLANCO")))</f>
        <v/>
      </c>
    </row>
    <row r="1746" spans="1:11" ht="14.4">
      <c r="A1746" s="21"/>
      <c r="B1746" s="86"/>
      <c r="C1746" s="98"/>
      <c r="D1746" s="21"/>
      <c r="E1746" s="86"/>
      <c r="F1746" s="99"/>
      <c r="G1746" s="99"/>
      <c r="H1746" s="21"/>
      <c r="I1746" s="86"/>
      <c r="J1746" s="21"/>
      <c r="K1746" s="5" t="str">
        <f>IF(AND(LEN(H1746)=0, LEN(I1746)=0), "", IF(AND(LEN(H1746)&gt;0, LEN(I1746)=0), "BLANCO", IFERROR(VLOOKUP(I1746, BasedatosM9!A:B, 2, FALSE), "BLANCO")))</f>
        <v/>
      </c>
    </row>
    <row r="1747" spans="1:11" ht="14.4">
      <c r="A1747" s="21"/>
      <c r="B1747" s="86"/>
      <c r="C1747" s="98"/>
      <c r="D1747" s="21"/>
      <c r="E1747" s="86"/>
      <c r="F1747" s="99"/>
      <c r="G1747" s="99"/>
      <c r="H1747" s="21"/>
      <c r="I1747" s="86"/>
      <c r="J1747" s="21"/>
      <c r="K1747" s="5" t="str">
        <f>IF(AND(LEN(H1747)=0, LEN(I1747)=0), "", IF(AND(LEN(H1747)&gt;0, LEN(I1747)=0), "BLANCO", IFERROR(VLOOKUP(I1747, BasedatosM9!A:B, 2, FALSE), "BLANCO")))</f>
        <v/>
      </c>
    </row>
    <row r="1748" spans="1:11" ht="14.4">
      <c r="A1748" s="21"/>
      <c r="B1748" s="86"/>
      <c r="C1748" s="98"/>
      <c r="D1748" s="21"/>
      <c r="E1748" s="86"/>
      <c r="F1748" s="99"/>
      <c r="G1748" s="99"/>
      <c r="H1748" s="21"/>
      <c r="I1748" s="86"/>
      <c r="J1748" s="21"/>
      <c r="K1748" s="5" t="str">
        <f>IF(AND(LEN(H1748)=0, LEN(I1748)=0), "", IF(AND(LEN(H1748)&gt;0, LEN(I1748)=0), "BLANCO", IFERROR(VLOOKUP(I1748, BasedatosM9!A:B, 2, FALSE), "BLANCO")))</f>
        <v/>
      </c>
    </row>
    <row r="1749" spans="1:11" ht="14.4">
      <c r="A1749" s="21"/>
      <c r="B1749" s="86"/>
      <c r="C1749" s="98"/>
      <c r="D1749" s="21"/>
      <c r="E1749" s="86"/>
      <c r="F1749" s="99"/>
      <c r="G1749" s="99"/>
      <c r="H1749" s="21"/>
      <c r="I1749" s="86"/>
      <c r="J1749" s="21"/>
      <c r="K1749" s="5" t="str">
        <f>IF(AND(LEN(H1749)=0, LEN(I1749)=0), "", IF(AND(LEN(H1749)&gt;0, LEN(I1749)=0), "BLANCO", IFERROR(VLOOKUP(I1749, BasedatosM9!A:B, 2, FALSE), "BLANCO")))</f>
        <v/>
      </c>
    </row>
    <row r="1750" spans="1:11" ht="14.4">
      <c r="A1750" s="21"/>
      <c r="B1750" s="86"/>
      <c r="C1750" s="98"/>
      <c r="D1750" s="21"/>
      <c r="E1750" s="86"/>
      <c r="F1750" s="99"/>
      <c r="G1750" s="99"/>
      <c r="H1750" s="21"/>
      <c r="I1750" s="86"/>
      <c r="J1750" s="21"/>
      <c r="K1750" s="5" t="str">
        <f>IF(AND(LEN(H1750)=0, LEN(I1750)=0), "", IF(AND(LEN(H1750)&gt;0, LEN(I1750)=0), "BLANCO", IFERROR(VLOOKUP(I1750, BasedatosM9!A:B, 2, FALSE), "BLANCO")))</f>
        <v/>
      </c>
    </row>
    <row r="1751" spans="1:11" ht="14.4">
      <c r="A1751" s="21"/>
      <c r="B1751" s="86"/>
      <c r="C1751" s="98"/>
      <c r="D1751" s="21"/>
      <c r="E1751" s="86"/>
      <c r="F1751" s="99"/>
      <c r="G1751" s="99"/>
      <c r="H1751" s="21"/>
      <c r="I1751" s="21"/>
      <c r="J1751" s="21"/>
      <c r="K1751" s="5" t="str">
        <f>IF(AND(LEN(H1751)=0, LEN(I1751)=0), "", IF(AND(LEN(H1751)&gt;0, LEN(I1751)=0), "BLANCO", IFERROR(VLOOKUP(I1751, BasedatosM9!A:B, 2, FALSE), "BLANCO")))</f>
        <v/>
      </c>
    </row>
    <row r="1752" spans="1:11" ht="14.4">
      <c r="A1752" s="21"/>
      <c r="B1752" s="86"/>
      <c r="C1752" s="98"/>
      <c r="D1752" s="21"/>
      <c r="E1752" s="86"/>
      <c r="F1752" s="99"/>
      <c r="G1752" s="99"/>
      <c r="H1752" s="21"/>
      <c r="I1752" s="86"/>
      <c r="J1752" s="21"/>
      <c r="K1752" s="5" t="str">
        <f>IF(AND(LEN(H1752)=0, LEN(I1752)=0), "", IF(AND(LEN(H1752)&gt;0, LEN(I1752)=0), "BLANCO", IFERROR(VLOOKUP(I1752, BasedatosM9!A:B, 2, FALSE), "BLANCO")))</f>
        <v/>
      </c>
    </row>
    <row r="1753" spans="1:11" ht="14.4">
      <c r="A1753" s="21"/>
      <c r="B1753" s="86"/>
      <c r="C1753" s="98"/>
      <c r="D1753" s="21"/>
      <c r="E1753" s="86"/>
      <c r="F1753" s="99"/>
      <c r="G1753" s="99"/>
      <c r="H1753" s="21"/>
      <c r="I1753" s="21"/>
      <c r="J1753" s="21"/>
      <c r="K1753" s="5" t="str">
        <f>IF(AND(LEN(H1753)=0, LEN(I1753)=0), "", IF(AND(LEN(H1753)&gt;0, LEN(I1753)=0), "BLANCO", IFERROR(VLOOKUP(I1753, BasedatosM9!A:B, 2, FALSE), "BLANCO")))</f>
        <v/>
      </c>
    </row>
    <row r="1754" spans="1:11" ht="14.4">
      <c r="A1754" s="21"/>
      <c r="B1754" s="86"/>
      <c r="C1754" s="98"/>
      <c r="D1754" s="21"/>
      <c r="E1754" s="86"/>
      <c r="F1754" s="99"/>
      <c r="G1754" s="99"/>
      <c r="H1754" s="21"/>
      <c r="I1754" s="86"/>
      <c r="J1754" s="21"/>
      <c r="K1754" s="5" t="str">
        <f>IF(AND(LEN(H1754)=0, LEN(I1754)=0), "", IF(AND(LEN(H1754)&gt;0, LEN(I1754)=0), "BLANCO", IFERROR(VLOOKUP(I1754, BasedatosM9!A:B, 2, FALSE), "BLANCO")))</f>
        <v/>
      </c>
    </row>
    <row r="1755" spans="1:11" ht="14.4">
      <c r="A1755" s="21"/>
      <c r="B1755" s="86"/>
      <c r="C1755" s="98"/>
      <c r="D1755" s="21"/>
      <c r="E1755" s="86"/>
      <c r="F1755" s="99"/>
      <c r="G1755" s="99"/>
      <c r="H1755" s="21"/>
      <c r="I1755" s="21"/>
      <c r="J1755" s="21"/>
      <c r="K1755" s="5" t="str">
        <f>IF(AND(LEN(H1755)=0, LEN(I1755)=0), "", IF(AND(LEN(H1755)&gt;0, LEN(I1755)=0), "BLANCO", IFERROR(VLOOKUP(I1755, BasedatosM9!A:B, 2, FALSE), "BLANCO")))</f>
        <v/>
      </c>
    </row>
    <row r="1756" spans="1:11" ht="14.4">
      <c r="A1756" s="21"/>
      <c r="B1756" s="86"/>
      <c r="C1756" s="98"/>
      <c r="D1756" s="21"/>
      <c r="E1756" s="86"/>
      <c r="F1756" s="99"/>
      <c r="G1756" s="99"/>
      <c r="H1756" s="21"/>
      <c r="I1756" s="21"/>
      <c r="J1756" s="21"/>
      <c r="K1756" s="5" t="str">
        <f>IF(AND(LEN(H1756)=0, LEN(I1756)=0), "", IF(AND(LEN(H1756)&gt;0, LEN(I1756)=0), "BLANCO", IFERROR(VLOOKUP(I1756, BasedatosM9!A:B, 2, FALSE), "BLANCO")))</f>
        <v/>
      </c>
    </row>
    <row r="1757" spans="1:11" ht="14.4">
      <c r="A1757" s="21"/>
      <c r="B1757" s="86"/>
      <c r="C1757" s="98"/>
      <c r="D1757" s="21"/>
      <c r="E1757" s="86"/>
      <c r="F1757" s="99"/>
      <c r="G1757" s="99"/>
      <c r="H1757" s="21"/>
      <c r="I1757" s="21"/>
      <c r="J1757" s="21"/>
      <c r="K1757" s="5" t="str">
        <f>IF(AND(LEN(H1757)=0, LEN(I1757)=0), "", IF(AND(LEN(H1757)&gt;0, LEN(I1757)=0), "BLANCO", IFERROR(VLOOKUP(I1757, BasedatosM9!A:B, 2, FALSE), "BLANCO")))</f>
        <v/>
      </c>
    </row>
    <row r="1758" spans="1:11" ht="14.4">
      <c r="A1758" s="21"/>
      <c r="B1758" s="86"/>
      <c r="C1758" s="98"/>
      <c r="D1758" s="21"/>
      <c r="E1758" s="86"/>
      <c r="F1758" s="99"/>
      <c r="G1758" s="99"/>
      <c r="H1758" s="21"/>
      <c r="I1758" s="21"/>
      <c r="J1758" s="21"/>
      <c r="K1758" s="5" t="str">
        <f>IF(AND(LEN(H1758)=0, LEN(I1758)=0), "", IF(AND(LEN(H1758)&gt;0, LEN(I1758)=0), "BLANCO", IFERROR(VLOOKUP(I1758, BasedatosM9!A:B, 2, FALSE), "BLANCO")))</f>
        <v/>
      </c>
    </row>
    <row r="1759" spans="1:11" ht="14.4">
      <c r="A1759" s="21"/>
      <c r="B1759" s="86"/>
      <c r="C1759" s="98"/>
      <c r="D1759" s="21"/>
      <c r="E1759" s="86"/>
      <c r="F1759" s="99"/>
      <c r="G1759" s="99"/>
      <c r="H1759" s="21"/>
      <c r="I1759" s="21"/>
      <c r="J1759" s="21"/>
      <c r="K1759" s="5" t="str">
        <f>IF(AND(LEN(H1759)=0, LEN(I1759)=0), "", IF(AND(LEN(H1759)&gt;0, LEN(I1759)=0), "BLANCO", IFERROR(VLOOKUP(I1759, BasedatosM9!A:B, 2, FALSE), "BLANCO")))</f>
        <v/>
      </c>
    </row>
    <row r="1760" spans="1:11" ht="14.4">
      <c r="A1760" s="21"/>
      <c r="B1760" s="86"/>
      <c r="C1760" s="98"/>
      <c r="D1760" s="21"/>
      <c r="E1760" s="86"/>
      <c r="F1760" s="99"/>
      <c r="G1760" s="99"/>
      <c r="H1760" s="21"/>
      <c r="I1760" s="21"/>
      <c r="J1760" s="21"/>
      <c r="K1760" s="5" t="str">
        <f>IF(AND(LEN(H1760)=0, LEN(I1760)=0), "", IF(AND(LEN(H1760)&gt;0, LEN(I1760)=0), "BLANCO", IFERROR(VLOOKUP(I1760, BasedatosM9!A:B, 2, FALSE), "BLANCO")))</f>
        <v/>
      </c>
    </row>
    <row r="1761" spans="1:11" ht="14.4">
      <c r="A1761" s="21"/>
      <c r="B1761" s="86"/>
      <c r="C1761" s="98"/>
      <c r="D1761" s="21"/>
      <c r="E1761" s="86"/>
      <c r="F1761" s="99"/>
      <c r="G1761" s="99"/>
      <c r="H1761" s="21"/>
      <c r="I1761" s="21"/>
      <c r="J1761" s="21"/>
      <c r="K1761" s="5" t="str">
        <f>IF(AND(LEN(H1761)=0, LEN(I1761)=0), "", IF(AND(LEN(H1761)&gt;0, LEN(I1761)=0), "BLANCO", IFERROR(VLOOKUP(I1761, BasedatosM9!A:B, 2, FALSE), "BLANCO")))</f>
        <v/>
      </c>
    </row>
    <row r="1762" spans="1:11" ht="14.4">
      <c r="A1762" s="21"/>
      <c r="B1762" s="86"/>
      <c r="C1762" s="98"/>
      <c r="D1762" s="21"/>
      <c r="E1762" s="86"/>
      <c r="F1762" s="99"/>
      <c r="G1762" s="99"/>
      <c r="H1762" s="21"/>
      <c r="I1762" s="21"/>
      <c r="J1762" s="21"/>
      <c r="K1762" s="5" t="str">
        <f>IF(AND(LEN(H1762)=0, LEN(I1762)=0), "", IF(AND(LEN(H1762)&gt;0, LEN(I1762)=0), "BLANCO", IFERROR(VLOOKUP(I1762, BasedatosM9!A:B, 2, FALSE), "BLANCO")))</f>
        <v/>
      </c>
    </row>
    <row r="1763" spans="1:11" ht="14.4">
      <c r="A1763" s="21"/>
      <c r="B1763" s="86"/>
      <c r="C1763" s="98"/>
      <c r="D1763" s="21"/>
      <c r="E1763" s="86"/>
      <c r="F1763" s="99"/>
      <c r="G1763" s="99"/>
      <c r="H1763" s="21"/>
      <c r="I1763" s="86"/>
      <c r="J1763" s="21"/>
      <c r="K1763" s="5" t="str">
        <f>IF(AND(LEN(H1763)=0, LEN(I1763)=0), "", IF(AND(LEN(H1763)&gt;0, LEN(I1763)=0), "BLANCO", IFERROR(VLOOKUP(I1763, BasedatosM9!A:B, 2, FALSE), "BLANCO")))</f>
        <v/>
      </c>
    </row>
    <row r="1764" spans="1:11" ht="14.4">
      <c r="A1764" s="21"/>
      <c r="B1764" s="86"/>
      <c r="C1764" s="98"/>
      <c r="D1764" s="21"/>
      <c r="E1764" s="86"/>
      <c r="F1764" s="99"/>
      <c r="G1764" s="99"/>
      <c r="H1764" s="21"/>
      <c r="I1764" s="21"/>
      <c r="J1764" s="21"/>
      <c r="K1764" s="5" t="str">
        <f>IF(AND(LEN(H1764)=0, LEN(I1764)=0), "", IF(AND(LEN(H1764)&gt;0, LEN(I1764)=0), "BLANCO", IFERROR(VLOOKUP(I1764, BasedatosM9!A:B, 2, FALSE), "BLANCO")))</f>
        <v/>
      </c>
    </row>
    <row r="1765" spans="1:11" ht="14.4">
      <c r="A1765" s="21"/>
      <c r="B1765" s="86"/>
      <c r="C1765" s="98"/>
      <c r="D1765" s="21"/>
      <c r="E1765" s="86"/>
      <c r="F1765" s="99"/>
      <c r="G1765" s="99"/>
      <c r="H1765" s="21"/>
      <c r="I1765" s="86"/>
      <c r="J1765" s="21"/>
      <c r="K1765" s="5" t="str">
        <f>IF(AND(LEN(H1765)=0, LEN(I1765)=0), "", IF(AND(LEN(H1765)&gt;0, LEN(I1765)=0), "BLANCO", IFERROR(VLOOKUP(I1765, BasedatosM9!A:B, 2, FALSE), "BLANCO")))</f>
        <v/>
      </c>
    </row>
    <row r="1766" spans="1:11" ht="14.4">
      <c r="A1766" s="21"/>
      <c r="B1766" s="86"/>
      <c r="C1766" s="98"/>
      <c r="D1766" s="21"/>
      <c r="E1766" s="86"/>
      <c r="F1766" s="99"/>
      <c r="G1766" s="99"/>
      <c r="H1766" s="21"/>
      <c r="I1766" s="86"/>
      <c r="J1766" s="21"/>
      <c r="K1766" s="5" t="str">
        <f>IF(AND(LEN(H1766)=0, LEN(I1766)=0), "", IF(AND(LEN(H1766)&gt;0, LEN(I1766)=0), "BLANCO", IFERROR(VLOOKUP(I1766, BasedatosM9!A:B, 2, FALSE), "BLANCO")))</f>
        <v/>
      </c>
    </row>
    <row r="1767" spans="1:11" ht="14.4">
      <c r="A1767" s="21"/>
      <c r="B1767" s="86"/>
      <c r="C1767" s="98"/>
      <c r="D1767" s="21"/>
      <c r="E1767" s="86"/>
      <c r="F1767" s="99"/>
      <c r="G1767" s="99"/>
      <c r="H1767" s="21"/>
      <c r="I1767" s="86"/>
      <c r="J1767" s="21"/>
      <c r="K1767" s="5" t="str">
        <f>IF(AND(LEN(H1767)=0, LEN(I1767)=0), "", IF(AND(LEN(H1767)&gt;0, LEN(I1767)=0), "BLANCO", IFERROR(VLOOKUP(I1767, BasedatosM9!A:B, 2, FALSE), "BLANCO")))</f>
        <v/>
      </c>
    </row>
    <row r="1768" spans="1:11" ht="14.4">
      <c r="A1768" s="21"/>
      <c r="B1768" s="86"/>
      <c r="C1768" s="98"/>
      <c r="D1768" s="21"/>
      <c r="E1768" s="86"/>
      <c r="F1768" s="99"/>
      <c r="G1768" s="99"/>
      <c r="H1768" s="21"/>
      <c r="I1768" s="21"/>
      <c r="J1768" s="21"/>
      <c r="K1768" s="5" t="str">
        <f>IF(AND(LEN(H1768)=0, LEN(I1768)=0), "", IF(AND(LEN(H1768)&gt;0, LEN(I1768)=0), "BLANCO", IFERROR(VLOOKUP(I1768, BasedatosM9!A:B, 2, FALSE), "BLANCO")))</f>
        <v/>
      </c>
    </row>
    <row r="1769" spans="1:11" ht="14.4">
      <c r="A1769" s="21"/>
      <c r="B1769" s="86"/>
      <c r="C1769" s="98"/>
      <c r="D1769" s="21"/>
      <c r="E1769" s="86"/>
      <c r="F1769" s="99"/>
      <c r="G1769" s="99"/>
      <c r="H1769" s="21"/>
      <c r="I1769" s="21"/>
      <c r="J1769" s="21"/>
      <c r="K1769" s="5" t="str">
        <f>IF(AND(LEN(H1769)=0, LEN(I1769)=0), "", IF(AND(LEN(H1769)&gt;0, LEN(I1769)=0), "BLANCO", IFERROR(VLOOKUP(I1769, BasedatosM9!A:B, 2, FALSE), "BLANCO")))</f>
        <v/>
      </c>
    </row>
    <row r="1770" spans="1:11" ht="14.4">
      <c r="A1770" s="21"/>
      <c r="B1770" s="86"/>
      <c r="C1770" s="98"/>
      <c r="D1770" s="21"/>
      <c r="E1770" s="86"/>
      <c r="F1770" s="99"/>
      <c r="G1770" s="99"/>
      <c r="H1770" s="21"/>
      <c r="I1770" s="86"/>
      <c r="J1770" s="21"/>
      <c r="K1770" s="5" t="str">
        <f>IF(AND(LEN(H1770)=0, LEN(I1770)=0), "", IF(AND(LEN(H1770)&gt;0, LEN(I1770)=0), "BLANCO", IFERROR(VLOOKUP(I1770, BasedatosM9!A:B, 2, FALSE), "BLANCO")))</f>
        <v/>
      </c>
    </row>
    <row r="1771" spans="1:11" ht="14.4">
      <c r="A1771" s="21"/>
      <c r="B1771" s="86"/>
      <c r="C1771" s="98"/>
      <c r="D1771" s="21"/>
      <c r="E1771" s="86"/>
      <c r="F1771" s="99"/>
      <c r="G1771" s="99"/>
      <c r="H1771" s="21"/>
      <c r="I1771" s="86"/>
      <c r="J1771" s="21"/>
      <c r="K1771" s="5" t="str">
        <f>IF(AND(LEN(H1771)=0, LEN(I1771)=0), "", IF(AND(LEN(H1771)&gt;0, LEN(I1771)=0), "BLANCO", IFERROR(VLOOKUP(I1771, BasedatosM9!A:B, 2, FALSE), "BLANCO")))</f>
        <v/>
      </c>
    </row>
    <row r="1772" spans="1:11" ht="14.4">
      <c r="A1772" s="21"/>
      <c r="B1772" s="86"/>
      <c r="C1772" s="98"/>
      <c r="D1772" s="21"/>
      <c r="E1772" s="86"/>
      <c r="F1772" s="99"/>
      <c r="G1772" s="99"/>
      <c r="H1772" s="21"/>
      <c r="I1772" s="86"/>
      <c r="J1772" s="21"/>
      <c r="K1772" s="5" t="str">
        <f>IF(AND(LEN(H1772)=0, LEN(I1772)=0), "", IF(AND(LEN(H1772)&gt;0, LEN(I1772)=0), "BLANCO", IFERROR(VLOOKUP(I1772, BasedatosM9!A:B, 2, FALSE), "BLANCO")))</f>
        <v/>
      </c>
    </row>
    <row r="1773" spans="1:11" ht="14.4">
      <c r="A1773" s="21"/>
      <c r="B1773" s="86"/>
      <c r="C1773" s="98"/>
      <c r="D1773" s="21"/>
      <c r="E1773" s="86"/>
      <c r="F1773" s="99"/>
      <c r="G1773" s="99"/>
      <c r="H1773" s="21"/>
      <c r="I1773" s="21"/>
      <c r="J1773" s="21"/>
      <c r="K1773" s="5" t="str">
        <f>IF(AND(LEN(H1773)=0, LEN(I1773)=0), "", IF(AND(LEN(H1773)&gt;0, LEN(I1773)=0), "BLANCO", IFERROR(VLOOKUP(I1773, BasedatosM9!A:B, 2, FALSE), "BLANCO")))</f>
        <v/>
      </c>
    </row>
    <row r="1774" spans="1:11" ht="14.4">
      <c r="A1774" s="21"/>
      <c r="B1774" s="86"/>
      <c r="C1774" s="98"/>
      <c r="D1774" s="21"/>
      <c r="E1774" s="86"/>
      <c r="F1774" s="99"/>
      <c r="G1774" s="99"/>
      <c r="H1774" s="21"/>
      <c r="I1774" s="86"/>
      <c r="J1774" s="21"/>
      <c r="K1774" s="5" t="str">
        <f>IF(AND(LEN(H1774)=0, LEN(I1774)=0), "", IF(AND(LEN(H1774)&gt;0, LEN(I1774)=0), "BLANCO", IFERROR(VLOOKUP(I1774, BasedatosM9!A:B, 2, FALSE), "BLANCO")))</f>
        <v/>
      </c>
    </row>
    <row r="1775" spans="1:11" ht="14.4">
      <c r="A1775" s="21"/>
      <c r="B1775" s="86"/>
      <c r="C1775" s="98"/>
      <c r="D1775" s="21"/>
      <c r="E1775" s="86"/>
      <c r="F1775" s="99"/>
      <c r="G1775" s="99"/>
      <c r="H1775" s="21"/>
      <c r="I1775" s="86"/>
      <c r="J1775" s="21"/>
      <c r="K1775" s="5" t="str">
        <f>IF(AND(LEN(H1775)=0, LEN(I1775)=0), "", IF(AND(LEN(H1775)&gt;0, LEN(I1775)=0), "BLANCO", IFERROR(VLOOKUP(I1775, BasedatosM9!A:B, 2, FALSE), "BLANCO")))</f>
        <v/>
      </c>
    </row>
    <row r="1776" spans="1:11" ht="14.4">
      <c r="A1776" s="21"/>
      <c r="B1776" s="86"/>
      <c r="C1776" s="98"/>
      <c r="D1776" s="21"/>
      <c r="E1776" s="86"/>
      <c r="F1776" s="99"/>
      <c r="G1776" s="99"/>
      <c r="H1776" s="21"/>
      <c r="I1776" s="86"/>
      <c r="J1776" s="21"/>
      <c r="K1776" s="5" t="str">
        <f>IF(AND(LEN(H1776)=0, LEN(I1776)=0), "", IF(AND(LEN(H1776)&gt;0, LEN(I1776)=0), "BLANCO", IFERROR(VLOOKUP(I1776, BasedatosM9!A:B, 2, FALSE), "BLANCO")))</f>
        <v/>
      </c>
    </row>
    <row r="1777" spans="1:11" ht="14.4">
      <c r="A1777" s="21"/>
      <c r="B1777" s="86"/>
      <c r="C1777" s="98"/>
      <c r="D1777" s="21"/>
      <c r="E1777" s="86"/>
      <c r="F1777" s="99"/>
      <c r="G1777" s="99"/>
      <c r="H1777" s="21"/>
      <c r="I1777" s="86"/>
      <c r="J1777" s="21"/>
      <c r="K1777" s="5" t="str">
        <f>IF(AND(LEN(H1777)=0, LEN(I1777)=0), "", IF(AND(LEN(H1777)&gt;0, LEN(I1777)=0), "BLANCO", IFERROR(VLOOKUP(I1777, BasedatosM9!A:B, 2, FALSE), "BLANCO")))</f>
        <v/>
      </c>
    </row>
    <row r="1778" spans="1:11" ht="14.4">
      <c r="A1778" s="21"/>
      <c r="B1778" s="86"/>
      <c r="C1778" s="98"/>
      <c r="D1778" s="21"/>
      <c r="E1778" s="86"/>
      <c r="F1778" s="99"/>
      <c r="G1778" s="99"/>
      <c r="H1778" s="21"/>
      <c r="I1778" s="86"/>
      <c r="J1778" s="21"/>
      <c r="K1778" s="5" t="str">
        <f>IF(AND(LEN(H1778)=0, LEN(I1778)=0), "", IF(AND(LEN(H1778)&gt;0, LEN(I1778)=0), "BLANCO", IFERROR(VLOOKUP(I1778, BasedatosM9!A:B, 2, FALSE), "BLANCO")))</f>
        <v/>
      </c>
    </row>
    <row r="1779" spans="1:11" ht="14.4">
      <c r="A1779" s="21"/>
      <c r="B1779" s="86"/>
      <c r="C1779" s="98"/>
      <c r="D1779" s="21"/>
      <c r="E1779" s="86"/>
      <c r="F1779" s="99"/>
      <c r="G1779" s="99"/>
      <c r="H1779" s="21"/>
      <c r="I1779" s="86"/>
      <c r="J1779" s="21"/>
      <c r="K1779" s="5" t="str">
        <f>IF(AND(LEN(H1779)=0, LEN(I1779)=0), "", IF(AND(LEN(H1779)&gt;0, LEN(I1779)=0), "BLANCO", IFERROR(VLOOKUP(I1779, BasedatosM9!A:B, 2, FALSE), "BLANCO")))</f>
        <v/>
      </c>
    </row>
    <row r="1780" spans="1:11" ht="14.4">
      <c r="A1780" s="21"/>
      <c r="B1780" s="86"/>
      <c r="C1780" s="98"/>
      <c r="D1780" s="21"/>
      <c r="E1780" s="86"/>
      <c r="F1780" s="99"/>
      <c r="G1780" s="99"/>
      <c r="H1780" s="21"/>
      <c r="I1780" s="21"/>
      <c r="J1780" s="21"/>
      <c r="K1780" s="5" t="str">
        <f>IF(AND(LEN(H1780)=0, LEN(I1780)=0), "", IF(AND(LEN(H1780)&gt;0, LEN(I1780)=0), "BLANCO", IFERROR(VLOOKUP(I1780, BasedatosM9!A:B, 2, FALSE), "BLANCO")))</f>
        <v/>
      </c>
    </row>
    <row r="1781" spans="1:11" ht="14.4">
      <c r="A1781" s="21"/>
      <c r="B1781" s="86"/>
      <c r="C1781" s="98"/>
      <c r="D1781" s="21"/>
      <c r="E1781" s="86"/>
      <c r="F1781" s="99"/>
      <c r="G1781" s="99"/>
      <c r="H1781" s="21"/>
      <c r="I1781" s="86"/>
      <c r="J1781" s="21"/>
      <c r="K1781" s="5" t="str">
        <f>IF(AND(LEN(H1781)=0, LEN(I1781)=0), "", IF(AND(LEN(H1781)&gt;0, LEN(I1781)=0), "BLANCO", IFERROR(VLOOKUP(I1781, BasedatosM9!A:B, 2, FALSE), "BLANCO")))</f>
        <v/>
      </c>
    </row>
    <row r="1782" spans="1:11" ht="14.4">
      <c r="A1782" s="21"/>
      <c r="B1782" s="86"/>
      <c r="C1782" s="98"/>
      <c r="D1782" s="21"/>
      <c r="E1782" s="86"/>
      <c r="F1782" s="99"/>
      <c r="G1782" s="99"/>
      <c r="H1782" s="21"/>
      <c r="I1782" s="86"/>
      <c r="J1782" s="21"/>
      <c r="K1782" s="5" t="str">
        <f>IF(AND(LEN(H1782)=0, LEN(I1782)=0), "", IF(AND(LEN(H1782)&gt;0, LEN(I1782)=0), "BLANCO", IFERROR(VLOOKUP(I1782, BasedatosM9!A:B, 2, FALSE), "BLANCO")))</f>
        <v/>
      </c>
    </row>
    <row r="1783" spans="1:11" ht="14.4">
      <c r="A1783" s="21"/>
      <c r="B1783" s="86"/>
      <c r="C1783" s="98"/>
      <c r="D1783" s="21"/>
      <c r="E1783" s="86"/>
      <c r="F1783" s="99"/>
      <c r="G1783" s="99"/>
      <c r="H1783" s="21"/>
      <c r="I1783" s="21"/>
      <c r="J1783" s="21"/>
      <c r="K1783" s="5" t="str">
        <f>IF(AND(LEN(H1783)=0, LEN(I1783)=0), "", IF(AND(LEN(H1783)&gt;0, LEN(I1783)=0), "BLANCO", IFERROR(VLOOKUP(I1783, BasedatosM9!A:B, 2, FALSE), "BLANCO")))</f>
        <v/>
      </c>
    </row>
    <row r="1784" spans="1:11" ht="14.4">
      <c r="A1784" s="21"/>
      <c r="B1784" s="86"/>
      <c r="C1784" s="98"/>
      <c r="D1784" s="21"/>
      <c r="E1784" s="86"/>
      <c r="F1784" s="99"/>
      <c r="G1784" s="99"/>
      <c r="H1784" s="21"/>
      <c r="I1784" s="86"/>
      <c r="J1784" s="21"/>
      <c r="K1784" s="5" t="str">
        <f>IF(AND(LEN(H1784)=0, LEN(I1784)=0), "", IF(AND(LEN(H1784)&gt;0, LEN(I1784)=0), "BLANCO", IFERROR(VLOOKUP(I1784, BasedatosM9!A:B, 2, FALSE), "BLANCO")))</f>
        <v/>
      </c>
    </row>
    <row r="1785" spans="1:11" ht="14.4">
      <c r="A1785" s="21"/>
      <c r="B1785" s="86"/>
      <c r="C1785" s="98"/>
      <c r="D1785" s="21"/>
      <c r="E1785" s="86"/>
      <c r="F1785" s="99"/>
      <c r="G1785" s="99"/>
      <c r="H1785" s="21"/>
      <c r="I1785" s="86"/>
      <c r="J1785" s="21"/>
      <c r="K1785" s="5" t="str">
        <f>IF(AND(LEN(H1785)=0, LEN(I1785)=0), "", IF(AND(LEN(H1785)&gt;0, LEN(I1785)=0), "BLANCO", IFERROR(VLOOKUP(I1785, BasedatosM9!A:B, 2, FALSE), "BLANCO")))</f>
        <v/>
      </c>
    </row>
    <row r="1786" spans="1:11" ht="14.4">
      <c r="A1786" s="21"/>
      <c r="B1786" s="86"/>
      <c r="C1786" s="98"/>
      <c r="D1786" s="21"/>
      <c r="E1786" s="86"/>
      <c r="F1786" s="99"/>
      <c r="G1786" s="99"/>
      <c r="H1786" s="21"/>
      <c r="I1786" s="86"/>
      <c r="J1786" s="21"/>
      <c r="K1786" s="5" t="str">
        <f>IF(AND(LEN(H1786)=0, LEN(I1786)=0), "", IF(AND(LEN(H1786)&gt;0, LEN(I1786)=0), "BLANCO", IFERROR(VLOOKUP(I1786, BasedatosM9!A:B, 2, FALSE), "BLANCO")))</f>
        <v/>
      </c>
    </row>
    <row r="1787" spans="1:11" ht="14.4">
      <c r="A1787" s="21"/>
      <c r="B1787" s="86"/>
      <c r="C1787" s="98"/>
      <c r="D1787" s="21"/>
      <c r="E1787" s="86"/>
      <c r="F1787" s="99"/>
      <c r="G1787" s="99"/>
      <c r="H1787" s="21"/>
      <c r="I1787" s="86"/>
      <c r="J1787" s="21"/>
      <c r="K1787" s="5" t="str">
        <f>IF(AND(LEN(H1787)=0, LEN(I1787)=0), "", IF(AND(LEN(H1787)&gt;0, LEN(I1787)=0), "BLANCO", IFERROR(VLOOKUP(I1787, BasedatosM9!A:B, 2, FALSE), "BLANCO")))</f>
        <v/>
      </c>
    </row>
    <row r="1788" spans="1:11" ht="14.4">
      <c r="A1788" s="21"/>
      <c r="B1788" s="86"/>
      <c r="C1788" s="98"/>
      <c r="D1788" s="21"/>
      <c r="E1788" s="86"/>
      <c r="F1788" s="99"/>
      <c r="G1788" s="99"/>
      <c r="H1788" s="21"/>
      <c r="I1788" s="21"/>
      <c r="J1788" s="21"/>
      <c r="K1788" s="5" t="str">
        <f>IF(AND(LEN(H1788)=0, LEN(I1788)=0), "", IF(AND(LEN(H1788)&gt;0, LEN(I1788)=0), "BLANCO", IFERROR(VLOOKUP(I1788, BasedatosM9!A:B, 2, FALSE), "BLANCO")))</f>
        <v/>
      </c>
    </row>
    <row r="1789" spans="1:11" ht="14.4">
      <c r="A1789" s="21"/>
      <c r="B1789" s="86"/>
      <c r="C1789" s="98"/>
      <c r="D1789" s="21"/>
      <c r="E1789" s="86"/>
      <c r="F1789" s="99"/>
      <c r="G1789" s="99"/>
      <c r="H1789" s="21"/>
      <c r="I1789" s="86"/>
      <c r="J1789" s="21"/>
      <c r="K1789" s="5" t="str">
        <f>IF(AND(LEN(H1789)=0, LEN(I1789)=0), "", IF(AND(LEN(H1789)&gt;0, LEN(I1789)=0), "BLANCO", IFERROR(VLOOKUP(I1789, BasedatosM9!A:B, 2, FALSE), "BLANCO")))</f>
        <v/>
      </c>
    </row>
    <row r="1790" spans="1:11" ht="14.4">
      <c r="A1790" s="21"/>
      <c r="B1790" s="86"/>
      <c r="C1790" s="98"/>
      <c r="D1790" s="21"/>
      <c r="E1790" s="86"/>
      <c r="F1790" s="99"/>
      <c r="G1790" s="99"/>
      <c r="H1790" s="21"/>
      <c r="I1790" s="86"/>
      <c r="J1790" s="21"/>
      <c r="K1790" s="5" t="str">
        <f>IF(AND(LEN(H1790)=0, LEN(I1790)=0), "", IF(AND(LEN(H1790)&gt;0, LEN(I1790)=0), "BLANCO", IFERROR(VLOOKUP(I1790, BasedatosM9!A:B, 2, FALSE), "BLANCO")))</f>
        <v/>
      </c>
    </row>
    <row r="1791" spans="1:11" ht="14.4">
      <c r="A1791" s="21"/>
      <c r="B1791" s="86"/>
      <c r="C1791" s="98"/>
      <c r="D1791" s="21"/>
      <c r="E1791" s="86"/>
      <c r="F1791" s="99"/>
      <c r="G1791" s="99"/>
      <c r="H1791" s="21"/>
      <c r="I1791" s="21"/>
      <c r="J1791" s="21"/>
      <c r="K1791" s="5" t="str">
        <f>IF(AND(LEN(H1791)=0, LEN(I1791)=0), "", IF(AND(LEN(H1791)&gt;0, LEN(I1791)=0), "BLANCO", IFERROR(VLOOKUP(I1791, BasedatosM9!A:B, 2, FALSE), "BLANCO")))</f>
        <v/>
      </c>
    </row>
    <row r="1792" spans="1:11" ht="14.4">
      <c r="A1792" s="21"/>
      <c r="B1792" s="86"/>
      <c r="C1792" s="98"/>
      <c r="D1792" s="21"/>
      <c r="E1792" s="86"/>
      <c r="F1792" s="99"/>
      <c r="G1792" s="99"/>
      <c r="H1792" s="21"/>
      <c r="I1792" s="21"/>
      <c r="J1792" s="21"/>
      <c r="K1792" s="5" t="str">
        <f>IF(AND(LEN(H1792)=0, LEN(I1792)=0), "", IF(AND(LEN(H1792)&gt;0, LEN(I1792)=0), "BLANCO", IFERROR(VLOOKUP(I1792, BasedatosM9!A:B, 2, FALSE), "BLANCO")))</f>
        <v/>
      </c>
    </row>
    <row r="1793" spans="1:11" ht="14.4">
      <c r="A1793" s="21"/>
      <c r="B1793" s="86"/>
      <c r="C1793" s="98"/>
      <c r="D1793" s="21"/>
      <c r="E1793" s="86"/>
      <c r="F1793" s="99"/>
      <c r="G1793" s="99"/>
      <c r="H1793" s="21"/>
      <c r="I1793" s="86"/>
      <c r="J1793" s="21"/>
      <c r="K1793" s="5" t="str">
        <f>IF(AND(LEN(H1793)=0, LEN(I1793)=0), "", IF(AND(LEN(H1793)&gt;0, LEN(I1793)=0), "BLANCO", IFERROR(VLOOKUP(I1793, BasedatosM9!A:B, 2, FALSE), "BLANCO")))</f>
        <v/>
      </c>
    </row>
    <row r="1794" spans="1:11" ht="14.4">
      <c r="A1794" s="21"/>
      <c r="B1794" s="86"/>
      <c r="C1794" s="98"/>
      <c r="D1794" s="21"/>
      <c r="E1794" s="86"/>
      <c r="F1794" s="99"/>
      <c r="G1794" s="99"/>
      <c r="H1794" s="21"/>
      <c r="I1794" s="86"/>
      <c r="J1794" s="21"/>
      <c r="K1794" s="5" t="str">
        <f>IF(AND(LEN(H1794)=0, LEN(I1794)=0), "", IF(AND(LEN(H1794)&gt;0, LEN(I1794)=0), "BLANCO", IFERROR(VLOOKUP(I1794, BasedatosM9!A:B, 2, FALSE), "BLANCO")))</f>
        <v/>
      </c>
    </row>
    <row r="1795" spans="1:11" ht="14.4">
      <c r="A1795" s="21"/>
      <c r="B1795" s="86"/>
      <c r="C1795" s="98"/>
      <c r="D1795" s="21"/>
      <c r="E1795" s="86"/>
      <c r="F1795" s="99"/>
      <c r="G1795" s="99"/>
      <c r="H1795" s="21"/>
      <c r="I1795" s="86"/>
      <c r="J1795" s="21"/>
      <c r="K1795" s="5" t="str">
        <f>IF(AND(LEN(H1795)=0, LEN(I1795)=0), "", IF(AND(LEN(H1795)&gt;0, LEN(I1795)=0), "BLANCO", IFERROR(VLOOKUP(I1795, BasedatosM9!A:B, 2, FALSE), "BLANCO")))</f>
        <v/>
      </c>
    </row>
    <row r="1796" spans="1:11" ht="14.4">
      <c r="A1796" s="21"/>
      <c r="B1796" s="86"/>
      <c r="C1796" s="98"/>
      <c r="D1796" s="21"/>
      <c r="E1796" s="86"/>
      <c r="F1796" s="99"/>
      <c r="G1796" s="99"/>
      <c r="H1796" s="21"/>
      <c r="I1796" s="86"/>
      <c r="J1796" s="21"/>
      <c r="K1796" s="5" t="str">
        <f>IF(AND(LEN(H1796)=0, LEN(I1796)=0), "", IF(AND(LEN(H1796)&gt;0, LEN(I1796)=0), "BLANCO", IFERROR(VLOOKUP(I1796, BasedatosM9!A:B, 2, FALSE), "BLANCO")))</f>
        <v/>
      </c>
    </row>
    <row r="1797" spans="1:11" ht="14.4">
      <c r="A1797" s="21"/>
      <c r="B1797" s="86"/>
      <c r="C1797" s="98"/>
      <c r="D1797" s="21"/>
      <c r="E1797" s="86"/>
      <c r="F1797" s="99"/>
      <c r="G1797" s="99"/>
      <c r="H1797" s="21"/>
      <c r="I1797" s="86"/>
      <c r="J1797" s="21"/>
      <c r="K1797" s="5" t="str">
        <f>IF(AND(LEN(H1797)=0, LEN(I1797)=0), "", IF(AND(LEN(H1797)&gt;0, LEN(I1797)=0), "BLANCO", IFERROR(VLOOKUP(I1797, BasedatosM9!A:B, 2, FALSE), "BLANCO")))</f>
        <v/>
      </c>
    </row>
    <row r="1798" spans="1:11" ht="14.4">
      <c r="A1798" s="21"/>
      <c r="B1798" s="86"/>
      <c r="C1798" s="98"/>
      <c r="D1798" s="21"/>
      <c r="E1798" s="86"/>
      <c r="F1798" s="99"/>
      <c r="G1798" s="99"/>
      <c r="H1798" s="21"/>
      <c r="I1798" s="21"/>
      <c r="J1798" s="21"/>
      <c r="K1798" s="5" t="str">
        <f>IF(AND(LEN(H1798)=0, LEN(I1798)=0), "", IF(AND(LEN(H1798)&gt;0, LEN(I1798)=0), "BLANCO", IFERROR(VLOOKUP(I1798, BasedatosM9!A:B, 2, FALSE), "BLANCO")))</f>
        <v/>
      </c>
    </row>
    <row r="1799" spans="1:11" ht="14.4">
      <c r="A1799" s="21"/>
      <c r="B1799" s="86"/>
      <c r="C1799" s="98"/>
      <c r="D1799" s="21"/>
      <c r="E1799" s="86"/>
      <c r="F1799" s="99"/>
      <c r="G1799" s="99"/>
      <c r="H1799" s="21"/>
      <c r="I1799" s="86"/>
      <c r="J1799" s="21"/>
      <c r="K1799" s="5" t="str">
        <f>IF(AND(LEN(H1799)=0, LEN(I1799)=0), "", IF(AND(LEN(H1799)&gt;0, LEN(I1799)=0), "BLANCO", IFERROR(VLOOKUP(I1799, BasedatosM9!A:B, 2, FALSE), "BLANCO")))</f>
        <v/>
      </c>
    </row>
    <row r="1800" spans="1:11" ht="14.4">
      <c r="A1800" s="21"/>
      <c r="B1800" s="86"/>
      <c r="C1800" s="98"/>
      <c r="D1800" s="21"/>
      <c r="E1800" s="86"/>
      <c r="F1800" s="99"/>
      <c r="G1800" s="99"/>
      <c r="H1800" s="21"/>
      <c r="I1800" s="86"/>
      <c r="J1800" s="21"/>
      <c r="K1800" s="5" t="str">
        <f>IF(AND(LEN(H1800)=0, LEN(I1800)=0), "", IF(AND(LEN(H1800)&gt;0, LEN(I1800)=0), "BLANCO", IFERROR(VLOOKUP(I1800, BasedatosM9!A:B, 2, FALSE), "BLANCO")))</f>
        <v/>
      </c>
    </row>
    <row r="1801" spans="1:11" ht="14.4">
      <c r="A1801" s="21"/>
      <c r="B1801" s="86"/>
      <c r="C1801" s="98"/>
      <c r="D1801" s="21"/>
      <c r="E1801" s="86"/>
      <c r="F1801" s="99"/>
      <c r="G1801" s="99"/>
      <c r="H1801" s="21"/>
      <c r="I1801" s="86"/>
      <c r="J1801" s="21"/>
      <c r="K1801" s="5" t="str">
        <f>IF(AND(LEN(H1801)=0, LEN(I1801)=0), "", IF(AND(LEN(H1801)&gt;0, LEN(I1801)=0), "BLANCO", IFERROR(VLOOKUP(I1801, BasedatosM9!A:B, 2, FALSE), "BLANCO")))</f>
        <v/>
      </c>
    </row>
    <row r="1802" spans="1:11" ht="14.4">
      <c r="A1802" s="21"/>
      <c r="B1802" s="86"/>
      <c r="C1802" s="98"/>
      <c r="D1802" s="21"/>
      <c r="E1802" s="86"/>
      <c r="F1802" s="99"/>
      <c r="G1802" s="99"/>
      <c r="H1802" s="21"/>
      <c r="I1802" s="86"/>
      <c r="J1802" s="21"/>
      <c r="K1802" s="5" t="str">
        <f>IF(AND(LEN(H1802)=0, LEN(I1802)=0), "", IF(AND(LEN(H1802)&gt;0, LEN(I1802)=0), "BLANCO", IFERROR(VLOOKUP(I1802, BasedatosM9!A:B, 2, FALSE), "BLANCO")))</f>
        <v/>
      </c>
    </row>
    <row r="1803" spans="1:11" ht="14.4">
      <c r="A1803" s="21"/>
      <c r="B1803" s="86"/>
      <c r="C1803" s="98"/>
      <c r="D1803" s="21"/>
      <c r="E1803" s="86"/>
      <c r="F1803" s="99"/>
      <c r="G1803" s="99"/>
      <c r="H1803" s="21"/>
      <c r="I1803" s="86"/>
      <c r="J1803" s="21"/>
      <c r="K1803" s="5" t="str">
        <f>IF(AND(LEN(H1803)=0, LEN(I1803)=0), "", IF(AND(LEN(H1803)&gt;0, LEN(I1803)=0), "BLANCO", IFERROR(VLOOKUP(I1803, BasedatosM9!A:B, 2, FALSE), "BLANCO")))</f>
        <v/>
      </c>
    </row>
    <row r="1804" spans="1:11" ht="14.4">
      <c r="A1804" s="21"/>
      <c r="B1804" s="86"/>
      <c r="C1804" s="98"/>
      <c r="D1804" s="21"/>
      <c r="E1804" s="86"/>
      <c r="F1804" s="99"/>
      <c r="G1804" s="99"/>
      <c r="H1804" s="21"/>
      <c r="I1804" s="86"/>
      <c r="J1804" s="21"/>
      <c r="K1804" s="5" t="str">
        <f>IF(AND(LEN(H1804)=0, LEN(I1804)=0), "", IF(AND(LEN(H1804)&gt;0, LEN(I1804)=0), "BLANCO", IFERROR(VLOOKUP(I1804, BasedatosM9!A:B, 2, FALSE), "BLANCO")))</f>
        <v/>
      </c>
    </row>
    <row r="1805" spans="1:11" ht="14.4">
      <c r="A1805" s="21"/>
      <c r="B1805" s="86"/>
      <c r="C1805" s="98"/>
      <c r="D1805" s="21"/>
      <c r="E1805" s="86"/>
      <c r="F1805" s="99"/>
      <c r="G1805" s="99"/>
      <c r="H1805" s="21"/>
      <c r="I1805" s="86"/>
      <c r="J1805" s="21"/>
      <c r="K1805" s="5" t="str">
        <f>IF(AND(LEN(H1805)=0, LEN(I1805)=0), "", IF(AND(LEN(H1805)&gt;0, LEN(I1805)=0), "BLANCO", IFERROR(VLOOKUP(I1805, BasedatosM9!A:B, 2, FALSE), "BLANCO")))</f>
        <v/>
      </c>
    </row>
    <row r="1806" spans="1:11" ht="14.4">
      <c r="A1806" s="21"/>
      <c r="B1806" s="86"/>
      <c r="C1806" s="98"/>
      <c r="D1806" s="21"/>
      <c r="E1806" s="86"/>
      <c r="F1806" s="99"/>
      <c r="G1806" s="99"/>
      <c r="H1806" s="21"/>
      <c r="I1806" s="86"/>
      <c r="J1806" s="21"/>
      <c r="K1806" s="5" t="str">
        <f>IF(AND(LEN(H1806)=0, LEN(I1806)=0), "", IF(AND(LEN(H1806)&gt;0, LEN(I1806)=0), "BLANCO", IFERROR(VLOOKUP(I1806, BasedatosM9!A:B, 2, FALSE), "BLANCO")))</f>
        <v/>
      </c>
    </row>
    <row r="1807" spans="1:11" ht="14.4">
      <c r="A1807" s="21"/>
      <c r="B1807" s="86"/>
      <c r="C1807" s="98"/>
      <c r="D1807" s="21"/>
      <c r="E1807" s="86"/>
      <c r="F1807" s="99"/>
      <c r="G1807" s="99"/>
      <c r="H1807" s="21"/>
      <c r="I1807" s="86"/>
      <c r="J1807" s="21"/>
      <c r="K1807" s="5" t="str">
        <f>IF(AND(LEN(H1807)=0, LEN(I1807)=0), "", IF(AND(LEN(H1807)&gt;0, LEN(I1807)=0), "BLANCO", IFERROR(VLOOKUP(I1807, BasedatosM9!A:B, 2, FALSE), "BLANCO")))</f>
        <v/>
      </c>
    </row>
    <row r="1808" spans="1:11" ht="14.4">
      <c r="A1808" s="21"/>
      <c r="B1808" s="86"/>
      <c r="C1808" s="98"/>
      <c r="D1808" s="21"/>
      <c r="E1808" s="86"/>
      <c r="F1808" s="99"/>
      <c r="G1808" s="99"/>
      <c r="H1808" s="21"/>
      <c r="I1808" s="86"/>
      <c r="J1808" s="21"/>
      <c r="K1808" s="5" t="str">
        <f>IF(AND(LEN(H1808)=0, LEN(I1808)=0), "", IF(AND(LEN(H1808)&gt;0, LEN(I1808)=0), "BLANCO", IFERROR(VLOOKUP(I1808, BasedatosM9!A:B, 2, FALSE), "BLANCO")))</f>
        <v/>
      </c>
    </row>
    <row r="1809" spans="1:11" ht="14.4">
      <c r="A1809" s="21"/>
      <c r="B1809" s="86"/>
      <c r="C1809" s="98"/>
      <c r="D1809" s="21"/>
      <c r="E1809" s="86"/>
      <c r="F1809" s="99"/>
      <c r="G1809" s="99"/>
      <c r="H1809" s="21"/>
      <c r="I1809" s="86"/>
      <c r="J1809" s="21"/>
      <c r="K1809" s="5" t="str">
        <f>IF(AND(LEN(H1809)=0, LEN(I1809)=0), "", IF(AND(LEN(H1809)&gt;0, LEN(I1809)=0), "BLANCO", IFERROR(VLOOKUP(I1809, BasedatosM9!A:B, 2, FALSE), "BLANCO")))</f>
        <v/>
      </c>
    </row>
    <row r="1810" spans="1:11" ht="14.4">
      <c r="A1810" s="21"/>
      <c r="B1810" s="86"/>
      <c r="C1810" s="98"/>
      <c r="D1810" s="21"/>
      <c r="E1810" s="86"/>
      <c r="F1810" s="99"/>
      <c r="G1810" s="99"/>
      <c r="H1810" s="21"/>
      <c r="I1810" s="21"/>
      <c r="J1810" s="21"/>
      <c r="K1810" s="5" t="str">
        <f>IF(AND(LEN(H1810)=0, LEN(I1810)=0), "", IF(AND(LEN(H1810)&gt;0, LEN(I1810)=0), "BLANCO", IFERROR(VLOOKUP(I1810, BasedatosM9!A:B, 2, FALSE), "BLANCO")))</f>
        <v/>
      </c>
    </row>
    <row r="1811" spans="1:11" ht="14.4">
      <c r="A1811" s="21"/>
      <c r="B1811" s="86"/>
      <c r="C1811" s="98"/>
      <c r="D1811" s="21"/>
      <c r="E1811" s="86"/>
      <c r="F1811" s="99"/>
      <c r="G1811" s="99"/>
      <c r="H1811" s="21"/>
      <c r="I1811" s="86"/>
      <c r="J1811" s="21"/>
      <c r="K1811" s="5" t="str">
        <f>IF(AND(LEN(H1811)=0, LEN(I1811)=0), "", IF(AND(LEN(H1811)&gt;0, LEN(I1811)=0), "BLANCO", IFERROR(VLOOKUP(I1811, BasedatosM9!A:B, 2, FALSE), "BLANCO")))</f>
        <v/>
      </c>
    </row>
    <row r="1812" spans="1:11" ht="14.4">
      <c r="A1812" s="21"/>
      <c r="B1812" s="86"/>
      <c r="C1812" s="98"/>
      <c r="D1812" s="21"/>
      <c r="E1812" s="86"/>
      <c r="F1812" s="99"/>
      <c r="G1812" s="99"/>
      <c r="H1812" s="21"/>
      <c r="I1812" s="86"/>
      <c r="J1812" s="21"/>
      <c r="K1812" s="5" t="str">
        <f>IF(AND(LEN(H1812)=0, LEN(I1812)=0), "", IF(AND(LEN(H1812)&gt;0, LEN(I1812)=0), "BLANCO", IFERROR(VLOOKUP(I1812, BasedatosM9!A:B, 2, FALSE), "BLANCO")))</f>
        <v/>
      </c>
    </row>
    <row r="1813" spans="1:11" ht="14.4">
      <c r="A1813" s="21"/>
      <c r="B1813" s="86"/>
      <c r="C1813" s="98"/>
      <c r="D1813" s="21"/>
      <c r="E1813" s="86"/>
      <c r="F1813" s="99"/>
      <c r="G1813" s="99"/>
      <c r="H1813" s="21"/>
      <c r="I1813" s="86"/>
      <c r="J1813" s="21"/>
      <c r="K1813" s="5" t="str">
        <f>IF(AND(LEN(H1813)=0, LEN(I1813)=0), "", IF(AND(LEN(H1813)&gt;0, LEN(I1813)=0), "BLANCO", IFERROR(VLOOKUP(I1813, BasedatosM9!A:B, 2, FALSE), "BLANCO")))</f>
        <v/>
      </c>
    </row>
    <row r="1814" spans="1:11" ht="14.4">
      <c r="A1814" s="21"/>
      <c r="B1814" s="86"/>
      <c r="C1814" s="98"/>
      <c r="D1814" s="21"/>
      <c r="E1814" s="86"/>
      <c r="F1814" s="99"/>
      <c r="G1814" s="99"/>
      <c r="H1814" s="21"/>
      <c r="I1814" s="86"/>
      <c r="J1814" s="21"/>
      <c r="K1814" s="5" t="str">
        <f>IF(AND(LEN(H1814)=0, LEN(I1814)=0), "", IF(AND(LEN(H1814)&gt;0, LEN(I1814)=0), "BLANCO", IFERROR(VLOOKUP(I1814, BasedatosM9!A:B, 2, FALSE), "BLANCO")))</f>
        <v/>
      </c>
    </row>
    <row r="1815" spans="1:11" ht="14.4">
      <c r="A1815" s="21"/>
      <c r="B1815" s="86"/>
      <c r="C1815" s="98"/>
      <c r="D1815" s="21"/>
      <c r="E1815" s="86"/>
      <c r="F1815" s="99"/>
      <c r="G1815" s="99"/>
      <c r="H1815" s="21"/>
      <c r="I1815" s="21"/>
      <c r="J1815" s="21"/>
      <c r="K1815" s="5" t="str">
        <f>IF(AND(LEN(H1815)=0, LEN(I1815)=0), "", IF(AND(LEN(H1815)&gt;0, LEN(I1815)=0), "BLANCO", IFERROR(VLOOKUP(I1815, BasedatosM9!A:B, 2, FALSE), "BLANCO")))</f>
        <v/>
      </c>
    </row>
    <row r="1816" spans="1:11" ht="14.4">
      <c r="A1816" s="21"/>
      <c r="B1816" s="86"/>
      <c r="C1816" s="98"/>
      <c r="D1816" s="21"/>
      <c r="E1816" s="86"/>
      <c r="F1816" s="99"/>
      <c r="G1816" s="99"/>
      <c r="H1816" s="21"/>
      <c r="I1816" s="21"/>
      <c r="J1816" s="21"/>
      <c r="K1816" s="5" t="str">
        <f>IF(AND(LEN(H1816)=0, LEN(I1816)=0), "", IF(AND(LEN(H1816)&gt;0, LEN(I1816)=0), "BLANCO", IFERROR(VLOOKUP(I1816, BasedatosM9!A:B, 2, FALSE), "BLANCO")))</f>
        <v/>
      </c>
    </row>
    <row r="1817" spans="1:11" ht="14.4">
      <c r="A1817" s="21"/>
      <c r="B1817" s="86"/>
      <c r="C1817" s="98"/>
      <c r="D1817" s="21"/>
      <c r="E1817" s="86"/>
      <c r="F1817" s="99"/>
      <c r="G1817" s="99"/>
      <c r="H1817" s="21"/>
      <c r="I1817" s="21"/>
      <c r="J1817" s="21"/>
      <c r="K1817" s="5" t="str">
        <f>IF(AND(LEN(H1817)=0, LEN(I1817)=0), "", IF(AND(LEN(H1817)&gt;0, LEN(I1817)=0), "BLANCO", IFERROR(VLOOKUP(I1817, BasedatosM9!A:B, 2, FALSE), "BLANCO")))</f>
        <v/>
      </c>
    </row>
    <row r="1818" spans="1:11" ht="14.4">
      <c r="A1818" s="21"/>
      <c r="B1818" s="86"/>
      <c r="C1818" s="98"/>
      <c r="D1818" s="21"/>
      <c r="E1818" s="86"/>
      <c r="F1818" s="99"/>
      <c r="G1818" s="99"/>
      <c r="H1818" s="21"/>
      <c r="I1818" s="21"/>
      <c r="J1818" s="21"/>
      <c r="K1818" s="5" t="str">
        <f>IF(AND(LEN(H1818)=0, LEN(I1818)=0), "", IF(AND(LEN(H1818)&gt;0, LEN(I1818)=0), "BLANCO", IFERROR(VLOOKUP(I1818, BasedatosM9!A:B, 2, FALSE), "BLANCO")))</f>
        <v/>
      </c>
    </row>
    <row r="1819" spans="1:11" ht="14.4">
      <c r="A1819" s="21"/>
      <c r="B1819" s="86"/>
      <c r="C1819" s="98"/>
      <c r="D1819" s="21"/>
      <c r="E1819" s="86"/>
      <c r="F1819" s="99"/>
      <c r="G1819" s="99"/>
      <c r="H1819" s="21"/>
      <c r="I1819" s="21"/>
      <c r="J1819" s="21"/>
      <c r="K1819" s="5" t="str">
        <f>IF(AND(LEN(H1819)=0, LEN(I1819)=0), "", IF(AND(LEN(H1819)&gt;0, LEN(I1819)=0), "BLANCO", IFERROR(VLOOKUP(I1819, BasedatosM9!A:B, 2, FALSE), "BLANCO")))</f>
        <v/>
      </c>
    </row>
    <row r="1820" spans="1:11" ht="14.4">
      <c r="A1820" s="21"/>
      <c r="B1820" s="86"/>
      <c r="C1820" s="98"/>
      <c r="D1820" s="21"/>
      <c r="E1820" s="86"/>
      <c r="F1820" s="99"/>
      <c r="G1820" s="99"/>
      <c r="H1820" s="21"/>
      <c r="I1820" s="86"/>
      <c r="J1820" s="21"/>
      <c r="K1820" s="5" t="str">
        <f>IF(AND(LEN(H1820)=0, LEN(I1820)=0), "", IF(AND(LEN(H1820)&gt;0, LEN(I1820)=0), "BLANCO", IFERROR(VLOOKUP(I1820, BasedatosM9!A:B, 2, FALSE), "BLANCO")))</f>
        <v/>
      </c>
    </row>
    <row r="1821" spans="1:11" ht="14.4">
      <c r="A1821" s="21"/>
      <c r="B1821" s="86"/>
      <c r="C1821" s="98"/>
      <c r="D1821" s="21"/>
      <c r="E1821" s="86"/>
      <c r="F1821" s="99"/>
      <c r="G1821" s="99"/>
      <c r="H1821" s="21"/>
      <c r="I1821" s="86"/>
      <c r="J1821" s="21"/>
      <c r="K1821" s="5" t="str">
        <f>IF(AND(LEN(H1821)=0, LEN(I1821)=0), "", IF(AND(LEN(H1821)&gt;0, LEN(I1821)=0), "BLANCO", IFERROR(VLOOKUP(I1821, BasedatosM9!A:B, 2, FALSE), "BLANCO")))</f>
        <v/>
      </c>
    </row>
    <row r="1822" spans="1:11" ht="14.4">
      <c r="A1822" s="21"/>
      <c r="B1822" s="86"/>
      <c r="C1822" s="98"/>
      <c r="D1822" s="21"/>
      <c r="E1822" s="86"/>
      <c r="F1822" s="99"/>
      <c r="G1822" s="99"/>
      <c r="H1822" s="21"/>
      <c r="I1822" s="21"/>
      <c r="J1822" s="21"/>
      <c r="K1822" s="5" t="str">
        <f>IF(AND(LEN(H1822)=0, LEN(I1822)=0), "", IF(AND(LEN(H1822)&gt;0, LEN(I1822)=0), "BLANCO", IFERROR(VLOOKUP(I1822, BasedatosM9!A:B, 2, FALSE), "BLANCO")))</f>
        <v/>
      </c>
    </row>
    <row r="1823" spans="1:11" ht="14.4">
      <c r="A1823" s="21"/>
      <c r="B1823" s="86"/>
      <c r="C1823" s="98"/>
      <c r="D1823" s="21"/>
      <c r="E1823" s="86"/>
      <c r="F1823" s="99"/>
      <c r="G1823" s="99"/>
      <c r="H1823" s="21"/>
      <c r="I1823" s="86"/>
      <c r="J1823" s="21"/>
      <c r="K1823" s="5" t="str">
        <f>IF(AND(LEN(H1823)=0, LEN(I1823)=0), "", IF(AND(LEN(H1823)&gt;0, LEN(I1823)=0), "BLANCO", IFERROR(VLOOKUP(I1823, BasedatosM9!A:B, 2, FALSE), "BLANCO")))</f>
        <v/>
      </c>
    </row>
    <row r="1824" spans="1:11" ht="14.4">
      <c r="A1824" s="21"/>
      <c r="B1824" s="86"/>
      <c r="C1824" s="98"/>
      <c r="D1824" s="21"/>
      <c r="E1824" s="86"/>
      <c r="F1824" s="99"/>
      <c r="G1824" s="99"/>
      <c r="H1824" s="21"/>
      <c r="I1824" s="21"/>
      <c r="J1824" s="21"/>
      <c r="K1824" s="5" t="str">
        <f>IF(AND(LEN(H1824)=0, LEN(I1824)=0), "", IF(AND(LEN(H1824)&gt;0, LEN(I1824)=0), "BLANCO", IFERROR(VLOOKUP(I1824, BasedatosM9!A:B, 2, FALSE), "BLANCO")))</f>
        <v/>
      </c>
    </row>
    <row r="1825" spans="1:11" ht="14.4">
      <c r="A1825" s="21"/>
      <c r="B1825" s="86"/>
      <c r="C1825" s="98"/>
      <c r="D1825" s="21"/>
      <c r="E1825" s="86"/>
      <c r="F1825" s="99"/>
      <c r="G1825" s="99"/>
      <c r="H1825" s="21"/>
      <c r="I1825" s="21"/>
      <c r="J1825" s="21"/>
      <c r="K1825" s="5" t="str">
        <f>IF(AND(LEN(H1825)=0, LEN(I1825)=0), "", IF(AND(LEN(H1825)&gt;0, LEN(I1825)=0), "BLANCO", IFERROR(VLOOKUP(I1825, BasedatosM9!A:B, 2, FALSE), "BLANCO")))</f>
        <v/>
      </c>
    </row>
    <row r="1826" spans="1:11" ht="14.4">
      <c r="A1826" s="21"/>
      <c r="B1826" s="86"/>
      <c r="C1826" s="98"/>
      <c r="D1826" s="21"/>
      <c r="E1826" s="86"/>
      <c r="F1826" s="99"/>
      <c r="G1826" s="99"/>
      <c r="H1826" s="21"/>
      <c r="I1826" s="86"/>
      <c r="J1826" s="21"/>
      <c r="K1826" s="5" t="str">
        <f>IF(AND(LEN(H1826)=0, LEN(I1826)=0), "", IF(AND(LEN(H1826)&gt;0, LEN(I1826)=0), "BLANCO", IFERROR(VLOOKUP(I1826, BasedatosM9!A:B, 2, FALSE), "BLANCO")))</f>
        <v/>
      </c>
    </row>
    <row r="1827" spans="1:11" ht="14.4">
      <c r="A1827" s="21"/>
      <c r="B1827" s="86"/>
      <c r="C1827" s="98"/>
      <c r="D1827" s="21"/>
      <c r="E1827" s="86"/>
      <c r="F1827" s="99"/>
      <c r="G1827" s="99"/>
      <c r="H1827" s="21"/>
      <c r="I1827" s="21"/>
      <c r="J1827" s="21"/>
      <c r="K1827" s="5" t="str">
        <f>IF(AND(LEN(H1827)=0, LEN(I1827)=0), "", IF(AND(LEN(H1827)&gt;0, LEN(I1827)=0), "BLANCO", IFERROR(VLOOKUP(I1827, BasedatosM9!A:B, 2, FALSE), "BLANCO")))</f>
        <v/>
      </c>
    </row>
    <row r="1828" spans="1:11" ht="14.4">
      <c r="A1828" s="21"/>
      <c r="B1828" s="86"/>
      <c r="C1828" s="98"/>
      <c r="D1828" s="21"/>
      <c r="E1828" s="86"/>
      <c r="F1828" s="99"/>
      <c r="G1828" s="99"/>
      <c r="H1828" s="21"/>
      <c r="I1828" s="21"/>
      <c r="J1828" s="21"/>
      <c r="K1828" s="5" t="str">
        <f>IF(AND(LEN(H1828)=0, LEN(I1828)=0), "", IF(AND(LEN(H1828)&gt;0, LEN(I1828)=0), "BLANCO", IFERROR(VLOOKUP(I1828, BasedatosM9!A:B, 2, FALSE), "BLANCO")))</f>
        <v/>
      </c>
    </row>
    <row r="1829" spans="1:11" ht="14.4">
      <c r="A1829" s="21"/>
      <c r="B1829" s="86"/>
      <c r="C1829" s="98"/>
      <c r="D1829" s="21"/>
      <c r="E1829" s="86"/>
      <c r="F1829" s="99"/>
      <c r="G1829" s="99"/>
      <c r="H1829" s="21"/>
      <c r="I1829" s="86"/>
      <c r="J1829" s="21"/>
      <c r="K1829" s="5" t="str">
        <f>IF(AND(LEN(H1829)=0, LEN(I1829)=0), "", IF(AND(LEN(H1829)&gt;0, LEN(I1829)=0), "BLANCO", IFERROR(VLOOKUP(I1829, BasedatosM9!A:B, 2, FALSE), "BLANCO")))</f>
        <v/>
      </c>
    </row>
    <row r="1830" spans="1:11" ht="14.4">
      <c r="A1830" s="21"/>
      <c r="B1830" s="86"/>
      <c r="C1830" s="98"/>
      <c r="D1830" s="21"/>
      <c r="E1830" s="86"/>
      <c r="F1830" s="99"/>
      <c r="G1830" s="99"/>
      <c r="H1830" s="21"/>
      <c r="I1830" s="21"/>
      <c r="J1830" s="21"/>
      <c r="K1830" s="5" t="str">
        <f>IF(AND(LEN(H1830)=0, LEN(I1830)=0), "", IF(AND(LEN(H1830)&gt;0, LEN(I1830)=0), "BLANCO", IFERROR(VLOOKUP(I1830, BasedatosM9!A:B, 2, FALSE), "BLANCO")))</f>
        <v/>
      </c>
    </row>
    <row r="1831" spans="1:11" ht="14.4">
      <c r="A1831" s="21"/>
      <c r="B1831" s="86"/>
      <c r="C1831" s="98"/>
      <c r="D1831" s="21"/>
      <c r="E1831" s="86"/>
      <c r="F1831" s="99"/>
      <c r="G1831" s="99"/>
      <c r="H1831" s="21"/>
      <c r="I1831" s="21"/>
      <c r="J1831" s="21"/>
      <c r="K1831" s="5" t="str">
        <f>IF(AND(LEN(H1831)=0, LEN(I1831)=0), "", IF(AND(LEN(H1831)&gt;0, LEN(I1831)=0), "BLANCO", IFERROR(VLOOKUP(I1831, BasedatosM9!A:B, 2, FALSE), "BLANCO")))</f>
        <v/>
      </c>
    </row>
    <row r="1832" spans="1:11" ht="14.4">
      <c r="A1832" s="21"/>
      <c r="B1832" s="86"/>
      <c r="C1832" s="98"/>
      <c r="D1832" s="21"/>
      <c r="E1832" s="86"/>
      <c r="F1832" s="99"/>
      <c r="G1832" s="99"/>
      <c r="H1832" s="21"/>
      <c r="I1832" s="21"/>
      <c r="J1832" s="21"/>
      <c r="K1832" s="5" t="str">
        <f>IF(AND(LEN(H1832)=0, LEN(I1832)=0), "", IF(AND(LEN(H1832)&gt;0, LEN(I1832)=0), "BLANCO", IFERROR(VLOOKUP(I1832, BasedatosM9!A:B, 2, FALSE), "BLANCO")))</f>
        <v/>
      </c>
    </row>
    <row r="1833" spans="1:11" ht="14.4">
      <c r="A1833" s="21"/>
      <c r="B1833" s="86"/>
      <c r="C1833" s="98"/>
      <c r="D1833" s="21"/>
      <c r="E1833" s="86"/>
      <c r="F1833" s="99"/>
      <c r="G1833" s="99"/>
      <c r="H1833" s="21"/>
      <c r="I1833" s="21"/>
      <c r="J1833" s="21"/>
      <c r="K1833" s="5" t="str">
        <f>IF(AND(LEN(H1833)=0, LEN(I1833)=0), "", IF(AND(LEN(H1833)&gt;0, LEN(I1833)=0), "BLANCO", IFERROR(VLOOKUP(I1833, BasedatosM9!A:B, 2, FALSE), "BLANCO")))</f>
        <v/>
      </c>
    </row>
    <row r="1834" spans="1:11" ht="14.4">
      <c r="A1834" s="21"/>
      <c r="B1834" s="86"/>
      <c r="C1834" s="98"/>
      <c r="D1834" s="21"/>
      <c r="E1834" s="86"/>
      <c r="F1834" s="99"/>
      <c r="G1834" s="99"/>
      <c r="H1834" s="21"/>
      <c r="I1834" s="86"/>
      <c r="J1834" s="21"/>
      <c r="K1834" s="5" t="str">
        <f>IF(AND(LEN(H1834)=0, LEN(I1834)=0), "", IF(AND(LEN(H1834)&gt;0, LEN(I1834)=0), "BLANCO", IFERROR(VLOOKUP(I1834, BasedatosM9!A:B, 2, FALSE), "BLANCO")))</f>
        <v/>
      </c>
    </row>
    <row r="1835" spans="1:11" ht="14.4">
      <c r="A1835" s="21"/>
      <c r="B1835" s="86"/>
      <c r="C1835" s="98"/>
      <c r="D1835" s="21"/>
      <c r="E1835" s="86"/>
      <c r="F1835" s="99"/>
      <c r="G1835" s="99"/>
      <c r="H1835" s="21"/>
      <c r="I1835" s="86"/>
      <c r="J1835" s="21"/>
      <c r="K1835" s="5" t="str">
        <f>IF(AND(LEN(H1835)=0, LEN(I1835)=0), "", IF(AND(LEN(H1835)&gt;0, LEN(I1835)=0), "BLANCO", IFERROR(VLOOKUP(I1835, BasedatosM9!A:B, 2, FALSE), "BLANCO")))</f>
        <v/>
      </c>
    </row>
    <row r="1836" spans="1:11" ht="14.4">
      <c r="A1836" s="21"/>
      <c r="B1836" s="86"/>
      <c r="C1836" s="98"/>
      <c r="D1836" s="21"/>
      <c r="E1836" s="86"/>
      <c r="F1836" s="99"/>
      <c r="G1836" s="99"/>
      <c r="H1836" s="21"/>
      <c r="I1836" s="21"/>
      <c r="J1836" s="21"/>
      <c r="K1836" s="5" t="str">
        <f>IF(AND(LEN(H1836)=0, LEN(I1836)=0), "", IF(AND(LEN(H1836)&gt;0, LEN(I1836)=0), "BLANCO", IFERROR(VLOOKUP(I1836, BasedatosM9!A:B, 2, FALSE), "BLANCO")))</f>
        <v/>
      </c>
    </row>
    <row r="1837" spans="1:11" ht="14.4">
      <c r="A1837" s="21"/>
      <c r="B1837" s="86"/>
      <c r="C1837" s="98"/>
      <c r="D1837" s="21"/>
      <c r="E1837" s="86"/>
      <c r="F1837" s="99"/>
      <c r="G1837" s="99"/>
      <c r="H1837" s="21"/>
      <c r="I1837" s="86"/>
      <c r="J1837" s="21"/>
      <c r="K1837" s="5" t="str">
        <f>IF(AND(LEN(H1837)=0, LEN(I1837)=0), "", IF(AND(LEN(H1837)&gt;0, LEN(I1837)=0), "BLANCO", IFERROR(VLOOKUP(I1837, BasedatosM9!A:B, 2, FALSE), "BLANCO")))</f>
        <v/>
      </c>
    </row>
    <row r="1838" spans="1:11" ht="14.4">
      <c r="A1838" s="21"/>
      <c r="B1838" s="86"/>
      <c r="C1838" s="98"/>
      <c r="D1838" s="21"/>
      <c r="E1838" s="86"/>
      <c r="F1838" s="99"/>
      <c r="G1838" s="99"/>
      <c r="H1838" s="21"/>
      <c r="I1838" s="21"/>
      <c r="J1838" s="21"/>
      <c r="K1838" s="5" t="str">
        <f>IF(AND(LEN(H1838)=0, LEN(I1838)=0), "", IF(AND(LEN(H1838)&gt;0, LEN(I1838)=0), "BLANCO", IFERROR(VLOOKUP(I1838, BasedatosM9!A:B, 2, FALSE), "BLANCO")))</f>
        <v/>
      </c>
    </row>
    <row r="1839" spans="1:11" ht="14.4">
      <c r="A1839" s="21"/>
      <c r="B1839" s="86"/>
      <c r="C1839" s="98"/>
      <c r="D1839" s="21"/>
      <c r="E1839" s="86"/>
      <c r="F1839" s="99"/>
      <c r="G1839" s="99"/>
      <c r="H1839" s="21"/>
      <c r="I1839" s="21"/>
      <c r="J1839" s="21"/>
      <c r="K1839" s="5" t="str">
        <f>IF(AND(LEN(H1839)=0, LEN(I1839)=0), "", IF(AND(LEN(H1839)&gt;0, LEN(I1839)=0), "BLANCO", IFERROR(VLOOKUP(I1839, BasedatosM9!A:B, 2, FALSE), "BLANCO")))</f>
        <v/>
      </c>
    </row>
    <row r="1840" spans="1:11" ht="14.4">
      <c r="A1840" s="21"/>
      <c r="B1840" s="86"/>
      <c r="C1840" s="98"/>
      <c r="D1840" s="21"/>
      <c r="E1840" s="86"/>
      <c r="F1840" s="99"/>
      <c r="G1840" s="99"/>
      <c r="H1840" s="21"/>
      <c r="I1840" s="21"/>
      <c r="J1840" s="21"/>
      <c r="K1840" s="5" t="str">
        <f>IF(AND(LEN(H1840)=0, LEN(I1840)=0), "", IF(AND(LEN(H1840)&gt;0, LEN(I1840)=0), "BLANCO", IFERROR(VLOOKUP(I1840, BasedatosM9!A:B, 2, FALSE), "BLANCO")))</f>
        <v/>
      </c>
    </row>
    <row r="1841" spans="1:11" ht="14.4">
      <c r="A1841" s="21"/>
      <c r="B1841" s="86"/>
      <c r="C1841" s="98"/>
      <c r="D1841" s="21"/>
      <c r="E1841" s="86"/>
      <c r="F1841" s="99"/>
      <c r="G1841" s="99"/>
      <c r="H1841" s="21"/>
      <c r="I1841" s="21"/>
      <c r="J1841" s="21"/>
      <c r="K1841" s="5" t="str">
        <f>IF(AND(LEN(H1841)=0, LEN(I1841)=0), "", IF(AND(LEN(H1841)&gt;0, LEN(I1841)=0), "BLANCO", IFERROR(VLOOKUP(I1841, BasedatosM9!A:B, 2, FALSE), "BLANCO")))</f>
        <v/>
      </c>
    </row>
    <row r="1842" spans="1:11" ht="14.4">
      <c r="A1842" s="21"/>
      <c r="B1842" s="86"/>
      <c r="C1842" s="98"/>
      <c r="D1842" s="21"/>
      <c r="E1842" s="86"/>
      <c r="F1842" s="99"/>
      <c r="G1842" s="99"/>
      <c r="H1842" s="21"/>
      <c r="I1842" s="21"/>
      <c r="J1842" s="21"/>
      <c r="K1842" s="5" t="str">
        <f>IF(AND(LEN(H1842)=0, LEN(I1842)=0), "", IF(AND(LEN(H1842)&gt;0, LEN(I1842)=0), "BLANCO", IFERROR(VLOOKUP(I1842, BasedatosM9!A:B, 2, FALSE), "BLANCO")))</f>
        <v/>
      </c>
    </row>
    <row r="1843" spans="1:11" ht="14.4">
      <c r="A1843" s="21"/>
      <c r="B1843" s="86"/>
      <c r="C1843" s="98"/>
      <c r="D1843" s="21"/>
      <c r="E1843" s="86"/>
      <c r="F1843" s="99"/>
      <c r="G1843" s="99"/>
      <c r="H1843" s="21"/>
      <c r="I1843" s="86"/>
      <c r="J1843" s="21"/>
      <c r="K1843" s="5" t="str">
        <f>IF(AND(LEN(H1843)=0, LEN(I1843)=0), "", IF(AND(LEN(H1843)&gt;0, LEN(I1843)=0), "BLANCO", IFERROR(VLOOKUP(I1843, BasedatosM9!A:B, 2, FALSE), "BLANCO")))</f>
        <v/>
      </c>
    </row>
    <row r="1844" spans="1:11" ht="14.4">
      <c r="A1844" s="21"/>
      <c r="B1844" s="86"/>
      <c r="C1844" s="98"/>
      <c r="D1844" s="21"/>
      <c r="E1844" s="86"/>
      <c r="F1844" s="99"/>
      <c r="G1844" s="99"/>
      <c r="H1844" s="21"/>
      <c r="I1844" s="86"/>
      <c r="J1844" s="21"/>
      <c r="K1844" s="5" t="str">
        <f>IF(AND(LEN(H1844)=0, LEN(I1844)=0), "", IF(AND(LEN(H1844)&gt;0, LEN(I1844)=0), "BLANCO", IFERROR(VLOOKUP(I1844, BasedatosM9!A:B, 2, FALSE), "BLANCO")))</f>
        <v/>
      </c>
    </row>
    <row r="1845" spans="1:11" ht="14.4">
      <c r="A1845" s="21"/>
      <c r="B1845" s="86"/>
      <c r="C1845" s="98"/>
      <c r="D1845" s="21"/>
      <c r="E1845" s="86"/>
      <c r="F1845" s="99"/>
      <c r="G1845" s="99"/>
      <c r="H1845" s="21"/>
      <c r="I1845" s="86"/>
      <c r="J1845" s="21"/>
      <c r="K1845" s="5" t="str">
        <f>IF(AND(LEN(H1845)=0, LEN(I1845)=0), "", IF(AND(LEN(H1845)&gt;0, LEN(I1845)=0), "BLANCO", IFERROR(VLOOKUP(I1845, BasedatosM9!A:B, 2, FALSE), "BLANCO")))</f>
        <v/>
      </c>
    </row>
    <row r="1846" spans="1:11" ht="14.4">
      <c r="A1846" s="21"/>
      <c r="B1846" s="86"/>
      <c r="C1846" s="98"/>
      <c r="D1846" s="21"/>
      <c r="E1846" s="86"/>
      <c r="F1846" s="99"/>
      <c r="G1846" s="99"/>
      <c r="H1846" s="21"/>
      <c r="I1846" s="86"/>
      <c r="J1846" s="21"/>
      <c r="K1846" s="5" t="str">
        <f>IF(AND(LEN(H1846)=0, LEN(I1846)=0), "", IF(AND(LEN(H1846)&gt;0, LEN(I1846)=0), "BLANCO", IFERROR(VLOOKUP(I1846, BasedatosM9!A:B, 2, FALSE), "BLANCO")))</f>
        <v/>
      </c>
    </row>
    <row r="1847" spans="1:11" ht="14.4">
      <c r="A1847" s="21"/>
      <c r="B1847" s="86"/>
      <c r="C1847" s="98"/>
      <c r="D1847" s="21"/>
      <c r="E1847" s="86"/>
      <c r="F1847" s="99"/>
      <c r="G1847" s="99"/>
      <c r="H1847" s="21"/>
      <c r="I1847" s="21"/>
      <c r="J1847" s="21"/>
      <c r="K1847" s="5" t="str">
        <f>IF(AND(LEN(H1847)=0, LEN(I1847)=0), "", IF(AND(LEN(H1847)&gt;0, LEN(I1847)=0), "BLANCO", IFERROR(VLOOKUP(I1847, BasedatosM9!A:B, 2, FALSE), "BLANCO")))</f>
        <v/>
      </c>
    </row>
    <row r="1848" spans="1:11" ht="14.4">
      <c r="A1848" s="21"/>
      <c r="B1848" s="86"/>
      <c r="C1848" s="98"/>
      <c r="D1848" s="21"/>
      <c r="E1848" s="86"/>
      <c r="F1848" s="99"/>
      <c r="G1848" s="99"/>
      <c r="H1848" s="21"/>
      <c r="I1848" s="86"/>
      <c r="J1848" s="21"/>
      <c r="K1848" s="5" t="str">
        <f>IF(AND(LEN(H1848)=0, LEN(I1848)=0), "", IF(AND(LEN(H1848)&gt;0, LEN(I1848)=0), "BLANCO", IFERROR(VLOOKUP(I1848, BasedatosM9!A:B, 2, FALSE), "BLANCO")))</f>
        <v/>
      </c>
    </row>
    <row r="1849" spans="1:11" ht="14.4">
      <c r="A1849" s="21"/>
      <c r="B1849" s="86"/>
      <c r="C1849" s="98"/>
      <c r="D1849" s="21"/>
      <c r="E1849" s="86"/>
      <c r="F1849" s="99"/>
      <c r="G1849" s="99"/>
      <c r="H1849" s="21"/>
      <c r="I1849" s="86"/>
      <c r="J1849" s="21"/>
      <c r="K1849" s="5" t="str">
        <f>IF(AND(LEN(H1849)=0, LEN(I1849)=0), "", IF(AND(LEN(H1849)&gt;0, LEN(I1849)=0), "BLANCO", IFERROR(VLOOKUP(I1849, BasedatosM9!A:B, 2, FALSE), "BLANCO")))</f>
        <v/>
      </c>
    </row>
    <row r="1850" spans="1:11" ht="14.4">
      <c r="A1850" s="21"/>
      <c r="B1850" s="86"/>
      <c r="C1850" s="98"/>
      <c r="D1850" s="21"/>
      <c r="E1850" s="86"/>
      <c r="F1850" s="99"/>
      <c r="G1850" s="99"/>
      <c r="H1850" s="21"/>
      <c r="I1850" s="21"/>
      <c r="J1850" s="21"/>
      <c r="K1850" s="5" t="str">
        <f>IF(AND(LEN(H1850)=0, LEN(I1850)=0), "", IF(AND(LEN(H1850)&gt;0, LEN(I1850)=0), "BLANCO", IFERROR(VLOOKUP(I1850, BasedatosM9!A:B, 2, FALSE), "BLANCO")))</f>
        <v/>
      </c>
    </row>
    <row r="1851" spans="1:11" ht="14.4">
      <c r="A1851" s="21"/>
      <c r="B1851" s="86"/>
      <c r="C1851" s="98"/>
      <c r="D1851" s="21"/>
      <c r="E1851" s="86"/>
      <c r="F1851" s="99"/>
      <c r="G1851" s="99"/>
      <c r="H1851" s="21"/>
      <c r="I1851" s="86"/>
      <c r="J1851" s="21"/>
      <c r="K1851" s="5" t="str">
        <f>IF(AND(LEN(H1851)=0, LEN(I1851)=0), "", IF(AND(LEN(H1851)&gt;0, LEN(I1851)=0), "BLANCO", IFERROR(VLOOKUP(I1851, BasedatosM9!A:B, 2, FALSE), "BLANCO")))</f>
        <v/>
      </c>
    </row>
    <row r="1852" spans="1:11" ht="14.4">
      <c r="A1852" s="21"/>
      <c r="B1852" s="86"/>
      <c r="C1852" s="98"/>
      <c r="D1852" s="21"/>
      <c r="E1852" s="86"/>
      <c r="F1852" s="99"/>
      <c r="G1852" s="99"/>
      <c r="H1852" s="21"/>
      <c r="I1852" s="86"/>
      <c r="J1852" s="21"/>
      <c r="K1852" s="5" t="str">
        <f>IF(AND(LEN(H1852)=0, LEN(I1852)=0), "", IF(AND(LEN(H1852)&gt;0, LEN(I1852)=0), "BLANCO", IFERROR(VLOOKUP(I1852, BasedatosM9!A:B, 2, FALSE), "BLANCO")))</f>
        <v/>
      </c>
    </row>
    <row r="1853" spans="1:11" ht="14.4">
      <c r="A1853" s="21"/>
      <c r="B1853" s="86"/>
      <c r="C1853" s="98"/>
      <c r="D1853" s="21"/>
      <c r="E1853" s="86"/>
      <c r="F1853" s="99"/>
      <c r="G1853" s="99"/>
      <c r="H1853" s="21"/>
      <c r="I1853" s="86"/>
      <c r="J1853" s="21"/>
      <c r="K1853" s="5" t="str">
        <f>IF(AND(LEN(H1853)=0, LEN(I1853)=0), "", IF(AND(LEN(H1853)&gt;0, LEN(I1853)=0), "BLANCO", IFERROR(VLOOKUP(I1853, BasedatosM9!A:B, 2, FALSE), "BLANCO")))</f>
        <v/>
      </c>
    </row>
    <row r="1854" spans="1:11" ht="14.4">
      <c r="A1854" s="21"/>
      <c r="B1854" s="86"/>
      <c r="C1854" s="98"/>
      <c r="D1854" s="21"/>
      <c r="E1854" s="86"/>
      <c r="F1854" s="99"/>
      <c r="G1854" s="99"/>
      <c r="H1854" s="21"/>
      <c r="I1854" s="86"/>
      <c r="J1854" s="21"/>
      <c r="K1854" s="5" t="str">
        <f>IF(AND(LEN(H1854)=0, LEN(I1854)=0), "", IF(AND(LEN(H1854)&gt;0, LEN(I1854)=0), "BLANCO", IFERROR(VLOOKUP(I1854, BasedatosM9!A:B, 2, FALSE), "BLANCO")))</f>
        <v/>
      </c>
    </row>
    <row r="1855" spans="1:11" ht="14.4">
      <c r="A1855" s="21"/>
      <c r="B1855" s="86"/>
      <c r="C1855" s="98"/>
      <c r="D1855" s="21"/>
      <c r="E1855" s="86"/>
      <c r="F1855" s="99"/>
      <c r="G1855" s="99"/>
      <c r="H1855" s="21"/>
      <c r="I1855" s="21"/>
      <c r="J1855" s="21"/>
      <c r="K1855" s="5" t="str">
        <f>IF(AND(LEN(H1855)=0, LEN(I1855)=0), "", IF(AND(LEN(H1855)&gt;0, LEN(I1855)=0), "BLANCO", IFERROR(VLOOKUP(I1855, BasedatosM9!A:B, 2, FALSE), "BLANCO")))</f>
        <v/>
      </c>
    </row>
    <row r="1856" spans="1:11" ht="14.4">
      <c r="A1856" s="21"/>
      <c r="B1856" s="86"/>
      <c r="C1856" s="98"/>
      <c r="D1856" s="21"/>
      <c r="E1856" s="86"/>
      <c r="F1856" s="99"/>
      <c r="G1856" s="99"/>
      <c r="H1856" s="21"/>
      <c r="I1856" s="21"/>
      <c r="J1856" s="21"/>
      <c r="K1856" s="5" t="str">
        <f>IF(AND(LEN(H1856)=0, LEN(I1856)=0), "", IF(AND(LEN(H1856)&gt;0, LEN(I1856)=0), "BLANCO", IFERROR(VLOOKUP(I1856, BasedatosM9!A:B, 2, FALSE), "BLANCO")))</f>
        <v/>
      </c>
    </row>
    <row r="1857" spans="1:11" ht="14.4">
      <c r="A1857" s="21"/>
      <c r="B1857" s="86"/>
      <c r="C1857" s="98"/>
      <c r="D1857" s="21"/>
      <c r="E1857" s="86"/>
      <c r="F1857" s="99"/>
      <c r="G1857" s="99"/>
      <c r="H1857" s="21"/>
      <c r="I1857" s="86"/>
      <c r="J1857" s="21"/>
      <c r="K1857" s="5" t="str">
        <f>IF(AND(LEN(H1857)=0, LEN(I1857)=0), "", IF(AND(LEN(H1857)&gt;0, LEN(I1857)=0), "BLANCO", IFERROR(VLOOKUP(I1857, BasedatosM9!A:B, 2, FALSE), "BLANCO")))</f>
        <v/>
      </c>
    </row>
    <row r="1858" spans="1:11" ht="14.4">
      <c r="A1858" s="21"/>
      <c r="B1858" s="86"/>
      <c r="C1858" s="98"/>
      <c r="D1858" s="21"/>
      <c r="E1858" s="86"/>
      <c r="F1858" s="99"/>
      <c r="G1858" s="99"/>
      <c r="H1858" s="21"/>
      <c r="I1858" s="86"/>
      <c r="J1858" s="21"/>
      <c r="K1858" s="5" t="str">
        <f>IF(AND(LEN(H1858)=0, LEN(I1858)=0), "", IF(AND(LEN(H1858)&gt;0, LEN(I1858)=0), "BLANCO", IFERROR(VLOOKUP(I1858, BasedatosM9!A:B, 2, FALSE), "BLANCO")))</f>
        <v/>
      </c>
    </row>
    <row r="1859" spans="1:11" ht="14.4">
      <c r="A1859" s="21"/>
      <c r="B1859" s="86"/>
      <c r="C1859" s="98"/>
      <c r="D1859" s="21"/>
      <c r="E1859" s="86"/>
      <c r="F1859" s="99"/>
      <c r="G1859" s="99"/>
      <c r="H1859" s="21"/>
      <c r="I1859" s="86"/>
      <c r="J1859" s="21"/>
      <c r="K1859" s="5" t="str">
        <f>IF(AND(LEN(H1859)=0, LEN(I1859)=0), "", IF(AND(LEN(H1859)&gt;0, LEN(I1859)=0), "BLANCO", IFERROR(VLOOKUP(I1859, BasedatosM9!A:B, 2, FALSE), "BLANCO")))</f>
        <v/>
      </c>
    </row>
    <row r="1860" spans="1:11" ht="14.4">
      <c r="A1860" s="21"/>
      <c r="B1860" s="86"/>
      <c r="C1860" s="98"/>
      <c r="D1860" s="21"/>
      <c r="E1860" s="86"/>
      <c r="F1860" s="99"/>
      <c r="G1860" s="99"/>
      <c r="H1860" s="21"/>
      <c r="I1860" s="86"/>
      <c r="J1860" s="21"/>
      <c r="K1860" s="5" t="str">
        <f>IF(AND(LEN(H1860)=0, LEN(I1860)=0), "", IF(AND(LEN(H1860)&gt;0, LEN(I1860)=0), "BLANCO", IFERROR(VLOOKUP(I1860, BasedatosM9!A:B, 2, FALSE), "BLANCO")))</f>
        <v/>
      </c>
    </row>
    <row r="1861" spans="1:11" ht="14.4">
      <c r="A1861" s="21"/>
      <c r="B1861" s="86"/>
      <c r="C1861" s="98"/>
      <c r="D1861" s="21"/>
      <c r="E1861" s="86"/>
      <c r="F1861" s="99"/>
      <c r="G1861" s="99"/>
      <c r="H1861" s="21"/>
      <c r="I1861" s="21"/>
      <c r="J1861" s="21"/>
      <c r="K1861" s="5" t="str">
        <f>IF(AND(LEN(H1861)=0, LEN(I1861)=0), "", IF(AND(LEN(H1861)&gt;0, LEN(I1861)=0), "BLANCO", IFERROR(VLOOKUP(I1861, BasedatosM9!A:B, 2, FALSE), "BLANCO")))</f>
        <v/>
      </c>
    </row>
    <row r="1862" spans="1:11" ht="14.4">
      <c r="A1862" s="21"/>
      <c r="B1862" s="86"/>
      <c r="C1862" s="98"/>
      <c r="D1862" s="21"/>
      <c r="E1862" s="86"/>
      <c r="F1862" s="99"/>
      <c r="G1862" s="99"/>
      <c r="H1862" s="21"/>
      <c r="I1862" s="86"/>
      <c r="J1862" s="21"/>
      <c r="K1862" s="5" t="str">
        <f>IF(AND(LEN(H1862)=0, LEN(I1862)=0), "", IF(AND(LEN(H1862)&gt;0, LEN(I1862)=0), "BLANCO", IFERROR(VLOOKUP(I1862, BasedatosM9!A:B, 2, FALSE), "BLANCO")))</f>
        <v/>
      </c>
    </row>
    <row r="1863" spans="1:11" ht="14.4">
      <c r="A1863" s="21"/>
      <c r="B1863" s="86"/>
      <c r="C1863" s="98"/>
      <c r="D1863" s="21"/>
      <c r="E1863" s="86"/>
      <c r="F1863" s="99"/>
      <c r="G1863" s="99"/>
      <c r="H1863" s="21"/>
      <c r="I1863" s="21"/>
      <c r="J1863" s="21"/>
      <c r="K1863" s="5" t="str">
        <f>IF(AND(LEN(H1863)=0, LEN(I1863)=0), "", IF(AND(LEN(H1863)&gt;0, LEN(I1863)=0), "BLANCO", IFERROR(VLOOKUP(I1863, BasedatosM9!A:B, 2, FALSE), "BLANCO")))</f>
        <v/>
      </c>
    </row>
    <row r="1864" spans="1:11" ht="14.4">
      <c r="A1864" s="21"/>
      <c r="B1864" s="86"/>
      <c r="C1864" s="98"/>
      <c r="D1864" s="21"/>
      <c r="E1864" s="86"/>
      <c r="F1864" s="99"/>
      <c r="G1864" s="99"/>
      <c r="H1864" s="21"/>
      <c r="I1864" s="21"/>
      <c r="J1864" s="21"/>
      <c r="K1864" s="5" t="str">
        <f>IF(AND(LEN(H1864)=0, LEN(I1864)=0), "", IF(AND(LEN(H1864)&gt;0, LEN(I1864)=0), "BLANCO", IFERROR(VLOOKUP(I1864, BasedatosM9!A:B, 2, FALSE), "BLANCO")))</f>
        <v/>
      </c>
    </row>
    <row r="1865" spans="1:11" ht="14.4">
      <c r="A1865" s="21"/>
      <c r="B1865" s="86"/>
      <c r="C1865" s="98"/>
      <c r="D1865" s="21"/>
      <c r="E1865" s="86"/>
      <c r="F1865" s="99"/>
      <c r="G1865" s="99"/>
      <c r="H1865" s="21"/>
      <c r="I1865" s="21"/>
      <c r="J1865" s="21"/>
      <c r="K1865" s="5" t="str">
        <f>IF(AND(LEN(H1865)=0, LEN(I1865)=0), "", IF(AND(LEN(H1865)&gt;0, LEN(I1865)=0), "BLANCO", IFERROR(VLOOKUP(I1865, BasedatosM9!A:B, 2, FALSE), "BLANCO")))</f>
        <v/>
      </c>
    </row>
    <row r="1866" spans="1:11" ht="14.4">
      <c r="A1866" s="21"/>
      <c r="B1866" s="86"/>
      <c r="C1866" s="98"/>
      <c r="D1866" s="21"/>
      <c r="E1866" s="86"/>
      <c r="F1866" s="99"/>
      <c r="G1866" s="99"/>
      <c r="H1866" s="21"/>
      <c r="I1866" s="86"/>
      <c r="J1866" s="21"/>
      <c r="K1866" s="5" t="str">
        <f>IF(AND(LEN(H1866)=0, LEN(I1866)=0), "", IF(AND(LEN(H1866)&gt;0, LEN(I1866)=0), "BLANCO", IFERROR(VLOOKUP(I1866, BasedatosM9!A:B, 2, FALSE), "BLANCO")))</f>
        <v/>
      </c>
    </row>
    <row r="1867" spans="1:11" ht="14.4">
      <c r="A1867" s="21"/>
      <c r="B1867" s="86"/>
      <c r="C1867" s="98"/>
      <c r="D1867" s="21"/>
      <c r="E1867" s="86"/>
      <c r="F1867" s="99"/>
      <c r="G1867" s="99"/>
      <c r="H1867" s="21"/>
      <c r="I1867" s="86"/>
      <c r="J1867" s="21"/>
      <c r="K1867" s="5" t="str">
        <f>IF(AND(LEN(H1867)=0, LEN(I1867)=0), "", IF(AND(LEN(H1867)&gt;0, LEN(I1867)=0), "BLANCO", IFERROR(VLOOKUP(I1867, BasedatosM9!A:B, 2, FALSE), "BLANCO")))</f>
        <v/>
      </c>
    </row>
    <row r="1868" spans="1:11" ht="14.4">
      <c r="A1868" s="21"/>
      <c r="B1868" s="86"/>
      <c r="C1868" s="98"/>
      <c r="D1868" s="21"/>
      <c r="E1868" s="86"/>
      <c r="F1868" s="99"/>
      <c r="G1868" s="99"/>
      <c r="H1868" s="21"/>
      <c r="I1868" s="21"/>
      <c r="J1868" s="21"/>
      <c r="K1868" s="5" t="str">
        <f>IF(AND(LEN(H1868)=0, LEN(I1868)=0), "", IF(AND(LEN(H1868)&gt;0, LEN(I1868)=0), "BLANCO", IFERROR(VLOOKUP(I1868, BasedatosM9!A:B, 2, FALSE), "BLANCO")))</f>
        <v/>
      </c>
    </row>
    <row r="1869" spans="1:11" ht="14.4">
      <c r="A1869" s="21"/>
      <c r="B1869" s="86"/>
      <c r="C1869" s="98"/>
      <c r="D1869" s="21"/>
      <c r="E1869" s="86"/>
      <c r="F1869" s="99"/>
      <c r="G1869" s="99"/>
      <c r="H1869" s="21"/>
      <c r="I1869" s="21"/>
      <c r="J1869" s="21"/>
      <c r="K1869" s="5" t="str">
        <f>IF(AND(LEN(H1869)=0, LEN(I1869)=0), "", IF(AND(LEN(H1869)&gt;0, LEN(I1869)=0), "BLANCO", IFERROR(VLOOKUP(I1869, BasedatosM9!A:B, 2, FALSE), "BLANCO")))</f>
        <v/>
      </c>
    </row>
    <row r="1870" spans="1:11" ht="14.4">
      <c r="A1870" s="21"/>
      <c r="B1870" s="86"/>
      <c r="C1870" s="98"/>
      <c r="D1870" s="21"/>
      <c r="E1870" s="86"/>
      <c r="F1870" s="99"/>
      <c r="G1870" s="99"/>
      <c r="H1870" s="21"/>
      <c r="I1870" s="86"/>
      <c r="J1870" s="21"/>
      <c r="K1870" s="5" t="str">
        <f>IF(AND(LEN(H1870)=0, LEN(I1870)=0), "", IF(AND(LEN(H1870)&gt;0, LEN(I1870)=0), "BLANCO", IFERROR(VLOOKUP(I1870, BasedatosM9!A:B, 2, FALSE), "BLANCO")))</f>
        <v/>
      </c>
    </row>
    <row r="1871" spans="1:11" ht="14.4">
      <c r="A1871" s="21"/>
      <c r="B1871" s="86"/>
      <c r="C1871" s="98"/>
      <c r="D1871" s="21"/>
      <c r="E1871" s="86"/>
      <c r="F1871" s="99"/>
      <c r="G1871" s="99"/>
      <c r="H1871" s="21"/>
      <c r="I1871" s="86"/>
      <c r="J1871" s="21"/>
      <c r="K1871" s="5" t="str">
        <f>IF(AND(LEN(H1871)=0, LEN(I1871)=0), "", IF(AND(LEN(H1871)&gt;0, LEN(I1871)=0), "BLANCO", IFERROR(VLOOKUP(I1871, BasedatosM9!A:B, 2, FALSE), "BLANCO")))</f>
        <v/>
      </c>
    </row>
    <row r="1872" spans="1:11" ht="14.4">
      <c r="A1872" s="21"/>
      <c r="B1872" s="86"/>
      <c r="C1872" s="98"/>
      <c r="D1872" s="21"/>
      <c r="E1872" s="86"/>
      <c r="F1872" s="99"/>
      <c r="G1872" s="99"/>
      <c r="H1872" s="21"/>
      <c r="I1872" s="86"/>
      <c r="J1872" s="21"/>
      <c r="K1872" s="5" t="str">
        <f>IF(AND(LEN(H1872)=0, LEN(I1872)=0), "", IF(AND(LEN(H1872)&gt;0, LEN(I1872)=0), "BLANCO", IFERROR(VLOOKUP(I1872, BasedatosM9!A:B, 2, FALSE), "BLANCO")))</f>
        <v/>
      </c>
    </row>
    <row r="1873" spans="1:11" ht="14.4">
      <c r="A1873" s="21"/>
      <c r="B1873" s="86"/>
      <c r="C1873" s="98"/>
      <c r="D1873" s="21"/>
      <c r="E1873" s="86"/>
      <c r="F1873" s="99"/>
      <c r="G1873" s="99"/>
      <c r="H1873" s="21"/>
      <c r="I1873" s="21"/>
      <c r="J1873" s="21"/>
      <c r="K1873" s="5" t="str">
        <f>IF(AND(LEN(H1873)=0, LEN(I1873)=0), "", IF(AND(LEN(H1873)&gt;0, LEN(I1873)=0), "BLANCO", IFERROR(VLOOKUP(I1873, BasedatosM9!A:B, 2, FALSE), "BLANCO")))</f>
        <v/>
      </c>
    </row>
    <row r="1874" spans="1:11" ht="14.4">
      <c r="A1874" s="21"/>
      <c r="B1874" s="86"/>
      <c r="C1874" s="98"/>
      <c r="D1874" s="21"/>
      <c r="E1874" s="86"/>
      <c r="F1874" s="99"/>
      <c r="G1874" s="99"/>
      <c r="H1874" s="21"/>
      <c r="I1874" s="21"/>
      <c r="J1874" s="21"/>
      <c r="K1874" s="5" t="str">
        <f>IF(AND(LEN(H1874)=0, LEN(I1874)=0), "", IF(AND(LEN(H1874)&gt;0, LEN(I1874)=0), "BLANCO", IFERROR(VLOOKUP(I1874, BasedatosM9!A:B, 2, FALSE), "BLANCO")))</f>
        <v/>
      </c>
    </row>
    <row r="1875" spans="1:11" ht="14.4">
      <c r="A1875" s="21"/>
      <c r="B1875" s="86"/>
      <c r="C1875" s="98"/>
      <c r="D1875" s="21"/>
      <c r="E1875" s="86"/>
      <c r="F1875" s="99"/>
      <c r="G1875" s="99"/>
      <c r="H1875" s="21"/>
      <c r="I1875" s="86"/>
      <c r="J1875" s="21"/>
      <c r="K1875" s="5" t="str">
        <f>IF(AND(LEN(H1875)=0, LEN(I1875)=0), "", IF(AND(LEN(H1875)&gt;0, LEN(I1875)=0), "BLANCO", IFERROR(VLOOKUP(I1875, BasedatosM9!A:B, 2, FALSE), "BLANCO")))</f>
        <v/>
      </c>
    </row>
    <row r="1876" spans="1:11" ht="14.4">
      <c r="A1876" s="21"/>
      <c r="B1876" s="86"/>
      <c r="C1876" s="98"/>
      <c r="D1876" s="21"/>
      <c r="E1876" s="86"/>
      <c r="F1876" s="99"/>
      <c r="G1876" s="99"/>
      <c r="H1876" s="21"/>
      <c r="I1876" s="86"/>
      <c r="J1876" s="21"/>
      <c r="K1876" s="5" t="str">
        <f>IF(AND(LEN(H1876)=0, LEN(I1876)=0), "", IF(AND(LEN(H1876)&gt;0, LEN(I1876)=0), "BLANCO", IFERROR(VLOOKUP(I1876, BasedatosM9!A:B, 2, FALSE), "BLANCO")))</f>
        <v/>
      </c>
    </row>
    <row r="1877" spans="1:11" ht="14.4">
      <c r="A1877" s="21"/>
      <c r="B1877" s="86"/>
      <c r="C1877" s="98"/>
      <c r="D1877" s="21"/>
      <c r="E1877" s="86"/>
      <c r="F1877" s="99"/>
      <c r="G1877" s="99"/>
      <c r="H1877" s="21"/>
      <c r="I1877" s="86"/>
      <c r="J1877" s="21"/>
      <c r="K1877" s="5" t="str">
        <f>IF(AND(LEN(H1877)=0, LEN(I1877)=0), "", IF(AND(LEN(H1877)&gt;0, LEN(I1877)=0), "BLANCO", IFERROR(VLOOKUP(I1877, BasedatosM9!A:B, 2, FALSE), "BLANCO")))</f>
        <v/>
      </c>
    </row>
    <row r="1878" spans="1:11" ht="14.4">
      <c r="A1878" s="21"/>
      <c r="B1878" s="86"/>
      <c r="C1878" s="98"/>
      <c r="D1878" s="21"/>
      <c r="E1878" s="86"/>
      <c r="F1878" s="99"/>
      <c r="G1878" s="99"/>
      <c r="H1878" s="21"/>
      <c r="I1878" s="21"/>
      <c r="J1878" s="21"/>
      <c r="K1878" s="5" t="str">
        <f>IF(AND(LEN(H1878)=0, LEN(I1878)=0), "", IF(AND(LEN(H1878)&gt;0, LEN(I1878)=0), "BLANCO", IFERROR(VLOOKUP(I1878, BasedatosM9!A:B, 2, FALSE), "BLANCO")))</f>
        <v/>
      </c>
    </row>
    <row r="1879" spans="1:11" ht="14.4">
      <c r="A1879" s="21"/>
      <c r="B1879" s="86"/>
      <c r="C1879" s="98"/>
      <c r="D1879" s="21"/>
      <c r="E1879" s="86"/>
      <c r="F1879" s="99"/>
      <c r="G1879" s="99"/>
      <c r="H1879" s="21"/>
      <c r="I1879" s="86"/>
      <c r="J1879" s="21"/>
      <c r="K1879" s="5" t="str">
        <f>IF(AND(LEN(H1879)=0, LEN(I1879)=0), "", IF(AND(LEN(H1879)&gt;0, LEN(I1879)=0), "BLANCO", IFERROR(VLOOKUP(I1879, BasedatosM9!A:B, 2, FALSE), "BLANCO")))</f>
        <v/>
      </c>
    </row>
    <row r="1880" spans="1:11" ht="14.4">
      <c r="A1880" s="21"/>
      <c r="B1880" s="86"/>
      <c r="C1880" s="98"/>
      <c r="D1880" s="21"/>
      <c r="E1880" s="86"/>
      <c r="F1880" s="99"/>
      <c r="G1880" s="99"/>
      <c r="H1880" s="21"/>
      <c r="I1880" s="21"/>
      <c r="J1880" s="21"/>
      <c r="K1880" s="5" t="str">
        <f>IF(AND(LEN(H1880)=0, LEN(I1880)=0), "", IF(AND(LEN(H1880)&gt;0, LEN(I1880)=0), "BLANCO", IFERROR(VLOOKUP(I1880, BasedatosM9!A:B, 2, FALSE), "BLANCO")))</f>
        <v/>
      </c>
    </row>
    <row r="1881" spans="1:11" ht="14.4">
      <c r="A1881" s="21"/>
      <c r="B1881" s="86"/>
      <c r="C1881" s="98"/>
      <c r="D1881" s="21"/>
      <c r="E1881" s="86"/>
      <c r="F1881" s="99"/>
      <c r="G1881" s="99"/>
      <c r="H1881" s="21"/>
      <c r="I1881" s="21"/>
      <c r="J1881" s="21"/>
      <c r="K1881" s="5" t="str">
        <f>IF(AND(LEN(H1881)=0, LEN(I1881)=0), "", IF(AND(LEN(H1881)&gt;0, LEN(I1881)=0), "BLANCO", IFERROR(VLOOKUP(I1881, BasedatosM9!A:B, 2, FALSE), "BLANCO")))</f>
        <v/>
      </c>
    </row>
    <row r="1882" spans="1:11" ht="14.4">
      <c r="A1882" s="21"/>
      <c r="B1882" s="86"/>
      <c r="C1882" s="98"/>
      <c r="D1882" s="21"/>
      <c r="E1882" s="86"/>
      <c r="F1882" s="99"/>
      <c r="G1882" s="99"/>
      <c r="H1882" s="21"/>
      <c r="I1882" s="21"/>
      <c r="J1882" s="21"/>
      <c r="K1882" s="5" t="str">
        <f>IF(AND(LEN(H1882)=0, LEN(I1882)=0), "", IF(AND(LEN(H1882)&gt;0, LEN(I1882)=0), "BLANCO", IFERROR(VLOOKUP(I1882, BasedatosM9!A:B, 2, FALSE), "BLANCO")))</f>
        <v/>
      </c>
    </row>
    <row r="1883" spans="1:11" ht="14.4">
      <c r="A1883" s="21"/>
      <c r="B1883" s="86"/>
      <c r="C1883" s="98"/>
      <c r="D1883" s="21"/>
      <c r="E1883" s="86"/>
      <c r="F1883" s="99"/>
      <c r="G1883" s="99"/>
      <c r="H1883" s="21"/>
      <c r="I1883" s="86"/>
      <c r="J1883" s="21"/>
      <c r="K1883" s="5" t="str">
        <f>IF(AND(LEN(H1883)=0, LEN(I1883)=0), "", IF(AND(LEN(H1883)&gt;0, LEN(I1883)=0), "BLANCO", IFERROR(VLOOKUP(I1883, BasedatosM9!A:B, 2, FALSE), "BLANCO")))</f>
        <v/>
      </c>
    </row>
    <row r="1884" spans="1:11" ht="14.4">
      <c r="A1884" s="21"/>
      <c r="B1884" s="86"/>
      <c r="C1884" s="98"/>
      <c r="D1884" s="21"/>
      <c r="E1884" s="86"/>
      <c r="F1884" s="99"/>
      <c r="G1884" s="99"/>
      <c r="H1884" s="21"/>
      <c r="I1884" s="86"/>
      <c r="J1884" s="21"/>
      <c r="K1884" s="5" t="str">
        <f>IF(AND(LEN(H1884)=0, LEN(I1884)=0), "", IF(AND(LEN(H1884)&gt;0, LEN(I1884)=0), "BLANCO", IFERROR(VLOOKUP(I1884, BasedatosM9!A:B, 2, FALSE), "BLANCO")))</f>
        <v/>
      </c>
    </row>
    <row r="1885" spans="1:11" ht="14.4">
      <c r="A1885" s="21"/>
      <c r="B1885" s="86"/>
      <c r="C1885" s="98"/>
      <c r="D1885" s="21"/>
      <c r="E1885" s="86"/>
      <c r="F1885" s="99"/>
      <c r="G1885" s="99"/>
      <c r="H1885" s="21"/>
      <c r="I1885" s="86"/>
      <c r="J1885" s="21"/>
      <c r="K1885" s="5" t="str">
        <f>IF(AND(LEN(H1885)=0, LEN(I1885)=0), "", IF(AND(LEN(H1885)&gt;0, LEN(I1885)=0), "BLANCO", IFERROR(VLOOKUP(I1885, BasedatosM9!A:B, 2, FALSE), "BLANCO")))</f>
        <v/>
      </c>
    </row>
    <row r="1886" spans="1:11" ht="14.4">
      <c r="A1886" s="21"/>
      <c r="B1886" s="86"/>
      <c r="C1886" s="98"/>
      <c r="D1886" s="21"/>
      <c r="E1886" s="86"/>
      <c r="F1886" s="99"/>
      <c r="G1886" s="99"/>
      <c r="H1886" s="21"/>
      <c r="I1886" s="86"/>
      <c r="J1886" s="21"/>
      <c r="K1886" s="5" t="str">
        <f>IF(AND(LEN(H1886)=0, LEN(I1886)=0), "", IF(AND(LEN(H1886)&gt;0, LEN(I1886)=0), "BLANCO", IFERROR(VLOOKUP(I1886, BasedatosM9!A:B, 2, FALSE), "BLANCO")))</f>
        <v/>
      </c>
    </row>
    <row r="1887" spans="1:11" ht="14.4">
      <c r="A1887" s="21"/>
      <c r="B1887" s="86"/>
      <c r="C1887" s="98"/>
      <c r="D1887" s="21"/>
      <c r="E1887" s="86"/>
      <c r="F1887" s="99"/>
      <c r="G1887" s="99"/>
      <c r="H1887" s="21"/>
      <c r="I1887" s="86"/>
      <c r="J1887" s="21"/>
      <c r="K1887" s="5" t="str">
        <f>IF(AND(LEN(H1887)=0, LEN(I1887)=0), "", IF(AND(LEN(H1887)&gt;0, LEN(I1887)=0), "BLANCO", IFERROR(VLOOKUP(I1887, BasedatosM9!A:B, 2, FALSE), "BLANCO")))</f>
        <v/>
      </c>
    </row>
    <row r="1888" spans="1:11" ht="14.4">
      <c r="A1888" s="21"/>
      <c r="B1888" s="86"/>
      <c r="C1888" s="98"/>
      <c r="D1888" s="21"/>
      <c r="E1888" s="86"/>
      <c r="F1888" s="99"/>
      <c r="G1888" s="99"/>
      <c r="H1888" s="21"/>
      <c r="I1888" s="21"/>
      <c r="J1888" s="21"/>
      <c r="K1888" s="5" t="str">
        <f>IF(AND(LEN(H1888)=0, LEN(I1888)=0), "", IF(AND(LEN(H1888)&gt;0, LEN(I1888)=0), "BLANCO", IFERROR(VLOOKUP(I1888, BasedatosM9!A:B, 2, FALSE), "BLANCO")))</f>
        <v/>
      </c>
    </row>
    <row r="1889" spans="1:11" ht="14.4">
      <c r="A1889" s="21"/>
      <c r="B1889" s="86"/>
      <c r="C1889" s="98"/>
      <c r="D1889" s="21"/>
      <c r="E1889" s="86"/>
      <c r="F1889" s="99"/>
      <c r="G1889" s="99"/>
      <c r="H1889" s="21"/>
      <c r="I1889" s="86"/>
      <c r="J1889" s="21"/>
      <c r="K1889" s="5" t="str">
        <f>IF(AND(LEN(H1889)=0, LEN(I1889)=0), "", IF(AND(LEN(H1889)&gt;0, LEN(I1889)=0), "BLANCO", IFERROR(VLOOKUP(I1889, BasedatosM9!A:B, 2, FALSE), "BLANCO")))</f>
        <v/>
      </c>
    </row>
    <row r="1890" spans="1:11" ht="14.4">
      <c r="A1890" s="21"/>
      <c r="B1890" s="86"/>
      <c r="C1890" s="98"/>
      <c r="D1890" s="21"/>
      <c r="E1890" s="86"/>
      <c r="F1890" s="99"/>
      <c r="G1890" s="99"/>
      <c r="H1890" s="21"/>
      <c r="I1890" s="86"/>
      <c r="J1890" s="21"/>
      <c r="K1890" s="5" t="str">
        <f>IF(AND(LEN(H1890)=0, LEN(I1890)=0), "", IF(AND(LEN(H1890)&gt;0, LEN(I1890)=0), "BLANCO", IFERROR(VLOOKUP(I1890, BasedatosM9!A:B, 2, FALSE), "BLANCO")))</f>
        <v/>
      </c>
    </row>
    <row r="1891" spans="1:11" ht="14.4">
      <c r="A1891" s="21"/>
      <c r="B1891" s="86"/>
      <c r="C1891" s="98"/>
      <c r="D1891" s="21"/>
      <c r="E1891" s="86"/>
      <c r="F1891" s="99"/>
      <c r="G1891" s="99"/>
      <c r="H1891" s="21"/>
      <c r="I1891" s="86"/>
      <c r="J1891" s="21"/>
      <c r="K1891" s="5" t="str">
        <f>IF(AND(LEN(H1891)=0, LEN(I1891)=0), "", IF(AND(LEN(H1891)&gt;0, LEN(I1891)=0), "BLANCO", IFERROR(VLOOKUP(I1891, BasedatosM9!A:B, 2, FALSE), "BLANCO")))</f>
        <v/>
      </c>
    </row>
    <row r="1892" spans="1:11" ht="14.4">
      <c r="A1892" s="21"/>
      <c r="B1892" s="86"/>
      <c r="C1892" s="98"/>
      <c r="D1892" s="21"/>
      <c r="E1892" s="86"/>
      <c r="F1892" s="99"/>
      <c r="G1892" s="99"/>
      <c r="H1892" s="21"/>
      <c r="I1892" s="21"/>
      <c r="J1892" s="21"/>
      <c r="K1892" s="5" t="str">
        <f>IF(AND(LEN(H1892)=0, LEN(I1892)=0), "", IF(AND(LEN(H1892)&gt;0, LEN(I1892)=0), "BLANCO", IFERROR(VLOOKUP(I1892, BasedatosM9!A:B, 2, FALSE), "BLANCO")))</f>
        <v/>
      </c>
    </row>
    <row r="1893" spans="1:11" ht="14.4">
      <c r="A1893" s="21"/>
      <c r="B1893" s="86"/>
      <c r="C1893" s="98"/>
      <c r="D1893" s="21"/>
      <c r="E1893" s="86"/>
      <c r="F1893" s="99"/>
      <c r="G1893" s="99"/>
      <c r="H1893" s="21"/>
      <c r="I1893" s="21"/>
      <c r="J1893" s="21"/>
      <c r="K1893" s="5" t="str">
        <f>IF(AND(LEN(H1893)=0, LEN(I1893)=0), "", IF(AND(LEN(H1893)&gt;0, LEN(I1893)=0), "BLANCO", IFERROR(VLOOKUP(I1893, BasedatosM9!A:B, 2, FALSE), "BLANCO")))</f>
        <v/>
      </c>
    </row>
    <row r="1894" spans="1:11" ht="14.4">
      <c r="A1894" s="21"/>
      <c r="B1894" s="86"/>
      <c r="C1894" s="98"/>
      <c r="D1894" s="21"/>
      <c r="E1894" s="86"/>
      <c r="F1894" s="99"/>
      <c r="G1894" s="99"/>
      <c r="H1894" s="21"/>
      <c r="I1894" s="21"/>
      <c r="J1894" s="21"/>
      <c r="K1894" s="5" t="str">
        <f>IF(AND(LEN(H1894)=0, LEN(I1894)=0), "", IF(AND(LEN(H1894)&gt;0, LEN(I1894)=0), "BLANCO", IFERROR(VLOOKUP(I1894, BasedatosM9!A:B, 2, FALSE), "BLANCO")))</f>
        <v/>
      </c>
    </row>
    <row r="1895" spans="1:11" ht="14.4">
      <c r="A1895" s="21"/>
      <c r="B1895" s="86"/>
      <c r="C1895" s="98"/>
      <c r="D1895" s="21"/>
      <c r="E1895" s="86"/>
      <c r="F1895" s="99"/>
      <c r="G1895" s="99"/>
      <c r="H1895" s="21"/>
      <c r="I1895" s="86"/>
      <c r="J1895" s="21"/>
      <c r="K1895" s="5" t="str">
        <f>IF(AND(LEN(H1895)=0, LEN(I1895)=0), "", IF(AND(LEN(H1895)&gt;0, LEN(I1895)=0), "BLANCO", IFERROR(VLOOKUP(I1895, BasedatosM9!A:B, 2, FALSE), "BLANCO")))</f>
        <v/>
      </c>
    </row>
    <row r="1896" spans="1:11" ht="14.4">
      <c r="A1896" s="21"/>
      <c r="B1896" s="86"/>
      <c r="C1896" s="98"/>
      <c r="D1896" s="21"/>
      <c r="E1896" s="86"/>
      <c r="F1896" s="99"/>
      <c r="G1896" s="99"/>
      <c r="H1896" s="21"/>
      <c r="I1896" s="86"/>
      <c r="J1896" s="21"/>
      <c r="K1896" s="5" t="str">
        <f>IF(AND(LEN(H1896)=0, LEN(I1896)=0), "", IF(AND(LEN(H1896)&gt;0, LEN(I1896)=0), "BLANCO", IFERROR(VLOOKUP(I1896, BasedatosM9!A:B, 2, FALSE), "BLANCO")))</f>
        <v/>
      </c>
    </row>
    <row r="1897" spans="1:11" ht="14.4">
      <c r="A1897" s="21"/>
      <c r="B1897" s="86"/>
      <c r="C1897" s="98"/>
      <c r="D1897" s="21"/>
      <c r="E1897" s="86"/>
      <c r="F1897" s="99"/>
      <c r="G1897" s="99"/>
      <c r="H1897" s="21"/>
      <c r="I1897" s="86"/>
      <c r="J1897" s="21"/>
      <c r="K1897" s="5" t="str">
        <f>IF(AND(LEN(H1897)=0, LEN(I1897)=0), "", IF(AND(LEN(H1897)&gt;0, LEN(I1897)=0), "BLANCO", IFERROR(VLOOKUP(I1897, BasedatosM9!A:B, 2, FALSE), "BLANCO")))</f>
        <v/>
      </c>
    </row>
    <row r="1898" spans="1:11" ht="14.4">
      <c r="A1898" s="21"/>
      <c r="B1898" s="86"/>
      <c r="C1898" s="98"/>
      <c r="D1898" s="21"/>
      <c r="E1898" s="86"/>
      <c r="F1898" s="99"/>
      <c r="G1898" s="99"/>
      <c r="H1898" s="21"/>
      <c r="I1898" s="86"/>
      <c r="J1898" s="21"/>
      <c r="K1898" s="5" t="str">
        <f>IF(AND(LEN(H1898)=0, LEN(I1898)=0), "", IF(AND(LEN(H1898)&gt;0, LEN(I1898)=0), "BLANCO", IFERROR(VLOOKUP(I1898, BasedatosM9!A:B, 2, FALSE), "BLANCO")))</f>
        <v/>
      </c>
    </row>
    <row r="1899" spans="1:11" ht="14.4">
      <c r="A1899" s="21"/>
      <c r="B1899" s="86"/>
      <c r="C1899" s="98"/>
      <c r="D1899" s="21"/>
      <c r="E1899" s="86"/>
      <c r="F1899" s="99"/>
      <c r="G1899" s="99"/>
      <c r="H1899" s="21"/>
      <c r="I1899" s="21"/>
      <c r="J1899" s="21"/>
      <c r="K1899" s="5" t="str">
        <f>IF(AND(LEN(H1899)=0, LEN(I1899)=0), "", IF(AND(LEN(H1899)&gt;0, LEN(I1899)=0), "BLANCO", IFERROR(VLOOKUP(I1899, BasedatosM9!A:B, 2, FALSE), "BLANCO")))</f>
        <v/>
      </c>
    </row>
    <row r="1900" spans="1:11" ht="14.4">
      <c r="A1900" s="21"/>
      <c r="B1900" s="86"/>
      <c r="C1900" s="98"/>
      <c r="D1900" s="21"/>
      <c r="E1900" s="86"/>
      <c r="F1900" s="99"/>
      <c r="G1900" s="99"/>
      <c r="H1900" s="21"/>
      <c r="I1900" s="21"/>
      <c r="J1900" s="21"/>
      <c r="K1900" s="5" t="str">
        <f>IF(AND(LEN(H1900)=0, LEN(I1900)=0), "", IF(AND(LEN(H1900)&gt;0, LEN(I1900)=0), "BLANCO", IFERROR(VLOOKUP(I1900, BasedatosM9!A:B, 2, FALSE), "BLANCO")))</f>
        <v/>
      </c>
    </row>
    <row r="1901" spans="1:11" ht="14.4">
      <c r="A1901" s="21"/>
      <c r="B1901" s="86"/>
      <c r="C1901" s="98"/>
      <c r="D1901" s="21"/>
      <c r="E1901" s="86"/>
      <c r="F1901" s="99"/>
      <c r="G1901" s="99"/>
      <c r="H1901" s="21"/>
      <c r="I1901" s="86"/>
      <c r="J1901" s="21"/>
      <c r="K1901" s="5" t="str">
        <f>IF(AND(LEN(H1901)=0, LEN(I1901)=0), "", IF(AND(LEN(H1901)&gt;0, LEN(I1901)=0), "BLANCO", IFERROR(VLOOKUP(I1901, BasedatosM9!A:B, 2, FALSE), "BLANCO")))</f>
        <v/>
      </c>
    </row>
    <row r="1902" spans="1:11" ht="14.4">
      <c r="A1902" s="21"/>
      <c r="B1902" s="86"/>
      <c r="C1902" s="98"/>
      <c r="D1902" s="21"/>
      <c r="E1902" s="86"/>
      <c r="F1902" s="99"/>
      <c r="G1902" s="99"/>
      <c r="H1902" s="21"/>
      <c r="I1902" s="86"/>
      <c r="J1902" s="21"/>
      <c r="K1902" s="5" t="str">
        <f>IF(AND(LEN(H1902)=0, LEN(I1902)=0), "", IF(AND(LEN(H1902)&gt;0, LEN(I1902)=0), "BLANCO", IFERROR(VLOOKUP(I1902, BasedatosM9!A:B, 2, FALSE), "BLANCO")))</f>
        <v/>
      </c>
    </row>
    <row r="1903" spans="1:11" ht="14.4">
      <c r="A1903" s="21"/>
      <c r="B1903" s="86"/>
      <c r="C1903" s="98"/>
      <c r="D1903" s="21"/>
      <c r="E1903" s="86"/>
      <c r="F1903" s="99"/>
      <c r="G1903" s="99"/>
      <c r="H1903" s="21"/>
      <c r="I1903" s="86"/>
      <c r="J1903" s="21"/>
      <c r="K1903" s="5" t="str">
        <f>IF(AND(LEN(H1903)=0, LEN(I1903)=0), "", IF(AND(LEN(H1903)&gt;0, LEN(I1903)=0), "BLANCO", IFERROR(VLOOKUP(I1903, BasedatosM9!A:B, 2, FALSE), "BLANCO")))</f>
        <v/>
      </c>
    </row>
    <row r="1904" spans="1:11" ht="14.4">
      <c r="A1904" s="21"/>
      <c r="B1904" s="86"/>
      <c r="C1904" s="98"/>
      <c r="D1904" s="21"/>
      <c r="E1904" s="86"/>
      <c r="F1904" s="99"/>
      <c r="G1904" s="99"/>
      <c r="H1904" s="21"/>
      <c r="I1904" s="86"/>
      <c r="J1904" s="21"/>
      <c r="K1904" s="5" t="str">
        <f>IF(AND(LEN(H1904)=0, LEN(I1904)=0), "", IF(AND(LEN(H1904)&gt;0, LEN(I1904)=0), "BLANCO", IFERROR(VLOOKUP(I1904, BasedatosM9!A:B, 2, FALSE), "BLANCO")))</f>
        <v/>
      </c>
    </row>
    <row r="1905" spans="1:11" ht="14.4">
      <c r="A1905" s="21"/>
      <c r="B1905" s="86"/>
      <c r="C1905" s="98"/>
      <c r="D1905" s="21"/>
      <c r="E1905" s="86"/>
      <c r="F1905" s="99"/>
      <c r="G1905" s="99"/>
      <c r="H1905" s="21"/>
      <c r="I1905" s="21"/>
      <c r="J1905" s="21"/>
      <c r="K1905" s="5" t="str">
        <f>IF(AND(LEN(H1905)=0, LEN(I1905)=0), "", IF(AND(LEN(H1905)&gt;0, LEN(I1905)=0), "BLANCO", IFERROR(VLOOKUP(I1905, BasedatosM9!A:B, 2, FALSE), "BLANCO")))</f>
        <v/>
      </c>
    </row>
    <row r="1906" spans="1:11" ht="14.4">
      <c r="A1906" s="21"/>
      <c r="B1906" s="86"/>
      <c r="C1906" s="98"/>
      <c r="D1906" s="21"/>
      <c r="E1906" s="86"/>
      <c r="F1906" s="99"/>
      <c r="G1906" s="99"/>
      <c r="H1906" s="21"/>
      <c r="I1906" s="86"/>
      <c r="J1906" s="21"/>
      <c r="K1906" s="5" t="str">
        <f>IF(AND(LEN(H1906)=0, LEN(I1906)=0), "", IF(AND(LEN(H1906)&gt;0, LEN(I1906)=0), "BLANCO", IFERROR(VLOOKUP(I1906, BasedatosM9!A:B, 2, FALSE), "BLANCO")))</f>
        <v/>
      </c>
    </row>
    <row r="1907" spans="1:11" ht="14.4">
      <c r="A1907" s="21"/>
      <c r="B1907" s="86"/>
      <c r="C1907" s="98"/>
      <c r="D1907" s="21"/>
      <c r="E1907" s="86"/>
      <c r="F1907" s="99"/>
      <c r="G1907" s="99"/>
      <c r="H1907" s="21"/>
      <c r="I1907" s="21"/>
      <c r="J1907" s="21"/>
      <c r="K1907" s="5" t="str">
        <f>IF(AND(LEN(H1907)=0, LEN(I1907)=0), "", IF(AND(LEN(H1907)&gt;0, LEN(I1907)=0), "BLANCO", IFERROR(VLOOKUP(I1907, BasedatosM9!A:B, 2, FALSE), "BLANCO")))</f>
        <v/>
      </c>
    </row>
    <row r="1908" spans="1:11" ht="14.4">
      <c r="A1908" s="21"/>
      <c r="B1908" s="86"/>
      <c r="C1908" s="98"/>
      <c r="D1908" s="21"/>
      <c r="E1908" s="86"/>
      <c r="F1908" s="99"/>
      <c r="G1908" s="99"/>
      <c r="H1908" s="21"/>
      <c r="I1908" s="21"/>
      <c r="J1908" s="21"/>
      <c r="K1908" s="5" t="str">
        <f>IF(AND(LEN(H1908)=0, LEN(I1908)=0), "", IF(AND(LEN(H1908)&gt;0, LEN(I1908)=0), "BLANCO", IFERROR(VLOOKUP(I1908, BasedatosM9!A:B, 2, FALSE), "BLANCO")))</f>
        <v/>
      </c>
    </row>
    <row r="1909" spans="1:11" ht="14.4">
      <c r="A1909" s="21"/>
      <c r="B1909" s="86"/>
      <c r="C1909" s="98"/>
      <c r="D1909" s="21"/>
      <c r="E1909" s="86"/>
      <c r="F1909" s="99"/>
      <c r="G1909" s="99"/>
      <c r="H1909" s="21"/>
      <c r="I1909" s="21"/>
      <c r="J1909" s="21"/>
      <c r="K1909" s="5" t="str">
        <f>IF(AND(LEN(H1909)=0, LEN(I1909)=0), "", IF(AND(LEN(H1909)&gt;0, LEN(I1909)=0), "BLANCO", IFERROR(VLOOKUP(I1909, BasedatosM9!A:B, 2, FALSE), "BLANCO")))</f>
        <v/>
      </c>
    </row>
    <row r="1910" spans="1:11" ht="14.4">
      <c r="A1910" s="21"/>
      <c r="B1910" s="86"/>
      <c r="C1910" s="98"/>
      <c r="D1910" s="21"/>
      <c r="E1910" s="86"/>
      <c r="F1910" s="99"/>
      <c r="G1910" s="99"/>
      <c r="H1910" s="21"/>
      <c r="I1910" s="86"/>
      <c r="J1910" s="21"/>
      <c r="K1910" s="5" t="str">
        <f>IF(AND(LEN(H1910)=0, LEN(I1910)=0), "", IF(AND(LEN(H1910)&gt;0, LEN(I1910)=0), "BLANCO", IFERROR(VLOOKUP(I1910, BasedatosM9!A:B, 2, FALSE), "BLANCO")))</f>
        <v/>
      </c>
    </row>
    <row r="1911" spans="1:11" ht="14.4">
      <c r="A1911" s="21"/>
      <c r="B1911" s="86"/>
      <c r="C1911" s="98"/>
      <c r="D1911" s="21"/>
      <c r="E1911" s="86"/>
      <c r="F1911" s="99"/>
      <c r="G1911" s="99"/>
      <c r="H1911" s="21"/>
      <c r="I1911" s="21"/>
      <c r="J1911" s="21"/>
      <c r="K1911" s="5" t="str">
        <f>IF(AND(LEN(H1911)=0, LEN(I1911)=0), "", IF(AND(LEN(H1911)&gt;0, LEN(I1911)=0), "BLANCO", IFERROR(VLOOKUP(I1911, BasedatosM9!A:B, 2, FALSE), "BLANCO")))</f>
        <v/>
      </c>
    </row>
    <row r="1912" spans="1:11" ht="14.4">
      <c r="A1912" s="21"/>
      <c r="B1912" s="86"/>
      <c r="C1912" s="98"/>
      <c r="D1912" s="21"/>
      <c r="E1912" s="86"/>
      <c r="F1912" s="99"/>
      <c r="G1912" s="99"/>
      <c r="H1912" s="21"/>
      <c r="I1912" s="21"/>
      <c r="J1912" s="21"/>
      <c r="K1912" s="5" t="str">
        <f>IF(AND(LEN(H1912)=0, LEN(I1912)=0), "", IF(AND(LEN(H1912)&gt;0, LEN(I1912)=0), "BLANCO", IFERROR(VLOOKUP(I1912, BasedatosM9!A:B, 2, FALSE), "BLANCO")))</f>
        <v/>
      </c>
    </row>
    <row r="1913" spans="1:11" ht="14.4">
      <c r="A1913" s="21"/>
      <c r="B1913" s="86"/>
      <c r="C1913" s="98"/>
      <c r="D1913" s="21"/>
      <c r="E1913" s="86"/>
      <c r="F1913" s="99"/>
      <c r="G1913" s="99"/>
      <c r="H1913" s="21"/>
      <c r="I1913" s="86"/>
      <c r="J1913" s="21"/>
      <c r="K1913" s="5" t="str">
        <f>IF(AND(LEN(H1913)=0, LEN(I1913)=0), "", IF(AND(LEN(H1913)&gt;0, LEN(I1913)=0), "BLANCO", IFERROR(VLOOKUP(I1913, BasedatosM9!A:B, 2, FALSE), "BLANCO")))</f>
        <v/>
      </c>
    </row>
    <row r="1914" spans="1:11" ht="14.4">
      <c r="A1914" s="21"/>
      <c r="B1914" s="86"/>
      <c r="C1914" s="98"/>
      <c r="D1914" s="21"/>
      <c r="E1914" s="86"/>
      <c r="F1914" s="99"/>
      <c r="G1914" s="99"/>
      <c r="H1914" s="21"/>
      <c r="I1914" s="21"/>
      <c r="J1914" s="21"/>
      <c r="K1914" s="5" t="str">
        <f>IF(AND(LEN(H1914)=0, LEN(I1914)=0), "", IF(AND(LEN(H1914)&gt;0, LEN(I1914)=0), "BLANCO", IFERROR(VLOOKUP(I1914, BasedatosM9!A:B, 2, FALSE), "BLANCO")))</f>
        <v/>
      </c>
    </row>
    <row r="1915" spans="1:11" ht="14.4">
      <c r="A1915" s="21"/>
      <c r="B1915" s="86"/>
      <c r="C1915" s="98"/>
      <c r="D1915" s="21"/>
      <c r="E1915" s="86"/>
      <c r="F1915" s="99"/>
      <c r="G1915" s="99"/>
      <c r="H1915" s="21"/>
      <c r="I1915" s="21"/>
      <c r="J1915" s="21"/>
      <c r="K1915" s="5" t="str">
        <f>IF(AND(LEN(H1915)=0, LEN(I1915)=0), "", IF(AND(LEN(H1915)&gt;0, LEN(I1915)=0), "BLANCO", IFERROR(VLOOKUP(I1915, BasedatosM9!A:B, 2, FALSE), "BLANCO")))</f>
        <v/>
      </c>
    </row>
    <row r="1916" spans="1:11" ht="14.4">
      <c r="A1916" s="21"/>
      <c r="B1916" s="86"/>
      <c r="C1916" s="98"/>
      <c r="D1916" s="21"/>
      <c r="E1916" s="86"/>
      <c r="F1916" s="99"/>
      <c r="G1916" s="99"/>
      <c r="H1916" s="21"/>
      <c r="I1916" s="86"/>
      <c r="J1916" s="21"/>
      <c r="K1916" s="5" t="str">
        <f>IF(AND(LEN(H1916)=0, LEN(I1916)=0), "", IF(AND(LEN(H1916)&gt;0, LEN(I1916)=0), "BLANCO", IFERROR(VLOOKUP(I1916, BasedatosM9!A:B, 2, FALSE), "BLANCO")))</f>
        <v/>
      </c>
    </row>
    <row r="1917" spans="1:11" ht="14.4">
      <c r="A1917" s="21"/>
      <c r="B1917" s="86"/>
      <c r="C1917" s="98"/>
      <c r="D1917" s="21"/>
      <c r="E1917" s="86"/>
      <c r="F1917" s="99"/>
      <c r="G1917" s="99"/>
      <c r="H1917" s="21"/>
      <c r="I1917" s="21"/>
      <c r="J1917" s="21"/>
      <c r="K1917" s="5" t="str">
        <f>IF(AND(LEN(H1917)=0, LEN(I1917)=0), "", IF(AND(LEN(H1917)&gt;0, LEN(I1917)=0), "BLANCO", IFERROR(VLOOKUP(I1917, BasedatosM9!A:B, 2, FALSE), "BLANCO")))</f>
        <v/>
      </c>
    </row>
    <row r="1918" spans="1:11" ht="14.4">
      <c r="A1918" s="21"/>
      <c r="B1918" s="86"/>
      <c r="C1918" s="98"/>
      <c r="D1918" s="21"/>
      <c r="E1918" s="86"/>
      <c r="F1918" s="99"/>
      <c r="G1918" s="99"/>
      <c r="H1918" s="21"/>
      <c r="I1918" s="86"/>
      <c r="J1918" s="21"/>
      <c r="K1918" s="5" t="str">
        <f>IF(AND(LEN(H1918)=0, LEN(I1918)=0), "", IF(AND(LEN(H1918)&gt;0, LEN(I1918)=0), "BLANCO", IFERROR(VLOOKUP(I1918, BasedatosM9!A:B, 2, FALSE), "BLANCO")))</f>
        <v/>
      </c>
    </row>
    <row r="1919" spans="1:11" ht="14.4">
      <c r="A1919" s="21"/>
      <c r="B1919" s="86"/>
      <c r="C1919" s="98"/>
      <c r="D1919" s="21"/>
      <c r="E1919" s="86"/>
      <c r="F1919" s="99"/>
      <c r="G1919" s="99"/>
      <c r="H1919" s="21"/>
      <c r="I1919" s="86"/>
      <c r="J1919" s="21"/>
      <c r="K1919" s="5" t="str">
        <f>IF(AND(LEN(H1919)=0, LEN(I1919)=0), "", IF(AND(LEN(H1919)&gt;0, LEN(I1919)=0), "BLANCO", IFERROR(VLOOKUP(I1919, BasedatosM9!A:B, 2, FALSE), "BLANCO")))</f>
        <v/>
      </c>
    </row>
    <row r="1920" spans="1:11" ht="14.4">
      <c r="A1920" s="21"/>
      <c r="B1920" s="86"/>
      <c r="C1920" s="98"/>
      <c r="D1920" s="21"/>
      <c r="E1920" s="86"/>
      <c r="F1920" s="99"/>
      <c r="G1920" s="99"/>
      <c r="H1920" s="21"/>
      <c r="I1920" s="86"/>
      <c r="J1920" s="21"/>
      <c r="K1920" s="5" t="str">
        <f>IF(AND(LEN(H1920)=0, LEN(I1920)=0), "", IF(AND(LEN(H1920)&gt;0, LEN(I1920)=0), "BLANCO", IFERROR(VLOOKUP(I1920, BasedatosM9!A:B, 2, FALSE), "BLANCO")))</f>
        <v/>
      </c>
    </row>
    <row r="1921" spans="1:11" ht="14.4">
      <c r="A1921" s="21"/>
      <c r="B1921" s="86"/>
      <c r="C1921" s="98"/>
      <c r="D1921" s="21"/>
      <c r="E1921" s="86"/>
      <c r="F1921" s="99"/>
      <c r="G1921" s="99"/>
      <c r="H1921" s="21"/>
      <c r="I1921" s="21"/>
      <c r="J1921" s="21"/>
      <c r="K1921" s="5" t="str">
        <f>IF(AND(LEN(H1921)=0, LEN(I1921)=0), "", IF(AND(LEN(H1921)&gt;0, LEN(I1921)=0), "BLANCO", IFERROR(VLOOKUP(I1921, BasedatosM9!A:B, 2, FALSE), "BLANCO")))</f>
        <v/>
      </c>
    </row>
    <row r="1922" spans="1:11" ht="14.4">
      <c r="A1922" s="21"/>
      <c r="B1922" s="86"/>
      <c r="C1922" s="98"/>
      <c r="D1922" s="21"/>
      <c r="E1922" s="86"/>
      <c r="F1922" s="99"/>
      <c r="G1922" s="99"/>
      <c r="H1922" s="21"/>
      <c r="I1922" s="21"/>
      <c r="J1922" s="21"/>
      <c r="K1922" s="5" t="str">
        <f>IF(AND(LEN(H1922)=0, LEN(I1922)=0), "", IF(AND(LEN(H1922)&gt;0, LEN(I1922)=0), "BLANCO", IFERROR(VLOOKUP(I1922, BasedatosM9!A:B, 2, FALSE), "BLANCO")))</f>
        <v/>
      </c>
    </row>
    <row r="1923" spans="1:11" ht="14.4">
      <c r="A1923" s="21"/>
      <c r="B1923" s="86"/>
      <c r="C1923" s="98"/>
      <c r="D1923" s="21"/>
      <c r="E1923" s="86"/>
      <c r="F1923" s="99"/>
      <c r="G1923" s="99"/>
      <c r="H1923" s="21"/>
      <c r="I1923" s="86"/>
      <c r="J1923" s="21"/>
      <c r="K1923" s="5" t="str">
        <f>IF(AND(LEN(H1923)=0, LEN(I1923)=0), "", IF(AND(LEN(H1923)&gt;0, LEN(I1923)=0), "BLANCO", IFERROR(VLOOKUP(I1923, BasedatosM9!A:B, 2, FALSE), "BLANCO")))</f>
        <v/>
      </c>
    </row>
    <row r="1924" spans="1:11" ht="14.4">
      <c r="A1924" s="21"/>
      <c r="B1924" s="86"/>
      <c r="C1924" s="98"/>
      <c r="D1924" s="21"/>
      <c r="E1924" s="86"/>
      <c r="F1924" s="99"/>
      <c r="G1924" s="99"/>
      <c r="H1924" s="21"/>
      <c r="I1924" s="86"/>
      <c r="J1924" s="21"/>
      <c r="K1924" s="5" t="str">
        <f>IF(AND(LEN(H1924)=0, LEN(I1924)=0), "", IF(AND(LEN(H1924)&gt;0, LEN(I1924)=0), "BLANCO", IFERROR(VLOOKUP(I1924, BasedatosM9!A:B, 2, FALSE), "BLANCO")))</f>
        <v/>
      </c>
    </row>
    <row r="1925" spans="1:11" ht="14.4">
      <c r="A1925" s="21"/>
      <c r="B1925" s="86"/>
      <c r="C1925" s="98"/>
      <c r="D1925" s="21"/>
      <c r="E1925" s="86"/>
      <c r="F1925" s="99"/>
      <c r="G1925" s="99"/>
      <c r="H1925" s="21"/>
      <c r="I1925" s="21"/>
      <c r="J1925" s="21"/>
      <c r="K1925" s="5" t="str">
        <f>IF(AND(LEN(H1925)=0, LEN(I1925)=0), "", IF(AND(LEN(H1925)&gt;0, LEN(I1925)=0), "BLANCO", IFERROR(VLOOKUP(I1925, BasedatosM9!A:B, 2, FALSE), "BLANCO")))</f>
        <v/>
      </c>
    </row>
    <row r="1926" spans="1:11" ht="14.4">
      <c r="A1926" s="21"/>
      <c r="B1926" s="86"/>
      <c r="C1926" s="98"/>
      <c r="D1926" s="21"/>
      <c r="E1926" s="86"/>
      <c r="F1926" s="99"/>
      <c r="G1926" s="99"/>
      <c r="H1926" s="21"/>
      <c r="I1926" s="86"/>
      <c r="J1926" s="21"/>
      <c r="K1926" s="5" t="str">
        <f>IF(AND(LEN(H1926)=0, LEN(I1926)=0), "", IF(AND(LEN(H1926)&gt;0, LEN(I1926)=0), "BLANCO", IFERROR(VLOOKUP(I1926, BasedatosM9!A:B, 2, FALSE), "BLANCO")))</f>
        <v/>
      </c>
    </row>
    <row r="1927" spans="1:11" ht="14.4">
      <c r="A1927" s="21"/>
      <c r="B1927" s="86"/>
      <c r="C1927" s="98"/>
      <c r="D1927" s="21"/>
      <c r="E1927" s="86"/>
      <c r="F1927" s="99"/>
      <c r="G1927" s="99"/>
      <c r="H1927" s="21"/>
      <c r="I1927" s="86"/>
      <c r="J1927" s="21"/>
      <c r="K1927" s="5" t="str">
        <f>IF(AND(LEN(H1927)=0, LEN(I1927)=0), "", IF(AND(LEN(H1927)&gt;0, LEN(I1927)=0), "BLANCO", IFERROR(VLOOKUP(I1927, BasedatosM9!A:B, 2, FALSE), "BLANCO")))</f>
        <v/>
      </c>
    </row>
    <row r="1928" spans="1:11" ht="14.4">
      <c r="A1928" s="21"/>
      <c r="B1928" s="86"/>
      <c r="C1928" s="98"/>
      <c r="D1928" s="21"/>
      <c r="E1928" s="86"/>
      <c r="F1928" s="99"/>
      <c r="G1928" s="99"/>
      <c r="H1928" s="21"/>
      <c r="I1928" s="86"/>
      <c r="J1928" s="21"/>
      <c r="K1928" s="5" t="str">
        <f>IF(AND(LEN(H1928)=0, LEN(I1928)=0), "", IF(AND(LEN(H1928)&gt;0, LEN(I1928)=0), "BLANCO", IFERROR(VLOOKUP(I1928, BasedatosM9!A:B, 2, FALSE), "BLANCO")))</f>
        <v/>
      </c>
    </row>
    <row r="1929" spans="1:11" ht="14.4">
      <c r="A1929" s="21"/>
      <c r="B1929" s="86"/>
      <c r="C1929" s="98"/>
      <c r="D1929" s="21"/>
      <c r="E1929" s="86"/>
      <c r="F1929" s="99"/>
      <c r="G1929" s="99"/>
      <c r="H1929" s="21"/>
      <c r="I1929" s="21"/>
      <c r="J1929" s="21"/>
      <c r="K1929" s="5" t="str">
        <f>IF(AND(LEN(H1929)=0, LEN(I1929)=0), "", IF(AND(LEN(H1929)&gt;0, LEN(I1929)=0), "BLANCO", IFERROR(VLOOKUP(I1929, BasedatosM9!A:B, 2, FALSE), "BLANCO")))</f>
        <v/>
      </c>
    </row>
    <row r="1930" spans="1:11" ht="14.4">
      <c r="A1930" s="21"/>
      <c r="B1930" s="86"/>
      <c r="C1930" s="98"/>
      <c r="D1930" s="21"/>
      <c r="E1930" s="86"/>
      <c r="F1930" s="99"/>
      <c r="G1930" s="99"/>
      <c r="H1930" s="21"/>
      <c r="I1930" s="21"/>
      <c r="J1930" s="21"/>
      <c r="K1930" s="5" t="str">
        <f>IF(AND(LEN(H1930)=0, LEN(I1930)=0), "", IF(AND(LEN(H1930)&gt;0, LEN(I1930)=0), "BLANCO", IFERROR(VLOOKUP(I1930, BasedatosM9!A:B, 2, FALSE), "BLANCO")))</f>
        <v/>
      </c>
    </row>
    <row r="1931" spans="1:11" ht="14.4">
      <c r="A1931" s="21"/>
      <c r="B1931" s="86"/>
      <c r="C1931" s="98"/>
      <c r="D1931" s="21"/>
      <c r="E1931" s="86"/>
      <c r="F1931" s="99"/>
      <c r="G1931" s="99"/>
      <c r="H1931" s="21"/>
      <c r="I1931" s="86"/>
      <c r="J1931" s="21"/>
      <c r="K1931" s="5" t="str">
        <f>IF(AND(LEN(H1931)=0, LEN(I1931)=0), "", IF(AND(LEN(H1931)&gt;0, LEN(I1931)=0), "BLANCO", IFERROR(VLOOKUP(I1931, BasedatosM9!A:B, 2, FALSE), "BLANCO")))</f>
        <v/>
      </c>
    </row>
    <row r="1932" spans="1:11" ht="14.4">
      <c r="A1932" s="21"/>
      <c r="B1932" s="86"/>
      <c r="C1932" s="98"/>
      <c r="D1932" s="21"/>
      <c r="E1932" s="86"/>
      <c r="F1932" s="99"/>
      <c r="G1932" s="99"/>
      <c r="H1932" s="21"/>
      <c r="I1932" s="21"/>
      <c r="J1932" s="21"/>
      <c r="K1932" s="5" t="str">
        <f>IF(AND(LEN(H1932)=0, LEN(I1932)=0), "", IF(AND(LEN(H1932)&gt;0, LEN(I1932)=0), "BLANCO", IFERROR(VLOOKUP(I1932, BasedatosM9!A:B, 2, FALSE), "BLANCO")))</f>
        <v/>
      </c>
    </row>
    <row r="1933" spans="1:11" ht="14.4">
      <c r="A1933" s="21"/>
      <c r="B1933" s="86"/>
      <c r="C1933" s="98"/>
      <c r="D1933" s="21"/>
      <c r="E1933" s="86"/>
      <c r="F1933" s="99"/>
      <c r="G1933" s="99"/>
      <c r="H1933" s="21"/>
      <c r="I1933" s="86"/>
      <c r="J1933" s="21"/>
      <c r="K1933" s="5" t="str">
        <f>IF(AND(LEN(H1933)=0, LEN(I1933)=0), "", IF(AND(LEN(H1933)&gt;0, LEN(I1933)=0), "BLANCO", IFERROR(VLOOKUP(I1933, BasedatosM9!A:B, 2, FALSE), "BLANCO")))</f>
        <v/>
      </c>
    </row>
    <row r="1934" spans="1:11" ht="14.4">
      <c r="A1934" s="21"/>
      <c r="B1934" s="86"/>
      <c r="C1934" s="98"/>
      <c r="D1934" s="21"/>
      <c r="E1934" s="86"/>
      <c r="F1934" s="99"/>
      <c r="G1934" s="99"/>
      <c r="H1934" s="21"/>
      <c r="I1934" s="86"/>
      <c r="J1934" s="21"/>
      <c r="K1934" s="5" t="str">
        <f>IF(AND(LEN(H1934)=0, LEN(I1934)=0), "", IF(AND(LEN(H1934)&gt;0, LEN(I1934)=0), "BLANCO", IFERROR(VLOOKUP(I1934, BasedatosM9!A:B, 2, FALSE), "BLANCO")))</f>
        <v/>
      </c>
    </row>
    <row r="1935" spans="1:11" ht="14.4">
      <c r="A1935" s="21"/>
      <c r="B1935" s="86"/>
      <c r="C1935" s="98"/>
      <c r="D1935" s="21"/>
      <c r="E1935" s="86"/>
      <c r="F1935" s="99"/>
      <c r="G1935" s="99"/>
      <c r="H1935" s="21"/>
      <c r="I1935" s="21"/>
      <c r="J1935" s="21"/>
      <c r="K1935" s="5" t="str">
        <f>IF(AND(LEN(H1935)=0, LEN(I1935)=0), "", IF(AND(LEN(H1935)&gt;0, LEN(I1935)=0), "BLANCO", IFERROR(VLOOKUP(I1935, BasedatosM9!A:B, 2, FALSE), "BLANCO")))</f>
        <v/>
      </c>
    </row>
    <row r="1936" spans="1:11" ht="14.4">
      <c r="A1936" s="21"/>
      <c r="B1936" s="86"/>
      <c r="C1936" s="98"/>
      <c r="D1936" s="21"/>
      <c r="E1936" s="86"/>
      <c r="F1936" s="99"/>
      <c r="G1936" s="99"/>
      <c r="H1936" s="21"/>
      <c r="I1936" s="21"/>
      <c r="J1936" s="21"/>
      <c r="K1936" s="5" t="str">
        <f>IF(AND(LEN(H1936)=0, LEN(I1936)=0), "", IF(AND(LEN(H1936)&gt;0, LEN(I1936)=0), "BLANCO", IFERROR(VLOOKUP(I1936, BasedatosM9!A:B, 2, FALSE), "BLANCO")))</f>
        <v/>
      </c>
    </row>
    <row r="1937" spans="1:11" ht="14.4">
      <c r="A1937" s="21"/>
      <c r="B1937" s="86"/>
      <c r="C1937" s="98"/>
      <c r="D1937" s="21"/>
      <c r="E1937" s="86"/>
      <c r="F1937" s="99"/>
      <c r="G1937" s="99"/>
      <c r="H1937" s="21"/>
      <c r="I1937" s="21"/>
      <c r="J1937" s="21"/>
      <c r="K1937" s="5" t="str">
        <f>IF(AND(LEN(H1937)=0, LEN(I1937)=0), "", IF(AND(LEN(H1937)&gt;0, LEN(I1937)=0), "BLANCO", IFERROR(VLOOKUP(I1937, BasedatosM9!A:B, 2, FALSE), "BLANCO")))</f>
        <v/>
      </c>
    </row>
    <row r="1938" spans="1:11" ht="14.4">
      <c r="A1938" s="21"/>
      <c r="B1938" s="86"/>
      <c r="C1938" s="98"/>
      <c r="D1938" s="21"/>
      <c r="E1938" s="86"/>
      <c r="F1938" s="99"/>
      <c r="G1938" s="99"/>
      <c r="H1938" s="21"/>
      <c r="I1938" s="86"/>
      <c r="J1938" s="21"/>
      <c r="K1938" s="5" t="str">
        <f>IF(AND(LEN(H1938)=0, LEN(I1938)=0), "", IF(AND(LEN(H1938)&gt;0, LEN(I1938)=0), "BLANCO", IFERROR(VLOOKUP(I1938, BasedatosM9!A:B, 2, FALSE), "BLANCO")))</f>
        <v/>
      </c>
    </row>
    <row r="1939" spans="1:11" ht="14.4">
      <c r="A1939" s="21"/>
      <c r="B1939" s="86"/>
      <c r="C1939" s="98"/>
      <c r="D1939" s="21"/>
      <c r="E1939" s="86"/>
      <c r="F1939" s="99"/>
      <c r="G1939" s="99"/>
      <c r="H1939" s="21"/>
      <c r="I1939" s="21"/>
      <c r="J1939" s="21"/>
      <c r="K1939" s="5" t="str">
        <f>IF(AND(LEN(H1939)=0, LEN(I1939)=0), "", IF(AND(LEN(H1939)&gt;0, LEN(I1939)=0), "BLANCO", IFERROR(VLOOKUP(I1939, BasedatosM9!A:B, 2, FALSE), "BLANCO")))</f>
        <v/>
      </c>
    </row>
    <row r="1940" spans="1:11" ht="14.4">
      <c r="A1940" s="21"/>
      <c r="B1940" s="86"/>
      <c r="C1940" s="98"/>
      <c r="D1940" s="21"/>
      <c r="E1940" s="86"/>
      <c r="F1940" s="99"/>
      <c r="G1940" s="99"/>
      <c r="H1940" s="21"/>
      <c r="I1940" s="21"/>
      <c r="J1940" s="21"/>
      <c r="K1940" s="5" t="str">
        <f>IF(AND(LEN(H1940)=0, LEN(I1940)=0), "", IF(AND(LEN(H1940)&gt;0, LEN(I1940)=0), "BLANCO", IFERROR(VLOOKUP(I1940, BasedatosM9!A:B, 2, FALSE), "BLANCO")))</f>
        <v/>
      </c>
    </row>
    <row r="1941" spans="1:11" ht="14.4">
      <c r="A1941" s="21"/>
      <c r="B1941" s="86"/>
      <c r="C1941" s="98"/>
      <c r="D1941" s="21"/>
      <c r="E1941" s="86"/>
      <c r="F1941" s="99"/>
      <c r="G1941" s="99"/>
      <c r="H1941" s="21"/>
      <c r="I1941" s="21"/>
      <c r="J1941" s="21"/>
      <c r="K1941" s="5" t="str">
        <f>IF(AND(LEN(H1941)=0, LEN(I1941)=0), "", IF(AND(LEN(H1941)&gt;0, LEN(I1941)=0), "BLANCO", IFERROR(VLOOKUP(I1941, BasedatosM9!A:B, 2, FALSE), "BLANCO")))</f>
        <v/>
      </c>
    </row>
    <row r="1942" spans="1:11" ht="14.4">
      <c r="A1942" s="21"/>
      <c r="B1942" s="86"/>
      <c r="C1942" s="98"/>
      <c r="D1942" s="21"/>
      <c r="E1942" s="86"/>
      <c r="F1942" s="99"/>
      <c r="G1942" s="99"/>
      <c r="H1942" s="21"/>
      <c r="I1942" s="86"/>
      <c r="J1942" s="21"/>
      <c r="K1942" s="5" t="str">
        <f>IF(AND(LEN(H1942)=0, LEN(I1942)=0), "", IF(AND(LEN(H1942)&gt;0, LEN(I1942)=0), "BLANCO", IFERROR(VLOOKUP(I1942, BasedatosM9!A:B, 2, FALSE), "BLANCO")))</f>
        <v/>
      </c>
    </row>
    <row r="1943" spans="1:11" ht="14.4">
      <c r="A1943" s="21"/>
      <c r="B1943" s="86"/>
      <c r="C1943" s="98"/>
      <c r="D1943" s="21"/>
      <c r="E1943" s="86"/>
      <c r="F1943" s="99"/>
      <c r="G1943" s="99"/>
      <c r="H1943" s="21"/>
      <c r="I1943" s="86"/>
      <c r="J1943" s="21"/>
      <c r="K1943" s="5" t="str">
        <f>IF(AND(LEN(H1943)=0, LEN(I1943)=0), "", IF(AND(LEN(H1943)&gt;0, LEN(I1943)=0), "BLANCO", IFERROR(VLOOKUP(I1943, BasedatosM9!A:B, 2, FALSE), "BLANCO")))</f>
        <v/>
      </c>
    </row>
    <row r="1944" spans="1:11" ht="14.4">
      <c r="A1944" s="21"/>
      <c r="B1944" s="86"/>
      <c r="C1944" s="98"/>
      <c r="D1944" s="21"/>
      <c r="E1944" s="86"/>
      <c r="F1944" s="99"/>
      <c r="G1944" s="99"/>
      <c r="H1944" s="21"/>
      <c r="I1944" s="86"/>
      <c r="J1944" s="21"/>
      <c r="K1944" s="5" t="str">
        <f>IF(AND(LEN(H1944)=0, LEN(I1944)=0), "", IF(AND(LEN(H1944)&gt;0, LEN(I1944)=0), "BLANCO", IFERROR(VLOOKUP(I1944, BasedatosM9!A:B, 2, FALSE), "BLANCO")))</f>
        <v/>
      </c>
    </row>
    <row r="1945" spans="1:11" ht="14.4">
      <c r="A1945" s="21"/>
      <c r="B1945" s="86"/>
      <c r="C1945" s="98"/>
      <c r="D1945" s="21"/>
      <c r="E1945" s="86"/>
      <c r="F1945" s="99"/>
      <c r="G1945" s="99"/>
      <c r="H1945" s="21"/>
      <c r="I1945" s="86"/>
      <c r="J1945" s="21"/>
      <c r="K1945" s="5" t="str">
        <f>IF(AND(LEN(H1945)=0, LEN(I1945)=0), "", IF(AND(LEN(H1945)&gt;0, LEN(I1945)=0), "BLANCO", IFERROR(VLOOKUP(I1945, BasedatosM9!A:B, 2, FALSE), "BLANCO")))</f>
        <v/>
      </c>
    </row>
    <row r="1946" spans="1:11" ht="14.4">
      <c r="A1946" s="21"/>
      <c r="B1946" s="86"/>
      <c r="C1946" s="98"/>
      <c r="D1946" s="21"/>
      <c r="E1946" s="86"/>
      <c r="F1946" s="99"/>
      <c r="G1946" s="99"/>
      <c r="H1946" s="21"/>
      <c r="I1946" s="21"/>
      <c r="J1946" s="21"/>
      <c r="K1946" s="5" t="str">
        <f>IF(AND(LEN(H1946)=0, LEN(I1946)=0), "", IF(AND(LEN(H1946)&gt;0, LEN(I1946)=0), "BLANCO", IFERROR(VLOOKUP(I1946, BasedatosM9!A:B, 2, FALSE), "BLANCO")))</f>
        <v/>
      </c>
    </row>
    <row r="1947" spans="1:11" ht="14.4">
      <c r="A1947" s="21"/>
      <c r="B1947" s="86"/>
      <c r="C1947" s="98"/>
      <c r="D1947" s="21"/>
      <c r="E1947" s="86"/>
      <c r="F1947" s="99"/>
      <c r="G1947" s="99"/>
      <c r="H1947" s="21"/>
      <c r="I1947" s="86"/>
      <c r="J1947" s="21"/>
      <c r="K1947" s="5" t="str">
        <f>IF(AND(LEN(H1947)=0, LEN(I1947)=0), "", IF(AND(LEN(H1947)&gt;0, LEN(I1947)=0), "BLANCO", IFERROR(VLOOKUP(I1947, BasedatosM9!A:B, 2, FALSE), "BLANCO")))</f>
        <v/>
      </c>
    </row>
    <row r="1948" spans="1:11" ht="14.4">
      <c r="A1948" s="21"/>
      <c r="B1948" s="86"/>
      <c r="C1948" s="98"/>
      <c r="D1948" s="21"/>
      <c r="E1948" s="86"/>
      <c r="F1948" s="99"/>
      <c r="G1948" s="99"/>
      <c r="H1948" s="21"/>
      <c r="I1948" s="21"/>
      <c r="J1948" s="21"/>
      <c r="K1948" s="5" t="str">
        <f>IF(AND(LEN(H1948)=0, LEN(I1948)=0), "", IF(AND(LEN(H1948)&gt;0, LEN(I1948)=0), "BLANCO", IFERROR(VLOOKUP(I1948, BasedatosM9!A:B, 2, FALSE), "BLANCO")))</f>
        <v/>
      </c>
    </row>
    <row r="1949" spans="1:11" ht="14.4">
      <c r="A1949" s="21"/>
      <c r="B1949" s="86"/>
      <c r="C1949" s="98"/>
      <c r="D1949" s="21"/>
      <c r="E1949" s="86"/>
      <c r="F1949" s="99"/>
      <c r="G1949" s="99"/>
      <c r="H1949" s="21"/>
      <c r="I1949" s="21"/>
      <c r="J1949" s="21"/>
      <c r="K1949" s="5" t="str">
        <f>IF(AND(LEN(H1949)=0, LEN(I1949)=0), "", IF(AND(LEN(H1949)&gt;0, LEN(I1949)=0), "BLANCO", IFERROR(VLOOKUP(I1949, BasedatosM9!A:B, 2, FALSE), "BLANCO")))</f>
        <v/>
      </c>
    </row>
    <row r="1950" spans="1:11" ht="14.4">
      <c r="A1950" s="21"/>
      <c r="B1950" s="86"/>
      <c r="C1950" s="98"/>
      <c r="D1950" s="21"/>
      <c r="E1950" s="86"/>
      <c r="F1950" s="99"/>
      <c r="G1950" s="99"/>
      <c r="H1950" s="21"/>
      <c r="I1950" s="21"/>
      <c r="J1950" s="21"/>
      <c r="K1950" s="5" t="str">
        <f>IF(AND(LEN(H1950)=0, LEN(I1950)=0), "", IF(AND(LEN(H1950)&gt;0, LEN(I1950)=0), "BLANCO", IFERROR(VLOOKUP(I1950, BasedatosM9!A:B, 2, FALSE), "BLANCO")))</f>
        <v/>
      </c>
    </row>
    <row r="1951" spans="1:11" ht="14.4">
      <c r="A1951" s="21"/>
      <c r="B1951" s="86"/>
      <c r="C1951" s="98"/>
      <c r="D1951" s="21"/>
      <c r="E1951" s="86"/>
      <c r="F1951" s="99"/>
      <c r="G1951" s="99"/>
      <c r="H1951" s="21"/>
      <c r="I1951" s="86"/>
      <c r="J1951" s="21"/>
      <c r="K1951" s="5" t="str">
        <f>IF(AND(LEN(H1951)=0, LEN(I1951)=0), "", IF(AND(LEN(H1951)&gt;0, LEN(I1951)=0), "BLANCO", IFERROR(VLOOKUP(I1951, BasedatosM9!A:B, 2, FALSE), "BLANCO")))</f>
        <v/>
      </c>
    </row>
    <row r="1952" spans="1:11" ht="14.4">
      <c r="A1952" s="21"/>
      <c r="B1952" s="86"/>
      <c r="C1952" s="98"/>
      <c r="D1952" s="21"/>
      <c r="E1952" s="86"/>
      <c r="F1952" s="99"/>
      <c r="G1952" s="99"/>
      <c r="H1952" s="21"/>
      <c r="I1952" s="21"/>
      <c r="J1952" s="21"/>
      <c r="K1952" s="5" t="str">
        <f>IF(AND(LEN(H1952)=0, LEN(I1952)=0), "", IF(AND(LEN(H1952)&gt;0, LEN(I1952)=0), "BLANCO", IFERROR(VLOOKUP(I1952, BasedatosM9!A:B, 2, FALSE), "BLANCO")))</f>
        <v/>
      </c>
    </row>
    <row r="1953" spans="1:11" ht="14.4">
      <c r="A1953" s="21"/>
      <c r="B1953" s="86"/>
      <c r="C1953" s="98"/>
      <c r="D1953" s="21"/>
      <c r="E1953" s="86"/>
      <c r="F1953" s="99"/>
      <c r="G1953" s="99"/>
      <c r="H1953" s="21"/>
      <c r="I1953" s="86"/>
      <c r="J1953" s="21"/>
      <c r="K1953" s="5" t="str">
        <f>IF(AND(LEN(H1953)=0, LEN(I1953)=0), "", IF(AND(LEN(H1953)&gt;0, LEN(I1953)=0), "BLANCO", IFERROR(VLOOKUP(I1953, BasedatosM9!A:B, 2, FALSE), "BLANCO")))</f>
        <v/>
      </c>
    </row>
    <row r="1954" spans="1:11" ht="14.4">
      <c r="A1954" s="21"/>
      <c r="B1954" s="86"/>
      <c r="C1954" s="98"/>
      <c r="D1954" s="21"/>
      <c r="E1954" s="86"/>
      <c r="F1954" s="99"/>
      <c r="G1954" s="99"/>
      <c r="H1954" s="21"/>
      <c r="I1954" s="21"/>
      <c r="J1954" s="21"/>
      <c r="K1954" s="5" t="str">
        <f>IF(AND(LEN(H1954)=0, LEN(I1954)=0), "", IF(AND(LEN(H1954)&gt;0, LEN(I1954)=0), "BLANCO", IFERROR(VLOOKUP(I1954, BasedatosM9!A:B, 2, FALSE), "BLANCO")))</f>
        <v/>
      </c>
    </row>
    <row r="1955" spans="1:11" ht="14.4">
      <c r="A1955" s="21"/>
      <c r="B1955" s="86"/>
      <c r="C1955" s="98"/>
      <c r="D1955" s="21"/>
      <c r="E1955" s="86"/>
      <c r="F1955" s="99"/>
      <c r="G1955" s="99"/>
      <c r="H1955" s="21"/>
      <c r="I1955" s="21"/>
      <c r="J1955" s="21"/>
      <c r="K1955" s="5" t="str">
        <f>IF(AND(LEN(H1955)=0, LEN(I1955)=0), "", IF(AND(LEN(H1955)&gt;0, LEN(I1955)=0), "BLANCO", IFERROR(VLOOKUP(I1955, BasedatosM9!A:B, 2, FALSE), "BLANCO")))</f>
        <v/>
      </c>
    </row>
    <row r="1956" spans="1:11" ht="14.4">
      <c r="A1956" s="21"/>
      <c r="B1956" s="86"/>
      <c r="C1956" s="98"/>
      <c r="D1956" s="21"/>
      <c r="E1956" s="86"/>
      <c r="F1956" s="99"/>
      <c r="G1956" s="99"/>
      <c r="H1956" s="21"/>
      <c r="I1956" s="21"/>
      <c r="J1956" s="21"/>
      <c r="K1956" s="5" t="str">
        <f>IF(AND(LEN(H1956)=0, LEN(I1956)=0), "", IF(AND(LEN(H1956)&gt;0, LEN(I1956)=0), "BLANCO", IFERROR(VLOOKUP(I1956, BasedatosM9!A:B, 2, FALSE), "BLANCO")))</f>
        <v/>
      </c>
    </row>
    <row r="1957" spans="1:11" ht="14.4">
      <c r="A1957" s="21"/>
      <c r="B1957" s="86"/>
      <c r="C1957" s="98"/>
      <c r="D1957" s="21"/>
      <c r="E1957" s="86"/>
      <c r="F1957" s="99"/>
      <c r="G1957" s="99"/>
      <c r="H1957" s="21"/>
      <c r="I1957" s="21"/>
      <c r="J1957" s="21"/>
      <c r="K1957" s="5" t="str">
        <f>IF(AND(LEN(H1957)=0, LEN(I1957)=0), "", IF(AND(LEN(H1957)&gt;0, LEN(I1957)=0), "BLANCO", IFERROR(VLOOKUP(I1957, BasedatosM9!A:B, 2, FALSE), "BLANCO")))</f>
        <v/>
      </c>
    </row>
    <row r="1958" spans="1:11" ht="14.4">
      <c r="A1958" s="21"/>
      <c r="B1958" s="86"/>
      <c r="C1958" s="98"/>
      <c r="D1958" s="21"/>
      <c r="E1958" s="86"/>
      <c r="F1958" s="99"/>
      <c r="G1958" s="99"/>
      <c r="H1958" s="21"/>
      <c r="I1958" s="21"/>
      <c r="J1958" s="21"/>
      <c r="K1958" s="5" t="str">
        <f>IF(AND(LEN(H1958)=0, LEN(I1958)=0), "", IF(AND(LEN(H1958)&gt;0, LEN(I1958)=0), "BLANCO", IFERROR(VLOOKUP(I1958, BasedatosM9!A:B, 2, FALSE), "BLANCO")))</f>
        <v/>
      </c>
    </row>
    <row r="1959" spans="1:11" ht="14.4">
      <c r="A1959" s="21"/>
      <c r="B1959" s="86"/>
      <c r="C1959" s="98"/>
      <c r="D1959" s="21"/>
      <c r="E1959" s="86"/>
      <c r="F1959" s="99"/>
      <c r="G1959" s="99"/>
      <c r="H1959" s="21"/>
      <c r="I1959" s="86"/>
      <c r="J1959" s="21"/>
      <c r="K1959" s="5" t="str">
        <f>IF(AND(LEN(H1959)=0, LEN(I1959)=0), "", IF(AND(LEN(H1959)&gt;0, LEN(I1959)=0), "BLANCO", IFERROR(VLOOKUP(I1959, BasedatosM9!A:B, 2, FALSE), "BLANCO")))</f>
        <v/>
      </c>
    </row>
    <row r="1960" spans="1:11" ht="14.4">
      <c r="A1960" s="21"/>
      <c r="B1960" s="86"/>
      <c r="C1960" s="98"/>
      <c r="D1960" s="21"/>
      <c r="E1960" s="86"/>
      <c r="F1960" s="99"/>
      <c r="G1960" s="99"/>
      <c r="H1960" s="21"/>
      <c r="I1960" s="86"/>
      <c r="J1960" s="21"/>
      <c r="K1960" s="5" t="str">
        <f>IF(AND(LEN(H1960)=0, LEN(I1960)=0), "", IF(AND(LEN(H1960)&gt;0, LEN(I1960)=0), "BLANCO", IFERROR(VLOOKUP(I1960, BasedatosM9!A:B, 2, FALSE), "BLANCO")))</f>
        <v/>
      </c>
    </row>
    <row r="1961" spans="1:11" ht="14.4">
      <c r="A1961" s="21"/>
      <c r="B1961" s="86"/>
      <c r="C1961" s="98"/>
      <c r="D1961" s="21"/>
      <c r="E1961" s="86"/>
      <c r="F1961" s="99"/>
      <c r="G1961" s="99"/>
      <c r="H1961" s="21"/>
      <c r="I1961" s="86"/>
      <c r="J1961" s="21"/>
      <c r="K1961" s="5" t="str">
        <f>IF(AND(LEN(H1961)=0, LEN(I1961)=0), "", IF(AND(LEN(H1961)&gt;0, LEN(I1961)=0), "BLANCO", IFERROR(VLOOKUP(I1961, BasedatosM9!A:B, 2, FALSE), "BLANCO")))</f>
        <v/>
      </c>
    </row>
    <row r="1962" spans="1:11" ht="14.4">
      <c r="A1962" s="21"/>
      <c r="B1962" s="86"/>
      <c r="C1962" s="98"/>
      <c r="D1962" s="21"/>
      <c r="E1962" s="86"/>
      <c r="F1962" s="99"/>
      <c r="G1962" s="99"/>
      <c r="H1962" s="21"/>
      <c r="I1962" s="86"/>
      <c r="J1962" s="21"/>
      <c r="K1962" s="5" t="str">
        <f>IF(AND(LEN(H1962)=0, LEN(I1962)=0), "", IF(AND(LEN(H1962)&gt;0, LEN(I1962)=0), "BLANCO", IFERROR(VLOOKUP(I1962, BasedatosM9!A:B, 2, FALSE), "BLANCO")))</f>
        <v/>
      </c>
    </row>
    <row r="1963" spans="1:11" ht="14.4">
      <c r="A1963" s="21"/>
      <c r="B1963" s="86"/>
      <c r="C1963" s="98"/>
      <c r="D1963" s="21"/>
      <c r="E1963" s="86"/>
      <c r="F1963" s="99"/>
      <c r="G1963" s="99"/>
      <c r="H1963" s="21"/>
      <c r="I1963" s="86"/>
      <c r="J1963" s="21"/>
      <c r="K1963" s="5" t="str">
        <f>IF(AND(LEN(H1963)=0, LEN(I1963)=0), "", IF(AND(LEN(H1963)&gt;0, LEN(I1963)=0), "BLANCO", IFERROR(VLOOKUP(I1963, BasedatosM9!A:B, 2, FALSE), "BLANCO")))</f>
        <v/>
      </c>
    </row>
    <row r="1964" spans="1:11" ht="14.4">
      <c r="A1964" s="21"/>
      <c r="B1964" s="86"/>
      <c r="C1964" s="98"/>
      <c r="D1964" s="21"/>
      <c r="E1964" s="86"/>
      <c r="F1964" s="99"/>
      <c r="G1964" s="99"/>
      <c r="H1964" s="21"/>
      <c r="I1964" s="86"/>
      <c r="J1964" s="21"/>
      <c r="K1964" s="5" t="str">
        <f>IF(AND(LEN(H1964)=0, LEN(I1964)=0), "", IF(AND(LEN(H1964)&gt;0, LEN(I1964)=0), "BLANCO", IFERROR(VLOOKUP(I1964, BasedatosM9!A:B, 2, FALSE), "BLANCO")))</f>
        <v/>
      </c>
    </row>
    <row r="1965" spans="1:11" ht="14.4">
      <c r="A1965" s="21"/>
      <c r="B1965" s="86"/>
      <c r="C1965" s="98"/>
      <c r="D1965" s="21"/>
      <c r="E1965" s="86"/>
      <c r="F1965" s="99"/>
      <c r="G1965" s="99"/>
      <c r="H1965" s="21"/>
      <c r="I1965" s="86"/>
      <c r="J1965" s="21"/>
      <c r="K1965" s="5" t="str">
        <f>IF(AND(LEN(H1965)=0, LEN(I1965)=0), "", IF(AND(LEN(H1965)&gt;0, LEN(I1965)=0), "BLANCO", IFERROR(VLOOKUP(I1965, BasedatosM9!A:B, 2, FALSE), "BLANCO")))</f>
        <v/>
      </c>
    </row>
    <row r="1966" spans="1:11" ht="14.4">
      <c r="A1966" s="21"/>
      <c r="B1966" s="86"/>
      <c r="C1966" s="98"/>
      <c r="D1966" s="21"/>
      <c r="E1966" s="86"/>
      <c r="F1966" s="99"/>
      <c r="G1966" s="99"/>
      <c r="H1966" s="21"/>
      <c r="I1966" s="86"/>
      <c r="J1966" s="21"/>
      <c r="K1966" s="5" t="str">
        <f>IF(AND(LEN(H1966)=0, LEN(I1966)=0), "", IF(AND(LEN(H1966)&gt;0, LEN(I1966)=0), "BLANCO", IFERROR(VLOOKUP(I1966, BasedatosM9!A:B, 2, FALSE), "BLANCO")))</f>
        <v/>
      </c>
    </row>
    <row r="1967" spans="1:11" ht="14.4">
      <c r="A1967" s="21"/>
      <c r="B1967" s="86"/>
      <c r="C1967" s="98"/>
      <c r="D1967" s="21"/>
      <c r="E1967" s="86"/>
      <c r="F1967" s="99"/>
      <c r="G1967" s="99"/>
      <c r="H1967" s="21"/>
      <c r="I1967" s="86"/>
      <c r="J1967" s="21"/>
      <c r="K1967" s="5" t="str">
        <f>IF(AND(LEN(H1967)=0, LEN(I1967)=0), "", IF(AND(LEN(H1967)&gt;0, LEN(I1967)=0), "BLANCO", IFERROR(VLOOKUP(I1967, BasedatosM9!A:B, 2, FALSE), "BLANCO")))</f>
        <v/>
      </c>
    </row>
    <row r="1968" spans="1:11" ht="14.4">
      <c r="A1968" s="21"/>
      <c r="B1968" s="86"/>
      <c r="C1968" s="98"/>
      <c r="D1968" s="21"/>
      <c r="E1968" s="86"/>
      <c r="F1968" s="99"/>
      <c r="G1968" s="99"/>
      <c r="H1968" s="21"/>
      <c r="I1968" s="86"/>
      <c r="J1968" s="21"/>
      <c r="K1968" s="5" t="str">
        <f>IF(AND(LEN(H1968)=0, LEN(I1968)=0), "", IF(AND(LEN(H1968)&gt;0, LEN(I1968)=0), "BLANCO", IFERROR(VLOOKUP(I1968, BasedatosM9!A:B, 2, FALSE), "BLANCO")))</f>
        <v/>
      </c>
    </row>
    <row r="1969" spans="1:11" ht="14.4">
      <c r="A1969" s="21"/>
      <c r="B1969" s="86"/>
      <c r="C1969" s="98"/>
      <c r="D1969" s="21"/>
      <c r="E1969" s="86"/>
      <c r="F1969" s="99"/>
      <c r="G1969" s="99"/>
      <c r="H1969" s="21"/>
      <c r="I1969" s="86"/>
      <c r="J1969" s="21"/>
      <c r="K1969" s="5" t="str">
        <f>IF(AND(LEN(H1969)=0, LEN(I1969)=0), "", IF(AND(LEN(H1969)&gt;0, LEN(I1969)=0), "BLANCO", IFERROR(VLOOKUP(I1969, BasedatosM9!A:B, 2, FALSE), "BLANCO")))</f>
        <v/>
      </c>
    </row>
    <row r="1970" spans="1:11" ht="14.4">
      <c r="A1970" s="21"/>
      <c r="B1970" s="86"/>
      <c r="C1970" s="98"/>
      <c r="D1970" s="21"/>
      <c r="E1970" s="86"/>
      <c r="F1970" s="99"/>
      <c r="G1970" s="99"/>
      <c r="H1970" s="21"/>
      <c r="I1970" s="86"/>
      <c r="J1970" s="21"/>
      <c r="K1970" s="5" t="str">
        <f>IF(AND(LEN(H1970)=0, LEN(I1970)=0), "", IF(AND(LEN(H1970)&gt;0, LEN(I1970)=0), "BLANCO", IFERROR(VLOOKUP(I1970, BasedatosM9!A:B, 2, FALSE), "BLANCO")))</f>
        <v/>
      </c>
    </row>
    <row r="1971" spans="1:11" ht="14.4">
      <c r="A1971" s="21"/>
      <c r="B1971" s="86"/>
      <c r="C1971" s="98"/>
      <c r="D1971" s="21"/>
      <c r="E1971" s="86"/>
      <c r="F1971" s="99"/>
      <c r="G1971" s="99"/>
      <c r="H1971" s="21"/>
      <c r="I1971" s="86"/>
      <c r="J1971" s="21"/>
      <c r="K1971" s="5" t="str">
        <f>IF(AND(LEN(H1971)=0, LEN(I1971)=0), "", IF(AND(LEN(H1971)&gt;0, LEN(I1971)=0), "BLANCO", IFERROR(VLOOKUP(I1971, BasedatosM9!A:B, 2, FALSE), "BLANCO")))</f>
        <v/>
      </c>
    </row>
    <row r="1972" spans="1:11" ht="14.4">
      <c r="A1972" s="21"/>
      <c r="B1972" s="86"/>
      <c r="C1972" s="98"/>
      <c r="D1972" s="21"/>
      <c r="E1972" s="86"/>
      <c r="F1972" s="99"/>
      <c r="G1972" s="99"/>
      <c r="H1972" s="21"/>
      <c r="I1972" s="86"/>
      <c r="J1972" s="21"/>
      <c r="K1972" s="5" t="str">
        <f>IF(AND(LEN(H1972)=0, LEN(I1972)=0), "", IF(AND(LEN(H1972)&gt;0, LEN(I1972)=0), "BLANCO", IFERROR(VLOOKUP(I1972, BasedatosM9!A:B, 2, FALSE), "BLANCO")))</f>
        <v/>
      </c>
    </row>
    <row r="1973" spans="1:11" ht="14.4">
      <c r="A1973" s="21"/>
      <c r="B1973" s="86"/>
      <c r="C1973" s="98"/>
      <c r="D1973" s="21"/>
      <c r="E1973" s="86"/>
      <c r="F1973" s="99"/>
      <c r="G1973" s="99"/>
      <c r="H1973" s="21"/>
      <c r="I1973" s="86"/>
      <c r="J1973" s="21"/>
      <c r="K1973" s="5" t="str">
        <f>IF(AND(LEN(H1973)=0, LEN(I1973)=0), "", IF(AND(LEN(H1973)&gt;0, LEN(I1973)=0), "BLANCO", IFERROR(VLOOKUP(I1973, BasedatosM9!A:B, 2, FALSE), "BLANCO")))</f>
        <v/>
      </c>
    </row>
    <row r="1974" spans="1:11" ht="14.4">
      <c r="A1974" s="21"/>
      <c r="B1974" s="86"/>
      <c r="C1974" s="98"/>
      <c r="D1974" s="21"/>
      <c r="E1974" s="86"/>
      <c r="F1974" s="99"/>
      <c r="G1974" s="99"/>
      <c r="H1974" s="21"/>
      <c r="I1974" s="86"/>
      <c r="J1974" s="21"/>
      <c r="K1974" s="5" t="str">
        <f>IF(AND(LEN(H1974)=0, LEN(I1974)=0), "", IF(AND(LEN(H1974)&gt;0, LEN(I1974)=0), "BLANCO", IFERROR(VLOOKUP(I1974, BasedatosM9!A:B, 2, FALSE), "BLANCO")))</f>
        <v/>
      </c>
    </row>
    <row r="1975" spans="1:11" ht="14.4">
      <c r="A1975" s="21"/>
      <c r="B1975" s="86"/>
      <c r="C1975" s="98"/>
      <c r="D1975" s="21"/>
      <c r="E1975" s="86"/>
      <c r="F1975" s="99"/>
      <c r="G1975" s="99"/>
      <c r="H1975" s="21"/>
      <c r="I1975" s="86"/>
      <c r="J1975" s="21"/>
      <c r="K1975" s="5" t="str">
        <f>IF(AND(LEN(H1975)=0, LEN(I1975)=0), "", IF(AND(LEN(H1975)&gt;0, LEN(I1975)=0), "BLANCO", IFERROR(VLOOKUP(I1975, BasedatosM9!A:B, 2, FALSE), "BLANCO")))</f>
        <v/>
      </c>
    </row>
    <row r="1976" spans="1:11" ht="14.4">
      <c r="A1976" s="21"/>
      <c r="B1976" s="86"/>
      <c r="C1976" s="98"/>
      <c r="D1976" s="21"/>
      <c r="E1976" s="86"/>
      <c r="F1976" s="99"/>
      <c r="G1976" s="99"/>
      <c r="H1976" s="21"/>
      <c r="I1976" s="21"/>
      <c r="J1976" s="21"/>
      <c r="K1976" s="5" t="str">
        <f>IF(AND(LEN(H1976)=0, LEN(I1976)=0), "", IF(AND(LEN(H1976)&gt;0, LEN(I1976)=0), "BLANCO", IFERROR(VLOOKUP(I1976, BasedatosM9!A:B, 2, FALSE), "BLANCO")))</f>
        <v/>
      </c>
    </row>
    <row r="1977" spans="1:11" ht="14.4">
      <c r="A1977" s="21"/>
      <c r="B1977" s="86"/>
      <c r="C1977" s="98"/>
      <c r="D1977" s="21"/>
      <c r="E1977" s="86"/>
      <c r="F1977" s="99"/>
      <c r="G1977" s="99"/>
      <c r="H1977" s="21"/>
      <c r="I1977" s="21"/>
      <c r="J1977" s="21"/>
      <c r="K1977" s="5" t="str">
        <f>IF(AND(LEN(H1977)=0, LEN(I1977)=0), "", IF(AND(LEN(H1977)&gt;0, LEN(I1977)=0), "BLANCO", IFERROR(VLOOKUP(I1977, BasedatosM9!A:B, 2, FALSE), "BLANCO")))</f>
        <v/>
      </c>
    </row>
    <row r="1978" spans="1:11" ht="14.4">
      <c r="A1978" s="21"/>
      <c r="B1978" s="86"/>
      <c r="C1978" s="98"/>
      <c r="D1978" s="21"/>
      <c r="E1978" s="86"/>
      <c r="F1978" s="99"/>
      <c r="G1978" s="99"/>
      <c r="H1978" s="21"/>
      <c r="I1978" s="86"/>
      <c r="J1978" s="21"/>
      <c r="K1978" s="5" t="str">
        <f>IF(AND(LEN(H1978)=0, LEN(I1978)=0), "", IF(AND(LEN(H1978)&gt;0, LEN(I1978)=0), "BLANCO", IFERROR(VLOOKUP(I1978, BasedatosM9!A:B, 2, FALSE), "BLANCO")))</f>
        <v/>
      </c>
    </row>
    <row r="1979" spans="1:11" ht="14.4">
      <c r="A1979" s="21"/>
      <c r="B1979" s="86"/>
      <c r="C1979" s="98"/>
      <c r="D1979" s="21"/>
      <c r="E1979" s="86"/>
      <c r="F1979" s="99"/>
      <c r="G1979" s="99"/>
      <c r="H1979" s="21"/>
      <c r="I1979" s="86"/>
      <c r="J1979" s="21"/>
      <c r="K1979" s="5" t="str">
        <f>IF(AND(LEN(H1979)=0, LEN(I1979)=0), "", IF(AND(LEN(H1979)&gt;0, LEN(I1979)=0), "BLANCO", IFERROR(VLOOKUP(I1979, BasedatosM9!A:B, 2, FALSE), "BLANCO")))</f>
        <v/>
      </c>
    </row>
    <row r="1980" spans="1:11" ht="14.4">
      <c r="A1980" s="21"/>
      <c r="B1980" s="86"/>
      <c r="C1980" s="98"/>
      <c r="D1980" s="21"/>
      <c r="E1980" s="86"/>
      <c r="F1980" s="99"/>
      <c r="G1980" s="99"/>
      <c r="H1980" s="21"/>
      <c r="I1980" s="86"/>
      <c r="J1980" s="21"/>
      <c r="K1980" s="5" t="str">
        <f>IF(AND(LEN(H1980)=0, LEN(I1980)=0), "", IF(AND(LEN(H1980)&gt;0, LEN(I1980)=0), "BLANCO", IFERROR(VLOOKUP(I1980, BasedatosM9!A:B, 2, FALSE), "BLANCO")))</f>
        <v/>
      </c>
    </row>
    <row r="1981" spans="1:11" ht="14.4">
      <c r="A1981" s="21"/>
      <c r="B1981" s="86"/>
      <c r="C1981" s="98"/>
      <c r="D1981" s="21"/>
      <c r="E1981" s="86"/>
      <c r="F1981" s="99"/>
      <c r="G1981" s="99"/>
      <c r="H1981" s="21"/>
      <c r="I1981" s="86"/>
      <c r="J1981" s="21"/>
      <c r="K1981" s="5" t="str">
        <f>IF(AND(LEN(H1981)=0, LEN(I1981)=0), "", IF(AND(LEN(H1981)&gt;0, LEN(I1981)=0), "BLANCO", IFERROR(VLOOKUP(I1981, BasedatosM9!A:B, 2, FALSE), "BLANCO")))</f>
        <v/>
      </c>
    </row>
    <row r="1982" spans="1:11" ht="14.4">
      <c r="A1982" s="21"/>
      <c r="B1982" s="86"/>
      <c r="C1982" s="98"/>
      <c r="D1982" s="21"/>
      <c r="E1982" s="86"/>
      <c r="F1982" s="99"/>
      <c r="G1982" s="99"/>
      <c r="H1982" s="21"/>
      <c r="I1982" s="21"/>
      <c r="J1982" s="21"/>
      <c r="K1982" s="5" t="str">
        <f>IF(AND(LEN(H1982)=0, LEN(I1982)=0), "", IF(AND(LEN(H1982)&gt;0, LEN(I1982)=0), "BLANCO", IFERROR(VLOOKUP(I1982, BasedatosM9!A:B, 2, FALSE), "BLANCO")))</f>
        <v/>
      </c>
    </row>
    <row r="1983" spans="1:11" ht="14.4">
      <c r="A1983" s="21"/>
      <c r="B1983" s="86"/>
      <c r="C1983" s="98"/>
      <c r="D1983" s="21"/>
      <c r="E1983" s="86"/>
      <c r="F1983" s="99"/>
      <c r="G1983" s="99"/>
      <c r="H1983" s="21"/>
      <c r="I1983" s="86"/>
      <c r="J1983" s="21"/>
      <c r="K1983" s="5" t="str">
        <f>IF(AND(LEN(H1983)=0, LEN(I1983)=0), "", IF(AND(LEN(H1983)&gt;0, LEN(I1983)=0), "BLANCO", IFERROR(VLOOKUP(I1983, BasedatosM9!A:B, 2, FALSE), "BLANCO")))</f>
        <v/>
      </c>
    </row>
    <row r="1984" spans="1:11" ht="14.4">
      <c r="A1984" s="21"/>
      <c r="B1984" s="86"/>
      <c r="C1984" s="98"/>
      <c r="D1984" s="21"/>
      <c r="E1984" s="86"/>
      <c r="F1984" s="99"/>
      <c r="G1984" s="99"/>
      <c r="H1984" s="21"/>
      <c r="I1984" s="21"/>
      <c r="J1984" s="21"/>
      <c r="K1984" s="5" t="str">
        <f>IF(AND(LEN(H1984)=0, LEN(I1984)=0), "", IF(AND(LEN(H1984)&gt;0, LEN(I1984)=0), "BLANCO", IFERROR(VLOOKUP(I1984, BasedatosM9!A:B, 2, FALSE), "BLANCO")))</f>
        <v/>
      </c>
    </row>
    <row r="1985" spans="1:11" ht="14.4">
      <c r="A1985" s="21"/>
      <c r="B1985" s="86"/>
      <c r="C1985" s="98"/>
      <c r="D1985" s="21"/>
      <c r="E1985" s="86"/>
      <c r="F1985" s="99"/>
      <c r="G1985" s="99"/>
      <c r="H1985" s="21"/>
      <c r="I1985" s="21"/>
      <c r="J1985" s="21"/>
      <c r="K1985" s="5" t="str">
        <f>IF(AND(LEN(H1985)=0, LEN(I1985)=0), "", IF(AND(LEN(H1985)&gt;0, LEN(I1985)=0), "BLANCO", IFERROR(VLOOKUP(I1985, BasedatosM9!A:B, 2, FALSE), "BLANCO")))</f>
        <v/>
      </c>
    </row>
    <row r="1986" spans="1:11" ht="14.4">
      <c r="A1986" s="21"/>
      <c r="B1986" s="86"/>
      <c r="C1986" s="98"/>
      <c r="D1986" s="21"/>
      <c r="E1986" s="86"/>
      <c r="F1986" s="99"/>
      <c r="G1986" s="99"/>
      <c r="H1986" s="21"/>
      <c r="I1986" s="86"/>
      <c r="J1986" s="21"/>
      <c r="K1986" s="5" t="str">
        <f>IF(AND(LEN(H1986)=0, LEN(I1986)=0), "", IF(AND(LEN(H1986)&gt;0, LEN(I1986)=0), "BLANCO", IFERROR(VLOOKUP(I1986, BasedatosM9!A:B, 2, FALSE), "BLANCO")))</f>
        <v/>
      </c>
    </row>
    <row r="1987" spans="1:11" ht="14.4">
      <c r="A1987" s="21"/>
      <c r="B1987" s="86"/>
      <c r="C1987" s="98"/>
      <c r="D1987" s="21"/>
      <c r="E1987" s="86"/>
      <c r="F1987" s="99"/>
      <c r="G1987" s="99"/>
      <c r="H1987" s="21"/>
      <c r="I1987" s="86"/>
      <c r="J1987" s="21"/>
      <c r="K1987" s="5" t="str">
        <f>IF(AND(LEN(H1987)=0, LEN(I1987)=0), "", IF(AND(LEN(H1987)&gt;0, LEN(I1987)=0), "BLANCO", IFERROR(VLOOKUP(I1987, BasedatosM9!A:B, 2, FALSE), "BLANCO")))</f>
        <v/>
      </c>
    </row>
    <row r="1988" spans="1:11" ht="14.4">
      <c r="A1988" s="21"/>
      <c r="B1988" s="86"/>
      <c r="C1988" s="98"/>
      <c r="D1988" s="21"/>
      <c r="E1988" s="86"/>
      <c r="F1988" s="99"/>
      <c r="G1988" s="99"/>
      <c r="H1988" s="21"/>
      <c r="I1988" s="21"/>
      <c r="J1988" s="21"/>
      <c r="K1988" s="5" t="str">
        <f>IF(AND(LEN(H1988)=0, LEN(I1988)=0), "", IF(AND(LEN(H1988)&gt;0, LEN(I1988)=0), "BLANCO", IFERROR(VLOOKUP(I1988, BasedatosM9!A:B, 2, FALSE), "BLANCO")))</f>
        <v/>
      </c>
    </row>
    <row r="1989" spans="1:11" ht="14.4">
      <c r="A1989" s="21"/>
      <c r="B1989" s="86"/>
      <c r="C1989" s="98"/>
      <c r="D1989" s="21"/>
      <c r="E1989" s="86"/>
      <c r="F1989" s="99"/>
      <c r="G1989" s="99"/>
      <c r="H1989" s="21"/>
      <c r="I1989" s="21"/>
      <c r="J1989" s="21"/>
      <c r="K1989" s="5" t="str">
        <f>IF(AND(LEN(H1989)=0, LEN(I1989)=0), "", IF(AND(LEN(H1989)&gt;0, LEN(I1989)=0), "BLANCO", IFERROR(VLOOKUP(I1989, BasedatosM9!A:B, 2, FALSE), "BLANCO")))</f>
        <v/>
      </c>
    </row>
    <row r="1990" spans="1:11" ht="14.4">
      <c r="A1990" s="21"/>
      <c r="B1990" s="86"/>
      <c r="C1990" s="98"/>
      <c r="D1990" s="21"/>
      <c r="E1990" s="86"/>
      <c r="F1990" s="99"/>
      <c r="G1990" s="99"/>
      <c r="H1990" s="21"/>
      <c r="I1990" s="86"/>
      <c r="J1990" s="21"/>
      <c r="K1990" s="5" t="str">
        <f>IF(AND(LEN(H1990)=0, LEN(I1990)=0), "", IF(AND(LEN(H1990)&gt;0, LEN(I1990)=0), "BLANCO", IFERROR(VLOOKUP(I1990, BasedatosM9!A:B, 2, FALSE), "BLANCO")))</f>
        <v/>
      </c>
    </row>
    <row r="1991" spans="1:11" ht="14.4">
      <c r="A1991" s="21"/>
      <c r="B1991" s="86"/>
      <c r="C1991" s="98"/>
      <c r="D1991" s="21"/>
      <c r="E1991" s="86"/>
      <c r="F1991" s="99"/>
      <c r="G1991" s="99"/>
      <c r="H1991" s="21"/>
      <c r="I1991" s="86"/>
      <c r="J1991" s="21"/>
      <c r="K1991" s="5" t="str">
        <f>IF(AND(LEN(H1991)=0, LEN(I1991)=0), "", IF(AND(LEN(H1991)&gt;0, LEN(I1991)=0), "BLANCO", IFERROR(VLOOKUP(I1991, BasedatosM9!A:B, 2, FALSE), "BLANCO")))</f>
        <v/>
      </c>
    </row>
    <row r="1992" spans="1:11" ht="14.4">
      <c r="A1992" s="21"/>
      <c r="B1992" s="86"/>
      <c r="C1992" s="98"/>
      <c r="D1992" s="21"/>
      <c r="E1992" s="86"/>
      <c r="F1992" s="99"/>
      <c r="G1992" s="99"/>
      <c r="H1992" s="21"/>
      <c r="I1992" s="21"/>
      <c r="J1992" s="21"/>
      <c r="K1992" s="5" t="str">
        <f>IF(AND(LEN(H1992)=0, LEN(I1992)=0), "", IF(AND(LEN(H1992)&gt;0, LEN(I1992)=0), "BLANCO", IFERROR(VLOOKUP(I1992, BasedatosM9!A:B, 2, FALSE), "BLANCO")))</f>
        <v/>
      </c>
    </row>
    <row r="1993" spans="1:11" ht="14.4">
      <c r="A1993" s="21"/>
      <c r="B1993" s="86"/>
      <c r="C1993" s="98"/>
      <c r="D1993" s="21"/>
      <c r="E1993" s="86"/>
      <c r="F1993" s="99"/>
      <c r="G1993" s="99"/>
      <c r="H1993" s="21"/>
      <c r="I1993" s="86"/>
      <c r="J1993" s="21"/>
      <c r="K1993" s="5" t="str">
        <f>IF(AND(LEN(H1993)=0, LEN(I1993)=0), "", IF(AND(LEN(H1993)&gt;0, LEN(I1993)=0), "BLANCO", IFERROR(VLOOKUP(I1993, BasedatosM9!A:B, 2, FALSE), "BLANCO")))</f>
        <v/>
      </c>
    </row>
    <row r="1994" spans="1:11" ht="14.4">
      <c r="A1994" s="21"/>
      <c r="B1994" s="86"/>
      <c r="C1994" s="98"/>
      <c r="D1994" s="21"/>
      <c r="E1994" s="86"/>
      <c r="F1994" s="99"/>
      <c r="G1994" s="99"/>
      <c r="H1994" s="21"/>
      <c r="I1994" s="86"/>
      <c r="J1994" s="21"/>
      <c r="K1994" s="5" t="str">
        <f>IF(AND(LEN(H1994)=0, LEN(I1994)=0), "", IF(AND(LEN(H1994)&gt;0, LEN(I1994)=0), "BLANCO", IFERROR(VLOOKUP(I1994, BasedatosM9!A:B, 2, FALSE), "BLANCO")))</f>
        <v/>
      </c>
    </row>
    <row r="1995" spans="1:11" ht="14.4">
      <c r="A1995" s="21"/>
      <c r="B1995" s="86"/>
      <c r="C1995" s="98"/>
      <c r="D1995" s="21"/>
      <c r="E1995" s="86"/>
      <c r="F1995" s="99"/>
      <c r="G1995" s="99"/>
      <c r="H1995" s="21"/>
      <c r="I1995" s="86"/>
      <c r="J1995" s="21"/>
      <c r="K1995" s="5" t="str">
        <f>IF(AND(LEN(H1995)=0, LEN(I1995)=0), "", IF(AND(LEN(H1995)&gt;0, LEN(I1995)=0), "BLANCO", IFERROR(VLOOKUP(I1995, BasedatosM9!A:B, 2, FALSE), "BLANCO")))</f>
        <v/>
      </c>
    </row>
    <row r="1996" spans="1:11" ht="14.4">
      <c r="A1996" s="21"/>
      <c r="B1996" s="86"/>
      <c r="C1996" s="98"/>
      <c r="D1996" s="21"/>
      <c r="E1996" s="86"/>
      <c r="F1996" s="99"/>
      <c r="G1996" s="99"/>
      <c r="H1996" s="21"/>
      <c r="I1996" s="21"/>
      <c r="J1996" s="21"/>
      <c r="K1996" s="5" t="str">
        <f>IF(AND(LEN(H1996)=0, LEN(I1996)=0), "", IF(AND(LEN(H1996)&gt;0, LEN(I1996)=0), "BLANCO", IFERROR(VLOOKUP(I1996, BasedatosM9!A:B, 2, FALSE), "BLANCO")))</f>
        <v/>
      </c>
    </row>
    <row r="1997" spans="1:11" ht="14.4">
      <c r="A1997" s="21"/>
      <c r="B1997" s="86"/>
      <c r="C1997" s="98"/>
      <c r="D1997" s="21"/>
      <c r="E1997" s="86"/>
      <c r="F1997" s="99"/>
      <c r="G1997" s="99"/>
      <c r="H1997" s="21"/>
      <c r="I1997" s="86"/>
      <c r="J1997" s="21"/>
      <c r="K1997" s="5" t="str">
        <f>IF(AND(LEN(H1997)=0, LEN(I1997)=0), "", IF(AND(LEN(H1997)&gt;0, LEN(I1997)=0), "BLANCO", IFERROR(VLOOKUP(I1997, BasedatosM9!A:B, 2, FALSE), "BLANCO")))</f>
        <v/>
      </c>
    </row>
    <row r="1998" spans="1:11" ht="14.4">
      <c r="A1998" s="21"/>
      <c r="B1998" s="86"/>
      <c r="C1998" s="98"/>
      <c r="D1998" s="21"/>
      <c r="E1998" s="86"/>
      <c r="F1998" s="99"/>
      <c r="G1998" s="99"/>
      <c r="H1998" s="21"/>
      <c r="I1998" s="86"/>
      <c r="J1998" s="21"/>
      <c r="K1998" s="5" t="str">
        <f>IF(AND(LEN(H1998)=0, LEN(I1998)=0), "", IF(AND(LEN(H1998)&gt;0, LEN(I1998)=0), "BLANCO", IFERROR(VLOOKUP(I1998, BasedatosM9!A:B, 2, FALSE), "BLANCO")))</f>
        <v/>
      </c>
    </row>
    <row r="1999" spans="1:11" ht="14.4">
      <c r="A1999" s="21"/>
      <c r="B1999" s="86"/>
      <c r="C1999" s="98"/>
      <c r="D1999" s="21"/>
      <c r="E1999" s="86"/>
      <c r="F1999" s="99"/>
      <c r="G1999" s="99"/>
      <c r="H1999" s="21"/>
      <c r="I1999" s="86"/>
      <c r="J1999" s="21"/>
      <c r="K1999" s="5" t="str">
        <f>IF(AND(LEN(H1999)=0, LEN(I1999)=0), "", IF(AND(LEN(H1999)&gt;0, LEN(I1999)=0), "BLANCO", IFERROR(VLOOKUP(I1999, BasedatosM9!A:B, 2, FALSE), "BLANCO")))</f>
        <v/>
      </c>
    </row>
    <row r="2000" spans="1:11" ht="14.4">
      <c r="A2000" s="21"/>
      <c r="B2000" s="86"/>
      <c r="C2000" s="98"/>
      <c r="D2000" s="21"/>
      <c r="E2000" s="86"/>
      <c r="F2000" s="99"/>
      <c r="G2000" s="99"/>
      <c r="H2000" s="21"/>
      <c r="I2000" s="86"/>
      <c r="J2000" s="21"/>
      <c r="K2000" s="5" t="str">
        <f>IF(AND(LEN(H2000)=0, LEN(I2000)=0), "", IF(AND(LEN(H2000)&gt;0, LEN(I2000)=0), "BLANCO", IFERROR(VLOOKUP(I2000, BasedatosM9!A:B, 2, FALSE), "BLANCO")))</f>
        <v/>
      </c>
    </row>
    <row r="2001" spans="1:11" ht="14.4">
      <c r="A2001" s="21"/>
      <c r="B2001" s="86"/>
      <c r="C2001" s="98"/>
      <c r="D2001" s="21"/>
      <c r="E2001" s="86"/>
      <c r="F2001" s="99"/>
      <c r="G2001" s="99"/>
      <c r="H2001" s="21"/>
      <c r="I2001" s="86"/>
      <c r="J2001" s="21"/>
      <c r="K2001" s="5" t="str">
        <f>IF(AND(LEN(H2001)=0, LEN(I2001)=0), "", IF(AND(LEN(H2001)&gt;0, LEN(I2001)=0), "BLANCO", IFERROR(VLOOKUP(I2001, BasedatosM9!A:B, 2, FALSE), "BLANCO")))</f>
        <v/>
      </c>
    </row>
    <row r="2002" spans="1:11" ht="14.4">
      <c r="A2002" s="21"/>
      <c r="B2002" s="86"/>
      <c r="C2002" s="98"/>
      <c r="D2002" s="21"/>
      <c r="E2002" s="86"/>
      <c r="F2002" s="99"/>
      <c r="G2002" s="99"/>
      <c r="H2002" s="21"/>
      <c r="I2002" s="21"/>
      <c r="J2002" s="21"/>
      <c r="K2002" s="5" t="str">
        <f>IF(AND(LEN(H2002)=0, LEN(I2002)=0), "", IF(AND(LEN(H2002)&gt;0, LEN(I2002)=0), "BLANCO", IFERROR(VLOOKUP(I2002, BasedatosM9!A:B, 2, FALSE), "BLANCO")))</f>
        <v/>
      </c>
    </row>
    <row r="2003" spans="1:11" ht="14.4">
      <c r="A2003" s="21"/>
      <c r="B2003" s="86"/>
      <c r="C2003" s="98"/>
      <c r="D2003" s="21"/>
      <c r="E2003" s="86"/>
      <c r="F2003" s="99"/>
      <c r="G2003" s="99"/>
      <c r="H2003" s="21"/>
      <c r="I2003" s="86"/>
      <c r="J2003" s="21"/>
      <c r="K2003" s="5" t="str">
        <f>IF(AND(LEN(H2003)=0, LEN(I2003)=0), "", IF(AND(LEN(H2003)&gt;0, LEN(I2003)=0), "BLANCO", IFERROR(VLOOKUP(I2003, BasedatosM9!A:B, 2, FALSE), "BLANCO")))</f>
        <v/>
      </c>
    </row>
    <row r="2004" spans="1:11" ht="14.4">
      <c r="A2004" s="21"/>
      <c r="B2004" s="86"/>
      <c r="C2004" s="98"/>
      <c r="D2004" s="21"/>
      <c r="E2004" s="86"/>
      <c r="F2004" s="99"/>
      <c r="G2004" s="99"/>
      <c r="H2004" s="21"/>
      <c r="I2004" s="86"/>
      <c r="J2004" s="21"/>
      <c r="K2004" s="5" t="str">
        <f>IF(AND(LEN(H2004)=0, LEN(I2004)=0), "", IF(AND(LEN(H2004)&gt;0, LEN(I2004)=0), "BLANCO", IFERROR(VLOOKUP(I2004, BasedatosM9!A:B, 2, FALSE), "BLANCO")))</f>
        <v/>
      </c>
    </row>
    <row r="2005" spans="1:11" ht="14.4">
      <c r="A2005" s="21"/>
      <c r="B2005" s="86"/>
      <c r="C2005" s="98"/>
      <c r="D2005" s="21"/>
      <c r="E2005" s="86"/>
      <c r="F2005" s="99"/>
      <c r="G2005" s="99"/>
      <c r="H2005" s="21"/>
      <c r="I2005" s="86"/>
      <c r="J2005" s="21"/>
      <c r="K2005" s="5" t="str">
        <f>IF(AND(LEN(H2005)=0, LEN(I2005)=0), "", IF(AND(LEN(H2005)&gt;0, LEN(I2005)=0), "BLANCO", IFERROR(VLOOKUP(I2005, BasedatosM9!A:B, 2, FALSE), "BLANCO")))</f>
        <v/>
      </c>
    </row>
    <row r="2006" spans="1:11" ht="14.4">
      <c r="A2006" s="21"/>
      <c r="B2006" s="86"/>
      <c r="C2006" s="98"/>
      <c r="D2006" s="21"/>
      <c r="E2006" s="86"/>
      <c r="F2006" s="99"/>
      <c r="G2006" s="99"/>
      <c r="H2006" s="21"/>
      <c r="I2006" s="86"/>
      <c r="J2006" s="21"/>
      <c r="K2006" s="5" t="str">
        <f>IF(AND(LEN(H2006)=0, LEN(I2006)=0), "", IF(AND(LEN(H2006)&gt;0, LEN(I2006)=0), "BLANCO", IFERROR(VLOOKUP(I2006, BasedatosM9!A:B, 2, FALSE), "BLANCO")))</f>
        <v/>
      </c>
    </row>
    <row r="2007" spans="1:11" ht="14.4">
      <c r="A2007" s="21"/>
      <c r="B2007" s="86"/>
      <c r="C2007" s="98"/>
      <c r="D2007" s="21"/>
      <c r="E2007" s="86"/>
      <c r="F2007" s="99"/>
      <c r="G2007" s="99"/>
      <c r="H2007" s="21"/>
      <c r="I2007" s="86"/>
      <c r="J2007" s="21"/>
      <c r="K2007" s="5" t="str">
        <f>IF(AND(LEN(H2007)=0, LEN(I2007)=0), "", IF(AND(LEN(H2007)&gt;0, LEN(I2007)=0), "BLANCO", IFERROR(VLOOKUP(I2007, BasedatosM9!A:B, 2, FALSE), "BLANCO")))</f>
        <v/>
      </c>
    </row>
    <row r="2008" spans="1:11" ht="14.4">
      <c r="A2008" s="21"/>
      <c r="B2008" s="86"/>
      <c r="C2008" s="98"/>
      <c r="D2008" s="21"/>
      <c r="E2008" s="86"/>
      <c r="F2008" s="99"/>
      <c r="G2008" s="99"/>
      <c r="H2008" s="21"/>
      <c r="I2008" s="86"/>
      <c r="J2008" s="21"/>
      <c r="K2008" s="5" t="str">
        <f>IF(AND(LEN(H2008)=0, LEN(I2008)=0), "", IF(AND(LEN(H2008)&gt;0, LEN(I2008)=0), "BLANCO", IFERROR(VLOOKUP(I2008, BasedatosM9!A:B, 2, FALSE), "BLANCO")))</f>
        <v/>
      </c>
    </row>
    <row r="2009" spans="1:11" ht="14.4">
      <c r="A2009" s="21"/>
      <c r="B2009" s="86"/>
      <c r="C2009" s="98"/>
      <c r="D2009" s="21"/>
      <c r="E2009" s="86"/>
      <c r="F2009" s="99"/>
      <c r="G2009" s="99"/>
      <c r="H2009" s="21"/>
      <c r="I2009" s="86"/>
      <c r="J2009" s="21"/>
      <c r="K2009" s="5" t="str">
        <f>IF(AND(LEN(H2009)=0, LEN(I2009)=0), "", IF(AND(LEN(H2009)&gt;0, LEN(I2009)=0), "BLANCO", IFERROR(VLOOKUP(I2009, BasedatosM9!A:B, 2, FALSE), "BLANCO")))</f>
        <v/>
      </c>
    </row>
    <row r="2010" spans="1:11" ht="14.4">
      <c r="A2010" s="21"/>
      <c r="B2010" s="86"/>
      <c r="C2010" s="98"/>
      <c r="D2010" s="21"/>
      <c r="E2010" s="86"/>
      <c r="F2010" s="99"/>
      <c r="G2010" s="99"/>
      <c r="H2010" s="21"/>
      <c r="I2010" s="86"/>
      <c r="J2010" s="21"/>
      <c r="K2010" s="5" t="str">
        <f>IF(AND(LEN(H2010)=0, LEN(I2010)=0), "", IF(AND(LEN(H2010)&gt;0, LEN(I2010)=0), "BLANCO", IFERROR(VLOOKUP(I2010, BasedatosM9!A:B, 2, FALSE), "BLANCO")))</f>
        <v/>
      </c>
    </row>
    <row r="2011" spans="1:11" ht="14.4">
      <c r="A2011" s="21"/>
      <c r="B2011" s="86"/>
      <c r="C2011" s="98"/>
      <c r="D2011" s="21"/>
      <c r="E2011" s="86"/>
      <c r="F2011" s="99"/>
      <c r="G2011" s="99"/>
      <c r="H2011" s="21"/>
      <c r="I2011" s="21"/>
      <c r="J2011" s="21"/>
      <c r="K2011" s="5" t="str">
        <f>IF(AND(LEN(H2011)=0, LEN(I2011)=0), "", IF(AND(LEN(H2011)&gt;0, LEN(I2011)=0), "BLANCO", IFERROR(VLOOKUP(I2011, BasedatosM9!A:B, 2, FALSE), "BLANCO")))</f>
        <v/>
      </c>
    </row>
    <row r="2012" spans="1:11" ht="14.4">
      <c r="A2012" s="21"/>
      <c r="B2012" s="86"/>
      <c r="C2012" s="98"/>
      <c r="D2012" s="21"/>
      <c r="E2012" s="86"/>
      <c r="F2012" s="99"/>
      <c r="G2012" s="100"/>
      <c r="H2012" s="21"/>
      <c r="I2012" s="86"/>
      <c r="J2012" s="21"/>
      <c r="K2012" s="5" t="str">
        <f>IF(AND(LEN(H2012)=0, LEN(I2012)=0), "", IF(AND(LEN(H2012)&gt;0, LEN(I2012)=0), "BLANCO", IFERROR(VLOOKUP(I2012, BasedatosM9!A:B, 2, FALSE), "BLANCO")))</f>
        <v/>
      </c>
    </row>
    <row r="2013" spans="1:11" ht="14.4">
      <c r="A2013" s="21"/>
      <c r="B2013" s="86"/>
      <c r="C2013" s="98"/>
      <c r="D2013" s="21"/>
      <c r="E2013" s="86"/>
      <c r="F2013" s="99"/>
      <c r="G2013" s="99"/>
      <c r="H2013" s="21"/>
      <c r="I2013" s="86"/>
      <c r="J2013" s="21"/>
      <c r="K2013" s="5" t="str">
        <f>IF(AND(LEN(H2013)=0, LEN(I2013)=0), "", IF(AND(LEN(H2013)&gt;0, LEN(I2013)=0), "BLANCO", IFERROR(VLOOKUP(I2013, BasedatosM9!A:B, 2, FALSE), "BLANCO")))</f>
        <v/>
      </c>
    </row>
    <row r="2014" spans="1:11" ht="14.4">
      <c r="A2014" s="21"/>
      <c r="B2014" s="86"/>
      <c r="C2014" s="98"/>
      <c r="D2014" s="21"/>
      <c r="E2014" s="86"/>
      <c r="F2014" s="99"/>
      <c r="G2014" s="99"/>
      <c r="H2014" s="21"/>
      <c r="I2014" s="86"/>
      <c r="J2014" s="21"/>
      <c r="K2014" s="5" t="str">
        <f>IF(AND(LEN(H2014)=0, LEN(I2014)=0), "", IF(AND(LEN(H2014)&gt;0, LEN(I2014)=0), "BLANCO", IFERROR(VLOOKUP(I2014, BasedatosM9!A:B, 2, FALSE), "BLANCO")))</f>
        <v/>
      </c>
    </row>
    <row r="2015" spans="1:11" ht="14.4">
      <c r="A2015" s="21"/>
      <c r="B2015" s="86"/>
      <c r="C2015" s="98"/>
      <c r="D2015" s="21"/>
      <c r="E2015" s="86"/>
      <c r="F2015" s="99"/>
      <c r="G2015" s="99"/>
      <c r="H2015" s="21"/>
      <c r="I2015" s="86"/>
      <c r="J2015" s="21"/>
      <c r="K2015" s="5" t="str">
        <f>IF(AND(LEN(H2015)=0, LEN(I2015)=0), "", IF(AND(LEN(H2015)&gt;0, LEN(I2015)=0), "BLANCO", IFERROR(VLOOKUP(I2015, BasedatosM9!A:B, 2, FALSE), "BLANCO")))</f>
        <v/>
      </c>
    </row>
    <row r="2016" spans="1:11" ht="14.4">
      <c r="A2016" s="21"/>
      <c r="B2016" s="86"/>
      <c r="C2016" s="98"/>
      <c r="D2016" s="21"/>
      <c r="E2016" s="86"/>
      <c r="F2016" s="99"/>
      <c r="G2016" s="99"/>
      <c r="H2016" s="21"/>
      <c r="I2016" s="86"/>
      <c r="J2016" s="21"/>
      <c r="K2016" s="5" t="str">
        <f>IF(AND(LEN(H2016)=0, LEN(I2016)=0), "", IF(AND(LEN(H2016)&gt;0, LEN(I2016)=0), "BLANCO", IFERROR(VLOOKUP(I2016, BasedatosM9!A:B, 2, FALSE), "BLANCO")))</f>
        <v/>
      </c>
    </row>
    <row r="2017" spans="1:11" ht="14.4">
      <c r="A2017" s="21"/>
      <c r="B2017" s="86"/>
      <c r="C2017" s="98"/>
      <c r="D2017" s="21"/>
      <c r="E2017" s="86"/>
      <c r="F2017" s="99"/>
      <c r="G2017" s="99"/>
      <c r="H2017" s="21"/>
      <c r="I2017" s="86"/>
      <c r="J2017" s="21"/>
      <c r="K2017" s="5" t="str">
        <f>IF(AND(LEN(H2017)=0, LEN(I2017)=0), "", IF(AND(LEN(H2017)&gt;0, LEN(I2017)=0), "BLANCO", IFERROR(VLOOKUP(I2017, BasedatosM9!A:B, 2, FALSE), "BLANCO")))</f>
        <v/>
      </c>
    </row>
    <row r="2018" spans="1:11" ht="14.4">
      <c r="A2018" s="21"/>
      <c r="B2018" s="86"/>
      <c r="C2018" s="98"/>
      <c r="D2018" s="21"/>
      <c r="E2018" s="86"/>
      <c r="F2018" s="99"/>
      <c r="G2018" s="99"/>
      <c r="H2018" s="21"/>
      <c r="I2018" s="21"/>
      <c r="J2018" s="21"/>
      <c r="K2018" s="5" t="str">
        <f>IF(AND(LEN(H2018)=0, LEN(I2018)=0), "", IF(AND(LEN(H2018)&gt;0, LEN(I2018)=0), "BLANCO", IFERROR(VLOOKUP(I2018, BasedatosM9!A:B, 2, FALSE), "BLANCO")))</f>
        <v/>
      </c>
    </row>
    <row r="2019" spans="1:11" ht="14.4">
      <c r="A2019" s="21"/>
      <c r="B2019" s="86"/>
      <c r="C2019" s="98"/>
      <c r="D2019" s="21"/>
      <c r="E2019" s="86"/>
      <c r="F2019" s="99"/>
      <c r="G2019" s="99"/>
      <c r="H2019" s="21"/>
      <c r="I2019" s="86"/>
      <c r="J2019" s="21"/>
      <c r="K2019" s="5" t="str">
        <f>IF(AND(LEN(H2019)=0, LEN(I2019)=0), "", IF(AND(LEN(H2019)&gt;0, LEN(I2019)=0), "BLANCO", IFERROR(VLOOKUP(I2019, BasedatosM9!A:B, 2, FALSE), "BLANCO")))</f>
        <v/>
      </c>
    </row>
    <row r="2020" spans="1:11" ht="14.4">
      <c r="A2020" s="21"/>
      <c r="B2020" s="86"/>
      <c r="C2020" s="98"/>
      <c r="D2020" s="21"/>
      <c r="E2020" s="86"/>
      <c r="F2020" s="99"/>
      <c r="G2020" s="99"/>
      <c r="H2020" s="21"/>
      <c r="I2020" s="86"/>
      <c r="J2020" s="21"/>
      <c r="K2020" s="5" t="str">
        <f>IF(AND(LEN(H2020)=0, LEN(I2020)=0), "", IF(AND(LEN(H2020)&gt;0, LEN(I2020)=0), "BLANCO", IFERROR(VLOOKUP(I2020, BasedatosM9!A:B, 2, FALSE), "BLANCO")))</f>
        <v/>
      </c>
    </row>
    <row r="2021" spans="1:11" ht="14.4">
      <c r="A2021" s="21"/>
      <c r="B2021" s="86"/>
      <c r="C2021" s="98"/>
      <c r="D2021" s="21"/>
      <c r="E2021" s="86"/>
      <c r="F2021" s="99"/>
      <c r="G2021" s="99"/>
      <c r="H2021" s="21"/>
      <c r="I2021" s="21"/>
      <c r="J2021" s="21"/>
      <c r="K2021" s="5" t="str">
        <f>IF(AND(LEN(H2021)=0, LEN(I2021)=0), "", IF(AND(LEN(H2021)&gt;0, LEN(I2021)=0), "BLANCO", IFERROR(VLOOKUP(I2021, BasedatosM9!A:B, 2, FALSE), "BLANCO")))</f>
        <v/>
      </c>
    </row>
    <row r="2022" spans="1:11" ht="14.4">
      <c r="A2022" s="21"/>
      <c r="B2022" s="86"/>
      <c r="C2022" s="98"/>
      <c r="D2022" s="21"/>
      <c r="E2022" s="86"/>
      <c r="F2022" s="99"/>
      <c r="G2022" s="99"/>
      <c r="H2022" s="21"/>
      <c r="I2022" s="86"/>
      <c r="J2022" s="21"/>
      <c r="K2022" s="5" t="str">
        <f>IF(AND(LEN(H2022)=0, LEN(I2022)=0), "", IF(AND(LEN(H2022)&gt;0, LEN(I2022)=0), "BLANCO", IFERROR(VLOOKUP(I2022, BasedatosM9!A:B, 2, FALSE), "BLANCO")))</f>
        <v/>
      </c>
    </row>
    <row r="2023" spans="1:11" ht="14.4">
      <c r="A2023" s="21"/>
      <c r="B2023" s="86"/>
      <c r="C2023" s="98"/>
      <c r="D2023" s="21"/>
      <c r="E2023" s="86"/>
      <c r="F2023" s="99"/>
      <c r="G2023" s="99"/>
      <c r="H2023" s="21"/>
      <c r="I2023" s="86"/>
      <c r="J2023" s="21"/>
      <c r="K2023" s="5" t="str">
        <f>IF(AND(LEN(H2023)=0, LEN(I2023)=0), "", IF(AND(LEN(H2023)&gt;0, LEN(I2023)=0), "BLANCO", IFERROR(VLOOKUP(I2023, BasedatosM9!A:B, 2, FALSE), "BLANCO")))</f>
        <v/>
      </c>
    </row>
    <row r="2024" spans="1:11" ht="14.4">
      <c r="A2024" s="21"/>
      <c r="B2024" s="86"/>
      <c r="C2024" s="98"/>
      <c r="D2024" s="21"/>
      <c r="E2024" s="86"/>
      <c r="F2024" s="99"/>
      <c r="G2024" s="99"/>
      <c r="H2024" s="21"/>
      <c r="I2024" s="86"/>
      <c r="J2024" s="21"/>
      <c r="K2024" s="5" t="str">
        <f>IF(AND(LEN(H2024)=0, LEN(I2024)=0), "", IF(AND(LEN(H2024)&gt;0, LEN(I2024)=0), "BLANCO", IFERROR(VLOOKUP(I2024, BasedatosM9!A:B, 2, FALSE), "BLANCO")))</f>
        <v/>
      </c>
    </row>
    <row r="2025" spans="1:11" ht="14.4">
      <c r="A2025" s="21"/>
      <c r="B2025" s="86"/>
      <c r="C2025" s="98"/>
      <c r="D2025" s="21"/>
      <c r="E2025" s="86"/>
      <c r="F2025" s="99"/>
      <c r="G2025" s="99"/>
      <c r="H2025" s="21"/>
      <c r="I2025" s="86"/>
      <c r="J2025" s="21"/>
      <c r="K2025" s="5" t="str">
        <f>IF(AND(LEN(H2025)=0, LEN(I2025)=0), "", IF(AND(LEN(H2025)&gt;0, LEN(I2025)=0), "BLANCO", IFERROR(VLOOKUP(I2025, BasedatosM9!A:B, 2, FALSE), "BLANCO")))</f>
        <v/>
      </c>
    </row>
    <row r="2026" spans="1:11" ht="14.4">
      <c r="A2026" s="21"/>
      <c r="B2026" s="86"/>
      <c r="C2026" s="98"/>
      <c r="D2026" s="21"/>
      <c r="E2026" s="86"/>
      <c r="F2026" s="99"/>
      <c r="G2026" s="99"/>
      <c r="H2026" s="21"/>
      <c r="I2026" s="86"/>
      <c r="J2026" s="21"/>
      <c r="K2026" s="5" t="str">
        <f>IF(AND(LEN(H2026)=0, LEN(I2026)=0), "", IF(AND(LEN(H2026)&gt;0, LEN(I2026)=0), "BLANCO", IFERROR(VLOOKUP(I2026, BasedatosM9!A:B, 2, FALSE), "BLANCO")))</f>
        <v/>
      </c>
    </row>
    <row r="2027" spans="1:11" ht="14.4">
      <c r="A2027" s="21"/>
      <c r="B2027" s="86"/>
      <c r="C2027" s="98"/>
      <c r="D2027" s="21"/>
      <c r="E2027" s="86"/>
      <c r="F2027" s="99"/>
      <c r="G2027" s="99"/>
      <c r="H2027" s="21"/>
      <c r="I2027" s="86"/>
      <c r="J2027" s="21"/>
      <c r="K2027" s="5" t="str">
        <f>IF(AND(LEN(H2027)=0, LEN(I2027)=0), "", IF(AND(LEN(H2027)&gt;0, LEN(I2027)=0), "BLANCO", IFERROR(VLOOKUP(I2027, BasedatosM9!A:B, 2, FALSE), "BLANCO")))</f>
        <v/>
      </c>
    </row>
    <row r="2028" spans="1:11" ht="14.4">
      <c r="A2028" s="21"/>
      <c r="B2028" s="86"/>
      <c r="C2028" s="98"/>
      <c r="D2028" s="21"/>
      <c r="E2028" s="86"/>
      <c r="F2028" s="99"/>
      <c r="G2028" s="99"/>
      <c r="H2028" s="21"/>
      <c r="I2028" s="86"/>
      <c r="J2028" s="21"/>
      <c r="K2028" s="5" t="str">
        <f>IF(AND(LEN(H2028)=0, LEN(I2028)=0), "", IF(AND(LEN(H2028)&gt;0, LEN(I2028)=0), "BLANCO", IFERROR(VLOOKUP(I2028, BasedatosM9!A:B, 2, FALSE), "BLANCO")))</f>
        <v/>
      </c>
    </row>
    <row r="2029" spans="1:11" ht="14.4">
      <c r="A2029" s="21"/>
      <c r="B2029" s="86"/>
      <c r="C2029" s="98"/>
      <c r="D2029" s="21"/>
      <c r="E2029" s="86"/>
      <c r="F2029" s="99"/>
      <c r="G2029" s="99"/>
      <c r="H2029" s="21"/>
      <c r="I2029" s="21"/>
      <c r="J2029" s="21"/>
      <c r="K2029" s="5" t="str">
        <f>IF(AND(LEN(H2029)=0, LEN(I2029)=0), "", IF(AND(LEN(H2029)&gt;0, LEN(I2029)=0), "BLANCO", IFERROR(VLOOKUP(I2029, BasedatosM9!A:B, 2, FALSE), "BLANCO")))</f>
        <v/>
      </c>
    </row>
    <row r="2030" spans="1:11" ht="14.4">
      <c r="A2030" s="21"/>
      <c r="B2030" s="86"/>
      <c r="C2030" s="98"/>
      <c r="D2030" s="21"/>
      <c r="E2030" s="86"/>
      <c r="F2030" s="99"/>
      <c r="G2030" s="99"/>
      <c r="H2030" s="21"/>
      <c r="I2030" s="21"/>
      <c r="J2030" s="21"/>
      <c r="K2030" s="5" t="str">
        <f>IF(AND(LEN(H2030)=0, LEN(I2030)=0), "", IF(AND(LEN(H2030)&gt;0, LEN(I2030)=0), "BLANCO", IFERROR(VLOOKUP(I2030, BasedatosM9!A:B, 2, FALSE), "BLANCO")))</f>
        <v/>
      </c>
    </row>
    <row r="2031" spans="1:11" ht="14.4">
      <c r="A2031" s="21"/>
      <c r="B2031" s="86"/>
      <c r="C2031" s="98"/>
      <c r="D2031" s="21"/>
      <c r="E2031" s="86"/>
      <c r="F2031" s="99"/>
      <c r="G2031" s="99"/>
      <c r="H2031" s="21"/>
      <c r="I2031" s="86"/>
      <c r="J2031" s="21"/>
      <c r="K2031" s="5" t="str">
        <f>IF(AND(LEN(H2031)=0, LEN(I2031)=0), "", IF(AND(LEN(H2031)&gt;0, LEN(I2031)=0), "BLANCO", IFERROR(VLOOKUP(I2031, BasedatosM9!A:B, 2, FALSE), "BLANCO")))</f>
        <v/>
      </c>
    </row>
    <row r="2032" spans="1:11" ht="14.4">
      <c r="A2032" s="21"/>
      <c r="B2032" s="86"/>
      <c r="C2032" s="98"/>
      <c r="D2032" s="21"/>
      <c r="E2032" s="86"/>
      <c r="F2032" s="99"/>
      <c r="G2032" s="99"/>
      <c r="H2032" s="21"/>
      <c r="I2032" s="86"/>
      <c r="J2032" s="21"/>
      <c r="K2032" s="5" t="str">
        <f>IF(AND(LEN(H2032)=0, LEN(I2032)=0), "", IF(AND(LEN(H2032)&gt;0, LEN(I2032)=0), "BLANCO", IFERROR(VLOOKUP(I2032, BasedatosM9!A:B, 2, FALSE), "BLANCO")))</f>
        <v/>
      </c>
    </row>
    <row r="2033" spans="1:11" ht="14.4">
      <c r="A2033" s="21"/>
      <c r="B2033" s="86"/>
      <c r="C2033" s="98"/>
      <c r="D2033" s="21"/>
      <c r="E2033" s="86"/>
      <c r="F2033" s="99"/>
      <c r="G2033" s="99"/>
      <c r="H2033" s="21"/>
      <c r="I2033" s="86"/>
      <c r="J2033" s="21"/>
      <c r="K2033" s="5" t="str">
        <f>IF(AND(LEN(H2033)=0, LEN(I2033)=0), "", IF(AND(LEN(H2033)&gt;0, LEN(I2033)=0), "BLANCO", IFERROR(VLOOKUP(I2033, BasedatosM9!A:B, 2, FALSE), "BLANCO")))</f>
        <v/>
      </c>
    </row>
    <row r="2034" spans="1:11" ht="14.4">
      <c r="A2034" s="21"/>
      <c r="B2034" s="86"/>
      <c r="C2034" s="98"/>
      <c r="D2034" s="21"/>
      <c r="E2034" s="86"/>
      <c r="F2034" s="99"/>
      <c r="G2034" s="99"/>
      <c r="H2034" s="21"/>
      <c r="I2034" s="86"/>
      <c r="J2034" s="21"/>
      <c r="K2034" s="5" t="str">
        <f>IF(AND(LEN(H2034)=0, LEN(I2034)=0), "", IF(AND(LEN(H2034)&gt;0, LEN(I2034)=0), "BLANCO", IFERROR(VLOOKUP(I2034, BasedatosM9!A:B, 2, FALSE), "BLANCO")))</f>
        <v/>
      </c>
    </row>
    <row r="2035" spans="1:11" ht="14.4">
      <c r="A2035" s="21"/>
      <c r="B2035" s="86"/>
      <c r="C2035" s="98"/>
      <c r="D2035" s="21"/>
      <c r="E2035" s="86"/>
      <c r="F2035" s="99"/>
      <c r="G2035" s="99"/>
      <c r="H2035" s="21"/>
      <c r="I2035" s="21"/>
      <c r="J2035" s="21"/>
      <c r="K2035" s="5" t="str">
        <f>IF(AND(LEN(H2035)=0, LEN(I2035)=0), "", IF(AND(LEN(H2035)&gt;0, LEN(I2035)=0), "BLANCO", IFERROR(VLOOKUP(I2035, BasedatosM9!A:B, 2, FALSE), "BLANCO")))</f>
        <v/>
      </c>
    </row>
    <row r="2036" spans="1:11" ht="14.4">
      <c r="A2036" s="21"/>
      <c r="B2036" s="86"/>
      <c r="C2036" s="98"/>
      <c r="D2036" s="21"/>
      <c r="E2036" s="86"/>
      <c r="F2036" s="99"/>
      <c r="G2036" s="99"/>
      <c r="H2036" s="21"/>
      <c r="I2036" s="21"/>
      <c r="J2036" s="21"/>
      <c r="K2036" s="5" t="str">
        <f>IF(AND(LEN(H2036)=0, LEN(I2036)=0), "", IF(AND(LEN(H2036)&gt;0, LEN(I2036)=0), "BLANCO", IFERROR(VLOOKUP(I2036, BasedatosM9!A:B, 2, FALSE), "BLANCO")))</f>
        <v/>
      </c>
    </row>
    <row r="2037" spans="1:11" ht="14.4">
      <c r="A2037" s="21"/>
      <c r="B2037" s="86"/>
      <c r="C2037" s="98"/>
      <c r="D2037" s="21"/>
      <c r="E2037" s="86"/>
      <c r="F2037" s="99"/>
      <c r="G2037" s="99"/>
      <c r="H2037" s="21"/>
      <c r="I2037" s="21"/>
      <c r="J2037" s="21"/>
      <c r="K2037" s="5" t="str">
        <f>IF(AND(LEN(H2037)=0, LEN(I2037)=0), "", IF(AND(LEN(H2037)&gt;0, LEN(I2037)=0), "BLANCO", IFERROR(VLOOKUP(I2037, BasedatosM9!A:B, 2, FALSE), "BLANCO")))</f>
        <v/>
      </c>
    </row>
    <row r="2038" spans="1:11" ht="14.4">
      <c r="A2038" s="21"/>
      <c r="B2038" s="86"/>
      <c r="C2038" s="98"/>
      <c r="D2038" s="21"/>
      <c r="E2038" s="86"/>
      <c r="F2038" s="99"/>
      <c r="G2038" s="99"/>
      <c r="H2038" s="21"/>
      <c r="I2038" s="86"/>
      <c r="J2038" s="21"/>
      <c r="K2038" s="5" t="str">
        <f>IF(AND(LEN(H2038)=0, LEN(I2038)=0), "", IF(AND(LEN(H2038)&gt;0, LEN(I2038)=0), "BLANCO", IFERROR(VLOOKUP(I2038, BasedatosM9!A:B, 2, FALSE), "BLANCO")))</f>
        <v/>
      </c>
    </row>
    <row r="2039" spans="1:11" ht="14.4">
      <c r="A2039" s="21"/>
      <c r="B2039" s="86"/>
      <c r="C2039" s="98"/>
      <c r="D2039" s="21"/>
      <c r="E2039" s="86"/>
      <c r="F2039" s="99"/>
      <c r="G2039" s="99"/>
      <c r="H2039" s="21"/>
      <c r="I2039" s="86"/>
      <c r="J2039" s="21"/>
      <c r="K2039" s="5" t="str">
        <f>IF(AND(LEN(H2039)=0, LEN(I2039)=0), "", IF(AND(LEN(H2039)&gt;0, LEN(I2039)=0), "BLANCO", IFERROR(VLOOKUP(I2039, BasedatosM9!A:B, 2, FALSE), "BLANCO")))</f>
        <v/>
      </c>
    </row>
    <row r="2040" spans="1:11" ht="14.4">
      <c r="A2040" s="21"/>
      <c r="B2040" s="86"/>
      <c r="C2040" s="98"/>
      <c r="D2040" s="21"/>
      <c r="E2040" s="86"/>
      <c r="F2040" s="99"/>
      <c r="G2040" s="99"/>
      <c r="H2040" s="21"/>
      <c r="I2040" s="86"/>
      <c r="J2040" s="21"/>
      <c r="K2040" s="5" t="str">
        <f>IF(AND(LEN(H2040)=0, LEN(I2040)=0), "", IF(AND(LEN(H2040)&gt;0, LEN(I2040)=0), "BLANCO", IFERROR(VLOOKUP(I2040, BasedatosM9!A:B, 2, FALSE), "BLANCO")))</f>
        <v/>
      </c>
    </row>
    <row r="2041" spans="1:11" ht="14.4">
      <c r="A2041" s="21"/>
      <c r="B2041" s="86"/>
      <c r="C2041" s="98"/>
      <c r="D2041" s="21"/>
      <c r="E2041" s="86"/>
      <c r="F2041" s="99"/>
      <c r="G2041" s="99"/>
      <c r="H2041" s="21"/>
      <c r="I2041" s="86"/>
      <c r="J2041" s="21"/>
      <c r="K2041" s="5" t="str">
        <f>IF(AND(LEN(H2041)=0, LEN(I2041)=0), "", IF(AND(LEN(H2041)&gt;0, LEN(I2041)=0), "BLANCO", IFERROR(VLOOKUP(I2041, BasedatosM9!A:B, 2, FALSE), "BLANCO")))</f>
        <v/>
      </c>
    </row>
    <row r="2042" spans="1:11" ht="14.4">
      <c r="A2042" s="21"/>
      <c r="B2042" s="86"/>
      <c r="C2042" s="98"/>
      <c r="D2042" s="21"/>
      <c r="E2042" s="86"/>
      <c r="F2042" s="99"/>
      <c r="G2042" s="99"/>
      <c r="H2042" s="21"/>
      <c r="I2042" s="86"/>
      <c r="J2042" s="21"/>
      <c r="K2042" s="5" t="str">
        <f>IF(AND(LEN(H2042)=0, LEN(I2042)=0), "", IF(AND(LEN(H2042)&gt;0, LEN(I2042)=0), "BLANCO", IFERROR(VLOOKUP(I2042, BasedatosM9!A:B, 2, FALSE), "BLANCO")))</f>
        <v/>
      </c>
    </row>
    <row r="2043" spans="1:11" ht="14.4">
      <c r="A2043" s="21"/>
      <c r="B2043" s="86"/>
      <c r="C2043" s="98"/>
      <c r="D2043" s="21"/>
      <c r="E2043" s="86"/>
      <c r="F2043" s="99"/>
      <c r="G2043" s="99"/>
      <c r="H2043" s="21"/>
      <c r="I2043" s="21"/>
      <c r="J2043" s="21"/>
      <c r="K2043" s="5" t="str">
        <f>IF(AND(LEN(H2043)=0, LEN(I2043)=0), "", IF(AND(LEN(H2043)&gt;0, LEN(I2043)=0), "BLANCO", IFERROR(VLOOKUP(I2043, BasedatosM9!A:B, 2, FALSE), "BLANCO")))</f>
        <v/>
      </c>
    </row>
    <row r="2044" spans="1:11" ht="14.4">
      <c r="A2044" s="21"/>
      <c r="B2044" s="86"/>
      <c r="C2044" s="98"/>
      <c r="D2044" s="21"/>
      <c r="E2044" s="86"/>
      <c r="F2044" s="99"/>
      <c r="G2044" s="99"/>
      <c r="H2044" s="21"/>
      <c r="I2044" s="86"/>
      <c r="J2044" s="21"/>
      <c r="K2044" s="5" t="str">
        <f>IF(AND(LEN(H2044)=0, LEN(I2044)=0), "", IF(AND(LEN(H2044)&gt;0, LEN(I2044)=0), "BLANCO", IFERROR(VLOOKUP(I2044, BasedatosM9!A:B, 2, FALSE), "BLANCO")))</f>
        <v/>
      </c>
    </row>
    <row r="2045" spans="1:11" ht="14.4">
      <c r="A2045" s="21"/>
      <c r="B2045" s="86"/>
      <c r="C2045" s="98"/>
      <c r="D2045" s="21"/>
      <c r="E2045" s="86"/>
      <c r="F2045" s="99"/>
      <c r="G2045" s="99"/>
      <c r="H2045" s="21"/>
      <c r="I2045" s="21"/>
      <c r="J2045" s="21"/>
      <c r="K2045" s="5" t="str">
        <f>IF(AND(LEN(H2045)=0, LEN(I2045)=0), "", IF(AND(LEN(H2045)&gt;0, LEN(I2045)=0), "BLANCO", IFERROR(VLOOKUP(I2045, BasedatosM9!A:B, 2, FALSE), "BLANCO")))</f>
        <v/>
      </c>
    </row>
    <row r="2046" spans="1:11" ht="14.4">
      <c r="A2046" s="21"/>
      <c r="B2046" s="86"/>
      <c r="C2046" s="98"/>
      <c r="D2046" s="21"/>
      <c r="E2046" s="86"/>
      <c r="F2046" s="99"/>
      <c r="G2046" s="99"/>
      <c r="H2046" s="21"/>
      <c r="I2046" s="21"/>
      <c r="J2046" s="21"/>
      <c r="K2046" s="5" t="str">
        <f>IF(AND(LEN(H2046)=0, LEN(I2046)=0), "", IF(AND(LEN(H2046)&gt;0, LEN(I2046)=0), "BLANCO", IFERROR(VLOOKUP(I2046, BasedatosM9!A:B, 2, FALSE), "BLANCO")))</f>
        <v/>
      </c>
    </row>
    <row r="2047" spans="1:11" ht="14.4">
      <c r="A2047" s="21"/>
      <c r="B2047" s="86"/>
      <c r="C2047" s="98"/>
      <c r="D2047" s="21"/>
      <c r="E2047" s="86"/>
      <c r="F2047" s="99"/>
      <c r="G2047" s="99"/>
      <c r="H2047" s="21"/>
      <c r="I2047" s="21"/>
      <c r="J2047" s="21"/>
      <c r="K2047" s="5" t="str">
        <f>IF(AND(LEN(H2047)=0, LEN(I2047)=0), "", IF(AND(LEN(H2047)&gt;0, LEN(I2047)=0), "BLANCO", IFERROR(VLOOKUP(I2047, BasedatosM9!A:B, 2, FALSE), "BLANCO")))</f>
        <v/>
      </c>
    </row>
    <row r="2048" spans="1:11" ht="14.4">
      <c r="A2048" s="21"/>
      <c r="B2048" s="86"/>
      <c r="C2048" s="98"/>
      <c r="D2048" s="21"/>
      <c r="E2048" s="86"/>
      <c r="F2048" s="99"/>
      <c r="G2048" s="99"/>
      <c r="H2048" s="21"/>
      <c r="I2048" s="21"/>
      <c r="J2048" s="21"/>
      <c r="K2048" s="5" t="str">
        <f>IF(AND(LEN(H2048)=0, LEN(I2048)=0), "", IF(AND(LEN(H2048)&gt;0, LEN(I2048)=0), "BLANCO", IFERROR(VLOOKUP(I2048, BasedatosM9!A:B, 2, FALSE), "BLANCO")))</f>
        <v/>
      </c>
    </row>
    <row r="2049" spans="1:11" ht="14.4">
      <c r="A2049" s="21"/>
      <c r="B2049" s="86"/>
      <c r="C2049" s="98"/>
      <c r="D2049" s="21"/>
      <c r="E2049" s="86"/>
      <c r="F2049" s="99"/>
      <c r="G2049" s="99"/>
      <c r="H2049" s="21"/>
      <c r="I2049" s="86"/>
      <c r="J2049" s="21"/>
      <c r="K2049" s="5" t="str">
        <f>IF(AND(LEN(H2049)=0, LEN(I2049)=0), "", IF(AND(LEN(H2049)&gt;0, LEN(I2049)=0), "BLANCO", IFERROR(VLOOKUP(I2049, BasedatosM9!A:B, 2, FALSE), "BLANCO")))</f>
        <v/>
      </c>
    </row>
    <row r="2050" spans="1:11" ht="14.4">
      <c r="A2050" s="21"/>
      <c r="B2050" s="86"/>
      <c r="C2050" s="98"/>
      <c r="D2050" s="21"/>
      <c r="E2050" s="86"/>
      <c r="F2050" s="99"/>
      <c r="G2050" s="99"/>
      <c r="H2050" s="21"/>
      <c r="I2050" s="21"/>
      <c r="J2050" s="21"/>
      <c r="K2050" s="5" t="str">
        <f>IF(AND(LEN(H2050)=0, LEN(I2050)=0), "", IF(AND(LEN(H2050)&gt;0, LEN(I2050)=0), "BLANCO", IFERROR(VLOOKUP(I2050, BasedatosM9!A:B, 2, FALSE), "BLANCO")))</f>
        <v/>
      </c>
    </row>
    <row r="2051" spans="1:11" ht="14.4">
      <c r="A2051" s="21"/>
      <c r="B2051" s="86"/>
      <c r="C2051" s="98"/>
      <c r="D2051" s="21"/>
      <c r="E2051" s="86"/>
      <c r="F2051" s="99"/>
      <c r="G2051" s="99"/>
      <c r="H2051" s="21"/>
      <c r="I2051" s="86"/>
      <c r="J2051" s="21"/>
      <c r="K2051" s="5" t="str">
        <f>IF(AND(LEN(H2051)=0, LEN(I2051)=0), "", IF(AND(LEN(H2051)&gt;0, LEN(I2051)=0), "BLANCO", IFERROR(VLOOKUP(I2051, BasedatosM9!A:B, 2, FALSE), "BLANCO")))</f>
        <v/>
      </c>
    </row>
    <row r="2052" spans="1:11" ht="14.4">
      <c r="A2052" s="21"/>
      <c r="B2052" s="86"/>
      <c r="C2052" s="98"/>
      <c r="D2052" s="21"/>
      <c r="E2052" s="86"/>
      <c r="F2052" s="99"/>
      <c r="G2052" s="99"/>
      <c r="H2052" s="21"/>
      <c r="I2052" s="86"/>
      <c r="J2052" s="21"/>
      <c r="K2052" s="5" t="str">
        <f>IF(AND(LEN(H2052)=0, LEN(I2052)=0), "", IF(AND(LEN(H2052)&gt;0, LEN(I2052)=0), "BLANCO", IFERROR(VLOOKUP(I2052, BasedatosM9!A:B, 2, FALSE), "BLANCO")))</f>
        <v/>
      </c>
    </row>
    <row r="2053" spans="1:11" ht="14.4">
      <c r="A2053" s="21"/>
      <c r="B2053" s="86"/>
      <c r="C2053" s="98"/>
      <c r="D2053" s="21"/>
      <c r="E2053" s="86"/>
      <c r="F2053" s="99"/>
      <c r="G2053" s="99"/>
      <c r="H2053" s="21"/>
      <c r="I2053" s="21"/>
      <c r="J2053" s="21"/>
      <c r="K2053" s="5" t="str">
        <f>IF(AND(LEN(H2053)=0, LEN(I2053)=0), "", IF(AND(LEN(H2053)&gt;0, LEN(I2053)=0), "BLANCO", IFERROR(VLOOKUP(I2053, BasedatosM9!A:B, 2, FALSE), "BLANCO")))</f>
        <v/>
      </c>
    </row>
    <row r="2054" spans="1:11" ht="14.4">
      <c r="A2054" s="21"/>
      <c r="B2054" s="86"/>
      <c r="C2054" s="98"/>
      <c r="D2054" s="21"/>
      <c r="E2054" s="86"/>
      <c r="F2054" s="99"/>
      <c r="G2054" s="99"/>
      <c r="H2054" s="21"/>
      <c r="I2054" s="21"/>
      <c r="J2054" s="21"/>
      <c r="K2054" s="5" t="str">
        <f>IF(AND(LEN(H2054)=0, LEN(I2054)=0), "", IF(AND(LEN(H2054)&gt;0, LEN(I2054)=0), "BLANCO", IFERROR(VLOOKUP(I2054, BasedatosM9!A:B, 2, FALSE), "BLANCO")))</f>
        <v/>
      </c>
    </row>
    <row r="2055" spans="1:11" ht="14.4">
      <c r="A2055" s="21"/>
      <c r="B2055" s="86"/>
      <c r="C2055" s="98"/>
      <c r="D2055" s="21"/>
      <c r="E2055" s="86"/>
      <c r="F2055" s="99"/>
      <c r="G2055" s="99"/>
      <c r="H2055" s="21"/>
      <c r="I2055" s="86"/>
      <c r="J2055" s="21"/>
      <c r="K2055" s="5" t="str">
        <f>IF(AND(LEN(H2055)=0, LEN(I2055)=0), "", IF(AND(LEN(H2055)&gt;0, LEN(I2055)=0), "BLANCO", IFERROR(VLOOKUP(I2055, BasedatosM9!A:B, 2, FALSE), "BLANCO")))</f>
        <v/>
      </c>
    </row>
    <row r="2056" spans="1:11" ht="14.4">
      <c r="A2056" s="21"/>
      <c r="B2056" s="86"/>
      <c r="C2056" s="98"/>
      <c r="D2056" s="21"/>
      <c r="E2056" s="86"/>
      <c r="F2056" s="99"/>
      <c r="G2056" s="99"/>
      <c r="H2056" s="21"/>
      <c r="I2056" s="86"/>
      <c r="J2056" s="21"/>
      <c r="K2056" s="5" t="str">
        <f>IF(AND(LEN(H2056)=0, LEN(I2056)=0), "", IF(AND(LEN(H2056)&gt;0, LEN(I2056)=0), "BLANCO", IFERROR(VLOOKUP(I2056, BasedatosM9!A:B, 2, FALSE), "BLANCO")))</f>
        <v/>
      </c>
    </row>
    <row r="2057" spans="1:11" ht="14.4">
      <c r="A2057" s="21"/>
      <c r="B2057" s="86"/>
      <c r="C2057" s="98"/>
      <c r="D2057" s="21"/>
      <c r="E2057" s="86"/>
      <c r="F2057" s="99"/>
      <c r="G2057" s="99"/>
      <c r="H2057" s="21"/>
      <c r="I2057" s="86"/>
      <c r="J2057" s="21"/>
      <c r="K2057" s="5" t="str">
        <f>IF(AND(LEN(H2057)=0, LEN(I2057)=0), "", IF(AND(LEN(H2057)&gt;0, LEN(I2057)=0), "BLANCO", IFERROR(VLOOKUP(I2057, BasedatosM9!A:B, 2, FALSE), "BLANCO")))</f>
        <v/>
      </c>
    </row>
    <row r="2058" spans="1:11" ht="14.4">
      <c r="A2058" s="21"/>
      <c r="B2058" s="86"/>
      <c r="C2058" s="98"/>
      <c r="D2058" s="21"/>
      <c r="E2058" s="86"/>
      <c r="F2058" s="99"/>
      <c r="G2058" s="99"/>
      <c r="H2058" s="21"/>
      <c r="I2058" s="86"/>
      <c r="J2058" s="21"/>
      <c r="K2058" s="5" t="str">
        <f>IF(AND(LEN(H2058)=0, LEN(I2058)=0), "", IF(AND(LEN(H2058)&gt;0, LEN(I2058)=0), "BLANCO", IFERROR(VLOOKUP(I2058, BasedatosM9!A:B, 2, FALSE), "BLANCO")))</f>
        <v/>
      </c>
    </row>
    <row r="2059" spans="1:11" ht="14.4">
      <c r="A2059" s="21"/>
      <c r="B2059" s="86"/>
      <c r="C2059" s="98"/>
      <c r="D2059" s="21"/>
      <c r="E2059" s="86"/>
      <c r="F2059" s="99"/>
      <c r="G2059" s="99"/>
      <c r="H2059" s="21"/>
      <c r="I2059" s="86"/>
      <c r="J2059" s="21"/>
      <c r="K2059" s="5" t="str">
        <f>IF(AND(LEN(H2059)=0, LEN(I2059)=0), "", IF(AND(LEN(H2059)&gt;0, LEN(I2059)=0), "BLANCO", IFERROR(VLOOKUP(I2059, BasedatosM9!A:B, 2, FALSE), "BLANCO")))</f>
        <v/>
      </c>
    </row>
    <row r="2060" spans="1:11" ht="14.4">
      <c r="A2060" s="21"/>
      <c r="B2060" s="86"/>
      <c r="C2060" s="98"/>
      <c r="D2060" s="21"/>
      <c r="E2060" s="86"/>
      <c r="F2060" s="99"/>
      <c r="G2060" s="99"/>
      <c r="H2060" s="21"/>
      <c r="I2060" s="86"/>
      <c r="J2060" s="21"/>
      <c r="K2060" s="5" t="str">
        <f>IF(AND(LEN(H2060)=0, LEN(I2060)=0), "", IF(AND(LEN(H2060)&gt;0, LEN(I2060)=0), "BLANCO", IFERROR(VLOOKUP(I2060, BasedatosM9!A:B, 2, FALSE), "BLANCO")))</f>
        <v/>
      </c>
    </row>
    <row r="2061" spans="1:11" ht="14.4">
      <c r="A2061" s="21"/>
      <c r="B2061" s="86"/>
      <c r="C2061" s="98"/>
      <c r="D2061" s="21"/>
      <c r="E2061" s="86"/>
      <c r="F2061" s="99"/>
      <c r="G2061" s="99"/>
      <c r="H2061" s="21"/>
      <c r="I2061" s="86"/>
      <c r="J2061" s="21"/>
      <c r="K2061" s="5" t="str">
        <f>IF(AND(LEN(H2061)=0, LEN(I2061)=0), "", IF(AND(LEN(H2061)&gt;0, LEN(I2061)=0), "BLANCO", IFERROR(VLOOKUP(I2061, BasedatosM9!A:B, 2, FALSE), "BLANCO")))</f>
        <v/>
      </c>
    </row>
    <row r="2062" spans="1:11" ht="14.4">
      <c r="A2062" s="21"/>
      <c r="B2062" s="86"/>
      <c r="C2062" s="98"/>
      <c r="D2062" s="21"/>
      <c r="E2062" s="86"/>
      <c r="F2062" s="99"/>
      <c r="G2062" s="99"/>
      <c r="H2062" s="21"/>
      <c r="I2062" s="86"/>
      <c r="J2062" s="21"/>
      <c r="K2062" s="5" t="str">
        <f>IF(AND(LEN(H2062)=0, LEN(I2062)=0), "", IF(AND(LEN(H2062)&gt;0, LEN(I2062)=0), "BLANCO", IFERROR(VLOOKUP(I2062, BasedatosM9!A:B, 2, FALSE), "BLANCO")))</f>
        <v/>
      </c>
    </row>
    <row r="2063" spans="1:11" ht="14.4">
      <c r="A2063" s="21"/>
      <c r="B2063" s="86"/>
      <c r="C2063" s="98"/>
      <c r="D2063" s="21"/>
      <c r="E2063" s="86"/>
      <c r="F2063" s="99"/>
      <c r="G2063" s="99"/>
      <c r="H2063" s="21"/>
      <c r="I2063" s="86"/>
      <c r="J2063" s="21"/>
      <c r="K2063" s="5" t="str">
        <f>IF(AND(LEN(H2063)=0, LEN(I2063)=0), "", IF(AND(LEN(H2063)&gt;0, LEN(I2063)=0), "BLANCO", IFERROR(VLOOKUP(I2063, BasedatosM9!A:B, 2, FALSE), "BLANCO")))</f>
        <v/>
      </c>
    </row>
    <row r="2064" spans="1:11" ht="14.4">
      <c r="A2064" s="21"/>
      <c r="B2064" s="86"/>
      <c r="C2064" s="98"/>
      <c r="D2064" s="21"/>
      <c r="E2064" s="86"/>
      <c r="F2064" s="99"/>
      <c r="G2064" s="99"/>
      <c r="H2064" s="21"/>
      <c r="I2064" s="21"/>
      <c r="J2064" s="21"/>
      <c r="K2064" s="5" t="str">
        <f>IF(AND(LEN(H2064)=0, LEN(I2064)=0), "", IF(AND(LEN(H2064)&gt;0, LEN(I2064)=0), "BLANCO", IFERROR(VLOOKUP(I2064, BasedatosM9!A:B, 2, FALSE), "BLANCO")))</f>
        <v/>
      </c>
    </row>
    <row r="2065" spans="1:11" ht="14.4">
      <c r="A2065" s="21"/>
      <c r="B2065" s="86"/>
      <c r="C2065" s="98"/>
      <c r="D2065" s="21"/>
      <c r="E2065" s="86"/>
      <c r="F2065" s="99"/>
      <c r="G2065" s="99"/>
      <c r="H2065" s="21"/>
      <c r="I2065" s="86"/>
      <c r="J2065" s="21"/>
      <c r="K2065" s="5" t="str">
        <f>IF(AND(LEN(H2065)=0, LEN(I2065)=0), "", IF(AND(LEN(H2065)&gt;0, LEN(I2065)=0), "BLANCO", IFERROR(VLOOKUP(I2065, BasedatosM9!A:B, 2, FALSE), "BLANCO")))</f>
        <v/>
      </c>
    </row>
    <row r="2066" spans="1:11" ht="14.4">
      <c r="A2066" s="21"/>
      <c r="B2066" s="86"/>
      <c r="C2066" s="98"/>
      <c r="D2066" s="21"/>
      <c r="E2066" s="86"/>
      <c r="F2066" s="99"/>
      <c r="G2066" s="99"/>
      <c r="H2066" s="21"/>
      <c r="I2066" s="21"/>
      <c r="J2066" s="21"/>
      <c r="K2066" s="5" t="str">
        <f>IF(AND(LEN(H2066)=0, LEN(I2066)=0), "", IF(AND(LEN(H2066)&gt;0, LEN(I2066)=0), "BLANCO", IFERROR(VLOOKUP(I2066, BasedatosM9!A:B, 2, FALSE), "BLANCO")))</f>
        <v/>
      </c>
    </row>
    <row r="2067" spans="1:11" ht="14.4">
      <c r="A2067" s="21"/>
      <c r="B2067" s="86"/>
      <c r="C2067" s="98"/>
      <c r="D2067" s="21"/>
      <c r="E2067" s="86"/>
      <c r="F2067" s="99"/>
      <c r="G2067" s="99"/>
      <c r="H2067" s="21"/>
      <c r="I2067" s="86"/>
      <c r="J2067" s="21"/>
      <c r="K2067" s="5" t="str">
        <f>IF(AND(LEN(H2067)=0, LEN(I2067)=0), "", IF(AND(LEN(H2067)&gt;0, LEN(I2067)=0), "BLANCO", IFERROR(VLOOKUP(I2067, BasedatosM9!A:B, 2, FALSE), "BLANCO")))</f>
        <v/>
      </c>
    </row>
    <row r="2068" spans="1:11" ht="14.4">
      <c r="A2068" s="21"/>
      <c r="B2068" s="86"/>
      <c r="C2068" s="98"/>
      <c r="D2068" s="21"/>
      <c r="E2068" s="86"/>
      <c r="F2068" s="99"/>
      <c r="G2068" s="99"/>
      <c r="H2068" s="21"/>
      <c r="I2068" s="86"/>
      <c r="J2068" s="21"/>
      <c r="K2068" s="5" t="str">
        <f>IF(AND(LEN(H2068)=0, LEN(I2068)=0), "", IF(AND(LEN(H2068)&gt;0, LEN(I2068)=0), "BLANCO", IFERROR(VLOOKUP(I2068, BasedatosM9!A:B, 2, FALSE), "BLANCO")))</f>
        <v/>
      </c>
    </row>
    <row r="2069" spans="1:11" ht="14.4">
      <c r="A2069" s="21"/>
      <c r="B2069" s="86"/>
      <c r="C2069" s="98"/>
      <c r="D2069" s="21"/>
      <c r="E2069" s="86"/>
      <c r="F2069" s="99"/>
      <c r="G2069" s="99"/>
      <c r="H2069" s="21"/>
      <c r="I2069" s="21"/>
      <c r="J2069" s="21"/>
      <c r="K2069" s="5" t="str">
        <f>IF(AND(LEN(H2069)=0, LEN(I2069)=0), "", IF(AND(LEN(H2069)&gt;0, LEN(I2069)=0), "BLANCO", IFERROR(VLOOKUP(I2069, BasedatosM9!A:B, 2, FALSE), "BLANCO")))</f>
        <v/>
      </c>
    </row>
    <row r="2070" spans="1:11" ht="14.4">
      <c r="A2070" s="21"/>
      <c r="B2070" s="86"/>
      <c r="C2070" s="98"/>
      <c r="D2070" s="21"/>
      <c r="E2070" s="86"/>
      <c r="F2070" s="99"/>
      <c r="G2070" s="99"/>
      <c r="H2070" s="21"/>
      <c r="I2070" s="86"/>
      <c r="J2070" s="21"/>
      <c r="K2070" s="5" t="str">
        <f>IF(AND(LEN(H2070)=0, LEN(I2070)=0), "", IF(AND(LEN(H2070)&gt;0, LEN(I2070)=0), "BLANCO", IFERROR(VLOOKUP(I2070, BasedatosM9!A:B, 2, FALSE), "BLANCO")))</f>
        <v/>
      </c>
    </row>
    <row r="2071" spans="1:11" ht="14.4">
      <c r="A2071" s="21"/>
      <c r="B2071" s="86"/>
      <c r="C2071" s="98"/>
      <c r="D2071" s="21"/>
      <c r="E2071" s="86"/>
      <c r="F2071" s="99"/>
      <c r="G2071" s="99"/>
      <c r="H2071" s="21"/>
      <c r="I2071" s="86"/>
      <c r="J2071" s="21"/>
      <c r="K2071" s="5" t="str">
        <f>IF(AND(LEN(H2071)=0, LEN(I2071)=0), "", IF(AND(LEN(H2071)&gt;0, LEN(I2071)=0), "BLANCO", IFERROR(VLOOKUP(I2071, BasedatosM9!A:B, 2, FALSE), "BLANCO")))</f>
        <v/>
      </c>
    </row>
    <row r="2072" spans="1:11" ht="14.4">
      <c r="A2072" s="21"/>
      <c r="B2072" s="86"/>
      <c r="C2072" s="98"/>
      <c r="D2072" s="21"/>
      <c r="E2072" s="86"/>
      <c r="F2072" s="99"/>
      <c r="G2072" s="99"/>
      <c r="H2072" s="21"/>
      <c r="I2072" s="86"/>
      <c r="J2072" s="21"/>
      <c r="K2072" s="5" t="str">
        <f>IF(AND(LEN(H2072)=0, LEN(I2072)=0), "", IF(AND(LEN(H2072)&gt;0, LEN(I2072)=0), "BLANCO", IFERROR(VLOOKUP(I2072, BasedatosM9!A:B, 2, FALSE), "BLANCO")))</f>
        <v/>
      </c>
    </row>
    <row r="2073" spans="1:11" ht="14.4">
      <c r="A2073" s="21"/>
      <c r="B2073" s="86"/>
      <c r="C2073" s="98"/>
      <c r="D2073" s="21"/>
      <c r="E2073" s="86"/>
      <c r="F2073" s="99"/>
      <c r="G2073" s="99"/>
      <c r="H2073" s="21"/>
      <c r="I2073" s="86"/>
      <c r="J2073" s="21"/>
      <c r="K2073" s="5" t="str">
        <f>IF(AND(LEN(H2073)=0, LEN(I2073)=0), "", IF(AND(LEN(H2073)&gt;0, LEN(I2073)=0), "BLANCO", IFERROR(VLOOKUP(I2073, BasedatosM9!A:B, 2, FALSE), "BLANCO")))</f>
        <v/>
      </c>
    </row>
    <row r="2074" spans="1:11" ht="14.4">
      <c r="A2074" s="21"/>
      <c r="B2074" s="86"/>
      <c r="C2074" s="98"/>
      <c r="D2074" s="21"/>
      <c r="E2074" s="86"/>
      <c r="F2074" s="99"/>
      <c r="G2074" s="99"/>
      <c r="H2074" s="21"/>
      <c r="I2074" s="86"/>
      <c r="J2074" s="21"/>
      <c r="K2074" s="5" t="str">
        <f>IF(AND(LEN(H2074)=0, LEN(I2074)=0), "", IF(AND(LEN(H2074)&gt;0, LEN(I2074)=0), "BLANCO", IFERROR(VLOOKUP(I2074, BasedatosM9!A:B, 2, FALSE), "BLANCO")))</f>
        <v/>
      </c>
    </row>
    <row r="2075" spans="1:11" ht="14.4">
      <c r="A2075" s="21"/>
      <c r="B2075" s="86"/>
      <c r="C2075" s="98"/>
      <c r="D2075" s="21"/>
      <c r="E2075" s="86"/>
      <c r="F2075" s="99"/>
      <c r="G2075" s="99"/>
      <c r="H2075" s="21"/>
      <c r="I2075" s="86"/>
      <c r="J2075" s="21"/>
      <c r="K2075" s="5" t="str">
        <f>IF(AND(LEN(H2075)=0, LEN(I2075)=0), "", IF(AND(LEN(H2075)&gt;0, LEN(I2075)=0), "BLANCO", IFERROR(VLOOKUP(I2075, BasedatosM9!A:B, 2, FALSE), "BLANCO")))</f>
        <v/>
      </c>
    </row>
    <row r="2076" spans="1:11" ht="14.4">
      <c r="A2076" s="21"/>
      <c r="B2076" s="86"/>
      <c r="C2076" s="98"/>
      <c r="D2076" s="21"/>
      <c r="E2076" s="86"/>
      <c r="F2076" s="99"/>
      <c r="G2076" s="99"/>
      <c r="H2076" s="21"/>
      <c r="I2076" s="86"/>
      <c r="J2076" s="21"/>
      <c r="K2076" s="5" t="str">
        <f>IF(AND(LEN(H2076)=0, LEN(I2076)=0), "", IF(AND(LEN(H2076)&gt;0, LEN(I2076)=0), "BLANCO", IFERROR(VLOOKUP(I2076, BasedatosM9!A:B, 2, FALSE), "BLANCO")))</f>
        <v/>
      </c>
    </row>
    <row r="2077" spans="1:11" ht="14.4">
      <c r="A2077" s="21"/>
      <c r="B2077" s="86"/>
      <c r="C2077" s="98"/>
      <c r="D2077" s="21"/>
      <c r="E2077" s="86"/>
      <c r="F2077" s="99"/>
      <c r="G2077" s="99"/>
      <c r="H2077" s="21"/>
      <c r="I2077" s="86"/>
      <c r="J2077" s="21"/>
      <c r="K2077" s="5" t="str">
        <f>IF(AND(LEN(H2077)=0, LEN(I2077)=0), "", IF(AND(LEN(H2077)&gt;0, LEN(I2077)=0), "BLANCO", IFERROR(VLOOKUP(I2077, BasedatosM9!A:B, 2, FALSE), "BLANCO")))</f>
        <v/>
      </c>
    </row>
    <row r="2078" spans="1:11" ht="14.4">
      <c r="A2078" s="21"/>
      <c r="B2078" s="86"/>
      <c r="C2078" s="98"/>
      <c r="D2078" s="21"/>
      <c r="E2078" s="86"/>
      <c r="F2078" s="99"/>
      <c r="G2078" s="99"/>
      <c r="H2078" s="21"/>
      <c r="I2078" s="86"/>
      <c r="J2078" s="21"/>
      <c r="K2078" s="5" t="str">
        <f>IF(AND(LEN(H2078)=0, LEN(I2078)=0), "", IF(AND(LEN(H2078)&gt;0, LEN(I2078)=0), "BLANCO", IFERROR(VLOOKUP(I2078, BasedatosM9!A:B, 2, FALSE), "BLANCO")))</f>
        <v/>
      </c>
    </row>
    <row r="2079" spans="1:11" ht="14.4">
      <c r="A2079" s="21"/>
      <c r="B2079" s="86"/>
      <c r="C2079" s="98"/>
      <c r="D2079" s="21"/>
      <c r="E2079" s="86"/>
      <c r="F2079" s="99"/>
      <c r="G2079" s="99"/>
      <c r="H2079" s="21"/>
      <c r="I2079" s="86"/>
      <c r="J2079" s="21"/>
      <c r="K2079" s="5" t="str">
        <f>IF(AND(LEN(H2079)=0, LEN(I2079)=0), "", IF(AND(LEN(H2079)&gt;0, LEN(I2079)=0), "BLANCO", IFERROR(VLOOKUP(I2079, BasedatosM9!A:B, 2, FALSE), "BLANCO")))</f>
        <v/>
      </c>
    </row>
    <row r="2080" spans="1:11" ht="14.4">
      <c r="A2080" s="21"/>
      <c r="B2080" s="86"/>
      <c r="C2080" s="98"/>
      <c r="D2080" s="21"/>
      <c r="E2080" s="86"/>
      <c r="F2080" s="99"/>
      <c r="G2080" s="99"/>
      <c r="H2080" s="21"/>
      <c r="I2080" s="21"/>
      <c r="J2080" s="21"/>
      <c r="K2080" s="5" t="str">
        <f>IF(AND(LEN(H2080)=0, LEN(I2080)=0), "", IF(AND(LEN(H2080)&gt;0, LEN(I2080)=0), "BLANCO", IFERROR(VLOOKUP(I2080, BasedatosM9!A:B, 2, FALSE), "BLANCO")))</f>
        <v/>
      </c>
    </row>
    <row r="2081" spans="1:11" ht="14.4">
      <c r="A2081" s="21"/>
      <c r="B2081" s="86"/>
      <c r="C2081" s="98"/>
      <c r="D2081" s="21"/>
      <c r="E2081" s="86"/>
      <c r="F2081" s="99"/>
      <c r="G2081" s="99"/>
      <c r="H2081" s="21"/>
      <c r="I2081" s="86"/>
      <c r="J2081" s="21"/>
      <c r="K2081" s="5" t="str">
        <f>IF(AND(LEN(H2081)=0, LEN(I2081)=0), "", IF(AND(LEN(H2081)&gt;0, LEN(I2081)=0), "BLANCO", IFERROR(VLOOKUP(I2081, BasedatosM9!A:B, 2, FALSE), "BLANCO")))</f>
        <v/>
      </c>
    </row>
    <row r="2082" spans="1:11" ht="14.4">
      <c r="A2082" s="21"/>
      <c r="B2082" s="86"/>
      <c r="C2082" s="98"/>
      <c r="D2082" s="21"/>
      <c r="E2082" s="86"/>
      <c r="F2082" s="99"/>
      <c r="G2082" s="99"/>
      <c r="H2082" s="21"/>
      <c r="I2082" s="86"/>
      <c r="J2082" s="21"/>
      <c r="K2082" s="5" t="str">
        <f>IF(AND(LEN(H2082)=0, LEN(I2082)=0), "", IF(AND(LEN(H2082)&gt;0, LEN(I2082)=0), "BLANCO", IFERROR(VLOOKUP(I2082, BasedatosM9!A:B, 2, FALSE), "BLANCO")))</f>
        <v/>
      </c>
    </row>
    <row r="2083" spans="1:11" ht="14.4">
      <c r="A2083" s="21"/>
      <c r="B2083" s="86"/>
      <c r="C2083" s="98"/>
      <c r="D2083" s="21"/>
      <c r="E2083" s="86"/>
      <c r="F2083" s="99"/>
      <c r="G2083" s="99"/>
      <c r="H2083" s="21"/>
      <c r="I2083" s="86"/>
      <c r="J2083" s="21"/>
      <c r="K2083" s="5" t="str">
        <f>IF(AND(LEN(H2083)=0, LEN(I2083)=0), "", IF(AND(LEN(H2083)&gt;0, LEN(I2083)=0), "BLANCO", IFERROR(VLOOKUP(I2083, BasedatosM9!A:B, 2, FALSE), "BLANCO")))</f>
        <v/>
      </c>
    </row>
    <row r="2084" spans="1:11" ht="14.4">
      <c r="A2084" s="21"/>
      <c r="B2084" s="86"/>
      <c r="C2084" s="98"/>
      <c r="D2084" s="21"/>
      <c r="E2084" s="86"/>
      <c r="F2084" s="99"/>
      <c r="G2084" s="99"/>
      <c r="H2084" s="21"/>
      <c r="I2084" s="86"/>
      <c r="J2084" s="21"/>
      <c r="K2084" s="5" t="str">
        <f>IF(AND(LEN(H2084)=0, LEN(I2084)=0), "", IF(AND(LEN(H2084)&gt;0, LEN(I2084)=0), "BLANCO", IFERROR(VLOOKUP(I2084, BasedatosM9!A:B, 2, FALSE), "BLANCO")))</f>
        <v/>
      </c>
    </row>
    <row r="2085" spans="1:11" ht="14.4">
      <c r="A2085" s="21"/>
      <c r="B2085" s="86"/>
      <c r="C2085" s="98"/>
      <c r="D2085" s="21"/>
      <c r="E2085" s="86"/>
      <c r="F2085" s="99"/>
      <c r="G2085" s="99"/>
      <c r="H2085" s="21"/>
      <c r="I2085" s="21"/>
      <c r="J2085" s="21"/>
      <c r="K2085" s="5" t="str">
        <f>IF(AND(LEN(H2085)=0, LEN(I2085)=0), "", IF(AND(LEN(H2085)&gt;0, LEN(I2085)=0), "BLANCO", IFERROR(VLOOKUP(I2085, BasedatosM9!A:B, 2, FALSE), "BLANCO")))</f>
        <v/>
      </c>
    </row>
    <row r="2086" spans="1:11" ht="14.4">
      <c r="A2086" s="21"/>
      <c r="B2086" s="86"/>
      <c r="C2086" s="98"/>
      <c r="D2086" s="21"/>
      <c r="E2086" s="86"/>
      <c r="F2086" s="99"/>
      <c r="G2086" s="99"/>
      <c r="H2086" s="21"/>
      <c r="I2086" s="21"/>
      <c r="J2086" s="21"/>
      <c r="K2086" s="5" t="str">
        <f>IF(AND(LEN(H2086)=0, LEN(I2086)=0), "", IF(AND(LEN(H2086)&gt;0, LEN(I2086)=0), "BLANCO", IFERROR(VLOOKUP(I2086, BasedatosM9!A:B, 2, FALSE), "BLANCO")))</f>
        <v/>
      </c>
    </row>
    <row r="2087" spans="1:11" ht="14.4">
      <c r="A2087" s="21"/>
      <c r="B2087" s="86"/>
      <c r="C2087" s="98"/>
      <c r="D2087" s="21"/>
      <c r="E2087" s="86"/>
      <c r="F2087" s="99"/>
      <c r="G2087" s="99"/>
      <c r="H2087" s="21"/>
      <c r="I2087" s="86"/>
      <c r="J2087" s="21"/>
      <c r="K2087" s="5" t="str">
        <f>IF(AND(LEN(H2087)=0, LEN(I2087)=0), "", IF(AND(LEN(H2087)&gt;0, LEN(I2087)=0), "BLANCO", IFERROR(VLOOKUP(I2087, BasedatosM9!A:B, 2, FALSE), "BLANCO")))</f>
        <v/>
      </c>
    </row>
    <row r="2088" spans="1:11" ht="14.4">
      <c r="A2088" s="21"/>
      <c r="B2088" s="86"/>
      <c r="C2088" s="98"/>
      <c r="D2088" s="21"/>
      <c r="E2088" s="86"/>
      <c r="F2088" s="99"/>
      <c r="G2088" s="99"/>
      <c r="H2088" s="21"/>
      <c r="I2088" s="21"/>
      <c r="J2088" s="21"/>
      <c r="K2088" s="5" t="str">
        <f>IF(AND(LEN(H2088)=0, LEN(I2088)=0), "", IF(AND(LEN(H2088)&gt;0, LEN(I2088)=0), "BLANCO", IFERROR(VLOOKUP(I2088, BasedatosM9!A:B, 2, FALSE), "BLANCO")))</f>
        <v/>
      </c>
    </row>
    <row r="2089" spans="1:11" ht="14.4">
      <c r="A2089" s="21"/>
      <c r="B2089" s="86"/>
      <c r="C2089" s="98"/>
      <c r="D2089" s="21"/>
      <c r="E2089" s="86"/>
      <c r="F2089" s="99"/>
      <c r="G2089" s="99"/>
      <c r="H2089" s="21"/>
      <c r="I2089" s="86"/>
      <c r="J2089" s="21"/>
      <c r="K2089" s="5" t="str">
        <f>IF(AND(LEN(H2089)=0, LEN(I2089)=0), "", IF(AND(LEN(H2089)&gt;0, LEN(I2089)=0), "BLANCO", IFERROR(VLOOKUP(I2089, BasedatosM9!A:B, 2, FALSE), "BLANCO")))</f>
        <v/>
      </c>
    </row>
    <row r="2090" spans="1:11" ht="14.4">
      <c r="A2090" s="21"/>
      <c r="B2090" s="86"/>
      <c r="C2090" s="98"/>
      <c r="D2090" s="21"/>
      <c r="E2090" s="86"/>
      <c r="F2090" s="99"/>
      <c r="G2090" s="99"/>
      <c r="H2090" s="21"/>
      <c r="I2090" s="86"/>
      <c r="J2090" s="21"/>
      <c r="K2090" s="5" t="str">
        <f>IF(AND(LEN(H2090)=0, LEN(I2090)=0), "", IF(AND(LEN(H2090)&gt;0, LEN(I2090)=0), "BLANCO", IFERROR(VLOOKUP(I2090, BasedatosM9!A:B, 2, FALSE), "BLANCO")))</f>
        <v/>
      </c>
    </row>
    <row r="2091" spans="1:11" ht="14.4">
      <c r="A2091" s="21"/>
      <c r="B2091" s="86"/>
      <c r="C2091" s="98"/>
      <c r="D2091" s="21"/>
      <c r="E2091" s="86"/>
      <c r="F2091" s="99"/>
      <c r="G2091" s="99"/>
      <c r="H2091" s="21"/>
      <c r="I2091" s="86"/>
      <c r="J2091" s="21"/>
      <c r="K2091" s="5" t="str">
        <f>IF(AND(LEN(H2091)=0, LEN(I2091)=0), "", IF(AND(LEN(H2091)&gt;0, LEN(I2091)=0), "BLANCO", IFERROR(VLOOKUP(I2091, BasedatosM9!A:B, 2, FALSE), "BLANCO")))</f>
        <v/>
      </c>
    </row>
    <row r="2092" spans="1:11" ht="14.4">
      <c r="A2092" s="21"/>
      <c r="B2092" s="86"/>
      <c r="C2092" s="98"/>
      <c r="D2092" s="21"/>
      <c r="E2092" s="86"/>
      <c r="F2092" s="99"/>
      <c r="G2092" s="99"/>
      <c r="H2092" s="21"/>
      <c r="I2092" s="21"/>
      <c r="J2092" s="21"/>
      <c r="K2092" s="5" t="str">
        <f>IF(AND(LEN(H2092)=0, LEN(I2092)=0), "", IF(AND(LEN(H2092)&gt;0, LEN(I2092)=0), "BLANCO", IFERROR(VLOOKUP(I2092, BasedatosM9!A:B, 2, FALSE), "BLANCO")))</f>
        <v/>
      </c>
    </row>
    <row r="2093" spans="1:11" ht="14.4">
      <c r="A2093" s="21"/>
      <c r="B2093" s="86"/>
      <c r="C2093" s="98"/>
      <c r="D2093" s="21"/>
      <c r="E2093" s="86"/>
      <c r="F2093" s="99"/>
      <c r="G2093" s="99"/>
      <c r="H2093" s="21"/>
      <c r="I2093" s="86"/>
      <c r="J2093" s="21"/>
      <c r="K2093" s="5" t="str">
        <f>IF(AND(LEN(H2093)=0, LEN(I2093)=0), "", IF(AND(LEN(H2093)&gt;0, LEN(I2093)=0), "BLANCO", IFERROR(VLOOKUP(I2093, BasedatosM9!A:B, 2, FALSE), "BLANCO")))</f>
        <v/>
      </c>
    </row>
    <row r="2094" spans="1:11" ht="14.4">
      <c r="A2094" s="21"/>
      <c r="B2094" s="86"/>
      <c r="C2094" s="98"/>
      <c r="D2094" s="21"/>
      <c r="E2094" s="86"/>
      <c r="F2094" s="99"/>
      <c r="G2094" s="99"/>
      <c r="H2094" s="21"/>
      <c r="I2094" s="21"/>
      <c r="J2094" s="21"/>
      <c r="K2094" s="5" t="str">
        <f>IF(AND(LEN(H2094)=0, LEN(I2094)=0), "", IF(AND(LEN(H2094)&gt;0, LEN(I2094)=0), "BLANCO", IFERROR(VLOOKUP(I2094, BasedatosM9!A:B, 2, FALSE), "BLANCO")))</f>
        <v/>
      </c>
    </row>
    <row r="2095" spans="1:11" ht="14.4">
      <c r="A2095" s="21"/>
      <c r="B2095" s="86"/>
      <c r="C2095" s="98"/>
      <c r="D2095" s="21"/>
      <c r="E2095" s="86"/>
      <c r="F2095" s="99"/>
      <c r="G2095" s="99"/>
      <c r="H2095" s="21"/>
      <c r="I2095" s="86"/>
      <c r="J2095" s="21"/>
      <c r="K2095" s="5" t="str">
        <f>IF(AND(LEN(H2095)=0, LEN(I2095)=0), "", IF(AND(LEN(H2095)&gt;0, LEN(I2095)=0), "BLANCO", IFERROR(VLOOKUP(I2095, BasedatosM9!A:B, 2, FALSE), "BLANCO")))</f>
        <v/>
      </c>
    </row>
    <row r="2096" spans="1:11" ht="14.4">
      <c r="A2096" s="21"/>
      <c r="B2096" s="86"/>
      <c r="C2096" s="98"/>
      <c r="D2096" s="21"/>
      <c r="E2096" s="86"/>
      <c r="F2096" s="99"/>
      <c r="G2096" s="99"/>
      <c r="H2096" s="21"/>
      <c r="I2096" s="86"/>
      <c r="J2096" s="21"/>
      <c r="K2096" s="5" t="str">
        <f>IF(AND(LEN(H2096)=0, LEN(I2096)=0), "", IF(AND(LEN(H2096)&gt;0, LEN(I2096)=0), "BLANCO", IFERROR(VLOOKUP(I2096, BasedatosM9!A:B, 2, FALSE), "BLANCO")))</f>
        <v/>
      </c>
    </row>
    <row r="2097" spans="1:11" ht="14.4">
      <c r="A2097" s="21"/>
      <c r="B2097" s="86"/>
      <c r="C2097" s="98"/>
      <c r="D2097" s="21"/>
      <c r="E2097" s="86"/>
      <c r="F2097" s="99"/>
      <c r="G2097" s="99"/>
      <c r="H2097" s="21"/>
      <c r="I2097" s="86"/>
      <c r="J2097" s="21"/>
      <c r="K2097" s="5" t="str">
        <f>IF(AND(LEN(H2097)=0, LEN(I2097)=0), "", IF(AND(LEN(H2097)&gt;0, LEN(I2097)=0), "BLANCO", IFERROR(VLOOKUP(I2097, BasedatosM9!A:B, 2, FALSE), "BLANCO")))</f>
        <v/>
      </c>
    </row>
    <row r="2098" spans="1:11" ht="14.4">
      <c r="A2098" s="21"/>
      <c r="B2098" s="86"/>
      <c r="C2098" s="98"/>
      <c r="D2098" s="21"/>
      <c r="E2098" s="86"/>
      <c r="F2098" s="99"/>
      <c r="G2098" s="99"/>
      <c r="H2098" s="21"/>
      <c r="I2098" s="86"/>
      <c r="J2098" s="21"/>
      <c r="K2098" s="5" t="str">
        <f>IF(AND(LEN(H2098)=0, LEN(I2098)=0), "", IF(AND(LEN(H2098)&gt;0, LEN(I2098)=0), "BLANCO", IFERROR(VLOOKUP(I2098, BasedatosM9!A:B, 2, FALSE), "BLANCO")))</f>
        <v/>
      </c>
    </row>
    <row r="2099" spans="1:11" ht="14.4">
      <c r="A2099" s="21"/>
      <c r="B2099" s="86"/>
      <c r="C2099" s="98"/>
      <c r="D2099" s="21"/>
      <c r="E2099" s="86"/>
      <c r="F2099" s="99"/>
      <c r="G2099" s="99"/>
      <c r="H2099" s="21"/>
      <c r="I2099" s="21"/>
      <c r="J2099" s="21"/>
      <c r="K2099" s="5" t="str">
        <f>IF(AND(LEN(H2099)=0, LEN(I2099)=0), "", IF(AND(LEN(H2099)&gt;0, LEN(I2099)=0), "BLANCO", IFERROR(VLOOKUP(I2099, BasedatosM9!A:B, 2, FALSE), "BLANCO")))</f>
        <v/>
      </c>
    </row>
    <row r="2100" spans="1:11" ht="14.4">
      <c r="A2100" s="21"/>
      <c r="B2100" s="86"/>
      <c r="C2100" s="98"/>
      <c r="D2100" s="21"/>
      <c r="E2100" s="86"/>
      <c r="F2100" s="99"/>
      <c r="G2100" s="99"/>
      <c r="H2100" s="21"/>
      <c r="I2100" s="86"/>
      <c r="J2100" s="21"/>
      <c r="K2100" s="5" t="str">
        <f>IF(AND(LEN(H2100)=0, LEN(I2100)=0), "", IF(AND(LEN(H2100)&gt;0, LEN(I2100)=0), "BLANCO", IFERROR(VLOOKUP(I2100, BasedatosM9!A:B, 2, FALSE), "BLANCO")))</f>
        <v/>
      </c>
    </row>
    <row r="2101" spans="1:11" ht="14.4">
      <c r="A2101" s="21"/>
      <c r="B2101" s="86"/>
      <c r="C2101" s="98"/>
      <c r="D2101" s="21"/>
      <c r="E2101" s="86"/>
      <c r="F2101" s="99"/>
      <c r="G2101" s="99"/>
      <c r="H2101" s="21"/>
      <c r="I2101" s="86"/>
      <c r="J2101" s="21"/>
      <c r="K2101" s="5" t="str">
        <f>IF(AND(LEN(H2101)=0, LEN(I2101)=0), "", IF(AND(LEN(H2101)&gt;0, LEN(I2101)=0), "BLANCO", IFERROR(VLOOKUP(I2101, BasedatosM9!A:B, 2, FALSE), "BLANCO")))</f>
        <v/>
      </c>
    </row>
    <row r="2102" spans="1:11" ht="14.4">
      <c r="A2102" s="21"/>
      <c r="B2102" s="86"/>
      <c r="C2102" s="98"/>
      <c r="D2102" s="21"/>
      <c r="E2102" s="86"/>
      <c r="F2102" s="99"/>
      <c r="G2102" s="99"/>
      <c r="H2102" s="21"/>
      <c r="I2102" s="21"/>
      <c r="J2102" s="21"/>
      <c r="K2102" s="5" t="str">
        <f>IF(AND(LEN(H2102)=0, LEN(I2102)=0), "", IF(AND(LEN(H2102)&gt;0, LEN(I2102)=0), "BLANCO", IFERROR(VLOOKUP(I2102, BasedatosM9!A:B, 2, FALSE), "BLANCO")))</f>
        <v/>
      </c>
    </row>
    <row r="2103" spans="1:11" ht="14.4">
      <c r="A2103" s="21"/>
      <c r="B2103" s="86"/>
      <c r="C2103" s="98"/>
      <c r="D2103" s="21"/>
      <c r="E2103" s="86"/>
      <c r="F2103" s="99"/>
      <c r="G2103" s="99"/>
      <c r="H2103" s="21"/>
      <c r="I2103" s="21"/>
      <c r="J2103" s="21"/>
      <c r="K2103" s="5" t="str">
        <f>IF(AND(LEN(H2103)=0, LEN(I2103)=0), "", IF(AND(LEN(H2103)&gt;0, LEN(I2103)=0), "BLANCO", IFERROR(VLOOKUP(I2103, BasedatosM9!A:B, 2, FALSE), "BLANCO")))</f>
        <v/>
      </c>
    </row>
    <row r="2104" spans="1:11" ht="14.4">
      <c r="A2104" s="21"/>
      <c r="B2104" s="86"/>
      <c r="C2104" s="98"/>
      <c r="D2104" s="21"/>
      <c r="E2104" s="86"/>
      <c r="F2104" s="99"/>
      <c r="G2104" s="99"/>
      <c r="H2104" s="21"/>
      <c r="I2104" s="86"/>
      <c r="J2104" s="21"/>
      <c r="K2104" s="5" t="str">
        <f>IF(AND(LEN(H2104)=0, LEN(I2104)=0), "", IF(AND(LEN(H2104)&gt;0, LEN(I2104)=0), "BLANCO", IFERROR(VLOOKUP(I2104, BasedatosM9!A:B, 2, FALSE), "BLANCO")))</f>
        <v/>
      </c>
    </row>
    <row r="2105" spans="1:11" ht="14.4">
      <c r="A2105" s="21"/>
      <c r="B2105" s="86"/>
      <c r="C2105" s="98"/>
      <c r="D2105" s="21"/>
      <c r="E2105" s="86"/>
      <c r="F2105" s="99"/>
      <c r="G2105" s="99"/>
      <c r="H2105" s="21"/>
      <c r="I2105" s="86"/>
      <c r="J2105" s="21"/>
      <c r="K2105" s="5" t="str">
        <f>IF(AND(LEN(H2105)=0, LEN(I2105)=0), "", IF(AND(LEN(H2105)&gt;0, LEN(I2105)=0), "BLANCO", IFERROR(VLOOKUP(I2105, BasedatosM9!A:B, 2, FALSE), "BLANCO")))</f>
        <v/>
      </c>
    </row>
    <row r="2106" spans="1:11" ht="14.4">
      <c r="A2106" s="21"/>
      <c r="B2106" s="86"/>
      <c r="C2106" s="98"/>
      <c r="D2106" s="21"/>
      <c r="E2106" s="86"/>
      <c r="F2106" s="99"/>
      <c r="G2106" s="99"/>
      <c r="H2106" s="21"/>
      <c r="I2106" s="21"/>
      <c r="J2106" s="21"/>
      <c r="K2106" s="5" t="str">
        <f>IF(AND(LEN(H2106)=0, LEN(I2106)=0), "", IF(AND(LEN(H2106)&gt;0, LEN(I2106)=0), "BLANCO", IFERROR(VLOOKUP(I2106, BasedatosM9!A:B, 2, FALSE), "BLANCO")))</f>
        <v/>
      </c>
    </row>
    <row r="2107" spans="1:11" ht="14.4">
      <c r="A2107" s="21"/>
      <c r="B2107" s="86"/>
      <c r="C2107" s="98"/>
      <c r="D2107" s="21"/>
      <c r="E2107" s="86"/>
      <c r="F2107" s="99"/>
      <c r="G2107" s="99"/>
      <c r="H2107" s="21"/>
      <c r="I2107" s="21"/>
      <c r="J2107" s="21"/>
      <c r="K2107" s="5" t="str">
        <f>IF(AND(LEN(H2107)=0, LEN(I2107)=0), "", IF(AND(LEN(H2107)&gt;0, LEN(I2107)=0), "BLANCO", IFERROR(VLOOKUP(I2107, BasedatosM9!A:B, 2, FALSE), "BLANCO")))</f>
        <v/>
      </c>
    </row>
    <row r="2108" spans="1:11" ht="14.4">
      <c r="A2108" s="21"/>
      <c r="B2108" s="86"/>
      <c r="C2108" s="98"/>
      <c r="D2108" s="21"/>
      <c r="E2108" s="86"/>
      <c r="F2108" s="99"/>
      <c r="G2108" s="99"/>
      <c r="H2108" s="21"/>
      <c r="I2108" s="86"/>
      <c r="J2108" s="21"/>
      <c r="K2108" s="5" t="str">
        <f>IF(AND(LEN(H2108)=0, LEN(I2108)=0), "", IF(AND(LEN(H2108)&gt;0, LEN(I2108)=0), "BLANCO", IFERROR(VLOOKUP(I2108, BasedatosM9!A:B, 2, FALSE), "BLANCO")))</f>
        <v/>
      </c>
    </row>
    <row r="2109" spans="1:11" ht="14.4">
      <c r="A2109" s="21"/>
      <c r="B2109" s="86"/>
      <c r="C2109" s="98"/>
      <c r="D2109" s="21"/>
      <c r="E2109" s="86"/>
      <c r="F2109" s="99"/>
      <c r="G2109" s="99"/>
      <c r="H2109" s="21"/>
      <c r="I2109" s="21"/>
      <c r="J2109" s="21"/>
      <c r="K2109" s="5" t="str">
        <f>IF(AND(LEN(H2109)=0, LEN(I2109)=0), "", IF(AND(LEN(H2109)&gt;0, LEN(I2109)=0), "BLANCO", IFERROR(VLOOKUP(I2109, BasedatosM9!A:B, 2, FALSE), "BLANCO")))</f>
        <v/>
      </c>
    </row>
    <row r="2110" spans="1:11" ht="14.4">
      <c r="A2110" s="21"/>
      <c r="B2110" s="86"/>
      <c r="C2110" s="98"/>
      <c r="D2110" s="21"/>
      <c r="E2110" s="86"/>
      <c r="F2110" s="99"/>
      <c r="G2110" s="99"/>
      <c r="H2110" s="21"/>
      <c r="I2110" s="86"/>
      <c r="J2110" s="21"/>
      <c r="K2110" s="5" t="str">
        <f>IF(AND(LEN(H2110)=0, LEN(I2110)=0), "", IF(AND(LEN(H2110)&gt;0, LEN(I2110)=0), "BLANCO", IFERROR(VLOOKUP(I2110, BasedatosM9!A:B, 2, FALSE), "BLANCO")))</f>
        <v/>
      </c>
    </row>
    <row r="2111" spans="1:11" ht="14.4">
      <c r="A2111" s="21"/>
      <c r="B2111" s="86"/>
      <c r="C2111" s="98"/>
      <c r="D2111" s="21"/>
      <c r="E2111" s="86"/>
      <c r="F2111" s="99"/>
      <c r="G2111" s="99"/>
      <c r="H2111" s="21"/>
      <c r="I2111" s="21"/>
      <c r="J2111" s="21"/>
      <c r="K2111" s="5" t="str">
        <f>IF(AND(LEN(H2111)=0, LEN(I2111)=0), "", IF(AND(LEN(H2111)&gt;0, LEN(I2111)=0), "BLANCO", IFERROR(VLOOKUP(I2111, BasedatosM9!A:B, 2, FALSE), "BLANCO")))</f>
        <v/>
      </c>
    </row>
    <row r="2112" spans="1:11" ht="14.4">
      <c r="A2112" s="21"/>
      <c r="B2112" s="86"/>
      <c r="C2112" s="98"/>
      <c r="D2112" s="21"/>
      <c r="E2112" s="86"/>
      <c r="F2112" s="99"/>
      <c r="G2112" s="99"/>
      <c r="H2112" s="21"/>
      <c r="I2112" s="21"/>
      <c r="J2112" s="21"/>
      <c r="K2112" s="5" t="str">
        <f>IF(AND(LEN(H2112)=0, LEN(I2112)=0), "", IF(AND(LEN(H2112)&gt;0, LEN(I2112)=0), "BLANCO", IFERROR(VLOOKUP(I2112, BasedatosM9!A:B, 2, FALSE), "BLANCO")))</f>
        <v/>
      </c>
    </row>
    <row r="2113" spans="1:11" ht="14.4">
      <c r="A2113" s="21"/>
      <c r="B2113" s="86"/>
      <c r="C2113" s="98"/>
      <c r="D2113" s="21"/>
      <c r="E2113" s="86"/>
      <c r="F2113" s="99"/>
      <c r="G2113" s="99"/>
      <c r="H2113" s="21"/>
      <c r="I2113" s="21"/>
      <c r="J2113" s="21"/>
      <c r="K2113" s="5" t="str">
        <f>IF(AND(LEN(H2113)=0, LEN(I2113)=0), "", IF(AND(LEN(H2113)&gt;0, LEN(I2113)=0), "BLANCO", IFERROR(VLOOKUP(I2113, BasedatosM9!A:B, 2, FALSE), "BLANCO")))</f>
        <v/>
      </c>
    </row>
    <row r="2114" spans="1:11" ht="14.4">
      <c r="A2114" s="21"/>
      <c r="B2114" s="86"/>
      <c r="C2114" s="98"/>
      <c r="D2114" s="21"/>
      <c r="E2114" s="86"/>
      <c r="F2114" s="99"/>
      <c r="G2114" s="99"/>
      <c r="H2114" s="21"/>
      <c r="I2114" s="86"/>
      <c r="J2114" s="21"/>
      <c r="K2114" s="5" t="str">
        <f>IF(AND(LEN(H2114)=0, LEN(I2114)=0), "", IF(AND(LEN(H2114)&gt;0, LEN(I2114)=0), "BLANCO", IFERROR(VLOOKUP(I2114, BasedatosM9!A:B, 2, FALSE), "BLANCO")))</f>
        <v/>
      </c>
    </row>
    <row r="2115" spans="1:11" ht="14.4">
      <c r="A2115" s="21"/>
      <c r="B2115" s="86"/>
      <c r="C2115" s="98"/>
      <c r="D2115" s="21"/>
      <c r="E2115" s="86"/>
      <c r="F2115" s="99"/>
      <c r="G2115" s="99"/>
      <c r="H2115" s="21"/>
      <c r="I2115" s="86"/>
      <c r="J2115" s="21"/>
      <c r="K2115" s="5" t="str">
        <f>IF(AND(LEN(H2115)=0, LEN(I2115)=0), "", IF(AND(LEN(H2115)&gt;0, LEN(I2115)=0), "BLANCO", IFERROR(VLOOKUP(I2115, BasedatosM9!A:B, 2, FALSE), "BLANCO")))</f>
        <v/>
      </c>
    </row>
    <row r="2116" spans="1:11" ht="14.4">
      <c r="A2116" s="21"/>
      <c r="B2116" s="86"/>
      <c r="C2116" s="98"/>
      <c r="D2116" s="21"/>
      <c r="E2116" s="86"/>
      <c r="F2116" s="99"/>
      <c r="G2116" s="99"/>
      <c r="H2116" s="21"/>
      <c r="I2116" s="86"/>
      <c r="J2116" s="21"/>
      <c r="K2116" s="5" t="str">
        <f>IF(AND(LEN(H2116)=0, LEN(I2116)=0), "", IF(AND(LEN(H2116)&gt;0, LEN(I2116)=0), "BLANCO", IFERROR(VLOOKUP(I2116, BasedatosM9!A:B, 2, FALSE), "BLANCO")))</f>
        <v/>
      </c>
    </row>
    <row r="2117" spans="1:11" ht="14.4">
      <c r="A2117" s="21"/>
      <c r="B2117" s="86"/>
      <c r="C2117" s="98"/>
      <c r="D2117" s="21"/>
      <c r="E2117" s="86"/>
      <c r="F2117" s="99"/>
      <c r="G2117" s="99"/>
      <c r="H2117" s="21"/>
      <c r="I2117" s="21"/>
      <c r="J2117" s="21"/>
      <c r="K2117" s="5" t="str">
        <f>IF(AND(LEN(H2117)=0, LEN(I2117)=0), "", IF(AND(LEN(H2117)&gt;0, LEN(I2117)=0), "BLANCO", IFERROR(VLOOKUP(I2117, BasedatosM9!A:B, 2, FALSE), "BLANCO")))</f>
        <v/>
      </c>
    </row>
    <row r="2118" spans="1:11" ht="14.4">
      <c r="A2118" s="21"/>
      <c r="B2118" s="86"/>
      <c r="C2118" s="98"/>
      <c r="D2118" s="21"/>
      <c r="E2118" s="86"/>
      <c r="F2118" s="99"/>
      <c r="G2118" s="99"/>
      <c r="H2118" s="21"/>
      <c r="I2118" s="21"/>
      <c r="J2118" s="21"/>
      <c r="K2118" s="5" t="str">
        <f>IF(AND(LEN(H2118)=0, LEN(I2118)=0), "", IF(AND(LEN(H2118)&gt;0, LEN(I2118)=0), "BLANCO", IFERROR(VLOOKUP(I2118, BasedatosM9!A:B, 2, FALSE), "BLANCO")))</f>
        <v/>
      </c>
    </row>
    <row r="2119" spans="1:11" ht="14.4">
      <c r="A2119" s="21"/>
      <c r="B2119" s="86"/>
      <c r="C2119" s="98"/>
      <c r="D2119" s="21"/>
      <c r="E2119" s="86"/>
      <c r="F2119" s="99"/>
      <c r="G2119" s="99"/>
      <c r="H2119" s="21"/>
      <c r="I2119" s="86"/>
      <c r="J2119" s="21"/>
      <c r="K2119" s="5" t="str">
        <f>IF(AND(LEN(H2119)=0, LEN(I2119)=0), "", IF(AND(LEN(H2119)&gt;0, LEN(I2119)=0), "BLANCO", IFERROR(VLOOKUP(I2119, BasedatosM9!A:B, 2, FALSE), "BLANCO")))</f>
        <v/>
      </c>
    </row>
    <row r="2120" spans="1:11" ht="14.4">
      <c r="A2120" s="21"/>
      <c r="B2120" s="86"/>
      <c r="C2120" s="98"/>
      <c r="D2120" s="21"/>
      <c r="E2120" s="86"/>
      <c r="F2120" s="99"/>
      <c r="G2120" s="99"/>
      <c r="H2120" s="21"/>
      <c r="I2120" s="86"/>
      <c r="J2120" s="21"/>
      <c r="K2120" s="5" t="str">
        <f>IF(AND(LEN(H2120)=0, LEN(I2120)=0), "", IF(AND(LEN(H2120)&gt;0, LEN(I2120)=0), "BLANCO", IFERROR(VLOOKUP(I2120, BasedatosM9!A:B, 2, FALSE), "BLANCO")))</f>
        <v/>
      </c>
    </row>
    <row r="2121" spans="1:11" ht="14.4">
      <c r="A2121" s="21"/>
      <c r="B2121" s="86"/>
      <c r="C2121" s="98"/>
      <c r="D2121" s="21"/>
      <c r="E2121" s="86"/>
      <c r="F2121" s="99"/>
      <c r="G2121" s="99"/>
      <c r="H2121" s="21"/>
      <c r="I2121" s="21"/>
      <c r="J2121" s="21"/>
      <c r="K2121" s="5" t="str">
        <f>IF(AND(LEN(H2121)=0, LEN(I2121)=0), "", IF(AND(LEN(H2121)&gt;0, LEN(I2121)=0), "BLANCO", IFERROR(VLOOKUP(I2121, BasedatosM9!A:B, 2, FALSE), "BLANCO")))</f>
        <v/>
      </c>
    </row>
    <row r="2122" spans="1:11" ht="14.4">
      <c r="A2122" s="21"/>
      <c r="B2122" s="86"/>
      <c r="C2122" s="98"/>
      <c r="D2122" s="21"/>
      <c r="E2122" s="86"/>
      <c r="F2122" s="99"/>
      <c r="G2122" s="99"/>
      <c r="H2122" s="21"/>
      <c r="I2122" s="21"/>
      <c r="J2122" s="21"/>
      <c r="K2122" s="5" t="str">
        <f>IF(AND(LEN(H2122)=0, LEN(I2122)=0), "", IF(AND(LEN(H2122)&gt;0, LEN(I2122)=0), "BLANCO", IFERROR(VLOOKUP(I2122, BasedatosM9!A:B, 2, FALSE), "BLANCO")))</f>
        <v/>
      </c>
    </row>
    <row r="2123" spans="1:11" ht="14.4">
      <c r="A2123" s="21"/>
      <c r="B2123" s="86"/>
      <c r="C2123" s="98"/>
      <c r="D2123" s="21"/>
      <c r="E2123" s="86"/>
      <c r="F2123" s="99"/>
      <c r="G2123" s="99"/>
      <c r="H2123" s="21"/>
      <c r="I2123" s="21"/>
      <c r="J2123" s="21"/>
      <c r="K2123" s="5" t="str">
        <f>IF(AND(LEN(H2123)=0, LEN(I2123)=0), "", IF(AND(LEN(H2123)&gt;0, LEN(I2123)=0), "BLANCO", IFERROR(VLOOKUP(I2123, BasedatosM9!A:B, 2, FALSE), "BLANCO")))</f>
        <v/>
      </c>
    </row>
    <row r="2124" spans="1:11" ht="14.4">
      <c r="A2124" s="21"/>
      <c r="B2124" s="86"/>
      <c r="C2124" s="98"/>
      <c r="D2124" s="21"/>
      <c r="E2124" s="86"/>
      <c r="F2124" s="99"/>
      <c r="G2124" s="99"/>
      <c r="H2124" s="21"/>
      <c r="I2124" s="86"/>
      <c r="J2124" s="21"/>
      <c r="K2124" s="5" t="str">
        <f>IF(AND(LEN(H2124)=0, LEN(I2124)=0), "", IF(AND(LEN(H2124)&gt;0, LEN(I2124)=0), "BLANCO", IFERROR(VLOOKUP(I2124, BasedatosM9!A:B, 2, FALSE), "BLANCO")))</f>
        <v/>
      </c>
    </row>
    <row r="2125" spans="1:11" ht="14.4">
      <c r="A2125" s="21"/>
      <c r="B2125" s="86"/>
      <c r="C2125" s="98"/>
      <c r="D2125" s="21"/>
      <c r="E2125" s="86"/>
      <c r="F2125" s="99"/>
      <c r="G2125" s="99"/>
      <c r="H2125" s="21"/>
      <c r="I2125" s="86"/>
      <c r="J2125" s="21"/>
      <c r="K2125" s="5" t="str">
        <f>IF(AND(LEN(H2125)=0, LEN(I2125)=0), "", IF(AND(LEN(H2125)&gt;0, LEN(I2125)=0), "BLANCO", IFERROR(VLOOKUP(I2125, BasedatosM9!A:B, 2, FALSE), "BLANCO")))</f>
        <v/>
      </c>
    </row>
    <row r="2126" spans="1:11" ht="14.4">
      <c r="A2126" s="21"/>
      <c r="B2126" s="86"/>
      <c r="C2126" s="98"/>
      <c r="D2126" s="21"/>
      <c r="E2126" s="86"/>
      <c r="F2126" s="99"/>
      <c r="G2126" s="99"/>
      <c r="H2126" s="21"/>
      <c r="I2126" s="86"/>
      <c r="J2126" s="21"/>
      <c r="K2126" s="5" t="str">
        <f>IF(AND(LEN(H2126)=0, LEN(I2126)=0), "", IF(AND(LEN(H2126)&gt;0, LEN(I2126)=0), "BLANCO", IFERROR(VLOOKUP(I2126, BasedatosM9!A:B, 2, FALSE), "BLANCO")))</f>
        <v/>
      </c>
    </row>
    <row r="2127" spans="1:11" ht="14.4">
      <c r="A2127" s="21"/>
      <c r="B2127" s="86"/>
      <c r="C2127" s="98"/>
      <c r="D2127" s="21"/>
      <c r="E2127" s="86"/>
      <c r="F2127" s="99"/>
      <c r="G2127" s="99"/>
      <c r="H2127" s="21"/>
      <c r="I2127" s="21"/>
      <c r="J2127" s="21"/>
      <c r="K2127" s="5" t="str">
        <f>IF(AND(LEN(H2127)=0, LEN(I2127)=0), "", IF(AND(LEN(H2127)&gt;0, LEN(I2127)=0), "BLANCO", IFERROR(VLOOKUP(I2127, BasedatosM9!A:B, 2, FALSE), "BLANCO")))</f>
        <v/>
      </c>
    </row>
    <row r="2128" spans="1:11" ht="14.4">
      <c r="A2128" s="21"/>
      <c r="B2128" s="86"/>
      <c r="C2128" s="98"/>
      <c r="D2128" s="21"/>
      <c r="E2128" s="86"/>
      <c r="F2128" s="99"/>
      <c r="G2128" s="99"/>
      <c r="H2128" s="21"/>
      <c r="I2128" s="86"/>
      <c r="J2128" s="21"/>
      <c r="K2128" s="5" t="str">
        <f>IF(AND(LEN(H2128)=0, LEN(I2128)=0), "", IF(AND(LEN(H2128)&gt;0, LEN(I2128)=0), "BLANCO", IFERROR(VLOOKUP(I2128, BasedatosM9!A:B, 2, FALSE), "BLANCO")))</f>
        <v/>
      </c>
    </row>
    <row r="2129" spans="1:11" ht="14.4">
      <c r="A2129" s="21"/>
      <c r="B2129" s="86"/>
      <c r="C2129" s="98"/>
      <c r="D2129" s="21"/>
      <c r="E2129" s="86"/>
      <c r="F2129" s="99"/>
      <c r="G2129" s="99"/>
      <c r="H2129" s="21"/>
      <c r="I2129" s="86"/>
      <c r="J2129" s="21"/>
      <c r="K2129" s="5" t="str">
        <f>IF(AND(LEN(H2129)=0, LEN(I2129)=0), "", IF(AND(LEN(H2129)&gt;0, LEN(I2129)=0), "BLANCO", IFERROR(VLOOKUP(I2129, BasedatosM9!A:B, 2, FALSE), "BLANCO")))</f>
        <v/>
      </c>
    </row>
    <row r="2130" spans="1:11" ht="14.4">
      <c r="A2130" s="21"/>
      <c r="B2130" s="86"/>
      <c r="C2130" s="98"/>
      <c r="D2130" s="21"/>
      <c r="E2130" s="86"/>
      <c r="F2130" s="99"/>
      <c r="G2130" s="99"/>
      <c r="H2130" s="21"/>
      <c r="I2130" s="86"/>
      <c r="J2130" s="21"/>
      <c r="K2130" s="5" t="str">
        <f>IF(AND(LEN(H2130)=0, LEN(I2130)=0), "", IF(AND(LEN(H2130)&gt;0, LEN(I2130)=0), "BLANCO", IFERROR(VLOOKUP(I2130, BasedatosM9!A:B, 2, FALSE), "BLANCO")))</f>
        <v/>
      </c>
    </row>
    <row r="2131" spans="1:11" ht="14.4">
      <c r="A2131" s="21"/>
      <c r="B2131" s="86"/>
      <c r="C2131" s="98"/>
      <c r="D2131" s="21"/>
      <c r="E2131" s="86"/>
      <c r="F2131" s="99"/>
      <c r="G2131" s="99"/>
      <c r="H2131" s="21"/>
      <c r="I2131" s="86"/>
      <c r="J2131" s="21"/>
      <c r="K2131" s="5" t="str">
        <f>IF(AND(LEN(H2131)=0, LEN(I2131)=0), "", IF(AND(LEN(H2131)&gt;0, LEN(I2131)=0), "BLANCO", IFERROR(VLOOKUP(I2131, BasedatosM9!A:B, 2, FALSE), "BLANCO")))</f>
        <v/>
      </c>
    </row>
    <row r="2132" spans="1:11" ht="14.4">
      <c r="A2132" s="21"/>
      <c r="B2132" s="86"/>
      <c r="C2132" s="98"/>
      <c r="D2132" s="21"/>
      <c r="E2132" s="86"/>
      <c r="F2132" s="99"/>
      <c r="G2132" s="99"/>
      <c r="H2132" s="21"/>
      <c r="I2132" s="86"/>
      <c r="J2132" s="21"/>
      <c r="K2132" s="5" t="str">
        <f>IF(AND(LEN(H2132)=0, LEN(I2132)=0), "", IF(AND(LEN(H2132)&gt;0, LEN(I2132)=0), "BLANCO", IFERROR(VLOOKUP(I2132, BasedatosM9!A:B, 2, FALSE), "BLANCO")))</f>
        <v/>
      </c>
    </row>
    <row r="2133" spans="1:11" ht="14.4">
      <c r="A2133" s="21"/>
      <c r="B2133" s="86"/>
      <c r="C2133" s="98"/>
      <c r="D2133" s="21"/>
      <c r="E2133" s="86"/>
      <c r="F2133" s="99"/>
      <c r="G2133" s="99"/>
      <c r="H2133" s="21"/>
      <c r="I2133" s="86"/>
      <c r="J2133" s="21"/>
      <c r="K2133" s="5" t="str">
        <f>IF(AND(LEN(H2133)=0, LEN(I2133)=0), "", IF(AND(LEN(H2133)&gt;0, LEN(I2133)=0), "BLANCO", IFERROR(VLOOKUP(I2133, BasedatosM9!A:B, 2, FALSE), "BLANCO")))</f>
        <v/>
      </c>
    </row>
    <row r="2134" spans="1:11" ht="14.4">
      <c r="A2134" s="21"/>
      <c r="B2134" s="86"/>
      <c r="C2134" s="98"/>
      <c r="D2134" s="21"/>
      <c r="E2134" s="86"/>
      <c r="F2134" s="99"/>
      <c r="G2134" s="99"/>
      <c r="H2134" s="21"/>
      <c r="I2134" s="21"/>
      <c r="J2134" s="21"/>
      <c r="K2134" s="5" t="str">
        <f>IF(AND(LEN(H2134)=0, LEN(I2134)=0), "", IF(AND(LEN(H2134)&gt;0, LEN(I2134)=0), "BLANCO", IFERROR(VLOOKUP(I2134, BasedatosM9!A:B, 2, FALSE), "BLANCO")))</f>
        <v/>
      </c>
    </row>
    <row r="2135" spans="1:11" ht="14.4">
      <c r="A2135" s="21"/>
      <c r="B2135" s="86"/>
      <c r="C2135" s="98"/>
      <c r="D2135" s="21"/>
      <c r="E2135" s="86"/>
      <c r="F2135" s="99"/>
      <c r="G2135" s="99"/>
      <c r="H2135" s="21"/>
      <c r="I2135" s="21"/>
      <c r="J2135" s="21"/>
      <c r="K2135" s="5" t="str">
        <f>IF(AND(LEN(H2135)=0, LEN(I2135)=0), "", IF(AND(LEN(H2135)&gt;0, LEN(I2135)=0), "BLANCO", IFERROR(VLOOKUP(I2135, BasedatosM9!A:B, 2, FALSE), "BLANCO")))</f>
        <v/>
      </c>
    </row>
    <row r="2136" spans="1:11" ht="14.4">
      <c r="A2136" s="21"/>
      <c r="B2136" s="86"/>
      <c r="C2136" s="98"/>
      <c r="D2136" s="21"/>
      <c r="E2136" s="86"/>
      <c r="F2136" s="99"/>
      <c r="G2136" s="99"/>
      <c r="H2136" s="21"/>
      <c r="I2136" s="86"/>
      <c r="J2136" s="21"/>
      <c r="K2136" s="5" t="str">
        <f>IF(AND(LEN(H2136)=0, LEN(I2136)=0), "", IF(AND(LEN(H2136)&gt;0, LEN(I2136)=0), "BLANCO", IFERROR(VLOOKUP(I2136, BasedatosM9!A:B, 2, FALSE), "BLANCO")))</f>
        <v/>
      </c>
    </row>
    <row r="2137" spans="1:11" ht="14.4">
      <c r="A2137" s="21"/>
      <c r="B2137" s="86"/>
      <c r="C2137" s="98"/>
      <c r="D2137" s="21"/>
      <c r="E2137" s="86"/>
      <c r="F2137" s="99"/>
      <c r="G2137" s="99"/>
      <c r="H2137" s="21"/>
      <c r="I2137" s="86"/>
      <c r="J2137" s="21"/>
      <c r="K2137" s="5" t="str">
        <f>IF(AND(LEN(H2137)=0, LEN(I2137)=0), "", IF(AND(LEN(H2137)&gt;0, LEN(I2137)=0), "BLANCO", IFERROR(VLOOKUP(I2137, BasedatosM9!A:B, 2, FALSE), "BLANCO")))</f>
        <v/>
      </c>
    </row>
    <row r="2138" spans="1:11" ht="14.4">
      <c r="A2138" s="21"/>
      <c r="B2138" s="86"/>
      <c r="C2138" s="98"/>
      <c r="D2138" s="21"/>
      <c r="E2138" s="86"/>
      <c r="F2138" s="99"/>
      <c r="G2138" s="99"/>
      <c r="H2138" s="21"/>
      <c r="I2138" s="21"/>
      <c r="J2138" s="21"/>
      <c r="K2138" s="5" t="str">
        <f>IF(AND(LEN(H2138)=0, LEN(I2138)=0), "", IF(AND(LEN(H2138)&gt;0, LEN(I2138)=0), "BLANCO", IFERROR(VLOOKUP(I2138, BasedatosM9!A:B, 2, FALSE), "BLANCO")))</f>
        <v/>
      </c>
    </row>
    <row r="2139" spans="1:11" ht="14.4">
      <c r="A2139" s="21"/>
      <c r="B2139" s="86"/>
      <c r="C2139" s="98"/>
      <c r="D2139" s="21"/>
      <c r="E2139" s="86"/>
      <c r="F2139" s="99"/>
      <c r="G2139" s="99"/>
      <c r="H2139" s="21"/>
      <c r="I2139" s="86"/>
      <c r="J2139" s="21"/>
      <c r="K2139" s="5" t="str">
        <f>IF(AND(LEN(H2139)=0, LEN(I2139)=0), "", IF(AND(LEN(H2139)&gt;0, LEN(I2139)=0), "BLANCO", IFERROR(VLOOKUP(I2139, BasedatosM9!A:B, 2, FALSE), "BLANCO")))</f>
        <v/>
      </c>
    </row>
    <row r="2140" spans="1:11" ht="14.4">
      <c r="A2140" s="21"/>
      <c r="B2140" s="86"/>
      <c r="C2140" s="98"/>
      <c r="D2140" s="21"/>
      <c r="E2140" s="86"/>
      <c r="F2140" s="99"/>
      <c r="G2140" s="99"/>
      <c r="H2140" s="21"/>
      <c r="I2140" s="86"/>
      <c r="J2140" s="21"/>
      <c r="K2140" s="5" t="str">
        <f>IF(AND(LEN(H2140)=0, LEN(I2140)=0), "", IF(AND(LEN(H2140)&gt;0, LEN(I2140)=0), "BLANCO", IFERROR(VLOOKUP(I2140, BasedatosM9!A:B, 2, FALSE), "BLANCO")))</f>
        <v/>
      </c>
    </row>
    <row r="2141" spans="1:11" ht="14.4">
      <c r="A2141" s="21"/>
      <c r="B2141" s="86"/>
      <c r="C2141" s="98"/>
      <c r="D2141" s="21"/>
      <c r="E2141" s="86"/>
      <c r="F2141" s="99"/>
      <c r="G2141" s="99"/>
      <c r="H2141" s="21"/>
      <c r="I2141" s="86"/>
      <c r="J2141" s="21"/>
      <c r="K2141" s="5" t="str">
        <f>IF(AND(LEN(H2141)=0, LEN(I2141)=0), "", IF(AND(LEN(H2141)&gt;0, LEN(I2141)=0), "BLANCO", IFERROR(VLOOKUP(I2141, BasedatosM9!A:B, 2, FALSE), "BLANCO")))</f>
        <v/>
      </c>
    </row>
    <row r="2142" spans="1:11" ht="14.4">
      <c r="A2142" s="21"/>
      <c r="B2142" s="86"/>
      <c r="C2142" s="98"/>
      <c r="D2142" s="21"/>
      <c r="E2142" s="86"/>
      <c r="F2142" s="99"/>
      <c r="G2142" s="99"/>
      <c r="H2142" s="21"/>
      <c r="I2142" s="86"/>
      <c r="J2142" s="21"/>
      <c r="K2142" s="5" t="str">
        <f>IF(AND(LEN(H2142)=0, LEN(I2142)=0), "", IF(AND(LEN(H2142)&gt;0, LEN(I2142)=0), "BLANCO", IFERROR(VLOOKUP(I2142, BasedatosM9!A:B, 2, FALSE), "BLANCO")))</f>
        <v/>
      </c>
    </row>
    <row r="2143" spans="1:11" ht="14.4">
      <c r="A2143" s="21"/>
      <c r="B2143" s="86"/>
      <c r="C2143" s="98"/>
      <c r="D2143" s="21"/>
      <c r="E2143" s="86"/>
      <c r="F2143" s="99"/>
      <c r="G2143" s="99"/>
      <c r="H2143" s="21"/>
      <c r="I2143" s="86"/>
      <c r="J2143" s="21"/>
      <c r="K2143" s="5" t="str">
        <f>IF(AND(LEN(H2143)=0, LEN(I2143)=0), "", IF(AND(LEN(H2143)&gt;0, LEN(I2143)=0), "BLANCO", IFERROR(VLOOKUP(I2143, BasedatosM9!A:B, 2, FALSE), "BLANCO")))</f>
        <v/>
      </c>
    </row>
    <row r="2144" spans="1:11" ht="14.4">
      <c r="A2144" s="21"/>
      <c r="B2144" s="86"/>
      <c r="C2144" s="98"/>
      <c r="D2144" s="21"/>
      <c r="E2144" s="86"/>
      <c r="F2144" s="99"/>
      <c r="G2144" s="99"/>
      <c r="H2144" s="21"/>
      <c r="I2144" s="21"/>
      <c r="J2144" s="21"/>
      <c r="K2144" s="5" t="str">
        <f>IF(AND(LEN(H2144)=0, LEN(I2144)=0), "", IF(AND(LEN(H2144)&gt;0, LEN(I2144)=0), "BLANCO", IFERROR(VLOOKUP(I2144, BasedatosM9!A:B, 2, FALSE), "BLANCO")))</f>
        <v/>
      </c>
    </row>
    <row r="2145" spans="1:11" ht="14.4">
      <c r="A2145" s="21"/>
      <c r="B2145" s="86"/>
      <c r="C2145" s="98"/>
      <c r="D2145" s="21"/>
      <c r="E2145" s="86"/>
      <c r="F2145" s="99"/>
      <c r="G2145" s="99"/>
      <c r="H2145" s="21"/>
      <c r="I2145" s="86"/>
      <c r="J2145" s="21"/>
      <c r="K2145" s="5" t="str">
        <f>IF(AND(LEN(H2145)=0, LEN(I2145)=0), "", IF(AND(LEN(H2145)&gt;0, LEN(I2145)=0), "BLANCO", IFERROR(VLOOKUP(I2145, BasedatosM9!A:B, 2, FALSE), "BLANCO")))</f>
        <v/>
      </c>
    </row>
    <row r="2146" spans="1:11" ht="14.4">
      <c r="A2146" s="21"/>
      <c r="B2146" s="86"/>
      <c r="C2146" s="98"/>
      <c r="D2146" s="21"/>
      <c r="E2146" s="86"/>
      <c r="F2146" s="99"/>
      <c r="G2146" s="99"/>
      <c r="H2146" s="21"/>
      <c r="I2146" s="21"/>
      <c r="J2146" s="21"/>
      <c r="K2146" s="5" t="str">
        <f>IF(AND(LEN(H2146)=0, LEN(I2146)=0), "", IF(AND(LEN(H2146)&gt;0, LEN(I2146)=0), "BLANCO", IFERROR(VLOOKUP(I2146, BasedatosM9!A:B, 2, FALSE), "BLANCO")))</f>
        <v/>
      </c>
    </row>
    <row r="2147" spans="1:11" ht="14.4">
      <c r="A2147" s="21"/>
      <c r="B2147" s="86"/>
      <c r="C2147" s="98"/>
      <c r="D2147" s="21"/>
      <c r="E2147" s="86"/>
      <c r="F2147" s="99"/>
      <c r="G2147" s="99"/>
      <c r="H2147" s="21"/>
      <c r="I2147" s="86"/>
      <c r="J2147" s="21"/>
      <c r="K2147" s="5" t="str">
        <f>IF(AND(LEN(H2147)=0, LEN(I2147)=0), "", IF(AND(LEN(H2147)&gt;0, LEN(I2147)=0), "BLANCO", IFERROR(VLOOKUP(I2147, BasedatosM9!A:B, 2, FALSE), "BLANCO")))</f>
        <v/>
      </c>
    </row>
    <row r="2148" spans="1:11" ht="14.4">
      <c r="A2148" s="21"/>
      <c r="B2148" s="86"/>
      <c r="C2148" s="98"/>
      <c r="D2148" s="21"/>
      <c r="E2148" s="86"/>
      <c r="F2148" s="99"/>
      <c r="G2148" s="99"/>
      <c r="H2148" s="21"/>
      <c r="I2148" s="21"/>
      <c r="J2148" s="21"/>
      <c r="K2148" s="5" t="str">
        <f>IF(AND(LEN(H2148)=0, LEN(I2148)=0), "", IF(AND(LEN(H2148)&gt;0, LEN(I2148)=0), "BLANCO", IFERROR(VLOOKUP(I2148, BasedatosM9!A:B, 2, FALSE), "BLANCO")))</f>
        <v/>
      </c>
    </row>
    <row r="2149" spans="1:11" ht="14.4">
      <c r="A2149" s="21"/>
      <c r="B2149" s="86"/>
      <c r="C2149" s="98"/>
      <c r="D2149" s="21"/>
      <c r="E2149" s="86"/>
      <c r="F2149" s="99"/>
      <c r="G2149" s="99"/>
      <c r="H2149" s="21"/>
      <c r="I2149" s="21"/>
      <c r="J2149" s="21"/>
      <c r="K2149" s="5" t="str">
        <f>IF(AND(LEN(H2149)=0, LEN(I2149)=0), "", IF(AND(LEN(H2149)&gt;0, LEN(I2149)=0), "BLANCO", IFERROR(VLOOKUP(I2149, BasedatosM9!A:B, 2, FALSE), "BLANCO")))</f>
        <v/>
      </c>
    </row>
    <row r="2150" spans="1:11" ht="14.4">
      <c r="A2150" s="21"/>
      <c r="B2150" s="86"/>
      <c r="C2150" s="98"/>
      <c r="D2150" s="21"/>
      <c r="E2150" s="86"/>
      <c r="F2150" s="99"/>
      <c r="G2150" s="99"/>
      <c r="H2150" s="21"/>
      <c r="I2150" s="21"/>
      <c r="J2150" s="21"/>
      <c r="K2150" s="5" t="str">
        <f>IF(AND(LEN(H2150)=0, LEN(I2150)=0), "", IF(AND(LEN(H2150)&gt;0, LEN(I2150)=0), "BLANCO", IFERROR(VLOOKUP(I2150, BasedatosM9!A:B, 2, FALSE), "BLANCO")))</f>
        <v/>
      </c>
    </row>
    <row r="2151" spans="1:11" ht="14.4">
      <c r="A2151" s="21"/>
      <c r="B2151" s="86"/>
      <c r="C2151" s="98"/>
      <c r="D2151" s="21"/>
      <c r="E2151" s="86"/>
      <c r="F2151" s="99"/>
      <c r="G2151" s="99"/>
      <c r="H2151" s="21"/>
      <c r="I2151" s="21"/>
      <c r="J2151" s="21"/>
      <c r="K2151" s="5" t="str">
        <f>IF(AND(LEN(H2151)=0, LEN(I2151)=0), "", IF(AND(LEN(H2151)&gt;0, LEN(I2151)=0), "BLANCO", IFERROR(VLOOKUP(I2151, BasedatosM9!A:B, 2, FALSE), "BLANCO")))</f>
        <v/>
      </c>
    </row>
    <row r="2152" spans="1:11" ht="14.4">
      <c r="A2152" s="21"/>
      <c r="B2152" s="86"/>
      <c r="C2152" s="98"/>
      <c r="D2152" s="21"/>
      <c r="E2152" s="86"/>
      <c r="F2152" s="99"/>
      <c r="G2152" s="99"/>
      <c r="H2152" s="21"/>
      <c r="I2152" s="86"/>
      <c r="J2152" s="21"/>
      <c r="K2152" s="5" t="str">
        <f>IF(AND(LEN(H2152)=0, LEN(I2152)=0), "", IF(AND(LEN(H2152)&gt;0, LEN(I2152)=0), "BLANCO", IFERROR(VLOOKUP(I2152, BasedatosM9!A:B, 2, FALSE), "BLANCO")))</f>
        <v/>
      </c>
    </row>
    <row r="2153" spans="1:11" ht="14.4">
      <c r="A2153" s="21"/>
      <c r="B2153" s="86"/>
      <c r="C2153" s="98"/>
      <c r="D2153" s="21"/>
      <c r="E2153" s="86"/>
      <c r="F2153" s="99"/>
      <c r="G2153" s="99"/>
      <c r="H2153" s="21"/>
      <c r="I2153" s="86"/>
      <c r="J2153" s="21"/>
      <c r="K2153" s="5" t="str">
        <f>IF(AND(LEN(H2153)=0, LEN(I2153)=0), "", IF(AND(LEN(H2153)&gt;0, LEN(I2153)=0), "BLANCO", IFERROR(VLOOKUP(I2153, BasedatosM9!A:B, 2, FALSE), "BLANCO")))</f>
        <v/>
      </c>
    </row>
    <row r="2154" spans="1:11" ht="14.4">
      <c r="A2154" s="21"/>
      <c r="B2154" s="86"/>
      <c r="C2154" s="98"/>
      <c r="D2154" s="21"/>
      <c r="E2154" s="86"/>
      <c r="F2154" s="99"/>
      <c r="G2154" s="99"/>
      <c r="H2154" s="21"/>
      <c r="I2154" s="86"/>
      <c r="J2154" s="21"/>
      <c r="K2154" s="5" t="str">
        <f>IF(AND(LEN(H2154)=0, LEN(I2154)=0), "", IF(AND(LEN(H2154)&gt;0, LEN(I2154)=0), "BLANCO", IFERROR(VLOOKUP(I2154, BasedatosM9!A:B, 2, FALSE), "BLANCO")))</f>
        <v/>
      </c>
    </row>
    <row r="2155" spans="1:11" ht="14.4">
      <c r="A2155" s="21"/>
      <c r="B2155" s="86"/>
      <c r="C2155" s="98"/>
      <c r="D2155" s="21"/>
      <c r="E2155" s="86"/>
      <c r="F2155" s="99"/>
      <c r="G2155" s="99"/>
      <c r="H2155" s="21"/>
      <c r="I2155" s="86"/>
      <c r="J2155" s="21"/>
      <c r="K2155" s="5" t="str">
        <f>IF(AND(LEN(H2155)=0, LEN(I2155)=0), "", IF(AND(LEN(H2155)&gt;0, LEN(I2155)=0), "BLANCO", IFERROR(VLOOKUP(I2155, BasedatosM9!A:B, 2, FALSE), "BLANCO")))</f>
        <v/>
      </c>
    </row>
    <row r="2156" spans="1:11" ht="14.4">
      <c r="A2156" s="21"/>
      <c r="B2156" s="86"/>
      <c r="C2156" s="98"/>
      <c r="D2156" s="21"/>
      <c r="E2156" s="86"/>
      <c r="F2156" s="99"/>
      <c r="G2156" s="99"/>
      <c r="H2156" s="21"/>
      <c r="I2156" s="86"/>
      <c r="J2156" s="21"/>
      <c r="K2156" s="5" t="str">
        <f>IF(AND(LEN(H2156)=0, LEN(I2156)=0), "", IF(AND(LEN(H2156)&gt;0, LEN(I2156)=0), "BLANCO", IFERROR(VLOOKUP(I2156, BasedatosM9!A:B, 2, FALSE), "BLANCO")))</f>
        <v/>
      </c>
    </row>
    <row r="2157" spans="1:11" ht="14.4">
      <c r="A2157" s="21"/>
      <c r="B2157" s="86"/>
      <c r="C2157" s="98"/>
      <c r="D2157" s="21"/>
      <c r="E2157" s="86"/>
      <c r="F2157" s="99"/>
      <c r="G2157" s="99"/>
      <c r="H2157" s="21"/>
      <c r="I2157" s="86"/>
      <c r="J2157" s="21"/>
      <c r="K2157" s="5" t="str">
        <f>IF(AND(LEN(H2157)=0, LEN(I2157)=0), "", IF(AND(LEN(H2157)&gt;0, LEN(I2157)=0), "BLANCO", IFERROR(VLOOKUP(I2157, BasedatosM9!A:B, 2, FALSE), "BLANCO")))</f>
        <v/>
      </c>
    </row>
    <row r="2158" spans="1:11" ht="14.4">
      <c r="A2158" s="21"/>
      <c r="B2158" s="86"/>
      <c r="C2158" s="98"/>
      <c r="D2158" s="21"/>
      <c r="E2158" s="86"/>
      <c r="F2158" s="99"/>
      <c r="G2158" s="99"/>
      <c r="H2158" s="21"/>
      <c r="I2158" s="86"/>
      <c r="J2158" s="21"/>
      <c r="K2158" s="5" t="str">
        <f>IF(AND(LEN(H2158)=0, LEN(I2158)=0), "", IF(AND(LEN(H2158)&gt;0, LEN(I2158)=0), "BLANCO", IFERROR(VLOOKUP(I2158, BasedatosM9!A:B, 2, FALSE), "BLANCO")))</f>
        <v/>
      </c>
    </row>
    <row r="2159" spans="1:11" ht="14.4">
      <c r="A2159" s="21"/>
      <c r="B2159" s="86"/>
      <c r="C2159" s="98"/>
      <c r="D2159" s="21"/>
      <c r="E2159" s="86"/>
      <c r="F2159" s="99"/>
      <c r="G2159" s="99"/>
      <c r="H2159" s="21"/>
      <c r="I2159" s="86"/>
      <c r="J2159" s="21"/>
      <c r="K2159" s="5" t="str">
        <f>IF(AND(LEN(H2159)=0, LEN(I2159)=0), "", IF(AND(LEN(H2159)&gt;0, LEN(I2159)=0), "BLANCO", IFERROR(VLOOKUP(I2159, BasedatosM9!A:B, 2, FALSE), "BLANCO")))</f>
        <v/>
      </c>
    </row>
    <row r="2160" spans="1:11" ht="14.4">
      <c r="A2160" s="21"/>
      <c r="B2160" s="86"/>
      <c r="C2160" s="98"/>
      <c r="D2160" s="21"/>
      <c r="E2160" s="86"/>
      <c r="F2160" s="99"/>
      <c r="G2160" s="99"/>
      <c r="H2160" s="21"/>
      <c r="I2160" s="86"/>
      <c r="J2160" s="21"/>
      <c r="K2160" s="5" t="str">
        <f>IF(AND(LEN(H2160)=0, LEN(I2160)=0), "", IF(AND(LEN(H2160)&gt;0, LEN(I2160)=0), "BLANCO", IFERROR(VLOOKUP(I2160, BasedatosM9!A:B, 2, FALSE), "BLANCO")))</f>
        <v/>
      </c>
    </row>
    <row r="2161" spans="1:11" ht="14.4">
      <c r="A2161" s="21"/>
      <c r="B2161" s="86"/>
      <c r="C2161" s="98"/>
      <c r="D2161" s="21"/>
      <c r="E2161" s="86"/>
      <c r="F2161" s="99"/>
      <c r="G2161" s="99"/>
      <c r="H2161" s="21"/>
      <c r="I2161" s="86"/>
      <c r="J2161" s="21"/>
      <c r="K2161" s="5" t="str">
        <f>IF(AND(LEN(H2161)=0, LEN(I2161)=0), "", IF(AND(LEN(H2161)&gt;0, LEN(I2161)=0), "BLANCO", IFERROR(VLOOKUP(I2161, BasedatosM9!A:B, 2, FALSE), "BLANCO")))</f>
        <v/>
      </c>
    </row>
    <row r="2162" spans="1:11" ht="14.4">
      <c r="A2162" s="21"/>
      <c r="B2162" s="86"/>
      <c r="C2162" s="98"/>
      <c r="D2162" s="21"/>
      <c r="E2162" s="86"/>
      <c r="F2162" s="99"/>
      <c r="G2162" s="99"/>
      <c r="H2162" s="21"/>
      <c r="I2162" s="86"/>
      <c r="J2162" s="21"/>
      <c r="K2162" s="5" t="str">
        <f>IF(AND(LEN(H2162)=0, LEN(I2162)=0), "", IF(AND(LEN(H2162)&gt;0, LEN(I2162)=0), "BLANCO", IFERROR(VLOOKUP(I2162, BasedatosM9!A:B, 2, FALSE), "BLANCO")))</f>
        <v/>
      </c>
    </row>
    <row r="2163" spans="1:11" ht="14.4">
      <c r="A2163" s="21"/>
      <c r="B2163" s="86"/>
      <c r="C2163" s="98"/>
      <c r="D2163" s="21"/>
      <c r="E2163" s="86"/>
      <c r="F2163" s="99"/>
      <c r="G2163" s="99"/>
      <c r="H2163" s="21"/>
      <c r="I2163" s="21"/>
      <c r="J2163" s="21"/>
      <c r="K2163" s="5" t="str">
        <f>IF(AND(LEN(H2163)=0, LEN(I2163)=0), "", IF(AND(LEN(H2163)&gt;0, LEN(I2163)=0), "BLANCO", IFERROR(VLOOKUP(I2163, BasedatosM9!A:B, 2, FALSE), "BLANCO")))</f>
        <v/>
      </c>
    </row>
    <row r="2164" spans="1:11" ht="14.4">
      <c r="A2164" s="21"/>
      <c r="B2164" s="86"/>
      <c r="C2164" s="98"/>
      <c r="D2164" s="21"/>
      <c r="E2164" s="86"/>
      <c r="F2164" s="99"/>
      <c r="G2164" s="99"/>
      <c r="H2164" s="21"/>
      <c r="I2164" s="86"/>
      <c r="J2164" s="21"/>
      <c r="K2164" s="5" t="str">
        <f>IF(AND(LEN(H2164)=0, LEN(I2164)=0), "", IF(AND(LEN(H2164)&gt;0, LEN(I2164)=0), "BLANCO", IFERROR(VLOOKUP(I2164, BasedatosM9!A:B, 2, FALSE), "BLANCO")))</f>
        <v/>
      </c>
    </row>
    <row r="2165" spans="1:11" ht="14.4">
      <c r="A2165" s="21"/>
      <c r="B2165" s="86"/>
      <c r="C2165" s="98"/>
      <c r="D2165" s="21"/>
      <c r="E2165" s="86"/>
      <c r="F2165" s="99"/>
      <c r="G2165" s="99"/>
      <c r="H2165" s="21"/>
      <c r="I2165" s="86"/>
      <c r="J2165" s="21"/>
      <c r="K2165" s="5" t="str">
        <f>IF(AND(LEN(H2165)=0, LEN(I2165)=0), "", IF(AND(LEN(H2165)&gt;0, LEN(I2165)=0), "BLANCO", IFERROR(VLOOKUP(I2165, BasedatosM9!A:B, 2, FALSE), "BLANCO")))</f>
        <v/>
      </c>
    </row>
    <row r="2166" spans="1:11" ht="14.4">
      <c r="A2166" s="21"/>
      <c r="B2166" s="86"/>
      <c r="C2166" s="98"/>
      <c r="D2166" s="21"/>
      <c r="E2166" s="86"/>
      <c r="F2166" s="99"/>
      <c r="G2166" s="99"/>
      <c r="H2166" s="21"/>
      <c r="I2166" s="21"/>
      <c r="J2166" s="21"/>
      <c r="K2166" s="5" t="str">
        <f>IF(AND(LEN(H2166)=0, LEN(I2166)=0), "", IF(AND(LEN(H2166)&gt;0, LEN(I2166)=0), "BLANCO", IFERROR(VLOOKUP(I2166, BasedatosM9!A:B, 2, FALSE), "BLANCO")))</f>
        <v/>
      </c>
    </row>
    <row r="2167" spans="1:11" ht="14.4">
      <c r="A2167" s="21"/>
      <c r="B2167" s="86"/>
      <c r="C2167" s="98"/>
      <c r="D2167" s="21"/>
      <c r="E2167" s="86"/>
      <c r="F2167" s="99"/>
      <c r="G2167" s="99"/>
      <c r="H2167" s="21"/>
      <c r="I2167" s="21"/>
      <c r="J2167" s="21"/>
      <c r="K2167" s="5" t="str">
        <f>IF(AND(LEN(H2167)=0, LEN(I2167)=0), "", IF(AND(LEN(H2167)&gt;0, LEN(I2167)=0), "BLANCO", IFERROR(VLOOKUP(I2167, BasedatosM9!A:B, 2, FALSE), "BLANCO")))</f>
        <v/>
      </c>
    </row>
    <row r="2168" spans="1:11" ht="14.4">
      <c r="A2168" s="21"/>
      <c r="B2168" s="86"/>
      <c r="C2168" s="98"/>
      <c r="D2168" s="21"/>
      <c r="E2168" s="86"/>
      <c r="F2168" s="99"/>
      <c r="G2168" s="99"/>
      <c r="H2168" s="21"/>
      <c r="I2168" s="21"/>
      <c r="J2168" s="21"/>
      <c r="K2168" s="5" t="str">
        <f>IF(AND(LEN(H2168)=0, LEN(I2168)=0), "", IF(AND(LEN(H2168)&gt;0, LEN(I2168)=0), "BLANCO", IFERROR(VLOOKUP(I2168, BasedatosM9!A:B, 2, FALSE), "BLANCO")))</f>
        <v/>
      </c>
    </row>
    <row r="2169" spans="1:11" ht="14.4">
      <c r="A2169" s="21"/>
      <c r="B2169" s="86"/>
      <c r="C2169" s="98"/>
      <c r="D2169" s="21"/>
      <c r="E2169" s="86"/>
      <c r="F2169" s="99"/>
      <c r="G2169" s="99"/>
      <c r="H2169" s="21"/>
      <c r="I2169" s="86"/>
      <c r="J2169" s="21"/>
      <c r="K2169" s="5" t="str">
        <f>IF(AND(LEN(H2169)=0, LEN(I2169)=0), "", IF(AND(LEN(H2169)&gt;0, LEN(I2169)=0), "BLANCO", IFERROR(VLOOKUP(I2169, BasedatosM9!A:B, 2, FALSE), "BLANCO")))</f>
        <v/>
      </c>
    </row>
    <row r="2170" spans="1:11" ht="14.4">
      <c r="A2170" s="21"/>
      <c r="B2170" s="86"/>
      <c r="C2170" s="98"/>
      <c r="D2170" s="21"/>
      <c r="E2170" s="86"/>
      <c r="F2170" s="99"/>
      <c r="G2170" s="99"/>
      <c r="H2170" s="21"/>
      <c r="I2170" s="21"/>
      <c r="J2170" s="21"/>
      <c r="K2170" s="5" t="str">
        <f>IF(AND(LEN(H2170)=0, LEN(I2170)=0), "", IF(AND(LEN(H2170)&gt;0, LEN(I2170)=0), "BLANCO", IFERROR(VLOOKUP(I2170, BasedatosM9!A:B, 2, FALSE), "BLANCO")))</f>
        <v/>
      </c>
    </row>
    <row r="2171" spans="1:11" ht="14.4">
      <c r="A2171" s="21"/>
      <c r="B2171" s="86"/>
      <c r="C2171" s="98"/>
      <c r="D2171" s="21"/>
      <c r="E2171" s="86"/>
      <c r="F2171" s="99"/>
      <c r="G2171" s="99"/>
      <c r="H2171" s="21"/>
      <c r="I2171" s="21"/>
      <c r="J2171" s="21"/>
      <c r="K2171" s="5" t="str">
        <f>IF(AND(LEN(H2171)=0, LEN(I2171)=0), "", IF(AND(LEN(H2171)&gt;0, LEN(I2171)=0), "BLANCO", IFERROR(VLOOKUP(I2171, BasedatosM9!A:B, 2, FALSE), "BLANCO")))</f>
        <v/>
      </c>
    </row>
    <row r="2172" spans="1:11" ht="14.4">
      <c r="A2172" s="21"/>
      <c r="B2172" s="86"/>
      <c r="C2172" s="98"/>
      <c r="D2172" s="21"/>
      <c r="E2172" s="86"/>
      <c r="F2172" s="99"/>
      <c r="G2172" s="99"/>
      <c r="H2172" s="21"/>
      <c r="I2172" s="21"/>
      <c r="J2172" s="21"/>
      <c r="K2172" s="5" t="str">
        <f>IF(AND(LEN(H2172)=0, LEN(I2172)=0), "", IF(AND(LEN(H2172)&gt;0, LEN(I2172)=0), "BLANCO", IFERROR(VLOOKUP(I2172, BasedatosM9!A:B, 2, FALSE), "BLANCO")))</f>
        <v/>
      </c>
    </row>
    <row r="2173" spans="1:11" ht="14.4">
      <c r="A2173" s="21"/>
      <c r="B2173" s="86"/>
      <c r="C2173" s="98"/>
      <c r="D2173" s="21"/>
      <c r="E2173" s="86"/>
      <c r="F2173" s="99"/>
      <c r="G2173" s="99"/>
      <c r="H2173" s="21"/>
      <c r="I2173" s="21"/>
      <c r="J2173" s="21"/>
      <c r="K2173" s="5" t="str">
        <f>IF(AND(LEN(H2173)=0, LEN(I2173)=0), "", IF(AND(LEN(H2173)&gt;0, LEN(I2173)=0), "BLANCO", IFERROR(VLOOKUP(I2173, BasedatosM9!A:B, 2, FALSE), "BLANCO")))</f>
        <v/>
      </c>
    </row>
    <row r="2174" spans="1:11" ht="14.4">
      <c r="A2174" s="21"/>
      <c r="B2174" s="86"/>
      <c r="C2174" s="98"/>
      <c r="D2174" s="21"/>
      <c r="E2174" s="86"/>
      <c r="F2174" s="99"/>
      <c r="G2174" s="99"/>
      <c r="H2174" s="21"/>
      <c r="I2174" s="21"/>
      <c r="J2174" s="21"/>
      <c r="K2174" s="5" t="str">
        <f>IF(AND(LEN(H2174)=0, LEN(I2174)=0), "", IF(AND(LEN(H2174)&gt;0, LEN(I2174)=0), "BLANCO", IFERROR(VLOOKUP(I2174, BasedatosM9!A:B, 2, FALSE), "BLANCO")))</f>
        <v/>
      </c>
    </row>
    <row r="2175" spans="1:11" ht="14.4">
      <c r="A2175" s="21"/>
      <c r="B2175" s="86"/>
      <c r="C2175" s="98"/>
      <c r="D2175" s="21"/>
      <c r="E2175" s="86"/>
      <c r="F2175" s="99"/>
      <c r="G2175" s="99"/>
      <c r="H2175" s="21"/>
      <c r="I2175" s="21"/>
      <c r="J2175" s="21"/>
      <c r="K2175" s="5" t="str">
        <f>IF(AND(LEN(H2175)=0, LEN(I2175)=0), "", IF(AND(LEN(H2175)&gt;0, LEN(I2175)=0), "BLANCO", IFERROR(VLOOKUP(I2175, BasedatosM9!A:B, 2, FALSE), "BLANCO")))</f>
        <v/>
      </c>
    </row>
    <row r="2176" spans="1:11" ht="14.4">
      <c r="A2176" s="21"/>
      <c r="B2176" s="86"/>
      <c r="C2176" s="98"/>
      <c r="D2176" s="21"/>
      <c r="E2176" s="86"/>
      <c r="F2176" s="99"/>
      <c r="G2176" s="99"/>
      <c r="H2176" s="21"/>
      <c r="I2176" s="21"/>
      <c r="J2176" s="21"/>
      <c r="K2176" s="5" t="str">
        <f>IF(AND(LEN(H2176)=0, LEN(I2176)=0), "", IF(AND(LEN(H2176)&gt;0, LEN(I2176)=0), "BLANCO", IFERROR(VLOOKUP(I2176, BasedatosM9!A:B, 2, FALSE), "BLANCO")))</f>
        <v/>
      </c>
    </row>
    <row r="2177" spans="1:11" ht="14.4">
      <c r="A2177" s="21"/>
      <c r="B2177" s="86"/>
      <c r="C2177" s="98"/>
      <c r="D2177" s="21"/>
      <c r="E2177" s="86"/>
      <c r="F2177" s="99"/>
      <c r="G2177" s="99"/>
      <c r="H2177" s="21"/>
      <c r="I2177" s="21"/>
      <c r="J2177" s="21"/>
      <c r="K2177" s="5" t="str">
        <f>IF(AND(LEN(H2177)=0, LEN(I2177)=0), "", IF(AND(LEN(H2177)&gt;0, LEN(I2177)=0), "BLANCO", IFERROR(VLOOKUP(I2177, BasedatosM9!A:B, 2, FALSE), "BLANCO")))</f>
        <v/>
      </c>
    </row>
    <row r="2178" spans="1:11" ht="14.4">
      <c r="A2178" s="21"/>
      <c r="B2178" s="86"/>
      <c r="C2178" s="98"/>
      <c r="D2178" s="21"/>
      <c r="E2178" s="86"/>
      <c r="F2178" s="99"/>
      <c r="G2178" s="99"/>
      <c r="H2178" s="21"/>
      <c r="I2178" s="21"/>
      <c r="J2178" s="21"/>
      <c r="K2178" s="5" t="str">
        <f>IF(AND(LEN(H2178)=0, LEN(I2178)=0), "", IF(AND(LEN(H2178)&gt;0, LEN(I2178)=0), "BLANCO", IFERROR(VLOOKUP(I2178, BasedatosM9!A:B, 2, FALSE), "BLANCO")))</f>
        <v/>
      </c>
    </row>
    <row r="2179" spans="1:11" ht="14.4">
      <c r="A2179" s="21"/>
      <c r="B2179" s="86"/>
      <c r="C2179" s="98"/>
      <c r="D2179" s="21"/>
      <c r="E2179" s="86"/>
      <c r="F2179" s="99"/>
      <c r="G2179" s="99"/>
      <c r="H2179" s="21"/>
      <c r="I2179" s="21"/>
      <c r="J2179" s="21"/>
      <c r="K2179" s="5" t="str">
        <f>IF(AND(LEN(H2179)=0, LEN(I2179)=0), "", IF(AND(LEN(H2179)&gt;0, LEN(I2179)=0), "BLANCO", IFERROR(VLOOKUP(I2179, BasedatosM9!A:B, 2, FALSE), "BLANCO")))</f>
        <v/>
      </c>
    </row>
    <row r="2180" spans="1:11" ht="14.4">
      <c r="A2180" s="21"/>
      <c r="B2180" s="86"/>
      <c r="C2180" s="98"/>
      <c r="D2180" s="21"/>
      <c r="E2180" s="86"/>
      <c r="F2180" s="99"/>
      <c r="G2180" s="99"/>
      <c r="H2180" s="21"/>
      <c r="I2180" s="86"/>
      <c r="J2180" s="21"/>
      <c r="K2180" s="5" t="str">
        <f>IF(AND(LEN(H2180)=0, LEN(I2180)=0), "", IF(AND(LEN(H2180)&gt;0, LEN(I2180)=0), "BLANCO", IFERROR(VLOOKUP(I2180, BasedatosM9!A:B, 2, FALSE), "BLANCO")))</f>
        <v/>
      </c>
    </row>
    <row r="2181" spans="1:11" ht="14.4">
      <c r="A2181" s="21"/>
      <c r="B2181" s="86"/>
      <c r="C2181" s="98"/>
      <c r="D2181" s="21"/>
      <c r="E2181" s="86"/>
      <c r="F2181" s="99"/>
      <c r="G2181" s="99"/>
      <c r="H2181" s="21"/>
      <c r="I2181" s="21"/>
      <c r="J2181" s="21"/>
      <c r="K2181" s="5" t="str">
        <f>IF(AND(LEN(H2181)=0, LEN(I2181)=0), "", IF(AND(LEN(H2181)&gt;0, LEN(I2181)=0), "BLANCO", IFERROR(VLOOKUP(I2181, BasedatosM9!A:B, 2, FALSE), "BLANCO")))</f>
        <v/>
      </c>
    </row>
    <row r="2182" spans="1:11" ht="14.4">
      <c r="A2182" s="21"/>
      <c r="B2182" s="86"/>
      <c r="C2182" s="98"/>
      <c r="D2182" s="21"/>
      <c r="E2182" s="86"/>
      <c r="F2182" s="99"/>
      <c r="G2182" s="99"/>
      <c r="H2182" s="21"/>
      <c r="I2182" s="86"/>
      <c r="J2182" s="21"/>
      <c r="K2182" s="5" t="str">
        <f>IF(AND(LEN(H2182)=0, LEN(I2182)=0), "", IF(AND(LEN(H2182)&gt;0, LEN(I2182)=0), "BLANCO", IFERROR(VLOOKUP(I2182, BasedatosM9!A:B, 2, FALSE), "BLANCO")))</f>
        <v/>
      </c>
    </row>
    <row r="2183" spans="1:11" ht="14.4">
      <c r="A2183" s="21"/>
      <c r="B2183" s="86"/>
      <c r="C2183" s="98"/>
      <c r="D2183" s="21"/>
      <c r="E2183" s="86"/>
      <c r="F2183" s="99"/>
      <c r="G2183" s="99"/>
      <c r="H2183" s="21"/>
      <c r="I2183" s="86"/>
      <c r="J2183" s="21"/>
      <c r="K2183" s="5" t="str">
        <f>IF(AND(LEN(H2183)=0, LEN(I2183)=0), "", IF(AND(LEN(H2183)&gt;0, LEN(I2183)=0), "BLANCO", IFERROR(VLOOKUP(I2183, BasedatosM9!A:B, 2, FALSE), "BLANCO")))</f>
        <v/>
      </c>
    </row>
    <row r="2184" spans="1:11" ht="14.4">
      <c r="A2184" s="21"/>
      <c r="B2184" s="86"/>
      <c r="C2184" s="98"/>
      <c r="D2184" s="21"/>
      <c r="E2184" s="86"/>
      <c r="F2184" s="99"/>
      <c r="G2184" s="99"/>
      <c r="H2184" s="21"/>
      <c r="I2184" s="21"/>
      <c r="J2184" s="21"/>
      <c r="K2184" s="5" t="str">
        <f>IF(AND(LEN(H2184)=0, LEN(I2184)=0), "", IF(AND(LEN(H2184)&gt;0, LEN(I2184)=0), "BLANCO", IFERROR(VLOOKUP(I2184, BasedatosM9!A:B, 2, FALSE), "BLANCO")))</f>
        <v/>
      </c>
    </row>
    <row r="2185" spans="1:11" ht="14.4">
      <c r="A2185" s="21"/>
      <c r="B2185" s="86"/>
      <c r="C2185" s="98"/>
      <c r="D2185" s="21"/>
      <c r="E2185" s="86"/>
      <c r="F2185" s="99"/>
      <c r="G2185" s="99"/>
      <c r="H2185" s="21"/>
      <c r="I2185" s="21"/>
      <c r="J2185" s="21"/>
      <c r="K2185" s="5" t="str">
        <f>IF(AND(LEN(H2185)=0, LEN(I2185)=0), "", IF(AND(LEN(H2185)&gt;0, LEN(I2185)=0), "BLANCO", IFERROR(VLOOKUP(I2185, BasedatosM9!A:B, 2, FALSE), "BLANCO")))</f>
        <v/>
      </c>
    </row>
    <row r="2186" spans="1:11" ht="14.4">
      <c r="A2186" s="21"/>
      <c r="B2186" s="86"/>
      <c r="C2186" s="98"/>
      <c r="D2186" s="21"/>
      <c r="E2186" s="86"/>
      <c r="F2186" s="99"/>
      <c r="G2186" s="99"/>
      <c r="H2186" s="21"/>
      <c r="I2186" s="86"/>
      <c r="J2186" s="21"/>
      <c r="K2186" s="5" t="str">
        <f>IF(AND(LEN(H2186)=0, LEN(I2186)=0), "", IF(AND(LEN(H2186)&gt;0, LEN(I2186)=0), "BLANCO", IFERROR(VLOOKUP(I2186, BasedatosM9!A:B, 2, FALSE), "BLANCO")))</f>
        <v/>
      </c>
    </row>
    <row r="2187" spans="1:11" ht="14.4">
      <c r="A2187" s="21"/>
      <c r="B2187" s="86"/>
      <c r="C2187" s="98"/>
      <c r="D2187" s="21"/>
      <c r="E2187" s="86"/>
      <c r="F2187" s="99"/>
      <c r="G2187" s="99"/>
      <c r="H2187" s="21"/>
      <c r="I2187" s="21"/>
      <c r="J2187" s="21"/>
      <c r="K2187" s="5" t="str">
        <f>IF(AND(LEN(H2187)=0, LEN(I2187)=0), "", IF(AND(LEN(H2187)&gt;0, LEN(I2187)=0), "BLANCO", IFERROR(VLOOKUP(I2187, BasedatosM9!A:B, 2, FALSE), "BLANCO")))</f>
        <v/>
      </c>
    </row>
    <row r="2188" spans="1:11" ht="14.4">
      <c r="A2188" s="21"/>
      <c r="B2188" s="86"/>
      <c r="C2188" s="98"/>
      <c r="D2188" s="21"/>
      <c r="E2188" s="86"/>
      <c r="F2188" s="99"/>
      <c r="G2188" s="99"/>
      <c r="H2188" s="21"/>
      <c r="I2188" s="21"/>
      <c r="J2188" s="21"/>
      <c r="K2188" s="5" t="str">
        <f>IF(AND(LEN(H2188)=0, LEN(I2188)=0), "", IF(AND(LEN(H2188)&gt;0, LEN(I2188)=0), "BLANCO", IFERROR(VLOOKUP(I2188, BasedatosM9!A:B, 2, FALSE), "BLANCO")))</f>
        <v/>
      </c>
    </row>
    <row r="2189" spans="1:11" ht="14.4">
      <c r="A2189" s="21"/>
      <c r="B2189" s="86"/>
      <c r="C2189" s="98"/>
      <c r="D2189" s="21"/>
      <c r="E2189" s="86"/>
      <c r="F2189" s="99"/>
      <c r="G2189" s="99"/>
      <c r="H2189" s="21"/>
      <c r="I2189" s="86"/>
      <c r="J2189" s="21"/>
      <c r="K2189" s="5" t="str">
        <f>IF(AND(LEN(H2189)=0, LEN(I2189)=0), "", IF(AND(LEN(H2189)&gt;0, LEN(I2189)=0), "BLANCO", IFERROR(VLOOKUP(I2189, BasedatosM9!A:B, 2, FALSE), "BLANCO")))</f>
        <v/>
      </c>
    </row>
    <row r="2190" spans="1:11" ht="14.4">
      <c r="A2190" s="21"/>
      <c r="B2190" s="86"/>
      <c r="C2190" s="98"/>
      <c r="D2190" s="21"/>
      <c r="E2190" s="86"/>
      <c r="F2190" s="99"/>
      <c r="G2190" s="99"/>
      <c r="H2190" s="21"/>
      <c r="I2190" s="86"/>
      <c r="J2190" s="21"/>
      <c r="K2190" s="5" t="str">
        <f>IF(AND(LEN(H2190)=0, LEN(I2190)=0), "", IF(AND(LEN(H2190)&gt;0, LEN(I2190)=0), "BLANCO", IFERROR(VLOOKUP(I2190, BasedatosM9!A:B, 2, FALSE), "BLANCO")))</f>
        <v/>
      </c>
    </row>
    <row r="2191" spans="1:11" ht="14.4">
      <c r="A2191" s="21"/>
      <c r="B2191" s="86"/>
      <c r="C2191" s="98"/>
      <c r="D2191" s="21"/>
      <c r="E2191" s="86"/>
      <c r="F2191" s="99"/>
      <c r="G2191" s="99"/>
      <c r="H2191" s="21"/>
      <c r="I2191" s="86"/>
      <c r="J2191" s="21"/>
      <c r="K2191" s="5" t="str">
        <f>IF(AND(LEN(H2191)=0, LEN(I2191)=0), "", IF(AND(LEN(H2191)&gt;0, LEN(I2191)=0), "BLANCO", IFERROR(VLOOKUP(I2191, BasedatosM9!A:B, 2, FALSE), "BLANCO")))</f>
        <v/>
      </c>
    </row>
    <row r="2192" spans="1:11" ht="14.4">
      <c r="A2192" s="21"/>
      <c r="B2192" s="86"/>
      <c r="C2192" s="98"/>
      <c r="D2192" s="21"/>
      <c r="E2192" s="86"/>
      <c r="F2192" s="99"/>
      <c r="G2192" s="99"/>
      <c r="H2192" s="21"/>
      <c r="I2192" s="86"/>
      <c r="J2192" s="21"/>
      <c r="K2192" s="5" t="str">
        <f>IF(AND(LEN(H2192)=0, LEN(I2192)=0), "", IF(AND(LEN(H2192)&gt;0, LEN(I2192)=0), "BLANCO", IFERROR(VLOOKUP(I2192, BasedatosM9!A:B, 2, FALSE), "BLANCO")))</f>
        <v/>
      </c>
    </row>
    <row r="2193" spans="1:11" ht="14.4">
      <c r="A2193" s="21"/>
      <c r="B2193" s="86"/>
      <c r="C2193" s="98"/>
      <c r="D2193" s="21"/>
      <c r="E2193" s="86"/>
      <c r="F2193" s="99"/>
      <c r="G2193" s="99"/>
      <c r="H2193" s="21"/>
      <c r="I2193" s="86"/>
      <c r="J2193" s="21"/>
      <c r="K2193" s="5" t="str">
        <f>IF(AND(LEN(H2193)=0, LEN(I2193)=0), "", IF(AND(LEN(H2193)&gt;0, LEN(I2193)=0), "BLANCO", IFERROR(VLOOKUP(I2193, BasedatosM9!A:B, 2, FALSE), "BLANCO")))</f>
        <v/>
      </c>
    </row>
    <row r="2194" spans="1:11" ht="14.4">
      <c r="A2194" s="21"/>
      <c r="B2194" s="86"/>
      <c r="C2194" s="98"/>
      <c r="D2194" s="21"/>
      <c r="E2194" s="86"/>
      <c r="F2194" s="99"/>
      <c r="G2194" s="99"/>
      <c r="H2194" s="21"/>
      <c r="I2194" s="86"/>
      <c r="J2194" s="21"/>
      <c r="K2194" s="5" t="str">
        <f>IF(AND(LEN(H2194)=0, LEN(I2194)=0), "", IF(AND(LEN(H2194)&gt;0, LEN(I2194)=0), "BLANCO", IFERROR(VLOOKUP(I2194, BasedatosM9!A:B, 2, FALSE), "BLANCO")))</f>
        <v/>
      </c>
    </row>
    <row r="2195" spans="1:11" ht="14.4">
      <c r="A2195" s="21"/>
      <c r="B2195" s="86"/>
      <c r="C2195" s="98"/>
      <c r="D2195" s="21"/>
      <c r="E2195" s="86"/>
      <c r="F2195" s="99"/>
      <c r="G2195" s="99"/>
      <c r="H2195" s="21"/>
      <c r="I2195" s="86"/>
      <c r="J2195" s="21"/>
      <c r="K2195" s="5" t="str">
        <f>IF(AND(LEN(H2195)=0, LEN(I2195)=0), "", IF(AND(LEN(H2195)&gt;0, LEN(I2195)=0), "BLANCO", IFERROR(VLOOKUP(I2195, BasedatosM9!A:B, 2, FALSE), "BLANCO")))</f>
        <v/>
      </c>
    </row>
    <row r="2196" spans="1:11" ht="14.4">
      <c r="A2196" s="21"/>
      <c r="B2196" s="86"/>
      <c r="C2196" s="98"/>
      <c r="D2196" s="21"/>
      <c r="E2196" s="86"/>
      <c r="F2196" s="99"/>
      <c r="G2196" s="99"/>
      <c r="H2196" s="21"/>
      <c r="I2196" s="21"/>
      <c r="J2196" s="21"/>
      <c r="K2196" s="5" t="str">
        <f>IF(AND(LEN(H2196)=0, LEN(I2196)=0), "", IF(AND(LEN(H2196)&gt;0, LEN(I2196)=0), "BLANCO", IFERROR(VLOOKUP(I2196, BasedatosM9!A:B, 2, FALSE), "BLANCO")))</f>
        <v/>
      </c>
    </row>
    <row r="2197" spans="1:11" ht="14.4">
      <c r="A2197" s="21"/>
      <c r="B2197" s="86"/>
      <c r="C2197" s="98"/>
      <c r="D2197" s="21"/>
      <c r="E2197" s="86"/>
      <c r="F2197" s="99"/>
      <c r="G2197" s="99"/>
      <c r="H2197" s="21"/>
      <c r="I2197" s="86"/>
      <c r="J2197" s="21"/>
      <c r="K2197" s="5" t="str">
        <f>IF(AND(LEN(H2197)=0, LEN(I2197)=0), "", IF(AND(LEN(H2197)&gt;0, LEN(I2197)=0), "BLANCO", IFERROR(VLOOKUP(I2197, BasedatosM9!A:B, 2, FALSE), "BLANCO")))</f>
        <v/>
      </c>
    </row>
    <row r="2198" spans="1:11" ht="14.4">
      <c r="A2198" s="21"/>
      <c r="B2198" s="86"/>
      <c r="C2198" s="98"/>
      <c r="D2198" s="21"/>
      <c r="E2198" s="86"/>
      <c r="F2198" s="99"/>
      <c r="G2198" s="99"/>
      <c r="H2198" s="21"/>
      <c r="I2198" s="86"/>
      <c r="J2198" s="21"/>
      <c r="K2198" s="5" t="str">
        <f>IF(AND(LEN(H2198)=0, LEN(I2198)=0), "", IF(AND(LEN(H2198)&gt;0, LEN(I2198)=0), "BLANCO", IFERROR(VLOOKUP(I2198, BasedatosM9!A:B, 2, FALSE), "BLANCO")))</f>
        <v/>
      </c>
    </row>
    <row r="2199" spans="1:11" ht="14.4">
      <c r="A2199" s="21"/>
      <c r="B2199" s="86"/>
      <c r="C2199" s="98"/>
      <c r="D2199" s="21"/>
      <c r="E2199" s="86"/>
      <c r="F2199" s="99"/>
      <c r="G2199" s="99"/>
      <c r="H2199" s="21"/>
      <c r="I2199" s="86"/>
      <c r="J2199" s="21"/>
      <c r="K2199" s="5" t="str">
        <f>IF(AND(LEN(H2199)=0, LEN(I2199)=0), "", IF(AND(LEN(H2199)&gt;0, LEN(I2199)=0), "BLANCO", IFERROR(VLOOKUP(I2199, BasedatosM9!A:B, 2, FALSE), "BLANCO")))</f>
        <v/>
      </c>
    </row>
    <row r="2200" spans="1:11" ht="14.4">
      <c r="A2200" s="21"/>
      <c r="B2200" s="86"/>
      <c r="C2200" s="98"/>
      <c r="D2200" s="21"/>
      <c r="E2200" s="86"/>
      <c r="F2200" s="99"/>
      <c r="G2200" s="99"/>
      <c r="H2200" s="21"/>
      <c r="I2200" s="86"/>
      <c r="J2200" s="21"/>
      <c r="K2200" s="5" t="str">
        <f>IF(AND(LEN(H2200)=0, LEN(I2200)=0), "", IF(AND(LEN(H2200)&gt;0, LEN(I2200)=0), "BLANCO", IFERROR(VLOOKUP(I2200, BasedatosM9!A:B, 2, FALSE), "BLANCO")))</f>
        <v/>
      </c>
    </row>
    <row r="2201" spans="1:11" ht="14.4">
      <c r="A2201" s="21"/>
      <c r="B2201" s="86"/>
      <c r="C2201" s="98"/>
      <c r="D2201" s="21"/>
      <c r="E2201" s="86"/>
      <c r="F2201" s="99"/>
      <c r="G2201" s="99"/>
      <c r="H2201" s="21"/>
      <c r="I2201" s="86"/>
      <c r="J2201" s="21"/>
      <c r="K2201" s="5" t="str">
        <f>IF(AND(LEN(H2201)=0, LEN(I2201)=0), "", IF(AND(LEN(H2201)&gt;0, LEN(I2201)=0), "BLANCO", IFERROR(VLOOKUP(I2201, BasedatosM9!A:B, 2, FALSE), "BLANCO")))</f>
        <v/>
      </c>
    </row>
    <row r="2202" spans="1:11" ht="14.4">
      <c r="A2202" s="21"/>
      <c r="B2202" s="86"/>
      <c r="C2202" s="98"/>
      <c r="D2202" s="21"/>
      <c r="E2202" s="86"/>
      <c r="F2202" s="99"/>
      <c r="G2202" s="99"/>
      <c r="H2202" s="21"/>
      <c r="I2202" s="21"/>
      <c r="J2202" s="21"/>
      <c r="K2202" s="5" t="str">
        <f>IF(AND(LEN(H2202)=0, LEN(I2202)=0), "", IF(AND(LEN(H2202)&gt;0, LEN(I2202)=0), "BLANCO", IFERROR(VLOOKUP(I2202, BasedatosM9!A:B, 2, FALSE), "BLANCO")))</f>
        <v/>
      </c>
    </row>
    <row r="2203" spans="1:11" ht="14.4">
      <c r="A2203" s="21"/>
      <c r="B2203" s="86"/>
      <c r="C2203" s="98"/>
      <c r="D2203" s="21"/>
      <c r="E2203" s="86"/>
      <c r="F2203" s="99"/>
      <c r="G2203" s="99"/>
      <c r="H2203" s="21"/>
      <c r="I2203" s="21"/>
      <c r="J2203" s="21"/>
      <c r="K2203" s="5" t="str">
        <f>IF(AND(LEN(H2203)=0, LEN(I2203)=0), "", IF(AND(LEN(H2203)&gt;0, LEN(I2203)=0), "BLANCO", IFERROR(VLOOKUP(I2203, BasedatosM9!A:B, 2, FALSE), "BLANCO")))</f>
        <v/>
      </c>
    </row>
    <row r="2204" spans="1:11" ht="14.4">
      <c r="A2204" s="21"/>
      <c r="B2204" s="86"/>
      <c r="C2204" s="98"/>
      <c r="D2204" s="21"/>
      <c r="E2204" s="86"/>
      <c r="F2204" s="99"/>
      <c r="G2204" s="99"/>
      <c r="H2204" s="21"/>
      <c r="I2204" s="86"/>
      <c r="J2204" s="21"/>
      <c r="K2204" s="5" t="str">
        <f>IF(AND(LEN(H2204)=0, LEN(I2204)=0), "", IF(AND(LEN(H2204)&gt;0, LEN(I2204)=0), "BLANCO", IFERROR(VLOOKUP(I2204, BasedatosM9!A:B, 2, FALSE), "BLANCO")))</f>
        <v/>
      </c>
    </row>
    <row r="2205" spans="1:11" ht="14.4">
      <c r="A2205" s="21"/>
      <c r="B2205" s="86"/>
      <c r="C2205" s="98"/>
      <c r="D2205" s="21"/>
      <c r="E2205" s="86"/>
      <c r="F2205" s="99"/>
      <c r="G2205" s="99"/>
      <c r="H2205" s="21"/>
      <c r="I2205" s="86"/>
      <c r="J2205" s="21"/>
      <c r="K2205" s="5" t="str">
        <f>IF(AND(LEN(H2205)=0, LEN(I2205)=0), "", IF(AND(LEN(H2205)&gt;0, LEN(I2205)=0), "BLANCO", IFERROR(VLOOKUP(I2205, BasedatosM9!A:B, 2, FALSE), "BLANCO")))</f>
        <v/>
      </c>
    </row>
    <row r="2206" spans="1:11" ht="14.4">
      <c r="A2206" s="21"/>
      <c r="B2206" s="86"/>
      <c r="C2206" s="98"/>
      <c r="D2206" s="21"/>
      <c r="E2206" s="86"/>
      <c r="F2206" s="99"/>
      <c r="G2206" s="99"/>
      <c r="H2206" s="21"/>
      <c r="I2206" s="86"/>
      <c r="J2206" s="21"/>
      <c r="K2206" s="5" t="str">
        <f>IF(AND(LEN(H2206)=0, LEN(I2206)=0), "", IF(AND(LEN(H2206)&gt;0, LEN(I2206)=0), "BLANCO", IFERROR(VLOOKUP(I2206, BasedatosM9!A:B, 2, FALSE), "BLANCO")))</f>
        <v/>
      </c>
    </row>
    <row r="2207" spans="1:11" ht="14.4">
      <c r="A2207" s="21"/>
      <c r="B2207" s="86"/>
      <c r="C2207" s="98"/>
      <c r="D2207" s="21"/>
      <c r="E2207" s="86"/>
      <c r="F2207" s="99"/>
      <c r="G2207" s="99"/>
      <c r="H2207" s="21"/>
      <c r="I2207" s="86"/>
      <c r="J2207" s="21"/>
      <c r="K2207" s="5" t="str">
        <f>IF(AND(LEN(H2207)=0, LEN(I2207)=0), "", IF(AND(LEN(H2207)&gt;0, LEN(I2207)=0), "BLANCO", IFERROR(VLOOKUP(I2207, BasedatosM9!A:B, 2, FALSE), "BLANCO")))</f>
        <v/>
      </c>
    </row>
    <row r="2208" spans="1:11" ht="14.4">
      <c r="A2208" s="21"/>
      <c r="B2208" s="86"/>
      <c r="C2208" s="98"/>
      <c r="D2208" s="21"/>
      <c r="E2208" s="86"/>
      <c r="F2208" s="99"/>
      <c r="G2208" s="99"/>
      <c r="H2208" s="21"/>
      <c r="I2208" s="21"/>
      <c r="J2208" s="21"/>
      <c r="K2208" s="5" t="str">
        <f>IF(AND(LEN(H2208)=0, LEN(I2208)=0), "", IF(AND(LEN(H2208)&gt;0, LEN(I2208)=0), "BLANCO", IFERROR(VLOOKUP(I2208, BasedatosM9!A:B, 2, FALSE), "BLANCO")))</f>
        <v/>
      </c>
    </row>
    <row r="2209" spans="1:11" ht="14.4">
      <c r="A2209" s="21"/>
      <c r="B2209" s="86"/>
      <c r="C2209" s="98"/>
      <c r="D2209" s="21"/>
      <c r="E2209" s="86"/>
      <c r="F2209" s="99"/>
      <c r="G2209" s="99"/>
      <c r="H2209" s="21"/>
      <c r="I2209" s="21"/>
      <c r="J2209" s="21"/>
      <c r="K2209" s="5" t="str">
        <f>IF(AND(LEN(H2209)=0, LEN(I2209)=0), "", IF(AND(LEN(H2209)&gt;0, LEN(I2209)=0), "BLANCO", IFERROR(VLOOKUP(I2209, BasedatosM9!A:B, 2, FALSE), "BLANCO")))</f>
        <v/>
      </c>
    </row>
    <row r="2210" spans="1:11" ht="14.4">
      <c r="A2210" s="21"/>
      <c r="B2210" s="86"/>
      <c r="C2210" s="98"/>
      <c r="D2210" s="21"/>
      <c r="E2210" s="86"/>
      <c r="F2210" s="99"/>
      <c r="G2210" s="99"/>
      <c r="H2210" s="21"/>
      <c r="I2210" s="86"/>
      <c r="J2210" s="21"/>
      <c r="K2210" s="5" t="str">
        <f>IF(AND(LEN(H2210)=0, LEN(I2210)=0), "", IF(AND(LEN(H2210)&gt;0, LEN(I2210)=0), "BLANCO", IFERROR(VLOOKUP(I2210, BasedatosM9!A:B, 2, FALSE), "BLANCO")))</f>
        <v/>
      </c>
    </row>
    <row r="2211" spans="1:11" ht="14.4">
      <c r="A2211" s="21"/>
      <c r="B2211" s="86"/>
      <c r="C2211" s="98"/>
      <c r="D2211" s="21"/>
      <c r="E2211" s="86"/>
      <c r="F2211" s="99"/>
      <c r="G2211" s="99"/>
      <c r="H2211" s="21"/>
      <c r="I2211" s="86"/>
      <c r="J2211" s="21"/>
      <c r="K2211" s="5" t="str">
        <f>IF(AND(LEN(H2211)=0, LEN(I2211)=0), "", IF(AND(LEN(H2211)&gt;0, LEN(I2211)=0), "BLANCO", IFERROR(VLOOKUP(I2211, BasedatosM9!A:B, 2, FALSE), "BLANCO")))</f>
        <v/>
      </c>
    </row>
    <row r="2212" spans="1:11" ht="14.4">
      <c r="A2212" s="21"/>
      <c r="B2212" s="86"/>
      <c r="C2212" s="98"/>
      <c r="D2212" s="21"/>
      <c r="E2212" s="86"/>
      <c r="F2212" s="99"/>
      <c r="G2212" s="99"/>
      <c r="H2212" s="21"/>
      <c r="I2212" s="21"/>
      <c r="J2212" s="21"/>
      <c r="K2212" s="5" t="str">
        <f>IF(AND(LEN(H2212)=0, LEN(I2212)=0), "", IF(AND(LEN(H2212)&gt;0, LEN(I2212)=0), "BLANCO", IFERROR(VLOOKUP(I2212, BasedatosM9!A:B, 2, FALSE), "BLANCO")))</f>
        <v/>
      </c>
    </row>
    <row r="2213" spans="1:11" ht="14.4">
      <c r="A2213" s="21"/>
      <c r="B2213" s="86"/>
      <c r="C2213" s="98"/>
      <c r="D2213" s="21"/>
      <c r="E2213" s="86"/>
      <c r="F2213" s="99"/>
      <c r="G2213" s="99"/>
      <c r="H2213" s="21"/>
      <c r="I2213" s="21"/>
      <c r="J2213" s="21"/>
      <c r="K2213" s="5" t="str">
        <f>IF(AND(LEN(H2213)=0, LEN(I2213)=0), "", IF(AND(LEN(H2213)&gt;0, LEN(I2213)=0), "BLANCO", IFERROR(VLOOKUP(I2213, BasedatosM9!A:B, 2, FALSE), "BLANCO")))</f>
        <v/>
      </c>
    </row>
    <row r="2214" spans="1:11" ht="14.4">
      <c r="A2214" s="21"/>
      <c r="B2214" s="86"/>
      <c r="C2214" s="98"/>
      <c r="D2214" s="21"/>
      <c r="E2214" s="86"/>
      <c r="F2214" s="99"/>
      <c r="G2214" s="99"/>
      <c r="H2214" s="21"/>
      <c r="I2214" s="86"/>
      <c r="J2214" s="21"/>
      <c r="K2214" s="5" t="str">
        <f>IF(AND(LEN(H2214)=0, LEN(I2214)=0), "", IF(AND(LEN(H2214)&gt;0, LEN(I2214)=0), "BLANCO", IFERROR(VLOOKUP(I2214, BasedatosM9!A:B, 2, FALSE), "BLANCO")))</f>
        <v/>
      </c>
    </row>
    <row r="2215" spans="1:11" ht="14.4">
      <c r="A2215" s="21"/>
      <c r="B2215" s="86"/>
      <c r="C2215" s="98"/>
      <c r="D2215" s="21"/>
      <c r="E2215" s="86"/>
      <c r="F2215" s="99"/>
      <c r="G2215" s="99"/>
      <c r="H2215" s="21"/>
      <c r="I2215" s="21"/>
      <c r="J2215" s="21"/>
      <c r="K2215" s="5" t="str">
        <f>IF(AND(LEN(H2215)=0, LEN(I2215)=0), "", IF(AND(LEN(H2215)&gt;0, LEN(I2215)=0), "BLANCO", IFERROR(VLOOKUP(I2215, BasedatosM9!A:B, 2, FALSE), "BLANCO")))</f>
        <v/>
      </c>
    </row>
    <row r="2216" spans="1:11" ht="14.4">
      <c r="A2216" s="21"/>
      <c r="B2216" s="86"/>
      <c r="C2216" s="98"/>
      <c r="D2216" s="21"/>
      <c r="E2216" s="86"/>
      <c r="F2216" s="99"/>
      <c r="G2216" s="99"/>
      <c r="H2216" s="21"/>
      <c r="I2216" s="21"/>
      <c r="J2216" s="21"/>
      <c r="K2216" s="5" t="str">
        <f>IF(AND(LEN(H2216)=0, LEN(I2216)=0), "", IF(AND(LEN(H2216)&gt;0, LEN(I2216)=0), "BLANCO", IFERROR(VLOOKUP(I2216, BasedatosM9!A:B, 2, FALSE), "BLANCO")))</f>
        <v/>
      </c>
    </row>
    <row r="2217" spans="1:11" ht="14.4">
      <c r="A2217" s="21"/>
      <c r="B2217" s="86"/>
      <c r="C2217" s="98"/>
      <c r="D2217" s="21"/>
      <c r="E2217" s="86"/>
      <c r="F2217" s="99"/>
      <c r="G2217" s="99"/>
      <c r="H2217" s="21"/>
      <c r="I2217" s="86"/>
      <c r="J2217" s="21"/>
      <c r="K2217" s="5" t="str">
        <f>IF(AND(LEN(H2217)=0, LEN(I2217)=0), "", IF(AND(LEN(H2217)&gt;0, LEN(I2217)=0), "BLANCO", IFERROR(VLOOKUP(I2217, BasedatosM9!A:B, 2, FALSE), "BLANCO")))</f>
        <v/>
      </c>
    </row>
    <row r="2218" spans="1:11" ht="14.4">
      <c r="A2218" s="21"/>
      <c r="B2218" s="86"/>
      <c r="C2218" s="98"/>
      <c r="D2218" s="21"/>
      <c r="E2218" s="86"/>
      <c r="F2218" s="99"/>
      <c r="G2218" s="99"/>
      <c r="H2218" s="21"/>
      <c r="I2218" s="86"/>
      <c r="J2218" s="21"/>
      <c r="K2218" s="5" t="str">
        <f>IF(AND(LEN(H2218)=0, LEN(I2218)=0), "", IF(AND(LEN(H2218)&gt;0, LEN(I2218)=0), "BLANCO", IFERROR(VLOOKUP(I2218, BasedatosM9!A:B, 2, FALSE), "BLANCO")))</f>
        <v/>
      </c>
    </row>
    <row r="2219" spans="1:11" ht="14.4">
      <c r="A2219" s="21"/>
      <c r="B2219" s="86"/>
      <c r="C2219" s="98"/>
      <c r="D2219" s="21"/>
      <c r="E2219" s="86"/>
      <c r="F2219" s="99"/>
      <c r="G2219" s="99"/>
      <c r="H2219" s="21"/>
      <c r="I2219" s="86"/>
      <c r="J2219" s="21"/>
      <c r="K2219" s="5" t="str">
        <f>IF(AND(LEN(H2219)=0, LEN(I2219)=0), "", IF(AND(LEN(H2219)&gt;0, LEN(I2219)=0), "BLANCO", IFERROR(VLOOKUP(I2219, BasedatosM9!A:B, 2, FALSE), "BLANCO")))</f>
        <v/>
      </c>
    </row>
    <row r="2220" spans="1:11" ht="14.4">
      <c r="A2220" s="21"/>
      <c r="B2220" s="86"/>
      <c r="C2220" s="98"/>
      <c r="D2220" s="21"/>
      <c r="E2220" s="86"/>
      <c r="F2220" s="99"/>
      <c r="G2220" s="99"/>
      <c r="H2220" s="21"/>
      <c r="I2220" s="21"/>
      <c r="J2220" s="21"/>
      <c r="K2220" s="5" t="str">
        <f>IF(AND(LEN(H2220)=0, LEN(I2220)=0), "", IF(AND(LEN(H2220)&gt;0, LEN(I2220)=0), "BLANCO", IFERROR(VLOOKUP(I2220, BasedatosM9!A:B, 2, FALSE), "BLANCO")))</f>
        <v/>
      </c>
    </row>
    <row r="2221" spans="1:11" ht="14.4">
      <c r="A2221" s="21"/>
      <c r="B2221" s="86"/>
      <c r="C2221" s="98"/>
      <c r="D2221" s="21"/>
      <c r="E2221" s="86"/>
      <c r="F2221" s="99"/>
      <c r="G2221" s="99"/>
      <c r="H2221" s="21"/>
      <c r="I2221" s="86"/>
      <c r="J2221" s="21"/>
      <c r="K2221" s="5" t="str">
        <f>IF(AND(LEN(H2221)=0, LEN(I2221)=0), "", IF(AND(LEN(H2221)&gt;0, LEN(I2221)=0), "BLANCO", IFERROR(VLOOKUP(I2221, BasedatosM9!A:B, 2, FALSE), "BLANCO")))</f>
        <v/>
      </c>
    </row>
    <row r="2222" spans="1:11" ht="14.4">
      <c r="A2222" s="21"/>
      <c r="B2222" s="86"/>
      <c r="C2222" s="98"/>
      <c r="D2222" s="21"/>
      <c r="E2222" s="86"/>
      <c r="F2222" s="99"/>
      <c r="G2222" s="99"/>
      <c r="H2222" s="21"/>
      <c r="I2222" s="86"/>
      <c r="J2222" s="21"/>
      <c r="K2222" s="5" t="str">
        <f>IF(AND(LEN(H2222)=0, LEN(I2222)=0), "", IF(AND(LEN(H2222)&gt;0, LEN(I2222)=0), "BLANCO", IFERROR(VLOOKUP(I2222, BasedatosM9!A:B, 2, FALSE), "BLANCO")))</f>
        <v/>
      </c>
    </row>
    <row r="2223" spans="1:11" ht="14.4">
      <c r="A2223" s="21"/>
      <c r="B2223" s="86"/>
      <c r="C2223" s="98"/>
      <c r="D2223" s="21"/>
      <c r="E2223" s="86"/>
      <c r="F2223" s="99"/>
      <c r="G2223" s="99"/>
      <c r="H2223" s="21"/>
      <c r="I2223" s="21"/>
      <c r="J2223" s="21"/>
      <c r="K2223" s="5" t="str">
        <f>IF(AND(LEN(H2223)=0, LEN(I2223)=0), "", IF(AND(LEN(H2223)&gt;0, LEN(I2223)=0), "BLANCO", IFERROR(VLOOKUP(I2223, BasedatosM9!A:B, 2, FALSE), "BLANCO")))</f>
        <v/>
      </c>
    </row>
    <row r="2224" spans="1:11" ht="14.4">
      <c r="A2224" s="21"/>
      <c r="B2224" s="86"/>
      <c r="C2224" s="98"/>
      <c r="D2224" s="21"/>
      <c r="E2224" s="86"/>
      <c r="F2224" s="99"/>
      <c r="G2224" s="99"/>
      <c r="H2224" s="21"/>
      <c r="I2224" s="21"/>
      <c r="J2224" s="21"/>
      <c r="K2224" s="5" t="str">
        <f>IF(AND(LEN(H2224)=0, LEN(I2224)=0), "", IF(AND(LEN(H2224)&gt;0, LEN(I2224)=0), "BLANCO", IFERROR(VLOOKUP(I2224, BasedatosM9!A:B, 2, FALSE), "BLANCO")))</f>
        <v/>
      </c>
    </row>
    <row r="2225" spans="1:11" ht="14.4">
      <c r="A2225" s="21"/>
      <c r="B2225" s="86"/>
      <c r="C2225" s="98"/>
      <c r="D2225" s="21"/>
      <c r="E2225" s="86"/>
      <c r="F2225" s="99"/>
      <c r="G2225" s="99"/>
      <c r="H2225" s="21"/>
      <c r="I2225" s="21"/>
      <c r="J2225" s="21"/>
      <c r="K2225" s="5" t="str">
        <f>IF(AND(LEN(H2225)=0, LEN(I2225)=0), "", IF(AND(LEN(H2225)&gt;0, LEN(I2225)=0), "BLANCO", IFERROR(VLOOKUP(I2225, BasedatosM9!A:B, 2, FALSE), "BLANCO")))</f>
        <v/>
      </c>
    </row>
    <row r="2226" spans="1:11" ht="14.4">
      <c r="A2226" s="21"/>
      <c r="B2226" s="86"/>
      <c r="C2226" s="98"/>
      <c r="D2226" s="21"/>
      <c r="E2226" s="86"/>
      <c r="F2226" s="99"/>
      <c r="G2226" s="99"/>
      <c r="H2226" s="21"/>
      <c r="I2226" s="21"/>
      <c r="J2226" s="21"/>
      <c r="K2226" s="5" t="str">
        <f>IF(AND(LEN(H2226)=0, LEN(I2226)=0), "", IF(AND(LEN(H2226)&gt;0, LEN(I2226)=0), "BLANCO", IFERROR(VLOOKUP(I2226, BasedatosM9!A:B, 2, FALSE), "BLANCO")))</f>
        <v/>
      </c>
    </row>
    <row r="2227" spans="1:11" ht="14.4">
      <c r="A2227" s="21"/>
      <c r="B2227" s="86"/>
      <c r="C2227" s="98"/>
      <c r="D2227" s="21"/>
      <c r="E2227" s="86"/>
      <c r="F2227" s="99"/>
      <c r="G2227" s="99"/>
      <c r="H2227" s="21"/>
      <c r="I2227" s="86"/>
      <c r="J2227" s="21"/>
      <c r="K2227" s="5" t="str">
        <f>IF(AND(LEN(H2227)=0, LEN(I2227)=0), "", IF(AND(LEN(H2227)&gt;0, LEN(I2227)=0), "BLANCO", IFERROR(VLOOKUP(I2227, BasedatosM9!A:B, 2, FALSE), "BLANCO")))</f>
        <v/>
      </c>
    </row>
    <row r="2228" spans="1:11" ht="14.4">
      <c r="A2228" s="21"/>
      <c r="B2228" s="86"/>
      <c r="C2228" s="98"/>
      <c r="D2228" s="21"/>
      <c r="E2228" s="86"/>
      <c r="F2228" s="99"/>
      <c r="G2228" s="99"/>
      <c r="H2228" s="21"/>
      <c r="I2228" s="86"/>
      <c r="J2228" s="21"/>
      <c r="K2228" s="5" t="str">
        <f>IF(AND(LEN(H2228)=0, LEN(I2228)=0), "", IF(AND(LEN(H2228)&gt;0, LEN(I2228)=0), "BLANCO", IFERROR(VLOOKUP(I2228, BasedatosM9!A:B, 2, FALSE), "BLANCO")))</f>
        <v/>
      </c>
    </row>
    <row r="2229" spans="1:11" ht="14.4">
      <c r="A2229" s="21"/>
      <c r="B2229" s="86"/>
      <c r="C2229" s="98"/>
      <c r="D2229" s="21"/>
      <c r="E2229" s="86"/>
      <c r="F2229" s="99"/>
      <c r="G2229" s="99"/>
      <c r="H2229" s="21"/>
      <c r="I2229" s="86"/>
      <c r="J2229" s="21"/>
      <c r="K2229" s="5" t="str">
        <f>IF(AND(LEN(H2229)=0, LEN(I2229)=0), "", IF(AND(LEN(H2229)&gt;0, LEN(I2229)=0), "BLANCO", IFERROR(VLOOKUP(I2229, BasedatosM9!A:B, 2, FALSE), "BLANCO")))</f>
        <v/>
      </c>
    </row>
    <row r="2230" spans="1:11" ht="14.4">
      <c r="A2230" s="21"/>
      <c r="B2230" s="86"/>
      <c r="C2230" s="98"/>
      <c r="D2230" s="21"/>
      <c r="E2230" s="86"/>
      <c r="F2230" s="99"/>
      <c r="G2230" s="99"/>
      <c r="H2230" s="21"/>
      <c r="I2230" s="21"/>
      <c r="J2230" s="21"/>
      <c r="K2230" s="5" t="str">
        <f>IF(AND(LEN(H2230)=0, LEN(I2230)=0), "", IF(AND(LEN(H2230)&gt;0, LEN(I2230)=0), "BLANCO", IFERROR(VLOOKUP(I2230, BasedatosM9!A:B, 2, FALSE), "BLANCO")))</f>
        <v/>
      </c>
    </row>
    <row r="2231" spans="1:11" ht="14.4">
      <c r="A2231" s="21"/>
      <c r="B2231" s="86"/>
      <c r="C2231" s="98"/>
      <c r="D2231" s="21"/>
      <c r="E2231" s="86"/>
      <c r="F2231" s="99"/>
      <c r="G2231" s="99"/>
      <c r="H2231" s="21"/>
      <c r="I2231" s="86"/>
      <c r="J2231" s="21"/>
      <c r="K2231" s="5" t="str">
        <f>IF(AND(LEN(H2231)=0, LEN(I2231)=0), "", IF(AND(LEN(H2231)&gt;0, LEN(I2231)=0), "BLANCO", IFERROR(VLOOKUP(I2231, BasedatosM9!A:B, 2, FALSE), "BLANCO")))</f>
        <v/>
      </c>
    </row>
    <row r="2232" spans="1:11" ht="14.4">
      <c r="A2232" s="21"/>
      <c r="B2232" s="86"/>
      <c r="C2232" s="98"/>
      <c r="D2232" s="21"/>
      <c r="E2232" s="86"/>
      <c r="F2232" s="99"/>
      <c r="G2232" s="99"/>
      <c r="H2232" s="21"/>
      <c r="I2232" s="21"/>
      <c r="J2232" s="21"/>
      <c r="K2232" s="5" t="str">
        <f>IF(AND(LEN(H2232)=0, LEN(I2232)=0), "", IF(AND(LEN(H2232)&gt;0, LEN(I2232)=0), "BLANCO", IFERROR(VLOOKUP(I2232, BasedatosM9!A:B, 2, FALSE), "BLANCO")))</f>
        <v/>
      </c>
    </row>
    <row r="2233" spans="1:11" ht="14.4">
      <c r="A2233" s="21"/>
      <c r="B2233" s="86"/>
      <c r="C2233" s="98"/>
      <c r="D2233" s="21"/>
      <c r="E2233" s="86"/>
      <c r="F2233" s="99"/>
      <c r="G2233" s="99"/>
      <c r="H2233" s="21"/>
      <c r="I2233" s="86"/>
      <c r="J2233" s="21"/>
      <c r="K2233" s="5" t="str">
        <f>IF(AND(LEN(H2233)=0, LEN(I2233)=0), "", IF(AND(LEN(H2233)&gt;0, LEN(I2233)=0), "BLANCO", IFERROR(VLOOKUP(I2233, BasedatosM9!A:B, 2, FALSE), "BLANCO")))</f>
        <v/>
      </c>
    </row>
    <row r="2234" spans="1:11" ht="14.4">
      <c r="A2234" s="21"/>
      <c r="B2234" s="86"/>
      <c r="C2234" s="98"/>
      <c r="D2234" s="21"/>
      <c r="E2234" s="86"/>
      <c r="F2234" s="99"/>
      <c r="G2234" s="99"/>
      <c r="H2234" s="21"/>
      <c r="I2234" s="86"/>
      <c r="J2234" s="21"/>
      <c r="K2234" s="5" t="str">
        <f>IF(AND(LEN(H2234)=0, LEN(I2234)=0), "", IF(AND(LEN(H2234)&gt;0, LEN(I2234)=0), "BLANCO", IFERROR(VLOOKUP(I2234, BasedatosM9!A:B, 2, FALSE), "BLANCO")))</f>
        <v/>
      </c>
    </row>
    <row r="2235" spans="1:11" ht="14.4">
      <c r="A2235" s="21"/>
      <c r="B2235" s="86"/>
      <c r="C2235" s="98"/>
      <c r="D2235" s="21"/>
      <c r="E2235" s="86"/>
      <c r="F2235" s="99"/>
      <c r="G2235" s="99"/>
      <c r="H2235" s="21"/>
      <c r="I2235" s="21"/>
      <c r="J2235" s="21"/>
      <c r="K2235" s="5" t="str">
        <f>IF(AND(LEN(H2235)=0, LEN(I2235)=0), "", IF(AND(LEN(H2235)&gt;0, LEN(I2235)=0), "BLANCO", IFERROR(VLOOKUP(I2235, BasedatosM9!A:B, 2, FALSE), "BLANCO")))</f>
        <v/>
      </c>
    </row>
    <row r="2236" spans="1:11" ht="14.4">
      <c r="A2236" s="21"/>
      <c r="B2236" s="86"/>
      <c r="C2236" s="98"/>
      <c r="D2236" s="21"/>
      <c r="E2236" s="86"/>
      <c r="F2236" s="99"/>
      <c r="G2236" s="99"/>
      <c r="H2236" s="21"/>
      <c r="I2236" s="86"/>
      <c r="J2236" s="21"/>
      <c r="K2236" s="5" t="str">
        <f>IF(AND(LEN(H2236)=0, LEN(I2236)=0), "", IF(AND(LEN(H2236)&gt;0, LEN(I2236)=0), "BLANCO", IFERROR(VLOOKUP(I2236, BasedatosM9!A:B, 2, FALSE), "BLANCO")))</f>
        <v/>
      </c>
    </row>
    <row r="2237" spans="1:11" ht="14.4">
      <c r="A2237" s="21"/>
      <c r="B2237" s="86"/>
      <c r="C2237" s="98"/>
      <c r="D2237" s="21"/>
      <c r="E2237" s="86"/>
      <c r="F2237" s="99"/>
      <c r="G2237" s="99"/>
      <c r="H2237" s="21"/>
      <c r="I2237" s="21"/>
      <c r="J2237" s="21"/>
      <c r="K2237" s="5" t="str">
        <f>IF(AND(LEN(H2237)=0, LEN(I2237)=0), "", IF(AND(LEN(H2237)&gt;0, LEN(I2237)=0), "BLANCO", IFERROR(VLOOKUP(I2237, BasedatosM9!A:B, 2, FALSE), "BLANCO")))</f>
        <v/>
      </c>
    </row>
    <row r="2238" spans="1:11" ht="14.4">
      <c r="A2238" s="21"/>
      <c r="B2238" s="86"/>
      <c r="C2238" s="98"/>
      <c r="D2238" s="21"/>
      <c r="E2238" s="86"/>
      <c r="F2238" s="99"/>
      <c r="G2238" s="99"/>
      <c r="H2238" s="21"/>
      <c r="I2238" s="86"/>
      <c r="J2238" s="21"/>
      <c r="K2238" s="5" t="str">
        <f>IF(AND(LEN(H2238)=0, LEN(I2238)=0), "", IF(AND(LEN(H2238)&gt;0, LEN(I2238)=0), "BLANCO", IFERROR(VLOOKUP(I2238, BasedatosM9!A:B, 2, FALSE), "BLANCO")))</f>
        <v/>
      </c>
    </row>
    <row r="2239" spans="1:11" ht="14.4">
      <c r="A2239" s="21"/>
      <c r="B2239" s="86"/>
      <c r="C2239" s="98"/>
      <c r="D2239" s="21"/>
      <c r="E2239" s="86"/>
      <c r="F2239" s="99"/>
      <c r="G2239" s="99"/>
      <c r="H2239" s="21"/>
      <c r="I2239" s="21"/>
      <c r="J2239" s="21"/>
      <c r="K2239" s="5" t="str">
        <f>IF(AND(LEN(H2239)=0, LEN(I2239)=0), "", IF(AND(LEN(H2239)&gt;0, LEN(I2239)=0), "BLANCO", IFERROR(VLOOKUP(I2239, BasedatosM9!A:B, 2, FALSE), "BLANCO")))</f>
        <v/>
      </c>
    </row>
    <row r="2240" spans="1:11" ht="14.4">
      <c r="A2240" s="21"/>
      <c r="B2240" s="86"/>
      <c r="C2240" s="98"/>
      <c r="D2240" s="21"/>
      <c r="E2240" s="86"/>
      <c r="F2240" s="99"/>
      <c r="G2240" s="99"/>
      <c r="H2240" s="21"/>
      <c r="I2240" s="21"/>
      <c r="J2240" s="21"/>
      <c r="K2240" s="5" t="str">
        <f>IF(AND(LEN(H2240)=0, LEN(I2240)=0), "", IF(AND(LEN(H2240)&gt;0, LEN(I2240)=0), "BLANCO", IFERROR(VLOOKUP(I2240, BasedatosM9!A:B, 2, FALSE), "BLANCO")))</f>
        <v/>
      </c>
    </row>
    <row r="2241" spans="1:11" ht="14.4">
      <c r="A2241" s="21"/>
      <c r="B2241" s="86"/>
      <c r="C2241" s="98"/>
      <c r="D2241" s="21"/>
      <c r="E2241" s="86"/>
      <c r="F2241" s="99"/>
      <c r="G2241" s="99"/>
      <c r="H2241" s="21"/>
      <c r="I2241" s="86"/>
      <c r="J2241" s="21"/>
      <c r="K2241" s="5" t="str">
        <f>IF(AND(LEN(H2241)=0, LEN(I2241)=0), "", IF(AND(LEN(H2241)&gt;0, LEN(I2241)=0), "BLANCO", IFERROR(VLOOKUP(I2241, BasedatosM9!A:B, 2, FALSE), "BLANCO")))</f>
        <v/>
      </c>
    </row>
    <row r="2242" spans="1:11" ht="14.4">
      <c r="A2242" s="21"/>
      <c r="B2242" s="86"/>
      <c r="C2242" s="98"/>
      <c r="D2242" s="21"/>
      <c r="E2242" s="86"/>
      <c r="F2242" s="99"/>
      <c r="G2242" s="99"/>
      <c r="H2242" s="21"/>
      <c r="I2242" s="86"/>
      <c r="J2242" s="21"/>
      <c r="K2242" s="5" t="str">
        <f>IF(AND(LEN(H2242)=0, LEN(I2242)=0), "", IF(AND(LEN(H2242)&gt;0, LEN(I2242)=0), "BLANCO", IFERROR(VLOOKUP(I2242, BasedatosM9!A:B, 2, FALSE), "BLANCO")))</f>
        <v/>
      </c>
    </row>
    <row r="2243" spans="1:11" ht="14.4">
      <c r="A2243" s="21"/>
      <c r="B2243" s="86"/>
      <c r="C2243" s="98"/>
      <c r="D2243" s="21"/>
      <c r="E2243" s="86"/>
      <c r="F2243" s="99"/>
      <c r="G2243" s="99"/>
      <c r="H2243" s="21"/>
      <c r="I2243" s="86"/>
      <c r="J2243" s="21"/>
      <c r="K2243" s="5" t="str">
        <f>IF(AND(LEN(H2243)=0, LEN(I2243)=0), "", IF(AND(LEN(H2243)&gt;0, LEN(I2243)=0), "BLANCO", IFERROR(VLOOKUP(I2243, BasedatosM9!A:B, 2, FALSE), "BLANCO")))</f>
        <v/>
      </c>
    </row>
    <row r="2244" spans="1:11" ht="14.4">
      <c r="A2244" s="21"/>
      <c r="B2244" s="86"/>
      <c r="C2244" s="98"/>
      <c r="D2244" s="21"/>
      <c r="E2244" s="86"/>
      <c r="F2244" s="99"/>
      <c r="G2244" s="99"/>
      <c r="H2244" s="21"/>
      <c r="I2244" s="86"/>
      <c r="J2244" s="21"/>
      <c r="K2244" s="5" t="str">
        <f>IF(AND(LEN(H2244)=0, LEN(I2244)=0), "", IF(AND(LEN(H2244)&gt;0, LEN(I2244)=0), "BLANCO", IFERROR(VLOOKUP(I2244, BasedatosM9!A:B, 2, FALSE), "BLANCO")))</f>
        <v/>
      </c>
    </row>
    <row r="2245" spans="1:11" ht="14.4">
      <c r="A2245" s="21"/>
      <c r="B2245" s="86"/>
      <c r="C2245" s="98"/>
      <c r="D2245" s="21"/>
      <c r="E2245" s="86"/>
      <c r="F2245" s="99"/>
      <c r="G2245" s="99"/>
      <c r="H2245" s="21"/>
      <c r="I2245" s="86"/>
      <c r="J2245" s="21"/>
      <c r="K2245" s="5" t="str">
        <f>IF(AND(LEN(H2245)=0, LEN(I2245)=0), "", IF(AND(LEN(H2245)&gt;0, LEN(I2245)=0), "BLANCO", IFERROR(VLOOKUP(I2245, BasedatosM9!A:B, 2, FALSE), "BLANCO")))</f>
        <v/>
      </c>
    </row>
    <row r="2246" spans="1:11" ht="14.4">
      <c r="A2246" s="21"/>
      <c r="B2246" s="86"/>
      <c r="C2246" s="98"/>
      <c r="D2246" s="21"/>
      <c r="E2246" s="86"/>
      <c r="F2246" s="99"/>
      <c r="G2246" s="99"/>
      <c r="H2246" s="21"/>
      <c r="I2246" s="21"/>
      <c r="J2246" s="21"/>
      <c r="K2246" s="5" t="str">
        <f>IF(AND(LEN(H2246)=0, LEN(I2246)=0), "", IF(AND(LEN(H2246)&gt;0, LEN(I2246)=0), "BLANCO", IFERROR(VLOOKUP(I2246, BasedatosM9!A:B, 2, FALSE), "BLANCO")))</f>
        <v/>
      </c>
    </row>
    <row r="2247" spans="1:11" ht="14.4">
      <c r="A2247" s="21"/>
      <c r="B2247" s="86"/>
      <c r="C2247" s="98"/>
      <c r="D2247" s="21"/>
      <c r="E2247" s="86"/>
      <c r="F2247" s="99"/>
      <c r="G2247" s="99"/>
      <c r="H2247" s="21"/>
      <c r="I2247" s="86"/>
      <c r="J2247" s="21"/>
      <c r="K2247" s="5" t="str">
        <f>IF(AND(LEN(H2247)=0, LEN(I2247)=0), "", IF(AND(LEN(H2247)&gt;0, LEN(I2247)=0), "BLANCO", IFERROR(VLOOKUP(I2247, BasedatosM9!A:B, 2, FALSE), "BLANCO")))</f>
        <v/>
      </c>
    </row>
    <row r="2248" spans="1:11" ht="14.4">
      <c r="A2248" s="21"/>
      <c r="B2248" s="86"/>
      <c r="C2248" s="98"/>
      <c r="D2248" s="21"/>
      <c r="E2248" s="86"/>
      <c r="F2248" s="99"/>
      <c r="G2248" s="99"/>
      <c r="H2248" s="21"/>
      <c r="I2248" s="86"/>
      <c r="J2248" s="21"/>
      <c r="K2248" s="5" t="str">
        <f>IF(AND(LEN(H2248)=0, LEN(I2248)=0), "", IF(AND(LEN(H2248)&gt;0, LEN(I2248)=0), "BLANCO", IFERROR(VLOOKUP(I2248, BasedatosM9!A:B, 2, FALSE), "BLANCO")))</f>
        <v/>
      </c>
    </row>
    <row r="2249" spans="1:11" ht="14.4">
      <c r="A2249" s="21"/>
      <c r="B2249" s="86"/>
      <c r="C2249" s="98"/>
      <c r="D2249" s="21"/>
      <c r="E2249" s="86"/>
      <c r="F2249" s="99"/>
      <c r="G2249" s="99"/>
      <c r="H2249" s="21"/>
      <c r="I2249" s="21"/>
      <c r="J2249" s="21"/>
      <c r="K2249" s="5" t="str">
        <f>IF(AND(LEN(H2249)=0, LEN(I2249)=0), "", IF(AND(LEN(H2249)&gt;0, LEN(I2249)=0), "BLANCO", IFERROR(VLOOKUP(I2249, BasedatosM9!A:B, 2, FALSE), "BLANCO")))</f>
        <v/>
      </c>
    </row>
    <row r="2250" spans="1:11" ht="14.4">
      <c r="A2250" s="21"/>
      <c r="B2250" s="86"/>
      <c r="C2250" s="98"/>
      <c r="D2250" s="21"/>
      <c r="E2250" s="86"/>
      <c r="F2250" s="99"/>
      <c r="G2250" s="99"/>
      <c r="H2250" s="21"/>
      <c r="I2250" s="86"/>
      <c r="J2250" s="21"/>
      <c r="K2250" s="5" t="str">
        <f>IF(AND(LEN(H2250)=0, LEN(I2250)=0), "", IF(AND(LEN(H2250)&gt;0, LEN(I2250)=0), "BLANCO", IFERROR(VLOOKUP(I2250, BasedatosM9!A:B, 2, FALSE), "BLANCO")))</f>
        <v/>
      </c>
    </row>
    <row r="2251" spans="1:11" ht="14.4">
      <c r="A2251" s="21"/>
      <c r="B2251" s="86"/>
      <c r="C2251" s="98"/>
      <c r="D2251" s="21"/>
      <c r="E2251" s="86"/>
      <c r="F2251" s="99"/>
      <c r="G2251" s="99"/>
      <c r="H2251" s="21"/>
      <c r="I2251" s="86"/>
      <c r="J2251" s="21"/>
      <c r="K2251" s="5" t="str">
        <f>IF(AND(LEN(H2251)=0, LEN(I2251)=0), "", IF(AND(LEN(H2251)&gt;0, LEN(I2251)=0), "BLANCO", IFERROR(VLOOKUP(I2251, BasedatosM9!A:B, 2, FALSE), "BLANCO")))</f>
        <v/>
      </c>
    </row>
    <row r="2252" spans="1:11" ht="14.4">
      <c r="A2252" s="21"/>
      <c r="B2252" s="86"/>
      <c r="C2252" s="98"/>
      <c r="D2252" s="21"/>
      <c r="E2252" s="86"/>
      <c r="F2252" s="99"/>
      <c r="G2252" s="99"/>
      <c r="H2252" s="21"/>
      <c r="I2252" s="86"/>
      <c r="J2252" s="21"/>
      <c r="K2252" s="5" t="str">
        <f>IF(AND(LEN(H2252)=0, LEN(I2252)=0), "", IF(AND(LEN(H2252)&gt;0, LEN(I2252)=0), "BLANCO", IFERROR(VLOOKUP(I2252, BasedatosM9!A:B, 2, FALSE), "BLANCO")))</f>
        <v/>
      </c>
    </row>
    <row r="2253" spans="1:11" ht="14.4">
      <c r="A2253" s="21"/>
      <c r="B2253" s="86"/>
      <c r="C2253" s="98"/>
      <c r="D2253" s="21"/>
      <c r="E2253" s="86"/>
      <c r="F2253" s="99"/>
      <c r="G2253" s="99"/>
      <c r="H2253" s="21"/>
      <c r="I2253" s="21"/>
      <c r="J2253" s="21"/>
      <c r="K2253" s="5" t="str">
        <f>IF(AND(LEN(H2253)=0, LEN(I2253)=0), "", IF(AND(LEN(H2253)&gt;0, LEN(I2253)=0), "BLANCO", IFERROR(VLOOKUP(I2253, BasedatosM9!A:B, 2, FALSE), "BLANCO")))</f>
        <v/>
      </c>
    </row>
    <row r="2254" spans="1:11" ht="14.4">
      <c r="A2254" s="21"/>
      <c r="B2254" s="86"/>
      <c r="C2254" s="98"/>
      <c r="D2254" s="21"/>
      <c r="E2254" s="86"/>
      <c r="F2254" s="99"/>
      <c r="G2254" s="99"/>
      <c r="H2254" s="21"/>
      <c r="I2254" s="21"/>
      <c r="J2254" s="21"/>
      <c r="K2254" s="5" t="str">
        <f>IF(AND(LEN(H2254)=0, LEN(I2254)=0), "", IF(AND(LEN(H2254)&gt;0, LEN(I2254)=0), "BLANCO", IFERROR(VLOOKUP(I2254, BasedatosM9!A:B, 2, FALSE), "BLANCO")))</f>
        <v/>
      </c>
    </row>
    <row r="2255" spans="1:11" ht="14.4">
      <c r="A2255" s="21"/>
      <c r="B2255" s="86"/>
      <c r="C2255" s="98"/>
      <c r="D2255" s="21"/>
      <c r="E2255" s="86"/>
      <c r="F2255" s="99"/>
      <c r="G2255" s="99"/>
      <c r="H2255" s="21"/>
      <c r="I2255" s="86"/>
      <c r="J2255" s="21"/>
      <c r="K2255" s="5" t="str">
        <f>IF(AND(LEN(H2255)=0, LEN(I2255)=0), "", IF(AND(LEN(H2255)&gt;0, LEN(I2255)=0), "BLANCO", IFERROR(VLOOKUP(I2255, BasedatosM9!A:B, 2, FALSE), "BLANCO")))</f>
        <v/>
      </c>
    </row>
    <row r="2256" spans="1:11" ht="14.4">
      <c r="A2256" s="21"/>
      <c r="B2256" s="86"/>
      <c r="C2256" s="98"/>
      <c r="D2256" s="21"/>
      <c r="E2256" s="86"/>
      <c r="F2256" s="99"/>
      <c r="G2256" s="99"/>
      <c r="H2256" s="21"/>
      <c r="I2256" s="86"/>
      <c r="J2256" s="21"/>
      <c r="K2256" s="5" t="str">
        <f>IF(AND(LEN(H2256)=0, LEN(I2256)=0), "", IF(AND(LEN(H2256)&gt;0, LEN(I2256)=0), "BLANCO", IFERROR(VLOOKUP(I2256, BasedatosM9!A:B, 2, FALSE), "BLANCO")))</f>
        <v/>
      </c>
    </row>
    <row r="2257" spans="1:11" ht="14.4">
      <c r="A2257" s="21"/>
      <c r="B2257" s="86"/>
      <c r="C2257" s="98"/>
      <c r="D2257" s="21"/>
      <c r="E2257" s="86"/>
      <c r="F2257" s="99"/>
      <c r="G2257" s="99"/>
      <c r="H2257" s="21"/>
      <c r="I2257" s="21"/>
      <c r="J2257" s="21"/>
      <c r="K2257" s="5" t="str">
        <f>IF(AND(LEN(H2257)=0, LEN(I2257)=0), "", IF(AND(LEN(H2257)&gt;0, LEN(I2257)=0), "BLANCO", IFERROR(VLOOKUP(I2257, BasedatosM9!A:B, 2, FALSE), "BLANCO")))</f>
        <v/>
      </c>
    </row>
    <row r="2258" spans="1:11" ht="14.4">
      <c r="A2258" s="21"/>
      <c r="B2258" s="86"/>
      <c r="C2258" s="98"/>
      <c r="D2258" s="21"/>
      <c r="E2258" s="86"/>
      <c r="F2258" s="99"/>
      <c r="G2258" s="99"/>
      <c r="H2258" s="21"/>
      <c r="I2258" s="86"/>
      <c r="J2258" s="21"/>
      <c r="K2258" s="5" t="str">
        <f>IF(AND(LEN(H2258)=0, LEN(I2258)=0), "", IF(AND(LEN(H2258)&gt;0, LEN(I2258)=0), "BLANCO", IFERROR(VLOOKUP(I2258, BasedatosM9!A:B, 2, FALSE), "BLANCO")))</f>
        <v/>
      </c>
    </row>
    <row r="2259" spans="1:11" ht="14.4">
      <c r="A2259" s="21"/>
      <c r="B2259" s="86"/>
      <c r="C2259" s="98"/>
      <c r="D2259" s="21"/>
      <c r="E2259" s="86"/>
      <c r="F2259" s="99"/>
      <c r="G2259" s="99"/>
      <c r="H2259" s="21"/>
      <c r="I2259" s="21"/>
      <c r="J2259" s="21"/>
      <c r="K2259" s="5" t="str">
        <f>IF(AND(LEN(H2259)=0, LEN(I2259)=0), "", IF(AND(LEN(H2259)&gt;0, LEN(I2259)=0), "BLANCO", IFERROR(VLOOKUP(I2259, BasedatosM9!A:B, 2, FALSE), "BLANCO")))</f>
        <v/>
      </c>
    </row>
    <row r="2260" spans="1:11" ht="14.4">
      <c r="A2260" s="21"/>
      <c r="B2260" s="86"/>
      <c r="C2260" s="98"/>
      <c r="D2260" s="21"/>
      <c r="E2260" s="86"/>
      <c r="F2260" s="99"/>
      <c r="G2260" s="99"/>
      <c r="H2260" s="21"/>
      <c r="I2260" s="21"/>
      <c r="J2260" s="21"/>
      <c r="K2260" s="5" t="str">
        <f>IF(AND(LEN(H2260)=0, LEN(I2260)=0), "", IF(AND(LEN(H2260)&gt;0, LEN(I2260)=0), "BLANCO", IFERROR(VLOOKUP(I2260, BasedatosM9!A:B, 2, FALSE), "BLANCO")))</f>
        <v/>
      </c>
    </row>
    <row r="2261" spans="1:11" ht="14.4">
      <c r="A2261" s="21"/>
      <c r="B2261" s="86"/>
      <c r="C2261" s="98"/>
      <c r="D2261" s="21"/>
      <c r="E2261" s="86"/>
      <c r="F2261" s="99"/>
      <c r="G2261" s="99"/>
      <c r="H2261" s="21"/>
      <c r="I2261" s="86"/>
      <c r="J2261" s="21"/>
      <c r="K2261" s="5" t="str">
        <f>IF(AND(LEN(H2261)=0, LEN(I2261)=0), "", IF(AND(LEN(H2261)&gt;0, LEN(I2261)=0), "BLANCO", IFERROR(VLOOKUP(I2261, BasedatosM9!A:B, 2, FALSE), "BLANCO")))</f>
        <v/>
      </c>
    </row>
    <row r="2262" spans="1:11" ht="14.4">
      <c r="A2262" s="21"/>
      <c r="B2262" s="86"/>
      <c r="C2262" s="98"/>
      <c r="D2262" s="21"/>
      <c r="E2262" s="86"/>
      <c r="F2262" s="99"/>
      <c r="G2262" s="99"/>
      <c r="H2262" s="21"/>
      <c r="I2262" s="21"/>
      <c r="J2262" s="21"/>
      <c r="K2262" s="5" t="str">
        <f>IF(AND(LEN(H2262)=0, LEN(I2262)=0), "", IF(AND(LEN(H2262)&gt;0, LEN(I2262)=0), "BLANCO", IFERROR(VLOOKUP(I2262, BasedatosM9!A:B, 2, FALSE), "BLANCO")))</f>
        <v/>
      </c>
    </row>
    <row r="2263" spans="1:11" ht="14.4">
      <c r="A2263" s="21"/>
      <c r="B2263" s="86"/>
      <c r="C2263" s="98"/>
      <c r="D2263" s="21"/>
      <c r="E2263" s="86"/>
      <c r="F2263" s="99"/>
      <c r="G2263" s="99"/>
      <c r="H2263" s="21"/>
      <c r="I2263" s="21"/>
      <c r="J2263" s="21"/>
      <c r="K2263" s="5" t="str">
        <f>IF(AND(LEN(H2263)=0, LEN(I2263)=0), "", IF(AND(LEN(H2263)&gt;0, LEN(I2263)=0), "BLANCO", IFERROR(VLOOKUP(I2263, BasedatosM9!A:B, 2, FALSE), "BLANCO")))</f>
        <v/>
      </c>
    </row>
    <row r="2264" spans="1:11" ht="14.4">
      <c r="A2264" s="21"/>
      <c r="B2264" s="86"/>
      <c r="C2264" s="98"/>
      <c r="D2264" s="21"/>
      <c r="E2264" s="86"/>
      <c r="F2264" s="99"/>
      <c r="G2264" s="99"/>
      <c r="H2264" s="21"/>
      <c r="I2264" s="86"/>
      <c r="J2264" s="21"/>
      <c r="K2264" s="5" t="str">
        <f>IF(AND(LEN(H2264)=0, LEN(I2264)=0), "", IF(AND(LEN(H2264)&gt;0, LEN(I2264)=0), "BLANCO", IFERROR(VLOOKUP(I2264, BasedatosM9!A:B, 2, FALSE), "BLANCO")))</f>
        <v/>
      </c>
    </row>
    <row r="2265" spans="1:11" ht="14.4">
      <c r="A2265" s="21"/>
      <c r="B2265" s="86"/>
      <c r="C2265" s="98"/>
      <c r="D2265" s="21"/>
      <c r="E2265" s="86"/>
      <c r="F2265" s="99"/>
      <c r="G2265" s="99"/>
      <c r="H2265" s="21"/>
      <c r="I2265" s="86"/>
      <c r="J2265" s="21"/>
      <c r="K2265" s="5" t="str">
        <f>IF(AND(LEN(H2265)=0, LEN(I2265)=0), "", IF(AND(LEN(H2265)&gt;0, LEN(I2265)=0), "BLANCO", IFERROR(VLOOKUP(I2265, BasedatosM9!A:B, 2, FALSE), "BLANCO")))</f>
        <v/>
      </c>
    </row>
    <row r="2266" spans="1:11" ht="14.4">
      <c r="A2266" s="21"/>
      <c r="B2266" s="86"/>
      <c r="C2266" s="98"/>
      <c r="D2266" s="21"/>
      <c r="E2266" s="86"/>
      <c r="F2266" s="99"/>
      <c r="G2266" s="99"/>
      <c r="H2266" s="21"/>
      <c r="I2266" s="21"/>
      <c r="J2266" s="21"/>
      <c r="K2266" s="5" t="str">
        <f>IF(AND(LEN(H2266)=0, LEN(I2266)=0), "", IF(AND(LEN(H2266)&gt;0, LEN(I2266)=0), "BLANCO", IFERROR(VLOOKUP(I2266, BasedatosM9!A:B, 2, FALSE), "BLANCO")))</f>
        <v/>
      </c>
    </row>
    <row r="2267" spans="1:11" ht="14.4">
      <c r="A2267" s="21"/>
      <c r="B2267" s="86"/>
      <c r="C2267" s="98"/>
      <c r="D2267" s="21"/>
      <c r="E2267" s="86"/>
      <c r="F2267" s="99"/>
      <c r="G2267" s="99"/>
      <c r="H2267" s="21"/>
      <c r="I2267" s="21"/>
      <c r="J2267" s="21"/>
      <c r="K2267" s="5" t="str">
        <f>IF(AND(LEN(H2267)=0, LEN(I2267)=0), "", IF(AND(LEN(H2267)&gt;0, LEN(I2267)=0), "BLANCO", IFERROR(VLOOKUP(I2267, BasedatosM9!A:B, 2, FALSE), "BLANCO")))</f>
        <v/>
      </c>
    </row>
    <row r="2268" spans="1:11" ht="14.4">
      <c r="A2268" s="21"/>
      <c r="B2268" s="86"/>
      <c r="C2268" s="98"/>
      <c r="D2268" s="21"/>
      <c r="E2268" s="86"/>
      <c r="F2268" s="99"/>
      <c r="G2268" s="99"/>
      <c r="H2268" s="21"/>
      <c r="I2268" s="21"/>
      <c r="J2268" s="21"/>
      <c r="K2268" s="5" t="str">
        <f>IF(AND(LEN(H2268)=0, LEN(I2268)=0), "", IF(AND(LEN(H2268)&gt;0, LEN(I2268)=0), "BLANCO", IFERROR(VLOOKUP(I2268, BasedatosM9!A:B, 2, FALSE), "BLANCO")))</f>
        <v/>
      </c>
    </row>
    <row r="2269" spans="1:11" ht="14.4">
      <c r="A2269" s="21"/>
      <c r="B2269" s="86"/>
      <c r="C2269" s="98"/>
      <c r="D2269" s="21"/>
      <c r="E2269" s="86"/>
      <c r="F2269" s="99"/>
      <c r="G2269" s="99"/>
      <c r="H2269" s="21"/>
      <c r="I2269" s="86"/>
      <c r="J2269" s="21"/>
      <c r="K2269" s="5" t="str">
        <f>IF(AND(LEN(H2269)=0, LEN(I2269)=0), "", IF(AND(LEN(H2269)&gt;0, LEN(I2269)=0), "BLANCO", IFERROR(VLOOKUP(I2269, BasedatosM9!A:B, 2, FALSE), "BLANCO")))</f>
        <v/>
      </c>
    </row>
    <row r="2270" spans="1:11" ht="14.4">
      <c r="A2270" s="21"/>
      <c r="B2270" s="86"/>
      <c r="C2270" s="98"/>
      <c r="D2270" s="21"/>
      <c r="E2270" s="86"/>
      <c r="F2270" s="99"/>
      <c r="G2270" s="99"/>
      <c r="H2270" s="21"/>
      <c r="I2270" s="86"/>
      <c r="J2270" s="21"/>
      <c r="K2270" s="5" t="str">
        <f>IF(AND(LEN(H2270)=0, LEN(I2270)=0), "", IF(AND(LEN(H2270)&gt;0, LEN(I2270)=0), "BLANCO", IFERROR(VLOOKUP(I2270, BasedatosM9!A:B, 2, FALSE), "BLANCO")))</f>
        <v/>
      </c>
    </row>
    <row r="2271" spans="1:11" ht="14.4">
      <c r="A2271" s="21"/>
      <c r="B2271" s="86"/>
      <c r="C2271" s="98"/>
      <c r="D2271" s="21"/>
      <c r="E2271" s="86"/>
      <c r="F2271" s="99"/>
      <c r="G2271" s="99"/>
      <c r="H2271" s="21"/>
      <c r="I2271" s="21"/>
      <c r="J2271" s="21"/>
      <c r="K2271" s="5" t="str">
        <f>IF(AND(LEN(H2271)=0, LEN(I2271)=0), "", IF(AND(LEN(H2271)&gt;0, LEN(I2271)=0), "BLANCO", IFERROR(VLOOKUP(I2271, BasedatosM9!A:B, 2, FALSE), "BLANCO")))</f>
        <v/>
      </c>
    </row>
    <row r="2272" spans="1:11" ht="14.4">
      <c r="A2272" s="21"/>
      <c r="B2272" s="86"/>
      <c r="C2272" s="98"/>
      <c r="D2272" s="21"/>
      <c r="E2272" s="86"/>
      <c r="F2272" s="99"/>
      <c r="G2272" s="99"/>
      <c r="H2272" s="21"/>
      <c r="I2272" s="21"/>
      <c r="J2272" s="21"/>
      <c r="K2272" s="5" t="str">
        <f>IF(AND(LEN(H2272)=0, LEN(I2272)=0), "", IF(AND(LEN(H2272)&gt;0, LEN(I2272)=0), "BLANCO", IFERROR(VLOOKUP(I2272, BasedatosM9!A:B, 2, FALSE), "BLANCO")))</f>
        <v/>
      </c>
    </row>
    <row r="2273" spans="1:11" ht="14.4">
      <c r="A2273" s="21"/>
      <c r="B2273" s="86"/>
      <c r="C2273" s="98"/>
      <c r="D2273" s="21"/>
      <c r="E2273" s="86"/>
      <c r="F2273" s="99"/>
      <c r="G2273" s="99"/>
      <c r="H2273" s="21"/>
      <c r="I2273" s="21"/>
      <c r="J2273" s="21"/>
      <c r="K2273" s="5" t="str">
        <f>IF(AND(LEN(H2273)=0, LEN(I2273)=0), "", IF(AND(LEN(H2273)&gt;0, LEN(I2273)=0), "BLANCO", IFERROR(VLOOKUP(I2273, BasedatosM9!A:B, 2, FALSE), "BLANCO")))</f>
        <v/>
      </c>
    </row>
    <row r="2274" spans="1:11" ht="14.4">
      <c r="A2274" s="21"/>
      <c r="B2274" s="86"/>
      <c r="C2274" s="98"/>
      <c r="D2274" s="21"/>
      <c r="E2274" s="86"/>
      <c r="F2274" s="99"/>
      <c r="G2274" s="99"/>
      <c r="H2274" s="21"/>
      <c r="I2274" s="86"/>
      <c r="J2274" s="21"/>
      <c r="K2274" s="5" t="str">
        <f>IF(AND(LEN(H2274)=0, LEN(I2274)=0), "", IF(AND(LEN(H2274)&gt;0, LEN(I2274)=0), "BLANCO", IFERROR(VLOOKUP(I2274, BasedatosM9!A:B, 2, FALSE), "BLANCO")))</f>
        <v/>
      </c>
    </row>
    <row r="2275" spans="1:11" ht="14.4">
      <c r="A2275" s="21"/>
      <c r="B2275" s="86"/>
      <c r="C2275" s="98"/>
      <c r="D2275" s="21"/>
      <c r="E2275" s="86"/>
      <c r="F2275" s="99"/>
      <c r="G2275" s="99"/>
      <c r="H2275" s="21"/>
      <c r="I2275" s="21"/>
      <c r="J2275" s="21"/>
      <c r="K2275" s="5" t="str">
        <f>IF(AND(LEN(H2275)=0, LEN(I2275)=0), "", IF(AND(LEN(H2275)&gt;0, LEN(I2275)=0), "BLANCO", IFERROR(VLOOKUP(I2275, BasedatosM9!A:B, 2, FALSE), "BLANCO")))</f>
        <v/>
      </c>
    </row>
    <row r="2276" spans="1:11" ht="14.4">
      <c r="A2276" s="21"/>
      <c r="B2276" s="86"/>
      <c r="C2276" s="98"/>
      <c r="D2276" s="21"/>
      <c r="E2276" s="86"/>
      <c r="F2276" s="99"/>
      <c r="G2276" s="99"/>
      <c r="H2276" s="21"/>
      <c r="I2276" s="86"/>
      <c r="J2276" s="21"/>
      <c r="K2276" s="5" t="str">
        <f>IF(AND(LEN(H2276)=0, LEN(I2276)=0), "", IF(AND(LEN(H2276)&gt;0, LEN(I2276)=0), "BLANCO", IFERROR(VLOOKUP(I2276, BasedatosM9!A:B, 2, FALSE), "BLANCO")))</f>
        <v/>
      </c>
    </row>
    <row r="2277" spans="1:11" ht="14.4">
      <c r="A2277" s="21"/>
      <c r="B2277" s="86"/>
      <c r="C2277" s="98"/>
      <c r="D2277" s="21"/>
      <c r="E2277" s="86"/>
      <c r="F2277" s="99"/>
      <c r="G2277" s="99"/>
      <c r="H2277" s="21"/>
      <c r="I2277" s="86"/>
      <c r="J2277" s="21"/>
      <c r="K2277" s="5" t="str">
        <f>IF(AND(LEN(H2277)=0, LEN(I2277)=0), "", IF(AND(LEN(H2277)&gt;0, LEN(I2277)=0), "BLANCO", IFERROR(VLOOKUP(I2277, BasedatosM9!A:B, 2, FALSE), "BLANCO")))</f>
        <v/>
      </c>
    </row>
    <row r="2278" spans="1:11" ht="14.4">
      <c r="A2278" s="21"/>
      <c r="B2278" s="86"/>
      <c r="C2278" s="98"/>
      <c r="D2278" s="21"/>
      <c r="E2278" s="86"/>
      <c r="F2278" s="99"/>
      <c r="G2278" s="99"/>
      <c r="H2278" s="21"/>
      <c r="I2278" s="21"/>
      <c r="J2278" s="21"/>
      <c r="K2278" s="5" t="str">
        <f>IF(AND(LEN(H2278)=0, LEN(I2278)=0), "", IF(AND(LEN(H2278)&gt;0, LEN(I2278)=0), "BLANCO", IFERROR(VLOOKUP(I2278, BasedatosM9!A:B, 2, FALSE), "BLANCO")))</f>
        <v/>
      </c>
    </row>
    <row r="2279" spans="1:11" ht="14.4">
      <c r="A2279" s="21"/>
      <c r="B2279" s="86"/>
      <c r="C2279" s="98"/>
      <c r="D2279" s="21"/>
      <c r="E2279" s="86"/>
      <c r="F2279" s="99"/>
      <c r="G2279" s="99"/>
      <c r="H2279" s="21"/>
      <c r="I2279" s="21"/>
      <c r="J2279" s="21"/>
      <c r="K2279" s="5" t="str">
        <f>IF(AND(LEN(H2279)=0, LEN(I2279)=0), "", IF(AND(LEN(H2279)&gt;0, LEN(I2279)=0), "BLANCO", IFERROR(VLOOKUP(I2279, BasedatosM9!A:B, 2, FALSE), "BLANCO")))</f>
        <v/>
      </c>
    </row>
    <row r="2280" spans="1:11" ht="14.4">
      <c r="A2280" s="21"/>
      <c r="B2280" s="86"/>
      <c r="C2280" s="98"/>
      <c r="D2280" s="21"/>
      <c r="E2280" s="86"/>
      <c r="F2280" s="99"/>
      <c r="G2280" s="99"/>
      <c r="H2280" s="21"/>
      <c r="I2280" s="21"/>
      <c r="J2280" s="21"/>
      <c r="K2280" s="5" t="str">
        <f>IF(AND(LEN(H2280)=0, LEN(I2280)=0), "", IF(AND(LEN(H2280)&gt;0, LEN(I2280)=0), "BLANCO", IFERROR(VLOOKUP(I2280, BasedatosM9!A:B, 2, FALSE), "BLANCO")))</f>
        <v/>
      </c>
    </row>
    <row r="2281" spans="1:11" ht="14.4">
      <c r="A2281" s="21"/>
      <c r="B2281" s="86"/>
      <c r="C2281" s="98"/>
      <c r="D2281" s="21"/>
      <c r="E2281" s="86"/>
      <c r="F2281" s="99"/>
      <c r="G2281" s="99"/>
      <c r="H2281" s="21"/>
      <c r="I2281" s="21"/>
      <c r="J2281" s="21"/>
      <c r="K2281" s="5" t="str">
        <f>IF(AND(LEN(H2281)=0, LEN(I2281)=0), "", IF(AND(LEN(H2281)&gt;0, LEN(I2281)=0), "BLANCO", IFERROR(VLOOKUP(I2281, BasedatosM9!A:B, 2, FALSE), "BLANCO")))</f>
        <v/>
      </c>
    </row>
    <row r="2282" spans="1:11" ht="14.4">
      <c r="A2282" s="21"/>
      <c r="B2282" s="86"/>
      <c r="C2282" s="98"/>
      <c r="D2282" s="21"/>
      <c r="E2282" s="86"/>
      <c r="F2282" s="99"/>
      <c r="G2282" s="99"/>
      <c r="H2282" s="21"/>
      <c r="I2282" s="21"/>
      <c r="J2282" s="21"/>
      <c r="K2282" s="5" t="str">
        <f>IF(AND(LEN(H2282)=0, LEN(I2282)=0), "", IF(AND(LEN(H2282)&gt;0, LEN(I2282)=0), "BLANCO", IFERROR(VLOOKUP(I2282, BasedatosM9!A:B, 2, FALSE), "BLANCO")))</f>
        <v/>
      </c>
    </row>
    <row r="2283" spans="1:11" ht="14.4">
      <c r="A2283" s="21"/>
      <c r="B2283" s="86"/>
      <c r="C2283" s="98"/>
      <c r="D2283" s="21"/>
      <c r="E2283" s="86"/>
      <c r="F2283" s="99"/>
      <c r="G2283" s="99"/>
      <c r="H2283" s="21"/>
      <c r="I2283" s="21"/>
      <c r="J2283" s="21"/>
      <c r="K2283" s="5" t="str">
        <f>IF(AND(LEN(H2283)=0, LEN(I2283)=0), "", IF(AND(LEN(H2283)&gt;0, LEN(I2283)=0), "BLANCO", IFERROR(VLOOKUP(I2283, BasedatosM9!A:B, 2, FALSE), "BLANCO")))</f>
        <v/>
      </c>
    </row>
    <row r="2284" spans="1:11" ht="14.4">
      <c r="A2284" s="21"/>
      <c r="B2284" s="86"/>
      <c r="C2284" s="98"/>
      <c r="D2284" s="21"/>
      <c r="E2284" s="86"/>
      <c r="F2284" s="99"/>
      <c r="G2284" s="99"/>
      <c r="H2284" s="21"/>
      <c r="I2284" s="86"/>
      <c r="J2284" s="21"/>
      <c r="K2284" s="5" t="str">
        <f>IF(AND(LEN(H2284)=0, LEN(I2284)=0), "", IF(AND(LEN(H2284)&gt;0, LEN(I2284)=0), "BLANCO", IFERROR(VLOOKUP(I2284, BasedatosM9!A:B, 2, FALSE), "BLANCO")))</f>
        <v/>
      </c>
    </row>
    <row r="2285" spans="1:11" ht="14.4">
      <c r="A2285" s="21"/>
      <c r="B2285" s="86"/>
      <c r="C2285" s="98"/>
      <c r="D2285" s="21"/>
      <c r="E2285" s="86"/>
      <c r="F2285" s="99"/>
      <c r="G2285" s="99"/>
      <c r="H2285" s="21"/>
      <c r="I2285" s="86"/>
      <c r="J2285" s="21"/>
      <c r="K2285" s="5" t="str">
        <f>IF(AND(LEN(H2285)=0, LEN(I2285)=0), "", IF(AND(LEN(H2285)&gt;0, LEN(I2285)=0), "BLANCO", IFERROR(VLOOKUP(I2285, BasedatosM9!A:B, 2, FALSE), "BLANCO")))</f>
        <v/>
      </c>
    </row>
    <row r="2286" spans="1:11" ht="14.4">
      <c r="A2286" s="21"/>
      <c r="B2286" s="86"/>
      <c r="C2286" s="98"/>
      <c r="D2286" s="21"/>
      <c r="E2286" s="86"/>
      <c r="F2286" s="99"/>
      <c r="G2286" s="99"/>
      <c r="H2286" s="21"/>
      <c r="I2286" s="86"/>
      <c r="J2286" s="21"/>
      <c r="K2286" s="5" t="str">
        <f>IF(AND(LEN(H2286)=0, LEN(I2286)=0), "", IF(AND(LEN(H2286)&gt;0, LEN(I2286)=0), "BLANCO", IFERROR(VLOOKUP(I2286, BasedatosM9!A:B, 2, FALSE), "BLANCO")))</f>
        <v/>
      </c>
    </row>
    <row r="2287" spans="1:11" ht="14.4">
      <c r="A2287" s="21"/>
      <c r="B2287" s="86"/>
      <c r="C2287" s="98"/>
      <c r="D2287" s="21"/>
      <c r="E2287" s="86"/>
      <c r="F2287" s="99"/>
      <c r="G2287" s="99"/>
      <c r="H2287" s="21"/>
      <c r="I2287" s="86"/>
      <c r="J2287" s="21"/>
      <c r="K2287" s="5" t="str">
        <f>IF(AND(LEN(H2287)=0, LEN(I2287)=0), "", IF(AND(LEN(H2287)&gt;0, LEN(I2287)=0), "BLANCO", IFERROR(VLOOKUP(I2287, BasedatosM9!A:B, 2, FALSE), "BLANCO")))</f>
        <v/>
      </c>
    </row>
    <row r="2288" spans="1:11" ht="14.4">
      <c r="A2288" s="21"/>
      <c r="B2288" s="86"/>
      <c r="C2288" s="98"/>
      <c r="D2288" s="21"/>
      <c r="E2288" s="86"/>
      <c r="F2288" s="99"/>
      <c r="G2288" s="99"/>
      <c r="H2288" s="21"/>
      <c r="I2288" s="86"/>
      <c r="J2288" s="21"/>
      <c r="K2288" s="5" t="str">
        <f>IF(AND(LEN(H2288)=0, LEN(I2288)=0), "", IF(AND(LEN(H2288)&gt;0, LEN(I2288)=0), "BLANCO", IFERROR(VLOOKUP(I2288, BasedatosM9!A:B, 2, FALSE), "BLANCO")))</f>
        <v/>
      </c>
    </row>
    <row r="2289" spans="1:11" ht="14.4">
      <c r="A2289" s="21"/>
      <c r="B2289" s="86"/>
      <c r="C2289" s="98"/>
      <c r="D2289" s="21"/>
      <c r="E2289" s="86"/>
      <c r="F2289" s="99"/>
      <c r="G2289" s="99"/>
      <c r="H2289" s="21"/>
      <c r="I2289" s="86"/>
      <c r="J2289" s="21"/>
      <c r="K2289" s="5" t="str">
        <f>IF(AND(LEN(H2289)=0, LEN(I2289)=0), "", IF(AND(LEN(H2289)&gt;0, LEN(I2289)=0), "BLANCO", IFERROR(VLOOKUP(I2289, BasedatosM9!A:B, 2, FALSE), "BLANCO")))</f>
        <v/>
      </c>
    </row>
    <row r="2290" spans="1:11" ht="14.4">
      <c r="A2290" s="21"/>
      <c r="B2290" s="86"/>
      <c r="C2290" s="98"/>
      <c r="D2290" s="21"/>
      <c r="E2290" s="86"/>
      <c r="F2290" s="99"/>
      <c r="G2290" s="99"/>
      <c r="H2290" s="21"/>
      <c r="I2290" s="21"/>
      <c r="J2290" s="21"/>
      <c r="K2290" s="5" t="str">
        <f>IF(AND(LEN(H2290)=0, LEN(I2290)=0), "", IF(AND(LEN(H2290)&gt;0, LEN(I2290)=0), "BLANCO", IFERROR(VLOOKUP(I2290, BasedatosM9!A:B, 2, FALSE), "BLANCO")))</f>
        <v/>
      </c>
    </row>
    <row r="2291" spans="1:11" ht="14.4">
      <c r="A2291" s="21"/>
      <c r="B2291" s="86"/>
      <c r="C2291" s="98"/>
      <c r="D2291" s="21"/>
      <c r="E2291" s="86"/>
      <c r="F2291" s="99"/>
      <c r="G2291" s="99"/>
      <c r="H2291" s="21"/>
      <c r="I2291" s="86"/>
      <c r="J2291" s="21"/>
      <c r="K2291" s="5" t="str">
        <f>IF(AND(LEN(H2291)=0, LEN(I2291)=0), "", IF(AND(LEN(H2291)&gt;0, LEN(I2291)=0), "BLANCO", IFERROR(VLOOKUP(I2291, BasedatosM9!A:B, 2, FALSE), "BLANCO")))</f>
        <v/>
      </c>
    </row>
    <row r="2292" spans="1:11" ht="14.4">
      <c r="A2292" s="21"/>
      <c r="B2292" s="86"/>
      <c r="C2292" s="98"/>
      <c r="D2292" s="21"/>
      <c r="E2292" s="86"/>
      <c r="F2292" s="99"/>
      <c r="G2292" s="99"/>
      <c r="H2292" s="21"/>
      <c r="I2292" s="21"/>
      <c r="J2292" s="21"/>
      <c r="K2292" s="5" t="str">
        <f>IF(AND(LEN(H2292)=0, LEN(I2292)=0), "", IF(AND(LEN(H2292)&gt;0, LEN(I2292)=0), "BLANCO", IFERROR(VLOOKUP(I2292, BasedatosM9!A:B, 2, FALSE), "BLANCO")))</f>
        <v/>
      </c>
    </row>
    <row r="2293" spans="1:11" ht="14.4">
      <c r="A2293" s="21"/>
      <c r="B2293" s="86"/>
      <c r="C2293" s="98"/>
      <c r="D2293" s="21"/>
      <c r="E2293" s="86"/>
      <c r="F2293" s="99"/>
      <c r="G2293" s="99"/>
      <c r="H2293" s="21"/>
      <c r="I2293" s="86"/>
      <c r="J2293" s="21"/>
      <c r="K2293" s="5" t="str">
        <f>IF(AND(LEN(H2293)=0, LEN(I2293)=0), "", IF(AND(LEN(H2293)&gt;0, LEN(I2293)=0), "BLANCO", IFERROR(VLOOKUP(I2293, BasedatosM9!A:B, 2, FALSE), "BLANCO")))</f>
        <v/>
      </c>
    </row>
    <row r="2294" spans="1:11" ht="14.4">
      <c r="A2294" s="21"/>
      <c r="B2294" s="86"/>
      <c r="C2294" s="98"/>
      <c r="D2294" s="21"/>
      <c r="E2294" s="86"/>
      <c r="F2294" s="99"/>
      <c r="G2294" s="99"/>
      <c r="H2294" s="21"/>
      <c r="I2294" s="86"/>
      <c r="J2294" s="21"/>
      <c r="K2294" s="5" t="str">
        <f>IF(AND(LEN(H2294)=0, LEN(I2294)=0), "", IF(AND(LEN(H2294)&gt;0, LEN(I2294)=0), "BLANCO", IFERROR(VLOOKUP(I2294, BasedatosM9!A:B, 2, FALSE), "BLANCO")))</f>
        <v/>
      </c>
    </row>
    <row r="2295" spans="1:11" ht="14.4">
      <c r="A2295" s="21"/>
      <c r="B2295" s="86"/>
      <c r="C2295" s="98"/>
      <c r="D2295" s="21"/>
      <c r="E2295" s="86"/>
      <c r="F2295" s="99"/>
      <c r="G2295" s="99"/>
      <c r="H2295" s="21"/>
      <c r="I2295" s="86"/>
      <c r="J2295" s="21"/>
      <c r="K2295" s="5" t="str">
        <f>IF(AND(LEN(H2295)=0, LEN(I2295)=0), "", IF(AND(LEN(H2295)&gt;0, LEN(I2295)=0), "BLANCO", IFERROR(VLOOKUP(I2295, BasedatosM9!A:B, 2, FALSE), "BLANCO")))</f>
        <v/>
      </c>
    </row>
    <row r="2296" spans="1:11" ht="14.4">
      <c r="A2296" s="21"/>
      <c r="B2296" s="86"/>
      <c r="C2296" s="98"/>
      <c r="D2296" s="21"/>
      <c r="E2296" s="86"/>
      <c r="F2296" s="99"/>
      <c r="G2296" s="99"/>
      <c r="H2296" s="21"/>
      <c r="I2296" s="86"/>
      <c r="J2296" s="21"/>
      <c r="K2296" s="5" t="str">
        <f>IF(AND(LEN(H2296)=0, LEN(I2296)=0), "", IF(AND(LEN(H2296)&gt;0, LEN(I2296)=0), "BLANCO", IFERROR(VLOOKUP(I2296, BasedatosM9!A:B, 2, FALSE), "BLANCO")))</f>
        <v/>
      </c>
    </row>
    <row r="2297" spans="1:11" ht="14.4">
      <c r="A2297" s="21"/>
      <c r="B2297" s="86"/>
      <c r="C2297" s="98"/>
      <c r="D2297" s="21"/>
      <c r="E2297" s="86"/>
      <c r="F2297" s="99"/>
      <c r="G2297" s="99"/>
      <c r="H2297" s="21"/>
      <c r="I2297" s="86"/>
      <c r="J2297" s="21"/>
      <c r="K2297" s="5" t="str">
        <f>IF(AND(LEN(H2297)=0, LEN(I2297)=0), "", IF(AND(LEN(H2297)&gt;0, LEN(I2297)=0), "BLANCO", IFERROR(VLOOKUP(I2297, BasedatosM9!A:B, 2, FALSE), "BLANCO")))</f>
        <v/>
      </c>
    </row>
    <row r="2298" spans="1:11" ht="14.4">
      <c r="A2298" s="21"/>
      <c r="B2298" s="86"/>
      <c r="C2298" s="98"/>
      <c r="D2298" s="21"/>
      <c r="E2298" s="86"/>
      <c r="F2298" s="99"/>
      <c r="G2298" s="99"/>
      <c r="H2298" s="21"/>
      <c r="I2298" s="86"/>
      <c r="J2298" s="21"/>
      <c r="K2298" s="5" t="str">
        <f>IF(AND(LEN(H2298)=0, LEN(I2298)=0), "", IF(AND(LEN(H2298)&gt;0, LEN(I2298)=0), "BLANCO", IFERROR(VLOOKUP(I2298, BasedatosM9!A:B, 2, FALSE), "BLANCO")))</f>
        <v/>
      </c>
    </row>
    <row r="2299" spans="1:11" ht="14.4">
      <c r="A2299" s="21"/>
      <c r="B2299" s="86"/>
      <c r="C2299" s="98"/>
      <c r="D2299" s="21"/>
      <c r="E2299" s="86"/>
      <c r="F2299" s="99"/>
      <c r="G2299" s="99"/>
      <c r="H2299" s="21"/>
      <c r="I2299" s="86"/>
      <c r="J2299" s="21"/>
      <c r="K2299" s="5" t="str">
        <f>IF(AND(LEN(H2299)=0, LEN(I2299)=0), "", IF(AND(LEN(H2299)&gt;0, LEN(I2299)=0), "BLANCO", IFERROR(VLOOKUP(I2299, BasedatosM9!A:B, 2, FALSE), "BLANCO")))</f>
        <v/>
      </c>
    </row>
    <row r="2300" spans="1:11" ht="14.4">
      <c r="A2300" s="21"/>
      <c r="B2300" s="86"/>
      <c r="C2300" s="98"/>
      <c r="D2300" s="21"/>
      <c r="E2300" s="86"/>
      <c r="F2300" s="99"/>
      <c r="G2300" s="99"/>
      <c r="H2300" s="21"/>
      <c r="I2300" s="86"/>
      <c r="J2300" s="21"/>
      <c r="K2300" s="5" t="str">
        <f>IF(AND(LEN(H2300)=0, LEN(I2300)=0), "", IF(AND(LEN(H2300)&gt;0, LEN(I2300)=0), "BLANCO", IFERROR(VLOOKUP(I2300, BasedatosM9!A:B, 2, FALSE), "BLANCO")))</f>
        <v/>
      </c>
    </row>
    <row r="2301" spans="1:11" ht="14.4">
      <c r="A2301" s="21"/>
      <c r="B2301" s="86"/>
      <c r="C2301" s="98"/>
      <c r="D2301" s="21"/>
      <c r="E2301" s="86"/>
      <c r="F2301" s="99"/>
      <c r="G2301" s="99"/>
      <c r="H2301" s="21"/>
      <c r="I2301" s="86"/>
      <c r="J2301" s="21"/>
      <c r="K2301" s="5" t="str">
        <f>IF(AND(LEN(H2301)=0, LEN(I2301)=0), "", IF(AND(LEN(H2301)&gt;0, LEN(I2301)=0), "BLANCO", IFERROR(VLOOKUP(I2301, BasedatosM9!A:B, 2, FALSE), "BLANCO")))</f>
        <v/>
      </c>
    </row>
    <row r="2302" spans="1:11" ht="14.4">
      <c r="A2302" s="21"/>
      <c r="B2302" s="86"/>
      <c r="C2302" s="98"/>
      <c r="D2302" s="21"/>
      <c r="E2302" s="86"/>
      <c r="F2302" s="99"/>
      <c r="G2302" s="99"/>
      <c r="H2302" s="21"/>
      <c r="I2302" s="21"/>
      <c r="J2302" s="21"/>
      <c r="K2302" s="5" t="str">
        <f>IF(AND(LEN(H2302)=0, LEN(I2302)=0), "", IF(AND(LEN(H2302)&gt;0, LEN(I2302)=0), "BLANCO", IFERROR(VLOOKUP(I2302, BasedatosM9!A:B, 2, FALSE), "BLANCO")))</f>
        <v/>
      </c>
    </row>
    <row r="2303" spans="1:11" ht="14.4">
      <c r="A2303" s="21"/>
      <c r="B2303" s="86"/>
      <c r="C2303" s="98"/>
      <c r="D2303" s="21"/>
      <c r="E2303" s="86"/>
      <c r="F2303" s="99"/>
      <c r="G2303" s="99"/>
      <c r="H2303" s="21"/>
      <c r="I2303" s="21"/>
      <c r="J2303" s="21"/>
      <c r="K2303" s="5" t="str">
        <f>IF(AND(LEN(H2303)=0, LEN(I2303)=0), "", IF(AND(LEN(H2303)&gt;0, LEN(I2303)=0), "BLANCO", IFERROR(VLOOKUP(I2303, BasedatosM9!A:B, 2, FALSE), "BLANCO")))</f>
        <v/>
      </c>
    </row>
    <row r="2304" spans="1:11" ht="14.4">
      <c r="A2304" s="21"/>
      <c r="B2304" s="86"/>
      <c r="C2304" s="98"/>
      <c r="D2304" s="21"/>
      <c r="E2304" s="86"/>
      <c r="F2304" s="99"/>
      <c r="G2304" s="99"/>
      <c r="H2304" s="21"/>
      <c r="I2304" s="21"/>
      <c r="J2304" s="21"/>
      <c r="K2304" s="5" t="str">
        <f>IF(AND(LEN(H2304)=0, LEN(I2304)=0), "", IF(AND(LEN(H2304)&gt;0, LEN(I2304)=0), "BLANCO", IFERROR(VLOOKUP(I2304, BasedatosM9!A:B, 2, FALSE), "BLANCO")))</f>
        <v/>
      </c>
    </row>
    <row r="2305" spans="1:11" ht="14.4">
      <c r="A2305" s="21"/>
      <c r="B2305" s="86"/>
      <c r="C2305" s="98"/>
      <c r="D2305" s="21"/>
      <c r="E2305" s="86"/>
      <c r="F2305" s="99"/>
      <c r="G2305" s="99"/>
      <c r="H2305" s="21"/>
      <c r="I2305" s="21"/>
      <c r="J2305" s="21"/>
      <c r="K2305" s="5" t="str">
        <f>IF(AND(LEN(H2305)=0, LEN(I2305)=0), "", IF(AND(LEN(H2305)&gt;0, LEN(I2305)=0), "BLANCO", IFERROR(VLOOKUP(I2305, BasedatosM9!A:B, 2, FALSE), "BLANCO")))</f>
        <v/>
      </c>
    </row>
    <row r="2306" spans="1:11" ht="14.4">
      <c r="A2306" s="21"/>
      <c r="B2306" s="86"/>
      <c r="C2306" s="98"/>
      <c r="D2306" s="21"/>
      <c r="E2306" s="86"/>
      <c r="F2306" s="99"/>
      <c r="G2306" s="99"/>
      <c r="H2306" s="21"/>
      <c r="I2306" s="86"/>
      <c r="J2306" s="21"/>
      <c r="K2306" s="5" t="str">
        <f>IF(AND(LEN(H2306)=0, LEN(I2306)=0), "", IF(AND(LEN(H2306)&gt;0, LEN(I2306)=0), "BLANCO", IFERROR(VLOOKUP(I2306, BasedatosM9!A:B, 2, FALSE), "BLANCO")))</f>
        <v/>
      </c>
    </row>
    <row r="2307" spans="1:11" ht="14.4">
      <c r="A2307" s="21"/>
      <c r="B2307" s="86"/>
      <c r="C2307" s="98"/>
      <c r="D2307" s="21"/>
      <c r="E2307" s="86"/>
      <c r="F2307" s="99"/>
      <c r="G2307" s="99"/>
      <c r="H2307" s="21"/>
      <c r="I2307" s="86"/>
      <c r="J2307" s="21"/>
      <c r="K2307" s="5" t="str">
        <f>IF(AND(LEN(H2307)=0, LEN(I2307)=0), "", IF(AND(LEN(H2307)&gt;0, LEN(I2307)=0), "BLANCO", IFERROR(VLOOKUP(I2307, BasedatosM9!A:B, 2, FALSE), "BLANCO")))</f>
        <v/>
      </c>
    </row>
    <row r="2308" spans="1:11" ht="14.4">
      <c r="A2308" s="21"/>
      <c r="B2308" s="86"/>
      <c r="C2308" s="98"/>
      <c r="D2308" s="21"/>
      <c r="E2308" s="86"/>
      <c r="F2308" s="99"/>
      <c r="G2308" s="99"/>
      <c r="H2308" s="21"/>
      <c r="I2308" s="86"/>
      <c r="J2308" s="21"/>
      <c r="K2308" s="5" t="str">
        <f>IF(AND(LEN(H2308)=0, LEN(I2308)=0), "", IF(AND(LEN(H2308)&gt;0, LEN(I2308)=0), "BLANCO", IFERROR(VLOOKUP(I2308, BasedatosM9!A:B, 2, FALSE), "BLANCO")))</f>
        <v/>
      </c>
    </row>
    <row r="2309" spans="1:11" ht="14.4">
      <c r="A2309" s="21"/>
      <c r="B2309" s="86"/>
      <c r="C2309" s="98"/>
      <c r="D2309" s="21"/>
      <c r="E2309" s="86"/>
      <c r="F2309" s="99"/>
      <c r="G2309" s="99"/>
      <c r="H2309" s="21"/>
      <c r="I2309" s="86"/>
      <c r="J2309" s="21"/>
      <c r="K2309" s="5" t="str">
        <f>IF(AND(LEN(H2309)=0, LEN(I2309)=0), "", IF(AND(LEN(H2309)&gt;0, LEN(I2309)=0), "BLANCO", IFERROR(VLOOKUP(I2309, BasedatosM9!A:B, 2, FALSE), "BLANCO")))</f>
        <v/>
      </c>
    </row>
    <row r="2310" spans="1:11" ht="14.4">
      <c r="A2310" s="21"/>
      <c r="B2310" s="86"/>
      <c r="C2310" s="98"/>
      <c r="D2310" s="21"/>
      <c r="E2310" s="86"/>
      <c r="F2310" s="99"/>
      <c r="G2310" s="99"/>
      <c r="H2310" s="21"/>
      <c r="I2310" s="21"/>
      <c r="J2310" s="21"/>
      <c r="K2310" s="5" t="str">
        <f>IF(AND(LEN(H2310)=0, LEN(I2310)=0), "", IF(AND(LEN(H2310)&gt;0, LEN(I2310)=0), "BLANCO", IFERROR(VLOOKUP(I2310, BasedatosM9!A:B, 2, FALSE), "BLANCO")))</f>
        <v/>
      </c>
    </row>
    <row r="2311" spans="1:11" ht="14.4">
      <c r="A2311" s="21"/>
      <c r="B2311" s="86"/>
      <c r="C2311" s="98"/>
      <c r="D2311" s="21"/>
      <c r="E2311" s="86"/>
      <c r="F2311" s="99"/>
      <c r="G2311" s="99"/>
      <c r="H2311" s="21"/>
      <c r="I2311" s="21"/>
      <c r="J2311" s="21"/>
      <c r="K2311" s="5" t="str">
        <f>IF(AND(LEN(H2311)=0, LEN(I2311)=0), "", IF(AND(LEN(H2311)&gt;0, LEN(I2311)=0), "BLANCO", IFERROR(VLOOKUP(I2311, BasedatosM9!A:B, 2, FALSE), "BLANCO")))</f>
        <v/>
      </c>
    </row>
    <row r="2312" spans="1:11" ht="14.4">
      <c r="A2312" s="21"/>
      <c r="B2312" s="86"/>
      <c r="C2312" s="98"/>
      <c r="D2312" s="21"/>
      <c r="E2312" s="86"/>
      <c r="F2312" s="99"/>
      <c r="G2312" s="99"/>
      <c r="H2312" s="21"/>
      <c r="I2312" s="21"/>
      <c r="J2312" s="21"/>
      <c r="K2312" s="5" t="str">
        <f>IF(AND(LEN(H2312)=0, LEN(I2312)=0), "", IF(AND(LEN(H2312)&gt;0, LEN(I2312)=0), "BLANCO", IFERROR(VLOOKUP(I2312, BasedatosM9!A:B, 2, FALSE), "BLANCO")))</f>
        <v/>
      </c>
    </row>
    <row r="2313" spans="1:11" ht="14.4">
      <c r="A2313" s="21"/>
      <c r="B2313" s="86"/>
      <c r="C2313" s="98"/>
      <c r="D2313" s="21"/>
      <c r="E2313" s="86"/>
      <c r="F2313" s="99"/>
      <c r="G2313" s="99"/>
      <c r="H2313" s="21"/>
      <c r="I2313" s="86"/>
      <c r="J2313" s="21"/>
      <c r="K2313" s="5" t="str">
        <f>IF(AND(LEN(H2313)=0, LEN(I2313)=0), "", IF(AND(LEN(H2313)&gt;0, LEN(I2313)=0), "BLANCO", IFERROR(VLOOKUP(I2313, BasedatosM9!A:B, 2, FALSE), "BLANCO")))</f>
        <v/>
      </c>
    </row>
    <row r="2314" spans="1:11" ht="14.4">
      <c r="A2314" s="21"/>
      <c r="B2314" s="86"/>
      <c r="C2314" s="98"/>
      <c r="D2314" s="21"/>
      <c r="E2314" s="86"/>
      <c r="F2314" s="99"/>
      <c r="G2314" s="99"/>
      <c r="H2314" s="21"/>
      <c r="I2314" s="21"/>
      <c r="J2314" s="21"/>
      <c r="K2314" s="5" t="str">
        <f>IF(AND(LEN(H2314)=0, LEN(I2314)=0), "", IF(AND(LEN(H2314)&gt;0, LEN(I2314)=0), "BLANCO", IFERROR(VLOOKUP(I2314, BasedatosM9!A:B, 2, FALSE), "BLANCO")))</f>
        <v/>
      </c>
    </row>
    <row r="2315" spans="1:11" ht="14.4">
      <c r="A2315" s="21"/>
      <c r="B2315" s="86"/>
      <c r="C2315" s="98"/>
      <c r="D2315" s="21"/>
      <c r="E2315" s="86"/>
      <c r="F2315" s="99"/>
      <c r="G2315" s="99"/>
      <c r="H2315" s="21"/>
      <c r="I2315" s="86"/>
      <c r="J2315" s="21"/>
      <c r="K2315" s="5" t="str">
        <f>IF(AND(LEN(H2315)=0, LEN(I2315)=0), "", IF(AND(LEN(H2315)&gt;0, LEN(I2315)=0), "BLANCO", IFERROR(VLOOKUP(I2315, BasedatosM9!A:B, 2, FALSE), "BLANCO")))</f>
        <v/>
      </c>
    </row>
    <row r="2316" spans="1:11" ht="14.4">
      <c r="A2316" s="21"/>
      <c r="B2316" s="86"/>
      <c r="C2316" s="98"/>
      <c r="D2316" s="21"/>
      <c r="E2316" s="86"/>
      <c r="F2316" s="99"/>
      <c r="G2316" s="99"/>
      <c r="H2316" s="21"/>
      <c r="I2316" s="86"/>
      <c r="J2316" s="21"/>
      <c r="K2316" s="5" t="str">
        <f>IF(AND(LEN(H2316)=0, LEN(I2316)=0), "", IF(AND(LEN(H2316)&gt;0, LEN(I2316)=0), "BLANCO", IFERROR(VLOOKUP(I2316, BasedatosM9!A:B, 2, FALSE), "BLANCO")))</f>
        <v/>
      </c>
    </row>
    <row r="2317" spans="1:11" ht="14.4">
      <c r="A2317" s="21"/>
      <c r="B2317" s="86"/>
      <c r="C2317" s="98"/>
      <c r="D2317" s="21"/>
      <c r="E2317" s="86"/>
      <c r="F2317" s="99"/>
      <c r="G2317" s="99"/>
      <c r="H2317" s="21"/>
      <c r="I2317" s="86"/>
      <c r="J2317" s="21"/>
      <c r="K2317" s="5" t="str">
        <f>IF(AND(LEN(H2317)=0, LEN(I2317)=0), "", IF(AND(LEN(H2317)&gt;0, LEN(I2317)=0), "BLANCO", IFERROR(VLOOKUP(I2317, BasedatosM9!A:B, 2, FALSE), "BLANCO")))</f>
        <v/>
      </c>
    </row>
    <row r="2318" spans="1:11" ht="14.4">
      <c r="A2318" s="21"/>
      <c r="B2318" s="86"/>
      <c r="C2318" s="98"/>
      <c r="D2318" s="21"/>
      <c r="E2318" s="86"/>
      <c r="F2318" s="99"/>
      <c r="G2318" s="99"/>
      <c r="H2318" s="21"/>
      <c r="I2318" s="86"/>
      <c r="J2318" s="21"/>
      <c r="K2318" s="5" t="str">
        <f>IF(AND(LEN(H2318)=0, LEN(I2318)=0), "", IF(AND(LEN(H2318)&gt;0, LEN(I2318)=0), "BLANCO", IFERROR(VLOOKUP(I2318, BasedatosM9!A:B, 2, FALSE), "BLANCO")))</f>
        <v/>
      </c>
    </row>
    <row r="2319" spans="1:11" ht="14.4">
      <c r="A2319" s="21"/>
      <c r="B2319" s="86"/>
      <c r="C2319" s="98"/>
      <c r="D2319" s="21"/>
      <c r="E2319" s="86"/>
      <c r="F2319" s="99"/>
      <c r="G2319" s="99"/>
      <c r="H2319" s="21"/>
      <c r="I2319" s="21"/>
      <c r="J2319" s="21"/>
      <c r="K2319" s="5" t="str">
        <f>IF(AND(LEN(H2319)=0, LEN(I2319)=0), "", IF(AND(LEN(H2319)&gt;0, LEN(I2319)=0), "BLANCO", IFERROR(VLOOKUP(I2319, BasedatosM9!A:B, 2, FALSE), "BLANCO")))</f>
        <v/>
      </c>
    </row>
    <row r="2320" spans="1:11" ht="14.4">
      <c r="A2320" s="21"/>
      <c r="B2320" s="86"/>
      <c r="C2320" s="98"/>
      <c r="D2320" s="21"/>
      <c r="E2320" s="86"/>
      <c r="F2320" s="99"/>
      <c r="G2320" s="99"/>
      <c r="H2320" s="21"/>
      <c r="I2320" s="86"/>
      <c r="J2320" s="21"/>
      <c r="K2320" s="5" t="str">
        <f>IF(AND(LEN(H2320)=0, LEN(I2320)=0), "", IF(AND(LEN(H2320)&gt;0, LEN(I2320)=0), "BLANCO", IFERROR(VLOOKUP(I2320, BasedatosM9!A:B, 2, FALSE), "BLANCO")))</f>
        <v/>
      </c>
    </row>
    <row r="2321" spans="1:11" ht="14.4">
      <c r="A2321" s="21"/>
      <c r="B2321" s="86"/>
      <c r="C2321" s="98"/>
      <c r="D2321" s="21"/>
      <c r="E2321" s="86"/>
      <c r="F2321" s="99"/>
      <c r="G2321" s="99"/>
      <c r="H2321" s="21"/>
      <c r="I2321" s="86"/>
      <c r="J2321" s="21"/>
      <c r="K2321" s="5" t="str">
        <f>IF(AND(LEN(H2321)=0, LEN(I2321)=0), "", IF(AND(LEN(H2321)&gt;0, LEN(I2321)=0), "BLANCO", IFERROR(VLOOKUP(I2321, BasedatosM9!A:B, 2, FALSE), "BLANCO")))</f>
        <v/>
      </c>
    </row>
    <row r="2322" spans="1:11" ht="14.4">
      <c r="A2322" s="21"/>
      <c r="B2322" s="86"/>
      <c r="C2322" s="98"/>
      <c r="D2322" s="21"/>
      <c r="E2322" s="86"/>
      <c r="F2322" s="99"/>
      <c r="G2322" s="99"/>
      <c r="H2322" s="21"/>
      <c r="I2322" s="86"/>
      <c r="J2322" s="21"/>
      <c r="K2322" s="5" t="str">
        <f>IF(AND(LEN(H2322)=0, LEN(I2322)=0), "", IF(AND(LEN(H2322)&gt;0, LEN(I2322)=0), "BLANCO", IFERROR(VLOOKUP(I2322, BasedatosM9!A:B, 2, FALSE), "BLANCO")))</f>
        <v/>
      </c>
    </row>
    <row r="2323" spans="1:11" ht="14.4">
      <c r="A2323" s="21"/>
      <c r="B2323" s="86"/>
      <c r="C2323" s="98"/>
      <c r="D2323" s="21"/>
      <c r="E2323" s="86"/>
      <c r="F2323" s="99"/>
      <c r="G2323" s="99"/>
      <c r="H2323" s="21"/>
      <c r="I2323" s="21"/>
      <c r="J2323" s="21"/>
      <c r="K2323" s="5" t="str">
        <f>IF(AND(LEN(H2323)=0, LEN(I2323)=0), "", IF(AND(LEN(H2323)&gt;0, LEN(I2323)=0), "BLANCO", IFERROR(VLOOKUP(I2323, BasedatosM9!A:B, 2, FALSE), "BLANCO")))</f>
        <v/>
      </c>
    </row>
    <row r="2324" spans="1:11" ht="14.4">
      <c r="A2324" s="21"/>
      <c r="B2324" s="86"/>
      <c r="C2324" s="98"/>
      <c r="D2324" s="21"/>
      <c r="E2324" s="86"/>
      <c r="F2324" s="99"/>
      <c r="G2324" s="99"/>
      <c r="H2324" s="21"/>
      <c r="I2324" s="86"/>
      <c r="J2324" s="21"/>
      <c r="K2324" s="5" t="str">
        <f>IF(AND(LEN(H2324)=0, LEN(I2324)=0), "", IF(AND(LEN(H2324)&gt;0, LEN(I2324)=0), "BLANCO", IFERROR(VLOOKUP(I2324, BasedatosM9!A:B, 2, FALSE), "BLANCO")))</f>
        <v/>
      </c>
    </row>
    <row r="2325" spans="1:11" ht="14.4">
      <c r="A2325" s="21"/>
      <c r="B2325" s="86"/>
      <c r="C2325" s="98"/>
      <c r="D2325" s="21"/>
      <c r="E2325" s="86"/>
      <c r="F2325" s="99"/>
      <c r="G2325" s="99"/>
      <c r="H2325" s="21"/>
      <c r="I2325" s="86"/>
      <c r="J2325" s="21"/>
      <c r="K2325" s="5" t="str">
        <f>IF(AND(LEN(H2325)=0, LEN(I2325)=0), "", IF(AND(LEN(H2325)&gt;0, LEN(I2325)=0), "BLANCO", IFERROR(VLOOKUP(I2325, BasedatosM9!A:B, 2, FALSE), "BLANCO")))</f>
        <v/>
      </c>
    </row>
    <row r="2326" spans="1:11" ht="14.4">
      <c r="A2326" s="21"/>
      <c r="B2326" s="86"/>
      <c r="C2326" s="98"/>
      <c r="D2326" s="21"/>
      <c r="E2326" s="86"/>
      <c r="F2326" s="99"/>
      <c r="G2326" s="99"/>
      <c r="H2326" s="21"/>
      <c r="I2326" s="21"/>
      <c r="J2326" s="21"/>
      <c r="K2326" s="5" t="str">
        <f>IF(AND(LEN(H2326)=0, LEN(I2326)=0), "", IF(AND(LEN(H2326)&gt;0, LEN(I2326)=0), "BLANCO", IFERROR(VLOOKUP(I2326, BasedatosM9!A:B, 2, FALSE), "BLANCO")))</f>
        <v/>
      </c>
    </row>
    <row r="2327" spans="1:11" ht="14.4">
      <c r="A2327" s="21"/>
      <c r="B2327" s="86"/>
      <c r="C2327" s="98"/>
      <c r="D2327" s="21"/>
      <c r="E2327" s="86"/>
      <c r="F2327" s="99"/>
      <c r="G2327" s="99"/>
      <c r="H2327" s="21"/>
      <c r="I2327" s="86"/>
      <c r="J2327" s="21"/>
      <c r="K2327" s="5" t="str">
        <f>IF(AND(LEN(H2327)=0, LEN(I2327)=0), "", IF(AND(LEN(H2327)&gt;0, LEN(I2327)=0), "BLANCO", IFERROR(VLOOKUP(I2327, BasedatosM9!A:B, 2, FALSE), "BLANCO")))</f>
        <v/>
      </c>
    </row>
    <row r="2328" spans="1:11" ht="14.4">
      <c r="A2328" s="21"/>
      <c r="B2328" s="86"/>
      <c r="C2328" s="98"/>
      <c r="D2328" s="21"/>
      <c r="E2328" s="86"/>
      <c r="F2328" s="99"/>
      <c r="G2328" s="99"/>
      <c r="H2328" s="21"/>
      <c r="I2328" s="86"/>
      <c r="J2328" s="21"/>
      <c r="K2328" s="5" t="str">
        <f>IF(AND(LEN(H2328)=0, LEN(I2328)=0), "", IF(AND(LEN(H2328)&gt;0, LEN(I2328)=0), "BLANCO", IFERROR(VLOOKUP(I2328, BasedatosM9!A:B, 2, FALSE), "BLANCO")))</f>
        <v/>
      </c>
    </row>
    <row r="2329" spans="1:11" ht="14.4">
      <c r="A2329" s="21"/>
      <c r="B2329" s="86"/>
      <c r="C2329" s="98"/>
      <c r="D2329" s="21"/>
      <c r="E2329" s="86"/>
      <c r="F2329" s="99"/>
      <c r="G2329" s="99"/>
      <c r="H2329" s="21"/>
      <c r="I2329" s="86"/>
      <c r="J2329" s="21"/>
      <c r="K2329" s="5" t="str">
        <f>IF(AND(LEN(H2329)=0, LEN(I2329)=0), "", IF(AND(LEN(H2329)&gt;0, LEN(I2329)=0), "BLANCO", IFERROR(VLOOKUP(I2329, BasedatosM9!A:B, 2, FALSE), "BLANCO")))</f>
        <v/>
      </c>
    </row>
    <row r="2330" spans="1:11" ht="14.4">
      <c r="A2330" s="21"/>
      <c r="B2330" s="86"/>
      <c r="C2330" s="98"/>
      <c r="D2330" s="21"/>
      <c r="E2330" s="86"/>
      <c r="F2330" s="99"/>
      <c r="G2330" s="99"/>
      <c r="H2330" s="21"/>
      <c r="I2330" s="86"/>
      <c r="J2330" s="21"/>
      <c r="K2330" s="5" t="str">
        <f>IF(AND(LEN(H2330)=0, LEN(I2330)=0), "", IF(AND(LEN(H2330)&gt;0, LEN(I2330)=0), "BLANCO", IFERROR(VLOOKUP(I2330, BasedatosM9!A:B, 2, FALSE), "BLANCO")))</f>
        <v/>
      </c>
    </row>
    <row r="2331" spans="1:11" ht="14.4">
      <c r="A2331" s="21"/>
      <c r="B2331" s="86"/>
      <c r="C2331" s="98"/>
      <c r="D2331" s="21"/>
      <c r="E2331" s="86"/>
      <c r="F2331" s="99"/>
      <c r="G2331" s="99"/>
      <c r="H2331" s="21"/>
      <c r="I2331" s="86"/>
      <c r="J2331" s="21"/>
      <c r="K2331" s="5" t="str">
        <f>IF(AND(LEN(H2331)=0, LEN(I2331)=0), "", IF(AND(LEN(H2331)&gt;0, LEN(I2331)=0), "BLANCO", IFERROR(VLOOKUP(I2331, BasedatosM9!A:B, 2, FALSE), "BLANCO")))</f>
        <v/>
      </c>
    </row>
    <row r="2332" spans="1:11" ht="14.4">
      <c r="A2332" s="21"/>
      <c r="B2332" s="86"/>
      <c r="C2332" s="98"/>
      <c r="D2332" s="21"/>
      <c r="E2332" s="86"/>
      <c r="F2332" s="99"/>
      <c r="G2332" s="99"/>
      <c r="H2332" s="21"/>
      <c r="I2332" s="86"/>
      <c r="J2332" s="21"/>
      <c r="K2332" s="5" t="str">
        <f>IF(AND(LEN(H2332)=0, LEN(I2332)=0), "", IF(AND(LEN(H2332)&gt;0, LEN(I2332)=0), "BLANCO", IFERROR(VLOOKUP(I2332, BasedatosM9!A:B, 2, FALSE), "BLANCO")))</f>
        <v/>
      </c>
    </row>
    <row r="2333" spans="1:11" ht="14.4">
      <c r="A2333" s="21"/>
      <c r="B2333" s="86"/>
      <c r="C2333" s="98"/>
      <c r="D2333" s="21"/>
      <c r="E2333" s="86"/>
      <c r="F2333" s="99"/>
      <c r="G2333" s="99"/>
      <c r="H2333" s="21"/>
      <c r="I2333" s="86"/>
      <c r="J2333" s="21"/>
      <c r="K2333" s="5" t="str">
        <f>IF(AND(LEN(H2333)=0, LEN(I2333)=0), "", IF(AND(LEN(H2333)&gt;0, LEN(I2333)=0), "BLANCO", IFERROR(VLOOKUP(I2333, BasedatosM9!A:B, 2, FALSE), "BLANCO")))</f>
        <v/>
      </c>
    </row>
    <row r="2334" spans="1:11" ht="14.4">
      <c r="A2334" s="21"/>
      <c r="B2334" s="86"/>
      <c r="C2334" s="98"/>
      <c r="D2334" s="21"/>
      <c r="E2334" s="86"/>
      <c r="F2334" s="99"/>
      <c r="G2334" s="99"/>
      <c r="H2334" s="21"/>
      <c r="I2334" s="86"/>
      <c r="J2334" s="21"/>
      <c r="K2334" s="5" t="str">
        <f>IF(AND(LEN(H2334)=0, LEN(I2334)=0), "", IF(AND(LEN(H2334)&gt;0, LEN(I2334)=0), "BLANCO", IFERROR(VLOOKUP(I2334, BasedatosM9!A:B, 2, FALSE), "BLANCO")))</f>
        <v/>
      </c>
    </row>
    <row r="2335" spans="1:11" ht="14.4">
      <c r="A2335" s="21"/>
      <c r="B2335" s="86"/>
      <c r="C2335" s="98"/>
      <c r="D2335" s="21"/>
      <c r="E2335" s="86"/>
      <c r="F2335" s="99"/>
      <c r="G2335" s="99"/>
      <c r="H2335" s="21"/>
      <c r="I2335" s="21"/>
      <c r="J2335" s="21"/>
      <c r="K2335" s="5" t="str">
        <f>IF(AND(LEN(H2335)=0, LEN(I2335)=0), "", IF(AND(LEN(H2335)&gt;0, LEN(I2335)=0), "BLANCO", IFERROR(VLOOKUP(I2335, BasedatosM9!A:B, 2, FALSE), "BLANCO")))</f>
        <v/>
      </c>
    </row>
    <row r="2336" spans="1:11" ht="14.4">
      <c r="A2336" s="21"/>
      <c r="B2336" s="86"/>
      <c r="C2336" s="98"/>
      <c r="D2336" s="21"/>
      <c r="E2336" s="86"/>
      <c r="F2336" s="99"/>
      <c r="G2336" s="99"/>
      <c r="H2336" s="21"/>
      <c r="I2336" s="86"/>
      <c r="J2336" s="21"/>
      <c r="K2336" s="5" t="str">
        <f>IF(AND(LEN(H2336)=0, LEN(I2336)=0), "", IF(AND(LEN(H2336)&gt;0, LEN(I2336)=0), "BLANCO", IFERROR(VLOOKUP(I2336, BasedatosM9!A:B, 2, FALSE), "BLANCO")))</f>
        <v/>
      </c>
    </row>
    <row r="2337" spans="1:11" ht="14.4">
      <c r="A2337" s="21"/>
      <c r="B2337" s="86"/>
      <c r="C2337" s="98"/>
      <c r="D2337" s="21"/>
      <c r="E2337" s="86"/>
      <c r="F2337" s="99"/>
      <c r="G2337" s="99"/>
      <c r="H2337" s="21"/>
      <c r="I2337" s="86"/>
      <c r="J2337" s="21"/>
      <c r="K2337" s="5" t="str">
        <f>IF(AND(LEN(H2337)=0, LEN(I2337)=0), "", IF(AND(LEN(H2337)&gt;0, LEN(I2337)=0), "BLANCO", IFERROR(VLOOKUP(I2337, BasedatosM9!A:B, 2, FALSE), "BLANCO")))</f>
        <v/>
      </c>
    </row>
    <row r="2338" spans="1:11" ht="14.4">
      <c r="A2338" s="21"/>
      <c r="B2338" s="86"/>
      <c r="C2338" s="98"/>
      <c r="D2338" s="21"/>
      <c r="E2338" s="86"/>
      <c r="F2338" s="99"/>
      <c r="G2338" s="99"/>
      <c r="H2338" s="21"/>
      <c r="I2338" s="21"/>
      <c r="J2338" s="21"/>
      <c r="K2338" s="5" t="str">
        <f>IF(AND(LEN(H2338)=0, LEN(I2338)=0), "", IF(AND(LEN(H2338)&gt;0, LEN(I2338)=0), "BLANCO", IFERROR(VLOOKUP(I2338, BasedatosM9!A:B, 2, FALSE), "BLANCO")))</f>
        <v/>
      </c>
    </row>
    <row r="2339" spans="1:11" ht="14.4">
      <c r="A2339" s="21"/>
      <c r="B2339" s="86"/>
      <c r="C2339" s="98"/>
      <c r="D2339" s="21"/>
      <c r="E2339" s="86"/>
      <c r="F2339" s="99"/>
      <c r="G2339" s="99"/>
      <c r="H2339" s="21"/>
      <c r="I2339" s="86"/>
      <c r="J2339" s="21"/>
      <c r="K2339" s="5" t="str">
        <f>IF(AND(LEN(H2339)=0, LEN(I2339)=0), "", IF(AND(LEN(H2339)&gt;0, LEN(I2339)=0), "BLANCO", IFERROR(VLOOKUP(I2339, BasedatosM9!A:B, 2, FALSE), "BLANCO")))</f>
        <v/>
      </c>
    </row>
    <row r="2340" spans="1:11" ht="14.4">
      <c r="A2340" s="21"/>
      <c r="B2340" s="86"/>
      <c r="C2340" s="98"/>
      <c r="D2340" s="21"/>
      <c r="E2340" s="86"/>
      <c r="F2340" s="99"/>
      <c r="G2340" s="99"/>
      <c r="H2340" s="21"/>
      <c r="I2340" s="86"/>
      <c r="J2340" s="21"/>
      <c r="K2340" s="5" t="str">
        <f>IF(AND(LEN(H2340)=0, LEN(I2340)=0), "", IF(AND(LEN(H2340)&gt;0, LEN(I2340)=0), "BLANCO", IFERROR(VLOOKUP(I2340, BasedatosM9!A:B, 2, FALSE), "BLANCO")))</f>
        <v/>
      </c>
    </row>
    <row r="2341" spans="1:11" ht="14.4">
      <c r="A2341" s="21"/>
      <c r="B2341" s="86"/>
      <c r="C2341" s="98"/>
      <c r="D2341" s="21"/>
      <c r="E2341" s="86"/>
      <c r="F2341" s="99"/>
      <c r="G2341" s="99"/>
      <c r="H2341" s="21"/>
      <c r="I2341" s="86"/>
      <c r="J2341" s="21"/>
      <c r="K2341" s="5" t="str">
        <f>IF(AND(LEN(H2341)=0, LEN(I2341)=0), "", IF(AND(LEN(H2341)&gt;0, LEN(I2341)=0), "BLANCO", IFERROR(VLOOKUP(I2341, BasedatosM9!A:B, 2, FALSE), "BLANCO")))</f>
        <v/>
      </c>
    </row>
    <row r="2342" spans="1:11" ht="14.4">
      <c r="A2342" s="21"/>
      <c r="B2342" s="86"/>
      <c r="C2342" s="98"/>
      <c r="D2342" s="21"/>
      <c r="E2342" s="86"/>
      <c r="F2342" s="99"/>
      <c r="G2342" s="99"/>
      <c r="H2342" s="21"/>
      <c r="I2342" s="21"/>
      <c r="J2342" s="21"/>
      <c r="K2342" s="5" t="str">
        <f>IF(AND(LEN(H2342)=0, LEN(I2342)=0), "", IF(AND(LEN(H2342)&gt;0, LEN(I2342)=0), "BLANCO", IFERROR(VLOOKUP(I2342, BasedatosM9!A:B, 2, FALSE), "BLANCO")))</f>
        <v/>
      </c>
    </row>
    <row r="2343" spans="1:11" ht="14.4">
      <c r="A2343" s="21"/>
      <c r="B2343" s="86"/>
      <c r="C2343" s="98"/>
      <c r="D2343" s="21"/>
      <c r="E2343" s="86"/>
      <c r="F2343" s="99"/>
      <c r="G2343" s="99"/>
      <c r="H2343" s="21"/>
      <c r="I2343" s="86"/>
      <c r="J2343" s="21"/>
      <c r="K2343" s="5" t="str">
        <f>IF(AND(LEN(H2343)=0, LEN(I2343)=0), "", IF(AND(LEN(H2343)&gt;0, LEN(I2343)=0), "BLANCO", IFERROR(VLOOKUP(I2343, BasedatosM9!A:B, 2, FALSE), "BLANCO")))</f>
        <v/>
      </c>
    </row>
    <row r="2344" spans="1:11" ht="14.4">
      <c r="A2344" s="21"/>
      <c r="B2344" s="86"/>
      <c r="C2344" s="98"/>
      <c r="D2344" s="21"/>
      <c r="E2344" s="86"/>
      <c r="F2344" s="99"/>
      <c r="G2344" s="99"/>
      <c r="H2344" s="21"/>
      <c r="I2344" s="21"/>
      <c r="J2344" s="21"/>
      <c r="K2344" s="5" t="str">
        <f>IF(AND(LEN(H2344)=0, LEN(I2344)=0), "", IF(AND(LEN(H2344)&gt;0, LEN(I2344)=0), "BLANCO", IFERROR(VLOOKUP(I2344, BasedatosM9!A:B, 2, FALSE), "BLANCO")))</f>
        <v/>
      </c>
    </row>
    <row r="2345" spans="1:11" ht="14.4">
      <c r="A2345" s="21"/>
      <c r="B2345" s="86"/>
      <c r="C2345" s="98"/>
      <c r="D2345" s="21"/>
      <c r="E2345" s="86"/>
      <c r="F2345" s="99"/>
      <c r="G2345" s="99"/>
      <c r="H2345" s="21"/>
      <c r="I2345" s="21"/>
      <c r="J2345" s="21"/>
      <c r="K2345" s="5" t="str">
        <f>IF(AND(LEN(H2345)=0, LEN(I2345)=0), "", IF(AND(LEN(H2345)&gt;0, LEN(I2345)=0), "BLANCO", IFERROR(VLOOKUP(I2345, BasedatosM9!A:B, 2, FALSE), "BLANCO")))</f>
        <v/>
      </c>
    </row>
    <row r="2346" spans="1:11" ht="14.4">
      <c r="A2346" s="21"/>
      <c r="B2346" s="86"/>
      <c r="C2346" s="98"/>
      <c r="D2346" s="21"/>
      <c r="E2346" s="86"/>
      <c r="F2346" s="99"/>
      <c r="G2346" s="99"/>
      <c r="H2346" s="21"/>
      <c r="I2346" s="21"/>
      <c r="J2346" s="21"/>
      <c r="K2346" s="5" t="str">
        <f>IF(AND(LEN(H2346)=0, LEN(I2346)=0), "", IF(AND(LEN(H2346)&gt;0, LEN(I2346)=0), "BLANCO", IFERROR(VLOOKUP(I2346, BasedatosM9!A:B, 2, FALSE), "BLANCO")))</f>
        <v/>
      </c>
    </row>
    <row r="2347" spans="1:11" ht="14.4">
      <c r="A2347" s="21"/>
      <c r="B2347" s="86"/>
      <c r="C2347" s="98"/>
      <c r="D2347" s="21"/>
      <c r="E2347" s="86"/>
      <c r="F2347" s="99"/>
      <c r="G2347" s="99"/>
      <c r="H2347" s="21"/>
      <c r="I2347" s="86"/>
      <c r="J2347" s="21"/>
      <c r="K2347" s="5" t="str">
        <f>IF(AND(LEN(H2347)=0, LEN(I2347)=0), "", IF(AND(LEN(H2347)&gt;0, LEN(I2347)=0), "BLANCO", IFERROR(VLOOKUP(I2347, BasedatosM9!A:B, 2, FALSE), "BLANCO")))</f>
        <v/>
      </c>
    </row>
    <row r="2348" spans="1:11" ht="14.4">
      <c r="A2348" s="21"/>
      <c r="B2348" s="86"/>
      <c r="C2348" s="98"/>
      <c r="D2348" s="21"/>
      <c r="E2348" s="86"/>
      <c r="F2348" s="99"/>
      <c r="G2348" s="99"/>
      <c r="H2348" s="21"/>
      <c r="I2348" s="21"/>
      <c r="J2348" s="21"/>
      <c r="K2348" s="5" t="str">
        <f>IF(AND(LEN(H2348)=0, LEN(I2348)=0), "", IF(AND(LEN(H2348)&gt;0, LEN(I2348)=0), "BLANCO", IFERROR(VLOOKUP(I2348, BasedatosM9!A:B, 2, FALSE), "BLANCO")))</f>
        <v/>
      </c>
    </row>
    <row r="2349" spans="1:11" ht="14.4">
      <c r="A2349" s="21"/>
      <c r="B2349" s="86"/>
      <c r="C2349" s="98"/>
      <c r="D2349" s="21"/>
      <c r="E2349" s="86"/>
      <c r="F2349" s="99"/>
      <c r="G2349" s="99"/>
      <c r="H2349" s="21"/>
      <c r="I2349" s="21"/>
      <c r="J2349" s="21"/>
      <c r="K2349" s="5" t="str">
        <f>IF(AND(LEN(H2349)=0, LEN(I2349)=0), "", IF(AND(LEN(H2349)&gt;0, LEN(I2349)=0), "BLANCO", IFERROR(VLOOKUP(I2349, BasedatosM9!A:B, 2, FALSE), "BLANCO")))</f>
        <v/>
      </c>
    </row>
    <row r="2350" spans="1:11" ht="14.4">
      <c r="A2350" s="21"/>
      <c r="B2350" s="86"/>
      <c r="C2350" s="98"/>
      <c r="D2350" s="21"/>
      <c r="E2350" s="86"/>
      <c r="F2350" s="99"/>
      <c r="G2350" s="99"/>
      <c r="H2350" s="21"/>
      <c r="I2350" s="86"/>
      <c r="J2350" s="21"/>
      <c r="K2350" s="5" t="str">
        <f>IF(AND(LEN(H2350)=0, LEN(I2350)=0), "", IF(AND(LEN(H2350)&gt;0, LEN(I2350)=0), "BLANCO", IFERROR(VLOOKUP(I2350, BasedatosM9!A:B, 2, FALSE), "BLANCO")))</f>
        <v/>
      </c>
    </row>
    <row r="2351" spans="1:11" ht="14.4">
      <c r="A2351" s="21"/>
      <c r="B2351" s="86"/>
      <c r="C2351" s="98"/>
      <c r="D2351" s="21"/>
      <c r="E2351" s="86"/>
      <c r="F2351" s="99"/>
      <c r="G2351" s="99"/>
      <c r="H2351" s="21"/>
      <c r="I2351" s="86"/>
      <c r="J2351" s="21"/>
      <c r="K2351" s="5" t="str">
        <f>IF(AND(LEN(H2351)=0, LEN(I2351)=0), "", IF(AND(LEN(H2351)&gt;0, LEN(I2351)=0), "BLANCO", IFERROR(VLOOKUP(I2351, BasedatosM9!A:B, 2, FALSE), "BLANCO")))</f>
        <v/>
      </c>
    </row>
    <row r="2352" spans="1:11" ht="14.4">
      <c r="A2352" s="21"/>
      <c r="B2352" s="86"/>
      <c r="C2352" s="98"/>
      <c r="D2352" s="21"/>
      <c r="E2352" s="86"/>
      <c r="F2352" s="99"/>
      <c r="G2352" s="99"/>
      <c r="H2352" s="21"/>
      <c r="I2352" s="86"/>
      <c r="J2352" s="21"/>
      <c r="K2352" s="5" t="str">
        <f>IF(AND(LEN(H2352)=0, LEN(I2352)=0), "", IF(AND(LEN(H2352)&gt;0, LEN(I2352)=0), "BLANCO", IFERROR(VLOOKUP(I2352, BasedatosM9!A:B, 2, FALSE), "BLANCO")))</f>
        <v/>
      </c>
    </row>
    <row r="2353" spans="1:11" ht="14.4">
      <c r="A2353" s="21"/>
      <c r="B2353" s="86"/>
      <c r="C2353" s="98"/>
      <c r="D2353" s="21"/>
      <c r="E2353" s="86"/>
      <c r="F2353" s="99"/>
      <c r="G2353" s="99"/>
      <c r="H2353" s="21"/>
      <c r="I2353" s="86"/>
      <c r="J2353" s="21"/>
      <c r="K2353" s="5" t="str">
        <f>IF(AND(LEN(H2353)=0, LEN(I2353)=0), "", IF(AND(LEN(H2353)&gt;0, LEN(I2353)=0), "BLANCO", IFERROR(VLOOKUP(I2353, BasedatosM9!A:B, 2, FALSE), "BLANCO")))</f>
        <v/>
      </c>
    </row>
    <row r="2354" spans="1:11" ht="14.4">
      <c r="A2354" s="21"/>
      <c r="B2354" s="86"/>
      <c r="C2354" s="98"/>
      <c r="D2354" s="21"/>
      <c r="E2354" s="86"/>
      <c r="F2354" s="99"/>
      <c r="G2354" s="99"/>
      <c r="H2354" s="21"/>
      <c r="I2354" s="86"/>
      <c r="J2354" s="21"/>
      <c r="K2354" s="5" t="str">
        <f>IF(AND(LEN(H2354)=0, LEN(I2354)=0), "", IF(AND(LEN(H2354)&gt;0, LEN(I2354)=0), "BLANCO", IFERROR(VLOOKUP(I2354, BasedatosM9!A:B, 2, FALSE), "BLANCO")))</f>
        <v/>
      </c>
    </row>
    <row r="2355" spans="1:11" ht="14.4">
      <c r="A2355" s="21"/>
      <c r="B2355" s="86"/>
      <c r="C2355" s="98"/>
      <c r="D2355" s="21"/>
      <c r="E2355" s="86"/>
      <c r="F2355" s="99"/>
      <c r="G2355" s="99"/>
      <c r="H2355" s="21"/>
      <c r="I2355" s="21"/>
      <c r="J2355" s="21"/>
      <c r="K2355" s="5" t="str">
        <f>IF(AND(LEN(H2355)=0, LEN(I2355)=0), "", IF(AND(LEN(H2355)&gt;0, LEN(I2355)=0), "BLANCO", IFERROR(VLOOKUP(I2355, BasedatosM9!A:B, 2, FALSE), "BLANCO")))</f>
        <v/>
      </c>
    </row>
    <row r="2356" spans="1:11" ht="14.4">
      <c r="A2356" s="21"/>
      <c r="B2356" s="86"/>
      <c r="C2356" s="98"/>
      <c r="D2356" s="21"/>
      <c r="E2356" s="86"/>
      <c r="F2356" s="99"/>
      <c r="G2356" s="99"/>
      <c r="H2356" s="21"/>
      <c r="I2356" s="86"/>
      <c r="J2356" s="21"/>
      <c r="K2356" s="5" t="str">
        <f>IF(AND(LEN(H2356)=0, LEN(I2356)=0), "", IF(AND(LEN(H2356)&gt;0, LEN(I2356)=0), "BLANCO", IFERROR(VLOOKUP(I2356, BasedatosM9!A:B, 2, FALSE), "BLANCO")))</f>
        <v/>
      </c>
    </row>
    <row r="2357" spans="1:11" ht="14.4">
      <c r="A2357" s="21"/>
      <c r="B2357" s="86"/>
      <c r="C2357" s="98"/>
      <c r="D2357" s="21"/>
      <c r="E2357" s="86"/>
      <c r="F2357" s="99"/>
      <c r="G2357" s="99"/>
      <c r="H2357" s="21"/>
      <c r="I2357" s="21"/>
      <c r="J2357" s="21"/>
      <c r="K2357" s="5" t="str">
        <f>IF(AND(LEN(H2357)=0, LEN(I2357)=0), "", IF(AND(LEN(H2357)&gt;0, LEN(I2357)=0), "BLANCO", IFERROR(VLOOKUP(I2357, BasedatosM9!A:B, 2, FALSE), "BLANCO")))</f>
        <v/>
      </c>
    </row>
    <row r="2358" spans="1:11" ht="14.4">
      <c r="A2358" s="21"/>
      <c r="B2358" s="86"/>
      <c r="C2358" s="98"/>
      <c r="D2358" s="21"/>
      <c r="E2358" s="86"/>
      <c r="F2358" s="99"/>
      <c r="G2358" s="99"/>
      <c r="H2358" s="21"/>
      <c r="I2358" s="21"/>
      <c r="J2358" s="21"/>
      <c r="K2358" s="5" t="str">
        <f>IF(AND(LEN(H2358)=0, LEN(I2358)=0), "", IF(AND(LEN(H2358)&gt;0, LEN(I2358)=0), "BLANCO", IFERROR(VLOOKUP(I2358, BasedatosM9!A:B, 2, FALSE), "BLANCO")))</f>
        <v/>
      </c>
    </row>
    <row r="2359" spans="1:11" ht="14.4">
      <c r="A2359" s="21"/>
      <c r="B2359" s="86"/>
      <c r="C2359" s="98"/>
      <c r="D2359" s="21"/>
      <c r="E2359" s="86"/>
      <c r="F2359" s="99"/>
      <c r="G2359" s="99"/>
      <c r="H2359" s="21"/>
      <c r="I2359" s="86"/>
      <c r="J2359" s="21"/>
      <c r="K2359" s="5" t="str">
        <f>IF(AND(LEN(H2359)=0, LEN(I2359)=0), "", IF(AND(LEN(H2359)&gt;0, LEN(I2359)=0), "BLANCO", IFERROR(VLOOKUP(I2359, BasedatosM9!A:B, 2, FALSE), "BLANCO")))</f>
        <v/>
      </c>
    </row>
    <row r="2360" spans="1:11" ht="14.4">
      <c r="A2360" s="21"/>
      <c r="B2360" s="86"/>
      <c r="C2360" s="98"/>
      <c r="D2360" s="21"/>
      <c r="E2360" s="86"/>
      <c r="F2360" s="99"/>
      <c r="G2360" s="99"/>
      <c r="H2360" s="21"/>
      <c r="I2360" s="86"/>
      <c r="J2360" s="21"/>
      <c r="K2360" s="5" t="str">
        <f>IF(AND(LEN(H2360)=0, LEN(I2360)=0), "", IF(AND(LEN(H2360)&gt;0, LEN(I2360)=0), "BLANCO", IFERROR(VLOOKUP(I2360, BasedatosM9!A:B, 2, FALSE), "BLANCO")))</f>
        <v/>
      </c>
    </row>
    <row r="2361" spans="1:11" ht="14.4">
      <c r="A2361" s="21"/>
      <c r="B2361" s="86"/>
      <c r="C2361" s="98"/>
      <c r="D2361" s="21"/>
      <c r="E2361" s="86"/>
      <c r="F2361" s="99"/>
      <c r="G2361" s="99"/>
      <c r="H2361" s="21"/>
      <c r="I2361" s="21"/>
      <c r="J2361" s="21"/>
      <c r="K2361" s="5" t="str">
        <f>IF(AND(LEN(H2361)=0, LEN(I2361)=0), "", IF(AND(LEN(H2361)&gt;0, LEN(I2361)=0), "BLANCO", IFERROR(VLOOKUP(I2361, BasedatosM9!A:B, 2, FALSE), "BLANCO")))</f>
        <v/>
      </c>
    </row>
    <row r="2362" spans="1:11" ht="14.4">
      <c r="A2362" s="21"/>
      <c r="B2362" s="86"/>
      <c r="C2362" s="98"/>
      <c r="D2362" s="21"/>
      <c r="E2362" s="86"/>
      <c r="F2362" s="99"/>
      <c r="G2362" s="99"/>
      <c r="H2362" s="21"/>
      <c r="I2362" s="21"/>
      <c r="J2362" s="21"/>
      <c r="K2362" s="5" t="str">
        <f>IF(AND(LEN(H2362)=0, LEN(I2362)=0), "", IF(AND(LEN(H2362)&gt;0, LEN(I2362)=0), "BLANCO", IFERROR(VLOOKUP(I2362, BasedatosM9!A:B, 2, FALSE), "BLANCO")))</f>
        <v/>
      </c>
    </row>
    <row r="2363" spans="1:11" ht="14.4">
      <c r="A2363" s="21"/>
      <c r="B2363" s="86"/>
      <c r="C2363" s="98"/>
      <c r="D2363" s="21"/>
      <c r="E2363" s="86"/>
      <c r="F2363" s="99"/>
      <c r="G2363" s="99"/>
      <c r="H2363" s="21"/>
      <c r="I2363" s="86"/>
      <c r="J2363" s="21"/>
      <c r="K2363" s="5" t="str">
        <f>IF(AND(LEN(H2363)=0, LEN(I2363)=0), "", IF(AND(LEN(H2363)&gt;0, LEN(I2363)=0), "BLANCO", IFERROR(VLOOKUP(I2363, BasedatosM9!A:B, 2, FALSE), "BLANCO")))</f>
        <v/>
      </c>
    </row>
    <row r="2364" spans="1:11" ht="14.4">
      <c r="A2364" s="21"/>
      <c r="B2364" s="86"/>
      <c r="C2364" s="98"/>
      <c r="D2364" s="21"/>
      <c r="E2364" s="86"/>
      <c r="F2364" s="99"/>
      <c r="G2364" s="99"/>
      <c r="H2364" s="21"/>
      <c r="I2364" s="86"/>
      <c r="J2364" s="21"/>
      <c r="K2364" s="5" t="str">
        <f>IF(AND(LEN(H2364)=0, LEN(I2364)=0), "", IF(AND(LEN(H2364)&gt;0, LEN(I2364)=0), "BLANCO", IFERROR(VLOOKUP(I2364, BasedatosM9!A:B, 2, FALSE), "BLANCO")))</f>
        <v/>
      </c>
    </row>
    <row r="2365" spans="1:11" ht="14.4">
      <c r="A2365" s="21"/>
      <c r="B2365" s="86"/>
      <c r="C2365" s="98"/>
      <c r="D2365" s="21"/>
      <c r="E2365" s="86"/>
      <c r="F2365" s="99"/>
      <c r="G2365" s="99"/>
      <c r="H2365" s="21"/>
      <c r="I2365" s="86"/>
      <c r="J2365" s="21"/>
      <c r="K2365" s="5" t="str">
        <f>IF(AND(LEN(H2365)=0, LEN(I2365)=0), "", IF(AND(LEN(H2365)&gt;0, LEN(I2365)=0), "BLANCO", IFERROR(VLOOKUP(I2365, BasedatosM9!A:B, 2, FALSE), "BLANCO")))</f>
        <v/>
      </c>
    </row>
    <row r="2366" spans="1:11" ht="14.4">
      <c r="A2366" s="21"/>
      <c r="B2366" s="86"/>
      <c r="C2366" s="98"/>
      <c r="D2366" s="21"/>
      <c r="E2366" s="86"/>
      <c r="F2366" s="99"/>
      <c r="G2366" s="99"/>
      <c r="H2366" s="21"/>
      <c r="I2366" s="86"/>
      <c r="J2366" s="21"/>
      <c r="K2366" s="5" t="str">
        <f>IF(AND(LEN(H2366)=0, LEN(I2366)=0), "", IF(AND(LEN(H2366)&gt;0, LEN(I2366)=0), "BLANCO", IFERROR(VLOOKUP(I2366, BasedatosM9!A:B, 2, FALSE), "BLANCO")))</f>
        <v/>
      </c>
    </row>
    <row r="2367" spans="1:11" ht="14.4">
      <c r="A2367" s="21"/>
      <c r="B2367" s="86"/>
      <c r="C2367" s="98"/>
      <c r="D2367" s="21"/>
      <c r="E2367" s="86"/>
      <c r="F2367" s="99"/>
      <c r="G2367" s="99"/>
      <c r="H2367" s="21"/>
      <c r="I2367" s="86"/>
      <c r="J2367" s="21"/>
      <c r="K2367" s="5" t="str">
        <f>IF(AND(LEN(H2367)=0, LEN(I2367)=0), "", IF(AND(LEN(H2367)&gt;0, LEN(I2367)=0), "BLANCO", IFERROR(VLOOKUP(I2367, BasedatosM9!A:B, 2, FALSE), "BLANCO")))</f>
        <v/>
      </c>
    </row>
    <row r="2368" spans="1:11" ht="14.4">
      <c r="A2368" s="21"/>
      <c r="B2368" s="86"/>
      <c r="C2368" s="98"/>
      <c r="D2368" s="21"/>
      <c r="E2368" s="86"/>
      <c r="F2368" s="99"/>
      <c r="G2368" s="99"/>
      <c r="H2368" s="21"/>
      <c r="I2368" s="86"/>
      <c r="J2368" s="21"/>
      <c r="K2368" s="5" t="str">
        <f>IF(AND(LEN(H2368)=0, LEN(I2368)=0), "", IF(AND(LEN(H2368)&gt;0, LEN(I2368)=0), "BLANCO", IFERROR(VLOOKUP(I2368, BasedatosM9!A:B, 2, FALSE), "BLANCO")))</f>
        <v/>
      </c>
    </row>
    <row r="2369" spans="1:11" ht="14.4">
      <c r="A2369" s="21"/>
      <c r="B2369" s="86"/>
      <c r="C2369" s="98"/>
      <c r="D2369" s="21"/>
      <c r="E2369" s="86"/>
      <c r="F2369" s="99"/>
      <c r="G2369" s="99"/>
      <c r="H2369" s="21"/>
      <c r="I2369" s="86"/>
      <c r="J2369" s="21"/>
      <c r="K2369" s="5" t="str">
        <f>IF(AND(LEN(H2369)=0, LEN(I2369)=0), "", IF(AND(LEN(H2369)&gt;0, LEN(I2369)=0), "BLANCO", IFERROR(VLOOKUP(I2369, BasedatosM9!A:B, 2, FALSE), "BLANCO")))</f>
        <v/>
      </c>
    </row>
    <row r="2370" spans="1:11" ht="14.4">
      <c r="A2370" s="21"/>
      <c r="B2370" s="86"/>
      <c r="C2370" s="98"/>
      <c r="D2370" s="21"/>
      <c r="E2370" s="86"/>
      <c r="F2370" s="99"/>
      <c r="G2370" s="99"/>
      <c r="H2370" s="21"/>
      <c r="I2370" s="21"/>
      <c r="J2370" s="21"/>
      <c r="K2370" s="5" t="str">
        <f>IF(AND(LEN(H2370)=0, LEN(I2370)=0), "", IF(AND(LEN(H2370)&gt;0, LEN(I2370)=0), "BLANCO", IFERROR(VLOOKUP(I2370, BasedatosM9!A:B, 2, FALSE), "BLANCO")))</f>
        <v/>
      </c>
    </row>
    <row r="2371" spans="1:11" ht="14.4">
      <c r="A2371" s="21"/>
      <c r="B2371" s="86"/>
      <c r="C2371" s="98"/>
      <c r="D2371" s="21"/>
      <c r="E2371" s="86"/>
      <c r="F2371" s="99"/>
      <c r="G2371" s="99"/>
      <c r="H2371" s="21"/>
      <c r="I2371" s="21"/>
      <c r="J2371" s="21"/>
      <c r="K2371" s="5" t="str">
        <f>IF(AND(LEN(H2371)=0, LEN(I2371)=0), "", IF(AND(LEN(H2371)&gt;0, LEN(I2371)=0), "BLANCO", IFERROR(VLOOKUP(I2371, BasedatosM9!A:B, 2, FALSE), "BLANCO")))</f>
        <v/>
      </c>
    </row>
    <row r="2372" spans="1:11" ht="14.4">
      <c r="A2372" s="21"/>
      <c r="B2372" s="86"/>
      <c r="C2372" s="98"/>
      <c r="D2372" s="21"/>
      <c r="E2372" s="86"/>
      <c r="F2372" s="99"/>
      <c r="G2372" s="99"/>
      <c r="H2372" s="21"/>
      <c r="I2372" s="21"/>
      <c r="J2372" s="21"/>
      <c r="K2372" s="5" t="str">
        <f>IF(AND(LEN(H2372)=0, LEN(I2372)=0), "", IF(AND(LEN(H2372)&gt;0, LEN(I2372)=0), "BLANCO", IFERROR(VLOOKUP(I2372, BasedatosM9!A:B, 2, FALSE), "BLANCO")))</f>
        <v/>
      </c>
    </row>
    <row r="2373" spans="1:11" ht="14.4">
      <c r="A2373" s="21"/>
      <c r="B2373" s="86"/>
      <c r="C2373" s="98"/>
      <c r="D2373" s="21"/>
      <c r="E2373" s="86"/>
      <c r="F2373" s="99"/>
      <c r="G2373" s="99"/>
      <c r="H2373" s="21"/>
      <c r="I2373" s="86"/>
      <c r="J2373" s="21"/>
      <c r="K2373" s="5" t="str">
        <f>IF(AND(LEN(H2373)=0, LEN(I2373)=0), "", IF(AND(LEN(H2373)&gt;0, LEN(I2373)=0), "BLANCO", IFERROR(VLOOKUP(I2373, BasedatosM9!A:B, 2, FALSE), "BLANCO")))</f>
        <v/>
      </c>
    </row>
    <row r="2374" spans="1:11" ht="14.4">
      <c r="A2374" s="21"/>
      <c r="B2374" s="86"/>
      <c r="C2374" s="98"/>
      <c r="D2374" s="21"/>
      <c r="E2374" s="86"/>
      <c r="F2374" s="99"/>
      <c r="G2374" s="99"/>
      <c r="H2374" s="21"/>
      <c r="I2374" s="86"/>
      <c r="J2374" s="21"/>
      <c r="K2374" s="5" t="str">
        <f>IF(AND(LEN(H2374)=0, LEN(I2374)=0), "", IF(AND(LEN(H2374)&gt;0, LEN(I2374)=0), "BLANCO", IFERROR(VLOOKUP(I2374, BasedatosM9!A:B, 2, FALSE), "BLANCO")))</f>
        <v/>
      </c>
    </row>
    <row r="2375" spans="1:11" ht="14.4">
      <c r="A2375" s="21"/>
      <c r="B2375" s="86"/>
      <c r="C2375" s="98"/>
      <c r="D2375" s="21"/>
      <c r="E2375" s="86"/>
      <c r="F2375" s="99"/>
      <c r="G2375" s="99"/>
      <c r="H2375" s="21"/>
      <c r="I2375" s="86"/>
      <c r="J2375" s="21"/>
      <c r="K2375" s="5" t="str">
        <f>IF(AND(LEN(H2375)=0, LEN(I2375)=0), "", IF(AND(LEN(H2375)&gt;0, LEN(I2375)=0), "BLANCO", IFERROR(VLOOKUP(I2375, BasedatosM9!A:B, 2, FALSE), "BLANCO")))</f>
        <v/>
      </c>
    </row>
    <row r="2376" spans="1:11" ht="14.4">
      <c r="A2376" s="21"/>
      <c r="B2376" s="86"/>
      <c r="C2376" s="98"/>
      <c r="D2376" s="21"/>
      <c r="E2376" s="86"/>
      <c r="F2376" s="99"/>
      <c r="G2376" s="99"/>
      <c r="H2376" s="21"/>
      <c r="I2376" s="86"/>
      <c r="J2376" s="21"/>
      <c r="K2376" s="5" t="str">
        <f>IF(AND(LEN(H2376)=0, LEN(I2376)=0), "", IF(AND(LEN(H2376)&gt;0, LEN(I2376)=0), "BLANCO", IFERROR(VLOOKUP(I2376, BasedatosM9!A:B, 2, FALSE), "BLANCO")))</f>
        <v/>
      </c>
    </row>
    <row r="2377" spans="1:11" ht="14.4">
      <c r="A2377" s="21"/>
      <c r="B2377" s="86"/>
      <c r="C2377" s="98"/>
      <c r="D2377" s="21"/>
      <c r="E2377" s="86"/>
      <c r="F2377" s="99"/>
      <c r="G2377" s="99"/>
      <c r="H2377" s="21"/>
      <c r="I2377" s="86"/>
      <c r="J2377" s="21"/>
      <c r="K2377" s="5" t="str">
        <f>IF(AND(LEN(H2377)=0, LEN(I2377)=0), "", IF(AND(LEN(H2377)&gt;0, LEN(I2377)=0), "BLANCO", IFERROR(VLOOKUP(I2377, BasedatosM9!A:B, 2, FALSE), "BLANCO")))</f>
        <v/>
      </c>
    </row>
    <row r="2378" spans="1:11" ht="14.4">
      <c r="A2378" s="21"/>
      <c r="B2378" s="86"/>
      <c r="C2378" s="98"/>
      <c r="D2378" s="21"/>
      <c r="E2378" s="86"/>
      <c r="F2378" s="99"/>
      <c r="G2378" s="99"/>
      <c r="H2378" s="21"/>
      <c r="I2378" s="86"/>
      <c r="J2378" s="21"/>
      <c r="K2378" s="5" t="str">
        <f>IF(AND(LEN(H2378)=0, LEN(I2378)=0), "", IF(AND(LEN(H2378)&gt;0, LEN(I2378)=0), "BLANCO", IFERROR(VLOOKUP(I2378, BasedatosM9!A:B, 2, FALSE), "BLANCO")))</f>
        <v/>
      </c>
    </row>
    <row r="2379" spans="1:11" ht="14.4">
      <c r="A2379" s="21"/>
      <c r="B2379" s="86"/>
      <c r="C2379" s="98"/>
      <c r="D2379" s="21"/>
      <c r="E2379" s="86"/>
      <c r="F2379" s="99"/>
      <c r="G2379" s="99"/>
      <c r="H2379" s="21"/>
      <c r="I2379" s="21"/>
      <c r="J2379" s="21"/>
      <c r="K2379" s="5" t="str">
        <f>IF(AND(LEN(H2379)=0, LEN(I2379)=0), "", IF(AND(LEN(H2379)&gt;0, LEN(I2379)=0), "BLANCO", IFERROR(VLOOKUP(I2379, BasedatosM9!A:B, 2, FALSE), "BLANCO")))</f>
        <v/>
      </c>
    </row>
    <row r="2380" spans="1:11" ht="14.4">
      <c r="A2380" s="21"/>
      <c r="B2380" s="86"/>
      <c r="C2380" s="98"/>
      <c r="D2380" s="21"/>
      <c r="E2380" s="86"/>
      <c r="F2380" s="99"/>
      <c r="G2380" s="99"/>
      <c r="H2380" s="21"/>
      <c r="I2380" s="21"/>
      <c r="J2380" s="21"/>
      <c r="K2380" s="5" t="str">
        <f>IF(AND(LEN(H2380)=0, LEN(I2380)=0), "", IF(AND(LEN(H2380)&gt;0, LEN(I2380)=0), "BLANCO", IFERROR(VLOOKUP(I2380, BasedatosM9!A:B, 2, FALSE), "BLANCO")))</f>
        <v/>
      </c>
    </row>
    <row r="2381" spans="1:11" ht="14.4">
      <c r="A2381" s="21"/>
      <c r="B2381" s="86"/>
      <c r="C2381" s="98"/>
      <c r="D2381" s="21"/>
      <c r="E2381" s="86"/>
      <c r="F2381" s="99"/>
      <c r="G2381" s="99"/>
      <c r="H2381" s="21"/>
      <c r="I2381" s="21"/>
      <c r="J2381" s="21"/>
      <c r="K2381" s="5" t="str">
        <f>IF(AND(LEN(H2381)=0, LEN(I2381)=0), "", IF(AND(LEN(H2381)&gt;0, LEN(I2381)=0), "BLANCO", IFERROR(VLOOKUP(I2381, BasedatosM9!A:B, 2, FALSE), "BLANCO")))</f>
        <v/>
      </c>
    </row>
    <row r="2382" spans="1:11" ht="14.4">
      <c r="A2382" s="21"/>
      <c r="B2382" s="86"/>
      <c r="C2382" s="98"/>
      <c r="D2382" s="21"/>
      <c r="E2382" s="86"/>
      <c r="F2382" s="99"/>
      <c r="G2382" s="99"/>
      <c r="H2382" s="21"/>
      <c r="I2382" s="86"/>
      <c r="J2382" s="21"/>
      <c r="K2382" s="5" t="str">
        <f>IF(AND(LEN(H2382)=0, LEN(I2382)=0), "", IF(AND(LEN(H2382)&gt;0, LEN(I2382)=0), "BLANCO", IFERROR(VLOOKUP(I2382, BasedatosM9!A:B, 2, FALSE), "BLANCO")))</f>
        <v/>
      </c>
    </row>
    <row r="2383" spans="1:11" ht="14.4">
      <c r="A2383" s="21"/>
      <c r="B2383" s="86"/>
      <c r="C2383" s="98"/>
      <c r="D2383" s="21"/>
      <c r="E2383" s="86"/>
      <c r="F2383" s="99"/>
      <c r="G2383" s="99"/>
      <c r="H2383" s="21"/>
      <c r="I2383" s="86"/>
      <c r="J2383" s="21"/>
      <c r="K2383" s="5" t="str">
        <f>IF(AND(LEN(H2383)=0, LEN(I2383)=0), "", IF(AND(LEN(H2383)&gt;0, LEN(I2383)=0), "BLANCO", IFERROR(VLOOKUP(I2383, BasedatosM9!A:B, 2, FALSE), "BLANCO")))</f>
        <v/>
      </c>
    </row>
    <row r="2384" spans="1:11" ht="14.4">
      <c r="A2384" s="21"/>
      <c r="B2384" s="86"/>
      <c r="C2384" s="98"/>
      <c r="D2384" s="21"/>
      <c r="E2384" s="86"/>
      <c r="F2384" s="99"/>
      <c r="G2384" s="99"/>
      <c r="H2384" s="21"/>
      <c r="I2384" s="21"/>
      <c r="J2384" s="21"/>
      <c r="K2384" s="5" t="str">
        <f>IF(AND(LEN(H2384)=0, LEN(I2384)=0), "", IF(AND(LEN(H2384)&gt;0, LEN(I2384)=0), "BLANCO", IFERROR(VLOOKUP(I2384, BasedatosM9!A:B, 2, FALSE), "BLANCO")))</f>
        <v/>
      </c>
    </row>
    <row r="2385" spans="1:11" ht="14.4">
      <c r="A2385" s="21"/>
      <c r="B2385" s="86"/>
      <c r="C2385" s="98"/>
      <c r="D2385" s="21"/>
      <c r="E2385" s="86"/>
      <c r="F2385" s="99"/>
      <c r="G2385" s="99"/>
      <c r="H2385" s="21"/>
      <c r="I2385" s="21"/>
      <c r="J2385" s="21"/>
      <c r="K2385" s="5" t="str">
        <f>IF(AND(LEN(H2385)=0, LEN(I2385)=0), "", IF(AND(LEN(H2385)&gt;0, LEN(I2385)=0), "BLANCO", IFERROR(VLOOKUP(I2385, BasedatosM9!A:B, 2, FALSE), "BLANCO")))</f>
        <v/>
      </c>
    </row>
    <row r="2386" spans="1:11" ht="14.4">
      <c r="A2386" s="21"/>
      <c r="B2386" s="86"/>
      <c r="C2386" s="98"/>
      <c r="D2386" s="21"/>
      <c r="E2386" s="86"/>
      <c r="F2386" s="99"/>
      <c r="G2386" s="99"/>
      <c r="H2386" s="21"/>
      <c r="I2386" s="21"/>
      <c r="J2386" s="21"/>
      <c r="K2386" s="5" t="str">
        <f>IF(AND(LEN(H2386)=0, LEN(I2386)=0), "", IF(AND(LEN(H2386)&gt;0, LEN(I2386)=0), "BLANCO", IFERROR(VLOOKUP(I2386, BasedatosM9!A:B, 2, FALSE), "BLANCO")))</f>
        <v/>
      </c>
    </row>
    <row r="2387" spans="1:11" ht="14.4">
      <c r="A2387" s="21"/>
      <c r="B2387" s="86"/>
      <c r="C2387" s="98"/>
      <c r="D2387" s="21"/>
      <c r="E2387" s="86"/>
      <c r="F2387" s="99"/>
      <c r="G2387" s="99"/>
      <c r="H2387" s="21"/>
      <c r="I2387" s="86"/>
      <c r="J2387" s="21"/>
      <c r="K2387" s="5" t="str">
        <f>IF(AND(LEN(H2387)=0, LEN(I2387)=0), "", IF(AND(LEN(H2387)&gt;0, LEN(I2387)=0), "BLANCO", IFERROR(VLOOKUP(I2387, BasedatosM9!A:B, 2, FALSE), "BLANCO")))</f>
        <v/>
      </c>
    </row>
    <row r="2388" spans="1:11" ht="14.4">
      <c r="A2388" s="21"/>
      <c r="B2388" s="86"/>
      <c r="C2388" s="98"/>
      <c r="D2388" s="21"/>
      <c r="E2388" s="86"/>
      <c r="F2388" s="99"/>
      <c r="G2388" s="99"/>
      <c r="H2388" s="21"/>
      <c r="I2388" s="86"/>
      <c r="J2388" s="21"/>
      <c r="K2388" s="5" t="str">
        <f>IF(AND(LEN(H2388)=0, LEN(I2388)=0), "", IF(AND(LEN(H2388)&gt;0, LEN(I2388)=0), "BLANCO", IFERROR(VLOOKUP(I2388, BasedatosM9!A:B, 2, FALSE), "BLANCO")))</f>
        <v/>
      </c>
    </row>
    <row r="2389" spans="1:11" ht="14.4">
      <c r="A2389" s="21"/>
      <c r="B2389" s="86"/>
      <c r="C2389" s="98"/>
      <c r="D2389" s="21"/>
      <c r="E2389" s="86"/>
      <c r="F2389" s="99"/>
      <c r="G2389" s="99"/>
      <c r="H2389" s="21"/>
      <c r="I2389" s="86"/>
      <c r="J2389" s="21"/>
      <c r="K2389" s="5" t="str">
        <f>IF(AND(LEN(H2389)=0, LEN(I2389)=0), "", IF(AND(LEN(H2389)&gt;0, LEN(I2389)=0), "BLANCO", IFERROR(VLOOKUP(I2389, BasedatosM9!A:B, 2, FALSE), "BLANCO")))</f>
        <v/>
      </c>
    </row>
    <row r="2390" spans="1:11" ht="14.4">
      <c r="A2390" s="21"/>
      <c r="B2390" s="86"/>
      <c r="C2390" s="98"/>
      <c r="D2390" s="21"/>
      <c r="E2390" s="86"/>
      <c r="F2390" s="99"/>
      <c r="G2390" s="99"/>
      <c r="H2390" s="21"/>
      <c r="I2390" s="21"/>
      <c r="J2390" s="21"/>
      <c r="K2390" s="5" t="str">
        <f>IF(AND(LEN(H2390)=0, LEN(I2390)=0), "", IF(AND(LEN(H2390)&gt;0, LEN(I2390)=0), "BLANCO", IFERROR(VLOOKUP(I2390, BasedatosM9!A:B, 2, FALSE), "BLANCO")))</f>
        <v/>
      </c>
    </row>
    <row r="2391" spans="1:11" ht="14.4">
      <c r="A2391" s="21"/>
      <c r="B2391" s="86"/>
      <c r="C2391" s="98"/>
      <c r="D2391" s="21"/>
      <c r="E2391" s="86"/>
      <c r="F2391" s="99"/>
      <c r="G2391" s="99"/>
      <c r="H2391" s="21"/>
      <c r="I2391" s="86"/>
      <c r="J2391" s="21"/>
      <c r="K2391" s="5" t="str">
        <f>IF(AND(LEN(H2391)=0, LEN(I2391)=0), "", IF(AND(LEN(H2391)&gt;0, LEN(I2391)=0), "BLANCO", IFERROR(VLOOKUP(I2391, BasedatosM9!A:B, 2, FALSE), "BLANCO")))</f>
        <v/>
      </c>
    </row>
    <row r="2392" spans="1:11" ht="14.4">
      <c r="A2392" s="21"/>
      <c r="B2392" s="86"/>
      <c r="C2392" s="98"/>
      <c r="D2392" s="21"/>
      <c r="E2392" s="86"/>
      <c r="F2392" s="99"/>
      <c r="G2392" s="99"/>
      <c r="H2392" s="21"/>
      <c r="I2392" s="86"/>
      <c r="J2392" s="21"/>
      <c r="K2392" s="5" t="str">
        <f>IF(AND(LEN(H2392)=0, LEN(I2392)=0), "", IF(AND(LEN(H2392)&gt;0, LEN(I2392)=0), "BLANCO", IFERROR(VLOOKUP(I2392, BasedatosM9!A:B, 2, FALSE), "BLANCO")))</f>
        <v/>
      </c>
    </row>
    <row r="2393" spans="1:11" ht="14.4">
      <c r="A2393" s="21"/>
      <c r="B2393" s="86"/>
      <c r="C2393" s="98"/>
      <c r="D2393" s="21"/>
      <c r="E2393" s="86"/>
      <c r="F2393" s="99"/>
      <c r="G2393" s="99"/>
      <c r="H2393" s="21"/>
      <c r="I2393" s="21"/>
      <c r="J2393" s="21"/>
      <c r="K2393" s="5" t="str">
        <f>IF(AND(LEN(H2393)=0, LEN(I2393)=0), "", IF(AND(LEN(H2393)&gt;0, LEN(I2393)=0), "BLANCO", IFERROR(VLOOKUP(I2393, BasedatosM9!A:B, 2, FALSE), "BLANCO")))</f>
        <v/>
      </c>
    </row>
    <row r="2394" spans="1:11" ht="14.4">
      <c r="A2394" s="21"/>
      <c r="B2394" s="86"/>
      <c r="C2394" s="98"/>
      <c r="D2394" s="21"/>
      <c r="E2394" s="86"/>
      <c r="F2394" s="99"/>
      <c r="G2394" s="99"/>
      <c r="H2394" s="21"/>
      <c r="I2394" s="21"/>
      <c r="J2394" s="21"/>
      <c r="K2394" s="5" t="str">
        <f>IF(AND(LEN(H2394)=0, LEN(I2394)=0), "", IF(AND(LEN(H2394)&gt;0, LEN(I2394)=0), "BLANCO", IFERROR(VLOOKUP(I2394, BasedatosM9!A:B, 2, FALSE), "BLANCO")))</f>
        <v/>
      </c>
    </row>
    <row r="2395" spans="1:11" ht="14.4">
      <c r="A2395" s="21"/>
      <c r="B2395" s="86"/>
      <c r="C2395" s="98"/>
      <c r="D2395" s="21"/>
      <c r="E2395" s="86"/>
      <c r="F2395" s="99"/>
      <c r="G2395" s="99"/>
      <c r="H2395" s="21"/>
      <c r="I2395" s="86"/>
      <c r="J2395" s="21"/>
      <c r="K2395" s="5" t="str">
        <f>IF(AND(LEN(H2395)=0, LEN(I2395)=0), "", IF(AND(LEN(H2395)&gt;0, LEN(I2395)=0), "BLANCO", IFERROR(VLOOKUP(I2395, BasedatosM9!A:B, 2, FALSE), "BLANCO")))</f>
        <v/>
      </c>
    </row>
    <row r="2396" spans="1:11" ht="14.4">
      <c r="A2396" s="21"/>
      <c r="B2396" s="86"/>
      <c r="C2396" s="98"/>
      <c r="D2396" s="21"/>
      <c r="E2396" s="86"/>
      <c r="F2396" s="99"/>
      <c r="G2396" s="99"/>
      <c r="H2396" s="21"/>
      <c r="I2396" s="21"/>
      <c r="J2396" s="21"/>
      <c r="K2396" s="5" t="str">
        <f>IF(AND(LEN(H2396)=0, LEN(I2396)=0), "", IF(AND(LEN(H2396)&gt;0, LEN(I2396)=0), "BLANCO", IFERROR(VLOOKUP(I2396, BasedatosM9!A:B, 2, FALSE), "BLANCO")))</f>
        <v/>
      </c>
    </row>
    <row r="2397" spans="1:11" ht="14.4">
      <c r="A2397" s="21"/>
      <c r="B2397" s="86"/>
      <c r="C2397" s="98"/>
      <c r="D2397" s="21"/>
      <c r="E2397" s="86"/>
      <c r="F2397" s="99"/>
      <c r="G2397" s="99"/>
      <c r="H2397" s="21"/>
      <c r="I2397" s="21"/>
      <c r="J2397" s="21"/>
      <c r="K2397" s="5" t="str">
        <f>IF(AND(LEN(H2397)=0, LEN(I2397)=0), "", IF(AND(LEN(H2397)&gt;0, LEN(I2397)=0), "BLANCO", IFERROR(VLOOKUP(I2397, BasedatosM9!A:B, 2, FALSE), "BLANCO")))</f>
        <v/>
      </c>
    </row>
    <row r="2398" spans="1:11" ht="14.4">
      <c r="A2398" s="21"/>
      <c r="B2398" s="86"/>
      <c r="C2398" s="98"/>
      <c r="D2398" s="21"/>
      <c r="E2398" s="86"/>
      <c r="F2398" s="99"/>
      <c r="G2398" s="99"/>
      <c r="H2398" s="21"/>
      <c r="I2398" s="21"/>
      <c r="J2398" s="21"/>
      <c r="K2398" s="5" t="str">
        <f>IF(AND(LEN(H2398)=0, LEN(I2398)=0), "", IF(AND(LEN(H2398)&gt;0, LEN(I2398)=0), "BLANCO", IFERROR(VLOOKUP(I2398, BasedatosM9!A:B, 2, FALSE), "BLANCO")))</f>
        <v/>
      </c>
    </row>
    <row r="2399" spans="1:11" ht="14.4">
      <c r="A2399" s="21"/>
      <c r="B2399" s="86"/>
      <c r="C2399" s="98"/>
      <c r="D2399" s="21"/>
      <c r="E2399" s="86"/>
      <c r="F2399" s="99"/>
      <c r="G2399" s="99"/>
      <c r="H2399" s="21"/>
      <c r="I2399" s="86"/>
      <c r="J2399" s="21"/>
      <c r="K2399" s="5" t="str">
        <f>IF(AND(LEN(H2399)=0, LEN(I2399)=0), "", IF(AND(LEN(H2399)&gt;0, LEN(I2399)=0), "BLANCO", IFERROR(VLOOKUP(I2399, BasedatosM9!A:B, 2, FALSE), "BLANCO")))</f>
        <v/>
      </c>
    </row>
    <row r="2400" spans="1:11" ht="14.4">
      <c r="A2400" s="21"/>
      <c r="B2400" s="86"/>
      <c r="C2400" s="98"/>
      <c r="D2400" s="21"/>
      <c r="E2400" s="86"/>
      <c r="F2400" s="99"/>
      <c r="G2400" s="99"/>
      <c r="H2400" s="21"/>
      <c r="I2400" s="86"/>
      <c r="J2400" s="21"/>
      <c r="K2400" s="5" t="str">
        <f>IF(AND(LEN(H2400)=0, LEN(I2400)=0), "", IF(AND(LEN(H2400)&gt;0, LEN(I2400)=0), "BLANCO", IFERROR(VLOOKUP(I2400, BasedatosM9!A:B, 2, FALSE), "BLANCO")))</f>
        <v/>
      </c>
    </row>
    <row r="2401" spans="1:11" ht="14.4">
      <c r="A2401" s="21"/>
      <c r="B2401" s="86"/>
      <c r="C2401" s="98"/>
      <c r="D2401" s="21"/>
      <c r="E2401" s="86"/>
      <c r="F2401" s="99"/>
      <c r="G2401" s="99"/>
      <c r="H2401" s="21"/>
      <c r="I2401" s="21"/>
      <c r="J2401" s="21"/>
      <c r="K2401" s="5" t="str">
        <f>IF(AND(LEN(H2401)=0, LEN(I2401)=0), "", IF(AND(LEN(H2401)&gt;0, LEN(I2401)=0), "BLANCO", IFERROR(VLOOKUP(I2401, BasedatosM9!A:B, 2, FALSE), "BLANCO")))</f>
        <v/>
      </c>
    </row>
    <row r="2402" spans="1:11" ht="14.4">
      <c r="A2402" s="21"/>
      <c r="B2402" s="86"/>
      <c r="C2402" s="98"/>
      <c r="D2402" s="21"/>
      <c r="E2402" s="86"/>
      <c r="F2402" s="99"/>
      <c r="G2402" s="99"/>
      <c r="H2402" s="21"/>
      <c r="I2402" s="86"/>
      <c r="J2402" s="21"/>
      <c r="K2402" s="5" t="str">
        <f>IF(AND(LEN(H2402)=0, LEN(I2402)=0), "", IF(AND(LEN(H2402)&gt;0, LEN(I2402)=0), "BLANCO", IFERROR(VLOOKUP(I2402, BasedatosM9!A:B, 2, FALSE), "BLANCO")))</f>
        <v/>
      </c>
    </row>
    <row r="2403" spans="1:11" ht="14.4">
      <c r="A2403" s="21"/>
      <c r="B2403" s="86"/>
      <c r="C2403" s="98"/>
      <c r="D2403" s="21"/>
      <c r="E2403" s="86"/>
      <c r="F2403" s="99"/>
      <c r="G2403" s="99"/>
      <c r="H2403" s="21"/>
      <c r="I2403" s="86"/>
      <c r="J2403" s="21"/>
      <c r="K2403" s="5" t="str">
        <f>IF(AND(LEN(H2403)=0, LEN(I2403)=0), "", IF(AND(LEN(H2403)&gt;0, LEN(I2403)=0), "BLANCO", IFERROR(VLOOKUP(I2403, BasedatosM9!A:B, 2, FALSE), "BLANCO")))</f>
        <v/>
      </c>
    </row>
    <row r="2404" spans="1:11" ht="14.4">
      <c r="A2404" s="21"/>
      <c r="B2404" s="86"/>
      <c r="C2404" s="98"/>
      <c r="D2404" s="21"/>
      <c r="E2404" s="86"/>
      <c r="F2404" s="99"/>
      <c r="G2404" s="99"/>
      <c r="H2404" s="21"/>
      <c r="I2404" s="86"/>
      <c r="J2404" s="21"/>
      <c r="K2404" s="5" t="str">
        <f>IF(AND(LEN(H2404)=0, LEN(I2404)=0), "", IF(AND(LEN(H2404)&gt;0, LEN(I2404)=0), "BLANCO", IFERROR(VLOOKUP(I2404, BasedatosM9!A:B, 2, FALSE), "BLANCO")))</f>
        <v/>
      </c>
    </row>
    <row r="2405" spans="1:11" ht="14.4">
      <c r="A2405" s="21"/>
      <c r="B2405" s="86"/>
      <c r="C2405" s="98"/>
      <c r="D2405" s="21"/>
      <c r="E2405" s="86"/>
      <c r="F2405" s="99"/>
      <c r="G2405" s="99"/>
      <c r="H2405" s="21"/>
      <c r="I2405" s="86"/>
      <c r="J2405" s="21"/>
      <c r="K2405" s="5" t="str">
        <f>IF(AND(LEN(H2405)=0, LEN(I2405)=0), "", IF(AND(LEN(H2405)&gt;0, LEN(I2405)=0), "BLANCO", IFERROR(VLOOKUP(I2405, BasedatosM9!A:B, 2, FALSE), "BLANCO")))</f>
        <v/>
      </c>
    </row>
    <row r="2406" spans="1:11" ht="14.4">
      <c r="A2406" s="21"/>
      <c r="B2406" s="86"/>
      <c r="C2406" s="98"/>
      <c r="D2406" s="21"/>
      <c r="E2406" s="86"/>
      <c r="F2406" s="99"/>
      <c r="G2406" s="99"/>
      <c r="H2406" s="21"/>
      <c r="I2406" s="86"/>
      <c r="J2406" s="21"/>
      <c r="K2406" s="5" t="str">
        <f>IF(AND(LEN(H2406)=0, LEN(I2406)=0), "", IF(AND(LEN(H2406)&gt;0, LEN(I2406)=0), "BLANCO", IFERROR(VLOOKUP(I2406, BasedatosM9!A:B, 2, FALSE), "BLANCO")))</f>
        <v/>
      </c>
    </row>
    <row r="2407" spans="1:11" ht="14.4">
      <c r="A2407" s="21"/>
      <c r="B2407" s="86"/>
      <c r="C2407" s="98"/>
      <c r="D2407" s="21"/>
      <c r="E2407" s="86"/>
      <c r="F2407" s="99"/>
      <c r="G2407" s="99"/>
      <c r="H2407" s="21"/>
      <c r="I2407" s="86"/>
      <c r="J2407" s="21"/>
      <c r="K2407" s="5" t="str">
        <f>IF(AND(LEN(H2407)=0, LEN(I2407)=0), "", IF(AND(LEN(H2407)&gt;0, LEN(I2407)=0), "BLANCO", IFERROR(VLOOKUP(I2407, BasedatosM9!A:B, 2, FALSE), "BLANCO")))</f>
        <v/>
      </c>
    </row>
    <row r="2408" spans="1:11" ht="14.4">
      <c r="A2408" s="21"/>
      <c r="B2408" s="86"/>
      <c r="C2408" s="98"/>
      <c r="D2408" s="21"/>
      <c r="E2408" s="86"/>
      <c r="F2408" s="99"/>
      <c r="G2408" s="99"/>
      <c r="H2408" s="21"/>
      <c r="I2408" s="86"/>
      <c r="J2408" s="21"/>
      <c r="K2408" s="5" t="str">
        <f>IF(AND(LEN(H2408)=0, LEN(I2408)=0), "", IF(AND(LEN(H2408)&gt;0, LEN(I2408)=0), "BLANCO", IFERROR(VLOOKUP(I2408, BasedatosM9!A:B, 2, FALSE), "BLANCO")))</f>
        <v/>
      </c>
    </row>
    <row r="2409" spans="1:11" ht="14.4">
      <c r="A2409" s="21"/>
      <c r="B2409" s="86"/>
      <c r="C2409" s="98"/>
      <c r="D2409" s="21"/>
      <c r="E2409" s="86"/>
      <c r="F2409" s="99"/>
      <c r="G2409" s="99"/>
      <c r="H2409" s="21"/>
      <c r="I2409" s="86"/>
      <c r="J2409" s="21"/>
      <c r="K2409" s="5" t="str">
        <f>IF(AND(LEN(H2409)=0, LEN(I2409)=0), "", IF(AND(LEN(H2409)&gt;0, LEN(I2409)=0), "BLANCO", IFERROR(VLOOKUP(I2409, BasedatosM9!A:B, 2, FALSE), "BLANCO")))</f>
        <v/>
      </c>
    </row>
    <row r="2410" spans="1:11" ht="14.4">
      <c r="A2410" s="21"/>
      <c r="B2410" s="86"/>
      <c r="C2410" s="98"/>
      <c r="D2410" s="21"/>
      <c r="E2410" s="86"/>
      <c r="F2410" s="99"/>
      <c r="G2410" s="99"/>
      <c r="H2410" s="21"/>
      <c r="I2410" s="86"/>
      <c r="J2410" s="21"/>
      <c r="K2410" s="5" t="str">
        <f>IF(AND(LEN(H2410)=0, LEN(I2410)=0), "", IF(AND(LEN(H2410)&gt;0, LEN(I2410)=0), "BLANCO", IFERROR(VLOOKUP(I2410, BasedatosM9!A:B, 2, FALSE), "BLANCO")))</f>
        <v/>
      </c>
    </row>
    <row r="2411" spans="1:11" ht="14.4">
      <c r="A2411" s="21"/>
      <c r="B2411" s="86"/>
      <c r="C2411" s="98"/>
      <c r="D2411" s="21"/>
      <c r="E2411" s="86"/>
      <c r="F2411" s="99"/>
      <c r="G2411" s="99"/>
      <c r="H2411" s="21"/>
      <c r="I2411" s="86"/>
      <c r="J2411" s="21"/>
      <c r="K2411" s="5" t="str">
        <f>IF(AND(LEN(H2411)=0, LEN(I2411)=0), "", IF(AND(LEN(H2411)&gt;0, LEN(I2411)=0), "BLANCO", IFERROR(VLOOKUP(I2411, BasedatosM9!A:B, 2, FALSE), "BLANCO")))</f>
        <v/>
      </c>
    </row>
    <row r="2412" spans="1:11" ht="14.4">
      <c r="A2412" s="21"/>
      <c r="B2412" s="86"/>
      <c r="C2412" s="98"/>
      <c r="D2412" s="21"/>
      <c r="E2412" s="86"/>
      <c r="F2412" s="99"/>
      <c r="G2412" s="99"/>
      <c r="H2412" s="21"/>
      <c r="I2412" s="21"/>
      <c r="J2412" s="21"/>
      <c r="K2412" s="5" t="str">
        <f>IF(AND(LEN(H2412)=0, LEN(I2412)=0), "", IF(AND(LEN(H2412)&gt;0, LEN(I2412)=0), "BLANCO", IFERROR(VLOOKUP(I2412, BasedatosM9!A:B, 2, FALSE), "BLANCO")))</f>
        <v/>
      </c>
    </row>
    <row r="2413" spans="1:11" ht="14.4">
      <c r="A2413" s="21"/>
      <c r="B2413" s="86"/>
      <c r="C2413" s="98"/>
      <c r="D2413" s="21"/>
      <c r="E2413" s="86"/>
      <c r="F2413" s="99"/>
      <c r="G2413" s="99"/>
      <c r="H2413" s="21"/>
      <c r="I2413" s="86"/>
      <c r="J2413" s="21"/>
      <c r="K2413" s="5" t="str">
        <f>IF(AND(LEN(H2413)=0, LEN(I2413)=0), "", IF(AND(LEN(H2413)&gt;0, LEN(I2413)=0), "BLANCO", IFERROR(VLOOKUP(I2413, BasedatosM9!A:B, 2, FALSE), "BLANCO")))</f>
        <v/>
      </c>
    </row>
    <row r="2414" spans="1:11" ht="14.4">
      <c r="A2414" s="21"/>
      <c r="B2414" s="86"/>
      <c r="C2414" s="98"/>
      <c r="D2414" s="21"/>
      <c r="E2414" s="86"/>
      <c r="F2414" s="99"/>
      <c r="G2414" s="99"/>
      <c r="H2414" s="21"/>
      <c r="I2414" s="86"/>
      <c r="J2414" s="21"/>
      <c r="K2414" s="5" t="str">
        <f>IF(AND(LEN(H2414)=0, LEN(I2414)=0), "", IF(AND(LEN(H2414)&gt;0, LEN(I2414)=0), "BLANCO", IFERROR(VLOOKUP(I2414, BasedatosM9!A:B, 2, FALSE), "BLANCO")))</f>
        <v/>
      </c>
    </row>
    <row r="2415" spans="1:11" ht="14.4">
      <c r="A2415" s="21"/>
      <c r="B2415" s="86"/>
      <c r="C2415" s="98"/>
      <c r="D2415" s="21"/>
      <c r="E2415" s="86"/>
      <c r="F2415" s="99"/>
      <c r="G2415" s="99"/>
      <c r="H2415" s="21"/>
      <c r="I2415" s="86"/>
      <c r="J2415" s="21"/>
      <c r="K2415" s="5" t="str">
        <f>IF(AND(LEN(H2415)=0, LEN(I2415)=0), "", IF(AND(LEN(H2415)&gt;0, LEN(I2415)=0), "BLANCO", IFERROR(VLOOKUP(I2415, BasedatosM9!A:B, 2, FALSE), "BLANCO")))</f>
        <v/>
      </c>
    </row>
    <row r="2416" spans="1:11" ht="14.4">
      <c r="A2416" s="21"/>
      <c r="B2416" s="86"/>
      <c r="C2416" s="98"/>
      <c r="D2416" s="21"/>
      <c r="E2416" s="86"/>
      <c r="F2416" s="99"/>
      <c r="G2416" s="99"/>
      <c r="H2416" s="21"/>
      <c r="I2416" s="21"/>
      <c r="J2416" s="21"/>
      <c r="K2416" s="5" t="str">
        <f>IF(AND(LEN(H2416)=0, LEN(I2416)=0), "", IF(AND(LEN(H2416)&gt;0, LEN(I2416)=0), "BLANCO", IFERROR(VLOOKUP(I2416, BasedatosM9!A:B, 2, FALSE), "BLANCO")))</f>
        <v/>
      </c>
    </row>
    <row r="2417" spans="1:11" ht="14.4">
      <c r="A2417" s="21"/>
      <c r="B2417" s="86"/>
      <c r="C2417" s="98"/>
      <c r="D2417" s="21"/>
      <c r="E2417" s="86"/>
      <c r="F2417" s="99"/>
      <c r="G2417" s="99"/>
      <c r="H2417" s="21"/>
      <c r="I2417" s="86"/>
      <c r="J2417" s="21"/>
      <c r="K2417" s="5" t="str">
        <f>IF(AND(LEN(H2417)=0, LEN(I2417)=0), "", IF(AND(LEN(H2417)&gt;0, LEN(I2417)=0), "BLANCO", IFERROR(VLOOKUP(I2417, BasedatosM9!A:B, 2, FALSE), "BLANCO")))</f>
        <v/>
      </c>
    </row>
    <row r="2418" spans="1:11" ht="14.4">
      <c r="A2418" s="21"/>
      <c r="B2418" s="86"/>
      <c r="C2418" s="98"/>
      <c r="D2418" s="21"/>
      <c r="E2418" s="86"/>
      <c r="F2418" s="99"/>
      <c r="G2418" s="99"/>
      <c r="H2418" s="21"/>
      <c r="I2418" s="21"/>
      <c r="J2418" s="21"/>
      <c r="K2418" s="5" t="str">
        <f>IF(AND(LEN(H2418)=0, LEN(I2418)=0), "", IF(AND(LEN(H2418)&gt;0, LEN(I2418)=0), "BLANCO", IFERROR(VLOOKUP(I2418, BasedatosM9!A:B, 2, FALSE), "BLANCO")))</f>
        <v/>
      </c>
    </row>
    <row r="2419" spans="1:11" ht="14.4">
      <c r="A2419" s="21"/>
      <c r="B2419" s="86"/>
      <c r="C2419" s="98"/>
      <c r="D2419" s="21"/>
      <c r="E2419" s="86"/>
      <c r="F2419" s="99"/>
      <c r="G2419" s="99"/>
      <c r="H2419" s="21"/>
      <c r="I2419" s="86"/>
      <c r="J2419" s="21"/>
      <c r="K2419" s="5" t="str">
        <f>IF(AND(LEN(H2419)=0, LEN(I2419)=0), "", IF(AND(LEN(H2419)&gt;0, LEN(I2419)=0), "BLANCO", IFERROR(VLOOKUP(I2419, BasedatosM9!A:B, 2, FALSE), "BLANCO")))</f>
        <v/>
      </c>
    </row>
    <row r="2420" spans="1:11" ht="14.4">
      <c r="A2420" s="21"/>
      <c r="B2420" s="86"/>
      <c r="C2420" s="98"/>
      <c r="D2420" s="21"/>
      <c r="E2420" s="86"/>
      <c r="F2420" s="99"/>
      <c r="G2420" s="99"/>
      <c r="H2420" s="21"/>
      <c r="I2420" s="86"/>
      <c r="J2420" s="21"/>
      <c r="K2420" s="5" t="str">
        <f>IF(AND(LEN(H2420)=0, LEN(I2420)=0), "", IF(AND(LEN(H2420)&gt;0, LEN(I2420)=0), "BLANCO", IFERROR(VLOOKUP(I2420, BasedatosM9!A:B, 2, FALSE), "BLANCO")))</f>
        <v/>
      </c>
    </row>
    <row r="2421" spans="1:11" ht="14.4">
      <c r="A2421" s="21"/>
      <c r="B2421" s="86"/>
      <c r="C2421" s="98"/>
      <c r="D2421" s="21"/>
      <c r="E2421" s="86"/>
      <c r="F2421" s="99"/>
      <c r="G2421" s="99"/>
      <c r="H2421" s="21"/>
      <c r="I2421" s="86"/>
      <c r="J2421" s="21"/>
      <c r="K2421" s="5" t="str">
        <f>IF(AND(LEN(H2421)=0, LEN(I2421)=0), "", IF(AND(LEN(H2421)&gt;0, LEN(I2421)=0), "BLANCO", IFERROR(VLOOKUP(I2421, BasedatosM9!A:B, 2, FALSE), "BLANCO")))</f>
        <v/>
      </c>
    </row>
    <row r="2422" spans="1:11" ht="14.4">
      <c r="A2422" s="21"/>
      <c r="B2422" s="86"/>
      <c r="C2422" s="98"/>
      <c r="D2422" s="21"/>
      <c r="E2422" s="86"/>
      <c r="F2422" s="99"/>
      <c r="G2422" s="99"/>
      <c r="H2422" s="21"/>
      <c r="I2422" s="21"/>
      <c r="J2422" s="21"/>
      <c r="K2422" s="5" t="str">
        <f>IF(AND(LEN(H2422)=0, LEN(I2422)=0), "", IF(AND(LEN(H2422)&gt;0, LEN(I2422)=0), "BLANCO", IFERROR(VLOOKUP(I2422, BasedatosM9!A:B, 2, FALSE), "BLANCO")))</f>
        <v/>
      </c>
    </row>
    <row r="2423" spans="1:11" ht="14.4">
      <c r="A2423" s="21"/>
      <c r="B2423" s="86"/>
      <c r="C2423" s="98"/>
      <c r="D2423" s="21"/>
      <c r="E2423" s="86"/>
      <c r="F2423" s="99"/>
      <c r="G2423" s="99"/>
      <c r="H2423" s="21"/>
      <c r="I2423" s="86"/>
      <c r="J2423" s="21"/>
      <c r="K2423" s="5" t="str">
        <f>IF(AND(LEN(H2423)=0, LEN(I2423)=0), "", IF(AND(LEN(H2423)&gt;0, LEN(I2423)=0), "BLANCO", IFERROR(VLOOKUP(I2423, BasedatosM9!A:B, 2, FALSE), "BLANCO")))</f>
        <v/>
      </c>
    </row>
    <row r="2424" spans="1:11" ht="14.4">
      <c r="A2424" s="21"/>
      <c r="B2424" s="86"/>
      <c r="C2424" s="98"/>
      <c r="D2424" s="21"/>
      <c r="E2424" s="86"/>
      <c r="F2424" s="99"/>
      <c r="G2424" s="99"/>
      <c r="H2424" s="21"/>
      <c r="I2424" s="21"/>
      <c r="J2424" s="21"/>
      <c r="K2424" s="5" t="str">
        <f>IF(AND(LEN(H2424)=0, LEN(I2424)=0), "", IF(AND(LEN(H2424)&gt;0, LEN(I2424)=0), "BLANCO", IFERROR(VLOOKUP(I2424, BasedatosM9!A:B, 2, FALSE), "BLANCO")))</f>
        <v/>
      </c>
    </row>
    <row r="2425" spans="1:11" ht="14.4">
      <c r="A2425" s="21"/>
      <c r="B2425" s="86"/>
      <c r="C2425" s="98"/>
      <c r="D2425" s="21"/>
      <c r="E2425" s="86"/>
      <c r="F2425" s="99"/>
      <c r="G2425" s="99"/>
      <c r="H2425" s="21"/>
      <c r="I2425" s="86"/>
      <c r="J2425" s="21"/>
      <c r="K2425" s="5" t="str">
        <f>IF(AND(LEN(H2425)=0, LEN(I2425)=0), "", IF(AND(LEN(H2425)&gt;0, LEN(I2425)=0), "BLANCO", IFERROR(VLOOKUP(I2425, BasedatosM9!A:B, 2, FALSE), "BLANCO")))</f>
        <v/>
      </c>
    </row>
    <row r="2426" spans="1:11" ht="14.4">
      <c r="A2426" s="21"/>
      <c r="B2426" s="86"/>
      <c r="C2426" s="98"/>
      <c r="D2426" s="21"/>
      <c r="E2426" s="86"/>
      <c r="F2426" s="99"/>
      <c r="G2426" s="99"/>
      <c r="H2426" s="21"/>
      <c r="I2426" s="21"/>
      <c r="J2426" s="21"/>
      <c r="K2426" s="5" t="str">
        <f>IF(AND(LEN(H2426)=0, LEN(I2426)=0), "", IF(AND(LEN(H2426)&gt;0, LEN(I2426)=0), "BLANCO", IFERROR(VLOOKUP(I2426, BasedatosM9!A:B, 2, FALSE), "BLANCO")))</f>
        <v/>
      </c>
    </row>
    <row r="2427" spans="1:11" ht="14.4">
      <c r="A2427" s="21"/>
      <c r="B2427" s="86"/>
      <c r="C2427" s="98"/>
      <c r="D2427" s="21"/>
      <c r="E2427" s="86"/>
      <c r="F2427" s="99"/>
      <c r="G2427" s="99"/>
      <c r="H2427" s="21"/>
      <c r="I2427" s="21"/>
      <c r="J2427" s="21"/>
      <c r="K2427" s="5" t="str">
        <f>IF(AND(LEN(H2427)=0, LEN(I2427)=0), "", IF(AND(LEN(H2427)&gt;0, LEN(I2427)=0), "BLANCO", IFERROR(VLOOKUP(I2427, BasedatosM9!A:B, 2, FALSE), "BLANCO")))</f>
        <v/>
      </c>
    </row>
    <row r="2428" spans="1:11" ht="14.4">
      <c r="A2428" s="21"/>
      <c r="B2428" s="86"/>
      <c r="C2428" s="98"/>
      <c r="D2428" s="21"/>
      <c r="E2428" s="86"/>
      <c r="F2428" s="99"/>
      <c r="G2428" s="99"/>
      <c r="H2428" s="21"/>
      <c r="I2428" s="21"/>
      <c r="J2428" s="21"/>
      <c r="K2428" s="5" t="str">
        <f>IF(AND(LEN(H2428)=0, LEN(I2428)=0), "", IF(AND(LEN(H2428)&gt;0, LEN(I2428)=0), "BLANCO", IFERROR(VLOOKUP(I2428, BasedatosM9!A:B, 2, FALSE), "BLANCO")))</f>
        <v/>
      </c>
    </row>
    <row r="2429" spans="1:11" ht="14.4">
      <c r="A2429" s="21"/>
      <c r="B2429" s="86"/>
      <c r="C2429" s="98"/>
      <c r="D2429" s="21"/>
      <c r="E2429" s="86"/>
      <c r="F2429" s="99"/>
      <c r="G2429" s="99"/>
      <c r="H2429" s="21"/>
      <c r="I2429" s="21"/>
      <c r="J2429" s="21"/>
      <c r="K2429" s="5" t="str">
        <f>IF(AND(LEN(H2429)=0, LEN(I2429)=0), "", IF(AND(LEN(H2429)&gt;0, LEN(I2429)=0), "BLANCO", IFERROR(VLOOKUP(I2429, BasedatosM9!A:B, 2, FALSE), "BLANCO")))</f>
        <v/>
      </c>
    </row>
    <row r="2430" spans="1:11" ht="14.4">
      <c r="A2430" s="21"/>
      <c r="B2430" s="86"/>
      <c r="C2430" s="98"/>
      <c r="D2430" s="21"/>
      <c r="E2430" s="86"/>
      <c r="F2430" s="99"/>
      <c r="G2430" s="99"/>
      <c r="H2430" s="21"/>
      <c r="I2430" s="21"/>
      <c r="J2430" s="21"/>
      <c r="K2430" s="5" t="str">
        <f>IF(AND(LEN(H2430)=0, LEN(I2430)=0), "", IF(AND(LEN(H2430)&gt;0, LEN(I2430)=0), "BLANCO", IFERROR(VLOOKUP(I2430, BasedatosM9!A:B, 2, FALSE), "BLANCO")))</f>
        <v/>
      </c>
    </row>
    <row r="2431" spans="1:11" ht="14.4">
      <c r="A2431" s="21"/>
      <c r="B2431" s="86"/>
      <c r="C2431" s="98"/>
      <c r="D2431" s="21"/>
      <c r="E2431" s="86"/>
      <c r="F2431" s="99"/>
      <c r="G2431" s="99"/>
      <c r="H2431" s="21"/>
      <c r="I2431" s="21"/>
      <c r="J2431" s="21"/>
      <c r="K2431" s="5" t="str">
        <f>IF(AND(LEN(H2431)=0, LEN(I2431)=0), "", IF(AND(LEN(H2431)&gt;0, LEN(I2431)=0), "BLANCO", IFERROR(VLOOKUP(I2431, BasedatosM9!A:B, 2, FALSE), "BLANCO")))</f>
        <v/>
      </c>
    </row>
    <row r="2432" spans="1:11" ht="14.4">
      <c r="A2432" s="21"/>
      <c r="B2432" s="86"/>
      <c r="C2432" s="98"/>
      <c r="D2432" s="21"/>
      <c r="E2432" s="86"/>
      <c r="F2432" s="99"/>
      <c r="G2432" s="99"/>
      <c r="H2432" s="21"/>
      <c r="I2432" s="86"/>
      <c r="J2432" s="21"/>
      <c r="K2432" s="5" t="str">
        <f>IF(AND(LEN(H2432)=0, LEN(I2432)=0), "", IF(AND(LEN(H2432)&gt;0, LEN(I2432)=0), "BLANCO", IFERROR(VLOOKUP(I2432, BasedatosM9!A:B, 2, FALSE), "BLANCO")))</f>
        <v/>
      </c>
    </row>
    <row r="2433" spans="1:11" ht="14.4">
      <c r="A2433" s="21"/>
      <c r="B2433" s="86"/>
      <c r="C2433" s="98"/>
      <c r="D2433" s="21"/>
      <c r="E2433" s="86"/>
      <c r="F2433" s="99"/>
      <c r="G2433" s="99"/>
      <c r="H2433" s="21"/>
      <c r="I2433" s="21"/>
      <c r="J2433" s="21"/>
      <c r="K2433" s="5" t="str">
        <f>IF(AND(LEN(H2433)=0, LEN(I2433)=0), "", IF(AND(LEN(H2433)&gt;0, LEN(I2433)=0), "BLANCO", IFERROR(VLOOKUP(I2433, BasedatosM9!A:B, 2, FALSE), "BLANCO")))</f>
        <v/>
      </c>
    </row>
    <row r="2434" spans="1:11" ht="14.4">
      <c r="A2434" s="21"/>
      <c r="B2434" s="86"/>
      <c r="C2434" s="98"/>
      <c r="D2434" s="21"/>
      <c r="E2434" s="86"/>
      <c r="F2434" s="99"/>
      <c r="G2434" s="99"/>
      <c r="H2434" s="21"/>
      <c r="I2434" s="21"/>
      <c r="J2434" s="21"/>
      <c r="K2434" s="5" t="str">
        <f>IF(AND(LEN(H2434)=0, LEN(I2434)=0), "", IF(AND(LEN(H2434)&gt;0, LEN(I2434)=0), "BLANCO", IFERROR(VLOOKUP(I2434, BasedatosM9!A:B, 2, FALSE), "BLANCO")))</f>
        <v/>
      </c>
    </row>
    <row r="2435" spans="1:11" ht="14.4">
      <c r="A2435" s="21"/>
      <c r="B2435" s="86"/>
      <c r="C2435" s="98"/>
      <c r="D2435" s="21"/>
      <c r="E2435" s="86"/>
      <c r="F2435" s="99"/>
      <c r="G2435" s="99"/>
      <c r="H2435" s="21"/>
      <c r="I2435" s="21"/>
      <c r="J2435" s="21"/>
      <c r="K2435" s="5" t="str">
        <f>IF(AND(LEN(H2435)=0, LEN(I2435)=0), "", IF(AND(LEN(H2435)&gt;0, LEN(I2435)=0), "BLANCO", IFERROR(VLOOKUP(I2435, BasedatosM9!A:B, 2, FALSE), "BLANCO")))</f>
        <v/>
      </c>
    </row>
    <row r="2436" spans="1:11" ht="14.4">
      <c r="A2436" s="21"/>
      <c r="B2436" s="86"/>
      <c r="C2436" s="98"/>
      <c r="D2436" s="21"/>
      <c r="E2436" s="86"/>
      <c r="F2436" s="99"/>
      <c r="G2436" s="99"/>
      <c r="H2436" s="21"/>
      <c r="I2436" s="86"/>
      <c r="J2436" s="21"/>
      <c r="K2436" s="5" t="str">
        <f>IF(AND(LEN(H2436)=0, LEN(I2436)=0), "", IF(AND(LEN(H2436)&gt;0, LEN(I2436)=0), "BLANCO", IFERROR(VLOOKUP(I2436, BasedatosM9!A:B, 2, FALSE), "BLANCO")))</f>
        <v/>
      </c>
    </row>
    <row r="2437" spans="1:11" ht="14.4">
      <c r="A2437" s="21"/>
      <c r="B2437" s="86"/>
      <c r="C2437" s="98"/>
      <c r="D2437" s="21"/>
      <c r="E2437" s="86"/>
      <c r="F2437" s="99"/>
      <c r="G2437" s="99"/>
      <c r="H2437" s="21"/>
      <c r="I2437" s="86"/>
      <c r="J2437" s="21"/>
      <c r="K2437" s="5" t="str">
        <f>IF(AND(LEN(H2437)=0, LEN(I2437)=0), "", IF(AND(LEN(H2437)&gt;0, LEN(I2437)=0), "BLANCO", IFERROR(VLOOKUP(I2437, BasedatosM9!A:B, 2, FALSE), "BLANCO")))</f>
        <v/>
      </c>
    </row>
    <row r="2438" spans="1:11" ht="14.4">
      <c r="A2438" s="21"/>
      <c r="B2438" s="86"/>
      <c r="C2438" s="98"/>
      <c r="D2438" s="21"/>
      <c r="E2438" s="86"/>
      <c r="F2438" s="99"/>
      <c r="G2438" s="99"/>
      <c r="H2438" s="21"/>
      <c r="I2438" s="21"/>
      <c r="J2438" s="21"/>
      <c r="K2438" s="5" t="str">
        <f>IF(AND(LEN(H2438)=0, LEN(I2438)=0), "", IF(AND(LEN(H2438)&gt;0, LEN(I2438)=0), "BLANCO", IFERROR(VLOOKUP(I2438, BasedatosM9!A:B, 2, FALSE), "BLANCO")))</f>
        <v/>
      </c>
    </row>
    <row r="2439" spans="1:11" ht="14.4">
      <c r="A2439" s="21"/>
      <c r="B2439" s="86"/>
      <c r="C2439" s="98"/>
      <c r="D2439" s="21"/>
      <c r="E2439" s="86"/>
      <c r="F2439" s="99"/>
      <c r="G2439" s="99"/>
      <c r="H2439" s="21"/>
      <c r="I2439" s="21"/>
      <c r="J2439" s="21"/>
      <c r="K2439" s="5" t="str">
        <f>IF(AND(LEN(H2439)=0, LEN(I2439)=0), "", IF(AND(LEN(H2439)&gt;0, LEN(I2439)=0), "BLANCO", IFERROR(VLOOKUP(I2439, BasedatosM9!A:B, 2, FALSE), "BLANCO")))</f>
        <v/>
      </c>
    </row>
    <row r="2440" spans="1:11" ht="14.4">
      <c r="A2440" s="21"/>
      <c r="B2440" s="86"/>
      <c r="C2440" s="98"/>
      <c r="D2440" s="21"/>
      <c r="E2440" s="86"/>
      <c r="F2440" s="99"/>
      <c r="G2440" s="99"/>
      <c r="H2440" s="21"/>
      <c r="I2440" s="21"/>
      <c r="J2440" s="21"/>
      <c r="K2440" s="5" t="str">
        <f>IF(AND(LEN(H2440)=0, LEN(I2440)=0), "", IF(AND(LEN(H2440)&gt;0, LEN(I2440)=0), "BLANCO", IFERROR(VLOOKUP(I2440, BasedatosM9!A:B, 2, FALSE), "BLANCO")))</f>
        <v/>
      </c>
    </row>
    <row r="2441" spans="1:11" ht="14.4">
      <c r="A2441" s="21"/>
      <c r="B2441" s="86"/>
      <c r="C2441" s="98"/>
      <c r="D2441" s="21"/>
      <c r="E2441" s="86"/>
      <c r="F2441" s="99"/>
      <c r="G2441" s="99"/>
      <c r="H2441" s="21"/>
      <c r="I2441" s="21"/>
      <c r="J2441" s="21"/>
      <c r="K2441" s="5" t="str">
        <f>IF(AND(LEN(H2441)=0, LEN(I2441)=0), "", IF(AND(LEN(H2441)&gt;0, LEN(I2441)=0), "BLANCO", IFERROR(VLOOKUP(I2441, BasedatosM9!A:B, 2, FALSE), "BLANCO")))</f>
        <v/>
      </c>
    </row>
    <row r="2442" spans="1:11" ht="14.4">
      <c r="A2442" s="21"/>
      <c r="B2442" s="86"/>
      <c r="C2442" s="98"/>
      <c r="D2442" s="21"/>
      <c r="E2442" s="86"/>
      <c r="F2442" s="99"/>
      <c r="G2442" s="99"/>
      <c r="H2442" s="21"/>
      <c r="I2442" s="21"/>
      <c r="J2442" s="21"/>
      <c r="K2442" s="5" t="str">
        <f>IF(AND(LEN(H2442)=0, LEN(I2442)=0), "", IF(AND(LEN(H2442)&gt;0, LEN(I2442)=0), "BLANCO", IFERROR(VLOOKUP(I2442, BasedatosM9!A:B, 2, FALSE), "BLANCO")))</f>
        <v/>
      </c>
    </row>
    <row r="2443" spans="1:11" ht="14.4">
      <c r="A2443" s="21"/>
      <c r="B2443" s="86"/>
      <c r="C2443" s="98"/>
      <c r="D2443" s="21"/>
      <c r="E2443" s="86"/>
      <c r="F2443" s="99"/>
      <c r="G2443" s="99"/>
      <c r="H2443" s="21"/>
      <c r="I2443" s="21"/>
      <c r="J2443" s="21"/>
      <c r="K2443" s="5" t="str">
        <f>IF(AND(LEN(H2443)=0, LEN(I2443)=0), "", IF(AND(LEN(H2443)&gt;0, LEN(I2443)=0), "BLANCO", IFERROR(VLOOKUP(I2443, BasedatosM9!A:B, 2, FALSE), "BLANCO")))</f>
        <v/>
      </c>
    </row>
    <row r="2444" spans="1:11" ht="14.4">
      <c r="A2444" s="21"/>
      <c r="B2444" s="86"/>
      <c r="C2444" s="98"/>
      <c r="D2444" s="21"/>
      <c r="E2444" s="86"/>
      <c r="F2444" s="99"/>
      <c r="G2444" s="99"/>
      <c r="H2444" s="21"/>
      <c r="I2444" s="21"/>
      <c r="J2444" s="21"/>
      <c r="K2444" s="5" t="str">
        <f>IF(AND(LEN(H2444)=0, LEN(I2444)=0), "", IF(AND(LEN(H2444)&gt;0, LEN(I2444)=0), "BLANCO", IFERROR(VLOOKUP(I2444, BasedatosM9!A:B, 2, FALSE), "BLANCO")))</f>
        <v/>
      </c>
    </row>
    <row r="2445" spans="1:11" ht="14.4">
      <c r="A2445" s="21"/>
      <c r="B2445" s="86"/>
      <c r="C2445" s="98"/>
      <c r="D2445" s="21"/>
      <c r="E2445" s="86"/>
      <c r="F2445" s="99"/>
      <c r="G2445" s="99"/>
      <c r="H2445" s="21"/>
      <c r="I2445" s="21"/>
      <c r="J2445" s="21"/>
      <c r="K2445" s="5" t="str">
        <f>IF(AND(LEN(H2445)=0, LEN(I2445)=0), "", IF(AND(LEN(H2445)&gt;0, LEN(I2445)=0), "BLANCO", IFERROR(VLOOKUP(I2445, BasedatosM9!A:B, 2, FALSE), "BLANCO")))</f>
        <v/>
      </c>
    </row>
    <row r="2446" spans="1:11" ht="14.4">
      <c r="A2446" s="21"/>
      <c r="B2446" s="86"/>
      <c r="C2446" s="98"/>
      <c r="D2446" s="21"/>
      <c r="E2446" s="86"/>
      <c r="F2446" s="99"/>
      <c r="G2446" s="99"/>
      <c r="H2446" s="21"/>
      <c r="I2446" s="21"/>
      <c r="J2446" s="21"/>
      <c r="K2446" s="5" t="str">
        <f>IF(AND(LEN(H2446)=0, LEN(I2446)=0), "", IF(AND(LEN(H2446)&gt;0, LEN(I2446)=0), "BLANCO", IFERROR(VLOOKUP(I2446, BasedatosM9!A:B, 2, FALSE), "BLANCO")))</f>
        <v/>
      </c>
    </row>
    <row r="2447" spans="1:11" ht="14.4">
      <c r="A2447" s="21"/>
      <c r="B2447" s="86"/>
      <c r="C2447" s="98"/>
      <c r="D2447" s="21"/>
      <c r="E2447" s="86"/>
      <c r="F2447" s="99"/>
      <c r="G2447" s="99"/>
      <c r="H2447" s="21"/>
      <c r="I2447" s="21"/>
      <c r="J2447" s="21"/>
      <c r="K2447" s="5" t="str">
        <f>IF(AND(LEN(H2447)=0, LEN(I2447)=0), "", IF(AND(LEN(H2447)&gt;0, LEN(I2447)=0), "BLANCO", IFERROR(VLOOKUP(I2447, BasedatosM9!A:B, 2, FALSE), "BLANCO")))</f>
        <v/>
      </c>
    </row>
    <row r="2448" spans="1:11" ht="14.4">
      <c r="A2448" s="21"/>
      <c r="B2448" s="86"/>
      <c r="C2448" s="98"/>
      <c r="D2448" s="21"/>
      <c r="E2448" s="86"/>
      <c r="F2448" s="99"/>
      <c r="G2448" s="99"/>
      <c r="H2448" s="21"/>
      <c r="I2448" s="21"/>
      <c r="J2448" s="21"/>
      <c r="K2448" s="5" t="str">
        <f>IF(AND(LEN(H2448)=0, LEN(I2448)=0), "", IF(AND(LEN(H2448)&gt;0, LEN(I2448)=0), "BLANCO", IFERROR(VLOOKUP(I2448, BasedatosM9!A:B, 2, FALSE), "BLANCO")))</f>
        <v/>
      </c>
    </row>
    <row r="2449" spans="1:11" ht="14.4">
      <c r="A2449" s="21"/>
      <c r="B2449" s="86"/>
      <c r="C2449" s="98"/>
      <c r="D2449" s="21"/>
      <c r="E2449" s="86"/>
      <c r="F2449" s="99"/>
      <c r="G2449" s="99"/>
      <c r="H2449" s="21"/>
      <c r="I2449" s="21"/>
      <c r="J2449" s="21"/>
      <c r="K2449" s="5" t="str">
        <f>IF(AND(LEN(H2449)=0, LEN(I2449)=0), "", IF(AND(LEN(H2449)&gt;0, LEN(I2449)=0), "BLANCO", IFERROR(VLOOKUP(I2449, BasedatosM9!A:B, 2, FALSE), "BLANCO")))</f>
        <v/>
      </c>
    </row>
    <row r="2450" spans="1:11" ht="14.4">
      <c r="A2450" s="21"/>
      <c r="B2450" s="86"/>
      <c r="C2450" s="98"/>
      <c r="D2450" s="21"/>
      <c r="E2450" s="86"/>
      <c r="F2450" s="99"/>
      <c r="G2450" s="99"/>
      <c r="H2450" s="21"/>
      <c r="I2450" s="21"/>
      <c r="J2450" s="21"/>
      <c r="K2450" s="5" t="str">
        <f>IF(AND(LEN(H2450)=0, LEN(I2450)=0), "", IF(AND(LEN(H2450)&gt;0, LEN(I2450)=0), "BLANCO", IFERROR(VLOOKUP(I2450, BasedatosM9!A:B, 2, FALSE), "BLANCO")))</f>
        <v/>
      </c>
    </row>
    <row r="2451" spans="1:11" ht="14.4">
      <c r="A2451" s="21"/>
      <c r="B2451" s="86"/>
      <c r="C2451" s="98"/>
      <c r="D2451" s="21"/>
      <c r="E2451" s="86"/>
      <c r="F2451" s="99"/>
      <c r="G2451" s="99"/>
      <c r="H2451" s="21"/>
      <c r="I2451" s="21"/>
      <c r="J2451" s="21"/>
      <c r="K2451" s="5" t="str">
        <f>IF(AND(LEN(H2451)=0, LEN(I2451)=0), "", IF(AND(LEN(H2451)&gt;0, LEN(I2451)=0), "BLANCO", IFERROR(VLOOKUP(I2451, BasedatosM9!A:B, 2, FALSE), "BLANCO")))</f>
        <v/>
      </c>
    </row>
    <row r="2452" spans="1:11" ht="14.4">
      <c r="A2452" s="21"/>
      <c r="B2452" s="86"/>
      <c r="C2452" s="98"/>
      <c r="D2452" s="21"/>
      <c r="E2452" s="86"/>
      <c r="F2452" s="99"/>
      <c r="G2452" s="99"/>
      <c r="H2452" s="21"/>
      <c r="I2452" s="86"/>
      <c r="J2452" s="21"/>
      <c r="K2452" s="5" t="str">
        <f>IF(AND(LEN(H2452)=0, LEN(I2452)=0), "", IF(AND(LEN(H2452)&gt;0, LEN(I2452)=0), "BLANCO", IFERROR(VLOOKUP(I2452, BasedatosM9!A:B, 2, FALSE), "BLANCO")))</f>
        <v/>
      </c>
    </row>
    <row r="2453" spans="1:11" ht="14.4">
      <c r="A2453" s="21"/>
      <c r="B2453" s="86"/>
      <c r="C2453" s="98"/>
      <c r="D2453" s="21"/>
      <c r="E2453" s="86"/>
      <c r="F2453" s="99"/>
      <c r="G2453" s="99"/>
      <c r="H2453" s="21"/>
      <c r="I2453" s="86"/>
      <c r="J2453" s="21"/>
      <c r="K2453" s="5" t="str">
        <f>IF(AND(LEN(H2453)=0, LEN(I2453)=0), "", IF(AND(LEN(H2453)&gt;0, LEN(I2453)=0), "BLANCO", IFERROR(VLOOKUP(I2453, BasedatosM9!A:B, 2, FALSE), "BLANCO")))</f>
        <v/>
      </c>
    </row>
    <row r="2454" spans="1:11" ht="14.4">
      <c r="A2454" s="21"/>
      <c r="B2454" s="86"/>
      <c r="C2454" s="98"/>
      <c r="D2454" s="21"/>
      <c r="E2454" s="86"/>
      <c r="F2454" s="99"/>
      <c r="G2454" s="99"/>
      <c r="H2454" s="21"/>
      <c r="I2454" s="21"/>
      <c r="J2454" s="21"/>
      <c r="K2454" s="5" t="str">
        <f>IF(AND(LEN(H2454)=0, LEN(I2454)=0), "", IF(AND(LEN(H2454)&gt;0, LEN(I2454)=0), "BLANCO", IFERROR(VLOOKUP(I2454, BasedatosM9!A:B, 2, FALSE), "BLANCO")))</f>
        <v/>
      </c>
    </row>
    <row r="2455" spans="1:11" ht="14.4">
      <c r="A2455" s="21"/>
      <c r="B2455" s="86"/>
      <c r="C2455" s="98"/>
      <c r="D2455" s="21"/>
      <c r="E2455" s="86"/>
      <c r="F2455" s="99"/>
      <c r="G2455" s="99"/>
      <c r="H2455" s="21"/>
      <c r="I2455" s="21"/>
      <c r="J2455" s="21"/>
      <c r="K2455" s="5" t="str">
        <f>IF(AND(LEN(H2455)=0, LEN(I2455)=0), "", IF(AND(LEN(H2455)&gt;0, LEN(I2455)=0), "BLANCO", IFERROR(VLOOKUP(I2455, BasedatosM9!A:B, 2, FALSE), "BLANCO")))</f>
        <v/>
      </c>
    </row>
    <row r="2456" spans="1:11" ht="14.4">
      <c r="A2456" s="21"/>
      <c r="B2456" s="86"/>
      <c r="C2456" s="98"/>
      <c r="D2456" s="21"/>
      <c r="E2456" s="86"/>
      <c r="F2456" s="99"/>
      <c r="G2456" s="99"/>
      <c r="H2456" s="21"/>
      <c r="I2456" s="86"/>
      <c r="J2456" s="21"/>
      <c r="K2456" s="5" t="str">
        <f>IF(AND(LEN(H2456)=0, LEN(I2456)=0), "", IF(AND(LEN(H2456)&gt;0, LEN(I2456)=0), "BLANCO", IFERROR(VLOOKUP(I2456, BasedatosM9!A:B, 2, FALSE), "BLANCO")))</f>
        <v/>
      </c>
    </row>
    <row r="2457" spans="1:11" ht="14.4">
      <c r="A2457" s="21"/>
      <c r="B2457" s="86"/>
      <c r="C2457" s="98"/>
      <c r="D2457" s="21"/>
      <c r="E2457" s="86"/>
      <c r="F2457" s="99"/>
      <c r="G2457" s="99"/>
      <c r="H2457" s="21"/>
      <c r="I2457" s="86"/>
      <c r="J2457" s="21"/>
      <c r="K2457" s="5" t="str">
        <f>IF(AND(LEN(H2457)=0, LEN(I2457)=0), "", IF(AND(LEN(H2457)&gt;0, LEN(I2457)=0), "BLANCO", IFERROR(VLOOKUP(I2457, BasedatosM9!A:B, 2, FALSE), "BLANCO")))</f>
        <v/>
      </c>
    </row>
    <row r="2458" spans="1:11" ht="14.4">
      <c r="A2458" s="21"/>
      <c r="B2458" s="86"/>
      <c r="C2458" s="98"/>
      <c r="D2458" s="21"/>
      <c r="E2458" s="86"/>
      <c r="F2458" s="99"/>
      <c r="G2458" s="99"/>
      <c r="H2458" s="21"/>
      <c r="I2458" s="86"/>
      <c r="J2458" s="21"/>
      <c r="K2458" s="5" t="str">
        <f>IF(AND(LEN(H2458)=0, LEN(I2458)=0), "", IF(AND(LEN(H2458)&gt;0, LEN(I2458)=0), "BLANCO", IFERROR(VLOOKUP(I2458, BasedatosM9!A:B, 2, FALSE), "BLANCO")))</f>
        <v/>
      </c>
    </row>
    <row r="2459" spans="1:11" ht="14.4">
      <c r="A2459" s="21"/>
      <c r="B2459" s="86"/>
      <c r="C2459" s="98"/>
      <c r="D2459" s="21"/>
      <c r="E2459" s="86"/>
      <c r="F2459" s="99"/>
      <c r="G2459" s="99"/>
      <c r="H2459" s="21"/>
      <c r="I2459" s="21"/>
      <c r="J2459" s="21"/>
      <c r="K2459" s="5" t="str">
        <f>IF(AND(LEN(H2459)=0, LEN(I2459)=0), "", IF(AND(LEN(H2459)&gt;0, LEN(I2459)=0), "BLANCO", IFERROR(VLOOKUP(I2459, BasedatosM9!A:B, 2, FALSE), "BLANCO")))</f>
        <v/>
      </c>
    </row>
    <row r="2460" spans="1:11" ht="14.4">
      <c r="A2460" s="21"/>
      <c r="B2460" s="86"/>
      <c r="C2460" s="98"/>
      <c r="D2460" s="21"/>
      <c r="E2460" s="86"/>
      <c r="F2460" s="99"/>
      <c r="G2460" s="99"/>
      <c r="H2460" s="21"/>
      <c r="I2460" s="21"/>
      <c r="J2460" s="21"/>
      <c r="K2460" s="5" t="str">
        <f>IF(AND(LEN(H2460)=0, LEN(I2460)=0), "", IF(AND(LEN(H2460)&gt;0, LEN(I2460)=0), "BLANCO", IFERROR(VLOOKUP(I2460, BasedatosM9!A:B, 2, FALSE), "BLANCO")))</f>
        <v/>
      </c>
    </row>
    <row r="2461" spans="1:11" ht="14.4">
      <c r="A2461" s="21"/>
      <c r="B2461" s="86"/>
      <c r="C2461" s="98"/>
      <c r="D2461" s="21"/>
      <c r="E2461" s="86"/>
      <c r="F2461" s="99"/>
      <c r="G2461" s="99"/>
      <c r="H2461" s="21"/>
      <c r="I2461" s="86"/>
      <c r="J2461" s="21"/>
      <c r="K2461" s="5" t="str">
        <f>IF(AND(LEN(H2461)=0, LEN(I2461)=0), "", IF(AND(LEN(H2461)&gt;0, LEN(I2461)=0), "BLANCO", IFERROR(VLOOKUP(I2461, BasedatosM9!A:B, 2, FALSE), "BLANCO")))</f>
        <v/>
      </c>
    </row>
    <row r="2462" spans="1:11" ht="14.4">
      <c r="A2462" s="21"/>
      <c r="B2462" s="86"/>
      <c r="C2462" s="98"/>
      <c r="D2462" s="21"/>
      <c r="E2462" s="86"/>
      <c r="F2462" s="99"/>
      <c r="G2462" s="99"/>
      <c r="H2462" s="21"/>
      <c r="I2462" s="21"/>
      <c r="J2462" s="21"/>
      <c r="K2462" s="5" t="str">
        <f>IF(AND(LEN(H2462)=0, LEN(I2462)=0), "", IF(AND(LEN(H2462)&gt;0, LEN(I2462)=0), "BLANCO", IFERROR(VLOOKUP(I2462, BasedatosM9!A:B, 2, FALSE), "BLANCO")))</f>
        <v/>
      </c>
    </row>
    <row r="2463" spans="1:11" ht="14.4">
      <c r="A2463" s="21"/>
      <c r="B2463" s="86"/>
      <c r="C2463" s="98"/>
      <c r="D2463" s="21"/>
      <c r="E2463" s="86"/>
      <c r="F2463" s="99"/>
      <c r="G2463" s="99"/>
      <c r="H2463" s="21"/>
      <c r="I2463" s="86"/>
      <c r="J2463" s="21"/>
      <c r="K2463" s="5" t="str">
        <f>IF(AND(LEN(H2463)=0, LEN(I2463)=0), "", IF(AND(LEN(H2463)&gt;0, LEN(I2463)=0), "BLANCO", IFERROR(VLOOKUP(I2463, BasedatosM9!A:B, 2, FALSE), "BLANCO")))</f>
        <v/>
      </c>
    </row>
    <row r="2464" spans="1:11" ht="14.4">
      <c r="A2464" s="21"/>
      <c r="B2464" s="86"/>
      <c r="C2464" s="98"/>
      <c r="D2464" s="21"/>
      <c r="E2464" s="86"/>
      <c r="F2464" s="99"/>
      <c r="G2464" s="99"/>
      <c r="H2464" s="21"/>
      <c r="I2464" s="21"/>
      <c r="J2464" s="21"/>
      <c r="K2464" s="5" t="str">
        <f>IF(AND(LEN(H2464)=0, LEN(I2464)=0), "", IF(AND(LEN(H2464)&gt;0, LEN(I2464)=0), "BLANCO", IFERROR(VLOOKUP(I2464, BasedatosM9!A:B, 2, FALSE), "BLANCO")))</f>
        <v/>
      </c>
    </row>
    <row r="2465" spans="1:11" ht="14.4">
      <c r="A2465" s="21"/>
      <c r="B2465" s="86"/>
      <c r="C2465" s="98"/>
      <c r="D2465" s="21"/>
      <c r="E2465" s="86"/>
      <c r="F2465" s="99"/>
      <c r="G2465" s="99"/>
      <c r="H2465" s="21"/>
      <c r="I2465" s="86"/>
      <c r="J2465" s="21"/>
      <c r="K2465" s="5" t="str">
        <f>IF(AND(LEN(H2465)=0, LEN(I2465)=0), "", IF(AND(LEN(H2465)&gt;0, LEN(I2465)=0), "BLANCO", IFERROR(VLOOKUP(I2465, BasedatosM9!A:B, 2, FALSE), "BLANCO")))</f>
        <v/>
      </c>
    </row>
    <row r="2466" spans="1:11" ht="14.4">
      <c r="A2466" s="21"/>
      <c r="B2466" s="86"/>
      <c r="C2466" s="98"/>
      <c r="D2466" s="21"/>
      <c r="E2466" s="86"/>
      <c r="F2466" s="99"/>
      <c r="G2466" s="99"/>
      <c r="H2466" s="21"/>
      <c r="I2466" s="86"/>
      <c r="J2466" s="21"/>
      <c r="K2466" s="5" t="str">
        <f>IF(AND(LEN(H2466)=0, LEN(I2466)=0), "", IF(AND(LEN(H2466)&gt;0, LEN(I2466)=0), "BLANCO", IFERROR(VLOOKUP(I2466, BasedatosM9!A:B, 2, FALSE), "BLANCO")))</f>
        <v/>
      </c>
    </row>
    <row r="2467" spans="1:11" ht="14.4">
      <c r="A2467" s="21"/>
      <c r="B2467" s="86"/>
      <c r="C2467" s="98"/>
      <c r="D2467" s="21"/>
      <c r="E2467" s="86"/>
      <c r="F2467" s="99"/>
      <c r="G2467" s="99"/>
      <c r="H2467" s="21"/>
      <c r="I2467" s="86"/>
      <c r="J2467" s="21"/>
      <c r="K2467" s="5" t="str">
        <f>IF(AND(LEN(H2467)=0, LEN(I2467)=0), "", IF(AND(LEN(H2467)&gt;0, LEN(I2467)=0), "BLANCO", IFERROR(VLOOKUP(I2467, BasedatosM9!A:B, 2, FALSE), "BLANCO")))</f>
        <v/>
      </c>
    </row>
    <row r="2468" spans="1:11" ht="14.4">
      <c r="A2468" s="21"/>
      <c r="B2468" s="86"/>
      <c r="C2468" s="98"/>
      <c r="D2468" s="21"/>
      <c r="E2468" s="86"/>
      <c r="F2468" s="99"/>
      <c r="G2468" s="99"/>
      <c r="H2468" s="21"/>
      <c r="I2468" s="86"/>
      <c r="J2468" s="21"/>
      <c r="K2468" s="5" t="str">
        <f>IF(AND(LEN(H2468)=0, LEN(I2468)=0), "", IF(AND(LEN(H2468)&gt;0, LEN(I2468)=0), "BLANCO", IFERROR(VLOOKUP(I2468, BasedatosM9!A:B, 2, FALSE), "BLANCO")))</f>
        <v/>
      </c>
    </row>
    <row r="2469" spans="1:11" ht="14.4">
      <c r="A2469" s="21"/>
      <c r="B2469" s="86"/>
      <c r="C2469" s="98"/>
      <c r="D2469" s="21"/>
      <c r="E2469" s="86"/>
      <c r="F2469" s="99"/>
      <c r="G2469" s="99"/>
      <c r="H2469" s="21"/>
      <c r="I2469" s="86"/>
      <c r="J2469" s="21"/>
      <c r="K2469" s="5" t="str">
        <f>IF(AND(LEN(H2469)=0, LEN(I2469)=0), "", IF(AND(LEN(H2469)&gt;0, LEN(I2469)=0), "BLANCO", IFERROR(VLOOKUP(I2469, BasedatosM9!A:B, 2, FALSE), "BLANCO")))</f>
        <v/>
      </c>
    </row>
    <row r="2470" spans="1:11" ht="14.4">
      <c r="A2470" s="21"/>
      <c r="B2470" s="86"/>
      <c r="C2470" s="98"/>
      <c r="D2470" s="21"/>
      <c r="E2470" s="86"/>
      <c r="F2470" s="99"/>
      <c r="G2470" s="99"/>
      <c r="H2470" s="21"/>
      <c r="I2470" s="86"/>
      <c r="J2470" s="21"/>
      <c r="K2470" s="5" t="str">
        <f>IF(AND(LEN(H2470)=0, LEN(I2470)=0), "", IF(AND(LEN(H2470)&gt;0, LEN(I2470)=0), "BLANCO", IFERROR(VLOOKUP(I2470, BasedatosM9!A:B, 2, FALSE), "BLANCO")))</f>
        <v/>
      </c>
    </row>
    <row r="2471" spans="1:11" ht="14.4">
      <c r="A2471" s="21"/>
      <c r="B2471" s="86"/>
      <c r="C2471" s="98"/>
      <c r="D2471" s="21"/>
      <c r="E2471" s="86"/>
      <c r="F2471" s="99"/>
      <c r="G2471" s="99"/>
      <c r="H2471" s="21"/>
      <c r="I2471" s="86"/>
      <c r="J2471" s="21"/>
      <c r="K2471" s="5" t="str">
        <f>IF(AND(LEN(H2471)=0, LEN(I2471)=0), "", IF(AND(LEN(H2471)&gt;0, LEN(I2471)=0), "BLANCO", IFERROR(VLOOKUP(I2471, BasedatosM9!A:B, 2, FALSE), "BLANCO")))</f>
        <v/>
      </c>
    </row>
    <row r="2472" spans="1:11" ht="14.4">
      <c r="A2472" s="21"/>
      <c r="B2472" s="86"/>
      <c r="C2472" s="98"/>
      <c r="D2472" s="21"/>
      <c r="E2472" s="86"/>
      <c r="F2472" s="99"/>
      <c r="G2472" s="99"/>
      <c r="H2472" s="21"/>
      <c r="I2472" s="21"/>
      <c r="J2472" s="21"/>
      <c r="K2472" s="5" t="str">
        <f>IF(AND(LEN(H2472)=0, LEN(I2472)=0), "", IF(AND(LEN(H2472)&gt;0, LEN(I2472)=0), "BLANCO", IFERROR(VLOOKUP(I2472, BasedatosM9!A:B, 2, FALSE), "BLANCO")))</f>
        <v/>
      </c>
    </row>
    <row r="2473" spans="1:11" ht="14.4">
      <c r="A2473" s="21"/>
      <c r="B2473" s="86"/>
      <c r="C2473" s="98"/>
      <c r="D2473" s="21"/>
      <c r="E2473" s="86"/>
      <c r="F2473" s="99"/>
      <c r="G2473" s="99"/>
      <c r="H2473" s="21"/>
      <c r="I2473" s="86"/>
      <c r="J2473" s="21"/>
      <c r="K2473" s="5" t="str">
        <f>IF(AND(LEN(H2473)=0, LEN(I2473)=0), "", IF(AND(LEN(H2473)&gt;0, LEN(I2473)=0), "BLANCO", IFERROR(VLOOKUP(I2473, BasedatosM9!A:B, 2, FALSE), "BLANCO")))</f>
        <v/>
      </c>
    </row>
    <row r="2474" spans="1:11" ht="14.4">
      <c r="A2474" s="21"/>
      <c r="B2474" s="86"/>
      <c r="C2474" s="98"/>
      <c r="D2474" s="21"/>
      <c r="E2474" s="86"/>
      <c r="F2474" s="99"/>
      <c r="G2474" s="99"/>
      <c r="H2474" s="21"/>
      <c r="I2474" s="86"/>
      <c r="J2474" s="21"/>
      <c r="K2474" s="5" t="str">
        <f>IF(AND(LEN(H2474)=0, LEN(I2474)=0), "", IF(AND(LEN(H2474)&gt;0, LEN(I2474)=0), "BLANCO", IFERROR(VLOOKUP(I2474, BasedatosM9!A:B, 2, FALSE), "BLANCO")))</f>
        <v/>
      </c>
    </row>
    <row r="2475" spans="1:11" ht="14.4">
      <c r="A2475" s="21"/>
      <c r="B2475" s="86"/>
      <c r="C2475" s="98"/>
      <c r="D2475" s="21"/>
      <c r="E2475" s="86"/>
      <c r="F2475" s="99"/>
      <c r="G2475" s="99"/>
      <c r="H2475" s="21"/>
      <c r="I2475" s="86"/>
      <c r="J2475" s="21"/>
      <c r="K2475" s="5" t="str">
        <f>IF(AND(LEN(H2475)=0, LEN(I2475)=0), "", IF(AND(LEN(H2475)&gt;0, LEN(I2475)=0), "BLANCO", IFERROR(VLOOKUP(I2475, BasedatosM9!A:B, 2, FALSE), "BLANCO")))</f>
        <v/>
      </c>
    </row>
    <row r="2476" spans="1:11" ht="14.4">
      <c r="A2476" s="21"/>
      <c r="B2476" s="86"/>
      <c r="C2476" s="98"/>
      <c r="D2476" s="21"/>
      <c r="E2476" s="86"/>
      <c r="F2476" s="99"/>
      <c r="G2476" s="99"/>
      <c r="H2476" s="21"/>
      <c r="I2476" s="86"/>
      <c r="J2476" s="21"/>
      <c r="K2476" s="5" t="str">
        <f>IF(AND(LEN(H2476)=0, LEN(I2476)=0), "", IF(AND(LEN(H2476)&gt;0, LEN(I2476)=0), "BLANCO", IFERROR(VLOOKUP(I2476, BasedatosM9!A:B, 2, FALSE), "BLANCO")))</f>
        <v/>
      </c>
    </row>
    <row r="2477" spans="1:11" ht="14.4">
      <c r="A2477" s="21"/>
      <c r="B2477" s="86"/>
      <c r="C2477" s="98"/>
      <c r="D2477" s="21"/>
      <c r="E2477" s="86"/>
      <c r="F2477" s="99"/>
      <c r="G2477" s="99"/>
      <c r="H2477" s="21"/>
      <c r="I2477" s="86"/>
      <c r="J2477" s="21"/>
      <c r="K2477" s="5" t="str">
        <f>IF(AND(LEN(H2477)=0, LEN(I2477)=0), "", IF(AND(LEN(H2477)&gt;0, LEN(I2477)=0), "BLANCO", IFERROR(VLOOKUP(I2477, BasedatosM9!A:B, 2, FALSE), "BLANCO")))</f>
        <v/>
      </c>
    </row>
    <row r="2478" spans="1:11" ht="14.4">
      <c r="A2478" s="21"/>
      <c r="B2478" s="86"/>
      <c r="C2478" s="98"/>
      <c r="D2478" s="21"/>
      <c r="E2478" s="86"/>
      <c r="F2478" s="99"/>
      <c r="G2478" s="99"/>
      <c r="H2478" s="21"/>
      <c r="I2478" s="86"/>
      <c r="J2478" s="21"/>
      <c r="K2478" s="5" t="str">
        <f>IF(AND(LEN(H2478)=0, LEN(I2478)=0), "", IF(AND(LEN(H2478)&gt;0, LEN(I2478)=0), "BLANCO", IFERROR(VLOOKUP(I2478, BasedatosM9!A:B, 2, FALSE), "BLANCO")))</f>
        <v/>
      </c>
    </row>
    <row r="2479" spans="1:11" ht="14.4">
      <c r="A2479" s="21"/>
      <c r="B2479" s="86"/>
      <c r="C2479" s="98"/>
      <c r="D2479" s="21"/>
      <c r="E2479" s="86"/>
      <c r="F2479" s="99"/>
      <c r="G2479" s="99"/>
      <c r="H2479" s="21"/>
      <c r="I2479" s="86"/>
      <c r="J2479" s="21"/>
      <c r="K2479" s="5" t="str">
        <f>IF(AND(LEN(H2479)=0, LEN(I2479)=0), "", IF(AND(LEN(H2479)&gt;0, LEN(I2479)=0), "BLANCO", IFERROR(VLOOKUP(I2479, BasedatosM9!A:B, 2, FALSE), "BLANCO")))</f>
        <v/>
      </c>
    </row>
    <row r="2480" spans="1:11" ht="14.4">
      <c r="A2480" s="21"/>
      <c r="B2480" s="86"/>
      <c r="C2480" s="98"/>
      <c r="D2480" s="21"/>
      <c r="E2480" s="86"/>
      <c r="F2480" s="99"/>
      <c r="G2480" s="99"/>
      <c r="H2480" s="21"/>
      <c r="I2480" s="86"/>
      <c r="J2480" s="21"/>
      <c r="K2480" s="5" t="str">
        <f>IF(AND(LEN(H2480)=0, LEN(I2480)=0), "", IF(AND(LEN(H2480)&gt;0, LEN(I2480)=0), "BLANCO", IFERROR(VLOOKUP(I2480, BasedatosM9!A:B, 2, FALSE), "BLANCO")))</f>
        <v/>
      </c>
    </row>
    <row r="2481" spans="1:11" ht="14.4">
      <c r="A2481" s="21"/>
      <c r="B2481" s="86"/>
      <c r="C2481" s="98"/>
      <c r="D2481" s="21"/>
      <c r="E2481" s="86"/>
      <c r="F2481" s="99"/>
      <c r="G2481" s="99"/>
      <c r="H2481" s="21"/>
      <c r="I2481" s="86"/>
      <c r="J2481" s="21"/>
      <c r="K2481" s="5" t="str">
        <f>IF(AND(LEN(H2481)=0, LEN(I2481)=0), "", IF(AND(LEN(H2481)&gt;0, LEN(I2481)=0), "BLANCO", IFERROR(VLOOKUP(I2481, BasedatosM9!A:B, 2, FALSE), "BLANCO")))</f>
        <v/>
      </c>
    </row>
    <row r="2482" spans="1:11" ht="14.4">
      <c r="A2482" s="21"/>
      <c r="B2482" s="86"/>
      <c r="C2482" s="98"/>
      <c r="D2482" s="21"/>
      <c r="E2482" s="86"/>
      <c r="F2482" s="99"/>
      <c r="G2482" s="99"/>
      <c r="H2482" s="21"/>
      <c r="I2482" s="86"/>
      <c r="J2482" s="21"/>
      <c r="K2482" s="5" t="str">
        <f>IF(AND(LEN(H2482)=0, LEN(I2482)=0), "", IF(AND(LEN(H2482)&gt;0, LEN(I2482)=0), "BLANCO", IFERROR(VLOOKUP(I2482, BasedatosM9!A:B, 2, FALSE), "BLANCO")))</f>
        <v/>
      </c>
    </row>
    <row r="2483" spans="1:11" ht="14.4">
      <c r="A2483" s="21"/>
      <c r="B2483" s="86"/>
      <c r="C2483" s="98"/>
      <c r="D2483" s="21"/>
      <c r="E2483" s="86"/>
      <c r="F2483" s="99"/>
      <c r="G2483" s="99"/>
      <c r="H2483" s="21"/>
      <c r="I2483" s="21"/>
      <c r="J2483" s="21"/>
      <c r="K2483" s="5" t="str">
        <f>IF(AND(LEN(H2483)=0, LEN(I2483)=0), "", IF(AND(LEN(H2483)&gt;0, LEN(I2483)=0), "BLANCO", IFERROR(VLOOKUP(I2483, BasedatosM9!A:B, 2, FALSE), "BLANCO")))</f>
        <v/>
      </c>
    </row>
    <row r="2484" spans="1:11" ht="14.4">
      <c r="A2484" s="21"/>
      <c r="B2484" s="86"/>
      <c r="C2484" s="98"/>
      <c r="D2484" s="21"/>
      <c r="E2484" s="86"/>
      <c r="F2484" s="99"/>
      <c r="G2484" s="99"/>
      <c r="H2484" s="21"/>
      <c r="I2484" s="86"/>
      <c r="J2484" s="21"/>
      <c r="K2484" s="5" t="str">
        <f>IF(AND(LEN(H2484)=0, LEN(I2484)=0), "", IF(AND(LEN(H2484)&gt;0, LEN(I2484)=0), "BLANCO", IFERROR(VLOOKUP(I2484, BasedatosM9!A:B, 2, FALSE), "BLANCO")))</f>
        <v/>
      </c>
    </row>
    <row r="2485" spans="1:11" ht="14.4">
      <c r="A2485" s="21"/>
      <c r="B2485" s="86"/>
      <c r="C2485" s="98"/>
      <c r="D2485" s="21"/>
      <c r="E2485" s="86"/>
      <c r="F2485" s="99"/>
      <c r="G2485" s="99"/>
      <c r="H2485" s="21"/>
      <c r="I2485" s="21"/>
      <c r="J2485" s="21"/>
      <c r="K2485" s="5" t="str">
        <f>IF(AND(LEN(H2485)=0, LEN(I2485)=0), "", IF(AND(LEN(H2485)&gt;0, LEN(I2485)=0), "BLANCO", IFERROR(VLOOKUP(I2485, BasedatosM9!A:B, 2, FALSE), "BLANCO")))</f>
        <v/>
      </c>
    </row>
    <row r="2486" spans="1:11" ht="14.4">
      <c r="A2486" s="21"/>
      <c r="B2486" s="86"/>
      <c r="C2486" s="98"/>
      <c r="D2486" s="21"/>
      <c r="E2486" s="86"/>
      <c r="F2486" s="99"/>
      <c r="G2486" s="99"/>
      <c r="H2486" s="21"/>
      <c r="I2486" s="21"/>
      <c r="J2486" s="21"/>
      <c r="K2486" s="5" t="str">
        <f>IF(AND(LEN(H2486)=0, LEN(I2486)=0), "", IF(AND(LEN(H2486)&gt;0, LEN(I2486)=0), "BLANCO", IFERROR(VLOOKUP(I2486, BasedatosM9!A:B, 2, FALSE), "BLANCO")))</f>
        <v/>
      </c>
    </row>
    <row r="2487" spans="1:11" ht="14.4">
      <c r="A2487" s="21"/>
      <c r="B2487" s="86"/>
      <c r="C2487" s="98"/>
      <c r="D2487" s="21"/>
      <c r="E2487" s="86"/>
      <c r="F2487" s="99"/>
      <c r="G2487" s="99"/>
      <c r="H2487" s="21"/>
      <c r="I2487" s="21"/>
      <c r="J2487" s="21"/>
      <c r="K2487" s="5" t="str">
        <f>IF(AND(LEN(H2487)=0, LEN(I2487)=0), "", IF(AND(LEN(H2487)&gt;0, LEN(I2487)=0), "BLANCO", IFERROR(VLOOKUP(I2487, BasedatosM9!A:B, 2, FALSE), "BLANCO")))</f>
        <v/>
      </c>
    </row>
    <row r="2488" spans="1:11" ht="14.4">
      <c r="A2488" s="21"/>
      <c r="B2488" s="86"/>
      <c r="C2488" s="98"/>
      <c r="D2488" s="21"/>
      <c r="E2488" s="86"/>
      <c r="F2488" s="99"/>
      <c r="G2488" s="99"/>
      <c r="H2488" s="21"/>
      <c r="I2488" s="86"/>
      <c r="J2488" s="21"/>
      <c r="K2488" s="5" t="str">
        <f>IF(AND(LEN(H2488)=0, LEN(I2488)=0), "", IF(AND(LEN(H2488)&gt;0, LEN(I2488)=0), "BLANCO", IFERROR(VLOOKUP(I2488, BasedatosM9!A:B, 2, FALSE), "BLANCO")))</f>
        <v/>
      </c>
    </row>
    <row r="2489" spans="1:11" ht="14.4">
      <c r="A2489" s="21"/>
      <c r="B2489" s="86"/>
      <c r="C2489" s="98"/>
      <c r="D2489" s="21"/>
      <c r="E2489" s="86"/>
      <c r="F2489" s="99"/>
      <c r="G2489" s="99"/>
      <c r="H2489" s="21"/>
      <c r="I2489" s="86"/>
      <c r="J2489" s="21"/>
      <c r="K2489" s="5" t="str">
        <f>IF(AND(LEN(H2489)=0, LEN(I2489)=0), "", IF(AND(LEN(H2489)&gt;0, LEN(I2489)=0), "BLANCO", IFERROR(VLOOKUP(I2489, BasedatosM9!A:B, 2, FALSE), "BLANCO")))</f>
        <v/>
      </c>
    </row>
    <row r="2490" spans="1:11" ht="14.4">
      <c r="A2490" s="21"/>
      <c r="B2490" s="86"/>
      <c r="C2490" s="98"/>
      <c r="D2490" s="21"/>
      <c r="E2490" s="86"/>
      <c r="F2490" s="99"/>
      <c r="G2490" s="99"/>
      <c r="H2490" s="21"/>
      <c r="I2490" s="21"/>
      <c r="J2490" s="21"/>
      <c r="K2490" s="5" t="str">
        <f>IF(AND(LEN(H2490)=0, LEN(I2490)=0), "", IF(AND(LEN(H2490)&gt;0, LEN(I2490)=0), "BLANCO", IFERROR(VLOOKUP(I2490, BasedatosM9!A:B, 2, FALSE), "BLANCO")))</f>
        <v/>
      </c>
    </row>
    <row r="2491" spans="1:11" ht="14.4">
      <c r="A2491" s="21"/>
      <c r="B2491" s="86"/>
      <c r="C2491" s="98"/>
      <c r="D2491" s="21"/>
      <c r="E2491" s="86"/>
      <c r="F2491" s="99"/>
      <c r="G2491" s="99"/>
      <c r="H2491" s="21"/>
      <c r="I2491" s="86"/>
      <c r="J2491" s="21"/>
      <c r="K2491" s="5" t="str">
        <f>IF(AND(LEN(H2491)=0, LEN(I2491)=0), "", IF(AND(LEN(H2491)&gt;0, LEN(I2491)=0), "BLANCO", IFERROR(VLOOKUP(I2491, BasedatosM9!A:B, 2, FALSE), "BLANCO")))</f>
        <v/>
      </c>
    </row>
    <row r="2492" spans="1:11" ht="14.4">
      <c r="A2492" s="21"/>
      <c r="B2492" s="86"/>
      <c r="C2492" s="98"/>
      <c r="D2492" s="21"/>
      <c r="E2492" s="86"/>
      <c r="F2492" s="99"/>
      <c r="G2492" s="99"/>
      <c r="H2492" s="21"/>
      <c r="I2492" s="21"/>
      <c r="J2492" s="21"/>
      <c r="K2492" s="5" t="str">
        <f>IF(AND(LEN(H2492)=0, LEN(I2492)=0), "", IF(AND(LEN(H2492)&gt;0, LEN(I2492)=0), "BLANCO", IFERROR(VLOOKUP(I2492, BasedatosM9!A:B, 2, FALSE), "BLANCO")))</f>
        <v/>
      </c>
    </row>
    <row r="2493" spans="1:11" ht="14.4">
      <c r="A2493" s="21"/>
      <c r="B2493" s="86"/>
      <c r="C2493" s="98"/>
      <c r="D2493" s="21"/>
      <c r="E2493" s="86"/>
      <c r="F2493" s="99"/>
      <c r="G2493" s="99"/>
      <c r="H2493" s="21"/>
      <c r="I2493" s="21"/>
      <c r="J2493" s="21"/>
      <c r="K2493" s="5" t="str">
        <f>IF(AND(LEN(H2493)=0, LEN(I2493)=0), "", IF(AND(LEN(H2493)&gt;0, LEN(I2493)=0), "BLANCO", IFERROR(VLOOKUP(I2493, BasedatosM9!A:B, 2, FALSE), "BLANCO")))</f>
        <v/>
      </c>
    </row>
    <row r="2494" spans="1:11" ht="14.4">
      <c r="A2494" s="21"/>
      <c r="B2494" s="86"/>
      <c r="C2494" s="98"/>
      <c r="D2494" s="21"/>
      <c r="E2494" s="86"/>
      <c r="F2494" s="99"/>
      <c r="G2494" s="99"/>
      <c r="H2494" s="21"/>
      <c r="I2494" s="86"/>
      <c r="J2494" s="21"/>
      <c r="K2494" s="5" t="str">
        <f>IF(AND(LEN(H2494)=0, LEN(I2494)=0), "", IF(AND(LEN(H2494)&gt;0, LEN(I2494)=0), "BLANCO", IFERROR(VLOOKUP(I2494, BasedatosM9!A:B, 2, FALSE), "BLANCO")))</f>
        <v/>
      </c>
    </row>
    <row r="2495" spans="1:11" ht="14.4">
      <c r="A2495" s="21"/>
      <c r="B2495" s="86"/>
      <c r="C2495" s="98"/>
      <c r="D2495" s="21"/>
      <c r="E2495" s="86"/>
      <c r="F2495" s="99"/>
      <c r="G2495" s="99"/>
      <c r="H2495" s="21"/>
      <c r="I2495" s="21"/>
      <c r="J2495" s="21"/>
      <c r="K2495" s="5" t="str">
        <f>IF(AND(LEN(H2495)=0, LEN(I2495)=0), "", IF(AND(LEN(H2495)&gt;0, LEN(I2495)=0), "BLANCO", IFERROR(VLOOKUP(I2495, BasedatosM9!A:B, 2, FALSE), "BLANCO")))</f>
        <v/>
      </c>
    </row>
    <row r="2496" spans="1:11" ht="14.4">
      <c r="A2496" s="21"/>
      <c r="B2496" s="86"/>
      <c r="C2496" s="98"/>
      <c r="D2496" s="21"/>
      <c r="E2496" s="86"/>
      <c r="F2496" s="99"/>
      <c r="G2496" s="99"/>
      <c r="H2496" s="21"/>
      <c r="I2496" s="21"/>
      <c r="J2496" s="21"/>
      <c r="K2496" s="5" t="str">
        <f>IF(AND(LEN(H2496)=0, LEN(I2496)=0), "", IF(AND(LEN(H2496)&gt;0, LEN(I2496)=0), "BLANCO", IFERROR(VLOOKUP(I2496, BasedatosM9!A:B, 2, FALSE), "BLANCO")))</f>
        <v/>
      </c>
    </row>
    <row r="2497" spans="1:11" ht="14.4">
      <c r="A2497" s="21"/>
      <c r="B2497" s="86"/>
      <c r="C2497" s="98"/>
      <c r="D2497" s="21"/>
      <c r="E2497" s="86"/>
      <c r="F2497" s="99"/>
      <c r="G2497" s="99"/>
      <c r="H2497" s="21"/>
      <c r="I2497" s="21"/>
      <c r="J2497" s="21"/>
      <c r="K2497" s="5" t="str">
        <f>IF(AND(LEN(H2497)=0, LEN(I2497)=0), "", IF(AND(LEN(H2497)&gt;0, LEN(I2497)=0), "BLANCO", IFERROR(VLOOKUP(I2497, BasedatosM9!A:B, 2, FALSE), "BLANCO")))</f>
        <v/>
      </c>
    </row>
    <row r="2498" spans="1:11" ht="14.4">
      <c r="A2498" s="21"/>
      <c r="B2498" s="86"/>
      <c r="C2498" s="98"/>
      <c r="D2498" s="21"/>
      <c r="E2498" s="86"/>
      <c r="F2498" s="99"/>
      <c r="G2498" s="99"/>
      <c r="H2498" s="21"/>
      <c r="I2498" s="86"/>
      <c r="J2498" s="21"/>
      <c r="K2498" s="5" t="str">
        <f>IF(AND(LEN(H2498)=0, LEN(I2498)=0), "", IF(AND(LEN(H2498)&gt;0, LEN(I2498)=0), "BLANCO", IFERROR(VLOOKUP(I2498, BasedatosM9!A:B, 2, FALSE), "BLANCO")))</f>
        <v/>
      </c>
    </row>
    <row r="2499" spans="1:11" ht="14.4">
      <c r="A2499" s="21"/>
      <c r="B2499" s="86"/>
      <c r="C2499" s="98"/>
      <c r="D2499" s="21"/>
      <c r="E2499" s="86"/>
      <c r="F2499" s="99"/>
      <c r="G2499" s="99"/>
      <c r="H2499" s="21"/>
      <c r="I2499" s="86"/>
      <c r="J2499" s="21"/>
      <c r="K2499" s="5" t="str">
        <f>IF(AND(LEN(H2499)=0, LEN(I2499)=0), "", IF(AND(LEN(H2499)&gt;0, LEN(I2499)=0), "BLANCO", IFERROR(VLOOKUP(I2499, BasedatosM9!A:B, 2, FALSE), "BLANCO")))</f>
        <v/>
      </c>
    </row>
    <row r="2500" spans="1:11" ht="14.4">
      <c r="A2500" s="21"/>
      <c r="B2500" s="86"/>
      <c r="C2500" s="98"/>
      <c r="D2500" s="21"/>
      <c r="E2500" s="86"/>
      <c r="F2500" s="99"/>
      <c r="G2500" s="99"/>
      <c r="H2500" s="21"/>
      <c r="I2500" s="86"/>
      <c r="J2500" s="21"/>
      <c r="K2500" s="5" t="str">
        <f>IF(AND(LEN(H2500)=0, LEN(I2500)=0), "", IF(AND(LEN(H2500)&gt;0, LEN(I2500)=0), "BLANCO", IFERROR(VLOOKUP(I2500, BasedatosM9!A:B, 2, FALSE), "BLANCO")))</f>
        <v/>
      </c>
    </row>
    <row r="2501" spans="1:11" ht="14.4">
      <c r="A2501" s="21"/>
      <c r="B2501" s="86"/>
      <c r="C2501" s="98"/>
      <c r="D2501" s="21"/>
      <c r="E2501" s="86"/>
      <c r="F2501" s="99"/>
      <c r="G2501" s="99"/>
      <c r="H2501" s="21"/>
      <c r="I2501" s="86"/>
      <c r="J2501" s="21"/>
      <c r="K2501" s="5" t="str">
        <f>IF(AND(LEN(H2501)=0, LEN(I2501)=0), "", IF(AND(LEN(H2501)&gt;0, LEN(I2501)=0), "BLANCO", IFERROR(VLOOKUP(I2501, BasedatosM9!A:B, 2, FALSE), "BLANCO")))</f>
        <v/>
      </c>
    </row>
    <row r="2502" spans="1:11" ht="14.4">
      <c r="A2502" s="21"/>
      <c r="B2502" s="86"/>
      <c r="C2502" s="98"/>
      <c r="D2502" s="21"/>
      <c r="E2502" s="86"/>
      <c r="F2502" s="99"/>
      <c r="G2502" s="99"/>
      <c r="H2502" s="21"/>
      <c r="I2502" s="21"/>
      <c r="J2502" s="21"/>
      <c r="K2502" s="5" t="str">
        <f>IF(AND(LEN(H2502)=0, LEN(I2502)=0), "", IF(AND(LEN(H2502)&gt;0, LEN(I2502)=0), "BLANCO", IFERROR(VLOOKUP(I2502, BasedatosM9!A:B, 2, FALSE), "BLANCO")))</f>
        <v/>
      </c>
    </row>
    <row r="2503" spans="1:11" ht="14.4">
      <c r="A2503" s="21"/>
      <c r="B2503" s="86"/>
      <c r="C2503" s="98"/>
      <c r="D2503" s="21"/>
      <c r="E2503" s="86"/>
      <c r="F2503" s="99"/>
      <c r="G2503" s="99"/>
      <c r="H2503" s="21"/>
      <c r="I2503" s="21"/>
      <c r="J2503" s="21"/>
      <c r="K2503" s="5" t="str">
        <f>IF(AND(LEN(H2503)=0, LEN(I2503)=0), "", IF(AND(LEN(H2503)&gt;0, LEN(I2503)=0), "BLANCO", IFERROR(VLOOKUP(I2503, BasedatosM9!A:B, 2, FALSE), "BLANCO")))</f>
        <v/>
      </c>
    </row>
    <row r="2504" spans="1:11" ht="14.4">
      <c r="A2504" s="21"/>
      <c r="B2504" s="86"/>
      <c r="C2504" s="98"/>
      <c r="D2504" s="21"/>
      <c r="E2504" s="86"/>
      <c r="F2504" s="99"/>
      <c r="G2504" s="99"/>
      <c r="H2504" s="21"/>
      <c r="I2504" s="86"/>
      <c r="J2504" s="21"/>
      <c r="K2504" s="5" t="str">
        <f>IF(AND(LEN(H2504)=0, LEN(I2504)=0), "", IF(AND(LEN(H2504)&gt;0, LEN(I2504)=0), "BLANCO", IFERROR(VLOOKUP(I2504, BasedatosM9!A:B, 2, FALSE), "BLANCO")))</f>
        <v/>
      </c>
    </row>
    <row r="2505" spans="1:11" ht="14.4">
      <c r="A2505" s="21"/>
      <c r="B2505" s="86"/>
      <c r="C2505" s="98"/>
      <c r="D2505" s="21"/>
      <c r="E2505" s="86"/>
      <c r="F2505" s="99"/>
      <c r="G2505" s="99"/>
      <c r="H2505" s="21"/>
      <c r="I2505" s="21"/>
      <c r="J2505" s="21"/>
      <c r="K2505" s="5" t="str">
        <f>IF(AND(LEN(H2505)=0, LEN(I2505)=0), "", IF(AND(LEN(H2505)&gt;0, LEN(I2505)=0), "BLANCO", IFERROR(VLOOKUP(I2505, BasedatosM9!A:B, 2, FALSE), "BLANCO")))</f>
        <v/>
      </c>
    </row>
    <row r="2506" spans="1:11" ht="14.4">
      <c r="A2506" s="21"/>
      <c r="B2506" s="86"/>
      <c r="C2506" s="98"/>
      <c r="D2506" s="21"/>
      <c r="E2506" s="86"/>
      <c r="F2506" s="99"/>
      <c r="G2506" s="99"/>
      <c r="H2506" s="21"/>
      <c r="I2506" s="21"/>
      <c r="J2506" s="21"/>
      <c r="K2506" s="5" t="str">
        <f>IF(AND(LEN(H2506)=0, LEN(I2506)=0), "", IF(AND(LEN(H2506)&gt;0, LEN(I2506)=0), "BLANCO", IFERROR(VLOOKUP(I2506, BasedatosM9!A:B, 2, FALSE), "BLANCO")))</f>
        <v/>
      </c>
    </row>
    <row r="2507" spans="1:11" ht="14.4">
      <c r="A2507" s="21"/>
      <c r="B2507" s="86"/>
      <c r="C2507" s="98"/>
      <c r="D2507" s="21"/>
      <c r="E2507" s="86"/>
      <c r="F2507" s="99"/>
      <c r="G2507" s="99"/>
      <c r="H2507" s="21"/>
      <c r="I2507" s="21"/>
      <c r="J2507" s="21"/>
      <c r="K2507" s="5" t="str">
        <f>IF(AND(LEN(H2507)=0, LEN(I2507)=0), "", IF(AND(LEN(H2507)&gt;0, LEN(I2507)=0), "BLANCO", IFERROR(VLOOKUP(I2507, BasedatosM9!A:B, 2, FALSE), "BLANCO")))</f>
        <v/>
      </c>
    </row>
    <row r="2508" spans="1:11" ht="14.4">
      <c r="A2508" s="21"/>
      <c r="B2508" s="86"/>
      <c r="C2508" s="98"/>
      <c r="D2508" s="21"/>
      <c r="E2508" s="86"/>
      <c r="F2508" s="99"/>
      <c r="G2508" s="99"/>
      <c r="H2508" s="21"/>
      <c r="I2508" s="21"/>
      <c r="J2508" s="21"/>
      <c r="K2508" s="5" t="str">
        <f>IF(AND(LEN(H2508)=0, LEN(I2508)=0), "", IF(AND(LEN(H2508)&gt;0, LEN(I2508)=0), "BLANCO", IFERROR(VLOOKUP(I2508, BasedatosM9!A:B, 2, FALSE), "BLANCO")))</f>
        <v/>
      </c>
    </row>
    <row r="2509" spans="1:11" ht="14.4">
      <c r="A2509" s="21"/>
      <c r="B2509" s="86"/>
      <c r="C2509" s="98"/>
      <c r="D2509" s="21"/>
      <c r="E2509" s="86"/>
      <c r="F2509" s="99"/>
      <c r="G2509" s="99"/>
      <c r="H2509" s="21"/>
      <c r="I2509" s="21"/>
      <c r="J2509" s="21"/>
      <c r="K2509" s="5" t="str">
        <f>IF(AND(LEN(H2509)=0, LEN(I2509)=0), "", IF(AND(LEN(H2509)&gt;0, LEN(I2509)=0), "BLANCO", IFERROR(VLOOKUP(I2509, BasedatosM9!A:B, 2, FALSE), "BLANCO")))</f>
        <v/>
      </c>
    </row>
    <row r="2510" spans="1:11" ht="14.4">
      <c r="A2510" s="21"/>
      <c r="B2510" s="86"/>
      <c r="C2510" s="98"/>
      <c r="D2510" s="21"/>
      <c r="E2510" s="86"/>
      <c r="F2510" s="99"/>
      <c r="G2510" s="99"/>
      <c r="H2510" s="21"/>
      <c r="I2510" s="86"/>
      <c r="J2510" s="21"/>
      <c r="K2510" s="5" t="str">
        <f>IF(AND(LEN(H2510)=0, LEN(I2510)=0), "", IF(AND(LEN(H2510)&gt;0, LEN(I2510)=0), "BLANCO", IFERROR(VLOOKUP(I2510, BasedatosM9!A:B, 2, FALSE), "BLANCO")))</f>
        <v/>
      </c>
    </row>
    <row r="2511" spans="1:11" ht="14.4">
      <c r="A2511" s="21"/>
      <c r="B2511" s="86"/>
      <c r="C2511" s="98"/>
      <c r="D2511" s="21"/>
      <c r="E2511" s="86"/>
      <c r="F2511" s="99"/>
      <c r="G2511" s="99"/>
      <c r="H2511" s="21"/>
      <c r="I2511" s="86"/>
      <c r="J2511" s="21"/>
      <c r="K2511" s="5" t="str">
        <f>IF(AND(LEN(H2511)=0, LEN(I2511)=0), "", IF(AND(LEN(H2511)&gt;0, LEN(I2511)=0), "BLANCO", IFERROR(VLOOKUP(I2511, BasedatosM9!A:B, 2, FALSE), "BLANCO")))</f>
        <v/>
      </c>
    </row>
    <row r="2512" spans="1:11" ht="14.4">
      <c r="A2512" s="21"/>
      <c r="B2512" s="86"/>
      <c r="C2512" s="98"/>
      <c r="D2512" s="21"/>
      <c r="E2512" s="86"/>
      <c r="F2512" s="99"/>
      <c r="G2512" s="99"/>
      <c r="H2512" s="21"/>
      <c r="I2512" s="86"/>
      <c r="J2512" s="21"/>
      <c r="K2512" s="5" t="str">
        <f>IF(AND(LEN(H2512)=0, LEN(I2512)=0), "", IF(AND(LEN(H2512)&gt;0, LEN(I2512)=0), "BLANCO", IFERROR(VLOOKUP(I2512, BasedatosM9!A:B, 2, FALSE), "BLANCO")))</f>
        <v/>
      </c>
    </row>
    <row r="2513" spans="1:11" ht="14.4">
      <c r="A2513" s="21"/>
      <c r="B2513" s="86"/>
      <c r="C2513" s="98"/>
      <c r="D2513" s="21"/>
      <c r="E2513" s="86"/>
      <c r="F2513" s="99"/>
      <c r="G2513" s="99"/>
      <c r="H2513" s="21"/>
      <c r="I2513" s="21"/>
      <c r="J2513" s="21"/>
      <c r="K2513" s="5" t="str">
        <f>IF(AND(LEN(H2513)=0, LEN(I2513)=0), "", IF(AND(LEN(H2513)&gt;0, LEN(I2513)=0), "BLANCO", IFERROR(VLOOKUP(I2513, BasedatosM9!A:B, 2, FALSE), "BLANCO")))</f>
        <v/>
      </c>
    </row>
    <row r="2514" spans="1:11" ht="14.4">
      <c r="A2514" s="21"/>
      <c r="B2514" s="86"/>
      <c r="C2514" s="98"/>
      <c r="D2514" s="21"/>
      <c r="E2514" s="86"/>
      <c r="F2514" s="99"/>
      <c r="G2514" s="99"/>
      <c r="H2514" s="21"/>
      <c r="I2514" s="86"/>
      <c r="J2514" s="21"/>
      <c r="K2514" s="5" t="str">
        <f>IF(AND(LEN(H2514)=0, LEN(I2514)=0), "", IF(AND(LEN(H2514)&gt;0, LEN(I2514)=0), "BLANCO", IFERROR(VLOOKUP(I2514, BasedatosM9!A:B, 2, FALSE), "BLANCO")))</f>
        <v/>
      </c>
    </row>
    <row r="2515" spans="1:11" ht="14.4">
      <c r="A2515" s="21"/>
      <c r="B2515" s="86"/>
      <c r="C2515" s="98"/>
      <c r="D2515" s="21"/>
      <c r="E2515" s="86"/>
      <c r="F2515" s="99"/>
      <c r="G2515" s="99"/>
      <c r="H2515" s="21"/>
      <c r="I2515" s="21"/>
      <c r="J2515" s="21"/>
      <c r="K2515" s="5" t="str">
        <f>IF(AND(LEN(H2515)=0, LEN(I2515)=0), "", IF(AND(LEN(H2515)&gt;0, LEN(I2515)=0), "BLANCO", IFERROR(VLOOKUP(I2515, BasedatosM9!A:B, 2, FALSE), "BLANCO")))</f>
        <v/>
      </c>
    </row>
    <row r="2516" spans="1:11" ht="14.4">
      <c r="A2516" s="21"/>
      <c r="B2516" s="86"/>
      <c r="C2516" s="98"/>
      <c r="D2516" s="21"/>
      <c r="E2516" s="86"/>
      <c r="F2516" s="99"/>
      <c r="G2516" s="99"/>
      <c r="H2516" s="21"/>
      <c r="I2516" s="86"/>
      <c r="J2516" s="21"/>
      <c r="K2516" s="5" t="str">
        <f>IF(AND(LEN(H2516)=0, LEN(I2516)=0), "", IF(AND(LEN(H2516)&gt;0, LEN(I2516)=0), "BLANCO", IFERROR(VLOOKUP(I2516, BasedatosM9!A:B, 2, FALSE), "BLANCO")))</f>
        <v/>
      </c>
    </row>
    <row r="2517" spans="1:11" ht="14.4">
      <c r="A2517" s="21"/>
      <c r="B2517" s="86"/>
      <c r="C2517" s="98"/>
      <c r="D2517" s="21"/>
      <c r="E2517" s="86"/>
      <c r="F2517" s="99"/>
      <c r="G2517" s="99"/>
      <c r="H2517" s="21"/>
      <c r="I2517" s="86"/>
      <c r="J2517" s="21"/>
      <c r="K2517" s="5" t="str">
        <f>IF(AND(LEN(H2517)=0, LEN(I2517)=0), "", IF(AND(LEN(H2517)&gt;0, LEN(I2517)=0), "BLANCO", IFERROR(VLOOKUP(I2517, BasedatosM9!A:B, 2, FALSE), "BLANCO")))</f>
        <v/>
      </c>
    </row>
    <row r="2518" spans="1:11" ht="14.4">
      <c r="A2518" s="21"/>
      <c r="B2518" s="86"/>
      <c r="C2518" s="98"/>
      <c r="D2518" s="21"/>
      <c r="E2518" s="86"/>
      <c r="F2518" s="99"/>
      <c r="G2518" s="99"/>
      <c r="H2518" s="21"/>
      <c r="I2518" s="86"/>
      <c r="J2518" s="21"/>
      <c r="K2518" s="5" t="str">
        <f>IF(AND(LEN(H2518)=0, LEN(I2518)=0), "", IF(AND(LEN(H2518)&gt;0, LEN(I2518)=0), "BLANCO", IFERROR(VLOOKUP(I2518, BasedatosM9!A:B, 2, FALSE), "BLANCO")))</f>
        <v/>
      </c>
    </row>
    <row r="2519" spans="1:11" ht="14.4">
      <c r="A2519" s="21"/>
      <c r="B2519" s="86"/>
      <c r="C2519" s="98"/>
      <c r="D2519" s="21"/>
      <c r="E2519" s="86"/>
      <c r="F2519" s="99"/>
      <c r="G2519" s="99"/>
      <c r="H2519" s="21"/>
      <c r="I2519" s="86"/>
      <c r="J2519" s="21"/>
      <c r="K2519" s="5" t="str">
        <f>IF(AND(LEN(H2519)=0, LEN(I2519)=0), "", IF(AND(LEN(H2519)&gt;0, LEN(I2519)=0), "BLANCO", IFERROR(VLOOKUP(I2519, BasedatosM9!A:B, 2, FALSE), "BLANCO")))</f>
        <v/>
      </c>
    </row>
    <row r="2520" spans="1:11" ht="14.4">
      <c r="A2520" s="21"/>
      <c r="B2520" s="86"/>
      <c r="C2520" s="98"/>
      <c r="D2520" s="21"/>
      <c r="E2520" s="86"/>
      <c r="F2520" s="99"/>
      <c r="G2520" s="99"/>
      <c r="H2520" s="21"/>
      <c r="I2520" s="86"/>
      <c r="J2520" s="21"/>
      <c r="K2520" s="5" t="str">
        <f>IF(AND(LEN(H2520)=0, LEN(I2520)=0), "", IF(AND(LEN(H2520)&gt;0, LEN(I2520)=0), "BLANCO", IFERROR(VLOOKUP(I2520, BasedatosM9!A:B, 2, FALSE), "BLANCO")))</f>
        <v/>
      </c>
    </row>
    <row r="2521" spans="1:11" ht="14.4">
      <c r="A2521" s="21"/>
      <c r="B2521" s="86"/>
      <c r="C2521" s="98"/>
      <c r="D2521" s="21"/>
      <c r="E2521" s="86"/>
      <c r="F2521" s="99"/>
      <c r="G2521" s="99"/>
      <c r="H2521" s="21"/>
      <c r="I2521" s="86"/>
      <c r="J2521" s="21"/>
      <c r="K2521" s="5" t="str">
        <f>IF(AND(LEN(H2521)=0, LEN(I2521)=0), "", IF(AND(LEN(H2521)&gt;0, LEN(I2521)=0), "BLANCO", IFERROR(VLOOKUP(I2521, BasedatosM9!A:B, 2, FALSE), "BLANCO")))</f>
        <v/>
      </c>
    </row>
    <row r="2522" spans="1:11" ht="14.4">
      <c r="A2522" s="21"/>
      <c r="B2522" s="86"/>
      <c r="C2522" s="98"/>
      <c r="D2522" s="21"/>
      <c r="E2522" s="86"/>
      <c r="F2522" s="99"/>
      <c r="G2522" s="99"/>
      <c r="H2522" s="21"/>
      <c r="I2522" s="86"/>
      <c r="J2522" s="21"/>
      <c r="K2522" s="5" t="str">
        <f>IF(AND(LEN(H2522)=0, LEN(I2522)=0), "", IF(AND(LEN(H2522)&gt;0, LEN(I2522)=0), "BLANCO", IFERROR(VLOOKUP(I2522, BasedatosM9!A:B, 2, FALSE), "BLANCO")))</f>
        <v/>
      </c>
    </row>
    <row r="2523" spans="1:11" ht="14.4">
      <c r="A2523" s="21"/>
      <c r="B2523" s="86"/>
      <c r="C2523" s="98"/>
      <c r="D2523" s="21"/>
      <c r="E2523" s="86"/>
      <c r="F2523" s="99"/>
      <c r="G2523" s="99"/>
      <c r="H2523" s="21"/>
      <c r="I2523" s="86"/>
      <c r="J2523" s="21"/>
      <c r="K2523" s="5" t="str">
        <f>IF(AND(LEN(H2523)=0, LEN(I2523)=0), "", IF(AND(LEN(H2523)&gt;0, LEN(I2523)=0), "BLANCO", IFERROR(VLOOKUP(I2523, BasedatosM9!A:B, 2, FALSE), "BLANCO")))</f>
        <v/>
      </c>
    </row>
    <row r="2524" spans="1:11" ht="14.4">
      <c r="A2524" s="21"/>
      <c r="B2524" s="86"/>
      <c r="C2524" s="98"/>
      <c r="D2524" s="21"/>
      <c r="E2524" s="86"/>
      <c r="F2524" s="99"/>
      <c r="G2524" s="99"/>
      <c r="H2524" s="21"/>
      <c r="I2524" s="86"/>
      <c r="J2524" s="21"/>
      <c r="K2524" s="5" t="str">
        <f>IF(AND(LEN(H2524)=0, LEN(I2524)=0), "", IF(AND(LEN(H2524)&gt;0, LEN(I2524)=0), "BLANCO", IFERROR(VLOOKUP(I2524, BasedatosM9!A:B, 2, FALSE), "BLANCO")))</f>
        <v/>
      </c>
    </row>
    <row r="2525" spans="1:11" ht="14.4">
      <c r="A2525" s="21"/>
      <c r="B2525" s="86"/>
      <c r="C2525" s="98"/>
      <c r="D2525" s="21"/>
      <c r="E2525" s="86"/>
      <c r="F2525" s="99"/>
      <c r="G2525" s="99"/>
      <c r="H2525" s="21"/>
      <c r="I2525" s="86"/>
      <c r="J2525" s="21"/>
      <c r="K2525" s="5" t="str">
        <f>IF(AND(LEN(H2525)=0, LEN(I2525)=0), "", IF(AND(LEN(H2525)&gt;0, LEN(I2525)=0), "BLANCO", IFERROR(VLOOKUP(I2525, BasedatosM9!A:B, 2, FALSE), "BLANCO")))</f>
        <v/>
      </c>
    </row>
    <row r="2526" spans="1:11" ht="14.4">
      <c r="A2526" s="21"/>
      <c r="B2526" s="86"/>
      <c r="C2526" s="98"/>
      <c r="D2526" s="21"/>
      <c r="E2526" s="86"/>
      <c r="F2526" s="99"/>
      <c r="G2526" s="99"/>
      <c r="H2526" s="21"/>
      <c r="I2526" s="86"/>
      <c r="J2526" s="21"/>
      <c r="K2526" s="5" t="str">
        <f>IF(AND(LEN(H2526)=0, LEN(I2526)=0), "", IF(AND(LEN(H2526)&gt;0, LEN(I2526)=0), "BLANCO", IFERROR(VLOOKUP(I2526, BasedatosM9!A:B, 2, FALSE), "BLANCO")))</f>
        <v/>
      </c>
    </row>
    <row r="2527" spans="1:11" ht="14.4">
      <c r="A2527" s="21"/>
      <c r="B2527" s="86"/>
      <c r="C2527" s="98"/>
      <c r="D2527" s="21"/>
      <c r="E2527" s="86"/>
      <c r="F2527" s="99"/>
      <c r="G2527" s="99"/>
      <c r="H2527" s="21"/>
      <c r="I2527" s="21"/>
      <c r="J2527" s="21"/>
      <c r="K2527" s="5" t="str">
        <f>IF(AND(LEN(H2527)=0, LEN(I2527)=0), "", IF(AND(LEN(H2527)&gt;0, LEN(I2527)=0), "BLANCO", IFERROR(VLOOKUP(I2527, BasedatosM9!A:B, 2, FALSE), "BLANCO")))</f>
        <v/>
      </c>
    </row>
    <row r="2528" spans="1:11" ht="14.4">
      <c r="A2528" s="21"/>
      <c r="B2528" s="86"/>
      <c r="C2528" s="98"/>
      <c r="D2528" s="21"/>
      <c r="E2528" s="86"/>
      <c r="F2528" s="99"/>
      <c r="G2528" s="99"/>
      <c r="H2528" s="21"/>
      <c r="I2528" s="86"/>
      <c r="J2528" s="21"/>
      <c r="K2528" s="5" t="str">
        <f>IF(AND(LEN(H2528)=0, LEN(I2528)=0), "", IF(AND(LEN(H2528)&gt;0, LEN(I2528)=0), "BLANCO", IFERROR(VLOOKUP(I2528, BasedatosM9!A:B, 2, FALSE), "BLANCO")))</f>
        <v/>
      </c>
    </row>
    <row r="2529" spans="1:11" ht="14.4">
      <c r="A2529" s="21"/>
      <c r="B2529" s="86"/>
      <c r="C2529" s="98"/>
      <c r="D2529" s="21"/>
      <c r="E2529" s="86"/>
      <c r="F2529" s="99"/>
      <c r="G2529" s="99"/>
      <c r="H2529" s="21"/>
      <c r="I2529" s="86"/>
      <c r="J2529" s="21"/>
      <c r="K2529" s="5" t="str">
        <f>IF(AND(LEN(H2529)=0, LEN(I2529)=0), "", IF(AND(LEN(H2529)&gt;0, LEN(I2529)=0), "BLANCO", IFERROR(VLOOKUP(I2529, BasedatosM9!A:B, 2, FALSE), "BLANCO")))</f>
        <v/>
      </c>
    </row>
    <row r="2530" spans="1:11" ht="14.4">
      <c r="A2530" s="21"/>
      <c r="B2530" s="86"/>
      <c r="C2530" s="98"/>
      <c r="D2530" s="21"/>
      <c r="E2530" s="86"/>
      <c r="F2530" s="99"/>
      <c r="G2530" s="99"/>
      <c r="H2530" s="21"/>
      <c r="I2530" s="21"/>
      <c r="J2530" s="21"/>
      <c r="K2530" s="5" t="str">
        <f>IF(AND(LEN(H2530)=0, LEN(I2530)=0), "", IF(AND(LEN(H2530)&gt;0, LEN(I2530)=0), "BLANCO", IFERROR(VLOOKUP(I2530, BasedatosM9!A:B, 2, FALSE), "BLANCO")))</f>
        <v/>
      </c>
    </row>
    <row r="2531" spans="1:11" ht="14.4">
      <c r="A2531" s="21"/>
      <c r="B2531" s="86"/>
      <c r="C2531" s="98"/>
      <c r="D2531" s="21"/>
      <c r="E2531" s="86"/>
      <c r="F2531" s="99"/>
      <c r="G2531" s="99"/>
      <c r="H2531" s="21"/>
      <c r="I2531" s="21"/>
      <c r="J2531" s="21"/>
      <c r="K2531" s="5" t="str">
        <f>IF(AND(LEN(H2531)=0, LEN(I2531)=0), "", IF(AND(LEN(H2531)&gt;0, LEN(I2531)=0), "BLANCO", IFERROR(VLOOKUP(I2531, BasedatosM9!A:B, 2, FALSE), "BLANCO")))</f>
        <v/>
      </c>
    </row>
    <row r="2532" spans="1:11" ht="14.4">
      <c r="A2532" s="21"/>
      <c r="B2532" s="86"/>
      <c r="C2532" s="98"/>
      <c r="D2532" s="21"/>
      <c r="E2532" s="86"/>
      <c r="F2532" s="99"/>
      <c r="G2532" s="99"/>
      <c r="H2532" s="21"/>
      <c r="I2532" s="86"/>
      <c r="J2532" s="21"/>
      <c r="K2532" s="5" t="str">
        <f>IF(AND(LEN(H2532)=0, LEN(I2532)=0), "", IF(AND(LEN(H2532)&gt;0, LEN(I2532)=0), "BLANCO", IFERROR(VLOOKUP(I2532, BasedatosM9!A:B, 2, FALSE), "BLANCO")))</f>
        <v/>
      </c>
    </row>
    <row r="2533" spans="1:11" ht="14.4">
      <c r="A2533" s="21"/>
      <c r="B2533" s="86"/>
      <c r="C2533" s="98"/>
      <c r="D2533" s="21"/>
      <c r="E2533" s="86"/>
      <c r="F2533" s="99"/>
      <c r="G2533" s="99"/>
      <c r="H2533" s="21"/>
      <c r="I2533" s="86"/>
      <c r="J2533" s="21"/>
      <c r="K2533" s="5" t="str">
        <f>IF(AND(LEN(H2533)=0, LEN(I2533)=0), "", IF(AND(LEN(H2533)&gt;0, LEN(I2533)=0), "BLANCO", IFERROR(VLOOKUP(I2533, BasedatosM9!A:B, 2, FALSE), "BLANCO")))</f>
        <v/>
      </c>
    </row>
    <row r="2534" spans="1:11" ht="14.4">
      <c r="A2534" s="21"/>
      <c r="B2534" s="86"/>
      <c r="C2534" s="98"/>
      <c r="D2534" s="21"/>
      <c r="E2534" s="86"/>
      <c r="F2534" s="99"/>
      <c r="G2534" s="99"/>
      <c r="H2534" s="21"/>
      <c r="I2534" s="21"/>
      <c r="J2534" s="21"/>
      <c r="K2534" s="5" t="str">
        <f>IF(AND(LEN(H2534)=0, LEN(I2534)=0), "", IF(AND(LEN(H2534)&gt;0, LEN(I2534)=0), "BLANCO", IFERROR(VLOOKUP(I2534, BasedatosM9!A:B, 2, FALSE), "BLANCO")))</f>
        <v/>
      </c>
    </row>
    <row r="2535" spans="1:11" ht="14.4">
      <c r="A2535" s="21"/>
      <c r="B2535" s="86"/>
      <c r="C2535" s="98"/>
      <c r="D2535" s="21"/>
      <c r="E2535" s="86"/>
      <c r="F2535" s="99"/>
      <c r="G2535" s="99"/>
      <c r="H2535" s="21"/>
      <c r="I2535" s="21"/>
      <c r="J2535" s="21"/>
      <c r="K2535" s="5" t="str">
        <f>IF(AND(LEN(H2535)=0, LEN(I2535)=0), "", IF(AND(LEN(H2535)&gt;0, LEN(I2535)=0), "BLANCO", IFERROR(VLOOKUP(I2535, BasedatosM9!A:B, 2, FALSE), "BLANCO")))</f>
        <v/>
      </c>
    </row>
    <row r="2536" spans="1:11" ht="14.4">
      <c r="A2536" s="21"/>
      <c r="B2536" s="86"/>
      <c r="C2536" s="98"/>
      <c r="D2536" s="21"/>
      <c r="E2536" s="86"/>
      <c r="F2536" s="99"/>
      <c r="G2536" s="99"/>
      <c r="H2536" s="21"/>
      <c r="I2536" s="21"/>
      <c r="J2536" s="21"/>
      <c r="K2536" s="5" t="str">
        <f>IF(AND(LEN(H2536)=0, LEN(I2536)=0), "", IF(AND(LEN(H2536)&gt;0, LEN(I2536)=0), "BLANCO", IFERROR(VLOOKUP(I2536, BasedatosM9!A:B, 2, FALSE), "BLANCO")))</f>
        <v/>
      </c>
    </row>
    <row r="2537" spans="1:11" ht="14.4">
      <c r="A2537" s="21"/>
      <c r="B2537" s="86"/>
      <c r="C2537" s="98"/>
      <c r="D2537" s="21"/>
      <c r="E2537" s="86"/>
      <c r="F2537" s="99"/>
      <c r="G2537" s="99"/>
      <c r="H2537" s="21"/>
      <c r="I2537" s="86"/>
      <c r="J2537" s="21"/>
      <c r="K2537" s="5" t="str">
        <f>IF(AND(LEN(H2537)=0, LEN(I2537)=0), "", IF(AND(LEN(H2537)&gt;0, LEN(I2537)=0), "BLANCO", IFERROR(VLOOKUP(I2537, BasedatosM9!A:B, 2, FALSE), "BLANCO")))</f>
        <v/>
      </c>
    </row>
    <row r="2538" spans="1:11" ht="14.4">
      <c r="A2538" s="21"/>
      <c r="B2538" s="86"/>
      <c r="C2538" s="98"/>
      <c r="D2538" s="21"/>
      <c r="E2538" s="86"/>
      <c r="F2538" s="99"/>
      <c r="G2538" s="99"/>
      <c r="H2538" s="21"/>
      <c r="I2538" s="21"/>
      <c r="J2538" s="21"/>
      <c r="K2538" s="5" t="str">
        <f>IF(AND(LEN(H2538)=0, LEN(I2538)=0), "", IF(AND(LEN(H2538)&gt;0, LEN(I2538)=0), "BLANCO", IFERROR(VLOOKUP(I2538, BasedatosM9!A:B, 2, FALSE), "BLANCO")))</f>
        <v/>
      </c>
    </row>
    <row r="2539" spans="1:11" ht="14.4">
      <c r="A2539" s="21"/>
      <c r="B2539" s="86"/>
      <c r="C2539" s="98"/>
      <c r="D2539" s="21"/>
      <c r="E2539" s="86"/>
      <c r="F2539" s="99"/>
      <c r="G2539" s="99"/>
      <c r="H2539" s="21"/>
      <c r="I2539" s="21"/>
      <c r="J2539" s="21"/>
      <c r="K2539" s="5" t="str">
        <f>IF(AND(LEN(H2539)=0, LEN(I2539)=0), "", IF(AND(LEN(H2539)&gt;0, LEN(I2539)=0), "BLANCO", IFERROR(VLOOKUP(I2539, BasedatosM9!A:B, 2, FALSE), "BLANCO")))</f>
        <v/>
      </c>
    </row>
    <row r="2540" spans="1:11" ht="14.4">
      <c r="A2540" s="21"/>
      <c r="B2540" s="86"/>
      <c r="C2540" s="98"/>
      <c r="D2540" s="21"/>
      <c r="E2540" s="86"/>
      <c r="F2540" s="99"/>
      <c r="G2540" s="99"/>
      <c r="H2540" s="21"/>
      <c r="I2540" s="86"/>
      <c r="J2540" s="21"/>
      <c r="K2540" s="5" t="str">
        <f>IF(AND(LEN(H2540)=0, LEN(I2540)=0), "", IF(AND(LEN(H2540)&gt;0, LEN(I2540)=0), "BLANCO", IFERROR(VLOOKUP(I2540, BasedatosM9!A:B, 2, FALSE), "BLANCO")))</f>
        <v/>
      </c>
    </row>
    <row r="2541" spans="1:11" ht="14.4">
      <c r="A2541" s="21"/>
      <c r="B2541" s="86"/>
      <c r="C2541" s="98"/>
      <c r="D2541" s="21"/>
      <c r="E2541" s="86"/>
      <c r="F2541" s="99"/>
      <c r="G2541" s="99"/>
      <c r="H2541" s="21"/>
      <c r="I2541" s="86"/>
      <c r="J2541" s="21"/>
      <c r="K2541" s="5" t="str">
        <f>IF(AND(LEN(H2541)=0, LEN(I2541)=0), "", IF(AND(LEN(H2541)&gt;0, LEN(I2541)=0), "BLANCO", IFERROR(VLOOKUP(I2541, BasedatosM9!A:B, 2, FALSE), "BLANCO")))</f>
        <v/>
      </c>
    </row>
    <row r="2542" spans="1:11" ht="14.4">
      <c r="A2542" s="21"/>
      <c r="B2542" s="86"/>
      <c r="C2542" s="98"/>
      <c r="D2542" s="21"/>
      <c r="E2542" s="86"/>
      <c r="F2542" s="99"/>
      <c r="G2542" s="99"/>
      <c r="H2542" s="21"/>
      <c r="I2542" s="86"/>
      <c r="J2542" s="21"/>
      <c r="K2542" s="5" t="str">
        <f>IF(AND(LEN(H2542)=0, LEN(I2542)=0), "", IF(AND(LEN(H2542)&gt;0, LEN(I2542)=0), "BLANCO", IFERROR(VLOOKUP(I2542, BasedatosM9!A:B, 2, FALSE), "BLANCO")))</f>
        <v/>
      </c>
    </row>
    <row r="2543" spans="1:11" ht="14.4">
      <c r="A2543" s="21"/>
      <c r="B2543" s="86"/>
      <c r="C2543" s="98"/>
      <c r="D2543" s="21"/>
      <c r="E2543" s="86"/>
      <c r="F2543" s="99"/>
      <c r="G2543" s="99"/>
      <c r="H2543" s="21"/>
      <c r="I2543" s="86"/>
      <c r="J2543" s="21"/>
      <c r="K2543" s="5" t="str">
        <f>IF(AND(LEN(H2543)=0, LEN(I2543)=0), "", IF(AND(LEN(H2543)&gt;0, LEN(I2543)=0), "BLANCO", IFERROR(VLOOKUP(I2543, BasedatosM9!A:B, 2, FALSE), "BLANCO")))</f>
        <v/>
      </c>
    </row>
    <row r="2544" spans="1:11" ht="14.4">
      <c r="A2544" s="21"/>
      <c r="B2544" s="86"/>
      <c r="C2544" s="98"/>
      <c r="D2544" s="21"/>
      <c r="E2544" s="86"/>
      <c r="F2544" s="99"/>
      <c r="G2544" s="99"/>
      <c r="H2544" s="21"/>
      <c r="I2544" s="21"/>
      <c r="J2544" s="21"/>
      <c r="K2544" s="5" t="str">
        <f>IF(AND(LEN(H2544)=0, LEN(I2544)=0), "", IF(AND(LEN(H2544)&gt;0, LEN(I2544)=0), "BLANCO", IFERROR(VLOOKUP(I2544, BasedatosM9!A:B, 2, FALSE), "BLANCO")))</f>
        <v/>
      </c>
    </row>
    <row r="2545" spans="1:11" ht="14.4">
      <c r="A2545" s="21"/>
      <c r="B2545" s="86"/>
      <c r="C2545" s="98"/>
      <c r="D2545" s="21"/>
      <c r="E2545" s="86"/>
      <c r="F2545" s="99"/>
      <c r="G2545" s="99"/>
      <c r="H2545" s="21"/>
      <c r="I2545" s="21"/>
      <c r="J2545" s="21"/>
      <c r="K2545" s="5" t="str">
        <f>IF(AND(LEN(H2545)=0, LEN(I2545)=0), "", IF(AND(LEN(H2545)&gt;0, LEN(I2545)=0), "BLANCO", IFERROR(VLOOKUP(I2545, BasedatosM9!A:B, 2, FALSE), "BLANCO")))</f>
        <v/>
      </c>
    </row>
    <row r="2546" spans="1:11" ht="14.4">
      <c r="A2546" s="21"/>
      <c r="B2546" s="86"/>
      <c r="C2546" s="98"/>
      <c r="D2546" s="21"/>
      <c r="E2546" s="86"/>
      <c r="F2546" s="99"/>
      <c r="G2546" s="99"/>
      <c r="H2546" s="21"/>
      <c r="I2546" s="86"/>
      <c r="J2546" s="21"/>
      <c r="K2546" s="5" t="str">
        <f>IF(AND(LEN(H2546)=0, LEN(I2546)=0), "", IF(AND(LEN(H2546)&gt;0, LEN(I2546)=0), "BLANCO", IFERROR(VLOOKUP(I2546, BasedatosM9!A:B, 2, FALSE), "BLANCO")))</f>
        <v/>
      </c>
    </row>
    <row r="2547" spans="1:11" ht="14.4">
      <c r="A2547" s="21"/>
      <c r="B2547" s="86"/>
      <c r="C2547" s="98"/>
      <c r="D2547" s="21"/>
      <c r="E2547" s="86"/>
      <c r="F2547" s="99"/>
      <c r="G2547" s="99"/>
      <c r="H2547" s="21"/>
      <c r="I2547" s="86"/>
      <c r="J2547" s="21"/>
      <c r="K2547" s="5" t="str">
        <f>IF(AND(LEN(H2547)=0, LEN(I2547)=0), "", IF(AND(LEN(H2547)&gt;0, LEN(I2547)=0), "BLANCO", IFERROR(VLOOKUP(I2547, BasedatosM9!A:B, 2, FALSE), "BLANCO")))</f>
        <v/>
      </c>
    </row>
    <row r="2548" spans="1:11" ht="14.4">
      <c r="A2548" s="21"/>
      <c r="B2548" s="86"/>
      <c r="C2548" s="98"/>
      <c r="D2548" s="21"/>
      <c r="E2548" s="86"/>
      <c r="F2548" s="99"/>
      <c r="G2548" s="99"/>
      <c r="H2548" s="21"/>
      <c r="I2548" s="21"/>
      <c r="J2548" s="21"/>
      <c r="K2548" s="5" t="str">
        <f>IF(AND(LEN(H2548)=0, LEN(I2548)=0), "", IF(AND(LEN(H2548)&gt;0, LEN(I2548)=0), "BLANCO", IFERROR(VLOOKUP(I2548, BasedatosM9!A:B, 2, FALSE), "BLANCO")))</f>
        <v/>
      </c>
    </row>
    <row r="2549" spans="1:11" ht="14.4">
      <c r="A2549" s="21"/>
      <c r="B2549" s="86"/>
      <c r="C2549" s="98"/>
      <c r="D2549" s="21"/>
      <c r="E2549" s="86"/>
      <c r="F2549" s="99"/>
      <c r="G2549" s="99"/>
      <c r="H2549" s="21"/>
      <c r="I2549" s="21"/>
      <c r="J2549" s="21"/>
      <c r="K2549" s="5" t="str">
        <f>IF(AND(LEN(H2549)=0, LEN(I2549)=0), "", IF(AND(LEN(H2549)&gt;0, LEN(I2549)=0), "BLANCO", IFERROR(VLOOKUP(I2549, BasedatosM9!A:B, 2, FALSE), "BLANCO")))</f>
        <v/>
      </c>
    </row>
    <row r="2550" spans="1:11" ht="14.4">
      <c r="A2550" s="21"/>
      <c r="B2550" s="86"/>
      <c r="C2550" s="98"/>
      <c r="D2550" s="21"/>
      <c r="E2550" s="86"/>
      <c r="F2550" s="99"/>
      <c r="G2550" s="99"/>
      <c r="H2550" s="21"/>
      <c r="I2550" s="86"/>
      <c r="J2550" s="21"/>
      <c r="K2550" s="5" t="str">
        <f>IF(AND(LEN(H2550)=0, LEN(I2550)=0), "", IF(AND(LEN(H2550)&gt;0, LEN(I2550)=0), "BLANCO", IFERROR(VLOOKUP(I2550, BasedatosM9!A:B, 2, FALSE), "BLANCO")))</f>
        <v/>
      </c>
    </row>
    <row r="2551" spans="1:11" ht="14.4">
      <c r="A2551" s="21"/>
      <c r="B2551" s="86"/>
      <c r="C2551" s="98"/>
      <c r="D2551" s="21"/>
      <c r="E2551" s="86"/>
      <c r="F2551" s="99"/>
      <c r="G2551" s="99"/>
      <c r="H2551" s="21"/>
      <c r="I2551" s="86"/>
      <c r="J2551" s="21"/>
      <c r="K2551" s="5" t="str">
        <f>IF(AND(LEN(H2551)=0, LEN(I2551)=0), "", IF(AND(LEN(H2551)&gt;0, LEN(I2551)=0), "BLANCO", IFERROR(VLOOKUP(I2551, BasedatosM9!A:B, 2, FALSE), "BLANCO")))</f>
        <v/>
      </c>
    </row>
    <row r="2552" spans="1:11" ht="14.4">
      <c r="A2552" s="21"/>
      <c r="B2552" s="86"/>
      <c r="C2552" s="98"/>
      <c r="D2552" s="21"/>
      <c r="E2552" s="86"/>
      <c r="F2552" s="99"/>
      <c r="G2552" s="99"/>
      <c r="H2552" s="21"/>
      <c r="I2552" s="86"/>
      <c r="J2552" s="21"/>
      <c r="K2552" s="5" t="str">
        <f>IF(AND(LEN(H2552)=0, LEN(I2552)=0), "", IF(AND(LEN(H2552)&gt;0, LEN(I2552)=0), "BLANCO", IFERROR(VLOOKUP(I2552, BasedatosM9!A:B, 2, FALSE), "BLANCO")))</f>
        <v/>
      </c>
    </row>
    <row r="2553" spans="1:11" ht="14.4">
      <c r="A2553" s="21"/>
      <c r="B2553" s="86"/>
      <c r="C2553" s="98"/>
      <c r="D2553" s="21"/>
      <c r="E2553" s="86"/>
      <c r="F2553" s="99"/>
      <c r="G2553" s="99"/>
      <c r="H2553" s="21"/>
      <c r="I2553" s="86"/>
      <c r="J2553" s="21"/>
      <c r="K2553" s="5" t="str">
        <f>IF(AND(LEN(H2553)=0, LEN(I2553)=0), "", IF(AND(LEN(H2553)&gt;0, LEN(I2553)=0), "BLANCO", IFERROR(VLOOKUP(I2553, BasedatosM9!A:B, 2, FALSE), "BLANCO")))</f>
        <v/>
      </c>
    </row>
    <row r="2554" spans="1:11" ht="14.4">
      <c r="A2554" s="21"/>
      <c r="B2554" s="86"/>
      <c r="C2554" s="98"/>
      <c r="D2554" s="21"/>
      <c r="E2554" s="86"/>
      <c r="F2554" s="99"/>
      <c r="G2554" s="99"/>
      <c r="H2554" s="21"/>
      <c r="I2554" s="86"/>
      <c r="J2554" s="21"/>
      <c r="K2554" s="5" t="str">
        <f>IF(AND(LEN(H2554)=0, LEN(I2554)=0), "", IF(AND(LEN(H2554)&gt;0, LEN(I2554)=0), "BLANCO", IFERROR(VLOOKUP(I2554, BasedatosM9!A:B, 2, FALSE), "BLANCO")))</f>
        <v/>
      </c>
    </row>
    <row r="2555" spans="1:11" ht="14.4">
      <c r="A2555" s="21"/>
      <c r="B2555" s="86"/>
      <c r="C2555" s="98"/>
      <c r="D2555" s="21"/>
      <c r="E2555" s="86"/>
      <c r="F2555" s="99"/>
      <c r="G2555" s="99"/>
      <c r="H2555" s="21"/>
      <c r="I2555" s="86"/>
      <c r="J2555" s="21"/>
      <c r="K2555" s="5" t="str">
        <f>IF(AND(LEN(H2555)=0, LEN(I2555)=0), "", IF(AND(LEN(H2555)&gt;0, LEN(I2555)=0), "BLANCO", IFERROR(VLOOKUP(I2555, BasedatosM9!A:B, 2, FALSE), "BLANCO")))</f>
        <v/>
      </c>
    </row>
    <row r="2556" spans="1:11" ht="14.4">
      <c r="A2556" s="21"/>
      <c r="B2556" s="86"/>
      <c r="C2556" s="98"/>
      <c r="D2556" s="21"/>
      <c r="E2556" s="86"/>
      <c r="F2556" s="99"/>
      <c r="G2556" s="99"/>
      <c r="H2556" s="21"/>
      <c r="I2556" s="86"/>
      <c r="J2556" s="21"/>
      <c r="K2556" s="5" t="str">
        <f>IF(AND(LEN(H2556)=0, LEN(I2556)=0), "", IF(AND(LEN(H2556)&gt;0, LEN(I2556)=0), "BLANCO", IFERROR(VLOOKUP(I2556, BasedatosM9!A:B, 2, FALSE), "BLANCO")))</f>
        <v/>
      </c>
    </row>
    <row r="2557" spans="1:11" ht="14.4">
      <c r="A2557" s="21"/>
      <c r="B2557" s="86"/>
      <c r="C2557" s="98"/>
      <c r="D2557" s="21"/>
      <c r="E2557" s="86"/>
      <c r="F2557" s="99"/>
      <c r="G2557" s="99"/>
      <c r="H2557" s="21"/>
      <c r="I2557" s="86"/>
      <c r="J2557" s="21"/>
      <c r="K2557" s="5" t="str">
        <f>IF(AND(LEN(H2557)=0, LEN(I2557)=0), "", IF(AND(LEN(H2557)&gt;0, LEN(I2557)=0), "BLANCO", IFERROR(VLOOKUP(I2557, BasedatosM9!A:B, 2, FALSE), "BLANCO")))</f>
        <v/>
      </c>
    </row>
    <row r="2558" spans="1:11" ht="14.4">
      <c r="A2558" s="21"/>
      <c r="B2558" s="86"/>
      <c r="C2558" s="98"/>
      <c r="D2558" s="21"/>
      <c r="E2558" s="86"/>
      <c r="F2558" s="99"/>
      <c r="G2558" s="99"/>
      <c r="H2558" s="21"/>
      <c r="I2558" s="21"/>
      <c r="J2558" s="21"/>
      <c r="K2558" s="5" t="str">
        <f>IF(AND(LEN(H2558)=0, LEN(I2558)=0), "", IF(AND(LEN(H2558)&gt;0, LEN(I2558)=0), "BLANCO", IFERROR(VLOOKUP(I2558, BasedatosM9!A:B, 2, FALSE), "BLANCO")))</f>
        <v/>
      </c>
    </row>
    <row r="2559" spans="1:11" ht="14.4">
      <c r="A2559" s="21"/>
      <c r="B2559" s="86"/>
      <c r="C2559" s="98"/>
      <c r="D2559" s="21"/>
      <c r="E2559" s="86"/>
      <c r="F2559" s="99"/>
      <c r="G2559" s="99"/>
      <c r="H2559" s="21"/>
      <c r="I2559" s="86"/>
      <c r="J2559" s="21"/>
      <c r="K2559" s="5" t="str">
        <f>IF(AND(LEN(H2559)=0, LEN(I2559)=0), "", IF(AND(LEN(H2559)&gt;0, LEN(I2559)=0), "BLANCO", IFERROR(VLOOKUP(I2559, BasedatosM9!A:B, 2, FALSE), "BLANCO")))</f>
        <v/>
      </c>
    </row>
    <row r="2560" spans="1:11" ht="14.4">
      <c r="A2560" s="21"/>
      <c r="B2560" s="86"/>
      <c r="C2560" s="98"/>
      <c r="D2560" s="21"/>
      <c r="E2560" s="86"/>
      <c r="F2560" s="99"/>
      <c r="G2560" s="99"/>
      <c r="H2560" s="21"/>
      <c r="I2560" s="21"/>
      <c r="J2560" s="21"/>
      <c r="K2560" s="5" t="str">
        <f>IF(AND(LEN(H2560)=0, LEN(I2560)=0), "", IF(AND(LEN(H2560)&gt;0, LEN(I2560)=0), "BLANCO", IFERROR(VLOOKUP(I2560, BasedatosM9!A:B, 2, FALSE), "BLANCO")))</f>
        <v/>
      </c>
    </row>
    <row r="2561" spans="1:11" ht="14.4">
      <c r="A2561" s="21"/>
      <c r="B2561" s="86"/>
      <c r="C2561" s="98"/>
      <c r="D2561" s="21"/>
      <c r="E2561" s="86"/>
      <c r="F2561" s="99"/>
      <c r="G2561" s="99"/>
      <c r="H2561" s="21"/>
      <c r="I2561" s="86"/>
      <c r="J2561" s="21"/>
      <c r="K2561" s="5" t="str">
        <f>IF(AND(LEN(H2561)=0, LEN(I2561)=0), "", IF(AND(LEN(H2561)&gt;0, LEN(I2561)=0), "BLANCO", IFERROR(VLOOKUP(I2561, BasedatosM9!A:B, 2, FALSE), "BLANCO")))</f>
        <v/>
      </c>
    </row>
    <row r="2562" spans="1:11" ht="14.4">
      <c r="A2562" s="21"/>
      <c r="B2562" s="86"/>
      <c r="C2562" s="98"/>
      <c r="D2562" s="21"/>
      <c r="E2562" s="86"/>
      <c r="F2562" s="99"/>
      <c r="G2562" s="99"/>
      <c r="H2562" s="21"/>
      <c r="I2562" s="21"/>
      <c r="J2562" s="21"/>
      <c r="K2562" s="5" t="str">
        <f>IF(AND(LEN(H2562)=0, LEN(I2562)=0), "", IF(AND(LEN(H2562)&gt;0, LEN(I2562)=0), "BLANCO", IFERROR(VLOOKUP(I2562, BasedatosM9!A:B, 2, FALSE), "BLANCO")))</f>
        <v/>
      </c>
    </row>
    <row r="2563" spans="1:11" ht="14.4">
      <c r="A2563" s="21"/>
      <c r="B2563" s="86"/>
      <c r="C2563" s="98"/>
      <c r="D2563" s="21"/>
      <c r="E2563" s="86"/>
      <c r="F2563" s="99"/>
      <c r="G2563" s="99"/>
      <c r="H2563" s="21"/>
      <c r="I2563" s="21"/>
      <c r="J2563" s="21"/>
      <c r="K2563" s="5" t="str">
        <f>IF(AND(LEN(H2563)=0, LEN(I2563)=0), "", IF(AND(LEN(H2563)&gt;0, LEN(I2563)=0), "BLANCO", IFERROR(VLOOKUP(I2563, BasedatosM9!A:B, 2, FALSE), "BLANCO")))</f>
        <v/>
      </c>
    </row>
    <row r="2564" spans="1:11" ht="14.4">
      <c r="A2564" s="21"/>
      <c r="B2564" s="86"/>
      <c r="C2564" s="98"/>
      <c r="D2564" s="21"/>
      <c r="E2564" s="86"/>
      <c r="F2564" s="99"/>
      <c r="G2564" s="99"/>
      <c r="H2564" s="21"/>
      <c r="I2564" s="86"/>
      <c r="J2564" s="21"/>
      <c r="K2564" s="5" t="str">
        <f>IF(AND(LEN(H2564)=0, LEN(I2564)=0), "", IF(AND(LEN(H2564)&gt;0, LEN(I2564)=0), "BLANCO", IFERROR(VLOOKUP(I2564, BasedatosM9!A:B, 2, FALSE), "BLANCO")))</f>
        <v/>
      </c>
    </row>
    <row r="2565" spans="1:11" ht="14.4">
      <c r="A2565" s="21"/>
      <c r="B2565" s="86"/>
      <c r="C2565" s="98"/>
      <c r="D2565" s="21"/>
      <c r="E2565" s="86"/>
      <c r="F2565" s="99"/>
      <c r="G2565" s="99"/>
      <c r="H2565" s="21"/>
      <c r="I2565" s="86"/>
      <c r="J2565" s="21"/>
      <c r="K2565" s="5" t="str">
        <f>IF(AND(LEN(H2565)=0, LEN(I2565)=0), "", IF(AND(LEN(H2565)&gt;0, LEN(I2565)=0), "BLANCO", IFERROR(VLOOKUP(I2565, BasedatosM9!A:B, 2, FALSE), "BLANCO")))</f>
        <v/>
      </c>
    </row>
    <row r="2566" spans="1:11" ht="14.4">
      <c r="A2566" s="21"/>
      <c r="B2566" s="86"/>
      <c r="C2566" s="98"/>
      <c r="D2566" s="21"/>
      <c r="E2566" s="86"/>
      <c r="F2566" s="99"/>
      <c r="G2566" s="99"/>
      <c r="H2566" s="21"/>
      <c r="I2566" s="21"/>
      <c r="J2566" s="21"/>
      <c r="K2566" s="5" t="str">
        <f>IF(AND(LEN(H2566)=0, LEN(I2566)=0), "", IF(AND(LEN(H2566)&gt;0, LEN(I2566)=0), "BLANCO", IFERROR(VLOOKUP(I2566, BasedatosM9!A:B, 2, FALSE), "BLANCO")))</f>
        <v/>
      </c>
    </row>
    <row r="2567" spans="1:11" ht="14.4">
      <c r="A2567" s="21"/>
      <c r="B2567" s="86"/>
      <c r="C2567" s="98"/>
      <c r="D2567" s="21"/>
      <c r="E2567" s="86"/>
      <c r="F2567" s="99"/>
      <c r="G2567" s="99"/>
      <c r="H2567" s="21"/>
      <c r="I2567" s="86"/>
      <c r="J2567" s="21"/>
      <c r="K2567" s="5" t="str">
        <f>IF(AND(LEN(H2567)=0, LEN(I2567)=0), "", IF(AND(LEN(H2567)&gt;0, LEN(I2567)=0), "BLANCO", IFERROR(VLOOKUP(I2567, BasedatosM9!A:B, 2, FALSE), "BLANCO")))</f>
        <v/>
      </c>
    </row>
    <row r="2568" spans="1:11" ht="14.4">
      <c r="A2568" s="21"/>
      <c r="B2568" s="86"/>
      <c r="C2568" s="98"/>
      <c r="D2568" s="21"/>
      <c r="E2568" s="86"/>
      <c r="F2568" s="99"/>
      <c r="G2568" s="99"/>
      <c r="H2568" s="21"/>
      <c r="I2568" s="21"/>
      <c r="J2568" s="21"/>
      <c r="K2568" s="5" t="str">
        <f>IF(AND(LEN(H2568)=0, LEN(I2568)=0), "", IF(AND(LEN(H2568)&gt;0, LEN(I2568)=0), "BLANCO", IFERROR(VLOOKUP(I2568, BasedatosM9!A:B, 2, FALSE), "BLANCO")))</f>
        <v/>
      </c>
    </row>
    <row r="2569" spans="1:11" ht="14.4">
      <c r="A2569" s="21"/>
      <c r="B2569" s="86"/>
      <c r="C2569" s="98"/>
      <c r="D2569" s="21"/>
      <c r="E2569" s="86"/>
      <c r="F2569" s="99"/>
      <c r="G2569" s="99"/>
      <c r="H2569" s="21"/>
      <c r="I2569" s="86"/>
      <c r="J2569" s="21"/>
      <c r="K2569" s="5" t="str">
        <f>IF(AND(LEN(H2569)=0, LEN(I2569)=0), "", IF(AND(LEN(H2569)&gt;0, LEN(I2569)=0), "BLANCO", IFERROR(VLOOKUP(I2569, BasedatosM9!A:B, 2, FALSE), "BLANCO")))</f>
        <v/>
      </c>
    </row>
    <row r="2570" spans="1:11" ht="14.4">
      <c r="A2570" s="21"/>
      <c r="B2570" s="86"/>
      <c r="C2570" s="98"/>
      <c r="D2570" s="21"/>
      <c r="E2570" s="86"/>
      <c r="F2570" s="99"/>
      <c r="G2570" s="99"/>
      <c r="H2570" s="21"/>
      <c r="I2570" s="86"/>
      <c r="J2570" s="21"/>
      <c r="K2570" s="5" t="str">
        <f>IF(AND(LEN(H2570)=0, LEN(I2570)=0), "", IF(AND(LEN(H2570)&gt;0, LEN(I2570)=0), "BLANCO", IFERROR(VLOOKUP(I2570, BasedatosM9!A:B, 2, FALSE), "BLANCO")))</f>
        <v/>
      </c>
    </row>
    <row r="2571" spans="1:11" ht="14.4">
      <c r="A2571" s="21"/>
      <c r="B2571" s="86"/>
      <c r="C2571" s="98"/>
      <c r="D2571" s="21"/>
      <c r="E2571" s="86"/>
      <c r="F2571" s="99"/>
      <c r="G2571" s="99"/>
      <c r="H2571" s="21"/>
      <c r="I2571" s="86"/>
      <c r="J2571" s="21"/>
      <c r="K2571" s="5" t="str">
        <f>IF(AND(LEN(H2571)=0, LEN(I2571)=0), "", IF(AND(LEN(H2571)&gt;0, LEN(I2571)=0), "BLANCO", IFERROR(VLOOKUP(I2571, BasedatosM9!A:B, 2, FALSE), "BLANCO")))</f>
        <v/>
      </c>
    </row>
    <row r="2572" spans="1:11" ht="14.4">
      <c r="A2572" s="21"/>
      <c r="B2572" s="86"/>
      <c r="C2572" s="98"/>
      <c r="D2572" s="21"/>
      <c r="E2572" s="86"/>
      <c r="F2572" s="99"/>
      <c r="G2572" s="99"/>
      <c r="H2572" s="21"/>
      <c r="I2572" s="86"/>
      <c r="J2572" s="21"/>
      <c r="K2572" s="5" t="str">
        <f>IF(AND(LEN(H2572)=0, LEN(I2572)=0), "", IF(AND(LEN(H2572)&gt;0, LEN(I2572)=0), "BLANCO", IFERROR(VLOOKUP(I2572, BasedatosM9!A:B, 2, FALSE), "BLANCO")))</f>
        <v/>
      </c>
    </row>
    <row r="2573" spans="1:11" ht="14.4">
      <c r="A2573" s="21"/>
      <c r="B2573" s="86"/>
      <c r="C2573" s="98"/>
      <c r="D2573" s="21"/>
      <c r="E2573" s="86"/>
      <c r="F2573" s="99"/>
      <c r="G2573" s="99"/>
      <c r="H2573" s="21"/>
      <c r="I2573" s="86"/>
      <c r="J2573" s="21"/>
      <c r="K2573" s="5" t="str">
        <f>IF(AND(LEN(H2573)=0, LEN(I2573)=0), "", IF(AND(LEN(H2573)&gt;0, LEN(I2573)=0), "BLANCO", IFERROR(VLOOKUP(I2573, BasedatosM9!A:B, 2, FALSE), "BLANCO")))</f>
        <v/>
      </c>
    </row>
    <row r="2574" spans="1:11" ht="14.4">
      <c r="A2574" s="21"/>
      <c r="B2574" s="86"/>
      <c r="C2574" s="98"/>
      <c r="D2574" s="21"/>
      <c r="E2574" s="86"/>
      <c r="F2574" s="99"/>
      <c r="G2574" s="99"/>
      <c r="H2574" s="21"/>
      <c r="I2574" s="86"/>
      <c r="J2574" s="21"/>
      <c r="K2574" s="5" t="str">
        <f>IF(AND(LEN(H2574)=0, LEN(I2574)=0), "", IF(AND(LEN(H2574)&gt;0, LEN(I2574)=0), "BLANCO", IFERROR(VLOOKUP(I2574, BasedatosM9!A:B, 2, FALSE), "BLANCO")))</f>
        <v/>
      </c>
    </row>
    <row r="2575" spans="1:11" ht="14.4">
      <c r="A2575" s="21"/>
      <c r="B2575" s="86"/>
      <c r="C2575" s="98"/>
      <c r="D2575" s="21"/>
      <c r="E2575" s="86"/>
      <c r="F2575" s="99"/>
      <c r="G2575" s="99"/>
      <c r="H2575" s="21"/>
      <c r="I2575" s="86"/>
      <c r="J2575" s="21"/>
      <c r="K2575" s="5" t="str">
        <f>IF(AND(LEN(H2575)=0, LEN(I2575)=0), "", IF(AND(LEN(H2575)&gt;0, LEN(I2575)=0), "BLANCO", IFERROR(VLOOKUP(I2575, BasedatosM9!A:B, 2, FALSE), "BLANCO")))</f>
        <v/>
      </c>
    </row>
    <row r="2576" spans="1:11" ht="14.4">
      <c r="A2576" s="21"/>
      <c r="B2576" s="86"/>
      <c r="C2576" s="98"/>
      <c r="D2576" s="21"/>
      <c r="E2576" s="86"/>
      <c r="F2576" s="99"/>
      <c r="G2576" s="99"/>
      <c r="H2576" s="21"/>
      <c r="I2576" s="86"/>
      <c r="J2576" s="21"/>
      <c r="K2576" s="5" t="str">
        <f>IF(AND(LEN(H2576)=0, LEN(I2576)=0), "", IF(AND(LEN(H2576)&gt;0, LEN(I2576)=0), "BLANCO", IFERROR(VLOOKUP(I2576, BasedatosM9!A:B, 2, FALSE), "BLANCO")))</f>
        <v/>
      </c>
    </row>
    <row r="2577" spans="1:11" ht="14.4">
      <c r="A2577" s="21"/>
      <c r="B2577" s="86"/>
      <c r="C2577" s="98"/>
      <c r="D2577" s="21"/>
      <c r="E2577" s="86"/>
      <c r="F2577" s="99"/>
      <c r="G2577" s="99"/>
      <c r="H2577" s="21"/>
      <c r="I2577" s="21"/>
      <c r="J2577" s="21"/>
      <c r="K2577" s="5" t="str">
        <f>IF(AND(LEN(H2577)=0, LEN(I2577)=0), "", IF(AND(LEN(H2577)&gt;0, LEN(I2577)=0), "BLANCO", IFERROR(VLOOKUP(I2577, BasedatosM9!A:B, 2, FALSE), "BLANCO")))</f>
        <v/>
      </c>
    </row>
    <row r="2578" spans="1:11" ht="14.4">
      <c r="A2578" s="21"/>
      <c r="B2578" s="86"/>
      <c r="C2578" s="98"/>
      <c r="D2578" s="21"/>
      <c r="E2578" s="86"/>
      <c r="F2578" s="99"/>
      <c r="G2578" s="99"/>
      <c r="H2578" s="21"/>
      <c r="I2578" s="86"/>
      <c r="J2578" s="21"/>
      <c r="K2578" s="5" t="str">
        <f>IF(AND(LEN(H2578)=0, LEN(I2578)=0), "", IF(AND(LEN(H2578)&gt;0, LEN(I2578)=0), "BLANCO", IFERROR(VLOOKUP(I2578, BasedatosM9!A:B, 2, FALSE), "BLANCO")))</f>
        <v/>
      </c>
    </row>
    <row r="2579" spans="1:11" ht="14.4">
      <c r="A2579" s="21"/>
      <c r="B2579" s="86"/>
      <c r="C2579" s="98"/>
      <c r="D2579" s="21"/>
      <c r="E2579" s="86"/>
      <c r="F2579" s="99"/>
      <c r="G2579" s="99"/>
      <c r="H2579" s="21"/>
      <c r="I2579" s="86"/>
      <c r="J2579" s="21"/>
      <c r="K2579" s="5" t="str">
        <f>IF(AND(LEN(H2579)=0, LEN(I2579)=0), "", IF(AND(LEN(H2579)&gt;0, LEN(I2579)=0), "BLANCO", IFERROR(VLOOKUP(I2579, BasedatosM9!A:B, 2, FALSE), "BLANCO")))</f>
        <v/>
      </c>
    </row>
    <row r="2580" spans="1:11" ht="14.4">
      <c r="A2580" s="21"/>
      <c r="B2580" s="86"/>
      <c r="C2580" s="98"/>
      <c r="D2580" s="21"/>
      <c r="E2580" s="86"/>
      <c r="F2580" s="99"/>
      <c r="G2580" s="99"/>
      <c r="H2580" s="21"/>
      <c r="I2580" s="86"/>
      <c r="J2580" s="21"/>
      <c r="K2580" s="5" t="str">
        <f>IF(AND(LEN(H2580)=0, LEN(I2580)=0), "", IF(AND(LEN(H2580)&gt;0, LEN(I2580)=0), "BLANCO", IFERROR(VLOOKUP(I2580, BasedatosM9!A:B, 2, FALSE), "BLANCO")))</f>
        <v/>
      </c>
    </row>
    <row r="2581" spans="1:11" ht="14.4">
      <c r="A2581" s="21"/>
      <c r="B2581" s="86"/>
      <c r="C2581" s="98"/>
      <c r="D2581" s="21"/>
      <c r="E2581" s="86"/>
      <c r="F2581" s="99"/>
      <c r="G2581" s="99"/>
      <c r="H2581" s="21"/>
      <c r="I2581" s="86"/>
      <c r="J2581" s="21"/>
      <c r="K2581" s="5" t="str">
        <f>IF(AND(LEN(H2581)=0, LEN(I2581)=0), "", IF(AND(LEN(H2581)&gt;0, LEN(I2581)=0), "BLANCO", IFERROR(VLOOKUP(I2581, BasedatosM9!A:B, 2, FALSE), "BLANCO")))</f>
        <v/>
      </c>
    </row>
    <row r="2582" spans="1:11" ht="14.4">
      <c r="A2582" s="21"/>
      <c r="B2582" s="86"/>
      <c r="C2582" s="98"/>
      <c r="D2582" s="21"/>
      <c r="E2582" s="86"/>
      <c r="F2582" s="99"/>
      <c r="G2582" s="99"/>
      <c r="H2582" s="21"/>
      <c r="I2582" s="21"/>
      <c r="J2582" s="21"/>
      <c r="K2582" s="5" t="str">
        <f>IF(AND(LEN(H2582)=0, LEN(I2582)=0), "", IF(AND(LEN(H2582)&gt;0, LEN(I2582)=0), "BLANCO", IFERROR(VLOOKUP(I2582, BasedatosM9!A:B, 2, FALSE), "BLANCO")))</f>
        <v/>
      </c>
    </row>
    <row r="2583" spans="1:11" ht="14.4">
      <c r="A2583" s="21"/>
      <c r="B2583" s="86"/>
      <c r="C2583" s="98"/>
      <c r="D2583" s="21"/>
      <c r="E2583" s="86"/>
      <c r="F2583" s="99"/>
      <c r="G2583" s="99"/>
      <c r="H2583" s="21"/>
      <c r="I2583" s="21"/>
      <c r="J2583" s="21"/>
      <c r="K2583" s="5" t="str">
        <f>IF(AND(LEN(H2583)=0, LEN(I2583)=0), "", IF(AND(LEN(H2583)&gt;0, LEN(I2583)=0), "BLANCO", IFERROR(VLOOKUP(I2583, BasedatosM9!A:B, 2, FALSE), "BLANCO")))</f>
        <v/>
      </c>
    </row>
    <row r="2584" spans="1:11" ht="14.4">
      <c r="A2584" s="21"/>
      <c r="B2584" s="86"/>
      <c r="C2584" s="98"/>
      <c r="D2584" s="21"/>
      <c r="E2584" s="86"/>
      <c r="F2584" s="99"/>
      <c r="G2584" s="99"/>
      <c r="H2584" s="21"/>
      <c r="I2584" s="86"/>
      <c r="J2584" s="21"/>
      <c r="K2584" s="5" t="str">
        <f>IF(AND(LEN(H2584)=0, LEN(I2584)=0), "", IF(AND(LEN(H2584)&gt;0, LEN(I2584)=0), "BLANCO", IFERROR(VLOOKUP(I2584, BasedatosM9!A:B, 2, FALSE), "BLANCO")))</f>
        <v/>
      </c>
    </row>
    <row r="2585" spans="1:11" ht="14.4">
      <c r="A2585" s="21"/>
      <c r="B2585" s="86"/>
      <c r="C2585" s="98"/>
      <c r="D2585" s="21"/>
      <c r="E2585" s="86"/>
      <c r="F2585" s="99"/>
      <c r="G2585" s="99"/>
      <c r="H2585" s="21"/>
      <c r="I2585" s="86"/>
      <c r="J2585" s="21"/>
      <c r="K2585" s="5" t="str">
        <f>IF(AND(LEN(H2585)=0, LEN(I2585)=0), "", IF(AND(LEN(H2585)&gt;0, LEN(I2585)=0), "BLANCO", IFERROR(VLOOKUP(I2585, BasedatosM9!A:B, 2, FALSE), "BLANCO")))</f>
        <v/>
      </c>
    </row>
    <row r="2586" spans="1:11" ht="14.4">
      <c r="A2586" s="21"/>
      <c r="B2586" s="86"/>
      <c r="C2586" s="98"/>
      <c r="D2586" s="21"/>
      <c r="E2586" s="86"/>
      <c r="F2586" s="99"/>
      <c r="G2586" s="99"/>
      <c r="H2586" s="21"/>
      <c r="I2586" s="86"/>
      <c r="J2586" s="21"/>
      <c r="K2586" s="5" t="str">
        <f>IF(AND(LEN(H2586)=0, LEN(I2586)=0), "", IF(AND(LEN(H2586)&gt;0, LEN(I2586)=0), "BLANCO", IFERROR(VLOOKUP(I2586, BasedatosM9!A:B, 2, FALSE), "BLANCO")))</f>
        <v/>
      </c>
    </row>
    <row r="2587" spans="1:11" ht="14.4">
      <c r="A2587" s="21"/>
      <c r="B2587" s="86"/>
      <c r="C2587" s="98"/>
      <c r="D2587" s="21"/>
      <c r="E2587" s="86"/>
      <c r="F2587" s="99"/>
      <c r="G2587" s="99"/>
      <c r="H2587" s="21"/>
      <c r="I2587" s="86"/>
      <c r="J2587" s="21"/>
      <c r="K2587" s="5" t="str">
        <f>IF(AND(LEN(H2587)=0, LEN(I2587)=0), "", IF(AND(LEN(H2587)&gt;0, LEN(I2587)=0), "BLANCO", IFERROR(VLOOKUP(I2587, BasedatosM9!A:B, 2, FALSE), "BLANCO")))</f>
        <v/>
      </c>
    </row>
    <row r="2588" spans="1:11" ht="14.4">
      <c r="A2588" s="21"/>
      <c r="B2588" s="86"/>
      <c r="C2588" s="98"/>
      <c r="D2588" s="21"/>
      <c r="E2588" s="86"/>
      <c r="F2588" s="99"/>
      <c r="G2588" s="99"/>
      <c r="H2588" s="21"/>
      <c r="I2588" s="21"/>
      <c r="J2588" s="21"/>
      <c r="K2588" s="5" t="str">
        <f>IF(AND(LEN(H2588)=0, LEN(I2588)=0), "", IF(AND(LEN(H2588)&gt;0, LEN(I2588)=0), "BLANCO", IFERROR(VLOOKUP(I2588, BasedatosM9!A:B, 2, FALSE), "BLANCO")))</f>
        <v/>
      </c>
    </row>
    <row r="2589" spans="1:11" ht="14.4">
      <c r="A2589" s="21"/>
      <c r="B2589" s="86"/>
      <c r="C2589" s="98"/>
      <c r="D2589" s="21"/>
      <c r="E2589" s="86"/>
      <c r="F2589" s="99"/>
      <c r="G2589" s="99"/>
      <c r="H2589" s="21"/>
      <c r="I2589" s="21"/>
      <c r="J2589" s="21"/>
      <c r="K2589" s="5" t="str">
        <f>IF(AND(LEN(H2589)=0, LEN(I2589)=0), "", IF(AND(LEN(H2589)&gt;0, LEN(I2589)=0), "BLANCO", IFERROR(VLOOKUP(I2589, BasedatosM9!A:B, 2, FALSE), "BLANCO")))</f>
        <v/>
      </c>
    </row>
    <row r="2590" spans="1:11" ht="14.4">
      <c r="A2590" s="21"/>
      <c r="B2590" s="86"/>
      <c r="C2590" s="98"/>
      <c r="D2590" s="21"/>
      <c r="E2590" s="86"/>
      <c r="F2590" s="99"/>
      <c r="G2590" s="99"/>
      <c r="H2590" s="21"/>
      <c r="I2590" s="86"/>
      <c r="J2590" s="21"/>
      <c r="K2590" s="5" t="str">
        <f>IF(AND(LEN(H2590)=0, LEN(I2590)=0), "", IF(AND(LEN(H2590)&gt;0, LEN(I2590)=0), "BLANCO", IFERROR(VLOOKUP(I2590, BasedatosM9!A:B, 2, FALSE), "BLANCO")))</f>
        <v/>
      </c>
    </row>
    <row r="2591" spans="1:11" ht="14.4">
      <c r="A2591" s="21"/>
      <c r="B2591" s="86"/>
      <c r="C2591" s="98"/>
      <c r="D2591" s="21"/>
      <c r="E2591" s="86"/>
      <c r="F2591" s="99"/>
      <c r="G2591" s="99"/>
      <c r="H2591" s="21"/>
      <c r="I2591" s="21"/>
      <c r="J2591" s="21"/>
      <c r="K2591" s="5" t="str">
        <f>IF(AND(LEN(H2591)=0, LEN(I2591)=0), "", IF(AND(LEN(H2591)&gt;0, LEN(I2591)=0), "BLANCO", IFERROR(VLOOKUP(I2591, BasedatosM9!A:B, 2, FALSE), "BLANCO")))</f>
        <v/>
      </c>
    </row>
    <row r="2592" spans="1:11" ht="14.4">
      <c r="A2592" s="21"/>
      <c r="B2592" s="86"/>
      <c r="C2592" s="98"/>
      <c r="D2592" s="21"/>
      <c r="E2592" s="86"/>
      <c r="F2592" s="99"/>
      <c r="G2592" s="99"/>
      <c r="H2592" s="21"/>
      <c r="I2592" s="21"/>
      <c r="J2592" s="21"/>
      <c r="K2592" s="5" t="str">
        <f>IF(AND(LEN(H2592)=0, LEN(I2592)=0), "", IF(AND(LEN(H2592)&gt;0, LEN(I2592)=0), "BLANCO", IFERROR(VLOOKUP(I2592, BasedatosM9!A:B, 2, FALSE), "BLANCO")))</f>
        <v/>
      </c>
    </row>
    <row r="2593" spans="1:11" ht="14.4">
      <c r="A2593" s="21"/>
      <c r="B2593" s="86"/>
      <c r="C2593" s="98"/>
      <c r="D2593" s="21"/>
      <c r="E2593" s="86"/>
      <c r="F2593" s="99"/>
      <c r="G2593" s="99"/>
      <c r="H2593" s="21"/>
      <c r="I2593" s="86"/>
      <c r="J2593" s="21"/>
      <c r="K2593" s="5" t="str">
        <f>IF(AND(LEN(H2593)=0, LEN(I2593)=0), "", IF(AND(LEN(H2593)&gt;0, LEN(I2593)=0), "BLANCO", IFERROR(VLOOKUP(I2593, BasedatosM9!A:B, 2, FALSE), "BLANCO")))</f>
        <v/>
      </c>
    </row>
    <row r="2594" spans="1:11" ht="14.4">
      <c r="A2594" s="21"/>
      <c r="B2594" s="86"/>
      <c r="C2594" s="98"/>
      <c r="D2594" s="21"/>
      <c r="E2594" s="86"/>
      <c r="F2594" s="99"/>
      <c r="G2594" s="99"/>
      <c r="H2594" s="21"/>
      <c r="I2594" s="21"/>
      <c r="J2594" s="21"/>
      <c r="K2594" s="5" t="str">
        <f>IF(AND(LEN(H2594)=0, LEN(I2594)=0), "", IF(AND(LEN(H2594)&gt;0, LEN(I2594)=0), "BLANCO", IFERROR(VLOOKUP(I2594, BasedatosM9!A:B, 2, FALSE), "BLANCO")))</f>
        <v/>
      </c>
    </row>
    <row r="2595" spans="1:11" ht="14.4">
      <c r="A2595" s="21"/>
      <c r="B2595" s="86"/>
      <c r="C2595" s="98"/>
      <c r="D2595" s="21"/>
      <c r="E2595" s="86"/>
      <c r="F2595" s="99"/>
      <c r="G2595" s="99"/>
      <c r="H2595" s="21"/>
      <c r="I2595" s="86"/>
      <c r="J2595" s="21"/>
      <c r="K2595" s="5" t="str">
        <f>IF(AND(LEN(H2595)=0, LEN(I2595)=0), "", IF(AND(LEN(H2595)&gt;0, LEN(I2595)=0), "BLANCO", IFERROR(VLOOKUP(I2595, BasedatosM9!A:B, 2, FALSE), "BLANCO")))</f>
        <v/>
      </c>
    </row>
    <row r="2596" spans="1:11" ht="14.4">
      <c r="A2596" s="21"/>
      <c r="B2596" s="86"/>
      <c r="C2596" s="98"/>
      <c r="D2596" s="21"/>
      <c r="E2596" s="86"/>
      <c r="F2596" s="99"/>
      <c r="G2596" s="99"/>
      <c r="H2596" s="21"/>
      <c r="I2596" s="86"/>
      <c r="J2596" s="21"/>
      <c r="K2596" s="5" t="str">
        <f>IF(AND(LEN(H2596)=0, LEN(I2596)=0), "", IF(AND(LEN(H2596)&gt;0, LEN(I2596)=0), "BLANCO", IFERROR(VLOOKUP(I2596, BasedatosM9!A:B, 2, FALSE), "BLANCO")))</f>
        <v/>
      </c>
    </row>
    <row r="2597" spans="1:11" ht="14.4">
      <c r="A2597" s="21"/>
      <c r="B2597" s="86"/>
      <c r="C2597" s="98"/>
      <c r="D2597" s="21"/>
      <c r="E2597" s="86"/>
      <c r="F2597" s="99"/>
      <c r="G2597" s="99"/>
      <c r="H2597" s="21"/>
      <c r="I2597" s="86"/>
      <c r="J2597" s="21"/>
      <c r="K2597" s="5" t="str">
        <f>IF(AND(LEN(H2597)=0, LEN(I2597)=0), "", IF(AND(LEN(H2597)&gt;0, LEN(I2597)=0), "BLANCO", IFERROR(VLOOKUP(I2597, BasedatosM9!A:B, 2, FALSE), "BLANCO")))</f>
        <v/>
      </c>
    </row>
    <row r="2598" spans="1:11" ht="14.4">
      <c r="A2598" s="21"/>
      <c r="B2598" s="86"/>
      <c r="C2598" s="98"/>
      <c r="D2598" s="21"/>
      <c r="E2598" s="86"/>
      <c r="F2598" s="99"/>
      <c r="G2598" s="99"/>
      <c r="H2598" s="21"/>
      <c r="I2598" s="86"/>
      <c r="J2598" s="21"/>
      <c r="K2598" s="5" t="str">
        <f>IF(AND(LEN(H2598)=0, LEN(I2598)=0), "", IF(AND(LEN(H2598)&gt;0, LEN(I2598)=0), "BLANCO", IFERROR(VLOOKUP(I2598, BasedatosM9!A:B, 2, FALSE), "BLANCO")))</f>
        <v/>
      </c>
    </row>
    <row r="2599" spans="1:11" ht="14.4">
      <c r="A2599" s="21"/>
      <c r="B2599" s="86"/>
      <c r="C2599" s="98"/>
      <c r="D2599" s="21"/>
      <c r="E2599" s="86"/>
      <c r="F2599" s="99"/>
      <c r="G2599" s="99"/>
      <c r="H2599" s="21"/>
      <c r="I2599" s="86"/>
      <c r="J2599" s="21"/>
      <c r="K2599" s="5" t="str">
        <f>IF(AND(LEN(H2599)=0, LEN(I2599)=0), "", IF(AND(LEN(H2599)&gt;0, LEN(I2599)=0), "BLANCO", IFERROR(VLOOKUP(I2599, BasedatosM9!A:B, 2, FALSE), "BLANCO")))</f>
        <v/>
      </c>
    </row>
    <row r="2600" spans="1:11" ht="14.4">
      <c r="A2600" s="21"/>
      <c r="B2600" s="86"/>
      <c r="C2600" s="98"/>
      <c r="D2600" s="21"/>
      <c r="E2600" s="86"/>
      <c r="F2600" s="99"/>
      <c r="G2600" s="99"/>
      <c r="H2600" s="21"/>
      <c r="I2600" s="21"/>
      <c r="J2600" s="21"/>
      <c r="K2600" s="5" t="str">
        <f>IF(AND(LEN(H2600)=0, LEN(I2600)=0), "", IF(AND(LEN(H2600)&gt;0, LEN(I2600)=0), "BLANCO", IFERROR(VLOOKUP(I2600, BasedatosM9!A:B, 2, FALSE), "BLANCO")))</f>
        <v/>
      </c>
    </row>
    <row r="2601" spans="1:11" ht="14.4">
      <c r="A2601" s="21"/>
      <c r="B2601" s="86"/>
      <c r="C2601" s="98"/>
      <c r="D2601" s="21"/>
      <c r="E2601" s="86"/>
      <c r="F2601" s="99"/>
      <c r="G2601" s="99"/>
      <c r="H2601" s="21"/>
      <c r="I2601" s="21"/>
      <c r="J2601" s="21"/>
      <c r="K2601" s="5" t="str">
        <f>IF(AND(LEN(H2601)=0, LEN(I2601)=0), "", IF(AND(LEN(H2601)&gt;0, LEN(I2601)=0), "BLANCO", IFERROR(VLOOKUP(I2601, BasedatosM9!A:B, 2, FALSE), "BLANCO")))</f>
        <v/>
      </c>
    </row>
    <row r="2602" spans="1:11" ht="14.4">
      <c r="A2602" s="21"/>
      <c r="B2602" s="86"/>
      <c r="C2602" s="98"/>
      <c r="D2602" s="21"/>
      <c r="E2602" s="86"/>
      <c r="F2602" s="99"/>
      <c r="G2602" s="99"/>
      <c r="H2602" s="21"/>
      <c r="I2602" s="86"/>
      <c r="J2602" s="21"/>
      <c r="K2602" s="5" t="str">
        <f>IF(AND(LEN(H2602)=0, LEN(I2602)=0), "", IF(AND(LEN(H2602)&gt;0, LEN(I2602)=0), "BLANCO", IFERROR(VLOOKUP(I2602, BasedatosM9!A:B, 2, FALSE), "BLANCO")))</f>
        <v/>
      </c>
    </row>
    <row r="2603" spans="1:11" ht="14.4">
      <c r="A2603" s="21"/>
      <c r="B2603" s="86"/>
      <c r="C2603" s="98"/>
      <c r="D2603" s="21"/>
      <c r="E2603" s="86"/>
      <c r="F2603" s="99"/>
      <c r="G2603" s="99"/>
      <c r="H2603" s="21"/>
      <c r="I2603" s="21"/>
      <c r="J2603" s="21"/>
      <c r="K2603" s="5" t="str">
        <f>IF(AND(LEN(H2603)=0, LEN(I2603)=0), "", IF(AND(LEN(H2603)&gt;0, LEN(I2603)=0), "BLANCO", IFERROR(VLOOKUP(I2603, BasedatosM9!A:B, 2, FALSE), "BLANCO")))</f>
        <v/>
      </c>
    </row>
    <row r="2604" spans="1:11" ht="14.4">
      <c r="A2604" s="21"/>
      <c r="B2604" s="86"/>
      <c r="C2604" s="98"/>
      <c r="D2604" s="21"/>
      <c r="E2604" s="86"/>
      <c r="F2604" s="99"/>
      <c r="G2604" s="99"/>
      <c r="H2604" s="21"/>
      <c r="I2604" s="21"/>
      <c r="J2604" s="21"/>
      <c r="K2604" s="5" t="str">
        <f>IF(AND(LEN(H2604)=0, LEN(I2604)=0), "", IF(AND(LEN(H2604)&gt;0, LEN(I2604)=0), "BLANCO", IFERROR(VLOOKUP(I2604, BasedatosM9!A:B, 2, FALSE), "BLANCO")))</f>
        <v/>
      </c>
    </row>
    <row r="2605" spans="1:11" ht="14.4">
      <c r="A2605" s="21"/>
      <c r="B2605" s="86"/>
      <c r="C2605" s="98"/>
      <c r="D2605" s="21"/>
      <c r="E2605" s="86"/>
      <c r="F2605" s="99"/>
      <c r="G2605" s="99"/>
      <c r="H2605" s="21"/>
      <c r="I2605" s="86"/>
      <c r="J2605" s="21"/>
      <c r="K2605" s="5" t="str">
        <f>IF(AND(LEN(H2605)=0, LEN(I2605)=0), "", IF(AND(LEN(H2605)&gt;0, LEN(I2605)=0), "BLANCO", IFERROR(VLOOKUP(I2605, BasedatosM9!A:B, 2, FALSE), "BLANCO")))</f>
        <v/>
      </c>
    </row>
    <row r="2606" spans="1:11" ht="14.4">
      <c r="A2606" s="21"/>
      <c r="B2606" s="86"/>
      <c r="C2606" s="98"/>
      <c r="D2606" s="21"/>
      <c r="E2606" s="86"/>
      <c r="F2606" s="99"/>
      <c r="G2606" s="99"/>
      <c r="H2606" s="21"/>
      <c r="I2606" s="86"/>
      <c r="J2606" s="21"/>
      <c r="K2606" s="5" t="str">
        <f>IF(AND(LEN(H2606)=0, LEN(I2606)=0), "", IF(AND(LEN(H2606)&gt;0, LEN(I2606)=0), "BLANCO", IFERROR(VLOOKUP(I2606, BasedatosM9!A:B, 2, FALSE), "BLANCO")))</f>
        <v/>
      </c>
    </row>
    <row r="2607" spans="1:11" ht="14.4">
      <c r="A2607" s="21"/>
      <c r="B2607" s="86"/>
      <c r="C2607" s="98"/>
      <c r="D2607" s="21"/>
      <c r="E2607" s="86"/>
      <c r="F2607" s="99"/>
      <c r="G2607" s="99"/>
      <c r="H2607" s="21"/>
      <c r="I2607" s="86"/>
      <c r="J2607" s="21"/>
      <c r="K2607" s="5" t="str">
        <f>IF(AND(LEN(H2607)=0, LEN(I2607)=0), "", IF(AND(LEN(H2607)&gt;0, LEN(I2607)=0), "BLANCO", IFERROR(VLOOKUP(I2607, BasedatosM9!A:B, 2, FALSE), "BLANCO")))</f>
        <v/>
      </c>
    </row>
    <row r="2608" spans="1:11" ht="14.4">
      <c r="A2608" s="21"/>
      <c r="B2608" s="86"/>
      <c r="C2608" s="98"/>
      <c r="D2608" s="21"/>
      <c r="E2608" s="86"/>
      <c r="F2608" s="99"/>
      <c r="G2608" s="99"/>
      <c r="H2608" s="21"/>
      <c r="I2608" s="86"/>
      <c r="J2608" s="21"/>
      <c r="K2608" s="5" t="str">
        <f>IF(AND(LEN(H2608)=0, LEN(I2608)=0), "", IF(AND(LEN(H2608)&gt;0, LEN(I2608)=0), "BLANCO", IFERROR(VLOOKUP(I2608, BasedatosM9!A:B, 2, FALSE), "BLANCO")))</f>
        <v/>
      </c>
    </row>
    <row r="2609" spans="1:11" ht="14.4">
      <c r="A2609" s="21"/>
      <c r="B2609" s="86"/>
      <c r="C2609" s="98"/>
      <c r="D2609" s="21"/>
      <c r="E2609" s="86"/>
      <c r="F2609" s="99"/>
      <c r="G2609" s="99"/>
      <c r="H2609" s="21"/>
      <c r="I2609" s="86"/>
      <c r="J2609" s="21"/>
      <c r="K2609" s="5" t="str">
        <f>IF(AND(LEN(H2609)=0, LEN(I2609)=0), "", IF(AND(LEN(H2609)&gt;0, LEN(I2609)=0), "BLANCO", IFERROR(VLOOKUP(I2609, BasedatosM9!A:B, 2, FALSE), "BLANCO")))</f>
        <v/>
      </c>
    </row>
    <row r="2610" spans="1:11" ht="14.4">
      <c r="A2610" s="21"/>
      <c r="B2610" s="86"/>
      <c r="C2610" s="98"/>
      <c r="D2610" s="21"/>
      <c r="E2610" s="86"/>
      <c r="F2610" s="99"/>
      <c r="G2610" s="99"/>
      <c r="H2610" s="21"/>
      <c r="I2610" s="21"/>
      <c r="J2610" s="21"/>
      <c r="K2610" s="5" t="str">
        <f>IF(AND(LEN(H2610)=0, LEN(I2610)=0), "", IF(AND(LEN(H2610)&gt;0, LEN(I2610)=0), "BLANCO", IFERROR(VLOOKUP(I2610, BasedatosM9!A:B, 2, FALSE), "BLANCO")))</f>
        <v/>
      </c>
    </row>
    <row r="2611" spans="1:11" ht="14.4">
      <c r="A2611" s="21"/>
      <c r="B2611" s="86"/>
      <c r="C2611" s="98"/>
      <c r="D2611" s="21"/>
      <c r="E2611" s="86"/>
      <c r="F2611" s="99"/>
      <c r="G2611" s="99"/>
      <c r="H2611" s="21"/>
      <c r="I2611" s="86"/>
      <c r="J2611" s="21"/>
      <c r="K2611" s="5" t="str">
        <f>IF(AND(LEN(H2611)=0, LEN(I2611)=0), "", IF(AND(LEN(H2611)&gt;0, LEN(I2611)=0), "BLANCO", IFERROR(VLOOKUP(I2611, BasedatosM9!A:B, 2, FALSE), "BLANCO")))</f>
        <v/>
      </c>
    </row>
    <row r="2612" spans="1:11" ht="14.4">
      <c r="A2612" s="21"/>
      <c r="B2612" s="86"/>
      <c r="C2612" s="98"/>
      <c r="D2612" s="21"/>
      <c r="E2612" s="86"/>
      <c r="F2612" s="99"/>
      <c r="G2612" s="99"/>
      <c r="H2612" s="21"/>
      <c r="I2612" s="21"/>
      <c r="J2612" s="21"/>
      <c r="K2612" s="5" t="str">
        <f>IF(AND(LEN(H2612)=0, LEN(I2612)=0), "", IF(AND(LEN(H2612)&gt;0, LEN(I2612)=0), "BLANCO", IFERROR(VLOOKUP(I2612, BasedatosM9!A:B, 2, FALSE), "BLANCO")))</f>
        <v/>
      </c>
    </row>
    <row r="2613" spans="1:11" ht="14.4">
      <c r="A2613" s="21"/>
      <c r="B2613" s="86"/>
      <c r="C2613" s="98"/>
      <c r="D2613" s="21"/>
      <c r="E2613" s="86"/>
      <c r="F2613" s="99"/>
      <c r="G2613" s="99"/>
      <c r="H2613" s="21"/>
      <c r="I2613" s="21"/>
      <c r="J2613" s="21"/>
      <c r="K2613" s="5" t="str">
        <f>IF(AND(LEN(H2613)=0, LEN(I2613)=0), "", IF(AND(LEN(H2613)&gt;0, LEN(I2613)=0), "BLANCO", IFERROR(VLOOKUP(I2613, BasedatosM9!A:B, 2, FALSE), "BLANCO")))</f>
        <v/>
      </c>
    </row>
    <row r="2614" spans="1:11" ht="14.4">
      <c r="A2614" s="21"/>
      <c r="B2614" s="86"/>
      <c r="C2614" s="98"/>
      <c r="D2614" s="21"/>
      <c r="E2614" s="86"/>
      <c r="F2614" s="99"/>
      <c r="G2614" s="99"/>
      <c r="H2614" s="21"/>
      <c r="I2614" s="86"/>
      <c r="J2614" s="21"/>
      <c r="K2614" s="5" t="str">
        <f>IF(AND(LEN(H2614)=0, LEN(I2614)=0), "", IF(AND(LEN(H2614)&gt;0, LEN(I2614)=0), "BLANCO", IFERROR(VLOOKUP(I2614, BasedatosM9!A:B, 2, FALSE), "BLANCO")))</f>
        <v/>
      </c>
    </row>
    <row r="2615" spans="1:11" ht="14.4">
      <c r="A2615" s="21"/>
      <c r="B2615" s="86"/>
      <c r="C2615" s="98"/>
      <c r="D2615" s="21"/>
      <c r="E2615" s="86"/>
      <c r="F2615" s="99"/>
      <c r="G2615" s="99"/>
      <c r="H2615" s="21"/>
      <c r="I2615" s="86"/>
      <c r="J2615" s="21"/>
      <c r="K2615" s="5" t="str">
        <f>IF(AND(LEN(H2615)=0, LEN(I2615)=0), "", IF(AND(LEN(H2615)&gt;0, LEN(I2615)=0), "BLANCO", IFERROR(VLOOKUP(I2615, BasedatosM9!A:B, 2, FALSE), "BLANCO")))</f>
        <v/>
      </c>
    </row>
    <row r="2616" spans="1:11" ht="14.4">
      <c r="A2616" s="21"/>
      <c r="B2616" s="86"/>
      <c r="C2616" s="98"/>
      <c r="D2616" s="21"/>
      <c r="E2616" s="86"/>
      <c r="F2616" s="99"/>
      <c r="G2616" s="99"/>
      <c r="H2616" s="21"/>
      <c r="I2616" s="86"/>
      <c r="J2616" s="21"/>
      <c r="K2616" s="5" t="str">
        <f>IF(AND(LEN(H2616)=0, LEN(I2616)=0), "", IF(AND(LEN(H2616)&gt;0, LEN(I2616)=0), "BLANCO", IFERROR(VLOOKUP(I2616, BasedatosM9!A:B, 2, FALSE), "BLANCO")))</f>
        <v/>
      </c>
    </row>
    <row r="2617" spans="1:11" ht="14.4">
      <c r="A2617" s="21"/>
      <c r="B2617" s="86"/>
      <c r="C2617" s="98"/>
      <c r="D2617" s="21"/>
      <c r="E2617" s="86"/>
      <c r="F2617" s="99"/>
      <c r="G2617" s="99"/>
      <c r="H2617" s="21"/>
      <c r="I2617" s="86"/>
      <c r="J2617" s="21"/>
      <c r="K2617" s="5" t="str">
        <f>IF(AND(LEN(H2617)=0, LEN(I2617)=0), "", IF(AND(LEN(H2617)&gt;0, LEN(I2617)=0), "BLANCO", IFERROR(VLOOKUP(I2617, BasedatosM9!A:B, 2, FALSE), "BLANCO")))</f>
        <v/>
      </c>
    </row>
    <row r="2618" spans="1:11" ht="14.4">
      <c r="A2618" s="21"/>
      <c r="B2618" s="86"/>
      <c r="C2618" s="98"/>
      <c r="D2618" s="21"/>
      <c r="E2618" s="86"/>
      <c r="F2618" s="99"/>
      <c r="G2618" s="99"/>
      <c r="H2618" s="21"/>
      <c r="I2618" s="86"/>
      <c r="J2618" s="21"/>
      <c r="K2618" s="5" t="str">
        <f>IF(AND(LEN(H2618)=0, LEN(I2618)=0), "", IF(AND(LEN(H2618)&gt;0, LEN(I2618)=0), "BLANCO", IFERROR(VLOOKUP(I2618, BasedatosM9!A:B, 2, FALSE), "BLANCO")))</f>
        <v/>
      </c>
    </row>
    <row r="2619" spans="1:11" ht="14.4">
      <c r="A2619" s="21"/>
      <c r="B2619" s="86"/>
      <c r="C2619" s="98"/>
      <c r="D2619" s="21"/>
      <c r="E2619" s="86"/>
      <c r="F2619" s="99"/>
      <c r="G2619" s="99"/>
      <c r="H2619" s="21"/>
      <c r="I2619" s="86"/>
      <c r="J2619" s="21"/>
      <c r="K2619" s="5" t="str">
        <f>IF(AND(LEN(H2619)=0, LEN(I2619)=0), "", IF(AND(LEN(H2619)&gt;0, LEN(I2619)=0), "BLANCO", IFERROR(VLOOKUP(I2619, BasedatosM9!A:B, 2, FALSE), "BLANCO")))</f>
        <v/>
      </c>
    </row>
    <row r="2620" spans="1:11" ht="14.4">
      <c r="A2620" s="21"/>
      <c r="B2620" s="86"/>
      <c r="C2620" s="98"/>
      <c r="D2620" s="21"/>
      <c r="E2620" s="86"/>
      <c r="F2620" s="99"/>
      <c r="G2620" s="99"/>
      <c r="H2620" s="21"/>
      <c r="I2620" s="86"/>
      <c r="J2620" s="21"/>
      <c r="K2620" s="5" t="str">
        <f>IF(AND(LEN(H2620)=0, LEN(I2620)=0), "", IF(AND(LEN(H2620)&gt;0, LEN(I2620)=0), "BLANCO", IFERROR(VLOOKUP(I2620, BasedatosM9!A:B, 2, FALSE), "BLANCO")))</f>
        <v/>
      </c>
    </row>
    <row r="2621" spans="1:11" ht="14.4">
      <c r="A2621" s="21"/>
      <c r="B2621" s="86"/>
      <c r="C2621" s="98"/>
      <c r="D2621" s="21"/>
      <c r="E2621" s="86"/>
      <c r="F2621" s="99"/>
      <c r="G2621" s="99"/>
      <c r="H2621" s="21"/>
      <c r="I2621" s="86"/>
      <c r="J2621" s="21"/>
      <c r="K2621" s="5" t="str">
        <f>IF(AND(LEN(H2621)=0, LEN(I2621)=0), "", IF(AND(LEN(H2621)&gt;0, LEN(I2621)=0), "BLANCO", IFERROR(VLOOKUP(I2621, BasedatosM9!A:B, 2, FALSE), "BLANCO")))</f>
        <v/>
      </c>
    </row>
    <row r="2622" spans="1:11" ht="14.4">
      <c r="A2622" s="21"/>
      <c r="B2622" s="86"/>
      <c r="C2622" s="98"/>
      <c r="D2622" s="21"/>
      <c r="E2622" s="86"/>
      <c r="F2622" s="99"/>
      <c r="G2622" s="99"/>
      <c r="H2622" s="21"/>
      <c r="I2622" s="86"/>
      <c r="J2622" s="21"/>
      <c r="K2622" s="5" t="str">
        <f>IF(AND(LEN(H2622)=0, LEN(I2622)=0), "", IF(AND(LEN(H2622)&gt;0, LEN(I2622)=0), "BLANCO", IFERROR(VLOOKUP(I2622, BasedatosM9!A:B, 2, FALSE), "BLANCO")))</f>
        <v/>
      </c>
    </row>
    <row r="2623" spans="1:11" ht="14.4">
      <c r="A2623" s="21"/>
      <c r="B2623" s="86"/>
      <c r="C2623" s="98"/>
      <c r="D2623" s="21"/>
      <c r="E2623" s="86"/>
      <c r="F2623" s="99"/>
      <c r="G2623" s="99"/>
      <c r="H2623" s="21"/>
      <c r="I2623" s="86"/>
      <c r="J2623" s="21"/>
      <c r="K2623" s="5" t="str">
        <f>IF(AND(LEN(H2623)=0, LEN(I2623)=0), "", IF(AND(LEN(H2623)&gt;0, LEN(I2623)=0), "BLANCO", IFERROR(VLOOKUP(I2623, BasedatosM9!A:B, 2, FALSE), "BLANCO")))</f>
        <v/>
      </c>
    </row>
    <row r="2624" spans="1:11" ht="14.4">
      <c r="A2624" s="21"/>
      <c r="B2624" s="86"/>
      <c r="C2624" s="98"/>
      <c r="D2624" s="21"/>
      <c r="E2624" s="86"/>
      <c r="F2624" s="99"/>
      <c r="G2624" s="99"/>
      <c r="H2624" s="21"/>
      <c r="I2624" s="21"/>
      <c r="J2624" s="21"/>
      <c r="K2624" s="5" t="str">
        <f>IF(AND(LEN(H2624)=0, LEN(I2624)=0), "", IF(AND(LEN(H2624)&gt;0, LEN(I2624)=0), "BLANCO", IFERROR(VLOOKUP(I2624, BasedatosM9!A:B, 2, FALSE), "BLANCO")))</f>
        <v/>
      </c>
    </row>
    <row r="2625" spans="1:11" ht="14.4">
      <c r="A2625" s="21"/>
      <c r="B2625" s="86"/>
      <c r="C2625" s="98"/>
      <c r="D2625" s="21"/>
      <c r="E2625" s="86"/>
      <c r="F2625" s="99"/>
      <c r="G2625" s="99"/>
      <c r="H2625" s="21"/>
      <c r="I2625" s="21"/>
      <c r="J2625" s="21"/>
      <c r="K2625" s="5" t="str">
        <f>IF(AND(LEN(H2625)=0, LEN(I2625)=0), "", IF(AND(LEN(H2625)&gt;0, LEN(I2625)=0), "BLANCO", IFERROR(VLOOKUP(I2625, BasedatosM9!A:B, 2, FALSE), "BLANCO")))</f>
        <v/>
      </c>
    </row>
    <row r="2626" spans="1:11" ht="14.4">
      <c r="A2626" s="21"/>
      <c r="B2626" s="86"/>
      <c r="C2626" s="98"/>
      <c r="D2626" s="21"/>
      <c r="E2626" s="86"/>
      <c r="F2626" s="99"/>
      <c r="G2626" s="99"/>
      <c r="H2626" s="21"/>
      <c r="I2626" s="86"/>
      <c r="J2626" s="21"/>
      <c r="K2626" s="5" t="str">
        <f>IF(AND(LEN(H2626)=0, LEN(I2626)=0), "", IF(AND(LEN(H2626)&gt;0, LEN(I2626)=0), "BLANCO", IFERROR(VLOOKUP(I2626, BasedatosM9!A:B, 2, FALSE), "BLANCO")))</f>
        <v/>
      </c>
    </row>
    <row r="2627" spans="1:11" ht="14.4">
      <c r="A2627" s="21"/>
      <c r="B2627" s="86"/>
      <c r="C2627" s="98"/>
      <c r="D2627" s="21"/>
      <c r="E2627" s="86"/>
      <c r="F2627" s="99"/>
      <c r="G2627" s="99"/>
      <c r="H2627" s="21"/>
      <c r="I2627" s="86"/>
      <c r="J2627" s="21"/>
      <c r="K2627" s="5" t="str">
        <f>IF(AND(LEN(H2627)=0, LEN(I2627)=0), "", IF(AND(LEN(H2627)&gt;0, LEN(I2627)=0), "BLANCO", IFERROR(VLOOKUP(I2627, BasedatosM9!A:B, 2, FALSE), "BLANCO")))</f>
        <v/>
      </c>
    </row>
    <row r="2628" spans="1:11" ht="14.4">
      <c r="A2628" s="21"/>
      <c r="B2628" s="86"/>
      <c r="C2628" s="98"/>
      <c r="D2628" s="21"/>
      <c r="E2628" s="86"/>
      <c r="F2628" s="99"/>
      <c r="G2628" s="99"/>
      <c r="H2628" s="21"/>
      <c r="I2628" s="86"/>
      <c r="J2628" s="21"/>
      <c r="K2628" s="5" t="str">
        <f>IF(AND(LEN(H2628)=0, LEN(I2628)=0), "", IF(AND(LEN(H2628)&gt;0, LEN(I2628)=0), "BLANCO", IFERROR(VLOOKUP(I2628, BasedatosM9!A:B, 2, FALSE), "BLANCO")))</f>
        <v/>
      </c>
    </row>
    <row r="2629" spans="1:11" ht="14.4">
      <c r="A2629" s="21"/>
      <c r="B2629" s="86"/>
      <c r="C2629" s="98"/>
      <c r="D2629" s="21"/>
      <c r="E2629" s="86"/>
      <c r="F2629" s="99"/>
      <c r="G2629" s="99"/>
      <c r="H2629" s="21"/>
      <c r="I2629" s="86"/>
      <c r="J2629" s="21"/>
      <c r="K2629" s="5" t="str">
        <f>IF(AND(LEN(H2629)=0, LEN(I2629)=0), "", IF(AND(LEN(H2629)&gt;0, LEN(I2629)=0), "BLANCO", IFERROR(VLOOKUP(I2629, BasedatosM9!A:B, 2, FALSE), "BLANCO")))</f>
        <v/>
      </c>
    </row>
    <row r="2630" spans="1:11" ht="14.4">
      <c r="A2630" s="21"/>
      <c r="B2630" s="86"/>
      <c r="C2630" s="98"/>
      <c r="D2630" s="21"/>
      <c r="E2630" s="86"/>
      <c r="F2630" s="99"/>
      <c r="G2630" s="99"/>
      <c r="H2630" s="21"/>
      <c r="I2630" s="86"/>
      <c r="J2630" s="21"/>
      <c r="K2630" s="5" t="str">
        <f>IF(AND(LEN(H2630)=0, LEN(I2630)=0), "", IF(AND(LEN(H2630)&gt;0, LEN(I2630)=0), "BLANCO", IFERROR(VLOOKUP(I2630, BasedatosM9!A:B, 2, FALSE), "BLANCO")))</f>
        <v/>
      </c>
    </row>
    <row r="2631" spans="1:11" ht="14.4">
      <c r="A2631" s="21"/>
      <c r="B2631" s="86"/>
      <c r="C2631" s="98"/>
      <c r="D2631" s="21"/>
      <c r="E2631" s="86"/>
      <c r="F2631" s="99"/>
      <c r="G2631" s="99"/>
      <c r="H2631" s="21"/>
      <c r="I2631" s="86"/>
      <c r="J2631" s="21"/>
      <c r="K2631" s="5" t="str">
        <f>IF(AND(LEN(H2631)=0, LEN(I2631)=0), "", IF(AND(LEN(H2631)&gt;0, LEN(I2631)=0), "BLANCO", IFERROR(VLOOKUP(I2631, BasedatosM9!A:B, 2, FALSE), "BLANCO")))</f>
        <v/>
      </c>
    </row>
    <row r="2632" spans="1:11" ht="14.4">
      <c r="A2632" s="21"/>
      <c r="B2632" s="86"/>
      <c r="C2632" s="98"/>
      <c r="D2632" s="21"/>
      <c r="E2632" s="86"/>
      <c r="F2632" s="99"/>
      <c r="G2632" s="99"/>
      <c r="H2632" s="21"/>
      <c r="I2632" s="86"/>
      <c r="J2632" s="21"/>
      <c r="K2632" s="5" t="str">
        <f>IF(AND(LEN(H2632)=0, LEN(I2632)=0), "", IF(AND(LEN(H2632)&gt;0, LEN(I2632)=0), "BLANCO", IFERROR(VLOOKUP(I2632, BasedatosM9!A:B, 2, FALSE), "BLANCO")))</f>
        <v/>
      </c>
    </row>
    <row r="2633" spans="1:11" ht="14.4">
      <c r="A2633" s="21"/>
      <c r="B2633" s="86"/>
      <c r="C2633" s="98"/>
      <c r="D2633" s="21"/>
      <c r="E2633" s="86"/>
      <c r="F2633" s="99"/>
      <c r="G2633" s="99"/>
      <c r="H2633" s="21"/>
      <c r="I2633" s="86"/>
      <c r="J2633" s="21"/>
      <c r="K2633" s="5" t="str">
        <f>IF(AND(LEN(H2633)=0, LEN(I2633)=0), "", IF(AND(LEN(H2633)&gt;0, LEN(I2633)=0), "BLANCO", IFERROR(VLOOKUP(I2633, BasedatosM9!A:B, 2, FALSE), "BLANCO")))</f>
        <v/>
      </c>
    </row>
    <row r="2634" spans="1:11" ht="14.4">
      <c r="A2634" s="21"/>
      <c r="B2634" s="86"/>
      <c r="C2634" s="98"/>
      <c r="D2634" s="21"/>
      <c r="E2634" s="86"/>
      <c r="F2634" s="99"/>
      <c r="G2634" s="99"/>
      <c r="H2634" s="21"/>
      <c r="I2634" s="21"/>
      <c r="J2634" s="21"/>
      <c r="K2634" s="5" t="str">
        <f>IF(AND(LEN(H2634)=0, LEN(I2634)=0), "", IF(AND(LEN(H2634)&gt;0, LEN(I2634)=0), "BLANCO", IFERROR(VLOOKUP(I2634, BasedatosM9!A:B, 2, FALSE), "BLANCO")))</f>
        <v/>
      </c>
    </row>
    <row r="2635" spans="1:11" ht="14.4">
      <c r="A2635" s="21"/>
      <c r="B2635" s="86"/>
      <c r="C2635" s="98"/>
      <c r="D2635" s="21"/>
      <c r="E2635" s="86"/>
      <c r="F2635" s="99"/>
      <c r="G2635" s="99"/>
      <c r="H2635" s="21"/>
      <c r="I2635" s="86"/>
      <c r="J2635" s="21"/>
      <c r="K2635" s="5" t="str">
        <f>IF(AND(LEN(H2635)=0, LEN(I2635)=0), "", IF(AND(LEN(H2635)&gt;0, LEN(I2635)=0), "BLANCO", IFERROR(VLOOKUP(I2635, BasedatosM9!A:B, 2, FALSE), "BLANCO")))</f>
        <v/>
      </c>
    </row>
    <row r="2636" spans="1:11" ht="14.4">
      <c r="A2636" s="21"/>
      <c r="B2636" s="86"/>
      <c r="C2636" s="98"/>
      <c r="D2636" s="21"/>
      <c r="E2636" s="86"/>
      <c r="F2636" s="99"/>
      <c r="G2636" s="99"/>
      <c r="H2636" s="21"/>
      <c r="I2636" s="86"/>
      <c r="J2636" s="21"/>
      <c r="K2636" s="5" t="str">
        <f>IF(AND(LEN(H2636)=0, LEN(I2636)=0), "", IF(AND(LEN(H2636)&gt;0, LEN(I2636)=0), "BLANCO", IFERROR(VLOOKUP(I2636, BasedatosM9!A:B, 2, FALSE), "BLANCO")))</f>
        <v/>
      </c>
    </row>
    <row r="2637" spans="1:11" ht="14.4">
      <c r="A2637" s="21"/>
      <c r="B2637" s="86"/>
      <c r="C2637" s="98"/>
      <c r="D2637" s="21"/>
      <c r="E2637" s="86"/>
      <c r="F2637" s="99"/>
      <c r="G2637" s="99"/>
      <c r="H2637" s="21"/>
      <c r="I2637" s="21"/>
      <c r="J2637" s="21"/>
      <c r="K2637" s="5" t="str">
        <f>IF(AND(LEN(H2637)=0, LEN(I2637)=0), "", IF(AND(LEN(H2637)&gt;0, LEN(I2637)=0), "BLANCO", IFERROR(VLOOKUP(I2637, BasedatosM9!A:B, 2, FALSE), "BLANCO")))</f>
        <v/>
      </c>
    </row>
    <row r="2638" spans="1:11" ht="14.4">
      <c r="A2638" s="21"/>
      <c r="B2638" s="86"/>
      <c r="C2638" s="98"/>
      <c r="D2638" s="21"/>
      <c r="E2638" s="86"/>
      <c r="F2638" s="99"/>
      <c r="G2638" s="99"/>
      <c r="H2638" s="21"/>
      <c r="I2638" s="21"/>
      <c r="J2638" s="21"/>
      <c r="K2638" s="5" t="str">
        <f>IF(AND(LEN(H2638)=0, LEN(I2638)=0), "", IF(AND(LEN(H2638)&gt;0, LEN(I2638)=0), "BLANCO", IFERROR(VLOOKUP(I2638, BasedatosM9!A:B, 2, FALSE), "BLANCO")))</f>
        <v/>
      </c>
    </row>
    <row r="2639" spans="1:11" ht="14.4">
      <c r="A2639" s="21"/>
      <c r="B2639" s="86"/>
      <c r="C2639" s="98"/>
      <c r="D2639" s="21"/>
      <c r="E2639" s="86"/>
      <c r="F2639" s="99"/>
      <c r="G2639" s="99"/>
      <c r="H2639" s="21"/>
      <c r="I2639" s="86"/>
      <c r="J2639" s="21"/>
      <c r="K2639" s="5" t="str">
        <f>IF(AND(LEN(H2639)=0, LEN(I2639)=0), "", IF(AND(LEN(H2639)&gt;0, LEN(I2639)=0), "BLANCO", IFERROR(VLOOKUP(I2639, BasedatosM9!A:B, 2, FALSE), "BLANCO")))</f>
        <v/>
      </c>
    </row>
    <row r="2640" spans="1:11" ht="14.4">
      <c r="A2640" s="21"/>
      <c r="B2640" s="86"/>
      <c r="C2640" s="98"/>
      <c r="D2640" s="21"/>
      <c r="E2640" s="86"/>
      <c r="F2640" s="99"/>
      <c r="G2640" s="99"/>
      <c r="H2640" s="21"/>
      <c r="I2640" s="86"/>
      <c r="J2640" s="21"/>
      <c r="K2640" s="5" t="str">
        <f>IF(AND(LEN(H2640)=0, LEN(I2640)=0), "", IF(AND(LEN(H2640)&gt;0, LEN(I2640)=0), "BLANCO", IFERROR(VLOOKUP(I2640, BasedatosM9!A:B, 2, FALSE), "BLANCO")))</f>
        <v/>
      </c>
    </row>
    <row r="2641" spans="1:11" ht="14.4">
      <c r="A2641" s="21"/>
      <c r="B2641" s="86"/>
      <c r="C2641" s="98"/>
      <c r="D2641" s="21"/>
      <c r="E2641" s="86"/>
      <c r="F2641" s="99"/>
      <c r="G2641" s="99"/>
      <c r="H2641" s="21"/>
      <c r="I2641" s="21"/>
      <c r="J2641" s="21"/>
      <c r="K2641" s="5" t="str">
        <f>IF(AND(LEN(H2641)=0, LEN(I2641)=0), "", IF(AND(LEN(H2641)&gt;0, LEN(I2641)=0), "BLANCO", IFERROR(VLOOKUP(I2641, BasedatosM9!A:B, 2, FALSE), "BLANCO")))</f>
        <v/>
      </c>
    </row>
    <row r="2642" spans="1:11" ht="14.4">
      <c r="A2642" s="21"/>
      <c r="B2642" s="86"/>
      <c r="C2642" s="98"/>
      <c r="D2642" s="21"/>
      <c r="E2642" s="86"/>
      <c r="F2642" s="99"/>
      <c r="G2642" s="99"/>
      <c r="H2642" s="21"/>
      <c r="I2642" s="86"/>
      <c r="J2642" s="21"/>
      <c r="K2642" s="5" t="str">
        <f>IF(AND(LEN(H2642)=0, LEN(I2642)=0), "", IF(AND(LEN(H2642)&gt;0, LEN(I2642)=0), "BLANCO", IFERROR(VLOOKUP(I2642, BasedatosM9!A:B, 2, FALSE), "BLANCO")))</f>
        <v/>
      </c>
    </row>
    <row r="2643" spans="1:11" ht="14.4">
      <c r="A2643" s="21"/>
      <c r="B2643" s="86"/>
      <c r="C2643" s="98"/>
      <c r="D2643" s="21"/>
      <c r="E2643" s="86"/>
      <c r="F2643" s="99"/>
      <c r="G2643" s="99"/>
      <c r="H2643" s="21"/>
      <c r="I2643" s="86"/>
      <c r="J2643" s="21"/>
      <c r="K2643" s="5" t="str">
        <f>IF(AND(LEN(H2643)=0, LEN(I2643)=0), "", IF(AND(LEN(H2643)&gt;0, LEN(I2643)=0), "BLANCO", IFERROR(VLOOKUP(I2643, BasedatosM9!A:B, 2, FALSE), "BLANCO")))</f>
        <v/>
      </c>
    </row>
    <row r="2644" spans="1:11" ht="14.4">
      <c r="A2644" s="21"/>
      <c r="B2644" s="86"/>
      <c r="C2644" s="98"/>
      <c r="D2644" s="21"/>
      <c r="E2644" s="86"/>
      <c r="F2644" s="99"/>
      <c r="G2644" s="99"/>
      <c r="H2644" s="21"/>
      <c r="I2644" s="86"/>
      <c r="J2644" s="21"/>
      <c r="K2644" s="5" t="str">
        <f>IF(AND(LEN(H2644)=0, LEN(I2644)=0), "", IF(AND(LEN(H2644)&gt;0, LEN(I2644)=0), "BLANCO", IFERROR(VLOOKUP(I2644, BasedatosM9!A:B, 2, FALSE), "BLANCO")))</f>
        <v/>
      </c>
    </row>
    <row r="2645" spans="1:11" ht="14.4">
      <c r="A2645" s="21"/>
      <c r="B2645" s="86"/>
      <c r="C2645" s="98"/>
      <c r="D2645" s="21"/>
      <c r="E2645" s="86"/>
      <c r="F2645" s="99"/>
      <c r="G2645" s="99"/>
      <c r="H2645" s="21"/>
      <c r="I2645" s="21"/>
      <c r="J2645" s="21"/>
      <c r="K2645" s="5" t="str">
        <f>IF(AND(LEN(H2645)=0, LEN(I2645)=0), "", IF(AND(LEN(H2645)&gt;0, LEN(I2645)=0), "BLANCO", IFERROR(VLOOKUP(I2645, BasedatosM9!A:B, 2, FALSE), "BLANCO")))</f>
        <v/>
      </c>
    </row>
    <row r="2646" spans="1:11" ht="14.4">
      <c r="A2646" s="21"/>
      <c r="B2646" s="86"/>
      <c r="C2646" s="98"/>
      <c r="D2646" s="21"/>
      <c r="E2646" s="86"/>
      <c r="F2646" s="99"/>
      <c r="G2646" s="99"/>
      <c r="H2646" s="21"/>
      <c r="I2646" s="21"/>
      <c r="J2646" s="21"/>
      <c r="K2646" s="5" t="str">
        <f>IF(AND(LEN(H2646)=0, LEN(I2646)=0), "", IF(AND(LEN(H2646)&gt;0, LEN(I2646)=0), "BLANCO", IFERROR(VLOOKUP(I2646, BasedatosM9!A:B, 2, FALSE), "BLANCO")))</f>
        <v/>
      </c>
    </row>
    <row r="2647" spans="1:11" ht="14.4">
      <c r="A2647" s="21"/>
      <c r="B2647" s="86"/>
      <c r="C2647" s="98"/>
      <c r="D2647" s="21"/>
      <c r="E2647" s="86"/>
      <c r="F2647" s="99"/>
      <c r="G2647" s="99"/>
      <c r="H2647" s="21"/>
      <c r="I2647" s="21"/>
      <c r="J2647" s="21"/>
      <c r="K2647" s="5" t="str">
        <f>IF(AND(LEN(H2647)=0, LEN(I2647)=0), "", IF(AND(LEN(H2647)&gt;0, LEN(I2647)=0), "BLANCO", IFERROR(VLOOKUP(I2647, BasedatosM9!A:B, 2, FALSE), "BLANCO")))</f>
        <v/>
      </c>
    </row>
    <row r="2648" spans="1:11" ht="14.4">
      <c r="A2648" s="21"/>
      <c r="B2648" s="86"/>
      <c r="C2648" s="98"/>
      <c r="D2648" s="21"/>
      <c r="E2648" s="86"/>
      <c r="F2648" s="99"/>
      <c r="G2648" s="99"/>
      <c r="H2648" s="21"/>
      <c r="I2648" s="86"/>
      <c r="J2648" s="21"/>
      <c r="K2648" s="5" t="str">
        <f>IF(AND(LEN(H2648)=0, LEN(I2648)=0), "", IF(AND(LEN(H2648)&gt;0, LEN(I2648)=0), "BLANCO", IFERROR(VLOOKUP(I2648, BasedatosM9!A:B, 2, FALSE), "BLANCO")))</f>
        <v/>
      </c>
    </row>
    <row r="2649" spans="1:11" ht="14.4">
      <c r="A2649" s="21"/>
      <c r="B2649" s="86"/>
      <c r="C2649" s="98"/>
      <c r="D2649" s="21"/>
      <c r="E2649" s="86"/>
      <c r="F2649" s="99"/>
      <c r="G2649" s="99"/>
      <c r="H2649" s="21"/>
      <c r="I2649" s="86"/>
      <c r="J2649" s="21"/>
      <c r="K2649" s="5" t="str">
        <f>IF(AND(LEN(H2649)=0, LEN(I2649)=0), "", IF(AND(LEN(H2649)&gt;0, LEN(I2649)=0), "BLANCO", IFERROR(VLOOKUP(I2649, BasedatosM9!A:B, 2, FALSE), "BLANCO")))</f>
        <v/>
      </c>
    </row>
    <row r="2650" spans="1:11" ht="14.4">
      <c r="A2650" s="21"/>
      <c r="B2650" s="86"/>
      <c r="C2650" s="98"/>
      <c r="D2650" s="21"/>
      <c r="E2650" s="86"/>
      <c r="F2650" s="99"/>
      <c r="G2650" s="99"/>
      <c r="H2650" s="21"/>
      <c r="I2650" s="21"/>
      <c r="J2650" s="21"/>
      <c r="K2650" s="5" t="str">
        <f>IF(AND(LEN(H2650)=0, LEN(I2650)=0), "", IF(AND(LEN(H2650)&gt;0, LEN(I2650)=0), "BLANCO", IFERROR(VLOOKUP(I2650, BasedatosM9!A:B, 2, FALSE), "BLANCO")))</f>
        <v/>
      </c>
    </row>
    <row r="2651" spans="1:11" ht="14.4">
      <c r="A2651" s="21"/>
      <c r="B2651" s="86"/>
      <c r="C2651" s="98"/>
      <c r="D2651" s="21"/>
      <c r="E2651" s="86"/>
      <c r="F2651" s="99"/>
      <c r="G2651" s="99"/>
      <c r="H2651" s="21"/>
      <c r="I2651" s="21"/>
      <c r="J2651" s="21"/>
      <c r="K2651" s="5" t="str">
        <f>IF(AND(LEN(H2651)=0, LEN(I2651)=0), "", IF(AND(LEN(H2651)&gt;0, LEN(I2651)=0), "BLANCO", IFERROR(VLOOKUP(I2651, BasedatosM9!A:B, 2, FALSE), "BLANCO")))</f>
        <v/>
      </c>
    </row>
    <row r="2652" spans="1:11" ht="14.4">
      <c r="A2652" s="21"/>
      <c r="B2652" s="86"/>
      <c r="C2652" s="98"/>
      <c r="D2652" s="21"/>
      <c r="E2652" s="86"/>
      <c r="F2652" s="99"/>
      <c r="G2652" s="99"/>
      <c r="H2652" s="21"/>
      <c r="I2652" s="21"/>
      <c r="J2652" s="21"/>
      <c r="K2652" s="5" t="str">
        <f>IF(AND(LEN(H2652)=0, LEN(I2652)=0), "", IF(AND(LEN(H2652)&gt;0, LEN(I2652)=0), "BLANCO", IFERROR(VLOOKUP(I2652, BasedatosM9!A:B, 2, FALSE), "BLANCO")))</f>
        <v/>
      </c>
    </row>
    <row r="2653" spans="1:11" ht="14.4">
      <c r="A2653" s="21"/>
      <c r="B2653" s="86"/>
      <c r="C2653" s="98"/>
      <c r="D2653" s="21"/>
      <c r="E2653" s="86"/>
      <c r="F2653" s="99"/>
      <c r="G2653" s="99"/>
      <c r="H2653" s="21"/>
      <c r="I2653" s="21"/>
      <c r="J2653" s="21"/>
      <c r="K2653" s="5" t="str">
        <f>IF(AND(LEN(H2653)=0, LEN(I2653)=0), "", IF(AND(LEN(H2653)&gt;0, LEN(I2653)=0), "BLANCO", IFERROR(VLOOKUP(I2653, BasedatosM9!A:B, 2, FALSE), "BLANCO")))</f>
        <v/>
      </c>
    </row>
    <row r="2654" spans="1:11" ht="14.4">
      <c r="A2654" s="21"/>
      <c r="B2654" s="86"/>
      <c r="C2654" s="98"/>
      <c r="D2654" s="21"/>
      <c r="E2654" s="86"/>
      <c r="F2654" s="99"/>
      <c r="G2654" s="99"/>
      <c r="H2654" s="21"/>
      <c r="I2654" s="21"/>
      <c r="J2654" s="21"/>
      <c r="K2654" s="5" t="str">
        <f>IF(AND(LEN(H2654)=0, LEN(I2654)=0), "", IF(AND(LEN(H2654)&gt;0, LEN(I2654)=0), "BLANCO", IFERROR(VLOOKUP(I2654, BasedatosM9!A:B, 2, FALSE), "BLANCO")))</f>
        <v/>
      </c>
    </row>
    <row r="2655" spans="1:11" ht="14.4">
      <c r="A2655" s="21"/>
      <c r="B2655" s="86"/>
      <c r="C2655" s="98"/>
      <c r="D2655" s="21"/>
      <c r="E2655" s="86"/>
      <c r="F2655" s="99"/>
      <c r="G2655" s="99"/>
      <c r="H2655" s="21"/>
      <c r="I2655" s="86"/>
      <c r="J2655" s="21"/>
      <c r="K2655" s="5" t="str">
        <f>IF(AND(LEN(H2655)=0, LEN(I2655)=0), "", IF(AND(LEN(H2655)&gt;0, LEN(I2655)=0), "BLANCO", IFERROR(VLOOKUP(I2655, BasedatosM9!A:B, 2, FALSE), "BLANCO")))</f>
        <v/>
      </c>
    </row>
    <row r="2656" spans="1:11" ht="14.4">
      <c r="A2656" s="21"/>
      <c r="B2656" s="86"/>
      <c r="C2656" s="98"/>
      <c r="D2656" s="21"/>
      <c r="E2656" s="86"/>
      <c r="F2656" s="99"/>
      <c r="G2656" s="99"/>
      <c r="H2656" s="21"/>
      <c r="I2656" s="86"/>
      <c r="J2656" s="21"/>
      <c r="K2656" s="5" t="str">
        <f>IF(AND(LEN(H2656)=0, LEN(I2656)=0), "", IF(AND(LEN(H2656)&gt;0, LEN(I2656)=0), "BLANCO", IFERROR(VLOOKUP(I2656, BasedatosM9!A:B, 2, FALSE), "BLANCO")))</f>
        <v/>
      </c>
    </row>
    <row r="2657" spans="1:11" ht="14.4">
      <c r="A2657" s="21"/>
      <c r="B2657" s="86"/>
      <c r="C2657" s="98"/>
      <c r="D2657" s="21"/>
      <c r="E2657" s="86"/>
      <c r="F2657" s="99"/>
      <c r="G2657" s="99"/>
      <c r="H2657" s="21"/>
      <c r="I2657" s="86"/>
      <c r="J2657" s="21"/>
      <c r="K2657" s="5" t="str">
        <f>IF(AND(LEN(H2657)=0, LEN(I2657)=0), "", IF(AND(LEN(H2657)&gt;0, LEN(I2657)=0), "BLANCO", IFERROR(VLOOKUP(I2657, BasedatosM9!A:B, 2, FALSE), "BLANCO")))</f>
        <v/>
      </c>
    </row>
    <row r="2658" spans="1:11" ht="14.4">
      <c r="A2658" s="21"/>
      <c r="B2658" s="86"/>
      <c r="C2658" s="98"/>
      <c r="D2658" s="21"/>
      <c r="E2658" s="86"/>
      <c r="F2658" s="99"/>
      <c r="G2658" s="99"/>
      <c r="H2658" s="21"/>
      <c r="I2658" s="86"/>
      <c r="J2658" s="21"/>
      <c r="K2658" s="5" t="str">
        <f>IF(AND(LEN(H2658)=0, LEN(I2658)=0), "", IF(AND(LEN(H2658)&gt;0, LEN(I2658)=0), "BLANCO", IFERROR(VLOOKUP(I2658, BasedatosM9!A:B, 2, FALSE), "BLANCO")))</f>
        <v/>
      </c>
    </row>
    <row r="2659" spans="1:11" ht="14.4">
      <c r="A2659" s="21"/>
      <c r="B2659" s="86"/>
      <c r="C2659" s="98"/>
      <c r="D2659" s="21"/>
      <c r="E2659" s="86"/>
      <c r="F2659" s="99"/>
      <c r="G2659" s="99"/>
      <c r="H2659" s="21"/>
      <c r="I2659" s="86"/>
      <c r="J2659" s="21"/>
      <c r="K2659" s="5" t="str">
        <f>IF(AND(LEN(H2659)=0, LEN(I2659)=0), "", IF(AND(LEN(H2659)&gt;0, LEN(I2659)=0), "BLANCO", IFERROR(VLOOKUP(I2659, BasedatosM9!A:B, 2, FALSE), "BLANCO")))</f>
        <v/>
      </c>
    </row>
    <row r="2660" spans="1:11" ht="14.4">
      <c r="A2660" s="21"/>
      <c r="B2660" s="86"/>
      <c r="C2660" s="98"/>
      <c r="D2660" s="21"/>
      <c r="E2660" s="86"/>
      <c r="F2660" s="99"/>
      <c r="G2660" s="99"/>
      <c r="H2660" s="21"/>
      <c r="I2660" s="21"/>
      <c r="J2660" s="21"/>
      <c r="K2660" s="5" t="str">
        <f>IF(AND(LEN(H2660)=0, LEN(I2660)=0), "", IF(AND(LEN(H2660)&gt;0, LEN(I2660)=0), "BLANCO", IFERROR(VLOOKUP(I2660, BasedatosM9!A:B, 2, FALSE), "BLANCO")))</f>
        <v/>
      </c>
    </row>
    <row r="2661" spans="1:11" ht="14.4">
      <c r="A2661" s="21"/>
      <c r="B2661" s="86"/>
      <c r="C2661" s="98"/>
      <c r="D2661" s="21"/>
      <c r="E2661" s="86"/>
      <c r="F2661" s="99"/>
      <c r="G2661" s="99"/>
      <c r="H2661" s="21"/>
      <c r="I2661" s="86"/>
      <c r="J2661" s="21"/>
      <c r="K2661" s="5" t="str">
        <f>IF(AND(LEN(H2661)=0, LEN(I2661)=0), "", IF(AND(LEN(H2661)&gt;0, LEN(I2661)=0), "BLANCO", IFERROR(VLOOKUP(I2661, BasedatosM9!A:B, 2, FALSE), "BLANCO")))</f>
        <v/>
      </c>
    </row>
    <row r="2662" spans="1:11" ht="14.4">
      <c r="A2662" s="21"/>
      <c r="B2662" s="86"/>
      <c r="C2662" s="98"/>
      <c r="D2662" s="21"/>
      <c r="E2662" s="86"/>
      <c r="F2662" s="99"/>
      <c r="G2662" s="99"/>
      <c r="H2662" s="21"/>
      <c r="I2662" s="86"/>
      <c r="J2662" s="21"/>
      <c r="K2662" s="5" t="str">
        <f>IF(AND(LEN(H2662)=0, LEN(I2662)=0), "", IF(AND(LEN(H2662)&gt;0, LEN(I2662)=0), "BLANCO", IFERROR(VLOOKUP(I2662, BasedatosM9!A:B, 2, FALSE), "BLANCO")))</f>
        <v/>
      </c>
    </row>
    <row r="2663" spans="1:11" ht="14.4">
      <c r="A2663" s="21"/>
      <c r="B2663" s="86"/>
      <c r="C2663" s="98"/>
      <c r="D2663" s="21"/>
      <c r="E2663" s="86"/>
      <c r="F2663" s="99"/>
      <c r="G2663" s="99"/>
      <c r="H2663" s="21"/>
      <c r="I2663" s="86"/>
      <c r="J2663" s="21"/>
      <c r="K2663" s="5" t="str">
        <f>IF(AND(LEN(H2663)=0, LEN(I2663)=0), "", IF(AND(LEN(H2663)&gt;0, LEN(I2663)=0), "BLANCO", IFERROR(VLOOKUP(I2663, BasedatosM9!A:B, 2, FALSE), "BLANCO")))</f>
        <v/>
      </c>
    </row>
    <row r="2664" spans="1:11" ht="14.4">
      <c r="A2664" s="21"/>
      <c r="B2664" s="86"/>
      <c r="C2664" s="98"/>
      <c r="D2664" s="21"/>
      <c r="E2664" s="86"/>
      <c r="F2664" s="99"/>
      <c r="G2664" s="99"/>
      <c r="H2664" s="21"/>
      <c r="I2664" s="21"/>
      <c r="J2664" s="21"/>
      <c r="K2664" s="5" t="str">
        <f>IF(AND(LEN(H2664)=0, LEN(I2664)=0), "", IF(AND(LEN(H2664)&gt;0, LEN(I2664)=0), "BLANCO", IFERROR(VLOOKUP(I2664, BasedatosM9!A:B, 2, FALSE), "BLANCO")))</f>
        <v/>
      </c>
    </row>
    <row r="2665" spans="1:11" ht="14.4">
      <c r="A2665" s="21"/>
      <c r="B2665" s="86"/>
      <c r="C2665" s="98"/>
      <c r="D2665" s="21"/>
      <c r="E2665" s="86"/>
      <c r="F2665" s="99"/>
      <c r="G2665" s="99"/>
      <c r="H2665" s="21"/>
      <c r="I2665" s="21"/>
      <c r="J2665" s="21"/>
      <c r="K2665" s="5" t="str">
        <f>IF(AND(LEN(H2665)=0, LEN(I2665)=0), "", IF(AND(LEN(H2665)&gt;0, LEN(I2665)=0), "BLANCO", IFERROR(VLOOKUP(I2665, BasedatosM9!A:B, 2, FALSE), "BLANCO")))</f>
        <v/>
      </c>
    </row>
    <row r="2666" spans="1:11" ht="14.4">
      <c r="A2666" s="21"/>
      <c r="B2666" s="86"/>
      <c r="C2666" s="98"/>
      <c r="D2666" s="21"/>
      <c r="E2666" s="86"/>
      <c r="F2666" s="99"/>
      <c r="G2666" s="99"/>
      <c r="H2666" s="21"/>
      <c r="I2666" s="86"/>
      <c r="J2666" s="21"/>
      <c r="K2666" s="5" t="str">
        <f>IF(AND(LEN(H2666)=0, LEN(I2666)=0), "", IF(AND(LEN(H2666)&gt;0, LEN(I2666)=0), "BLANCO", IFERROR(VLOOKUP(I2666, BasedatosM9!A:B, 2, FALSE), "BLANCO")))</f>
        <v/>
      </c>
    </row>
    <row r="2667" spans="1:11" ht="14.4">
      <c r="A2667" s="21"/>
      <c r="B2667" s="86"/>
      <c r="C2667" s="98"/>
      <c r="D2667" s="21"/>
      <c r="E2667" s="86"/>
      <c r="F2667" s="99"/>
      <c r="G2667" s="99"/>
      <c r="H2667" s="21"/>
      <c r="I2667" s="86"/>
      <c r="J2667" s="21"/>
      <c r="K2667" s="5" t="str">
        <f>IF(AND(LEN(H2667)=0, LEN(I2667)=0), "", IF(AND(LEN(H2667)&gt;0, LEN(I2667)=0), "BLANCO", IFERROR(VLOOKUP(I2667, BasedatosM9!A:B, 2, FALSE), "BLANCO")))</f>
        <v/>
      </c>
    </row>
    <row r="2668" spans="1:11" ht="14.4">
      <c r="A2668" s="21"/>
      <c r="B2668" s="86"/>
      <c r="C2668" s="98"/>
      <c r="D2668" s="21"/>
      <c r="E2668" s="86"/>
      <c r="F2668" s="99"/>
      <c r="G2668" s="99"/>
      <c r="H2668" s="21"/>
      <c r="I2668" s="21"/>
      <c r="J2668" s="21"/>
      <c r="K2668" s="5" t="str">
        <f>IF(AND(LEN(H2668)=0, LEN(I2668)=0), "", IF(AND(LEN(H2668)&gt;0, LEN(I2668)=0), "BLANCO", IFERROR(VLOOKUP(I2668, BasedatosM9!A:B, 2, FALSE), "BLANCO")))</f>
        <v/>
      </c>
    </row>
    <row r="2669" spans="1:11" ht="14.4">
      <c r="A2669" s="21"/>
      <c r="B2669" s="86"/>
      <c r="C2669" s="98"/>
      <c r="D2669" s="21"/>
      <c r="E2669" s="86"/>
      <c r="F2669" s="99"/>
      <c r="G2669" s="99"/>
      <c r="H2669" s="21"/>
      <c r="I2669" s="86"/>
      <c r="J2669" s="21"/>
      <c r="K2669" s="5" t="str">
        <f>IF(AND(LEN(H2669)=0, LEN(I2669)=0), "", IF(AND(LEN(H2669)&gt;0, LEN(I2669)=0), "BLANCO", IFERROR(VLOOKUP(I2669, BasedatosM9!A:B, 2, FALSE), "BLANCO")))</f>
        <v/>
      </c>
    </row>
    <row r="2670" spans="1:11" ht="14.4">
      <c r="A2670" s="21"/>
      <c r="B2670" s="86"/>
      <c r="C2670" s="98"/>
      <c r="D2670" s="21"/>
      <c r="E2670" s="86"/>
      <c r="F2670" s="99"/>
      <c r="G2670" s="99"/>
      <c r="H2670" s="21"/>
      <c r="I2670" s="86"/>
      <c r="J2670" s="21"/>
      <c r="K2670" s="5" t="str">
        <f>IF(AND(LEN(H2670)=0, LEN(I2670)=0), "", IF(AND(LEN(H2670)&gt;0, LEN(I2670)=0), "BLANCO", IFERROR(VLOOKUP(I2670, BasedatosM9!A:B, 2, FALSE), "BLANCO")))</f>
        <v/>
      </c>
    </row>
    <row r="2671" spans="1:11" ht="14.4">
      <c r="A2671" s="21"/>
      <c r="B2671" s="86"/>
      <c r="C2671" s="98"/>
      <c r="D2671" s="21"/>
      <c r="E2671" s="86"/>
      <c r="F2671" s="99"/>
      <c r="G2671" s="99"/>
      <c r="H2671" s="21"/>
      <c r="I2671" s="21"/>
      <c r="J2671" s="21"/>
      <c r="K2671" s="5" t="str">
        <f>IF(AND(LEN(H2671)=0, LEN(I2671)=0), "", IF(AND(LEN(H2671)&gt;0, LEN(I2671)=0), "BLANCO", IFERROR(VLOOKUP(I2671, BasedatosM9!A:B, 2, FALSE), "BLANCO")))</f>
        <v/>
      </c>
    </row>
    <row r="2672" spans="1:11" ht="14.4">
      <c r="A2672" s="21"/>
      <c r="B2672" s="86"/>
      <c r="C2672" s="98"/>
      <c r="D2672" s="21"/>
      <c r="E2672" s="86"/>
      <c r="F2672" s="99"/>
      <c r="G2672" s="99"/>
      <c r="H2672" s="21"/>
      <c r="I2672" s="86"/>
      <c r="J2672" s="21"/>
      <c r="K2672" s="5" t="str">
        <f>IF(AND(LEN(H2672)=0, LEN(I2672)=0), "", IF(AND(LEN(H2672)&gt;0, LEN(I2672)=0), "BLANCO", IFERROR(VLOOKUP(I2672, BasedatosM9!A:B, 2, FALSE), "BLANCO")))</f>
        <v/>
      </c>
    </row>
    <row r="2673" spans="1:11" ht="14.4">
      <c r="A2673" s="21"/>
      <c r="B2673" s="86"/>
      <c r="C2673" s="98"/>
      <c r="D2673" s="21"/>
      <c r="E2673" s="86"/>
      <c r="F2673" s="99"/>
      <c r="G2673" s="99"/>
      <c r="H2673" s="21"/>
      <c r="I2673" s="21"/>
      <c r="J2673" s="21"/>
      <c r="K2673" s="5" t="str">
        <f>IF(AND(LEN(H2673)=0, LEN(I2673)=0), "", IF(AND(LEN(H2673)&gt;0, LEN(I2673)=0), "BLANCO", IFERROR(VLOOKUP(I2673, BasedatosM9!A:B, 2, FALSE), "BLANCO")))</f>
        <v/>
      </c>
    </row>
    <row r="2674" spans="1:11" ht="14.4">
      <c r="A2674" s="21"/>
      <c r="B2674" s="86"/>
      <c r="C2674" s="98"/>
      <c r="D2674" s="21"/>
      <c r="E2674" s="86"/>
      <c r="F2674" s="99"/>
      <c r="G2674" s="99"/>
      <c r="H2674" s="21"/>
      <c r="I2674" s="21"/>
      <c r="J2674" s="21"/>
      <c r="K2674" s="5" t="str">
        <f>IF(AND(LEN(H2674)=0, LEN(I2674)=0), "", IF(AND(LEN(H2674)&gt;0, LEN(I2674)=0), "BLANCO", IFERROR(VLOOKUP(I2674, BasedatosM9!A:B, 2, FALSE), "BLANCO")))</f>
        <v/>
      </c>
    </row>
    <row r="2675" spans="1:11" ht="14.4">
      <c r="A2675" s="21"/>
      <c r="B2675" s="86"/>
      <c r="C2675" s="98"/>
      <c r="D2675" s="21"/>
      <c r="E2675" s="86"/>
      <c r="F2675" s="99"/>
      <c r="G2675" s="99"/>
      <c r="H2675" s="21"/>
      <c r="I2675" s="21"/>
      <c r="J2675" s="21"/>
      <c r="K2675" s="5" t="str">
        <f>IF(AND(LEN(H2675)=0, LEN(I2675)=0), "", IF(AND(LEN(H2675)&gt;0, LEN(I2675)=0), "BLANCO", IFERROR(VLOOKUP(I2675, BasedatosM9!A:B, 2, FALSE), "BLANCO")))</f>
        <v/>
      </c>
    </row>
    <row r="2676" spans="1:11" ht="14.4">
      <c r="A2676" s="21"/>
      <c r="B2676" s="86"/>
      <c r="C2676" s="98"/>
      <c r="D2676" s="21"/>
      <c r="E2676" s="86"/>
      <c r="F2676" s="99"/>
      <c r="G2676" s="99"/>
      <c r="H2676" s="21"/>
      <c r="I2676" s="21"/>
      <c r="J2676" s="21"/>
      <c r="K2676" s="5" t="str">
        <f>IF(AND(LEN(H2676)=0, LEN(I2676)=0), "", IF(AND(LEN(H2676)&gt;0, LEN(I2676)=0), "BLANCO", IFERROR(VLOOKUP(I2676, BasedatosM9!A:B, 2, FALSE), "BLANCO")))</f>
        <v/>
      </c>
    </row>
    <row r="2677" spans="1:11" ht="14.4">
      <c r="A2677" s="21"/>
      <c r="B2677" s="86"/>
      <c r="C2677" s="98"/>
      <c r="D2677" s="21"/>
      <c r="E2677" s="86"/>
      <c r="F2677" s="99"/>
      <c r="G2677" s="99"/>
      <c r="H2677" s="21"/>
      <c r="I2677" s="86"/>
      <c r="J2677" s="21"/>
      <c r="K2677" s="5" t="str">
        <f>IF(AND(LEN(H2677)=0, LEN(I2677)=0), "", IF(AND(LEN(H2677)&gt;0, LEN(I2677)=0), "BLANCO", IFERROR(VLOOKUP(I2677, BasedatosM9!A:B, 2, FALSE), "BLANCO")))</f>
        <v/>
      </c>
    </row>
    <row r="2678" spans="1:11" ht="14.4">
      <c r="A2678" s="21"/>
      <c r="B2678" s="86"/>
      <c r="C2678" s="98"/>
      <c r="D2678" s="21"/>
      <c r="E2678" s="86"/>
      <c r="F2678" s="99"/>
      <c r="G2678" s="99"/>
      <c r="H2678" s="21"/>
      <c r="I2678" s="21"/>
      <c r="J2678" s="21"/>
      <c r="K2678" s="5" t="str">
        <f>IF(AND(LEN(H2678)=0, LEN(I2678)=0), "", IF(AND(LEN(H2678)&gt;0, LEN(I2678)=0), "BLANCO", IFERROR(VLOOKUP(I2678, BasedatosM9!A:B, 2, FALSE), "BLANCO")))</f>
        <v/>
      </c>
    </row>
    <row r="2679" spans="1:11" ht="14.4">
      <c r="A2679" s="21"/>
      <c r="B2679" s="86"/>
      <c r="C2679" s="98"/>
      <c r="D2679" s="21"/>
      <c r="E2679" s="86"/>
      <c r="F2679" s="99"/>
      <c r="G2679" s="99"/>
      <c r="H2679" s="21"/>
      <c r="I2679" s="21"/>
      <c r="J2679" s="21"/>
      <c r="K2679" s="5" t="str">
        <f>IF(AND(LEN(H2679)=0, LEN(I2679)=0), "", IF(AND(LEN(H2679)&gt;0, LEN(I2679)=0), "BLANCO", IFERROR(VLOOKUP(I2679, BasedatosM9!A:B, 2, FALSE), "BLANCO")))</f>
        <v/>
      </c>
    </row>
    <row r="2680" spans="1:11" ht="14.4">
      <c r="A2680" s="21"/>
      <c r="B2680" s="86"/>
      <c r="C2680" s="98"/>
      <c r="D2680" s="21"/>
      <c r="E2680" s="86"/>
      <c r="F2680" s="99"/>
      <c r="G2680" s="99"/>
      <c r="H2680" s="21"/>
      <c r="I2680" s="86"/>
      <c r="J2680" s="21"/>
      <c r="K2680" s="5" t="str">
        <f>IF(AND(LEN(H2680)=0, LEN(I2680)=0), "", IF(AND(LEN(H2680)&gt;0, LEN(I2680)=0), "BLANCO", IFERROR(VLOOKUP(I2680, BasedatosM9!A:B, 2, FALSE), "BLANCO")))</f>
        <v/>
      </c>
    </row>
    <row r="2681" spans="1:11" ht="14.4">
      <c r="A2681" s="21"/>
      <c r="B2681" s="86"/>
      <c r="C2681" s="98"/>
      <c r="D2681" s="21"/>
      <c r="E2681" s="86"/>
      <c r="F2681" s="99"/>
      <c r="G2681" s="99"/>
      <c r="H2681" s="21"/>
      <c r="I2681" s="86"/>
      <c r="J2681" s="21"/>
      <c r="K2681" s="5" t="str">
        <f>IF(AND(LEN(H2681)=0, LEN(I2681)=0), "", IF(AND(LEN(H2681)&gt;0, LEN(I2681)=0), "BLANCO", IFERROR(VLOOKUP(I2681, BasedatosM9!A:B, 2, FALSE), "BLANCO")))</f>
        <v/>
      </c>
    </row>
    <row r="2682" spans="1:11" ht="14.4">
      <c r="A2682" s="21"/>
      <c r="B2682" s="86"/>
      <c r="C2682" s="98"/>
      <c r="D2682" s="21"/>
      <c r="E2682" s="86"/>
      <c r="F2682" s="99"/>
      <c r="G2682" s="99"/>
      <c r="H2682" s="21"/>
      <c r="I2682" s="86"/>
      <c r="J2682" s="21"/>
      <c r="K2682" s="5" t="str">
        <f>IF(AND(LEN(H2682)=0, LEN(I2682)=0), "", IF(AND(LEN(H2682)&gt;0, LEN(I2682)=0), "BLANCO", IFERROR(VLOOKUP(I2682, BasedatosM9!A:B, 2, FALSE), "BLANCO")))</f>
        <v/>
      </c>
    </row>
    <row r="2683" spans="1:11" ht="14.4">
      <c r="A2683" s="21"/>
      <c r="B2683" s="86"/>
      <c r="C2683" s="98"/>
      <c r="D2683" s="21"/>
      <c r="E2683" s="86"/>
      <c r="F2683" s="99"/>
      <c r="G2683" s="99"/>
      <c r="H2683" s="21"/>
      <c r="I2683" s="86"/>
      <c r="J2683" s="21"/>
      <c r="K2683" s="5" t="str">
        <f>IF(AND(LEN(H2683)=0, LEN(I2683)=0), "", IF(AND(LEN(H2683)&gt;0, LEN(I2683)=0), "BLANCO", IFERROR(VLOOKUP(I2683, BasedatosM9!A:B, 2, FALSE), "BLANCO")))</f>
        <v/>
      </c>
    </row>
    <row r="2684" spans="1:11" ht="14.4">
      <c r="A2684" s="21"/>
      <c r="B2684" s="86"/>
      <c r="C2684" s="98"/>
      <c r="D2684" s="21"/>
      <c r="E2684" s="86"/>
      <c r="F2684" s="99"/>
      <c r="G2684" s="99"/>
      <c r="H2684" s="21"/>
      <c r="I2684" s="86"/>
      <c r="J2684" s="21"/>
      <c r="K2684" s="5" t="str">
        <f>IF(AND(LEN(H2684)=0, LEN(I2684)=0), "", IF(AND(LEN(H2684)&gt;0, LEN(I2684)=0), "BLANCO", IFERROR(VLOOKUP(I2684, BasedatosM9!A:B, 2, FALSE), "BLANCO")))</f>
        <v/>
      </c>
    </row>
    <row r="2685" spans="1:11" ht="14.4">
      <c r="A2685" s="21"/>
      <c r="B2685" s="86"/>
      <c r="C2685" s="98"/>
      <c r="D2685" s="21"/>
      <c r="E2685" s="86"/>
      <c r="F2685" s="99"/>
      <c r="G2685" s="99"/>
      <c r="H2685" s="21"/>
      <c r="I2685" s="86"/>
      <c r="J2685" s="21"/>
      <c r="K2685" s="5" t="str">
        <f>IF(AND(LEN(H2685)=0, LEN(I2685)=0), "", IF(AND(LEN(H2685)&gt;0, LEN(I2685)=0), "BLANCO", IFERROR(VLOOKUP(I2685, BasedatosM9!A:B, 2, FALSE), "BLANCO")))</f>
        <v/>
      </c>
    </row>
    <row r="2686" spans="1:11" ht="14.4">
      <c r="A2686" s="21"/>
      <c r="B2686" s="86"/>
      <c r="C2686" s="98"/>
      <c r="D2686" s="21"/>
      <c r="E2686" s="86"/>
      <c r="F2686" s="99"/>
      <c r="G2686" s="99"/>
      <c r="H2686" s="21"/>
      <c r="I2686" s="86"/>
      <c r="J2686" s="21"/>
      <c r="K2686" s="5" t="str">
        <f>IF(AND(LEN(H2686)=0, LEN(I2686)=0), "", IF(AND(LEN(H2686)&gt;0, LEN(I2686)=0), "BLANCO", IFERROR(VLOOKUP(I2686, BasedatosM9!A:B, 2, FALSE), "BLANCO")))</f>
        <v/>
      </c>
    </row>
    <row r="2687" spans="1:11" ht="14.4">
      <c r="A2687" s="21"/>
      <c r="B2687" s="86"/>
      <c r="C2687" s="98"/>
      <c r="D2687" s="21"/>
      <c r="E2687" s="86"/>
      <c r="F2687" s="99"/>
      <c r="G2687" s="99"/>
      <c r="H2687" s="21"/>
      <c r="I2687" s="21"/>
      <c r="J2687" s="21"/>
      <c r="K2687" s="5" t="str">
        <f>IF(AND(LEN(H2687)=0, LEN(I2687)=0), "", IF(AND(LEN(H2687)&gt;0, LEN(I2687)=0), "BLANCO", IFERROR(VLOOKUP(I2687, BasedatosM9!A:B, 2, FALSE), "BLANCO")))</f>
        <v/>
      </c>
    </row>
    <row r="2688" spans="1:11" ht="14.4">
      <c r="A2688" s="21"/>
      <c r="B2688" s="86"/>
      <c r="C2688" s="98"/>
      <c r="D2688" s="21"/>
      <c r="E2688" s="86"/>
      <c r="F2688" s="99"/>
      <c r="G2688" s="99"/>
      <c r="H2688" s="21"/>
      <c r="I2688" s="21"/>
      <c r="J2688" s="21"/>
      <c r="K2688" s="5" t="str">
        <f>IF(AND(LEN(H2688)=0, LEN(I2688)=0), "", IF(AND(LEN(H2688)&gt;0, LEN(I2688)=0), "BLANCO", IFERROR(VLOOKUP(I2688, BasedatosM9!A:B, 2, FALSE), "BLANCO")))</f>
        <v/>
      </c>
    </row>
    <row r="2689" spans="1:11" ht="14.4">
      <c r="A2689" s="21"/>
      <c r="B2689" s="86"/>
      <c r="C2689" s="98"/>
      <c r="D2689" s="21"/>
      <c r="E2689" s="86"/>
      <c r="F2689" s="99"/>
      <c r="G2689" s="99"/>
      <c r="H2689" s="21"/>
      <c r="I2689" s="21"/>
      <c r="J2689" s="21"/>
      <c r="K2689" s="5" t="str">
        <f>IF(AND(LEN(H2689)=0, LEN(I2689)=0), "", IF(AND(LEN(H2689)&gt;0, LEN(I2689)=0), "BLANCO", IFERROR(VLOOKUP(I2689, BasedatosM9!A:B, 2, FALSE), "BLANCO")))</f>
        <v/>
      </c>
    </row>
    <row r="2690" spans="1:11" ht="14.4">
      <c r="A2690" s="21"/>
      <c r="B2690" s="86"/>
      <c r="C2690" s="98"/>
      <c r="D2690" s="21"/>
      <c r="E2690" s="86"/>
      <c r="F2690" s="99"/>
      <c r="G2690" s="99"/>
      <c r="H2690" s="21"/>
      <c r="I2690" s="21"/>
      <c r="J2690" s="21"/>
      <c r="K2690" s="5" t="str">
        <f>IF(AND(LEN(H2690)=0, LEN(I2690)=0), "", IF(AND(LEN(H2690)&gt;0, LEN(I2690)=0), "BLANCO", IFERROR(VLOOKUP(I2690, BasedatosM9!A:B, 2, FALSE), "BLANCO")))</f>
        <v/>
      </c>
    </row>
    <row r="2691" spans="1:11" ht="14.4">
      <c r="A2691" s="21"/>
      <c r="B2691" s="86"/>
      <c r="C2691" s="98"/>
      <c r="D2691" s="21"/>
      <c r="E2691" s="86"/>
      <c r="F2691" s="99"/>
      <c r="G2691" s="99"/>
      <c r="H2691" s="21"/>
      <c r="I2691" s="21"/>
      <c r="J2691" s="21"/>
      <c r="K2691" s="5" t="str">
        <f>IF(AND(LEN(H2691)=0, LEN(I2691)=0), "", IF(AND(LEN(H2691)&gt;0, LEN(I2691)=0), "BLANCO", IFERROR(VLOOKUP(I2691, BasedatosM9!A:B, 2, FALSE), "BLANCO")))</f>
        <v/>
      </c>
    </row>
    <row r="2692" spans="1:11" ht="14.4">
      <c r="A2692" s="21"/>
      <c r="B2692" s="86"/>
      <c r="C2692" s="98"/>
      <c r="D2692" s="21"/>
      <c r="E2692" s="86"/>
      <c r="F2692" s="99"/>
      <c r="G2692" s="99"/>
      <c r="H2692" s="21"/>
      <c r="I2692" s="21"/>
      <c r="J2692" s="21"/>
      <c r="K2692" s="5" t="str">
        <f>IF(AND(LEN(H2692)=0, LEN(I2692)=0), "", IF(AND(LEN(H2692)&gt;0, LEN(I2692)=0), "BLANCO", IFERROR(VLOOKUP(I2692, BasedatosM9!A:B, 2, FALSE), "BLANCO")))</f>
        <v/>
      </c>
    </row>
    <row r="2693" spans="1:11" ht="14.4">
      <c r="A2693" s="21"/>
      <c r="B2693" s="86"/>
      <c r="C2693" s="98"/>
      <c r="D2693" s="21"/>
      <c r="E2693" s="86"/>
      <c r="F2693" s="99"/>
      <c r="G2693" s="99"/>
      <c r="H2693" s="21"/>
      <c r="I2693" s="86"/>
      <c r="J2693" s="21"/>
      <c r="K2693" s="5" t="str">
        <f>IF(AND(LEN(H2693)=0, LEN(I2693)=0), "", IF(AND(LEN(H2693)&gt;0, LEN(I2693)=0), "BLANCO", IFERROR(VLOOKUP(I2693, BasedatosM9!A:B, 2, FALSE), "BLANCO")))</f>
        <v/>
      </c>
    </row>
    <row r="2694" spans="1:11" ht="14.4">
      <c r="A2694" s="21"/>
      <c r="B2694" s="86"/>
      <c r="C2694" s="98"/>
      <c r="D2694" s="21"/>
      <c r="E2694" s="86"/>
      <c r="F2694" s="99"/>
      <c r="G2694" s="99"/>
      <c r="H2694" s="21"/>
      <c r="I2694" s="86"/>
      <c r="J2694" s="21"/>
      <c r="K2694" s="5" t="str">
        <f>IF(AND(LEN(H2694)=0, LEN(I2694)=0), "", IF(AND(LEN(H2694)&gt;0, LEN(I2694)=0), "BLANCO", IFERROR(VLOOKUP(I2694, BasedatosM9!A:B, 2, FALSE), "BLANCO")))</f>
        <v/>
      </c>
    </row>
    <row r="2695" spans="1:11" ht="14.4">
      <c r="A2695" s="21"/>
      <c r="B2695" s="86"/>
      <c r="C2695" s="98"/>
      <c r="D2695" s="21"/>
      <c r="E2695" s="86"/>
      <c r="F2695" s="99"/>
      <c r="G2695" s="99"/>
      <c r="H2695" s="21"/>
      <c r="I2695" s="86"/>
      <c r="J2695" s="21"/>
      <c r="K2695" s="5" t="str">
        <f>IF(AND(LEN(H2695)=0, LEN(I2695)=0), "", IF(AND(LEN(H2695)&gt;0, LEN(I2695)=0), "BLANCO", IFERROR(VLOOKUP(I2695, BasedatosM9!A:B, 2, FALSE), "BLANCO")))</f>
        <v/>
      </c>
    </row>
    <row r="2696" spans="1:11" ht="14.4">
      <c r="A2696" s="21"/>
      <c r="B2696" s="86"/>
      <c r="C2696" s="98"/>
      <c r="D2696" s="21"/>
      <c r="E2696" s="86"/>
      <c r="F2696" s="99"/>
      <c r="G2696" s="99"/>
      <c r="H2696" s="21"/>
      <c r="I2696" s="21"/>
      <c r="J2696" s="21"/>
      <c r="K2696" s="5" t="str">
        <f>IF(AND(LEN(H2696)=0, LEN(I2696)=0), "", IF(AND(LEN(H2696)&gt;0, LEN(I2696)=0), "BLANCO", IFERROR(VLOOKUP(I2696, BasedatosM9!A:B, 2, FALSE), "BLANCO")))</f>
        <v/>
      </c>
    </row>
    <row r="2697" spans="1:11" ht="14.4">
      <c r="A2697" s="21"/>
      <c r="B2697" s="86"/>
      <c r="C2697" s="98"/>
      <c r="D2697" s="21"/>
      <c r="E2697" s="86"/>
      <c r="F2697" s="99"/>
      <c r="G2697" s="99"/>
      <c r="H2697" s="21"/>
      <c r="I2697" s="86"/>
      <c r="J2697" s="21"/>
      <c r="K2697" s="5" t="str">
        <f>IF(AND(LEN(H2697)=0, LEN(I2697)=0), "", IF(AND(LEN(H2697)&gt;0, LEN(I2697)=0), "BLANCO", IFERROR(VLOOKUP(I2697, BasedatosM9!A:B, 2, FALSE), "BLANCO")))</f>
        <v/>
      </c>
    </row>
    <row r="2698" spans="1:11" ht="14.4">
      <c r="A2698" s="21"/>
      <c r="B2698" s="86"/>
      <c r="C2698" s="98"/>
      <c r="D2698" s="21"/>
      <c r="E2698" s="86"/>
      <c r="F2698" s="99"/>
      <c r="G2698" s="99"/>
      <c r="H2698" s="21"/>
      <c r="I2698" s="86"/>
      <c r="J2698" s="21"/>
      <c r="K2698" s="5" t="str">
        <f>IF(AND(LEN(H2698)=0, LEN(I2698)=0), "", IF(AND(LEN(H2698)&gt;0, LEN(I2698)=0), "BLANCO", IFERROR(VLOOKUP(I2698, BasedatosM9!A:B, 2, FALSE), "BLANCO")))</f>
        <v/>
      </c>
    </row>
    <row r="2699" spans="1:11" ht="14.4">
      <c r="A2699" s="21"/>
      <c r="B2699" s="86"/>
      <c r="C2699" s="98"/>
      <c r="D2699" s="21"/>
      <c r="E2699" s="86"/>
      <c r="F2699" s="99"/>
      <c r="G2699" s="99"/>
      <c r="H2699" s="21"/>
      <c r="I2699" s="21"/>
      <c r="J2699" s="21"/>
      <c r="K2699" s="5" t="str">
        <f>IF(AND(LEN(H2699)=0, LEN(I2699)=0), "", IF(AND(LEN(H2699)&gt;0, LEN(I2699)=0), "BLANCO", IFERROR(VLOOKUP(I2699, BasedatosM9!A:B, 2, FALSE), "BLANCO")))</f>
        <v/>
      </c>
    </row>
    <row r="2700" spans="1:11" ht="14.4">
      <c r="A2700" s="21"/>
      <c r="B2700" s="86"/>
      <c r="C2700" s="98"/>
      <c r="D2700" s="21"/>
      <c r="E2700" s="86"/>
      <c r="F2700" s="99"/>
      <c r="G2700" s="99"/>
      <c r="H2700" s="21"/>
      <c r="I2700" s="21"/>
      <c r="J2700" s="21"/>
      <c r="K2700" s="5" t="str">
        <f>IF(AND(LEN(H2700)=0, LEN(I2700)=0), "", IF(AND(LEN(H2700)&gt;0, LEN(I2700)=0), "BLANCO", IFERROR(VLOOKUP(I2700, BasedatosM9!A:B, 2, FALSE), "BLANCO")))</f>
        <v/>
      </c>
    </row>
    <row r="2701" spans="1:11" ht="14.4">
      <c r="A2701" s="21"/>
      <c r="B2701" s="86"/>
      <c r="C2701" s="98"/>
      <c r="D2701" s="21"/>
      <c r="E2701" s="86"/>
      <c r="F2701" s="99"/>
      <c r="G2701" s="99"/>
      <c r="H2701" s="21"/>
      <c r="I2701" s="21"/>
      <c r="J2701" s="21"/>
      <c r="K2701" s="5" t="str">
        <f>IF(AND(LEN(H2701)=0, LEN(I2701)=0), "", IF(AND(LEN(H2701)&gt;0, LEN(I2701)=0), "BLANCO", IFERROR(VLOOKUP(I2701, BasedatosM9!A:B, 2, FALSE), "BLANCO")))</f>
        <v/>
      </c>
    </row>
    <row r="2702" spans="1:11" ht="14.4">
      <c r="A2702" s="21"/>
      <c r="B2702" s="86"/>
      <c r="C2702" s="98"/>
      <c r="D2702" s="21"/>
      <c r="E2702" s="86"/>
      <c r="F2702" s="99"/>
      <c r="G2702" s="99"/>
      <c r="H2702" s="21"/>
      <c r="I2702" s="86"/>
      <c r="J2702" s="21"/>
      <c r="K2702" s="5" t="str">
        <f>IF(AND(LEN(H2702)=0, LEN(I2702)=0), "", IF(AND(LEN(H2702)&gt;0, LEN(I2702)=0), "BLANCO", IFERROR(VLOOKUP(I2702, BasedatosM9!A:B, 2, FALSE), "BLANCO")))</f>
        <v/>
      </c>
    </row>
    <row r="2703" spans="1:11" ht="14.4">
      <c r="A2703" s="21"/>
      <c r="B2703" s="86"/>
      <c r="C2703" s="98"/>
      <c r="D2703" s="21"/>
      <c r="E2703" s="86"/>
      <c r="F2703" s="99"/>
      <c r="G2703" s="99"/>
      <c r="H2703" s="21"/>
      <c r="I2703" s="86"/>
      <c r="J2703" s="21"/>
      <c r="K2703" s="5" t="str">
        <f>IF(AND(LEN(H2703)=0, LEN(I2703)=0), "", IF(AND(LEN(H2703)&gt;0, LEN(I2703)=0), "BLANCO", IFERROR(VLOOKUP(I2703, BasedatosM9!A:B, 2, FALSE), "BLANCO")))</f>
        <v/>
      </c>
    </row>
    <row r="2704" spans="1:11" ht="14.4">
      <c r="A2704" s="21"/>
      <c r="B2704" s="86"/>
      <c r="C2704" s="98"/>
      <c r="D2704" s="21"/>
      <c r="E2704" s="86"/>
      <c r="F2704" s="99"/>
      <c r="G2704" s="99"/>
      <c r="H2704" s="21"/>
      <c r="I2704" s="21"/>
      <c r="J2704" s="21"/>
      <c r="K2704" s="5" t="str">
        <f>IF(AND(LEN(H2704)=0, LEN(I2704)=0), "", IF(AND(LEN(H2704)&gt;0, LEN(I2704)=0), "BLANCO", IFERROR(VLOOKUP(I2704, BasedatosM9!A:B, 2, FALSE), "BLANCO")))</f>
        <v/>
      </c>
    </row>
    <row r="2705" spans="1:11" ht="14.4">
      <c r="A2705" s="21"/>
      <c r="B2705" s="86"/>
      <c r="C2705" s="98"/>
      <c r="D2705" s="21"/>
      <c r="E2705" s="86"/>
      <c r="F2705" s="99"/>
      <c r="G2705" s="99"/>
      <c r="H2705" s="21"/>
      <c r="I2705" s="21"/>
      <c r="J2705" s="21"/>
      <c r="K2705" s="5" t="str">
        <f>IF(AND(LEN(H2705)=0, LEN(I2705)=0), "", IF(AND(LEN(H2705)&gt;0, LEN(I2705)=0), "BLANCO", IFERROR(VLOOKUP(I2705, BasedatosM9!A:B, 2, FALSE), "BLANCO")))</f>
        <v/>
      </c>
    </row>
    <row r="2706" spans="1:11" ht="14.4">
      <c r="A2706" s="21"/>
      <c r="B2706" s="86"/>
      <c r="C2706" s="98"/>
      <c r="D2706" s="21"/>
      <c r="E2706" s="86"/>
      <c r="F2706" s="99"/>
      <c r="G2706" s="99"/>
      <c r="H2706" s="21"/>
      <c r="I2706" s="86"/>
      <c r="J2706" s="21"/>
      <c r="K2706" s="5" t="str">
        <f>IF(AND(LEN(H2706)=0, LEN(I2706)=0), "", IF(AND(LEN(H2706)&gt;0, LEN(I2706)=0), "BLANCO", IFERROR(VLOOKUP(I2706, BasedatosM9!A:B, 2, FALSE), "BLANCO")))</f>
        <v/>
      </c>
    </row>
    <row r="2707" spans="1:11" ht="14.4">
      <c r="A2707" s="21"/>
      <c r="B2707" s="86"/>
      <c r="C2707" s="98"/>
      <c r="D2707" s="21"/>
      <c r="E2707" s="86"/>
      <c r="F2707" s="99"/>
      <c r="G2707" s="99"/>
      <c r="H2707" s="21"/>
      <c r="I2707" s="21"/>
      <c r="J2707" s="21"/>
      <c r="K2707" s="5" t="str">
        <f>IF(AND(LEN(H2707)=0, LEN(I2707)=0), "", IF(AND(LEN(H2707)&gt;0, LEN(I2707)=0), "BLANCO", IFERROR(VLOOKUP(I2707, BasedatosM9!A:B, 2, FALSE), "BLANCO")))</f>
        <v/>
      </c>
    </row>
    <row r="2708" spans="1:11" ht="14.4">
      <c r="A2708" s="21"/>
      <c r="B2708" s="86"/>
      <c r="C2708" s="98"/>
      <c r="D2708" s="21"/>
      <c r="E2708" s="86"/>
      <c r="F2708" s="99"/>
      <c r="G2708" s="99"/>
      <c r="H2708" s="21"/>
      <c r="I2708" s="21"/>
      <c r="J2708" s="21"/>
      <c r="K2708" s="5" t="str">
        <f>IF(AND(LEN(H2708)=0, LEN(I2708)=0), "", IF(AND(LEN(H2708)&gt;0, LEN(I2708)=0), "BLANCO", IFERROR(VLOOKUP(I2708, BasedatosM9!A:B, 2, FALSE), "BLANCO")))</f>
        <v/>
      </c>
    </row>
    <row r="2709" spans="1:11" ht="14.4">
      <c r="A2709" s="21"/>
      <c r="B2709" s="86"/>
      <c r="C2709" s="98"/>
      <c r="D2709" s="21"/>
      <c r="E2709" s="86"/>
      <c r="F2709" s="99"/>
      <c r="G2709" s="99"/>
      <c r="H2709" s="21"/>
      <c r="I2709" s="21"/>
      <c r="J2709" s="21"/>
      <c r="K2709" s="5" t="str">
        <f>IF(AND(LEN(H2709)=0, LEN(I2709)=0), "", IF(AND(LEN(H2709)&gt;0, LEN(I2709)=0), "BLANCO", IFERROR(VLOOKUP(I2709, BasedatosM9!A:B, 2, FALSE), "BLANCO")))</f>
        <v/>
      </c>
    </row>
    <row r="2710" spans="1:11" ht="14.4">
      <c r="A2710" s="21"/>
      <c r="B2710" s="86"/>
      <c r="C2710" s="98"/>
      <c r="D2710" s="21"/>
      <c r="E2710" s="86"/>
      <c r="F2710" s="99"/>
      <c r="G2710" s="99"/>
      <c r="H2710" s="21"/>
      <c r="I2710" s="21"/>
      <c r="J2710" s="21"/>
      <c r="K2710" s="5" t="str">
        <f>IF(AND(LEN(H2710)=0, LEN(I2710)=0), "", IF(AND(LEN(H2710)&gt;0, LEN(I2710)=0), "BLANCO", IFERROR(VLOOKUP(I2710, BasedatosM9!A:B, 2, FALSE), "BLANCO")))</f>
        <v/>
      </c>
    </row>
    <row r="2711" spans="1:11" ht="14.4">
      <c r="A2711" s="21"/>
      <c r="B2711" s="86"/>
      <c r="C2711" s="98"/>
      <c r="D2711" s="21"/>
      <c r="E2711" s="86"/>
      <c r="F2711" s="99"/>
      <c r="G2711" s="99"/>
      <c r="H2711" s="21"/>
      <c r="I2711" s="86"/>
      <c r="J2711" s="21"/>
      <c r="K2711" s="5" t="str">
        <f>IF(AND(LEN(H2711)=0, LEN(I2711)=0), "", IF(AND(LEN(H2711)&gt;0, LEN(I2711)=0), "BLANCO", IFERROR(VLOOKUP(I2711, BasedatosM9!A:B, 2, FALSE), "BLANCO")))</f>
        <v/>
      </c>
    </row>
    <row r="2712" spans="1:11" ht="14.4">
      <c r="A2712" s="21"/>
      <c r="B2712" s="86"/>
      <c r="C2712" s="98"/>
      <c r="D2712" s="21"/>
      <c r="E2712" s="86"/>
      <c r="F2712" s="99"/>
      <c r="G2712" s="99"/>
      <c r="H2712" s="21"/>
      <c r="I2712" s="86"/>
      <c r="J2712" s="21"/>
      <c r="K2712" s="5" t="str">
        <f>IF(AND(LEN(H2712)=0, LEN(I2712)=0), "", IF(AND(LEN(H2712)&gt;0, LEN(I2712)=0), "BLANCO", IFERROR(VLOOKUP(I2712, BasedatosM9!A:B, 2, FALSE), "BLANCO")))</f>
        <v/>
      </c>
    </row>
    <row r="2713" spans="1:11" ht="14.4">
      <c r="A2713" s="21"/>
      <c r="B2713" s="86"/>
      <c r="C2713" s="98"/>
      <c r="D2713" s="21"/>
      <c r="E2713" s="86"/>
      <c r="F2713" s="99"/>
      <c r="G2713" s="99"/>
      <c r="H2713" s="21"/>
      <c r="I2713" s="86"/>
      <c r="J2713" s="21"/>
      <c r="K2713" s="5" t="str">
        <f>IF(AND(LEN(H2713)=0, LEN(I2713)=0), "", IF(AND(LEN(H2713)&gt;0, LEN(I2713)=0), "BLANCO", IFERROR(VLOOKUP(I2713, BasedatosM9!A:B, 2, FALSE), "BLANCO")))</f>
        <v/>
      </c>
    </row>
    <row r="2714" spans="1:11" ht="14.4">
      <c r="A2714" s="21"/>
      <c r="B2714" s="86"/>
      <c r="C2714" s="98"/>
      <c r="D2714" s="21"/>
      <c r="E2714" s="86"/>
      <c r="F2714" s="99"/>
      <c r="G2714" s="99"/>
      <c r="H2714" s="21"/>
      <c r="I2714" s="21"/>
      <c r="J2714" s="21"/>
      <c r="K2714" s="5" t="str">
        <f>IF(AND(LEN(H2714)=0, LEN(I2714)=0), "", IF(AND(LEN(H2714)&gt;0, LEN(I2714)=0), "BLANCO", IFERROR(VLOOKUP(I2714, BasedatosM9!A:B, 2, FALSE), "BLANCO")))</f>
        <v/>
      </c>
    </row>
    <row r="2715" spans="1:11" ht="14.4">
      <c r="A2715" s="21"/>
      <c r="B2715" s="86"/>
      <c r="C2715" s="98"/>
      <c r="D2715" s="21"/>
      <c r="E2715" s="86"/>
      <c r="F2715" s="99"/>
      <c r="G2715" s="99"/>
      <c r="H2715" s="21"/>
      <c r="I2715" s="21"/>
      <c r="J2715" s="21"/>
      <c r="K2715" s="5" t="str">
        <f>IF(AND(LEN(H2715)=0, LEN(I2715)=0), "", IF(AND(LEN(H2715)&gt;0, LEN(I2715)=0), "BLANCO", IFERROR(VLOOKUP(I2715, BasedatosM9!A:B, 2, FALSE), "BLANCO")))</f>
        <v/>
      </c>
    </row>
    <row r="2716" spans="1:11" ht="14.4">
      <c r="A2716" s="21"/>
      <c r="B2716" s="86"/>
      <c r="C2716" s="98"/>
      <c r="D2716" s="21"/>
      <c r="E2716" s="86"/>
      <c r="F2716" s="99"/>
      <c r="G2716" s="99"/>
      <c r="H2716" s="21"/>
      <c r="I2716" s="86"/>
      <c r="J2716" s="21"/>
      <c r="K2716" s="5" t="str">
        <f>IF(AND(LEN(H2716)=0, LEN(I2716)=0), "", IF(AND(LEN(H2716)&gt;0, LEN(I2716)=0), "BLANCO", IFERROR(VLOOKUP(I2716, BasedatosM9!A:B, 2, FALSE), "BLANCO")))</f>
        <v/>
      </c>
    </row>
    <row r="2717" spans="1:11" ht="14.4">
      <c r="A2717" s="21"/>
      <c r="B2717" s="86"/>
      <c r="C2717" s="98"/>
      <c r="D2717" s="21"/>
      <c r="E2717" s="86"/>
      <c r="F2717" s="99"/>
      <c r="G2717" s="99"/>
      <c r="H2717" s="21"/>
      <c r="I2717" s="86"/>
      <c r="J2717" s="21"/>
      <c r="K2717" s="5" t="str">
        <f>IF(AND(LEN(H2717)=0, LEN(I2717)=0), "", IF(AND(LEN(H2717)&gt;0, LEN(I2717)=0), "BLANCO", IFERROR(VLOOKUP(I2717, BasedatosM9!A:B, 2, FALSE), "BLANCO")))</f>
        <v/>
      </c>
    </row>
    <row r="2718" spans="1:11" ht="14.4">
      <c r="A2718" s="21"/>
      <c r="B2718" s="86"/>
      <c r="C2718" s="98"/>
      <c r="D2718" s="21"/>
      <c r="E2718" s="86"/>
      <c r="F2718" s="99"/>
      <c r="G2718" s="99"/>
      <c r="H2718" s="21"/>
      <c r="I2718" s="86"/>
      <c r="J2718" s="21"/>
      <c r="K2718" s="5" t="str">
        <f>IF(AND(LEN(H2718)=0, LEN(I2718)=0), "", IF(AND(LEN(H2718)&gt;0, LEN(I2718)=0), "BLANCO", IFERROR(VLOOKUP(I2718, BasedatosM9!A:B, 2, FALSE), "BLANCO")))</f>
        <v/>
      </c>
    </row>
    <row r="2719" spans="1:11" ht="14.4">
      <c r="A2719" s="21"/>
      <c r="B2719" s="86"/>
      <c r="C2719" s="98"/>
      <c r="D2719" s="21"/>
      <c r="E2719" s="86"/>
      <c r="F2719" s="99"/>
      <c r="G2719" s="99"/>
      <c r="H2719" s="21"/>
      <c r="I2719" s="21"/>
      <c r="J2719" s="21"/>
      <c r="K2719" s="5" t="str">
        <f>IF(AND(LEN(H2719)=0, LEN(I2719)=0), "", IF(AND(LEN(H2719)&gt;0, LEN(I2719)=0), "BLANCO", IFERROR(VLOOKUP(I2719, BasedatosM9!A:B, 2, FALSE), "BLANCO")))</f>
        <v/>
      </c>
    </row>
    <row r="2720" spans="1:11" ht="14.4">
      <c r="A2720" s="21"/>
      <c r="B2720" s="86"/>
      <c r="C2720" s="98"/>
      <c r="D2720" s="21"/>
      <c r="E2720" s="86"/>
      <c r="F2720" s="99"/>
      <c r="G2720" s="99"/>
      <c r="H2720" s="21"/>
      <c r="I2720" s="86"/>
      <c r="J2720" s="21"/>
      <c r="K2720" s="5" t="str">
        <f>IF(AND(LEN(H2720)=0, LEN(I2720)=0), "", IF(AND(LEN(H2720)&gt;0, LEN(I2720)=0), "BLANCO", IFERROR(VLOOKUP(I2720, BasedatosM9!A:B, 2, FALSE), "BLANCO")))</f>
        <v/>
      </c>
    </row>
    <row r="2721" spans="1:11" ht="14.4">
      <c r="A2721" s="21"/>
      <c r="B2721" s="86"/>
      <c r="C2721" s="98"/>
      <c r="D2721" s="21"/>
      <c r="E2721" s="86"/>
      <c r="F2721" s="99"/>
      <c r="G2721" s="99"/>
      <c r="H2721" s="21"/>
      <c r="I2721" s="21"/>
      <c r="J2721" s="21"/>
      <c r="K2721" s="5" t="str">
        <f>IF(AND(LEN(H2721)=0, LEN(I2721)=0), "", IF(AND(LEN(H2721)&gt;0, LEN(I2721)=0), "BLANCO", IFERROR(VLOOKUP(I2721, BasedatosM9!A:B, 2, FALSE), "BLANCO")))</f>
        <v/>
      </c>
    </row>
    <row r="2722" spans="1:11" ht="14.4">
      <c r="A2722" s="21"/>
      <c r="B2722" s="86"/>
      <c r="C2722" s="98"/>
      <c r="D2722" s="21"/>
      <c r="E2722" s="86"/>
      <c r="F2722" s="99"/>
      <c r="G2722" s="99"/>
      <c r="H2722" s="21"/>
      <c r="I2722" s="21"/>
      <c r="J2722" s="21"/>
      <c r="K2722" s="5" t="str">
        <f>IF(AND(LEN(H2722)=0, LEN(I2722)=0), "", IF(AND(LEN(H2722)&gt;0, LEN(I2722)=0), "BLANCO", IFERROR(VLOOKUP(I2722, BasedatosM9!A:B, 2, FALSE), "BLANCO")))</f>
        <v/>
      </c>
    </row>
    <row r="2723" spans="1:11" ht="14.4">
      <c r="A2723" s="21"/>
      <c r="B2723" s="86"/>
      <c r="C2723" s="98"/>
      <c r="D2723" s="21"/>
      <c r="E2723" s="86"/>
      <c r="F2723" s="99"/>
      <c r="G2723" s="99"/>
      <c r="H2723" s="21"/>
      <c r="I2723" s="86"/>
      <c r="J2723" s="21"/>
      <c r="K2723" s="5" t="str">
        <f>IF(AND(LEN(H2723)=0, LEN(I2723)=0), "", IF(AND(LEN(H2723)&gt;0, LEN(I2723)=0), "BLANCO", IFERROR(VLOOKUP(I2723, BasedatosM9!A:B, 2, FALSE), "BLANCO")))</f>
        <v/>
      </c>
    </row>
    <row r="2724" spans="1:11" ht="14.4">
      <c r="A2724" s="21"/>
      <c r="B2724" s="86"/>
      <c r="C2724" s="98"/>
      <c r="D2724" s="21"/>
      <c r="E2724" s="86"/>
      <c r="F2724" s="99"/>
      <c r="G2724" s="99"/>
      <c r="H2724" s="21"/>
      <c r="I2724" s="86"/>
      <c r="J2724" s="21"/>
      <c r="K2724" s="5" t="str">
        <f>IF(AND(LEN(H2724)=0, LEN(I2724)=0), "", IF(AND(LEN(H2724)&gt;0, LEN(I2724)=0), "BLANCO", IFERROR(VLOOKUP(I2724, BasedatosM9!A:B, 2, FALSE), "BLANCO")))</f>
        <v/>
      </c>
    </row>
    <row r="2725" spans="1:11" ht="14.4">
      <c r="A2725" s="21"/>
      <c r="B2725" s="86"/>
      <c r="C2725" s="98"/>
      <c r="D2725" s="21"/>
      <c r="E2725" s="86"/>
      <c r="F2725" s="99"/>
      <c r="G2725" s="99"/>
      <c r="H2725" s="21"/>
      <c r="I2725" s="86"/>
      <c r="J2725" s="21"/>
      <c r="K2725" s="5" t="str">
        <f>IF(AND(LEN(H2725)=0, LEN(I2725)=0), "", IF(AND(LEN(H2725)&gt;0, LEN(I2725)=0), "BLANCO", IFERROR(VLOOKUP(I2725, BasedatosM9!A:B, 2, FALSE), "BLANCO")))</f>
        <v/>
      </c>
    </row>
    <row r="2726" spans="1:11" ht="14.4">
      <c r="A2726" s="21"/>
      <c r="B2726" s="86"/>
      <c r="C2726" s="98"/>
      <c r="D2726" s="21"/>
      <c r="E2726" s="86"/>
      <c r="F2726" s="99"/>
      <c r="G2726" s="99"/>
      <c r="H2726" s="21"/>
      <c r="I2726" s="21"/>
      <c r="J2726" s="21"/>
      <c r="K2726" s="5" t="str">
        <f>IF(AND(LEN(H2726)=0, LEN(I2726)=0), "", IF(AND(LEN(H2726)&gt;0, LEN(I2726)=0), "BLANCO", IFERROR(VLOOKUP(I2726, BasedatosM9!A:B, 2, FALSE), "BLANCO")))</f>
        <v/>
      </c>
    </row>
    <row r="2727" spans="1:11" ht="14.4">
      <c r="A2727" s="21"/>
      <c r="B2727" s="86"/>
      <c r="C2727" s="98"/>
      <c r="D2727" s="21"/>
      <c r="E2727" s="86"/>
      <c r="F2727" s="99"/>
      <c r="G2727" s="99"/>
      <c r="H2727" s="21"/>
      <c r="I2727" s="21"/>
      <c r="J2727" s="21"/>
      <c r="K2727" s="5" t="str">
        <f>IF(AND(LEN(H2727)=0, LEN(I2727)=0), "", IF(AND(LEN(H2727)&gt;0, LEN(I2727)=0), "BLANCO", IFERROR(VLOOKUP(I2727, BasedatosM9!A:B, 2, FALSE), "BLANCO")))</f>
        <v/>
      </c>
    </row>
    <row r="2728" spans="1:11" ht="14.4">
      <c r="A2728" s="21"/>
      <c r="B2728" s="86"/>
      <c r="C2728" s="98"/>
      <c r="D2728" s="21"/>
      <c r="E2728" s="86"/>
      <c r="F2728" s="99"/>
      <c r="G2728" s="99"/>
      <c r="H2728" s="21"/>
      <c r="I2728" s="21"/>
      <c r="J2728" s="21"/>
      <c r="K2728" s="5" t="str">
        <f>IF(AND(LEN(H2728)=0, LEN(I2728)=0), "", IF(AND(LEN(H2728)&gt;0, LEN(I2728)=0), "BLANCO", IFERROR(VLOOKUP(I2728, BasedatosM9!A:B, 2, FALSE), "BLANCO")))</f>
        <v/>
      </c>
    </row>
    <row r="2729" spans="1:11" ht="14.4">
      <c r="A2729" s="21"/>
      <c r="B2729" s="86"/>
      <c r="C2729" s="98"/>
      <c r="D2729" s="21"/>
      <c r="E2729" s="86"/>
      <c r="F2729" s="99"/>
      <c r="G2729" s="99"/>
      <c r="H2729" s="21"/>
      <c r="I2729" s="21"/>
      <c r="J2729" s="21"/>
      <c r="K2729" s="5" t="str">
        <f>IF(AND(LEN(H2729)=0, LEN(I2729)=0), "", IF(AND(LEN(H2729)&gt;0, LEN(I2729)=0), "BLANCO", IFERROR(VLOOKUP(I2729, BasedatosM9!A:B, 2, FALSE), "BLANCO")))</f>
        <v/>
      </c>
    </row>
    <row r="2730" spans="1:11" ht="14.4">
      <c r="A2730" s="21"/>
      <c r="B2730" s="86"/>
      <c r="C2730" s="98"/>
      <c r="D2730" s="21"/>
      <c r="E2730" s="86"/>
      <c r="F2730" s="99"/>
      <c r="G2730" s="99"/>
      <c r="H2730" s="21"/>
      <c r="I2730" s="86"/>
      <c r="J2730" s="21"/>
      <c r="K2730" s="5" t="str">
        <f>IF(AND(LEN(H2730)=0, LEN(I2730)=0), "", IF(AND(LEN(H2730)&gt;0, LEN(I2730)=0), "BLANCO", IFERROR(VLOOKUP(I2730, BasedatosM9!A:B, 2, FALSE), "BLANCO")))</f>
        <v/>
      </c>
    </row>
    <row r="2731" spans="1:11" ht="14.4">
      <c r="A2731" s="21"/>
      <c r="B2731" s="86"/>
      <c r="C2731" s="98"/>
      <c r="D2731" s="21"/>
      <c r="E2731" s="86"/>
      <c r="F2731" s="99"/>
      <c r="G2731" s="99"/>
      <c r="H2731" s="21"/>
      <c r="I2731" s="21"/>
      <c r="J2731" s="21"/>
      <c r="K2731" s="5" t="str">
        <f>IF(AND(LEN(H2731)=0, LEN(I2731)=0), "", IF(AND(LEN(H2731)&gt;0, LEN(I2731)=0), "BLANCO", IFERROR(VLOOKUP(I2731, BasedatosM9!A:B, 2, FALSE), "BLANCO")))</f>
        <v/>
      </c>
    </row>
    <row r="2732" spans="1:11" ht="14.4">
      <c r="A2732" s="21"/>
      <c r="B2732" s="86"/>
      <c r="C2732" s="98"/>
      <c r="D2732" s="21"/>
      <c r="E2732" s="86"/>
      <c r="F2732" s="99"/>
      <c r="G2732" s="99"/>
      <c r="H2732" s="21"/>
      <c r="I2732" s="86"/>
      <c r="J2732" s="21"/>
      <c r="K2732" s="5" t="str">
        <f>IF(AND(LEN(H2732)=0, LEN(I2732)=0), "", IF(AND(LEN(H2732)&gt;0, LEN(I2732)=0), "BLANCO", IFERROR(VLOOKUP(I2732, BasedatosM9!A:B, 2, FALSE), "BLANCO")))</f>
        <v/>
      </c>
    </row>
    <row r="2733" spans="1:11" ht="14.4">
      <c r="A2733" s="21"/>
      <c r="B2733" s="86"/>
      <c r="C2733" s="98"/>
      <c r="D2733" s="21"/>
      <c r="E2733" s="86"/>
      <c r="F2733" s="99"/>
      <c r="G2733" s="99"/>
      <c r="H2733" s="21"/>
      <c r="I2733" s="86"/>
      <c r="J2733" s="21"/>
      <c r="K2733" s="5" t="str">
        <f>IF(AND(LEN(H2733)=0, LEN(I2733)=0), "", IF(AND(LEN(H2733)&gt;0, LEN(I2733)=0), "BLANCO", IFERROR(VLOOKUP(I2733, BasedatosM9!A:B, 2, FALSE), "BLANCO")))</f>
        <v/>
      </c>
    </row>
    <row r="2734" spans="1:11" ht="14.4">
      <c r="A2734" s="21"/>
      <c r="B2734" s="86"/>
      <c r="C2734" s="98"/>
      <c r="D2734" s="21"/>
      <c r="E2734" s="86"/>
      <c r="F2734" s="99"/>
      <c r="G2734" s="99"/>
      <c r="H2734" s="21"/>
      <c r="I2734" s="21"/>
      <c r="J2734" s="21"/>
      <c r="K2734" s="5" t="str">
        <f>IF(AND(LEN(H2734)=0, LEN(I2734)=0), "", IF(AND(LEN(H2734)&gt;0, LEN(I2734)=0), "BLANCO", IFERROR(VLOOKUP(I2734, BasedatosM9!A:B, 2, FALSE), "BLANCO")))</f>
        <v/>
      </c>
    </row>
    <row r="2735" spans="1:11" ht="14.4">
      <c r="A2735" s="21"/>
      <c r="B2735" s="86"/>
      <c r="C2735" s="98"/>
      <c r="D2735" s="21"/>
      <c r="E2735" s="86"/>
      <c r="F2735" s="99"/>
      <c r="G2735" s="99"/>
      <c r="H2735" s="21"/>
      <c r="I2735" s="86"/>
      <c r="J2735" s="21"/>
      <c r="K2735" s="5" t="str">
        <f>IF(AND(LEN(H2735)=0, LEN(I2735)=0), "", IF(AND(LEN(H2735)&gt;0, LEN(I2735)=0), "BLANCO", IFERROR(VLOOKUP(I2735, BasedatosM9!A:B, 2, FALSE), "BLANCO")))</f>
        <v/>
      </c>
    </row>
    <row r="2736" spans="1:11" ht="14.4">
      <c r="A2736" s="21"/>
      <c r="B2736" s="86"/>
      <c r="C2736" s="98"/>
      <c r="D2736" s="21"/>
      <c r="E2736" s="86"/>
      <c r="F2736" s="99"/>
      <c r="G2736" s="99"/>
      <c r="H2736" s="21"/>
      <c r="I2736" s="86"/>
      <c r="J2736" s="21"/>
      <c r="K2736" s="5" t="str">
        <f>IF(AND(LEN(H2736)=0, LEN(I2736)=0), "", IF(AND(LEN(H2736)&gt;0, LEN(I2736)=0), "BLANCO", IFERROR(VLOOKUP(I2736, BasedatosM9!A:B, 2, FALSE), "BLANCO")))</f>
        <v/>
      </c>
    </row>
    <row r="2737" spans="1:11" ht="14.4">
      <c r="A2737" s="21"/>
      <c r="B2737" s="86"/>
      <c r="C2737" s="98"/>
      <c r="D2737" s="21"/>
      <c r="E2737" s="86"/>
      <c r="F2737" s="99"/>
      <c r="G2737" s="99"/>
      <c r="H2737" s="21"/>
      <c r="I2737" s="86"/>
      <c r="J2737" s="21"/>
      <c r="K2737" s="5" t="str">
        <f>IF(AND(LEN(H2737)=0, LEN(I2737)=0), "", IF(AND(LEN(H2737)&gt;0, LEN(I2737)=0), "BLANCO", IFERROR(VLOOKUP(I2737, BasedatosM9!A:B, 2, FALSE), "BLANCO")))</f>
        <v/>
      </c>
    </row>
    <row r="2738" spans="1:11" ht="14.4">
      <c r="A2738" s="21"/>
      <c r="B2738" s="86"/>
      <c r="C2738" s="98"/>
      <c r="D2738" s="21"/>
      <c r="E2738" s="86"/>
      <c r="F2738" s="99"/>
      <c r="G2738" s="99"/>
      <c r="H2738" s="21"/>
      <c r="I2738" s="86"/>
      <c r="J2738" s="21"/>
      <c r="K2738" s="5" t="str">
        <f>IF(AND(LEN(H2738)=0, LEN(I2738)=0), "", IF(AND(LEN(H2738)&gt;0, LEN(I2738)=0), "BLANCO", IFERROR(VLOOKUP(I2738, BasedatosM9!A:B, 2, FALSE), "BLANCO")))</f>
        <v/>
      </c>
    </row>
    <row r="2739" spans="1:11" ht="14.4">
      <c r="A2739" s="21"/>
      <c r="B2739" s="86"/>
      <c r="C2739" s="98"/>
      <c r="D2739" s="21"/>
      <c r="E2739" s="86"/>
      <c r="F2739" s="99"/>
      <c r="G2739" s="99"/>
      <c r="H2739" s="21"/>
      <c r="I2739" s="86"/>
      <c r="J2739" s="21"/>
      <c r="K2739" s="5" t="str">
        <f>IF(AND(LEN(H2739)=0, LEN(I2739)=0), "", IF(AND(LEN(H2739)&gt;0, LEN(I2739)=0), "BLANCO", IFERROR(VLOOKUP(I2739, BasedatosM9!A:B, 2, FALSE), "BLANCO")))</f>
        <v/>
      </c>
    </row>
    <row r="2740" spans="1:11" ht="14.4">
      <c r="A2740" s="21"/>
      <c r="B2740" s="86"/>
      <c r="C2740" s="98"/>
      <c r="D2740" s="21"/>
      <c r="E2740" s="86"/>
      <c r="F2740" s="99"/>
      <c r="G2740" s="99"/>
      <c r="H2740" s="21"/>
      <c r="I2740" s="86"/>
      <c r="J2740" s="21"/>
      <c r="K2740" s="5" t="str">
        <f>IF(AND(LEN(H2740)=0, LEN(I2740)=0), "", IF(AND(LEN(H2740)&gt;0, LEN(I2740)=0), "BLANCO", IFERROR(VLOOKUP(I2740, BasedatosM9!A:B, 2, FALSE), "BLANCO")))</f>
        <v/>
      </c>
    </row>
    <row r="2741" spans="1:11" ht="14.4">
      <c r="A2741" s="21"/>
      <c r="B2741" s="86"/>
      <c r="C2741" s="98"/>
      <c r="D2741" s="21"/>
      <c r="E2741" s="86"/>
      <c r="F2741" s="99"/>
      <c r="G2741" s="99"/>
      <c r="H2741" s="21"/>
      <c r="I2741" s="21"/>
      <c r="J2741" s="21"/>
      <c r="K2741" s="5" t="str">
        <f>IF(AND(LEN(H2741)=0, LEN(I2741)=0), "", IF(AND(LEN(H2741)&gt;0, LEN(I2741)=0), "BLANCO", IFERROR(VLOOKUP(I2741, BasedatosM9!A:B, 2, FALSE), "BLANCO")))</f>
        <v/>
      </c>
    </row>
    <row r="2742" spans="1:11" ht="14.4">
      <c r="A2742" s="21"/>
      <c r="B2742" s="86"/>
      <c r="C2742" s="98"/>
      <c r="D2742" s="21"/>
      <c r="E2742" s="86"/>
      <c r="F2742" s="99"/>
      <c r="G2742" s="99"/>
      <c r="H2742" s="21"/>
      <c r="I2742" s="21"/>
      <c r="J2742" s="21"/>
      <c r="K2742" s="5" t="str">
        <f>IF(AND(LEN(H2742)=0, LEN(I2742)=0), "", IF(AND(LEN(H2742)&gt;0, LEN(I2742)=0), "BLANCO", IFERROR(VLOOKUP(I2742, BasedatosM9!A:B, 2, FALSE), "BLANCO")))</f>
        <v/>
      </c>
    </row>
    <row r="2743" spans="1:11" ht="14.4">
      <c r="A2743" s="21"/>
      <c r="B2743" s="86"/>
      <c r="C2743" s="98"/>
      <c r="D2743" s="21"/>
      <c r="E2743" s="86"/>
      <c r="F2743" s="99"/>
      <c r="G2743" s="99"/>
      <c r="H2743" s="21"/>
      <c r="I2743" s="21"/>
      <c r="J2743" s="21"/>
      <c r="K2743" s="5" t="str">
        <f>IF(AND(LEN(H2743)=0, LEN(I2743)=0), "", IF(AND(LEN(H2743)&gt;0, LEN(I2743)=0), "BLANCO", IFERROR(VLOOKUP(I2743, BasedatosM9!A:B, 2, FALSE), "BLANCO")))</f>
        <v/>
      </c>
    </row>
    <row r="2744" spans="1:11" ht="14.4">
      <c r="A2744" s="21"/>
      <c r="B2744" s="86"/>
      <c r="C2744" s="98"/>
      <c r="D2744" s="21"/>
      <c r="E2744" s="86"/>
      <c r="F2744" s="99"/>
      <c r="G2744" s="99"/>
      <c r="H2744" s="21"/>
      <c r="I2744" s="86"/>
      <c r="J2744" s="21"/>
      <c r="K2744" s="5" t="str">
        <f>IF(AND(LEN(H2744)=0, LEN(I2744)=0), "", IF(AND(LEN(H2744)&gt;0, LEN(I2744)=0), "BLANCO", IFERROR(VLOOKUP(I2744, BasedatosM9!A:B, 2, FALSE), "BLANCO")))</f>
        <v/>
      </c>
    </row>
    <row r="2745" spans="1:11" ht="14.4">
      <c r="A2745" s="21"/>
      <c r="B2745" s="86"/>
      <c r="C2745" s="98"/>
      <c r="D2745" s="21"/>
      <c r="E2745" s="86"/>
      <c r="F2745" s="99"/>
      <c r="G2745" s="99"/>
      <c r="H2745" s="21"/>
      <c r="I2745" s="86"/>
      <c r="J2745" s="21"/>
      <c r="K2745" s="5" t="str">
        <f>IF(AND(LEN(H2745)=0, LEN(I2745)=0), "", IF(AND(LEN(H2745)&gt;0, LEN(I2745)=0), "BLANCO", IFERROR(VLOOKUP(I2745, BasedatosM9!A:B, 2, FALSE), "BLANCO")))</f>
        <v/>
      </c>
    </row>
    <row r="2746" spans="1:11" ht="14.4">
      <c r="A2746" s="21"/>
      <c r="B2746" s="86"/>
      <c r="C2746" s="98"/>
      <c r="D2746" s="21"/>
      <c r="E2746" s="86"/>
      <c r="F2746" s="99"/>
      <c r="G2746" s="99"/>
      <c r="H2746" s="21"/>
      <c r="I2746" s="21"/>
      <c r="J2746" s="21"/>
      <c r="K2746" s="5" t="str">
        <f>IF(AND(LEN(H2746)=0, LEN(I2746)=0), "", IF(AND(LEN(H2746)&gt;0, LEN(I2746)=0), "BLANCO", IFERROR(VLOOKUP(I2746, BasedatosM9!A:B, 2, FALSE), "BLANCO")))</f>
        <v/>
      </c>
    </row>
    <row r="2747" spans="1:11" ht="14.4">
      <c r="A2747" s="21"/>
      <c r="B2747" s="86"/>
      <c r="C2747" s="98"/>
      <c r="D2747" s="21"/>
      <c r="E2747" s="86"/>
      <c r="F2747" s="99"/>
      <c r="G2747" s="99"/>
      <c r="H2747" s="21"/>
      <c r="I2747" s="21"/>
      <c r="J2747" s="21"/>
      <c r="K2747" s="5" t="str">
        <f>IF(AND(LEN(H2747)=0, LEN(I2747)=0), "", IF(AND(LEN(H2747)&gt;0, LEN(I2747)=0), "BLANCO", IFERROR(VLOOKUP(I2747, BasedatosM9!A:B, 2, FALSE), "BLANCO")))</f>
        <v/>
      </c>
    </row>
    <row r="2748" spans="1:11" ht="14.4">
      <c r="A2748" s="21"/>
      <c r="B2748" s="86"/>
      <c r="C2748" s="98"/>
      <c r="D2748" s="21"/>
      <c r="E2748" s="86"/>
      <c r="F2748" s="99"/>
      <c r="G2748" s="99"/>
      <c r="H2748" s="21"/>
      <c r="I2748" s="86"/>
      <c r="J2748" s="21"/>
      <c r="K2748" s="5" t="str">
        <f>IF(AND(LEN(H2748)=0, LEN(I2748)=0), "", IF(AND(LEN(H2748)&gt;0, LEN(I2748)=0), "BLANCO", IFERROR(VLOOKUP(I2748, BasedatosM9!A:B, 2, FALSE), "BLANCO")))</f>
        <v/>
      </c>
    </row>
    <row r="2749" spans="1:11" ht="14.4">
      <c r="A2749" s="21"/>
      <c r="B2749" s="86"/>
      <c r="C2749" s="98"/>
      <c r="D2749" s="21"/>
      <c r="E2749" s="86"/>
      <c r="F2749" s="99"/>
      <c r="G2749" s="99"/>
      <c r="H2749" s="21"/>
      <c r="I2749" s="21"/>
      <c r="J2749" s="21"/>
      <c r="K2749" s="5" t="str">
        <f>IF(AND(LEN(H2749)=0, LEN(I2749)=0), "", IF(AND(LEN(H2749)&gt;0, LEN(I2749)=0), "BLANCO", IFERROR(VLOOKUP(I2749, BasedatosM9!A:B, 2, FALSE), "BLANCO")))</f>
        <v/>
      </c>
    </row>
    <row r="2750" spans="1:11" ht="14.4">
      <c r="A2750" s="21"/>
      <c r="B2750" s="86"/>
      <c r="C2750" s="98"/>
      <c r="D2750" s="21"/>
      <c r="E2750" s="86"/>
      <c r="F2750" s="99"/>
      <c r="G2750" s="99"/>
      <c r="H2750" s="21"/>
      <c r="I2750" s="86"/>
      <c r="J2750" s="21"/>
      <c r="K2750" s="5" t="str">
        <f>IF(AND(LEN(H2750)=0, LEN(I2750)=0), "", IF(AND(LEN(H2750)&gt;0, LEN(I2750)=0), "BLANCO", IFERROR(VLOOKUP(I2750, BasedatosM9!A:B, 2, FALSE), "BLANCO")))</f>
        <v/>
      </c>
    </row>
    <row r="2751" spans="1:11" ht="14.4">
      <c r="A2751" s="21"/>
      <c r="B2751" s="86"/>
      <c r="C2751" s="98"/>
      <c r="D2751" s="21"/>
      <c r="E2751" s="86"/>
      <c r="F2751" s="99"/>
      <c r="G2751" s="99"/>
      <c r="H2751" s="21"/>
      <c r="I2751" s="86"/>
      <c r="J2751" s="21"/>
      <c r="K2751" s="5" t="str">
        <f>IF(AND(LEN(H2751)=0, LEN(I2751)=0), "", IF(AND(LEN(H2751)&gt;0, LEN(I2751)=0), "BLANCO", IFERROR(VLOOKUP(I2751, BasedatosM9!A:B, 2, FALSE), "BLANCO")))</f>
        <v/>
      </c>
    </row>
    <row r="2752" spans="1:11" ht="14.4">
      <c r="A2752" s="21"/>
      <c r="B2752" s="86"/>
      <c r="C2752" s="98"/>
      <c r="D2752" s="21"/>
      <c r="E2752" s="86"/>
      <c r="F2752" s="99"/>
      <c r="G2752" s="99"/>
      <c r="H2752" s="21"/>
      <c r="I2752" s="86"/>
      <c r="J2752" s="21"/>
      <c r="K2752" s="5" t="str">
        <f>IF(AND(LEN(H2752)=0, LEN(I2752)=0), "", IF(AND(LEN(H2752)&gt;0, LEN(I2752)=0), "BLANCO", IFERROR(VLOOKUP(I2752, BasedatosM9!A:B, 2, FALSE), "BLANCO")))</f>
        <v/>
      </c>
    </row>
    <row r="2753" spans="1:11" ht="14.4">
      <c r="A2753" s="21"/>
      <c r="B2753" s="86"/>
      <c r="C2753" s="98"/>
      <c r="D2753" s="21"/>
      <c r="E2753" s="86"/>
      <c r="F2753" s="99"/>
      <c r="G2753" s="99"/>
      <c r="H2753" s="21"/>
      <c r="I2753" s="86"/>
      <c r="J2753" s="21"/>
      <c r="K2753" s="5" t="str">
        <f>IF(AND(LEN(H2753)=0, LEN(I2753)=0), "", IF(AND(LEN(H2753)&gt;0, LEN(I2753)=0), "BLANCO", IFERROR(VLOOKUP(I2753, BasedatosM9!A:B, 2, FALSE), "BLANCO")))</f>
        <v/>
      </c>
    </row>
    <row r="2754" spans="1:11" ht="14.4">
      <c r="A2754" s="21"/>
      <c r="B2754" s="86"/>
      <c r="C2754" s="98"/>
      <c r="D2754" s="21"/>
      <c r="E2754" s="86"/>
      <c r="F2754" s="99"/>
      <c r="G2754" s="99"/>
      <c r="H2754" s="21"/>
      <c r="I2754" s="86"/>
      <c r="J2754" s="21"/>
      <c r="K2754" s="5" t="str">
        <f>IF(AND(LEN(H2754)=0, LEN(I2754)=0), "", IF(AND(LEN(H2754)&gt;0, LEN(I2754)=0), "BLANCO", IFERROR(VLOOKUP(I2754, BasedatosM9!A:B, 2, FALSE), "BLANCO")))</f>
        <v/>
      </c>
    </row>
    <row r="2755" spans="1:11" ht="14.4">
      <c r="A2755" s="21"/>
      <c r="B2755" s="86"/>
      <c r="C2755" s="98"/>
      <c r="D2755" s="21"/>
      <c r="E2755" s="86"/>
      <c r="F2755" s="99"/>
      <c r="G2755" s="99"/>
      <c r="H2755" s="21"/>
      <c r="I2755" s="86"/>
      <c r="J2755" s="21"/>
      <c r="K2755" s="5" t="str">
        <f>IF(AND(LEN(H2755)=0, LEN(I2755)=0), "", IF(AND(LEN(H2755)&gt;0, LEN(I2755)=0), "BLANCO", IFERROR(VLOOKUP(I2755, BasedatosM9!A:B, 2, FALSE), "BLANCO")))</f>
        <v/>
      </c>
    </row>
    <row r="2756" spans="1:11" ht="14.4">
      <c r="A2756" s="21"/>
      <c r="B2756" s="86"/>
      <c r="C2756" s="98"/>
      <c r="D2756" s="21"/>
      <c r="E2756" s="86"/>
      <c r="F2756" s="99"/>
      <c r="G2756" s="99"/>
      <c r="H2756" s="21"/>
      <c r="I2756" s="86"/>
      <c r="J2756" s="21"/>
      <c r="K2756" s="5" t="str">
        <f>IF(AND(LEN(H2756)=0, LEN(I2756)=0), "", IF(AND(LEN(H2756)&gt;0, LEN(I2756)=0), "BLANCO", IFERROR(VLOOKUP(I2756, BasedatosM9!A:B, 2, FALSE), "BLANCO")))</f>
        <v/>
      </c>
    </row>
    <row r="2757" spans="1:11" ht="14.4">
      <c r="A2757" s="21"/>
      <c r="B2757" s="86"/>
      <c r="C2757" s="98"/>
      <c r="D2757" s="21"/>
      <c r="E2757" s="86"/>
      <c r="F2757" s="99"/>
      <c r="G2757" s="99"/>
      <c r="H2757" s="21"/>
      <c r="I2757" s="21"/>
      <c r="J2757" s="21"/>
      <c r="K2757" s="5" t="str">
        <f>IF(AND(LEN(H2757)=0, LEN(I2757)=0), "", IF(AND(LEN(H2757)&gt;0, LEN(I2757)=0), "BLANCO", IFERROR(VLOOKUP(I2757, BasedatosM9!A:B, 2, FALSE), "BLANCO")))</f>
        <v/>
      </c>
    </row>
    <row r="2758" spans="1:11" ht="14.4">
      <c r="A2758" s="21"/>
      <c r="B2758" s="86"/>
      <c r="C2758" s="98"/>
      <c r="D2758" s="21"/>
      <c r="E2758" s="86"/>
      <c r="F2758" s="99"/>
      <c r="G2758" s="99"/>
      <c r="H2758" s="21"/>
      <c r="I2758" s="21"/>
      <c r="J2758" s="21"/>
      <c r="K2758" s="5" t="str">
        <f>IF(AND(LEN(H2758)=0, LEN(I2758)=0), "", IF(AND(LEN(H2758)&gt;0, LEN(I2758)=0), "BLANCO", IFERROR(VLOOKUP(I2758, BasedatosM9!A:B, 2, FALSE), "BLANCO")))</f>
        <v/>
      </c>
    </row>
    <row r="2759" spans="1:11" ht="14.4">
      <c r="A2759" s="21"/>
      <c r="B2759" s="86"/>
      <c r="C2759" s="98"/>
      <c r="D2759" s="21"/>
      <c r="E2759" s="86"/>
      <c r="F2759" s="99"/>
      <c r="G2759" s="99"/>
      <c r="H2759" s="21"/>
      <c r="I2759" s="86"/>
      <c r="J2759" s="21"/>
      <c r="K2759" s="5" t="str">
        <f>IF(AND(LEN(H2759)=0, LEN(I2759)=0), "", IF(AND(LEN(H2759)&gt;0, LEN(I2759)=0), "BLANCO", IFERROR(VLOOKUP(I2759, BasedatosM9!A:B, 2, FALSE), "BLANCO")))</f>
        <v/>
      </c>
    </row>
    <row r="2760" spans="1:11" ht="14.4">
      <c r="A2760" s="21"/>
      <c r="B2760" s="86"/>
      <c r="C2760" s="98"/>
      <c r="D2760" s="21"/>
      <c r="E2760" s="86"/>
      <c r="F2760" s="99"/>
      <c r="G2760" s="99"/>
      <c r="H2760" s="21"/>
      <c r="I2760" s="86"/>
      <c r="J2760" s="21"/>
      <c r="K2760" s="5" t="str">
        <f>IF(AND(LEN(H2760)=0, LEN(I2760)=0), "", IF(AND(LEN(H2760)&gt;0, LEN(I2760)=0), "BLANCO", IFERROR(VLOOKUP(I2760, BasedatosM9!A:B, 2, FALSE), "BLANCO")))</f>
        <v/>
      </c>
    </row>
    <row r="2761" spans="1:11" ht="14.4">
      <c r="A2761" s="21"/>
      <c r="B2761" s="86"/>
      <c r="C2761" s="98"/>
      <c r="D2761" s="21"/>
      <c r="E2761" s="86"/>
      <c r="F2761" s="99"/>
      <c r="G2761" s="99"/>
      <c r="H2761" s="21"/>
      <c r="I2761" s="86"/>
      <c r="J2761" s="21"/>
      <c r="K2761" s="5" t="str">
        <f>IF(AND(LEN(H2761)=0, LEN(I2761)=0), "", IF(AND(LEN(H2761)&gt;0, LEN(I2761)=0), "BLANCO", IFERROR(VLOOKUP(I2761, BasedatosM9!A:B, 2, FALSE), "BLANCO")))</f>
        <v/>
      </c>
    </row>
    <row r="2762" spans="1:11" ht="14.4">
      <c r="A2762" s="21"/>
      <c r="B2762" s="86"/>
      <c r="C2762" s="98"/>
      <c r="D2762" s="21"/>
      <c r="E2762" s="86"/>
      <c r="F2762" s="99"/>
      <c r="G2762" s="99"/>
      <c r="H2762" s="21"/>
      <c r="I2762" s="86"/>
      <c r="J2762" s="21"/>
      <c r="K2762" s="5" t="str">
        <f>IF(AND(LEN(H2762)=0, LEN(I2762)=0), "", IF(AND(LEN(H2762)&gt;0, LEN(I2762)=0), "BLANCO", IFERROR(VLOOKUP(I2762, BasedatosM9!A:B, 2, FALSE), "BLANCO")))</f>
        <v/>
      </c>
    </row>
    <row r="2763" spans="1:11" ht="14.4">
      <c r="A2763" s="21"/>
      <c r="B2763" s="86"/>
      <c r="C2763" s="98"/>
      <c r="D2763" s="21"/>
      <c r="E2763" s="86"/>
      <c r="F2763" s="99"/>
      <c r="G2763" s="99"/>
      <c r="H2763" s="21"/>
      <c r="I2763" s="86"/>
      <c r="J2763" s="21"/>
      <c r="K2763" s="5" t="str">
        <f>IF(AND(LEN(H2763)=0, LEN(I2763)=0), "", IF(AND(LEN(H2763)&gt;0, LEN(I2763)=0), "BLANCO", IFERROR(VLOOKUP(I2763, BasedatosM9!A:B, 2, FALSE), "BLANCO")))</f>
        <v/>
      </c>
    </row>
    <row r="2764" spans="1:11" ht="14.4">
      <c r="A2764" s="21"/>
      <c r="B2764" s="86"/>
      <c r="C2764" s="98"/>
      <c r="D2764" s="21"/>
      <c r="E2764" s="86"/>
      <c r="F2764" s="99"/>
      <c r="G2764" s="99"/>
      <c r="H2764" s="21"/>
      <c r="I2764" s="86"/>
      <c r="J2764" s="21"/>
      <c r="K2764" s="5" t="str">
        <f>IF(AND(LEN(H2764)=0, LEN(I2764)=0), "", IF(AND(LEN(H2764)&gt;0, LEN(I2764)=0), "BLANCO", IFERROR(VLOOKUP(I2764, BasedatosM9!A:B, 2, FALSE), "BLANCO")))</f>
        <v/>
      </c>
    </row>
    <row r="2765" spans="1:11" ht="14.4">
      <c r="A2765" s="21"/>
      <c r="B2765" s="86"/>
      <c r="C2765" s="98"/>
      <c r="D2765" s="21"/>
      <c r="E2765" s="86"/>
      <c r="F2765" s="99"/>
      <c r="G2765" s="99"/>
      <c r="H2765" s="21"/>
      <c r="I2765" s="86"/>
      <c r="J2765" s="21"/>
      <c r="K2765" s="5" t="str">
        <f>IF(AND(LEN(H2765)=0, LEN(I2765)=0), "", IF(AND(LEN(H2765)&gt;0, LEN(I2765)=0), "BLANCO", IFERROR(VLOOKUP(I2765, BasedatosM9!A:B, 2, FALSE), "BLANCO")))</f>
        <v/>
      </c>
    </row>
    <row r="2766" spans="1:11" ht="14.4">
      <c r="A2766" s="21"/>
      <c r="B2766" s="86"/>
      <c r="C2766" s="98"/>
      <c r="D2766" s="21"/>
      <c r="E2766" s="86"/>
      <c r="F2766" s="99"/>
      <c r="G2766" s="99"/>
      <c r="H2766" s="21"/>
      <c r="I2766" s="86"/>
      <c r="J2766" s="21"/>
      <c r="K2766" s="5" t="str">
        <f>IF(AND(LEN(H2766)=0, LEN(I2766)=0), "", IF(AND(LEN(H2766)&gt;0, LEN(I2766)=0), "BLANCO", IFERROR(VLOOKUP(I2766, BasedatosM9!A:B, 2, FALSE), "BLANCO")))</f>
        <v/>
      </c>
    </row>
    <row r="2767" spans="1:11" ht="14.4">
      <c r="A2767" s="21"/>
      <c r="B2767" s="86"/>
      <c r="C2767" s="98"/>
      <c r="D2767" s="21"/>
      <c r="E2767" s="86"/>
      <c r="F2767" s="99"/>
      <c r="G2767" s="99"/>
      <c r="H2767" s="21"/>
      <c r="I2767" s="21"/>
      <c r="J2767" s="21"/>
      <c r="K2767" s="5" t="str">
        <f>IF(AND(LEN(H2767)=0, LEN(I2767)=0), "", IF(AND(LEN(H2767)&gt;0, LEN(I2767)=0), "BLANCO", IFERROR(VLOOKUP(I2767, BasedatosM9!A:B, 2, FALSE), "BLANCO")))</f>
        <v/>
      </c>
    </row>
    <row r="2768" spans="1:11" ht="14.4">
      <c r="A2768" s="21"/>
      <c r="B2768" s="86"/>
      <c r="C2768" s="98"/>
      <c r="D2768" s="21"/>
      <c r="E2768" s="86"/>
      <c r="F2768" s="99"/>
      <c r="G2768" s="99"/>
      <c r="H2768" s="21"/>
      <c r="I2768" s="21"/>
      <c r="J2768" s="21"/>
      <c r="K2768" s="5" t="str">
        <f>IF(AND(LEN(H2768)=0, LEN(I2768)=0), "", IF(AND(LEN(H2768)&gt;0, LEN(I2768)=0), "BLANCO", IFERROR(VLOOKUP(I2768, BasedatosM9!A:B, 2, FALSE), "BLANCO")))</f>
        <v/>
      </c>
    </row>
    <row r="2769" spans="1:11" ht="14.4">
      <c r="A2769" s="21"/>
      <c r="B2769" s="86"/>
      <c r="C2769" s="98"/>
      <c r="D2769" s="21"/>
      <c r="E2769" s="86"/>
      <c r="F2769" s="99"/>
      <c r="G2769" s="99"/>
      <c r="H2769" s="21"/>
      <c r="I2769" s="86"/>
      <c r="J2769" s="21"/>
      <c r="K2769" s="5" t="str">
        <f>IF(AND(LEN(H2769)=0, LEN(I2769)=0), "", IF(AND(LEN(H2769)&gt;0, LEN(I2769)=0), "BLANCO", IFERROR(VLOOKUP(I2769, BasedatosM9!A:B, 2, FALSE), "BLANCO")))</f>
        <v/>
      </c>
    </row>
    <row r="2770" spans="1:11" ht="14.4">
      <c r="A2770" s="21"/>
      <c r="B2770" s="86"/>
      <c r="C2770" s="98"/>
      <c r="D2770" s="21"/>
      <c r="E2770" s="86"/>
      <c r="F2770" s="99"/>
      <c r="G2770" s="99"/>
      <c r="H2770" s="21"/>
      <c r="I2770" s="86"/>
      <c r="J2770" s="21"/>
      <c r="K2770" s="5" t="str">
        <f>IF(AND(LEN(H2770)=0, LEN(I2770)=0), "", IF(AND(LEN(H2770)&gt;0, LEN(I2770)=0), "BLANCO", IFERROR(VLOOKUP(I2770, BasedatosM9!A:B, 2, FALSE), "BLANCO")))</f>
        <v/>
      </c>
    </row>
    <row r="2771" spans="1:11" ht="14.4">
      <c r="A2771" s="21"/>
      <c r="B2771" s="86"/>
      <c r="C2771" s="98"/>
      <c r="D2771" s="21"/>
      <c r="E2771" s="86"/>
      <c r="F2771" s="99"/>
      <c r="G2771" s="99"/>
      <c r="H2771" s="21"/>
      <c r="I2771" s="86"/>
      <c r="J2771" s="21"/>
      <c r="K2771" s="5" t="str">
        <f>IF(AND(LEN(H2771)=0, LEN(I2771)=0), "", IF(AND(LEN(H2771)&gt;0, LEN(I2771)=0), "BLANCO", IFERROR(VLOOKUP(I2771, BasedatosM9!A:B, 2, FALSE), "BLANCO")))</f>
        <v/>
      </c>
    </row>
    <row r="2772" spans="1:11" ht="14.4">
      <c r="A2772" s="21"/>
      <c r="B2772" s="86"/>
      <c r="C2772" s="98"/>
      <c r="D2772" s="21"/>
      <c r="E2772" s="86"/>
      <c r="F2772" s="99"/>
      <c r="G2772" s="99"/>
      <c r="H2772" s="21"/>
      <c r="I2772" s="86"/>
      <c r="J2772" s="21"/>
      <c r="K2772" s="5" t="str">
        <f>IF(AND(LEN(H2772)=0, LEN(I2772)=0), "", IF(AND(LEN(H2772)&gt;0, LEN(I2772)=0), "BLANCO", IFERROR(VLOOKUP(I2772, BasedatosM9!A:B, 2, FALSE), "BLANCO")))</f>
        <v/>
      </c>
    </row>
    <row r="2773" spans="1:11" ht="14.4">
      <c r="A2773" s="21"/>
      <c r="B2773" s="86"/>
      <c r="C2773" s="98"/>
      <c r="D2773" s="21"/>
      <c r="E2773" s="86"/>
      <c r="F2773" s="99"/>
      <c r="G2773" s="99"/>
      <c r="H2773" s="21"/>
      <c r="I2773" s="86"/>
      <c r="J2773" s="21"/>
      <c r="K2773" s="5" t="str">
        <f>IF(AND(LEN(H2773)=0, LEN(I2773)=0), "", IF(AND(LEN(H2773)&gt;0, LEN(I2773)=0), "BLANCO", IFERROR(VLOOKUP(I2773, BasedatosM9!A:B, 2, FALSE), "BLANCO")))</f>
        <v/>
      </c>
    </row>
    <row r="2774" spans="1:11" ht="14.4">
      <c r="A2774" s="21"/>
      <c r="B2774" s="86"/>
      <c r="C2774" s="98"/>
      <c r="D2774" s="21"/>
      <c r="E2774" s="86"/>
      <c r="F2774" s="99"/>
      <c r="G2774" s="99"/>
      <c r="H2774" s="21"/>
      <c r="I2774" s="86"/>
      <c r="J2774" s="21"/>
      <c r="K2774" s="5" t="str">
        <f>IF(AND(LEN(H2774)=0, LEN(I2774)=0), "", IF(AND(LEN(H2774)&gt;0, LEN(I2774)=0), "BLANCO", IFERROR(VLOOKUP(I2774, BasedatosM9!A:B, 2, FALSE), "BLANCO")))</f>
        <v/>
      </c>
    </row>
    <row r="2775" spans="1:11" ht="14.4">
      <c r="A2775" s="21"/>
      <c r="B2775" s="86"/>
      <c r="C2775" s="98"/>
      <c r="D2775" s="21"/>
      <c r="E2775" s="86"/>
      <c r="F2775" s="99"/>
      <c r="G2775" s="99"/>
      <c r="H2775" s="21"/>
      <c r="I2775" s="86"/>
      <c r="J2775" s="21"/>
      <c r="K2775" s="5" t="str">
        <f>IF(AND(LEN(H2775)=0, LEN(I2775)=0), "", IF(AND(LEN(H2775)&gt;0, LEN(I2775)=0), "BLANCO", IFERROR(VLOOKUP(I2775, BasedatosM9!A:B, 2, FALSE), "BLANCO")))</f>
        <v/>
      </c>
    </row>
    <row r="2776" spans="1:11" ht="14.4">
      <c r="A2776" s="21"/>
      <c r="B2776" s="86"/>
      <c r="C2776" s="98"/>
      <c r="D2776" s="21"/>
      <c r="E2776" s="86"/>
      <c r="F2776" s="99"/>
      <c r="G2776" s="99"/>
      <c r="H2776" s="21"/>
      <c r="I2776" s="86"/>
      <c r="J2776" s="21"/>
      <c r="K2776" s="5" t="str">
        <f>IF(AND(LEN(H2776)=0, LEN(I2776)=0), "", IF(AND(LEN(H2776)&gt;0, LEN(I2776)=0), "BLANCO", IFERROR(VLOOKUP(I2776, BasedatosM9!A:B, 2, FALSE), "BLANCO")))</f>
        <v/>
      </c>
    </row>
    <row r="2777" spans="1:11" ht="14.4">
      <c r="A2777" s="21"/>
      <c r="B2777" s="86"/>
      <c r="C2777" s="98"/>
      <c r="D2777" s="21"/>
      <c r="E2777" s="86"/>
      <c r="F2777" s="99"/>
      <c r="G2777" s="99"/>
      <c r="H2777" s="21"/>
      <c r="I2777" s="86"/>
      <c r="J2777" s="21"/>
      <c r="K2777" s="5" t="str">
        <f>IF(AND(LEN(H2777)=0, LEN(I2777)=0), "", IF(AND(LEN(H2777)&gt;0, LEN(I2777)=0), "BLANCO", IFERROR(VLOOKUP(I2777, BasedatosM9!A:B, 2, FALSE), "BLANCO")))</f>
        <v/>
      </c>
    </row>
    <row r="2778" spans="1:11" ht="14.4">
      <c r="A2778" s="21"/>
      <c r="B2778" s="86"/>
      <c r="C2778" s="98"/>
      <c r="D2778" s="21"/>
      <c r="E2778" s="86"/>
      <c r="F2778" s="99"/>
      <c r="G2778" s="99"/>
      <c r="H2778" s="21"/>
      <c r="I2778" s="86"/>
      <c r="J2778" s="21"/>
      <c r="K2778" s="5" t="str">
        <f>IF(AND(LEN(H2778)=0, LEN(I2778)=0), "", IF(AND(LEN(H2778)&gt;0, LEN(I2778)=0), "BLANCO", IFERROR(VLOOKUP(I2778, BasedatosM9!A:B, 2, FALSE), "BLANCO")))</f>
        <v/>
      </c>
    </row>
    <row r="2779" spans="1:11" ht="14.4">
      <c r="A2779" s="21"/>
      <c r="B2779" s="86"/>
      <c r="C2779" s="98"/>
      <c r="D2779" s="21"/>
      <c r="E2779" s="86"/>
      <c r="F2779" s="99"/>
      <c r="G2779" s="99"/>
      <c r="H2779" s="21"/>
      <c r="I2779" s="86"/>
      <c r="J2779" s="21"/>
      <c r="K2779" s="5" t="str">
        <f>IF(AND(LEN(H2779)=0, LEN(I2779)=0), "", IF(AND(LEN(H2779)&gt;0, LEN(I2779)=0), "BLANCO", IFERROR(VLOOKUP(I2779, BasedatosM9!A:B, 2, FALSE), "BLANCO")))</f>
        <v/>
      </c>
    </row>
    <row r="2780" spans="1:11" ht="14.4">
      <c r="A2780" s="21"/>
      <c r="B2780" s="86"/>
      <c r="C2780" s="98"/>
      <c r="D2780" s="21"/>
      <c r="E2780" s="86"/>
      <c r="F2780" s="99"/>
      <c r="G2780" s="99"/>
      <c r="H2780" s="21"/>
      <c r="I2780" s="86"/>
      <c r="J2780" s="21"/>
      <c r="K2780" s="5" t="str">
        <f>IF(AND(LEN(H2780)=0, LEN(I2780)=0), "", IF(AND(LEN(H2780)&gt;0, LEN(I2780)=0), "BLANCO", IFERROR(VLOOKUP(I2780, BasedatosM9!A:B, 2, FALSE), "BLANCO")))</f>
        <v/>
      </c>
    </row>
    <row r="2781" spans="1:11" ht="14.4">
      <c r="A2781" s="21"/>
      <c r="B2781" s="86"/>
      <c r="C2781" s="98"/>
      <c r="D2781" s="21"/>
      <c r="E2781" s="86"/>
      <c r="F2781" s="99"/>
      <c r="G2781" s="99"/>
      <c r="H2781" s="21"/>
      <c r="I2781" s="86"/>
      <c r="J2781" s="21"/>
      <c r="K2781" s="5" t="str">
        <f>IF(AND(LEN(H2781)=0, LEN(I2781)=0), "", IF(AND(LEN(H2781)&gt;0, LEN(I2781)=0), "BLANCO", IFERROR(VLOOKUP(I2781, BasedatosM9!A:B, 2, FALSE), "BLANCO")))</f>
        <v/>
      </c>
    </row>
    <row r="2782" spans="1:11" ht="14.4">
      <c r="A2782" s="21"/>
      <c r="B2782" s="86"/>
      <c r="C2782" s="98"/>
      <c r="D2782" s="21"/>
      <c r="E2782" s="86"/>
      <c r="F2782" s="99"/>
      <c r="G2782" s="99"/>
      <c r="H2782" s="21"/>
      <c r="I2782" s="86"/>
      <c r="J2782" s="21"/>
      <c r="K2782" s="5" t="str">
        <f>IF(AND(LEN(H2782)=0, LEN(I2782)=0), "", IF(AND(LEN(H2782)&gt;0, LEN(I2782)=0), "BLANCO", IFERROR(VLOOKUP(I2782, BasedatosM9!A:B, 2, FALSE), "BLANCO")))</f>
        <v/>
      </c>
    </row>
    <row r="2783" spans="1:11" ht="14.4">
      <c r="A2783" s="21"/>
      <c r="B2783" s="86"/>
      <c r="C2783" s="98"/>
      <c r="D2783" s="21"/>
      <c r="E2783" s="86"/>
      <c r="F2783" s="99"/>
      <c r="G2783" s="99"/>
      <c r="H2783" s="21"/>
      <c r="I2783" s="21"/>
      <c r="J2783" s="21"/>
      <c r="K2783" s="5" t="str">
        <f>IF(AND(LEN(H2783)=0, LEN(I2783)=0), "", IF(AND(LEN(H2783)&gt;0, LEN(I2783)=0), "BLANCO", IFERROR(VLOOKUP(I2783, BasedatosM9!A:B, 2, FALSE), "BLANCO")))</f>
        <v/>
      </c>
    </row>
    <row r="2784" spans="1:11" ht="14.4">
      <c r="A2784" s="21"/>
      <c r="B2784" s="86"/>
      <c r="C2784" s="98"/>
      <c r="D2784" s="21"/>
      <c r="E2784" s="86"/>
      <c r="F2784" s="99"/>
      <c r="G2784" s="99"/>
      <c r="H2784" s="21"/>
      <c r="I2784" s="86"/>
      <c r="J2784" s="21"/>
      <c r="K2784" s="5" t="str">
        <f>IF(AND(LEN(H2784)=0, LEN(I2784)=0), "", IF(AND(LEN(H2784)&gt;0, LEN(I2784)=0), "BLANCO", IFERROR(VLOOKUP(I2784, BasedatosM9!A:B, 2, FALSE), "BLANCO")))</f>
        <v/>
      </c>
    </row>
    <row r="2785" spans="1:11" ht="14.4">
      <c r="A2785" s="21"/>
      <c r="B2785" s="86"/>
      <c r="C2785" s="98"/>
      <c r="D2785" s="21"/>
      <c r="E2785" s="86"/>
      <c r="F2785" s="99"/>
      <c r="G2785" s="99"/>
      <c r="H2785" s="21"/>
      <c r="I2785" s="86"/>
      <c r="J2785" s="21"/>
      <c r="K2785" s="5" t="str">
        <f>IF(AND(LEN(H2785)=0, LEN(I2785)=0), "", IF(AND(LEN(H2785)&gt;0, LEN(I2785)=0), "BLANCO", IFERROR(VLOOKUP(I2785, BasedatosM9!A:B, 2, FALSE), "BLANCO")))</f>
        <v/>
      </c>
    </row>
    <row r="2786" spans="1:11" ht="14.4">
      <c r="A2786" s="21"/>
      <c r="B2786" s="86"/>
      <c r="C2786" s="98"/>
      <c r="D2786" s="21"/>
      <c r="E2786" s="86"/>
      <c r="F2786" s="99"/>
      <c r="G2786" s="99"/>
      <c r="H2786" s="21"/>
      <c r="I2786" s="21"/>
      <c r="J2786" s="21"/>
      <c r="K2786" s="5" t="str">
        <f>IF(AND(LEN(H2786)=0, LEN(I2786)=0), "", IF(AND(LEN(H2786)&gt;0, LEN(I2786)=0), "BLANCO", IFERROR(VLOOKUP(I2786, BasedatosM9!A:B, 2, FALSE), "BLANCO")))</f>
        <v/>
      </c>
    </row>
    <row r="2787" spans="1:11" ht="14.4">
      <c r="A2787" s="21"/>
      <c r="B2787" s="86"/>
      <c r="C2787" s="98"/>
      <c r="D2787" s="21"/>
      <c r="E2787" s="86"/>
      <c r="F2787" s="99"/>
      <c r="G2787" s="99"/>
      <c r="H2787" s="21"/>
      <c r="I2787" s="21"/>
      <c r="J2787" s="21"/>
      <c r="K2787" s="5" t="str">
        <f>IF(AND(LEN(H2787)=0, LEN(I2787)=0), "", IF(AND(LEN(H2787)&gt;0, LEN(I2787)=0), "BLANCO", IFERROR(VLOOKUP(I2787, BasedatosM9!A:B, 2, FALSE), "BLANCO")))</f>
        <v/>
      </c>
    </row>
    <row r="2788" spans="1:11" ht="14.4">
      <c r="A2788" s="21"/>
      <c r="B2788" s="86"/>
      <c r="C2788" s="98"/>
      <c r="D2788" s="21"/>
      <c r="E2788" s="86"/>
      <c r="F2788" s="99"/>
      <c r="G2788" s="99"/>
      <c r="H2788" s="21"/>
      <c r="I2788" s="86"/>
      <c r="J2788" s="21"/>
      <c r="K2788" s="5" t="str">
        <f>IF(AND(LEN(H2788)=0, LEN(I2788)=0), "", IF(AND(LEN(H2788)&gt;0, LEN(I2788)=0), "BLANCO", IFERROR(VLOOKUP(I2788, BasedatosM9!A:B, 2, FALSE), "BLANCO")))</f>
        <v/>
      </c>
    </row>
    <row r="2789" spans="1:11" ht="14.4">
      <c r="A2789" s="21"/>
      <c r="B2789" s="86"/>
      <c r="C2789" s="98"/>
      <c r="D2789" s="21"/>
      <c r="E2789" s="86"/>
      <c r="F2789" s="99"/>
      <c r="G2789" s="99"/>
      <c r="H2789" s="21"/>
      <c r="I2789" s="21"/>
      <c r="J2789" s="21"/>
      <c r="K2789" s="5" t="str">
        <f>IF(AND(LEN(H2789)=0, LEN(I2789)=0), "", IF(AND(LEN(H2789)&gt;0, LEN(I2789)=0), "BLANCO", IFERROR(VLOOKUP(I2789, BasedatosM9!A:B, 2, FALSE), "BLANCO")))</f>
        <v/>
      </c>
    </row>
    <row r="2790" spans="1:11" ht="14.4">
      <c r="A2790" s="21"/>
      <c r="B2790" s="86"/>
      <c r="C2790" s="98"/>
      <c r="D2790" s="21"/>
      <c r="E2790" s="86"/>
      <c r="F2790" s="99"/>
      <c r="G2790" s="99"/>
      <c r="H2790" s="21"/>
      <c r="I2790" s="86"/>
      <c r="J2790" s="21"/>
      <c r="K2790" s="5" t="str">
        <f>IF(AND(LEN(H2790)=0, LEN(I2790)=0), "", IF(AND(LEN(H2790)&gt;0, LEN(I2790)=0), "BLANCO", IFERROR(VLOOKUP(I2790, BasedatosM9!A:B, 2, FALSE), "BLANCO")))</f>
        <v/>
      </c>
    </row>
    <row r="2791" spans="1:11" ht="14.4">
      <c r="A2791" s="21"/>
      <c r="B2791" s="86"/>
      <c r="C2791" s="98"/>
      <c r="D2791" s="21"/>
      <c r="E2791" s="86"/>
      <c r="F2791" s="99"/>
      <c r="G2791" s="99"/>
      <c r="H2791" s="21"/>
      <c r="I2791" s="86"/>
      <c r="J2791" s="21"/>
      <c r="K2791" s="5" t="str">
        <f>IF(AND(LEN(H2791)=0, LEN(I2791)=0), "", IF(AND(LEN(H2791)&gt;0, LEN(I2791)=0), "BLANCO", IFERROR(VLOOKUP(I2791, BasedatosM9!A:B, 2, FALSE), "BLANCO")))</f>
        <v/>
      </c>
    </row>
    <row r="2792" spans="1:11" ht="14.4">
      <c r="A2792" s="21"/>
      <c r="B2792" s="86"/>
      <c r="C2792" s="98"/>
      <c r="D2792" s="21"/>
      <c r="E2792" s="86"/>
      <c r="F2792" s="99"/>
      <c r="G2792" s="99"/>
      <c r="H2792" s="21"/>
      <c r="I2792" s="21"/>
      <c r="J2792" s="21"/>
      <c r="K2792" s="5" t="str">
        <f>IF(AND(LEN(H2792)=0, LEN(I2792)=0), "", IF(AND(LEN(H2792)&gt;0, LEN(I2792)=0), "BLANCO", IFERROR(VLOOKUP(I2792, BasedatosM9!A:B, 2, FALSE), "BLANCO")))</f>
        <v/>
      </c>
    </row>
    <row r="2793" spans="1:11" ht="14.4">
      <c r="A2793" s="21"/>
      <c r="B2793" s="86"/>
      <c r="C2793" s="98"/>
      <c r="D2793" s="21"/>
      <c r="E2793" s="86"/>
      <c r="F2793" s="99"/>
      <c r="G2793" s="99"/>
      <c r="H2793" s="21"/>
      <c r="I2793" s="21"/>
      <c r="J2793" s="21"/>
      <c r="K2793" s="5" t="str">
        <f>IF(AND(LEN(H2793)=0, LEN(I2793)=0), "", IF(AND(LEN(H2793)&gt;0, LEN(I2793)=0), "BLANCO", IFERROR(VLOOKUP(I2793, BasedatosM9!A:B, 2, FALSE), "BLANCO")))</f>
        <v/>
      </c>
    </row>
    <row r="2794" spans="1:11" ht="14.4">
      <c r="A2794" s="21"/>
      <c r="B2794" s="86"/>
      <c r="C2794" s="98"/>
      <c r="D2794" s="21"/>
      <c r="E2794" s="86"/>
      <c r="F2794" s="99"/>
      <c r="G2794" s="99"/>
      <c r="H2794" s="21"/>
      <c r="I2794" s="21"/>
      <c r="J2794" s="21"/>
      <c r="K2794" s="5" t="str">
        <f>IF(AND(LEN(H2794)=0, LEN(I2794)=0), "", IF(AND(LEN(H2794)&gt;0, LEN(I2794)=0), "BLANCO", IFERROR(VLOOKUP(I2794, BasedatosM9!A:B, 2, FALSE), "BLANCO")))</f>
        <v/>
      </c>
    </row>
    <row r="2795" spans="1:11" ht="14.4">
      <c r="A2795" s="21"/>
      <c r="B2795" s="86"/>
      <c r="C2795" s="98"/>
      <c r="D2795" s="21"/>
      <c r="E2795" s="86"/>
      <c r="F2795" s="99"/>
      <c r="G2795" s="99"/>
      <c r="H2795" s="21"/>
      <c r="I2795" s="21"/>
      <c r="J2795" s="21"/>
      <c r="K2795" s="5" t="str">
        <f>IF(AND(LEN(H2795)=0, LEN(I2795)=0), "", IF(AND(LEN(H2795)&gt;0, LEN(I2795)=0), "BLANCO", IFERROR(VLOOKUP(I2795, BasedatosM9!A:B, 2, FALSE), "BLANCO")))</f>
        <v/>
      </c>
    </row>
    <row r="2796" spans="1:11" ht="14.4">
      <c r="A2796" s="21"/>
      <c r="B2796" s="86"/>
      <c r="C2796" s="98"/>
      <c r="D2796" s="21"/>
      <c r="E2796" s="86"/>
      <c r="F2796" s="99"/>
      <c r="G2796" s="99"/>
      <c r="H2796" s="21"/>
      <c r="I2796" s="21"/>
      <c r="J2796" s="21"/>
      <c r="K2796" s="5" t="str">
        <f>IF(AND(LEN(H2796)=0, LEN(I2796)=0), "", IF(AND(LEN(H2796)&gt;0, LEN(I2796)=0), "BLANCO", IFERROR(VLOOKUP(I2796, BasedatosM9!A:B, 2, FALSE), "BLANCO")))</f>
        <v/>
      </c>
    </row>
    <row r="2797" spans="1:11" ht="14.4">
      <c r="A2797" s="21"/>
      <c r="B2797" s="86"/>
      <c r="C2797" s="98"/>
      <c r="D2797" s="21"/>
      <c r="E2797" s="86"/>
      <c r="F2797" s="99"/>
      <c r="G2797" s="99"/>
      <c r="H2797" s="21"/>
      <c r="I2797" s="21"/>
      <c r="J2797" s="21"/>
      <c r="K2797" s="5" t="str">
        <f>IF(AND(LEN(H2797)=0, LEN(I2797)=0), "", IF(AND(LEN(H2797)&gt;0, LEN(I2797)=0), "BLANCO", IFERROR(VLOOKUP(I2797, BasedatosM9!A:B, 2, FALSE), "BLANCO")))</f>
        <v/>
      </c>
    </row>
    <row r="2798" spans="1:11" ht="14.4">
      <c r="A2798" s="21"/>
      <c r="B2798" s="86"/>
      <c r="C2798" s="98"/>
      <c r="D2798" s="21"/>
      <c r="E2798" s="86"/>
      <c r="F2798" s="99"/>
      <c r="G2798" s="99"/>
      <c r="H2798" s="21"/>
      <c r="I2798" s="21"/>
      <c r="J2798" s="21"/>
      <c r="K2798" s="5" t="str">
        <f>IF(AND(LEN(H2798)=0, LEN(I2798)=0), "", IF(AND(LEN(H2798)&gt;0, LEN(I2798)=0), "BLANCO", IFERROR(VLOOKUP(I2798, BasedatosM9!A:B, 2, FALSE), "BLANCO")))</f>
        <v/>
      </c>
    </row>
    <row r="2799" spans="1:11" ht="14.4">
      <c r="A2799" s="21"/>
      <c r="B2799" s="86"/>
      <c r="C2799" s="98"/>
      <c r="D2799" s="21"/>
      <c r="E2799" s="86"/>
      <c r="F2799" s="99"/>
      <c r="G2799" s="99"/>
      <c r="H2799" s="21"/>
      <c r="I2799" s="86"/>
      <c r="J2799" s="21"/>
      <c r="K2799" s="5" t="str">
        <f>IF(AND(LEN(H2799)=0, LEN(I2799)=0), "", IF(AND(LEN(H2799)&gt;0, LEN(I2799)=0), "BLANCO", IFERROR(VLOOKUP(I2799, BasedatosM9!A:B, 2, FALSE), "BLANCO")))</f>
        <v/>
      </c>
    </row>
    <row r="2800" spans="1:11" ht="14.4">
      <c r="A2800" s="21"/>
      <c r="B2800" s="86"/>
      <c r="C2800" s="98"/>
      <c r="D2800" s="21"/>
      <c r="E2800" s="86"/>
      <c r="F2800" s="99"/>
      <c r="G2800" s="99"/>
      <c r="H2800" s="21"/>
      <c r="I2800" s="86"/>
      <c r="J2800" s="21"/>
      <c r="K2800" s="5" t="str">
        <f>IF(AND(LEN(H2800)=0, LEN(I2800)=0), "", IF(AND(LEN(H2800)&gt;0, LEN(I2800)=0), "BLANCO", IFERROR(VLOOKUP(I2800, BasedatosM9!A:B, 2, FALSE), "BLANCO")))</f>
        <v/>
      </c>
    </row>
    <row r="2801" spans="1:11" ht="14.4">
      <c r="A2801" s="21"/>
      <c r="B2801" s="86"/>
      <c r="C2801" s="98"/>
      <c r="D2801" s="21"/>
      <c r="E2801" s="86"/>
      <c r="F2801" s="99"/>
      <c r="G2801" s="99"/>
      <c r="H2801" s="21"/>
      <c r="I2801" s="86"/>
      <c r="J2801" s="21"/>
      <c r="K2801" s="5" t="str">
        <f>IF(AND(LEN(H2801)=0, LEN(I2801)=0), "", IF(AND(LEN(H2801)&gt;0, LEN(I2801)=0), "BLANCO", IFERROR(VLOOKUP(I2801, BasedatosM9!A:B, 2, FALSE), "BLANCO")))</f>
        <v/>
      </c>
    </row>
    <row r="2802" spans="1:11" ht="14.4">
      <c r="A2802" s="21"/>
      <c r="B2802" s="86"/>
      <c r="C2802" s="98"/>
      <c r="D2802" s="21"/>
      <c r="E2802" s="86"/>
      <c r="F2802" s="99"/>
      <c r="G2802" s="99"/>
      <c r="H2802" s="21"/>
      <c r="I2802" s="21"/>
      <c r="J2802" s="21"/>
      <c r="K2802" s="5" t="str">
        <f>IF(AND(LEN(H2802)=0, LEN(I2802)=0), "", IF(AND(LEN(H2802)&gt;0, LEN(I2802)=0), "BLANCO", IFERROR(VLOOKUP(I2802, BasedatosM9!A:B, 2, FALSE), "BLANCO")))</f>
        <v/>
      </c>
    </row>
    <row r="2803" spans="1:11" ht="14.4">
      <c r="A2803" s="21"/>
      <c r="B2803" s="86"/>
      <c r="C2803" s="98"/>
      <c r="D2803" s="21"/>
      <c r="E2803" s="86"/>
      <c r="F2803" s="99"/>
      <c r="G2803" s="99"/>
      <c r="H2803" s="21"/>
      <c r="I2803" s="21"/>
      <c r="J2803" s="21"/>
      <c r="K2803" s="5" t="str">
        <f>IF(AND(LEN(H2803)=0, LEN(I2803)=0), "", IF(AND(LEN(H2803)&gt;0, LEN(I2803)=0), "BLANCO", IFERROR(VLOOKUP(I2803, BasedatosM9!A:B, 2, FALSE), "BLANCO")))</f>
        <v/>
      </c>
    </row>
    <row r="2804" spans="1:11" ht="14.4">
      <c r="A2804" s="21"/>
      <c r="B2804" s="86"/>
      <c r="C2804" s="98"/>
      <c r="D2804" s="21"/>
      <c r="E2804" s="86"/>
      <c r="F2804" s="99"/>
      <c r="G2804" s="99"/>
      <c r="H2804" s="21"/>
      <c r="I2804" s="21"/>
      <c r="J2804" s="21"/>
      <c r="K2804" s="5" t="str">
        <f>IF(AND(LEN(H2804)=0, LEN(I2804)=0), "", IF(AND(LEN(H2804)&gt;0, LEN(I2804)=0), "BLANCO", IFERROR(VLOOKUP(I2804, BasedatosM9!A:B, 2, FALSE), "BLANCO")))</f>
        <v/>
      </c>
    </row>
    <row r="2805" spans="1:11" ht="14.4">
      <c r="A2805" s="21"/>
      <c r="B2805" s="86"/>
      <c r="C2805" s="98"/>
      <c r="D2805" s="21"/>
      <c r="E2805" s="86"/>
      <c r="F2805" s="99"/>
      <c r="G2805" s="99"/>
      <c r="H2805" s="21"/>
      <c r="I2805" s="86"/>
      <c r="J2805" s="21"/>
      <c r="K2805" s="5" t="str">
        <f>IF(AND(LEN(H2805)=0, LEN(I2805)=0), "", IF(AND(LEN(H2805)&gt;0, LEN(I2805)=0), "BLANCO", IFERROR(VLOOKUP(I2805, BasedatosM9!A:B, 2, FALSE), "BLANCO")))</f>
        <v/>
      </c>
    </row>
    <row r="2806" spans="1:11" ht="14.4">
      <c r="A2806" s="21"/>
      <c r="B2806" s="86"/>
      <c r="C2806" s="98"/>
      <c r="D2806" s="21"/>
      <c r="E2806" s="86"/>
      <c r="F2806" s="99"/>
      <c r="G2806" s="99"/>
      <c r="H2806" s="21"/>
      <c r="I2806" s="86"/>
      <c r="J2806" s="21"/>
      <c r="K2806" s="5" t="str">
        <f>IF(AND(LEN(H2806)=0, LEN(I2806)=0), "", IF(AND(LEN(H2806)&gt;0, LEN(I2806)=0), "BLANCO", IFERROR(VLOOKUP(I2806, BasedatosM9!A:B, 2, FALSE), "BLANCO")))</f>
        <v/>
      </c>
    </row>
    <row r="2807" spans="1:11" ht="14.4">
      <c r="A2807" s="21"/>
      <c r="B2807" s="86"/>
      <c r="C2807" s="98"/>
      <c r="D2807" s="21"/>
      <c r="E2807" s="86"/>
      <c r="F2807" s="99"/>
      <c r="G2807" s="99"/>
      <c r="H2807" s="21"/>
      <c r="I2807" s="86"/>
      <c r="J2807" s="21"/>
      <c r="K2807" s="5" t="str">
        <f>IF(AND(LEN(H2807)=0, LEN(I2807)=0), "", IF(AND(LEN(H2807)&gt;0, LEN(I2807)=0), "BLANCO", IFERROR(VLOOKUP(I2807, BasedatosM9!A:B, 2, FALSE), "BLANCO")))</f>
        <v/>
      </c>
    </row>
    <row r="2808" spans="1:11" ht="14.4">
      <c r="A2808" s="21"/>
      <c r="B2808" s="86"/>
      <c r="C2808" s="98"/>
      <c r="D2808" s="21"/>
      <c r="E2808" s="86"/>
      <c r="F2808" s="99"/>
      <c r="G2808" s="99"/>
      <c r="H2808" s="21"/>
      <c r="I2808" s="21"/>
      <c r="J2808" s="21"/>
      <c r="K2808" s="5" t="str">
        <f>IF(AND(LEN(H2808)=0, LEN(I2808)=0), "", IF(AND(LEN(H2808)&gt;0, LEN(I2808)=0), "BLANCO", IFERROR(VLOOKUP(I2808, BasedatosM9!A:B, 2, FALSE), "BLANCO")))</f>
        <v/>
      </c>
    </row>
    <row r="2809" spans="1:11" ht="14.4">
      <c r="A2809" s="21"/>
      <c r="B2809" s="86"/>
      <c r="C2809" s="98"/>
      <c r="D2809" s="21"/>
      <c r="E2809" s="86"/>
      <c r="F2809" s="99"/>
      <c r="G2809" s="99"/>
      <c r="H2809" s="21"/>
      <c r="I2809" s="21"/>
      <c r="J2809" s="21"/>
      <c r="K2809" s="5" t="str">
        <f>IF(AND(LEN(H2809)=0, LEN(I2809)=0), "", IF(AND(LEN(H2809)&gt;0, LEN(I2809)=0), "BLANCO", IFERROR(VLOOKUP(I2809, BasedatosM9!A:B, 2, FALSE), "BLANCO")))</f>
        <v/>
      </c>
    </row>
    <row r="2810" spans="1:11" ht="14.4">
      <c r="A2810" s="21"/>
      <c r="B2810" s="86"/>
      <c r="C2810" s="98"/>
      <c r="D2810" s="21"/>
      <c r="E2810" s="86"/>
      <c r="F2810" s="99"/>
      <c r="G2810" s="99"/>
      <c r="H2810" s="21"/>
      <c r="I2810" s="86"/>
      <c r="J2810" s="21"/>
      <c r="K2810" s="5" t="str">
        <f>IF(AND(LEN(H2810)=0, LEN(I2810)=0), "", IF(AND(LEN(H2810)&gt;0, LEN(I2810)=0), "BLANCO", IFERROR(VLOOKUP(I2810, BasedatosM9!A:B, 2, FALSE), "BLANCO")))</f>
        <v/>
      </c>
    </row>
    <row r="2811" spans="1:11" ht="14.4">
      <c r="A2811" s="21"/>
      <c r="B2811" s="86"/>
      <c r="C2811" s="98"/>
      <c r="D2811" s="21"/>
      <c r="E2811" s="86"/>
      <c r="F2811" s="99"/>
      <c r="G2811" s="99"/>
      <c r="H2811" s="21"/>
      <c r="I2811" s="86"/>
      <c r="J2811" s="21"/>
      <c r="K2811" s="5" t="str">
        <f>IF(AND(LEN(H2811)=0, LEN(I2811)=0), "", IF(AND(LEN(H2811)&gt;0, LEN(I2811)=0), "BLANCO", IFERROR(VLOOKUP(I2811, BasedatosM9!A:B, 2, FALSE), "BLANCO")))</f>
        <v/>
      </c>
    </row>
    <row r="2812" spans="1:11" ht="14.4">
      <c r="A2812" s="21"/>
      <c r="B2812" s="86"/>
      <c r="C2812" s="98"/>
      <c r="D2812" s="21"/>
      <c r="E2812" s="86"/>
      <c r="F2812" s="99"/>
      <c r="G2812" s="99"/>
      <c r="H2812" s="21"/>
      <c r="I2812" s="86"/>
      <c r="J2812" s="21"/>
      <c r="K2812" s="5" t="str">
        <f>IF(AND(LEN(H2812)=0, LEN(I2812)=0), "", IF(AND(LEN(H2812)&gt;0, LEN(I2812)=0), "BLANCO", IFERROR(VLOOKUP(I2812, BasedatosM9!A:B, 2, FALSE), "BLANCO")))</f>
        <v/>
      </c>
    </row>
    <row r="2813" spans="1:11" ht="14.4">
      <c r="A2813" s="21"/>
      <c r="B2813" s="86"/>
      <c r="C2813" s="98"/>
      <c r="D2813" s="21"/>
      <c r="E2813" s="86"/>
      <c r="F2813" s="99"/>
      <c r="G2813" s="99"/>
      <c r="H2813" s="21"/>
      <c r="I2813" s="86"/>
      <c r="J2813" s="21"/>
      <c r="K2813" s="5" t="str">
        <f>IF(AND(LEN(H2813)=0, LEN(I2813)=0), "", IF(AND(LEN(H2813)&gt;0, LEN(I2813)=0), "BLANCO", IFERROR(VLOOKUP(I2813, BasedatosM9!A:B, 2, FALSE), "BLANCO")))</f>
        <v/>
      </c>
    </row>
    <row r="2814" spans="1:11" ht="14.4">
      <c r="A2814" s="21"/>
      <c r="B2814" s="86"/>
      <c r="C2814" s="98"/>
      <c r="D2814" s="21"/>
      <c r="E2814" s="86"/>
      <c r="F2814" s="99"/>
      <c r="G2814" s="99"/>
      <c r="H2814" s="21"/>
      <c r="I2814" s="86"/>
      <c r="J2814" s="21"/>
      <c r="K2814" s="5" t="str">
        <f>IF(AND(LEN(H2814)=0, LEN(I2814)=0), "", IF(AND(LEN(H2814)&gt;0, LEN(I2814)=0), "BLANCO", IFERROR(VLOOKUP(I2814, BasedatosM9!A:B, 2, FALSE), "BLANCO")))</f>
        <v/>
      </c>
    </row>
    <row r="2815" spans="1:11" ht="14.4">
      <c r="A2815" s="21"/>
      <c r="B2815" s="86"/>
      <c r="C2815" s="98"/>
      <c r="D2815" s="21"/>
      <c r="E2815" s="86"/>
      <c r="F2815" s="99"/>
      <c r="G2815" s="99"/>
      <c r="H2815" s="21"/>
      <c r="I2815" s="21"/>
      <c r="J2815" s="21"/>
      <c r="K2815" s="5" t="str">
        <f>IF(AND(LEN(H2815)=0, LEN(I2815)=0), "", IF(AND(LEN(H2815)&gt;0, LEN(I2815)=0), "BLANCO", IFERROR(VLOOKUP(I2815, BasedatosM9!A:B, 2, FALSE), "BLANCO")))</f>
        <v/>
      </c>
    </row>
    <row r="2816" spans="1:11" ht="14.4">
      <c r="A2816" s="21"/>
      <c r="B2816" s="86"/>
      <c r="C2816" s="98"/>
      <c r="D2816" s="21"/>
      <c r="E2816" s="86"/>
      <c r="F2816" s="99"/>
      <c r="G2816" s="99"/>
      <c r="H2816" s="21"/>
      <c r="I2816" s="86"/>
      <c r="J2816" s="21"/>
      <c r="K2816" s="5" t="str">
        <f>IF(AND(LEN(H2816)=0, LEN(I2816)=0), "", IF(AND(LEN(H2816)&gt;0, LEN(I2816)=0), "BLANCO", IFERROR(VLOOKUP(I2816, BasedatosM9!A:B, 2, FALSE), "BLANCO")))</f>
        <v/>
      </c>
    </row>
    <row r="2817" spans="1:11" ht="14.4">
      <c r="A2817" s="21"/>
      <c r="B2817" s="86"/>
      <c r="C2817" s="98"/>
      <c r="D2817" s="21"/>
      <c r="E2817" s="86"/>
      <c r="F2817" s="99"/>
      <c r="G2817" s="99"/>
      <c r="H2817" s="21"/>
      <c r="I2817" s="21"/>
      <c r="J2817" s="21"/>
      <c r="K2817" s="5" t="str">
        <f>IF(AND(LEN(H2817)=0, LEN(I2817)=0), "", IF(AND(LEN(H2817)&gt;0, LEN(I2817)=0), "BLANCO", IFERROR(VLOOKUP(I2817, BasedatosM9!A:B, 2, FALSE), "BLANCO")))</f>
        <v/>
      </c>
    </row>
    <row r="2818" spans="1:11" ht="14.4">
      <c r="A2818" s="21"/>
      <c r="B2818" s="86"/>
      <c r="C2818" s="98"/>
      <c r="D2818" s="21"/>
      <c r="E2818" s="86"/>
      <c r="F2818" s="99"/>
      <c r="G2818" s="99"/>
      <c r="H2818" s="21"/>
      <c r="I2818" s="86"/>
      <c r="J2818" s="21"/>
      <c r="K2818" s="5" t="str">
        <f>IF(AND(LEN(H2818)=0, LEN(I2818)=0), "", IF(AND(LEN(H2818)&gt;0, LEN(I2818)=0), "BLANCO", IFERROR(VLOOKUP(I2818, BasedatosM9!A:B, 2, FALSE), "BLANCO")))</f>
        <v/>
      </c>
    </row>
    <row r="2819" spans="1:11" ht="14.4">
      <c r="A2819" s="21"/>
      <c r="B2819" s="86"/>
      <c r="C2819" s="98"/>
      <c r="D2819" s="21"/>
      <c r="E2819" s="86"/>
      <c r="F2819" s="99"/>
      <c r="G2819" s="99"/>
      <c r="H2819" s="21"/>
      <c r="I2819" s="21"/>
      <c r="J2819" s="21"/>
      <c r="K2819" s="5" t="str">
        <f>IF(AND(LEN(H2819)=0, LEN(I2819)=0), "", IF(AND(LEN(H2819)&gt;0, LEN(I2819)=0), "BLANCO", IFERROR(VLOOKUP(I2819, BasedatosM9!A:B, 2, FALSE), "BLANCO")))</f>
        <v/>
      </c>
    </row>
    <row r="2820" spans="1:11" ht="14.4">
      <c r="A2820" s="21"/>
      <c r="B2820" s="86"/>
      <c r="C2820" s="98"/>
      <c r="D2820" s="21"/>
      <c r="E2820" s="86"/>
      <c r="F2820" s="99"/>
      <c r="G2820" s="99"/>
      <c r="H2820" s="21"/>
      <c r="I2820" s="86"/>
      <c r="J2820" s="21"/>
      <c r="K2820" s="5" t="str">
        <f>IF(AND(LEN(H2820)=0, LEN(I2820)=0), "", IF(AND(LEN(H2820)&gt;0, LEN(I2820)=0), "BLANCO", IFERROR(VLOOKUP(I2820, BasedatosM9!A:B, 2, FALSE), "BLANCO")))</f>
        <v/>
      </c>
    </row>
    <row r="2821" spans="1:11" ht="14.4">
      <c r="A2821" s="21"/>
      <c r="B2821" s="86"/>
      <c r="C2821" s="98"/>
      <c r="D2821" s="21"/>
      <c r="E2821" s="86"/>
      <c r="F2821" s="99"/>
      <c r="G2821" s="99"/>
      <c r="H2821" s="21"/>
      <c r="I2821" s="21"/>
      <c r="J2821" s="21"/>
      <c r="K2821" s="5" t="str">
        <f>IF(AND(LEN(H2821)=0, LEN(I2821)=0), "", IF(AND(LEN(H2821)&gt;0, LEN(I2821)=0), "BLANCO", IFERROR(VLOOKUP(I2821, BasedatosM9!A:B, 2, FALSE), "BLANCO")))</f>
        <v/>
      </c>
    </row>
    <row r="2822" spans="1:11" ht="14.4">
      <c r="A2822" s="21"/>
      <c r="B2822" s="86"/>
      <c r="C2822" s="98"/>
      <c r="D2822" s="21"/>
      <c r="E2822" s="86"/>
      <c r="F2822" s="99"/>
      <c r="G2822" s="99"/>
      <c r="H2822" s="21"/>
      <c r="I2822" s="21"/>
      <c r="J2822" s="21"/>
      <c r="K2822" s="5" t="str">
        <f>IF(AND(LEN(H2822)=0, LEN(I2822)=0), "", IF(AND(LEN(H2822)&gt;0, LEN(I2822)=0), "BLANCO", IFERROR(VLOOKUP(I2822, BasedatosM9!A:B, 2, FALSE), "BLANCO")))</f>
        <v/>
      </c>
    </row>
    <row r="2823" spans="1:11" ht="14.4">
      <c r="A2823" s="21"/>
      <c r="B2823" s="86"/>
      <c r="C2823" s="98"/>
      <c r="D2823" s="21"/>
      <c r="E2823" s="86"/>
      <c r="F2823" s="99"/>
      <c r="G2823" s="99"/>
      <c r="H2823" s="21"/>
      <c r="I2823" s="86"/>
      <c r="J2823" s="21"/>
      <c r="K2823" s="5" t="str">
        <f>IF(AND(LEN(H2823)=0, LEN(I2823)=0), "", IF(AND(LEN(H2823)&gt;0, LEN(I2823)=0), "BLANCO", IFERROR(VLOOKUP(I2823, BasedatosM9!A:B, 2, FALSE), "BLANCO")))</f>
        <v/>
      </c>
    </row>
    <row r="2824" spans="1:11" ht="14.4">
      <c r="A2824" s="21"/>
      <c r="B2824" s="86"/>
      <c r="C2824" s="98"/>
      <c r="D2824" s="21"/>
      <c r="E2824" s="86"/>
      <c r="F2824" s="99"/>
      <c r="G2824" s="99"/>
      <c r="H2824" s="21"/>
      <c r="I2824" s="21"/>
      <c r="J2824" s="21"/>
      <c r="K2824" s="5" t="str">
        <f>IF(AND(LEN(H2824)=0, LEN(I2824)=0), "", IF(AND(LEN(H2824)&gt;0, LEN(I2824)=0), "BLANCO", IFERROR(VLOOKUP(I2824, BasedatosM9!A:B, 2, FALSE), "BLANCO")))</f>
        <v/>
      </c>
    </row>
    <row r="2825" spans="1:11" ht="14.4">
      <c r="A2825" s="21"/>
      <c r="B2825" s="86"/>
      <c r="C2825" s="98"/>
      <c r="D2825" s="21"/>
      <c r="E2825" s="86"/>
      <c r="F2825" s="99"/>
      <c r="G2825" s="99"/>
      <c r="H2825" s="21"/>
      <c r="I2825" s="86"/>
      <c r="J2825" s="21"/>
      <c r="K2825" s="5" t="str">
        <f>IF(AND(LEN(H2825)=0, LEN(I2825)=0), "", IF(AND(LEN(H2825)&gt;0, LEN(I2825)=0), "BLANCO", IFERROR(VLOOKUP(I2825, BasedatosM9!A:B, 2, FALSE), "BLANCO")))</f>
        <v/>
      </c>
    </row>
    <row r="2826" spans="1:11" ht="14.4">
      <c r="A2826" s="21"/>
      <c r="B2826" s="86"/>
      <c r="C2826" s="98"/>
      <c r="D2826" s="21"/>
      <c r="E2826" s="86"/>
      <c r="F2826" s="99"/>
      <c r="G2826" s="99"/>
      <c r="H2826" s="21"/>
      <c r="I2826" s="86"/>
      <c r="J2826" s="21"/>
      <c r="K2826" s="5" t="str">
        <f>IF(AND(LEN(H2826)=0, LEN(I2826)=0), "", IF(AND(LEN(H2826)&gt;0, LEN(I2826)=0), "BLANCO", IFERROR(VLOOKUP(I2826, BasedatosM9!A:B, 2, FALSE), "BLANCO")))</f>
        <v/>
      </c>
    </row>
    <row r="2827" spans="1:11" ht="14.4">
      <c r="A2827" s="21"/>
      <c r="B2827" s="86"/>
      <c r="C2827" s="98"/>
      <c r="D2827" s="21"/>
      <c r="E2827" s="86"/>
      <c r="F2827" s="99"/>
      <c r="G2827" s="99"/>
      <c r="H2827" s="21"/>
      <c r="I2827" s="86"/>
      <c r="J2827" s="21"/>
      <c r="K2827" s="5" t="str">
        <f>IF(AND(LEN(H2827)=0, LEN(I2827)=0), "", IF(AND(LEN(H2827)&gt;0, LEN(I2827)=0), "BLANCO", IFERROR(VLOOKUP(I2827, BasedatosM9!A:B, 2, FALSE), "BLANCO")))</f>
        <v/>
      </c>
    </row>
    <row r="2828" spans="1:11" ht="14.4">
      <c r="A2828" s="21"/>
      <c r="B2828" s="86"/>
      <c r="C2828" s="98"/>
      <c r="D2828" s="21"/>
      <c r="E2828" s="86"/>
      <c r="F2828" s="99"/>
      <c r="G2828" s="99"/>
      <c r="H2828" s="21"/>
      <c r="I2828" s="86"/>
      <c r="J2828" s="21"/>
      <c r="K2828" s="5" t="str">
        <f>IF(AND(LEN(H2828)=0, LEN(I2828)=0), "", IF(AND(LEN(H2828)&gt;0, LEN(I2828)=0), "BLANCO", IFERROR(VLOOKUP(I2828, BasedatosM9!A:B, 2, FALSE), "BLANCO")))</f>
        <v/>
      </c>
    </row>
    <row r="2829" spans="1:11" ht="14.4">
      <c r="A2829" s="21"/>
      <c r="B2829" s="86"/>
      <c r="C2829" s="98"/>
      <c r="D2829" s="21"/>
      <c r="E2829" s="86"/>
      <c r="F2829" s="99"/>
      <c r="G2829" s="99"/>
      <c r="H2829" s="21"/>
      <c r="I2829" s="21"/>
      <c r="J2829" s="21"/>
      <c r="K2829" s="5" t="str">
        <f>IF(AND(LEN(H2829)=0, LEN(I2829)=0), "", IF(AND(LEN(H2829)&gt;0, LEN(I2829)=0), "BLANCO", IFERROR(VLOOKUP(I2829, BasedatosM9!A:B, 2, FALSE), "BLANCO")))</f>
        <v/>
      </c>
    </row>
    <row r="2830" spans="1:11" ht="14.4">
      <c r="A2830" s="21"/>
      <c r="B2830" s="86"/>
      <c r="C2830" s="98"/>
      <c r="D2830" s="21"/>
      <c r="E2830" s="86"/>
      <c r="F2830" s="99"/>
      <c r="G2830" s="99"/>
      <c r="H2830" s="21"/>
      <c r="I2830" s="21"/>
      <c r="J2830" s="21"/>
      <c r="K2830" s="5" t="str">
        <f>IF(AND(LEN(H2830)=0, LEN(I2830)=0), "", IF(AND(LEN(H2830)&gt;0, LEN(I2830)=0), "BLANCO", IFERROR(VLOOKUP(I2830, BasedatosM9!A:B, 2, FALSE), "BLANCO")))</f>
        <v/>
      </c>
    </row>
    <row r="2831" spans="1:11" ht="14.4">
      <c r="A2831" s="21"/>
      <c r="B2831" s="86"/>
      <c r="C2831" s="98"/>
      <c r="D2831" s="21"/>
      <c r="E2831" s="86"/>
      <c r="F2831" s="99"/>
      <c r="G2831" s="99"/>
      <c r="H2831" s="21"/>
      <c r="I2831" s="21"/>
      <c r="J2831" s="21"/>
      <c r="K2831" s="5" t="str">
        <f>IF(AND(LEN(H2831)=0, LEN(I2831)=0), "", IF(AND(LEN(H2831)&gt;0, LEN(I2831)=0), "BLANCO", IFERROR(VLOOKUP(I2831, BasedatosM9!A:B, 2, FALSE), "BLANCO")))</f>
        <v/>
      </c>
    </row>
    <row r="2832" spans="1:11" ht="14.4">
      <c r="A2832" s="21"/>
      <c r="B2832" s="86"/>
      <c r="C2832" s="98"/>
      <c r="D2832" s="21"/>
      <c r="E2832" s="86"/>
      <c r="F2832" s="99"/>
      <c r="G2832" s="99"/>
      <c r="H2832" s="21"/>
      <c r="I2832" s="21"/>
      <c r="J2832" s="21"/>
      <c r="K2832" s="5" t="str">
        <f>IF(AND(LEN(H2832)=0, LEN(I2832)=0), "", IF(AND(LEN(H2832)&gt;0, LEN(I2832)=0), "BLANCO", IFERROR(VLOOKUP(I2832, BasedatosM9!A:B, 2, FALSE), "BLANCO")))</f>
        <v/>
      </c>
    </row>
    <row r="2833" spans="1:11" ht="14.4">
      <c r="A2833" s="21"/>
      <c r="B2833" s="86"/>
      <c r="C2833" s="98"/>
      <c r="D2833" s="21"/>
      <c r="E2833" s="86"/>
      <c r="F2833" s="99"/>
      <c r="G2833" s="99"/>
      <c r="H2833" s="21"/>
      <c r="I2833" s="21"/>
      <c r="J2833" s="21"/>
      <c r="K2833" s="5" t="str">
        <f>IF(AND(LEN(H2833)=0, LEN(I2833)=0), "", IF(AND(LEN(H2833)&gt;0, LEN(I2833)=0), "BLANCO", IFERROR(VLOOKUP(I2833, BasedatosM9!A:B, 2, FALSE), "BLANCO")))</f>
        <v/>
      </c>
    </row>
    <row r="2834" spans="1:11" ht="14.4">
      <c r="A2834" s="21"/>
      <c r="B2834" s="86"/>
      <c r="C2834" s="98"/>
      <c r="D2834" s="21"/>
      <c r="E2834" s="86"/>
      <c r="F2834" s="99"/>
      <c r="G2834" s="99"/>
      <c r="H2834" s="21"/>
      <c r="I2834" s="21"/>
      <c r="J2834" s="21"/>
      <c r="K2834" s="5" t="str">
        <f>IF(AND(LEN(H2834)=0, LEN(I2834)=0), "", IF(AND(LEN(H2834)&gt;0, LEN(I2834)=0), "BLANCO", IFERROR(VLOOKUP(I2834, BasedatosM9!A:B, 2, FALSE), "BLANCO")))</f>
        <v/>
      </c>
    </row>
    <row r="2835" spans="1:11" ht="14.4">
      <c r="A2835" s="21"/>
      <c r="B2835" s="86"/>
      <c r="C2835" s="98"/>
      <c r="D2835" s="21"/>
      <c r="E2835" s="86"/>
      <c r="F2835" s="99"/>
      <c r="G2835" s="99"/>
      <c r="H2835" s="21"/>
      <c r="I2835" s="21"/>
      <c r="J2835" s="21"/>
      <c r="K2835" s="5" t="str">
        <f>IF(AND(LEN(H2835)=0, LEN(I2835)=0), "", IF(AND(LEN(H2835)&gt;0, LEN(I2835)=0), "BLANCO", IFERROR(VLOOKUP(I2835, BasedatosM9!A:B, 2, FALSE), "BLANCO")))</f>
        <v/>
      </c>
    </row>
    <row r="2836" spans="1:11" ht="14.4">
      <c r="A2836" s="21"/>
      <c r="B2836" s="86"/>
      <c r="C2836" s="98"/>
      <c r="D2836" s="21"/>
      <c r="E2836" s="86"/>
      <c r="F2836" s="99"/>
      <c r="G2836" s="99"/>
      <c r="H2836" s="21"/>
      <c r="I2836" s="21"/>
      <c r="J2836" s="21"/>
      <c r="K2836" s="5" t="str">
        <f>IF(AND(LEN(H2836)=0, LEN(I2836)=0), "", IF(AND(LEN(H2836)&gt;0, LEN(I2836)=0), "BLANCO", IFERROR(VLOOKUP(I2836, BasedatosM9!A:B, 2, FALSE), "BLANCO")))</f>
        <v/>
      </c>
    </row>
    <row r="2837" spans="1:11" ht="14.4">
      <c r="A2837" s="21"/>
      <c r="B2837" s="86"/>
      <c r="C2837" s="98"/>
      <c r="D2837" s="21"/>
      <c r="E2837" s="86"/>
      <c r="F2837" s="99"/>
      <c r="G2837" s="99"/>
      <c r="H2837" s="21"/>
      <c r="I2837" s="21"/>
      <c r="J2837" s="21"/>
      <c r="K2837" s="5" t="str">
        <f>IF(AND(LEN(H2837)=0, LEN(I2837)=0), "", IF(AND(LEN(H2837)&gt;0, LEN(I2837)=0), "BLANCO", IFERROR(VLOOKUP(I2837, BasedatosM9!A:B, 2, FALSE), "BLANCO")))</f>
        <v/>
      </c>
    </row>
    <row r="2838" spans="1:11" ht="14.4">
      <c r="A2838" s="21"/>
      <c r="B2838" s="86"/>
      <c r="C2838" s="98"/>
      <c r="D2838" s="21"/>
      <c r="E2838" s="86"/>
      <c r="F2838" s="99"/>
      <c r="G2838" s="99"/>
      <c r="H2838" s="21"/>
      <c r="I2838" s="21"/>
      <c r="J2838" s="21"/>
      <c r="K2838" s="5" t="str">
        <f>IF(AND(LEN(H2838)=0, LEN(I2838)=0), "", IF(AND(LEN(H2838)&gt;0, LEN(I2838)=0), "BLANCO", IFERROR(VLOOKUP(I2838, BasedatosM9!A:B, 2, FALSE), "BLANCO")))</f>
        <v/>
      </c>
    </row>
    <row r="2839" spans="1:11" ht="14.4">
      <c r="A2839" s="21"/>
      <c r="B2839" s="86"/>
      <c r="C2839" s="98"/>
      <c r="D2839" s="21"/>
      <c r="E2839" s="86"/>
      <c r="F2839" s="99"/>
      <c r="G2839" s="99"/>
      <c r="H2839" s="21"/>
      <c r="I2839" s="86"/>
      <c r="J2839" s="21"/>
      <c r="K2839" s="5" t="str">
        <f>IF(AND(LEN(H2839)=0, LEN(I2839)=0), "", IF(AND(LEN(H2839)&gt;0, LEN(I2839)=0), "BLANCO", IFERROR(VLOOKUP(I2839, BasedatosM9!A:B, 2, FALSE), "BLANCO")))</f>
        <v/>
      </c>
    </row>
    <row r="2840" spans="1:11" ht="14.4">
      <c r="A2840" s="21"/>
      <c r="B2840" s="86"/>
      <c r="C2840" s="98"/>
      <c r="D2840" s="21"/>
      <c r="E2840" s="86"/>
      <c r="F2840" s="99"/>
      <c r="G2840" s="99"/>
      <c r="H2840" s="21"/>
      <c r="I2840" s="86"/>
      <c r="J2840" s="21"/>
      <c r="K2840" s="5" t="str">
        <f>IF(AND(LEN(H2840)=0, LEN(I2840)=0), "", IF(AND(LEN(H2840)&gt;0, LEN(I2840)=0), "BLANCO", IFERROR(VLOOKUP(I2840, BasedatosM9!A:B, 2, FALSE), "BLANCO")))</f>
        <v/>
      </c>
    </row>
    <row r="2841" spans="1:11" ht="14.4">
      <c r="A2841" s="21"/>
      <c r="B2841" s="86"/>
      <c r="C2841" s="98"/>
      <c r="D2841" s="21"/>
      <c r="E2841" s="86"/>
      <c r="F2841" s="99"/>
      <c r="G2841" s="99"/>
      <c r="H2841" s="21"/>
      <c r="I2841" s="21"/>
      <c r="J2841" s="21"/>
      <c r="K2841" s="5" t="str">
        <f>IF(AND(LEN(H2841)=0, LEN(I2841)=0), "", IF(AND(LEN(H2841)&gt;0, LEN(I2841)=0), "BLANCO", IFERROR(VLOOKUP(I2841, BasedatosM9!A:B, 2, FALSE), "BLANCO")))</f>
        <v/>
      </c>
    </row>
    <row r="2842" spans="1:11" ht="14.4">
      <c r="A2842" s="21"/>
      <c r="B2842" s="86"/>
      <c r="C2842" s="98"/>
      <c r="D2842" s="21"/>
      <c r="E2842" s="86"/>
      <c r="F2842" s="99"/>
      <c r="G2842" s="99"/>
      <c r="H2842" s="21"/>
      <c r="I2842" s="86"/>
      <c r="J2842" s="21"/>
      <c r="K2842" s="5" t="str">
        <f>IF(AND(LEN(H2842)=0, LEN(I2842)=0), "", IF(AND(LEN(H2842)&gt;0, LEN(I2842)=0), "BLANCO", IFERROR(VLOOKUP(I2842, BasedatosM9!A:B, 2, FALSE), "BLANCO")))</f>
        <v/>
      </c>
    </row>
    <row r="2843" spans="1:11" ht="14.4">
      <c r="A2843" s="21"/>
      <c r="B2843" s="86"/>
      <c r="C2843" s="98"/>
      <c r="D2843" s="21"/>
      <c r="E2843" s="86"/>
      <c r="F2843" s="99"/>
      <c r="G2843" s="99"/>
      <c r="H2843" s="21"/>
      <c r="I2843" s="86"/>
      <c r="J2843" s="21"/>
      <c r="K2843" s="5" t="str">
        <f>IF(AND(LEN(H2843)=0, LEN(I2843)=0), "", IF(AND(LEN(H2843)&gt;0, LEN(I2843)=0), "BLANCO", IFERROR(VLOOKUP(I2843, BasedatosM9!A:B, 2, FALSE), "BLANCO")))</f>
        <v/>
      </c>
    </row>
    <row r="2844" spans="1:11" ht="14.4">
      <c r="A2844" s="21"/>
      <c r="B2844" s="86"/>
      <c r="C2844" s="98"/>
      <c r="D2844" s="21"/>
      <c r="E2844" s="86"/>
      <c r="F2844" s="99"/>
      <c r="G2844" s="99"/>
      <c r="H2844" s="21"/>
      <c r="I2844" s="86"/>
      <c r="J2844" s="21"/>
      <c r="K2844" s="5" t="str">
        <f>IF(AND(LEN(H2844)=0, LEN(I2844)=0), "", IF(AND(LEN(H2844)&gt;0, LEN(I2844)=0), "BLANCO", IFERROR(VLOOKUP(I2844, BasedatosM9!A:B, 2, FALSE), "BLANCO")))</f>
        <v/>
      </c>
    </row>
    <row r="2845" spans="1:11" ht="14.4">
      <c r="A2845" s="21"/>
      <c r="B2845" s="86"/>
      <c r="C2845" s="98"/>
      <c r="D2845" s="21"/>
      <c r="E2845" s="86"/>
      <c r="F2845" s="99"/>
      <c r="G2845" s="99"/>
      <c r="H2845" s="21"/>
      <c r="I2845" s="86"/>
      <c r="J2845" s="21"/>
      <c r="K2845" s="5" t="str">
        <f>IF(AND(LEN(H2845)=0, LEN(I2845)=0), "", IF(AND(LEN(H2845)&gt;0, LEN(I2845)=0), "BLANCO", IFERROR(VLOOKUP(I2845, BasedatosM9!A:B, 2, FALSE), "BLANCO")))</f>
        <v/>
      </c>
    </row>
    <row r="2846" spans="1:11" ht="14.4">
      <c r="A2846" s="21"/>
      <c r="B2846" s="86"/>
      <c r="C2846" s="98"/>
      <c r="D2846" s="21"/>
      <c r="E2846" s="86"/>
      <c r="F2846" s="99"/>
      <c r="G2846" s="99"/>
      <c r="H2846" s="21"/>
      <c r="I2846" s="86"/>
      <c r="J2846" s="21"/>
      <c r="K2846" s="5" t="str">
        <f>IF(AND(LEN(H2846)=0, LEN(I2846)=0), "", IF(AND(LEN(H2846)&gt;0, LEN(I2846)=0), "BLANCO", IFERROR(VLOOKUP(I2846, BasedatosM9!A:B, 2, FALSE), "BLANCO")))</f>
        <v/>
      </c>
    </row>
    <row r="2847" spans="1:11" ht="14.4">
      <c r="A2847" s="21"/>
      <c r="B2847" s="86"/>
      <c r="C2847" s="98"/>
      <c r="D2847" s="21"/>
      <c r="E2847" s="86"/>
      <c r="F2847" s="99"/>
      <c r="G2847" s="99"/>
      <c r="H2847" s="21"/>
      <c r="I2847" s="86"/>
      <c r="J2847" s="21"/>
      <c r="K2847" s="5" t="str">
        <f>IF(AND(LEN(H2847)=0, LEN(I2847)=0), "", IF(AND(LEN(H2847)&gt;0, LEN(I2847)=0), "BLANCO", IFERROR(VLOOKUP(I2847, BasedatosM9!A:B, 2, FALSE), "BLANCO")))</f>
        <v/>
      </c>
    </row>
    <row r="2848" spans="1:11" ht="14.4">
      <c r="A2848" s="21"/>
      <c r="B2848" s="86"/>
      <c r="C2848" s="98"/>
      <c r="D2848" s="21"/>
      <c r="E2848" s="86"/>
      <c r="F2848" s="99"/>
      <c r="G2848" s="99"/>
      <c r="H2848" s="21"/>
      <c r="I2848" s="86"/>
      <c r="J2848" s="21"/>
      <c r="K2848" s="5" t="str">
        <f>IF(AND(LEN(H2848)=0, LEN(I2848)=0), "", IF(AND(LEN(H2848)&gt;0, LEN(I2848)=0), "BLANCO", IFERROR(VLOOKUP(I2848, BasedatosM9!A:B, 2, FALSE), "BLANCO")))</f>
        <v/>
      </c>
    </row>
    <row r="2849" spans="1:11" ht="14.4">
      <c r="A2849" s="21"/>
      <c r="B2849" s="86"/>
      <c r="C2849" s="98"/>
      <c r="D2849" s="21"/>
      <c r="E2849" s="86"/>
      <c r="F2849" s="99"/>
      <c r="G2849" s="99"/>
      <c r="H2849" s="21"/>
      <c r="I2849" s="86"/>
      <c r="J2849" s="21"/>
      <c r="K2849" s="5" t="str">
        <f>IF(AND(LEN(H2849)=0, LEN(I2849)=0), "", IF(AND(LEN(H2849)&gt;0, LEN(I2849)=0), "BLANCO", IFERROR(VLOOKUP(I2849, BasedatosM9!A:B, 2, FALSE), "BLANCO")))</f>
        <v/>
      </c>
    </row>
    <row r="2850" spans="1:11" ht="14.4">
      <c r="A2850" s="21"/>
      <c r="B2850" s="86"/>
      <c r="C2850" s="98"/>
      <c r="D2850" s="21"/>
      <c r="E2850" s="86"/>
      <c r="F2850" s="99"/>
      <c r="G2850" s="99"/>
      <c r="H2850" s="21"/>
      <c r="I2850" s="21"/>
      <c r="J2850" s="21"/>
      <c r="K2850" s="5" t="str">
        <f>IF(AND(LEN(H2850)=0, LEN(I2850)=0), "", IF(AND(LEN(H2850)&gt;0, LEN(I2850)=0), "BLANCO", IFERROR(VLOOKUP(I2850, BasedatosM9!A:B, 2, FALSE), "BLANCO")))</f>
        <v/>
      </c>
    </row>
    <row r="2851" spans="1:11" ht="14.4">
      <c r="A2851" s="21"/>
      <c r="B2851" s="86"/>
      <c r="C2851" s="98"/>
      <c r="D2851" s="21"/>
      <c r="E2851" s="86"/>
      <c r="F2851" s="99"/>
      <c r="G2851" s="99"/>
      <c r="H2851" s="21"/>
      <c r="I2851" s="86"/>
      <c r="J2851" s="21"/>
      <c r="K2851" s="5" t="str">
        <f>IF(AND(LEN(H2851)=0, LEN(I2851)=0), "", IF(AND(LEN(H2851)&gt;0, LEN(I2851)=0), "BLANCO", IFERROR(VLOOKUP(I2851, BasedatosM9!A:B, 2, FALSE), "BLANCO")))</f>
        <v/>
      </c>
    </row>
    <row r="2852" spans="1:11" ht="14.4">
      <c r="A2852" s="21"/>
      <c r="B2852" s="86"/>
      <c r="C2852" s="98"/>
      <c r="D2852" s="21"/>
      <c r="E2852" s="86"/>
      <c r="F2852" s="99"/>
      <c r="G2852" s="99"/>
      <c r="H2852" s="21"/>
      <c r="I2852" s="86"/>
      <c r="J2852" s="21"/>
      <c r="K2852" s="5" t="str">
        <f>IF(AND(LEN(H2852)=0, LEN(I2852)=0), "", IF(AND(LEN(H2852)&gt;0, LEN(I2852)=0), "BLANCO", IFERROR(VLOOKUP(I2852, BasedatosM9!A:B, 2, FALSE), "BLANCO")))</f>
        <v/>
      </c>
    </row>
    <row r="2853" spans="1:11" ht="14.4">
      <c r="A2853" s="21"/>
      <c r="B2853" s="86"/>
      <c r="C2853" s="98"/>
      <c r="D2853" s="21"/>
      <c r="E2853" s="86"/>
      <c r="F2853" s="99"/>
      <c r="G2853" s="99"/>
      <c r="H2853" s="21"/>
      <c r="I2853" s="86"/>
      <c r="J2853" s="21"/>
      <c r="K2853" s="5" t="str">
        <f>IF(AND(LEN(H2853)=0, LEN(I2853)=0), "", IF(AND(LEN(H2853)&gt;0, LEN(I2853)=0), "BLANCO", IFERROR(VLOOKUP(I2853, BasedatosM9!A:B, 2, FALSE), "BLANCO")))</f>
        <v/>
      </c>
    </row>
    <row r="2854" spans="1:11" ht="14.4">
      <c r="A2854" s="21"/>
      <c r="B2854" s="86"/>
      <c r="C2854" s="98"/>
      <c r="D2854" s="21"/>
      <c r="E2854" s="86"/>
      <c r="F2854" s="99"/>
      <c r="G2854" s="99"/>
      <c r="H2854" s="21"/>
      <c r="I2854" s="86"/>
      <c r="J2854" s="21"/>
      <c r="K2854" s="5" t="str">
        <f>IF(AND(LEN(H2854)=0, LEN(I2854)=0), "", IF(AND(LEN(H2854)&gt;0, LEN(I2854)=0), "BLANCO", IFERROR(VLOOKUP(I2854, BasedatosM9!A:B, 2, FALSE), "BLANCO")))</f>
        <v/>
      </c>
    </row>
    <row r="2855" spans="1:11" ht="14.4">
      <c r="A2855" s="21"/>
      <c r="B2855" s="86"/>
      <c r="C2855" s="98"/>
      <c r="D2855" s="21"/>
      <c r="E2855" s="86"/>
      <c r="F2855" s="99"/>
      <c r="G2855" s="99"/>
      <c r="H2855" s="21"/>
      <c r="I2855" s="21"/>
      <c r="J2855" s="21"/>
      <c r="K2855" s="5" t="str">
        <f>IF(AND(LEN(H2855)=0, LEN(I2855)=0), "", IF(AND(LEN(H2855)&gt;0, LEN(I2855)=0), "BLANCO", IFERROR(VLOOKUP(I2855, BasedatosM9!A:B, 2, FALSE), "BLANCO")))</f>
        <v/>
      </c>
    </row>
    <row r="2856" spans="1:11" ht="14.4">
      <c r="A2856" s="21"/>
      <c r="B2856" s="86"/>
      <c r="C2856" s="98"/>
      <c r="D2856" s="21"/>
      <c r="E2856" s="86"/>
      <c r="F2856" s="99"/>
      <c r="G2856" s="99"/>
      <c r="H2856" s="21"/>
      <c r="I2856" s="21"/>
      <c r="J2856" s="21"/>
      <c r="K2856" s="5" t="str">
        <f>IF(AND(LEN(H2856)=0, LEN(I2856)=0), "", IF(AND(LEN(H2856)&gt;0, LEN(I2856)=0), "BLANCO", IFERROR(VLOOKUP(I2856, BasedatosM9!A:B, 2, FALSE), "BLANCO")))</f>
        <v/>
      </c>
    </row>
    <row r="2857" spans="1:11" ht="14.4">
      <c r="A2857" s="21"/>
      <c r="B2857" s="86"/>
      <c r="C2857" s="98"/>
      <c r="D2857" s="21"/>
      <c r="E2857" s="86"/>
      <c r="F2857" s="99"/>
      <c r="G2857" s="99"/>
      <c r="H2857" s="21"/>
      <c r="I2857" s="21"/>
      <c r="J2857" s="21"/>
      <c r="K2857" s="5" t="str">
        <f>IF(AND(LEN(H2857)=0, LEN(I2857)=0), "", IF(AND(LEN(H2857)&gt;0, LEN(I2857)=0), "BLANCO", IFERROR(VLOOKUP(I2857, BasedatosM9!A:B, 2, FALSE), "BLANCO")))</f>
        <v/>
      </c>
    </row>
    <row r="2858" spans="1:11" ht="14.4">
      <c r="A2858" s="21"/>
      <c r="B2858" s="86"/>
      <c r="C2858" s="98"/>
      <c r="D2858" s="21"/>
      <c r="E2858" s="86"/>
      <c r="F2858" s="99"/>
      <c r="G2858" s="99"/>
      <c r="H2858" s="21"/>
      <c r="I2858" s="86"/>
      <c r="J2858" s="21"/>
      <c r="K2858" s="5" t="str">
        <f>IF(AND(LEN(H2858)=0, LEN(I2858)=0), "", IF(AND(LEN(H2858)&gt;0, LEN(I2858)=0), "BLANCO", IFERROR(VLOOKUP(I2858, BasedatosM9!A:B, 2, FALSE), "BLANCO")))</f>
        <v/>
      </c>
    </row>
    <row r="2859" spans="1:11" ht="14.4">
      <c r="A2859" s="21"/>
      <c r="B2859" s="86"/>
      <c r="C2859" s="98"/>
      <c r="D2859" s="21"/>
      <c r="E2859" s="86"/>
      <c r="F2859" s="99"/>
      <c r="G2859" s="99"/>
      <c r="H2859" s="21"/>
      <c r="I2859" s="86"/>
      <c r="J2859" s="21"/>
      <c r="K2859" s="5" t="str">
        <f>IF(AND(LEN(H2859)=0, LEN(I2859)=0), "", IF(AND(LEN(H2859)&gt;0, LEN(I2859)=0), "BLANCO", IFERROR(VLOOKUP(I2859, BasedatosM9!A:B, 2, FALSE), "BLANCO")))</f>
        <v/>
      </c>
    </row>
    <row r="2860" spans="1:11" ht="14.4">
      <c r="A2860" s="21"/>
      <c r="B2860" s="86"/>
      <c r="C2860" s="98"/>
      <c r="D2860" s="21"/>
      <c r="E2860" s="86"/>
      <c r="F2860" s="99"/>
      <c r="G2860" s="99"/>
      <c r="H2860" s="21"/>
      <c r="I2860" s="86"/>
      <c r="J2860" s="21"/>
      <c r="K2860" s="5" t="str">
        <f>IF(AND(LEN(H2860)=0, LEN(I2860)=0), "", IF(AND(LEN(H2860)&gt;0, LEN(I2860)=0), "BLANCO", IFERROR(VLOOKUP(I2860, BasedatosM9!A:B, 2, FALSE), "BLANCO")))</f>
        <v/>
      </c>
    </row>
    <row r="2861" spans="1:11" ht="14.4">
      <c r="A2861" s="21"/>
      <c r="B2861" s="86"/>
      <c r="C2861" s="98"/>
      <c r="D2861" s="21"/>
      <c r="E2861" s="86"/>
      <c r="F2861" s="99"/>
      <c r="G2861" s="99"/>
      <c r="H2861" s="21"/>
      <c r="I2861" s="86"/>
      <c r="J2861" s="21"/>
      <c r="K2861" s="5" t="str">
        <f>IF(AND(LEN(H2861)=0, LEN(I2861)=0), "", IF(AND(LEN(H2861)&gt;0, LEN(I2861)=0), "BLANCO", IFERROR(VLOOKUP(I2861, BasedatosM9!A:B, 2, FALSE), "BLANCO")))</f>
        <v/>
      </c>
    </row>
    <row r="2862" spans="1:11" ht="14.4">
      <c r="A2862" s="21"/>
      <c r="B2862" s="86"/>
      <c r="C2862" s="98"/>
      <c r="D2862" s="21"/>
      <c r="E2862" s="86"/>
      <c r="F2862" s="99"/>
      <c r="G2862" s="99"/>
      <c r="H2862" s="21"/>
      <c r="I2862" s="86"/>
      <c r="J2862" s="21"/>
      <c r="K2862" s="5" t="str">
        <f>IF(AND(LEN(H2862)=0, LEN(I2862)=0), "", IF(AND(LEN(H2862)&gt;0, LEN(I2862)=0), "BLANCO", IFERROR(VLOOKUP(I2862, BasedatosM9!A:B, 2, FALSE), "BLANCO")))</f>
        <v/>
      </c>
    </row>
    <row r="2863" spans="1:11" ht="14.4">
      <c r="A2863" s="21"/>
      <c r="B2863" s="86"/>
      <c r="C2863" s="98"/>
      <c r="D2863" s="21"/>
      <c r="E2863" s="86"/>
      <c r="F2863" s="99"/>
      <c r="G2863" s="99"/>
      <c r="H2863" s="21"/>
      <c r="I2863" s="21"/>
      <c r="J2863" s="21"/>
      <c r="K2863" s="5" t="str">
        <f>IF(AND(LEN(H2863)=0, LEN(I2863)=0), "", IF(AND(LEN(H2863)&gt;0, LEN(I2863)=0), "BLANCO", IFERROR(VLOOKUP(I2863, BasedatosM9!A:B, 2, FALSE), "BLANCO")))</f>
        <v/>
      </c>
    </row>
    <row r="2864" spans="1:11" ht="14.4">
      <c r="A2864" s="21"/>
      <c r="B2864" s="86"/>
      <c r="C2864" s="98"/>
      <c r="D2864" s="21"/>
      <c r="E2864" s="86"/>
      <c r="F2864" s="99"/>
      <c r="G2864" s="99"/>
      <c r="H2864" s="21"/>
      <c r="I2864" s="21"/>
      <c r="J2864" s="21"/>
      <c r="K2864" s="5" t="str">
        <f>IF(AND(LEN(H2864)=0, LEN(I2864)=0), "", IF(AND(LEN(H2864)&gt;0, LEN(I2864)=0), "BLANCO", IFERROR(VLOOKUP(I2864, BasedatosM9!A:B, 2, FALSE), "BLANCO")))</f>
        <v/>
      </c>
    </row>
    <row r="2865" spans="1:11" ht="14.4">
      <c r="A2865" s="21"/>
      <c r="B2865" s="86"/>
      <c r="C2865" s="98"/>
      <c r="D2865" s="21"/>
      <c r="E2865" s="86"/>
      <c r="F2865" s="99"/>
      <c r="G2865" s="99"/>
      <c r="H2865" s="21"/>
      <c r="I2865" s="21"/>
      <c r="J2865" s="21"/>
      <c r="K2865" s="5" t="str">
        <f>IF(AND(LEN(H2865)=0, LEN(I2865)=0), "", IF(AND(LEN(H2865)&gt;0, LEN(I2865)=0), "BLANCO", IFERROR(VLOOKUP(I2865, BasedatosM9!A:B, 2, FALSE), "BLANCO")))</f>
        <v/>
      </c>
    </row>
    <row r="2866" spans="1:11" ht="14.4">
      <c r="A2866" s="21"/>
      <c r="B2866" s="86"/>
      <c r="C2866" s="98"/>
      <c r="D2866" s="21"/>
      <c r="E2866" s="86"/>
      <c r="F2866" s="99"/>
      <c r="G2866" s="99"/>
      <c r="H2866" s="21"/>
      <c r="I2866" s="21"/>
      <c r="J2866" s="21"/>
      <c r="K2866" s="5" t="str">
        <f>IF(AND(LEN(H2866)=0, LEN(I2866)=0), "", IF(AND(LEN(H2866)&gt;0, LEN(I2866)=0), "BLANCO", IFERROR(VLOOKUP(I2866, BasedatosM9!A:B, 2, FALSE), "BLANCO")))</f>
        <v/>
      </c>
    </row>
    <row r="2867" spans="1:11" ht="14.4">
      <c r="A2867" s="21"/>
      <c r="B2867" s="86"/>
      <c r="C2867" s="98"/>
      <c r="D2867" s="21"/>
      <c r="E2867" s="86"/>
      <c r="F2867" s="99"/>
      <c r="G2867" s="99"/>
      <c r="H2867" s="21"/>
      <c r="I2867" s="21"/>
      <c r="J2867" s="21"/>
      <c r="K2867" s="5" t="str">
        <f>IF(AND(LEN(H2867)=0, LEN(I2867)=0), "", IF(AND(LEN(H2867)&gt;0, LEN(I2867)=0), "BLANCO", IFERROR(VLOOKUP(I2867, BasedatosM9!A:B, 2, FALSE), "BLANCO")))</f>
        <v/>
      </c>
    </row>
    <row r="2868" spans="1:11" ht="14.4">
      <c r="A2868" s="21"/>
      <c r="B2868" s="86"/>
      <c r="C2868" s="98"/>
      <c r="D2868" s="21"/>
      <c r="E2868" s="86"/>
      <c r="F2868" s="99"/>
      <c r="G2868" s="99"/>
      <c r="H2868" s="21"/>
      <c r="I2868" s="21"/>
      <c r="J2868" s="21"/>
      <c r="K2868" s="5" t="str">
        <f>IF(AND(LEN(H2868)=0, LEN(I2868)=0), "", IF(AND(LEN(H2868)&gt;0, LEN(I2868)=0), "BLANCO", IFERROR(VLOOKUP(I2868, BasedatosM9!A:B, 2, FALSE), "BLANCO")))</f>
        <v/>
      </c>
    </row>
    <row r="2869" spans="1:11" ht="14.4">
      <c r="A2869" s="21"/>
      <c r="B2869" s="86"/>
      <c r="C2869" s="98"/>
      <c r="D2869" s="21"/>
      <c r="E2869" s="86"/>
      <c r="F2869" s="99"/>
      <c r="G2869" s="99"/>
      <c r="H2869" s="21"/>
      <c r="I2869" s="86"/>
      <c r="J2869" s="21"/>
      <c r="K2869" s="5" t="str">
        <f>IF(AND(LEN(H2869)=0, LEN(I2869)=0), "", IF(AND(LEN(H2869)&gt;0, LEN(I2869)=0), "BLANCO", IFERROR(VLOOKUP(I2869, BasedatosM9!A:B, 2, FALSE), "BLANCO")))</f>
        <v/>
      </c>
    </row>
    <row r="2870" spans="1:11" ht="14.4">
      <c r="A2870" s="21"/>
      <c r="B2870" s="86"/>
      <c r="C2870" s="98"/>
      <c r="D2870" s="21"/>
      <c r="E2870" s="86"/>
      <c r="F2870" s="99"/>
      <c r="G2870" s="99"/>
      <c r="H2870" s="21"/>
      <c r="I2870" s="21"/>
      <c r="J2870" s="21"/>
      <c r="K2870" s="5" t="str">
        <f>IF(AND(LEN(H2870)=0, LEN(I2870)=0), "", IF(AND(LEN(H2870)&gt;0, LEN(I2870)=0), "BLANCO", IFERROR(VLOOKUP(I2870, BasedatosM9!A:B, 2, FALSE), "BLANCO")))</f>
        <v/>
      </c>
    </row>
    <row r="2871" spans="1:11" ht="14.4">
      <c r="A2871" s="21"/>
      <c r="B2871" s="86"/>
      <c r="C2871" s="98"/>
      <c r="D2871" s="21"/>
      <c r="E2871" s="86"/>
      <c r="F2871" s="99"/>
      <c r="G2871" s="99"/>
      <c r="H2871" s="21"/>
      <c r="I2871" s="21"/>
      <c r="J2871" s="21"/>
      <c r="K2871" s="5" t="str">
        <f>IF(AND(LEN(H2871)=0, LEN(I2871)=0), "", IF(AND(LEN(H2871)&gt;0, LEN(I2871)=0), "BLANCO", IFERROR(VLOOKUP(I2871, BasedatosM9!A:B, 2, FALSE), "BLANCO")))</f>
        <v/>
      </c>
    </row>
    <row r="2872" spans="1:11" ht="14.4">
      <c r="A2872" s="21"/>
      <c r="B2872" s="86"/>
      <c r="C2872" s="98"/>
      <c r="D2872" s="21"/>
      <c r="E2872" s="86"/>
      <c r="F2872" s="99"/>
      <c r="G2872" s="99"/>
      <c r="H2872" s="21"/>
      <c r="I2872" s="21"/>
      <c r="J2872" s="21"/>
      <c r="K2872" s="5" t="str">
        <f>IF(AND(LEN(H2872)=0, LEN(I2872)=0), "", IF(AND(LEN(H2872)&gt;0, LEN(I2872)=0), "BLANCO", IFERROR(VLOOKUP(I2872, BasedatosM9!A:B, 2, FALSE), "BLANCO")))</f>
        <v/>
      </c>
    </row>
    <row r="2873" spans="1:11" ht="14.4">
      <c r="A2873" s="21"/>
      <c r="B2873" s="86"/>
      <c r="C2873" s="98"/>
      <c r="D2873" s="21"/>
      <c r="E2873" s="86"/>
      <c r="F2873" s="99"/>
      <c r="G2873" s="99"/>
      <c r="H2873" s="21"/>
      <c r="I2873" s="86"/>
      <c r="J2873" s="21"/>
      <c r="K2873" s="5" t="str">
        <f>IF(AND(LEN(H2873)=0, LEN(I2873)=0), "", IF(AND(LEN(H2873)&gt;0, LEN(I2873)=0), "BLANCO", IFERROR(VLOOKUP(I2873, BasedatosM9!A:B, 2, FALSE), "BLANCO")))</f>
        <v/>
      </c>
    </row>
    <row r="2874" spans="1:11" ht="14.4">
      <c r="A2874" s="21"/>
      <c r="B2874" s="86"/>
      <c r="C2874" s="98"/>
      <c r="D2874" s="21"/>
      <c r="E2874" s="86"/>
      <c r="F2874" s="99"/>
      <c r="G2874" s="99"/>
      <c r="H2874" s="21"/>
      <c r="I2874" s="21"/>
      <c r="J2874" s="21"/>
      <c r="K2874" s="5" t="str">
        <f>IF(AND(LEN(H2874)=0, LEN(I2874)=0), "", IF(AND(LEN(H2874)&gt;0, LEN(I2874)=0), "BLANCO", IFERROR(VLOOKUP(I2874, BasedatosM9!A:B, 2, FALSE), "BLANCO")))</f>
        <v/>
      </c>
    </row>
    <row r="2875" spans="1:11" ht="14.4">
      <c r="A2875" s="21"/>
      <c r="B2875" s="86"/>
      <c r="C2875" s="98"/>
      <c r="D2875" s="21"/>
      <c r="E2875" s="86"/>
      <c r="F2875" s="99"/>
      <c r="G2875" s="99"/>
      <c r="H2875" s="21"/>
      <c r="I2875" s="86"/>
      <c r="J2875" s="21"/>
      <c r="K2875" s="5" t="str">
        <f>IF(AND(LEN(H2875)=0, LEN(I2875)=0), "", IF(AND(LEN(H2875)&gt;0, LEN(I2875)=0), "BLANCO", IFERROR(VLOOKUP(I2875, BasedatosM9!A:B, 2, FALSE), "BLANCO")))</f>
        <v/>
      </c>
    </row>
    <row r="2876" spans="1:11" ht="14.4">
      <c r="A2876" s="21"/>
      <c r="B2876" s="86"/>
      <c r="C2876" s="98"/>
      <c r="D2876" s="21"/>
      <c r="E2876" s="86"/>
      <c r="F2876" s="99"/>
      <c r="G2876" s="99"/>
      <c r="H2876" s="21"/>
      <c r="I2876" s="86"/>
      <c r="J2876" s="21"/>
      <c r="K2876" s="5" t="str">
        <f>IF(AND(LEN(H2876)=0, LEN(I2876)=0), "", IF(AND(LEN(H2876)&gt;0, LEN(I2876)=0), "BLANCO", IFERROR(VLOOKUP(I2876, BasedatosM9!A:B, 2, FALSE), "BLANCO")))</f>
        <v/>
      </c>
    </row>
    <row r="2877" spans="1:11" ht="14.4">
      <c r="A2877" s="21"/>
      <c r="B2877" s="86"/>
      <c r="C2877" s="98"/>
      <c r="D2877" s="21"/>
      <c r="E2877" s="86"/>
      <c r="F2877" s="99"/>
      <c r="G2877" s="99"/>
      <c r="H2877" s="21"/>
      <c r="I2877" s="86"/>
      <c r="J2877" s="21"/>
      <c r="K2877" s="5" t="str">
        <f>IF(AND(LEN(H2877)=0, LEN(I2877)=0), "", IF(AND(LEN(H2877)&gt;0, LEN(I2877)=0), "BLANCO", IFERROR(VLOOKUP(I2877, BasedatosM9!A:B, 2, FALSE), "BLANCO")))</f>
        <v/>
      </c>
    </row>
    <row r="2878" spans="1:11" ht="14.4">
      <c r="A2878" s="21"/>
      <c r="B2878" s="86"/>
      <c r="C2878" s="98"/>
      <c r="D2878" s="21"/>
      <c r="E2878" s="86"/>
      <c r="F2878" s="99"/>
      <c r="G2878" s="99"/>
      <c r="H2878" s="21"/>
      <c r="I2878" s="21"/>
      <c r="J2878" s="21"/>
      <c r="K2878" s="5" t="str">
        <f>IF(AND(LEN(H2878)=0, LEN(I2878)=0), "", IF(AND(LEN(H2878)&gt;0, LEN(I2878)=0), "BLANCO", IFERROR(VLOOKUP(I2878, BasedatosM9!A:B, 2, FALSE), "BLANCO")))</f>
        <v/>
      </c>
    </row>
    <row r="2879" spans="1:11" ht="14.4">
      <c r="A2879" s="21"/>
      <c r="B2879" s="86"/>
      <c r="C2879" s="98"/>
      <c r="D2879" s="21"/>
      <c r="E2879" s="86"/>
      <c r="F2879" s="99"/>
      <c r="G2879" s="99"/>
      <c r="H2879" s="21"/>
      <c r="I2879" s="86"/>
      <c r="J2879" s="21"/>
      <c r="K2879" s="5" t="str">
        <f>IF(AND(LEN(H2879)=0, LEN(I2879)=0), "", IF(AND(LEN(H2879)&gt;0, LEN(I2879)=0), "BLANCO", IFERROR(VLOOKUP(I2879, BasedatosM9!A:B, 2, FALSE), "BLANCO")))</f>
        <v/>
      </c>
    </row>
    <row r="2880" spans="1:11" ht="14.4">
      <c r="A2880" s="21"/>
      <c r="B2880" s="86"/>
      <c r="C2880" s="98"/>
      <c r="D2880" s="21"/>
      <c r="E2880" s="86"/>
      <c r="F2880" s="99"/>
      <c r="G2880" s="99"/>
      <c r="H2880" s="21"/>
      <c r="I2880" s="21"/>
      <c r="J2880" s="21"/>
      <c r="K2880" s="5" t="str">
        <f>IF(AND(LEN(H2880)=0, LEN(I2880)=0), "", IF(AND(LEN(H2880)&gt;0, LEN(I2880)=0), "BLANCO", IFERROR(VLOOKUP(I2880, BasedatosM9!A:B, 2, FALSE), "BLANCO")))</f>
        <v/>
      </c>
    </row>
    <row r="2881" spans="1:11" ht="14.4">
      <c r="A2881" s="21"/>
      <c r="B2881" s="86"/>
      <c r="C2881" s="98"/>
      <c r="D2881" s="21"/>
      <c r="E2881" s="86"/>
      <c r="F2881" s="99"/>
      <c r="G2881" s="99"/>
      <c r="H2881" s="21"/>
      <c r="I2881" s="21"/>
      <c r="J2881" s="21"/>
      <c r="K2881" s="5" t="str">
        <f>IF(AND(LEN(H2881)=0, LEN(I2881)=0), "", IF(AND(LEN(H2881)&gt;0, LEN(I2881)=0), "BLANCO", IFERROR(VLOOKUP(I2881, BasedatosM9!A:B, 2, FALSE), "BLANCO")))</f>
        <v/>
      </c>
    </row>
    <row r="2882" spans="1:11" ht="14.4">
      <c r="A2882" s="21"/>
      <c r="B2882" s="86"/>
      <c r="C2882" s="98"/>
      <c r="D2882" s="21"/>
      <c r="E2882" s="86"/>
      <c r="F2882" s="99"/>
      <c r="G2882" s="99"/>
      <c r="H2882" s="21"/>
      <c r="I2882" s="86"/>
      <c r="J2882" s="21"/>
      <c r="K2882" s="5" t="str">
        <f>IF(AND(LEN(H2882)=0, LEN(I2882)=0), "", IF(AND(LEN(H2882)&gt;0, LEN(I2882)=0), "BLANCO", IFERROR(VLOOKUP(I2882, BasedatosM9!A:B, 2, FALSE), "BLANCO")))</f>
        <v/>
      </c>
    </row>
    <row r="2883" spans="1:11" ht="14.4">
      <c r="A2883" s="21"/>
      <c r="B2883" s="86"/>
      <c r="C2883" s="98"/>
      <c r="D2883" s="21"/>
      <c r="E2883" s="86"/>
      <c r="F2883" s="99"/>
      <c r="G2883" s="99"/>
      <c r="H2883" s="21"/>
      <c r="I2883" s="86"/>
      <c r="J2883" s="21"/>
      <c r="K2883" s="5" t="str">
        <f>IF(AND(LEN(H2883)=0, LEN(I2883)=0), "", IF(AND(LEN(H2883)&gt;0, LEN(I2883)=0), "BLANCO", IFERROR(VLOOKUP(I2883, BasedatosM9!A:B, 2, FALSE), "BLANCO")))</f>
        <v/>
      </c>
    </row>
    <row r="2884" spans="1:11" ht="14.4">
      <c r="A2884" s="21"/>
      <c r="B2884" s="86"/>
      <c r="C2884" s="98"/>
      <c r="D2884" s="21"/>
      <c r="E2884" s="86"/>
      <c r="F2884" s="99"/>
      <c r="G2884" s="99"/>
      <c r="H2884" s="21"/>
      <c r="I2884" s="86"/>
      <c r="J2884" s="21"/>
      <c r="K2884" s="5" t="str">
        <f>IF(AND(LEN(H2884)=0, LEN(I2884)=0), "", IF(AND(LEN(H2884)&gt;0, LEN(I2884)=0), "BLANCO", IFERROR(VLOOKUP(I2884, BasedatosM9!A:B, 2, FALSE), "BLANCO")))</f>
        <v/>
      </c>
    </row>
    <row r="2885" spans="1:11" ht="14.4">
      <c r="A2885" s="21"/>
      <c r="B2885" s="86"/>
      <c r="C2885" s="98"/>
      <c r="D2885" s="21"/>
      <c r="E2885" s="86"/>
      <c r="F2885" s="99"/>
      <c r="G2885" s="99"/>
      <c r="H2885" s="21"/>
      <c r="I2885" s="21"/>
      <c r="J2885" s="21"/>
      <c r="K2885" s="5" t="str">
        <f>IF(AND(LEN(H2885)=0, LEN(I2885)=0), "", IF(AND(LEN(H2885)&gt;0, LEN(I2885)=0), "BLANCO", IFERROR(VLOOKUP(I2885, BasedatosM9!A:B, 2, FALSE), "BLANCO")))</f>
        <v/>
      </c>
    </row>
    <row r="2886" spans="1:11" ht="14.4">
      <c r="A2886" s="21"/>
      <c r="B2886" s="86"/>
      <c r="C2886" s="98"/>
      <c r="D2886" s="21"/>
      <c r="E2886" s="86"/>
      <c r="F2886" s="99"/>
      <c r="G2886" s="99"/>
      <c r="H2886" s="21"/>
      <c r="I2886" s="86"/>
      <c r="J2886" s="21"/>
      <c r="K2886" s="5" t="str">
        <f>IF(AND(LEN(H2886)=0, LEN(I2886)=0), "", IF(AND(LEN(H2886)&gt;0, LEN(I2886)=0), "BLANCO", IFERROR(VLOOKUP(I2886, BasedatosM9!A:B, 2, FALSE), "BLANCO")))</f>
        <v/>
      </c>
    </row>
    <row r="2887" spans="1:11" ht="14.4">
      <c r="A2887" s="21"/>
      <c r="B2887" s="86"/>
      <c r="C2887" s="98"/>
      <c r="D2887" s="21"/>
      <c r="E2887" s="86"/>
      <c r="F2887" s="99"/>
      <c r="G2887" s="99"/>
      <c r="H2887" s="21"/>
      <c r="I2887" s="21"/>
      <c r="J2887" s="21"/>
      <c r="K2887" s="5" t="str">
        <f>IF(AND(LEN(H2887)=0, LEN(I2887)=0), "", IF(AND(LEN(H2887)&gt;0, LEN(I2887)=0), "BLANCO", IFERROR(VLOOKUP(I2887, BasedatosM9!A:B, 2, FALSE), "BLANCO")))</f>
        <v/>
      </c>
    </row>
    <row r="2888" spans="1:11" ht="14.4">
      <c r="A2888" s="21"/>
      <c r="B2888" s="86"/>
      <c r="C2888" s="98"/>
      <c r="D2888" s="21"/>
      <c r="E2888" s="86"/>
      <c r="F2888" s="99"/>
      <c r="G2888" s="99"/>
      <c r="H2888" s="21"/>
      <c r="I2888" s="86"/>
      <c r="J2888" s="21"/>
      <c r="K2888" s="5" t="str">
        <f>IF(AND(LEN(H2888)=0, LEN(I2888)=0), "", IF(AND(LEN(H2888)&gt;0, LEN(I2888)=0), "BLANCO", IFERROR(VLOOKUP(I2888, BasedatosM9!A:B, 2, FALSE), "BLANCO")))</f>
        <v/>
      </c>
    </row>
    <row r="2889" spans="1:11" ht="14.4">
      <c r="A2889" s="21"/>
      <c r="B2889" s="86"/>
      <c r="C2889" s="98"/>
      <c r="D2889" s="21"/>
      <c r="E2889" s="86"/>
      <c r="F2889" s="99"/>
      <c r="G2889" s="99"/>
      <c r="H2889" s="21"/>
      <c r="I2889" s="86"/>
      <c r="J2889" s="21"/>
      <c r="K2889" s="5" t="str">
        <f>IF(AND(LEN(H2889)=0, LEN(I2889)=0), "", IF(AND(LEN(H2889)&gt;0, LEN(I2889)=0), "BLANCO", IFERROR(VLOOKUP(I2889, BasedatosM9!A:B, 2, FALSE), "BLANCO")))</f>
        <v/>
      </c>
    </row>
    <row r="2890" spans="1:11" ht="14.4">
      <c r="A2890" s="21"/>
      <c r="B2890" s="86"/>
      <c r="C2890" s="98"/>
      <c r="D2890" s="21"/>
      <c r="E2890" s="86"/>
      <c r="F2890" s="99"/>
      <c r="G2890" s="99"/>
      <c r="H2890" s="21"/>
      <c r="I2890" s="86"/>
      <c r="J2890" s="21"/>
      <c r="K2890" s="5" t="str">
        <f>IF(AND(LEN(H2890)=0, LEN(I2890)=0), "", IF(AND(LEN(H2890)&gt;0, LEN(I2890)=0), "BLANCO", IFERROR(VLOOKUP(I2890, BasedatosM9!A:B, 2, FALSE), "BLANCO")))</f>
        <v/>
      </c>
    </row>
    <row r="2891" spans="1:11" ht="14.4">
      <c r="A2891" s="21"/>
      <c r="B2891" s="86"/>
      <c r="C2891" s="98"/>
      <c r="D2891" s="21"/>
      <c r="E2891" s="86"/>
      <c r="F2891" s="99"/>
      <c r="G2891" s="99"/>
      <c r="H2891" s="21"/>
      <c r="I2891" s="21"/>
      <c r="J2891" s="21"/>
      <c r="K2891" s="5" t="str">
        <f>IF(AND(LEN(H2891)=0, LEN(I2891)=0), "", IF(AND(LEN(H2891)&gt;0, LEN(I2891)=0), "BLANCO", IFERROR(VLOOKUP(I2891, BasedatosM9!A:B, 2, FALSE), "BLANCO")))</f>
        <v/>
      </c>
    </row>
    <row r="2892" spans="1:11" ht="14.4">
      <c r="A2892" s="21"/>
      <c r="B2892" s="86"/>
      <c r="C2892" s="98"/>
      <c r="D2892" s="21"/>
      <c r="E2892" s="86"/>
      <c r="F2892" s="99"/>
      <c r="G2892" s="99"/>
      <c r="H2892" s="21"/>
      <c r="I2892" s="21"/>
      <c r="J2892" s="21"/>
      <c r="K2892" s="5" t="str">
        <f>IF(AND(LEN(H2892)=0, LEN(I2892)=0), "", IF(AND(LEN(H2892)&gt;0, LEN(I2892)=0), "BLANCO", IFERROR(VLOOKUP(I2892, BasedatosM9!A:B, 2, FALSE), "BLANCO")))</f>
        <v/>
      </c>
    </row>
    <row r="2893" spans="1:11" ht="14.4">
      <c r="A2893" s="21"/>
      <c r="B2893" s="86"/>
      <c r="C2893" s="98"/>
      <c r="D2893" s="21"/>
      <c r="E2893" s="86"/>
      <c r="F2893" s="99"/>
      <c r="G2893" s="99"/>
      <c r="H2893" s="21"/>
      <c r="I2893" s="86"/>
      <c r="J2893" s="21"/>
      <c r="K2893" s="5" t="str">
        <f>IF(AND(LEN(H2893)=0, LEN(I2893)=0), "", IF(AND(LEN(H2893)&gt;0, LEN(I2893)=0), "BLANCO", IFERROR(VLOOKUP(I2893, BasedatosM9!A:B, 2, FALSE), "BLANCO")))</f>
        <v/>
      </c>
    </row>
    <row r="2894" spans="1:11" ht="14.4">
      <c r="A2894" s="21"/>
      <c r="B2894" s="86"/>
      <c r="C2894" s="98"/>
      <c r="D2894" s="21"/>
      <c r="E2894" s="86"/>
      <c r="F2894" s="99"/>
      <c r="G2894" s="99"/>
      <c r="H2894" s="21"/>
      <c r="I2894" s="21"/>
      <c r="J2894" s="21"/>
      <c r="K2894" s="5" t="str">
        <f>IF(AND(LEN(H2894)=0, LEN(I2894)=0), "", IF(AND(LEN(H2894)&gt;0, LEN(I2894)=0), "BLANCO", IFERROR(VLOOKUP(I2894, BasedatosM9!A:B, 2, FALSE), "BLANCO")))</f>
        <v/>
      </c>
    </row>
    <row r="2895" spans="1:11" ht="14.4">
      <c r="A2895" s="21"/>
      <c r="B2895" s="86"/>
      <c r="C2895" s="98"/>
      <c r="D2895" s="21"/>
      <c r="E2895" s="86"/>
      <c r="F2895" s="99"/>
      <c r="G2895" s="99"/>
      <c r="H2895" s="21"/>
      <c r="I2895" s="21"/>
      <c r="J2895" s="21"/>
      <c r="K2895" s="5" t="str">
        <f>IF(AND(LEN(H2895)=0, LEN(I2895)=0), "", IF(AND(LEN(H2895)&gt;0, LEN(I2895)=0), "BLANCO", IFERROR(VLOOKUP(I2895, BasedatosM9!A:B, 2, FALSE), "BLANCO")))</f>
        <v/>
      </c>
    </row>
    <row r="2896" spans="1:11" ht="14.4">
      <c r="A2896" s="21"/>
      <c r="B2896" s="86"/>
      <c r="C2896" s="98"/>
      <c r="D2896" s="21"/>
      <c r="E2896" s="86"/>
      <c r="F2896" s="99"/>
      <c r="G2896" s="99"/>
      <c r="H2896" s="21"/>
      <c r="I2896" s="21"/>
      <c r="J2896" s="21"/>
      <c r="K2896" s="5" t="str">
        <f>IF(AND(LEN(H2896)=0, LEN(I2896)=0), "", IF(AND(LEN(H2896)&gt;0, LEN(I2896)=0), "BLANCO", IFERROR(VLOOKUP(I2896, BasedatosM9!A:B, 2, FALSE), "BLANCO")))</f>
        <v/>
      </c>
    </row>
    <row r="2897" spans="1:11" ht="14.4">
      <c r="A2897" s="21"/>
      <c r="B2897" s="86"/>
      <c r="C2897" s="98"/>
      <c r="D2897" s="21"/>
      <c r="E2897" s="86"/>
      <c r="F2897" s="99"/>
      <c r="G2897" s="99"/>
      <c r="H2897" s="21"/>
      <c r="I2897" s="86"/>
      <c r="J2897" s="21"/>
      <c r="K2897" s="5" t="str">
        <f>IF(AND(LEN(H2897)=0, LEN(I2897)=0), "", IF(AND(LEN(H2897)&gt;0, LEN(I2897)=0), "BLANCO", IFERROR(VLOOKUP(I2897, BasedatosM9!A:B, 2, FALSE), "BLANCO")))</f>
        <v/>
      </c>
    </row>
    <row r="2898" spans="1:11" ht="14.4">
      <c r="A2898" s="21"/>
      <c r="B2898" s="86"/>
      <c r="C2898" s="98"/>
      <c r="D2898" s="21"/>
      <c r="E2898" s="86"/>
      <c r="F2898" s="99"/>
      <c r="G2898" s="99"/>
      <c r="H2898" s="21"/>
      <c r="I2898" s="21"/>
      <c r="J2898" s="21"/>
      <c r="K2898" s="5" t="str">
        <f>IF(AND(LEN(H2898)=0, LEN(I2898)=0), "", IF(AND(LEN(H2898)&gt;0, LEN(I2898)=0), "BLANCO", IFERROR(VLOOKUP(I2898, BasedatosM9!A:B, 2, FALSE), "BLANCO")))</f>
        <v/>
      </c>
    </row>
    <row r="2899" spans="1:11" ht="14.4">
      <c r="A2899" s="21"/>
      <c r="B2899" s="86"/>
      <c r="C2899" s="98"/>
      <c r="D2899" s="21"/>
      <c r="E2899" s="86"/>
      <c r="F2899" s="99"/>
      <c r="G2899" s="99"/>
      <c r="H2899" s="21"/>
      <c r="I2899" s="86"/>
      <c r="J2899" s="21"/>
      <c r="K2899" s="5" t="str">
        <f>IF(AND(LEN(H2899)=0, LEN(I2899)=0), "", IF(AND(LEN(H2899)&gt;0, LEN(I2899)=0), "BLANCO", IFERROR(VLOOKUP(I2899, BasedatosM9!A:B, 2, FALSE), "BLANCO")))</f>
        <v/>
      </c>
    </row>
    <row r="2900" spans="1:11" ht="14.4">
      <c r="A2900" s="21"/>
      <c r="B2900" s="86"/>
      <c r="C2900" s="98"/>
      <c r="D2900" s="21"/>
      <c r="E2900" s="86"/>
      <c r="F2900" s="99"/>
      <c r="G2900" s="99"/>
      <c r="H2900" s="21"/>
      <c r="I2900" s="86"/>
      <c r="J2900" s="21"/>
      <c r="K2900" s="5" t="str">
        <f>IF(AND(LEN(H2900)=0, LEN(I2900)=0), "", IF(AND(LEN(H2900)&gt;0, LEN(I2900)=0), "BLANCO", IFERROR(VLOOKUP(I2900, BasedatosM9!A:B, 2, FALSE), "BLANCO")))</f>
        <v/>
      </c>
    </row>
    <row r="2901" spans="1:11" ht="14.4">
      <c r="A2901" s="21"/>
      <c r="B2901" s="86"/>
      <c r="C2901" s="98"/>
      <c r="D2901" s="21"/>
      <c r="E2901" s="86"/>
      <c r="F2901" s="99"/>
      <c r="G2901" s="99"/>
      <c r="H2901" s="21"/>
      <c r="I2901" s="21"/>
      <c r="J2901" s="21"/>
      <c r="K2901" s="5" t="str">
        <f>IF(AND(LEN(H2901)=0, LEN(I2901)=0), "", IF(AND(LEN(H2901)&gt;0, LEN(I2901)=0), "BLANCO", IFERROR(VLOOKUP(I2901, BasedatosM9!A:B, 2, FALSE), "BLANCO")))</f>
        <v/>
      </c>
    </row>
    <row r="2902" spans="1:11" ht="14.4">
      <c r="A2902" s="21"/>
      <c r="B2902" s="86"/>
      <c r="C2902" s="98"/>
      <c r="D2902" s="21"/>
      <c r="E2902" s="86"/>
      <c r="F2902" s="99"/>
      <c r="G2902" s="99"/>
      <c r="H2902" s="21"/>
      <c r="I2902" s="86"/>
      <c r="J2902" s="21"/>
      <c r="K2902" s="5" t="str">
        <f>IF(AND(LEN(H2902)=0, LEN(I2902)=0), "", IF(AND(LEN(H2902)&gt;0, LEN(I2902)=0), "BLANCO", IFERROR(VLOOKUP(I2902, BasedatosM9!A:B, 2, FALSE), "BLANCO")))</f>
        <v/>
      </c>
    </row>
    <row r="2903" spans="1:11" ht="14.4">
      <c r="A2903" s="21"/>
      <c r="B2903" s="86"/>
      <c r="C2903" s="98"/>
      <c r="D2903" s="21"/>
      <c r="E2903" s="86"/>
      <c r="F2903" s="99"/>
      <c r="G2903" s="99"/>
      <c r="H2903" s="21"/>
      <c r="I2903" s="86"/>
      <c r="J2903" s="21"/>
      <c r="K2903" s="5" t="str">
        <f>IF(AND(LEN(H2903)=0, LEN(I2903)=0), "", IF(AND(LEN(H2903)&gt;0, LEN(I2903)=0), "BLANCO", IFERROR(VLOOKUP(I2903, BasedatosM9!A:B, 2, FALSE), "BLANCO")))</f>
        <v/>
      </c>
    </row>
    <row r="2904" spans="1:11" ht="14.4">
      <c r="A2904" s="21"/>
      <c r="B2904" s="86"/>
      <c r="C2904" s="98"/>
      <c r="D2904" s="21"/>
      <c r="E2904" s="86"/>
      <c r="F2904" s="99"/>
      <c r="G2904" s="99"/>
      <c r="H2904" s="21"/>
      <c r="I2904" s="86"/>
      <c r="J2904" s="21"/>
      <c r="K2904" s="5" t="str">
        <f>IF(AND(LEN(H2904)=0, LEN(I2904)=0), "", IF(AND(LEN(H2904)&gt;0, LEN(I2904)=0), "BLANCO", IFERROR(VLOOKUP(I2904, BasedatosM9!A:B, 2, FALSE), "BLANCO")))</f>
        <v/>
      </c>
    </row>
    <row r="2905" spans="1:11" ht="14.4">
      <c r="A2905" s="21"/>
      <c r="B2905" s="86"/>
      <c r="C2905" s="98"/>
      <c r="D2905" s="21"/>
      <c r="E2905" s="86"/>
      <c r="F2905" s="99"/>
      <c r="G2905" s="99"/>
      <c r="H2905" s="21"/>
      <c r="I2905" s="86"/>
      <c r="J2905" s="21"/>
      <c r="K2905" s="5" t="str">
        <f>IF(AND(LEN(H2905)=0, LEN(I2905)=0), "", IF(AND(LEN(H2905)&gt;0, LEN(I2905)=0), "BLANCO", IFERROR(VLOOKUP(I2905, BasedatosM9!A:B, 2, FALSE), "BLANCO")))</f>
        <v/>
      </c>
    </row>
    <row r="2906" spans="1:11" ht="14.4">
      <c r="A2906" s="21"/>
      <c r="B2906" s="86"/>
      <c r="C2906" s="98"/>
      <c r="D2906" s="21"/>
      <c r="E2906" s="86"/>
      <c r="F2906" s="99"/>
      <c r="G2906" s="99"/>
      <c r="H2906" s="21"/>
      <c r="I2906" s="86"/>
      <c r="J2906" s="21"/>
      <c r="K2906" s="5" t="str">
        <f>IF(AND(LEN(H2906)=0, LEN(I2906)=0), "", IF(AND(LEN(H2906)&gt;0, LEN(I2906)=0), "BLANCO", IFERROR(VLOOKUP(I2906, BasedatosM9!A:B, 2, FALSE), "BLANCO")))</f>
        <v/>
      </c>
    </row>
    <row r="2907" spans="1:11" ht="14.4">
      <c r="A2907" s="21"/>
      <c r="B2907" s="86"/>
      <c r="C2907" s="98"/>
      <c r="D2907" s="21"/>
      <c r="E2907" s="86"/>
      <c r="F2907" s="99"/>
      <c r="G2907" s="99"/>
      <c r="H2907" s="21"/>
      <c r="I2907" s="86"/>
      <c r="J2907" s="21"/>
      <c r="K2907" s="5" t="str">
        <f>IF(AND(LEN(H2907)=0, LEN(I2907)=0), "", IF(AND(LEN(H2907)&gt;0, LEN(I2907)=0), "BLANCO", IFERROR(VLOOKUP(I2907, BasedatosM9!A:B, 2, FALSE), "BLANCO")))</f>
        <v/>
      </c>
    </row>
    <row r="2908" spans="1:11" ht="14.4">
      <c r="A2908" s="21"/>
      <c r="B2908" s="86"/>
      <c r="C2908" s="98"/>
      <c r="D2908" s="21"/>
      <c r="E2908" s="86"/>
      <c r="F2908" s="99"/>
      <c r="G2908" s="99"/>
      <c r="H2908" s="21"/>
      <c r="I2908" s="86"/>
      <c r="J2908" s="21"/>
      <c r="K2908" s="5" t="str">
        <f>IF(AND(LEN(H2908)=0, LEN(I2908)=0), "", IF(AND(LEN(H2908)&gt;0, LEN(I2908)=0), "BLANCO", IFERROR(VLOOKUP(I2908, BasedatosM9!A:B, 2, FALSE), "BLANCO")))</f>
        <v/>
      </c>
    </row>
    <row r="2909" spans="1:11" ht="14.4">
      <c r="A2909" s="21"/>
      <c r="B2909" s="86"/>
      <c r="C2909" s="98"/>
      <c r="D2909" s="21"/>
      <c r="E2909" s="86"/>
      <c r="F2909" s="99"/>
      <c r="G2909" s="99"/>
      <c r="H2909" s="21"/>
      <c r="I2909" s="86"/>
      <c r="J2909" s="21"/>
      <c r="K2909" s="5" t="str">
        <f>IF(AND(LEN(H2909)=0, LEN(I2909)=0), "", IF(AND(LEN(H2909)&gt;0, LEN(I2909)=0), "BLANCO", IFERROR(VLOOKUP(I2909, BasedatosM9!A:B, 2, FALSE), "BLANCO")))</f>
        <v/>
      </c>
    </row>
    <row r="2910" spans="1:11" ht="14.4">
      <c r="A2910" s="21"/>
      <c r="B2910" s="86"/>
      <c r="C2910" s="98"/>
      <c r="D2910" s="21"/>
      <c r="E2910" s="86"/>
      <c r="F2910" s="99"/>
      <c r="G2910" s="99"/>
      <c r="H2910" s="21"/>
      <c r="I2910" s="21"/>
      <c r="J2910" s="21"/>
      <c r="K2910" s="5" t="str">
        <f>IF(AND(LEN(H2910)=0, LEN(I2910)=0), "", IF(AND(LEN(H2910)&gt;0, LEN(I2910)=0), "BLANCO", IFERROR(VLOOKUP(I2910, BasedatosM9!A:B, 2, FALSE), "BLANCO")))</f>
        <v/>
      </c>
    </row>
    <row r="2911" spans="1:11" ht="14.4">
      <c r="A2911" s="21"/>
      <c r="B2911" s="86"/>
      <c r="C2911" s="98"/>
      <c r="D2911" s="21"/>
      <c r="E2911" s="86"/>
      <c r="F2911" s="99"/>
      <c r="G2911" s="99"/>
      <c r="H2911" s="21"/>
      <c r="I2911" s="86"/>
      <c r="J2911" s="21"/>
      <c r="K2911" s="5" t="str">
        <f>IF(AND(LEN(H2911)=0, LEN(I2911)=0), "", IF(AND(LEN(H2911)&gt;0, LEN(I2911)=0), "BLANCO", IFERROR(VLOOKUP(I2911, BasedatosM9!A:B, 2, FALSE), "BLANCO")))</f>
        <v/>
      </c>
    </row>
    <row r="2912" spans="1:11" ht="14.4">
      <c r="A2912" s="21"/>
      <c r="B2912" s="86"/>
      <c r="C2912" s="98"/>
      <c r="D2912" s="21"/>
      <c r="E2912" s="86"/>
      <c r="F2912" s="99"/>
      <c r="G2912" s="99"/>
      <c r="H2912" s="21"/>
      <c r="I2912" s="86"/>
      <c r="J2912" s="21"/>
      <c r="K2912" s="5" t="str">
        <f>IF(AND(LEN(H2912)=0, LEN(I2912)=0), "", IF(AND(LEN(H2912)&gt;0, LEN(I2912)=0), "BLANCO", IFERROR(VLOOKUP(I2912, BasedatosM9!A:B, 2, FALSE), "BLANCO")))</f>
        <v/>
      </c>
    </row>
    <row r="2913" spans="1:11" ht="14.4">
      <c r="A2913" s="21"/>
      <c r="B2913" s="86"/>
      <c r="C2913" s="98"/>
      <c r="D2913" s="21"/>
      <c r="E2913" s="86"/>
      <c r="F2913" s="99"/>
      <c r="G2913" s="99"/>
      <c r="H2913" s="21"/>
      <c r="I2913" s="86"/>
      <c r="J2913" s="21"/>
      <c r="K2913" s="5" t="str">
        <f>IF(AND(LEN(H2913)=0, LEN(I2913)=0), "", IF(AND(LEN(H2913)&gt;0, LEN(I2913)=0), "BLANCO", IFERROR(VLOOKUP(I2913, BasedatosM9!A:B, 2, FALSE), "BLANCO")))</f>
        <v/>
      </c>
    </row>
    <row r="2914" spans="1:11" ht="14.4">
      <c r="A2914" s="21"/>
      <c r="B2914" s="86"/>
      <c r="C2914" s="98"/>
      <c r="D2914" s="21"/>
      <c r="E2914" s="86"/>
      <c r="F2914" s="99"/>
      <c r="G2914" s="99"/>
      <c r="H2914" s="21"/>
      <c r="I2914" s="21"/>
      <c r="J2914" s="21"/>
      <c r="K2914" s="5" t="str">
        <f>IF(AND(LEN(H2914)=0, LEN(I2914)=0), "", IF(AND(LEN(H2914)&gt;0, LEN(I2914)=0), "BLANCO", IFERROR(VLOOKUP(I2914, BasedatosM9!A:B, 2, FALSE), "BLANCO")))</f>
        <v/>
      </c>
    </row>
    <row r="2915" spans="1:11" ht="14.4">
      <c r="A2915" s="21"/>
      <c r="B2915" s="86"/>
      <c r="C2915" s="98"/>
      <c r="D2915" s="21"/>
      <c r="E2915" s="86"/>
      <c r="F2915" s="99"/>
      <c r="G2915" s="99"/>
      <c r="H2915" s="21"/>
      <c r="I2915" s="21"/>
      <c r="J2915" s="21"/>
      <c r="K2915" s="5" t="str">
        <f>IF(AND(LEN(H2915)=0, LEN(I2915)=0), "", IF(AND(LEN(H2915)&gt;0, LEN(I2915)=0), "BLANCO", IFERROR(VLOOKUP(I2915, BasedatosM9!A:B, 2, FALSE), "BLANCO")))</f>
        <v/>
      </c>
    </row>
    <row r="2916" spans="1:11" ht="14.4">
      <c r="A2916" s="21"/>
      <c r="B2916" s="86"/>
      <c r="C2916" s="98"/>
      <c r="D2916" s="21"/>
      <c r="E2916" s="86"/>
      <c r="F2916" s="99"/>
      <c r="G2916" s="99"/>
      <c r="H2916" s="21"/>
      <c r="I2916" s="86"/>
      <c r="J2916" s="21"/>
      <c r="K2916" s="5" t="str">
        <f>IF(AND(LEN(H2916)=0, LEN(I2916)=0), "", IF(AND(LEN(H2916)&gt;0, LEN(I2916)=0), "BLANCO", IFERROR(VLOOKUP(I2916, BasedatosM9!A:B, 2, FALSE), "BLANCO")))</f>
        <v/>
      </c>
    </row>
    <row r="2917" spans="1:11" ht="14.4">
      <c r="A2917" s="21"/>
      <c r="B2917" s="86"/>
      <c r="C2917" s="98"/>
      <c r="D2917" s="21"/>
      <c r="E2917" s="86"/>
      <c r="F2917" s="99"/>
      <c r="G2917" s="99"/>
      <c r="H2917" s="21"/>
      <c r="I2917" s="21"/>
      <c r="J2917" s="21"/>
      <c r="K2917" s="5" t="str">
        <f>IF(AND(LEN(H2917)=0, LEN(I2917)=0), "", IF(AND(LEN(H2917)&gt;0, LEN(I2917)=0), "BLANCO", IFERROR(VLOOKUP(I2917, BasedatosM9!A:B, 2, FALSE), "BLANCO")))</f>
        <v/>
      </c>
    </row>
    <row r="2918" spans="1:11" ht="14.4">
      <c r="A2918" s="21"/>
      <c r="B2918" s="86"/>
      <c r="C2918" s="98"/>
      <c r="D2918" s="21"/>
      <c r="E2918" s="86"/>
      <c r="F2918" s="99"/>
      <c r="G2918" s="99"/>
      <c r="H2918" s="21"/>
      <c r="I2918" s="86"/>
      <c r="J2918" s="21"/>
      <c r="K2918" s="5" t="str">
        <f>IF(AND(LEN(H2918)=0, LEN(I2918)=0), "", IF(AND(LEN(H2918)&gt;0, LEN(I2918)=0), "BLANCO", IFERROR(VLOOKUP(I2918, BasedatosM9!A:B, 2, FALSE), "BLANCO")))</f>
        <v/>
      </c>
    </row>
    <row r="2919" spans="1:11" ht="14.4">
      <c r="A2919" s="21"/>
      <c r="B2919" s="86"/>
      <c r="C2919" s="98"/>
      <c r="D2919" s="21"/>
      <c r="E2919" s="86"/>
      <c r="F2919" s="99"/>
      <c r="G2919" s="99"/>
      <c r="H2919" s="21"/>
      <c r="I2919" s="21"/>
      <c r="J2919" s="21"/>
      <c r="K2919" s="5" t="str">
        <f>IF(AND(LEN(H2919)=0, LEN(I2919)=0), "", IF(AND(LEN(H2919)&gt;0, LEN(I2919)=0), "BLANCO", IFERROR(VLOOKUP(I2919, BasedatosM9!A:B, 2, FALSE), "BLANCO")))</f>
        <v/>
      </c>
    </row>
    <row r="2920" spans="1:11" ht="14.4">
      <c r="A2920" s="21"/>
      <c r="B2920" s="86"/>
      <c r="C2920" s="98"/>
      <c r="D2920" s="21"/>
      <c r="E2920" s="86"/>
      <c r="F2920" s="99"/>
      <c r="G2920" s="99"/>
      <c r="H2920" s="21"/>
      <c r="I2920" s="86"/>
      <c r="J2920" s="21"/>
      <c r="K2920" s="5" t="str">
        <f>IF(AND(LEN(H2920)=0, LEN(I2920)=0), "", IF(AND(LEN(H2920)&gt;0, LEN(I2920)=0), "BLANCO", IFERROR(VLOOKUP(I2920, BasedatosM9!A:B, 2, FALSE), "BLANCO")))</f>
        <v/>
      </c>
    </row>
    <row r="2921" spans="1:11" ht="14.4">
      <c r="A2921" s="21"/>
      <c r="B2921" s="86"/>
      <c r="C2921" s="98"/>
      <c r="D2921" s="21"/>
      <c r="E2921" s="86"/>
      <c r="F2921" s="99"/>
      <c r="G2921" s="99"/>
      <c r="H2921" s="21"/>
      <c r="I2921" s="21"/>
      <c r="J2921" s="21"/>
      <c r="K2921" s="5" t="str">
        <f>IF(AND(LEN(H2921)=0, LEN(I2921)=0), "", IF(AND(LEN(H2921)&gt;0, LEN(I2921)=0), "BLANCO", IFERROR(VLOOKUP(I2921, BasedatosM9!A:B, 2, FALSE), "BLANCO")))</f>
        <v/>
      </c>
    </row>
    <row r="2922" spans="1:11" ht="14.4">
      <c r="A2922" s="21"/>
      <c r="B2922" s="86"/>
      <c r="C2922" s="98"/>
      <c r="D2922" s="21"/>
      <c r="E2922" s="86"/>
      <c r="F2922" s="99"/>
      <c r="G2922" s="99"/>
      <c r="H2922" s="21"/>
      <c r="I2922" s="21"/>
      <c r="J2922" s="21"/>
      <c r="K2922" s="5" t="str">
        <f>IF(AND(LEN(H2922)=0, LEN(I2922)=0), "", IF(AND(LEN(H2922)&gt;0, LEN(I2922)=0), "BLANCO", IFERROR(VLOOKUP(I2922, BasedatosM9!A:B, 2, FALSE), "BLANCO")))</f>
        <v/>
      </c>
    </row>
    <row r="2923" spans="1:11" ht="14.4">
      <c r="A2923" s="21"/>
      <c r="B2923" s="86"/>
      <c r="C2923" s="98"/>
      <c r="D2923" s="21"/>
      <c r="E2923" s="86"/>
      <c r="F2923" s="99"/>
      <c r="G2923" s="99"/>
      <c r="H2923" s="21"/>
      <c r="I2923" s="86"/>
      <c r="J2923" s="21"/>
      <c r="K2923" s="5" t="str">
        <f>IF(AND(LEN(H2923)=0, LEN(I2923)=0), "", IF(AND(LEN(H2923)&gt;0, LEN(I2923)=0), "BLANCO", IFERROR(VLOOKUP(I2923, BasedatosM9!A:B, 2, FALSE), "BLANCO")))</f>
        <v/>
      </c>
    </row>
    <row r="2924" spans="1:11" ht="14.4">
      <c r="A2924" s="21"/>
      <c r="B2924" s="86"/>
      <c r="C2924" s="98"/>
      <c r="D2924" s="21"/>
      <c r="E2924" s="86"/>
      <c r="F2924" s="99"/>
      <c r="G2924" s="99"/>
      <c r="H2924" s="21"/>
      <c r="I2924" s="86"/>
      <c r="J2924" s="21"/>
      <c r="K2924" s="5" t="str">
        <f>IF(AND(LEN(H2924)=0, LEN(I2924)=0), "", IF(AND(LEN(H2924)&gt;0, LEN(I2924)=0), "BLANCO", IFERROR(VLOOKUP(I2924, BasedatosM9!A:B, 2, FALSE), "BLANCO")))</f>
        <v/>
      </c>
    </row>
    <row r="2925" spans="1:11" ht="14.4">
      <c r="A2925" s="21"/>
      <c r="B2925" s="86"/>
      <c r="C2925" s="98"/>
      <c r="D2925" s="21"/>
      <c r="E2925" s="86"/>
      <c r="F2925" s="99"/>
      <c r="G2925" s="99"/>
      <c r="H2925" s="21"/>
      <c r="I2925" s="21"/>
      <c r="J2925" s="21"/>
      <c r="K2925" s="5" t="str">
        <f>IF(AND(LEN(H2925)=0, LEN(I2925)=0), "", IF(AND(LEN(H2925)&gt;0, LEN(I2925)=0), "BLANCO", IFERROR(VLOOKUP(I2925, BasedatosM9!A:B, 2, FALSE), "BLANCO")))</f>
        <v/>
      </c>
    </row>
    <row r="2926" spans="1:11" ht="14.4">
      <c r="A2926" s="21"/>
      <c r="B2926" s="86"/>
      <c r="C2926" s="98"/>
      <c r="D2926" s="21"/>
      <c r="E2926" s="86"/>
      <c r="F2926" s="99"/>
      <c r="G2926" s="99"/>
      <c r="H2926" s="21"/>
      <c r="I2926" s="21"/>
      <c r="J2926" s="21"/>
      <c r="K2926" s="5" t="str">
        <f>IF(AND(LEN(H2926)=0, LEN(I2926)=0), "", IF(AND(LEN(H2926)&gt;0, LEN(I2926)=0), "BLANCO", IFERROR(VLOOKUP(I2926, BasedatosM9!A:B, 2, FALSE), "BLANCO")))</f>
        <v/>
      </c>
    </row>
    <row r="2927" spans="1:11" ht="14.4">
      <c r="A2927" s="21"/>
      <c r="B2927" s="86"/>
      <c r="C2927" s="98"/>
      <c r="D2927" s="21"/>
      <c r="E2927" s="86"/>
      <c r="F2927" s="99"/>
      <c r="G2927" s="99"/>
      <c r="H2927" s="21"/>
      <c r="I2927" s="21"/>
      <c r="J2927" s="21"/>
      <c r="K2927" s="5" t="str">
        <f>IF(AND(LEN(H2927)=0, LEN(I2927)=0), "", IF(AND(LEN(H2927)&gt;0, LEN(I2927)=0), "BLANCO", IFERROR(VLOOKUP(I2927, BasedatosM9!A:B, 2, FALSE), "BLANCO")))</f>
        <v/>
      </c>
    </row>
    <row r="2928" spans="1:11" ht="14.4">
      <c r="A2928" s="21"/>
      <c r="B2928" s="86"/>
      <c r="C2928" s="98"/>
      <c r="D2928" s="21"/>
      <c r="E2928" s="86"/>
      <c r="F2928" s="99"/>
      <c r="G2928" s="99"/>
      <c r="H2928" s="21"/>
      <c r="I2928" s="21"/>
      <c r="J2928" s="21"/>
      <c r="K2928" s="5" t="str">
        <f>IF(AND(LEN(H2928)=0, LEN(I2928)=0), "", IF(AND(LEN(H2928)&gt;0, LEN(I2928)=0), "BLANCO", IFERROR(VLOOKUP(I2928, BasedatosM9!A:B, 2, FALSE), "BLANCO")))</f>
        <v/>
      </c>
    </row>
    <row r="2929" spans="1:11" ht="14.4">
      <c r="A2929" s="21"/>
      <c r="B2929" s="86"/>
      <c r="C2929" s="98"/>
      <c r="D2929" s="21"/>
      <c r="E2929" s="86"/>
      <c r="F2929" s="99"/>
      <c r="G2929" s="99"/>
      <c r="H2929" s="21"/>
      <c r="I2929" s="21"/>
      <c r="J2929" s="21"/>
      <c r="K2929" s="5" t="str">
        <f>IF(AND(LEN(H2929)=0, LEN(I2929)=0), "", IF(AND(LEN(H2929)&gt;0, LEN(I2929)=0), "BLANCO", IFERROR(VLOOKUP(I2929, BasedatosM9!A:B, 2, FALSE), "BLANCO")))</f>
        <v/>
      </c>
    </row>
    <row r="2930" spans="1:11" ht="14.4">
      <c r="A2930" s="21"/>
      <c r="B2930" s="86"/>
      <c r="C2930" s="98"/>
      <c r="D2930" s="21"/>
      <c r="E2930" s="86"/>
      <c r="F2930" s="99"/>
      <c r="G2930" s="99"/>
      <c r="H2930" s="21"/>
      <c r="I2930" s="86"/>
      <c r="J2930" s="21"/>
      <c r="K2930" s="5" t="str">
        <f>IF(AND(LEN(H2930)=0, LEN(I2930)=0), "", IF(AND(LEN(H2930)&gt;0, LEN(I2930)=0), "BLANCO", IFERROR(VLOOKUP(I2930, BasedatosM9!A:B, 2, FALSE), "BLANCO")))</f>
        <v/>
      </c>
    </row>
    <row r="2931" spans="1:11" ht="14.4">
      <c r="A2931" s="21"/>
      <c r="B2931" s="86"/>
      <c r="C2931" s="98"/>
      <c r="D2931" s="21"/>
      <c r="E2931" s="86"/>
      <c r="F2931" s="99"/>
      <c r="G2931" s="99"/>
      <c r="H2931" s="21"/>
      <c r="I2931" s="86"/>
      <c r="J2931" s="21"/>
      <c r="K2931" s="5" t="str">
        <f>IF(AND(LEN(H2931)=0, LEN(I2931)=0), "", IF(AND(LEN(H2931)&gt;0, LEN(I2931)=0), "BLANCO", IFERROR(VLOOKUP(I2931, BasedatosM9!A:B, 2, FALSE), "BLANCO")))</f>
        <v/>
      </c>
    </row>
    <row r="2932" spans="1:11" ht="14.4">
      <c r="A2932" s="21"/>
      <c r="B2932" s="86"/>
      <c r="C2932" s="98"/>
      <c r="D2932" s="21"/>
      <c r="E2932" s="86"/>
      <c r="F2932" s="99"/>
      <c r="G2932" s="99"/>
      <c r="H2932" s="21"/>
      <c r="I2932" s="21"/>
      <c r="J2932" s="21"/>
      <c r="K2932" s="5" t="str">
        <f>IF(AND(LEN(H2932)=0, LEN(I2932)=0), "", IF(AND(LEN(H2932)&gt;0, LEN(I2932)=0), "BLANCO", IFERROR(VLOOKUP(I2932, BasedatosM9!A:B, 2, FALSE), "BLANCO")))</f>
        <v/>
      </c>
    </row>
    <row r="2933" spans="1:11" ht="14.4">
      <c r="A2933" s="21"/>
      <c r="B2933" s="86"/>
      <c r="C2933" s="98"/>
      <c r="D2933" s="21"/>
      <c r="E2933" s="86"/>
      <c r="F2933" s="99"/>
      <c r="G2933" s="99"/>
      <c r="H2933" s="21"/>
      <c r="I2933" s="86"/>
      <c r="J2933" s="21"/>
      <c r="K2933" s="5" t="str">
        <f>IF(AND(LEN(H2933)=0, LEN(I2933)=0), "", IF(AND(LEN(H2933)&gt;0, LEN(I2933)=0), "BLANCO", IFERROR(VLOOKUP(I2933, BasedatosM9!A:B, 2, FALSE), "BLANCO")))</f>
        <v/>
      </c>
    </row>
    <row r="2934" spans="1:11" ht="14.4">
      <c r="A2934" s="21"/>
      <c r="B2934" s="86"/>
      <c r="C2934" s="98"/>
      <c r="D2934" s="21"/>
      <c r="E2934" s="86"/>
      <c r="F2934" s="99"/>
      <c r="G2934" s="99"/>
      <c r="H2934" s="21"/>
      <c r="I2934" s="86"/>
      <c r="J2934" s="21"/>
      <c r="K2934" s="5" t="str">
        <f>IF(AND(LEN(H2934)=0, LEN(I2934)=0), "", IF(AND(LEN(H2934)&gt;0, LEN(I2934)=0), "BLANCO", IFERROR(VLOOKUP(I2934, BasedatosM9!A:B, 2, FALSE), "BLANCO")))</f>
        <v/>
      </c>
    </row>
    <row r="2935" spans="1:11" ht="14.4">
      <c r="A2935" s="21"/>
      <c r="B2935" s="86"/>
      <c r="C2935" s="98"/>
      <c r="D2935" s="21"/>
      <c r="E2935" s="86"/>
      <c r="F2935" s="99"/>
      <c r="G2935" s="99"/>
      <c r="H2935" s="21"/>
      <c r="I2935" s="86"/>
      <c r="J2935" s="21"/>
      <c r="K2935" s="5" t="str">
        <f>IF(AND(LEN(H2935)=0, LEN(I2935)=0), "", IF(AND(LEN(H2935)&gt;0, LEN(I2935)=0), "BLANCO", IFERROR(VLOOKUP(I2935, BasedatosM9!A:B, 2, FALSE), "BLANCO")))</f>
        <v/>
      </c>
    </row>
    <row r="2936" spans="1:11" ht="14.4">
      <c r="A2936" s="21"/>
      <c r="B2936" s="86"/>
      <c r="C2936" s="98"/>
      <c r="D2936" s="21"/>
      <c r="E2936" s="86"/>
      <c r="F2936" s="99"/>
      <c r="G2936" s="99"/>
      <c r="H2936" s="21"/>
      <c r="I2936" s="21"/>
      <c r="J2936" s="21"/>
      <c r="K2936" s="5" t="str">
        <f>IF(AND(LEN(H2936)=0, LEN(I2936)=0), "", IF(AND(LEN(H2936)&gt;0, LEN(I2936)=0), "BLANCO", IFERROR(VLOOKUP(I2936, BasedatosM9!A:B, 2, FALSE), "BLANCO")))</f>
        <v/>
      </c>
    </row>
    <row r="2937" spans="1:11" ht="14.4">
      <c r="A2937" s="21"/>
      <c r="B2937" s="86"/>
      <c r="C2937" s="98"/>
      <c r="D2937" s="21"/>
      <c r="E2937" s="86"/>
      <c r="F2937" s="99"/>
      <c r="G2937" s="99"/>
      <c r="H2937" s="21"/>
      <c r="I2937" s="21"/>
      <c r="J2937" s="21"/>
      <c r="K2937" s="5" t="str">
        <f>IF(AND(LEN(H2937)=0, LEN(I2937)=0), "", IF(AND(LEN(H2937)&gt;0, LEN(I2937)=0), "BLANCO", IFERROR(VLOOKUP(I2937, BasedatosM9!A:B, 2, FALSE), "BLANCO")))</f>
        <v/>
      </c>
    </row>
    <row r="2938" spans="1:11" ht="14.4">
      <c r="A2938" s="21"/>
      <c r="B2938" s="86"/>
      <c r="C2938" s="98"/>
      <c r="D2938" s="21"/>
      <c r="E2938" s="86"/>
      <c r="F2938" s="99"/>
      <c r="G2938" s="99"/>
      <c r="H2938" s="21"/>
      <c r="I2938" s="86"/>
      <c r="J2938" s="21"/>
      <c r="K2938" s="5" t="str">
        <f>IF(AND(LEN(H2938)=0, LEN(I2938)=0), "", IF(AND(LEN(H2938)&gt;0, LEN(I2938)=0), "BLANCO", IFERROR(VLOOKUP(I2938, BasedatosM9!A:B, 2, FALSE), "BLANCO")))</f>
        <v/>
      </c>
    </row>
    <row r="2939" spans="1:11" ht="14.4">
      <c r="A2939" s="21"/>
      <c r="B2939" s="86"/>
      <c r="C2939" s="98"/>
      <c r="D2939" s="21"/>
      <c r="E2939" s="86"/>
      <c r="F2939" s="99"/>
      <c r="G2939" s="99"/>
      <c r="H2939" s="21"/>
      <c r="I2939" s="86"/>
      <c r="J2939" s="21"/>
      <c r="K2939" s="5" t="str">
        <f>IF(AND(LEN(H2939)=0, LEN(I2939)=0), "", IF(AND(LEN(H2939)&gt;0, LEN(I2939)=0), "BLANCO", IFERROR(VLOOKUP(I2939, BasedatosM9!A:B, 2, FALSE), "BLANCO")))</f>
        <v/>
      </c>
    </row>
    <row r="2940" spans="1:11" ht="14.4">
      <c r="A2940" s="21"/>
      <c r="B2940" s="86"/>
      <c r="C2940" s="98"/>
      <c r="D2940" s="21"/>
      <c r="E2940" s="86"/>
      <c r="F2940" s="99"/>
      <c r="G2940" s="99"/>
      <c r="H2940" s="21"/>
      <c r="I2940" s="86"/>
      <c r="J2940" s="21"/>
      <c r="K2940" s="5" t="str">
        <f>IF(AND(LEN(H2940)=0, LEN(I2940)=0), "", IF(AND(LEN(H2940)&gt;0, LEN(I2940)=0), "BLANCO", IFERROR(VLOOKUP(I2940, BasedatosM9!A:B, 2, FALSE), "BLANCO")))</f>
        <v/>
      </c>
    </row>
    <row r="2941" spans="1:11" ht="14.4">
      <c r="A2941" s="21"/>
      <c r="B2941" s="86"/>
      <c r="C2941" s="98"/>
      <c r="D2941" s="21"/>
      <c r="E2941" s="86"/>
      <c r="F2941" s="99"/>
      <c r="G2941" s="99"/>
      <c r="H2941" s="21"/>
      <c r="I2941" s="21"/>
      <c r="J2941" s="21"/>
      <c r="K2941" s="5" t="str">
        <f>IF(AND(LEN(H2941)=0, LEN(I2941)=0), "", IF(AND(LEN(H2941)&gt;0, LEN(I2941)=0), "BLANCO", IFERROR(VLOOKUP(I2941, BasedatosM9!A:B, 2, FALSE), "BLANCO")))</f>
        <v/>
      </c>
    </row>
    <row r="2942" spans="1:11" ht="14.4">
      <c r="A2942" s="21"/>
      <c r="B2942" s="86"/>
      <c r="C2942" s="98"/>
      <c r="D2942" s="21"/>
      <c r="E2942" s="86"/>
      <c r="F2942" s="99"/>
      <c r="G2942" s="99"/>
      <c r="H2942" s="21"/>
      <c r="I2942" s="86"/>
      <c r="J2942" s="21"/>
      <c r="K2942" s="5" t="str">
        <f>IF(AND(LEN(H2942)=0, LEN(I2942)=0), "", IF(AND(LEN(H2942)&gt;0, LEN(I2942)=0), "BLANCO", IFERROR(VLOOKUP(I2942, BasedatosM9!A:B, 2, FALSE), "BLANCO")))</f>
        <v/>
      </c>
    </row>
    <row r="2943" spans="1:11" ht="14.4">
      <c r="A2943" s="21"/>
      <c r="B2943" s="86"/>
      <c r="C2943" s="98"/>
      <c r="D2943" s="21"/>
      <c r="E2943" s="86"/>
      <c r="F2943" s="99"/>
      <c r="G2943" s="99"/>
      <c r="H2943" s="21"/>
      <c r="I2943" s="21"/>
      <c r="J2943" s="21"/>
      <c r="K2943" s="5" t="str">
        <f>IF(AND(LEN(H2943)=0, LEN(I2943)=0), "", IF(AND(LEN(H2943)&gt;0, LEN(I2943)=0), "BLANCO", IFERROR(VLOOKUP(I2943, BasedatosM9!A:B, 2, FALSE), "BLANCO")))</f>
        <v/>
      </c>
    </row>
    <row r="2944" spans="1:11" ht="14.4">
      <c r="A2944" s="21"/>
      <c r="B2944" s="86"/>
      <c r="C2944" s="98"/>
      <c r="D2944" s="21"/>
      <c r="E2944" s="86"/>
      <c r="F2944" s="99"/>
      <c r="G2944" s="99"/>
      <c r="H2944" s="21"/>
      <c r="I2944" s="86"/>
      <c r="J2944" s="21"/>
      <c r="K2944" s="5" t="str">
        <f>IF(AND(LEN(H2944)=0, LEN(I2944)=0), "", IF(AND(LEN(H2944)&gt;0, LEN(I2944)=0), "BLANCO", IFERROR(VLOOKUP(I2944, BasedatosM9!A:B, 2, FALSE), "BLANCO")))</f>
        <v/>
      </c>
    </row>
    <row r="2945" spans="1:11" ht="14.4">
      <c r="A2945" s="21"/>
      <c r="B2945" s="86"/>
      <c r="C2945" s="98"/>
      <c r="D2945" s="21"/>
      <c r="E2945" s="86"/>
      <c r="F2945" s="99"/>
      <c r="G2945" s="99"/>
      <c r="H2945" s="21"/>
      <c r="I2945" s="21"/>
      <c r="J2945" s="21"/>
      <c r="K2945" s="5" t="str">
        <f>IF(AND(LEN(H2945)=0, LEN(I2945)=0), "", IF(AND(LEN(H2945)&gt;0, LEN(I2945)=0), "BLANCO", IFERROR(VLOOKUP(I2945, BasedatosM9!A:B, 2, FALSE), "BLANCO")))</f>
        <v/>
      </c>
    </row>
    <row r="2946" spans="1:11" ht="14.4">
      <c r="A2946" s="21"/>
      <c r="B2946" s="86"/>
      <c r="C2946" s="98"/>
      <c r="D2946" s="21"/>
      <c r="E2946" s="86"/>
      <c r="F2946" s="99"/>
      <c r="G2946" s="99"/>
      <c r="H2946" s="21"/>
      <c r="I2946" s="86"/>
      <c r="J2946" s="21"/>
      <c r="K2946" s="5" t="str">
        <f>IF(AND(LEN(H2946)=0, LEN(I2946)=0), "", IF(AND(LEN(H2946)&gt;0, LEN(I2946)=0), "BLANCO", IFERROR(VLOOKUP(I2946, BasedatosM9!A:B, 2, FALSE), "BLANCO")))</f>
        <v/>
      </c>
    </row>
    <row r="2947" spans="1:11" ht="14.4">
      <c r="A2947" s="21"/>
      <c r="B2947" s="86"/>
      <c r="C2947" s="98"/>
      <c r="D2947" s="21"/>
      <c r="E2947" s="86"/>
      <c r="F2947" s="99"/>
      <c r="G2947" s="99"/>
      <c r="H2947" s="21"/>
      <c r="I2947" s="86"/>
      <c r="J2947" s="21"/>
      <c r="K2947" s="5" t="str">
        <f>IF(AND(LEN(H2947)=0, LEN(I2947)=0), "", IF(AND(LEN(H2947)&gt;0, LEN(I2947)=0), "BLANCO", IFERROR(VLOOKUP(I2947, BasedatosM9!A:B, 2, FALSE), "BLANCO")))</f>
        <v/>
      </c>
    </row>
    <row r="2948" spans="1:11" ht="14.4">
      <c r="A2948" s="21"/>
      <c r="B2948" s="86"/>
      <c r="C2948" s="98"/>
      <c r="D2948" s="21"/>
      <c r="E2948" s="86"/>
      <c r="F2948" s="99"/>
      <c r="G2948" s="99"/>
      <c r="H2948" s="21"/>
      <c r="I2948" s="86"/>
      <c r="J2948" s="21"/>
      <c r="K2948" s="5" t="str">
        <f>IF(AND(LEN(H2948)=0, LEN(I2948)=0), "", IF(AND(LEN(H2948)&gt;0, LEN(I2948)=0), "BLANCO", IFERROR(VLOOKUP(I2948, BasedatosM9!A:B, 2, FALSE), "BLANCO")))</f>
        <v/>
      </c>
    </row>
    <row r="2949" spans="1:11" ht="14.4">
      <c r="A2949" s="21"/>
      <c r="B2949" s="86"/>
      <c r="C2949" s="98"/>
      <c r="D2949" s="21"/>
      <c r="E2949" s="86"/>
      <c r="F2949" s="99"/>
      <c r="G2949" s="99"/>
      <c r="H2949" s="21"/>
      <c r="I2949" s="21"/>
      <c r="J2949" s="21"/>
      <c r="K2949" s="5" t="str">
        <f>IF(AND(LEN(H2949)=0, LEN(I2949)=0), "", IF(AND(LEN(H2949)&gt;0, LEN(I2949)=0), "BLANCO", IFERROR(VLOOKUP(I2949, BasedatosM9!A:B, 2, FALSE), "BLANCO")))</f>
        <v/>
      </c>
    </row>
    <row r="2950" spans="1:11" ht="14.4">
      <c r="A2950" s="21"/>
      <c r="B2950" s="86"/>
      <c r="C2950" s="98"/>
      <c r="D2950" s="21"/>
      <c r="E2950" s="86"/>
      <c r="F2950" s="99"/>
      <c r="G2950" s="99"/>
      <c r="H2950" s="21"/>
      <c r="I2950" s="86"/>
      <c r="J2950" s="21"/>
      <c r="K2950" s="5" t="str">
        <f>IF(AND(LEN(H2950)=0, LEN(I2950)=0), "", IF(AND(LEN(H2950)&gt;0, LEN(I2950)=0), "BLANCO", IFERROR(VLOOKUP(I2950, BasedatosM9!A:B, 2, FALSE), "BLANCO")))</f>
        <v/>
      </c>
    </row>
    <row r="2951" spans="1:11" ht="14.4">
      <c r="A2951" s="21"/>
      <c r="B2951" s="86"/>
      <c r="C2951" s="98"/>
      <c r="D2951" s="21"/>
      <c r="E2951" s="86"/>
      <c r="F2951" s="99"/>
      <c r="G2951" s="99"/>
      <c r="H2951" s="21"/>
      <c r="I2951" s="86"/>
      <c r="J2951" s="21"/>
      <c r="K2951" s="5" t="str">
        <f>IF(AND(LEN(H2951)=0, LEN(I2951)=0), "", IF(AND(LEN(H2951)&gt;0, LEN(I2951)=0), "BLANCO", IFERROR(VLOOKUP(I2951, BasedatosM9!A:B, 2, FALSE), "BLANCO")))</f>
        <v/>
      </c>
    </row>
    <row r="2952" spans="1:11" ht="14.4">
      <c r="A2952" s="21"/>
      <c r="B2952" s="86"/>
      <c r="C2952" s="98"/>
      <c r="D2952" s="21"/>
      <c r="E2952" s="86"/>
      <c r="F2952" s="99"/>
      <c r="G2952" s="99"/>
      <c r="H2952" s="21"/>
      <c r="I2952" s="86"/>
      <c r="J2952" s="21"/>
      <c r="K2952" s="5" t="str">
        <f>IF(AND(LEN(H2952)=0, LEN(I2952)=0), "", IF(AND(LEN(H2952)&gt;0, LEN(I2952)=0), "BLANCO", IFERROR(VLOOKUP(I2952, BasedatosM9!A:B, 2, FALSE), "BLANCO")))</f>
        <v/>
      </c>
    </row>
    <row r="2953" spans="1:11" ht="14.4">
      <c r="A2953" s="21"/>
      <c r="B2953" s="86"/>
      <c r="C2953" s="98"/>
      <c r="D2953" s="21"/>
      <c r="E2953" s="86"/>
      <c r="F2953" s="99"/>
      <c r="G2953" s="99"/>
      <c r="H2953" s="21"/>
      <c r="I2953" s="21"/>
      <c r="J2953" s="21"/>
      <c r="K2953" s="5" t="str">
        <f>IF(AND(LEN(H2953)=0, LEN(I2953)=0), "", IF(AND(LEN(H2953)&gt;0, LEN(I2953)=0), "BLANCO", IFERROR(VLOOKUP(I2953, BasedatosM9!A:B, 2, FALSE), "BLANCO")))</f>
        <v/>
      </c>
    </row>
    <row r="2954" spans="1:11" ht="14.4">
      <c r="A2954" s="21"/>
      <c r="B2954" s="86"/>
      <c r="C2954" s="98"/>
      <c r="D2954" s="21"/>
      <c r="E2954" s="86"/>
      <c r="F2954" s="99"/>
      <c r="G2954" s="99"/>
      <c r="H2954" s="21"/>
      <c r="I2954" s="21"/>
      <c r="J2954" s="21"/>
      <c r="K2954" s="5" t="str">
        <f>IF(AND(LEN(H2954)=0, LEN(I2954)=0), "", IF(AND(LEN(H2954)&gt;0, LEN(I2954)=0), "BLANCO", IFERROR(VLOOKUP(I2954, BasedatosM9!A:B, 2, FALSE), "BLANCO")))</f>
        <v/>
      </c>
    </row>
    <row r="2955" spans="1:11" ht="14.4">
      <c r="A2955" s="21"/>
      <c r="B2955" s="86"/>
      <c r="C2955" s="98"/>
      <c r="D2955" s="21"/>
      <c r="E2955" s="86"/>
      <c r="F2955" s="99"/>
      <c r="G2955" s="99"/>
      <c r="H2955" s="21"/>
      <c r="I2955" s="86"/>
      <c r="J2955" s="21"/>
      <c r="K2955" s="5" t="str">
        <f>IF(AND(LEN(H2955)=0, LEN(I2955)=0), "", IF(AND(LEN(H2955)&gt;0, LEN(I2955)=0), "BLANCO", IFERROR(VLOOKUP(I2955, BasedatosM9!A:B, 2, FALSE), "BLANCO")))</f>
        <v/>
      </c>
    </row>
    <row r="2956" spans="1:11" ht="14.4">
      <c r="A2956" s="21"/>
      <c r="B2956" s="86"/>
      <c r="C2956" s="98"/>
      <c r="D2956" s="21"/>
      <c r="E2956" s="86"/>
      <c r="F2956" s="99"/>
      <c r="G2956" s="99"/>
      <c r="H2956" s="21"/>
      <c r="I2956" s="86"/>
      <c r="J2956" s="21"/>
      <c r="K2956" s="5" t="str">
        <f>IF(AND(LEN(H2956)=0, LEN(I2956)=0), "", IF(AND(LEN(H2956)&gt;0, LEN(I2956)=0), "BLANCO", IFERROR(VLOOKUP(I2956, BasedatosM9!A:B, 2, FALSE), "BLANCO")))</f>
        <v/>
      </c>
    </row>
    <row r="2957" spans="1:11" ht="14.4">
      <c r="A2957" s="21"/>
      <c r="B2957" s="86"/>
      <c r="C2957" s="98"/>
      <c r="D2957" s="21"/>
      <c r="E2957" s="86"/>
      <c r="F2957" s="99"/>
      <c r="G2957" s="99"/>
      <c r="H2957" s="21"/>
      <c r="I2957" s="86"/>
      <c r="J2957" s="21"/>
      <c r="K2957" s="5" t="str">
        <f>IF(AND(LEN(H2957)=0, LEN(I2957)=0), "", IF(AND(LEN(H2957)&gt;0, LEN(I2957)=0), "BLANCO", IFERROR(VLOOKUP(I2957, BasedatosM9!A:B, 2, FALSE), "BLANCO")))</f>
        <v/>
      </c>
    </row>
    <row r="2958" spans="1:11" ht="14.4">
      <c r="A2958" s="21"/>
      <c r="B2958" s="86"/>
      <c r="C2958" s="98"/>
      <c r="D2958" s="21"/>
      <c r="E2958" s="86"/>
      <c r="F2958" s="99"/>
      <c r="G2958" s="99"/>
      <c r="H2958" s="21"/>
      <c r="I2958" s="86"/>
      <c r="J2958" s="21"/>
      <c r="K2958" s="5" t="str">
        <f>IF(AND(LEN(H2958)=0, LEN(I2958)=0), "", IF(AND(LEN(H2958)&gt;0, LEN(I2958)=0), "BLANCO", IFERROR(VLOOKUP(I2958, BasedatosM9!A:B, 2, FALSE), "BLANCO")))</f>
        <v/>
      </c>
    </row>
    <row r="2959" spans="1:11" ht="14.4">
      <c r="A2959" s="21"/>
      <c r="B2959" s="86"/>
      <c r="C2959" s="98"/>
      <c r="D2959" s="21"/>
      <c r="E2959" s="86"/>
      <c r="F2959" s="99"/>
      <c r="G2959" s="99"/>
      <c r="H2959" s="21"/>
      <c r="I2959" s="21"/>
      <c r="J2959" s="21"/>
      <c r="K2959" s="5" t="str">
        <f>IF(AND(LEN(H2959)=0, LEN(I2959)=0), "", IF(AND(LEN(H2959)&gt;0, LEN(I2959)=0), "BLANCO", IFERROR(VLOOKUP(I2959, BasedatosM9!A:B, 2, FALSE), "BLANCO")))</f>
        <v/>
      </c>
    </row>
    <row r="2960" spans="1:11" ht="14.4">
      <c r="A2960" s="21"/>
      <c r="B2960" s="86"/>
      <c r="C2960" s="98"/>
      <c r="D2960" s="21"/>
      <c r="E2960" s="86"/>
      <c r="F2960" s="99"/>
      <c r="G2960" s="99"/>
      <c r="H2960" s="21"/>
      <c r="I2960" s="21"/>
      <c r="J2960" s="21"/>
      <c r="K2960" s="5" t="str">
        <f>IF(AND(LEN(H2960)=0, LEN(I2960)=0), "", IF(AND(LEN(H2960)&gt;0, LEN(I2960)=0), "BLANCO", IFERROR(VLOOKUP(I2960, BasedatosM9!A:B, 2, FALSE), "BLANCO")))</f>
        <v/>
      </c>
    </row>
    <row r="2961" spans="1:11" ht="14.4">
      <c r="A2961" s="21"/>
      <c r="B2961" s="86"/>
      <c r="C2961" s="98"/>
      <c r="D2961" s="21"/>
      <c r="E2961" s="86"/>
      <c r="F2961" s="99"/>
      <c r="G2961" s="99"/>
      <c r="H2961" s="21"/>
      <c r="I2961" s="21"/>
      <c r="J2961" s="21"/>
      <c r="K2961" s="5" t="str">
        <f>IF(AND(LEN(H2961)=0, LEN(I2961)=0), "", IF(AND(LEN(H2961)&gt;0, LEN(I2961)=0), "BLANCO", IFERROR(VLOOKUP(I2961, BasedatosM9!A:B, 2, FALSE), "BLANCO")))</f>
        <v/>
      </c>
    </row>
    <row r="2962" spans="1:11" ht="14.4">
      <c r="A2962" s="21"/>
      <c r="B2962" s="86"/>
      <c r="C2962" s="98"/>
      <c r="D2962" s="21"/>
      <c r="E2962" s="86"/>
      <c r="F2962" s="99"/>
      <c r="G2962" s="99"/>
      <c r="H2962" s="21"/>
      <c r="I2962" s="86"/>
      <c r="J2962" s="21"/>
      <c r="K2962" s="5" t="str">
        <f>IF(AND(LEN(H2962)=0, LEN(I2962)=0), "", IF(AND(LEN(H2962)&gt;0, LEN(I2962)=0), "BLANCO", IFERROR(VLOOKUP(I2962, BasedatosM9!A:B, 2, FALSE), "BLANCO")))</f>
        <v/>
      </c>
    </row>
    <row r="2963" spans="1:11" ht="14.4">
      <c r="A2963" s="21"/>
      <c r="B2963" s="86"/>
      <c r="C2963" s="98"/>
      <c r="D2963" s="21"/>
      <c r="E2963" s="86"/>
      <c r="F2963" s="99"/>
      <c r="G2963" s="99"/>
      <c r="H2963" s="21"/>
      <c r="I2963" s="21"/>
      <c r="J2963" s="21"/>
      <c r="K2963" s="5" t="str">
        <f>IF(AND(LEN(H2963)=0, LEN(I2963)=0), "", IF(AND(LEN(H2963)&gt;0, LEN(I2963)=0), "BLANCO", IFERROR(VLOOKUP(I2963, BasedatosM9!A:B, 2, FALSE), "BLANCO")))</f>
        <v/>
      </c>
    </row>
    <row r="2964" spans="1:11" ht="14.4">
      <c r="A2964" s="21"/>
      <c r="B2964" s="86"/>
      <c r="C2964" s="98"/>
      <c r="D2964" s="21"/>
      <c r="E2964" s="86"/>
      <c r="F2964" s="99"/>
      <c r="G2964" s="99"/>
      <c r="H2964" s="21"/>
      <c r="I2964" s="21"/>
      <c r="J2964" s="21"/>
      <c r="K2964" s="5" t="str">
        <f>IF(AND(LEN(H2964)=0, LEN(I2964)=0), "", IF(AND(LEN(H2964)&gt;0, LEN(I2964)=0), "BLANCO", IFERROR(VLOOKUP(I2964, BasedatosM9!A:B, 2, FALSE), "BLANCO")))</f>
        <v/>
      </c>
    </row>
    <row r="2965" spans="1:11" ht="14.4">
      <c r="A2965" s="21"/>
      <c r="B2965" s="86"/>
      <c r="C2965" s="98"/>
      <c r="D2965" s="21"/>
      <c r="E2965" s="86"/>
      <c r="F2965" s="99"/>
      <c r="G2965" s="99"/>
      <c r="H2965" s="21"/>
      <c r="I2965" s="21"/>
      <c r="J2965" s="21"/>
      <c r="K2965" s="5" t="str">
        <f>IF(AND(LEN(H2965)=0, LEN(I2965)=0), "", IF(AND(LEN(H2965)&gt;0, LEN(I2965)=0), "BLANCO", IFERROR(VLOOKUP(I2965, BasedatosM9!A:B, 2, FALSE), "BLANCO")))</f>
        <v/>
      </c>
    </row>
    <row r="2966" spans="1:11" ht="14.4">
      <c r="A2966" s="21"/>
      <c r="B2966" s="86"/>
      <c r="C2966" s="98"/>
      <c r="D2966" s="21"/>
      <c r="E2966" s="86"/>
      <c r="F2966" s="99"/>
      <c r="G2966" s="99"/>
      <c r="H2966" s="21"/>
      <c r="I2966" s="21"/>
      <c r="J2966" s="21"/>
      <c r="K2966" s="5" t="str">
        <f>IF(AND(LEN(H2966)=0, LEN(I2966)=0), "", IF(AND(LEN(H2966)&gt;0, LEN(I2966)=0), "BLANCO", IFERROR(VLOOKUP(I2966, BasedatosM9!A:B, 2, FALSE), "BLANCO")))</f>
        <v/>
      </c>
    </row>
    <row r="2967" spans="1:11" ht="14.4">
      <c r="A2967" s="21"/>
      <c r="B2967" s="86"/>
      <c r="C2967" s="98"/>
      <c r="D2967" s="21"/>
      <c r="E2967" s="86"/>
      <c r="F2967" s="99"/>
      <c r="G2967" s="99"/>
      <c r="H2967" s="21"/>
      <c r="I2967" s="21"/>
      <c r="J2967" s="21"/>
      <c r="K2967" s="5" t="str">
        <f>IF(AND(LEN(H2967)=0, LEN(I2967)=0), "", IF(AND(LEN(H2967)&gt;0, LEN(I2967)=0), "BLANCO", IFERROR(VLOOKUP(I2967, BasedatosM9!A:B, 2, FALSE), "BLANCO")))</f>
        <v/>
      </c>
    </row>
    <row r="2968" spans="1:11" ht="14.4">
      <c r="A2968" s="21"/>
      <c r="B2968" s="86"/>
      <c r="C2968" s="98"/>
      <c r="D2968" s="21"/>
      <c r="E2968" s="86"/>
      <c r="F2968" s="99"/>
      <c r="G2968" s="99"/>
      <c r="H2968" s="21"/>
      <c r="I2968" s="86"/>
      <c r="J2968" s="21"/>
      <c r="K2968" s="5" t="str">
        <f>IF(AND(LEN(H2968)=0, LEN(I2968)=0), "", IF(AND(LEN(H2968)&gt;0, LEN(I2968)=0), "BLANCO", IFERROR(VLOOKUP(I2968, BasedatosM9!A:B, 2, FALSE), "BLANCO")))</f>
        <v/>
      </c>
    </row>
    <row r="2969" spans="1:11" ht="14.4">
      <c r="A2969" s="21"/>
      <c r="B2969" s="86"/>
      <c r="C2969" s="98"/>
      <c r="D2969" s="21"/>
      <c r="E2969" s="86"/>
      <c r="F2969" s="99"/>
      <c r="G2969" s="99"/>
      <c r="H2969" s="21"/>
      <c r="I2969" s="21"/>
      <c r="J2969" s="21"/>
      <c r="K2969" s="5" t="str">
        <f>IF(AND(LEN(H2969)=0, LEN(I2969)=0), "", IF(AND(LEN(H2969)&gt;0, LEN(I2969)=0), "BLANCO", IFERROR(VLOOKUP(I2969, BasedatosM9!A:B, 2, FALSE), "BLANCO")))</f>
        <v/>
      </c>
    </row>
    <row r="2970" spans="1:11" ht="14.4">
      <c r="A2970" s="21"/>
      <c r="B2970" s="86"/>
      <c r="C2970" s="98"/>
      <c r="D2970" s="21"/>
      <c r="E2970" s="86"/>
      <c r="F2970" s="99"/>
      <c r="G2970" s="99"/>
      <c r="H2970" s="21"/>
      <c r="I2970" s="86"/>
      <c r="J2970" s="21"/>
      <c r="K2970" s="5" t="str">
        <f>IF(AND(LEN(H2970)=0, LEN(I2970)=0), "", IF(AND(LEN(H2970)&gt;0, LEN(I2970)=0), "BLANCO", IFERROR(VLOOKUP(I2970, BasedatosM9!A:B, 2, FALSE), "BLANCO")))</f>
        <v/>
      </c>
    </row>
    <row r="2971" spans="1:11" ht="14.4">
      <c r="A2971" s="21"/>
      <c r="B2971" s="86"/>
      <c r="C2971" s="98"/>
      <c r="D2971" s="21"/>
      <c r="E2971" s="86"/>
      <c r="F2971" s="99"/>
      <c r="G2971" s="99"/>
      <c r="H2971" s="21"/>
      <c r="I2971" s="21"/>
      <c r="J2971" s="21"/>
      <c r="K2971" s="5" t="str">
        <f>IF(AND(LEN(H2971)=0, LEN(I2971)=0), "", IF(AND(LEN(H2971)&gt;0, LEN(I2971)=0), "BLANCO", IFERROR(VLOOKUP(I2971, BasedatosM9!A:B, 2, FALSE), "BLANCO")))</f>
        <v/>
      </c>
    </row>
    <row r="2972" spans="1:11" ht="14.4">
      <c r="A2972" s="21"/>
      <c r="B2972" s="86"/>
      <c r="C2972" s="98"/>
      <c r="D2972" s="21"/>
      <c r="E2972" s="86"/>
      <c r="F2972" s="99"/>
      <c r="G2972" s="99"/>
      <c r="H2972" s="21"/>
      <c r="I2972" s="21"/>
      <c r="J2972" s="21"/>
      <c r="K2972" s="5" t="str">
        <f>IF(AND(LEN(H2972)=0, LEN(I2972)=0), "", IF(AND(LEN(H2972)&gt;0, LEN(I2972)=0), "BLANCO", IFERROR(VLOOKUP(I2972, BasedatosM9!A:B, 2, FALSE), "BLANCO")))</f>
        <v/>
      </c>
    </row>
    <row r="2973" spans="1:11" ht="14.4">
      <c r="A2973" s="21"/>
      <c r="B2973" s="86"/>
      <c r="C2973" s="98"/>
      <c r="D2973" s="21"/>
      <c r="E2973" s="86"/>
      <c r="F2973" s="99"/>
      <c r="G2973" s="99"/>
      <c r="H2973" s="21"/>
      <c r="I2973" s="21"/>
      <c r="J2973" s="21"/>
      <c r="K2973" s="5" t="str">
        <f>IF(AND(LEN(H2973)=0, LEN(I2973)=0), "", IF(AND(LEN(H2973)&gt;0, LEN(I2973)=0), "BLANCO", IFERROR(VLOOKUP(I2973, BasedatosM9!A:B, 2, FALSE), "BLANCO")))</f>
        <v/>
      </c>
    </row>
    <row r="2974" spans="1:11" ht="14.4">
      <c r="A2974" s="21"/>
      <c r="B2974" s="86"/>
      <c r="C2974" s="98"/>
      <c r="D2974" s="21"/>
      <c r="E2974" s="86"/>
      <c r="F2974" s="99"/>
      <c r="G2974" s="99"/>
      <c r="H2974" s="21"/>
      <c r="I2974" s="86"/>
      <c r="J2974" s="21"/>
      <c r="K2974" s="5" t="str">
        <f>IF(AND(LEN(H2974)=0, LEN(I2974)=0), "", IF(AND(LEN(H2974)&gt;0, LEN(I2974)=0), "BLANCO", IFERROR(VLOOKUP(I2974, BasedatosM9!A:B, 2, FALSE), "BLANCO")))</f>
        <v/>
      </c>
    </row>
    <row r="2975" spans="1:11" ht="14.4">
      <c r="A2975" s="21"/>
      <c r="B2975" s="86"/>
      <c r="C2975" s="98"/>
      <c r="D2975" s="21"/>
      <c r="E2975" s="86"/>
      <c r="F2975" s="99"/>
      <c r="G2975" s="99"/>
      <c r="H2975" s="21"/>
      <c r="I2975" s="21"/>
      <c r="J2975" s="21"/>
      <c r="K2975" s="5" t="str">
        <f>IF(AND(LEN(H2975)=0, LEN(I2975)=0), "", IF(AND(LEN(H2975)&gt;0, LEN(I2975)=0), "BLANCO", IFERROR(VLOOKUP(I2975, BasedatosM9!A:B, 2, FALSE), "BLANCO")))</f>
        <v/>
      </c>
    </row>
    <row r="2976" spans="1:11" ht="14.4">
      <c r="A2976" s="21"/>
      <c r="B2976" s="86"/>
      <c r="C2976" s="98"/>
      <c r="D2976" s="21"/>
      <c r="E2976" s="86"/>
      <c r="F2976" s="99"/>
      <c r="G2976" s="99"/>
      <c r="H2976" s="21"/>
      <c r="I2976" s="21"/>
      <c r="J2976" s="21"/>
      <c r="K2976" s="5" t="str">
        <f>IF(AND(LEN(H2976)=0, LEN(I2976)=0), "", IF(AND(LEN(H2976)&gt;0, LEN(I2976)=0), "BLANCO", IFERROR(VLOOKUP(I2976, BasedatosM9!A:B, 2, FALSE), "BLANCO")))</f>
        <v/>
      </c>
    </row>
    <row r="2977" spans="1:11" ht="14.4">
      <c r="A2977" s="21"/>
      <c r="B2977" s="86"/>
      <c r="C2977" s="98"/>
      <c r="D2977" s="21"/>
      <c r="E2977" s="86"/>
      <c r="F2977" s="99"/>
      <c r="G2977" s="99"/>
      <c r="H2977" s="21"/>
      <c r="I2977" s="86"/>
      <c r="J2977" s="21"/>
      <c r="K2977" s="5" t="str">
        <f>IF(AND(LEN(H2977)=0, LEN(I2977)=0), "", IF(AND(LEN(H2977)&gt;0, LEN(I2977)=0), "BLANCO", IFERROR(VLOOKUP(I2977, BasedatosM9!A:B, 2, FALSE), "BLANCO")))</f>
        <v/>
      </c>
    </row>
    <row r="2978" spans="1:11" ht="14.4">
      <c r="A2978" s="21"/>
      <c r="B2978" s="86"/>
      <c r="C2978" s="98"/>
      <c r="D2978" s="21"/>
      <c r="E2978" s="86"/>
      <c r="F2978" s="99"/>
      <c r="G2978" s="99"/>
      <c r="H2978" s="21"/>
      <c r="I2978" s="21"/>
      <c r="J2978" s="21"/>
      <c r="K2978" s="5" t="str">
        <f>IF(AND(LEN(H2978)=0, LEN(I2978)=0), "", IF(AND(LEN(H2978)&gt;0, LEN(I2978)=0), "BLANCO", IFERROR(VLOOKUP(I2978, BasedatosM9!A:B, 2, FALSE), "BLANCO")))</f>
        <v/>
      </c>
    </row>
    <row r="2979" spans="1:11" ht="14.4">
      <c r="A2979" s="21"/>
      <c r="B2979" s="86"/>
      <c r="C2979" s="98"/>
      <c r="D2979" s="21"/>
      <c r="E2979" s="86"/>
      <c r="F2979" s="99"/>
      <c r="G2979" s="99"/>
      <c r="H2979" s="21"/>
      <c r="I2979" s="86"/>
      <c r="J2979" s="21"/>
      <c r="K2979" s="5" t="str">
        <f>IF(AND(LEN(H2979)=0, LEN(I2979)=0), "", IF(AND(LEN(H2979)&gt;0, LEN(I2979)=0), "BLANCO", IFERROR(VLOOKUP(I2979, BasedatosM9!A:B, 2, FALSE), "BLANCO")))</f>
        <v/>
      </c>
    </row>
    <row r="2980" spans="1:11" ht="14.4">
      <c r="A2980" s="21"/>
      <c r="B2980" s="86"/>
      <c r="C2980" s="98"/>
      <c r="D2980" s="21"/>
      <c r="E2980" s="86"/>
      <c r="F2980" s="99"/>
      <c r="G2980" s="99"/>
      <c r="H2980" s="21"/>
      <c r="I2980" s="86"/>
      <c r="J2980" s="21"/>
      <c r="K2980" s="5" t="str">
        <f>IF(AND(LEN(H2980)=0, LEN(I2980)=0), "", IF(AND(LEN(H2980)&gt;0, LEN(I2980)=0), "BLANCO", IFERROR(VLOOKUP(I2980, BasedatosM9!A:B, 2, FALSE), "BLANCO")))</f>
        <v/>
      </c>
    </row>
    <row r="2981" spans="1:11" ht="14.4">
      <c r="A2981" s="21"/>
      <c r="B2981" s="86"/>
      <c r="C2981" s="98"/>
      <c r="D2981" s="21"/>
      <c r="E2981" s="86"/>
      <c r="F2981" s="99"/>
      <c r="G2981" s="99"/>
      <c r="H2981" s="21"/>
      <c r="I2981" s="21"/>
      <c r="J2981" s="21"/>
      <c r="K2981" s="5" t="str">
        <f>IF(AND(LEN(H2981)=0, LEN(I2981)=0), "", IF(AND(LEN(H2981)&gt;0, LEN(I2981)=0), "BLANCO", IFERROR(VLOOKUP(I2981, BasedatosM9!A:B, 2, FALSE), "BLANCO")))</f>
        <v/>
      </c>
    </row>
    <row r="2982" spans="1:11" ht="14.4">
      <c r="A2982" s="21"/>
      <c r="B2982" s="86"/>
      <c r="C2982" s="98"/>
      <c r="D2982" s="21"/>
      <c r="E2982" s="86"/>
      <c r="F2982" s="99"/>
      <c r="G2982" s="99"/>
      <c r="H2982" s="21"/>
      <c r="I2982" s="21"/>
      <c r="J2982" s="21"/>
      <c r="K2982" s="5" t="str">
        <f>IF(AND(LEN(H2982)=0, LEN(I2982)=0), "", IF(AND(LEN(H2982)&gt;0, LEN(I2982)=0), "BLANCO", IFERROR(VLOOKUP(I2982, BasedatosM9!A:B, 2, FALSE), "BLANCO")))</f>
        <v/>
      </c>
    </row>
    <row r="2983" spans="1:11" ht="14.4">
      <c r="A2983" s="21"/>
      <c r="B2983" s="86"/>
      <c r="C2983" s="98"/>
      <c r="D2983" s="21"/>
      <c r="E2983" s="86"/>
      <c r="F2983" s="99"/>
      <c r="G2983" s="99"/>
      <c r="H2983" s="21"/>
      <c r="I2983" s="21"/>
      <c r="J2983" s="21"/>
      <c r="K2983" s="5" t="str">
        <f>IF(AND(LEN(H2983)=0, LEN(I2983)=0), "", IF(AND(LEN(H2983)&gt;0, LEN(I2983)=0), "BLANCO", IFERROR(VLOOKUP(I2983, BasedatosM9!A:B, 2, FALSE), "BLANCO")))</f>
        <v/>
      </c>
    </row>
    <row r="2984" spans="1:11" ht="14.4">
      <c r="A2984" s="21"/>
      <c r="B2984" s="86"/>
      <c r="C2984" s="98"/>
      <c r="D2984" s="21"/>
      <c r="E2984" s="86"/>
      <c r="F2984" s="99"/>
      <c r="G2984" s="99"/>
      <c r="H2984" s="21"/>
      <c r="I2984" s="86"/>
      <c r="J2984" s="21"/>
      <c r="K2984" s="5" t="str">
        <f>IF(AND(LEN(H2984)=0, LEN(I2984)=0), "", IF(AND(LEN(H2984)&gt;0, LEN(I2984)=0), "BLANCO", IFERROR(VLOOKUP(I2984, BasedatosM9!A:B, 2, FALSE), "BLANCO")))</f>
        <v/>
      </c>
    </row>
    <row r="2985" spans="1:11" ht="14.4">
      <c r="A2985" s="21"/>
      <c r="B2985" s="86"/>
      <c r="C2985" s="98"/>
      <c r="D2985" s="21"/>
      <c r="E2985" s="86"/>
      <c r="F2985" s="99"/>
      <c r="G2985" s="99"/>
      <c r="H2985" s="21"/>
      <c r="I2985" s="86"/>
      <c r="J2985" s="21"/>
      <c r="K2985" s="5" t="str">
        <f>IF(AND(LEN(H2985)=0, LEN(I2985)=0), "", IF(AND(LEN(H2985)&gt;0, LEN(I2985)=0), "BLANCO", IFERROR(VLOOKUP(I2985, BasedatosM9!A:B, 2, FALSE), "BLANCO")))</f>
        <v/>
      </c>
    </row>
    <row r="2986" spans="1:11" ht="14.4">
      <c r="A2986" s="21"/>
      <c r="B2986" s="86"/>
      <c r="C2986" s="98"/>
      <c r="D2986" s="21"/>
      <c r="E2986" s="86"/>
      <c r="F2986" s="99"/>
      <c r="G2986" s="99"/>
      <c r="H2986" s="21"/>
      <c r="I2986" s="86"/>
      <c r="J2986" s="21"/>
      <c r="K2986" s="5" t="str">
        <f>IF(AND(LEN(H2986)=0, LEN(I2986)=0), "", IF(AND(LEN(H2986)&gt;0, LEN(I2986)=0), "BLANCO", IFERROR(VLOOKUP(I2986, BasedatosM9!A:B, 2, FALSE), "BLANCO")))</f>
        <v/>
      </c>
    </row>
    <row r="2987" spans="1:11" ht="14.4">
      <c r="A2987" s="21"/>
      <c r="B2987" s="86"/>
      <c r="C2987" s="98"/>
      <c r="D2987" s="21"/>
      <c r="E2987" s="86"/>
      <c r="F2987" s="99"/>
      <c r="G2987" s="99"/>
      <c r="H2987" s="21"/>
      <c r="I2987" s="86"/>
      <c r="J2987" s="21"/>
      <c r="K2987" s="5" t="str">
        <f>IF(AND(LEN(H2987)=0, LEN(I2987)=0), "", IF(AND(LEN(H2987)&gt;0, LEN(I2987)=0), "BLANCO", IFERROR(VLOOKUP(I2987, BasedatosM9!A:B, 2, FALSE), "BLANCO")))</f>
        <v/>
      </c>
    </row>
    <row r="2988" spans="1:11" ht="14.4">
      <c r="A2988" s="21"/>
      <c r="B2988" s="86"/>
      <c r="C2988" s="98"/>
      <c r="D2988" s="21"/>
      <c r="E2988" s="86"/>
      <c r="F2988" s="99"/>
      <c r="G2988" s="99"/>
      <c r="H2988" s="21"/>
      <c r="I2988" s="86"/>
      <c r="J2988" s="21"/>
      <c r="K2988" s="5" t="str">
        <f>IF(AND(LEN(H2988)=0, LEN(I2988)=0), "", IF(AND(LEN(H2988)&gt;0, LEN(I2988)=0), "BLANCO", IFERROR(VLOOKUP(I2988, BasedatosM9!A:B, 2, FALSE), "BLANCO")))</f>
        <v/>
      </c>
    </row>
    <row r="2989" spans="1:11" ht="14.4">
      <c r="A2989" s="21"/>
      <c r="B2989" s="86"/>
      <c r="C2989" s="98"/>
      <c r="D2989" s="21"/>
      <c r="E2989" s="86"/>
      <c r="F2989" s="99"/>
      <c r="G2989" s="99"/>
      <c r="H2989" s="21"/>
      <c r="I2989" s="86"/>
      <c r="J2989" s="21"/>
      <c r="K2989" s="5" t="str">
        <f>IF(AND(LEN(H2989)=0, LEN(I2989)=0), "", IF(AND(LEN(H2989)&gt;0, LEN(I2989)=0), "BLANCO", IFERROR(VLOOKUP(I2989, BasedatosM9!A:B, 2, FALSE), "BLANCO")))</f>
        <v/>
      </c>
    </row>
    <row r="2990" spans="1:11" ht="14.4">
      <c r="A2990" s="21"/>
      <c r="B2990" s="86"/>
      <c r="C2990" s="98"/>
      <c r="D2990" s="21"/>
      <c r="E2990" s="86"/>
      <c r="F2990" s="99"/>
      <c r="G2990" s="99"/>
      <c r="H2990" s="21"/>
      <c r="I2990" s="21"/>
      <c r="J2990" s="21"/>
      <c r="K2990" s="5" t="str">
        <f>IF(AND(LEN(H2990)=0, LEN(I2990)=0), "", IF(AND(LEN(H2990)&gt;0, LEN(I2990)=0), "BLANCO", IFERROR(VLOOKUP(I2990, BasedatosM9!A:B, 2, FALSE), "BLANCO")))</f>
        <v/>
      </c>
    </row>
    <row r="2991" spans="1:11" ht="14.4">
      <c r="A2991" s="21"/>
      <c r="B2991" s="86"/>
      <c r="C2991" s="98"/>
      <c r="D2991" s="21"/>
      <c r="E2991" s="86"/>
      <c r="F2991" s="99"/>
      <c r="G2991" s="99"/>
      <c r="H2991" s="21"/>
      <c r="I2991" s="86"/>
      <c r="J2991" s="21"/>
      <c r="K2991" s="5" t="str">
        <f>IF(AND(LEN(H2991)=0, LEN(I2991)=0), "", IF(AND(LEN(H2991)&gt;0, LEN(I2991)=0), "BLANCO", IFERROR(VLOOKUP(I2991, BasedatosM9!A:B, 2, FALSE), "BLANCO")))</f>
        <v/>
      </c>
    </row>
    <row r="2992" spans="1:11" ht="14.4">
      <c r="A2992" s="21"/>
      <c r="B2992" s="86"/>
      <c r="C2992" s="98"/>
      <c r="D2992" s="21"/>
      <c r="E2992" s="86"/>
      <c r="F2992" s="99"/>
      <c r="G2992" s="99"/>
      <c r="H2992" s="21"/>
      <c r="I2992" s="86"/>
      <c r="J2992" s="21"/>
      <c r="K2992" s="5" t="str">
        <f>IF(AND(LEN(H2992)=0, LEN(I2992)=0), "", IF(AND(LEN(H2992)&gt;0, LEN(I2992)=0), "BLANCO", IFERROR(VLOOKUP(I2992, BasedatosM9!A:B, 2, FALSE), "BLANCO")))</f>
        <v/>
      </c>
    </row>
    <row r="2993" spans="1:11" ht="14.4">
      <c r="A2993" s="21"/>
      <c r="B2993" s="86"/>
      <c r="C2993" s="98"/>
      <c r="D2993" s="21"/>
      <c r="E2993" s="86"/>
      <c r="F2993" s="99"/>
      <c r="G2993" s="99"/>
      <c r="H2993" s="21"/>
      <c r="I2993" s="86"/>
      <c r="J2993" s="21"/>
      <c r="K2993" s="5" t="str">
        <f>IF(AND(LEN(H2993)=0, LEN(I2993)=0), "", IF(AND(LEN(H2993)&gt;0, LEN(I2993)=0), "BLANCO", IFERROR(VLOOKUP(I2993, BasedatosM9!A:B, 2, FALSE), "BLANCO")))</f>
        <v/>
      </c>
    </row>
    <row r="2994" spans="1:11" ht="14.4">
      <c r="A2994" s="21"/>
      <c r="B2994" s="86"/>
      <c r="C2994" s="98"/>
      <c r="D2994" s="21"/>
      <c r="E2994" s="86"/>
      <c r="F2994" s="99"/>
      <c r="G2994" s="99"/>
      <c r="H2994" s="21"/>
      <c r="I2994" s="21"/>
      <c r="J2994" s="21"/>
      <c r="K2994" s="5" t="str">
        <f>IF(AND(LEN(H2994)=0, LEN(I2994)=0), "", IF(AND(LEN(H2994)&gt;0, LEN(I2994)=0), "BLANCO", IFERROR(VLOOKUP(I2994, BasedatosM9!A:B, 2, FALSE), "BLANCO")))</f>
        <v/>
      </c>
    </row>
    <row r="2995" spans="1:11" ht="14.4">
      <c r="A2995" s="21"/>
      <c r="B2995" s="86"/>
      <c r="C2995" s="98"/>
      <c r="D2995" s="21"/>
      <c r="E2995" s="86"/>
      <c r="F2995" s="99"/>
      <c r="G2995" s="99"/>
      <c r="H2995" s="21"/>
      <c r="I2995" s="86"/>
      <c r="J2995" s="21"/>
      <c r="K2995" s="5" t="str">
        <f>IF(AND(LEN(H2995)=0, LEN(I2995)=0), "", IF(AND(LEN(H2995)&gt;0, LEN(I2995)=0), "BLANCO", IFERROR(VLOOKUP(I2995, BasedatosM9!A:B, 2, FALSE), "BLANCO")))</f>
        <v/>
      </c>
    </row>
    <row r="2996" spans="1:11" ht="14.4">
      <c r="A2996" s="21"/>
      <c r="B2996" s="86"/>
      <c r="C2996" s="98"/>
      <c r="D2996" s="21"/>
      <c r="E2996" s="86"/>
      <c r="F2996" s="99"/>
      <c r="G2996" s="99"/>
      <c r="H2996" s="21"/>
      <c r="I2996" s="86"/>
      <c r="J2996" s="21"/>
      <c r="K2996" s="5" t="str">
        <f>IF(AND(LEN(H2996)=0, LEN(I2996)=0), "", IF(AND(LEN(H2996)&gt;0, LEN(I2996)=0), "BLANCO", IFERROR(VLOOKUP(I2996, BasedatosM9!A:B, 2, FALSE), "BLANCO")))</f>
        <v/>
      </c>
    </row>
    <row r="2997" spans="1:11" ht="14.4">
      <c r="A2997" s="21"/>
      <c r="B2997" s="86"/>
      <c r="C2997" s="98"/>
      <c r="D2997" s="21"/>
      <c r="E2997" s="86"/>
      <c r="F2997" s="99"/>
      <c r="G2997" s="99"/>
      <c r="H2997" s="21"/>
      <c r="I2997" s="86"/>
      <c r="J2997" s="21"/>
      <c r="K2997" s="5" t="str">
        <f>IF(AND(LEN(H2997)=0, LEN(I2997)=0), "", IF(AND(LEN(H2997)&gt;0, LEN(I2997)=0), "BLANCO", IFERROR(VLOOKUP(I2997, BasedatosM9!A:B, 2, FALSE), "BLANCO")))</f>
        <v/>
      </c>
    </row>
    <row r="2998" spans="1:11" ht="14.4">
      <c r="A2998" s="21"/>
      <c r="B2998" s="86"/>
      <c r="C2998" s="98"/>
      <c r="D2998" s="21"/>
      <c r="E2998" s="86"/>
      <c r="F2998" s="99"/>
      <c r="G2998" s="99"/>
      <c r="H2998" s="21"/>
      <c r="I2998" s="86"/>
      <c r="J2998" s="21"/>
      <c r="K2998" s="5" t="str">
        <f>IF(AND(LEN(H2998)=0, LEN(I2998)=0), "", IF(AND(LEN(H2998)&gt;0, LEN(I2998)=0), "BLANCO", IFERROR(VLOOKUP(I2998, BasedatosM9!A:B, 2, FALSE), "BLANCO")))</f>
        <v/>
      </c>
    </row>
    <row r="2999" spans="1:11" ht="14.4">
      <c r="A2999" s="21"/>
      <c r="B2999" s="86"/>
      <c r="C2999" s="98"/>
      <c r="D2999" s="21"/>
      <c r="E2999" s="86"/>
      <c r="F2999" s="99"/>
      <c r="G2999" s="99"/>
      <c r="H2999" s="21"/>
      <c r="I2999" s="86"/>
      <c r="J2999" s="21"/>
      <c r="K2999" s="5" t="str">
        <f>IF(AND(LEN(H2999)=0, LEN(I2999)=0), "", IF(AND(LEN(H2999)&gt;0, LEN(I2999)=0), "BLANCO", IFERROR(VLOOKUP(I2999, BasedatosM9!A:B, 2, FALSE), "BLANCO")))</f>
        <v/>
      </c>
    </row>
    <row r="3000" spans="1:11" ht="14.4">
      <c r="A3000" s="21"/>
      <c r="B3000" s="86"/>
      <c r="C3000" s="98"/>
      <c r="D3000" s="21"/>
      <c r="E3000" s="86"/>
      <c r="F3000" s="99"/>
      <c r="G3000" s="99"/>
      <c r="H3000" s="21"/>
      <c r="I3000" s="86"/>
      <c r="J3000" s="21"/>
      <c r="K3000" s="5" t="str">
        <f>IF(AND(LEN(H3000)=0, LEN(I3000)=0), "", IF(AND(LEN(H3000)&gt;0, LEN(I3000)=0), "BLANCO", IFERROR(VLOOKUP(I3000, BasedatosM9!A:B, 2, FALSE), "BLANCO")))</f>
        <v/>
      </c>
    </row>
    <row r="3001" spans="1:11" ht="14.4">
      <c r="A3001" s="21"/>
      <c r="B3001" s="86"/>
      <c r="C3001" s="98"/>
      <c r="D3001" s="21"/>
      <c r="E3001" s="86"/>
      <c r="F3001" s="99"/>
      <c r="G3001" s="99"/>
      <c r="H3001" s="21"/>
      <c r="I3001" s="86"/>
      <c r="J3001" s="21"/>
      <c r="K3001" s="5" t="str">
        <f>IF(AND(LEN(H3001)=0, LEN(I3001)=0), "", IF(AND(LEN(H3001)&gt;0, LEN(I3001)=0), "BLANCO", IFERROR(VLOOKUP(I3001, BasedatosM9!A:B, 2, FALSE), "BLANCO")))</f>
        <v/>
      </c>
    </row>
    <row r="3002" spans="1:11" ht="14.4">
      <c r="A3002" s="21"/>
      <c r="B3002" s="86"/>
      <c r="C3002" s="98"/>
      <c r="D3002" s="21"/>
      <c r="E3002" s="86"/>
      <c r="F3002" s="99"/>
      <c r="G3002" s="99"/>
      <c r="H3002" s="21"/>
      <c r="I3002" s="86"/>
      <c r="J3002" s="21"/>
      <c r="K3002" s="5" t="str">
        <f>IF(AND(LEN(H3002)=0, LEN(I3002)=0), "", IF(AND(LEN(H3002)&gt;0, LEN(I3002)=0), "BLANCO", IFERROR(VLOOKUP(I3002, BasedatosM9!A:B, 2, FALSE), "BLANCO")))</f>
        <v/>
      </c>
    </row>
    <row r="3003" spans="1:11" ht="14.4">
      <c r="A3003" s="21"/>
      <c r="B3003" s="86"/>
      <c r="C3003" s="98"/>
      <c r="D3003" s="21"/>
      <c r="E3003" s="86"/>
      <c r="F3003" s="99"/>
      <c r="G3003" s="99"/>
      <c r="H3003" s="21"/>
      <c r="I3003" s="21"/>
      <c r="J3003" s="21"/>
      <c r="K3003" s="5" t="str">
        <f>IF(AND(LEN(H3003)=0, LEN(I3003)=0), "", IF(AND(LEN(H3003)&gt;0, LEN(I3003)=0), "BLANCO", IFERROR(VLOOKUP(I3003, BasedatosM9!A:B, 2, FALSE), "BLANCO")))</f>
        <v/>
      </c>
    </row>
    <row r="3004" spans="1:11" ht="14.4">
      <c r="A3004" s="21"/>
      <c r="B3004" s="86"/>
      <c r="C3004" s="98"/>
      <c r="D3004" s="21"/>
      <c r="E3004" s="86"/>
      <c r="F3004" s="99"/>
      <c r="G3004" s="99"/>
      <c r="H3004" s="21"/>
      <c r="I3004" s="21"/>
      <c r="J3004" s="21"/>
      <c r="K3004" s="5" t="str">
        <f>IF(AND(LEN(H3004)=0, LEN(I3004)=0), "", IF(AND(LEN(H3004)&gt;0, LEN(I3004)=0), "BLANCO", IFERROR(VLOOKUP(I3004, BasedatosM9!A:B, 2, FALSE), "BLANCO")))</f>
        <v/>
      </c>
    </row>
    <row r="3005" spans="1:11" ht="14.4">
      <c r="A3005" s="21"/>
      <c r="B3005" s="86"/>
      <c r="C3005" s="98"/>
      <c r="D3005" s="21"/>
      <c r="E3005" s="86"/>
      <c r="F3005" s="99"/>
      <c r="G3005" s="99"/>
      <c r="H3005" s="21"/>
      <c r="I3005" s="86"/>
      <c r="J3005" s="21"/>
      <c r="K3005" s="5" t="str">
        <f>IF(AND(LEN(H3005)=0, LEN(I3005)=0), "", IF(AND(LEN(H3005)&gt;0, LEN(I3005)=0), "BLANCO", IFERROR(VLOOKUP(I3005, BasedatosM9!A:B, 2, FALSE), "BLANCO")))</f>
        <v/>
      </c>
    </row>
    <row r="3006" spans="1:11" ht="14.4">
      <c r="A3006" s="21"/>
      <c r="B3006" s="86"/>
      <c r="C3006" s="98"/>
      <c r="D3006" s="21"/>
      <c r="E3006" s="86"/>
      <c r="F3006" s="99"/>
      <c r="G3006" s="99"/>
      <c r="H3006" s="21"/>
      <c r="I3006" s="86"/>
      <c r="J3006" s="21"/>
      <c r="K3006" s="5" t="str">
        <f>IF(AND(LEN(H3006)=0, LEN(I3006)=0), "", IF(AND(LEN(H3006)&gt;0, LEN(I3006)=0), "BLANCO", IFERROR(VLOOKUP(I3006, BasedatosM9!A:B, 2, FALSE), "BLANCO")))</f>
        <v/>
      </c>
    </row>
    <row r="3007" spans="1:11" ht="14.4">
      <c r="A3007" s="21"/>
      <c r="B3007" s="86"/>
      <c r="C3007" s="98"/>
      <c r="D3007" s="21"/>
      <c r="E3007" s="86"/>
      <c r="F3007" s="99"/>
      <c r="G3007" s="99"/>
      <c r="H3007" s="21"/>
      <c r="I3007" s="21"/>
      <c r="J3007" s="21"/>
      <c r="K3007" s="5" t="str">
        <f>IF(AND(LEN(H3007)=0, LEN(I3007)=0), "", IF(AND(LEN(H3007)&gt;0, LEN(I3007)=0), "BLANCO", IFERROR(VLOOKUP(I3007, BasedatosM9!A:B, 2, FALSE), "BLANCO")))</f>
        <v/>
      </c>
    </row>
    <row r="3008" spans="1:11" ht="14.4">
      <c r="A3008" s="21"/>
      <c r="B3008" s="86"/>
      <c r="C3008" s="98"/>
      <c r="D3008" s="21"/>
      <c r="E3008" s="86"/>
      <c r="F3008" s="99"/>
      <c r="G3008" s="99"/>
      <c r="H3008" s="21"/>
      <c r="I3008" s="21"/>
      <c r="J3008" s="21"/>
      <c r="K3008" s="5" t="str">
        <f>IF(AND(LEN(H3008)=0, LEN(I3008)=0), "", IF(AND(LEN(H3008)&gt;0, LEN(I3008)=0), "BLANCO", IFERROR(VLOOKUP(I3008, BasedatosM9!A:B, 2, FALSE), "BLANCO")))</f>
        <v/>
      </c>
    </row>
    <row r="3009" spans="1:11" ht="14.4">
      <c r="A3009" s="21"/>
      <c r="B3009" s="86"/>
      <c r="C3009" s="98"/>
      <c r="D3009" s="21"/>
      <c r="E3009" s="86"/>
      <c r="F3009" s="99"/>
      <c r="G3009" s="99"/>
      <c r="H3009" s="21"/>
      <c r="I3009" s="21"/>
      <c r="J3009" s="21"/>
      <c r="K3009" s="5" t="str">
        <f>IF(AND(LEN(H3009)=0, LEN(I3009)=0), "", IF(AND(LEN(H3009)&gt;0, LEN(I3009)=0), "BLANCO", IFERROR(VLOOKUP(I3009, BasedatosM9!A:B, 2, FALSE), "BLANCO")))</f>
        <v/>
      </c>
    </row>
    <row r="3010" spans="1:11" ht="14.4">
      <c r="A3010" s="21"/>
      <c r="B3010" s="86"/>
      <c r="C3010" s="98"/>
      <c r="D3010" s="21"/>
      <c r="E3010" s="86"/>
      <c r="F3010" s="99"/>
      <c r="G3010" s="99"/>
      <c r="H3010" s="21"/>
      <c r="I3010" s="21"/>
      <c r="J3010" s="21"/>
      <c r="K3010" s="5" t="str">
        <f>IF(AND(LEN(H3010)=0, LEN(I3010)=0), "", IF(AND(LEN(H3010)&gt;0, LEN(I3010)=0), "BLANCO", IFERROR(VLOOKUP(I3010, BasedatosM9!A:B, 2, FALSE), "BLANCO")))</f>
        <v/>
      </c>
    </row>
    <row r="3011" spans="1:11" ht="14.4">
      <c r="A3011" s="21"/>
      <c r="B3011" s="86"/>
      <c r="C3011" s="98"/>
      <c r="D3011" s="21"/>
      <c r="E3011" s="86"/>
      <c r="F3011" s="99"/>
      <c r="G3011" s="99"/>
      <c r="H3011" s="21"/>
      <c r="I3011" s="21"/>
      <c r="J3011" s="21"/>
      <c r="K3011" s="5" t="str">
        <f>IF(AND(LEN(H3011)=0, LEN(I3011)=0), "", IF(AND(LEN(H3011)&gt;0, LEN(I3011)=0), "BLANCO", IFERROR(VLOOKUP(I3011, BasedatosM9!A:B, 2, FALSE), "BLANCO")))</f>
        <v/>
      </c>
    </row>
    <row r="3012" spans="1:11" ht="14.4">
      <c r="A3012" s="21"/>
      <c r="B3012" s="86"/>
      <c r="C3012" s="98"/>
      <c r="D3012" s="21"/>
      <c r="E3012" s="86"/>
      <c r="F3012" s="99"/>
      <c r="G3012" s="99"/>
      <c r="H3012" s="21"/>
      <c r="I3012" s="86"/>
      <c r="J3012" s="21"/>
      <c r="K3012" s="5" t="str">
        <f>IF(AND(LEN(H3012)=0, LEN(I3012)=0), "", IF(AND(LEN(H3012)&gt;0, LEN(I3012)=0), "BLANCO", IFERROR(VLOOKUP(I3012, BasedatosM9!A:B, 2, FALSE), "BLANCO")))</f>
        <v/>
      </c>
    </row>
    <row r="3013" spans="1:11" ht="14.4">
      <c r="A3013" s="21"/>
      <c r="B3013" s="86"/>
      <c r="C3013" s="98"/>
      <c r="D3013" s="21"/>
      <c r="E3013" s="86"/>
      <c r="F3013" s="99"/>
      <c r="G3013" s="99"/>
      <c r="H3013" s="21"/>
      <c r="I3013" s="86"/>
      <c r="J3013" s="21"/>
      <c r="K3013" s="5" t="str">
        <f>IF(AND(LEN(H3013)=0, LEN(I3013)=0), "", IF(AND(LEN(H3013)&gt;0, LEN(I3013)=0), "BLANCO", IFERROR(VLOOKUP(I3013, BasedatosM9!A:B, 2, FALSE), "BLANCO")))</f>
        <v/>
      </c>
    </row>
    <row r="3014" spans="1:11" ht="14.4">
      <c r="A3014" s="21"/>
      <c r="B3014" s="86"/>
      <c r="C3014" s="98"/>
      <c r="D3014" s="21"/>
      <c r="E3014" s="86"/>
      <c r="F3014" s="99"/>
      <c r="G3014" s="99"/>
      <c r="H3014" s="21"/>
      <c r="I3014" s="86"/>
      <c r="J3014" s="21"/>
      <c r="K3014" s="5" t="str">
        <f>IF(AND(LEN(H3014)=0, LEN(I3014)=0), "", IF(AND(LEN(H3014)&gt;0, LEN(I3014)=0), "BLANCO", IFERROR(VLOOKUP(I3014, BasedatosM9!A:B, 2, FALSE), "BLANCO")))</f>
        <v/>
      </c>
    </row>
    <row r="3015" spans="1:11" ht="14.4">
      <c r="A3015" s="21"/>
      <c r="B3015" s="86"/>
      <c r="C3015" s="98"/>
      <c r="D3015" s="21"/>
      <c r="E3015" s="86"/>
      <c r="F3015" s="99"/>
      <c r="G3015" s="99"/>
      <c r="H3015" s="21"/>
      <c r="I3015" s="21"/>
      <c r="J3015" s="21"/>
      <c r="K3015" s="5" t="str">
        <f>IF(AND(LEN(H3015)=0, LEN(I3015)=0), "", IF(AND(LEN(H3015)&gt;0, LEN(I3015)=0), "BLANCO", IFERROR(VLOOKUP(I3015, BasedatosM9!A:B, 2, FALSE), "BLANCO")))</f>
        <v/>
      </c>
    </row>
    <row r="3016" spans="1:11" ht="14.4">
      <c r="A3016" s="21"/>
      <c r="B3016" s="86"/>
      <c r="C3016" s="98"/>
      <c r="D3016" s="21"/>
      <c r="E3016" s="86"/>
      <c r="F3016" s="99"/>
      <c r="G3016" s="99"/>
      <c r="H3016" s="21"/>
      <c r="I3016" s="21"/>
      <c r="J3016" s="21"/>
      <c r="K3016" s="5" t="str">
        <f>IF(AND(LEN(H3016)=0, LEN(I3016)=0), "", IF(AND(LEN(H3016)&gt;0, LEN(I3016)=0), "BLANCO", IFERROR(VLOOKUP(I3016, BasedatosM9!A:B, 2, FALSE), "BLANCO")))</f>
        <v/>
      </c>
    </row>
    <row r="3017" spans="1:11" ht="14.4">
      <c r="A3017" s="21"/>
      <c r="B3017" s="86"/>
      <c r="C3017" s="98"/>
      <c r="D3017" s="21"/>
      <c r="E3017" s="86"/>
      <c r="F3017" s="99"/>
      <c r="G3017" s="99"/>
      <c r="H3017" s="21"/>
      <c r="I3017" s="21"/>
      <c r="J3017" s="21"/>
      <c r="K3017" s="5" t="str">
        <f>IF(AND(LEN(H3017)=0, LEN(I3017)=0), "", IF(AND(LEN(H3017)&gt;0, LEN(I3017)=0), "BLANCO", IFERROR(VLOOKUP(I3017, BasedatosM9!A:B, 2, FALSE), "BLANCO")))</f>
        <v/>
      </c>
    </row>
    <row r="3018" spans="1:11" ht="14.4">
      <c r="A3018" s="21"/>
      <c r="B3018" s="86"/>
      <c r="C3018" s="98"/>
      <c r="D3018" s="21"/>
      <c r="E3018" s="86"/>
      <c r="F3018" s="99"/>
      <c r="G3018" s="99"/>
      <c r="H3018" s="21"/>
      <c r="I3018" s="21"/>
      <c r="J3018" s="21"/>
      <c r="K3018" s="5" t="str">
        <f>IF(AND(LEN(H3018)=0, LEN(I3018)=0), "", IF(AND(LEN(H3018)&gt;0, LEN(I3018)=0), "BLANCO", IFERROR(VLOOKUP(I3018, BasedatosM9!A:B, 2, FALSE), "BLANCO")))</f>
        <v/>
      </c>
    </row>
    <row r="3019" spans="1:11" ht="14.4">
      <c r="A3019" s="21"/>
      <c r="B3019" s="86"/>
      <c r="C3019" s="98"/>
      <c r="D3019" s="21"/>
      <c r="E3019" s="86"/>
      <c r="F3019" s="99"/>
      <c r="G3019" s="99"/>
      <c r="H3019" s="21"/>
      <c r="I3019" s="21"/>
      <c r="J3019" s="21"/>
      <c r="K3019" s="5" t="str">
        <f>IF(AND(LEN(H3019)=0, LEN(I3019)=0), "", IF(AND(LEN(H3019)&gt;0, LEN(I3019)=0), "BLANCO", IFERROR(VLOOKUP(I3019, BasedatosM9!A:B, 2, FALSE), "BLANCO")))</f>
        <v/>
      </c>
    </row>
    <row r="3020" spans="1:11" ht="14.4">
      <c r="A3020" s="21"/>
      <c r="B3020" s="86"/>
      <c r="C3020" s="98"/>
      <c r="D3020" s="21"/>
      <c r="E3020" s="86"/>
      <c r="F3020" s="99"/>
      <c r="G3020" s="99"/>
      <c r="H3020" s="21"/>
      <c r="I3020" s="21"/>
      <c r="J3020" s="21"/>
      <c r="K3020" s="5" t="str">
        <f>IF(AND(LEN(H3020)=0, LEN(I3020)=0), "", IF(AND(LEN(H3020)&gt;0, LEN(I3020)=0), "BLANCO", IFERROR(VLOOKUP(I3020, BasedatosM9!A:B, 2, FALSE), "BLANCO")))</f>
        <v/>
      </c>
    </row>
    <row r="3021" spans="1:11" ht="14.4">
      <c r="A3021" s="21"/>
      <c r="B3021" s="86"/>
      <c r="C3021" s="98"/>
      <c r="D3021" s="21"/>
      <c r="E3021" s="86"/>
      <c r="F3021" s="99"/>
      <c r="G3021" s="99"/>
      <c r="H3021" s="21"/>
      <c r="I3021" s="21"/>
      <c r="J3021" s="21"/>
      <c r="K3021" s="5" t="str">
        <f>IF(AND(LEN(H3021)=0, LEN(I3021)=0), "", IF(AND(LEN(H3021)&gt;0, LEN(I3021)=0), "BLANCO", IFERROR(VLOOKUP(I3021, BasedatosM9!A:B, 2, FALSE), "BLANCO")))</f>
        <v/>
      </c>
    </row>
    <row r="3022" spans="1:11" ht="14.4">
      <c r="A3022" s="21"/>
      <c r="B3022" s="86"/>
      <c r="C3022" s="98"/>
      <c r="D3022" s="21"/>
      <c r="E3022" s="86"/>
      <c r="F3022" s="99"/>
      <c r="G3022" s="99"/>
      <c r="H3022" s="21"/>
      <c r="I3022" s="21"/>
      <c r="J3022" s="21"/>
      <c r="K3022" s="5" t="str">
        <f>IF(AND(LEN(H3022)=0, LEN(I3022)=0), "", IF(AND(LEN(H3022)&gt;0, LEN(I3022)=0), "BLANCO", IFERROR(VLOOKUP(I3022, BasedatosM9!A:B, 2, FALSE), "BLANCO")))</f>
        <v/>
      </c>
    </row>
    <row r="3023" spans="1:11" ht="14.4">
      <c r="A3023" s="21"/>
      <c r="B3023" s="86"/>
      <c r="C3023" s="98"/>
      <c r="D3023" s="21"/>
      <c r="E3023" s="86"/>
      <c r="F3023" s="99"/>
      <c r="G3023" s="99"/>
      <c r="H3023" s="21"/>
      <c r="I3023" s="21"/>
      <c r="J3023" s="21"/>
      <c r="K3023" s="5" t="str">
        <f>IF(AND(LEN(H3023)=0, LEN(I3023)=0), "", IF(AND(LEN(H3023)&gt;0, LEN(I3023)=0), "BLANCO", IFERROR(VLOOKUP(I3023, BasedatosM9!A:B, 2, FALSE), "BLANCO")))</f>
        <v/>
      </c>
    </row>
    <row r="3024" spans="1:11" ht="14.4">
      <c r="A3024" s="21"/>
      <c r="B3024" s="86"/>
      <c r="C3024" s="98"/>
      <c r="D3024" s="21"/>
      <c r="E3024" s="86"/>
      <c r="F3024" s="99"/>
      <c r="G3024" s="99"/>
      <c r="H3024" s="21"/>
      <c r="I3024" s="21"/>
      <c r="J3024" s="21"/>
      <c r="K3024" s="5" t="str">
        <f>IF(AND(LEN(H3024)=0, LEN(I3024)=0), "", IF(AND(LEN(H3024)&gt;0, LEN(I3024)=0), "BLANCO", IFERROR(VLOOKUP(I3024, BasedatosM9!A:B, 2, FALSE), "BLANCO")))</f>
        <v/>
      </c>
    </row>
    <row r="3025" spans="1:11" ht="14.4">
      <c r="A3025" s="21"/>
      <c r="B3025" s="86"/>
      <c r="C3025" s="98"/>
      <c r="D3025" s="21"/>
      <c r="E3025" s="86"/>
      <c r="F3025" s="99"/>
      <c r="G3025" s="99"/>
      <c r="H3025" s="21"/>
      <c r="I3025" s="86"/>
      <c r="J3025" s="21"/>
      <c r="K3025" s="5" t="str">
        <f>IF(AND(LEN(H3025)=0, LEN(I3025)=0), "", IF(AND(LEN(H3025)&gt;0, LEN(I3025)=0), "BLANCO", IFERROR(VLOOKUP(I3025, BasedatosM9!A:B, 2, FALSE), "BLANCO")))</f>
        <v/>
      </c>
    </row>
    <row r="3026" spans="1:11" ht="14.4">
      <c r="A3026" s="21"/>
      <c r="B3026" s="86"/>
      <c r="C3026" s="98"/>
      <c r="D3026" s="21"/>
      <c r="E3026" s="86"/>
      <c r="F3026" s="99"/>
      <c r="G3026" s="99"/>
      <c r="H3026" s="21"/>
      <c r="I3026" s="21"/>
      <c r="J3026" s="21"/>
      <c r="K3026" s="5" t="str">
        <f>IF(AND(LEN(H3026)=0, LEN(I3026)=0), "", IF(AND(LEN(H3026)&gt;0, LEN(I3026)=0), "BLANCO", IFERROR(VLOOKUP(I3026, BasedatosM9!A:B, 2, FALSE), "BLANCO")))</f>
        <v/>
      </c>
    </row>
    <row r="3027" spans="1:11" ht="14.4">
      <c r="A3027" s="21"/>
      <c r="B3027" s="86"/>
      <c r="C3027" s="98"/>
      <c r="D3027" s="21"/>
      <c r="E3027" s="86"/>
      <c r="F3027" s="99"/>
      <c r="G3027" s="99"/>
      <c r="H3027" s="21"/>
      <c r="I3027" s="86"/>
      <c r="J3027" s="21"/>
      <c r="K3027" s="5" t="str">
        <f>IF(AND(LEN(H3027)=0, LEN(I3027)=0), "", IF(AND(LEN(H3027)&gt;0, LEN(I3027)=0), "BLANCO", IFERROR(VLOOKUP(I3027, BasedatosM9!A:B, 2, FALSE), "BLANCO")))</f>
        <v/>
      </c>
    </row>
    <row r="3028" spans="1:11" ht="14.4">
      <c r="A3028" s="21"/>
      <c r="B3028" s="86"/>
      <c r="C3028" s="98"/>
      <c r="D3028" s="21"/>
      <c r="E3028" s="86"/>
      <c r="F3028" s="99"/>
      <c r="G3028" s="99"/>
      <c r="H3028" s="21"/>
      <c r="I3028" s="21"/>
      <c r="J3028" s="21"/>
      <c r="K3028" s="5" t="str">
        <f>IF(AND(LEN(H3028)=0, LEN(I3028)=0), "", IF(AND(LEN(H3028)&gt;0, LEN(I3028)=0), "BLANCO", IFERROR(VLOOKUP(I3028, BasedatosM9!A:B, 2, FALSE), "BLANCO")))</f>
        <v/>
      </c>
    </row>
    <row r="3029" spans="1:11" ht="14.4">
      <c r="A3029" s="21"/>
      <c r="B3029" s="86"/>
      <c r="C3029" s="98"/>
      <c r="D3029" s="21"/>
      <c r="E3029" s="86"/>
      <c r="F3029" s="99"/>
      <c r="G3029" s="99"/>
      <c r="H3029" s="21"/>
      <c r="I3029" s="21"/>
      <c r="J3029" s="21"/>
      <c r="K3029" s="5" t="str">
        <f>IF(AND(LEN(H3029)=0, LEN(I3029)=0), "", IF(AND(LEN(H3029)&gt;0, LEN(I3029)=0), "BLANCO", IFERROR(VLOOKUP(I3029, BasedatosM9!A:B, 2, FALSE), "BLANCO")))</f>
        <v/>
      </c>
    </row>
    <row r="3030" spans="1:11" ht="14.4">
      <c r="A3030" s="21"/>
      <c r="B3030" s="86"/>
      <c r="C3030" s="98"/>
      <c r="D3030" s="21"/>
      <c r="E3030" s="86"/>
      <c r="F3030" s="99"/>
      <c r="G3030" s="99"/>
      <c r="H3030" s="21"/>
      <c r="I3030" s="21"/>
      <c r="J3030" s="21"/>
      <c r="K3030" s="5" t="str">
        <f>IF(AND(LEN(H3030)=0, LEN(I3030)=0), "", IF(AND(LEN(H3030)&gt;0, LEN(I3030)=0), "BLANCO", IFERROR(VLOOKUP(I3030, BasedatosM9!A:B, 2, FALSE), "BLANCO")))</f>
        <v/>
      </c>
    </row>
    <row r="3031" spans="1:11" ht="14.4">
      <c r="A3031" s="21"/>
      <c r="B3031" s="86"/>
      <c r="C3031" s="98"/>
      <c r="D3031" s="21"/>
      <c r="E3031" s="86"/>
      <c r="F3031" s="99"/>
      <c r="G3031" s="99"/>
      <c r="H3031" s="21"/>
      <c r="I3031" s="21"/>
      <c r="J3031" s="21"/>
      <c r="K3031" s="5" t="str">
        <f>IF(AND(LEN(H3031)=0, LEN(I3031)=0), "", IF(AND(LEN(H3031)&gt;0, LEN(I3031)=0), "BLANCO", IFERROR(VLOOKUP(I3031, BasedatosM9!A:B, 2, FALSE), "BLANCO")))</f>
        <v/>
      </c>
    </row>
    <row r="3032" spans="1:11" ht="14.4">
      <c r="A3032" s="21"/>
      <c r="B3032" s="86"/>
      <c r="C3032" s="98"/>
      <c r="D3032" s="21"/>
      <c r="E3032" s="86"/>
      <c r="F3032" s="99"/>
      <c r="G3032" s="99"/>
      <c r="H3032" s="21"/>
      <c r="I3032" s="86"/>
      <c r="J3032" s="21"/>
      <c r="K3032" s="5" t="str">
        <f>IF(AND(LEN(H3032)=0, LEN(I3032)=0), "", IF(AND(LEN(H3032)&gt;0, LEN(I3032)=0), "BLANCO", IFERROR(VLOOKUP(I3032, BasedatosM9!A:B, 2, FALSE), "BLANCO")))</f>
        <v/>
      </c>
    </row>
    <row r="3033" spans="1:11" ht="14.4">
      <c r="A3033" s="21"/>
      <c r="B3033" s="86"/>
      <c r="C3033" s="98"/>
      <c r="D3033" s="21"/>
      <c r="E3033" s="86"/>
      <c r="F3033" s="99"/>
      <c r="G3033" s="99"/>
      <c r="H3033" s="21"/>
      <c r="I3033" s="21"/>
      <c r="J3033" s="21"/>
      <c r="K3033" s="5" t="str">
        <f>IF(AND(LEN(H3033)=0, LEN(I3033)=0), "", IF(AND(LEN(H3033)&gt;0, LEN(I3033)=0), "BLANCO", IFERROR(VLOOKUP(I3033, BasedatosM9!A:B, 2, FALSE), "BLANCO")))</f>
        <v/>
      </c>
    </row>
    <row r="3034" spans="1:11" ht="14.4">
      <c r="A3034" s="21"/>
      <c r="B3034" s="86"/>
      <c r="C3034" s="98"/>
      <c r="D3034" s="21"/>
      <c r="E3034" s="86"/>
      <c r="F3034" s="99"/>
      <c r="G3034" s="99"/>
      <c r="H3034" s="21"/>
      <c r="I3034" s="21"/>
      <c r="J3034" s="21"/>
      <c r="K3034" s="5" t="str">
        <f>IF(AND(LEN(H3034)=0, LEN(I3034)=0), "", IF(AND(LEN(H3034)&gt;0, LEN(I3034)=0), "BLANCO", IFERROR(VLOOKUP(I3034, BasedatosM9!A:B, 2, FALSE), "BLANCO")))</f>
        <v/>
      </c>
    </row>
    <row r="3035" spans="1:11" ht="14.4">
      <c r="A3035" s="21"/>
      <c r="B3035" s="86"/>
      <c r="C3035" s="98"/>
      <c r="D3035" s="21"/>
      <c r="E3035" s="86"/>
      <c r="F3035" s="99"/>
      <c r="G3035" s="99"/>
      <c r="H3035" s="21"/>
      <c r="I3035" s="21"/>
      <c r="J3035" s="21"/>
      <c r="K3035" s="5" t="str">
        <f>IF(AND(LEN(H3035)=0, LEN(I3035)=0), "", IF(AND(LEN(H3035)&gt;0, LEN(I3035)=0), "BLANCO", IFERROR(VLOOKUP(I3035, BasedatosM9!A:B, 2, FALSE), "BLANCO")))</f>
        <v/>
      </c>
    </row>
    <row r="3036" spans="1:11" ht="14.4">
      <c r="A3036" s="21"/>
      <c r="B3036" s="86"/>
      <c r="C3036" s="98"/>
      <c r="D3036" s="21"/>
      <c r="E3036" s="86"/>
      <c r="F3036" s="99"/>
      <c r="G3036" s="99"/>
      <c r="H3036" s="21"/>
      <c r="I3036" s="21"/>
      <c r="J3036" s="21"/>
      <c r="K3036" s="5" t="str">
        <f>IF(AND(LEN(H3036)=0, LEN(I3036)=0), "", IF(AND(LEN(H3036)&gt;0, LEN(I3036)=0), "BLANCO", IFERROR(VLOOKUP(I3036, BasedatosM9!A:B, 2, FALSE), "BLANCO")))</f>
        <v/>
      </c>
    </row>
    <row r="3037" spans="1:11" ht="14.4">
      <c r="A3037" s="21"/>
      <c r="B3037" s="86"/>
      <c r="C3037" s="98"/>
      <c r="D3037" s="21"/>
      <c r="E3037" s="86"/>
      <c r="F3037" s="99"/>
      <c r="G3037" s="99"/>
      <c r="H3037" s="21"/>
      <c r="I3037" s="21"/>
      <c r="J3037" s="21"/>
      <c r="K3037" s="5" t="str">
        <f>IF(AND(LEN(H3037)=0, LEN(I3037)=0), "", IF(AND(LEN(H3037)&gt;0, LEN(I3037)=0), "BLANCO", IFERROR(VLOOKUP(I3037, BasedatosM9!A:B, 2, FALSE), "BLANCO")))</f>
        <v/>
      </c>
    </row>
    <row r="3038" spans="1:11" ht="14.4">
      <c r="A3038" s="21"/>
      <c r="B3038" s="86"/>
      <c r="C3038" s="98"/>
      <c r="D3038" s="21"/>
      <c r="E3038" s="86"/>
      <c r="F3038" s="99"/>
      <c r="G3038" s="99"/>
      <c r="H3038" s="21"/>
      <c r="I3038" s="21"/>
      <c r="J3038" s="21"/>
      <c r="K3038" s="5" t="str">
        <f>IF(AND(LEN(H3038)=0, LEN(I3038)=0), "", IF(AND(LEN(H3038)&gt;0, LEN(I3038)=0), "BLANCO", IFERROR(VLOOKUP(I3038, BasedatosM9!A:B, 2, FALSE), "BLANCO")))</f>
        <v/>
      </c>
    </row>
    <row r="3039" spans="1:11" ht="14.4">
      <c r="A3039" s="21"/>
      <c r="B3039" s="86"/>
      <c r="C3039" s="98"/>
      <c r="D3039" s="21"/>
      <c r="E3039" s="86"/>
      <c r="F3039" s="99"/>
      <c r="G3039" s="99"/>
      <c r="H3039" s="21"/>
      <c r="I3039" s="21"/>
      <c r="J3039" s="21"/>
      <c r="K3039" s="5" t="str">
        <f>IF(AND(LEN(H3039)=0, LEN(I3039)=0), "", IF(AND(LEN(H3039)&gt;0, LEN(I3039)=0), "BLANCO", IFERROR(VLOOKUP(I3039, BasedatosM9!A:B, 2, FALSE), "BLANCO")))</f>
        <v/>
      </c>
    </row>
    <row r="3040" spans="1:11" ht="14.4">
      <c r="A3040" s="21"/>
      <c r="B3040" s="86"/>
      <c r="C3040" s="98"/>
      <c r="D3040" s="21"/>
      <c r="E3040" s="86"/>
      <c r="F3040" s="99"/>
      <c r="G3040" s="99"/>
      <c r="H3040" s="21"/>
      <c r="I3040" s="21"/>
      <c r="J3040" s="21"/>
      <c r="K3040" s="5" t="str">
        <f>IF(AND(LEN(H3040)=0, LEN(I3040)=0), "", IF(AND(LEN(H3040)&gt;0, LEN(I3040)=0), "BLANCO", IFERROR(VLOOKUP(I3040, BasedatosM9!A:B, 2, FALSE), "BLANCO")))</f>
        <v/>
      </c>
    </row>
    <row r="3041" spans="1:11" ht="14.4">
      <c r="A3041" s="21"/>
      <c r="B3041" s="86"/>
      <c r="C3041" s="98"/>
      <c r="D3041" s="21"/>
      <c r="E3041" s="86"/>
      <c r="F3041" s="99"/>
      <c r="G3041" s="99"/>
      <c r="H3041" s="21"/>
      <c r="I3041" s="21"/>
      <c r="J3041" s="21"/>
      <c r="K3041" s="5" t="str">
        <f>IF(AND(LEN(H3041)=0, LEN(I3041)=0), "", IF(AND(LEN(H3041)&gt;0, LEN(I3041)=0), "BLANCO", IFERROR(VLOOKUP(I3041, BasedatosM9!A:B, 2, FALSE), "BLANCO")))</f>
        <v/>
      </c>
    </row>
    <row r="3042" spans="1:11" ht="14.4">
      <c r="A3042" s="21"/>
      <c r="B3042" s="86"/>
      <c r="C3042" s="98"/>
      <c r="D3042" s="21"/>
      <c r="E3042" s="86"/>
      <c r="F3042" s="99"/>
      <c r="G3042" s="99"/>
      <c r="H3042" s="21"/>
      <c r="I3042" s="21"/>
      <c r="J3042" s="21"/>
      <c r="K3042" s="5" t="str">
        <f>IF(AND(LEN(H3042)=0, LEN(I3042)=0), "", IF(AND(LEN(H3042)&gt;0, LEN(I3042)=0), "BLANCO", IFERROR(VLOOKUP(I3042, BasedatosM9!A:B, 2, FALSE), "BLANCO")))</f>
        <v/>
      </c>
    </row>
    <row r="3043" spans="1:11" ht="14.4">
      <c r="A3043" s="21"/>
      <c r="B3043" s="86"/>
      <c r="C3043" s="98"/>
      <c r="D3043" s="21"/>
      <c r="E3043" s="86"/>
      <c r="F3043" s="99"/>
      <c r="G3043" s="99"/>
      <c r="H3043" s="21"/>
      <c r="I3043" s="86"/>
      <c r="J3043" s="21"/>
      <c r="K3043" s="5" t="str">
        <f>IF(AND(LEN(H3043)=0, LEN(I3043)=0), "", IF(AND(LEN(H3043)&gt;0, LEN(I3043)=0), "BLANCO", IFERROR(VLOOKUP(I3043, BasedatosM9!A:B, 2, FALSE), "BLANCO")))</f>
        <v/>
      </c>
    </row>
    <row r="3044" spans="1:11" ht="14.4">
      <c r="A3044" s="21"/>
      <c r="B3044" s="86"/>
      <c r="C3044" s="98"/>
      <c r="D3044" s="21"/>
      <c r="E3044" s="86"/>
      <c r="F3044" s="99"/>
      <c r="G3044" s="99"/>
      <c r="H3044" s="21"/>
      <c r="I3044" s="86"/>
      <c r="J3044" s="21"/>
      <c r="K3044" s="5" t="str">
        <f>IF(AND(LEN(H3044)=0, LEN(I3044)=0), "", IF(AND(LEN(H3044)&gt;0, LEN(I3044)=0), "BLANCO", IFERROR(VLOOKUP(I3044, BasedatosM9!A:B, 2, FALSE), "BLANCO")))</f>
        <v/>
      </c>
    </row>
    <row r="3045" spans="1:11" ht="14.4">
      <c r="A3045" s="21"/>
      <c r="B3045" s="86"/>
      <c r="C3045" s="98"/>
      <c r="D3045" s="21"/>
      <c r="E3045" s="86"/>
      <c r="F3045" s="99"/>
      <c r="G3045" s="99"/>
      <c r="H3045" s="21"/>
      <c r="I3045" s="21"/>
      <c r="J3045" s="21"/>
      <c r="K3045" s="5" t="str">
        <f>IF(AND(LEN(H3045)=0, LEN(I3045)=0), "", IF(AND(LEN(H3045)&gt;0, LEN(I3045)=0), "BLANCO", IFERROR(VLOOKUP(I3045, BasedatosM9!A:B, 2, FALSE), "BLANCO")))</f>
        <v/>
      </c>
    </row>
    <row r="3046" spans="1:11" ht="14.4">
      <c r="A3046" s="21"/>
      <c r="B3046" s="86"/>
      <c r="C3046" s="98"/>
      <c r="D3046" s="21"/>
      <c r="E3046" s="86"/>
      <c r="F3046" s="99"/>
      <c r="G3046" s="99"/>
      <c r="H3046" s="21"/>
      <c r="I3046" s="86"/>
      <c r="J3046" s="21"/>
      <c r="K3046" s="5" t="str">
        <f>IF(AND(LEN(H3046)=0, LEN(I3046)=0), "", IF(AND(LEN(H3046)&gt;0, LEN(I3046)=0), "BLANCO", IFERROR(VLOOKUP(I3046, BasedatosM9!A:B, 2, FALSE), "BLANCO")))</f>
        <v/>
      </c>
    </row>
    <row r="3047" spans="1:11" ht="14.4">
      <c r="A3047" s="21"/>
      <c r="B3047" s="86"/>
      <c r="C3047" s="98"/>
      <c r="D3047" s="21"/>
      <c r="E3047" s="86"/>
      <c r="F3047" s="99"/>
      <c r="G3047" s="99"/>
      <c r="H3047" s="21"/>
      <c r="I3047" s="86"/>
      <c r="J3047" s="21"/>
      <c r="K3047" s="5" t="str">
        <f>IF(AND(LEN(H3047)=0, LEN(I3047)=0), "", IF(AND(LEN(H3047)&gt;0, LEN(I3047)=0), "BLANCO", IFERROR(VLOOKUP(I3047, BasedatosM9!A:B, 2, FALSE), "BLANCO")))</f>
        <v/>
      </c>
    </row>
    <row r="3048" spans="1:11" ht="14.4">
      <c r="A3048" s="21"/>
      <c r="B3048" s="86"/>
      <c r="C3048" s="98"/>
      <c r="D3048" s="21"/>
      <c r="E3048" s="86"/>
      <c r="F3048" s="99"/>
      <c r="G3048" s="99"/>
      <c r="H3048" s="21"/>
      <c r="I3048" s="86"/>
      <c r="J3048" s="21"/>
      <c r="K3048" s="5" t="str">
        <f>IF(AND(LEN(H3048)=0, LEN(I3048)=0), "", IF(AND(LEN(H3048)&gt;0, LEN(I3048)=0), "BLANCO", IFERROR(VLOOKUP(I3048, BasedatosM9!A:B, 2, FALSE), "BLANCO")))</f>
        <v/>
      </c>
    </row>
    <row r="3049" spans="1:11" ht="14.4">
      <c r="A3049" s="21"/>
      <c r="B3049" s="86"/>
      <c r="C3049" s="98"/>
      <c r="D3049" s="21"/>
      <c r="E3049" s="86"/>
      <c r="F3049" s="99"/>
      <c r="G3049" s="99"/>
      <c r="H3049" s="21"/>
      <c r="I3049" s="86"/>
      <c r="J3049" s="21"/>
      <c r="K3049" s="5" t="str">
        <f>IF(AND(LEN(H3049)=0, LEN(I3049)=0), "", IF(AND(LEN(H3049)&gt;0, LEN(I3049)=0), "BLANCO", IFERROR(VLOOKUP(I3049, BasedatosM9!A:B, 2, FALSE), "BLANCO")))</f>
        <v/>
      </c>
    </row>
    <row r="3050" spans="1:11" ht="14.4">
      <c r="A3050" s="21"/>
      <c r="B3050" s="86"/>
      <c r="C3050" s="98"/>
      <c r="D3050" s="21"/>
      <c r="E3050" s="86"/>
      <c r="F3050" s="99"/>
      <c r="G3050" s="99"/>
      <c r="H3050" s="21"/>
      <c r="I3050" s="21"/>
      <c r="J3050" s="21"/>
      <c r="K3050" s="5" t="str">
        <f>IF(AND(LEN(H3050)=0, LEN(I3050)=0), "", IF(AND(LEN(H3050)&gt;0, LEN(I3050)=0), "BLANCO", IFERROR(VLOOKUP(I3050, BasedatosM9!A:B, 2, FALSE), "BLANCO")))</f>
        <v/>
      </c>
    </row>
    <row r="3051" spans="1:11" ht="14.4">
      <c r="A3051" s="21"/>
      <c r="B3051" s="86"/>
      <c r="C3051" s="98"/>
      <c r="D3051" s="21"/>
      <c r="E3051" s="86"/>
      <c r="F3051" s="99"/>
      <c r="G3051" s="99"/>
      <c r="H3051" s="21"/>
      <c r="I3051" s="86"/>
      <c r="J3051" s="21"/>
      <c r="K3051" s="5" t="str">
        <f>IF(AND(LEN(H3051)=0, LEN(I3051)=0), "", IF(AND(LEN(H3051)&gt;0, LEN(I3051)=0), "BLANCO", IFERROR(VLOOKUP(I3051, BasedatosM9!A:B, 2, FALSE), "BLANCO")))</f>
        <v/>
      </c>
    </row>
    <row r="3052" spans="1:11" ht="14.4">
      <c r="A3052" s="21"/>
      <c r="B3052" s="86"/>
      <c r="C3052" s="98"/>
      <c r="D3052" s="21"/>
      <c r="E3052" s="86"/>
      <c r="F3052" s="99"/>
      <c r="G3052" s="99"/>
      <c r="H3052" s="21"/>
      <c r="I3052" s="21"/>
      <c r="J3052" s="21"/>
      <c r="K3052" s="5" t="str">
        <f>IF(AND(LEN(H3052)=0, LEN(I3052)=0), "", IF(AND(LEN(H3052)&gt;0, LEN(I3052)=0), "BLANCO", IFERROR(VLOOKUP(I3052, BasedatosM9!A:B, 2, FALSE), "BLANCO")))</f>
        <v/>
      </c>
    </row>
    <row r="3053" spans="1:11" ht="14.4">
      <c r="A3053" s="21"/>
      <c r="B3053" s="86"/>
      <c r="C3053" s="98"/>
      <c r="D3053" s="21"/>
      <c r="E3053" s="86"/>
      <c r="F3053" s="99"/>
      <c r="G3053" s="99"/>
      <c r="H3053" s="21"/>
      <c r="I3053" s="86"/>
      <c r="J3053" s="21"/>
      <c r="K3053" s="5" t="str">
        <f>IF(AND(LEN(H3053)=0, LEN(I3053)=0), "", IF(AND(LEN(H3053)&gt;0, LEN(I3053)=0), "BLANCO", IFERROR(VLOOKUP(I3053, BasedatosM9!A:B, 2, FALSE), "BLANCO")))</f>
        <v/>
      </c>
    </row>
    <row r="3054" spans="1:11" ht="14.4">
      <c r="A3054" s="21"/>
      <c r="B3054" s="86"/>
      <c r="C3054" s="98"/>
      <c r="D3054" s="21"/>
      <c r="E3054" s="86"/>
      <c r="F3054" s="99"/>
      <c r="G3054" s="99"/>
      <c r="H3054" s="21"/>
      <c r="I3054" s="21"/>
      <c r="J3054" s="21"/>
      <c r="K3054" s="5" t="str">
        <f>IF(AND(LEN(H3054)=0, LEN(I3054)=0), "", IF(AND(LEN(H3054)&gt;0, LEN(I3054)=0), "BLANCO", IFERROR(VLOOKUP(I3054, BasedatosM9!A:B, 2, FALSE), "BLANCO")))</f>
        <v/>
      </c>
    </row>
    <row r="3055" spans="1:11" ht="14.4">
      <c r="A3055" s="21"/>
      <c r="B3055" s="86"/>
      <c r="C3055" s="98"/>
      <c r="D3055" s="21"/>
      <c r="E3055" s="86"/>
      <c r="F3055" s="99"/>
      <c r="G3055" s="99"/>
      <c r="H3055" s="21"/>
      <c r="I3055" s="21"/>
      <c r="J3055" s="21"/>
      <c r="K3055" s="5" t="str">
        <f>IF(AND(LEN(H3055)=0, LEN(I3055)=0), "", IF(AND(LEN(H3055)&gt;0, LEN(I3055)=0), "BLANCO", IFERROR(VLOOKUP(I3055, BasedatosM9!A:B, 2, FALSE), "BLANCO")))</f>
        <v/>
      </c>
    </row>
    <row r="3056" spans="1:11" ht="14.4">
      <c r="A3056" s="21"/>
      <c r="B3056" s="86"/>
      <c r="C3056" s="98"/>
      <c r="D3056" s="21"/>
      <c r="E3056" s="86"/>
      <c r="F3056" s="99"/>
      <c r="G3056" s="99"/>
      <c r="H3056" s="21"/>
      <c r="I3056" s="86"/>
      <c r="J3056" s="21"/>
      <c r="K3056" s="5" t="str">
        <f>IF(AND(LEN(H3056)=0, LEN(I3056)=0), "", IF(AND(LEN(H3056)&gt;0, LEN(I3056)=0), "BLANCO", IFERROR(VLOOKUP(I3056, BasedatosM9!A:B, 2, FALSE), "BLANCO")))</f>
        <v/>
      </c>
    </row>
    <row r="3057" spans="1:11" ht="14.4">
      <c r="A3057" s="21"/>
      <c r="B3057" s="86"/>
      <c r="C3057" s="98"/>
      <c r="D3057" s="21"/>
      <c r="E3057" s="86"/>
      <c r="F3057" s="99"/>
      <c r="G3057" s="99"/>
      <c r="H3057" s="21"/>
      <c r="I3057" s="86"/>
      <c r="J3057" s="21"/>
      <c r="K3057" s="5" t="str">
        <f>IF(AND(LEN(H3057)=0, LEN(I3057)=0), "", IF(AND(LEN(H3057)&gt;0, LEN(I3057)=0), "BLANCO", IFERROR(VLOOKUP(I3057, BasedatosM9!A:B, 2, FALSE), "BLANCO")))</f>
        <v/>
      </c>
    </row>
    <row r="3058" spans="1:11" ht="14.4">
      <c r="A3058" s="21"/>
      <c r="B3058" s="86"/>
      <c r="C3058" s="98"/>
      <c r="D3058" s="21"/>
      <c r="E3058" s="86"/>
      <c r="F3058" s="99"/>
      <c r="G3058" s="99"/>
      <c r="H3058" s="21"/>
      <c r="I3058" s="86"/>
      <c r="J3058" s="21"/>
      <c r="K3058" s="5" t="str">
        <f>IF(AND(LEN(H3058)=0, LEN(I3058)=0), "", IF(AND(LEN(H3058)&gt;0, LEN(I3058)=0), "BLANCO", IFERROR(VLOOKUP(I3058, BasedatosM9!A:B, 2, FALSE), "BLANCO")))</f>
        <v/>
      </c>
    </row>
    <row r="3059" spans="1:11" ht="14.4">
      <c r="A3059" s="21"/>
      <c r="B3059" s="86"/>
      <c r="C3059" s="98"/>
      <c r="D3059" s="21"/>
      <c r="E3059" s="86"/>
      <c r="F3059" s="99"/>
      <c r="G3059" s="99"/>
      <c r="H3059" s="21"/>
      <c r="I3059" s="21"/>
      <c r="J3059" s="21"/>
      <c r="K3059" s="5" t="str">
        <f>IF(AND(LEN(H3059)=0, LEN(I3059)=0), "", IF(AND(LEN(H3059)&gt;0, LEN(I3059)=0), "BLANCO", IFERROR(VLOOKUP(I3059, BasedatosM9!A:B, 2, FALSE), "BLANCO")))</f>
        <v/>
      </c>
    </row>
    <row r="3060" spans="1:11" ht="14.4">
      <c r="A3060" s="21"/>
      <c r="B3060" s="86"/>
      <c r="C3060" s="98"/>
      <c r="D3060" s="21"/>
      <c r="E3060" s="86"/>
      <c r="F3060" s="99"/>
      <c r="G3060" s="99"/>
      <c r="H3060" s="21"/>
      <c r="I3060" s="21"/>
      <c r="J3060" s="21"/>
      <c r="K3060" s="5" t="str">
        <f>IF(AND(LEN(H3060)=0, LEN(I3060)=0), "", IF(AND(LEN(H3060)&gt;0, LEN(I3060)=0), "BLANCO", IFERROR(VLOOKUP(I3060, BasedatosM9!A:B, 2, FALSE), "BLANCO")))</f>
        <v/>
      </c>
    </row>
    <row r="3061" spans="1:11" ht="14.4">
      <c r="A3061" s="21"/>
      <c r="B3061" s="86"/>
      <c r="C3061" s="98"/>
      <c r="D3061" s="21"/>
      <c r="E3061" s="86"/>
      <c r="F3061" s="99"/>
      <c r="G3061" s="99"/>
      <c r="H3061" s="21"/>
      <c r="I3061" s="21"/>
      <c r="J3061" s="21"/>
      <c r="K3061" s="5" t="str">
        <f>IF(AND(LEN(H3061)=0, LEN(I3061)=0), "", IF(AND(LEN(H3061)&gt;0, LEN(I3061)=0), "BLANCO", IFERROR(VLOOKUP(I3061, BasedatosM9!A:B, 2, FALSE), "BLANCO")))</f>
        <v/>
      </c>
    </row>
    <row r="3062" spans="1:11" ht="14.4">
      <c r="A3062" s="21"/>
      <c r="B3062" s="86"/>
      <c r="C3062" s="98"/>
      <c r="D3062" s="21"/>
      <c r="E3062" s="86"/>
      <c r="F3062" s="99"/>
      <c r="G3062" s="99"/>
      <c r="H3062" s="21"/>
      <c r="I3062" s="21"/>
      <c r="J3062" s="21"/>
      <c r="K3062" s="5" t="str">
        <f>IF(AND(LEN(H3062)=0, LEN(I3062)=0), "", IF(AND(LEN(H3062)&gt;0, LEN(I3062)=0), "BLANCO", IFERROR(VLOOKUP(I3062, BasedatosM9!A:B, 2, FALSE), "BLANCO")))</f>
        <v/>
      </c>
    </row>
    <row r="3063" spans="1:11" ht="14.4">
      <c r="A3063" s="21"/>
      <c r="B3063" s="86"/>
      <c r="C3063" s="98"/>
      <c r="D3063" s="21"/>
      <c r="E3063" s="86"/>
      <c r="F3063" s="99"/>
      <c r="G3063" s="99"/>
      <c r="H3063" s="21"/>
      <c r="I3063" s="21"/>
      <c r="J3063" s="21"/>
      <c r="K3063" s="5" t="str">
        <f>IF(AND(LEN(H3063)=0, LEN(I3063)=0), "", IF(AND(LEN(H3063)&gt;0, LEN(I3063)=0), "BLANCO", IFERROR(VLOOKUP(I3063, BasedatosM9!A:B, 2, FALSE), "BLANCO")))</f>
        <v/>
      </c>
    </row>
    <row r="3064" spans="1:11" ht="14.4">
      <c r="A3064" s="21"/>
      <c r="B3064" s="86"/>
      <c r="C3064" s="98"/>
      <c r="D3064" s="21"/>
      <c r="E3064" s="86"/>
      <c r="F3064" s="99"/>
      <c r="G3064" s="99"/>
      <c r="H3064" s="21"/>
      <c r="I3064" s="86"/>
      <c r="J3064" s="21"/>
      <c r="K3064" s="5" t="str">
        <f>IF(AND(LEN(H3064)=0, LEN(I3064)=0), "", IF(AND(LEN(H3064)&gt;0, LEN(I3064)=0), "BLANCO", IFERROR(VLOOKUP(I3064, BasedatosM9!A:B, 2, FALSE), "BLANCO")))</f>
        <v/>
      </c>
    </row>
    <row r="3065" spans="1:11" ht="14.4">
      <c r="A3065" s="21"/>
      <c r="B3065" s="86"/>
      <c r="C3065" s="98"/>
      <c r="D3065" s="21"/>
      <c r="E3065" s="86"/>
      <c r="F3065" s="99"/>
      <c r="G3065" s="99"/>
      <c r="H3065" s="21"/>
      <c r="I3065" s="86"/>
      <c r="J3065" s="21"/>
      <c r="K3065" s="5" t="str">
        <f>IF(AND(LEN(H3065)=0, LEN(I3065)=0), "", IF(AND(LEN(H3065)&gt;0, LEN(I3065)=0), "BLANCO", IFERROR(VLOOKUP(I3065, BasedatosM9!A:B, 2, FALSE), "BLANCO")))</f>
        <v/>
      </c>
    </row>
    <row r="3066" spans="1:11" ht="14.4">
      <c r="A3066" s="21"/>
      <c r="B3066" s="86"/>
      <c r="C3066" s="98"/>
      <c r="D3066" s="21"/>
      <c r="E3066" s="86"/>
      <c r="F3066" s="99"/>
      <c r="G3066" s="99"/>
      <c r="H3066" s="21"/>
      <c r="I3066" s="86"/>
      <c r="J3066" s="21"/>
      <c r="K3066" s="5" t="str">
        <f>IF(AND(LEN(H3066)=0, LEN(I3066)=0), "", IF(AND(LEN(H3066)&gt;0, LEN(I3066)=0), "BLANCO", IFERROR(VLOOKUP(I3066, BasedatosM9!A:B, 2, FALSE), "BLANCO")))</f>
        <v/>
      </c>
    </row>
    <row r="3067" spans="1:11" ht="14.4">
      <c r="A3067" s="21"/>
      <c r="B3067" s="86"/>
      <c r="C3067" s="98"/>
      <c r="D3067" s="21"/>
      <c r="E3067" s="86"/>
      <c r="F3067" s="99"/>
      <c r="G3067" s="99"/>
      <c r="H3067" s="21"/>
      <c r="I3067" s="86"/>
      <c r="J3067" s="21"/>
      <c r="K3067" s="5" t="str">
        <f>IF(AND(LEN(H3067)=0, LEN(I3067)=0), "", IF(AND(LEN(H3067)&gt;0, LEN(I3067)=0), "BLANCO", IFERROR(VLOOKUP(I3067, BasedatosM9!A:B, 2, FALSE), "BLANCO")))</f>
        <v/>
      </c>
    </row>
    <row r="3068" spans="1:11" ht="14.4">
      <c r="A3068" s="21"/>
      <c r="B3068" s="86"/>
      <c r="C3068" s="98"/>
      <c r="D3068" s="21"/>
      <c r="E3068" s="86"/>
      <c r="F3068" s="99"/>
      <c r="G3068" s="99"/>
      <c r="H3068" s="21"/>
      <c r="I3068" s="21"/>
      <c r="J3068" s="21"/>
      <c r="K3068" s="5" t="str">
        <f>IF(AND(LEN(H3068)=0, LEN(I3068)=0), "", IF(AND(LEN(H3068)&gt;0, LEN(I3068)=0), "BLANCO", IFERROR(VLOOKUP(I3068, BasedatosM9!A:B, 2, FALSE), "BLANCO")))</f>
        <v/>
      </c>
    </row>
    <row r="3069" spans="1:11" ht="14.4">
      <c r="A3069" s="21"/>
      <c r="B3069" s="86"/>
      <c r="C3069" s="98"/>
      <c r="D3069" s="21"/>
      <c r="E3069" s="86"/>
      <c r="F3069" s="99"/>
      <c r="G3069" s="99"/>
      <c r="H3069" s="21"/>
      <c r="I3069" s="21"/>
      <c r="J3069" s="21"/>
      <c r="K3069" s="5" t="str">
        <f>IF(AND(LEN(H3069)=0, LEN(I3069)=0), "", IF(AND(LEN(H3069)&gt;0, LEN(I3069)=0), "BLANCO", IFERROR(VLOOKUP(I3069, BasedatosM9!A:B, 2, FALSE), "BLANCO")))</f>
        <v/>
      </c>
    </row>
    <row r="3070" spans="1:11" ht="14.4">
      <c r="A3070" s="21"/>
      <c r="B3070" s="86"/>
      <c r="C3070" s="98"/>
      <c r="D3070" s="21"/>
      <c r="E3070" s="86"/>
      <c r="F3070" s="99"/>
      <c r="G3070" s="99"/>
      <c r="H3070" s="21"/>
      <c r="I3070" s="21"/>
      <c r="J3070" s="21"/>
      <c r="K3070" s="5" t="str">
        <f>IF(AND(LEN(H3070)=0, LEN(I3070)=0), "", IF(AND(LEN(H3070)&gt;0, LEN(I3070)=0), "BLANCO", IFERROR(VLOOKUP(I3070, BasedatosM9!A:B, 2, FALSE), "BLANCO")))</f>
        <v/>
      </c>
    </row>
    <row r="3071" spans="1:11" ht="14.4">
      <c r="A3071" s="21"/>
      <c r="B3071" s="86"/>
      <c r="C3071" s="98"/>
      <c r="D3071" s="21"/>
      <c r="E3071" s="86"/>
      <c r="F3071" s="99"/>
      <c r="G3071" s="99"/>
      <c r="H3071" s="21"/>
      <c r="I3071" s="21"/>
      <c r="J3071" s="21"/>
      <c r="K3071" s="5" t="str">
        <f>IF(AND(LEN(H3071)=0, LEN(I3071)=0), "", IF(AND(LEN(H3071)&gt;0, LEN(I3071)=0), "BLANCO", IFERROR(VLOOKUP(I3071, BasedatosM9!A:B, 2, FALSE), "BLANCO")))</f>
        <v/>
      </c>
    </row>
    <row r="3072" spans="1:11" ht="14.4">
      <c r="A3072" s="21"/>
      <c r="B3072" s="86"/>
      <c r="C3072" s="98"/>
      <c r="D3072" s="21"/>
      <c r="E3072" s="86"/>
      <c r="F3072" s="99"/>
      <c r="G3072" s="99"/>
      <c r="H3072" s="21"/>
      <c r="I3072" s="86"/>
      <c r="J3072" s="21"/>
      <c r="K3072" s="5" t="str">
        <f>IF(AND(LEN(H3072)=0, LEN(I3072)=0), "", IF(AND(LEN(H3072)&gt;0, LEN(I3072)=0), "BLANCO", IFERROR(VLOOKUP(I3072, BasedatosM9!A:B, 2, FALSE), "BLANCO")))</f>
        <v/>
      </c>
    </row>
    <row r="3073" spans="1:11" ht="14.4">
      <c r="A3073" s="21"/>
      <c r="B3073" s="86"/>
      <c r="C3073" s="98"/>
      <c r="D3073" s="21"/>
      <c r="E3073" s="86"/>
      <c r="F3073" s="99"/>
      <c r="G3073" s="99"/>
      <c r="H3073" s="21"/>
      <c r="I3073" s="86"/>
      <c r="J3073" s="21"/>
      <c r="K3073" s="5" t="str">
        <f>IF(AND(LEN(H3073)=0, LEN(I3073)=0), "", IF(AND(LEN(H3073)&gt;0, LEN(I3073)=0), "BLANCO", IFERROR(VLOOKUP(I3073, BasedatosM9!A:B, 2, FALSE), "BLANCO")))</f>
        <v/>
      </c>
    </row>
    <row r="3074" spans="1:11" ht="14.4">
      <c r="A3074" s="21"/>
      <c r="B3074" s="86"/>
      <c r="C3074" s="98"/>
      <c r="D3074" s="21"/>
      <c r="E3074" s="86"/>
      <c r="F3074" s="99"/>
      <c r="G3074" s="99"/>
      <c r="H3074" s="21"/>
      <c r="I3074" s="86"/>
      <c r="J3074" s="21"/>
      <c r="K3074" s="5" t="str">
        <f>IF(AND(LEN(H3074)=0, LEN(I3074)=0), "", IF(AND(LEN(H3074)&gt;0, LEN(I3074)=0), "BLANCO", IFERROR(VLOOKUP(I3074, BasedatosM9!A:B, 2, FALSE), "BLANCO")))</f>
        <v/>
      </c>
    </row>
    <row r="3075" spans="1:11" ht="14.4">
      <c r="A3075" s="21"/>
      <c r="B3075" s="86"/>
      <c r="C3075" s="98"/>
      <c r="D3075" s="21"/>
      <c r="E3075" s="86"/>
      <c r="F3075" s="99"/>
      <c r="G3075" s="99"/>
      <c r="H3075" s="21"/>
      <c r="I3075" s="21"/>
      <c r="J3075" s="21"/>
      <c r="K3075" s="5" t="str">
        <f>IF(AND(LEN(H3075)=0, LEN(I3075)=0), "", IF(AND(LEN(H3075)&gt;0, LEN(I3075)=0), "BLANCO", IFERROR(VLOOKUP(I3075, BasedatosM9!A:B, 2, FALSE), "BLANCO")))</f>
        <v/>
      </c>
    </row>
    <row r="3076" spans="1:11" ht="14.4">
      <c r="A3076" s="21"/>
      <c r="B3076" s="86"/>
      <c r="C3076" s="98"/>
      <c r="D3076" s="21"/>
      <c r="E3076" s="86"/>
      <c r="F3076" s="99"/>
      <c r="G3076" s="99"/>
      <c r="H3076" s="21"/>
      <c r="I3076" s="86"/>
      <c r="J3076" s="21"/>
      <c r="K3076" s="5" t="str">
        <f>IF(AND(LEN(H3076)=0, LEN(I3076)=0), "", IF(AND(LEN(H3076)&gt;0, LEN(I3076)=0), "BLANCO", IFERROR(VLOOKUP(I3076, BasedatosM9!A:B, 2, FALSE), "BLANCO")))</f>
        <v/>
      </c>
    </row>
    <row r="3077" spans="1:11" ht="14.4">
      <c r="A3077" s="21"/>
      <c r="B3077" s="86"/>
      <c r="C3077" s="98"/>
      <c r="D3077" s="21"/>
      <c r="E3077" s="86"/>
      <c r="F3077" s="99"/>
      <c r="G3077" s="99"/>
      <c r="H3077" s="21"/>
      <c r="I3077" s="86"/>
      <c r="J3077" s="21"/>
      <c r="K3077" s="5" t="str">
        <f>IF(AND(LEN(H3077)=0, LEN(I3077)=0), "", IF(AND(LEN(H3077)&gt;0, LEN(I3077)=0), "BLANCO", IFERROR(VLOOKUP(I3077, BasedatosM9!A:B, 2, FALSE), "BLANCO")))</f>
        <v/>
      </c>
    </row>
    <row r="3078" spans="1:11" ht="14.4">
      <c r="A3078" s="21"/>
      <c r="B3078" s="86"/>
      <c r="C3078" s="98"/>
      <c r="D3078" s="21"/>
      <c r="E3078" s="86"/>
      <c r="F3078" s="99"/>
      <c r="G3078" s="99"/>
      <c r="H3078" s="21"/>
      <c r="I3078" s="86"/>
      <c r="J3078" s="21"/>
      <c r="K3078" s="5" t="str">
        <f>IF(AND(LEN(H3078)=0, LEN(I3078)=0), "", IF(AND(LEN(H3078)&gt;0, LEN(I3078)=0), "BLANCO", IFERROR(VLOOKUP(I3078, BasedatosM9!A:B, 2, FALSE), "BLANCO")))</f>
        <v/>
      </c>
    </row>
    <row r="3079" spans="1:11" ht="14.4">
      <c r="A3079" s="21"/>
      <c r="B3079" s="86"/>
      <c r="C3079" s="98"/>
      <c r="D3079" s="21"/>
      <c r="E3079" s="86"/>
      <c r="F3079" s="99"/>
      <c r="G3079" s="99"/>
      <c r="H3079" s="21"/>
      <c r="I3079" s="86"/>
      <c r="J3079" s="21"/>
      <c r="K3079" s="5" t="str">
        <f>IF(AND(LEN(H3079)=0, LEN(I3079)=0), "", IF(AND(LEN(H3079)&gt;0, LEN(I3079)=0), "BLANCO", IFERROR(VLOOKUP(I3079, BasedatosM9!A:B, 2, FALSE), "BLANCO")))</f>
        <v/>
      </c>
    </row>
    <row r="3080" spans="1:11" ht="14.4">
      <c r="A3080" s="21"/>
      <c r="B3080" s="86"/>
      <c r="C3080" s="98"/>
      <c r="D3080" s="21"/>
      <c r="E3080" s="86"/>
      <c r="F3080" s="99"/>
      <c r="G3080" s="99"/>
      <c r="H3080" s="21"/>
      <c r="I3080" s="86"/>
      <c r="J3080" s="21"/>
      <c r="K3080" s="5" t="str">
        <f>IF(AND(LEN(H3080)=0, LEN(I3080)=0), "", IF(AND(LEN(H3080)&gt;0, LEN(I3080)=0), "BLANCO", IFERROR(VLOOKUP(I3080, BasedatosM9!A:B, 2, FALSE), "BLANCO")))</f>
        <v/>
      </c>
    </row>
    <row r="3081" spans="1:11" ht="14.4">
      <c r="A3081" s="21"/>
      <c r="B3081" s="86"/>
      <c r="C3081" s="98"/>
      <c r="D3081" s="21"/>
      <c r="E3081" s="86"/>
      <c r="F3081" s="99"/>
      <c r="G3081" s="99"/>
      <c r="H3081" s="21"/>
      <c r="I3081" s="86"/>
      <c r="J3081" s="21"/>
      <c r="K3081" s="5" t="str">
        <f>IF(AND(LEN(H3081)=0, LEN(I3081)=0), "", IF(AND(LEN(H3081)&gt;0, LEN(I3081)=0), "BLANCO", IFERROR(VLOOKUP(I3081, BasedatosM9!A:B, 2, FALSE), "BLANCO")))</f>
        <v/>
      </c>
    </row>
    <row r="3082" spans="1:11" ht="14.4">
      <c r="A3082" s="21"/>
      <c r="B3082" s="86"/>
      <c r="C3082" s="98"/>
      <c r="D3082" s="21"/>
      <c r="E3082" s="86"/>
      <c r="F3082" s="99"/>
      <c r="G3082" s="99"/>
      <c r="H3082" s="21"/>
      <c r="I3082" s="86"/>
      <c r="J3082" s="21"/>
      <c r="K3082" s="5" t="str">
        <f>IF(AND(LEN(H3082)=0, LEN(I3082)=0), "", IF(AND(LEN(H3082)&gt;0, LEN(I3082)=0), "BLANCO", IFERROR(VLOOKUP(I3082, BasedatosM9!A:B, 2, FALSE), "BLANCO")))</f>
        <v/>
      </c>
    </row>
    <row r="3083" spans="1:11" ht="14.4">
      <c r="A3083" s="21"/>
      <c r="B3083" s="86"/>
      <c r="C3083" s="98"/>
      <c r="D3083" s="21"/>
      <c r="E3083" s="86"/>
      <c r="F3083" s="99"/>
      <c r="G3083" s="99"/>
      <c r="H3083" s="21"/>
      <c r="I3083" s="86"/>
      <c r="J3083" s="21"/>
      <c r="K3083" s="5" t="str">
        <f>IF(AND(LEN(H3083)=0, LEN(I3083)=0), "", IF(AND(LEN(H3083)&gt;0, LEN(I3083)=0), "BLANCO", IFERROR(VLOOKUP(I3083, BasedatosM9!A:B, 2, FALSE), "BLANCO")))</f>
        <v/>
      </c>
    </row>
    <row r="3084" spans="1:11" ht="14.4">
      <c r="A3084" s="21"/>
      <c r="B3084" s="86"/>
      <c r="C3084" s="98"/>
      <c r="D3084" s="21"/>
      <c r="E3084" s="86"/>
      <c r="F3084" s="99"/>
      <c r="G3084" s="99"/>
      <c r="H3084" s="21"/>
      <c r="I3084" s="21"/>
      <c r="J3084" s="21"/>
      <c r="K3084" s="5" t="str">
        <f>IF(AND(LEN(H3084)=0, LEN(I3084)=0), "", IF(AND(LEN(H3084)&gt;0, LEN(I3084)=0), "BLANCO", IFERROR(VLOOKUP(I3084, BasedatosM9!A:B, 2, FALSE), "BLANCO")))</f>
        <v/>
      </c>
    </row>
    <row r="3085" spans="1:11" ht="14.4">
      <c r="A3085" s="21"/>
      <c r="B3085" s="86"/>
      <c r="C3085" s="98"/>
      <c r="D3085" s="21"/>
      <c r="E3085" s="86"/>
      <c r="F3085" s="99"/>
      <c r="G3085" s="99"/>
      <c r="H3085" s="21"/>
      <c r="I3085" s="21"/>
      <c r="J3085" s="21"/>
      <c r="K3085" s="5" t="str">
        <f>IF(AND(LEN(H3085)=0, LEN(I3085)=0), "", IF(AND(LEN(H3085)&gt;0, LEN(I3085)=0), "BLANCO", IFERROR(VLOOKUP(I3085, BasedatosM9!A:B, 2, FALSE), "BLANCO")))</f>
        <v/>
      </c>
    </row>
    <row r="3086" spans="1:11" ht="14.4">
      <c r="A3086" s="21"/>
      <c r="B3086" s="86"/>
      <c r="C3086" s="98"/>
      <c r="D3086" s="21"/>
      <c r="E3086" s="86"/>
      <c r="F3086" s="99"/>
      <c r="G3086" s="99"/>
      <c r="H3086" s="21"/>
      <c r="I3086" s="21"/>
      <c r="J3086" s="21"/>
      <c r="K3086" s="5" t="str">
        <f>IF(AND(LEN(H3086)=0, LEN(I3086)=0), "", IF(AND(LEN(H3086)&gt;0, LEN(I3086)=0), "BLANCO", IFERROR(VLOOKUP(I3086, BasedatosM9!A:B, 2, FALSE), "BLANCO")))</f>
        <v/>
      </c>
    </row>
    <row r="3087" spans="1:11" ht="14.4">
      <c r="A3087" s="21"/>
      <c r="B3087" s="86"/>
      <c r="C3087" s="98"/>
      <c r="D3087" s="21"/>
      <c r="E3087" s="86"/>
      <c r="F3087" s="99"/>
      <c r="G3087" s="99"/>
      <c r="H3087" s="21"/>
      <c r="I3087" s="21"/>
      <c r="J3087" s="21"/>
      <c r="K3087" s="5" t="str">
        <f>IF(AND(LEN(H3087)=0, LEN(I3087)=0), "", IF(AND(LEN(H3087)&gt;0, LEN(I3087)=0), "BLANCO", IFERROR(VLOOKUP(I3087, BasedatosM9!A:B, 2, FALSE), "BLANCO")))</f>
        <v/>
      </c>
    </row>
    <row r="3088" spans="1:11" ht="14.4">
      <c r="A3088" s="21"/>
      <c r="B3088" s="86"/>
      <c r="C3088" s="98"/>
      <c r="D3088" s="21"/>
      <c r="E3088" s="86"/>
      <c r="F3088" s="99"/>
      <c r="G3088" s="99"/>
      <c r="H3088" s="21"/>
      <c r="I3088" s="21"/>
      <c r="J3088" s="21"/>
      <c r="K3088" s="5" t="str">
        <f>IF(AND(LEN(H3088)=0, LEN(I3088)=0), "", IF(AND(LEN(H3088)&gt;0, LEN(I3088)=0), "BLANCO", IFERROR(VLOOKUP(I3088, BasedatosM9!A:B, 2, FALSE), "BLANCO")))</f>
        <v/>
      </c>
    </row>
    <row r="3089" spans="1:11" ht="14.4">
      <c r="A3089" s="21"/>
      <c r="B3089" s="86"/>
      <c r="C3089" s="98"/>
      <c r="D3089" s="21"/>
      <c r="E3089" s="86"/>
      <c r="F3089" s="99"/>
      <c r="G3089" s="99"/>
      <c r="H3089" s="21"/>
      <c r="I3089" s="86"/>
      <c r="J3089" s="21"/>
      <c r="K3089" s="5" t="str">
        <f>IF(AND(LEN(H3089)=0, LEN(I3089)=0), "", IF(AND(LEN(H3089)&gt;0, LEN(I3089)=0), "BLANCO", IFERROR(VLOOKUP(I3089, BasedatosM9!A:B, 2, FALSE), "BLANCO")))</f>
        <v/>
      </c>
    </row>
    <row r="3090" spans="1:11" ht="14.4">
      <c r="A3090" s="21"/>
      <c r="B3090" s="86"/>
      <c r="C3090" s="98"/>
      <c r="D3090" s="21"/>
      <c r="E3090" s="86"/>
      <c r="F3090" s="99"/>
      <c r="G3090" s="99"/>
      <c r="H3090" s="21"/>
      <c r="I3090" s="86"/>
      <c r="J3090" s="21"/>
      <c r="K3090" s="5" t="str">
        <f>IF(AND(LEN(H3090)=0, LEN(I3090)=0), "", IF(AND(LEN(H3090)&gt;0, LEN(I3090)=0), "BLANCO", IFERROR(VLOOKUP(I3090, BasedatosM9!A:B, 2, FALSE), "BLANCO")))</f>
        <v/>
      </c>
    </row>
    <row r="3091" spans="1:11" ht="14.4">
      <c r="A3091" s="21"/>
      <c r="B3091" s="86"/>
      <c r="C3091" s="98"/>
      <c r="D3091" s="21"/>
      <c r="E3091" s="86"/>
      <c r="F3091" s="99"/>
      <c r="G3091" s="99"/>
      <c r="H3091" s="21"/>
      <c r="I3091" s="21"/>
      <c r="J3091" s="21"/>
      <c r="K3091" s="5" t="str">
        <f>IF(AND(LEN(H3091)=0, LEN(I3091)=0), "", IF(AND(LEN(H3091)&gt;0, LEN(I3091)=0), "BLANCO", IFERROR(VLOOKUP(I3091, BasedatosM9!A:B, 2, FALSE), "BLANCO")))</f>
        <v/>
      </c>
    </row>
    <row r="3092" spans="1:11" ht="14.4">
      <c r="A3092" s="21"/>
      <c r="B3092" s="86"/>
      <c r="C3092" s="98"/>
      <c r="D3092" s="21"/>
      <c r="E3092" s="86"/>
      <c r="F3092" s="99"/>
      <c r="G3092" s="99"/>
      <c r="H3092" s="21"/>
      <c r="I3092" s="21"/>
      <c r="J3092" s="21"/>
      <c r="K3092" s="5" t="str">
        <f>IF(AND(LEN(H3092)=0, LEN(I3092)=0), "", IF(AND(LEN(H3092)&gt;0, LEN(I3092)=0), "BLANCO", IFERROR(VLOOKUP(I3092, BasedatosM9!A:B, 2, FALSE), "BLANCO")))</f>
        <v/>
      </c>
    </row>
    <row r="3093" spans="1:11" ht="14.4">
      <c r="A3093" s="21"/>
      <c r="B3093" s="86"/>
      <c r="C3093" s="98"/>
      <c r="D3093" s="21"/>
      <c r="E3093" s="86"/>
      <c r="F3093" s="99"/>
      <c r="G3093" s="99"/>
      <c r="H3093" s="21"/>
      <c r="I3093" s="86"/>
      <c r="J3093" s="21"/>
      <c r="K3093" s="5" t="str">
        <f>IF(AND(LEN(H3093)=0, LEN(I3093)=0), "", IF(AND(LEN(H3093)&gt;0, LEN(I3093)=0), "BLANCO", IFERROR(VLOOKUP(I3093, BasedatosM9!A:B, 2, FALSE), "BLANCO")))</f>
        <v/>
      </c>
    </row>
    <row r="3094" spans="1:11" ht="14.4">
      <c r="A3094" s="21"/>
      <c r="B3094" s="86"/>
      <c r="C3094" s="98"/>
      <c r="D3094" s="21"/>
      <c r="E3094" s="86"/>
      <c r="F3094" s="99"/>
      <c r="G3094" s="99"/>
      <c r="H3094" s="21"/>
      <c r="I3094" s="86"/>
      <c r="J3094" s="21"/>
      <c r="K3094" s="5" t="str">
        <f>IF(AND(LEN(H3094)=0, LEN(I3094)=0), "", IF(AND(LEN(H3094)&gt;0, LEN(I3094)=0), "BLANCO", IFERROR(VLOOKUP(I3094, BasedatosM9!A:B, 2, FALSE), "BLANCO")))</f>
        <v/>
      </c>
    </row>
    <row r="3095" spans="1:11" ht="14.4">
      <c r="A3095" s="21"/>
      <c r="B3095" s="86"/>
      <c r="C3095" s="98"/>
      <c r="D3095" s="21"/>
      <c r="E3095" s="86"/>
      <c r="F3095" s="99"/>
      <c r="G3095" s="99"/>
      <c r="H3095" s="21"/>
      <c r="I3095" s="21"/>
      <c r="J3095" s="21"/>
      <c r="K3095" s="5" t="str">
        <f>IF(AND(LEN(H3095)=0, LEN(I3095)=0), "", IF(AND(LEN(H3095)&gt;0, LEN(I3095)=0), "BLANCO", IFERROR(VLOOKUP(I3095, BasedatosM9!A:B, 2, FALSE), "BLANCO")))</f>
        <v/>
      </c>
    </row>
    <row r="3096" spans="1:11" ht="14.4">
      <c r="A3096" s="21"/>
      <c r="B3096" s="86"/>
      <c r="C3096" s="98"/>
      <c r="D3096" s="21"/>
      <c r="E3096" s="86"/>
      <c r="F3096" s="99"/>
      <c r="G3096" s="99"/>
      <c r="H3096" s="21"/>
      <c r="I3096" s="86"/>
      <c r="J3096" s="21"/>
      <c r="K3096" s="5" t="str">
        <f>IF(AND(LEN(H3096)=0, LEN(I3096)=0), "", IF(AND(LEN(H3096)&gt;0, LEN(I3096)=0), "BLANCO", IFERROR(VLOOKUP(I3096, BasedatosM9!A:B, 2, FALSE), "BLANCO")))</f>
        <v/>
      </c>
    </row>
    <row r="3097" spans="1:11" ht="14.4">
      <c r="A3097" s="21"/>
      <c r="B3097" s="86"/>
      <c r="C3097" s="98"/>
      <c r="D3097" s="21"/>
      <c r="E3097" s="86"/>
      <c r="F3097" s="99"/>
      <c r="G3097" s="99"/>
      <c r="H3097" s="21"/>
      <c r="I3097" s="86"/>
      <c r="J3097" s="21"/>
      <c r="K3097" s="5" t="str">
        <f>IF(AND(LEN(H3097)=0, LEN(I3097)=0), "", IF(AND(LEN(H3097)&gt;0, LEN(I3097)=0), "BLANCO", IFERROR(VLOOKUP(I3097, BasedatosM9!A:B, 2, FALSE), "BLANCO")))</f>
        <v/>
      </c>
    </row>
    <row r="3098" spans="1:11" ht="14.4">
      <c r="A3098" s="21"/>
      <c r="B3098" s="86"/>
      <c r="C3098" s="98"/>
      <c r="D3098" s="21"/>
      <c r="E3098" s="86"/>
      <c r="F3098" s="99"/>
      <c r="G3098" s="99"/>
      <c r="H3098" s="21"/>
      <c r="I3098" s="21"/>
      <c r="J3098" s="21"/>
      <c r="K3098" s="5" t="str">
        <f>IF(AND(LEN(H3098)=0, LEN(I3098)=0), "", IF(AND(LEN(H3098)&gt;0, LEN(I3098)=0), "BLANCO", IFERROR(VLOOKUP(I3098, BasedatosM9!A:B, 2, FALSE), "BLANCO")))</f>
        <v/>
      </c>
    </row>
    <row r="3099" spans="1:11" ht="14.4">
      <c r="A3099" s="21"/>
      <c r="B3099" s="86"/>
      <c r="C3099" s="98"/>
      <c r="D3099" s="21"/>
      <c r="E3099" s="86"/>
      <c r="F3099" s="99"/>
      <c r="G3099" s="99"/>
      <c r="H3099" s="21"/>
      <c r="I3099" s="86"/>
      <c r="J3099" s="21"/>
      <c r="K3099" s="5" t="str">
        <f>IF(AND(LEN(H3099)=0, LEN(I3099)=0), "", IF(AND(LEN(H3099)&gt;0, LEN(I3099)=0), "BLANCO", IFERROR(VLOOKUP(I3099, BasedatosM9!A:B, 2, FALSE), "BLANCO")))</f>
        <v/>
      </c>
    </row>
    <row r="3100" spans="1:11" ht="14.4">
      <c r="A3100" s="21"/>
      <c r="B3100" s="86"/>
      <c r="C3100" s="98"/>
      <c r="D3100" s="21"/>
      <c r="E3100" s="86"/>
      <c r="F3100" s="99"/>
      <c r="G3100" s="99"/>
      <c r="H3100" s="21"/>
      <c r="I3100" s="86"/>
      <c r="J3100" s="21"/>
      <c r="K3100" s="5" t="str">
        <f>IF(AND(LEN(H3100)=0, LEN(I3100)=0), "", IF(AND(LEN(H3100)&gt;0, LEN(I3100)=0), "BLANCO", IFERROR(VLOOKUP(I3100, BasedatosM9!A:B, 2, FALSE), "BLANCO")))</f>
        <v/>
      </c>
    </row>
    <row r="3101" spans="1:11" ht="14.4">
      <c r="A3101" s="21"/>
      <c r="B3101" s="86"/>
      <c r="C3101" s="98"/>
      <c r="D3101" s="21"/>
      <c r="E3101" s="86"/>
      <c r="F3101" s="99"/>
      <c r="G3101" s="99"/>
      <c r="H3101" s="21"/>
      <c r="I3101" s="21"/>
      <c r="J3101" s="21"/>
      <c r="K3101" s="5" t="str">
        <f>IF(AND(LEN(H3101)=0, LEN(I3101)=0), "", IF(AND(LEN(H3101)&gt;0, LEN(I3101)=0), "BLANCO", IFERROR(VLOOKUP(I3101, BasedatosM9!A:B, 2, FALSE), "BLANCO")))</f>
        <v/>
      </c>
    </row>
    <row r="3102" spans="1:11" ht="14.4">
      <c r="A3102" s="21"/>
      <c r="B3102" s="86"/>
      <c r="C3102" s="98"/>
      <c r="D3102" s="21"/>
      <c r="E3102" s="86"/>
      <c r="F3102" s="99"/>
      <c r="G3102" s="99"/>
      <c r="H3102" s="21"/>
      <c r="I3102" s="86"/>
      <c r="J3102" s="21"/>
      <c r="K3102" s="5" t="str">
        <f>IF(AND(LEN(H3102)=0, LEN(I3102)=0), "", IF(AND(LEN(H3102)&gt;0, LEN(I3102)=0), "BLANCO", IFERROR(VLOOKUP(I3102, BasedatosM9!A:B, 2, FALSE), "BLANCO")))</f>
        <v/>
      </c>
    </row>
    <row r="3103" spans="1:11" ht="14.4">
      <c r="A3103" s="21"/>
      <c r="B3103" s="86"/>
      <c r="C3103" s="98"/>
      <c r="D3103" s="21"/>
      <c r="E3103" s="86"/>
      <c r="F3103" s="99"/>
      <c r="G3103" s="99"/>
      <c r="H3103" s="21"/>
      <c r="I3103" s="86"/>
      <c r="J3103" s="21"/>
      <c r="K3103" s="5" t="str">
        <f>IF(AND(LEN(H3103)=0, LEN(I3103)=0), "", IF(AND(LEN(H3103)&gt;0, LEN(I3103)=0), "BLANCO", IFERROR(VLOOKUP(I3103, BasedatosM9!A:B, 2, FALSE), "BLANCO")))</f>
        <v/>
      </c>
    </row>
    <row r="3104" spans="1:11" ht="14.4">
      <c r="A3104" s="21"/>
      <c r="B3104" s="86"/>
      <c r="C3104" s="98"/>
      <c r="D3104" s="21"/>
      <c r="E3104" s="86"/>
      <c r="F3104" s="99"/>
      <c r="G3104" s="99"/>
      <c r="H3104" s="21"/>
      <c r="I3104" s="86"/>
      <c r="J3104" s="21"/>
      <c r="K3104" s="5" t="str">
        <f>IF(AND(LEN(H3104)=0, LEN(I3104)=0), "", IF(AND(LEN(H3104)&gt;0, LEN(I3104)=0), "BLANCO", IFERROR(VLOOKUP(I3104, BasedatosM9!A:B, 2, FALSE), "BLANCO")))</f>
        <v/>
      </c>
    </row>
    <row r="3105" spans="1:11" ht="14.4">
      <c r="A3105" s="21"/>
      <c r="B3105" s="86"/>
      <c r="C3105" s="98"/>
      <c r="D3105" s="21"/>
      <c r="E3105" s="86"/>
      <c r="F3105" s="99"/>
      <c r="G3105" s="99"/>
      <c r="H3105" s="21"/>
      <c r="I3105" s="21"/>
      <c r="J3105" s="21"/>
      <c r="K3105" s="5" t="str">
        <f>IF(AND(LEN(H3105)=0, LEN(I3105)=0), "", IF(AND(LEN(H3105)&gt;0, LEN(I3105)=0), "BLANCO", IFERROR(VLOOKUP(I3105, BasedatosM9!A:B, 2, FALSE), "BLANCO")))</f>
        <v/>
      </c>
    </row>
    <row r="3106" spans="1:11" ht="14.4">
      <c r="A3106" s="21"/>
      <c r="B3106" s="86"/>
      <c r="C3106" s="98"/>
      <c r="D3106" s="21"/>
      <c r="E3106" s="86"/>
      <c r="F3106" s="99"/>
      <c r="G3106" s="99"/>
      <c r="H3106" s="21"/>
      <c r="I3106" s="21"/>
      <c r="J3106" s="21"/>
      <c r="K3106" s="5" t="str">
        <f>IF(AND(LEN(H3106)=0, LEN(I3106)=0), "", IF(AND(LEN(H3106)&gt;0, LEN(I3106)=0), "BLANCO", IFERROR(VLOOKUP(I3106, BasedatosM9!A:B, 2, FALSE), "BLANCO")))</f>
        <v/>
      </c>
    </row>
    <row r="3107" spans="1:11" ht="14.4">
      <c r="A3107" s="21"/>
      <c r="B3107" s="86"/>
      <c r="C3107" s="98"/>
      <c r="D3107" s="21"/>
      <c r="E3107" s="86"/>
      <c r="F3107" s="99"/>
      <c r="G3107" s="99"/>
      <c r="H3107" s="21"/>
      <c r="I3107" s="21"/>
      <c r="J3107" s="21"/>
      <c r="K3107" s="5" t="str">
        <f>IF(AND(LEN(H3107)=0, LEN(I3107)=0), "", IF(AND(LEN(H3107)&gt;0, LEN(I3107)=0), "BLANCO", IFERROR(VLOOKUP(I3107, BasedatosM9!A:B, 2, FALSE), "BLANCO")))</f>
        <v/>
      </c>
    </row>
    <row r="3108" spans="1:11" ht="14.4">
      <c r="A3108" s="21"/>
      <c r="B3108" s="86"/>
      <c r="C3108" s="98"/>
      <c r="D3108" s="21"/>
      <c r="E3108" s="86"/>
      <c r="F3108" s="99"/>
      <c r="G3108" s="99"/>
      <c r="H3108" s="21"/>
      <c r="I3108" s="21"/>
      <c r="J3108" s="21"/>
      <c r="K3108" s="5" t="str">
        <f>IF(AND(LEN(H3108)=0, LEN(I3108)=0), "", IF(AND(LEN(H3108)&gt;0, LEN(I3108)=0), "BLANCO", IFERROR(VLOOKUP(I3108, BasedatosM9!A:B, 2, FALSE), "BLANCO")))</f>
        <v/>
      </c>
    </row>
    <row r="3109" spans="1:11" ht="14.4">
      <c r="A3109" s="21"/>
      <c r="B3109" s="86"/>
      <c r="C3109" s="98"/>
      <c r="D3109" s="21"/>
      <c r="E3109" s="86"/>
      <c r="F3109" s="99"/>
      <c r="G3109" s="99"/>
      <c r="H3109" s="21"/>
      <c r="I3109" s="21"/>
      <c r="J3109" s="21"/>
      <c r="K3109" s="5" t="str">
        <f>IF(AND(LEN(H3109)=0, LEN(I3109)=0), "", IF(AND(LEN(H3109)&gt;0, LEN(I3109)=0), "BLANCO", IFERROR(VLOOKUP(I3109, BasedatosM9!A:B, 2, FALSE), "BLANCO")))</f>
        <v/>
      </c>
    </row>
    <row r="3110" spans="1:11" ht="14.4">
      <c r="A3110" s="21"/>
      <c r="B3110" s="86"/>
      <c r="C3110" s="98"/>
      <c r="D3110" s="21"/>
      <c r="E3110" s="86"/>
      <c r="F3110" s="99"/>
      <c r="G3110" s="99"/>
      <c r="H3110" s="21"/>
      <c r="I3110" s="21"/>
      <c r="J3110" s="21"/>
      <c r="K3110" s="5" t="str">
        <f>IF(AND(LEN(H3110)=0, LEN(I3110)=0), "", IF(AND(LEN(H3110)&gt;0, LEN(I3110)=0), "BLANCO", IFERROR(VLOOKUP(I3110, BasedatosM9!A:B, 2, FALSE), "BLANCO")))</f>
        <v/>
      </c>
    </row>
    <row r="3111" spans="1:11" ht="14.4">
      <c r="A3111" s="21"/>
      <c r="B3111" s="86"/>
      <c r="C3111" s="98"/>
      <c r="D3111" s="21"/>
      <c r="E3111" s="86"/>
      <c r="F3111" s="99"/>
      <c r="G3111" s="99"/>
      <c r="H3111" s="21"/>
      <c r="I3111" s="86"/>
      <c r="J3111" s="21"/>
      <c r="K3111" s="5" t="str">
        <f>IF(AND(LEN(H3111)=0, LEN(I3111)=0), "", IF(AND(LEN(H3111)&gt;0, LEN(I3111)=0), "BLANCO", IFERROR(VLOOKUP(I3111, BasedatosM9!A:B, 2, FALSE), "BLANCO")))</f>
        <v/>
      </c>
    </row>
    <row r="3112" spans="1:11" ht="14.4">
      <c r="A3112" s="21"/>
      <c r="B3112" s="86"/>
      <c r="C3112" s="98"/>
      <c r="D3112" s="21"/>
      <c r="E3112" s="86"/>
      <c r="F3112" s="99"/>
      <c r="G3112" s="99"/>
      <c r="H3112" s="21"/>
      <c r="I3112" s="86"/>
      <c r="J3112" s="21"/>
      <c r="K3112" s="5" t="str">
        <f>IF(AND(LEN(H3112)=0, LEN(I3112)=0), "", IF(AND(LEN(H3112)&gt;0, LEN(I3112)=0), "BLANCO", IFERROR(VLOOKUP(I3112, BasedatosM9!A:B, 2, FALSE), "BLANCO")))</f>
        <v/>
      </c>
    </row>
    <row r="3113" spans="1:11" ht="14.4">
      <c r="A3113" s="21"/>
      <c r="B3113" s="86"/>
      <c r="C3113" s="98"/>
      <c r="D3113" s="21"/>
      <c r="E3113" s="86"/>
      <c r="F3113" s="99"/>
      <c r="G3113" s="99"/>
      <c r="H3113" s="21"/>
      <c r="I3113" s="21"/>
      <c r="J3113" s="21"/>
      <c r="K3113" s="5" t="str">
        <f>IF(AND(LEN(H3113)=0, LEN(I3113)=0), "", IF(AND(LEN(H3113)&gt;0, LEN(I3113)=0), "BLANCO", IFERROR(VLOOKUP(I3113, BasedatosM9!A:B, 2, FALSE), "BLANCO")))</f>
        <v/>
      </c>
    </row>
    <row r="3114" spans="1:11" ht="14.4">
      <c r="A3114" s="21"/>
      <c r="B3114" s="86"/>
      <c r="C3114" s="98"/>
      <c r="D3114" s="21"/>
      <c r="E3114" s="86"/>
      <c r="F3114" s="99"/>
      <c r="G3114" s="99"/>
      <c r="H3114" s="21"/>
      <c r="I3114" s="21"/>
      <c r="J3114" s="21"/>
      <c r="K3114" s="5" t="str">
        <f>IF(AND(LEN(H3114)=0, LEN(I3114)=0), "", IF(AND(LEN(H3114)&gt;0, LEN(I3114)=0), "BLANCO", IFERROR(VLOOKUP(I3114, BasedatosM9!A:B, 2, FALSE), "BLANCO")))</f>
        <v/>
      </c>
    </row>
    <row r="3115" spans="1:11" ht="14.4">
      <c r="A3115" s="21"/>
      <c r="B3115" s="86"/>
      <c r="C3115" s="98"/>
      <c r="D3115" s="21"/>
      <c r="E3115" s="86"/>
      <c r="F3115" s="99"/>
      <c r="G3115" s="99"/>
      <c r="H3115" s="21"/>
      <c r="I3115" s="86"/>
      <c r="J3115" s="21"/>
      <c r="K3115" s="5" t="str">
        <f>IF(AND(LEN(H3115)=0, LEN(I3115)=0), "", IF(AND(LEN(H3115)&gt;0, LEN(I3115)=0), "BLANCO", IFERROR(VLOOKUP(I3115, BasedatosM9!A:B, 2, FALSE), "BLANCO")))</f>
        <v/>
      </c>
    </row>
    <row r="3116" spans="1:11" ht="14.4">
      <c r="A3116" s="21"/>
      <c r="B3116" s="86"/>
      <c r="C3116" s="98"/>
      <c r="D3116" s="21"/>
      <c r="E3116" s="86"/>
      <c r="F3116" s="99"/>
      <c r="G3116" s="99"/>
      <c r="H3116" s="21"/>
      <c r="I3116" s="86"/>
      <c r="J3116" s="21"/>
      <c r="K3116" s="5" t="str">
        <f>IF(AND(LEN(H3116)=0, LEN(I3116)=0), "", IF(AND(LEN(H3116)&gt;0, LEN(I3116)=0), "BLANCO", IFERROR(VLOOKUP(I3116, BasedatosM9!A:B, 2, FALSE), "BLANCO")))</f>
        <v/>
      </c>
    </row>
    <row r="3117" spans="1:11" ht="14.4">
      <c r="A3117" s="21"/>
      <c r="B3117" s="86"/>
      <c r="C3117" s="98"/>
      <c r="D3117" s="21"/>
      <c r="E3117" s="86"/>
      <c r="F3117" s="99"/>
      <c r="G3117" s="99"/>
      <c r="H3117" s="21"/>
      <c r="I3117" s="86"/>
      <c r="J3117" s="21"/>
      <c r="K3117" s="5" t="str">
        <f>IF(AND(LEN(H3117)=0, LEN(I3117)=0), "", IF(AND(LEN(H3117)&gt;0, LEN(I3117)=0), "BLANCO", IFERROR(VLOOKUP(I3117, BasedatosM9!A:B, 2, FALSE), "BLANCO")))</f>
        <v/>
      </c>
    </row>
    <row r="3118" spans="1:11" ht="14.4">
      <c r="A3118" s="21"/>
      <c r="B3118" s="86"/>
      <c r="C3118" s="98"/>
      <c r="D3118" s="21"/>
      <c r="E3118" s="86"/>
      <c r="F3118" s="99"/>
      <c r="G3118" s="99"/>
      <c r="H3118" s="21"/>
      <c r="I3118" s="86"/>
      <c r="J3118" s="21"/>
      <c r="K3118" s="5" t="str">
        <f>IF(AND(LEN(H3118)=0, LEN(I3118)=0), "", IF(AND(LEN(H3118)&gt;0, LEN(I3118)=0), "BLANCO", IFERROR(VLOOKUP(I3118, BasedatosM9!A:B, 2, FALSE), "BLANCO")))</f>
        <v/>
      </c>
    </row>
    <row r="3119" spans="1:11" ht="14.4">
      <c r="A3119" s="21"/>
      <c r="B3119" s="86"/>
      <c r="C3119" s="98"/>
      <c r="D3119" s="21"/>
      <c r="E3119" s="86"/>
      <c r="F3119" s="99"/>
      <c r="G3119" s="99"/>
      <c r="H3119" s="21"/>
      <c r="I3119" s="21"/>
      <c r="J3119" s="21"/>
      <c r="K3119" s="5" t="str">
        <f>IF(AND(LEN(H3119)=0, LEN(I3119)=0), "", IF(AND(LEN(H3119)&gt;0, LEN(I3119)=0), "BLANCO", IFERROR(VLOOKUP(I3119, BasedatosM9!A:B, 2, FALSE), "BLANCO")))</f>
        <v/>
      </c>
    </row>
    <row r="3120" spans="1:11" ht="14.4">
      <c r="A3120" s="21"/>
      <c r="B3120" s="86"/>
      <c r="C3120" s="98"/>
      <c r="D3120" s="21"/>
      <c r="E3120" s="86"/>
      <c r="F3120" s="99"/>
      <c r="G3120" s="99"/>
      <c r="H3120" s="21"/>
      <c r="I3120" s="21"/>
      <c r="J3120" s="21"/>
      <c r="K3120" s="5" t="str">
        <f>IF(AND(LEN(H3120)=0, LEN(I3120)=0), "", IF(AND(LEN(H3120)&gt;0, LEN(I3120)=0), "BLANCO", IFERROR(VLOOKUP(I3120, BasedatosM9!A:B, 2, FALSE), "BLANCO")))</f>
        <v/>
      </c>
    </row>
    <row r="3121" spans="1:11" ht="14.4">
      <c r="A3121" s="21"/>
      <c r="B3121" s="86"/>
      <c r="C3121" s="98"/>
      <c r="D3121" s="21"/>
      <c r="E3121" s="86"/>
      <c r="F3121" s="99"/>
      <c r="G3121" s="99"/>
      <c r="H3121" s="21"/>
      <c r="I3121" s="86"/>
      <c r="J3121" s="21"/>
      <c r="K3121" s="5" t="str">
        <f>IF(AND(LEN(H3121)=0, LEN(I3121)=0), "", IF(AND(LEN(H3121)&gt;0, LEN(I3121)=0), "BLANCO", IFERROR(VLOOKUP(I3121, BasedatosM9!A:B, 2, FALSE), "BLANCO")))</f>
        <v/>
      </c>
    </row>
    <row r="3122" spans="1:11" ht="14.4">
      <c r="A3122" s="21"/>
      <c r="B3122" s="86"/>
      <c r="C3122" s="98"/>
      <c r="D3122" s="21"/>
      <c r="E3122" s="86"/>
      <c r="F3122" s="99"/>
      <c r="G3122" s="99"/>
      <c r="H3122" s="21"/>
      <c r="I3122" s="21"/>
      <c r="J3122" s="21"/>
      <c r="K3122" s="5" t="str">
        <f>IF(AND(LEN(H3122)=0, LEN(I3122)=0), "", IF(AND(LEN(H3122)&gt;0, LEN(I3122)=0), "BLANCO", IFERROR(VLOOKUP(I3122, BasedatosM9!A:B, 2, FALSE), "BLANCO")))</f>
        <v/>
      </c>
    </row>
    <row r="3123" spans="1:11" ht="14.4">
      <c r="A3123" s="21"/>
      <c r="B3123" s="86"/>
      <c r="C3123" s="98"/>
      <c r="D3123" s="21"/>
      <c r="E3123" s="86"/>
      <c r="F3123" s="99"/>
      <c r="G3123" s="99"/>
      <c r="H3123" s="21"/>
      <c r="I3123" s="21"/>
      <c r="J3123" s="21"/>
      <c r="K3123" s="5" t="str">
        <f>IF(AND(LEN(H3123)=0, LEN(I3123)=0), "", IF(AND(LEN(H3123)&gt;0, LEN(I3123)=0), "BLANCO", IFERROR(VLOOKUP(I3123, BasedatosM9!A:B, 2, FALSE), "BLANCO")))</f>
        <v/>
      </c>
    </row>
    <row r="3124" spans="1:11" ht="14.4">
      <c r="A3124" s="21"/>
      <c r="B3124" s="86"/>
      <c r="C3124" s="98"/>
      <c r="D3124" s="21"/>
      <c r="E3124" s="86"/>
      <c r="F3124" s="99"/>
      <c r="G3124" s="99"/>
      <c r="H3124" s="21"/>
      <c r="I3124" s="21"/>
      <c r="J3124" s="21"/>
      <c r="K3124" s="5" t="str">
        <f>IF(AND(LEN(H3124)=0, LEN(I3124)=0), "", IF(AND(LEN(H3124)&gt;0, LEN(I3124)=0), "BLANCO", IFERROR(VLOOKUP(I3124, BasedatosM9!A:B, 2, FALSE), "BLANCO")))</f>
        <v/>
      </c>
    </row>
    <row r="3125" spans="1:11" ht="14.4">
      <c r="A3125" s="21"/>
      <c r="B3125" s="86"/>
      <c r="C3125" s="98"/>
      <c r="D3125" s="21"/>
      <c r="E3125" s="86"/>
      <c r="F3125" s="99"/>
      <c r="G3125" s="99"/>
      <c r="H3125" s="21"/>
      <c r="I3125" s="21"/>
      <c r="J3125" s="21"/>
      <c r="K3125" s="5" t="str">
        <f>IF(AND(LEN(H3125)=0, LEN(I3125)=0), "", IF(AND(LEN(H3125)&gt;0, LEN(I3125)=0), "BLANCO", IFERROR(VLOOKUP(I3125, BasedatosM9!A:B, 2, FALSE), "BLANCO")))</f>
        <v/>
      </c>
    </row>
    <row r="3126" spans="1:11" ht="14.4">
      <c r="A3126" s="21"/>
      <c r="B3126" s="86"/>
      <c r="C3126" s="98"/>
      <c r="D3126" s="21"/>
      <c r="E3126" s="86"/>
      <c r="F3126" s="99"/>
      <c r="G3126" s="99"/>
      <c r="H3126" s="21"/>
      <c r="I3126" s="21"/>
      <c r="J3126" s="21"/>
      <c r="K3126" s="5" t="str">
        <f>IF(AND(LEN(H3126)=0, LEN(I3126)=0), "", IF(AND(LEN(H3126)&gt;0, LEN(I3126)=0), "BLANCO", IFERROR(VLOOKUP(I3126, BasedatosM9!A:B, 2, FALSE), "BLANCO")))</f>
        <v/>
      </c>
    </row>
    <row r="3127" spans="1:11" ht="14.4">
      <c r="A3127" s="21"/>
      <c r="B3127" s="86"/>
      <c r="C3127" s="98"/>
      <c r="D3127" s="21"/>
      <c r="E3127" s="86"/>
      <c r="F3127" s="99"/>
      <c r="G3127" s="99"/>
      <c r="H3127" s="21"/>
      <c r="I3127" s="21"/>
      <c r="J3127" s="21"/>
      <c r="K3127" s="5" t="str">
        <f>IF(AND(LEN(H3127)=0, LEN(I3127)=0), "", IF(AND(LEN(H3127)&gt;0, LEN(I3127)=0), "BLANCO", IFERROR(VLOOKUP(I3127, BasedatosM9!A:B, 2, FALSE), "BLANCO")))</f>
        <v/>
      </c>
    </row>
    <row r="3128" spans="1:11" ht="14.4">
      <c r="A3128" s="21"/>
      <c r="B3128" s="86"/>
      <c r="C3128" s="98"/>
      <c r="D3128" s="21"/>
      <c r="E3128" s="86"/>
      <c r="F3128" s="99"/>
      <c r="G3128" s="99"/>
      <c r="H3128" s="21"/>
      <c r="I3128" s="21"/>
      <c r="J3128" s="21"/>
      <c r="K3128" s="5" t="str">
        <f>IF(AND(LEN(H3128)=0, LEN(I3128)=0), "", IF(AND(LEN(H3128)&gt;0, LEN(I3128)=0), "BLANCO", IFERROR(VLOOKUP(I3128, BasedatosM9!A:B, 2, FALSE), "BLANCO")))</f>
        <v/>
      </c>
    </row>
    <row r="3129" spans="1:11" ht="14.4">
      <c r="A3129" s="21"/>
      <c r="B3129" s="86"/>
      <c r="C3129" s="98"/>
      <c r="D3129" s="21"/>
      <c r="E3129" s="86"/>
      <c r="F3129" s="99"/>
      <c r="G3129" s="99"/>
      <c r="H3129" s="21"/>
      <c r="I3129" s="21"/>
      <c r="J3129" s="21"/>
      <c r="K3129" s="5" t="str">
        <f>IF(AND(LEN(H3129)=0, LEN(I3129)=0), "", IF(AND(LEN(H3129)&gt;0, LEN(I3129)=0), "BLANCO", IFERROR(VLOOKUP(I3129, BasedatosM9!A:B, 2, FALSE), "BLANCO")))</f>
        <v/>
      </c>
    </row>
    <row r="3130" spans="1:11" ht="14.4">
      <c r="A3130" s="21"/>
      <c r="B3130" s="86"/>
      <c r="C3130" s="98"/>
      <c r="D3130" s="21"/>
      <c r="E3130" s="86"/>
      <c r="F3130" s="99"/>
      <c r="G3130" s="99"/>
      <c r="H3130" s="21"/>
      <c r="I3130" s="21"/>
      <c r="J3130" s="21"/>
      <c r="K3130" s="5" t="str">
        <f>IF(AND(LEN(H3130)=0, LEN(I3130)=0), "", IF(AND(LEN(H3130)&gt;0, LEN(I3130)=0), "BLANCO", IFERROR(VLOOKUP(I3130, BasedatosM9!A:B, 2, FALSE), "BLANCO")))</f>
        <v/>
      </c>
    </row>
    <row r="3131" spans="1:11" ht="14.4">
      <c r="A3131" s="21"/>
      <c r="B3131" s="86"/>
      <c r="C3131" s="98"/>
      <c r="D3131" s="21"/>
      <c r="E3131" s="86"/>
      <c r="F3131" s="99"/>
      <c r="G3131" s="99"/>
      <c r="H3131" s="21"/>
      <c r="I3131" s="21"/>
      <c r="J3131" s="21"/>
      <c r="K3131" s="5" t="str">
        <f>IF(AND(LEN(H3131)=0, LEN(I3131)=0), "", IF(AND(LEN(H3131)&gt;0, LEN(I3131)=0), "BLANCO", IFERROR(VLOOKUP(I3131, BasedatosM9!A:B, 2, FALSE), "BLANCO")))</f>
        <v/>
      </c>
    </row>
    <row r="3132" spans="1:11" ht="14.4">
      <c r="A3132" s="21"/>
      <c r="B3132" s="86"/>
      <c r="C3132" s="98"/>
      <c r="D3132" s="21"/>
      <c r="E3132" s="86"/>
      <c r="F3132" s="99"/>
      <c r="G3132" s="99"/>
      <c r="H3132" s="21"/>
      <c r="I3132" s="21"/>
      <c r="J3132" s="21"/>
      <c r="K3132" s="5" t="str">
        <f>IF(AND(LEN(H3132)=0, LEN(I3132)=0), "", IF(AND(LEN(H3132)&gt;0, LEN(I3132)=0), "BLANCO", IFERROR(VLOOKUP(I3132, BasedatosM9!A:B, 2, FALSE), "BLANCO")))</f>
        <v/>
      </c>
    </row>
    <row r="3133" spans="1:11" ht="14.4">
      <c r="A3133" s="21"/>
      <c r="B3133" s="86"/>
      <c r="C3133" s="98"/>
      <c r="D3133" s="21"/>
      <c r="E3133" s="86"/>
      <c r="F3133" s="99"/>
      <c r="G3133" s="99"/>
      <c r="H3133" s="21"/>
      <c r="I3133" s="86"/>
      <c r="J3133" s="21"/>
      <c r="K3133" s="5" t="str">
        <f>IF(AND(LEN(H3133)=0, LEN(I3133)=0), "", IF(AND(LEN(H3133)&gt;0, LEN(I3133)=0), "BLANCO", IFERROR(VLOOKUP(I3133, BasedatosM9!A:B, 2, FALSE), "BLANCO")))</f>
        <v/>
      </c>
    </row>
    <row r="3134" spans="1:11" ht="14.4">
      <c r="A3134" s="21"/>
      <c r="B3134" s="86"/>
      <c r="C3134" s="98"/>
      <c r="D3134" s="21"/>
      <c r="E3134" s="86"/>
      <c r="F3134" s="99"/>
      <c r="G3134" s="99"/>
      <c r="H3134" s="21"/>
      <c r="I3134" s="21"/>
      <c r="J3134" s="21"/>
      <c r="K3134" s="5" t="str">
        <f>IF(AND(LEN(H3134)=0, LEN(I3134)=0), "", IF(AND(LEN(H3134)&gt;0, LEN(I3134)=0), "BLANCO", IFERROR(VLOOKUP(I3134, BasedatosM9!A:B, 2, FALSE), "BLANCO")))</f>
        <v/>
      </c>
    </row>
    <row r="3135" spans="1:11" ht="14.4">
      <c r="A3135" s="21"/>
      <c r="B3135" s="86"/>
      <c r="C3135" s="98"/>
      <c r="D3135" s="21"/>
      <c r="E3135" s="86"/>
      <c r="F3135" s="99"/>
      <c r="G3135" s="99"/>
      <c r="H3135" s="21"/>
      <c r="I3135" s="21"/>
      <c r="J3135" s="21"/>
      <c r="K3135" s="5" t="str">
        <f>IF(AND(LEN(H3135)=0, LEN(I3135)=0), "", IF(AND(LEN(H3135)&gt;0, LEN(I3135)=0), "BLANCO", IFERROR(VLOOKUP(I3135, BasedatosM9!A:B, 2, FALSE), "BLANCO")))</f>
        <v/>
      </c>
    </row>
    <row r="3136" spans="1:11" ht="14.4">
      <c r="A3136" s="21"/>
      <c r="B3136" s="86"/>
      <c r="C3136" s="98"/>
      <c r="D3136" s="21"/>
      <c r="E3136" s="86"/>
      <c r="F3136" s="99"/>
      <c r="G3136" s="99"/>
      <c r="H3136" s="21"/>
      <c r="I3136" s="86"/>
      <c r="J3136" s="21"/>
      <c r="K3136" s="5" t="str">
        <f>IF(AND(LEN(H3136)=0, LEN(I3136)=0), "", IF(AND(LEN(H3136)&gt;0, LEN(I3136)=0), "BLANCO", IFERROR(VLOOKUP(I3136, BasedatosM9!A:B, 2, FALSE), "BLANCO")))</f>
        <v/>
      </c>
    </row>
    <row r="3137" spans="1:11" ht="14.4">
      <c r="A3137" s="21"/>
      <c r="B3137" s="86"/>
      <c r="C3137" s="98"/>
      <c r="D3137" s="21"/>
      <c r="E3137" s="86"/>
      <c r="F3137" s="99"/>
      <c r="G3137" s="99"/>
      <c r="H3137" s="21"/>
      <c r="I3137" s="86"/>
      <c r="J3137" s="21"/>
      <c r="K3137" s="5" t="str">
        <f>IF(AND(LEN(H3137)=0, LEN(I3137)=0), "", IF(AND(LEN(H3137)&gt;0, LEN(I3137)=0), "BLANCO", IFERROR(VLOOKUP(I3137, BasedatosM9!A:B, 2, FALSE), "BLANCO")))</f>
        <v/>
      </c>
    </row>
    <row r="3138" spans="1:11" ht="14.4">
      <c r="A3138" s="21"/>
      <c r="B3138" s="86"/>
      <c r="C3138" s="98"/>
      <c r="D3138" s="21"/>
      <c r="E3138" s="86"/>
      <c r="F3138" s="99"/>
      <c r="G3138" s="99"/>
      <c r="H3138" s="21"/>
      <c r="I3138" s="21"/>
      <c r="J3138" s="21"/>
      <c r="K3138" s="5" t="str">
        <f>IF(AND(LEN(H3138)=0, LEN(I3138)=0), "", IF(AND(LEN(H3138)&gt;0, LEN(I3138)=0), "BLANCO", IFERROR(VLOOKUP(I3138, BasedatosM9!A:B, 2, FALSE), "BLANCO")))</f>
        <v/>
      </c>
    </row>
    <row r="3139" spans="1:11" ht="14.4">
      <c r="A3139" s="21"/>
      <c r="B3139" s="86"/>
      <c r="C3139" s="98"/>
      <c r="D3139" s="21"/>
      <c r="E3139" s="86"/>
      <c r="F3139" s="99"/>
      <c r="G3139" s="99"/>
      <c r="H3139" s="21"/>
      <c r="I3139" s="21"/>
      <c r="J3139" s="21"/>
      <c r="K3139" s="5" t="str">
        <f>IF(AND(LEN(H3139)=0, LEN(I3139)=0), "", IF(AND(LEN(H3139)&gt;0, LEN(I3139)=0), "BLANCO", IFERROR(VLOOKUP(I3139, BasedatosM9!A:B, 2, FALSE), "BLANCO")))</f>
        <v/>
      </c>
    </row>
    <row r="3140" spans="1:11" ht="14.4">
      <c r="A3140" s="21"/>
      <c r="B3140" s="86"/>
      <c r="C3140" s="98"/>
      <c r="D3140" s="21"/>
      <c r="E3140" s="86"/>
      <c r="F3140" s="99"/>
      <c r="G3140" s="99"/>
      <c r="H3140" s="21"/>
      <c r="I3140" s="86"/>
      <c r="J3140" s="21"/>
      <c r="K3140" s="5" t="str">
        <f>IF(AND(LEN(H3140)=0, LEN(I3140)=0), "", IF(AND(LEN(H3140)&gt;0, LEN(I3140)=0), "BLANCO", IFERROR(VLOOKUP(I3140, BasedatosM9!A:B, 2, FALSE), "BLANCO")))</f>
        <v/>
      </c>
    </row>
    <row r="3141" spans="1:11" ht="14.4">
      <c r="A3141" s="21"/>
      <c r="B3141" s="86"/>
      <c r="C3141" s="98"/>
      <c r="D3141" s="21"/>
      <c r="E3141" s="86"/>
      <c r="F3141" s="99"/>
      <c r="G3141" s="99"/>
      <c r="H3141" s="21"/>
      <c r="I3141" s="21"/>
      <c r="J3141" s="21"/>
      <c r="K3141" s="5" t="str">
        <f>IF(AND(LEN(H3141)=0, LEN(I3141)=0), "", IF(AND(LEN(H3141)&gt;0, LEN(I3141)=0), "BLANCO", IFERROR(VLOOKUP(I3141, BasedatosM9!A:B, 2, FALSE), "BLANCO")))</f>
        <v/>
      </c>
    </row>
    <row r="3142" spans="1:11" ht="14.4">
      <c r="A3142" s="21"/>
      <c r="B3142" s="86"/>
      <c r="C3142" s="98"/>
      <c r="D3142" s="21"/>
      <c r="E3142" s="86"/>
      <c r="F3142" s="99"/>
      <c r="G3142" s="99"/>
      <c r="H3142" s="21"/>
      <c r="I3142" s="86"/>
      <c r="J3142" s="21"/>
      <c r="K3142" s="5" t="str">
        <f>IF(AND(LEN(H3142)=0, LEN(I3142)=0), "", IF(AND(LEN(H3142)&gt;0, LEN(I3142)=0), "BLANCO", IFERROR(VLOOKUP(I3142, BasedatosM9!A:B, 2, FALSE), "BLANCO")))</f>
        <v/>
      </c>
    </row>
    <row r="3143" spans="1:11" ht="14.4">
      <c r="A3143" s="21"/>
      <c r="B3143" s="86"/>
      <c r="C3143" s="98"/>
      <c r="D3143" s="21"/>
      <c r="E3143" s="86"/>
      <c r="F3143" s="99"/>
      <c r="G3143" s="99"/>
      <c r="H3143" s="21"/>
      <c r="I3143" s="21"/>
      <c r="J3143" s="21"/>
      <c r="K3143" s="5" t="str">
        <f>IF(AND(LEN(H3143)=0, LEN(I3143)=0), "", IF(AND(LEN(H3143)&gt;0, LEN(I3143)=0), "BLANCO", IFERROR(VLOOKUP(I3143, BasedatosM9!A:B, 2, FALSE), "BLANCO")))</f>
        <v/>
      </c>
    </row>
    <row r="3144" spans="1:11" ht="14.4">
      <c r="A3144" s="21"/>
      <c r="B3144" s="86"/>
      <c r="C3144" s="98"/>
      <c r="D3144" s="21"/>
      <c r="E3144" s="86"/>
      <c r="F3144" s="99"/>
      <c r="G3144" s="99"/>
      <c r="H3144" s="21"/>
      <c r="I3144" s="21"/>
      <c r="J3144" s="21"/>
      <c r="K3144" s="5" t="str">
        <f>IF(AND(LEN(H3144)=0, LEN(I3144)=0), "", IF(AND(LEN(H3144)&gt;0, LEN(I3144)=0), "BLANCO", IFERROR(VLOOKUP(I3144, BasedatosM9!A:B, 2, FALSE), "BLANCO")))</f>
        <v/>
      </c>
    </row>
    <row r="3145" spans="1:11" ht="14.4">
      <c r="A3145" s="21"/>
      <c r="B3145" s="86"/>
      <c r="C3145" s="98"/>
      <c r="D3145" s="21"/>
      <c r="E3145" s="86"/>
      <c r="F3145" s="99"/>
      <c r="G3145" s="99"/>
      <c r="H3145" s="21"/>
      <c r="I3145" s="21"/>
      <c r="J3145" s="21"/>
      <c r="K3145" s="5" t="str">
        <f>IF(AND(LEN(H3145)=0, LEN(I3145)=0), "", IF(AND(LEN(H3145)&gt;0, LEN(I3145)=0), "BLANCO", IFERROR(VLOOKUP(I3145, BasedatosM9!A:B, 2, FALSE), "BLANCO")))</f>
        <v/>
      </c>
    </row>
    <row r="3146" spans="1:11" ht="14.4">
      <c r="A3146" s="21"/>
      <c r="B3146" s="86"/>
      <c r="C3146" s="98"/>
      <c r="D3146" s="21"/>
      <c r="E3146" s="86"/>
      <c r="F3146" s="99"/>
      <c r="G3146" s="99"/>
      <c r="H3146" s="21"/>
      <c r="I3146" s="21"/>
      <c r="J3146" s="21"/>
      <c r="K3146" s="5" t="str">
        <f>IF(AND(LEN(H3146)=0, LEN(I3146)=0), "", IF(AND(LEN(H3146)&gt;0, LEN(I3146)=0), "BLANCO", IFERROR(VLOOKUP(I3146, BasedatosM9!A:B, 2, FALSE), "BLANCO")))</f>
        <v/>
      </c>
    </row>
    <row r="3147" spans="1:11" ht="14.4">
      <c r="A3147" s="21"/>
      <c r="B3147" s="86"/>
      <c r="C3147" s="98"/>
      <c r="D3147" s="21"/>
      <c r="E3147" s="86"/>
      <c r="F3147" s="99"/>
      <c r="G3147" s="99"/>
      <c r="H3147" s="21"/>
      <c r="I3147" s="86"/>
      <c r="J3147" s="21"/>
      <c r="K3147" s="5" t="str">
        <f>IF(AND(LEN(H3147)=0, LEN(I3147)=0), "", IF(AND(LEN(H3147)&gt;0, LEN(I3147)=0), "BLANCO", IFERROR(VLOOKUP(I3147, BasedatosM9!A:B, 2, FALSE), "BLANCO")))</f>
        <v/>
      </c>
    </row>
    <row r="3148" spans="1:11" ht="14.4">
      <c r="A3148" s="21"/>
      <c r="B3148" s="86"/>
      <c r="C3148" s="98"/>
      <c r="D3148" s="21"/>
      <c r="E3148" s="86"/>
      <c r="F3148" s="99"/>
      <c r="G3148" s="99"/>
      <c r="H3148" s="21"/>
      <c r="I3148" s="21"/>
      <c r="J3148" s="21"/>
      <c r="K3148" s="5" t="str">
        <f>IF(AND(LEN(H3148)=0, LEN(I3148)=0), "", IF(AND(LEN(H3148)&gt;0, LEN(I3148)=0), "BLANCO", IFERROR(VLOOKUP(I3148, BasedatosM9!A:B, 2, FALSE), "BLANCO")))</f>
        <v/>
      </c>
    </row>
    <row r="3149" spans="1:11" ht="14.4">
      <c r="A3149" s="21"/>
      <c r="B3149" s="86"/>
      <c r="C3149" s="98"/>
      <c r="D3149" s="21"/>
      <c r="E3149" s="86"/>
      <c r="F3149" s="99"/>
      <c r="G3149" s="99"/>
      <c r="H3149" s="21"/>
      <c r="I3149" s="21"/>
      <c r="J3149" s="21"/>
      <c r="K3149" s="5" t="str">
        <f>IF(AND(LEN(H3149)=0, LEN(I3149)=0), "", IF(AND(LEN(H3149)&gt;0, LEN(I3149)=0), "BLANCO", IFERROR(VLOOKUP(I3149, BasedatosM9!A:B, 2, FALSE), "BLANCO")))</f>
        <v/>
      </c>
    </row>
    <row r="3150" spans="1:11" ht="14.4">
      <c r="A3150" s="21"/>
      <c r="B3150" s="86"/>
      <c r="C3150" s="98"/>
      <c r="D3150" s="21"/>
      <c r="E3150" s="86"/>
      <c r="F3150" s="99"/>
      <c r="G3150" s="99"/>
      <c r="H3150" s="21"/>
      <c r="I3150" s="21"/>
      <c r="J3150" s="21"/>
      <c r="K3150" s="5" t="str">
        <f>IF(AND(LEN(H3150)=0, LEN(I3150)=0), "", IF(AND(LEN(H3150)&gt;0, LEN(I3150)=0), "BLANCO", IFERROR(VLOOKUP(I3150, BasedatosM9!A:B, 2, FALSE), "BLANCO")))</f>
        <v/>
      </c>
    </row>
    <row r="3151" spans="1:11" ht="14.4">
      <c r="A3151" s="21"/>
      <c r="B3151" s="86"/>
      <c r="C3151" s="98"/>
      <c r="D3151" s="21"/>
      <c r="E3151" s="86"/>
      <c r="F3151" s="99"/>
      <c r="G3151" s="99"/>
      <c r="H3151" s="21"/>
      <c r="I3151" s="21"/>
      <c r="J3151" s="21"/>
      <c r="K3151" s="5" t="str">
        <f>IF(AND(LEN(H3151)=0, LEN(I3151)=0), "", IF(AND(LEN(H3151)&gt;0, LEN(I3151)=0), "BLANCO", IFERROR(VLOOKUP(I3151, BasedatosM9!A:B, 2, FALSE), "BLANCO")))</f>
        <v/>
      </c>
    </row>
    <row r="3152" spans="1:11" ht="14.4">
      <c r="A3152" s="21"/>
      <c r="B3152" s="86"/>
      <c r="C3152" s="98"/>
      <c r="D3152" s="21"/>
      <c r="E3152" s="86"/>
      <c r="F3152" s="99"/>
      <c r="G3152" s="99"/>
      <c r="H3152" s="21"/>
      <c r="I3152" s="21"/>
      <c r="J3152" s="21"/>
      <c r="K3152" s="5" t="str">
        <f>IF(AND(LEN(H3152)=0, LEN(I3152)=0), "", IF(AND(LEN(H3152)&gt;0, LEN(I3152)=0), "BLANCO", IFERROR(VLOOKUP(I3152, BasedatosM9!A:B, 2, FALSE), "BLANCO")))</f>
        <v/>
      </c>
    </row>
    <row r="3153" spans="1:11" ht="14.4">
      <c r="A3153" s="21"/>
      <c r="B3153" s="86"/>
      <c r="C3153" s="98"/>
      <c r="D3153" s="21"/>
      <c r="E3153" s="86"/>
      <c r="F3153" s="99"/>
      <c r="G3153" s="99"/>
      <c r="H3153" s="21"/>
      <c r="I3153" s="21"/>
      <c r="J3153" s="21"/>
      <c r="K3153" s="5" t="str">
        <f>IF(AND(LEN(H3153)=0, LEN(I3153)=0), "", IF(AND(LEN(H3153)&gt;0, LEN(I3153)=0), "BLANCO", IFERROR(VLOOKUP(I3153, BasedatosM9!A:B, 2, FALSE), "BLANCO")))</f>
        <v/>
      </c>
    </row>
    <row r="3154" spans="1:11" ht="14.4">
      <c r="A3154" s="21"/>
      <c r="B3154" s="86"/>
      <c r="C3154" s="98"/>
      <c r="D3154" s="21"/>
      <c r="E3154" s="86"/>
      <c r="F3154" s="99"/>
      <c r="G3154" s="99"/>
      <c r="H3154" s="21"/>
      <c r="I3154" s="21"/>
      <c r="J3154" s="21"/>
      <c r="K3154" s="5" t="str">
        <f>IF(AND(LEN(H3154)=0, LEN(I3154)=0), "", IF(AND(LEN(H3154)&gt;0, LEN(I3154)=0), "BLANCO", IFERROR(VLOOKUP(I3154, BasedatosM9!A:B, 2, FALSE), "BLANCO")))</f>
        <v/>
      </c>
    </row>
    <row r="3155" spans="1:11" ht="14.4">
      <c r="A3155" s="21"/>
      <c r="B3155" s="86"/>
      <c r="C3155" s="98"/>
      <c r="D3155" s="21"/>
      <c r="E3155" s="86"/>
      <c r="F3155" s="99"/>
      <c r="G3155" s="99"/>
      <c r="H3155" s="21"/>
      <c r="I3155" s="86"/>
      <c r="J3155" s="21"/>
      <c r="K3155" s="5" t="str">
        <f>IF(AND(LEN(H3155)=0, LEN(I3155)=0), "", IF(AND(LEN(H3155)&gt;0, LEN(I3155)=0), "BLANCO", IFERROR(VLOOKUP(I3155, BasedatosM9!A:B, 2, FALSE), "BLANCO")))</f>
        <v/>
      </c>
    </row>
    <row r="3156" spans="1:11" ht="14.4">
      <c r="A3156" s="21"/>
      <c r="B3156" s="86"/>
      <c r="C3156" s="98"/>
      <c r="D3156" s="21"/>
      <c r="E3156" s="86"/>
      <c r="F3156" s="99"/>
      <c r="G3156" s="99"/>
      <c r="H3156" s="21"/>
      <c r="I3156" s="21"/>
      <c r="J3156" s="21"/>
      <c r="K3156" s="5" t="str">
        <f>IF(AND(LEN(H3156)=0, LEN(I3156)=0), "", IF(AND(LEN(H3156)&gt;0, LEN(I3156)=0), "BLANCO", IFERROR(VLOOKUP(I3156, BasedatosM9!A:B, 2, FALSE), "BLANCO")))</f>
        <v/>
      </c>
    </row>
    <row r="3157" spans="1:11" ht="14.4">
      <c r="A3157" s="21"/>
      <c r="B3157" s="86"/>
      <c r="C3157" s="98"/>
      <c r="D3157" s="21"/>
      <c r="E3157" s="86"/>
      <c r="F3157" s="99"/>
      <c r="G3157" s="99"/>
      <c r="H3157" s="21"/>
      <c r="I3157" s="21"/>
      <c r="J3157" s="21"/>
      <c r="K3157" s="5" t="str">
        <f>IF(AND(LEN(H3157)=0, LEN(I3157)=0), "", IF(AND(LEN(H3157)&gt;0, LEN(I3157)=0), "BLANCO", IFERROR(VLOOKUP(I3157, BasedatosM9!A:B, 2, FALSE), "BLANCO")))</f>
        <v/>
      </c>
    </row>
    <row r="3158" spans="1:11" ht="14.4">
      <c r="A3158" s="21"/>
      <c r="B3158" s="86"/>
      <c r="C3158" s="98"/>
      <c r="D3158" s="21"/>
      <c r="E3158" s="86"/>
      <c r="F3158" s="99"/>
      <c r="G3158" s="99"/>
      <c r="H3158" s="21"/>
      <c r="I3158" s="86"/>
      <c r="J3158" s="21"/>
      <c r="K3158" s="5" t="str">
        <f>IF(AND(LEN(H3158)=0, LEN(I3158)=0), "", IF(AND(LEN(H3158)&gt;0, LEN(I3158)=0), "BLANCO", IFERROR(VLOOKUP(I3158, BasedatosM9!A:B, 2, FALSE), "BLANCO")))</f>
        <v/>
      </c>
    </row>
    <row r="3159" spans="1:11" ht="14.4">
      <c r="A3159" s="21"/>
      <c r="B3159" s="86"/>
      <c r="C3159" s="98"/>
      <c r="D3159" s="21"/>
      <c r="E3159" s="86"/>
      <c r="F3159" s="99"/>
      <c r="G3159" s="99"/>
      <c r="H3159" s="21"/>
      <c r="I3159" s="21"/>
      <c r="J3159" s="21"/>
      <c r="K3159" s="5" t="str">
        <f>IF(AND(LEN(H3159)=0, LEN(I3159)=0), "", IF(AND(LEN(H3159)&gt;0, LEN(I3159)=0), "BLANCO", IFERROR(VLOOKUP(I3159, BasedatosM9!A:B, 2, FALSE), "BLANCO")))</f>
        <v/>
      </c>
    </row>
    <row r="3160" spans="1:11" ht="14.4">
      <c r="A3160" s="21"/>
      <c r="B3160" s="86"/>
      <c r="C3160" s="98"/>
      <c r="D3160" s="21"/>
      <c r="E3160" s="86"/>
      <c r="F3160" s="99"/>
      <c r="G3160" s="99"/>
      <c r="H3160" s="21"/>
      <c r="I3160" s="21"/>
      <c r="J3160" s="21"/>
      <c r="K3160" s="5" t="str">
        <f>IF(AND(LEN(H3160)=0, LEN(I3160)=0), "", IF(AND(LEN(H3160)&gt;0, LEN(I3160)=0), "BLANCO", IFERROR(VLOOKUP(I3160, BasedatosM9!A:B, 2, FALSE), "BLANCO")))</f>
        <v/>
      </c>
    </row>
    <row r="3161" spans="1:11" ht="14.4">
      <c r="A3161" s="21"/>
      <c r="B3161" s="86"/>
      <c r="C3161" s="98"/>
      <c r="D3161" s="21"/>
      <c r="E3161" s="86"/>
      <c r="F3161" s="99"/>
      <c r="G3161" s="99"/>
      <c r="H3161" s="21"/>
      <c r="I3161" s="86"/>
      <c r="J3161" s="21"/>
      <c r="K3161" s="5" t="str">
        <f>IF(AND(LEN(H3161)=0, LEN(I3161)=0), "", IF(AND(LEN(H3161)&gt;0, LEN(I3161)=0), "BLANCO", IFERROR(VLOOKUP(I3161, BasedatosM9!A:B, 2, FALSE), "BLANCO")))</f>
        <v/>
      </c>
    </row>
    <row r="3162" spans="1:11" ht="14.4">
      <c r="A3162" s="21"/>
      <c r="B3162" s="86"/>
      <c r="C3162" s="98"/>
      <c r="D3162" s="21"/>
      <c r="E3162" s="86"/>
      <c r="F3162" s="99"/>
      <c r="G3162" s="99"/>
      <c r="H3162" s="21"/>
      <c r="I3162" s="86"/>
      <c r="J3162" s="21"/>
      <c r="K3162" s="5" t="str">
        <f>IF(AND(LEN(H3162)=0, LEN(I3162)=0), "", IF(AND(LEN(H3162)&gt;0, LEN(I3162)=0), "BLANCO", IFERROR(VLOOKUP(I3162, BasedatosM9!A:B, 2, FALSE), "BLANCO")))</f>
        <v/>
      </c>
    </row>
    <row r="3163" spans="1:11" ht="14.4">
      <c r="A3163" s="21"/>
      <c r="B3163" s="86"/>
      <c r="C3163" s="98"/>
      <c r="D3163" s="21"/>
      <c r="E3163" s="86"/>
      <c r="F3163" s="99"/>
      <c r="G3163" s="99"/>
      <c r="H3163" s="21"/>
      <c r="I3163" s="86"/>
      <c r="J3163" s="21"/>
      <c r="K3163" s="5" t="str">
        <f>IF(AND(LEN(H3163)=0, LEN(I3163)=0), "", IF(AND(LEN(H3163)&gt;0, LEN(I3163)=0), "BLANCO", IFERROR(VLOOKUP(I3163, BasedatosM9!A:B, 2, FALSE), "BLANCO")))</f>
        <v/>
      </c>
    </row>
    <row r="3164" spans="1:11" ht="14.4">
      <c r="A3164" s="21"/>
      <c r="B3164" s="86"/>
      <c r="C3164" s="98"/>
      <c r="D3164" s="21"/>
      <c r="E3164" s="86"/>
      <c r="F3164" s="99"/>
      <c r="G3164" s="99"/>
      <c r="H3164" s="21"/>
      <c r="I3164" s="21"/>
      <c r="J3164" s="21"/>
      <c r="K3164" s="5" t="str">
        <f>IF(AND(LEN(H3164)=0, LEN(I3164)=0), "", IF(AND(LEN(H3164)&gt;0, LEN(I3164)=0), "BLANCO", IFERROR(VLOOKUP(I3164, BasedatosM9!A:B, 2, FALSE), "BLANCO")))</f>
        <v/>
      </c>
    </row>
    <row r="3165" spans="1:11" ht="14.4">
      <c r="A3165" s="21"/>
      <c r="B3165" s="86"/>
      <c r="C3165" s="98"/>
      <c r="D3165" s="21"/>
      <c r="E3165" s="86"/>
      <c r="F3165" s="99"/>
      <c r="G3165" s="99"/>
      <c r="H3165" s="21"/>
      <c r="I3165" s="86"/>
      <c r="J3165" s="21"/>
      <c r="K3165" s="5" t="str">
        <f>IF(AND(LEN(H3165)=0, LEN(I3165)=0), "", IF(AND(LEN(H3165)&gt;0, LEN(I3165)=0), "BLANCO", IFERROR(VLOOKUP(I3165, BasedatosM9!A:B, 2, FALSE), "BLANCO")))</f>
        <v/>
      </c>
    </row>
    <row r="3166" spans="1:11" ht="14.4">
      <c r="A3166" s="21"/>
      <c r="B3166" s="86"/>
      <c r="C3166" s="98"/>
      <c r="D3166" s="21"/>
      <c r="E3166" s="86"/>
      <c r="F3166" s="99"/>
      <c r="G3166" s="99"/>
      <c r="H3166" s="21"/>
      <c r="I3166" s="21"/>
      <c r="J3166" s="21"/>
      <c r="K3166" s="5" t="str">
        <f>IF(AND(LEN(H3166)=0, LEN(I3166)=0), "", IF(AND(LEN(H3166)&gt;0, LEN(I3166)=0), "BLANCO", IFERROR(VLOOKUP(I3166, BasedatosM9!A:B, 2, FALSE), "BLANCO")))</f>
        <v/>
      </c>
    </row>
    <row r="3167" spans="1:11" ht="14.4">
      <c r="A3167" s="21"/>
      <c r="B3167" s="86"/>
      <c r="C3167" s="98"/>
      <c r="D3167" s="21"/>
      <c r="E3167" s="86"/>
      <c r="F3167" s="99"/>
      <c r="G3167" s="99"/>
      <c r="H3167" s="21"/>
      <c r="I3167" s="21"/>
      <c r="J3167" s="21"/>
      <c r="K3167" s="5" t="str">
        <f>IF(AND(LEN(H3167)=0, LEN(I3167)=0), "", IF(AND(LEN(H3167)&gt;0, LEN(I3167)=0), "BLANCO", IFERROR(VLOOKUP(I3167, BasedatosM9!A:B, 2, FALSE), "BLANCO")))</f>
        <v/>
      </c>
    </row>
    <row r="3168" spans="1:11" ht="14.4">
      <c r="A3168" s="21"/>
      <c r="B3168" s="86"/>
      <c r="C3168" s="98"/>
      <c r="D3168" s="21"/>
      <c r="E3168" s="86"/>
      <c r="F3168" s="99"/>
      <c r="G3168" s="99"/>
      <c r="H3168" s="21"/>
      <c r="I3168" s="21"/>
      <c r="J3168" s="21"/>
      <c r="K3168" s="5" t="str">
        <f>IF(AND(LEN(H3168)=0, LEN(I3168)=0), "", IF(AND(LEN(H3168)&gt;0, LEN(I3168)=0), "BLANCO", IFERROR(VLOOKUP(I3168, BasedatosM9!A:B, 2, FALSE), "BLANCO")))</f>
        <v/>
      </c>
    </row>
    <row r="3169" spans="1:11" ht="14.4">
      <c r="A3169" s="21"/>
      <c r="B3169" s="86"/>
      <c r="C3169" s="98"/>
      <c r="D3169" s="21"/>
      <c r="E3169" s="86"/>
      <c r="F3169" s="99"/>
      <c r="G3169" s="99"/>
      <c r="H3169" s="21"/>
      <c r="I3169" s="21"/>
      <c r="J3169" s="21"/>
      <c r="K3169" s="5" t="str">
        <f>IF(AND(LEN(H3169)=0, LEN(I3169)=0), "", IF(AND(LEN(H3169)&gt;0, LEN(I3169)=0), "BLANCO", IFERROR(VLOOKUP(I3169, BasedatosM9!A:B, 2, FALSE), "BLANCO")))</f>
        <v/>
      </c>
    </row>
    <row r="3170" spans="1:11" ht="14.4">
      <c r="A3170" s="21"/>
      <c r="B3170" s="86"/>
      <c r="C3170" s="98"/>
      <c r="D3170" s="21"/>
      <c r="E3170" s="86"/>
      <c r="F3170" s="99"/>
      <c r="G3170" s="99"/>
      <c r="H3170" s="21"/>
      <c r="I3170" s="21"/>
      <c r="J3170" s="21"/>
      <c r="K3170" s="5" t="str">
        <f>IF(AND(LEN(H3170)=0, LEN(I3170)=0), "", IF(AND(LEN(H3170)&gt;0, LEN(I3170)=0), "BLANCO", IFERROR(VLOOKUP(I3170, BasedatosM9!A:B, 2, FALSE), "BLANCO")))</f>
        <v/>
      </c>
    </row>
    <row r="3171" spans="1:11" ht="14.4">
      <c r="A3171" s="21"/>
      <c r="B3171" s="86"/>
      <c r="C3171" s="98"/>
      <c r="D3171" s="21"/>
      <c r="E3171" s="86"/>
      <c r="F3171" s="99"/>
      <c r="G3171" s="99"/>
      <c r="H3171" s="21"/>
      <c r="I3171" s="21"/>
      <c r="J3171" s="21"/>
      <c r="K3171" s="5" t="str">
        <f>IF(AND(LEN(H3171)=0, LEN(I3171)=0), "", IF(AND(LEN(H3171)&gt;0, LEN(I3171)=0), "BLANCO", IFERROR(VLOOKUP(I3171, BasedatosM9!A:B, 2, FALSE), "BLANCO")))</f>
        <v/>
      </c>
    </row>
    <row r="3172" spans="1:11" ht="14.4">
      <c r="A3172" s="21"/>
      <c r="B3172" s="86"/>
      <c r="C3172" s="98"/>
      <c r="D3172" s="21"/>
      <c r="E3172" s="86"/>
      <c r="F3172" s="99"/>
      <c r="G3172" s="99"/>
      <c r="H3172" s="21"/>
      <c r="I3172" s="86"/>
      <c r="J3172" s="21"/>
      <c r="K3172" s="5" t="str">
        <f>IF(AND(LEN(H3172)=0, LEN(I3172)=0), "", IF(AND(LEN(H3172)&gt;0, LEN(I3172)=0), "BLANCO", IFERROR(VLOOKUP(I3172, BasedatosM9!A:B, 2, FALSE), "BLANCO")))</f>
        <v/>
      </c>
    </row>
    <row r="3173" spans="1:11" ht="14.4">
      <c r="A3173" s="21"/>
      <c r="B3173" s="86"/>
      <c r="C3173" s="98"/>
      <c r="D3173" s="21"/>
      <c r="E3173" s="86"/>
      <c r="F3173" s="99"/>
      <c r="G3173" s="99"/>
      <c r="H3173" s="21"/>
      <c r="I3173" s="86"/>
      <c r="J3173" s="21"/>
      <c r="K3173" s="5" t="str">
        <f>IF(AND(LEN(H3173)=0, LEN(I3173)=0), "", IF(AND(LEN(H3173)&gt;0, LEN(I3173)=0), "BLANCO", IFERROR(VLOOKUP(I3173, BasedatosM9!A:B, 2, FALSE), "BLANCO")))</f>
        <v/>
      </c>
    </row>
    <row r="3174" spans="1:11" ht="14.4">
      <c r="A3174" s="21"/>
      <c r="B3174" s="86"/>
      <c r="C3174" s="98"/>
      <c r="D3174" s="21"/>
      <c r="E3174" s="86"/>
      <c r="F3174" s="99"/>
      <c r="G3174" s="99"/>
      <c r="H3174" s="21"/>
      <c r="I3174" s="21"/>
      <c r="J3174" s="21"/>
      <c r="K3174" s="5" t="str">
        <f>IF(AND(LEN(H3174)=0, LEN(I3174)=0), "", IF(AND(LEN(H3174)&gt;0, LEN(I3174)=0), "BLANCO", IFERROR(VLOOKUP(I3174, BasedatosM9!A:B, 2, FALSE), "BLANCO")))</f>
        <v/>
      </c>
    </row>
    <row r="3175" spans="1:11" ht="14.4">
      <c r="A3175" s="21"/>
      <c r="B3175" s="86"/>
      <c r="C3175" s="98"/>
      <c r="D3175" s="21"/>
      <c r="E3175" s="86"/>
      <c r="F3175" s="99"/>
      <c r="G3175" s="99"/>
      <c r="H3175" s="21"/>
      <c r="I3175" s="86"/>
      <c r="J3175" s="21"/>
      <c r="K3175" s="5" t="str">
        <f>IF(AND(LEN(H3175)=0, LEN(I3175)=0), "", IF(AND(LEN(H3175)&gt;0, LEN(I3175)=0), "BLANCO", IFERROR(VLOOKUP(I3175, BasedatosM9!A:B, 2, FALSE), "BLANCO")))</f>
        <v/>
      </c>
    </row>
    <row r="3176" spans="1:11" ht="14.4">
      <c r="A3176" s="21"/>
      <c r="B3176" s="86"/>
      <c r="C3176" s="98"/>
      <c r="D3176" s="21"/>
      <c r="E3176" s="86"/>
      <c r="F3176" s="99"/>
      <c r="G3176" s="99"/>
      <c r="H3176" s="21"/>
      <c r="I3176" s="86"/>
      <c r="J3176" s="21"/>
      <c r="K3176" s="5" t="str">
        <f>IF(AND(LEN(H3176)=0, LEN(I3176)=0), "", IF(AND(LEN(H3176)&gt;0, LEN(I3176)=0), "BLANCO", IFERROR(VLOOKUP(I3176, BasedatosM9!A:B, 2, FALSE), "BLANCO")))</f>
        <v/>
      </c>
    </row>
    <row r="3177" spans="1:11" ht="14.4">
      <c r="A3177" s="21"/>
      <c r="B3177" s="86"/>
      <c r="C3177" s="98"/>
      <c r="D3177" s="21"/>
      <c r="E3177" s="86"/>
      <c r="F3177" s="99"/>
      <c r="G3177" s="99"/>
      <c r="H3177" s="21"/>
      <c r="I3177" s="21"/>
      <c r="J3177" s="21"/>
      <c r="K3177" s="5" t="str">
        <f>IF(AND(LEN(H3177)=0, LEN(I3177)=0), "", IF(AND(LEN(H3177)&gt;0, LEN(I3177)=0), "BLANCO", IFERROR(VLOOKUP(I3177, BasedatosM9!A:B, 2, FALSE), "BLANCO")))</f>
        <v/>
      </c>
    </row>
    <row r="3178" spans="1:11" ht="14.4">
      <c r="A3178" s="21"/>
      <c r="B3178" s="86"/>
      <c r="C3178" s="98"/>
      <c r="D3178" s="21"/>
      <c r="E3178" s="86"/>
      <c r="F3178" s="99"/>
      <c r="G3178" s="99"/>
      <c r="H3178" s="21"/>
      <c r="I3178" s="21"/>
      <c r="J3178" s="21"/>
      <c r="K3178" s="5" t="str">
        <f>IF(AND(LEN(H3178)=0, LEN(I3178)=0), "", IF(AND(LEN(H3178)&gt;0, LEN(I3178)=0), "BLANCO", IFERROR(VLOOKUP(I3178, BasedatosM9!A:B, 2, FALSE), "BLANCO")))</f>
        <v/>
      </c>
    </row>
    <row r="3179" spans="1:11" ht="14.4">
      <c r="A3179" s="21"/>
      <c r="B3179" s="86"/>
      <c r="C3179" s="98"/>
      <c r="D3179" s="21"/>
      <c r="E3179" s="86"/>
      <c r="F3179" s="99"/>
      <c r="G3179" s="99"/>
      <c r="H3179" s="21"/>
      <c r="I3179" s="21"/>
      <c r="J3179" s="21"/>
      <c r="K3179" s="5" t="str">
        <f>IF(AND(LEN(H3179)=0, LEN(I3179)=0), "", IF(AND(LEN(H3179)&gt;0, LEN(I3179)=0), "BLANCO", IFERROR(VLOOKUP(I3179, BasedatosM9!A:B, 2, FALSE), "BLANCO")))</f>
        <v/>
      </c>
    </row>
    <row r="3180" spans="1:11" ht="14.4">
      <c r="A3180" s="21"/>
      <c r="B3180" s="86"/>
      <c r="C3180" s="98"/>
      <c r="D3180" s="21"/>
      <c r="E3180" s="86"/>
      <c r="F3180" s="99"/>
      <c r="G3180" s="99"/>
      <c r="H3180" s="21"/>
      <c r="I3180" s="21"/>
      <c r="J3180" s="21"/>
      <c r="K3180" s="5" t="str">
        <f>IF(AND(LEN(H3180)=0, LEN(I3180)=0), "", IF(AND(LEN(H3180)&gt;0, LEN(I3180)=0), "BLANCO", IFERROR(VLOOKUP(I3180, BasedatosM9!A:B, 2, FALSE), "BLANCO")))</f>
        <v/>
      </c>
    </row>
    <row r="3181" spans="1:11" ht="14.4">
      <c r="A3181" s="21"/>
      <c r="B3181" s="86"/>
      <c r="C3181" s="98"/>
      <c r="D3181" s="21"/>
      <c r="E3181" s="86"/>
      <c r="F3181" s="99"/>
      <c r="G3181" s="99"/>
      <c r="H3181" s="21"/>
      <c r="I3181" s="21"/>
      <c r="J3181" s="21"/>
      <c r="K3181" s="5" t="str">
        <f>IF(AND(LEN(H3181)=0, LEN(I3181)=0), "", IF(AND(LEN(H3181)&gt;0, LEN(I3181)=0), "BLANCO", IFERROR(VLOOKUP(I3181, BasedatosM9!A:B, 2, FALSE), "BLANCO")))</f>
        <v/>
      </c>
    </row>
    <row r="3182" spans="1:11" ht="14.4">
      <c r="A3182" s="21"/>
      <c r="B3182" s="86"/>
      <c r="C3182" s="98"/>
      <c r="D3182" s="21"/>
      <c r="E3182" s="86"/>
      <c r="F3182" s="99"/>
      <c r="G3182" s="99"/>
      <c r="H3182" s="21"/>
      <c r="I3182" s="86"/>
      <c r="J3182" s="21"/>
      <c r="K3182" s="5" t="str">
        <f>IF(AND(LEN(H3182)=0, LEN(I3182)=0), "", IF(AND(LEN(H3182)&gt;0, LEN(I3182)=0), "BLANCO", IFERROR(VLOOKUP(I3182, BasedatosM9!A:B, 2, FALSE), "BLANCO")))</f>
        <v/>
      </c>
    </row>
    <row r="3183" spans="1:11" ht="14.4">
      <c r="A3183" s="21"/>
      <c r="B3183" s="86"/>
      <c r="C3183" s="98"/>
      <c r="D3183" s="21"/>
      <c r="E3183" s="86"/>
      <c r="F3183" s="99"/>
      <c r="G3183" s="99"/>
      <c r="H3183" s="21"/>
      <c r="I3183" s="21"/>
      <c r="J3183" s="21"/>
      <c r="K3183" s="5" t="str">
        <f>IF(AND(LEN(H3183)=0, LEN(I3183)=0), "", IF(AND(LEN(H3183)&gt;0, LEN(I3183)=0), "BLANCO", IFERROR(VLOOKUP(I3183, BasedatosM9!A:B, 2, FALSE), "BLANCO")))</f>
        <v/>
      </c>
    </row>
    <row r="3184" spans="1:11" ht="14.4">
      <c r="A3184" s="21"/>
      <c r="B3184" s="86"/>
      <c r="C3184" s="98"/>
      <c r="D3184" s="21"/>
      <c r="E3184" s="86"/>
      <c r="F3184" s="99"/>
      <c r="G3184" s="99"/>
      <c r="H3184" s="21"/>
      <c r="I3184" s="21"/>
      <c r="J3184" s="21"/>
      <c r="K3184" s="5" t="str">
        <f>IF(AND(LEN(H3184)=0, LEN(I3184)=0), "", IF(AND(LEN(H3184)&gt;0, LEN(I3184)=0), "BLANCO", IFERROR(VLOOKUP(I3184, BasedatosM9!A:B, 2, FALSE), "BLANCO")))</f>
        <v/>
      </c>
    </row>
    <row r="3185" spans="1:11" ht="14.4">
      <c r="A3185" s="21"/>
      <c r="B3185" s="86"/>
      <c r="C3185" s="98"/>
      <c r="D3185" s="21"/>
      <c r="E3185" s="86"/>
      <c r="F3185" s="99"/>
      <c r="G3185" s="99"/>
      <c r="H3185" s="21"/>
      <c r="I3185" s="86"/>
      <c r="J3185" s="21"/>
      <c r="K3185" s="5" t="str">
        <f>IF(AND(LEN(H3185)=0, LEN(I3185)=0), "", IF(AND(LEN(H3185)&gt;0, LEN(I3185)=0), "BLANCO", IFERROR(VLOOKUP(I3185, BasedatosM9!A:B, 2, FALSE), "BLANCO")))</f>
        <v/>
      </c>
    </row>
    <row r="3186" spans="1:11" ht="14.4">
      <c r="A3186" s="21"/>
      <c r="B3186" s="86"/>
      <c r="C3186" s="98"/>
      <c r="D3186" s="21"/>
      <c r="E3186" s="86"/>
      <c r="F3186" s="99"/>
      <c r="G3186" s="99"/>
      <c r="H3186" s="21"/>
      <c r="I3186" s="21"/>
      <c r="J3186" s="21"/>
      <c r="K3186" s="5" t="str">
        <f>IF(AND(LEN(H3186)=0, LEN(I3186)=0), "", IF(AND(LEN(H3186)&gt;0, LEN(I3186)=0), "BLANCO", IFERROR(VLOOKUP(I3186, BasedatosM9!A:B, 2, FALSE), "BLANCO")))</f>
        <v/>
      </c>
    </row>
    <row r="3187" spans="1:11" ht="14.4">
      <c r="A3187" s="21"/>
      <c r="B3187" s="86"/>
      <c r="C3187" s="98"/>
      <c r="D3187" s="21"/>
      <c r="E3187" s="86"/>
      <c r="F3187" s="99"/>
      <c r="G3187" s="99"/>
      <c r="H3187" s="21"/>
      <c r="I3187" s="21"/>
      <c r="J3187" s="21"/>
      <c r="K3187" s="5" t="str">
        <f>IF(AND(LEN(H3187)=0, LEN(I3187)=0), "", IF(AND(LEN(H3187)&gt;0, LEN(I3187)=0), "BLANCO", IFERROR(VLOOKUP(I3187, BasedatosM9!A:B, 2, FALSE), "BLANCO")))</f>
        <v/>
      </c>
    </row>
    <row r="3188" spans="1:11" ht="14.4">
      <c r="A3188" s="21"/>
      <c r="B3188" s="86"/>
      <c r="C3188" s="98"/>
      <c r="D3188" s="21"/>
      <c r="E3188" s="86"/>
      <c r="F3188" s="99"/>
      <c r="G3188" s="99"/>
      <c r="H3188" s="21"/>
      <c r="I3188" s="86"/>
      <c r="J3188" s="21"/>
      <c r="K3188" s="5" t="str">
        <f>IF(AND(LEN(H3188)=0, LEN(I3188)=0), "", IF(AND(LEN(H3188)&gt;0, LEN(I3188)=0), "BLANCO", IFERROR(VLOOKUP(I3188, BasedatosM9!A:B, 2, FALSE), "BLANCO")))</f>
        <v/>
      </c>
    </row>
    <row r="3189" spans="1:11" ht="14.4">
      <c r="A3189" s="21"/>
      <c r="B3189" s="86"/>
      <c r="C3189" s="98"/>
      <c r="D3189" s="21"/>
      <c r="E3189" s="86"/>
      <c r="F3189" s="99"/>
      <c r="G3189" s="99"/>
      <c r="H3189" s="21"/>
      <c r="I3189" s="86"/>
      <c r="J3189" s="21"/>
      <c r="K3189" s="5" t="str">
        <f>IF(AND(LEN(H3189)=0, LEN(I3189)=0), "", IF(AND(LEN(H3189)&gt;0, LEN(I3189)=0), "BLANCO", IFERROR(VLOOKUP(I3189, BasedatosM9!A:B, 2, FALSE), "BLANCO")))</f>
        <v/>
      </c>
    </row>
    <row r="3190" spans="1:11" ht="14.4">
      <c r="A3190" s="21"/>
      <c r="B3190" s="86"/>
      <c r="C3190" s="98"/>
      <c r="D3190" s="21"/>
      <c r="E3190" s="86"/>
      <c r="F3190" s="99"/>
      <c r="G3190" s="99"/>
      <c r="H3190" s="21"/>
      <c r="I3190" s="21"/>
      <c r="J3190" s="21"/>
      <c r="K3190" s="5" t="str">
        <f>IF(AND(LEN(H3190)=0, LEN(I3190)=0), "", IF(AND(LEN(H3190)&gt;0, LEN(I3190)=0), "BLANCO", IFERROR(VLOOKUP(I3190, BasedatosM9!A:B, 2, FALSE), "BLANCO")))</f>
        <v/>
      </c>
    </row>
    <row r="3191" spans="1:11" ht="14.4">
      <c r="A3191" s="21"/>
      <c r="B3191" s="86"/>
      <c r="C3191" s="98"/>
      <c r="D3191" s="21"/>
      <c r="E3191" s="86"/>
      <c r="F3191" s="99"/>
      <c r="G3191" s="99"/>
      <c r="H3191" s="21"/>
      <c r="I3191" s="86"/>
      <c r="J3191" s="21"/>
      <c r="K3191" s="5" t="str">
        <f>IF(AND(LEN(H3191)=0, LEN(I3191)=0), "", IF(AND(LEN(H3191)&gt;0, LEN(I3191)=0), "BLANCO", IFERROR(VLOOKUP(I3191, BasedatosM9!A:B, 2, FALSE), "BLANCO")))</f>
        <v/>
      </c>
    </row>
    <row r="3192" spans="1:11" ht="14.4">
      <c r="A3192" s="21"/>
      <c r="B3192" s="86"/>
      <c r="C3192" s="98"/>
      <c r="D3192" s="21"/>
      <c r="E3192" s="86"/>
      <c r="F3192" s="99"/>
      <c r="G3192" s="99"/>
      <c r="H3192" s="21"/>
      <c r="I3192" s="86"/>
      <c r="J3192" s="21"/>
      <c r="K3192" s="5" t="str">
        <f>IF(AND(LEN(H3192)=0, LEN(I3192)=0), "", IF(AND(LEN(H3192)&gt;0, LEN(I3192)=0), "BLANCO", IFERROR(VLOOKUP(I3192, BasedatosM9!A:B, 2, FALSE), "BLANCO")))</f>
        <v/>
      </c>
    </row>
    <row r="3193" spans="1:11" ht="14.4">
      <c r="A3193" s="21"/>
      <c r="B3193" s="86"/>
      <c r="C3193" s="98"/>
      <c r="D3193" s="21"/>
      <c r="E3193" s="86"/>
      <c r="F3193" s="99"/>
      <c r="G3193" s="99"/>
      <c r="H3193" s="21"/>
      <c r="I3193" s="86"/>
      <c r="J3193" s="21"/>
      <c r="K3193" s="5" t="str">
        <f>IF(AND(LEN(H3193)=0, LEN(I3193)=0), "", IF(AND(LEN(H3193)&gt;0, LEN(I3193)=0), "BLANCO", IFERROR(VLOOKUP(I3193, BasedatosM9!A:B, 2, FALSE), "BLANCO")))</f>
        <v/>
      </c>
    </row>
    <row r="3194" spans="1:11" ht="14.4">
      <c r="A3194" s="21"/>
      <c r="B3194" s="86"/>
      <c r="C3194" s="98"/>
      <c r="D3194" s="21"/>
      <c r="E3194" s="86"/>
      <c r="F3194" s="99"/>
      <c r="G3194" s="99"/>
      <c r="H3194" s="21"/>
      <c r="I3194" s="86"/>
      <c r="J3194" s="21"/>
      <c r="K3194" s="5" t="str">
        <f>IF(AND(LEN(H3194)=0, LEN(I3194)=0), "", IF(AND(LEN(H3194)&gt;0, LEN(I3194)=0), "BLANCO", IFERROR(VLOOKUP(I3194, BasedatosM9!A:B, 2, FALSE), "BLANCO")))</f>
        <v/>
      </c>
    </row>
    <row r="3195" spans="1:11" ht="14.4">
      <c r="A3195" s="21"/>
      <c r="B3195" s="86"/>
      <c r="C3195" s="98"/>
      <c r="D3195" s="21"/>
      <c r="E3195" s="86"/>
      <c r="F3195" s="99"/>
      <c r="G3195" s="99"/>
      <c r="H3195" s="21"/>
      <c r="I3195" s="21"/>
      <c r="J3195" s="21"/>
      <c r="K3195" s="5" t="str">
        <f>IF(AND(LEN(H3195)=0, LEN(I3195)=0), "", IF(AND(LEN(H3195)&gt;0, LEN(I3195)=0), "BLANCO", IFERROR(VLOOKUP(I3195, BasedatosM9!A:B, 2, FALSE), "BLANCO")))</f>
        <v/>
      </c>
    </row>
    <row r="3196" spans="1:11" ht="14.4">
      <c r="A3196" s="21"/>
      <c r="B3196" s="86"/>
      <c r="C3196" s="98"/>
      <c r="D3196" s="21"/>
      <c r="E3196" s="86"/>
      <c r="F3196" s="99"/>
      <c r="G3196" s="99"/>
      <c r="H3196" s="21"/>
      <c r="I3196" s="21"/>
      <c r="J3196" s="21"/>
      <c r="K3196" s="5" t="str">
        <f>IF(AND(LEN(H3196)=0, LEN(I3196)=0), "", IF(AND(LEN(H3196)&gt;0, LEN(I3196)=0), "BLANCO", IFERROR(VLOOKUP(I3196, BasedatosM9!A:B, 2, FALSE), "BLANCO")))</f>
        <v/>
      </c>
    </row>
    <row r="3197" spans="1:11" ht="14.4">
      <c r="A3197" s="21"/>
      <c r="B3197" s="86"/>
      <c r="C3197" s="98"/>
      <c r="D3197" s="21"/>
      <c r="E3197" s="86"/>
      <c r="F3197" s="99"/>
      <c r="G3197" s="99"/>
      <c r="H3197" s="21"/>
      <c r="I3197" s="21"/>
      <c r="J3197" s="21"/>
      <c r="K3197" s="5" t="str">
        <f>IF(AND(LEN(H3197)=0, LEN(I3197)=0), "", IF(AND(LEN(H3197)&gt;0, LEN(I3197)=0), "BLANCO", IFERROR(VLOOKUP(I3197, BasedatosM9!A:B, 2, FALSE), "BLANCO")))</f>
        <v/>
      </c>
    </row>
    <row r="3198" spans="1:11" ht="14.4">
      <c r="A3198" s="21"/>
      <c r="B3198" s="86"/>
      <c r="C3198" s="98"/>
      <c r="D3198" s="21"/>
      <c r="E3198" s="86"/>
      <c r="F3198" s="99"/>
      <c r="G3198" s="99"/>
      <c r="H3198" s="21"/>
      <c r="I3198" s="86"/>
      <c r="J3198" s="21"/>
      <c r="K3198" s="5" t="str">
        <f>IF(AND(LEN(H3198)=0, LEN(I3198)=0), "", IF(AND(LEN(H3198)&gt;0, LEN(I3198)=0), "BLANCO", IFERROR(VLOOKUP(I3198, BasedatosM9!A:B, 2, FALSE), "BLANCO")))</f>
        <v/>
      </c>
    </row>
    <row r="3199" spans="1:11" ht="14.4">
      <c r="A3199" s="21"/>
      <c r="B3199" s="86"/>
      <c r="C3199" s="98"/>
      <c r="D3199" s="21"/>
      <c r="E3199" s="86"/>
      <c r="F3199" s="99"/>
      <c r="G3199" s="99"/>
      <c r="H3199" s="21"/>
      <c r="I3199" s="86"/>
      <c r="J3199" s="21"/>
      <c r="K3199" s="5" t="str">
        <f>IF(AND(LEN(H3199)=0, LEN(I3199)=0), "", IF(AND(LEN(H3199)&gt;0, LEN(I3199)=0), "BLANCO", IFERROR(VLOOKUP(I3199, BasedatosM9!A:B, 2, FALSE), "BLANCO")))</f>
        <v/>
      </c>
    </row>
    <row r="3200" spans="1:11" ht="14.4">
      <c r="A3200" s="21"/>
      <c r="B3200" s="86"/>
      <c r="C3200" s="98"/>
      <c r="D3200" s="21"/>
      <c r="E3200" s="86"/>
      <c r="F3200" s="99"/>
      <c r="G3200" s="99"/>
      <c r="H3200" s="21"/>
      <c r="I3200" s="86"/>
      <c r="J3200" s="21"/>
      <c r="K3200" s="5" t="str">
        <f>IF(AND(LEN(H3200)=0, LEN(I3200)=0), "", IF(AND(LEN(H3200)&gt;0, LEN(I3200)=0), "BLANCO", IFERROR(VLOOKUP(I3200, BasedatosM9!A:B, 2, FALSE), "BLANCO")))</f>
        <v/>
      </c>
    </row>
    <row r="3201" spans="1:11" ht="14.4">
      <c r="A3201" s="21"/>
      <c r="B3201" s="86"/>
      <c r="C3201" s="98"/>
      <c r="D3201" s="21"/>
      <c r="E3201" s="86"/>
      <c r="F3201" s="99"/>
      <c r="G3201" s="99"/>
      <c r="H3201" s="21"/>
      <c r="I3201" s="86"/>
      <c r="J3201" s="21"/>
      <c r="K3201" s="5" t="str">
        <f>IF(AND(LEN(H3201)=0, LEN(I3201)=0), "", IF(AND(LEN(H3201)&gt;0, LEN(I3201)=0), "BLANCO", IFERROR(VLOOKUP(I3201, BasedatosM9!A:B, 2, FALSE), "BLANCO")))</f>
        <v/>
      </c>
    </row>
    <row r="3202" spans="1:11" ht="14.4">
      <c r="A3202" s="21"/>
      <c r="B3202" s="86"/>
      <c r="C3202" s="98"/>
      <c r="D3202" s="21"/>
      <c r="E3202" s="86"/>
      <c r="F3202" s="99"/>
      <c r="G3202" s="99"/>
      <c r="H3202" s="21"/>
      <c r="I3202" s="86"/>
      <c r="J3202" s="21"/>
      <c r="K3202" s="5" t="str">
        <f>IF(AND(LEN(H3202)=0, LEN(I3202)=0), "", IF(AND(LEN(H3202)&gt;0, LEN(I3202)=0), "BLANCO", IFERROR(VLOOKUP(I3202, BasedatosM9!A:B, 2, FALSE), "BLANCO")))</f>
        <v/>
      </c>
    </row>
    <row r="3203" spans="1:11" ht="14.4">
      <c r="A3203" s="21"/>
      <c r="B3203" s="86"/>
      <c r="C3203" s="98"/>
      <c r="D3203" s="21"/>
      <c r="E3203" s="86"/>
      <c r="F3203" s="99"/>
      <c r="G3203" s="99"/>
      <c r="H3203" s="21"/>
      <c r="I3203" s="21"/>
      <c r="J3203" s="21"/>
      <c r="K3203" s="5" t="str">
        <f>IF(AND(LEN(H3203)=0, LEN(I3203)=0), "", IF(AND(LEN(H3203)&gt;0, LEN(I3203)=0), "BLANCO", IFERROR(VLOOKUP(I3203, BasedatosM9!A:B, 2, FALSE), "BLANCO")))</f>
        <v/>
      </c>
    </row>
    <row r="3204" spans="1:11" ht="14.4">
      <c r="A3204" s="21"/>
      <c r="B3204" s="86"/>
      <c r="C3204" s="98"/>
      <c r="D3204" s="21"/>
      <c r="E3204" s="86"/>
      <c r="F3204" s="99"/>
      <c r="G3204" s="99"/>
      <c r="H3204" s="21"/>
      <c r="I3204" s="21"/>
      <c r="J3204" s="21"/>
      <c r="K3204" s="5" t="str">
        <f>IF(AND(LEN(H3204)=0, LEN(I3204)=0), "", IF(AND(LEN(H3204)&gt;0, LEN(I3204)=0), "BLANCO", IFERROR(VLOOKUP(I3204, BasedatosM9!A:B, 2, FALSE), "BLANCO")))</f>
        <v/>
      </c>
    </row>
    <row r="3205" spans="1:11" ht="14.4">
      <c r="A3205" s="21"/>
      <c r="B3205" s="86"/>
      <c r="C3205" s="98"/>
      <c r="D3205" s="21"/>
      <c r="E3205" s="86"/>
      <c r="F3205" s="99"/>
      <c r="G3205" s="99"/>
      <c r="H3205" s="21"/>
      <c r="I3205" s="86"/>
      <c r="J3205" s="21"/>
      <c r="K3205" s="5" t="str">
        <f>IF(AND(LEN(H3205)=0, LEN(I3205)=0), "", IF(AND(LEN(H3205)&gt;0, LEN(I3205)=0), "BLANCO", IFERROR(VLOOKUP(I3205, BasedatosM9!A:B, 2, FALSE), "BLANCO")))</f>
        <v/>
      </c>
    </row>
    <row r="3206" spans="1:11" ht="14.4">
      <c r="A3206" s="21"/>
      <c r="B3206" s="86"/>
      <c r="C3206" s="98"/>
      <c r="D3206" s="21"/>
      <c r="E3206" s="86"/>
      <c r="F3206" s="99"/>
      <c r="G3206" s="99"/>
      <c r="H3206" s="21"/>
      <c r="I3206" s="21"/>
      <c r="J3206" s="21"/>
      <c r="K3206" s="5" t="str">
        <f>IF(AND(LEN(H3206)=0, LEN(I3206)=0), "", IF(AND(LEN(H3206)&gt;0, LEN(I3206)=0), "BLANCO", IFERROR(VLOOKUP(I3206, BasedatosM9!A:B, 2, FALSE), "BLANCO")))</f>
        <v/>
      </c>
    </row>
    <row r="3207" spans="1:11" ht="14.4">
      <c r="A3207" s="21"/>
      <c r="B3207" s="86"/>
      <c r="C3207" s="98"/>
      <c r="D3207" s="21"/>
      <c r="E3207" s="86"/>
      <c r="F3207" s="99"/>
      <c r="G3207" s="99"/>
      <c r="H3207" s="21"/>
      <c r="I3207" s="86"/>
      <c r="J3207" s="21"/>
      <c r="K3207" s="5" t="str">
        <f>IF(AND(LEN(H3207)=0, LEN(I3207)=0), "", IF(AND(LEN(H3207)&gt;0, LEN(I3207)=0), "BLANCO", IFERROR(VLOOKUP(I3207, BasedatosM9!A:B, 2, FALSE), "BLANCO")))</f>
        <v/>
      </c>
    </row>
    <row r="3208" spans="1:11" ht="14.4">
      <c r="A3208" s="21"/>
      <c r="B3208" s="86"/>
      <c r="C3208" s="98"/>
      <c r="D3208" s="21"/>
      <c r="E3208" s="86"/>
      <c r="F3208" s="99"/>
      <c r="G3208" s="99"/>
      <c r="H3208" s="21"/>
      <c r="I3208" s="86"/>
      <c r="J3208" s="21"/>
      <c r="K3208" s="5" t="str">
        <f>IF(AND(LEN(H3208)=0, LEN(I3208)=0), "", IF(AND(LEN(H3208)&gt;0, LEN(I3208)=0), "BLANCO", IFERROR(VLOOKUP(I3208, BasedatosM9!A:B, 2, FALSE), "BLANCO")))</f>
        <v/>
      </c>
    </row>
    <row r="3209" spans="1:11" ht="14.4">
      <c r="A3209" s="21"/>
      <c r="B3209" s="86"/>
      <c r="C3209" s="98"/>
      <c r="D3209" s="21"/>
      <c r="E3209" s="86"/>
      <c r="F3209" s="99"/>
      <c r="G3209" s="99"/>
      <c r="H3209" s="21"/>
      <c r="I3209" s="21"/>
      <c r="J3209" s="21"/>
      <c r="K3209" s="5" t="str">
        <f>IF(AND(LEN(H3209)=0, LEN(I3209)=0), "", IF(AND(LEN(H3209)&gt;0, LEN(I3209)=0), "BLANCO", IFERROR(VLOOKUP(I3209, BasedatosM9!A:B, 2, FALSE), "BLANCO")))</f>
        <v/>
      </c>
    </row>
    <row r="3210" spans="1:11" ht="14.4">
      <c r="A3210" s="21"/>
      <c r="B3210" s="86"/>
      <c r="C3210" s="98"/>
      <c r="D3210" s="21"/>
      <c r="E3210" s="86"/>
      <c r="F3210" s="99"/>
      <c r="G3210" s="99"/>
      <c r="H3210" s="21"/>
      <c r="I3210" s="86"/>
      <c r="J3210" s="21"/>
      <c r="K3210" s="5" t="str">
        <f>IF(AND(LEN(H3210)=0, LEN(I3210)=0), "", IF(AND(LEN(H3210)&gt;0, LEN(I3210)=0), "BLANCO", IFERROR(VLOOKUP(I3210, BasedatosM9!A:B, 2, FALSE), "BLANCO")))</f>
        <v/>
      </c>
    </row>
    <row r="3211" spans="1:11" ht="14.4">
      <c r="A3211" s="21"/>
      <c r="B3211" s="86"/>
      <c r="C3211" s="98"/>
      <c r="D3211" s="21"/>
      <c r="E3211" s="86"/>
      <c r="F3211" s="99"/>
      <c r="G3211" s="99"/>
      <c r="H3211" s="21"/>
      <c r="I3211" s="86"/>
      <c r="J3211" s="21"/>
      <c r="K3211" s="5" t="str">
        <f>IF(AND(LEN(H3211)=0, LEN(I3211)=0), "", IF(AND(LEN(H3211)&gt;0, LEN(I3211)=0), "BLANCO", IFERROR(VLOOKUP(I3211, BasedatosM9!A:B, 2, FALSE), "BLANCO")))</f>
        <v/>
      </c>
    </row>
    <row r="3212" spans="1:11" ht="14.4">
      <c r="A3212" s="21"/>
      <c r="B3212" s="86"/>
      <c r="C3212" s="98"/>
      <c r="D3212" s="21"/>
      <c r="E3212" s="86"/>
      <c r="F3212" s="99"/>
      <c r="G3212" s="99"/>
      <c r="H3212" s="21"/>
      <c r="I3212" s="86"/>
      <c r="J3212" s="21"/>
      <c r="K3212" s="5" t="str">
        <f>IF(AND(LEN(H3212)=0, LEN(I3212)=0), "", IF(AND(LEN(H3212)&gt;0, LEN(I3212)=0), "BLANCO", IFERROR(VLOOKUP(I3212, BasedatosM9!A:B, 2, FALSE), "BLANCO")))</f>
        <v/>
      </c>
    </row>
    <row r="3213" spans="1:11" ht="14.4">
      <c r="A3213" s="21"/>
      <c r="B3213" s="86"/>
      <c r="C3213" s="98"/>
      <c r="D3213" s="21"/>
      <c r="E3213" s="86"/>
      <c r="F3213" s="99"/>
      <c r="G3213" s="99"/>
      <c r="H3213" s="21"/>
      <c r="I3213" s="21"/>
      <c r="J3213" s="21"/>
      <c r="K3213" s="5" t="str">
        <f>IF(AND(LEN(H3213)=0, LEN(I3213)=0), "", IF(AND(LEN(H3213)&gt;0, LEN(I3213)=0), "BLANCO", IFERROR(VLOOKUP(I3213, BasedatosM9!A:B, 2, FALSE), "BLANCO")))</f>
        <v/>
      </c>
    </row>
    <row r="3214" spans="1:11" ht="14.4">
      <c r="A3214" s="21"/>
      <c r="B3214" s="86"/>
      <c r="C3214" s="98"/>
      <c r="D3214" s="21"/>
      <c r="E3214" s="86"/>
      <c r="F3214" s="99"/>
      <c r="G3214" s="99"/>
      <c r="H3214" s="21"/>
      <c r="I3214" s="86"/>
      <c r="J3214" s="21"/>
      <c r="K3214" s="5" t="str">
        <f>IF(AND(LEN(H3214)=0, LEN(I3214)=0), "", IF(AND(LEN(H3214)&gt;0, LEN(I3214)=0), "BLANCO", IFERROR(VLOOKUP(I3214, BasedatosM9!A:B, 2, FALSE), "BLANCO")))</f>
        <v/>
      </c>
    </row>
    <row r="3215" spans="1:11" ht="14.4">
      <c r="A3215" s="21"/>
      <c r="B3215" s="86"/>
      <c r="C3215" s="98"/>
      <c r="D3215" s="21"/>
      <c r="E3215" s="86"/>
      <c r="F3215" s="99"/>
      <c r="G3215" s="99"/>
      <c r="H3215" s="21"/>
      <c r="I3215" s="86"/>
      <c r="J3215" s="21"/>
      <c r="K3215" s="5" t="str">
        <f>IF(AND(LEN(H3215)=0, LEN(I3215)=0), "", IF(AND(LEN(H3215)&gt;0, LEN(I3215)=0), "BLANCO", IFERROR(VLOOKUP(I3215, BasedatosM9!A:B, 2, FALSE), "BLANCO")))</f>
        <v/>
      </c>
    </row>
    <row r="3216" spans="1:11" ht="14.4">
      <c r="A3216" s="21"/>
      <c r="B3216" s="86"/>
      <c r="C3216" s="98"/>
      <c r="D3216" s="21"/>
      <c r="E3216" s="86"/>
      <c r="F3216" s="99"/>
      <c r="G3216" s="99"/>
      <c r="H3216" s="21"/>
      <c r="I3216" s="86"/>
      <c r="J3216" s="21"/>
      <c r="K3216" s="5" t="str">
        <f>IF(AND(LEN(H3216)=0, LEN(I3216)=0), "", IF(AND(LEN(H3216)&gt;0, LEN(I3216)=0), "BLANCO", IFERROR(VLOOKUP(I3216, BasedatosM9!A:B, 2, FALSE), "BLANCO")))</f>
        <v/>
      </c>
    </row>
    <row r="3217" spans="1:11" ht="14.4">
      <c r="A3217" s="21"/>
      <c r="B3217" s="86"/>
      <c r="C3217" s="98"/>
      <c r="D3217" s="21"/>
      <c r="E3217" s="86"/>
      <c r="F3217" s="99"/>
      <c r="G3217" s="99"/>
      <c r="H3217" s="21"/>
      <c r="I3217" s="86"/>
      <c r="J3217" s="21"/>
      <c r="K3217" s="5" t="str">
        <f>IF(AND(LEN(H3217)=0, LEN(I3217)=0), "", IF(AND(LEN(H3217)&gt;0, LEN(I3217)=0), "BLANCO", IFERROR(VLOOKUP(I3217, BasedatosM9!A:B, 2, FALSE), "BLANCO")))</f>
        <v/>
      </c>
    </row>
    <row r="3218" spans="1:11" ht="14.4">
      <c r="A3218" s="21"/>
      <c r="B3218" s="86"/>
      <c r="C3218" s="98"/>
      <c r="D3218" s="21"/>
      <c r="E3218" s="86"/>
      <c r="F3218" s="99"/>
      <c r="G3218" s="99"/>
      <c r="H3218" s="21"/>
      <c r="I3218" s="86"/>
      <c r="J3218" s="21"/>
      <c r="K3218" s="5" t="str">
        <f>IF(AND(LEN(H3218)=0, LEN(I3218)=0), "", IF(AND(LEN(H3218)&gt;0, LEN(I3218)=0), "BLANCO", IFERROR(VLOOKUP(I3218, BasedatosM9!A:B, 2, FALSE), "BLANCO")))</f>
        <v/>
      </c>
    </row>
    <row r="3219" spans="1:11" ht="14.4">
      <c r="A3219" s="21"/>
      <c r="B3219" s="86"/>
      <c r="C3219" s="98"/>
      <c r="D3219" s="21"/>
      <c r="E3219" s="86"/>
      <c r="F3219" s="99"/>
      <c r="G3219" s="99"/>
      <c r="H3219" s="21"/>
      <c r="I3219" s="86"/>
      <c r="J3219" s="21"/>
      <c r="K3219" s="5" t="str">
        <f>IF(AND(LEN(H3219)=0, LEN(I3219)=0), "", IF(AND(LEN(H3219)&gt;0, LEN(I3219)=0), "BLANCO", IFERROR(VLOOKUP(I3219, BasedatosM9!A:B, 2, FALSE), "BLANCO")))</f>
        <v/>
      </c>
    </row>
    <row r="3220" spans="1:11" ht="14.4">
      <c r="A3220" s="21"/>
      <c r="B3220" s="86"/>
      <c r="C3220" s="98"/>
      <c r="D3220" s="21"/>
      <c r="E3220" s="86"/>
      <c r="F3220" s="99"/>
      <c r="G3220" s="99"/>
      <c r="H3220" s="21"/>
      <c r="I3220" s="21"/>
      <c r="J3220" s="21"/>
      <c r="K3220" s="5" t="str">
        <f>IF(AND(LEN(H3220)=0, LEN(I3220)=0), "", IF(AND(LEN(H3220)&gt;0, LEN(I3220)=0), "BLANCO", IFERROR(VLOOKUP(I3220, BasedatosM9!A:B, 2, FALSE), "BLANCO")))</f>
        <v/>
      </c>
    </row>
    <row r="3221" spans="1:11" ht="14.4">
      <c r="A3221" s="21"/>
      <c r="B3221" s="86"/>
      <c r="C3221" s="98"/>
      <c r="D3221" s="21"/>
      <c r="E3221" s="86"/>
      <c r="F3221" s="99"/>
      <c r="G3221" s="99"/>
      <c r="H3221" s="21"/>
      <c r="I3221" s="86"/>
      <c r="J3221" s="21"/>
      <c r="K3221" s="5" t="str">
        <f>IF(AND(LEN(H3221)=0, LEN(I3221)=0), "", IF(AND(LEN(H3221)&gt;0, LEN(I3221)=0), "BLANCO", IFERROR(VLOOKUP(I3221, BasedatosM9!A:B, 2, FALSE), "BLANCO")))</f>
        <v/>
      </c>
    </row>
    <row r="3222" spans="1:11" ht="14.4">
      <c r="A3222" s="21"/>
      <c r="B3222" s="86"/>
      <c r="C3222" s="98"/>
      <c r="D3222" s="21"/>
      <c r="E3222" s="86"/>
      <c r="F3222" s="99"/>
      <c r="G3222" s="99"/>
      <c r="H3222" s="21"/>
      <c r="I3222" s="86"/>
      <c r="J3222" s="21"/>
      <c r="K3222" s="5" t="str">
        <f>IF(AND(LEN(H3222)=0, LEN(I3222)=0), "", IF(AND(LEN(H3222)&gt;0, LEN(I3222)=0), "BLANCO", IFERROR(VLOOKUP(I3222, BasedatosM9!A:B, 2, FALSE), "BLANCO")))</f>
        <v/>
      </c>
    </row>
    <row r="3223" spans="1:11" ht="14.4">
      <c r="A3223" s="21"/>
      <c r="B3223" s="86"/>
      <c r="C3223" s="98"/>
      <c r="D3223" s="21"/>
      <c r="E3223" s="86"/>
      <c r="F3223" s="99"/>
      <c r="G3223" s="99"/>
      <c r="H3223" s="21"/>
      <c r="I3223" s="86"/>
      <c r="J3223" s="21"/>
      <c r="K3223" s="5" t="str">
        <f>IF(AND(LEN(H3223)=0, LEN(I3223)=0), "", IF(AND(LEN(H3223)&gt;0, LEN(I3223)=0), "BLANCO", IFERROR(VLOOKUP(I3223, BasedatosM9!A:B, 2, FALSE), "BLANCO")))</f>
        <v/>
      </c>
    </row>
    <row r="3224" spans="1:11" ht="14.4">
      <c r="A3224" s="21"/>
      <c r="B3224" s="86"/>
      <c r="C3224" s="98"/>
      <c r="D3224" s="21"/>
      <c r="E3224" s="86"/>
      <c r="F3224" s="99"/>
      <c r="G3224" s="99"/>
      <c r="H3224" s="21"/>
      <c r="I3224" s="21"/>
      <c r="J3224" s="21"/>
      <c r="K3224" s="5" t="str">
        <f>IF(AND(LEN(H3224)=0, LEN(I3224)=0), "", IF(AND(LEN(H3224)&gt;0, LEN(I3224)=0), "BLANCO", IFERROR(VLOOKUP(I3224, BasedatosM9!A:B, 2, FALSE), "BLANCO")))</f>
        <v/>
      </c>
    </row>
    <row r="3225" spans="1:11" ht="14.4">
      <c r="A3225" s="21"/>
      <c r="B3225" s="86"/>
      <c r="C3225" s="98"/>
      <c r="D3225" s="21"/>
      <c r="E3225" s="86"/>
      <c r="F3225" s="99"/>
      <c r="G3225" s="99"/>
      <c r="H3225" s="21"/>
      <c r="I3225" s="86"/>
      <c r="J3225" s="21"/>
      <c r="K3225" s="5" t="str">
        <f>IF(AND(LEN(H3225)=0, LEN(I3225)=0), "", IF(AND(LEN(H3225)&gt;0, LEN(I3225)=0), "BLANCO", IFERROR(VLOOKUP(I3225, BasedatosM9!A:B, 2, FALSE), "BLANCO")))</f>
        <v/>
      </c>
    </row>
    <row r="3226" spans="1:11" ht="14.4">
      <c r="A3226" s="21"/>
      <c r="B3226" s="86"/>
      <c r="C3226" s="98"/>
      <c r="D3226" s="21"/>
      <c r="E3226" s="86"/>
      <c r="F3226" s="99"/>
      <c r="G3226" s="99"/>
      <c r="H3226" s="21"/>
      <c r="I3226" s="86"/>
      <c r="J3226" s="21"/>
      <c r="K3226" s="5" t="str">
        <f>IF(AND(LEN(H3226)=0, LEN(I3226)=0), "", IF(AND(LEN(H3226)&gt;0, LEN(I3226)=0), "BLANCO", IFERROR(VLOOKUP(I3226, BasedatosM9!A:B, 2, FALSE), "BLANCO")))</f>
        <v/>
      </c>
    </row>
    <row r="3227" spans="1:11" ht="14.4">
      <c r="A3227" s="21"/>
      <c r="B3227" s="86"/>
      <c r="C3227" s="98"/>
      <c r="D3227" s="21"/>
      <c r="E3227" s="86"/>
      <c r="F3227" s="99"/>
      <c r="G3227" s="99"/>
      <c r="H3227" s="21"/>
      <c r="I3227" s="21"/>
      <c r="J3227" s="21"/>
      <c r="K3227" s="5" t="str">
        <f>IF(AND(LEN(H3227)=0, LEN(I3227)=0), "", IF(AND(LEN(H3227)&gt;0, LEN(I3227)=0), "BLANCO", IFERROR(VLOOKUP(I3227, BasedatosM9!A:B, 2, FALSE), "BLANCO")))</f>
        <v/>
      </c>
    </row>
    <row r="3228" spans="1:11" ht="14.4">
      <c r="A3228" s="21"/>
      <c r="B3228" s="86"/>
      <c r="C3228" s="98"/>
      <c r="D3228" s="21"/>
      <c r="E3228" s="86"/>
      <c r="F3228" s="99"/>
      <c r="G3228" s="99"/>
      <c r="H3228" s="21"/>
      <c r="I3228" s="21"/>
      <c r="J3228" s="21"/>
      <c r="K3228" s="5" t="str">
        <f>IF(AND(LEN(H3228)=0, LEN(I3228)=0), "", IF(AND(LEN(H3228)&gt;0, LEN(I3228)=0), "BLANCO", IFERROR(VLOOKUP(I3228, BasedatosM9!A:B, 2, FALSE), "BLANCO")))</f>
        <v/>
      </c>
    </row>
    <row r="3229" spans="1:11" ht="14.4">
      <c r="A3229" s="21"/>
      <c r="B3229" s="86"/>
      <c r="C3229" s="98"/>
      <c r="D3229" s="21"/>
      <c r="E3229" s="86"/>
      <c r="F3229" s="99"/>
      <c r="G3229" s="99"/>
      <c r="H3229" s="21"/>
      <c r="I3229" s="21"/>
      <c r="J3229" s="21"/>
      <c r="K3229" s="5" t="str">
        <f>IF(AND(LEN(H3229)=0, LEN(I3229)=0), "", IF(AND(LEN(H3229)&gt;0, LEN(I3229)=0), "BLANCO", IFERROR(VLOOKUP(I3229, BasedatosM9!A:B, 2, FALSE), "BLANCO")))</f>
        <v/>
      </c>
    </row>
    <row r="3230" spans="1:11" ht="14.4">
      <c r="A3230" s="21"/>
      <c r="B3230" s="86"/>
      <c r="C3230" s="98"/>
      <c r="D3230" s="21"/>
      <c r="E3230" s="86"/>
      <c r="F3230" s="99"/>
      <c r="G3230" s="99"/>
      <c r="H3230" s="21"/>
      <c r="I3230" s="86"/>
      <c r="J3230" s="21"/>
      <c r="K3230" s="5" t="str">
        <f>IF(AND(LEN(H3230)=0, LEN(I3230)=0), "", IF(AND(LEN(H3230)&gt;0, LEN(I3230)=0), "BLANCO", IFERROR(VLOOKUP(I3230, BasedatosM9!A:B, 2, FALSE), "BLANCO")))</f>
        <v/>
      </c>
    </row>
    <row r="3231" spans="1:11" ht="14.4">
      <c r="A3231" s="21"/>
      <c r="B3231" s="86"/>
      <c r="C3231" s="98"/>
      <c r="D3231" s="21"/>
      <c r="E3231" s="86"/>
      <c r="F3231" s="99"/>
      <c r="G3231" s="99"/>
      <c r="H3231" s="21"/>
      <c r="I3231" s="21"/>
      <c r="J3231" s="21"/>
      <c r="K3231" s="5" t="str">
        <f>IF(AND(LEN(H3231)=0, LEN(I3231)=0), "", IF(AND(LEN(H3231)&gt;0, LEN(I3231)=0), "BLANCO", IFERROR(VLOOKUP(I3231, BasedatosM9!A:B, 2, FALSE), "BLANCO")))</f>
        <v/>
      </c>
    </row>
    <row r="3232" spans="1:11" ht="14.4">
      <c r="A3232" s="21"/>
      <c r="B3232" s="86"/>
      <c r="C3232" s="98"/>
      <c r="D3232" s="21"/>
      <c r="E3232" s="86"/>
      <c r="F3232" s="99"/>
      <c r="G3232" s="99"/>
      <c r="H3232" s="21"/>
      <c r="I3232" s="86"/>
      <c r="J3232" s="21"/>
      <c r="K3232" s="5" t="str">
        <f>IF(AND(LEN(H3232)=0, LEN(I3232)=0), "", IF(AND(LEN(H3232)&gt;0, LEN(I3232)=0), "BLANCO", IFERROR(VLOOKUP(I3232, BasedatosM9!A:B, 2, FALSE), "BLANCO")))</f>
        <v/>
      </c>
    </row>
    <row r="3233" spans="1:11" ht="14.4">
      <c r="A3233" s="21"/>
      <c r="B3233" s="86"/>
      <c r="C3233" s="98"/>
      <c r="D3233" s="21"/>
      <c r="E3233" s="86"/>
      <c r="F3233" s="99"/>
      <c r="G3233" s="99"/>
      <c r="H3233" s="21"/>
      <c r="I3233" s="86"/>
      <c r="J3233" s="21"/>
      <c r="K3233" s="5" t="str">
        <f>IF(AND(LEN(H3233)=0, LEN(I3233)=0), "", IF(AND(LEN(H3233)&gt;0, LEN(I3233)=0), "BLANCO", IFERROR(VLOOKUP(I3233, BasedatosM9!A:B, 2, FALSE), "BLANCO")))</f>
        <v/>
      </c>
    </row>
    <row r="3234" spans="1:11" ht="14.4">
      <c r="A3234" s="21"/>
      <c r="B3234" s="86"/>
      <c r="C3234" s="98"/>
      <c r="D3234" s="21"/>
      <c r="E3234" s="86"/>
      <c r="F3234" s="99"/>
      <c r="G3234" s="99"/>
      <c r="H3234" s="21"/>
      <c r="I3234" s="86"/>
      <c r="J3234" s="21"/>
      <c r="K3234" s="5" t="str">
        <f>IF(AND(LEN(H3234)=0, LEN(I3234)=0), "", IF(AND(LEN(H3234)&gt;0, LEN(I3234)=0), "BLANCO", IFERROR(VLOOKUP(I3234, BasedatosM9!A:B, 2, FALSE), "BLANCO")))</f>
        <v/>
      </c>
    </row>
    <row r="3235" spans="1:11" ht="14.4">
      <c r="A3235" s="21"/>
      <c r="B3235" s="86"/>
      <c r="C3235" s="98"/>
      <c r="D3235" s="21"/>
      <c r="E3235" s="86"/>
      <c r="F3235" s="99"/>
      <c r="G3235" s="99"/>
      <c r="H3235" s="21"/>
      <c r="I3235" s="21"/>
      <c r="J3235" s="21"/>
      <c r="K3235" s="5" t="str">
        <f>IF(AND(LEN(H3235)=0, LEN(I3235)=0), "", IF(AND(LEN(H3235)&gt;0, LEN(I3235)=0), "BLANCO", IFERROR(VLOOKUP(I3235, BasedatosM9!A:B, 2, FALSE), "BLANCO")))</f>
        <v/>
      </c>
    </row>
    <row r="3236" spans="1:11" ht="14.4">
      <c r="A3236" s="21"/>
      <c r="B3236" s="86"/>
      <c r="C3236" s="98"/>
      <c r="D3236" s="21"/>
      <c r="E3236" s="86"/>
      <c r="F3236" s="99"/>
      <c r="G3236" s="99"/>
      <c r="H3236" s="21"/>
      <c r="I3236" s="21"/>
      <c r="J3236" s="21"/>
      <c r="K3236" s="5" t="str">
        <f>IF(AND(LEN(H3236)=0, LEN(I3236)=0), "", IF(AND(LEN(H3236)&gt;0, LEN(I3236)=0), "BLANCO", IFERROR(VLOOKUP(I3236, BasedatosM9!A:B, 2, FALSE), "BLANCO")))</f>
        <v/>
      </c>
    </row>
    <row r="3237" spans="1:11" ht="14.4">
      <c r="A3237" s="21"/>
      <c r="B3237" s="86"/>
      <c r="C3237" s="98"/>
      <c r="D3237" s="21"/>
      <c r="E3237" s="86"/>
      <c r="F3237" s="99"/>
      <c r="G3237" s="99"/>
      <c r="H3237" s="21"/>
      <c r="I3237" s="21"/>
      <c r="J3237" s="21"/>
      <c r="K3237" s="5" t="str">
        <f>IF(AND(LEN(H3237)=0, LEN(I3237)=0), "", IF(AND(LEN(H3237)&gt;0, LEN(I3237)=0), "BLANCO", IFERROR(VLOOKUP(I3237, BasedatosM9!A:B, 2, FALSE), "BLANCO")))</f>
        <v/>
      </c>
    </row>
    <row r="3238" spans="1:11" ht="14.4">
      <c r="A3238" s="21"/>
      <c r="B3238" s="86"/>
      <c r="C3238" s="98"/>
      <c r="D3238" s="21"/>
      <c r="E3238" s="86"/>
      <c r="F3238" s="99"/>
      <c r="G3238" s="99"/>
      <c r="H3238" s="21"/>
      <c r="I3238" s="21"/>
      <c r="J3238" s="21"/>
      <c r="K3238" s="5" t="str">
        <f>IF(AND(LEN(H3238)=0, LEN(I3238)=0), "", IF(AND(LEN(H3238)&gt;0, LEN(I3238)=0), "BLANCO", IFERROR(VLOOKUP(I3238, BasedatosM9!A:B, 2, FALSE), "BLANCO")))</f>
        <v/>
      </c>
    </row>
    <row r="3239" spans="1:11" ht="14.4">
      <c r="A3239" s="21"/>
      <c r="B3239" s="86"/>
      <c r="C3239" s="98"/>
      <c r="D3239" s="21"/>
      <c r="E3239" s="86"/>
      <c r="F3239" s="99"/>
      <c r="G3239" s="99"/>
      <c r="H3239" s="21"/>
      <c r="I3239" s="21"/>
      <c r="J3239" s="21"/>
      <c r="K3239" s="5" t="str">
        <f>IF(AND(LEN(H3239)=0, LEN(I3239)=0), "", IF(AND(LEN(H3239)&gt;0, LEN(I3239)=0), "BLANCO", IFERROR(VLOOKUP(I3239, BasedatosM9!A:B, 2, FALSE), "BLANCO")))</f>
        <v/>
      </c>
    </row>
    <row r="3240" spans="1:11" ht="14.4">
      <c r="A3240" s="21"/>
      <c r="B3240" s="86"/>
      <c r="C3240" s="98"/>
      <c r="D3240" s="21"/>
      <c r="E3240" s="86"/>
      <c r="F3240" s="99"/>
      <c r="G3240" s="99"/>
      <c r="H3240" s="21"/>
      <c r="I3240" s="21"/>
      <c r="J3240" s="21"/>
      <c r="K3240" s="5" t="str">
        <f>IF(AND(LEN(H3240)=0, LEN(I3240)=0), "", IF(AND(LEN(H3240)&gt;0, LEN(I3240)=0), "BLANCO", IFERROR(VLOOKUP(I3240, BasedatosM9!A:B, 2, FALSE), "BLANCO")))</f>
        <v/>
      </c>
    </row>
    <row r="3241" spans="1:11" ht="14.4">
      <c r="A3241" s="21"/>
      <c r="B3241" s="86"/>
      <c r="C3241" s="98"/>
      <c r="D3241" s="21"/>
      <c r="E3241" s="86"/>
      <c r="F3241" s="99"/>
      <c r="G3241" s="99"/>
      <c r="H3241" s="21"/>
      <c r="I3241" s="86"/>
      <c r="J3241" s="21"/>
      <c r="K3241" s="5" t="str">
        <f>IF(AND(LEN(H3241)=0, LEN(I3241)=0), "", IF(AND(LEN(H3241)&gt;0, LEN(I3241)=0), "BLANCO", IFERROR(VLOOKUP(I3241, BasedatosM9!A:B, 2, FALSE), "BLANCO")))</f>
        <v/>
      </c>
    </row>
    <row r="3242" spans="1:11" ht="14.4">
      <c r="A3242" s="21"/>
      <c r="B3242" s="86"/>
      <c r="C3242" s="98"/>
      <c r="D3242" s="21"/>
      <c r="E3242" s="86"/>
      <c r="F3242" s="99"/>
      <c r="G3242" s="99"/>
      <c r="H3242" s="21"/>
      <c r="I3242" s="86"/>
      <c r="J3242" s="21"/>
      <c r="K3242" s="5" t="str">
        <f>IF(AND(LEN(H3242)=0, LEN(I3242)=0), "", IF(AND(LEN(H3242)&gt;0, LEN(I3242)=0), "BLANCO", IFERROR(VLOOKUP(I3242, BasedatosM9!A:B, 2, FALSE), "BLANCO")))</f>
        <v/>
      </c>
    </row>
    <row r="3243" spans="1:11" ht="14.4">
      <c r="A3243" s="21"/>
      <c r="B3243" s="86"/>
      <c r="C3243" s="98"/>
      <c r="D3243" s="21"/>
      <c r="E3243" s="86"/>
      <c r="F3243" s="99"/>
      <c r="G3243" s="99"/>
      <c r="H3243" s="21"/>
      <c r="I3243" s="86"/>
      <c r="J3243" s="21"/>
      <c r="K3243" s="5" t="str">
        <f>IF(AND(LEN(H3243)=0, LEN(I3243)=0), "", IF(AND(LEN(H3243)&gt;0, LEN(I3243)=0), "BLANCO", IFERROR(VLOOKUP(I3243, BasedatosM9!A:B, 2, FALSE), "BLANCO")))</f>
        <v/>
      </c>
    </row>
    <row r="3244" spans="1:11" ht="14.4">
      <c r="A3244" s="21"/>
      <c r="B3244" s="86"/>
      <c r="C3244" s="98"/>
      <c r="D3244" s="21"/>
      <c r="E3244" s="86"/>
      <c r="F3244" s="99"/>
      <c r="G3244" s="99"/>
      <c r="H3244" s="21"/>
      <c r="I3244" s="86"/>
      <c r="J3244" s="21"/>
      <c r="K3244" s="5" t="str">
        <f>IF(AND(LEN(H3244)=0, LEN(I3244)=0), "", IF(AND(LEN(H3244)&gt;0, LEN(I3244)=0), "BLANCO", IFERROR(VLOOKUP(I3244, BasedatosM9!A:B, 2, FALSE), "BLANCO")))</f>
        <v/>
      </c>
    </row>
    <row r="3245" spans="1:11" ht="14.4">
      <c r="A3245" s="21"/>
      <c r="B3245" s="86"/>
      <c r="C3245" s="98"/>
      <c r="D3245" s="21"/>
      <c r="E3245" s="86"/>
      <c r="F3245" s="99"/>
      <c r="G3245" s="99"/>
      <c r="H3245" s="21"/>
      <c r="I3245" s="86"/>
      <c r="J3245" s="21"/>
      <c r="K3245" s="5" t="str">
        <f>IF(AND(LEN(H3245)=0, LEN(I3245)=0), "", IF(AND(LEN(H3245)&gt;0, LEN(I3245)=0), "BLANCO", IFERROR(VLOOKUP(I3245, BasedatosM9!A:B, 2, FALSE), "BLANCO")))</f>
        <v/>
      </c>
    </row>
    <row r="3246" spans="1:11" ht="14.4">
      <c r="A3246" s="21"/>
      <c r="B3246" s="86"/>
      <c r="C3246" s="98"/>
      <c r="D3246" s="21"/>
      <c r="E3246" s="86"/>
      <c r="F3246" s="99"/>
      <c r="G3246" s="99"/>
      <c r="H3246" s="21"/>
      <c r="I3246" s="21"/>
      <c r="J3246" s="21"/>
      <c r="K3246" s="5" t="str">
        <f>IF(AND(LEN(H3246)=0, LEN(I3246)=0), "", IF(AND(LEN(H3246)&gt;0, LEN(I3246)=0), "BLANCO", IFERROR(VLOOKUP(I3246, BasedatosM9!A:B, 2, FALSE), "BLANCO")))</f>
        <v/>
      </c>
    </row>
    <row r="3247" spans="1:11" ht="14.4">
      <c r="A3247" s="21"/>
      <c r="B3247" s="86"/>
      <c r="C3247" s="98"/>
      <c r="D3247" s="21"/>
      <c r="E3247" s="86"/>
      <c r="F3247" s="99"/>
      <c r="G3247" s="99"/>
      <c r="H3247" s="21"/>
      <c r="I3247" s="21"/>
      <c r="J3247" s="21"/>
      <c r="K3247" s="5" t="str">
        <f>IF(AND(LEN(H3247)=0, LEN(I3247)=0), "", IF(AND(LEN(H3247)&gt;0, LEN(I3247)=0), "BLANCO", IFERROR(VLOOKUP(I3247, BasedatosM9!A:B, 2, FALSE), "BLANCO")))</f>
        <v/>
      </c>
    </row>
    <row r="3248" spans="1:11" ht="14.4">
      <c r="A3248" s="21"/>
      <c r="B3248" s="86"/>
      <c r="C3248" s="98"/>
      <c r="D3248" s="21"/>
      <c r="E3248" s="86"/>
      <c r="F3248" s="99"/>
      <c r="G3248" s="99"/>
      <c r="H3248" s="21"/>
      <c r="I3248" s="86"/>
      <c r="J3248" s="21"/>
      <c r="K3248" s="5" t="str">
        <f>IF(AND(LEN(H3248)=0, LEN(I3248)=0), "", IF(AND(LEN(H3248)&gt;0, LEN(I3248)=0), "BLANCO", IFERROR(VLOOKUP(I3248, BasedatosM9!A:B, 2, FALSE), "BLANCO")))</f>
        <v/>
      </c>
    </row>
    <row r="3249" spans="1:11" ht="14.4">
      <c r="A3249" s="21"/>
      <c r="B3249" s="86"/>
      <c r="C3249" s="98"/>
      <c r="D3249" s="21"/>
      <c r="E3249" s="86"/>
      <c r="F3249" s="99"/>
      <c r="G3249" s="99"/>
      <c r="H3249" s="21"/>
      <c r="I3249" s="21"/>
      <c r="J3249" s="21"/>
      <c r="K3249" s="5" t="str">
        <f>IF(AND(LEN(H3249)=0, LEN(I3249)=0), "", IF(AND(LEN(H3249)&gt;0, LEN(I3249)=0), "BLANCO", IFERROR(VLOOKUP(I3249, BasedatosM9!A:B, 2, FALSE), "BLANCO")))</f>
        <v/>
      </c>
    </row>
    <row r="3250" spans="1:11" ht="14.4">
      <c r="A3250" s="21"/>
      <c r="B3250" s="86"/>
      <c r="C3250" s="98"/>
      <c r="D3250" s="21"/>
      <c r="E3250" s="86"/>
      <c r="F3250" s="99"/>
      <c r="G3250" s="99"/>
      <c r="H3250" s="21"/>
      <c r="I3250" s="86"/>
      <c r="J3250" s="21"/>
      <c r="K3250" s="5" t="str">
        <f>IF(AND(LEN(H3250)=0, LEN(I3250)=0), "", IF(AND(LEN(H3250)&gt;0, LEN(I3250)=0), "BLANCO", IFERROR(VLOOKUP(I3250, BasedatosM9!A:B, 2, FALSE), "BLANCO")))</f>
        <v/>
      </c>
    </row>
    <row r="3251" spans="1:11" ht="14.4">
      <c r="A3251" s="21"/>
      <c r="B3251" s="86"/>
      <c r="C3251" s="98"/>
      <c r="D3251" s="21"/>
      <c r="E3251" s="86"/>
      <c r="F3251" s="99"/>
      <c r="G3251" s="99"/>
      <c r="H3251" s="21"/>
      <c r="I3251" s="21"/>
      <c r="J3251" s="21"/>
      <c r="K3251" s="5" t="str">
        <f>IF(AND(LEN(H3251)=0, LEN(I3251)=0), "", IF(AND(LEN(H3251)&gt;0, LEN(I3251)=0), "BLANCO", IFERROR(VLOOKUP(I3251, BasedatosM9!A:B, 2, FALSE), "BLANCO")))</f>
        <v/>
      </c>
    </row>
    <row r="3252" spans="1:11" ht="14.4">
      <c r="A3252" s="21"/>
      <c r="B3252" s="86"/>
      <c r="C3252" s="98"/>
      <c r="D3252" s="21"/>
      <c r="E3252" s="86"/>
      <c r="F3252" s="99"/>
      <c r="G3252" s="99"/>
      <c r="H3252" s="21"/>
      <c r="I3252" s="86"/>
      <c r="J3252" s="21"/>
      <c r="K3252" s="5" t="str">
        <f>IF(AND(LEN(H3252)=0, LEN(I3252)=0), "", IF(AND(LEN(H3252)&gt;0, LEN(I3252)=0), "BLANCO", IFERROR(VLOOKUP(I3252, BasedatosM9!A:B, 2, FALSE), "BLANCO")))</f>
        <v/>
      </c>
    </row>
    <row r="3253" spans="1:11" ht="14.4">
      <c r="A3253" s="21"/>
      <c r="B3253" s="86"/>
      <c r="C3253" s="98"/>
      <c r="D3253" s="21"/>
      <c r="E3253" s="86"/>
      <c r="F3253" s="99"/>
      <c r="G3253" s="99"/>
      <c r="H3253" s="21"/>
      <c r="I3253" s="86"/>
      <c r="J3253" s="21"/>
      <c r="K3253" s="5" t="str">
        <f>IF(AND(LEN(H3253)=0, LEN(I3253)=0), "", IF(AND(LEN(H3253)&gt;0, LEN(I3253)=0), "BLANCO", IFERROR(VLOOKUP(I3253, BasedatosM9!A:B, 2, FALSE), "BLANCO")))</f>
        <v/>
      </c>
    </row>
    <row r="3254" spans="1:11" ht="14.4">
      <c r="A3254" s="21"/>
      <c r="B3254" s="86"/>
      <c r="C3254" s="98"/>
      <c r="D3254" s="21"/>
      <c r="E3254" s="86"/>
      <c r="F3254" s="99"/>
      <c r="G3254" s="99"/>
      <c r="H3254" s="21"/>
      <c r="I3254" s="86"/>
      <c r="J3254" s="21"/>
      <c r="K3254" s="5" t="str">
        <f>IF(AND(LEN(H3254)=0, LEN(I3254)=0), "", IF(AND(LEN(H3254)&gt;0, LEN(I3254)=0), "BLANCO", IFERROR(VLOOKUP(I3254, BasedatosM9!A:B, 2, FALSE), "BLANCO")))</f>
        <v/>
      </c>
    </row>
    <row r="3255" spans="1:11" ht="14.4">
      <c r="A3255" s="21"/>
      <c r="B3255" s="86"/>
      <c r="C3255" s="98"/>
      <c r="D3255" s="21"/>
      <c r="E3255" s="86"/>
      <c r="F3255" s="99"/>
      <c r="G3255" s="99"/>
      <c r="H3255" s="21"/>
      <c r="I3255" s="21"/>
      <c r="J3255" s="21"/>
      <c r="K3255" s="5" t="str">
        <f>IF(AND(LEN(H3255)=0, LEN(I3255)=0), "", IF(AND(LEN(H3255)&gt;0, LEN(I3255)=0), "BLANCO", IFERROR(VLOOKUP(I3255, BasedatosM9!A:B, 2, FALSE), "BLANCO")))</f>
        <v/>
      </c>
    </row>
    <row r="3256" spans="1:11" ht="14.4">
      <c r="A3256" s="21"/>
      <c r="B3256" s="86"/>
      <c r="C3256" s="98"/>
      <c r="D3256" s="21"/>
      <c r="E3256" s="86"/>
      <c r="F3256" s="99"/>
      <c r="G3256" s="99"/>
      <c r="H3256" s="21"/>
      <c r="I3256" s="21"/>
      <c r="J3256" s="21"/>
      <c r="K3256" s="5" t="str">
        <f>IF(AND(LEN(H3256)=0, LEN(I3256)=0), "", IF(AND(LEN(H3256)&gt;0, LEN(I3256)=0), "BLANCO", IFERROR(VLOOKUP(I3256, BasedatosM9!A:B, 2, FALSE), "BLANCO")))</f>
        <v/>
      </c>
    </row>
    <row r="3257" spans="1:11" ht="14.4">
      <c r="A3257" s="21"/>
      <c r="B3257" s="86"/>
      <c r="C3257" s="98"/>
      <c r="D3257" s="21"/>
      <c r="E3257" s="86"/>
      <c r="F3257" s="99"/>
      <c r="G3257" s="99"/>
      <c r="H3257" s="21"/>
      <c r="I3257" s="86"/>
      <c r="J3257" s="21"/>
      <c r="K3257" s="5" t="str">
        <f>IF(AND(LEN(H3257)=0, LEN(I3257)=0), "", IF(AND(LEN(H3257)&gt;0, LEN(I3257)=0), "BLANCO", IFERROR(VLOOKUP(I3257, BasedatosM9!A:B, 2, FALSE), "BLANCO")))</f>
        <v/>
      </c>
    </row>
    <row r="3258" spans="1:11" ht="14.4">
      <c r="A3258" s="21"/>
      <c r="B3258" s="86"/>
      <c r="C3258" s="98"/>
      <c r="D3258" s="21"/>
      <c r="E3258" s="86"/>
      <c r="F3258" s="99"/>
      <c r="G3258" s="99"/>
      <c r="H3258" s="21"/>
      <c r="I3258" s="86"/>
      <c r="J3258" s="21"/>
      <c r="K3258" s="5" t="str">
        <f>IF(AND(LEN(H3258)=0, LEN(I3258)=0), "", IF(AND(LEN(H3258)&gt;0, LEN(I3258)=0), "BLANCO", IFERROR(VLOOKUP(I3258, BasedatosM9!A:B, 2, FALSE), "BLANCO")))</f>
        <v/>
      </c>
    </row>
    <row r="3259" spans="1:11" ht="14.4">
      <c r="A3259" s="21"/>
      <c r="B3259" s="86"/>
      <c r="C3259" s="98"/>
      <c r="D3259" s="21"/>
      <c r="E3259" s="86"/>
      <c r="F3259" s="99"/>
      <c r="G3259" s="99"/>
      <c r="H3259" s="21"/>
      <c r="I3259" s="86"/>
      <c r="J3259" s="21"/>
      <c r="K3259" s="5" t="str">
        <f>IF(AND(LEN(H3259)=0, LEN(I3259)=0), "", IF(AND(LEN(H3259)&gt;0, LEN(I3259)=0), "BLANCO", IFERROR(VLOOKUP(I3259, BasedatosM9!A:B, 2, FALSE), "BLANCO")))</f>
        <v/>
      </c>
    </row>
    <row r="3260" spans="1:11" ht="14.4">
      <c r="A3260" s="21"/>
      <c r="B3260" s="86"/>
      <c r="C3260" s="98"/>
      <c r="D3260" s="21"/>
      <c r="E3260" s="86"/>
      <c r="F3260" s="99"/>
      <c r="G3260" s="99"/>
      <c r="H3260" s="21"/>
      <c r="I3260" s="86"/>
      <c r="J3260" s="21"/>
      <c r="K3260" s="5" t="str">
        <f>IF(AND(LEN(H3260)=0, LEN(I3260)=0), "", IF(AND(LEN(H3260)&gt;0, LEN(I3260)=0), "BLANCO", IFERROR(VLOOKUP(I3260, BasedatosM9!A:B, 2, FALSE), "BLANCO")))</f>
        <v/>
      </c>
    </row>
    <row r="3261" spans="1:11" ht="14.4">
      <c r="A3261" s="21"/>
      <c r="B3261" s="86"/>
      <c r="C3261" s="98"/>
      <c r="D3261" s="21"/>
      <c r="E3261" s="86"/>
      <c r="F3261" s="99"/>
      <c r="G3261" s="99"/>
      <c r="H3261" s="21"/>
      <c r="I3261" s="86"/>
      <c r="J3261" s="21"/>
      <c r="K3261" s="5" t="str">
        <f>IF(AND(LEN(H3261)=0, LEN(I3261)=0), "", IF(AND(LEN(H3261)&gt;0, LEN(I3261)=0), "BLANCO", IFERROR(VLOOKUP(I3261, BasedatosM9!A:B, 2, FALSE), "BLANCO")))</f>
        <v/>
      </c>
    </row>
    <row r="3262" spans="1:11" ht="14.4">
      <c r="A3262" s="21"/>
      <c r="B3262" s="86"/>
      <c r="C3262" s="98"/>
      <c r="D3262" s="21"/>
      <c r="E3262" s="86"/>
      <c r="F3262" s="99"/>
      <c r="G3262" s="99"/>
      <c r="H3262" s="21"/>
      <c r="I3262" s="86"/>
      <c r="J3262" s="21"/>
      <c r="K3262" s="5" t="str">
        <f>IF(AND(LEN(H3262)=0, LEN(I3262)=0), "", IF(AND(LEN(H3262)&gt;0, LEN(I3262)=0), "BLANCO", IFERROR(VLOOKUP(I3262, BasedatosM9!A:B, 2, FALSE), "BLANCO")))</f>
        <v/>
      </c>
    </row>
    <row r="3263" spans="1:11" ht="14.4">
      <c r="A3263" s="21"/>
      <c r="B3263" s="86"/>
      <c r="C3263" s="98"/>
      <c r="D3263" s="21"/>
      <c r="E3263" s="86"/>
      <c r="F3263" s="99"/>
      <c r="G3263" s="99"/>
      <c r="H3263" s="21"/>
      <c r="I3263" s="86"/>
      <c r="J3263" s="21"/>
      <c r="K3263" s="5" t="str">
        <f>IF(AND(LEN(H3263)=0, LEN(I3263)=0), "", IF(AND(LEN(H3263)&gt;0, LEN(I3263)=0), "BLANCO", IFERROR(VLOOKUP(I3263, BasedatosM9!A:B, 2, FALSE), "BLANCO")))</f>
        <v/>
      </c>
    </row>
    <row r="3264" spans="1:11" ht="14.4">
      <c r="A3264" s="21"/>
      <c r="B3264" s="86"/>
      <c r="C3264" s="98"/>
      <c r="D3264" s="21"/>
      <c r="E3264" s="86"/>
      <c r="F3264" s="99"/>
      <c r="G3264" s="99"/>
      <c r="H3264" s="21"/>
      <c r="I3264" s="86"/>
      <c r="J3264" s="21"/>
      <c r="K3264" s="5" t="str">
        <f>IF(AND(LEN(H3264)=0, LEN(I3264)=0), "", IF(AND(LEN(H3264)&gt;0, LEN(I3264)=0), "BLANCO", IFERROR(VLOOKUP(I3264, BasedatosM9!A:B, 2, FALSE), "BLANCO")))</f>
        <v/>
      </c>
    </row>
    <row r="3265" spans="1:11" ht="14.4">
      <c r="A3265" s="21"/>
      <c r="B3265" s="86"/>
      <c r="C3265" s="98"/>
      <c r="D3265" s="21"/>
      <c r="E3265" s="86"/>
      <c r="F3265" s="99"/>
      <c r="G3265" s="99"/>
      <c r="H3265" s="21"/>
      <c r="I3265" s="21"/>
      <c r="J3265" s="21"/>
      <c r="K3265" s="5" t="str">
        <f>IF(AND(LEN(H3265)=0, LEN(I3265)=0), "", IF(AND(LEN(H3265)&gt;0, LEN(I3265)=0), "BLANCO", IFERROR(VLOOKUP(I3265, BasedatosM9!A:B, 2, FALSE), "BLANCO")))</f>
        <v/>
      </c>
    </row>
    <row r="3266" spans="1:11" ht="14.4">
      <c r="A3266" s="21"/>
      <c r="B3266" s="86"/>
      <c r="C3266" s="98"/>
      <c r="D3266" s="21"/>
      <c r="E3266" s="86"/>
      <c r="F3266" s="99"/>
      <c r="G3266" s="99"/>
      <c r="H3266" s="21"/>
      <c r="I3266" s="86"/>
      <c r="J3266" s="21"/>
      <c r="K3266" s="5" t="str">
        <f>IF(AND(LEN(H3266)=0, LEN(I3266)=0), "", IF(AND(LEN(H3266)&gt;0, LEN(I3266)=0), "BLANCO", IFERROR(VLOOKUP(I3266, BasedatosM9!A:B, 2, FALSE), "BLANCO")))</f>
        <v/>
      </c>
    </row>
    <row r="3267" spans="1:11" ht="14.4">
      <c r="A3267" s="21"/>
      <c r="B3267" s="86"/>
      <c r="C3267" s="98"/>
      <c r="D3267" s="21"/>
      <c r="E3267" s="86"/>
      <c r="F3267" s="99"/>
      <c r="G3267" s="99"/>
      <c r="H3267" s="21"/>
      <c r="I3267" s="86"/>
      <c r="J3267" s="21"/>
      <c r="K3267" s="5" t="str">
        <f>IF(AND(LEN(H3267)=0, LEN(I3267)=0), "", IF(AND(LEN(H3267)&gt;0, LEN(I3267)=0), "BLANCO", IFERROR(VLOOKUP(I3267, BasedatosM9!A:B, 2, FALSE), "BLANCO")))</f>
        <v/>
      </c>
    </row>
    <row r="3268" spans="1:11" ht="14.4">
      <c r="A3268" s="21"/>
      <c r="B3268" s="86"/>
      <c r="C3268" s="98"/>
      <c r="D3268" s="21"/>
      <c r="E3268" s="86"/>
      <c r="F3268" s="99"/>
      <c r="G3268" s="99"/>
      <c r="H3268" s="21"/>
      <c r="I3268" s="86"/>
      <c r="J3268" s="21"/>
      <c r="K3268" s="5" t="str">
        <f>IF(AND(LEN(H3268)=0, LEN(I3268)=0), "", IF(AND(LEN(H3268)&gt;0, LEN(I3268)=0), "BLANCO", IFERROR(VLOOKUP(I3268, BasedatosM9!A:B, 2, FALSE), "BLANCO")))</f>
        <v/>
      </c>
    </row>
    <row r="3269" spans="1:11" ht="14.4">
      <c r="A3269" s="21"/>
      <c r="B3269" s="86"/>
      <c r="C3269" s="98"/>
      <c r="D3269" s="21"/>
      <c r="E3269" s="86"/>
      <c r="F3269" s="99"/>
      <c r="G3269" s="99"/>
      <c r="H3269" s="21"/>
      <c r="I3269" s="86"/>
      <c r="J3269" s="21"/>
      <c r="K3269" s="5" t="str">
        <f>IF(AND(LEN(H3269)=0, LEN(I3269)=0), "", IF(AND(LEN(H3269)&gt;0, LEN(I3269)=0), "BLANCO", IFERROR(VLOOKUP(I3269, BasedatosM9!A:B, 2, FALSE), "BLANCO")))</f>
        <v/>
      </c>
    </row>
    <row r="3270" spans="1:11" ht="14.4">
      <c r="A3270" s="21"/>
      <c r="B3270" s="86"/>
      <c r="C3270" s="98"/>
      <c r="D3270" s="21"/>
      <c r="E3270" s="86"/>
      <c r="F3270" s="99"/>
      <c r="G3270" s="99"/>
      <c r="H3270" s="21"/>
      <c r="I3270" s="86"/>
      <c r="J3270" s="21"/>
      <c r="K3270" s="5" t="str">
        <f>IF(AND(LEN(H3270)=0, LEN(I3270)=0), "", IF(AND(LEN(H3270)&gt;0, LEN(I3270)=0), "BLANCO", IFERROR(VLOOKUP(I3270, BasedatosM9!A:B, 2, FALSE), "BLANCO")))</f>
        <v/>
      </c>
    </row>
    <row r="3271" spans="1:11" ht="14.4">
      <c r="A3271" s="21"/>
      <c r="B3271" s="86"/>
      <c r="C3271" s="98"/>
      <c r="D3271" s="21"/>
      <c r="E3271" s="86"/>
      <c r="F3271" s="99"/>
      <c r="G3271" s="99"/>
      <c r="H3271" s="21"/>
      <c r="I3271" s="21"/>
      <c r="J3271" s="21"/>
      <c r="K3271" s="5" t="str">
        <f>IF(AND(LEN(H3271)=0, LEN(I3271)=0), "", IF(AND(LEN(H3271)&gt;0, LEN(I3271)=0), "BLANCO", IFERROR(VLOOKUP(I3271, BasedatosM9!A:B, 2, FALSE), "BLANCO")))</f>
        <v/>
      </c>
    </row>
    <row r="3272" spans="1:11" ht="14.4">
      <c r="A3272" s="21"/>
      <c r="B3272" s="86"/>
      <c r="C3272" s="98"/>
      <c r="D3272" s="21"/>
      <c r="E3272" s="86"/>
      <c r="F3272" s="99"/>
      <c r="G3272" s="99"/>
      <c r="H3272" s="21"/>
      <c r="I3272" s="86"/>
      <c r="J3272" s="21"/>
      <c r="K3272" s="5" t="str">
        <f>IF(AND(LEN(H3272)=0, LEN(I3272)=0), "", IF(AND(LEN(H3272)&gt;0, LEN(I3272)=0), "BLANCO", IFERROR(VLOOKUP(I3272, BasedatosM9!A:B, 2, FALSE), "BLANCO")))</f>
        <v/>
      </c>
    </row>
    <row r="3273" spans="1:11" ht="14.4">
      <c r="A3273" s="21"/>
      <c r="B3273" s="86"/>
      <c r="C3273" s="98"/>
      <c r="D3273" s="21"/>
      <c r="E3273" s="86"/>
      <c r="F3273" s="99"/>
      <c r="G3273" s="99"/>
      <c r="H3273" s="21"/>
      <c r="I3273" s="21"/>
      <c r="J3273" s="21"/>
      <c r="K3273" s="5" t="str">
        <f>IF(AND(LEN(H3273)=0, LEN(I3273)=0), "", IF(AND(LEN(H3273)&gt;0, LEN(I3273)=0), "BLANCO", IFERROR(VLOOKUP(I3273, BasedatosM9!A:B, 2, FALSE), "BLANCO")))</f>
        <v/>
      </c>
    </row>
    <row r="3274" spans="1:11" ht="14.4">
      <c r="A3274" s="21"/>
      <c r="B3274" s="86"/>
      <c r="C3274" s="98"/>
      <c r="D3274" s="21"/>
      <c r="E3274" s="86"/>
      <c r="F3274" s="99"/>
      <c r="G3274" s="99"/>
      <c r="H3274" s="21"/>
      <c r="I3274" s="86"/>
      <c r="J3274" s="21"/>
      <c r="K3274" s="5" t="str">
        <f>IF(AND(LEN(H3274)=0, LEN(I3274)=0), "", IF(AND(LEN(H3274)&gt;0, LEN(I3274)=0), "BLANCO", IFERROR(VLOOKUP(I3274, BasedatosM9!A:B, 2, FALSE), "BLANCO")))</f>
        <v/>
      </c>
    </row>
    <row r="3275" spans="1:11" ht="14.4">
      <c r="A3275" s="21"/>
      <c r="B3275" s="86"/>
      <c r="C3275" s="98"/>
      <c r="D3275" s="21"/>
      <c r="E3275" s="86"/>
      <c r="F3275" s="99"/>
      <c r="G3275" s="99"/>
      <c r="H3275" s="21"/>
      <c r="I3275" s="86"/>
      <c r="J3275" s="21"/>
      <c r="K3275" s="5" t="str">
        <f>IF(AND(LEN(H3275)=0, LEN(I3275)=0), "", IF(AND(LEN(H3275)&gt;0, LEN(I3275)=0), "BLANCO", IFERROR(VLOOKUP(I3275, BasedatosM9!A:B, 2, FALSE), "BLANCO")))</f>
        <v/>
      </c>
    </row>
    <row r="3276" spans="1:11" ht="14.4">
      <c r="A3276" s="21"/>
      <c r="B3276" s="86"/>
      <c r="C3276" s="98"/>
      <c r="D3276" s="21"/>
      <c r="E3276" s="86"/>
      <c r="F3276" s="99"/>
      <c r="G3276" s="99"/>
      <c r="H3276" s="21"/>
      <c r="I3276" s="21"/>
      <c r="J3276" s="21"/>
      <c r="K3276" s="5" t="str">
        <f>IF(AND(LEN(H3276)=0, LEN(I3276)=0), "", IF(AND(LEN(H3276)&gt;0, LEN(I3276)=0), "BLANCO", IFERROR(VLOOKUP(I3276, BasedatosM9!A:B, 2, FALSE), "BLANCO")))</f>
        <v/>
      </c>
    </row>
    <row r="3277" spans="1:11" ht="14.4">
      <c r="A3277" s="21"/>
      <c r="B3277" s="86"/>
      <c r="C3277" s="98"/>
      <c r="D3277" s="21"/>
      <c r="E3277" s="86"/>
      <c r="F3277" s="99"/>
      <c r="G3277" s="99"/>
      <c r="H3277" s="21"/>
      <c r="I3277" s="21"/>
      <c r="J3277" s="21"/>
      <c r="K3277" s="5" t="str">
        <f>IF(AND(LEN(H3277)=0, LEN(I3277)=0), "", IF(AND(LEN(H3277)&gt;0, LEN(I3277)=0), "BLANCO", IFERROR(VLOOKUP(I3277, BasedatosM9!A:B, 2, FALSE), "BLANCO")))</f>
        <v/>
      </c>
    </row>
    <row r="3278" spans="1:11" ht="14.4">
      <c r="A3278" s="21"/>
      <c r="B3278" s="86"/>
      <c r="C3278" s="98"/>
      <c r="D3278" s="21"/>
      <c r="E3278" s="86"/>
      <c r="F3278" s="99"/>
      <c r="G3278" s="99"/>
      <c r="H3278" s="21"/>
      <c r="I3278" s="86"/>
      <c r="J3278" s="21"/>
      <c r="K3278" s="5" t="str">
        <f>IF(AND(LEN(H3278)=0, LEN(I3278)=0), "", IF(AND(LEN(H3278)&gt;0, LEN(I3278)=0), "BLANCO", IFERROR(VLOOKUP(I3278, BasedatosM9!A:B, 2, FALSE), "BLANCO")))</f>
        <v/>
      </c>
    </row>
    <row r="3279" spans="1:11" ht="14.4">
      <c r="A3279" s="21"/>
      <c r="B3279" s="86"/>
      <c r="C3279" s="98"/>
      <c r="D3279" s="21"/>
      <c r="E3279" s="86"/>
      <c r="F3279" s="99"/>
      <c r="G3279" s="99"/>
      <c r="H3279" s="21"/>
      <c r="I3279" s="86"/>
      <c r="J3279" s="21"/>
      <c r="K3279" s="5" t="str">
        <f>IF(AND(LEN(H3279)=0, LEN(I3279)=0), "", IF(AND(LEN(H3279)&gt;0, LEN(I3279)=0), "BLANCO", IFERROR(VLOOKUP(I3279, BasedatosM9!A:B, 2, FALSE), "BLANCO")))</f>
        <v/>
      </c>
    </row>
    <row r="3280" spans="1:11" ht="14.4">
      <c r="A3280" s="21"/>
      <c r="B3280" s="86"/>
      <c r="C3280" s="98"/>
      <c r="D3280" s="21"/>
      <c r="E3280" s="86"/>
      <c r="F3280" s="99"/>
      <c r="G3280" s="99"/>
      <c r="H3280" s="21"/>
      <c r="I3280" s="86"/>
      <c r="J3280" s="21"/>
      <c r="K3280" s="5" t="str">
        <f>IF(AND(LEN(H3280)=0, LEN(I3280)=0), "", IF(AND(LEN(H3280)&gt;0, LEN(I3280)=0), "BLANCO", IFERROR(VLOOKUP(I3280, BasedatosM9!A:B, 2, FALSE), "BLANCO")))</f>
        <v/>
      </c>
    </row>
    <row r="3281" spans="1:11" ht="14.4">
      <c r="A3281" s="21"/>
      <c r="B3281" s="86"/>
      <c r="C3281" s="98"/>
      <c r="D3281" s="21"/>
      <c r="E3281" s="86"/>
      <c r="F3281" s="99"/>
      <c r="G3281" s="99"/>
      <c r="H3281" s="21"/>
      <c r="I3281" s="86"/>
      <c r="J3281" s="21"/>
      <c r="K3281" s="5" t="str">
        <f>IF(AND(LEN(H3281)=0, LEN(I3281)=0), "", IF(AND(LEN(H3281)&gt;0, LEN(I3281)=0), "BLANCO", IFERROR(VLOOKUP(I3281, BasedatosM9!A:B, 2, FALSE), "BLANCO")))</f>
        <v/>
      </c>
    </row>
    <row r="3282" spans="1:11" ht="14.4">
      <c r="A3282" s="21"/>
      <c r="B3282" s="86"/>
      <c r="C3282" s="98"/>
      <c r="D3282" s="21"/>
      <c r="E3282" s="86"/>
      <c r="F3282" s="99"/>
      <c r="G3282" s="99"/>
      <c r="H3282" s="21"/>
      <c r="I3282" s="86"/>
      <c r="J3282" s="21"/>
      <c r="K3282" s="5" t="str">
        <f>IF(AND(LEN(H3282)=0, LEN(I3282)=0), "", IF(AND(LEN(H3282)&gt;0, LEN(I3282)=0), "BLANCO", IFERROR(VLOOKUP(I3282, BasedatosM9!A:B, 2, FALSE), "BLANCO")))</f>
        <v/>
      </c>
    </row>
    <row r="3283" spans="1:11" ht="14.4">
      <c r="A3283" s="21"/>
      <c r="B3283" s="86"/>
      <c r="C3283" s="98"/>
      <c r="D3283" s="21"/>
      <c r="E3283" s="86"/>
      <c r="F3283" s="99"/>
      <c r="G3283" s="99"/>
      <c r="H3283" s="21"/>
      <c r="I3283" s="21"/>
      <c r="J3283" s="21"/>
      <c r="K3283" s="5" t="str">
        <f>IF(AND(LEN(H3283)=0, LEN(I3283)=0), "", IF(AND(LEN(H3283)&gt;0, LEN(I3283)=0), "BLANCO", IFERROR(VLOOKUP(I3283, BasedatosM9!A:B, 2, FALSE), "BLANCO")))</f>
        <v/>
      </c>
    </row>
    <row r="3284" spans="1:11" ht="14.4">
      <c r="A3284" s="21"/>
      <c r="B3284" s="86"/>
      <c r="C3284" s="98"/>
      <c r="D3284" s="21"/>
      <c r="E3284" s="86"/>
      <c r="F3284" s="99"/>
      <c r="G3284" s="99"/>
      <c r="H3284" s="21"/>
      <c r="I3284" s="86"/>
      <c r="J3284" s="21"/>
      <c r="K3284" s="5" t="str">
        <f>IF(AND(LEN(H3284)=0, LEN(I3284)=0), "", IF(AND(LEN(H3284)&gt;0, LEN(I3284)=0), "BLANCO", IFERROR(VLOOKUP(I3284, BasedatosM9!A:B, 2, FALSE), "BLANCO")))</f>
        <v/>
      </c>
    </row>
    <row r="3285" spans="1:11" ht="14.4">
      <c r="A3285" s="21"/>
      <c r="B3285" s="86"/>
      <c r="C3285" s="98"/>
      <c r="D3285" s="21"/>
      <c r="E3285" s="86"/>
      <c r="F3285" s="99"/>
      <c r="G3285" s="99"/>
      <c r="H3285" s="21"/>
      <c r="I3285" s="86"/>
      <c r="J3285" s="21"/>
      <c r="K3285" s="5" t="str">
        <f>IF(AND(LEN(H3285)=0, LEN(I3285)=0), "", IF(AND(LEN(H3285)&gt;0, LEN(I3285)=0), "BLANCO", IFERROR(VLOOKUP(I3285, BasedatosM9!A:B, 2, FALSE), "BLANCO")))</f>
        <v/>
      </c>
    </row>
    <row r="3286" spans="1:11" ht="14.4">
      <c r="A3286" s="21"/>
      <c r="B3286" s="86"/>
      <c r="C3286" s="98"/>
      <c r="D3286" s="21"/>
      <c r="E3286" s="86"/>
      <c r="F3286" s="99"/>
      <c r="G3286" s="99"/>
      <c r="H3286" s="21"/>
      <c r="I3286" s="21"/>
      <c r="J3286" s="21"/>
      <c r="K3286" s="5" t="str">
        <f>IF(AND(LEN(H3286)=0, LEN(I3286)=0), "", IF(AND(LEN(H3286)&gt;0, LEN(I3286)=0), "BLANCO", IFERROR(VLOOKUP(I3286, BasedatosM9!A:B, 2, FALSE), "BLANCO")))</f>
        <v/>
      </c>
    </row>
    <row r="3287" spans="1:11" ht="14.4">
      <c r="A3287" s="21"/>
      <c r="B3287" s="86"/>
      <c r="C3287" s="98"/>
      <c r="D3287" s="21"/>
      <c r="E3287" s="86"/>
      <c r="F3287" s="99"/>
      <c r="G3287" s="99"/>
      <c r="H3287" s="21"/>
      <c r="I3287" s="21"/>
      <c r="J3287" s="21"/>
      <c r="K3287" s="5" t="str">
        <f>IF(AND(LEN(H3287)=0, LEN(I3287)=0), "", IF(AND(LEN(H3287)&gt;0, LEN(I3287)=0), "BLANCO", IFERROR(VLOOKUP(I3287, BasedatosM9!A:B, 2, FALSE), "BLANCO")))</f>
        <v/>
      </c>
    </row>
    <row r="3288" spans="1:11" ht="14.4">
      <c r="A3288" s="21"/>
      <c r="B3288" s="86"/>
      <c r="C3288" s="98"/>
      <c r="D3288" s="21"/>
      <c r="E3288" s="86"/>
      <c r="F3288" s="99"/>
      <c r="G3288" s="99"/>
      <c r="H3288" s="21"/>
      <c r="I3288" s="86"/>
      <c r="J3288" s="21"/>
      <c r="K3288" s="5" t="str">
        <f>IF(AND(LEN(H3288)=0, LEN(I3288)=0), "", IF(AND(LEN(H3288)&gt;0, LEN(I3288)=0), "BLANCO", IFERROR(VLOOKUP(I3288, BasedatosM9!A:B, 2, FALSE), "BLANCO")))</f>
        <v/>
      </c>
    </row>
    <row r="3289" spans="1:11" ht="14.4">
      <c r="A3289" s="21"/>
      <c r="B3289" s="86"/>
      <c r="C3289" s="98"/>
      <c r="D3289" s="21"/>
      <c r="E3289" s="86"/>
      <c r="F3289" s="99"/>
      <c r="G3289" s="99"/>
      <c r="H3289" s="21"/>
      <c r="I3289" s="21"/>
      <c r="J3289" s="21"/>
      <c r="K3289" s="5" t="str">
        <f>IF(AND(LEN(H3289)=0, LEN(I3289)=0), "", IF(AND(LEN(H3289)&gt;0, LEN(I3289)=0), "BLANCO", IFERROR(VLOOKUP(I3289, BasedatosM9!A:B, 2, FALSE), "BLANCO")))</f>
        <v/>
      </c>
    </row>
    <row r="3290" spans="1:11" ht="14.4">
      <c r="A3290" s="21"/>
      <c r="B3290" s="86"/>
      <c r="C3290" s="98"/>
      <c r="D3290" s="21"/>
      <c r="E3290" s="86"/>
      <c r="F3290" s="99"/>
      <c r="G3290" s="99"/>
      <c r="H3290" s="21"/>
      <c r="I3290" s="21"/>
      <c r="J3290" s="21"/>
      <c r="K3290" s="5" t="str">
        <f>IF(AND(LEN(H3290)=0, LEN(I3290)=0), "", IF(AND(LEN(H3290)&gt;0, LEN(I3290)=0), "BLANCO", IFERROR(VLOOKUP(I3290, BasedatosM9!A:B, 2, FALSE), "BLANCO")))</f>
        <v/>
      </c>
    </row>
    <row r="3291" spans="1:11" ht="14.4">
      <c r="A3291" s="21"/>
      <c r="B3291" s="86"/>
      <c r="C3291" s="98"/>
      <c r="D3291" s="21"/>
      <c r="E3291" s="86"/>
      <c r="F3291" s="99"/>
      <c r="G3291" s="99"/>
      <c r="H3291" s="21"/>
      <c r="I3291" s="86"/>
      <c r="J3291" s="21"/>
      <c r="K3291" s="5" t="str">
        <f>IF(AND(LEN(H3291)=0, LEN(I3291)=0), "", IF(AND(LEN(H3291)&gt;0, LEN(I3291)=0), "BLANCO", IFERROR(VLOOKUP(I3291, BasedatosM9!A:B, 2, FALSE), "BLANCO")))</f>
        <v/>
      </c>
    </row>
    <row r="3292" spans="1:11" ht="14.4">
      <c r="A3292" s="21"/>
      <c r="B3292" s="86"/>
      <c r="C3292" s="98"/>
      <c r="D3292" s="21"/>
      <c r="E3292" s="86"/>
      <c r="F3292" s="99"/>
      <c r="G3292" s="99"/>
      <c r="H3292" s="21"/>
      <c r="I3292" s="86"/>
      <c r="J3292" s="21"/>
      <c r="K3292" s="5" t="str">
        <f>IF(AND(LEN(H3292)=0, LEN(I3292)=0), "", IF(AND(LEN(H3292)&gt;0, LEN(I3292)=0), "BLANCO", IFERROR(VLOOKUP(I3292, BasedatosM9!A:B, 2, FALSE), "BLANCO")))</f>
        <v/>
      </c>
    </row>
    <row r="3293" spans="1:11" ht="14.4">
      <c r="A3293" s="21"/>
      <c r="B3293" s="86"/>
      <c r="C3293" s="98"/>
      <c r="D3293" s="21"/>
      <c r="E3293" s="86"/>
      <c r="F3293" s="99"/>
      <c r="G3293" s="99"/>
      <c r="H3293" s="21"/>
      <c r="I3293" s="21"/>
      <c r="J3293" s="21"/>
      <c r="K3293" s="5" t="str">
        <f>IF(AND(LEN(H3293)=0, LEN(I3293)=0), "", IF(AND(LEN(H3293)&gt;0, LEN(I3293)=0), "BLANCO", IFERROR(VLOOKUP(I3293, BasedatosM9!A:B, 2, FALSE), "BLANCO")))</f>
        <v/>
      </c>
    </row>
    <row r="3294" spans="1:11" ht="14.4">
      <c r="A3294" s="21"/>
      <c r="B3294" s="86"/>
      <c r="C3294" s="98"/>
      <c r="D3294" s="21"/>
      <c r="E3294" s="86"/>
      <c r="F3294" s="99"/>
      <c r="G3294" s="99"/>
      <c r="H3294" s="21"/>
      <c r="I3294" s="86"/>
      <c r="J3294" s="21"/>
      <c r="K3294" s="5" t="str">
        <f>IF(AND(LEN(H3294)=0, LEN(I3294)=0), "", IF(AND(LEN(H3294)&gt;0, LEN(I3294)=0), "BLANCO", IFERROR(VLOOKUP(I3294, BasedatosM9!A:B, 2, FALSE), "BLANCO")))</f>
        <v/>
      </c>
    </row>
    <row r="3295" spans="1:11" ht="14.4">
      <c r="A3295" s="21"/>
      <c r="B3295" s="86"/>
      <c r="C3295" s="98"/>
      <c r="D3295" s="21"/>
      <c r="E3295" s="86"/>
      <c r="F3295" s="99"/>
      <c r="G3295" s="99"/>
      <c r="H3295" s="21"/>
      <c r="I3295" s="86"/>
      <c r="J3295" s="21"/>
      <c r="K3295" s="5" t="str">
        <f>IF(AND(LEN(H3295)=0, LEN(I3295)=0), "", IF(AND(LEN(H3295)&gt;0, LEN(I3295)=0), "BLANCO", IFERROR(VLOOKUP(I3295, BasedatosM9!A:B, 2, FALSE), "BLANCO")))</f>
        <v/>
      </c>
    </row>
    <row r="3296" spans="1:11" ht="14.4">
      <c r="A3296" s="21"/>
      <c r="B3296" s="86"/>
      <c r="C3296" s="98"/>
      <c r="D3296" s="21"/>
      <c r="E3296" s="86"/>
      <c r="F3296" s="99"/>
      <c r="G3296" s="99"/>
      <c r="H3296" s="21"/>
      <c r="I3296" s="86"/>
      <c r="J3296" s="21"/>
      <c r="K3296" s="5" t="str">
        <f>IF(AND(LEN(H3296)=0, LEN(I3296)=0), "", IF(AND(LEN(H3296)&gt;0, LEN(I3296)=0), "BLANCO", IFERROR(VLOOKUP(I3296, BasedatosM9!A:B, 2, FALSE), "BLANCO")))</f>
        <v/>
      </c>
    </row>
    <row r="3297" spans="1:11" ht="14.4">
      <c r="A3297" s="21"/>
      <c r="B3297" s="86"/>
      <c r="C3297" s="98"/>
      <c r="D3297" s="21"/>
      <c r="E3297" s="86"/>
      <c r="F3297" s="99"/>
      <c r="G3297" s="99"/>
      <c r="H3297" s="21"/>
      <c r="I3297" s="86"/>
      <c r="J3297" s="21"/>
      <c r="K3297" s="5" t="str">
        <f>IF(AND(LEN(H3297)=0, LEN(I3297)=0), "", IF(AND(LEN(H3297)&gt;0, LEN(I3297)=0), "BLANCO", IFERROR(VLOOKUP(I3297, BasedatosM9!A:B, 2, FALSE), "BLANCO")))</f>
        <v/>
      </c>
    </row>
    <row r="3298" spans="1:11" ht="14.4">
      <c r="A3298" s="21"/>
      <c r="B3298" s="86"/>
      <c r="C3298" s="98"/>
      <c r="D3298" s="21"/>
      <c r="E3298" s="86"/>
      <c r="F3298" s="99"/>
      <c r="G3298" s="99"/>
      <c r="H3298" s="21"/>
      <c r="I3298" s="86"/>
      <c r="J3298" s="21"/>
      <c r="K3298" s="5" t="str">
        <f>IF(AND(LEN(H3298)=0, LEN(I3298)=0), "", IF(AND(LEN(H3298)&gt;0, LEN(I3298)=0), "BLANCO", IFERROR(VLOOKUP(I3298, BasedatosM9!A:B, 2, FALSE), "BLANCO")))</f>
        <v/>
      </c>
    </row>
    <row r="3299" spans="1:11" ht="14.4">
      <c r="A3299" s="21"/>
      <c r="B3299" s="86"/>
      <c r="C3299" s="98"/>
      <c r="D3299" s="21"/>
      <c r="E3299" s="86"/>
      <c r="F3299" s="99"/>
      <c r="G3299" s="99"/>
      <c r="H3299" s="21"/>
      <c r="I3299" s="86"/>
      <c r="J3299" s="21"/>
      <c r="K3299" s="5" t="str">
        <f>IF(AND(LEN(H3299)=0, LEN(I3299)=0), "", IF(AND(LEN(H3299)&gt;0, LEN(I3299)=0), "BLANCO", IFERROR(VLOOKUP(I3299, BasedatosM9!A:B, 2, FALSE), "BLANCO")))</f>
        <v/>
      </c>
    </row>
    <row r="3300" spans="1:11" ht="14.4">
      <c r="A3300" s="21"/>
      <c r="B3300" s="86"/>
      <c r="C3300" s="98"/>
      <c r="D3300" s="21"/>
      <c r="E3300" s="86"/>
      <c r="F3300" s="99"/>
      <c r="G3300" s="99"/>
      <c r="H3300" s="21"/>
      <c r="I3300" s="21"/>
      <c r="J3300" s="21"/>
      <c r="K3300" s="5" t="str">
        <f>IF(AND(LEN(H3300)=0, LEN(I3300)=0), "", IF(AND(LEN(H3300)&gt;0, LEN(I3300)=0), "BLANCO", IFERROR(VLOOKUP(I3300, BasedatosM9!A:B, 2, FALSE), "BLANCO")))</f>
        <v/>
      </c>
    </row>
    <row r="3301" spans="1:11" ht="14.4">
      <c r="A3301" s="21"/>
      <c r="B3301" s="86"/>
      <c r="C3301" s="98"/>
      <c r="D3301" s="21"/>
      <c r="E3301" s="86"/>
      <c r="F3301" s="99"/>
      <c r="G3301" s="99"/>
      <c r="H3301" s="21"/>
      <c r="I3301" s="86"/>
      <c r="J3301" s="21"/>
      <c r="K3301" s="5" t="str">
        <f>IF(AND(LEN(H3301)=0, LEN(I3301)=0), "", IF(AND(LEN(H3301)&gt;0, LEN(I3301)=0), "BLANCO", IFERROR(VLOOKUP(I3301, BasedatosM9!A:B, 2, FALSE), "BLANCO")))</f>
        <v/>
      </c>
    </row>
    <row r="3302" spans="1:11" ht="14.4">
      <c r="A3302" s="21"/>
      <c r="B3302" s="86"/>
      <c r="C3302" s="98"/>
      <c r="D3302" s="21"/>
      <c r="E3302" s="86"/>
      <c r="F3302" s="99"/>
      <c r="G3302" s="99"/>
      <c r="H3302" s="21"/>
      <c r="I3302" s="21"/>
      <c r="J3302" s="21"/>
      <c r="K3302" s="5" t="str">
        <f>IF(AND(LEN(H3302)=0, LEN(I3302)=0), "", IF(AND(LEN(H3302)&gt;0, LEN(I3302)=0), "BLANCO", IFERROR(VLOOKUP(I3302, BasedatosM9!A:B, 2, FALSE), "BLANCO")))</f>
        <v/>
      </c>
    </row>
    <row r="3303" spans="1:11" ht="14.4">
      <c r="A3303" s="21"/>
      <c r="B3303" s="86"/>
      <c r="C3303" s="98"/>
      <c r="D3303" s="21"/>
      <c r="E3303" s="86"/>
      <c r="F3303" s="99"/>
      <c r="G3303" s="99"/>
      <c r="H3303" s="21"/>
      <c r="I3303" s="86"/>
      <c r="J3303" s="21"/>
      <c r="K3303" s="5" t="str">
        <f>IF(AND(LEN(H3303)=0, LEN(I3303)=0), "", IF(AND(LEN(H3303)&gt;0, LEN(I3303)=0), "BLANCO", IFERROR(VLOOKUP(I3303, BasedatosM9!A:B, 2, FALSE), "BLANCO")))</f>
        <v/>
      </c>
    </row>
    <row r="3304" spans="1:11" ht="14.4">
      <c r="A3304" s="21"/>
      <c r="B3304" s="86"/>
      <c r="C3304" s="98"/>
      <c r="D3304" s="21"/>
      <c r="E3304" s="86"/>
      <c r="F3304" s="99"/>
      <c r="G3304" s="99"/>
      <c r="H3304" s="21"/>
      <c r="I3304" s="86"/>
      <c r="J3304" s="21"/>
      <c r="K3304" s="5" t="str">
        <f>IF(AND(LEN(H3304)=0, LEN(I3304)=0), "", IF(AND(LEN(H3304)&gt;0, LEN(I3304)=0), "BLANCO", IFERROR(VLOOKUP(I3304, BasedatosM9!A:B, 2, FALSE), "BLANCO")))</f>
        <v/>
      </c>
    </row>
    <row r="3305" spans="1:11" ht="14.4">
      <c r="A3305" s="21"/>
      <c r="B3305" s="86"/>
      <c r="C3305" s="98"/>
      <c r="D3305" s="21"/>
      <c r="E3305" s="86"/>
      <c r="F3305" s="99"/>
      <c r="G3305" s="99"/>
      <c r="H3305" s="21"/>
      <c r="I3305" s="86"/>
      <c r="J3305" s="21"/>
      <c r="K3305" s="5" t="str">
        <f>IF(AND(LEN(H3305)=0, LEN(I3305)=0), "", IF(AND(LEN(H3305)&gt;0, LEN(I3305)=0), "BLANCO", IFERROR(VLOOKUP(I3305, BasedatosM9!A:B, 2, FALSE), "BLANCO")))</f>
        <v/>
      </c>
    </row>
    <row r="3306" spans="1:11" ht="14.4">
      <c r="A3306" s="21"/>
      <c r="B3306" s="86"/>
      <c r="C3306" s="98"/>
      <c r="D3306" s="21"/>
      <c r="E3306" s="86"/>
      <c r="F3306" s="99"/>
      <c r="G3306" s="99"/>
      <c r="H3306" s="21"/>
      <c r="I3306" s="21"/>
      <c r="J3306" s="21"/>
      <c r="K3306" s="5" t="str">
        <f>IF(AND(LEN(H3306)=0, LEN(I3306)=0), "", IF(AND(LEN(H3306)&gt;0, LEN(I3306)=0), "BLANCO", IFERROR(VLOOKUP(I3306, BasedatosM9!A:B, 2, FALSE), "BLANCO")))</f>
        <v/>
      </c>
    </row>
    <row r="3307" spans="1:11" ht="14.4">
      <c r="A3307" s="21"/>
      <c r="B3307" s="86"/>
      <c r="C3307" s="98"/>
      <c r="D3307" s="21"/>
      <c r="E3307" s="86"/>
      <c r="F3307" s="99"/>
      <c r="G3307" s="99"/>
      <c r="H3307" s="21"/>
      <c r="I3307" s="86"/>
      <c r="J3307" s="21"/>
      <c r="K3307" s="5" t="str">
        <f>IF(AND(LEN(H3307)=0, LEN(I3307)=0), "", IF(AND(LEN(H3307)&gt;0, LEN(I3307)=0), "BLANCO", IFERROR(VLOOKUP(I3307, BasedatosM9!A:B, 2, FALSE), "BLANCO")))</f>
        <v/>
      </c>
    </row>
    <row r="3308" spans="1:11" ht="14.4">
      <c r="A3308" s="21"/>
      <c r="B3308" s="86"/>
      <c r="C3308" s="98"/>
      <c r="D3308" s="21"/>
      <c r="E3308" s="86"/>
      <c r="F3308" s="99"/>
      <c r="G3308" s="99"/>
      <c r="H3308" s="21"/>
      <c r="I3308" s="86"/>
      <c r="J3308" s="21"/>
      <c r="K3308" s="5" t="str">
        <f>IF(AND(LEN(H3308)=0, LEN(I3308)=0), "", IF(AND(LEN(H3308)&gt;0, LEN(I3308)=0), "BLANCO", IFERROR(VLOOKUP(I3308, BasedatosM9!A:B, 2, FALSE), "BLANCO")))</f>
        <v/>
      </c>
    </row>
    <row r="3309" spans="1:11" ht="14.4">
      <c r="A3309" s="21"/>
      <c r="B3309" s="86"/>
      <c r="C3309" s="98"/>
      <c r="D3309" s="21"/>
      <c r="E3309" s="86"/>
      <c r="F3309" s="99"/>
      <c r="G3309" s="99"/>
      <c r="H3309" s="21"/>
      <c r="I3309" s="21"/>
      <c r="J3309" s="21"/>
      <c r="K3309" s="5" t="str">
        <f>IF(AND(LEN(H3309)=0, LEN(I3309)=0), "", IF(AND(LEN(H3309)&gt;0, LEN(I3309)=0), "BLANCO", IFERROR(VLOOKUP(I3309, BasedatosM9!A:B, 2, FALSE), "BLANCO")))</f>
        <v/>
      </c>
    </row>
    <row r="3310" spans="1:11" ht="14.4">
      <c r="A3310" s="21"/>
      <c r="B3310" s="86"/>
      <c r="C3310" s="98"/>
      <c r="D3310" s="21"/>
      <c r="E3310" s="86"/>
      <c r="F3310" s="99"/>
      <c r="G3310" s="99"/>
      <c r="H3310" s="21"/>
      <c r="I3310" s="86"/>
      <c r="J3310" s="21"/>
      <c r="K3310" s="5" t="str">
        <f>IF(AND(LEN(H3310)=0, LEN(I3310)=0), "", IF(AND(LEN(H3310)&gt;0, LEN(I3310)=0), "BLANCO", IFERROR(VLOOKUP(I3310, BasedatosM9!A:B, 2, FALSE), "BLANCO")))</f>
        <v/>
      </c>
    </row>
    <row r="3311" spans="1:11" ht="14.4">
      <c r="A3311" s="21"/>
      <c r="B3311" s="86"/>
      <c r="C3311" s="98"/>
      <c r="D3311" s="21"/>
      <c r="E3311" s="86"/>
      <c r="F3311" s="99"/>
      <c r="G3311" s="99"/>
      <c r="H3311" s="21"/>
      <c r="I3311" s="86"/>
      <c r="J3311" s="21"/>
      <c r="K3311" s="5" t="str">
        <f>IF(AND(LEN(H3311)=0, LEN(I3311)=0), "", IF(AND(LEN(H3311)&gt;0, LEN(I3311)=0), "BLANCO", IFERROR(VLOOKUP(I3311, BasedatosM9!A:B, 2, FALSE), "BLANCO")))</f>
        <v/>
      </c>
    </row>
    <row r="3312" spans="1:11" ht="14.4">
      <c r="A3312" s="21"/>
      <c r="B3312" s="86"/>
      <c r="C3312" s="98"/>
      <c r="D3312" s="21"/>
      <c r="E3312" s="86"/>
      <c r="F3312" s="99"/>
      <c r="G3312" s="99"/>
      <c r="H3312" s="21"/>
      <c r="I3312" s="21"/>
      <c r="J3312" s="21"/>
      <c r="K3312" s="5" t="str">
        <f>IF(AND(LEN(H3312)=0, LEN(I3312)=0), "", IF(AND(LEN(H3312)&gt;0, LEN(I3312)=0), "BLANCO", IFERROR(VLOOKUP(I3312, BasedatosM9!A:B, 2, FALSE), "BLANCO")))</f>
        <v/>
      </c>
    </row>
    <row r="3313" spans="1:11" ht="14.4">
      <c r="A3313" s="21"/>
      <c r="B3313" s="86"/>
      <c r="C3313" s="98"/>
      <c r="D3313" s="21"/>
      <c r="E3313" s="86"/>
      <c r="F3313" s="99"/>
      <c r="G3313" s="99"/>
      <c r="H3313" s="21"/>
      <c r="I3313" s="21"/>
      <c r="J3313" s="21"/>
      <c r="K3313" s="5" t="str">
        <f>IF(AND(LEN(H3313)=0, LEN(I3313)=0), "", IF(AND(LEN(H3313)&gt;0, LEN(I3313)=0), "BLANCO", IFERROR(VLOOKUP(I3313, BasedatosM9!A:B, 2, FALSE), "BLANCO")))</f>
        <v/>
      </c>
    </row>
    <row r="3314" spans="1:11" ht="14.4">
      <c r="A3314" s="21"/>
      <c r="B3314" s="86"/>
      <c r="C3314" s="98"/>
      <c r="D3314" s="21"/>
      <c r="E3314" s="86"/>
      <c r="F3314" s="99"/>
      <c r="G3314" s="99"/>
      <c r="H3314" s="21"/>
      <c r="I3314" s="21"/>
      <c r="J3314" s="21"/>
      <c r="K3314" s="5" t="str">
        <f>IF(AND(LEN(H3314)=0, LEN(I3314)=0), "", IF(AND(LEN(H3314)&gt;0, LEN(I3314)=0), "BLANCO", IFERROR(VLOOKUP(I3314, BasedatosM9!A:B, 2, FALSE), "BLANCO")))</f>
        <v/>
      </c>
    </row>
    <row r="3315" spans="1:11" ht="14.4">
      <c r="A3315" s="21"/>
      <c r="B3315" s="86"/>
      <c r="C3315" s="98"/>
      <c r="D3315" s="21"/>
      <c r="E3315" s="86"/>
      <c r="F3315" s="99"/>
      <c r="G3315" s="99"/>
      <c r="H3315" s="21"/>
      <c r="I3315" s="86"/>
      <c r="J3315" s="21"/>
      <c r="K3315" s="5" t="str">
        <f>IF(AND(LEN(H3315)=0, LEN(I3315)=0), "", IF(AND(LEN(H3315)&gt;0, LEN(I3315)=0), "BLANCO", IFERROR(VLOOKUP(I3315, BasedatosM9!A:B, 2, FALSE), "BLANCO")))</f>
        <v/>
      </c>
    </row>
    <row r="3316" spans="1:11" ht="14.4">
      <c r="A3316" s="21"/>
      <c r="B3316" s="86"/>
      <c r="C3316" s="98"/>
      <c r="D3316" s="21"/>
      <c r="E3316" s="86"/>
      <c r="F3316" s="99"/>
      <c r="G3316" s="99"/>
      <c r="H3316" s="21"/>
      <c r="I3316" s="21"/>
      <c r="J3316" s="21"/>
      <c r="K3316" s="5" t="str">
        <f>IF(AND(LEN(H3316)=0, LEN(I3316)=0), "", IF(AND(LEN(H3316)&gt;0, LEN(I3316)=0), "BLANCO", IFERROR(VLOOKUP(I3316, BasedatosM9!A:B, 2, FALSE), "BLANCO")))</f>
        <v/>
      </c>
    </row>
    <row r="3317" spans="1:11" ht="14.4">
      <c r="A3317" s="21"/>
      <c r="B3317" s="86"/>
      <c r="C3317" s="98"/>
      <c r="D3317" s="21"/>
      <c r="E3317" s="86"/>
      <c r="F3317" s="99"/>
      <c r="G3317" s="99"/>
      <c r="H3317" s="21"/>
      <c r="I3317" s="21"/>
      <c r="J3317" s="21"/>
      <c r="K3317" s="5" t="str">
        <f>IF(AND(LEN(H3317)=0, LEN(I3317)=0), "", IF(AND(LEN(H3317)&gt;0, LEN(I3317)=0), "BLANCO", IFERROR(VLOOKUP(I3317, BasedatosM9!A:B, 2, FALSE), "BLANCO")))</f>
        <v/>
      </c>
    </row>
    <row r="3318" spans="1:11" ht="14.4">
      <c r="A3318" s="21"/>
      <c r="B3318" s="86"/>
      <c r="C3318" s="98"/>
      <c r="D3318" s="21"/>
      <c r="E3318" s="86"/>
      <c r="F3318" s="99"/>
      <c r="G3318" s="99"/>
      <c r="H3318" s="21"/>
      <c r="I3318" s="86"/>
      <c r="J3318" s="21"/>
      <c r="K3318" s="5" t="str">
        <f>IF(AND(LEN(H3318)=0, LEN(I3318)=0), "", IF(AND(LEN(H3318)&gt;0, LEN(I3318)=0), "BLANCO", IFERROR(VLOOKUP(I3318, BasedatosM9!A:B, 2, FALSE), "BLANCO")))</f>
        <v/>
      </c>
    </row>
    <row r="3319" spans="1:11" ht="14.4">
      <c r="A3319" s="21"/>
      <c r="B3319" s="86"/>
      <c r="C3319" s="98"/>
      <c r="D3319" s="21"/>
      <c r="E3319" s="86"/>
      <c r="F3319" s="99"/>
      <c r="G3319" s="99"/>
      <c r="H3319" s="21"/>
      <c r="I3319" s="21"/>
      <c r="J3319" s="21"/>
      <c r="K3319" s="5" t="str">
        <f>IF(AND(LEN(H3319)=0, LEN(I3319)=0), "", IF(AND(LEN(H3319)&gt;0, LEN(I3319)=0), "BLANCO", IFERROR(VLOOKUP(I3319, BasedatosM9!A:B, 2, FALSE), "BLANCO")))</f>
        <v/>
      </c>
    </row>
    <row r="3320" spans="1:11" ht="14.4">
      <c r="A3320" s="21"/>
      <c r="B3320" s="86"/>
      <c r="C3320" s="98"/>
      <c r="D3320" s="21"/>
      <c r="E3320" s="86"/>
      <c r="F3320" s="99"/>
      <c r="G3320" s="99"/>
      <c r="H3320" s="21"/>
      <c r="I3320" s="86"/>
      <c r="J3320" s="21"/>
      <c r="K3320" s="5" t="str">
        <f>IF(AND(LEN(H3320)=0, LEN(I3320)=0), "", IF(AND(LEN(H3320)&gt;0, LEN(I3320)=0), "BLANCO", IFERROR(VLOOKUP(I3320, BasedatosM9!A:B, 2, FALSE), "BLANCO")))</f>
        <v/>
      </c>
    </row>
    <row r="3321" spans="1:11" ht="14.4">
      <c r="A3321" s="21"/>
      <c r="B3321" s="86"/>
      <c r="C3321" s="98"/>
      <c r="D3321" s="21"/>
      <c r="E3321" s="86"/>
      <c r="F3321" s="99"/>
      <c r="G3321" s="99"/>
      <c r="H3321" s="21"/>
      <c r="I3321" s="86"/>
      <c r="J3321" s="21"/>
      <c r="K3321" s="5" t="str">
        <f>IF(AND(LEN(H3321)=0, LEN(I3321)=0), "", IF(AND(LEN(H3321)&gt;0, LEN(I3321)=0), "BLANCO", IFERROR(VLOOKUP(I3321, BasedatosM9!A:B, 2, FALSE), "BLANCO")))</f>
        <v/>
      </c>
    </row>
    <row r="3322" spans="1:11" ht="14.4">
      <c r="A3322" s="21"/>
      <c r="B3322" s="86"/>
      <c r="C3322" s="98"/>
      <c r="D3322" s="21"/>
      <c r="E3322" s="86"/>
      <c r="F3322" s="99"/>
      <c r="G3322" s="99"/>
      <c r="H3322" s="21"/>
      <c r="I3322" s="86"/>
      <c r="J3322" s="21"/>
      <c r="K3322" s="5" t="str">
        <f>IF(AND(LEN(H3322)=0, LEN(I3322)=0), "", IF(AND(LEN(H3322)&gt;0, LEN(I3322)=0), "BLANCO", IFERROR(VLOOKUP(I3322, BasedatosM9!A:B, 2, FALSE), "BLANCO")))</f>
        <v/>
      </c>
    </row>
    <row r="3323" spans="1:11" ht="14.4">
      <c r="A3323" s="21"/>
      <c r="B3323" s="86"/>
      <c r="C3323" s="98"/>
      <c r="D3323" s="21"/>
      <c r="E3323" s="86"/>
      <c r="F3323" s="99"/>
      <c r="G3323" s="99"/>
      <c r="H3323" s="21"/>
      <c r="I3323" s="86"/>
      <c r="J3323" s="21"/>
      <c r="K3323" s="5" t="str">
        <f>IF(AND(LEN(H3323)=0, LEN(I3323)=0), "", IF(AND(LEN(H3323)&gt;0, LEN(I3323)=0), "BLANCO", IFERROR(VLOOKUP(I3323, BasedatosM9!A:B, 2, FALSE), "BLANCO")))</f>
        <v/>
      </c>
    </row>
    <row r="3324" spans="1:11" ht="14.4">
      <c r="A3324" s="21"/>
      <c r="B3324" s="86"/>
      <c r="C3324" s="98"/>
      <c r="D3324" s="21"/>
      <c r="E3324" s="86"/>
      <c r="F3324" s="99"/>
      <c r="G3324" s="99"/>
      <c r="H3324" s="21"/>
      <c r="I3324" s="86"/>
      <c r="J3324" s="21"/>
      <c r="K3324" s="5" t="str">
        <f>IF(AND(LEN(H3324)=0, LEN(I3324)=0), "", IF(AND(LEN(H3324)&gt;0, LEN(I3324)=0), "BLANCO", IFERROR(VLOOKUP(I3324, BasedatosM9!A:B, 2, FALSE), "BLANCO")))</f>
        <v/>
      </c>
    </row>
    <row r="3325" spans="1:11" ht="14.4">
      <c r="A3325" s="21"/>
      <c r="B3325" s="86"/>
      <c r="C3325" s="98"/>
      <c r="D3325" s="21"/>
      <c r="E3325" s="86"/>
      <c r="F3325" s="99"/>
      <c r="G3325" s="99"/>
      <c r="H3325" s="21"/>
      <c r="I3325" s="21"/>
      <c r="J3325" s="21"/>
      <c r="K3325" s="5" t="str">
        <f>IF(AND(LEN(H3325)=0, LEN(I3325)=0), "", IF(AND(LEN(H3325)&gt;0, LEN(I3325)=0), "BLANCO", IFERROR(VLOOKUP(I3325, BasedatosM9!A:B, 2, FALSE), "BLANCO")))</f>
        <v/>
      </c>
    </row>
    <row r="3326" spans="1:11" ht="14.4">
      <c r="A3326" s="21"/>
      <c r="B3326" s="86"/>
      <c r="C3326" s="98"/>
      <c r="D3326" s="21"/>
      <c r="E3326" s="86"/>
      <c r="F3326" s="99"/>
      <c r="G3326" s="99"/>
      <c r="H3326" s="21"/>
      <c r="I3326" s="21"/>
      <c r="J3326" s="21"/>
      <c r="K3326" s="5" t="str">
        <f>IF(AND(LEN(H3326)=0, LEN(I3326)=0), "", IF(AND(LEN(H3326)&gt;0, LEN(I3326)=0), "BLANCO", IFERROR(VLOOKUP(I3326, BasedatosM9!A:B, 2, FALSE), "BLANCO")))</f>
        <v/>
      </c>
    </row>
    <row r="3327" spans="1:11" ht="14.4">
      <c r="A3327" s="21"/>
      <c r="B3327" s="86"/>
      <c r="C3327" s="98"/>
      <c r="D3327" s="21"/>
      <c r="E3327" s="86"/>
      <c r="F3327" s="99"/>
      <c r="G3327" s="99"/>
      <c r="H3327" s="21"/>
      <c r="I3327" s="86"/>
      <c r="J3327" s="21"/>
      <c r="K3327" s="5" t="str">
        <f>IF(AND(LEN(H3327)=0, LEN(I3327)=0), "", IF(AND(LEN(H3327)&gt;0, LEN(I3327)=0), "BLANCO", IFERROR(VLOOKUP(I3327, BasedatosM9!A:B, 2, FALSE), "BLANCO")))</f>
        <v/>
      </c>
    </row>
    <row r="3328" spans="1:11" ht="14.4">
      <c r="A3328" s="21"/>
      <c r="B3328" s="86"/>
      <c r="C3328" s="98"/>
      <c r="D3328" s="21"/>
      <c r="E3328" s="86"/>
      <c r="F3328" s="99"/>
      <c r="G3328" s="99"/>
      <c r="H3328" s="21"/>
      <c r="I3328" s="21"/>
      <c r="J3328" s="21"/>
      <c r="K3328" s="5" t="str">
        <f>IF(AND(LEN(H3328)=0, LEN(I3328)=0), "", IF(AND(LEN(H3328)&gt;0, LEN(I3328)=0), "BLANCO", IFERROR(VLOOKUP(I3328, BasedatosM9!A:B, 2, FALSE), "BLANCO")))</f>
        <v/>
      </c>
    </row>
    <row r="3329" spans="1:11" ht="14.4">
      <c r="A3329" s="21"/>
      <c r="B3329" s="86"/>
      <c r="C3329" s="98"/>
      <c r="D3329" s="21"/>
      <c r="E3329" s="86"/>
      <c r="F3329" s="99"/>
      <c r="G3329" s="99"/>
      <c r="H3329" s="21"/>
      <c r="I3329" s="21"/>
      <c r="J3329" s="21"/>
      <c r="K3329" s="5" t="str">
        <f>IF(AND(LEN(H3329)=0, LEN(I3329)=0), "", IF(AND(LEN(H3329)&gt;0, LEN(I3329)=0), "BLANCO", IFERROR(VLOOKUP(I3329, BasedatosM9!A:B, 2, FALSE), "BLANCO")))</f>
        <v/>
      </c>
    </row>
    <row r="3330" spans="1:11" ht="14.4">
      <c r="A3330" s="21"/>
      <c r="B3330" s="86"/>
      <c r="C3330" s="98"/>
      <c r="D3330" s="21"/>
      <c r="E3330" s="86"/>
      <c r="F3330" s="99"/>
      <c r="G3330" s="99"/>
      <c r="H3330" s="21"/>
      <c r="I3330" s="86"/>
      <c r="J3330" s="21"/>
      <c r="K3330" s="5" t="str">
        <f>IF(AND(LEN(H3330)=0, LEN(I3330)=0), "", IF(AND(LEN(H3330)&gt;0, LEN(I3330)=0), "BLANCO", IFERROR(VLOOKUP(I3330, BasedatosM9!A:B, 2, FALSE), "BLANCO")))</f>
        <v/>
      </c>
    </row>
    <row r="3331" spans="1:11" ht="14.4">
      <c r="A3331" s="21"/>
      <c r="B3331" s="86"/>
      <c r="C3331" s="98"/>
      <c r="D3331" s="21"/>
      <c r="E3331" s="86"/>
      <c r="F3331" s="99"/>
      <c r="G3331" s="99"/>
      <c r="H3331" s="21"/>
      <c r="I3331" s="21"/>
      <c r="J3331" s="21"/>
      <c r="K3331" s="5" t="str">
        <f>IF(AND(LEN(H3331)=0, LEN(I3331)=0), "", IF(AND(LEN(H3331)&gt;0, LEN(I3331)=0), "BLANCO", IFERROR(VLOOKUP(I3331, BasedatosM9!A:B, 2, FALSE), "BLANCO")))</f>
        <v/>
      </c>
    </row>
    <row r="3332" spans="1:11" ht="14.4">
      <c r="A3332" s="21"/>
      <c r="B3332" s="86"/>
      <c r="C3332" s="98"/>
      <c r="D3332" s="21"/>
      <c r="E3332" s="86"/>
      <c r="F3332" s="99"/>
      <c r="G3332" s="99"/>
      <c r="H3332" s="21"/>
      <c r="I3332" s="86"/>
      <c r="J3332" s="21"/>
      <c r="K3332" s="5" t="str">
        <f>IF(AND(LEN(H3332)=0, LEN(I3332)=0), "", IF(AND(LEN(H3332)&gt;0, LEN(I3332)=0), "BLANCO", IFERROR(VLOOKUP(I3332, BasedatosM9!A:B, 2, FALSE), "BLANCO")))</f>
        <v/>
      </c>
    </row>
    <row r="3333" spans="1:11" ht="14.4">
      <c r="A3333" s="21"/>
      <c r="B3333" s="86"/>
      <c r="C3333" s="98"/>
      <c r="D3333" s="21"/>
      <c r="E3333" s="86"/>
      <c r="F3333" s="99"/>
      <c r="G3333" s="99"/>
      <c r="H3333" s="21"/>
      <c r="I3333" s="21"/>
      <c r="J3333" s="21"/>
      <c r="K3333" s="5" t="str">
        <f>IF(AND(LEN(H3333)=0, LEN(I3333)=0), "", IF(AND(LEN(H3333)&gt;0, LEN(I3333)=0), "BLANCO", IFERROR(VLOOKUP(I3333, BasedatosM9!A:B, 2, FALSE), "BLANCO")))</f>
        <v/>
      </c>
    </row>
    <row r="3334" spans="1:11" ht="14.4">
      <c r="A3334" s="21"/>
      <c r="B3334" s="86"/>
      <c r="C3334" s="98"/>
      <c r="D3334" s="21"/>
      <c r="E3334" s="86"/>
      <c r="F3334" s="99"/>
      <c r="G3334" s="99"/>
      <c r="H3334" s="21"/>
      <c r="I3334" s="21"/>
      <c r="J3334" s="21"/>
      <c r="K3334" s="5" t="str">
        <f>IF(AND(LEN(H3334)=0, LEN(I3334)=0), "", IF(AND(LEN(H3334)&gt;0, LEN(I3334)=0), "BLANCO", IFERROR(VLOOKUP(I3334, BasedatosM9!A:B, 2, FALSE), "BLANCO")))</f>
        <v/>
      </c>
    </row>
    <row r="3335" spans="1:11" ht="14.4">
      <c r="A3335" s="21"/>
      <c r="B3335" s="86"/>
      <c r="C3335" s="98"/>
      <c r="D3335" s="21"/>
      <c r="E3335" s="86"/>
      <c r="F3335" s="99"/>
      <c r="G3335" s="99"/>
      <c r="H3335" s="21"/>
      <c r="I3335" s="21"/>
      <c r="J3335" s="21"/>
      <c r="K3335" s="5" t="str">
        <f>IF(AND(LEN(H3335)=0, LEN(I3335)=0), "", IF(AND(LEN(H3335)&gt;0, LEN(I3335)=0), "BLANCO", IFERROR(VLOOKUP(I3335, BasedatosM9!A:B, 2, FALSE), "BLANCO")))</f>
        <v/>
      </c>
    </row>
    <row r="3336" spans="1:11" ht="14.4">
      <c r="A3336" s="21"/>
      <c r="B3336" s="86"/>
      <c r="C3336" s="98"/>
      <c r="D3336" s="21"/>
      <c r="E3336" s="86"/>
      <c r="F3336" s="99"/>
      <c r="G3336" s="99"/>
      <c r="H3336" s="21"/>
      <c r="I3336" s="21"/>
      <c r="J3336" s="21"/>
      <c r="K3336" s="5" t="str">
        <f>IF(AND(LEN(H3336)=0, LEN(I3336)=0), "", IF(AND(LEN(H3336)&gt;0, LEN(I3336)=0), "BLANCO", IFERROR(VLOOKUP(I3336, BasedatosM9!A:B, 2, FALSE), "BLANCO")))</f>
        <v/>
      </c>
    </row>
    <row r="3337" spans="1:11" ht="14.4">
      <c r="A3337" s="21"/>
      <c r="B3337" s="86"/>
      <c r="C3337" s="98"/>
      <c r="D3337" s="21"/>
      <c r="E3337" s="86"/>
      <c r="F3337" s="99"/>
      <c r="G3337" s="99"/>
      <c r="H3337" s="21"/>
      <c r="I3337" s="86"/>
      <c r="J3337" s="21"/>
      <c r="K3337" s="5" t="str">
        <f>IF(AND(LEN(H3337)=0, LEN(I3337)=0), "", IF(AND(LEN(H3337)&gt;0, LEN(I3337)=0), "BLANCO", IFERROR(VLOOKUP(I3337, BasedatosM9!A:B, 2, FALSE), "BLANCO")))</f>
        <v/>
      </c>
    </row>
    <row r="3338" spans="1:11" ht="14.4">
      <c r="A3338" s="21"/>
      <c r="B3338" s="86"/>
      <c r="C3338" s="98"/>
      <c r="D3338" s="21"/>
      <c r="E3338" s="86"/>
      <c r="F3338" s="99"/>
      <c r="G3338" s="99"/>
      <c r="H3338" s="21"/>
      <c r="I3338" s="21"/>
      <c r="J3338" s="21"/>
      <c r="K3338" s="5" t="str">
        <f>IF(AND(LEN(H3338)=0, LEN(I3338)=0), "", IF(AND(LEN(H3338)&gt;0, LEN(I3338)=0), "BLANCO", IFERROR(VLOOKUP(I3338, BasedatosM9!A:B, 2, FALSE), "BLANCO")))</f>
        <v/>
      </c>
    </row>
    <row r="3339" spans="1:11" ht="14.4">
      <c r="A3339" s="21"/>
      <c r="B3339" s="86"/>
      <c r="C3339" s="98"/>
      <c r="D3339" s="21"/>
      <c r="E3339" s="86"/>
      <c r="F3339" s="99"/>
      <c r="G3339" s="99"/>
      <c r="H3339" s="21"/>
      <c r="I3339" s="21"/>
      <c r="J3339" s="21"/>
      <c r="K3339" s="5" t="str">
        <f>IF(AND(LEN(H3339)=0, LEN(I3339)=0), "", IF(AND(LEN(H3339)&gt;0, LEN(I3339)=0), "BLANCO", IFERROR(VLOOKUP(I3339, BasedatosM9!A:B, 2, FALSE), "BLANCO")))</f>
        <v/>
      </c>
    </row>
    <row r="3340" spans="1:11" ht="14.4">
      <c r="A3340" s="21"/>
      <c r="B3340" s="86"/>
      <c r="C3340" s="98"/>
      <c r="D3340" s="21"/>
      <c r="E3340" s="86"/>
      <c r="F3340" s="99"/>
      <c r="G3340" s="99"/>
      <c r="H3340" s="21"/>
      <c r="I3340" s="21"/>
      <c r="J3340" s="21"/>
      <c r="K3340" s="5" t="str">
        <f>IF(AND(LEN(H3340)=0, LEN(I3340)=0), "", IF(AND(LEN(H3340)&gt;0, LEN(I3340)=0), "BLANCO", IFERROR(VLOOKUP(I3340, BasedatosM9!A:B, 2, FALSE), "BLANCO")))</f>
        <v/>
      </c>
    </row>
    <row r="3341" spans="1:11" ht="14.4">
      <c r="A3341" s="21"/>
      <c r="B3341" s="86"/>
      <c r="C3341" s="98"/>
      <c r="D3341" s="21"/>
      <c r="E3341" s="86"/>
      <c r="F3341" s="99"/>
      <c r="G3341" s="99"/>
      <c r="H3341" s="21"/>
      <c r="I3341" s="86"/>
      <c r="J3341" s="21"/>
      <c r="K3341" s="5" t="str">
        <f>IF(AND(LEN(H3341)=0, LEN(I3341)=0), "", IF(AND(LEN(H3341)&gt;0, LEN(I3341)=0), "BLANCO", IFERROR(VLOOKUP(I3341, BasedatosM9!A:B, 2, FALSE), "BLANCO")))</f>
        <v/>
      </c>
    </row>
    <row r="3342" spans="1:11" ht="14.4">
      <c r="A3342" s="21"/>
      <c r="B3342" s="86"/>
      <c r="C3342" s="98"/>
      <c r="D3342" s="21"/>
      <c r="E3342" s="86"/>
      <c r="F3342" s="99"/>
      <c r="G3342" s="99"/>
      <c r="H3342" s="21"/>
      <c r="I3342" s="21"/>
      <c r="J3342" s="21"/>
      <c r="K3342" s="5" t="str">
        <f>IF(AND(LEN(H3342)=0, LEN(I3342)=0), "", IF(AND(LEN(H3342)&gt;0, LEN(I3342)=0), "BLANCO", IFERROR(VLOOKUP(I3342, BasedatosM9!A:B, 2, FALSE), "BLANCO")))</f>
        <v/>
      </c>
    </row>
    <row r="3343" spans="1:11" ht="14.4">
      <c r="A3343" s="21"/>
      <c r="B3343" s="86"/>
      <c r="C3343" s="98"/>
      <c r="D3343" s="21"/>
      <c r="E3343" s="86"/>
      <c r="F3343" s="99"/>
      <c r="G3343" s="99"/>
      <c r="H3343" s="21"/>
      <c r="I3343" s="21"/>
      <c r="J3343" s="21"/>
      <c r="K3343" s="5" t="str">
        <f>IF(AND(LEN(H3343)=0, LEN(I3343)=0), "", IF(AND(LEN(H3343)&gt;0, LEN(I3343)=0), "BLANCO", IFERROR(VLOOKUP(I3343, BasedatosM9!A:B, 2, FALSE), "BLANCO")))</f>
        <v/>
      </c>
    </row>
    <row r="3344" spans="1:11" ht="14.4">
      <c r="A3344" s="21"/>
      <c r="B3344" s="86"/>
      <c r="C3344" s="98"/>
      <c r="D3344" s="21"/>
      <c r="E3344" s="86"/>
      <c r="F3344" s="99"/>
      <c r="G3344" s="99"/>
      <c r="H3344" s="21"/>
      <c r="I3344" s="86"/>
      <c r="J3344" s="21"/>
      <c r="K3344" s="5" t="str">
        <f>IF(AND(LEN(H3344)=0, LEN(I3344)=0), "", IF(AND(LEN(H3344)&gt;0, LEN(I3344)=0), "BLANCO", IFERROR(VLOOKUP(I3344, BasedatosM9!A:B, 2, FALSE), "BLANCO")))</f>
        <v/>
      </c>
    </row>
    <row r="3345" spans="1:11" ht="14.4">
      <c r="A3345" s="21"/>
      <c r="B3345" s="86"/>
      <c r="C3345" s="98"/>
      <c r="D3345" s="21"/>
      <c r="E3345" s="86"/>
      <c r="F3345" s="99"/>
      <c r="G3345" s="99"/>
      <c r="H3345" s="21"/>
      <c r="I3345" s="21"/>
      <c r="J3345" s="21"/>
      <c r="K3345" s="5" t="str">
        <f>IF(AND(LEN(H3345)=0, LEN(I3345)=0), "", IF(AND(LEN(H3345)&gt;0, LEN(I3345)=0), "BLANCO", IFERROR(VLOOKUP(I3345, BasedatosM9!A:B, 2, FALSE), "BLANCO")))</f>
        <v/>
      </c>
    </row>
    <row r="3346" spans="1:11" ht="14.4">
      <c r="A3346" s="21"/>
      <c r="B3346" s="86"/>
      <c r="C3346" s="98"/>
      <c r="D3346" s="21"/>
      <c r="E3346" s="86"/>
      <c r="F3346" s="99"/>
      <c r="G3346" s="99"/>
      <c r="H3346" s="21"/>
      <c r="I3346" s="86"/>
      <c r="J3346" s="21"/>
      <c r="K3346" s="5" t="str">
        <f>IF(AND(LEN(H3346)=0, LEN(I3346)=0), "", IF(AND(LEN(H3346)&gt;0, LEN(I3346)=0), "BLANCO", IFERROR(VLOOKUP(I3346, BasedatosM9!A:B, 2, FALSE), "BLANCO")))</f>
        <v/>
      </c>
    </row>
    <row r="3347" spans="1:11" ht="14.4">
      <c r="A3347" s="21"/>
      <c r="B3347" s="86"/>
      <c r="C3347" s="98"/>
      <c r="D3347" s="21"/>
      <c r="E3347" s="86"/>
      <c r="F3347" s="99"/>
      <c r="G3347" s="99"/>
      <c r="H3347" s="21"/>
      <c r="I3347" s="21"/>
      <c r="J3347" s="21"/>
      <c r="K3347" s="5" t="str">
        <f>IF(AND(LEN(H3347)=0, LEN(I3347)=0), "", IF(AND(LEN(H3347)&gt;0, LEN(I3347)=0), "BLANCO", IFERROR(VLOOKUP(I3347, BasedatosM9!A:B, 2, FALSE), "BLANCO")))</f>
        <v/>
      </c>
    </row>
    <row r="3348" spans="1:11" ht="14.4">
      <c r="A3348" s="21"/>
      <c r="B3348" s="86"/>
      <c r="C3348" s="98"/>
      <c r="D3348" s="21"/>
      <c r="E3348" s="86"/>
      <c r="F3348" s="99"/>
      <c r="G3348" s="99"/>
      <c r="H3348" s="21"/>
      <c r="I3348" s="86"/>
      <c r="J3348" s="21"/>
      <c r="K3348" s="5" t="str">
        <f>IF(AND(LEN(H3348)=0, LEN(I3348)=0), "", IF(AND(LEN(H3348)&gt;0, LEN(I3348)=0), "BLANCO", IFERROR(VLOOKUP(I3348, BasedatosM9!A:B, 2, FALSE), "BLANCO")))</f>
        <v/>
      </c>
    </row>
    <row r="3349" spans="1:11" ht="14.4">
      <c r="A3349" s="21"/>
      <c r="B3349" s="86"/>
      <c r="C3349" s="98"/>
      <c r="D3349" s="21"/>
      <c r="E3349" s="86"/>
      <c r="F3349" s="99"/>
      <c r="G3349" s="99"/>
      <c r="H3349" s="21"/>
      <c r="I3349" s="86"/>
      <c r="J3349" s="21"/>
      <c r="K3349" s="5" t="str">
        <f>IF(AND(LEN(H3349)=0, LEN(I3349)=0), "", IF(AND(LEN(H3349)&gt;0, LEN(I3349)=0), "BLANCO", IFERROR(VLOOKUP(I3349, BasedatosM9!A:B, 2, FALSE), "BLANCO")))</f>
        <v/>
      </c>
    </row>
    <row r="3350" spans="1:11" ht="14.4">
      <c r="A3350" s="21"/>
      <c r="B3350" s="86"/>
      <c r="C3350" s="98"/>
      <c r="D3350" s="21"/>
      <c r="E3350" s="86"/>
      <c r="F3350" s="99"/>
      <c r="G3350" s="99"/>
      <c r="H3350" s="21"/>
      <c r="I3350" s="86"/>
      <c r="J3350" s="21"/>
      <c r="K3350" s="5" t="str">
        <f>IF(AND(LEN(H3350)=0, LEN(I3350)=0), "", IF(AND(LEN(H3350)&gt;0, LEN(I3350)=0), "BLANCO", IFERROR(VLOOKUP(I3350, BasedatosM9!A:B, 2, FALSE), "BLANCO")))</f>
        <v/>
      </c>
    </row>
    <row r="3351" spans="1:11" ht="14.4">
      <c r="A3351" s="21"/>
      <c r="B3351" s="86"/>
      <c r="C3351" s="98"/>
      <c r="D3351" s="21"/>
      <c r="E3351" s="86"/>
      <c r="F3351" s="99"/>
      <c r="G3351" s="99"/>
      <c r="H3351" s="21"/>
      <c r="I3351" s="21"/>
      <c r="J3351" s="21"/>
      <c r="K3351" s="5" t="str">
        <f>IF(AND(LEN(H3351)=0, LEN(I3351)=0), "", IF(AND(LEN(H3351)&gt;0, LEN(I3351)=0), "BLANCO", IFERROR(VLOOKUP(I3351, BasedatosM9!A:B, 2, FALSE), "BLANCO")))</f>
        <v/>
      </c>
    </row>
    <row r="3352" spans="1:11" ht="14.4">
      <c r="A3352" s="21"/>
      <c r="B3352" s="86"/>
      <c r="C3352" s="98"/>
      <c r="D3352" s="21"/>
      <c r="E3352" s="86"/>
      <c r="F3352" s="99"/>
      <c r="G3352" s="99"/>
      <c r="H3352" s="21"/>
      <c r="I3352" s="86"/>
      <c r="J3352" s="21"/>
      <c r="K3352" s="5" t="str">
        <f>IF(AND(LEN(H3352)=0, LEN(I3352)=0), "", IF(AND(LEN(H3352)&gt;0, LEN(I3352)=0), "BLANCO", IFERROR(VLOOKUP(I3352, BasedatosM9!A:B, 2, FALSE), "BLANCO")))</f>
        <v/>
      </c>
    </row>
    <row r="3353" spans="1:11" ht="14.4">
      <c r="A3353" s="21"/>
      <c r="B3353" s="86"/>
      <c r="C3353" s="98"/>
      <c r="D3353" s="21"/>
      <c r="E3353" s="86"/>
      <c r="F3353" s="99"/>
      <c r="G3353" s="99"/>
      <c r="H3353" s="21"/>
      <c r="I3353" s="86"/>
      <c r="J3353" s="21"/>
      <c r="K3353" s="5" t="str">
        <f>IF(AND(LEN(H3353)=0, LEN(I3353)=0), "", IF(AND(LEN(H3353)&gt;0, LEN(I3353)=0), "BLANCO", IFERROR(VLOOKUP(I3353, BasedatosM9!A:B, 2, FALSE), "BLANCO")))</f>
        <v/>
      </c>
    </row>
    <row r="3354" spans="1:11" ht="14.4">
      <c r="A3354" s="21"/>
      <c r="B3354" s="86"/>
      <c r="C3354" s="98"/>
      <c r="D3354" s="21"/>
      <c r="E3354" s="86"/>
      <c r="F3354" s="99"/>
      <c r="G3354" s="99"/>
      <c r="H3354" s="21"/>
      <c r="I3354" s="86"/>
      <c r="J3354" s="21"/>
      <c r="K3354" s="5" t="str">
        <f>IF(AND(LEN(H3354)=0, LEN(I3354)=0), "", IF(AND(LEN(H3354)&gt;0, LEN(I3354)=0), "BLANCO", IFERROR(VLOOKUP(I3354, BasedatosM9!A:B, 2, FALSE), "BLANCO")))</f>
        <v/>
      </c>
    </row>
    <row r="3355" spans="1:11" ht="14.4">
      <c r="A3355" s="21"/>
      <c r="B3355" s="86"/>
      <c r="C3355" s="98"/>
      <c r="D3355" s="21"/>
      <c r="E3355" s="86"/>
      <c r="F3355" s="99"/>
      <c r="G3355" s="99"/>
      <c r="H3355" s="21"/>
      <c r="I3355" s="86"/>
      <c r="J3355" s="21"/>
      <c r="K3355" s="5" t="str">
        <f>IF(AND(LEN(H3355)=0, LEN(I3355)=0), "", IF(AND(LEN(H3355)&gt;0, LEN(I3355)=0), "BLANCO", IFERROR(VLOOKUP(I3355, BasedatosM9!A:B, 2, FALSE), "BLANCO")))</f>
        <v/>
      </c>
    </row>
    <row r="3356" spans="1:11" ht="14.4">
      <c r="A3356" s="21"/>
      <c r="B3356" s="86"/>
      <c r="C3356" s="98"/>
      <c r="D3356" s="21"/>
      <c r="E3356" s="86"/>
      <c r="F3356" s="99"/>
      <c r="G3356" s="99"/>
      <c r="H3356" s="21"/>
      <c r="I3356" s="86"/>
      <c r="J3356" s="21"/>
      <c r="K3356" s="5" t="str">
        <f>IF(AND(LEN(H3356)=0, LEN(I3356)=0), "", IF(AND(LEN(H3356)&gt;0, LEN(I3356)=0), "BLANCO", IFERROR(VLOOKUP(I3356, BasedatosM9!A:B, 2, FALSE), "BLANCO")))</f>
        <v/>
      </c>
    </row>
    <row r="3357" spans="1:11" ht="14.4">
      <c r="A3357" s="21"/>
      <c r="B3357" s="86"/>
      <c r="C3357" s="98"/>
      <c r="D3357" s="21"/>
      <c r="E3357" s="86"/>
      <c r="F3357" s="99"/>
      <c r="G3357" s="99"/>
      <c r="H3357" s="21"/>
      <c r="I3357" s="86"/>
      <c r="J3357" s="21"/>
      <c r="K3357" s="5" t="str">
        <f>IF(AND(LEN(H3357)=0, LEN(I3357)=0), "", IF(AND(LEN(H3357)&gt;0, LEN(I3357)=0), "BLANCO", IFERROR(VLOOKUP(I3357, BasedatosM9!A:B, 2, FALSE), "BLANCO")))</f>
        <v/>
      </c>
    </row>
    <row r="3358" spans="1:11" ht="14.4">
      <c r="A3358" s="21"/>
      <c r="B3358" s="86"/>
      <c r="C3358" s="98"/>
      <c r="D3358" s="21"/>
      <c r="E3358" s="86"/>
      <c r="F3358" s="99"/>
      <c r="G3358" s="99"/>
      <c r="H3358" s="21"/>
      <c r="I3358" s="86"/>
      <c r="J3358" s="21"/>
      <c r="K3358" s="5" t="str">
        <f>IF(AND(LEN(H3358)=0, LEN(I3358)=0), "", IF(AND(LEN(H3358)&gt;0, LEN(I3358)=0), "BLANCO", IFERROR(VLOOKUP(I3358, BasedatosM9!A:B, 2, FALSE), "BLANCO")))</f>
        <v/>
      </c>
    </row>
    <row r="3359" spans="1:11" ht="14.4">
      <c r="A3359" s="21"/>
      <c r="B3359" s="86"/>
      <c r="C3359" s="98"/>
      <c r="D3359" s="21"/>
      <c r="E3359" s="86"/>
      <c r="F3359" s="99"/>
      <c r="G3359" s="99"/>
      <c r="H3359" s="21"/>
      <c r="I3359" s="86"/>
      <c r="J3359" s="21"/>
      <c r="K3359" s="5" t="str">
        <f>IF(AND(LEN(H3359)=0, LEN(I3359)=0), "", IF(AND(LEN(H3359)&gt;0, LEN(I3359)=0), "BLANCO", IFERROR(VLOOKUP(I3359, BasedatosM9!A:B, 2, FALSE), "BLANCO")))</f>
        <v/>
      </c>
    </row>
    <row r="3360" spans="1:11" ht="14.4">
      <c r="A3360" s="21"/>
      <c r="B3360" s="86"/>
      <c r="C3360" s="98"/>
      <c r="D3360" s="21"/>
      <c r="E3360" s="86"/>
      <c r="F3360" s="99"/>
      <c r="G3360" s="99"/>
      <c r="H3360" s="21"/>
      <c r="I3360" s="86"/>
      <c r="J3360" s="21"/>
      <c r="K3360" s="5" t="str">
        <f>IF(AND(LEN(H3360)=0, LEN(I3360)=0), "", IF(AND(LEN(H3360)&gt;0, LEN(I3360)=0), "BLANCO", IFERROR(VLOOKUP(I3360, BasedatosM9!A:B, 2, FALSE), "BLANCO")))</f>
        <v/>
      </c>
    </row>
    <row r="3361" spans="1:11" ht="14.4">
      <c r="A3361" s="21"/>
      <c r="B3361" s="86"/>
      <c r="C3361" s="98"/>
      <c r="D3361" s="21"/>
      <c r="E3361" s="86"/>
      <c r="F3361" s="99"/>
      <c r="G3361" s="99"/>
      <c r="H3361" s="21"/>
      <c r="I3361" s="86"/>
      <c r="J3361" s="21"/>
      <c r="K3361" s="5" t="str">
        <f>IF(AND(LEN(H3361)=0, LEN(I3361)=0), "", IF(AND(LEN(H3361)&gt;0, LEN(I3361)=0), "BLANCO", IFERROR(VLOOKUP(I3361, BasedatosM9!A:B, 2, FALSE), "BLANCO")))</f>
        <v/>
      </c>
    </row>
    <row r="3362" spans="1:11" ht="14.4">
      <c r="A3362" s="21"/>
      <c r="B3362" s="86"/>
      <c r="C3362" s="98"/>
      <c r="D3362" s="21"/>
      <c r="E3362" s="86"/>
      <c r="F3362" s="99"/>
      <c r="G3362" s="99"/>
      <c r="H3362" s="21"/>
      <c r="I3362" s="21"/>
      <c r="J3362" s="21"/>
      <c r="K3362" s="5" t="str">
        <f>IF(AND(LEN(H3362)=0, LEN(I3362)=0), "", IF(AND(LEN(H3362)&gt;0, LEN(I3362)=0), "BLANCO", IFERROR(VLOOKUP(I3362, BasedatosM9!A:B, 2, FALSE), "BLANCO")))</f>
        <v/>
      </c>
    </row>
    <row r="3363" spans="1:11" ht="14.4">
      <c r="A3363" s="21"/>
      <c r="B3363" s="86"/>
      <c r="C3363" s="98"/>
      <c r="D3363" s="21"/>
      <c r="E3363" s="86"/>
      <c r="F3363" s="99"/>
      <c r="G3363" s="99"/>
      <c r="H3363" s="21"/>
      <c r="I3363" s="21"/>
      <c r="J3363" s="21"/>
      <c r="K3363" s="5" t="str">
        <f>IF(AND(LEN(H3363)=0, LEN(I3363)=0), "", IF(AND(LEN(H3363)&gt;0, LEN(I3363)=0), "BLANCO", IFERROR(VLOOKUP(I3363, BasedatosM9!A:B, 2, FALSE), "BLANCO")))</f>
        <v/>
      </c>
    </row>
    <row r="3364" spans="1:11" ht="14.4">
      <c r="A3364" s="21"/>
      <c r="B3364" s="86"/>
      <c r="C3364" s="98"/>
      <c r="D3364" s="21"/>
      <c r="E3364" s="86"/>
      <c r="F3364" s="99"/>
      <c r="G3364" s="99"/>
      <c r="H3364" s="21"/>
      <c r="I3364" s="21"/>
      <c r="J3364" s="21"/>
      <c r="K3364" s="5" t="str">
        <f>IF(AND(LEN(H3364)=0, LEN(I3364)=0), "", IF(AND(LEN(H3364)&gt;0, LEN(I3364)=0), "BLANCO", IFERROR(VLOOKUP(I3364, BasedatosM9!A:B, 2, FALSE), "BLANCO")))</f>
        <v/>
      </c>
    </row>
    <row r="3365" spans="1:11" ht="14.4">
      <c r="A3365" s="21"/>
      <c r="B3365" s="86"/>
      <c r="C3365" s="98"/>
      <c r="D3365" s="21"/>
      <c r="E3365" s="86"/>
      <c r="F3365" s="99"/>
      <c r="G3365" s="99"/>
      <c r="H3365" s="21"/>
      <c r="I3365" s="21"/>
      <c r="J3365" s="21"/>
      <c r="K3365" s="5" t="str">
        <f>IF(AND(LEN(H3365)=0, LEN(I3365)=0), "", IF(AND(LEN(H3365)&gt;0, LEN(I3365)=0), "BLANCO", IFERROR(VLOOKUP(I3365, BasedatosM9!A:B, 2, FALSE), "BLANCO")))</f>
        <v/>
      </c>
    </row>
    <row r="3366" spans="1:11" ht="14.4">
      <c r="A3366" s="21"/>
      <c r="B3366" s="86"/>
      <c r="C3366" s="98"/>
      <c r="D3366" s="21"/>
      <c r="E3366" s="86"/>
      <c r="F3366" s="99"/>
      <c r="G3366" s="99"/>
      <c r="H3366" s="21"/>
      <c r="I3366" s="21"/>
      <c r="J3366" s="21"/>
      <c r="K3366" s="5" t="str">
        <f>IF(AND(LEN(H3366)=0, LEN(I3366)=0), "", IF(AND(LEN(H3366)&gt;0, LEN(I3366)=0), "BLANCO", IFERROR(VLOOKUP(I3366, BasedatosM9!A:B, 2, FALSE), "BLANCO")))</f>
        <v/>
      </c>
    </row>
    <row r="3367" spans="1:11" ht="14.4">
      <c r="A3367" s="21"/>
      <c r="B3367" s="86"/>
      <c r="C3367" s="98"/>
      <c r="D3367" s="21"/>
      <c r="E3367" s="86"/>
      <c r="F3367" s="99"/>
      <c r="G3367" s="99"/>
      <c r="H3367" s="21"/>
      <c r="I3367" s="86"/>
      <c r="J3367" s="21"/>
      <c r="K3367" s="5" t="str">
        <f>IF(AND(LEN(H3367)=0, LEN(I3367)=0), "", IF(AND(LEN(H3367)&gt;0, LEN(I3367)=0), "BLANCO", IFERROR(VLOOKUP(I3367, BasedatosM9!A:B, 2, FALSE), "BLANCO")))</f>
        <v/>
      </c>
    </row>
    <row r="3368" spans="1:11" ht="14.4">
      <c r="A3368" s="21"/>
      <c r="B3368" s="86"/>
      <c r="C3368" s="98"/>
      <c r="D3368" s="21"/>
      <c r="E3368" s="86"/>
      <c r="F3368" s="99"/>
      <c r="G3368" s="99"/>
      <c r="H3368" s="21"/>
      <c r="I3368" s="21"/>
      <c r="J3368" s="21"/>
      <c r="K3368" s="5" t="str">
        <f>IF(AND(LEN(H3368)=0, LEN(I3368)=0), "", IF(AND(LEN(H3368)&gt;0, LEN(I3368)=0), "BLANCO", IFERROR(VLOOKUP(I3368, BasedatosM9!A:B, 2, FALSE), "BLANCO")))</f>
        <v/>
      </c>
    </row>
    <row r="3369" spans="1:11" ht="14.4">
      <c r="A3369" s="21"/>
      <c r="B3369" s="86"/>
      <c r="C3369" s="98"/>
      <c r="D3369" s="21"/>
      <c r="E3369" s="86"/>
      <c r="F3369" s="99"/>
      <c r="G3369" s="99"/>
      <c r="H3369" s="21"/>
      <c r="I3369" s="86"/>
      <c r="J3369" s="21"/>
      <c r="K3369" s="5" t="str">
        <f>IF(AND(LEN(H3369)=0, LEN(I3369)=0), "", IF(AND(LEN(H3369)&gt;0, LEN(I3369)=0), "BLANCO", IFERROR(VLOOKUP(I3369, BasedatosM9!A:B, 2, FALSE), "BLANCO")))</f>
        <v/>
      </c>
    </row>
    <row r="3370" spans="1:11" ht="14.4">
      <c r="A3370" s="21"/>
      <c r="B3370" s="86"/>
      <c r="C3370" s="98"/>
      <c r="D3370" s="21"/>
      <c r="E3370" s="86"/>
      <c r="F3370" s="99"/>
      <c r="G3370" s="99"/>
      <c r="H3370" s="21"/>
      <c r="I3370" s="86"/>
      <c r="J3370" s="21"/>
      <c r="K3370" s="5" t="str">
        <f>IF(AND(LEN(H3370)=0, LEN(I3370)=0), "", IF(AND(LEN(H3370)&gt;0, LEN(I3370)=0), "BLANCO", IFERROR(VLOOKUP(I3370, BasedatosM9!A:B, 2, FALSE), "BLANCO")))</f>
        <v/>
      </c>
    </row>
    <row r="3371" spans="1:11" ht="14.4">
      <c r="A3371" s="21"/>
      <c r="B3371" s="86"/>
      <c r="C3371" s="98"/>
      <c r="D3371" s="21"/>
      <c r="E3371" s="86"/>
      <c r="F3371" s="99"/>
      <c r="G3371" s="99"/>
      <c r="H3371" s="21"/>
      <c r="I3371" s="21"/>
      <c r="J3371" s="21"/>
      <c r="K3371" s="5" t="str">
        <f>IF(AND(LEN(H3371)=0, LEN(I3371)=0), "", IF(AND(LEN(H3371)&gt;0, LEN(I3371)=0), "BLANCO", IFERROR(VLOOKUP(I3371, BasedatosM9!A:B, 2, FALSE), "BLANCO")))</f>
        <v/>
      </c>
    </row>
    <row r="3372" spans="1:11" ht="14.4">
      <c r="A3372" s="21"/>
      <c r="B3372" s="86"/>
      <c r="C3372" s="98"/>
      <c r="D3372" s="21"/>
      <c r="E3372" s="86"/>
      <c r="F3372" s="99"/>
      <c r="G3372" s="99"/>
      <c r="H3372" s="21"/>
      <c r="I3372" s="86"/>
      <c r="J3372" s="21"/>
      <c r="K3372" s="5" t="str">
        <f>IF(AND(LEN(H3372)=0, LEN(I3372)=0), "", IF(AND(LEN(H3372)&gt;0, LEN(I3372)=0), "BLANCO", IFERROR(VLOOKUP(I3372, BasedatosM9!A:B, 2, FALSE), "BLANCO")))</f>
        <v/>
      </c>
    </row>
    <row r="3373" spans="1:11" ht="14.4">
      <c r="A3373" s="21"/>
      <c r="B3373" s="86"/>
      <c r="C3373" s="98"/>
      <c r="D3373" s="21"/>
      <c r="E3373" s="86"/>
      <c r="F3373" s="99"/>
      <c r="G3373" s="99"/>
      <c r="H3373" s="21"/>
      <c r="I3373" s="86"/>
      <c r="J3373" s="21"/>
      <c r="K3373" s="5" t="str">
        <f>IF(AND(LEN(H3373)=0, LEN(I3373)=0), "", IF(AND(LEN(H3373)&gt;0, LEN(I3373)=0), "BLANCO", IFERROR(VLOOKUP(I3373, BasedatosM9!A:B, 2, FALSE), "BLANCO")))</f>
        <v/>
      </c>
    </row>
    <row r="3374" spans="1:11" ht="14.4">
      <c r="A3374" s="21"/>
      <c r="B3374" s="86"/>
      <c r="C3374" s="98"/>
      <c r="D3374" s="21"/>
      <c r="E3374" s="86"/>
      <c r="F3374" s="99"/>
      <c r="G3374" s="99"/>
      <c r="H3374" s="21"/>
      <c r="I3374" s="21"/>
      <c r="J3374" s="21"/>
      <c r="K3374" s="5" t="str">
        <f>IF(AND(LEN(H3374)=0, LEN(I3374)=0), "", IF(AND(LEN(H3374)&gt;0, LEN(I3374)=0), "BLANCO", IFERROR(VLOOKUP(I3374, BasedatosM9!A:B, 2, FALSE), "BLANCO")))</f>
        <v/>
      </c>
    </row>
    <row r="3375" spans="1:11" ht="14.4">
      <c r="A3375" s="21"/>
      <c r="B3375" s="86"/>
      <c r="C3375" s="98"/>
      <c r="D3375" s="21"/>
      <c r="E3375" s="86"/>
      <c r="F3375" s="99"/>
      <c r="G3375" s="99"/>
      <c r="H3375" s="21"/>
      <c r="I3375" s="86"/>
      <c r="J3375" s="21"/>
      <c r="K3375" s="5" t="str">
        <f>IF(AND(LEN(H3375)=0, LEN(I3375)=0), "", IF(AND(LEN(H3375)&gt;0, LEN(I3375)=0), "BLANCO", IFERROR(VLOOKUP(I3375, BasedatosM9!A:B, 2, FALSE), "BLANCO")))</f>
        <v/>
      </c>
    </row>
    <row r="3376" spans="1:11" ht="14.4">
      <c r="A3376" s="21"/>
      <c r="B3376" s="86"/>
      <c r="C3376" s="98"/>
      <c r="D3376" s="21"/>
      <c r="E3376" s="86"/>
      <c r="F3376" s="99"/>
      <c r="G3376" s="99"/>
      <c r="H3376" s="21"/>
      <c r="I3376" s="21"/>
      <c r="J3376" s="21"/>
      <c r="K3376" s="5" t="str">
        <f>IF(AND(LEN(H3376)=0, LEN(I3376)=0), "", IF(AND(LEN(H3376)&gt;0, LEN(I3376)=0), "BLANCO", IFERROR(VLOOKUP(I3376, BasedatosM9!A:B, 2, FALSE), "BLANCO")))</f>
        <v/>
      </c>
    </row>
    <row r="3377" spans="1:11" ht="14.4">
      <c r="A3377" s="21"/>
      <c r="B3377" s="86"/>
      <c r="C3377" s="98"/>
      <c r="D3377" s="21"/>
      <c r="E3377" s="86"/>
      <c r="F3377" s="99"/>
      <c r="G3377" s="99"/>
      <c r="H3377" s="21"/>
      <c r="I3377" s="21"/>
      <c r="J3377" s="21"/>
      <c r="K3377" s="5" t="str">
        <f>IF(AND(LEN(H3377)=0, LEN(I3377)=0), "", IF(AND(LEN(H3377)&gt;0, LEN(I3377)=0), "BLANCO", IFERROR(VLOOKUP(I3377, BasedatosM9!A:B, 2, FALSE), "BLANCO")))</f>
        <v/>
      </c>
    </row>
    <row r="3378" spans="1:11" ht="14.4">
      <c r="A3378" s="21"/>
      <c r="B3378" s="86"/>
      <c r="C3378" s="98"/>
      <c r="D3378" s="21"/>
      <c r="E3378" s="86"/>
      <c r="F3378" s="99"/>
      <c r="G3378" s="99"/>
      <c r="H3378" s="21"/>
      <c r="I3378" s="86"/>
      <c r="J3378" s="21"/>
      <c r="K3378" s="5" t="str">
        <f>IF(AND(LEN(H3378)=0, LEN(I3378)=0), "", IF(AND(LEN(H3378)&gt;0, LEN(I3378)=0), "BLANCO", IFERROR(VLOOKUP(I3378, BasedatosM9!A:B, 2, FALSE), "BLANCO")))</f>
        <v/>
      </c>
    </row>
    <row r="3379" spans="1:11" ht="14.4">
      <c r="A3379" s="21"/>
      <c r="B3379" s="86"/>
      <c r="C3379" s="98"/>
      <c r="D3379" s="21"/>
      <c r="E3379" s="86"/>
      <c r="F3379" s="99"/>
      <c r="G3379" s="99"/>
      <c r="H3379" s="21"/>
      <c r="I3379" s="86"/>
      <c r="J3379" s="21"/>
      <c r="K3379" s="5" t="str">
        <f>IF(AND(LEN(H3379)=0, LEN(I3379)=0), "", IF(AND(LEN(H3379)&gt;0, LEN(I3379)=0), "BLANCO", IFERROR(VLOOKUP(I3379, BasedatosM9!A:B, 2, FALSE), "BLANCO")))</f>
        <v/>
      </c>
    </row>
    <row r="3380" spans="1:11" ht="14.4">
      <c r="A3380" s="21"/>
      <c r="B3380" s="86"/>
      <c r="C3380" s="98"/>
      <c r="D3380" s="21"/>
      <c r="E3380" s="86"/>
      <c r="F3380" s="99"/>
      <c r="G3380" s="99"/>
      <c r="H3380" s="21"/>
      <c r="I3380" s="21"/>
      <c r="J3380" s="21"/>
      <c r="K3380" s="5" t="str">
        <f>IF(AND(LEN(H3380)=0, LEN(I3380)=0), "", IF(AND(LEN(H3380)&gt;0, LEN(I3380)=0), "BLANCO", IFERROR(VLOOKUP(I3380, BasedatosM9!A:B, 2, FALSE), "BLANCO")))</f>
        <v/>
      </c>
    </row>
    <row r="3381" spans="1:11" ht="14.4">
      <c r="A3381" s="21"/>
      <c r="B3381" s="86"/>
      <c r="C3381" s="98"/>
      <c r="D3381" s="21"/>
      <c r="E3381" s="86"/>
      <c r="F3381" s="99"/>
      <c r="G3381" s="99"/>
      <c r="H3381" s="21"/>
      <c r="I3381" s="86"/>
      <c r="J3381" s="21"/>
      <c r="K3381" s="5" t="str">
        <f>IF(AND(LEN(H3381)=0, LEN(I3381)=0), "", IF(AND(LEN(H3381)&gt;0, LEN(I3381)=0), "BLANCO", IFERROR(VLOOKUP(I3381, BasedatosM9!A:B, 2, FALSE), "BLANCO")))</f>
        <v/>
      </c>
    </row>
    <row r="3382" spans="1:11" ht="14.4">
      <c r="A3382" s="21"/>
      <c r="B3382" s="86"/>
      <c r="C3382" s="98"/>
      <c r="D3382" s="21"/>
      <c r="E3382" s="86"/>
      <c r="F3382" s="99"/>
      <c r="G3382" s="99"/>
      <c r="H3382" s="21"/>
      <c r="I3382" s="21"/>
      <c r="J3382" s="21"/>
      <c r="K3382" s="5" t="str">
        <f>IF(AND(LEN(H3382)=0, LEN(I3382)=0), "", IF(AND(LEN(H3382)&gt;0, LEN(I3382)=0), "BLANCO", IFERROR(VLOOKUP(I3382, BasedatosM9!A:B, 2, FALSE), "BLANCO")))</f>
        <v/>
      </c>
    </row>
    <row r="3383" spans="1:11" ht="14.4">
      <c r="A3383" s="21"/>
      <c r="B3383" s="86"/>
      <c r="C3383" s="98"/>
      <c r="D3383" s="21"/>
      <c r="E3383" s="86"/>
      <c r="F3383" s="99"/>
      <c r="G3383" s="99"/>
      <c r="H3383" s="21"/>
      <c r="I3383" s="86"/>
      <c r="J3383" s="21"/>
      <c r="K3383" s="5" t="str">
        <f>IF(AND(LEN(H3383)=0, LEN(I3383)=0), "", IF(AND(LEN(H3383)&gt;0, LEN(I3383)=0), "BLANCO", IFERROR(VLOOKUP(I3383, BasedatosM9!A:B, 2, FALSE), "BLANCO")))</f>
        <v/>
      </c>
    </row>
    <row r="3384" spans="1:11" ht="14.4">
      <c r="A3384" s="21"/>
      <c r="B3384" s="86"/>
      <c r="C3384" s="98"/>
      <c r="D3384" s="21"/>
      <c r="E3384" s="86"/>
      <c r="F3384" s="99"/>
      <c r="G3384" s="99"/>
      <c r="H3384" s="21"/>
      <c r="I3384" s="21"/>
      <c r="J3384" s="21"/>
      <c r="K3384" s="5" t="str">
        <f>IF(AND(LEN(H3384)=0, LEN(I3384)=0), "", IF(AND(LEN(H3384)&gt;0, LEN(I3384)=0), "BLANCO", IFERROR(VLOOKUP(I3384, BasedatosM9!A:B, 2, FALSE), "BLANCO")))</f>
        <v/>
      </c>
    </row>
    <row r="3385" spans="1:11" ht="14.4">
      <c r="A3385" s="21"/>
      <c r="B3385" s="86"/>
      <c r="C3385" s="98"/>
      <c r="D3385" s="21"/>
      <c r="E3385" s="86"/>
      <c r="F3385" s="99"/>
      <c r="G3385" s="99"/>
      <c r="H3385" s="21"/>
      <c r="I3385" s="21"/>
      <c r="J3385" s="21"/>
      <c r="K3385" s="5" t="str">
        <f>IF(AND(LEN(H3385)=0, LEN(I3385)=0), "", IF(AND(LEN(H3385)&gt;0, LEN(I3385)=0), "BLANCO", IFERROR(VLOOKUP(I3385, BasedatosM9!A:B, 2, FALSE), "BLANCO")))</f>
        <v/>
      </c>
    </row>
    <row r="3386" spans="1:11" ht="14.4">
      <c r="A3386" s="21"/>
      <c r="B3386" s="86"/>
      <c r="C3386" s="98"/>
      <c r="D3386" s="21"/>
      <c r="E3386" s="86"/>
      <c r="F3386" s="99"/>
      <c r="G3386" s="99"/>
      <c r="H3386" s="21"/>
      <c r="I3386" s="21"/>
      <c r="J3386" s="21"/>
      <c r="K3386" s="5" t="str">
        <f>IF(AND(LEN(H3386)=0, LEN(I3386)=0), "", IF(AND(LEN(H3386)&gt;0, LEN(I3386)=0), "BLANCO", IFERROR(VLOOKUP(I3386, BasedatosM9!A:B, 2, FALSE), "BLANCO")))</f>
        <v/>
      </c>
    </row>
    <row r="3387" spans="1:11" ht="14.4">
      <c r="A3387" s="21"/>
      <c r="B3387" s="86"/>
      <c r="C3387" s="98"/>
      <c r="D3387" s="21"/>
      <c r="E3387" s="86"/>
      <c r="F3387" s="99"/>
      <c r="G3387" s="99"/>
      <c r="H3387" s="21"/>
      <c r="I3387" s="21"/>
      <c r="J3387" s="21"/>
      <c r="K3387" s="5" t="str">
        <f>IF(AND(LEN(H3387)=0, LEN(I3387)=0), "", IF(AND(LEN(H3387)&gt;0, LEN(I3387)=0), "BLANCO", IFERROR(VLOOKUP(I3387, BasedatosM9!A:B, 2, FALSE), "BLANCO")))</f>
        <v/>
      </c>
    </row>
    <row r="3388" spans="1:11" ht="14.4">
      <c r="A3388" s="21"/>
      <c r="B3388" s="86"/>
      <c r="C3388" s="98"/>
      <c r="D3388" s="21"/>
      <c r="E3388" s="86"/>
      <c r="F3388" s="99"/>
      <c r="G3388" s="99"/>
      <c r="H3388" s="21"/>
      <c r="I3388" s="21"/>
      <c r="J3388" s="21"/>
      <c r="K3388" s="5" t="str">
        <f>IF(AND(LEN(H3388)=0, LEN(I3388)=0), "", IF(AND(LEN(H3388)&gt;0, LEN(I3388)=0), "BLANCO", IFERROR(VLOOKUP(I3388, BasedatosM9!A:B, 2, FALSE), "BLANCO")))</f>
        <v/>
      </c>
    </row>
    <row r="3389" spans="1:11" ht="14.4">
      <c r="A3389" s="21"/>
      <c r="B3389" s="86"/>
      <c r="C3389" s="98"/>
      <c r="D3389" s="21"/>
      <c r="E3389" s="86"/>
      <c r="F3389" s="99"/>
      <c r="G3389" s="99"/>
      <c r="H3389" s="21"/>
      <c r="I3389" s="21"/>
      <c r="J3389" s="21"/>
      <c r="K3389" s="5" t="str">
        <f>IF(AND(LEN(H3389)=0, LEN(I3389)=0), "", IF(AND(LEN(H3389)&gt;0, LEN(I3389)=0), "BLANCO", IFERROR(VLOOKUP(I3389, BasedatosM9!A:B, 2, FALSE), "BLANCO")))</f>
        <v/>
      </c>
    </row>
    <row r="3390" spans="1:11" ht="14.4">
      <c r="A3390" s="21"/>
      <c r="B3390" s="86"/>
      <c r="C3390" s="98"/>
      <c r="D3390" s="21"/>
      <c r="E3390" s="86"/>
      <c r="F3390" s="99"/>
      <c r="G3390" s="99"/>
      <c r="H3390" s="21"/>
      <c r="I3390" s="21"/>
      <c r="J3390" s="21"/>
      <c r="K3390" s="5" t="str">
        <f>IF(AND(LEN(H3390)=0, LEN(I3390)=0), "", IF(AND(LEN(H3390)&gt;0, LEN(I3390)=0), "BLANCO", IFERROR(VLOOKUP(I3390, BasedatosM9!A:B, 2, FALSE), "BLANCO")))</f>
        <v/>
      </c>
    </row>
    <row r="3391" spans="1:11" ht="14.4">
      <c r="A3391" s="21"/>
      <c r="B3391" s="86"/>
      <c r="C3391" s="98"/>
      <c r="D3391" s="21"/>
      <c r="E3391" s="86"/>
      <c r="F3391" s="99"/>
      <c r="G3391" s="99"/>
      <c r="H3391" s="21"/>
      <c r="I3391" s="21"/>
      <c r="J3391" s="21"/>
      <c r="K3391" s="5" t="str">
        <f>IF(AND(LEN(H3391)=0, LEN(I3391)=0), "", IF(AND(LEN(H3391)&gt;0, LEN(I3391)=0), "BLANCO", IFERROR(VLOOKUP(I3391, BasedatosM9!A:B, 2, FALSE), "BLANCO")))</f>
        <v/>
      </c>
    </row>
    <row r="3392" spans="1:11" ht="14.4">
      <c r="A3392" s="21"/>
      <c r="B3392" s="86"/>
      <c r="C3392" s="98"/>
      <c r="D3392" s="21"/>
      <c r="E3392" s="86"/>
      <c r="F3392" s="99"/>
      <c r="G3392" s="99"/>
      <c r="H3392" s="21"/>
      <c r="I3392" s="86"/>
      <c r="J3392" s="21"/>
      <c r="K3392" s="5" t="str">
        <f>IF(AND(LEN(H3392)=0, LEN(I3392)=0), "", IF(AND(LEN(H3392)&gt;0, LEN(I3392)=0), "BLANCO", IFERROR(VLOOKUP(I3392, BasedatosM9!A:B, 2, FALSE), "BLANCO")))</f>
        <v/>
      </c>
    </row>
    <row r="3393" spans="1:11" ht="14.4">
      <c r="A3393" s="21"/>
      <c r="B3393" s="86"/>
      <c r="C3393" s="98"/>
      <c r="D3393" s="21"/>
      <c r="E3393" s="86"/>
      <c r="F3393" s="99"/>
      <c r="G3393" s="99"/>
      <c r="H3393" s="21"/>
      <c r="I3393" s="86"/>
      <c r="J3393" s="21"/>
      <c r="K3393" s="5" t="str">
        <f>IF(AND(LEN(H3393)=0, LEN(I3393)=0), "", IF(AND(LEN(H3393)&gt;0, LEN(I3393)=0), "BLANCO", IFERROR(VLOOKUP(I3393, BasedatosM9!A:B, 2, FALSE), "BLANCO")))</f>
        <v/>
      </c>
    </row>
    <row r="3394" spans="1:11" ht="14.4">
      <c r="A3394" s="21"/>
      <c r="B3394" s="86"/>
      <c r="C3394" s="98"/>
      <c r="D3394" s="21"/>
      <c r="E3394" s="86"/>
      <c r="F3394" s="99"/>
      <c r="G3394" s="99"/>
      <c r="H3394" s="21"/>
      <c r="I3394" s="21"/>
      <c r="J3394" s="21"/>
      <c r="K3394" s="5" t="str">
        <f>IF(AND(LEN(H3394)=0, LEN(I3394)=0), "", IF(AND(LEN(H3394)&gt;0, LEN(I3394)=0), "BLANCO", IFERROR(VLOOKUP(I3394, BasedatosM9!A:B, 2, FALSE), "BLANCO")))</f>
        <v/>
      </c>
    </row>
    <row r="3395" spans="1:11" ht="14.4">
      <c r="A3395" s="21"/>
      <c r="B3395" s="86"/>
      <c r="C3395" s="98"/>
      <c r="D3395" s="21"/>
      <c r="E3395" s="86"/>
      <c r="F3395" s="99"/>
      <c r="G3395" s="99"/>
      <c r="H3395" s="21"/>
      <c r="I3395" s="86"/>
      <c r="J3395" s="21"/>
      <c r="K3395" s="5" t="str">
        <f>IF(AND(LEN(H3395)=0, LEN(I3395)=0), "", IF(AND(LEN(H3395)&gt;0, LEN(I3395)=0), "BLANCO", IFERROR(VLOOKUP(I3395, BasedatosM9!A:B, 2, FALSE), "BLANCO")))</f>
        <v/>
      </c>
    </row>
    <row r="3396" spans="1:11" ht="14.4">
      <c r="A3396" s="21"/>
      <c r="B3396" s="86"/>
      <c r="C3396" s="98"/>
      <c r="D3396" s="21"/>
      <c r="E3396" s="86"/>
      <c r="F3396" s="99"/>
      <c r="G3396" s="99"/>
      <c r="H3396" s="21"/>
      <c r="I3396" s="86"/>
      <c r="J3396" s="21"/>
      <c r="K3396" s="5" t="str">
        <f>IF(AND(LEN(H3396)=0, LEN(I3396)=0), "", IF(AND(LEN(H3396)&gt;0, LEN(I3396)=0), "BLANCO", IFERROR(VLOOKUP(I3396, BasedatosM9!A:B, 2, FALSE), "BLANCO")))</f>
        <v/>
      </c>
    </row>
    <row r="3397" spans="1:11" ht="14.4">
      <c r="A3397" s="21"/>
      <c r="B3397" s="86"/>
      <c r="C3397" s="98"/>
      <c r="D3397" s="21"/>
      <c r="E3397" s="86"/>
      <c r="F3397" s="99"/>
      <c r="G3397" s="99"/>
      <c r="H3397" s="21"/>
      <c r="I3397" s="86"/>
      <c r="J3397" s="21"/>
      <c r="K3397" s="5" t="str">
        <f>IF(AND(LEN(H3397)=0, LEN(I3397)=0), "", IF(AND(LEN(H3397)&gt;0, LEN(I3397)=0), "BLANCO", IFERROR(VLOOKUP(I3397, BasedatosM9!A:B, 2, FALSE), "BLANCO")))</f>
        <v/>
      </c>
    </row>
    <row r="3398" spans="1:11" ht="14.4">
      <c r="A3398" s="21"/>
      <c r="B3398" s="86"/>
      <c r="C3398" s="98"/>
      <c r="D3398" s="21"/>
      <c r="E3398" s="86"/>
      <c r="F3398" s="99"/>
      <c r="G3398" s="99"/>
      <c r="H3398" s="21"/>
      <c r="I3398" s="86"/>
      <c r="J3398" s="21"/>
      <c r="K3398" s="5" t="str">
        <f>IF(AND(LEN(H3398)=0, LEN(I3398)=0), "", IF(AND(LEN(H3398)&gt;0, LEN(I3398)=0), "BLANCO", IFERROR(VLOOKUP(I3398, BasedatosM9!A:B, 2, FALSE), "BLANCO")))</f>
        <v/>
      </c>
    </row>
    <row r="3399" spans="1:11" ht="14.4">
      <c r="A3399" s="21"/>
      <c r="B3399" s="86"/>
      <c r="C3399" s="98"/>
      <c r="D3399" s="21"/>
      <c r="E3399" s="86"/>
      <c r="F3399" s="99"/>
      <c r="G3399" s="99"/>
      <c r="H3399" s="21"/>
      <c r="I3399" s="86"/>
      <c r="J3399" s="21"/>
      <c r="K3399" s="5" t="str">
        <f>IF(AND(LEN(H3399)=0, LEN(I3399)=0), "", IF(AND(LEN(H3399)&gt;0, LEN(I3399)=0), "BLANCO", IFERROR(VLOOKUP(I3399, BasedatosM9!A:B, 2, FALSE), "BLANCO")))</f>
        <v/>
      </c>
    </row>
    <row r="3400" spans="1:11" ht="14.4">
      <c r="A3400" s="21"/>
      <c r="B3400" s="86"/>
      <c r="C3400" s="98"/>
      <c r="D3400" s="21"/>
      <c r="E3400" s="86"/>
      <c r="F3400" s="99"/>
      <c r="G3400" s="99"/>
      <c r="H3400" s="21"/>
      <c r="I3400" s="21"/>
      <c r="J3400" s="21"/>
      <c r="K3400" s="5" t="str">
        <f>IF(AND(LEN(H3400)=0, LEN(I3400)=0), "", IF(AND(LEN(H3400)&gt;0, LEN(I3400)=0), "BLANCO", IFERROR(VLOOKUP(I3400, BasedatosM9!A:B, 2, FALSE), "BLANCO")))</f>
        <v/>
      </c>
    </row>
    <row r="3401" spans="1:11" ht="14.4">
      <c r="A3401" s="21"/>
      <c r="B3401" s="86"/>
      <c r="C3401" s="98"/>
      <c r="D3401" s="21"/>
      <c r="E3401" s="86"/>
      <c r="F3401" s="99"/>
      <c r="G3401" s="99"/>
      <c r="H3401" s="21"/>
      <c r="I3401" s="21"/>
      <c r="J3401" s="21"/>
      <c r="K3401" s="5" t="str">
        <f>IF(AND(LEN(H3401)=0, LEN(I3401)=0), "", IF(AND(LEN(H3401)&gt;0, LEN(I3401)=0), "BLANCO", IFERROR(VLOOKUP(I3401, BasedatosM9!A:B, 2, FALSE), "BLANCO")))</f>
        <v/>
      </c>
    </row>
    <row r="3402" spans="1:11" ht="14.4">
      <c r="A3402" s="21"/>
      <c r="B3402" s="86"/>
      <c r="C3402" s="98"/>
      <c r="D3402" s="21"/>
      <c r="E3402" s="86"/>
      <c r="F3402" s="99"/>
      <c r="G3402" s="99"/>
      <c r="H3402" s="21"/>
      <c r="I3402" s="86"/>
      <c r="J3402" s="21"/>
      <c r="K3402" s="5" t="str">
        <f>IF(AND(LEN(H3402)=0, LEN(I3402)=0), "", IF(AND(LEN(H3402)&gt;0, LEN(I3402)=0), "BLANCO", IFERROR(VLOOKUP(I3402, BasedatosM9!A:B, 2, FALSE), "BLANCO")))</f>
        <v/>
      </c>
    </row>
    <row r="3403" spans="1:11" ht="14.4">
      <c r="A3403" s="21"/>
      <c r="B3403" s="86"/>
      <c r="C3403" s="98"/>
      <c r="D3403" s="21"/>
      <c r="E3403" s="86"/>
      <c r="F3403" s="99"/>
      <c r="G3403" s="99"/>
      <c r="H3403" s="21"/>
      <c r="I3403" s="86"/>
      <c r="J3403" s="21"/>
      <c r="K3403" s="5" t="str">
        <f>IF(AND(LEN(H3403)=0, LEN(I3403)=0), "", IF(AND(LEN(H3403)&gt;0, LEN(I3403)=0), "BLANCO", IFERROR(VLOOKUP(I3403, BasedatosM9!A:B, 2, FALSE), "BLANCO")))</f>
        <v/>
      </c>
    </row>
    <row r="3404" spans="1:11" ht="14.4">
      <c r="A3404" s="21"/>
      <c r="B3404" s="86"/>
      <c r="C3404" s="98"/>
      <c r="D3404" s="21"/>
      <c r="E3404" s="86"/>
      <c r="F3404" s="99"/>
      <c r="G3404" s="99"/>
      <c r="H3404" s="21"/>
      <c r="I3404" s="86"/>
      <c r="J3404" s="21"/>
      <c r="K3404" s="5" t="str">
        <f>IF(AND(LEN(H3404)=0, LEN(I3404)=0), "", IF(AND(LEN(H3404)&gt;0, LEN(I3404)=0), "BLANCO", IFERROR(VLOOKUP(I3404, BasedatosM9!A:B, 2, FALSE), "BLANCO")))</f>
        <v/>
      </c>
    </row>
    <row r="3405" spans="1:11" ht="14.4">
      <c r="A3405" s="21"/>
      <c r="B3405" s="86"/>
      <c r="C3405" s="98"/>
      <c r="D3405" s="21"/>
      <c r="E3405" s="86"/>
      <c r="F3405" s="99"/>
      <c r="G3405" s="99"/>
      <c r="H3405" s="21"/>
      <c r="I3405" s="21"/>
      <c r="J3405" s="21"/>
      <c r="K3405" s="5" t="str">
        <f>IF(AND(LEN(H3405)=0, LEN(I3405)=0), "", IF(AND(LEN(H3405)&gt;0, LEN(I3405)=0), "BLANCO", IFERROR(VLOOKUP(I3405, BasedatosM9!A:B, 2, FALSE), "BLANCO")))</f>
        <v/>
      </c>
    </row>
    <row r="3406" spans="1:11" ht="14.4">
      <c r="A3406" s="21"/>
      <c r="B3406" s="86"/>
      <c r="C3406" s="98"/>
      <c r="D3406" s="21"/>
      <c r="E3406" s="86"/>
      <c r="F3406" s="99"/>
      <c r="G3406" s="99"/>
      <c r="H3406" s="21"/>
      <c r="I3406" s="86"/>
      <c r="J3406" s="21"/>
      <c r="K3406" s="5" t="str">
        <f>IF(AND(LEN(H3406)=0, LEN(I3406)=0), "", IF(AND(LEN(H3406)&gt;0, LEN(I3406)=0), "BLANCO", IFERROR(VLOOKUP(I3406, BasedatosM9!A:B, 2, FALSE), "BLANCO")))</f>
        <v/>
      </c>
    </row>
    <row r="3407" spans="1:11" ht="14.4">
      <c r="A3407" s="21"/>
      <c r="B3407" s="86"/>
      <c r="C3407" s="98"/>
      <c r="D3407" s="21"/>
      <c r="E3407" s="86"/>
      <c r="F3407" s="99"/>
      <c r="G3407" s="99"/>
      <c r="H3407" s="21"/>
      <c r="I3407" s="86"/>
      <c r="J3407" s="21"/>
      <c r="K3407" s="5" t="str">
        <f>IF(AND(LEN(H3407)=0, LEN(I3407)=0), "", IF(AND(LEN(H3407)&gt;0, LEN(I3407)=0), "BLANCO", IFERROR(VLOOKUP(I3407, BasedatosM9!A:B, 2, FALSE), "BLANCO")))</f>
        <v/>
      </c>
    </row>
    <row r="3408" spans="1:11" ht="14.4">
      <c r="A3408" s="21"/>
      <c r="B3408" s="86"/>
      <c r="C3408" s="98"/>
      <c r="D3408" s="21"/>
      <c r="E3408" s="86"/>
      <c r="F3408" s="99"/>
      <c r="G3408" s="99"/>
      <c r="H3408" s="21"/>
      <c r="I3408" s="21"/>
      <c r="J3408" s="21"/>
      <c r="K3408" s="5" t="str">
        <f>IF(AND(LEN(H3408)=0, LEN(I3408)=0), "", IF(AND(LEN(H3408)&gt;0, LEN(I3408)=0), "BLANCO", IFERROR(VLOOKUP(I3408, BasedatosM9!A:B, 2, FALSE), "BLANCO")))</f>
        <v/>
      </c>
    </row>
    <row r="3409" spans="1:11" ht="14.4">
      <c r="A3409" s="21"/>
      <c r="B3409" s="86"/>
      <c r="C3409" s="98"/>
      <c r="D3409" s="21"/>
      <c r="E3409" s="86"/>
      <c r="F3409" s="99"/>
      <c r="G3409" s="99"/>
      <c r="H3409" s="21"/>
      <c r="I3409" s="21"/>
      <c r="J3409" s="21"/>
      <c r="K3409" s="5" t="str">
        <f>IF(AND(LEN(H3409)=0, LEN(I3409)=0), "", IF(AND(LEN(H3409)&gt;0, LEN(I3409)=0), "BLANCO", IFERROR(VLOOKUP(I3409, BasedatosM9!A:B, 2, FALSE), "BLANCO")))</f>
        <v/>
      </c>
    </row>
    <row r="3410" spans="1:11" ht="14.4">
      <c r="A3410" s="21"/>
      <c r="B3410" s="86"/>
      <c r="C3410" s="98"/>
      <c r="D3410" s="21"/>
      <c r="E3410" s="86"/>
      <c r="F3410" s="99"/>
      <c r="G3410" s="99"/>
      <c r="H3410" s="21"/>
      <c r="I3410" s="86"/>
      <c r="J3410" s="21"/>
      <c r="K3410" s="5" t="str">
        <f>IF(AND(LEN(H3410)=0, LEN(I3410)=0), "", IF(AND(LEN(H3410)&gt;0, LEN(I3410)=0), "BLANCO", IFERROR(VLOOKUP(I3410, BasedatosM9!A:B, 2, FALSE), "BLANCO")))</f>
        <v/>
      </c>
    </row>
    <row r="3411" spans="1:11" ht="14.4">
      <c r="A3411" s="21"/>
      <c r="B3411" s="86"/>
      <c r="C3411" s="98"/>
      <c r="D3411" s="21"/>
      <c r="E3411" s="86"/>
      <c r="F3411" s="99"/>
      <c r="G3411" s="99"/>
      <c r="H3411" s="21"/>
      <c r="I3411" s="86"/>
      <c r="J3411" s="21"/>
      <c r="K3411" s="5" t="str">
        <f>IF(AND(LEN(H3411)=0, LEN(I3411)=0), "", IF(AND(LEN(H3411)&gt;0, LEN(I3411)=0), "BLANCO", IFERROR(VLOOKUP(I3411, BasedatosM9!A:B, 2, FALSE), "BLANCO")))</f>
        <v/>
      </c>
    </row>
    <row r="3412" spans="1:11" ht="14.4">
      <c r="A3412" s="21"/>
      <c r="B3412" s="86"/>
      <c r="C3412" s="98"/>
      <c r="D3412" s="21"/>
      <c r="E3412" s="86"/>
      <c r="F3412" s="99"/>
      <c r="G3412" s="99"/>
      <c r="H3412" s="21"/>
      <c r="I3412" s="21"/>
      <c r="J3412" s="21"/>
      <c r="K3412" s="5" t="str">
        <f>IF(AND(LEN(H3412)=0, LEN(I3412)=0), "", IF(AND(LEN(H3412)&gt;0, LEN(I3412)=0), "BLANCO", IFERROR(VLOOKUP(I3412, BasedatosM9!A:B, 2, FALSE), "BLANCO")))</f>
        <v/>
      </c>
    </row>
    <row r="3413" spans="1:11" ht="14.4">
      <c r="A3413" s="21"/>
      <c r="B3413" s="86"/>
      <c r="C3413" s="98"/>
      <c r="D3413" s="21"/>
      <c r="E3413" s="86"/>
      <c r="F3413" s="99"/>
      <c r="G3413" s="99"/>
      <c r="H3413" s="21"/>
      <c r="I3413" s="21"/>
      <c r="J3413" s="21"/>
      <c r="K3413" s="5" t="str">
        <f>IF(AND(LEN(H3413)=0, LEN(I3413)=0), "", IF(AND(LEN(H3413)&gt;0, LEN(I3413)=0), "BLANCO", IFERROR(VLOOKUP(I3413, BasedatosM9!A:B, 2, FALSE), "BLANCO")))</f>
        <v/>
      </c>
    </row>
    <row r="3414" spans="1:11" ht="14.4">
      <c r="A3414" s="21"/>
      <c r="B3414" s="86"/>
      <c r="C3414" s="98"/>
      <c r="D3414" s="21"/>
      <c r="E3414" s="86"/>
      <c r="F3414" s="99"/>
      <c r="G3414" s="99"/>
      <c r="H3414" s="21"/>
      <c r="I3414" s="21"/>
      <c r="J3414" s="21"/>
      <c r="K3414" s="5" t="str">
        <f>IF(AND(LEN(H3414)=0, LEN(I3414)=0), "", IF(AND(LEN(H3414)&gt;0, LEN(I3414)=0), "BLANCO", IFERROR(VLOOKUP(I3414, BasedatosM9!A:B, 2, FALSE), "BLANCO")))</f>
        <v/>
      </c>
    </row>
    <row r="3415" spans="1:11" ht="14.4">
      <c r="A3415" s="21"/>
      <c r="B3415" s="86"/>
      <c r="C3415" s="98"/>
      <c r="D3415" s="21"/>
      <c r="E3415" s="86"/>
      <c r="F3415" s="99"/>
      <c r="G3415" s="99"/>
      <c r="H3415" s="21"/>
      <c r="I3415" s="21"/>
      <c r="J3415" s="21"/>
      <c r="K3415" s="5" t="str">
        <f>IF(AND(LEN(H3415)=0, LEN(I3415)=0), "", IF(AND(LEN(H3415)&gt;0, LEN(I3415)=0), "BLANCO", IFERROR(VLOOKUP(I3415, BasedatosM9!A:B, 2, FALSE), "BLANCO")))</f>
        <v/>
      </c>
    </row>
    <row r="3416" spans="1:11" ht="14.4">
      <c r="A3416" s="21"/>
      <c r="B3416" s="86"/>
      <c r="C3416" s="98"/>
      <c r="D3416" s="21"/>
      <c r="E3416" s="86"/>
      <c r="F3416" s="99"/>
      <c r="G3416" s="99"/>
      <c r="H3416" s="21"/>
      <c r="I3416" s="21"/>
      <c r="J3416" s="21"/>
      <c r="K3416" s="5" t="str">
        <f>IF(AND(LEN(H3416)=0, LEN(I3416)=0), "", IF(AND(LEN(H3416)&gt;0, LEN(I3416)=0), "BLANCO", IFERROR(VLOOKUP(I3416, BasedatosM9!A:B, 2, FALSE), "BLANCO")))</f>
        <v/>
      </c>
    </row>
    <row r="3417" spans="1:11" ht="14.4">
      <c r="A3417" s="21"/>
      <c r="B3417" s="86"/>
      <c r="C3417" s="98"/>
      <c r="D3417" s="21"/>
      <c r="E3417" s="86"/>
      <c r="F3417" s="99"/>
      <c r="G3417" s="99"/>
      <c r="H3417" s="21"/>
      <c r="I3417" s="21"/>
      <c r="J3417" s="21"/>
      <c r="K3417" s="5" t="str">
        <f>IF(AND(LEN(H3417)=0, LEN(I3417)=0), "", IF(AND(LEN(H3417)&gt;0, LEN(I3417)=0), "BLANCO", IFERROR(VLOOKUP(I3417, BasedatosM9!A:B, 2, FALSE), "BLANCO")))</f>
        <v/>
      </c>
    </row>
    <row r="3418" spans="1:11" ht="14.4">
      <c r="A3418" s="21"/>
      <c r="B3418" s="86"/>
      <c r="C3418" s="98"/>
      <c r="D3418" s="21"/>
      <c r="E3418" s="86"/>
      <c r="F3418" s="99"/>
      <c r="G3418" s="99"/>
      <c r="H3418" s="21"/>
      <c r="I3418" s="21"/>
      <c r="J3418" s="21"/>
      <c r="K3418" s="5" t="str">
        <f>IF(AND(LEN(H3418)=0, LEN(I3418)=0), "", IF(AND(LEN(H3418)&gt;0, LEN(I3418)=0), "BLANCO", IFERROR(VLOOKUP(I3418, BasedatosM9!A:B, 2, FALSE), "BLANCO")))</f>
        <v/>
      </c>
    </row>
    <row r="3419" spans="1:11" ht="14.4">
      <c r="A3419" s="21"/>
      <c r="B3419" s="86"/>
      <c r="C3419" s="98"/>
      <c r="D3419" s="21"/>
      <c r="E3419" s="86"/>
      <c r="F3419" s="99"/>
      <c r="G3419" s="99"/>
      <c r="H3419" s="21"/>
      <c r="I3419" s="21"/>
      <c r="J3419" s="21"/>
      <c r="K3419" s="5" t="str">
        <f>IF(AND(LEN(H3419)=0, LEN(I3419)=0), "", IF(AND(LEN(H3419)&gt;0, LEN(I3419)=0), "BLANCO", IFERROR(VLOOKUP(I3419, BasedatosM9!A:B, 2, FALSE), "BLANCO")))</f>
        <v/>
      </c>
    </row>
    <row r="3420" spans="1:11" ht="14.4">
      <c r="A3420" s="21"/>
      <c r="B3420" s="86"/>
      <c r="C3420" s="98"/>
      <c r="D3420" s="21"/>
      <c r="E3420" s="86"/>
      <c r="F3420" s="99"/>
      <c r="G3420" s="99"/>
      <c r="H3420" s="21"/>
      <c r="I3420" s="21"/>
      <c r="J3420" s="21"/>
      <c r="K3420" s="5" t="str">
        <f>IF(AND(LEN(H3420)=0, LEN(I3420)=0), "", IF(AND(LEN(H3420)&gt;0, LEN(I3420)=0), "BLANCO", IFERROR(VLOOKUP(I3420, BasedatosM9!A:B, 2, FALSE), "BLANCO")))</f>
        <v/>
      </c>
    </row>
    <row r="3421" spans="1:11" ht="14.4">
      <c r="A3421" s="21"/>
      <c r="B3421" s="86"/>
      <c r="C3421" s="98"/>
      <c r="D3421" s="21"/>
      <c r="E3421" s="86"/>
      <c r="F3421" s="99"/>
      <c r="G3421" s="99"/>
      <c r="H3421" s="21"/>
      <c r="I3421" s="21"/>
      <c r="J3421" s="21"/>
      <c r="K3421" s="5" t="str">
        <f>IF(AND(LEN(H3421)=0, LEN(I3421)=0), "", IF(AND(LEN(H3421)&gt;0, LEN(I3421)=0), "BLANCO", IFERROR(VLOOKUP(I3421, BasedatosM9!A:B, 2, FALSE), "BLANCO")))</f>
        <v/>
      </c>
    </row>
    <row r="3422" spans="1:11" ht="14.4">
      <c r="A3422" s="21"/>
      <c r="B3422" s="86"/>
      <c r="C3422" s="98"/>
      <c r="D3422" s="21"/>
      <c r="E3422" s="86"/>
      <c r="F3422" s="99"/>
      <c r="G3422" s="99"/>
      <c r="H3422" s="21"/>
      <c r="I3422" s="21"/>
      <c r="J3422" s="21"/>
      <c r="K3422" s="5" t="str">
        <f>IF(AND(LEN(H3422)=0, LEN(I3422)=0), "", IF(AND(LEN(H3422)&gt;0, LEN(I3422)=0), "BLANCO", IFERROR(VLOOKUP(I3422, BasedatosM9!A:B, 2, FALSE), "BLANCO")))</f>
        <v/>
      </c>
    </row>
    <row r="3423" spans="1:11" ht="14.4">
      <c r="A3423" s="21"/>
      <c r="B3423" s="86"/>
      <c r="C3423" s="98"/>
      <c r="D3423" s="21"/>
      <c r="E3423" s="86"/>
      <c r="F3423" s="99"/>
      <c r="G3423" s="99"/>
      <c r="H3423" s="21"/>
      <c r="I3423" s="21"/>
      <c r="J3423" s="21"/>
      <c r="K3423" s="5" t="str">
        <f>IF(AND(LEN(H3423)=0, LEN(I3423)=0), "", IF(AND(LEN(H3423)&gt;0, LEN(I3423)=0), "BLANCO", IFERROR(VLOOKUP(I3423, BasedatosM9!A:B, 2, FALSE), "BLANCO")))</f>
        <v/>
      </c>
    </row>
    <row r="3424" spans="1:11" ht="14.4">
      <c r="A3424" s="21"/>
      <c r="B3424" s="86"/>
      <c r="C3424" s="98"/>
      <c r="D3424" s="21"/>
      <c r="E3424" s="86"/>
      <c r="F3424" s="99"/>
      <c r="G3424" s="99"/>
      <c r="H3424" s="21"/>
      <c r="I3424" s="21"/>
      <c r="J3424" s="21"/>
      <c r="K3424" s="5" t="str">
        <f>IF(AND(LEN(H3424)=0, LEN(I3424)=0), "", IF(AND(LEN(H3424)&gt;0, LEN(I3424)=0), "BLANCO", IFERROR(VLOOKUP(I3424, BasedatosM9!A:B, 2, FALSE), "BLANCO")))</f>
        <v/>
      </c>
    </row>
    <row r="3425" spans="1:11" ht="14.4">
      <c r="A3425" s="21"/>
      <c r="B3425" s="86"/>
      <c r="C3425" s="98"/>
      <c r="D3425" s="21"/>
      <c r="E3425" s="86"/>
      <c r="F3425" s="99"/>
      <c r="G3425" s="99"/>
      <c r="H3425" s="21"/>
      <c r="I3425" s="86"/>
      <c r="J3425" s="21"/>
      <c r="K3425" s="5" t="str">
        <f>IF(AND(LEN(H3425)=0, LEN(I3425)=0), "", IF(AND(LEN(H3425)&gt;0, LEN(I3425)=0), "BLANCO", IFERROR(VLOOKUP(I3425, BasedatosM9!A:B, 2, FALSE), "BLANCO")))</f>
        <v/>
      </c>
    </row>
    <row r="3426" spans="1:11" ht="14.4">
      <c r="A3426" s="21"/>
      <c r="B3426" s="86"/>
      <c r="C3426" s="98"/>
      <c r="D3426" s="21"/>
      <c r="E3426" s="86"/>
      <c r="F3426" s="99"/>
      <c r="G3426" s="99"/>
      <c r="H3426" s="21"/>
      <c r="I3426" s="86"/>
      <c r="J3426" s="21"/>
      <c r="K3426" s="5" t="str">
        <f>IF(AND(LEN(H3426)=0, LEN(I3426)=0), "", IF(AND(LEN(H3426)&gt;0, LEN(I3426)=0), "BLANCO", IFERROR(VLOOKUP(I3426, BasedatosM9!A:B, 2, FALSE), "BLANCO")))</f>
        <v/>
      </c>
    </row>
    <row r="3427" spans="1:11" ht="14.4">
      <c r="A3427" s="21"/>
      <c r="B3427" s="86"/>
      <c r="C3427" s="98"/>
      <c r="D3427" s="21"/>
      <c r="E3427" s="86"/>
      <c r="F3427" s="99"/>
      <c r="G3427" s="99"/>
      <c r="H3427" s="21"/>
      <c r="I3427" s="86"/>
      <c r="J3427" s="21"/>
      <c r="K3427" s="5" t="str">
        <f>IF(AND(LEN(H3427)=0, LEN(I3427)=0), "", IF(AND(LEN(H3427)&gt;0, LEN(I3427)=0), "BLANCO", IFERROR(VLOOKUP(I3427, BasedatosM9!A:B, 2, FALSE), "BLANCO")))</f>
        <v/>
      </c>
    </row>
    <row r="3428" spans="1:11" ht="14.4">
      <c r="A3428" s="21"/>
      <c r="B3428" s="86"/>
      <c r="C3428" s="98"/>
      <c r="D3428" s="21"/>
      <c r="E3428" s="86"/>
      <c r="F3428" s="99"/>
      <c r="G3428" s="99"/>
      <c r="H3428" s="21"/>
      <c r="I3428" s="86"/>
      <c r="J3428" s="21"/>
      <c r="K3428" s="5" t="str">
        <f>IF(AND(LEN(H3428)=0, LEN(I3428)=0), "", IF(AND(LEN(H3428)&gt;0, LEN(I3428)=0), "BLANCO", IFERROR(VLOOKUP(I3428, BasedatosM9!A:B, 2, FALSE), "BLANCO")))</f>
        <v/>
      </c>
    </row>
    <row r="3429" spans="1:11" ht="14.4">
      <c r="A3429" s="21"/>
      <c r="B3429" s="86"/>
      <c r="C3429" s="98"/>
      <c r="D3429" s="21"/>
      <c r="E3429" s="86"/>
      <c r="F3429" s="99"/>
      <c r="G3429" s="99"/>
      <c r="H3429" s="21"/>
      <c r="I3429" s="86"/>
      <c r="J3429" s="21"/>
      <c r="K3429" s="5" t="str">
        <f>IF(AND(LEN(H3429)=0, LEN(I3429)=0), "", IF(AND(LEN(H3429)&gt;0, LEN(I3429)=0), "BLANCO", IFERROR(VLOOKUP(I3429, BasedatosM9!A:B, 2, FALSE), "BLANCO")))</f>
        <v/>
      </c>
    </row>
    <row r="3430" spans="1:11" ht="14.4">
      <c r="A3430" s="21"/>
      <c r="B3430" s="86"/>
      <c r="C3430" s="98"/>
      <c r="D3430" s="21"/>
      <c r="E3430" s="86"/>
      <c r="F3430" s="99"/>
      <c r="G3430" s="99"/>
      <c r="H3430" s="21"/>
      <c r="I3430" s="86"/>
      <c r="J3430" s="21"/>
      <c r="K3430" s="5" t="str">
        <f>IF(AND(LEN(H3430)=0, LEN(I3430)=0), "", IF(AND(LEN(H3430)&gt;0, LEN(I3430)=0), "BLANCO", IFERROR(VLOOKUP(I3430, BasedatosM9!A:B, 2, FALSE), "BLANCO")))</f>
        <v/>
      </c>
    </row>
    <row r="3431" spans="1:11" ht="14.4">
      <c r="A3431" s="21"/>
      <c r="B3431" s="86"/>
      <c r="C3431" s="98"/>
      <c r="D3431" s="21"/>
      <c r="E3431" s="86"/>
      <c r="F3431" s="99"/>
      <c r="G3431" s="99"/>
      <c r="H3431" s="21"/>
      <c r="I3431" s="86"/>
      <c r="J3431" s="21"/>
      <c r="K3431" s="5" t="str">
        <f>IF(AND(LEN(H3431)=0, LEN(I3431)=0), "", IF(AND(LEN(H3431)&gt;0, LEN(I3431)=0), "BLANCO", IFERROR(VLOOKUP(I3431, BasedatosM9!A:B, 2, FALSE), "BLANCO")))</f>
        <v/>
      </c>
    </row>
    <row r="3432" spans="1:11" ht="14.4">
      <c r="A3432" s="21"/>
      <c r="B3432" s="86"/>
      <c r="C3432" s="98"/>
      <c r="D3432" s="21"/>
      <c r="E3432" s="86"/>
      <c r="F3432" s="99"/>
      <c r="G3432" s="99"/>
      <c r="H3432" s="21"/>
      <c r="I3432" s="21"/>
      <c r="J3432" s="21"/>
      <c r="K3432" s="5" t="str">
        <f>IF(AND(LEN(H3432)=0, LEN(I3432)=0), "", IF(AND(LEN(H3432)&gt;0, LEN(I3432)=0), "BLANCO", IFERROR(VLOOKUP(I3432, BasedatosM9!A:B, 2, FALSE), "BLANCO")))</f>
        <v/>
      </c>
    </row>
    <row r="3433" spans="1:11" ht="14.4">
      <c r="A3433" s="21"/>
      <c r="B3433" s="86"/>
      <c r="C3433" s="98"/>
      <c r="D3433" s="21"/>
      <c r="E3433" s="86"/>
      <c r="F3433" s="99"/>
      <c r="G3433" s="99"/>
      <c r="H3433" s="21"/>
      <c r="I3433" s="86"/>
      <c r="J3433" s="21"/>
      <c r="K3433" s="5" t="str">
        <f>IF(AND(LEN(H3433)=0, LEN(I3433)=0), "", IF(AND(LEN(H3433)&gt;0, LEN(I3433)=0), "BLANCO", IFERROR(VLOOKUP(I3433, BasedatosM9!A:B, 2, FALSE), "BLANCO")))</f>
        <v/>
      </c>
    </row>
    <row r="3434" spans="1:11" ht="14.4">
      <c r="A3434" s="21"/>
      <c r="B3434" s="86"/>
      <c r="C3434" s="98"/>
      <c r="D3434" s="21"/>
      <c r="E3434" s="86"/>
      <c r="F3434" s="99"/>
      <c r="G3434" s="99"/>
      <c r="H3434" s="21"/>
      <c r="I3434" s="86"/>
      <c r="J3434" s="21"/>
      <c r="K3434" s="5" t="str">
        <f>IF(AND(LEN(H3434)=0, LEN(I3434)=0), "", IF(AND(LEN(H3434)&gt;0, LEN(I3434)=0), "BLANCO", IFERROR(VLOOKUP(I3434, BasedatosM9!A:B, 2, FALSE), "BLANCO")))</f>
        <v/>
      </c>
    </row>
    <row r="3435" spans="1:11" ht="14.4">
      <c r="A3435" s="21"/>
      <c r="B3435" s="86"/>
      <c r="C3435" s="98"/>
      <c r="D3435" s="21"/>
      <c r="E3435" s="86"/>
      <c r="F3435" s="99"/>
      <c r="G3435" s="99"/>
      <c r="H3435" s="21"/>
      <c r="I3435" s="86"/>
      <c r="J3435" s="21"/>
      <c r="K3435" s="5" t="str">
        <f>IF(AND(LEN(H3435)=0, LEN(I3435)=0), "", IF(AND(LEN(H3435)&gt;0, LEN(I3435)=0), "BLANCO", IFERROR(VLOOKUP(I3435, BasedatosM9!A:B, 2, FALSE), "BLANCO")))</f>
        <v/>
      </c>
    </row>
    <row r="3436" spans="1:11" ht="14.4">
      <c r="A3436" s="21"/>
      <c r="B3436" s="86"/>
      <c r="C3436" s="98"/>
      <c r="D3436" s="21"/>
      <c r="E3436" s="86"/>
      <c r="F3436" s="99"/>
      <c r="G3436" s="99"/>
      <c r="H3436" s="21"/>
      <c r="I3436" s="86"/>
      <c r="J3436" s="21"/>
      <c r="K3436" s="5" t="str">
        <f>IF(AND(LEN(H3436)=0, LEN(I3436)=0), "", IF(AND(LEN(H3436)&gt;0, LEN(I3436)=0), "BLANCO", IFERROR(VLOOKUP(I3436, BasedatosM9!A:B, 2, FALSE), "BLANCO")))</f>
        <v/>
      </c>
    </row>
    <row r="3437" spans="1:11" ht="14.4">
      <c r="A3437" s="21"/>
      <c r="B3437" s="86"/>
      <c r="C3437" s="98"/>
      <c r="D3437" s="21"/>
      <c r="E3437" s="86"/>
      <c r="F3437" s="99"/>
      <c r="G3437" s="99"/>
      <c r="H3437" s="21"/>
      <c r="I3437" s="86"/>
      <c r="J3437" s="21"/>
      <c r="K3437" s="5" t="str">
        <f>IF(AND(LEN(H3437)=0, LEN(I3437)=0), "", IF(AND(LEN(H3437)&gt;0, LEN(I3437)=0), "BLANCO", IFERROR(VLOOKUP(I3437, BasedatosM9!A:B, 2, FALSE), "BLANCO")))</f>
        <v/>
      </c>
    </row>
    <row r="3438" spans="1:11" ht="14.4">
      <c r="A3438" s="21"/>
      <c r="B3438" s="86"/>
      <c r="C3438" s="98"/>
      <c r="D3438" s="21"/>
      <c r="E3438" s="86"/>
      <c r="F3438" s="99"/>
      <c r="G3438" s="99"/>
      <c r="H3438" s="21"/>
      <c r="I3438" s="21"/>
      <c r="J3438" s="21"/>
      <c r="K3438" s="5" t="str">
        <f>IF(AND(LEN(H3438)=0, LEN(I3438)=0), "", IF(AND(LEN(H3438)&gt;0, LEN(I3438)=0), "BLANCO", IFERROR(VLOOKUP(I3438, BasedatosM9!A:B, 2, FALSE), "BLANCO")))</f>
        <v/>
      </c>
    </row>
    <row r="3439" spans="1:11" ht="14.4">
      <c r="A3439" s="21"/>
      <c r="B3439" s="86"/>
      <c r="C3439" s="98"/>
      <c r="D3439" s="21"/>
      <c r="E3439" s="86"/>
      <c r="F3439" s="99"/>
      <c r="G3439" s="99"/>
      <c r="H3439" s="21"/>
      <c r="I3439" s="21"/>
      <c r="J3439" s="21"/>
      <c r="K3439" s="5" t="str">
        <f>IF(AND(LEN(H3439)=0, LEN(I3439)=0), "", IF(AND(LEN(H3439)&gt;0, LEN(I3439)=0), "BLANCO", IFERROR(VLOOKUP(I3439, BasedatosM9!A:B, 2, FALSE), "BLANCO")))</f>
        <v/>
      </c>
    </row>
    <row r="3440" spans="1:11" ht="14.4">
      <c r="A3440" s="21"/>
      <c r="B3440" s="86"/>
      <c r="C3440" s="98"/>
      <c r="D3440" s="21"/>
      <c r="E3440" s="86"/>
      <c r="F3440" s="99"/>
      <c r="G3440" s="99"/>
      <c r="H3440" s="21"/>
      <c r="I3440" s="21"/>
      <c r="J3440" s="21"/>
      <c r="K3440" s="5" t="str">
        <f>IF(AND(LEN(H3440)=0, LEN(I3440)=0), "", IF(AND(LEN(H3440)&gt;0, LEN(I3440)=0), "BLANCO", IFERROR(VLOOKUP(I3440, BasedatosM9!A:B, 2, FALSE), "BLANCO")))</f>
        <v/>
      </c>
    </row>
    <row r="3441" spans="1:11" ht="14.4">
      <c r="A3441" s="21"/>
      <c r="B3441" s="86"/>
      <c r="C3441" s="98"/>
      <c r="D3441" s="21"/>
      <c r="E3441" s="86"/>
      <c r="F3441" s="99"/>
      <c r="G3441" s="99"/>
      <c r="H3441" s="21"/>
      <c r="I3441" s="21"/>
      <c r="J3441" s="21"/>
      <c r="K3441" s="5" t="str">
        <f>IF(AND(LEN(H3441)=0, LEN(I3441)=0), "", IF(AND(LEN(H3441)&gt;0, LEN(I3441)=0), "BLANCO", IFERROR(VLOOKUP(I3441, BasedatosM9!A:B, 2, FALSE), "BLANCO")))</f>
        <v/>
      </c>
    </row>
    <row r="3442" spans="1:11" ht="14.4">
      <c r="A3442" s="21"/>
      <c r="B3442" s="86"/>
      <c r="C3442" s="98"/>
      <c r="D3442" s="21"/>
      <c r="E3442" s="86"/>
      <c r="F3442" s="99"/>
      <c r="G3442" s="99"/>
      <c r="H3442" s="21"/>
      <c r="I3442" s="21"/>
      <c r="J3442" s="21"/>
      <c r="K3442" s="5" t="str">
        <f>IF(AND(LEN(H3442)=0, LEN(I3442)=0), "", IF(AND(LEN(H3442)&gt;0, LEN(I3442)=0), "BLANCO", IFERROR(VLOOKUP(I3442, BasedatosM9!A:B, 2, FALSE), "BLANCO")))</f>
        <v/>
      </c>
    </row>
    <row r="3443" spans="1:11" ht="14.4">
      <c r="A3443" s="21"/>
      <c r="B3443" s="86"/>
      <c r="C3443" s="98"/>
      <c r="D3443" s="21"/>
      <c r="E3443" s="86"/>
      <c r="F3443" s="99"/>
      <c r="G3443" s="99"/>
      <c r="H3443" s="21"/>
      <c r="I3443" s="21"/>
      <c r="J3443" s="21"/>
      <c r="K3443" s="5" t="str">
        <f>IF(AND(LEN(H3443)=0, LEN(I3443)=0), "", IF(AND(LEN(H3443)&gt;0, LEN(I3443)=0), "BLANCO", IFERROR(VLOOKUP(I3443, BasedatosM9!A:B, 2, FALSE), "BLANCO")))</f>
        <v/>
      </c>
    </row>
    <row r="3444" spans="1:11" ht="14.4">
      <c r="A3444" s="21"/>
      <c r="B3444" s="86"/>
      <c r="C3444" s="98"/>
      <c r="D3444" s="21"/>
      <c r="E3444" s="86"/>
      <c r="F3444" s="99"/>
      <c r="G3444" s="99"/>
      <c r="H3444" s="21"/>
      <c r="I3444" s="21"/>
      <c r="J3444" s="21"/>
      <c r="K3444" s="5" t="str">
        <f>IF(AND(LEN(H3444)=0, LEN(I3444)=0), "", IF(AND(LEN(H3444)&gt;0, LEN(I3444)=0), "BLANCO", IFERROR(VLOOKUP(I3444, BasedatosM9!A:B, 2, FALSE), "BLANCO")))</f>
        <v/>
      </c>
    </row>
    <row r="3445" spans="1:11" ht="14.4">
      <c r="A3445" s="21"/>
      <c r="B3445" s="86"/>
      <c r="C3445" s="98"/>
      <c r="D3445" s="21"/>
      <c r="E3445" s="86"/>
      <c r="F3445" s="99"/>
      <c r="G3445" s="99"/>
      <c r="H3445" s="21"/>
      <c r="I3445" s="21"/>
      <c r="J3445" s="21"/>
      <c r="K3445" s="5" t="str">
        <f>IF(AND(LEN(H3445)=0, LEN(I3445)=0), "", IF(AND(LEN(H3445)&gt;0, LEN(I3445)=0), "BLANCO", IFERROR(VLOOKUP(I3445, BasedatosM9!A:B, 2, FALSE), "BLANCO")))</f>
        <v/>
      </c>
    </row>
    <row r="3446" spans="1:11" ht="14.4">
      <c r="A3446" s="21"/>
      <c r="B3446" s="86"/>
      <c r="C3446" s="98"/>
      <c r="D3446" s="21"/>
      <c r="E3446" s="86"/>
      <c r="F3446" s="99"/>
      <c r="G3446" s="99"/>
      <c r="H3446" s="21"/>
      <c r="I3446" s="21"/>
      <c r="J3446" s="21"/>
      <c r="K3446" s="5" t="str">
        <f>IF(AND(LEN(H3446)=0, LEN(I3446)=0), "", IF(AND(LEN(H3446)&gt;0, LEN(I3446)=0), "BLANCO", IFERROR(VLOOKUP(I3446, BasedatosM9!A:B, 2, FALSE), "BLANCO")))</f>
        <v/>
      </c>
    </row>
    <row r="3447" spans="1:11" ht="14.4">
      <c r="A3447" s="21"/>
      <c r="B3447" s="86"/>
      <c r="C3447" s="98"/>
      <c r="D3447" s="21"/>
      <c r="E3447" s="86"/>
      <c r="F3447" s="99"/>
      <c r="G3447" s="99"/>
      <c r="H3447" s="21"/>
      <c r="I3447" s="86"/>
      <c r="J3447" s="21"/>
      <c r="K3447" s="5" t="str">
        <f>IF(AND(LEN(H3447)=0, LEN(I3447)=0), "", IF(AND(LEN(H3447)&gt;0, LEN(I3447)=0), "BLANCO", IFERROR(VLOOKUP(I3447, BasedatosM9!A:B, 2, FALSE), "BLANCO")))</f>
        <v/>
      </c>
    </row>
    <row r="3448" spans="1:11" ht="14.4">
      <c r="A3448" s="21"/>
      <c r="B3448" s="86"/>
      <c r="C3448" s="98"/>
      <c r="D3448" s="21"/>
      <c r="E3448" s="86"/>
      <c r="F3448" s="99"/>
      <c r="G3448" s="99"/>
      <c r="H3448" s="21"/>
      <c r="I3448" s="21"/>
      <c r="J3448" s="21"/>
      <c r="K3448" s="5" t="str">
        <f>IF(AND(LEN(H3448)=0, LEN(I3448)=0), "", IF(AND(LEN(H3448)&gt;0, LEN(I3448)=0), "BLANCO", IFERROR(VLOOKUP(I3448, BasedatosM9!A:B, 2, FALSE), "BLANCO")))</f>
        <v/>
      </c>
    </row>
    <row r="3449" spans="1:11" ht="14.4">
      <c r="A3449" s="21"/>
      <c r="B3449" s="86"/>
      <c r="C3449" s="98"/>
      <c r="D3449" s="21"/>
      <c r="E3449" s="86"/>
      <c r="F3449" s="99"/>
      <c r="G3449" s="99"/>
      <c r="H3449" s="21"/>
      <c r="I3449" s="86"/>
      <c r="J3449" s="21"/>
      <c r="K3449" s="5" t="str">
        <f>IF(AND(LEN(H3449)=0, LEN(I3449)=0), "", IF(AND(LEN(H3449)&gt;0, LEN(I3449)=0), "BLANCO", IFERROR(VLOOKUP(I3449, BasedatosM9!A:B, 2, FALSE), "BLANCO")))</f>
        <v/>
      </c>
    </row>
    <row r="3450" spans="1:11" ht="14.4">
      <c r="A3450" s="21"/>
      <c r="B3450" s="86"/>
      <c r="C3450" s="98"/>
      <c r="D3450" s="21"/>
      <c r="E3450" s="86"/>
      <c r="F3450" s="99"/>
      <c r="G3450" s="99"/>
      <c r="H3450" s="21"/>
      <c r="I3450" s="86"/>
      <c r="J3450" s="21"/>
      <c r="K3450" s="5" t="str">
        <f>IF(AND(LEN(H3450)=0, LEN(I3450)=0), "", IF(AND(LEN(H3450)&gt;0, LEN(I3450)=0), "BLANCO", IFERROR(VLOOKUP(I3450, BasedatosM9!A:B, 2, FALSE), "BLANCO")))</f>
        <v/>
      </c>
    </row>
    <row r="3451" spans="1:11" ht="14.4">
      <c r="A3451" s="21"/>
      <c r="B3451" s="86"/>
      <c r="C3451" s="98"/>
      <c r="D3451" s="21"/>
      <c r="E3451" s="86"/>
      <c r="F3451" s="99"/>
      <c r="G3451" s="99"/>
      <c r="H3451" s="21"/>
      <c r="I3451" s="86"/>
      <c r="J3451" s="21"/>
      <c r="K3451" s="5" t="str">
        <f>IF(AND(LEN(H3451)=0, LEN(I3451)=0), "", IF(AND(LEN(H3451)&gt;0, LEN(I3451)=0), "BLANCO", IFERROR(VLOOKUP(I3451, BasedatosM9!A:B, 2, FALSE), "BLANCO")))</f>
        <v/>
      </c>
    </row>
    <row r="3452" spans="1:11" ht="14.4">
      <c r="A3452" s="21"/>
      <c r="B3452" s="86"/>
      <c r="C3452" s="98"/>
      <c r="D3452" s="21"/>
      <c r="E3452" s="86"/>
      <c r="F3452" s="99"/>
      <c r="G3452" s="99"/>
      <c r="H3452" s="21"/>
      <c r="I3452" s="86"/>
      <c r="J3452" s="21"/>
      <c r="K3452" s="5" t="str">
        <f>IF(AND(LEN(H3452)=0, LEN(I3452)=0), "", IF(AND(LEN(H3452)&gt;0, LEN(I3452)=0), "BLANCO", IFERROR(VLOOKUP(I3452, BasedatosM9!A:B, 2, FALSE), "BLANCO")))</f>
        <v/>
      </c>
    </row>
    <row r="3453" spans="1:11" ht="14.4">
      <c r="A3453" s="21"/>
      <c r="B3453" s="86"/>
      <c r="C3453" s="98"/>
      <c r="D3453" s="21"/>
      <c r="E3453" s="86"/>
      <c r="F3453" s="99"/>
      <c r="G3453" s="99"/>
      <c r="H3453" s="21"/>
      <c r="I3453" s="21"/>
      <c r="J3453" s="21"/>
      <c r="K3453" s="5" t="str">
        <f>IF(AND(LEN(H3453)=0, LEN(I3453)=0), "", IF(AND(LEN(H3453)&gt;0, LEN(I3453)=0), "BLANCO", IFERROR(VLOOKUP(I3453, BasedatosM9!A:B, 2, FALSE), "BLANCO")))</f>
        <v/>
      </c>
    </row>
    <row r="3454" spans="1:11" ht="14.4">
      <c r="A3454" s="21"/>
      <c r="B3454" s="86"/>
      <c r="C3454" s="98"/>
      <c r="D3454" s="21"/>
      <c r="E3454" s="86"/>
      <c r="F3454" s="99"/>
      <c r="G3454" s="99"/>
      <c r="H3454" s="21"/>
      <c r="I3454" s="86"/>
      <c r="J3454" s="21"/>
      <c r="K3454" s="5" t="str">
        <f>IF(AND(LEN(H3454)=0, LEN(I3454)=0), "", IF(AND(LEN(H3454)&gt;0, LEN(I3454)=0), "BLANCO", IFERROR(VLOOKUP(I3454, BasedatosM9!A:B, 2, FALSE), "BLANCO")))</f>
        <v/>
      </c>
    </row>
    <row r="3455" spans="1:11" ht="14.4">
      <c r="A3455" s="21"/>
      <c r="B3455" s="86"/>
      <c r="C3455" s="98"/>
      <c r="D3455" s="21"/>
      <c r="E3455" s="86"/>
      <c r="F3455" s="99"/>
      <c r="G3455" s="99"/>
      <c r="H3455" s="21"/>
      <c r="I3455" s="86"/>
      <c r="J3455" s="21"/>
      <c r="K3455" s="5" t="str">
        <f>IF(AND(LEN(H3455)=0, LEN(I3455)=0), "", IF(AND(LEN(H3455)&gt;0, LEN(I3455)=0), "BLANCO", IFERROR(VLOOKUP(I3455, BasedatosM9!A:B, 2, FALSE), "BLANCO")))</f>
        <v/>
      </c>
    </row>
    <row r="3456" spans="1:11" ht="14.4">
      <c r="A3456" s="21"/>
      <c r="B3456" s="86"/>
      <c r="C3456" s="98"/>
      <c r="D3456" s="21"/>
      <c r="E3456" s="86"/>
      <c r="F3456" s="99"/>
      <c r="G3456" s="99"/>
      <c r="H3456" s="21"/>
      <c r="I3456" s="21"/>
      <c r="J3456" s="21"/>
      <c r="K3456" s="5" t="str">
        <f>IF(AND(LEN(H3456)=0, LEN(I3456)=0), "", IF(AND(LEN(H3456)&gt;0, LEN(I3456)=0), "BLANCO", IFERROR(VLOOKUP(I3456, BasedatosM9!A:B, 2, FALSE), "BLANCO")))</f>
        <v/>
      </c>
    </row>
    <row r="3457" spans="1:11" ht="14.4">
      <c r="A3457" s="21"/>
      <c r="B3457" s="86"/>
      <c r="C3457" s="98"/>
      <c r="D3457" s="21"/>
      <c r="E3457" s="86"/>
      <c r="F3457" s="99"/>
      <c r="G3457" s="99"/>
      <c r="H3457" s="21"/>
      <c r="I3457" s="21"/>
      <c r="J3457" s="21"/>
      <c r="K3457" s="5" t="str">
        <f>IF(AND(LEN(H3457)=0, LEN(I3457)=0), "", IF(AND(LEN(H3457)&gt;0, LEN(I3457)=0), "BLANCO", IFERROR(VLOOKUP(I3457, BasedatosM9!A:B, 2, FALSE), "BLANCO")))</f>
        <v/>
      </c>
    </row>
    <row r="3458" spans="1:11" ht="14.4">
      <c r="A3458" s="21"/>
      <c r="B3458" s="86"/>
      <c r="C3458" s="98"/>
      <c r="D3458" s="21"/>
      <c r="E3458" s="86"/>
      <c r="F3458" s="99"/>
      <c r="G3458" s="99"/>
      <c r="H3458" s="21"/>
      <c r="I3458" s="86"/>
      <c r="J3458" s="21"/>
      <c r="K3458" s="5" t="str">
        <f>IF(AND(LEN(H3458)=0, LEN(I3458)=0), "", IF(AND(LEN(H3458)&gt;0, LEN(I3458)=0), "BLANCO", IFERROR(VLOOKUP(I3458, BasedatosM9!A:B, 2, FALSE), "BLANCO")))</f>
        <v/>
      </c>
    </row>
    <row r="3459" spans="1:11" ht="14.4">
      <c r="A3459" s="21"/>
      <c r="B3459" s="86"/>
      <c r="C3459" s="98"/>
      <c r="D3459" s="21"/>
      <c r="E3459" s="86"/>
      <c r="F3459" s="99"/>
      <c r="G3459" s="99"/>
      <c r="H3459" s="21"/>
      <c r="I3459" s="86"/>
      <c r="J3459" s="21"/>
      <c r="K3459" s="5" t="str">
        <f>IF(AND(LEN(H3459)=0, LEN(I3459)=0), "", IF(AND(LEN(H3459)&gt;0, LEN(I3459)=0), "BLANCO", IFERROR(VLOOKUP(I3459, BasedatosM9!A:B, 2, FALSE), "BLANCO")))</f>
        <v/>
      </c>
    </row>
    <row r="3460" spans="1:11" ht="14.4">
      <c r="A3460" s="21"/>
      <c r="B3460" s="86"/>
      <c r="C3460" s="98"/>
      <c r="D3460" s="21"/>
      <c r="E3460" s="86"/>
      <c r="F3460" s="99"/>
      <c r="G3460" s="99"/>
      <c r="H3460" s="21"/>
      <c r="I3460" s="21"/>
      <c r="J3460" s="21"/>
      <c r="K3460" s="5" t="str">
        <f>IF(AND(LEN(H3460)=0, LEN(I3460)=0), "", IF(AND(LEN(H3460)&gt;0, LEN(I3460)=0), "BLANCO", IFERROR(VLOOKUP(I3460, BasedatosM9!A:B, 2, FALSE), "BLANCO")))</f>
        <v/>
      </c>
    </row>
    <row r="3461" spans="1:11" ht="14.4">
      <c r="A3461" s="21"/>
      <c r="B3461" s="86"/>
      <c r="C3461" s="98"/>
      <c r="D3461" s="21"/>
      <c r="E3461" s="86"/>
      <c r="F3461" s="99"/>
      <c r="G3461" s="99"/>
      <c r="H3461" s="21"/>
      <c r="I3461" s="21"/>
      <c r="J3461" s="21"/>
      <c r="K3461" s="5" t="str">
        <f>IF(AND(LEN(H3461)=0, LEN(I3461)=0), "", IF(AND(LEN(H3461)&gt;0, LEN(I3461)=0), "BLANCO", IFERROR(VLOOKUP(I3461, BasedatosM9!A:B, 2, FALSE), "BLANCO")))</f>
        <v/>
      </c>
    </row>
    <row r="3462" spans="1:11" ht="14.4">
      <c r="A3462" s="21"/>
      <c r="B3462" s="86"/>
      <c r="C3462" s="98"/>
      <c r="D3462" s="21"/>
      <c r="E3462" s="86"/>
      <c r="F3462" s="99"/>
      <c r="G3462" s="99"/>
      <c r="H3462" s="21"/>
      <c r="I3462" s="86"/>
      <c r="J3462" s="21"/>
      <c r="K3462" s="5" t="str">
        <f>IF(AND(LEN(H3462)=0, LEN(I3462)=0), "", IF(AND(LEN(H3462)&gt;0, LEN(I3462)=0), "BLANCO", IFERROR(VLOOKUP(I3462, BasedatosM9!A:B, 2, FALSE), "BLANCO")))</f>
        <v/>
      </c>
    </row>
    <row r="3463" spans="1:11" ht="14.4">
      <c r="A3463" s="21"/>
      <c r="B3463" s="86"/>
      <c r="C3463" s="98"/>
      <c r="D3463" s="21"/>
      <c r="E3463" s="86"/>
      <c r="F3463" s="99"/>
      <c r="G3463" s="99"/>
      <c r="H3463" s="21"/>
      <c r="I3463" s="21"/>
      <c r="J3463" s="21"/>
      <c r="K3463" s="5" t="str">
        <f>IF(AND(LEN(H3463)=0, LEN(I3463)=0), "", IF(AND(LEN(H3463)&gt;0, LEN(I3463)=0), "BLANCO", IFERROR(VLOOKUP(I3463, BasedatosM9!A:B, 2, FALSE), "BLANCO")))</f>
        <v/>
      </c>
    </row>
    <row r="3464" spans="1:11" ht="14.4">
      <c r="A3464" s="21"/>
      <c r="B3464" s="86"/>
      <c r="C3464" s="98"/>
      <c r="D3464" s="21"/>
      <c r="E3464" s="86"/>
      <c r="F3464" s="99"/>
      <c r="G3464" s="99"/>
      <c r="H3464" s="21"/>
      <c r="I3464" s="21"/>
      <c r="J3464" s="21"/>
      <c r="K3464" s="5" t="str">
        <f>IF(AND(LEN(H3464)=0, LEN(I3464)=0), "", IF(AND(LEN(H3464)&gt;0, LEN(I3464)=0), "BLANCO", IFERROR(VLOOKUP(I3464, BasedatosM9!A:B, 2, FALSE), "BLANCO")))</f>
        <v/>
      </c>
    </row>
    <row r="3465" spans="1:11" ht="14.4">
      <c r="A3465" s="21"/>
      <c r="B3465" s="86"/>
      <c r="C3465" s="98"/>
      <c r="D3465" s="21"/>
      <c r="E3465" s="86"/>
      <c r="F3465" s="99"/>
      <c r="G3465" s="99"/>
      <c r="H3465" s="21"/>
      <c r="I3465" s="21"/>
      <c r="J3465" s="21"/>
      <c r="K3465" s="5" t="str">
        <f>IF(AND(LEN(H3465)=0, LEN(I3465)=0), "", IF(AND(LEN(H3465)&gt;0, LEN(I3465)=0), "BLANCO", IFERROR(VLOOKUP(I3465, BasedatosM9!A:B, 2, FALSE), "BLANCO")))</f>
        <v/>
      </c>
    </row>
    <row r="3466" spans="1:11" ht="14.4">
      <c r="A3466" s="21"/>
      <c r="B3466" s="86"/>
      <c r="C3466" s="98"/>
      <c r="D3466" s="21"/>
      <c r="E3466" s="86"/>
      <c r="F3466" s="99"/>
      <c r="G3466" s="99"/>
      <c r="H3466" s="21"/>
      <c r="I3466" s="21"/>
      <c r="J3466" s="21"/>
      <c r="K3466" s="5" t="str">
        <f>IF(AND(LEN(H3466)=0, LEN(I3466)=0), "", IF(AND(LEN(H3466)&gt;0, LEN(I3466)=0), "BLANCO", IFERROR(VLOOKUP(I3466, BasedatosM9!A:B, 2, FALSE), "BLANCO")))</f>
        <v/>
      </c>
    </row>
    <row r="3467" spans="1:11" ht="14.4">
      <c r="A3467" s="21"/>
      <c r="B3467" s="86"/>
      <c r="C3467" s="98"/>
      <c r="D3467" s="21"/>
      <c r="E3467" s="86"/>
      <c r="F3467" s="99"/>
      <c r="G3467" s="99"/>
      <c r="H3467" s="21"/>
      <c r="I3467" s="86"/>
      <c r="J3467" s="21"/>
      <c r="K3467" s="5" t="str">
        <f>IF(AND(LEN(H3467)=0, LEN(I3467)=0), "", IF(AND(LEN(H3467)&gt;0, LEN(I3467)=0), "BLANCO", IFERROR(VLOOKUP(I3467, BasedatosM9!A:B, 2, FALSE), "BLANCO")))</f>
        <v/>
      </c>
    </row>
    <row r="3468" spans="1:11" ht="14.4">
      <c r="A3468" s="21"/>
      <c r="B3468" s="86"/>
      <c r="C3468" s="98"/>
      <c r="D3468" s="21"/>
      <c r="E3468" s="86"/>
      <c r="F3468" s="99"/>
      <c r="G3468" s="99"/>
      <c r="H3468" s="21"/>
      <c r="I3468" s="86"/>
      <c r="J3468" s="21"/>
      <c r="K3468" s="5" t="str">
        <f>IF(AND(LEN(H3468)=0, LEN(I3468)=0), "", IF(AND(LEN(H3468)&gt;0, LEN(I3468)=0), "BLANCO", IFERROR(VLOOKUP(I3468, BasedatosM9!A:B, 2, FALSE), "BLANCO")))</f>
        <v/>
      </c>
    </row>
    <row r="3469" spans="1:11" ht="14.4">
      <c r="A3469" s="21"/>
      <c r="B3469" s="86"/>
      <c r="C3469" s="98"/>
      <c r="D3469" s="21"/>
      <c r="E3469" s="86"/>
      <c r="F3469" s="99"/>
      <c r="G3469" s="99"/>
      <c r="H3469" s="21"/>
      <c r="I3469" s="86"/>
      <c r="J3469" s="21"/>
      <c r="K3469" s="5" t="str">
        <f>IF(AND(LEN(H3469)=0, LEN(I3469)=0), "", IF(AND(LEN(H3469)&gt;0, LEN(I3469)=0), "BLANCO", IFERROR(VLOOKUP(I3469, BasedatosM9!A:B, 2, FALSE), "BLANCO")))</f>
        <v/>
      </c>
    </row>
    <row r="3470" spans="1:11" ht="14.4">
      <c r="A3470" s="21"/>
      <c r="B3470" s="86"/>
      <c r="C3470" s="98"/>
      <c r="D3470" s="21"/>
      <c r="E3470" s="86"/>
      <c r="F3470" s="99"/>
      <c r="G3470" s="99"/>
      <c r="H3470" s="21"/>
      <c r="I3470" s="86"/>
      <c r="J3470" s="21"/>
      <c r="K3470" s="5" t="str">
        <f>IF(AND(LEN(H3470)=0, LEN(I3470)=0), "", IF(AND(LEN(H3470)&gt;0, LEN(I3470)=0), "BLANCO", IFERROR(VLOOKUP(I3470, BasedatosM9!A:B, 2, FALSE), "BLANCO")))</f>
        <v/>
      </c>
    </row>
    <row r="3471" spans="1:11" ht="14.4">
      <c r="A3471" s="21"/>
      <c r="B3471" s="86"/>
      <c r="C3471" s="98"/>
      <c r="D3471" s="21"/>
      <c r="E3471" s="86"/>
      <c r="F3471" s="99"/>
      <c r="G3471" s="99"/>
      <c r="H3471" s="21"/>
      <c r="I3471" s="86"/>
      <c r="J3471" s="21"/>
      <c r="K3471" s="5" t="str">
        <f>IF(AND(LEN(H3471)=0, LEN(I3471)=0), "", IF(AND(LEN(H3471)&gt;0, LEN(I3471)=0), "BLANCO", IFERROR(VLOOKUP(I3471, BasedatosM9!A:B, 2, FALSE), "BLANCO")))</f>
        <v/>
      </c>
    </row>
    <row r="3472" spans="1:11" ht="14.4">
      <c r="A3472" s="21"/>
      <c r="B3472" s="86"/>
      <c r="C3472" s="98"/>
      <c r="D3472" s="21"/>
      <c r="E3472" s="86"/>
      <c r="F3472" s="99"/>
      <c r="G3472" s="99"/>
      <c r="H3472" s="21"/>
      <c r="I3472" s="21"/>
      <c r="J3472" s="21"/>
      <c r="K3472" s="5" t="str">
        <f>IF(AND(LEN(H3472)=0, LEN(I3472)=0), "", IF(AND(LEN(H3472)&gt;0, LEN(I3472)=0), "BLANCO", IFERROR(VLOOKUP(I3472, BasedatosM9!A:B, 2, FALSE), "BLANCO")))</f>
        <v/>
      </c>
    </row>
    <row r="3473" spans="1:11" ht="14.4">
      <c r="A3473" s="21"/>
      <c r="B3473" s="86"/>
      <c r="C3473" s="98"/>
      <c r="D3473" s="21"/>
      <c r="E3473" s="86"/>
      <c r="F3473" s="99"/>
      <c r="G3473" s="99"/>
      <c r="H3473" s="21"/>
      <c r="I3473" s="21"/>
      <c r="J3473" s="21"/>
      <c r="K3473" s="5" t="str">
        <f>IF(AND(LEN(H3473)=0, LEN(I3473)=0), "", IF(AND(LEN(H3473)&gt;0, LEN(I3473)=0), "BLANCO", IFERROR(VLOOKUP(I3473, BasedatosM9!A:B, 2, FALSE), "BLANCO")))</f>
        <v/>
      </c>
    </row>
    <row r="3474" spans="1:11" ht="14.4">
      <c r="A3474" s="21"/>
      <c r="B3474" s="86"/>
      <c r="C3474" s="98"/>
      <c r="D3474" s="21"/>
      <c r="E3474" s="86"/>
      <c r="F3474" s="99"/>
      <c r="G3474" s="99"/>
      <c r="H3474" s="21"/>
      <c r="I3474" s="21"/>
      <c r="J3474" s="21"/>
      <c r="K3474" s="5" t="str">
        <f>IF(AND(LEN(H3474)=0, LEN(I3474)=0), "", IF(AND(LEN(H3474)&gt;0, LEN(I3474)=0), "BLANCO", IFERROR(VLOOKUP(I3474, BasedatosM9!A:B, 2, FALSE), "BLANCO")))</f>
        <v/>
      </c>
    </row>
    <row r="3475" spans="1:11" ht="14.4">
      <c r="A3475" s="21"/>
      <c r="B3475" s="86"/>
      <c r="C3475" s="98"/>
      <c r="D3475" s="21"/>
      <c r="E3475" s="86"/>
      <c r="F3475" s="99"/>
      <c r="G3475" s="99"/>
      <c r="H3475" s="21"/>
      <c r="I3475" s="21"/>
      <c r="J3475" s="21"/>
      <c r="K3475" s="5" t="str">
        <f>IF(AND(LEN(H3475)=0, LEN(I3475)=0), "", IF(AND(LEN(H3475)&gt;0, LEN(I3475)=0), "BLANCO", IFERROR(VLOOKUP(I3475, BasedatosM9!A:B, 2, FALSE), "BLANCO")))</f>
        <v/>
      </c>
    </row>
    <row r="3476" spans="1:11" ht="14.4">
      <c r="A3476" s="21"/>
      <c r="B3476" s="86"/>
      <c r="C3476" s="98"/>
      <c r="D3476" s="21"/>
      <c r="E3476" s="86"/>
      <c r="F3476" s="99"/>
      <c r="G3476" s="99"/>
      <c r="H3476" s="21"/>
      <c r="I3476" s="86"/>
      <c r="J3476" s="21"/>
      <c r="K3476" s="5" t="str">
        <f>IF(AND(LEN(H3476)=0, LEN(I3476)=0), "", IF(AND(LEN(H3476)&gt;0, LEN(I3476)=0), "BLANCO", IFERROR(VLOOKUP(I3476, BasedatosM9!A:B, 2, FALSE), "BLANCO")))</f>
        <v/>
      </c>
    </row>
    <row r="3477" spans="1:11" ht="14.4">
      <c r="A3477" s="21"/>
      <c r="B3477" s="86"/>
      <c r="C3477" s="98"/>
      <c r="D3477" s="21"/>
      <c r="E3477" s="86"/>
      <c r="F3477" s="99"/>
      <c r="G3477" s="99"/>
      <c r="H3477" s="21"/>
      <c r="I3477" s="21"/>
      <c r="J3477" s="21"/>
      <c r="K3477" s="5" t="str">
        <f>IF(AND(LEN(H3477)=0, LEN(I3477)=0), "", IF(AND(LEN(H3477)&gt;0, LEN(I3477)=0), "BLANCO", IFERROR(VLOOKUP(I3477, BasedatosM9!A:B, 2, FALSE), "BLANCO")))</f>
        <v/>
      </c>
    </row>
    <row r="3478" spans="1:11" ht="14.4">
      <c r="A3478" s="21"/>
      <c r="B3478" s="86"/>
      <c r="C3478" s="98"/>
      <c r="D3478" s="21"/>
      <c r="E3478" s="86"/>
      <c r="F3478" s="99"/>
      <c r="G3478" s="99"/>
      <c r="H3478" s="21"/>
      <c r="I3478" s="86"/>
      <c r="J3478" s="21"/>
      <c r="K3478" s="5" t="str">
        <f>IF(AND(LEN(H3478)=0, LEN(I3478)=0), "", IF(AND(LEN(H3478)&gt;0, LEN(I3478)=0), "BLANCO", IFERROR(VLOOKUP(I3478, BasedatosM9!A:B, 2, FALSE), "BLANCO")))</f>
        <v/>
      </c>
    </row>
    <row r="3479" spans="1:11" ht="14.4">
      <c r="A3479" s="21"/>
      <c r="B3479" s="86"/>
      <c r="C3479" s="98"/>
      <c r="D3479" s="21"/>
      <c r="E3479" s="86"/>
      <c r="F3479" s="99"/>
      <c r="G3479" s="99"/>
      <c r="H3479" s="21"/>
      <c r="I3479" s="21"/>
      <c r="J3479" s="21"/>
      <c r="K3479" s="5" t="str">
        <f>IF(AND(LEN(H3479)=0, LEN(I3479)=0), "", IF(AND(LEN(H3479)&gt;0, LEN(I3479)=0), "BLANCO", IFERROR(VLOOKUP(I3479, BasedatosM9!A:B, 2, FALSE), "BLANCO")))</f>
        <v/>
      </c>
    </row>
    <row r="3480" spans="1:11" ht="14.4">
      <c r="A3480" s="21"/>
      <c r="B3480" s="86"/>
      <c r="C3480" s="98"/>
      <c r="D3480" s="21"/>
      <c r="E3480" s="86"/>
      <c r="F3480" s="99"/>
      <c r="G3480" s="99"/>
      <c r="H3480" s="21"/>
      <c r="I3480" s="86"/>
      <c r="J3480" s="21"/>
      <c r="K3480" s="5" t="str">
        <f>IF(AND(LEN(H3480)=0, LEN(I3480)=0), "", IF(AND(LEN(H3480)&gt;0, LEN(I3480)=0), "BLANCO", IFERROR(VLOOKUP(I3480, BasedatosM9!A:B, 2, FALSE), "BLANCO")))</f>
        <v/>
      </c>
    </row>
    <row r="3481" spans="1:11" ht="14.4">
      <c r="A3481" s="21"/>
      <c r="B3481" s="86"/>
      <c r="C3481" s="98"/>
      <c r="D3481" s="21"/>
      <c r="E3481" s="86"/>
      <c r="F3481" s="99"/>
      <c r="G3481" s="99"/>
      <c r="H3481" s="21"/>
      <c r="I3481" s="21"/>
      <c r="J3481" s="21"/>
      <c r="K3481" s="5" t="str">
        <f>IF(AND(LEN(H3481)=0, LEN(I3481)=0), "", IF(AND(LEN(H3481)&gt;0, LEN(I3481)=0), "BLANCO", IFERROR(VLOOKUP(I3481, BasedatosM9!A:B, 2, FALSE), "BLANCO")))</f>
        <v/>
      </c>
    </row>
    <row r="3482" spans="1:11" ht="14.4">
      <c r="A3482" s="21"/>
      <c r="B3482" s="86"/>
      <c r="C3482" s="98"/>
      <c r="D3482" s="21"/>
      <c r="E3482" s="86"/>
      <c r="F3482" s="99"/>
      <c r="G3482" s="99"/>
      <c r="H3482" s="21"/>
      <c r="I3482" s="21"/>
      <c r="J3482" s="21"/>
      <c r="K3482" s="5" t="str">
        <f>IF(AND(LEN(H3482)=0, LEN(I3482)=0), "", IF(AND(LEN(H3482)&gt;0, LEN(I3482)=0), "BLANCO", IFERROR(VLOOKUP(I3482, BasedatosM9!A:B, 2, FALSE), "BLANCO")))</f>
        <v/>
      </c>
    </row>
    <row r="3483" spans="1:11" ht="14.4">
      <c r="A3483" s="21"/>
      <c r="B3483" s="86"/>
      <c r="C3483" s="98"/>
      <c r="D3483" s="21"/>
      <c r="E3483" s="86"/>
      <c r="F3483" s="99"/>
      <c r="G3483" s="99"/>
      <c r="H3483" s="21"/>
      <c r="I3483" s="86"/>
      <c r="J3483" s="21"/>
      <c r="K3483" s="5" t="str">
        <f>IF(AND(LEN(H3483)=0, LEN(I3483)=0), "", IF(AND(LEN(H3483)&gt;0, LEN(I3483)=0), "BLANCO", IFERROR(VLOOKUP(I3483, BasedatosM9!A:B, 2, FALSE), "BLANCO")))</f>
        <v/>
      </c>
    </row>
    <row r="3484" spans="1:11" ht="14.4">
      <c r="A3484" s="21"/>
      <c r="B3484" s="86"/>
      <c r="C3484" s="98"/>
      <c r="D3484" s="21"/>
      <c r="E3484" s="86"/>
      <c r="F3484" s="99"/>
      <c r="G3484" s="99"/>
      <c r="H3484" s="21"/>
      <c r="I3484" s="21"/>
      <c r="J3484" s="21"/>
      <c r="K3484" s="5" t="str">
        <f>IF(AND(LEN(H3484)=0, LEN(I3484)=0), "", IF(AND(LEN(H3484)&gt;0, LEN(I3484)=0), "BLANCO", IFERROR(VLOOKUP(I3484, BasedatosM9!A:B, 2, FALSE), "BLANCO")))</f>
        <v/>
      </c>
    </row>
    <row r="3485" spans="1:11" ht="14.4">
      <c r="A3485" s="21"/>
      <c r="B3485" s="86"/>
      <c r="C3485" s="98"/>
      <c r="D3485" s="21"/>
      <c r="E3485" s="86"/>
      <c r="F3485" s="99"/>
      <c r="G3485" s="99"/>
      <c r="H3485" s="21"/>
      <c r="I3485" s="21"/>
      <c r="J3485" s="21"/>
      <c r="K3485" s="5" t="str">
        <f>IF(AND(LEN(H3485)=0, LEN(I3485)=0), "", IF(AND(LEN(H3485)&gt;0, LEN(I3485)=0), "BLANCO", IFERROR(VLOOKUP(I3485, BasedatosM9!A:B, 2, FALSE), "BLANCO")))</f>
        <v/>
      </c>
    </row>
    <row r="3486" spans="1:11" ht="14.4">
      <c r="A3486" s="21"/>
      <c r="B3486" s="86"/>
      <c r="C3486" s="98"/>
      <c r="D3486" s="21"/>
      <c r="E3486" s="86"/>
      <c r="F3486" s="99"/>
      <c r="G3486" s="99"/>
      <c r="H3486" s="21"/>
      <c r="I3486" s="21"/>
      <c r="J3486" s="21"/>
      <c r="K3486" s="5" t="str">
        <f>IF(AND(LEN(H3486)=0, LEN(I3486)=0), "", IF(AND(LEN(H3486)&gt;0, LEN(I3486)=0), "BLANCO", IFERROR(VLOOKUP(I3486, BasedatosM9!A:B, 2, FALSE), "BLANCO")))</f>
        <v/>
      </c>
    </row>
    <row r="3487" spans="1:11" ht="14.4">
      <c r="A3487" s="21"/>
      <c r="B3487" s="86"/>
      <c r="C3487" s="98"/>
      <c r="D3487" s="21"/>
      <c r="E3487" s="86"/>
      <c r="F3487" s="99"/>
      <c r="G3487" s="99"/>
      <c r="H3487" s="21"/>
      <c r="I3487" s="21"/>
      <c r="J3487" s="21"/>
      <c r="K3487" s="5" t="str">
        <f>IF(AND(LEN(H3487)=0, LEN(I3487)=0), "", IF(AND(LEN(H3487)&gt;0, LEN(I3487)=0), "BLANCO", IFERROR(VLOOKUP(I3487, BasedatosM9!A:B, 2, FALSE), "BLANCO")))</f>
        <v/>
      </c>
    </row>
    <row r="3488" spans="1:11" ht="14.4">
      <c r="A3488" s="21"/>
      <c r="B3488" s="86"/>
      <c r="C3488" s="98"/>
      <c r="D3488" s="21"/>
      <c r="E3488" s="86"/>
      <c r="F3488" s="99"/>
      <c r="G3488" s="99"/>
      <c r="H3488" s="21"/>
      <c r="I3488" s="21"/>
      <c r="J3488" s="21"/>
      <c r="K3488" s="5" t="str">
        <f>IF(AND(LEN(H3488)=0, LEN(I3488)=0), "", IF(AND(LEN(H3488)&gt;0, LEN(I3488)=0), "BLANCO", IFERROR(VLOOKUP(I3488, BasedatosM9!A:B, 2, FALSE), "BLANCO")))</f>
        <v/>
      </c>
    </row>
    <row r="3489" spans="1:11" ht="14.4">
      <c r="A3489" s="21"/>
      <c r="B3489" s="86"/>
      <c r="C3489" s="98"/>
      <c r="D3489" s="21"/>
      <c r="E3489" s="86"/>
      <c r="F3489" s="99"/>
      <c r="G3489" s="99"/>
      <c r="H3489" s="21"/>
      <c r="I3489" s="86"/>
      <c r="J3489" s="21"/>
      <c r="K3489" s="5" t="str">
        <f>IF(AND(LEN(H3489)=0, LEN(I3489)=0), "", IF(AND(LEN(H3489)&gt;0, LEN(I3489)=0), "BLANCO", IFERROR(VLOOKUP(I3489, BasedatosM9!A:B, 2, FALSE), "BLANCO")))</f>
        <v/>
      </c>
    </row>
    <row r="3490" spans="1:11" ht="14.4">
      <c r="A3490" s="21"/>
      <c r="B3490" s="86"/>
      <c r="C3490" s="98"/>
      <c r="D3490" s="21"/>
      <c r="E3490" s="86"/>
      <c r="F3490" s="99"/>
      <c r="G3490" s="99"/>
      <c r="H3490" s="21"/>
      <c r="I3490" s="21"/>
      <c r="J3490" s="21"/>
      <c r="K3490" s="5" t="str">
        <f>IF(AND(LEN(H3490)=0, LEN(I3490)=0), "", IF(AND(LEN(H3490)&gt;0, LEN(I3490)=0), "BLANCO", IFERROR(VLOOKUP(I3490, BasedatosM9!A:B, 2, FALSE), "BLANCO")))</f>
        <v/>
      </c>
    </row>
    <row r="3491" spans="1:11" ht="14.4">
      <c r="A3491" s="21"/>
      <c r="B3491" s="86"/>
      <c r="C3491" s="98"/>
      <c r="D3491" s="21"/>
      <c r="E3491" s="86"/>
      <c r="F3491" s="99"/>
      <c r="G3491" s="99"/>
      <c r="H3491" s="21"/>
      <c r="I3491" s="86"/>
      <c r="J3491" s="21"/>
      <c r="K3491" s="5" t="str">
        <f>IF(AND(LEN(H3491)=0, LEN(I3491)=0), "", IF(AND(LEN(H3491)&gt;0, LEN(I3491)=0), "BLANCO", IFERROR(VLOOKUP(I3491, BasedatosM9!A:B, 2, FALSE), "BLANCO")))</f>
        <v/>
      </c>
    </row>
    <row r="3492" spans="1:11" ht="14.4">
      <c r="A3492" s="21"/>
      <c r="B3492" s="86"/>
      <c r="C3492" s="98"/>
      <c r="D3492" s="21"/>
      <c r="E3492" s="86"/>
      <c r="F3492" s="99"/>
      <c r="G3492" s="99"/>
      <c r="H3492" s="21"/>
      <c r="I3492" s="86"/>
      <c r="J3492" s="21"/>
      <c r="K3492" s="5" t="str">
        <f>IF(AND(LEN(H3492)=0, LEN(I3492)=0), "", IF(AND(LEN(H3492)&gt;0, LEN(I3492)=0), "BLANCO", IFERROR(VLOOKUP(I3492, BasedatosM9!A:B, 2, FALSE), "BLANCO")))</f>
        <v/>
      </c>
    </row>
    <row r="3493" spans="1:11" ht="14.4">
      <c r="A3493" s="21"/>
      <c r="B3493" s="86"/>
      <c r="C3493" s="98"/>
      <c r="D3493" s="21"/>
      <c r="E3493" s="86"/>
      <c r="F3493" s="99"/>
      <c r="G3493" s="99"/>
      <c r="H3493" s="21"/>
      <c r="I3493" s="21"/>
      <c r="J3493" s="21"/>
      <c r="K3493" s="5" t="str">
        <f>IF(AND(LEN(H3493)=0, LEN(I3493)=0), "", IF(AND(LEN(H3493)&gt;0, LEN(I3493)=0), "BLANCO", IFERROR(VLOOKUP(I3493, BasedatosM9!A:B, 2, FALSE), "BLANCO")))</f>
        <v/>
      </c>
    </row>
    <row r="3494" spans="1:11" ht="14.4">
      <c r="A3494" s="21"/>
      <c r="B3494" s="86"/>
      <c r="C3494" s="98"/>
      <c r="D3494" s="21"/>
      <c r="E3494" s="86"/>
      <c r="F3494" s="99"/>
      <c r="G3494" s="99"/>
      <c r="H3494" s="21"/>
      <c r="I3494" s="86"/>
      <c r="J3494" s="21"/>
      <c r="K3494" s="5" t="str">
        <f>IF(AND(LEN(H3494)=0, LEN(I3494)=0), "", IF(AND(LEN(H3494)&gt;0, LEN(I3494)=0), "BLANCO", IFERROR(VLOOKUP(I3494, BasedatosM9!A:B, 2, FALSE), "BLANCO")))</f>
        <v/>
      </c>
    </row>
    <row r="3495" spans="1:11" ht="14.4">
      <c r="A3495" s="21"/>
      <c r="B3495" s="86"/>
      <c r="C3495" s="98"/>
      <c r="D3495" s="21"/>
      <c r="E3495" s="86"/>
      <c r="F3495" s="99"/>
      <c r="G3495" s="99"/>
      <c r="H3495" s="21"/>
      <c r="I3495" s="86"/>
      <c r="J3495" s="21"/>
      <c r="K3495" s="5" t="str">
        <f>IF(AND(LEN(H3495)=0, LEN(I3495)=0), "", IF(AND(LEN(H3495)&gt;0, LEN(I3495)=0), "BLANCO", IFERROR(VLOOKUP(I3495, BasedatosM9!A:B, 2, FALSE), "BLANCO")))</f>
        <v/>
      </c>
    </row>
    <row r="3496" spans="1:11" ht="14.4">
      <c r="A3496" s="21"/>
      <c r="B3496" s="86"/>
      <c r="C3496" s="98"/>
      <c r="D3496" s="21"/>
      <c r="E3496" s="86"/>
      <c r="F3496" s="99"/>
      <c r="G3496" s="99"/>
      <c r="H3496" s="21"/>
      <c r="I3496" s="21"/>
      <c r="J3496" s="21"/>
      <c r="K3496" s="5" t="str">
        <f>IF(AND(LEN(H3496)=0, LEN(I3496)=0), "", IF(AND(LEN(H3496)&gt;0, LEN(I3496)=0), "BLANCO", IFERROR(VLOOKUP(I3496, BasedatosM9!A:B, 2, FALSE), "BLANCO")))</f>
        <v/>
      </c>
    </row>
    <row r="3497" spans="1:11" ht="14.4">
      <c r="A3497" s="21"/>
      <c r="B3497" s="86"/>
      <c r="C3497" s="98"/>
      <c r="D3497" s="21"/>
      <c r="E3497" s="86"/>
      <c r="F3497" s="99"/>
      <c r="G3497" s="99"/>
      <c r="H3497" s="21"/>
      <c r="I3497" s="86"/>
      <c r="J3497" s="21"/>
      <c r="K3497" s="5" t="str">
        <f>IF(AND(LEN(H3497)=0, LEN(I3497)=0), "", IF(AND(LEN(H3497)&gt;0, LEN(I3497)=0), "BLANCO", IFERROR(VLOOKUP(I3497, BasedatosM9!A:B, 2, FALSE), "BLANCO")))</f>
        <v/>
      </c>
    </row>
    <row r="3498" spans="1:11" ht="14.4">
      <c r="A3498" s="21"/>
      <c r="B3498" s="86"/>
      <c r="C3498" s="98"/>
      <c r="D3498" s="21"/>
      <c r="E3498" s="86"/>
      <c r="F3498" s="99"/>
      <c r="G3498" s="99"/>
      <c r="H3498" s="21"/>
      <c r="I3498" s="86"/>
      <c r="J3498" s="21"/>
      <c r="K3498" s="5" t="str">
        <f>IF(AND(LEN(H3498)=0, LEN(I3498)=0), "", IF(AND(LEN(H3498)&gt;0, LEN(I3498)=0), "BLANCO", IFERROR(VLOOKUP(I3498, BasedatosM9!A:B, 2, FALSE), "BLANCO")))</f>
        <v/>
      </c>
    </row>
    <row r="3499" spans="1:11" ht="14.4">
      <c r="A3499" s="21"/>
      <c r="B3499" s="86"/>
      <c r="C3499" s="98"/>
      <c r="D3499" s="21"/>
      <c r="E3499" s="86"/>
      <c r="F3499" s="99"/>
      <c r="G3499" s="99"/>
      <c r="H3499" s="21"/>
      <c r="I3499" s="86"/>
      <c r="J3499" s="21"/>
      <c r="K3499" s="5" t="str">
        <f>IF(AND(LEN(H3499)=0, LEN(I3499)=0), "", IF(AND(LEN(H3499)&gt;0, LEN(I3499)=0), "BLANCO", IFERROR(VLOOKUP(I3499, BasedatosM9!A:B, 2, FALSE), "BLANCO")))</f>
        <v/>
      </c>
    </row>
    <row r="3500" spans="1:11" ht="14.4">
      <c r="A3500" s="21"/>
      <c r="B3500" s="86"/>
      <c r="C3500" s="98"/>
      <c r="D3500" s="21"/>
      <c r="E3500" s="86"/>
      <c r="F3500" s="99"/>
      <c r="G3500" s="99"/>
      <c r="H3500" s="21"/>
      <c r="I3500" s="21"/>
      <c r="J3500" s="21"/>
      <c r="K3500" s="5" t="str">
        <f>IF(AND(LEN(H3500)=0, LEN(I3500)=0), "", IF(AND(LEN(H3500)&gt;0, LEN(I3500)=0), "BLANCO", IFERROR(VLOOKUP(I3500, BasedatosM9!A:B, 2, FALSE), "BLANCO")))</f>
        <v/>
      </c>
    </row>
    <row r="3501" spans="1:11" ht="14.4">
      <c r="A3501" s="21"/>
      <c r="B3501" s="86"/>
      <c r="C3501" s="98"/>
      <c r="D3501" s="21"/>
      <c r="E3501" s="86"/>
      <c r="F3501" s="99"/>
      <c r="G3501" s="99"/>
      <c r="H3501" s="21"/>
      <c r="I3501" s="86"/>
      <c r="J3501" s="21"/>
      <c r="K3501" s="5" t="str">
        <f>IF(AND(LEN(H3501)=0, LEN(I3501)=0), "", IF(AND(LEN(H3501)&gt;0, LEN(I3501)=0), "BLANCO", IFERROR(VLOOKUP(I3501, BasedatosM9!A:B, 2, FALSE), "BLANCO")))</f>
        <v/>
      </c>
    </row>
    <row r="3502" spans="1:11" ht="14.4">
      <c r="A3502" s="21"/>
      <c r="B3502" s="86"/>
      <c r="C3502" s="98"/>
      <c r="D3502" s="21"/>
      <c r="E3502" s="86"/>
      <c r="F3502" s="99"/>
      <c r="G3502" s="99"/>
      <c r="H3502" s="21"/>
      <c r="I3502" s="86"/>
      <c r="J3502" s="21"/>
      <c r="K3502" s="5" t="str">
        <f>IF(AND(LEN(H3502)=0, LEN(I3502)=0), "", IF(AND(LEN(H3502)&gt;0, LEN(I3502)=0), "BLANCO", IFERROR(VLOOKUP(I3502, BasedatosM9!A:B, 2, FALSE), "BLANCO")))</f>
        <v/>
      </c>
    </row>
    <row r="3503" spans="1:11" ht="14.4">
      <c r="A3503" s="21"/>
      <c r="B3503" s="86"/>
      <c r="C3503" s="98"/>
      <c r="D3503" s="21"/>
      <c r="E3503" s="86"/>
      <c r="F3503" s="99"/>
      <c r="G3503" s="99"/>
      <c r="H3503" s="21"/>
      <c r="I3503" s="21"/>
      <c r="J3503" s="21"/>
      <c r="K3503" s="5" t="str">
        <f>IF(AND(LEN(H3503)=0, LEN(I3503)=0), "", IF(AND(LEN(H3503)&gt;0, LEN(I3503)=0), "BLANCO", IFERROR(VLOOKUP(I3503, BasedatosM9!A:B, 2, FALSE), "BLANCO")))</f>
        <v/>
      </c>
    </row>
    <row r="3504" spans="1:11" ht="14.4">
      <c r="A3504" s="21"/>
      <c r="B3504" s="86"/>
      <c r="C3504" s="98"/>
      <c r="D3504" s="21"/>
      <c r="E3504" s="86"/>
      <c r="F3504" s="99"/>
      <c r="G3504" s="99"/>
      <c r="H3504" s="21"/>
      <c r="I3504" s="21"/>
      <c r="J3504" s="21"/>
      <c r="K3504" s="5" t="str">
        <f>IF(AND(LEN(H3504)=0, LEN(I3504)=0), "", IF(AND(LEN(H3504)&gt;0, LEN(I3504)=0), "BLANCO", IFERROR(VLOOKUP(I3504, BasedatosM9!A:B, 2, FALSE), "BLANCO")))</f>
        <v/>
      </c>
    </row>
    <row r="3505" spans="1:11" ht="14.4">
      <c r="A3505" s="21"/>
      <c r="B3505" s="86"/>
      <c r="C3505" s="98"/>
      <c r="D3505" s="21"/>
      <c r="E3505" s="86"/>
      <c r="F3505" s="99"/>
      <c r="G3505" s="99"/>
      <c r="H3505" s="21"/>
      <c r="I3505" s="86"/>
      <c r="J3505" s="21"/>
      <c r="K3505" s="5" t="str">
        <f>IF(AND(LEN(H3505)=0, LEN(I3505)=0), "", IF(AND(LEN(H3505)&gt;0, LEN(I3505)=0), "BLANCO", IFERROR(VLOOKUP(I3505, BasedatosM9!A:B, 2, FALSE), "BLANCO")))</f>
        <v/>
      </c>
    </row>
    <row r="3506" spans="1:11" ht="14.4">
      <c r="A3506" s="21"/>
      <c r="B3506" s="86"/>
      <c r="C3506" s="98"/>
      <c r="D3506" s="21"/>
      <c r="E3506" s="86"/>
      <c r="F3506" s="99"/>
      <c r="G3506" s="99"/>
      <c r="H3506" s="21"/>
      <c r="I3506" s="86"/>
      <c r="J3506" s="21"/>
      <c r="K3506" s="5" t="str">
        <f>IF(AND(LEN(H3506)=0, LEN(I3506)=0), "", IF(AND(LEN(H3506)&gt;0, LEN(I3506)=0), "BLANCO", IFERROR(VLOOKUP(I3506, BasedatosM9!A:B, 2, FALSE), "BLANCO")))</f>
        <v/>
      </c>
    </row>
    <row r="3507" spans="1:11" ht="14.4">
      <c r="A3507" s="21"/>
      <c r="B3507" s="86"/>
      <c r="C3507" s="98"/>
      <c r="D3507" s="21"/>
      <c r="E3507" s="86"/>
      <c r="F3507" s="99"/>
      <c r="G3507" s="99"/>
      <c r="H3507" s="21"/>
      <c r="I3507" s="86"/>
      <c r="J3507" s="21"/>
      <c r="K3507" s="5" t="str">
        <f>IF(AND(LEN(H3507)=0, LEN(I3507)=0), "", IF(AND(LEN(H3507)&gt;0, LEN(I3507)=0), "BLANCO", IFERROR(VLOOKUP(I3507, BasedatosM9!A:B, 2, FALSE), "BLANCO")))</f>
        <v/>
      </c>
    </row>
    <row r="3508" spans="1:11" ht="14.4">
      <c r="A3508" s="21"/>
      <c r="B3508" s="86"/>
      <c r="C3508" s="98"/>
      <c r="D3508" s="21"/>
      <c r="E3508" s="86"/>
      <c r="F3508" s="99"/>
      <c r="G3508" s="99"/>
      <c r="H3508" s="21"/>
      <c r="I3508" s="21"/>
      <c r="J3508" s="21"/>
      <c r="K3508" s="5" t="str">
        <f>IF(AND(LEN(H3508)=0, LEN(I3508)=0), "", IF(AND(LEN(H3508)&gt;0, LEN(I3508)=0), "BLANCO", IFERROR(VLOOKUP(I3508, BasedatosM9!A:B, 2, FALSE), "BLANCO")))</f>
        <v/>
      </c>
    </row>
    <row r="3509" spans="1:11" ht="14.4">
      <c r="A3509" s="21"/>
      <c r="B3509" s="86"/>
      <c r="C3509" s="98"/>
      <c r="D3509" s="21"/>
      <c r="E3509" s="86"/>
      <c r="F3509" s="99"/>
      <c r="G3509" s="99"/>
      <c r="H3509" s="21"/>
      <c r="I3509" s="21"/>
      <c r="J3509" s="21"/>
      <c r="K3509" s="5" t="str">
        <f>IF(AND(LEN(H3509)=0, LEN(I3509)=0), "", IF(AND(LEN(H3509)&gt;0, LEN(I3509)=0), "BLANCO", IFERROR(VLOOKUP(I3509, BasedatosM9!A:B, 2, FALSE), "BLANCO")))</f>
        <v/>
      </c>
    </row>
    <row r="3510" spans="1:11" ht="14.4">
      <c r="A3510" s="21"/>
      <c r="B3510" s="86"/>
      <c r="C3510" s="98"/>
      <c r="D3510" s="21"/>
      <c r="E3510" s="86"/>
      <c r="F3510" s="99"/>
      <c r="G3510" s="99"/>
      <c r="H3510" s="21"/>
      <c r="I3510" s="21"/>
      <c r="J3510" s="21"/>
      <c r="K3510" s="5" t="str">
        <f>IF(AND(LEN(H3510)=0, LEN(I3510)=0), "", IF(AND(LEN(H3510)&gt;0, LEN(I3510)=0), "BLANCO", IFERROR(VLOOKUP(I3510, BasedatosM9!A:B, 2, FALSE), "BLANCO")))</f>
        <v/>
      </c>
    </row>
    <row r="3511" spans="1:11" ht="14.4">
      <c r="A3511" s="21"/>
      <c r="B3511" s="86"/>
      <c r="C3511" s="98"/>
      <c r="D3511" s="21"/>
      <c r="E3511" s="86"/>
      <c r="F3511" s="99"/>
      <c r="G3511" s="99"/>
      <c r="H3511" s="21"/>
      <c r="I3511" s="86"/>
      <c r="J3511" s="21"/>
      <c r="K3511" s="5" t="str">
        <f>IF(AND(LEN(H3511)=0, LEN(I3511)=0), "", IF(AND(LEN(H3511)&gt;0, LEN(I3511)=0), "BLANCO", IFERROR(VLOOKUP(I3511, BasedatosM9!A:B, 2, FALSE), "BLANCO")))</f>
        <v/>
      </c>
    </row>
    <row r="3512" spans="1:11" ht="14.4">
      <c r="A3512" s="21"/>
      <c r="B3512" s="86"/>
      <c r="C3512" s="98"/>
      <c r="D3512" s="21"/>
      <c r="E3512" s="86"/>
      <c r="F3512" s="99"/>
      <c r="G3512" s="99"/>
      <c r="H3512" s="21"/>
      <c r="I3512" s="86"/>
      <c r="J3512" s="21"/>
      <c r="K3512" s="5" t="str">
        <f>IF(AND(LEN(H3512)=0, LEN(I3512)=0), "", IF(AND(LEN(H3512)&gt;0, LEN(I3512)=0), "BLANCO", IFERROR(VLOOKUP(I3512, BasedatosM9!A:B, 2, FALSE), "BLANCO")))</f>
        <v/>
      </c>
    </row>
    <row r="3513" spans="1:11" ht="14.4">
      <c r="A3513" s="21"/>
      <c r="B3513" s="86"/>
      <c r="C3513" s="98"/>
      <c r="D3513" s="21"/>
      <c r="E3513" s="86"/>
      <c r="F3513" s="99"/>
      <c r="G3513" s="99"/>
      <c r="H3513" s="21"/>
      <c r="I3513" s="21"/>
      <c r="J3513" s="21"/>
      <c r="K3513" s="5" t="str">
        <f>IF(AND(LEN(H3513)=0, LEN(I3513)=0), "", IF(AND(LEN(H3513)&gt;0, LEN(I3513)=0), "BLANCO", IFERROR(VLOOKUP(I3513, BasedatosM9!A:B, 2, FALSE), "BLANCO")))</f>
        <v/>
      </c>
    </row>
    <row r="3514" spans="1:11" ht="14.4">
      <c r="A3514" s="21"/>
      <c r="B3514" s="86"/>
      <c r="C3514" s="98"/>
      <c r="D3514" s="21"/>
      <c r="E3514" s="86"/>
      <c r="F3514" s="99"/>
      <c r="G3514" s="99"/>
      <c r="H3514" s="21"/>
      <c r="I3514" s="86"/>
      <c r="J3514" s="21"/>
      <c r="K3514" s="5" t="str">
        <f>IF(AND(LEN(H3514)=0, LEN(I3514)=0), "", IF(AND(LEN(H3514)&gt;0, LEN(I3514)=0), "BLANCO", IFERROR(VLOOKUP(I3514, BasedatosM9!A:B, 2, FALSE), "BLANCO")))</f>
        <v/>
      </c>
    </row>
    <row r="3515" spans="1:11" ht="14.4">
      <c r="A3515" s="21"/>
      <c r="B3515" s="86"/>
      <c r="C3515" s="98"/>
      <c r="D3515" s="21"/>
      <c r="E3515" s="86"/>
      <c r="F3515" s="99"/>
      <c r="G3515" s="99"/>
      <c r="H3515" s="21"/>
      <c r="I3515" s="86"/>
      <c r="J3515" s="21"/>
      <c r="K3515" s="5" t="str">
        <f>IF(AND(LEN(H3515)=0, LEN(I3515)=0), "", IF(AND(LEN(H3515)&gt;0, LEN(I3515)=0), "BLANCO", IFERROR(VLOOKUP(I3515, BasedatosM9!A:B, 2, FALSE), "BLANCO")))</f>
        <v/>
      </c>
    </row>
    <row r="3516" spans="1:11" ht="14.4">
      <c r="A3516" s="21"/>
      <c r="B3516" s="86"/>
      <c r="C3516" s="98"/>
      <c r="D3516" s="21"/>
      <c r="E3516" s="86"/>
      <c r="F3516" s="99"/>
      <c r="G3516" s="99"/>
      <c r="H3516" s="21"/>
      <c r="I3516" s="21"/>
      <c r="J3516" s="21"/>
      <c r="K3516" s="5" t="str">
        <f>IF(AND(LEN(H3516)=0, LEN(I3516)=0), "", IF(AND(LEN(H3516)&gt;0, LEN(I3516)=0), "BLANCO", IFERROR(VLOOKUP(I3516, BasedatosM9!A:B, 2, FALSE), "BLANCO")))</f>
        <v/>
      </c>
    </row>
    <row r="3517" spans="1:11" ht="14.4">
      <c r="A3517" s="21"/>
      <c r="B3517" s="86"/>
      <c r="C3517" s="98"/>
      <c r="D3517" s="21"/>
      <c r="E3517" s="86"/>
      <c r="F3517" s="99"/>
      <c r="G3517" s="99"/>
      <c r="H3517" s="21"/>
      <c r="I3517" s="21"/>
      <c r="J3517" s="21"/>
      <c r="K3517" s="5" t="str">
        <f>IF(AND(LEN(H3517)=0, LEN(I3517)=0), "", IF(AND(LEN(H3517)&gt;0, LEN(I3517)=0), "BLANCO", IFERROR(VLOOKUP(I3517, BasedatosM9!A:B, 2, FALSE), "BLANCO")))</f>
        <v/>
      </c>
    </row>
    <row r="3518" spans="1:11" ht="14.4">
      <c r="A3518" s="21"/>
      <c r="B3518" s="86"/>
      <c r="C3518" s="98"/>
      <c r="D3518" s="21"/>
      <c r="E3518" s="86"/>
      <c r="F3518" s="99"/>
      <c r="G3518" s="99"/>
      <c r="H3518" s="21"/>
      <c r="I3518" s="86"/>
      <c r="J3518" s="21"/>
      <c r="K3518" s="5" t="str">
        <f>IF(AND(LEN(H3518)=0, LEN(I3518)=0), "", IF(AND(LEN(H3518)&gt;0, LEN(I3518)=0), "BLANCO", IFERROR(VLOOKUP(I3518, BasedatosM9!A:B, 2, FALSE), "BLANCO")))</f>
        <v/>
      </c>
    </row>
    <row r="3519" spans="1:11" ht="14.4">
      <c r="A3519" s="21"/>
      <c r="B3519" s="86"/>
      <c r="C3519" s="98"/>
      <c r="D3519" s="21"/>
      <c r="E3519" s="86"/>
      <c r="F3519" s="99"/>
      <c r="G3519" s="99"/>
      <c r="H3519" s="21"/>
      <c r="I3519" s="21"/>
      <c r="J3519" s="21"/>
      <c r="K3519" s="5" t="str">
        <f>IF(AND(LEN(H3519)=0, LEN(I3519)=0), "", IF(AND(LEN(H3519)&gt;0, LEN(I3519)=0), "BLANCO", IFERROR(VLOOKUP(I3519, BasedatosM9!A:B, 2, FALSE), "BLANCO")))</f>
        <v/>
      </c>
    </row>
    <row r="3520" spans="1:11" ht="14.4">
      <c r="A3520" s="21"/>
      <c r="B3520" s="86"/>
      <c r="C3520" s="98"/>
      <c r="D3520" s="21"/>
      <c r="E3520" s="86"/>
      <c r="F3520" s="99"/>
      <c r="G3520" s="99"/>
      <c r="H3520" s="21"/>
      <c r="I3520" s="86"/>
      <c r="J3520" s="21"/>
      <c r="K3520" s="5" t="str">
        <f>IF(AND(LEN(H3520)=0, LEN(I3520)=0), "", IF(AND(LEN(H3520)&gt;0, LEN(I3520)=0), "BLANCO", IFERROR(VLOOKUP(I3520, BasedatosM9!A:B, 2, FALSE), "BLANCO")))</f>
        <v/>
      </c>
    </row>
    <row r="3521" spans="1:11" ht="14.4">
      <c r="A3521" s="21"/>
      <c r="B3521" s="86"/>
      <c r="C3521" s="98"/>
      <c r="D3521" s="21"/>
      <c r="E3521" s="86"/>
      <c r="F3521" s="99"/>
      <c r="G3521" s="99"/>
      <c r="H3521" s="21"/>
      <c r="I3521" s="86"/>
      <c r="J3521" s="21"/>
      <c r="K3521" s="5" t="str">
        <f>IF(AND(LEN(H3521)=0, LEN(I3521)=0), "", IF(AND(LEN(H3521)&gt;0, LEN(I3521)=0), "BLANCO", IFERROR(VLOOKUP(I3521, BasedatosM9!A:B, 2, FALSE), "BLANCO")))</f>
        <v/>
      </c>
    </row>
    <row r="3522" spans="1:11" ht="14.4">
      <c r="A3522" s="21"/>
      <c r="B3522" s="86"/>
      <c r="C3522" s="98"/>
      <c r="D3522" s="21"/>
      <c r="E3522" s="86"/>
      <c r="F3522" s="99"/>
      <c r="G3522" s="99"/>
      <c r="H3522" s="21"/>
      <c r="I3522" s="86"/>
      <c r="J3522" s="21"/>
      <c r="K3522" s="5" t="str">
        <f>IF(AND(LEN(H3522)=0, LEN(I3522)=0), "", IF(AND(LEN(H3522)&gt;0, LEN(I3522)=0), "BLANCO", IFERROR(VLOOKUP(I3522, BasedatosM9!A:B, 2, FALSE), "BLANCO")))</f>
        <v/>
      </c>
    </row>
    <row r="3523" spans="1:11" ht="14.4">
      <c r="A3523" s="21"/>
      <c r="B3523" s="86"/>
      <c r="C3523" s="98"/>
      <c r="D3523" s="21"/>
      <c r="E3523" s="86"/>
      <c r="F3523" s="99"/>
      <c r="G3523" s="99"/>
      <c r="H3523" s="21"/>
      <c r="I3523" s="86"/>
      <c r="J3523" s="21"/>
      <c r="K3523" s="5" t="str">
        <f>IF(AND(LEN(H3523)=0, LEN(I3523)=0), "", IF(AND(LEN(H3523)&gt;0, LEN(I3523)=0), "BLANCO", IFERROR(VLOOKUP(I3523, BasedatosM9!A:B, 2, FALSE), "BLANCO")))</f>
        <v/>
      </c>
    </row>
    <row r="3524" spans="1:11" ht="14.4">
      <c r="A3524" s="21"/>
      <c r="B3524" s="86"/>
      <c r="C3524" s="98"/>
      <c r="D3524" s="21"/>
      <c r="E3524" s="86"/>
      <c r="F3524" s="99"/>
      <c r="G3524" s="99"/>
      <c r="H3524" s="21"/>
      <c r="I3524" s="21"/>
      <c r="J3524" s="21"/>
      <c r="K3524" s="5" t="str">
        <f>IF(AND(LEN(H3524)=0, LEN(I3524)=0), "", IF(AND(LEN(H3524)&gt;0, LEN(I3524)=0), "BLANCO", IFERROR(VLOOKUP(I3524, BasedatosM9!A:B, 2, FALSE), "BLANCO")))</f>
        <v/>
      </c>
    </row>
    <row r="3525" spans="1:11" ht="14.4">
      <c r="A3525" s="21"/>
      <c r="B3525" s="86"/>
      <c r="C3525" s="98"/>
      <c r="D3525" s="21"/>
      <c r="E3525" s="86"/>
      <c r="F3525" s="99"/>
      <c r="G3525" s="99"/>
      <c r="H3525" s="21"/>
      <c r="I3525" s="21"/>
      <c r="J3525" s="21"/>
      <c r="K3525" s="5" t="str">
        <f>IF(AND(LEN(H3525)=0, LEN(I3525)=0), "", IF(AND(LEN(H3525)&gt;0, LEN(I3525)=0), "BLANCO", IFERROR(VLOOKUP(I3525, BasedatosM9!A:B, 2, FALSE), "BLANCO")))</f>
        <v/>
      </c>
    </row>
    <row r="3526" spans="1:11" ht="14.4">
      <c r="A3526" s="21"/>
      <c r="B3526" s="86"/>
      <c r="C3526" s="98"/>
      <c r="D3526" s="21"/>
      <c r="E3526" s="86"/>
      <c r="F3526" s="99"/>
      <c r="G3526" s="99"/>
      <c r="H3526" s="21"/>
      <c r="I3526" s="86"/>
      <c r="J3526" s="21"/>
      <c r="K3526" s="5" t="str">
        <f>IF(AND(LEN(H3526)=0, LEN(I3526)=0), "", IF(AND(LEN(H3526)&gt;0, LEN(I3526)=0), "BLANCO", IFERROR(VLOOKUP(I3526, BasedatosM9!A:B, 2, FALSE), "BLANCO")))</f>
        <v/>
      </c>
    </row>
    <row r="3527" spans="1:11" ht="14.4">
      <c r="A3527" s="21"/>
      <c r="B3527" s="86"/>
      <c r="C3527" s="98"/>
      <c r="D3527" s="21"/>
      <c r="E3527" s="86"/>
      <c r="F3527" s="99"/>
      <c r="G3527" s="99"/>
      <c r="H3527" s="21"/>
      <c r="I3527" s="86"/>
      <c r="J3527" s="21"/>
      <c r="K3527" s="5" t="str">
        <f>IF(AND(LEN(H3527)=0, LEN(I3527)=0), "", IF(AND(LEN(H3527)&gt;0, LEN(I3527)=0), "BLANCO", IFERROR(VLOOKUP(I3527, BasedatosM9!A:B, 2, FALSE), "BLANCO")))</f>
        <v/>
      </c>
    </row>
    <row r="3528" spans="1:11" ht="14.4">
      <c r="A3528" s="21"/>
      <c r="B3528" s="86"/>
      <c r="C3528" s="98"/>
      <c r="D3528" s="21"/>
      <c r="E3528" s="86"/>
      <c r="F3528" s="99"/>
      <c r="G3528" s="99"/>
      <c r="H3528" s="21"/>
      <c r="I3528" s="86"/>
      <c r="J3528" s="21"/>
      <c r="K3528" s="5" t="str">
        <f>IF(AND(LEN(H3528)=0, LEN(I3528)=0), "", IF(AND(LEN(H3528)&gt;0, LEN(I3528)=0), "BLANCO", IFERROR(VLOOKUP(I3528, BasedatosM9!A:B, 2, FALSE), "BLANCO")))</f>
        <v/>
      </c>
    </row>
    <row r="3529" spans="1:11" ht="14.4">
      <c r="A3529" s="21"/>
      <c r="B3529" s="86"/>
      <c r="C3529" s="98"/>
      <c r="D3529" s="21"/>
      <c r="E3529" s="86"/>
      <c r="F3529" s="99"/>
      <c r="G3529" s="99"/>
      <c r="H3529" s="21"/>
      <c r="I3529" s="21"/>
      <c r="J3529" s="21"/>
      <c r="K3529" s="5" t="str">
        <f>IF(AND(LEN(H3529)=0, LEN(I3529)=0), "", IF(AND(LEN(H3529)&gt;0, LEN(I3529)=0), "BLANCO", IFERROR(VLOOKUP(I3529, BasedatosM9!A:B, 2, FALSE), "BLANCO")))</f>
        <v/>
      </c>
    </row>
    <row r="3530" spans="1:11" ht="14.4">
      <c r="A3530" s="21"/>
      <c r="B3530" s="86"/>
      <c r="C3530" s="98"/>
      <c r="D3530" s="21"/>
      <c r="E3530" s="86"/>
      <c r="F3530" s="99"/>
      <c r="G3530" s="99"/>
      <c r="H3530" s="21"/>
      <c r="I3530" s="21"/>
      <c r="J3530" s="21"/>
      <c r="K3530" s="5" t="str">
        <f>IF(AND(LEN(H3530)=0, LEN(I3530)=0), "", IF(AND(LEN(H3530)&gt;0, LEN(I3530)=0), "BLANCO", IFERROR(VLOOKUP(I3530, BasedatosM9!A:B, 2, FALSE), "BLANCO")))</f>
        <v/>
      </c>
    </row>
    <row r="3531" spans="1:11" ht="14.4">
      <c r="A3531" s="21"/>
      <c r="B3531" s="86"/>
      <c r="C3531" s="98"/>
      <c r="D3531" s="21"/>
      <c r="E3531" s="86"/>
      <c r="F3531" s="99"/>
      <c r="G3531" s="99"/>
      <c r="H3531" s="21"/>
      <c r="I3531" s="21"/>
      <c r="J3531" s="21"/>
      <c r="K3531" s="5" t="str">
        <f>IF(AND(LEN(H3531)=0, LEN(I3531)=0), "", IF(AND(LEN(H3531)&gt;0, LEN(I3531)=0), "BLANCO", IFERROR(VLOOKUP(I3531, BasedatosM9!A:B, 2, FALSE), "BLANCO")))</f>
        <v/>
      </c>
    </row>
    <row r="3532" spans="1:11" ht="14.4">
      <c r="A3532" s="21"/>
      <c r="B3532" s="86"/>
      <c r="C3532" s="98"/>
      <c r="D3532" s="21"/>
      <c r="E3532" s="86"/>
      <c r="F3532" s="99"/>
      <c r="G3532" s="99"/>
      <c r="H3532" s="21"/>
      <c r="I3532" s="86"/>
      <c r="J3532" s="21"/>
      <c r="K3532" s="5" t="str">
        <f>IF(AND(LEN(H3532)=0, LEN(I3532)=0), "", IF(AND(LEN(H3532)&gt;0, LEN(I3532)=0), "BLANCO", IFERROR(VLOOKUP(I3532, BasedatosM9!A:B, 2, FALSE), "BLANCO")))</f>
        <v/>
      </c>
    </row>
    <row r="3533" spans="1:11" ht="14.4">
      <c r="A3533" s="21"/>
      <c r="B3533" s="86"/>
      <c r="C3533" s="98"/>
      <c r="D3533" s="21"/>
      <c r="E3533" s="86"/>
      <c r="F3533" s="99"/>
      <c r="G3533" s="99"/>
      <c r="H3533" s="21"/>
      <c r="I3533" s="86"/>
      <c r="J3533" s="21"/>
      <c r="K3533" s="5" t="str">
        <f>IF(AND(LEN(H3533)=0, LEN(I3533)=0), "", IF(AND(LEN(H3533)&gt;0, LEN(I3533)=0), "BLANCO", IFERROR(VLOOKUP(I3533, BasedatosM9!A:B, 2, FALSE), "BLANCO")))</f>
        <v/>
      </c>
    </row>
    <row r="3534" spans="1:11" ht="14.4">
      <c r="A3534" s="21"/>
      <c r="B3534" s="86"/>
      <c r="C3534" s="98"/>
      <c r="D3534" s="21"/>
      <c r="E3534" s="86"/>
      <c r="F3534" s="99"/>
      <c r="G3534" s="99"/>
      <c r="H3534" s="21"/>
      <c r="I3534" s="86"/>
      <c r="J3534" s="21"/>
      <c r="K3534" s="5" t="str">
        <f>IF(AND(LEN(H3534)=0, LEN(I3534)=0), "", IF(AND(LEN(H3534)&gt;0, LEN(I3534)=0), "BLANCO", IFERROR(VLOOKUP(I3534, BasedatosM9!A:B, 2, FALSE), "BLANCO")))</f>
        <v/>
      </c>
    </row>
    <row r="3535" spans="1:11" ht="14.4">
      <c r="A3535" s="21"/>
      <c r="B3535" s="86"/>
      <c r="C3535" s="98"/>
      <c r="D3535" s="21"/>
      <c r="E3535" s="86"/>
      <c r="F3535" s="99"/>
      <c r="G3535" s="99"/>
      <c r="H3535" s="21"/>
      <c r="I3535" s="86"/>
      <c r="J3535" s="21"/>
      <c r="K3535" s="5" t="str">
        <f>IF(AND(LEN(H3535)=0, LEN(I3535)=0), "", IF(AND(LEN(H3535)&gt;0, LEN(I3535)=0), "BLANCO", IFERROR(VLOOKUP(I3535, BasedatosM9!A:B, 2, FALSE), "BLANCO")))</f>
        <v/>
      </c>
    </row>
    <row r="3536" spans="1:11" ht="14.4">
      <c r="A3536" s="21"/>
      <c r="B3536" s="86"/>
      <c r="C3536" s="98"/>
      <c r="D3536" s="21"/>
      <c r="E3536" s="86"/>
      <c r="F3536" s="99"/>
      <c r="G3536" s="99"/>
      <c r="H3536" s="21"/>
      <c r="I3536" s="86"/>
      <c r="J3536" s="21"/>
      <c r="K3536" s="5" t="str">
        <f>IF(AND(LEN(H3536)=0, LEN(I3536)=0), "", IF(AND(LEN(H3536)&gt;0, LEN(I3536)=0), "BLANCO", IFERROR(VLOOKUP(I3536, BasedatosM9!A:B, 2, FALSE), "BLANCO")))</f>
        <v/>
      </c>
    </row>
    <row r="3537" spans="1:11" ht="14.4">
      <c r="A3537" s="21"/>
      <c r="B3537" s="86"/>
      <c r="C3537" s="98"/>
      <c r="D3537" s="21"/>
      <c r="E3537" s="86"/>
      <c r="F3537" s="99"/>
      <c r="G3537" s="99"/>
      <c r="H3537" s="21"/>
      <c r="I3537" s="21"/>
      <c r="J3537" s="21"/>
      <c r="K3537" s="5" t="str">
        <f>IF(AND(LEN(H3537)=0, LEN(I3537)=0), "", IF(AND(LEN(H3537)&gt;0, LEN(I3537)=0), "BLANCO", IFERROR(VLOOKUP(I3537, BasedatosM9!A:B, 2, FALSE), "BLANCO")))</f>
        <v/>
      </c>
    </row>
    <row r="3538" spans="1:11" ht="14.4">
      <c r="A3538" s="21"/>
      <c r="B3538" s="86"/>
      <c r="C3538" s="98"/>
      <c r="D3538" s="21"/>
      <c r="E3538" s="86"/>
      <c r="F3538" s="99"/>
      <c r="G3538" s="99"/>
      <c r="H3538" s="21"/>
      <c r="I3538" s="21"/>
      <c r="J3538" s="21"/>
      <c r="K3538" s="5" t="str">
        <f>IF(AND(LEN(H3538)=0, LEN(I3538)=0), "", IF(AND(LEN(H3538)&gt;0, LEN(I3538)=0), "BLANCO", IFERROR(VLOOKUP(I3538, BasedatosM9!A:B, 2, FALSE), "BLANCO")))</f>
        <v/>
      </c>
    </row>
    <row r="3539" spans="1:11" ht="14.4">
      <c r="A3539" s="21"/>
      <c r="B3539" s="86"/>
      <c r="C3539" s="98"/>
      <c r="D3539" s="21"/>
      <c r="E3539" s="86"/>
      <c r="F3539" s="99"/>
      <c r="G3539" s="99"/>
      <c r="H3539" s="21"/>
      <c r="I3539" s="21"/>
      <c r="J3539" s="21"/>
      <c r="K3539" s="5" t="str">
        <f>IF(AND(LEN(H3539)=0, LEN(I3539)=0), "", IF(AND(LEN(H3539)&gt;0, LEN(I3539)=0), "BLANCO", IFERROR(VLOOKUP(I3539, BasedatosM9!A:B, 2, FALSE), "BLANCO")))</f>
        <v/>
      </c>
    </row>
    <row r="3540" spans="1:11" ht="14.4">
      <c r="A3540" s="21"/>
      <c r="B3540" s="86"/>
      <c r="C3540" s="98"/>
      <c r="D3540" s="21"/>
      <c r="E3540" s="86"/>
      <c r="F3540" s="99"/>
      <c r="G3540" s="99"/>
      <c r="H3540" s="21"/>
      <c r="I3540" s="21"/>
      <c r="J3540" s="21"/>
      <c r="K3540" s="5" t="str">
        <f>IF(AND(LEN(H3540)=0, LEN(I3540)=0), "", IF(AND(LEN(H3540)&gt;0, LEN(I3540)=0), "BLANCO", IFERROR(VLOOKUP(I3540, BasedatosM9!A:B, 2, FALSE), "BLANCO")))</f>
        <v/>
      </c>
    </row>
    <row r="3541" spans="1:11" ht="14.4">
      <c r="A3541" s="21"/>
      <c r="B3541" s="86"/>
      <c r="C3541" s="98"/>
      <c r="D3541" s="21"/>
      <c r="E3541" s="86"/>
      <c r="F3541" s="99"/>
      <c r="G3541" s="99"/>
      <c r="H3541" s="21"/>
      <c r="I3541" s="86"/>
      <c r="J3541" s="21"/>
      <c r="K3541" s="5" t="str">
        <f>IF(AND(LEN(H3541)=0, LEN(I3541)=0), "", IF(AND(LEN(H3541)&gt;0, LEN(I3541)=0), "BLANCO", IFERROR(VLOOKUP(I3541, BasedatosM9!A:B, 2, FALSE), "BLANCO")))</f>
        <v/>
      </c>
    </row>
    <row r="3542" spans="1:11" ht="14.4">
      <c r="A3542" s="21"/>
      <c r="B3542" s="86"/>
      <c r="C3542" s="98"/>
      <c r="D3542" s="21"/>
      <c r="E3542" s="86"/>
      <c r="F3542" s="99"/>
      <c r="G3542" s="99"/>
      <c r="H3542" s="21"/>
      <c r="I3542" s="21"/>
      <c r="J3542" s="21"/>
      <c r="K3542" s="5" t="str">
        <f>IF(AND(LEN(H3542)=0, LEN(I3542)=0), "", IF(AND(LEN(H3542)&gt;0, LEN(I3542)=0), "BLANCO", IFERROR(VLOOKUP(I3542, BasedatosM9!A:B, 2, FALSE), "BLANCO")))</f>
        <v/>
      </c>
    </row>
    <row r="3543" spans="1:11" ht="14.4">
      <c r="A3543" s="21"/>
      <c r="B3543" s="86"/>
      <c r="C3543" s="98"/>
      <c r="D3543" s="21"/>
      <c r="E3543" s="86"/>
      <c r="F3543" s="99"/>
      <c r="G3543" s="99"/>
      <c r="H3543" s="21"/>
      <c r="I3543" s="21"/>
      <c r="J3543" s="21"/>
      <c r="K3543" s="5" t="str">
        <f>IF(AND(LEN(H3543)=0, LEN(I3543)=0), "", IF(AND(LEN(H3543)&gt;0, LEN(I3543)=0), "BLANCO", IFERROR(VLOOKUP(I3543, BasedatosM9!A:B, 2, FALSE), "BLANCO")))</f>
        <v/>
      </c>
    </row>
    <row r="3544" spans="1:11" ht="14.4">
      <c r="A3544" s="21"/>
      <c r="B3544" s="86"/>
      <c r="C3544" s="98"/>
      <c r="D3544" s="21"/>
      <c r="E3544" s="86"/>
      <c r="F3544" s="99"/>
      <c r="G3544" s="99"/>
      <c r="H3544" s="21"/>
      <c r="I3544" s="21"/>
      <c r="J3544" s="21"/>
      <c r="K3544" s="5" t="str">
        <f>IF(AND(LEN(H3544)=0, LEN(I3544)=0), "", IF(AND(LEN(H3544)&gt;0, LEN(I3544)=0), "BLANCO", IFERROR(VLOOKUP(I3544, BasedatosM9!A:B, 2, FALSE), "BLANCO")))</f>
        <v/>
      </c>
    </row>
    <row r="3545" spans="1:11" ht="14.4">
      <c r="A3545" s="21"/>
      <c r="B3545" s="86"/>
      <c r="C3545" s="98"/>
      <c r="D3545" s="21"/>
      <c r="E3545" s="86"/>
      <c r="F3545" s="99"/>
      <c r="G3545" s="99"/>
      <c r="H3545" s="21"/>
      <c r="I3545" s="21"/>
      <c r="J3545" s="21"/>
      <c r="K3545" s="5" t="str">
        <f>IF(AND(LEN(H3545)=0, LEN(I3545)=0), "", IF(AND(LEN(H3545)&gt;0, LEN(I3545)=0), "BLANCO", IFERROR(VLOOKUP(I3545, BasedatosM9!A:B, 2, FALSE), "BLANCO")))</f>
        <v/>
      </c>
    </row>
    <row r="3546" spans="1:11" ht="14.4">
      <c r="A3546" s="21"/>
      <c r="B3546" s="86"/>
      <c r="C3546" s="98"/>
      <c r="D3546" s="21"/>
      <c r="E3546" s="86"/>
      <c r="F3546" s="99"/>
      <c r="G3546" s="99"/>
      <c r="H3546" s="21"/>
      <c r="I3546" s="21"/>
      <c r="J3546" s="21"/>
      <c r="K3546" s="5" t="str">
        <f>IF(AND(LEN(H3546)=0, LEN(I3546)=0), "", IF(AND(LEN(H3546)&gt;0, LEN(I3546)=0), "BLANCO", IFERROR(VLOOKUP(I3546, BasedatosM9!A:B, 2, FALSE), "BLANCO")))</f>
        <v/>
      </c>
    </row>
    <row r="3547" spans="1:11" ht="14.4">
      <c r="A3547" s="21"/>
      <c r="B3547" s="86"/>
      <c r="C3547" s="98"/>
      <c r="D3547" s="21"/>
      <c r="E3547" s="86"/>
      <c r="F3547" s="99"/>
      <c r="G3547" s="99"/>
      <c r="H3547" s="21"/>
      <c r="I3547" s="21"/>
      <c r="J3547" s="21"/>
      <c r="K3547" s="5" t="str">
        <f>IF(AND(LEN(H3547)=0, LEN(I3547)=0), "", IF(AND(LEN(H3547)&gt;0, LEN(I3547)=0), "BLANCO", IFERROR(VLOOKUP(I3547, BasedatosM9!A:B, 2, FALSE), "BLANCO")))</f>
        <v/>
      </c>
    </row>
    <row r="3548" spans="1:11" ht="14.4">
      <c r="A3548" s="21"/>
      <c r="B3548" s="86"/>
      <c r="C3548" s="98"/>
      <c r="D3548" s="21"/>
      <c r="E3548" s="86"/>
      <c r="F3548" s="99"/>
      <c r="G3548" s="99"/>
      <c r="H3548" s="21"/>
      <c r="I3548" s="21"/>
      <c r="J3548" s="21"/>
      <c r="K3548" s="5" t="str">
        <f>IF(AND(LEN(H3548)=0, LEN(I3548)=0), "", IF(AND(LEN(H3548)&gt;0, LEN(I3548)=0), "BLANCO", IFERROR(VLOOKUP(I3548, BasedatosM9!A:B, 2, FALSE), "BLANCO")))</f>
        <v/>
      </c>
    </row>
    <row r="3549" spans="1:11" ht="14.4">
      <c r="A3549" s="21"/>
      <c r="B3549" s="86"/>
      <c r="C3549" s="98"/>
      <c r="D3549" s="21"/>
      <c r="E3549" s="86"/>
      <c r="F3549" s="99"/>
      <c r="G3549" s="99"/>
      <c r="H3549" s="21"/>
      <c r="I3549" s="21"/>
      <c r="J3549" s="21"/>
      <c r="K3549" s="5" t="str">
        <f>IF(AND(LEN(H3549)=0, LEN(I3549)=0), "", IF(AND(LEN(H3549)&gt;0, LEN(I3549)=0), "BLANCO", IFERROR(VLOOKUP(I3549, BasedatosM9!A:B, 2, FALSE), "BLANCO")))</f>
        <v/>
      </c>
    </row>
    <row r="3550" spans="1:11" ht="14.4">
      <c r="A3550" s="21"/>
      <c r="B3550" s="86"/>
      <c r="C3550" s="98"/>
      <c r="D3550" s="21"/>
      <c r="E3550" s="86"/>
      <c r="F3550" s="99"/>
      <c r="G3550" s="99"/>
      <c r="H3550" s="21"/>
      <c r="I3550" s="21"/>
      <c r="J3550" s="21"/>
      <c r="K3550" s="5" t="str">
        <f>IF(AND(LEN(H3550)=0, LEN(I3550)=0), "", IF(AND(LEN(H3550)&gt;0, LEN(I3550)=0), "BLANCO", IFERROR(VLOOKUP(I3550, BasedatosM9!A:B, 2, FALSE), "BLANCO")))</f>
        <v/>
      </c>
    </row>
    <row r="3551" spans="1:11" ht="14.4">
      <c r="A3551" s="21"/>
      <c r="B3551" s="86"/>
      <c r="C3551" s="98"/>
      <c r="D3551" s="21"/>
      <c r="E3551" s="86"/>
      <c r="F3551" s="99"/>
      <c r="G3551" s="99"/>
      <c r="H3551" s="21"/>
      <c r="I3551" s="21"/>
      <c r="J3551" s="21"/>
      <c r="K3551" s="5" t="str">
        <f>IF(AND(LEN(H3551)=0, LEN(I3551)=0), "", IF(AND(LEN(H3551)&gt;0, LEN(I3551)=0), "BLANCO", IFERROR(VLOOKUP(I3551, BasedatosM9!A:B, 2, FALSE), "BLANCO")))</f>
        <v/>
      </c>
    </row>
    <row r="3552" spans="1:11" ht="14.4">
      <c r="A3552" s="21"/>
      <c r="B3552" s="86"/>
      <c r="C3552" s="98"/>
      <c r="D3552" s="21"/>
      <c r="E3552" s="86"/>
      <c r="F3552" s="99"/>
      <c r="G3552" s="99"/>
      <c r="H3552" s="21"/>
      <c r="I3552" s="21"/>
      <c r="J3552" s="21"/>
      <c r="K3552" s="5" t="str">
        <f>IF(AND(LEN(H3552)=0, LEN(I3552)=0), "", IF(AND(LEN(H3552)&gt;0, LEN(I3552)=0), "BLANCO", IFERROR(VLOOKUP(I3552, BasedatosM9!A:B, 2, FALSE), "BLANCO")))</f>
        <v/>
      </c>
    </row>
    <row r="3553" spans="1:11" ht="14.4">
      <c r="A3553" s="21"/>
      <c r="B3553" s="86"/>
      <c r="C3553" s="98"/>
      <c r="D3553" s="21"/>
      <c r="E3553" s="86"/>
      <c r="F3553" s="99"/>
      <c r="G3553" s="99"/>
      <c r="H3553" s="21"/>
      <c r="I3553" s="21"/>
      <c r="J3553" s="21"/>
      <c r="K3553" s="5" t="str">
        <f>IF(AND(LEN(H3553)=0, LEN(I3553)=0), "", IF(AND(LEN(H3553)&gt;0, LEN(I3553)=0), "BLANCO", IFERROR(VLOOKUP(I3553, BasedatosM9!A:B, 2, FALSE), "BLANCO")))</f>
        <v/>
      </c>
    </row>
    <row r="3554" spans="1:11" ht="14.4">
      <c r="A3554" s="21"/>
      <c r="B3554" s="86"/>
      <c r="C3554" s="98"/>
      <c r="D3554" s="21"/>
      <c r="E3554" s="86"/>
      <c r="F3554" s="99"/>
      <c r="G3554" s="99"/>
      <c r="H3554" s="21"/>
      <c r="I3554" s="21"/>
      <c r="J3554" s="21"/>
      <c r="K3554" s="5" t="str">
        <f>IF(AND(LEN(H3554)=0, LEN(I3554)=0), "", IF(AND(LEN(H3554)&gt;0, LEN(I3554)=0), "BLANCO", IFERROR(VLOOKUP(I3554, BasedatosM9!A:B, 2, FALSE), "BLANCO")))</f>
        <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K149"/>
  <sheetViews>
    <sheetView tabSelected="1" workbookViewId="0">
      <selection activeCell="L8" sqref="L8"/>
    </sheetView>
  </sheetViews>
  <sheetFormatPr baseColWidth="10" defaultColWidth="12.6640625" defaultRowHeight="15.75" customHeight="1"/>
  <sheetData>
    <row r="1" spans="1:11" ht="15.75" customHeight="1">
      <c r="A1" s="10" t="s">
        <v>6</v>
      </c>
      <c r="B1" s="11" t="s">
        <v>7</v>
      </c>
      <c r="C1" s="11" t="s">
        <v>8</v>
      </c>
      <c r="D1" s="11" t="s">
        <v>9</v>
      </c>
      <c r="E1" s="11" t="s">
        <v>10</v>
      </c>
      <c r="F1" s="11" t="s">
        <v>11</v>
      </c>
      <c r="G1" s="11" t="s">
        <v>12</v>
      </c>
      <c r="H1" s="11" t="s">
        <v>13</v>
      </c>
      <c r="I1" s="11" t="s">
        <v>14</v>
      </c>
      <c r="J1" s="11" t="s">
        <v>15</v>
      </c>
      <c r="K1" s="12" t="s">
        <v>4949</v>
      </c>
    </row>
    <row r="2" spans="1:11" ht="13.2">
      <c r="A2" s="5" t="str">
        <f ca="1">IFERROR(__xludf.DUMMYFUNCTION("FILTER(IW29EDITAR!A2:K1910,IW29EDITAR!H2:H1910=""LINE 1"")"),"TURNO A")</f>
        <v>TURNO A</v>
      </c>
      <c r="B2" s="5">
        <f ca="1">IFERROR(__xludf.DUMMYFUNCTION("""COMPUTED_VALUE"""),23898654)</f>
        <v>23898654</v>
      </c>
      <c r="C2" s="14">
        <f ca="1">IFERROR(__xludf.DUMMYFUNCTION("""COMPUTED_VALUE"""),45352)</f>
        <v>45352</v>
      </c>
      <c r="D2" s="5" t="str">
        <f ca="1">IFERROR(__xludf.DUMMYFUNCTION("""COMPUTED_VALUE"""),"Ajuste de velocidad")</f>
        <v>Ajuste de velocidad</v>
      </c>
      <c r="E2" s="5">
        <f ca="1">IFERROR(__xludf.DUMMYFUNCTION("""COMPUTED_VALUE"""),0.07)</f>
        <v>7.0000000000000007E-2</v>
      </c>
      <c r="F2" s="15">
        <f ca="1">IFERROR(__xludf.DUMMYFUNCTION("""COMPUTED_VALUE"""),0.261805555555555)</f>
        <v>0.26180555555555501</v>
      </c>
      <c r="G2" s="15">
        <f ca="1">IFERROR(__xludf.DUMMYFUNCTION("""COMPUTED_VALUE"""),0.264583333333333)</f>
        <v>0.264583333333333</v>
      </c>
      <c r="H2" s="5" t="str">
        <f ca="1">IFERROR(__xludf.DUMMYFUNCTION("""COMPUTED_VALUE"""),"LINE 1")</f>
        <v>LINE 1</v>
      </c>
      <c r="I2" s="5">
        <f ca="1">IFERROR(__xludf.DUMMYFUNCTION("""COMPUTED_VALUE"""),20009996)</f>
        <v>20009996</v>
      </c>
      <c r="J2" s="5" t="str">
        <f ca="1">IFERROR(__xludf.DUMMYFUNCTION("""COMPUTED_VALUE"""),"TRANSPORTADORES DE BEBIDA")</f>
        <v>TRANSPORTADORES DE BEBIDA</v>
      </c>
      <c r="K2" s="5" t="str">
        <f ca="1">IFERROR(__xludf.DUMMYFUNCTION("""COMPUTED_VALUE"""),"Fernando Montoya")</f>
        <v>Fernando Montoya</v>
      </c>
    </row>
    <row r="3" spans="1:11" ht="13.2">
      <c r="A3" s="5" t="str">
        <f ca="1">IFERROR(__xludf.DUMMYFUNCTION("""COMPUTED_VALUE"""),"TURNO A")</f>
        <v>TURNO A</v>
      </c>
      <c r="B3" s="5">
        <f ca="1">IFERROR(__xludf.DUMMYFUNCTION("""COMPUTED_VALUE"""),23898657)</f>
        <v>23898657</v>
      </c>
      <c r="C3" s="14">
        <f ca="1">IFERROR(__xludf.DUMMYFUNCTION("""COMPUTED_VALUE"""),45352)</f>
        <v>45352</v>
      </c>
      <c r="D3" s="5" t="str">
        <f ca="1">IFERROR(__xludf.DUMMYFUNCTION("""COMPUTED_VALUE"""),"Atascamiento botellas")</f>
        <v>Atascamiento botellas</v>
      </c>
      <c r="E3" s="5">
        <f ca="1">IFERROR(__xludf.DUMMYFUNCTION("""COMPUTED_VALUE"""),0.12)</f>
        <v>0.12</v>
      </c>
      <c r="F3" s="15">
        <f ca="1">IFERROR(__xludf.DUMMYFUNCTION("""COMPUTED_VALUE"""),0.294444444444444)</f>
        <v>0.29444444444444401</v>
      </c>
      <c r="G3" s="15">
        <f ca="1">IFERROR(__xludf.DUMMYFUNCTION("""COMPUTED_VALUE"""),0.299305555555555)</f>
        <v>0.29930555555555499</v>
      </c>
      <c r="H3" s="5" t="str">
        <f ca="1">IFERROR(__xludf.DUMMYFUNCTION("""COMPUTED_VALUE"""),"LINE 1")</f>
        <v>LINE 1</v>
      </c>
      <c r="I3" s="5">
        <f ca="1">IFERROR(__xludf.DUMMYFUNCTION("""COMPUTED_VALUE"""),20009721)</f>
        <v>20009721</v>
      </c>
      <c r="J3" s="5" t="str">
        <f ca="1">IFERROR(__xludf.DUMMYFUNCTION("""COMPUTED_VALUE"""),"TRANSPORTADORES DE ENVASE VACIO")</f>
        <v>TRANSPORTADORES DE ENVASE VACIO</v>
      </c>
      <c r="K3" s="5" t="str">
        <f ca="1">IFERROR(__xludf.DUMMYFUNCTION("""COMPUTED_VALUE"""),"Alejandro Davila")</f>
        <v>Alejandro Davila</v>
      </c>
    </row>
    <row r="4" spans="1:11" ht="13.2">
      <c r="A4" s="5" t="str">
        <f ca="1">IFERROR(__xludf.DUMMYFUNCTION("""COMPUTED_VALUE"""),"TURNO A")</f>
        <v>TURNO A</v>
      </c>
      <c r="B4" s="5">
        <f ca="1">IFERROR(__xludf.DUMMYFUNCTION("""COMPUTED_VALUE"""),23898800)</f>
        <v>23898800</v>
      </c>
      <c r="C4" s="14">
        <f ca="1">IFERROR(__xludf.DUMMYFUNCTION("""COMPUTED_VALUE"""),45352)</f>
        <v>45352</v>
      </c>
      <c r="D4" s="5" t="str">
        <f ca="1">IFERROR(__xludf.DUMMYFUNCTION("""COMPUTED_VALUE"""),"Atascamiento de cajas")</f>
        <v>Atascamiento de cajas</v>
      </c>
      <c r="E4" s="5">
        <f ca="1">IFERROR(__xludf.DUMMYFUNCTION("""COMPUTED_VALUE"""),0.17)</f>
        <v>0.17</v>
      </c>
      <c r="F4" s="15">
        <f ca="1">IFERROR(__xludf.DUMMYFUNCTION("""COMPUTED_VALUE"""),0.425)</f>
        <v>0.42499999999999999</v>
      </c>
      <c r="G4" s="15">
        <f ca="1">IFERROR(__xludf.DUMMYFUNCTION("""COMPUTED_VALUE"""),0.431944444444444)</f>
        <v>0.43194444444444402</v>
      </c>
      <c r="H4" s="5" t="str">
        <f ca="1">IFERROR(__xludf.DUMMYFUNCTION("""COMPUTED_VALUE"""),"LINE 1")</f>
        <v>LINE 1</v>
      </c>
      <c r="I4" s="5">
        <f ca="1">IFERROR(__xludf.DUMMYFUNCTION("""COMPUTED_VALUE"""),20062740)</f>
        <v>20062740</v>
      </c>
      <c r="J4" s="5" t="str">
        <f ca="1">IFERROR(__xludf.DUMMYFUNCTION("""COMPUTED_VALUE"""),"TRANSPORTADORES DE CAJAS")</f>
        <v>TRANSPORTADORES DE CAJAS</v>
      </c>
      <c r="K4" s="5" t="str">
        <f ca="1">IFERROR(__xludf.DUMMYFUNCTION("""COMPUTED_VALUE"""),"Hector Toro")</f>
        <v>Hector Toro</v>
      </c>
    </row>
    <row r="5" spans="1:11" ht="13.2">
      <c r="A5" s="5" t="str">
        <f ca="1">IFERROR(__xludf.DUMMYFUNCTION("""COMPUTED_VALUE"""),"TURNO A")</f>
        <v>TURNO A</v>
      </c>
      <c r="B5" s="5">
        <f ca="1">IFERROR(__xludf.DUMMYFUNCTION("""COMPUTED_VALUE"""),23898832)</f>
        <v>23898832</v>
      </c>
      <c r="C5" s="14">
        <f ca="1">IFERROR(__xludf.DUMMYFUNCTION("""COMPUTED_VALUE"""),45352)</f>
        <v>45352</v>
      </c>
      <c r="D5" s="5" t="str">
        <f ca="1">IFERROR(__xludf.DUMMYFUNCTION("""COMPUTED_VALUE"""),"Caida de botellas salida llenadora")</f>
        <v>Caida de botellas salida llenadora</v>
      </c>
      <c r="E5" s="5">
        <f ca="1">IFERROR(__xludf.DUMMYFUNCTION("""COMPUTED_VALUE"""),0.13)</f>
        <v>0.13</v>
      </c>
      <c r="F5" s="15">
        <f ca="1">IFERROR(__xludf.DUMMYFUNCTION("""COMPUTED_VALUE"""),0.502777777777777)</f>
        <v>0.50277777777777699</v>
      </c>
      <c r="G5" s="15">
        <f ca="1">IFERROR(__xludf.DUMMYFUNCTION("""COMPUTED_VALUE"""),0.508333333333333)</f>
        <v>0.50833333333333297</v>
      </c>
      <c r="H5" s="5" t="str">
        <f ca="1">IFERROR(__xludf.DUMMYFUNCTION("""COMPUTED_VALUE"""),"LINE 1")</f>
        <v>LINE 1</v>
      </c>
      <c r="I5" s="5">
        <f ca="1">IFERROR(__xludf.DUMMYFUNCTION("""COMPUTED_VALUE"""),20036419)</f>
        <v>20036419</v>
      </c>
      <c r="J5" s="5" t="str">
        <f ca="1">IFERROR(__xludf.DUMMYFUNCTION("""COMPUTED_VALUE"""),"TRANSPORTADORES DE BEBIDA")</f>
        <v>TRANSPORTADORES DE BEBIDA</v>
      </c>
      <c r="K5" s="5" t="str">
        <f ca="1">IFERROR(__xludf.DUMMYFUNCTION("""COMPUTED_VALUE"""),"Adalcides Campo")</f>
        <v>Adalcides Campo</v>
      </c>
    </row>
    <row r="6" spans="1:11" ht="13.2">
      <c r="A6" s="5" t="str">
        <f ca="1">IFERROR(__xludf.DUMMYFUNCTION("""COMPUTED_VALUE"""),"TURNO A")</f>
        <v>TURNO A</v>
      </c>
      <c r="B6" s="5">
        <f ca="1">IFERROR(__xludf.DUMMYFUNCTION("""COMPUTED_VALUE"""),23898833)</f>
        <v>23898833</v>
      </c>
      <c r="C6" s="14">
        <f ca="1">IFERROR(__xludf.DUMMYFUNCTION("""COMPUTED_VALUE"""),45352)</f>
        <v>45352</v>
      </c>
      <c r="D6" s="5" t="str">
        <f ca="1">IFERROR(__xludf.DUMMYFUNCTION("""COMPUTED_VALUE"""),"Atascamiento botellas")</f>
        <v>Atascamiento botellas</v>
      </c>
      <c r="E6" s="5">
        <f ca="1">IFERROR(__xludf.DUMMYFUNCTION("""COMPUTED_VALUE"""),0.1)</f>
        <v>0.1</v>
      </c>
      <c r="F6" s="15">
        <f ca="1">IFERROR(__xludf.DUMMYFUNCTION("""COMPUTED_VALUE"""),0.514583333333333)</f>
        <v>0.51458333333333295</v>
      </c>
      <c r="G6" s="15">
        <f ca="1">IFERROR(__xludf.DUMMYFUNCTION("""COMPUTED_VALUE"""),0.518749999999999)</f>
        <v>0.51874999999999905</v>
      </c>
      <c r="H6" s="5" t="str">
        <f ca="1">IFERROR(__xludf.DUMMYFUNCTION("""COMPUTED_VALUE"""),"LINE 1")</f>
        <v>LINE 1</v>
      </c>
      <c r="I6" s="5">
        <f ca="1">IFERROR(__xludf.DUMMYFUNCTION("""COMPUTED_VALUE"""),20009721)</f>
        <v>20009721</v>
      </c>
      <c r="J6" s="5" t="str">
        <f ca="1">IFERROR(__xludf.DUMMYFUNCTION("""COMPUTED_VALUE"""),"TRANSPORTADORES DE ENVASE VACIO")</f>
        <v>TRANSPORTADORES DE ENVASE VACIO</v>
      </c>
      <c r="K6" s="5" t="str">
        <f ca="1">IFERROR(__xludf.DUMMYFUNCTION("""COMPUTED_VALUE"""),"Alejandro Davila")</f>
        <v>Alejandro Davila</v>
      </c>
    </row>
    <row r="7" spans="1:11" ht="13.2">
      <c r="A7" s="5" t="str">
        <f ca="1">IFERROR(__xludf.DUMMYFUNCTION("""COMPUTED_VALUE"""),"TURNO B")</f>
        <v>TURNO B</v>
      </c>
      <c r="B7" s="5">
        <f ca="1">IFERROR(__xludf.DUMMYFUNCTION("""COMPUTED_VALUE"""),23899241)</f>
        <v>23899241</v>
      </c>
      <c r="C7" s="14">
        <f ca="1">IFERROR(__xludf.DUMMYFUNCTION("""COMPUTED_VALUE"""),45352)</f>
        <v>45352</v>
      </c>
      <c r="D7" s="5" t="str">
        <f ca="1">IFERROR(__xludf.DUMMYFUNCTION("""COMPUTED_VALUE"""),"empujador horizontla")</f>
        <v>empujador horizontla</v>
      </c>
      <c r="E7" s="5">
        <f ca="1">IFERROR(__xludf.DUMMYFUNCTION("""COMPUTED_VALUE"""),1.52)</f>
        <v>1.52</v>
      </c>
      <c r="F7" s="15">
        <f ca="1">IFERROR(__xludf.DUMMYFUNCTION("""COMPUTED_VALUE"""),0.645138888888888)</f>
        <v>0.64513888888888804</v>
      </c>
      <c r="G7" s="15">
        <f ca="1">IFERROR(__xludf.DUMMYFUNCTION("""COMPUTED_VALUE"""),0.708333333333333)</f>
        <v>0.70833333333333304</v>
      </c>
      <c r="H7" s="5" t="str">
        <f ca="1">IFERROR(__xludf.DUMMYFUNCTION("""COMPUTED_VALUE"""),"LINE 1")</f>
        <v>LINE 1</v>
      </c>
      <c r="I7" s="5"/>
      <c r="J7" s="5" t="str">
        <f ca="1">IFERROR(__xludf.DUMMYFUNCTION("""COMPUTED_VALUE"""),"PALETIZADORA")</f>
        <v>PALETIZADORA</v>
      </c>
      <c r="K7" s="5" t="str">
        <f ca="1">IFERROR(__xludf.DUMMYFUNCTION("""COMPUTED_VALUE"""),"BLANCO")</f>
        <v>BLANCO</v>
      </c>
    </row>
    <row r="8" spans="1:11" ht="13.2">
      <c r="A8" s="5" t="str">
        <f ca="1">IFERROR(__xludf.DUMMYFUNCTION("""COMPUTED_VALUE"""),"TURNO B")</f>
        <v>TURNO B</v>
      </c>
      <c r="B8" s="5">
        <f ca="1">IFERROR(__xludf.DUMMYFUNCTION("""COMPUTED_VALUE"""),23899442)</f>
        <v>23899442</v>
      </c>
      <c r="C8" s="14">
        <f ca="1">IFERROR(__xludf.DUMMYFUNCTION("""COMPUTED_VALUE"""),45352)</f>
        <v>45352</v>
      </c>
      <c r="D8" s="5" t="str">
        <f ca="1">IFERROR(__xludf.DUMMYFUNCTION("""COMPUTED_VALUE"""),"Ajuste de estrella de salida")</f>
        <v>Ajuste de estrella de salida</v>
      </c>
      <c r="E8" s="5">
        <f ca="1">IFERROR(__xludf.DUMMYFUNCTION("""COMPUTED_VALUE"""),0.33)</f>
        <v>0.33</v>
      </c>
      <c r="F8" s="15">
        <f ca="1">IFERROR(__xludf.DUMMYFUNCTION("""COMPUTED_VALUE"""),0.583333333333333)</f>
        <v>0.58333333333333304</v>
      </c>
      <c r="G8" s="15">
        <f ca="1">IFERROR(__xludf.DUMMYFUNCTION("""COMPUTED_VALUE"""),0.597222222222222)</f>
        <v>0.59722222222222199</v>
      </c>
      <c r="H8" s="5" t="str">
        <f ca="1">IFERROR(__xludf.DUMMYFUNCTION("""COMPUTED_VALUE"""),"LINE 1")</f>
        <v>LINE 1</v>
      </c>
      <c r="I8" s="5">
        <f ca="1">IFERROR(__xludf.DUMMYFUNCTION("""COMPUTED_VALUE"""),20020754)</f>
        <v>20020754</v>
      </c>
      <c r="J8" s="5" t="str">
        <f ca="1">IFERROR(__xludf.DUMMYFUNCTION("""COMPUTED_VALUE"""),"ETIQUETADORA ENVOLVENTE")</f>
        <v>ETIQUETADORA ENVOLVENTE</v>
      </c>
      <c r="K8" s="5" t="str">
        <f ca="1">IFERROR(__xludf.DUMMYFUNCTION("""COMPUTED_VALUE"""),"Sanchez Rodriguez Gerson Andres")</f>
        <v>Sanchez Rodriguez Gerson Andres</v>
      </c>
    </row>
    <row r="9" spans="1:11" ht="13.2">
      <c r="A9" s="5" t="str">
        <f ca="1">IFERROR(__xludf.DUMMYFUNCTION("""COMPUTED_VALUE"""),"TURNO B")</f>
        <v>TURNO B</v>
      </c>
      <c r="B9" s="5">
        <f ca="1">IFERROR(__xludf.DUMMYFUNCTION("""COMPUTED_VALUE"""),23899444)</f>
        <v>23899444</v>
      </c>
      <c r="C9" s="14">
        <f ca="1">IFERROR(__xludf.DUMMYFUNCTION("""COMPUTED_VALUE"""),45352)</f>
        <v>45352</v>
      </c>
      <c r="D9" s="5" t="str">
        <f ca="1">IFERROR(__xludf.DUMMYFUNCTION("""COMPUTED_VALUE"""),"Se frena banda transportadora")</f>
        <v>Se frena banda transportadora</v>
      </c>
      <c r="E9" s="5">
        <f ca="1">IFERROR(__xludf.DUMMYFUNCTION("""COMPUTED_VALUE"""),0.13)</f>
        <v>0.13</v>
      </c>
      <c r="F9" s="15">
        <f ca="1">IFERROR(__xludf.DUMMYFUNCTION("""COMPUTED_VALUE"""),0.854166666666666)</f>
        <v>0.85416666666666596</v>
      </c>
      <c r="G9" s="15">
        <f ca="1">IFERROR(__xludf.DUMMYFUNCTION("""COMPUTED_VALUE"""),0.859722222222222)</f>
        <v>0.85972222222222205</v>
      </c>
      <c r="H9" s="5" t="str">
        <f ca="1">IFERROR(__xludf.DUMMYFUNCTION("""COMPUTED_VALUE"""),"LINE 1")</f>
        <v>LINE 1</v>
      </c>
      <c r="I9" s="5"/>
      <c r="J9" s="5" t="str">
        <f ca="1">IFERROR(__xludf.DUMMYFUNCTION("""COMPUTED_VALUE"""),"TRANSPORTADORES DE CAJAS")</f>
        <v>TRANSPORTADORES DE CAJAS</v>
      </c>
      <c r="K9" s="5" t="str">
        <f ca="1">IFERROR(__xludf.DUMMYFUNCTION("""COMPUTED_VALUE"""),"BLANCO")</f>
        <v>BLANCO</v>
      </c>
    </row>
    <row r="10" spans="1:11" ht="13.2">
      <c r="A10" s="5" t="str">
        <f ca="1">IFERROR(__xludf.DUMMYFUNCTION("""COMPUTED_VALUE"""),"TURNO C")</f>
        <v>TURNO C</v>
      </c>
      <c r="B10" s="5">
        <f ca="1">IFERROR(__xludf.DUMMYFUNCTION("""COMPUTED_VALUE"""),23899587)</f>
        <v>23899587</v>
      </c>
      <c r="C10" s="14">
        <f ca="1">IFERROR(__xludf.DUMMYFUNCTION("""COMPUTED_VALUE"""),45352)</f>
        <v>45352</v>
      </c>
      <c r="D10" s="5" t="str">
        <f ca="1">IFERROR(__xludf.DUMMYFUNCTION("""COMPUTED_VALUE"""),"Atascamiento botellas")</f>
        <v>Atascamiento botellas</v>
      </c>
      <c r="E10" s="5">
        <f ca="1">IFERROR(__xludf.DUMMYFUNCTION("""COMPUTED_VALUE"""),0.13)</f>
        <v>0.13</v>
      </c>
      <c r="F10" s="15">
        <f ca="1">IFERROR(__xludf.DUMMYFUNCTION("""COMPUTED_VALUE"""),0.930555555555555)</f>
        <v>0.93055555555555503</v>
      </c>
      <c r="G10" s="15">
        <f ca="1">IFERROR(__xludf.DUMMYFUNCTION("""COMPUTED_VALUE"""),0.936111111111111)</f>
        <v>0.93611111111111101</v>
      </c>
      <c r="H10" s="5" t="str">
        <f ca="1">IFERROR(__xludf.DUMMYFUNCTION("""COMPUTED_VALUE"""),"LINE 1")</f>
        <v>LINE 1</v>
      </c>
      <c r="I10" s="5">
        <f ca="1">IFERROR(__xludf.DUMMYFUNCTION("""COMPUTED_VALUE"""),20009915)</f>
        <v>20009915</v>
      </c>
      <c r="J10" s="5" t="str">
        <f ca="1">IFERROR(__xludf.DUMMYFUNCTION("""COMPUTED_VALUE"""),"ENFARDADORA")</f>
        <v>ENFARDADORA</v>
      </c>
      <c r="K10" s="5" t="str">
        <f ca="1">IFERROR(__xludf.DUMMYFUNCTION("""COMPUTED_VALUE"""),"Lozano Delgado Fausto Andres")</f>
        <v>Lozano Delgado Fausto Andres</v>
      </c>
    </row>
    <row r="11" spans="1:11" ht="13.2">
      <c r="A11" s="5" t="str">
        <f ca="1">IFERROR(__xludf.DUMMYFUNCTION("""COMPUTED_VALUE"""),"TURNO C")</f>
        <v>TURNO C</v>
      </c>
      <c r="B11" s="5">
        <f ca="1">IFERROR(__xludf.DUMMYFUNCTION("""COMPUTED_VALUE"""),23899723)</f>
        <v>23899723</v>
      </c>
      <c r="C11" s="14">
        <f ca="1">IFERROR(__xludf.DUMMYFUNCTION("""COMPUTED_VALUE"""),45352)</f>
        <v>45352</v>
      </c>
      <c r="D11" s="5" t="str">
        <f ca="1">IFERROR(__xludf.DUMMYFUNCTION("""COMPUTED_VALUE"""),"Botellas bajo nivel")</f>
        <v>Botellas bajo nivel</v>
      </c>
      <c r="E11" s="5">
        <f ca="1">IFERROR(__xludf.DUMMYFUNCTION("""COMPUTED_VALUE"""),0.08)</f>
        <v>0.08</v>
      </c>
      <c r="F11" s="15">
        <f ca="1">IFERROR(__xludf.DUMMYFUNCTION("""COMPUTED_VALUE"""),0.0486111111111111)</f>
        <v>4.8611111111111098E-2</v>
      </c>
      <c r="G11" s="15">
        <f ca="1">IFERROR(__xludf.DUMMYFUNCTION("""COMPUTED_VALUE"""),0.0520833333333333)</f>
        <v>5.2083333333333301E-2</v>
      </c>
      <c r="H11" s="5" t="str">
        <f ca="1">IFERROR(__xludf.DUMMYFUNCTION("""COMPUTED_VALUE"""),"LINE 1")</f>
        <v>LINE 1</v>
      </c>
      <c r="I11" s="5">
        <f ca="1">IFERROR(__xludf.DUMMYFUNCTION("""COMPUTED_VALUE"""),20019987)</f>
        <v>20019987</v>
      </c>
      <c r="J11" s="5" t="str">
        <f ca="1">IFERROR(__xludf.DUMMYFUNCTION("""COMPUTED_VALUE"""),"LLENADORA BOTELLAS PET")</f>
        <v>LLENADORA BOTELLAS PET</v>
      </c>
      <c r="K11" s="5" t="str">
        <f ca="1">IFERROR(__xludf.DUMMYFUNCTION("""COMPUTED_VALUE"""),"Aguado Lemos Luis Eyder")</f>
        <v>Aguado Lemos Luis Eyder</v>
      </c>
    </row>
    <row r="12" spans="1:11" ht="13.2">
      <c r="A12" s="5" t="str">
        <f ca="1">IFERROR(__xludf.DUMMYFUNCTION("""COMPUTED_VALUE"""),"TURNO C")</f>
        <v>TURNO C</v>
      </c>
      <c r="B12" s="5">
        <f ca="1">IFERROR(__xludf.DUMMYFUNCTION("""COMPUTED_VALUE"""),23899725)</f>
        <v>23899725</v>
      </c>
      <c r="C12" s="14">
        <f ca="1">IFERROR(__xludf.DUMMYFUNCTION("""COMPUTED_VALUE"""),45352)</f>
        <v>45352</v>
      </c>
      <c r="D12" s="5" t="str">
        <f ca="1">IFERROR(__xludf.DUMMYFUNCTION("""COMPUTED_VALUE"""),"Cambio rodamiento empujador")</f>
        <v>Cambio rodamiento empujador</v>
      </c>
      <c r="E12" s="5">
        <f ca="1">IFERROR(__xludf.DUMMYFUNCTION("""COMPUTED_VALUE"""),3.17)</f>
        <v>3.17</v>
      </c>
      <c r="F12" s="15">
        <f ca="1">IFERROR(__xludf.DUMMYFUNCTION("""COMPUTED_VALUE"""),0.0555555555555555)</f>
        <v>5.5555555555555497E-2</v>
      </c>
      <c r="G12" s="15">
        <f ca="1">IFERROR(__xludf.DUMMYFUNCTION("""COMPUTED_VALUE"""),0.1875)</f>
        <v>0.1875</v>
      </c>
      <c r="H12" s="5" t="str">
        <f ca="1">IFERROR(__xludf.DUMMYFUNCTION("""COMPUTED_VALUE"""),"LINE 1")</f>
        <v>LINE 1</v>
      </c>
      <c r="I12" s="5">
        <f ca="1">IFERROR(__xludf.DUMMYFUNCTION("""COMPUTED_VALUE"""),20027410)</f>
        <v>20027410</v>
      </c>
      <c r="J12" s="5" t="str">
        <f ca="1">IFERROR(__xludf.DUMMYFUNCTION("""COMPUTED_VALUE"""),"PALETIZADORA")</f>
        <v>PALETIZADORA</v>
      </c>
      <c r="K12" s="5" t="str">
        <f ca="1">IFERROR(__xludf.DUMMYFUNCTION("""COMPUTED_VALUE"""),"Astaiza Hernandez John Eyder")</f>
        <v>Astaiza Hernandez John Eyder</v>
      </c>
    </row>
    <row r="13" spans="1:11" ht="13.2">
      <c r="A13" s="5" t="str">
        <f ca="1">IFERROR(__xludf.DUMMYFUNCTION("""COMPUTED_VALUE"""),"TURNO C")</f>
        <v>TURNO C</v>
      </c>
      <c r="B13" s="5">
        <f ca="1">IFERROR(__xludf.DUMMYFUNCTION("""COMPUTED_VALUE"""),23899778)</f>
        <v>23899778</v>
      </c>
      <c r="C13" s="14">
        <f ca="1">IFERROR(__xludf.DUMMYFUNCTION("""COMPUTED_VALUE"""),45352)</f>
        <v>45352</v>
      </c>
      <c r="D13" s="5" t="str">
        <f ca="1">IFERROR(__xludf.DUMMYFUNCTION("""COMPUTED_VALUE"""),"Ajuste presiones")</f>
        <v>Ajuste presiones</v>
      </c>
      <c r="E13" s="5">
        <f ca="1">IFERROR(__xludf.DUMMYFUNCTION("""COMPUTED_VALUE"""),0.05)</f>
        <v>0.05</v>
      </c>
      <c r="F13" s="15">
        <f ca="1">IFERROR(__xludf.DUMMYFUNCTION("""COMPUTED_VALUE"""),0.229166666666666)</f>
        <v>0.22916666666666599</v>
      </c>
      <c r="G13" s="15">
        <f ca="1">IFERROR(__xludf.DUMMYFUNCTION("""COMPUTED_VALUE"""),0.231249999999999)</f>
        <v>0.23124999999999901</v>
      </c>
      <c r="H13" s="5" t="str">
        <f ca="1">IFERROR(__xludf.DUMMYFUNCTION("""COMPUTED_VALUE"""),"LINE 1")</f>
        <v>LINE 1</v>
      </c>
      <c r="I13" s="5">
        <f ca="1">IFERROR(__xludf.DUMMYFUNCTION("""COMPUTED_VALUE"""),20075387)</f>
        <v>20075387</v>
      </c>
      <c r="J13" s="5" t="str">
        <f ca="1">IFERROR(__xludf.DUMMYFUNCTION("""COMPUTED_VALUE"""),"TRANSPORTADORES DE ENVASE VACIO")</f>
        <v>TRANSPORTADORES DE ENVASE VACIO</v>
      </c>
      <c r="K13" s="5" t="str">
        <f ca="1">IFERROR(__xludf.DUMMYFUNCTION("""COMPUTED_VALUE"""),"Cristian Suaza")</f>
        <v>Cristian Suaza</v>
      </c>
    </row>
    <row r="14" spans="1:11" ht="13.2">
      <c r="A14" s="5" t="str">
        <f ca="1">IFERROR(__xludf.DUMMYFUNCTION("""COMPUTED_VALUE"""),"TURNO A")</f>
        <v>TURNO A</v>
      </c>
      <c r="B14" s="5">
        <f ca="1">IFERROR(__xludf.DUMMYFUNCTION("""COMPUTED_VALUE"""),23900709)</f>
        <v>23900709</v>
      </c>
      <c r="C14" s="14">
        <f ca="1">IFERROR(__xludf.DUMMYFUNCTION("""COMPUTED_VALUE"""),45353)</f>
        <v>45353</v>
      </c>
      <c r="D14" s="5" t="str">
        <f ca="1">IFERROR(__xludf.DUMMYFUNCTION("""COMPUTED_VALUE"""),"No prepara bebida, bebida bajo nivel")</f>
        <v>No prepara bebida, bebida bajo nivel</v>
      </c>
      <c r="E14" s="5">
        <f ca="1">IFERROR(__xludf.DUMMYFUNCTION("""COMPUTED_VALUE"""),0.25)</f>
        <v>0.25</v>
      </c>
      <c r="F14" s="15">
        <f ca="1">IFERROR(__xludf.DUMMYFUNCTION("""COMPUTED_VALUE"""),0.545138888888889)</f>
        <v>0.54513888888888895</v>
      </c>
      <c r="G14" s="15">
        <f ca="1">IFERROR(__xludf.DUMMYFUNCTION("""COMPUTED_VALUE"""),0.555555555555555)</f>
        <v>0.55555555555555503</v>
      </c>
      <c r="H14" s="5" t="str">
        <f ca="1">IFERROR(__xludf.DUMMYFUNCTION("""COMPUTED_VALUE"""),"LINE 1")</f>
        <v>LINE 1</v>
      </c>
      <c r="I14" s="5"/>
      <c r="J14" s="5" t="str">
        <f ca="1">IFERROR(__xludf.DUMMYFUNCTION("""COMPUTED_VALUE"""),"CARBOENFRIADOR/CONTIFLOW (MEZCLADORA)")</f>
        <v>CARBOENFRIADOR/CONTIFLOW (MEZCLADORA)</v>
      </c>
      <c r="K14" s="5" t="str">
        <f ca="1">IFERROR(__xludf.DUMMYFUNCTION("""COMPUTED_VALUE"""),"BLANCO")</f>
        <v>BLANCO</v>
      </c>
    </row>
    <row r="15" spans="1:11" ht="13.2">
      <c r="A15" s="5" t="str">
        <f ca="1">IFERROR(__xludf.DUMMYFUNCTION("""COMPUTED_VALUE"""),"TURNO A")</f>
        <v>TURNO A</v>
      </c>
      <c r="B15" s="5">
        <f ca="1">IFERROR(__xludf.DUMMYFUNCTION("""COMPUTED_VALUE"""),23900710)</f>
        <v>23900710</v>
      </c>
      <c r="C15" s="14">
        <f ca="1">IFERROR(__xludf.DUMMYFUNCTION("""COMPUTED_VALUE"""),45353)</f>
        <v>45353</v>
      </c>
      <c r="D15" s="5" t="str">
        <f ca="1">IFERROR(__xludf.DUMMYFUNCTION("""COMPUTED_VALUE"""),"Caida botellas mesa de plegado")</f>
        <v>Caida botellas mesa de plegado</v>
      </c>
      <c r="E15" s="5">
        <f ca="1">IFERROR(__xludf.DUMMYFUNCTION("""COMPUTED_VALUE"""),0.23)</f>
        <v>0.23</v>
      </c>
      <c r="F15" s="15">
        <f ca="1">IFERROR(__xludf.DUMMYFUNCTION("""COMPUTED_VALUE"""),0.5625)</f>
        <v>0.5625</v>
      </c>
      <c r="G15" s="15">
        <f ca="1">IFERROR(__xludf.DUMMYFUNCTION("""COMPUTED_VALUE"""),0.572222222222222)</f>
        <v>0.57222222222222197</v>
      </c>
      <c r="H15" s="5" t="str">
        <f ca="1">IFERROR(__xludf.DUMMYFUNCTION("""COMPUTED_VALUE"""),"LINE 1")</f>
        <v>LINE 1</v>
      </c>
      <c r="I15" s="5"/>
      <c r="J15" s="5" t="str">
        <f ca="1">IFERROR(__xludf.DUMMYFUNCTION("""COMPUTED_VALUE"""),"ENFARDADORA")</f>
        <v>ENFARDADORA</v>
      </c>
      <c r="K15" s="5" t="str">
        <f ca="1">IFERROR(__xludf.DUMMYFUNCTION("""COMPUTED_VALUE"""),"BLANCO")</f>
        <v>BLANCO</v>
      </c>
    </row>
    <row r="16" spans="1:11" ht="13.2">
      <c r="A16" s="5" t="str">
        <f ca="1">IFERROR(__xludf.DUMMYFUNCTION("""COMPUTED_VALUE"""),"TURNO B")</f>
        <v>TURNO B</v>
      </c>
      <c r="B16" s="5">
        <f ca="1">IFERROR(__xludf.DUMMYFUNCTION("""COMPUTED_VALUE"""),23900888)</f>
        <v>23900888</v>
      </c>
      <c r="C16" s="14">
        <f ca="1">IFERROR(__xludf.DUMMYFUNCTION("""COMPUTED_VALUE"""),45353)</f>
        <v>45353</v>
      </c>
      <c r="D16" s="5" t="str">
        <f ca="1">IFERROR(__xludf.DUMMYFUNCTION("""COMPUTED_VALUE"""),"Paquetes volteados en mesa de agrupacion")</f>
        <v>Paquetes volteados en mesa de agrupacion</v>
      </c>
      <c r="E16" s="5">
        <f ca="1">IFERROR(__xludf.DUMMYFUNCTION("""COMPUTED_VALUE"""),0.1)</f>
        <v>0.1</v>
      </c>
      <c r="F16" s="15">
        <f ca="1">IFERROR(__xludf.DUMMYFUNCTION("""COMPUTED_VALUE"""),0.666666666666666)</f>
        <v>0.66666666666666596</v>
      </c>
      <c r="G16" s="15">
        <f ca="1">IFERROR(__xludf.DUMMYFUNCTION("""COMPUTED_VALUE"""),0.670833333333333)</f>
        <v>0.67083333333333295</v>
      </c>
      <c r="H16" s="5" t="str">
        <f ca="1">IFERROR(__xludf.DUMMYFUNCTION("""COMPUTED_VALUE"""),"LINE 1")</f>
        <v>LINE 1</v>
      </c>
      <c r="I16" s="5"/>
      <c r="J16" s="5" t="str">
        <f ca="1">IFERROR(__xludf.DUMMYFUNCTION("""COMPUTED_VALUE"""),"PALETIZADORA")</f>
        <v>PALETIZADORA</v>
      </c>
      <c r="K16" s="5" t="str">
        <f ca="1">IFERROR(__xludf.DUMMYFUNCTION("""COMPUTED_VALUE"""),"BLANCO")</f>
        <v>BLANCO</v>
      </c>
    </row>
    <row r="17" spans="1:11" ht="13.2">
      <c r="A17" s="5" t="str">
        <f ca="1">IFERROR(__xludf.DUMMYFUNCTION("""COMPUTED_VALUE"""),"TURNO B")</f>
        <v>TURNO B</v>
      </c>
      <c r="B17" s="5">
        <f ca="1">IFERROR(__xludf.DUMMYFUNCTION("""COMPUTED_VALUE"""),23900980)</f>
        <v>23900980</v>
      </c>
      <c r="C17" s="14">
        <f ca="1">IFERROR(__xludf.DUMMYFUNCTION("""COMPUTED_VALUE"""),45353)</f>
        <v>45353</v>
      </c>
      <c r="D17" s="5" t="str">
        <f ca="1">IFERROR(__xludf.DUMMYFUNCTION("""COMPUTED_VALUE"""),"Botellas sin tapa")</f>
        <v>Botellas sin tapa</v>
      </c>
      <c r="E17" s="5">
        <f ca="1">IFERROR(__xludf.DUMMYFUNCTION("""COMPUTED_VALUE"""),0.27)</f>
        <v>0.27</v>
      </c>
      <c r="F17" s="15">
        <f ca="1">IFERROR(__xludf.DUMMYFUNCTION("""COMPUTED_VALUE"""),0.597222222222222)</f>
        <v>0.59722222222222199</v>
      </c>
      <c r="G17" s="15">
        <f ca="1">IFERROR(__xludf.DUMMYFUNCTION("""COMPUTED_VALUE"""),0.608333333333333)</f>
        <v>0.60833333333333295</v>
      </c>
      <c r="H17" s="5" t="str">
        <f ca="1">IFERROR(__xludf.DUMMYFUNCTION("""COMPUTED_VALUE"""),"LINE 1")</f>
        <v>LINE 1</v>
      </c>
      <c r="I17" s="5"/>
      <c r="J17" s="5" t="str">
        <f ca="1">IFERROR(__xludf.DUMMYFUNCTION("""COMPUTED_VALUE"""),"LLENADORA BOTELLAS PET")</f>
        <v>LLENADORA BOTELLAS PET</v>
      </c>
      <c r="K17" s="5" t="str">
        <f ca="1">IFERROR(__xludf.DUMMYFUNCTION("""COMPUTED_VALUE"""),"BLANCO")</f>
        <v>BLANCO</v>
      </c>
    </row>
    <row r="18" spans="1:11" ht="13.2">
      <c r="A18" s="5" t="str">
        <f ca="1">IFERROR(__xludf.DUMMYFUNCTION("""COMPUTED_VALUE"""),"TURNO C")</f>
        <v>TURNO C</v>
      </c>
      <c r="B18" s="5">
        <f ca="1">IFERROR(__xludf.DUMMYFUNCTION("""COMPUTED_VALUE"""),23901142)</f>
        <v>23901142</v>
      </c>
      <c r="C18" s="14">
        <f ca="1">IFERROR(__xludf.DUMMYFUNCTION("""COMPUTED_VALUE"""),45353)</f>
        <v>45353</v>
      </c>
      <c r="D18" s="5" t="str">
        <f ca="1">IFERROR(__xludf.DUMMYFUNCTION("""COMPUTED_VALUE"""),"Botella mal posicionada")</f>
        <v>Botella mal posicionada</v>
      </c>
      <c r="E18" s="5">
        <f ca="1">IFERROR(__xludf.DUMMYFUNCTION("""COMPUTED_VALUE"""),0.25)</f>
        <v>0.25</v>
      </c>
      <c r="F18" s="15">
        <f ca="1">IFERROR(__xludf.DUMMYFUNCTION("""COMPUTED_VALUE"""),0.0347222222222222)</f>
        <v>3.4722222222222203E-2</v>
      </c>
      <c r="G18" s="15">
        <f ca="1">IFERROR(__xludf.DUMMYFUNCTION("""COMPUTED_VALUE"""),0.0451388888888888)</f>
        <v>4.5138888888888798E-2</v>
      </c>
      <c r="H18" s="5" t="str">
        <f ca="1">IFERROR(__xludf.DUMMYFUNCTION("""COMPUTED_VALUE"""),"LINE 1")</f>
        <v>LINE 1</v>
      </c>
      <c r="I18" s="5">
        <f ca="1">IFERROR(__xludf.DUMMYFUNCTION("""COMPUTED_VALUE"""),20009721)</f>
        <v>20009721</v>
      </c>
      <c r="J18" s="5" t="str">
        <f ca="1">IFERROR(__xludf.DUMMYFUNCTION("""COMPUTED_VALUE"""),"ETIQUETADORA ENVOLVENTE")</f>
        <v>ETIQUETADORA ENVOLVENTE</v>
      </c>
      <c r="K18" s="5" t="str">
        <f ca="1">IFERROR(__xludf.DUMMYFUNCTION("""COMPUTED_VALUE"""),"Alejandro Davila")</f>
        <v>Alejandro Davila</v>
      </c>
    </row>
    <row r="19" spans="1:11" ht="13.2">
      <c r="A19" s="5" t="str">
        <f ca="1">IFERROR(__xludf.DUMMYFUNCTION("""COMPUTED_VALUE"""),"TURNO C")</f>
        <v>TURNO C</v>
      </c>
      <c r="B19" s="5">
        <f ca="1">IFERROR(__xludf.DUMMYFUNCTION("""COMPUTED_VALUE"""),23901144)</f>
        <v>23901144</v>
      </c>
      <c r="C19" s="14">
        <f ca="1">IFERROR(__xludf.DUMMYFUNCTION("""COMPUTED_VALUE"""),45353)</f>
        <v>45353</v>
      </c>
      <c r="D19" s="5" t="str">
        <f ca="1">IFERROR(__xludf.DUMMYFUNCTION("""COMPUTED_VALUE"""),"Atascamiento botellas")</f>
        <v>Atascamiento botellas</v>
      </c>
      <c r="E19" s="5">
        <f ca="1">IFERROR(__xludf.DUMMYFUNCTION("""COMPUTED_VALUE"""),0.1)</f>
        <v>0.1</v>
      </c>
      <c r="F19" s="15">
        <f ca="1">IFERROR(__xludf.DUMMYFUNCTION("""COMPUTED_VALUE"""),0.05625)</f>
        <v>5.6250000000000001E-2</v>
      </c>
      <c r="G19" s="15">
        <f ca="1">IFERROR(__xludf.DUMMYFUNCTION("""COMPUTED_VALUE"""),0.0604166666666666)</f>
        <v>6.0416666666666598E-2</v>
      </c>
      <c r="H19" s="5" t="str">
        <f ca="1">IFERROR(__xludf.DUMMYFUNCTION("""COMPUTED_VALUE"""),"LINE 1")</f>
        <v>LINE 1</v>
      </c>
      <c r="I19" s="5">
        <f ca="1">IFERROR(__xludf.DUMMYFUNCTION("""COMPUTED_VALUE"""),20009721)</f>
        <v>20009721</v>
      </c>
      <c r="J19" s="5" t="str">
        <f ca="1">IFERROR(__xludf.DUMMYFUNCTION("""COMPUTED_VALUE"""),"TRANSPORTADORES DE ENVASE VACIO")</f>
        <v>TRANSPORTADORES DE ENVASE VACIO</v>
      </c>
      <c r="K19" s="5" t="str">
        <f ca="1">IFERROR(__xludf.DUMMYFUNCTION("""COMPUTED_VALUE"""),"Alejandro Davila")</f>
        <v>Alejandro Davila</v>
      </c>
    </row>
    <row r="20" spans="1:11" ht="13.2">
      <c r="A20" s="5" t="str">
        <f ca="1">IFERROR(__xludf.DUMMYFUNCTION("""COMPUTED_VALUE"""),"TURNO C")</f>
        <v>TURNO C</v>
      </c>
      <c r="B20" s="5">
        <f ca="1">IFERROR(__xludf.DUMMYFUNCTION("""COMPUTED_VALUE"""),23901145)</f>
        <v>23901145</v>
      </c>
      <c r="C20" s="14">
        <f ca="1">IFERROR(__xludf.DUMMYFUNCTION("""COMPUTED_VALUE"""),45353)</f>
        <v>45353</v>
      </c>
      <c r="D20" s="5" t="str">
        <f ca="1">IFERROR(__xludf.DUMMYFUNCTION("""COMPUTED_VALUE"""),"Paquetes volteados en mesa de agrupacion")</f>
        <v>Paquetes volteados en mesa de agrupacion</v>
      </c>
      <c r="E20" s="5">
        <f ca="1">IFERROR(__xludf.DUMMYFUNCTION("""COMPUTED_VALUE"""),0.17)</f>
        <v>0.17</v>
      </c>
      <c r="F20" s="15">
        <f ca="1">IFERROR(__xludf.DUMMYFUNCTION("""COMPUTED_VALUE"""),0.0694444444444444)</f>
        <v>6.9444444444444406E-2</v>
      </c>
      <c r="G20" s="15">
        <f ca="1">IFERROR(__xludf.DUMMYFUNCTION("""COMPUTED_VALUE"""),0.0763888888888889)</f>
        <v>7.6388888888888895E-2</v>
      </c>
      <c r="H20" s="5" t="str">
        <f ca="1">IFERROR(__xludf.DUMMYFUNCTION("""COMPUTED_VALUE"""),"LINE 1")</f>
        <v>LINE 1</v>
      </c>
      <c r="I20" s="5">
        <f ca="1">IFERROR(__xludf.DUMMYFUNCTION("""COMPUTED_VALUE"""),20084469)</f>
        <v>20084469</v>
      </c>
      <c r="J20" s="5" t="str">
        <f ca="1">IFERROR(__xludf.DUMMYFUNCTION("""COMPUTED_VALUE"""),"PALETIZADORA")</f>
        <v>PALETIZADORA</v>
      </c>
      <c r="K20" s="5" t="str">
        <f ca="1">IFERROR(__xludf.DUMMYFUNCTION("""COMPUTED_VALUE"""),"Mauricio Murillo Arrollo")</f>
        <v>Mauricio Murillo Arrollo</v>
      </c>
    </row>
    <row r="21" spans="1:11" ht="13.2">
      <c r="A21" s="5" t="str">
        <f ca="1">IFERROR(__xludf.DUMMYFUNCTION("""COMPUTED_VALUE"""),"TURNO C")</f>
        <v>TURNO C</v>
      </c>
      <c r="B21" s="5">
        <f ca="1">IFERROR(__xludf.DUMMYFUNCTION("""COMPUTED_VALUE"""),23901147)</f>
        <v>23901147</v>
      </c>
      <c r="C21" s="14">
        <f ca="1">IFERROR(__xludf.DUMMYFUNCTION("""COMPUTED_VALUE"""),45353)</f>
        <v>45353</v>
      </c>
      <c r="D21" s="5" t="str">
        <f ca="1">IFERROR(__xludf.DUMMYFUNCTION("""COMPUTED_VALUE"""),"Atascamiento botella")</f>
        <v>Atascamiento botella</v>
      </c>
      <c r="E21" s="5">
        <f ca="1">IFERROR(__xludf.DUMMYFUNCTION("""COMPUTED_VALUE"""),0.1)</f>
        <v>0.1</v>
      </c>
      <c r="F21" s="15">
        <f ca="1">IFERROR(__xludf.DUMMYFUNCTION("""COMPUTED_VALUE"""),0.0944444444444444)</f>
        <v>9.44444444444444E-2</v>
      </c>
      <c r="G21" s="15">
        <f ca="1">IFERROR(__xludf.DUMMYFUNCTION("""COMPUTED_VALUE"""),0.0986111111111111)</f>
        <v>9.8611111111111094E-2</v>
      </c>
      <c r="H21" s="5" t="str">
        <f ca="1">IFERROR(__xludf.DUMMYFUNCTION("""COMPUTED_VALUE"""),"LINE 1")</f>
        <v>LINE 1</v>
      </c>
      <c r="I21" s="5">
        <f ca="1">IFERROR(__xludf.DUMMYFUNCTION("""COMPUTED_VALUE"""),20009721)</f>
        <v>20009721</v>
      </c>
      <c r="J21" s="5" t="str">
        <f ca="1">IFERROR(__xludf.DUMMYFUNCTION("""COMPUTED_VALUE"""),"TRANSPORTADORES DE ENVASE VACIO")</f>
        <v>TRANSPORTADORES DE ENVASE VACIO</v>
      </c>
      <c r="K21" s="5" t="str">
        <f ca="1">IFERROR(__xludf.DUMMYFUNCTION("""COMPUTED_VALUE"""),"Alejandro Davila")</f>
        <v>Alejandro Davila</v>
      </c>
    </row>
    <row r="22" spans="1:11" ht="13.2">
      <c r="A22" s="5" t="str">
        <f ca="1">IFERROR(__xludf.DUMMYFUNCTION("""COMPUTED_VALUE"""),"TURNO C")</f>
        <v>TURNO C</v>
      </c>
      <c r="B22" s="5">
        <f ca="1">IFERROR(__xludf.DUMMYFUNCTION("""COMPUTED_VALUE"""),23901148)</f>
        <v>23901148</v>
      </c>
      <c r="C22" s="14">
        <f ca="1">IFERROR(__xludf.DUMMYFUNCTION("""COMPUTED_VALUE"""),45353)</f>
        <v>45353</v>
      </c>
      <c r="D22" s="5" t="str">
        <f ca="1">IFERROR(__xludf.DUMMYFUNCTION("""COMPUTED_VALUE"""),"Botella mal posicionada")</f>
        <v>Botella mal posicionada</v>
      </c>
      <c r="E22" s="5">
        <f ca="1">IFERROR(__xludf.DUMMYFUNCTION("""COMPUTED_VALUE"""),0.17)</f>
        <v>0.17</v>
      </c>
      <c r="F22" s="15">
        <f ca="1">IFERROR(__xludf.DUMMYFUNCTION("""COMPUTED_VALUE"""),0.109027777777777)</f>
        <v>0.109027777777777</v>
      </c>
      <c r="G22" s="15">
        <f ca="1">IFERROR(__xludf.DUMMYFUNCTION("""COMPUTED_VALUE"""),0.115972222222222)</f>
        <v>0.115972222222222</v>
      </c>
      <c r="H22" s="5" t="str">
        <f ca="1">IFERROR(__xludf.DUMMYFUNCTION("""COMPUTED_VALUE"""),"LINE 1")</f>
        <v>LINE 1</v>
      </c>
      <c r="I22" s="5">
        <f ca="1">IFERROR(__xludf.DUMMYFUNCTION("""COMPUTED_VALUE"""),20009721)</f>
        <v>20009721</v>
      </c>
      <c r="J22" s="5" t="str">
        <f ca="1">IFERROR(__xludf.DUMMYFUNCTION("""COMPUTED_VALUE"""),"ETIQUETADORA ENVOLVENTE")</f>
        <v>ETIQUETADORA ENVOLVENTE</v>
      </c>
      <c r="K22" s="5" t="str">
        <f ca="1">IFERROR(__xludf.DUMMYFUNCTION("""COMPUTED_VALUE"""),"Alejandro Davila")</f>
        <v>Alejandro Davila</v>
      </c>
    </row>
    <row r="23" spans="1:11" ht="13.2">
      <c r="A23" s="5" t="str">
        <f ca="1">IFERROR(__xludf.DUMMYFUNCTION("""COMPUTED_VALUE"""),"TURNO C")</f>
        <v>TURNO C</v>
      </c>
      <c r="B23" s="5">
        <f ca="1">IFERROR(__xludf.DUMMYFUNCTION("""COMPUTED_VALUE"""),23901190)</f>
        <v>23901190</v>
      </c>
      <c r="C23" s="14">
        <f ca="1">IFERROR(__xludf.DUMMYFUNCTION("""COMPUTED_VALUE"""),45353)</f>
        <v>45353</v>
      </c>
      <c r="D23" s="5" t="str">
        <f ca="1">IFERROR(__xludf.DUMMYFUNCTION("""COMPUTED_VALUE"""),"Ajuste de estrella de salida")</f>
        <v>Ajuste de estrella de salida</v>
      </c>
      <c r="E23" s="5">
        <f ca="1">IFERROR(__xludf.DUMMYFUNCTION("""COMPUTED_VALUE"""),0.53)</f>
        <v>0.53</v>
      </c>
      <c r="F23" s="15">
        <f ca="1">IFERROR(__xludf.DUMMYFUNCTION("""COMPUTED_VALUE"""),0.131944444444444)</f>
        <v>0.131944444444444</v>
      </c>
      <c r="G23" s="15">
        <f ca="1">IFERROR(__xludf.DUMMYFUNCTION("""COMPUTED_VALUE"""),0.154166666666666)</f>
        <v>0.15416666666666601</v>
      </c>
      <c r="H23" s="5" t="str">
        <f ca="1">IFERROR(__xludf.DUMMYFUNCTION("""COMPUTED_VALUE"""),"LINE 1")</f>
        <v>LINE 1</v>
      </c>
      <c r="I23" s="5">
        <f ca="1">IFERROR(__xludf.DUMMYFUNCTION("""COMPUTED_VALUE"""),20009721)</f>
        <v>20009721</v>
      </c>
      <c r="J23" s="5" t="str">
        <f ca="1">IFERROR(__xludf.DUMMYFUNCTION("""COMPUTED_VALUE"""),"ETIQUETADORA ENVOLVENTE")</f>
        <v>ETIQUETADORA ENVOLVENTE</v>
      </c>
      <c r="K23" s="5" t="str">
        <f ca="1">IFERROR(__xludf.DUMMYFUNCTION("""COMPUTED_VALUE"""),"Alejandro Davila")</f>
        <v>Alejandro Davila</v>
      </c>
    </row>
    <row r="24" spans="1:11" ht="13.2">
      <c r="A24" s="5" t="str">
        <f ca="1">IFERROR(__xludf.DUMMYFUNCTION("""COMPUTED_VALUE"""),"TURNO C")</f>
        <v>TURNO C</v>
      </c>
      <c r="B24" s="5">
        <f ca="1">IFERROR(__xludf.DUMMYFUNCTION("""COMPUTED_VALUE"""),23901213)</f>
        <v>23901213</v>
      </c>
      <c r="C24" s="14">
        <f ca="1">IFERROR(__xludf.DUMMYFUNCTION("""COMPUTED_VALUE"""),45353)</f>
        <v>45353</v>
      </c>
      <c r="D24" s="5" t="str">
        <f ca="1">IFERROR(__xludf.DUMMYFUNCTION("""COMPUTED_VALUE"""),"Atascamiento de estiba.")</f>
        <v>Atascamiento de estiba.</v>
      </c>
      <c r="E24" s="5">
        <f ca="1">IFERROR(__xludf.DUMMYFUNCTION("""COMPUTED_VALUE"""),0.12)</f>
        <v>0.12</v>
      </c>
      <c r="F24" s="15">
        <f ca="1">IFERROR(__xludf.DUMMYFUNCTION("""COMPUTED_VALUE"""),0.176388888888888)</f>
        <v>0.17638888888888801</v>
      </c>
      <c r="G24" s="15">
        <f ca="1">IFERROR(__xludf.DUMMYFUNCTION("""COMPUTED_VALUE"""),0.18125)</f>
        <v>0.18124999999999999</v>
      </c>
      <c r="H24" s="5" t="str">
        <f ca="1">IFERROR(__xludf.DUMMYFUNCTION("""COMPUTED_VALUE"""),"LINE 1")</f>
        <v>LINE 1</v>
      </c>
      <c r="I24" s="5">
        <f ca="1">IFERROR(__xludf.DUMMYFUNCTION("""COMPUTED_VALUE"""),20084469)</f>
        <v>20084469</v>
      </c>
      <c r="J24" s="5" t="str">
        <f ca="1">IFERROR(__xludf.DUMMYFUNCTION("""COMPUTED_VALUE"""),"TRANSPORTADOR DE ESTIBAS")</f>
        <v>TRANSPORTADOR DE ESTIBAS</v>
      </c>
      <c r="K24" s="5" t="str">
        <f ca="1">IFERROR(__xludf.DUMMYFUNCTION("""COMPUTED_VALUE"""),"Mauricio Murillo Arrollo")</f>
        <v>Mauricio Murillo Arrollo</v>
      </c>
    </row>
    <row r="25" spans="1:11" ht="13.2">
      <c r="A25" s="5" t="str">
        <f ca="1">IFERROR(__xludf.DUMMYFUNCTION("""COMPUTED_VALUE"""),"TURNO C")</f>
        <v>TURNO C</v>
      </c>
      <c r="B25" s="5">
        <f ca="1">IFERROR(__xludf.DUMMYFUNCTION("""COMPUTED_VALUE"""),23901218)</f>
        <v>23901218</v>
      </c>
      <c r="C25" s="14">
        <f ca="1">IFERROR(__xludf.DUMMYFUNCTION("""COMPUTED_VALUE"""),45353)</f>
        <v>45353</v>
      </c>
      <c r="D25" s="5" t="str">
        <f ca="1">IFERROR(__xludf.DUMMYFUNCTION("""COMPUTED_VALUE"""),"Ausencia conteo paquetes")</f>
        <v>Ausencia conteo paquetes</v>
      </c>
      <c r="E25" s="5">
        <f ca="1">IFERROR(__xludf.DUMMYFUNCTION("""COMPUTED_VALUE"""),0.17)</f>
        <v>0.17</v>
      </c>
      <c r="F25" s="15">
        <f ca="1">IFERROR(__xludf.DUMMYFUNCTION("""COMPUTED_VALUE"""),0.211805555555555)</f>
        <v>0.211805555555555</v>
      </c>
      <c r="G25" s="15">
        <f ca="1">IFERROR(__xludf.DUMMYFUNCTION("""COMPUTED_VALUE"""),0.21875)</f>
        <v>0.21875</v>
      </c>
      <c r="H25" s="5" t="str">
        <f ca="1">IFERROR(__xludf.DUMMYFUNCTION("""COMPUTED_VALUE"""),"LINE 1")</f>
        <v>LINE 1</v>
      </c>
      <c r="I25" s="5">
        <f ca="1">IFERROR(__xludf.DUMMYFUNCTION("""COMPUTED_VALUE"""),20084469)</f>
        <v>20084469</v>
      </c>
      <c r="J25" s="5" t="str">
        <f ca="1">IFERROR(__xludf.DUMMYFUNCTION("""COMPUTED_VALUE"""),"PALETIZADORA")</f>
        <v>PALETIZADORA</v>
      </c>
      <c r="K25" s="5" t="str">
        <f ca="1">IFERROR(__xludf.DUMMYFUNCTION("""COMPUTED_VALUE"""),"Mauricio Murillo Arrollo")</f>
        <v>Mauricio Murillo Arrollo</v>
      </c>
    </row>
    <row r="26" spans="1:11" ht="13.2">
      <c r="A26" s="5" t="str">
        <f ca="1">IFERROR(__xludf.DUMMYFUNCTION("""COMPUTED_VALUE"""),"TURNO A")</f>
        <v>TURNO A</v>
      </c>
      <c r="B26" s="5">
        <f ca="1">IFERROR(__xludf.DUMMYFUNCTION("""COMPUTED_VALUE"""),23901231)</f>
        <v>23901231</v>
      </c>
      <c r="C26" s="14">
        <f ca="1">IFERROR(__xludf.DUMMYFUNCTION("""COMPUTED_VALUE"""),45354)</f>
        <v>45354</v>
      </c>
      <c r="D26" s="5" t="str">
        <f ca="1">IFERROR(__xludf.DUMMYFUNCTION("""COMPUTED_VALUE"""),"Paquetes volteados en mesa de agrupacion")</f>
        <v>Paquetes volteados en mesa de agrupacion</v>
      </c>
      <c r="E26" s="5">
        <f ca="1">IFERROR(__xludf.DUMMYFUNCTION("""COMPUTED_VALUE"""),0.08)</f>
        <v>0.08</v>
      </c>
      <c r="F26" s="15">
        <f ca="1">IFERROR(__xludf.DUMMYFUNCTION("""COMPUTED_VALUE"""),0.298611111111111)</f>
        <v>0.29861111111111099</v>
      </c>
      <c r="G26" s="15">
        <f ca="1">IFERROR(__xludf.DUMMYFUNCTION("""COMPUTED_VALUE"""),0.302083333333333)</f>
        <v>0.30208333333333298</v>
      </c>
      <c r="H26" s="5" t="str">
        <f ca="1">IFERROR(__xludf.DUMMYFUNCTION("""COMPUTED_VALUE"""),"LINE 1")</f>
        <v>LINE 1</v>
      </c>
      <c r="I26" s="5">
        <f ca="1">IFERROR(__xludf.DUMMYFUNCTION("""COMPUTED_VALUE"""),20062740)</f>
        <v>20062740</v>
      </c>
      <c r="J26" s="5" t="str">
        <f ca="1">IFERROR(__xludf.DUMMYFUNCTION("""COMPUTED_VALUE"""),"PALETIZADORA")</f>
        <v>PALETIZADORA</v>
      </c>
      <c r="K26" s="5" t="str">
        <f ca="1">IFERROR(__xludf.DUMMYFUNCTION("""COMPUTED_VALUE"""),"Hector Toro")</f>
        <v>Hector Toro</v>
      </c>
    </row>
    <row r="27" spans="1:11" ht="13.2">
      <c r="A27" s="5" t="str">
        <f ca="1">IFERROR(__xludf.DUMMYFUNCTION("""COMPUTED_VALUE"""),"TURNO A")</f>
        <v>TURNO A</v>
      </c>
      <c r="B27" s="5">
        <f ca="1">IFERROR(__xludf.DUMMYFUNCTION("""COMPUTED_VALUE"""),23901232)</f>
        <v>23901232</v>
      </c>
      <c r="C27" s="14">
        <f ca="1">IFERROR(__xludf.DUMMYFUNCTION("""COMPUTED_VALUE"""),45354)</f>
        <v>45354</v>
      </c>
      <c r="D27" s="5" t="str">
        <f ca="1">IFERROR(__xludf.DUMMYFUNCTION("""COMPUTED_VALUE"""),"Caida botellas mesa de plegado")</f>
        <v>Caida botellas mesa de plegado</v>
      </c>
      <c r="E27" s="5">
        <f ca="1">IFERROR(__xludf.DUMMYFUNCTION("""COMPUTED_VALUE"""),0.1)</f>
        <v>0.1</v>
      </c>
      <c r="F27" s="15">
        <f ca="1">IFERROR(__xludf.DUMMYFUNCTION("""COMPUTED_VALUE"""),0.302083333333333)</f>
        <v>0.30208333333333298</v>
      </c>
      <c r="G27" s="15">
        <f ca="1">IFERROR(__xludf.DUMMYFUNCTION("""COMPUTED_VALUE"""),0.306249999999999)</f>
        <v>0.30624999999999902</v>
      </c>
      <c r="H27" s="5" t="str">
        <f ca="1">IFERROR(__xludf.DUMMYFUNCTION("""COMPUTED_VALUE"""),"LINE 1")</f>
        <v>LINE 1</v>
      </c>
      <c r="I27" s="5">
        <f ca="1">IFERROR(__xludf.DUMMYFUNCTION("""COMPUTED_VALUE"""),20009879)</f>
        <v>20009879</v>
      </c>
      <c r="J27" s="5" t="str">
        <f ca="1">IFERROR(__xludf.DUMMYFUNCTION("""COMPUTED_VALUE"""),"ENFARDADORA")</f>
        <v>ENFARDADORA</v>
      </c>
      <c r="K27" s="5" t="str">
        <f ca="1">IFERROR(__xludf.DUMMYFUNCTION("""COMPUTED_VALUE"""),"Andres Leon")</f>
        <v>Andres Leon</v>
      </c>
    </row>
    <row r="28" spans="1:11" ht="13.2">
      <c r="A28" s="5" t="str">
        <f ca="1">IFERROR(__xludf.DUMMYFUNCTION("""COMPUTED_VALUE"""),"TURNO A")</f>
        <v>TURNO A</v>
      </c>
      <c r="B28" s="5">
        <f ca="1">IFERROR(__xludf.DUMMYFUNCTION("""COMPUTED_VALUE"""),23901237)</f>
        <v>23901237</v>
      </c>
      <c r="C28" s="14">
        <f ca="1">IFERROR(__xludf.DUMMYFUNCTION("""COMPUTED_VALUE"""),45354)</f>
        <v>45354</v>
      </c>
      <c r="D28" s="5" t="str">
        <f ca="1">IFERROR(__xludf.DUMMYFUNCTION("""COMPUTED_VALUE"""),"Caida botellas en sistema clasificador")</f>
        <v>Caida botellas en sistema clasificador</v>
      </c>
      <c r="E28" s="5">
        <f ca="1">IFERROR(__xludf.DUMMYFUNCTION("""COMPUTED_VALUE"""),0.08)</f>
        <v>0.08</v>
      </c>
      <c r="F28" s="15">
        <f ca="1">IFERROR(__xludf.DUMMYFUNCTION("""COMPUTED_VALUE"""),0.357638888888888)</f>
        <v>0.35763888888888801</v>
      </c>
      <c r="G28" s="15">
        <f ca="1">IFERROR(__xludf.DUMMYFUNCTION("""COMPUTED_VALUE"""),0.361111111111111)</f>
        <v>0.36111111111111099</v>
      </c>
      <c r="H28" s="5" t="str">
        <f ca="1">IFERROR(__xludf.DUMMYFUNCTION("""COMPUTED_VALUE"""),"LINE 1")</f>
        <v>LINE 1</v>
      </c>
      <c r="I28" s="5">
        <f ca="1">IFERROR(__xludf.DUMMYFUNCTION("""COMPUTED_VALUE"""),20009879)</f>
        <v>20009879</v>
      </c>
      <c r="J28" s="5" t="str">
        <f ca="1">IFERROR(__xludf.DUMMYFUNCTION("""COMPUTED_VALUE"""),"ENFARDADORA")</f>
        <v>ENFARDADORA</v>
      </c>
      <c r="K28" s="5" t="str">
        <f ca="1">IFERROR(__xludf.DUMMYFUNCTION("""COMPUTED_VALUE"""),"Andres Leon")</f>
        <v>Andres Leon</v>
      </c>
    </row>
    <row r="29" spans="1:11" ht="13.2">
      <c r="A29" s="5" t="str">
        <f ca="1">IFERROR(__xludf.DUMMYFUNCTION("""COMPUTED_VALUE"""),"TURNO A")</f>
        <v>TURNO A</v>
      </c>
      <c r="B29" s="5">
        <f ca="1">IFERROR(__xludf.DUMMYFUNCTION("""COMPUTED_VALUE"""),23901238)</f>
        <v>23901238</v>
      </c>
      <c r="C29" s="14">
        <f ca="1">IFERROR(__xludf.DUMMYFUNCTION("""COMPUTED_VALUE"""),45354)</f>
        <v>45354</v>
      </c>
      <c r="D29" s="5" t="str">
        <f ca="1">IFERROR(__xludf.DUMMYFUNCTION("""COMPUTED_VALUE"""),"Ajuste de receta en llenado.")</f>
        <v>Ajuste de receta en llenado.</v>
      </c>
      <c r="E29" s="5">
        <f ca="1">IFERROR(__xludf.DUMMYFUNCTION("""COMPUTED_VALUE"""),0.65)</f>
        <v>0.65</v>
      </c>
      <c r="F29" s="15">
        <f ca="1">IFERROR(__xludf.DUMMYFUNCTION("""COMPUTED_VALUE"""),0.323611111111111)</f>
        <v>0.32361111111111102</v>
      </c>
      <c r="G29" s="15">
        <f ca="1">IFERROR(__xludf.DUMMYFUNCTION("""COMPUTED_VALUE"""),0.350694444444444)</f>
        <v>0.35069444444444398</v>
      </c>
      <c r="H29" s="5" t="str">
        <f ca="1">IFERROR(__xludf.DUMMYFUNCTION("""COMPUTED_VALUE"""),"LINE 1")</f>
        <v>LINE 1</v>
      </c>
      <c r="I29" s="5">
        <f ca="1">IFERROR(__xludf.DUMMYFUNCTION("""COMPUTED_VALUE"""),20082152)</f>
        <v>20082152</v>
      </c>
      <c r="J29" s="5" t="str">
        <f ca="1">IFERROR(__xludf.DUMMYFUNCTION("""COMPUTED_VALUE"""),"LLENADORA BOTELLAS PET")</f>
        <v>LLENADORA BOTELLAS PET</v>
      </c>
      <c r="K29" s="5" t="str">
        <f ca="1">IFERROR(__xludf.DUMMYFUNCTION("""COMPUTED_VALUE"""),"Ferney Ramos")</f>
        <v>Ferney Ramos</v>
      </c>
    </row>
    <row r="30" spans="1:11" ht="13.2">
      <c r="A30" s="5" t="str">
        <f ca="1">IFERROR(__xludf.DUMMYFUNCTION("""COMPUTED_VALUE"""),"TURNO A")</f>
        <v>TURNO A</v>
      </c>
      <c r="B30" s="5">
        <f ca="1">IFERROR(__xludf.DUMMYFUNCTION("""COMPUTED_VALUE"""),23901259)</f>
        <v>23901259</v>
      </c>
      <c r="C30" s="14">
        <f ca="1">IFERROR(__xludf.DUMMYFUNCTION("""COMPUTED_VALUE"""),45354)</f>
        <v>45354</v>
      </c>
      <c r="D30" s="5" t="str">
        <f ca="1">IFERROR(__xludf.DUMMYFUNCTION("""COMPUTED_VALUE"""),"Ajuste sensor codificador")</f>
        <v>Ajuste sensor codificador</v>
      </c>
      <c r="E30" s="5">
        <f ca="1">IFERROR(__xludf.DUMMYFUNCTION("""COMPUTED_VALUE"""),0.3)</f>
        <v>0.3</v>
      </c>
      <c r="F30" s="15">
        <f ca="1">IFERROR(__xludf.DUMMYFUNCTION("""COMPUTED_VALUE"""),0.375)</f>
        <v>0.375</v>
      </c>
      <c r="G30" s="15">
        <f ca="1">IFERROR(__xludf.DUMMYFUNCTION("""COMPUTED_VALUE"""),0.3875)</f>
        <v>0.38750000000000001</v>
      </c>
      <c r="H30" s="5" t="str">
        <f ca="1">IFERROR(__xludf.DUMMYFUNCTION("""COMPUTED_VALUE"""),"LINE 1")</f>
        <v>LINE 1</v>
      </c>
      <c r="I30" s="5">
        <f ca="1">IFERROR(__xludf.DUMMYFUNCTION("""COMPUTED_VALUE"""),20082152)</f>
        <v>20082152</v>
      </c>
      <c r="J30" s="5" t="str">
        <f ca="1">IFERROR(__xludf.DUMMYFUNCTION("""COMPUTED_VALUE"""),"CODIFICADOR DE BOTELLAS")</f>
        <v>CODIFICADOR DE BOTELLAS</v>
      </c>
      <c r="K30" s="5" t="str">
        <f ca="1">IFERROR(__xludf.DUMMYFUNCTION("""COMPUTED_VALUE"""),"Ferney Ramos")</f>
        <v>Ferney Ramos</v>
      </c>
    </row>
    <row r="31" spans="1:11" ht="13.2">
      <c r="A31" s="5" t="str">
        <f ca="1">IFERROR(__xludf.DUMMYFUNCTION("""COMPUTED_VALUE"""),"TURNO A")</f>
        <v>TURNO A</v>
      </c>
      <c r="B31" s="5">
        <f ca="1">IFERROR(__xludf.DUMMYFUNCTION("""COMPUTED_VALUE"""),23901261)</f>
        <v>23901261</v>
      </c>
      <c r="C31" s="14">
        <f ca="1">IFERROR(__xludf.DUMMYFUNCTION("""COMPUTED_VALUE"""),45354)</f>
        <v>45354</v>
      </c>
      <c r="D31" s="5" t="str">
        <f ca="1">IFERROR(__xludf.DUMMYFUNCTION("""COMPUTED_VALUE"""),"Paquetes volteados en mesa de agrupaciòn")</f>
        <v>Paquetes volteados en mesa de agrupaciòn</v>
      </c>
      <c r="E31" s="5">
        <f ca="1">IFERROR(__xludf.DUMMYFUNCTION("""COMPUTED_VALUE"""),0.1)</f>
        <v>0.1</v>
      </c>
      <c r="F31" s="15">
        <f ca="1">IFERROR(__xludf.DUMMYFUNCTION("""COMPUTED_VALUE"""),0.395833333333333)</f>
        <v>0.39583333333333298</v>
      </c>
      <c r="G31" s="15">
        <f ca="1">IFERROR(__xludf.DUMMYFUNCTION("""COMPUTED_VALUE"""),0.399999999999999)</f>
        <v>0.39999999999999902</v>
      </c>
      <c r="H31" s="5" t="str">
        <f ca="1">IFERROR(__xludf.DUMMYFUNCTION("""COMPUTED_VALUE"""),"LINE 1")</f>
        <v>LINE 1</v>
      </c>
      <c r="I31" s="5">
        <f ca="1">IFERROR(__xludf.DUMMYFUNCTION("""COMPUTED_VALUE"""),20062740)</f>
        <v>20062740</v>
      </c>
      <c r="J31" s="5" t="str">
        <f ca="1">IFERROR(__xludf.DUMMYFUNCTION("""COMPUTED_VALUE"""),"PALETIZADORA")</f>
        <v>PALETIZADORA</v>
      </c>
      <c r="K31" s="5" t="str">
        <f ca="1">IFERROR(__xludf.DUMMYFUNCTION("""COMPUTED_VALUE"""),"Hector Toro")</f>
        <v>Hector Toro</v>
      </c>
    </row>
    <row r="32" spans="1:11" ht="13.2">
      <c r="A32" s="5" t="str">
        <f ca="1">IFERROR(__xludf.DUMMYFUNCTION("""COMPUTED_VALUE"""),"TURNO A")</f>
        <v>TURNO A</v>
      </c>
      <c r="B32" s="5">
        <f ca="1">IFERROR(__xludf.DUMMYFUNCTION("""COMPUTED_VALUE"""),23901263)</f>
        <v>23901263</v>
      </c>
      <c r="C32" s="14">
        <f ca="1">IFERROR(__xludf.DUMMYFUNCTION("""COMPUTED_VALUE"""),45354)</f>
        <v>45354</v>
      </c>
      <c r="D32" s="5" t="str">
        <f ca="1">IFERROR(__xludf.DUMMYFUNCTION("""COMPUTED_VALUE"""),"Ajuste presiones")</f>
        <v>Ajuste presiones</v>
      </c>
      <c r="E32" s="5">
        <f ca="1">IFERROR(__xludf.DUMMYFUNCTION("""COMPUTED_VALUE"""),0.07)</f>
        <v>7.0000000000000007E-2</v>
      </c>
      <c r="F32" s="15">
        <f ca="1">IFERROR(__xludf.DUMMYFUNCTION("""COMPUTED_VALUE"""),0.430555555555555)</f>
        <v>0.43055555555555503</v>
      </c>
      <c r="G32" s="15">
        <f ca="1">IFERROR(__xludf.DUMMYFUNCTION("""COMPUTED_VALUE"""),0.433333333333333)</f>
        <v>0.43333333333333302</v>
      </c>
      <c r="H32" s="5" t="str">
        <f ca="1">IFERROR(__xludf.DUMMYFUNCTION("""COMPUTED_VALUE"""),"LINE 1")</f>
        <v>LINE 1</v>
      </c>
      <c r="I32" s="5">
        <f ca="1">IFERROR(__xludf.DUMMYFUNCTION("""COMPUTED_VALUE"""),20020754)</f>
        <v>20020754</v>
      </c>
      <c r="J32" s="5" t="str">
        <f ca="1">IFERROR(__xludf.DUMMYFUNCTION("""COMPUTED_VALUE"""),"TRANSPORTADORES DE ENVASE VACIO")</f>
        <v>TRANSPORTADORES DE ENVASE VACIO</v>
      </c>
      <c r="K32" s="5" t="str">
        <f ca="1">IFERROR(__xludf.DUMMYFUNCTION("""COMPUTED_VALUE"""),"Sanchez Rodriguez Gerson Andres")</f>
        <v>Sanchez Rodriguez Gerson Andres</v>
      </c>
    </row>
    <row r="33" spans="1:11" ht="13.2">
      <c r="A33" s="5" t="str">
        <f ca="1">IFERROR(__xludf.DUMMYFUNCTION("""COMPUTED_VALUE"""),"TURNO A")</f>
        <v>TURNO A</v>
      </c>
      <c r="B33" s="5">
        <f ca="1">IFERROR(__xludf.DUMMYFUNCTION("""COMPUTED_VALUE"""),23901266)</f>
        <v>23901266</v>
      </c>
      <c r="C33" s="14">
        <f ca="1">IFERROR(__xludf.DUMMYFUNCTION("""COMPUTED_VALUE"""),45354)</f>
        <v>45354</v>
      </c>
      <c r="D33" s="5" t="str">
        <f ca="1">IFERROR(__xludf.DUMMYFUNCTION("""COMPUTED_VALUE"""),"Caida botellas mesa de plegado")</f>
        <v>Caida botellas mesa de plegado</v>
      </c>
      <c r="E33" s="5">
        <f ca="1">IFERROR(__xludf.DUMMYFUNCTION("""COMPUTED_VALUE"""),0.1)</f>
        <v>0.1</v>
      </c>
      <c r="F33" s="15">
        <f ca="1">IFERROR(__xludf.DUMMYFUNCTION("""COMPUTED_VALUE"""),0.440972222222222)</f>
        <v>0.44097222222222199</v>
      </c>
      <c r="G33" s="15">
        <f ca="1">IFERROR(__xludf.DUMMYFUNCTION("""COMPUTED_VALUE"""),0.445138888888888)</f>
        <v>0.44513888888888797</v>
      </c>
      <c r="H33" s="5" t="str">
        <f ca="1">IFERROR(__xludf.DUMMYFUNCTION("""COMPUTED_VALUE"""),"LINE 1")</f>
        <v>LINE 1</v>
      </c>
      <c r="I33" s="5">
        <f ca="1">IFERROR(__xludf.DUMMYFUNCTION("""COMPUTED_VALUE"""),20009879)</f>
        <v>20009879</v>
      </c>
      <c r="J33" s="5" t="str">
        <f ca="1">IFERROR(__xludf.DUMMYFUNCTION("""COMPUTED_VALUE"""),"ENFARDADORA")</f>
        <v>ENFARDADORA</v>
      </c>
      <c r="K33" s="5" t="str">
        <f ca="1">IFERROR(__xludf.DUMMYFUNCTION("""COMPUTED_VALUE"""),"Andres Leon")</f>
        <v>Andres Leon</v>
      </c>
    </row>
    <row r="34" spans="1:11" ht="13.2">
      <c r="A34" s="5" t="str">
        <f ca="1">IFERROR(__xludf.DUMMYFUNCTION("""COMPUTED_VALUE"""),"TURNO A")</f>
        <v>TURNO A</v>
      </c>
      <c r="B34" s="5">
        <f ca="1">IFERROR(__xludf.DUMMYFUNCTION("""COMPUTED_VALUE"""),23901267)</f>
        <v>23901267</v>
      </c>
      <c r="C34" s="14">
        <f ca="1">IFERROR(__xludf.DUMMYFUNCTION("""COMPUTED_VALUE"""),45354)</f>
        <v>45354</v>
      </c>
      <c r="D34" s="5" t="str">
        <f ca="1">IFERROR(__xludf.DUMMYFUNCTION("""COMPUTED_VALUE"""),"Perdida de conteo")</f>
        <v>Perdida de conteo</v>
      </c>
      <c r="E34" s="5">
        <f ca="1">IFERROR(__xludf.DUMMYFUNCTION("""COMPUTED_VALUE"""),0.22)</f>
        <v>0.22</v>
      </c>
      <c r="F34" s="15">
        <f ca="1">IFERROR(__xludf.DUMMYFUNCTION("""COMPUTED_VALUE"""),0.461111111111111)</f>
        <v>0.46111111111111103</v>
      </c>
      <c r="G34" s="15">
        <f ca="1">IFERROR(__xludf.DUMMYFUNCTION("""COMPUTED_VALUE"""),0.470138888888888)</f>
        <v>0.470138888888888</v>
      </c>
      <c r="H34" s="5" t="str">
        <f ca="1">IFERROR(__xludf.DUMMYFUNCTION("""COMPUTED_VALUE"""),"LINE 1")</f>
        <v>LINE 1</v>
      </c>
      <c r="I34" s="5">
        <f ca="1">IFERROR(__xludf.DUMMYFUNCTION("""COMPUTED_VALUE"""),20062740)</f>
        <v>20062740</v>
      </c>
      <c r="J34" s="5" t="str">
        <f ca="1">IFERROR(__xludf.DUMMYFUNCTION("""COMPUTED_VALUE"""),"PALETIZADORA")</f>
        <v>PALETIZADORA</v>
      </c>
      <c r="K34" s="5" t="str">
        <f ca="1">IFERROR(__xludf.DUMMYFUNCTION("""COMPUTED_VALUE"""),"Hector Toro")</f>
        <v>Hector Toro</v>
      </c>
    </row>
    <row r="35" spans="1:11" ht="13.2">
      <c r="A35" s="5" t="str">
        <f ca="1">IFERROR(__xludf.DUMMYFUNCTION("""COMPUTED_VALUE"""),"TURNO B")</f>
        <v>TURNO B</v>
      </c>
      <c r="B35" s="5">
        <f ca="1">IFERROR(__xludf.DUMMYFUNCTION("""COMPUTED_VALUE"""),23901336)</f>
        <v>23901336</v>
      </c>
      <c r="C35" s="14">
        <f ca="1">IFERROR(__xludf.DUMMYFUNCTION("""COMPUTED_VALUE"""),45354)</f>
        <v>45354</v>
      </c>
      <c r="D35" s="5" t="str">
        <f ca="1">IFERROR(__xludf.DUMMYFUNCTION("""COMPUTED_VALUE"""),"Atascamiento botellas")</f>
        <v>Atascamiento botellas</v>
      </c>
      <c r="E35" s="5">
        <f ca="1">IFERROR(__xludf.DUMMYFUNCTION("""COMPUTED_VALUE"""),0.12)</f>
        <v>0.12</v>
      </c>
      <c r="F35" s="15">
        <f ca="1">IFERROR(__xludf.DUMMYFUNCTION("""COMPUTED_VALUE"""),0.583333333333333)</f>
        <v>0.58333333333333304</v>
      </c>
      <c r="G35" s="15">
        <f ca="1">IFERROR(__xludf.DUMMYFUNCTION("""COMPUTED_VALUE"""),0.588194444444444)</f>
        <v>0.58819444444444402</v>
      </c>
      <c r="H35" s="5" t="str">
        <f ca="1">IFERROR(__xludf.DUMMYFUNCTION("""COMPUTED_VALUE"""),"LINE 1")</f>
        <v>LINE 1</v>
      </c>
      <c r="I35" s="5">
        <f ca="1">IFERROR(__xludf.DUMMYFUNCTION("""COMPUTED_VALUE"""),20020754)</f>
        <v>20020754</v>
      </c>
      <c r="J35" s="5" t="str">
        <f ca="1">IFERROR(__xludf.DUMMYFUNCTION("""COMPUTED_VALUE"""),"TRANSPORTADORES DE ENVASE VACIO")</f>
        <v>TRANSPORTADORES DE ENVASE VACIO</v>
      </c>
      <c r="K35" s="5" t="str">
        <f ca="1">IFERROR(__xludf.DUMMYFUNCTION("""COMPUTED_VALUE"""),"Sanchez Rodriguez Gerson Andres")</f>
        <v>Sanchez Rodriguez Gerson Andres</v>
      </c>
    </row>
    <row r="36" spans="1:11" ht="13.2">
      <c r="A36" s="5" t="str">
        <f ca="1">IFERROR(__xludf.DUMMYFUNCTION("""COMPUTED_VALUE"""),"TURNO B")</f>
        <v>TURNO B</v>
      </c>
      <c r="B36" s="5">
        <f ca="1">IFERROR(__xludf.DUMMYFUNCTION("""COMPUTED_VALUE"""),23901375)</f>
        <v>23901375</v>
      </c>
      <c r="C36" s="14">
        <f ca="1">IFERROR(__xludf.DUMMYFUNCTION("""COMPUTED_VALUE"""),45354)</f>
        <v>45354</v>
      </c>
      <c r="D36" s="5" t="str">
        <f ca="1">IFERROR(__xludf.DUMMYFUNCTION("""COMPUTED_VALUE"""),"Encolamiento exceso pegante")</f>
        <v>Encolamiento exceso pegante</v>
      </c>
      <c r="E36" s="5">
        <f ca="1">IFERROR(__xludf.DUMMYFUNCTION("""COMPUTED_VALUE"""),0.08)</f>
        <v>0.08</v>
      </c>
      <c r="F36" s="15">
        <f ca="1">IFERROR(__xludf.DUMMYFUNCTION("""COMPUTED_VALUE"""),0.694444444444444)</f>
        <v>0.69444444444444398</v>
      </c>
      <c r="G36" s="15">
        <f ca="1">IFERROR(__xludf.DUMMYFUNCTION("""COMPUTED_VALUE"""),0.697916666666666)</f>
        <v>0.69791666666666596</v>
      </c>
      <c r="H36" s="5" t="str">
        <f ca="1">IFERROR(__xludf.DUMMYFUNCTION("""COMPUTED_VALUE"""),"LINE 1")</f>
        <v>LINE 1</v>
      </c>
      <c r="I36" s="5"/>
      <c r="J36" s="5" t="str">
        <f ca="1">IFERROR(__xludf.DUMMYFUNCTION("""COMPUTED_VALUE"""),"ETIQUETADORA ENVOLVENTE")</f>
        <v>ETIQUETADORA ENVOLVENTE</v>
      </c>
      <c r="K36" s="5" t="str">
        <f ca="1">IFERROR(__xludf.DUMMYFUNCTION("""COMPUTED_VALUE"""),"BLANCO")</f>
        <v>BLANCO</v>
      </c>
    </row>
    <row r="37" spans="1:11" ht="13.2">
      <c r="A37" s="5" t="str">
        <f ca="1">IFERROR(__xludf.DUMMYFUNCTION("""COMPUTED_VALUE"""),"TURNO B")</f>
        <v>TURNO B</v>
      </c>
      <c r="B37" s="5">
        <f ca="1">IFERROR(__xludf.DUMMYFUNCTION("""COMPUTED_VALUE"""),23901377)</f>
        <v>23901377</v>
      </c>
      <c r="C37" s="14">
        <f ca="1">IFERROR(__xludf.DUMMYFUNCTION("""COMPUTED_VALUE"""),45354)</f>
        <v>45354</v>
      </c>
      <c r="D37" s="5" t="str">
        <f ca="1">IFERROR(__xludf.DUMMYFUNCTION("""COMPUTED_VALUE"""),"Encolamiento exceso pegante")</f>
        <v>Encolamiento exceso pegante</v>
      </c>
      <c r="E37" s="5">
        <f ca="1">IFERROR(__xludf.DUMMYFUNCTION("""COMPUTED_VALUE"""),0.28)</f>
        <v>0.28000000000000003</v>
      </c>
      <c r="F37" s="15">
        <f ca="1">IFERROR(__xludf.DUMMYFUNCTION("""COMPUTED_VALUE"""),0.708333333333333)</f>
        <v>0.70833333333333304</v>
      </c>
      <c r="G37" s="15">
        <f ca="1">IFERROR(__xludf.DUMMYFUNCTION("""COMPUTED_VALUE"""),0.720138888888889)</f>
        <v>0.72013888888888899</v>
      </c>
      <c r="H37" s="5" t="str">
        <f ca="1">IFERROR(__xludf.DUMMYFUNCTION("""COMPUTED_VALUE"""),"LINE 1")</f>
        <v>LINE 1</v>
      </c>
      <c r="I37" s="5">
        <f ca="1">IFERROR(__xludf.DUMMYFUNCTION("""COMPUTED_VALUE"""),20020754)</f>
        <v>20020754</v>
      </c>
      <c r="J37" s="5" t="str">
        <f ca="1">IFERROR(__xludf.DUMMYFUNCTION("""COMPUTED_VALUE"""),"ETIQUETADORA ENVOLVENTE")</f>
        <v>ETIQUETADORA ENVOLVENTE</v>
      </c>
      <c r="K37" s="5" t="str">
        <f ca="1">IFERROR(__xludf.DUMMYFUNCTION("""COMPUTED_VALUE"""),"Sanchez Rodriguez Gerson Andres")</f>
        <v>Sanchez Rodriguez Gerson Andres</v>
      </c>
    </row>
    <row r="38" spans="1:11" ht="13.2">
      <c r="A38" s="5" t="str">
        <f ca="1">IFERROR(__xludf.DUMMYFUNCTION("""COMPUTED_VALUE"""),"TURNO B")</f>
        <v>TURNO B</v>
      </c>
      <c r="B38" s="5">
        <f ca="1">IFERROR(__xludf.DUMMYFUNCTION("""COMPUTED_VALUE"""),23901380)</f>
        <v>23901380</v>
      </c>
      <c r="C38" s="14">
        <f ca="1">IFERROR(__xludf.DUMMYFUNCTION("""COMPUTED_VALUE"""),45354)</f>
        <v>45354</v>
      </c>
      <c r="D38" s="5" t="str">
        <f ca="1">IFERROR(__xludf.DUMMYFUNCTION("""COMPUTED_VALUE"""),"Variador alarmado electricamente")</f>
        <v>Variador alarmado electricamente</v>
      </c>
      <c r="E38" s="5">
        <f ca="1">IFERROR(__xludf.DUMMYFUNCTION("""COMPUTED_VALUE"""),0.1)</f>
        <v>0.1</v>
      </c>
      <c r="F38" s="15">
        <f ca="1">IFERROR(__xludf.DUMMYFUNCTION("""COMPUTED_VALUE"""),0.756944444444444)</f>
        <v>0.75694444444444398</v>
      </c>
      <c r="G38" s="15">
        <f ca="1">IFERROR(__xludf.DUMMYFUNCTION("""COMPUTED_VALUE"""),0.761111111111111)</f>
        <v>0.76111111111111096</v>
      </c>
      <c r="H38" s="5" t="str">
        <f ca="1">IFERROR(__xludf.DUMMYFUNCTION("""COMPUTED_VALUE"""),"LINE 1")</f>
        <v>LINE 1</v>
      </c>
      <c r="I38" s="5">
        <f ca="1">IFERROR(__xludf.DUMMYFUNCTION("""COMPUTED_VALUE"""),20009996)</f>
        <v>20009996</v>
      </c>
      <c r="J38" s="5" t="str">
        <f ca="1">IFERROR(__xludf.DUMMYFUNCTION("""COMPUTED_VALUE"""),"TRANSPORTADORES DE BEBIDA")</f>
        <v>TRANSPORTADORES DE BEBIDA</v>
      </c>
      <c r="K38" s="5" t="str">
        <f ca="1">IFERROR(__xludf.DUMMYFUNCTION("""COMPUTED_VALUE"""),"Fernando Montoya")</f>
        <v>Fernando Montoya</v>
      </c>
    </row>
    <row r="39" spans="1:11" ht="13.2">
      <c r="A39" s="5" t="str">
        <f ca="1">IFERROR(__xludf.DUMMYFUNCTION("""COMPUTED_VALUE"""),"TURNO B")</f>
        <v>TURNO B</v>
      </c>
      <c r="B39" s="5">
        <f ca="1">IFERROR(__xludf.DUMMYFUNCTION("""COMPUTED_VALUE"""),23901465)</f>
        <v>23901465</v>
      </c>
      <c r="C39" s="14">
        <f ca="1">IFERROR(__xludf.DUMMYFUNCTION("""COMPUTED_VALUE"""),45354)</f>
        <v>45354</v>
      </c>
      <c r="D39" s="5" t="str">
        <f ca="1">IFERROR(__xludf.DUMMYFUNCTION("""COMPUTED_VALUE"""),"Encolamiento exceso pegante")</f>
        <v>Encolamiento exceso pegante</v>
      </c>
      <c r="E39" s="5">
        <f ca="1">IFERROR(__xludf.DUMMYFUNCTION("""COMPUTED_VALUE"""),0.6)</f>
        <v>0.6</v>
      </c>
      <c r="F39" s="15">
        <f ca="1">IFERROR(__xludf.DUMMYFUNCTION("""COMPUTED_VALUE"""),0.583333333333333)</f>
        <v>0.58333333333333304</v>
      </c>
      <c r="G39" s="15">
        <f ca="1">IFERROR(__xludf.DUMMYFUNCTION("""COMPUTED_VALUE"""),0.608333333333333)</f>
        <v>0.60833333333333295</v>
      </c>
      <c r="H39" s="5" t="str">
        <f ca="1">IFERROR(__xludf.DUMMYFUNCTION("""COMPUTED_VALUE"""),"LINE 1")</f>
        <v>LINE 1</v>
      </c>
      <c r="I39" s="5">
        <f ca="1">IFERROR(__xludf.DUMMYFUNCTION("""COMPUTED_VALUE"""),20020754)</f>
        <v>20020754</v>
      </c>
      <c r="J39" s="5" t="str">
        <f ca="1">IFERROR(__xludf.DUMMYFUNCTION("""COMPUTED_VALUE"""),"ETIQUETADORA ENVOLVENTE")</f>
        <v>ETIQUETADORA ENVOLVENTE</v>
      </c>
      <c r="K39" s="5" t="str">
        <f ca="1">IFERROR(__xludf.DUMMYFUNCTION("""COMPUTED_VALUE"""),"Sanchez Rodriguez Gerson Andres")</f>
        <v>Sanchez Rodriguez Gerson Andres</v>
      </c>
    </row>
    <row r="40" spans="1:11" ht="13.2">
      <c r="A40" s="5" t="str">
        <f ca="1">IFERROR(__xludf.DUMMYFUNCTION("""COMPUTED_VALUE"""),"TURNO B")</f>
        <v>TURNO B</v>
      </c>
      <c r="B40" s="5">
        <f ca="1">IFERROR(__xludf.DUMMYFUNCTION("""COMPUTED_VALUE"""),23901467)</f>
        <v>23901467</v>
      </c>
      <c r="C40" s="14">
        <f ca="1">IFERROR(__xludf.DUMMYFUNCTION("""COMPUTED_VALUE"""),45354)</f>
        <v>45354</v>
      </c>
      <c r="D40" s="5" t="str">
        <f ca="1">IFERROR(__xludf.DUMMYFUNCTION("""COMPUTED_VALUE"""),"Atascamiento botellas")</f>
        <v>Atascamiento botellas</v>
      </c>
      <c r="E40" s="5">
        <f ca="1">IFERROR(__xludf.DUMMYFUNCTION("""COMPUTED_VALUE"""),0.12)</f>
        <v>0.12</v>
      </c>
      <c r="F40" s="15">
        <f ca="1">IFERROR(__xludf.DUMMYFUNCTION("""COMPUTED_VALUE"""),0.840277777777777)</f>
        <v>0.84027777777777701</v>
      </c>
      <c r="G40" s="15">
        <f ca="1">IFERROR(__xludf.DUMMYFUNCTION("""COMPUTED_VALUE"""),0.845138888888889)</f>
        <v>0.84513888888888899</v>
      </c>
      <c r="H40" s="5" t="str">
        <f ca="1">IFERROR(__xludf.DUMMYFUNCTION("""COMPUTED_VALUE"""),"LINE 1")</f>
        <v>LINE 1</v>
      </c>
      <c r="I40" s="5"/>
      <c r="J40" s="5" t="str">
        <f ca="1">IFERROR(__xludf.DUMMYFUNCTION("""COMPUTED_VALUE"""),"TRANSPORTADORES DE ENVASE VACIO")</f>
        <v>TRANSPORTADORES DE ENVASE VACIO</v>
      </c>
      <c r="K40" s="5" t="str">
        <f ca="1">IFERROR(__xludf.DUMMYFUNCTION("""COMPUTED_VALUE"""),"BLANCO")</f>
        <v>BLANCO</v>
      </c>
    </row>
    <row r="41" spans="1:11" ht="13.2">
      <c r="A41" s="5" t="str">
        <f ca="1">IFERROR(__xludf.DUMMYFUNCTION("""COMPUTED_VALUE"""),"TURNO C")</f>
        <v>TURNO C</v>
      </c>
      <c r="B41" s="5">
        <f ca="1">IFERROR(__xludf.DUMMYFUNCTION("""COMPUTED_VALUE"""),23901470)</f>
        <v>23901470</v>
      </c>
      <c r="C41" s="14">
        <f ca="1">IFERROR(__xludf.DUMMYFUNCTION("""COMPUTED_VALUE"""),45354)</f>
        <v>45354</v>
      </c>
      <c r="D41" s="5" t="str">
        <f ca="1">IFERROR(__xludf.DUMMYFUNCTION("""COMPUTED_VALUE"""),"Atascamiento botellas")</f>
        <v>Atascamiento botellas</v>
      </c>
      <c r="E41" s="5">
        <f ca="1">IFERROR(__xludf.DUMMYFUNCTION("""COMPUTED_VALUE"""),0.07)</f>
        <v>7.0000000000000007E-2</v>
      </c>
      <c r="F41" s="15">
        <f ca="1">IFERROR(__xludf.DUMMYFUNCTION("""COMPUTED_VALUE"""),0.924305555555555)</f>
        <v>0.92430555555555505</v>
      </c>
      <c r="G41" s="15">
        <f ca="1">IFERROR(__xludf.DUMMYFUNCTION("""COMPUTED_VALUE"""),0.927083333333333)</f>
        <v>0.92708333333333304</v>
      </c>
      <c r="H41" s="5" t="str">
        <f ca="1">IFERROR(__xludf.DUMMYFUNCTION("""COMPUTED_VALUE"""),"LINE 1")</f>
        <v>LINE 1</v>
      </c>
      <c r="I41" s="5">
        <f ca="1">IFERROR(__xludf.DUMMYFUNCTION("""COMPUTED_VALUE"""),20009721)</f>
        <v>20009721</v>
      </c>
      <c r="J41" s="5" t="str">
        <f ca="1">IFERROR(__xludf.DUMMYFUNCTION("""COMPUTED_VALUE"""),"TRANSPORTADORES DE ENVASE VACIO")</f>
        <v>TRANSPORTADORES DE ENVASE VACIO</v>
      </c>
      <c r="K41" s="5" t="str">
        <f ca="1">IFERROR(__xludf.DUMMYFUNCTION("""COMPUTED_VALUE"""),"Alejandro Davila")</f>
        <v>Alejandro Davila</v>
      </c>
    </row>
    <row r="42" spans="1:11" ht="13.2">
      <c r="A42" s="5" t="str">
        <f ca="1">IFERROR(__xludf.DUMMYFUNCTION("""COMPUTED_VALUE"""),"TURNO C")</f>
        <v>TURNO C</v>
      </c>
      <c r="B42" s="5">
        <f ca="1">IFERROR(__xludf.DUMMYFUNCTION("""COMPUTED_VALUE"""),23901471)</f>
        <v>23901471</v>
      </c>
      <c r="C42" s="14">
        <f ca="1">IFERROR(__xludf.DUMMYFUNCTION("""COMPUTED_VALUE"""),45354)</f>
        <v>45354</v>
      </c>
      <c r="D42" s="5" t="str">
        <f ca="1">IFERROR(__xludf.DUMMYFUNCTION("""COMPUTED_VALUE"""),"Caida de botellas salida llenadora")</f>
        <v>Caida de botellas salida llenadora</v>
      </c>
      <c r="E42" s="5">
        <f ca="1">IFERROR(__xludf.DUMMYFUNCTION("""COMPUTED_VALUE"""),0.1)</f>
        <v>0.1</v>
      </c>
      <c r="F42" s="15">
        <f ca="1">IFERROR(__xludf.DUMMYFUNCTION("""COMPUTED_VALUE"""),0.939583333333333)</f>
        <v>0.93958333333333299</v>
      </c>
      <c r="G42" s="15">
        <f ca="1">IFERROR(__xludf.DUMMYFUNCTION("""COMPUTED_VALUE"""),0.94375)</f>
        <v>0.94374999999999998</v>
      </c>
      <c r="H42" s="5" t="str">
        <f ca="1">IFERROR(__xludf.DUMMYFUNCTION("""COMPUTED_VALUE"""),"LINE 1")</f>
        <v>LINE 1</v>
      </c>
      <c r="I42" s="5">
        <f ca="1">IFERROR(__xludf.DUMMYFUNCTION("""COMPUTED_VALUE"""),20036419)</f>
        <v>20036419</v>
      </c>
      <c r="J42" s="5" t="str">
        <f ca="1">IFERROR(__xludf.DUMMYFUNCTION("""COMPUTED_VALUE"""),"TRANSPORTADORES DE BEBIDA")</f>
        <v>TRANSPORTADORES DE BEBIDA</v>
      </c>
      <c r="K42" s="5" t="str">
        <f ca="1">IFERROR(__xludf.DUMMYFUNCTION("""COMPUTED_VALUE"""),"Adalcides Campo")</f>
        <v>Adalcides Campo</v>
      </c>
    </row>
    <row r="43" spans="1:11" ht="13.2">
      <c r="A43" s="5" t="str">
        <f ca="1">IFERROR(__xludf.DUMMYFUNCTION("""COMPUTED_VALUE"""),"TURNO C")</f>
        <v>TURNO C</v>
      </c>
      <c r="B43" s="5">
        <f ca="1">IFERROR(__xludf.DUMMYFUNCTION("""COMPUTED_VALUE"""),23901533)</f>
        <v>23901533</v>
      </c>
      <c r="C43" s="14">
        <f ca="1">IFERROR(__xludf.DUMMYFUNCTION("""COMPUTED_VALUE"""),45354)</f>
        <v>45354</v>
      </c>
      <c r="D43" s="5" t="str">
        <f ca="1">IFERROR(__xludf.DUMMYFUNCTION("""COMPUTED_VALUE"""),"Caida de botellas salida llenadora")</f>
        <v>Caida de botellas salida llenadora</v>
      </c>
      <c r="E43" s="5">
        <f ca="1">IFERROR(__xludf.DUMMYFUNCTION("""COMPUTED_VALUE"""),0.08)</f>
        <v>0.08</v>
      </c>
      <c r="F43" s="15">
        <f ca="1">IFERROR(__xludf.DUMMYFUNCTION("""COMPUTED_VALUE"""),0.961805555555555)</f>
        <v>0.96180555555555503</v>
      </c>
      <c r="G43" s="15">
        <f ca="1">IFERROR(__xludf.DUMMYFUNCTION("""COMPUTED_VALUE"""),0.965277777777777)</f>
        <v>0.96527777777777701</v>
      </c>
      <c r="H43" s="5" t="str">
        <f ca="1">IFERROR(__xludf.DUMMYFUNCTION("""COMPUTED_VALUE"""),"LINE 1")</f>
        <v>LINE 1</v>
      </c>
      <c r="I43" s="5">
        <f ca="1">IFERROR(__xludf.DUMMYFUNCTION("""COMPUTED_VALUE"""),20036419)</f>
        <v>20036419</v>
      </c>
      <c r="J43" s="5" t="str">
        <f ca="1">IFERROR(__xludf.DUMMYFUNCTION("""COMPUTED_VALUE"""),"TRANSPORTADORES DE BEBIDA")</f>
        <v>TRANSPORTADORES DE BEBIDA</v>
      </c>
      <c r="K43" s="5" t="str">
        <f ca="1">IFERROR(__xludf.DUMMYFUNCTION("""COMPUTED_VALUE"""),"Adalcides Campo")</f>
        <v>Adalcides Campo</v>
      </c>
    </row>
    <row r="44" spans="1:11" ht="13.2">
      <c r="A44" s="5" t="str">
        <f ca="1">IFERROR(__xludf.DUMMYFUNCTION("""COMPUTED_VALUE"""),"TURNO C")</f>
        <v>TURNO C</v>
      </c>
      <c r="B44" s="5">
        <f ca="1">IFERROR(__xludf.DUMMYFUNCTION("""COMPUTED_VALUE"""),23901534)</f>
        <v>23901534</v>
      </c>
      <c r="C44" s="14">
        <f ca="1">IFERROR(__xludf.DUMMYFUNCTION("""COMPUTED_VALUE"""),45354)</f>
        <v>45354</v>
      </c>
      <c r="D44" s="5" t="str">
        <f ca="1">IFERROR(__xludf.DUMMYFUNCTION("""COMPUTED_VALUE"""),"Atascamiento botella ingreso")</f>
        <v>Atascamiento botella ingreso</v>
      </c>
      <c r="E44" s="5">
        <f ca="1">IFERROR(__xludf.DUMMYFUNCTION("""COMPUTED_VALUE"""),0.1)</f>
        <v>0.1</v>
      </c>
      <c r="F44" s="15">
        <f ca="1">IFERROR(__xludf.DUMMYFUNCTION("""COMPUTED_VALUE"""),0.969444444444444)</f>
        <v>0.969444444444444</v>
      </c>
      <c r="G44" s="15">
        <f ca="1">IFERROR(__xludf.DUMMYFUNCTION("""COMPUTED_VALUE"""),0.973611111111111)</f>
        <v>0.97361111111111098</v>
      </c>
      <c r="H44" s="5" t="str">
        <f ca="1">IFERROR(__xludf.DUMMYFUNCTION("""COMPUTED_VALUE"""),"LINE 1")</f>
        <v>LINE 1</v>
      </c>
      <c r="I44" s="5">
        <f ca="1">IFERROR(__xludf.DUMMYFUNCTION("""COMPUTED_VALUE"""),20036419)</f>
        <v>20036419</v>
      </c>
      <c r="J44" s="5" t="str">
        <f ca="1">IFERROR(__xludf.DUMMYFUNCTION("""COMPUTED_VALUE"""),"RINSER ( LATA - PET )")</f>
        <v>RINSER ( LATA - PET )</v>
      </c>
      <c r="K44" s="5" t="str">
        <f ca="1">IFERROR(__xludf.DUMMYFUNCTION("""COMPUTED_VALUE"""),"Adalcides Campo")</f>
        <v>Adalcides Campo</v>
      </c>
    </row>
    <row r="45" spans="1:11" ht="13.2">
      <c r="A45" s="5" t="str">
        <f ca="1">IFERROR(__xludf.DUMMYFUNCTION("""COMPUTED_VALUE"""),"TURNO C")</f>
        <v>TURNO C</v>
      </c>
      <c r="B45" s="5">
        <f ca="1">IFERROR(__xludf.DUMMYFUNCTION("""COMPUTED_VALUE"""),23901535)</f>
        <v>23901535</v>
      </c>
      <c r="C45" s="14">
        <f ca="1">IFERROR(__xludf.DUMMYFUNCTION("""COMPUTED_VALUE"""),45354)</f>
        <v>45354</v>
      </c>
      <c r="D45" s="5" t="str">
        <f ca="1">IFERROR(__xludf.DUMMYFUNCTION("""COMPUTED_VALUE"""),"Botella mal posicionada")</f>
        <v>Botella mal posicionada</v>
      </c>
      <c r="E45" s="5">
        <f ca="1">IFERROR(__xludf.DUMMYFUNCTION("""COMPUTED_VALUE"""),0.07)</f>
        <v>7.0000000000000007E-2</v>
      </c>
      <c r="F45" s="15">
        <f ca="1">IFERROR(__xludf.DUMMYFUNCTION("""COMPUTED_VALUE"""),0.986111111111111)</f>
        <v>0.98611111111111105</v>
      </c>
      <c r="G45" s="15">
        <f ca="1">IFERROR(__xludf.DUMMYFUNCTION("""COMPUTED_VALUE"""),0.988888888888888)</f>
        <v>0.98888888888888804</v>
      </c>
      <c r="H45" s="5" t="str">
        <f ca="1">IFERROR(__xludf.DUMMYFUNCTION("""COMPUTED_VALUE"""),"LINE 1")</f>
        <v>LINE 1</v>
      </c>
      <c r="I45" s="5">
        <f ca="1">IFERROR(__xludf.DUMMYFUNCTION("""COMPUTED_VALUE"""),20009721)</f>
        <v>20009721</v>
      </c>
      <c r="J45" s="5" t="str">
        <f ca="1">IFERROR(__xludf.DUMMYFUNCTION("""COMPUTED_VALUE"""),"ETIQUETADORA ENVOLVENTE")</f>
        <v>ETIQUETADORA ENVOLVENTE</v>
      </c>
      <c r="K45" s="5" t="str">
        <f ca="1">IFERROR(__xludf.DUMMYFUNCTION("""COMPUTED_VALUE"""),"Alejandro Davila")</f>
        <v>Alejandro Davila</v>
      </c>
    </row>
    <row r="46" spans="1:11" ht="13.2">
      <c r="A46" s="5" t="str">
        <f ca="1">IFERROR(__xludf.DUMMYFUNCTION("""COMPUTED_VALUE"""),"TURNO A")</f>
        <v>TURNO A</v>
      </c>
      <c r="B46" s="5">
        <f ca="1">IFERROR(__xludf.DUMMYFUNCTION("""COMPUTED_VALUE"""),23901539)</f>
        <v>23901539</v>
      </c>
      <c r="C46" s="14">
        <f ca="1">IFERROR(__xludf.DUMMYFUNCTION("""COMPUTED_VALUE"""),45354)</f>
        <v>45354</v>
      </c>
      <c r="D46" s="5" t="str">
        <f ca="1">IFERROR(__xludf.DUMMYFUNCTION("""COMPUTED_VALUE"""),"Ajuste transportador aereo")</f>
        <v>Ajuste transportador aereo</v>
      </c>
      <c r="E46" s="5">
        <f ca="1">IFERROR(__xludf.DUMMYFUNCTION("""COMPUTED_VALUE"""),0.6)</f>
        <v>0.6</v>
      </c>
      <c r="F46" s="15">
        <f ca="1">IFERROR(__xludf.DUMMYFUNCTION("""COMPUTED_VALUE"""),0.558333333333333)</f>
        <v>0.55833333333333302</v>
      </c>
      <c r="G46" s="15">
        <f ca="1">IFERROR(__xludf.DUMMYFUNCTION("""COMPUTED_VALUE"""),0.583333333333333)</f>
        <v>0.58333333333333304</v>
      </c>
      <c r="H46" s="5" t="str">
        <f ca="1">IFERROR(__xludf.DUMMYFUNCTION("""COMPUTED_VALUE"""),"LINE 1")</f>
        <v>LINE 1</v>
      </c>
      <c r="I46" s="5">
        <f ca="1">IFERROR(__xludf.DUMMYFUNCTION("""COMPUTED_VALUE"""),20020754)</f>
        <v>20020754</v>
      </c>
      <c r="J46" s="5" t="str">
        <f ca="1">IFERROR(__xludf.DUMMYFUNCTION("""COMPUTED_VALUE"""),"TRANSPORTADORES DE ENVASE VACIO")</f>
        <v>TRANSPORTADORES DE ENVASE VACIO</v>
      </c>
      <c r="K46" s="5" t="str">
        <f ca="1">IFERROR(__xludf.DUMMYFUNCTION("""COMPUTED_VALUE"""),"Sanchez Rodriguez Gerson Andres")</f>
        <v>Sanchez Rodriguez Gerson Andres</v>
      </c>
    </row>
    <row r="47" spans="1:11" ht="13.2">
      <c r="A47" s="5" t="str">
        <f ca="1">IFERROR(__xludf.DUMMYFUNCTION("""COMPUTED_VALUE"""),"TURNO C")</f>
        <v>TURNO C</v>
      </c>
      <c r="B47" s="5">
        <f ca="1">IFERROR(__xludf.DUMMYFUNCTION("""COMPUTED_VALUE"""),23901632)</f>
        <v>23901632</v>
      </c>
      <c r="C47" s="14">
        <f ca="1">IFERROR(__xludf.DUMMYFUNCTION("""COMPUTED_VALUE"""),45354)</f>
        <v>45354</v>
      </c>
      <c r="D47" s="5" t="str">
        <f ca="1">IFERROR(__xludf.DUMMYFUNCTION("""COMPUTED_VALUE"""),"Botella mal posicionada")</f>
        <v>Botella mal posicionada</v>
      </c>
      <c r="E47" s="5">
        <f ca="1">IFERROR(__xludf.DUMMYFUNCTION("""COMPUTED_VALUE"""),0.12)</f>
        <v>0.12</v>
      </c>
      <c r="F47" s="15">
        <f ca="1">IFERROR(__xludf.DUMMYFUNCTION("""COMPUTED_VALUE"""),0.131944444444444)</f>
        <v>0.131944444444444</v>
      </c>
      <c r="G47" s="15">
        <f ca="1">IFERROR(__xludf.DUMMYFUNCTION("""COMPUTED_VALUE"""),0.136805555555555)</f>
        <v>0.13680555555555499</v>
      </c>
      <c r="H47" s="5" t="str">
        <f ca="1">IFERROR(__xludf.DUMMYFUNCTION("""COMPUTED_VALUE"""),"LINE 1")</f>
        <v>LINE 1</v>
      </c>
      <c r="I47" s="5">
        <f ca="1">IFERROR(__xludf.DUMMYFUNCTION("""COMPUTED_VALUE"""),20009721)</f>
        <v>20009721</v>
      </c>
      <c r="J47" s="5" t="str">
        <f ca="1">IFERROR(__xludf.DUMMYFUNCTION("""COMPUTED_VALUE"""),"ETIQUETADORA ENVOLVENTE")</f>
        <v>ETIQUETADORA ENVOLVENTE</v>
      </c>
      <c r="K47" s="5" t="str">
        <f ca="1">IFERROR(__xludf.DUMMYFUNCTION("""COMPUTED_VALUE"""),"Alejandro Davila")</f>
        <v>Alejandro Davila</v>
      </c>
    </row>
    <row r="48" spans="1:11" ht="13.2">
      <c r="A48" s="5" t="str">
        <f ca="1">IFERROR(__xludf.DUMMYFUNCTION("""COMPUTED_VALUE"""),"TURNO C")</f>
        <v>TURNO C</v>
      </c>
      <c r="B48" s="5">
        <f ca="1">IFERROR(__xludf.DUMMYFUNCTION("""COMPUTED_VALUE"""),23901637)</f>
        <v>23901637</v>
      </c>
      <c r="C48" s="14">
        <f ca="1">IFERROR(__xludf.DUMMYFUNCTION("""COMPUTED_VALUE"""),45354)</f>
        <v>45354</v>
      </c>
      <c r="D48" s="5" t="str">
        <f ca="1">IFERROR(__xludf.DUMMYFUNCTION("""COMPUTED_VALUE"""),"Se estrella botella a la salida")</f>
        <v>Se estrella botella a la salida</v>
      </c>
      <c r="E48" s="5">
        <f ca="1">IFERROR(__xludf.DUMMYFUNCTION("""COMPUTED_VALUE"""),0.85)</f>
        <v>0.85</v>
      </c>
      <c r="F48" s="15">
        <f ca="1">IFERROR(__xludf.DUMMYFUNCTION("""COMPUTED_VALUE"""),0.19375)</f>
        <v>0.19375000000000001</v>
      </c>
      <c r="G48" s="15">
        <f ca="1">IFERROR(__xludf.DUMMYFUNCTION("""COMPUTED_VALUE"""),0.229166666666666)</f>
        <v>0.22916666666666599</v>
      </c>
      <c r="H48" s="5" t="str">
        <f ca="1">IFERROR(__xludf.DUMMYFUNCTION("""COMPUTED_VALUE"""),"LINE 1")</f>
        <v>LINE 1</v>
      </c>
      <c r="I48" s="5">
        <f ca="1">IFERROR(__xludf.DUMMYFUNCTION("""COMPUTED_VALUE"""),20009721)</f>
        <v>20009721</v>
      </c>
      <c r="J48" s="5" t="str">
        <f ca="1">IFERROR(__xludf.DUMMYFUNCTION("""COMPUTED_VALUE"""),"ETIQUETADORA ENVOLVENTE")</f>
        <v>ETIQUETADORA ENVOLVENTE</v>
      </c>
      <c r="K48" s="5" t="str">
        <f ca="1">IFERROR(__xludf.DUMMYFUNCTION("""COMPUTED_VALUE"""),"Alejandro Davila")</f>
        <v>Alejandro Davila</v>
      </c>
    </row>
    <row r="49" spans="1:11" ht="13.2">
      <c r="A49" s="5" t="str">
        <f ca="1">IFERROR(__xludf.DUMMYFUNCTION("""COMPUTED_VALUE"""),"TURNO B")</f>
        <v>TURNO B</v>
      </c>
      <c r="B49" s="5">
        <f ca="1">IFERROR(__xludf.DUMMYFUNCTION("""COMPUTED_VALUE"""),23902821)</f>
        <v>23902821</v>
      </c>
      <c r="C49" s="14">
        <f ca="1">IFERROR(__xludf.DUMMYFUNCTION("""COMPUTED_VALUE"""),45355)</f>
        <v>45355</v>
      </c>
      <c r="D49" s="5" t="str">
        <f ca="1">IFERROR(__xludf.DUMMYFUNCTION("""COMPUTED_VALUE"""),"Cambio pinza estrella de transferencia")</f>
        <v>Cambio pinza estrella de transferencia</v>
      </c>
      <c r="E49" s="5">
        <f ca="1">IFERROR(__xludf.DUMMYFUNCTION("""COMPUTED_VALUE"""),0.17)</f>
        <v>0.17</v>
      </c>
      <c r="F49" s="15">
        <f ca="1">IFERROR(__xludf.DUMMYFUNCTION("""COMPUTED_VALUE"""),0.65625)</f>
        <v>0.65625</v>
      </c>
      <c r="G49" s="15">
        <f ca="1">IFERROR(__xludf.DUMMYFUNCTION("""COMPUTED_VALUE"""),0.663194444444444)</f>
        <v>0.66319444444444398</v>
      </c>
      <c r="H49" s="5" t="str">
        <f ca="1">IFERROR(__xludf.DUMMYFUNCTION("""COMPUTED_VALUE"""),"LINE 1")</f>
        <v>LINE 1</v>
      </c>
      <c r="I49" s="5">
        <f ca="1">IFERROR(__xludf.DUMMYFUNCTION("""COMPUTED_VALUE"""),20019987)</f>
        <v>20019987</v>
      </c>
      <c r="J49" s="5" t="str">
        <f ca="1">IFERROR(__xludf.DUMMYFUNCTION("""COMPUTED_VALUE"""),"LLENADORA BOTELLAS PET")</f>
        <v>LLENADORA BOTELLAS PET</v>
      </c>
      <c r="K49" s="5" t="str">
        <f ca="1">IFERROR(__xludf.DUMMYFUNCTION("""COMPUTED_VALUE"""),"Aguado Lemos Luis Eyder")</f>
        <v>Aguado Lemos Luis Eyder</v>
      </c>
    </row>
    <row r="50" spans="1:11" ht="13.2">
      <c r="A50" s="5" t="str">
        <f ca="1">IFERROR(__xludf.DUMMYFUNCTION("""COMPUTED_VALUE"""),"TURNO B")</f>
        <v>TURNO B</v>
      </c>
      <c r="B50" s="5">
        <f ca="1">IFERROR(__xludf.DUMMYFUNCTION("""COMPUTED_VALUE"""),23902902)</f>
        <v>23902902</v>
      </c>
      <c r="C50" s="14">
        <f ca="1">IFERROR(__xludf.DUMMYFUNCTION("""COMPUTED_VALUE"""),45355)</f>
        <v>45355</v>
      </c>
      <c r="D50" s="5" t="str">
        <f ca="1">IFERROR(__xludf.DUMMYFUNCTION("""COMPUTED_VALUE"""),"Cambio cilindro mesa plegado")</f>
        <v>Cambio cilindro mesa plegado</v>
      </c>
      <c r="E50" s="5">
        <f ca="1">IFERROR(__xludf.DUMMYFUNCTION("""COMPUTED_VALUE"""),2.13)</f>
        <v>2.13</v>
      </c>
      <c r="F50" s="15">
        <f ca="1">IFERROR(__xludf.DUMMYFUNCTION("""COMPUTED_VALUE"""),0.659722222222222)</f>
        <v>0.65972222222222199</v>
      </c>
      <c r="G50" s="15">
        <f ca="1">IFERROR(__xludf.DUMMYFUNCTION("""COMPUTED_VALUE"""),0.748611111111111)</f>
        <v>0.74861111111111101</v>
      </c>
      <c r="H50" s="5" t="str">
        <f ca="1">IFERROR(__xludf.DUMMYFUNCTION("""COMPUTED_VALUE"""),"LINE 1")</f>
        <v>LINE 1</v>
      </c>
      <c r="I50" s="5">
        <f ca="1">IFERROR(__xludf.DUMMYFUNCTION("""COMPUTED_VALUE"""),20009915)</f>
        <v>20009915</v>
      </c>
      <c r="J50" s="5" t="str">
        <f ca="1">IFERROR(__xludf.DUMMYFUNCTION("""COMPUTED_VALUE"""),"ENFARDADORA")</f>
        <v>ENFARDADORA</v>
      </c>
      <c r="K50" s="5" t="str">
        <f ca="1">IFERROR(__xludf.DUMMYFUNCTION("""COMPUTED_VALUE"""),"Lozano Delgado Fausto Andres")</f>
        <v>Lozano Delgado Fausto Andres</v>
      </c>
    </row>
    <row r="51" spans="1:11" ht="13.2">
      <c r="A51" s="5" t="str">
        <f ca="1">IFERROR(__xludf.DUMMYFUNCTION("""COMPUTED_VALUE"""),"TURNO B")</f>
        <v>TURNO B</v>
      </c>
      <c r="B51" s="5">
        <f ca="1">IFERROR(__xludf.DUMMYFUNCTION("""COMPUTED_VALUE"""),23902906)</f>
        <v>23902906</v>
      </c>
      <c r="C51" s="14">
        <f ca="1">IFERROR(__xludf.DUMMYFUNCTION("""COMPUTED_VALUE"""),45355)</f>
        <v>45355</v>
      </c>
      <c r="D51" s="5" t="str">
        <f ca="1">IFERROR(__xludf.DUMMYFUNCTION("""COMPUTED_VALUE"""),"Ajuste sensor banda plegado")</f>
        <v>Ajuste sensor banda plegado</v>
      </c>
      <c r="E51" s="5">
        <f ca="1">IFERROR(__xludf.DUMMYFUNCTION("""COMPUTED_VALUE"""),0.25)</f>
        <v>0.25</v>
      </c>
      <c r="F51" s="15">
        <f ca="1">IFERROR(__xludf.DUMMYFUNCTION("""COMPUTED_VALUE"""),0.75)</f>
        <v>0.75</v>
      </c>
      <c r="G51" s="15">
        <f ca="1">IFERROR(__xludf.DUMMYFUNCTION("""COMPUTED_VALUE"""),0.760416666666666)</f>
        <v>0.76041666666666596</v>
      </c>
      <c r="H51" s="5" t="str">
        <f ca="1">IFERROR(__xludf.DUMMYFUNCTION("""COMPUTED_VALUE"""),"LINE 1")</f>
        <v>LINE 1</v>
      </c>
      <c r="I51" s="5">
        <f ca="1">IFERROR(__xludf.DUMMYFUNCTION("""COMPUTED_VALUE"""),20009915)</f>
        <v>20009915</v>
      </c>
      <c r="J51" s="5" t="str">
        <f ca="1">IFERROR(__xludf.DUMMYFUNCTION("""COMPUTED_VALUE"""),"ENFARDADORA")</f>
        <v>ENFARDADORA</v>
      </c>
      <c r="K51" s="5" t="str">
        <f ca="1">IFERROR(__xludf.DUMMYFUNCTION("""COMPUTED_VALUE"""),"Lozano Delgado Fausto Andres")</f>
        <v>Lozano Delgado Fausto Andres</v>
      </c>
    </row>
    <row r="52" spans="1:11" ht="13.2">
      <c r="A52" s="5" t="str">
        <f ca="1">IFERROR(__xludf.DUMMYFUNCTION("""COMPUTED_VALUE"""),"TURNO B")</f>
        <v>TURNO B</v>
      </c>
      <c r="B52" s="5">
        <f ca="1">IFERROR(__xludf.DUMMYFUNCTION("""COMPUTED_VALUE"""),23902908)</f>
        <v>23902908</v>
      </c>
      <c r="C52" s="14">
        <f ca="1">IFERROR(__xludf.DUMMYFUNCTION("""COMPUTED_VALUE"""),45355)</f>
        <v>45355</v>
      </c>
      <c r="D52" s="5" t="str">
        <f ca="1">IFERROR(__xludf.DUMMYFUNCTION("""COMPUTED_VALUE"""),"Atascamiento botella")</f>
        <v>Atascamiento botella</v>
      </c>
      <c r="E52" s="5">
        <f ca="1">IFERROR(__xludf.DUMMYFUNCTION("""COMPUTED_VALUE"""),0.08)</f>
        <v>0.08</v>
      </c>
      <c r="F52" s="15">
        <f ca="1">IFERROR(__xludf.DUMMYFUNCTION("""COMPUTED_VALUE"""),0.756944444444444)</f>
        <v>0.75694444444444398</v>
      </c>
      <c r="G52" s="15">
        <f ca="1">IFERROR(__xludf.DUMMYFUNCTION("""COMPUTED_VALUE"""),0.760416666666666)</f>
        <v>0.76041666666666596</v>
      </c>
      <c r="H52" s="5" t="str">
        <f ca="1">IFERROR(__xludf.DUMMYFUNCTION("""COMPUTED_VALUE"""),"LINE 1")</f>
        <v>LINE 1</v>
      </c>
      <c r="I52" s="5">
        <f ca="1">IFERROR(__xludf.DUMMYFUNCTION("""COMPUTED_VALUE"""),20075387)</f>
        <v>20075387</v>
      </c>
      <c r="J52" s="5" t="str">
        <f ca="1">IFERROR(__xludf.DUMMYFUNCTION("""COMPUTED_VALUE"""),"TRANSPORTADORES DE ENVASE VACIO")</f>
        <v>TRANSPORTADORES DE ENVASE VACIO</v>
      </c>
      <c r="K52" s="5" t="str">
        <f ca="1">IFERROR(__xludf.DUMMYFUNCTION("""COMPUTED_VALUE"""),"Cristian Suaza")</f>
        <v>Cristian Suaza</v>
      </c>
    </row>
    <row r="53" spans="1:11" ht="13.2">
      <c r="A53" s="5" t="str">
        <f ca="1">IFERROR(__xludf.DUMMYFUNCTION("""COMPUTED_VALUE"""),"TURNO B")</f>
        <v>TURNO B</v>
      </c>
      <c r="B53" s="5">
        <f ca="1">IFERROR(__xludf.DUMMYFUNCTION("""COMPUTED_VALUE"""),23903090)</f>
        <v>23903090</v>
      </c>
      <c r="C53" s="14">
        <f ca="1">IFERROR(__xludf.DUMMYFUNCTION("""COMPUTED_VALUE"""),45355)</f>
        <v>45355</v>
      </c>
      <c r="D53" s="5" t="str">
        <f ca="1">IFERROR(__xludf.DUMMYFUNCTION("""COMPUTED_VALUE"""),"Parte tornillo eje dedos empujadores")</f>
        <v>Parte tornillo eje dedos empujadores</v>
      </c>
      <c r="E53" s="5">
        <f ca="1">IFERROR(__xludf.DUMMYFUNCTION("""COMPUTED_VALUE"""),1.43)</f>
        <v>1.43</v>
      </c>
      <c r="F53" s="15">
        <f ca="1">IFERROR(__xludf.DUMMYFUNCTION("""COMPUTED_VALUE"""),0.815277777777777)</f>
        <v>0.81527777777777699</v>
      </c>
      <c r="G53" s="15">
        <f ca="1">IFERROR(__xludf.DUMMYFUNCTION("""COMPUTED_VALUE"""),0.875)</f>
        <v>0.875</v>
      </c>
      <c r="H53" s="5" t="str">
        <f ca="1">IFERROR(__xludf.DUMMYFUNCTION("""COMPUTED_VALUE"""),"LINE 1")</f>
        <v>LINE 1</v>
      </c>
      <c r="I53" s="5">
        <f ca="1">IFERROR(__xludf.DUMMYFUNCTION("""COMPUTED_VALUE"""),20009915)</f>
        <v>20009915</v>
      </c>
      <c r="J53" s="5" t="str">
        <f ca="1">IFERROR(__xludf.DUMMYFUNCTION("""COMPUTED_VALUE"""),"ENFARDADORA")</f>
        <v>ENFARDADORA</v>
      </c>
      <c r="K53" s="5" t="str">
        <f ca="1">IFERROR(__xludf.DUMMYFUNCTION("""COMPUTED_VALUE"""),"Lozano Delgado Fausto Andres")</f>
        <v>Lozano Delgado Fausto Andres</v>
      </c>
    </row>
    <row r="54" spans="1:11" ht="13.2">
      <c r="A54" s="5" t="str">
        <f ca="1">IFERROR(__xludf.DUMMYFUNCTION("""COMPUTED_VALUE"""),"TURNO B")</f>
        <v>TURNO B</v>
      </c>
      <c r="B54" s="5">
        <f ca="1">IFERROR(__xludf.DUMMYFUNCTION("""COMPUTED_VALUE"""),23903142)</f>
        <v>23903142</v>
      </c>
      <c r="C54" s="14">
        <f ca="1">IFERROR(__xludf.DUMMYFUNCTION("""COMPUTED_VALUE"""),45355)</f>
        <v>45355</v>
      </c>
      <c r="D54" s="5" t="str">
        <f ca="1">IFERROR(__xludf.DUMMYFUNCTION("""COMPUTED_VALUE"""),"Falla comunicacion")</f>
        <v>Falla comunicacion</v>
      </c>
      <c r="E54" s="5">
        <f ca="1">IFERROR(__xludf.DUMMYFUNCTION("""COMPUTED_VALUE"""),1)</f>
        <v>1</v>
      </c>
      <c r="F54" s="15">
        <f ca="1">IFERROR(__xludf.DUMMYFUNCTION("""COMPUTED_VALUE"""),0.875)</f>
        <v>0.875</v>
      </c>
      <c r="G54" s="15">
        <f ca="1">IFERROR(__xludf.DUMMYFUNCTION("""COMPUTED_VALUE"""),0.916666666666666)</f>
        <v>0.91666666666666596</v>
      </c>
      <c r="H54" s="5" t="str">
        <f ca="1">IFERROR(__xludf.DUMMYFUNCTION("""COMPUTED_VALUE"""),"LINE 1")</f>
        <v>LINE 1</v>
      </c>
      <c r="I54" s="5">
        <f ca="1">IFERROR(__xludf.DUMMYFUNCTION("""COMPUTED_VALUE"""),20009915)</f>
        <v>20009915</v>
      </c>
      <c r="J54" s="5" t="str">
        <f ca="1">IFERROR(__xludf.DUMMYFUNCTION("""COMPUTED_VALUE"""),"ENFARDADORA")</f>
        <v>ENFARDADORA</v>
      </c>
      <c r="K54" s="5" t="str">
        <f ca="1">IFERROR(__xludf.DUMMYFUNCTION("""COMPUTED_VALUE"""),"Lozano Delgado Fausto Andres")</f>
        <v>Lozano Delgado Fausto Andres</v>
      </c>
    </row>
    <row r="55" spans="1:11" ht="13.2">
      <c r="A55" s="5" t="str">
        <f ca="1">IFERROR(__xludf.DUMMYFUNCTION("""COMPUTED_VALUE"""),"TURNO C")</f>
        <v>TURNO C</v>
      </c>
      <c r="B55" s="5">
        <f ca="1">IFERROR(__xludf.DUMMYFUNCTION("""COMPUTED_VALUE"""),23903439)</f>
        <v>23903439</v>
      </c>
      <c r="C55" s="14">
        <f ca="1">IFERROR(__xludf.DUMMYFUNCTION("""COMPUTED_VALUE"""),45355)</f>
        <v>45355</v>
      </c>
      <c r="D55" s="5" t="str">
        <f ca="1">IFERROR(__xludf.DUMMYFUNCTION("""COMPUTED_VALUE"""),"Caida de botellas salida llenadora")</f>
        <v>Caida de botellas salida llenadora</v>
      </c>
      <c r="E55" s="5">
        <f ca="1">IFERROR(__xludf.DUMMYFUNCTION("""COMPUTED_VALUE"""),0.13)</f>
        <v>0.13</v>
      </c>
      <c r="F55" s="15">
        <f ca="1">IFERROR(__xludf.DUMMYFUNCTION("""COMPUTED_VALUE"""),0.131944444444444)</f>
        <v>0.131944444444444</v>
      </c>
      <c r="G55" s="15">
        <f ca="1">IFERROR(__xludf.DUMMYFUNCTION("""COMPUTED_VALUE"""),0.137499999999999)</f>
        <v>0.13749999999999901</v>
      </c>
      <c r="H55" s="5" t="str">
        <f ca="1">IFERROR(__xludf.DUMMYFUNCTION("""COMPUTED_VALUE"""),"LINE 1")</f>
        <v>LINE 1</v>
      </c>
      <c r="I55" s="5">
        <f ca="1">IFERROR(__xludf.DUMMYFUNCTION("""COMPUTED_VALUE"""),20036419)</f>
        <v>20036419</v>
      </c>
      <c r="J55" s="5" t="str">
        <f ca="1">IFERROR(__xludf.DUMMYFUNCTION("""COMPUTED_VALUE"""),"TRANSPORTADORES DE BEBIDA")</f>
        <v>TRANSPORTADORES DE BEBIDA</v>
      </c>
      <c r="K55" s="5" t="str">
        <f ca="1">IFERROR(__xludf.DUMMYFUNCTION("""COMPUTED_VALUE"""),"Adalcides Campo")</f>
        <v>Adalcides Campo</v>
      </c>
    </row>
    <row r="56" spans="1:11" ht="13.2">
      <c r="A56" s="5" t="str">
        <f ca="1">IFERROR(__xludf.DUMMYFUNCTION("""COMPUTED_VALUE"""),"TURNO C")</f>
        <v>TURNO C</v>
      </c>
      <c r="B56" s="5">
        <f ca="1">IFERROR(__xludf.DUMMYFUNCTION("""COMPUTED_VALUE"""),23903493)</f>
        <v>23903493</v>
      </c>
      <c r="C56" s="14">
        <f ca="1">IFERROR(__xludf.DUMMYFUNCTION("""COMPUTED_VALUE"""),45355)</f>
        <v>45355</v>
      </c>
      <c r="D56" s="5" t="str">
        <f ca="1">IFERROR(__xludf.DUMMYFUNCTION("""COMPUTED_VALUE"""),"Cambio pinza estrella de transferencia")</f>
        <v>Cambio pinza estrella de transferencia</v>
      </c>
      <c r="E56" s="5">
        <f ca="1">IFERROR(__xludf.DUMMYFUNCTION("""COMPUTED_VALUE"""),0.2)</f>
        <v>0.2</v>
      </c>
      <c r="F56" s="15">
        <f ca="1">IFERROR(__xludf.DUMMYFUNCTION("""COMPUTED_VALUE"""),0.181944444444444)</f>
        <v>0.18194444444444399</v>
      </c>
      <c r="G56" s="15">
        <f ca="1">IFERROR(__xludf.DUMMYFUNCTION("""COMPUTED_VALUE"""),0.190277777777777)</f>
        <v>0.19027777777777699</v>
      </c>
      <c r="H56" s="5" t="str">
        <f ca="1">IFERROR(__xludf.DUMMYFUNCTION("""COMPUTED_VALUE"""),"LINE 1")</f>
        <v>LINE 1</v>
      </c>
      <c r="I56" s="5">
        <f ca="1">IFERROR(__xludf.DUMMYFUNCTION("""COMPUTED_VALUE"""),20036419)</f>
        <v>20036419</v>
      </c>
      <c r="J56" s="5" t="str">
        <f ca="1">IFERROR(__xludf.DUMMYFUNCTION("""COMPUTED_VALUE"""),"LLENADORA BOTELLAS PET")</f>
        <v>LLENADORA BOTELLAS PET</v>
      </c>
      <c r="K56" s="5" t="str">
        <f ca="1">IFERROR(__xludf.DUMMYFUNCTION("""COMPUTED_VALUE"""),"Adalcides Campo")</f>
        <v>Adalcides Campo</v>
      </c>
    </row>
    <row r="57" spans="1:11" ht="13.2">
      <c r="A57" s="5" t="str">
        <f ca="1">IFERROR(__xludf.DUMMYFUNCTION("""COMPUTED_VALUE"""),"TURNO A")</f>
        <v>TURNO A</v>
      </c>
      <c r="B57" s="5">
        <f ca="1">IFERROR(__xludf.DUMMYFUNCTION("""COMPUTED_VALUE"""),23904041)</f>
        <v>23904041</v>
      </c>
      <c r="C57" s="14">
        <f ca="1">IFERROR(__xludf.DUMMYFUNCTION("""COMPUTED_VALUE"""),45356)</f>
        <v>45356</v>
      </c>
      <c r="D57" s="5" t="str">
        <f ca="1">IFERROR(__xludf.DUMMYFUNCTION("""COMPUTED_VALUE"""),"Atascamiento de botella")</f>
        <v>Atascamiento de botella</v>
      </c>
      <c r="E57" s="5">
        <f ca="1">IFERROR(__xludf.DUMMYFUNCTION("""COMPUTED_VALUE"""),0.03)</f>
        <v>0.03</v>
      </c>
      <c r="F57" s="15">
        <f ca="1">IFERROR(__xludf.DUMMYFUNCTION("""COMPUTED_VALUE"""),0.25)</f>
        <v>0.25</v>
      </c>
      <c r="G57" s="15">
        <f ca="1">IFERROR(__xludf.DUMMYFUNCTION("""COMPUTED_VALUE"""),0.251388888888888)</f>
        <v>0.251388888888888</v>
      </c>
      <c r="H57" s="5" t="str">
        <f ca="1">IFERROR(__xludf.DUMMYFUNCTION("""COMPUTED_VALUE"""),"LINE 1")</f>
        <v>LINE 1</v>
      </c>
      <c r="I57" s="5"/>
      <c r="J57" s="5" t="str">
        <f ca="1">IFERROR(__xludf.DUMMYFUNCTION("""COMPUTED_VALUE"""),"TRANSPORTADORES DE ENVASE VACIO")</f>
        <v>TRANSPORTADORES DE ENVASE VACIO</v>
      </c>
      <c r="K57" s="5" t="str">
        <f ca="1">IFERROR(__xludf.DUMMYFUNCTION("""COMPUTED_VALUE"""),"BLANCO")</f>
        <v>BLANCO</v>
      </c>
    </row>
    <row r="58" spans="1:11" ht="13.2">
      <c r="A58" s="5" t="str">
        <f ca="1">IFERROR(__xludf.DUMMYFUNCTION("""COMPUTED_VALUE"""),"TURNO A")</f>
        <v>TURNO A</v>
      </c>
      <c r="B58" s="5">
        <f ca="1">IFERROR(__xludf.DUMMYFUNCTION("""COMPUTED_VALUE"""),23904246)</f>
        <v>23904246</v>
      </c>
      <c r="C58" s="14">
        <f ca="1">IFERROR(__xludf.DUMMYFUNCTION("""COMPUTED_VALUE"""),45356)</f>
        <v>45356</v>
      </c>
      <c r="D58" s="5" t="str">
        <f ca="1">IFERROR(__xludf.DUMMYFUNCTION("""COMPUTED_VALUE"""),"Ajuste de guias Salida botella")</f>
        <v>Ajuste de guias Salida botella</v>
      </c>
      <c r="E58" s="5">
        <f ca="1">IFERROR(__xludf.DUMMYFUNCTION("""COMPUTED_VALUE"""),1.7)</f>
        <v>1.7</v>
      </c>
      <c r="F58" s="15">
        <f ca="1">IFERROR(__xludf.DUMMYFUNCTION("""COMPUTED_VALUE"""),0.319444444444444)</f>
        <v>0.31944444444444398</v>
      </c>
      <c r="G58" s="15">
        <f ca="1">IFERROR(__xludf.DUMMYFUNCTION("""COMPUTED_VALUE"""),0.390277777777777)</f>
        <v>0.390277777777777</v>
      </c>
      <c r="H58" s="5" t="str">
        <f ca="1">IFERROR(__xludf.DUMMYFUNCTION("""COMPUTED_VALUE"""),"LINE 1")</f>
        <v>LINE 1</v>
      </c>
      <c r="I58" s="5">
        <f ca="1">IFERROR(__xludf.DUMMYFUNCTION("""COMPUTED_VALUE"""),20020754)</f>
        <v>20020754</v>
      </c>
      <c r="J58" s="5" t="str">
        <f ca="1">IFERROR(__xludf.DUMMYFUNCTION("""COMPUTED_VALUE"""),"ETIQUETADORA ENVOLVENTE")</f>
        <v>ETIQUETADORA ENVOLVENTE</v>
      </c>
      <c r="K58" s="5" t="str">
        <f ca="1">IFERROR(__xludf.DUMMYFUNCTION("""COMPUTED_VALUE"""),"Sanchez Rodriguez Gerson Andres")</f>
        <v>Sanchez Rodriguez Gerson Andres</v>
      </c>
    </row>
    <row r="59" spans="1:11" ht="13.2">
      <c r="A59" s="5" t="str">
        <f ca="1">IFERROR(__xludf.DUMMYFUNCTION("""COMPUTED_VALUE"""),"TURNO A")</f>
        <v>TURNO A</v>
      </c>
      <c r="B59" s="5">
        <f ca="1">IFERROR(__xludf.DUMMYFUNCTION("""COMPUTED_VALUE"""),23904274)</f>
        <v>23904274</v>
      </c>
      <c r="C59" s="14">
        <f ca="1">IFERROR(__xludf.DUMMYFUNCTION("""COMPUTED_VALUE"""),45356)</f>
        <v>45356</v>
      </c>
      <c r="D59" s="5" t="str">
        <f ca="1">IFERROR(__xludf.DUMMYFUNCTION("""COMPUTED_VALUE"""),"Botellas sin tapa")</f>
        <v>Botellas sin tapa</v>
      </c>
      <c r="E59" s="5">
        <f ca="1">IFERROR(__xludf.DUMMYFUNCTION("""COMPUTED_VALUE"""),0.17)</f>
        <v>0.17</v>
      </c>
      <c r="F59" s="15">
        <f ca="1">IFERROR(__xludf.DUMMYFUNCTION("""COMPUTED_VALUE"""),0.416666666666666)</f>
        <v>0.41666666666666602</v>
      </c>
      <c r="G59" s="15">
        <f ca="1">IFERROR(__xludf.DUMMYFUNCTION("""COMPUTED_VALUE"""),0.423611111111111)</f>
        <v>0.42361111111111099</v>
      </c>
      <c r="H59" s="5" t="str">
        <f ca="1">IFERROR(__xludf.DUMMYFUNCTION("""COMPUTED_VALUE"""),"LINE 1")</f>
        <v>LINE 1</v>
      </c>
      <c r="I59" s="5">
        <f ca="1">IFERROR(__xludf.DUMMYFUNCTION("""COMPUTED_VALUE"""),20082152)</f>
        <v>20082152</v>
      </c>
      <c r="J59" s="5" t="str">
        <f ca="1">IFERROR(__xludf.DUMMYFUNCTION("""COMPUTED_VALUE"""),"LLENADORA BOTELLAS PET")</f>
        <v>LLENADORA BOTELLAS PET</v>
      </c>
      <c r="K59" s="5" t="str">
        <f ca="1">IFERROR(__xludf.DUMMYFUNCTION("""COMPUTED_VALUE"""),"Ferney Ramos")</f>
        <v>Ferney Ramos</v>
      </c>
    </row>
    <row r="60" spans="1:11" ht="13.2">
      <c r="A60" s="5" t="str">
        <f ca="1">IFERROR(__xludf.DUMMYFUNCTION("""COMPUTED_VALUE"""),"TURNO A")</f>
        <v>TURNO A</v>
      </c>
      <c r="B60" s="5">
        <f ca="1">IFERROR(__xludf.DUMMYFUNCTION("""COMPUTED_VALUE"""),23904276)</f>
        <v>23904276</v>
      </c>
      <c r="C60" s="14">
        <f ca="1">IFERROR(__xludf.DUMMYFUNCTION("""COMPUTED_VALUE"""),45356)</f>
        <v>45356</v>
      </c>
      <c r="D60" s="5" t="str">
        <f ca="1">IFERROR(__xludf.DUMMYFUNCTION("""COMPUTED_VALUE"""),"Atascamiento de botella")</f>
        <v>Atascamiento de botella</v>
      </c>
      <c r="E60" s="5">
        <f ca="1">IFERROR(__xludf.DUMMYFUNCTION("""COMPUTED_VALUE"""),0.18)</f>
        <v>0.18</v>
      </c>
      <c r="F60" s="15">
        <f ca="1">IFERROR(__xludf.DUMMYFUNCTION("""COMPUTED_VALUE"""),0.430555555555555)</f>
        <v>0.43055555555555503</v>
      </c>
      <c r="G60" s="15">
        <f ca="1">IFERROR(__xludf.DUMMYFUNCTION("""COMPUTED_VALUE"""),0.438194444444444)</f>
        <v>0.438194444444444</v>
      </c>
      <c r="H60" s="5" t="str">
        <f ca="1">IFERROR(__xludf.DUMMYFUNCTION("""COMPUTED_VALUE"""),"LINE 1")</f>
        <v>LINE 1</v>
      </c>
      <c r="I60" s="5">
        <f ca="1">IFERROR(__xludf.DUMMYFUNCTION("""COMPUTED_VALUE"""),20020754)</f>
        <v>20020754</v>
      </c>
      <c r="J60" s="5" t="str">
        <f ca="1">IFERROR(__xludf.DUMMYFUNCTION("""COMPUTED_VALUE"""),"TRANSPORTADORES DE ENVASE VACIO")</f>
        <v>TRANSPORTADORES DE ENVASE VACIO</v>
      </c>
      <c r="K60" s="5" t="str">
        <f ca="1">IFERROR(__xludf.DUMMYFUNCTION("""COMPUTED_VALUE"""),"Sanchez Rodriguez Gerson Andres")</f>
        <v>Sanchez Rodriguez Gerson Andres</v>
      </c>
    </row>
    <row r="61" spans="1:11" ht="13.2">
      <c r="A61" s="5" t="str">
        <f ca="1">IFERROR(__xludf.DUMMYFUNCTION("""COMPUTED_VALUE"""),"TURNO B")</f>
        <v>TURNO B</v>
      </c>
      <c r="B61" s="5">
        <f ca="1">IFERROR(__xludf.DUMMYFUNCTION("""COMPUTED_VALUE"""),23904681)</f>
        <v>23904681</v>
      </c>
      <c r="C61" s="14">
        <f ca="1">IFERROR(__xludf.DUMMYFUNCTION("""COMPUTED_VALUE"""),45356)</f>
        <v>45356</v>
      </c>
      <c r="D61" s="5" t="str">
        <f ca="1">IFERROR(__xludf.DUMMYFUNCTION("""COMPUTED_VALUE"""),"Atascamiento botellas")</f>
        <v>Atascamiento botellas</v>
      </c>
      <c r="E61" s="5">
        <f ca="1">IFERROR(__xludf.DUMMYFUNCTION("""COMPUTED_VALUE"""),0.27)</f>
        <v>0.27</v>
      </c>
      <c r="F61" s="15">
        <f ca="1">IFERROR(__xludf.DUMMYFUNCTION("""COMPUTED_VALUE"""),0.590277777777777)</f>
        <v>0.59027777777777701</v>
      </c>
      <c r="G61" s="15">
        <f ca="1">IFERROR(__xludf.DUMMYFUNCTION("""COMPUTED_VALUE"""),0.601388888888888)</f>
        <v>0.60138888888888797</v>
      </c>
      <c r="H61" s="5" t="str">
        <f ca="1">IFERROR(__xludf.DUMMYFUNCTION("""COMPUTED_VALUE"""),"LINE 1")</f>
        <v>LINE 1</v>
      </c>
      <c r="I61" s="5">
        <f ca="1">IFERROR(__xludf.DUMMYFUNCTION("""COMPUTED_VALUE"""),20075387)</f>
        <v>20075387</v>
      </c>
      <c r="J61" s="5" t="str">
        <f ca="1">IFERROR(__xludf.DUMMYFUNCTION("""COMPUTED_VALUE"""),"TRANSPORTADORES DE ENVASE VACIO")</f>
        <v>TRANSPORTADORES DE ENVASE VACIO</v>
      </c>
      <c r="K61" s="5" t="str">
        <f ca="1">IFERROR(__xludf.DUMMYFUNCTION("""COMPUTED_VALUE"""),"Cristian Suaza")</f>
        <v>Cristian Suaza</v>
      </c>
    </row>
    <row r="62" spans="1:11" ht="13.2">
      <c r="A62" s="5" t="str">
        <f ca="1">IFERROR(__xludf.DUMMYFUNCTION("""COMPUTED_VALUE"""),"TURNO B")</f>
        <v>TURNO B</v>
      </c>
      <c r="B62" s="5">
        <f ca="1">IFERROR(__xludf.DUMMYFUNCTION("""COMPUTED_VALUE"""),23905031)</f>
        <v>23905031</v>
      </c>
      <c r="C62" s="14">
        <f ca="1">IFERROR(__xludf.DUMMYFUNCTION("""COMPUTED_VALUE"""),45356)</f>
        <v>45356</v>
      </c>
      <c r="D62" s="5" t="str">
        <f ca="1">IFERROR(__xludf.DUMMYFUNCTION("""COMPUTED_VALUE"""),"Atascamiento botellas")</f>
        <v>Atascamiento botellas</v>
      </c>
      <c r="E62" s="5">
        <f ca="1">IFERROR(__xludf.DUMMYFUNCTION("""COMPUTED_VALUE"""),0.25)</f>
        <v>0.25</v>
      </c>
      <c r="F62" s="15">
        <f ca="1">IFERROR(__xludf.DUMMYFUNCTION("""COMPUTED_VALUE"""),0.6875)</f>
        <v>0.6875</v>
      </c>
      <c r="G62" s="15">
        <f ca="1">IFERROR(__xludf.DUMMYFUNCTION("""COMPUTED_VALUE"""),0.697916666666666)</f>
        <v>0.69791666666666596</v>
      </c>
      <c r="H62" s="5" t="str">
        <f ca="1">IFERROR(__xludf.DUMMYFUNCTION("""COMPUTED_VALUE"""),"LINE 1")</f>
        <v>LINE 1</v>
      </c>
      <c r="I62" s="5">
        <f ca="1">IFERROR(__xludf.DUMMYFUNCTION("""COMPUTED_VALUE"""),20075387)</f>
        <v>20075387</v>
      </c>
      <c r="J62" s="5" t="str">
        <f ca="1">IFERROR(__xludf.DUMMYFUNCTION("""COMPUTED_VALUE"""),"TRANSPORTADORES DE ENVASE VACIO")</f>
        <v>TRANSPORTADORES DE ENVASE VACIO</v>
      </c>
      <c r="K62" s="5" t="str">
        <f ca="1">IFERROR(__xludf.DUMMYFUNCTION("""COMPUTED_VALUE"""),"Cristian Suaza")</f>
        <v>Cristian Suaza</v>
      </c>
    </row>
    <row r="63" spans="1:11" ht="13.2">
      <c r="A63" s="5" t="str">
        <f ca="1">IFERROR(__xludf.DUMMYFUNCTION("""COMPUTED_VALUE"""),"TURNO B")</f>
        <v>TURNO B</v>
      </c>
      <c r="B63" s="5">
        <f ca="1">IFERROR(__xludf.DUMMYFUNCTION("""COMPUTED_VALUE"""),23905066)</f>
        <v>23905066</v>
      </c>
      <c r="C63" s="14">
        <f ca="1">IFERROR(__xludf.DUMMYFUNCTION("""COMPUTED_VALUE"""),45356)</f>
        <v>45356</v>
      </c>
      <c r="D63" s="5" t="str">
        <f ca="1">IFERROR(__xludf.DUMMYFUNCTION("""COMPUTED_VALUE"""),"Se pierde sincronizacion")</f>
        <v>Se pierde sincronizacion</v>
      </c>
      <c r="E63" s="5">
        <f ca="1">IFERROR(__xludf.DUMMYFUNCTION("""COMPUTED_VALUE"""),0.78)</f>
        <v>0.78</v>
      </c>
      <c r="F63" s="15">
        <f ca="1">IFERROR(__xludf.DUMMYFUNCTION("""COMPUTED_VALUE"""),0.708333333333333)</f>
        <v>0.70833333333333304</v>
      </c>
      <c r="G63" s="15">
        <f ca="1">IFERROR(__xludf.DUMMYFUNCTION("""COMPUTED_VALUE"""),0.740972222222222)</f>
        <v>0.74097222222222203</v>
      </c>
      <c r="H63" s="5" t="str">
        <f ca="1">IFERROR(__xludf.DUMMYFUNCTION("""COMPUTED_VALUE"""),"LINE 1")</f>
        <v>LINE 1</v>
      </c>
      <c r="I63" s="5">
        <f ca="1">IFERROR(__xludf.DUMMYFUNCTION("""COMPUTED_VALUE"""),20009915)</f>
        <v>20009915</v>
      </c>
      <c r="J63" s="5" t="str">
        <f ca="1">IFERROR(__xludf.DUMMYFUNCTION("""COMPUTED_VALUE"""),"ENFARDADORA")</f>
        <v>ENFARDADORA</v>
      </c>
      <c r="K63" s="5" t="str">
        <f ca="1">IFERROR(__xludf.DUMMYFUNCTION("""COMPUTED_VALUE"""),"Lozano Delgado Fausto Andres")</f>
        <v>Lozano Delgado Fausto Andres</v>
      </c>
    </row>
    <row r="64" spans="1:11" ht="13.2">
      <c r="A64" s="5" t="str">
        <f ca="1">IFERROR(__xludf.DUMMYFUNCTION("""COMPUTED_VALUE"""),"TURNO B")</f>
        <v>TURNO B</v>
      </c>
      <c r="B64" s="5">
        <f ca="1">IFERROR(__xludf.DUMMYFUNCTION("""COMPUTED_VALUE"""),23905067)</f>
        <v>23905067</v>
      </c>
      <c r="C64" s="14">
        <f ca="1">IFERROR(__xludf.DUMMYFUNCTION("""COMPUTED_VALUE"""),45356)</f>
        <v>45356</v>
      </c>
      <c r="D64" s="5" t="str">
        <f ca="1">IFERROR(__xludf.DUMMYFUNCTION("""COMPUTED_VALUE"""),"Caida de botellas salida llenadora")</f>
        <v>Caida de botellas salida llenadora</v>
      </c>
      <c r="E64" s="5">
        <f ca="1">IFERROR(__xludf.DUMMYFUNCTION("""COMPUTED_VALUE"""),0.55)</f>
        <v>0.55000000000000004</v>
      </c>
      <c r="F64" s="15">
        <f ca="1">IFERROR(__xludf.DUMMYFUNCTION("""COMPUTED_VALUE"""),0.756944444444444)</f>
        <v>0.75694444444444398</v>
      </c>
      <c r="G64" s="15">
        <f ca="1">IFERROR(__xludf.DUMMYFUNCTION("""COMPUTED_VALUE"""),0.779861111111111)</f>
        <v>0.77986111111111101</v>
      </c>
      <c r="H64" s="5" t="str">
        <f ca="1">IFERROR(__xludf.DUMMYFUNCTION("""COMPUTED_VALUE"""),"LINE 1")</f>
        <v>LINE 1</v>
      </c>
      <c r="I64" s="5">
        <f ca="1">IFERROR(__xludf.DUMMYFUNCTION("""COMPUTED_VALUE"""),20019987)</f>
        <v>20019987</v>
      </c>
      <c r="J64" s="5" t="str">
        <f ca="1">IFERROR(__xludf.DUMMYFUNCTION("""COMPUTED_VALUE"""),"TRANSPORTADORES DE BEBIDA")</f>
        <v>TRANSPORTADORES DE BEBIDA</v>
      </c>
      <c r="K64" s="5" t="str">
        <f ca="1">IFERROR(__xludf.DUMMYFUNCTION("""COMPUTED_VALUE"""),"Aguado Lemos Luis Eyder")</f>
        <v>Aguado Lemos Luis Eyder</v>
      </c>
    </row>
    <row r="65" spans="1:11" ht="13.2">
      <c r="A65" s="5" t="str">
        <f ca="1">IFERROR(__xludf.DUMMYFUNCTION("""COMPUTED_VALUE"""),"TURNO B")</f>
        <v>TURNO B</v>
      </c>
      <c r="B65" s="5">
        <f ca="1">IFERROR(__xludf.DUMMYFUNCTION("""COMPUTED_VALUE"""),23905143)</f>
        <v>23905143</v>
      </c>
      <c r="C65" s="14">
        <f ca="1">IFERROR(__xludf.DUMMYFUNCTION("""COMPUTED_VALUE"""),45356)</f>
        <v>45356</v>
      </c>
      <c r="D65" s="5" t="str">
        <f ca="1">IFERROR(__xludf.DUMMYFUNCTION("""COMPUTED_VALUE"""),"Atascamiento botellas")</f>
        <v>Atascamiento botellas</v>
      </c>
      <c r="E65" s="5">
        <f ca="1">IFERROR(__xludf.DUMMYFUNCTION("""COMPUTED_VALUE"""),0.1)</f>
        <v>0.1</v>
      </c>
      <c r="F65" s="15">
        <f ca="1">IFERROR(__xludf.DUMMYFUNCTION("""COMPUTED_VALUE"""),0.819444444444444)</f>
        <v>0.81944444444444398</v>
      </c>
      <c r="G65" s="15">
        <f ca="1">IFERROR(__xludf.DUMMYFUNCTION("""COMPUTED_VALUE"""),0.823611111111111)</f>
        <v>0.82361111111111096</v>
      </c>
      <c r="H65" s="5" t="str">
        <f ca="1">IFERROR(__xludf.DUMMYFUNCTION("""COMPUTED_VALUE"""),"LINE 1")</f>
        <v>LINE 1</v>
      </c>
      <c r="I65" s="5">
        <f ca="1">IFERROR(__xludf.DUMMYFUNCTION("""COMPUTED_VALUE"""),20075387)</f>
        <v>20075387</v>
      </c>
      <c r="J65" s="5" t="str">
        <f ca="1">IFERROR(__xludf.DUMMYFUNCTION("""COMPUTED_VALUE"""),"TRANSPORTADORES DE ENVASE VACIO")</f>
        <v>TRANSPORTADORES DE ENVASE VACIO</v>
      </c>
      <c r="K65" s="5" t="str">
        <f ca="1">IFERROR(__xludf.DUMMYFUNCTION("""COMPUTED_VALUE"""),"Cristian Suaza")</f>
        <v>Cristian Suaza</v>
      </c>
    </row>
    <row r="66" spans="1:11" ht="13.2">
      <c r="A66" s="5" t="str">
        <f ca="1">IFERROR(__xludf.DUMMYFUNCTION("""COMPUTED_VALUE"""),"TURNO B")</f>
        <v>TURNO B</v>
      </c>
      <c r="B66" s="5">
        <f ca="1">IFERROR(__xludf.DUMMYFUNCTION("""COMPUTED_VALUE"""),23905195)</f>
        <v>23905195</v>
      </c>
      <c r="C66" s="14">
        <f ca="1">IFERROR(__xludf.DUMMYFUNCTION("""COMPUTED_VALUE"""),45356)</f>
        <v>45356</v>
      </c>
      <c r="D66" s="5" t="str">
        <f ca="1">IFERROR(__xludf.DUMMYFUNCTION("""COMPUTED_VALUE"""),"Caida de botellas salida llenadora")</f>
        <v>Caida de botellas salida llenadora</v>
      </c>
      <c r="E66" s="5">
        <f ca="1">IFERROR(__xludf.DUMMYFUNCTION("""COMPUTED_VALUE"""),0.33)</f>
        <v>0.33</v>
      </c>
      <c r="F66" s="15">
        <f ca="1">IFERROR(__xludf.DUMMYFUNCTION("""COMPUTED_VALUE"""),0.840277777777777)</f>
        <v>0.84027777777777701</v>
      </c>
      <c r="G66" s="15">
        <f ca="1">IFERROR(__xludf.DUMMYFUNCTION("""COMPUTED_VALUE"""),0.854166666666666)</f>
        <v>0.85416666666666596</v>
      </c>
      <c r="H66" s="5" t="str">
        <f ca="1">IFERROR(__xludf.DUMMYFUNCTION("""COMPUTED_VALUE"""),"LINE 1")</f>
        <v>LINE 1</v>
      </c>
      <c r="I66" s="5">
        <f ca="1">IFERROR(__xludf.DUMMYFUNCTION("""COMPUTED_VALUE"""),20019987)</f>
        <v>20019987</v>
      </c>
      <c r="J66" s="5" t="str">
        <f ca="1">IFERROR(__xludf.DUMMYFUNCTION("""COMPUTED_VALUE"""),"TRANSPORTADORES DE BEBIDA")</f>
        <v>TRANSPORTADORES DE BEBIDA</v>
      </c>
      <c r="K66" s="5" t="str">
        <f ca="1">IFERROR(__xludf.DUMMYFUNCTION("""COMPUTED_VALUE"""),"Aguado Lemos Luis Eyder")</f>
        <v>Aguado Lemos Luis Eyder</v>
      </c>
    </row>
    <row r="67" spans="1:11" ht="13.2">
      <c r="A67" s="5" t="str">
        <f ca="1">IFERROR(__xludf.DUMMYFUNCTION("""COMPUTED_VALUE"""),"TURNO B")</f>
        <v>TURNO B</v>
      </c>
      <c r="B67" s="5">
        <f ca="1">IFERROR(__xludf.DUMMYFUNCTION("""COMPUTED_VALUE"""),23905197)</f>
        <v>23905197</v>
      </c>
      <c r="C67" s="14">
        <f ca="1">IFERROR(__xludf.DUMMYFUNCTION("""COMPUTED_VALUE"""),45356)</f>
        <v>45356</v>
      </c>
      <c r="D67" s="5" t="str">
        <f ca="1">IFERROR(__xludf.DUMMYFUNCTION("""COMPUTED_VALUE"""),"Codigo no legible")</f>
        <v>Codigo no legible</v>
      </c>
      <c r="E67" s="5">
        <f ca="1">IFERROR(__xludf.DUMMYFUNCTION("""COMPUTED_VALUE"""),0.28)</f>
        <v>0.28000000000000003</v>
      </c>
      <c r="F67" s="15">
        <f ca="1">IFERROR(__xludf.DUMMYFUNCTION("""COMPUTED_VALUE"""),0.854166666666666)</f>
        <v>0.85416666666666596</v>
      </c>
      <c r="G67" s="15">
        <f ca="1">IFERROR(__xludf.DUMMYFUNCTION("""COMPUTED_VALUE"""),0.865972222222222)</f>
        <v>0.86597222222222203</v>
      </c>
      <c r="H67" s="5" t="str">
        <f ca="1">IFERROR(__xludf.DUMMYFUNCTION("""COMPUTED_VALUE"""),"LINE 1")</f>
        <v>LINE 1</v>
      </c>
      <c r="I67" s="5">
        <f ca="1">IFERROR(__xludf.DUMMYFUNCTION("""COMPUTED_VALUE"""),20019987)</f>
        <v>20019987</v>
      </c>
      <c r="J67" s="5" t="str">
        <f ca="1">IFERROR(__xludf.DUMMYFUNCTION("""COMPUTED_VALUE"""),"CODIFICADOR DE BOTELLAS")</f>
        <v>CODIFICADOR DE BOTELLAS</v>
      </c>
      <c r="K67" s="5" t="str">
        <f ca="1">IFERROR(__xludf.DUMMYFUNCTION("""COMPUTED_VALUE"""),"Aguado Lemos Luis Eyder")</f>
        <v>Aguado Lemos Luis Eyder</v>
      </c>
    </row>
    <row r="68" spans="1:11" ht="13.2">
      <c r="A68" s="5" t="str">
        <f ca="1">IFERROR(__xludf.DUMMYFUNCTION("""COMPUTED_VALUE"""),"TURNO B")</f>
        <v>TURNO B</v>
      </c>
      <c r="B68" s="5">
        <f ca="1">IFERROR(__xludf.DUMMYFUNCTION("""COMPUTED_VALUE"""),23905256)</f>
        <v>23905256</v>
      </c>
      <c r="C68" s="14">
        <f ca="1">IFERROR(__xludf.DUMMYFUNCTION("""COMPUTED_VALUE"""),45356)</f>
        <v>45356</v>
      </c>
      <c r="D68" s="5" t="str">
        <f ca="1">IFERROR(__xludf.DUMMYFUNCTION("""COMPUTED_VALUE"""),"Codigo no legible")</f>
        <v>Codigo no legible</v>
      </c>
      <c r="E68" s="5">
        <f ca="1">IFERROR(__xludf.DUMMYFUNCTION("""COMPUTED_VALUE"""),0.28)</f>
        <v>0.28000000000000003</v>
      </c>
      <c r="F68" s="15">
        <f ca="1">IFERROR(__xludf.DUMMYFUNCTION("""COMPUTED_VALUE"""),0.875)</f>
        <v>0.875</v>
      </c>
      <c r="G68" s="15">
        <f ca="1">IFERROR(__xludf.DUMMYFUNCTION("""COMPUTED_VALUE"""),0.886805555555555)</f>
        <v>0.88680555555555496</v>
      </c>
      <c r="H68" s="5" t="str">
        <f ca="1">IFERROR(__xludf.DUMMYFUNCTION("""COMPUTED_VALUE"""),"LINE 1")</f>
        <v>LINE 1</v>
      </c>
      <c r="I68" s="5">
        <f ca="1">IFERROR(__xludf.DUMMYFUNCTION("""COMPUTED_VALUE"""),20019987)</f>
        <v>20019987</v>
      </c>
      <c r="J68" s="5" t="str">
        <f ca="1">IFERROR(__xludf.DUMMYFUNCTION("""COMPUTED_VALUE"""),"CODIFICADOR DE BOTELLAS")</f>
        <v>CODIFICADOR DE BOTELLAS</v>
      </c>
      <c r="K68" s="5" t="str">
        <f ca="1">IFERROR(__xludf.DUMMYFUNCTION("""COMPUTED_VALUE"""),"Aguado Lemos Luis Eyder")</f>
        <v>Aguado Lemos Luis Eyder</v>
      </c>
    </row>
    <row r="69" spans="1:11" ht="13.2">
      <c r="A69" s="5" t="str">
        <f ca="1">IFERROR(__xludf.DUMMYFUNCTION("""COMPUTED_VALUE"""),"TURNO B")</f>
        <v>TURNO B</v>
      </c>
      <c r="B69" s="5">
        <f ca="1">IFERROR(__xludf.DUMMYFUNCTION("""COMPUTED_VALUE"""),23905258)</f>
        <v>23905258</v>
      </c>
      <c r="C69" s="14">
        <f ca="1">IFERROR(__xludf.DUMMYFUNCTION("""COMPUTED_VALUE"""),45356)</f>
        <v>45356</v>
      </c>
      <c r="D69" s="5" t="str">
        <f ca="1">IFERROR(__xludf.DUMMYFUNCTION("""COMPUTED_VALUE"""),"Atascamiento botellas")</f>
        <v>Atascamiento botellas</v>
      </c>
      <c r="E69" s="5">
        <f ca="1">IFERROR(__xludf.DUMMYFUNCTION("""COMPUTED_VALUE"""),0.1)</f>
        <v>0.1</v>
      </c>
      <c r="F69" s="15">
        <f ca="1">IFERROR(__xludf.DUMMYFUNCTION("""COMPUTED_VALUE"""),0.895833333333333)</f>
        <v>0.89583333333333304</v>
      </c>
      <c r="G69" s="15">
        <f ca="1">IFERROR(__xludf.DUMMYFUNCTION("""COMPUTED_VALUE"""),0.9)</f>
        <v>0.9</v>
      </c>
      <c r="H69" s="5" t="str">
        <f ca="1">IFERROR(__xludf.DUMMYFUNCTION("""COMPUTED_VALUE"""),"LINE 1")</f>
        <v>LINE 1</v>
      </c>
      <c r="I69" s="5">
        <f ca="1">IFERROR(__xludf.DUMMYFUNCTION("""COMPUTED_VALUE"""),20075387)</f>
        <v>20075387</v>
      </c>
      <c r="J69" s="5" t="str">
        <f ca="1">IFERROR(__xludf.DUMMYFUNCTION("""COMPUTED_VALUE"""),"TRANSPORTADORES DE ENVASE VACIO")</f>
        <v>TRANSPORTADORES DE ENVASE VACIO</v>
      </c>
      <c r="K69" s="5" t="str">
        <f ca="1">IFERROR(__xludf.DUMMYFUNCTION("""COMPUTED_VALUE"""),"Cristian Suaza")</f>
        <v>Cristian Suaza</v>
      </c>
    </row>
    <row r="70" spans="1:11" ht="13.2">
      <c r="A70" s="5" t="str">
        <f ca="1">IFERROR(__xludf.DUMMYFUNCTION("""COMPUTED_VALUE"""),"TURNO C")</f>
        <v>TURNO C</v>
      </c>
      <c r="B70" s="5">
        <f ca="1">IFERROR(__xludf.DUMMYFUNCTION("""COMPUTED_VALUE"""),23905482)</f>
        <v>23905482</v>
      </c>
      <c r="C70" s="14">
        <f ca="1">IFERROR(__xludf.DUMMYFUNCTION("""COMPUTED_VALUE"""),45356)</f>
        <v>45356</v>
      </c>
      <c r="D70" s="5" t="str">
        <f ca="1">IFERROR(__xludf.DUMMYFUNCTION("""COMPUTED_VALUE"""),"Bajo contenido botellas")</f>
        <v>Bajo contenido botellas</v>
      </c>
      <c r="E70" s="5">
        <f ca="1">IFERROR(__xludf.DUMMYFUNCTION("""COMPUTED_VALUE"""),0.22)</f>
        <v>0.22</v>
      </c>
      <c r="F70" s="15">
        <f ca="1">IFERROR(__xludf.DUMMYFUNCTION("""COMPUTED_VALUE"""),0.956249999999999)</f>
        <v>0.95624999999999905</v>
      </c>
      <c r="G70" s="15">
        <f ca="1">IFERROR(__xludf.DUMMYFUNCTION("""COMPUTED_VALUE"""),0.965277777777777)</f>
        <v>0.96527777777777701</v>
      </c>
      <c r="H70" s="5" t="str">
        <f ca="1">IFERROR(__xludf.DUMMYFUNCTION("""COMPUTED_VALUE"""),"LINE 1")</f>
        <v>LINE 1</v>
      </c>
      <c r="I70" s="5">
        <f ca="1">IFERROR(__xludf.DUMMYFUNCTION("""COMPUTED_VALUE"""),20036419)</f>
        <v>20036419</v>
      </c>
      <c r="J70" s="5" t="str">
        <f ca="1">IFERROR(__xludf.DUMMYFUNCTION("""COMPUTED_VALUE"""),"LLENADORA BOTELLAS PET")</f>
        <v>LLENADORA BOTELLAS PET</v>
      </c>
      <c r="K70" s="5" t="str">
        <f ca="1">IFERROR(__xludf.DUMMYFUNCTION("""COMPUTED_VALUE"""),"Adalcides Campo")</f>
        <v>Adalcides Campo</v>
      </c>
    </row>
    <row r="71" spans="1:11" ht="13.2">
      <c r="A71" s="5" t="str">
        <f ca="1">IFERROR(__xludf.DUMMYFUNCTION("""COMPUTED_VALUE"""),"TURNO C")</f>
        <v>TURNO C</v>
      </c>
      <c r="B71" s="5">
        <f ca="1">IFERROR(__xludf.DUMMYFUNCTION("""COMPUTED_VALUE"""),23905483)</f>
        <v>23905483</v>
      </c>
      <c r="C71" s="14">
        <f ca="1">IFERROR(__xludf.DUMMYFUNCTION("""COMPUTED_VALUE"""),45356)</f>
        <v>45356</v>
      </c>
      <c r="D71" s="5" t="str">
        <f ca="1">IFERROR(__xludf.DUMMYFUNCTION("""COMPUTED_VALUE"""),"Falla caudalimetro +KB")</f>
        <v>Falla caudalimetro +KB</v>
      </c>
      <c r="E71" s="5">
        <f ca="1">IFERROR(__xludf.DUMMYFUNCTION("""COMPUTED_VALUE"""),0.17)</f>
        <v>0.17</v>
      </c>
      <c r="F71" s="15">
        <f ca="1">IFERROR(__xludf.DUMMYFUNCTION("""COMPUTED_VALUE"""),0.971527777777777)</f>
        <v>0.97152777777777699</v>
      </c>
      <c r="G71" s="15">
        <f ca="1">IFERROR(__xludf.DUMMYFUNCTION("""COMPUTED_VALUE"""),0.978472222222222)</f>
        <v>0.97847222222222197</v>
      </c>
      <c r="H71" s="5" t="str">
        <f ca="1">IFERROR(__xludf.DUMMYFUNCTION("""COMPUTED_VALUE"""),"LINE 1")</f>
        <v>LINE 1</v>
      </c>
      <c r="I71" s="5"/>
      <c r="J71" s="5" t="str">
        <f ca="1">IFERROR(__xludf.DUMMYFUNCTION("""COMPUTED_VALUE"""),"CARBOENFRIADOR/CONTIFLOW (MEZCLADORA)")</f>
        <v>CARBOENFRIADOR/CONTIFLOW (MEZCLADORA)</v>
      </c>
      <c r="K71" s="5" t="str">
        <f ca="1">IFERROR(__xludf.DUMMYFUNCTION("""COMPUTED_VALUE"""),"BLANCO")</f>
        <v>BLANCO</v>
      </c>
    </row>
    <row r="72" spans="1:11" ht="13.2">
      <c r="A72" s="5" t="str">
        <f ca="1">IFERROR(__xludf.DUMMYFUNCTION("""COMPUTED_VALUE"""),"TURNO C")</f>
        <v>TURNO C</v>
      </c>
      <c r="B72" s="5">
        <f ca="1">IFERROR(__xludf.DUMMYFUNCTION("""COMPUTED_VALUE"""),23905488)</f>
        <v>23905488</v>
      </c>
      <c r="C72" s="14">
        <f ca="1">IFERROR(__xludf.DUMMYFUNCTION("""COMPUTED_VALUE"""),45356)</f>
        <v>45356</v>
      </c>
      <c r="D72" s="5" t="str">
        <f ca="1">IFERROR(__xludf.DUMMYFUNCTION("""COMPUTED_VALUE"""),"Falla caudalimetro +KB")</f>
        <v>Falla caudalimetro +KB</v>
      </c>
      <c r="E72" s="5">
        <f ca="1">IFERROR(__xludf.DUMMYFUNCTION("""COMPUTED_VALUE"""),0.13)</f>
        <v>0.13</v>
      </c>
      <c r="F72" s="15">
        <f ca="1">IFERROR(__xludf.DUMMYFUNCTION("""COMPUTED_VALUE"""),0.0152777777777777)</f>
        <v>1.5277777777777699E-2</v>
      </c>
      <c r="G72" s="15">
        <f ca="1">IFERROR(__xludf.DUMMYFUNCTION("""COMPUTED_VALUE"""),0.0208333333333333)</f>
        <v>2.0833333333333301E-2</v>
      </c>
      <c r="H72" s="5" t="str">
        <f ca="1">IFERROR(__xludf.DUMMYFUNCTION("""COMPUTED_VALUE"""),"LINE 1")</f>
        <v>LINE 1</v>
      </c>
      <c r="I72" s="5">
        <f ca="1">IFERROR(__xludf.DUMMYFUNCTION("""COMPUTED_VALUE"""),20036419)</f>
        <v>20036419</v>
      </c>
      <c r="J72" s="5" t="str">
        <f ca="1">IFERROR(__xludf.DUMMYFUNCTION("""COMPUTED_VALUE"""),"CARBOENFRIADOR/CONTIFLOW (MEZCLADORA)")</f>
        <v>CARBOENFRIADOR/CONTIFLOW (MEZCLADORA)</v>
      </c>
      <c r="K72" s="5" t="str">
        <f ca="1">IFERROR(__xludf.DUMMYFUNCTION("""COMPUTED_VALUE"""),"Adalcides Campo")</f>
        <v>Adalcides Campo</v>
      </c>
    </row>
    <row r="73" spans="1:11" ht="13.2">
      <c r="A73" s="5" t="str">
        <f ca="1">IFERROR(__xludf.DUMMYFUNCTION("""COMPUTED_VALUE"""),"TURNO C")</f>
        <v>TURNO C</v>
      </c>
      <c r="B73" s="5">
        <f ca="1">IFERROR(__xludf.DUMMYFUNCTION("""COMPUTED_VALUE"""),23905489)</f>
        <v>23905489</v>
      </c>
      <c r="C73" s="14">
        <f ca="1">IFERROR(__xludf.DUMMYFUNCTION("""COMPUTED_VALUE"""),45356)</f>
        <v>45356</v>
      </c>
      <c r="D73" s="5" t="str">
        <f ca="1">IFERROR(__xludf.DUMMYFUNCTION("""COMPUTED_VALUE"""),"Falta de codigo")</f>
        <v>Falta de codigo</v>
      </c>
      <c r="E73" s="5">
        <f ca="1">IFERROR(__xludf.DUMMYFUNCTION("""COMPUTED_VALUE"""),0.28)</f>
        <v>0.28000000000000003</v>
      </c>
      <c r="F73" s="15">
        <f ca="1">IFERROR(__xludf.DUMMYFUNCTION("""COMPUTED_VALUE"""),0.0270833333333333)</f>
        <v>2.70833333333333E-2</v>
      </c>
      <c r="G73" s="15">
        <f ca="1">IFERROR(__xludf.DUMMYFUNCTION("""COMPUTED_VALUE"""),0.0388888888888888)</f>
        <v>3.8888888888888799E-2</v>
      </c>
      <c r="H73" s="5" t="str">
        <f ca="1">IFERROR(__xludf.DUMMYFUNCTION("""COMPUTED_VALUE"""),"LINE 1")</f>
        <v>LINE 1</v>
      </c>
      <c r="I73" s="5">
        <f ca="1">IFERROR(__xludf.DUMMYFUNCTION("""COMPUTED_VALUE"""),20036419)</f>
        <v>20036419</v>
      </c>
      <c r="J73" s="5" t="str">
        <f ca="1">IFERROR(__xludf.DUMMYFUNCTION("""COMPUTED_VALUE"""),"CODIFICADOR DE BOTELLAS")</f>
        <v>CODIFICADOR DE BOTELLAS</v>
      </c>
      <c r="K73" s="5" t="str">
        <f ca="1">IFERROR(__xludf.DUMMYFUNCTION("""COMPUTED_VALUE"""),"Adalcides Campo")</f>
        <v>Adalcides Campo</v>
      </c>
    </row>
    <row r="74" spans="1:11" ht="13.2">
      <c r="A74" s="5" t="str">
        <f ca="1">IFERROR(__xludf.DUMMYFUNCTION("""COMPUTED_VALUE"""),"TURNO C")</f>
        <v>TURNO C</v>
      </c>
      <c r="B74" s="5">
        <f ca="1">IFERROR(__xludf.DUMMYFUNCTION("""COMPUTED_VALUE"""),23905490)</f>
        <v>23905490</v>
      </c>
      <c r="C74" s="14">
        <f ca="1">IFERROR(__xludf.DUMMYFUNCTION("""COMPUTED_VALUE"""),45356)</f>
        <v>45356</v>
      </c>
      <c r="D74" s="5" t="str">
        <f ca="1">IFERROR(__xludf.DUMMYFUNCTION("""COMPUTED_VALUE"""),"Caida de botellas salida llenadora")</f>
        <v>Caida de botellas salida llenadora</v>
      </c>
      <c r="E74" s="5">
        <f ca="1">IFERROR(__xludf.DUMMYFUNCTION("""COMPUTED_VALUE"""),0.18)</f>
        <v>0.18</v>
      </c>
      <c r="F74" s="15">
        <f ca="1">IFERROR(__xludf.DUMMYFUNCTION("""COMPUTED_VALUE"""),0.0451388888888888)</f>
        <v>4.5138888888888798E-2</v>
      </c>
      <c r="G74" s="15">
        <f ca="1">IFERROR(__xludf.DUMMYFUNCTION("""COMPUTED_VALUE"""),0.0527777777777777)</f>
        <v>5.2777777777777701E-2</v>
      </c>
      <c r="H74" s="5" t="str">
        <f ca="1">IFERROR(__xludf.DUMMYFUNCTION("""COMPUTED_VALUE"""),"LINE 1")</f>
        <v>LINE 1</v>
      </c>
      <c r="I74" s="5"/>
      <c r="J74" s="5" t="str">
        <f ca="1">IFERROR(__xludf.DUMMYFUNCTION("""COMPUTED_VALUE"""),"TRANSPORTADORES DE BEBIDA")</f>
        <v>TRANSPORTADORES DE BEBIDA</v>
      </c>
      <c r="K74" s="5" t="str">
        <f ca="1">IFERROR(__xludf.DUMMYFUNCTION("""COMPUTED_VALUE"""),"BLANCO")</f>
        <v>BLANCO</v>
      </c>
    </row>
    <row r="75" spans="1:11" ht="13.2">
      <c r="A75" s="5" t="str">
        <f ca="1">IFERROR(__xludf.DUMMYFUNCTION("""COMPUTED_VALUE"""),"TURNO C")</f>
        <v>TURNO C</v>
      </c>
      <c r="B75" s="5">
        <f ca="1">IFERROR(__xludf.DUMMYFUNCTION("""COMPUTED_VALUE"""),23905605)</f>
        <v>23905605</v>
      </c>
      <c r="C75" s="14">
        <f ca="1">IFERROR(__xludf.DUMMYFUNCTION("""COMPUTED_VALUE"""),45356)</f>
        <v>45356</v>
      </c>
      <c r="D75" s="5" t="str">
        <f ca="1">IFERROR(__xludf.DUMMYFUNCTION("""COMPUTED_VALUE"""),"Ajuste de guias entrada/salida botella")</f>
        <v>Ajuste de guias entrada/salida botella</v>
      </c>
      <c r="E75" s="5">
        <f ca="1">IFERROR(__xludf.DUMMYFUNCTION("""COMPUTED_VALUE"""),2.18)</f>
        <v>2.1800000000000002</v>
      </c>
      <c r="F75" s="15">
        <f ca="1">IFERROR(__xludf.DUMMYFUNCTION("""COMPUTED_VALUE"""),0.0680555555555555)</f>
        <v>6.8055555555555494E-2</v>
      </c>
      <c r="G75" s="15">
        <f ca="1">IFERROR(__xludf.DUMMYFUNCTION("""COMPUTED_VALUE"""),0.159027777777777)</f>
        <v>0.15902777777777699</v>
      </c>
      <c r="H75" s="5" t="str">
        <f ca="1">IFERROR(__xludf.DUMMYFUNCTION("""COMPUTED_VALUE"""),"LINE 1")</f>
        <v>LINE 1</v>
      </c>
      <c r="I75" s="5">
        <f ca="1">IFERROR(__xludf.DUMMYFUNCTION("""COMPUTED_VALUE"""),20009721)</f>
        <v>20009721</v>
      </c>
      <c r="J75" s="5" t="str">
        <f ca="1">IFERROR(__xludf.DUMMYFUNCTION("""COMPUTED_VALUE"""),"ETIQUETADORA ENVOLVENTE")</f>
        <v>ETIQUETADORA ENVOLVENTE</v>
      </c>
      <c r="K75" s="5" t="str">
        <f ca="1">IFERROR(__xludf.DUMMYFUNCTION("""COMPUTED_VALUE"""),"Alejandro Davila")</f>
        <v>Alejandro Davila</v>
      </c>
    </row>
    <row r="76" spans="1:11" ht="13.2">
      <c r="A76" s="5" t="str">
        <f ca="1">IFERROR(__xludf.DUMMYFUNCTION("""COMPUTED_VALUE"""),"TURNO C")</f>
        <v>TURNO C</v>
      </c>
      <c r="B76" s="5">
        <f ca="1">IFERROR(__xludf.DUMMYFUNCTION("""COMPUTED_VALUE"""),23905672)</f>
        <v>23905672</v>
      </c>
      <c r="C76" s="14">
        <f ca="1">IFERROR(__xludf.DUMMYFUNCTION("""COMPUTED_VALUE"""),45356)</f>
        <v>45356</v>
      </c>
      <c r="D76" s="5" t="str">
        <f ca="1">IFERROR(__xludf.DUMMYFUNCTION("""COMPUTED_VALUE"""),"Caida de botellas salida llenadora")</f>
        <v>Caida de botellas salida llenadora</v>
      </c>
      <c r="E76" s="5">
        <f ca="1">IFERROR(__xludf.DUMMYFUNCTION("""COMPUTED_VALUE"""),0.22)</f>
        <v>0.22</v>
      </c>
      <c r="F76" s="15">
        <f ca="1">IFERROR(__xludf.DUMMYFUNCTION("""COMPUTED_VALUE"""),0.208333333333333)</f>
        <v>0.20833333333333301</v>
      </c>
      <c r="G76" s="15">
        <f ca="1">IFERROR(__xludf.DUMMYFUNCTION("""COMPUTED_VALUE"""),0.217361111111111)</f>
        <v>0.21736111111111101</v>
      </c>
      <c r="H76" s="5" t="str">
        <f ca="1">IFERROR(__xludf.DUMMYFUNCTION("""COMPUTED_VALUE"""),"LINE 1")</f>
        <v>LINE 1</v>
      </c>
      <c r="I76" s="5">
        <f ca="1">IFERROR(__xludf.DUMMYFUNCTION("""COMPUTED_VALUE"""),20036419)</f>
        <v>20036419</v>
      </c>
      <c r="J76" s="5" t="str">
        <f ca="1">IFERROR(__xludf.DUMMYFUNCTION("""COMPUTED_VALUE"""),"TRANSPORTADORES DE BEBIDA")</f>
        <v>TRANSPORTADORES DE BEBIDA</v>
      </c>
      <c r="K76" s="5" t="str">
        <f ca="1">IFERROR(__xludf.DUMMYFUNCTION("""COMPUTED_VALUE"""),"Adalcides Campo")</f>
        <v>Adalcides Campo</v>
      </c>
    </row>
    <row r="77" spans="1:11" ht="13.2">
      <c r="A77" s="5" t="str">
        <f ca="1">IFERROR(__xludf.DUMMYFUNCTION("""COMPUTED_VALUE"""),"TURNO C")</f>
        <v>TURNO C</v>
      </c>
      <c r="B77" s="5">
        <f ca="1">IFERROR(__xludf.DUMMYFUNCTION("""COMPUTED_VALUE"""),23906292)</f>
        <v>23906292</v>
      </c>
      <c r="C77" s="14">
        <f ca="1">IFERROR(__xludf.DUMMYFUNCTION("""COMPUTED_VALUE"""),45357)</f>
        <v>45357</v>
      </c>
      <c r="D77" s="5" t="str">
        <f ca="1">IFERROR(__xludf.DUMMYFUNCTION("""COMPUTED_VALUE"""),"Caida de botellas salida llenadora")</f>
        <v>Caida de botellas salida llenadora</v>
      </c>
      <c r="E77" s="5">
        <f ca="1">IFERROR(__xludf.DUMMYFUNCTION("""COMPUTED_VALUE"""),0.17)</f>
        <v>0.17</v>
      </c>
      <c r="F77" s="15">
        <f ca="1">IFERROR(__xludf.DUMMYFUNCTION("""COMPUTED_VALUE"""),0.229166666666666)</f>
        <v>0.22916666666666599</v>
      </c>
      <c r="G77" s="15">
        <f ca="1">IFERROR(__xludf.DUMMYFUNCTION("""COMPUTED_VALUE"""),0.236111111111111)</f>
        <v>0.23611111111111099</v>
      </c>
      <c r="H77" s="5" t="str">
        <f ca="1">IFERROR(__xludf.DUMMYFUNCTION("""COMPUTED_VALUE"""),"LINE 1")</f>
        <v>LINE 1</v>
      </c>
      <c r="I77" s="5">
        <f ca="1">IFERROR(__xludf.DUMMYFUNCTION("""COMPUTED_VALUE"""),20036419)</f>
        <v>20036419</v>
      </c>
      <c r="J77" s="5" t="str">
        <f ca="1">IFERROR(__xludf.DUMMYFUNCTION("""COMPUTED_VALUE"""),"TRANSPORTADORES DE BEBIDA")</f>
        <v>TRANSPORTADORES DE BEBIDA</v>
      </c>
      <c r="K77" s="5" t="str">
        <f ca="1">IFERROR(__xludf.DUMMYFUNCTION("""COMPUTED_VALUE"""),"Adalcides Campo")</f>
        <v>Adalcides Campo</v>
      </c>
    </row>
    <row r="78" spans="1:11" ht="13.2">
      <c r="A78" s="5" t="str">
        <f ca="1">IFERROR(__xludf.DUMMYFUNCTION("""COMPUTED_VALUE"""),"TURNO A")</f>
        <v>TURNO A</v>
      </c>
      <c r="B78" s="5">
        <f ca="1">IFERROR(__xludf.DUMMYFUNCTION("""COMPUTED_VALUE"""),23906298)</f>
        <v>23906298</v>
      </c>
      <c r="C78" s="14">
        <f ca="1">IFERROR(__xludf.DUMMYFUNCTION("""COMPUTED_VALUE"""),45357)</f>
        <v>45357</v>
      </c>
      <c r="D78" s="5" t="str">
        <f ca="1">IFERROR(__xludf.DUMMYFUNCTION("""COMPUTED_VALUE"""),"Ajuste de guias Salida botella")</f>
        <v>Ajuste de guias Salida botella</v>
      </c>
      <c r="E78" s="5">
        <f ca="1">IFERROR(__xludf.DUMMYFUNCTION("""COMPUTED_VALUE"""),0.25)</f>
        <v>0.25</v>
      </c>
      <c r="F78" s="15">
        <f ca="1">IFERROR(__xludf.DUMMYFUNCTION("""COMPUTED_VALUE"""),0.25)</f>
        <v>0.25</v>
      </c>
      <c r="G78" s="15">
        <f ca="1">IFERROR(__xludf.DUMMYFUNCTION("""COMPUTED_VALUE"""),0.260416666666666)</f>
        <v>0.26041666666666602</v>
      </c>
      <c r="H78" s="5" t="str">
        <f ca="1">IFERROR(__xludf.DUMMYFUNCTION("""COMPUTED_VALUE"""),"LINE 1")</f>
        <v>LINE 1</v>
      </c>
      <c r="I78" s="5"/>
      <c r="J78" s="5" t="str">
        <f ca="1">IFERROR(__xludf.DUMMYFUNCTION("""COMPUTED_VALUE"""),"ETIQUETADORA ENVOLVENTE")</f>
        <v>ETIQUETADORA ENVOLVENTE</v>
      </c>
      <c r="K78" s="5" t="str">
        <f ca="1">IFERROR(__xludf.DUMMYFUNCTION("""COMPUTED_VALUE"""),"BLANCO")</f>
        <v>BLANCO</v>
      </c>
    </row>
    <row r="79" spans="1:11" ht="13.2">
      <c r="A79" s="5" t="str">
        <f ca="1">IFERROR(__xludf.DUMMYFUNCTION("""COMPUTED_VALUE"""),"TURNO A")</f>
        <v>TURNO A</v>
      </c>
      <c r="B79" s="5">
        <f ca="1">IFERROR(__xludf.DUMMYFUNCTION("""COMPUTED_VALUE"""),23906323)</f>
        <v>23906323</v>
      </c>
      <c r="C79" s="14">
        <f ca="1">IFERROR(__xludf.DUMMYFUNCTION("""COMPUTED_VALUE"""),45357)</f>
        <v>45357</v>
      </c>
      <c r="D79" s="5" t="str">
        <f ca="1">IFERROR(__xludf.DUMMYFUNCTION("""COMPUTED_VALUE"""),"Caida botellas en sistema clasificador")</f>
        <v>Caida botellas en sistema clasificador</v>
      </c>
      <c r="E79" s="5">
        <f ca="1">IFERROR(__xludf.DUMMYFUNCTION("""COMPUTED_VALUE"""),0.08)</f>
        <v>0.08</v>
      </c>
      <c r="F79" s="15">
        <f ca="1">IFERROR(__xludf.DUMMYFUNCTION("""COMPUTED_VALUE"""),0.260416666666666)</f>
        <v>0.26041666666666602</v>
      </c>
      <c r="G79" s="15">
        <f ca="1">IFERROR(__xludf.DUMMYFUNCTION("""COMPUTED_VALUE"""),0.263888888888888)</f>
        <v>0.26388888888888801</v>
      </c>
      <c r="H79" s="5" t="str">
        <f ca="1">IFERROR(__xludf.DUMMYFUNCTION("""COMPUTED_VALUE"""),"LINE 1")</f>
        <v>LINE 1</v>
      </c>
      <c r="I79" s="5">
        <f ca="1">IFERROR(__xludf.DUMMYFUNCTION("""COMPUTED_VALUE"""),20010075)</f>
        <v>20010075</v>
      </c>
      <c r="J79" s="5" t="str">
        <f ca="1">IFERROR(__xludf.DUMMYFUNCTION("""COMPUTED_VALUE"""),"ENFARDADORA")</f>
        <v>ENFARDADORA</v>
      </c>
      <c r="K79" s="5" t="str">
        <f ca="1">IFERROR(__xludf.DUMMYFUNCTION("""COMPUTED_VALUE"""),"Diego Pedroza")</f>
        <v>Diego Pedroza</v>
      </c>
    </row>
    <row r="80" spans="1:11" ht="13.2">
      <c r="A80" s="5" t="str">
        <f ca="1">IFERROR(__xludf.DUMMYFUNCTION("""COMPUTED_VALUE"""),"TURNO A")</f>
        <v>TURNO A</v>
      </c>
      <c r="B80" s="5">
        <f ca="1">IFERROR(__xludf.DUMMYFUNCTION("""COMPUTED_VALUE"""),23906331)</f>
        <v>23906331</v>
      </c>
      <c r="C80" s="14">
        <f ca="1">IFERROR(__xludf.DUMMYFUNCTION("""COMPUTED_VALUE"""),45357)</f>
        <v>45357</v>
      </c>
      <c r="D80" s="5" t="str">
        <f ca="1">IFERROR(__xludf.DUMMYFUNCTION("""COMPUTED_VALUE"""),"Variador alarmado electricamente")</f>
        <v>Variador alarmado electricamente</v>
      </c>
      <c r="E80" s="5">
        <f ca="1">IFERROR(__xludf.DUMMYFUNCTION("""COMPUTED_VALUE"""),0.08)</f>
        <v>0.08</v>
      </c>
      <c r="F80" s="15">
        <f ca="1">IFERROR(__xludf.DUMMYFUNCTION("""COMPUTED_VALUE"""),0.354166666666666)</f>
        <v>0.35416666666666602</v>
      </c>
      <c r="G80" s="15">
        <f ca="1">IFERROR(__xludf.DUMMYFUNCTION("""COMPUTED_VALUE"""),0.357638888888888)</f>
        <v>0.35763888888888801</v>
      </c>
      <c r="H80" s="5" t="str">
        <f ca="1">IFERROR(__xludf.DUMMYFUNCTION("""COMPUTED_VALUE"""),"LINE 1")</f>
        <v>LINE 1</v>
      </c>
      <c r="I80" s="5">
        <f ca="1">IFERROR(__xludf.DUMMYFUNCTION("""COMPUTED_VALUE"""),20010075)</f>
        <v>20010075</v>
      </c>
      <c r="J80" s="5" t="str">
        <f ca="1">IFERROR(__xludf.DUMMYFUNCTION("""COMPUTED_VALUE"""),"TRANSPORTADORES DE BEBIDA")</f>
        <v>TRANSPORTADORES DE BEBIDA</v>
      </c>
      <c r="K80" s="5" t="str">
        <f ca="1">IFERROR(__xludf.DUMMYFUNCTION("""COMPUTED_VALUE"""),"Diego Pedroza")</f>
        <v>Diego Pedroza</v>
      </c>
    </row>
    <row r="81" spans="1:11" ht="13.2">
      <c r="A81" s="5" t="str">
        <f ca="1">IFERROR(__xludf.DUMMYFUNCTION("""COMPUTED_VALUE"""),"TURNO A")</f>
        <v>TURNO A</v>
      </c>
      <c r="B81" s="5">
        <f ca="1">IFERROR(__xludf.DUMMYFUNCTION("""COMPUTED_VALUE"""),23906472)</f>
        <v>23906472</v>
      </c>
      <c r="C81" s="14">
        <f ca="1">IFERROR(__xludf.DUMMYFUNCTION("""COMPUTED_VALUE"""),45357)</f>
        <v>45357</v>
      </c>
      <c r="D81" s="5" t="str">
        <f ca="1">IFERROR(__xludf.DUMMYFUNCTION("""COMPUTED_VALUE"""),"Paquetes mal formados")</f>
        <v>Paquetes mal formados</v>
      </c>
      <c r="E81" s="5">
        <f ca="1">IFERROR(__xludf.DUMMYFUNCTION("""COMPUTED_VALUE"""),0.12)</f>
        <v>0.12</v>
      </c>
      <c r="F81" s="15">
        <f ca="1">IFERROR(__xludf.DUMMYFUNCTION("""COMPUTED_VALUE"""),0.381944444444444)</f>
        <v>0.38194444444444398</v>
      </c>
      <c r="G81" s="15">
        <f ca="1">IFERROR(__xludf.DUMMYFUNCTION("""COMPUTED_VALUE"""),0.386805555555555)</f>
        <v>0.38680555555555501</v>
      </c>
      <c r="H81" s="5" t="str">
        <f ca="1">IFERROR(__xludf.DUMMYFUNCTION("""COMPUTED_VALUE"""),"LINE 1")</f>
        <v>LINE 1</v>
      </c>
      <c r="I81" s="5">
        <f ca="1">IFERROR(__xludf.DUMMYFUNCTION("""COMPUTED_VALUE"""),20010075)</f>
        <v>20010075</v>
      </c>
      <c r="J81" s="5" t="str">
        <f ca="1">IFERROR(__xludf.DUMMYFUNCTION("""COMPUTED_VALUE"""),"ENFARDADORA")</f>
        <v>ENFARDADORA</v>
      </c>
      <c r="K81" s="5" t="str">
        <f ca="1">IFERROR(__xludf.DUMMYFUNCTION("""COMPUTED_VALUE"""),"Diego Pedroza")</f>
        <v>Diego Pedroza</v>
      </c>
    </row>
    <row r="82" spans="1:11" ht="13.2">
      <c r="A82" s="5" t="str">
        <f ca="1">IFERROR(__xludf.DUMMYFUNCTION("""COMPUTED_VALUE"""),"TURNO A")</f>
        <v>TURNO A</v>
      </c>
      <c r="B82" s="5">
        <f ca="1">IFERROR(__xludf.DUMMYFUNCTION("""COMPUTED_VALUE"""),23906606)</f>
        <v>23906606</v>
      </c>
      <c r="C82" s="14">
        <f ca="1">IFERROR(__xludf.DUMMYFUNCTION("""COMPUTED_VALUE"""),45357)</f>
        <v>45357</v>
      </c>
      <c r="D82" s="5" t="str">
        <f ca="1">IFERROR(__xludf.DUMMYFUNCTION("""COMPUTED_VALUE"""),"Atascamiento de botella")</f>
        <v>Atascamiento de botella</v>
      </c>
      <c r="E82" s="5">
        <f ca="1">IFERROR(__xludf.DUMMYFUNCTION("""COMPUTED_VALUE"""),0.12)</f>
        <v>0.12</v>
      </c>
      <c r="F82" s="15">
        <f ca="1">IFERROR(__xludf.DUMMYFUNCTION("""COMPUTED_VALUE"""),0.416666666666666)</f>
        <v>0.41666666666666602</v>
      </c>
      <c r="G82" s="15">
        <f ca="1">IFERROR(__xludf.DUMMYFUNCTION("""COMPUTED_VALUE"""),0.421527777777777)</f>
        <v>0.421527777777777</v>
      </c>
      <c r="H82" s="5" t="str">
        <f ca="1">IFERROR(__xludf.DUMMYFUNCTION("""COMPUTED_VALUE"""),"LINE 1")</f>
        <v>LINE 1</v>
      </c>
      <c r="I82" s="5">
        <f ca="1">IFERROR(__xludf.DUMMYFUNCTION("""COMPUTED_VALUE"""),20020754)</f>
        <v>20020754</v>
      </c>
      <c r="J82" s="5" t="str">
        <f ca="1">IFERROR(__xludf.DUMMYFUNCTION("""COMPUTED_VALUE"""),"TRANSPORTADORES DE ENVASE VACIO")</f>
        <v>TRANSPORTADORES DE ENVASE VACIO</v>
      </c>
      <c r="K82" s="5" t="str">
        <f ca="1">IFERROR(__xludf.DUMMYFUNCTION("""COMPUTED_VALUE"""),"Sanchez Rodriguez Gerson Andres")</f>
        <v>Sanchez Rodriguez Gerson Andres</v>
      </c>
    </row>
    <row r="83" spans="1:11" ht="13.2">
      <c r="A83" s="5" t="str">
        <f ca="1">IFERROR(__xludf.DUMMYFUNCTION("""COMPUTED_VALUE"""),"TURNO A")</f>
        <v>TURNO A</v>
      </c>
      <c r="B83" s="5">
        <f ca="1">IFERROR(__xludf.DUMMYFUNCTION("""COMPUTED_VALUE"""),23906654)</f>
        <v>23906654</v>
      </c>
      <c r="C83" s="14">
        <f ca="1">IFERROR(__xludf.DUMMYFUNCTION("""COMPUTED_VALUE"""),45357)</f>
        <v>45357</v>
      </c>
      <c r="D83" s="5" t="str">
        <f ca="1">IFERROR(__xludf.DUMMYFUNCTION("""COMPUTED_VALUE"""),"Paquetes mal formados")</f>
        <v>Paquetes mal formados</v>
      </c>
      <c r="E83" s="5">
        <f ca="1">IFERROR(__xludf.DUMMYFUNCTION("""COMPUTED_VALUE"""),0.5)</f>
        <v>0.5</v>
      </c>
      <c r="F83" s="15">
        <f ca="1">IFERROR(__xludf.DUMMYFUNCTION("""COMPUTED_VALUE"""),0.5)</f>
        <v>0.5</v>
      </c>
      <c r="G83" s="15">
        <f ca="1">IFERROR(__xludf.DUMMYFUNCTION("""COMPUTED_VALUE"""),0.520833333333333)</f>
        <v>0.52083333333333304</v>
      </c>
      <c r="H83" s="5" t="str">
        <f ca="1">IFERROR(__xludf.DUMMYFUNCTION("""COMPUTED_VALUE"""),"LINE 1")</f>
        <v>LINE 1</v>
      </c>
      <c r="I83" s="5">
        <f ca="1">IFERROR(__xludf.DUMMYFUNCTION("""COMPUTED_VALUE"""),20010075)</f>
        <v>20010075</v>
      </c>
      <c r="J83" s="5" t="str">
        <f ca="1">IFERROR(__xludf.DUMMYFUNCTION("""COMPUTED_VALUE"""),"ENFARDADORA")</f>
        <v>ENFARDADORA</v>
      </c>
      <c r="K83" s="5" t="str">
        <f ca="1">IFERROR(__xludf.DUMMYFUNCTION("""COMPUTED_VALUE"""),"Diego Pedroza")</f>
        <v>Diego Pedroza</v>
      </c>
    </row>
    <row r="84" spans="1:11" ht="13.2">
      <c r="A84" s="5" t="str">
        <f ca="1">IFERROR(__xludf.DUMMYFUNCTION("""COMPUTED_VALUE"""),"TURNO A")</f>
        <v>TURNO A</v>
      </c>
      <c r="B84" s="5">
        <f ca="1">IFERROR(__xludf.DUMMYFUNCTION("""COMPUTED_VALUE"""),23906800)</f>
        <v>23906800</v>
      </c>
      <c r="C84" s="14">
        <f ca="1">IFERROR(__xludf.DUMMYFUNCTION("""COMPUTED_VALUE"""),45357)</f>
        <v>45357</v>
      </c>
      <c r="D84" s="5" t="str">
        <f ca="1">IFERROR(__xludf.DUMMYFUNCTION("""COMPUTED_VALUE"""),"Desgfogue de llenadora")</f>
        <v>Desgfogue de llenadora</v>
      </c>
      <c r="E84" s="5">
        <f ca="1">IFERROR(__xludf.DUMMYFUNCTION("""COMPUTED_VALUE"""),0.17)</f>
        <v>0.17</v>
      </c>
      <c r="F84" s="15">
        <f ca="1">IFERROR(__xludf.DUMMYFUNCTION("""COMPUTED_VALUE"""),0.288194444444444)</f>
        <v>0.28819444444444398</v>
      </c>
      <c r="G84" s="15">
        <f ca="1">IFERROR(__xludf.DUMMYFUNCTION("""COMPUTED_VALUE"""),0.295138888888888)</f>
        <v>0.29513888888888801</v>
      </c>
      <c r="H84" s="5" t="str">
        <f ca="1">IFERROR(__xludf.DUMMYFUNCTION("""COMPUTED_VALUE"""),"LINE 1")</f>
        <v>LINE 1</v>
      </c>
      <c r="I84" s="5"/>
      <c r="J84" s="5" t="str">
        <f ca="1">IFERROR(__xludf.DUMMYFUNCTION("""COMPUTED_VALUE"""),"LLENADORA BOTELLAS PET")</f>
        <v>LLENADORA BOTELLAS PET</v>
      </c>
      <c r="K84" s="5" t="str">
        <f ca="1">IFERROR(__xludf.DUMMYFUNCTION("""COMPUTED_VALUE"""),"BLANCO")</f>
        <v>BLANCO</v>
      </c>
    </row>
    <row r="85" spans="1:11" ht="13.2">
      <c r="A85" s="5" t="str">
        <f ca="1">IFERROR(__xludf.DUMMYFUNCTION("""COMPUTED_VALUE"""),"TURNO A")</f>
        <v>TURNO A</v>
      </c>
      <c r="B85" s="5">
        <f ca="1">IFERROR(__xludf.DUMMYFUNCTION("""COMPUTED_VALUE"""),23906814)</f>
        <v>23906814</v>
      </c>
      <c r="C85" s="14">
        <f ca="1">IFERROR(__xludf.DUMMYFUNCTION("""COMPUTED_VALUE"""),45357)</f>
        <v>45357</v>
      </c>
      <c r="D85" s="5" t="str">
        <f ca="1">IFERROR(__xludf.DUMMYFUNCTION("""COMPUTED_VALUE"""),"Atascamiento de botella")</f>
        <v>Atascamiento de botella</v>
      </c>
      <c r="E85" s="5">
        <f ca="1">IFERROR(__xludf.DUMMYFUNCTION("""COMPUTED_VALUE"""),0.17)</f>
        <v>0.17</v>
      </c>
      <c r="F85" s="15">
        <f ca="1">IFERROR(__xludf.DUMMYFUNCTION("""COMPUTED_VALUE"""),0.541666666666666)</f>
        <v>0.54166666666666596</v>
      </c>
      <c r="G85" s="15">
        <f ca="1">IFERROR(__xludf.DUMMYFUNCTION("""COMPUTED_VALUE"""),0.548611111111111)</f>
        <v>0.54861111111111105</v>
      </c>
      <c r="H85" s="5" t="str">
        <f ca="1">IFERROR(__xludf.DUMMYFUNCTION("""COMPUTED_VALUE"""),"LINE 1")</f>
        <v>LINE 1</v>
      </c>
      <c r="I85" s="5">
        <f ca="1">IFERROR(__xludf.DUMMYFUNCTION("""COMPUTED_VALUE"""),20020754)</f>
        <v>20020754</v>
      </c>
      <c r="J85" s="5" t="str">
        <f ca="1">IFERROR(__xludf.DUMMYFUNCTION("""COMPUTED_VALUE"""),"TRANSPORTADORES DE ENVASE VACIO")</f>
        <v>TRANSPORTADORES DE ENVASE VACIO</v>
      </c>
      <c r="K85" s="5" t="str">
        <f ca="1">IFERROR(__xludf.DUMMYFUNCTION("""COMPUTED_VALUE"""),"Sanchez Rodriguez Gerson Andres")</f>
        <v>Sanchez Rodriguez Gerson Andres</v>
      </c>
    </row>
    <row r="86" spans="1:11" ht="13.2">
      <c r="A86" s="5" t="str">
        <f ca="1">IFERROR(__xludf.DUMMYFUNCTION("""COMPUTED_VALUE"""),"TURNO A")</f>
        <v>TURNO A</v>
      </c>
      <c r="B86" s="5">
        <f ca="1">IFERROR(__xludf.DUMMYFUNCTION("""COMPUTED_VALUE"""),23906843)</f>
        <v>23906843</v>
      </c>
      <c r="C86" s="14">
        <f ca="1">IFERROR(__xludf.DUMMYFUNCTION("""COMPUTED_VALUE"""),45357)</f>
        <v>45357</v>
      </c>
      <c r="D86" s="5" t="str">
        <f ca="1">IFERROR(__xludf.DUMMYFUNCTION("""COMPUTED_VALUE"""),"Botellas sin tapa")</f>
        <v>Botellas sin tapa</v>
      </c>
      <c r="E86" s="5">
        <f ca="1">IFERROR(__xludf.DUMMYFUNCTION("""COMPUTED_VALUE"""),0.1)</f>
        <v>0.1</v>
      </c>
      <c r="F86" s="15">
        <f ca="1">IFERROR(__xludf.DUMMYFUNCTION("""COMPUTED_VALUE"""),0.576388888888889)</f>
        <v>0.57638888888888895</v>
      </c>
      <c r="G86" s="15">
        <f ca="1">IFERROR(__xludf.DUMMYFUNCTION("""COMPUTED_VALUE"""),0.580555555555555)</f>
        <v>0.58055555555555505</v>
      </c>
      <c r="H86" s="5" t="str">
        <f ca="1">IFERROR(__xludf.DUMMYFUNCTION("""COMPUTED_VALUE"""),"LINE 1")</f>
        <v>LINE 1</v>
      </c>
      <c r="I86" s="5">
        <f ca="1">IFERROR(__xludf.DUMMYFUNCTION("""COMPUTED_VALUE"""),20082152)</f>
        <v>20082152</v>
      </c>
      <c r="J86" s="5" t="str">
        <f ca="1">IFERROR(__xludf.DUMMYFUNCTION("""COMPUTED_VALUE"""),"LLENADORA BOTELLAS PET")</f>
        <v>LLENADORA BOTELLAS PET</v>
      </c>
      <c r="K86" s="5" t="str">
        <f ca="1">IFERROR(__xludf.DUMMYFUNCTION("""COMPUTED_VALUE"""),"Ferney Ramos")</f>
        <v>Ferney Ramos</v>
      </c>
    </row>
    <row r="87" spans="1:11" ht="13.2">
      <c r="A87" s="5" t="str">
        <f ca="1">IFERROR(__xludf.DUMMYFUNCTION("""COMPUTED_VALUE"""),"TURNO B")</f>
        <v>TURNO B</v>
      </c>
      <c r="B87" s="5">
        <f ca="1">IFERROR(__xludf.DUMMYFUNCTION("""COMPUTED_VALUE"""),23906897)</f>
        <v>23906897</v>
      </c>
      <c r="C87" s="14">
        <f ca="1">IFERROR(__xludf.DUMMYFUNCTION("""COMPUTED_VALUE"""),45357)</f>
        <v>45357</v>
      </c>
      <c r="D87" s="5" t="str">
        <f ca="1">IFERROR(__xludf.DUMMYFUNCTION("""COMPUTED_VALUE"""),"Caida de botellas salida llenadora")</f>
        <v>Caida de botellas salida llenadora</v>
      </c>
      <c r="E87" s="5">
        <f ca="1">IFERROR(__xludf.DUMMYFUNCTION("""COMPUTED_VALUE"""),0.23)</f>
        <v>0.23</v>
      </c>
      <c r="F87" s="15">
        <f ca="1">IFERROR(__xludf.DUMMYFUNCTION("""COMPUTED_VALUE"""),0.597222222222222)</f>
        <v>0.59722222222222199</v>
      </c>
      <c r="G87" s="15">
        <f ca="1">IFERROR(__xludf.DUMMYFUNCTION("""COMPUTED_VALUE"""),0.606944444444444)</f>
        <v>0.60694444444444395</v>
      </c>
      <c r="H87" s="5" t="str">
        <f ca="1">IFERROR(__xludf.DUMMYFUNCTION("""COMPUTED_VALUE"""),"LINE 1")</f>
        <v>LINE 1</v>
      </c>
      <c r="I87" s="5">
        <f ca="1">IFERROR(__xludf.DUMMYFUNCTION("""COMPUTED_VALUE"""),20019987)</f>
        <v>20019987</v>
      </c>
      <c r="J87" s="5" t="str">
        <f ca="1">IFERROR(__xludf.DUMMYFUNCTION("""COMPUTED_VALUE"""),"LLENADORA BOTELLAS PET")</f>
        <v>LLENADORA BOTELLAS PET</v>
      </c>
      <c r="K87" s="5" t="str">
        <f ca="1">IFERROR(__xludf.DUMMYFUNCTION("""COMPUTED_VALUE"""),"Aguado Lemos Luis Eyder")</f>
        <v>Aguado Lemos Luis Eyder</v>
      </c>
    </row>
    <row r="88" spans="1:11" ht="13.2">
      <c r="A88" s="5" t="str">
        <f ca="1">IFERROR(__xludf.DUMMYFUNCTION("""COMPUTED_VALUE"""),"TURNO B")</f>
        <v>TURNO B</v>
      </c>
      <c r="B88" s="5">
        <f ca="1">IFERROR(__xludf.DUMMYFUNCTION("""COMPUTED_VALUE"""),23906899)</f>
        <v>23906899</v>
      </c>
      <c r="C88" s="14">
        <f ca="1">IFERROR(__xludf.DUMMYFUNCTION("""COMPUTED_VALUE"""),45357)</f>
        <v>45357</v>
      </c>
      <c r="D88" s="5" t="str">
        <f ca="1">IFERROR(__xludf.DUMMYFUNCTION("""COMPUTED_VALUE"""),"Exceso de pegante")</f>
        <v>Exceso de pegante</v>
      </c>
      <c r="E88" s="5">
        <f ca="1">IFERROR(__xludf.DUMMYFUNCTION("""COMPUTED_VALUE"""),0.17)</f>
        <v>0.17</v>
      </c>
      <c r="F88" s="15">
        <f ca="1">IFERROR(__xludf.DUMMYFUNCTION("""COMPUTED_VALUE"""),0.645833333333333)</f>
        <v>0.64583333333333304</v>
      </c>
      <c r="G88" s="15">
        <f ca="1">IFERROR(__xludf.DUMMYFUNCTION("""COMPUTED_VALUE"""),0.652777777777777)</f>
        <v>0.65277777777777701</v>
      </c>
      <c r="H88" s="5" t="str">
        <f ca="1">IFERROR(__xludf.DUMMYFUNCTION("""COMPUTED_VALUE"""),"LINE 1")</f>
        <v>LINE 1</v>
      </c>
      <c r="I88" s="5">
        <f ca="1">IFERROR(__xludf.DUMMYFUNCTION("""COMPUTED_VALUE"""),20075387)</f>
        <v>20075387</v>
      </c>
      <c r="J88" s="5" t="str">
        <f ca="1">IFERROR(__xludf.DUMMYFUNCTION("""COMPUTED_VALUE"""),"ETIQUETADORA ENVOLVENTE")</f>
        <v>ETIQUETADORA ENVOLVENTE</v>
      </c>
      <c r="K88" s="5" t="str">
        <f ca="1">IFERROR(__xludf.DUMMYFUNCTION("""COMPUTED_VALUE"""),"Cristian Suaza")</f>
        <v>Cristian Suaza</v>
      </c>
    </row>
    <row r="89" spans="1:11" ht="13.2">
      <c r="A89" s="5" t="str">
        <f ca="1">IFERROR(__xludf.DUMMYFUNCTION("""COMPUTED_VALUE"""),"TURNO B")</f>
        <v>TURNO B</v>
      </c>
      <c r="B89" s="5">
        <f ca="1">IFERROR(__xludf.DUMMYFUNCTION("""COMPUTED_VALUE"""),23906900)</f>
        <v>23906900</v>
      </c>
      <c r="C89" s="14">
        <f ca="1">IFERROR(__xludf.DUMMYFUNCTION("""COMPUTED_VALUE"""),45357)</f>
        <v>45357</v>
      </c>
      <c r="D89" s="5" t="str">
        <f ca="1">IFERROR(__xludf.DUMMYFUNCTION("""COMPUTED_VALUE"""),"Atascamiento botellas")</f>
        <v>Atascamiento botellas</v>
      </c>
      <c r="E89" s="5">
        <f ca="1">IFERROR(__xludf.DUMMYFUNCTION("""COMPUTED_VALUE"""),0.12)</f>
        <v>0.12</v>
      </c>
      <c r="F89" s="15">
        <f ca="1">IFERROR(__xludf.DUMMYFUNCTION("""COMPUTED_VALUE"""),0.631944444444444)</f>
        <v>0.63194444444444398</v>
      </c>
      <c r="G89" s="15">
        <f ca="1">IFERROR(__xludf.DUMMYFUNCTION("""COMPUTED_VALUE"""),0.636805555555555)</f>
        <v>0.63680555555555496</v>
      </c>
      <c r="H89" s="5" t="str">
        <f ca="1">IFERROR(__xludf.DUMMYFUNCTION("""COMPUTED_VALUE"""),"LINE 1")</f>
        <v>LINE 1</v>
      </c>
      <c r="I89" s="5">
        <f ca="1">IFERROR(__xludf.DUMMYFUNCTION("""COMPUTED_VALUE"""),20075387)</f>
        <v>20075387</v>
      </c>
      <c r="J89" s="5" t="str">
        <f ca="1">IFERROR(__xludf.DUMMYFUNCTION("""COMPUTED_VALUE"""),"TRANSPORTADORES DE ENVASE VACIO")</f>
        <v>TRANSPORTADORES DE ENVASE VACIO</v>
      </c>
      <c r="K89" s="5" t="str">
        <f ca="1">IFERROR(__xludf.DUMMYFUNCTION("""COMPUTED_VALUE"""),"Cristian Suaza")</f>
        <v>Cristian Suaza</v>
      </c>
    </row>
    <row r="90" spans="1:11" ht="13.2">
      <c r="A90" s="5" t="str">
        <f ca="1">IFERROR(__xludf.DUMMYFUNCTION("""COMPUTED_VALUE"""),"TURNO B")</f>
        <v>TURNO B</v>
      </c>
      <c r="B90" s="5">
        <f ca="1">IFERROR(__xludf.DUMMYFUNCTION("""COMPUTED_VALUE"""),23907172)</f>
        <v>23907172</v>
      </c>
      <c r="C90" s="14">
        <f ca="1">IFERROR(__xludf.DUMMYFUNCTION("""COMPUTED_VALUE"""),45357)</f>
        <v>45357</v>
      </c>
      <c r="D90" s="5" t="str">
        <f ca="1">IFERROR(__xludf.DUMMYFUNCTION("""COMPUTED_VALUE"""),"Caida de botellas salida llenadora")</f>
        <v>Caida de botellas salida llenadora</v>
      </c>
      <c r="E90" s="5">
        <f ca="1">IFERROR(__xludf.DUMMYFUNCTION("""COMPUTED_VALUE"""),0.37)</f>
        <v>0.37</v>
      </c>
      <c r="F90" s="15">
        <f ca="1">IFERROR(__xludf.DUMMYFUNCTION("""COMPUTED_VALUE"""),0.673611111111111)</f>
        <v>0.67361111111111105</v>
      </c>
      <c r="G90" s="15">
        <f ca="1">IFERROR(__xludf.DUMMYFUNCTION("""COMPUTED_VALUE"""),0.688888888888889)</f>
        <v>0.68888888888888899</v>
      </c>
      <c r="H90" s="5" t="str">
        <f ca="1">IFERROR(__xludf.DUMMYFUNCTION("""COMPUTED_VALUE"""),"LINE 1")</f>
        <v>LINE 1</v>
      </c>
      <c r="I90" s="5">
        <f ca="1">IFERROR(__xludf.DUMMYFUNCTION("""COMPUTED_VALUE"""),20019987)</f>
        <v>20019987</v>
      </c>
      <c r="J90" s="5" t="str">
        <f ca="1">IFERROR(__xludf.DUMMYFUNCTION("""COMPUTED_VALUE"""),"TRANSPORTADORES DE BEBIDA")</f>
        <v>TRANSPORTADORES DE BEBIDA</v>
      </c>
      <c r="K90" s="5" t="str">
        <f ca="1">IFERROR(__xludf.DUMMYFUNCTION("""COMPUTED_VALUE"""),"Aguado Lemos Luis Eyder")</f>
        <v>Aguado Lemos Luis Eyder</v>
      </c>
    </row>
    <row r="91" spans="1:11" ht="13.2">
      <c r="A91" s="5" t="str">
        <f ca="1">IFERROR(__xludf.DUMMYFUNCTION("""COMPUTED_VALUE"""),"TURNO B")</f>
        <v>TURNO B</v>
      </c>
      <c r="B91" s="5">
        <f ca="1">IFERROR(__xludf.DUMMYFUNCTION("""COMPUTED_VALUE"""),23907176)</f>
        <v>23907176</v>
      </c>
      <c r="C91" s="14">
        <f ca="1">IFERROR(__xludf.DUMMYFUNCTION("""COMPUTED_VALUE"""),45357)</f>
        <v>45357</v>
      </c>
      <c r="D91" s="5" t="str">
        <f ca="1">IFERROR(__xludf.DUMMYFUNCTION("""COMPUTED_VALUE"""),"Caida botellas mesa de plegado")</f>
        <v>Caida botellas mesa de plegado</v>
      </c>
      <c r="E91" s="5">
        <f ca="1">IFERROR(__xludf.DUMMYFUNCTION("""COMPUTED_VALUE"""),0.17)</f>
        <v>0.17</v>
      </c>
      <c r="F91" s="15">
        <f ca="1">IFERROR(__xludf.DUMMYFUNCTION("""COMPUTED_VALUE"""),0.715277777777777)</f>
        <v>0.71527777777777701</v>
      </c>
      <c r="G91" s="15">
        <f ca="1">IFERROR(__xludf.DUMMYFUNCTION("""COMPUTED_VALUE"""),0.722222222222222)</f>
        <v>0.72222222222222199</v>
      </c>
      <c r="H91" s="5" t="str">
        <f ca="1">IFERROR(__xludf.DUMMYFUNCTION("""COMPUTED_VALUE"""),"LINE 1")</f>
        <v>LINE 1</v>
      </c>
      <c r="I91" s="5">
        <f ca="1">IFERROR(__xludf.DUMMYFUNCTION("""COMPUTED_VALUE"""),20009915)</f>
        <v>20009915</v>
      </c>
      <c r="J91" s="5" t="str">
        <f ca="1">IFERROR(__xludf.DUMMYFUNCTION("""COMPUTED_VALUE"""),"ENFARDADORA")</f>
        <v>ENFARDADORA</v>
      </c>
      <c r="K91" s="5" t="str">
        <f ca="1">IFERROR(__xludf.DUMMYFUNCTION("""COMPUTED_VALUE"""),"Lozano Delgado Fausto Andres")</f>
        <v>Lozano Delgado Fausto Andres</v>
      </c>
    </row>
    <row r="92" spans="1:11" ht="13.2">
      <c r="A92" s="5" t="str">
        <f ca="1">IFERROR(__xludf.DUMMYFUNCTION("""COMPUTED_VALUE"""),"TURNO B")</f>
        <v>TURNO B</v>
      </c>
      <c r="B92" s="5">
        <f ca="1">IFERROR(__xludf.DUMMYFUNCTION("""COMPUTED_VALUE"""),23907177)</f>
        <v>23907177</v>
      </c>
      <c r="C92" s="14">
        <f ca="1">IFERROR(__xludf.DUMMYFUNCTION("""COMPUTED_VALUE"""),45357)</f>
        <v>45357</v>
      </c>
      <c r="D92" s="5" t="str">
        <f ca="1">IFERROR(__xludf.DUMMYFUNCTION("""COMPUTED_VALUE"""),"Atascamiento botellas")</f>
        <v>Atascamiento botellas</v>
      </c>
      <c r="E92" s="5">
        <f ca="1">IFERROR(__xludf.DUMMYFUNCTION("""COMPUTED_VALUE"""),0.07)</f>
        <v>7.0000000000000007E-2</v>
      </c>
      <c r="F92" s="15">
        <f ca="1">IFERROR(__xludf.DUMMYFUNCTION("""COMPUTED_VALUE"""),0.729166666666666)</f>
        <v>0.72916666666666596</v>
      </c>
      <c r="G92" s="15">
        <f ca="1">IFERROR(__xludf.DUMMYFUNCTION("""COMPUTED_VALUE"""),0.731944444444444)</f>
        <v>0.73194444444444395</v>
      </c>
      <c r="H92" s="5" t="str">
        <f ca="1">IFERROR(__xludf.DUMMYFUNCTION("""COMPUTED_VALUE"""),"LINE 1")</f>
        <v>LINE 1</v>
      </c>
      <c r="I92" s="5">
        <f ca="1">IFERROR(__xludf.DUMMYFUNCTION("""COMPUTED_VALUE"""),20075387)</f>
        <v>20075387</v>
      </c>
      <c r="J92" s="5" t="str">
        <f ca="1">IFERROR(__xludf.DUMMYFUNCTION("""COMPUTED_VALUE"""),"TRANSPORTADORES DE ENVASE VACIO")</f>
        <v>TRANSPORTADORES DE ENVASE VACIO</v>
      </c>
      <c r="K92" s="5" t="str">
        <f ca="1">IFERROR(__xludf.DUMMYFUNCTION("""COMPUTED_VALUE"""),"Cristian Suaza")</f>
        <v>Cristian Suaza</v>
      </c>
    </row>
    <row r="93" spans="1:11" ht="13.2">
      <c r="A93" s="5" t="str">
        <f ca="1">IFERROR(__xludf.DUMMYFUNCTION("""COMPUTED_VALUE"""),"TURNO B")</f>
        <v>TURNO B</v>
      </c>
      <c r="B93" s="5">
        <f ca="1">IFERROR(__xludf.DUMMYFUNCTION("""COMPUTED_VALUE"""),23907180)</f>
        <v>23907180</v>
      </c>
      <c r="C93" s="14">
        <f ca="1">IFERROR(__xludf.DUMMYFUNCTION("""COMPUTED_VALUE"""),45357)</f>
        <v>45357</v>
      </c>
      <c r="D93" s="5" t="str">
        <f ca="1">IFERROR(__xludf.DUMMYFUNCTION("""COMPUTED_VALUE"""),"Baja velocidad por espuma")</f>
        <v>Baja velocidad por espuma</v>
      </c>
      <c r="E93" s="5">
        <f ca="1">IFERROR(__xludf.DUMMYFUNCTION("""COMPUTED_VALUE"""),0.08)</f>
        <v>0.08</v>
      </c>
      <c r="F93" s="15">
        <f ca="1">IFERROR(__xludf.DUMMYFUNCTION("""COMPUTED_VALUE"""),0.75)</f>
        <v>0.75</v>
      </c>
      <c r="G93" s="15">
        <f ca="1">IFERROR(__xludf.DUMMYFUNCTION("""COMPUTED_VALUE"""),0.753472222222222)</f>
        <v>0.75347222222222199</v>
      </c>
      <c r="H93" s="5" t="str">
        <f ca="1">IFERROR(__xludf.DUMMYFUNCTION("""COMPUTED_VALUE"""),"LINE 1")</f>
        <v>LINE 1</v>
      </c>
      <c r="I93" s="5">
        <f ca="1">IFERROR(__xludf.DUMMYFUNCTION("""COMPUTED_VALUE"""),20019987)</f>
        <v>20019987</v>
      </c>
      <c r="J93" s="5" t="str">
        <f ca="1">IFERROR(__xludf.DUMMYFUNCTION("""COMPUTED_VALUE"""),"LLENADORA BOTELLAS PET")</f>
        <v>LLENADORA BOTELLAS PET</v>
      </c>
      <c r="K93" s="5" t="str">
        <f ca="1">IFERROR(__xludf.DUMMYFUNCTION("""COMPUTED_VALUE"""),"Aguado Lemos Luis Eyder")</f>
        <v>Aguado Lemos Luis Eyder</v>
      </c>
    </row>
    <row r="94" spans="1:11" ht="13.2">
      <c r="A94" s="5" t="str">
        <f ca="1">IFERROR(__xludf.DUMMYFUNCTION("""COMPUTED_VALUE"""),"TURNO B")</f>
        <v>TURNO B</v>
      </c>
      <c r="B94" s="5">
        <f ca="1">IFERROR(__xludf.DUMMYFUNCTION("""COMPUTED_VALUE"""),23907181)</f>
        <v>23907181</v>
      </c>
      <c r="C94" s="14">
        <f ca="1">IFERROR(__xludf.DUMMYFUNCTION("""COMPUTED_VALUE"""),45357)</f>
        <v>45357</v>
      </c>
      <c r="D94" s="5" t="str">
        <f ca="1">IFERROR(__xludf.DUMMYFUNCTION("""COMPUTED_VALUE"""),"Atascamiento botellas")</f>
        <v>Atascamiento botellas</v>
      </c>
      <c r="E94" s="5">
        <f ca="1">IFERROR(__xludf.DUMMYFUNCTION("""COMPUTED_VALUE"""),0.12)</f>
        <v>0.12</v>
      </c>
      <c r="F94" s="15">
        <f ca="1">IFERROR(__xludf.DUMMYFUNCTION("""COMPUTED_VALUE"""),0.763888888888888)</f>
        <v>0.76388888888888795</v>
      </c>
      <c r="G94" s="15">
        <f ca="1">IFERROR(__xludf.DUMMYFUNCTION("""COMPUTED_VALUE"""),0.768749999999999)</f>
        <v>0.76874999999999905</v>
      </c>
      <c r="H94" s="5" t="str">
        <f ca="1">IFERROR(__xludf.DUMMYFUNCTION("""COMPUTED_VALUE"""),"LINE 1")</f>
        <v>LINE 1</v>
      </c>
      <c r="I94" s="5">
        <f ca="1">IFERROR(__xludf.DUMMYFUNCTION("""COMPUTED_VALUE"""),20075387)</f>
        <v>20075387</v>
      </c>
      <c r="J94" s="5" t="str">
        <f ca="1">IFERROR(__xludf.DUMMYFUNCTION("""COMPUTED_VALUE"""),"TRANSPORTADORES DE ENVASE VACIO")</f>
        <v>TRANSPORTADORES DE ENVASE VACIO</v>
      </c>
      <c r="K94" s="5" t="str">
        <f ca="1">IFERROR(__xludf.DUMMYFUNCTION("""COMPUTED_VALUE"""),"Cristian Suaza")</f>
        <v>Cristian Suaza</v>
      </c>
    </row>
    <row r="95" spans="1:11" ht="13.2">
      <c r="A95" s="5" t="str">
        <f ca="1">IFERROR(__xludf.DUMMYFUNCTION("""COMPUTED_VALUE"""),"TURNO B")</f>
        <v>TURNO B</v>
      </c>
      <c r="B95" s="5">
        <f ca="1">IFERROR(__xludf.DUMMYFUNCTION("""COMPUTED_VALUE"""),23907433)</f>
        <v>23907433</v>
      </c>
      <c r="C95" s="14">
        <f ca="1">IFERROR(__xludf.DUMMYFUNCTION("""COMPUTED_VALUE"""),45357)</f>
        <v>45357</v>
      </c>
      <c r="D95" s="5" t="str">
        <f ca="1">IFERROR(__xludf.DUMMYFUNCTION("""COMPUTED_VALUE"""),"Atascamiento botellas")</f>
        <v>Atascamiento botellas</v>
      </c>
      <c r="E95" s="5">
        <f ca="1">IFERROR(__xludf.DUMMYFUNCTION("""COMPUTED_VALUE"""),0.15)</f>
        <v>0.15</v>
      </c>
      <c r="F95" s="15">
        <f ca="1">IFERROR(__xludf.DUMMYFUNCTION("""COMPUTED_VALUE"""),0.777777777777777)</f>
        <v>0.77777777777777701</v>
      </c>
      <c r="G95" s="15">
        <f ca="1">IFERROR(__xludf.DUMMYFUNCTION("""COMPUTED_VALUE"""),0.784027777777777)</f>
        <v>0.78402777777777699</v>
      </c>
      <c r="H95" s="5" t="str">
        <f ca="1">IFERROR(__xludf.DUMMYFUNCTION("""COMPUTED_VALUE"""),"LINE 1")</f>
        <v>LINE 1</v>
      </c>
      <c r="I95" s="5">
        <f ca="1">IFERROR(__xludf.DUMMYFUNCTION("""COMPUTED_VALUE"""),20009915)</f>
        <v>20009915</v>
      </c>
      <c r="J95" s="5" t="str">
        <f ca="1">IFERROR(__xludf.DUMMYFUNCTION("""COMPUTED_VALUE"""),"ENFARDADORA")</f>
        <v>ENFARDADORA</v>
      </c>
      <c r="K95" s="5" t="str">
        <f ca="1">IFERROR(__xludf.DUMMYFUNCTION("""COMPUTED_VALUE"""),"Lozano Delgado Fausto Andres")</f>
        <v>Lozano Delgado Fausto Andres</v>
      </c>
    </row>
    <row r="96" spans="1:11" ht="13.2">
      <c r="A96" s="5" t="str">
        <f ca="1">IFERROR(__xludf.DUMMYFUNCTION("""COMPUTED_VALUE"""),"TURNO C")</f>
        <v>TURNO C</v>
      </c>
      <c r="B96" s="5">
        <f ca="1">IFERROR(__xludf.DUMMYFUNCTION("""COMPUTED_VALUE"""),23907765)</f>
        <v>23907765</v>
      </c>
      <c r="C96" s="14">
        <f ca="1">IFERROR(__xludf.DUMMYFUNCTION("""COMPUTED_VALUE"""),45357)</f>
        <v>45357</v>
      </c>
      <c r="D96" s="5" t="str">
        <f ca="1">IFERROR(__xludf.DUMMYFUNCTION("""COMPUTED_VALUE"""),"Bajo contenido botellas")</f>
        <v>Bajo contenido botellas</v>
      </c>
      <c r="E96" s="5">
        <f ca="1">IFERROR(__xludf.DUMMYFUNCTION("""COMPUTED_VALUE"""),0.22)</f>
        <v>0.22</v>
      </c>
      <c r="F96" s="15">
        <f ca="1">IFERROR(__xludf.DUMMYFUNCTION("""COMPUTED_VALUE"""),0.965972222222222)</f>
        <v>0.96597222222222201</v>
      </c>
      <c r="G96" s="15">
        <f ca="1">IFERROR(__xludf.DUMMYFUNCTION("""COMPUTED_VALUE"""),0.975)</f>
        <v>0.97499999999999998</v>
      </c>
      <c r="H96" s="5" t="str">
        <f ca="1">IFERROR(__xludf.DUMMYFUNCTION("""COMPUTED_VALUE"""),"LINE 1")</f>
        <v>LINE 1</v>
      </c>
      <c r="I96" s="5">
        <f ca="1">IFERROR(__xludf.DUMMYFUNCTION("""COMPUTED_VALUE"""),20036419)</f>
        <v>20036419</v>
      </c>
      <c r="J96" s="5" t="str">
        <f ca="1">IFERROR(__xludf.DUMMYFUNCTION("""COMPUTED_VALUE"""),"LLENADORA BOTELLAS PET")</f>
        <v>LLENADORA BOTELLAS PET</v>
      </c>
      <c r="K96" s="5" t="str">
        <f ca="1">IFERROR(__xludf.DUMMYFUNCTION("""COMPUTED_VALUE"""),"Adalcides Campo")</f>
        <v>Adalcides Campo</v>
      </c>
    </row>
    <row r="97" spans="1:11" ht="13.2">
      <c r="A97" s="5" t="str">
        <f ca="1">IFERROR(__xludf.DUMMYFUNCTION("""COMPUTED_VALUE"""),"TURNO C")</f>
        <v>TURNO C</v>
      </c>
      <c r="B97" s="5">
        <f ca="1">IFERROR(__xludf.DUMMYFUNCTION("""COMPUTED_VALUE"""),23907766)</f>
        <v>23907766</v>
      </c>
      <c r="C97" s="14">
        <f ca="1">IFERROR(__xludf.DUMMYFUNCTION("""COMPUTED_VALUE"""),45357)</f>
        <v>45357</v>
      </c>
      <c r="D97" s="5" t="str">
        <f ca="1">IFERROR(__xludf.DUMMYFUNCTION("""COMPUTED_VALUE"""),"Ajuste de guias entrada/salida botella")</f>
        <v>Ajuste de guias entrada/salida botella</v>
      </c>
      <c r="E97" s="5">
        <f ca="1">IFERROR(__xludf.DUMMYFUNCTION("""COMPUTED_VALUE"""),1.25)</f>
        <v>1.25</v>
      </c>
      <c r="F97" s="15">
        <f ca="1">IFERROR(__xludf.DUMMYFUNCTION("""COMPUTED_VALUE"""),0.934722222222222)</f>
        <v>0.93472222222222201</v>
      </c>
      <c r="G97" s="15">
        <f ca="1">IFERROR(__xludf.DUMMYFUNCTION("""COMPUTED_VALUE"""),0.986805555555555)</f>
        <v>0.98680555555555505</v>
      </c>
      <c r="H97" s="5" t="str">
        <f ca="1">IFERROR(__xludf.DUMMYFUNCTION("""COMPUTED_VALUE"""),"LINE 1")</f>
        <v>LINE 1</v>
      </c>
      <c r="I97" s="5">
        <f ca="1">IFERROR(__xludf.DUMMYFUNCTION("""COMPUTED_VALUE"""),20009721)</f>
        <v>20009721</v>
      </c>
      <c r="J97" s="5" t="str">
        <f ca="1">IFERROR(__xludf.DUMMYFUNCTION("""COMPUTED_VALUE"""),"ETIQUETADORA ENVOLVENTE")</f>
        <v>ETIQUETADORA ENVOLVENTE</v>
      </c>
      <c r="K97" s="5" t="str">
        <f ca="1">IFERROR(__xludf.DUMMYFUNCTION("""COMPUTED_VALUE"""),"Alejandro Davila")</f>
        <v>Alejandro Davila</v>
      </c>
    </row>
    <row r="98" spans="1:11" ht="13.2">
      <c r="A98" s="5" t="str">
        <f ca="1">IFERROR(__xludf.DUMMYFUNCTION("""COMPUTED_VALUE"""),"TURNO C")</f>
        <v>TURNO C</v>
      </c>
      <c r="B98" s="5">
        <f ca="1">IFERROR(__xludf.DUMMYFUNCTION("""COMPUTED_VALUE"""),23907770)</f>
        <v>23907770</v>
      </c>
      <c r="C98" s="14">
        <f ca="1">IFERROR(__xludf.DUMMYFUNCTION("""COMPUTED_VALUE"""),45357)</f>
        <v>45357</v>
      </c>
      <c r="D98" s="5" t="str">
        <f ca="1">IFERROR(__xludf.DUMMYFUNCTION("""COMPUTED_VALUE"""),"Ajuste de guias entrada/salida botella")</f>
        <v>Ajuste de guias entrada/salida botella</v>
      </c>
      <c r="E98" s="5">
        <f ca="1">IFERROR(__xludf.DUMMYFUNCTION("""COMPUTED_VALUE"""),0.08)</f>
        <v>0.08</v>
      </c>
      <c r="F98" s="15">
        <f ca="1">IFERROR(__xludf.DUMMYFUNCTION("""COMPUTED_VALUE"""),0.0666666666666666)</f>
        <v>6.6666666666666596E-2</v>
      </c>
      <c r="G98" s="15">
        <f ca="1">IFERROR(__xludf.DUMMYFUNCTION("""COMPUTED_VALUE"""),0.0701388888888888)</f>
        <v>7.0138888888888806E-2</v>
      </c>
      <c r="H98" s="5" t="str">
        <f ca="1">IFERROR(__xludf.DUMMYFUNCTION("""COMPUTED_VALUE"""),"LINE 1")</f>
        <v>LINE 1</v>
      </c>
      <c r="I98" s="5">
        <f ca="1">IFERROR(__xludf.DUMMYFUNCTION("""COMPUTED_VALUE"""),20009721)</f>
        <v>20009721</v>
      </c>
      <c r="J98" s="5" t="str">
        <f ca="1">IFERROR(__xludf.DUMMYFUNCTION("""COMPUTED_VALUE"""),"ETIQUETADORA ENVOLVENTE")</f>
        <v>ETIQUETADORA ENVOLVENTE</v>
      </c>
      <c r="K98" s="5" t="str">
        <f ca="1">IFERROR(__xludf.DUMMYFUNCTION("""COMPUTED_VALUE"""),"Alejandro Davila")</f>
        <v>Alejandro Davila</v>
      </c>
    </row>
    <row r="99" spans="1:11" ht="13.2">
      <c r="A99" s="5" t="str">
        <f ca="1">IFERROR(__xludf.DUMMYFUNCTION("""COMPUTED_VALUE"""),"TURNO C")</f>
        <v>TURNO C</v>
      </c>
      <c r="B99" s="5">
        <f ca="1">IFERROR(__xludf.DUMMYFUNCTION("""COMPUTED_VALUE"""),23907898)</f>
        <v>23907898</v>
      </c>
      <c r="C99" s="14">
        <f ca="1">IFERROR(__xludf.DUMMYFUNCTION("""COMPUTED_VALUE"""),45357)</f>
        <v>45357</v>
      </c>
      <c r="D99" s="5" t="str">
        <f ca="1">IFERROR(__xludf.DUMMYFUNCTION("""COMPUTED_VALUE"""),"Atascamiento botella turbina 4")</f>
        <v>Atascamiento botella turbina 4</v>
      </c>
      <c r="E99" s="5">
        <f ca="1">IFERROR(__xludf.DUMMYFUNCTION("""COMPUTED_VALUE"""),0.15)</f>
        <v>0.15</v>
      </c>
      <c r="F99" s="15">
        <f ca="1">IFERROR(__xludf.DUMMYFUNCTION("""COMPUTED_VALUE"""),0.0902777777777777)</f>
        <v>9.0277777777777707E-2</v>
      </c>
      <c r="G99" s="15">
        <f ca="1">IFERROR(__xludf.DUMMYFUNCTION("""COMPUTED_VALUE"""),0.0965277777777777)</f>
        <v>9.6527777777777699E-2</v>
      </c>
      <c r="H99" s="5" t="str">
        <f ca="1">IFERROR(__xludf.DUMMYFUNCTION("""COMPUTED_VALUE"""),"LINE 1")</f>
        <v>LINE 1</v>
      </c>
      <c r="I99" s="5">
        <f ca="1">IFERROR(__xludf.DUMMYFUNCTION("""COMPUTED_VALUE"""),20009721)</f>
        <v>20009721</v>
      </c>
      <c r="J99" s="5" t="str">
        <f ca="1">IFERROR(__xludf.DUMMYFUNCTION("""COMPUTED_VALUE"""),"TRANSPORTADORES DE ENVASE VACIO")</f>
        <v>TRANSPORTADORES DE ENVASE VACIO</v>
      </c>
      <c r="K99" s="5" t="str">
        <f ca="1">IFERROR(__xludf.DUMMYFUNCTION("""COMPUTED_VALUE"""),"Alejandro Davila")</f>
        <v>Alejandro Davila</v>
      </c>
    </row>
    <row r="100" spans="1:11" ht="13.2">
      <c r="A100" s="5" t="str">
        <f ca="1">IFERROR(__xludf.DUMMYFUNCTION("""COMPUTED_VALUE"""),"TURNO C")</f>
        <v>TURNO C</v>
      </c>
      <c r="B100" s="5">
        <f ca="1">IFERROR(__xludf.DUMMYFUNCTION("""COMPUTED_VALUE"""),23907899)</f>
        <v>23907899</v>
      </c>
      <c r="C100" s="14">
        <f ca="1">IFERROR(__xludf.DUMMYFUNCTION("""COMPUTED_VALUE"""),45357)</f>
        <v>45357</v>
      </c>
      <c r="D100" s="5" t="str">
        <f ca="1">IFERROR(__xludf.DUMMYFUNCTION("""COMPUTED_VALUE"""),"Exceso velocidad Flowliner")</f>
        <v>Exceso velocidad Flowliner</v>
      </c>
      <c r="E100" s="5">
        <f ca="1">IFERROR(__xludf.DUMMYFUNCTION("""COMPUTED_VALUE"""),0.1)</f>
        <v>0.1</v>
      </c>
      <c r="F100" s="15">
        <f ca="1">IFERROR(__xludf.DUMMYFUNCTION("""COMPUTED_VALUE"""),0.108333333333333)</f>
        <v>0.108333333333333</v>
      </c>
      <c r="G100" s="15">
        <f ca="1">IFERROR(__xludf.DUMMYFUNCTION("""COMPUTED_VALUE"""),0.1125)</f>
        <v>0.1125</v>
      </c>
      <c r="H100" s="5" t="str">
        <f ca="1">IFERROR(__xludf.DUMMYFUNCTION("""COMPUTED_VALUE"""),"LINE 1")</f>
        <v>LINE 1</v>
      </c>
      <c r="I100" s="5">
        <f ca="1">IFERROR(__xludf.DUMMYFUNCTION("""COMPUTED_VALUE"""),20036419)</f>
        <v>20036419</v>
      </c>
      <c r="J100" s="5" t="str">
        <f ca="1">IFERROR(__xludf.DUMMYFUNCTION("""COMPUTED_VALUE"""),"TRANSPORTADORES DE BEBIDA")</f>
        <v>TRANSPORTADORES DE BEBIDA</v>
      </c>
      <c r="K100" s="5" t="str">
        <f ca="1">IFERROR(__xludf.DUMMYFUNCTION("""COMPUTED_VALUE"""),"Adalcides Campo")</f>
        <v>Adalcides Campo</v>
      </c>
    </row>
    <row r="101" spans="1:11" ht="13.2">
      <c r="A101" s="5" t="str">
        <f ca="1">IFERROR(__xludf.DUMMYFUNCTION("""COMPUTED_VALUE"""),"TURNO C")</f>
        <v>TURNO C</v>
      </c>
      <c r="B101" s="5">
        <f ca="1">IFERROR(__xludf.DUMMYFUNCTION("""COMPUTED_VALUE"""),23907901)</f>
        <v>23907901</v>
      </c>
      <c r="C101" s="14">
        <f ca="1">IFERROR(__xludf.DUMMYFUNCTION("""COMPUTED_VALUE"""),45357)</f>
        <v>45357</v>
      </c>
      <c r="D101" s="5" t="str">
        <f ca="1">IFERROR(__xludf.DUMMYFUNCTION("""COMPUTED_VALUE"""),"Ajuste de guias entrada/salida botella")</f>
        <v>Ajuste de guias entrada/salida botella</v>
      </c>
      <c r="E101" s="5">
        <f ca="1">IFERROR(__xludf.DUMMYFUNCTION("""COMPUTED_VALUE"""),0.85)</f>
        <v>0.85</v>
      </c>
      <c r="F101" s="15">
        <f ca="1">IFERROR(__xludf.DUMMYFUNCTION("""COMPUTED_VALUE"""),0.149305555555555)</f>
        <v>0.149305555555555</v>
      </c>
      <c r="G101" s="15">
        <f ca="1">IFERROR(__xludf.DUMMYFUNCTION("""COMPUTED_VALUE"""),0.184722222222222)</f>
        <v>0.18472222222222201</v>
      </c>
      <c r="H101" s="5" t="str">
        <f ca="1">IFERROR(__xludf.DUMMYFUNCTION("""COMPUTED_VALUE"""),"LINE 1")</f>
        <v>LINE 1</v>
      </c>
      <c r="I101" s="5">
        <f ca="1">IFERROR(__xludf.DUMMYFUNCTION("""COMPUTED_VALUE"""),20009721)</f>
        <v>20009721</v>
      </c>
      <c r="J101" s="5" t="str">
        <f ca="1">IFERROR(__xludf.DUMMYFUNCTION("""COMPUTED_VALUE"""),"ETIQUETADORA ENVOLVENTE")</f>
        <v>ETIQUETADORA ENVOLVENTE</v>
      </c>
      <c r="K101" s="5" t="str">
        <f ca="1">IFERROR(__xludf.DUMMYFUNCTION("""COMPUTED_VALUE"""),"Alejandro Davila")</f>
        <v>Alejandro Davila</v>
      </c>
    </row>
    <row r="102" spans="1:11" ht="13.2">
      <c r="A102" s="5" t="str">
        <f ca="1">IFERROR(__xludf.DUMMYFUNCTION("""COMPUTED_VALUE"""),"TURNO C")</f>
        <v>TURNO C</v>
      </c>
      <c r="B102" s="5">
        <f ca="1">IFERROR(__xludf.DUMMYFUNCTION("""COMPUTED_VALUE"""),23907909)</f>
        <v>23907909</v>
      </c>
      <c r="C102" s="14">
        <f ca="1">IFERROR(__xludf.DUMMYFUNCTION("""COMPUTED_VALUE"""),45357)</f>
        <v>45357</v>
      </c>
      <c r="D102" s="5" t="str">
        <f ca="1">IFERROR(__xludf.DUMMYFUNCTION("""COMPUTED_VALUE"""),"Atascamiento botellas")</f>
        <v>Atascamiento botellas</v>
      </c>
      <c r="E102" s="5">
        <f ca="1">IFERROR(__xludf.DUMMYFUNCTION("""COMPUTED_VALUE"""),0.08)</f>
        <v>0.08</v>
      </c>
      <c r="F102" s="15">
        <f ca="1">IFERROR(__xludf.DUMMYFUNCTION("""COMPUTED_VALUE"""),0.211805555555555)</f>
        <v>0.211805555555555</v>
      </c>
      <c r="G102" s="15">
        <f ca="1">IFERROR(__xludf.DUMMYFUNCTION("""COMPUTED_VALUE"""),0.215277777777777)</f>
        <v>0.21527777777777701</v>
      </c>
      <c r="H102" s="5" t="str">
        <f ca="1">IFERROR(__xludf.DUMMYFUNCTION("""COMPUTED_VALUE"""),"LINE 1")</f>
        <v>LINE 1</v>
      </c>
      <c r="I102" s="5">
        <f ca="1">IFERROR(__xludf.DUMMYFUNCTION("""COMPUTED_VALUE"""),20009721)</f>
        <v>20009721</v>
      </c>
      <c r="J102" s="5" t="str">
        <f ca="1">IFERROR(__xludf.DUMMYFUNCTION("""COMPUTED_VALUE"""),"TRANSPORTADORES DE ENVASE VACIO")</f>
        <v>TRANSPORTADORES DE ENVASE VACIO</v>
      </c>
      <c r="K102" s="5" t="str">
        <f ca="1">IFERROR(__xludf.DUMMYFUNCTION("""COMPUTED_VALUE"""),"Alejandro Davila")</f>
        <v>Alejandro Davila</v>
      </c>
    </row>
    <row r="103" spans="1:11" ht="13.2">
      <c r="A103" s="5" t="str">
        <f ca="1">IFERROR(__xludf.DUMMYFUNCTION("""COMPUTED_VALUE"""),"TURNO C")</f>
        <v>TURNO C</v>
      </c>
      <c r="B103" s="5">
        <f ca="1">IFERROR(__xludf.DUMMYFUNCTION("""COMPUTED_VALUE"""),23907910)</f>
        <v>23907910</v>
      </c>
      <c r="C103" s="14">
        <f ca="1">IFERROR(__xludf.DUMMYFUNCTION("""COMPUTED_VALUE"""),45357)</f>
        <v>45357</v>
      </c>
      <c r="D103" s="5" t="str">
        <f ca="1">IFERROR(__xludf.DUMMYFUNCTION("""COMPUTED_VALUE"""),"Ajuste de guias entrada/salida botella")</f>
        <v>Ajuste de guias entrada/salida botella</v>
      </c>
      <c r="E103" s="5">
        <f ca="1">IFERROR(__xludf.DUMMYFUNCTION("""COMPUTED_VALUE"""),0.08)</f>
        <v>0.08</v>
      </c>
      <c r="F103" s="15">
        <f ca="1">IFERROR(__xludf.DUMMYFUNCTION("""COMPUTED_VALUE"""),0.21875)</f>
        <v>0.21875</v>
      </c>
      <c r="G103" s="15">
        <f ca="1">IFERROR(__xludf.DUMMYFUNCTION("""COMPUTED_VALUE"""),0.222222222222222)</f>
        <v>0.22222222222222199</v>
      </c>
      <c r="H103" s="5" t="str">
        <f ca="1">IFERROR(__xludf.DUMMYFUNCTION("""COMPUTED_VALUE"""),"LINE 1")</f>
        <v>LINE 1</v>
      </c>
      <c r="I103" s="5">
        <f ca="1">IFERROR(__xludf.DUMMYFUNCTION("""COMPUTED_VALUE"""),20009721)</f>
        <v>20009721</v>
      </c>
      <c r="J103" s="5" t="str">
        <f ca="1">IFERROR(__xludf.DUMMYFUNCTION("""COMPUTED_VALUE"""),"ETIQUETADORA ENVOLVENTE")</f>
        <v>ETIQUETADORA ENVOLVENTE</v>
      </c>
      <c r="K103" s="5" t="str">
        <f ca="1">IFERROR(__xludf.DUMMYFUNCTION("""COMPUTED_VALUE"""),"Alejandro Davila")</f>
        <v>Alejandro Davila</v>
      </c>
    </row>
    <row r="104" spans="1:11" ht="13.2">
      <c r="A104" s="5" t="str">
        <f ca="1">IFERROR(__xludf.DUMMYFUNCTION("""COMPUTED_VALUE"""),"TURNO A")</f>
        <v>TURNO A</v>
      </c>
      <c r="B104" s="5">
        <f ca="1">IFERROR(__xludf.DUMMYFUNCTION("""COMPUTED_VALUE"""),23908606)</f>
        <v>23908606</v>
      </c>
      <c r="C104" s="14">
        <f ca="1">IFERROR(__xludf.DUMMYFUNCTION("""COMPUTED_VALUE"""),45358)</f>
        <v>45358</v>
      </c>
      <c r="D104" s="5" t="str">
        <f ca="1">IFERROR(__xludf.DUMMYFUNCTION("""COMPUTED_VALUE"""),"Ajuste de guias entrada/salida botella")</f>
        <v>Ajuste de guias entrada/salida botella</v>
      </c>
      <c r="E104" s="5">
        <f ca="1">IFERROR(__xludf.DUMMYFUNCTION("""COMPUTED_VALUE"""),1.13)</f>
        <v>1.1299999999999999</v>
      </c>
      <c r="F104" s="15">
        <f ca="1">IFERROR(__xludf.DUMMYFUNCTION("""COMPUTED_VALUE"""),0.232638888888888)</f>
        <v>0.23263888888888801</v>
      </c>
      <c r="G104" s="15">
        <f ca="1">IFERROR(__xludf.DUMMYFUNCTION("""COMPUTED_VALUE"""),0.279861111111111)</f>
        <v>0.27986111111111101</v>
      </c>
      <c r="H104" s="5" t="str">
        <f ca="1">IFERROR(__xludf.DUMMYFUNCTION("""COMPUTED_VALUE"""),"LINE 1")</f>
        <v>LINE 1</v>
      </c>
      <c r="I104" s="5">
        <f ca="1">IFERROR(__xludf.DUMMYFUNCTION("""COMPUTED_VALUE"""),20020754)</f>
        <v>20020754</v>
      </c>
      <c r="J104" s="5" t="str">
        <f ca="1">IFERROR(__xludf.DUMMYFUNCTION("""COMPUTED_VALUE"""),"ETIQUETADORA ENVOLVENTE")</f>
        <v>ETIQUETADORA ENVOLVENTE</v>
      </c>
      <c r="K104" s="5" t="str">
        <f ca="1">IFERROR(__xludf.DUMMYFUNCTION("""COMPUTED_VALUE"""),"Sanchez Rodriguez Gerson Andres")</f>
        <v>Sanchez Rodriguez Gerson Andres</v>
      </c>
    </row>
    <row r="105" spans="1:11" ht="13.2">
      <c r="A105" s="5" t="str">
        <f ca="1">IFERROR(__xludf.DUMMYFUNCTION("""COMPUTED_VALUE"""),"TURNO A")</f>
        <v>TURNO A</v>
      </c>
      <c r="B105" s="5">
        <f ca="1">IFERROR(__xludf.DUMMYFUNCTION("""COMPUTED_VALUE"""),23908783)</f>
        <v>23908783</v>
      </c>
      <c r="C105" s="14">
        <f ca="1">IFERROR(__xludf.DUMMYFUNCTION("""COMPUTED_VALUE"""),45358)</f>
        <v>45358</v>
      </c>
      <c r="D105" s="5" t="str">
        <f ca="1">IFERROR(__xludf.DUMMYFUNCTION("""COMPUTED_VALUE"""),"Botellas sin tapa")</f>
        <v>Botellas sin tapa</v>
      </c>
      <c r="E105" s="5">
        <f ca="1">IFERROR(__xludf.DUMMYFUNCTION("""COMPUTED_VALUE"""),0.18)</f>
        <v>0.18</v>
      </c>
      <c r="F105" s="15">
        <f ca="1">IFERROR(__xludf.DUMMYFUNCTION("""COMPUTED_VALUE"""),0.458333333333333)</f>
        <v>0.45833333333333298</v>
      </c>
      <c r="G105" s="15">
        <f ca="1">IFERROR(__xludf.DUMMYFUNCTION("""COMPUTED_VALUE"""),0.465972222222222)</f>
        <v>0.46597222222222201</v>
      </c>
      <c r="H105" s="5" t="str">
        <f ca="1">IFERROR(__xludf.DUMMYFUNCTION("""COMPUTED_VALUE"""),"LINE 1")</f>
        <v>LINE 1</v>
      </c>
      <c r="I105" s="5">
        <f ca="1">IFERROR(__xludf.DUMMYFUNCTION("""COMPUTED_VALUE"""),20082152)</f>
        <v>20082152</v>
      </c>
      <c r="J105" s="5" t="str">
        <f ca="1">IFERROR(__xludf.DUMMYFUNCTION("""COMPUTED_VALUE"""),"LLENADORA BOTELLAS PET")</f>
        <v>LLENADORA BOTELLAS PET</v>
      </c>
      <c r="K105" s="5" t="str">
        <f ca="1">IFERROR(__xludf.DUMMYFUNCTION("""COMPUTED_VALUE"""),"Ferney Ramos")</f>
        <v>Ferney Ramos</v>
      </c>
    </row>
    <row r="106" spans="1:11" ht="13.2">
      <c r="A106" s="5" t="str">
        <f ca="1">IFERROR(__xludf.DUMMYFUNCTION("""COMPUTED_VALUE"""),"TURNO A")</f>
        <v>TURNO A</v>
      </c>
      <c r="B106" s="5">
        <f ca="1">IFERROR(__xludf.DUMMYFUNCTION("""COMPUTED_VALUE"""),23908994)</f>
        <v>23908994</v>
      </c>
      <c r="C106" s="14">
        <f ca="1">IFERROR(__xludf.DUMMYFUNCTION("""COMPUTED_VALUE"""),45358)</f>
        <v>45358</v>
      </c>
      <c r="D106" s="5" t="str">
        <f ca="1">IFERROR(__xludf.DUMMYFUNCTION("""COMPUTED_VALUE"""),"Bypass valvula")</f>
        <v>Bypass valvula</v>
      </c>
      <c r="E106" s="5">
        <f ca="1">IFERROR(__xludf.DUMMYFUNCTION("""COMPUTED_VALUE"""),0.08)</f>
        <v>0.08</v>
      </c>
      <c r="F106" s="15">
        <f ca="1">IFERROR(__xludf.DUMMYFUNCTION("""COMPUTED_VALUE"""),0.555555555555555)</f>
        <v>0.55555555555555503</v>
      </c>
      <c r="G106" s="15">
        <f ca="1">IFERROR(__xludf.DUMMYFUNCTION("""COMPUTED_VALUE"""),0.559027777777777)</f>
        <v>0.55902777777777701</v>
      </c>
      <c r="H106" s="5" t="str">
        <f ca="1">IFERROR(__xludf.DUMMYFUNCTION("""COMPUTED_VALUE"""),"LINE 1")</f>
        <v>LINE 1</v>
      </c>
      <c r="I106" s="5">
        <f ca="1">IFERROR(__xludf.DUMMYFUNCTION("""COMPUTED_VALUE"""),20082152)</f>
        <v>20082152</v>
      </c>
      <c r="J106" s="5" t="str">
        <f ca="1">IFERROR(__xludf.DUMMYFUNCTION("""COMPUTED_VALUE"""),"LLENADORA BOTELLAS PET")</f>
        <v>LLENADORA BOTELLAS PET</v>
      </c>
      <c r="K106" s="5" t="str">
        <f ca="1">IFERROR(__xludf.DUMMYFUNCTION("""COMPUTED_VALUE"""),"Ferney Ramos")</f>
        <v>Ferney Ramos</v>
      </c>
    </row>
    <row r="107" spans="1:11" ht="13.2">
      <c r="A107" s="5" t="str">
        <f ca="1">IFERROR(__xludf.DUMMYFUNCTION("""COMPUTED_VALUE"""),"TURNO B")</f>
        <v>TURNO B</v>
      </c>
      <c r="B107" s="5">
        <f ca="1">IFERROR(__xludf.DUMMYFUNCTION("""COMPUTED_VALUE"""),23909324)</f>
        <v>23909324</v>
      </c>
      <c r="C107" s="14">
        <f ca="1">IFERROR(__xludf.DUMMYFUNCTION("""COMPUTED_VALUE"""),45358)</f>
        <v>45358</v>
      </c>
      <c r="D107" s="5" t="str">
        <f ca="1">IFERROR(__xludf.DUMMYFUNCTION("""COMPUTED_VALUE"""),"Botellas sin codigo")</f>
        <v>Botellas sin codigo</v>
      </c>
      <c r="E107" s="5">
        <f ca="1">IFERROR(__xludf.DUMMYFUNCTION("""COMPUTED_VALUE"""),0.3)</f>
        <v>0.3</v>
      </c>
      <c r="F107" s="15">
        <f ca="1">IFERROR(__xludf.DUMMYFUNCTION("""COMPUTED_VALUE"""),0.590277777777777)</f>
        <v>0.59027777777777701</v>
      </c>
      <c r="G107" s="15">
        <f ca="1">IFERROR(__xludf.DUMMYFUNCTION("""COMPUTED_VALUE"""),0.602777777777777)</f>
        <v>0.60277777777777697</v>
      </c>
      <c r="H107" s="5" t="str">
        <f ca="1">IFERROR(__xludf.DUMMYFUNCTION("""COMPUTED_VALUE"""),"LINE 1")</f>
        <v>LINE 1</v>
      </c>
      <c r="I107" s="5">
        <f ca="1">IFERROR(__xludf.DUMMYFUNCTION("""COMPUTED_VALUE"""),20019987)</f>
        <v>20019987</v>
      </c>
      <c r="J107" s="5" t="str">
        <f ca="1">IFERROR(__xludf.DUMMYFUNCTION("""COMPUTED_VALUE"""),"CODIFICADOR DE BOTELLAS")</f>
        <v>CODIFICADOR DE BOTELLAS</v>
      </c>
      <c r="K107" s="5" t="str">
        <f ca="1">IFERROR(__xludf.DUMMYFUNCTION("""COMPUTED_VALUE"""),"Aguado Lemos Luis Eyder")</f>
        <v>Aguado Lemos Luis Eyder</v>
      </c>
    </row>
    <row r="108" spans="1:11" ht="13.2">
      <c r="A108" s="5" t="str">
        <f ca="1">IFERROR(__xludf.DUMMYFUNCTION("""COMPUTED_VALUE"""),"TURNO B")</f>
        <v>TURNO B</v>
      </c>
      <c r="B108" s="5">
        <f ca="1">IFERROR(__xludf.DUMMYFUNCTION("""COMPUTED_VALUE"""),23909325)</f>
        <v>23909325</v>
      </c>
      <c r="C108" s="14">
        <f ca="1">IFERROR(__xludf.DUMMYFUNCTION("""COMPUTED_VALUE"""),45358)</f>
        <v>45358</v>
      </c>
      <c r="D108" s="5" t="str">
        <f ca="1">IFERROR(__xludf.DUMMYFUNCTION("""COMPUTED_VALUE"""),"Caida de paquetes")</f>
        <v>Caida de paquetes</v>
      </c>
      <c r="E108" s="5">
        <f ca="1">IFERROR(__xludf.DUMMYFUNCTION("""COMPUTED_VALUE"""),0.17)</f>
        <v>0.17</v>
      </c>
      <c r="F108" s="15">
        <f ca="1">IFERROR(__xludf.DUMMYFUNCTION("""COMPUTED_VALUE"""),0.604166666666666)</f>
        <v>0.60416666666666596</v>
      </c>
      <c r="G108" s="15">
        <f ca="1">IFERROR(__xludf.DUMMYFUNCTION("""COMPUTED_VALUE"""),0.611111111111111)</f>
        <v>0.61111111111111105</v>
      </c>
      <c r="H108" s="5" t="str">
        <f ca="1">IFERROR(__xludf.DUMMYFUNCTION("""COMPUTED_VALUE"""),"LINE 1")</f>
        <v>LINE 1</v>
      </c>
      <c r="I108" s="5"/>
      <c r="J108" s="5" t="str">
        <f ca="1">IFERROR(__xludf.DUMMYFUNCTION("""COMPUTED_VALUE"""),"PALETIZADORA")</f>
        <v>PALETIZADORA</v>
      </c>
      <c r="K108" s="5" t="str">
        <f ca="1">IFERROR(__xludf.DUMMYFUNCTION("""COMPUTED_VALUE"""),"BLANCO")</f>
        <v>BLANCO</v>
      </c>
    </row>
    <row r="109" spans="1:11" ht="13.2">
      <c r="A109" s="5" t="str">
        <f ca="1">IFERROR(__xludf.DUMMYFUNCTION("""COMPUTED_VALUE"""),"TURNO B")</f>
        <v>TURNO B</v>
      </c>
      <c r="B109" s="5">
        <f ca="1">IFERROR(__xludf.DUMMYFUNCTION("""COMPUTED_VALUE"""),23909328)</f>
        <v>23909328</v>
      </c>
      <c r="C109" s="14">
        <f ca="1">IFERROR(__xludf.DUMMYFUNCTION("""COMPUTED_VALUE"""),45358)</f>
        <v>45358</v>
      </c>
      <c r="D109" s="5" t="str">
        <f ca="1">IFERROR(__xludf.DUMMYFUNCTION("""COMPUTED_VALUE"""),"Atascamiento botellas")</f>
        <v>Atascamiento botellas</v>
      </c>
      <c r="E109" s="5">
        <f ca="1">IFERROR(__xludf.DUMMYFUNCTION("""COMPUTED_VALUE"""),0.07)</f>
        <v>7.0000000000000007E-2</v>
      </c>
      <c r="F109" s="15">
        <f ca="1">IFERROR(__xludf.DUMMYFUNCTION("""COMPUTED_VALUE"""),0.631944444444444)</f>
        <v>0.63194444444444398</v>
      </c>
      <c r="G109" s="15">
        <f ca="1">IFERROR(__xludf.DUMMYFUNCTION("""COMPUTED_VALUE"""),0.634722222222222)</f>
        <v>0.63472222222222197</v>
      </c>
      <c r="H109" s="5" t="str">
        <f ca="1">IFERROR(__xludf.DUMMYFUNCTION("""COMPUTED_VALUE"""),"LINE 1")</f>
        <v>LINE 1</v>
      </c>
      <c r="I109" s="5">
        <f ca="1">IFERROR(__xludf.DUMMYFUNCTION("""COMPUTED_VALUE"""),20075387)</f>
        <v>20075387</v>
      </c>
      <c r="J109" s="5" t="str">
        <f ca="1">IFERROR(__xludf.DUMMYFUNCTION("""COMPUTED_VALUE"""),"TRANSPORTADORES DE ENVASE VACIO")</f>
        <v>TRANSPORTADORES DE ENVASE VACIO</v>
      </c>
      <c r="K109" s="5" t="str">
        <f ca="1">IFERROR(__xludf.DUMMYFUNCTION("""COMPUTED_VALUE"""),"Cristian Suaza")</f>
        <v>Cristian Suaza</v>
      </c>
    </row>
    <row r="110" spans="1:11" ht="13.2">
      <c r="A110" s="5" t="str">
        <f ca="1">IFERROR(__xludf.DUMMYFUNCTION("""COMPUTED_VALUE"""),"TURNO B")</f>
        <v>TURNO B</v>
      </c>
      <c r="B110" s="5">
        <f ca="1">IFERROR(__xludf.DUMMYFUNCTION("""COMPUTED_VALUE"""),23909605)</f>
        <v>23909605</v>
      </c>
      <c r="C110" s="14">
        <f ca="1">IFERROR(__xludf.DUMMYFUNCTION("""COMPUTED_VALUE"""),45358)</f>
        <v>45358</v>
      </c>
      <c r="D110" s="5" t="str">
        <f ca="1">IFERROR(__xludf.DUMMYFUNCTION("""COMPUTED_VALUE"""),"Atascamiento botellas")</f>
        <v>Atascamiento botellas</v>
      </c>
      <c r="E110" s="5">
        <f ca="1">IFERROR(__xludf.DUMMYFUNCTION("""COMPUTED_VALUE"""),0.08)</f>
        <v>0.08</v>
      </c>
      <c r="F110" s="15">
        <f ca="1">IFERROR(__xludf.DUMMYFUNCTION("""COMPUTED_VALUE"""),0.722222222222222)</f>
        <v>0.72222222222222199</v>
      </c>
      <c r="G110" s="15">
        <f ca="1">IFERROR(__xludf.DUMMYFUNCTION("""COMPUTED_VALUE"""),0.725694444444444)</f>
        <v>0.72569444444444398</v>
      </c>
      <c r="H110" s="5" t="str">
        <f ca="1">IFERROR(__xludf.DUMMYFUNCTION("""COMPUTED_VALUE"""),"LINE 1")</f>
        <v>LINE 1</v>
      </c>
      <c r="I110" s="5">
        <f ca="1">IFERROR(__xludf.DUMMYFUNCTION("""COMPUTED_VALUE"""),20009915)</f>
        <v>20009915</v>
      </c>
      <c r="J110" s="5" t="str">
        <f ca="1">IFERROR(__xludf.DUMMYFUNCTION("""COMPUTED_VALUE"""),"ENFARDADORA")</f>
        <v>ENFARDADORA</v>
      </c>
      <c r="K110" s="5" t="str">
        <f ca="1">IFERROR(__xludf.DUMMYFUNCTION("""COMPUTED_VALUE"""),"Lozano Delgado Fausto Andres")</f>
        <v>Lozano Delgado Fausto Andres</v>
      </c>
    </row>
    <row r="111" spans="1:11" ht="13.2">
      <c r="A111" s="5" t="str">
        <f ca="1">IFERROR(__xludf.DUMMYFUNCTION("""COMPUTED_VALUE"""),"TURNO B")</f>
        <v>TURNO B</v>
      </c>
      <c r="B111" s="5">
        <f ca="1">IFERROR(__xludf.DUMMYFUNCTION("""COMPUTED_VALUE"""),23909607)</f>
        <v>23909607</v>
      </c>
      <c r="C111" s="14">
        <f ca="1">IFERROR(__xludf.DUMMYFUNCTION("""COMPUTED_VALUE"""),45358)</f>
        <v>45358</v>
      </c>
      <c r="D111" s="5" t="str">
        <f ca="1">IFERROR(__xludf.DUMMYFUNCTION("""COMPUTED_VALUE"""),"Maquina no realiza emplame de rollo")</f>
        <v>Maquina no realiza emplame de rollo</v>
      </c>
      <c r="E111" s="5">
        <f ca="1">IFERROR(__xludf.DUMMYFUNCTION("""COMPUTED_VALUE"""),0.1)</f>
        <v>0.1</v>
      </c>
      <c r="F111" s="15">
        <f ca="1">IFERROR(__xludf.DUMMYFUNCTION("""COMPUTED_VALUE"""),0.729166666666666)</f>
        <v>0.72916666666666596</v>
      </c>
      <c r="G111" s="15">
        <f ca="1">IFERROR(__xludf.DUMMYFUNCTION("""COMPUTED_VALUE"""),0.733333333333333)</f>
        <v>0.73333333333333295</v>
      </c>
      <c r="H111" s="5" t="str">
        <f ca="1">IFERROR(__xludf.DUMMYFUNCTION("""COMPUTED_VALUE"""),"LINE 1")</f>
        <v>LINE 1</v>
      </c>
      <c r="I111" s="5">
        <f ca="1">IFERROR(__xludf.DUMMYFUNCTION("""COMPUTED_VALUE"""),20075387)</f>
        <v>20075387</v>
      </c>
      <c r="J111" s="5" t="str">
        <f ca="1">IFERROR(__xludf.DUMMYFUNCTION("""COMPUTED_VALUE"""),"ETIQUETADORA ENVOLVENTE")</f>
        <v>ETIQUETADORA ENVOLVENTE</v>
      </c>
      <c r="K111" s="5" t="str">
        <f ca="1">IFERROR(__xludf.DUMMYFUNCTION("""COMPUTED_VALUE"""),"Cristian Suaza")</f>
        <v>Cristian Suaza</v>
      </c>
    </row>
    <row r="112" spans="1:11" ht="13.2">
      <c r="A112" s="5" t="str">
        <f ca="1">IFERROR(__xludf.DUMMYFUNCTION("""COMPUTED_VALUE"""),"TURNO B")</f>
        <v>TURNO B</v>
      </c>
      <c r="B112" s="5">
        <f ca="1">IFERROR(__xludf.DUMMYFUNCTION("""COMPUTED_VALUE"""),23909721)</f>
        <v>23909721</v>
      </c>
      <c r="C112" s="14">
        <f ca="1">IFERROR(__xludf.DUMMYFUNCTION("""COMPUTED_VALUE"""),45358)</f>
        <v>45358</v>
      </c>
      <c r="D112" s="5" t="str">
        <f ca="1">IFERROR(__xludf.DUMMYFUNCTION("""COMPUTED_VALUE"""),"Caida de botellas salida llenadora")</f>
        <v>Caida de botellas salida llenadora</v>
      </c>
      <c r="E112" s="5">
        <f ca="1">IFERROR(__xludf.DUMMYFUNCTION("""COMPUTED_VALUE"""),0.3)</f>
        <v>0.3</v>
      </c>
      <c r="F112" s="15">
        <f ca="1">IFERROR(__xludf.DUMMYFUNCTION("""COMPUTED_VALUE"""),0.798611111111111)</f>
        <v>0.79861111111111105</v>
      </c>
      <c r="G112" s="15">
        <f ca="1">IFERROR(__xludf.DUMMYFUNCTION("""COMPUTED_VALUE"""),0.811111111111111)</f>
        <v>0.81111111111111101</v>
      </c>
      <c r="H112" s="5" t="str">
        <f ca="1">IFERROR(__xludf.DUMMYFUNCTION("""COMPUTED_VALUE"""),"LINE 1")</f>
        <v>LINE 1</v>
      </c>
      <c r="I112" s="5">
        <f ca="1">IFERROR(__xludf.DUMMYFUNCTION("""COMPUTED_VALUE"""),20019987)</f>
        <v>20019987</v>
      </c>
      <c r="J112" s="5" t="str">
        <f ca="1">IFERROR(__xludf.DUMMYFUNCTION("""COMPUTED_VALUE"""),"TRANSPORTADORES DE BEBIDA")</f>
        <v>TRANSPORTADORES DE BEBIDA</v>
      </c>
      <c r="K112" s="5" t="str">
        <f ca="1">IFERROR(__xludf.DUMMYFUNCTION("""COMPUTED_VALUE"""),"Aguado Lemos Luis Eyder")</f>
        <v>Aguado Lemos Luis Eyder</v>
      </c>
    </row>
    <row r="113" spans="1:11" ht="13.2">
      <c r="A113" s="5" t="str">
        <f ca="1">IFERROR(__xludf.DUMMYFUNCTION("""COMPUTED_VALUE"""),"TURNO B")</f>
        <v>TURNO B</v>
      </c>
      <c r="B113" s="5">
        <f ca="1">IFERROR(__xludf.DUMMYFUNCTION("""COMPUTED_VALUE"""),23909853)</f>
        <v>23909853</v>
      </c>
      <c r="C113" s="14">
        <f ca="1">IFERROR(__xludf.DUMMYFUNCTION("""COMPUTED_VALUE"""),45358)</f>
        <v>45358</v>
      </c>
      <c r="D113" s="5" t="str">
        <f ca="1">IFERROR(__xludf.DUMMYFUNCTION("""COMPUTED_VALUE"""),"Dosificador adhesivo desalineado")</f>
        <v>Dosificador adhesivo desalineado</v>
      </c>
      <c r="E113" s="5">
        <f ca="1">IFERROR(__xludf.DUMMYFUNCTION("""COMPUTED_VALUE"""),0.83)</f>
        <v>0.83</v>
      </c>
      <c r="F113" s="15">
        <f ca="1">IFERROR(__xludf.DUMMYFUNCTION("""COMPUTED_VALUE"""),0.836805555555555)</f>
        <v>0.83680555555555503</v>
      </c>
      <c r="G113" s="15">
        <f ca="1">IFERROR(__xludf.DUMMYFUNCTION("""COMPUTED_VALUE"""),0.871527777777777)</f>
        <v>0.87152777777777701</v>
      </c>
      <c r="H113" s="5" t="str">
        <f ca="1">IFERROR(__xludf.DUMMYFUNCTION("""COMPUTED_VALUE"""),"LINE 1")</f>
        <v>LINE 1</v>
      </c>
      <c r="I113" s="5">
        <f ca="1">IFERROR(__xludf.DUMMYFUNCTION("""COMPUTED_VALUE"""),20062740)</f>
        <v>20062740</v>
      </c>
      <c r="J113" s="5" t="str">
        <f ca="1">IFERROR(__xludf.DUMMYFUNCTION("""COMPUTED_VALUE"""),"TRANSPORTADORES DE CAJAS")</f>
        <v>TRANSPORTADORES DE CAJAS</v>
      </c>
      <c r="K113" s="5" t="str">
        <f ca="1">IFERROR(__xludf.DUMMYFUNCTION("""COMPUTED_VALUE"""),"Hector Toro")</f>
        <v>Hector Toro</v>
      </c>
    </row>
    <row r="114" spans="1:11" ht="13.2">
      <c r="A114" s="5" t="str">
        <f ca="1">IFERROR(__xludf.DUMMYFUNCTION("""COMPUTED_VALUE"""),"TURNO B")</f>
        <v>TURNO B</v>
      </c>
      <c r="B114" s="5">
        <f ca="1">IFERROR(__xludf.DUMMYFUNCTION("""COMPUTED_VALUE"""),23909916)</f>
        <v>23909916</v>
      </c>
      <c r="C114" s="14">
        <f ca="1">IFERROR(__xludf.DUMMYFUNCTION("""COMPUTED_VALUE"""),45358)</f>
        <v>45358</v>
      </c>
      <c r="D114" s="5" t="str">
        <f ca="1">IFERROR(__xludf.DUMMYFUNCTION("""COMPUTED_VALUE"""),"Atascamiento botellas")</f>
        <v>Atascamiento botellas</v>
      </c>
      <c r="E114" s="5">
        <f ca="1">IFERROR(__xludf.DUMMYFUNCTION("""COMPUTED_VALUE"""),0.12)</f>
        <v>0.12</v>
      </c>
      <c r="F114" s="15">
        <f ca="1">IFERROR(__xludf.DUMMYFUNCTION("""COMPUTED_VALUE"""),0.881944444444444)</f>
        <v>0.88194444444444398</v>
      </c>
      <c r="G114" s="15">
        <f ca="1">IFERROR(__xludf.DUMMYFUNCTION("""COMPUTED_VALUE"""),0.886805555555555)</f>
        <v>0.88680555555555496</v>
      </c>
      <c r="H114" s="5" t="str">
        <f ca="1">IFERROR(__xludf.DUMMYFUNCTION("""COMPUTED_VALUE"""),"LINE 1")</f>
        <v>LINE 1</v>
      </c>
      <c r="I114" s="5">
        <f ca="1">IFERROR(__xludf.DUMMYFUNCTION("""COMPUTED_VALUE"""),20075387)</f>
        <v>20075387</v>
      </c>
      <c r="J114" s="5" t="str">
        <f ca="1">IFERROR(__xludf.DUMMYFUNCTION("""COMPUTED_VALUE"""),"TRANSPORTADORES DE ENVASE VACIO")</f>
        <v>TRANSPORTADORES DE ENVASE VACIO</v>
      </c>
      <c r="K114" s="5" t="str">
        <f ca="1">IFERROR(__xludf.DUMMYFUNCTION("""COMPUTED_VALUE"""),"Cristian Suaza")</f>
        <v>Cristian Suaza</v>
      </c>
    </row>
    <row r="115" spans="1:11" ht="13.2">
      <c r="A115" s="5" t="str">
        <f ca="1">IFERROR(__xludf.DUMMYFUNCTION("""COMPUTED_VALUE"""),"TURNO B")</f>
        <v>TURNO B</v>
      </c>
      <c r="B115" s="5">
        <f ca="1">IFERROR(__xludf.DUMMYFUNCTION("""COMPUTED_VALUE"""),23910002)</f>
        <v>23910002</v>
      </c>
      <c r="C115" s="14">
        <f ca="1">IFERROR(__xludf.DUMMYFUNCTION("""COMPUTED_VALUE"""),45358)</f>
        <v>45358</v>
      </c>
      <c r="D115" s="5" t="str">
        <f ca="1">IFERROR(__xludf.DUMMYFUNCTION("""COMPUTED_VALUE"""),"Lubricacion Excesiva")</f>
        <v>Lubricacion Excesiva</v>
      </c>
      <c r="E115" s="5">
        <f ca="1">IFERROR(__xludf.DUMMYFUNCTION("""COMPUTED_VALUE"""),0.12)</f>
        <v>0.12</v>
      </c>
      <c r="F115" s="15">
        <f ca="1">IFERROR(__xludf.DUMMYFUNCTION("""COMPUTED_VALUE"""),0.927083333333333)</f>
        <v>0.92708333333333304</v>
      </c>
      <c r="G115" s="15">
        <f ca="1">IFERROR(__xludf.DUMMYFUNCTION("""COMPUTED_VALUE"""),0.931944444444444)</f>
        <v>0.93194444444444402</v>
      </c>
      <c r="H115" s="5" t="str">
        <f ca="1">IFERROR(__xludf.DUMMYFUNCTION("""COMPUTED_VALUE"""),"LINE 1")</f>
        <v>LINE 1</v>
      </c>
      <c r="I115" s="5">
        <f ca="1">IFERROR(__xludf.DUMMYFUNCTION("""COMPUTED_VALUE"""),20009996)</f>
        <v>20009996</v>
      </c>
      <c r="J115" s="5" t="str">
        <f ca="1">IFERROR(__xludf.DUMMYFUNCTION("""COMPUTED_VALUE"""),"TRANSPORTADORES DE BEBIDA")</f>
        <v>TRANSPORTADORES DE BEBIDA</v>
      </c>
      <c r="K115" s="5" t="str">
        <f ca="1">IFERROR(__xludf.DUMMYFUNCTION("""COMPUTED_VALUE"""),"Fernando Montoya")</f>
        <v>Fernando Montoya</v>
      </c>
    </row>
    <row r="116" spans="1:11" ht="13.2">
      <c r="A116" s="5" t="str">
        <f ca="1">IFERROR(__xludf.DUMMYFUNCTION("""COMPUTED_VALUE"""),"TURNO C")</f>
        <v>TURNO C</v>
      </c>
      <c r="B116" s="5">
        <f ca="1">IFERROR(__xludf.DUMMYFUNCTION("""COMPUTED_VALUE"""),23910003)</f>
        <v>23910003</v>
      </c>
      <c r="C116" s="14">
        <f ca="1">IFERROR(__xludf.DUMMYFUNCTION("""COMPUTED_VALUE"""),45358)</f>
        <v>45358</v>
      </c>
      <c r="D116" s="5" t="str">
        <f ca="1">IFERROR(__xludf.DUMMYFUNCTION("""COMPUTED_VALUE"""),"Caida de botellas salida llenadora")</f>
        <v>Caida de botellas salida llenadora</v>
      </c>
      <c r="E116" s="5">
        <f ca="1">IFERROR(__xludf.DUMMYFUNCTION("""COMPUTED_VALUE"""),0.1)</f>
        <v>0.1</v>
      </c>
      <c r="F116" s="15">
        <f ca="1">IFERROR(__xludf.DUMMYFUNCTION("""COMPUTED_VALUE"""),0.96875)</f>
        <v>0.96875</v>
      </c>
      <c r="G116" s="15">
        <f ca="1">IFERROR(__xludf.DUMMYFUNCTION("""COMPUTED_VALUE"""),0.972916666666666)</f>
        <v>0.97291666666666599</v>
      </c>
      <c r="H116" s="5" t="str">
        <f ca="1">IFERROR(__xludf.DUMMYFUNCTION("""COMPUTED_VALUE"""),"LINE 1")</f>
        <v>LINE 1</v>
      </c>
      <c r="I116" s="5">
        <f ca="1">IFERROR(__xludf.DUMMYFUNCTION("""COMPUTED_VALUE"""),20036419)</f>
        <v>20036419</v>
      </c>
      <c r="J116" s="5" t="str">
        <f ca="1">IFERROR(__xludf.DUMMYFUNCTION("""COMPUTED_VALUE"""),"TRANSPORTADORES DE BEBIDA")</f>
        <v>TRANSPORTADORES DE BEBIDA</v>
      </c>
      <c r="K116" s="5" t="str">
        <f ca="1">IFERROR(__xludf.DUMMYFUNCTION("""COMPUTED_VALUE"""),"Adalcides Campo")</f>
        <v>Adalcides Campo</v>
      </c>
    </row>
    <row r="117" spans="1:11" ht="13.2">
      <c r="A117" s="5" t="str">
        <f ca="1">IFERROR(__xludf.DUMMYFUNCTION("""COMPUTED_VALUE"""),"TURNO C")</f>
        <v>TURNO C</v>
      </c>
      <c r="B117" s="5">
        <f ca="1">IFERROR(__xludf.DUMMYFUNCTION("""COMPUTED_VALUE"""),23910004)</f>
        <v>23910004</v>
      </c>
      <c r="C117" s="14">
        <f ca="1">IFERROR(__xludf.DUMMYFUNCTION("""COMPUTED_VALUE"""),45358)</f>
        <v>45358</v>
      </c>
      <c r="D117" s="5" t="str">
        <f ca="1">IFERROR(__xludf.DUMMYFUNCTION("""COMPUTED_VALUE"""),"Atascamiento botellas")</f>
        <v>Atascamiento botellas</v>
      </c>
      <c r="E117" s="5">
        <f ca="1">IFERROR(__xludf.DUMMYFUNCTION("""COMPUTED_VALUE"""),0.08)</f>
        <v>0.08</v>
      </c>
      <c r="F117" s="15">
        <f ca="1">IFERROR(__xludf.DUMMYFUNCTION("""COMPUTED_VALUE"""),0.975694444444444)</f>
        <v>0.97569444444444398</v>
      </c>
      <c r="G117" s="15">
        <f ca="1">IFERROR(__xludf.DUMMYFUNCTION("""COMPUTED_VALUE"""),0.979166666666666)</f>
        <v>0.97916666666666596</v>
      </c>
      <c r="H117" s="5" t="str">
        <f ca="1">IFERROR(__xludf.DUMMYFUNCTION("""COMPUTED_VALUE"""),"LINE 1")</f>
        <v>LINE 1</v>
      </c>
      <c r="I117" s="5">
        <f ca="1">IFERROR(__xludf.DUMMYFUNCTION("""COMPUTED_VALUE"""),20009721)</f>
        <v>20009721</v>
      </c>
      <c r="J117" s="5" t="str">
        <f ca="1">IFERROR(__xludf.DUMMYFUNCTION("""COMPUTED_VALUE"""),"TRANSPORTADORES DE ENVASE VACIO")</f>
        <v>TRANSPORTADORES DE ENVASE VACIO</v>
      </c>
      <c r="K117" s="5" t="str">
        <f ca="1">IFERROR(__xludf.DUMMYFUNCTION("""COMPUTED_VALUE"""),"Alejandro Davila")</f>
        <v>Alejandro Davila</v>
      </c>
    </row>
    <row r="118" spans="1:11" ht="13.2">
      <c r="A118" s="5" t="str">
        <f ca="1">IFERROR(__xludf.DUMMYFUNCTION("""COMPUTED_VALUE"""),"TURNO C")</f>
        <v>TURNO C</v>
      </c>
      <c r="B118" s="5">
        <f ca="1">IFERROR(__xludf.DUMMYFUNCTION("""COMPUTED_VALUE"""),23910008)</f>
        <v>23910008</v>
      </c>
      <c r="C118" s="14">
        <f ca="1">IFERROR(__xludf.DUMMYFUNCTION("""COMPUTED_VALUE"""),45358)</f>
        <v>45358</v>
      </c>
      <c r="D118" s="5" t="str">
        <f ca="1">IFERROR(__xludf.DUMMYFUNCTION("""COMPUTED_VALUE"""),"Atascamiento botellas")</f>
        <v>Atascamiento botellas</v>
      </c>
      <c r="E118" s="5">
        <f ca="1">IFERROR(__xludf.DUMMYFUNCTION("""COMPUTED_VALUE"""),0.08)</f>
        <v>0.08</v>
      </c>
      <c r="F118" s="15">
        <f ca="1">IFERROR(__xludf.DUMMYFUNCTION("""COMPUTED_VALUE"""),0.00347222222222222)</f>
        <v>3.4722222222222199E-3</v>
      </c>
      <c r="G118" s="15">
        <f ca="1">IFERROR(__xludf.DUMMYFUNCTION("""COMPUTED_VALUE"""),0.00694444444444444)</f>
        <v>6.9444444444444397E-3</v>
      </c>
      <c r="H118" s="5" t="str">
        <f ca="1">IFERROR(__xludf.DUMMYFUNCTION("""COMPUTED_VALUE"""),"LINE 1")</f>
        <v>LINE 1</v>
      </c>
      <c r="I118" s="5">
        <f ca="1">IFERROR(__xludf.DUMMYFUNCTION("""COMPUTED_VALUE"""),20009721)</f>
        <v>20009721</v>
      </c>
      <c r="J118" s="5" t="str">
        <f ca="1">IFERROR(__xludf.DUMMYFUNCTION("""COMPUTED_VALUE"""),"TRANSPORTADORES DE ENVASE VACIO")</f>
        <v>TRANSPORTADORES DE ENVASE VACIO</v>
      </c>
      <c r="K118" s="5" t="str">
        <f ca="1">IFERROR(__xludf.DUMMYFUNCTION("""COMPUTED_VALUE"""),"Alejandro Davila")</f>
        <v>Alejandro Davila</v>
      </c>
    </row>
    <row r="119" spans="1:11" ht="13.2">
      <c r="A119" s="5" t="str">
        <f ca="1">IFERROR(__xludf.DUMMYFUNCTION("""COMPUTED_VALUE"""),"TURNO C")</f>
        <v>TURNO C</v>
      </c>
      <c r="B119" s="5">
        <f ca="1">IFERROR(__xludf.DUMMYFUNCTION("""COMPUTED_VALUE"""),23910072)</f>
        <v>23910072</v>
      </c>
      <c r="C119" s="14">
        <f ca="1">IFERROR(__xludf.DUMMYFUNCTION("""COMPUTED_VALUE"""),45358)</f>
        <v>45358</v>
      </c>
      <c r="D119" s="5" t="str">
        <f ca="1">IFERROR(__xludf.DUMMYFUNCTION("""COMPUTED_VALUE"""),"Encolamiento botella mal posicionada.")</f>
        <v>Encolamiento botella mal posicionada.</v>
      </c>
      <c r="E119" s="5">
        <f ca="1">IFERROR(__xludf.DUMMYFUNCTION("""COMPUTED_VALUE"""),0.08)</f>
        <v>0.08</v>
      </c>
      <c r="F119" s="15">
        <f ca="1">IFERROR(__xludf.DUMMYFUNCTION("""COMPUTED_VALUE"""),0.0166666666666666)</f>
        <v>1.6666666666666601E-2</v>
      </c>
      <c r="G119" s="15">
        <f ca="1">IFERROR(__xludf.DUMMYFUNCTION("""COMPUTED_VALUE"""),0.0201388888888888)</f>
        <v>2.01388888888888E-2</v>
      </c>
      <c r="H119" s="5" t="str">
        <f ca="1">IFERROR(__xludf.DUMMYFUNCTION("""COMPUTED_VALUE"""),"LINE 1")</f>
        <v>LINE 1</v>
      </c>
      <c r="I119" s="5"/>
      <c r="J119" s="5" t="str">
        <f ca="1">IFERROR(__xludf.DUMMYFUNCTION("""COMPUTED_VALUE"""),"ETIQUETADORA ENVOLVENTE")</f>
        <v>ETIQUETADORA ENVOLVENTE</v>
      </c>
      <c r="K119" s="5" t="str">
        <f ca="1">IFERROR(__xludf.DUMMYFUNCTION("""COMPUTED_VALUE"""),"BLANCO")</f>
        <v>BLANCO</v>
      </c>
    </row>
    <row r="120" spans="1:11" ht="13.2">
      <c r="A120" s="5" t="str">
        <f ca="1">IFERROR(__xludf.DUMMYFUNCTION("""COMPUTED_VALUE"""),"TURNO C")</f>
        <v>TURNO C</v>
      </c>
      <c r="B120" s="5">
        <f ca="1">IFERROR(__xludf.DUMMYFUNCTION("""COMPUTED_VALUE"""),23910140)</f>
        <v>23910140</v>
      </c>
      <c r="C120" s="14">
        <f ca="1">IFERROR(__xludf.DUMMYFUNCTION("""COMPUTED_VALUE"""),45358)</f>
        <v>45358</v>
      </c>
      <c r="D120" s="5" t="str">
        <f ca="1">IFERROR(__xludf.DUMMYFUNCTION("""COMPUTED_VALUE"""),"Atascamiento botellas")</f>
        <v>Atascamiento botellas</v>
      </c>
      <c r="E120" s="5">
        <f ca="1">IFERROR(__xludf.DUMMYFUNCTION("""COMPUTED_VALUE"""),0.1)</f>
        <v>0.1</v>
      </c>
      <c r="F120" s="15">
        <f ca="1">IFERROR(__xludf.DUMMYFUNCTION("""COMPUTED_VALUE"""),0.0659722222222222)</f>
        <v>6.5972222222222196E-2</v>
      </c>
      <c r="G120" s="15">
        <f ca="1">IFERROR(__xludf.DUMMYFUNCTION("""COMPUTED_VALUE"""),0.0701388888888888)</f>
        <v>7.0138888888888806E-2</v>
      </c>
      <c r="H120" s="5" t="str">
        <f ca="1">IFERROR(__xludf.DUMMYFUNCTION("""COMPUTED_VALUE"""),"LINE 1")</f>
        <v>LINE 1</v>
      </c>
      <c r="I120" s="5">
        <f ca="1">IFERROR(__xludf.DUMMYFUNCTION("""COMPUTED_VALUE"""),20009721)</f>
        <v>20009721</v>
      </c>
      <c r="J120" s="5" t="str">
        <f ca="1">IFERROR(__xludf.DUMMYFUNCTION("""COMPUTED_VALUE"""),"TRANSPORTADORES DE ENVASE VACIO")</f>
        <v>TRANSPORTADORES DE ENVASE VACIO</v>
      </c>
      <c r="K120" s="5" t="str">
        <f ca="1">IFERROR(__xludf.DUMMYFUNCTION("""COMPUTED_VALUE"""),"Alejandro Davila")</f>
        <v>Alejandro Davila</v>
      </c>
    </row>
    <row r="121" spans="1:11" ht="13.2">
      <c r="A121" s="5" t="str">
        <f ca="1">IFERROR(__xludf.DUMMYFUNCTION("""COMPUTED_VALUE"""),"TURNO C")</f>
        <v>TURNO C</v>
      </c>
      <c r="B121" s="5">
        <f ca="1">IFERROR(__xludf.DUMMYFUNCTION("""COMPUTED_VALUE"""),23910214)</f>
        <v>23910214</v>
      </c>
      <c r="C121" s="14">
        <f ca="1">IFERROR(__xludf.DUMMYFUNCTION("""COMPUTED_VALUE"""),45359)</f>
        <v>45359</v>
      </c>
      <c r="D121" s="5" t="str">
        <f ca="1">IFERROR(__xludf.DUMMYFUNCTION("""COMPUTED_VALUE"""),"Bajo contenido botellas")</f>
        <v>Bajo contenido botellas</v>
      </c>
      <c r="E121" s="5">
        <f ca="1">IFERROR(__xludf.DUMMYFUNCTION("""COMPUTED_VALUE"""),0.28)</f>
        <v>0.28000000000000003</v>
      </c>
      <c r="F121" s="15">
        <f ca="1">IFERROR(__xludf.DUMMYFUNCTION("""COMPUTED_VALUE"""),0.107638888888888)</f>
        <v>0.10763888888888801</v>
      </c>
      <c r="G121" s="15">
        <f ca="1">IFERROR(__xludf.DUMMYFUNCTION("""COMPUTED_VALUE"""),0.119444444444444)</f>
        <v>0.11944444444444401</v>
      </c>
      <c r="H121" s="5" t="str">
        <f ca="1">IFERROR(__xludf.DUMMYFUNCTION("""COMPUTED_VALUE"""),"LINE 1")</f>
        <v>LINE 1</v>
      </c>
      <c r="I121" s="5">
        <f ca="1">IFERROR(__xludf.DUMMYFUNCTION("""COMPUTED_VALUE"""),20036419)</f>
        <v>20036419</v>
      </c>
      <c r="J121" s="5" t="str">
        <f ca="1">IFERROR(__xludf.DUMMYFUNCTION("""COMPUTED_VALUE"""),"LLENADORA BOTELLAS PET")</f>
        <v>LLENADORA BOTELLAS PET</v>
      </c>
      <c r="K121" s="5" t="str">
        <f ca="1">IFERROR(__xludf.DUMMYFUNCTION("""COMPUTED_VALUE"""),"Adalcides Campo")</f>
        <v>Adalcides Campo</v>
      </c>
    </row>
    <row r="122" spans="1:11" ht="13.2">
      <c r="A122" s="5" t="str">
        <f ca="1">IFERROR(__xludf.DUMMYFUNCTION("""COMPUTED_VALUE"""),"TURNO C")</f>
        <v>TURNO C</v>
      </c>
      <c r="B122" s="5">
        <f ca="1">IFERROR(__xludf.DUMMYFUNCTION("""COMPUTED_VALUE"""),23910270)</f>
        <v>23910270</v>
      </c>
      <c r="C122" s="14">
        <f ca="1">IFERROR(__xludf.DUMMYFUNCTION("""COMPUTED_VALUE"""),45358)</f>
        <v>45358</v>
      </c>
      <c r="D122" s="5" t="str">
        <f ca="1">IFERROR(__xludf.DUMMYFUNCTION("""COMPUTED_VALUE"""),"Maquina no realiza empalme de rollo.")</f>
        <v>Maquina no realiza empalme de rollo.</v>
      </c>
      <c r="E122" s="5">
        <f ca="1">IFERROR(__xludf.DUMMYFUNCTION("""COMPUTED_VALUE"""),0.13)</f>
        <v>0.13</v>
      </c>
      <c r="F122" s="15">
        <f ca="1">IFERROR(__xludf.DUMMYFUNCTION("""COMPUTED_VALUE"""),0.18125)</f>
        <v>0.18124999999999999</v>
      </c>
      <c r="G122" s="15">
        <f ca="1">IFERROR(__xludf.DUMMYFUNCTION("""COMPUTED_VALUE"""),0.186805555555555)</f>
        <v>0.186805555555555</v>
      </c>
      <c r="H122" s="5" t="str">
        <f ca="1">IFERROR(__xludf.DUMMYFUNCTION("""COMPUTED_VALUE"""),"LINE 1")</f>
        <v>LINE 1</v>
      </c>
      <c r="I122" s="5">
        <f ca="1">IFERROR(__xludf.DUMMYFUNCTION("""COMPUTED_VALUE"""),20009721)</f>
        <v>20009721</v>
      </c>
      <c r="J122" s="5" t="str">
        <f ca="1">IFERROR(__xludf.DUMMYFUNCTION("""COMPUTED_VALUE"""),"ETIQUETADORA ENVOLVENTE")</f>
        <v>ETIQUETADORA ENVOLVENTE</v>
      </c>
      <c r="K122" s="5" t="str">
        <f ca="1">IFERROR(__xludf.DUMMYFUNCTION("""COMPUTED_VALUE"""),"Alejandro Davila")</f>
        <v>Alejandro Davila</v>
      </c>
    </row>
    <row r="123" spans="1:11" ht="13.2">
      <c r="A123" s="5" t="str">
        <f ca="1">IFERROR(__xludf.DUMMYFUNCTION("""COMPUTED_VALUE"""),"TURNO A")</f>
        <v>TURNO A</v>
      </c>
      <c r="B123" s="5">
        <f ca="1">IFERROR(__xludf.DUMMYFUNCTION("""COMPUTED_VALUE"""),23911146)</f>
        <v>23911146</v>
      </c>
      <c r="C123" s="14">
        <f ca="1">IFERROR(__xludf.DUMMYFUNCTION("""COMPUTED_VALUE"""),45359)</f>
        <v>45359</v>
      </c>
      <c r="D123" s="5" t="str">
        <f ca="1">IFERROR(__xludf.DUMMYFUNCTION("""COMPUTED_VALUE"""),"Botellas sin tapa")</f>
        <v>Botellas sin tapa</v>
      </c>
      <c r="E123" s="5">
        <f ca="1">IFERROR(__xludf.DUMMYFUNCTION("""COMPUTED_VALUE"""),0.08)</f>
        <v>0.08</v>
      </c>
      <c r="F123" s="15">
        <f ca="1">IFERROR(__xludf.DUMMYFUNCTION("""COMPUTED_VALUE"""),0.354166666666666)</f>
        <v>0.35416666666666602</v>
      </c>
      <c r="G123" s="15">
        <f ca="1">IFERROR(__xludf.DUMMYFUNCTION("""COMPUTED_VALUE"""),0.357638888888888)</f>
        <v>0.35763888888888801</v>
      </c>
      <c r="H123" s="5" t="str">
        <f ca="1">IFERROR(__xludf.DUMMYFUNCTION("""COMPUTED_VALUE"""),"LINE 1")</f>
        <v>LINE 1</v>
      </c>
      <c r="I123" s="5"/>
      <c r="J123" s="5" t="str">
        <f ca="1">IFERROR(__xludf.DUMMYFUNCTION("""COMPUTED_VALUE"""),"LLENADORA BOTELLAS PET")</f>
        <v>LLENADORA BOTELLAS PET</v>
      </c>
      <c r="K123" s="5" t="str">
        <f ca="1">IFERROR(__xludf.DUMMYFUNCTION("""COMPUTED_VALUE"""),"BLANCO")</f>
        <v>BLANCO</v>
      </c>
    </row>
    <row r="124" spans="1:11" ht="13.2">
      <c r="A124" s="5" t="str">
        <f ca="1">IFERROR(__xludf.DUMMYFUNCTION("""COMPUTED_VALUE"""),"TURNO A")</f>
        <v>TURNO A</v>
      </c>
      <c r="B124" s="5">
        <f ca="1">IFERROR(__xludf.DUMMYFUNCTION("""COMPUTED_VALUE"""),23911147)</f>
        <v>23911147</v>
      </c>
      <c r="C124" s="14">
        <f ca="1">IFERROR(__xludf.DUMMYFUNCTION("""COMPUTED_VALUE"""),45359)</f>
        <v>45359</v>
      </c>
      <c r="D124" s="5" t="str">
        <f ca="1">IFERROR(__xludf.DUMMYFUNCTION("""COMPUTED_VALUE"""),"Caida de paquetes")</f>
        <v>Caida de paquetes</v>
      </c>
      <c r="E124" s="5">
        <f ca="1">IFERROR(__xludf.DUMMYFUNCTION("""COMPUTED_VALUE"""),0.13)</f>
        <v>0.13</v>
      </c>
      <c r="F124" s="15">
        <f ca="1">IFERROR(__xludf.DUMMYFUNCTION("""COMPUTED_VALUE"""),0.409722222222222)</f>
        <v>0.40972222222222199</v>
      </c>
      <c r="G124" s="15">
        <f ca="1">IFERROR(__xludf.DUMMYFUNCTION("""COMPUTED_VALUE"""),0.415277777777777)</f>
        <v>0.41527777777777702</v>
      </c>
      <c r="H124" s="5" t="str">
        <f ca="1">IFERROR(__xludf.DUMMYFUNCTION("""COMPUTED_VALUE"""),"LINE 1")</f>
        <v>LINE 1</v>
      </c>
      <c r="I124" s="5">
        <f ca="1">IFERROR(__xludf.DUMMYFUNCTION("""COMPUTED_VALUE"""),20010075)</f>
        <v>20010075</v>
      </c>
      <c r="J124" s="5" t="str">
        <f ca="1">IFERROR(__xludf.DUMMYFUNCTION("""COMPUTED_VALUE"""),"PALETIZADORA")</f>
        <v>PALETIZADORA</v>
      </c>
      <c r="K124" s="5" t="str">
        <f ca="1">IFERROR(__xludf.DUMMYFUNCTION("""COMPUTED_VALUE"""),"Diego Pedroza")</f>
        <v>Diego Pedroza</v>
      </c>
    </row>
    <row r="125" spans="1:11" ht="13.2">
      <c r="A125" s="5" t="str">
        <f ca="1">IFERROR(__xludf.DUMMYFUNCTION("""COMPUTED_VALUE"""),"TURNO A")</f>
        <v>TURNO A</v>
      </c>
      <c r="B125" s="5">
        <f ca="1">IFERROR(__xludf.DUMMYFUNCTION("""COMPUTED_VALUE"""),23911328)</f>
        <v>23911328</v>
      </c>
      <c r="C125" s="14">
        <f ca="1">IFERROR(__xludf.DUMMYFUNCTION("""COMPUTED_VALUE"""),45359)</f>
        <v>45359</v>
      </c>
      <c r="D125" s="5" t="str">
        <f ca="1">IFERROR(__xludf.DUMMYFUNCTION("""COMPUTED_VALUE"""),"Botellas sin tapa")</f>
        <v>Botellas sin tapa</v>
      </c>
      <c r="E125" s="5">
        <f ca="1">IFERROR(__xludf.DUMMYFUNCTION("""COMPUTED_VALUE"""),0.12)</f>
        <v>0.12</v>
      </c>
      <c r="F125" s="15">
        <f ca="1">IFERROR(__xludf.DUMMYFUNCTION("""COMPUTED_VALUE"""),0.459027777777777)</f>
        <v>0.45902777777777698</v>
      </c>
      <c r="G125" s="15">
        <f ca="1">IFERROR(__xludf.DUMMYFUNCTION("""COMPUTED_VALUE"""),0.463888888888888)</f>
        <v>0.46388888888888802</v>
      </c>
      <c r="H125" s="5" t="str">
        <f ca="1">IFERROR(__xludf.DUMMYFUNCTION("""COMPUTED_VALUE"""),"LINE 1")</f>
        <v>LINE 1</v>
      </c>
      <c r="I125" s="5">
        <f ca="1">IFERROR(__xludf.DUMMYFUNCTION("""COMPUTED_VALUE"""),20082152)</f>
        <v>20082152</v>
      </c>
      <c r="J125" s="5" t="str">
        <f ca="1">IFERROR(__xludf.DUMMYFUNCTION("""COMPUTED_VALUE"""),"LLENADORA BOTELLAS PET")</f>
        <v>LLENADORA BOTELLAS PET</v>
      </c>
      <c r="K125" s="5" t="str">
        <f ca="1">IFERROR(__xludf.DUMMYFUNCTION("""COMPUTED_VALUE"""),"Ferney Ramos")</f>
        <v>Ferney Ramos</v>
      </c>
    </row>
    <row r="126" spans="1:11" ht="13.2">
      <c r="A126" s="5" t="str">
        <f ca="1">IFERROR(__xludf.DUMMYFUNCTION("""COMPUTED_VALUE"""),"TURNO B")</f>
        <v>TURNO B</v>
      </c>
      <c r="B126" s="5">
        <f ca="1">IFERROR(__xludf.DUMMYFUNCTION("""COMPUTED_VALUE"""),23911825)</f>
        <v>23911825</v>
      </c>
      <c r="C126" s="14">
        <f ca="1">IFERROR(__xludf.DUMMYFUNCTION("""COMPUTED_VALUE"""),45359)</f>
        <v>45359</v>
      </c>
      <c r="D126" s="5" t="str">
        <f ca="1">IFERROR(__xludf.DUMMYFUNCTION("""COMPUTED_VALUE"""),"Ajuste guia salida")</f>
        <v>Ajuste guia salida</v>
      </c>
      <c r="E126" s="5">
        <f ca="1">IFERROR(__xludf.DUMMYFUNCTION("""COMPUTED_VALUE"""),0.25)</f>
        <v>0.25</v>
      </c>
      <c r="F126" s="15">
        <f ca="1">IFERROR(__xludf.DUMMYFUNCTION("""COMPUTED_VALUE"""),0.611111111111111)</f>
        <v>0.61111111111111105</v>
      </c>
      <c r="G126" s="15">
        <f ca="1">IFERROR(__xludf.DUMMYFUNCTION("""COMPUTED_VALUE"""),0.621527777777777)</f>
        <v>0.62152777777777701</v>
      </c>
      <c r="H126" s="5" t="str">
        <f ca="1">IFERROR(__xludf.DUMMYFUNCTION("""COMPUTED_VALUE"""),"LINE 1")</f>
        <v>LINE 1</v>
      </c>
      <c r="I126" s="5">
        <f ca="1">IFERROR(__xludf.DUMMYFUNCTION("""COMPUTED_VALUE"""),20075387)</f>
        <v>20075387</v>
      </c>
      <c r="J126" s="5" t="str">
        <f ca="1">IFERROR(__xludf.DUMMYFUNCTION("""COMPUTED_VALUE"""),"ETIQUETADORA ENVOLVENTE")</f>
        <v>ETIQUETADORA ENVOLVENTE</v>
      </c>
      <c r="K126" s="5" t="str">
        <f ca="1">IFERROR(__xludf.DUMMYFUNCTION("""COMPUTED_VALUE"""),"Cristian Suaza")</f>
        <v>Cristian Suaza</v>
      </c>
    </row>
    <row r="127" spans="1:11" ht="13.2">
      <c r="A127" s="5" t="str">
        <f ca="1">IFERROR(__xludf.DUMMYFUNCTION("""COMPUTED_VALUE"""),"TURNO B")</f>
        <v>TURNO B</v>
      </c>
      <c r="B127" s="5">
        <f ca="1">IFERROR(__xludf.DUMMYFUNCTION("""COMPUTED_VALUE"""),23911826)</f>
        <v>23911826</v>
      </c>
      <c r="C127" s="14">
        <f ca="1">IFERROR(__xludf.DUMMYFUNCTION("""COMPUTED_VALUE"""),45359)</f>
        <v>45359</v>
      </c>
      <c r="D127" s="5" t="str">
        <f ca="1">IFERROR(__xludf.DUMMYFUNCTION("""COMPUTED_VALUE"""),"Ajustes de conversion")</f>
        <v>Ajustes de conversion</v>
      </c>
      <c r="E127" s="5">
        <f ca="1">IFERROR(__xludf.DUMMYFUNCTION("""COMPUTED_VALUE"""),0.33)</f>
        <v>0.33</v>
      </c>
      <c r="F127" s="15">
        <f ca="1">IFERROR(__xludf.DUMMYFUNCTION("""COMPUTED_VALUE"""),0.621527777777777)</f>
        <v>0.62152777777777701</v>
      </c>
      <c r="G127" s="15">
        <f ca="1">IFERROR(__xludf.DUMMYFUNCTION("""COMPUTED_VALUE"""),0.635416666666666)</f>
        <v>0.63541666666666596</v>
      </c>
      <c r="H127" s="5" t="str">
        <f ca="1">IFERROR(__xludf.DUMMYFUNCTION("""COMPUTED_VALUE"""),"LINE 1")</f>
        <v>LINE 1</v>
      </c>
      <c r="I127" s="5">
        <f ca="1">IFERROR(__xludf.DUMMYFUNCTION("""COMPUTED_VALUE"""),20075387)</f>
        <v>20075387</v>
      </c>
      <c r="J127" s="5" t="str">
        <f ca="1">IFERROR(__xludf.DUMMYFUNCTION("""COMPUTED_VALUE"""),"TRANSPORTADORES DE ENVASE VACIO")</f>
        <v>TRANSPORTADORES DE ENVASE VACIO</v>
      </c>
      <c r="K127" s="5" t="str">
        <f ca="1">IFERROR(__xludf.DUMMYFUNCTION("""COMPUTED_VALUE"""),"Cristian Suaza")</f>
        <v>Cristian Suaza</v>
      </c>
    </row>
    <row r="128" spans="1:11" ht="13.2">
      <c r="A128" s="5" t="str">
        <f ca="1">IFERROR(__xludf.DUMMYFUNCTION("""COMPUTED_VALUE"""),"TURNO B")</f>
        <v>TURNO B</v>
      </c>
      <c r="B128" s="5">
        <f ca="1">IFERROR(__xludf.DUMMYFUNCTION("""COMPUTED_VALUE"""),23911827)</f>
        <v>23911827</v>
      </c>
      <c r="C128" s="14">
        <f ca="1">IFERROR(__xludf.DUMMYFUNCTION("""COMPUTED_VALUE"""),45359)</f>
        <v>45359</v>
      </c>
      <c r="D128" s="5" t="str">
        <f ca="1">IFERROR(__xludf.DUMMYFUNCTION("""COMPUTED_VALUE"""),"ajuste velocidad flowliner")</f>
        <v>ajuste velocidad flowliner</v>
      </c>
      <c r="E128" s="5">
        <f ca="1">IFERROR(__xludf.DUMMYFUNCTION("""COMPUTED_VALUE"""),0.17)</f>
        <v>0.17</v>
      </c>
      <c r="F128" s="15">
        <f ca="1">IFERROR(__xludf.DUMMYFUNCTION("""COMPUTED_VALUE"""),0.635416666666666)</f>
        <v>0.63541666666666596</v>
      </c>
      <c r="G128" s="15">
        <f ca="1">IFERROR(__xludf.DUMMYFUNCTION("""COMPUTED_VALUE"""),0.642361111111111)</f>
        <v>0.64236111111111105</v>
      </c>
      <c r="H128" s="5" t="str">
        <f ca="1">IFERROR(__xludf.DUMMYFUNCTION("""COMPUTED_VALUE"""),"LINE 1")</f>
        <v>LINE 1</v>
      </c>
      <c r="I128" s="5">
        <f ca="1">IFERROR(__xludf.DUMMYFUNCTION("""COMPUTED_VALUE"""),20019987)</f>
        <v>20019987</v>
      </c>
      <c r="J128" s="5" t="str">
        <f ca="1">IFERROR(__xludf.DUMMYFUNCTION("""COMPUTED_VALUE"""),"TRANSPORTADORES DE BEBIDA")</f>
        <v>TRANSPORTADORES DE BEBIDA</v>
      </c>
      <c r="K128" s="5" t="str">
        <f ca="1">IFERROR(__xludf.DUMMYFUNCTION("""COMPUTED_VALUE"""),"Aguado Lemos Luis Eyder")</f>
        <v>Aguado Lemos Luis Eyder</v>
      </c>
    </row>
    <row r="129" spans="1:11" ht="13.2">
      <c r="A129" s="5" t="str">
        <f ca="1">IFERROR(__xludf.DUMMYFUNCTION("""COMPUTED_VALUE"""),"TURNO B")</f>
        <v>TURNO B</v>
      </c>
      <c r="B129" s="5">
        <f ca="1">IFERROR(__xludf.DUMMYFUNCTION("""COMPUTED_VALUE"""),23911831)</f>
        <v>23911831</v>
      </c>
      <c r="C129" s="14">
        <f ca="1">IFERROR(__xludf.DUMMYFUNCTION("""COMPUTED_VALUE"""),45359)</f>
        <v>45359</v>
      </c>
      <c r="D129" s="5" t="str">
        <f ca="1">IFERROR(__xludf.DUMMYFUNCTION("""COMPUTED_VALUE"""),"Ajuste altura portabobina 1")</f>
        <v>Ajuste altura portabobina 1</v>
      </c>
      <c r="E129" s="5">
        <f ca="1">IFERROR(__xludf.DUMMYFUNCTION("""COMPUTED_VALUE"""),0.93)</f>
        <v>0.93</v>
      </c>
      <c r="F129" s="15">
        <f ca="1">IFERROR(__xludf.DUMMYFUNCTION("""COMPUTED_VALUE"""),0.681944444444444)</f>
        <v>0.68194444444444402</v>
      </c>
      <c r="G129" s="15">
        <f ca="1">IFERROR(__xludf.DUMMYFUNCTION("""COMPUTED_VALUE"""),0.720833333333333)</f>
        <v>0.72083333333333299</v>
      </c>
      <c r="H129" s="5" t="str">
        <f ca="1">IFERROR(__xludf.DUMMYFUNCTION("""COMPUTED_VALUE"""),"LINE 1")</f>
        <v>LINE 1</v>
      </c>
      <c r="I129" s="5">
        <f ca="1">IFERROR(__xludf.DUMMYFUNCTION("""COMPUTED_VALUE"""),20075387)</f>
        <v>20075387</v>
      </c>
      <c r="J129" s="5" t="str">
        <f ca="1">IFERROR(__xludf.DUMMYFUNCTION("""COMPUTED_VALUE"""),"ETIQUETADORA ENVOLVENTE")</f>
        <v>ETIQUETADORA ENVOLVENTE</v>
      </c>
      <c r="K129" s="5" t="str">
        <f ca="1">IFERROR(__xludf.DUMMYFUNCTION("""COMPUTED_VALUE"""),"Cristian Suaza")</f>
        <v>Cristian Suaza</v>
      </c>
    </row>
    <row r="130" spans="1:11" ht="13.2">
      <c r="A130" s="5" t="str">
        <f ca="1">IFERROR(__xludf.DUMMYFUNCTION("""COMPUTED_VALUE"""),"TURNO B")</f>
        <v>TURNO B</v>
      </c>
      <c r="B130" s="5">
        <f ca="1">IFERROR(__xludf.DUMMYFUNCTION("""COMPUTED_VALUE"""),23911883)</f>
        <v>23911883</v>
      </c>
      <c r="C130" s="14">
        <f ca="1">IFERROR(__xludf.DUMMYFUNCTION("""COMPUTED_VALUE"""),45359)</f>
        <v>45359</v>
      </c>
      <c r="D130" s="5" t="str">
        <f ca="1">IFERROR(__xludf.DUMMYFUNCTION("""COMPUTED_VALUE"""),"Ajuste presiones")</f>
        <v>Ajuste presiones</v>
      </c>
      <c r="E130" s="5">
        <f ca="1">IFERROR(__xludf.DUMMYFUNCTION("""COMPUTED_VALUE"""),0.1)</f>
        <v>0.1</v>
      </c>
      <c r="F130" s="15">
        <f ca="1">IFERROR(__xludf.DUMMYFUNCTION("""COMPUTED_VALUE"""),0.720833333333333)</f>
        <v>0.72083333333333299</v>
      </c>
      <c r="G130" s="15">
        <f ca="1">IFERROR(__xludf.DUMMYFUNCTION("""COMPUTED_VALUE"""),0.725)</f>
        <v>0.72499999999999998</v>
      </c>
      <c r="H130" s="5" t="str">
        <f ca="1">IFERROR(__xludf.DUMMYFUNCTION("""COMPUTED_VALUE"""),"LINE 1")</f>
        <v>LINE 1</v>
      </c>
      <c r="I130" s="5">
        <f ca="1">IFERROR(__xludf.DUMMYFUNCTION("""COMPUTED_VALUE"""),20075387)</f>
        <v>20075387</v>
      </c>
      <c r="J130" s="5" t="str">
        <f ca="1">IFERROR(__xludf.DUMMYFUNCTION("""COMPUTED_VALUE"""),"TRANSPORTADORES DE ENVASE VACIO")</f>
        <v>TRANSPORTADORES DE ENVASE VACIO</v>
      </c>
      <c r="K130" s="5" t="str">
        <f ca="1">IFERROR(__xludf.DUMMYFUNCTION("""COMPUTED_VALUE"""),"Cristian Suaza")</f>
        <v>Cristian Suaza</v>
      </c>
    </row>
    <row r="131" spans="1:11" ht="13.2">
      <c r="A131" s="5" t="str">
        <f ca="1">IFERROR(__xludf.DUMMYFUNCTION("""COMPUTED_VALUE"""),"TURNO B")</f>
        <v>TURNO B</v>
      </c>
      <c r="B131" s="5">
        <f ca="1">IFERROR(__xludf.DUMMYFUNCTION("""COMPUTED_VALUE"""),23911885)</f>
        <v>23911885</v>
      </c>
      <c r="C131" s="14">
        <f ca="1">IFERROR(__xludf.DUMMYFUNCTION("""COMPUTED_VALUE"""),45359)</f>
        <v>45359</v>
      </c>
      <c r="D131" s="5" t="str">
        <f ca="1">IFERROR(__xludf.DUMMYFUNCTION("""COMPUTED_VALUE"""),"Variador alarmado electricamente")</f>
        <v>Variador alarmado electricamente</v>
      </c>
      <c r="E131" s="5">
        <f ca="1">IFERROR(__xludf.DUMMYFUNCTION("""COMPUTED_VALUE"""),0.1)</f>
        <v>0.1</v>
      </c>
      <c r="F131" s="15">
        <f ca="1">IFERROR(__xludf.DUMMYFUNCTION("""COMPUTED_VALUE"""),0.725)</f>
        <v>0.72499999999999998</v>
      </c>
      <c r="G131" s="15">
        <f ca="1">IFERROR(__xludf.DUMMYFUNCTION("""COMPUTED_VALUE"""),0.729166666666666)</f>
        <v>0.72916666666666596</v>
      </c>
      <c r="H131" s="5" t="str">
        <f ca="1">IFERROR(__xludf.DUMMYFUNCTION("""COMPUTED_VALUE"""),"LINE 1")</f>
        <v>LINE 1</v>
      </c>
      <c r="I131" s="5">
        <f ca="1">IFERROR(__xludf.DUMMYFUNCTION("""COMPUTED_VALUE"""),20009915)</f>
        <v>20009915</v>
      </c>
      <c r="J131" s="5" t="str">
        <f ca="1">IFERROR(__xludf.DUMMYFUNCTION("""COMPUTED_VALUE"""),"TRANSPORTADORES DE BEBIDA")</f>
        <v>TRANSPORTADORES DE BEBIDA</v>
      </c>
      <c r="K131" s="5" t="str">
        <f ca="1">IFERROR(__xludf.DUMMYFUNCTION("""COMPUTED_VALUE"""),"Lozano Delgado Fausto Andres")</f>
        <v>Lozano Delgado Fausto Andres</v>
      </c>
    </row>
    <row r="132" spans="1:11" ht="13.2">
      <c r="A132" s="5" t="str">
        <f ca="1">IFERROR(__xludf.DUMMYFUNCTION("""COMPUTED_VALUE"""),"TURNO B")</f>
        <v>TURNO B</v>
      </c>
      <c r="B132" s="5">
        <f ca="1">IFERROR(__xludf.DUMMYFUNCTION("""COMPUTED_VALUE"""),23911899)</f>
        <v>23911899</v>
      </c>
      <c r="C132" s="14">
        <f ca="1">IFERROR(__xludf.DUMMYFUNCTION("""COMPUTED_VALUE"""),45359)</f>
        <v>45359</v>
      </c>
      <c r="D132" s="5" t="str">
        <f ca="1">IFERROR(__xludf.DUMMYFUNCTION("""COMPUTED_VALUE"""),"Caida botellas mesa de plegado")</f>
        <v>Caida botellas mesa de plegado</v>
      </c>
      <c r="E132" s="5">
        <f ca="1">IFERROR(__xludf.DUMMYFUNCTION("""COMPUTED_VALUE"""),0.13)</f>
        <v>0.13</v>
      </c>
      <c r="F132" s="15">
        <f ca="1">IFERROR(__xludf.DUMMYFUNCTION("""COMPUTED_VALUE"""),0.756944444444444)</f>
        <v>0.75694444444444398</v>
      </c>
      <c r="G132" s="15">
        <f ca="1">IFERROR(__xludf.DUMMYFUNCTION("""COMPUTED_VALUE"""),0.7625)</f>
        <v>0.76249999999999996</v>
      </c>
      <c r="H132" s="5" t="str">
        <f ca="1">IFERROR(__xludf.DUMMYFUNCTION("""COMPUTED_VALUE"""),"LINE 1")</f>
        <v>LINE 1</v>
      </c>
      <c r="I132" s="5">
        <f ca="1">IFERROR(__xludf.DUMMYFUNCTION("""COMPUTED_VALUE"""),20009915)</f>
        <v>20009915</v>
      </c>
      <c r="J132" s="5" t="str">
        <f ca="1">IFERROR(__xludf.DUMMYFUNCTION("""COMPUTED_VALUE"""),"ENFARDADORA")</f>
        <v>ENFARDADORA</v>
      </c>
      <c r="K132" s="5" t="str">
        <f ca="1">IFERROR(__xludf.DUMMYFUNCTION("""COMPUTED_VALUE"""),"Lozano Delgado Fausto Andres")</f>
        <v>Lozano Delgado Fausto Andres</v>
      </c>
    </row>
    <row r="133" spans="1:11" ht="13.2">
      <c r="A133" s="5" t="str">
        <f ca="1">IFERROR(__xludf.DUMMYFUNCTION("""COMPUTED_VALUE"""),"TURNO B")</f>
        <v>TURNO B</v>
      </c>
      <c r="B133" s="5">
        <f ca="1">IFERROR(__xludf.DUMMYFUNCTION("""COMPUTED_VALUE"""),23911913)</f>
        <v>23911913</v>
      </c>
      <c r="C133" s="14">
        <f ca="1">IFERROR(__xludf.DUMMYFUNCTION("""COMPUTED_VALUE"""),45359)</f>
        <v>45359</v>
      </c>
      <c r="D133" s="5" t="str">
        <f ca="1">IFERROR(__xludf.DUMMYFUNCTION("""COMPUTED_VALUE"""),"Ajuste guia entrada")</f>
        <v>Ajuste guia entrada</v>
      </c>
      <c r="E133" s="5">
        <f ca="1">IFERROR(__xludf.DUMMYFUNCTION("""COMPUTED_VALUE"""),0.45)</f>
        <v>0.45</v>
      </c>
      <c r="F133" s="15">
        <f ca="1">IFERROR(__xludf.DUMMYFUNCTION("""COMPUTED_VALUE"""),0.784722222222222)</f>
        <v>0.78472222222222199</v>
      </c>
      <c r="G133" s="15">
        <f ca="1">IFERROR(__xludf.DUMMYFUNCTION("""COMPUTED_VALUE"""),0.803472222222222)</f>
        <v>0.80347222222222203</v>
      </c>
      <c r="H133" s="5" t="str">
        <f ca="1">IFERROR(__xludf.DUMMYFUNCTION("""COMPUTED_VALUE"""),"LINE 1")</f>
        <v>LINE 1</v>
      </c>
      <c r="I133" s="5">
        <f ca="1">IFERROR(__xludf.DUMMYFUNCTION("""COMPUTED_VALUE"""),20075387)</f>
        <v>20075387</v>
      </c>
      <c r="J133" s="5" t="str">
        <f ca="1">IFERROR(__xludf.DUMMYFUNCTION("""COMPUTED_VALUE"""),"ETIQUETADORA ENVOLVENTE")</f>
        <v>ETIQUETADORA ENVOLVENTE</v>
      </c>
      <c r="K133" s="5" t="str">
        <f ca="1">IFERROR(__xludf.DUMMYFUNCTION("""COMPUTED_VALUE"""),"Cristian Suaza")</f>
        <v>Cristian Suaza</v>
      </c>
    </row>
    <row r="134" spans="1:11" ht="13.2">
      <c r="A134" s="5" t="str">
        <f ca="1">IFERROR(__xludf.DUMMYFUNCTION("""COMPUTED_VALUE"""),"TURNO B")</f>
        <v>TURNO B</v>
      </c>
      <c r="B134" s="5">
        <f ca="1">IFERROR(__xludf.DUMMYFUNCTION("""COMPUTED_VALUE"""),23912019)</f>
        <v>23912019</v>
      </c>
      <c r="C134" s="14">
        <f ca="1">IFERROR(__xludf.DUMMYFUNCTION("""COMPUTED_VALUE"""),45359)</f>
        <v>45359</v>
      </c>
      <c r="D134" s="5" t="str">
        <f ca="1">IFERROR(__xludf.DUMMYFUNCTION("""COMPUTED_VALUE"""),"Caida botellas en sistema clasificador")</f>
        <v>Caida botellas en sistema clasificador</v>
      </c>
      <c r="E134" s="5">
        <f ca="1">IFERROR(__xludf.DUMMYFUNCTION("""COMPUTED_VALUE"""),0.07)</f>
        <v>7.0000000000000007E-2</v>
      </c>
      <c r="F134" s="15">
        <f ca="1">IFERROR(__xludf.DUMMYFUNCTION("""COMPUTED_VALUE"""),0.888888888888888)</f>
        <v>0.88888888888888795</v>
      </c>
      <c r="G134" s="15">
        <f ca="1">IFERROR(__xludf.DUMMYFUNCTION("""COMPUTED_VALUE"""),0.891666666666666)</f>
        <v>0.89166666666666605</v>
      </c>
      <c r="H134" s="5" t="str">
        <f ca="1">IFERROR(__xludf.DUMMYFUNCTION("""COMPUTED_VALUE"""),"LINE 1")</f>
        <v>LINE 1</v>
      </c>
      <c r="I134" s="5">
        <f ca="1">IFERROR(__xludf.DUMMYFUNCTION("""COMPUTED_VALUE"""),20009915)</f>
        <v>20009915</v>
      </c>
      <c r="J134" s="5" t="str">
        <f ca="1">IFERROR(__xludf.DUMMYFUNCTION("""COMPUTED_VALUE"""),"ENFARDADORA")</f>
        <v>ENFARDADORA</v>
      </c>
      <c r="K134" s="5" t="str">
        <f ca="1">IFERROR(__xludf.DUMMYFUNCTION("""COMPUTED_VALUE"""),"Lozano Delgado Fausto Andres")</f>
        <v>Lozano Delgado Fausto Andres</v>
      </c>
    </row>
    <row r="135" spans="1:11" ht="13.2">
      <c r="A135" s="5" t="str">
        <f ca="1">IFERROR(__xludf.DUMMYFUNCTION("""COMPUTED_VALUE"""),"TURNO B")</f>
        <v>TURNO B</v>
      </c>
      <c r="B135" s="5">
        <f ca="1">IFERROR(__xludf.DUMMYFUNCTION("""COMPUTED_VALUE"""),23912052)</f>
        <v>23912052</v>
      </c>
      <c r="C135" s="14">
        <f ca="1">IFERROR(__xludf.DUMMYFUNCTION("""COMPUTED_VALUE"""),45359)</f>
        <v>45359</v>
      </c>
      <c r="D135" s="5" t="str">
        <f ca="1">IFERROR(__xludf.DUMMYFUNCTION("""COMPUTED_VALUE"""),"Variador alarmado electricamente")</f>
        <v>Variador alarmado electricamente</v>
      </c>
      <c r="E135" s="5">
        <f ca="1">IFERROR(__xludf.DUMMYFUNCTION("""COMPUTED_VALUE"""),0.08)</f>
        <v>0.08</v>
      </c>
      <c r="F135" s="15">
        <f ca="1">IFERROR(__xludf.DUMMYFUNCTION("""COMPUTED_VALUE"""),0.895833333333333)</f>
        <v>0.89583333333333304</v>
      </c>
      <c r="G135" s="15">
        <f ca="1">IFERROR(__xludf.DUMMYFUNCTION("""COMPUTED_VALUE"""),0.899305555555555)</f>
        <v>0.89930555555555503</v>
      </c>
      <c r="H135" s="5" t="str">
        <f ca="1">IFERROR(__xludf.DUMMYFUNCTION("""COMPUTED_VALUE"""),"LINE 1")</f>
        <v>LINE 1</v>
      </c>
      <c r="I135" s="5">
        <f ca="1">IFERROR(__xludf.DUMMYFUNCTION("""COMPUTED_VALUE"""),20009915)</f>
        <v>20009915</v>
      </c>
      <c r="J135" s="5" t="str">
        <f ca="1">IFERROR(__xludf.DUMMYFUNCTION("""COMPUTED_VALUE"""),"TRANSPORTADORES DE BEBIDA")</f>
        <v>TRANSPORTADORES DE BEBIDA</v>
      </c>
      <c r="K135" s="5" t="str">
        <f ca="1">IFERROR(__xludf.DUMMYFUNCTION("""COMPUTED_VALUE"""),"Lozano Delgado Fausto Andres")</f>
        <v>Lozano Delgado Fausto Andres</v>
      </c>
    </row>
    <row r="136" spans="1:11" ht="13.2">
      <c r="A136" s="5" t="str">
        <f ca="1">IFERROR(__xludf.DUMMYFUNCTION("""COMPUTED_VALUE"""),"TURNO C")</f>
        <v>TURNO C</v>
      </c>
      <c r="B136" s="5">
        <f ca="1">IFERROR(__xludf.DUMMYFUNCTION("""COMPUTED_VALUE"""),23912266)</f>
        <v>23912266</v>
      </c>
      <c r="C136" s="14">
        <f ca="1">IFERROR(__xludf.DUMMYFUNCTION("""COMPUTED_VALUE"""),45359)</f>
        <v>45359</v>
      </c>
      <c r="D136" s="5" t="str">
        <f ca="1">IFERROR(__xludf.DUMMYFUNCTION("""COMPUTED_VALUE"""),"Exceso de adhesivo")</f>
        <v>Exceso de adhesivo</v>
      </c>
      <c r="E136" s="5">
        <f ca="1">IFERROR(__xludf.DUMMYFUNCTION("""COMPUTED_VALUE"""),0.3)</f>
        <v>0.3</v>
      </c>
      <c r="F136" s="15">
        <f ca="1">IFERROR(__xludf.DUMMYFUNCTION("""COMPUTED_VALUE"""),0.959722222222222)</f>
        <v>0.95972222222222203</v>
      </c>
      <c r="G136" s="15">
        <f ca="1">IFERROR(__xludf.DUMMYFUNCTION("""COMPUTED_VALUE"""),0.972222222222222)</f>
        <v>0.97222222222222199</v>
      </c>
      <c r="H136" s="5" t="str">
        <f ca="1">IFERROR(__xludf.DUMMYFUNCTION("""COMPUTED_VALUE"""),"LINE 1")</f>
        <v>LINE 1</v>
      </c>
      <c r="I136" s="5">
        <f ca="1">IFERROR(__xludf.DUMMYFUNCTION("""COMPUTED_VALUE"""),20009996)</f>
        <v>20009996</v>
      </c>
      <c r="J136" s="5" t="str">
        <f ca="1">IFERROR(__xludf.DUMMYFUNCTION("""COMPUTED_VALUE"""),"TRANSPORTADORES DE CAJAS")</f>
        <v>TRANSPORTADORES DE CAJAS</v>
      </c>
      <c r="K136" s="5" t="str">
        <f ca="1">IFERROR(__xludf.DUMMYFUNCTION("""COMPUTED_VALUE"""),"Fernando Montoya")</f>
        <v>Fernando Montoya</v>
      </c>
    </row>
    <row r="137" spans="1:11" ht="13.2">
      <c r="A137" s="5" t="str">
        <f ca="1">IFERROR(__xludf.DUMMYFUNCTION("""COMPUTED_VALUE"""),"TURNO C")</f>
        <v>TURNO C</v>
      </c>
      <c r="B137" s="5">
        <f ca="1">IFERROR(__xludf.DUMMYFUNCTION("""COMPUTED_VALUE"""),23912268)</f>
        <v>23912268</v>
      </c>
      <c r="C137" s="14">
        <f ca="1">IFERROR(__xludf.DUMMYFUNCTION("""COMPUTED_VALUE"""),45359)</f>
        <v>45359</v>
      </c>
      <c r="D137" s="5" t="str">
        <f ca="1">IFERROR(__xludf.DUMMYFUNCTION("""COMPUTED_VALUE"""),"Caida de botellas salida llenadora")</f>
        <v>Caida de botellas salida llenadora</v>
      </c>
      <c r="E137" s="5">
        <f ca="1">IFERROR(__xludf.DUMMYFUNCTION("""COMPUTED_VALUE"""),0.23)</f>
        <v>0.23</v>
      </c>
      <c r="F137" s="15">
        <f ca="1">IFERROR(__xludf.DUMMYFUNCTION("""COMPUTED_VALUE"""),0.975694444444444)</f>
        <v>0.97569444444444398</v>
      </c>
      <c r="G137" s="15">
        <f ca="1">IFERROR(__xludf.DUMMYFUNCTION("""COMPUTED_VALUE"""),0.985416666666666)</f>
        <v>0.98541666666666605</v>
      </c>
      <c r="H137" s="5" t="str">
        <f ca="1">IFERROR(__xludf.DUMMYFUNCTION("""COMPUTED_VALUE"""),"LINE 1")</f>
        <v>LINE 1</v>
      </c>
      <c r="I137" s="5"/>
      <c r="J137" s="5" t="str">
        <f ca="1">IFERROR(__xludf.DUMMYFUNCTION("""COMPUTED_VALUE"""),"TRANSPORTADORES DE BEBIDA")</f>
        <v>TRANSPORTADORES DE BEBIDA</v>
      </c>
      <c r="K137" s="5" t="str">
        <f ca="1">IFERROR(__xludf.DUMMYFUNCTION("""COMPUTED_VALUE"""),"BLANCO")</f>
        <v>BLANCO</v>
      </c>
    </row>
    <row r="138" spans="1:11" ht="13.2">
      <c r="A138" s="5" t="str">
        <f ca="1">IFERROR(__xludf.DUMMYFUNCTION("""COMPUTED_VALUE"""),"TURNO C")</f>
        <v>TURNO C</v>
      </c>
      <c r="B138" s="5">
        <f ca="1">IFERROR(__xludf.DUMMYFUNCTION("""COMPUTED_VALUE"""),23912269)</f>
        <v>23912269</v>
      </c>
      <c r="C138" s="14">
        <f ca="1">IFERROR(__xludf.DUMMYFUNCTION("""COMPUTED_VALUE"""),45359)</f>
        <v>45359</v>
      </c>
      <c r="D138" s="5" t="str">
        <f ca="1">IFERROR(__xludf.DUMMYFUNCTION("""COMPUTED_VALUE"""),"Botellas sin código")</f>
        <v>Botellas sin código</v>
      </c>
      <c r="E138" s="5">
        <f ca="1">IFERROR(__xludf.DUMMYFUNCTION("""COMPUTED_VALUE"""),0.22)</f>
        <v>0.22</v>
      </c>
      <c r="F138" s="15">
        <f ca="1">IFERROR(__xludf.DUMMYFUNCTION("""COMPUTED_VALUE"""),0.986805555555555)</f>
        <v>0.98680555555555505</v>
      </c>
      <c r="G138" s="15">
        <f ca="1">IFERROR(__xludf.DUMMYFUNCTION("""COMPUTED_VALUE"""),0.995833333333333)</f>
        <v>0.99583333333333302</v>
      </c>
      <c r="H138" s="5" t="str">
        <f ca="1">IFERROR(__xludf.DUMMYFUNCTION("""COMPUTED_VALUE"""),"LINE 1")</f>
        <v>LINE 1</v>
      </c>
      <c r="I138" s="5">
        <f ca="1">IFERROR(__xludf.DUMMYFUNCTION("""COMPUTED_VALUE"""),20036419)</f>
        <v>20036419</v>
      </c>
      <c r="J138" s="5" t="str">
        <f ca="1">IFERROR(__xludf.DUMMYFUNCTION("""COMPUTED_VALUE"""),"CODIFICADOR DE BOTELLAS")</f>
        <v>CODIFICADOR DE BOTELLAS</v>
      </c>
      <c r="K138" s="5" t="str">
        <f ca="1">IFERROR(__xludf.DUMMYFUNCTION("""COMPUTED_VALUE"""),"Adalcides Campo")</f>
        <v>Adalcides Campo</v>
      </c>
    </row>
    <row r="139" spans="1:11" ht="13.2">
      <c r="A139" s="5" t="str">
        <f ca="1">IFERROR(__xludf.DUMMYFUNCTION("""COMPUTED_VALUE"""),"TURNO C")</f>
        <v>TURNO C</v>
      </c>
      <c r="B139" s="5">
        <f ca="1">IFERROR(__xludf.DUMMYFUNCTION("""COMPUTED_VALUE"""),23912270)</f>
        <v>23912270</v>
      </c>
      <c r="C139" s="14">
        <f ca="1">IFERROR(__xludf.DUMMYFUNCTION("""COMPUTED_VALUE"""),45359)</f>
        <v>45359</v>
      </c>
      <c r="D139" s="5" t="str">
        <f ca="1">IFERROR(__xludf.DUMMYFUNCTION("""COMPUTED_VALUE"""),"Falla comunicacion")</f>
        <v>Falla comunicacion</v>
      </c>
      <c r="E139" s="5">
        <f ca="1">IFERROR(__xludf.DUMMYFUNCTION("""COMPUTED_VALUE"""),0.87)</f>
        <v>0.87</v>
      </c>
      <c r="F139" s="15">
        <f ca="1">IFERROR(__xludf.DUMMYFUNCTION("""COMPUTED_VALUE"""),0.0201388888888888)</f>
        <v>2.01388888888888E-2</v>
      </c>
      <c r="G139" s="15">
        <f ca="1">IFERROR(__xludf.DUMMYFUNCTION("""COMPUTED_VALUE"""),0.05625)</f>
        <v>5.6250000000000001E-2</v>
      </c>
      <c r="H139" s="5" t="str">
        <f ca="1">IFERROR(__xludf.DUMMYFUNCTION("""COMPUTED_VALUE"""),"LINE 1")</f>
        <v>LINE 1</v>
      </c>
      <c r="I139" s="5">
        <f ca="1">IFERROR(__xludf.DUMMYFUNCTION("""COMPUTED_VALUE"""),20084469)</f>
        <v>20084469</v>
      </c>
      <c r="J139" s="5" t="str">
        <f ca="1">IFERROR(__xludf.DUMMYFUNCTION("""COMPUTED_VALUE"""),"PALETIZADORA")</f>
        <v>PALETIZADORA</v>
      </c>
      <c r="K139" s="5" t="str">
        <f ca="1">IFERROR(__xludf.DUMMYFUNCTION("""COMPUTED_VALUE"""),"Mauricio Murillo Arrollo")</f>
        <v>Mauricio Murillo Arrollo</v>
      </c>
    </row>
    <row r="140" spans="1:11" ht="13.2">
      <c r="A140" s="5" t="str">
        <f ca="1">IFERROR(__xludf.DUMMYFUNCTION("""COMPUTED_VALUE"""),"TURNO C")</f>
        <v>TURNO C</v>
      </c>
      <c r="B140" s="5">
        <f ca="1">IFERROR(__xludf.DUMMYFUNCTION("""COMPUTED_VALUE"""),23912271)</f>
        <v>23912271</v>
      </c>
      <c r="C140" s="14">
        <f ca="1">IFERROR(__xludf.DUMMYFUNCTION("""COMPUTED_VALUE"""),45359)</f>
        <v>45359</v>
      </c>
      <c r="D140" s="5" t="str">
        <f ca="1">IFERROR(__xludf.DUMMYFUNCTION("""COMPUTED_VALUE"""),"Caida de botellas salida llenadora")</f>
        <v>Caida de botellas salida llenadora</v>
      </c>
      <c r="E140" s="5">
        <f ca="1">IFERROR(__xludf.DUMMYFUNCTION("""COMPUTED_VALUE"""),0.15)</f>
        <v>0.15</v>
      </c>
      <c r="F140" s="15">
        <f ca="1">IFERROR(__xludf.DUMMYFUNCTION("""COMPUTED_VALUE"""),0.0722222222222222)</f>
        <v>7.2222222222222202E-2</v>
      </c>
      <c r="G140" s="15">
        <f ca="1">IFERROR(__xludf.DUMMYFUNCTION("""COMPUTED_VALUE"""),0.0784722222222222)</f>
        <v>7.8472222222222193E-2</v>
      </c>
      <c r="H140" s="5" t="str">
        <f ca="1">IFERROR(__xludf.DUMMYFUNCTION("""COMPUTED_VALUE"""),"LINE 1")</f>
        <v>LINE 1</v>
      </c>
      <c r="I140" s="5">
        <f ca="1">IFERROR(__xludf.DUMMYFUNCTION("""COMPUTED_VALUE"""),20036419)</f>
        <v>20036419</v>
      </c>
      <c r="J140" s="5" t="str">
        <f ca="1">IFERROR(__xludf.DUMMYFUNCTION("""COMPUTED_VALUE"""),"TRANSPORTADORES DE BEBIDA")</f>
        <v>TRANSPORTADORES DE BEBIDA</v>
      </c>
      <c r="K140" s="5" t="str">
        <f ca="1">IFERROR(__xludf.DUMMYFUNCTION("""COMPUTED_VALUE"""),"Adalcides Campo")</f>
        <v>Adalcides Campo</v>
      </c>
    </row>
    <row r="141" spans="1:11" ht="13.2">
      <c r="A141" s="5" t="str">
        <f ca="1">IFERROR(__xludf.DUMMYFUNCTION("""COMPUTED_VALUE"""),"TURNO C")</f>
        <v>TURNO C</v>
      </c>
      <c r="B141" s="5">
        <f ca="1">IFERROR(__xludf.DUMMYFUNCTION("""COMPUTED_VALUE"""),23912272)</f>
        <v>23912272</v>
      </c>
      <c r="C141" s="14">
        <f ca="1">IFERROR(__xludf.DUMMYFUNCTION("""COMPUTED_VALUE"""),45359)</f>
        <v>45359</v>
      </c>
      <c r="D141" s="5" t="str">
        <f ca="1">IFERROR(__xludf.DUMMYFUNCTION("""COMPUTED_VALUE"""),"Cambio leva estrella de transferencia")</f>
        <v>Cambio leva estrella de transferencia</v>
      </c>
      <c r="E141" s="5">
        <f ca="1">IFERROR(__xludf.DUMMYFUNCTION("""COMPUTED_VALUE"""),0.17)</f>
        <v>0.17</v>
      </c>
      <c r="F141" s="15">
        <f ca="1">IFERROR(__xludf.DUMMYFUNCTION("""COMPUTED_VALUE"""),0.0972222222222222)</f>
        <v>9.7222222222222196E-2</v>
      </c>
      <c r="G141" s="15">
        <f ca="1">IFERROR(__xludf.DUMMYFUNCTION("""COMPUTED_VALUE"""),0.104166666666666)</f>
        <v>0.10416666666666601</v>
      </c>
      <c r="H141" s="5" t="str">
        <f ca="1">IFERROR(__xludf.DUMMYFUNCTION("""COMPUTED_VALUE"""),"LINE 1")</f>
        <v>LINE 1</v>
      </c>
      <c r="I141" s="5">
        <f ca="1">IFERROR(__xludf.DUMMYFUNCTION("""COMPUTED_VALUE"""),20036419)</f>
        <v>20036419</v>
      </c>
      <c r="J141" s="5" t="str">
        <f ca="1">IFERROR(__xludf.DUMMYFUNCTION("""COMPUTED_VALUE"""),"LLENADORA BOTELLAS PET")</f>
        <v>LLENADORA BOTELLAS PET</v>
      </c>
      <c r="K141" s="5" t="str">
        <f ca="1">IFERROR(__xludf.DUMMYFUNCTION("""COMPUTED_VALUE"""),"Adalcides Campo")</f>
        <v>Adalcides Campo</v>
      </c>
    </row>
    <row r="142" spans="1:11" ht="13.2">
      <c r="A142" s="5" t="str">
        <f ca="1">IFERROR(__xludf.DUMMYFUNCTION("""COMPUTED_VALUE"""),"TURNO C")</f>
        <v>TURNO C</v>
      </c>
      <c r="B142" s="5">
        <f ca="1">IFERROR(__xludf.DUMMYFUNCTION("""COMPUTED_VALUE"""),23912330)</f>
        <v>23912330</v>
      </c>
      <c r="C142" s="14">
        <f ca="1">IFERROR(__xludf.DUMMYFUNCTION("""COMPUTED_VALUE"""),45359)</f>
        <v>45359</v>
      </c>
      <c r="D142" s="5" t="str">
        <f ca="1">IFERROR(__xludf.DUMMYFUNCTION("""COMPUTED_VALUE"""),"Se estrella botella a la salida")</f>
        <v>Se estrella botella a la salida</v>
      </c>
      <c r="E142" s="5">
        <f ca="1">IFERROR(__xludf.DUMMYFUNCTION("""COMPUTED_VALUE"""),0.35)</f>
        <v>0.35</v>
      </c>
      <c r="F142" s="15">
        <f ca="1">IFERROR(__xludf.DUMMYFUNCTION("""COMPUTED_VALUE"""),0.173611111111111)</f>
        <v>0.17361111111111099</v>
      </c>
      <c r="G142" s="15">
        <f ca="1">IFERROR(__xludf.DUMMYFUNCTION("""COMPUTED_VALUE"""),0.188194444444444)</f>
        <v>0.188194444444444</v>
      </c>
      <c r="H142" s="5" t="str">
        <f ca="1">IFERROR(__xludf.DUMMYFUNCTION("""COMPUTED_VALUE"""),"LINE 1")</f>
        <v>LINE 1</v>
      </c>
      <c r="I142" s="5">
        <f ca="1">IFERROR(__xludf.DUMMYFUNCTION("""COMPUTED_VALUE"""),20009721)</f>
        <v>20009721</v>
      </c>
      <c r="J142" s="5" t="str">
        <f ca="1">IFERROR(__xludf.DUMMYFUNCTION("""COMPUTED_VALUE"""),"ETIQUETADORA ENVOLVENTE")</f>
        <v>ETIQUETADORA ENVOLVENTE</v>
      </c>
      <c r="K142" s="5" t="str">
        <f ca="1">IFERROR(__xludf.DUMMYFUNCTION("""COMPUTED_VALUE"""),"Alejandro Davila")</f>
        <v>Alejandro Davila</v>
      </c>
    </row>
    <row r="143" spans="1:11" ht="13.2">
      <c r="A143" s="5" t="str">
        <f ca="1">IFERROR(__xludf.DUMMYFUNCTION("""COMPUTED_VALUE"""),"TURNO A")</f>
        <v>TURNO A</v>
      </c>
      <c r="B143" s="5">
        <f ca="1">IFERROR(__xludf.DUMMYFUNCTION("""COMPUTED_VALUE"""),23913203)</f>
        <v>23913203</v>
      </c>
      <c r="C143" s="14">
        <f ca="1">IFERROR(__xludf.DUMMYFUNCTION("""COMPUTED_VALUE"""),45360)</f>
        <v>45360</v>
      </c>
      <c r="D143" s="5" t="str">
        <f ca="1">IFERROR(__xludf.DUMMYFUNCTION("""COMPUTED_VALUE"""),"Se estrella botella a la salida")</f>
        <v>Se estrella botella a la salida</v>
      </c>
      <c r="E143" s="5">
        <f ca="1">IFERROR(__xludf.DUMMYFUNCTION("""COMPUTED_VALUE"""),0.27)</f>
        <v>0.27</v>
      </c>
      <c r="F143" s="15">
        <f ca="1">IFERROR(__xludf.DUMMYFUNCTION("""COMPUTED_VALUE"""),0.319444444444444)</f>
        <v>0.31944444444444398</v>
      </c>
      <c r="G143" s="15">
        <f ca="1">IFERROR(__xludf.DUMMYFUNCTION("""COMPUTED_VALUE"""),0.330555555555555)</f>
        <v>0.33055555555555499</v>
      </c>
      <c r="H143" s="5" t="str">
        <f ca="1">IFERROR(__xludf.DUMMYFUNCTION("""COMPUTED_VALUE"""),"LINE 1")</f>
        <v>LINE 1</v>
      </c>
      <c r="I143" s="5"/>
      <c r="J143" s="5" t="str">
        <f ca="1">IFERROR(__xludf.DUMMYFUNCTION("""COMPUTED_VALUE"""),"ETIQUETADORA ENVOLVENTE")</f>
        <v>ETIQUETADORA ENVOLVENTE</v>
      </c>
      <c r="K143" s="5" t="str">
        <f ca="1">IFERROR(__xludf.DUMMYFUNCTION("""COMPUTED_VALUE"""),"BLANCO")</f>
        <v>BLANCO</v>
      </c>
    </row>
    <row r="144" spans="1:11" ht="13.2">
      <c r="A144" s="5" t="str">
        <f ca="1">IFERROR(__xludf.DUMMYFUNCTION("""COMPUTED_VALUE"""),"TURNO A")</f>
        <v>TURNO A</v>
      </c>
      <c r="B144" s="5">
        <f ca="1">IFERROR(__xludf.DUMMYFUNCTION("""COMPUTED_VALUE"""),23913205)</f>
        <v>23913205</v>
      </c>
      <c r="C144" s="14">
        <f ca="1">IFERROR(__xludf.DUMMYFUNCTION("""COMPUTED_VALUE"""),45360)</f>
        <v>45360</v>
      </c>
      <c r="D144" s="5" t="str">
        <f ca="1">IFERROR(__xludf.DUMMYFUNCTION("""COMPUTED_VALUE"""),"Rotura tornillo soporte")</f>
        <v>Rotura tornillo soporte</v>
      </c>
      <c r="E144" s="5">
        <f ca="1">IFERROR(__xludf.DUMMYFUNCTION("""COMPUTED_VALUE"""),0.23)</f>
        <v>0.23</v>
      </c>
      <c r="F144" s="15">
        <f ca="1">IFERROR(__xludf.DUMMYFUNCTION("""COMPUTED_VALUE"""),0.336805555555555)</f>
        <v>0.33680555555555503</v>
      </c>
      <c r="G144" s="15">
        <f ca="1">IFERROR(__xludf.DUMMYFUNCTION("""COMPUTED_VALUE"""),0.346527777777777)</f>
        <v>0.34652777777777699</v>
      </c>
      <c r="H144" s="5" t="str">
        <f ca="1">IFERROR(__xludf.DUMMYFUNCTION("""COMPUTED_VALUE"""),"LINE 1")</f>
        <v>LINE 1</v>
      </c>
      <c r="I144" s="5">
        <f ca="1">IFERROR(__xludf.DUMMYFUNCTION("""COMPUTED_VALUE"""),20079993)</f>
        <v>20079993</v>
      </c>
      <c r="J144" s="5" t="str">
        <f ca="1">IFERROR(__xludf.DUMMYFUNCTION("""COMPUTED_VALUE"""),"CAPSULADORA")</f>
        <v>CAPSULADORA</v>
      </c>
      <c r="K144" s="5" t="str">
        <f ca="1">IFERROR(__xludf.DUMMYFUNCTION("""COMPUTED_VALUE"""),"Andres Perez")</f>
        <v>Andres Perez</v>
      </c>
    </row>
    <row r="145" spans="1:11" ht="13.2">
      <c r="A145" s="5" t="str">
        <f ca="1">IFERROR(__xludf.DUMMYFUNCTION("""COMPUTED_VALUE"""),"TURNO A")</f>
        <v>TURNO A</v>
      </c>
      <c r="B145" s="5">
        <f ca="1">IFERROR(__xludf.DUMMYFUNCTION("""COMPUTED_VALUE"""),23913207)</f>
        <v>23913207</v>
      </c>
      <c r="C145" s="14">
        <f ca="1">IFERROR(__xludf.DUMMYFUNCTION("""COMPUTED_VALUE"""),45360)</f>
        <v>45360</v>
      </c>
      <c r="D145" s="5" t="str">
        <f ca="1">IFERROR(__xludf.DUMMYFUNCTION("""COMPUTED_VALUE"""),"Variador alarmado electricamente")</f>
        <v>Variador alarmado electricamente</v>
      </c>
      <c r="E145" s="5">
        <f ca="1">IFERROR(__xludf.DUMMYFUNCTION("""COMPUTED_VALUE"""),0.13)</f>
        <v>0.13</v>
      </c>
      <c r="F145" s="15">
        <f ca="1">IFERROR(__xludf.DUMMYFUNCTION("""COMPUTED_VALUE"""),0.354166666666666)</f>
        <v>0.35416666666666602</v>
      </c>
      <c r="G145" s="15">
        <f ca="1">IFERROR(__xludf.DUMMYFUNCTION("""COMPUTED_VALUE"""),0.359722222222222)</f>
        <v>0.359722222222222</v>
      </c>
      <c r="H145" s="5" t="str">
        <f ca="1">IFERROR(__xludf.DUMMYFUNCTION("""COMPUTED_VALUE"""),"LINE 1")</f>
        <v>LINE 1</v>
      </c>
      <c r="I145" s="5"/>
      <c r="J145" s="5" t="str">
        <f ca="1">IFERROR(__xludf.DUMMYFUNCTION("""COMPUTED_VALUE"""),"TRANSPORTADORES DE BEBIDA")</f>
        <v>TRANSPORTADORES DE BEBIDA</v>
      </c>
      <c r="K145" s="5" t="str">
        <f ca="1">IFERROR(__xludf.DUMMYFUNCTION("""COMPUTED_VALUE"""),"BLANCO")</f>
        <v>BLANCO</v>
      </c>
    </row>
    <row r="146" spans="1:11" ht="13.2">
      <c r="A146" s="5" t="str">
        <f ca="1">IFERROR(__xludf.DUMMYFUNCTION("""COMPUTED_VALUE"""),"TURNO A")</f>
        <v>TURNO A</v>
      </c>
      <c r="B146" s="5">
        <f ca="1">IFERROR(__xludf.DUMMYFUNCTION("""COMPUTED_VALUE"""),23913208)</f>
        <v>23913208</v>
      </c>
      <c r="C146" s="14">
        <f ca="1">IFERROR(__xludf.DUMMYFUNCTION("""COMPUTED_VALUE"""),45360)</f>
        <v>45360</v>
      </c>
      <c r="D146" s="5" t="str">
        <f ca="1">IFERROR(__xludf.DUMMYFUNCTION("""COMPUTED_VALUE"""),"Ajuste de guias Salida botella")</f>
        <v>Ajuste de guias Salida botella</v>
      </c>
      <c r="E146" s="5">
        <f ca="1">IFERROR(__xludf.DUMMYFUNCTION("""COMPUTED_VALUE"""),0.18)</f>
        <v>0.18</v>
      </c>
      <c r="F146" s="15">
        <f ca="1">IFERROR(__xludf.DUMMYFUNCTION("""COMPUTED_VALUE"""),0.359722222222222)</f>
        <v>0.359722222222222</v>
      </c>
      <c r="G146" s="15">
        <f ca="1">IFERROR(__xludf.DUMMYFUNCTION("""COMPUTED_VALUE"""),0.367361111111111)</f>
        <v>0.36736111111111103</v>
      </c>
      <c r="H146" s="5" t="str">
        <f ca="1">IFERROR(__xludf.DUMMYFUNCTION("""COMPUTED_VALUE"""),"LINE 1")</f>
        <v>LINE 1</v>
      </c>
      <c r="I146" s="5">
        <f ca="1">IFERROR(__xludf.DUMMYFUNCTION("""COMPUTED_VALUE"""),20009992)</f>
        <v>20009992</v>
      </c>
      <c r="J146" s="5" t="str">
        <f ca="1">IFERROR(__xludf.DUMMYFUNCTION("""COMPUTED_VALUE"""),"ETIQUETADORA ENVOLVENTE")</f>
        <v>ETIQUETADORA ENVOLVENTE</v>
      </c>
      <c r="K146" s="5" t="str">
        <f ca="1">IFERROR(__xludf.DUMMYFUNCTION("""COMPUTED_VALUE"""),"Leonel Montes")</f>
        <v>Leonel Montes</v>
      </c>
    </row>
    <row r="147" spans="1:11" ht="13.2">
      <c r="A147" s="5" t="str">
        <f ca="1">IFERROR(__xludf.DUMMYFUNCTION("""COMPUTED_VALUE"""),"TURNO A")</f>
        <v>TURNO A</v>
      </c>
      <c r="B147" s="5">
        <f ca="1">IFERROR(__xludf.DUMMYFUNCTION("""COMPUTED_VALUE"""),23913209)</f>
        <v>23913209</v>
      </c>
      <c r="C147" s="14">
        <f ca="1">IFERROR(__xludf.DUMMYFUNCTION("""COMPUTED_VALUE"""),45360)</f>
        <v>45360</v>
      </c>
      <c r="D147" s="5" t="str">
        <f ca="1">IFERROR(__xludf.DUMMYFUNCTION("""COMPUTED_VALUE"""),"Ajuste de porta envase")</f>
        <v>Ajuste de porta envase</v>
      </c>
      <c r="E147" s="5">
        <f ca="1">IFERROR(__xludf.DUMMYFUNCTION("""COMPUTED_VALUE"""),0.35)</f>
        <v>0.35</v>
      </c>
      <c r="F147" s="15">
        <f ca="1">IFERROR(__xludf.DUMMYFUNCTION("""COMPUTED_VALUE"""),0.377083333333333)</f>
        <v>0.37708333333333299</v>
      </c>
      <c r="G147" s="15">
        <f ca="1">IFERROR(__xludf.DUMMYFUNCTION("""COMPUTED_VALUE"""),0.391666666666666)</f>
        <v>0.391666666666666</v>
      </c>
      <c r="H147" s="5" t="str">
        <f ca="1">IFERROR(__xludf.DUMMYFUNCTION("""COMPUTED_VALUE"""),"LINE 1")</f>
        <v>LINE 1</v>
      </c>
      <c r="I147" s="5">
        <f ca="1">IFERROR(__xludf.DUMMYFUNCTION("""COMPUTED_VALUE"""),20009992)</f>
        <v>20009992</v>
      </c>
      <c r="J147" s="5" t="str">
        <f ca="1">IFERROR(__xludf.DUMMYFUNCTION("""COMPUTED_VALUE"""),"ETIQUETADORA ENVOLVENTE")</f>
        <v>ETIQUETADORA ENVOLVENTE</v>
      </c>
      <c r="K147" s="5" t="str">
        <f ca="1">IFERROR(__xludf.DUMMYFUNCTION("""COMPUTED_VALUE"""),"Leonel Montes")</f>
        <v>Leonel Montes</v>
      </c>
    </row>
    <row r="148" spans="1:11" ht="13.2">
      <c r="A148" s="5" t="str">
        <f ca="1">IFERROR(__xludf.DUMMYFUNCTION("""COMPUTED_VALUE"""),"TURNO A")</f>
        <v>TURNO A</v>
      </c>
      <c r="B148" s="5">
        <f ca="1">IFERROR(__xludf.DUMMYFUNCTION("""COMPUTED_VALUE"""),23913210)</f>
        <v>23913210</v>
      </c>
      <c r="C148" s="14">
        <f ca="1">IFERROR(__xludf.DUMMYFUNCTION("""COMPUTED_VALUE"""),45360)</f>
        <v>45360</v>
      </c>
      <c r="D148" s="5" t="str">
        <f ca="1">IFERROR(__xludf.DUMMYFUNCTION("""COMPUTED_VALUE"""),"traslape corrido en etiqueta")</f>
        <v>traslape corrido en etiqueta</v>
      </c>
      <c r="E148" s="5">
        <f ca="1">IFERROR(__xludf.DUMMYFUNCTION("""COMPUTED_VALUE"""),0.18)</f>
        <v>0.18</v>
      </c>
      <c r="F148" s="15">
        <f ca="1">IFERROR(__xludf.DUMMYFUNCTION("""COMPUTED_VALUE"""),0.420138888888888)</f>
        <v>0.42013888888888801</v>
      </c>
      <c r="G148" s="15">
        <f ca="1">IFERROR(__xludf.DUMMYFUNCTION("""COMPUTED_VALUE"""),0.427777777777777)</f>
        <v>0.42777777777777698</v>
      </c>
      <c r="H148" s="5" t="str">
        <f ca="1">IFERROR(__xludf.DUMMYFUNCTION("""COMPUTED_VALUE"""),"LINE 1")</f>
        <v>LINE 1</v>
      </c>
      <c r="I148" s="5">
        <f ca="1">IFERROR(__xludf.DUMMYFUNCTION("""COMPUTED_VALUE"""),20009992)</f>
        <v>20009992</v>
      </c>
      <c r="J148" s="5" t="str">
        <f ca="1">IFERROR(__xludf.DUMMYFUNCTION("""COMPUTED_VALUE"""),"ETIQUETADORA ENVOLVENTE")</f>
        <v>ETIQUETADORA ENVOLVENTE</v>
      </c>
      <c r="K148" s="5" t="str">
        <f ca="1">IFERROR(__xludf.DUMMYFUNCTION("""COMPUTED_VALUE"""),"Leonel Montes")</f>
        <v>Leonel Montes</v>
      </c>
    </row>
    <row r="149" spans="1:11" ht="13.2">
      <c r="A149" s="5" t="str">
        <f ca="1">IFERROR(__xludf.DUMMYFUNCTION("""COMPUTED_VALUE"""),"TURNO A")</f>
        <v>TURNO A</v>
      </c>
      <c r="B149" s="5">
        <f ca="1">IFERROR(__xludf.DUMMYFUNCTION("""COMPUTED_VALUE"""),23913307)</f>
        <v>23913307</v>
      </c>
      <c r="C149" s="14">
        <f ca="1">IFERROR(__xludf.DUMMYFUNCTION("""COMPUTED_VALUE"""),45360)</f>
        <v>45360</v>
      </c>
      <c r="D149" s="5" t="str">
        <f ca="1">IFERROR(__xludf.DUMMYFUNCTION("""COMPUTED_VALUE"""),"Caida botellas mesa de plegado")</f>
        <v>Caida botellas mesa de plegado</v>
      </c>
      <c r="E149" s="5">
        <f ca="1">IFERROR(__xludf.DUMMYFUNCTION("""COMPUTED_VALUE"""),0.15)</f>
        <v>0.15</v>
      </c>
      <c r="F149" s="15">
        <f ca="1">IFERROR(__xludf.DUMMYFUNCTION("""COMPUTED_VALUE"""),0.463194444444444)</f>
        <v>0.46319444444444402</v>
      </c>
      <c r="G149" s="15">
        <f ca="1">IFERROR(__xludf.DUMMYFUNCTION("""COMPUTED_VALUE"""),0.469444444444444)</f>
        <v>0.469444444444444</v>
      </c>
      <c r="H149" s="5" t="str">
        <f ca="1">IFERROR(__xludf.DUMMYFUNCTION("""COMPUTED_VALUE"""),"LINE 1")</f>
        <v>LINE 1</v>
      </c>
      <c r="I149" s="5"/>
      <c r="J149" s="5" t="str">
        <f ca="1">IFERROR(__xludf.DUMMYFUNCTION("""COMPUTED_VALUE"""),"ENFARDADORA")</f>
        <v>ENFARDADORA</v>
      </c>
      <c r="K149" s="5" t="str">
        <f ca="1">IFERROR(__xludf.DUMMYFUNCTION("""COMPUTED_VALUE"""),"BLANCO")</f>
        <v>BLANCO</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K38"/>
  <sheetViews>
    <sheetView workbookViewId="0">
      <selection activeCell="J10" sqref="J10"/>
    </sheetView>
  </sheetViews>
  <sheetFormatPr baseColWidth="10" defaultColWidth="12.6640625" defaultRowHeight="15.75" customHeight="1"/>
  <sheetData>
    <row r="1" spans="1:11" ht="15.75" customHeight="1">
      <c r="A1" s="10" t="s">
        <v>6</v>
      </c>
      <c r="B1" s="11" t="s">
        <v>7</v>
      </c>
      <c r="C1" s="11" t="s">
        <v>8</v>
      </c>
      <c r="D1" s="11" t="s">
        <v>9</v>
      </c>
      <c r="E1" s="11" t="s">
        <v>10</v>
      </c>
      <c r="F1" s="11" t="s">
        <v>11</v>
      </c>
      <c r="G1" s="11" t="s">
        <v>12</v>
      </c>
      <c r="H1" s="11" t="s">
        <v>13</v>
      </c>
      <c r="I1" s="11" t="s">
        <v>14</v>
      </c>
      <c r="J1" s="11" t="s">
        <v>15</v>
      </c>
      <c r="K1" s="12" t="s">
        <v>4949</v>
      </c>
    </row>
    <row r="2" spans="1:11" ht="13.2">
      <c r="A2" s="5" t="str">
        <f ca="1">IFERROR(__xludf.DUMMYFUNCTION("FILTER(IW29EDITAR!A2:K1000,IW29EDITAR!H2:H1000=""LINE 8"")"),"TURNO A")</f>
        <v>TURNO A</v>
      </c>
      <c r="B2" s="5">
        <f ca="1">IFERROR(__xludf.DUMMYFUNCTION("""COMPUTED_VALUE"""),23898834)</f>
        <v>23898834</v>
      </c>
      <c r="C2" s="14">
        <f ca="1">IFERROR(__xludf.DUMMYFUNCTION("""COMPUTED_VALUE"""),45352)</f>
        <v>45352</v>
      </c>
      <c r="D2" s="5" t="str">
        <f ca="1">IFERROR(__xludf.DUMMYFUNCTION("""COMPUTED_VALUE"""),"congelamiento de boquilla")</f>
        <v>congelamiento de boquilla</v>
      </c>
      <c r="E2" s="5">
        <f ca="1">IFERROR(__xludf.DUMMYFUNCTION("""COMPUTED_VALUE"""),0.05)</f>
        <v>0.05</v>
      </c>
      <c r="F2" s="15">
        <f ca="1">IFERROR(__xludf.DUMMYFUNCTION("""COMPUTED_VALUE"""),0.25)</f>
        <v>0.25</v>
      </c>
      <c r="G2" s="15">
        <f ca="1">IFERROR(__xludf.DUMMYFUNCTION("""COMPUTED_VALUE"""),0.252083333333333)</f>
        <v>0.25208333333333299</v>
      </c>
      <c r="H2" s="5" t="str">
        <f ca="1">IFERROR(__xludf.DUMMYFUNCTION("""COMPUTED_VALUE"""),"LINE 8")</f>
        <v>LINE 8</v>
      </c>
      <c r="I2" s="5">
        <f ca="1">IFERROR(__xludf.DUMMYFUNCTION("""COMPUTED_VALUE"""),20010206)</f>
        <v>20010206</v>
      </c>
      <c r="J2" s="5" t="str">
        <f ca="1">IFERROR(__xludf.DUMMYFUNCTION("""COMPUTED_VALUE"""),"FALLA DOSIFICADOR NITROGENO")</f>
        <v>FALLA DOSIFICADOR NITROGENO</v>
      </c>
      <c r="K2" s="5" t="str">
        <f ca="1">IFERROR(__xludf.DUMMYFUNCTION("""COMPUTED_VALUE"""),"Vanegas Guependo Hermes")</f>
        <v>Vanegas Guependo Hermes</v>
      </c>
    </row>
    <row r="3" spans="1:11" ht="13.2">
      <c r="A3" s="5" t="str">
        <f ca="1">IFERROR(__xludf.DUMMYFUNCTION("""COMPUTED_VALUE"""),"TURNO B")</f>
        <v>TURNO B</v>
      </c>
      <c r="B3" s="5">
        <f ca="1">IFERROR(__xludf.DUMMYFUNCTION("""COMPUTED_VALUE"""),23899404)</f>
        <v>23899404</v>
      </c>
      <c r="C3" s="14">
        <f ca="1">IFERROR(__xludf.DUMMYFUNCTION("""COMPUTED_VALUE"""),45352)</f>
        <v>45352</v>
      </c>
      <c r="D3" s="5" t="str">
        <f ca="1">IFERROR(__xludf.DUMMYFUNCTION("""COMPUTED_VALUE"""),"Cambio de cadena")</f>
        <v>Cambio de cadena</v>
      </c>
      <c r="E3" s="5">
        <f ca="1">IFERROR(__xludf.DUMMYFUNCTION("""COMPUTED_VALUE"""),1.87)</f>
        <v>1.87</v>
      </c>
      <c r="F3" s="15">
        <f ca="1">IFERROR(__xludf.DUMMYFUNCTION("""COMPUTED_VALUE"""),0.736805555555555)</f>
        <v>0.73680555555555505</v>
      </c>
      <c r="G3" s="15">
        <f ca="1">IFERROR(__xludf.DUMMYFUNCTION("""COMPUTED_VALUE"""),0.814583333333333)</f>
        <v>0.81458333333333299</v>
      </c>
      <c r="H3" s="5" t="str">
        <f ca="1">IFERROR(__xludf.DUMMYFUNCTION("""COMPUTED_VALUE"""),"LINE 8")</f>
        <v>LINE 8</v>
      </c>
      <c r="I3" s="5"/>
      <c r="J3" s="5" t="str">
        <f ca="1">IFERROR(__xludf.DUMMYFUNCTION("""COMPUTED_VALUE"""),"TRANSPORTADORES DE CAJAS")</f>
        <v>TRANSPORTADORES DE CAJAS</v>
      </c>
      <c r="K3" s="5" t="str">
        <f ca="1">IFERROR(__xludf.DUMMYFUNCTION("""COMPUTED_VALUE"""),"BLANCO")</f>
        <v>BLANCO</v>
      </c>
    </row>
    <row r="4" spans="1:11" ht="13.2">
      <c r="A4" s="5" t="str">
        <f ca="1">IFERROR(__xludf.DUMMYFUNCTION("""COMPUTED_VALUE"""),"TURNO B")</f>
        <v>TURNO B</v>
      </c>
      <c r="B4" s="5">
        <f ca="1">IFERROR(__xludf.DUMMYFUNCTION("""COMPUTED_VALUE"""),23899409)</f>
        <v>23899409</v>
      </c>
      <c r="C4" s="14">
        <f ca="1">IFERROR(__xludf.DUMMYFUNCTION("""COMPUTED_VALUE"""),45352)</f>
        <v>45352</v>
      </c>
      <c r="D4" s="5" t="str">
        <f ca="1">IFERROR(__xludf.DUMMYFUNCTION("""COMPUTED_VALUE"""),"Ajuste en bandas de transportador")</f>
        <v>Ajuste en bandas de transportador</v>
      </c>
      <c r="E4" s="5">
        <f ca="1">IFERROR(__xludf.DUMMYFUNCTION("""COMPUTED_VALUE"""),0.22)</f>
        <v>0.22</v>
      </c>
      <c r="F4" s="15">
        <f ca="1">IFERROR(__xludf.DUMMYFUNCTION("""COMPUTED_VALUE"""),0.667361111111111)</f>
        <v>0.66736111111111096</v>
      </c>
      <c r="G4" s="15">
        <f ca="1">IFERROR(__xludf.DUMMYFUNCTION("""COMPUTED_VALUE"""),0.676388888888888)</f>
        <v>0.67638888888888804</v>
      </c>
      <c r="H4" s="5" t="str">
        <f ca="1">IFERROR(__xludf.DUMMYFUNCTION("""COMPUTED_VALUE"""),"LINE 8")</f>
        <v>LINE 8</v>
      </c>
      <c r="I4" s="5"/>
      <c r="J4" s="5" t="str">
        <f ca="1">IFERROR(__xludf.DUMMYFUNCTION("""COMPUTED_VALUE"""),"TRANSPORTADORES DE CAJAS")</f>
        <v>TRANSPORTADORES DE CAJAS</v>
      </c>
      <c r="K4" s="5" t="str">
        <f ca="1">IFERROR(__xludf.DUMMYFUNCTION("""COMPUTED_VALUE"""),"BLANCO")</f>
        <v>BLANCO</v>
      </c>
    </row>
    <row r="5" spans="1:11" ht="13.2">
      <c r="A5" s="5" t="str">
        <f ca="1">IFERROR(__xludf.DUMMYFUNCTION("""COMPUTED_VALUE"""),"TURNO C")</f>
        <v>TURNO C</v>
      </c>
      <c r="B5" s="5">
        <f ca="1">IFERROR(__xludf.DUMMYFUNCTION("""COMPUTED_VALUE"""),23899715)</f>
        <v>23899715</v>
      </c>
      <c r="C5" s="14">
        <f ca="1">IFERROR(__xludf.DUMMYFUNCTION("""COMPUTED_VALUE"""),45353)</f>
        <v>45353</v>
      </c>
      <c r="D5" s="5" t="str">
        <f ca="1">IFERROR(__xludf.DUMMYFUNCTION("""COMPUTED_VALUE"""),"Enfardadora")</f>
        <v>Enfardadora</v>
      </c>
      <c r="E5" s="5">
        <f ca="1">IFERROR(__xludf.DUMMYFUNCTION("""COMPUTED_VALUE"""),0.17)</f>
        <v>0.17</v>
      </c>
      <c r="F5" s="15">
        <f ca="1">IFERROR(__xludf.DUMMYFUNCTION("""COMPUTED_VALUE"""),0.222222222222222)</f>
        <v>0.22222222222222199</v>
      </c>
      <c r="G5" s="15">
        <f ca="1">IFERROR(__xludf.DUMMYFUNCTION("""COMPUTED_VALUE"""),0.229166666666666)</f>
        <v>0.22916666666666599</v>
      </c>
      <c r="H5" s="5" t="str">
        <f ca="1">IFERROR(__xludf.DUMMYFUNCTION("""COMPUTED_VALUE"""),"LINE 8")</f>
        <v>LINE 8</v>
      </c>
      <c r="I5" s="5">
        <f ca="1">IFERROR(__xludf.DUMMYFUNCTION("""COMPUTED_VALUE"""),20009942)</f>
        <v>20009942</v>
      </c>
      <c r="J5" s="5" t="str">
        <f ca="1">IFERROR(__xludf.DUMMYFUNCTION("""COMPUTED_VALUE"""),"ENFARDADORA")</f>
        <v>ENFARDADORA</v>
      </c>
      <c r="K5" s="5" t="str">
        <f ca="1">IFERROR(__xludf.DUMMYFUNCTION("""COMPUTED_VALUE"""),"Osver Martinez")</f>
        <v>Osver Martinez</v>
      </c>
    </row>
    <row r="6" spans="1:11" ht="13.2">
      <c r="A6" s="5" t="str">
        <f ca="1">IFERROR(__xludf.DUMMYFUNCTION("""COMPUTED_VALUE"""),"TURNO B")</f>
        <v>TURNO B</v>
      </c>
      <c r="B6" s="5">
        <f ca="1">IFERROR(__xludf.DUMMYFUNCTION("""COMPUTED_VALUE"""),23901072)</f>
        <v>23901072</v>
      </c>
      <c r="C6" s="14">
        <f ca="1">IFERROR(__xludf.DUMMYFUNCTION("""COMPUTED_VALUE"""),45353)</f>
        <v>45353</v>
      </c>
      <c r="D6" s="5" t="str">
        <f ca="1">IFERROR(__xludf.DUMMYFUNCTION("""COMPUTED_VALUE"""),"Caida de botellas salida cooler")</f>
        <v>Caida de botellas salida cooler</v>
      </c>
      <c r="E6" s="5">
        <f ca="1">IFERROR(__xludf.DUMMYFUNCTION("""COMPUTED_VALUE"""),0.23)</f>
        <v>0.23</v>
      </c>
      <c r="F6" s="15">
        <f ca="1">IFERROR(__xludf.DUMMYFUNCTION("""COMPUTED_VALUE"""),0.65625)</f>
        <v>0.65625</v>
      </c>
      <c r="G6" s="15">
        <f ca="1">IFERROR(__xludf.DUMMYFUNCTION("""COMPUTED_VALUE"""),0.665972222222222)</f>
        <v>0.66597222222222197</v>
      </c>
      <c r="H6" s="5" t="str">
        <f ca="1">IFERROR(__xludf.DUMMYFUNCTION("""COMPUTED_VALUE"""),"LINE 8")</f>
        <v>LINE 8</v>
      </c>
      <c r="I6" s="5"/>
      <c r="J6" s="5" t="str">
        <f ca="1">IFERROR(__xludf.DUMMYFUNCTION("""COMPUTED_VALUE"""),"TRANSPORTADORES DE BOTELLAS LLENAS")</f>
        <v>TRANSPORTADORES DE BOTELLAS LLENAS</v>
      </c>
      <c r="K6" s="5" t="str">
        <f ca="1">IFERROR(__xludf.DUMMYFUNCTION("""COMPUTED_VALUE"""),"BLANCO")</f>
        <v>BLANCO</v>
      </c>
    </row>
    <row r="7" spans="1:11" ht="13.2">
      <c r="A7" s="5" t="str">
        <f ca="1">IFERROR(__xludf.DUMMYFUNCTION("""COMPUTED_VALUE"""),"TURNO B")</f>
        <v>TURNO B</v>
      </c>
      <c r="B7" s="5">
        <f ca="1">IFERROR(__xludf.DUMMYFUNCTION("""COMPUTED_VALUE"""),23901073)</f>
        <v>23901073</v>
      </c>
      <c r="C7" s="14">
        <f ca="1">IFERROR(__xludf.DUMMYFUNCTION("""COMPUTED_VALUE"""),45353)</f>
        <v>45353</v>
      </c>
      <c r="D7" s="5" t="str">
        <f ca="1">IFERROR(__xludf.DUMMYFUNCTION("""COMPUTED_VALUE"""),"Falla de suministro de aire en llenadora")</f>
        <v>Falla de suministro de aire en llenadora</v>
      </c>
      <c r="E7" s="5">
        <f ca="1">IFERROR(__xludf.DUMMYFUNCTION("""COMPUTED_VALUE"""),0.83)</f>
        <v>0.83</v>
      </c>
      <c r="F7" s="15">
        <f ca="1">IFERROR(__xludf.DUMMYFUNCTION("""COMPUTED_VALUE"""),0.779861111111111)</f>
        <v>0.77986111111111101</v>
      </c>
      <c r="G7" s="15">
        <f ca="1">IFERROR(__xludf.DUMMYFUNCTION("""COMPUTED_VALUE"""),0.814583333333333)</f>
        <v>0.81458333333333299</v>
      </c>
      <c r="H7" s="5" t="str">
        <f ca="1">IFERROR(__xludf.DUMMYFUNCTION("""COMPUTED_VALUE"""),"LINE 8")</f>
        <v>LINE 8</v>
      </c>
      <c r="I7" s="5"/>
      <c r="J7" s="5" t="str">
        <f ca="1">IFERROR(__xludf.DUMMYFUNCTION("""COMPUTED_VALUE"""),"LLENADORA")</f>
        <v>LLENADORA</v>
      </c>
      <c r="K7" s="5" t="str">
        <f ca="1">IFERROR(__xludf.DUMMYFUNCTION("""COMPUTED_VALUE"""),"BLANCO")</f>
        <v>BLANCO</v>
      </c>
    </row>
    <row r="8" spans="1:11" ht="13.2">
      <c r="A8" s="5" t="str">
        <f ca="1">IFERROR(__xludf.DUMMYFUNCTION("""COMPUTED_VALUE"""),"TURNO C")</f>
        <v>TURNO C</v>
      </c>
      <c r="B8" s="5">
        <f ca="1">IFERROR(__xludf.DUMMYFUNCTION("""COMPUTED_VALUE"""),23901127)</f>
        <v>23901127</v>
      </c>
      <c r="C8" s="14">
        <f ca="1">IFERROR(__xludf.DUMMYFUNCTION("""COMPUTED_VALUE"""),45353)</f>
        <v>45353</v>
      </c>
      <c r="D8" s="5" t="str">
        <f ca="1">IFERROR(__xludf.DUMMYFUNCTION("""COMPUTED_VALUE"""),"Falla en válvula V72")</f>
        <v>Falla en válvula V72</v>
      </c>
      <c r="E8" s="5">
        <f ca="1">IFERROR(__xludf.DUMMYFUNCTION("""COMPUTED_VALUE"""),1.17)</f>
        <v>1.17</v>
      </c>
      <c r="F8" s="15">
        <f ca="1">IFERROR(__xludf.DUMMYFUNCTION("""COMPUTED_VALUE"""),0)</f>
        <v>0</v>
      </c>
      <c r="G8" s="15">
        <f ca="1">IFERROR(__xludf.DUMMYFUNCTION("""COMPUTED_VALUE"""),0.0486111111111111)</f>
        <v>4.8611111111111098E-2</v>
      </c>
      <c r="H8" s="5" t="str">
        <f ca="1">IFERROR(__xludf.DUMMYFUNCTION("""COMPUTED_VALUE"""),"LINE 8")</f>
        <v>LINE 8</v>
      </c>
      <c r="I8" s="5">
        <f ca="1">IFERROR(__xludf.DUMMYFUNCTION("""COMPUTED_VALUE"""),20009758)</f>
        <v>20009758</v>
      </c>
      <c r="J8" s="5" t="str">
        <f ca="1">IFERROR(__xludf.DUMMYFUNCTION("""COMPUTED_VALUE"""),"PASTEURIZADOR")</f>
        <v>PASTEURIZADOR</v>
      </c>
      <c r="K8" s="5" t="str">
        <f ca="1">IFERROR(__xludf.DUMMYFUNCTION("""COMPUTED_VALUE"""),"Franco Castillo Brayan Steven")</f>
        <v>Franco Castillo Brayan Steven</v>
      </c>
    </row>
    <row r="9" spans="1:11" ht="13.2">
      <c r="A9" s="5" t="str">
        <f ca="1">IFERROR(__xludf.DUMMYFUNCTION("""COMPUTED_VALUE"""),"TURNO A")</f>
        <v>TURNO A</v>
      </c>
      <c r="B9" s="5">
        <f ca="1">IFERROR(__xludf.DUMMYFUNCTION("""COMPUTED_VALUE"""),23901131)</f>
        <v>23901131</v>
      </c>
      <c r="C9" s="14">
        <f ca="1">IFERROR(__xludf.DUMMYFUNCTION("""COMPUTED_VALUE"""),45354)</f>
        <v>45354</v>
      </c>
      <c r="D9" s="5" t="str">
        <f ca="1">IFERROR(__xludf.DUMMYFUNCTION("""COMPUTED_VALUE"""),"Se desenfoca sensor de paletizadora.")</f>
        <v>Se desenfoca sensor de paletizadora.</v>
      </c>
      <c r="E9" s="5">
        <f ca="1">IFERROR(__xludf.DUMMYFUNCTION("""COMPUTED_VALUE"""),0.3)</f>
        <v>0.3</v>
      </c>
      <c r="F9" s="15">
        <f ca="1">IFERROR(__xludf.DUMMYFUNCTION("""COMPUTED_VALUE"""),0.344444444444444)</f>
        <v>0.344444444444444</v>
      </c>
      <c r="G9" s="15">
        <f ca="1">IFERROR(__xludf.DUMMYFUNCTION("""COMPUTED_VALUE"""),0.356944444444444)</f>
        <v>0.35694444444444401</v>
      </c>
      <c r="H9" s="5" t="str">
        <f ca="1">IFERROR(__xludf.DUMMYFUNCTION("""COMPUTED_VALUE"""),"LINE 8")</f>
        <v>LINE 8</v>
      </c>
      <c r="I9" s="5">
        <f ca="1">IFERROR(__xludf.DUMMYFUNCTION("""COMPUTED_VALUE"""),20075520)</f>
        <v>20075520</v>
      </c>
      <c r="J9" s="5" t="str">
        <f ca="1">IFERROR(__xludf.DUMMYFUNCTION("""COMPUTED_VALUE"""),"PALETIZADORA")</f>
        <v>PALETIZADORA</v>
      </c>
      <c r="K9" s="5" t="str">
        <f ca="1">IFERROR(__xludf.DUMMYFUNCTION("""COMPUTED_VALUE"""),"Andres Mesa")</f>
        <v>Andres Mesa</v>
      </c>
    </row>
    <row r="10" spans="1:11" ht="13.2">
      <c r="A10" s="5" t="str">
        <f ca="1">IFERROR(__xludf.DUMMYFUNCTION("""COMPUTED_VALUE"""),"TURNO B")</f>
        <v>TURNO B</v>
      </c>
      <c r="B10" s="5">
        <f ca="1">IFERROR(__xludf.DUMMYFUNCTION("""COMPUTED_VALUE"""),23901453)</f>
        <v>23901453</v>
      </c>
      <c r="C10" s="14">
        <f ca="1">IFERROR(__xludf.DUMMYFUNCTION("""COMPUTED_VALUE"""),45354)</f>
        <v>45354</v>
      </c>
      <c r="D10" s="5" t="str">
        <f ca="1">IFERROR(__xludf.DUMMYFUNCTION("""COMPUTED_VALUE"""),"Caida de botellas salida cooler")</f>
        <v>Caida de botellas salida cooler</v>
      </c>
      <c r="E10" s="5">
        <f ca="1">IFERROR(__xludf.DUMMYFUNCTION("""COMPUTED_VALUE"""),0.13)</f>
        <v>0.13</v>
      </c>
      <c r="F10" s="15">
        <f ca="1">IFERROR(__xludf.DUMMYFUNCTION("""COMPUTED_VALUE"""),0.671527777777777)</f>
        <v>0.67152777777777695</v>
      </c>
      <c r="G10" s="15">
        <f ca="1">IFERROR(__xludf.DUMMYFUNCTION("""COMPUTED_VALUE"""),0.677083333333333)</f>
        <v>0.67708333333333304</v>
      </c>
      <c r="H10" s="5" t="str">
        <f ca="1">IFERROR(__xludf.DUMMYFUNCTION("""COMPUTED_VALUE"""),"LINE 8")</f>
        <v>LINE 8</v>
      </c>
      <c r="I10" s="5"/>
      <c r="J10" s="5" t="str">
        <f ca="1">IFERROR(__xludf.DUMMYFUNCTION("""COMPUTED_VALUE"""),"TRANSPORTADORES DE BOTELLAS LLENAS")</f>
        <v>TRANSPORTADORES DE BOTELLAS LLENAS</v>
      </c>
      <c r="K10" s="5" t="str">
        <f ca="1">IFERROR(__xludf.DUMMYFUNCTION("""COMPUTED_VALUE"""),"BLANCO")</f>
        <v>BLANCO</v>
      </c>
    </row>
    <row r="11" spans="1:11" ht="13.2">
      <c r="A11" s="5" t="str">
        <f ca="1">IFERROR(__xludf.DUMMYFUNCTION("""COMPUTED_VALUE"""),"TURNO B")</f>
        <v>TURNO B</v>
      </c>
      <c r="B11" s="5">
        <f ca="1">IFERROR(__xludf.DUMMYFUNCTION("""COMPUTED_VALUE"""),23901458)</f>
        <v>23901458</v>
      </c>
      <c r="C11" s="14">
        <f ca="1">IFERROR(__xludf.DUMMYFUNCTION("""COMPUTED_VALUE"""),45354)</f>
        <v>45354</v>
      </c>
      <c r="D11" s="5" t="str">
        <f ca="1">IFERROR(__xludf.DUMMYFUNCTION("""COMPUTED_VALUE"""),"Falla sistema de corte")</f>
        <v>Falla sistema de corte</v>
      </c>
      <c r="E11" s="5">
        <f ca="1">IFERROR(__xludf.DUMMYFUNCTION("""COMPUTED_VALUE"""),0.8)</f>
        <v>0.8</v>
      </c>
      <c r="F11" s="15">
        <f ca="1">IFERROR(__xludf.DUMMYFUNCTION("""COMPUTED_VALUE"""),0.833333333333333)</f>
        <v>0.83333333333333304</v>
      </c>
      <c r="G11" s="15">
        <f ca="1">IFERROR(__xludf.DUMMYFUNCTION("""COMPUTED_VALUE"""),0.866666666666666)</f>
        <v>0.86666666666666603</v>
      </c>
      <c r="H11" s="5" t="str">
        <f ca="1">IFERROR(__xludf.DUMMYFUNCTION("""COMPUTED_VALUE"""),"LINE 8")</f>
        <v>LINE 8</v>
      </c>
      <c r="I11" s="5"/>
      <c r="J11" s="5" t="str">
        <f ca="1">IFERROR(__xludf.DUMMYFUNCTION("""COMPUTED_VALUE"""),"ENFARDADORA")</f>
        <v>ENFARDADORA</v>
      </c>
      <c r="K11" s="5" t="str">
        <f ca="1">IFERROR(__xludf.DUMMYFUNCTION("""COMPUTED_VALUE"""),"BLANCO")</f>
        <v>BLANCO</v>
      </c>
    </row>
    <row r="12" spans="1:11" ht="13.2">
      <c r="A12" s="5" t="str">
        <f ca="1">IFERROR(__xludf.DUMMYFUNCTION("""COMPUTED_VALUE"""),"TURNO B")</f>
        <v>TURNO B</v>
      </c>
      <c r="B12" s="5">
        <f ca="1">IFERROR(__xludf.DUMMYFUNCTION("""COMPUTED_VALUE"""),23901496)</f>
        <v>23901496</v>
      </c>
      <c r="C12" s="14">
        <f ca="1">IFERROR(__xludf.DUMMYFUNCTION("""COMPUTED_VALUE"""),45354)</f>
        <v>45354</v>
      </c>
      <c r="D12" s="5" t="str">
        <f ca="1">IFERROR(__xludf.DUMMYFUNCTION("""COMPUTED_VALUE"""),"Falla suministro de bebida en calderin")</f>
        <v>Falla suministro de bebida en calderin</v>
      </c>
      <c r="E12" s="5">
        <f ca="1">IFERROR(__xludf.DUMMYFUNCTION("""COMPUTED_VALUE"""),0.67)</f>
        <v>0.67</v>
      </c>
      <c r="F12" s="15">
        <f ca="1">IFERROR(__xludf.DUMMYFUNCTION("""COMPUTED_VALUE"""),0.881944444444444)</f>
        <v>0.88194444444444398</v>
      </c>
      <c r="G12" s="15">
        <f ca="1">IFERROR(__xludf.DUMMYFUNCTION("""COMPUTED_VALUE"""),0.909722222222222)</f>
        <v>0.90972222222222199</v>
      </c>
      <c r="H12" s="5" t="str">
        <f ca="1">IFERROR(__xludf.DUMMYFUNCTION("""COMPUTED_VALUE"""),"LINE 8")</f>
        <v>LINE 8</v>
      </c>
      <c r="I12" s="5"/>
      <c r="J12" s="5" t="str">
        <f ca="1">IFERROR(__xludf.DUMMYFUNCTION("""COMPUTED_VALUE"""),"LLENADORA")</f>
        <v>LLENADORA</v>
      </c>
      <c r="K12" s="5" t="str">
        <f ca="1">IFERROR(__xludf.DUMMYFUNCTION("""COMPUTED_VALUE"""),"BLANCO")</f>
        <v>BLANCO</v>
      </c>
    </row>
    <row r="13" spans="1:11" ht="13.2">
      <c r="A13" s="5" t="str">
        <f ca="1">IFERROR(__xludf.DUMMYFUNCTION("""COMPUTED_VALUE"""),"TURNO C")</f>
        <v>TURNO C</v>
      </c>
      <c r="B13" s="5">
        <f ca="1">IFERROR(__xludf.DUMMYFUNCTION("""COMPUTED_VALUE"""),23901558)</f>
        <v>23901558</v>
      </c>
      <c r="C13" s="14">
        <f ca="1">IFERROR(__xludf.DUMMYFUNCTION("""COMPUTED_VALUE"""),45354)</f>
        <v>45354</v>
      </c>
      <c r="D13" s="5" t="str">
        <f ca="1">IFERROR(__xludf.DUMMYFUNCTION("""COMPUTED_VALUE"""),"Mal funcionamiento del desaireador")</f>
        <v>Mal funcionamiento del desaireador</v>
      </c>
      <c r="E13" s="5">
        <f ca="1">IFERROR(__xludf.DUMMYFUNCTION("""COMPUTED_VALUE"""),0.25)</f>
        <v>0.25</v>
      </c>
      <c r="F13" s="15">
        <f ca="1">IFERROR(__xludf.DUMMYFUNCTION("""COMPUTED_VALUE"""),0.927083333333333)</f>
        <v>0.92708333333333304</v>
      </c>
      <c r="G13" s="15">
        <f ca="1">IFERROR(__xludf.DUMMYFUNCTION("""COMPUTED_VALUE"""),0.9375)</f>
        <v>0.9375</v>
      </c>
      <c r="H13" s="5" t="str">
        <f ca="1">IFERROR(__xludf.DUMMYFUNCTION("""COMPUTED_VALUE"""),"LINE 8")</f>
        <v>LINE 8</v>
      </c>
      <c r="I13" s="5">
        <f ca="1">IFERROR(__xludf.DUMMYFUNCTION("""COMPUTED_VALUE"""),20010206)</f>
        <v>20010206</v>
      </c>
      <c r="J13" s="5" t="str">
        <f ca="1">IFERROR(__xludf.DUMMYFUNCTION("""COMPUTED_VALUE"""),"PASTEURIZADOR")</f>
        <v>PASTEURIZADOR</v>
      </c>
      <c r="K13" s="5" t="str">
        <f ca="1">IFERROR(__xludf.DUMMYFUNCTION("""COMPUTED_VALUE"""),"Vanegas Guependo Hermes")</f>
        <v>Vanegas Guependo Hermes</v>
      </c>
    </row>
    <row r="14" spans="1:11" ht="13.2">
      <c r="A14" s="5" t="str">
        <f ca="1">IFERROR(__xludf.DUMMYFUNCTION("""COMPUTED_VALUE"""),"TURNO C")</f>
        <v>TURNO C</v>
      </c>
      <c r="B14" s="5">
        <f ca="1">IFERROR(__xludf.DUMMYFUNCTION("""COMPUTED_VALUE"""),23901611)</f>
        <v>23901611</v>
      </c>
      <c r="C14" s="14">
        <f ca="1">IFERROR(__xludf.DUMMYFUNCTION("""COMPUTED_VALUE"""),45354)</f>
        <v>45354</v>
      </c>
      <c r="D14" s="5" t="str">
        <f ca="1">IFERROR(__xludf.DUMMYFUNCTION("""COMPUTED_VALUE"""),"Caída de paquetes en entrada a horno.")</f>
        <v>Caída de paquetes en entrada a horno.</v>
      </c>
      <c r="E14" s="5">
        <f ca="1">IFERROR(__xludf.DUMMYFUNCTION("""COMPUTED_VALUE"""),0.12)</f>
        <v>0.12</v>
      </c>
      <c r="F14" s="15">
        <f ca="1">IFERROR(__xludf.DUMMYFUNCTION("""COMPUTED_VALUE"""),0.222222222222222)</f>
        <v>0.22222222222222199</v>
      </c>
      <c r="G14" s="15">
        <f ca="1">IFERROR(__xludf.DUMMYFUNCTION("""COMPUTED_VALUE"""),0.227083333333333)</f>
        <v>0.227083333333333</v>
      </c>
      <c r="H14" s="5" t="str">
        <f ca="1">IFERROR(__xludf.DUMMYFUNCTION("""COMPUTED_VALUE"""),"LINE 8")</f>
        <v>LINE 8</v>
      </c>
      <c r="I14" s="5">
        <f ca="1">IFERROR(__xludf.DUMMYFUNCTION("""COMPUTED_VALUE"""),20031098)</f>
        <v>20031098</v>
      </c>
      <c r="J14" s="5" t="str">
        <f ca="1">IFERROR(__xludf.DUMMYFUNCTION("""COMPUTED_VALUE"""),"ENFARDADORA")</f>
        <v>ENFARDADORA</v>
      </c>
      <c r="K14" s="5" t="str">
        <f ca="1">IFERROR(__xludf.DUMMYFUNCTION("""COMPUTED_VALUE"""),"Jonathan Lopez")</f>
        <v>Jonathan Lopez</v>
      </c>
    </row>
    <row r="15" spans="1:11" ht="13.2">
      <c r="A15" s="5" t="str">
        <f ca="1">IFERROR(__xludf.DUMMYFUNCTION("""COMPUTED_VALUE"""),"TURNO B")</f>
        <v>TURNO B</v>
      </c>
      <c r="B15" s="5">
        <f ca="1">IFERROR(__xludf.DUMMYFUNCTION("""COMPUTED_VALUE"""),23902575)</f>
        <v>23902575</v>
      </c>
      <c r="C15" s="14">
        <f ca="1">IFERROR(__xludf.DUMMYFUNCTION("""COMPUTED_VALUE"""),45355)</f>
        <v>45355</v>
      </c>
      <c r="D15" s="5" t="str">
        <f ca="1">IFERROR(__xludf.DUMMYFUNCTION("""COMPUTED_VALUE"""),"Cooler: falla electrica afecta motor, ge")</f>
        <v>Cooler: falla electrica afecta motor, ge</v>
      </c>
      <c r="E15" s="5">
        <f ca="1">IFERROR(__xludf.DUMMYFUNCTION("""COMPUTED_VALUE"""),0.27)</f>
        <v>0.27</v>
      </c>
      <c r="F15" s="15">
        <f ca="1">IFERROR(__xludf.DUMMYFUNCTION("""COMPUTED_VALUE"""),0.6)</f>
        <v>0.6</v>
      </c>
      <c r="G15" s="15">
        <f ca="1">IFERROR(__xludf.DUMMYFUNCTION("""COMPUTED_VALUE"""),0.611111111111111)</f>
        <v>0.61111111111111105</v>
      </c>
      <c r="H15" s="5" t="str">
        <f ca="1">IFERROR(__xludf.DUMMYFUNCTION("""COMPUTED_VALUE"""),"LINE 8")</f>
        <v>LINE 8</v>
      </c>
      <c r="I15" s="5">
        <f ca="1">IFERROR(__xludf.DUMMYFUNCTION("""COMPUTED_VALUE"""),20009758)</f>
        <v>20009758</v>
      </c>
      <c r="J15" s="5" t="str">
        <f ca="1">IFERROR(__xludf.DUMMYFUNCTION("""COMPUTED_VALUE"""),"COOLER")</f>
        <v>COOLER</v>
      </c>
      <c r="K15" s="5" t="str">
        <f ca="1">IFERROR(__xludf.DUMMYFUNCTION("""COMPUTED_VALUE"""),"Franco Castillo Brayan Steven")</f>
        <v>Franco Castillo Brayan Steven</v>
      </c>
    </row>
    <row r="16" spans="1:11" ht="13.2">
      <c r="A16" s="5" t="str">
        <f ca="1">IFERROR(__xludf.DUMMYFUNCTION("""COMPUTED_VALUE"""),"TURNO B")</f>
        <v>TURNO B</v>
      </c>
      <c r="B16" s="5">
        <f ca="1">IFERROR(__xludf.DUMMYFUNCTION("""COMPUTED_VALUE"""),23902578)</f>
        <v>23902578</v>
      </c>
      <c r="C16" s="14">
        <f ca="1">IFERROR(__xludf.DUMMYFUNCTION("""COMPUTED_VALUE"""),45355)</f>
        <v>45355</v>
      </c>
      <c r="D16" s="5" t="str">
        <f ca="1">IFERROR(__xludf.DUMMYFUNCTION("""COMPUTED_VALUE"""),"Enfardadora")</f>
        <v>Enfardadora</v>
      </c>
      <c r="E16" s="5">
        <f ca="1">IFERROR(__xludf.DUMMYFUNCTION("""COMPUTED_VALUE"""),0.08)</f>
        <v>0.08</v>
      </c>
      <c r="F16" s="15">
        <f ca="1">IFERROR(__xludf.DUMMYFUNCTION("""COMPUTED_VALUE"""),0.645833333333333)</f>
        <v>0.64583333333333304</v>
      </c>
      <c r="G16" s="15">
        <f ca="1">IFERROR(__xludf.DUMMYFUNCTION("""COMPUTED_VALUE"""),0.649305555555555)</f>
        <v>0.64930555555555503</v>
      </c>
      <c r="H16" s="5" t="str">
        <f ca="1">IFERROR(__xludf.DUMMYFUNCTION("""COMPUTED_VALUE"""),"LINE 8")</f>
        <v>LINE 8</v>
      </c>
      <c r="I16" s="5">
        <f ca="1">IFERROR(__xludf.DUMMYFUNCTION("""COMPUTED_VALUE"""),20009942)</f>
        <v>20009942</v>
      </c>
      <c r="J16" s="5" t="str">
        <f ca="1">IFERROR(__xludf.DUMMYFUNCTION("""COMPUTED_VALUE"""),"ENFARDADORA")</f>
        <v>ENFARDADORA</v>
      </c>
      <c r="K16" s="5" t="str">
        <f ca="1">IFERROR(__xludf.DUMMYFUNCTION("""COMPUTED_VALUE"""),"Osver Martinez")</f>
        <v>Osver Martinez</v>
      </c>
    </row>
    <row r="17" spans="1:11" ht="13.2">
      <c r="A17" s="5" t="str">
        <f ca="1">IFERROR(__xludf.DUMMYFUNCTION("""COMPUTED_VALUE"""),"TURNO A")</f>
        <v>TURNO A</v>
      </c>
      <c r="B17" s="5">
        <f ca="1">IFERROR(__xludf.DUMMYFUNCTION("""COMPUTED_VALUE"""),23902652)</f>
        <v>23902652</v>
      </c>
      <c r="C17" s="14">
        <f ca="1">IFERROR(__xludf.DUMMYFUNCTION("""COMPUTED_VALUE"""),45355)</f>
        <v>45355</v>
      </c>
      <c r="D17" s="5" t="str">
        <f ca="1">IFERROR(__xludf.DUMMYFUNCTION("""COMPUTED_VALUE"""),"Caida de botellas")</f>
        <v>Caida de botellas</v>
      </c>
      <c r="E17" s="5">
        <f ca="1">IFERROR(__xludf.DUMMYFUNCTION("""COMPUTED_VALUE"""),0.05)</f>
        <v>0.05</v>
      </c>
      <c r="F17" s="15">
        <f ca="1">IFERROR(__xludf.DUMMYFUNCTION("""COMPUTED_VALUE"""),0.385416666666666)</f>
        <v>0.38541666666666602</v>
      </c>
      <c r="G17" s="15">
        <f ca="1">IFERROR(__xludf.DUMMYFUNCTION("""COMPUTED_VALUE"""),0.3875)</f>
        <v>0.38750000000000001</v>
      </c>
      <c r="H17" s="5" t="str">
        <f ca="1">IFERROR(__xludf.DUMMYFUNCTION("""COMPUTED_VALUE"""),"LINE 8")</f>
        <v>LINE 8</v>
      </c>
      <c r="I17" s="5"/>
      <c r="J17" s="5" t="str">
        <f ca="1">IFERROR(__xludf.DUMMYFUNCTION("""COMPUTED_VALUE"""),"TRANSPORTADORES DE BOTELLAS LLENAS")</f>
        <v>TRANSPORTADORES DE BOTELLAS LLENAS</v>
      </c>
      <c r="K17" s="5" t="str">
        <f ca="1">IFERROR(__xludf.DUMMYFUNCTION("""COMPUTED_VALUE"""),"BLANCO")</f>
        <v>BLANCO</v>
      </c>
    </row>
    <row r="18" spans="1:11" ht="13.2">
      <c r="A18" s="5" t="str">
        <f ca="1">IFERROR(__xludf.DUMMYFUNCTION("""COMPUTED_VALUE"""),"TURNO B")</f>
        <v>TURNO B</v>
      </c>
      <c r="B18" s="5">
        <f ca="1">IFERROR(__xludf.DUMMYFUNCTION("""COMPUTED_VALUE"""),23902706)</f>
        <v>23902706</v>
      </c>
      <c r="C18" s="14">
        <f ca="1">IFERROR(__xludf.DUMMYFUNCTION("""COMPUTED_VALUE"""),45355)</f>
        <v>45355</v>
      </c>
      <c r="D18" s="5" t="str">
        <f ca="1">IFERROR(__xludf.DUMMYFUNCTION("""COMPUTED_VALUE"""),"Transportador de botella llenas")</f>
        <v>Transportador de botella llenas</v>
      </c>
      <c r="E18" s="5">
        <f ca="1">IFERROR(__xludf.DUMMYFUNCTION("""COMPUTED_VALUE"""),0.2)</f>
        <v>0.2</v>
      </c>
      <c r="F18" s="15">
        <f ca="1">IFERROR(__xludf.DUMMYFUNCTION("""COMPUTED_VALUE"""),0.6875)</f>
        <v>0.6875</v>
      </c>
      <c r="G18" s="15">
        <f ca="1">IFERROR(__xludf.DUMMYFUNCTION("""COMPUTED_VALUE"""),0.695833333333333)</f>
        <v>0.69583333333333297</v>
      </c>
      <c r="H18" s="5" t="str">
        <f ca="1">IFERROR(__xludf.DUMMYFUNCTION("""COMPUTED_VALUE"""),"LINE 8")</f>
        <v>LINE 8</v>
      </c>
      <c r="I18" s="5">
        <f ca="1">IFERROR(__xludf.DUMMYFUNCTION("""COMPUTED_VALUE"""),20009758)</f>
        <v>20009758</v>
      </c>
      <c r="J18" s="5" t="str">
        <f ca="1">IFERROR(__xludf.DUMMYFUNCTION("""COMPUTED_VALUE"""),"TRANSPORTADORES DE BOTELLAS LLENAS")</f>
        <v>TRANSPORTADORES DE BOTELLAS LLENAS</v>
      </c>
      <c r="K18" s="5" t="str">
        <f ca="1">IFERROR(__xludf.DUMMYFUNCTION("""COMPUTED_VALUE"""),"Franco Castillo Brayan Steven")</f>
        <v>Franco Castillo Brayan Steven</v>
      </c>
    </row>
    <row r="19" spans="1:11" ht="13.2">
      <c r="A19" s="5" t="str">
        <f ca="1">IFERROR(__xludf.DUMMYFUNCTION("""COMPUTED_VALUE"""),"TURNO C")</f>
        <v>TURNO C</v>
      </c>
      <c r="B19" s="5">
        <f ca="1">IFERROR(__xludf.DUMMYFUNCTION("""COMPUTED_VALUE"""),23903302)</f>
        <v>23903302</v>
      </c>
      <c r="C19" s="14">
        <f ca="1">IFERROR(__xludf.DUMMYFUNCTION("""COMPUTED_VALUE"""),45355)</f>
        <v>45355</v>
      </c>
      <c r="D19" s="5" t="str">
        <f ca="1">IFERROR(__xludf.DUMMYFUNCTION("""COMPUTED_VALUE"""),"Estrellamiento de botellas")</f>
        <v>Estrellamiento de botellas</v>
      </c>
      <c r="E19" s="5">
        <f ca="1">IFERROR(__xludf.DUMMYFUNCTION("""COMPUTED_VALUE"""),0.2)</f>
        <v>0.2</v>
      </c>
      <c r="F19" s="15">
        <f ca="1">IFERROR(__xludf.DUMMYFUNCTION("""COMPUTED_VALUE"""),0.920138888888888)</f>
        <v>0.92013888888888795</v>
      </c>
      <c r="G19" s="15">
        <f ca="1">IFERROR(__xludf.DUMMYFUNCTION("""COMPUTED_VALUE"""),0.928472222222222)</f>
        <v>0.92847222222222203</v>
      </c>
      <c r="H19" s="5" t="str">
        <f ca="1">IFERROR(__xludf.DUMMYFUNCTION("""COMPUTED_VALUE"""),"LINE 8")</f>
        <v>LINE 8</v>
      </c>
      <c r="I19" s="5">
        <f ca="1">IFERROR(__xludf.DUMMYFUNCTION("""COMPUTED_VALUE"""),20010206)</f>
        <v>20010206</v>
      </c>
      <c r="J19" s="5" t="str">
        <f ca="1">IFERROR(__xludf.DUMMYFUNCTION("""COMPUTED_VALUE"""),"ESTERILIZADOR DE TAPAS")</f>
        <v>ESTERILIZADOR DE TAPAS</v>
      </c>
      <c r="K19" s="5" t="str">
        <f ca="1">IFERROR(__xludf.DUMMYFUNCTION("""COMPUTED_VALUE"""),"Vanegas Guependo Hermes")</f>
        <v>Vanegas Guependo Hermes</v>
      </c>
    </row>
    <row r="20" spans="1:11" ht="13.2">
      <c r="A20" s="5" t="str">
        <f ca="1">IFERROR(__xludf.DUMMYFUNCTION("""COMPUTED_VALUE"""),"TURNO C")</f>
        <v>TURNO C</v>
      </c>
      <c r="B20" s="5">
        <f ca="1">IFERROR(__xludf.DUMMYFUNCTION("""COMPUTED_VALUE"""),23903307)</f>
        <v>23903307</v>
      </c>
      <c r="C20" s="14">
        <f ca="1">IFERROR(__xludf.DUMMYFUNCTION("""COMPUTED_VALUE"""),45355)</f>
        <v>45355</v>
      </c>
      <c r="D20" s="5" t="str">
        <f ca="1">IFERROR(__xludf.DUMMYFUNCTION("""COMPUTED_VALUE"""),"Estrellamiento de botellas")</f>
        <v>Estrellamiento de botellas</v>
      </c>
      <c r="E20" s="5">
        <f ca="1">IFERROR(__xludf.DUMMYFUNCTION("""COMPUTED_VALUE"""),0.25)</f>
        <v>0.25</v>
      </c>
      <c r="F20" s="15">
        <f ca="1">IFERROR(__xludf.DUMMYFUNCTION("""COMPUTED_VALUE"""),0.0173611111111111)</f>
        <v>1.7361111111111101E-2</v>
      </c>
      <c r="G20" s="15">
        <f ca="1">IFERROR(__xludf.DUMMYFUNCTION("""COMPUTED_VALUE"""),0.0277777777777777)</f>
        <v>2.77777777777777E-2</v>
      </c>
      <c r="H20" s="5" t="str">
        <f ca="1">IFERROR(__xludf.DUMMYFUNCTION("""COMPUTED_VALUE"""),"LINE 8")</f>
        <v>LINE 8</v>
      </c>
      <c r="I20" s="5">
        <f ca="1">IFERROR(__xludf.DUMMYFUNCTION("""COMPUTED_VALUE"""),20010206)</f>
        <v>20010206</v>
      </c>
      <c r="J20" s="5" t="str">
        <f ca="1">IFERROR(__xludf.DUMMYFUNCTION("""COMPUTED_VALUE"""),"ESTERILIZADOR DE TAPAS")</f>
        <v>ESTERILIZADOR DE TAPAS</v>
      </c>
      <c r="K20" s="5" t="str">
        <f ca="1">IFERROR(__xludf.DUMMYFUNCTION("""COMPUTED_VALUE"""),"Vanegas Guependo Hermes")</f>
        <v>Vanegas Guependo Hermes</v>
      </c>
    </row>
    <row r="21" spans="1:11" ht="13.2">
      <c r="A21" s="5" t="str">
        <f ca="1">IFERROR(__xludf.DUMMYFUNCTION("""COMPUTED_VALUE"""),"TURNO A")</f>
        <v>TURNO A</v>
      </c>
      <c r="B21" s="5">
        <f ca="1">IFERROR(__xludf.DUMMYFUNCTION("""COMPUTED_VALUE"""),23904182)</f>
        <v>23904182</v>
      </c>
      <c r="C21" s="14">
        <f ca="1">IFERROR(__xludf.DUMMYFUNCTION("""COMPUTED_VALUE"""),45356)</f>
        <v>45356</v>
      </c>
      <c r="D21" s="5" t="str">
        <f ca="1">IFERROR(__xludf.DUMMYFUNCTION("""COMPUTED_VALUE"""),"Caída Botellas")</f>
        <v>Caída Botellas</v>
      </c>
      <c r="E21" s="5">
        <f ca="1">IFERROR(__xludf.DUMMYFUNCTION("""COMPUTED_VALUE"""),0.23)</f>
        <v>0.23</v>
      </c>
      <c r="F21" s="15">
        <f ca="1">IFERROR(__xludf.DUMMYFUNCTION("""COMPUTED_VALUE"""),0.3125)</f>
        <v>0.3125</v>
      </c>
      <c r="G21" s="15">
        <f ca="1">IFERROR(__xludf.DUMMYFUNCTION("""COMPUTED_VALUE"""),0.322222222222222)</f>
        <v>0.32222222222222202</v>
      </c>
      <c r="H21" s="5" t="str">
        <f ca="1">IFERROR(__xludf.DUMMYFUNCTION("""COMPUTED_VALUE"""),"LINE 8")</f>
        <v>LINE 8</v>
      </c>
      <c r="I21" s="5"/>
      <c r="J21" s="5" t="str">
        <f ca="1">IFERROR(__xludf.DUMMYFUNCTION("""COMPUTED_VALUE"""),"TRANSPORTADORES DE BOTELLAS LLENAS")</f>
        <v>TRANSPORTADORES DE BOTELLAS LLENAS</v>
      </c>
      <c r="K21" s="5" t="str">
        <f ca="1">IFERROR(__xludf.DUMMYFUNCTION("""COMPUTED_VALUE"""),"BLANCO")</f>
        <v>BLANCO</v>
      </c>
    </row>
    <row r="22" spans="1:11" ht="13.2">
      <c r="A22" s="5" t="str">
        <f ca="1">IFERROR(__xludf.DUMMYFUNCTION("""COMPUTED_VALUE"""),"TURNO A")</f>
        <v>TURNO A</v>
      </c>
      <c r="B22" s="5">
        <f ca="1">IFERROR(__xludf.DUMMYFUNCTION("""COMPUTED_VALUE"""),23904183)</f>
        <v>23904183</v>
      </c>
      <c r="C22" s="14">
        <f ca="1">IFERROR(__xludf.DUMMYFUNCTION("""COMPUTED_VALUE"""),45356)</f>
        <v>45356</v>
      </c>
      <c r="D22" s="5" t="str">
        <f ca="1">IFERROR(__xludf.DUMMYFUNCTION("""COMPUTED_VALUE"""),"Caida de botellas")</f>
        <v>Caida de botellas</v>
      </c>
      <c r="E22" s="5">
        <f ca="1">IFERROR(__xludf.DUMMYFUNCTION("""COMPUTED_VALUE"""),0.22)</f>
        <v>0.22</v>
      </c>
      <c r="F22" s="15">
        <f ca="1">IFERROR(__xludf.DUMMYFUNCTION("""COMPUTED_VALUE"""),0.340277777777777)</f>
        <v>0.34027777777777701</v>
      </c>
      <c r="G22" s="15">
        <f ca="1">IFERROR(__xludf.DUMMYFUNCTION("""COMPUTED_VALUE"""),0.349305555555555)</f>
        <v>0.34930555555555498</v>
      </c>
      <c r="H22" s="5" t="str">
        <f ca="1">IFERROR(__xludf.DUMMYFUNCTION("""COMPUTED_VALUE"""),"LINE 8")</f>
        <v>LINE 8</v>
      </c>
      <c r="I22" s="5"/>
      <c r="J22" s="5" t="str">
        <f ca="1">IFERROR(__xludf.DUMMYFUNCTION("""COMPUTED_VALUE"""),"TRANSPORTADORES DE BOTELLAS LLENAS")</f>
        <v>TRANSPORTADORES DE BOTELLAS LLENAS</v>
      </c>
      <c r="K22" s="5" t="str">
        <f ca="1">IFERROR(__xludf.DUMMYFUNCTION("""COMPUTED_VALUE"""),"BLANCO")</f>
        <v>BLANCO</v>
      </c>
    </row>
    <row r="23" spans="1:11" ht="13.2">
      <c r="A23" s="5" t="str">
        <f ca="1">IFERROR(__xludf.DUMMYFUNCTION("""COMPUTED_VALUE"""),"TURNO A")</f>
        <v>TURNO A</v>
      </c>
      <c r="B23" s="5">
        <f ca="1">IFERROR(__xludf.DUMMYFUNCTION("""COMPUTED_VALUE"""),23904506)</f>
        <v>23904506</v>
      </c>
      <c r="C23" s="14">
        <f ca="1">IFERROR(__xludf.DUMMYFUNCTION("""COMPUTED_VALUE"""),45356)</f>
        <v>45356</v>
      </c>
      <c r="D23" s="5" t="str">
        <f ca="1">IFERROR(__xludf.DUMMYFUNCTION("""COMPUTED_VALUE"""),"Falla en bomba de cooler")</f>
        <v>Falla en bomba de cooler</v>
      </c>
      <c r="E23" s="5">
        <f ca="1">IFERROR(__xludf.DUMMYFUNCTION("""COMPUTED_VALUE"""),1.1)</f>
        <v>1.1000000000000001</v>
      </c>
      <c r="F23" s="15">
        <f ca="1">IFERROR(__xludf.DUMMYFUNCTION("""COMPUTED_VALUE"""),0.508333333333333)</f>
        <v>0.50833333333333297</v>
      </c>
      <c r="G23" s="15">
        <f ca="1">IFERROR(__xludf.DUMMYFUNCTION("""COMPUTED_VALUE"""),0.554166666666666)</f>
        <v>0.55416666666666603</v>
      </c>
      <c r="H23" s="5" t="str">
        <f ca="1">IFERROR(__xludf.DUMMYFUNCTION("""COMPUTED_VALUE"""),"LINE 8")</f>
        <v>LINE 8</v>
      </c>
      <c r="I23" s="5"/>
      <c r="J23" s="5" t="str">
        <f ca="1">IFERROR(__xludf.DUMMYFUNCTION("""COMPUTED_VALUE"""),"COOLER")</f>
        <v>COOLER</v>
      </c>
      <c r="K23" s="5" t="str">
        <f ca="1">IFERROR(__xludf.DUMMYFUNCTION("""COMPUTED_VALUE"""),"BLANCO")</f>
        <v>BLANCO</v>
      </c>
    </row>
    <row r="24" spans="1:11" ht="13.2">
      <c r="A24" s="5" t="str">
        <f ca="1">IFERROR(__xludf.DUMMYFUNCTION("""COMPUTED_VALUE"""),"TURNO B")</f>
        <v>TURNO B</v>
      </c>
      <c r="B24" s="5">
        <f ca="1">IFERROR(__xludf.DUMMYFUNCTION("""COMPUTED_VALUE"""),23904744)</f>
        <v>23904744</v>
      </c>
      <c r="C24" s="14">
        <f ca="1">IFERROR(__xludf.DUMMYFUNCTION("""COMPUTED_VALUE"""),45356)</f>
        <v>45356</v>
      </c>
      <c r="D24" s="5" t="str">
        <f ca="1">IFERROR(__xludf.DUMMYFUNCTION("""COMPUTED_VALUE"""),"Alimentador de preformas: atascamiento d")</f>
        <v>Alimentador de preformas: atascamiento d</v>
      </c>
      <c r="E24" s="5">
        <f ca="1">IFERROR(__xludf.DUMMYFUNCTION("""COMPUTED_VALUE"""),0.1)</f>
        <v>0.1</v>
      </c>
      <c r="F24" s="15">
        <f ca="1">IFERROR(__xludf.DUMMYFUNCTION("""COMPUTED_VALUE"""),0.652777777777777)</f>
        <v>0.65277777777777701</v>
      </c>
      <c r="G24" s="15">
        <f ca="1">IFERROR(__xludf.DUMMYFUNCTION("""COMPUTED_VALUE"""),0.656944444444444)</f>
        <v>0.656944444444444</v>
      </c>
      <c r="H24" s="5" t="str">
        <f ca="1">IFERROR(__xludf.DUMMYFUNCTION("""COMPUTED_VALUE"""),"LINE 8")</f>
        <v>LINE 8</v>
      </c>
      <c r="I24" s="5"/>
      <c r="J24" s="5" t="str">
        <f ca="1">IFERROR(__xludf.DUMMYFUNCTION("""COMPUTED_VALUE"""),"Alimentador de preformas")</f>
        <v>Alimentador de preformas</v>
      </c>
      <c r="K24" s="5" t="str">
        <f ca="1">IFERROR(__xludf.DUMMYFUNCTION("""COMPUTED_VALUE"""),"BLANCO")</f>
        <v>BLANCO</v>
      </c>
    </row>
    <row r="25" spans="1:11" ht="13.2">
      <c r="A25" s="5" t="str">
        <f ca="1">IFERROR(__xludf.DUMMYFUNCTION("""COMPUTED_VALUE"""),"TURNO C")</f>
        <v>TURNO C</v>
      </c>
      <c r="B25" s="5">
        <f ca="1">IFERROR(__xludf.DUMMYFUNCTION("""COMPUTED_VALUE"""),23905611)</f>
        <v>23905611</v>
      </c>
      <c r="C25" s="14">
        <f ca="1">IFERROR(__xludf.DUMMYFUNCTION("""COMPUTED_VALUE"""),45356)</f>
        <v>45356</v>
      </c>
      <c r="D25" s="5" t="str">
        <f ca="1">IFERROR(__xludf.DUMMYFUNCTION("""COMPUTED_VALUE"""),"Botellas con bajo contenido.")</f>
        <v>Botellas con bajo contenido.</v>
      </c>
      <c r="E25" s="5">
        <f ca="1">IFERROR(__xludf.DUMMYFUNCTION("""COMPUTED_VALUE"""),2.98)</f>
        <v>2.98</v>
      </c>
      <c r="F25" s="15">
        <f ca="1">IFERROR(__xludf.DUMMYFUNCTION("""COMPUTED_VALUE"""),0.0326388888888888)</f>
        <v>3.2638888888888801E-2</v>
      </c>
      <c r="G25" s="15">
        <f ca="1">IFERROR(__xludf.DUMMYFUNCTION("""COMPUTED_VALUE"""),0.156944444444444)</f>
        <v>0.156944444444444</v>
      </c>
      <c r="H25" s="5" t="str">
        <f ca="1">IFERROR(__xludf.DUMMYFUNCTION("""COMPUTED_VALUE"""),"LINE 8")</f>
        <v>LINE 8</v>
      </c>
      <c r="I25" s="5">
        <f ca="1">IFERROR(__xludf.DUMMYFUNCTION("""COMPUTED_VALUE"""),20010206)</f>
        <v>20010206</v>
      </c>
      <c r="J25" s="5" t="str">
        <f ca="1">IFERROR(__xludf.DUMMYFUNCTION("""COMPUTED_VALUE"""),"FALLA DE LLENADO")</f>
        <v>FALLA DE LLENADO</v>
      </c>
      <c r="K25" s="5" t="str">
        <f ca="1">IFERROR(__xludf.DUMMYFUNCTION("""COMPUTED_VALUE"""),"Vanegas Guependo Hermes")</f>
        <v>Vanegas Guependo Hermes</v>
      </c>
    </row>
    <row r="26" spans="1:11" ht="13.2">
      <c r="A26" s="5" t="str">
        <f ca="1">IFERROR(__xludf.DUMMYFUNCTION("""COMPUTED_VALUE"""),"TURNO A")</f>
        <v>TURNO A</v>
      </c>
      <c r="B26" s="5">
        <f ca="1">IFERROR(__xludf.DUMMYFUNCTION("""COMPUTED_VALUE"""),23906778)</f>
        <v>23906778</v>
      </c>
      <c r="C26" s="14">
        <f ca="1">IFERROR(__xludf.DUMMYFUNCTION("""COMPUTED_VALUE"""),45357)</f>
        <v>45357</v>
      </c>
      <c r="D26" s="5" t="str">
        <f ca="1">IFERROR(__xludf.DUMMYFUNCTION("""COMPUTED_VALUE"""),"Fin de producción: Presion Vapor")</f>
        <v>Fin de producción: Presion Vapor</v>
      </c>
      <c r="E26" s="5">
        <f ca="1">IFERROR(__xludf.DUMMYFUNCTION("""COMPUTED_VALUE"""),1.95)</f>
        <v>1.95</v>
      </c>
      <c r="F26" s="15">
        <f ca="1">IFERROR(__xludf.DUMMYFUNCTION("""COMPUTED_VALUE"""),0.252083333333333)</f>
        <v>0.25208333333333299</v>
      </c>
      <c r="G26" s="15">
        <f ca="1">IFERROR(__xludf.DUMMYFUNCTION("""COMPUTED_VALUE"""),0.333333333333333)</f>
        <v>0.33333333333333298</v>
      </c>
      <c r="H26" s="5" t="str">
        <f ca="1">IFERROR(__xludf.DUMMYFUNCTION("""COMPUTED_VALUE"""),"LINE 8")</f>
        <v>LINE 8</v>
      </c>
      <c r="I26" s="5"/>
      <c r="J26" s="5" t="str">
        <f ca="1">IFERROR(__xludf.DUMMYFUNCTION("""COMPUTED_VALUE"""),"PASTEURIZADOR")</f>
        <v>PASTEURIZADOR</v>
      </c>
      <c r="K26" s="5" t="str">
        <f ca="1">IFERROR(__xludf.DUMMYFUNCTION("""COMPUTED_VALUE"""),"BLANCO")</f>
        <v>BLANCO</v>
      </c>
    </row>
    <row r="27" spans="1:11" ht="13.2">
      <c r="A27" s="5" t="str">
        <f ca="1">IFERROR(__xludf.DUMMYFUNCTION("""COMPUTED_VALUE"""),"TURNO B")</f>
        <v>TURNO B</v>
      </c>
      <c r="B27" s="5">
        <f ca="1">IFERROR(__xludf.DUMMYFUNCTION("""COMPUTED_VALUE"""),23907460)</f>
        <v>23907460</v>
      </c>
      <c r="C27" s="14">
        <f ca="1">IFERROR(__xludf.DUMMYFUNCTION("""COMPUTED_VALUE"""),45357)</f>
        <v>45357</v>
      </c>
      <c r="D27" s="5" t="str">
        <f ca="1">IFERROR(__xludf.DUMMYFUNCTION("""COMPUTED_VALUE"""),"Etiquetadora: botella con traslape super")</f>
        <v>Etiquetadora: botella con traslape super</v>
      </c>
      <c r="E27" s="5">
        <f ca="1">IFERROR(__xludf.DUMMYFUNCTION("""COMPUTED_VALUE"""),0.08)</f>
        <v>0.08</v>
      </c>
      <c r="F27" s="15">
        <f ca="1">IFERROR(__xludf.DUMMYFUNCTION("""COMPUTED_VALUE"""),0.715277777777777)</f>
        <v>0.71527777777777701</v>
      </c>
      <c r="G27" s="15">
        <f ca="1">IFERROR(__xludf.DUMMYFUNCTION("""COMPUTED_VALUE"""),0.71875)</f>
        <v>0.71875</v>
      </c>
      <c r="H27" s="5" t="str">
        <f ca="1">IFERROR(__xludf.DUMMYFUNCTION("""COMPUTED_VALUE"""),"LINE 8")</f>
        <v>LINE 8</v>
      </c>
      <c r="I27" s="5">
        <f ca="1">IFERROR(__xludf.DUMMYFUNCTION("""COMPUTED_VALUE"""),20009954)</f>
        <v>20009954</v>
      </c>
      <c r="J27" s="5" t="str">
        <f ca="1">IFERROR(__xludf.DUMMYFUNCTION("""COMPUTED_VALUE"""),"ETIQUETADORA ENVOLVENTE")</f>
        <v>ETIQUETADORA ENVOLVENTE</v>
      </c>
      <c r="K27" s="5" t="str">
        <f ca="1">IFERROR(__xludf.DUMMYFUNCTION("""COMPUTED_VALUE"""),"Martinez Peña Brandon Stewar")</f>
        <v>Martinez Peña Brandon Stewar</v>
      </c>
    </row>
    <row r="28" spans="1:11" ht="13.2">
      <c r="A28" s="5" t="str">
        <f ca="1">IFERROR(__xludf.DUMMYFUNCTION("""COMPUTED_VALUE"""),"TURNO B")</f>
        <v>TURNO B</v>
      </c>
      <c r="B28" s="5">
        <f ca="1">IFERROR(__xludf.DUMMYFUNCTION("""COMPUTED_VALUE"""),23907482)</f>
        <v>23907482</v>
      </c>
      <c r="C28" s="14">
        <f ca="1">IFERROR(__xludf.DUMMYFUNCTION("""COMPUTED_VALUE"""),45357)</f>
        <v>45357</v>
      </c>
      <c r="D28" s="5" t="str">
        <f ca="1">IFERROR(__xludf.DUMMYFUNCTION("""COMPUTED_VALUE"""),"Transportador de botellas llenas")</f>
        <v>Transportador de botellas llenas</v>
      </c>
      <c r="E28" s="5">
        <f ca="1">IFERROR(__xludf.DUMMYFUNCTION("""COMPUTED_VALUE"""),0.25)</f>
        <v>0.25</v>
      </c>
      <c r="F28" s="15">
        <f ca="1">IFERROR(__xludf.DUMMYFUNCTION("""COMPUTED_VALUE"""),0.652777777777777)</f>
        <v>0.65277777777777701</v>
      </c>
      <c r="G28" s="15">
        <f ca="1">IFERROR(__xludf.DUMMYFUNCTION("""COMPUTED_VALUE"""),0.663194444444444)</f>
        <v>0.66319444444444398</v>
      </c>
      <c r="H28" s="5" t="str">
        <f ca="1">IFERROR(__xludf.DUMMYFUNCTION("""COMPUTED_VALUE"""),"LINE 8")</f>
        <v>LINE 8</v>
      </c>
      <c r="I28" s="5">
        <f ca="1">IFERROR(__xludf.DUMMYFUNCTION("""COMPUTED_VALUE"""),20009758)</f>
        <v>20009758</v>
      </c>
      <c r="J28" s="5" t="str">
        <f ca="1">IFERROR(__xludf.DUMMYFUNCTION("""COMPUTED_VALUE"""),"TRANSPORTADORES DE BOTELLAS LLENAS")</f>
        <v>TRANSPORTADORES DE BOTELLAS LLENAS</v>
      </c>
      <c r="K28" s="5" t="str">
        <f ca="1">IFERROR(__xludf.DUMMYFUNCTION("""COMPUTED_VALUE"""),"Franco Castillo Brayan Steven")</f>
        <v>Franco Castillo Brayan Steven</v>
      </c>
    </row>
    <row r="29" spans="1:11" ht="13.2">
      <c r="A29" s="5" t="str">
        <f ca="1">IFERROR(__xludf.DUMMYFUNCTION("""COMPUTED_VALUE"""),"TURNO B")</f>
        <v>TURNO B</v>
      </c>
      <c r="B29" s="5">
        <f ca="1">IFERROR(__xludf.DUMMYFUNCTION("""COMPUTED_VALUE"""),23907533)</f>
        <v>23907533</v>
      </c>
      <c r="C29" s="14">
        <f ca="1">IFERROR(__xludf.DUMMYFUNCTION("""COMPUTED_VALUE"""),45357)</f>
        <v>45357</v>
      </c>
      <c r="D29" s="5" t="str">
        <f ca="1">IFERROR(__xludf.DUMMYFUNCTION("""COMPUTED_VALUE"""),"Enfardadora")</f>
        <v>Enfardadora</v>
      </c>
      <c r="E29" s="5">
        <f ca="1">IFERROR(__xludf.DUMMYFUNCTION("""COMPUTED_VALUE"""),0.15)</f>
        <v>0.15</v>
      </c>
      <c r="F29" s="15">
        <f ca="1">IFERROR(__xludf.DUMMYFUNCTION("""COMPUTED_VALUE"""),0.743055555555555)</f>
        <v>0.74305555555555503</v>
      </c>
      <c r="G29" s="15">
        <f ca="1">IFERROR(__xludf.DUMMYFUNCTION("""COMPUTED_VALUE"""),0.749305555555555)</f>
        <v>0.749305555555555</v>
      </c>
      <c r="H29" s="5" t="str">
        <f ca="1">IFERROR(__xludf.DUMMYFUNCTION("""COMPUTED_VALUE"""),"LINE 8")</f>
        <v>LINE 8</v>
      </c>
      <c r="I29" s="5">
        <f ca="1">IFERROR(__xludf.DUMMYFUNCTION("""COMPUTED_VALUE"""),20009942)</f>
        <v>20009942</v>
      </c>
      <c r="J29" s="5" t="str">
        <f ca="1">IFERROR(__xludf.DUMMYFUNCTION("""COMPUTED_VALUE"""),"ENFARDADORA")</f>
        <v>ENFARDADORA</v>
      </c>
      <c r="K29" s="5" t="str">
        <f ca="1">IFERROR(__xludf.DUMMYFUNCTION("""COMPUTED_VALUE"""),"Osver Martinez")</f>
        <v>Osver Martinez</v>
      </c>
    </row>
    <row r="30" spans="1:11" ht="13.2">
      <c r="A30" s="5" t="str">
        <f ca="1">IFERROR(__xludf.DUMMYFUNCTION("""COMPUTED_VALUE"""),"TURNO B")</f>
        <v>TURNO B</v>
      </c>
      <c r="B30" s="5">
        <f ca="1">IFERROR(__xludf.DUMMYFUNCTION("""COMPUTED_VALUE"""),23907602)</f>
        <v>23907602</v>
      </c>
      <c r="C30" s="14">
        <f ca="1">IFERROR(__xludf.DUMMYFUNCTION("""COMPUTED_VALUE"""),45357)</f>
        <v>45357</v>
      </c>
      <c r="D30" s="5" t="str">
        <f ca="1">IFERROR(__xludf.DUMMYFUNCTION("""COMPUTED_VALUE"""),"Enfardadora")</f>
        <v>Enfardadora</v>
      </c>
      <c r="E30" s="5">
        <f ca="1">IFERROR(__xludf.DUMMYFUNCTION("""COMPUTED_VALUE"""),0.2)</f>
        <v>0.2</v>
      </c>
      <c r="F30" s="15">
        <f ca="1">IFERROR(__xludf.DUMMYFUNCTION("""COMPUTED_VALUE"""),0.866666666666666)</f>
        <v>0.86666666666666603</v>
      </c>
      <c r="G30" s="15">
        <f ca="1">IFERROR(__xludf.DUMMYFUNCTION("""COMPUTED_VALUE"""),0.875)</f>
        <v>0.875</v>
      </c>
      <c r="H30" s="5" t="str">
        <f ca="1">IFERROR(__xludf.DUMMYFUNCTION("""COMPUTED_VALUE"""),"LINE 8")</f>
        <v>LINE 8</v>
      </c>
      <c r="I30" s="5">
        <f ca="1">IFERROR(__xludf.DUMMYFUNCTION("""COMPUTED_VALUE"""),20009942)</f>
        <v>20009942</v>
      </c>
      <c r="J30" s="5" t="str">
        <f ca="1">IFERROR(__xludf.DUMMYFUNCTION("""COMPUTED_VALUE"""),"ENFARDADORA")</f>
        <v>ENFARDADORA</v>
      </c>
      <c r="K30" s="5" t="str">
        <f ca="1">IFERROR(__xludf.DUMMYFUNCTION("""COMPUTED_VALUE"""),"Osver Martinez")</f>
        <v>Osver Martinez</v>
      </c>
    </row>
    <row r="31" spans="1:11" ht="13.2">
      <c r="A31" s="5" t="str">
        <f ca="1">IFERROR(__xludf.DUMMYFUNCTION("""COMPUTED_VALUE"""),"TURNO C")</f>
        <v>TURNO C</v>
      </c>
      <c r="B31" s="5">
        <f ca="1">IFERROR(__xludf.DUMMYFUNCTION("""COMPUTED_VALUE"""),23907715)</f>
        <v>23907715</v>
      </c>
      <c r="C31" s="14">
        <f ca="1">IFERROR(__xludf.DUMMYFUNCTION("""COMPUTED_VALUE"""),45357)</f>
        <v>45357</v>
      </c>
      <c r="D31" s="5" t="str">
        <f ca="1">IFERROR(__xludf.DUMMYFUNCTION("""COMPUTED_VALUE"""),"Se apaga pantalla PLC de calderas.")</f>
        <v>Se apaga pantalla PLC de calderas.</v>
      </c>
      <c r="E31" s="5">
        <f ca="1">IFERROR(__xludf.DUMMYFUNCTION("""COMPUTED_VALUE"""),1.18)</f>
        <v>1.18</v>
      </c>
      <c r="F31" s="15">
        <f ca="1">IFERROR(__xludf.DUMMYFUNCTION("""COMPUTED_VALUE"""),0.933333333333333)</f>
        <v>0.93333333333333302</v>
      </c>
      <c r="G31" s="15">
        <f ca="1">IFERROR(__xludf.DUMMYFUNCTION("""COMPUTED_VALUE"""),0.982638888888888)</f>
        <v>0.98263888888888795</v>
      </c>
      <c r="H31" s="5" t="str">
        <f ca="1">IFERROR(__xludf.DUMMYFUNCTION("""COMPUTED_VALUE"""),"LINE 8")</f>
        <v>LINE 8</v>
      </c>
      <c r="I31" s="5"/>
      <c r="J31" s="5" t="str">
        <f ca="1">IFERROR(__xludf.DUMMYFUNCTION("""COMPUTED_VALUE"""),"SUMINISTRO VAPOR")</f>
        <v>SUMINISTRO VAPOR</v>
      </c>
      <c r="K31" s="5" t="str">
        <f ca="1">IFERROR(__xludf.DUMMYFUNCTION("""COMPUTED_VALUE"""),"BLANCO")</f>
        <v>BLANCO</v>
      </c>
    </row>
    <row r="32" spans="1:11" ht="13.2">
      <c r="A32" s="5" t="str">
        <f ca="1">IFERROR(__xludf.DUMMYFUNCTION("""COMPUTED_VALUE"""),"TURNO A")</f>
        <v>TURNO A</v>
      </c>
      <c r="B32" s="5">
        <f ca="1">IFERROR(__xludf.DUMMYFUNCTION("""COMPUTED_VALUE"""),23908638)</f>
        <v>23908638</v>
      </c>
      <c r="C32" s="14">
        <f ca="1">IFERROR(__xludf.DUMMYFUNCTION("""COMPUTED_VALUE"""),45358)</f>
        <v>45358</v>
      </c>
      <c r="D32" s="5" t="str">
        <f ca="1">IFERROR(__xludf.DUMMYFUNCTION("""COMPUTED_VALUE"""),"Atascamiento rollo enfardadora")</f>
        <v>Atascamiento rollo enfardadora</v>
      </c>
      <c r="E32" s="5">
        <f ca="1">IFERROR(__xludf.DUMMYFUNCTION("""COMPUTED_VALUE"""),0.28)</f>
        <v>0.28000000000000003</v>
      </c>
      <c r="F32" s="15">
        <f ca="1">IFERROR(__xludf.DUMMYFUNCTION("""COMPUTED_VALUE"""),0.345138888888888)</f>
        <v>0.345138888888888</v>
      </c>
      <c r="G32" s="15">
        <f ca="1">IFERROR(__xludf.DUMMYFUNCTION("""COMPUTED_VALUE"""),0.356944444444444)</f>
        <v>0.35694444444444401</v>
      </c>
      <c r="H32" s="5" t="str">
        <f ca="1">IFERROR(__xludf.DUMMYFUNCTION("""COMPUTED_VALUE"""),"LINE 8")</f>
        <v>LINE 8</v>
      </c>
      <c r="I32" s="5">
        <f ca="1">IFERROR(__xludf.DUMMYFUNCTION("""COMPUTED_VALUE"""),20075520)</f>
        <v>20075520</v>
      </c>
      <c r="J32" s="5" t="str">
        <f ca="1">IFERROR(__xludf.DUMMYFUNCTION("""COMPUTED_VALUE"""),"ENFARDADORA")</f>
        <v>ENFARDADORA</v>
      </c>
      <c r="K32" s="5" t="str">
        <f ca="1">IFERROR(__xludf.DUMMYFUNCTION("""COMPUTED_VALUE"""),"Andres Mesa")</f>
        <v>Andres Mesa</v>
      </c>
    </row>
    <row r="33" spans="1:11" ht="13.2">
      <c r="A33" s="5" t="str">
        <f ca="1">IFERROR(__xludf.DUMMYFUNCTION("""COMPUTED_VALUE"""),"TURNO B")</f>
        <v>TURNO B</v>
      </c>
      <c r="B33" s="5">
        <f ca="1">IFERROR(__xludf.DUMMYFUNCTION("""COMPUTED_VALUE"""),23909191)</f>
        <v>23909191</v>
      </c>
      <c r="C33" s="14">
        <f ca="1">IFERROR(__xludf.DUMMYFUNCTION("""COMPUTED_VALUE"""),45358)</f>
        <v>45358</v>
      </c>
      <c r="D33" s="5" t="str">
        <f ca="1">IFERROR(__xludf.DUMMYFUNCTION("""COMPUTED_VALUE"""),"Botella sin Nitrogeno")</f>
        <v>Botella sin Nitrogeno</v>
      </c>
      <c r="E33" s="5">
        <f ca="1">IFERROR(__xludf.DUMMYFUNCTION("""COMPUTED_VALUE"""),0.48)</f>
        <v>0.48</v>
      </c>
      <c r="F33" s="15">
        <f ca="1">IFERROR(__xludf.DUMMYFUNCTION("""COMPUTED_VALUE"""),0.586805555555555)</f>
        <v>0.58680555555555503</v>
      </c>
      <c r="G33" s="15">
        <f ca="1">IFERROR(__xludf.DUMMYFUNCTION("""COMPUTED_VALUE"""),0.606944444444444)</f>
        <v>0.60694444444444395</v>
      </c>
      <c r="H33" s="5" t="str">
        <f ca="1">IFERROR(__xludf.DUMMYFUNCTION("""COMPUTED_VALUE"""),"LINE 8")</f>
        <v>LINE 8</v>
      </c>
      <c r="I33" s="5">
        <f ca="1">IFERROR(__xludf.DUMMYFUNCTION("""COMPUTED_VALUE"""),20009758)</f>
        <v>20009758</v>
      </c>
      <c r="J33" s="5" t="str">
        <f ca="1">IFERROR(__xludf.DUMMYFUNCTION("""COMPUTED_VALUE"""),"FALLA DOSIFICADOR NITROGENO")</f>
        <v>FALLA DOSIFICADOR NITROGENO</v>
      </c>
      <c r="K33" s="5" t="str">
        <f ca="1">IFERROR(__xludf.DUMMYFUNCTION("""COMPUTED_VALUE"""),"Franco Castillo Brayan Steven")</f>
        <v>Franco Castillo Brayan Steven</v>
      </c>
    </row>
    <row r="34" spans="1:11" ht="13.2">
      <c r="A34" s="5" t="str">
        <f ca="1">IFERROR(__xludf.DUMMYFUNCTION("""COMPUTED_VALUE"""),"TURNO B")</f>
        <v>TURNO B</v>
      </c>
      <c r="B34" s="5">
        <f ca="1">IFERROR(__xludf.DUMMYFUNCTION("""COMPUTED_VALUE"""),23909642)</f>
        <v>23909642</v>
      </c>
      <c r="C34" s="14">
        <f ca="1">IFERROR(__xludf.DUMMYFUNCTION("""COMPUTED_VALUE"""),45358)</f>
        <v>45358</v>
      </c>
      <c r="D34" s="5" t="str">
        <f ca="1">IFERROR(__xludf.DUMMYFUNCTION("""COMPUTED_VALUE"""),"Dosificador de nitrogeno")</f>
        <v>Dosificador de nitrogeno</v>
      </c>
      <c r="E34" s="5">
        <f ca="1">IFERROR(__xludf.DUMMYFUNCTION("""COMPUTED_VALUE"""),0.23)</f>
        <v>0.23</v>
      </c>
      <c r="F34" s="15">
        <f ca="1">IFERROR(__xludf.DUMMYFUNCTION("""COMPUTED_VALUE"""),0.6875)</f>
        <v>0.6875</v>
      </c>
      <c r="G34" s="15">
        <f ca="1">IFERROR(__xludf.DUMMYFUNCTION("""COMPUTED_VALUE"""),0.697222222222222)</f>
        <v>0.69722222222222197</v>
      </c>
      <c r="H34" s="5" t="str">
        <f ca="1">IFERROR(__xludf.DUMMYFUNCTION("""COMPUTED_VALUE"""),"LINE 8")</f>
        <v>LINE 8</v>
      </c>
      <c r="I34" s="5">
        <f ca="1">IFERROR(__xludf.DUMMYFUNCTION("""COMPUTED_VALUE"""),20009758)</f>
        <v>20009758</v>
      </c>
      <c r="J34" s="5" t="str">
        <f ca="1">IFERROR(__xludf.DUMMYFUNCTION("""COMPUTED_VALUE"""),"FALLA DOSIFICADOR NITROGENO")</f>
        <v>FALLA DOSIFICADOR NITROGENO</v>
      </c>
      <c r="K34" s="5" t="str">
        <f ca="1">IFERROR(__xludf.DUMMYFUNCTION("""COMPUTED_VALUE"""),"Franco Castillo Brayan Steven")</f>
        <v>Franco Castillo Brayan Steven</v>
      </c>
    </row>
    <row r="35" spans="1:11" ht="13.2">
      <c r="A35" s="5" t="str">
        <f ca="1">IFERROR(__xludf.DUMMYFUNCTION("""COMPUTED_VALUE"""),"TURNO B")</f>
        <v>TURNO B</v>
      </c>
      <c r="B35" s="5">
        <f ca="1">IFERROR(__xludf.DUMMYFUNCTION("""COMPUTED_VALUE"""),23909719)</f>
        <v>23909719</v>
      </c>
      <c r="C35" s="14">
        <f ca="1">IFERROR(__xludf.DUMMYFUNCTION("""COMPUTED_VALUE"""),45358)</f>
        <v>45358</v>
      </c>
      <c r="D35" s="5" t="str">
        <f ca="1">IFERROR(__xludf.DUMMYFUNCTION("""COMPUTED_VALUE"""),"Enfardadora")</f>
        <v>Enfardadora</v>
      </c>
      <c r="E35" s="5">
        <f ca="1">IFERROR(__xludf.DUMMYFUNCTION("""COMPUTED_VALUE"""),0.28)</f>
        <v>0.28000000000000003</v>
      </c>
      <c r="F35" s="15">
        <f ca="1">IFERROR(__xludf.DUMMYFUNCTION("""COMPUTED_VALUE"""),0.772916666666666)</f>
        <v>0.77291666666666603</v>
      </c>
      <c r="G35" s="15">
        <f ca="1">IFERROR(__xludf.DUMMYFUNCTION("""COMPUTED_VALUE"""),0.784722222222222)</f>
        <v>0.78472222222222199</v>
      </c>
      <c r="H35" s="5" t="str">
        <f ca="1">IFERROR(__xludf.DUMMYFUNCTION("""COMPUTED_VALUE"""),"LINE 8")</f>
        <v>LINE 8</v>
      </c>
      <c r="I35" s="5"/>
      <c r="J35" s="5" t="str">
        <f ca="1">IFERROR(__xludf.DUMMYFUNCTION("""COMPUTED_VALUE"""),"ENFARDADORA")</f>
        <v>ENFARDADORA</v>
      </c>
      <c r="K35" s="5" t="str">
        <f ca="1">IFERROR(__xludf.DUMMYFUNCTION("""COMPUTED_VALUE"""),"BLANCO")</f>
        <v>BLANCO</v>
      </c>
    </row>
    <row r="36" spans="1:11" ht="13.2">
      <c r="A36" s="5" t="str">
        <f ca="1">IFERROR(__xludf.DUMMYFUNCTION("""COMPUTED_VALUE"""),"TURNO C")</f>
        <v>TURNO C</v>
      </c>
      <c r="B36" s="5">
        <f ca="1">IFERROR(__xludf.DUMMYFUNCTION("""COMPUTED_VALUE"""),23910299)</f>
        <v>23910299</v>
      </c>
      <c r="C36" s="14">
        <f ca="1">IFERROR(__xludf.DUMMYFUNCTION("""COMPUTED_VALUE"""),45358)</f>
        <v>45358</v>
      </c>
      <c r="D36" s="5" t="str">
        <f ca="1">IFERROR(__xludf.DUMMYFUNCTION("""COMPUTED_VALUE"""),"Daño en soporte de freno.")</f>
        <v>Daño en soporte de freno.</v>
      </c>
      <c r="E36" s="5">
        <f ca="1">IFERROR(__xludf.DUMMYFUNCTION("""COMPUTED_VALUE"""),1.48)</f>
        <v>1.48</v>
      </c>
      <c r="F36" s="15">
        <f ca="1">IFERROR(__xludf.DUMMYFUNCTION("""COMPUTED_VALUE"""),0.166666666666666)</f>
        <v>0.16666666666666599</v>
      </c>
      <c r="G36" s="15">
        <f ca="1">IFERROR(__xludf.DUMMYFUNCTION("""COMPUTED_VALUE"""),0.228472222222222)</f>
        <v>0.22847222222222199</v>
      </c>
      <c r="H36" s="5" t="str">
        <f ca="1">IFERROR(__xludf.DUMMYFUNCTION("""COMPUTED_VALUE"""),"LINE 8")</f>
        <v>LINE 8</v>
      </c>
      <c r="I36" s="5">
        <f ca="1">IFERROR(__xludf.DUMMYFUNCTION("""COMPUTED_VALUE"""),20031098)</f>
        <v>20031098</v>
      </c>
      <c r="J36" s="5" t="str">
        <f ca="1">IFERROR(__xludf.DUMMYFUNCTION("""COMPUTED_VALUE"""),"ENFARDADORA")</f>
        <v>ENFARDADORA</v>
      </c>
      <c r="K36" s="5" t="str">
        <f ca="1">IFERROR(__xludf.DUMMYFUNCTION("""COMPUTED_VALUE"""),"Jonathan Lopez")</f>
        <v>Jonathan Lopez</v>
      </c>
    </row>
    <row r="37" spans="1:11" ht="13.2">
      <c r="A37" s="5" t="str">
        <f ca="1">IFERROR(__xludf.DUMMYFUNCTION("""COMPUTED_VALUE"""),"TURNO A")</f>
        <v>TURNO A</v>
      </c>
      <c r="B37" s="5">
        <f ca="1">IFERROR(__xludf.DUMMYFUNCTION("""COMPUTED_VALUE"""),23911383)</f>
        <v>23911383</v>
      </c>
      <c r="C37" s="14">
        <f ca="1">IFERROR(__xludf.DUMMYFUNCTION("""COMPUTED_VALUE"""),45359)</f>
        <v>45359</v>
      </c>
      <c r="D37" s="5" t="str">
        <f ca="1">IFERROR(__xludf.DUMMYFUNCTION("""COMPUTED_VALUE"""),"se quema encoder")</f>
        <v>se quema encoder</v>
      </c>
      <c r="E37" s="5">
        <f ca="1">IFERROR(__xludf.DUMMYFUNCTION("""COMPUTED_VALUE"""),0.17)</f>
        <v>0.17</v>
      </c>
      <c r="F37" s="15">
        <f ca="1">IFERROR(__xludf.DUMMYFUNCTION("""COMPUTED_VALUE"""),0.25)</f>
        <v>0.25</v>
      </c>
      <c r="G37" s="15">
        <f ca="1">IFERROR(__xludf.DUMMYFUNCTION("""COMPUTED_VALUE"""),0.256944444444444)</f>
        <v>0.25694444444444398</v>
      </c>
      <c r="H37" s="5" t="str">
        <f ca="1">IFERROR(__xludf.DUMMYFUNCTION("""COMPUTED_VALUE"""),"LINE 8")</f>
        <v>LINE 8</v>
      </c>
      <c r="I37" s="5">
        <f ca="1">IFERROR(__xludf.DUMMYFUNCTION("""COMPUTED_VALUE"""),20075520)</f>
        <v>20075520</v>
      </c>
      <c r="J37" s="5" t="str">
        <f ca="1">IFERROR(__xludf.DUMMYFUNCTION("""COMPUTED_VALUE"""),"ENFARDADORA")</f>
        <v>ENFARDADORA</v>
      </c>
      <c r="K37" s="5" t="str">
        <f ca="1">IFERROR(__xludf.DUMMYFUNCTION("""COMPUTED_VALUE"""),"Andres Mesa")</f>
        <v>Andres Mesa</v>
      </c>
    </row>
    <row r="38" spans="1:11" ht="13.2">
      <c r="A38" s="5" t="str">
        <f ca="1">IFERROR(__xludf.DUMMYFUNCTION("""COMPUTED_VALUE"""),"TURNO A")</f>
        <v>TURNO A</v>
      </c>
      <c r="B38" s="5">
        <f ca="1">IFERROR(__xludf.DUMMYFUNCTION("""COMPUTED_VALUE"""),23911501)</f>
        <v>23911501</v>
      </c>
      <c r="C38" s="14">
        <f ca="1">IFERROR(__xludf.DUMMYFUNCTION("""COMPUTED_VALUE"""),45359)</f>
        <v>45359</v>
      </c>
      <c r="D38" s="5" t="str">
        <f ca="1">IFERROR(__xludf.DUMMYFUNCTION("""COMPUTED_VALUE"""),"Alto Nivel de Nitrógeno")</f>
        <v>Alto Nivel de Nitrógeno</v>
      </c>
      <c r="E38" s="5">
        <f ca="1">IFERROR(__xludf.DUMMYFUNCTION("""COMPUTED_VALUE"""),0.08)</f>
        <v>0.08</v>
      </c>
      <c r="F38" s="15">
        <f ca="1">IFERROR(__xludf.DUMMYFUNCTION("""COMPUTED_VALUE"""),0.559722222222222)</f>
        <v>0.55972222222222201</v>
      </c>
      <c r="G38" s="15">
        <f ca="1">IFERROR(__xludf.DUMMYFUNCTION("""COMPUTED_VALUE"""),0.563194444444444)</f>
        <v>0.563194444444444</v>
      </c>
      <c r="H38" s="5" t="str">
        <f ca="1">IFERROR(__xludf.DUMMYFUNCTION("""COMPUTED_VALUE"""),"LINE 8")</f>
        <v>LINE 8</v>
      </c>
      <c r="I38" s="5">
        <f ca="1">IFERROR(__xludf.DUMMYFUNCTION("""COMPUTED_VALUE"""),20079805)</f>
        <v>20079805</v>
      </c>
      <c r="J38" s="5" t="str">
        <f ca="1">IFERROR(__xludf.DUMMYFUNCTION("""COMPUTED_VALUE"""),"FALLA DOSIFICADOR NITROGENO")</f>
        <v>FALLA DOSIFICADOR NITROGENO</v>
      </c>
      <c r="K38" s="5" t="str">
        <f ca="1">IFERROR(__xludf.DUMMYFUNCTION("""COMPUTED_VALUE"""),"Jhonnys Fernandez")</f>
        <v>Jhonnys Fernandez</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K66"/>
  <sheetViews>
    <sheetView workbookViewId="0">
      <selection activeCell="K2" sqref="K2"/>
    </sheetView>
  </sheetViews>
  <sheetFormatPr baseColWidth="10" defaultColWidth="12.6640625" defaultRowHeight="15.75" customHeight="1"/>
  <sheetData>
    <row r="1" spans="1:11" ht="15.75" customHeight="1">
      <c r="A1" s="10" t="s">
        <v>6</v>
      </c>
      <c r="B1" s="11" t="s">
        <v>7</v>
      </c>
      <c r="C1" s="11" t="s">
        <v>8</v>
      </c>
      <c r="D1" s="11" t="s">
        <v>9</v>
      </c>
      <c r="E1" s="11" t="s">
        <v>10</v>
      </c>
      <c r="F1" s="11" t="s">
        <v>11</v>
      </c>
      <c r="G1" s="11" t="s">
        <v>12</v>
      </c>
      <c r="H1" s="11" t="s">
        <v>13</v>
      </c>
      <c r="I1" s="11" t="s">
        <v>14</v>
      </c>
      <c r="J1" s="11" t="s">
        <v>15</v>
      </c>
      <c r="K1" s="12" t="s">
        <v>4949</v>
      </c>
    </row>
    <row r="2" spans="1:11" ht="13.2">
      <c r="A2" s="5" t="str">
        <f ca="1">IFERROR(__xludf.DUMMYFUNCTION("FILTER(IW29EDITAR!A2:K1000,IW29EDITAR!H2:H1000=""LINE 10"")"),"TURNO A")</f>
        <v>TURNO A</v>
      </c>
      <c r="B2" s="5">
        <f ca="1">IFERROR(__xludf.DUMMYFUNCTION("""COMPUTED_VALUE"""),23898876)</f>
        <v>23898876</v>
      </c>
      <c r="C2" s="14">
        <f ca="1">IFERROR(__xludf.DUMMYFUNCTION("""COMPUTED_VALUE"""),45352)</f>
        <v>45352</v>
      </c>
      <c r="D2" s="5" t="str">
        <f ca="1">IFERROR(__xludf.DUMMYFUNCTION("""COMPUTED_VALUE"""),"Tapa atascada en bajante")</f>
        <v>Tapa atascada en bajante</v>
      </c>
      <c r="E2" s="5">
        <f ca="1">IFERROR(__xludf.DUMMYFUNCTION("""COMPUTED_VALUE"""),0.12)</f>
        <v>0.12</v>
      </c>
      <c r="F2" s="15">
        <f ca="1">IFERROR(__xludf.DUMMYFUNCTION("""COMPUTED_VALUE"""),0.46875)</f>
        <v>0.46875</v>
      </c>
      <c r="G2" s="15">
        <f ca="1">IFERROR(__xludf.DUMMYFUNCTION("""COMPUTED_VALUE"""),0.473611111111111)</f>
        <v>0.47361111111111098</v>
      </c>
      <c r="H2" s="5" t="str">
        <f ca="1">IFERROR(__xludf.DUMMYFUNCTION("""COMPUTED_VALUE"""),"LINE 10")</f>
        <v>LINE 10</v>
      </c>
      <c r="I2" s="5"/>
      <c r="J2" s="5" t="str">
        <f ca="1">IFERROR(__xludf.DUMMYFUNCTION("""COMPUTED_VALUE"""),"INSPECTOR TAPA")</f>
        <v>INSPECTOR TAPA</v>
      </c>
      <c r="K2" s="5" t="str">
        <f ca="1">IFERROR(__xludf.DUMMYFUNCTION("""COMPUTED_VALUE"""),"BLANCO")</f>
        <v>BLANCO</v>
      </c>
    </row>
    <row r="3" spans="1:11" ht="13.2">
      <c r="A3" s="5" t="str">
        <f ca="1">IFERROR(__xludf.DUMMYFUNCTION("""COMPUTED_VALUE"""),"TURNO A")</f>
        <v>TURNO A</v>
      </c>
      <c r="B3" s="5">
        <f ca="1">IFERROR(__xludf.DUMMYFUNCTION("""COMPUTED_VALUE"""),23898886)</f>
        <v>23898886</v>
      </c>
      <c r="C3" s="14">
        <f ca="1">IFERROR(__xludf.DUMMYFUNCTION("""COMPUTED_VALUE"""),45352)</f>
        <v>45352</v>
      </c>
      <c r="D3" s="5" t="str">
        <f ca="1">IFERROR(__xludf.DUMMYFUNCTION("""COMPUTED_VALUE"""),"Ajuste de proceso")</f>
        <v>Ajuste de proceso</v>
      </c>
      <c r="E3" s="5">
        <f ca="1">IFERROR(__xludf.DUMMYFUNCTION("""COMPUTED_VALUE"""),0.33)</f>
        <v>0.33</v>
      </c>
      <c r="F3" s="15">
        <f ca="1">IFERROR(__xludf.DUMMYFUNCTION("""COMPUTED_VALUE"""),0.53125)</f>
        <v>0.53125</v>
      </c>
      <c r="G3" s="15">
        <f ca="1">IFERROR(__xludf.DUMMYFUNCTION("""COMPUTED_VALUE"""),0.545138888888889)</f>
        <v>0.54513888888888895</v>
      </c>
      <c r="H3" s="5" t="str">
        <f ca="1">IFERROR(__xludf.DUMMYFUNCTION("""COMPUTED_VALUE"""),"LINE 10")</f>
        <v>LINE 10</v>
      </c>
      <c r="I3" s="5"/>
      <c r="J3" s="5" t="str">
        <f ca="1">IFERROR(__xludf.DUMMYFUNCTION("""COMPUTED_VALUE"""),"INSPECTOR TAPA")</f>
        <v>INSPECTOR TAPA</v>
      </c>
      <c r="K3" s="5" t="str">
        <f ca="1">IFERROR(__xludf.DUMMYFUNCTION("""COMPUTED_VALUE"""),"BLANCO")</f>
        <v>BLANCO</v>
      </c>
    </row>
    <row r="4" spans="1:11" ht="13.2">
      <c r="A4" s="5" t="str">
        <f ca="1">IFERROR(__xludf.DUMMYFUNCTION("""COMPUTED_VALUE"""),"TURNO B")</f>
        <v>TURNO B</v>
      </c>
      <c r="B4" s="5">
        <f ca="1">IFERROR(__xludf.DUMMYFUNCTION("""COMPUTED_VALUE"""),23899256)</f>
        <v>23899256</v>
      </c>
      <c r="C4" s="14">
        <f ca="1">IFERROR(__xludf.DUMMYFUNCTION("""COMPUTED_VALUE"""),45352)</f>
        <v>45352</v>
      </c>
      <c r="D4" s="5" t="str">
        <f ca="1">IFERROR(__xludf.DUMMYFUNCTION("""COMPUTED_VALUE"""),"Tapa atascada en bajante")</f>
        <v>Tapa atascada en bajante</v>
      </c>
      <c r="E4" s="5">
        <f ca="1">IFERROR(__xludf.DUMMYFUNCTION("""COMPUTED_VALUE"""),0.15)</f>
        <v>0.15</v>
      </c>
      <c r="F4" s="15">
        <f ca="1">IFERROR(__xludf.DUMMYFUNCTION("""COMPUTED_VALUE"""),0.708333333333333)</f>
        <v>0.70833333333333304</v>
      </c>
      <c r="G4" s="15">
        <f ca="1">IFERROR(__xludf.DUMMYFUNCTION("""COMPUTED_VALUE"""),0.714583333333333)</f>
        <v>0.71458333333333302</v>
      </c>
      <c r="H4" s="5" t="str">
        <f ca="1">IFERROR(__xludf.DUMMYFUNCTION("""COMPUTED_VALUE"""),"LINE 10")</f>
        <v>LINE 10</v>
      </c>
      <c r="I4" s="5"/>
      <c r="J4" s="5" t="str">
        <f ca="1">IFERROR(__xludf.DUMMYFUNCTION("""COMPUTED_VALUE"""),"INSPECTOR TAPA")</f>
        <v>INSPECTOR TAPA</v>
      </c>
      <c r="K4" s="5" t="str">
        <f ca="1">IFERROR(__xludf.DUMMYFUNCTION("""COMPUTED_VALUE"""),"BLANCO")</f>
        <v>BLANCO</v>
      </c>
    </row>
    <row r="5" spans="1:11" ht="13.2">
      <c r="A5" s="5" t="str">
        <f ca="1">IFERROR(__xludf.DUMMYFUNCTION("""COMPUTED_VALUE"""),"TURNO B")</f>
        <v>TURNO B</v>
      </c>
      <c r="B5" s="5">
        <f ca="1">IFERROR(__xludf.DUMMYFUNCTION("""COMPUTED_VALUE"""),23899277)</f>
        <v>23899277</v>
      </c>
      <c r="C5" s="14">
        <f ca="1">IFERROR(__xludf.DUMMYFUNCTION("""COMPUTED_VALUE"""),45352)</f>
        <v>45352</v>
      </c>
      <c r="D5" s="5" t="str">
        <f ca="1">IFERROR(__xludf.DUMMYFUNCTION("""COMPUTED_VALUE"""),"Caída botellas salida llenadora")</f>
        <v>Caída botellas salida llenadora</v>
      </c>
      <c r="E5" s="5">
        <f ca="1">IFERROR(__xludf.DUMMYFUNCTION("""COMPUTED_VALUE"""),0.2)</f>
        <v>0.2</v>
      </c>
      <c r="F5" s="15">
        <f ca="1">IFERROR(__xludf.DUMMYFUNCTION("""COMPUTED_VALUE"""),0.75)</f>
        <v>0.75</v>
      </c>
      <c r="G5" s="15">
        <f ca="1">IFERROR(__xludf.DUMMYFUNCTION("""COMPUTED_VALUE"""),0.758333333333333)</f>
        <v>0.75833333333333297</v>
      </c>
      <c r="H5" s="5" t="str">
        <f ca="1">IFERROR(__xludf.DUMMYFUNCTION("""COMPUTED_VALUE"""),"LINE 10")</f>
        <v>LINE 10</v>
      </c>
      <c r="I5" s="5"/>
      <c r="J5" s="5" t="str">
        <f ca="1">IFERROR(__xludf.DUMMYFUNCTION("""COMPUTED_VALUE"""),"TRANSPORTADORES DE BEBIDA")</f>
        <v>TRANSPORTADORES DE BEBIDA</v>
      </c>
      <c r="K5" s="5" t="str">
        <f ca="1">IFERROR(__xludf.DUMMYFUNCTION("""COMPUTED_VALUE"""),"BLANCO")</f>
        <v>BLANCO</v>
      </c>
    </row>
    <row r="6" spans="1:11" ht="13.2">
      <c r="A6" s="5" t="str">
        <f ca="1">IFERROR(__xludf.DUMMYFUNCTION("""COMPUTED_VALUE"""),"TURNO B")</f>
        <v>TURNO B</v>
      </c>
      <c r="B6" s="5">
        <f ca="1">IFERROR(__xludf.DUMMYFUNCTION("""COMPUTED_VALUE"""),23899406)</f>
        <v>23899406</v>
      </c>
      <c r="C6" s="14">
        <f ca="1">IFERROR(__xludf.DUMMYFUNCTION("""COMPUTED_VALUE"""),45352)</f>
        <v>45352</v>
      </c>
      <c r="D6" s="5" t="str">
        <f ca="1">IFERROR(__xludf.DUMMYFUNCTION("""COMPUTED_VALUE"""),"Caída botellas salida llenadora")</f>
        <v>Caída botellas salida llenadora</v>
      </c>
      <c r="E6" s="5">
        <f ca="1">IFERROR(__xludf.DUMMYFUNCTION("""COMPUTED_VALUE"""),0.33)</f>
        <v>0.33</v>
      </c>
      <c r="F6" s="15">
        <f ca="1">IFERROR(__xludf.DUMMYFUNCTION("""COMPUTED_VALUE"""),0.833333333333333)</f>
        <v>0.83333333333333304</v>
      </c>
      <c r="G6" s="15">
        <f ca="1">IFERROR(__xludf.DUMMYFUNCTION("""COMPUTED_VALUE"""),0.847222222222222)</f>
        <v>0.84722222222222199</v>
      </c>
      <c r="H6" s="5" t="str">
        <f ca="1">IFERROR(__xludf.DUMMYFUNCTION("""COMPUTED_VALUE"""),"LINE 10")</f>
        <v>LINE 10</v>
      </c>
      <c r="I6" s="5"/>
      <c r="J6" s="5" t="str">
        <f ca="1">IFERROR(__xludf.DUMMYFUNCTION("""COMPUTED_VALUE"""),"TRANSPORTADORES DE BEBIDA")</f>
        <v>TRANSPORTADORES DE BEBIDA</v>
      </c>
      <c r="K6" s="5" t="str">
        <f ca="1">IFERROR(__xludf.DUMMYFUNCTION("""COMPUTED_VALUE"""),"BLANCO")</f>
        <v>BLANCO</v>
      </c>
    </row>
    <row r="7" spans="1:11" ht="13.2">
      <c r="A7" s="5" t="str">
        <f ca="1">IFERROR(__xludf.DUMMYFUNCTION("""COMPUTED_VALUE"""),"TURNO B")</f>
        <v>TURNO B</v>
      </c>
      <c r="B7" s="5">
        <f ca="1">IFERROR(__xludf.DUMMYFUNCTION("""COMPUTED_VALUE"""),23899408)</f>
        <v>23899408</v>
      </c>
      <c r="C7" s="14">
        <f ca="1">IFERROR(__xludf.DUMMYFUNCTION("""COMPUTED_VALUE"""),45352)</f>
        <v>45352</v>
      </c>
      <c r="D7" s="5" t="str">
        <f ca="1">IFERROR(__xludf.DUMMYFUNCTION("""COMPUTED_VALUE"""),"Encolamiento en agregado No. 1")</f>
        <v>Encolamiento en agregado No. 1</v>
      </c>
      <c r="E7" s="5">
        <f ca="1">IFERROR(__xludf.DUMMYFUNCTION("""COMPUTED_VALUE"""),0.17)</f>
        <v>0.17</v>
      </c>
      <c r="F7" s="15">
        <f ca="1">IFERROR(__xludf.DUMMYFUNCTION("""COMPUTED_VALUE"""),0.854166666666666)</f>
        <v>0.85416666666666596</v>
      </c>
      <c r="G7" s="15">
        <f ca="1">IFERROR(__xludf.DUMMYFUNCTION("""COMPUTED_VALUE"""),0.861111111111111)</f>
        <v>0.86111111111111105</v>
      </c>
      <c r="H7" s="5" t="str">
        <f ca="1">IFERROR(__xludf.DUMMYFUNCTION("""COMPUTED_VALUE"""),"LINE 10")</f>
        <v>LINE 10</v>
      </c>
      <c r="I7" s="5"/>
      <c r="J7" s="5" t="str">
        <f ca="1">IFERROR(__xludf.DUMMYFUNCTION("""COMPUTED_VALUE"""),"ETIQUETADORA ENVOLVENTE")</f>
        <v>ETIQUETADORA ENVOLVENTE</v>
      </c>
      <c r="K7" s="5" t="str">
        <f ca="1">IFERROR(__xludf.DUMMYFUNCTION("""COMPUTED_VALUE"""),"BLANCO")</f>
        <v>BLANCO</v>
      </c>
    </row>
    <row r="8" spans="1:11" ht="13.2">
      <c r="A8" s="5" t="str">
        <f ca="1">IFERROR(__xludf.DUMMYFUNCTION("""COMPUTED_VALUE"""),"TURNO C")</f>
        <v>TURNO C</v>
      </c>
      <c r="B8" s="5">
        <f ca="1">IFERROR(__xludf.DUMMYFUNCTION("""COMPUTED_VALUE"""),23899656)</f>
        <v>23899656</v>
      </c>
      <c r="C8" s="14">
        <f ca="1">IFERROR(__xludf.DUMMYFUNCTION("""COMPUTED_VALUE"""),45352)</f>
        <v>45352</v>
      </c>
      <c r="D8" s="5" t="str">
        <f ca="1">IFERROR(__xludf.DUMMYFUNCTION("""COMPUTED_VALUE"""),"Encolamiento en agregado No. 1")</f>
        <v>Encolamiento en agregado No. 1</v>
      </c>
      <c r="E8" s="5">
        <f ca="1">IFERROR(__xludf.DUMMYFUNCTION("""COMPUTED_VALUE"""),0.08)</f>
        <v>0.08</v>
      </c>
      <c r="F8" s="15">
        <f ca="1">IFERROR(__xludf.DUMMYFUNCTION("""COMPUTED_VALUE"""),0.125)</f>
        <v>0.125</v>
      </c>
      <c r="G8" s="15">
        <f ca="1">IFERROR(__xludf.DUMMYFUNCTION("""COMPUTED_VALUE"""),0.128472222222222)</f>
        <v>0.12847222222222199</v>
      </c>
      <c r="H8" s="5" t="str">
        <f ca="1">IFERROR(__xludf.DUMMYFUNCTION("""COMPUTED_VALUE"""),"LINE 10")</f>
        <v>LINE 10</v>
      </c>
      <c r="I8" s="5"/>
      <c r="J8" s="5" t="str">
        <f ca="1">IFERROR(__xludf.DUMMYFUNCTION("""COMPUTED_VALUE"""),"ETIQUETADORA ENVOLVENTE")</f>
        <v>ETIQUETADORA ENVOLVENTE</v>
      </c>
      <c r="K8" s="5" t="str">
        <f ca="1">IFERROR(__xludf.DUMMYFUNCTION("""COMPUTED_VALUE"""),"BLANCO")</f>
        <v>BLANCO</v>
      </c>
    </row>
    <row r="9" spans="1:11" ht="13.2">
      <c r="A9" s="5" t="str">
        <f ca="1">IFERROR(__xludf.DUMMYFUNCTION("""COMPUTED_VALUE"""),"TURNO B")</f>
        <v>TURNO B</v>
      </c>
      <c r="B9" s="5">
        <f ca="1">IFERROR(__xludf.DUMMYFUNCTION("""COMPUTED_VALUE"""),23901061)</f>
        <v>23901061</v>
      </c>
      <c r="C9" s="14">
        <f ca="1">IFERROR(__xludf.DUMMYFUNCTION("""COMPUTED_VALUE"""),45353)</f>
        <v>45353</v>
      </c>
      <c r="D9" s="5" t="str">
        <f ca="1">IFERROR(__xludf.DUMMYFUNCTION("""COMPUTED_VALUE"""),"falla temperatura")</f>
        <v>falla temperatura</v>
      </c>
      <c r="E9" s="5">
        <f ca="1">IFERROR(__xludf.DUMMYFUNCTION("""COMPUTED_VALUE"""),0.3)</f>
        <v>0.3</v>
      </c>
      <c r="F9" s="15">
        <f ca="1">IFERROR(__xludf.DUMMYFUNCTION("""COMPUTED_VALUE"""),0.885416666666666)</f>
        <v>0.88541666666666596</v>
      </c>
      <c r="G9" s="15">
        <f ca="1">IFERROR(__xludf.DUMMYFUNCTION("""COMPUTED_VALUE"""),0.897916666666666)</f>
        <v>0.89791666666666603</v>
      </c>
      <c r="H9" s="5" t="str">
        <f ca="1">IFERROR(__xludf.DUMMYFUNCTION("""COMPUTED_VALUE"""),"LINE 10")</f>
        <v>LINE 10</v>
      </c>
      <c r="I9" s="5">
        <f ca="1">IFERROR(__xludf.DUMMYFUNCTION("""COMPUTED_VALUE"""),20053048)</f>
        <v>20053048</v>
      </c>
      <c r="J9" s="5" t="str">
        <f ca="1">IFERROR(__xludf.DUMMYFUNCTION("""COMPUTED_VALUE"""),"ENFARDADORA")</f>
        <v>ENFARDADORA</v>
      </c>
      <c r="K9" s="5" t="str">
        <f ca="1">IFERROR(__xludf.DUMMYFUNCTION("""COMPUTED_VALUE"""),"Parra Ramos Hector")</f>
        <v>Parra Ramos Hector</v>
      </c>
    </row>
    <row r="10" spans="1:11" ht="13.2">
      <c r="A10" s="5" t="str">
        <f ca="1">IFERROR(__xludf.DUMMYFUNCTION("""COMPUTED_VALUE"""),"TURNO C")</f>
        <v>TURNO C</v>
      </c>
      <c r="B10" s="5">
        <f ca="1">IFERROR(__xludf.DUMMYFUNCTION("""COMPUTED_VALUE"""),23901111)</f>
        <v>23901111</v>
      </c>
      <c r="C10" s="14">
        <f ca="1">IFERROR(__xludf.DUMMYFUNCTION("""COMPUTED_VALUE"""),45353)</f>
        <v>45353</v>
      </c>
      <c r="D10" s="5" t="str">
        <f ca="1">IFERROR(__xludf.DUMMYFUNCTION("""COMPUTED_VALUE"""),"Tapa atascada salida inspector")</f>
        <v>Tapa atascada salida inspector</v>
      </c>
      <c r="E10" s="5">
        <f ca="1">IFERROR(__xludf.DUMMYFUNCTION("""COMPUTED_VALUE"""),0.28)</f>
        <v>0.28000000000000003</v>
      </c>
      <c r="F10" s="15">
        <f ca="1">IFERROR(__xludf.DUMMYFUNCTION("""COMPUTED_VALUE"""),0.986111111111111)</f>
        <v>0.98611111111111105</v>
      </c>
      <c r="G10" s="15">
        <f ca="1">IFERROR(__xludf.DUMMYFUNCTION("""COMPUTED_VALUE"""),0.997916666666666)</f>
        <v>0.99791666666666601</v>
      </c>
      <c r="H10" s="5" t="str">
        <f ca="1">IFERROR(__xludf.DUMMYFUNCTION("""COMPUTED_VALUE"""),"LINE 10")</f>
        <v>LINE 10</v>
      </c>
      <c r="I10" s="5"/>
      <c r="J10" s="5" t="str">
        <f ca="1">IFERROR(__xludf.DUMMYFUNCTION("""COMPUTED_VALUE"""),"INSPECTOR TAPA")</f>
        <v>INSPECTOR TAPA</v>
      </c>
      <c r="K10" s="5" t="str">
        <f ca="1">IFERROR(__xludf.DUMMYFUNCTION("""COMPUTED_VALUE"""),"BLANCO")</f>
        <v>BLANCO</v>
      </c>
    </row>
    <row r="11" spans="1:11" ht="13.2">
      <c r="A11" s="5" t="str">
        <f ca="1">IFERROR(__xludf.DUMMYFUNCTION("""COMPUTED_VALUE"""),"TURNO C")</f>
        <v>TURNO C</v>
      </c>
      <c r="B11" s="5">
        <f ca="1">IFERROR(__xludf.DUMMYFUNCTION("""COMPUTED_VALUE"""),23901194)</f>
        <v>23901194</v>
      </c>
      <c r="C11" s="14">
        <f ca="1">IFERROR(__xludf.DUMMYFUNCTION("""COMPUTED_VALUE"""),45353)</f>
        <v>45353</v>
      </c>
      <c r="D11" s="5" t="str">
        <f ca="1">IFERROR(__xludf.DUMMYFUNCTION("""COMPUTED_VALUE"""),"Motorizacion entrega de envases")</f>
        <v>Motorizacion entrega de envases</v>
      </c>
      <c r="E11" s="5">
        <f ca="1">IFERROR(__xludf.DUMMYFUNCTION("""COMPUTED_VALUE"""),0.1)</f>
        <v>0.1</v>
      </c>
      <c r="F11" s="15">
        <f ca="1">IFERROR(__xludf.DUMMYFUNCTION("""COMPUTED_VALUE"""),0.0486111111111111)</f>
        <v>4.8611111111111098E-2</v>
      </c>
      <c r="G11" s="15">
        <f ca="1">IFERROR(__xludf.DUMMYFUNCTION("""COMPUTED_VALUE"""),0.0527777777777777)</f>
        <v>5.2777777777777701E-2</v>
      </c>
      <c r="H11" s="5" t="str">
        <f ca="1">IFERROR(__xludf.DUMMYFUNCTION("""COMPUTED_VALUE"""),"LINE 10")</f>
        <v>LINE 10</v>
      </c>
      <c r="I11" s="5">
        <f ca="1">IFERROR(__xludf.DUMMYFUNCTION("""COMPUTED_VALUE"""),20043570)</f>
        <v>20043570</v>
      </c>
      <c r="J11" s="5" t="str">
        <f ca="1">IFERROR(__xludf.DUMMYFUNCTION("""COMPUTED_VALUE"""),"ETIQUETADORA ENVOLVENTE")</f>
        <v>ETIQUETADORA ENVOLVENTE</v>
      </c>
      <c r="K11" s="5" t="str">
        <f ca="1">IFERROR(__xludf.DUMMYFUNCTION("""COMPUTED_VALUE"""),"Jhon Navas")</f>
        <v>Jhon Navas</v>
      </c>
    </row>
    <row r="12" spans="1:11" ht="13.2">
      <c r="A12" s="5" t="str">
        <f ca="1">IFERROR(__xludf.DUMMYFUNCTION("""COMPUTED_VALUE"""),"TURNO C")</f>
        <v>TURNO C</v>
      </c>
      <c r="B12" s="5">
        <f ca="1">IFERROR(__xludf.DUMMYFUNCTION("""COMPUTED_VALUE"""),23901196)</f>
        <v>23901196</v>
      </c>
      <c r="C12" s="14">
        <f ca="1">IFERROR(__xludf.DUMMYFUNCTION("""COMPUTED_VALUE"""),45353)</f>
        <v>45353</v>
      </c>
      <c r="D12" s="5" t="str">
        <f ca="1">IFERROR(__xludf.DUMMYFUNCTION("""COMPUTED_VALUE"""),"Encolamiento por ausencia botella")</f>
        <v>Encolamiento por ausencia botella</v>
      </c>
      <c r="E12" s="5">
        <f ca="1">IFERROR(__xludf.DUMMYFUNCTION("""COMPUTED_VALUE"""),0.17)</f>
        <v>0.17</v>
      </c>
      <c r="F12" s="15">
        <f ca="1">IFERROR(__xludf.DUMMYFUNCTION("""COMPUTED_VALUE"""),0.180555555555555)</f>
        <v>0.180555555555555</v>
      </c>
      <c r="G12" s="15">
        <f ca="1">IFERROR(__xludf.DUMMYFUNCTION("""COMPUTED_VALUE"""),0.1875)</f>
        <v>0.1875</v>
      </c>
      <c r="H12" s="5" t="str">
        <f ca="1">IFERROR(__xludf.DUMMYFUNCTION("""COMPUTED_VALUE"""),"LINE 10")</f>
        <v>LINE 10</v>
      </c>
      <c r="I12" s="5"/>
      <c r="J12" s="5" t="str">
        <f ca="1">IFERROR(__xludf.DUMMYFUNCTION("""COMPUTED_VALUE"""),"ETIQUETADORA ENVOLVENTE")</f>
        <v>ETIQUETADORA ENVOLVENTE</v>
      </c>
      <c r="K12" s="5" t="str">
        <f ca="1">IFERROR(__xludf.DUMMYFUNCTION("""COMPUTED_VALUE"""),"BLANCO")</f>
        <v>BLANCO</v>
      </c>
    </row>
    <row r="13" spans="1:11" ht="13.2">
      <c r="A13" s="5" t="str">
        <f ca="1">IFERROR(__xludf.DUMMYFUNCTION("""COMPUTED_VALUE"""),"TURNO A")</f>
        <v>TURNO A</v>
      </c>
      <c r="B13" s="5">
        <f ca="1">IFERROR(__xludf.DUMMYFUNCTION("""COMPUTED_VALUE"""),23901273)</f>
        <v>23901273</v>
      </c>
      <c r="C13" s="14">
        <f ca="1">IFERROR(__xludf.DUMMYFUNCTION("""COMPUTED_VALUE"""),45354)</f>
        <v>45354</v>
      </c>
      <c r="D13" s="5" t="str">
        <f ca="1">IFERROR(__xludf.DUMMYFUNCTION("""COMPUTED_VALUE"""),"Caída botellas salida llenadora")</f>
        <v>Caída botellas salida llenadora</v>
      </c>
      <c r="E13" s="5">
        <f ca="1">IFERROR(__xludf.DUMMYFUNCTION("""COMPUTED_VALUE"""),0.33)</f>
        <v>0.33</v>
      </c>
      <c r="F13" s="15">
        <f ca="1">IFERROR(__xludf.DUMMYFUNCTION("""COMPUTED_VALUE"""),0.451388888888888)</f>
        <v>0.45138888888888801</v>
      </c>
      <c r="G13" s="15">
        <f ca="1">IFERROR(__xludf.DUMMYFUNCTION("""COMPUTED_VALUE"""),0.465277777777777)</f>
        <v>0.46527777777777701</v>
      </c>
      <c r="H13" s="5" t="str">
        <f ca="1">IFERROR(__xludf.DUMMYFUNCTION("""COMPUTED_VALUE"""),"LINE 10")</f>
        <v>LINE 10</v>
      </c>
      <c r="I13" s="5"/>
      <c r="J13" s="5" t="str">
        <f ca="1">IFERROR(__xludf.DUMMYFUNCTION("""COMPUTED_VALUE"""),"TRANSPORTADORES DE BEBIDA")</f>
        <v>TRANSPORTADORES DE BEBIDA</v>
      </c>
      <c r="K13" s="5" t="str">
        <f ca="1">IFERROR(__xludf.DUMMYFUNCTION("""COMPUTED_VALUE"""),"BLANCO")</f>
        <v>BLANCO</v>
      </c>
    </row>
    <row r="14" spans="1:11" ht="13.2">
      <c r="A14" s="5" t="str">
        <f ca="1">IFERROR(__xludf.DUMMYFUNCTION("""COMPUTED_VALUE"""),"TURNO A")</f>
        <v>TURNO A</v>
      </c>
      <c r="B14" s="5">
        <f ca="1">IFERROR(__xludf.DUMMYFUNCTION("""COMPUTED_VALUE"""),23901274)</f>
        <v>23901274</v>
      </c>
      <c r="C14" s="14">
        <f ca="1">IFERROR(__xludf.DUMMYFUNCTION("""COMPUTED_VALUE"""),45354)</f>
        <v>45354</v>
      </c>
      <c r="D14" s="5" t="str">
        <f ca="1">IFERROR(__xludf.DUMMYFUNCTION("""COMPUTED_VALUE"""),"Encolamiento en agregado No. 1")</f>
        <v>Encolamiento en agregado No. 1</v>
      </c>
      <c r="E14" s="5">
        <f ca="1">IFERROR(__xludf.DUMMYFUNCTION("""COMPUTED_VALUE"""),0.27)</f>
        <v>0.27</v>
      </c>
      <c r="F14" s="15">
        <f ca="1">IFERROR(__xludf.DUMMYFUNCTION("""COMPUTED_VALUE"""),0.486111111111111)</f>
        <v>0.48611111111111099</v>
      </c>
      <c r="G14" s="15">
        <f ca="1">IFERROR(__xludf.DUMMYFUNCTION("""COMPUTED_VALUE"""),0.497222222222222)</f>
        <v>0.49722222222222201</v>
      </c>
      <c r="H14" s="5" t="str">
        <f ca="1">IFERROR(__xludf.DUMMYFUNCTION("""COMPUTED_VALUE"""),"LINE 10")</f>
        <v>LINE 10</v>
      </c>
      <c r="I14" s="5"/>
      <c r="J14" s="5" t="str">
        <f ca="1">IFERROR(__xludf.DUMMYFUNCTION("""COMPUTED_VALUE"""),"ETIQUETADORA ENVOLVENTE")</f>
        <v>ETIQUETADORA ENVOLVENTE</v>
      </c>
      <c r="K14" s="5" t="str">
        <f ca="1">IFERROR(__xludf.DUMMYFUNCTION("""COMPUTED_VALUE"""),"BLANCO")</f>
        <v>BLANCO</v>
      </c>
    </row>
    <row r="15" spans="1:11" ht="13.2">
      <c r="A15" s="5" t="str">
        <f ca="1">IFERROR(__xludf.DUMMYFUNCTION("""COMPUTED_VALUE"""),"TURNO A")</f>
        <v>TURNO A</v>
      </c>
      <c r="B15" s="5">
        <f ca="1">IFERROR(__xludf.DUMMYFUNCTION("""COMPUTED_VALUE"""),23901324)</f>
        <v>23901324</v>
      </c>
      <c r="C15" s="14">
        <f ca="1">IFERROR(__xludf.DUMMYFUNCTION("""COMPUTED_VALUE"""),45354)</f>
        <v>45354</v>
      </c>
      <c r="D15" s="5" t="str">
        <f ca="1">IFERROR(__xludf.DUMMYFUNCTION("""COMPUTED_VALUE"""),"Encolamiento agregado No. 2")</f>
        <v>Encolamiento agregado No. 2</v>
      </c>
      <c r="E15" s="5">
        <f ca="1">IFERROR(__xludf.DUMMYFUNCTION("""COMPUTED_VALUE"""),0.58)</f>
        <v>0.57999999999999996</v>
      </c>
      <c r="F15" s="15">
        <f ca="1">IFERROR(__xludf.DUMMYFUNCTION("""COMPUTED_VALUE"""),0.59375)</f>
        <v>0.59375</v>
      </c>
      <c r="G15" s="15">
        <f ca="1">IFERROR(__xludf.DUMMYFUNCTION("""COMPUTED_VALUE"""),0.618055555555555)</f>
        <v>0.61805555555555503</v>
      </c>
      <c r="H15" s="5" t="str">
        <f ca="1">IFERROR(__xludf.DUMMYFUNCTION("""COMPUTED_VALUE"""),"LINE 10")</f>
        <v>LINE 10</v>
      </c>
      <c r="I15" s="5">
        <f ca="1">IFERROR(__xludf.DUMMYFUNCTION("""COMPUTED_VALUE"""),20009743)</f>
        <v>20009743</v>
      </c>
      <c r="J15" s="5" t="str">
        <f ca="1">IFERROR(__xludf.DUMMYFUNCTION("""COMPUTED_VALUE"""),"ETIQUETADORA ENVOLVENTE")</f>
        <v>ETIQUETADORA ENVOLVENTE</v>
      </c>
      <c r="K15" s="5" t="str">
        <f ca="1">IFERROR(__xludf.DUMMYFUNCTION("""COMPUTED_VALUE"""),"Duran Sanchez Nelson Fernando")</f>
        <v>Duran Sanchez Nelson Fernando</v>
      </c>
    </row>
    <row r="16" spans="1:11" ht="13.2">
      <c r="A16" s="5" t="str">
        <f ca="1">IFERROR(__xludf.DUMMYFUNCTION("""COMPUTED_VALUE"""),"TURNO A")</f>
        <v>TURNO A</v>
      </c>
      <c r="B16" s="5">
        <f ca="1">IFERROR(__xludf.DUMMYFUNCTION("""COMPUTED_VALUE"""),23901325)</f>
        <v>23901325</v>
      </c>
      <c r="C16" s="14">
        <f ca="1">IFERROR(__xludf.DUMMYFUNCTION("""COMPUTED_VALUE"""),45354)</f>
        <v>45354</v>
      </c>
      <c r="D16" s="5" t="str">
        <f ca="1">IFERROR(__xludf.DUMMYFUNCTION("""COMPUTED_VALUE"""),"Paquete mal formado")</f>
        <v>Paquete mal formado</v>
      </c>
      <c r="E16" s="5">
        <f ca="1">IFERROR(__xludf.DUMMYFUNCTION("""COMPUTED_VALUE"""),0.08)</f>
        <v>0.08</v>
      </c>
      <c r="F16" s="15">
        <f ca="1">IFERROR(__xludf.DUMMYFUNCTION("""COMPUTED_VALUE"""),0.629166666666666)</f>
        <v>0.62916666666666599</v>
      </c>
      <c r="G16" s="15">
        <f ca="1">IFERROR(__xludf.DUMMYFUNCTION("""COMPUTED_VALUE"""),0.632638888888888)</f>
        <v>0.63263888888888797</v>
      </c>
      <c r="H16" s="5" t="str">
        <f ca="1">IFERROR(__xludf.DUMMYFUNCTION("""COMPUTED_VALUE"""),"LINE 10")</f>
        <v>LINE 10</v>
      </c>
      <c r="I16" s="5"/>
      <c r="J16" s="5" t="str">
        <f ca="1">IFERROR(__xludf.DUMMYFUNCTION("""COMPUTED_VALUE"""),"ENFARDADORA")</f>
        <v>ENFARDADORA</v>
      </c>
      <c r="K16" s="5" t="str">
        <f ca="1">IFERROR(__xludf.DUMMYFUNCTION("""COMPUTED_VALUE"""),"BLANCO")</f>
        <v>BLANCO</v>
      </c>
    </row>
    <row r="17" spans="1:11" ht="13.2">
      <c r="A17" s="5" t="str">
        <f ca="1">IFERROR(__xludf.DUMMYFUNCTION("""COMPUTED_VALUE"""),"TURNO B")</f>
        <v>TURNO B</v>
      </c>
      <c r="B17" s="5">
        <f ca="1">IFERROR(__xludf.DUMMYFUNCTION("""COMPUTED_VALUE"""),23901447)</f>
        <v>23901447</v>
      </c>
      <c r="C17" s="14">
        <f ca="1">IFERROR(__xludf.DUMMYFUNCTION("""COMPUTED_VALUE"""),45354)</f>
        <v>45354</v>
      </c>
      <c r="D17" s="5" t="str">
        <f ca="1">IFERROR(__xludf.DUMMYFUNCTION("""COMPUTED_VALUE"""),"Anillo atascado en roscadores")</f>
        <v>Anillo atascado en roscadores</v>
      </c>
      <c r="E17" s="5">
        <f ca="1">IFERROR(__xludf.DUMMYFUNCTION("""COMPUTED_VALUE"""),0.13)</f>
        <v>0.13</v>
      </c>
      <c r="F17" s="15">
        <f ca="1">IFERROR(__xludf.DUMMYFUNCTION("""COMPUTED_VALUE"""),0.774305555555555)</f>
        <v>0.77430555555555503</v>
      </c>
      <c r="G17" s="15">
        <f ca="1">IFERROR(__xludf.DUMMYFUNCTION("""COMPUTED_VALUE"""),0.779861111111111)</f>
        <v>0.77986111111111101</v>
      </c>
      <c r="H17" s="5" t="str">
        <f ca="1">IFERROR(__xludf.DUMMYFUNCTION("""COMPUTED_VALUE"""),"LINE 10")</f>
        <v>LINE 10</v>
      </c>
      <c r="I17" s="5">
        <f ca="1">IFERROR(__xludf.DUMMYFUNCTION("""COMPUTED_VALUE"""),20009743)</f>
        <v>20009743</v>
      </c>
      <c r="J17" s="5" t="str">
        <f ca="1">IFERROR(__xludf.DUMMYFUNCTION("""COMPUTED_VALUE"""),"LLENADORA BOTELLAS PET")</f>
        <v>LLENADORA BOTELLAS PET</v>
      </c>
      <c r="K17" s="5" t="str">
        <f ca="1">IFERROR(__xludf.DUMMYFUNCTION("""COMPUTED_VALUE"""),"Duran Sanchez Nelson Fernando")</f>
        <v>Duran Sanchez Nelson Fernando</v>
      </c>
    </row>
    <row r="18" spans="1:11" ht="13.2">
      <c r="A18" s="5" t="str">
        <f ca="1">IFERROR(__xludf.DUMMYFUNCTION("""COMPUTED_VALUE"""),"TURNO C")</f>
        <v>TURNO C</v>
      </c>
      <c r="B18" s="5">
        <f ca="1">IFERROR(__xludf.DUMMYFUNCTION("""COMPUTED_VALUE"""),23901532)</f>
        <v>23901532</v>
      </c>
      <c r="C18" s="14">
        <f ca="1">IFERROR(__xludf.DUMMYFUNCTION("""COMPUTED_VALUE"""),45354)</f>
        <v>45354</v>
      </c>
      <c r="D18" s="5" t="str">
        <f ca="1">IFERROR(__xludf.DUMMYFUNCTION("""COMPUTED_VALUE"""),"Encolamiento por ausencia botella")</f>
        <v>Encolamiento por ausencia botella</v>
      </c>
      <c r="E18" s="5">
        <f ca="1">IFERROR(__xludf.DUMMYFUNCTION("""COMPUTED_VALUE"""),0.13)</f>
        <v>0.13</v>
      </c>
      <c r="F18" s="15">
        <f ca="1">IFERROR(__xludf.DUMMYFUNCTION("""COMPUTED_VALUE"""),0.982638888888888)</f>
        <v>0.98263888888888795</v>
      </c>
      <c r="G18" s="15">
        <f ca="1">IFERROR(__xludf.DUMMYFUNCTION("""COMPUTED_VALUE"""),0.988194444444444)</f>
        <v>0.98819444444444404</v>
      </c>
      <c r="H18" s="5" t="str">
        <f ca="1">IFERROR(__xludf.DUMMYFUNCTION("""COMPUTED_VALUE"""),"LINE 10")</f>
        <v>LINE 10</v>
      </c>
      <c r="I18" s="5">
        <f ca="1">IFERROR(__xludf.DUMMYFUNCTION("""COMPUTED_VALUE"""),20043570)</f>
        <v>20043570</v>
      </c>
      <c r="J18" s="5" t="str">
        <f ca="1">IFERROR(__xludf.DUMMYFUNCTION("""COMPUTED_VALUE"""),"ETIQUETADORA ENVOLVENTE")</f>
        <v>ETIQUETADORA ENVOLVENTE</v>
      </c>
      <c r="K18" s="5" t="str">
        <f ca="1">IFERROR(__xludf.DUMMYFUNCTION("""COMPUTED_VALUE"""),"Jhon Navas")</f>
        <v>Jhon Navas</v>
      </c>
    </row>
    <row r="19" spans="1:11" ht="13.2">
      <c r="A19" s="5" t="str">
        <f ca="1">IFERROR(__xludf.DUMMYFUNCTION("""COMPUTED_VALUE"""),"TURNO A")</f>
        <v>TURNO A</v>
      </c>
      <c r="B19" s="5">
        <f ca="1">IFERROR(__xludf.DUMMYFUNCTION("""COMPUTED_VALUE"""),23901939)</f>
        <v>23901939</v>
      </c>
      <c r="C19" s="14">
        <f ca="1">IFERROR(__xludf.DUMMYFUNCTION("""COMPUTED_VALUE"""),45355)</f>
        <v>45355</v>
      </c>
      <c r="D19" s="5" t="str">
        <f ca="1">IFERROR(__xludf.DUMMYFUNCTION("""COMPUTED_VALUE"""),"Falla en el dosificador de nitrógeno")</f>
        <v>Falla en el dosificador de nitrógeno</v>
      </c>
      <c r="E19" s="5">
        <f ca="1">IFERROR(__xludf.DUMMYFUNCTION("""COMPUTED_VALUE"""),0.9)</f>
        <v>0.9</v>
      </c>
      <c r="F19" s="15">
        <f ca="1">IFERROR(__xludf.DUMMYFUNCTION("""COMPUTED_VALUE"""),0.229166666666666)</f>
        <v>0.22916666666666599</v>
      </c>
      <c r="G19" s="15">
        <f ca="1">IFERROR(__xludf.DUMMYFUNCTION("""COMPUTED_VALUE"""),0.266666666666666)</f>
        <v>0.266666666666666</v>
      </c>
      <c r="H19" s="5" t="str">
        <f ca="1">IFERROR(__xludf.DUMMYFUNCTION("""COMPUTED_VALUE"""),"LINE 10")</f>
        <v>LINE 10</v>
      </c>
      <c r="I19" s="5"/>
      <c r="J19" s="5" t="str">
        <f ca="1">IFERROR(__xludf.DUMMYFUNCTION("""COMPUTED_VALUE"""),"FALLA DOSIFICADOR NITROGENO")</f>
        <v>FALLA DOSIFICADOR NITROGENO</v>
      </c>
      <c r="K19" s="5" t="str">
        <f ca="1">IFERROR(__xludf.DUMMYFUNCTION("""COMPUTED_VALUE"""),"BLANCO")</f>
        <v>BLANCO</v>
      </c>
    </row>
    <row r="20" spans="1:11" ht="13.2">
      <c r="A20" s="5" t="str">
        <f ca="1">IFERROR(__xludf.DUMMYFUNCTION("""COMPUTED_VALUE"""),"TURNO B")</f>
        <v>TURNO B</v>
      </c>
      <c r="B20" s="5">
        <f ca="1">IFERROR(__xludf.DUMMYFUNCTION("""COMPUTED_VALUE"""),23902038)</f>
        <v>23902038</v>
      </c>
      <c r="C20" s="14">
        <f ca="1">IFERROR(__xludf.DUMMYFUNCTION("""COMPUTED_VALUE"""),45353)</f>
        <v>45353</v>
      </c>
      <c r="D20" s="5" t="str">
        <f ca="1">IFERROR(__xludf.DUMMYFUNCTION("""COMPUTED_VALUE"""),"falla temperatura")</f>
        <v>falla temperatura</v>
      </c>
      <c r="E20" s="5">
        <f ca="1">IFERROR(__xludf.DUMMYFUNCTION("""COMPUTED_VALUE"""),0.08)</f>
        <v>0.08</v>
      </c>
      <c r="F20" s="15">
        <f ca="1">IFERROR(__xludf.DUMMYFUNCTION("""COMPUTED_VALUE"""),0.885416666666666)</f>
        <v>0.88541666666666596</v>
      </c>
      <c r="G20" s="15">
        <f ca="1">IFERROR(__xludf.DUMMYFUNCTION("""COMPUTED_VALUE"""),0.888888888888888)</f>
        <v>0.88888888888888795</v>
      </c>
      <c r="H20" s="5" t="str">
        <f ca="1">IFERROR(__xludf.DUMMYFUNCTION("""COMPUTED_VALUE"""),"LINE 10")</f>
        <v>LINE 10</v>
      </c>
      <c r="I20" s="5">
        <f ca="1">IFERROR(__xludf.DUMMYFUNCTION("""COMPUTED_VALUE"""),20053048)</f>
        <v>20053048</v>
      </c>
      <c r="J20" s="5" t="str">
        <f ca="1">IFERROR(__xludf.DUMMYFUNCTION("""COMPUTED_VALUE"""),"ENFARDADORA")</f>
        <v>ENFARDADORA</v>
      </c>
      <c r="K20" s="5" t="str">
        <f ca="1">IFERROR(__xludf.DUMMYFUNCTION("""COMPUTED_VALUE"""),"Parra Ramos Hector")</f>
        <v>Parra Ramos Hector</v>
      </c>
    </row>
    <row r="21" spans="1:11" ht="13.2">
      <c r="A21" s="5" t="str">
        <f ca="1">IFERROR(__xludf.DUMMYFUNCTION("""COMPUTED_VALUE"""),"TURNO A")</f>
        <v>TURNO A</v>
      </c>
      <c r="B21" s="5">
        <f ca="1">IFERROR(__xludf.DUMMYFUNCTION("""COMPUTED_VALUE"""),23902320)</f>
        <v>23902320</v>
      </c>
      <c r="C21" s="14">
        <f ca="1">IFERROR(__xludf.DUMMYFUNCTION("""COMPUTED_VALUE"""),45355)</f>
        <v>45355</v>
      </c>
      <c r="D21" s="5" t="str">
        <f ca="1">IFERROR(__xludf.DUMMYFUNCTION("""COMPUTED_VALUE"""),"Perdida señal por sensores averiados")</f>
        <v>Perdida señal por sensores averiados</v>
      </c>
      <c r="E21" s="5">
        <f ca="1">IFERROR(__xludf.DUMMYFUNCTION("""COMPUTED_VALUE"""),0.57)</f>
        <v>0.56999999999999995</v>
      </c>
      <c r="F21" s="15">
        <f ca="1">IFERROR(__xludf.DUMMYFUNCTION("""COMPUTED_VALUE"""),0.291666666666666)</f>
        <v>0.29166666666666602</v>
      </c>
      <c r="G21" s="15">
        <f ca="1">IFERROR(__xludf.DUMMYFUNCTION("""COMPUTED_VALUE"""),0.315277777777777)</f>
        <v>0.31527777777777699</v>
      </c>
      <c r="H21" s="5" t="str">
        <f ca="1">IFERROR(__xludf.DUMMYFUNCTION("""COMPUTED_VALUE"""),"LINE 10")</f>
        <v>LINE 10</v>
      </c>
      <c r="I21" s="5"/>
      <c r="J21" s="5" t="str">
        <f ca="1">IFERROR(__xludf.DUMMYFUNCTION("""COMPUTED_VALUE"""),"PALETIZADORA")</f>
        <v>PALETIZADORA</v>
      </c>
      <c r="K21" s="5" t="str">
        <f ca="1">IFERROR(__xludf.DUMMYFUNCTION("""COMPUTED_VALUE"""),"BLANCO")</f>
        <v>BLANCO</v>
      </c>
    </row>
    <row r="22" spans="1:11" ht="13.2">
      <c r="A22" s="5" t="str">
        <f ca="1">IFERROR(__xludf.DUMMYFUNCTION("""COMPUTED_VALUE"""),"TURNO A")</f>
        <v>TURNO A</v>
      </c>
      <c r="B22" s="5">
        <f ca="1">IFERROR(__xludf.DUMMYFUNCTION("""COMPUTED_VALUE"""),23902321)</f>
        <v>23902321</v>
      </c>
      <c r="C22" s="14">
        <f ca="1">IFERROR(__xludf.DUMMYFUNCTION("""COMPUTED_VALUE"""),45355)</f>
        <v>45355</v>
      </c>
      <c r="D22" s="5" t="str">
        <f ca="1">IFERROR(__xludf.DUMMYFUNCTION("""COMPUTED_VALUE"""),"Falla en el dosificador de nitrógeno")</f>
        <v>Falla en el dosificador de nitrógeno</v>
      </c>
      <c r="E22" s="5">
        <f ca="1">IFERROR(__xludf.DUMMYFUNCTION("""COMPUTED_VALUE"""),0.92)</f>
        <v>0.92</v>
      </c>
      <c r="F22" s="15">
        <f ca="1">IFERROR(__xludf.DUMMYFUNCTION("""COMPUTED_VALUE"""),0.333333333333333)</f>
        <v>0.33333333333333298</v>
      </c>
      <c r="G22" s="15">
        <f ca="1">IFERROR(__xludf.DUMMYFUNCTION("""COMPUTED_VALUE"""),0.371527777777777)</f>
        <v>0.37152777777777701</v>
      </c>
      <c r="H22" s="5" t="str">
        <f ca="1">IFERROR(__xludf.DUMMYFUNCTION("""COMPUTED_VALUE"""),"LINE 10")</f>
        <v>LINE 10</v>
      </c>
      <c r="I22" s="5"/>
      <c r="J22" s="5" t="str">
        <f ca="1">IFERROR(__xludf.DUMMYFUNCTION("""COMPUTED_VALUE"""),"FALLA DOSIFICADOR NITROGENO")</f>
        <v>FALLA DOSIFICADOR NITROGENO</v>
      </c>
      <c r="K22" s="5" t="str">
        <f ca="1">IFERROR(__xludf.DUMMYFUNCTION("""COMPUTED_VALUE"""),"BLANCO")</f>
        <v>BLANCO</v>
      </c>
    </row>
    <row r="23" spans="1:11" ht="13.2">
      <c r="A23" s="5" t="str">
        <f ca="1">IFERROR(__xludf.DUMMYFUNCTION("""COMPUTED_VALUE"""),"TURNO A")</f>
        <v>TURNO A</v>
      </c>
      <c r="B23" s="5">
        <f ca="1">IFERROR(__xludf.DUMMYFUNCTION("""COMPUTED_VALUE"""),23902493)</f>
        <v>23902493</v>
      </c>
      <c r="C23" s="14">
        <f ca="1">IFERROR(__xludf.DUMMYFUNCTION("""COMPUTED_VALUE"""),45355)</f>
        <v>45355</v>
      </c>
      <c r="D23" s="5" t="str">
        <f ca="1">IFERROR(__xludf.DUMMYFUNCTION("""COMPUTED_VALUE"""),"Falla sumistro de energia")</f>
        <v>Falla sumistro de energia</v>
      </c>
      <c r="E23" s="5">
        <f ca="1">IFERROR(__xludf.DUMMYFUNCTION("""COMPUTED_VALUE"""),0.23)</f>
        <v>0.23</v>
      </c>
      <c r="F23" s="15">
        <f ca="1">IFERROR(__xludf.DUMMYFUNCTION("""COMPUTED_VALUE"""),0.511111111111111)</f>
        <v>0.51111111111111096</v>
      </c>
      <c r="G23" s="15">
        <f ca="1">IFERROR(__xludf.DUMMYFUNCTION("""COMPUTED_VALUE"""),0.520833333333333)</f>
        <v>0.52083333333333304</v>
      </c>
      <c r="H23" s="5" t="str">
        <f ca="1">IFERROR(__xludf.DUMMYFUNCTION("""COMPUTED_VALUE"""),"LINE 10")</f>
        <v>LINE 10</v>
      </c>
      <c r="I23" s="5"/>
      <c r="J23" s="5" t="str">
        <f ca="1">IFERROR(__xludf.DUMMYFUNCTION("""COMPUTED_VALUE"""),"SUMINISTRO ENERGIA ELECTRICA")</f>
        <v>SUMINISTRO ENERGIA ELECTRICA</v>
      </c>
      <c r="K23" s="5" t="str">
        <f ca="1">IFERROR(__xludf.DUMMYFUNCTION("""COMPUTED_VALUE"""),"BLANCO")</f>
        <v>BLANCO</v>
      </c>
    </row>
    <row r="24" spans="1:11" ht="13.2">
      <c r="A24" s="5" t="str">
        <f ca="1">IFERROR(__xludf.DUMMYFUNCTION("""COMPUTED_VALUE"""),"TURNO A")</f>
        <v>TURNO A</v>
      </c>
      <c r="B24" s="5">
        <f ca="1">IFERROR(__xludf.DUMMYFUNCTION("""COMPUTED_VALUE"""),23902495)</f>
        <v>23902495</v>
      </c>
      <c r="C24" s="14">
        <f ca="1">IFERROR(__xludf.DUMMYFUNCTION("""COMPUTED_VALUE"""),45355)</f>
        <v>45355</v>
      </c>
      <c r="D24" s="5" t="str">
        <f ca="1">IFERROR(__xludf.DUMMYFUNCTION("""COMPUTED_VALUE"""),"Encolamiento en agregado No. 1")</f>
        <v>Encolamiento en agregado No. 1</v>
      </c>
      <c r="E24" s="5">
        <f ca="1">IFERROR(__xludf.DUMMYFUNCTION("""COMPUTED_VALUE"""),0.28)</f>
        <v>0.28000000000000003</v>
      </c>
      <c r="F24" s="15">
        <f ca="1">IFERROR(__xludf.DUMMYFUNCTION("""COMPUTED_VALUE"""),0.520833333333333)</f>
        <v>0.52083333333333304</v>
      </c>
      <c r="G24" s="15">
        <f ca="1">IFERROR(__xludf.DUMMYFUNCTION("""COMPUTED_VALUE"""),0.532638888888888)</f>
        <v>0.532638888888888</v>
      </c>
      <c r="H24" s="5" t="str">
        <f ca="1">IFERROR(__xludf.DUMMYFUNCTION("""COMPUTED_VALUE"""),"LINE 10")</f>
        <v>LINE 10</v>
      </c>
      <c r="I24" s="5"/>
      <c r="J24" s="5" t="str">
        <f ca="1">IFERROR(__xludf.DUMMYFUNCTION("""COMPUTED_VALUE"""),"ETIQUETADORA ENVOLVENTE")</f>
        <v>ETIQUETADORA ENVOLVENTE</v>
      </c>
      <c r="K24" s="5" t="str">
        <f ca="1">IFERROR(__xludf.DUMMYFUNCTION("""COMPUTED_VALUE"""),"BLANCO")</f>
        <v>BLANCO</v>
      </c>
    </row>
    <row r="25" spans="1:11" ht="13.2">
      <c r="A25" s="5" t="str">
        <f ca="1">IFERROR(__xludf.DUMMYFUNCTION("""COMPUTED_VALUE"""),"TURNO A")</f>
        <v>TURNO A</v>
      </c>
      <c r="B25" s="5">
        <f ca="1">IFERROR(__xludf.DUMMYFUNCTION("""COMPUTED_VALUE"""),23902496)</f>
        <v>23902496</v>
      </c>
      <c r="C25" s="14">
        <f ca="1">IFERROR(__xludf.DUMMYFUNCTION("""COMPUTED_VALUE"""),45355)</f>
        <v>45355</v>
      </c>
      <c r="D25" s="5" t="str">
        <f ca="1">IFERROR(__xludf.DUMMYFUNCTION("""COMPUTED_VALUE"""),"Falla en el dosificador de nitrógeno")</f>
        <v>Falla en el dosificador de nitrógeno</v>
      </c>
      <c r="E25" s="5">
        <f ca="1">IFERROR(__xludf.DUMMYFUNCTION("""COMPUTED_VALUE"""),0.12)</f>
        <v>0.12</v>
      </c>
      <c r="F25" s="15">
        <f ca="1">IFERROR(__xludf.DUMMYFUNCTION("""COMPUTED_VALUE"""),0.541666666666666)</f>
        <v>0.54166666666666596</v>
      </c>
      <c r="G25" s="15">
        <f ca="1">IFERROR(__xludf.DUMMYFUNCTION("""COMPUTED_VALUE"""),0.546527777777777)</f>
        <v>0.54652777777777695</v>
      </c>
      <c r="H25" s="5" t="str">
        <f ca="1">IFERROR(__xludf.DUMMYFUNCTION("""COMPUTED_VALUE"""),"LINE 10")</f>
        <v>LINE 10</v>
      </c>
      <c r="I25" s="5"/>
      <c r="J25" s="5" t="str">
        <f ca="1">IFERROR(__xludf.DUMMYFUNCTION("""COMPUTED_VALUE"""),"FALLA DOSIFICADOR NITROGENO")</f>
        <v>FALLA DOSIFICADOR NITROGENO</v>
      </c>
      <c r="K25" s="5" t="str">
        <f ca="1">IFERROR(__xludf.DUMMYFUNCTION("""COMPUTED_VALUE"""),"BLANCO")</f>
        <v>BLANCO</v>
      </c>
    </row>
    <row r="26" spans="1:11" ht="13.2">
      <c r="A26" s="5" t="str">
        <f ca="1">IFERROR(__xludf.DUMMYFUNCTION("""COMPUTED_VALUE"""),"TURNO B")</f>
        <v>TURNO B</v>
      </c>
      <c r="B26" s="5">
        <f ca="1">IFERROR(__xludf.DUMMYFUNCTION("""COMPUTED_VALUE"""),23902855)</f>
        <v>23902855</v>
      </c>
      <c r="C26" s="14">
        <f ca="1">IFERROR(__xludf.DUMMYFUNCTION("""COMPUTED_VALUE"""),45355)</f>
        <v>45355</v>
      </c>
      <c r="D26" s="5" t="str">
        <f ca="1">IFERROR(__xludf.DUMMYFUNCTION("""COMPUTED_VALUE"""),"Refrigeración sopladora")</f>
        <v>Refrigeración sopladora</v>
      </c>
      <c r="E26" s="5">
        <f ca="1">IFERROR(__xludf.DUMMYFUNCTION("""COMPUTED_VALUE"""),0.5)</f>
        <v>0.5</v>
      </c>
      <c r="F26" s="15">
        <f ca="1">IFERROR(__xludf.DUMMYFUNCTION("""COMPUTED_VALUE"""),0.583333333333333)</f>
        <v>0.58333333333333304</v>
      </c>
      <c r="G26" s="15">
        <f ca="1">IFERROR(__xludf.DUMMYFUNCTION("""COMPUTED_VALUE"""),0.604166666666666)</f>
        <v>0.60416666666666596</v>
      </c>
      <c r="H26" s="5" t="str">
        <f ca="1">IFERROR(__xludf.DUMMYFUNCTION("""COMPUTED_VALUE"""),"LINE 10")</f>
        <v>LINE 10</v>
      </c>
      <c r="I26" s="5"/>
      <c r="J26" s="5" t="str">
        <f ca="1">IFERROR(__xludf.DUMMYFUNCTION("""COMPUTED_VALUE"""),"SISTEMA DE REFRIGERACION COMPRESORES")</f>
        <v>SISTEMA DE REFRIGERACION COMPRESORES</v>
      </c>
      <c r="K26" s="5" t="str">
        <f ca="1">IFERROR(__xludf.DUMMYFUNCTION("""COMPUTED_VALUE"""),"BLANCO")</f>
        <v>BLANCO</v>
      </c>
    </row>
    <row r="27" spans="1:11" ht="13.2">
      <c r="A27" s="5" t="str">
        <f ca="1">IFERROR(__xludf.DUMMYFUNCTION("""COMPUTED_VALUE"""),"TURNO B")</f>
        <v>TURNO B</v>
      </c>
      <c r="B27" s="5">
        <f ca="1">IFERROR(__xludf.DUMMYFUNCTION("""COMPUTED_VALUE"""),23902876)</f>
        <v>23902876</v>
      </c>
      <c r="C27" s="14">
        <f ca="1">IFERROR(__xludf.DUMMYFUNCTION("""COMPUTED_VALUE"""),45355)</f>
        <v>45355</v>
      </c>
      <c r="D27" s="5" t="str">
        <f ca="1">IFERROR(__xludf.DUMMYFUNCTION("""COMPUTED_VALUE"""),"Falla en el dosificador de nitrógeno")</f>
        <v>Falla en el dosificador de nitrógeno</v>
      </c>
      <c r="E27" s="5">
        <f ca="1">IFERROR(__xludf.DUMMYFUNCTION("""COMPUTED_VALUE"""),0.58)</f>
        <v>0.57999999999999996</v>
      </c>
      <c r="F27" s="15">
        <f ca="1">IFERROR(__xludf.DUMMYFUNCTION("""COMPUTED_VALUE"""),0.645833333333333)</f>
        <v>0.64583333333333304</v>
      </c>
      <c r="G27" s="15">
        <f ca="1">IFERROR(__xludf.DUMMYFUNCTION("""COMPUTED_VALUE"""),0.670138888888888)</f>
        <v>0.67013888888888795</v>
      </c>
      <c r="H27" s="5" t="str">
        <f ca="1">IFERROR(__xludf.DUMMYFUNCTION("""COMPUTED_VALUE"""),"LINE 10")</f>
        <v>LINE 10</v>
      </c>
      <c r="I27" s="5"/>
      <c r="J27" s="5" t="str">
        <f ca="1">IFERROR(__xludf.DUMMYFUNCTION("""COMPUTED_VALUE"""),"FALLA DOSIFICADOR NITROGENO")</f>
        <v>FALLA DOSIFICADOR NITROGENO</v>
      </c>
      <c r="K27" s="5" t="str">
        <f ca="1">IFERROR(__xludf.DUMMYFUNCTION("""COMPUTED_VALUE"""),"BLANCO")</f>
        <v>BLANCO</v>
      </c>
    </row>
    <row r="28" spans="1:11" ht="13.2">
      <c r="A28" s="5" t="str">
        <f ca="1">IFERROR(__xludf.DUMMYFUNCTION("""COMPUTED_VALUE"""),"TURNO B")</f>
        <v>TURNO B</v>
      </c>
      <c r="B28" s="5">
        <f ca="1">IFERROR(__xludf.DUMMYFUNCTION("""COMPUTED_VALUE"""),23903037)</f>
        <v>23903037</v>
      </c>
      <c r="C28" s="14">
        <f ca="1">IFERROR(__xludf.DUMMYFUNCTION("""COMPUTED_VALUE"""),45355)</f>
        <v>45355</v>
      </c>
      <c r="D28" s="5" t="str">
        <f ca="1">IFERROR(__xludf.DUMMYFUNCTION("""COMPUTED_VALUE"""),"Abridor de salida torcido")</f>
        <v>Abridor de salida torcido</v>
      </c>
      <c r="E28" s="5">
        <f ca="1">IFERROR(__xludf.DUMMYFUNCTION("""COMPUTED_VALUE"""),0.68)</f>
        <v>0.68</v>
      </c>
      <c r="F28" s="15">
        <f ca="1">IFERROR(__xludf.DUMMYFUNCTION("""COMPUTED_VALUE"""),0.861111111111111)</f>
        <v>0.86111111111111105</v>
      </c>
      <c r="G28" s="15">
        <f ca="1">IFERROR(__xludf.DUMMYFUNCTION("""COMPUTED_VALUE"""),0.889583333333333)</f>
        <v>0.88958333333333295</v>
      </c>
      <c r="H28" s="5" t="str">
        <f ca="1">IFERROR(__xludf.DUMMYFUNCTION("""COMPUTED_VALUE"""),"LINE 10")</f>
        <v>LINE 10</v>
      </c>
      <c r="I28" s="5"/>
      <c r="J28" s="5" t="str">
        <f ca="1">IFERROR(__xludf.DUMMYFUNCTION("""COMPUTED_VALUE"""),"LLENADORA BOTELLAS PET")</f>
        <v>LLENADORA BOTELLAS PET</v>
      </c>
      <c r="K28" s="5" t="str">
        <f ca="1">IFERROR(__xludf.DUMMYFUNCTION("""COMPUTED_VALUE"""),"BLANCO")</f>
        <v>BLANCO</v>
      </c>
    </row>
    <row r="29" spans="1:11" ht="13.2">
      <c r="A29" s="5" t="str">
        <f ca="1">IFERROR(__xludf.DUMMYFUNCTION("""COMPUTED_VALUE"""),"TURNO B")</f>
        <v>TURNO B</v>
      </c>
      <c r="B29" s="5">
        <f ca="1">IFERROR(__xludf.DUMMYFUNCTION("""COMPUTED_VALUE"""),23903124)</f>
        <v>23903124</v>
      </c>
      <c r="C29" s="14">
        <f ca="1">IFERROR(__xludf.DUMMYFUNCTION("""COMPUTED_VALUE"""),45355)</f>
        <v>45355</v>
      </c>
      <c r="D29" s="5" t="str">
        <f ca="1">IFERROR(__xludf.DUMMYFUNCTION("""COMPUTED_VALUE"""),"Falla CIP residual")</f>
        <v>Falla CIP residual</v>
      </c>
      <c r="E29" s="5">
        <f ca="1">IFERROR(__xludf.DUMMYFUNCTION("""COMPUTED_VALUE"""),0.1)</f>
        <v>0.1</v>
      </c>
      <c r="F29" s="15">
        <f ca="1">IFERROR(__xludf.DUMMYFUNCTION("""COMPUTED_VALUE"""),0.889583333333333)</f>
        <v>0.88958333333333295</v>
      </c>
      <c r="G29" s="15">
        <f ca="1">IFERROR(__xludf.DUMMYFUNCTION("""COMPUTED_VALUE"""),0.893749999999999)</f>
        <v>0.89374999999999905</v>
      </c>
      <c r="H29" s="5" t="str">
        <f ca="1">IFERROR(__xludf.DUMMYFUNCTION("""COMPUTED_VALUE"""),"LINE 10")</f>
        <v>LINE 10</v>
      </c>
      <c r="I29" s="5"/>
      <c r="J29" s="5" t="str">
        <f ca="1">IFERROR(__xludf.DUMMYFUNCTION("""COMPUTED_VALUE"""),"SISTEMA F DE CIP")</f>
        <v>SISTEMA F DE CIP</v>
      </c>
      <c r="K29" s="5" t="str">
        <f ca="1">IFERROR(__xludf.DUMMYFUNCTION("""COMPUTED_VALUE"""),"BLANCO")</f>
        <v>BLANCO</v>
      </c>
    </row>
    <row r="30" spans="1:11" ht="13.2">
      <c r="A30" s="5" t="str">
        <f ca="1">IFERROR(__xludf.DUMMYFUNCTION("""COMPUTED_VALUE"""),"TURNO C")</f>
        <v>TURNO C</v>
      </c>
      <c r="B30" s="5">
        <f ca="1">IFERROR(__xludf.DUMMYFUNCTION("""COMPUTED_VALUE"""),23903375)</f>
        <v>23903375</v>
      </c>
      <c r="C30" s="14">
        <f ca="1">IFERROR(__xludf.DUMMYFUNCTION("""COMPUTED_VALUE"""),45355)</f>
        <v>45355</v>
      </c>
      <c r="D30" s="5" t="str">
        <f ca="1">IFERROR(__xludf.DUMMYFUNCTION("""COMPUTED_VALUE"""),"Encolamiento agregado No. 2")</f>
        <v>Encolamiento agregado No. 2</v>
      </c>
      <c r="E30" s="5">
        <f ca="1">IFERROR(__xludf.DUMMYFUNCTION("""COMPUTED_VALUE"""),0.3)</f>
        <v>0.3</v>
      </c>
      <c r="F30" s="15">
        <f ca="1">IFERROR(__xludf.DUMMYFUNCTION("""COMPUTED_VALUE"""),0.950694444444444)</f>
        <v>0.95069444444444395</v>
      </c>
      <c r="G30" s="15">
        <f ca="1">IFERROR(__xludf.DUMMYFUNCTION("""COMPUTED_VALUE"""),0.963194444444444)</f>
        <v>0.96319444444444402</v>
      </c>
      <c r="H30" s="5" t="str">
        <f ca="1">IFERROR(__xludf.DUMMYFUNCTION("""COMPUTED_VALUE"""),"LINE 10")</f>
        <v>LINE 10</v>
      </c>
      <c r="I30" s="5"/>
      <c r="J30" s="5" t="str">
        <f ca="1">IFERROR(__xludf.DUMMYFUNCTION("""COMPUTED_VALUE"""),"ETIQUETADORA ENVOLVENTE")</f>
        <v>ETIQUETADORA ENVOLVENTE</v>
      </c>
      <c r="K30" s="5" t="str">
        <f ca="1">IFERROR(__xludf.DUMMYFUNCTION("""COMPUTED_VALUE"""),"BLANCO")</f>
        <v>BLANCO</v>
      </c>
    </row>
    <row r="31" spans="1:11" ht="13.2">
      <c r="A31" s="5" t="str">
        <f ca="1">IFERROR(__xludf.DUMMYFUNCTION("""COMPUTED_VALUE"""),"TURNO B")</f>
        <v>TURNO B</v>
      </c>
      <c r="B31" s="5">
        <f ca="1">IFERROR(__xludf.DUMMYFUNCTION("""COMPUTED_VALUE"""),23903440)</f>
        <v>23903440</v>
      </c>
      <c r="C31" s="14">
        <f ca="1">IFERROR(__xludf.DUMMYFUNCTION("""COMPUTED_VALUE"""),45355)</f>
        <v>45355</v>
      </c>
      <c r="D31" s="5" t="str">
        <f ca="1">IFERROR(__xludf.DUMMYFUNCTION("""COMPUTED_VALUE"""),"Tapa atascada en bajante")</f>
        <v>Tapa atascada en bajante</v>
      </c>
      <c r="E31" s="5">
        <f ca="1">IFERROR(__xludf.DUMMYFUNCTION("""COMPUTED_VALUE"""),0.37)</f>
        <v>0.37</v>
      </c>
      <c r="F31" s="15">
        <f ca="1">IFERROR(__xludf.DUMMYFUNCTION("""COMPUTED_VALUE"""),0.0208333333333333)</f>
        <v>2.0833333333333301E-2</v>
      </c>
      <c r="G31" s="15">
        <f ca="1">IFERROR(__xludf.DUMMYFUNCTION("""COMPUTED_VALUE"""),0.0361111111111111)</f>
        <v>3.6111111111111101E-2</v>
      </c>
      <c r="H31" s="5" t="str">
        <f ca="1">IFERROR(__xludf.DUMMYFUNCTION("""COMPUTED_VALUE"""),"LINE 10")</f>
        <v>LINE 10</v>
      </c>
      <c r="I31" s="5">
        <f ca="1">IFERROR(__xludf.DUMMYFUNCTION("""COMPUTED_VALUE"""),20022138)</f>
        <v>20022138</v>
      </c>
      <c r="J31" s="5" t="str">
        <f ca="1">IFERROR(__xludf.DUMMYFUNCTION("""COMPUTED_VALUE"""),"INSPECTOR TAPA")</f>
        <v>INSPECTOR TAPA</v>
      </c>
      <c r="K31" s="5" t="str">
        <f ca="1">IFERROR(__xludf.DUMMYFUNCTION("""COMPUTED_VALUE"""),"Jose Correa")</f>
        <v>Jose Correa</v>
      </c>
    </row>
    <row r="32" spans="1:11" ht="13.2">
      <c r="A32" s="5" t="str">
        <f ca="1">IFERROR(__xludf.DUMMYFUNCTION("""COMPUTED_VALUE"""),"TURNO A")</f>
        <v>TURNO A</v>
      </c>
      <c r="B32" s="5">
        <f ca="1">IFERROR(__xludf.DUMMYFUNCTION("""COMPUTED_VALUE"""),23904504)</f>
        <v>23904504</v>
      </c>
      <c r="C32" s="14">
        <f ca="1">IFERROR(__xludf.DUMMYFUNCTION("""COMPUTED_VALUE"""),45356)</f>
        <v>45356</v>
      </c>
      <c r="D32" s="5" t="str">
        <f ca="1">IFERROR(__xludf.DUMMYFUNCTION("""COMPUTED_VALUE"""),"Encolamiento en agregado No. 1")</f>
        <v>Encolamiento en agregado No. 1</v>
      </c>
      <c r="E32" s="5">
        <f ca="1">IFERROR(__xludf.DUMMYFUNCTION("""COMPUTED_VALUE"""),0.43)</f>
        <v>0.43</v>
      </c>
      <c r="F32" s="15">
        <f ca="1">IFERROR(__xludf.DUMMYFUNCTION("""COMPUTED_VALUE"""),0.509722222222222)</f>
        <v>0.50972222222222197</v>
      </c>
      <c r="G32" s="15">
        <f ca="1">IFERROR(__xludf.DUMMYFUNCTION("""COMPUTED_VALUE"""),0.527777777777777)</f>
        <v>0.52777777777777701</v>
      </c>
      <c r="H32" s="5" t="str">
        <f ca="1">IFERROR(__xludf.DUMMYFUNCTION("""COMPUTED_VALUE"""),"LINE 10")</f>
        <v>LINE 10</v>
      </c>
      <c r="I32" s="5"/>
      <c r="J32" s="5" t="str">
        <f ca="1">IFERROR(__xludf.DUMMYFUNCTION("""COMPUTED_VALUE"""),"ETIQUETADORA ENVOLVENTE")</f>
        <v>ETIQUETADORA ENVOLVENTE</v>
      </c>
      <c r="K32" s="5" t="str">
        <f ca="1">IFERROR(__xludf.DUMMYFUNCTION("""COMPUTED_VALUE"""),"BLANCO")</f>
        <v>BLANCO</v>
      </c>
    </row>
    <row r="33" spans="1:11" ht="13.2">
      <c r="A33" s="5" t="str">
        <f ca="1">IFERROR(__xludf.DUMMYFUNCTION("""COMPUTED_VALUE"""),"TURNO A")</f>
        <v>TURNO A</v>
      </c>
      <c r="B33" s="5">
        <f ca="1">IFERROR(__xludf.DUMMYFUNCTION("""COMPUTED_VALUE"""),23904563)</f>
        <v>23904563</v>
      </c>
      <c r="C33" s="14">
        <f ca="1">IFERROR(__xludf.DUMMYFUNCTION("""COMPUTED_VALUE"""),45356)</f>
        <v>45356</v>
      </c>
      <c r="D33" s="5" t="str">
        <f ca="1">IFERROR(__xludf.DUMMYFUNCTION("""COMPUTED_VALUE"""),"Encolamiento en agregado No. 1")</f>
        <v>Encolamiento en agregado No. 1</v>
      </c>
      <c r="E33" s="5">
        <f ca="1">IFERROR(__xludf.DUMMYFUNCTION("""COMPUTED_VALUE"""),0.48)</f>
        <v>0.48</v>
      </c>
      <c r="F33" s="15">
        <f ca="1">IFERROR(__xludf.DUMMYFUNCTION("""COMPUTED_VALUE"""),0.555555555555555)</f>
        <v>0.55555555555555503</v>
      </c>
      <c r="G33" s="15">
        <f ca="1">IFERROR(__xludf.DUMMYFUNCTION("""COMPUTED_VALUE"""),0.575694444444444)</f>
        <v>0.57569444444444395</v>
      </c>
      <c r="H33" s="5" t="str">
        <f ca="1">IFERROR(__xludf.DUMMYFUNCTION("""COMPUTED_VALUE"""),"LINE 10")</f>
        <v>LINE 10</v>
      </c>
      <c r="I33" s="5">
        <f ca="1">IFERROR(__xludf.DUMMYFUNCTION("""COMPUTED_VALUE"""),20058001)</f>
        <v>20058001</v>
      </c>
      <c r="J33" s="5" t="str">
        <f ca="1">IFERROR(__xludf.DUMMYFUNCTION("""COMPUTED_VALUE"""),"ETIQUETADORA ENVOLVENTE")</f>
        <v>ETIQUETADORA ENVOLVENTE</v>
      </c>
      <c r="K33" s="5" t="str">
        <f ca="1">IFERROR(__xludf.DUMMYFUNCTION("""COMPUTED_VALUE"""),"Bonilla Edwin")</f>
        <v>Bonilla Edwin</v>
      </c>
    </row>
    <row r="34" spans="1:11" ht="13.2">
      <c r="A34" s="5" t="str">
        <f ca="1">IFERROR(__xludf.DUMMYFUNCTION("""COMPUTED_VALUE"""),"TURNO B")</f>
        <v>TURNO B</v>
      </c>
      <c r="B34" s="5">
        <f ca="1">IFERROR(__xludf.DUMMYFUNCTION("""COMPUTED_VALUE"""),23904882)</f>
        <v>23904882</v>
      </c>
      <c r="C34" s="14">
        <f ca="1">IFERROR(__xludf.DUMMYFUNCTION("""COMPUTED_VALUE"""),45356)</f>
        <v>45356</v>
      </c>
      <c r="D34" s="5" t="str">
        <f ca="1">IFERROR(__xludf.DUMMYFUNCTION("""COMPUTED_VALUE"""),"Encolamiento en agregado No. 1")</f>
        <v>Encolamiento en agregado No. 1</v>
      </c>
      <c r="E34" s="5">
        <f ca="1">IFERROR(__xludf.DUMMYFUNCTION("""COMPUTED_VALUE"""),0.67)</f>
        <v>0.67</v>
      </c>
      <c r="F34" s="15">
        <f ca="1">IFERROR(__xludf.DUMMYFUNCTION("""COMPUTED_VALUE"""),0.625)</f>
        <v>0.625</v>
      </c>
      <c r="G34" s="15">
        <f ca="1">IFERROR(__xludf.DUMMYFUNCTION("""COMPUTED_VALUE"""),0.652777777777777)</f>
        <v>0.65277777777777701</v>
      </c>
      <c r="H34" s="5" t="str">
        <f ca="1">IFERROR(__xludf.DUMMYFUNCTION("""COMPUTED_VALUE"""),"LINE 10")</f>
        <v>LINE 10</v>
      </c>
      <c r="I34" s="5">
        <f ca="1">IFERROR(__xludf.DUMMYFUNCTION("""COMPUTED_VALUE"""),20010079)</f>
        <v>20010079</v>
      </c>
      <c r="J34" s="5" t="str">
        <f ca="1">IFERROR(__xludf.DUMMYFUNCTION("""COMPUTED_VALUE"""),"ETIQUETADORA ENVOLVENTE")</f>
        <v>ETIQUETADORA ENVOLVENTE</v>
      </c>
      <c r="K34" s="5" t="str">
        <f ca="1">IFERROR(__xludf.DUMMYFUNCTION("""COMPUTED_VALUE"""),"Peña Quiñonez Andres Gilberto")</f>
        <v>Peña Quiñonez Andres Gilberto</v>
      </c>
    </row>
    <row r="35" spans="1:11" ht="13.2">
      <c r="A35" s="5" t="str">
        <f ca="1">IFERROR(__xludf.DUMMYFUNCTION("""COMPUTED_VALUE"""),"TURNO B")</f>
        <v>TURNO B</v>
      </c>
      <c r="B35" s="5">
        <f ca="1">IFERROR(__xludf.DUMMYFUNCTION("""COMPUTED_VALUE"""),23905147)</f>
        <v>23905147</v>
      </c>
      <c r="C35" s="14">
        <f ca="1">IFERROR(__xludf.DUMMYFUNCTION("""COMPUTED_VALUE"""),45356)</f>
        <v>45356</v>
      </c>
      <c r="D35" s="5" t="str">
        <f ca="1">IFERROR(__xludf.DUMMYFUNCTION("""COMPUTED_VALUE"""),"Refrigeración tablero eléctrico checkmat")</f>
        <v>Refrigeración tablero eléctrico checkmat</v>
      </c>
      <c r="E35" s="5">
        <f ca="1">IFERROR(__xludf.DUMMYFUNCTION("""COMPUTED_VALUE"""),0.45)</f>
        <v>0.45</v>
      </c>
      <c r="F35" s="15">
        <f ca="1">IFERROR(__xludf.DUMMYFUNCTION("""COMPUTED_VALUE"""),0.715277777777777)</f>
        <v>0.71527777777777701</v>
      </c>
      <c r="G35" s="15">
        <f ca="1">IFERROR(__xludf.DUMMYFUNCTION("""COMPUTED_VALUE"""),0.734027777777777)</f>
        <v>0.73402777777777695</v>
      </c>
      <c r="H35" s="5" t="str">
        <f ca="1">IFERROR(__xludf.DUMMYFUNCTION("""COMPUTED_VALUE"""),"LINE 10")</f>
        <v>LINE 10</v>
      </c>
      <c r="I35" s="5">
        <f ca="1">IFERROR(__xludf.DUMMYFUNCTION("""COMPUTED_VALUE"""),20031425)</f>
        <v>20031425</v>
      </c>
      <c r="J35" s="5" t="str">
        <f ca="1">IFERROR(__xludf.DUMMYFUNCTION("""COMPUTED_VALUE"""),"INSPECTOR DE ENVASE LLENO")</f>
        <v>INSPECTOR DE ENVASE LLENO</v>
      </c>
      <c r="K35" s="5" t="str">
        <f ca="1">IFERROR(__xludf.DUMMYFUNCTION("""COMPUTED_VALUE"""),"Luis Gordillo")</f>
        <v>Luis Gordillo</v>
      </c>
    </row>
    <row r="36" spans="1:11" ht="13.2">
      <c r="A36" s="5" t="str">
        <f ca="1">IFERROR(__xludf.DUMMYFUNCTION("""COMPUTED_VALUE"""),"TURNO B")</f>
        <v>TURNO B</v>
      </c>
      <c r="B36" s="5">
        <f ca="1">IFERROR(__xludf.DUMMYFUNCTION("""COMPUTED_VALUE"""),23905172)</f>
        <v>23905172</v>
      </c>
      <c r="C36" s="14">
        <f ca="1">IFERROR(__xludf.DUMMYFUNCTION("""COMPUTED_VALUE"""),45356)</f>
        <v>45356</v>
      </c>
      <c r="D36" s="5" t="str">
        <f ca="1">IFERROR(__xludf.DUMMYFUNCTION("""COMPUTED_VALUE"""),"Atascamiento tapa volteada")</f>
        <v>Atascamiento tapa volteada</v>
      </c>
      <c r="E36" s="5">
        <f ca="1">IFERROR(__xludf.DUMMYFUNCTION("""COMPUTED_VALUE"""),0.25)</f>
        <v>0.25</v>
      </c>
      <c r="F36" s="15">
        <f ca="1">IFERROR(__xludf.DUMMYFUNCTION("""COMPUTED_VALUE"""),0.729166666666666)</f>
        <v>0.72916666666666596</v>
      </c>
      <c r="G36" s="15">
        <f ca="1">IFERROR(__xludf.DUMMYFUNCTION("""COMPUTED_VALUE"""),0.739583333333333)</f>
        <v>0.73958333333333304</v>
      </c>
      <c r="H36" s="5" t="str">
        <f ca="1">IFERROR(__xludf.DUMMYFUNCTION("""COMPUTED_VALUE"""),"LINE 10")</f>
        <v>LINE 10</v>
      </c>
      <c r="I36" s="5">
        <f ca="1">IFERROR(__xludf.DUMMYFUNCTION("""COMPUTED_VALUE"""),20031425)</f>
        <v>20031425</v>
      </c>
      <c r="J36" s="5" t="str">
        <f ca="1">IFERROR(__xludf.DUMMYFUNCTION("""COMPUTED_VALUE"""),"INSPECTOR TAPA")</f>
        <v>INSPECTOR TAPA</v>
      </c>
      <c r="K36" s="5" t="str">
        <f ca="1">IFERROR(__xludf.DUMMYFUNCTION("""COMPUTED_VALUE"""),"Luis Gordillo")</f>
        <v>Luis Gordillo</v>
      </c>
    </row>
    <row r="37" spans="1:11" ht="13.2">
      <c r="A37" s="5" t="str">
        <f ca="1">IFERROR(__xludf.DUMMYFUNCTION("""COMPUTED_VALUE"""),"TURNO C")</f>
        <v>TURNO C</v>
      </c>
      <c r="B37" s="5">
        <f ca="1">IFERROR(__xludf.DUMMYFUNCTION("""COMPUTED_VALUE"""),23905367)</f>
        <v>23905367</v>
      </c>
      <c r="C37" s="14">
        <f ca="1">IFERROR(__xludf.DUMMYFUNCTION("""COMPUTED_VALUE"""),45356)</f>
        <v>45356</v>
      </c>
      <c r="D37" s="5" t="str">
        <f ca="1">IFERROR(__xludf.DUMMYFUNCTION("""COMPUTED_VALUE"""),"Tapa atascada en bajante")</f>
        <v>Tapa atascada en bajante</v>
      </c>
      <c r="E37" s="5">
        <f ca="1">IFERROR(__xludf.DUMMYFUNCTION("""COMPUTED_VALUE"""),0.2)</f>
        <v>0.2</v>
      </c>
      <c r="F37" s="15">
        <f ca="1">IFERROR(__xludf.DUMMYFUNCTION("""COMPUTED_VALUE"""),0.00694444444444444)</f>
        <v>6.9444444444444397E-3</v>
      </c>
      <c r="G37" s="15">
        <f ca="1">IFERROR(__xludf.DUMMYFUNCTION("""COMPUTED_VALUE"""),0.0152777777777777)</f>
        <v>1.5277777777777699E-2</v>
      </c>
      <c r="H37" s="5" t="str">
        <f ca="1">IFERROR(__xludf.DUMMYFUNCTION("""COMPUTED_VALUE"""),"LINE 10")</f>
        <v>LINE 10</v>
      </c>
      <c r="I37" s="5">
        <f ca="1">IFERROR(__xludf.DUMMYFUNCTION("""COMPUTED_VALUE"""),20022138)</f>
        <v>20022138</v>
      </c>
      <c r="J37" s="5" t="str">
        <f ca="1">IFERROR(__xludf.DUMMYFUNCTION("""COMPUTED_VALUE"""),"INSPECTOR TAPA")</f>
        <v>INSPECTOR TAPA</v>
      </c>
      <c r="K37" s="5" t="str">
        <f ca="1">IFERROR(__xludf.DUMMYFUNCTION("""COMPUTED_VALUE"""),"Jose Correa")</f>
        <v>Jose Correa</v>
      </c>
    </row>
    <row r="38" spans="1:11" ht="13.2">
      <c r="A38" s="5" t="str">
        <f ca="1">IFERROR(__xludf.DUMMYFUNCTION("""COMPUTED_VALUE"""),"TURNO C")</f>
        <v>TURNO C</v>
      </c>
      <c r="B38" s="5">
        <f ca="1">IFERROR(__xludf.DUMMYFUNCTION("""COMPUTED_VALUE"""),23905368)</f>
        <v>23905368</v>
      </c>
      <c r="C38" s="14">
        <f ca="1">IFERROR(__xludf.DUMMYFUNCTION("""COMPUTED_VALUE"""),45356)</f>
        <v>45356</v>
      </c>
      <c r="D38" s="5" t="str">
        <f ca="1">IFERROR(__xludf.DUMMYFUNCTION("""COMPUTED_VALUE"""),"Preforma atascada en transportador")</f>
        <v>Preforma atascada en transportador</v>
      </c>
      <c r="E38" s="5">
        <f ca="1">IFERROR(__xludf.DUMMYFUNCTION("""COMPUTED_VALUE"""),0.22)</f>
        <v>0.22</v>
      </c>
      <c r="F38" s="15">
        <f ca="1">IFERROR(__xludf.DUMMYFUNCTION("""COMPUTED_VALUE"""),0.0208333333333333)</f>
        <v>2.0833333333333301E-2</v>
      </c>
      <c r="G38" s="15">
        <f ca="1">IFERROR(__xludf.DUMMYFUNCTION("""COMPUTED_VALUE"""),0.0298611111111111)</f>
        <v>2.9861111111111099E-2</v>
      </c>
      <c r="H38" s="5" t="str">
        <f ca="1">IFERROR(__xludf.DUMMYFUNCTION("""COMPUTED_VALUE"""),"LINE 10")</f>
        <v>LINE 10</v>
      </c>
      <c r="I38" s="5"/>
      <c r="J38" s="5" t="str">
        <f ca="1">IFERROR(__xludf.DUMMYFUNCTION("""COMPUTED_VALUE"""),"TRANSPORTADOR DE PREFORMA")</f>
        <v>TRANSPORTADOR DE PREFORMA</v>
      </c>
      <c r="K38" s="5" t="str">
        <f ca="1">IFERROR(__xludf.DUMMYFUNCTION("""COMPUTED_VALUE"""),"BLANCO")</f>
        <v>BLANCO</v>
      </c>
    </row>
    <row r="39" spans="1:11" ht="13.2">
      <c r="A39" s="5" t="str">
        <f ca="1">IFERROR(__xludf.DUMMYFUNCTION("""COMPUTED_VALUE"""),"TURNO C")</f>
        <v>TURNO C</v>
      </c>
      <c r="B39" s="5">
        <f ca="1">IFERROR(__xludf.DUMMYFUNCTION("""COMPUTED_VALUE"""),23905369)</f>
        <v>23905369</v>
      </c>
      <c r="C39" s="14">
        <f ca="1">IFERROR(__xludf.DUMMYFUNCTION("""COMPUTED_VALUE"""),45356)</f>
        <v>45356</v>
      </c>
      <c r="D39" s="5" t="str">
        <f ca="1">IFERROR(__xludf.DUMMYFUNCTION("""COMPUTED_VALUE"""),"Encolamiento por ausencia botella")</f>
        <v>Encolamiento por ausencia botella</v>
      </c>
      <c r="E39" s="5">
        <f ca="1">IFERROR(__xludf.DUMMYFUNCTION("""COMPUTED_VALUE"""),0.27)</f>
        <v>0.27</v>
      </c>
      <c r="F39" s="15">
        <f ca="1">IFERROR(__xludf.DUMMYFUNCTION("""COMPUTED_VALUE"""),0.0347222222222222)</f>
        <v>3.4722222222222203E-2</v>
      </c>
      <c r="G39" s="15">
        <f ca="1">IFERROR(__xludf.DUMMYFUNCTION("""COMPUTED_VALUE"""),0.0458333333333333)</f>
        <v>4.5833333333333302E-2</v>
      </c>
      <c r="H39" s="5" t="str">
        <f ca="1">IFERROR(__xludf.DUMMYFUNCTION("""COMPUTED_VALUE"""),"LINE 10")</f>
        <v>LINE 10</v>
      </c>
      <c r="I39" s="5">
        <f ca="1">IFERROR(__xludf.DUMMYFUNCTION("""COMPUTED_VALUE"""),20043570)</f>
        <v>20043570</v>
      </c>
      <c r="J39" s="5" t="str">
        <f ca="1">IFERROR(__xludf.DUMMYFUNCTION("""COMPUTED_VALUE"""),"ETIQUETADORA ENVOLVENTE")</f>
        <v>ETIQUETADORA ENVOLVENTE</v>
      </c>
      <c r="K39" s="5" t="str">
        <f ca="1">IFERROR(__xludf.DUMMYFUNCTION("""COMPUTED_VALUE"""),"Jhon Navas")</f>
        <v>Jhon Navas</v>
      </c>
    </row>
    <row r="40" spans="1:11" ht="13.2">
      <c r="A40" s="5" t="str">
        <f ca="1">IFERROR(__xludf.DUMMYFUNCTION("""COMPUTED_VALUE"""),"TURNO C")</f>
        <v>TURNO C</v>
      </c>
      <c r="B40" s="5">
        <f ca="1">IFERROR(__xludf.DUMMYFUNCTION("""COMPUTED_VALUE"""),23905510)</f>
        <v>23905510</v>
      </c>
      <c r="C40" s="14">
        <f ca="1">IFERROR(__xludf.DUMMYFUNCTION("""COMPUTED_VALUE"""),45356)</f>
        <v>45356</v>
      </c>
      <c r="D40" s="5" t="str">
        <f ca="1">IFERROR(__xludf.DUMMYFUNCTION("""COMPUTED_VALUE"""),"Contraste tapa")</f>
        <v>Contraste tapa</v>
      </c>
      <c r="E40" s="5">
        <f ca="1">IFERROR(__xludf.DUMMYFUNCTION("""COMPUTED_VALUE"""),0.38)</f>
        <v>0.38</v>
      </c>
      <c r="F40" s="15">
        <f ca="1">IFERROR(__xludf.DUMMYFUNCTION("""COMPUTED_VALUE"""),0.0763888888888889)</f>
        <v>7.6388888888888895E-2</v>
      </c>
      <c r="G40" s="15">
        <f ca="1">IFERROR(__xludf.DUMMYFUNCTION("""COMPUTED_VALUE"""),0.0923611111111111)</f>
        <v>9.2361111111111102E-2</v>
      </c>
      <c r="H40" s="5" t="str">
        <f ca="1">IFERROR(__xludf.DUMMYFUNCTION("""COMPUTED_VALUE"""),"LINE 10")</f>
        <v>LINE 10</v>
      </c>
      <c r="I40" s="5">
        <f ca="1">IFERROR(__xludf.DUMMYFUNCTION("""COMPUTED_VALUE"""),20022138)</f>
        <v>20022138</v>
      </c>
      <c r="J40" s="5" t="str">
        <f ca="1">IFERROR(__xludf.DUMMYFUNCTION("""COMPUTED_VALUE"""),"INSPECTOR TAPA")</f>
        <v>INSPECTOR TAPA</v>
      </c>
      <c r="K40" s="5" t="str">
        <f ca="1">IFERROR(__xludf.DUMMYFUNCTION("""COMPUTED_VALUE"""),"Jose Correa")</f>
        <v>Jose Correa</v>
      </c>
    </row>
    <row r="41" spans="1:11" ht="13.2">
      <c r="A41" s="5" t="str">
        <f ca="1">IFERROR(__xludf.DUMMYFUNCTION("""COMPUTED_VALUE"""),"TURNO C")</f>
        <v>TURNO C</v>
      </c>
      <c r="B41" s="5">
        <f ca="1">IFERROR(__xludf.DUMMYFUNCTION("""COMPUTED_VALUE"""),23905634)</f>
        <v>23905634</v>
      </c>
      <c r="C41" s="14">
        <f ca="1">IFERROR(__xludf.DUMMYFUNCTION("""COMPUTED_VALUE"""),45356)</f>
        <v>45356</v>
      </c>
      <c r="D41" s="5" t="str">
        <f ca="1">IFERROR(__xludf.DUMMYFUNCTION("""COMPUTED_VALUE"""),"Preforma atascada en transportador")</f>
        <v>Preforma atascada en transportador</v>
      </c>
      <c r="E41" s="5">
        <f ca="1">IFERROR(__xludf.DUMMYFUNCTION("""COMPUTED_VALUE"""),0.13)</f>
        <v>0.13</v>
      </c>
      <c r="F41" s="15">
        <f ca="1">IFERROR(__xludf.DUMMYFUNCTION("""COMPUTED_VALUE"""),0.104166666666666)</f>
        <v>0.10416666666666601</v>
      </c>
      <c r="G41" s="15">
        <f ca="1">IFERROR(__xludf.DUMMYFUNCTION("""COMPUTED_VALUE"""),0.109722222222222)</f>
        <v>0.109722222222222</v>
      </c>
      <c r="H41" s="5" t="str">
        <f ca="1">IFERROR(__xludf.DUMMYFUNCTION("""COMPUTED_VALUE"""),"LINE 10")</f>
        <v>LINE 10</v>
      </c>
      <c r="I41" s="5"/>
      <c r="J41" s="5" t="str">
        <f ca="1">IFERROR(__xludf.DUMMYFUNCTION("""COMPUTED_VALUE"""),"TRANSPORTADOR DE PREFORMA")</f>
        <v>TRANSPORTADOR DE PREFORMA</v>
      </c>
      <c r="K41" s="5" t="str">
        <f ca="1">IFERROR(__xludf.DUMMYFUNCTION("""COMPUTED_VALUE"""),"BLANCO")</f>
        <v>BLANCO</v>
      </c>
    </row>
    <row r="42" spans="1:11" ht="13.2">
      <c r="A42" s="5" t="str">
        <f ca="1">IFERROR(__xludf.DUMMYFUNCTION("""COMPUTED_VALUE"""),"TURNO A")</f>
        <v>TURNO A</v>
      </c>
      <c r="B42" s="5">
        <f ca="1">IFERROR(__xludf.DUMMYFUNCTION("""COMPUTED_VALUE"""),23906271)</f>
        <v>23906271</v>
      </c>
      <c r="C42" s="14">
        <f ca="1">IFERROR(__xludf.DUMMYFUNCTION("""COMPUTED_VALUE"""),45357)</f>
        <v>45357</v>
      </c>
      <c r="D42" s="5" t="str">
        <f ca="1">IFERROR(__xludf.DUMMYFUNCTION("""COMPUTED_VALUE"""),"Tapa atascada en bajante")</f>
        <v>Tapa atascada en bajante</v>
      </c>
      <c r="E42" s="5">
        <f ca="1">IFERROR(__xludf.DUMMYFUNCTION("""COMPUTED_VALUE"""),0.32)</f>
        <v>0.32</v>
      </c>
      <c r="F42" s="15">
        <f ca="1">IFERROR(__xludf.DUMMYFUNCTION("""COMPUTED_VALUE"""),0.256944444444444)</f>
        <v>0.25694444444444398</v>
      </c>
      <c r="G42" s="15">
        <f ca="1">IFERROR(__xludf.DUMMYFUNCTION("""COMPUTED_VALUE"""),0.270138888888888)</f>
        <v>0.27013888888888798</v>
      </c>
      <c r="H42" s="5" t="str">
        <f ca="1">IFERROR(__xludf.DUMMYFUNCTION("""COMPUTED_VALUE"""),"LINE 10")</f>
        <v>LINE 10</v>
      </c>
      <c r="I42" s="5"/>
      <c r="J42" s="5" t="str">
        <f ca="1">IFERROR(__xludf.DUMMYFUNCTION("""COMPUTED_VALUE"""),"INSPECTOR TAPA")</f>
        <v>INSPECTOR TAPA</v>
      </c>
      <c r="K42" s="5" t="str">
        <f ca="1">IFERROR(__xludf.DUMMYFUNCTION("""COMPUTED_VALUE"""),"BLANCO")</f>
        <v>BLANCO</v>
      </c>
    </row>
    <row r="43" spans="1:11" ht="13.2">
      <c r="A43" s="5" t="str">
        <f ca="1">IFERROR(__xludf.DUMMYFUNCTION("""COMPUTED_VALUE"""),"TURNO A")</f>
        <v>TURNO A</v>
      </c>
      <c r="B43" s="5">
        <f ca="1">IFERROR(__xludf.DUMMYFUNCTION("""COMPUTED_VALUE"""),23906313)</f>
        <v>23906313</v>
      </c>
      <c r="C43" s="14">
        <f ca="1">IFERROR(__xludf.DUMMYFUNCTION("""COMPUTED_VALUE"""),45357)</f>
        <v>45357</v>
      </c>
      <c r="D43" s="5" t="str">
        <f ca="1">IFERROR(__xludf.DUMMYFUNCTION("""COMPUTED_VALUE"""),"Encolamiento en agregado No. 1")</f>
        <v>Encolamiento en agregado No. 1</v>
      </c>
      <c r="E43" s="5">
        <f ca="1">IFERROR(__xludf.DUMMYFUNCTION("""COMPUTED_VALUE"""),0.13)</f>
        <v>0.13</v>
      </c>
      <c r="F43" s="15">
        <f ca="1">IFERROR(__xludf.DUMMYFUNCTION("""COMPUTED_VALUE"""),0.333333333333333)</f>
        <v>0.33333333333333298</v>
      </c>
      <c r="G43" s="15">
        <f ca="1">IFERROR(__xludf.DUMMYFUNCTION("""COMPUTED_VALUE"""),0.338888888888888)</f>
        <v>0.33888888888888802</v>
      </c>
      <c r="H43" s="5" t="str">
        <f ca="1">IFERROR(__xludf.DUMMYFUNCTION("""COMPUTED_VALUE"""),"LINE 10")</f>
        <v>LINE 10</v>
      </c>
      <c r="I43" s="5"/>
      <c r="J43" s="5" t="str">
        <f ca="1">IFERROR(__xludf.DUMMYFUNCTION("""COMPUTED_VALUE"""),"ETIQUETADORA ENVOLVENTE")</f>
        <v>ETIQUETADORA ENVOLVENTE</v>
      </c>
      <c r="K43" s="5" t="str">
        <f ca="1">IFERROR(__xludf.DUMMYFUNCTION("""COMPUTED_VALUE"""),"BLANCO")</f>
        <v>BLANCO</v>
      </c>
    </row>
    <row r="44" spans="1:11" ht="13.2">
      <c r="A44" s="5" t="str">
        <f ca="1">IFERROR(__xludf.DUMMYFUNCTION("""COMPUTED_VALUE"""),"TURNO B")</f>
        <v>TURNO B</v>
      </c>
      <c r="B44" s="5">
        <f ca="1">IFERROR(__xludf.DUMMYFUNCTION("""COMPUTED_VALUE"""),23907337)</f>
        <v>23907337</v>
      </c>
      <c r="C44" s="14">
        <f ca="1">IFERROR(__xludf.DUMMYFUNCTION("""COMPUTED_VALUE"""),45357)</f>
        <v>45357</v>
      </c>
      <c r="D44" s="5" t="str">
        <f ca="1">IFERROR(__xludf.DUMMYFUNCTION("""COMPUTED_VALUE"""),"Encolamiento por exceso de pegante")</f>
        <v>Encolamiento por exceso de pegante</v>
      </c>
      <c r="E44" s="5">
        <f ca="1">IFERROR(__xludf.DUMMYFUNCTION("""COMPUTED_VALUE"""),0.33)</f>
        <v>0.33</v>
      </c>
      <c r="F44" s="15">
        <f ca="1">IFERROR(__xludf.DUMMYFUNCTION("""COMPUTED_VALUE"""),0.625)</f>
        <v>0.625</v>
      </c>
      <c r="G44" s="15">
        <f ca="1">IFERROR(__xludf.DUMMYFUNCTION("""COMPUTED_VALUE"""),0.638888888888889)</f>
        <v>0.63888888888888895</v>
      </c>
      <c r="H44" s="5" t="str">
        <f ca="1">IFERROR(__xludf.DUMMYFUNCTION("""COMPUTED_VALUE"""),"LINE 10")</f>
        <v>LINE 10</v>
      </c>
      <c r="I44" s="5">
        <f ca="1">IFERROR(__xludf.DUMMYFUNCTION("""COMPUTED_VALUE"""),20010079)</f>
        <v>20010079</v>
      </c>
      <c r="J44" s="5" t="str">
        <f ca="1">IFERROR(__xludf.DUMMYFUNCTION("""COMPUTED_VALUE"""),"ETIQUETADORA ENVOLVENTE")</f>
        <v>ETIQUETADORA ENVOLVENTE</v>
      </c>
      <c r="K44" s="5" t="str">
        <f ca="1">IFERROR(__xludf.DUMMYFUNCTION("""COMPUTED_VALUE"""),"Peña Quiñonez Andres Gilberto")</f>
        <v>Peña Quiñonez Andres Gilberto</v>
      </c>
    </row>
    <row r="45" spans="1:11" ht="13.2">
      <c r="A45" s="5" t="str">
        <f ca="1">IFERROR(__xludf.DUMMYFUNCTION("""COMPUTED_VALUE"""),"TURNO B")</f>
        <v>TURNO B</v>
      </c>
      <c r="B45" s="5">
        <f ca="1">IFERROR(__xludf.DUMMYFUNCTION("""COMPUTED_VALUE"""),23907339)</f>
        <v>23907339</v>
      </c>
      <c r="C45" s="14">
        <f ca="1">IFERROR(__xludf.DUMMYFUNCTION("""COMPUTED_VALUE"""),45357)</f>
        <v>45357</v>
      </c>
      <c r="D45" s="5" t="str">
        <f ca="1">IFERROR(__xludf.DUMMYFUNCTION("""COMPUTED_VALUE"""),"Encolamiento por exceso de pegante")</f>
        <v>Encolamiento por exceso de pegante</v>
      </c>
      <c r="E45" s="5">
        <f ca="1">IFERROR(__xludf.DUMMYFUNCTION("""COMPUTED_VALUE"""),0.25)</f>
        <v>0.25</v>
      </c>
      <c r="F45" s="15">
        <f ca="1">IFERROR(__xludf.DUMMYFUNCTION("""COMPUTED_VALUE"""),0.6875)</f>
        <v>0.6875</v>
      </c>
      <c r="G45" s="15">
        <f ca="1">IFERROR(__xludf.DUMMYFUNCTION("""COMPUTED_VALUE"""),0.697916666666666)</f>
        <v>0.69791666666666596</v>
      </c>
      <c r="H45" s="5" t="str">
        <f ca="1">IFERROR(__xludf.DUMMYFUNCTION("""COMPUTED_VALUE"""),"LINE 10")</f>
        <v>LINE 10</v>
      </c>
      <c r="I45" s="5">
        <f ca="1">IFERROR(__xludf.DUMMYFUNCTION("""COMPUTED_VALUE"""),20010079)</f>
        <v>20010079</v>
      </c>
      <c r="J45" s="5" t="str">
        <f ca="1">IFERROR(__xludf.DUMMYFUNCTION("""COMPUTED_VALUE"""),"ETIQUETADORA ENVOLVENTE")</f>
        <v>ETIQUETADORA ENVOLVENTE</v>
      </c>
      <c r="K45" s="5" t="str">
        <f ca="1">IFERROR(__xludf.DUMMYFUNCTION("""COMPUTED_VALUE"""),"Peña Quiñonez Andres Gilberto")</f>
        <v>Peña Quiñonez Andres Gilberto</v>
      </c>
    </row>
    <row r="46" spans="1:11" ht="13.2">
      <c r="A46" s="5" t="str">
        <f ca="1">IFERROR(__xludf.DUMMYFUNCTION("""COMPUTED_VALUE"""),"TURNO B")</f>
        <v>TURNO B</v>
      </c>
      <c r="B46" s="5">
        <f ca="1">IFERROR(__xludf.DUMMYFUNCTION("""COMPUTED_VALUE"""),23907535)</f>
        <v>23907535</v>
      </c>
      <c r="C46" s="14">
        <f ca="1">IFERROR(__xludf.DUMMYFUNCTION("""COMPUTED_VALUE"""),45357)</f>
        <v>45357</v>
      </c>
      <c r="D46" s="5" t="str">
        <f ca="1">IFERROR(__xludf.DUMMYFUNCTION("""COMPUTED_VALUE"""),"Atascamiento tapa volteada")</f>
        <v>Atascamiento tapa volteada</v>
      </c>
      <c r="E46" s="5">
        <f ca="1">IFERROR(__xludf.DUMMYFUNCTION("""COMPUTED_VALUE"""),0.15)</f>
        <v>0.15</v>
      </c>
      <c r="F46" s="15">
        <f ca="1">IFERROR(__xludf.DUMMYFUNCTION("""COMPUTED_VALUE"""),0.854166666666666)</f>
        <v>0.85416666666666596</v>
      </c>
      <c r="G46" s="15">
        <f ca="1">IFERROR(__xludf.DUMMYFUNCTION("""COMPUTED_VALUE"""),0.860416666666666)</f>
        <v>0.86041666666666605</v>
      </c>
      <c r="H46" s="5" t="str">
        <f ca="1">IFERROR(__xludf.DUMMYFUNCTION("""COMPUTED_VALUE"""),"LINE 10")</f>
        <v>LINE 10</v>
      </c>
      <c r="I46" s="5">
        <f ca="1">IFERROR(__xludf.DUMMYFUNCTION("""COMPUTED_VALUE"""),20032893)</f>
        <v>20032893</v>
      </c>
      <c r="J46" s="5" t="str">
        <f ca="1">IFERROR(__xludf.DUMMYFUNCTION("""COMPUTED_VALUE"""),"INSPECTOR TAPA")</f>
        <v>INSPECTOR TAPA</v>
      </c>
      <c r="K46" s="5" t="str">
        <f ca="1">IFERROR(__xludf.DUMMYFUNCTION("""COMPUTED_VALUE"""),"Bolaños Camacho Luis Miguel")</f>
        <v>Bolaños Camacho Luis Miguel</v>
      </c>
    </row>
    <row r="47" spans="1:11" ht="13.2">
      <c r="A47" s="5" t="str">
        <f ca="1">IFERROR(__xludf.DUMMYFUNCTION("""COMPUTED_VALUE"""),"TURNO C")</f>
        <v>TURNO C</v>
      </c>
      <c r="B47" s="5">
        <f ca="1">IFERROR(__xludf.DUMMYFUNCTION("""COMPUTED_VALUE"""),23907802)</f>
        <v>23907802</v>
      </c>
      <c r="C47" s="14">
        <f ca="1">IFERROR(__xludf.DUMMYFUNCTION("""COMPUTED_VALUE"""),45357)</f>
        <v>45357</v>
      </c>
      <c r="D47" s="5" t="str">
        <f ca="1">IFERROR(__xludf.DUMMYFUNCTION("""COMPUTED_VALUE"""),"Encolamiento por ausencia botella")</f>
        <v>Encolamiento por ausencia botella</v>
      </c>
      <c r="E47" s="5">
        <f ca="1">IFERROR(__xludf.DUMMYFUNCTION("""COMPUTED_VALUE"""),0.2)</f>
        <v>0.2</v>
      </c>
      <c r="F47" s="15">
        <f ca="1">IFERROR(__xludf.DUMMYFUNCTION("""COMPUTED_VALUE"""),0.9375)</f>
        <v>0.9375</v>
      </c>
      <c r="G47" s="15">
        <f ca="1">IFERROR(__xludf.DUMMYFUNCTION("""COMPUTED_VALUE"""),0.945833333333333)</f>
        <v>0.94583333333333297</v>
      </c>
      <c r="H47" s="5" t="str">
        <f ca="1">IFERROR(__xludf.DUMMYFUNCTION("""COMPUTED_VALUE"""),"LINE 10")</f>
        <v>LINE 10</v>
      </c>
      <c r="I47" s="5">
        <f ca="1">IFERROR(__xludf.DUMMYFUNCTION("""COMPUTED_VALUE"""),20043570)</f>
        <v>20043570</v>
      </c>
      <c r="J47" s="5" t="str">
        <f ca="1">IFERROR(__xludf.DUMMYFUNCTION("""COMPUTED_VALUE"""),"ETIQUETADORA ENVOLVENTE")</f>
        <v>ETIQUETADORA ENVOLVENTE</v>
      </c>
      <c r="K47" s="5" t="str">
        <f ca="1">IFERROR(__xludf.DUMMYFUNCTION("""COMPUTED_VALUE"""),"Jhon Navas")</f>
        <v>Jhon Navas</v>
      </c>
    </row>
    <row r="48" spans="1:11" ht="13.2">
      <c r="A48" s="5" t="str">
        <f ca="1">IFERROR(__xludf.DUMMYFUNCTION("""COMPUTED_VALUE"""),"TURNO C")</f>
        <v>TURNO C</v>
      </c>
      <c r="B48" s="5">
        <f ca="1">IFERROR(__xludf.DUMMYFUNCTION("""COMPUTED_VALUE"""),23907804)</f>
        <v>23907804</v>
      </c>
      <c r="C48" s="14">
        <f ca="1">IFERROR(__xludf.DUMMYFUNCTION("""COMPUTED_VALUE"""),45357)</f>
        <v>45357</v>
      </c>
      <c r="D48" s="5" t="str">
        <f ca="1">IFERROR(__xludf.DUMMYFUNCTION("""COMPUTED_VALUE"""),"Tapa atascada en bajante")</f>
        <v>Tapa atascada en bajante</v>
      </c>
      <c r="E48" s="5">
        <f ca="1">IFERROR(__xludf.DUMMYFUNCTION("""COMPUTED_VALUE"""),0.32)</f>
        <v>0.32</v>
      </c>
      <c r="F48" s="15">
        <f ca="1">IFERROR(__xludf.DUMMYFUNCTION("""COMPUTED_VALUE"""),0.965277777777777)</f>
        <v>0.96527777777777701</v>
      </c>
      <c r="G48" s="15">
        <f ca="1">IFERROR(__xludf.DUMMYFUNCTION("""COMPUTED_VALUE"""),0.978472222222222)</f>
        <v>0.97847222222222197</v>
      </c>
      <c r="H48" s="5" t="str">
        <f ca="1">IFERROR(__xludf.DUMMYFUNCTION("""COMPUTED_VALUE"""),"LINE 10")</f>
        <v>LINE 10</v>
      </c>
      <c r="I48" s="5">
        <f ca="1">IFERROR(__xludf.DUMMYFUNCTION("""COMPUTED_VALUE"""),20022138)</f>
        <v>20022138</v>
      </c>
      <c r="J48" s="5" t="str">
        <f ca="1">IFERROR(__xludf.DUMMYFUNCTION("""COMPUTED_VALUE"""),"INSPECTOR TAPA")</f>
        <v>INSPECTOR TAPA</v>
      </c>
      <c r="K48" s="5" t="str">
        <f ca="1">IFERROR(__xludf.DUMMYFUNCTION("""COMPUTED_VALUE"""),"Jose Correa")</f>
        <v>Jose Correa</v>
      </c>
    </row>
    <row r="49" spans="1:11" ht="13.2">
      <c r="A49" s="5" t="str">
        <f ca="1">IFERROR(__xludf.DUMMYFUNCTION("""COMPUTED_VALUE"""),"TURNO C")</f>
        <v>TURNO C</v>
      </c>
      <c r="B49" s="5">
        <f ca="1">IFERROR(__xludf.DUMMYFUNCTION("""COMPUTED_VALUE"""),23907807)</f>
        <v>23907807</v>
      </c>
      <c r="C49" s="14">
        <f ca="1">IFERROR(__xludf.DUMMYFUNCTION("""COMPUTED_VALUE"""),45357)</f>
        <v>45357</v>
      </c>
      <c r="D49" s="5" t="str">
        <f ca="1">IFERROR(__xludf.DUMMYFUNCTION("""COMPUTED_VALUE"""),"Preforma atascada en transportador")</f>
        <v>Preforma atascada en transportador</v>
      </c>
      <c r="E49" s="5">
        <f ca="1">IFERROR(__xludf.DUMMYFUNCTION("""COMPUTED_VALUE"""),0.43)</f>
        <v>0.43</v>
      </c>
      <c r="F49" s="15">
        <f ca="1">IFERROR(__xludf.DUMMYFUNCTION("""COMPUTED_VALUE"""),0.00347222222222222)</f>
        <v>3.4722222222222199E-3</v>
      </c>
      <c r="G49" s="15">
        <f ca="1">IFERROR(__xludf.DUMMYFUNCTION("""COMPUTED_VALUE"""),0.0215277777777777)</f>
        <v>2.1527777777777701E-2</v>
      </c>
      <c r="H49" s="5" t="str">
        <f ca="1">IFERROR(__xludf.DUMMYFUNCTION("""COMPUTED_VALUE"""),"LINE 10")</f>
        <v>LINE 10</v>
      </c>
      <c r="I49" s="5"/>
      <c r="J49" s="5" t="str">
        <f ca="1">IFERROR(__xludf.DUMMYFUNCTION("""COMPUTED_VALUE"""),"TRANSPORTADOR DE PREFORMA")</f>
        <v>TRANSPORTADOR DE PREFORMA</v>
      </c>
      <c r="K49" s="5" t="str">
        <f ca="1">IFERROR(__xludf.DUMMYFUNCTION("""COMPUTED_VALUE"""),"BLANCO")</f>
        <v>BLANCO</v>
      </c>
    </row>
    <row r="50" spans="1:11" ht="13.2">
      <c r="A50" s="5" t="str">
        <f ca="1">IFERROR(__xludf.DUMMYFUNCTION("""COMPUTED_VALUE"""),"TURNO C")</f>
        <v>TURNO C</v>
      </c>
      <c r="B50" s="5">
        <f ca="1">IFERROR(__xludf.DUMMYFUNCTION("""COMPUTED_VALUE"""),23907809)</f>
        <v>23907809</v>
      </c>
      <c r="C50" s="14">
        <f ca="1">IFERROR(__xludf.DUMMYFUNCTION("""COMPUTED_VALUE"""),45357)</f>
        <v>45357</v>
      </c>
      <c r="D50" s="5" t="str">
        <f ca="1">IFERROR(__xludf.DUMMYFUNCTION("""COMPUTED_VALUE"""),"Ajuste bomba de Vacio")</f>
        <v>Ajuste bomba de Vacio</v>
      </c>
      <c r="E50" s="5">
        <f ca="1">IFERROR(__xludf.DUMMYFUNCTION("""COMPUTED_VALUE"""),0.55)</f>
        <v>0.55000000000000004</v>
      </c>
      <c r="F50" s="15">
        <f ca="1">IFERROR(__xludf.DUMMYFUNCTION("""COMPUTED_VALUE"""),0.0791666666666666)</f>
        <v>7.9166666666666594E-2</v>
      </c>
      <c r="G50" s="15">
        <f ca="1">IFERROR(__xludf.DUMMYFUNCTION("""COMPUTED_VALUE"""),0.102083333333333)</f>
        <v>0.102083333333333</v>
      </c>
      <c r="H50" s="5" t="str">
        <f ca="1">IFERROR(__xludf.DUMMYFUNCTION("""COMPUTED_VALUE"""),"LINE 10")</f>
        <v>LINE 10</v>
      </c>
      <c r="I50" s="5">
        <f ca="1">IFERROR(__xludf.DUMMYFUNCTION("""COMPUTED_VALUE"""),20043570)</f>
        <v>20043570</v>
      </c>
      <c r="J50" s="5" t="str">
        <f ca="1">IFERROR(__xludf.DUMMYFUNCTION("""COMPUTED_VALUE"""),"ETIQUETADORA ENVOLVENTE")</f>
        <v>ETIQUETADORA ENVOLVENTE</v>
      </c>
      <c r="K50" s="5" t="str">
        <f ca="1">IFERROR(__xludf.DUMMYFUNCTION("""COMPUTED_VALUE"""),"Jhon Navas")</f>
        <v>Jhon Navas</v>
      </c>
    </row>
    <row r="51" spans="1:11" ht="13.2">
      <c r="A51" s="5" t="str">
        <f ca="1">IFERROR(__xludf.DUMMYFUNCTION("""COMPUTED_VALUE"""),"TURNO A")</f>
        <v>TURNO A</v>
      </c>
      <c r="B51" s="5">
        <f ca="1">IFERROR(__xludf.DUMMYFUNCTION("""COMPUTED_VALUE"""),23908162)</f>
        <v>23908162</v>
      </c>
      <c r="C51" s="14">
        <f ca="1">IFERROR(__xludf.DUMMYFUNCTION("""COMPUTED_VALUE"""),45358)</f>
        <v>45358</v>
      </c>
      <c r="D51" s="5" t="str">
        <f ca="1">IFERROR(__xludf.DUMMYFUNCTION("""COMPUTED_VALUE"""),"Tapa atascada en bajante")</f>
        <v>Tapa atascada en bajante</v>
      </c>
      <c r="E51" s="5">
        <f ca="1">IFERROR(__xludf.DUMMYFUNCTION("""COMPUTED_VALUE"""),0.33)</f>
        <v>0.33</v>
      </c>
      <c r="F51" s="15">
        <f ca="1">IFERROR(__xludf.DUMMYFUNCTION("""COMPUTED_VALUE"""),0.25)</f>
        <v>0.25</v>
      </c>
      <c r="G51" s="15">
        <f ca="1">IFERROR(__xludf.DUMMYFUNCTION("""COMPUTED_VALUE"""),0.263888888888888)</f>
        <v>0.26388888888888801</v>
      </c>
      <c r="H51" s="5" t="str">
        <f ca="1">IFERROR(__xludf.DUMMYFUNCTION("""COMPUTED_VALUE"""),"LINE 10")</f>
        <v>LINE 10</v>
      </c>
      <c r="I51" s="5"/>
      <c r="J51" s="5" t="str">
        <f ca="1">IFERROR(__xludf.DUMMYFUNCTION("""COMPUTED_VALUE"""),"INSPECTOR TAPA")</f>
        <v>INSPECTOR TAPA</v>
      </c>
      <c r="K51" s="5" t="str">
        <f ca="1">IFERROR(__xludf.DUMMYFUNCTION("""COMPUTED_VALUE"""),"BLANCO")</f>
        <v>BLANCO</v>
      </c>
    </row>
    <row r="52" spans="1:11" ht="13.2">
      <c r="A52" s="5" t="str">
        <f ca="1">IFERROR(__xludf.DUMMYFUNCTION("""COMPUTED_VALUE"""),"TURNO A")</f>
        <v>TURNO A</v>
      </c>
      <c r="B52" s="5">
        <f ca="1">IFERROR(__xludf.DUMMYFUNCTION("""COMPUTED_VALUE"""),23908439)</f>
        <v>23908439</v>
      </c>
      <c r="C52" s="14">
        <f ca="1">IFERROR(__xludf.DUMMYFUNCTION("""COMPUTED_VALUE"""),45358)</f>
        <v>45358</v>
      </c>
      <c r="D52" s="5" t="str">
        <f ca="1">IFERROR(__xludf.DUMMYFUNCTION("""COMPUTED_VALUE"""),"Encolamiento en agregado No. 1")</f>
        <v>Encolamiento en agregado No. 1</v>
      </c>
      <c r="E52" s="5">
        <f ca="1">IFERROR(__xludf.DUMMYFUNCTION("""COMPUTED_VALUE"""),0.18)</f>
        <v>0.18</v>
      </c>
      <c r="F52" s="15">
        <f ca="1">IFERROR(__xludf.DUMMYFUNCTION("""COMPUTED_VALUE"""),0.298611111111111)</f>
        <v>0.29861111111111099</v>
      </c>
      <c r="G52" s="15">
        <f ca="1">IFERROR(__xludf.DUMMYFUNCTION("""COMPUTED_VALUE"""),0.306249999999999)</f>
        <v>0.30624999999999902</v>
      </c>
      <c r="H52" s="5" t="str">
        <f ca="1">IFERROR(__xludf.DUMMYFUNCTION("""COMPUTED_VALUE"""),"LINE 10")</f>
        <v>LINE 10</v>
      </c>
      <c r="I52" s="5">
        <f ca="1">IFERROR(__xludf.DUMMYFUNCTION("""COMPUTED_VALUE"""),20058001)</f>
        <v>20058001</v>
      </c>
      <c r="J52" s="5" t="str">
        <f ca="1">IFERROR(__xludf.DUMMYFUNCTION("""COMPUTED_VALUE"""),"ETIQUETADORA ENVOLVENTE")</f>
        <v>ETIQUETADORA ENVOLVENTE</v>
      </c>
      <c r="K52" s="5" t="str">
        <f ca="1">IFERROR(__xludf.DUMMYFUNCTION("""COMPUTED_VALUE"""),"Bonilla Edwin")</f>
        <v>Bonilla Edwin</v>
      </c>
    </row>
    <row r="53" spans="1:11" ht="13.2">
      <c r="A53" s="5" t="str">
        <f ca="1">IFERROR(__xludf.DUMMYFUNCTION("""COMPUTED_VALUE"""),"TURNO A")</f>
        <v>TURNO A</v>
      </c>
      <c r="B53" s="5">
        <f ca="1">IFERROR(__xludf.DUMMYFUNCTION("""COMPUTED_VALUE"""),23908634)</f>
        <v>23908634</v>
      </c>
      <c r="C53" s="14">
        <f ca="1">IFERROR(__xludf.DUMMYFUNCTION("""COMPUTED_VALUE"""),45358)</f>
        <v>45358</v>
      </c>
      <c r="D53" s="5" t="str">
        <f ca="1">IFERROR(__xludf.DUMMYFUNCTION("""COMPUTED_VALUE"""),"Inspeccion de equipo")</f>
        <v>Inspeccion de equipo</v>
      </c>
      <c r="E53" s="5">
        <f ca="1">IFERROR(__xludf.DUMMYFUNCTION("""COMPUTED_VALUE"""),0.22)</f>
        <v>0.22</v>
      </c>
      <c r="F53" s="15">
        <f ca="1">IFERROR(__xludf.DUMMYFUNCTION("""COMPUTED_VALUE"""),0.361111111111111)</f>
        <v>0.36111111111111099</v>
      </c>
      <c r="G53" s="15">
        <f ca="1">IFERROR(__xludf.DUMMYFUNCTION("""COMPUTED_VALUE"""),0.370138888888888)</f>
        <v>0.37013888888888802</v>
      </c>
      <c r="H53" s="5" t="str">
        <f ca="1">IFERROR(__xludf.DUMMYFUNCTION("""COMPUTED_VALUE"""),"LINE 10")</f>
        <v>LINE 10</v>
      </c>
      <c r="I53" s="5"/>
      <c r="J53" s="5" t="str">
        <f ca="1">IFERROR(__xludf.DUMMYFUNCTION("""COMPUTED_VALUE"""),"LLENADORA BOTELLAS PET")</f>
        <v>LLENADORA BOTELLAS PET</v>
      </c>
      <c r="K53" s="5" t="str">
        <f ca="1">IFERROR(__xludf.DUMMYFUNCTION("""COMPUTED_VALUE"""),"BLANCO")</f>
        <v>BLANCO</v>
      </c>
    </row>
    <row r="54" spans="1:11" ht="13.2">
      <c r="A54" s="5" t="str">
        <f ca="1">IFERROR(__xludf.DUMMYFUNCTION("""COMPUTED_VALUE"""),"TURNO A")</f>
        <v>TURNO A</v>
      </c>
      <c r="B54" s="5">
        <f ca="1">IFERROR(__xludf.DUMMYFUNCTION("""COMPUTED_VALUE"""),23908706)</f>
        <v>23908706</v>
      </c>
      <c r="C54" s="14">
        <f ca="1">IFERROR(__xludf.DUMMYFUNCTION("""COMPUTED_VALUE"""),45358)</f>
        <v>45358</v>
      </c>
      <c r="D54" s="5" t="str">
        <f ca="1">IFERROR(__xludf.DUMMYFUNCTION("""COMPUTED_VALUE"""),"Tapa atascada en bajante")</f>
        <v>Tapa atascada en bajante</v>
      </c>
      <c r="E54" s="5">
        <f ca="1">IFERROR(__xludf.DUMMYFUNCTION("""COMPUTED_VALUE"""),0.2)</f>
        <v>0.2</v>
      </c>
      <c r="F54" s="15">
        <f ca="1">IFERROR(__xludf.DUMMYFUNCTION("""COMPUTED_VALUE"""),0.402777777777777)</f>
        <v>0.40277777777777701</v>
      </c>
      <c r="G54" s="15">
        <f ca="1">IFERROR(__xludf.DUMMYFUNCTION("""COMPUTED_VALUE"""),0.411111111111111)</f>
        <v>0.41111111111111098</v>
      </c>
      <c r="H54" s="5" t="str">
        <f ca="1">IFERROR(__xludf.DUMMYFUNCTION("""COMPUTED_VALUE"""),"LINE 10")</f>
        <v>LINE 10</v>
      </c>
      <c r="I54" s="5"/>
      <c r="J54" s="5" t="str">
        <f ca="1">IFERROR(__xludf.DUMMYFUNCTION("""COMPUTED_VALUE"""),"INSPECTOR TAPA")</f>
        <v>INSPECTOR TAPA</v>
      </c>
      <c r="K54" s="5" t="str">
        <f ca="1">IFERROR(__xludf.DUMMYFUNCTION("""COMPUTED_VALUE"""),"BLANCO")</f>
        <v>BLANCO</v>
      </c>
    </row>
    <row r="55" spans="1:11" ht="13.2">
      <c r="A55" s="5" t="str">
        <f ca="1">IFERROR(__xludf.DUMMYFUNCTION("""COMPUTED_VALUE"""),"TURNO B")</f>
        <v>TURNO B</v>
      </c>
      <c r="B55" s="5">
        <f ca="1">IFERROR(__xludf.DUMMYFUNCTION("""COMPUTED_VALUE"""),23909771)</f>
        <v>23909771</v>
      </c>
      <c r="C55" s="14">
        <f ca="1">IFERROR(__xludf.DUMMYFUNCTION("""COMPUTED_VALUE"""),45358)</f>
        <v>45358</v>
      </c>
      <c r="D55" s="5" t="str">
        <f ca="1">IFERROR(__xludf.DUMMYFUNCTION("""COMPUTED_VALUE"""),"Aumento de temperatura")</f>
        <v>Aumento de temperatura</v>
      </c>
      <c r="E55" s="5">
        <f ca="1">IFERROR(__xludf.DUMMYFUNCTION("""COMPUTED_VALUE"""),0.5)</f>
        <v>0.5</v>
      </c>
      <c r="F55" s="15">
        <f ca="1">IFERROR(__xludf.DUMMYFUNCTION("""COMPUTED_VALUE"""),0.611111111111111)</f>
        <v>0.61111111111111105</v>
      </c>
      <c r="G55" s="15">
        <f ca="1">IFERROR(__xludf.DUMMYFUNCTION("""COMPUTED_VALUE"""),0.631944444444444)</f>
        <v>0.63194444444444398</v>
      </c>
      <c r="H55" s="5" t="str">
        <f ca="1">IFERROR(__xludf.DUMMYFUNCTION("""COMPUTED_VALUE"""),"LINE 10")</f>
        <v>LINE 10</v>
      </c>
      <c r="I55" s="5">
        <f ca="1">IFERROR(__xludf.DUMMYFUNCTION("""COMPUTED_VALUE"""),20032893)</f>
        <v>20032893</v>
      </c>
      <c r="J55" s="5" t="str">
        <f ca="1">IFERROR(__xludf.DUMMYFUNCTION("""COMPUTED_VALUE"""),"LLENADORA BOTELLAS PET")</f>
        <v>LLENADORA BOTELLAS PET</v>
      </c>
      <c r="K55" s="5" t="str">
        <f ca="1">IFERROR(__xludf.DUMMYFUNCTION("""COMPUTED_VALUE"""),"Bolaños Camacho Luis Miguel")</f>
        <v>Bolaños Camacho Luis Miguel</v>
      </c>
    </row>
    <row r="56" spans="1:11" ht="13.2">
      <c r="A56" s="5" t="str">
        <f ca="1">IFERROR(__xludf.DUMMYFUNCTION("""COMPUTED_VALUE"""),"TURNO B")</f>
        <v>TURNO B</v>
      </c>
      <c r="B56" s="5">
        <f ca="1">IFERROR(__xludf.DUMMYFUNCTION("""COMPUTED_VALUE"""),23909788)</f>
        <v>23909788</v>
      </c>
      <c r="C56" s="14">
        <f ca="1">IFERROR(__xludf.DUMMYFUNCTION("""COMPUTED_VALUE"""),45358)</f>
        <v>45358</v>
      </c>
      <c r="D56" s="5" t="str">
        <f ca="1">IFERROR(__xludf.DUMMYFUNCTION("""COMPUTED_VALUE"""),"Atascamiento tapa volteada")</f>
        <v>Atascamiento tapa volteada</v>
      </c>
      <c r="E56" s="5">
        <f ca="1">IFERROR(__xludf.DUMMYFUNCTION("""COMPUTED_VALUE"""),0.2)</f>
        <v>0.2</v>
      </c>
      <c r="F56" s="15">
        <f ca="1">IFERROR(__xludf.DUMMYFUNCTION("""COMPUTED_VALUE"""),0.666666666666666)</f>
        <v>0.66666666666666596</v>
      </c>
      <c r="G56" s="15">
        <f ca="1">IFERROR(__xludf.DUMMYFUNCTION("""COMPUTED_VALUE"""),0.674999999999999)</f>
        <v>0.67499999999999905</v>
      </c>
      <c r="H56" s="5" t="str">
        <f ca="1">IFERROR(__xludf.DUMMYFUNCTION("""COMPUTED_VALUE"""),"LINE 10")</f>
        <v>LINE 10</v>
      </c>
      <c r="I56" s="5">
        <f ca="1">IFERROR(__xludf.DUMMYFUNCTION("""COMPUTED_VALUE"""),20032893)</f>
        <v>20032893</v>
      </c>
      <c r="J56" s="5" t="str">
        <f ca="1">IFERROR(__xludf.DUMMYFUNCTION("""COMPUTED_VALUE"""),"INSPECTOR TAPA")</f>
        <v>INSPECTOR TAPA</v>
      </c>
      <c r="K56" s="5" t="str">
        <f ca="1">IFERROR(__xludf.DUMMYFUNCTION("""COMPUTED_VALUE"""),"Bolaños Camacho Luis Miguel")</f>
        <v>Bolaños Camacho Luis Miguel</v>
      </c>
    </row>
    <row r="57" spans="1:11" ht="13.2">
      <c r="A57" s="5" t="str">
        <f ca="1">IFERROR(__xludf.DUMMYFUNCTION("""COMPUTED_VALUE"""),"TURNO B")</f>
        <v>TURNO B</v>
      </c>
      <c r="B57" s="5">
        <f ca="1">IFERROR(__xludf.DUMMYFUNCTION("""COMPUTED_VALUE"""),23909814)</f>
        <v>23909814</v>
      </c>
      <c r="C57" s="14">
        <f ca="1">IFERROR(__xludf.DUMMYFUNCTION("""COMPUTED_VALUE"""),45358)</f>
        <v>45358</v>
      </c>
      <c r="D57" s="5" t="str">
        <f ca="1">IFERROR(__xludf.DUMMYFUNCTION("""COMPUTED_VALUE"""),"Botella caída a la salida de  flowliner")</f>
        <v>Botella caída a la salida de  flowliner</v>
      </c>
      <c r="E57" s="5">
        <f ca="1">IFERROR(__xludf.DUMMYFUNCTION("""COMPUTED_VALUE"""),0.17)</f>
        <v>0.17</v>
      </c>
      <c r="F57" s="15">
        <f ca="1">IFERROR(__xludf.DUMMYFUNCTION("""COMPUTED_VALUE"""),0.736111111111111)</f>
        <v>0.73611111111111105</v>
      </c>
      <c r="G57" s="15">
        <f ca="1">IFERROR(__xludf.DUMMYFUNCTION("""COMPUTED_VALUE"""),0.743055555555555)</f>
        <v>0.74305555555555503</v>
      </c>
      <c r="H57" s="5" t="str">
        <f ca="1">IFERROR(__xludf.DUMMYFUNCTION("""COMPUTED_VALUE"""),"LINE 10")</f>
        <v>LINE 10</v>
      </c>
      <c r="I57" s="5">
        <f ca="1">IFERROR(__xludf.DUMMYFUNCTION("""COMPUTED_VALUE"""),20031425)</f>
        <v>20031425</v>
      </c>
      <c r="J57" s="5" t="str">
        <f ca="1">IFERROR(__xludf.DUMMYFUNCTION("""COMPUTED_VALUE"""),"TRANSPORTADORES DE BEBIDA")</f>
        <v>TRANSPORTADORES DE BEBIDA</v>
      </c>
      <c r="K57" s="5" t="str">
        <f ca="1">IFERROR(__xludf.DUMMYFUNCTION("""COMPUTED_VALUE"""),"Luis Gordillo")</f>
        <v>Luis Gordillo</v>
      </c>
    </row>
    <row r="58" spans="1:11" ht="13.2">
      <c r="A58" s="5" t="str">
        <f ca="1">IFERROR(__xludf.DUMMYFUNCTION("""COMPUTED_VALUE"""),"TURNO B")</f>
        <v>TURNO B</v>
      </c>
      <c r="B58" s="5">
        <f ca="1">IFERROR(__xludf.DUMMYFUNCTION("""COMPUTED_VALUE"""),23909817)</f>
        <v>23909817</v>
      </c>
      <c r="C58" s="14">
        <f ca="1">IFERROR(__xludf.DUMMYFUNCTION("""COMPUTED_VALUE"""),45358)</f>
        <v>45358</v>
      </c>
      <c r="D58" s="5" t="str">
        <f ca="1">IFERROR(__xludf.DUMMYFUNCTION("""COMPUTED_VALUE"""),"Botella caída a la salida de llenadora")</f>
        <v>Botella caída a la salida de llenadora</v>
      </c>
      <c r="E58" s="5">
        <f ca="1">IFERROR(__xludf.DUMMYFUNCTION("""COMPUTED_VALUE"""),0.58)</f>
        <v>0.57999999999999996</v>
      </c>
      <c r="F58" s="15">
        <f ca="1">IFERROR(__xludf.DUMMYFUNCTION("""COMPUTED_VALUE"""),0.770833333333333)</f>
        <v>0.77083333333333304</v>
      </c>
      <c r="G58" s="15">
        <f ca="1">IFERROR(__xludf.DUMMYFUNCTION("""COMPUTED_VALUE"""),0.795138888888888)</f>
        <v>0.79513888888888795</v>
      </c>
      <c r="H58" s="5" t="str">
        <f ca="1">IFERROR(__xludf.DUMMYFUNCTION("""COMPUTED_VALUE"""),"LINE 10")</f>
        <v>LINE 10</v>
      </c>
      <c r="I58" s="5"/>
      <c r="J58" s="5" t="str">
        <f ca="1">IFERROR(__xludf.DUMMYFUNCTION("""COMPUTED_VALUE"""),"TRANSPORTADORES DE BEBIDA")</f>
        <v>TRANSPORTADORES DE BEBIDA</v>
      </c>
      <c r="K58" s="5" t="str">
        <f ca="1">IFERROR(__xludf.DUMMYFUNCTION("""COMPUTED_VALUE"""),"BLANCO")</f>
        <v>BLANCO</v>
      </c>
    </row>
    <row r="59" spans="1:11" ht="13.2">
      <c r="A59" s="5" t="str">
        <f ca="1">IFERROR(__xludf.DUMMYFUNCTION("""COMPUTED_VALUE"""),"TURNO C")</f>
        <v>TURNO C</v>
      </c>
      <c r="B59" s="5">
        <f ca="1">IFERROR(__xludf.DUMMYFUNCTION("""COMPUTED_VALUE"""),23910300)</f>
        <v>23910300</v>
      </c>
      <c r="C59" s="14">
        <f ca="1">IFERROR(__xludf.DUMMYFUNCTION("""COMPUTED_VALUE"""),45358)</f>
        <v>45358</v>
      </c>
      <c r="D59" s="5" t="str">
        <f ca="1">IFERROR(__xludf.DUMMYFUNCTION("""COMPUTED_VALUE"""),"Sistema ASI")</f>
        <v>Sistema ASI</v>
      </c>
      <c r="E59" s="5">
        <f ca="1">IFERROR(__xludf.DUMMYFUNCTION("""COMPUTED_VALUE"""),0.08)</f>
        <v>0.08</v>
      </c>
      <c r="F59" s="15">
        <f ca="1">IFERROR(__xludf.DUMMYFUNCTION("""COMPUTED_VALUE"""),0.109027777777777)</f>
        <v>0.109027777777777</v>
      </c>
      <c r="G59" s="15">
        <f ca="1">IFERROR(__xludf.DUMMYFUNCTION("""COMPUTED_VALUE"""),0.1125)</f>
        <v>0.1125</v>
      </c>
      <c r="H59" s="5" t="str">
        <f ca="1">IFERROR(__xludf.DUMMYFUNCTION("""COMPUTED_VALUE"""),"LINE 10")</f>
        <v>LINE 10</v>
      </c>
      <c r="I59" s="5">
        <f ca="1">IFERROR(__xludf.DUMMYFUNCTION("""COMPUTED_VALUE"""),20043570)</f>
        <v>20043570</v>
      </c>
      <c r="J59" s="5" t="str">
        <f ca="1">IFERROR(__xludf.DUMMYFUNCTION("""COMPUTED_VALUE"""),"ETIQUETADORA ENVOLVENTE")</f>
        <v>ETIQUETADORA ENVOLVENTE</v>
      </c>
      <c r="K59" s="5" t="str">
        <f ca="1">IFERROR(__xludf.DUMMYFUNCTION("""COMPUTED_VALUE"""),"Jhon Navas")</f>
        <v>Jhon Navas</v>
      </c>
    </row>
    <row r="60" spans="1:11" ht="13.2">
      <c r="A60" s="5" t="str">
        <f ca="1">IFERROR(__xludf.DUMMYFUNCTION("""COMPUTED_VALUE"""),"TURNO A")</f>
        <v>TURNO A</v>
      </c>
      <c r="B60" s="5">
        <f ca="1">IFERROR(__xludf.DUMMYFUNCTION("""COMPUTED_VALUE"""),23911184)</f>
        <v>23911184</v>
      </c>
      <c r="C60" s="14">
        <f ca="1">IFERROR(__xludf.DUMMYFUNCTION("""COMPUTED_VALUE"""),45359)</f>
        <v>45359</v>
      </c>
      <c r="D60" s="5" t="str">
        <f ca="1">IFERROR(__xludf.DUMMYFUNCTION("""COMPUTED_VALUE"""),"Sistema ASI")</f>
        <v>Sistema ASI</v>
      </c>
      <c r="E60" s="5">
        <f ca="1">IFERROR(__xludf.DUMMYFUNCTION("""COMPUTED_VALUE"""),5.08)</f>
        <v>5.08</v>
      </c>
      <c r="F60" s="15">
        <f ca="1">IFERROR(__xludf.DUMMYFUNCTION("""COMPUTED_VALUE"""),0.229166666666666)</f>
        <v>0.22916666666666599</v>
      </c>
      <c r="G60" s="15">
        <f ca="1">IFERROR(__xludf.DUMMYFUNCTION("""COMPUTED_VALUE"""),0.440972222222222)</f>
        <v>0.44097222222222199</v>
      </c>
      <c r="H60" s="5" t="str">
        <f ca="1">IFERROR(__xludf.DUMMYFUNCTION("""COMPUTED_VALUE"""),"LINE 10")</f>
        <v>LINE 10</v>
      </c>
      <c r="I60" s="5"/>
      <c r="J60" s="5" t="str">
        <f ca="1">IFERROR(__xludf.DUMMYFUNCTION("""COMPUTED_VALUE"""),"ETIQUETADORA ENVOLVENTE")</f>
        <v>ETIQUETADORA ENVOLVENTE</v>
      </c>
      <c r="K60" s="5" t="str">
        <f ca="1">IFERROR(__xludf.DUMMYFUNCTION("""COMPUTED_VALUE"""),"BLANCO")</f>
        <v>BLANCO</v>
      </c>
    </row>
    <row r="61" spans="1:11" ht="13.2">
      <c r="A61" s="5" t="str">
        <f ca="1">IFERROR(__xludf.DUMMYFUNCTION("""COMPUTED_VALUE"""),"TURNO A")</f>
        <v>TURNO A</v>
      </c>
      <c r="B61" s="5">
        <f ca="1">IFERROR(__xludf.DUMMYFUNCTION("""COMPUTED_VALUE"""),23911343)</f>
        <v>23911343</v>
      </c>
      <c r="C61" s="14">
        <f ca="1">IFERROR(__xludf.DUMMYFUNCTION("""COMPUTED_VALUE"""),45359)</f>
        <v>45359</v>
      </c>
      <c r="D61" s="5" t="str">
        <f ca="1">IFERROR(__xludf.DUMMYFUNCTION("""COMPUTED_VALUE"""),"Falla en armario electrico")</f>
        <v>Falla en armario electrico</v>
      </c>
      <c r="E61" s="5">
        <f ca="1">IFERROR(__xludf.DUMMYFUNCTION("""COMPUTED_VALUE"""),0.72)</f>
        <v>0.72</v>
      </c>
      <c r="F61" s="15">
        <f ca="1">IFERROR(__xludf.DUMMYFUNCTION("""COMPUTED_VALUE"""),0.5)</f>
        <v>0.5</v>
      </c>
      <c r="G61" s="15">
        <f ca="1">IFERROR(__xludf.DUMMYFUNCTION("""COMPUTED_VALUE"""),0.529861111111111)</f>
        <v>0.52986111111111101</v>
      </c>
      <c r="H61" s="5" t="str">
        <f ca="1">IFERROR(__xludf.DUMMYFUNCTION("""COMPUTED_VALUE"""),"LINE 10")</f>
        <v>LINE 10</v>
      </c>
      <c r="I61" s="5"/>
      <c r="J61" s="5" t="str">
        <f ca="1">IFERROR(__xludf.DUMMYFUNCTION("""COMPUTED_VALUE"""),"ETIQUETADORA ENVOLVENTE")</f>
        <v>ETIQUETADORA ENVOLVENTE</v>
      </c>
      <c r="K61" s="5" t="str">
        <f ca="1">IFERROR(__xludf.DUMMYFUNCTION("""COMPUTED_VALUE"""),"BLANCO")</f>
        <v>BLANCO</v>
      </c>
    </row>
    <row r="62" spans="1:11" ht="13.2">
      <c r="A62" s="5" t="str">
        <f ca="1">IFERROR(__xludf.DUMMYFUNCTION("""COMPUTED_VALUE"""),"TURNO B")</f>
        <v>TURNO B</v>
      </c>
      <c r="B62" s="5">
        <f ca="1">IFERROR(__xludf.DUMMYFUNCTION("""COMPUTED_VALUE"""),23911928)</f>
        <v>23911928</v>
      </c>
      <c r="C62" s="14">
        <f ca="1">IFERROR(__xludf.DUMMYFUNCTION("""COMPUTED_VALUE"""),45359)</f>
        <v>45359</v>
      </c>
      <c r="D62" s="5" t="str">
        <f ca="1">IFERROR(__xludf.DUMMYFUNCTION("""COMPUTED_VALUE"""),"Mal corte de etiqueta")</f>
        <v>Mal corte de etiqueta</v>
      </c>
      <c r="E62" s="5">
        <f ca="1">IFERROR(__xludf.DUMMYFUNCTION("""COMPUTED_VALUE"""),0.67)</f>
        <v>0.67</v>
      </c>
      <c r="F62" s="15">
        <f ca="1">IFERROR(__xludf.DUMMYFUNCTION("""COMPUTED_VALUE"""),0.583333333333333)</f>
        <v>0.58333333333333304</v>
      </c>
      <c r="G62" s="15">
        <f ca="1">IFERROR(__xludf.DUMMYFUNCTION("""COMPUTED_VALUE"""),0.611111111111111)</f>
        <v>0.61111111111111105</v>
      </c>
      <c r="H62" s="5" t="str">
        <f ca="1">IFERROR(__xludf.DUMMYFUNCTION("""COMPUTED_VALUE"""),"LINE 10")</f>
        <v>LINE 10</v>
      </c>
      <c r="I62" s="5">
        <f ca="1">IFERROR(__xludf.DUMMYFUNCTION("""COMPUTED_VALUE"""),20031425)</f>
        <v>20031425</v>
      </c>
      <c r="J62" s="5" t="str">
        <f ca="1">IFERROR(__xludf.DUMMYFUNCTION("""COMPUTED_VALUE"""),"ETIQUETADORA ENVOLVENTE")</f>
        <v>ETIQUETADORA ENVOLVENTE</v>
      </c>
      <c r="K62" s="5" t="str">
        <f ca="1">IFERROR(__xludf.DUMMYFUNCTION("""COMPUTED_VALUE"""),"Luis Gordillo")</f>
        <v>Luis Gordillo</v>
      </c>
    </row>
    <row r="63" spans="1:11" ht="13.2">
      <c r="A63" s="5" t="str">
        <f ca="1">IFERROR(__xludf.DUMMYFUNCTION("""COMPUTED_VALUE"""),"TURNO B")</f>
        <v>TURNO B</v>
      </c>
      <c r="B63" s="5">
        <f ca="1">IFERROR(__xludf.DUMMYFUNCTION("""COMPUTED_VALUE"""),23912025)</f>
        <v>23912025</v>
      </c>
      <c r="C63" s="14">
        <f ca="1">IFERROR(__xludf.DUMMYFUNCTION("""COMPUTED_VALUE"""),45359)</f>
        <v>45359</v>
      </c>
      <c r="D63" s="5" t="str">
        <f ca="1">IFERROR(__xludf.DUMMYFUNCTION("""COMPUTED_VALUE"""),"Refrigeración de tablero electrico")</f>
        <v>Refrigeración de tablero electrico</v>
      </c>
      <c r="E63" s="5">
        <f ca="1">IFERROR(__xludf.DUMMYFUNCTION("""COMPUTED_VALUE"""),0.17)</f>
        <v>0.17</v>
      </c>
      <c r="F63" s="15">
        <f ca="1">IFERROR(__xludf.DUMMYFUNCTION("""COMPUTED_VALUE"""),0.722222222222222)</f>
        <v>0.72222222222222199</v>
      </c>
      <c r="G63" s="15">
        <f ca="1">IFERROR(__xludf.DUMMYFUNCTION("""COMPUTED_VALUE"""),0.729166666666666)</f>
        <v>0.72916666666666596</v>
      </c>
      <c r="H63" s="5" t="str">
        <f ca="1">IFERROR(__xludf.DUMMYFUNCTION("""COMPUTED_VALUE"""),"LINE 10")</f>
        <v>LINE 10</v>
      </c>
      <c r="I63" s="5">
        <f ca="1">IFERROR(__xludf.DUMMYFUNCTION("""COMPUTED_VALUE"""),20031425)</f>
        <v>20031425</v>
      </c>
      <c r="J63" s="5" t="str">
        <f ca="1">IFERROR(__xludf.DUMMYFUNCTION("""COMPUTED_VALUE"""),"INSPECTOR DE ENVASE LLENO")</f>
        <v>INSPECTOR DE ENVASE LLENO</v>
      </c>
      <c r="K63" s="5" t="str">
        <f ca="1">IFERROR(__xludf.DUMMYFUNCTION("""COMPUTED_VALUE"""),"Luis Gordillo")</f>
        <v>Luis Gordillo</v>
      </c>
    </row>
    <row r="64" spans="1:11" ht="13.2">
      <c r="A64" s="5" t="str">
        <f ca="1">IFERROR(__xludf.DUMMYFUNCTION("""COMPUTED_VALUE"""),"TURNO C")</f>
        <v>TURNO C</v>
      </c>
      <c r="B64" s="5">
        <f ca="1">IFERROR(__xludf.DUMMYFUNCTION("""COMPUTED_VALUE"""),23912374)</f>
        <v>23912374</v>
      </c>
      <c r="C64" s="14">
        <f ca="1">IFERROR(__xludf.DUMMYFUNCTION("""COMPUTED_VALUE"""),45359)</f>
        <v>45359</v>
      </c>
      <c r="D64" s="5" t="str">
        <f ca="1">IFERROR(__xludf.DUMMYFUNCTION("""COMPUTED_VALUE"""),"Tapa atascada en bajante")</f>
        <v>Tapa atascada en bajante</v>
      </c>
      <c r="E64" s="5">
        <f ca="1">IFERROR(__xludf.DUMMYFUNCTION("""COMPUTED_VALUE"""),0.08)</f>
        <v>0.08</v>
      </c>
      <c r="F64" s="15">
        <f ca="1">IFERROR(__xludf.DUMMYFUNCTION("""COMPUTED_VALUE"""),0.972222222222222)</f>
        <v>0.97222222222222199</v>
      </c>
      <c r="G64" s="15">
        <f ca="1">IFERROR(__xludf.DUMMYFUNCTION("""COMPUTED_VALUE"""),0.975694444444444)</f>
        <v>0.97569444444444398</v>
      </c>
      <c r="H64" s="5" t="str">
        <f ca="1">IFERROR(__xludf.DUMMYFUNCTION("""COMPUTED_VALUE"""),"LINE 10")</f>
        <v>LINE 10</v>
      </c>
      <c r="I64" s="5"/>
      <c r="J64" s="5" t="str">
        <f ca="1">IFERROR(__xludf.DUMMYFUNCTION("""COMPUTED_VALUE"""),"INSPECTOR TAPA")</f>
        <v>INSPECTOR TAPA</v>
      </c>
      <c r="K64" s="5" t="str">
        <f ca="1">IFERROR(__xludf.DUMMYFUNCTION("""COMPUTED_VALUE"""),"BLANCO")</f>
        <v>BLANCO</v>
      </c>
    </row>
    <row r="65" spans="1:11" ht="13.2">
      <c r="A65" s="5" t="str">
        <f ca="1">IFERROR(__xludf.DUMMYFUNCTION("""COMPUTED_VALUE"""),"TURNO C")</f>
        <v>TURNO C</v>
      </c>
      <c r="B65" s="5">
        <f ca="1">IFERROR(__xludf.DUMMYFUNCTION("""COMPUTED_VALUE"""),23912375)</f>
        <v>23912375</v>
      </c>
      <c r="C65" s="14">
        <f ca="1">IFERROR(__xludf.DUMMYFUNCTION("""COMPUTED_VALUE"""),45359)</f>
        <v>45359</v>
      </c>
      <c r="D65" s="5" t="str">
        <f ca="1">IFERROR(__xludf.DUMMYFUNCTION("""COMPUTED_VALUE"""),"Atlanta Falla freno vertical")</f>
        <v>Atlanta Falla freno vertical</v>
      </c>
      <c r="E65" s="5">
        <f ca="1">IFERROR(__xludf.DUMMYFUNCTION("""COMPUTED_VALUE"""),4.52)</f>
        <v>4.5199999999999996</v>
      </c>
      <c r="F65" s="15">
        <f ca="1">IFERROR(__xludf.DUMMYFUNCTION("""COMPUTED_VALUE"""),0.0333333333333333)</f>
        <v>3.3333333333333298E-2</v>
      </c>
      <c r="G65" s="15">
        <f ca="1">IFERROR(__xludf.DUMMYFUNCTION("""COMPUTED_VALUE"""),0.221527777777777)</f>
        <v>0.22152777777777699</v>
      </c>
      <c r="H65" s="5" t="str">
        <f ca="1">IFERROR(__xludf.DUMMYFUNCTION("""COMPUTED_VALUE"""),"LINE 10")</f>
        <v>LINE 10</v>
      </c>
      <c r="I65" s="5"/>
      <c r="J65" s="5" t="str">
        <f ca="1">IFERROR(__xludf.DUMMYFUNCTION("""COMPUTED_VALUE"""),"ENVOLVEDOR")</f>
        <v>ENVOLVEDOR</v>
      </c>
      <c r="K65" s="5" t="str">
        <f ca="1">IFERROR(__xludf.DUMMYFUNCTION("""COMPUTED_VALUE"""),"BLANCO")</f>
        <v>BLANCO</v>
      </c>
    </row>
    <row r="66" spans="1:11" ht="13.2">
      <c r="A66" s="5" t="str">
        <f ca="1">IFERROR(__xludf.DUMMYFUNCTION("""COMPUTED_VALUE"""),"TURNO A")</f>
        <v>TURNO A</v>
      </c>
      <c r="B66" s="5">
        <f ca="1">IFERROR(__xludf.DUMMYFUNCTION("""COMPUTED_VALUE"""),23913108)</f>
        <v>23913108</v>
      </c>
      <c r="C66" s="14">
        <f ca="1">IFERROR(__xludf.DUMMYFUNCTION("""COMPUTED_VALUE"""),45360)</f>
        <v>45360</v>
      </c>
      <c r="D66" s="5" t="str">
        <f ca="1">IFERROR(__xludf.DUMMYFUNCTION("""COMPUTED_VALUE"""),"Atlanta Falla freno vertical")</f>
        <v>Atlanta Falla freno vertical</v>
      </c>
      <c r="E66" s="5">
        <f ca="1">IFERROR(__xludf.DUMMYFUNCTION("""COMPUTED_VALUE"""),0.67)</f>
        <v>0.67</v>
      </c>
      <c r="F66" s="15">
        <f ca="1">IFERROR(__xludf.DUMMYFUNCTION("""COMPUTED_VALUE"""),0.260416666666666)</f>
        <v>0.26041666666666602</v>
      </c>
      <c r="G66" s="15">
        <f ca="1">IFERROR(__xludf.DUMMYFUNCTION("""COMPUTED_VALUE"""),0.288194444444444)</f>
        <v>0.28819444444444398</v>
      </c>
      <c r="H66" s="5" t="str">
        <f ca="1">IFERROR(__xludf.DUMMYFUNCTION("""COMPUTED_VALUE"""),"LINE 10")</f>
        <v>LINE 10</v>
      </c>
      <c r="I66" s="5"/>
      <c r="J66" s="5" t="str">
        <f ca="1">IFERROR(__xludf.DUMMYFUNCTION("""COMPUTED_VALUE"""),"ENVOLVEDOR")</f>
        <v>ENVOLVEDOR</v>
      </c>
      <c r="K66" s="5" t="str">
        <f ca="1">IFERROR(__xludf.DUMMYFUNCTION("""COMPUTED_VALUE"""),"BLANCO")</f>
        <v>BLANCO</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outlinePr summaryBelow="0" summaryRight="0"/>
  </sheetPr>
  <dimension ref="A1:B92"/>
  <sheetViews>
    <sheetView workbookViewId="0"/>
  </sheetViews>
  <sheetFormatPr baseColWidth="10" defaultColWidth="12.6640625" defaultRowHeight="15.75" customHeight="1"/>
  <cols>
    <col min="1" max="1" width="23.44140625" customWidth="1"/>
  </cols>
  <sheetData>
    <row r="1" spans="1:2" ht="14.4">
      <c r="A1" s="54" t="s">
        <v>37</v>
      </c>
      <c r="B1" s="54" t="s">
        <v>2</v>
      </c>
    </row>
    <row r="2" spans="1:2" ht="13.8" hidden="1">
      <c r="A2" s="53" t="s">
        <v>1677</v>
      </c>
      <c r="B2" s="48">
        <v>573233625135</v>
      </c>
    </row>
    <row r="3" spans="1:2" ht="14.4" hidden="1">
      <c r="A3" s="101" t="s">
        <v>153</v>
      </c>
      <c r="B3" s="5">
        <v>573014761159</v>
      </c>
    </row>
    <row r="4" spans="1:2" ht="13.8" hidden="1">
      <c r="A4" s="53" t="s">
        <v>1288</v>
      </c>
      <c r="B4" s="5">
        <v>573173223149</v>
      </c>
    </row>
    <row r="5" spans="1:2" ht="14.4" hidden="1">
      <c r="A5" s="53" t="s">
        <v>861</v>
      </c>
      <c r="B5" s="54">
        <v>573148174772</v>
      </c>
    </row>
    <row r="6" spans="1:2" ht="14.4" hidden="1">
      <c r="A6" s="42" t="s">
        <v>839</v>
      </c>
      <c r="B6" s="54">
        <v>573186924079</v>
      </c>
    </row>
    <row r="7" spans="1:2" ht="14.4" hidden="1">
      <c r="A7" s="53" t="s">
        <v>2799</v>
      </c>
      <c r="B7" s="54">
        <v>573016653684</v>
      </c>
    </row>
    <row r="8" spans="1:2" ht="14.4" hidden="1">
      <c r="A8" s="53" t="s">
        <v>4559</v>
      </c>
      <c r="B8" s="54">
        <v>573147103334</v>
      </c>
    </row>
    <row r="9" spans="1:2" ht="13.8" hidden="1">
      <c r="A9" s="53" t="s">
        <v>4565</v>
      </c>
      <c r="B9" s="48">
        <v>573122788043</v>
      </c>
    </row>
    <row r="10" spans="1:2" ht="14.4">
      <c r="A10" s="42" t="s">
        <v>2021</v>
      </c>
      <c r="B10" s="54">
        <v>573154265203</v>
      </c>
    </row>
    <row r="11" spans="1:2" ht="14.4" hidden="1">
      <c r="A11" s="101" t="s">
        <v>140</v>
      </c>
      <c r="B11" s="5">
        <v>573006617364</v>
      </c>
    </row>
    <row r="12" spans="1:2" ht="14.4" hidden="1">
      <c r="A12" s="53" t="s">
        <v>321</v>
      </c>
      <c r="B12" s="54">
        <v>573106062699</v>
      </c>
    </row>
    <row r="13" spans="1:2" ht="14.4" hidden="1">
      <c r="A13" s="53" t="s">
        <v>1328</v>
      </c>
      <c r="B13" s="54">
        <v>573045833726</v>
      </c>
    </row>
    <row r="14" spans="1:2" ht="14.4" hidden="1">
      <c r="A14" s="13" t="s">
        <v>4932</v>
      </c>
      <c r="B14" s="54">
        <v>573113563903</v>
      </c>
    </row>
    <row r="15" spans="1:2" ht="14.4" hidden="1">
      <c r="A15" s="5" t="s">
        <v>145</v>
      </c>
      <c r="B15" s="54">
        <v>573117720757</v>
      </c>
    </row>
    <row r="16" spans="1:2" ht="14.4" hidden="1">
      <c r="A16" s="42" t="s">
        <v>1894</v>
      </c>
      <c r="B16" s="54">
        <v>573117720757</v>
      </c>
    </row>
    <row r="17" spans="1:2" ht="14.4" hidden="1">
      <c r="A17" s="54" t="s">
        <v>4694</v>
      </c>
      <c r="B17" s="54">
        <v>573117720757</v>
      </c>
    </row>
    <row r="18" spans="1:2" ht="13.8" hidden="1">
      <c r="A18" s="42" t="s">
        <v>730</v>
      </c>
      <c r="B18" s="48">
        <v>573144897931</v>
      </c>
    </row>
    <row r="19" spans="1:2" ht="13.8" hidden="1">
      <c r="A19" s="42" t="s">
        <v>2445</v>
      </c>
      <c r="B19" s="48">
        <v>573187183243</v>
      </c>
    </row>
    <row r="20" spans="1:2" ht="14.4" hidden="1">
      <c r="A20" s="101" t="s">
        <v>135</v>
      </c>
      <c r="B20" s="5">
        <v>573116376584</v>
      </c>
    </row>
    <row r="21" spans="1:2" ht="13.2" hidden="1">
      <c r="A21" s="48" t="s">
        <v>4728</v>
      </c>
      <c r="B21" s="5">
        <v>573128543241</v>
      </c>
    </row>
    <row r="22" spans="1:2" ht="14.4" hidden="1">
      <c r="A22" s="5" t="s">
        <v>4933</v>
      </c>
      <c r="B22" s="54">
        <v>573128543241</v>
      </c>
    </row>
    <row r="23" spans="1:2" ht="13.2" hidden="1">
      <c r="A23" s="102" t="s">
        <v>163</v>
      </c>
      <c r="B23" s="5">
        <v>573128543241</v>
      </c>
    </row>
    <row r="24" spans="1:2" ht="14.4" hidden="1">
      <c r="A24" s="53" t="s">
        <v>424</v>
      </c>
      <c r="B24" s="54">
        <v>573128543241</v>
      </c>
    </row>
    <row r="25" spans="1:2" ht="14.4" hidden="1">
      <c r="A25" s="54" t="s">
        <v>4561</v>
      </c>
      <c r="B25" s="5">
        <v>573194602264</v>
      </c>
    </row>
    <row r="26" spans="1:2" ht="14.4" hidden="1">
      <c r="A26" s="42" t="s">
        <v>4000</v>
      </c>
      <c r="B26" s="54">
        <v>573117665570</v>
      </c>
    </row>
    <row r="27" spans="1:2" ht="14.4" hidden="1">
      <c r="A27" s="101" t="s">
        <v>146</v>
      </c>
      <c r="B27" s="5">
        <v>573194602264</v>
      </c>
    </row>
    <row r="28" spans="1:2" ht="14.4" hidden="1">
      <c r="A28" s="53" t="s">
        <v>2526</v>
      </c>
      <c r="B28" s="54">
        <v>573053427911</v>
      </c>
    </row>
    <row r="29" spans="1:2" ht="13.8" hidden="1">
      <c r="A29" s="53" t="s">
        <v>4934</v>
      </c>
      <c r="B29" s="48">
        <v>573015282155</v>
      </c>
    </row>
    <row r="30" spans="1:2" ht="14.4" hidden="1">
      <c r="A30" s="42" t="s">
        <v>1706</v>
      </c>
      <c r="B30" s="54">
        <v>573023677706</v>
      </c>
    </row>
    <row r="31" spans="1:2" ht="13.2" hidden="1">
      <c r="A31" s="5" t="s">
        <v>4935</v>
      </c>
      <c r="B31" s="5">
        <v>573156712311</v>
      </c>
    </row>
    <row r="32" spans="1:2" ht="14.4" hidden="1">
      <c r="A32" s="42" t="s">
        <v>601</v>
      </c>
      <c r="B32" s="54">
        <v>573112422176</v>
      </c>
    </row>
    <row r="33" spans="1:2" ht="14.4" hidden="1">
      <c r="A33" s="5" t="s">
        <v>4936</v>
      </c>
      <c r="B33" s="54">
        <v>573108951371</v>
      </c>
    </row>
    <row r="34" spans="1:2" ht="13.8" hidden="1">
      <c r="A34" s="53" t="s">
        <v>364</v>
      </c>
      <c r="B34" s="48">
        <v>573015223410</v>
      </c>
    </row>
    <row r="35" spans="1:2" ht="14.4" hidden="1">
      <c r="A35" s="101" t="s">
        <v>139</v>
      </c>
      <c r="B35" s="5">
        <v>573104812161</v>
      </c>
    </row>
    <row r="36" spans="1:2" ht="14.4" hidden="1">
      <c r="A36" s="53" t="s">
        <v>4598</v>
      </c>
      <c r="B36" s="54">
        <v>573222217492</v>
      </c>
    </row>
    <row r="37" spans="1:2" ht="14.4" hidden="1">
      <c r="A37" s="42" t="s">
        <v>1672</v>
      </c>
      <c r="B37" s="54">
        <v>573158655205</v>
      </c>
    </row>
    <row r="38" spans="1:2" ht="14.4" hidden="1">
      <c r="A38" s="5" t="s">
        <v>4733</v>
      </c>
      <c r="B38" s="54">
        <v>573122261803</v>
      </c>
    </row>
    <row r="39" spans="1:2" ht="14.4" hidden="1">
      <c r="A39" s="5" t="s">
        <v>4937</v>
      </c>
      <c r="B39" s="54">
        <v>573043623277</v>
      </c>
    </row>
    <row r="40" spans="1:2" ht="14.4" hidden="1">
      <c r="A40" s="42" t="s">
        <v>2988</v>
      </c>
      <c r="B40" s="54">
        <v>573043623277</v>
      </c>
    </row>
    <row r="41" spans="1:2" ht="14.4" hidden="1">
      <c r="A41" s="5" t="s">
        <v>4938</v>
      </c>
      <c r="B41" s="54">
        <v>573147637946</v>
      </c>
    </row>
    <row r="42" spans="1:2" ht="14.4" hidden="1">
      <c r="A42" s="53" t="s">
        <v>3347</v>
      </c>
      <c r="B42" s="54">
        <v>573117998312</v>
      </c>
    </row>
    <row r="43" spans="1:2" ht="14.4" hidden="1">
      <c r="A43" s="53" t="s">
        <v>306</v>
      </c>
      <c r="B43" s="54">
        <v>573147637946</v>
      </c>
    </row>
    <row r="44" spans="1:2" ht="13.2" hidden="1">
      <c r="A44" s="103" t="s">
        <v>164</v>
      </c>
      <c r="B44" s="5">
        <v>573173813097</v>
      </c>
    </row>
    <row r="45" spans="1:2" ht="14.4" hidden="1">
      <c r="A45" s="42" t="s">
        <v>328</v>
      </c>
      <c r="B45" s="54">
        <v>573003678745</v>
      </c>
    </row>
    <row r="46" spans="1:2" ht="13.2" hidden="1">
      <c r="A46" s="103" t="s">
        <v>158</v>
      </c>
      <c r="B46" s="5">
        <v>573003678745</v>
      </c>
    </row>
    <row r="47" spans="1:2" ht="14.4" hidden="1">
      <c r="A47" s="5" t="s">
        <v>4939</v>
      </c>
      <c r="B47" s="54">
        <v>573212589618</v>
      </c>
    </row>
    <row r="48" spans="1:2" ht="13.2" hidden="1">
      <c r="A48" s="103" t="s">
        <v>160</v>
      </c>
      <c r="B48" s="5">
        <v>573212589618</v>
      </c>
    </row>
    <row r="49" spans="1:2" ht="14.4" hidden="1">
      <c r="A49" s="101" t="s">
        <v>154</v>
      </c>
    </row>
    <row r="50" spans="1:2" ht="14.4" hidden="1">
      <c r="A50" s="5" t="s">
        <v>4940</v>
      </c>
      <c r="B50" s="54">
        <v>573106062699</v>
      </c>
    </row>
    <row r="51" spans="1:2" ht="13.8" hidden="1">
      <c r="A51" s="42" t="s">
        <v>1355</v>
      </c>
      <c r="B51" s="48">
        <v>573145741289</v>
      </c>
    </row>
    <row r="52" spans="1:2" ht="14.4" hidden="1">
      <c r="A52" s="53" t="s">
        <v>1529</v>
      </c>
      <c r="B52" s="54">
        <v>573215267623</v>
      </c>
    </row>
    <row r="53" spans="1:2" ht="14.4" hidden="1">
      <c r="A53" s="42" t="s">
        <v>315</v>
      </c>
      <c r="B53" s="54">
        <v>573122172129</v>
      </c>
    </row>
    <row r="54" spans="1:2" ht="14.4" hidden="1">
      <c r="A54" s="42" t="s">
        <v>4094</v>
      </c>
      <c r="B54" s="54">
        <v>573145758691</v>
      </c>
    </row>
    <row r="55" spans="1:2" ht="14.4" hidden="1">
      <c r="A55" s="104" t="s">
        <v>1661</v>
      </c>
      <c r="B55" s="54">
        <v>573042194088</v>
      </c>
    </row>
    <row r="56" spans="1:2" ht="14.4" hidden="1">
      <c r="A56" s="53" t="s">
        <v>242</v>
      </c>
      <c r="B56" s="54">
        <v>573185738793</v>
      </c>
    </row>
    <row r="57" spans="1:2" ht="14.4" hidden="1">
      <c r="A57" s="5" t="s">
        <v>4941</v>
      </c>
      <c r="B57" s="54">
        <v>573116493969</v>
      </c>
    </row>
    <row r="58" spans="1:2" ht="14.4" hidden="1">
      <c r="A58" s="53" t="s">
        <v>408</v>
      </c>
      <c r="B58" s="54">
        <v>573116493969</v>
      </c>
    </row>
    <row r="59" spans="1:2" ht="14.4" hidden="1">
      <c r="A59" s="42" t="s">
        <v>2261</v>
      </c>
      <c r="B59" s="54">
        <v>573113563903</v>
      </c>
    </row>
    <row r="60" spans="1:2" ht="14.4" hidden="1">
      <c r="A60" s="53" t="s">
        <v>1654</v>
      </c>
      <c r="B60" s="54">
        <v>573104055117</v>
      </c>
    </row>
    <row r="61" spans="1:2" ht="14.4" hidden="1">
      <c r="A61" s="42" t="s">
        <v>1781</v>
      </c>
      <c r="B61" s="54">
        <v>573206184367</v>
      </c>
    </row>
    <row r="62" spans="1:2" ht="14.4" hidden="1">
      <c r="A62" s="53" t="s">
        <v>4030</v>
      </c>
      <c r="B62" s="54">
        <v>573027971204</v>
      </c>
    </row>
    <row r="63" spans="1:2" ht="14.4" hidden="1">
      <c r="A63" s="5" t="s">
        <v>4942</v>
      </c>
      <c r="B63" s="54">
        <v>573112422176</v>
      </c>
    </row>
    <row r="64" spans="1:2" ht="13.8" hidden="1">
      <c r="A64" s="53" t="s">
        <v>343</v>
      </c>
      <c r="B64" s="48">
        <v>573146703838</v>
      </c>
    </row>
    <row r="65" spans="1:2" ht="13.8" hidden="1">
      <c r="A65" s="53" t="s">
        <v>1474</v>
      </c>
      <c r="B65" s="48">
        <v>573145202708</v>
      </c>
    </row>
    <row r="66" spans="1:2" ht="14.4" hidden="1">
      <c r="A66" s="42" t="s">
        <v>581</v>
      </c>
      <c r="B66" s="54">
        <v>573148903137</v>
      </c>
    </row>
    <row r="67" spans="1:2" ht="14.4" hidden="1">
      <c r="A67" s="53" t="s">
        <v>763</v>
      </c>
      <c r="B67" s="54">
        <v>573122261803</v>
      </c>
    </row>
    <row r="68" spans="1:2" ht="13.2" hidden="1">
      <c r="A68" s="7" t="s">
        <v>4943</v>
      </c>
      <c r="B68" s="5">
        <v>573156712311</v>
      </c>
    </row>
    <row r="69" spans="1:2" ht="13.8" hidden="1">
      <c r="A69" s="53" t="s">
        <v>4944</v>
      </c>
      <c r="B69" s="48">
        <v>573122198612</v>
      </c>
    </row>
    <row r="70" spans="1:2" ht="14.4" hidden="1">
      <c r="A70" s="42" t="s">
        <v>4135</v>
      </c>
      <c r="B70" s="54">
        <v>573012765105</v>
      </c>
    </row>
    <row r="71" spans="1:2" ht="13.8" hidden="1">
      <c r="A71" s="53" t="s">
        <v>1190</v>
      </c>
      <c r="B71" s="5">
        <v>573117137924</v>
      </c>
    </row>
    <row r="72" spans="1:2" ht="13.8" hidden="1">
      <c r="A72" s="105" t="s">
        <v>399</v>
      </c>
      <c r="B72" s="48">
        <v>573137638817</v>
      </c>
    </row>
    <row r="73" spans="1:2" ht="14.4" hidden="1">
      <c r="A73" s="106" t="s">
        <v>196</v>
      </c>
      <c r="B73" s="54">
        <v>573022795068</v>
      </c>
    </row>
    <row r="74" spans="1:2" ht="14.4" hidden="1">
      <c r="A74" s="106" t="s">
        <v>2326</v>
      </c>
      <c r="B74" s="54">
        <v>573212589618</v>
      </c>
    </row>
    <row r="75" spans="1:2" ht="14.4" hidden="1">
      <c r="A75" s="107" t="s">
        <v>4945</v>
      </c>
      <c r="B75" s="54">
        <v>573122172129</v>
      </c>
    </row>
    <row r="76" spans="1:2" ht="14.4" hidden="1">
      <c r="A76" s="106" t="s">
        <v>612</v>
      </c>
      <c r="B76" s="54"/>
    </row>
    <row r="77" spans="1:2" ht="14.4" hidden="1">
      <c r="A77" s="105" t="s">
        <v>1842</v>
      </c>
      <c r="B77" s="54">
        <v>573112884549</v>
      </c>
    </row>
    <row r="78" spans="1:2" ht="13.2" hidden="1">
      <c r="A78" s="108" t="s">
        <v>162</v>
      </c>
      <c r="B78" s="5">
        <v>573116519396</v>
      </c>
    </row>
    <row r="79" spans="1:2" ht="14.4" hidden="1">
      <c r="A79" s="105" t="s">
        <v>1585</v>
      </c>
      <c r="B79" s="54">
        <v>573214070431</v>
      </c>
    </row>
    <row r="80" spans="1:2" ht="14.4" hidden="1">
      <c r="A80" s="30" t="s">
        <v>147</v>
      </c>
      <c r="B80" s="5">
        <v>573103958489</v>
      </c>
    </row>
    <row r="81" spans="1:2" ht="14.4" hidden="1">
      <c r="A81" s="105" t="s">
        <v>656</v>
      </c>
      <c r="B81" s="54">
        <v>573108951371</v>
      </c>
    </row>
    <row r="82" spans="1:2" ht="13.2" hidden="1">
      <c r="A82" s="107" t="s">
        <v>161</v>
      </c>
      <c r="B82" s="5">
        <v>573153184873</v>
      </c>
    </row>
    <row r="83" spans="1:2" ht="14.4" hidden="1">
      <c r="A83" s="109" t="s">
        <v>1152</v>
      </c>
      <c r="B83" s="54">
        <v>573136290785</v>
      </c>
    </row>
    <row r="84" spans="1:2" ht="14.4" hidden="1">
      <c r="A84" s="110" t="s">
        <v>4562</v>
      </c>
      <c r="B84" s="54">
        <v>573023403586</v>
      </c>
    </row>
    <row r="85" spans="1:2" ht="14.4" hidden="1">
      <c r="A85" s="5" t="s">
        <v>4946</v>
      </c>
      <c r="B85" s="54">
        <v>573023403586</v>
      </c>
    </row>
    <row r="86" spans="1:2" ht="14.4" hidden="1">
      <c r="A86" s="42" t="s">
        <v>823</v>
      </c>
      <c r="B86" s="54">
        <v>573023403586</v>
      </c>
    </row>
    <row r="87" spans="1:2" ht="14.4" hidden="1">
      <c r="A87" s="111" t="s">
        <v>138</v>
      </c>
      <c r="B87" s="5">
        <v>573117368201</v>
      </c>
    </row>
    <row r="88" spans="1:2" ht="13.2" hidden="1">
      <c r="A88" s="33" t="s">
        <v>134</v>
      </c>
      <c r="B88" s="5">
        <v>573188053330</v>
      </c>
    </row>
    <row r="89" spans="1:2" ht="14.4" hidden="1">
      <c r="A89" s="112" t="s">
        <v>136</v>
      </c>
      <c r="B89" s="5">
        <v>573116319565</v>
      </c>
    </row>
    <row r="90" spans="1:2" ht="14.4" hidden="1">
      <c r="A90" s="113" t="s">
        <v>4947</v>
      </c>
      <c r="B90" s="54">
        <v>573222217492</v>
      </c>
    </row>
    <row r="91" spans="1:2" ht="14.4" hidden="1">
      <c r="A91" s="112" t="s">
        <v>137</v>
      </c>
      <c r="B91" s="5">
        <v>573116139561</v>
      </c>
    </row>
    <row r="92" spans="1:2" ht="13.2" hidden="1">
      <c r="A92" s="113" t="s">
        <v>4948</v>
      </c>
      <c r="B92" s="5">
        <v>573164814393</v>
      </c>
    </row>
  </sheetData>
  <autoFilter ref="A1:B92" xr:uid="{00000000-0009-0000-0000-000018000000}">
    <filterColumn colId="0">
      <filters>
        <filter val="BONILLA ANGULO EDWIN ANDRES"/>
        <filter val="ESTEBAN POTOSI"/>
        <filter val="JOHN EDIER GOMEZ ZUÑIGA"/>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25</vt:i4>
      </vt:variant>
      <vt:variant>
        <vt:lpstr>Rangos con nombre</vt:lpstr>
      </vt:variant>
      <vt:variant>
        <vt:i4>1</vt:i4>
      </vt:variant>
    </vt:vector>
  </HeadingPairs>
  <TitlesOfParts>
    <vt:vector size="26" baseType="lpstr">
      <vt:lpstr>Enviar</vt:lpstr>
      <vt:lpstr>Agua cristal</vt:lpstr>
      <vt:lpstr>actividades</vt:lpstr>
      <vt:lpstr>M2</vt:lpstr>
      <vt:lpstr>Limpieza datos</vt:lpstr>
      <vt:lpstr>M2 Linea 1</vt:lpstr>
      <vt:lpstr>M2 Agua cristal</vt:lpstr>
      <vt:lpstr>Charlas de seguridad</vt:lpstr>
      <vt:lpstr>CHARLAS</vt:lpstr>
      <vt:lpstr>M2 Linea 8</vt:lpstr>
      <vt:lpstr>M2 Linea 10</vt:lpstr>
      <vt:lpstr>Pasado</vt:lpstr>
      <vt:lpstr>Presente</vt:lpstr>
      <vt:lpstr>Limpieza</vt:lpstr>
      <vt:lpstr>Anomalias</vt:lpstr>
      <vt:lpstr>Repetitividad1</vt:lpstr>
      <vt:lpstr>Repetitividad</vt:lpstr>
      <vt:lpstr>BasedatosM9</vt:lpstr>
      <vt:lpstr>TECNICOS</vt:lpstr>
      <vt:lpstr>Tecnicos III</vt:lpstr>
      <vt:lpstr>IW29EDITAR</vt:lpstr>
      <vt:lpstr>Linea 1</vt:lpstr>
      <vt:lpstr>Linea 8</vt:lpstr>
      <vt:lpstr>Linea 10</vt:lpstr>
      <vt:lpstr>Base de datos</vt:lpstr>
      <vt:lpstr>menu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Stiven Quintero</cp:lastModifiedBy>
  <dcterms:modified xsi:type="dcterms:W3CDTF">2024-03-23T00:35:50Z</dcterms:modified>
</cp:coreProperties>
</file>